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ustomProperty1.bin" ContentType="application/vnd.openxmlformats-officedocument.spreadsheetml.customProperty"/>
  <Override PartName="/xl/customProperty2.bin" ContentType="application/vnd.openxmlformats-officedocument.spreadsheetml.customProperty"/>
  <Override PartName="/xl/customProperty3.bin" ContentType="application/vnd.openxmlformats-officedocument.spreadsheetml.customProperty"/>
  <Override PartName="/xl/customProperty4.bin" ContentType="application/vnd.openxmlformats-officedocument.spreadsheetml.customProperty"/>
  <Override PartName="/xl/customProperty5.bin" ContentType="application/vnd.openxmlformats-officedocument.spreadsheetml.customProperty"/>
  <Override PartName="/xl/customProperty6.bin" ContentType="application/vnd.openxmlformats-officedocument.spreadsheetml.customProperty"/>
  <Override PartName="/xl/comments1.xml" ContentType="application/vnd.openxmlformats-officedocument.spreadsheetml.comments+xml"/>
  <Override PartName="/xl/customProperty7.bin" ContentType="application/vnd.openxmlformats-officedocument.spreadsheetml.customProperty"/>
  <Override PartName="/xl/customProperty8.bin" ContentType="application/vnd.openxmlformats-officedocument.spreadsheetml.customProperty"/>
  <Override PartName="/xl/customProperty9.bin" ContentType="application/vnd.openxmlformats-officedocument.spreadsheetml.customProperty"/>
  <Override PartName="/xl/customProperty10.bin" ContentType="application/vnd.openxmlformats-officedocument.spreadsheetml.customProperty"/>
  <Override PartName="/xl/customProperty11.bin" ContentType="application/vnd.openxmlformats-officedocument.spreadsheetml.customProperty"/>
  <Override PartName="/xl/customProperty12.bin" ContentType="application/vnd.openxmlformats-officedocument.spreadsheetml.customProperty"/>
  <Override PartName="/xl/customProperty13.bin" ContentType="application/vnd.openxmlformats-officedocument.spreadsheetml.customProperty"/>
  <Override PartName="/xl/customProperty14.bin" ContentType="application/vnd.openxmlformats-officedocument.spreadsheetml.customProperty"/>
  <Override PartName="/xl/comments2.xml" ContentType="application/vnd.openxmlformats-officedocument.spreadsheetml.comments+xml"/>
  <Override PartName="/xl/customProperty15.bin" ContentType="application/vnd.openxmlformats-officedocument.spreadsheetml.customProperty"/>
  <Override PartName="/xl/customProperty16.bin" ContentType="application/vnd.openxmlformats-officedocument.spreadsheetml.customProperty"/>
  <Override PartName="/xl/customProperty17.bin" ContentType="application/vnd.openxmlformats-officedocument.spreadsheetml.customProperty"/>
  <Override PartName="/xl/customProperty18.bin" ContentType="application/vnd.openxmlformats-officedocument.spreadsheetml.customProperty"/>
  <Override PartName="/xl/customProperty19.bin" ContentType="application/vnd.openxmlformats-officedocument.spreadsheetml.customProperty"/>
  <Override PartName="/xl/customProperty20.bin" ContentType="application/vnd.openxmlformats-officedocument.spreadsheetml.customProperty"/>
  <Override PartName="/xl/customProperty21.bin" ContentType="application/vnd.openxmlformats-officedocument.spreadsheetml.customProperty"/>
  <Override PartName="/xl/customProperty22.bin" ContentType="application/vnd.openxmlformats-officedocument.spreadsheetml.customProperty"/>
  <Override PartName="/xl/customProperty23.bin" ContentType="application/vnd.openxmlformats-officedocument.spreadsheetml.customProperty"/>
  <Override PartName="/xl/customProperty24.bin" ContentType="application/vnd.openxmlformats-officedocument.spreadsheetml.customProperty"/>
  <Override PartName="/xl/customProperty25.bin" ContentType="application/vnd.openxmlformats-officedocument.spreadsheetml.customProperty"/>
  <Override PartName="/xl/customProperty26.bin" ContentType="application/vnd.openxmlformats-officedocument.spreadsheetml.customProperty"/>
  <Override PartName="/xl/comments3.xml" ContentType="application/vnd.openxmlformats-officedocument.spreadsheetml.comments+xml"/>
  <Override PartName="/xl/customProperty27.bin" ContentType="application/vnd.openxmlformats-officedocument.spreadsheetml.customProperty"/>
  <Override PartName="/xl/comments4.xml" ContentType="application/vnd.openxmlformats-officedocument.spreadsheetml.comments+xml"/>
  <Override PartName="/xl/customProperty28.bin" ContentType="application/vnd.openxmlformats-officedocument.spreadsheetml.customProperty"/>
  <Override PartName="/xl/drawings/drawing1.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customProperty29.bin" ContentType="application/vnd.openxmlformats-officedocument.spreadsheetml.customProperty"/>
  <Override PartName="/xl/drawings/drawing2.xml" ContentType="application/vnd.openxmlformats-officedocument.drawing+xml"/>
  <Override PartName="/xl/embeddings/oleObject3.bin" ContentType="application/vnd.openxmlformats-officedocument.oleObject"/>
  <Override PartName="/xl/customProperty30.bin" ContentType="application/vnd.openxmlformats-officedocument.spreadsheetml.customProperty"/>
  <Override PartName="/xl/drawings/drawing3.xml" ContentType="application/vnd.openxmlformats-officedocument.drawing+xml"/>
  <Override PartName="/xl/embeddings/oleObject4.bin" ContentType="application/vnd.openxmlformats-officedocument.oleObject"/>
  <Override PartName="/xl/embeddings/oleObject5.bin" ContentType="application/vnd.openxmlformats-officedocument.oleObject"/>
  <Override PartName="/xl/customProperty31.bin" ContentType="application/vnd.openxmlformats-officedocument.spreadsheetml.customProperty"/>
  <Override PartName="/xl/drawings/drawing4.xml" ContentType="application/vnd.openxmlformats-officedocument.drawing+xml"/>
  <Override PartName="/xl/embeddings/oleObject6.bin" ContentType="application/vnd.openxmlformats-officedocument.oleObject"/>
  <Override PartName="/xl/embeddings/oleObject7.bin" ContentType="application/vnd.openxmlformats-officedocument.oleObject"/>
  <Override PartName="/xl/comments5.xml" ContentType="application/vnd.openxmlformats-officedocument.spreadsheetml.comments+xml"/>
  <Override PartName="/xl/customProperty32.bin" ContentType="application/vnd.openxmlformats-officedocument.spreadsheetml.customProperty"/>
  <Override PartName="/xl/drawings/drawing5.xml" ContentType="application/vnd.openxmlformats-officedocument.drawing+xml"/>
  <Override PartName="/xl/embeddings/oleObject8.bin" ContentType="application/vnd.openxmlformats-officedocument.oleObject"/>
  <Override PartName="/xl/customProperty33.bin" ContentType="application/vnd.openxmlformats-officedocument.spreadsheetml.customProperty"/>
  <Override PartName="/xl/drawings/drawing6.xml" ContentType="application/vnd.openxmlformats-officedocument.drawing+xml"/>
  <Override PartName="/xl/embeddings/oleObject9.bin" ContentType="application/vnd.openxmlformats-officedocument.oleObject"/>
  <Override PartName="/xl/customProperty34.bin" ContentType="application/vnd.openxmlformats-officedocument.spreadsheetml.customProperty"/>
  <Override PartName="/xl/drawings/drawing7.xml" ContentType="application/vnd.openxmlformats-officedocument.drawing+xml"/>
  <Override PartName="/xl/embeddings/oleObject10.bin" ContentType="application/vnd.openxmlformats-officedocument.oleObject"/>
  <Override PartName="/xl/embeddings/oleObject11.bin" ContentType="application/vnd.openxmlformats-officedocument.oleObject"/>
  <Override PartName="/xl/customProperty35.bin" ContentType="application/vnd.openxmlformats-officedocument.spreadsheetml.customProperty"/>
  <Override PartName="/xl/drawings/drawing8.xml" ContentType="application/vnd.openxmlformats-officedocument.drawing+xml"/>
  <Override PartName="/xl/embeddings/oleObject12.bin" ContentType="application/vnd.openxmlformats-officedocument.oleObject"/>
  <Override PartName="/xl/customProperty36.bin" ContentType="application/vnd.openxmlformats-officedocument.spreadsheetml.customProperty"/>
  <Override PartName="/xl/drawings/drawing9.xml" ContentType="application/vnd.openxmlformats-officedocument.drawing+xml"/>
  <Override PartName="/xl/embeddings/oleObject13.bin" ContentType="application/vnd.openxmlformats-officedocument.oleObject"/>
  <Override PartName="/xl/customProperty37.bin" ContentType="application/vnd.openxmlformats-officedocument.spreadsheetml.customProperty"/>
  <Override PartName="/xl/drawings/drawing10.xml" ContentType="application/vnd.openxmlformats-officedocument.drawing+xml"/>
  <Override PartName="/xl/embeddings/oleObject14.bin" ContentType="application/vnd.openxmlformats-officedocument.oleObject"/>
  <Override PartName="/xl/customProperty38.bin" ContentType="application/vnd.openxmlformats-officedocument.spreadsheetml.customProperty"/>
  <Override PartName="/xl/drawings/drawing11.xml" ContentType="application/vnd.openxmlformats-officedocument.drawing+xml"/>
  <Override PartName="/xl/embeddings/oleObject15.bin" ContentType="application/vnd.openxmlformats-officedocument.oleObject"/>
  <Override PartName="/xl/comments6.xml" ContentType="application/vnd.openxmlformats-officedocument.spreadsheetml.comments+xml"/>
  <Override PartName="/xl/threadedComments/threadedComment1.xml" ContentType="application/vnd.ms-excel.threadedcomments+xml"/>
  <Override PartName="/xl/customProperty39.bin" ContentType="application/vnd.openxmlformats-officedocument.spreadsheetml.customProperty"/>
  <Override PartName="/xl/drawings/drawing12.xml" ContentType="application/vnd.openxmlformats-officedocument.drawing+xml"/>
  <Override PartName="/xl/embeddings/oleObject16.bin" ContentType="application/vnd.openxmlformats-officedocument.oleObject"/>
  <Override PartName="/xl/customProperty40.bin" ContentType="application/vnd.openxmlformats-officedocument.spreadsheetml.customProperty"/>
  <Override PartName="/xl/drawings/drawing13.xml" ContentType="application/vnd.openxmlformats-officedocument.drawing+xml"/>
  <Override PartName="/xl/embeddings/oleObject17.bin" ContentType="application/vnd.openxmlformats-officedocument.oleObject"/>
  <Override PartName="/xl/customProperty41.bin" ContentType="application/vnd.openxmlformats-officedocument.spreadsheetml.customProperty"/>
  <Override PartName="/xl/drawings/drawing14.xml" ContentType="application/vnd.openxmlformats-officedocument.drawing+xml"/>
  <Override PartName="/xl/embeddings/oleObject18.bin" ContentType="application/vnd.openxmlformats-officedocument.oleObject"/>
  <Override PartName="/xl/customProperty42.bin" ContentType="application/vnd.openxmlformats-officedocument.spreadsheetml.customProperty"/>
  <Override PartName="/xl/drawings/drawing15.xml" ContentType="application/vnd.openxmlformats-officedocument.drawing+xml"/>
  <Override PartName="/xl/embeddings/oleObject19.bin" ContentType="application/vnd.openxmlformats-officedocument.oleObject"/>
  <Override PartName="/xl/customProperty43.bin" ContentType="application/vnd.openxmlformats-officedocument.spreadsheetml.customProperty"/>
  <Override PartName="/xl/drawings/drawing16.xml" ContentType="application/vnd.openxmlformats-officedocument.drawing+xml"/>
  <Override PartName="/xl/embeddings/oleObject20.bin" ContentType="application/vnd.openxmlformats-officedocument.oleObject"/>
  <Override PartName="/xl/customProperty44.bin" ContentType="application/vnd.openxmlformats-officedocument.spreadsheetml.customProperty"/>
  <Override PartName="/xl/comments7.xml" ContentType="application/vnd.openxmlformats-officedocument.spreadsheetml.comments+xml"/>
  <Override PartName="/xl/customProperty45.bin" ContentType="application/vnd.openxmlformats-officedocument.spreadsheetml.customProperty"/>
  <Override PartName="/xl/customProperty46.bin" ContentType="application/vnd.openxmlformats-officedocument.spreadsheetml.customProperty"/>
  <Override PartName="/xl/customProperty47.bin" ContentType="application/vnd.openxmlformats-officedocument.spreadsheetml.customProperty"/>
  <Override PartName="/xl/customProperty48.bin" ContentType="application/vnd.openxmlformats-officedocument.spreadsheetml.customProperty"/>
  <Override PartName="/xl/customProperty49.bin" ContentType="application/vnd.openxmlformats-officedocument.spreadsheetml.customProperty"/>
  <Override PartName="/xl/customProperty50.bin" ContentType="application/vnd.openxmlformats-officedocument.spreadsheetml.customProperty"/>
  <Override PartName="/xl/customProperty51.bin" ContentType="application/vnd.openxmlformats-officedocument.spreadsheetml.customProperty"/>
  <Override PartName="/xl/customProperty52.bin" ContentType="application/vnd.openxmlformats-officedocument.spreadsheetml.customProperty"/>
  <Override PartName="/xl/customProperty53.bin" ContentType="application/vnd.openxmlformats-officedocument.spreadsheetml.customProperty"/>
  <Override PartName="/xl/customProperty54.bin" ContentType="application/vnd.openxmlformats-officedocument.spreadsheetml.customProperty"/>
  <Override PartName="/xl/customProperty55.bin" ContentType="application/vnd.openxmlformats-officedocument.spreadsheetml.customProperty"/>
  <Override PartName="/xl/customProperty56.bin" ContentType="application/vnd.openxmlformats-officedocument.spreadsheetml.customProperty"/>
  <Override PartName="/xl/drawings/drawing17.xml" ContentType="application/vnd.openxmlformats-officedocument.drawing+xml"/>
  <Override PartName="/xl/customProperty57.bin" ContentType="application/vnd.openxmlformats-officedocument.spreadsheetml.customProperty"/>
  <Override PartName="/xl/customProperty58.bin" ContentType="application/vnd.openxmlformats-officedocument.spreadsheetml.customProperty"/>
  <Override PartName="/xl/customProperty59.bin" ContentType="application/vnd.openxmlformats-officedocument.spreadsheetml.customProperty"/>
  <Override PartName="/xl/customProperty60.bin" ContentType="application/vnd.openxmlformats-officedocument.spreadsheetml.customProperty"/>
  <Override PartName="/xl/customProperty61.bin" ContentType="application/vnd.openxmlformats-officedocument.spreadsheetml.customProperty"/>
  <Override PartName="/xl/customProperty62.bin" ContentType="application/vnd.openxmlformats-officedocument.spreadsheetml.customProperty"/>
  <Override PartName="/xl/customProperty63.bin" ContentType="application/vnd.openxmlformats-officedocument.spreadsheetml.customProperty"/>
  <Override PartName="/xl/customProperty64.bin" ContentType="application/vnd.openxmlformats-officedocument.spreadsheetml.customProperty"/>
  <Override PartName="/xl/customProperty65.bin" ContentType="application/vnd.openxmlformats-officedocument.spreadsheetml.customProperty"/>
  <Override PartName="/xl/customProperty66.bin" ContentType="application/vnd.openxmlformats-officedocument.spreadsheetml.customProperty"/>
  <Override PartName="/xl/customProperty67.bin" ContentType="application/vnd.openxmlformats-officedocument.spreadsheetml.customProperty"/>
  <Override PartName="/xl/customProperty68.bin" ContentType="application/vnd.openxmlformats-officedocument.spreadsheetml.customProperty"/>
  <Override PartName="/xl/customProperty69.bin" ContentType="application/vnd.openxmlformats-officedocument.spreadsheetml.customProperty"/>
  <Override PartName="/xl/customProperty70.bin" ContentType="application/vnd.openxmlformats-officedocument.spreadsheetml.customProperty"/>
  <Override PartName="/xl/customProperty71.bin" ContentType="application/vnd.openxmlformats-officedocument.spreadsheetml.customProperty"/>
  <Override PartName="/xl/customProperty72.bin" ContentType="application/vnd.openxmlformats-officedocument.spreadsheetml.customProperty"/>
  <Override PartName="/xl/customProperty73.bin" ContentType="application/vnd.openxmlformats-officedocument.spreadsheetml.customProperty"/>
  <Override PartName="/xl/customProperty74.bin" ContentType="application/vnd.openxmlformats-officedocument.spreadsheetml.customProperty"/>
  <Override PartName="/xl/customProperty75.bin" ContentType="application/vnd.openxmlformats-officedocument.spreadsheetml.customProperty"/>
  <Override PartName="/xl/customProperty76.bin" ContentType="application/vnd.openxmlformats-officedocument.spreadsheetml.customProperty"/>
  <Override PartName="/xl/customProperty77.bin" ContentType="application/vnd.openxmlformats-officedocument.spreadsheetml.customProperty"/>
  <Override PartName="/xl/customProperty78.bin" ContentType="application/vnd.openxmlformats-officedocument.spreadsheetml.customProperty"/>
  <Override PartName="/xl/customProperty79.bin" ContentType="application/vnd.openxmlformats-officedocument.spreadsheetml.customProperty"/>
  <Override PartName="/xl/customProperty80.bin" ContentType="application/vnd.openxmlformats-officedocument.spreadsheetml.customProperty"/>
  <Override PartName="/xl/customProperty81.bin" ContentType="application/vnd.openxmlformats-officedocument.spreadsheetml.customProperty"/>
  <Override PartName="/xl/customProperty82.bin" ContentType="application/vnd.openxmlformats-officedocument.spreadsheetml.customProperty"/>
  <Override PartName="/xl/customProperty83.bin" ContentType="application/vnd.openxmlformats-officedocument.spreadsheetml.customProperty"/>
  <Override PartName="/xl/customProperty84.bin" ContentType="application/vnd.openxmlformats-officedocument.spreadsheetml.customProperty"/>
  <Override PartName="/xl/customProperty85.bin" ContentType="application/vnd.openxmlformats-officedocument.spreadsheetml.customProperty"/>
  <Override PartName="/xl/customProperty86.bin" ContentType="application/vnd.openxmlformats-officedocument.spreadsheetml.customProperty"/>
  <Override PartName="/xl/customProperty87.bin" ContentType="application/vnd.openxmlformats-officedocument.spreadsheetml.customProperty"/>
  <Override PartName="/xl/customProperty88.bin" ContentType="application/vnd.openxmlformats-officedocument.spreadsheetml.customProperty"/>
  <Override PartName="/xl/customProperty89.bin" ContentType="application/vnd.openxmlformats-officedocument.spreadsheetml.customProperty"/>
  <Override PartName="/xl/customProperty90.bin" ContentType="application/vnd.openxmlformats-officedocument.spreadsheetml.customProperty"/>
  <Override PartName="/xl/customProperty91.bin" ContentType="application/vnd.openxmlformats-officedocument.spreadsheetml.customProperty"/>
  <Override PartName="/xl/customProperty92.bin" ContentType="application/vnd.openxmlformats-officedocument.spreadsheetml.customProperty"/>
  <Override PartName="/xl/customProperty93.bin" ContentType="application/vnd.openxmlformats-officedocument.spreadsheetml.customProperty"/>
  <Override PartName="/xl/customProperty94.bin" ContentType="application/vnd.openxmlformats-officedocument.spreadsheetml.customProperty"/>
  <Override PartName="/xl/customProperty95.bin" ContentType="application/vnd.openxmlformats-officedocument.spreadsheetml.customProperty"/>
  <Override PartName="/xl/customProperty96.bin" ContentType="application/vnd.openxmlformats-officedocument.spreadsheetml.customProperty"/>
  <Override PartName="/xl/customProperty97.bin" ContentType="application/vnd.openxmlformats-officedocument.spreadsheetml.customProperty"/>
  <Override PartName="/xl/customProperty98.bin" ContentType="application/vnd.openxmlformats-officedocument.spreadsheetml.customProperty"/>
  <Override PartName="/xl/customProperty99.bin" ContentType="application/vnd.openxmlformats-officedocument.spreadsheetml.customProperty"/>
  <Override PartName="/xl/customProperty100.bin" ContentType="application/vnd.openxmlformats-officedocument.spreadsheetml.customProperty"/>
  <Override PartName="/xl/customProperty101.bin" ContentType="application/vnd.openxmlformats-officedocument.spreadsheetml.customProperty"/>
  <Override PartName="/xl/customProperty102.bin" ContentType="application/vnd.openxmlformats-officedocument.spreadsheetml.customProperty"/>
  <Override PartName="/xl/customProperty103.bin" ContentType="application/vnd.openxmlformats-officedocument.spreadsheetml.customProperty"/>
  <Override PartName="/xl/customProperty104.bin" ContentType="application/vnd.openxmlformats-officedocument.spreadsheetml.customProperty"/>
  <Override PartName="/xl/customProperty105.bin" ContentType="application/vnd.openxmlformats-officedocument.spreadsheetml.customProperty"/>
  <Override PartName="/xl/customProperty106.bin" ContentType="application/vnd.openxmlformats-officedocument.spreadsheetml.customProperty"/>
  <Override PartName="/xl/customProperty107.bin" ContentType="application/vnd.openxmlformats-officedocument.spreadsheetml.customProperty"/>
  <Override PartName="/xl/customProperty108.bin" ContentType="application/vnd.openxmlformats-officedocument.spreadsheetml.customProperty"/>
  <Override PartName="/xl/customProperty109.bin" ContentType="application/vnd.openxmlformats-officedocument.spreadsheetml.customProperty"/>
  <Override PartName="/xl/customProperty110.bin" ContentType="application/vnd.openxmlformats-officedocument.spreadsheetml.customProperty"/>
  <Override PartName="/xl/customProperty111.bin" ContentType="application/vnd.openxmlformats-officedocument.spreadsheetml.customProperty"/>
  <Override PartName="/xl/customProperty112.bin" ContentType="application/vnd.openxmlformats-officedocument.spreadsheetml.customProperty"/>
  <Override PartName="/xl/customProperty113.bin" ContentType="application/vnd.openxmlformats-officedocument.spreadsheetml.customProperty"/>
  <Override PartName="/xl/customProperty114.bin" ContentType="application/vnd.openxmlformats-officedocument.spreadsheetml.customProperty"/>
  <Override PartName="/xl/customProperty115.bin" ContentType="application/vnd.openxmlformats-officedocument.spreadsheetml.customProperty"/>
  <Override PartName="/xl/customProperty116.bin" ContentType="application/vnd.openxmlformats-officedocument.spreadsheetml.customProperty"/>
  <Override PartName="/xl/customProperty117.bin" ContentType="application/vnd.openxmlformats-officedocument.spreadsheetml.customProperty"/>
  <Override PartName="/xl/customProperty118.bin" ContentType="application/vnd.openxmlformats-officedocument.spreadsheetml.customProperty"/>
  <Override PartName="/xl/customProperty119.bin" ContentType="application/vnd.openxmlformats-officedocument.spreadsheetml.customProperty"/>
  <Override PartName="/xl/customProperty120.bin" ContentType="application/vnd.openxmlformats-officedocument.spreadsheetml.customProperty"/>
  <Override PartName="/xl/customProperty121.bin" ContentType="application/vnd.openxmlformats-officedocument.spreadsheetml.customProperty"/>
  <Override PartName="/xl/customProperty122.bin" ContentType="application/vnd.openxmlformats-officedocument.spreadsheetml.customProperty"/>
  <Override PartName="/xl/customProperty123.bin" ContentType="application/vnd.openxmlformats-officedocument.spreadsheetml.customProperty"/>
  <Override PartName="/xl/customProperty124.bin" ContentType="application/vnd.openxmlformats-officedocument.spreadsheetml.customProperty"/>
  <Override PartName="/xl/customProperty125.bin" ContentType="application/vnd.openxmlformats-officedocument.spreadsheetml.customProperty"/>
  <Override PartName="/xl/customProperty126.bin" ContentType="application/vnd.openxmlformats-officedocument.spreadsheetml.customProperty"/>
  <Override PartName="/xl/customProperty127.bin" ContentType="application/vnd.openxmlformats-officedocument.spreadsheetml.customProperty"/>
  <Override PartName="/xl/customProperty128.bin" ContentType="application/vnd.openxmlformats-officedocument.spreadsheetml.customProperty"/>
  <Override PartName="/xl/customProperty129.bin" ContentType="application/vnd.openxmlformats-officedocument.spreadsheetml.customProperty"/>
  <Override PartName="/xl/customProperty130.bin" ContentType="application/vnd.openxmlformats-officedocument.spreadsheetml.customProperty"/>
  <Override PartName="/xl/customProperty131.bin" ContentType="application/vnd.openxmlformats-officedocument.spreadsheetml.customProperty"/>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codeName="ThisWorkbook" defaultThemeVersion="124226"/>
  <mc:AlternateContent xmlns:mc="http://schemas.openxmlformats.org/markup-compatibility/2006">
    <mc:Choice Requires="x15">
      <x15ac:absPath xmlns:x15ac="http://schemas.microsoft.com/office/spreadsheetml/2010/11/ac" url="Y:\ASC Forecast Modeling\Scenario Analysis\2025.10 565 Tx Only 925 In\AP1\w565 and 925 in redaction\"/>
    </mc:Choice>
  </mc:AlternateContent>
  <xr:revisionPtr revIDLastSave="0" documentId="13_ncr:1_{74015C11-88B8-46BA-94ED-6ED589EBBBE8}" xr6:coauthVersionLast="47" xr6:coauthVersionMax="47" xr10:uidLastSave="{00000000-0000-0000-0000-000000000000}"/>
  <workbookProtection workbookAlgorithmName="SHA-512" workbookHashValue="t+kwhbwsfLs7qdB1TQSmt08PAhLTy5qqBGwx6oUeKAPA4z8WnNKYnG43PK+g3oL0EPsSldCGvjenCWfmH8zvlQ==" workbookSaltValue="bzmwl027vbFv14SAnpTjrw==" workbookSpinCount="100000" lockStructure="1"/>
  <bookViews>
    <workbookView xWindow="-120" yWindow="-120" windowWidth="25440" windowHeight="15270" tabRatio="817" firstSheet="1" activeTab="2" xr2:uid="{00000000-000D-0000-FFFF-FFFF00000000}"/>
  </bookViews>
  <sheets>
    <sheet name="Revisions_2026-28" sheetId="89" state="hidden" r:id="rId1"/>
    <sheet name="TOC" sheetId="81" r:id="rId2"/>
    <sheet name="Sch 1- Rate Base " sheetId="13" r:id="rId3"/>
    <sheet name="Sch 1A - Cash Working Capital" sheetId="32" r:id="rId4"/>
    <sheet name="Sch 2 -Rate of Return" sheetId="36" r:id="rId5"/>
    <sheet name="Sch 3 - Expenses" sheetId="26" r:id="rId6"/>
    <sheet name="Sch 3A - Taxes" sheetId="31" r:id="rId7"/>
    <sheet name="Sch 3B - Other Items" sheetId="27" r:id="rId8"/>
    <sheet name="Sch 4 - Average System Cost" sheetId="7" r:id="rId9"/>
    <sheet name="3-YEAR PP &amp; OSS Worksheet" sheetId="37" r:id="rId10"/>
    <sheet name="Load Forecast" sheetId="69" r:id="rId11"/>
    <sheet name="Distribution Loss Calc" sheetId="68" r:id="rId12"/>
    <sheet name="Salaries" sheetId="33" r:id="rId13"/>
    <sheet name="Ratios" sheetId="35" r:id="rId14"/>
    <sheet name="A-RHWM_Ratios" sheetId="82" r:id="rId15"/>
    <sheet name="New Resources - Individual" sheetId="76" r:id="rId16"/>
    <sheet name="New Resources - Group" sheetId="70" r:id="rId17"/>
    <sheet name="Materiality - Individual" sheetId="79" r:id="rId18"/>
    <sheet name="Materiality -  Group" sheetId="80" r:id="rId19"/>
    <sheet name="Wind_Resources_Costs" sheetId="84" r:id="rId20"/>
    <sheet name="NLSL_Base_New-Calc" sheetId="77" r:id="rId21"/>
    <sheet name="Above-RHWM_Base_Calc" sheetId="83" state="hidden" r:id="rId22"/>
    <sheet name="Tiered Rates" sheetId="78" state="hidden" r:id="rId23"/>
    <sheet name="PAC WORK TABS&gt;&gt;" sheetId="199" state="hidden" r:id="rId24"/>
    <sheet name="Sch 1- Rate Base  (OR)" sheetId="203" state="hidden" r:id="rId25"/>
    <sheet name="Sch 1- Rate Base  (WA)" sheetId="206" state="hidden" r:id="rId26"/>
    <sheet name="Sch 1- Rate Base  (ID)" sheetId="207" state="hidden" r:id="rId27"/>
    <sheet name="RATE BASE DATA" sheetId="196" state="hidden" r:id="rId28"/>
    <sheet name="Base Expense Data" sheetId="197" state="hidden" r:id="rId29"/>
    <sheet name="B TABS DATA -&gt;" sheetId="198" state="hidden" r:id="rId30"/>
    <sheet name="B1-Electric Ops Rvn" sheetId="91" state="hidden" r:id="rId31"/>
    <sheet name="B2-O&amp;M" sheetId="92" state="hidden" r:id="rId32"/>
    <sheet name="B3-Depreciation Exp" sheetId="93" state="hidden" r:id="rId33"/>
    <sheet name="B4-Amortization Exp" sheetId="94" state="hidden" r:id="rId34"/>
    <sheet name="B5-Taxes Other Than Income" sheetId="95" state="hidden" r:id="rId35"/>
    <sheet name="B8-EPIS" sheetId="96" state="hidden" r:id="rId36"/>
    <sheet name="B10-PHFU" sheetId="97" state="hidden" r:id="rId37"/>
    <sheet name="B11-Misc Def Debt" sheetId="98" state="hidden" r:id="rId38"/>
    <sheet name="B13-Materials &amp; Supplies" sheetId="99" state="hidden" r:id="rId39"/>
    <sheet name="B15-Misc Rate Base" sheetId="100" state="hidden" r:id="rId40"/>
    <sheet name="B16-Reg Assets" sheetId="101" state="hidden" r:id="rId41"/>
    <sheet name="B17-Depr Res" sheetId="102" state="hidden" r:id="rId42"/>
    <sheet name="B18-Amort Res" sheetId="103" state="hidden" r:id="rId43"/>
    <sheet name="B19-ITC Balance" sheetId="104" state="hidden" r:id="rId44"/>
    <sheet name="B19-DIT Balance" sheetId="105" state="hidden" r:id="rId45"/>
    <sheet name="B20-Customer Adv" sheetId="106" state="hidden" r:id="rId46"/>
    <sheet name="PPC Charge" sheetId="107" state="hidden" r:id="rId47"/>
    <sheet name="Bridger" sheetId="108" state="hidden" r:id="rId48"/>
    <sheet name="Trapper" sheetId="109" state="hidden" r:id="rId49"/>
    <sheet name="FF1 DATA -&gt;" sheetId="110" state="hidden" r:id="rId50"/>
    <sheet name="Pg 110 - Balance Sheet (Assets)" sheetId="111" state="hidden" r:id="rId51"/>
    <sheet name="Pg 112 - Balance Sheet (Liab &amp; " sheetId="112" state="hidden" r:id="rId52"/>
    <sheet name="Pg 114 - Income Statement" sheetId="113" state="hidden" r:id="rId53"/>
    <sheet name="421 - Misc Income_2023" sheetId="186" state="hidden" r:id="rId54"/>
    <sheet name="407.3 - Reg Debits_2023" sheetId="187" state="hidden" r:id="rId55"/>
    <sheet name="Pg 118 - Retained Earnings" sheetId="114" state="hidden" r:id="rId56"/>
    <sheet name="Pg 120 - Statement of Cash Flow" sheetId="115" state="hidden" r:id="rId57"/>
    <sheet name="Pg 122ab - Statement of AOCI" sheetId="116" state="hidden" r:id="rId58"/>
    <sheet name="Pg 200 - Utility Plant" sheetId="117" state="hidden" r:id="rId59"/>
    <sheet name="Pg 204 - Plant in Service (Form" sheetId="118" state="hidden" r:id="rId60"/>
    <sheet name="Pg 214 - Electric Plant Held fo" sheetId="119" state="hidden" r:id="rId61"/>
    <sheet name="Pg 216 - Construction Work in P" sheetId="120" state="hidden" r:id="rId62"/>
    <sheet name="Pg 219 - Accumulated Provision " sheetId="121" state="hidden" r:id="rId63"/>
    <sheet name="Pg 224 - Investments in Subsidi" sheetId="122" state="hidden" r:id="rId64"/>
    <sheet name="Pg 227 - Materials and Supplies" sheetId="123" state="hidden" r:id="rId65"/>
    <sheet name="Pg 228a  - Allowances SO2" sheetId="124" state="hidden" r:id="rId66"/>
    <sheet name="Pg 231 - Interconnection Study " sheetId="125" state="hidden" r:id="rId67"/>
    <sheet name="Pg 232 Regulatory Assets" sheetId="126" state="hidden" r:id="rId68"/>
    <sheet name="Pg 278 Regulatory Liabilities" sheetId="127" state="hidden" r:id="rId69"/>
    <sheet name="Pg 233 - Miscellaneous Deferred" sheetId="128" state="hidden" r:id="rId70"/>
    <sheet name="Pg 234 - Accumulated Deferred I" sheetId="130" state="hidden" r:id="rId71"/>
    <sheet name="Pg 250 - Capital Stocks" sheetId="131" state="hidden" r:id="rId72"/>
    <sheet name="Pg 253 - Other Paid-In Capital" sheetId="132" state="hidden" r:id="rId73"/>
    <sheet name="Pg 254b - Capital Stock Expense" sheetId="133" state="hidden" r:id="rId74"/>
    <sheet name="Pg 256 - Long-Term Debt" sheetId="134" state="hidden" r:id="rId75"/>
    <sheet name="Pg 261 - Recon of Net Income wi" sheetId="135" state="hidden" r:id="rId76"/>
    <sheet name="Pg 262 - Taxes Accrued Prepaid " sheetId="136" state="hidden" r:id="rId77"/>
    <sheet name="Pg 266 - Accumulated Deferred I" sheetId="137" state="hidden" r:id="rId78"/>
    <sheet name="Pg 269 - Other Deferred Credits" sheetId="129" state="hidden" r:id="rId79"/>
    <sheet name="Pg 272 - ADIT - Accelerated Amo" sheetId="138" state="hidden" r:id="rId80"/>
    <sheet name="Pg 274 - ADIT - Other Property" sheetId="139" state="hidden" r:id="rId81"/>
    <sheet name="Pg 276 - ADIT - Other" sheetId="140" state="hidden" r:id="rId82"/>
    <sheet name="Pg 300 - Electric Operating Rev" sheetId="141" state="hidden" r:id="rId83"/>
    <sheet name="pg 304 Summary" sheetId="188" state="hidden" r:id="rId84"/>
    <sheet name="Pg 304 - Sales of Electricity b" sheetId="142" state="hidden" r:id="rId85"/>
    <sheet name="Pg 304 - Sales of Electricity -" sheetId="143" state="hidden" r:id="rId86"/>
    <sheet name="Pg 304 - Sales of Electricit(1)" sheetId="144" state="hidden" r:id="rId87"/>
    <sheet name="Pg 304 - Sales of Electricit(2)" sheetId="145" state="hidden" r:id="rId88"/>
    <sheet name="Pg 310 - Sales for Resale (23)" sheetId="146" state="hidden" r:id="rId89"/>
    <sheet name="Pg 310 - Sales for Resale (22)" sheetId="189" state="hidden" r:id="rId90"/>
    <sheet name="Pg 310 - Sales for Resale (21)" sheetId="190" state="hidden" r:id="rId91"/>
    <sheet name="Pgs 320-323 - O&amp;M Expenses (For" sheetId="147" state="hidden" r:id="rId92"/>
    <sheet name="Pg 326 - Purchased Power (23)" sheetId="148" state="hidden" r:id="rId93"/>
    <sheet name="Pg 326 - Purchased Power (22)" sheetId="191" state="hidden" r:id="rId94"/>
    <sheet name="Pg 326 - Purchased Power (21)" sheetId="192" state="hidden" r:id="rId95"/>
    <sheet name="Pg 328 - Transmission Revenue" sheetId="149" state="hidden" r:id="rId96"/>
    <sheet name="Pg 332 - Transmission Expense" sheetId="150" state="hidden" r:id="rId97"/>
    <sheet name="Pg 335 - Miscellaneous General " sheetId="151" state="hidden" r:id="rId98"/>
    <sheet name="Pg 336 - Depreciation and Amort" sheetId="152" state="hidden" r:id="rId99"/>
    <sheet name="Pg 337 - Depreciation and Amort" sheetId="153" state="hidden" r:id="rId100"/>
    <sheet name="Pg 350 - Regulatory Commission " sheetId="154" state="hidden" r:id="rId101"/>
    <sheet name="Pg 352 - Research Development a" sheetId="155" state="hidden" r:id="rId102"/>
    <sheet name="Pg 354 - Distribution of Salari" sheetId="156" state="hidden" r:id="rId103"/>
    <sheet name="Pg 397 - Included in ISORTO Set" sheetId="157" state="hidden" r:id="rId104"/>
    <sheet name="Pg 398 - PurchaseSale of Ancill" sheetId="158" state="hidden" r:id="rId105"/>
    <sheet name="Pg 400 - Monthly Transmission S" sheetId="159" state="hidden" r:id="rId106"/>
    <sheet name="Pg 401a - Electric Energy Accou" sheetId="160" state="hidden" r:id="rId107"/>
    <sheet name="Pg 401b - Monthly Peaks and Out" sheetId="161" state="hidden" r:id="rId108"/>
    <sheet name="Pg 402 - Steam Plant Stats - Co" sheetId="162" state="hidden" r:id="rId109"/>
    <sheet name="Pg 402.1 - Steam Plant Stats - " sheetId="163" state="hidden" r:id="rId110"/>
    <sheet name="Pg 402.2 - Steam Plant Stats - " sheetId="164" state="hidden" r:id="rId111"/>
    <sheet name="Pg 402.3 - Steam Plant Stats - " sheetId="165" state="hidden" r:id="rId112"/>
    <sheet name="Pg. 406 - Large Hydro Plant Sta" sheetId="166" state="hidden" r:id="rId113"/>
    <sheet name="Pg. 406.1 - Large Hydro Plant S" sheetId="167" state="hidden" r:id="rId114"/>
    <sheet name="Pg. 406.2 - Large Hydro Plant S" sheetId="168" state="hidden" r:id="rId115"/>
    <sheet name="Pg. 406.3 - Large Hydro Plant S" sheetId="169" state="hidden" r:id="rId116"/>
    <sheet name="Pg 410 - Generating Plant Stati" sheetId="170" state="hidden" r:id="rId117"/>
    <sheet name="Pg. 410 Column f - Cost of Plan" sheetId="171" state="hidden" r:id="rId118"/>
    <sheet name="Pg 422 - Transmission Line Stat" sheetId="172" state="hidden" r:id="rId119"/>
    <sheet name="Pg 422.1 - Transmission Line St" sheetId="173" state="hidden" r:id="rId120"/>
    <sheet name="Pg 422.2 - Transmission Line St" sheetId="174" state="hidden" r:id="rId121"/>
    <sheet name="Pg 422.3 - Transmission Line St" sheetId="175" state="hidden" r:id="rId122"/>
    <sheet name="Pg 422.4 - Transmission Line St" sheetId="176" state="hidden" r:id="rId123"/>
    <sheet name="Pg 424 - Transmission Lines Add" sheetId="177" state="hidden" r:id="rId124"/>
    <sheet name="Pg 426 - Substations - CA" sheetId="178" state="hidden" r:id="rId125"/>
    <sheet name="Pg 426 - Substations - ID" sheetId="179" state="hidden" r:id="rId126"/>
    <sheet name="Pg 426 - Substations - MT" sheetId="180" state="hidden" r:id="rId127"/>
    <sheet name="Pg 426 - Substations - OR" sheetId="181" state="hidden" r:id="rId128"/>
    <sheet name="Pg 426 - Substations - UT" sheetId="182" state="hidden" r:id="rId129"/>
    <sheet name="Pg 426 - Substations - WA" sheetId="183" state="hidden" r:id="rId130"/>
    <sheet name="Pg 426 - Substations - WY" sheetId="184" state="hidden" r:id="rId131"/>
    <sheet name="Pg 429 - Transactions with Asso" sheetId="185" state="hidden" r:id="rId132"/>
    <sheet name="ForecastImport" sheetId="85" state="hidden" r:id="rId133"/>
    <sheet name="DataImport" sheetId="90" state="hidden" r:id="rId134"/>
  </sheets>
  <externalReferences>
    <externalReference r:id="rId135"/>
  </externalReferences>
  <definedNames>
    <definedName name="________________________OM1" localSheetId="54" hidden="1">{#N/A,#N/A,FALSE,"Summary";#N/A,#N/A,FALSE,"SmPlants";#N/A,#N/A,FALSE,"Utah";#N/A,#N/A,FALSE,"Idaho";#N/A,#N/A,FALSE,"Lewis River";#N/A,#N/A,FALSE,"NrthUmpq";#N/A,#N/A,FALSE,"KlamRog"}</definedName>
    <definedName name="________________________OM1" localSheetId="53" hidden="1">{#N/A,#N/A,FALSE,"Summary";#N/A,#N/A,FALSE,"SmPlants";#N/A,#N/A,FALSE,"Utah";#N/A,#N/A,FALSE,"Idaho";#N/A,#N/A,FALSE,"Lewis River";#N/A,#N/A,FALSE,"NrthUmpq";#N/A,#N/A,FALSE,"KlamRog"}</definedName>
    <definedName name="________________________OM1" localSheetId="29" hidden="1">{#N/A,#N/A,FALSE,"Summary";#N/A,#N/A,FALSE,"SmPlants";#N/A,#N/A,FALSE,"Utah";#N/A,#N/A,FALSE,"Idaho";#N/A,#N/A,FALSE,"Lewis River";#N/A,#N/A,FALSE,"NrthUmpq";#N/A,#N/A,FALSE,"KlamRog"}</definedName>
    <definedName name="________________________OM1" localSheetId="28" hidden="1">{#N/A,#N/A,FALSE,"Summary";#N/A,#N/A,FALSE,"SmPlants";#N/A,#N/A,FALSE,"Utah";#N/A,#N/A,FALSE,"Idaho";#N/A,#N/A,FALSE,"Lewis River";#N/A,#N/A,FALSE,"NrthUmpq";#N/A,#N/A,FALSE,"KlamRog"}</definedName>
    <definedName name="________________________OM1" localSheetId="49" hidden="1">{#N/A,#N/A,FALSE,"Summary";#N/A,#N/A,FALSE,"SmPlants";#N/A,#N/A,FALSE,"Utah";#N/A,#N/A,FALSE,"Idaho";#N/A,#N/A,FALSE,"Lewis River";#N/A,#N/A,FALSE,"NrthUmpq";#N/A,#N/A,FALSE,"KlamRog"}</definedName>
    <definedName name="________________________OM1" localSheetId="23" hidden="1">{#N/A,#N/A,FALSE,"Summary";#N/A,#N/A,FALSE,"SmPlants";#N/A,#N/A,FALSE,"Utah";#N/A,#N/A,FALSE,"Idaho";#N/A,#N/A,FALSE,"Lewis River";#N/A,#N/A,FALSE,"NrthUmpq";#N/A,#N/A,FALSE,"KlamRog"}</definedName>
    <definedName name="________________________OM1" localSheetId="83" hidden="1">{#N/A,#N/A,FALSE,"Summary";#N/A,#N/A,FALSE,"SmPlants";#N/A,#N/A,FALSE,"Utah";#N/A,#N/A,FALSE,"Idaho";#N/A,#N/A,FALSE,"Lewis River";#N/A,#N/A,FALSE,"NrthUmpq";#N/A,#N/A,FALSE,"KlamRog"}</definedName>
    <definedName name="________________________OM1" localSheetId="27" hidden="1">{#N/A,#N/A,FALSE,"Summary";#N/A,#N/A,FALSE,"SmPlants";#N/A,#N/A,FALSE,"Utah";#N/A,#N/A,FALSE,"Idaho";#N/A,#N/A,FALSE,"Lewis River";#N/A,#N/A,FALSE,"NrthUmpq";#N/A,#N/A,FALSE,"KlamRog"}</definedName>
    <definedName name="________________________OM1" localSheetId="48" hidden="1">{#N/A,#N/A,FALSE,"Summary";#N/A,#N/A,FALSE,"SmPlants";#N/A,#N/A,FALSE,"Utah";#N/A,#N/A,FALSE,"Idaho";#N/A,#N/A,FALSE,"Lewis River";#N/A,#N/A,FALSE,"NrthUmpq";#N/A,#N/A,FALSE,"KlamRog"}</definedName>
    <definedName name="________________________OM1" hidden="1">{#N/A,#N/A,FALSE,"Summary";#N/A,#N/A,FALSE,"SmPlants";#N/A,#N/A,FALSE,"Utah";#N/A,#N/A,FALSE,"Idaho";#N/A,#N/A,FALSE,"Lewis River";#N/A,#N/A,FALSE,"NrthUmpq";#N/A,#N/A,FALSE,"KlamRog"}</definedName>
    <definedName name="______________________OM1" localSheetId="54" hidden="1">{#N/A,#N/A,FALSE,"Summary";#N/A,#N/A,FALSE,"SmPlants";#N/A,#N/A,FALSE,"Utah";#N/A,#N/A,FALSE,"Idaho";#N/A,#N/A,FALSE,"Lewis River";#N/A,#N/A,FALSE,"NrthUmpq";#N/A,#N/A,FALSE,"KlamRog"}</definedName>
    <definedName name="______________________OM1" localSheetId="53" hidden="1">{#N/A,#N/A,FALSE,"Summary";#N/A,#N/A,FALSE,"SmPlants";#N/A,#N/A,FALSE,"Utah";#N/A,#N/A,FALSE,"Idaho";#N/A,#N/A,FALSE,"Lewis River";#N/A,#N/A,FALSE,"NrthUmpq";#N/A,#N/A,FALSE,"KlamRog"}</definedName>
    <definedName name="______________________OM1" localSheetId="29" hidden="1">{#N/A,#N/A,FALSE,"Summary";#N/A,#N/A,FALSE,"SmPlants";#N/A,#N/A,FALSE,"Utah";#N/A,#N/A,FALSE,"Idaho";#N/A,#N/A,FALSE,"Lewis River";#N/A,#N/A,FALSE,"NrthUmpq";#N/A,#N/A,FALSE,"KlamRog"}</definedName>
    <definedName name="______________________OM1" localSheetId="28" hidden="1">{#N/A,#N/A,FALSE,"Summary";#N/A,#N/A,FALSE,"SmPlants";#N/A,#N/A,FALSE,"Utah";#N/A,#N/A,FALSE,"Idaho";#N/A,#N/A,FALSE,"Lewis River";#N/A,#N/A,FALSE,"NrthUmpq";#N/A,#N/A,FALSE,"KlamRog"}</definedName>
    <definedName name="______________________OM1" localSheetId="49" hidden="1">{#N/A,#N/A,FALSE,"Summary";#N/A,#N/A,FALSE,"SmPlants";#N/A,#N/A,FALSE,"Utah";#N/A,#N/A,FALSE,"Idaho";#N/A,#N/A,FALSE,"Lewis River";#N/A,#N/A,FALSE,"NrthUmpq";#N/A,#N/A,FALSE,"KlamRog"}</definedName>
    <definedName name="______________________OM1" localSheetId="23" hidden="1">{#N/A,#N/A,FALSE,"Summary";#N/A,#N/A,FALSE,"SmPlants";#N/A,#N/A,FALSE,"Utah";#N/A,#N/A,FALSE,"Idaho";#N/A,#N/A,FALSE,"Lewis River";#N/A,#N/A,FALSE,"NrthUmpq";#N/A,#N/A,FALSE,"KlamRog"}</definedName>
    <definedName name="______________________OM1" localSheetId="83" hidden="1">{#N/A,#N/A,FALSE,"Summary";#N/A,#N/A,FALSE,"SmPlants";#N/A,#N/A,FALSE,"Utah";#N/A,#N/A,FALSE,"Idaho";#N/A,#N/A,FALSE,"Lewis River";#N/A,#N/A,FALSE,"NrthUmpq";#N/A,#N/A,FALSE,"KlamRog"}</definedName>
    <definedName name="______________________OM1" localSheetId="27" hidden="1">{#N/A,#N/A,FALSE,"Summary";#N/A,#N/A,FALSE,"SmPlants";#N/A,#N/A,FALSE,"Utah";#N/A,#N/A,FALSE,"Idaho";#N/A,#N/A,FALSE,"Lewis River";#N/A,#N/A,FALSE,"NrthUmpq";#N/A,#N/A,FALSE,"KlamRog"}</definedName>
    <definedName name="______________________OM1" localSheetId="48" hidden="1">{#N/A,#N/A,FALSE,"Summary";#N/A,#N/A,FALSE,"SmPlants";#N/A,#N/A,FALSE,"Utah";#N/A,#N/A,FALSE,"Idaho";#N/A,#N/A,FALSE,"Lewis River";#N/A,#N/A,FALSE,"NrthUmpq";#N/A,#N/A,FALSE,"KlamRog"}</definedName>
    <definedName name="______________________OM1" hidden="1">{#N/A,#N/A,FALSE,"Summary";#N/A,#N/A,FALSE,"SmPlants";#N/A,#N/A,FALSE,"Utah";#N/A,#N/A,FALSE,"Idaho";#N/A,#N/A,FALSE,"Lewis River";#N/A,#N/A,FALSE,"NrthUmpq";#N/A,#N/A,FALSE,"KlamRog"}</definedName>
    <definedName name="____________________OM1" localSheetId="54" hidden="1">{#N/A,#N/A,FALSE,"Summary";#N/A,#N/A,FALSE,"SmPlants";#N/A,#N/A,FALSE,"Utah";#N/A,#N/A,FALSE,"Idaho";#N/A,#N/A,FALSE,"Lewis River";#N/A,#N/A,FALSE,"NrthUmpq";#N/A,#N/A,FALSE,"KlamRog"}</definedName>
    <definedName name="____________________OM1" localSheetId="53" hidden="1">{#N/A,#N/A,FALSE,"Summary";#N/A,#N/A,FALSE,"SmPlants";#N/A,#N/A,FALSE,"Utah";#N/A,#N/A,FALSE,"Idaho";#N/A,#N/A,FALSE,"Lewis River";#N/A,#N/A,FALSE,"NrthUmpq";#N/A,#N/A,FALSE,"KlamRog"}</definedName>
    <definedName name="____________________OM1" localSheetId="29" hidden="1">{#N/A,#N/A,FALSE,"Summary";#N/A,#N/A,FALSE,"SmPlants";#N/A,#N/A,FALSE,"Utah";#N/A,#N/A,FALSE,"Idaho";#N/A,#N/A,FALSE,"Lewis River";#N/A,#N/A,FALSE,"NrthUmpq";#N/A,#N/A,FALSE,"KlamRog"}</definedName>
    <definedName name="____________________OM1" localSheetId="28" hidden="1">{#N/A,#N/A,FALSE,"Summary";#N/A,#N/A,FALSE,"SmPlants";#N/A,#N/A,FALSE,"Utah";#N/A,#N/A,FALSE,"Idaho";#N/A,#N/A,FALSE,"Lewis River";#N/A,#N/A,FALSE,"NrthUmpq";#N/A,#N/A,FALSE,"KlamRog"}</definedName>
    <definedName name="____________________OM1" localSheetId="49" hidden="1">{#N/A,#N/A,FALSE,"Summary";#N/A,#N/A,FALSE,"SmPlants";#N/A,#N/A,FALSE,"Utah";#N/A,#N/A,FALSE,"Idaho";#N/A,#N/A,FALSE,"Lewis River";#N/A,#N/A,FALSE,"NrthUmpq";#N/A,#N/A,FALSE,"KlamRog"}</definedName>
    <definedName name="____________________OM1" localSheetId="23" hidden="1">{#N/A,#N/A,FALSE,"Summary";#N/A,#N/A,FALSE,"SmPlants";#N/A,#N/A,FALSE,"Utah";#N/A,#N/A,FALSE,"Idaho";#N/A,#N/A,FALSE,"Lewis River";#N/A,#N/A,FALSE,"NrthUmpq";#N/A,#N/A,FALSE,"KlamRog"}</definedName>
    <definedName name="____________________OM1" localSheetId="83" hidden="1">{#N/A,#N/A,FALSE,"Summary";#N/A,#N/A,FALSE,"SmPlants";#N/A,#N/A,FALSE,"Utah";#N/A,#N/A,FALSE,"Idaho";#N/A,#N/A,FALSE,"Lewis River";#N/A,#N/A,FALSE,"NrthUmpq";#N/A,#N/A,FALSE,"KlamRog"}</definedName>
    <definedName name="____________________OM1" localSheetId="27" hidden="1">{#N/A,#N/A,FALSE,"Summary";#N/A,#N/A,FALSE,"SmPlants";#N/A,#N/A,FALSE,"Utah";#N/A,#N/A,FALSE,"Idaho";#N/A,#N/A,FALSE,"Lewis River";#N/A,#N/A,FALSE,"NrthUmpq";#N/A,#N/A,FALSE,"KlamRog"}</definedName>
    <definedName name="____________________OM1" localSheetId="48" hidden="1">{#N/A,#N/A,FALSE,"Summary";#N/A,#N/A,FALSE,"SmPlants";#N/A,#N/A,FALSE,"Utah";#N/A,#N/A,FALSE,"Idaho";#N/A,#N/A,FALSE,"Lewis River";#N/A,#N/A,FALSE,"NrthUmpq";#N/A,#N/A,FALSE,"KlamRog"}</definedName>
    <definedName name="____________________OM1" hidden="1">{#N/A,#N/A,FALSE,"Summary";#N/A,#N/A,FALSE,"SmPlants";#N/A,#N/A,FALSE,"Utah";#N/A,#N/A,FALSE,"Idaho";#N/A,#N/A,FALSE,"Lewis River";#N/A,#N/A,FALSE,"NrthUmpq";#N/A,#N/A,FALSE,"KlamRog"}</definedName>
    <definedName name="___________________OM1" localSheetId="54" hidden="1">{#N/A,#N/A,FALSE,"Summary";#N/A,#N/A,FALSE,"SmPlants";#N/A,#N/A,FALSE,"Utah";#N/A,#N/A,FALSE,"Idaho";#N/A,#N/A,FALSE,"Lewis River";#N/A,#N/A,FALSE,"NrthUmpq";#N/A,#N/A,FALSE,"KlamRog"}</definedName>
    <definedName name="___________________OM1" localSheetId="53" hidden="1">{#N/A,#N/A,FALSE,"Summary";#N/A,#N/A,FALSE,"SmPlants";#N/A,#N/A,FALSE,"Utah";#N/A,#N/A,FALSE,"Idaho";#N/A,#N/A,FALSE,"Lewis River";#N/A,#N/A,FALSE,"NrthUmpq";#N/A,#N/A,FALSE,"KlamRog"}</definedName>
    <definedName name="___________________OM1" localSheetId="29" hidden="1">{#N/A,#N/A,FALSE,"Summary";#N/A,#N/A,FALSE,"SmPlants";#N/A,#N/A,FALSE,"Utah";#N/A,#N/A,FALSE,"Idaho";#N/A,#N/A,FALSE,"Lewis River";#N/A,#N/A,FALSE,"NrthUmpq";#N/A,#N/A,FALSE,"KlamRog"}</definedName>
    <definedName name="___________________OM1" localSheetId="28" hidden="1">{#N/A,#N/A,FALSE,"Summary";#N/A,#N/A,FALSE,"SmPlants";#N/A,#N/A,FALSE,"Utah";#N/A,#N/A,FALSE,"Idaho";#N/A,#N/A,FALSE,"Lewis River";#N/A,#N/A,FALSE,"NrthUmpq";#N/A,#N/A,FALSE,"KlamRog"}</definedName>
    <definedName name="___________________OM1" localSheetId="49" hidden="1">{#N/A,#N/A,FALSE,"Summary";#N/A,#N/A,FALSE,"SmPlants";#N/A,#N/A,FALSE,"Utah";#N/A,#N/A,FALSE,"Idaho";#N/A,#N/A,FALSE,"Lewis River";#N/A,#N/A,FALSE,"NrthUmpq";#N/A,#N/A,FALSE,"KlamRog"}</definedName>
    <definedName name="___________________OM1" localSheetId="23" hidden="1">{#N/A,#N/A,FALSE,"Summary";#N/A,#N/A,FALSE,"SmPlants";#N/A,#N/A,FALSE,"Utah";#N/A,#N/A,FALSE,"Idaho";#N/A,#N/A,FALSE,"Lewis River";#N/A,#N/A,FALSE,"NrthUmpq";#N/A,#N/A,FALSE,"KlamRog"}</definedName>
    <definedName name="___________________OM1" localSheetId="83" hidden="1">{#N/A,#N/A,FALSE,"Summary";#N/A,#N/A,FALSE,"SmPlants";#N/A,#N/A,FALSE,"Utah";#N/A,#N/A,FALSE,"Idaho";#N/A,#N/A,FALSE,"Lewis River";#N/A,#N/A,FALSE,"NrthUmpq";#N/A,#N/A,FALSE,"KlamRog"}</definedName>
    <definedName name="___________________OM1" localSheetId="27" hidden="1">{#N/A,#N/A,FALSE,"Summary";#N/A,#N/A,FALSE,"SmPlants";#N/A,#N/A,FALSE,"Utah";#N/A,#N/A,FALSE,"Idaho";#N/A,#N/A,FALSE,"Lewis River";#N/A,#N/A,FALSE,"NrthUmpq";#N/A,#N/A,FALSE,"KlamRog"}</definedName>
    <definedName name="___________________OM1" localSheetId="48" hidden="1">{#N/A,#N/A,FALSE,"Summary";#N/A,#N/A,FALSE,"SmPlants";#N/A,#N/A,FALSE,"Utah";#N/A,#N/A,FALSE,"Idaho";#N/A,#N/A,FALSE,"Lewis River";#N/A,#N/A,FALSE,"NrthUmpq";#N/A,#N/A,FALSE,"KlamRog"}</definedName>
    <definedName name="___________________OM1" hidden="1">{#N/A,#N/A,FALSE,"Summary";#N/A,#N/A,FALSE,"SmPlants";#N/A,#N/A,FALSE,"Utah";#N/A,#N/A,FALSE,"Idaho";#N/A,#N/A,FALSE,"Lewis River";#N/A,#N/A,FALSE,"NrthUmpq";#N/A,#N/A,FALSE,"KlamRog"}</definedName>
    <definedName name="_________________OM1" localSheetId="54" hidden="1">{#N/A,#N/A,FALSE,"Summary";#N/A,#N/A,FALSE,"SmPlants";#N/A,#N/A,FALSE,"Utah";#N/A,#N/A,FALSE,"Idaho";#N/A,#N/A,FALSE,"Lewis River";#N/A,#N/A,FALSE,"NrthUmpq";#N/A,#N/A,FALSE,"KlamRog"}</definedName>
    <definedName name="_________________OM1" localSheetId="53" hidden="1">{#N/A,#N/A,FALSE,"Summary";#N/A,#N/A,FALSE,"SmPlants";#N/A,#N/A,FALSE,"Utah";#N/A,#N/A,FALSE,"Idaho";#N/A,#N/A,FALSE,"Lewis River";#N/A,#N/A,FALSE,"NrthUmpq";#N/A,#N/A,FALSE,"KlamRog"}</definedName>
    <definedName name="_________________OM1" localSheetId="29" hidden="1">{#N/A,#N/A,FALSE,"Summary";#N/A,#N/A,FALSE,"SmPlants";#N/A,#N/A,FALSE,"Utah";#N/A,#N/A,FALSE,"Idaho";#N/A,#N/A,FALSE,"Lewis River";#N/A,#N/A,FALSE,"NrthUmpq";#N/A,#N/A,FALSE,"KlamRog"}</definedName>
    <definedName name="_________________OM1" localSheetId="28" hidden="1">{#N/A,#N/A,FALSE,"Summary";#N/A,#N/A,FALSE,"SmPlants";#N/A,#N/A,FALSE,"Utah";#N/A,#N/A,FALSE,"Idaho";#N/A,#N/A,FALSE,"Lewis River";#N/A,#N/A,FALSE,"NrthUmpq";#N/A,#N/A,FALSE,"KlamRog"}</definedName>
    <definedName name="_________________OM1" localSheetId="49" hidden="1">{#N/A,#N/A,FALSE,"Summary";#N/A,#N/A,FALSE,"SmPlants";#N/A,#N/A,FALSE,"Utah";#N/A,#N/A,FALSE,"Idaho";#N/A,#N/A,FALSE,"Lewis River";#N/A,#N/A,FALSE,"NrthUmpq";#N/A,#N/A,FALSE,"KlamRog"}</definedName>
    <definedName name="_________________OM1" localSheetId="23" hidden="1">{#N/A,#N/A,FALSE,"Summary";#N/A,#N/A,FALSE,"SmPlants";#N/A,#N/A,FALSE,"Utah";#N/A,#N/A,FALSE,"Idaho";#N/A,#N/A,FALSE,"Lewis River";#N/A,#N/A,FALSE,"NrthUmpq";#N/A,#N/A,FALSE,"KlamRog"}</definedName>
    <definedName name="_________________OM1" localSheetId="83" hidden="1">{#N/A,#N/A,FALSE,"Summary";#N/A,#N/A,FALSE,"SmPlants";#N/A,#N/A,FALSE,"Utah";#N/A,#N/A,FALSE,"Idaho";#N/A,#N/A,FALSE,"Lewis River";#N/A,#N/A,FALSE,"NrthUmpq";#N/A,#N/A,FALSE,"KlamRog"}</definedName>
    <definedName name="_________________OM1" localSheetId="27" hidden="1">{#N/A,#N/A,FALSE,"Summary";#N/A,#N/A,FALSE,"SmPlants";#N/A,#N/A,FALSE,"Utah";#N/A,#N/A,FALSE,"Idaho";#N/A,#N/A,FALSE,"Lewis River";#N/A,#N/A,FALSE,"NrthUmpq";#N/A,#N/A,FALSE,"KlamRog"}</definedName>
    <definedName name="_________________OM1" localSheetId="48" hidden="1">{#N/A,#N/A,FALSE,"Summary";#N/A,#N/A,FALSE,"SmPlants";#N/A,#N/A,FALSE,"Utah";#N/A,#N/A,FALSE,"Idaho";#N/A,#N/A,FALSE,"Lewis River";#N/A,#N/A,FALSE,"NrthUmpq";#N/A,#N/A,FALSE,"KlamRog"}</definedName>
    <definedName name="_________________OM1" hidden="1">{#N/A,#N/A,FALSE,"Summary";#N/A,#N/A,FALSE,"SmPlants";#N/A,#N/A,FALSE,"Utah";#N/A,#N/A,FALSE,"Idaho";#N/A,#N/A,FALSE,"Lewis River";#N/A,#N/A,FALSE,"NrthUmpq";#N/A,#N/A,FALSE,"KlamRog"}</definedName>
    <definedName name="______________OM1" localSheetId="54" hidden="1">{#N/A,#N/A,FALSE,"Summary";#N/A,#N/A,FALSE,"SmPlants";#N/A,#N/A,FALSE,"Utah";#N/A,#N/A,FALSE,"Idaho";#N/A,#N/A,FALSE,"Lewis River";#N/A,#N/A,FALSE,"NrthUmpq";#N/A,#N/A,FALSE,"KlamRog"}</definedName>
    <definedName name="______________OM1" localSheetId="53" hidden="1">{#N/A,#N/A,FALSE,"Summary";#N/A,#N/A,FALSE,"SmPlants";#N/A,#N/A,FALSE,"Utah";#N/A,#N/A,FALSE,"Idaho";#N/A,#N/A,FALSE,"Lewis River";#N/A,#N/A,FALSE,"NrthUmpq";#N/A,#N/A,FALSE,"KlamRog"}</definedName>
    <definedName name="______________OM1" localSheetId="29" hidden="1">{#N/A,#N/A,FALSE,"Summary";#N/A,#N/A,FALSE,"SmPlants";#N/A,#N/A,FALSE,"Utah";#N/A,#N/A,FALSE,"Idaho";#N/A,#N/A,FALSE,"Lewis River";#N/A,#N/A,FALSE,"NrthUmpq";#N/A,#N/A,FALSE,"KlamRog"}</definedName>
    <definedName name="______________OM1" localSheetId="28" hidden="1">{#N/A,#N/A,FALSE,"Summary";#N/A,#N/A,FALSE,"SmPlants";#N/A,#N/A,FALSE,"Utah";#N/A,#N/A,FALSE,"Idaho";#N/A,#N/A,FALSE,"Lewis River";#N/A,#N/A,FALSE,"NrthUmpq";#N/A,#N/A,FALSE,"KlamRog"}</definedName>
    <definedName name="______________OM1" localSheetId="49" hidden="1">{#N/A,#N/A,FALSE,"Summary";#N/A,#N/A,FALSE,"SmPlants";#N/A,#N/A,FALSE,"Utah";#N/A,#N/A,FALSE,"Idaho";#N/A,#N/A,FALSE,"Lewis River";#N/A,#N/A,FALSE,"NrthUmpq";#N/A,#N/A,FALSE,"KlamRog"}</definedName>
    <definedName name="______________OM1" localSheetId="23" hidden="1">{#N/A,#N/A,FALSE,"Summary";#N/A,#N/A,FALSE,"SmPlants";#N/A,#N/A,FALSE,"Utah";#N/A,#N/A,FALSE,"Idaho";#N/A,#N/A,FALSE,"Lewis River";#N/A,#N/A,FALSE,"NrthUmpq";#N/A,#N/A,FALSE,"KlamRog"}</definedName>
    <definedName name="______________OM1" localSheetId="83" hidden="1">{#N/A,#N/A,FALSE,"Summary";#N/A,#N/A,FALSE,"SmPlants";#N/A,#N/A,FALSE,"Utah";#N/A,#N/A,FALSE,"Idaho";#N/A,#N/A,FALSE,"Lewis River";#N/A,#N/A,FALSE,"NrthUmpq";#N/A,#N/A,FALSE,"KlamRog"}</definedName>
    <definedName name="______________OM1" localSheetId="27" hidden="1">{#N/A,#N/A,FALSE,"Summary";#N/A,#N/A,FALSE,"SmPlants";#N/A,#N/A,FALSE,"Utah";#N/A,#N/A,FALSE,"Idaho";#N/A,#N/A,FALSE,"Lewis River";#N/A,#N/A,FALSE,"NrthUmpq";#N/A,#N/A,FALSE,"KlamRog"}</definedName>
    <definedName name="______________OM1" localSheetId="48" hidden="1">{#N/A,#N/A,FALSE,"Summary";#N/A,#N/A,FALSE,"SmPlants";#N/A,#N/A,FALSE,"Utah";#N/A,#N/A,FALSE,"Idaho";#N/A,#N/A,FALSE,"Lewis River";#N/A,#N/A,FALSE,"NrthUmpq";#N/A,#N/A,FALSE,"KlamRog"}</definedName>
    <definedName name="______________OM1" hidden="1">{#N/A,#N/A,FALSE,"Summary";#N/A,#N/A,FALSE,"SmPlants";#N/A,#N/A,FALSE,"Utah";#N/A,#N/A,FALSE,"Idaho";#N/A,#N/A,FALSE,"Lewis River";#N/A,#N/A,FALSE,"NrthUmpq";#N/A,#N/A,FALSE,"KlamRog"}</definedName>
    <definedName name="____________OM1" localSheetId="54" hidden="1">{#N/A,#N/A,FALSE,"Summary";#N/A,#N/A,FALSE,"SmPlants";#N/A,#N/A,FALSE,"Utah";#N/A,#N/A,FALSE,"Idaho";#N/A,#N/A,FALSE,"Lewis River";#N/A,#N/A,FALSE,"NrthUmpq";#N/A,#N/A,FALSE,"KlamRog"}</definedName>
    <definedName name="____________OM1" localSheetId="53" hidden="1">{#N/A,#N/A,FALSE,"Summary";#N/A,#N/A,FALSE,"SmPlants";#N/A,#N/A,FALSE,"Utah";#N/A,#N/A,FALSE,"Idaho";#N/A,#N/A,FALSE,"Lewis River";#N/A,#N/A,FALSE,"NrthUmpq";#N/A,#N/A,FALSE,"KlamRog"}</definedName>
    <definedName name="____________OM1" localSheetId="29" hidden="1">{#N/A,#N/A,FALSE,"Summary";#N/A,#N/A,FALSE,"SmPlants";#N/A,#N/A,FALSE,"Utah";#N/A,#N/A,FALSE,"Idaho";#N/A,#N/A,FALSE,"Lewis River";#N/A,#N/A,FALSE,"NrthUmpq";#N/A,#N/A,FALSE,"KlamRog"}</definedName>
    <definedName name="____________OM1" localSheetId="28" hidden="1">{#N/A,#N/A,FALSE,"Summary";#N/A,#N/A,FALSE,"SmPlants";#N/A,#N/A,FALSE,"Utah";#N/A,#N/A,FALSE,"Idaho";#N/A,#N/A,FALSE,"Lewis River";#N/A,#N/A,FALSE,"NrthUmpq";#N/A,#N/A,FALSE,"KlamRog"}</definedName>
    <definedName name="____________OM1" localSheetId="49" hidden="1">{#N/A,#N/A,FALSE,"Summary";#N/A,#N/A,FALSE,"SmPlants";#N/A,#N/A,FALSE,"Utah";#N/A,#N/A,FALSE,"Idaho";#N/A,#N/A,FALSE,"Lewis River";#N/A,#N/A,FALSE,"NrthUmpq";#N/A,#N/A,FALSE,"KlamRog"}</definedName>
    <definedName name="____________OM1" localSheetId="23" hidden="1">{#N/A,#N/A,FALSE,"Summary";#N/A,#N/A,FALSE,"SmPlants";#N/A,#N/A,FALSE,"Utah";#N/A,#N/A,FALSE,"Idaho";#N/A,#N/A,FALSE,"Lewis River";#N/A,#N/A,FALSE,"NrthUmpq";#N/A,#N/A,FALSE,"KlamRog"}</definedName>
    <definedName name="____________OM1" localSheetId="83" hidden="1">{#N/A,#N/A,FALSE,"Summary";#N/A,#N/A,FALSE,"SmPlants";#N/A,#N/A,FALSE,"Utah";#N/A,#N/A,FALSE,"Idaho";#N/A,#N/A,FALSE,"Lewis River";#N/A,#N/A,FALSE,"NrthUmpq";#N/A,#N/A,FALSE,"KlamRog"}</definedName>
    <definedName name="____________OM1" localSheetId="27" hidden="1">{#N/A,#N/A,FALSE,"Summary";#N/A,#N/A,FALSE,"SmPlants";#N/A,#N/A,FALSE,"Utah";#N/A,#N/A,FALSE,"Idaho";#N/A,#N/A,FALSE,"Lewis River";#N/A,#N/A,FALSE,"NrthUmpq";#N/A,#N/A,FALSE,"KlamRog"}</definedName>
    <definedName name="____________OM1" localSheetId="48" hidden="1">{#N/A,#N/A,FALSE,"Summary";#N/A,#N/A,FALSE,"SmPlants";#N/A,#N/A,FALSE,"Utah";#N/A,#N/A,FALSE,"Idaho";#N/A,#N/A,FALSE,"Lewis River";#N/A,#N/A,FALSE,"NrthUmpq";#N/A,#N/A,FALSE,"KlamRog"}</definedName>
    <definedName name="____________OM1" hidden="1">{#N/A,#N/A,FALSE,"Summary";#N/A,#N/A,FALSE,"SmPlants";#N/A,#N/A,FALSE,"Utah";#N/A,#N/A,FALSE,"Idaho";#N/A,#N/A,FALSE,"Lewis River";#N/A,#N/A,FALSE,"NrthUmpq";#N/A,#N/A,FALSE,"KlamRog"}</definedName>
    <definedName name="___________OM1" localSheetId="54" hidden="1">{#N/A,#N/A,FALSE,"Summary";#N/A,#N/A,FALSE,"SmPlants";#N/A,#N/A,FALSE,"Utah";#N/A,#N/A,FALSE,"Idaho";#N/A,#N/A,FALSE,"Lewis River";#N/A,#N/A,FALSE,"NrthUmpq";#N/A,#N/A,FALSE,"KlamRog"}</definedName>
    <definedName name="___________OM1" localSheetId="53" hidden="1">{#N/A,#N/A,FALSE,"Summary";#N/A,#N/A,FALSE,"SmPlants";#N/A,#N/A,FALSE,"Utah";#N/A,#N/A,FALSE,"Idaho";#N/A,#N/A,FALSE,"Lewis River";#N/A,#N/A,FALSE,"NrthUmpq";#N/A,#N/A,FALSE,"KlamRog"}</definedName>
    <definedName name="___________OM1" localSheetId="29" hidden="1">{#N/A,#N/A,FALSE,"Summary";#N/A,#N/A,FALSE,"SmPlants";#N/A,#N/A,FALSE,"Utah";#N/A,#N/A,FALSE,"Idaho";#N/A,#N/A,FALSE,"Lewis River";#N/A,#N/A,FALSE,"NrthUmpq";#N/A,#N/A,FALSE,"KlamRog"}</definedName>
    <definedName name="___________OM1" localSheetId="28" hidden="1">{#N/A,#N/A,FALSE,"Summary";#N/A,#N/A,FALSE,"SmPlants";#N/A,#N/A,FALSE,"Utah";#N/A,#N/A,FALSE,"Idaho";#N/A,#N/A,FALSE,"Lewis River";#N/A,#N/A,FALSE,"NrthUmpq";#N/A,#N/A,FALSE,"KlamRog"}</definedName>
    <definedName name="___________OM1" localSheetId="49" hidden="1">{#N/A,#N/A,FALSE,"Summary";#N/A,#N/A,FALSE,"SmPlants";#N/A,#N/A,FALSE,"Utah";#N/A,#N/A,FALSE,"Idaho";#N/A,#N/A,FALSE,"Lewis River";#N/A,#N/A,FALSE,"NrthUmpq";#N/A,#N/A,FALSE,"KlamRog"}</definedName>
    <definedName name="___________OM1" localSheetId="23" hidden="1">{#N/A,#N/A,FALSE,"Summary";#N/A,#N/A,FALSE,"SmPlants";#N/A,#N/A,FALSE,"Utah";#N/A,#N/A,FALSE,"Idaho";#N/A,#N/A,FALSE,"Lewis River";#N/A,#N/A,FALSE,"NrthUmpq";#N/A,#N/A,FALSE,"KlamRog"}</definedName>
    <definedName name="___________OM1" localSheetId="83" hidden="1">{#N/A,#N/A,FALSE,"Summary";#N/A,#N/A,FALSE,"SmPlants";#N/A,#N/A,FALSE,"Utah";#N/A,#N/A,FALSE,"Idaho";#N/A,#N/A,FALSE,"Lewis River";#N/A,#N/A,FALSE,"NrthUmpq";#N/A,#N/A,FALSE,"KlamRog"}</definedName>
    <definedName name="___________OM1" localSheetId="27" hidden="1">{#N/A,#N/A,FALSE,"Summary";#N/A,#N/A,FALSE,"SmPlants";#N/A,#N/A,FALSE,"Utah";#N/A,#N/A,FALSE,"Idaho";#N/A,#N/A,FALSE,"Lewis River";#N/A,#N/A,FALSE,"NrthUmpq";#N/A,#N/A,FALSE,"KlamRog"}</definedName>
    <definedName name="___________OM1" localSheetId="48" hidden="1">{#N/A,#N/A,FALSE,"Summary";#N/A,#N/A,FALSE,"SmPlants";#N/A,#N/A,FALSE,"Utah";#N/A,#N/A,FALSE,"Idaho";#N/A,#N/A,FALSE,"Lewis River";#N/A,#N/A,FALSE,"NrthUmpq";#N/A,#N/A,FALSE,"KlamRog"}</definedName>
    <definedName name="___________OM1" hidden="1">{#N/A,#N/A,FALSE,"Summary";#N/A,#N/A,FALSE,"SmPlants";#N/A,#N/A,FALSE,"Utah";#N/A,#N/A,FALSE,"Idaho";#N/A,#N/A,FALSE,"Lewis River";#N/A,#N/A,FALSE,"NrthUmpq";#N/A,#N/A,FALSE,"KlamRog"}</definedName>
    <definedName name="_________j1" localSheetId="54" hidden="1">{"PRINT",#N/A,TRUE,"APPA";"PRINT",#N/A,TRUE,"APS";"PRINT",#N/A,TRUE,"BHPL";"PRINT",#N/A,TRUE,"BHPL2";"PRINT",#N/A,TRUE,"CDWR";"PRINT",#N/A,TRUE,"EWEB";"PRINT",#N/A,TRUE,"LADWP";"PRINT",#N/A,TRUE,"NEVBASE"}</definedName>
    <definedName name="_________j1" localSheetId="53" hidden="1">{"PRINT",#N/A,TRUE,"APPA";"PRINT",#N/A,TRUE,"APS";"PRINT",#N/A,TRUE,"BHPL";"PRINT",#N/A,TRUE,"BHPL2";"PRINT",#N/A,TRUE,"CDWR";"PRINT",#N/A,TRUE,"EWEB";"PRINT",#N/A,TRUE,"LADWP";"PRINT",#N/A,TRUE,"NEVBASE"}</definedName>
    <definedName name="_________j1" localSheetId="29" hidden="1">{"PRINT",#N/A,TRUE,"APPA";"PRINT",#N/A,TRUE,"APS";"PRINT",#N/A,TRUE,"BHPL";"PRINT",#N/A,TRUE,"BHPL2";"PRINT",#N/A,TRUE,"CDWR";"PRINT",#N/A,TRUE,"EWEB";"PRINT",#N/A,TRUE,"LADWP";"PRINT",#N/A,TRUE,"NEVBASE"}</definedName>
    <definedName name="_________j1" localSheetId="28" hidden="1">{"PRINT",#N/A,TRUE,"APPA";"PRINT",#N/A,TRUE,"APS";"PRINT",#N/A,TRUE,"BHPL";"PRINT",#N/A,TRUE,"BHPL2";"PRINT",#N/A,TRUE,"CDWR";"PRINT",#N/A,TRUE,"EWEB";"PRINT",#N/A,TRUE,"LADWP";"PRINT",#N/A,TRUE,"NEVBASE"}</definedName>
    <definedName name="_________j1" localSheetId="49" hidden="1">{"PRINT",#N/A,TRUE,"APPA";"PRINT",#N/A,TRUE,"APS";"PRINT",#N/A,TRUE,"BHPL";"PRINT",#N/A,TRUE,"BHPL2";"PRINT",#N/A,TRUE,"CDWR";"PRINT",#N/A,TRUE,"EWEB";"PRINT",#N/A,TRUE,"LADWP";"PRINT",#N/A,TRUE,"NEVBASE"}</definedName>
    <definedName name="_________j1" localSheetId="23" hidden="1">{"PRINT",#N/A,TRUE,"APPA";"PRINT",#N/A,TRUE,"APS";"PRINT",#N/A,TRUE,"BHPL";"PRINT",#N/A,TRUE,"BHPL2";"PRINT",#N/A,TRUE,"CDWR";"PRINT",#N/A,TRUE,"EWEB";"PRINT",#N/A,TRUE,"LADWP";"PRINT",#N/A,TRUE,"NEVBASE"}</definedName>
    <definedName name="_________j1" localSheetId="83" hidden="1">{"PRINT",#N/A,TRUE,"APPA";"PRINT",#N/A,TRUE,"APS";"PRINT",#N/A,TRUE,"BHPL";"PRINT",#N/A,TRUE,"BHPL2";"PRINT",#N/A,TRUE,"CDWR";"PRINT",#N/A,TRUE,"EWEB";"PRINT",#N/A,TRUE,"LADWP";"PRINT",#N/A,TRUE,"NEVBASE"}</definedName>
    <definedName name="_________j1" localSheetId="27" hidden="1">{"PRINT",#N/A,TRUE,"APPA";"PRINT",#N/A,TRUE,"APS";"PRINT",#N/A,TRUE,"BHPL";"PRINT",#N/A,TRUE,"BHPL2";"PRINT",#N/A,TRUE,"CDWR";"PRINT",#N/A,TRUE,"EWEB";"PRINT",#N/A,TRUE,"LADWP";"PRINT",#N/A,TRUE,"NEVBASE"}</definedName>
    <definedName name="_________j1" localSheetId="48" hidden="1">{"PRINT",#N/A,TRUE,"APPA";"PRINT",#N/A,TRUE,"APS";"PRINT",#N/A,TRUE,"BHPL";"PRINT",#N/A,TRUE,"BHPL2";"PRINT",#N/A,TRUE,"CDWR";"PRINT",#N/A,TRUE,"EWEB";"PRINT",#N/A,TRUE,"LADWP";"PRINT",#N/A,TRUE,"NEVBASE"}</definedName>
    <definedName name="_________j1" hidden="1">{"PRINT",#N/A,TRUE,"APPA";"PRINT",#N/A,TRUE,"APS";"PRINT",#N/A,TRUE,"BHPL";"PRINT",#N/A,TRUE,"BHPL2";"PRINT",#N/A,TRUE,"CDWR";"PRINT",#N/A,TRUE,"EWEB";"PRINT",#N/A,TRUE,"LADWP";"PRINT",#N/A,TRUE,"NEVBASE"}</definedName>
    <definedName name="_________j2" localSheetId="54" hidden="1">{"PRINT",#N/A,TRUE,"APPA";"PRINT",#N/A,TRUE,"APS";"PRINT",#N/A,TRUE,"BHPL";"PRINT",#N/A,TRUE,"BHPL2";"PRINT",#N/A,TRUE,"CDWR";"PRINT",#N/A,TRUE,"EWEB";"PRINT",#N/A,TRUE,"LADWP";"PRINT",#N/A,TRUE,"NEVBASE"}</definedName>
    <definedName name="_________j2" localSheetId="53" hidden="1">{"PRINT",#N/A,TRUE,"APPA";"PRINT",#N/A,TRUE,"APS";"PRINT",#N/A,TRUE,"BHPL";"PRINT",#N/A,TRUE,"BHPL2";"PRINT",#N/A,TRUE,"CDWR";"PRINT",#N/A,TRUE,"EWEB";"PRINT",#N/A,TRUE,"LADWP";"PRINT",#N/A,TRUE,"NEVBASE"}</definedName>
    <definedName name="_________j2" localSheetId="29" hidden="1">{"PRINT",#N/A,TRUE,"APPA";"PRINT",#N/A,TRUE,"APS";"PRINT",#N/A,TRUE,"BHPL";"PRINT",#N/A,TRUE,"BHPL2";"PRINT",#N/A,TRUE,"CDWR";"PRINT",#N/A,TRUE,"EWEB";"PRINT",#N/A,TRUE,"LADWP";"PRINT",#N/A,TRUE,"NEVBASE"}</definedName>
    <definedName name="_________j2" localSheetId="28" hidden="1">{"PRINT",#N/A,TRUE,"APPA";"PRINT",#N/A,TRUE,"APS";"PRINT",#N/A,TRUE,"BHPL";"PRINT",#N/A,TRUE,"BHPL2";"PRINT",#N/A,TRUE,"CDWR";"PRINT",#N/A,TRUE,"EWEB";"PRINT",#N/A,TRUE,"LADWP";"PRINT",#N/A,TRUE,"NEVBASE"}</definedName>
    <definedName name="_________j2" localSheetId="49" hidden="1">{"PRINT",#N/A,TRUE,"APPA";"PRINT",#N/A,TRUE,"APS";"PRINT",#N/A,TRUE,"BHPL";"PRINT",#N/A,TRUE,"BHPL2";"PRINT",#N/A,TRUE,"CDWR";"PRINT",#N/A,TRUE,"EWEB";"PRINT",#N/A,TRUE,"LADWP";"PRINT",#N/A,TRUE,"NEVBASE"}</definedName>
    <definedName name="_________j2" localSheetId="23" hidden="1">{"PRINT",#N/A,TRUE,"APPA";"PRINT",#N/A,TRUE,"APS";"PRINT",#N/A,TRUE,"BHPL";"PRINT",#N/A,TRUE,"BHPL2";"PRINT",#N/A,TRUE,"CDWR";"PRINT",#N/A,TRUE,"EWEB";"PRINT",#N/A,TRUE,"LADWP";"PRINT",#N/A,TRUE,"NEVBASE"}</definedName>
    <definedName name="_________j2" localSheetId="83" hidden="1">{"PRINT",#N/A,TRUE,"APPA";"PRINT",#N/A,TRUE,"APS";"PRINT",#N/A,TRUE,"BHPL";"PRINT",#N/A,TRUE,"BHPL2";"PRINT",#N/A,TRUE,"CDWR";"PRINT",#N/A,TRUE,"EWEB";"PRINT",#N/A,TRUE,"LADWP";"PRINT",#N/A,TRUE,"NEVBASE"}</definedName>
    <definedName name="_________j2" localSheetId="27" hidden="1">{"PRINT",#N/A,TRUE,"APPA";"PRINT",#N/A,TRUE,"APS";"PRINT",#N/A,TRUE,"BHPL";"PRINT",#N/A,TRUE,"BHPL2";"PRINT",#N/A,TRUE,"CDWR";"PRINT",#N/A,TRUE,"EWEB";"PRINT",#N/A,TRUE,"LADWP";"PRINT",#N/A,TRUE,"NEVBASE"}</definedName>
    <definedName name="_________j2" localSheetId="48" hidden="1">{"PRINT",#N/A,TRUE,"APPA";"PRINT",#N/A,TRUE,"APS";"PRINT",#N/A,TRUE,"BHPL";"PRINT",#N/A,TRUE,"BHPL2";"PRINT",#N/A,TRUE,"CDWR";"PRINT",#N/A,TRUE,"EWEB";"PRINT",#N/A,TRUE,"LADWP";"PRINT",#N/A,TRUE,"NEVBASE"}</definedName>
    <definedName name="_________j2" hidden="1">{"PRINT",#N/A,TRUE,"APPA";"PRINT",#N/A,TRUE,"APS";"PRINT",#N/A,TRUE,"BHPL";"PRINT",#N/A,TRUE,"BHPL2";"PRINT",#N/A,TRUE,"CDWR";"PRINT",#N/A,TRUE,"EWEB";"PRINT",#N/A,TRUE,"LADWP";"PRINT",#N/A,TRUE,"NEVBASE"}</definedName>
    <definedName name="_________j3" localSheetId="54" hidden="1">{"PRINT",#N/A,TRUE,"APPA";"PRINT",#N/A,TRUE,"APS";"PRINT",#N/A,TRUE,"BHPL";"PRINT",#N/A,TRUE,"BHPL2";"PRINT",#N/A,TRUE,"CDWR";"PRINT",#N/A,TRUE,"EWEB";"PRINT",#N/A,TRUE,"LADWP";"PRINT",#N/A,TRUE,"NEVBASE"}</definedName>
    <definedName name="_________j3" localSheetId="53" hidden="1">{"PRINT",#N/A,TRUE,"APPA";"PRINT",#N/A,TRUE,"APS";"PRINT",#N/A,TRUE,"BHPL";"PRINT",#N/A,TRUE,"BHPL2";"PRINT",#N/A,TRUE,"CDWR";"PRINT",#N/A,TRUE,"EWEB";"PRINT",#N/A,TRUE,"LADWP";"PRINT",#N/A,TRUE,"NEVBASE"}</definedName>
    <definedName name="_________j3" localSheetId="29" hidden="1">{"PRINT",#N/A,TRUE,"APPA";"PRINT",#N/A,TRUE,"APS";"PRINT",#N/A,TRUE,"BHPL";"PRINT",#N/A,TRUE,"BHPL2";"PRINT",#N/A,TRUE,"CDWR";"PRINT",#N/A,TRUE,"EWEB";"PRINT",#N/A,TRUE,"LADWP";"PRINT",#N/A,TRUE,"NEVBASE"}</definedName>
    <definedName name="_________j3" localSheetId="28" hidden="1">{"PRINT",#N/A,TRUE,"APPA";"PRINT",#N/A,TRUE,"APS";"PRINT",#N/A,TRUE,"BHPL";"PRINT",#N/A,TRUE,"BHPL2";"PRINT",#N/A,TRUE,"CDWR";"PRINT",#N/A,TRUE,"EWEB";"PRINT",#N/A,TRUE,"LADWP";"PRINT",#N/A,TRUE,"NEVBASE"}</definedName>
    <definedName name="_________j3" localSheetId="49" hidden="1">{"PRINT",#N/A,TRUE,"APPA";"PRINT",#N/A,TRUE,"APS";"PRINT",#N/A,TRUE,"BHPL";"PRINT",#N/A,TRUE,"BHPL2";"PRINT",#N/A,TRUE,"CDWR";"PRINT",#N/A,TRUE,"EWEB";"PRINT",#N/A,TRUE,"LADWP";"PRINT",#N/A,TRUE,"NEVBASE"}</definedName>
    <definedName name="_________j3" localSheetId="23" hidden="1">{"PRINT",#N/A,TRUE,"APPA";"PRINT",#N/A,TRUE,"APS";"PRINT",#N/A,TRUE,"BHPL";"PRINT",#N/A,TRUE,"BHPL2";"PRINT",#N/A,TRUE,"CDWR";"PRINT",#N/A,TRUE,"EWEB";"PRINT",#N/A,TRUE,"LADWP";"PRINT",#N/A,TRUE,"NEVBASE"}</definedName>
    <definedName name="_________j3" localSheetId="83" hidden="1">{"PRINT",#N/A,TRUE,"APPA";"PRINT",#N/A,TRUE,"APS";"PRINT",#N/A,TRUE,"BHPL";"PRINT",#N/A,TRUE,"BHPL2";"PRINT",#N/A,TRUE,"CDWR";"PRINT",#N/A,TRUE,"EWEB";"PRINT",#N/A,TRUE,"LADWP";"PRINT",#N/A,TRUE,"NEVBASE"}</definedName>
    <definedName name="_________j3" localSheetId="27" hidden="1">{"PRINT",#N/A,TRUE,"APPA";"PRINT",#N/A,TRUE,"APS";"PRINT",#N/A,TRUE,"BHPL";"PRINT",#N/A,TRUE,"BHPL2";"PRINT",#N/A,TRUE,"CDWR";"PRINT",#N/A,TRUE,"EWEB";"PRINT",#N/A,TRUE,"LADWP";"PRINT",#N/A,TRUE,"NEVBASE"}</definedName>
    <definedName name="_________j3" localSheetId="48" hidden="1">{"PRINT",#N/A,TRUE,"APPA";"PRINT",#N/A,TRUE,"APS";"PRINT",#N/A,TRUE,"BHPL";"PRINT",#N/A,TRUE,"BHPL2";"PRINT",#N/A,TRUE,"CDWR";"PRINT",#N/A,TRUE,"EWEB";"PRINT",#N/A,TRUE,"LADWP";"PRINT",#N/A,TRUE,"NEVBASE"}</definedName>
    <definedName name="_________j3" hidden="1">{"PRINT",#N/A,TRUE,"APPA";"PRINT",#N/A,TRUE,"APS";"PRINT",#N/A,TRUE,"BHPL";"PRINT",#N/A,TRUE,"BHPL2";"PRINT",#N/A,TRUE,"CDWR";"PRINT",#N/A,TRUE,"EWEB";"PRINT",#N/A,TRUE,"LADWP";"PRINT",#N/A,TRUE,"NEVBASE"}</definedName>
    <definedName name="_________j4" localSheetId="54" hidden="1">{"PRINT",#N/A,TRUE,"APPA";"PRINT",#N/A,TRUE,"APS";"PRINT",#N/A,TRUE,"BHPL";"PRINT",#N/A,TRUE,"BHPL2";"PRINT",#N/A,TRUE,"CDWR";"PRINT",#N/A,TRUE,"EWEB";"PRINT",#N/A,TRUE,"LADWP";"PRINT",#N/A,TRUE,"NEVBASE"}</definedName>
    <definedName name="_________j4" localSheetId="53" hidden="1">{"PRINT",#N/A,TRUE,"APPA";"PRINT",#N/A,TRUE,"APS";"PRINT",#N/A,TRUE,"BHPL";"PRINT",#N/A,TRUE,"BHPL2";"PRINT",#N/A,TRUE,"CDWR";"PRINT",#N/A,TRUE,"EWEB";"PRINT",#N/A,TRUE,"LADWP";"PRINT",#N/A,TRUE,"NEVBASE"}</definedName>
    <definedName name="_________j4" localSheetId="29" hidden="1">{"PRINT",#N/A,TRUE,"APPA";"PRINT",#N/A,TRUE,"APS";"PRINT",#N/A,TRUE,"BHPL";"PRINT",#N/A,TRUE,"BHPL2";"PRINT",#N/A,TRUE,"CDWR";"PRINT",#N/A,TRUE,"EWEB";"PRINT",#N/A,TRUE,"LADWP";"PRINT",#N/A,TRUE,"NEVBASE"}</definedName>
    <definedName name="_________j4" localSheetId="28" hidden="1">{"PRINT",#N/A,TRUE,"APPA";"PRINT",#N/A,TRUE,"APS";"PRINT",#N/A,TRUE,"BHPL";"PRINT",#N/A,TRUE,"BHPL2";"PRINT",#N/A,TRUE,"CDWR";"PRINT",#N/A,TRUE,"EWEB";"PRINT",#N/A,TRUE,"LADWP";"PRINT",#N/A,TRUE,"NEVBASE"}</definedName>
    <definedName name="_________j4" localSheetId="49" hidden="1">{"PRINT",#N/A,TRUE,"APPA";"PRINT",#N/A,TRUE,"APS";"PRINT",#N/A,TRUE,"BHPL";"PRINT",#N/A,TRUE,"BHPL2";"PRINT",#N/A,TRUE,"CDWR";"PRINT",#N/A,TRUE,"EWEB";"PRINT",#N/A,TRUE,"LADWP";"PRINT",#N/A,TRUE,"NEVBASE"}</definedName>
    <definedName name="_________j4" localSheetId="23" hidden="1">{"PRINT",#N/A,TRUE,"APPA";"PRINT",#N/A,TRUE,"APS";"PRINT",#N/A,TRUE,"BHPL";"PRINT",#N/A,TRUE,"BHPL2";"PRINT",#N/A,TRUE,"CDWR";"PRINT",#N/A,TRUE,"EWEB";"PRINT",#N/A,TRUE,"LADWP";"PRINT",#N/A,TRUE,"NEVBASE"}</definedName>
    <definedName name="_________j4" localSheetId="83" hidden="1">{"PRINT",#N/A,TRUE,"APPA";"PRINT",#N/A,TRUE,"APS";"PRINT",#N/A,TRUE,"BHPL";"PRINT",#N/A,TRUE,"BHPL2";"PRINT",#N/A,TRUE,"CDWR";"PRINT",#N/A,TRUE,"EWEB";"PRINT",#N/A,TRUE,"LADWP";"PRINT",#N/A,TRUE,"NEVBASE"}</definedName>
    <definedName name="_________j4" localSheetId="27" hidden="1">{"PRINT",#N/A,TRUE,"APPA";"PRINT",#N/A,TRUE,"APS";"PRINT",#N/A,TRUE,"BHPL";"PRINT",#N/A,TRUE,"BHPL2";"PRINT",#N/A,TRUE,"CDWR";"PRINT",#N/A,TRUE,"EWEB";"PRINT",#N/A,TRUE,"LADWP";"PRINT",#N/A,TRUE,"NEVBASE"}</definedName>
    <definedName name="_________j4" localSheetId="48" hidden="1">{"PRINT",#N/A,TRUE,"APPA";"PRINT",#N/A,TRUE,"APS";"PRINT",#N/A,TRUE,"BHPL";"PRINT",#N/A,TRUE,"BHPL2";"PRINT",#N/A,TRUE,"CDWR";"PRINT",#N/A,TRUE,"EWEB";"PRINT",#N/A,TRUE,"LADWP";"PRINT",#N/A,TRUE,"NEVBASE"}</definedName>
    <definedName name="_________j4" hidden="1">{"PRINT",#N/A,TRUE,"APPA";"PRINT",#N/A,TRUE,"APS";"PRINT",#N/A,TRUE,"BHPL";"PRINT",#N/A,TRUE,"BHPL2";"PRINT",#N/A,TRUE,"CDWR";"PRINT",#N/A,TRUE,"EWEB";"PRINT",#N/A,TRUE,"LADWP";"PRINT",#N/A,TRUE,"NEVBASE"}</definedName>
    <definedName name="_________j5" localSheetId="54" hidden="1">{"PRINT",#N/A,TRUE,"APPA";"PRINT",#N/A,TRUE,"APS";"PRINT",#N/A,TRUE,"BHPL";"PRINT",#N/A,TRUE,"BHPL2";"PRINT",#N/A,TRUE,"CDWR";"PRINT",#N/A,TRUE,"EWEB";"PRINT",#N/A,TRUE,"LADWP";"PRINT",#N/A,TRUE,"NEVBASE"}</definedName>
    <definedName name="_________j5" localSheetId="53" hidden="1">{"PRINT",#N/A,TRUE,"APPA";"PRINT",#N/A,TRUE,"APS";"PRINT",#N/A,TRUE,"BHPL";"PRINT",#N/A,TRUE,"BHPL2";"PRINT",#N/A,TRUE,"CDWR";"PRINT",#N/A,TRUE,"EWEB";"PRINT",#N/A,TRUE,"LADWP";"PRINT",#N/A,TRUE,"NEVBASE"}</definedName>
    <definedName name="_________j5" localSheetId="29" hidden="1">{"PRINT",#N/A,TRUE,"APPA";"PRINT",#N/A,TRUE,"APS";"PRINT",#N/A,TRUE,"BHPL";"PRINT",#N/A,TRUE,"BHPL2";"PRINT",#N/A,TRUE,"CDWR";"PRINT",#N/A,TRUE,"EWEB";"PRINT",#N/A,TRUE,"LADWP";"PRINT",#N/A,TRUE,"NEVBASE"}</definedName>
    <definedName name="_________j5" localSheetId="28" hidden="1">{"PRINT",#N/A,TRUE,"APPA";"PRINT",#N/A,TRUE,"APS";"PRINT",#N/A,TRUE,"BHPL";"PRINT",#N/A,TRUE,"BHPL2";"PRINT",#N/A,TRUE,"CDWR";"PRINT",#N/A,TRUE,"EWEB";"PRINT",#N/A,TRUE,"LADWP";"PRINT",#N/A,TRUE,"NEVBASE"}</definedName>
    <definedName name="_________j5" localSheetId="49" hidden="1">{"PRINT",#N/A,TRUE,"APPA";"PRINT",#N/A,TRUE,"APS";"PRINT",#N/A,TRUE,"BHPL";"PRINT",#N/A,TRUE,"BHPL2";"PRINT",#N/A,TRUE,"CDWR";"PRINT",#N/A,TRUE,"EWEB";"PRINT",#N/A,TRUE,"LADWP";"PRINT",#N/A,TRUE,"NEVBASE"}</definedName>
    <definedName name="_________j5" localSheetId="23" hidden="1">{"PRINT",#N/A,TRUE,"APPA";"PRINT",#N/A,TRUE,"APS";"PRINT",#N/A,TRUE,"BHPL";"PRINT",#N/A,TRUE,"BHPL2";"PRINT",#N/A,TRUE,"CDWR";"PRINT",#N/A,TRUE,"EWEB";"PRINT",#N/A,TRUE,"LADWP";"PRINT",#N/A,TRUE,"NEVBASE"}</definedName>
    <definedName name="_________j5" localSheetId="83" hidden="1">{"PRINT",#N/A,TRUE,"APPA";"PRINT",#N/A,TRUE,"APS";"PRINT",#N/A,TRUE,"BHPL";"PRINT",#N/A,TRUE,"BHPL2";"PRINT",#N/A,TRUE,"CDWR";"PRINT",#N/A,TRUE,"EWEB";"PRINT",#N/A,TRUE,"LADWP";"PRINT",#N/A,TRUE,"NEVBASE"}</definedName>
    <definedName name="_________j5" localSheetId="27" hidden="1">{"PRINT",#N/A,TRUE,"APPA";"PRINT",#N/A,TRUE,"APS";"PRINT",#N/A,TRUE,"BHPL";"PRINT",#N/A,TRUE,"BHPL2";"PRINT",#N/A,TRUE,"CDWR";"PRINT",#N/A,TRUE,"EWEB";"PRINT",#N/A,TRUE,"LADWP";"PRINT",#N/A,TRUE,"NEVBASE"}</definedName>
    <definedName name="_________j5" localSheetId="48" hidden="1">{"PRINT",#N/A,TRUE,"APPA";"PRINT",#N/A,TRUE,"APS";"PRINT",#N/A,TRUE,"BHPL";"PRINT",#N/A,TRUE,"BHPL2";"PRINT",#N/A,TRUE,"CDWR";"PRINT",#N/A,TRUE,"EWEB";"PRINT",#N/A,TRUE,"LADWP";"PRINT",#N/A,TRUE,"NEVBASE"}</definedName>
    <definedName name="_________j5" hidden="1">{"PRINT",#N/A,TRUE,"APPA";"PRINT",#N/A,TRUE,"APS";"PRINT",#N/A,TRUE,"BHPL";"PRINT",#N/A,TRUE,"BHPL2";"PRINT",#N/A,TRUE,"CDWR";"PRINT",#N/A,TRUE,"EWEB";"PRINT",#N/A,TRUE,"LADWP";"PRINT",#N/A,TRUE,"NEVBASE"}</definedName>
    <definedName name="_________OM1" localSheetId="54" hidden="1">{#N/A,#N/A,FALSE,"Summary";#N/A,#N/A,FALSE,"SmPlants";#N/A,#N/A,FALSE,"Utah";#N/A,#N/A,FALSE,"Idaho";#N/A,#N/A,FALSE,"Lewis River";#N/A,#N/A,FALSE,"NrthUmpq";#N/A,#N/A,FALSE,"KlamRog"}</definedName>
    <definedName name="_________OM1" localSheetId="53" hidden="1">{#N/A,#N/A,FALSE,"Summary";#N/A,#N/A,FALSE,"SmPlants";#N/A,#N/A,FALSE,"Utah";#N/A,#N/A,FALSE,"Idaho";#N/A,#N/A,FALSE,"Lewis River";#N/A,#N/A,FALSE,"NrthUmpq";#N/A,#N/A,FALSE,"KlamRog"}</definedName>
    <definedName name="_________OM1" localSheetId="29" hidden="1">{#N/A,#N/A,FALSE,"Summary";#N/A,#N/A,FALSE,"SmPlants";#N/A,#N/A,FALSE,"Utah";#N/A,#N/A,FALSE,"Idaho";#N/A,#N/A,FALSE,"Lewis River";#N/A,#N/A,FALSE,"NrthUmpq";#N/A,#N/A,FALSE,"KlamRog"}</definedName>
    <definedName name="_________OM1" localSheetId="28" hidden="1">{#N/A,#N/A,FALSE,"Summary";#N/A,#N/A,FALSE,"SmPlants";#N/A,#N/A,FALSE,"Utah";#N/A,#N/A,FALSE,"Idaho";#N/A,#N/A,FALSE,"Lewis River";#N/A,#N/A,FALSE,"NrthUmpq";#N/A,#N/A,FALSE,"KlamRog"}</definedName>
    <definedName name="_________OM1" localSheetId="49" hidden="1">{#N/A,#N/A,FALSE,"Summary";#N/A,#N/A,FALSE,"SmPlants";#N/A,#N/A,FALSE,"Utah";#N/A,#N/A,FALSE,"Idaho";#N/A,#N/A,FALSE,"Lewis River";#N/A,#N/A,FALSE,"NrthUmpq";#N/A,#N/A,FALSE,"KlamRog"}</definedName>
    <definedName name="_________OM1" localSheetId="23" hidden="1">{#N/A,#N/A,FALSE,"Summary";#N/A,#N/A,FALSE,"SmPlants";#N/A,#N/A,FALSE,"Utah";#N/A,#N/A,FALSE,"Idaho";#N/A,#N/A,FALSE,"Lewis River";#N/A,#N/A,FALSE,"NrthUmpq";#N/A,#N/A,FALSE,"KlamRog"}</definedName>
    <definedName name="_________OM1" localSheetId="83" hidden="1">{#N/A,#N/A,FALSE,"Summary";#N/A,#N/A,FALSE,"SmPlants";#N/A,#N/A,FALSE,"Utah";#N/A,#N/A,FALSE,"Idaho";#N/A,#N/A,FALSE,"Lewis River";#N/A,#N/A,FALSE,"NrthUmpq";#N/A,#N/A,FALSE,"KlamRog"}</definedName>
    <definedName name="_________OM1" localSheetId="27" hidden="1">{#N/A,#N/A,FALSE,"Summary";#N/A,#N/A,FALSE,"SmPlants";#N/A,#N/A,FALSE,"Utah";#N/A,#N/A,FALSE,"Idaho";#N/A,#N/A,FALSE,"Lewis River";#N/A,#N/A,FALSE,"NrthUmpq";#N/A,#N/A,FALSE,"KlamRog"}</definedName>
    <definedName name="_________OM1" localSheetId="48" hidden="1">{#N/A,#N/A,FALSE,"Summary";#N/A,#N/A,FALSE,"SmPlants";#N/A,#N/A,FALSE,"Utah";#N/A,#N/A,FALSE,"Idaho";#N/A,#N/A,FALSE,"Lewis River";#N/A,#N/A,FALSE,"NrthUmpq";#N/A,#N/A,FALSE,"KlamRog"}</definedName>
    <definedName name="_________OM1" hidden="1">{#N/A,#N/A,FALSE,"Summary";#N/A,#N/A,FALSE,"SmPlants";#N/A,#N/A,FALSE,"Utah";#N/A,#N/A,FALSE,"Idaho";#N/A,#N/A,FALSE,"Lewis River";#N/A,#N/A,FALSE,"NrthUmpq";#N/A,#N/A,FALSE,"KlamRog"}</definedName>
    <definedName name="_______j1" localSheetId="54" hidden="1">{"PRINT",#N/A,TRUE,"APPA";"PRINT",#N/A,TRUE,"APS";"PRINT",#N/A,TRUE,"BHPL";"PRINT",#N/A,TRUE,"BHPL2";"PRINT",#N/A,TRUE,"CDWR";"PRINT",#N/A,TRUE,"EWEB";"PRINT",#N/A,TRUE,"LADWP";"PRINT",#N/A,TRUE,"NEVBASE"}</definedName>
    <definedName name="_______j1" localSheetId="53" hidden="1">{"PRINT",#N/A,TRUE,"APPA";"PRINT",#N/A,TRUE,"APS";"PRINT",#N/A,TRUE,"BHPL";"PRINT",#N/A,TRUE,"BHPL2";"PRINT",#N/A,TRUE,"CDWR";"PRINT",#N/A,TRUE,"EWEB";"PRINT",#N/A,TRUE,"LADWP";"PRINT",#N/A,TRUE,"NEVBASE"}</definedName>
    <definedName name="_______j1" localSheetId="29" hidden="1">{"PRINT",#N/A,TRUE,"APPA";"PRINT",#N/A,TRUE,"APS";"PRINT",#N/A,TRUE,"BHPL";"PRINT",#N/A,TRUE,"BHPL2";"PRINT",#N/A,TRUE,"CDWR";"PRINT",#N/A,TRUE,"EWEB";"PRINT",#N/A,TRUE,"LADWP";"PRINT",#N/A,TRUE,"NEVBASE"}</definedName>
    <definedName name="_______j1" localSheetId="28" hidden="1">{"PRINT",#N/A,TRUE,"APPA";"PRINT",#N/A,TRUE,"APS";"PRINT",#N/A,TRUE,"BHPL";"PRINT",#N/A,TRUE,"BHPL2";"PRINT",#N/A,TRUE,"CDWR";"PRINT",#N/A,TRUE,"EWEB";"PRINT",#N/A,TRUE,"LADWP";"PRINT",#N/A,TRUE,"NEVBASE"}</definedName>
    <definedName name="_______j1" localSheetId="49" hidden="1">{"PRINT",#N/A,TRUE,"APPA";"PRINT",#N/A,TRUE,"APS";"PRINT",#N/A,TRUE,"BHPL";"PRINT",#N/A,TRUE,"BHPL2";"PRINT",#N/A,TRUE,"CDWR";"PRINT",#N/A,TRUE,"EWEB";"PRINT",#N/A,TRUE,"LADWP";"PRINT",#N/A,TRUE,"NEVBASE"}</definedName>
    <definedName name="_______j1" localSheetId="23" hidden="1">{"PRINT",#N/A,TRUE,"APPA";"PRINT",#N/A,TRUE,"APS";"PRINT",#N/A,TRUE,"BHPL";"PRINT",#N/A,TRUE,"BHPL2";"PRINT",#N/A,TRUE,"CDWR";"PRINT",#N/A,TRUE,"EWEB";"PRINT",#N/A,TRUE,"LADWP";"PRINT",#N/A,TRUE,"NEVBASE"}</definedName>
    <definedName name="_______j1" localSheetId="83" hidden="1">{"PRINT",#N/A,TRUE,"APPA";"PRINT",#N/A,TRUE,"APS";"PRINT",#N/A,TRUE,"BHPL";"PRINT",#N/A,TRUE,"BHPL2";"PRINT",#N/A,TRUE,"CDWR";"PRINT",#N/A,TRUE,"EWEB";"PRINT",#N/A,TRUE,"LADWP";"PRINT",#N/A,TRUE,"NEVBASE"}</definedName>
    <definedName name="_______j1" localSheetId="27" hidden="1">{"PRINT",#N/A,TRUE,"APPA";"PRINT",#N/A,TRUE,"APS";"PRINT",#N/A,TRUE,"BHPL";"PRINT",#N/A,TRUE,"BHPL2";"PRINT",#N/A,TRUE,"CDWR";"PRINT",#N/A,TRUE,"EWEB";"PRINT",#N/A,TRUE,"LADWP";"PRINT",#N/A,TRUE,"NEVBASE"}</definedName>
    <definedName name="_______j1" localSheetId="48" hidden="1">{"PRINT",#N/A,TRUE,"APPA";"PRINT",#N/A,TRUE,"APS";"PRINT",#N/A,TRUE,"BHPL";"PRINT",#N/A,TRUE,"BHPL2";"PRINT",#N/A,TRUE,"CDWR";"PRINT",#N/A,TRUE,"EWEB";"PRINT",#N/A,TRUE,"LADWP";"PRINT",#N/A,TRUE,"NEVBASE"}</definedName>
    <definedName name="_______j1" hidden="1">{"PRINT",#N/A,TRUE,"APPA";"PRINT",#N/A,TRUE,"APS";"PRINT",#N/A,TRUE,"BHPL";"PRINT",#N/A,TRUE,"BHPL2";"PRINT",#N/A,TRUE,"CDWR";"PRINT",#N/A,TRUE,"EWEB";"PRINT",#N/A,TRUE,"LADWP";"PRINT",#N/A,TRUE,"NEVBASE"}</definedName>
    <definedName name="_______j2" localSheetId="54" hidden="1">{"PRINT",#N/A,TRUE,"APPA";"PRINT",#N/A,TRUE,"APS";"PRINT",#N/A,TRUE,"BHPL";"PRINT",#N/A,TRUE,"BHPL2";"PRINT",#N/A,TRUE,"CDWR";"PRINT",#N/A,TRUE,"EWEB";"PRINT",#N/A,TRUE,"LADWP";"PRINT",#N/A,TRUE,"NEVBASE"}</definedName>
    <definedName name="_______j2" localSheetId="53" hidden="1">{"PRINT",#N/A,TRUE,"APPA";"PRINT",#N/A,TRUE,"APS";"PRINT",#N/A,TRUE,"BHPL";"PRINT",#N/A,TRUE,"BHPL2";"PRINT",#N/A,TRUE,"CDWR";"PRINT",#N/A,TRUE,"EWEB";"PRINT",#N/A,TRUE,"LADWP";"PRINT",#N/A,TRUE,"NEVBASE"}</definedName>
    <definedName name="_______j2" localSheetId="29" hidden="1">{"PRINT",#N/A,TRUE,"APPA";"PRINT",#N/A,TRUE,"APS";"PRINT",#N/A,TRUE,"BHPL";"PRINT",#N/A,TRUE,"BHPL2";"PRINT",#N/A,TRUE,"CDWR";"PRINT",#N/A,TRUE,"EWEB";"PRINT",#N/A,TRUE,"LADWP";"PRINT",#N/A,TRUE,"NEVBASE"}</definedName>
    <definedName name="_______j2" localSheetId="28" hidden="1">{"PRINT",#N/A,TRUE,"APPA";"PRINT",#N/A,TRUE,"APS";"PRINT",#N/A,TRUE,"BHPL";"PRINT",#N/A,TRUE,"BHPL2";"PRINT",#N/A,TRUE,"CDWR";"PRINT",#N/A,TRUE,"EWEB";"PRINT",#N/A,TRUE,"LADWP";"PRINT",#N/A,TRUE,"NEVBASE"}</definedName>
    <definedName name="_______j2" localSheetId="49" hidden="1">{"PRINT",#N/A,TRUE,"APPA";"PRINT",#N/A,TRUE,"APS";"PRINT",#N/A,TRUE,"BHPL";"PRINT",#N/A,TRUE,"BHPL2";"PRINT",#N/A,TRUE,"CDWR";"PRINT",#N/A,TRUE,"EWEB";"PRINT",#N/A,TRUE,"LADWP";"PRINT",#N/A,TRUE,"NEVBASE"}</definedName>
    <definedName name="_______j2" localSheetId="23" hidden="1">{"PRINT",#N/A,TRUE,"APPA";"PRINT",#N/A,TRUE,"APS";"PRINT",#N/A,TRUE,"BHPL";"PRINT",#N/A,TRUE,"BHPL2";"PRINT",#N/A,TRUE,"CDWR";"PRINT",#N/A,TRUE,"EWEB";"PRINT",#N/A,TRUE,"LADWP";"PRINT",#N/A,TRUE,"NEVBASE"}</definedName>
    <definedName name="_______j2" localSheetId="83" hidden="1">{"PRINT",#N/A,TRUE,"APPA";"PRINT",#N/A,TRUE,"APS";"PRINT",#N/A,TRUE,"BHPL";"PRINT",#N/A,TRUE,"BHPL2";"PRINT",#N/A,TRUE,"CDWR";"PRINT",#N/A,TRUE,"EWEB";"PRINT",#N/A,TRUE,"LADWP";"PRINT",#N/A,TRUE,"NEVBASE"}</definedName>
    <definedName name="_______j2" localSheetId="27" hidden="1">{"PRINT",#N/A,TRUE,"APPA";"PRINT",#N/A,TRUE,"APS";"PRINT",#N/A,TRUE,"BHPL";"PRINT",#N/A,TRUE,"BHPL2";"PRINT",#N/A,TRUE,"CDWR";"PRINT",#N/A,TRUE,"EWEB";"PRINT",#N/A,TRUE,"LADWP";"PRINT",#N/A,TRUE,"NEVBASE"}</definedName>
    <definedName name="_______j2" localSheetId="48" hidden="1">{"PRINT",#N/A,TRUE,"APPA";"PRINT",#N/A,TRUE,"APS";"PRINT",#N/A,TRUE,"BHPL";"PRINT",#N/A,TRUE,"BHPL2";"PRINT",#N/A,TRUE,"CDWR";"PRINT",#N/A,TRUE,"EWEB";"PRINT",#N/A,TRUE,"LADWP";"PRINT",#N/A,TRUE,"NEVBASE"}</definedName>
    <definedName name="_______j2" hidden="1">{"PRINT",#N/A,TRUE,"APPA";"PRINT",#N/A,TRUE,"APS";"PRINT",#N/A,TRUE,"BHPL";"PRINT",#N/A,TRUE,"BHPL2";"PRINT",#N/A,TRUE,"CDWR";"PRINT",#N/A,TRUE,"EWEB";"PRINT",#N/A,TRUE,"LADWP";"PRINT",#N/A,TRUE,"NEVBASE"}</definedName>
    <definedName name="_______j3" localSheetId="54" hidden="1">{"PRINT",#N/A,TRUE,"APPA";"PRINT",#N/A,TRUE,"APS";"PRINT",#N/A,TRUE,"BHPL";"PRINT",#N/A,TRUE,"BHPL2";"PRINT",#N/A,TRUE,"CDWR";"PRINT",#N/A,TRUE,"EWEB";"PRINT",#N/A,TRUE,"LADWP";"PRINT",#N/A,TRUE,"NEVBASE"}</definedName>
    <definedName name="_______j3" localSheetId="53" hidden="1">{"PRINT",#N/A,TRUE,"APPA";"PRINT",#N/A,TRUE,"APS";"PRINT",#N/A,TRUE,"BHPL";"PRINT",#N/A,TRUE,"BHPL2";"PRINT",#N/A,TRUE,"CDWR";"PRINT",#N/A,TRUE,"EWEB";"PRINT",#N/A,TRUE,"LADWP";"PRINT",#N/A,TRUE,"NEVBASE"}</definedName>
    <definedName name="_______j3" localSheetId="29" hidden="1">{"PRINT",#N/A,TRUE,"APPA";"PRINT",#N/A,TRUE,"APS";"PRINT",#N/A,TRUE,"BHPL";"PRINT",#N/A,TRUE,"BHPL2";"PRINT",#N/A,TRUE,"CDWR";"PRINT",#N/A,TRUE,"EWEB";"PRINT",#N/A,TRUE,"LADWP";"PRINT",#N/A,TRUE,"NEVBASE"}</definedName>
    <definedName name="_______j3" localSheetId="28" hidden="1">{"PRINT",#N/A,TRUE,"APPA";"PRINT",#N/A,TRUE,"APS";"PRINT",#N/A,TRUE,"BHPL";"PRINT",#N/A,TRUE,"BHPL2";"PRINT",#N/A,TRUE,"CDWR";"PRINT",#N/A,TRUE,"EWEB";"PRINT",#N/A,TRUE,"LADWP";"PRINT",#N/A,TRUE,"NEVBASE"}</definedName>
    <definedName name="_______j3" localSheetId="49" hidden="1">{"PRINT",#N/A,TRUE,"APPA";"PRINT",#N/A,TRUE,"APS";"PRINT",#N/A,TRUE,"BHPL";"PRINT",#N/A,TRUE,"BHPL2";"PRINT",#N/A,TRUE,"CDWR";"PRINT",#N/A,TRUE,"EWEB";"PRINT",#N/A,TRUE,"LADWP";"PRINT",#N/A,TRUE,"NEVBASE"}</definedName>
    <definedName name="_______j3" localSheetId="23" hidden="1">{"PRINT",#N/A,TRUE,"APPA";"PRINT",#N/A,TRUE,"APS";"PRINT",#N/A,TRUE,"BHPL";"PRINT",#N/A,TRUE,"BHPL2";"PRINT",#N/A,TRUE,"CDWR";"PRINT",#N/A,TRUE,"EWEB";"PRINT",#N/A,TRUE,"LADWP";"PRINT",#N/A,TRUE,"NEVBASE"}</definedName>
    <definedName name="_______j3" localSheetId="83" hidden="1">{"PRINT",#N/A,TRUE,"APPA";"PRINT",#N/A,TRUE,"APS";"PRINT",#N/A,TRUE,"BHPL";"PRINT",#N/A,TRUE,"BHPL2";"PRINT",#N/A,TRUE,"CDWR";"PRINT",#N/A,TRUE,"EWEB";"PRINT",#N/A,TRUE,"LADWP";"PRINT",#N/A,TRUE,"NEVBASE"}</definedName>
    <definedName name="_______j3" localSheetId="27" hidden="1">{"PRINT",#N/A,TRUE,"APPA";"PRINT",#N/A,TRUE,"APS";"PRINT",#N/A,TRUE,"BHPL";"PRINT",#N/A,TRUE,"BHPL2";"PRINT",#N/A,TRUE,"CDWR";"PRINT",#N/A,TRUE,"EWEB";"PRINT",#N/A,TRUE,"LADWP";"PRINT",#N/A,TRUE,"NEVBASE"}</definedName>
    <definedName name="_______j3" localSheetId="48" hidden="1">{"PRINT",#N/A,TRUE,"APPA";"PRINT",#N/A,TRUE,"APS";"PRINT",#N/A,TRUE,"BHPL";"PRINT",#N/A,TRUE,"BHPL2";"PRINT",#N/A,TRUE,"CDWR";"PRINT",#N/A,TRUE,"EWEB";"PRINT",#N/A,TRUE,"LADWP";"PRINT",#N/A,TRUE,"NEVBASE"}</definedName>
    <definedName name="_______j3" hidden="1">{"PRINT",#N/A,TRUE,"APPA";"PRINT",#N/A,TRUE,"APS";"PRINT",#N/A,TRUE,"BHPL";"PRINT",#N/A,TRUE,"BHPL2";"PRINT",#N/A,TRUE,"CDWR";"PRINT",#N/A,TRUE,"EWEB";"PRINT",#N/A,TRUE,"LADWP";"PRINT",#N/A,TRUE,"NEVBASE"}</definedName>
    <definedName name="_______j4" localSheetId="54" hidden="1">{"PRINT",#N/A,TRUE,"APPA";"PRINT",#N/A,TRUE,"APS";"PRINT",#N/A,TRUE,"BHPL";"PRINT",#N/A,TRUE,"BHPL2";"PRINT",#N/A,TRUE,"CDWR";"PRINT",#N/A,TRUE,"EWEB";"PRINT",#N/A,TRUE,"LADWP";"PRINT",#N/A,TRUE,"NEVBASE"}</definedName>
    <definedName name="_______j4" localSheetId="53" hidden="1">{"PRINT",#N/A,TRUE,"APPA";"PRINT",#N/A,TRUE,"APS";"PRINT",#N/A,TRUE,"BHPL";"PRINT",#N/A,TRUE,"BHPL2";"PRINT",#N/A,TRUE,"CDWR";"PRINT",#N/A,TRUE,"EWEB";"PRINT",#N/A,TRUE,"LADWP";"PRINT",#N/A,TRUE,"NEVBASE"}</definedName>
    <definedName name="_______j4" localSheetId="29" hidden="1">{"PRINT",#N/A,TRUE,"APPA";"PRINT",#N/A,TRUE,"APS";"PRINT",#N/A,TRUE,"BHPL";"PRINT",#N/A,TRUE,"BHPL2";"PRINT",#N/A,TRUE,"CDWR";"PRINT",#N/A,TRUE,"EWEB";"PRINT",#N/A,TRUE,"LADWP";"PRINT",#N/A,TRUE,"NEVBASE"}</definedName>
    <definedName name="_______j4" localSheetId="28" hidden="1">{"PRINT",#N/A,TRUE,"APPA";"PRINT",#N/A,TRUE,"APS";"PRINT",#N/A,TRUE,"BHPL";"PRINT",#N/A,TRUE,"BHPL2";"PRINT",#N/A,TRUE,"CDWR";"PRINT",#N/A,TRUE,"EWEB";"PRINT",#N/A,TRUE,"LADWP";"PRINT",#N/A,TRUE,"NEVBASE"}</definedName>
    <definedName name="_______j4" localSheetId="49" hidden="1">{"PRINT",#N/A,TRUE,"APPA";"PRINT",#N/A,TRUE,"APS";"PRINT",#N/A,TRUE,"BHPL";"PRINT",#N/A,TRUE,"BHPL2";"PRINT",#N/A,TRUE,"CDWR";"PRINT",#N/A,TRUE,"EWEB";"PRINT",#N/A,TRUE,"LADWP";"PRINT",#N/A,TRUE,"NEVBASE"}</definedName>
    <definedName name="_______j4" localSheetId="23" hidden="1">{"PRINT",#N/A,TRUE,"APPA";"PRINT",#N/A,TRUE,"APS";"PRINT",#N/A,TRUE,"BHPL";"PRINT",#N/A,TRUE,"BHPL2";"PRINT",#N/A,TRUE,"CDWR";"PRINT",#N/A,TRUE,"EWEB";"PRINT",#N/A,TRUE,"LADWP";"PRINT",#N/A,TRUE,"NEVBASE"}</definedName>
    <definedName name="_______j4" localSheetId="83" hidden="1">{"PRINT",#N/A,TRUE,"APPA";"PRINT",#N/A,TRUE,"APS";"PRINT",#N/A,TRUE,"BHPL";"PRINT",#N/A,TRUE,"BHPL2";"PRINT",#N/A,TRUE,"CDWR";"PRINT",#N/A,TRUE,"EWEB";"PRINT",#N/A,TRUE,"LADWP";"PRINT",#N/A,TRUE,"NEVBASE"}</definedName>
    <definedName name="_______j4" localSheetId="27" hidden="1">{"PRINT",#N/A,TRUE,"APPA";"PRINT",#N/A,TRUE,"APS";"PRINT",#N/A,TRUE,"BHPL";"PRINT",#N/A,TRUE,"BHPL2";"PRINT",#N/A,TRUE,"CDWR";"PRINT",#N/A,TRUE,"EWEB";"PRINT",#N/A,TRUE,"LADWP";"PRINT",#N/A,TRUE,"NEVBASE"}</definedName>
    <definedName name="_______j4" localSheetId="48" hidden="1">{"PRINT",#N/A,TRUE,"APPA";"PRINT",#N/A,TRUE,"APS";"PRINT",#N/A,TRUE,"BHPL";"PRINT",#N/A,TRUE,"BHPL2";"PRINT",#N/A,TRUE,"CDWR";"PRINT",#N/A,TRUE,"EWEB";"PRINT",#N/A,TRUE,"LADWP";"PRINT",#N/A,TRUE,"NEVBASE"}</definedName>
    <definedName name="_______j4" hidden="1">{"PRINT",#N/A,TRUE,"APPA";"PRINT",#N/A,TRUE,"APS";"PRINT",#N/A,TRUE,"BHPL";"PRINT",#N/A,TRUE,"BHPL2";"PRINT",#N/A,TRUE,"CDWR";"PRINT",#N/A,TRUE,"EWEB";"PRINT",#N/A,TRUE,"LADWP";"PRINT",#N/A,TRUE,"NEVBASE"}</definedName>
    <definedName name="_______j5" localSheetId="54" hidden="1">{"PRINT",#N/A,TRUE,"APPA";"PRINT",#N/A,TRUE,"APS";"PRINT",#N/A,TRUE,"BHPL";"PRINT",#N/A,TRUE,"BHPL2";"PRINT",#N/A,TRUE,"CDWR";"PRINT",#N/A,TRUE,"EWEB";"PRINT",#N/A,TRUE,"LADWP";"PRINT",#N/A,TRUE,"NEVBASE"}</definedName>
    <definedName name="_______j5" localSheetId="53" hidden="1">{"PRINT",#N/A,TRUE,"APPA";"PRINT",#N/A,TRUE,"APS";"PRINT",#N/A,TRUE,"BHPL";"PRINT",#N/A,TRUE,"BHPL2";"PRINT",#N/A,TRUE,"CDWR";"PRINT",#N/A,TRUE,"EWEB";"PRINT",#N/A,TRUE,"LADWP";"PRINT",#N/A,TRUE,"NEVBASE"}</definedName>
    <definedName name="_______j5" localSheetId="29" hidden="1">{"PRINT",#N/A,TRUE,"APPA";"PRINT",#N/A,TRUE,"APS";"PRINT",#N/A,TRUE,"BHPL";"PRINT",#N/A,TRUE,"BHPL2";"PRINT",#N/A,TRUE,"CDWR";"PRINT",#N/A,TRUE,"EWEB";"PRINT",#N/A,TRUE,"LADWP";"PRINT",#N/A,TRUE,"NEVBASE"}</definedName>
    <definedName name="_______j5" localSheetId="28" hidden="1">{"PRINT",#N/A,TRUE,"APPA";"PRINT",#N/A,TRUE,"APS";"PRINT",#N/A,TRUE,"BHPL";"PRINT",#N/A,TRUE,"BHPL2";"PRINT",#N/A,TRUE,"CDWR";"PRINT",#N/A,TRUE,"EWEB";"PRINT",#N/A,TRUE,"LADWP";"PRINT",#N/A,TRUE,"NEVBASE"}</definedName>
    <definedName name="_______j5" localSheetId="49" hidden="1">{"PRINT",#N/A,TRUE,"APPA";"PRINT",#N/A,TRUE,"APS";"PRINT",#N/A,TRUE,"BHPL";"PRINT",#N/A,TRUE,"BHPL2";"PRINT",#N/A,TRUE,"CDWR";"PRINT",#N/A,TRUE,"EWEB";"PRINT",#N/A,TRUE,"LADWP";"PRINT",#N/A,TRUE,"NEVBASE"}</definedName>
    <definedName name="_______j5" localSheetId="23" hidden="1">{"PRINT",#N/A,TRUE,"APPA";"PRINT",#N/A,TRUE,"APS";"PRINT",#N/A,TRUE,"BHPL";"PRINT",#N/A,TRUE,"BHPL2";"PRINT",#N/A,TRUE,"CDWR";"PRINT",#N/A,TRUE,"EWEB";"PRINT",#N/A,TRUE,"LADWP";"PRINT",#N/A,TRUE,"NEVBASE"}</definedName>
    <definedName name="_______j5" localSheetId="83" hidden="1">{"PRINT",#N/A,TRUE,"APPA";"PRINT",#N/A,TRUE,"APS";"PRINT",#N/A,TRUE,"BHPL";"PRINT",#N/A,TRUE,"BHPL2";"PRINT",#N/A,TRUE,"CDWR";"PRINT",#N/A,TRUE,"EWEB";"PRINT",#N/A,TRUE,"LADWP";"PRINT",#N/A,TRUE,"NEVBASE"}</definedName>
    <definedName name="_______j5" localSheetId="27" hidden="1">{"PRINT",#N/A,TRUE,"APPA";"PRINT",#N/A,TRUE,"APS";"PRINT",#N/A,TRUE,"BHPL";"PRINT",#N/A,TRUE,"BHPL2";"PRINT",#N/A,TRUE,"CDWR";"PRINT",#N/A,TRUE,"EWEB";"PRINT",#N/A,TRUE,"LADWP";"PRINT",#N/A,TRUE,"NEVBASE"}</definedName>
    <definedName name="_______j5" localSheetId="48" hidden="1">{"PRINT",#N/A,TRUE,"APPA";"PRINT",#N/A,TRUE,"APS";"PRINT",#N/A,TRUE,"BHPL";"PRINT",#N/A,TRUE,"BHPL2";"PRINT",#N/A,TRUE,"CDWR";"PRINT",#N/A,TRUE,"EWEB";"PRINT",#N/A,TRUE,"LADWP";"PRINT",#N/A,TRUE,"NEVBASE"}</definedName>
    <definedName name="_______j5" hidden="1">{"PRINT",#N/A,TRUE,"APPA";"PRINT",#N/A,TRUE,"APS";"PRINT",#N/A,TRUE,"BHPL";"PRINT",#N/A,TRUE,"BHPL2";"PRINT",#N/A,TRUE,"CDWR";"PRINT",#N/A,TRUE,"EWEB";"PRINT",#N/A,TRUE,"LADWP";"PRINT",#N/A,TRUE,"NEVBASE"}</definedName>
    <definedName name="_______OM1" localSheetId="54" hidden="1">{#N/A,#N/A,FALSE,"Summary";#N/A,#N/A,FALSE,"SmPlants";#N/A,#N/A,FALSE,"Utah";#N/A,#N/A,FALSE,"Idaho";#N/A,#N/A,FALSE,"Lewis River";#N/A,#N/A,FALSE,"NrthUmpq";#N/A,#N/A,FALSE,"KlamRog"}</definedName>
    <definedName name="_______OM1" localSheetId="53" hidden="1">{#N/A,#N/A,FALSE,"Summary";#N/A,#N/A,FALSE,"SmPlants";#N/A,#N/A,FALSE,"Utah";#N/A,#N/A,FALSE,"Idaho";#N/A,#N/A,FALSE,"Lewis River";#N/A,#N/A,FALSE,"NrthUmpq";#N/A,#N/A,FALSE,"KlamRog"}</definedName>
    <definedName name="_______OM1" localSheetId="29" hidden="1">{#N/A,#N/A,FALSE,"Summary";#N/A,#N/A,FALSE,"SmPlants";#N/A,#N/A,FALSE,"Utah";#N/A,#N/A,FALSE,"Idaho";#N/A,#N/A,FALSE,"Lewis River";#N/A,#N/A,FALSE,"NrthUmpq";#N/A,#N/A,FALSE,"KlamRog"}</definedName>
    <definedName name="_______OM1" localSheetId="28" hidden="1">{#N/A,#N/A,FALSE,"Summary";#N/A,#N/A,FALSE,"SmPlants";#N/A,#N/A,FALSE,"Utah";#N/A,#N/A,FALSE,"Idaho";#N/A,#N/A,FALSE,"Lewis River";#N/A,#N/A,FALSE,"NrthUmpq";#N/A,#N/A,FALSE,"KlamRog"}</definedName>
    <definedName name="_______OM1" localSheetId="49" hidden="1">{#N/A,#N/A,FALSE,"Summary";#N/A,#N/A,FALSE,"SmPlants";#N/A,#N/A,FALSE,"Utah";#N/A,#N/A,FALSE,"Idaho";#N/A,#N/A,FALSE,"Lewis River";#N/A,#N/A,FALSE,"NrthUmpq";#N/A,#N/A,FALSE,"KlamRog"}</definedName>
    <definedName name="_______OM1" localSheetId="23" hidden="1">{#N/A,#N/A,FALSE,"Summary";#N/A,#N/A,FALSE,"SmPlants";#N/A,#N/A,FALSE,"Utah";#N/A,#N/A,FALSE,"Idaho";#N/A,#N/A,FALSE,"Lewis River";#N/A,#N/A,FALSE,"NrthUmpq";#N/A,#N/A,FALSE,"KlamRog"}</definedName>
    <definedName name="_______OM1" localSheetId="83" hidden="1">{#N/A,#N/A,FALSE,"Summary";#N/A,#N/A,FALSE,"SmPlants";#N/A,#N/A,FALSE,"Utah";#N/A,#N/A,FALSE,"Idaho";#N/A,#N/A,FALSE,"Lewis River";#N/A,#N/A,FALSE,"NrthUmpq";#N/A,#N/A,FALSE,"KlamRog"}</definedName>
    <definedName name="_______OM1" localSheetId="27" hidden="1">{#N/A,#N/A,FALSE,"Summary";#N/A,#N/A,FALSE,"SmPlants";#N/A,#N/A,FALSE,"Utah";#N/A,#N/A,FALSE,"Idaho";#N/A,#N/A,FALSE,"Lewis River";#N/A,#N/A,FALSE,"NrthUmpq";#N/A,#N/A,FALSE,"KlamRog"}</definedName>
    <definedName name="_______OM1" localSheetId="48" hidden="1">{#N/A,#N/A,FALSE,"Summary";#N/A,#N/A,FALSE,"SmPlants";#N/A,#N/A,FALSE,"Utah";#N/A,#N/A,FALSE,"Idaho";#N/A,#N/A,FALSE,"Lewis River";#N/A,#N/A,FALSE,"NrthUmpq";#N/A,#N/A,FALSE,"KlamRog"}</definedName>
    <definedName name="_______OM1" hidden="1">{#N/A,#N/A,FALSE,"Summary";#N/A,#N/A,FALSE,"SmPlants";#N/A,#N/A,FALSE,"Utah";#N/A,#N/A,FALSE,"Idaho";#N/A,#N/A,FALSE,"Lewis River";#N/A,#N/A,FALSE,"NrthUmpq";#N/A,#N/A,FALSE,"KlamRog"}</definedName>
    <definedName name="______j1" localSheetId="54" hidden="1">{"PRINT",#N/A,TRUE,"APPA";"PRINT",#N/A,TRUE,"APS";"PRINT",#N/A,TRUE,"BHPL";"PRINT",#N/A,TRUE,"BHPL2";"PRINT",#N/A,TRUE,"CDWR";"PRINT",#N/A,TRUE,"EWEB";"PRINT",#N/A,TRUE,"LADWP";"PRINT",#N/A,TRUE,"NEVBASE"}</definedName>
    <definedName name="______j1" localSheetId="53" hidden="1">{"PRINT",#N/A,TRUE,"APPA";"PRINT",#N/A,TRUE,"APS";"PRINT",#N/A,TRUE,"BHPL";"PRINT",#N/A,TRUE,"BHPL2";"PRINT",#N/A,TRUE,"CDWR";"PRINT",#N/A,TRUE,"EWEB";"PRINT",#N/A,TRUE,"LADWP";"PRINT",#N/A,TRUE,"NEVBASE"}</definedName>
    <definedName name="______j1" localSheetId="29" hidden="1">{"PRINT",#N/A,TRUE,"APPA";"PRINT",#N/A,TRUE,"APS";"PRINT",#N/A,TRUE,"BHPL";"PRINT",#N/A,TRUE,"BHPL2";"PRINT",#N/A,TRUE,"CDWR";"PRINT",#N/A,TRUE,"EWEB";"PRINT",#N/A,TRUE,"LADWP";"PRINT",#N/A,TRUE,"NEVBASE"}</definedName>
    <definedName name="______j1" localSheetId="28" hidden="1">{"PRINT",#N/A,TRUE,"APPA";"PRINT",#N/A,TRUE,"APS";"PRINT",#N/A,TRUE,"BHPL";"PRINT",#N/A,TRUE,"BHPL2";"PRINT",#N/A,TRUE,"CDWR";"PRINT",#N/A,TRUE,"EWEB";"PRINT",#N/A,TRUE,"LADWP";"PRINT",#N/A,TRUE,"NEVBASE"}</definedName>
    <definedName name="______j1" localSheetId="49" hidden="1">{"PRINT",#N/A,TRUE,"APPA";"PRINT",#N/A,TRUE,"APS";"PRINT",#N/A,TRUE,"BHPL";"PRINT",#N/A,TRUE,"BHPL2";"PRINT",#N/A,TRUE,"CDWR";"PRINT",#N/A,TRUE,"EWEB";"PRINT",#N/A,TRUE,"LADWP";"PRINT",#N/A,TRUE,"NEVBASE"}</definedName>
    <definedName name="______j1" localSheetId="23" hidden="1">{"PRINT",#N/A,TRUE,"APPA";"PRINT",#N/A,TRUE,"APS";"PRINT",#N/A,TRUE,"BHPL";"PRINT",#N/A,TRUE,"BHPL2";"PRINT",#N/A,TRUE,"CDWR";"PRINT",#N/A,TRUE,"EWEB";"PRINT",#N/A,TRUE,"LADWP";"PRINT",#N/A,TRUE,"NEVBASE"}</definedName>
    <definedName name="______j1" localSheetId="83" hidden="1">{"PRINT",#N/A,TRUE,"APPA";"PRINT",#N/A,TRUE,"APS";"PRINT",#N/A,TRUE,"BHPL";"PRINT",#N/A,TRUE,"BHPL2";"PRINT",#N/A,TRUE,"CDWR";"PRINT",#N/A,TRUE,"EWEB";"PRINT",#N/A,TRUE,"LADWP";"PRINT",#N/A,TRUE,"NEVBASE"}</definedName>
    <definedName name="______j1" localSheetId="27" hidden="1">{"PRINT",#N/A,TRUE,"APPA";"PRINT",#N/A,TRUE,"APS";"PRINT",#N/A,TRUE,"BHPL";"PRINT",#N/A,TRUE,"BHPL2";"PRINT",#N/A,TRUE,"CDWR";"PRINT",#N/A,TRUE,"EWEB";"PRINT",#N/A,TRUE,"LADWP";"PRINT",#N/A,TRUE,"NEVBASE"}</definedName>
    <definedName name="______j1" localSheetId="48" hidden="1">{"PRINT",#N/A,TRUE,"APPA";"PRINT",#N/A,TRUE,"APS";"PRINT",#N/A,TRUE,"BHPL";"PRINT",#N/A,TRUE,"BHPL2";"PRINT",#N/A,TRUE,"CDWR";"PRINT",#N/A,TRUE,"EWEB";"PRINT",#N/A,TRUE,"LADWP";"PRINT",#N/A,TRUE,"NEVBASE"}</definedName>
    <definedName name="______j1" hidden="1">{"PRINT",#N/A,TRUE,"APPA";"PRINT",#N/A,TRUE,"APS";"PRINT",#N/A,TRUE,"BHPL";"PRINT",#N/A,TRUE,"BHPL2";"PRINT",#N/A,TRUE,"CDWR";"PRINT",#N/A,TRUE,"EWEB";"PRINT",#N/A,TRUE,"LADWP";"PRINT",#N/A,TRUE,"NEVBASE"}</definedName>
    <definedName name="______j2" localSheetId="54" hidden="1">{"PRINT",#N/A,TRUE,"APPA";"PRINT",#N/A,TRUE,"APS";"PRINT",#N/A,TRUE,"BHPL";"PRINT",#N/A,TRUE,"BHPL2";"PRINT",#N/A,TRUE,"CDWR";"PRINT",#N/A,TRUE,"EWEB";"PRINT",#N/A,TRUE,"LADWP";"PRINT",#N/A,TRUE,"NEVBASE"}</definedName>
    <definedName name="______j2" localSheetId="53" hidden="1">{"PRINT",#N/A,TRUE,"APPA";"PRINT",#N/A,TRUE,"APS";"PRINT",#N/A,TRUE,"BHPL";"PRINT",#N/A,TRUE,"BHPL2";"PRINT",#N/A,TRUE,"CDWR";"PRINT",#N/A,TRUE,"EWEB";"PRINT",#N/A,TRUE,"LADWP";"PRINT",#N/A,TRUE,"NEVBASE"}</definedName>
    <definedName name="______j2" localSheetId="29" hidden="1">{"PRINT",#N/A,TRUE,"APPA";"PRINT",#N/A,TRUE,"APS";"PRINT",#N/A,TRUE,"BHPL";"PRINT",#N/A,TRUE,"BHPL2";"PRINT",#N/A,TRUE,"CDWR";"PRINT",#N/A,TRUE,"EWEB";"PRINT",#N/A,TRUE,"LADWP";"PRINT",#N/A,TRUE,"NEVBASE"}</definedName>
    <definedName name="______j2" localSheetId="28" hidden="1">{"PRINT",#N/A,TRUE,"APPA";"PRINT",#N/A,TRUE,"APS";"PRINT",#N/A,TRUE,"BHPL";"PRINT",#N/A,TRUE,"BHPL2";"PRINT",#N/A,TRUE,"CDWR";"PRINT",#N/A,TRUE,"EWEB";"PRINT",#N/A,TRUE,"LADWP";"PRINT",#N/A,TRUE,"NEVBASE"}</definedName>
    <definedName name="______j2" localSheetId="49" hidden="1">{"PRINT",#N/A,TRUE,"APPA";"PRINT",#N/A,TRUE,"APS";"PRINT",#N/A,TRUE,"BHPL";"PRINT",#N/A,TRUE,"BHPL2";"PRINT",#N/A,TRUE,"CDWR";"PRINT",#N/A,TRUE,"EWEB";"PRINT",#N/A,TRUE,"LADWP";"PRINT",#N/A,TRUE,"NEVBASE"}</definedName>
    <definedName name="______j2" localSheetId="23" hidden="1">{"PRINT",#N/A,TRUE,"APPA";"PRINT",#N/A,TRUE,"APS";"PRINT",#N/A,TRUE,"BHPL";"PRINT",#N/A,TRUE,"BHPL2";"PRINT",#N/A,TRUE,"CDWR";"PRINT",#N/A,TRUE,"EWEB";"PRINT",#N/A,TRUE,"LADWP";"PRINT",#N/A,TRUE,"NEVBASE"}</definedName>
    <definedName name="______j2" localSheetId="83" hidden="1">{"PRINT",#N/A,TRUE,"APPA";"PRINT",#N/A,TRUE,"APS";"PRINT",#N/A,TRUE,"BHPL";"PRINT",#N/A,TRUE,"BHPL2";"PRINT",#N/A,TRUE,"CDWR";"PRINT",#N/A,TRUE,"EWEB";"PRINT",#N/A,TRUE,"LADWP";"PRINT",#N/A,TRUE,"NEVBASE"}</definedName>
    <definedName name="______j2" localSheetId="27" hidden="1">{"PRINT",#N/A,TRUE,"APPA";"PRINT",#N/A,TRUE,"APS";"PRINT",#N/A,TRUE,"BHPL";"PRINT",#N/A,TRUE,"BHPL2";"PRINT",#N/A,TRUE,"CDWR";"PRINT",#N/A,TRUE,"EWEB";"PRINT",#N/A,TRUE,"LADWP";"PRINT",#N/A,TRUE,"NEVBASE"}</definedName>
    <definedName name="______j2" localSheetId="48" hidden="1">{"PRINT",#N/A,TRUE,"APPA";"PRINT",#N/A,TRUE,"APS";"PRINT",#N/A,TRUE,"BHPL";"PRINT",#N/A,TRUE,"BHPL2";"PRINT",#N/A,TRUE,"CDWR";"PRINT",#N/A,TRUE,"EWEB";"PRINT",#N/A,TRUE,"LADWP";"PRINT",#N/A,TRUE,"NEVBASE"}</definedName>
    <definedName name="______j2" hidden="1">{"PRINT",#N/A,TRUE,"APPA";"PRINT",#N/A,TRUE,"APS";"PRINT",#N/A,TRUE,"BHPL";"PRINT",#N/A,TRUE,"BHPL2";"PRINT",#N/A,TRUE,"CDWR";"PRINT",#N/A,TRUE,"EWEB";"PRINT",#N/A,TRUE,"LADWP";"PRINT",#N/A,TRUE,"NEVBASE"}</definedName>
    <definedName name="______j3" localSheetId="54" hidden="1">{"PRINT",#N/A,TRUE,"APPA";"PRINT",#N/A,TRUE,"APS";"PRINT",#N/A,TRUE,"BHPL";"PRINT",#N/A,TRUE,"BHPL2";"PRINT",#N/A,TRUE,"CDWR";"PRINT",#N/A,TRUE,"EWEB";"PRINT",#N/A,TRUE,"LADWP";"PRINT",#N/A,TRUE,"NEVBASE"}</definedName>
    <definedName name="______j3" localSheetId="53" hidden="1">{"PRINT",#N/A,TRUE,"APPA";"PRINT",#N/A,TRUE,"APS";"PRINT",#N/A,TRUE,"BHPL";"PRINT",#N/A,TRUE,"BHPL2";"PRINT",#N/A,TRUE,"CDWR";"PRINT",#N/A,TRUE,"EWEB";"PRINT",#N/A,TRUE,"LADWP";"PRINT",#N/A,TRUE,"NEVBASE"}</definedName>
    <definedName name="______j3" localSheetId="29" hidden="1">{"PRINT",#N/A,TRUE,"APPA";"PRINT",#N/A,TRUE,"APS";"PRINT",#N/A,TRUE,"BHPL";"PRINT",#N/A,TRUE,"BHPL2";"PRINT",#N/A,TRUE,"CDWR";"PRINT",#N/A,TRUE,"EWEB";"PRINT",#N/A,TRUE,"LADWP";"PRINT",#N/A,TRUE,"NEVBASE"}</definedName>
    <definedName name="______j3" localSheetId="28" hidden="1">{"PRINT",#N/A,TRUE,"APPA";"PRINT",#N/A,TRUE,"APS";"PRINT",#N/A,TRUE,"BHPL";"PRINT",#N/A,TRUE,"BHPL2";"PRINT",#N/A,TRUE,"CDWR";"PRINT",#N/A,TRUE,"EWEB";"PRINT",#N/A,TRUE,"LADWP";"PRINT",#N/A,TRUE,"NEVBASE"}</definedName>
    <definedName name="______j3" localSheetId="49" hidden="1">{"PRINT",#N/A,TRUE,"APPA";"PRINT",#N/A,TRUE,"APS";"PRINT",#N/A,TRUE,"BHPL";"PRINT",#N/A,TRUE,"BHPL2";"PRINT",#N/A,TRUE,"CDWR";"PRINT",#N/A,TRUE,"EWEB";"PRINT",#N/A,TRUE,"LADWP";"PRINT",#N/A,TRUE,"NEVBASE"}</definedName>
    <definedName name="______j3" localSheetId="23" hidden="1">{"PRINT",#N/A,TRUE,"APPA";"PRINT",#N/A,TRUE,"APS";"PRINT",#N/A,TRUE,"BHPL";"PRINT",#N/A,TRUE,"BHPL2";"PRINT",#N/A,TRUE,"CDWR";"PRINT",#N/A,TRUE,"EWEB";"PRINT",#N/A,TRUE,"LADWP";"PRINT",#N/A,TRUE,"NEVBASE"}</definedName>
    <definedName name="______j3" localSheetId="83" hidden="1">{"PRINT",#N/A,TRUE,"APPA";"PRINT",#N/A,TRUE,"APS";"PRINT",#N/A,TRUE,"BHPL";"PRINT",#N/A,TRUE,"BHPL2";"PRINT",#N/A,TRUE,"CDWR";"PRINT",#N/A,TRUE,"EWEB";"PRINT",#N/A,TRUE,"LADWP";"PRINT",#N/A,TRUE,"NEVBASE"}</definedName>
    <definedName name="______j3" localSheetId="27" hidden="1">{"PRINT",#N/A,TRUE,"APPA";"PRINT",#N/A,TRUE,"APS";"PRINT",#N/A,TRUE,"BHPL";"PRINT",#N/A,TRUE,"BHPL2";"PRINT",#N/A,TRUE,"CDWR";"PRINT",#N/A,TRUE,"EWEB";"PRINT",#N/A,TRUE,"LADWP";"PRINT",#N/A,TRUE,"NEVBASE"}</definedName>
    <definedName name="______j3" localSheetId="48" hidden="1">{"PRINT",#N/A,TRUE,"APPA";"PRINT",#N/A,TRUE,"APS";"PRINT",#N/A,TRUE,"BHPL";"PRINT",#N/A,TRUE,"BHPL2";"PRINT",#N/A,TRUE,"CDWR";"PRINT",#N/A,TRUE,"EWEB";"PRINT",#N/A,TRUE,"LADWP";"PRINT",#N/A,TRUE,"NEVBASE"}</definedName>
    <definedName name="______j3" hidden="1">{"PRINT",#N/A,TRUE,"APPA";"PRINT",#N/A,TRUE,"APS";"PRINT",#N/A,TRUE,"BHPL";"PRINT",#N/A,TRUE,"BHPL2";"PRINT",#N/A,TRUE,"CDWR";"PRINT",#N/A,TRUE,"EWEB";"PRINT",#N/A,TRUE,"LADWP";"PRINT",#N/A,TRUE,"NEVBASE"}</definedName>
    <definedName name="______j4" localSheetId="54" hidden="1">{"PRINT",#N/A,TRUE,"APPA";"PRINT",#N/A,TRUE,"APS";"PRINT",#N/A,TRUE,"BHPL";"PRINT",#N/A,TRUE,"BHPL2";"PRINT",#N/A,TRUE,"CDWR";"PRINT",#N/A,TRUE,"EWEB";"PRINT",#N/A,TRUE,"LADWP";"PRINT",#N/A,TRUE,"NEVBASE"}</definedName>
    <definedName name="______j4" localSheetId="53" hidden="1">{"PRINT",#N/A,TRUE,"APPA";"PRINT",#N/A,TRUE,"APS";"PRINT",#N/A,TRUE,"BHPL";"PRINT",#N/A,TRUE,"BHPL2";"PRINT",#N/A,TRUE,"CDWR";"PRINT",#N/A,TRUE,"EWEB";"PRINT",#N/A,TRUE,"LADWP";"PRINT",#N/A,TRUE,"NEVBASE"}</definedName>
    <definedName name="______j4" localSheetId="29" hidden="1">{"PRINT",#N/A,TRUE,"APPA";"PRINT",#N/A,TRUE,"APS";"PRINT",#N/A,TRUE,"BHPL";"PRINT",#N/A,TRUE,"BHPL2";"PRINT",#N/A,TRUE,"CDWR";"PRINT",#N/A,TRUE,"EWEB";"PRINT",#N/A,TRUE,"LADWP";"PRINT",#N/A,TRUE,"NEVBASE"}</definedName>
    <definedName name="______j4" localSheetId="28" hidden="1">{"PRINT",#N/A,TRUE,"APPA";"PRINT",#N/A,TRUE,"APS";"PRINT",#N/A,TRUE,"BHPL";"PRINT",#N/A,TRUE,"BHPL2";"PRINT",#N/A,TRUE,"CDWR";"PRINT",#N/A,TRUE,"EWEB";"PRINT",#N/A,TRUE,"LADWP";"PRINT",#N/A,TRUE,"NEVBASE"}</definedName>
    <definedName name="______j4" localSheetId="49" hidden="1">{"PRINT",#N/A,TRUE,"APPA";"PRINT",#N/A,TRUE,"APS";"PRINT",#N/A,TRUE,"BHPL";"PRINT",#N/A,TRUE,"BHPL2";"PRINT",#N/A,TRUE,"CDWR";"PRINT",#N/A,TRUE,"EWEB";"PRINT",#N/A,TRUE,"LADWP";"PRINT",#N/A,TRUE,"NEVBASE"}</definedName>
    <definedName name="______j4" localSheetId="23" hidden="1">{"PRINT",#N/A,TRUE,"APPA";"PRINT",#N/A,TRUE,"APS";"PRINT",#N/A,TRUE,"BHPL";"PRINT",#N/A,TRUE,"BHPL2";"PRINT",#N/A,TRUE,"CDWR";"PRINT",#N/A,TRUE,"EWEB";"PRINT",#N/A,TRUE,"LADWP";"PRINT",#N/A,TRUE,"NEVBASE"}</definedName>
    <definedName name="______j4" localSheetId="83" hidden="1">{"PRINT",#N/A,TRUE,"APPA";"PRINT",#N/A,TRUE,"APS";"PRINT",#N/A,TRUE,"BHPL";"PRINT",#N/A,TRUE,"BHPL2";"PRINT",#N/A,TRUE,"CDWR";"PRINT",#N/A,TRUE,"EWEB";"PRINT",#N/A,TRUE,"LADWP";"PRINT",#N/A,TRUE,"NEVBASE"}</definedName>
    <definedName name="______j4" localSheetId="27" hidden="1">{"PRINT",#N/A,TRUE,"APPA";"PRINT",#N/A,TRUE,"APS";"PRINT",#N/A,TRUE,"BHPL";"PRINT",#N/A,TRUE,"BHPL2";"PRINT",#N/A,TRUE,"CDWR";"PRINT",#N/A,TRUE,"EWEB";"PRINT",#N/A,TRUE,"LADWP";"PRINT",#N/A,TRUE,"NEVBASE"}</definedName>
    <definedName name="______j4" localSheetId="48" hidden="1">{"PRINT",#N/A,TRUE,"APPA";"PRINT",#N/A,TRUE,"APS";"PRINT",#N/A,TRUE,"BHPL";"PRINT",#N/A,TRUE,"BHPL2";"PRINT",#N/A,TRUE,"CDWR";"PRINT",#N/A,TRUE,"EWEB";"PRINT",#N/A,TRUE,"LADWP";"PRINT",#N/A,TRUE,"NEVBASE"}</definedName>
    <definedName name="______j4" hidden="1">{"PRINT",#N/A,TRUE,"APPA";"PRINT",#N/A,TRUE,"APS";"PRINT",#N/A,TRUE,"BHPL";"PRINT",#N/A,TRUE,"BHPL2";"PRINT",#N/A,TRUE,"CDWR";"PRINT",#N/A,TRUE,"EWEB";"PRINT",#N/A,TRUE,"LADWP";"PRINT",#N/A,TRUE,"NEVBASE"}</definedName>
    <definedName name="______j5" localSheetId="54" hidden="1">{"PRINT",#N/A,TRUE,"APPA";"PRINT",#N/A,TRUE,"APS";"PRINT",#N/A,TRUE,"BHPL";"PRINT",#N/A,TRUE,"BHPL2";"PRINT",#N/A,TRUE,"CDWR";"PRINT",#N/A,TRUE,"EWEB";"PRINT",#N/A,TRUE,"LADWP";"PRINT",#N/A,TRUE,"NEVBASE"}</definedName>
    <definedName name="______j5" localSheetId="53" hidden="1">{"PRINT",#N/A,TRUE,"APPA";"PRINT",#N/A,TRUE,"APS";"PRINT",#N/A,TRUE,"BHPL";"PRINT",#N/A,TRUE,"BHPL2";"PRINT",#N/A,TRUE,"CDWR";"PRINT",#N/A,TRUE,"EWEB";"PRINT",#N/A,TRUE,"LADWP";"PRINT",#N/A,TRUE,"NEVBASE"}</definedName>
    <definedName name="______j5" localSheetId="29" hidden="1">{"PRINT",#N/A,TRUE,"APPA";"PRINT",#N/A,TRUE,"APS";"PRINT",#N/A,TRUE,"BHPL";"PRINT",#N/A,TRUE,"BHPL2";"PRINT",#N/A,TRUE,"CDWR";"PRINT",#N/A,TRUE,"EWEB";"PRINT",#N/A,TRUE,"LADWP";"PRINT",#N/A,TRUE,"NEVBASE"}</definedName>
    <definedName name="______j5" localSheetId="28" hidden="1">{"PRINT",#N/A,TRUE,"APPA";"PRINT",#N/A,TRUE,"APS";"PRINT",#N/A,TRUE,"BHPL";"PRINT",#N/A,TRUE,"BHPL2";"PRINT",#N/A,TRUE,"CDWR";"PRINT",#N/A,TRUE,"EWEB";"PRINT",#N/A,TRUE,"LADWP";"PRINT",#N/A,TRUE,"NEVBASE"}</definedName>
    <definedName name="______j5" localSheetId="49" hidden="1">{"PRINT",#N/A,TRUE,"APPA";"PRINT",#N/A,TRUE,"APS";"PRINT",#N/A,TRUE,"BHPL";"PRINT",#N/A,TRUE,"BHPL2";"PRINT",#N/A,TRUE,"CDWR";"PRINT",#N/A,TRUE,"EWEB";"PRINT",#N/A,TRUE,"LADWP";"PRINT",#N/A,TRUE,"NEVBASE"}</definedName>
    <definedName name="______j5" localSheetId="23" hidden="1">{"PRINT",#N/A,TRUE,"APPA";"PRINT",#N/A,TRUE,"APS";"PRINT",#N/A,TRUE,"BHPL";"PRINT",#N/A,TRUE,"BHPL2";"PRINT",#N/A,TRUE,"CDWR";"PRINT",#N/A,TRUE,"EWEB";"PRINT",#N/A,TRUE,"LADWP";"PRINT",#N/A,TRUE,"NEVBASE"}</definedName>
    <definedName name="______j5" localSheetId="83" hidden="1">{"PRINT",#N/A,TRUE,"APPA";"PRINT",#N/A,TRUE,"APS";"PRINT",#N/A,TRUE,"BHPL";"PRINT",#N/A,TRUE,"BHPL2";"PRINT",#N/A,TRUE,"CDWR";"PRINT",#N/A,TRUE,"EWEB";"PRINT",#N/A,TRUE,"LADWP";"PRINT",#N/A,TRUE,"NEVBASE"}</definedName>
    <definedName name="______j5" localSheetId="27" hidden="1">{"PRINT",#N/A,TRUE,"APPA";"PRINT",#N/A,TRUE,"APS";"PRINT",#N/A,TRUE,"BHPL";"PRINT",#N/A,TRUE,"BHPL2";"PRINT",#N/A,TRUE,"CDWR";"PRINT",#N/A,TRUE,"EWEB";"PRINT",#N/A,TRUE,"LADWP";"PRINT",#N/A,TRUE,"NEVBASE"}</definedName>
    <definedName name="______j5" localSheetId="48" hidden="1">{"PRINT",#N/A,TRUE,"APPA";"PRINT",#N/A,TRUE,"APS";"PRINT",#N/A,TRUE,"BHPL";"PRINT",#N/A,TRUE,"BHPL2";"PRINT",#N/A,TRUE,"CDWR";"PRINT",#N/A,TRUE,"EWEB";"PRINT",#N/A,TRUE,"LADWP";"PRINT",#N/A,TRUE,"NEVBASE"}</definedName>
    <definedName name="______j5" hidden="1">{"PRINT",#N/A,TRUE,"APPA";"PRINT",#N/A,TRUE,"APS";"PRINT",#N/A,TRUE,"BHPL";"PRINT",#N/A,TRUE,"BHPL2";"PRINT",#N/A,TRUE,"CDWR";"PRINT",#N/A,TRUE,"EWEB";"PRINT",#N/A,TRUE,"LADWP";"PRINT",#N/A,TRUE,"NEVBASE"}</definedName>
    <definedName name="______OM1" localSheetId="54" hidden="1">{#N/A,#N/A,FALSE,"Summary";#N/A,#N/A,FALSE,"SmPlants";#N/A,#N/A,FALSE,"Utah";#N/A,#N/A,FALSE,"Idaho";#N/A,#N/A,FALSE,"Lewis River";#N/A,#N/A,FALSE,"NrthUmpq";#N/A,#N/A,FALSE,"KlamRog"}</definedName>
    <definedName name="______OM1" localSheetId="53" hidden="1">{#N/A,#N/A,FALSE,"Summary";#N/A,#N/A,FALSE,"SmPlants";#N/A,#N/A,FALSE,"Utah";#N/A,#N/A,FALSE,"Idaho";#N/A,#N/A,FALSE,"Lewis River";#N/A,#N/A,FALSE,"NrthUmpq";#N/A,#N/A,FALSE,"KlamRog"}</definedName>
    <definedName name="______OM1" localSheetId="29" hidden="1">{#N/A,#N/A,FALSE,"Summary";#N/A,#N/A,FALSE,"SmPlants";#N/A,#N/A,FALSE,"Utah";#N/A,#N/A,FALSE,"Idaho";#N/A,#N/A,FALSE,"Lewis River";#N/A,#N/A,FALSE,"NrthUmpq";#N/A,#N/A,FALSE,"KlamRog"}</definedName>
    <definedName name="______OM1" localSheetId="28" hidden="1">{#N/A,#N/A,FALSE,"Summary";#N/A,#N/A,FALSE,"SmPlants";#N/A,#N/A,FALSE,"Utah";#N/A,#N/A,FALSE,"Idaho";#N/A,#N/A,FALSE,"Lewis River";#N/A,#N/A,FALSE,"NrthUmpq";#N/A,#N/A,FALSE,"KlamRog"}</definedName>
    <definedName name="______OM1" localSheetId="49" hidden="1">{#N/A,#N/A,FALSE,"Summary";#N/A,#N/A,FALSE,"SmPlants";#N/A,#N/A,FALSE,"Utah";#N/A,#N/A,FALSE,"Idaho";#N/A,#N/A,FALSE,"Lewis River";#N/A,#N/A,FALSE,"NrthUmpq";#N/A,#N/A,FALSE,"KlamRog"}</definedName>
    <definedName name="______OM1" localSheetId="23" hidden="1">{#N/A,#N/A,FALSE,"Summary";#N/A,#N/A,FALSE,"SmPlants";#N/A,#N/A,FALSE,"Utah";#N/A,#N/A,FALSE,"Idaho";#N/A,#N/A,FALSE,"Lewis River";#N/A,#N/A,FALSE,"NrthUmpq";#N/A,#N/A,FALSE,"KlamRog"}</definedName>
    <definedName name="______OM1" localSheetId="83" hidden="1">{#N/A,#N/A,FALSE,"Summary";#N/A,#N/A,FALSE,"SmPlants";#N/A,#N/A,FALSE,"Utah";#N/A,#N/A,FALSE,"Idaho";#N/A,#N/A,FALSE,"Lewis River";#N/A,#N/A,FALSE,"NrthUmpq";#N/A,#N/A,FALSE,"KlamRog"}</definedName>
    <definedName name="______OM1" localSheetId="27" hidden="1">{#N/A,#N/A,FALSE,"Summary";#N/A,#N/A,FALSE,"SmPlants";#N/A,#N/A,FALSE,"Utah";#N/A,#N/A,FALSE,"Idaho";#N/A,#N/A,FALSE,"Lewis River";#N/A,#N/A,FALSE,"NrthUmpq";#N/A,#N/A,FALSE,"KlamRog"}</definedName>
    <definedName name="______OM1" localSheetId="48" hidden="1">{#N/A,#N/A,FALSE,"Summary";#N/A,#N/A,FALSE,"SmPlants";#N/A,#N/A,FALSE,"Utah";#N/A,#N/A,FALSE,"Idaho";#N/A,#N/A,FALSE,"Lewis River";#N/A,#N/A,FALSE,"NrthUmpq";#N/A,#N/A,FALSE,"KlamRog"}</definedName>
    <definedName name="______OM1" hidden="1">{#N/A,#N/A,FALSE,"Summary";#N/A,#N/A,FALSE,"SmPlants";#N/A,#N/A,FALSE,"Utah";#N/A,#N/A,FALSE,"Idaho";#N/A,#N/A,FALSE,"Lewis River";#N/A,#N/A,FALSE,"NrthUmpq";#N/A,#N/A,FALSE,"KlamRog"}</definedName>
    <definedName name="_____j1" localSheetId="54" hidden="1">{"PRINT",#N/A,TRUE,"APPA";"PRINT",#N/A,TRUE,"APS";"PRINT",#N/A,TRUE,"BHPL";"PRINT",#N/A,TRUE,"BHPL2";"PRINT",#N/A,TRUE,"CDWR";"PRINT",#N/A,TRUE,"EWEB";"PRINT",#N/A,TRUE,"LADWP";"PRINT",#N/A,TRUE,"NEVBASE"}</definedName>
    <definedName name="_____j1" localSheetId="53" hidden="1">{"PRINT",#N/A,TRUE,"APPA";"PRINT",#N/A,TRUE,"APS";"PRINT",#N/A,TRUE,"BHPL";"PRINT",#N/A,TRUE,"BHPL2";"PRINT",#N/A,TRUE,"CDWR";"PRINT",#N/A,TRUE,"EWEB";"PRINT",#N/A,TRUE,"LADWP";"PRINT",#N/A,TRUE,"NEVBASE"}</definedName>
    <definedName name="_____j1" localSheetId="29" hidden="1">{"PRINT",#N/A,TRUE,"APPA";"PRINT",#N/A,TRUE,"APS";"PRINT",#N/A,TRUE,"BHPL";"PRINT",#N/A,TRUE,"BHPL2";"PRINT",#N/A,TRUE,"CDWR";"PRINT",#N/A,TRUE,"EWEB";"PRINT",#N/A,TRUE,"LADWP";"PRINT",#N/A,TRUE,"NEVBASE"}</definedName>
    <definedName name="_____j1" localSheetId="28" hidden="1">{"PRINT",#N/A,TRUE,"APPA";"PRINT",#N/A,TRUE,"APS";"PRINT",#N/A,TRUE,"BHPL";"PRINT",#N/A,TRUE,"BHPL2";"PRINT",#N/A,TRUE,"CDWR";"PRINT",#N/A,TRUE,"EWEB";"PRINT",#N/A,TRUE,"LADWP";"PRINT",#N/A,TRUE,"NEVBASE"}</definedName>
    <definedName name="_____j1" localSheetId="49" hidden="1">{"PRINT",#N/A,TRUE,"APPA";"PRINT",#N/A,TRUE,"APS";"PRINT",#N/A,TRUE,"BHPL";"PRINT",#N/A,TRUE,"BHPL2";"PRINT",#N/A,TRUE,"CDWR";"PRINT",#N/A,TRUE,"EWEB";"PRINT",#N/A,TRUE,"LADWP";"PRINT",#N/A,TRUE,"NEVBASE"}</definedName>
    <definedName name="_____j1" localSheetId="23" hidden="1">{"PRINT",#N/A,TRUE,"APPA";"PRINT",#N/A,TRUE,"APS";"PRINT",#N/A,TRUE,"BHPL";"PRINT",#N/A,TRUE,"BHPL2";"PRINT",#N/A,TRUE,"CDWR";"PRINT",#N/A,TRUE,"EWEB";"PRINT",#N/A,TRUE,"LADWP";"PRINT",#N/A,TRUE,"NEVBASE"}</definedName>
    <definedName name="_____j1" localSheetId="83" hidden="1">{"PRINT",#N/A,TRUE,"APPA";"PRINT",#N/A,TRUE,"APS";"PRINT",#N/A,TRUE,"BHPL";"PRINT",#N/A,TRUE,"BHPL2";"PRINT",#N/A,TRUE,"CDWR";"PRINT",#N/A,TRUE,"EWEB";"PRINT",#N/A,TRUE,"LADWP";"PRINT",#N/A,TRUE,"NEVBASE"}</definedName>
    <definedName name="_____j1" localSheetId="27" hidden="1">{"PRINT",#N/A,TRUE,"APPA";"PRINT",#N/A,TRUE,"APS";"PRINT",#N/A,TRUE,"BHPL";"PRINT",#N/A,TRUE,"BHPL2";"PRINT",#N/A,TRUE,"CDWR";"PRINT",#N/A,TRUE,"EWEB";"PRINT",#N/A,TRUE,"LADWP";"PRINT",#N/A,TRUE,"NEVBASE"}</definedName>
    <definedName name="_____j1" localSheetId="48" hidden="1">{"PRINT",#N/A,TRUE,"APPA";"PRINT",#N/A,TRUE,"APS";"PRINT",#N/A,TRUE,"BHPL";"PRINT",#N/A,TRUE,"BHPL2";"PRINT",#N/A,TRUE,"CDWR";"PRINT",#N/A,TRUE,"EWEB";"PRINT",#N/A,TRUE,"LADWP";"PRINT",#N/A,TRUE,"NEVBASE"}</definedName>
    <definedName name="_____j1" hidden="1">{"PRINT",#N/A,TRUE,"APPA";"PRINT",#N/A,TRUE,"APS";"PRINT",#N/A,TRUE,"BHPL";"PRINT",#N/A,TRUE,"BHPL2";"PRINT",#N/A,TRUE,"CDWR";"PRINT",#N/A,TRUE,"EWEB";"PRINT",#N/A,TRUE,"LADWP";"PRINT",#N/A,TRUE,"NEVBASE"}</definedName>
    <definedName name="_____j2" localSheetId="54" hidden="1">{"PRINT",#N/A,TRUE,"APPA";"PRINT",#N/A,TRUE,"APS";"PRINT",#N/A,TRUE,"BHPL";"PRINT",#N/A,TRUE,"BHPL2";"PRINT",#N/A,TRUE,"CDWR";"PRINT",#N/A,TRUE,"EWEB";"PRINT",#N/A,TRUE,"LADWP";"PRINT",#N/A,TRUE,"NEVBASE"}</definedName>
    <definedName name="_____j2" localSheetId="53" hidden="1">{"PRINT",#N/A,TRUE,"APPA";"PRINT",#N/A,TRUE,"APS";"PRINT",#N/A,TRUE,"BHPL";"PRINT",#N/A,TRUE,"BHPL2";"PRINT",#N/A,TRUE,"CDWR";"PRINT",#N/A,TRUE,"EWEB";"PRINT",#N/A,TRUE,"LADWP";"PRINT",#N/A,TRUE,"NEVBASE"}</definedName>
    <definedName name="_____j2" localSheetId="29" hidden="1">{"PRINT",#N/A,TRUE,"APPA";"PRINT",#N/A,TRUE,"APS";"PRINT",#N/A,TRUE,"BHPL";"PRINT",#N/A,TRUE,"BHPL2";"PRINT",#N/A,TRUE,"CDWR";"PRINT",#N/A,TRUE,"EWEB";"PRINT",#N/A,TRUE,"LADWP";"PRINT",#N/A,TRUE,"NEVBASE"}</definedName>
    <definedName name="_____j2" localSheetId="28" hidden="1">{"PRINT",#N/A,TRUE,"APPA";"PRINT",#N/A,TRUE,"APS";"PRINT",#N/A,TRUE,"BHPL";"PRINT",#N/A,TRUE,"BHPL2";"PRINT",#N/A,TRUE,"CDWR";"PRINT",#N/A,TRUE,"EWEB";"PRINT",#N/A,TRUE,"LADWP";"PRINT",#N/A,TRUE,"NEVBASE"}</definedName>
    <definedName name="_____j2" localSheetId="49" hidden="1">{"PRINT",#N/A,TRUE,"APPA";"PRINT",#N/A,TRUE,"APS";"PRINT",#N/A,TRUE,"BHPL";"PRINT",#N/A,TRUE,"BHPL2";"PRINT",#N/A,TRUE,"CDWR";"PRINT",#N/A,TRUE,"EWEB";"PRINT",#N/A,TRUE,"LADWP";"PRINT",#N/A,TRUE,"NEVBASE"}</definedName>
    <definedName name="_____j2" localSheetId="23" hidden="1">{"PRINT",#N/A,TRUE,"APPA";"PRINT",#N/A,TRUE,"APS";"PRINT",#N/A,TRUE,"BHPL";"PRINT",#N/A,TRUE,"BHPL2";"PRINT",#N/A,TRUE,"CDWR";"PRINT",#N/A,TRUE,"EWEB";"PRINT",#N/A,TRUE,"LADWP";"PRINT",#N/A,TRUE,"NEVBASE"}</definedName>
    <definedName name="_____j2" localSheetId="83" hidden="1">{"PRINT",#N/A,TRUE,"APPA";"PRINT",#N/A,TRUE,"APS";"PRINT",#N/A,TRUE,"BHPL";"PRINT",#N/A,TRUE,"BHPL2";"PRINT",#N/A,TRUE,"CDWR";"PRINT",#N/A,TRUE,"EWEB";"PRINT",#N/A,TRUE,"LADWP";"PRINT",#N/A,TRUE,"NEVBASE"}</definedName>
    <definedName name="_____j2" localSheetId="27" hidden="1">{"PRINT",#N/A,TRUE,"APPA";"PRINT",#N/A,TRUE,"APS";"PRINT",#N/A,TRUE,"BHPL";"PRINT",#N/A,TRUE,"BHPL2";"PRINT",#N/A,TRUE,"CDWR";"PRINT",#N/A,TRUE,"EWEB";"PRINT",#N/A,TRUE,"LADWP";"PRINT",#N/A,TRUE,"NEVBASE"}</definedName>
    <definedName name="_____j2" localSheetId="48" hidden="1">{"PRINT",#N/A,TRUE,"APPA";"PRINT",#N/A,TRUE,"APS";"PRINT",#N/A,TRUE,"BHPL";"PRINT",#N/A,TRUE,"BHPL2";"PRINT",#N/A,TRUE,"CDWR";"PRINT",#N/A,TRUE,"EWEB";"PRINT",#N/A,TRUE,"LADWP";"PRINT",#N/A,TRUE,"NEVBASE"}</definedName>
    <definedName name="_____j2" hidden="1">{"PRINT",#N/A,TRUE,"APPA";"PRINT",#N/A,TRUE,"APS";"PRINT",#N/A,TRUE,"BHPL";"PRINT",#N/A,TRUE,"BHPL2";"PRINT",#N/A,TRUE,"CDWR";"PRINT",#N/A,TRUE,"EWEB";"PRINT",#N/A,TRUE,"LADWP";"PRINT",#N/A,TRUE,"NEVBASE"}</definedName>
    <definedName name="_____j3" localSheetId="54" hidden="1">{"PRINT",#N/A,TRUE,"APPA";"PRINT",#N/A,TRUE,"APS";"PRINT",#N/A,TRUE,"BHPL";"PRINT",#N/A,TRUE,"BHPL2";"PRINT",#N/A,TRUE,"CDWR";"PRINT",#N/A,TRUE,"EWEB";"PRINT",#N/A,TRUE,"LADWP";"PRINT",#N/A,TRUE,"NEVBASE"}</definedName>
    <definedName name="_____j3" localSheetId="53" hidden="1">{"PRINT",#N/A,TRUE,"APPA";"PRINT",#N/A,TRUE,"APS";"PRINT",#N/A,TRUE,"BHPL";"PRINT",#N/A,TRUE,"BHPL2";"PRINT",#N/A,TRUE,"CDWR";"PRINT",#N/A,TRUE,"EWEB";"PRINT",#N/A,TRUE,"LADWP";"PRINT",#N/A,TRUE,"NEVBASE"}</definedName>
    <definedName name="_____j3" localSheetId="29" hidden="1">{"PRINT",#N/A,TRUE,"APPA";"PRINT",#N/A,TRUE,"APS";"PRINT",#N/A,TRUE,"BHPL";"PRINT",#N/A,TRUE,"BHPL2";"PRINT",#N/A,TRUE,"CDWR";"PRINT",#N/A,TRUE,"EWEB";"PRINT",#N/A,TRUE,"LADWP";"PRINT",#N/A,TRUE,"NEVBASE"}</definedName>
    <definedName name="_____j3" localSheetId="28" hidden="1">{"PRINT",#N/A,TRUE,"APPA";"PRINT",#N/A,TRUE,"APS";"PRINT",#N/A,TRUE,"BHPL";"PRINT",#N/A,TRUE,"BHPL2";"PRINT",#N/A,TRUE,"CDWR";"PRINT",#N/A,TRUE,"EWEB";"PRINT",#N/A,TRUE,"LADWP";"PRINT",#N/A,TRUE,"NEVBASE"}</definedName>
    <definedName name="_____j3" localSheetId="49" hidden="1">{"PRINT",#N/A,TRUE,"APPA";"PRINT",#N/A,TRUE,"APS";"PRINT",#N/A,TRUE,"BHPL";"PRINT",#N/A,TRUE,"BHPL2";"PRINT",#N/A,TRUE,"CDWR";"PRINT",#N/A,TRUE,"EWEB";"PRINT",#N/A,TRUE,"LADWP";"PRINT",#N/A,TRUE,"NEVBASE"}</definedName>
    <definedName name="_____j3" localSheetId="23" hidden="1">{"PRINT",#N/A,TRUE,"APPA";"PRINT",#N/A,TRUE,"APS";"PRINT",#N/A,TRUE,"BHPL";"PRINT",#N/A,TRUE,"BHPL2";"PRINT",#N/A,TRUE,"CDWR";"PRINT",#N/A,TRUE,"EWEB";"PRINT",#N/A,TRUE,"LADWP";"PRINT",#N/A,TRUE,"NEVBASE"}</definedName>
    <definedName name="_____j3" localSheetId="83" hidden="1">{"PRINT",#N/A,TRUE,"APPA";"PRINT",#N/A,TRUE,"APS";"PRINT",#N/A,TRUE,"BHPL";"PRINT",#N/A,TRUE,"BHPL2";"PRINT",#N/A,TRUE,"CDWR";"PRINT",#N/A,TRUE,"EWEB";"PRINT",#N/A,TRUE,"LADWP";"PRINT",#N/A,TRUE,"NEVBASE"}</definedName>
    <definedName name="_____j3" localSheetId="27" hidden="1">{"PRINT",#N/A,TRUE,"APPA";"PRINT",#N/A,TRUE,"APS";"PRINT",#N/A,TRUE,"BHPL";"PRINT",#N/A,TRUE,"BHPL2";"PRINT",#N/A,TRUE,"CDWR";"PRINT",#N/A,TRUE,"EWEB";"PRINT",#N/A,TRUE,"LADWP";"PRINT",#N/A,TRUE,"NEVBASE"}</definedName>
    <definedName name="_____j3" localSheetId="48" hidden="1">{"PRINT",#N/A,TRUE,"APPA";"PRINT",#N/A,TRUE,"APS";"PRINT",#N/A,TRUE,"BHPL";"PRINT",#N/A,TRUE,"BHPL2";"PRINT",#N/A,TRUE,"CDWR";"PRINT",#N/A,TRUE,"EWEB";"PRINT",#N/A,TRUE,"LADWP";"PRINT",#N/A,TRUE,"NEVBASE"}</definedName>
    <definedName name="_____j3" hidden="1">{"PRINT",#N/A,TRUE,"APPA";"PRINT",#N/A,TRUE,"APS";"PRINT",#N/A,TRUE,"BHPL";"PRINT",#N/A,TRUE,"BHPL2";"PRINT",#N/A,TRUE,"CDWR";"PRINT",#N/A,TRUE,"EWEB";"PRINT",#N/A,TRUE,"LADWP";"PRINT",#N/A,TRUE,"NEVBASE"}</definedName>
    <definedName name="_____j4" localSheetId="54" hidden="1">{"PRINT",#N/A,TRUE,"APPA";"PRINT",#N/A,TRUE,"APS";"PRINT",#N/A,TRUE,"BHPL";"PRINT",#N/A,TRUE,"BHPL2";"PRINT",#N/A,TRUE,"CDWR";"PRINT",#N/A,TRUE,"EWEB";"PRINT",#N/A,TRUE,"LADWP";"PRINT",#N/A,TRUE,"NEVBASE"}</definedName>
    <definedName name="_____j4" localSheetId="53" hidden="1">{"PRINT",#N/A,TRUE,"APPA";"PRINT",#N/A,TRUE,"APS";"PRINT",#N/A,TRUE,"BHPL";"PRINT",#N/A,TRUE,"BHPL2";"PRINT",#N/A,TRUE,"CDWR";"PRINT",#N/A,TRUE,"EWEB";"PRINT",#N/A,TRUE,"LADWP";"PRINT",#N/A,TRUE,"NEVBASE"}</definedName>
    <definedName name="_____j4" localSheetId="29" hidden="1">{"PRINT",#N/A,TRUE,"APPA";"PRINT",#N/A,TRUE,"APS";"PRINT",#N/A,TRUE,"BHPL";"PRINT",#N/A,TRUE,"BHPL2";"PRINT",#N/A,TRUE,"CDWR";"PRINT",#N/A,TRUE,"EWEB";"PRINT",#N/A,TRUE,"LADWP";"PRINT",#N/A,TRUE,"NEVBASE"}</definedName>
    <definedName name="_____j4" localSheetId="28" hidden="1">{"PRINT",#N/A,TRUE,"APPA";"PRINT",#N/A,TRUE,"APS";"PRINT",#N/A,TRUE,"BHPL";"PRINT",#N/A,TRUE,"BHPL2";"PRINT",#N/A,TRUE,"CDWR";"PRINT",#N/A,TRUE,"EWEB";"PRINT",#N/A,TRUE,"LADWP";"PRINT",#N/A,TRUE,"NEVBASE"}</definedName>
    <definedName name="_____j4" localSheetId="49" hidden="1">{"PRINT",#N/A,TRUE,"APPA";"PRINT",#N/A,TRUE,"APS";"PRINT",#N/A,TRUE,"BHPL";"PRINT",#N/A,TRUE,"BHPL2";"PRINT",#N/A,TRUE,"CDWR";"PRINT",#N/A,TRUE,"EWEB";"PRINT",#N/A,TRUE,"LADWP";"PRINT",#N/A,TRUE,"NEVBASE"}</definedName>
    <definedName name="_____j4" localSheetId="23" hidden="1">{"PRINT",#N/A,TRUE,"APPA";"PRINT",#N/A,TRUE,"APS";"PRINT",#N/A,TRUE,"BHPL";"PRINT",#N/A,TRUE,"BHPL2";"PRINT",#N/A,TRUE,"CDWR";"PRINT",#N/A,TRUE,"EWEB";"PRINT",#N/A,TRUE,"LADWP";"PRINT",#N/A,TRUE,"NEVBASE"}</definedName>
    <definedName name="_____j4" localSheetId="83" hidden="1">{"PRINT",#N/A,TRUE,"APPA";"PRINT",#N/A,TRUE,"APS";"PRINT",#N/A,TRUE,"BHPL";"PRINT",#N/A,TRUE,"BHPL2";"PRINT",#N/A,TRUE,"CDWR";"PRINT",#N/A,TRUE,"EWEB";"PRINT",#N/A,TRUE,"LADWP";"PRINT",#N/A,TRUE,"NEVBASE"}</definedName>
    <definedName name="_____j4" localSheetId="27" hidden="1">{"PRINT",#N/A,TRUE,"APPA";"PRINT",#N/A,TRUE,"APS";"PRINT",#N/A,TRUE,"BHPL";"PRINT",#N/A,TRUE,"BHPL2";"PRINT",#N/A,TRUE,"CDWR";"PRINT",#N/A,TRUE,"EWEB";"PRINT",#N/A,TRUE,"LADWP";"PRINT",#N/A,TRUE,"NEVBASE"}</definedName>
    <definedName name="_____j4" localSheetId="48" hidden="1">{"PRINT",#N/A,TRUE,"APPA";"PRINT",#N/A,TRUE,"APS";"PRINT",#N/A,TRUE,"BHPL";"PRINT",#N/A,TRUE,"BHPL2";"PRINT",#N/A,TRUE,"CDWR";"PRINT",#N/A,TRUE,"EWEB";"PRINT",#N/A,TRUE,"LADWP";"PRINT",#N/A,TRUE,"NEVBASE"}</definedName>
    <definedName name="_____j4" hidden="1">{"PRINT",#N/A,TRUE,"APPA";"PRINT",#N/A,TRUE,"APS";"PRINT",#N/A,TRUE,"BHPL";"PRINT",#N/A,TRUE,"BHPL2";"PRINT",#N/A,TRUE,"CDWR";"PRINT",#N/A,TRUE,"EWEB";"PRINT",#N/A,TRUE,"LADWP";"PRINT",#N/A,TRUE,"NEVBASE"}</definedName>
    <definedName name="_____j5" localSheetId="54" hidden="1">{"PRINT",#N/A,TRUE,"APPA";"PRINT",#N/A,TRUE,"APS";"PRINT",#N/A,TRUE,"BHPL";"PRINT",#N/A,TRUE,"BHPL2";"PRINT",#N/A,TRUE,"CDWR";"PRINT",#N/A,TRUE,"EWEB";"PRINT",#N/A,TRUE,"LADWP";"PRINT",#N/A,TRUE,"NEVBASE"}</definedName>
    <definedName name="_____j5" localSheetId="53" hidden="1">{"PRINT",#N/A,TRUE,"APPA";"PRINT",#N/A,TRUE,"APS";"PRINT",#N/A,TRUE,"BHPL";"PRINT",#N/A,TRUE,"BHPL2";"PRINT",#N/A,TRUE,"CDWR";"PRINT",#N/A,TRUE,"EWEB";"PRINT",#N/A,TRUE,"LADWP";"PRINT",#N/A,TRUE,"NEVBASE"}</definedName>
    <definedName name="_____j5" localSheetId="29" hidden="1">{"PRINT",#N/A,TRUE,"APPA";"PRINT",#N/A,TRUE,"APS";"PRINT",#N/A,TRUE,"BHPL";"PRINT",#N/A,TRUE,"BHPL2";"PRINT",#N/A,TRUE,"CDWR";"PRINT",#N/A,TRUE,"EWEB";"PRINT",#N/A,TRUE,"LADWP";"PRINT",#N/A,TRUE,"NEVBASE"}</definedName>
    <definedName name="_____j5" localSheetId="28" hidden="1">{"PRINT",#N/A,TRUE,"APPA";"PRINT",#N/A,TRUE,"APS";"PRINT",#N/A,TRUE,"BHPL";"PRINT",#N/A,TRUE,"BHPL2";"PRINT",#N/A,TRUE,"CDWR";"PRINT",#N/A,TRUE,"EWEB";"PRINT",#N/A,TRUE,"LADWP";"PRINT",#N/A,TRUE,"NEVBASE"}</definedName>
    <definedName name="_____j5" localSheetId="49" hidden="1">{"PRINT",#N/A,TRUE,"APPA";"PRINT",#N/A,TRUE,"APS";"PRINT",#N/A,TRUE,"BHPL";"PRINT",#N/A,TRUE,"BHPL2";"PRINT",#N/A,TRUE,"CDWR";"PRINT",#N/A,TRUE,"EWEB";"PRINT",#N/A,TRUE,"LADWP";"PRINT",#N/A,TRUE,"NEVBASE"}</definedName>
    <definedName name="_____j5" localSheetId="23" hidden="1">{"PRINT",#N/A,TRUE,"APPA";"PRINT",#N/A,TRUE,"APS";"PRINT",#N/A,TRUE,"BHPL";"PRINT",#N/A,TRUE,"BHPL2";"PRINT",#N/A,TRUE,"CDWR";"PRINT",#N/A,TRUE,"EWEB";"PRINT",#N/A,TRUE,"LADWP";"PRINT",#N/A,TRUE,"NEVBASE"}</definedName>
    <definedName name="_____j5" localSheetId="83" hidden="1">{"PRINT",#N/A,TRUE,"APPA";"PRINT",#N/A,TRUE,"APS";"PRINT",#N/A,TRUE,"BHPL";"PRINT",#N/A,TRUE,"BHPL2";"PRINT",#N/A,TRUE,"CDWR";"PRINT",#N/A,TRUE,"EWEB";"PRINT",#N/A,TRUE,"LADWP";"PRINT",#N/A,TRUE,"NEVBASE"}</definedName>
    <definedName name="_____j5" localSheetId="27" hidden="1">{"PRINT",#N/A,TRUE,"APPA";"PRINT",#N/A,TRUE,"APS";"PRINT",#N/A,TRUE,"BHPL";"PRINT",#N/A,TRUE,"BHPL2";"PRINT",#N/A,TRUE,"CDWR";"PRINT",#N/A,TRUE,"EWEB";"PRINT",#N/A,TRUE,"LADWP";"PRINT",#N/A,TRUE,"NEVBASE"}</definedName>
    <definedName name="_____j5" localSheetId="48" hidden="1">{"PRINT",#N/A,TRUE,"APPA";"PRINT",#N/A,TRUE,"APS";"PRINT",#N/A,TRUE,"BHPL";"PRINT",#N/A,TRUE,"BHPL2";"PRINT",#N/A,TRUE,"CDWR";"PRINT",#N/A,TRUE,"EWEB";"PRINT",#N/A,TRUE,"LADWP";"PRINT",#N/A,TRUE,"NEVBASE"}</definedName>
    <definedName name="_____j5" hidden="1">{"PRINT",#N/A,TRUE,"APPA";"PRINT",#N/A,TRUE,"APS";"PRINT",#N/A,TRUE,"BHPL";"PRINT",#N/A,TRUE,"BHPL2";"PRINT",#N/A,TRUE,"CDWR";"PRINT",#N/A,TRUE,"EWEB";"PRINT",#N/A,TRUE,"LADWP";"PRINT",#N/A,TRUE,"NEVBASE"}</definedName>
    <definedName name="_____OM1" localSheetId="54" hidden="1">{#N/A,#N/A,FALSE,"Summary";#N/A,#N/A,FALSE,"SmPlants";#N/A,#N/A,FALSE,"Utah";#N/A,#N/A,FALSE,"Idaho";#N/A,#N/A,FALSE,"Lewis River";#N/A,#N/A,FALSE,"NrthUmpq";#N/A,#N/A,FALSE,"KlamRog"}</definedName>
    <definedName name="_____OM1" localSheetId="53" hidden="1">{#N/A,#N/A,FALSE,"Summary";#N/A,#N/A,FALSE,"SmPlants";#N/A,#N/A,FALSE,"Utah";#N/A,#N/A,FALSE,"Idaho";#N/A,#N/A,FALSE,"Lewis River";#N/A,#N/A,FALSE,"NrthUmpq";#N/A,#N/A,FALSE,"KlamRog"}</definedName>
    <definedName name="_____OM1" localSheetId="29" hidden="1">{#N/A,#N/A,FALSE,"Summary";#N/A,#N/A,FALSE,"SmPlants";#N/A,#N/A,FALSE,"Utah";#N/A,#N/A,FALSE,"Idaho";#N/A,#N/A,FALSE,"Lewis River";#N/A,#N/A,FALSE,"NrthUmpq";#N/A,#N/A,FALSE,"KlamRog"}</definedName>
    <definedName name="_____OM1" localSheetId="28" hidden="1">{#N/A,#N/A,FALSE,"Summary";#N/A,#N/A,FALSE,"SmPlants";#N/A,#N/A,FALSE,"Utah";#N/A,#N/A,FALSE,"Idaho";#N/A,#N/A,FALSE,"Lewis River";#N/A,#N/A,FALSE,"NrthUmpq";#N/A,#N/A,FALSE,"KlamRog"}</definedName>
    <definedName name="_____OM1" localSheetId="49" hidden="1">{#N/A,#N/A,FALSE,"Summary";#N/A,#N/A,FALSE,"SmPlants";#N/A,#N/A,FALSE,"Utah";#N/A,#N/A,FALSE,"Idaho";#N/A,#N/A,FALSE,"Lewis River";#N/A,#N/A,FALSE,"NrthUmpq";#N/A,#N/A,FALSE,"KlamRog"}</definedName>
    <definedName name="_____OM1" localSheetId="23" hidden="1">{#N/A,#N/A,FALSE,"Summary";#N/A,#N/A,FALSE,"SmPlants";#N/A,#N/A,FALSE,"Utah";#N/A,#N/A,FALSE,"Idaho";#N/A,#N/A,FALSE,"Lewis River";#N/A,#N/A,FALSE,"NrthUmpq";#N/A,#N/A,FALSE,"KlamRog"}</definedName>
    <definedName name="_____OM1" localSheetId="83" hidden="1">{#N/A,#N/A,FALSE,"Summary";#N/A,#N/A,FALSE,"SmPlants";#N/A,#N/A,FALSE,"Utah";#N/A,#N/A,FALSE,"Idaho";#N/A,#N/A,FALSE,"Lewis River";#N/A,#N/A,FALSE,"NrthUmpq";#N/A,#N/A,FALSE,"KlamRog"}</definedName>
    <definedName name="_____OM1" localSheetId="27" hidden="1">{#N/A,#N/A,FALSE,"Summary";#N/A,#N/A,FALSE,"SmPlants";#N/A,#N/A,FALSE,"Utah";#N/A,#N/A,FALSE,"Idaho";#N/A,#N/A,FALSE,"Lewis River";#N/A,#N/A,FALSE,"NrthUmpq";#N/A,#N/A,FALSE,"KlamRog"}</definedName>
    <definedName name="_____OM1" localSheetId="48" hidden="1">{#N/A,#N/A,FALSE,"Summary";#N/A,#N/A,FALSE,"SmPlants";#N/A,#N/A,FALSE,"Utah";#N/A,#N/A,FALSE,"Idaho";#N/A,#N/A,FALSE,"Lewis River";#N/A,#N/A,FALSE,"NrthUmpq";#N/A,#N/A,FALSE,"KlamRog"}</definedName>
    <definedName name="_____OM1" hidden="1">{#N/A,#N/A,FALSE,"Summary";#N/A,#N/A,FALSE,"SmPlants";#N/A,#N/A,FALSE,"Utah";#N/A,#N/A,FALSE,"Idaho";#N/A,#N/A,FALSE,"Lewis River";#N/A,#N/A,FALSE,"NrthUmpq";#N/A,#N/A,FALSE,"KlamRog"}</definedName>
    <definedName name="____j1" localSheetId="54" hidden="1">{"PRINT",#N/A,TRUE,"APPA";"PRINT",#N/A,TRUE,"APS";"PRINT",#N/A,TRUE,"BHPL";"PRINT",#N/A,TRUE,"BHPL2";"PRINT",#N/A,TRUE,"CDWR";"PRINT",#N/A,TRUE,"EWEB";"PRINT",#N/A,TRUE,"LADWP";"PRINT",#N/A,TRUE,"NEVBASE"}</definedName>
    <definedName name="____j1" localSheetId="53" hidden="1">{"PRINT",#N/A,TRUE,"APPA";"PRINT",#N/A,TRUE,"APS";"PRINT",#N/A,TRUE,"BHPL";"PRINT",#N/A,TRUE,"BHPL2";"PRINT",#N/A,TRUE,"CDWR";"PRINT",#N/A,TRUE,"EWEB";"PRINT",#N/A,TRUE,"LADWP";"PRINT",#N/A,TRUE,"NEVBASE"}</definedName>
    <definedName name="____j1" localSheetId="29" hidden="1">{"PRINT",#N/A,TRUE,"APPA";"PRINT",#N/A,TRUE,"APS";"PRINT",#N/A,TRUE,"BHPL";"PRINT",#N/A,TRUE,"BHPL2";"PRINT",#N/A,TRUE,"CDWR";"PRINT",#N/A,TRUE,"EWEB";"PRINT",#N/A,TRUE,"LADWP";"PRINT",#N/A,TRUE,"NEVBASE"}</definedName>
    <definedName name="____j1" localSheetId="28" hidden="1">{"PRINT",#N/A,TRUE,"APPA";"PRINT",#N/A,TRUE,"APS";"PRINT",#N/A,TRUE,"BHPL";"PRINT",#N/A,TRUE,"BHPL2";"PRINT",#N/A,TRUE,"CDWR";"PRINT",#N/A,TRUE,"EWEB";"PRINT",#N/A,TRUE,"LADWP";"PRINT",#N/A,TRUE,"NEVBASE"}</definedName>
    <definedName name="____j1" localSheetId="49" hidden="1">{"PRINT",#N/A,TRUE,"APPA";"PRINT",#N/A,TRUE,"APS";"PRINT",#N/A,TRUE,"BHPL";"PRINT",#N/A,TRUE,"BHPL2";"PRINT",#N/A,TRUE,"CDWR";"PRINT",#N/A,TRUE,"EWEB";"PRINT",#N/A,TRUE,"LADWP";"PRINT",#N/A,TRUE,"NEVBASE"}</definedName>
    <definedName name="____j1" localSheetId="23" hidden="1">{"PRINT",#N/A,TRUE,"APPA";"PRINT",#N/A,TRUE,"APS";"PRINT",#N/A,TRUE,"BHPL";"PRINT",#N/A,TRUE,"BHPL2";"PRINT",#N/A,TRUE,"CDWR";"PRINT",#N/A,TRUE,"EWEB";"PRINT",#N/A,TRUE,"LADWP";"PRINT",#N/A,TRUE,"NEVBASE"}</definedName>
    <definedName name="____j1" localSheetId="83" hidden="1">{"PRINT",#N/A,TRUE,"APPA";"PRINT",#N/A,TRUE,"APS";"PRINT",#N/A,TRUE,"BHPL";"PRINT",#N/A,TRUE,"BHPL2";"PRINT",#N/A,TRUE,"CDWR";"PRINT",#N/A,TRUE,"EWEB";"PRINT",#N/A,TRUE,"LADWP";"PRINT",#N/A,TRUE,"NEVBASE"}</definedName>
    <definedName name="____j1" localSheetId="27" hidden="1">{"PRINT",#N/A,TRUE,"APPA";"PRINT",#N/A,TRUE,"APS";"PRINT",#N/A,TRUE,"BHPL";"PRINT",#N/A,TRUE,"BHPL2";"PRINT",#N/A,TRUE,"CDWR";"PRINT",#N/A,TRUE,"EWEB";"PRINT",#N/A,TRUE,"LADWP";"PRINT",#N/A,TRUE,"NEVBASE"}</definedName>
    <definedName name="____j1" localSheetId="48" hidden="1">{"PRINT",#N/A,TRUE,"APPA";"PRINT",#N/A,TRUE,"APS";"PRINT",#N/A,TRUE,"BHPL";"PRINT",#N/A,TRUE,"BHPL2";"PRINT",#N/A,TRUE,"CDWR";"PRINT",#N/A,TRUE,"EWEB";"PRINT",#N/A,TRUE,"LADWP";"PRINT",#N/A,TRUE,"NEVBASE"}</definedName>
    <definedName name="____j1" hidden="1">{"PRINT",#N/A,TRUE,"APPA";"PRINT",#N/A,TRUE,"APS";"PRINT",#N/A,TRUE,"BHPL";"PRINT",#N/A,TRUE,"BHPL2";"PRINT",#N/A,TRUE,"CDWR";"PRINT",#N/A,TRUE,"EWEB";"PRINT",#N/A,TRUE,"LADWP";"PRINT",#N/A,TRUE,"NEVBASE"}</definedName>
    <definedName name="____j2" localSheetId="54" hidden="1">{"PRINT",#N/A,TRUE,"APPA";"PRINT",#N/A,TRUE,"APS";"PRINT",#N/A,TRUE,"BHPL";"PRINT",#N/A,TRUE,"BHPL2";"PRINT",#N/A,TRUE,"CDWR";"PRINT",#N/A,TRUE,"EWEB";"PRINT",#N/A,TRUE,"LADWP";"PRINT",#N/A,TRUE,"NEVBASE"}</definedName>
    <definedName name="____j2" localSheetId="53" hidden="1">{"PRINT",#N/A,TRUE,"APPA";"PRINT",#N/A,TRUE,"APS";"PRINT",#N/A,TRUE,"BHPL";"PRINT",#N/A,TRUE,"BHPL2";"PRINT",#N/A,TRUE,"CDWR";"PRINT",#N/A,TRUE,"EWEB";"PRINT",#N/A,TRUE,"LADWP";"PRINT",#N/A,TRUE,"NEVBASE"}</definedName>
    <definedName name="____j2" localSheetId="29" hidden="1">{"PRINT",#N/A,TRUE,"APPA";"PRINT",#N/A,TRUE,"APS";"PRINT",#N/A,TRUE,"BHPL";"PRINT",#N/A,TRUE,"BHPL2";"PRINT",#N/A,TRUE,"CDWR";"PRINT",#N/A,TRUE,"EWEB";"PRINT",#N/A,TRUE,"LADWP";"PRINT",#N/A,TRUE,"NEVBASE"}</definedName>
    <definedName name="____j2" localSheetId="28" hidden="1">{"PRINT",#N/A,TRUE,"APPA";"PRINT",#N/A,TRUE,"APS";"PRINT",#N/A,TRUE,"BHPL";"PRINT",#N/A,TRUE,"BHPL2";"PRINT",#N/A,TRUE,"CDWR";"PRINT",#N/A,TRUE,"EWEB";"PRINT",#N/A,TRUE,"LADWP";"PRINT",#N/A,TRUE,"NEVBASE"}</definedName>
    <definedName name="____j2" localSheetId="49" hidden="1">{"PRINT",#N/A,TRUE,"APPA";"PRINT",#N/A,TRUE,"APS";"PRINT",#N/A,TRUE,"BHPL";"PRINT",#N/A,TRUE,"BHPL2";"PRINT",#N/A,TRUE,"CDWR";"PRINT",#N/A,TRUE,"EWEB";"PRINT",#N/A,TRUE,"LADWP";"PRINT",#N/A,TRUE,"NEVBASE"}</definedName>
    <definedName name="____j2" localSheetId="23" hidden="1">{"PRINT",#N/A,TRUE,"APPA";"PRINT",#N/A,TRUE,"APS";"PRINT",#N/A,TRUE,"BHPL";"PRINT",#N/A,TRUE,"BHPL2";"PRINT",#N/A,TRUE,"CDWR";"PRINT",#N/A,TRUE,"EWEB";"PRINT",#N/A,TRUE,"LADWP";"PRINT",#N/A,TRUE,"NEVBASE"}</definedName>
    <definedName name="____j2" localSheetId="83" hidden="1">{"PRINT",#N/A,TRUE,"APPA";"PRINT",#N/A,TRUE,"APS";"PRINT",#N/A,TRUE,"BHPL";"PRINT",#N/A,TRUE,"BHPL2";"PRINT",#N/A,TRUE,"CDWR";"PRINT",#N/A,TRUE,"EWEB";"PRINT",#N/A,TRUE,"LADWP";"PRINT",#N/A,TRUE,"NEVBASE"}</definedName>
    <definedName name="____j2" localSheetId="27" hidden="1">{"PRINT",#N/A,TRUE,"APPA";"PRINT",#N/A,TRUE,"APS";"PRINT",#N/A,TRUE,"BHPL";"PRINT",#N/A,TRUE,"BHPL2";"PRINT",#N/A,TRUE,"CDWR";"PRINT",#N/A,TRUE,"EWEB";"PRINT",#N/A,TRUE,"LADWP";"PRINT",#N/A,TRUE,"NEVBASE"}</definedName>
    <definedName name="____j2" localSheetId="48" hidden="1">{"PRINT",#N/A,TRUE,"APPA";"PRINT",#N/A,TRUE,"APS";"PRINT",#N/A,TRUE,"BHPL";"PRINT",#N/A,TRUE,"BHPL2";"PRINT",#N/A,TRUE,"CDWR";"PRINT",#N/A,TRUE,"EWEB";"PRINT",#N/A,TRUE,"LADWP";"PRINT",#N/A,TRUE,"NEVBASE"}</definedName>
    <definedName name="____j2" hidden="1">{"PRINT",#N/A,TRUE,"APPA";"PRINT",#N/A,TRUE,"APS";"PRINT",#N/A,TRUE,"BHPL";"PRINT",#N/A,TRUE,"BHPL2";"PRINT",#N/A,TRUE,"CDWR";"PRINT",#N/A,TRUE,"EWEB";"PRINT",#N/A,TRUE,"LADWP";"PRINT",#N/A,TRUE,"NEVBASE"}</definedName>
    <definedName name="____j3" localSheetId="54" hidden="1">{"PRINT",#N/A,TRUE,"APPA";"PRINT",#N/A,TRUE,"APS";"PRINT",#N/A,TRUE,"BHPL";"PRINT",#N/A,TRUE,"BHPL2";"PRINT",#N/A,TRUE,"CDWR";"PRINT",#N/A,TRUE,"EWEB";"PRINT",#N/A,TRUE,"LADWP";"PRINT",#N/A,TRUE,"NEVBASE"}</definedName>
    <definedName name="____j3" localSheetId="53" hidden="1">{"PRINT",#N/A,TRUE,"APPA";"PRINT",#N/A,TRUE,"APS";"PRINT",#N/A,TRUE,"BHPL";"PRINT",#N/A,TRUE,"BHPL2";"PRINT",#N/A,TRUE,"CDWR";"PRINT",#N/A,TRUE,"EWEB";"PRINT",#N/A,TRUE,"LADWP";"PRINT",#N/A,TRUE,"NEVBASE"}</definedName>
    <definedName name="____j3" localSheetId="29" hidden="1">{"PRINT",#N/A,TRUE,"APPA";"PRINT",#N/A,TRUE,"APS";"PRINT",#N/A,TRUE,"BHPL";"PRINT",#N/A,TRUE,"BHPL2";"PRINT",#N/A,TRUE,"CDWR";"PRINT",#N/A,TRUE,"EWEB";"PRINT",#N/A,TRUE,"LADWP";"PRINT",#N/A,TRUE,"NEVBASE"}</definedName>
    <definedName name="____j3" localSheetId="28" hidden="1">{"PRINT",#N/A,TRUE,"APPA";"PRINT",#N/A,TRUE,"APS";"PRINT",#N/A,TRUE,"BHPL";"PRINT",#N/A,TRUE,"BHPL2";"PRINT",#N/A,TRUE,"CDWR";"PRINT",#N/A,TRUE,"EWEB";"PRINT",#N/A,TRUE,"LADWP";"PRINT",#N/A,TRUE,"NEVBASE"}</definedName>
    <definedName name="____j3" localSheetId="49" hidden="1">{"PRINT",#N/A,TRUE,"APPA";"PRINT",#N/A,TRUE,"APS";"PRINT",#N/A,TRUE,"BHPL";"PRINT",#N/A,TRUE,"BHPL2";"PRINT",#N/A,TRUE,"CDWR";"PRINT",#N/A,TRUE,"EWEB";"PRINT",#N/A,TRUE,"LADWP";"PRINT",#N/A,TRUE,"NEVBASE"}</definedName>
    <definedName name="____j3" localSheetId="23" hidden="1">{"PRINT",#N/A,TRUE,"APPA";"PRINT",#N/A,TRUE,"APS";"PRINT",#N/A,TRUE,"BHPL";"PRINT",#N/A,TRUE,"BHPL2";"PRINT",#N/A,TRUE,"CDWR";"PRINT",#N/A,TRUE,"EWEB";"PRINT",#N/A,TRUE,"LADWP";"PRINT",#N/A,TRUE,"NEVBASE"}</definedName>
    <definedName name="____j3" localSheetId="83" hidden="1">{"PRINT",#N/A,TRUE,"APPA";"PRINT",#N/A,TRUE,"APS";"PRINT",#N/A,TRUE,"BHPL";"PRINT",#N/A,TRUE,"BHPL2";"PRINT",#N/A,TRUE,"CDWR";"PRINT",#N/A,TRUE,"EWEB";"PRINT",#N/A,TRUE,"LADWP";"PRINT",#N/A,TRUE,"NEVBASE"}</definedName>
    <definedName name="____j3" localSheetId="27" hidden="1">{"PRINT",#N/A,TRUE,"APPA";"PRINT",#N/A,TRUE,"APS";"PRINT",#N/A,TRUE,"BHPL";"PRINT",#N/A,TRUE,"BHPL2";"PRINT",#N/A,TRUE,"CDWR";"PRINT",#N/A,TRUE,"EWEB";"PRINT",#N/A,TRUE,"LADWP";"PRINT",#N/A,TRUE,"NEVBASE"}</definedName>
    <definedName name="____j3" localSheetId="48" hidden="1">{"PRINT",#N/A,TRUE,"APPA";"PRINT",#N/A,TRUE,"APS";"PRINT",#N/A,TRUE,"BHPL";"PRINT",#N/A,TRUE,"BHPL2";"PRINT",#N/A,TRUE,"CDWR";"PRINT",#N/A,TRUE,"EWEB";"PRINT",#N/A,TRUE,"LADWP";"PRINT",#N/A,TRUE,"NEVBASE"}</definedName>
    <definedName name="____j3" hidden="1">{"PRINT",#N/A,TRUE,"APPA";"PRINT",#N/A,TRUE,"APS";"PRINT",#N/A,TRUE,"BHPL";"PRINT",#N/A,TRUE,"BHPL2";"PRINT",#N/A,TRUE,"CDWR";"PRINT",#N/A,TRUE,"EWEB";"PRINT",#N/A,TRUE,"LADWP";"PRINT",#N/A,TRUE,"NEVBASE"}</definedName>
    <definedName name="____j4" localSheetId="54" hidden="1">{"PRINT",#N/A,TRUE,"APPA";"PRINT",#N/A,TRUE,"APS";"PRINT",#N/A,TRUE,"BHPL";"PRINT",#N/A,TRUE,"BHPL2";"PRINT",#N/A,TRUE,"CDWR";"PRINT",#N/A,TRUE,"EWEB";"PRINT",#N/A,TRUE,"LADWP";"PRINT",#N/A,TRUE,"NEVBASE"}</definedName>
    <definedName name="____j4" localSheetId="53" hidden="1">{"PRINT",#N/A,TRUE,"APPA";"PRINT",#N/A,TRUE,"APS";"PRINT",#N/A,TRUE,"BHPL";"PRINT",#N/A,TRUE,"BHPL2";"PRINT",#N/A,TRUE,"CDWR";"PRINT",#N/A,TRUE,"EWEB";"PRINT",#N/A,TRUE,"LADWP";"PRINT",#N/A,TRUE,"NEVBASE"}</definedName>
    <definedName name="____j4" localSheetId="29" hidden="1">{"PRINT",#N/A,TRUE,"APPA";"PRINT",#N/A,TRUE,"APS";"PRINT",#N/A,TRUE,"BHPL";"PRINT",#N/A,TRUE,"BHPL2";"PRINT",#N/A,TRUE,"CDWR";"PRINT",#N/A,TRUE,"EWEB";"PRINT",#N/A,TRUE,"LADWP";"PRINT",#N/A,TRUE,"NEVBASE"}</definedName>
    <definedName name="____j4" localSheetId="28" hidden="1">{"PRINT",#N/A,TRUE,"APPA";"PRINT",#N/A,TRUE,"APS";"PRINT",#N/A,TRUE,"BHPL";"PRINT",#N/A,TRUE,"BHPL2";"PRINT",#N/A,TRUE,"CDWR";"PRINT",#N/A,TRUE,"EWEB";"PRINT",#N/A,TRUE,"LADWP";"PRINT",#N/A,TRUE,"NEVBASE"}</definedName>
    <definedName name="____j4" localSheetId="49" hidden="1">{"PRINT",#N/A,TRUE,"APPA";"PRINT",#N/A,TRUE,"APS";"PRINT",#N/A,TRUE,"BHPL";"PRINT",#N/A,TRUE,"BHPL2";"PRINT",#N/A,TRUE,"CDWR";"PRINT",#N/A,TRUE,"EWEB";"PRINT",#N/A,TRUE,"LADWP";"PRINT",#N/A,TRUE,"NEVBASE"}</definedName>
    <definedName name="____j4" localSheetId="23" hidden="1">{"PRINT",#N/A,TRUE,"APPA";"PRINT",#N/A,TRUE,"APS";"PRINT",#N/A,TRUE,"BHPL";"PRINT",#N/A,TRUE,"BHPL2";"PRINT",#N/A,TRUE,"CDWR";"PRINT",#N/A,TRUE,"EWEB";"PRINT",#N/A,TRUE,"LADWP";"PRINT",#N/A,TRUE,"NEVBASE"}</definedName>
    <definedName name="____j4" localSheetId="83" hidden="1">{"PRINT",#N/A,TRUE,"APPA";"PRINT",#N/A,TRUE,"APS";"PRINT",#N/A,TRUE,"BHPL";"PRINT",#N/A,TRUE,"BHPL2";"PRINT",#N/A,TRUE,"CDWR";"PRINT",#N/A,TRUE,"EWEB";"PRINT",#N/A,TRUE,"LADWP";"PRINT",#N/A,TRUE,"NEVBASE"}</definedName>
    <definedName name="____j4" localSheetId="27" hidden="1">{"PRINT",#N/A,TRUE,"APPA";"PRINT",#N/A,TRUE,"APS";"PRINT",#N/A,TRUE,"BHPL";"PRINT",#N/A,TRUE,"BHPL2";"PRINT",#N/A,TRUE,"CDWR";"PRINT",#N/A,TRUE,"EWEB";"PRINT",#N/A,TRUE,"LADWP";"PRINT",#N/A,TRUE,"NEVBASE"}</definedName>
    <definedName name="____j4" localSheetId="48" hidden="1">{"PRINT",#N/A,TRUE,"APPA";"PRINT",#N/A,TRUE,"APS";"PRINT",#N/A,TRUE,"BHPL";"PRINT",#N/A,TRUE,"BHPL2";"PRINT",#N/A,TRUE,"CDWR";"PRINT",#N/A,TRUE,"EWEB";"PRINT",#N/A,TRUE,"LADWP";"PRINT",#N/A,TRUE,"NEVBASE"}</definedName>
    <definedName name="____j4" hidden="1">{"PRINT",#N/A,TRUE,"APPA";"PRINT",#N/A,TRUE,"APS";"PRINT",#N/A,TRUE,"BHPL";"PRINT",#N/A,TRUE,"BHPL2";"PRINT",#N/A,TRUE,"CDWR";"PRINT",#N/A,TRUE,"EWEB";"PRINT",#N/A,TRUE,"LADWP";"PRINT",#N/A,TRUE,"NEVBASE"}</definedName>
    <definedName name="____j5" localSheetId="54" hidden="1">{"PRINT",#N/A,TRUE,"APPA";"PRINT",#N/A,TRUE,"APS";"PRINT",#N/A,TRUE,"BHPL";"PRINT",#N/A,TRUE,"BHPL2";"PRINT",#N/A,TRUE,"CDWR";"PRINT",#N/A,TRUE,"EWEB";"PRINT",#N/A,TRUE,"LADWP";"PRINT",#N/A,TRUE,"NEVBASE"}</definedName>
    <definedName name="____j5" localSheetId="53" hidden="1">{"PRINT",#N/A,TRUE,"APPA";"PRINT",#N/A,TRUE,"APS";"PRINT",#N/A,TRUE,"BHPL";"PRINT",#N/A,TRUE,"BHPL2";"PRINT",#N/A,TRUE,"CDWR";"PRINT",#N/A,TRUE,"EWEB";"PRINT",#N/A,TRUE,"LADWP";"PRINT",#N/A,TRUE,"NEVBASE"}</definedName>
    <definedName name="____j5" localSheetId="29" hidden="1">{"PRINT",#N/A,TRUE,"APPA";"PRINT",#N/A,TRUE,"APS";"PRINT",#N/A,TRUE,"BHPL";"PRINT",#N/A,TRUE,"BHPL2";"PRINT",#N/A,TRUE,"CDWR";"PRINT",#N/A,TRUE,"EWEB";"PRINT",#N/A,TRUE,"LADWP";"PRINT",#N/A,TRUE,"NEVBASE"}</definedName>
    <definedName name="____j5" localSheetId="28" hidden="1">{"PRINT",#N/A,TRUE,"APPA";"PRINT",#N/A,TRUE,"APS";"PRINT",#N/A,TRUE,"BHPL";"PRINT",#N/A,TRUE,"BHPL2";"PRINT",#N/A,TRUE,"CDWR";"PRINT",#N/A,TRUE,"EWEB";"PRINT",#N/A,TRUE,"LADWP";"PRINT",#N/A,TRUE,"NEVBASE"}</definedName>
    <definedName name="____j5" localSheetId="49" hidden="1">{"PRINT",#N/A,TRUE,"APPA";"PRINT",#N/A,TRUE,"APS";"PRINT",#N/A,TRUE,"BHPL";"PRINT",#N/A,TRUE,"BHPL2";"PRINT",#N/A,TRUE,"CDWR";"PRINT",#N/A,TRUE,"EWEB";"PRINT",#N/A,TRUE,"LADWP";"PRINT",#N/A,TRUE,"NEVBASE"}</definedName>
    <definedName name="____j5" localSheetId="23" hidden="1">{"PRINT",#N/A,TRUE,"APPA";"PRINT",#N/A,TRUE,"APS";"PRINT",#N/A,TRUE,"BHPL";"PRINT",#N/A,TRUE,"BHPL2";"PRINT",#N/A,TRUE,"CDWR";"PRINT",#N/A,TRUE,"EWEB";"PRINT",#N/A,TRUE,"LADWP";"PRINT",#N/A,TRUE,"NEVBASE"}</definedName>
    <definedName name="____j5" localSheetId="83" hidden="1">{"PRINT",#N/A,TRUE,"APPA";"PRINT",#N/A,TRUE,"APS";"PRINT",#N/A,TRUE,"BHPL";"PRINT",#N/A,TRUE,"BHPL2";"PRINT",#N/A,TRUE,"CDWR";"PRINT",#N/A,TRUE,"EWEB";"PRINT",#N/A,TRUE,"LADWP";"PRINT",#N/A,TRUE,"NEVBASE"}</definedName>
    <definedName name="____j5" localSheetId="27" hidden="1">{"PRINT",#N/A,TRUE,"APPA";"PRINT",#N/A,TRUE,"APS";"PRINT",#N/A,TRUE,"BHPL";"PRINT",#N/A,TRUE,"BHPL2";"PRINT",#N/A,TRUE,"CDWR";"PRINT",#N/A,TRUE,"EWEB";"PRINT",#N/A,TRUE,"LADWP";"PRINT",#N/A,TRUE,"NEVBASE"}</definedName>
    <definedName name="____j5" localSheetId="48" hidden="1">{"PRINT",#N/A,TRUE,"APPA";"PRINT",#N/A,TRUE,"APS";"PRINT",#N/A,TRUE,"BHPL";"PRINT",#N/A,TRUE,"BHPL2";"PRINT",#N/A,TRUE,"CDWR";"PRINT",#N/A,TRUE,"EWEB";"PRINT",#N/A,TRUE,"LADWP";"PRINT",#N/A,TRUE,"NEVBASE"}</definedName>
    <definedName name="____j5" hidden="1">{"PRINT",#N/A,TRUE,"APPA";"PRINT",#N/A,TRUE,"APS";"PRINT",#N/A,TRUE,"BHPL";"PRINT",#N/A,TRUE,"BHPL2";"PRINT",#N/A,TRUE,"CDWR";"PRINT",#N/A,TRUE,"EWEB";"PRINT",#N/A,TRUE,"LADWP";"PRINT",#N/A,TRUE,"NEVBASE"}</definedName>
    <definedName name="____OM1" localSheetId="54" hidden="1">{#N/A,#N/A,FALSE,"Summary";#N/A,#N/A,FALSE,"SmPlants";#N/A,#N/A,FALSE,"Utah";#N/A,#N/A,FALSE,"Idaho";#N/A,#N/A,FALSE,"Lewis River";#N/A,#N/A,FALSE,"NrthUmpq";#N/A,#N/A,FALSE,"KlamRog"}</definedName>
    <definedName name="____OM1" localSheetId="53" hidden="1">{#N/A,#N/A,FALSE,"Summary";#N/A,#N/A,FALSE,"SmPlants";#N/A,#N/A,FALSE,"Utah";#N/A,#N/A,FALSE,"Idaho";#N/A,#N/A,FALSE,"Lewis River";#N/A,#N/A,FALSE,"NrthUmpq";#N/A,#N/A,FALSE,"KlamRog"}</definedName>
    <definedName name="____OM1" localSheetId="29" hidden="1">{#N/A,#N/A,FALSE,"Summary";#N/A,#N/A,FALSE,"SmPlants";#N/A,#N/A,FALSE,"Utah";#N/A,#N/A,FALSE,"Idaho";#N/A,#N/A,FALSE,"Lewis River";#N/A,#N/A,FALSE,"NrthUmpq";#N/A,#N/A,FALSE,"KlamRog"}</definedName>
    <definedName name="____OM1" localSheetId="28" hidden="1">{#N/A,#N/A,FALSE,"Summary";#N/A,#N/A,FALSE,"SmPlants";#N/A,#N/A,FALSE,"Utah";#N/A,#N/A,FALSE,"Idaho";#N/A,#N/A,FALSE,"Lewis River";#N/A,#N/A,FALSE,"NrthUmpq";#N/A,#N/A,FALSE,"KlamRog"}</definedName>
    <definedName name="____OM1" localSheetId="49" hidden="1">{#N/A,#N/A,FALSE,"Summary";#N/A,#N/A,FALSE,"SmPlants";#N/A,#N/A,FALSE,"Utah";#N/A,#N/A,FALSE,"Idaho";#N/A,#N/A,FALSE,"Lewis River";#N/A,#N/A,FALSE,"NrthUmpq";#N/A,#N/A,FALSE,"KlamRog"}</definedName>
    <definedName name="____OM1" localSheetId="23" hidden="1">{#N/A,#N/A,FALSE,"Summary";#N/A,#N/A,FALSE,"SmPlants";#N/A,#N/A,FALSE,"Utah";#N/A,#N/A,FALSE,"Idaho";#N/A,#N/A,FALSE,"Lewis River";#N/A,#N/A,FALSE,"NrthUmpq";#N/A,#N/A,FALSE,"KlamRog"}</definedName>
    <definedName name="____OM1" localSheetId="83" hidden="1">{#N/A,#N/A,FALSE,"Summary";#N/A,#N/A,FALSE,"SmPlants";#N/A,#N/A,FALSE,"Utah";#N/A,#N/A,FALSE,"Idaho";#N/A,#N/A,FALSE,"Lewis River";#N/A,#N/A,FALSE,"NrthUmpq";#N/A,#N/A,FALSE,"KlamRog"}</definedName>
    <definedName name="____OM1" localSheetId="27" hidden="1">{#N/A,#N/A,FALSE,"Summary";#N/A,#N/A,FALSE,"SmPlants";#N/A,#N/A,FALSE,"Utah";#N/A,#N/A,FALSE,"Idaho";#N/A,#N/A,FALSE,"Lewis River";#N/A,#N/A,FALSE,"NrthUmpq";#N/A,#N/A,FALSE,"KlamRog"}</definedName>
    <definedName name="____OM1" localSheetId="48" hidden="1">{#N/A,#N/A,FALSE,"Summary";#N/A,#N/A,FALSE,"SmPlants";#N/A,#N/A,FALSE,"Utah";#N/A,#N/A,FALSE,"Idaho";#N/A,#N/A,FALSE,"Lewis River";#N/A,#N/A,FALSE,"NrthUmpq";#N/A,#N/A,FALSE,"KlamRog"}</definedName>
    <definedName name="____OM1" hidden="1">{#N/A,#N/A,FALSE,"Summary";#N/A,#N/A,FALSE,"SmPlants";#N/A,#N/A,FALSE,"Utah";#N/A,#N/A,FALSE,"Idaho";#N/A,#N/A,FALSE,"Lewis River";#N/A,#N/A,FALSE,"NrthUmpq";#N/A,#N/A,FALSE,"KlamRog"}</definedName>
    <definedName name="___j1" localSheetId="54" hidden="1">{"PRINT",#N/A,TRUE,"APPA";"PRINT",#N/A,TRUE,"APS";"PRINT",#N/A,TRUE,"BHPL";"PRINT",#N/A,TRUE,"BHPL2";"PRINT",#N/A,TRUE,"CDWR";"PRINT",#N/A,TRUE,"EWEB";"PRINT",#N/A,TRUE,"LADWP";"PRINT",#N/A,TRUE,"NEVBASE"}</definedName>
    <definedName name="___j1" localSheetId="53" hidden="1">{"PRINT",#N/A,TRUE,"APPA";"PRINT",#N/A,TRUE,"APS";"PRINT",#N/A,TRUE,"BHPL";"PRINT",#N/A,TRUE,"BHPL2";"PRINT",#N/A,TRUE,"CDWR";"PRINT",#N/A,TRUE,"EWEB";"PRINT",#N/A,TRUE,"LADWP";"PRINT",#N/A,TRUE,"NEVBASE"}</definedName>
    <definedName name="___j1" localSheetId="29" hidden="1">{"PRINT",#N/A,TRUE,"APPA";"PRINT",#N/A,TRUE,"APS";"PRINT",#N/A,TRUE,"BHPL";"PRINT",#N/A,TRUE,"BHPL2";"PRINT",#N/A,TRUE,"CDWR";"PRINT",#N/A,TRUE,"EWEB";"PRINT",#N/A,TRUE,"LADWP";"PRINT",#N/A,TRUE,"NEVBASE"}</definedName>
    <definedName name="___j1" localSheetId="28" hidden="1">{"PRINT",#N/A,TRUE,"APPA";"PRINT",#N/A,TRUE,"APS";"PRINT",#N/A,TRUE,"BHPL";"PRINT",#N/A,TRUE,"BHPL2";"PRINT",#N/A,TRUE,"CDWR";"PRINT",#N/A,TRUE,"EWEB";"PRINT",#N/A,TRUE,"LADWP";"PRINT",#N/A,TRUE,"NEVBASE"}</definedName>
    <definedName name="___j1" localSheetId="49" hidden="1">{"PRINT",#N/A,TRUE,"APPA";"PRINT",#N/A,TRUE,"APS";"PRINT",#N/A,TRUE,"BHPL";"PRINT",#N/A,TRUE,"BHPL2";"PRINT",#N/A,TRUE,"CDWR";"PRINT",#N/A,TRUE,"EWEB";"PRINT",#N/A,TRUE,"LADWP";"PRINT",#N/A,TRUE,"NEVBASE"}</definedName>
    <definedName name="___j1" localSheetId="23" hidden="1">{"PRINT",#N/A,TRUE,"APPA";"PRINT",#N/A,TRUE,"APS";"PRINT",#N/A,TRUE,"BHPL";"PRINT",#N/A,TRUE,"BHPL2";"PRINT",#N/A,TRUE,"CDWR";"PRINT",#N/A,TRUE,"EWEB";"PRINT",#N/A,TRUE,"LADWP";"PRINT",#N/A,TRUE,"NEVBASE"}</definedName>
    <definedName name="___j1" localSheetId="83" hidden="1">{"PRINT",#N/A,TRUE,"APPA";"PRINT",#N/A,TRUE,"APS";"PRINT",#N/A,TRUE,"BHPL";"PRINT",#N/A,TRUE,"BHPL2";"PRINT",#N/A,TRUE,"CDWR";"PRINT",#N/A,TRUE,"EWEB";"PRINT",#N/A,TRUE,"LADWP";"PRINT",#N/A,TRUE,"NEVBASE"}</definedName>
    <definedName name="___j1" localSheetId="27" hidden="1">{"PRINT",#N/A,TRUE,"APPA";"PRINT",#N/A,TRUE,"APS";"PRINT",#N/A,TRUE,"BHPL";"PRINT",#N/A,TRUE,"BHPL2";"PRINT",#N/A,TRUE,"CDWR";"PRINT",#N/A,TRUE,"EWEB";"PRINT",#N/A,TRUE,"LADWP";"PRINT",#N/A,TRUE,"NEVBASE"}</definedName>
    <definedName name="___j1" localSheetId="48" hidden="1">{"PRINT",#N/A,TRUE,"APPA";"PRINT",#N/A,TRUE,"APS";"PRINT",#N/A,TRUE,"BHPL";"PRINT",#N/A,TRUE,"BHPL2";"PRINT",#N/A,TRUE,"CDWR";"PRINT",#N/A,TRUE,"EWEB";"PRINT",#N/A,TRUE,"LADWP";"PRINT",#N/A,TRUE,"NEVBASE"}</definedName>
    <definedName name="___j1" hidden="1">{"PRINT",#N/A,TRUE,"APPA";"PRINT",#N/A,TRUE,"APS";"PRINT",#N/A,TRUE,"BHPL";"PRINT",#N/A,TRUE,"BHPL2";"PRINT",#N/A,TRUE,"CDWR";"PRINT",#N/A,TRUE,"EWEB";"PRINT",#N/A,TRUE,"LADWP";"PRINT",#N/A,TRUE,"NEVBASE"}</definedName>
    <definedName name="___j2" localSheetId="54" hidden="1">{"PRINT",#N/A,TRUE,"APPA";"PRINT",#N/A,TRUE,"APS";"PRINT",#N/A,TRUE,"BHPL";"PRINT",#N/A,TRUE,"BHPL2";"PRINT",#N/A,TRUE,"CDWR";"PRINT",#N/A,TRUE,"EWEB";"PRINT",#N/A,TRUE,"LADWP";"PRINT",#N/A,TRUE,"NEVBASE"}</definedName>
    <definedName name="___j2" localSheetId="53" hidden="1">{"PRINT",#N/A,TRUE,"APPA";"PRINT",#N/A,TRUE,"APS";"PRINT",#N/A,TRUE,"BHPL";"PRINT",#N/A,TRUE,"BHPL2";"PRINT",#N/A,TRUE,"CDWR";"PRINT",#N/A,TRUE,"EWEB";"PRINT",#N/A,TRUE,"LADWP";"PRINT",#N/A,TRUE,"NEVBASE"}</definedName>
    <definedName name="___j2" localSheetId="29" hidden="1">{"PRINT",#N/A,TRUE,"APPA";"PRINT",#N/A,TRUE,"APS";"PRINT",#N/A,TRUE,"BHPL";"PRINT",#N/A,TRUE,"BHPL2";"PRINT",#N/A,TRUE,"CDWR";"PRINT",#N/A,TRUE,"EWEB";"PRINT",#N/A,TRUE,"LADWP";"PRINT",#N/A,TRUE,"NEVBASE"}</definedName>
    <definedName name="___j2" localSheetId="28" hidden="1">{"PRINT",#N/A,TRUE,"APPA";"PRINT",#N/A,TRUE,"APS";"PRINT",#N/A,TRUE,"BHPL";"PRINT",#N/A,TRUE,"BHPL2";"PRINT",#N/A,TRUE,"CDWR";"PRINT",#N/A,TRUE,"EWEB";"PRINT",#N/A,TRUE,"LADWP";"PRINT",#N/A,TRUE,"NEVBASE"}</definedName>
    <definedName name="___j2" localSheetId="49" hidden="1">{"PRINT",#N/A,TRUE,"APPA";"PRINT",#N/A,TRUE,"APS";"PRINT",#N/A,TRUE,"BHPL";"PRINT",#N/A,TRUE,"BHPL2";"PRINT",#N/A,TRUE,"CDWR";"PRINT",#N/A,TRUE,"EWEB";"PRINT",#N/A,TRUE,"LADWP";"PRINT",#N/A,TRUE,"NEVBASE"}</definedName>
    <definedName name="___j2" localSheetId="23" hidden="1">{"PRINT",#N/A,TRUE,"APPA";"PRINT",#N/A,TRUE,"APS";"PRINT",#N/A,TRUE,"BHPL";"PRINT",#N/A,TRUE,"BHPL2";"PRINT",#N/A,TRUE,"CDWR";"PRINT",#N/A,TRUE,"EWEB";"PRINT",#N/A,TRUE,"LADWP";"PRINT",#N/A,TRUE,"NEVBASE"}</definedName>
    <definedName name="___j2" localSheetId="83" hidden="1">{"PRINT",#N/A,TRUE,"APPA";"PRINT",#N/A,TRUE,"APS";"PRINT",#N/A,TRUE,"BHPL";"PRINT",#N/A,TRUE,"BHPL2";"PRINT",#N/A,TRUE,"CDWR";"PRINT",#N/A,TRUE,"EWEB";"PRINT",#N/A,TRUE,"LADWP";"PRINT",#N/A,TRUE,"NEVBASE"}</definedName>
    <definedName name="___j2" localSheetId="27" hidden="1">{"PRINT",#N/A,TRUE,"APPA";"PRINT",#N/A,TRUE,"APS";"PRINT",#N/A,TRUE,"BHPL";"PRINT",#N/A,TRUE,"BHPL2";"PRINT",#N/A,TRUE,"CDWR";"PRINT",#N/A,TRUE,"EWEB";"PRINT",#N/A,TRUE,"LADWP";"PRINT",#N/A,TRUE,"NEVBASE"}</definedName>
    <definedName name="___j2" localSheetId="48" hidden="1">{"PRINT",#N/A,TRUE,"APPA";"PRINT",#N/A,TRUE,"APS";"PRINT",#N/A,TRUE,"BHPL";"PRINT",#N/A,TRUE,"BHPL2";"PRINT",#N/A,TRUE,"CDWR";"PRINT",#N/A,TRUE,"EWEB";"PRINT",#N/A,TRUE,"LADWP";"PRINT",#N/A,TRUE,"NEVBASE"}</definedName>
    <definedName name="___j2" hidden="1">{"PRINT",#N/A,TRUE,"APPA";"PRINT",#N/A,TRUE,"APS";"PRINT",#N/A,TRUE,"BHPL";"PRINT",#N/A,TRUE,"BHPL2";"PRINT",#N/A,TRUE,"CDWR";"PRINT",#N/A,TRUE,"EWEB";"PRINT",#N/A,TRUE,"LADWP";"PRINT",#N/A,TRUE,"NEVBASE"}</definedName>
    <definedName name="___j3" localSheetId="54" hidden="1">{"PRINT",#N/A,TRUE,"APPA";"PRINT",#N/A,TRUE,"APS";"PRINT",#N/A,TRUE,"BHPL";"PRINT",#N/A,TRUE,"BHPL2";"PRINT",#N/A,TRUE,"CDWR";"PRINT",#N/A,TRUE,"EWEB";"PRINT",#N/A,TRUE,"LADWP";"PRINT",#N/A,TRUE,"NEVBASE"}</definedName>
    <definedName name="___j3" localSheetId="53" hidden="1">{"PRINT",#N/A,TRUE,"APPA";"PRINT",#N/A,TRUE,"APS";"PRINT",#N/A,TRUE,"BHPL";"PRINT",#N/A,TRUE,"BHPL2";"PRINT",#N/A,TRUE,"CDWR";"PRINT",#N/A,TRUE,"EWEB";"PRINT",#N/A,TRUE,"LADWP";"PRINT",#N/A,TRUE,"NEVBASE"}</definedName>
    <definedName name="___j3" localSheetId="29" hidden="1">{"PRINT",#N/A,TRUE,"APPA";"PRINT",#N/A,TRUE,"APS";"PRINT",#N/A,TRUE,"BHPL";"PRINT",#N/A,TRUE,"BHPL2";"PRINT",#N/A,TRUE,"CDWR";"PRINT",#N/A,TRUE,"EWEB";"PRINT",#N/A,TRUE,"LADWP";"PRINT",#N/A,TRUE,"NEVBASE"}</definedName>
    <definedName name="___j3" localSheetId="28" hidden="1">{"PRINT",#N/A,TRUE,"APPA";"PRINT",#N/A,TRUE,"APS";"PRINT",#N/A,TRUE,"BHPL";"PRINT",#N/A,TRUE,"BHPL2";"PRINT",#N/A,TRUE,"CDWR";"PRINT",#N/A,TRUE,"EWEB";"PRINT",#N/A,TRUE,"LADWP";"PRINT",#N/A,TRUE,"NEVBASE"}</definedName>
    <definedName name="___j3" localSheetId="49" hidden="1">{"PRINT",#N/A,TRUE,"APPA";"PRINT",#N/A,TRUE,"APS";"PRINT",#N/A,TRUE,"BHPL";"PRINT",#N/A,TRUE,"BHPL2";"PRINT",#N/A,TRUE,"CDWR";"PRINT",#N/A,TRUE,"EWEB";"PRINT",#N/A,TRUE,"LADWP";"PRINT",#N/A,TRUE,"NEVBASE"}</definedName>
    <definedName name="___j3" localSheetId="23" hidden="1">{"PRINT",#N/A,TRUE,"APPA";"PRINT",#N/A,TRUE,"APS";"PRINT",#N/A,TRUE,"BHPL";"PRINT",#N/A,TRUE,"BHPL2";"PRINT",#N/A,TRUE,"CDWR";"PRINT",#N/A,TRUE,"EWEB";"PRINT",#N/A,TRUE,"LADWP";"PRINT",#N/A,TRUE,"NEVBASE"}</definedName>
    <definedName name="___j3" localSheetId="83" hidden="1">{"PRINT",#N/A,TRUE,"APPA";"PRINT",#N/A,TRUE,"APS";"PRINT",#N/A,TRUE,"BHPL";"PRINT",#N/A,TRUE,"BHPL2";"PRINT",#N/A,TRUE,"CDWR";"PRINT",#N/A,TRUE,"EWEB";"PRINT",#N/A,TRUE,"LADWP";"PRINT",#N/A,TRUE,"NEVBASE"}</definedName>
    <definedName name="___j3" localSheetId="27" hidden="1">{"PRINT",#N/A,TRUE,"APPA";"PRINT",#N/A,TRUE,"APS";"PRINT",#N/A,TRUE,"BHPL";"PRINT",#N/A,TRUE,"BHPL2";"PRINT",#N/A,TRUE,"CDWR";"PRINT",#N/A,TRUE,"EWEB";"PRINT",#N/A,TRUE,"LADWP";"PRINT",#N/A,TRUE,"NEVBASE"}</definedName>
    <definedName name="___j3" localSheetId="48" hidden="1">{"PRINT",#N/A,TRUE,"APPA";"PRINT",#N/A,TRUE,"APS";"PRINT",#N/A,TRUE,"BHPL";"PRINT",#N/A,TRUE,"BHPL2";"PRINT",#N/A,TRUE,"CDWR";"PRINT",#N/A,TRUE,"EWEB";"PRINT",#N/A,TRUE,"LADWP";"PRINT",#N/A,TRUE,"NEVBASE"}</definedName>
    <definedName name="___j3" hidden="1">{"PRINT",#N/A,TRUE,"APPA";"PRINT",#N/A,TRUE,"APS";"PRINT",#N/A,TRUE,"BHPL";"PRINT",#N/A,TRUE,"BHPL2";"PRINT",#N/A,TRUE,"CDWR";"PRINT",#N/A,TRUE,"EWEB";"PRINT",#N/A,TRUE,"LADWP";"PRINT",#N/A,TRUE,"NEVBASE"}</definedName>
    <definedName name="___j4" localSheetId="54" hidden="1">{"PRINT",#N/A,TRUE,"APPA";"PRINT",#N/A,TRUE,"APS";"PRINT",#N/A,TRUE,"BHPL";"PRINT",#N/A,TRUE,"BHPL2";"PRINT",#N/A,TRUE,"CDWR";"PRINT",#N/A,TRUE,"EWEB";"PRINT",#N/A,TRUE,"LADWP";"PRINT",#N/A,TRUE,"NEVBASE"}</definedName>
    <definedName name="___j4" localSheetId="53" hidden="1">{"PRINT",#N/A,TRUE,"APPA";"PRINT",#N/A,TRUE,"APS";"PRINT",#N/A,TRUE,"BHPL";"PRINT",#N/A,TRUE,"BHPL2";"PRINT",#N/A,TRUE,"CDWR";"PRINT",#N/A,TRUE,"EWEB";"PRINT",#N/A,TRUE,"LADWP";"PRINT",#N/A,TRUE,"NEVBASE"}</definedName>
    <definedName name="___j4" localSheetId="29" hidden="1">{"PRINT",#N/A,TRUE,"APPA";"PRINT",#N/A,TRUE,"APS";"PRINT",#N/A,TRUE,"BHPL";"PRINT",#N/A,TRUE,"BHPL2";"PRINT",#N/A,TRUE,"CDWR";"PRINT",#N/A,TRUE,"EWEB";"PRINT",#N/A,TRUE,"LADWP";"PRINT",#N/A,TRUE,"NEVBASE"}</definedName>
    <definedName name="___j4" localSheetId="28" hidden="1">{"PRINT",#N/A,TRUE,"APPA";"PRINT",#N/A,TRUE,"APS";"PRINT",#N/A,TRUE,"BHPL";"PRINT",#N/A,TRUE,"BHPL2";"PRINT",#N/A,TRUE,"CDWR";"PRINT",#N/A,TRUE,"EWEB";"PRINT",#N/A,TRUE,"LADWP";"PRINT",#N/A,TRUE,"NEVBASE"}</definedName>
    <definedName name="___j4" localSheetId="49" hidden="1">{"PRINT",#N/A,TRUE,"APPA";"PRINT",#N/A,TRUE,"APS";"PRINT",#N/A,TRUE,"BHPL";"PRINT",#N/A,TRUE,"BHPL2";"PRINT",#N/A,TRUE,"CDWR";"PRINT",#N/A,TRUE,"EWEB";"PRINT",#N/A,TRUE,"LADWP";"PRINT",#N/A,TRUE,"NEVBASE"}</definedName>
    <definedName name="___j4" localSheetId="23" hidden="1">{"PRINT",#N/A,TRUE,"APPA";"PRINT",#N/A,TRUE,"APS";"PRINT",#N/A,TRUE,"BHPL";"PRINT",#N/A,TRUE,"BHPL2";"PRINT",#N/A,TRUE,"CDWR";"PRINT",#N/A,TRUE,"EWEB";"PRINT",#N/A,TRUE,"LADWP";"PRINT",#N/A,TRUE,"NEVBASE"}</definedName>
    <definedName name="___j4" localSheetId="83" hidden="1">{"PRINT",#N/A,TRUE,"APPA";"PRINT",#N/A,TRUE,"APS";"PRINT",#N/A,TRUE,"BHPL";"PRINT",#N/A,TRUE,"BHPL2";"PRINT",#N/A,TRUE,"CDWR";"PRINT",#N/A,TRUE,"EWEB";"PRINT",#N/A,TRUE,"LADWP";"PRINT",#N/A,TRUE,"NEVBASE"}</definedName>
    <definedName name="___j4" localSheetId="27" hidden="1">{"PRINT",#N/A,TRUE,"APPA";"PRINT",#N/A,TRUE,"APS";"PRINT",#N/A,TRUE,"BHPL";"PRINT",#N/A,TRUE,"BHPL2";"PRINT",#N/A,TRUE,"CDWR";"PRINT",#N/A,TRUE,"EWEB";"PRINT",#N/A,TRUE,"LADWP";"PRINT",#N/A,TRUE,"NEVBASE"}</definedName>
    <definedName name="___j4" localSheetId="48" hidden="1">{"PRINT",#N/A,TRUE,"APPA";"PRINT",#N/A,TRUE,"APS";"PRINT",#N/A,TRUE,"BHPL";"PRINT",#N/A,TRUE,"BHPL2";"PRINT",#N/A,TRUE,"CDWR";"PRINT",#N/A,TRUE,"EWEB";"PRINT",#N/A,TRUE,"LADWP";"PRINT",#N/A,TRUE,"NEVBASE"}</definedName>
    <definedName name="___j4" hidden="1">{"PRINT",#N/A,TRUE,"APPA";"PRINT",#N/A,TRUE,"APS";"PRINT",#N/A,TRUE,"BHPL";"PRINT",#N/A,TRUE,"BHPL2";"PRINT",#N/A,TRUE,"CDWR";"PRINT",#N/A,TRUE,"EWEB";"PRINT",#N/A,TRUE,"LADWP";"PRINT",#N/A,TRUE,"NEVBASE"}</definedName>
    <definedName name="___j5" localSheetId="54" hidden="1">{"PRINT",#N/A,TRUE,"APPA";"PRINT",#N/A,TRUE,"APS";"PRINT",#N/A,TRUE,"BHPL";"PRINT",#N/A,TRUE,"BHPL2";"PRINT",#N/A,TRUE,"CDWR";"PRINT",#N/A,TRUE,"EWEB";"PRINT",#N/A,TRUE,"LADWP";"PRINT",#N/A,TRUE,"NEVBASE"}</definedName>
    <definedName name="___j5" localSheetId="53" hidden="1">{"PRINT",#N/A,TRUE,"APPA";"PRINT",#N/A,TRUE,"APS";"PRINT",#N/A,TRUE,"BHPL";"PRINT",#N/A,TRUE,"BHPL2";"PRINT",#N/A,TRUE,"CDWR";"PRINT",#N/A,TRUE,"EWEB";"PRINT",#N/A,TRUE,"LADWP";"PRINT",#N/A,TRUE,"NEVBASE"}</definedName>
    <definedName name="___j5" localSheetId="29" hidden="1">{"PRINT",#N/A,TRUE,"APPA";"PRINT",#N/A,TRUE,"APS";"PRINT",#N/A,TRUE,"BHPL";"PRINT",#N/A,TRUE,"BHPL2";"PRINT",#N/A,TRUE,"CDWR";"PRINT",#N/A,TRUE,"EWEB";"PRINT",#N/A,TRUE,"LADWP";"PRINT",#N/A,TRUE,"NEVBASE"}</definedName>
    <definedName name="___j5" localSheetId="28" hidden="1">{"PRINT",#N/A,TRUE,"APPA";"PRINT",#N/A,TRUE,"APS";"PRINT",#N/A,TRUE,"BHPL";"PRINT",#N/A,TRUE,"BHPL2";"PRINT",#N/A,TRUE,"CDWR";"PRINT",#N/A,TRUE,"EWEB";"PRINT",#N/A,TRUE,"LADWP";"PRINT",#N/A,TRUE,"NEVBASE"}</definedName>
    <definedName name="___j5" localSheetId="49" hidden="1">{"PRINT",#N/A,TRUE,"APPA";"PRINT",#N/A,TRUE,"APS";"PRINT",#N/A,TRUE,"BHPL";"PRINT",#N/A,TRUE,"BHPL2";"PRINT",#N/A,TRUE,"CDWR";"PRINT",#N/A,TRUE,"EWEB";"PRINT",#N/A,TRUE,"LADWP";"PRINT",#N/A,TRUE,"NEVBASE"}</definedName>
    <definedName name="___j5" localSheetId="23" hidden="1">{"PRINT",#N/A,TRUE,"APPA";"PRINT",#N/A,TRUE,"APS";"PRINT",#N/A,TRUE,"BHPL";"PRINT",#N/A,TRUE,"BHPL2";"PRINT",#N/A,TRUE,"CDWR";"PRINT",#N/A,TRUE,"EWEB";"PRINT",#N/A,TRUE,"LADWP";"PRINT",#N/A,TRUE,"NEVBASE"}</definedName>
    <definedName name="___j5" localSheetId="83" hidden="1">{"PRINT",#N/A,TRUE,"APPA";"PRINT",#N/A,TRUE,"APS";"PRINT",#N/A,TRUE,"BHPL";"PRINT",#N/A,TRUE,"BHPL2";"PRINT",#N/A,TRUE,"CDWR";"PRINT",#N/A,TRUE,"EWEB";"PRINT",#N/A,TRUE,"LADWP";"PRINT",#N/A,TRUE,"NEVBASE"}</definedName>
    <definedName name="___j5" localSheetId="27" hidden="1">{"PRINT",#N/A,TRUE,"APPA";"PRINT",#N/A,TRUE,"APS";"PRINT",#N/A,TRUE,"BHPL";"PRINT",#N/A,TRUE,"BHPL2";"PRINT",#N/A,TRUE,"CDWR";"PRINT",#N/A,TRUE,"EWEB";"PRINT",#N/A,TRUE,"LADWP";"PRINT",#N/A,TRUE,"NEVBASE"}</definedName>
    <definedName name="___j5" localSheetId="48" hidden="1">{"PRINT",#N/A,TRUE,"APPA";"PRINT",#N/A,TRUE,"APS";"PRINT",#N/A,TRUE,"BHPL";"PRINT",#N/A,TRUE,"BHPL2";"PRINT",#N/A,TRUE,"CDWR";"PRINT",#N/A,TRUE,"EWEB";"PRINT",#N/A,TRUE,"LADWP";"PRINT",#N/A,TRUE,"NEVBASE"}</definedName>
    <definedName name="___j5" hidden="1">{"PRINT",#N/A,TRUE,"APPA";"PRINT",#N/A,TRUE,"APS";"PRINT",#N/A,TRUE,"BHPL";"PRINT",#N/A,TRUE,"BHPL2";"PRINT",#N/A,TRUE,"CDWR";"PRINT",#N/A,TRUE,"EWEB";"PRINT",#N/A,TRUE,"LADWP";"PRINT",#N/A,TRUE,"NEVBASE"}</definedName>
    <definedName name="___OM1" localSheetId="54" hidden="1">{#N/A,#N/A,FALSE,"Summary";#N/A,#N/A,FALSE,"SmPlants";#N/A,#N/A,FALSE,"Utah";#N/A,#N/A,FALSE,"Idaho";#N/A,#N/A,FALSE,"Lewis River";#N/A,#N/A,FALSE,"NrthUmpq";#N/A,#N/A,FALSE,"KlamRog"}</definedName>
    <definedName name="___OM1" localSheetId="53" hidden="1">{#N/A,#N/A,FALSE,"Summary";#N/A,#N/A,FALSE,"SmPlants";#N/A,#N/A,FALSE,"Utah";#N/A,#N/A,FALSE,"Idaho";#N/A,#N/A,FALSE,"Lewis River";#N/A,#N/A,FALSE,"NrthUmpq";#N/A,#N/A,FALSE,"KlamRog"}</definedName>
    <definedName name="___OM1" localSheetId="29" hidden="1">{#N/A,#N/A,FALSE,"Summary";#N/A,#N/A,FALSE,"SmPlants";#N/A,#N/A,FALSE,"Utah";#N/A,#N/A,FALSE,"Idaho";#N/A,#N/A,FALSE,"Lewis River";#N/A,#N/A,FALSE,"NrthUmpq";#N/A,#N/A,FALSE,"KlamRog"}</definedName>
    <definedName name="___OM1" localSheetId="28" hidden="1">{#N/A,#N/A,FALSE,"Summary";#N/A,#N/A,FALSE,"SmPlants";#N/A,#N/A,FALSE,"Utah";#N/A,#N/A,FALSE,"Idaho";#N/A,#N/A,FALSE,"Lewis River";#N/A,#N/A,FALSE,"NrthUmpq";#N/A,#N/A,FALSE,"KlamRog"}</definedName>
    <definedName name="___OM1" localSheetId="49" hidden="1">{#N/A,#N/A,FALSE,"Summary";#N/A,#N/A,FALSE,"SmPlants";#N/A,#N/A,FALSE,"Utah";#N/A,#N/A,FALSE,"Idaho";#N/A,#N/A,FALSE,"Lewis River";#N/A,#N/A,FALSE,"NrthUmpq";#N/A,#N/A,FALSE,"KlamRog"}</definedName>
    <definedName name="___OM1" localSheetId="23" hidden="1">{#N/A,#N/A,FALSE,"Summary";#N/A,#N/A,FALSE,"SmPlants";#N/A,#N/A,FALSE,"Utah";#N/A,#N/A,FALSE,"Idaho";#N/A,#N/A,FALSE,"Lewis River";#N/A,#N/A,FALSE,"NrthUmpq";#N/A,#N/A,FALSE,"KlamRog"}</definedName>
    <definedName name="___OM1" localSheetId="83" hidden="1">{#N/A,#N/A,FALSE,"Summary";#N/A,#N/A,FALSE,"SmPlants";#N/A,#N/A,FALSE,"Utah";#N/A,#N/A,FALSE,"Idaho";#N/A,#N/A,FALSE,"Lewis River";#N/A,#N/A,FALSE,"NrthUmpq";#N/A,#N/A,FALSE,"KlamRog"}</definedName>
    <definedName name="___OM1" localSheetId="27" hidden="1">{#N/A,#N/A,FALSE,"Summary";#N/A,#N/A,FALSE,"SmPlants";#N/A,#N/A,FALSE,"Utah";#N/A,#N/A,FALSE,"Idaho";#N/A,#N/A,FALSE,"Lewis River";#N/A,#N/A,FALSE,"NrthUmpq";#N/A,#N/A,FALSE,"KlamRog"}</definedName>
    <definedName name="___OM1" localSheetId="48" hidden="1">{#N/A,#N/A,FALSE,"Summary";#N/A,#N/A,FALSE,"SmPlants";#N/A,#N/A,FALSE,"Utah";#N/A,#N/A,FALSE,"Idaho";#N/A,#N/A,FALSE,"Lewis River";#N/A,#N/A,FALSE,"NrthUmpq";#N/A,#N/A,FALSE,"KlamRog"}</definedName>
    <definedName name="___OM1" hidden="1">{#N/A,#N/A,FALSE,"Summary";#N/A,#N/A,FALSE,"SmPlants";#N/A,#N/A,FALSE,"Utah";#N/A,#N/A,FALSE,"Idaho";#N/A,#N/A,FALSE,"Lewis River";#N/A,#N/A,FALSE,"NrthUmpq";#N/A,#N/A,FALSE,"KlamRog"}</definedName>
    <definedName name="__123Graph_A" localSheetId="49" hidden="1">#REF!</definedName>
    <definedName name="__123Graph_A" localSheetId="23" hidden="1">#REF!</definedName>
    <definedName name="__123Graph_A" localSheetId="83" hidden="1">#REF!</definedName>
    <definedName name="__123Graph_A" localSheetId="48" hidden="1">#REF!</definedName>
    <definedName name="__123Graph_A" hidden="1">#REF!</definedName>
    <definedName name="__123Graph_B" localSheetId="49" hidden="1">#REF!</definedName>
    <definedName name="__123Graph_B" localSheetId="23" hidden="1">#REF!</definedName>
    <definedName name="__123Graph_B" localSheetId="83" hidden="1">#REF!</definedName>
    <definedName name="__123Graph_B" localSheetId="48" hidden="1">#REF!</definedName>
    <definedName name="__123Graph_B" hidden="1">#REF!</definedName>
    <definedName name="__123Graph_D" localSheetId="49" hidden="1">#REF!</definedName>
    <definedName name="__123Graph_D" localSheetId="23" hidden="1">#REF!</definedName>
    <definedName name="__123Graph_D" localSheetId="83" hidden="1">#REF!</definedName>
    <definedName name="__123Graph_D" localSheetId="48" hidden="1">#REF!</definedName>
    <definedName name="__123Graph_D" hidden="1">#REF!</definedName>
    <definedName name="__123Graph_E" localSheetId="49" hidden="1">#REF!</definedName>
    <definedName name="__123Graph_E" localSheetId="23" hidden="1">#REF!</definedName>
    <definedName name="__123Graph_E" localSheetId="83" hidden="1">#REF!</definedName>
    <definedName name="__123Graph_E" localSheetId="48" hidden="1">#REF!</definedName>
    <definedName name="__123Graph_E" hidden="1">#REF!</definedName>
    <definedName name="__123Graph_F" localSheetId="49" hidden="1">#REF!</definedName>
    <definedName name="__123Graph_F" localSheetId="23" hidden="1">#REF!</definedName>
    <definedName name="__123Graph_F" localSheetId="83" hidden="1">#REF!</definedName>
    <definedName name="__123Graph_F" localSheetId="48" hidden="1">#REF!</definedName>
    <definedName name="__123Graph_F" hidden="1">#REF!</definedName>
    <definedName name="__j1" localSheetId="54" hidden="1">{"PRINT",#N/A,TRUE,"APPA";"PRINT",#N/A,TRUE,"APS";"PRINT",#N/A,TRUE,"BHPL";"PRINT",#N/A,TRUE,"BHPL2";"PRINT",#N/A,TRUE,"CDWR";"PRINT",#N/A,TRUE,"EWEB";"PRINT",#N/A,TRUE,"LADWP";"PRINT",#N/A,TRUE,"NEVBASE"}</definedName>
    <definedName name="__j1" localSheetId="53" hidden="1">{"PRINT",#N/A,TRUE,"APPA";"PRINT",#N/A,TRUE,"APS";"PRINT",#N/A,TRUE,"BHPL";"PRINT",#N/A,TRUE,"BHPL2";"PRINT",#N/A,TRUE,"CDWR";"PRINT",#N/A,TRUE,"EWEB";"PRINT",#N/A,TRUE,"LADWP";"PRINT",#N/A,TRUE,"NEVBASE"}</definedName>
    <definedName name="__j1" localSheetId="29" hidden="1">{"PRINT",#N/A,TRUE,"APPA";"PRINT",#N/A,TRUE,"APS";"PRINT",#N/A,TRUE,"BHPL";"PRINT",#N/A,TRUE,"BHPL2";"PRINT",#N/A,TRUE,"CDWR";"PRINT",#N/A,TRUE,"EWEB";"PRINT",#N/A,TRUE,"LADWP";"PRINT",#N/A,TRUE,"NEVBASE"}</definedName>
    <definedName name="__j1" localSheetId="28" hidden="1">{"PRINT",#N/A,TRUE,"APPA";"PRINT",#N/A,TRUE,"APS";"PRINT",#N/A,TRUE,"BHPL";"PRINT",#N/A,TRUE,"BHPL2";"PRINT",#N/A,TRUE,"CDWR";"PRINT",#N/A,TRUE,"EWEB";"PRINT",#N/A,TRUE,"LADWP";"PRINT",#N/A,TRUE,"NEVBASE"}</definedName>
    <definedName name="__j1" localSheetId="49" hidden="1">{"PRINT",#N/A,TRUE,"APPA";"PRINT",#N/A,TRUE,"APS";"PRINT",#N/A,TRUE,"BHPL";"PRINT",#N/A,TRUE,"BHPL2";"PRINT",#N/A,TRUE,"CDWR";"PRINT",#N/A,TRUE,"EWEB";"PRINT",#N/A,TRUE,"LADWP";"PRINT",#N/A,TRUE,"NEVBASE"}</definedName>
    <definedName name="__j1" localSheetId="23" hidden="1">{"PRINT",#N/A,TRUE,"APPA";"PRINT",#N/A,TRUE,"APS";"PRINT",#N/A,TRUE,"BHPL";"PRINT",#N/A,TRUE,"BHPL2";"PRINT",#N/A,TRUE,"CDWR";"PRINT",#N/A,TRUE,"EWEB";"PRINT",#N/A,TRUE,"LADWP";"PRINT",#N/A,TRUE,"NEVBASE"}</definedName>
    <definedName name="__j1" localSheetId="83" hidden="1">{"PRINT",#N/A,TRUE,"APPA";"PRINT",#N/A,TRUE,"APS";"PRINT",#N/A,TRUE,"BHPL";"PRINT",#N/A,TRUE,"BHPL2";"PRINT",#N/A,TRUE,"CDWR";"PRINT",#N/A,TRUE,"EWEB";"PRINT",#N/A,TRUE,"LADWP";"PRINT",#N/A,TRUE,"NEVBASE"}</definedName>
    <definedName name="__j1" localSheetId="27" hidden="1">{"PRINT",#N/A,TRUE,"APPA";"PRINT",#N/A,TRUE,"APS";"PRINT",#N/A,TRUE,"BHPL";"PRINT",#N/A,TRUE,"BHPL2";"PRINT",#N/A,TRUE,"CDWR";"PRINT",#N/A,TRUE,"EWEB";"PRINT",#N/A,TRUE,"LADWP";"PRINT",#N/A,TRUE,"NEVBASE"}</definedName>
    <definedName name="__j1" localSheetId="48" hidden="1">{"PRINT",#N/A,TRUE,"APPA";"PRINT",#N/A,TRUE,"APS";"PRINT",#N/A,TRUE,"BHPL";"PRINT",#N/A,TRUE,"BHPL2";"PRINT",#N/A,TRUE,"CDWR";"PRINT",#N/A,TRUE,"EWEB";"PRINT",#N/A,TRUE,"LADWP";"PRINT",#N/A,TRUE,"NEVBASE"}</definedName>
    <definedName name="__j1" hidden="1">{"PRINT",#N/A,TRUE,"APPA";"PRINT",#N/A,TRUE,"APS";"PRINT",#N/A,TRUE,"BHPL";"PRINT",#N/A,TRUE,"BHPL2";"PRINT",#N/A,TRUE,"CDWR";"PRINT",#N/A,TRUE,"EWEB";"PRINT",#N/A,TRUE,"LADWP";"PRINT",#N/A,TRUE,"NEVBASE"}</definedName>
    <definedName name="__j2" localSheetId="54" hidden="1">{"PRINT",#N/A,TRUE,"APPA";"PRINT",#N/A,TRUE,"APS";"PRINT",#N/A,TRUE,"BHPL";"PRINT",#N/A,TRUE,"BHPL2";"PRINT",#N/A,TRUE,"CDWR";"PRINT",#N/A,TRUE,"EWEB";"PRINT",#N/A,TRUE,"LADWP";"PRINT",#N/A,TRUE,"NEVBASE"}</definedName>
    <definedName name="__j2" localSheetId="53" hidden="1">{"PRINT",#N/A,TRUE,"APPA";"PRINT",#N/A,TRUE,"APS";"PRINT",#N/A,TRUE,"BHPL";"PRINT",#N/A,TRUE,"BHPL2";"PRINT",#N/A,TRUE,"CDWR";"PRINT",#N/A,TRUE,"EWEB";"PRINT",#N/A,TRUE,"LADWP";"PRINT",#N/A,TRUE,"NEVBASE"}</definedName>
    <definedName name="__j2" localSheetId="29" hidden="1">{"PRINT",#N/A,TRUE,"APPA";"PRINT",#N/A,TRUE,"APS";"PRINT",#N/A,TRUE,"BHPL";"PRINT",#N/A,TRUE,"BHPL2";"PRINT",#N/A,TRUE,"CDWR";"PRINT",#N/A,TRUE,"EWEB";"PRINT",#N/A,TRUE,"LADWP";"PRINT",#N/A,TRUE,"NEVBASE"}</definedName>
    <definedName name="__j2" localSheetId="28" hidden="1">{"PRINT",#N/A,TRUE,"APPA";"PRINT",#N/A,TRUE,"APS";"PRINT",#N/A,TRUE,"BHPL";"PRINT",#N/A,TRUE,"BHPL2";"PRINT",#N/A,TRUE,"CDWR";"PRINT",#N/A,TRUE,"EWEB";"PRINT",#N/A,TRUE,"LADWP";"PRINT",#N/A,TRUE,"NEVBASE"}</definedName>
    <definedName name="__j2" localSheetId="49" hidden="1">{"PRINT",#N/A,TRUE,"APPA";"PRINT",#N/A,TRUE,"APS";"PRINT",#N/A,TRUE,"BHPL";"PRINT",#N/A,TRUE,"BHPL2";"PRINT",#N/A,TRUE,"CDWR";"PRINT",#N/A,TRUE,"EWEB";"PRINT",#N/A,TRUE,"LADWP";"PRINT",#N/A,TRUE,"NEVBASE"}</definedName>
    <definedName name="__j2" localSheetId="23" hidden="1">{"PRINT",#N/A,TRUE,"APPA";"PRINT",#N/A,TRUE,"APS";"PRINT",#N/A,TRUE,"BHPL";"PRINT",#N/A,TRUE,"BHPL2";"PRINT",#N/A,TRUE,"CDWR";"PRINT",#N/A,TRUE,"EWEB";"PRINT",#N/A,TRUE,"LADWP";"PRINT",#N/A,TRUE,"NEVBASE"}</definedName>
    <definedName name="__j2" localSheetId="83" hidden="1">{"PRINT",#N/A,TRUE,"APPA";"PRINT",#N/A,TRUE,"APS";"PRINT",#N/A,TRUE,"BHPL";"PRINT",#N/A,TRUE,"BHPL2";"PRINT",#N/A,TRUE,"CDWR";"PRINT",#N/A,TRUE,"EWEB";"PRINT",#N/A,TRUE,"LADWP";"PRINT",#N/A,TRUE,"NEVBASE"}</definedName>
    <definedName name="__j2" localSheetId="27" hidden="1">{"PRINT",#N/A,TRUE,"APPA";"PRINT",#N/A,TRUE,"APS";"PRINT",#N/A,TRUE,"BHPL";"PRINT",#N/A,TRUE,"BHPL2";"PRINT",#N/A,TRUE,"CDWR";"PRINT",#N/A,TRUE,"EWEB";"PRINT",#N/A,TRUE,"LADWP";"PRINT",#N/A,TRUE,"NEVBASE"}</definedName>
    <definedName name="__j2" localSheetId="48" hidden="1">{"PRINT",#N/A,TRUE,"APPA";"PRINT",#N/A,TRUE,"APS";"PRINT",#N/A,TRUE,"BHPL";"PRINT",#N/A,TRUE,"BHPL2";"PRINT",#N/A,TRUE,"CDWR";"PRINT",#N/A,TRUE,"EWEB";"PRINT",#N/A,TRUE,"LADWP";"PRINT",#N/A,TRUE,"NEVBASE"}</definedName>
    <definedName name="__j2" hidden="1">{"PRINT",#N/A,TRUE,"APPA";"PRINT",#N/A,TRUE,"APS";"PRINT",#N/A,TRUE,"BHPL";"PRINT",#N/A,TRUE,"BHPL2";"PRINT",#N/A,TRUE,"CDWR";"PRINT",#N/A,TRUE,"EWEB";"PRINT",#N/A,TRUE,"LADWP";"PRINT",#N/A,TRUE,"NEVBASE"}</definedName>
    <definedName name="__j3" localSheetId="54" hidden="1">{"PRINT",#N/A,TRUE,"APPA";"PRINT",#N/A,TRUE,"APS";"PRINT",#N/A,TRUE,"BHPL";"PRINT",#N/A,TRUE,"BHPL2";"PRINT",#N/A,TRUE,"CDWR";"PRINT",#N/A,TRUE,"EWEB";"PRINT",#N/A,TRUE,"LADWP";"PRINT",#N/A,TRUE,"NEVBASE"}</definedName>
    <definedName name="__j3" localSheetId="53" hidden="1">{"PRINT",#N/A,TRUE,"APPA";"PRINT",#N/A,TRUE,"APS";"PRINT",#N/A,TRUE,"BHPL";"PRINT",#N/A,TRUE,"BHPL2";"PRINT",#N/A,TRUE,"CDWR";"PRINT",#N/A,TRUE,"EWEB";"PRINT",#N/A,TRUE,"LADWP";"PRINT",#N/A,TRUE,"NEVBASE"}</definedName>
    <definedName name="__j3" localSheetId="29" hidden="1">{"PRINT",#N/A,TRUE,"APPA";"PRINT",#N/A,TRUE,"APS";"PRINT",#N/A,TRUE,"BHPL";"PRINT",#N/A,TRUE,"BHPL2";"PRINT",#N/A,TRUE,"CDWR";"PRINT",#N/A,TRUE,"EWEB";"PRINT",#N/A,TRUE,"LADWP";"PRINT",#N/A,TRUE,"NEVBASE"}</definedName>
    <definedName name="__j3" localSheetId="28" hidden="1">{"PRINT",#N/A,TRUE,"APPA";"PRINT",#N/A,TRUE,"APS";"PRINT",#N/A,TRUE,"BHPL";"PRINT",#N/A,TRUE,"BHPL2";"PRINT",#N/A,TRUE,"CDWR";"PRINT",#N/A,TRUE,"EWEB";"PRINT",#N/A,TRUE,"LADWP";"PRINT",#N/A,TRUE,"NEVBASE"}</definedName>
    <definedName name="__j3" localSheetId="49" hidden="1">{"PRINT",#N/A,TRUE,"APPA";"PRINT",#N/A,TRUE,"APS";"PRINT",#N/A,TRUE,"BHPL";"PRINT",#N/A,TRUE,"BHPL2";"PRINT",#N/A,TRUE,"CDWR";"PRINT",#N/A,TRUE,"EWEB";"PRINT",#N/A,TRUE,"LADWP";"PRINT",#N/A,TRUE,"NEVBASE"}</definedName>
    <definedName name="__j3" localSheetId="23" hidden="1">{"PRINT",#N/A,TRUE,"APPA";"PRINT",#N/A,TRUE,"APS";"PRINT",#N/A,TRUE,"BHPL";"PRINT",#N/A,TRUE,"BHPL2";"PRINT",#N/A,TRUE,"CDWR";"PRINT",#N/A,TRUE,"EWEB";"PRINT",#N/A,TRUE,"LADWP";"PRINT",#N/A,TRUE,"NEVBASE"}</definedName>
    <definedName name="__j3" localSheetId="83" hidden="1">{"PRINT",#N/A,TRUE,"APPA";"PRINT",#N/A,TRUE,"APS";"PRINT",#N/A,TRUE,"BHPL";"PRINT",#N/A,TRUE,"BHPL2";"PRINT",#N/A,TRUE,"CDWR";"PRINT",#N/A,TRUE,"EWEB";"PRINT",#N/A,TRUE,"LADWP";"PRINT",#N/A,TRUE,"NEVBASE"}</definedName>
    <definedName name="__j3" localSheetId="27" hidden="1">{"PRINT",#N/A,TRUE,"APPA";"PRINT",#N/A,TRUE,"APS";"PRINT",#N/A,TRUE,"BHPL";"PRINT",#N/A,TRUE,"BHPL2";"PRINT",#N/A,TRUE,"CDWR";"PRINT",#N/A,TRUE,"EWEB";"PRINT",#N/A,TRUE,"LADWP";"PRINT",#N/A,TRUE,"NEVBASE"}</definedName>
    <definedName name="__j3" localSheetId="48" hidden="1">{"PRINT",#N/A,TRUE,"APPA";"PRINT",#N/A,TRUE,"APS";"PRINT",#N/A,TRUE,"BHPL";"PRINT",#N/A,TRUE,"BHPL2";"PRINT",#N/A,TRUE,"CDWR";"PRINT",#N/A,TRUE,"EWEB";"PRINT",#N/A,TRUE,"LADWP";"PRINT",#N/A,TRUE,"NEVBASE"}</definedName>
    <definedName name="__j3" hidden="1">{"PRINT",#N/A,TRUE,"APPA";"PRINT",#N/A,TRUE,"APS";"PRINT",#N/A,TRUE,"BHPL";"PRINT",#N/A,TRUE,"BHPL2";"PRINT",#N/A,TRUE,"CDWR";"PRINT",#N/A,TRUE,"EWEB";"PRINT",#N/A,TRUE,"LADWP";"PRINT",#N/A,TRUE,"NEVBASE"}</definedName>
    <definedName name="__j4" localSheetId="54" hidden="1">{"PRINT",#N/A,TRUE,"APPA";"PRINT",#N/A,TRUE,"APS";"PRINT",#N/A,TRUE,"BHPL";"PRINT",#N/A,TRUE,"BHPL2";"PRINT",#N/A,TRUE,"CDWR";"PRINT",#N/A,TRUE,"EWEB";"PRINT",#N/A,TRUE,"LADWP";"PRINT",#N/A,TRUE,"NEVBASE"}</definedName>
    <definedName name="__j4" localSheetId="53" hidden="1">{"PRINT",#N/A,TRUE,"APPA";"PRINT",#N/A,TRUE,"APS";"PRINT",#N/A,TRUE,"BHPL";"PRINT",#N/A,TRUE,"BHPL2";"PRINT",#N/A,TRUE,"CDWR";"PRINT",#N/A,TRUE,"EWEB";"PRINT",#N/A,TRUE,"LADWP";"PRINT",#N/A,TRUE,"NEVBASE"}</definedName>
    <definedName name="__j4" localSheetId="29" hidden="1">{"PRINT",#N/A,TRUE,"APPA";"PRINT",#N/A,TRUE,"APS";"PRINT",#N/A,TRUE,"BHPL";"PRINT",#N/A,TRUE,"BHPL2";"PRINT",#N/A,TRUE,"CDWR";"PRINT",#N/A,TRUE,"EWEB";"PRINT",#N/A,TRUE,"LADWP";"PRINT",#N/A,TRUE,"NEVBASE"}</definedName>
    <definedName name="__j4" localSheetId="28" hidden="1">{"PRINT",#N/A,TRUE,"APPA";"PRINT",#N/A,TRUE,"APS";"PRINT",#N/A,TRUE,"BHPL";"PRINT",#N/A,TRUE,"BHPL2";"PRINT",#N/A,TRUE,"CDWR";"PRINT",#N/A,TRUE,"EWEB";"PRINT",#N/A,TRUE,"LADWP";"PRINT",#N/A,TRUE,"NEVBASE"}</definedName>
    <definedName name="__j4" localSheetId="49" hidden="1">{"PRINT",#N/A,TRUE,"APPA";"PRINT",#N/A,TRUE,"APS";"PRINT",#N/A,TRUE,"BHPL";"PRINT",#N/A,TRUE,"BHPL2";"PRINT",#N/A,TRUE,"CDWR";"PRINT",#N/A,TRUE,"EWEB";"PRINT",#N/A,TRUE,"LADWP";"PRINT",#N/A,TRUE,"NEVBASE"}</definedName>
    <definedName name="__j4" localSheetId="23" hidden="1">{"PRINT",#N/A,TRUE,"APPA";"PRINT",#N/A,TRUE,"APS";"PRINT",#N/A,TRUE,"BHPL";"PRINT",#N/A,TRUE,"BHPL2";"PRINT",#N/A,TRUE,"CDWR";"PRINT",#N/A,TRUE,"EWEB";"PRINT",#N/A,TRUE,"LADWP";"PRINT",#N/A,TRUE,"NEVBASE"}</definedName>
    <definedName name="__j4" localSheetId="83" hidden="1">{"PRINT",#N/A,TRUE,"APPA";"PRINT",#N/A,TRUE,"APS";"PRINT",#N/A,TRUE,"BHPL";"PRINT",#N/A,TRUE,"BHPL2";"PRINT",#N/A,TRUE,"CDWR";"PRINT",#N/A,TRUE,"EWEB";"PRINT",#N/A,TRUE,"LADWP";"PRINT",#N/A,TRUE,"NEVBASE"}</definedName>
    <definedName name="__j4" localSheetId="27" hidden="1">{"PRINT",#N/A,TRUE,"APPA";"PRINT",#N/A,TRUE,"APS";"PRINT",#N/A,TRUE,"BHPL";"PRINT",#N/A,TRUE,"BHPL2";"PRINT",#N/A,TRUE,"CDWR";"PRINT",#N/A,TRUE,"EWEB";"PRINT",#N/A,TRUE,"LADWP";"PRINT",#N/A,TRUE,"NEVBASE"}</definedName>
    <definedName name="__j4" localSheetId="48" hidden="1">{"PRINT",#N/A,TRUE,"APPA";"PRINT",#N/A,TRUE,"APS";"PRINT",#N/A,TRUE,"BHPL";"PRINT",#N/A,TRUE,"BHPL2";"PRINT",#N/A,TRUE,"CDWR";"PRINT",#N/A,TRUE,"EWEB";"PRINT",#N/A,TRUE,"LADWP";"PRINT",#N/A,TRUE,"NEVBASE"}</definedName>
    <definedName name="__j4" hidden="1">{"PRINT",#N/A,TRUE,"APPA";"PRINT",#N/A,TRUE,"APS";"PRINT",#N/A,TRUE,"BHPL";"PRINT",#N/A,TRUE,"BHPL2";"PRINT",#N/A,TRUE,"CDWR";"PRINT",#N/A,TRUE,"EWEB";"PRINT",#N/A,TRUE,"LADWP";"PRINT",#N/A,TRUE,"NEVBASE"}</definedName>
    <definedName name="__j5" localSheetId="54" hidden="1">{"PRINT",#N/A,TRUE,"APPA";"PRINT",#N/A,TRUE,"APS";"PRINT",#N/A,TRUE,"BHPL";"PRINT",#N/A,TRUE,"BHPL2";"PRINT",#N/A,TRUE,"CDWR";"PRINT",#N/A,TRUE,"EWEB";"PRINT",#N/A,TRUE,"LADWP";"PRINT",#N/A,TRUE,"NEVBASE"}</definedName>
    <definedName name="__j5" localSheetId="53" hidden="1">{"PRINT",#N/A,TRUE,"APPA";"PRINT",#N/A,TRUE,"APS";"PRINT",#N/A,TRUE,"BHPL";"PRINT",#N/A,TRUE,"BHPL2";"PRINT",#N/A,TRUE,"CDWR";"PRINT",#N/A,TRUE,"EWEB";"PRINT",#N/A,TRUE,"LADWP";"PRINT",#N/A,TRUE,"NEVBASE"}</definedName>
    <definedName name="__j5" localSheetId="29" hidden="1">{"PRINT",#N/A,TRUE,"APPA";"PRINT",#N/A,TRUE,"APS";"PRINT",#N/A,TRUE,"BHPL";"PRINT",#N/A,TRUE,"BHPL2";"PRINT",#N/A,TRUE,"CDWR";"PRINT",#N/A,TRUE,"EWEB";"PRINT",#N/A,TRUE,"LADWP";"PRINT",#N/A,TRUE,"NEVBASE"}</definedName>
    <definedName name="__j5" localSheetId="28" hidden="1">{"PRINT",#N/A,TRUE,"APPA";"PRINT",#N/A,TRUE,"APS";"PRINT",#N/A,TRUE,"BHPL";"PRINT",#N/A,TRUE,"BHPL2";"PRINT",#N/A,TRUE,"CDWR";"PRINT",#N/A,TRUE,"EWEB";"PRINT",#N/A,TRUE,"LADWP";"PRINT",#N/A,TRUE,"NEVBASE"}</definedName>
    <definedName name="__j5" localSheetId="49" hidden="1">{"PRINT",#N/A,TRUE,"APPA";"PRINT",#N/A,TRUE,"APS";"PRINT",#N/A,TRUE,"BHPL";"PRINT",#N/A,TRUE,"BHPL2";"PRINT",#N/A,TRUE,"CDWR";"PRINT",#N/A,TRUE,"EWEB";"PRINT",#N/A,TRUE,"LADWP";"PRINT",#N/A,TRUE,"NEVBASE"}</definedName>
    <definedName name="__j5" localSheetId="23" hidden="1">{"PRINT",#N/A,TRUE,"APPA";"PRINT",#N/A,TRUE,"APS";"PRINT",#N/A,TRUE,"BHPL";"PRINT",#N/A,TRUE,"BHPL2";"PRINT",#N/A,TRUE,"CDWR";"PRINT",#N/A,TRUE,"EWEB";"PRINT",#N/A,TRUE,"LADWP";"PRINT",#N/A,TRUE,"NEVBASE"}</definedName>
    <definedName name="__j5" localSheetId="83" hidden="1">{"PRINT",#N/A,TRUE,"APPA";"PRINT",#N/A,TRUE,"APS";"PRINT",#N/A,TRUE,"BHPL";"PRINT",#N/A,TRUE,"BHPL2";"PRINT",#N/A,TRUE,"CDWR";"PRINT",#N/A,TRUE,"EWEB";"PRINT",#N/A,TRUE,"LADWP";"PRINT",#N/A,TRUE,"NEVBASE"}</definedName>
    <definedName name="__j5" localSheetId="27" hidden="1">{"PRINT",#N/A,TRUE,"APPA";"PRINT",#N/A,TRUE,"APS";"PRINT",#N/A,TRUE,"BHPL";"PRINT",#N/A,TRUE,"BHPL2";"PRINT",#N/A,TRUE,"CDWR";"PRINT",#N/A,TRUE,"EWEB";"PRINT",#N/A,TRUE,"LADWP";"PRINT",#N/A,TRUE,"NEVBASE"}</definedName>
    <definedName name="__j5" localSheetId="48" hidden="1">{"PRINT",#N/A,TRUE,"APPA";"PRINT",#N/A,TRUE,"APS";"PRINT",#N/A,TRUE,"BHPL";"PRINT",#N/A,TRUE,"BHPL2";"PRINT",#N/A,TRUE,"CDWR";"PRINT",#N/A,TRUE,"EWEB";"PRINT",#N/A,TRUE,"LADWP";"PRINT",#N/A,TRUE,"NEVBASE"}</definedName>
    <definedName name="__j5" hidden="1">{"PRINT",#N/A,TRUE,"APPA";"PRINT",#N/A,TRUE,"APS";"PRINT",#N/A,TRUE,"BHPL";"PRINT",#N/A,TRUE,"BHPL2";"PRINT",#N/A,TRUE,"CDWR";"PRINT",#N/A,TRUE,"EWEB";"PRINT",#N/A,TRUE,"LADWP";"PRINT",#N/A,TRUE,"NEVBASE"}</definedName>
    <definedName name="__OM1" localSheetId="54" hidden="1">{#N/A,#N/A,FALSE,"Summary";#N/A,#N/A,FALSE,"SmPlants";#N/A,#N/A,FALSE,"Utah";#N/A,#N/A,FALSE,"Idaho";#N/A,#N/A,FALSE,"Lewis River";#N/A,#N/A,FALSE,"NrthUmpq";#N/A,#N/A,FALSE,"KlamRog"}</definedName>
    <definedName name="__OM1" localSheetId="53" hidden="1">{#N/A,#N/A,FALSE,"Summary";#N/A,#N/A,FALSE,"SmPlants";#N/A,#N/A,FALSE,"Utah";#N/A,#N/A,FALSE,"Idaho";#N/A,#N/A,FALSE,"Lewis River";#N/A,#N/A,FALSE,"NrthUmpq";#N/A,#N/A,FALSE,"KlamRog"}</definedName>
    <definedName name="__OM1" localSheetId="29" hidden="1">{#N/A,#N/A,FALSE,"Summary";#N/A,#N/A,FALSE,"SmPlants";#N/A,#N/A,FALSE,"Utah";#N/A,#N/A,FALSE,"Idaho";#N/A,#N/A,FALSE,"Lewis River";#N/A,#N/A,FALSE,"NrthUmpq";#N/A,#N/A,FALSE,"KlamRog"}</definedName>
    <definedName name="__OM1" localSheetId="28" hidden="1">{#N/A,#N/A,FALSE,"Summary";#N/A,#N/A,FALSE,"SmPlants";#N/A,#N/A,FALSE,"Utah";#N/A,#N/A,FALSE,"Idaho";#N/A,#N/A,FALSE,"Lewis River";#N/A,#N/A,FALSE,"NrthUmpq";#N/A,#N/A,FALSE,"KlamRog"}</definedName>
    <definedName name="__OM1" localSheetId="49" hidden="1">{#N/A,#N/A,FALSE,"Summary";#N/A,#N/A,FALSE,"SmPlants";#N/A,#N/A,FALSE,"Utah";#N/A,#N/A,FALSE,"Idaho";#N/A,#N/A,FALSE,"Lewis River";#N/A,#N/A,FALSE,"NrthUmpq";#N/A,#N/A,FALSE,"KlamRog"}</definedName>
    <definedName name="__OM1" localSheetId="23" hidden="1">{#N/A,#N/A,FALSE,"Summary";#N/A,#N/A,FALSE,"SmPlants";#N/A,#N/A,FALSE,"Utah";#N/A,#N/A,FALSE,"Idaho";#N/A,#N/A,FALSE,"Lewis River";#N/A,#N/A,FALSE,"NrthUmpq";#N/A,#N/A,FALSE,"KlamRog"}</definedName>
    <definedName name="__OM1" localSheetId="83" hidden="1">{#N/A,#N/A,FALSE,"Summary";#N/A,#N/A,FALSE,"SmPlants";#N/A,#N/A,FALSE,"Utah";#N/A,#N/A,FALSE,"Idaho";#N/A,#N/A,FALSE,"Lewis River";#N/A,#N/A,FALSE,"NrthUmpq";#N/A,#N/A,FALSE,"KlamRog"}</definedName>
    <definedName name="__OM1" localSheetId="27" hidden="1">{#N/A,#N/A,FALSE,"Summary";#N/A,#N/A,FALSE,"SmPlants";#N/A,#N/A,FALSE,"Utah";#N/A,#N/A,FALSE,"Idaho";#N/A,#N/A,FALSE,"Lewis River";#N/A,#N/A,FALSE,"NrthUmpq";#N/A,#N/A,FALSE,"KlamRog"}</definedName>
    <definedName name="__OM1" localSheetId="48" hidden="1">{#N/A,#N/A,FALSE,"Summary";#N/A,#N/A,FALSE,"SmPlants";#N/A,#N/A,FALSE,"Utah";#N/A,#N/A,FALSE,"Idaho";#N/A,#N/A,FALSE,"Lewis River";#N/A,#N/A,FALSE,"NrthUmpq";#N/A,#N/A,FALSE,"KlamRog"}</definedName>
    <definedName name="__OM1" hidden="1">{#N/A,#N/A,FALSE,"Summary";#N/A,#N/A,FALSE,"SmPlants";#N/A,#N/A,FALSE,"Utah";#N/A,#N/A,FALSE,"Idaho";#N/A,#N/A,FALSE,"Lewis River";#N/A,#N/A,FALSE,"NrthUmpq";#N/A,#N/A,FALSE,"KlamRog"}</definedName>
    <definedName name="_Fill" localSheetId="54" hidden="1">#REF!</definedName>
    <definedName name="_Fill" localSheetId="53" hidden="1">#REF!</definedName>
    <definedName name="_Fill" localSheetId="29" hidden="1">#REF!</definedName>
    <definedName name="_Fill" localSheetId="28" hidden="1">#REF!</definedName>
    <definedName name="_Fill" localSheetId="49" hidden="1">#REF!</definedName>
    <definedName name="_Fill" localSheetId="83" hidden="1">#REF!</definedName>
    <definedName name="_Fill" localSheetId="27" hidden="1">#REF!</definedName>
    <definedName name="_Fill" localSheetId="48" hidden="1">#REF!</definedName>
    <definedName name="_Fill" hidden="1">#REF!</definedName>
    <definedName name="_xlnm._FilterDatabase" localSheetId="54" hidden="1">'407.3 - Reg Debits_2023'!$A$3:$J$3</definedName>
    <definedName name="_xlnm._FilterDatabase" localSheetId="53" hidden="1">'421 - Misc Income_2023'!$A$2:$N$2</definedName>
    <definedName name="_xlnm._FilterDatabase" localSheetId="29" hidden="1">#REF!</definedName>
    <definedName name="_xlnm._FilterDatabase" localSheetId="40" hidden="1">'B16-Reg Assets'!$A$36:$J$1003</definedName>
    <definedName name="_xlnm._FilterDatabase" localSheetId="30" hidden="1">'B1-Electric Ops Rvn'!$A$36:$I$450</definedName>
    <definedName name="_xlnm._FilterDatabase" localSheetId="31" hidden="1">'B2-O&amp;M'!$A$36:$I$797</definedName>
    <definedName name="_xlnm._FilterDatabase" localSheetId="32" hidden="1">'B3-Depreciation Exp'!$A$36:$I$327</definedName>
    <definedName name="_xlnm._FilterDatabase" localSheetId="33" hidden="1">'B4-Amortization Exp'!$A$36:$I$148</definedName>
    <definedName name="_xlnm._FilterDatabase" localSheetId="34" hidden="1">'B5-Taxes Other Than Income'!$A$36:$I$58</definedName>
    <definedName name="_xlnm._FilterDatabase" localSheetId="28" hidden="1">#REF!</definedName>
    <definedName name="_xlnm._FilterDatabase" localSheetId="49" hidden="1">#REF!</definedName>
    <definedName name="_xlnm._FilterDatabase" localSheetId="83" hidden="1">#REF!</definedName>
    <definedName name="_xlnm._FilterDatabase" localSheetId="27" hidden="1">#REF!</definedName>
    <definedName name="_xlnm._FilterDatabase" localSheetId="48" hidden="1">#REF!</definedName>
    <definedName name="_xlnm._FilterDatabase" hidden="1">#REF!</definedName>
    <definedName name="_j1" localSheetId="54" hidden="1">{"PRINT",#N/A,TRUE,"APPA";"PRINT",#N/A,TRUE,"APS";"PRINT",#N/A,TRUE,"BHPL";"PRINT",#N/A,TRUE,"BHPL2";"PRINT",#N/A,TRUE,"CDWR";"PRINT",#N/A,TRUE,"EWEB";"PRINT",#N/A,TRUE,"LADWP";"PRINT",#N/A,TRUE,"NEVBASE"}</definedName>
    <definedName name="_j1" localSheetId="53" hidden="1">{"PRINT",#N/A,TRUE,"APPA";"PRINT",#N/A,TRUE,"APS";"PRINT",#N/A,TRUE,"BHPL";"PRINT",#N/A,TRUE,"BHPL2";"PRINT",#N/A,TRUE,"CDWR";"PRINT",#N/A,TRUE,"EWEB";"PRINT",#N/A,TRUE,"LADWP";"PRINT",#N/A,TRUE,"NEVBASE"}</definedName>
    <definedName name="_j1" localSheetId="29" hidden="1">{"PRINT",#N/A,TRUE,"APPA";"PRINT",#N/A,TRUE,"APS";"PRINT",#N/A,TRUE,"BHPL";"PRINT",#N/A,TRUE,"BHPL2";"PRINT",#N/A,TRUE,"CDWR";"PRINT",#N/A,TRUE,"EWEB";"PRINT",#N/A,TRUE,"LADWP";"PRINT",#N/A,TRUE,"NEVBASE"}</definedName>
    <definedName name="_j1" localSheetId="28" hidden="1">{"PRINT",#N/A,TRUE,"APPA";"PRINT",#N/A,TRUE,"APS";"PRINT",#N/A,TRUE,"BHPL";"PRINT",#N/A,TRUE,"BHPL2";"PRINT",#N/A,TRUE,"CDWR";"PRINT",#N/A,TRUE,"EWEB";"PRINT",#N/A,TRUE,"LADWP";"PRINT",#N/A,TRUE,"NEVBASE"}</definedName>
    <definedName name="_j1" localSheetId="49" hidden="1">{"PRINT",#N/A,TRUE,"APPA";"PRINT",#N/A,TRUE,"APS";"PRINT",#N/A,TRUE,"BHPL";"PRINT",#N/A,TRUE,"BHPL2";"PRINT",#N/A,TRUE,"CDWR";"PRINT",#N/A,TRUE,"EWEB";"PRINT",#N/A,TRUE,"LADWP";"PRINT",#N/A,TRUE,"NEVBASE"}</definedName>
    <definedName name="_j1" localSheetId="23" hidden="1">{"PRINT",#N/A,TRUE,"APPA";"PRINT",#N/A,TRUE,"APS";"PRINT",#N/A,TRUE,"BHPL";"PRINT",#N/A,TRUE,"BHPL2";"PRINT",#N/A,TRUE,"CDWR";"PRINT",#N/A,TRUE,"EWEB";"PRINT",#N/A,TRUE,"LADWP";"PRINT",#N/A,TRUE,"NEVBASE"}</definedName>
    <definedName name="_j1" localSheetId="83" hidden="1">{"PRINT",#N/A,TRUE,"APPA";"PRINT",#N/A,TRUE,"APS";"PRINT",#N/A,TRUE,"BHPL";"PRINT",#N/A,TRUE,"BHPL2";"PRINT",#N/A,TRUE,"CDWR";"PRINT",#N/A,TRUE,"EWEB";"PRINT",#N/A,TRUE,"LADWP";"PRINT",#N/A,TRUE,"NEVBASE"}</definedName>
    <definedName name="_j1" localSheetId="27" hidden="1">{"PRINT",#N/A,TRUE,"APPA";"PRINT",#N/A,TRUE,"APS";"PRINT",#N/A,TRUE,"BHPL";"PRINT",#N/A,TRUE,"BHPL2";"PRINT",#N/A,TRUE,"CDWR";"PRINT",#N/A,TRUE,"EWEB";"PRINT",#N/A,TRUE,"LADWP";"PRINT",#N/A,TRUE,"NEVBASE"}</definedName>
    <definedName name="_j1" localSheetId="48" hidden="1">{"PRINT",#N/A,TRUE,"APPA";"PRINT",#N/A,TRUE,"APS";"PRINT",#N/A,TRUE,"BHPL";"PRINT",#N/A,TRUE,"BHPL2";"PRINT",#N/A,TRUE,"CDWR";"PRINT",#N/A,TRUE,"EWEB";"PRINT",#N/A,TRUE,"LADWP";"PRINT",#N/A,TRUE,"NEVBASE"}</definedName>
    <definedName name="_j1" hidden="1">{"PRINT",#N/A,TRUE,"APPA";"PRINT",#N/A,TRUE,"APS";"PRINT",#N/A,TRUE,"BHPL";"PRINT",#N/A,TRUE,"BHPL2";"PRINT",#N/A,TRUE,"CDWR";"PRINT",#N/A,TRUE,"EWEB";"PRINT",#N/A,TRUE,"LADWP";"PRINT",#N/A,TRUE,"NEVBASE"}</definedName>
    <definedName name="_j2" localSheetId="54" hidden="1">{"PRINT",#N/A,TRUE,"APPA";"PRINT",#N/A,TRUE,"APS";"PRINT",#N/A,TRUE,"BHPL";"PRINT",#N/A,TRUE,"BHPL2";"PRINT",#N/A,TRUE,"CDWR";"PRINT",#N/A,TRUE,"EWEB";"PRINT",#N/A,TRUE,"LADWP";"PRINT",#N/A,TRUE,"NEVBASE"}</definedName>
    <definedName name="_j2" localSheetId="53" hidden="1">{"PRINT",#N/A,TRUE,"APPA";"PRINT",#N/A,TRUE,"APS";"PRINT",#N/A,TRUE,"BHPL";"PRINT",#N/A,TRUE,"BHPL2";"PRINT",#N/A,TRUE,"CDWR";"PRINT",#N/A,TRUE,"EWEB";"PRINT",#N/A,TRUE,"LADWP";"PRINT",#N/A,TRUE,"NEVBASE"}</definedName>
    <definedName name="_j2" localSheetId="29" hidden="1">{"PRINT",#N/A,TRUE,"APPA";"PRINT",#N/A,TRUE,"APS";"PRINT",#N/A,TRUE,"BHPL";"PRINT",#N/A,TRUE,"BHPL2";"PRINT",#N/A,TRUE,"CDWR";"PRINT",#N/A,TRUE,"EWEB";"PRINT",#N/A,TRUE,"LADWP";"PRINT",#N/A,TRUE,"NEVBASE"}</definedName>
    <definedName name="_j2" localSheetId="28" hidden="1">{"PRINT",#N/A,TRUE,"APPA";"PRINT",#N/A,TRUE,"APS";"PRINT",#N/A,TRUE,"BHPL";"PRINT",#N/A,TRUE,"BHPL2";"PRINT",#N/A,TRUE,"CDWR";"PRINT",#N/A,TRUE,"EWEB";"PRINT",#N/A,TRUE,"LADWP";"PRINT",#N/A,TRUE,"NEVBASE"}</definedName>
    <definedName name="_j2" localSheetId="49" hidden="1">{"PRINT",#N/A,TRUE,"APPA";"PRINT",#N/A,TRUE,"APS";"PRINT",#N/A,TRUE,"BHPL";"PRINT",#N/A,TRUE,"BHPL2";"PRINT",#N/A,TRUE,"CDWR";"PRINT",#N/A,TRUE,"EWEB";"PRINT",#N/A,TRUE,"LADWP";"PRINT",#N/A,TRUE,"NEVBASE"}</definedName>
    <definedName name="_j2" localSheetId="23" hidden="1">{"PRINT",#N/A,TRUE,"APPA";"PRINT",#N/A,TRUE,"APS";"PRINT",#N/A,TRUE,"BHPL";"PRINT",#N/A,TRUE,"BHPL2";"PRINT",#N/A,TRUE,"CDWR";"PRINT",#N/A,TRUE,"EWEB";"PRINT",#N/A,TRUE,"LADWP";"PRINT",#N/A,TRUE,"NEVBASE"}</definedName>
    <definedName name="_j2" localSheetId="83" hidden="1">{"PRINT",#N/A,TRUE,"APPA";"PRINT",#N/A,TRUE,"APS";"PRINT",#N/A,TRUE,"BHPL";"PRINT",#N/A,TRUE,"BHPL2";"PRINT",#N/A,TRUE,"CDWR";"PRINT",#N/A,TRUE,"EWEB";"PRINT",#N/A,TRUE,"LADWP";"PRINT",#N/A,TRUE,"NEVBASE"}</definedName>
    <definedName name="_j2" localSheetId="27" hidden="1">{"PRINT",#N/A,TRUE,"APPA";"PRINT",#N/A,TRUE,"APS";"PRINT",#N/A,TRUE,"BHPL";"PRINT",#N/A,TRUE,"BHPL2";"PRINT",#N/A,TRUE,"CDWR";"PRINT",#N/A,TRUE,"EWEB";"PRINT",#N/A,TRUE,"LADWP";"PRINT",#N/A,TRUE,"NEVBASE"}</definedName>
    <definedName name="_j2" localSheetId="48" hidden="1">{"PRINT",#N/A,TRUE,"APPA";"PRINT",#N/A,TRUE,"APS";"PRINT",#N/A,TRUE,"BHPL";"PRINT",#N/A,TRUE,"BHPL2";"PRINT",#N/A,TRUE,"CDWR";"PRINT",#N/A,TRUE,"EWEB";"PRINT",#N/A,TRUE,"LADWP";"PRINT",#N/A,TRUE,"NEVBASE"}</definedName>
    <definedName name="_j2" hidden="1">{"PRINT",#N/A,TRUE,"APPA";"PRINT",#N/A,TRUE,"APS";"PRINT",#N/A,TRUE,"BHPL";"PRINT",#N/A,TRUE,"BHPL2";"PRINT",#N/A,TRUE,"CDWR";"PRINT",#N/A,TRUE,"EWEB";"PRINT",#N/A,TRUE,"LADWP";"PRINT",#N/A,TRUE,"NEVBASE"}</definedName>
    <definedName name="_j3" localSheetId="54" hidden="1">{"PRINT",#N/A,TRUE,"APPA";"PRINT",#N/A,TRUE,"APS";"PRINT",#N/A,TRUE,"BHPL";"PRINT",#N/A,TRUE,"BHPL2";"PRINT",#N/A,TRUE,"CDWR";"PRINT",#N/A,TRUE,"EWEB";"PRINT",#N/A,TRUE,"LADWP";"PRINT",#N/A,TRUE,"NEVBASE"}</definedName>
    <definedName name="_j3" localSheetId="53" hidden="1">{"PRINT",#N/A,TRUE,"APPA";"PRINT",#N/A,TRUE,"APS";"PRINT",#N/A,TRUE,"BHPL";"PRINT",#N/A,TRUE,"BHPL2";"PRINT",#N/A,TRUE,"CDWR";"PRINT",#N/A,TRUE,"EWEB";"PRINT",#N/A,TRUE,"LADWP";"PRINT",#N/A,TRUE,"NEVBASE"}</definedName>
    <definedName name="_j3" localSheetId="29" hidden="1">{"PRINT",#N/A,TRUE,"APPA";"PRINT",#N/A,TRUE,"APS";"PRINT",#N/A,TRUE,"BHPL";"PRINT",#N/A,TRUE,"BHPL2";"PRINT",#N/A,TRUE,"CDWR";"PRINT",#N/A,TRUE,"EWEB";"PRINT",#N/A,TRUE,"LADWP";"PRINT",#N/A,TRUE,"NEVBASE"}</definedName>
    <definedName name="_j3" localSheetId="28" hidden="1">{"PRINT",#N/A,TRUE,"APPA";"PRINT",#N/A,TRUE,"APS";"PRINT",#N/A,TRUE,"BHPL";"PRINT",#N/A,TRUE,"BHPL2";"PRINT",#N/A,TRUE,"CDWR";"PRINT",#N/A,TRUE,"EWEB";"PRINT",#N/A,TRUE,"LADWP";"PRINT",#N/A,TRUE,"NEVBASE"}</definedName>
    <definedName name="_j3" localSheetId="49" hidden="1">{"PRINT",#N/A,TRUE,"APPA";"PRINT",#N/A,TRUE,"APS";"PRINT",#N/A,TRUE,"BHPL";"PRINT",#N/A,TRUE,"BHPL2";"PRINT",#N/A,TRUE,"CDWR";"PRINT",#N/A,TRUE,"EWEB";"PRINT",#N/A,TRUE,"LADWP";"PRINT",#N/A,TRUE,"NEVBASE"}</definedName>
    <definedName name="_j3" localSheetId="23" hidden="1">{"PRINT",#N/A,TRUE,"APPA";"PRINT",#N/A,TRUE,"APS";"PRINT",#N/A,TRUE,"BHPL";"PRINT",#N/A,TRUE,"BHPL2";"PRINT",#N/A,TRUE,"CDWR";"PRINT",#N/A,TRUE,"EWEB";"PRINT",#N/A,TRUE,"LADWP";"PRINT",#N/A,TRUE,"NEVBASE"}</definedName>
    <definedName name="_j3" localSheetId="83" hidden="1">{"PRINT",#N/A,TRUE,"APPA";"PRINT",#N/A,TRUE,"APS";"PRINT",#N/A,TRUE,"BHPL";"PRINT",#N/A,TRUE,"BHPL2";"PRINT",#N/A,TRUE,"CDWR";"PRINT",#N/A,TRUE,"EWEB";"PRINT",#N/A,TRUE,"LADWP";"PRINT",#N/A,TRUE,"NEVBASE"}</definedName>
    <definedName name="_j3" localSheetId="27" hidden="1">{"PRINT",#N/A,TRUE,"APPA";"PRINT",#N/A,TRUE,"APS";"PRINT",#N/A,TRUE,"BHPL";"PRINT",#N/A,TRUE,"BHPL2";"PRINT",#N/A,TRUE,"CDWR";"PRINT",#N/A,TRUE,"EWEB";"PRINT",#N/A,TRUE,"LADWP";"PRINT",#N/A,TRUE,"NEVBASE"}</definedName>
    <definedName name="_j3" localSheetId="48" hidden="1">{"PRINT",#N/A,TRUE,"APPA";"PRINT",#N/A,TRUE,"APS";"PRINT",#N/A,TRUE,"BHPL";"PRINT",#N/A,TRUE,"BHPL2";"PRINT",#N/A,TRUE,"CDWR";"PRINT",#N/A,TRUE,"EWEB";"PRINT",#N/A,TRUE,"LADWP";"PRINT",#N/A,TRUE,"NEVBASE"}</definedName>
    <definedName name="_j3" hidden="1">{"PRINT",#N/A,TRUE,"APPA";"PRINT",#N/A,TRUE,"APS";"PRINT",#N/A,TRUE,"BHPL";"PRINT",#N/A,TRUE,"BHPL2";"PRINT",#N/A,TRUE,"CDWR";"PRINT",#N/A,TRUE,"EWEB";"PRINT",#N/A,TRUE,"LADWP";"PRINT",#N/A,TRUE,"NEVBASE"}</definedName>
    <definedName name="_j4" localSheetId="54" hidden="1">{"PRINT",#N/A,TRUE,"APPA";"PRINT",#N/A,TRUE,"APS";"PRINT",#N/A,TRUE,"BHPL";"PRINT",#N/A,TRUE,"BHPL2";"PRINT",#N/A,TRUE,"CDWR";"PRINT",#N/A,TRUE,"EWEB";"PRINT",#N/A,TRUE,"LADWP";"PRINT",#N/A,TRUE,"NEVBASE"}</definedName>
    <definedName name="_j4" localSheetId="53" hidden="1">{"PRINT",#N/A,TRUE,"APPA";"PRINT",#N/A,TRUE,"APS";"PRINT",#N/A,TRUE,"BHPL";"PRINT",#N/A,TRUE,"BHPL2";"PRINT",#N/A,TRUE,"CDWR";"PRINT",#N/A,TRUE,"EWEB";"PRINT",#N/A,TRUE,"LADWP";"PRINT",#N/A,TRUE,"NEVBASE"}</definedName>
    <definedName name="_j4" localSheetId="29" hidden="1">{"PRINT",#N/A,TRUE,"APPA";"PRINT",#N/A,TRUE,"APS";"PRINT",#N/A,TRUE,"BHPL";"PRINT",#N/A,TRUE,"BHPL2";"PRINT",#N/A,TRUE,"CDWR";"PRINT",#N/A,TRUE,"EWEB";"PRINT",#N/A,TRUE,"LADWP";"PRINT",#N/A,TRUE,"NEVBASE"}</definedName>
    <definedName name="_j4" localSheetId="28" hidden="1">{"PRINT",#N/A,TRUE,"APPA";"PRINT",#N/A,TRUE,"APS";"PRINT",#N/A,TRUE,"BHPL";"PRINT",#N/A,TRUE,"BHPL2";"PRINT",#N/A,TRUE,"CDWR";"PRINT",#N/A,TRUE,"EWEB";"PRINT",#N/A,TRUE,"LADWP";"PRINT",#N/A,TRUE,"NEVBASE"}</definedName>
    <definedName name="_j4" localSheetId="49" hidden="1">{"PRINT",#N/A,TRUE,"APPA";"PRINT",#N/A,TRUE,"APS";"PRINT",#N/A,TRUE,"BHPL";"PRINT",#N/A,TRUE,"BHPL2";"PRINT",#N/A,TRUE,"CDWR";"PRINT",#N/A,TRUE,"EWEB";"PRINT",#N/A,TRUE,"LADWP";"PRINT",#N/A,TRUE,"NEVBASE"}</definedName>
    <definedName name="_j4" localSheetId="23" hidden="1">{"PRINT",#N/A,TRUE,"APPA";"PRINT",#N/A,TRUE,"APS";"PRINT",#N/A,TRUE,"BHPL";"PRINT",#N/A,TRUE,"BHPL2";"PRINT",#N/A,TRUE,"CDWR";"PRINT",#N/A,TRUE,"EWEB";"PRINT",#N/A,TRUE,"LADWP";"PRINT",#N/A,TRUE,"NEVBASE"}</definedName>
    <definedName name="_j4" localSheetId="83" hidden="1">{"PRINT",#N/A,TRUE,"APPA";"PRINT",#N/A,TRUE,"APS";"PRINT",#N/A,TRUE,"BHPL";"PRINT",#N/A,TRUE,"BHPL2";"PRINT",#N/A,TRUE,"CDWR";"PRINT",#N/A,TRUE,"EWEB";"PRINT",#N/A,TRUE,"LADWP";"PRINT",#N/A,TRUE,"NEVBASE"}</definedName>
    <definedName name="_j4" localSheetId="27" hidden="1">{"PRINT",#N/A,TRUE,"APPA";"PRINT",#N/A,TRUE,"APS";"PRINT",#N/A,TRUE,"BHPL";"PRINT",#N/A,TRUE,"BHPL2";"PRINT",#N/A,TRUE,"CDWR";"PRINT",#N/A,TRUE,"EWEB";"PRINT",#N/A,TRUE,"LADWP";"PRINT",#N/A,TRUE,"NEVBASE"}</definedName>
    <definedName name="_j4" localSheetId="48" hidden="1">{"PRINT",#N/A,TRUE,"APPA";"PRINT",#N/A,TRUE,"APS";"PRINT",#N/A,TRUE,"BHPL";"PRINT",#N/A,TRUE,"BHPL2";"PRINT",#N/A,TRUE,"CDWR";"PRINT",#N/A,TRUE,"EWEB";"PRINT",#N/A,TRUE,"LADWP";"PRINT",#N/A,TRUE,"NEVBASE"}</definedName>
    <definedName name="_j4" hidden="1">{"PRINT",#N/A,TRUE,"APPA";"PRINT",#N/A,TRUE,"APS";"PRINT",#N/A,TRUE,"BHPL";"PRINT",#N/A,TRUE,"BHPL2";"PRINT",#N/A,TRUE,"CDWR";"PRINT",#N/A,TRUE,"EWEB";"PRINT",#N/A,TRUE,"LADWP";"PRINT",#N/A,TRUE,"NEVBASE"}</definedName>
    <definedName name="_j5" localSheetId="54" hidden="1">{"PRINT",#N/A,TRUE,"APPA";"PRINT",#N/A,TRUE,"APS";"PRINT",#N/A,TRUE,"BHPL";"PRINT",#N/A,TRUE,"BHPL2";"PRINT",#N/A,TRUE,"CDWR";"PRINT",#N/A,TRUE,"EWEB";"PRINT",#N/A,TRUE,"LADWP";"PRINT",#N/A,TRUE,"NEVBASE"}</definedName>
    <definedName name="_j5" localSheetId="53" hidden="1">{"PRINT",#N/A,TRUE,"APPA";"PRINT",#N/A,TRUE,"APS";"PRINT",#N/A,TRUE,"BHPL";"PRINT",#N/A,TRUE,"BHPL2";"PRINT",#N/A,TRUE,"CDWR";"PRINT",#N/A,TRUE,"EWEB";"PRINT",#N/A,TRUE,"LADWP";"PRINT",#N/A,TRUE,"NEVBASE"}</definedName>
    <definedName name="_j5" localSheetId="29" hidden="1">{"PRINT",#N/A,TRUE,"APPA";"PRINT",#N/A,TRUE,"APS";"PRINT",#N/A,TRUE,"BHPL";"PRINT",#N/A,TRUE,"BHPL2";"PRINT",#N/A,TRUE,"CDWR";"PRINT",#N/A,TRUE,"EWEB";"PRINT",#N/A,TRUE,"LADWP";"PRINT",#N/A,TRUE,"NEVBASE"}</definedName>
    <definedName name="_j5" localSheetId="28" hidden="1">{"PRINT",#N/A,TRUE,"APPA";"PRINT",#N/A,TRUE,"APS";"PRINT",#N/A,TRUE,"BHPL";"PRINT",#N/A,TRUE,"BHPL2";"PRINT",#N/A,TRUE,"CDWR";"PRINT",#N/A,TRUE,"EWEB";"PRINT",#N/A,TRUE,"LADWP";"PRINT",#N/A,TRUE,"NEVBASE"}</definedName>
    <definedName name="_j5" localSheetId="49" hidden="1">{"PRINT",#N/A,TRUE,"APPA";"PRINT",#N/A,TRUE,"APS";"PRINT",#N/A,TRUE,"BHPL";"PRINT",#N/A,TRUE,"BHPL2";"PRINT",#N/A,TRUE,"CDWR";"PRINT",#N/A,TRUE,"EWEB";"PRINT",#N/A,TRUE,"LADWP";"PRINT",#N/A,TRUE,"NEVBASE"}</definedName>
    <definedName name="_j5" localSheetId="23" hidden="1">{"PRINT",#N/A,TRUE,"APPA";"PRINT",#N/A,TRUE,"APS";"PRINT",#N/A,TRUE,"BHPL";"PRINT",#N/A,TRUE,"BHPL2";"PRINT",#N/A,TRUE,"CDWR";"PRINT",#N/A,TRUE,"EWEB";"PRINT",#N/A,TRUE,"LADWP";"PRINT",#N/A,TRUE,"NEVBASE"}</definedName>
    <definedName name="_j5" localSheetId="83" hidden="1">{"PRINT",#N/A,TRUE,"APPA";"PRINT",#N/A,TRUE,"APS";"PRINT",#N/A,TRUE,"BHPL";"PRINT",#N/A,TRUE,"BHPL2";"PRINT",#N/A,TRUE,"CDWR";"PRINT",#N/A,TRUE,"EWEB";"PRINT",#N/A,TRUE,"LADWP";"PRINT",#N/A,TRUE,"NEVBASE"}</definedName>
    <definedName name="_j5" localSheetId="27" hidden="1">{"PRINT",#N/A,TRUE,"APPA";"PRINT",#N/A,TRUE,"APS";"PRINT",#N/A,TRUE,"BHPL";"PRINT",#N/A,TRUE,"BHPL2";"PRINT",#N/A,TRUE,"CDWR";"PRINT",#N/A,TRUE,"EWEB";"PRINT",#N/A,TRUE,"LADWP";"PRINT",#N/A,TRUE,"NEVBASE"}</definedName>
    <definedName name="_j5" localSheetId="48" hidden="1">{"PRINT",#N/A,TRUE,"APPA";"PRINT",#N/A,TRUE,"APS";"PRINT",#N/A,TRUE,"BHPL";"PRINT",#N/A,TRUE,"BHPL2";"PRINT",#N/A,TRUE,"CDWR";"PRINT",#N/A,TRUE,"EWEB";"PRINT",#N/A,TRUE,"LADWP";"PRINT",#N/A,TRUE,"NEVBASE"}</definedName>
    <definedName name="_j5" hidden="1">{"PRINT",#N/A,TRUE,"APPA";"PRINT",#N/A,TRUE,"APS";"PRINT",#N/A,TRUE,"BHPL";"PRINT",#N/A,TRUE,"BHPL2";"PRINT",#N/A,TRUE,"CDWR";"PRINT",#N/A,TRUE,"EWEB";"PRINT",#N/A,TRUE,"LADWP";"PRINT",#N/A,TRUE,"NEVBASE"}</definedName>
    <definedName name="_Key1" localSheetId="54" hidden="1">#REF!</definedName>
    <definedName name="_Key1" localSheetId="53" hidden="1">#REF!</definedName>
    <definedName name="_Key1" localSheetId="29" hidden="1">#REF!</definedName>
    <definedName name="_Key1" localSheetId="28" hidden="1">#REF!</definedName>
    <definedName name="_Key1" localSheetId="49" hidden="1">#REF!</definedName>
    <definedName name="_Key1" localSheetId="23" hidden="1">#REF!</definedName>
    <definedName name="_Key1" localSheetId="83" hidden="1">#REF!</definedName>
    <definedName name="_Key1" localSheetId="27" hidden="1">#REF!</definedName>
    <definedName name="_Key1" localSheetId="48" hidden="1">#REF!</definedName>
    <definedName name="_Key1" hidden="1">#REF!</definedName>
    <definedName name="_Key2" localSheetId="54" hidden="1">#REF!</definedName>
    <definedName name="_Key2" localSheetId="53" hidden="1">#REF!</definedName>
    <definedName name="_Key2" localSheetId="29" hidden="1">#REF!</definedName>
    <definedName name="_Key2" localSheetId="28" hidden="1">#REF!</definedName>
    <definedName name="_Key2" localSheetId="49" hidden="1">#REF!</definedName>
    <definedName name="_Key2" localSheetId="23" hidden="1">#REF!</definedName>
    <definedName name="_Key2" localSheetId="83" hidden="1">#REF!</definedName>
    <definedName name="_Key2" localSheetId="27" hidden="1">#REF!</definedName>
    <definedName name="_Key2" localSheetId="48" hidden="1">#REF!</definedName>
    <definedName name="_Key2" hidden="1">#REF!</definedName>
    <definedName name="_OM1" localSheetId="54" hidden="1">{#N/A,#N/A,FALSE,"Summary";#N/A,#N/A,FALSE,"SmPlants";#N/A,#N/A,FALSE,"Utah";#N/A,#N/A,FALSE,"Idaho";#N/A,#N/A,FALSE,"Lewis River";#N/A,#N/A,FALSE,"NrthUmpq";#N/A,#N/A,FALSE,"KlamRog"}</definedName>
    <definedName name="_OM1" localSheetId="53" hidden="1">{#N/A,#N/A,FALSE,"Summary";#N/A,#N/A,FALSE,"SmPlants";#N/A,#N/A,FALSE,"Utah";#N/A,#N/A,FALSE,"Idaho";#N/A,#N/A,FALSE,"Lewis River";#N/A,#N/A,FALSE,"NrthUmpq";#N/A,#N/A,FALSE,"KlamRog"}</definedName>
    <definedName name="_OM1" localSheetId="29" hidden="1">{#N/A,#N/A,FALSE,"Summary";#N/A,#N/A,FALSE,"SmPlants";#N/A,#N/A,FALSE,"Utah";#N/A,#N/A,FALSE,"Idaho";#N/A,#N/A,FALSE,"Lewis River";#N/A,#N/A,FALSE,"NrthUmpq";#N/A,#N/A,FALSE,"KlamRog"}</definedName>
    <definedName name="_OM1" localSheetId="28" hidden="1">{#N/A,#N/A,FALSE,"Summary";#N/A,#N/A,FALSE,"SmPlants";#N/A,#N/A,FALSE,"Utah";#N/A,#N/A,FALSE,"Idaho";#N/A,#N/A,FALSE,"Lewis River";#N/A,#N/A,FALSE,"NrthUmpq";#N/A,#N/A,FALSE,"KlamRog"}</definedName>
    <definedName name="_OM1" localSheetId="49" hidden="1">{#N/A,#N/A,FALSE,"Summary";#N/A,#N/A,FALSE,"SmPlants";#N/A,#N/A,FALSE,"Utah";#N/A,#N/A,FALSE,"Idaho";#N/A,#N/A,FALSE,"Lewis River";#N/A,#N/A,FALSE,"NrthUmpq";#N/A,#N/A,FALSE,"KlamRog"}</definedName>
    <definedName name="_OM1" localSheetId="23" hidden="1">{#N/A,#N/A,FALSE,"Summary";#N/A,#N/A,FALSE,"SmPlants";#N/A,#N/A,FALSE,"Utah";#N/A,#N/A,FALSE,"Idaho";#N/A,#N/A,FALSE,"Lewis River";#N/A,#N/A,FALSE,"NrthUmpq";#N/A,#N/A,FALSE,"KlamRog"}</definedName>
    <definedName name="_OM1" localSheetId="83" hidden="1">{#N/A,#N/A,FALSE,"Summary";#N/A,#N/A,FALSE,"SmPlants";#N/A,#N/A,FALSE,"Utah";#N/A,#N/A,FALSE,"Idaho";#N/A,#N/A,FALSE,"Lewis River";#N/A,#N/A,FALSE,"NrthUmpq";#N/A,#N/A,FALSE,"KlamRog"}</definedName>
    <definedName name="_OM1" localSheetId="27" hidden="1">{#N/A,#N/A,FALSE,"Summary";#N/A,#N/A,FALSE,"SmPlants";#N/A,#N/A,FALSE,"Utah";#N/A,#N/A,FALSE,"Idaho";#N/A,#N/A,FALSE,"Lewis River";#N/A,#N/A,FALSE,"NrthUmpq";#N/A,#N/A,FALSE,"KlamRog"}</definedName>
    <definedName name="_OM1" localSheetId="48" hidden="1">{#N/A,#N/A,FALSE,"Summary";#N/A,#N/A,FALSE,"SmPlants";#N/A,#N/A,FALSE,"Utah";#N/A,#N/A,FALSE,"Idaho";#N/A,#N/A,FALSE,"Lewis River";#N/A,#N/A,FALSE,"NrthUmpq";#N/A,#N/A,FALSE,"KlamRog"}</definedName>
    <definedName name="_OM1" hidden="1">{#N/A,#N/A,FALSE,"Summary";#N/A,#N/A,FALSE,"SmPlants";#N/A,#N/A,FALSE,"Utah";#N/A,#N/A,FALSE,"Idaho";#N/A,#N/A,FALSE,"Lewis River";#N/A,#N/A,FALSE,"NrthUmpq";#N/A,#N/A,FALSE,"KlamRog"}</definedName>
    <definedName name="_Order1" hidden="1">255</definedName>
    <definedName name="_Order2" localSheetId="48" hidden="1">255</definedName>
    <definedName name="_Order2" hidden="1">0</definedName>
    <definedName name="_Sort" localSheetId="54" hidden="1">#REF!</definedName>
    <definedName name="_Sort" localSheetId="53" hidden="1">#REF!</definedName>
    <definedName name="_Sort" localSheetId="29" hidden="1">#REF!</definedName>
    <definedName name="_Sort" localSheetId="28" hidden="1">#REF!</definedName>
    <definedName name="_Sort" localSheetId="49" hidden="1">#REF!</definedName>
    <definedName name="_Sort" localSheetId="83" hidden="1">#REF!</definedName>
    <definedName name="_Sort" localSheetId="27" hidden="1">#REF!</definedName>
    <definedName name="_Sort" localSheetId="48" hidden="1">#REF!</definedName>
    <definedName name="_Sort" hidden="1">#REF!</definedName>
    <definedName name="a" localSheetId="49" hidden="1">#REF!</definedName>
    <definedName name="a" localSheetId="23" hidden="1">#REF!</definedName>
    <definedName name="a" localSheetId="83" hidden="1">#REF!</definedName>
    <definedName name="a" localSheetId="48" hidden="1">#REF!</definedName>
    <definedName name="a" hidden="1">#REF!</definedName>
    <definedName name="Access_Button1" hidden="1">"Headcount_Workbook_Schedules_List"</definedName>
    <definedName name="AccessDatabase" hidden="1">"P:\HR\SharonPlummer\Headcount Workbook.mdb"</definedName>
    <definedName name="Act" localSheetId="30">_Top1:Bottom1</definedName>
    <definedName name="Act" localSheetId="31">_Top1:Bottom1</definedName>
    <definedName name="Act" localSheetId="32">_Top1:Bottom1</definedName>
    <definedName name="Act" localSheetId="33">_Top1:Bottom1</definedName>
    <definedName name="Act" localSheetId="34">_Top1:Bottom1</definedName>
    <definedName name="Actuals" localSheetId="30">High_Act:Low_Act</definedName>
    <definedName name="Actuals" localSheetId="31">High_Act:Low_Act</definedName>
    <definedName name="Actuals" localSheetId="32">High_Act:Low_Act</definedName>
    <definedName name="Actuals" localSheetId="33">High_Act:Low_Act</definedName>
    <definedName name="Actuals" localSheetId="34">High_Act:Low_Act</definedName>
    <definedName name="anscount" hidden="1">1</definedName>
    <definedName name="asa" localSheetId="54" hidden="1">{"Factors Pages 1-2",#N/A,FALSE,"Factors";"Factors Page 3",#N/A,FALSE,"Factors";"Factors Page 4",#N/A,FALSE,"Factors";"Factors Page 5",#N/A,FALSE,"Factors";"Factors Pages 8-27",#N/A,FALSE,"Factors"}</definedName>
    <definedName name="asa" localSheetId="53" hidden="1">{"Factors Pages 1-2",#N/A,FALSE,"Factors";"Factors Page 3",#N/A,FALSE,"Factors";"Factors Page 4",#N/A,FALSE,"Factors";"Factors Page 5",#N/A,FALSE,"Factors";"Factors Pages 8-27",#N/A,FALSE,"Factors"}</definedName>
    <definedName name="asa" localSheetId="29" hidden="1">{"Factors Pages 1-2",#N/A,FALSE,"Factors";"Factors Page 3",#N/A,FALSE,"Factors";"Factors Page 4",#N/A,FALSE,"Factors";"Factors Page 5",#N/A,FALSE,"Factors";"Factors Pages 8-27",#N/A,FALSE,"Factors"}</definedName>
    <definedName name="asa" localSheetId="28" hidden="1">{"Factors Pages 1-2",#N/A,FALSE,"Factors";"Factors Page 3",#N/A,FALSE,"Factors";"Factors Page 4",#N/A,FALSE,"Factors";"Factors Page 5",#N/A,FALSE,"Factors";"Factors Pages 8-27",#N/A,FALSE,"Factors"}</definedName>
    <definedName name="asa" localSheetId="49" hidden="1">{"Factors Pages 1-2",#N/A,FALSE,"Factors";"Factors Page 3",#N/A,FALSE,"Factors";"Factors Page 4",#N/A,FALSE,"Factors";"Factors Page 5",#N/A,FALSE,"Factors";"Factors Pages 8-27",#N/A,FALSE,"Factors"}</definedName>
    <definedName name="asa" localSheetId="23" hidden="1">{"Factors Pages 1-2",#N/A,FALSE,"Factors";"Factors Page 3",#N/A,FALSE,"Factors";"Factors Page 4",#N/A,FALSE,"Factors";"Factors Page 5",#N/A,FALSE,"Factors";"Factors Pages 8-27",#N/A,FALSE,"Factors"}</definedName>
    <definedName name="asa" localSheetId="83" hidden="1">{"Factors Pages 1-2",#N/A,FALSE,"Factors";"Factors Page 3",#N/A,FALSE,"Factors";"Factors Page 4",#N/A,FALSE,"Factors";"Factors Page 5",#N/A,FALSE,"Factors";"Factors Pages 8-27",#N/A,FALSE,"Factors"}</definedName>
    <definedName name="asa" localSheetId="27" hidden="1">{"Factors Pages 1-2",#N/A,FALSE,"Factors";"Factors Page 3",#N/A,FALSE,"Factors";"Factors Page 4",#N/A,FALSE,"Factors";"Factors Page 5",#N/A,FALSE,"Factors";"Factors Pages 8-27",#N/A,FALSE,"Factors"}</definedName>
    <definedName name="asa" localSheetId="48" hidden="1">{"Factors Pages 1-2",#N/A,FALSE,"Factors";"Factors Page 3",#N/A,FALSE,"Factors";"Factors Page 4",#N/A,FALSE,"Factors";"Factors Page 5",#N/A,FALSE,"Factors";"Factors Pages 8-27",#N/A,FALSE,"Factors"}</definedName>
    <definedName name="asa" hidden="1">{"Factors Pages 1-2",#N/A,FALSE,"Factors";"Factors Page 3",#N/A,FALSE,"Factors";"Factors Page 4",#N/A,FALSE,"Factors";"Factors Page 5",#N/A,FALSE,"Factors";"Factors Pages 8-27",#N/A,FALSE,"Factors"}</definedName>
    <definedName name="BRIDGER_COAL_COMPANY">"aug3mth1997"</definedName>
    <definedName name="Camas" localSheetId="54" hidden="1">{#N/A,#N/A,FALSE,"Summary";#N/A,#N/A,FALSE,"SmPlants";#N/A,#N/A,FALSE,"Utah";#N/A,#N/A,FALSE,"Idaho";#N/A,#N/A,FALSE,"Lewis River";#N/A,#N/A,FALSE,"NrthUmpq";#N/A,#N/A,FALSE,"KlamRog"}</definedName>
    <definedName name="Camas" localSheetId="53" hidden="1">{#N/A,#N/A,FALSE,"Summary";#N/A,#N/A,FALSE,"SmPlants";#N/A,#N/A,FALSE,"Utah";#N/A,#N/A,FALSE,"Idaho";#N/A,#N/A,FALSE,"Lewis River";#N/A,#N/A,FALSE,"NrthUmpq";#N/A,#N/A,FALSE,"KlamRog"}</definedName>
    <definedName name="Camas" localSheetId="29" hidden="1">{#N/A,#N/A,FALSE,"Summary";#N/A,#N/A,FALSE,"SmPlants";#N/A,#N/A,FALSE,"Utah";#N/A,#N/A,FALSE,"Idaho";#N/A,#N/A,FALSE,"Lewis River";#N/A,#N/A,FALSE,"NrthUmpq";#N/A,#N/A,FALSE,"KlamRog"}</definedName>
    <definedName name="Camas" localSheetId="28" hidden="1">{#N/A,#N/A,FALSE,"Summary";#N/A,#N/A,FALSE,"SmPlants";#N/A,#N/A,FALSE,"Utah";#N/A,#N/A,FALSE,"Idaho";#N/A,#N/A,FALSE,"Lewis River";#N/A,#N/A,FALSE,"NrthUmpq";#N/A,#N/A,FALSE,"KlamRog"}</definedName>
    <definedName name="Camas" localSheetId="49" hidden="1">{#N/A,#N/A,FALSE,"Summary";#N/A,#N/A,FALSE,"SmPlants";#N/A,#N/A,FALSE,"Utah";#N/A,#N/A,FALSE,"Idaho";#N/A,#N/A,FALSE,"Lewis River";#N/A,#N/A,FALSE,"NrthUmpq";#N/A,#N/A,FALSE,"KlamRog"}</definedName>
    <definedName name="Camas" localSheetId="23" hidden="1">{#N/A,#N/A,FALSE,"Summary";#N/A,#N/A,FALSE,"SmPlants";#N/A,#N/A,FALSE,"Utah";#N/A,#N/A,FALSE,"Idaho";#N/A,#N/A,FALSE,"Lewis River";#N/A,#N/A,FALSE,"NrthUmpq";#N/A,#N/A,FALSE,"KlamRog"}</definedName>
    <definedName name="Camas" localSheetId="83" hidden="1">{#N/A,#N/A,FALSE,"Summary";#N/A,#N/A,FALSE,"SmPlants";#N/A,#N/A,FALSE,"Utah";#N/A,#N/A,FALSE,"Idaho";#N/A,#N/A,FALSE,"Lewis River";#N/A,#N/A,FALSE,"NrthUmpq";#N/A,#N/A,FALSE,"KlamRog"}</definedName>
    <definedName name="Camas" localSheetId="27" hidden="1">{#N/A,#N/A,FALSE,"Summary";#N/A,#N/A,FALSE,"SmPlants";#N/A,#N/A,FALSE,"Utah";#N/A,#N/A,FALSE,"Idaho";#N/A,#N/A,FALSE,"Lewis River";#N/A,#N/A,FALSE,"NrthUmpq";#N/A,#N/A,FALSE,"KlamRog"}</definedName>
    <definedName name="Camas" localSheetId="48" hidden="1">{#N/A,#N/A,FALSE,"Summary";#N/A,#N/A,FALSE,"SmPlants";#N/A,#N/A,FALSE,"Utah";#N/A,#N/A,FALSE,"Idaho";#N/A,#N/A,FALSE,"Lewis River";#N/A,#N/A,FALSE,"NrthUmpq";#N/A,#N/A,FALSE,"KlamRog"}</definedName>
    <definedName name="Camas" hidden="1">{#N/A,#N/A,FALSE,"Summary";#N/A,#N/A,FALSE,"SmPlants";#N/A,#N/A,FALSE,"Utah";#N/A,#N/A,FALSE,"Idaho";#N/A,#N/A,FALSE,"Lewis River";#N/A,#N/A,FALSE,"NrthUmpq";#N/A,#N/A,FALSE,"KlamRog"}</definedName>
    <definedName name="cgf" localSheetId="54" hidden="1">{"PRINT",#N/A,TRUE,"APPA";"PRINT",#N/A,TRUE,"APS";"PRINT",#N/A,TRUE,"BHPL";"PRINT",#N/A,TRUE,"BHPL2";"PRINT",#N/A,TRUE,"CDWR";"PRINT",#N/A,TRUE,"EWEB";"PRINT",#N/A,TRUE,"LADWP";"PRINT",#N/A,TRUE,"NEVBASE"}</definedName>
    <definedName name="cgf" localSheetId="53" hidden="1">{"PRINT",#N/A,TRUE,"APPA";"PRINT",#N/A,TRUE,"APS";"PRINT",#N/A,TRUE,"BHPL";"PRINT",#N/A,TRUE,"BHPL2";"PRINT",#N/A,TRUE,"CDWR";"PRINT",#N/A,TRUE,"EWEB";"PRINT",#N/A,TRUE,"LADWP";"PRINT",#N/A,TRUE,"NEVBASE"}</definedName>
    <definedName name="cgf" localSheetId="29" hidden="1">{"PRINT",#N/A,TRUE,"APPA";"PRINT",#N/A,TRUE,"APS";"PRINT",#N/A,TRUE,"BHPL";"PRINT",#N/A,TRUE,"BHPL2";"PRINT",#N/A,TRUE,"CDWR";"PRINT",#N/A,TRUE,"EWEB";"PRINT",#N/A,TRUE,"LADWP";"PRINT",#N/A,TRUE,"NEVBASE"}</definedName>
    <definedName name="cgf" localSheetId="28" hidden="1">{"PRINT",#N/A,TRUE,"APPA";"PRINT",#N/A,TRUE,"APS";"PRINT",#N/A,TRUE,"BHPL";"PRINT",#N/A,TRUE,"BHPL2";"PRINT",#N/A,TRUE,"CDWR";"PRINT",#N/A,TRUE,"EWEB";"PRINT",#N/A,TRUE,"LADWP";"PRINT",#N/A,TRUE,"NEVBASE"}</definedName>
    <definedName name="cgf" localSheetId="49" hidden="1">{"PRINT",#N/A,TRUE,"APPA";"PRINT",#N/A,TRUE,"APS";"PRINT",#N/A,TRUE,"BHPL";"PRINT",#N/A,TRUE,"BHPL2";"PRINT",#N/A,TRUE,"CDWR";"PRINT",#N/A,TRUE,"EWEB";"PRINT",#N/A,TRUE,"LADWP";"PRINT",#N/A,TRUE,"NEVBASE"}</definedName>
    <definedName name="cgf" localSheetId="23" hidden="1">{"PRINT",#N/A,TRUE,"APPA";"PRINT",#N/A,TRUE,"APS";"PRINT",#N/A,TRUE,"BHPL";"PRINT",#N/A,TRUE,"BHPL2";"PRINT",#N/A,TRUE,"CDWR";"PRINT",#N/A,TRUE,"EWEB";"PRINT",#N/A,TRUE,"LADWP";"PRINT",#N/A,TRUE,"NEVBASE"}</definedName>
    <definedName name="cgf" localSheetId="83" hidden="1">{"PRINT",#N/A,TRUE,"APPA";"PRINT",#N/A,TRUE,"APS";"PRINT",#N/A,TRUE,"BHPL";"PRINT",#N/A,TRUE,"BHPL2";"PRINT",#N/A,TRUE,"CDWR";"PRINT",#N/A,TRUE,"EWEB";"PRINT",#N/A,TRUE,"LADWP";"PRINT",#N/A,TRUE,"NEVBASE"}</definedName>
    <definedName name="cgf" localSheetId="27" hidden="1">{"PRINT",#N/A,TRUE,"APPA";"PRINT",#N/A,TRUE,"APS";"PRINT",#N/A,TRUE,"BHPL";"PRINT",#N/A,TRUE,"BHPL2";"PRINT",#N/A,TRUE,"CDWR";"PRINT",#N/A,TRUE,"EWEB";"PRINT",#N/A,TRUE,"LADWP";"PRINT",#N/A,TRUE,"NEVBASE"}</definedName>
    <definedName name="cgf" localSheetId="48" hidden="1">{"PRINT",#N/A,TRUE,"APPA";"PRINT",#N/A,TRUE,"APS";"PRINT",#N/A,TRUE,"BHPL";"PRINT",#N/A,TRUE,"BHPL2";"PRINT",#N/A,TRUE,"CDWR";"PRINT",#N/A,TRUE,"EWEB";"PRINT",#N/A,TRUE,"LADWP";"PRINT",#N/A,TRUE,"NEVBASE"}</definedName>
    <definedName name="cgf" hidden="1">{"PRINT",#N/A,TRUE,"APPA";"PRINT",#N/A,TRUE,"APS";"PRINT",#N/A,TRUE,"BHPL";"PRINT",#N/A,TRUE,"BHPL2";"PRINT",#N/A,TRUE,"CDWR";"PRINT",#N/A,TRUE,"EWEB";"PRINT",#N/A,TRUE,"LADWP";"PRINT",#N/A,TRUE,"NEVBASE"}</definedName>
    <definedName name="combined1" localSheetId="54" hidden="1">{"YTD-Total",#N/A,TRUE,"Provision";"YTD-Utility",#N/A,TRUE,"Prov Utility";"YTD-NonUtility",#N/A,TRUE,"Prov NonUtility"}</definedName>
    <definedName name="combined1" localSheetId="53" hidden="1">{"YTD-Total",#N/A,TRUE,"Provision";"YTD-Utility",#N/A,TRUE,"Prov Utility";"YTD-NonUtility",#N/A,TRUE,"Prov NonUtility"}</definedName>
    <definedName name="combined1" localSheetId="29" hidden="1">{"YTD-Total",#N/A,TRUE,"Provision";"YTD-Utility",#N/A,TRUE,"Prov Utility";"YTD-NonUtility",#N/A,TRUE,"Prov NonUtility"}</definedName>
    <definedName name="combined1" localSheetId="28" hidden="1">{"YTD-Total",#N/A,TRUE,"Provision";"YTD-Utility",#N/A,TRUE,"Prov Utility";"YTD-NonUtility",#N/A,TRUE,"Prov NonUtility"}</definedName>
    <definedName name="combined1" localSheetId="49" hidden="1">{"YTD-Total",#N/A,TRUE,"Provision";"YTD-Utility",#N/A,TRUE,"Prov Utility";"YTD-NonUtility",#N/A,TRUE,"Prov NonUtility"}</definedName>
    <definedName name="combined1" localSheetId="23" hidden="1">{"YTD-Total",#N/A,TRUE,"Provision";"YTD-Utility",#N/A,TRUE,"Prov Utility";"YTD-NonUtility",#N/A,TRUE,"Prov NonUtility"}</definedName>
    <definedName name="combined1" localSheetId="83" hidden="1">{"YTD-Total",#N/A,TRUE,"Provision";"YTD-Utility",#N/A,TRUE,"Prov Utility";"YTD-NonUtility",#N/A,TRUE,"Prov NonUtility"}</definedName>
    <definedName name="combined1" localSheetId="27" hidden="1">{"YTD-Total",#N/A,TRUE,"Provision";"YTD-Utility",#N/A,TRUE,"Prov Utility";"YTD-NonUtility",#N/A,TRUE,"Prov NonUtility"}</definedName>
    <definedName name="combined1" localSheetId="48" hidden="1">{"YTD-Total",#N/A,TRUE,"Provision";"YTD-Utility",#N/A,TRUE,"Prov Utility";"YTD-NonUtility",#N/A,TRUE,"Prov NonUtility"}</definedName>
    <definedName name="combined1" hidden="1">{"YTD-Total",#N/A,TRUE,"Provision";"YTD-Utility",#N/A,TRUE,"Prov Utility";"YTD-NonUtility",#N/A,TRUE,"Prov NonUtility"}</definedName>
    <definedName name="DispatchSum">"GRID Thermal Generation!R2C1:R4C2"</definedName>
    <definedName name="DIST" localSheetId="26">'Sch 1- Rate Base  (ID)'!$Q$1:$Q$3</definedName>
    <definedName name="DIST" localSheetId="24">'Sch 1- Rate Base  (OR)'!$Q$1:$Q$3</definedName>
    <definedName name="DIST" localSheetId="25">'Sch 1- Rate Base  (WA)'!$Q$1:$Q$3</definedName>
    <definedName name="DIST">'Sch 1- Rate Base '!$Q$1:$Q$3</definedName>
    <definedName name="DUDE" localSheetId="54" hidden="1">#REF!</definedName>
    <definedName name="DUDE" localSheetId="53" hidden="1">#REF!</definedName>
    <definedName name="DUDE" localSheetId="29" hidden="1">#REF!</definedName>
    <definedName name="DUDE" localSheetId="28" hidden="1">#REF!</definedName>
    <definedName name="DUDE" localSheetId="49" hidden="1">#REF!</definedName>
    <definedName name="DUDE" localSheetId="83" hidden="1">#REF!</definedName>
    <definedName name="DUDE" localSheetId="27" hidden="1">#REF!</definedName>
    <definedName name="DUDE" localSheetId="48" hidden="1">#REF!</definedName>
    <definedName name="DUDE" hidden="1">#REF!</definedName>
    <definedName name="enrgy" localSheetId="54" hidden="1">{#N/A,#N/A,FALSE,"Bgt";#N/A,#N/A,FALSE,"Act";#N/A,#N/A,FALSE,"Chrt Data";#N/A,#N/A,FALSE,"Bus Result";#N/A,#N/A,FALSE,"Main Charts";#N/A,#N/A,FALSE,"P&amp;L Ttl";#N/A,#N/A,FALSE,"P&amp;L C_Ttl";#N/A,#N/A,FALSE,"P&amp;L C_Oct";#N/A,#N/A,FALSE,"P&amp;L C_Sep";#N/A,#N/A,FALSE,"1996";#N/A,#N/A,FALSE,"Data"}</definedName>
    <definedName name="enrgy" localSheetId="53" hidden="1">{#N/A,#N/A,FALSE,"Bgt";#N/A,#N/A,FALSE,"Act";#N/A,#N/A,FALSE,"Chrt Data";#N/A,#N/A,FALSE,"Bus Result";#N/A,#N/A,FALSE,"Main Charts";#N/A,#N/A,FALSE,"P&amp;L Ttl";#N/A,#N/A,FALSE,"P&amp;L C_Ttl";#N/A,#N/A,FALSE,"P&amp;L C_Oct";#N/A,#N/A,FALSE,"P&amp;L C_Sep";#N/A,#N/A,FALSE,"1996";#N/A,#N/A,FALSE,"Data"}</definedName>
    <definedName name="enrgy" localSheetId="29" hidden="1">{#N/A,#N/A,FALSE,"Bgt";#N/A,#N/A,FALSE,"Act";#N/A,#N/A,FALSE,"Chrt Data";#N/A,#N/A,FALSE,"Bus Result";#N/A,#N/A,FALSE,"Main Charts";#N/A,#N/A,FALSE,"P&amp;L Ttl";#N/A,#N/A,FALSE,"P&amp;L C_Ttl";#N/A,#N/A,FALSE,"P&amp;L C_Oct";#N/A,#N/A,FALSE,"P&amp;L C_Sep";#N/A,#N/A,FALSE,"1996";#N/A,#N/A,FALSE,"Data"}</definedName>
    <definedName name="enrgy" localSheetId="28" hidden="1">{#N/A,#N/A,FALSE,"Bgt";#N/A,#N/A,FALSE,"Act";#N/A,#N/A,FALSE,"Chrt Data";#N/A,#N/A,FALSE,"Bus Result";#N/A,#N/A,FALSE,"Main Charts";#N/A,#N/A,FALSE,"P&amp;L Ttl";#N/A,#N/A,FALSE,"P&amp;L C_Ttl";#N/A,#N/A,FALSE,"P&amp;L C_Oct";#N/A,#N/A,FALSE,"P&amp;L C_Sep";#N/A,#N/A,FALSE,"1996";#N/A,#N/A,FALSE,"Data"}</definedName>
    <definedName name="enrgy" localSheetId="49" hidden="1">{#N/A,#N/A,FALSE,"Bgt";#N/A,#N/A,FALSE,"Act";#N/A,#N/A,FALSE,"Chrt Data";#N/A,#N/A,FALSE,"Bus Result";#N/A,#N/A,FALSE,"Main Charts";#N/A,#N/A,FALSE,"P&amp;L Ttl";#N/A,#N/A,FALSE,"P&amp;L C_Ttl";#N/A,#N/A,FALSE,"P&amp;L C_Oct";#N/A,#N/A,FALSE,"P&amp;L C_Sep";#N/A,#N/A,FALSE,"1996";#N/A,#N/A,FALSE,"Data"}</definedName>
    <definedName name="enrgy" localSheetId="23" hidden="1">{#N/A,#N/A,FALSE,"Bgt";#N/A,#N/A,FALSE,"Act";#N/A,#N/A,FALSE,"Chrt Data";#N/A,#N/A,FALSE,"Bus Result";#N/A,#N/A,FALSE,"Main Charts";#N/A,#N/A,FALSE,"P&amp;L Ttl";#N/A,#N/A,FALSE,"P&amp;L C_Ttl";#N/A,#N/A,FALSE,"P&amp;L C_Oct";#N/A,#N/A,FALSE,"P&amp;L C_Sep";#N/A,#N/A,FALSE,"1996";#N/A,#N/A,FALSE,"Data"}</definedName>
    <definedName name="enrgy" localSheetId="83" hidden="1">{#N/A,#N/A,FALSE,"Bgt";#N/A,#N/A,FALSE,"Act";#N/A,#N/A,FALSE,"Chrt Data";#N/A,#N/A,FALSE,"Bus Result";#N/A,#N/A,FALSE,"Main Charts";#N/A,#N/A,FALSE,"P&amp;L Ttl";#N/A,#N/A,FALSE,"P&amp;L C_Ttl";#N/A,#N/A,FALSE,"P&amp;L C_Oct";#N/A,#N/A,FALSE,"P&amp;L C_Sep";#N/A,#N/A,FALSE,"1996";#N/A,#N/A,FALSE,"Data"}</definedName>
    <definedName name="enrgy" localSheetId="27" hidden="1">{#N/A,#N/A,FALSE,"Bgt";#N/A,#N/A,FALSE,"Act";#N/A,#N/A,FALSE,"Chrt Data";#N/A,#N/A,FALSE,"Bus Result";#N/A,#N/A,FALSE,"Main Charts";#N/A,#N/A,FALSE,"P&amp;L Ttl";#N/A,#N/A,FALSE,"P&amp;L C_Ttl";#N/A,#N/A,FALSE,"P&amp;L C_Oct";#N/A,#N/A,FALSE,"P&amp;L C_Sep";#N/A,#N/A,FALSE,"1996";#N/A,#N/A,FALSE,"Data"}</definedName>
    <definedName name="enrgy" localSheetId="48" hidden="1">{#N/A,#N/A,FALSE,"Bgt";#N/A,#N/A,FALSE,"Act";#N/A,#N/A,FALSE,"Chrt Data";#N/A,#N/A,FALSE,"Bus Result";#N/A,#N/A,FALSE,"Main Charts";#N/A,#N/A,FALSE,"P&amp;L Ttl";#N/A,#N/A,FALSE,"P&amp;L C_Ttl";#N/A,#N/A,FALSE,"P&amp;L C_Oct";#N/A,#N/A,FALSE,"P&amp;L C_Sep";#N/A,#N/A,FALSE,"1996";#N/A,#N/A,FALSE,"Data"}</definedName>
    <definedName name="enrgy" hidden="1">{#N/A,#N/A,FALSE,"Bgt";#N/A,#N/A,FALSE,"Act";#N/A,#N/A,FALSE,"Chrt Data";#N/A,#N/A,FALSE,"Bus Result";#N/A,#N/A,FALSE,"Main Charts";#N/A,#N/A,FALSE,"P&amp;L Ttl";#N/A,#N/A,FALSE,"P&amp;L C_Ttl";#N/A,#N/A,FALSE,"P&amp;L C_Oct";#N/A,#N/A,FALSE,"P&amp;L C_Sep";#N/A,#N/A,FALSE,"1996";#N/A,#N/A,FALSE,"Data"}</definedName>
    <definedName name="extra2" localSheetId="54" hidden="1">{#N/A,#N/A,FALSE,"Loans";#N/A,#N/A,FALSE,"Program Costs";#N/A,#N/A,FALSE,"Measures";#N/A,#N/A,FALSE,"Net Lost Rev";#N/A,#N/A,FALSE,"Incentive"}</definedName>
    <definedName name="extra2" localSheetId="53" hidden="1">{#N/A,#N/A,FALSE,"Loans";#N/A,#N/A,FALSE,"Program Costs";#N/A,#N/A,FALSE,"Measures";#N/A,#N/A,FALSE,"Net Lost Rev";#N/A,#N/A,FALSE,"Incentive"}</definedName>
    <definedName name="extra2" localSheetId="29" hidden="1">{#N/A,#N/A,FALSE,"Loans";#N/A,#N/A,FALSE,"Program Costs";#N/A,#N/A,FALSE,"Measures";#N/A,#N/A,FALSE,"Net Lost Rev";#N/A,#N/A,FALSE,"Incentive"}</definedName>
    <definedName name="extra2" localSheetId="28" hidden="1">{#N/A,#N/A,FALSE,"Loans";#N/A,#N/A,FALSE,"Program Costs";#N/A,#N/A,FALSE,"Measures";#N/A,#N/A,FALSE,"Net Lost Rev";#N/A,#N/A,FALSE,"Incentive"}</definedName>
    <definedName name="extra2" localSheetId="49" hidden="1">{#N/A,#N/A,FALSE,"Loans";#N/A,#N/A,FALSE,"Program Costs";#N/A,#N/A,FALSE,"Measures";#N/A,#N/A,FALSE,"Net Lost Rev";#N/A,#N/A,FALSE,"Incentive"}</definedName>
    <definedName name="extra2" localSheetId="23" hidden="1">{#N/A,#N/A,FALSE,"Loans";#N/A,#N/A,FALSE,"Program Costs";#N/A,#N/A,FALSE,"Measures";#N/A,#N/A,FALSE,"Net Lost Rev";#N/A,#N/A,FALSE,"Incentive"}</definedName>
    <definedName name="extra2" localSheetId="83" hidden="1">{#N/A,#N/A,FALSE,"Loans";#N/A,#N/A,FALSE,"Program Costs";#N/A,#N/A,FALSE,"Measures";#N/A,#N/A,FALSE,"Net Lost Rev";#N/A,#N/A,FALSE,"Incentive"}</definedName>
    <definedName name="extra2" localSheetId="27" hidden="1">{#N/A,#N/A,FALSE,"Loans";#N/A,#N/A,FALSE,"Program Costs";#N/A,#N/A,FALSE,"Measures";#N/A,#N/A,FALSE,"Net Lost Rev";#N/A,#N/A,FALSE,"Incentive"}</definedName>
    <definedName name="extra2" localSheetId="48" hidden="1">{#N/A,#N/A,FALSE,"Loans";#N/A,#N/A,FALSE,"Program Costs";#N/A,#N/A,FALSE,"Measures";#N/A,#N/A,FALSE,"Net Lost Rev";#N/A,#N/A,FALSE,"Incentive"}</definedName>
    <definedName name="extra2" hidden="1">{#N/A,#N/A,FALSE,"Loans";#N/A,#N/A,FALSE,"Program Costs";#N/A,#N/A,FALSE,"Measures";#N/A,#N/A,FALSE,"Net Lost Rev";#N/A,#N/A,FALSE,"Incentive"}</definedName>
    <definedName name="extra3" localSheetId="54" hidden="1">{#N/A,#N/A,FALSE,"Loans";#N/A,#N/A,FALSE,"Program Costs";#N/A,#N/A,FALSE,"Measures";#N/A,#N/A,FALSE,"Net Lost Rev";#N/A,#N/A,FALSE,"Incentive"}</definedName>
    <definedName name="extra3" localSheetId="53" hidden="1">{#N/A,#N/A,FALSE,"Loans";#N/A,#N/A,FALSE,"Program Costs";#N/A,#N/A,FALSE,"Measures";#N/A,#N/A,FALSE,"Net Lost Rev";#N/A,#N/A,FALSE,"Incentive"}</definedName>
    <definedName name="extra3" localSheetId="29" hidden="1">{#N/A,#N/A,FALSE,"Loans";#N/A,#N/A,FALSE,"Program Costs";#N/A,#N/A,FALSE,"Measures";#N/A,#N/A,FALSE,"Net Lost Rev";#N/A,#N/A,FALSE,"Incentive"}</definedName>
    <definedName name="extra3" localSheetId="28" hidden="1">{#N/A,#N/A,FALSE,"Loans";#N/A,#N/A,FALSE,"Program Costs";#N/A,#N/A,FALSE,"Measures";#N/A,#N/A,FALSE,"Net Lost Rev";#N/A,#N/A,FALSE,"Incentive"}</definedName>
    <definedName name="extra3" localSheetId="49" hidden="1">{#N/A,#N/A,FALSE,"Loans";#N/A,#N/A,FALSE,"Program Costs";#N/A,#N/A,FALSE,"Measures";#N/A,#N/A,FALSE,"Net Lost Rev";#N/A,#N/A,FALSE,"Incentive"}</definedName>
    <definedName name="extra3" localSheetId="23" hidden="1">{#N/A,#N/A,FALSE,"Loans";#N/A,#N/A,FALSE,"Program Costs";#N/A,#N/A,FALSE,"Measures";#N/A,#N/A,FALSE,"Net Lost Rev";#N/A,#N/A,FALSE,"Incentive"}</definedName>
    <definedName name="extra3" localSheetId="83" hidden="1">{#N/A,#N/A,FALSE,"Loans";#N/A,#N/A,FALSE,"Program Costs";#N/A,#N/A,FALSE,"Measures";#N/A,#N/A,FALSE,"Net Lost Rev";#N/A,#N/A,FALSE,"Incentive"}</definedName>
    <definedName name="extra3" localSheetId="27" hidden="1">{#N/A,#N/A,FALSE,"Loans";#N/A,#N/A,FALSE,"Program Costs";#N/A,#N/A,FALSE,"Measures";#N/A,#N/A,FALSE,"Net Lost Rev";#N/A,#N/A,FALSE,"Incentive"}</definedName>
    <definedName name="extra3" localSheetId="48" hidden="1">{#N/A,#N/A,FALSE,"Loans";#N/A,#N/A,FALSE,"Program Costs";#N/A,#N/A,FALSE,"Measures";#N/A,#N/A,FALSE,"Net Lost Rev";#N/A,#N/A,FALSE,"Incentive"}</definedName>
    <definedName name="extra3" hidden="1">{#N/A,#N/A,FALSE,"Loans";#N/A,#N/A,FALSE,"Program Costs";#N/A,#N/A,FALSE,"Measures";#N/A,#N/A,FALSE,"Net Lost Rev";#N/A,#N/A,FALSE,"Incentive"}</definedName>
    <definedName name="extra4" localSheetId="54" hidden="1">{#N/A,#N/A,FALSE,"Loans";#N/A,#N/A,FALSE,"Program Costs";#N/A,#N/A,FALSE,"Measures";#N/A,#N/A,FALSE,"Net Lost Rev";#N/A,#N/A,FALSE,"Incentive"}</definedName>
    <definedName name="extra4" localSheetId="53" hidden="1">{#N/A,#N/A,FALSE,"Loans";#N/A,#N/A,FALSE,"Program Costs";#N/A,#N/A,FALSE,"Measures";#N/A,#N/A,FALSE,"Net Lost Rev";#N/A,#N/A,FALSE,"Incentive"}</definedName>
    <definedName name="extra4" localSheetId="29" hidden="1">{#N/A,#N/A,FALSE,"Loans";#N/A,#N/A,FALSE,"Program Costs";#N/A,#N/A,FALSE,"Measures";#N/A,#N/A,FALSE,"Net Lost Rev";#N/A,#N/A,FALSE,"Incentive"}</definedName>
    <definedName name="extra4" localSheetId="28" hidden="1">{#N/A,#N/A,FALSE,"Loans";#N/A,#N/A,FALSE,"Program Costs";#N/A,#N/A,FALSE,"Measures";#N/A,#N/A,FALSE,"Net Lost Rev";#N/A,#N/A,FALSE,"Incentive"}</definedName>
    <definedName name="extra4" localSheetId="49" hidden="1">{#N/A,#N/A,FALSE,"Loans";#N/A,#N/A,FALSE,"Program Costs";#N/A,#N/A,FALSE,"Measures";#N/A,#N/A,FALSE,"Net Lost Rev";#N/A,#N/A,FALSE,"Incentive"}</definedName>
    <definedName name="extra4" localSheetId="23" hidden="1">{#N/A,#N/A,FALSE,"Loans";#N/A,#N/A,FALSE,"Program Costs";#N/A,#N/A,FALSE,"Measures";#N/A,#N/A,FALSE,"Net Lost Rev";#N/A,#N/A,FALSE,"Incentive"}</definedName>
    <definedName name="extra4" localSheetId="83" hidden="1">{#N/A,#N/A,FALSE,"Loans";#N/A,#N/A,FALSE,"Program Costs";#N/A,#N/A,FALSE,"Measures";#N/A,#N/A,FALSE,"Net Lost Rev";#N/A,#N/A,FALSE,"Incentive"}</definedName>
    <definedName name="extra4" localSheetId="27" hidden="1">{#N/A,#N/A,FALSE,"Loans";#N/A,#N/A,FALSE,"Program Costs";#N/A,#N/A,FALSE,"Measures";#N/A,#N/A,FALSE,"Net Lost Rev";#N/A,#N/A,FALSE,"Incentive"}</definedName>
    <definedName name="extra4" localSheetId="48" hidden="1">{#N/A,#N/A,FALSE,"Loans";#N/A,#N/A,FALSE,"Program Costs";#N/A,#N/A,FALSE,"Measures";#N/A,#N/A,FALSE,"Net Lost Rev";#N/A,#N/A,FALSE,"Incentive"}</definedName>
    <definedName name="extra4" hidden="1">{#N/A,#N/A,FALSE,"Loans";#N/A,#N/A,FALSE,"Program Costs";#N/A,#N/A,FALSE,"Measures";#N/A,#N/A,FALSE,"Net Lost Rev";#N/A,#N/A,FALSE,"Incentive"}</definedName>
    <definedName name="extra5" localSheetId="54" hidden="1">{#N/A,#N/A,FALSE,"Loans";#N/A,#N/A,FALSE,"Program Costs";#N/A,#N/A,FALSE,"Measures";#N/A,#N/A,FALSE,"Net Lost Rev";#N/A,#N/A,FALSE,"Incentive"}</definedName>
    <definedName name="extra5" localSheetId="53" hidden="1">{#N/A,#N/A,FALSE,"Loans";#N/A,#N/A,FALSE,"Program Costs";#N/A,#N/A,FALSE,"Measures";#N/A,#N/A,FALSE,"Net Lost Rev";#N/A,#N/A,FALSE,"Incentive"}</definedName>
    <definedName name="extra5" localSheetId="29" hidden="1">{#N/A,#N/A,FALSE,"Loans";#N/A,#N/A,FALSE,"Program Costs";#N/A,#N/A,FALSE,"Measures";#N/A,#N/A,FALSE,"Net Lost Rev";#N/A,#N/A,FALSE,"Incentive"}</definedName>
    <definedName name="extra5" localSheetId="28" hidden="1">{#N/A,#N/A,FALSE,"Loans";#N/A,#N/A,FALSE,"Program Costs";#N/A,#N/A,FALSE,"Measures";#N/A,#N/A,FALSE,"Net Lost Rev";#N/A,#N/A,FALSE,"Incentive"}</definedName>
    <definedName name="extra5" localSheetId="49" hidden="1">{#N/A,#N/A,FALSE,"Loans";#N/A,#N/A,FALSE,"Program Costs";#N/A,#N/A,FALSE,"Measures";#N/A,#N/A,FALSE,"Net Lost Rev";#N/A,#N/A,FALSE,"Incentive"}</definedName>
    <definedName name="extra5" localSheetId="23" hidden="1">{#N/A,#N/A,FALSE,"Loans";#N/A,#N/A,FALSE,"Program Costs";#N/A,#N/A,FALSE,"Measures";#N/A,#N/A,FALSE,"Net Lost Rev";#N/A,#N/A,FALSE,"Incentive"}</definedName>
    <definedName name="extra5" localSheetId="83" hidden="1">{#N/A,#N/A,FALSE,"Loans";#N/A,#N/A,FALSE,"Program Costs";#N/A,#N/A,FALSE,"Measures";#N/A,#N/A,FALSE,"Net Lost Rev";#N/A,#N/A,FALSE,"Incentive"}</definedName>
    <definedName name="extra5" localSheetId="27" hidden="1">{#N/A,#N/A,FALSE,"Loans";#N/A,#N/A,FALSE,"Program Costs";#N/A,#N/A,FALSE,"Measures";#N/A,#N/A,FALSE,"Net Lost Rev";#N/A,#N/A,FALSE,"Incentive"}</definedName>
    <definedName name="extra5" localSheetId="48" hidden="1">{#N/A,#N/A,FALSE,"Loans";#N/A,#N/A,FALSE,"Program Costs";#N/A,#N/A,FALSE,"Measures";#N/A,#N/A,FALSE,"Net Lost Rev";#N/A,#N/A,FALSE,"Incentive"}</definedName>
    <definedName name="extra5" hidden="1">{#N/A,#N/A,FALSE,"Loans";#N/A,#N/A,FALSE,"Program Costs";#N/A,#N/A,FALSE,"Measures";#N/A,#N/A,FALSE,"Net Lost Rev";#N/A,#N/A,FALSE,"Incentive"}</definedName>
    <definedName name="foo" localSheetId="54" hidden="1">{#N/A,#N/A,FALSE,"Bgt";#N/A,#N/A,FALSE,"Act";#N/A,#N/A,FALSE,"Chrt Data";#N/A,#N/A,FALSE,"Bus Result";#N/A,#N/A,FALSE,"Main Charts";#N/A,#N/A,FALSE,"P&amp;L Ttl";#N/A,#N/A,FALSE,"P&amp;L C_Ttl";#N/A,#N/A,FALSE,"P&amp;L C_Oct";#N/A,#N/A,FALSE,"P&amp;L C_Sep";#N/A,#N/A,FALSE,"1996";#N/A,#N/A,FALSE,"Data"}</definedName>
    <definedName name="foo" localSheetId="53" hidden="1">{#N/A,#N/A,FALSE,"Bgt";#N/A,#N/A,FALSE,"Act";#N/A,#N/A,FALSE,"Chrt Data";#N/A,#N/A,FALSE,"Bus Result";#N/A,#N/A,FALSE,"Main Charts";#N/A,#N/A,FALSE,"P&amp;L Ttl";#N/A,#N/A,FALSE,"P&amp;L C_Ttl";#N/A,#N/A,FALSE,"P&amp;L C_Oct";#N/A,#N/A,FALSE,"P&amp;L C_Sep";#N/A,#N/A,FALSE,"1996";#N/A,#N/A,FALSE,"Data"}</definedName>
    <definedName name="foo" localSheetId="29" hidden="1">{#N/A,#N/A,FALSE,"Bgt";#N/A,#N/A,FALSE,"Act";#N/A,#N/A,FALSE,"Chrt Data";#N/A,#N/A,FALSE,"Bus Result";#N/A,#N/A,FALSE,"Main Charts";#N/A,#N/A,FALSE,"P&amp;L Ttl";#N/A,#N/A,FALSE,"P&amp;L C_Ttl";#N/A,#N/A,FALSE,"P&amp;L C_Oct";#N/A,#N/A,FALSE,"P&amp;L C_Sep";#N/A,#N/A,FALSE,"1996";#N/A,#N/A,FALSE,"Data"}</definedName>
    <definedName name="foo" localSheetId="28" hidden="1">{#N/A,#N/A,FALSE,"Bgt";#N/A,#N/A,FALSE,"Act";#N/A,#N/A,FALSE,"Chrt Data";#N/A,#N/A,FALSE,"Bus Result";#N/A,#N/A,FALSE,"Main Charts";#N/A,#N/A,FALSE,"P&amp;L Ttl";#N/A,#N/A,FALSE,"P&amp;L C_Ttl";#N/A,#N/A,FALSE,"P&amp;L C_Oct";#N/A,#N/A,FALSE,"P&amp;L C_Sep";#N/A,#N/A,FALSE,"1996";#N/A,#N/A,FALSE,"Data"}</definedName>
    <definedName name="foo" localSheetId="49" hidden="1">{#N/A,#N/A,FALSE,"Bgt";#N/A,#N/A,FALSE,"Act";#N/A,#N/A,FALSE,"Chrt Data";#N/A,#N/A,FALSE,"Bus Result";#N/A,#N/A,FALSE,"Main Charts";#N/A,#N/A,FALSE,"P&amp;L Ttl";#N/A,#N/A,FALSE,"P&amp;L C_Ttl";#N/A,#N/A,FALSE,"P&amp;L C_Oct";#N/A,#N/A,FALSE,"P&amp;L C_Sep";#N/A,#N/A,FALSE,"1996";#N/A,#N/A,FALSE,"Data"}</definedName>
    <definedName name="foo" localSheetId="23" hidden="1">{#N/A,#N/A,FALSE,"Bgt";#N/A,#N/A,FALSE,"Act";#N/A,#N/A,FALSE,"Chrt Data";#N/A,#N/A,FALSE,"Bus Result";#N/A,#N/A,FALSE,"Main Charts";#N/A,#N/A,FALSE,"P&amp;L Ttl";#N/A,#N/A,FALSE,"P&amp;L C_Ttl";#N/A,#N/A,FALSE,"P&amp;L C_Oct";#N/A,#N/A,FALSE,"P&amp;L C_Sep";#N/A,#N/A,FALSE,"1996";#N/A,#N/A,FALSE,"Data"}</definedName>
    <definedName name="foo" localSheetId="83" hidden="1">{#N/A,#N/A,FALSE,"Bgt";#N/A,#N/A,FALSE,"Act";#N/A,#N/A,FALSE,"Chrt Data";#N/A,#N/A,FALSE,"Bus Result";#N/A,#N/A,FALSE,"Main Charts";#N/A,#N/A,FALSE,"P&amp;L Ttl";#N/A,#N/A,FALSE,"P&amp;L C_Ttl";#N/A,#N/A,FALSE,"P&amp;L C_Oct";#N/A,#N/A,FALSE,"P&amp;L C_Sep";#N/A,#N/A,FALSE,"1996";#N/A,#N/A,FALSE,"Data"}</definedName>
    <definedName name="foo" localSheetId="27" hidden="1">{#N/A,#N/A,FALSE,"Bgt";#N/A,#N/A,FALSE,"Act";#N/A,#N/A,FALSE,"Chrt Data";#N/A,#N/A,FALSE,"Bus Result";#N/A,#N/A,FALSE,"Main Charts";#N/A,#N/A,FALSE,"P&amp;L Ttl";#N/A,#N/A,FALSE,"P&amp;L C_Ttl";#N/A,#N/A,FALSE,"P&amp;L C_Oct";#N/A,#N/A,FALSE,"P&amp;L C_Sep";#N/A,#N/A,FALSE,"1996";#N/A,#N/A,FALSE,"Data"}</definedName>
    <definedName name="foo" localSheetId="48" hidden="1">{#N/A,#N/A,FALSE,"Bgt";#N/A,#N/A,FALSE,"Act";#N/A,#N/A,FALSE,"Chrt Data";#N/A,#N/A,FALSE,"Bus Result";#N/A,#N/A,FALSE,"Main Charts";#N/A,#N/A,FALSE,"P&amp;L Ttl";#N/A,#N/A,FALSE,"P&amp;L C_Ttl";#N/A,#N/A,FALSE,"P&amp;L C_Oct";#N/A,#N/A,FALSE,"P&amp;L C_Sep";#N/A,#N/A,FALSE,"1996";#N/A,#N/A,FALSE,"Data"}</definedName>
    <definedName name="foo" hidden="1">{#N/A,#N/A,FALSE,"Bgt";#N/A,#N/A,FALSE,"Act";#N/A,#N/A,FALSE,"Chrt Data";#N/A,#N/A,FALSE,"Bus Result";#N/A,#N/A,FALSE,"Main Charts";#N/A,#N/A,FALSE,"P&amp;L Ttl";#N/A,#N/A,FALSE,"P&amp;L C_Ttl";#N/A,#N/A,FALSE,"P&amp;L C_Oct";#N/A,#N/A,FALSE,"P&amp;L C_Sep";#N/A,#N/A,FALSE,"1996";#N/A,#N/A,FALSE,"Data"}</definedName>
    <definedName name="friend" localSheetId="54" hidden="1">{"PRINT",#N/A,TRUE,"APPA";"PRINT",#N/A,TRUE,"APS";"PRINT",#N/A,TRUE,"BHPL";"PRINT",#N/A,TRUE,"BHPL2";"PRINT",#N/A,TRUE,"CDWR";"PRINT",#N/A,TRUE,"EWEB";"PRINT",#N/A,TRUE,"LADWP";"PRINT",#N/A,TRUE,"NEVBASE"}</definedName>
    <definedName name="friend" localSheetId="53" hidden="1">{"PRINT",#N/A,TRUE,"APPA";"PRINT",#N/A,TRUE,"APS";"PRINT",#N/A,TRUE,"BHPL";"PRINT",#N/A,TRUE,"BHPL2";"PRINT",#N/A,TRUE,"CDWR";"PRINT",#N/A,TRUE,"EWEB";"PRINT",#N/A,TRUE,"LADWP";"PRINT",#N/A,TRUE,"NEVBASE"}</definedName>
    <definedName name="friend" localSheetId="29" hidden="1">{"PRINT",#N/A,TRUE,"APPA";"PRINT",#N/A,TRUE,"APS";"PRINT",#N/A,TRUE,"BHPL";"PRINT",#N/A,TRUE,"BHPL2";"PRINT",#N/A,TRUE,"CDWR";"PRINT",#N/A,TRUE,"EWEB";"PRINT",#N/A,TRUE,"LADWP";"PRINT",#N/A,TRUE,"NEVBASE"}</definedName>
    <definedName name="friend" localSheetId="28" hidden="1">{"PRINT",#N/A,TRUE,"APPA";"PRINT",#N/A,TRUE,"APS";"PRINT",#N/A,TRUE,"BHPL";"PRINT",#N/A,TRUE,"BHPL2";"PRINT",#N/A,TRUE,"CDWR";"PRINT",#N/A,TRUE,"EWEB";"PRINT",#N/A,TRUE,"LADWP";"PRINT",#N/A,TRUE,"NEVBASE"}</definedName>
    <definedName name="friend" localSheetId="49" hidden="1">{"PRINT",#N/A,TRUE,"APPA";"PRINT",#N/A,TRUE,"APS";"PRINT",#N/A,TRUE,"BHPL";"PRINT",#N/A,TRUE,"BHPL2";"PRINT",#N/A,TRUE,"CDWR";"PRINT",#N/A,TRUE,"EWEB";"PRINT",#N/A,TRUE,"LADWP";"PRINT",#N/A,TRUE,"NEVBASE"}</definedName>
    <definedName name="friend" localSheetId="23" hidden="1">{"PRINT",#N/A,TRUE,"APPA";"PRINT",#N/A,TRUE,"APS";"PRINT",#N/A,TRUE,"BHPL";"PRINT",#N/A,TRUE,"BHPL2";"PRINT",#N/A,TRUE,"CDWR";"PRINT",#N/A,TRUE,"EWEB";"PRINT",#N/A,TRUE,"LADWP";"PRINT",#N/A,TRUE,"NEVBASE"}</definedName>
    <definedName name="friend" localSheetId="83" hidden="1">{"PRINT",#N/A,TRUE,"APPA";"PRINT",#N/A,TRUE,"APS";"PRINT",#N/A,TRUE,"BHPL";"PRINT",#N/A,TRUE,"BHPL2";"PRINT",#N/A,TRUE,"CDWR";"PRINT",#N/A,TRUE,"EWEB";"PRINT",#N/A,TRUE,"LADWP";"PRINT",#N/A,TRUE,"NEVBASE"}</definedName>
    <definedName name="friend" localSheetId="27" hidden="1">{"PRINT",#N/A,TRUE,"APPA";"PRINT",#N/A,TRUE,"APS";"PRINT",#N/A,TRUE,"BHPL";"PRINT",#N/A,TRUE,"BHPL2";"PRINT",#N/A,TRUE,"CDWR";"PRINT",#N/A,TRUE,"EWEB";"PRINT",#N/A,TRUE,"LADWP";"PRINT",#N/A,TRUE,"NEVBASE"}</definedName>
    <definedName name="friend" localSheetId="48" hidden="1">{"PRINT",#N/A,TRUE,"APPA";"PRINT",#N/A,TRUE,"APS";"PRINT",#N/A,TRUE,"BHPL";"PRINT",#N/A,TRUE,"BHPL2";"PRINT",#N/A,TRUE,"CDWR";"PRINT",#N/A,TRUE,"EWEB";"PRINT",#N/A,TRUE,"LADWP";"PRINT",#N/A,TRUE,"NEVBASE"}</definedName>
    <definedName name="friend" hidden="1">{"PRINT",#N/A,TRUE,"APPA";"PRINT",#N/A,TRUE,"APS";"PRINT",#N/A,TRUE,"BHPL";"PRINT",#N/A,TRUE,"BHPL2";"PRINT",#N/A,TRUE,"CDWR";"PRINT",#N/A,TRUE,"EWEB";"PRINT",#N/A,TRUE,"LADWP";"PRINT",#N/A,TRUE,"NEVBASE"}</definedName>
    <definedName name="HROptim" localSheetId="54" hidden="1">{#N/A,#N/A,FALSE,"Summary";#N/A,#N/A,FALSE,"SmPlants";#N/A,#N/A,FALSE,"Utah";#N/A,#N/A,FALSE,"Idaho";#N/A,#N/A,FALSE,"Lewis River";#N/A,#N/A,FALSE,"NrthUmpq";#N/A,#N/A,FALSE,"KlamRog"}</definedName>
    <definedName name="HROptim" localSheetId="53" hidden="1">{#N/A,#N/A,FALSE,"Summary";#N/A,#N/A,FALSE,"SmPlants";#N/A,#N/A,FALSE,"Utah";#N/A,#N/A,FALSE,"Idaho";#N/A,#N/A,FALSE,"Lewis River";#N/A,#N/A,FALSE,"NrthUmpq";#N/A,#N/A,FALSE,"KlamRog"}</definedName>
    <definedName name="HROptim" localSheetId="29" hidden="1">{#N/A,#N/A,FALSE,"Summary";#N/A,#N/A,FALSE,"SmPlants";#N/A,#N/A,FALSE,"Utah";#N/A,#N/A,FALSE,"Idaho";#N/A,#N/A,FALSE,"Lewis River";#N/A,#N/A,FALSE,"NrthUmpq";#N/A,#N/A,FALSE,"KlamRog"}</definedName>
    <definedName name="HROptim" localSheetId="28" hidden="1">{#N/A,#N/A,FALSE,"Summary";#N/A,#N/A,FALSE,"SmPlants";#N/A,#N/A,FALSE,"Utah";#N/A,#N/A,FALSE,"Idaho";#N/A,#N/A,FALSE,"Lewis River";#N/A,#N/A,FALSE,"NrthUmpq";#N/A,#N/A,FALSE,"KlamRog"}</definedName>
    <definedName name="HROptim" localSheetId="49" hidden="1">{#N/A,#N/A,FALSE,"Summary";#N/A,#N/A,FALSE,"SmPlants";#N/A,#N/A,FALSE,"Utah";#N/A,#N/A,FALSE,"Idaho";#N/A,#N/A,FALSE,"Lewis River";#N/A,#N/A,FALSE,"NrthUmpq";#N/A,#N/A,FALSE,"KlamRog"}</definedName>
    <definedName name="HROptim" localSheetId="23" hidden="1">{#N/A,#N/A,FALSE,"Summary";#N/A,#N/A,FALSE,"SmPlants";#N/A,#N/A,FALSE,"Utah";#N/A,#N/A,FALSE,"Idaho";#N/A,#N/A,FALSE,"Lewis River";#N/A,#N/A,FALSE,"NrthUmpq";#N/A,#N/A,FALSE,"KlamRog"}</definedName>
    <definedName name="HROptim" localSheetId="83" hidden="1">{#N/A,#N/A,FALSE,"Summary";#N/A,#N/A,FALSE,"SmPlants";#N/A,#N/A,FALSE,"Utah";#N/A,#N/A,FALSE,"Idaho";#N/A,#N/A,FALSE,"Lewis River";#N/A,#N/A,FALSE,"NrthUmpq";#N/A,#N/A,FALSE,"KlamRog"}</definedName>
    <definedName name="HROptim" localSheetId="27" hidden="1">{#N/A,#N/A,FALSE,"Summary";#N/A,#N/A,FALSE,"SmPlants";#N/A,#N/A,FALSE,"Utah";#N/A,#N/A,FALSE,"Idaho";#N/A,#N/A,FALSE,"Lewis River";#N/A,#N/A,FALSE,"NrthUmpq";#N/A,#N/A,FALSE,"KlamRog"}</definedName>
    <definedName name="HROptim" localSheetId="48" hidden="1">{#N/A,#N/A,FALSE,"Summary";#N/A,#N/A,FALSE,"SmPlants";#N/A,#N/A,FALSE,"Utah";#N/A,#N/A,FALSE,"Idaho";#N/A,#N/A,FALSE,"Lewis River";#N/A,#N/A,FALSE,"NrthUmpq";#N/A,#N/A,FALSE,"KlamRog"}</definedName>
    <definedName name="HROptim" hidden="1">{#N/A,#N/A,FALSE,"Summary";#N/A,#N/A,FALSE,"SmPlants";#N/A,#N/A,FALSE,"Utah";#N/A,#N/A,FALSE,"Idaho";#N/A,#N/A,FALSE,"Lewis River";#N/A,#N/A,FALSE,"NrthUmpq";#N/A,#N/A,FALSE,"KlamRog"}</definedName>
    <definedName name="inventory" localSheetId="54" hidden="1">{#N/A,#N/A,FALSE,"Summary";#N/A,#N/A,FALSE,"SmPlants";#N/A,#N/A,FALSE,"Utah";#N/A,#N/A,FALSE,"Idaho";#N/A,#N/A,FALSE,"Lewis River";#N/A,#N/A,FALSE,"NrthUmpq";#N/A,#N/A,FALSE,"KlamRog"}</definedName>
    <definedName name="inventory" localSheetId="53" hidden="1">{#N/A,#N/A,FALSE,"Summary";#N/A,#N/A,FALSE,"SmPlants";#N/A,#N/A,FALSE,"Utah";#N/A,#N/A,FALSE,"Idaho";#N/A,#N/A,FALSE,"Lewis River";#N/A,#N/A,FALSE,"NrthUmpq";#N/A,#N/A,FALSE,"KlamRog"}</definedName>
    <definedName name="inventory" localSheetId="29" hidden="1">{#N/A,#N/A,FALSE,"Summary";#N/A,#N/A,FALSE,"SmPlants";#N/A,#N/A,FALSE,"Utah";#N/A,#N/A,FALSE,"Idaho";#N/A,#N/A,FALSE,"Lewis River";#N/A,#N/A,FALSE,"NrthUmpq";#N/A,#N/A,FALSE,"KlamRog"}</definedName>
    <definedName name="inventory" localSheetId="28" hidden="1">{#N/A,#N/A,FALSE,"Summary";#N/A,#N/A,FALSE,"SmPlants";#N/A,#N/A,FALSE,"Utah";#N/A,#N/A,FALSE,"Idaho";#N/A,#N/A,FALSE,"Lewis River";#N/A,#N/A,FALSE,"NrthUmpq";#N/A,#N/A,FALSE,"KlamRog"}</definedName>
    <definedName name="inventory" localSheetId="49" hidden="1">{#N/A,#N/A,FALSE,"Summary";#N/A,#N/A,FALSE,"SmPlants";#N/A,#N/A,FALSE,"Utah";#N/A,#N/A,FALSE,"Idaho";#N/A,#N/A,FALSE,"Lewis River";#N/A,#N/A,FALSE,"NrthUmpq";#N/A,#N/A,FALSE,"KlamRog"}</definedName>
    <definedName name="inventory" localSheetId="23" hidden="1">{#N/A,#N/A,FALSE,"Summary";#N/A,#N/A,FALSE,"SmPlants";#N/A,#N/A,FALSE,"Utah";#N/A,#N/A,FALSE,"Idaho";#N/A,#N/A,FALSE,"Lewis River";#N/A,#N/A,FALSE,"NrthUmpq";#N/A,#N/A,FALSE,"KlamRog"}</definedName>
    <definedName name="inventory" localSheetId="83" hidden="1">{#N/A,#N/A,FALSE,"Summary";#N/A,#N/A,FALSE,"SmPlants";#N/A,#N/A,FALSE,"Utah";#N/A,#N/A,FALSE,"Idaho";#N/A,#N/A,FALSE,"Lewis River";#N/A,#N/A,FALSE,"NrthUmpq";#N/A,#N/A,FALSE,"KlamRog"}</definedName>
    <definedName name="inventory" localSheetId="27" hidden="1">{#N/A,#N/A,FALSE,"Summary";#N/A,#N/A,FALSE,"SmPlants";#N/A,#N/A,FALSE,"Utah";#N/A,#N/A,FALSE,"Idaho";#N/A,#N/A,FALSE,"Lewis River";#N/A,#N/A,FALSE,"NrthUmpq";#N/A,#N/A,FALSE,"KlamRog"}</definedName>
    <definedName name="inventory" localSheetId="48" hidden="1">{#N/A,#N/A,FALSE,"Summary";#N/A,#N/A,FALSE,"SmPlants";#N/A,#N/A,FALSE,"Utah";#N/A,#N/A,FALSE,"Idaho";#N/A,#N/A,FALSE,"Lewis River";#N/A,#N/A,FALSE,"NrthUmpq";#N/A,#N/A,FALSE,"KlamRog"}</definedName>
    <definedName name="inventory" hidden="1">{#N/A,#N/A,FALSE,"Summary";#N/A,#N/A,FALSE,"SmPlants";#N/A,#N/A,FALSE,"Utah";#N/A,#N/A,FALSE,"Idaho";#N/A,#N/A,FALSE,"Lewis River";#N/A,#N/A,FALSE,"NrthUmpq";#N/A,#N/A,FALSE,"KlamRog"}</definedName>
    <definedName name="Item_Number">"GP Detail"</definedName>
    <definedName name="junk" localSheetId="54" hidden="1">{"PRINT",#N/A,TRUE,"APPA";"PRINT",#N/A,TRUE,"APS";"PRINT",#N/A,TRUE,"BHPL";"PRINT",#N/A,TRUE,"BHPL2";"PRINT",#N/A,TRUE,"CDWR";"PRINT",#N/A,TRUE,"EWEB";"PRINT",#N/A,TRUE,"LADWP";"PRINT",#N/A,TRUE,"NEVBASE"}</definedName>
    <definedName name="junk" localSheetId="53" hidden="1">{"PRINT",#N/A,TRUE,"APPA";"PRINT",#N/A,TRUE,"APS";"PRINT",#N/A,TRUE,"BHPL";"PRINT",#N/A,TRUE,"BHPL2";"PRINT",#N/A,TRUE,"CDWR";"PRINT",#N/A,TRUE,"EWEB";"PRINT",#N/A,TRUE,"LADWP";"PRINT",#N/A,TRUE,"NEVBASE"}</definedName>
    <definedName name="junk" localSheetId="29" hidden="1">{"PRINT",#N/A,TRUE,"APPA";"PRINT",#N/A,TRUE,"APS";"PRINT",#N/A,TRUE,"BHPL";"PRINT",#N/A,TRUE,"BHPL2";"PRINT",#N/A,TRUE,"CDWR";"PRINT",#N/A,TRUE,"EWEB";"PRINT",#N/A,TRUE,"LADWP";"PRINT",#N/A,TRUE,"NEVBASE"}</definedName>
    <definedName name="junk" localSheetId="28" hidden="1">{"PRINT",#N/A,TRUE,"APPA";"PRINT",#N/A,TRUE,"APS";"PRINT",#N/A,TRUE,"BHPL";"PRINT",#N/A,TRUE,"BHPL2";"PRINT",#N/A,TRUE,"CDWR";"PRINT",#N/A,TRUE,"EWEB";"PRINT",#N/A,TRUE,"LADWP";"PRINT",#N/A,TRUE,"NEVBASE"}</definedName>
    <definedName name="junk" localSheetId="49" hidden="1">{"PRINT",#N/A,TRUE,"APPA";"PRINT",#N/A,TRUE,"APS";"PRINT",#N/A,TRUE,"BHPL";"PRINT",#N/A,TRUE,"BHPL2";"PRINT",#N/A,TRUE,"CDWR";"PRINT",#N/A,TRUE,"EWEB";"PRINT",#N/A,TRUE,"LADWP";"PRINT",#N/A,TRUE,"NEVBASE"}</definedName>
    <definedName name="junk" localSheetId="23" hidden="1">{"PRINT",#N/A,TRUE,"APPA";"PRINT",#N/A,TRUE,"APS";"PRINT",#N/A,TRUE,"BHPL";"PRINT",#N/A,TRUE,"BHPL2";"PRINT",#N/A,TRUE,"CDWR";"PRINT",#N/A,TRUE,"EWEB";"PRINT",#N/A,TRUE,"LADWP";"PRINT",#N/A,TRUE,"NEVBASE"}</definedName>
    <definedName name="junk" localSheetId="83" hidden="1">{"PRINT",#N/A,TRUE,"APPA";"PRINT",#N/A,TRUE,"APS";"PRINT",#N/A,TRUE,"BHPL";"PRINT",#N/A,TRUE,"BHPL2";"PRINT",#N/A,TRUE,"CDWR";"PRINT",#N/A,TRUE,"EWEB";"PRINT",#N/A,TRUE,"LADWP";"PRINT",#N/A,TRUE,"NEVBASE"}</definedName>
    <definedName name="junk" localSheetId="27" hidden="1">{"PRINT",#N/A,TRUE,"APPA";"PRINT",#N/A,TRUE,"APS";"PRINT",#N/A,TRUE,"BHPL";"PRINT",#N/A,TRUE,"BHPL2";"PRINT",#N/A,TRUE,"CDWR";"PRINT",#N/A,TRUE,"EWEB";"PRINT",#N/A,TRUE,"LADWP";"PRINT",#N/A,TRUE,"NEVBASE"}</definedName>
    <definedName name="junk" localSheetId="48" hidden="1">{"PRINT",#N/A,TRUE,"APPA";"PRINT",#N/A,TRUE,"APS";"PRINT",#N/A,TRUE,"BHPL";"PRINT",#N/A,TRUE,"BHPL2";"PRINT",#N/A,TRUE,"CDWR";"PRINT",#N/A,TRUE,"EWEB";"PRINT",#N/A,TRUE,"LADWP";"PRINT",#N/A,TRUE,"NEVBASE"}</definedName>
    <definedName name="junk" hidden="1">{"PRINT",#N/A,TRUE,"APPA";"PRINT",#N/A,TRUE,"APS";"PRINT",#N/A,TRUE,"BHPL";"PRINT",#N/A,TRUE,"BHPL2";"PRINT",#N/A,TRUE,"CDWR";"PRINT",#N/A,TRUE,"EWEB";"PRINT",#N/A,TRUE,"LADWP";"PRINT",#N/A,TRUE,"NEVBASE"}</definedName>
    <definedName name="junk1" localSheetId="54" hidden="1">{"PRINT",#N/A,TRUE,"APPA";"PRINT",#N/A,TRUE,"APS";"PRINT",#N/A,TRUE,"BHPL";"PRINT",#N/A,TRUE,"BHPL2";"PRINT",#N/A,TRUE,"CDWR";"PRINT",#N/A,TRUE,"EWEB";"PRINT",#N/A,TRUE,"LADWP";"PRINT",#N/A,TRUE,"NEVBASE"}</definedName>
    <definedName name="junk1" localSheetId="53" hidden="1">{"PRINT",#N/A,TRUE,"APPA";"PRINT",#N/A,TRUE,"APS";"PRINT",#N/A,TRUE,"BHPL";"PRINT",#N/A,TRUE,"BHPL2";"PRINT",#N/A,TRUE,"CDWR";"PRINT",#N/A,TRUE,"EWEB";"PRINT",#N/A,TRUE,"LADWP";"PRINT",#N/A,TRUE,"NEVBASE"}</definedName>
    <definedName name="junk1" localSheetId="29" hidden="1">{"PRINT",#N/A,TRUE,"APPA";"PRINT",#N/A,TRUE,"APS";"PRINT",#N/A,TRUE,"BHPL";"PRINT",#N/A,TRUE,"BHPL2";"PRINT",#N/A,TRUE,"CDWR";"PRINT",#N/A,TRUE,"EWEB";"PRINT",#N/A,TRUE,"LADWP";"PRINT",#N/A,TRUE,"NEVBASE"}</definedName>
    <definedName name="junk1" localSheetId="28" hidden="1">{"PRINT",#N/A,TRUE,"APPA";"PRINT",#N/A,TRUE,"APS";"PRINT",#N/A,TRUE,"BHPL";"PRINT",#N/A,TRUE,"BHPL2";"PRINT",#N/A,TRUE,"CDWR";"PRINT",#N/A,TRUE,"EWEB";"PRINT",#N/A,TRUE,"LADWP";"PRINT",#N/A,TRUE,"NEVBASE"}</definedName>
    <definedName name="junk1" localSheetId="49" hidden="1">{"PRINT",#N/A,TRUE,"APPA";"PRINT",#N/A,TRUE,"APS";"PRINT",#N/A,TRUE,"BHPL";"PRINT",#N/A,TRUE,"BHPL2";"PRINT",#N/A,TRUE,"CDWR";"PRINT",#N/A,TRUE,"EWEB";"PRINT",#N/A,TRUE,"LADWP";"PRINT",#N/A,TRUE,"NEVBASE"}</definedName>
    <definedName name="junk1" localSheetId="23" hidden="1">{"PRINT",#N/A,TRUE,"APPA";"PRINT",#N/A,TRUE,"APS";"PRINT",#N/A,TRUE,"BHPL";"PRINT",#N/A,TRUE,"BHPL2";"PRINT",#N/A,TRUE,"CDWR";"PRINT",#N/A,TRUE,"EWEB";"PRINT",#N/A,TRUE,"LADWP";"PRINT",#N/A,TRUE,"NEVBASE"}</definedName>
    <definedName name="junk1" localSheetId="83" hidden="1">{"PRINT",#N/A,TRUE,"APPA";"PRINT",#N/A,TRUE,"APS";"PRINT",#N/A,TRUE,"BHPL";"PRINT",#N/A,TRUE,"BHPL2";"PRINT",#N/A,TRUE,"CDWR";"PRINT",#N/A,TRUE,"EWEB";"PRINT",#N/A,TRUE,"LADWP";"PRINT",#N/A,TRUE,"NEVBASE"}</definedName>
    <definedName name="junk1" localSheetId="27" hidden="1">{"PRINT",#N/A,TRUE,"APPA";"PRINT",#N/A,TRUE,"APS";"PRINT",#N/A,TRUE,"BHPL";"PRINT",#N/A,TRUE,"BHPL2";"PRINT",#N/A,TRUE,"CDWR";"PRINT",#N/A,TRUE,"EWEB";"PRINT",#N/A,TRUE,"LADWP";"PRINT",#N/A,TRUE,"NEVBASE"}</definedName>
    <definedName name="junk1" localSheetId="48" hidden="1">{"PRINT",#N/A,TRUE,"APPA";"PRINT",#N/A,TRUE,"APS";"PRINT",#N/A,TRUE,"BHPL";"PRINT",#N/A,TRUE,"BHPL2";"PRINT",#N/A,TRUE,"CDWR";"PRINT",#N/A,TRUE,"EWEB";"PRINT",#N/A,TRUE,"LADWP";"PRINT",#N/A,TRUE,"NEVBASE"}</definedName>
    <definedName name="junk1" hidden="1">{"PRINT",#N/A,TRUE,"APPA";"PRINT",#N/A,TRUE,"APS";"PRINT",#N/A,TRUE,"BHPL";"PRINT",#N/A,TRUE,"BHPL2";"PRINT",#N/A,TRUE,"CDWR";"PRINT",#N/A,TRUE,"EWEB";"PRINT",#N/A,TRUE,"LADWP";"PRINT",#N/A,TRUE,"NEVBASE"}</definedName>
    <definedName name="junk2" localSheetId="54" hidden="1">{"PRINT",#N/A,TRUE,"APPA";"PRINT",#N/A,TRUE,"APS";"PRINT",#N/A,TRUE,"BHPL";"PRINT",#N/A,TRUE,"BHPL2";"PRINT",#N/A,TRUE,"CDWR";"PRINT",#N/A,TRUE,"EWEB";"PRINT",#N/A,TRUE,"LADWP";"PRINT",#N/A,TRUE,"NEVBASE"}</definedName>
    <definedName name="junk2" localSheetId="53" hidden="1">{"PRINT",#N/A,TRUE,"APPA";"PRINT",#N/A,TRUE,"APS";"PRINT",#N/A,TRUE,"BHPL";"PRINT",#N/A,TRUE,"BHPL2";"PRINT",#N/A,TRUE,"CDWR";"PRINT",#N/A,TRUE,"EWEB";"PRINT",#N/A,TRUE,"LADWP";"PRINT",#N/A,TRUE,"NEVBASE"}</definedName>
    <definedName name="junk2" localSheetId="29" hidden="1">{"PRINT",#N/A,TRUE,"APPA";"PRINT",#N/A,TRUE,"APS";"PRINT",#N/A,TRUE,"BHPL";"PRINT",#N/A,TRUE,"BHPL2";"PRINT",#N/A,TRUE,"CDWR";"PRINT",#N/A,TRUE,"EWEB";"PRINT",#N/A,TRUE,"LADWP";"PRINT",#N/A,TRUE,"NEVBASE"}</definedName>
    <definedName name="junk2" localSheetId="28" hidden="1">{"PRINT",#N/A,TRUE,"APPA";"PRINT",#N/A,TRUE,"APS";"PRINT",#N/A,TRUE,"BHPL";"PRINT",#N/A,TRUE,"BHPL2";"PRINT",#N/A,TRUE,"CDWR";"PRINT",#N/A,TRUE,"EWEB";"PRINT",#N/A,TRUE,"LADWP";"PRINT",#N/A,TRUE,"NEVBASE"}</definedName>
    <definedName name="junk2" localSheetId="49" hidden="1">{"PRINT",#N/A,TRUE,"APPA";"PRINT",#N/A,TRUE,"APS";"PRINT",#N/A,TRUE,"BHPL";"PRINT",#N/A,TRUE,"BHPL2";"PRINT",#N/A,TRUE,"CDWR";"PRINT",#N/A,TRUE,"EWEB";"PRINT",#N/A,TRUE,"LADWP";"PRINT",#N/A,TRUE,"NEVBASE"}</definedName>
    <definedName name="junk2" localSheetId="23" hidden="1">{"PRINT",#N/A,TRUE,"APPA";"PRINT",#N/A,TRUE,"APS";"PRINT",#N/A,TRUE,"BHPL";"PRINT",#N/A,TRUE,"BHPL2";"PRINT",#N/A,TRUE,"CDWR";"PRINT",#N/A,TRUE,"EWEB";"PRINT",#N/A,TRUE,"LADWP";"PRINT",#N/A,TRUE,"NEVBASE"}</definedName>
    <definedName name="junk2" localSheetId="83" hidden="1">{"PRINT",#N/A,TRUE,"APPA";"PRINT",#N/A,TRUE,"APS";"PRINT",#N/A,TRUE,"BHPL";"PRINT",#N/A,TRUE,"BHPL2";"PRINT",#N/A,TRUE,"CDWR";"PRINT",#N/A,TRUE,"EWEB";"PRINT",#N/A,TRUE,"LADWP";"PRINT",#N/A,TRUE,"NEVBASE"}</definedName>
    <definedName name="junk2" localSheetId="27" hidden="1">{"PRINT",#N/A,TRUE,"APPA";"PRINT",#N/A,TRUE,"APS";"PRINT",#N/A,TRUE,"BHPL";"PRINT",#N/A,TRUE,"BHPL2";"PRINT",#N/A,TRUE,"CDWR";"PRINT",#N/A,TRUE,"EWEB";"PRINT",#N/A,TRUE,"LADWP";"PRINT",#N/A,TRUE,"NEVBASE"}</definedName>
    <definedName name="junk2" localSheetId="48" hidden="1">{"PRINT",#N/A,TRUE,"APPA";"PRINT",#N/A,TRUE,"APS";"PRINT",#N/A,TRUE,"BHPL";"PRINT",#N/A,TRUE,"BHPL2";"PRINT",#N/A,TRUE,"CDWR";"PRINT",#N/A,TRUE,"EWEB";"PRINT",#N/A,TRUE,"LADWP";"PRINT",#N/A,TRUE,"NEVBASE"}</definedName>
    <definedName name="junk2" hidden="1">{"PRINT",#N/A,TRUE,"APPA";"PRINT",#N/A,TRUE,"APS";"PRINT",#N/A,TRUE,"BHPL";"PRINT",#N/A,TRUE,"BHPL2";"PRINT",#N/A,TRUE,"CDWR";"PRINT",#N/A,TRUE,"EWEB";"PRINT",#N/A,TRUE,"LADWP";"PRINT",#N/A,TRUE,"NEVBASE"}</definedName>
    <definedName name="junk3" localSheetId="54" hidden="1">{"PRINT",#N/A,TRUE,"APPA";"PRINT",#N/A,TRUE,"APS";"PRINT",#N/A,TRUE,"BHPL";"PRINT",#N/A,TRUE,"BHPL2";"PRINT",#N/A,TRUE,"CDWR";"PRINT",#N/A,TRUE,"EWEB";"PRINT",#N/A,TRUE,"LADWP";"PRINT",#N/A,TRUE,"NEVBASE"}</definedName>
    <definedName name="junk3" localSheetId="53" hidden="1">{"PRINT",#N/A,TRUE,"APPA";"PRINT",#N/A,TRUE,"APS";"PRINT",#N/A,TRUE,"BHPL";"PRINT",#N/A,TRUE,"BHPL2";"PRINT",#N/A,TRUE,"CDWR";"PRINT",#N/A,TRUE,"EWEB";"PRINT",#N/A,TRUE,"LADWP";"PRINT",#N/A,TRUE,"NEVBASE"}</definedName>
    <definedName name="junk3" localSheetId="29" hidden="1">{"PRINT",#N/A,TRUE,"APPA";"PRINT",#N/A,TRUE,"APS";"PRINT",#N/A,TRUE,"BHPL";"PRINT",#N/A,TRUE,"BHPL2";"PRINT",#N/A,TRUE,"CDWR";"PRINT",#N/A,TRUE,"EWEB";"PRINT",#N/A,TRUE,"LADWP";"PRINT",#N/A,TRUE,"NEVBASE"}</definedName>
    <definedName name="junk3" localSheetId="28" hidden="1">{"PRINT",#N/A,TRUE,"APPA";"PRINT",#N/A,TRUE,"APS";"PRINT",#N/A,TRUE,"BHPL";"PRINT",#N/A,TRUE,"BHPL2";"PRINT",#N/A,TRUE,"CDWR";"PRINT",#N/A,TRUE,"EWEB";"PRINT",#N/A,TRUE,"LADWP";"PRINT",#N/A,TRUE,"NEVBASE"}</definedName>
    <definedName name="junk3" localSheetId="49" hidden="1">{"PRINT",#N/A,TRUE,"APPA";"PRINT",#N/A,TRUE,"APS";"PRINT",#N/A,TRUE,"BHPL";"PRINT",#N/A,TRUE,"BHPL2";"PRINT",#N/A,TRUE,"CDWR";"PRINT",#N/A,TRUE,"EWEB";"PRINT",#N/A,TRUE,"LADWP";"PRINT",#N/A,TRUE,"NEVBASE"}</definedName>
    <definedName name="junk3" localSheetId="23" hidden="1">{"PRINT",#N/A,TRUE,"APPA";"PRINT",#N/A,TRUE,"APS";"PRINT",#N/A,TRUE,"BHPL";"PRINT",#N/A,TRUE,"BHPL2";"PRINT",#N/A,TRUE,"CDWR";"PRINT",#N/A,TRUE,"EWEB";"PRINT",#N/A,TRUE,"LADWP";"PRINT",#N/A,TRUE,"NEVBASE"}</definedName>
    <definedName name="junk3" localSheetId="83" hidden="1">{"PRINT",#N/A,TRUE,"APPA";"PRINT",#N/A,TRUE,"APS";"PRINT",#N/A,TRUE,"BHPL";"PRINT",#N/A,TRUE,"BHPL2";"PRINT",#N/A,TRUE,"CDWR";"PRINT",#N/A,TRUE,"EWEB";"PRINT",#N/A,TRUE,"LADWP";"PRINT",#N/A,TRUE,"NEVBASE"}</definedName>
    <definedName name="junk3" localSheetId="27" hidden="1">{"PRINT",#N/A,TRUE,"APPA";"PRINT",#N/A,TRUE,"APS";"PRINT",#N/A,TRUE,"BHPL";"PRINT",#N/A,TRUE,"BHPL2";"PRINT",#N/A,TRUE,"CDWR";"PRINT",#N/A,TRUE,"EWEB";"PRINT",#N/A,TRUE,"LADWP";"PRINT",#N/A,TRUE,"NEVBASE"}</definedName>
    <definedName name="junk3" localSheetId="48" hidden="1">{"PRINT",#N/A,TRUE,"APPA";"PRINT",#N/A,TRUE,"APS";"PRINT",#N/A,TRUE,"BHPL";"PRINT",#N/A,TRUE,"BHPL2";"PRINT",#N/A,TRUE,"CDWR";"PRINT",#N/A,TRUE,"EWEB";"PRINT",#N/A,TRUE,"LADWP";"PRINT",#N/A,TRUE,"NEVBASE"}</definedName>
    <definedName name="junk3" hidden="1">{"PRINT",#N/A,TRUE,"APPA";"PRINT",#N/A,TRUE,"APS";"PRINT",#N/A,TRUE,"BHPL";"PRINT",#N/A,TRUE,"BHPL2";"PRINT",#N/A,TRUE,"CDWR";"PRINT",#N/A,TRUE,"EWEB";"PRINT",#N/A,TRUE,"LADWP";"PRINT",#N/A,TRUE,"NEVBASE"}</definedName>
    <definedName name="junk4" localSheetId="54" hidden="1">{"PRINT",#N/A,TRUE,"APPA";"PRINT",#N/A,TRUE,"APS";"PRINT",#N/A,TRUE,"BHPL";"PRINT",#N/A,TRUE,"BHPL2";"PRINT",#N/A,TRUE,"CDWR";"PRINT",#N/A,TRUE,"EWEB";"PRINT",#N/A,TRUE,"LADWP";"PRINT",#N/A,TRUE,"NEVBASE"}</definedName>
    <definedName name="junk4" localSheetId="53" hidden="1">{"PRINT",#N/A,TRUE,"APPA";"PRINT",#N/A,TRUE,"APS";"PRINT",#N/A,TRUE,"BHPL";"PRINT",#N/A,TRUE,"BHPL2";"PRINT",#N/A,TRUE,"CDWR";"PRINT",#N/A,TRUE,"EWEB";"PRINT",#N/A,TRUE,"LADWP";"PRINT",#N/A,TRUE,"NEVBASE"}</definedName>
    <definedName name="junk4" localSheetId="29" hidden="1">{"PRINT",#N/A,TRUE,"APPA";"PRINT",#N/A,TRUE,"APS";"PRINT",#N/A,TRUE,"BHPL";"PRINT",#N/A,TRUE,"BHPL2";"PRINT",#N/A,TRUE,"CDWR";"PRINT",#N/A,TRUE,"EWEB";"PRINT",#N/A,TRUE,"LADWP";"PRINT",#N/A,TRUE,"NEVBASE"}</definedName>
    <definedName name="junk4" localSheetId="28" hidden="1">{"PRINT",#N/A,TRUE,"APPA";"PRINT",#N/A,TRUE,"APS";"PRINT",#N/A,TRUE,"BHPL";"PRINT",#N/A,TRUE,"BHPL2";"PRINT",#N/A,TRUE,"CDWR";"PRINT",#N/A,TRUE,"EWEB";"PRINT",#N/A,TRUE,"LADWP";"PRINT",#N/A,TRUE,"NEVBASE"}</definedName>
    <definedName name="junk4" localSheetId="49" hidden="1">{"PRINT",#N/A,TRUE,"APPA";"PRINT",#N/A,TRUE,"APS";"PRINT",#N/A,TRUE,"BHPL";"PRINT",#N/A,TRUE,"BHPL2";"PRINT",#N/A,TRUE,"CDWR";"PRINT",#N/A,TRUE,"EWEB";"PRINT",#N/A,TRUE,"LADWP";"PRINT",#N/A,TRUE,"NEVBASE"}</definedName>
    <definedName name="junk4" localSheetId="23" hidden="1">{"PRINT",#N/A,TRUE,"APPA";"PRINT",#N/A,TRUE,"APS";"PRINT",#N/A,TRUE,"BHPL";"PRINT",#N/A,TRUE,"BHPL2";"PRINT",#N/A,TRUE,"CDWR";"PRINT",#N/A,TRUE,"EWEB";"PRINT",#N/A,TRUE,"LADWP";"PRINT",#N/A,TRUE,"NEVBASE"}</definedName>
    <definedName name="junk4" localSheetId="83" hidden="1">{"PRINT",#N/A,TRUE,"APPA";"PRINT",#N/A,TRUE,"APS";"PRINT",#N/A,TRUE,"BHPL";"PRINT",#N/A,TRUE,"BHPL2";"PRINT",#N/A,TRUE,"CDWR";"PRINT",#N/A,TRUE,"EWEB";"PRINT",#N/A,TRUE,"LADWP";"PRINT",#N/A,TRUE,"NEVBASE"}</definedName>
    <definedName name="junk4" localSheetId="27" hidden="1">{"PRINT",#N/A,TRUE,"APPA";"PRINT",#N/A,TRUE,"APS";"PRINT",#N/A,TRUE,"BHPL";"PRINT",#N/A,TRUE,"BHPL2";"PRINT",#N/A,TRUE,"CDWR";"PRINT",#N/A,TRUE,"EWEB";"PRINT",#N/A,TRUE,"LADWP";"PRINT",#N/A,TRUE,"NEVBASE"}</definedName>
    <definedName name="junk4" localSheetId="48" hidden="1">{"PRINT",#N/A,TRUE,"APPA";"PRINT",#N/A,TRUE,"APS";"PRINT",#N/A,TRUE,"BHPL";"PRINT",#N/A,TRUE,"BHPL2";"PRINT",#N/A,TRUE,"CDWR";"PRINT",#N/A,TRUE,"EWEB";"PRINT",#N/A,TRUE,"LADWP";"PRINT",#N/A,TRUE,"NEVBASE"}</definedName>
    <definedName name="junk4" hidden="1">{"PRINT",#N/A,TRUE,"APPA";"PRINT",#N/A,TRUE,"APS";"PRINT",#N/A,TRUE,"BHPL";"PRINT",#N/A,TRUE,"BHPL2";"PRINT",#N/A,TRUE,"CDWR";"PRINT",#N/A,TRUE,"EWEB";"PRINT",#N/A,TRUE,"LADWP";"PRINT",#N/A,TRUE,"NEVBASE"}</definedName>
    <definedName name="junk5" localSheetId="54" hidden="1">{"PRINT",#N/A,TRUE,"APPA";"PRINT",#N/A,TRUE,"APS";"PRINT",#N/A,TRUE,"BHPL";"PRINT",#N/A,TRUE,"BHPL2";"PRINT",#N/A,TRUE,"CDWR";"PRINT",#N/A,TRUE,"EWEB";"PRINT",#N/A,TRUE,"LADWP";"PRINT",#N/A,TRUE,"NEVBASE"}</definedName>
    <definedName name="junk5" localSheetId="53" hidden="1">{"PRINT",#N/A,TRUE,"APPA";"PRINT",#N/A,TRUE,"APS";"PRINT",#N/A,TRUE,"BHPL";"PRINT",#N/A,TRUE,"BHPL2";"PRINT",#N/A,TRUE,"CDWR";"PRINT",#N/A,TRUE,"EWEB";"PRINT",#N/A,TRUE,"LADWP";"PRINT",#N/A,TRUE,"NEVBASE"}</definedName>
    <definedName name="junk5" localSheetId="29" hidden="1">{"PRINT",#N/A,TRUE,"APPA";"PRINT",#N/A,TRUE,"APS";"PRINT",#N/A,TRUE,"BHPL";"PRINT",#N/A,TRUE,"BHPL2";"PRINT",#N/A,TRUE,"CDWR";"PRINT",#N/A,TRUE,"EWEB";"PRINT",#N/A,TRUE,"LADWP";"PRINT",#N/A,TRUE,"NEVBASE"}</definedName>
    <definedName name="junk5" localSheetId="28" hidden="1">{"PRINT",#N/A,TRUE,"APPA";"PRINT",#N/A,TRUE,"APS";"PRINT",#N/A,TRUE,"BHPL";"PRINT",#N/A,TRUE,"BHPL2";"PRINT",#N/A,TRUE,"CDWR";"PRINT",#N/A,TRUE,"EWEB";"PRINT",#N/A,TRUE,"LADWP";"PRINT",#N/A,TRUE,"NEVBASE"}</definedName>
    <definedName name="junk5" localSheetId="49" hidden="1">{"PRINT",#N/A,TRUE,"APPA";"PRINT",#N/A,TRUE,"APS";"PRINT",#N/A,TRUE,"BHPL";"PRINT",#N/A,TRUE,"BHPL2";"PRINT",#N/A,TRUE,"CDWR";"PRINT",#N/A,TRUE,"EWEB";"PRINT",#N/A,TRUE,"LADWP";"PRINT",#N/A,TRUE,"NEVBASE"}</definedName>
    <definedName name="junk5" localSheetId="23" hidden="1">{"PRINT",#N/A,TRUE,"APPA";"PRINT",#N/A,TRUE,"APS";"PRINT",#N/A,TRUE,"BHPL";"PRINT",#N/A,TRUE,"BHPL2";"PRINT",#N/A,TRUE,"CDWR";"PRINT",#N/A,TRUE,"EWEB";"PRINT",#N/A,TRUE,"LADWP";"PRINT",#N/A,TRUE,"NEVBASE"}</definedName>
    <definedName name="junk5" localSheetId="83" hidden="1">{"PRINT",#N/A,TRUE,"APPA";"PRINT",#N/A,TRUE,"APS";"PRINT",#N/A,TRUE,"BHPL";"PRINT",#N/A,TRUE,"BHPL2";"PRINT",#N/A,TRUE,"CDWR";"PRINT",#N/A,TRUE,"EWEB";"PRINT",#N/A,TRUE,"LADWP";"PRINT",#N/A,TRUE,"NEVBASE"}</definedName>
    <definedName name="junk5" localSheetId="27" hidden="1">{"PRINT",#N/A,TRUE,"APPA";"PRINT",#N/A,TRUE,"APS";"PRINT",#N/A,TRUE,"BHPL";"PRINT",#N/A,TRUE,"BHPL2";"PRINT",#N/A,TRUE,"CDWR";"PRINT",#N/A,TRUE,"EWEB";"PRINT",#N/A,TRUE,"LADWP";"PRINT",#N/A,TRUE,"NEVBASE"}</definedName>
    <definedName name="junk5" localSheetId="48" hidden="1">{"PRINT",#N/A,TRUE,"APPA";"PRINT",#N/A,TRUE,"APS";"PRINT",#N/A,TRUE,"BHPL";"PRINT",#N/A,TRUE,"BHPL2";"PRINT",#N/A,TRUE,"CDWR";"PRINT",#N/A,TRUE,"EWEB";"PRINT",#N/A,TRUE,"LADWP";"PRINT",#N/A,TRUE,"NEVBASE"}</definedName>
    <definedName name="junk5" hidden="1">{"PRINT",#N/A,TRUE,"APPA";"PRINT",#N/A,TRUE,"APS";"PRINT",#N/A,TRUE,"BHPL";"PRINT",#N/A,TRUE,"BHPL2";"PRINT",#N/A,TRUE,"CDWR";"PRINT",#N/A,TRUE,"EWEB";"PRINT",#N/A,TRUE,"LADWP";"PRINT",#N/A,TRUE,"NEVBASE"}</definedName>
    <definedName name="Keep" localSheetId="54" hidden="1">{"PRINT",#N/A,TRUE,"APPA";"PRINT",#N/A,TRUE,"APS";"PRINT",#N/A,TRUE,"BHPL";"PRINT",#N/A,TRUE,"BHPL2";"PRINT",#N/A,TRUE,"CDWR";"PRINT",#N/A,TRUE,"EWEB";"PRINT",#N/A,TRUE,"LADWP";"PRINT",#N/A,TRUE,"NEVBASE"}</definedName>
    <definedName name="Keep" localSheetId="53" hidden="1">{"PRINT",#N/A,TRUE,"APPA";"PRINT",#N/A,TRUE,"APS";"PRINT",#N/A,TRUE,"BHPL";"PRINT",#N/A,TRUE,"BHPL2";"PRINT",#N/A,TRUE,"CDWR";"PRINT",#N/A,TRUE,"EWEB";"PRINT",#N/A,TRUE,"LADWP";"PRINT",#N/A,TRUE,"NEVBASE"}</definedName>
    <definedName name="Keep" localSheetId="29" hidden="1">{"PRINT",#N/A,TRUE,"APPA";"PRINT",#N/A,TRUE,"APS";"PRINT",#N/A,TRUE,"BHPL";"PRINT",#N/A,TRUE,"BHPL2";"PRINT",#N/A,TRUE,"CDWR";"PRINT",#N/A,TRUE,"EWEB";"PRINT",#N/A,TRUE,"LADWP";"PRINT",#N/A,TRUE,"NEVBASE"}</definedName>
    <definedName name="Keep" localSheetId="28" hidden="1">{"PRINT",#N/A,TRUE,"APPA";"PRINT",#N/A,TRUE,"APS";"PRINT",#N/A,TRUE,"BHPL";"PRINT",#N/A,TRUE,"BHPL2";"PRINT",#N/A,TRUE,"CDWR";"PRINT",#N/A,TRUE,"EWEB";"PRINT",#N/A,TRUE,"LADWP";"PRINT",#N/A,TRUE,"NEVBASE"}</definedName>
    <definedName name="Keep" localSheetId="49" hidden="1">{"PRINT",#N/A,TRUE,"APPA";"PRINT",#N/A,TRUE,"APS";"PRINT",#N/A,TRUE,"BHPL";"PRINT",#N/A,TRUE,"BHPL2";"PRINT",#N/A,TRUE,"CDWR";"PRINT",#N/A,TRUE,"EWEB";"PRINT",#N/A,TRUE,"LADWP";"PRINT",#N/A,TRUE,"NEVBASE"}</definedName>
    <definedName name="Keep" localSheetId="23" hidden="1">{"PRINT",#N/A,TRUE,"APPA";"PRINT",#N/A,TRUE,"APS";"PRINT",#N/A,TRUE,"BHPL";"PRINT",#N/A,TRUE,"BHPL2";"PRINT",#N/A,TRUE,"CDWR";"PRINT",#N/A,TRUE,"EWEB";"PRINT",#N/A,TRUE,"LADWP";"PRINT",#N/A,TRUE,"NEVBASE"}</definedName>
    <definedName name="Keep" localSheetId="83" hidden="1">{"PRINT",#N/A,TRUE,"APPA";"PRINT",#N/A,TRUE,"APS";"PRINT",#N/A,TRUE,"BHPL";"PRINT",#N/A,TRUE,"BHPL2";"PRINT",#N/A,TRUE,"CDWR";"PRINT",#N/A,TRUE,"EWEB";"PRINT",#N/A,TRUE,"LADWP";"PRINT",#N/A,TRUE,"NEVBASE"}</definedName>
    <definedName name="Keep" localSheetId="27" hidden="1">{"PRINT",#N/A,TRUE,"APPA";"PRINT",#N/A,TRUE,"APS";"PRINT",#N/A,TRUE,"BHPL";"PRINT",#N/A,TRUE,"BHPL2";"PRINT",#N/A,TRUE,"CDWR";"PRINT",#N/A,TRUE,"EWEB";"PRINT",#N/A,TRUE,"LADWP";"PRINT",#N/A,TRUE,"NEVBASE"}</definedName>
    <definedName name="Keep" localSheetId="48" hidden="1">{"PRINT",#N/A,TRUE,"APPA";"PRINT",#N/A,TRUE,"APS";"PRINT",#N/A,TRUE,"BHPL";"PRINT",#N/A,TRUE,"BHPL2";"PRINT",#N/A,TRUE,"CDWR";"PRINT",#N/A,TRUE,"EWEB";"PRINT",#N/A,TRUE,"LADWP";"PRINT",#N/A,TRUE,"NEVBASE"}</definedName>
    <definedName name="Keep" hidden="1">{"PRINT",#N/A,TRUE,"APPA";"PRINT",#N/A,TRUE,"APS";"PRINT",#N/A,TRUE,"BHPL";"PRINT",#N/A,TRUE,"BHPL2";"PRINT",#N/A,TRUE,"CDWR";"PRINT",#N/A,TRUE,"EWEB";"PRINT",#N/A,TRUE,"LADWP";"PRINT",#N/A,TRUE,"NEVBASE"}</definedName>
    <definedName name="keep2" localSheetId="54" hidden="1">{"PRINT",#N/A,TRUE,"APPA";"PRINT",#N/A,TRUE,"APS";"PRINT",#N/A,TRUE,"BHPL";"PRINT",#N/A,TRUE,"BHPL2";"PRINT",#N/A,TRUE,"CDWR";"PRINT",#N/A,TRUE,"EWEB";"PRINT",#N/A,TRUE,"LADWP";"PRINT",#N/A,TRUE,"NEVBASE"}</definedName>
    <definedName name="keep2" localSheetId="53" hidden="1">{"PRINT",#N/A,TRUE,"APPA";"PRINT",#N/A,TRUE,"APS";"PRINT",#N/A,TRUE,"BHPL";"PRINT",#N/A,TRUE,"BHPL2";"PRINT",#N/A,TRUE,"CDWR";"PRINT",#N/A,TRUE,"EWEB";"PRINT",#N/A,TRUE,"LADWP";"PRINT",#N/A,TRUE,"NEVBASE"}</definedName>
    <definedName name="keep2" localSheetId="29" hidden="1">{"PRINT",#N/A,TRUE,"APPA";"PRINT",#N/A,TRUE,"APS";"PRINT",#N/A,TRUE,"BHPL";"PRINT",#N/A,TRUE,"BHPL2";"PRINT",#N/A,TRUE,"CDWR";"PRINT",#N/A,TRUE,"EWEB";"PRINT",#N/A,TRUE,"LADWP";"PRINT",#N/A,TRUE,"NEVBASE"}</definedName>
    <definedName name="keep2" localSheetId="28" hidden="1">{"PRINT",#N/A,TRUE,"APPA";"PRINT",#N/A,TRUE,"APS";"PRINT",#N/A,TRUE,"BHPL";"PRINT",#N/A,TRUE,"BHPL2";"PRINT",#N/A,TRUE,"CDWR";"PRINT",#N/A,TRUE,"EWEB";"PRINT",#N/A,TRUE,"LADWP";"PRINT",#N/A,TRUE,"NEVBASE"}</definedName>
    <definedName name="keep2" localSheetId="49" hidden="1">{"PRINT",#N/A,TRUE,"APPA";"PRINT",#N/A,TRUE,"APS";"PRINT",#N/A,TRUE,"BHPL";"PRINT",#N/A,TRUE,"BHPL2";"PRINT",#N/A,TRUE,"CDWR";"PRINT",#N/A,TRUE,"EWEB";"PRINT",#N/A,TRUE,"LADWP";"PRINT",#N/A,TRUE,"NEVBASE"}</definedName>
    <definedName name="keep2" localSheetId="23" hidden="1">{"PRINT",#N/A,TRUE,"APPA";"PRINT",#N/A,TRUE,"APS";"PRINT",#N/A,TRUE,"BHPL";"PRINT",#N/A,TRUE,"BHPL2";"PRINT",#N/A,TRUE,"CDWR";"PRINT",#N/A,TRUE,"EWEB";"PRINT",#N/A,TRUE,"LADWP";"PRINT",#N/A,TRUE,"NEVBASE"}</definedName>
    <definedName name="keep2" localSheetId="83" hidden="1">{"PRINT",#N/A,TRUE,"APPA";"PRINT",#N/A,TRUE,"APS";"PRINT",#N/A,TRUE,"BHPL";"PRINT",#N/A,TRUE,"BHPL2";"PRINT",#N/A,TRUE,"CDWR";"PRINT",#N/A,TRUE,"EWEB";"PRINT",#N/A,TRUE,"LADWP";"PRINT",#N/A,TRUE,"NEVBASE"}</definedName>
    <definedName name="keep2" localSheetId="27" hidden="1">{"PRINT",#N/A,TRUE,"APPA";"PRINT",#N/A,TRUE,"APS";"PRINT",#N/A,TRUE,"BHPL";"PRINT",#N/A,TRUE,"BHPL2";"PRINT",#N/A,TRUE,"CDWR";"PRINT",#N/A,TRUE,"EWEB";"PRINT",#N/A,TRUE,"LADWP";"PRINT",#N/A,TRUE,"NEVBASE"}</definedName>
    <definedName name="keep2" localSheetId="48" hidden="1">{"PRINT",#N/A,TRUE,"APPA";"PRINT",#N/A,TRUE,"APS";"PRINT",#N/A,TRUE,"BHPL";"PRINT",#N/A,TRUE,"BHPL2";"PRINT",#N/A,TRUE,"CDWR";"PRINT",#N/A,TRUE,"EWEB";"PRINT",#N/A,TRUE,"LADWP";"PRINT",#N/A,TRUE,"NEVBASE"}</definedName>
    <definedName name="keep2" hidden="1">{"PRINT",#N/A,TRUE,"APPA";"PRINT",#N/A,TRUE,"APS";"PRINT",#N/A,TRUE,"BHPL";"PRINT",#N/A,TRUE,"BHPL2";"PRINT",#N/A,TRUE,"CDWR";"PRINT",#N/A,TRUE,"EWEB";"PRINT",#N/A,TRUE,"LADWP";"PRINT",#N/A,TRUE,"NEVBASE"}</definedName>
    <definedName name="limcount" hidden="1">1</definedName>
    <definedName name="ListOffset" hidden="1">1</definedName>
    <definedName name="Master" localSheetId="54" hidden="1">{#N/A,#N/A,FALSE,"Actual";#N/A,#N/A,FALSE,"Normalized";#N/A,#N/A,FALSE,"Electric Actual";#N/A,#N/A,FALSE,"Electric Normalized"}</definedName>
    <definedName name="Master" localSheetId="53" hidden="1">{#N/A,#N/A,FALSE,"Actual";#N/A,#N/A,FALSE,"Normalized";#N/A,#N/A,FALSE,"Electric Actual";#N/A,#N/A,FALSE,"Electric Normalized"}</definedName>
    <definedName name="Master" localSheetId="29" hidden="1">{#N/A,#N/A,FALSE,"Actual";#N/A,#N/A,FALSE,"Normalized";#N/A,#N/A,FALSE,"Electric Actual";#N/A,#N/A,FALSE,"Electric Normalized"}</definedName>
    <definedName name="Master" localSheetId="28" hidden="1">{#N/A,#N/A,FALSE,"Actual";#N/A,#N/A,FALSE,"Normalized";#N/A,#N/A,FALSE,"Electric Actual";#N/A,#N/A,FALSE,"Electric Normalized"}</definedName>
    <definedName name="Master" localSheetId="49" hidden="1">{#N/A,#N/A,FALSE,"Actual";#N/A,#N/A,FALSE,"Normalized";#N/A,#N/A,FALSE,"Electric Actual";#N/A,#N/A,FALSE,"Electric Normalized"}</definedName>
    <definedName name="Master" localSheetId="23" hidden="1">{#N/A,#N/A,FALSE,"Actual";#N/A,#N/A,FALSE,"Normalized";#N/A,#N/A,FALSE,"Electric Actual";#N/A,#N/A,FALSE,"Electric Normalized"}</definedName>
    <definedName name="Master" localSheetId="83" hidden="1">{#N/A,#N/A,FALSE,"Actual";#N/A,#N/A,FALSE,"Normalized";#N/A,#N/A,FALSE,"Electric Actual";#N/A,#N/A,FALSE,"Electric Normalized"}</definedName>
    <definedName name="Master" localSheetId="27" hidden="1">{#N/A,#N/A,FALSE,"Actual";#N/A,#N/A,FALSE,"Normalized";#N/A,#N/A,FALSE,"Electric Actual";#N/A,#N/A,FALSE,"Electric Normalized"}</definedName>
    <definedName name="Master" localSheetId="48" hidden="1">{#N/A,#N/A,FALSE,"Actual";#N/A,#N/A,FALSE,"Normalized";#N/A,#N/A,FALSE,"Electric Actual";#N/A,#N/A,FALSE,"Electric Normalized"}</definedName>
    <definedName name="Master" hidden="1">{#N/A,#N/A,FALSE,"Actual";#N/A,#N/A,FALSE,"Normalized";#N/A,#N/A,FALSE,"Electric Actual";#N/A,#N/A,FALSE,"Electric Normalized"}</definedName>
    <definedName name="MD" localSheetId="30">High_MD:Low_MD</definedName>
    <definedName name="MD" localSheetId="31">High_MD:Low_MD</definedName>
    <definedName name="MD" localSheetId="32">High_MD:Low_MD</definedName>
    <definedName name="MD" localSheetId="33">High_MD:Low_MD</definedName>
    <definedName name="MD" localSheetId="34">High_MD:Low_MD</definedName>
    <definedName name="mmm" localSheetId="54" hidden="1">{"PRINT",#N/A,TRUE,"APPA";"PRINT",#N/A,TRUE,"APS";"PRINT",#N/A,TRUE,"BHPL";"PRINT",#N/A,TRUE,"BHPL2";"PRINT",#N/A,TRUE,"CDWR";"PRINT",#N/A,TRUE,"EWEB";"PRINT",#N/A,TRUE,"LADWP";"PRINT",#N/A,TRUE,"NEVBASE"}</definedName>
    <definedName name="mmm" localSheetId="53" hidden="1">{"PRINT",#N/A,TRUE,"APPA";"PRINT",#N/A,TRUE,"APS";"PRINT",#N/A,TRUE,"BHPL";"PRINT",#N/A,TRUE,"BHPL2";"PRINT",#N/A,TRUE,"CDWR";"PRINT",#N/A,TRUE,"EWEB";"PRINT",#N/A,TRUE,"LADWP";"PRINT",#N/A,TRUE,"NEVBASE"}</definedName>
    <definedName name="mmm" localSheetId="29" hidden="1">{"PRINT",#N/A,TRUE,"APPA";"PRINT",#N/A,TRUE,"APS";"PRINT",#N/A,TRUE,"BHPL";"PRINT",#N/A,TRUE,"BHPL2";"PRINT",#N/A,TRUE,"CDWR";"PRINT",#N/A,TRUE,"EWEB";"PRINT",#N/A,TRUE,"LADWP";"PRINT",#N/A,TRUE,"NEVBASE"}</definedName>
    <definedName name="mmm" localSheetId="28" hidden="1">{"PRINT",#N/A,TRUE,"APPA";"PRINT",#N/A,TRUE,"APS";"PRINT",#N/A,TRUE,"BHPL";"PRINT",#N/A,TRUE,"BHPL2";"PRINT",#N/A,TRUE,"CDWR";"PRINT",#N/A,TRUE,"EWEB";"PRINT",#N/A,TRUE,"LADWP";"PRINT",#N/A,TRUE,"NEVBASE"}</definedName>
    <definedName name="mmm" localSheetId="49" hidden="1">{"PRINT",#N/A,TRUE,"APPA";"PRINT",#N/A,TRUE,"APS";"PRINT",#N/A,TRUE,"BHPL";"PRINT",#N/A,TRUE,"BHPL2";"PRINT",#N/A,TRUE,"CDWR";"PRINT",#N/A,TRUE,"EWEB";"PRINT",#N/A,TRUE,"LADWP";"PRINT",#N/A,TRUE,"NEVBASE"}</definedName>
    <definedName name="mmm" localSheetId="23" hidden="1">{"PRINT",#N/A,TRUE,"APPA";"PRINT",#N/A,TRUE,"APS";"PRINT",#N/A,TRUE,"BHPL";"PRINT",#N/A,TRUE,"BHPL2";"PRINT",#N/A,TRUE,"CDWR";"PRINT",#N/A,TRUE,"EWEB";"PRINT",#N/A,TRUE,"LADWP";"PRINT",#N/A,TRUE,"NEVBASE"}</definedName>
    <definedName name="mmm" localSheetId="83" hidden="1">{"PRINT",#N/A,TRUE,"APPA";"PRINT",#N/A,TRUE,"APS";"PRINT",#N/A,TRUE,"BHPL";"PRINT",#N/A,TRUE,"BHPL2";"PRINT",#N/A,TRUE,"CDWR";"PRINT",#N/A,TRUE,"EWEB";"PRINT",#N/A,TRUE,"LADWP";"PRINT",#N/A,TRUE,"NEVBASE"}</definedName>
    <definedName name="mmm" localSheetId="27" hidden="1">{"PRINT",#N/A,TRUE,"APPA";"PRINT",#N/A,TRUE,"APS";"PRINT",#N/A,TRUE,"BHPL";"PRINT",#N/A,TRUE,"BHPL2";"PRINT",#N/A,TRUE,"CDWR";"PRINT",#N/A,TRUE,"EWEB";"PRINT",#N/A,TRUE,"LADWP";"PRINT",#N/A,TRUE,"NEVBASE"}</definedName>
    <definedName name="mmm" localSheetId="48" hidden="1">{"PRINT",#N/A,TRUE,"APPA";"PRINT",#N/A,TRUE,"APS";"PRINT",#N/A,TRUE,"BHPL";"PRINT",#N/A,TRUE,"BHPL2";"PRINT",#N/A,TRUE,"CDWR";"PRINT",#N/A,TRUE,"EWEB";"PRINT",#N/A,TRUE,"LADWP";"PRINT",#N/A,TRUE,"NEVBASE"}</definedName>
    <definedName name="mmm" hidden="1">{"PRINT",#N/A,TRUE,"APPA";"PRINT",#N/A,TRUE,"APS";"PRINT",#N/A,TRUE,"BHPL";"PRINT",#N/A,TRUE,"BHPL2";"PRINT",#N/A,TRUE,"CDWR";"PRINT",#N/A,TRUE,"EWEB";"PRINT",#N/A,TRUE,"LADWP";"PRINT",#N/A,TRUE,"NEVBASE"}</definedName>
    <definedName name="OHSch10YR" localSheetId="54" hidden="1">{#N/A,#N/A,FALSE,"Summary";#N/A,#N/A,FALSE,"SmPlants";#N/A,#N/A,FALSE,"Utah";#N/A,#N/A,FALSE,"Idaho";#N/A,#N/A,FALSE,"Lewis River";#N/A,#N/A,FALSE,"NrthUmpq";#N/A,#N/A,FALSE,"KlamRog"}</definedName>
    <definedName name="OHSch10YR" localSheetId="53" hidden="1">{#N/A,#N/A,FALSE,"Summary";#N/A,#N/A,FALSE,"SmPlants";#N/A,#N/A,FALSE,"Utah";#N/A,#N/A,FALSE,"Idaho";#N/A,#N/A,FALSE,"Lewis River";#N/A,#N/A,FALSE,"NrthUmpq";#N/A,#N/A,FALSE,"KlamRog"}</definedName>
    <definedName name="OHSch10YR" localSheetId="29" hidden="1">{#N/A,#N/A,FALSE,"Summary";#N/A,#N/A,FALSE,"SmPlants";#N/A,#N/A,FALSE,"Utah";#N/A,#N/A,FALSE,"Idaho";#N/A,#N/A,FALSE,"Lewis River";#N/A,#N/A,FALSE,"NrthUmpq";#N/A,#N/A,FALSE,"KlamRog"}</definedName>
    <definedName name="OHSch10YR" localSheetId="28" hidden="1">{#N/A,#N/A,FALSE,"Summary";#N/A,#N/A,FALSE,"SmPlants";#N/A,#N/A,FALSE,"Utah";#N/A,#N/A,FALSE,"Idaho";#N/A,#N/A,FALSE,"Lewis River";#N/A,#N/A,FALSE,"NrthUmpq";#N/A,#N/A,FALSE,"KlamRog"}</definedName>
    <definedName name="OHSch10YR" localSheetId="49" hidden="1">{#N/A,#N/A,FALSE,"Summary";#N/A,#N/A,FALSE,"SmPlants";#N/A,#N/A,FALSE,"Utah";#N/A,#N/A,FALSE,"Idaho";#N/A,#N/A,FALSE,"Lewis River";#N/A,#N/A,FALSE,"NrthUmpq";#N/A,#N/A,FALSE,"KlamRog"}</definedName>
    <definedName name="OHSch10YR" localSheetId="23" hidden="1">{#N/A,#N/A,FALSE,"Summary";#N/A,#N/A,FALSE,"SmPlants";#N/A,#N/A,FALSE,"Utah";#N/A,#N/A,FALSE,"Idaho";#N/A,#N/A,FALSE,"Lewis River";#N/A,#N/A,FALSE,"NrthUmpq";#N/A,#N/A,FALSE,"KlamRog"}</definedName>
    <definedName name="OHSch10YR" localSheetId="83" hidden="1">{#N/A,#N/A,FALSE,"Summary";#N/A,#N/A,FALSE,"SmPlants";#N/A,#N/A,FALSE,"Utah";#N/A,#N/A,FALSE,"Idaho";#N/A,#N/A,FALSE,"Lewis River";#N/A,#N/A,FALSE,"NrthUmpq";#N/A,#N/A,FALSE,"KlamRog"}</definedName>
    <definedName name="OHSch10YR" localSheetId="27" hidden="1">{#N/A,#N/A,FALSE,"Summary";#N/A,#N/A,FALSE,"SmPlants";#N/A,#N/A,FALSE,"Utah";#N/A,#N/A,FALSE,"Idaho";#N/A,#N/A,FALSE,"Lewis River";#N/A,#N/A,FALSE,"NrthUmpq";#N/A,#N/A,FALSE,"KlamRog"}</definedName>
    <definedName name="OHSch10YR" localSheetId="48" hidden="1">{#N/A,#N/A,FALSE,"Summary";#N/A,#N/A,FALSE,"SmPlants";#N/A,#N/A,FALSE,"Utah";#N/A,#N/A,FALSE,"Idaho";#N/A,#N/A,FALSE,"Lewis River";#N/A,#N/A,FALSE,"NrthUmpq";#N/A,#N/A,FALSE,"KlamRog"}</definedName>
    <definedName name="OHSch10YR" hidden="1">{#N/A,#N/A,FALSE,"Summary";#N/A,#N/A,FALSE,"SmPlants";#N/A,#N/A,FALSE,"Utah";#N/A,#N/A,FALSE,"Idaho";#N/A,#N/A,FALSE,"Lewis River";#N/A,#N/A,FALSE,"NrthUmpq";#N/A,#N/A,FALSE,"KlamRog"}</definedName>
    <definedName name="om" localSheetId="54" hidden="1">{#N/A,#N/A,FALSE,"Summary";#N/A,#N/A,FALSE,"SmPlants";#N/A,#N/A,FALSE,"Utah";#N/A,#N/A,FALSE,"Idaho";#N/A,#N/A,FALSE,"Lewis River";#N/A,#N/A,FALSE,"NrthUmpq";#N/A,#N/A,FALSE,"KlamRog"}</definedName>
    <definedName name="om" localSheetId="53" hidden="1">{#N/A,#N/A,FALSE,"Summary";#N/A,#N/A,FALSE,"SmPlants";#N/A,#N/A,FALSE,"Utah";#N/A,#N/A,FALSE,"Idaho";#N/A,#N/A,FALSE,"Lewis River";#N/A,#N/A,FALSE,"NrthUmpq";#N/A,#N/A,FALSE,"KlamRog"}</definedName>
    <definedName name="om" localSheetId="29" hidden="1">{#N/A,#N/A,FALSE,"Summary";#N/A,#N/A,FALSE,"SmPlants";#N/A,#N/A,FALSE,"Utah";#N/A,#N/A,FALSE,"Idaho";#N/A,#N/A,FALSE,"Lewis River";#N/A,#N/A,FALSE,"NrthUmpq";#N/A,#N/A,FALSE,"KlamRog"}</definedName>
    <definedName name="om" localSheetId="28" hidden="1">{#N/A,#N/A,FALSE,"Summary";#N/A,#N/A,FALSE,"SmPlants";#N/A,#N/A,FALSE,"Utah";#N/A,#N/A,FALSE,"Idaho";#N/A,#N/A,FALSE,"Lewis River";#N/A,#N/A,FALSE,"NrthUmpq";#N/A,#N/A,FALSE,"KlamRog"}</definedName>
    <definedName name="om" localSheetId="49" hidden="1">{#N/A,#N/A,FALSE,"Summary";#N/A,#N/A,FALSE,"SmPlants";#N/A,#N/A,FALSE,"Utah";#N/A,#N/A,FALSE,"Idaho";#N/A,#N/A,FALSE,"Lewis River";#N/A,#N/A,FALSE,"NrthUmpq";#N/A,#N/A,FALSE,"KlamRog"}</definedName>
    <definedName name="om" localSheetId="23" hidden="1">{#N/A,#N/A,FALSE,"Summary";#N/A,#N/A,FALSE,"SmPlants";#N/A,#N/A,FALSE,"Utah";#N/A,#N/A,FALSE,"Idaho";#N/A,#N/A,FALSE,"Lewis River";#N/A,#N/A,FALSE,"NrthUmpq";#N/A,#N/A,FALSE,"KlamRog"}</definedName>
    <definedName name="om" localSheetId="83" hidden="1">{#N/A,#N/A,FALSE,"Summary";#N/A,#N/A,FALSE,"SmPlants";#N/A,#N/A,FALSE,"Utah";#N/A,#N/A,FALSE,"Idaho";#N/A,#N/A,FALSE,"Lewis River";#N/A,#N/A,FALSE,"NrthUmpq";#N/A,#N/A,FALSE,"KlamRog"}</definedName>
    <definedName name="om" localSheetId="27" hidden="1">{#N/A,#N/A,FALSE,"Summary";#N/A,#N/A,FALSE,"SmPlants";#N/A,#N/A,FALSE,"Utah";#N/A,#N/A,FALSE,"Idaho";#N/A,#N/A,FALSE,"Lewis River";#N/A,#N/A,FALSE,"NrthUmpq";#N/A,#N/A,FALSE,"KlamRog"}</definedName>
    <definedName name="om" localSheetId="48" hidden="1">{#N/A,#N/A,FALSE,"Summary";#N/A,#N/A,FALSE,"SmPlants";#N/A,#N/A,FALSE,"Utah";#N/A,#N/A,FALSE,"Idaho";#N/A,#N/A,FALSE,"Lewis River";#N/A,#N/A,FALSE,"NrthUmpq";#N/A,#N/A,FALSE,"KlamRog"}</definedName>
    <definedName name="om" hidden="1">{#N/A,#N/A,FALSE,"Summary";#N/A,#N/A,FALSE,"SmPlants";#N/A,#N/A,FALSE,"Utah";#N/A,#N/A,FALSE,"Idaho";#N/A,#N/A,FALSE,"Lewis River";#N/A,#N/A,FALSE,"NrthUmpq";#N/A,#N/A,FALSE,"KlamRog"}</definedName>
    <definedName name="others" localSheetId="54" hidden="1">{"Factors Pages 1-2",#N/A,FALSE,"Factors";"Factors Page 3",#N/A,FALSE,"Factors";"Factors Page 4",#N/A,FALSE,"Factors";"Factors Page 5",#N/A,FALSE,"Factors";"Factors Pages 8-27",#N/A,FALSE,"Factors"}</definedName>
    <definedName name="others" localSheetId="53" hidden="1">{"Factors Pages 1-2",#N/A,FALSE,"Factors";"Factors Page 3",#N/A,FALSE,"Factors";"Factors Page 4",#N/A,FALSE,"Factors";"Factors Page 5",#N/A,FALSE,"Factors";"Factors Pages 8-27",#N/A,FALSE,"Factors"}</definedName>
    <definedName name="others" localSheetId="29" hidden="1">{"Factors Pages 1-2",#N/A,FALSE,"Factors";"Factors Page 3",#N/A,FALSE,"Factors";"Factors Page 4",#N/A,FALSE,"Factors";"Factors Page 5",#N/A,FALSE,"Factors";"Factors Pages 8-27",#N/A,FALSE,"Factors"}</definedName>
    <definedName name="others" localSheetId="28" hidden="1">{"Factors Pages 1-2",#N/A,FALSE,"Factors";"Factors Page 3",#N/A,FALSE,"Factors";"Factors Page 4",#N/A,FALSE,"Factors";"Factors Page 5",#N/A,FALSE,"Factors";"Factors Pages 8-27",#N/A,FALSE,"Factors"}</definedName>
    <definedName name="others" localSheetId="49" hidden="1">{"Factors Pages 1-2",#N/A,FALSE,"Factors";"Factors Page 3",#N/A,FALSE,"Factors";"Factors Page 4",#N/A,FALSE,"Factors";"Factors Page 5",#N/A,FALSE,"Factors";"Factors Pages 8-27",#N/A,FALSE,"Factors"}</definedName>
    <definedName name="others" localSheetId="23" hidden="1">{"Factors Pages 1-2",#N/A,FALSE,"Factors";"Factors Page 3",#N/A,FALSE,"Factors";"Factors Page 4",#N/A,FALSE,"Factors";"Factors Page 5",#N/A,FALSE,"Factors";"Factors Pages 8-27",#N/A,FALSE,"Factors"}</definedName>
    <definedName name="others" localSheetId="83" hidden="1">{"Factors Pages 1-2",#N/A,FALSE,"Factors";"Factors Page 3",#N/A,FALSE,"Factors";"Factors Page 4",#N/A,FALSE,"Factors";"Factors Page 5",#N/A,FALSE,"Factors";"Factors Pages 8-27",#N/A,FALSE,"Factors"}</definedName>
    <definedName name="others" localSheetId="27" hidden="1">{"Factors Pages 1-2",#N/A,FALSE,"Factors";"Factors Page 3",#N/A,FALSE,"Factors";"Factors Page 4",#N/A,FALSE,"Factors";"Factors Page 5",#N/A,FALSE,"Factors";"Factors Pages 8-27",#N/A,FALSE,"Factors"}</definedName>
    <definedName name="others" localSheetId="48" hidden="1">{"Factors Pages 1-2",#N/A,FALSE,"Factors";"Factors Page 3",#N/A,FALSE,"Factors";"Factors Page 4",#N/A,FALSE,"Factors";"Factors Page 5",#N/A,FALSE,"Factors";"Factors Pages 8-27",#N/A,FALSE,"Factors"}</definedName>
    <definedName name="others" hidden="1">{"Factors Pages 1-2",#N/A,FALSE,"Factors";"Factors Page 3",#N/A,FALSE,"Factors";"Factors Page 4",#N/A,FALSE,"Factors";"Factors Page 5",#N/A,FALSE,"Factors";"Factors Pages 8-27",#N/A,FALSE,"Factors"}</definedName>
    <definedName name="pete" localSheetId="54" hidden="1">{#N/A,#N/A,FALSE,"Bgt";#N/A,#N/A,FALSE,"Act";#N/A,#N/A,FALSE,"Chrt Data";#N/A,#N/A,FALSE,"Bus Result";#N/A,#N/A,FALSE,"Main Charts";#N/A,#N/A,FALSE,"P&amp;L Ttl";#N/A,#N/A,FALSE,"P&amp;L C_Ttl";#N/A,#N/A,FALSE,"P&amp;L C_Oct";#N/A,#N/A,FALSE,"P&amp;L C_Sep";#N/A,#N/A,FALSE,"1996";#N/A,#N/A,FALSE,"Data"}</definedName>
    <definedName name="pete" localSheetId="53" hidden="1">{#N/A,#N/A,FALSE,"Bgt";#N/A,#N/A,FALSE,"Act";#N/A,#N/A,FALSE,"Chrt Data";#N/A,#N/A,FALSE,"Bus Result";#N/A,#N/A,FALSE,"Main Charts";#N/A,#N/A,FALSE,"P&amp;L Ttl";#N/A,#N/A,FALSE,"P&amp;L C_Ttl";#N/A,#N/A,FALSE,"P&amp;L C_Oct";#N/A,#N/A,FALSE,"P&amp;L C_Sep";#N/A,#N/A,FALSE,"1996";#N/A,#N/A,FALSE,"Data"}</definedName>
    <definedName name="pete" localSheetId="29" hidden="1">{#N/A,#N/A,FALSE,"Bgt";#N/A,#N/A,FALSE,"Act";#N/A,#N/A,FALSE,"Chrt Data";#N/A,#N/A,FALSE,"Bus Result";#N/A,#N/A,FALSE,"Main Charts";#N/A,#N/A,FALSE,"P&amp;L Ttl";#N/A,#N/A,FALSE,"P&amp;L C_Ttl";#N/A,#N/A,FALSE,"P&amp;L C_Oct";#N/A,#N/A,FALSE,"P&amp;L C_Sep";#N/A,#N/A,FALSE,"1996";#N/A,#N/A,FALSE,"Data"}</definedName>
    <definedName name="pete" localSheetId="28" hidden="1">{#N/A,#N/A,FALSE,"Bgt";#N/A,#N/A,FALSE,"Act";#N/A,#N/A,FALSE,"Chrt Data";#N/A,#N/A,FALSE,"Bus Result";#N/A,#N/A,FALSE,"Main Charts";#N/A,#N/A,FALSE,"P&amp;L Ttl";#N/A,#N/A,FALSE,"P&amp;L C_Ttl";#N/A,#N/A,FALSE,"P&amp;L C_Oct";#N/A,#N/A,FALSE,"P&amp;L C_Sep";#N/A,#N/A,FALSE,"1996";#N/A,#N/A,FALSE,"Data"}</definedName>
    <definedName name="pete" localSheetId="49" hidden="1">{#N/A,#N/A,FALSE,"Bgt";#N/A,#N/A,FALSE,"Act";#N/A,#N/A,FALSE,"Chrt Data";#N/A,#N/A,FALSE,"Bus Result";#N/A,#N/A,FALSE,"Main Charts";#N/A,#N/A,FALSE,"P&amp;L Ttl";#N/A,#N/A,FALSE,"P&amp;L C_Ttl";#N/A,#N/A,FALSE,"P&amp;L C_Oct";#N/A,#N/A,FALSE,"P&amp;L C_Sep";#N/A,#N/A,FALSE,"1996";#N/A,#N/A,FALSE,"Data"}</definedName>
    <definedName name="pete" localSheetId="23" hidden="1">{#N/A,#N/A,FALSE,"Bgt";#N/A,#N/A,FALSE,"Act";#N/A,#N/A,FALSE,"Chrt Data";#N/A,#N/A,FALSE,"Bus Result";#N/A,#N/A,FALSE,"Main Charts";#N/A,#N/A,FALSE,"P&amp;L Ttl";#N/A,#N/A,FALSE,"P&amp;L C_Ttl";#N/A,#N/A,FALSE,"P&amp;L C_Oct";#N/A,#N/A,FALSE,"P&amp;L C_Sep";#N/A,#N/A,FALSE,"1996";#N/A,#N/A,FALSE,"Data"}</definedName>
    <definedName name="pete" localSheetId="83" hidden="1">{#N/A,#N/A,FALSE,"Bgt";#N/A,#N/A,FALSE,"Act";#N/A,#N/A,FALSE,"Chrt Data";#N/A,#N/A,FALSE,"Bus Result";#N/A,#N/A,FALSE,"Main Charts";#N/A,#N/A,FALSE,"P&amp;L Ttl";#N/A,#N/A,FALSE,"P&amp;L C_Ttl";#N/A,#N/A,FALSE,"P&amp;L C_Oct";#N/A,#N/A,FALSE,"P&amp;L C_Sep";#N/A,#N/A,FALSE,"1996";#N/A,#N/A,FALSE,"Data"}</definedName>
    <definedName name="pete" localSheetId="27" hidden="1">{#N/A,#N/A,FALSE,"Bgt";#N/A,#N/A,FALSE,"Act";#N/A,#N/A,FALSE,"Chrt Data";#N/A,#N/A,FALSE,"Bus Result";#N/A,#N/A,FALSE,"Main Charts";#N/A,#N/A,FALSE,"P&amp;L Ttl";#N/A,#N/A,FALSE,"P&amp;L C_Ttl";#N/A,#N/A,FALSE,"P&amp;L C_Oct";#N/A,#N/A,FALSE,"P&amp;L C_Sep";#N/A,#N/A,FALSE,"1996";#N/A,#N/A,FALSE,"Data"}</definedName>
    <definedName name="pete" localSheetId="48" hidden="1">{#N/A,#N/A,FALSE,"Bgt";#N/A,#N/A,FALSE,"Act";#N/A,#N/A,FALSE,"Chrt Data";#N/A,#N/A,FALSE,"Bus Result";#N/A,#N/A,FALSE,"Main Charts";#N/A,#N/A,FALSE,"P&amp;L Ttl";#N/A,#N/A,FALSE,"P&amp;L C_Ttl";#N/A,#N/A,FALSE,"P&amp;L C_Oct";#N/A,#N/A,FALSE,"P&amp;L C_Sep";#N/A,#N/A,FALSE,"1996";#N/A,#N/A,FALSE,"Data"}</definedName>
    <definedName name="pete" hidden="1">{#N/A,#N/A,FALSE,"Bgt";#N/A,#N/A,FALSE,"Act";#N/A,#N/A,FALSE,"Chrt Data";#N/A,#N/A,FALSE,"Bus Result";#N/A,#N/A,FALSE,"Main Charts";#N/A,#N/A,FALSE,"P&amp;L Ttl";#N/A,#N/A,FALSE,"P&amp;L C_Ttl";#N/A,#N/A,FALSE,"P&amp;L C_Oct";#N/A,#N/A,FALSE,"P&amp;L C_Sep";#N/A,#N/A,FALSE,"1996";#N/A,#N/A,FALSE,"Data"}</definedName>
    <definedName name="PricingInfo" localSheetId="54" hidden="1">#REF!</definedName>
    <definedName name="PricingInfo" localSheetId="53" hidden="1">#REF!</definedName>
    <definedName name="PricingInfo" localSheetId="29" hidden="1">#REF!</definedName>
    <definedName name="PricingInfo" localSheetId="28" hidden="1">#REF!</definedName>
    <definedName name="PricingInfo" localSheetId="49" hidden="1">#REF!</definedName>
    <definedName name="PricingInfo" localSheetId="23" hidden="1">#REF!</definedName>
    <definedName name="PricingInfo" localSheetId="83" hidden="1">#REF!</definedName>
    <definedName name="PricingInfo" localSheetId="27" hidden="1">#REF!</definedName>
    <definedName name="PricingInfo" localSheetId="48" hidden="1">#REF!</definedName>
    <definedName name="PricingInfo" hidden="1">#REF!</definedName>
    <definedName name="_xlnm.Print_Area" localSheetId="9">'3-YEAR PP &amp; OSS Worksheet'!$A$1:$K$75</definedName>
    <definedName name="_xlnm.Print_Area" localSheetId="21">'Above-RHWM_Base_Calc'!$A$4:$AA$50</definedName>
    <definedName name="_xlnm.Print_Area" localSheetId="14">'A-RHWM_Ratios'!$A$1:$G$88</definedName>
    <definedName name="_xlnm.Print_Area" localSheetId="28">'Base Expense Data'!$A$1:$D$91</definedName>
    <definedName name="_xlnm.Print_Area" localSheetId="10">'Load Forecast'!$A$1:$G$28</definedName>
    <definedName name="_xlnm.Print_Area" localSheetId="16">'New Resources - Group'!$B$1:$H$131</definedName>
    <definedName name="_xlnm.Print_Area" localSheetId="15">'New Resources - Individual'!$B$1:$H$131</definedName>
    <definedName name="_xlnm.Print_Area" localSheetId="20">'NLSL_Base_New-Calc'!$A$4:$AA$50</definedName>
    <definedName name="_xlnm.Print_Area" localSheetId="50">'Pg 110 - Balance Sheet (Assets)'!$A$3:$E$92</definedName>
    <definedName name="_xlnm.Print_Area" localSheetId="51">'Pg 112 - Balance Sheet (Liab &amp; '!$A$3:$E$73</definedName>
    <definedName name="_xlnm.Print_Area" localSheetId="52">'Pg 114 - Income Statement'!$A$3:$M$87</definedName>
    <definedName name="_xlnm.Print_Area" localSheetId="55">'Pg 118 - Retained Earnings'!$A$3:$E$65</definedName>
    <definedName name="_xlnm.Print_Area" localSheetId="56">'Pg 120 - Statement of Cash Flow'!$A$3:$D$115</definedName>
    <definedName name="_xlnm.Print_Area" localSheetId="57">'Pg 122ab - Statement of AOCI'!$A$3:$K$17</definedName>
    <definedName name="_xlnm.Print_Area" localSheetId="58">'Pg 200 - Utility Plant'!$A$3:$I$40</definedName>
    <definedName name="_xlnm.Print_Area" localSheetId="66">'Pg 231 - Interconnection Study '!$A$2:$F$1048576</definedName>
    <definedName name="_xlnm.Print_Area" localSheetId="67">'Pg 232 Regulatory Assets'!$A$3:$G$104</definedName>
    <definedName name="_xlnm.Print_Area" localSheetId="68">'Pg 278 Regulatory Liabilities'!$A$3:$G$67</definedName>
    <definedName name="_xlnm.Print_Area" localSheetId="82">'Pg 300 - Electric Operating Rev'!$A$4:$H$37</definedName>
    <definedName name="_xlnm.Print_Area" localSheetId="95">'Pg 328 - Transmission Revenue'!$A$3:$O$263</definedName>
    <definedName name="_xlnm.Print_Area" localSheetId="96">'Pg 332 - Transmission Expense'!$A$2:$I$103</definedName>
    <definedName name="_xlnm.Print_Area" localSheetId="97">'Pg 335 - Miscellaneous General '!$A$3:$C$54</definedName>
    <definedName name="_xlnm.Print_Area" localSheetId="98">'Pg 336 - Depreciation and Amort'!$A$3:$G$22</definedName>
    <definedName name="_xlnm.Print_Area" localSheetId="99">'Pg 337 - Depreciation and Amort'!$A$2:$H$706</definedName>
    <definedName name="_xlnm.Print_Area" localSheetId="103">'Pg 397 - Included in ISORTO Set'!$A$3:$F$54</definedName>
    <definedName name="_xlnm.Print_Area" localSheetId="105">'Pg 400 - Monthly Transmission S'!$A$3:$K$24</definedName>
    <definedName name="_xlnm.Print_Area" localSheetId="91">'Pgs 320-323 - O&amp;M Expenses (For'!$A$3:$D$213</definedName>
    <definedName name="_xlnm.Print_Area" localSheetId="46">'PPC Charge'!$A$1:$AB$371</definedName>
    <definedName name="_xlnm.Print_Area" localSheetId="27">'RATE BASE DATA'!$B$1:$E$163</definedName>
    <definedName name="_xlnm.Print_Area" localSheetId="13">Ratios!$A$1:$G$88</definedName>
    <definedName name="_xlnm.Print_Area" localSheetId="12">Salaries!$A$1:$D$41</definedName>
    <definedName name="_xlnm.Print_Area" localSheetId="2">'Sch 1- Rate Base '!$A$1:$J$163</definedName>
    <definedName name="_xlnm.Print_Area" localSheetId="26">'Sch 1- Rate Base  (ID)'!$A$1:$J$163</definedName>
    <definedName name="_xlnm.Print_Area" localSheetId="24">'Sch 1- Rate Base  (OR)'!$A$1:$J$163</definedName>
    <definedName name="_xlnm.Print_Area" localSheetId="25">'Sch 1- Rate Base  (WA)'!$A$1:$J$163</definedName>
    <definedName name="_xlnm.Print_Area" localSheetId="4">'Sch 2 -Rate of Return'!$A$1:$H$128</definedName>
    <definedName name="_xlnm.Print_Area" localSheetId="5">'Sch 3 - Expenses'!$A$1:$J$101</definedName>
    <definedName name="_xlnm.Print_Area" localSheetId="6">'Sch 3A - Taxes'!$A$1:$I$33</definedName>
    <definedName name="_xlnm.Print_Area" localSheetId="7">'Sch 3B - Other Items'!$A$1:$J$42</definedName>
    <definedName name="_xlnm.Print_Area" localSheetId="8">'Sch 4 - Average System Cost'!$A$1:$F$49</definedName>
    <definedName name="_xlnm.Print_Area" localSheetId="48">Trapper!$A$1:$N$28</definedName>
    <definedName name="_xlnm.Print_Titles" localSheetId="14">'A-RHWM_Ratios'!$1:$9</definedName>
    <definedName name="_xlnm.Print_Titles" localSheetId="28">'Base Expense Data'!$1:$3</definedName>
    <definedName name="_xlnm.Print_Titles" localSheetId="46">'PPC Charge'!$5:$5</definedName>
    <definedName name="_xlnm.Print_Titles" localSheetId="27">'RATE BASE DATA'!$1:$14</definedName>
    <definedName name="_xlnm.Print_Titles" localSheetId="13">Ratios!$1:$9</definedName>
    <definedName name="_xlnm.Print_Titles" localSheetId="2">'Sch 1- Rate Base '!$1:$14</definedName>
    <definedName name="_xlnm.Print_Titles" localSheetId="26">'Sch 1- Rate Base  (ID)'!$1:$14</definedName>
    <definedName name="_xlnm.Print_Titles" localSheetId="24">'Sch 1- Rate Base  (OR)'!$1:$14</definedName>
    <definedName name="_xlnm.Print_Titles" localSheetId="25">'Sch 1- Rate Base  (WA)'!$1:$14</definedName>
    <definedName name="_xlnm.Print_Titles" localSheetId="4">'Sch 2 -Rate of Return'!$1:$9</definedName>
    <definedName name="_xlnm.Print_Titles" localSheetId="5">'Sch 3 - Expenses'!$1:$13</definedName>
    <definedName name="_xlnm.Print_Titles" localSheetId="6">'Sch 3A - Taxes'!$1:$14</definedName>
    <definedName name="_xlnm.Print_Titles" localSheetId="8">'Sch 4 - Average System Cost'!$1:$9</definedName>
    <definedName name="PROD" localSheetId="26">'Sch 1- Rate Base  (ID)'!$R$1:$R$3</definedName>
    <definedName name="PROD" localSheetId="24">'Sch 1- Rate Base  (OR)'!$R$1:$R$3</definedName>
    <definedName name="PROD" localSheetId="25">'Sch 1- Rate Base  (WA)'!$R$1:$R$3</definedName>
    <definedName name="PROD">'Sch 1- Rate Base '!$R$1:$R$3</definedName>
    <definedName name="PTD" localSheetId="26">'Sch 1- Rate Base  (ID)'!$P$1:$P$3</definedName>
    <definedName name="PTD" localSheetId="24">'Sch 1- Rate Base  (OR)'!$P$1:$P$3</definedName>
    <definedName name="PTD" localSheetId="25">'Sch 1- Rate Base  (WA)'!$P$1:$P$3</definedName>
    <definedName name="PTD">'Sch 1- Rate Base '!$P$1:$P$3</definedName>
    <definedName name="Ratio" localSheetId="14">'A-RHWM_Ratios'!$D$77:$G$87</definedName>
    <definedName name="Ratio">Ratios!$D$77:$G$87</definedName>
    <definedName name="retail" localSheetId="54" hidden="1">{#N/A,#N/A,FALSE,"Loans";#N/A,#N/A,FALSE,"Program Costs";#N/A,#N/A,FALSE,"Measures";#N/A,#N/A,FALSE,"Net Lost Rev";#N/A,#N/A,FALSE,"Incentive"}</definedName>
    <definedName name="retail" localSheetId="53" hidden="1">{#N/A,#N/A,FALSE,"Loans";#N/A,#N/A,FALSE,"Program Costs";#N/A,#N/A,FALSE,"Measures";#N/A,#N/A,FALSE,"Net Lost Rev";#N/A,#N/A,FALSE,"Incentive"}</definedName>
    <definedName name="retail" localSheetId="29" hidden="1">{#N/A,#N/A,FALSE,"Loans";#N/A,#N/A,FALSE,"Program Costs";#N/A,#N/A,FALSE,"Measures";#N/A,#N/A,FALSE,"Net Lost Rev";#N/A,#N/A,FALSE,"Incentive"}</definedName>
    <definedName name="retail" localSheetId="28" hidden="1">{#N/A,#N/A,FALSE,"Loans";#N/A,#N/A,FALSE,"Program Costs";#N/A,#N/A,FALSE,"Measures";#N/A,#N/A,FALSE,"Net Lost Rev";#N/A,#N/A,FALSE,"Incentive"}</definedName>
    <definedName name="retail" localSheetId="49" hidden="1">{#N/A,#N/A,FALSE,"Loans";#N/A,#N/A,FALSE,"Program Costs";#N/A,#N/A,FALSE,"Measures";#N/A,#N/A,FALSE,"Net Lost Rev";#N/A,#N/A,FALSE,"Incentive"}</definedName>
    <definedName name="retail" localSheetId="23" hidden="1">{#N/A,#N/A,FALSE,"Loans";#N/A,#N/A,FALSE,"Program Costs";#N/A,#N/A,FALSE,"Measures";#N/A,#N/A,FALSE,"Net Lost Rev";#N/A,#N/A,FALSE,"Incentive"}</definedName>
    <definedName name="retail" localSheetId="83" hidden="1">{#N/A,#N/A,FALSE,"Loans";#N/A,#N/A,FALSE,"Program Costs";#N/A,#N/A,FALSE,"Measures";#N/A,#N/A,FALSE,"Net Lost Rev";#N/A,#N/A,FALSE,"Incentive"}</definedName>
    <definedName name="retail" localSheetId="27" hidden="1">{#N/A,#N/A,FALSE,"Loans";#N/A,#N/A,FALSE,"Program Costs";#N/A,#N/A,FALSE,"Measures";#N/A,#N/A,FALSE,"Net Lost Rev";#N/A,#N/A,FALSE,"Incentive"}</definedName>
    <definedName name="retail" localSheetId="48" hidden="1">{#N/A,#N/A,FALSE,"Loans";#N/A,#N/A,FALSE,"Program Costs";#N/A,#N/A,FALSE,"Measures";#N/A,#N/A,FALSE,"Net Lost Rev";#N/A,#N/A,FALSE,"Incentive"}</definedName>
    <definedName name="retail" hidden="1">{#N/A,#N/A,FALSE,"Loans";#N/A,#N/A,FALSE,"Program Costs";#N/A,#N/A,FALSE,"Measures";#N/A,#N/A,FALSE,"Net Lost Rev";#N/A,#N/A,FALSE,"Incentive"}</definedName>
    <definedName name="retail_CC" localSheetId="54" hidden="1">{#N/A,#N/A,FALSE,"Loans";#N/A,#N/A,FALSE,"Program Costs";#N/A,#N/A,FALSE,"Measures";#N/A,#N/A,FALSE,"Net Lost Rev";#N/A,#N/A,FALSE,"Incentive"}</definedName>
    <definedName name="retail_CC" localSheetId="53" hidden="1">{#N/A,#N/A,FALSE,"Loans";#N/A,#N/A,FALSE,"Program Costs";#N/A,#N/A,FALSE,"Measures";#N/A,#N/A,FALSE,"Net Lost Rev";#N/A,#N/A,FALSE,"Incentive"}</definedName>
    <definedName name="retail_CC" localSheetId="29" hidden="1">{#N/A,#N/A,FALSE,"Loans";#N/A,#N/A,FALSE,"Program Costs";#N/A,#N/A,FALSE,"Measures";#N/A,#N/A,FALSE,"Net Lost Rev";#N/A,#N/A,FALSE,"Incentive"}</definedName>
    <definedName name="retail_CC" localSheetId="28" hidden="1">{#N/A,#N/A,FALSE,"Loans";#N/A,#N/A,FALSE,"Program Costs";#N/A,#N/A,FALSE,"Measures";#N/A,#N/A,FALSE,"Net Lost Rev";#N/A,#N/A,FALSE,"Incentive"}</definedName>
    <definedName name="retail_CC" localSheetId="49" hidden="1">{#N/A,#N/A,FALSE,"Loans";#N/A,#N/A,FALSE,"Program Costs";#N/A,#N/A,FALSE,"Measures";#N/A,#N/A,FALSE,"Net Lost Rev";#N/A,#N/A,FALSE,"Incentive"}</definedName>
    <definedName name="retail_CC" localSheetId="23" hidden="1">{#N/A,#N/A,FALSE,"Loans";#N/A,#N/A,FALSE,"Program Costs";#N/A,#N/A,FALSE,"Measures";#N/A,#N/A,FALSE,"Net Lost Rev";#N/A,#N/A,FALSE,"Incentive"}</definedName>
    <definedName name="retail_CC" localSheetId="83" hidden="1">{#N/A,#N/A,FALSE,"Loans";#N/A,#N/A,FALSE,"Program Costs";#N/A,#N/A,FALSE,"Measures";#N/A,#N/A,FALSE,"Net Lost Rev";#N/A,#N/A,FALSE,"Incentive"}</definedName>
    <definedName name="retail_CC" localSheetId="27" hidden="1">{#N/A,#N/A,FALSE,"Loans";#N/A,#N/A,FALSE,"Program Costs";#N/A,#N/A,FALSE,"Measures";#N/A,#N/A,FALSE,"Net Lost Rev";#N/A,#N/A,FALSE,"Incentive"}</definedName>
    <definedName name="retail_CC" localSheetId="48" hidden="1">{#N/A,#N/A,FALSE,"Loans";#N/A,#N/A,FALSE,"Program Costs";#N/A,#N/A,FALSE,"Measures";#N/A,#N/A,FALSE,"Net Lost Rev";#N/A,#N/A,FALSE,"Incentive"}</definedName>
    <definedName name="retail_CC" hidden="1">{#N/A,#N/A,FALSE,"Loans";#N/A,#N/A,FALSE,"Program Costs";#N/A,#N/A,FALSE,"Measures";#N/A,#N/A,FALSE,"Net Lost Rev";#N/A,#N/A,FALSE,"Incentive"}</definedName>
    <definedName name="retail_CC1" localSheetId="54" hidden="1">{#N/A,#N/A,FALSE,"Loans";#N/A,#N/A,FALSE,"Program Costs";#N/A,#N/A,FALSE,"Measures";#N/A,#N/A,FALSE,"Net Lost Rev";#N/A,#N/A,FALSE,"Incentive"}</definedName>
    <definedName name="retail_CC1" localSheetId="53" hidden="1">{#N/A,#N/A,FALSE,"Loans";#N/A,#N/A,FALSE,"Program Costs";#N/A,#N/A,FALSE,"Measures";#N/A,#N/A,FALSE,"Net Lost Rev";#N/A,#N/A,FALSE,"Incentive"}</definedName>
    <definedName name="retail_CC1" localSheetId="29" hidden="1">{#N/A,#N/A,FALSE,"Loans";#N/A,#N/A,FALSE,"Program Costs";#N/A,#N/A,FALSE,"Measures";#N/A,#N/A,FALSE,"Net Lost Rev";#N/A,#N/A,FALSE,"Incentive"}</definedName>
    <definedName name="retail_CC1" localSheetId="28" hidden="1">{#N/A,#N/A,FALSE,"Loans";#N/A,#N/A,FALSE,"Program Costs";#N/A,#N/A,FALSE,"Measures";#N/A,#N/A,FALSE,"Net Lost Rev";#N/A,#N/A,FALSE,"Incentive"}</definedName>
    <definedName name="retail_CC1" localSheetId="49" hidden="1">{#N/A,#N/A,FALSE,"Loans";#N/A,#N/A,FALSE,"Program Costs";#N/A,#N/A,FALSE,"Measures";#N/A,#N/A,FALSE,"Net Lost Rev";#N/A,#N/A,FALSE,"Incentive"}</definedName>
    <definedName name="retail_CC1" localSheetId="23" hidden="1">{#N/A,#N/A,FALSE,"Loans";#N/A,#N/A,FALSE,"Program Costs";#N/A,#N/A,FALSE,"Measures";#N/A,#N/A,FALSE,"Net Lost Rev";#N/A,#N/A,FALSE,"Incentive"}</definedName>
    <definedName name="retail_CC1" localSheetId="83" hidden="1">{#N/A,#N/A,FALSE,"Loans";#N/A,#N/A,FALSE,"Program Costs";#N/A,#N/A,FALSE,"Measures";#N/A,#N/A,FALSE,"Net Lost Rev";#N/A,#N/A,FALSE,"Incentive"}</definedName>
    <definedName name="retail_CC1" localSheetId="27" hidden="1">{#N/A,#N/A,FALSE,"Loans";#N/A,#N/A,FALSE,"Program Costs";#N/A,#N/A,FALSE,"Measures";#N/A,#N/A,FALSE,"Net Lost Rev";#N/A,#N/A,FALSE,"Incentive"}</definedName>
    <definedName name="retail_CC1" localSheetId="48" hidden="1">{#N/A,#N/A,FALSE,"Loans";#N/A,#N/A,FALSE,"Program Costs";#N/A,#N/A,FALSE,"Measures";#N/A,#N/A,FALSE,"Net Lost Rev";#N/A,#N/A,FALSE,"Incentive"}</definedName>
    <definedName name="retail_CC1" hidden="1">{#N/A,#N/A,FALSE,"Loans";#N/A,#N/A,FALSE,"Program Costs";#N/A,#N/A,FALSE,"Measures";#N/A,#N/A,FALSE,"Net Lost Rev";#N/A,#N/A,FALSE,"Incentive"}</definedName>
    <definedName name="RevenueSum">"GRID Thermal Revenue!R2C1:R4C2"</definedName>
    <definedName name="rrr" localSheetId="54" hidden="1">{"PRINT",#N/A,TRUE,"APPA";"PRINT",#N/A,TRUE,"APS";"PRINT",#N/A,TRUE,"BHPL";"PRINT",#N/A,TRUE,"BHPL2";"PRINT",#N/A,TRUE,"CDWR";"PRINT",#N/A,TRUE,"EWEB";"PRINT",#N/A,TRUE,"LADWP";"PRINT",#N/A,TRUE,"NEVBASE"}</definedName>
    <definedName name="rrr" localSheetId="53" hidden="1">{"PRINT",#N/A,TRUE,"APPA";"PRINT",#N/A,TRUE,"APS";"PRINT",#N/A,TRUE,"BHPL";"PRINT",#N/A,TRUE,"BHPL2";"PRINT",#N/A,TRUE,"CDWR";"PRINT",#N/A,TRUE,"EWEB";"PRINT",#N/A,TRUE,"LADWP";"PRINT",#N/A,TRUE,"NEVBASE"}</definedName>
    <definedName name="rrr" localSheetId="29" hidden="1">{"PRINT",#N/A,TRUE,"APPA";"PRINT",#N/A,TRUE,"APS";"PRINT",#N/A,TRUE,"BHPL";"PRINT",#N/A,TRUE,"BHPL2";"PRINT",#N/A,TRUE,"CDWR";"PRINT",#N/A,TRUE,"EWEB";"PRINT",#N/A,TRUE,"LADWP";"PRINT",#N/A,TRUE,"NEVBASE"}</definedName>
    <definedName name="rrr" localSheetId="28" hidden="1">{"PRINT",#N/A,TRUE,"APPA";"PRINT",#N/A,TRUE,"APS";"PRINT",#N/A,TRUE,"BHPL";"PRINT",#N/A,TRUE,"BHPL2";"PRINT",#N/A,TRUE,"CDWR";"PRINT",#N/A,TRUE,"EWEB";"PRINT",#N/A,TRUE,"LADWP";"PRINT",#N/A,TRUE,"NEVBASE"}</definedName>
    <definedName name="rrr" localSheetId="49" hidden="1">{"PRINT",#N/A,TRUE,"APPA";"PRINT",#N/A,TRUE,"APS";"PRINT",#N/A,TRUE,"BHPL";"PRINT",#N/A,TRUE,"BHPL2";"PRINT",#N/A,TRUE,"CDWR";"PRINT",#N/A,TRUE,"EWEB";"PRINT",#N/A,TRUE,"LADWP";"PRINT",#N/A,TRUE,"NEVBASE"}</definedName>
    <definedName name="rrr" localSheetId="23" hidden="1">{"PRINT",#N/A,TRUE,"APPA";"PRINT",#N/A,TRUE,"APS";"PRINT",#N/A,TRUE,"BHPL";"PRINT",#N/A,TRUE,"BHPL2";"PRINT",#N/A,TRUE,"CDWR";"PRINT",#N/A,TRUE,"EWEB";"PRINT",#N/A,TRUE,"LADWP";"PRINT",#N/A,TRUE,"NEVBASE"}</definedName>
    <definedName name="rrr" localSheetId="83" hidden="1">{"PRINT",#N/A,TRUE,"APPA";"PRINT",#N/A,TRUE,"APS";"PRINT",#N/A,TRUE,"BHPL";"PRINT",#N/A,TRUE,"BHPL2";"PRINT",#N/A,TRUE,"CDWR";"PRINT",#N/A,TRUE,"EWEB";"PRINT",#N/A,TRUE,"LADWP";"PRINT",#N/A,TRUE,"NEVBASE"}</definedName>
    <definedName name="rrr" localSheetId="27" hidden="1">{"PRINT",#N/A,TRUE,"APPA";"PRINT",#N/A,TRUE,"APS";"PRINT",#N/A,TRUE,"BHPL";"PRINT",#N/A,TRUE,"BHPL2";"PRINT",#N/A,TRUE,"CDWR";"PRINT",#N/A,TRUE,"EWEB";"PRINT",#N/A,TRUE,"LADWP";"PRINT",#N/A,TRUE,"NEVBASE"}</definedName>
    <definedName name="rrr" localSheetId="48" hidden="1">{"PRINT",#N/A,TRUE,"APPA";"PRINT",#N/A,TRUE,"APS";"PRINT",#N/A,TRUE,"BHPL";"PRINT",#N/A,TRUE,"BHPL2";"PRINT",#N/A,TRUE,"CDWR";"PRINT",#N/A,TRUE,"EWEB";"PRINT",#N/A,TRUE,"LADWP";"PRINT",#N/A,TRUE,"NEVBASE"}</definedName>
    <definedName name="rrr" hidden="1">{"PRINT",#N/A,TRUE,"APPA";"PRINT",#N/A,TRUE,"APS";"PRINT",#N/A,TRUE,"BHPL";"PRINT",#N/A,TRUE,"BHPL2";"PRINT",#N/A,TRUE,"CDWR";"PRINT",#N/A,TRUE,"EWEB";"PRINT",#N/A,TRUE,"LADWP";"PRINT",#N/A,TRUE,"NEVBASE"}</definedName>
    <definedName name="SAPBEXrevision" hidden="1">1</definedName>
    <definedName name="SAPBEXsysID" localSheetId="47" hidden="1">"BWP"</definedName>
    <definedName name="SAPBEXsysID" localSheetId="48" hidden="1">"BWP"</definedName>
    <definedName name="SAPBEXsysID" hidden="1">"BWD"</definedName>
    <definedName name="SAPBEXwbID" localSheetId="47" hidden="1">"3YJQSC8Y0GI9RK3LY9DCN6EQ3"</definedName>
    <definedName name="SAPBEXwbID" localSheetId="48" hidden="1">"45GXL7SXPXL3MHIZ7CHPZQ8ZV"</definedName>
    <definedName name="SAPBEXwbID" hidden="1">"45GKD1YC7ETU0EIK3IGCIEFBF"</definedName>
    <definedName name="shit" localSheetId="54" hidden="1">{"PRINT",#N/A,TRUE,"APPA";"PRINT",#N/A,TRUE,"APS";"PRINT",#N/A,TRUE,"BHPL";"PRINT",#N/A,TRUE,"BHPL2";"PRINT",#N/A,TRUE,"CDWR";"PRINT",#N/A,TRUE,"EWEB";"PRINT",#N/A,TRUE,"LADWP";"PRINT",#N/A,TRUE,"NEVBASE"}</definedName>
    <definedName name="shit" localSheetId="53" hidden="1">{"PRINT",#N/A,TRUE,"APPA";"PRINT",#N/A,TRUE,"APS";"PRINT",#N/A,TRUE,"BHPL";"PRINT",#N/A,TRUE,"BHPL2";"PRINT",#N/A,TRUE,"CDWR";"PRINT",#N/A,TRUE,"EWEB";"PRINT",#N/A,TRUE,"LADWP";"PRINT",#N/A,TRUE,"NEVBASE"}</definedName>
    <definedName name="shit" localSheetId="29" hidden="1">{"PRINT",#N/A,TRUE,"APPA";"PRINT",#N/A,TRUE,"APS";"PRINT",#N/A,TRUE,"BHPL";"PRINT",#N/A,TRUE,"BHPL2";"PRINT",#N/A,TRUE,"CDWR";"PRINT",#N/A,TRUE,"EWEB";"PRINT",#N/A,TRUE,"LADWP";"PRINT",#N/A,TRUE,"NEVBASE"}</definedName>
    <definedName name="shit" localSheetId="28" hidden="1">{"PRINT",#N/A,TRUE,"APPA";"PRINT",#N/A,TRUE,"APS";"PRINT",#N/A,TRUE,"BHPL";"PRINT",#N/A,TRUE,"BHPL2";"PRINT",#N/A,TRUE,"CDWR";"PRINT",#N/A,TRUE,"EWEB";"PRINT",#N/A,TRUE,"LADWP";"PRINT",#N/A,TRUE,"NEVBASE"}</definedName>
    <definedName name="shit" localSheetId="49" hidden="1">{"PRINT",#N/A,TRUE,"APPA";"PRINT",#N/A,TRUE,"APS";"PRINT",#N/A,TRUE,"BHPL";"PRINT",#N/A,TRUE,"BHPL2";"PRINT",#N/A,TRUE,"CDWR";"PRINT",#N/A,TRUE,"EWEB";"PRINT",#N/A,TRUE,"LADWP";"PRINT",#N/A,TRUE,"NEVBASE"}</definedName>
    <definedName name="shit" localSheetId="23" hidden="1">{"PRINT",#N/A,TRUE,"APPA";"PRINT",#N/A,TRUE,"APS";"PRINT",#N/A,TRUE,"BHPL";"PRINT",#N/A,TRUE,"BHPL2";"PRINT",#N/A,TRUE,"CDWR";"PRINT",#N/A,TRUE,"EWEB";"PRINT",#N/A,TRUE,"LADWP";"PRINT",#N/A,TRUE,"NEVBASE"}</definedName>
    <definedName name="shit" localSheetId="83" hidden="1">{"PRINT",#N/A,TRUE,"APPA";"PRINT",#N/A,TRUE,"APS";"PRINT",#N/A,TRUE,"BHPL";"PRINT",#N/A,TRUE,"BHPL2";"PRINT",#N/A,TRUE,"CDWR";"PRINT",#N/A,TRUE,"EWEB";"PRINT",#N/A,TRUE,"LADWP";"PRINT",#N/A,TRUE,"NEVBASE"}</definedName>
    <definedName name="shit" localSheetId="27" hidden="1">{"PRINT",#N/A,TRUE,"APPA";"PRINT",#N/A,TRUE,"APS";"PRINT",#N/A,TRUE,"BHPL";"PRINT",#N/A,TRUE,"BHPL2";"PRINT",#N/A,TRUE,"CDWR";"PRINT",#N/A,TRUE,"EWEB";"PRINT",#N/A,TRUE,"LADWP";"PRINT",#N/A,TRUE,"NEVBASE"}</definedName>
    <definedName name="shit" localSheetId="48" hidden="1">{"PRINT",#N/A,TRUE,"APPA";"PRINT",#N/A,TRUE,"APS";"PRINT",#N/A,TRUE,"BHPL";"PRINT",#N/A,TRUE,"BHPL2";"PRINT",#N/A,TRUE,"CDWR";"PRINT",#N/A,TRUE,"EWEB";"PRINT",#N/A,TRUE,"LADWP";"PRINT",#N/A,TRUE,"NEVBASE"}</definedName>
    <definedName name="shit" hidden="1">{"PRINT",#N/A,TRUE,"APPA";"PRINT",#N/A,TRUE,"APS";"PRINT",#N/A,TRUE,"BHPL";"PRINT",#N/A,TRUE,"BHPL2";"PRINT",#N/A,TRUE,"CDWR";"PRINT",#N/A,TRUE,"EWEB";"PRINT",#N/A,TRUE,"LADWP";"PRINT",#N/A,TRUE,"NEVBASE"}</definedName>
    <definedName name="SpecMaint" localSheetId="54" hidden="1">{#N/A,#N/A,FALSE,"Summary";#N/A,#N/A,FALSE,"SmPlants";#N/A,#N/A,FALSE,"Utah";#N/A,#N/A,FALSE,"Idaho";#N/A,#N/A,FALSE,"Lewis River";#N/A,#N/A,FALSE,"NrthUmpq";#N/A,#N/A,FALSE,"KlamRog"}</definedName>
    <definedName name="SpecMaint" localSheetId="53" hidden="1">{#N/A,#N/A,FALSE,"Summary";#N/A,#N/A,FALSE,"SmPlants";#N/A,#N/A,FALSE,"Utah";#N/A,#N/A,FALSE,"Idaho";#N/A,#N/A,FALSE,"Lewis River";#N/A,#N/A,FALSE,"NrthUmpq";#N/A,#N/A,FALSE,"KlamRog"}</definedName>
    <definedName name="SpecMaint" localSheetId="29" hidden="1">{#N/A,#N/A,FALSE,"Summary";#N/A,#N/A,FALSE,"SmPlants";#N/A,#N/A,FALSE,"Utah";#N/A,#N/A,FALSE,"Idaho";#N/A,#N/A,FALSE,"Lewis River";#N/A,#N/A,FALSE,"NrthUmpq";#N/A,#N/A,FALSE,"KlamRog"}</definedName>
    <definedName name="SpecMaint" localSheetId="28" hidden="1">{#N/A,#N/A,FALSE,"Summary";#N/A,#N/A,FALSE,"SmPlants";#N/A,#N/A,FALSE,"Utah";#N/A,#N/A,FALSE,"Idaho";#N/A,#N/A,FALSE,"Lewis River";#N/A,#N/A,FALSE,"NrthUmpq";#N/A,#N/A,FALSE,"KlamRog"}</definedName>
    <definedName name="SpecMaint" localSheetId="49" hidden="1">{#N/A,#N/A,FALSE,"Summary";#N/A,#N/A,FALSE,"SmPlants";#N/A,#N/A,FALSE,"Utah";#N/A,#N/A,FALSE,"Idaho";#N/A,#N/A,FALSE,"Lewis River";#N/A,#N/A,FALSE,"NrthUmpq";#N/A,#N/A,FALSE,"KlamRog"}</definedName>
    <definedName name="SpecMaint" localSheetId="23" hidden="1">{#N/A,#N/A,FALSE,"Summary";#N/A,#N/A,FALSE,"SmPlants";#N/A,#N/A,FALSE,"Utah";#N/A,#N/A,FALSE,"Idaho";#N/A,#N/A,FALSE,"Lewis River";#N/A,#N/A,FALSE,"NrthUmpq";#N/A,#N/A,FALSE,"KlamRog"}</definedName>
    <definedName name="SpecMaint" localSheetId="83" hidden="1">{#N/A,#N/A,FALSE,"Summary";#N/A,#N/A,FALSE,"SmPlants";#N/A,#N/A,FALSE,"Utah";#N/A,#N/A,FALSE,"Idaho";#N/A,#N/A,FALSE,"Lewis River";#N/A,#N/A,FALSE,"NrthUmpq";#N/A,#N/A,FALSE,"KlamRog"}</definedName>
    <definedName name="SpecMaint" localSheetId="27" hidden="1">{#N/A,#N/A,FALSE,"Summary";#N/A,#N/A,FALSE,"SmPlants";#N/A,#N/A,FALSE,"Utah";#N/A,#N/A,FALSE,"Idaho";#N/A,#N/A,FALSE,"Lewis River";#N/A,#N/A,FALSE,"NrthUmpq";#N/A,#N/A,FALSE,"KlamRog"}</definedName>
    <definedName name="SpecMaint" localSheetId="48" hidden="1">{#N/A,#N/A,FALSE,"Summary";#N/A,#N/A,FALSE,"SmPlants";#N/A,#N/A,FALSE,"Utah";#N/A,#N/A,FALSE,"Idaho";#N/A,#N/A,FALSE,"Lewis River";#N/A,#N/A,FALSE,"NrthUmpq";#N/A,#N/A,FALSE,"KlamRog"}</definedName>
    <definedName name="SpecMaint" hidden="1">{#N/A,#N/A,FALSE,"Summary";#N/A,#N/A,FALSE,"SmPlants";#N/A,#N/A,FALSE,"Utah";#N/A,#N/A,FALSE,"Idaho";#N/A,#N/A,FALSE,"Lewis River";#N/A,#N/A,FALSE,"NrthUmpq";#N/A,#N/A,FALSE,"KlamRog"}</definedName>
    <definedName name="spippw" localSheetId="54" hidden="1">{#N/A,#N/A,FALSE,"Actual";#N/A,#N/A,FALSE,"Normalized";#N/A,#N/A,FALSE,"Electric Actual";#N/A,#N/A,FALSE,"Electric Normalized"}</definedName>
    <definedName name="spippw" localSheetId="53" hidden="1">{#N/A,#N/A,FALSE,"Actual";#N/A,#N/A,FALSE,"Normalized";#N/A,#N/A,FALSE,"Electric Actual";#N/A,#N/A,FALSE,"Electric Normalized"}</definedName>
    <definedName name="spippw" localSheetId="29" hidden="1">{#N/A,#N/A,FALSE,"Actual";#N/A,#N/A,FALSE,"Normalized";#N/A,#N/A,FALSE,"Electric Actual";#N/A,#N/A,FALSE,"Electric Normalized"}</definedName>
    <definedName name="spippw" localSheetId="28" hidden="1">{#N/A,#N/A,FALSE,"Actual";#N/A,#N/A,FALSE,"Normalized";#N/A,#N/A,FALSE,"Electric Actual";#N/A,#N/A,FALSE,"Electric Normalized"}</definedName>
    <definedName name="spippw" localSheetId="49" hidden="1">{#N/A,#N/A,FALSE,"Actual";#N/A,#N/A,FALSE,"Normalized";#N/A,#N/A,FALSE,"Electric Actual";#N/A,#N/A,FALSE,"Electric Normalized"}</definedName>
    <definedName name="spippw" localSheetId="23" hidden="1">{#N/A,#N/A,FALSE,"Actual";#N/A,#N/A,FALSE,"Normalized";#N/A,#N/A,FALSE,"Electric Actual";#N/A,#N/A,FALSE,"Electric Normalized"}</definedName>
    <definedName name="spippw" localSheetId="83" hidden="1">{#N/A,#N/A,FALSE,"Actual";#N/A,#N/A,FALSE,"Normalized";#N/A,#N/A,FALSE,"Electric Actual";#N/A,#N/A,FALSE,"Electric Normalized"}</definedName>
    <definedName name="spippw" localSheetId="27" hidden="1">{#N/A,#N/A,FALSE,"Actual";#N/A,#N/A,FALSE,"Normalized";#N/A,#N/A,FALSE,"Electric Actual";#N/A,#N/A,FALSE,"Electric Normalized"}</definedName>
    <definedName name="spippw" localSheetId="48" hidden="1">{#N/A,#N/A,FALSE,"Actual";#N/A,#N/A,FALSE,"Normalized";#N/A,#N/A,FALSE,"Electric Actual";#N/A,#N/A,FALSE,"Electric Normalized"}</definedName>
    <definedName name="spippw" hidden="1">{#N/A,#N/A,FALSE,"Actual";#N/A,#N/A,FALSE,"Normalized";#N/A,#N/A,FALSE,"Electric Actual";#N/A,#N/A,FALSE,"Electric Normalized"}</definedName>
    <definedName name="SPWS_WBID">"12F19027-1C25-43D5-BF1F-44D7E5A374C0"</definedName>
    <definedName name="ss" localSheetId="54" hidden="1">{"PRINT",#N/A,TRUE,"APPA";"PRINT",#N/A,TRUE,"APS";"PRINT",#N/A,TRUE,"BHPL";"PRINT",#N/A,TRUE,"BHPL2";"PRINT",#N/A,TRUE,"CDWR";"PRINT",#N/A,TRUE,"EWEB";"PRINT",#N/A,TRUE,"LADWP";"PRINT",#N/A,TRUE,"NEVBASE"}</definedName>
    <definedName name="ss" localSheetId="53" hidden="1">{"PRINT",#N/A,TRUE,"APPA";"PRINT",#N/A,TRUE,"APS";"PRINT",#N/A,TRUE,"BHPL";"PRINT",#N/A,TRUE,"BHPL2";"PRINT",#N/A,TRUE,"CDWR";"PRINT",#N/A,TRUE,"EWEB";"PRINT",#N/A,TRUE,"LADWP";"PRINT",#N/A,TRUE,"NEVBASE"}</definedName>
    <definedName name="ss" localSheetId="29" hidden="1">{"PRINT",#N/A,TRUE,"APPA";"PRINT",#N/A,TRUE,"APS";"PRINT",#N/A,TRUE,"BHPL";"PRINT",#N/A,TRUE,"BHPL2";"PRINT",#N/A,TRUE,"CDWR";"PRINT",#N/A,TRUE,"EWEB";"PRINT",#N/A,TRUE,"LADWP";"PRINT",#N/A,TRUE,"NEVBASE"}</definedName>
    <definedName name="ss" localSheetId="28" hidden="1">{"PRINT",#N/A,TRUE,"APPA";"PRINT",#N/A,TRUE,"APS";"PRINT",#N/A,TRUE,"BHPL";"PRINT",#N/A,TRUE,"BHPL2";"PRINT",#N/A,TRUE,"CDWR";"PRINT",#N/A,TRUE,"EWEB";"PRINT",#N/A,TRUE,"LADWP";"PRINT",#N/A,TRUE,"NEVBASE"}</definedName>
    <definedName name="ss" localSheetId="49" hidden="1">{"PRINT",#N/A,TRUE,"APPA";"PRINT",#N/A,TRUE,"APS";"PRINT",#N/A,TRUE,"BHPL";"PRINT",#N/A,TRUE,"BHPL2";"PRINT",#N/A,TRUE,"CDWR";"PRINT",#N/A,TRUE,"EWEB";"PRINT",#N/A,TRUE,"LADWP";"PRINT",#N/A,TRUE,"NEVBASE"}</definedName>
    <definedName name="ss" localSheetId="23" hidden="1">{"PRINT",#N/A,TRUE,"APPA";"PRINT",#N/A,TRUE,"APS";"PRINT",#N/A,TRUE,"BHPL";"PRINT",#N/A,TRUE,"BHPL2";"PRINT",#N/A,TRUE,"CDWR";"PRINT",#N/A,TRUE,"EWEB";"PRINT",#N/A,TRUE,"LADWP";"PRINT",#N/A,TRUE,"NEVBASE"}</definedName>
    <definedName name="ss" localSheetId="83" hidden="1">{"PRINT",#N/A,TRUE,"APPA";"PRINT",#N/A,TRUE,"APS";"PRINT",#N/A,TRUE,"BHPL";"PRINT",#N/A,TRUE,"BHPL2";"PRINT",#N/A,TRUE,"CDWR";"PRINT",#N/A,TRUE,"EWEB";"PRINT",#N/A,TRUE,"LADWP";"PRINT",#N/A,TRUE,"NEVBASE"}</definedName>
    <definedName name="ss" localSheetId="27" hidden="1">{"PRINT",#N/A,TRUE,"APPA";"PRINT",#N/A,TRUE,"APS";"PRINT",#N/A,TRUE,"BHPL";"PRINT",#N/A,TRUE,"BHPL2";"PRINT",#N/A,TRUE,"CDWR";"PRINT",#N/A,TRUE,"EWEB";"PRINT",#N/A,TRUE,"LADWP";"PRINT",#N/A,TRUE,"NEVBASE"}</definedName>
    <definedName name="ss" localSheetId="48" hidden="1">{"PRINT",#N/A,TRUE,"APPA";"PRINT",#N/A,TRUE,"APS";"PRINT",#N/A,TRUE,"BHPL";"PRINT",#N/A,TRUE,"BHPL2";"PRINT",#N/A,TRUE,"CDWR";"PRINT",#N/A,TRUE,"EWEB";"PRINT",#N/A,TRUE,"LADWP";"PRINT",#N/A,TRUE,"NEVBASE"}</definedName>
    <definedName name="ss" hidden="1">{"PRINT",#N/A,TRUE,"APPA";"PRINT",#N/A,TRUE,"APS";"PRINT",#N/A,TRUE,"BHPL";"PRINT",#N/A,TRUE,"BHPL2";"PRINT",#N/A,TRUE,"CDWR";"PRINT",#N/A,TRUE,"EWEB";"PRINT",#N/A,TRUE,"LADWP";"PRINT",#N/A,TRUE,"NEVBASE"}</definedName>
    <definedName name="standard1" localSheetId="54" hidden="1">{"YTD-Total",#N/A,FALSE,"Provision"}</definedName>
    <definedName name="standard1" localSheetId="53" hidden="1">{"YTD-Total",#N/A,FALSE,"Provision"}</definedName>
    <definedName name="standard1" localSheetId="29" hidden="1">{"YTD-Total",#N/A,FALSE,"Provision"}</definedName>
    <definedName name="standard1" localSheetId="28" hidden="1">{"YTD-Total",#N/A,FALSE,"Provision"}</definedName>
    <definedName name="standard1" localSheetId="49" hidden="1">{"YTD-Total",#N/A,FALSE,"Provision"}</definedName>
    <definedName name="standard1" localSheetId="23" hidden="1">{"YTD-Total",#N/A,FALSE,"Provision"}</definedName>
    <definedName name="standard1" localSheetId="83" hidden="1">{"YTD-Total",#N/A,FALSE,"Provision"}</definedName>
    <definedName name="standard1" localSheetId="27" hidden="1">{"YTD-Total",#N/A,FALSE,"Provision"}</definedName>
    <definedName name="standard1" localSheetId="48" hidden="1">{"YTD-Total",#N/A,FALSE,"Provision"}</definedName>
    <definedName name="standard1" hidden="1">{"YTD-Total",#N/A,FALSE,"Provision"}</definedName>
    <definedName name="UNI_FILT_OFFSPEC" hidden="1">2</definedName>
    <definedName name="UNI_FILT_ONSPEC" hidden="1">1</definedName>
    <definedName name="UNI_NOTHING" hidden="1">0</definedName>
    <definedName name="UNI_PRES_FILTER" hidden="1">1</definedName>
    <definedName name="UNI_PRES_HEADINGS" hidden="1">16</definedName>
    <definedName name="UNI_PRES_INVERT" hidden="1">2</definedName>
    <definedName name="UNI_PRES_MATRIX" hidden="1">4</definedName>
    <definedName name="UNI_PRES_MERGED" hidden="1">8</definedName>
    <definedName name="UNI_PRES_OUTLIERS" hidden="1">32</definedName>
    <definedName name="UNI_RET_ATTRIB" hidden="1">64</definedName>
    <definedName name="UNI_RET_CONF" hidden="1">32</definedName>
    <definedName name="UNI_RET_DESC" hidden="1">4</definedName>
    <definedName name="UNI_RET_EQUIP" hidden="1">1</definedName>
    <definedName name="UNI_RET_OFFSPEC" hidden="1">512</definedName>
    <definedName name="UNI_RET_ONSPEC" hidden="1">256</definedName>
    <definedName name="UNI_RET_PROP" hidden="1">32</definedName>
    <definedName name="UNI_RET_PROPDESC" hidden="1">64</definedName>
    <definedName name="UNI_RET_SMPLPNT" hidden="1">4</definedName>
    <definedName name="UNI_RET_SPECMAX" hidden="1">2048</definedName>
    <definedName name="UNI_RET_SPECMIN" hidden="1">1024</definedName>
    <definedName name="UNI_RET_TAG" hidden="1">1</definedName>
    <definedName name="UNI_RET_TESTTIME" hidden="1">128</definedName>
    <definedName name="UNI_RET_TIME" hidden="1">8</definedName>
    <definedName name="UNI_RET_UNIT" hidden="1">2</definedName>
    <definedName name="UNI_RET_VALUE" hidden="1">16</definedName>
    <definedName name="w" localSheetId="29" hidden="1">#REF!</definedName>
    <definedName name="w" localSheetId="28" hidden="1">#REF!</definedName>
    <definedName name="w" localSheetId="49" hidden="1">#REF!</definedName>
    <definedName name="w" localSheetId="23" hidden="1">#REF!</definedName>
    <definedName name="w" localSheetId="83" hidden="1">#REF!</definedName>
    <definedName name="w" localSheetId="27" hidden="1">#REF!</definedName>
    <definedName name="w" localSheetId="48" hidden="1">#REF!</definedName>
    <definedName name="w" hidden="1">#REF!</definedName>
    <definedName name="wrn.1996._.Hydro._.5._.Year._.Forecast._.Budget." localSheetId="54" hidden="1">{#N/A,#N/A,FALSE,"Summary";#N/A,#N/A,FALSE,"SmPlants";#N/A,#N/A,FALSE,"Utah";#N/A,#N/A,FALSE,"Idaho";#N/A,#N/A,FALSE,"Lewis River";#N/A,#N/A,FALSE,"NrthUmpq";#N/A,#N/A,FALSE,"KlamRog"}</definedName>
    <definedName name="wrn.1996._.Hydro._.5._.Year._.Forecast._.Budget." localSheetId="53" hidden="1">{#N/A,#N/A,FALSE,"Summary";#N/A,#N/A,FALSE,"SmPlants";#N/A,#N/A,FALSE,"Utah";#N/A,#N/A,FALSE,"Idaho";#N/A,#N/A,FALSE,"Lewis River";#N/A,#N/A,FALSE,"NrthUmpq";#N/A,#N/A,FALSE,"KlamRog"}</definedName>
    <definedName name="wrn.1996._.Hydro._.5._.Year._.Forecast._.Budget." localSheetId="29" hidden="1">{#N/A,#N/A,FALSE,"Summary";#N/A,#N/A,FALSE,"SmPlants";#N/A,#N/A,FALSE,"Utah";#N/A,#N/A,FALSE,"Idaho";#N/A,#N/A,FALSE,"Lewis River";#N/A,#N/A,FALSE,"NrthUmpq";#N/A,#N/A,FALSE,"KlamRog"}</definedName>
    <definedName name="wrn.1996._.Hydro._.5._.Year._.Forecast._.Budget." localSheetId="28" hidden="1">{#N/A,#N/A,FALSE,"Summary";#N/A,#N/A,FALSE,"SmPlants";#N/A,#N/A,FALSE,"Utah";#N/A,#N/A,FALSE,"Idaho";#N/A,#N/A,FALSE,"Lewis River";#N/A,#N/A,FALSE,"NrthUmpq";#N/A,#N/A,FALSE,"KlamRog"}</definedName>
    <definedName name="wrn.1996._.Hydro._.5._.Year._.Forecast._.Budget." localSheetId="49" hidden="1">{#N/A,#N/A,FALSE,"Summary";#N/A,#N/A,FALSE,"SmPlants";#N/A,#N/A,FALSE,"Utah";#N/A,#N/A,FALSE,"Idaho";#N/A,#N/A,FALSE,"Lewis River";#N/A,#N/A,FALSE,"NrthUmpq";#N/A,#N/A,FALSE,"KlamRog"}</definedName>
    <definedName name="wrn.1996._.Hydro._.5._.Year._.Forecast._.Budget." localSheetId="23" hidden="1">{#N/A,#N/A,FALSE,"Summary";#N/A,#N/A,FALSE,"SmPlants";#N/A,#N/A,FALSE,"Utah";#N/A,#N/A,FALSE,"Idaho";#N/A,#N/A,FALSE,"Lewis River";#N/A,#N/A,FALSE,"NrthUmpq";#N/A,#N/A,FALSE,"KlamRog"}</definedName>
    <definedName name="wrn.1996._.Hydro._.5._.Year._.Forecast._.Budget." localSheetId="83" hidden="1">{#N/A,#N/A,FALSE,"Summary";#N/A,#N/A,FALSE,"SmPlants";#N/A,#N/A,FALSE,"Utah";#N/A,#N/A,FALSE,"Idaho";#N/A,#N/A,FALSE,"Lewis River";#N/A,#N/A,FALSE,"NrthUmpq";#N/A,#N/A,FALSE,"KlamRog"}</definedName>
    <definedName name="wrn.1996._.Hydro._.5._.Year._.Forecast._.Budget." localSheetId="27" hidden="1">{#N/A,#N/A,FALSE,"Summary";#N/A,#N/A,FALSE,"SmPlants";#N/A,#N/A,FALSE,"Utah";#N/A,#N/A,FALSE,"Idaho";#N/A,#N/A,FALSE,"Lewis River";#N/A,#N/A,FALSE,"NrthUmpq";#N/A,#N/A,FALSE,"KlamRog"}</definedName>
    <definedName name="wrn.1996._.Hydro._.5._.Year._.Forecast._.Budget." localSheetId="48" hidden="1">{#N/A,#N/A,FALSE,"Summary";#N/A,#N/A,FALSE,"SmPlants";#N/A,#N/A,FALSE,"Utah";#N/A,#N/A,FALSE,"Idaho";#N/A,#N/A,FALSE,"Lewis River";#N/A,#N/A,FALSE,"NrthUmpq";#N/A,#N/A,FALSE,"KlamRog"}</definedName>
    <definedName name="wrn.1996._.Hydro._.5._.Year._.Forecast._.Budget." hidden="1">{#N/A,#N/A,FALSE,"Summary";#N/A,#N/A,FALSE,"SmPlants";#N/A,#N/A,FALSE,"Utah";#N/A,#N/A,FALSE,"Idaho";#N/A,#N/A,FALSE,"Lewis River";#N/A,#N/A,FALSE,"NrthUmpq";#N/A,#N/A,FALSE,"KlamRog"}</definedName>
    <definedName name="wrn.Adj._.Back_Up." localSheetId="54" hidden="1">{"Page 3.4.1",#N/A,FALSE,"Totals";"Page 3.4.2",#N/A,FALSE,"Totals"}</definedName>
    <definedName name="wrn.Adj._.Back_Up." localSheetId="53" hidden="1">{"Page 3.4.1",#N/A,FALSE,"Totals";"Page 3.4.2",#N/A,FALSE,"Totals"}</definedName>
    <definedName name="wrn.Adj._.Back_Up." localSheetId="29" hidden="1">{"Page 3.4.1",#N/A,FALSE,"Totals";"Page 3.4.2",#N/A,FALSE,"Totals"}</definedName>
    <definedName name="wrn.Adj._.Back_Up." localSheetId="28" hidden="1">{"Page 3.4.1",#N/A,FALSE,"Totals";"Page 3.4.2",#N/A,FALSE,"Totals"}</definedName>
    <definedName name="wrn.Adj._.Back_Up." localSheetId="49" hidden="1">{"Page 3.4.1",#N/A,FALSE,"Totals";"Page 3.4.2",#N/A,FALSE,"Totals"}</definedName>
    <definedName name="wrn.Adj._.Back_Up." localSheetId="23" hidden="1">{"Page 3.4.1",#N/A,FALSE,"Totals";"Page 3.4.2",#N/A,FALSE,"Totals"}</definedName>
    <definedName name="wrn.Adj._.Back_Up." localSheetId="83" hidden="1">{"Page 3.4.1",#N/A,FALSE,"Totals";"Page 3.4.2",#N/A,FALSE,"Totals"}</definedName>
    <definedName name="wrn.Adj._.Back_Up." localSheetId="27" hidden="1">{"Page 3.4.1",#N/A,FALSE,"Totals";"Page 3.4.2",#N/A,FALSE,"Totals"}</definedName>
    <definedName name="wrn.Adj._.Back_Up." localSheetId="48" hidden="1">{"Page 3.4.1",#N/A,FALSE,"Totals";"Page 3.4.2",#N/A,FALSE,"Totals"}</definedName>
    <definedName name="wrn.Adj._.Back_Up." hidden="1">{"Page 3.4.1",#N/A,FALSE,"Totals";"Page 3.4.2",#N/A,FALSE,"Totals"}</definedName>
    <definedName name="wrn.ALL." localSheetId="54" hidden="1">{#N/A,#N/A,FALSE,"Summary EPS";#N/A,#N/A,FALSE,"1st Qtr Electric";#N/A,#N/A,FALSE,"1st Qtr Australia";#N/A,#N/A,FALSE,"1st Qtr Telecom";#N/A,#N/A,FALSE,"1st QTR Other"}</definedName>
    <definedName name="wrn.ALL." localSheetId="53" hidden="1">{#N/A,#N/A,FALSE,"Summary EPS";#N/A,#N/A,FALSE,"1st Qtr Electric";#N/A,#N/A,FALSE,"1st Qtr Australia";#N/A,#N/A,FALSE,"1st Qtr Telecom";#N/A,#N/A,FALSE,"1st QTR Other"}</definedName>
    <definedName name="wrn.ALL." localSheetId="29" hidden="1">{#N/A,#N/A,FALSE,"Summary EPS";#N/A,#N/A,FALSE,"1st Qtr Electric";#N/A,#N/A,FALSE,"1st Qtr Australia";#N/A,#N/A,FALSE,"1st Qtr Telecom";#N/A,#N/A,FALSE,"1st QTR Other"}</definedName>
    <definedName name="wrn.ALL." localSheetId="28" hidden="1">{#N/A,#N/A,FALSE,"Summary EPS";#N/A,#N/A,FALSE,"1st Qtr Electric";#N/A,#N/A,FALSE,"1st Qtr Australia";#N/A,#N/A,FALSE,"1st Qtr Telecom";#N/A,#N/A,FALSE,"1st QTR Other"}</definedName>
    <definedName name="wrn.ALL." localSheetId="49" hidden="1">{#N/A,#N/A,FALSE,"Summary EPS";#N/A,#N/A,FALSE,"1st Qtr Electric";#N/A,#N/A,FALSE,"1st Qtr Australia";#N/A,#N/A,FALSE,"1st Qtr Telecom";#N/A,#N/A,FALSE,"1st QTR Other"}</definedName>
    <definedName name="wrn.ALL." localSheetId="23" hidden="1">{#N/A,#N/A,FALSE,"Summary EPS";#N/A,#N/A,FALSE,"1st Qtr Electric";#N/A,#N/A,FALSE,"1st Qtr Australia";#N/A,#N/A,FALSE,"1st Qtr Telecom";#N/A,#N/A,FALSE,"1st QTR Other"}</definedName>
    <definedName name="wrn.ALL." localSheetId="83" hidden="1">{#N/A,#N/A,FALSE,"Summary EPS";#N/A,#N/A,FALSE,"1st Qtr Electric";#N/A,#N/A,FALSE,"1st Qtr Australia";#N/A,#N/A,FALSE,"1st Qtr Telecom";#N/A,#N/A,FALSE,"1st QTR Other"}</definedName>
    <definedName name="wrn.ALL." localSheetId="27" hidden="1">{#N/A,#N/A,FALSE,"Summary EPS";#N/A,#N/A,FALSE,"1st Qtr Electric";#N/A,#N/A,FALSE,"1st Qtr Australia";#N/A,#N/A,FALSE,"1st Qtr Telecom";#N/A,#N/A,FALSE,"1st QTR Other"}</definedName>
    <definedName name="wrn.ALL." localSheetId="48" hidden="1">{#N/A,#N/A,FALSE,"Summary EPS";#N/A,#N/A,FALSE,"1st Qtr Electric";#N/A,#N/A,FALSE,"1st Qtr Australia";#N/A,#N/A,FALSE,"1st Qtr Telecom";#N/A,#N/A,FALSE,"1st QTR Other"}</definedName>
    <definedName name="wrn.ALL." hidden="1">{#N/A,#N/A,FALSE,"Summary EPS";#N/A,#N/A,FALSE,"1st Qtr Electric";#N/A,#N/A,FALSE,"1st Qtr Australia";#N/A,#N/A,FALSE,"1st Qtr Telecom";#N/A,#N/A,FALSE,"1st QTR Other"}</definedName>
    <definedName name="wrn.All._.BSs._.and._.JEs." localSheetId="54" hidden="1">{#N/A,#N/A,FALSE,"Top level";#N/A,#N/A,FALSE,"Top level JEs";#N/A,#N/A,FALSE,"PHI";#N/A,#N/A,FALSE,"PHI JEs";#N/A,#N/A,FALSE,"PacifiCorp";#N/A,#N/A,FALSE,"PacifiCorp JEs";#N/A,#N/A,FALSE,"PGHC";#N/A,#N/A,FALSE,"PGHC JEs";#N/A,#N/A,FALSE,"Domestic"}</definedName>
    <definedName name="wrn.All._.BSs._.and._.JEs." localSheetId="53" hidden="1">{#N/A,#N/A,FALSE,"Top level";#N/A,#N/A,FALSE,"Top level JEs";#N/A,#N/A,FALSE,"PHI";#N/A,#N/A,FALSE,"PHI JEs";#N/A,#N/A,FALSE,"PacifiCorp";#N/A,#N/A,FALSE,"PacifiCorp JEs";#N/A,#N/A,FALSE,"PGHC";#N/A,#N/A,FALSE,"PGHC JEs";#N/A,#N/A,FALSE,"Domestic"}</definedName>
    <definedName name="wrn.All._.BSs._.and._.JEs." localSheetId="29" hidden="1">{#N/A,#N/A,FALSE,"Top level";#N/A,#N/A,FALSE,"Top level JEs";#N/A,#N/A,FALSE,"PHI";#N/A,#N/A,FALSE,"PHI JEs";#N/A,#N/A,FALSE,"PacifiCorp";#N/A,#N/A,FALSE,"PacifiCorp JEs";#N/A,#N/A,FALSE,"PGHC";#N/A,#N/A,FALSE,"PGHC JEs";#N/A,#N/A,FALSE,"Domestic"}</definedName>
    <definedName name="wrn.All._.BSs._.and._.JEs." localSheetId="28" hidden="1">{#N/A,#N/A,FALSE,"Top level";#N/A,#N/A,FALSE,"Top level JEs";#N/A,#N/A,FALSE,"PHI";#N/A,#N/A,FALSE,"PHI JEs";#N/A,#N/A,FALSE,"PacifiCorp";#N/A,#N/A,FALSE,"PacifiCorp JEs";#N/A,#N/A,FALSE,"PGHC";#N/A,#N/A,FALSE,"PGHC JEs";#N/A,#N/A,FALSE,"Domestic"}</definedName>
    <definedName name="wrn.All._.BSs._.and._.JEs." localSheetId="49" hidden="1">{#N/A,#N/A,FALSE,"Top level";#N/A,#N/A,FALSE,"Top level JEs";#N/A,#N/A,FALSE,"PHI";#N/A,#N/A,FALSE,"PHI JEs";#N/A,#N/A,FALSE,"PacifiCorp";#N/A,#N/A,FALSE,"PacifiCorp JEs";#N/A,#N/A,FALSE,"PGHC";#N/A,#N/A,FALSE,"PGHC JEs";#N/A,#N/A,FALSE,"Domestic"}</definedName>
    <definedName name="wrn.All._.BSs._.and._.JEs." localSheetId="23" hidden="1">{#N/A,#N/A,FALSE,"Top level";#N/A,#N/A,FALSE,"Top level JEs";#N/A,#N/A,FALSE,"PHI";#N/A,#N/A,FALSE,"PHI JEs";#N/A,#N/A,FALSE,"PacifiCorp";#N/A,#N/A,FALSE,"PacifiCorp JEs";#N/A,#N/A,FALSE,"PGHC";#N/A,#N/A,FALSE,"PGHC JEs";#N/A,#N/A,FALSE,"Domestic"}</definedName>
    <definedName name="wrn.All._.BSs._.and._.JEs." localSheetId="83" hidden="1">{#N/A,#N/A,FALSE,"Top level";#N/A,#N/A,FALSE,"Top level JEs";#N/A,#N/A,FALSE,"PHI";#N/A,#N/A,FALSE,"PHI JEs";#N/A,#N/A,FALSE,"PacifiCorp";#N/A,#N/A,FALSE,"PacifiCorp JEs";#N/A,#N/A,FALSE,"PGHC";#N/A,#N/A,FALSE,"PGHC JEs";#N/A,#N/A,FALSE,"Domestic"}</definedName>
    <definedName name="wrn.All._.BSs._.and._.JEs." localSheetId="27" hidden="1">{#N/A,#N/A,FALSE,"Top level";#N/A,#N/A,FALSE,"Top level JEs";#N/A,#N/A,FALSE,"PHI";#N/A,#N/A,FALSE,"PHI JEs";#N/A,#N/A,FALSE,"PacifiCorp";#N/A,#N/A,FALSE,"PacifiCorp JEs";#N/A,#N/A,FALSE,"PGHC";#N/A,#N/A,FALSE,"PGHC JEs";#N/A,#N/A,FALSE,"Domestic"}</definedName>
    <definedName name="wrn.All._.BSs._.and._.JEs." localSheetId="48" hidden="1">{#N/A,#N/A,FALSE,"Top level";#N/A,#N/A,FALSE,"Top level JEs";#N/A,#N/A,FALSE,"PHI";#N/A,#N/A,FALSE,"PHI JEs";#N/A,#N/A,FALSE,"PacifiCorp";#N/A,#N/A,FALSE,"PacifiCorp JEs";#N/A,#N/A,FALSE,"PGHC";#N/A,#N/A,FALSE,"PGHC JEs";#N/A,#N/A,FALSE,"Domestic"}</definedName>
    <definedName name="wrn.All._.BSs._.and._.JEs." hidden="1">{#N/A,#N/A,FALSE,"Top level";#N/A,#N/A,FALSE,"Top level JEs";#N/A,#N/A,FALSE,"PHI";#N/A,#N/A,FALSE,"PHI JEs";#N/A,#N/A,FALSE,"PacifiCorp";#N/A,#N/A,FALSE,"PacifiCorp JEs";#N/A,#N/A,FALSE,"PGHC";#N/A,#N/A,FALSE,"PGHC JEs";#N/A,#N/A,FALSE,"Domestic"}</definedName>
    <definedName name="wrn.All._.ISs._.and._.JEs." localSheetId="54" hidden="1">{#N/A,#N/A,FALSE,"Top level MTD";#N/A,#N/A,FALSE,"PHI MTD";#N/A,#N/A,FALSE,"PacifiCorp MTD";#N/A,#N/A,FALSE,"PGHC MTD";#N/A,#N/A,FALSE,"Top level QTD";#N/A,#N/A,FALSE,"PHI QTD";#N/A,#N/A,FALSE,"PacifiCorp QTD";#N/A,#N/A,FALSE,"PGHC QTD";#N/A,#N/A,FALSE,"Top level YTD";#N/A,#N/A,FALSE,"PHI YTD";#N/A,#N/A,FALSE,"PacifiCorp YTD";#N/A,#N/A,FALSE,"PGHC YTD"}</definedName>
    <definedName name="wrn.All._.ISs._.and._.JEs." localSheetId="53" hidden="1">{#N/A,#N/A,FALSE,"Top level MTD";#N/A,#N/A,FALSE,"PHI MTD";#N/A,#N/A,FALSE,"PacifiCorp MTD";#N/A,#N/A,FALSE,"PGHC MTD";#N/A,#N/A,FALSE,"Top level QTD";#N/A,#N/A,FALSE,"PHI QTD";#N/A,#N/A,FALSE,"PacifiCorp QTD";#N/A,#N/A,FALSE,"PGHC QTD";#N/A,#N/A,FALSE,"Top level YTD";#N/A,#N/A,FALSE,"PHI YTD";#N/A,#N/A,FALSE,"PacifiCorp YTD";#N/A,#N/A,FALSE,"PGHC YTD"}</definedName>
    <definedName name="wrn.All._.ISs._.and._.JEs." localSheetId="29" hidden="1">{#N/A,#N/A,FALSE,"Top level MTD";#N/A,#N/A,FALSE,"PHI MTD";#N/A,#N/A,FALSE,"PacifiCorp MTD";#N/A,#N/A,FALSE,"PGHC MTD";#N/A,#N/A,FALSE,"Top level QTD";#N/A,#N/A,FALSE,"PHI QTD";#N/A,#N/A,FALSE,"PacifiCorp QTD";#N/A,#N/A,FALSE,"PGHC QTD";#N/A,#N/A,FALSE,"Top level YTD";#N/A,#N/A,FALSE,"PHI YTD";#N/A,#N/A,FALSE,"PacifiCorp YTD";#N/A,#N/A,FALSE,"PGHC YTD"}</definedName>
    <definedName name="wrn.All._.ISs._.and._.JEs." localSheetId="28" hidden="1">{#N/A,#N/A,FALSE,"Top level MTD";#N/A,#N/A,FALSE,"PHI MTD";#N/A,#N/A,FALSE,"PacifiCorp MTD";#N/A,#N/A,FALSE,"PGHC MTD";#N/A,#N/A,FALSE,"Top level QTD";#N/A,#N/A,FALSE,"PHI QTD";#N/A,#N/A,FALSE,"PacifiCorp QTD";#N/A,#N/A,FALSE,"PGHC QTD";#N/A,#N/A,FALSE,"Top level YTD";#N/A,#N/A,FALSE,"PHI YTD";#N/A,#N/A,FALSE,"PacifiCorp YTD";#N/A,#N/A,FALSE,"PGHC YTD"}</definedName>
    <definedName name="wrn.All._.ISs._.and._.JEs." localSheetId="49" hidden="1">{#N/A,#N/A,FALSE,"Top level MTD";#N/A,#N/A,FALSE,"PHI MTD";#N/A,#N/A,FALSE,"PacifiCorp MTD";#N/A,#N/A,FALSE,"PGHC MTD";#N/A,#N/A,FALSE,"Top level QTD";#N/A,#N/A,FALSE,"PHI QTD";#N/A,#N/A,FALSE,"PacifiCorp QTD";#N/A,#N/A,FALSE,"PGHC QTD";#N/A,#N/A,FALSE,"Top level YTD";#N/A,#N/A,FALSE,"PHI YTD";#N/A,#N/A,FALSE,"PacifiCorp YTD";#N/A,#N/A,FALSE,"PGHC YTD"}</definedName>
    <definedName name="wrn.All._.ISs._.and._.JEs." localSheetId="23" hidden="1">{#N/A,#N/A,FALSE,"Top level MTD";#N/A,#N/A,FALSE,"PHI MTD";#N/A,#N/A,FALSE,"PacifiCorp MTD";#N/A,#N/A,FALSE,"PGHC MTD";#N/A,#N/A,FALSE,"Top level QTD";#N/A,#N/A,FALSE,"PHI QTD";#N/A,#N/A,FALSE,"PacifiCorp QTD";#N/A,#N/A,FALSE,"PGHC QTD";#N/A,#N/A,FALSE,"Top level YTD";#N/A,#N/A,FALSE,"PHI YTD";#N/A,#N/A,FALSE,"PacifiCorp YTD";#N/A,#N/A,FALSE,"PGHC YTD"}</definedName>
    <definedName name="wrn.All._.ISs._.and._.JEs." localSheetId="83" hidden="1">{#N/A,#N/A,FALSE,"Top level MTD";#N/A,#N/A,FALSE,"PHI MTD";#N/A,#N/A,FALSE,"PacifiCorp MTD";#N/A,#N/A,FALSE,"PGHC MTD";#N/A,#N/A,FALSE,"Top level QTD";#N/A,#N/A,FALSE,"PHI QTD";#N/A,#N/A,FALSE,"PacifiCorp QTD";#N/A,#N/A,FALSE,"PGHC QTD";#N/A,#N/A,FALSE,"Top level YTD";#N/A,#N/A,FALSE,"PHI YTD";#N/A,#N/A,FALSE,"PacifiCorp YTD";#N/A,#N/A,FALSE,"PGHC YTD"}</definedName>
    <definedName name="wrn.All._.ISs._.and._.JEs." localSheetId="27" hidden="1">{#N/A,#N/A,FALSE,"Top level MTD";#N/A,#N/A,FALSE,"PHI MTD";#N/A,#N/A,FALSE,"PacifiCorp MTD";#N/A,#N/A,FALSE,"PGHC MTD";#N/A,#N/A,FALSE,"Top level QTD";#N/A,#N/A,FALSE,"PHI QTD";#N/A,#N/A,FALSE,"PacifiCorp QTD";#N/A,#N/A,FALSE,"PGHC QTD";#N/A,#N/A,FALSE,"Top level YTD";#N/A,#N/A,FALSE,"PHI YTD";#N/A,#N/A,FALSE,"PacifiCorp YTD";#N/A,#N/A,FALSE,"PGHC YTD"}</definedName>
    <definedName name="wrn.All._.ISs._.and._.JEs." localSheetId="48" hidden="1">{#N/A,#N/A,FALSE,"Top level MTD";#N/A,#N/A,FALSE,"PHI MTD";#N/A,#N/A,FALSE,"PacifiCorp MTD";#N/A,#N/A,FALSE,"PGHC MTD";#N/A,#N/A,FALSE,"Top level QTD";#N/A,#N/A,FALSE,"PHI QTD";#N/A,#N/A,FALSE,"PacifiCorp QTD";#N/A,#N/A,FALSE,"PGHC QTD";#N/A,#N/A,FALSE,"Top level YTD";#N/A,#N/A,FALSE,"PHI YTD";#N/A,#N/A,FALSE,"PacifiCorp YTD";#N/A,#N/A,FALSE,"PGHC YTD"}</definedName>
    <definedName name="wrn.All._.ISs._.and._.JEs." hidden="1">{#N/A,#N/A,FALSE,"Top level MTD";#N/A,#N/A,FALSE,"PHI MTD";#N/A,#N/A,FALSE,"PacifiCorp MTD";#N/A,#N/A,FALSE,"PGHC MTD";#N/A,#N/A,FALSE,"Top level QTD";#N/A,#N/A,FALSE,"PHI QTD";#N/A,#N/A,FALSE,"PacifiCorp QTD";#N/A,#N/A,FALSE,"PGHC QTD";#N/A,#N/A,FALSE,"Top level YTD";#N/A,#N/A,FALSE,"PHI YTD";#N/A,#N/A,FALSE,"PacifiCorp YTD";#N/A,#N/A,FALSE,"PGHC YTD"}</definedName>
    <definedName name="wrn.All._.other._.months." localSheetId="54" hidden="1">{#N/A,#N/A,FALSE,"Top level MTD";#N/A,#N/A,FALSE,"PHI MTD";#N/A,#N/A,FALSE,"PacifiCorp MTD";#N/A,#N/A,FALSE,"PGHC MTD";#N/A,#N/A,FALSE,"Top level YTD";#N/A,#N/A,FALSE,"PHI YTD";#N/A,#N/A,FALSE,"PacifiCorp YTD";#N/A,#N/A,FALSE,"PGHC YTD"}</definedName>
    <definedName name="wrn.All._.other._.months." localSheetId="53" hidden="1">{#N/A,#N/A,FALSE,"Top level MTD";#N/A,#N/A,FALSE,"PHI MTD";#N/A,#N/A,FALSE,"PacifiCorp MTD";#N/A,#N/A,FALSE,"PGHC MTD";#N/A,#N/A,FALSE,"Top level YTD";#N/A,#N/A,FALSE,"PHI YTD";#N/A,#N/A,FALSE,"PacifiCorp YTD";#N/A,#N/A,FALSE,"PGHC YTD"}</definedName>
    <definedName name="wrn.All._.other._.months." localSheetId="29" hidden="1">{#N/A,#N/A,FALSE,"Top level MTD";#N/A,#N/A,FALSE,"PHI MTD";#N/A,#N/A,FALSE,"PacifiCorp MTD";#N/A,#N/A,FALSE,"PGHC MTD";#N/A,#N/A,FALSE,"Top level YTD";#N/A,#N/A,FALSE,"PHI YTD";#N/A,#N/A,FALSE,"PacifiCorp YTD";#N/A,#N/A,FALSE,"PGHC YTD"}</definedName>
    <definedName name="wrn.All._.other._.months." localSheetId="28" hidden="1">{#N/A,#N/A,FALSE,"Top level MTD";#N/A,#N/A,FALSE,"PHI MTD";#N/A,#N/A,FALSE,"PacifiCorp MTD";#N/A,#N/A,FALSE,"PGHC MTD";#N/A,#N/A,FALSE,"Top level YTD";#N/A,#N/A,FALSE,"PHI YTD";#N/A,#N/A,FALSE,"PacifiCorp YTD";#N/A,#N/A,FALSE,"PGHC YTD"}</definedName>
    <definedName name="wrn.All._.other._.months." localSheetId="49" hidden="1">{#N/A,#N/A,FALSE,"Top level MTD";#N/A,#N/A,FALSE,"PHI MTD";#N/A,#N/A,FALSE,"PacifiCorp MTD";#N/A,#N/A,FALSE,"PGHC MTD";#N/A,#N/A,FALSE,"Top level YTD";#N/A,#N/A,FALSE,"PHI YTD";#N/A,#N/A,FALSE,"PacifiCorp YTD";#N/A,#N/A,FALSE,"PGHC YTD"}</definedName>
    <definedName name="wrn.All._.other._.months." localSheetId="23" hidden="1">{#N/A,#N/A,FALSE,"Top level MTD";#N/A,#N/A,FALSE,"PHI MTD";#N/A,#N/A,FALSE,"PacifiCorp MTD";#N/A,#N/A,FALSE,"PGHC MTD";#N/A,#N/A,FALSE,"Top level YTD";#N/A,#N/A,FALSE,"PHI YTD";#N/A,#N/A,FALSE,"PacifiCorp YTD";#N/A,#N/A,FALSE,"PGHC YTD"}</definedName>
    <definedName name="wrn.All._.other._.months." localSheetId="83" hidden="1">{#N/A,#N/A,FALSE,"Top level MTD";#N/A,#N/A,FALSE,"PHI MTD";#N/A,#N/A,FALSE,"PacifiCorp MTD";#N/A,#N/A,FALSE,"PGHC MTD";#N/A,#N/A,FALSE,"Top level YTD";#N/A,#N/A,FALSE,"PHI YTD";#N/A,#N/A,FALSE,"PacifiCorp YTD";#N/A,#N/A,FALSE,"PGHC YTD"}</definedName>
    <definedName name="wrn.All._.other._.months." localSheetId="27" hidden="1">{#N/A,#N/A,FALSE,"Top level MTD";#N/A,#N/A,FALSE,"PHI MTD";#N/A,#N/A,FALSE,"PacifiCorp MTD";#N/A,#N/A,FALSE,"PGHC MTD";#N/A,#N/A,FALSE,"Top level YTD";#N/A,#N/A,FALSE,"PHI YTD";#N/A,#N/A,FALSE,"PacifiCorp YTD";#N/A,#N/A,FALSE,"PGHC YTD"}</definedName>
    <definedName name="wrn.All._.other._.months." localSheetId="48" hidden="1">{#N/A,#N/A,FALSE,"Top level MTD";#N/A,#N/A,FALSE,"PHI MTD";#N/A,#N/A,FALSE,"PacifiCorp MTD";#N/A,#N/A,FALSE,"PGHC MTD";#N/A,#N/A,FALSE,"Top level YTD";#N/A,#N/A,FALSE,"PHI YTD";#N/A,#N/A,FALSE,"PacifiCorp YTD";#N/A,#N/A,FALSE,"PGHC YTD"}</definedName>
    <definedName name="wrn.All._.other._.months." hidden="1">{#N/A,#N/A,FALSE,"Top level MTD";#N/A,#N/A,FALSE,"PHI MTD";#N/A,#N/A,FALSE,"PacifiCorp MTD";#N/A,#N/A,FALSE,"PGHC MTD";#N/A,#N/A,FALSE,"Top level YTD";#N/A,#N/A,FALSE,"PHI YTD";#N/A,#N/A,FALSE,"PacifiCorp YTD";#N/A,#N/A,FALSE,"PGHC YTD"}</definedName>
    <definedName name="wrn.All._.Pages." localSheetId="54" hidden="1">{#N/A,#N/A,FALSE,"Cover";#N/A,#N/A,FALSE,"Lead Sheet";#N/A,#N/A,FALSE,"T-Accounts";#N/A,#N/A,FALSE,"Jars Summary";#N/A,#N/A,FALSE,"Utah Monthly Amort";#N/A,#N/A,FALSE,"Pivot";#N/A,#N/A,FALSE,"June 2002 Writedowns";#N/A,#N/A,FALSE,"March 2003 Writedowns"}</definedName>
    <definedName name="wrn.All._.Pages." localSheetId="53" hidden="1">{#N/A,#N/A,FALSE,"Cover";#N/A,#N/A,FALSE,"Lead Sheet";#N/A,#N/A,FALSE,"T-Accounts";#N/A,#N/A,FALSE,"Jars Summary";#N/A,#N/A,FALSE,"Utah Monthly Amort";#N/A,#N/A,FALSE,"Pivot";#N/A,#N/A,FALSE,"June 2002 Writedowns";#N/A,#N/A,FALSE,"March 2003 Writedowns"}</definedName>
    <definedName name="wrn.All._.Pages." localSheetId="29" hidden="1">{#N/A,#N/A,FALSE,"Cover";#N/A,#N/A,FALSE,"Lead Sheet";#N/A,#N/A,FALSE,"T-Accounts";#N/A,#N/A,FALSE,"Jars Summary";#N/A,#N/A,FALSE,"Utah Monthly Amort";#N/A,#N/A,FALSE,"Pivot";#N/A,#N/A,FALSE,"June 2002 Writedowns";#N/A,#N/A,FALSE,"March 2003 Writedowns"}</definedName>
    <definedName name="wrn.All._.Pages." localSheetId="28" hidden="1">{#N/A,#N/A,FALSE,"Cover";#N/A,#N/A,FALSE,"Lead Sheet";#N/A,#N/A,FALSE,"T-Accounts";#N/A,#N/A,FALSE,"Jars Summary";#N/A,#N/A,FALSE,"Utah Monthly Amort";#N/A,#N/A,FALSE,"Pivot";#N/A,#N/A,FALSE,"June 2002 Writedowns";#N/A,#N/A,FALSE,"March 2003 Writedowns"}</definedName>
    <definedName name="wrn.All._.Pages." localSheetId="49" hidden="1">{#N/A,#N/A,FALSE,"Cover";#N/A,#N/A,FALSE,"Lead Sheet";#N/A,#N/A,FALSE,"T-Accounts";#N/A,#N/A,FALSE,"Jars Summary";#N/A,#N/A,FALSE,"Utah Monthly Amort";#N/A,#N/A,FALSE,"Pivot";#N/A,#N/A,FALSE,"June 2002 Writedowns";#N/A,#N/A,FALSE,"March 2003 Writedowns"}</definedName>
    <definedName name="wrn.All._.Pages." localSheetId="23" hidden="1">{#N/A,#N/A,FALSE,"Cover";#N/A,#N/A,FALSE,"Lead Sheet";#N/A,#N/A,FALSE,"T-Accounts";#N/A,#N/A,FALSE,"Jars Summary";#N/A,#N/A,FALSE,"Utah Monthly Amort";#N/A,#N/A,FALSE,"Pivot";#N/A,#N/A,FALSE,"June 2002 Writedowns";#N/A,#N/A,FALSE,"March 2003 Writedowns"}</definedName>
    <definedName name="wrn.All._.Pages." localSheetId="83" hidden="1">{#N/A,#N/A,FALSE,"Cover";#N/A,#N/A,FALSE,"Lead Sheet";#N/A,#N/A,FALSE,"T-Accounts";#N/A,#N/A,FALSE,"Jars Summary";#N/A,#N/A,FALSE,"Utah Monthly Amort";#N/A,#N/A,FALSE,"Pivot";#N/A,#N/A,FALSE,"June 2002 Writedowns";#N/A,#N/A,FALSE,"March 2003 Writedowns"}</definedName>
    <definedName name="wrn.All._.Pages." localSheetId="27" hidden="1">{#N/A,#N/A,FALSE,"Cover";#N/A,#N/A,FALSE,"Lead Sheet";#N/A,#N/A,FALSE,"T-Accounts";#N/A,#N/A,FALSE,"Jars Summary";#N/A,#N/A,FALSE,"Utah Monthly Amort";#N/A,#N/A,FALSE,"Pivot";#N/A,#N/A,FALSE,"June 2002 Writedowns";#N/A,#N/A,FALSE,"March 2003 Writedowns"}</definedName>
    <definedName name="wrn.All._.Pages." localSheetId="48" hidden="1">{#N/A,#N/A,FALSE,"Cover";#N/A,#N/A,FALSE,"Lead Sheet";#N/A,#N/A,FALSE,"T-Accounts";#N/A,#N/A,FALSE,"Jars Summary";#N/A,#N/A,FALSE,"Utah Monthly Amort";#N/A,#N/A,FALSE,"Pivot";#N/A,#N/A,FALSE,"June 2002 Writedowns";#N/A,#N/A,FALSE,"March 2003 Writedowns"}</definedName>
    <definedName name="wrn.All._.Pages." hidden="1">{#N/A,#N/A,FALSE,"Cover";#N/A,#N/A,FALSE,"Lead Sheet";#N/A,#N/A,FALSE,"T-Accounts";#N/A,#N/A,FALSE,"Jars Summary";#N/A,#N/A,FALSE,"Utah Monthly Amort";#N/A,#N/A,FALSE,"Pivot";#N/A,#N/A,FALSE,"June 2002 Writedowns";#N/A,#N/A,FALSE,"March 2003 Writedowns"}</definedName>
    <definedName name="wrn.BUS._.RPT." localSheetId="54" hidden="1">{#N/A,#N/A,FALSE,"P&amp;L Ttl";#N/A,#N/A,FALSE,"P&amp;L C_Ttl New";#N/A,#N/A,FALSE,"Bus Res";#N/A,#N/A,FALSE,"Chrts";#N/A,#N/A,FALSE,"pcf";#N/A,#N/A,FALSE,"pcr ";#N/A,#N/A,FALSE,"Exp Stmt ";#N/A,#N/A,FALSE,"Exp Stmt BU";#N/A,#N/A,FALSE,"Cap";#N/A,#N/A,FALSE,"IT Ytd"}</definedName>
    <definedName name="wrn.BUS._.RPT." localSheetId="53" hidden="1">{#N/A,#N/A,FALSE,"P&amp;L Ttl";#N/A,#N/A,FALSE,"P&amp;L C_Ttl New";#N/A,#N/A,FALSE,"Bus Res";#N/A,#N/A,FALSE,"Chrts";#N/A,#N/A,FALSE,"pcf";#N/A,#N/A,FALSE,"pcr ";#N/A,#N/A,FALSE,"Exp Stmt ";#N/A,#N/A,FALSE,"Exp Stmt BU";#N/A,#N/A,FALSE,"Cap";#N/A,#N/A,FALSE,"IT Ytd"}</definedName>
    <definedName name="wrn.BUS._.RPT." localSheetId="29" hidden="1">{#N/A,#N/A,FALSE,"P&amp;L Ttl";#N/A,#N/A,FALSE,"P&amp;L C_Ttl New";#N/A,#N/A,FALSE,"Bus Res";#N/A,#N/A,FALSE,"Chrts";#N/A,#N/A,FALSE,"pcf";#N/A,#N/A,FALSE,"pcr ";#N/A,#N/A,FALSE,"Exp Stmt ";#N/A,#N/A,FALSE,"Exp Stmt BU";#N/A,#N/A,FALSE,"Cap";#N/A,#N/A,FALSE,"IT Ytd"}</definedName>
    <definedName name="wrn.BUS._.RPT." localSheetId="28" hidden="1">{#N/A,#N/A,FALSE,"P&amp;L Ttl";#N/A,#N/A,FALSE,"P&amp;L C_Ttl New";#N/A,#N/A,FALSE,"Bus Res";#N/A,#N/A,FALSE,"Chrts";#N/A,#N/A,FALSE,"pcf";#N/A,#N/A,FALSE,"pcr ";#N/A,#N/A,FALSE,"Exp Stmt ";#N/A,#N/A,FALSE,"Exp Stmt BU";#N/A,#N/A,FALSE,"Cap";#N/A,#N/A,FALSE,"IT Ytd"}</definedName>
    <definedName name="wrn.BUS._.RPT." localSheetId="49" hidden="1">{#N/A,#N/A,FALSE,"P&amp;L Ttl";#N/A,#N/A,FALSE,"P&amp;L C_Ttl New";#N/A,#N/A,FALSE,"Bus Res";#N/A,#N/A,FALSE,"Chrts";#N/A,#N/A,FALSE,"pcf";#N/A,#N/A,FALSE,"pcr ";#N/A,#N/A,FALSE,"Exp Stmt ";#N/A,#N/A,FALSE,"Exp Stmt BU";#N/A,#N/A,FALSE,"Cap";#N/A,#N/A,FALSE,"IT Ytd"}</definedName>
    <definedName name="wrn.BUS._.RPT." localSheetId="23" hidden="1">{#N/A,#N/A,FALSE,"P&amp;L Ttl";#N/A,#N/A,FALSE,"P&amp;L C_Ttl New";#N/A,#N/A,FALSE,"Bus Res";#N/A,#N/A,FALSE,"Chrts";#N/A,#N/A,FALSE,"pcf";#N/A,#N/A,FALSE,"pcr ";#N/A,#N/A,FALSE,"Exp Stmt ";#N/A,#N/A,FALSE,"Exp Stmt BU";#N/A,#N/A,FALSE,"Cap";#N/A,#N/A,FALSE,"IT Ytd"}</definedName>
    <definedName name="wrn.BUS._.RPT." localSheetId="83" hidden="1">{#N/A,#N/A,FALSE,"P&amp;L Ttl";#N/A,#N/A,FALSE,"P&amp;L C_Ttl New";#N/A,#N/A,FALSE,"Bus Res";#N/A,#N/A,FALSE,"Chrts";#N/A,#N/A,FALSE,"pcf";#N/A,#N/A,FALSE,"pcr ";#N/A,#N/A,FALSE,"Exp Stmt ";#N/A,#N/A,FALSE,"Exp Stmt BU";#N/A,#N/A,FALSE,"Cap";#N/A,#N/A,FALSE,"IT Ytd"}</definedName>
    <definedName name="wrn.BUS._.RPT." localSheetId="27" hidden="1">{#N/A,#N/A,FALSE,"P&amp;L Ttl";#N/A,#N/A,FALSE,"P&amp;L C_Ttl New";#N/A,#N/A,FALSE,"Bus Res";#N/A,#N/A,FALSE,"Chrts";#N/A,#N/A,FALSE,"pcf";#N/A,#N/A,FALSE,"pcr ";#N/A,#N/A,FALSE,"Exp Stmt ";#N/A,#N/A,FALSE,"Exp Stmt BU";#N/A,#N/A,FALSE,"Cap";#N/A,#N/A,FALSE,"IT Ytd"}</definedName>
    <definedName name="wrn.BUS._.RPT." localSheetId="48" hidden="1">{#N/A,#N/A,FALSE,"P&amp;L Ttl";#N/A,#N/A,FALSE,"P&amp;L C_Ttl New";#N/A,#N/A,FALSE,"Bus Res";#N/A,#N/A,FALSE,"Chrts";#N/A,#N/A,FALSE,"pcf";#N/A,#N/A,FALSE,"pcr ";#N/A,#N/A,FALSE,"Exp Stmt ";#N/A,#N/A,FALSE,"Exp Stmt BU";#N/A,#N/A,FALSE,"Cap";#N/A,#N/A,FALSE,"IT Ytd"}</definedName>
    <definedName name="wrn.BUS._.RPT." hidden="1">{#N/A,#N/A,FALSE,"P&amp;L Ttl";#N/A,#N/A,FALSE,"P&amp;L C_Ttl New";#N/A,#N/A,FALSE,"Bus Res";#N/A,#N/A,FALSE,"Chrts";#N/A,#N/A,FALSE,"pcf";#N/A,#N/A,FALSE,"pcr ";#N/A,#N/A,FALSE,"Exp Stmt ";#N/A,#N/A,FALSE,"Exp Stmt BU";#N/A,#N/A,FALSE,"Cap";#N/A,#N/A,FALSE,"IT Ytd"}</definedName>
    <definedName name="wrn.Combined._.YTD." localSheetId="54" hidden="1">{"YTD-Total",#N/A,TRUE,"Provision";"YTD-Utility",#N/A,TRUE,"Prov Utility";"YTD-NonUtility",#N/A,TRUE,"Prov NonUtility"}</definedName>
    <definedName name="wrn.Combined._.YTD." localSheetId="53" hidden="1">{"YTD-Total",#N/A,TRUE,"Provision";"YTD-Utility",#N/A,TRUE,"Prov Utility";"YTD-NonUtility",#N/A,TRUE,"Prov NonUtility"}</definedName>
    <definedName name="wrn.Combined._.YTD." localSheetId="29" hidden="1">{"YTD-Total",#N/A,TRUE,"Provision";"YTD-Utility",#N/A,TRUE,"Prov Utility";"YTD-NonUtility",#N/A,TRUE,"Prov NonUtility"}</definedName>
    <definedName name="wrn.Combined._.YTD." localSheetId="28" hidden="1">{"YTD-Total",#N/A,TRUE,"Provision";"YTD-Utility",#N/A,TRUE,"Prov Utility";"YTD-NonUtility",#N/A,TRUE,"Prov NonUtility"}</definedName>
    <definedName name="wrn.Combined._.YTD." localSheetId="49" hidden="1">{"YTD-Total",#N/A,TRUE,"Provision";"YTD-Utility",#N/A,TRUE,"Prov Utility";"YTD-NonUtility",#N/A,TRUE,"Prov NonUtility"}</definedName>
    <definedName name="wrn.Combined._.YTD." localSheetId="23" hidden="1">{"YTD-Total",#N/A,TRUE,"Provision";"YTD-Utility",#N/A,TRUE,"Prov Utility";"YTD-NonUtility",#N/A,TRUE,"Prov NonUtility"}</definedName>
    <definedName name="wrn.Combined._.YTD." localSheetId="83" hidden="1">{"YTD-Total",#N/A,TRUE,"Provision";"YTD-Utility",#N/A,TRUE,"Prov Utility";"YTD-NonUtility",#N/A,TRUE,"Prov NonUtility"}</definedName>
    <definedName name="wrn.Combined._.YTD." localSheetId="27" hidden="1">{"YTD-Total",#N/A,TRUE,"Provision";"YTD-Utility",#N/A,TRUE,"Prov Utility";"YTD-NonUtility",#N/A,TRUE,"Prov NonUtility"}</definedName>
    <definedName name="wrn.Combined._.YTD." localSheetId="48" hidden="1">{"YTD-Total",#N/A,TRUE,"Provision";"YTD-Utility",#N/A,TRUE,"Prov Utility";"YTD-NonUtility",#N/A,TRUE,"Prov NonUtility"}</definedName>
    <definedName name="wrn.Combined._.YTD." hidden="1">{"YTD-Total",#N/A,TRUE,"Provision";"YTD-Utility",#N/A,TRUE,"Prov Utility";"YTD-NonUtility",#N/A,TRUE,"Prov NonUtility"}</definedName>
    <definedName name="wrn.ConsolGrossGrp." localSheetId="54" hidden="1">{"Conol gross povision grouped",#N/A,FALSE,"Consol Gross";"Consol Gross Grouped",#N/A,FALSE,"Consol Gross"}</definedName>
    <definedName name="wrn.ConsolGrossGrp." localSheetId="53" hidden="1">{"Conol gross povision grouped",#N/A,FALSE,"Consol Gross";"Consol Gross Grouped",#N/A,FALSE,"Consol Gross"}</definedName>
    <definedName name="wrn.ConsolGrossGrp." localSheetId="29" hidden="1">{"Conol gross povision grouped",#N/A,FALSE,"Consol Gross";"Consol Gross Grouped",#N/A,FALSE,"Consol Gross"}</definedName>
    <definedName name="wrn.ConsolGrossGrp." localSheetId="28" hidden="1">{"Conol gross povision grouped",#N/A,FALSE,"Consol Gross";"Consol Gross Grouped",#N/A,FALSE,"Consol Gross"}</definedName>
    <definedName name="wrn.ConsolGrossGrp." localSheetId="49" hidden="1">{"Conol gross povision grouped",#N/A,FALSE,"Consol Gross";"Consol Gross Grouped",#N/A,FALSE,"Consol Gross"}</definedName>
    <definedName name="wrn.ConsolGrossGrp." localSheetId="23" hidden="1">{"Conol gross povision grouped",#N/A,FALSE,"Consol Gross";"Consol Gross Grouped",#N/A,FALSE,"Consol Gross"}</definedName>
    <definedName name="wrn.ConsolGrossGrp." localSheetId="83" hidden="1">{"Conol gross povision grouped",#N/A,FALSE,"Consol Gross";"Consol Gross Grouped",#N/A,FALSE,"Consol Gross"}</definedName>
    <definedName name="wrn.ConsolGrossGrp." localSheetId="27" hidden="1">{"Conol gross povision grouped",#N/A,FALSE,"Consol Gross";"Consol Gross Grouped",#N/A,FALSE,"Consol Gross"}</definedName>
    <definedName name="wrn.ConsolGrossGrp." localSheetId="48" hidden="1">{"Conol gross povision grouped",#N/A,FALSE,"Consol Gross";"Consol Gross Grouped",#N/A,FALSE,"Consol Gross"}</definedName>
    <definedName name="wrn.ConsolGrossGrp." hidden="1">{"Conol gross povision grouped",#N/A,FALSE,"Consol Gross";"Consol Gross Grouped",#N/A,FALSE,"Consol Gross"}</definedName>
    <definedName name="wrn.Exec._.Summary." localSheetId="54" hidden="1">{#N/A,#N/A,FALSE,"Output Ass";#N/A,#N/A,FALSE,"Sum Tot";#N/A,#N/A,FALSE,"Ex Sum Year";#N/A,#N/A,FALSE,"Sum Qtr"}</definedName>
    <definedName name="wrn.Exec._.Summary." localSheetId="53" hidden="1">{#N/A,#N/A,FALSE,"Output Ass";#N/A,#N/A,FALSE,"Sum Tot";#N/A,#N/A,FALSE,"Ex Sum Year";#N/A,#N/A,FALSE,"Sum Qtr"}</definedName>
    <definedName name="wrn.Exec._.Summary." localSheetId="29" hidden="1">{#N/A,#N/A,FALSE,"Output Ass";#N/A,#N/A,FALSE,"Sum Tot";#N/A,#N/A,FALSE,"Ex Sum Year";#N/A,#N/A,FALSE,"Sum Qtr"}</definedName>
    <definedName name="wrn.Exec._.Summary." localSheetId="28" hidden="1">{#N/A,#N/A,FALSE,"Output Ass";#N/A,#N/A,FALSE,"Sum Tot";#N/A,#N/A,FALSE,"Ex Sum Year";#N/A,#N/A,FALSE,"Sum Qtr"}</definedName>
    <definedName name="wrn.Exec._.Summary." localSheetId="49" hidden="1">{#N/A,#N/A,FALSE,"Output Ass";#N/A,#N/A,FALSE,"Sum Tot";#N/A,#N/A,FALSE,"Ex Sum Year";#N/A,#N/A,FALSE,"Sum Qtr"}</definedName>
    <definedName name="wrn.Exec._.Summary." localSheetId="23" hidden="1">{#N/A,#N/A,FALSE,"Output Ass";#N/A,#N/A,FALSE,"Sum Tot";#N/A,#N/A,FALSE,"Ex Sum Year";#N/A,#N/A,FALSE,"Sum Qtr"}</definedName>
    <definedName name="wrn.Exec._.Summary." localSheetId="83" hidden="1">{#N/A,#N/A,FALSE,"Output Ass";#N/A,#N/A,FALSE,"Sum Tot";#N/A,#N/A,FALSE,"Ex Sum Year";#N/A,#N/A,FALSE,"Sum Qtr"}</definedName>
    <definedName name="wrn.Exec._.Summary." localSheetId="27" hidden="1">{#N/A,#N/A,FALSE,"Output Ass";#N/A,#N/A,FALSE,"Sum Tot";#N/A,#N/A,FALSE,"Ex Sum Year";#N/A,#N/A,FALSE,"Sum Qtr"}</definedName>
    <definedName name="wrn.Exec._.Summary." localSheetId="48" hidden="1">{#N/A,#N/A,FALSE,"Output Ass";#N/A,#N/A,FALSE,"Sum Tot";#N/A,#N/A,FALSE,"Ex Sum Year";#N/A,#N/A,FALSE,"Sum Qtr"}</definedName>
    <definedName name="wrn.Exec._.Summary." hidden="1">{#N/A,#N/A,FALSE,"Output Ass";#N/A,#N/A,FALSE,"Sum Tot";#N/A,#N/A,FALSE,"Ex Sum Year";#N/A,#N/A,FALSE,"Sum Qtr"}</definedName>
    <definedName name="wrn.Factors._.Tab._.10." localSheetId="54" hidden="1">{"Factors Pages 1-2",#N/A,FALSE,"Factors";"Factors Page 3",#N/A,FALSE,"Factors";"Factors Page 4",#N/A,FALSE,"Factors";"Factors Page 5",#N/A,FALSE,"Factors";"Factors Pages 8-27",#N/A,FALSE,"Factors"}</definedName>
    <definedName name="wrn.Factors._.Tab._.10." localSheetId="53" hidden="1">{"Factors Pages 1-2",#N/A,FALSE,"Factors";"Factors Page 3",#N/A,FALSE,"Factors";"Factors Page 4",#N/A,FALSE,"Factors";"Factors Page 5",#N/A,FALSE,"Factors";"Factors Pages 8-27",#N/A,FALSE,"Factors"}</definedName>
    <definedName name="wrn.Factors._.Tab._.10." localSheetId="29" hidden="1">{"Factors Pages 1-2",#N/A,FALSE,"Factors";"Factors Page 3",#N/A,FALSE,"Factors";"Factors Page 4",#N/A,FALSE,"Factors";"Factors Page 5",#N/A,FALSE,"Factors";"Factors Pages 8-27",#N/A,FALSE,"Factors"}</definedName>
    <definedName name="wrn.Factors._.Tab._.10." localSheetId="28" hidden="1">{"Factors Pages 1-2",#N/A,FALSE,"Factors";"Factors Page 3",#N/A,FALSE,"Factors";"Factors Page 4",#N/A,FALSE,"Factors";"Factors Page 5",#N/A,FALSE,"Factors";"Factors Pages 8-27",#N/A,FALSE,"Factors"}</definedName>
    <definedName name="wrn.Factors._.Tab._.10." localSheetId="49" hidden="1">{"Factors Pages 1-2",#N/A,FALSE,"Factors";"Factors Page 3",#N/A,FALSE,"Factors";"Factors Page 4",#N/A,FALSE,"Factors";"Factors Page 5",#N/A,FALSE,"Factors";"Factors Pages 8-27",#N/A,FALSE,"Factors"}</definedName>
    <definedName name="wrn.Factors._.Tab._.10." localSheetId="23" hidden="1">{"Factors Pages 1-2",#N/A,FALSE,"Factors";"Factors Page 3",#N/A,FALSE,"Factors";"Factors Page 4",#N/A,FALSE,"Factors";"Factors Page 5",#N/A,FALSE,"Factors";"Factors Pages 8-27",#N/A,FALSE,"Factors"}</definedName>
    <definedName name="wrn.Factors._.Tab._.10." localSheetId="83" hidden="1">{"Factors Pages 1-2",#N/A,FALSE,"Factors";"Factors Page 3",#N/A,FALSE,"Factors";"Factors Page 4",#N/A,FALSE,"Factors";"Factors Page 5",#N/A,FALSE,"Factors";"Factors Pages 8-27",#N/A,FALSE,"Factors"}</definedName>
    <definedName name="wrn.Factors._.Tab._.10." localSheetId="27" hidden="1">{"Factors Pages 1-2",#N/A,FALSE,"Factors";"Factors Page 3",#N/A,FALSE,"Factors";"Factors Page 4",#N/A,FALSE,"Factors";"Factors Page 5",#N/A,FALSE,"Factors";"Factors Pages 8-27",#N/A,FALSE,"Factors"}</definedName>
    <definedName name="wrn.Factors._.Tab._.10." localSheetId="48" hidden="1">{"Factors Pages 1-2",#N/A,FALSE,"Factors";"Factors Page 3",#N/A,FALSE,"Factors";"Factors Page 4",#N/A,FALSE,"Factors";"Factors Page 5",#N/A,FALSE,"Factors";"Factors Pages 8-27",#N/A,FALSE,"Factors"}</definedName>
    <definedName name="wrn.Factors._.Tab._.10." hidden="1">{"Factors Pages 1-2",#N/A,FALSE,"Factors";"Factors Page 3",#N/A,FALSE,"Factors";"Factors Page 4",#N/A,FALSE,"Factors";"Factors Page 5",#N/A,FALSE,"Factors";"Factors Pages 8-27",#N/A,FALSE,"Factors"}</definedName>
    <definedName name="wrn.full._.report." localSheetId="54" hidden="1">{"print_su",#N/A,TRUE,"bond_size1";"print_cf",#N/A,TRUE,"bond_size1";"print_sads",#N/A,TRUE,"bond_size1";"print_capi",#N/A,TRUE,"bond_size1";"print_ads",#N/A,TRUE,"bond_size1";"print_bp",#N/A,TRUE,"bond_size1";"print_nds",#N/A,TRUE,"bond_size1";"print_yield",#N/A,TRUE,"bond_size1"}</definedName>
    <definedName name="wrn.full._.report." localSheetId="53" hidden="1">{"print_su",#N/A,TRUE,"bond_size1";"print_cf",#N/A,TRUE,"bond_size1";"print_sads",#N/A,TRUE,"bond_size1";"print_capi",#N/A,TRUE,"bond_size1";"print_ads",#N/A,TRUE,"bond_size1";"print_bp",#N/A,TRUE,"bond_size1";"print_nds",#N/A,TRUE,"bond_size1";"print_yield",#N/A,TRUE,"bond_size1"}</definedName>
    <definedName name="wrn.full._.report." localSheetId="29" hidden="1">{"print_su",#N/A,TRUE,"bond_size1";"print_cf",#N/A,TRUE,"bond_size1";"print_sads",#N/A,TRUE,"bond_size1";"print_capi",#N/A,TRUE,"bond_size1";"print_ads",#N/A,TRUE,"bond_size1";"print_bp",#N/A,TRUE,"bond_size1";"print_nds",#N/A,TRUE,"bond_size1";"print_yield",#N/A,TRUE,"bond_size1"}</definedName>
    <definedName name="wrn.full._.report." localSheetId="28" hidden="1">{"print_su",#N/A,TRUE,"bond_size1";"print_cf",#N/A,TRUE,"bond_size1";"print_sads",#N/A,TRUE,"bond_size1";"print_capi",#N/A,TRUE,"bond_size1";"print_ads",#N/A,TRUE,"bond_size1";"print_bp",#N/A,TRUE,"bond_size1";"print_nds",#N/A,TRUE,"bond_size1";"print_yield",#N/A,TRUE,"bond_size1"}</definedName>
    <definedName name="wrn.full._.report." localSheetId="49" hidden="1">{"print_su",#N/A,TRUE,"bond_size1";"print_cf",#N/A,TRUE,"bond_size1";"print_sads",#N/A,TRUE,"bond_size1";"print_capi",#N/A,TRUE,"bond_size1";"print_ads",#N/A,TRUE,"bond_size1";"print_bp",#N/A,TRUE,"bond_size1";"print_nds",#N/A,TRUE,"bond_size1";"print_yield",#N/A,TRUE,"bond_size1"}</definedName>
    <definedName name="wrn.full._.report." localSheetId="23" hidden="1">{"print_su",#N/A,TRUE,"bond_size1";"print_cf",#N/A,TRUE,"bond_size1";"print_sads",#N/A,TRUE,"bond_size1";"print_capi",#N/A,TRUE,"bond_size1";"print_ads",#N/A,TRUE,"bond_size1";"print_bp",#N/A,TRUE,"bond_size1";"print_nds",#N/A,TRUE,"bond_size1";"print_yield",#N/A,TRUE,"bond_size1"}</definedName>
    <definedName name="wrn.full._.report." localSheetId="83" hidden="1">{"print_su",#N/A,TRUE,"bond_size1";"print_cf",#N/A,TRUE,"bond_size1";"print_sads",#N/A,TRUE,"bond_size1";"print_capi",#N/A,TRUE,"bond_size1";"print_ads",#N/A,TRUE,"bond_size1";"print_bp",#N/A,TRUE,"bond_size1";"print_nds",#N/A,TRUE,"bond_size1";"print_yield",#N/A,TRUE,"bond_size1"}</definedName>
    <definedName name="wrn.full._.report." localSheetId="27" hidden="1">{"print_su",#N/A,TRUE,"bond_size1";"print_cf",#N/A,TRUE,"bond_size1";"print_sads",#N/A,TRUE,"bond_size1";"print_capi",#N/A,TRUE,"bond_size1";"print_ads",#N/A,TRUE,"bond_size1";"print_bp",#N/A,TRUE,"bond_size1";"print_nds",#N/A,TRUE,"bond_size1";"print_yield",#N/A,TRUE,"bond_size1"}</definedName>
    <definedName name="wrn.full._.report." localSheetId="48" hidden="1">{"print_su",#N/A,TRUE,"bond_size1";"print_cf",#N/A,TRUE,"bond_size1";"print_sads",#N/A,TRUE,"bond_size1";"print_capi",#N/A,TRUE,"bond_size1";"print_ads",#N/A,TRUE,"bond_size1";"print_bp",#N/A,TRUE,"bond_size1";"print_nds",#N/A,TRUE,"bond_size1";"print_yield",#N/A,TRUE,"bond_size1"}</definedName>
    <definedName name="wrn.full._.report." hidden="1">{"print_su",#N/A,TRUE,"bond_size1";"print_cf",#N/A,TRUE,"bond_size1";"print_sads",#N/A,TRUE,"bond_size1";"print_capi",#N/A,TRUE,"bond_size1";"print_ads",#N/A,TRUE,"bond_size1";"print_bp",#N/A,TRUE,"bond_size1";"print_nds",#N/A,TRUE,"bond_size1";"print_yield",#N/A,TRUE,"bond_size1"}</definedName>
    <definedName name="wrn.Full._.View." localSheetId="54" hidden="1">{"FullView",#N/A,FALSE,"Consltd-For contngcy"}</definedName>
    <definedName name="wrn.Full._.View." localSheetId="53" hidden="1">{"FullView",#N/A,FALSE,"Consltd-For contngcy"}</definedName>
    <definedName name="wrn.Full._.View." localSheetId="29" hidden="1">{"FullView",#N/A,FALSE,"Consltd-For contngcy"}</definedName>
    <definedName name="wrn.Full._.View." localSheetId="28" hidden="1">{"FullView",#N/A,FALSE,"Consltd-For contngcy"}</definedName>
    <definedName name="wrn.Full._.View." localSheetId="49" hidden="1">{"FullView",#N/A,FALSE,"Consltd-For contngcy"}</definedName>
    <definedName name="wrn.Full._.View." localSheetId="23" hidden="1">{"FullView",#N/A,FALSE,"Consltd-For contngcy"}</definedName>
    <definedName name="wrn.Full._.View." localSheetId="83" hidden="1">{"FullView",#N/A,FALSE,"Consltd-For contngcy"}</definedName>
    <definedName name="wrn.Full._.View." localSheetId="27" hidden="1">{"FullView",#N/A,FALSE,"Consltd-For contngcy"}</definedName>
    <definedName name="wrn.Full._.View." localSheetId="48" hidden="1">{"FullView",#N/A,FALSE,"Consltd-For contngcy"}</definedName>
    <definedName name="wrn.Full._.View." hidden="1">{"FullView",#N/A,FALSE,"Consltd-For contngcy"}</definedName>
    <definedName name="wrn.GLReport." localSheetId="54" hidden="1">{#N/A,#N/A,FALSE,"Forecast";#N/A,#N/A,FALSE,"SumWBS";#N/A,#N/A,FALSE,"SumGL";#N/A,#N/A,FALSE,"Klam";#N/A,#N/A,FALSE,"Yale";#N/A,#N/A,FALSE,"Merw";#N/A,#N/A,FALSE,"Swif";#N/A,#N/A,FALSE,"Umpq";#N/A,#N/A,FALSE,"Powe";#N/A,#N/A,FALSE,"PDDec";#N/A,#N/A,FALSE,"Bigf";#N/A,#N/A,FALSE,"Cond";#N/A,#N/A,FALSE,"Grac";#N/A,#N/A,FALSE,"Onei";#N/A,#N/A,FALSE,"Amer";#N/A,#N/A,FALSE,"Soda";#N/A,#N/A,FALSE,"Pros"}</definedName>
    <definedName name="wrn.GLReport." localSheetId="53" hidden="1">{#N/A,#N/A,FALSE,"Forecast";#N/A,#N/A,FALSE,"SumWBS";#N/A,#N/A,FALSE,"SumGL";#N/A,#N/A,FALSE,"Klam";#N/A,#N/A,FALSE,"Yale";#N/A,#N/A,FALSE,"Merw";#N/A,#N/A,FALSE,"Swif";#N/A,#N/A,FALSE,"Umpq";#N/A,#N/A,FALSE,"Powe";#N/A,#N/A,FALSE,"PDDec";#N/A,#N/A,FALSE,"Bigf";#N/A,#N/A,FALSE,"Cond";#N/A,#N/A,FALSE,"Grac";#N/A,#N/A,FALSE,"Onei";#N/A,#N/A,FALSE,"Amer";#N/A,#N/A,FALSE,"Soda";#N/A,#N/A,FALSE,"Pros"}</definedName>
    <definedName name="wrn.GLReport." localSheetId="29" hidden="1">{#N/A,#N/A,FALSE,"Forecast";#N/A,#N/A,FALSE,"SumWBS";#N/A,#N/A,FALSE,"SumGL";#N/A,#N/A,FALSE,"Klam";#N/A,#N/A,FALSE,"Yale";#N/A,#N/A,FALSE,"Merw";#N/A,#N/A,FALSE,"Swif";#N/A,#N/A,FALSE,"Umpq";#N/A,#N/A,FALSE,"Powe";#N/A,#N/A,FALSE,"PDDec";#N/A,#N/A,FALSE,"Bigf";#N/A,#N/A,FALSE,"Cond";#N/A,#N/A,FALSE,"Grac";#N/A,#N/A,FALSE,"Onei";#N/A,#N/A,FALSE,"Amer";#N/A,#N/A,FALSE,"Soda";#N/A,#N/A,FALSE,"Pros"}</definedName>
    <definedName name="wrn.GLReport." localSheetId="28" hidden="1">{#N/A,#N/A,FALSE,"Forecast";#N/A,#N/A,FALSE,"SumWBS";#N/A,#N/A,FALSE,"SumGL";#N/A,#N/A,FALSE,"Klam";#N/A,#N/A,FALSE,"Yale";#N/A,#N/A,FALSE,"Merw";#N/A,#N/A,FALSE,"Swif";#N/A,#N/A,FALSE,"Umpq";#N/A,#N/A,FALSE,"Powe";#N/A,#N/A,FALSE,"PDDec";#N/A,#N/A,FALSE,"Bigf";#N/A,#N/A,FALSE,"Cond";#N/A,#N/A,FALSE,"Grac";#N/A,#N/A,FALSE,"Onei";#N/A,#N/A,FALSE,"Amer";#N/A,#N/A,FALSE,"Soda";#N/A,#N/A,FALSE,"Pros"}</definedName>
    <definedName name="wrn.GLReport." localSheetId="49" hidden="1">{#N/A,#N/A,FALSE,"Forecast";#N/A,#N/A,FALSE,"SumWBS";#N/A,#N/A,FALSE,"SumGL";#N/A,#N/A,FALSE,"Klam";#N/A,#N/A,FALSE,"Yale";#N/A,#N/A,FALSE,"Merw";#N/A,#N/A,FALSE,"Swif";#N/A,#N/A,FALSE,"Umpq";#N/A,#N/A,FALSE,"Powe";#N/A,#N/A,FALSE,"PDDec";#N/A,#N/A,FALSE,"Bigf";#N/A,#N/A,FALSE,"Cond";#N/A,#N/A,FALSE,"Grac";#N/A,#N/A,FALSE,"Onei";#N/A,#N/A,FALSE,"Amer";#N/A,#N/A,FALSE,"Soda";#N/A,#N/A,FALSE,"Pros"}</definedName>
    <definedName name="wrn.GLReport." localSheetId="23" hidden="1">{#N/A,#N/A,FALSE,"Forecast";#N/A,#N/A,FALSE,"SumWBS";#N/A,#N/A,FALSE,"SumGL";#N/A,#N/A,FALSE,"Klam";#N/A,#N/A,FALSE,"Yale";#N/A,#N/A,FALSE,"Merw";#N/A,#N/A,FALSE,"Swif";#N/A,#N/A,FALSE,"Umpq";#N/A,#N/A,FALSE,"Powe";#N/A,#N/A,FALSE,"PDDec";#N/A,#N/A,FALSE,"Bigf";#N/A,#N/A,FALSE,"Cond";#N/A,#N/A,FALSE,"Grac";#N/A,#N/A,FALSE,"Onei";#N/A,#N/A,FALSE,"Amer";#N/A,#N/A,FALSE,"Soda";#N/A,#N/A,FALSE,"Pros"}</definedName>
    <definedName name="wrn.GLReport." localSheetId="83" hidden="1">{#N/A,#N/A,FALSE,"Forecast";#N/A,#N/A,FALSE,"SumWBS";#N/A,#N/A,FALSE,"SumGL";#N/A,#N/A,FALSE,"Klam";#N/A,#N/A,FALSE,"Yale";#N/A,#N/A,FALSE,"Merw";#N/A,#N/A,FALSE,"Swif";#N/A,#N/A,FALSE,"Umpq";#N/A,#N/A,FALSE,"Powe";#N/A,#N/A,FALSE,"PDDec";#N/A,#N/A,FALSE,"Bigf";#N/A,#N/A,FALSE,"Cond";#N/A,#N/A,FALSE,"Grac";#N/A,#N/A,FALSE,"Onei";#N/A,#N/A,FALSE,"Amer";#N/A,#N/A,FALSE,"Soda";#N/A,#N/A,FALSE,"Pros"}</definedName>
    <definedName name="wrn.GLReport." localSheetId="27" hidden="1">{#N/A,#N/A,FALSE,"Forecast";#N/A,#N/A,FALSE,"SumWBS";#N/A,#N/A,FALSE,"SumGL";#N/A,#N/A,FALSE,"Klam";#N/A,#N/A,FALSE,"Yale";#N/A,#N/A,FALSE,"Merw";#N/A,#N/A,FALSE,"Swif";#N/A,#N/A,FALSE,"Umpq";#N/A,#N/A,FALSE,"Powe";#N/A,#N/A,FALSE,"PDDec";#N/A,#N/A,FALSE,"Bigf";#N/A,#N/A,FALSE,"Cond";#N/A,#N/A,FALSE,"Grac";#N/A,#N/A,FALSE,"Onei";#N/A,#N/A,FALSE,"Amer";#N/A,#N/A,FALSE,"Soda";#N/A,#N/A,FALSE,"Pros"}</definedName>
    <definedName name="wrn.GLReport." localSheetId="48" hidden="1">{#N/A,#N/A,FALSE,"Forecast";#N/A,#N/A,FALSE,"SumWBS";#N/A,#N/A,FALSE,"SumGL";#N/A,#N/A,FALSE,"Klam";#N/A,#N/A,FALSE,"Yale";#N/A,#N/A,FALSE,"Merw";#N/A,#N/A,FALSE,"Swif";#N/A,#N/A,FALSE,"Umpq";#N/A,#N/A,FALSE,"Powe";#N/A,#N/A,FALSE,"PDDec";#N/A,#N/A,FALSE,"Bigf";#N/A,#N/A,FALSE,"Cond";#N/A,#N/A,FALSE,"Grac";#N/A,#N/A,FALSE,"Onei";#N/A,#N/A,FALSE,"Amer";#N/A,#N/A,FALSE,"Soda";#N/A,#N/A,FALSE,"Pros"}</definedName>
    <definedName name="wrn.GLReport." hidden="1">{#N/A,#N/A,FALSE,"Forecast";#N/A,#N/A,FALSE,"SumWBS";#N/A,#N/A,FALSE,"SumGL";#N/A,#N/A,FALSE,"Klam";#N/A,#N/A,FALSE,"Yale";#N/A,#N/A,FALSE,"Merw";#N/A,#N/A,FALSE,"Swif";#N/A,#N/A,FALSE,"Umpq";#N/A,#N/A,FALSE,"Powe";#N/A,#N/A,FALSE,"PDDec";#N/A,#N/A,FALSE,"Bigf";#N/A,#N/A,FALSE,"Cond";#N/A,#N/A,FALSE,"Grac";#N/A,#N/A,FALSE,"Onei";#N/A,#N/A,FALSE,"Amer";#N/A,#N/A,FALSE,"Soda";#N/A,#N/A,FALSE,"Pros"}</definedName>
    <definedName name="wrn.life." localSheetId="54" hidden="1">{"life_te",#N/A,TRUE,"life";"duration_te",#N/A,TRUE,"duration";"life_ab",#N/A,TRUE,"life";"duration_ab",#N/A,TRUE,"duration";"life_fed_tax",#N/A,TRUE,"life";"duration_tax",#N/A,TRUE,"duration";"life_tax",#N/A,TRUE,"life";"life_fed",#N/A,TRUE,"life";"duration_cd_fed",#N/A,TRUE,"duration"}</definedName>
    <definedName name="wrn.life." localSheetId="53" hidden="1">{"life_te",#N/A,TRUE,"life";"duration_te",#N/A,TRUE,"duration";"life_ab",#N/A,TRUE,"life";"duration_ab",#N/A,TRUE,"duration";"life_fed_tax",#N/A,TRUE,"life";"duration_tax",#N/A,TRUE,"duration";"life_tax",#N/A,TRUE,"life";"life_fed",#N/A,TRUE,"life";"duration_cd_fed",#N/A,TRUE,"duration"}</definedName>
    <definedName name="wrn.life." localSheetId="29" hidden="1">{"life_te",#N/A,TRUE,"life";"duration_te",#N/A,TRUE,"duration";"life_ab",#N/A,TRUE,"life";"duration_ab",#N/A,TRUE,"duration";"life_fed_tax",#N/A,TRUE,"life";"duration_tax",#N/A,TRUE,"duration";"life_tax",#N/A,TRUE,"life";"life_fed",#N/A,TRUE,"life";"duration_cd_fed",#N/A,TRUE,"duration"}</definedName>
    <definedName name="wrn.life." localSheetId="28" hidden="1">{"life_te",#N/A,TRUE,"life";"duration_te",#N/A,TRUE,"duration";"life_ab",#N/A,TRUE,"life";"duration_ab",#N/A,TRUE,"duration";"life_fed_tax",#N/A,TRUE,"life";"duration_tax",#N/A,TRUE,"duration";"life_tax",#N/A,TRUE,"life";"life_fed",#N/A,TRUE,"life";"duration_cd_fed",#N/A,TRUE,"duration"}</definedName>
    <definedName name="wrn.life." localSheetId="49" hidden="1">{"life_te",#N/A,TRUE,"life";"duration_te",#N/A,TRUE,"duration";"life_ab",#N/A,TRUE,"life";"duration_ab",#N/A,TRUE,"duration";"life_fed_tax",#N/A,TRUE,"life";"duration_tax",#N/A,TRUE,"duration";"life_tax",#N/A,TRUE,"life";"life_fed",#N/A,TRUE,"life";"duration_cd_fed",#N/A,TRUE,"duration"}</definedName>
    <definedName name="wrn.life." localSheetId="23" hidden="1">{"life_te",#N/A,TRUE,"life";"duration_te",#N/A,TRUE,"duration";"life_ab",#N/A,TRUE,"life";"duration_ab",#N/A,TRUE,"duration";"life_fed_tax",#N/A,TRUE,"life";"duration_tax",#N/A,TRUE,"duration";"life_tax",#N/A,TRUE,"life";"life_fed",#N/A,TRUE,"life";"duration_cd_fed",#N/A,TRUE,"duration"}</definedName>
    <definedName name="wrn.life." localSheetId="83" hidden="1">{"life_te",#N/A,TRUE,"life";"duration_te",#N/A,TRUE,"duration";"life_ab",#N/A,TRUE,"life";"duration_ab",#N/A,TRUE,"duration";"life_fed_tax",#N/A,TRUE,"life";"duration_tax",#N/A,TRUE,"duration";"life_tax",#N/A,TRUE,"life";"life_fed",#N/A,TRUE,"life";"duration_cd_fed",#N/A,TRUE,"duration"}</definedName>
    <definedName name="wrn.life." localSheetId="27" hidden="1">{"life_te",#N/A,TRUE,"life";"duration_te",#N/A,TRUE,"duration";"life_ab",#N/A,TRUE,"life";"duration_ab",#N/A,TRUE,"duration";"life_fed_tax",#N/A,TRUE,"life";"duration_tax",#N/A,TRUE,"duration";"life_tax",#N/A,TRUE,"life";"life_fed",#N/A,TRUE,"life";"duration_cd_fed",#N/A,TRUE,"duration"}</definedName>
    <definedName name="wrn.life." localSheetId="48" hidden="1">{"life_te",#N/A,TRUE,"life";"duration_te",#N/A,TRUE,"duration";"life_ab",#N/A,TRUE,"life";"duration_ab",#N/A,TRUE,"duration";"life_fed_tax",#N/A,TRUE,"life";"duration_tax",#N/A,TRUE,"duration";"life_tax",#N/A,TRUE,"life";"life_fed",#N/A,TRUE,"life";"duration_cd_fed",#N/A,TRUE,"duration"}</definedName>
    <definedName name="wrn.life." hidden="1">{"life_te",#N/A,TRUE,"life";"duration_te",#N/A,TRUE,"duration";"life_ab",#N/A,TRUE,"life";"duration_ab",#N/A,TRUE,"duration";"life_fed_tax",#N/A,TRUE,"life";"duration_tax",#N/A,TRUE,"duration";"life_tax",#N/A,TRUE,"life";"life_fed",#N/A,TRUE,"life";"duration_cd_fed",#N/A,TRUE,"duration"}</definedName>
    <definedName name="wrn.Open._.Issues._.Only." localSheetId="54" hidden="1">{"Open issues Only",#N/A,FALSE,"TIMELINE"}</definedName>
    <definedName name="wrn.Open._.Issues._.Only." localSheetId="53" hidden="1">{"Open issues Only",#N/A,FALSE,"TIMELINE"}</definedName>
    <definedName name="wrn.Open._.Issues._.Only." localSheetId="29" hidden="1">{"Open issues Only",#N/A,FALSE,"TIMELINE"}</definedName>
    <definedName name="wrn.Open._.Issues._.Only." localSheetId="28" hidden="1">{"Open issues Only",#N/A,FALSE,"TIMELINE"}</definedName>
    <definedName name="wrn.Open._.Issues._.Only." localSheetId="49" hidden="1">{"Open issues Only",#N/A,FALSE,"TIMELINE"}</definedName>
    <definedName name="wrn.Open._.Issues._.Only." localSheetId="23" hidden="1">{"Open issues Only",#N/A,FALSE,"TIMELINE"}</definedName>
    <definedName name="wrn.Open._.Issues._.Only." localSheetId="83" hidden="1">{"Open issues Only",#N/A,FALSE,"TIMELINE"}</definedName>
    <definedName name="wrn.Open._.Issues._.Only." localSheetId="27" hidden="1">{"Open issues Only",#N/A,FALSE,"TIMELINE"}</definedName>
    <definedName name="wrn.Open._.Issues._.Only." localSheetId="48" hidden="1">{"Open issues Only",#N/A,FALSE,"TIMELINE"}</definedName>
    <definedName name="wrn.Open._.Issues._.Only." hidden="1">{"Open issues Only",#N/A,FALSE,"TIMELINE"}</definedName>
    <definedName name="wrn.OR._.Carrying._.Charge._.JV." localSheetId="54" hidden="1">{#N/A,#N/A,FALSE,"Loans";#N/A,#N/A,FALSE,"Program Costs";#N/A,#N/A,FALSE,"Measures";#N/A,#N/A,FALSE,"Net Lost Rev";#N/A,#N/A,FALSE,"Incentive"}</definedName>
    <definedName name="wrn.OR._.Carrying._.Charge._.JV." localSheetId="53" hidden="1">{#N/A,#N/A,FALSE,"Loans";#N/A,#N/A,FALSE,"Program Costs";#N/A,#N/A,FALSE,"Measures";#N/A,#N/A,FALSE,"Net Lost Rev";#N/A,#N/A,FALSE,"Incentive"}</definedName>
    <definedName name="wrn.OR._.Carrying._.Charge._.JV." localSheetId="29" hidden="1">{#N/A,#N/A,FALSE,"Loans";#N/A,#N/A,FALSE,"Program Costs";#N/A,#N/A,FALSE,"Measures";#N/A,#N/A,FALSE,"Net Lost Rev";#N/A,#N/A,FALSE,"Incentive"}</definedName>
    <definedName name="wrn.OR._.Carrying._.Charge._.JV." localSheetId="28" hidden="1">{#N/A,#N/A,FALSE,"Loans";#N/A,#N/A,FALSE,"Program Costs";#N/A,#N/A,FALSE,"Measures";#N/A,#N/A,FALSE,"Net Lost Rev";#N/A,#N/A,FALSE,"Incentive"}</definedName>
    <definedName name="wrn.OR._.Carrying._.Charge._.JV." localSheetId="49" hidden="1">{#N/A,#N/A,FALSE,"Loans";#N/A,#N/A,FALSE,"Program Costs";#N/A,#N/A,FALSE,"Measures";#N/A,#N/A,FALSE,"Net Lost Rev";#N/A,#N/A,FALSE,"Incentive"}</definedName>
    <definedName name="wrn.OR._.Carrying._.Charge._.JV." localSheetId="23" hidden="1">{#N/A,#N/A,FALSE,"Loans";#N/A,#N/A,FALSE,"Program Costs";#N/A,#N/A,FALSE,"Measures";#N/A,#N/A,FALSE,"Net Lost Rev";#N/A,#N/A,FALSE,"Incentive"}</definedName>
    <definedName name="wrn.OR._.Carrying._.Charge._.JV." localSheetId="83" hidden="1">{#N/A,#N/A,FALSE,"Loans";#N/A,#N/A,FALSE,"Program Costs";#N/A,#N/A,FALSE,"Measures";#N/A,#N/A,FALSE,"Net Lost Rev";#N/A,#N/A,FALSE,"Incentive"}</definedName>
    <definedName name="wrn.OR._.Carrying._.Charge._.JV." localSheetId="27" hidden="1">{#N/A,#N/A,FALSE,"Loans";#N/A,#N/A,FALSE,"Program Costs";#N/A,#N/A,FALSE,"Measures";#N/A,#N/A,FALSE,"Net Lost Rev";#N/A,#N/A,FALSE,"Incentive"}</definedName>
    <definedName name="wrn.OR._.Carrying._.Charge._.JV." localSheetId="48" hidden="1">{#N/A,#N/A,FALSE,"Loans";#N/A,#N/A,FALSE,"Program Costs";#N/A,#N/A,FALSE,"Measures";#N/A,#N/A,FALSE,"Net Lost Rev";#N/A,#N/A,FALSE,"Incentive"}</definedName>
    <definedName name="wrn.OR._.Carrying._.Charge._.JV." hidden="1">{#N/A,#N/A,FALSE,"Loans";#N/A,#N/A,FALSE,"Program Costs";#N/A,#N/A,FALSE,"Measures";#N/A,#N/A,FALSE,"Net Lost Rev";#N/A,#N/A,FALSE,"Incentive"}</definedName>
    <definedName name="wrn.OR._.Carrying._.Charge._.JV.1" localSheetId="54" hidden="1">{#N/A,#N/A,FALSE,"Loans";#N/A,#N/A,FALSE,"Program Costs";#N/A,#N/A,FALSE,"Measures";#N/A,#N/A,FALSE,"Net Lost Rev";#N/A,#N/A,FALSE,"Incentive"}</definedName>
    <definedName name="wrn.OR._.Carrying._.Charge._.JV.1" localSheetId="53" hidden="1">{#N/A,#N/A,FALSE,"Loans";#N/A,#N/A,FALSE,"Program Costs";#N/A,#N/A,FALSE,"Measures";#N/A,#N/A,FALSE,"Net Lost Rev";#N/A,#N/A,FALSE,"Incentive"}</definedName>
    <definedName name="wrn.OR._.Carrying._.Charge._.JV.1" localSheetId="29" hidden="1">{#N/A,#N/A,FALSE,"Loans";#N/A,#N/A,FALSE,"Program Costs";#N/A,#N/A,FALSE,"Measures";#N/A,#N/A,FALSE,"Net Lost Rev";#N/A,#N/A,FALSE,"Incentive"}</definedName>
    <definedName name="wrn.OR._.Carrying._.Charge._.JV.1" localSheetId="28" hidden="1">{#N/A,#N/A,FALSE,"Loans";#N/A,#N/A,FALSE,"Program Costs";#N/A,#N/A,FALSE,"Measures";#N/A,#N/A,FALSE,"Net Lost Rev";#N/A,#N/A,FALSE,"Incentive"}</definedName>
    <definedName name="wrn.OR._.Carrying._.Charge._.JV.1" localSheetId="49" hidden="1">{#N/A,#N/A,FALSE,"Loans";#N/A,#N/A,FALSE,"Program Costs";#N/A,#N/A,FALSE,"Measures";#N/A,#N/A,FALSE,"Net Lost Rev";#N/A,#N/A,FALSE,"Incentive"}</definedName>
    <definedName name="wrn.OR._.Carrying._.Charge._.JV.1" localSheetId="23" hidden="1">{#N/A,#N/A,FALSE,"Loans";#N/A,#N/A,FALSE,"Program Costs";#N/A,#N/A,FALSE,"Measures";#N/A,#N/A,FALSE,"Net Lost Rev";#N/A,#N/A,FALSE,"Incentive"}</definedName>
    <definedName name="wrn.OR._.Carrying._.Charge._.JV.1" localSheetId="83" hidden="1">{#N/A,#N/A,FALSE,"Loans";#N/A,#N/A,FALSE,"Program Costs";#N/A,#N/A,FALSE,"Measures";#N/A,#N/A,FALSE,"Net Lost Rev";#N/A,#N/A,FALSE,"Incentive"}</definedName>
    <definedName name="wrn.OR._.Carrying._.Charge._.JV.1" localSheetId="27" hidden="1">{#N/A,#N/A,FALSE,"Loans";#N/A,#N/A,FALSE,"Program Costs";#N/A,#N/A,FALSE,"Measures";#N/A,#N/A,FALSE,"Net Lost Rev";#N/A,#N/A,FALSE,"Incentive"}</definedName>
    <definedName name="wrn.OR._.Carrying._.Charge._.JV.1" localSheetId="48" hidden="1">{#N/A,#N/A,FALSE,"Loans";#N/A,#N/A,FALSE,"Program Costs";#N/A,#N/A,FALSE,"Measures";#N/A,#N/A,FALSE,"Net Lost Rev";#N/A,#N/A,FALSE,"Incentive"}</definedName>
    <definedName name="wrn.OR._.Carrying._.Charge._.JV.1" hidden="1">{#N/A,#N/A,FALSE,"Loans";#N/A,#N/A,FALSE,"Program Costs";#N/A,#N/A,FALSE,"Measures";#N/A,#N/A,FALSE,"Net Lost Rev";#N/A,#N/A,FALSE,"Incentive"}</definedName>
    <definedName name="wrn.pages." localSheetId="54" hidden="1">{#N/A,#N/A,FALSE,"Bgt";#N/A,#N/A,FALSE,"Act";#N/A,#N/A,FALSE,"Chrt Data";#N/A,#N/A,FALSE,"Bus Result";#N/A,#N/A,FALSE,"Main Charts";#N/A,#N/A,FALSE,"P&amp;L Ttl";#N/A,#N/A,FALSE,"P&amp;L C_Ttl";#N/A,#N/A,FALSE,"P&amp;L C_Oct";#N/A,#N/A,FALSE,"P&amp;L C_Sep";#N/A,#N/A,FALSE,"1996";#N/A,#N/A,FALSE,"Data"}</definedName>
    <definedName name="wrn.pages." localSheetId="53" hidden="1">{#N/A,#N/A,FALSE,"Bgt";#N/A,#N/A,FALSE,"Act";#N/A,#N/A,FALSE,"Chrt Data";#N/A,#N/A,FALSE,"Bus Result";#N/A,#N/A,FALSE,"Main Charts";#N/A,#N/A,FALSE,"P&amp;L Ttl";#N/A,#N/A,FALSE,"P&amp;L C_Ttl";#N/A,#N/A,FALSE,"P&amp;L C_Oct";#N/A,#N/A,FALSE,"P&amp;L C_Sep";#N/A,#N/A,FALSE,"1996";#N/A,#N/A,FALSE,"Data"}</definedName>
    <definedName name="wrn.pages." localSheetId="29" hidden="1">{#N/A,#N/A,FALSE,"Bgt";#N/A,#N/A,FALSE,"Act";#N/A,#N/A,FALSE,"Chrt Data";#N/A,#N/A,FALSE,"Bus Result";#N/A,#N/A,FALSE,"Main Charts";#N/A,#N/A,FALSE,"P&amp;L Ttl";#N/A,#N/A,FALSE,"P&amp;L C_Ttl";#N/A,#N/A,FALSE,"P&amp;L C_Oct";#N/A,#N/A,FALSE,"P&amp;L C_Sep";#N/A,#N/A,FALSE,"1996";#N/A,#N/A,FALSE,"Data"}</definedName>
    <definedName name="wrn.pages." localSheetId="28" hidden="1">{#N/A,#N/A,FALSE,"Bgt";#N/A,#N/A,FALSE,"Act";#N/A,#N/A,FALSE,"Chrt Data";#N/A,#N/A,FALSE,"Bus Result";#N/A,#N/A,FALSE,"Main Charts";#N/A,#N/A,FALSE,"P&amp;L Ttl";#N/A,#N/A,FALSE,"P&amp;L C_Ttl";#N/A,#N/A,FALSE,"P&amp;L C_Oct";#N/A,#N/A,FALSE,"P&amp;L C_Sep";#N/A,#N/A,FALSE,"1996";#N/A,#N/A,FALSE,"Data"}</definedName>
    <definedName name="wrn.pages." localSheetId="49" hidden="1">{#N/A,#N/A,FALSE,"Bgt";#N/A,#N/A,FALSE,"Act";#N/A,#N/A,FALSE,"Chrt Data";#N/A,#N/A,FALSE,"Bus Result";#N/A,#N/A,FALSE,"Main Charts";#N/A,#N/A,FALSE,"P&amp;L Ttl";#N/A,#N/A,FALSE,"P&amp;L C_Ttl";#N/A,#N/A,FALSE,"P&amp;L C_Oct";#N/A,#N/A,FALSE,"P&amp;L C_Sep";#N/A,#N/A,FALSE,"1996";#N/A,#N/A,FALSE,"Data"}</definedName>
    <definedName name="wrn.pages." localSheetId="23" hidden="1">{#N/A,#N/A,FALSE,"Bgt";#N/A,#N/A,FALSE,"Act";#N/A,#N/A,FALSE,"Chrt Data";#N/A,#N/A,FALSE,"Bus Result";#N/A,#N/A,FALSE,"Main Charts";#N/A,#N/A,FALSE,"P&amp;L Ttl";#N/A,#N/A,FALSE,"P&amp;L C_Ttl";#N/A,#N/A,FALSE,"P&amp;L C_Oct";#N/A,#N/A,FALSE,"P&amp;L C_Sep";#N/A,#N/A,FALSE,"1996";#N/A,#N/A,FALSE,"Data"}</definedName>
    <definedName name="wrn.pages." localSheetId="83" hidden="1">{#N/A,#N/A,FALSE,"Bgt";#N/A,#N/A,FALSE,"Act";#N/A,#N/A,FALSE,"Chrt Data";#N/A,#N/A,FALSE,"Bus Result";#N/A,#N/A,FALSE,"Main Charts";#N/A,#N/A,FALSE,"P&amp;L Ttl";#N/A,#N/A,FALSE,"P&amp;L C_Ttl";#N/A,#N/A,FALSE,"P&amp;L C_Oct";#N/A,#N/A,FALSE,"P&amp;L C_Sep";#N/A,#N/A,FALSE,"1996";#N/A,#N/A,FALSE,"Data"}</definedName>
    <definedName name="wrn.pages." localSheetId="27" hidden="1">{#N/A,#N/A,FALSE,"Bgt";#N/A,#N/A,FALSE,"Act";#N/A,#N/A,FALSE,"Chrt Data";#N/A,#N/A,FALSE,"Bus Result";#N/A,#N/A,FALSE,"Main Charts";#N/A,#N/A,FALSE,"P&amp;L Ttl";#N/A,#N/A,FALSE,"P&amp;L C_Ttl";#N/A,#N/A,FALSE,"P&amp;L C_Oct";#N/A,#N/A,FALSE,"P&amp;L C_Sep";#N/A,#N/A,FALSE,"1996";#N/A,#N/A,FALSE,"Data"}</definedName>
    <definedName name="wrn.pages." localSheetId="48" hidden="1">{#N/A,#N/A,FALSE,"Bgt";#N/A,#N/A,FALSE,"Act";#N/A,#N/A,FALSE,"Chrt Data";#N/A,#N/A,FALSE,"Bus Result";#N/A,#N/A,FALSE,"Main Charts";#N/A,#N/A,FALSE,"P&amp;L Ttl";#N/A,#N/A,FALSE,"P&amp;L C_Ttl";#N/A,#N/A,FALSE,"P&amp;L C_Oct";#N/A,#N/A,FALSE,"P&amp;L C_Sep";#N/A,#N/A,FALSE,"1996";#N/A,#N/A,FALSE,"Data"}</definedName>
    <definedName name="wrn.pages." hidden="1">{#N/A,#N/A,FALSE,"Bgt";#N/A,#N/A,FALSE,"Act";#N/A,#N/A,FALSE,"Chrt Data";#N/A,#N/A,FALSE,"Bus Result";#N/A,#N/A,FALSE,"Main Charts";#N/A,#N/A,FALSE,"P&amp;L Ttl";#N/A,#N/A,FALSE,"P&amp;L C_Ttl";#N/A,#N/A,FALSE,"P&amp;L C_Oct";#N/A,#N/A,FALSE,"P&amp;L C_Sep";#N/A,#N/A,FALSE,"1996";#N/A,#N/A,FALSE,"Data"}</definedName>
    <definedName name="wrn.partial." localSheetId="54" hidden="1">{"summary",#N/A,TRUE,"summary";"su_annual",#N/A,TRUE,"project";"su_quarter",#N/A,TRUE,"project";"cf_ann1",#N/A,TRUE,"cf_sum";"cf_ann2",#N/A,TRUE,"cf_sum";"nonrailom",#N/A,TRUE,"nonrailo&amp;m";"chart",#N/A,TRUE,"chart";"parity",#N/A,TRUE,"parity";"federal_loan",#N/A,TRUE,"federal_loan";"fed_loan2",#N/A,TRUE,"fed_loan_adj";"ds_sum",#N/A,TRUE,"combbond";"benefit_amt",#N/A,TRUE,"bond_siz1";"life_te",#N/A,TRUE,"life";"duration_te",#N/A,TRUE,"duration";"life_fed_tax",#N/A,TRUE,"life";"duration_tax",#N/A,TRUE,"duration";"su_recon",#N/A,TRUE,"cfdraw_proof"}</definedName>
    <definedName name="wrn.partial." localSheetId="53" hidden="1">{"summary",#N/A,TRUE,"summary";"su_annual",#N/A,TRUE,"project";"su_quarter",#N/A,TRUE,"project";"cf_ann1",#N/A,TRUE,"cf_sum";"cf_ann2",#N/A,TRUE,"cf_sum";"nonrailom",#N/A,TRUE,"nonrailo&amp;m";"chart",#N/A,TRUE,"chart";"parity",#N/A,TRUE,"parity";"federal_loan",#N/A,TRUE,"federal_loan";"fed_loan2",#N/A,TRUE,"fed_loan_adj";"ds_sum",#N/A,TRUE,"combbond";"benefit_amt",#N/A,TRUE,"bond_siz1";"life_te",#N/A,TRUE,"life";"duration_te",#N/A,TRUE,"duration";"life_fed_tax",#N/A,TRUE,"life";"duration_tax",#N/A,TRUE,"duration";"su_recon",#N/A,TRUE,"cfdraw_proof"}</definedName>
    <definedName name="wrn.partial." localSheetId="29" hidden="1">{"summary",#N/A,TRUE,"summary";"su_annual",#N/A,TRUE,"project";"su_quarter",#N/A,TRUE,"project";"cf_ann1",#N/A,TRUE,"cf_sum";"cf_ann2",#N/A,TRUE,"cf_sum";"nonrailom",#N/A,TRUE,"nonrailo&amp;m";"chart",#N/A,TRUE,"chart";"parity",#N/A,TRUE,"parity";"federal_loan",#N/A,TRUE,"federal_loan";"fed_loan2",#N/A,TRUE,"fed_loan_adj";"ds_sum",#N/A,TRUE,"combbond";"benefit_amt",#N/A,TRUE,"bond_siz1";"life_te",#N/A,TRUE,"life";"duration_te",#N/A,TRUE,"duration";"life_fed_tax",#N/A,TRUE,"life";"duration_tax",#N/A,TRUE,"duration";"su_recon",#N/A,TRUE,"cfdraw_proof"}</definedName>
    <definedName name="wrn.partial." localSheetId="28" hidden="1">{"summary",#N/A,TRUE,"summary";"su_annual",#N/A,TRUE,"project";"su_quarter",#N/A,TRUE,"project";"cf_ann1",#N/A,TRUE,"cf_sum";"cf_ann2",#N/A,TRUE,"cf_sum";"nonrailom",#N/A,TRUE,"nonrailo&amp;m";"chart",#N/A,TRUE,"chart";"parity",#N/A,TRUE,"parity";"federal_loan",#N/A,TRUE,"federal_loan";"fed_loan2",#N/A,TRUE,"fed_loan_adj";"ds_sum",#N/A,TRUE,"combbond";"benefit_amt",#N/A,TRUE,"bond_siz1";"life_te",#N/A,TRUE,"life";"duration_te",#N/A,TRUE,"duration";"life_fed_tax",#N/A,TRUE,"life";"duration_tax",#N/A,TRUE,"duration";"su_recon",#N/A,TRUE,"cfdraw_proof"}</definedName>
    <definedName name="wrn.partial." localSheetId="49" hidden="1">{"summary",#N/A,TRUE,"summary";"su_annual",#N/A,TRUE,"project";"su_quarter",#N/A,TRUE,"project";"cf_ann1",#N/A,TRUE,"cf_sum";"cf_ann2",#N/A,TRUE,"cf_sum";"nonrailom",#N/A,TRUE,"nonrailo&amp;m";"chart",#N/A,TRUE,"chart";"parity",#N/A,TRUE,"parity";"federal_loan",#N/A,TRUE,"federal_loan";"fed_loan2",#N/A,TRUE,"fed_loan_adj";"ds_sum",#N/A,TRUE,"combbond";"benefit_amt",#N/A,TRUE,"bond_siz1";"life_te",#N/A,TRUE,"life";"duration_te",#N/A,TRUE,"duration";"life_fed_tax",#N/A,TRUE,"life";"duration_tax",#N/A,TRUE,"duration";"su_recon",#N/A,TRUE,"cfdraw_proof"}</definedName>
    <definedName name="wrn.partial." localSheetId="23" hidden="1">{"summary",#N/A,TRUE,"summary";"su_annual",#N/A,TRUE,"project";"su_quarter",#N/A,TRUE,"project";"cf_ann1",#N/A,TRUE,"cf_sum";"cf_ann2",#N/A,TRUE,"cf_sum";"nonrailom",#N/A,TRUE,"nonrailo&amp;m";"chart",#N/A,TRUE,"chart";"parity",#N/A,TRUE,"parity";"federal_loan",#N/A,TRUE,"federal_loan";"fed_loan2",#N/A,TRUE,"fed_loan_adj";"ds_sum",#N/A,TRUE,"combbond";"benefit_amt",#N/A,TRUE,"bond_siz1";"life_te",#N/A,TRUE,"life";"duration_te",#N/A,TRUE,"duration";"life_fed_tax",#N/A,TRUE,"life";"duration_tax",#N/A,TRUE,"duration";"su_recon",#N/A,TRUE,"cfdraw_proof"}</definedName>
    <definedName name="wrn.partial." localSheetId="83" hidden="1">{"summary",#N/A,TRUE,"summary";"su_annual",#N/A,TRUE,"project";"su_quarter",#N/A,TRUE,"project";"cf_ann1",#N/A,TRUE,"cf_sum";"cf_ann2",#N/A,TRUE,"cf_sum";"nonrailom",#N/A,TRUE,"nonrailo&amp;m";"chart",#N/A,TRUE,"chart";"parity",#N/A,TRUE,"parity";"federal_loan",#N/A,TRUE,"federal_loan";"fed_loan2",#N/A,TRUE,"fed_loan_adj";"ds_sum",#N/A,TRUE,"combbond";"benefit_amt",#N/A,TRUE,"bond_siz1";"life_te",#N/A,TRUE,"life";"duration_te",#N/A,TRUE,"duration";"life_fed_tax",#N/A,TRUE,"life";"duration_tax",#N/A,TRUE,"duration";"su_recon",#N/A,TRUE,"cfdraw_proof"}</definedName>
    <definedName name="wrn.partial." localSheetId="27" hidden="1">{"summary",#N/A,TRUE,"summary";"su_annual",#N/A,TRUE,"project";"su_quarter",#N/A,TRUE,"project";"cf_ann1",#N/A,TRUE,"cf_sum";"cf_ann2",#N/A,TRUE,"cf_sum";"nonrailom",#N/A,TRUE,"nonrailo&amp;m";"chart",#N/A,TRUE,"chart";"parity",#N/A,TRUE,"parity";"federal_loan",#N/A,TRUE,"federal_loan";"fed_loan2",#N/A,TRUE,"fed_loan_adj";"ds_sum",#N/A,TRUE,"combbond";"benefit_amt",#N/A,TRUE,"bond_siz1";"life_te",#N/A,TRUE,"life";"duration_te",#N/A,TRUE,"duration";"life_fed_tax",#N/A,TRUE,"life";"duration_tax",#N/A,TRUE,"duration";"su_recon",#N/A,TRUE,"cfdraw_proof"}</definedName>
    <definedName name="wrn.partial." localSheetId="48" hidden="1">{"summary",#N/A,TRUE,"summary";"su_annual",#N/A,TRUE,"project";"su_quarter",#N/A,TRUE,"project";"cf_ann1",#N/A,TRUE,"cf_sum";"cf_ann2",#N/A,TRUE,"cf_sum";"nonrailom",#N/A,TRUE,"nonrailo&amp;m";"chart",#N/A,TRUE,"chart";"parity",#N/A,TRUE,"parity";"federal_loan",#N/A,TRUE,"federal_loan";"fed_loan2",#N/A,TRUE,"fed_loan_adj";"ds_sum",#N/A,TRUE,"combbond";"benefit_amt",#N/A,TRUE,"bond_siz1";"life_te",#N/A,TRUE,"life";"duration_te",#N/A,TRUE,"duration";"life_fed_tax",#N/A,TRUE,"life";"duration_tax",#N/A,TRUE,"duration";"su_recon",#N/A,TRUE,"cfdraw_proof"}</definedName>
    <definedName name="wrn.partial." hidden="1">{"summary",#N/A,TRUE,"summary";"su_annual",#N/A,TRUE,"project";"su_quarter",#N/A,TRUE,"project";"cf_ann1",#N/A,TRUE,"cf_sum";"cf_ann2",#N/A,TRUE,"cf_sum";"nonrailom",#N/A,TRUE,"nonrailo&amp;m";"chart",#N/A,TRUE,"chart";"parity",#N/A,TRUE,"parity";"federal_loan",#N/A,TRUE,"federal_loan";"fed_loan2",#N/A,TRUE,"fed_loan_adj";"ds_sum",#N/A,TRUE,"combbond";"benefit_amt",#N/A,TRUE,"bond_siz1";"life_te",#N/A,TRUE,"life";"duration_te",#N/A,TRUE,"duration";"life_fed_tax",#N/A,TRUE,"life";"duration_tax",#N/A,TRUE,"duration";"su_recon",#N/A,TRUE,"cfdraw_proof"}</definedName>
    <definedName name="wrn.Payment._.View." localSheetId="54" hidden="1">{#N/A,#N/A,FALSE,"Consltd-For contngcy";"PaymentView",#N/A,FALSE,"Consltd-For contngcy"}</definedName>
    <definedName name="wrn.Payment._.View." localSheetId="53" hidden="1">{#N/A,#N/A,FALSE,"Consltd-For contngcy";"PaymentView",#N/A,FALSE,"Consltd-For contngcy"}</definedName>
    <definedName name="wrn.Payment._.View." localSheetId="29" hidden="1">{#N/A,#N/A,FALSE,"Consltd-For contngcy";"PaymentView",#N/A,FALSE,"Consltd-For contngcy"}</definedName>
    <definedName name="wrn.Payment._.View." localSheetId="28" hidden="1">{#N/A,#N/A,FALSE,"Consltd-For contngcy";"PaymentView",#N/A,FALSE,"Consltd-For contngcy"}</definedName>
    <definedName name="wrn.Payment._.View." localSheetId="49" hidden="1">{#N/A,#N/A,FALSE,"Consltd-For contngcy";"PaymentView",#N/A,FALSE,"Consltd-For contngcy"}</definedName>
    <definedName name="wrn.Payment._.View." localSheetId="23" hidden="1">{#N/A,#N/A,FALSE,"Consltd-For contngcy";"PaymentView",#N/A,FALSE,"Consltd-For contngcy"}</definedName>
    <definedName name="wrn.Payment._.View." localSheetId="83" hidden="1">{#N/A,#N/A,FALSE,"Consltd-For contngcy";"PaymentView",#N/A,FALSE,"Consltd-For contngcy"}</definedName>
    <definedName name="wrn.Payment._.View." localSheetId="27" hidden="1">{#N/A,#N/A,FALSE,"Consltd-For contngcy";"PaymentView",#N/A,FALSE,"Consltd-For contngcy"}</definedName>
    <definedName name="wrn.Payment._.View." localSheetId="48" hidden="1">{#N/A,#N/A,FALSE,"Consltd-For contngcy";"PaymentView",#N/A,FALSE,"Consltd-For contngcy"}</definedName>
    <definedName name="wrn.Payment._.View." hidden="1">{#N/A,#N/A,FALSE,"Consltd-For contngcy";"PaymentView",#N/A,FALSE,"Consltd-For contngcy"}</definedName>
    <definedName name="wrn.PFSreconview." localSheetId="54" hidden="1">{"PFS recon view",#N/A,FALSE,"Hyperion Proof"}</definedName>
    <definedName name="wrn.PFSreconview." localSheetId="53" hidden="1">{"PFS recon view",#N/A,FALSE,"Hyperion Proof"}</definedName>
    <definedName name="wrn.PFSreconview." localSheetId="29" hidden="1">{"PFS recon view",#N/A,FALSE,"Hyperion Proof"}</definedName>
    <definedName name="wrn.PFSreconview." localSheetId="28" hidden="1">{"PFS recon view",#N/A,FALSE,"Hyperion Proof"}</definedName>
    <definedName name="wrn.PFSreconview." localSheetId="49" hidden="1">{"PFS recon view",#N/A,FALSE,"Hyperion Proof"}</definedName>
    <definedName name="wrn.PFSreconview." localSheetId="23" hidden="1">{"PFS recon view",#N/A,FALSE,"Hyperion Proof"}</definedName>
    <definedName name="wrn.PFSreconview." localSheetId="83" hidden="1">{"PFS recon view",#N/A,FALSE,"Hyperion Proof"}</definedName>
    <definedName name="wrn.PFSreconview." localSheetId="27" hidden="1">{"PFS recon view",#N/A,FALSE,"Hyperion Proof"}</definedName>
    <definedName name="wrn.PFSreconview." localSheetId="48" hidden="1">{"PFS recon view",#N/A,FALSE,"Hyperion Proof"}</definedName>
    <definedName name="wrn.PFSreconview." hidden="1">{"PFS recon view",#N/A,FALSE,"Hyperion Proof"}</definedName>
    <definedName name="wrn.PGHCreconview." localSheetId="54" hidden="1">{"PGHC recon view",#N/A,FALSE,"Hyperion Proof"}</definedName>
    <definedName name="wrn.PGHCreconview." localSheetId="53" hidden="1">{"PGHC recon view",#N/A,FALSE,"Hyperion Proof"}</definedName>
    <definedName name="wrn.PGHCreconview." localSheetId="29" hidden="1">{"PGHC recon view",#N/A,FALSE,"Hyperion Proof"}</definedName>
    <definedName name="wrn.PGHCreconview." localSheetId="28" hidden="1">{"PGHC recon view",#N/A,FALSE,"Hyperion Proof"}</definedName>
    <definedName name="wrn.PGHCreconview." localSheetId="49" hidden="1">{"PGHC recon view",#N/A,FALSE,"Hyperion Proof"}</definedName>
    <definedName name="wrn.PGHCreconview." localSheetId="23" hidden="1">{"PGHC recon view",#N/A,FALSE,"Hyperion Proof"}</definedName>
    <definedName name="wrn.PGHCreconview." localSheetId="83" hidden="1">{"PGHC recon view",#N/A,FALSE,"Hyperion Proof"}</definedName>
    <definedName name="wrn.PGHCreconview." localSheetId="27" hidden="1">{"PGHC recon view",#N/A,FALSE,"Hyperion Proof"}</definedName>
    <definedName name="wrn.PGHCreconview." localSheetId="48" hidden="1">{"PGHC recon view",#N/A,FALSE,"Hyperion Proof"}</definedName>
    <definedName name="wrn.PGHCreconview." hidden="1">{"PGHC recon view",#N/A,FALSE,"Hyperion Proof"}</definedName>
    <definedName name="wrn.PHI._.all._.other._.months." localSheetId="54" hidden="1">{#N/A,#N/A,FALSE,"PHI MTD";#N/A,#N/A,FALSE,"PHI YTD"}</definedName>
    <definedName name="wrn.PHI._.all._.other._.months." localSheetId="53" hidden="1">{#N/A,#N/A,FALSE,"PHI MTD";#N/A,#N/A,FALSE,"PHI YTD"}</definedName>
    <definedName name="wrn.PHI._.all._.other._.months." localSheetId="29" hidden="1">{#N/A,#N/A,FALSE,"PHI MTD";#N/A,#N/A,FALSE,"PHI YTD"}</definedName>
    <definedName name="wrn.PHI._.all._.other._.months." localSheetId="28" hidden="1">{#N/A,#N/A,FALSE,"PHI MTD";#N/A,#N/A,FALSE,"PHI YTD"}</definedName>
    <definedName name="wrn.PHI._.all._.other._.months." localSheetId="49" hidden="1">{#N/A,#N/A,FALSE,"PHI MTD";#N/A,#N/A,FALSE,"PHI YTD"}</definedName>
    <definedName name="wrn.PHI._.all._.other._.months." localSheetId="23" hidden="1">{#N/A,#N/A,FALSE,"PHI MTD";#N/A,#N/A,FALSE,"PHI YTD"}</definedName>
    <definedName name="wrn.PHI._.all._.other._.months." localSheetId="83" hidden="1">{#N/A,#N/A,FALSE,"PHI MTD";#N/A,#N/A,FALSE,"PHI YTD"}</definedName>
    <definedName name="wrn.PHI._.all._.other._.months." localSheetId="27" hidden="1">{#N/A,#N/A,FALSE,"PHI MTD";#N/A,#N/A,FALSE,"PHI YTD"}</definedName>
    <definedName name="wrn.PHI._.all._.other._.months." localSheetId="48" hidden="1">{#N/A,#N/A,FALSE,"PHI MTD";#N/A,#N/A,FALSE,"PHI YTD"}</definedName>
    <definedName name="wrn.PHI._.all._.other._.months." hidden="1">{#N/A,#N/A,FALSE,"PHI MTD";#N/A,#N/A,FALSE,"PHI YTD"}</definedName>
    <definedName name="wrn.PHI._.only." localSheetId="54" hidden="1">{#N/A,#N/A,FALSE,"PHI"}</definedName>
    <definedName name="wrn.PHI._.only." localSheetId="53" hidden="1">{#N/A,#N/A,FALSE,"PHI"}</definedName>
    <definedName name="wrn.PHI._.only." localSheetId="29" hidden="1">{#N/A,#N/A,FALSE,"PHI"}</definedName>
    <definedName name="wrn.PHI._.only." localSheetId="28" hidden="1">{#N/A,#N/A,FALSE,"PHI"}</definedName>
    <definedName name="wrn.PHI._.only." localSheetId="49" hidden="1">{#N/A,#N/A,FALSE,"PHI"}</definedName>
    <definedName name="wrn.PHI._.only." localSheetId="23" hidden="1">{#N/A,#N/A,FALSE,"PHI"}</definedName>
    <definedName name="wrn.PHI._.only." localSheetId="83" hidden="1">{#N/A,#N/A,FALSE,"PHI"}</definedName>
    <definedName name="wrn.PHI._.only." localSheetId="27" hidden="1">{#N/A,#N/A,FALSE,"PHI"}</definedName>
    <definedName name="wrn.PHI._.only." localSheetId="48" hidden="1">{#N/A,#N/A,FALSE,"PHI"}</definedName>
    <definedName name="wrn.PHI._.only." hidden="1">{#N/A,#N/A,FALSE,"PHI"}</definedName>
    <definedName name="wrn.PHI._.Sept._.Dec._.March." localSheetId="54" hidden="1">{#N/A,#N/A,FALSE,"PHI MTD";#N/A,#N/A,FALSE,"PHI QTD";#N/A,#N/A,FALSE,"PHI YTD"}</definedName>
    <definedName name="wrn.PHI._.Sept._.Dec._.March." localSheetId="53" hidden="1">{#N/A,#N/A,FALSE,"PHI MTD";#N/A,#N/A,FALSE,"PHI QTD";#N/A,#N/A,FALSE,"PHI YTD"}</definedName>
    <definedName name="wrn.PHI._.Sept._.Dec._.March." localSheetId="29" hidden="1">{#N/A,#N/A,FALSE,"PHI MTD";#N/A,#N/A,FALSE,"PHI QTD";#N/A,#N/A,FALSE,"PHI YTD"}</definedName>
    <definedName name="wrn.PHI._.Sept._.Dec._.March." localSheetId="28" hidden="1">{#N/A,#N/A,FALSE,"PHI MTD";#N/A,#N/A,FALSE,"PHI QTD";#N/A,#N/A,FALSE,"PHI YTD"}</definedName>
    <definedName name="wrn.PHI._.Sept._.Dec._.March." localSheetId="49" hidden="1">{#N/A,#N/A,FALSE,"PHI MTD";#N/A,#N/A,FALSE,"PHI QTD";#N/A,#N/A,FALSE,"PHI YTD"}</definedName>
    <definedName name="wrn.PHI._.Sept._.Dec._.March." localSheetId="23" hidden="1">{#N/A,#N/A,FALSE,"PHI MTD";#N/A,#N/A,FALSE,"PHI QTD";#N/A,#N/A,FALSE,"PHI YTD"}</definedName>
    <definedName name="wrn.PHI._.Sept._.Dec._.March." localSheetId="83" hidden="1">{#N/A,#N/A,FALSE,"PHI MTD";#N/A,#N/A,FALSE,"PHI QTD";#N/A,#N/A,FALSE,"PHI YTD"}</definedName>
    <definedName name="wrn.PHI._.Sept._.Dec._.March." localSheetId="27" hidden="1">{#N/A,#N/A,FALSE,"PHI MTD";#N/A,#N/A,FALSE,"PHI QTD";#N/A,#N/A,FALSE,"PHI YTD"}</definedName>
    <definedName name="wrn.PHI._.Sept._.Dec._.March." localSheetId="48" hidden="1">{#N/A,#N/A,FALSE,"PHI MTD";#N/A,#N/A,FALSE,"PHI QTD";#N/A,#N/A,FALSE,"PHI YTD"}</definedName>
    <definedName name="wrn.PHI._.Sept._.Dec._.March." hidden="1">{#N/A,#N/A,FALSE,"PHI MTD";#N/A,#N/A,FALSE,"PHI QTD";#N/A,#N/A,FALSE,"PHI YTD"}</definedName>
    <definedName name="wrn.PPMCoCodeView." localSheetId="54" hidden="1">{"PPM Co Code View",#N/A,FALSE,"Comp Codes"}</definedName>
    <definedName name="wrn.PPMCoCodeView." localSheetId="53" hidden="1">{"PPM Co Code View",#N/A,FALSE,"Comp Codes"}</definedName>
    <definedName name="wrn.PPMCoCodeView." localSheetId="29" hidden="1">{"PPM Co Code View",#N/A,FALSE,"Comp Codes"}</definedName>
    <definedName name="wrn.PPMCoCodeView." localSheetId="28" hidden="1">{"PPM Co Code View",#N/A,FALSE,"Comp Codes"}</definedName>
    <definedName name="wrn.PPMCoCodeView." localSheetId="49" hidden="1">{"PPM Co Code View",#N/A,FALSE,"Comp Codes"}</definedName>
    <definedName name="wrn.PPMCoCodeView." localSheetId="23" hidden="1">{"PPM Co Code View",#N/A,FALSE,"Comp Codes"}</definedName>
    <definedName name="wrn.PPMCoCodeView." localSheetId="83" hidden="1">{"PPM Co Code View",#N/A,FALSE,"Comp Codes"}</definedName>
    <definedName name="wrn.PPMCoCodeView." localSheetId="27" hidden="1">{"PPM Co Code View",#N/A,FALSE,"Comp Codes"}</definedName>
    <definedName name="wrn.PPMCoCodeView." localSheetId="48" hidden="1">{"PPM Co Code View",#N/A,FALSE,"Comp Codes"}</definedName>
    <definedName name="wrn.PPMCoCodeView." hidden="1">{"PPM Co Code View",#N/A,FALSE,"Comp Codes"}</definedName>
    <definedName name="wrn.PPMreconview." localSheetId="54" hidden="1">{"PPM Recon View",#N/A,FALSE,"Hyperion Proof"}</definedName>
    <definedName name="wrn.PPMreconview." localSheetId="53" hidden="1">{"PPM Recon View",#N/A,FALSE,"Hyperion Proof"}</definedName>
    <definedName name="wrn.PPMreconview." localSheetId="29" hidden="1">{"PPM Recon View",#N/A,FALSE,"Hyperion Proof"}</definedName>
    <definedName name="wrn.PPMreconview." localSheetId="28" hidden="1">{"PPM Recon View",#N/A,FALSE,"Hyperion Proof"}</definedName>
    <definedName name="wrn.PPMreconview." localSheetId="49" hidden="1">{"PPM Recon View",#N/A,FALSE,"Hyperion Proof"}</definedName>
    <definedName name="wrn.PPMreconview." localSheetId="23" hidden="1">{"PPM Recon View",#N/A,FALSE,"Hyperion Proof"}</definedName>
    <definedName name="wrn.PPMreconview." localSheetId="83" hidden="1">{"PPM Recon View",#N/A,FALSE,"Hyperion Proof"}</definedName>
    <definedName name="wrn.PPMreconview." localSheetId="27" hidden="1">{"PPM Recon View",#N/A,FALSE,"Hyperion Proof"}</definedName>
    <definedName name="wrn.PPMreconview." localSheetId="48" hidden="1">{"PPM Recon View",#N/A,FALSE,"Hyperion Proof"}</definedName>
    <definedName name="wrn.PPMreconview." hidden="1">{"PPM Recon View",#N/A,FALSE,"Hyperion Proof"}</definedName>
    <definedName name="wrn.PRINT._.SOURCE._.DATA." localSheetId="54" hidden="1">{"DATA_SET",#N/A,FALSE,"HOURLY SPREAD"}</definedName>
    <definedName name="wrn.PRINT._.SOURCE._.DATA." localSheetId="53" hidden="1">{"DATA_SET",#N/A,FALSE,"HOURLY SPREAD"}</definedName>
    <definedName name="wrn.PRINT._.SOURCE._.DATA." localSheetId="29" hidden="1">{"DATA_SET",#N/A,FALSE,"HOURLY SPREAD"}</definedName>
    <definedName name="wrn.PRINT._.SOURCE._.DATA." localSheetId="28" hidden="1">{"DATA_SET",#N/A,FALSE,"HOURLY SPREAD"}</definedName>
    <definedName name="wrn.PRINT._.SOURCE._.DATA." localSheetId="49" hidden="1">{"DATA_SET",#N/A,FALSE,"HOURLY SPREAD"}</definedName>
    <definedName name="wrn.PRINT._.SOURCE._.DATA." localSheetId="23" hidden="1">{"DATA_SET",#N/A,FALSE,"HOURLY SPREAD"}</definedName>
    <definedName name="wrn.PRINT._.SOURCE._.DATA." localSheetId="83" hidden="1">{"DATA_SET",#N/A,FALSE,"HOURLY SPREAD"}</definedName>
    <definedName name="wrn.PRINT._.SOURCE._.DATA." localSheetId="27" hidden="1">{"DATA_SET",#N/A,FALSE,"HOURLY SPREAD"}</definedName>
    <definedName name="wrn.PRINT._.SOURCE._.DATA." localSheetId="48" hidden="1">{"DATA_SET",#N/A,FALSE,"HOURLY SPREAD"}</definedName>
    <definedName name="wrn.PRINT._.SOURCE._.DATA." hidden="1">{"DATA_SET",#N/A,FALSE,"HOURLY SPREAD"}</definedName>
    <definedName name="wrn.ProofElectricOnly." localSheetId="54" hidden="1">{"Electric Only",#N/A,FALSE,"Hyperion Proof"}</definedName>
    <definedName name="wrn.ProofElectricOnly." localSheetId="53" hidden="1">{"Electric Only",#N/A,FALSE,"Hyperion Proof"}</definedName>
    <definedName name="wrn.ProofElectricOnly." localSheetId="29" hidden="1">{"Electric Only",#N/A,FALSE,"Hyperion Proof"}</definedName>
    <definedName name="wrn.ProofElectricOnly." localSheetId="28" hidden="1">{"Electric Only",#N/A,FALSE,"Hyperion Proof"}</definedName>
    <definedName name="wrn.ProofElectricOnly." localSheetId="49" hidden="1">{"Electric Only",#N/A,FALSE,"Hyperion Proof"}</definedName>
    <definedName name="wrn.ProofElectricOnly." localSheetId="23" hidden="1">{"Electric Only",#N/A,FALSE,"Hyperion Proof"}</definedName>
    <definedName name="wrn.ProofElectricOnly." localSheetId="83" hidden="1">{"Electric Only",#N/A,FALSE,"Hyperion Proof"}</definedName>
    <definedName name="wrn.ProofElectricOnly." localSheetId="27" hidden="1">{"Electric Only",#N/A,FALSE,"Hyperion Proof"}</definedName>
    <definedName name="wrn.ProofElectricOnly." localSheetId="48" hidden="1">{"Electric Only",#N/A,FALSE,"Hyperion Proof"}</definedName>
    <definedName name="wrn.ProofElectricOnly." hidden="1">{"Electric Only",#N/A,FALSE,"Hyperion Proof"}</definedName>
    <definedName name="wrn.ProofTotal." localSheetId="54" hidden="1">{"Proof Total",#N/A,FALSE,"Hyperion Proof"}</definedName>
    <definedName name="wrn.ProofTotal." localSheetId="53" hidden="1">{"Proof Total",#N/A,FALSE,"Hyperion Proof"}</definedName>
    <definedName name="wrn.ProofTotal." localSheetId="29" hidden="1">{"Proof Total",#N/A,FALSE,"Hyperion Proof"}</definedName>
    <definedName name="wrn.ProofTotal." localSheetId="28" hidden="1">{"Proof Total",#N/A,FALSE,"Hyperion Proof"}</definedName>
    <definedName name="wrn.ProofTotal." localSheetId="49" hidden="1">{"Proof Total",#N/A,FALSE,"Hyperion Proof"}</definedName>
    <definedName name="wrn.ProofTotal." localSheetId="23" hidden="1">{"Proof Total",#N/A,FALSE,"Hyperion Proof"}</definedName>
    <definedName name="wrn.ProofTotal." localSheetId="83" hidden="1">{"Proof Total",#N/A,FALSE,"Hyperion Proof"}</definedName>
    <definedName name="wrn.ProofTotal." localSheetId="27" hidden="1">{"Proof Total",#N/A,FALSE,"Hyperion Proof"}</definedName>
    <definedName name="wrn.ProofTotal." localSheetId="48" hidden="1">{"Proof Total",#N/A,FALSE,"Hyperion Proof"}</definedName>
    <definedName name="wrn.ProofTotal." hidden="1">{"Proof Total",#N/A,FALSE,"Hyperion Proof"}</definedName>
    <definedName name="wrn.Reformat._.only." localSheetId="54" hidden="1">{#N/A,#N/A,FALSE,"Dec 1999 mapping"}</definedName>
    <definedName name="wrn.Reformat._.only." localSheetId="53" hidden="1">{#N/A,#N/A,FALSE,"Dec 1999 mapping"}</definedName>
    <definedName name="wrn.Reformat._.only." localSheetId="29" hidden="1">{#N/A,#N/A,FALSE,"Dec 1999 mapping"}</definedName>
    <definedName name="wrn.Reformat._.only." localSheetId="28" hidden="1">{#N/A,#N/A,FALSE,"Dec 1999 mapping"}</definedName>
    <definedName name="wrn.Reformat._.only." localSheetId="49" hidden="1">{#N/A,#N/A,FALSE,"Dec 1999 mapping"}</definedName>
    <definedName name="wrn.Reformat._.only." localSheetId="23" hidden="1">{#N/A,#N/A,FALSE,"Dec 1999 mapping"}</definedName>
    <definedName name="wrn.Reformat._.only." localSheetId="83" hidden="1">{#N/A,#N/A,FALSE,"Dec 1999 mapping"}</definedName>
    <definedName name="wrn.Reformat._.only." localSheetId="27" hidden="1">{#N/A,#N/A,FALSE,"Dec 1999 mapping"}</definedName>
    <definedName name="wrn.Reformat._.only." localSheetId="48" hidden="1">{#N/A,#N/A,FALSE,"Dec 1999 mapping"}</definedName>
    <definedName name="wrn.Reformat._.only." hidden="1">{#N/A,#N/A,FALSE,"Dec 1999 mapping"}</definedName>
    <definedName name="wrn.SALES._.VAR._.95._.BUDGET." localSheetId="54" hidden="1">{"PRINT",#N/A,TRUE,"APPA";"PRINT",#N/A,TRUE,"APS";"PRINT",#N/A,TRUE,"BHPL";"PRINT",#N/A,TRUE,"BHPL2";"PRINT",#N/A,TRUE,"CDWR";"PRINT",#N/A,TRUE,"EWEB";"PRINT",#N/A,TRUE,"LADWP";"PRINT",#N/A,TRUE,"NEVBASE"}</definedName>
    <definedName name="wrn.SALES._.VAR._.95._.BUDGET." localSheetId="53" hidden="1">{"PRINT",#N/A,TRUE,"APPA";"PRINT",#N/A,TRUE,"APS";"PRINT",#N/A,TRUE,"BHPL";"PRINT",#N/A,TRUE,"BHPL2";"PRINT",#N/A,TRUE,"CDWR";"PRINT",#N/A,TRUE,"EWEB";"PRINT",#N/A,TRUE,"LADWP";"PRINT",#N/A,TRUE,"NEVBASE"}</definedName>
    <definedName name="wrn.SALES._.VAR._.95._.BUDGET." localSheetId="29" hidden="1">{"PRINT",#N/A,TRUE,"APPA";"PRINT",#N/A,TRUE,"APS";"PRINT",#N/A,TRUE,"BHPL";"PRINT",#N/A,TRUE,"BHPL2";"PRINT",#N/A,TRUE,"CDWR";"PRINT",#N/A,TRUE,"EWEB";"PRINT",#N/A,TRUE,"LADWP";"PRINT",#N/A,TRUE,"NEVBASE"}</definedName>
    <definedName name="wrn.SALES._.VAR._.95._.BUDGET." localSheetId="28" hidden="1">{"PRINT",#N/A,TRUE,"APPA";"PRINT",#N/A,TRUE,"APS";"PRINT",#N/A,TRUE,"BHPL";"PRINT",#N/A,TRUE,"BHPL2";"PRINT",#N/A,TRUE,"CDWR";"PRINT",#N/A,TRUE,"EWEB";"PRINT",#N/A,TRUE,"LADWP";"PRINT",#N/A,TRUE,"NEVBASE"}</definedName>
    <definedName name="wrn.SALES._.VAR._.95._.BUDGET." localSheetId="49" hidden="1">{"PRINT",#N/A,TRUE,"APPA";"PRINT",#N/A,TRUE,"APS";"PRINT",#N/A,TRUE,"BHPL";"PRINT",#N/A,TRUE,"BHPL2";"PRINT",#N/A,TRUE,"CDWR";"PRINT",#N/A,TRUE,"EWEB";"PRINT",#N/A,TRUE,"LADWP";"PRINT",#N/A,TRUE,"NEVBASE"}</definedName>
    <definedName name="wrn.SALES._.VAR._.95._.BUDGET." localSheetId="23" hidden="1">{"PRINT",#N/A,TRUE,"APPA";"PRINT",#N/A,TRUE,"APS";"PRINT",#N/A,TRUE,"BHPL";"PRINT",#N/A,TRUE,"BHPL2";"PRINT",#N/A,TRUE,"CDWR";"PRINT",#N/A,TRUE,"EWEB";"PRINT",#N/A,TRUE,"LADWP";"PRINT",#N/A,TRUE,"NEVBASE"}</definedName>
    <definedName name="wrn.SALES._.VAR._.95._.BUDGET." localSheetId="83" hidden="1">{"PRINT",#N/A,TRUE,"APPA";"PRINT",#N/A,TRUE,"APS";"PRINT",#N/A,TRUE,"BHPL";"PRINT",#N/A,TRUE,"BHPL2";"PRINT",#N/A,TRUE,"CDWR";"PRINT",#N/A,TRUE,"EWEB";"PRINT",#N/A,TRUE,"LADWP";"PRINT",#N/A,TRUE,"NEVBASE"}</definedName>
    <definedName name="wrn.SALES._.VAR._.95._.BUDGET." localSheetId="27" hidden="1">{"PRINT",#N/A,TRUE,"APPA";"PRINT",#N/A,TRUE,"APS";"PRINT",#N/A,TRUE,"BHPL";"PRINT",#N/A,TRUE,"BHPL2";"PRINT",#N/A,TRUE,"CDWR";"PRINT",#N/A,TRUE,"EWEB";"PRINT",#N/A,TRUE,"LADWP";"PRINT",#N/A,TRUE,"NEVBASE"}</definedName>
    <definedName name="wrn.SALES._.VAR._.95._.BUDGET." localSheetId="48" hidden="1">{"PRINT",#N/A,TRUE,"APPA";"PRINT",#N/A,TRUE,"APS";"PRINT",#N/A,TRUE,"BHPL";"PRINT",#N/A,TRUE,"BHPL2";"PRINT",#N/A,TRUE,"CDWR";"PRINT",#N/A,TRUE,"EWEB";"PRINT",#N/A,TRUE,"LADWP";"PRINT",#N/A,TRUE,"NEVBASE"}</definedName>
    <definedName name="wrn.SALES._.VAR._.95._.BUDGET." hidden="1">{"PRINT",#N/A,TRUE,"APPA";"PRINT",#N/A,TRUE,"APS";"PRINT",#N/A,TRUE,"BHPL";"PRINT",#N/A,TRUE,"BHPL2";"PRINT",#N/A,TRUE,"CDWR";"PRINT",#N/A,TRUE,"EWEB";"PRINT",#N/A,TRUE,"LADWP";"PRINT",#N/A,TRUE,"NEVBASE"}</definedName>
    <definedName name="wrn.Sept._.Dec._.March._.IS." localSheetId="54" hidden="1">{#N/A,#N/A,FALSE,"Top level MTD";#N/A,#N/A,FALSE,"PHI MTD";#N/A,#N/A,FALSE,"PacifiCorp MTD";#N/A,#N/A,FALSE,"PGHC MTD";#N/A,#N/A,FALSE,"Top level QTD";#N/A,#N/A,FALSE,"PHI QTD";#N/A,#N/A,FALSE,"PacifiCorp QTD";#N/A,#N/A,FALSE,"PGHC QTD";#N/A,#N/A,FALSE,"Top level YTD";#N/A,#N/A,FALSE,"PHI YTD";#N/A,#N/A,FALSE,"PacifiCorp YTD";#N/A,#N/A,FALSE,"PGHC YTD"}</definedName>
    <definedName name="wrn.Sept._.Dec._.March._.IS." localSheetId="53" hidden="1">{#N/A,#N/A,FALSE,"Top level MTD";#N/A,#N/A,FALSE,"PHI MTD";#N/A,#N/A,FALSE,"PacifiCorp MTD";#N/A,#N/A,FALSE,"PGHC MTD";#N/A,#N/A,FALSE,"Top level QTD";#N/A,#N/A,FALSE,"PHI QTD";#N/A,#N/A,FALSE,"PacifiCorp QTD";#N/A,#N/A,FALSE,"PGHC QTD";#N/A,#N/A,FALSE,"Top level YTD";#N/A,#N/A,FALSE,"PHI YTD";#N/A,#N/A,FALSE,"PacifiCorp YTD";#N/A,#N/A,FALSE,"PGHC YTD"}</definedName>
    <definedName name="wrn.Sept._.Dec._.March._.IS." localSheetId="29" hidden="1">{#N/A,#N/A,FALSE,"Top level MTD";#N/A,#N/A,FALSE,"PHI MTD";#N/A,#N/A,FALSE,"PacifiCorp MTD";#N/A,#N/A,FALSE,"PGHC MTD";#N/A,#N/A,FALSE,"Top level QTD";#N/A,#N/A,FALSE,"PHI QTD";#N/A,#N/A,FALSE,"PacifiCorp QTD";#N/A,#N/A,FALSE,"PGHC QTD";#N/A,#N/A,FALSE,"Top level YTD";#N/A,#N/A,FALSE,"PHI YTD";#N/A,#N/A,FALSE,"PacifiCorp YTD";#N/A,#N/A,FALSE,"PGHC YTD"}</definedName>
    <definedName name="wrn.Sept._.Dec._.March._.IS." localSheetId="28" hidden="1">{#N/A,#N/A,FALSE,"Top level MTD";#N/A,#N/A,FALSE,"PHI MTD";#N/A,#N/A,FALSE,"PacifiCorp MTD";#N/A,#N/A,FALSE,"PGHC MTD";#N/A,#N/A,FALSE,"Top level QTD";#N/A,#N/A,FALSE,"PHI QTD";#N/A,#N/A,FALSE,"PacifiCorp QTD";#N/A,#N/A,FALSE,"PGHC QTD";#N/A,#N/A,FALSE,"Top level YTD";#N/A,#N/A,FALSE,"PHI YTD";#N/A,#N/A,FALSE,"PacifiCorp YTD";#N/A,#N/A,FALSE,"PGHC YTD"}</definedName>
    <definedName name="wrn.Sept._.Dec._.March._.IS." localSheetId="49" hidden="1">{#N/A,#N/A,FALSE,"Top level MTD";#N/A,#N/A,FALSE,"PHI MTD";#N/A,#N/A,FALSE,"PacifiCorp MTD";#N/A,#N/A,FALSE,"PGHC MTD";#N/A,#N/A,FALSE,"Top level QTD";#N/A,#N/A,FALSE,"PHI QTD";#N/A,#N/A,FALSE,"PacifiCorp QTD";#N/A,#N/A,FALSE,"PGHC QTD";#N/A,#N/A,FALSE,"Top level YTD";#N/A,#N/A,FALSE,"PHI YTD";#N/A,#N/A,FALSE,"PacifiCorp YTD";#N/A,#N/A,FALSE,"PGHC YTD"}</definedName>
    <definedName name="wrn.Sept._.Dec._.March._.IS." localSheetId="23" hidden="1">{#N/A,#N/A,FALSE,"Top level MTD";#N/A,#N/A,FALSE,"PHI MTD";#N/A,#N/A,FALSE,"PacifiCorp MTD";#N/A,#N/A,FALSE,"PGHC MTD";#N/A,#N/A,FALSE,"Top level QTD";#N/A,#N/A,FALSE,"PHI QTD";#N/A,#N/A,FALSE,"PacifiCorp QTD";#N/A,#N/A,FALSE,"PGHC QTD";#N/A,#N/A,FALSE,"Top level YTD";#N/A,#N/A,FALSE,"PHI YTD";#N/A,#N/A,FALSE,"PacifiCorp YTD";#N/A,#N/A,FALSE,"PGHC YTD"}</definedName>
    <definedName name="wrn.Sept._.Dec._.March._.IS." localSheetId="83" hidden="1">{#N/A,#N/A,FALSE,"Top level MTD";#N/A,#N/A,FALSE,"PHI MTD";#N/A,#N/A,FALSE,"PacifiCorp MTD";#N/A,#N/A,FALSE,"PGHC MTD";#N/A,#N/A,FALSE,"Top level QTD";#N/A,#N/A,FALSE,"PHI QTD";#N/A,#N/A,FALSE,"PacifiCorp QTD";#N/A,#N/A,FALSE,"PGHC QTD";#N/A,#N/A,FALSE,"Top level YTD";#N/A,#N/A,FALSE,"PHI YTD";#N/A,#N/A,FALSE,"PacifiCorp YTD";#N/A,#N/A,FALSE,"PGHC YTD"}</definedName>
    <definedName name="wrn.Sept._.Dec._.March._.IS." localSheetId="27" hidden="1">{#N/A,#N/A,FALSE,"Top level MTD";#N/A,#N/A,FALSE,"PHI MTD";#N/A,#N/A,FALSE,"PacifiCorp MTD";#N/A,#N/A,FALSE,"PGHC MTD";#N/A,#N/A,FALSE,"Top level QTD";#N/A,#N/A,FALSE,"PHI QTD";#N/A,#N/A,FALSE,"PacifiCorp QTD";#N/A,#N/A,FALSE,"PGHC QTD";#N/A,#N/A,FALSE,"Top level YTD";#N/A,#N/A,FALSE,"PHI YTD";#N/A,#N/A,FALSE,"PacifiCorp YTD";#N/A,#N/A,FALSE,"PGHC YTD"}</definedName>
    <definedName name="wrn.Sept._.Dec._.March._.IS." localSheetId="48" hidden="1">{#N/A,#N/A,FALSE,"Top level MTD";#N/A,#N/A,FALSE,"PHI MTD";#N/A,#N/A,FALSE,"PacifiCorp MTD";#N/A,#N/A,FALSE,"PGHC MTD";#N/A,#N/A,FALSE,"Top level QTD";#N/A,#N/A,FALSE,"PHI QTD";#N/A,#N/A,FALSE,"PacifiCorp QTD";#N/A,#N/A,FALSE,"PGHC QTD";#N/A,#N/A,FALSE,"Top level YTD";#N/A,#N/A,FALSE,"PHI YTD";#N/A,#N/A,FALSE,"PacifiCorp YTD";#N/A,#N/A,FALSE,"PGHC YTD"}</definedName>
    <definedName name="wrn.Sept._.Dec._.March._.IS." hidden="1">{#N/A,#N/A,FALSE,"Top level MTD";#N/A,#N/A,FALSE,"PHI MTD";#N/A,#N/A,FALSE,"PacifiCorp MTD";#N/A,#N/A,FALSE,"PGHC MTD";#N/A,#N/A,FALSE,"Top level QTD";#N/A,#N/A,FALSE,"PHI QTD";#N/A,#N/A,FALSE,"PacifiCorp QTD";#N/A,#N/A,FALSE,"PGHC QTD";#N/A,#N/A,FALSE,"Top level YTD";#N/A,#N/A,FALSE,"PHI YTD";#N/A,#N/A,FALSE,"PacifiCorp YTD";#N/A,#N/A,FALSE,"PGHC YTD"}</definedName>
    <definedName name="wrn.Standard." localSheetId="54" hidden="1">{"YTD-Total",#N/A,FALSE,"Provision"}</definedName>
    <definedName name="wrn.Standard." localSheetId="53" hidden="1">{"YTD-Total",#N/A,FALSE,"Provision"}</definedName>
    <definedName name="wrn.Standard." localSheetId="29" hidden="1">{"YTD-Total",#N/A,FALSE,"Provision"}</definedName>
    <definedName name="wrn.Standard." localSheetId="28" hidden="1">{"YTD-Total",#N/A,FALSE,"Provision"}</definedName>
    <definedName name="wrn.Standard." localSheetId="49" hidden="1">{"YTD-Total",#N/A,FALSE,"Provision"}</definedName>
    <definedName name="wrn.Standard." localSheetId="23" hidden="1">{"YTD-Total",#N/A,FALSE,"Provision"}</definedName>
    <definedName name="wrn.Standard." localSheetId="83" hidden="1">{"YTD-Total",#N/A,FALSE,"Provision"}</definedName>
    <definedName name="wrn.Standard." localSheetId="27" hidden="1">{"YTD-Total",#N/A,FALSE,"Provision"}</definedName>
    <definedName name="wrn.Standard." localSheetId="48" hidden="1">{"YTD-Total",#N/A,FALSE,"Provision"}</definedName>
    <definedName name="wrn.Standard." hidden="1">{"YTD-Total",#N/A,FALSE,"Provision"}</definedName>
    <definedName name="wrn.Standard._.NonUtility._.Only." localSheetId="54" hidden="1">{"YTD-NonUtility",#N/A,FALSE,"Prov NonUtility"}</definedName>
    <definedName name="wrn.Standard._.NonUtility._.Only." localSheetId="53" hidden="1">{"YTD-NonUtility",#N/A,FALSE,"Prov NonUtility"}</definedName>
    <definedName name="wrn.Standard._.NonUtility._.Only." localSheetId="29" hidden="1">{"YTD-NonUtility",#N/A,FALSE,"Prov NonUtility"}</definedName>
    <definedName name="wrn.Standard._.NonUtility._.Only." localSheetId="28" hidden="1">{"YTD-NonUtility",#N/A,FALSE,"Prov NonUtility"}</definedName>
    <definedName name="wrn.Standard._.NonUtility._.Only." localSheetId="49" hidden="1">{"YTD-NonUtility",#N/A,FALSE,"Prov NonUtility"}</definedName>
    <definedName name="wrn.Standard._.NonUtility._.Only." localSheetId="23" hidden="1">{"YTD-NonUtility",#N/A,FALSE,"Prov NonUtility"}</definedName>
    <definedName name="wrn.Standard._.NonUtility._.Only." localSheetId="83" hidden="1">{"YTD-NonUtility",#N/A,FALSE,"Prov NonUtility"}</definedName>
    <definedName name="wrn.Standard._.NonUtility._.Only." localSheetId="27" hidden="1">{"YTD-NonUtility",#N/A,FALSE,"Prov NonUtility"}</definedName>
    <definedName name="wrn.Standard._.NonUtility._.Only." localSheetId="48" hidden="1">{"YTD-NonUtility",#N/A,FALSE,"Prov NonUtility"}</definedName>
    <definedName name="wrn.Standard._.NonUtility._.Only." hidden="1">{"YTD-NonUtility",#N/A,FALSE,"Prov NonUtility"}</definedName>
    <definedName name="wrn.Standard._.Utility._.Only." localSheetId="54" hidden="1">{"YTD-Utility",#N/A,FALSE,"Prov Utility"}</definedName>
    <definedName name="wrn.Standard._.Utility._.Only." localSheetId="53" hidden="1">{"YTD-Utility",#N/A,FALSE,"Prov Utility"}</definedName>
    <definedName name="wrn.Standard._.Utility._.Only." localSheetId="29" hidden="1">{"YTD-Utility",#N/A,FALSE,"Prov Utility"}</definedName>
    <definedName name="wrn.Standard._.Utility._.Only." localSheetId="28" hidden="1">{"YTD-Utility",#N/A,FALSE,"Prov Utility"}</definedName>
    <definedName name="wrn.Standard._.Utility._.Only." localSheetId="49" hidden="1">{"YTD-Utility",#N/A,FALSE,"Prov Utility"}</definedName>
    <definedName name="wrn.Standard._.Utility._.Only." localSheetId="23" hidden="1">{"YTD-Utility",#N/A,FALSE,"Prov Utility"}</definedName>
    <definedName name="wrn.Standard._.Utility._.Only." localSheetId="83" hidden="1">{"YTD-Utility",#N/A,FALSE,"Prov Utility"}</definedName>
    <definedName name="wrn.Standard._.Utility._.Only." localSheetId="27" hidden="1">{"YTD-Utility",#N/A,FALSE,"Prov Utility"}</definedName>
    <definedName name="wrn.Standard._.Utility._.Only." localSheetId="48" hidden="1">{"YTD-Utility",#N/A,FALSE,"Prov Utility"}</definedName>
    <definedName name="wrn.Standard._.Utility._.Only." hidden="1">{"YTD-Utility",#N/A,FALSE,"Prov Utility"}</definedName>
    <definedName name="wrn.Summary." localSheetId="54" hidden="1">{#N/A,#N/A,FALSE,"Sum Qtr";#N/A,#N/A,FALSE,"Oper Sum";#N/A,#N/A,FALSE,"Land Sales";#N/A,#N/A,FALSE,"Finance";#N/A,#N/A,FALSE,"Oper Ass"}</definedName>
    <definedName name="wrn.Summary." localSheetId="53" hidden="1">{#N/A,#N/A,FALSE,"Sum Qtr";#N/A,#N/A,FALSE,"Oper Sum";#N/A,#N/A,FALSE,"Land Sales";#N/A,#N/A,FALSE,"Finance";#N/A,#N/A,FALSE,"Oper Ass"}</definedName>
    <definedName name="wrn.Summary." localSheetId="29" hidden="1">{#N/A,#N/A,FALSE,"Sum Qtr";#N/A,#N/A,FALSE,"Oper Sum";#N/A,#N/A,FALSE,"Land Sales";#N/A,#N/A,FALSE,"Finance";#N/A,#N/A,FALSE,"Oper Ass"}</definedName>
    <definedName name="wrn.Summary." localSheetId="28" hidden="1">{#N/A,#N/A,FALSE,"Sum Qtr";#N/A,#N/A,FALSE,"Oper Sum";#N/A,#N/A,FALSE,"Land Sales";#N/A,#N/A,FALSE,"Finance";#N/A,#N/A,FALSE,"Oper Ass"}</definedName>
    <definedName name="wrn.Summary." localSheetId="49" hidden="1">{#N/A,#N/A,FALSE,"Sum Qtr";#N/A,#N/A,FALSE,"Oper Sum";#N/A,#N/A,FALSE,"Land Sales";#N/A,#N/A,FALSE,"Finance";#N/A,#N/A,FALSE,"Oper Ass"}</definedName>
    <definedName name="wrn.Summary." localSheetId="23" hidden="1">{#N/A,#N/A,FALSE,"Sum Qtr";#N/A,#N/A,FALSE,"Oper Sum";#N/A,#N/A,FALSE,"Land Sales";#N/A,#N/A,FALSE,"Finance";#N/A,#N/A,FALSE,"Oper Ass"}</definedName>
    <definedName name="wrn.Summary." localSheetId="83" hidden="1">{#N/A,#N/A,FALSE,"Sum Qtr";#N/A,#N/A,FALSE,"Oper Sum";#N/A,#N/A,FALSE,"Land Sales";#N/A,#N/A,FALSE,"Finance";#N/A,#N/A,FALSE,"Oper Ass"}</definedName>
    <definedName name="wrn.Summary." localSheetId="27" hidden="1">{#N/A,#N/A,FALSE,"Sum Qtr";#N/A,#N/A,FALSE,"Oper Sum";#N/A,#N/A,FALSE,"Land Sales";#N/A,#N/A,FALSE,"Finance";#N/A,#N/A,FALSE,"Oper Ass"}</definedName>
    <definedName name="wrn.Summary." localSheetId="48" hidden="1">{#N/A,#N/A,FALSE,"Sum Qtr";#N/A,#N/A,FALSE,"Oper Sum";#N/A,#N/A,FALSE,"Land Sales";#N/A,#N/A,FALSE,"Finance";#N/A,#N/A,FALSE,"Oper Ass"}</definedName>
    <definedName name="wrn.Summary." hidden="1">{#N/A,#N/A,FALSE,"Sum Qtr";#N/A,#N/A,FALSE,"Oper Sum";#N/A,#N/A,FALSE,"Land Sales";#N/A,#N/A,FALSE,"Finance";#N/A,#N/A,FALSE,"Oper Ass"}</definedName>
    <definedName name="wrn.Summary._.View." localSheetId="54" hidden="1">{#N/A,#N/A,FALSE,"Consltd-For contngcy"}</definedName>
    <definedName name="wrn.Summary._.View." localSheetId="53" hidden="1">{#N/A,#N/A,FALSE,"Consltd-For contngcy"}</definedName>
    <definedName name="wrn.Summary._.View." localSheetId="29" hidden="1">{#N/A,#N/A,FALSE,"Consltd-For contngcy"}</definedName>
    <definedName name="wrn.Summary._.View." localSheetId="28" hidden="1">{#N/A,#N/A,FALSE,"Consltd-For contngcy"}</definedName>
    <definedName name="wrn.Summary._.View." localSheetId="49" hidden="1">{#N/A,#N/A,FALSE,"Consltd-For contngcy"}</definedName>
    <definedName name="wrn.Summary._.View." localSheetId="23" hidden="1">{#N/A,#N/A,FALSE,"Consltd-For contngcy"}</definedName>
    <definedName name="wrn.Summary._.View." localSheetId="83" hidden="1">{#N/A,#N/A,FALSE,"Consltd-For contngcy"}</definedName>
    <definedName name="wrn.Summary._.View." localSheetId="27" hidden="1">{#N/A,#N/A,FALSE,"Consltd-For contngcy"}</definedName>
    <definedName name="wrn.Summary._.View." localSheetId="48" hidden="1">{#N/A,#N/A,FALSE,"Consltd-For contngcy"}</definedName>
    <definedName name="wrn.Summary._.View." hidden="1">{#N/A,#N/A,FALSE,"Consltd-For contngcy"}</definedName>
    <definedName name="wrn.UK._.Conversion._.Only." localSheetId="54" hidden="1">{#N/A,#N/A,FALSE,"Dec 1999 UK Continuing Ops"}</definedName>
    <definedName name="wrn.UK._.Conversion._.Only." localSheetId="53" hidden="1">{#N/A,#N/A,FALSE,"Dec 1999 UK Continuing Ops"}</definedName>
    <definedName name="wrn.UK._.Conversion._.Only." localSheetId="29" hidden="1">{#N/A,#N/A,FALSE,"Dec 1999 UK Continuing Ops"}</definedName>
    <definedName name="wrn.UK._.Conversion._.Only." localSheetId="28" hidden="1">{#N/A,#N/A,FALSE,"Dec 1999 UK Continuing Ops"}</definedName>
    <definedName name="wrn.UK._.Conversion._.Only." localSheetId="49" hidden="1">{#N/A,#N/A,FALSE,"Dec 1999 UK Continuing Ops"}</definedName>
    <definedName name="wrn.UK._.Conversion._.Only." localSheetId="23" hidden="1">{#N/A,#N/A,FALSE,"Dec 1999 UK Continuing Ops"}</definedName>
    <definedName name="wrn.UK._.Conversion._.Only." localSheetId="83" hidden="1">{#N/A,#N/A,FALSE,"Dec 1999 UK Continuing Ops"}</definedName>
    <definedName name="wrn.UK._.Conversion._.Only." localSheetId="27" hidden="1">{#N/A,#N/A,FALSE,"Dec 1999 UK Continuing Ops"}</definedName>
    <definedName name="wrn.UK._.Conversion._.Only." localSheetId="48" hidden="1">{#N/A,#N/A,FALSE,"Dec 1999 UK Continuing Ops"}</definedName>
    <definedName name="wrn.UK._.Conversion._.Only." hidden="1">{#N/A,#N/A,FALSE,"Dec 1999 UK Continuing Ops"}</definedName>
    <definedName name="wrn.YearEnd." localSheetId="54" hidden="1">{"Factors Pages 1-2",#N/A,FALSE,"Variables";"Factors Page 3",#N/A,FALSE,"Variables";"Factors Page 4",#N/A,FALSE,"Variables";"Factors Page 5",#N/A,FALSE,"Variables";"YE Pages 7-26",#N/A,FALSE,"Variables"}</definedName>
    <definedName name="wrn.YearEnd." localSheetId="53" hidden="1">{"Factors Pages 1-2",#N/A,FALSE,"Variables";"Factors Page 3",#N/A,FALSE,"Variables";"Factors Page 4",#N/A,FALSE,"Variables";"Factors Page 5",#N/A,FALSE,"Variables";"YE Pages 7-26",#N/A,FALSE,"Variables"}</definedName>
    <definedName name="wrn.YearEnd." localSheetId="29" hidden="1">{"Factors Pages 1-2",#N/A,FALSE,"Variables";"Factors Page 3",#N/A,FALSE,"Variables";"Factors Page 4",#N/A,FALSE,"Variables";"Factors Page 5",#N/A,FALSE,"Variables";"YE Pages 7-26",#N/A,FALSE,"Variables"}</definedName>
    <definedName name="wrn.YearEnd." localSheetId="28" hidden="1">{"Factors Pages 1-2",#N/A,FALSE,"Variables";"Factors Page 3",#N/A,FALSE,"Variables";"Factors Page 4",#N/A,FALSE,"Variables";"Factors Page 5",#N/A,FALSE,"Variables";"YE Pages 7-26",#N/A,FALSE,"Variables"}</definedName>
    <definedName name="wrn.YearEnd." localSheetId="49" hidden="1">{"Factors Pages 1-2",#N/A,FALSE,"Variables";"Factors Page 3",#N/A,FALSE,"Variables";"Factors Page 4",#N/A,FALSE,"Variables";"Factors Page 5",#N/A,FALSE,"Variables";"YE Pages 7-26",#N/A,FALSE,"Variables"}</definedName>
    <definedName name="wrn.YearEnd." localSheetId="23" hidden="1">{"Factors Pages 1-2",#N/A,FALSE,"Variables";"Factors Page 3",#N/A,FALSE,"Variables";"Factors Page 4",#N/A,FALSE,"Variables";"Factors Page 5",#N/A,FALSE,"Variables";"YE Pages 7-26",#N/A,FALSE,"Variables"}</definedName>
    <definedName name="wrn.YearEnd." localSheetId="83" hidden="1">{"Factors Pages 1-2",#N/A,FALSE,"Variables";"Factors Page 3",#N/A,FALSE,"Variables";"Factors Page 4",#N/A,FALSE,"Variables";"Factors Page 5",#N/A,FALSE,"Variables";"YE Pages 7-26",#N/A,FALSE,"Variables"}</definedName>
    <definedName name="wrn.YearEnd." localSheetId="27" hidden="1">{"Factors Pages 1-2",#N/A,FALSE,"Variables";"Factors Page 3",#N/A,FALSE,"Variables";"Factors Page 4",#N/A,FALSE,"Variables";"Factors Page 5",#N/A,FALSE,"Variables";"YE Pages 7-26",#N/A,FALSE,"Variables"}</definedName>
    <definedName name="wrn.YearEnd." localSheetId="48" hidden="1">{"Factors Pages 1-2",#N/A,FALSE,"Variables";"Factors Page 3",#N/A,FALSE,"Variables";"Factors Page 4",#N/A,FALSE,"Variables";"Factors Page 5",#N/A,FALSE,"Variables";"YE Pages 7-26",#N/A,FALSE,"Variables"}</definedName>
    <definedName name="wrn.YearEnd." hidden="1">{"Factors Pages 1-2",#N/A,FALSE,"Variables";"Factors Page 3",#N/A,FALSE,"Variables";"Factors Page 4",#N/A,FALSE,"Variables";"Factors Page 5",#N/A,FALSE,"Variables";"YE Pages 7-26",#N/A,FALSE,"Variables"}</definedName>
    <definedName name="y" localSheetId="49" hidden="1">#REF!</definedName>
    <definedName name="y" localSheetId="23" hidden="1">#REF!</definedName>
    <definedName name="y" localSheetId="83" hidden="1">#REF!</definedName>
    <definedName name="y" localSheetId="48" hidden="1">#REF!</definedName>
    <definedName name="y" hidden="1">#REF!</definedName>
    <definedName name="z" localSheetId="49" hidden="1">#REF!</definedName>
    <definedName name="z" localSheetId="23" hidden="1">#REF!</definedName>
    <definedName name="z" localSheetId="83" hidden="1">#REF!</definedName>
    <definedName name="z" localSheetId="48" hidden="1">#REF!</definedName>
    <definedName name="z" hidden="1">#REF!</definedName>
    <definedName name="Z_01844156_6462_4A28_9785_1A86F4D0C834_.wvu.PrintTitles" localSheetId="54" hidden="1">#REF!</definedName>
    <definedName name="Z_01844156_6462_4A28_9785_1A86F4D0C834_.wvu.PrintTitles" localSheetId="53" hidden="1">#REF!</definedName>
    <definedName name="Z_01844156_6462_4A28_9785_1A86F4D0C834_.wvu.PrintTitles" localSheetId="29" hidden="1">#REF!</definedName>
    <definedName name="Z_01844156_6462_4A28_9785_1A86F4D0C834_.wvu.PrintTitles" localSheetId="28" hidden="1">#REF!</definedName>
    <definedName name="Z_01844156_6462_4A28_9785_1A86F4D0C834_.wvu.PrintTitles" localSheetId="49" hidden="1">#REF!</definedName>
    <definedName name="Z_01844156_6462_4A28_9785_1A86F4D0C834_.wvu.PrintTitles" localSheetId="83" hidden="1">#REF!</definedName>
    <definedName name="Z_01844156_6462_4A28_9785_1A86F4D0C834_.wvu.PrintTitles" localSheetId="27" hidden="1">#REF!</definedName>
    <definedName name="Z_01844156_6462_4A28_9785_1A86F4D0C834_.wvu.PrintTitles" localSheetId="48" hidden="1">#REF!</definedName>
    <definedName name="Z_01844156_6462_4A28_9785_1A86F4D0C834_.wvu.PrintTitles"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4" i="27" l="1"/>
  <c r="M34" i="27"/>
  <c r="N72" i="13"/>
  <c r="H52" i="26" l="1"/>
  <c r="G52" i="26"/>
  <c r="L92" i="13"/>
  <c r="F37" i="77"/>
  <c r="G37" i="77"/>
  <c r="L34" i="27"/>
  <c r="G35" i="27"/>
  <c r="G34" i="27"/>
  <c r="G33" i="27"/>
  <c r="G32" i="27"/>
  <c r="G31" i="27"/>
  <c r="G30" i="27"/>
  <c r="G29" i="27"/>
  <c r="G21" i="27"/>
  <c r="G20" i="27"/>
  <c r="G19" i="27"/>
  <c r="G17" i="27"/>
  <c r="G16" i="27"/>
  <c r="L15" i="27"/>
  <c r="F42" i="7"/>
  <c r="D39" i="7"/>
  <c r="N151" i="13"/>
  <c r="M151" i="13"/>
  <c r="L151" i="13"/>
  <c r="N129" i="13"/>
  <c r="M129" i="13"/>
  <c r="L129" i="13"/>
  <c r="N121" i="13"/>
  <c r="M121" i="13"/>
  <c r="L121" i="13"/>
  <c r="N120" i="13"/>
  <c r="M120" i="13"/>
  <c r="L120" i="13"/>
  <c r="M96" i="13"/>
  <c r="L96" i="13"/>
  <c r="N92" i="13"/>
  <c r="M92" i="13"/>
  <c r="N91" i="13"/>
  <c r="M91" i="13"/>
  <c r="L91" i="13"/>
  <c r="N75" i="13"/>
  <c r="M75" i="13"/>
  <c r="L75" i="13"/>
  <c r="N73" i="13"/>
  <c r="M73" i="13"/>
  <c r="L73" i="13"/>
  <c r="N71" i="13"/>
  <c r="M71" i="13"/>
  <c r="L71" i="13"/>
  <c r="N70" i="13"/>
  <c r="M70" i="13"/>
  <c r="L70" i="13"/>
  <c r="N69" i="13"/>
  <c r="M69" i="13"/>
  <c r="L69" i="13"/>
  <c r="N47" i="13"/>
  <c r="M47" i="13"/>
  <c r="G75" i="13"/>
  <c r="K65" i="37"/>
  <c r="K64" i="37"/>
  <c r="K63" i="37"/>
  <c r="K62" i="37"/>
  <c r="K61" i="37"/>
  <c r="K31" i="37" s="1"/>
  <c r="K60" i="37"/>
  <c r="K30" i="37" s="1"/>
  <c r="K59" i="37"/>
  <c r="K58" i="37"/>
  <c r="K57" i="37"/>
  <c r="K56" i="37"/>
  <c r="K26" i="37" s="1"/>
  <c r="J65" i="37"/>
  <c r="J64" i="37"/>
  <c r="J63" i="37"/>
  <c r="J62" i="37"/>
  <c r="J61" i="37"/>
  <c r="J60" i="37"/>
  <c r="J59" i="37"/>
  <c r="J29" i="37" s="1"/>
  <c r="J58" i="37"/>
  <c r="J28" i="37" s="1"/>
  <c r="J57" i="37"/>
  <c r="J56" i="37"/>
  <c r="J26" i="37" s="1"/>
  <c r="K50" i="37"/>
  <c r="K49" i="37"/>
  <c r="K19" i="37" s="1"/>
  <c r="K48" i="37"/>
  <c r="K47" i="37"/>
  <c r="K46" i="37"/>
  <c r="K45" i="37"/>
  <c r="K15" i="37" s="1"/>
  <c r="K44" i="37"/>
  <c r="K43" i="37"/>
  <c r="K13" i="37" s="1"/>
  <c r="K42" i="37"/>
  <c r="K12" i="37" s="1"/>
  <c r="K41" i="37"/>
  <c r="K11" i="37" s="1"/>
  <c r="J50" i="37"/>
  <c r="J49" i="37"/>
  <c r="J48" i="37"/>
  <c r="J47" i="37"/>
  <c r="J46" i="37"/>
  <c r="J45" i="37"/>
  <c r="J44" i="37"/>
  <c r="J43" i="37"/>
  <c r="J13" i="37" s="1"/>
  <c r="J42" i="37"/>
  <c r="J12" i="37" s="1"/>
  <c r="J41" i="37"/>
  <c r="J11" i="37" s="1"/>
  <c r="H65" i="37"/>
  <c r="H64" i="37"/>
  <c r="H63" i="37"/>
  <c r="H62" i="37"/>
  <c r="H32" i="37" s="1"/>
  <c r="H61" i="37"/>
  <c r="H60" i="37"/>
  <c r="H59" i="37"/>
  <c r="H29" i="37" s="1"/>
  <c r="H58" i="37"/>
  <c r="H28" i="37" s="1"/>
  <c r="H57" i="37"/>
  <c r="H56" i="37"/>
  <c r="G65" i="37"/>
  <c r="G64" i="37"/>
  <c r="G63" i="37"/>
  <c r="G33" i="37" s="1"/>
  <c r="G62" i="37"/>
  <c r="G61" i="37"/>
  <c r="G60" i="37"/>
  <c r="G59" i="37"/>
  <c r="G29" i="37" s="1"/>
  <c r="G58" i="37"/>
  <c r="G28" i="37" s="1"/>
  <c r="G57" i="37"/>
  <c r="G27" i="37" s="1"/>
  <c r="G56" i="37"/>
  <c r="G26" i="37" s="1"/>
  <c r="H50" i="37"/>
  <c r="H49" i="37"/>
  <c r="H48" i="37"/>
  <c r="H47" i="37"/>
  <c r="H46" i="37"/>
  <c r="H45" i="37"/>
  <c r="H44" i="37"/>
  <c r="H14" i="37" s="1"/>
  <c r="H43" i="37"/>
  <c r="H13" i="37" s="1"/>
  <c r="H42" i="37"/>
  <c r="H41" i="37"/>
  <c r="H11" i="37" s="1"/>
  <c r="G50" i="37"/>
  <c r="G49" i="37"/>
  <c r="G48" i="37"/>
  <c r="G47" i="37"/>
  <c r="G46" i="37"/>
  <c r="G45" i="37"/>
  <c r="G15" i="37" s="1"/>
  <c r="G44" i="37"/>
  <c r="G14" i="37" s="1"/>
  <c r="G43" i="37"/>
  <c r="G42" i="37"/>
  <c r="G41" i="37"/>
  <c r="F36" i="37"/>
  <c r="E30" i="37" s="1"/>
  <c r="F21" i="37"/>
  <c r="L66" i="37"/>
  <c r="L51" i="37"/>
  <c r="I66" i="37"/>
  <c r="I51" i="37"/>
  <c r="F51" i="37"/>
  <c r="E65" i="37"/>
  <c r="E35" i="37" s="1"/>
  <c r="E64" i="37"/>
  <c r="E63" i="37"/>
  <c r="E62" i="37"/>
  <c r="E61" i="37"/>
  <c r="E60" i="37"/>
  <c r="E59" i="37"/>
  <c r="E58" i="37"/>
  <c r="E28" i="37" s="1"/>
  <c r="E57" i="37"/>
  <c r="E27" i="37" s="1"/>
  <c r="E56" i="37"/>
  <c r="E26" i="37" s="1"/>
  <c r="D65" i="37"/>
  <c r="D64" i="37"/>
  <c r="D63" i="37"/>
  <c r="D62" i="37"/>
  <c r="D61" i="37"/>
  <c r="D60" i="37"/>
  <c r="D59" i="37"/>
  <c r="D58" i="37"/>
  <c r="D57" i="37"/>
  <c r="D56" i="37"/>
  <c r="D35" i="37"/>
  <c r="E50" i="37"/>
  <c r="E49" i="37"/>
  <c r="E19" i="37" s="1"/>
  <c r="E48" i="37"/>
  <c r="E47" i="37"/>
  <c r="E46" i="37"/>
  <c r="E45" i="37"/>
  <c r="E44" i="37"/>
  <c r="E43" i="37"/>
  <c r="E42" i="37"/>
  <c r="E41" i="37"/>
  <c r="E17" i="37"/>
  <c r="E16" i="37"/>
  <c r="D50" i="37"/>
  <c r="D49" i="37"/>
  <c r="D48" i="37"/>
  <c r="D47" i="37"/>
  <c r="D46" i="37"/>
  <c r="D16" i="37" s="1"/>
  <c r="D45" i="37"/>
  <c r="D44" i="37"/>
  <c r="D43" i="37"/>
  <c r="D13" i="37" s="1"/>
  <c r="D42" i="37"/>
  <c r="D41" i="37"/>
  <c r="K35" i="37"/>
  <c r="J35" i="37"/>
  <c r="H35" i="37"/>
  <c r="G35" i="37"/>
  <c r="K34" i="37"/>
  <c r="J34" i="37"/>
  <c r="H34" i="37"/>
  <c r="G34" i="37"/>
  <c r="E34" i="37"/>
  <c r="K33" i="37"/>
  <c r="J33" i="37"/>
  <c r="H33" i="37"/>
  <c r="K32" i="37"/>
  <c r="J32" i="37"/>
  <c r="G32" i="37"/>
  <c r="E32" i="37"/>
  <c r="J31" i="37"/>
  <c r="H31" i="37"/>
  <c r="G31" i="37"/>
  <c r="J30" i="37"/>
  <c r="H30" i="37"/>
  <c r="G30" i="37"/>
  <c r="K29" i="37"/>
  <c r="E29" i="37"/>
  <c r="D29" i="37"/>
  <c r="K28" i="37"/>
  <c r="K27" i="37"/>
  <c r="J27" i="37"/>
  <c r="H27" i="37"/>
  <c r="H26" i="37"/>
  <c r="J20" i="37"/>
  <c r="H20" i="37"/>
  <c r="J19" i="37"/>
  <c r="G19" i="37"/>
  <c r="G18" i="37"/>
  <c r="D18" i="37"/>
  <c r="K17" i="37"/>
  <c r="D17" i="37"/>
  <c r="J16" i="37"/>
  <c r="H16" i="37"/>
  <c r="J15" i="37"/>
  <c r="D14" i="37"/>
  <c r="K20" i="37"/>
  <c r="G20" i="37"/>
  <c r="E20" i="37"/>
  <c r="H19" i="37"/>
  <c r="D19" i="37"/>
  <c r="K18" i="37"/>
  <c r="J18" i="37"/>
  <c r="H18" i="37"/>
  <c r="E18" i="37"/>
  <c r="J17" i="37"/>
  <c r="H17" i="37"/>
  <c r="G17" i="37"/>
  <c r="K16" i="37"/>
  <c r="G16" i="37"/>
  <c r="H15" i="37"/>
  <c r="D15" i="37"/>
  <c r="K14" i="37"/>
  <c r="J14" i="37"/>
  <c r="E14" i="37"/>
  <c r="G15" i="77" s="1"/>
  <c r="D12" i="37"/>
  <c r="G4" i="69"/>
  <c r="F4" i="69"/>
  <c r="E4" i="69"/>
  <c r="D4" i="69"/>
  <c r="G49" i="69"/>
  <c r="F49" i="69"/>
  <c r="E49" i="69"/>
  <c r="D49" i="69"/>
  <c r="C49" i="69"/>
  <c r="G48" i="69"/>
  <c r="F48" i="69"/>
  <c r="E48" i="69"/>
  <c r="D48" i="69"/>
  <c r="C48" i="69"/>
  <c r="G29" i="69"/>
  <c r="F29" i="69"/>
  <c r="E29" i="69"/>
  <c r="D29" i="69"/>
  <c r="C29" i="69"/>
  <c r="D27" i="68"/>
  <c r="D29" i="33"/>
  <c r="D28" i="33"/>
  <c r="D27" i="33"/>
  <c r="D26" i="33"/>
  <c r="D20" i="33"/>
  <c r="D22" i="33"/>
  <c r="D21" i="33"/>
  <c r="D19" i="33"/>
  <c r="D18" i="33"/>
  <c r="D17" i="33"/>
  <c r="D16" i="33"/>
  <c r="U54" i="84"/>
  <c r="U56" i="84" s="1"/>
  <c r="S54" i="84"/>
  <c r="R54" i="84"/>
  <c r="Q54" i="84"/>
  <c r="P54" i="84"/>
  <c r="O54" i="84"/>
  <c r="N54" i="84"/>
  <c r="M54" i="84"/>
  <c r="L54" i="84"/>
  <c r="K54" i="84"/>
  <c r="J54" i="84"/>
  <c r="I54" i="84"/>
  <c r="H54" i="84"/>
  <c r="G54" i="84"/>
  <c r="F54" i="84"/>
  <c r="E54" i="84"/>
  <c r="D54" i="84"/>
  <c r="D56" i="84" s="1"/>
  <c r="C54" i="84"/>
  <c r="U70" i="84"/>
  <c r="S70" i="84"/>
  <c r="R70" i="84"/>
  <c r="Q70" i="84"/>
  <c r="P70" i="84"/>
  <c r="O70" i="84"/>
  <c r="N70" i="84"/>
  <c r="M70" i="84"/>
  <c r="L70" i="84"/>
  <c r="K70" i="84"/>
  <c r="J70" i="84"/>
  <c r="I70" i="84"/>
  <c r="H70" i="84"/>
  <c r="G70" i="84"/>
  <c r="F70" i="84"/>
  <c r="E70" i="84"/>
  <c r="D70" i="84"/>
  <c r="C70" i="84"/>
  <c r="AE70" i="84" s="1"/>
  <c r="U69" i="84"/>
  <c r="S69" i="84"/>
  <c r="R69" i="84"/>
  <c r="Q69" i="84"/>
  <c r="P69" i="84"/>
  <c r="O69" i="84"/>
  <c r="N69" i="84"/>
  <c r="M69" i="84"/>
  <c r="L69" i="84"/>
  <c r="K69" i="84"/>
  <c r="J69" i="84"/>
  <c r="I69" i="84"/>
  <c r="H69" i="84"/>
  <c r="G69" i="84"/>
  <c r="F69" i="84"/>
  <c r="E69" i="84"/>
  <c r="D69" i="84"/>
  <c r="C69" i="84"/>
  <c r="AE69" i="84" s="1"/>
  <c r="N67" i="84"/>
  <c r="F67" i="84"/>
  <c r="U65" i="84"/>
  <c r="U67" i="84" s="1"/>
  <c r="S65" i="84"/>
  <c r="S67" i="84" s="1"/>
  <c r="R65" i="84"/>
  <c r="R67" i="84" s="1"/>
  <c r="N65" i="84"/>
  <c r="L65" i="84"/>
  <c r="L67" i="84" s="1"/>
  <c r="K65" i="84"/>
  <c r="K67" i="84" s="1"/>
  <c r="J65" i="84"/>
  <c r="J67" i="84" s="1"/>
  <c r="F65" i="84"/>
  <c r="D65" i="84"/>
  <c r="D67" i="84" s="1"/>
  <c r="C65" i="84"/>
  <c r="C67" i="84" s="1"/>
  <c r="AE61" i="84"/>
  <c r="L56" i="84"/>
  <c r="U53" i="84"/>
  <c r="S53" i="84"/>
  <c r="R53" i="84"/>
  <c r="Q53" i="84"/>
  <c r="Q65" i="84" s="1"/>
  <c r="Q67" i="84" s="1"/>
  <c r="P53" i="84"/>
  <c r="P65" i="84" s="1"/>
  <c r="P67" i="84" s="1"/>
  <c r="O53" i="84"/>
  <c r="N53" i="84"/>
  <c r="N56" i="84" s="1"/>
  <c r="M53" i="84"/>
  <c r="L53" i="84"/>
  <c r="K53" i="84"/>
  <c r="J53" i="84"/>
  <c r="I53" i="84"/>
  <c r="I65" i="84" s="1"/>
  <c r="I67" i="84" s="1"/>
  <c r="H53" i="84"/>
  <c r="H65" i="84" s="1"/>
  <c r="H67" i="84" s="1"/>
  <c r="G53" i="84"/>
  <c r="F53" i="84"/>
  <c r="F56" i="84" s="1"/>
  <c r="E53" i="84"/>
  <c r="AE53" i="84" s="1"/>
  <c r="D53" i="84"/>
  <c r="C53" i="84"/>
  <c r="U51" i="84"/>
  <c r="S51" i="84"/>
  <c r="R51" i="84"/>
  <c r="Q51" i="84"/>
  <c r="P51" i="84"/>
  <c r="O51" i="84"/>
  <c r="N51" i="84"/>
  <c r="M51" i="84"/>
  <c r="L51" i="84"/>
  <c r="K51" i="84"/>
  <c r="J51" i="84"/>
  <c r="I51" i="84"/>
  <c r="H51" i="84"/>
  <c r="G51" i="84"/>
  <c r="F51" i="84"/>
  <c r="E51" i="84"/>
  <c r="D51" i="84"/>
  <c r="AE51" i="84" s="1"/>
  <c r="C51" i="84"/>
  <c r="C50" i="84"/>
  <c r="U49" i="84"/>
  <c r="S49" i="84"/>
  <c r="S56" i="84" s="1"/>
  <c r="R49" i="84"/>
  <c r="Q49" i="84"/>
  <c r="P49" i="84"/>
  <c r="P56" i="84" s="1"/>
  <c r="O49" i="84"/>
  <c r="N49" i="84"/>
  <c r="M49" i="84"/>
  <c r="L49" i="84"/>
  <c r="K49" i="84"/>
  <c r="K56" i="84" s="1"/>
  <c r="J49" i="84"/>
  <c r="I49" i="84"/>
  <c r="H49" i="84"/>
  <c r="H56" i="84" s="1"/>
  <c r="G49" i="84"/>
  <c r="F49" i="84"/>
  <c r="E49" i="84"/>
  <c r="D49" i="84"/>
  <c r="C49" i="84"/>
  <c r="C40" i="84" a="1"/>
  <c r="C40" i="84" s="1"/>
  <c r="C34" i="84" a="1"/>
  <c r="C34" i="84" s="1"/>
  <c r="W32" i="84"/>
  <c r="U32" i="84"/>
  <c r="T32" i="84"/>
  <c r="S32" i="84"/>
  <c r="R32" i="84"/>
  <c r="Q32" i="84"/>
  <c r="P32" i="84"/>
  <c r="O32" i="84"/>
  <c r="N32" i="84"/>
  <c r="M32" i="84"/>
  <c r="L32" i="84"/>
  <c r="K32" i="84"/>
  <c r="J32" i="84"/>
  <c r="I32" i="84"/>
  <c r="H32" i="84"/>
  <c r="G32" i="84"/>
  <c r="F32" i="84"/>
  <c r="E32" i="84"/>
  <c r="D32" i="84"/>
  <c r="W31" i="84"/>
  <c r="U31" i="84"/>
  <c r="T31" i="84"/>
  <c r="S31" i="84"/>
  <c r="R31" i="84"/>
  <c r="Q31" i="84"/>
  <c r="P31" i="84"/>
  <c r="O31" i="84"/>
  <c r="N31" i="84"/>
  <c r="M31" i="84"/>
  <c r="L31" i="84"/>
  <c r="K31" i="84"/>
  <c r="J31" i="84"/>
  <c r="I31" i="84"/>
  <c r="H31" i="84"/>
  <c r="G31" i="84"/>
  <c r="F31" i="84"/>
  <c r="E31" i="84"/>
  <c r="D31" i="84"/>
  <c r="W29" i="84"/>
  <c r="U29" i="84"/>
  <c r="T29" i="84"/>
  <c r="S29" i="84"/>
  <c r="R29" i="84"/>
  <c r="Q29" i="84"/>
  <c r="P29" i="84"/>
  <c r="O29" i="84"/>
  <c r="N29" i="84"/>
  <c r="M29" i="84"/>
  <c r="L29" i="84"/>
  <c r="K29" i="84"/>
  <c r="J29" i="84"/>
  <c r="I29" i="84"/>
  <c r="H29" i="84"/>
  <c r="G29" i="84"/>
  <c r="F29" i="84"/>
  <c r="E29" i="84"/>
  <c r="D29" i="84"/>
  <c r="C28" i="84" a="1"/>
  <c r="C28" i="84" s="1"/>
  <c r="C32" i="84" s="1"/>
  <c r="C22" i="84" a="1"/>
  <c r="C22" i="84" s="1"/>
  <c r="C18" i="84" a="1"/>
  <c r="C18" i="84" s="1"/>
  <c r="C17" i="84" a="1"/>
  <c r="C17" i="84" s="1"/>
  <c r="C12" i="84" a="1"/>
  <c r="C12" i="84" s="1"/>
  <c r="C31" i="84" s="1"/>
  <c r="C11" i="84" a="1"/>
  <c r="C11" i="84" s="1"/>
  <c r="H35" i="77"/>
  <c r="H33" i="77"/>
  <c r="H31" i="77"/>
  <c r="H29" i="77"/>
  <c r="H18" i="77"/>
  <c r="H17" i="77"/>
  <c r="H15" i="77"/>
  <c r="G35" i="77"/>
  <c r="F35" i="77"/>
  <c r="G33" i="77"/>
  <c r="F33" i="77"/>
  <c r="G31" i="77"/>
  <c r="F31" i="77"/>
  <c r="G29" i="77"/>
  <c r="F29" i="77"/>
  <c r="G18" i="77"/>
  <c r="F18" i="77"/>
  <c r="G17" i="77"/>
  <c r="F17" i="77"/>
  <c r="E35" i="77"/>
  <c r="E33" i="77"/>
  <c r="E31" i="77"/>
  <c r="E29" i="77"/>
  <c r="E18" i="77"/>
  <c r="E17" i="77"/>
  <c r="E15" i="77"/>
  <c r="D35" i="77"/>
  <c r="D33" i="77"/>
  <c r="D31" i="77"/>
  <c r="D29" i="77"/>
  <c r="D18" i="77"/>
  <c r="D17" i="77"/>
  <c r="D15" i="77"/>
  <c r="C35" i="77"/>
  <c r="C33" i="77"/>
  <c r="C31" i="77"/>
  <c r="C29" i="77"/>
  <c r="C18" i="77"/>
  <c r="C17" i="77"/>
  <c r="C15" i="77"/>
  <c r="B99" i="77"/>
  <c r="B98" i="77"/>
  <c r="B97" i="77"/>
  <c r="B94" i="77"/>
  <c r="B93" i="77"/>
  <c r="B68" i="77"/>
  <c r="S110" i="77"/>
  <c r="R110" i="77"/>
  <c r="Q110" i="77"/>
  <c r="P110" i="77"/>
  <c r="O110" i="77"/>
  <c r="N110" i="77"/>
  <c r="M110" i="77"/>
  <c r="L110" i="77"/>
  <c r="K110" i="77"/>
  <c r="J110" i="77"/>
  <c r="I110" i="77"/>
  <c r="S91" i="77"/>
  <c r="R91" i="77"/>
  <c r="Q91" i="77"/>
  <c r="P91" i="77"/>
  <c r="O91" i="77"/>
  <c r="N91" i="77"/>
  <c r="M91" i="77"/>
  <c r="L91" i="77"/>
  <c r="H91" i="77" s="1"/>
  <c r="K91" i="77"/>
  <c r="J91" i="77"/>
  <c r="I91" i="77"/>
  <c r="S90" i="77"/>
  <c r="R90" i="77"/>
  <c r="Q90" i="77"/>
  <c r="P90" i="77"/>
  <c r="O90" i="77"/>
  <c r="C90" i="77" s="1"/>
  <c r="N90" i="77"/>
  <c r="M90" i="77"/>
  <c r="L90" i="77"/>
  <c r="K90" i="77"/>
  <c r="J90" i="77"/>
  <c r="I90" i="77"/>
  <c r="S89" i="77"/>
  <c r="R89" i="77"/>
  <c r="C89" i="77" s="1"/>
  <c r="Q89" i="77"/>
  <c r="P89" i="77"/>
  <c r="O89" i="77"/>
  <c r="N89" i="77"/>
  <c r="M89" i="77"/>
  <c r="L89" i="77"/>
  <c r="K89" i="77"/>
  <c r="J89" i="77"/>
  <c r="H89" i="77" s="1"/>
  <c r="I89" i="77"/>
  <c r="S88" i="77"/>
  <c r="R88" i="77"/>
  <c r="Q88" i="77"/>
  <c r="P88" i="77"/>
  <c r="O88" i="77"/>
  <c r="N88" i="77"/>
  <c r="M88" i="77"/>
  <c r="H88" i="77" s="1"/>
  <c r="L88" i="77"/>
  <c r="K88" i="77"/>
  <c r="J88" i="77"/>
  <c r="I88" i="77"/>
  <c r="S87" i="77"/>
  <c r="R87" i="77"/>
  <c r="Q87" i="77"/>
  <c r="P87" i="77"/>
  <c r="C87" i="77" s="1"/>
  <c r="O87" i="77"/>
  <c r="N87" i="77"/>
  <c r="M87" i="77"/>
  <c r="L87" i="77"/>
  <c r="K87" i="77"/>
  <c r="J87" i="77"/>
  <c r="I87" i="77"/>
  <c r="S86" i="77"/>
  <c r="C86" i="77" s="1"/>
  <c r="R86" i="77"/>
  <c r="Q86" i="77"/>
  <c r="P86" i="77"/>
  <c r="O86" i="77"/>
  <c r="N86" i="77"/>
  <c r="M86" i="77"/>
  <c r="L86" i="77"/>
  <c r="K86" i="77"/>
  <c r="H86" i="77" s="1"/>
  <c r="J86" i="77"/>
  <c r="I86" i="77"/>
  <c r="S85" i="77"/>
  <c r="R85" i="77"/>
  <c r="Q85" i="77"/>
  <c r="P85" i="77"/>
  <c r="O85" i="77"/>
  <c r="C85" i="77" s="1"/>
  <c r="N85" i="77"/>
  <c r="D85" i="77" s="1"/>
  <c r="M85" i="77"/>
  <c r="L85" i="77"/>
  <c r="K85" i="77"/>
  <c r="J85" i="77"/>
  <c r="I85" i="77"/>
  <c r="S84" i="77"/>
  <c r="R84" i="77"/>
  <c r="Q84" i="77"/>
  <c r="P84" i="77"/>
  <c r="O84" i="77"/>
  <c r="N84" i="77"/>
  <c r="M84" i="77"/>
  <c r="L84" i="77"/>
  <c r="K84" i="77"/>
  <c r="J84" i="77"/>
  <c r="I84" i="77"/>
  <c r="C84" i="77" s="1"/>
  <c r="S83" i="77"/>
  <c r="R83" i="77"/>
  <c r="Q83" i="77"/>
  <c r="P83" i="77"/>
  <c r="O83" i="77"/>
  <c r="N83" i="77"/>
  <c r="M83" i="77"/>
  <c r="L83" i="77"/>
  <c r="H83" i="77" s="1"/>
  <c r="K83" i="77"/>
  <c r="J83" i="77"/>
  <c r="I83" i="77"/>
  <c r="S82" i="77"/>
  <c r="R82" i="77"/>
  <c r="Q82" i="77"/>
  <c r="P82" i="77"/>
  <c r="O82" i="77"/>
  <c r="C82" i="77" s="1"/>
  <c r="N82" i="77"/>
  <c r="M82" i="77"/>
  <c r="L82" i="77"/>
  <c r="K82" i="77"/>
  <c r="J82" i="77"/>
  <c r="I82" i="77"/>
  <c r="S81" i="77"/>
  <c r="R81" i="77"/>
  <c r="C81" i="77" s="1"/>
  <c r="Q81" i="77"/>
  <c r="P81" i="77"/>
  <c r="O81" i="77"/>
  <c r="N81" i="77"/>
  <c r="M81" i="77"/>
  <c r="L81" i="77"/>
  <c r="K81" i="77"/>
  <c r="J81" i="77"/>
  <c r="H81" i="77" s="1"/>
  <c r="I81" i="77"/>
  <c r="S80" i="77"/>
  <c r="R80" i="77"/>
  <c r="Q80" i="77"/>
  <c r="P80" i="77"/>
  <c r="O80" i="77"/>
  <c r="N80" i="77"/>
  <c r="M80" i="77"/>
  <c r="H80" i="77" s="1"/>
  <c r="L80" i="77"/>
  <c r="K80" i="77"/>
  <c r="J80" i="77"/>
  <c r="I80" i="77"/>
  <c r="S79" i="77"/>
  <c r="R79" i="77"/>
  <c r="Q79" i="77"/>
  <c r="P79" i="77"/>
  <c r="C79" i="77" s="1"/>
  <c r="O79" i="77"/>
  <c r="N79" i="77"/>
  <c r="M79" i="77"/>
  <c r="L79" i="77"/>
  <c r="K79" i="77"/>
  <c r="J79" i="77"/>
  <c r="I79" i="77"/>
  <c r="S78" i="77"/>
  <c r="C78" i="77" s="1"/>
  <c r="R78" i="77"/>
  <c r="Q78" i="77"/>
  <c r="P78" i="77"/>
  <c r="O78" i="77"/>
  <c r="N78" i="77"/>
  <c r="M78" i="77"/>
  <c r="L78" i="77"/>
  <c r="K78" i="77"/>
  <c r="H78" i="77" s="1"/>
  <c r="J78" i="77"/>
  <c r="I78" i="77"/>
  <c r="S77" i="77"/>
  <c r="R77" i="77"/>
  <c r="Q77" i="77"/>
  <c r="P77" i="77"/>
  <c r="O77" i="77"/>
  <c r="C77" i="77" s="1"/>
  <c r="N77" i="77"/>
  <c r="D77" i="77" s="1"/>
  <c r="M77" i="77"/>
  <c r="L77" i="77"/>
  <c r="K77" i="77"/>
  <c r="J77" i="77"/>
  <c r="I77" i="77"/>
  <c r="S76" i="77"/>
  <c r="R76" i="77"/>
  <c r="R98" i="77" s="1"/>
  <c r="R99" i="77" s="1"/>
  <c r="Q76" i="77"/>
  <c r="Q98" i="77" s="1"/>
  <c r="Q99" i="77" s="1"/>
  <c r="P76" i="77"/>
  <c r="O76" i="77"/>
  <c r="N76" i="77"/>
  <c r="M76" i="77"/>
  <c r="L76" i="77"/>
  <c r="K76" i="77"/>
  <c r="J76" i="77"/>
  <c r="I76" i="77"/>
  <c r="S75" i="77"/>
  <c r="R75" i="77"/>
  <c r="Q75" i="77"/>
  <c r="P75" i="77"/>
  <c r="O75" i="77"/>
  <c r="N75" i="77"/>
  <c r="M75" i="77"/>
  <c r="L75" i="77"/>
  <c r="H75" i="77" s="1"/>
  <c r="K75" i="77"/>
  <c r="J75" i="77"/>
  <c r="I75" i="77"/>
  <c r="S74" i="77"/>
  <c r="R74" i="77"/>
  <c r="Q74" i="77"/>
  <c r="P74" i="77"/>
  <c r="O74" i="77"/>
  <c r="N74" i="77"/>
  <c r="M74" i="77"/>
  <c r="L74" i="77"/>
  <c r="K74" i="77"/>
  <c r="J74" i="77"/>
  <c r="I74" i="77"/>
  <c r="S73" i="77"/>
  <c r="S94" i="77" s="1"/>
  <c r="R73" i="77"/>
  <c r="C73" i="77" s="1"/>
  <c r="Q73" i="77"/>
  <c r="P73" i="77"/>
  <c r="O73" i="77"/>
  <c r="N73" i="77"/>
  <c r="M73" i="77"/>
  <c r="L73" i="77"/>
  <c r="K73" i="77"/>
  <c r="J73" i="77"/>
  <c r="H73" i="77" s="1"/>
  <c r="I73" i="77"/>
  <c r="S72" i="77"/>
  <c r="R72" i="77"/>
  <c r="Q72" i="77"/>
  <c r="P72" i="77"/>
  <c r="O72" i="77"/>
  <c r="N72" i="77"/>
  <c r="M72" i="77"/>
  <c r="M93" i="77" s="1"/>
  <c r="L72" i="77"/>
  <c r="K72" i="77"/>
  <c r="J72" i="77"/>
  <c r="I72" i="77"/>
  <c r="S71" i="77"/>
  <c r="R71" i="77"/>
  <c r="Q71" i="77"/>
  <c r="Q93" i="77" s="1"/>
  <c r="P71" i="77"/>
  <c r="P93" i="77" s="1"/>
  <c r="O71" i="77"/>
  <c r="N71" i="77"/>
  <c r="M71" i="77"/>
  <c r="L71" i="77"/>
  <c r="K71" i="77"/>
  <c r="J71" i="77"/>
  <c r="I71" i="77"/>
  <c r="C71" i="77" s="1"/>
  <c r="S70" i="77"/>
  <c r="S93" i="77" s="1"/>
  <c r="R70" i="77"/>
  <c r="Q70" i="77"/>
  <c r="P70" i="77"/>
  <c r="O70" i="77"/>
  <c r="N70" i="77"/>
  <c r="M70" i="77"/>
  <c r="L70" i="77"/>
  <c r="K70" i="77"/>
  <c r="K93" i="77" s="1"/>
  <c r="J70" i="77"/>
  <c r="I70" i="77"/>
  <c r="S69" i="77"/>
  <c r="R69" i="77"/>
  <c r="Q69" i="77"/>
  <c r="P69" i="77"/>
  <c r="O69" i="77"/>
  <c r="C69" i="77" s="1"/>
  <c r="N69" i="77"/>
  <c r="N93" i="77" s="1"/>
  <c r="M69" i="77"/>
  <c r="L69" i="77"/>
  <c r="K69" i="77"/>
  <c r="J69" i="77"/>
  <c r="I69" i="77"/>
  <c r="S68" i="77"/>
  <c r="R68" i="77"/>
  <c r="Q68" i="77"/>
  <c r="P68" i="77"/>
  <c r="O68" i="77"/>
  <c r="N68" i="77"/>
  <c r="M68" i="77"/>
  <c r="L68" i="77"/>
  <c r="K68" i="77"/>
  <c r="J68" i="77"/>
  <c r="H68" i="77" s="1"/>
  <c r="I68" i="77"/>
  <c r="C68" i="77" s="1"/>
  <c r="S67" i="77"/>
  <c r="R67" i="77"/>
  <c r="Q67" i="77"/>
  <c r="P67" i="77"/>
  <c r="O67" i="77"/>
  <c r="N67" i="77"/>
  <c r="M67" i="77"/>
  <c r="L67" i="77"/>
  <c r="K67" i="77"/>
  <c r="J67" i="77"/>
  <c r="I67" i="77"/>
  <c r="S66" i="77"/>
  <c r="R66" i="77"/>
  <c r="Q66" i="77"/>
  <c r="P66" i="77"/>
  <c r="O66" i="77"/>
  <c r="C66" i="77" s="1"/>
  <c r="N66" i="77"/>
  <c r="M66" i="77"/>
  <c r="L66" i="77"/>
  <c r="K66" i="77"/>
  <c r="J66" i="77"/>
  <c r="I66" i="77"/>
  <c r="S65" i="77"/>
  <c r="R65" i="77"/>
  <c r="C65" i="77" s="1"/>
  <c r="Q65" i="77"/>
  <c r="P65" i="77"/>
  <c r="O65" i="77"/>
  <c r="N65" i="77"/>
  <c r="M65" i="77"/>
  <c r="L65" i="77"/>
  <c r="K65" i="77"/>
  <c r="J65" i="77"/>
  <c r="H65" i="77" s="1"/>
  <c r="I65" i="77"/>
  <c r="S64" i="77"/>
  <c r="R64" i="77"/>
  <c r="Q64" i="77"/>
  <c r="P64" i="77"/>
  <c r="O64" i="77"/>
  <c r="N64" i="77"/>
  <c r="D64" i="77" s="1"/>
  <c r="M64" i="77"/>
  <c r="H64" i="77" s="1"/>
  <c r="L64" i="77"/>
  <c r="K64" i="77"/>
  <c r="J64" i="77"/>
  <c r="I64" i="77"/>
  <c r="S63" i="77"/>
  <c r="R63" i="77"/>
  <c r="Q63" i="77"/>
  <c r="P63" i="77"/>
  <c r="O63" i="77"/>
  <c r="N63" i="77"/>
  <c r="M63" i="77"/>
  <c r="L63" i="77"/>
  <c r="K63" i="77"/>
  <c r="J63" i="77"/>
  <c r="I63" i="77"/>
  <c r="S62" i="77"/>
  <c r="C62" i="77" s="1"/>
  <c r="R62" i="77"/>
  <c r="Q62" i="77"/>
  <c r="P62" i="77"/>
  <c r="O62" i="77"/>
  <c r="N62" i="77"/>
  <c r="M62" i="77"/>
  <c r="L62" i="77"/>
  <c r="K62" i="77"/>
  <c r="J62" i="77"/>
  <c r="I62" i="77"/>
  <c r="S61" i="77"/>
  <c r="R61" i="77"/>
  <c r="Q61" i="77"/>
  <c r="P61" i="77"/>
  <c r="O61" i="77"/>
  <c r="C61" i="77" s="1"/>
  <c r="N61" i="77"/>
  <c r="D61" i="77" s="1"/>
  <c r="M61" i="77"/>
  <c r="L61" i="77"/>
  <c r="K61" i="77"/>
  <c r="J61" i="77"/>
  <c r="I61" i="77"/>
  <c r="S60" i="77"/>
  <c r="R60" i="77"/>
  <c r="R94" i="77" s="1"/>
  <c r="Q60" i="77"/>
  <c r="Q94" i="77" s="1"/>
  <c r="P60" i="77"/>
  <c r="O60" i="77"/>
  <c r="N60" i="77"/>
  <c r="M60" i="77"/>
  <c r="L60" i="77"/>
  <c r="K60" i="77"/>
  <c r="J60" i="77"/>
  <c r="J94" i="77" s="1"/>
  <c r="I60" i="77"/>
  <c r="I94" i="77" s="1"/>
  <c r="S59" i="77"/>
  <c r="R59" i="77"/>
  <c r="Q59" i="77"/>
  <c r="P59" i="77"/>
  <c r="O59" i="77"/>
  <c r="N59" i="77"/>
  <c r="M59" i="77"/>
  <c r="L59" i="77"/>
  <c r="K59" i="77"/>
  <c r="J59" i="77"/>
  <c r="I59" i="77"/>
  <c r="S58" i="77"/>
  <c r="R58" i="77"/>
  <c r="Q58" i="77"/>
  <c r="P58" i="77"/>
  <c r="O58" i="77"/>
  <c r="N58" i="77"/>
  <c r="M58" i="77"/>
  <c r="L58" i="77"/>
  <c r="K58" i="77"/>
  <c r="J58" i="77"/>
  <c r="I58" i="77"/>
  <c r="S57" i="77"/>
  <c r="R57" i="77"/>
  <c r="Q57" i="77"/>
  <c r="P57" i="77"/>
  <c r="O57" i="77"/>
  <c r="N57" i="77"/>
  <c r="M57" i="77"/>
  <c r="L57" i="77"/>
  <c r="K57" i="77"/>
  <c r="J57" i="77"/>
  <c r="I57" i="77"/>
  <c r="G99" i="77"/>
  <c r="F99" i="77"/>
  <c r="E99" i="77"/>
  <c r="N98" i="77"/>
  <c r="L98" i="77"/>
  <c r="L99" i="77" s="1"/>
  <c r="G98" i="77"/>
  <c r="F98" i="77"/>
  <c r="E98" i="77"/>
  <c r="D98" i="77"/>
  <c r="G97" i="77"/>
  <c r="F97" i="77"/>
  <c r="E97" i="77"/>
  <c r="P94" i="77"/>
  <c r="N94" i="77"/>
  <c r="D94" i="77" s="1"/>
  <c r="G94" i="77"/>
  <c r="F94" i="77"/>
  <c r="E94" i="77"/>
  <c r="G93" i="77"/>
  <c r="F93" i="77"/>
  <c r="E93" i="77"/>
  <c r="C91" i="77"/>
  <c r="G91" i="77"/>
  <c r="F91" i="77"/>
  <c r="E91" i="77"/>
  <c r="D91" i="77"/>
  <c r="N99" i="77"/>
  <c r="D99" i="77" s="1"/>
  <c r="H90" i="77"/>
  <c r="G90" i="77"/>
  <c r="F90" i="77"/>
  <c r="E90" i="77"/>
  <c r="D90" i="77"/>
  <c r="G89" i="77"/>
  <c r="F89" i="77"/>
  <c r="E89" i="77"/>
  <c r="D89" i="77"/>
  <c r="D88" i="77"/>
  <c r="C88" i="77"/>
  <c r="G88" i="77"/>
  <c r="F88" i="77"/>
  <c r="E88" i="77"/>
  <c r="D87" i="77"/>
  <c r="H87" i="77"/>
  <c r="G87" i="77"/>
  <c r="F87" i="77"/>
  <c r="E87" i="77"/>
  <c r="G86" i="77"/>
  <c r="F86" i="77"/>
  <c r="E86" i="77"/>
  <c r="D86" i="77"/>
  <c r="H85" i="77"/>
  <c r="G85" i="77"/>
  <c r="F85" i="77"/>
  <c r="E85" i="77"/>
  <c r="H84" i="77"/>
  <c r="G84" i="77"/>
  <c r="F84" i="77"/>
  <c r="E84" i="77"/>
  <c r="D84" i="77"/>
  <c r="C83" i="77"/>
  <c r="G83" i="77"/>
  <c r="F83" i="77"/>
  <c r="E83" i="77"/>
  <c r="D83" i="77"/>
  <c r="H82" i="77"/>
  <c r="G82" i="77"/>
  <c r="F82" i="77"/>
  <c r="E82" i="77"/>
  <c r="D82" i="77"/>
  <c r="G81" i="77"/>
  <c r="F81" i="77"/>
  <c r="E81" i="77"/>
  <c r="D81" i="77"/>
  <c r="D80" i="77"/>
  <c r="C80" i="77"/>
  <c r="G80" i="77"/>
  <c r="F80" i="77"/>
  <c r="E80" i="77"/>
  <c r="D79" i="77"/>
  <c r="H79" i="77"/>
  <c r="G79" i="77"/>
  <c r="F79" i="77"/>
  <c r="E79" i="77"/>
  <c r="G78" i="77"/>
  <c r="F78" i="77"/>
  <c r="E78" i="77"/>
  <c r="D78" i="77"/>
  <c r="H77" i="77"/>
  <c r="G77" i="77"/>
  <c r="F77" i="77"/>
  <c r="E77" i="77"/>
  <c r="S98" i="77"/>
  <c r="S99" i="77" s="1"/>
  <c r="P98" i="77"/>
  <c r="O98" i="77"/>
  <c r="M98" i="77"/>
  <c r="K98" i="77"/>
  <c r="H76" i="77"/>
  <c r="C76" i="77"/>
  <c r="G76" i="77"/>
  <c r="F76" i="77"/>
  <c r="E76" i="77"/>
  <c r="D76" i="77"/>
  <c r="C75" i="77"/>
  <c r="G75" i="77"/>
  <c r="F75" i="77"/>
  <c r="E75" i="77"/>
  <c r="D75" i="77"/>
  <c r="H74" i="77"/>
  <c r="G74" i="77"/>
  <c r="F74" i="77"/>
  <c r="E74" i="77"/>
  <c r="D74" i="77"/>
  <c r="C74" i="77"/>
  <c r="G73" i="77"/>
  <c r="F73" i="77"/>
  <c r="E73" i="77"/>
  <c r="D73" i="77"/>
  <c r="D72" i="77"/>
  <c r="H72" i="77"/>
  <c r="C72" i="77"/>
  <c r="G72" i="77"/>
  <c r="F72" i="77"/>
  <c r="E72" i="77"/>
  <c r="D71" i="77"/>
  <c r="H71" i="77"/>
  <c r="G71" i="77"/>
  <c r="F71" i="77"/>
  <c r="E71" i="77"/>
  <c r="G70" i="77"/>
  <c r="F70" i="77"/>
  <c r="E70" i="77"/>
  <c r="D70" i="77"/>
  <c r="R93" i="77"/>
  <c r="L93" i="77"/>
  <c r="J93" i="77"/>
  <c r="H69" i="77"/>
  <c r="G69" i="77"/>
  <c r="F69" i="77"/>
  <c r="E69" i="77"/>
  <c r="D69" i="77"/>
  <c r="G68" i="77"/>
  <c r="F68" i="77"/>
  <c r="E68" i="77"/>
  <c r="D68" i="77"/>
  <c r="H67" i="77"/>
  <c r="G67" i="77"/>
  <c r="F67" i="77"/>
  <c r="E67" i="77"/>
  <c r="D67" i="77"/>
  <c r="C67" i="77"/>
  <c r="H66" i="77"/>
  <c r="G66" i="77"/>
  <c r="F66" i="77"/>
  <c r="E66" i="77"/>
  <c r="D66" i="77"/>
  <c r="D65" i="77"/>
  <c r="G65" i="77"/>
  <c r="F65" i="77"/>
  <c r="E65" i="77"/>
  <c r="C64" i="77"/>
  <c r="G64" i="77"/>
  <c r="F64" i="77"/>
  <c r="E64" i="77"/>
  <c r="C63" i="77"/>
  <c r="H63" i="77"/>
  <c r="G63" i="77"/>
  <c r="F63" i="77"/>
  <c r="E63" i="77"/>
  <c r="D63" i="77"/>
  <c r="D62" i="77"/>
  <c r="H62" i="77"/>
  <c r="G62" i="77"/>
  <c r="F62" i="77"/>
  <c r="E62" i="77"/>
  <c r="H61" i="77"/>
  <c r="G61" i="77"/>
  <c r="F61" i="77"/>
  <c r="E61" i="77"/>
  <c r="O94" i="77"/>
  <c r="M94" i="77"/>
  <c r="L94" i="77"/>
  <c r="K94" i="77"/>
  <c r="B9" i="77"/>
  <c r="K66" i="37" l="1"/>
  <c r="J66" i="37"/>
  <c r="K51" i="37"/>
  <c r="H66" i="37"/>
  <c r="G66" i="37"/>
  <c r="H51" i="37"/>
  <c r="D34" i="37"/>
  <c r="D31" i="37"/>
  <c r="F66" i="37"/>
  <c r="D33" i="37"/>
  <c r="E31" i="37"/>
  <c r="D30" i="37"/>
  <c r="E33" i="37"/>
  <c r="D27" i="37"/>
  <c r="D32" i="37"/>
  <c r="D28" i="37"/>
  <c r="D20" i="37"/>
  <c r="E66" i="37"/>
  <c r="D66" i="37"/>
  <c r="D26" i="37"/>
  <c r="D51" i="37"/>
  <c r="D11" i="37"/>
  <c r="H12" i="37"/>
  <c r="J51" i="37"/>
  <c r="J56" i="84"/>
  <c r="R56" i="84"/>
  <c r="I56" i="84"/>
  <c r="Q56" i="84"/>
  <c r="M56" i="84"/>
  <c r="C56" i="84"/>
  <c r="AE54" i="84"/>
  <c r="G56" i="84"/>
  <c r="O56" i="84"/>
  <c r="E65" i="84"/>
  <c r="E67" i="84" s="1"/>
  <c r="M65" i="84"/>
  <c r="M67" i="84" s="1"/>
  <c r="G65" i="84"/>
  <c r="G67" i="84" s="1"/>
  <c r="O65" i="84"/>
  <c r="O67" i="84" s="1"/>
  <c r="E56" i="84"/>
  <c r="O93" i="77"/>
  <c r="H70" i="77"/>
  <c r="C70" i="77"/>
  <c r="L97" i="77"/>
  <c r="L100" i="77" s="1"/>
  <c r="L95" i="77"/>
  <c r="M97" i="77"/>
  <c r="M95" i="77"/>
  <c r="M99" i="77"/>
  <c r="S97" i="77"/>
  <c r="S100" i="77" s="1"/>
  <c r="S95" i="77"/>
  <c r="N95" i="77"/>
  <c r="D95" i="77" s="1"/>
  <c r="D93" i="77"/>
  <c r="N97" i="77"/>
  <c r="O99" i="77"/>
  <c r="H93" i="77"/>
  <c r="J97" i="77"/>
  <c r="J95" i="77"/>
  <c r="C94" i="77"/>
  <c r="O95" i="77"/>
  <c r="O97" i="77"/>
  <c r="H94" i="77"/>
  <c r="P97" i="77"/>
  <c r="P95" i="77"/>
  <c r="P99" i="77"/>
  <c r="Q97" i="77"/>
  <c r="Q100" i="77" s="1"/>
  <c r="Q95" i="77"/>
  <c r="R97" i="77"/>
  <c r="R100" i="77" s="1"/>
  <c r="R95" i="77"/>
  <c r="K97" i="77"/>
  <c r="K95" i="77"/>
  <c r="I93" i="77"/>
  <c r="K99" i="77"/>
  <c r="I98" i="77"/>
  <c r="C98" i="77" s="1"/>
  <c r="J98" i="77"/>
  <c r="AE56" i="84" l="1"/>
  <c r="AE65" i="84"/>
  <c r="O100" i="77"/>
  <c r="H95" i="77"/>
  <c r="H98" i="77"/>
  <c r="J99" i="77"/>
  <c r="H99" i="77" s="1"/>
  <c r="J100" i="77"/>
  <c r="H97" i="77"/>
  <c r="I97" i="77"/>
  <c r="C93" i="77"/>
  <c r="I95" i="77"/>
  <c r="C95" i="77" s="1"/>
  <c r="P100" i="77"/>
  <c r="I99" i="77"/>
  <c r="C99" i="77" s="1"/>
  <c r="D97" i="77"/>
  <c r="N100" i="77"/>
  <c r="D100" i="77" s="1"/>
  <c r="K100" i="77"/>
  <c r="M100" i="77"/>
  <c r="H100" i="77" l="1"/>
  <c r="I100" i="77"/>
  <c r="C100" i="77" s="1"/>
  <c r="C97" i="77"/>
  <c r="N92" i="207" l="1"/>
  <c r="M92" i="207"/>
  <c r="I92" i="207" s="1"/>
  <c r="L92" i="207"/>
  <c r="N73" i="207"/>
  <c r="M73" i="207"/>
  <c r="L73" i="207"/>
  <c r="H73" i="207" s="1"/>
  <c r="L47" i="207"/>
  <c r="H47" i="207" s="1"/>
  <c r="G155" i="207"/>
  <c r="J155" i="207" s="1"/>
  <c r="G154" i="207"/>
  <c r="J154" i="207" s="1"/>
  <c r="G153" i="207"/>
  <c r="J153" i="207" s="1"/>
  <c r="G152" i="207"/>
  <c r="G151" i="207"/>
  <c r="G150" i="207"/>
  <c r="J150" i="207" s="1"/>
  <c r="G149" i="207"/>
  <c r="G147" i="207"/>
  <c r="H147" i="207" s="1"/>
  <c r="G146" i="207"/>
  <c r="J146" i="207" s="1"/>
  <c r="G142" i="207"/>
  <c r="J142" i="207" s="1"/>
  <c r="G141" i="207"/>
  <c r="J141" i="207" s="1"/>
  <c r="G140" i="207"/>
  <c r="G139" i="207"/>
  <c r="I139" i="207" s="1"/>
  <c r="G132" i="207"/>
  <c r="H132" i="207" s="1"/>
  <c r="G131" i="207"/>
  <c r="G130" i="207"/>
  <c r="H130" i="207" s="1"/>
  <c r="G129" i="207"/>
  <c r="G128" i="207"/>
  <c r="G127" i="207"/>
  <c r="G126" i="207"/>
  <c r="J126" i="207" s="1"/>
  <c r="G125" i="207"/>
  <c r="J125" i="207" s="1"/>
  <c r="G124" i="207"/>
  <c r="J124" i="207" s="1"/>
  <c r="G123" i="207"/>
  <c r="J123" i="207" s="1"/>
  <c r="G121" i="207"/>
  <c r="G120" i="207"/>
  <c r="G119" i="207"/>
  <c r="G115" i="207"/>
  <c r="J115" i="207" s="1"/>
  <c r="G114" i="207"/>
  <c r="J114" i="207" s="1"/>
  <c r="G113" i="207"/>
  <c r="G112" i="207"/>
  <c r="J112" i="207" s="1"/>
  <c r="G111" i="207"/>
  <c r="G110" i="207"/>
  <c r="G109" i="207"/>
  <c r="J109" i="207" s="1"/>
  <c r="G108" i="207"/>
  <c r="J108" i="207" s="1"/>
  <c r="G107" i="207"/>
  <c r="J107" i="207" s="1"/>
  <c r="G106" i="207"/>
  <c r="J106" i="207" s="1"/>
  <c r="G105" i="207"/>
  <c r="G104" i="207"/>
  <c r="G103" i="207"/>
  <c r="J103" i="207" s="1"/>
  <c r="G99" i="207"/>
  <c r="J99" i="207" s="1"/>
  <c r="G98" i="207"/>
  <c r="J98" i="207" s="1"/>
  <c r="G97" i="207"/>
  <c r="J97" i="207" s="1"/>
  <c r="G96" i="207"/>
  <c r="N96" i="207" s="1"/>
  <c r="J96" i="207" s="1"/>
  <c r="G92" i="207"/>
  <c r="G91" i="207"/>
  <c r="G90" i="207"/>
  <c r="G89" i="207"/>
  <c r="I89" i="207" s="1"/>
  <c r="G88" i="207"/>
  <c r="G87" i="207"/>
  <c r="J87" i="207" s="1"/>
  <c r="G73" i="207"/>
  <c r="G72" i="207"/>
  <c r="G71" i="207"/>
  <c r="G70" i="207"/>
  <c r="G69" i="207"/>
  <c r="G68" i="207"/>
  <c r="J68" i="207" s="1"/>
  <c r="G67" i="207"/>
  <c r="H67" i="207" s="1"/>
  <c r="G66" i="207"/>
  <c r="G65" i="207"/>
  <c r="G64" i="207"/>
  <c r="H64" i="207" s="1"/>
  <c r="G63" i="207"/>
  <c r="G62" i="207"/>
  <c r="H62" i="207" s="1"/>
  <c r="G61" i="207"/>
  <c r="G60" i="207"/>
  <c r="J60" i="207" s="1"/>
  <c r="G59" i="207"/>
  <c r="J59" i="207" s="1"/>
  <c r="G58" i="207"/>
  <c r="J58" i="207" s="1"/>
  <c r="G57" i="207"/>
  <c r="G48" i="207"/>
  <c r="G47" i="207"/>
  <c r="G46" i="207"/>
  <c r="G45" i="207"/>
  <c r="G44" i="207"/>
  <c r="G43" i="207"/>
  <c r="G42" i="207"/>
  <c r="G41" i="207"/>
  <c r="G40" i="207"/>
  <c r="G39" i="207"/>
  <c r="G38" i="207"/>
  <c r="G37" i="207"/>
  <c r="G33" i="207"/>
  <c r="G34" i="207" s="1"/>
  <c r="G29" i="207"/>
  <c r="I29" i="207" s="1"/>
  <c r="I30" i="207" s="1"/>
  <c r="G25" i="207"/>
  <c r="H25" i="207" s="1"/>
  <c r="G24" i="207"/>
  <c r="H24" i="207" s="1"/>
  <c r="G23" i="207"/>
  <c r="I23" i="207" s="1"/>
  <c r="G22" i="207"/>
  <c r="H22" i="207" s="1"/>
  <c r="G18" i="207"/>
  <c r="G17" i="207"/>
  <c r="G16" i="207"/>
  <c r="I16" i="207" s="1"/>
  <c r="J151" i="207"/>
  <c r="I151" i="207"/>
  <c r="H151" i="207"/>
  <c r="J145" i="207"/>
  <c r="I145" i="207"/>
  <c r="H145" i="207"/>
  <c r="H140" i="207"/>
  <c r="J140" i="207"/>
  <c r="J129" i="207"/>
  <c r="I129" i="207"/>
  <c r="H129" i="207"/>
  <c r="J121" i="207"/>
  <c r="I121" i="207"/>
  <c r="H121" i="207"/>
  <c r="J120" i="207"/>
  <c r="I120" i="207"/>
  <c r="H120" i="207"/>
  <c r="I96" i="207"/>
  <c r="H96" i="207"/>
  <c r="H92" i="207"/>
  <c r="J92" i="207"/>
  <c r="J91" i="207"/>
  <c r="I91" i="207"/>
  <c r="H91" i="207"/>
  <c r="J75" i="207"/>
  <c r="I75" i="207"/>
  <c r="H75" i="207"/>
  <c r="J73" i="207"/>
  <c r="I73" i="207"/>
  <c r="J71" i="207"/>
  <c r="I71" i="207"/>
  <c r="H71" i="207"/>
  <c r="J70" i="207"/>
  <c r="I70" i="207"/>
  <c r="H70" i="207"/>
  <c r="J69" i="207"/>
  <c r="I69" i="207"/>
  <c r="H69" i="207"/>
  <c r="J65" i="207"/>
  <c r="I65" i="207"/>
  <c r="J47" i="207"/>
  <c r="I47" i="207"/>
  <c r="J17" i="207"/>
  <c r="I17" i="207"/>
  <c r="N92" i="206"/>
  <c r="M92" i="206"/>
  <c r="L92" i="206"/>
  <c r="N73" i="206"/>
  <c r="M73" i="206"/>
  <c r="L73" i="206"/>
  <c r="L47" i="206"/>
  <c r="H47" i="206" s="1"/>
  <c r="L17" i="206"/>
  <c r="H17" i="206" s="1"/>
  <c r="G155" i="206"/>
  <c r="J155" i="206" s="1"/>
  <c r="G154" i="206"/>
  <c r="J154" i="206" s="1"/>
  <c r="G153" i="206"/>
  <c r="J153" i="206" s="1"/>
  <c r="G152" i="206"/>
  <c r="G151" i="206"/>
  <c r="G150" i="206"/>
  <c r="J150" i="206" s="1"/>
  <c r="G149" i="206"/>
  <c r="G147" i="206"/>
  <c r="J147" i="206" s="1"/>
  <c r="G146" i="206"/>
  <c r="I146" i="206" s="1"/>
  <c r="G142" i="206"/>
  <c r="J142" i="206" s="1"/>
  <c r="G141" i="206"/>
  <c r="J141" i="206" s="1"/>
  <c r="G140" i="206"/>
  <c r="J140" i="206" s="1"/>
  <c r="G139" i="206"/>
  <c r="I139" i="206" s="1"/>
  <c r="G132" i="206"/>
  <c r="J132" i="206" s="1"/>
  <c r="G131" i="206"/>
  <c r="G130" i="206"/>
  <c r="J130" i="206" s="1"/>
  <c r="G129" i="206"/>
  <c r="G128" i="206"/>
  <c r="G127" i="206"/>
  <c r="G126" i="206"/>
  <c r="I126" i="206" s="1"/>
  <c r="G125" i="206"/>
  <c r="I125" i="206" s="1"/>
  <c r="G124" i="206"/>
  <c r="I124" i="206" s="1"/>
  <c r="G123" i="206"/>
  <c r="I123" i="206" s="1"/>
  <c r="G121" i="206"/>
  <c r="G120" i="206"/>
  <c r="G119" i="206"/>
  <c r="G115" i="206"/>
  <c r="H115" i="206" s="1"/>
  <c r="G114" i="206"/>
  <c r="J114" i="206" s="1"/>
  <c r="G113" i="206"/>
  <c r="H113" i="206" s="1"/>
  <c r="G112" i="206"/>
  <c r="J112" i="206" s="1"/>
  <c r="G111" i="206"/>
  <c r="G110" i="206"/>
  <c r="G109" i="206"/>
  <c r="H109" i="206" s="1"/>
  <c r="G108" i="206"/>
  <c r="J108" i="206" s="1"/>
  <c r="G107" i="206"/>
  <c r="H107" i="206" s="1"/>
  <c r="G106" i="206"/>
  <c r="J106" i="206" s="1"/>
  <c r="G105" i="206"/>
  <c r="G104" i="206"/>
  <c r="H104" i="206" s="1"/>
  <c r="G103" i="206"/>
  <c r="J103" i="206" s="1"/>
  <c r="G99" i="206"/>
  <c r="J99" i="206" s="1"/>
  <c r="G98" i="206"/>
  <c r="J98" i="206" s="1"/>
  <c r="G97" i="206"/>
  <c r="G96" i="206"/>
  <c r="N96" i="206" s="1"/>
  <c r="J96" i="206" s="1"/>
  <c r="G92" i="206"/>
  <c r="G91" i="206"/>
  <c r="G90" i="206"/>
  <c r="H90" i="206" s="1"/>
  <c r="G89" i="206"/>
  <c r="J89" i="206" s="1"/>
  <c r="G88" i="206"/>
  <c r="G87" i="206"/>
  <c r="H87" i="206" s="1"/>
  <c r="G73" i="206"/>
  <c r="G72" i="206"/>
  <c r="G71" i="206"/>
  <c r="G70" i="206"/>
  <c r="G69" i="206"/>
  <c r="G68" i="206"/>
  <c r="I68" i="206" s="1"/>
  <c r="G67" i="206"/>
  <c r="H67" i="206" s="1"/>
  <c r="G66" i="206"/>
  <c r="G65" i="206"/>
  <c r="G64" i="206"/>
  <c r="I64" i="206" s="1"/>
  <c r="G63" i="206"/>
  <c r="G62" i="206"/>
  <c r="I62" i="206" s="1"/>
  <c r="G61" i="206"/>
  <c r="I61" i="206" s="1"/>
  <c r="G60" i="206"/>
  <c r="I60" i="206" s="1"/>
  <c r="G59" i="206"/>
  <c r="I59" i="206" s="1"/>
  <c r="G58" i="206"/>
  <c r="I58" i="206" s="1"/>
  <c r="G57" i="206"/>
  <c r="I57" i="206" s="1"/>
  <c r="G48" i="206"/>
  <c r="G47" i="206"/>
  <c r="G46" i="206"/>
  <c r="G45" i="206"/>
  <c r="G44" i="206"/>
  <c r="G43" i="206"/>
  <c r="G42" i="206"/>
  <c r="G41" i="206"/>
  <c r="G40" i="206"/>
  <c r="G39" i="206"/>
  <c r="G38" i="206"/>
  <c r="G37" i="206"/>
  <c r="G33" i="206"/>
  <c r="H33" i="206" s="1"/>
  <c r="H34" i="206" s="1"/>
  <c r="G29" i="206"/>
  <c r="J29" i="206" s="1"/>
  <c r="J30" i="206" s="1"/>
  <c r="G25" i="206"/>
  <c r="H25" i="206" s="1"/>
  <c r="G24" i="206"/>
  <c r="H24" i="206" s="1"/>
  <c r="G23" i="206"/>
  <c r="H23" i="206" s="1"/>
  <c r="G22" i="206"/>
  <c r="J22" i="206" s="1"/>
  <c r="G18" i="206"/>
  <c r="G17" i="206"/>
  <c r="G16" i="206"/>
  <c r="J151" i="206"/>
  <c r="I151" i="206"/>
  <c r="H151" i="206"/>
  <c r="J145" i="206"/>
  <c r="I145" i="206"/>
  <c r="H145" i="206"/>
  <c r="J129" i="206"/>
  <c r="I129" i="206"/>
  <c r="H129" i="206"/>
  <c r="J121" i="206"/>
  <c r="I121" i="206"/>
  <c r="H121" i="206"/>
  <c r="J120" i="206"/>
  <c r="I120" i="206"/>
  <c r="H120" i="206"/>
  <c r="I96" i="206"/>
  <c r="H96" i="206"/>
  <c r="I92" i="206"/>
  <c r="J92" i="206"/>
  <c r="H92" i="206"/>
  <c r="J91" i="206"/>
  <c r="I91" i="206"/>
  <c r="H91" i="206"/>
  <c r="J75" i="206"/>
  <c r="I75" i="206"/>
  <c r="H75" i="206"/>
  <c r="J73" i="206"/>
  <c r="I73" i="206"/>
  <c r="H73" i="206"/>
  <c r="J71" i="206"/>
  <c r="I71" i="206"/>
  <c r="H71" i="206"/>
  <c r="J70" i="206"/>
  <c r="I70" i="206"/>
  <c r="H70" i="206"/>
  <c r="J69" i="206"/>
  <c r="I69" i="206"/>
  <c r="H69" i="206"/>
  <c r="J65" i="206"/>
  <c r="I65" i="206"/>
  <c r="J47" i="206"/>
  <c r="I47" i="206"/>
  <c r="J17" i="206"/>
  <c r="I17" i="206"/>
  <c r="N92" i="203"/>
  <c r="M92" i="203"/>
  <c r="L92" i="203"/>
  <c r="N73" i="203"/>
  <c r="M73" i="203"/>
  <c r="L73" i="203"/>
  <c r="L47" i="203"/>
  <c r="L17" i="203"/>
  <c r="I108" i="207" l="1"/>
  <c r="I24" i="207"/>
  <c r="J64" i="207"/>
  <c r="H141" i="207"/>
  <c r="I141" i="207"/>
  <c r="J23" i="207"/>
  <c r="I106" i="207"/>
  <c r="H23" i="207"/>
  <c r="H26" i="207" s="1"/>
  <c r="I114" i="207"/>
  <c r="I22" i="207"/>
  <c r="H142" i="207"/>
  <c r="I142" i="207"/>
  <c r="J22" i="207"/>
  <c r="H60" i="206"/>
  <c r="I25" i="207"/>
  <c r="I98" i="207"/>
  <c r="H146" i="207"/>
  <c r="I146" i="207"/>
  <c r="J25" i="207"/>
  <c r="I87" i="207"/>
  <c r="G34" i="206"/>
  <c r="I33" i="206"/>
  <c r="I34" i="206" s="1"/>
  <c r="L47" i="13"/>
  <c r="J87" i="206"/>
  <c r="I23" i="206"/>
  <c r="J115" i="206"/>
  <c r="J23" i="206"/>
  <c r="I98" i="206"/>
  <c r="J58" i="206"/>
  <c r="H98" i="206"/>
  <c r="J24" i="206"/>
  <c r="I108" i="206"/>
  <c r="H146" i="206"/>
  <c r="I25" i="206"/>
  <c r="J109" i="206"/>
  <c r="J89" i="207"/>
  <c r="J25" i="206"/>
  <c r="I87" i="206"/>
  <c r="H142" i="206"/>
  <c r="I142" i="206"/>
  <c r="I24" i="206"/>
  <c r="H139" i="207"/>
  <c r="G143" i="207"/>
  <c r="J64" i="206"/>
  <c r="H64" i="206"/>
  <c r="H141" i="206"/>
  <c r="J107" i="206"/>
  <c r="I141" i="206"/>
  <c r="I67" i="206"/>
  <c r="J33" i="206"/>
  <c r="J34" i="206" s="1"/>
  <c r="H99" i="206"/>
  <c r="G30" i="206"/>
  <c r="I89" i="206"/>
  <c r="I130" i="206"/>
  <c r="H33" i="207"/>
  <c r="H34" i="207" s="1"/>
  <c r="H29" i="206"/>
  <c r="H30" i="206" s="1"/>
  <c r="H89" i="206"/>
  <c r="H130" i="206"/>
  <c r="I33" i="207"/>
  <c r="I34" i="207" s="1"/>
  <c r="I29" i="206"/>
  <c r="I30" i="206" s="1"/>
  <c r="J67" i="206"/>
  <c r="J60" i="206"/>
  <c r="G30" i="207"/>
  <c r="I147" i="207"/>
  <c r="J139" i="206"/>
  <c r="J143" i="206" s="1"/>
  <c r="H29" i="207"/>
  <c r="H30" i="207" s="1"/>
  <c r="J147" i="207"/>
  <c r="I114" i="206"/>
  <c r="H140" i="206"/>
  <c r="G50" i="207"/>
  <c r="G77" i="207"/>
  <c r="G93" i="207"/>
  <c r="G116" i="207"/>
  <c r="H22" i="206"/>
  <c r="H26" i="206" s="1"/>
  <c r="I106" i="206"/>
  <c r="J130" i="207"/>
  <c r="J67" i="207"/>
  <c r="G100" i="207"/>
  <c r="H58" i="206"/>
  <c r="H106" i="206"/>
  <c r="H114" i="206"/>
  <c r="I140" i="206"/>
  <c r="G100" i="206"/>
  <c r="J125" i="206"/>
  <c r="G143" i="206"/>
  <c r="J24" i="207"/>
  <c r="H139" i="206"/>
  <c r="G116" i="206"/>
  <c r="H61" i="207"/>
  <c r="J62" i="207"/>
  <c r="J90" i="207"/>
  <c r="J132" i="207"/>
  <c r="I104" i="207"/>
  <c r="I112" i="207"/>
  <c r="J104" i="207"/>
  <c r="J100" i="207"/>
  <c r="G19" i="207"/>
  <c r="H16" i="207"/>
  <c r="H124" i="207"/>
  <c r="H126" i="207"/>
  <c r="H153" i="207"/>
  <c r="H155" i="207"/>
  <c r="G26" i="206"/>
  <c r="J97" i="206"/>
  <c r="J100" i="206" s="1"/>
  <c r="H103" i="206"/>
  <c r="H108" i="206"/>
  <c r="J16" i="207"/>
  <c r="J29" i="207"/>
  <c r="J30" i="207" s="1"/>
  <c r="J33" i="207"/>
  <c r="J34" i="207" s="1"/>
  <c r="I57" i="207"/>
  <c r="I59" i="207"/>
  <c r="I61" i="207"/>
  <c r="I68" i="207"/>
  <c r="H90" i="207"/>
  <c r="H97" i="207"/>
  <c r="H99" i="207"/>
  <c r="H103" i="207"/>
  <c r="H107" i="207"/>
  <c r="H109" i="207"/>
  <c r="H113" i="207"/>
  <c r="H115" i="207"/>
  <c r="I124" i="207"/>
  <c r="I126" i="207"/>
  <c r="J139" i="207"/>
  <c r="J143" i="207" s="1"/>
  <c r="I153" i="207"/>
  <c r="I155" i="207"/>
  <c r="H59" i="207"/>
  <c r="H68" i="207"/>
  <c r="H97" i="206"/>
  <c r="I104" i="206"/>
  <c r="G26" i="207"/>
  <c r="J57" i="207"/>
  <c r="J61" i="207"/>
  <c r="I90" i="207"/>
  <c r="I97" i="207"/>
  <c r="I99" i="207"/>
  <c r="I103" i="207"/>
  <c r="I107" i="207"/>
  <c r="I109" i="207"/>
  <c r="I113" i="207"/>
  <c r="I115" i="207"/>
  <c r="G50" i="206"/>
  <c r="J113" i="207"/>
  <c r="H57" i="207"/>
  <c r="H58" i="207"/>
  <c r="H60" i="207"/>
  <c r="H123" i="207"/>
  <c r="H125" i="207"/>
  <c r="I130" i="207"/>
  <c r="I132" i="207"/>
  <c r="I140" i="207"/>
  <c r="H150" i="207"/>
  <c r="H154" i="207"/>
  <c r="I58" i="207"/>
  <c r="I60" i="207"/>
  <c r="I62" i="207"/>
  <c r="I64" i="207"/>
  <c r="I67" i="207"/>
  <c r="H87" i="207"/>
  <c r="H89" i="207"/>
  <c r="H98" i="207"/>
  <c r="H104" i="207"/>
  <c r="H106" i="207"/>
  <c r="H108" i="207"/>
  <c r="H112" i="207"/>
  <c r="H114" i="207"/>
  <c r="I123" i="207"/>
  <c r="I125" i="207"/>
  <c r="I150" i="207"/>
  <c r="I154" i="207"/>
  <c r="I132" i="206"/>
  <c r="J90" i="206"/>
  <c r="I22" i="206"/>
  <c r="G93" i="206"/>
  <c r="J104" i="206"/>
  <c r="H132" i="206"/>
  <c r="J62" i="206"/>
  <c r="H62" i="206"/>
  <c r="I112" i="206"/>
  <c r="J123" i="206"/>
  <c r="H112" i="206"/>
  <c r="L65" i="206"/>
  <c r="H65" i="206" s="1"/>
  <c r="G19" i="206"/>
  <c r="J16" i="206"/>
  <c r="H16" i="206"/>
  <c r="I16" i="206"/>
  <c r="H57" i="206"/>
  <c r="H59" i="206"/>
  <c r="H61" i="206"/>
  <c r="H68" i="206"/>
  <c r="G77" i="206"/>
  <c r="H124" i="206"/>
  <c r="H126" i="206"/>
  <c r="J146" i="206"/>
  <c r="H153" i="206"/>
  <c r="H155" i="206"/>
  <c r="I153" i="206"/>
  <c r="I155" i="206"/>
  <c r="J57" i="206"/>
  <c r="J59" i="206"/>
  <c r="J61" i="206"/>
  <c r="J68" i="206"/>
  <c r="I90" i="206"/>
  <c r="I97" i="206"/>
  <c r="I99" i="206"/>
  <c r="I103" i="206"/>
  <c r="I107" i="206"/>
  <c r="I109" i="206"/>
  <c r="I113" i="206"/>
  <c r="I115" i="206"/>
  <c r="J124" i="206"/>
  <c r="J126" i="206"/>
  <c r="H147" i="206"/>
  <c r="J113" i="206"/>
  <c r="I147" i="206"/>
  <c r="H123" i="206"/>
  <c r="H125" i="206"/>
  <c r="H150" i="206"/>
  <c r="H154" i="206"/>
  <c r="I150" i="206"/>
  <c r="I154" i="206"/>
  <c r="I26" i="207" l="1"/>
  <c r="I143" i="207"/>
  <c r="J26" i="207"/>
  <c r="H143" i="207"/>
  <c r="J26" i="206"/>
  <c r="I26" i="206"/>
  <c r="I143" i="206"/>
  <c r="H100" i="206"/>
  <c r="H143" i="206"/>
  <c r="G52" i="206"/>
  <c r="G79" i="206" s="1"/>
  <c r="H100" i="207"/>
  <c r="G52" i="207"/>
  <c r="G79" i="207" s="1"/>
  <c r="I100" i="207"/>
  <c r="I100" i="206"/>
  <c r="G155" i="203" l="1"/>
  <c r="G154" i="203"/>
  <c r="G154" i="13" s="1"/>
  <c r="J154" i="13" s="1"/>
  <c r="G153" i="203"/>
  <c r="G152" i="203"/>
  <c r="G152" i="13" s="1"/>
  <c r="G151" i="203"/>
  <c r="G151" i="13" s="1"/>
  <c r="G150" i="203"/>
  <c r="G149" i="203"/>
  <c r="G149" i="13" s="1"/>
  <c r="G147" i="203"/>
  <c r="G146" i="203"/>
  <c r="G142" i="203"/>
  <c r="I142" i="203" s="1"/>
  <c r="G141" i="203"/>
  <c r="J141" i="203" s="1"/>
  <c r="G140" i="203"/>
  <c r="G140" i="13" s="1"/>
  <c r="J140" i="13" s="1"/>
  <c r="G139" i="203"/>
  <c r="G139" i="13" s="1"/>
  <c r="J139" i="13" s="1"/>
  <c r="G132" i="203"/>
  <c r="G131" i="203"/>
  <c r="G131" i="13" s="1"/>
  <c r="G130" i="203"/>
  <c r="G129" i="203"/>
  <c r="G129" i="13" s="1"/>
  <c r="G128" i="203"/>
  <c r="G128" i="13" s="1"/>
  <c r="G127" i="203"/>
  <c r="G127" i="13" s="1"/>
  <c r="G126" i="203"/>
  <c r="G126" i="13" s="1"/>
  <c r="H126" i="13" s="1"/>
  <c r="G125" i="203"/>
  <c r="G124" i="203"/>
  <c r="G123" i="203"/>
  <c r="G123" i="13" s="1"/>
  <c r="J123" i="13" s="1"/>
  <c r="G121" i="203"/>
  <c r="G121" i="13" s="1"/>
  <c r="G120" i="203"/>
  <c r="G120" i="13" s="1"/>
  <c r="G119" i="203"/>
  <c r="G119" i="13" s="1"/>
  <c r="G115" i="203"/>
  <c r="G114" i="203"/>
  <c r="G114" i="13" s="1"/>
  <c r="J114" i="13" s="1"/>
  <c r="G113" i="203"/>
  <c r="G112" i="203"/>
  <c r="G111" i="203"/>
  <c r="G111" i="13" s="1"/>
  <c r="G110" i="203"/>
  <c r="G110" i="13" s="1"/>
  <c r="G109" i="203"/>
  <c r="G108" i="203"/>
  <c r="J108" i="203" s="1"/>
  <c r="G107" i="203"/>
  <c r="G106" i="203"/>
  <c r="G106" i="13" s="1"/>
  <c r="J106" i="13" s="1"/>
  <c r="G105" i="203"/>
  <c r="G105" i="13" s="1"/>
  <c r="G104" i="203"/>
  <c r="G104" i="13" s="1"/>
  <c r="I104" i="13" s="1"/>
  <c r="G103" i="203"/>
  <c r="G99" i="203"/>
  <c r="G98" i="203"/>
  <c r="I98" i="203" s="1"/>
  <c r="G97" i="203"/>
  <c r="H97" i="203" s="1"/>
  <c r="G96" i="203"/>
  <c r="G92" i="203"/>
  <c r="G92" i="13" s="1"/>
  <c r="G91" i="203"/>
  <c r="G91" i="13" s="1"/>
  <c r="G90" i="203"/>
  <c r="G89" i="203"/>
  <c r="G88" i="203"/>
  <c r="G88" i="13" s="1"/>
  <c r="G87" i="203"/>
  <c r="I87" i="203" s="1"/>
  <c r="G73" i="203"/>
  <c r="G73" i="13" s="1"/>
  <c r="G72" i="203"/>
  <c r="G72" i="13" s="1"/>
  <c r="G71" i="203"/>
  <c r="G71" i="13" s="1"/>
  <c r="G70" i="203"/>
  <c r="G70" i="13" s="1"/>
  <c r="G69" i="203"/>
  <c r="G69" i="13" s="1"/>
  <c r="G68" i="203"/>
  <c r="G67" i="203"/>
  <c r="G66" i="203"/>
  <c r="G66" i="13" s="1"/>
  <c r="G65" i="203"/>
  <c r="G65" i="13" s="1"/>
  <c r="G64" i="203"/>
  <c r="G63" i="203"/>
  <c r="G63" i="13" s="1"/>
  <c r="G62" i="203"/>
  <c r="G61" i="203"/>
  <c r="G60" i="203"/>
  <c r="G59" i="203"/>
  <c r="G58" i="203"/>
  <c r="G57" i="203"/>
  <c r="H57" i="203" s="1"/>
  <c r="G48" i="203"/>
  <c r="G48" i="13" s="1"/>
  <c r="G47" i="203"/>
  <c r="G47" i="13" s="1"/>
  <c r="G46" i="203"/>
  <c r="G46" i="13" s="1"/>
  <c r="G45" i="203"/>
  <c r="G45" i="13" s="1"/>
  <c r="G44" i="203"/>
  <c r="G44" i="13" s="1"/>
  <c r="G43" i="203"/>
  <c r="G43" i="13" s="1"/>
  <c r="G42" i="203"/>
  <c r="G42" i="13" s="1"/>
  <c r="G41" i="203"/>
  <c r="G41" i="13" s="1"/>
  <c r="G40" i="203"/>
  <c r="G40" i="13" s="1"/>
  <c r="G39" i="203"/>
  <c r="G39" i="13" s="1"/>
  <c r="G38" i="203"/>
  <c r="G38" i="13" s="1"/>
  <c r="G37" i="203"/>
  <c r="G37" i="13" s="1"/>
  <c r="G33" i="203"/>
  <c r="G29" i="203"/>
  <c r="G29" i="13" s="1"/>
  <c r="G25" i="203"/>
  <c r="G24" i="203"/>
  <c r="G24" i="13" s="1"/>
  <c r="J24" i="13" s="1"/>
  <c r="G23" i="203"/>
  <c r="G22" i="203"/>
  <c r="G18" i="203"/>
  <c r="G18" i="13" s="1"/>
  <c r="G17" i="203"/>
  <c r="G17" i="13" s="1"/>
  <c r="G16" i="203"/>
  <c r="I154" i="203"/>
  <c r="H154" i="203"/>
  <c r="J153" i="203"/>
  <c r="J151" i="203"/>
  <c r="I151" i="203"/>
  <c r="H151" i="203"/>
  <c r="J145" i="203"/>
  <c r="I145" i="203"/>
  <c r="H145" i="203"/>
  <c r="J129" i="203"/>
  <c r="I129" i="203"/>
  <c r="H129" i="203"/>
  <c r="J121" i="203"/>
  <c r="I121" i="203"/>
  <c r="H121" i="203"/>
  <c r="J120" i="203"/>
  <c r="I120" i="203"/>
  <c r="H120" i="203"/>
  <c r="H109" i="203"/>
  <c r="H107" i="203"/>
  <c r="I96" i="203"/>
  <c r="H96" i="203"/>
  <c r="J92" i="203"/>
  <c r="I92" i="203"/>
  <c r="H92" i="203"/>
  <c r="J91" i="203"/>
  <c r="I91" i="203"/>
  <c r="H91" i="203"/>
  <c r="J75" i="203"/>
  <c r="I75" i="203"/>
  <c r="H75" i="203"/>
  <c r="J73" i="203"/>
  <c r="I73" i="203"/>
  <c r="H73" i="203"/>
  <c r="J71" i="203"/>
  <c r="I71" i="203"/>
  <c r="H71" i="203"/>
  <c r="J70" i="203"/>
  <c r="I70" i="203"/>
  <c r="H70" i="203"/>
  <c r="J69" i="203"/>
  <c r="I69" i="203"/>
  <c r="H69" i="203"/>
  <c r="J65" i="203"/>
  <c r="I65" i="203"/>
  <c r="J47" i="203"/>
  <c r="I47" i="203"/>
  <c r="H47" i="203"/>
  <c r="J17" i="203"/>
  <c r="I17" i="203"/>
  <c r="H17" i="203"/>
  <c r="I154" i="13"/>
  <c r="J151" i="13"/>
  <c r="I151" i="13"/>
  <c r="H151" i="13"/>
  <c r="J145" i="13"/>
  <c r="I145" i="13"/>
  <c r="H145" i="13"/>
  <c r="J129" i="13"/>
  <c r="I129" i="13"/>
  <c r="H129" i="13"/>
  <c r="J121" i="13"/>
  <c r="I121" i="13"/>
  <c r="H121" i="13"/>
  <c r="J120" i="13"/>
  <c r="I120" i="13"/>
  <c r="H120" i="13"/>
  <c r="I96" i="13"/>
  <c r="H96" i="13"/>
  <c r="J92" i="13"/>
  <c r="I92" i="13"/>
  <c r="H92" i="13"/>
  <c r="J91" i="13"/>
  <c r="I91" i="13"/>
  <c r="H91" i="13"/>
  <c r="J75" i="13"/>
  <c r="I75" i="13"/>
  <c r="H75" i="13"/>
  <c r="J73" i="13"/>
  <c r="I73" i="13"/>
  <c r="H73" i="13"/>
  <c r="J71" i="13"/>
  <c r="I71" i="13"/>
  <c r="H71" i="13"/>
  <c r="J70" i="13"/>
  <c r="I70" i="13"/>
  <c r="H70" i="13"/>
  <c r="J69" i="13"/>
  <c r="I69" i="13"/>
  <c r="H69" i="13"/>
  <c r="J65" i="13"/>
  <c r="I65" i="13"/>
  <c r="J47" i="13"/>
  <c r="I47" i="13"/>
  <c r="H47" i="13"/>
  <c r="J17" i="13"/>
  <c r="I17" i="13"/>
  <c r="I106" i="203" l="1"/>
  <c r="J154" i="203"/>
  <c r="J126" i="13"/>
  <c r="I126" i="13"/>
  <c r="I126" i="203"/>
  <c r="J126" i="203"/>
  <c r="H154" i="13"/>
  <c r="J104" i="13"/>
  <c r="H139" i="13"/>
  <c r="J139" i="203"/>
  <c r="H140" i="13"/>
  <c r="J140" i="203"/>
  <c r="I139" i="13"/>
  <c r="H140" i="203"/>
  <c r="H114" i="13"/>
  <c r="I140" i="13"/>
  <c r="H114" i="203"/>
  <c r="H142" i="203"/>
  <c r="I114" i="13"/>
  <c r="J114" i="203"/>
  <c r="H24" i="13"/>
  <c r="I24" i="13"/>
  <c r="H104" i="13"/>
  <c r="H24" i="203"/>
  <c r="I24" i="203"/>
  <c r="G50" i="13"/>
  <c r="H106" i="203"/>
  <c r="H123" i="13"/>
  <c r="J24" i="203"/>
  <c r="I114" i="203"/>
  <c r="H126" i="203"/>
  <c r="I140" i="203"/>
  <c r="H106" i="13"/>
  <c r="I123" i="13"/>
  <c r="J106" i="203"/>
  <c r="I106" i="13"/>
  <c r="G30" i="203"/>
  <c r="J59" i="203"/>
  <c r="G59" i="13"/>
  <c r="I147" i="203"/>
  <c r="G147" i="13"/>
  <c r="I33" i="203"/>
  <c r="I34" i="203" s="1"/>
  <c r="G33" i="13"/>
  <c r="J60" i="203"/>
  <c r="G60" i="13"/>
  <c r="I68" i="203"/>
  <c r="G68" i="13"/>
  <c r="I89" i="203"/>
  <c r="G89" i="13"/>
  <c r="I103" i="203"/>
  <c r="G103" i="13"/>
  <c r="H130" i="203"/>
  <c r="G130" i="13"/>
  <c r="J61" i="203"/>
  <c r="G61" i="13"/>
  <c r="J90" i="203"/>
  <c r="G90" i="13"/>
  <c r="J112" i="203"/>
  <c r="G112" i="13"/>
  <c r="H124" i="203"/>
  <c r="G124" i="13"/>
  <c r="I132" i="203"/>
  <c r="G132" i="13"/>
  <c r="J150" i="203"/>
  <c r="G150" i="13"/>
  <c r="I62" i="203"/>
  <c r="G62" i="13"/>
  <c r="I113" i="203"/>
  <c r="G113" i="13"/>
  <c r="J125" i="203"/>
  <c r="G125" i="13"/>
  <c r="J99" i="203"/>
  <c r="G99" i="13"/>
  <c r="I22" i="203"/>
  <c r="G22" i="13"/>
  <c r="J23" i="203"/>
  <c r="G23" i="13"/>
  <c r="I64" i="203"/>
  <c r="G64" i="13"/>
  <c r="N96" i="203"/>
  <c r="G96" i="13"/>
  <c r="J107" i="203"/>
  <c r="G107" i="13"/>
  <c r="J115" i="203"/>
  <c r="G115" i="13"/>
  <c r="I141" i="203"/>
  <c r="G141" i="13"/>
  <c r="I153" i="203"/>
  <c r="G153" i="13"/>
  <c r="J57" i="203"/>
  <c r="G57" i="13"/>
  <c r="J97" i="203"/>
  <c r="G97" i="13"/>
  <c r="I108" i="203"/>
  <c r="G108" i="13"/>
  <c r="J142" i="203"/>
  <c r="G142" i="13"/>
  <c r="J67" i="203"/>
  <c r="G67" i="13"/>
  <c r="H25" i="203"/>
  <c r="G25" i="13"/>
  <c r="I58" i="203"/>
  <c r="G58" i="13"/>
  <c r="H87" i="203"/>
  <c r="G87" i="13"/>
  <c r="H98" i="203"/>
  <c r="G98" i="13"/>
  <c r="J109" i="203"/>
  <c r="G109" i="13"/>
  <c r="J146" i="203"/>
  <c r="G146" i="13"/>
  <c r="J155" i="203"/>
  <c r="G155" i="13"/>
  <c r="I16" i="203"/>
  <c r="G16" i="13"/>
  <c r="J22" i="203"/>
  <c r="J58" i="203"/>
  <c r="H59" i="203"/>
  <c r="H23" i="203"/>
  <c r="H141" i="203"/>
  <c r="H115" i="203"/>
  <c r="I23" i="203"/>
  <c r="H64" i="203"/>
  <c r="H153" i="203"/>
  <c r="J64" i="203"/>
  <c r="I107" i="203"/>
  <c r="I115" i="203"/>
  <c r="H61" i="203"/>
  <c r="I61" i="203"/>
  <c r="H150" i="203"/>
  <c r="I150" i="203"/>
  <c r="J132" i="203"/>
  <c r="G143" i="203"/>
  <c r="J103" i="203"/>
  <c r="H68" i="203"/>
  <c r="H16" i="203"/>
  <c r="H89" i="203"/>
  <c r="J33" i="203"/>
  <c r="J34" i="203" s="1"/>
  <c r="H125" i="203"/>
  <c r="I125" i="203"/>
  <c r="H139" i="203"/>
  <c r="I139" i="203"/>
  <c r="I109" i="203"/>
  <c r="I25" i="203"/>
  <c r="I59" i="203"/>
  <c r="H99" i="203"/>
  <c r="H146" i="203"/>
  <c r="J98" i="203"/>
  <c r="J25" i="203"/>
  <c r="I99" i="203"/>
  <c r="J113" i="203"/>
  <c r="I146" i="203"/>
  <c r="H29" i="203"/>
  <c r="H30" i="203" s="1"/>
  <c r="H67" i="203"/>
  <c r="I29" i="203"/>
  <c r="I30" i="203" s="1"/>
  <c r="I57" i="203"/>
  <c r="I67" i="203"/>
  <c r="I97" i="203"/>
  <c r="G100" i="203"/>
  <c r="H108" i="203"/>
  <c r="H147" i="203"/>
  <c r="J87" i="203"/>
  <c r="J29" i="203"/>
  <c r="J30" i="203" s="1"/>
  <c r="J62" i="203"/>
  <c r="J16" i="203"/>
  <c r="J68" i="203"/>
  <c r="J89" i="203"/>
  <c r="I130" i="203"/>
  <c r="J147" i="203"/>
  <c r="G19" i="203"/>
  <c r="G50" i="203"/>
  <c r="J130" i="203"/>
  <c r="G34" i="203"/>
  <c r="G116" i="203"/>
  <c r="H60" i="203"/>
  <c r="H155" i="203"/>
  <c r="L65" i="203"/>
  <c r="H33" i="203"/>
  <c r="H34" i="203" s="1"/>
  <c r="I60" i="203"/>
  <c r="H103" i="203"/>
  <c r="I155" i="203"/>
  <c r="G77" i="203"/>
  <c r="G26" i="203"/>
  <c r="H58" i="203"/>
  <c r="H90" i="203"/>
  <c r="I123" i="203"/>
  <c r="I90" i="203"/>
  <c r="G93" i="203"/>
  <c r="H112" i="203"/>
  <c r="J123" i="203"/>
  <c r="I112" i="203"/>
  <c r="I104" i="203"/>
  <c r="I124" i="203"/>
  <c r="H123" i="203"/>
  <c r="H22" i="203"/>
  <c r="H62" i="203"/>
  <c r="J104" i="203"/>
  <c r="H113" i="203"/>
  <c r="J124" i="203"/>
  <c r="H132" i="203"/>
  <c r="H104" i="203"/>
  <c r="H100" i="203" l="1"/>
  <c r="J143" i="203"/>
  <c r="J96" i="203"/>
  <c r="J100" i="203" s="1"/>
  <c r="N96" i="13"/>
  <c r="J96" i="13" s="1"/>
  <c r="H65" i="203"/>
  <c r="G100" i="13"/>
  <c r="I143" i="203"/>
  <c r="H155" i="13"/>
  <c r="J155" i="13"/>
  <c r="I155" i="13"/>
  <c r="J87" i="13"/>
  <c r="I87" i="13"/>
  <c r="H87" i="13"/>
  <c r="G93" i="13"/>
  <c r="J142" i="13"/>
  <c r="I142" i="13"/>
  <c r="H142" i="13"/>
  <c r="J153" i="13"/>
  <c r="I153" i="13"/>
  <c r="H153" i="13"/>
  <c r="I99" i="13"/>
  <c r="J99" i="13"/>
  <c r="H99" i="13"/>
  <c r="H150" i="13"/>
  <c r="J150" i="13"/>
  <c r="I150" i="13"/>
  <c r="H90" i="13"/>
  <c r="J90" i="13"/>
  <c r="I90" i="13"/>
  <c r="J89" i="13"/>
  <c r="H89" i="13"/>
  <c r="I89" i="13"/>
  <c r="I147" i="13"/>
  <c r="J147" i="13"/>
  <c r="H147" i="13"/>
  <c r="H146" i="13"/>
  <c r="J146" i="13"/>
  <c r="I146" i="13"/>
  <c r="H58" i="13"/>
  <c r="J58" i="13"/>
  <c r="I58" i="13"/>
  <c r="J108" i="13"/>
  <c r="I108" i="13"/>
  <c r="H108" i="13"/>
  <c r="I141" i="13"/>
  <c r="H141" i="13"/>
  <c r="G143" i="13"/>
  <c r="J141" i="13"/>
  <c r="H64" i="13"/>
  <c r="I64" i="13"/>
  <c r="J64" i="13"/>
  <c r="J125" i="13"/>
  <c r="I125" i="13"/>
  <c r="H125" i="13"/>
  <c r="H132" i="13"/>
  <c r="J132" i="13"/>
  <c r="I132" i="13"/>
  <c r="J61" i="13"/>
  <c r="I61" i="13"/>
  <c r="H61" i="13"/>
  <c r="J68" i="13"/>
  <c r="I68" i="13"/>
  <c r="H68" i="13"/>
  <c r="I59" i="13"/>
  <c r="J59" i="13"/>
  <c r="H59" i="13"/>
  <c r="I109" i="13"/>
  <c r="H109" i="13"/>
  <c r="J109" i="13"/>
  <c r="J25" i="13"/>
  <c r="I25" i="13"/>
  <c r="H25" i="13"/>
  <c r="J97" i="13"/>
  <c r="I97" i="13"/>
  <c r="H97" i="13"/>
  <c r="J115" i="13"/>
  <c r="I115" i="13"/>
  <c r="H115" i="13"/>
  <c r="H23" i="13"/>
  <c r="I23" i="13"/>
  <c r="J23" i="13"/>
  <c r="J113" i="13"/>
  <c r="G116" i="13"/>
  <c r="I113" i="13"/>
  <c r="H113" i="13"/>
  <c r="J124" i="13"/>
  <c r="I124" i="13"/>
  <c r="H124" i="13"/>
  <c r="J130" i="13"/>
  <c r="I130" i="13"/>
  <c r="H130" i="13"/>
  <c r="I60" i="13"/>
  <c r="H60" i="13"/>
  <c r="J60" i="13"/>
  <c r="G30" i="13"/>
  <c r="J29" i="13"/>
  <c r="J30" i="13" s="1"/>
  <c r="I29" i="13"/>
  <c r="I30" i="13" s="1"/>
  <c r="H29" i="13"/>
  <c r="H30" i="13" s="1"/>
  <c r="H98" i="13"/>
  <c r="J98" i="13"/>
  <c r="I98" i="13"/>
  <c r="H67" i="13"/>
  <c r="J67" i="13"/>
  <c r="I67" i="13"/>
  <c r="J57" i="13"/>
  <c r="I57" i="13"/>
  <c r="H57" i="13"/>
  <c r="G77" i="13"/>
  <c r="H107" i="13"/>
  <c r="J107" i="13"/>
  <c r="I107" i="13"/>
  <c r="H22" i="13"/>
  <c r="J22" i="13"/>
  <c r="I22" i="13"/>
  <c r="G26" i="13"/>
  <c r="I62" i="13"/>
  <c r="J62" i="13"/>
  <c r="H62" i="13"/>
  <c r="J112" i="13"/>
  <c r="I112" i="13"/>
  <c r="H112" i="13"/>
  <c r="H103" i="13"/>
  <c r="J103" i="13"/>
  <c r="I103" i="13"/>
  <c r="J33" i="13"/>
  <c r="J34" i="13" s="1"/>
  <c r="H33" i="13"/>
  <c r="H34" i="13" s="1"/>
  <c r="I33" i="13"/>
  <c r="I34" i="13" s="1"/>
  <c r="G34" i="13"/>
  <c r="H16" i="13"/>
  <c r="J16" i="13"/>
  <c r="G19" i="13"/>
  <c r="I16" i="13"/>
  <c r="H26" i="203"/>
  <c r="J26" i="203"/>
  <c r="H143" i="203"/>
  <c r="I26" i="203"/>
  <c r="I100" i="203"/>
  <c r="G52" i="203"/>
  <c r="G79" i="203" s="1"/>
  <c r="H26" i="13" l="1"/>
  <c r="G52" i="13"/>
  <c r="H143" i="13"/>
  <c r="I26" i="13"/>
  <c r="I143" i="13"/>
  <c r="G79" i="13"/>
  <c r="H100" i="13"/>
  <c r="I100" i="13"/>
  <c r="J26" i="13"/>
  <c r="J100" i="13"/>
  <c r="J143" i="13"/>
  <c r="F23" i="31"/>
  <c r="F24" i="31"/>
  <c r="F25" i="31"/>
  <c r="F26" i="31"/>
  <c r="F27" i="31"/>
  <c r="F28" i="31"/>
  <c r="F22" i="31"/>
  <c r="F17" i="31"/>
  <c r="N70" i="26"/>
  <c r="N69" i="26"/>
  <c r="N53" i="26"/>
  <c r="N52" i="26"/>
  <c r="L52" i="26"/>
  <c r="N35" i="26"/>
  <c r="G94" i="26"/>
  <c r="G93" i="26"/>
  <c r="G92" i="26"/>
  <c r="G91" i="26"/>
  <c r="G90" i="26"/>
  <c r="G89" i="26"/>
  <c r="G88" i="26"/>
  <c r="G87" i="26"/>
  <c r="G86" i="26"/>
  <c r="G85" i="26"/>
  <c r="G84" i="26"/>
  <c r="G81" i="26"/>
  <c r="G74" i="26"/>
  <c r="G72" i="26"/>
  <c r="G71" i="26"/>
  <c r="G70" i="26"/>
  <c r="G69" i="26"/>
  <c r="G68" i="26"/>
  <c r="G67" i="26"/>
  <c r="G66" i="26"/>
  <c r="G65" i="26"/>
  <c r="G64" i="26"/>
  <c r="G63" i="26"/>
  <c r="G62" i="26"/>
  <c r="G61" i="26"/>
  <c r="G60" i="26"/>
  <c r="G59" i="26"/>
  <c r="G54" i="26"/>
  <c r="G53" i="26"/>
  <c r="G51" i="26"/>
  <c r="G50" i="26"/>
  <c r="G46" i="26"/>
  <c r="G45" i="26"/>
  <c r="G41" i="26"/>
  <c r="G40" i="26"/>
  <c r="G39" i="26"/>
  <c r="G35" i="26"/>
  <c r="G33" i="26"/>
  <c r="G32" i="26"/>
  <c r="G29" i="26"/>
  <c r="G28" i="26"/>
  <c r="G27" i="26"/>
  <c r="G25" i="26"/>
  <c r="G24" i="26"/>
  <c r="G22" i="26"/>
  <c r="G21" i="26"/>
  <c r="G20" i="26"/>
  <c r="G18" i="26"/>
  <c r="G17" i="26"/>
  <c r="G16" i="26"/>
  <c r="L35" i="26" l="1"/>
  <c r="E96" i="113"/>
  <c r="E95" i="113"/>
  <c r="E94" i="113"/>
  <c r="E93" i="113"/>
  <c r="E92" i="113"/>
  <c r="E91" i="113"/>
  <c r="F84" i="196"/>
  <c r="J149" i="196"/>
  <c r="I149" i="196"/>
  <c r="H149" i="196"/>
  <c r="N147" i="196"/>
  <c r="M147" i="196"/>
  <c r="L147" i="196"/>
  <c r="N128" i="196"/>
  <c r="M128" i="196"/>
  <c r="L128" i="196"/>
  <c r="N126" i="196"/>
  <c r="M126" i="196"/>
  <c r="L126" i="196"/>
  <c r="K126" i="196"/>
  <c r="N111" i="196"/>
  <c r="M111" i="196"/>
  <c r="L111" i="196"/>
  <c r="N108" i="196"/>
  <c r="M108" i="196"/>
  <c r="L108" i="196"/>
  <c r="N105" i="196"/>
  <c r="M105" i="196"/>
  <c r="L105" i="196"/>
  <c r="N103" i="196"/>
  <c r="M103" i="196"/>
  <c r="L103" i="196"/>
  <c r="N88" i="196"/>
  <c r="M88" i="196"/>
  <c r="L88" i="196"/>
  <c r="I144" i="103"/>
  <c r="H144" i="103"/>
  <c r="G144" i="103"/>
  <c r="F144" i="103"/>
  <c r="N63" i="196" l="1"/>
  <c r="M63" i="196"/>
  <c r="K63" i="196" s="1"/>
  <c r="L63" i="196"/>
  <c r="N62" i="196"/>
  <c r="M62" i="196"/>
  <c r="L62" i="196"/>
  <c r="K62" i="196" s="1"/>
  <c r="N61" i="196"/>
  <c r="M61" i="196"/>
  <c r="K61" i="196" s="1"/>
  <c r="G61" i="196" s="1"/>
  <c r="L61" i="196"/>
  <c r="N60" i="196"/>
  <c r="M60" i="196"/>
  <c r="L60" i="196"/>
  <c r="N59" i="196"/>
  <c r="M59" i="196"/>
  <c r="I59" i="196" s="1"/>
  <c r="L59" i="196"/>
  <c r="N57" i="196"/>
  <c r="M57" i="196"/>
  <c r="L57" i="196"/>
  <c r="N48" i="196"/>
  <c r="M48" i="196"/>
  <c r="L48" i="196"/>
  <c r="K48" i="196" s="1"/>
  <c r="N47" i="196"/>
  <c r="M47" i="196"/>
  <c r="L47" i="196"/>
  <c r="N46" i="196"/>
  <c r="M46" i="196"/>
  <c r="K46" i="196" s="1"/>
  <c r="G46" i="196" s="1"/>
  <c r="L46" i="196"/>
  <c r="N45" i="196"/>
  <c r="M45" i="196"/>
  <c r="L45" i="196"/>
  <c r="N44" i="196"/>
  <c r="M44" i="196"/>
  <c r="L44" i="196"/>
  <c r="N43" i="196"/>
  <c r="M43" i="196"/>
  <c r="L43" i="196"/>
  <c r="N42" i="196"/>
  <c r="K42" i="196" s="1"/>
  <c r="G42" i="196" s="1"/>
  <c r="M42" i="196"/>
  <c r="L42" i="196"/>
  <c r="N41" i="196"/>
  <c r="M41" i="196"/>
  <c r="L41" i="196"/>
  <c r="N40" i="196"/>
  <c r="M40" i="196"/>
  <c r="L40" i="196"/>
  <c r="N39" i="196"/>
  <c r="M39" i="196"/>
  <c r="L39" i="196"/>
  <c r="N38" i="196"/>
  <c r="M38" i="196"/>
  <c r="K38" i="196" s="1"/>
  <c r="G38" i="196" s="1"/>
  <c r="L38" i="196"/>
  <c r="N37" i="196"/>
  <c r="M37" i="196"/>
  <c r="L37" i="196"/>
  <c r="N33" i="196"/>
  <c r="M33" i="196"/>
  <c r="L33" i="196"/>
  <c r="N29" i="196"/>
  <c r="M29" i="196"/>
  <c r="L29" i="196"/>
  <c r="K29" i="196" s="1"/>
  <c r="N25" i="196"/>
  <c r="M25" i="196"/>
  <c r="L25" i="196"/>
  <c r="N24" i="196"/>
  <c r="M24" i="196"/>
  <c r="L24" i="196"/>
  <c r="H24" i="196" s="1"/>
  <c r="N23" i="196"/>
  <c r="M23" i="196"/>
  <c r="L23" i="196"/>
  <c r="N22" i="196"/>
  <c r="M22" i="196"/>
  <c r="K22" i="196" s="1"/>
  <c r="L22" i="196"/>
  <c r="N18" i="196"/>
  <c r="M18" i="196"/>
  <c r="I18" i="196" s="1"/>
  <c r="L18" i="196"/>
  <c r="N17" i="196"/>
  <c r="M17" i="196"/>
  <c r="K17" i="196" s="1"/>
  <c r="L17" i="196"/>
  <c r="K47" i="196"/>
  <c r="K44" i="196"/>
  <c r="K41" i="196"/>
  <c r="K39" i="196"/>
  <c r="K33" i="196"/>
  <c r="G33" i="196" s="1"/>
  <c r="G34" i="196" s="1"/>
  <c r="N155" i="196"/>
  <c r="M155" i="196"/>
  <c r="L155" i="196"/>
  <c r="N154" i="196"/>
  <c r="M154" i="196"/>
  <c r="L154" i="196"/>
  <c r="N153" i="196"/>
  <c r="M153" i="196"/>
  <c r="K153" i="196" s="1"/>
  <c r="L153" i="196"/>
  <c r="N150" i="196"/>
  <c r="M150" i="196"/>
  <c r="L150" i="196"/>
  <c r="N132" i="196"/>
  <c r="M132" i="196"/>
  <c r="L132" i="196"/>
  <c r="K132" i="196" s="1"/>
  <c r="J111" i="196"/>
  <c r="K105" i="196"/>
  <c r="G105" i="196" s="1"/>
  <c r="N87" i="196"/>
  <c r="M87" i="196"/>
  <c r="K87" i="196" s="1"/>
  <c r="G87" i="196" s="1"/>
  <c r="L87" i="196"/>
  <c r="K59" i="196"/>
  <c r="G59" i="196" s="1"/>
  <c r="K40" i="196"/>
  <c r="K25" i="196"/>
  <c r="G25" i="196" s="1"/>
  <c r="F155" i="196"/>
  <c r="F154" i="196"/>
  <c r="F153" i="196"/>
  <c r="F152" i="196"/>
  <c r="F151" i="196"/>
  <c r="F150" i="196"/>
  <c r="F149" i="196"/>
  <c r="F148" i="196"/>
  <c r="F147" i="196"/>
  <c r="F142" i="196"/>
  <c r="F141" i="196"/>
  <c r="F140" i="196"/>
  <c r="F139" i="196"/>
  <c r="F132" i="196"/>
  <c r="F131" i="196"/>
  <c r="F130" i="196"/>
  <c r="H130" i="196" s="1"/>
  <c r="F129" i="196"/>
  <c r="F128" i="196"/>
  <c r="F127" i="196"/>
  <c r="F126" i="196"/>
  <c r="F125" i="196"/>
  <c r="F124" i="196"/>
  <c r="F123" i="196"/>
  <c r="F122" i="196"/>
  <c r="F133" i="196" s="1"/>
  <c r="F119" i="196"/>
  <c r="F111" i="196"/>
  <c r="F110" i="196"/>
  <c r="F109" i="196"/>
  <c r="F108" i="196"/>
  <c r="F107" i="196"/>
  <c r="F106" i="196"/>
  <c r="J106" i="196" s="1"/>
  <c r="F105" i="196"/>
  <c r="F104" i="196"/>
  <c r="F103" i="196"/>
  <c r="F99" i="196"/>
  <c r="F98" i="196"/>
  <c r="F97" i="196"/>
  <c r="F96" i="196"/>
  <c r="F92" i="196"/>
  <c r="F93" i="196" s="1"/>
  <c r="F90" i="196"/>
  <c r="F88" i="196"/>
  <c r="F87" i="196"/>
  <c r="F73" i="196"/>
  <c r="F72" i="196"/>
  <c r="F67" i="196"/>
  <c r="F66" i="196"/>
  <c r="F65" i="196"/>
  <c r="F63" i="196"/>
  <c r="F62" i="196"/>
  <c r="F61" i="196"/>
  <c r="F60" i="196"/>
  <c r="F59" i="196"/>
  <c r="F57" i="196"/>
  <c r="F48" i="196"/>
  <c r="H48" i="196" s="1"/>
  <c r="F47" i="196"/>
  <c r="F46" i="196"/>
  <c r="F45" i="196"/>
  <c r="F44" i="196"/>
  <c r="F43" i="196"/>
  <c r="F42" i="196"/>
  <c r="F41" i="196"/>
  <c r="F40" i="196"/>
  <c r="J40" i="196" s="1"/>
  <c r="F39" i="196"/>
  <c r="F38" i="196"/>
  <c r="F37" i="196"/>
  <c r="F33" i="196"/>
  <c r="F29" i="196"/>
  <c r="F25" i="196"/>
  <c r="F24" i="196"/>
  <c r="F23" i="196"/>
  <c r="F22" i="196"/>
  <c r="F18" i="196"/>
  <c r="F17" i="196"/>
  <c r="F16" i="196"/>
  <c r="N7" i="196"/>
  <c r="M7" i="196"/>
  <c r="L7" i="196"/>
  <c r="L84" i="196" s="1"/>
  <c r="N6" i="196"/>
  <c r="M6" i="196"/>
  <c r="L6" i="196"/>
  <c r="S6" i="196"/>
  <c r="R6" i="196"/>
  <c r="Q6" i="196"/>
  <c r="I86" i="197"/>
  <c r="F86" i="197" s="1"/>
  <c r="G96" i="26" s="1"/>
  <c r="H86" i="197"/>
  <c r="G86" i="197"/>
  <c r="E86" i="197"/>
  <c r="I81" i="197"/>
  <c r="H81" i="197"/>
  <c r="G81" i="197"/>
  <c r="K81" i="197" s="1"/>
  <c r="K96" i="197" s="1"/>
  <c r="I80" i="197"/>
  <c r="H80" i="197"/>
  <c r="G80" i="197"/>
  <c r="I79" i="197"/>
  <c r="H79" i="197"/>
  <c r="G79" i="197"/>
  <c r="I78" i="197"/>
  <c r="H78" i="197"/>
  <c r="G78" i="197"/>
  <c r="I76" i="197"/>
  <c r="H76" i="197"/>
  <c r="G76" i="197"/>
  <c r="I74" i="197"/>
  <c r="M74" i="197" s="1"/>
  <c r="H74" i="197"/>
  <c r="L74" i="197" s="1"/>
  <c r="G74" i="197"/>
  <c r="K74" i="197" s="1"/>
  <c r="F78" i="197"/>
  <c r="I64" i="197"/>
  <c r="H64" i="197"/>
  <c r="G64" i="197"/>
  <c r="I62" i="197"/>
  <c r="H62" i="197"/>
  <c r="G62" i="197"/>
  <c r="I61" i="197"/>
  <c r="H61" i="197"/>
  <c r="G61" i="197"/>
  <c r="I60" i="197"/>
  <c r="H60" i="197"/>
  <c r="G60" i="197"/>
  <c r="I59" i="197"/>
  <c r="H59" i="197"/>
  <c r="H65" i="197" s="1"/>
  <c r="G59" i="197"/>
  <c r="I58" i="197"/>
  <c r="H58" i="197"/>
  <c r="G58" i="197"/>
  <c r="I57" i="197"/>
  <c r="H57" i="197"/>
  <c r="G57" i="197"/>
  <c r="I56" i="197"/>
  <c r="H56" i="197"/>
  <c r="G56" i="197"/>
  <c r="I55" i="197"/>
  <c r="H55" i="197"/>
  <c r="G55" i="197"/>
  <c r="I54" i="197"/>
  <c r="H54" i="197"/>
  <c r="G54" i="197"/>
  <c r="I53" i="197"/>
  <c r="H53" i="197"/>
  <c r="G53" i="197"/>
  <c r="I52" i="197"/>
  <c r="H52" i="197"/>
  <c r="G52" i="197"/>
  <c r="I51" i="197"/>
  <c r="H51" i="197"/>
  <c r="L51" i="197" s="1"/>
  <c r="G51" i="197"/>
  <c r="I50" i="197"/>
  <c r="H50" i="197"/>
  <c r="G50" i="197"/>
  <c r="I49" i="197"/>
  <c r="H49" i="197"/>
  <c r="G49" i="197"/>
  <c r="K60" i="197"/>
  <c r="K57" i="197"/>
  <c r="M54" i="197"/>
  <c r="L54" i="197"/>
  <c r="F49" i="197"/>
  <c r="I43" i="197"/>
  <c r="H43" i="197"/>
  <c r="G43" i="197"/>
  <c r="I42" i="197"/>
  <c r="H42" i="197"/>
  <c r="G42" i="197"/>
  <c r="F42" i="197"/>
  <c r="I41" i="197"/>
  <c r="H41" i="197"/>
  <c r="G41" i="197"/>
  <c r="I40" i="197"/>
  <c r="H40" i="197"/>
  <c r="G40" i="197"/>
  <c r="E41" i="197"/>
  <c r="E40" i="197"/>
  <c r="E36" i="197"/>
  <c r="L36" i="197" s="1"/>
  <c r="I36" i="197"/>
  <c r="H36" i="197"/>
  <c r="G36" i="197"/>
  <c r="I35" i="197"/>
  <c r="H35" i="197"/>
  <c r="H37" i="197" s="1"/>
  <c r="G35" i="197"/>
  <c r="G37" i="197" s="1"/>
  <c r="E35" i="197"/>
  <c r="E31" i="197"/>
  <c r="M31" i="197" s="1"/>
  <c r="E30" i="197"/>
  <c r="I31" i="197"/>
  <c r="H31" i="197"/>
  <c r="F31" i="197" s="1"/>
  <c r="G31" i="197"/>
  <c r="I29" i="197"/>
  <c r="I30" i="197" s="1"/>
  <c r="H29" i="197"/>
  <c r="F29" i="197" s="1"/>
  <c r="G29" i="197"/>
  <c r="G30" i="197" s="1"/>
  <c r="I23" i="197"/>
  <c r="H23" i="197"/>
  <c r="G23" i="197"/>
  <c r="I22" i="197"/>
  <c r="H22" i="197"/>
  <c r="G22" i="197"/>
  <c r="I21" i="197"/>
  <c r="H21" i="197"/>
  <c r="G21" i="197"/>
  <c r="I19" i="197"/>
  <c r="H19" i="197"/>
  <c r="G19" i="197"/>
  <c r="I18" i="197"/>
  <c r="H18" i="197"/>
  <c r="G18" i="197"/>
  <c r="I17" i="197"/>
  <c r="H17" i="197"/>
  <c r="G17" i="197"/>
  <c r="I15" i="197"/>
  <c r="H15" i="197"/>
  <c r="L15" i="197" s="1"/>
  <c r="G15" i="197"/>
  <c r="I14" i="197"/>
  <c r="H14" i="197"/>
  <c r="G14" i="197"/>
  <c r="F14" i="197" s="1"/>
  <c r="N14" i="197" s="1"/>
  <c r="I8" i="197"/>
  <c r="H8" i="197"/>
  <c r="G8" i="197"/>
  <c r="F8" i="197" s="1"/>
  <c r="I7" i="197"/>
  <c r="H7" i="197"/>
  <c r="G7" i="197"/>
  <c r="F22" i="197"/>
  <c r="N22" i="197" s="1"/>
  <c r="L21" i="197"/>
  <c r="F18" i="197"/>
  <c r="N18" i="197" s="1"/>
  <c r="I6" i="197"/>
  <c r="H6" i="197"/>
  <c r="G6" i="197"/>
  <c r="G25" i="197"/>
  <c r="F25" i="197" s="1"/>
  <c r="E25" i="197" s="1"/>
  <c r="E97" i="197"/>
  <c r="E96" i="197"/>
  <c r="E95" i="197"/>
  <c r="E85" i="197"/>
  <c r="E82" i="197"/>
  <c r="E81" i="197"/>
  <c r="L81" i="197" s="1"/>
  <c r="L96" i="197" s="1"/>
  <c r="E80" i="197"/>
  <c r="E79" i="197"/>
  <c r="K79" i="197" s="1"/>
  <c r="E78" i="197"/>
  <c r="E77" i="197"/>
  <c r="E76" i="197"/>
  <c r="J76" i="197" s="1"/>
  <c r="J95" i="197" s="1"/>
  <c r="E75" i="197"/>
  <c r="E74" i="197"/>
  <c r="E64" i="197"/>
  <c r="L64" i="197" s="1"/>
  <c r="E62" i="197"/>
  <c r="E61" i="197"/>
  <c r="M61" i="197" s="1"/>
  <c r="E60" i="197"/>
  <c r="M60" i="197" s="1"/>
  <c r="E59" i="197"/>
  <c r="E58" i="197"/>
  <c r="M58" i="197" s="1"/>
  <c r="E57" i="197"/>
  <c r="M57" i="197" s="1"/>
  <c r="E56" i="197"/>
  <c r="E55" i="197"/>
  <c r="M55" i="197" s="1"/>
  <c r="E54" i="197"/>
  <c r="E53" i="197"/>
  <c r="M53" i="197" s="1"/>
  <c r="L52" i="197"/>
  <c r="E52" i="197"/>
  <c r="M52" i="197" s="1"/>
  <c r="E51" i="197"/>
  <c r="F50" i="197"/>
  <c r="E50" i="197"/>
  <c r="E49" i="197"/>
  <c r="E43" i="197"/>
  <c r="L43" i="197" s="1"/>
  <c r="E42" i="197"/>
  <c r="M42" i="197" s="1"/>
  <c r="E29" i="197"/>
  <c r="F23" i="197"/>
  <c r="N23" i="197" s="1"/>
  <c r="E23" i="197"/>
  <c r="M23" i="197" s="1"/>
  <c r="E22" i="197"/>
  <c r="M22" i="197" s="1"/>
  <c r="K21" i="197"/>
  <c r="E21" i="197"/>
  <c r="M19" i="197"/>
  <c r="K19" i="197"/>
  <c r="E19" i="197"/>
  <c r="E18" i="197"/>
  <c r="K17" i="197"/>
  <c r="E17" i="197"/>
  <c r="L17" i="197" s="1"/>
  <c r="F15" i="197"/>
  <c r="N15" i="197" s="1"/>
  <c r="E15" i="197"/>
  <c r="M14" i="197"/>
  <c r="E14" i="197"/>
  <c r="E8" i="197"/>
  <c r="M8" i="197" s="1"/>
  <c r="E6" i="197"/>
  <c r="E7" i="197" s="1"/>
  <c r="E98" i="197"/>
  <c r="T94" i="197"/>
  <c r="F84" i="197"/>
  <c r="F83" i="197"/>
  <c r="F82" i="197"/>
  <c r="M81" i="197"/>
  <c r="M96" i="197" s="1"/>
  <c r="F81" i="197"/>
  <c r="N81" i="197" s="1"/>
  <c r="L80" i="197"/>
  <c r="M79" i="197"/>
  <c r="F77" i="197"/>
  <c r="F75" i="197"/>
  <c r="J71" i="197"/>
  <c r="I71" i="197"/>
  <c r="H71" i="197"/>
  <c r="G71" i="197"/>
  <c r="M64" i="197"/>
  <c r="K61" i="197"/>
  <c r="L61" i="197"/>
  <c r="F61" i="197"/>
  <c r="L60" i="197"/>
  <c r="F58" i="197"/>
  <c r="L58" i="197"/>
  <c r="F57" i="197"/>
  <c r="F55" i="197"/>
  <c r="L53" i="197"/>
  <c r="M49" i="197"/>
  <c r="F44" i="197"/>
  <c r="K43" i="197"/>
  <c r="M43" i="197"/>
  <c r="E37" i="197"/>
  <c r="F36" i="197"/>
  <c r="N36" i="197" s="1"/>
  <c r="I37" i="197"/>
  <c r="L23" i="197"/>
  <c r="L19" i="197"/>
  <c r="K15" i="197"/>
  <c r="F12" i="197"/>
  <c r="F11" i="197"/>
  <c r="F10" i="197"/>
  <c r="K155" i="196"/>
  <c r="G155" i="196" s="1"/>
  <c r="I155" i="196"/>
  <c r="J155" i="196"/>
  <c r="K154" i="196"/>
  <c r="H154" i="196"/>
  <c r="K152" i="196"/>
  <c r="G152" i="196" s="1"/>
  <c r="J152" i="196"/>
  <c r="I152" i="196"/>
  <c r="H152" i="196"/>
  <c r="K151" i="196"/>
  <c r="J151" i="196"/>
  <c r="I151" i="196"/>
  <c r="H151" i="196"/>
  <c r="G151" i="196"/>
  <c r="K150" i="196"/>
  <c r="J150" i="196"/>
  <c r="K147" i="196"/>
  <c r="G147" i="196" s="1"/>
  <c r="I147" i="196"/>
  <c r="J147" i="196"/>
  <c r="K142" i="196"/>
  <c r="H142" i="196"/>
  <c r="I142" i="196"/>
  <c r="K141" i="196"/>
  <c r="J141" i="196"/>
  <c r="J132" i="196"/>
  <c r="K130" i="196"/>
  <c r="I130" i="196"/>
  <c r="K129" i="196"/>
  <c r="J129" i="196"/>
  <c r="I129" i="196"/>
  <c r="K128" i="196"/>
  <c r="I128" i="196"/>
  <c r="J128" i="196"/>
  <c r="I126" i="196"/>
  <c r="K125" i="196"/>
  <c r="J125" i="196"/>
  <c r="I125" i="196"/>
  <c r="H125" i="196"/>
  <c r="K124" i="196"/>
  <c r="I124" i="196"/>
  <c r="J124" i="196"/>
  <c r="K121" i="196"/>
  <c r="J121" i="196"/>
  <c r="I121" i="196"/>
  <c r="H121" i="196"/>
  <c r="G121" i="196"/>
  <c r="K120" i="196"/>
  <c r="G120" i="196" s="1"/>
  <c r="J120" i="196"/>
  <c r="I120" i="196"/>
  <c r="H120" i="196"/>
  <c r="K115" i="196"/>
  <c r="K114" i="196"/>
  <c r="J114" i="196"/>
  <c r="I114" i="196"/>
  <c r="H114" i="196"/>
  <c r="G114" i="196"/>
  <c r="K111" i="196"/>
  <c r="K110" i="196"/>
  <c r="G110" i="196"/>
  <c r="J110" i="196"/>
  <c r="K109" i="196"/>
  <c r="J109" i="196"/>
  <c r="I109" i="196"/>
  <c r="K108" i="196"/>
  <c r="J108" i="196"/>
  <c r="K107" i="196"/>
  <c r="J107" i="196"/>
  <c r="I107" i="196"/>
  <c r="H107" i="196"/>
  <c r="K106" i="196"/>
  <c r="G106" i="196"/>
  <c r="I105" i="196"/>
  <c r="K104" i="196"/>
  <c r="J104" i="196"/>
  <c r="K103" i="196"/>
  <c r="G103" i="196" s="1"/>
  <c r="J103" i="196"/>
  <c r="I103" i="196"/>
  <c r="K99" i="196"/>
  <c r="J99" i="196"/>
  <c r="F113" i="196"/>
  <c r="F112" i="196" s="1"/>
  <c r="K91" i="196"/>
  <c r="J91" i="196"/>
  <c r="I91" i="196"/>
  <c r="H91" i="196"/>
  <c r="G91" i="196"/>
  <c r="K89" i="196"/>
  <c r="J89" i="196"/>
  <c r="I89" i="196"/>
  <c r="H89" i="196"/>
  <c r="G89" i="196"/>
  <c r="K88" i="196"/>
  <c r="G88" i="196" s="1"/>
  <c r="J88" i="196"/>
  <c r="I88" i="196"/>
  <c r="H87" i="196"/>
  <c r="F165" i="196"/>
  <c r="K71" i="196"/>
  <c r="G71" i="196" s="1"/>
  <c r="J71" i="196"/>
  <c r="I71" i="196"/>
  <c r="H71" i="196"/>
  <c r="K70" i="196"/>
  <c r="G70" i="196" s="1"/>
  <c r="J70" i="196"/>
  <c r="I70" i="196"/>
  <c r="H70" i="196"/>
  <c r="K69" i="196"/>
  <c r="J69" i="196"/>
  <c r="I69" i="196"/>
  <c r="H69" i="196"/>
  <c r="G69" i="196"/>
  <c r="K68" i="196"/>
  <c r="J68" i="196"/>
  <c r="I68" i="196"/>
  <c r="H68" i="196"/>
  <c r="G68" i="196"/>
  <c r="K64" i="196"/>
  <c r="J64" i="196"/>
  <c r="I64" i="196"/>
  <c r="H64" i="196"/>
  <c r="G64" i="196"/>
  <c r="I63" i="196"/>
  <c r="K60" i="196"/>
  <c r="G60" i="196" s="1"/>
  <c r="I60" i="196"/>
  <c r="H60" i="196"/>
  <c r="J60" i="196"/>
  <c r="H59" i="196"/>
  <c r="K58" i="196"/>
  <c r="J58" i="196"/>
  <c r="I58" i="196"/>
  <c r="H58" i="196"/>
  <c r="G58" i="196"/>
  <c r="J47" i="196"/>
  <c r="H46" i="196"/>
  <c r="J46" i="196"/>
  <c r="K43" i="196"/>
  <c r="I42" i="196"/>
  <c r="H42" i="196"/>
  <c r="I41" i="196"/>
  <c r="H39" i="196"/>
  <c r="J39" i="196"/>
  <c r="H38" i="196"/>
  <c r="J38" i="196"/>
  <c r="H29" i="196"/>
  <c r="H30" i="196" s="1"/>
  <c r="H25" i="196"/>
  <c r="J18" i="196"/>
  <c r="H18" i="196"/>
  <c r="K16" i="196"/>
  <c r="F19" i="196"/>
  <c r="N123" i="196"/>
  <c r="J123" i="196" s="1"/>
  <c r="L112" i="196"/>
  <c r="H41" i="196" l="1"/>
  <c r="K18" i="196"/>
  <c r="G18" i="196" s="1"/>
  <c r="J41" i="196"/>
  <c r="I38" i="196"/>
  <c r="J25" i="196"/>
  <c r="H105" i="196"/>
  <c r="J42" i="196"/>
  <c r="G17" i="196"/>
  <c r="J59" i="196"/>
  <c r="H106" i="196"/>
  <c r="J130" i="196"/>
  <c r="H40" i="196"/>
  <c r="J48" i="196"/>
  <c r="I40" i="196"/>
  <c r="I106" i="196"/>
  <c r="I48" i="196"/>
  <c r="G40" i="196"/>
  <c r="J29" i="196"/>
  <c r="G130" i="196"/>
  <c r="L90" i="196"/>
  <c r="K7" i="196"/>
  <c r="K84" i="196" s="1"/>
  <c r="K6" i="196"/>
  <c r="L86" i="197"/>
  <c r="M86" i="197"/>
  <c r="F74" i="197"/>
  <c r="N74" i="197" s="1"/>
  <c r="K80" i="197"/>
  <c r="L76" i="197"/>
  <c r="L95" i="197" s="1"/>
  <c r="H95" i="197" s="1"/>
  <c r="K78" i="197"/>
  <c r="K97" i="197" s="1"/>
  <c r="M78" i="197"/>
  <c r="M97" i="197" s="1"/>
  <c r="I97" i="197" s="1"/>
  <c r="L78" i="197"/>
  <c r="L97" i="197" s="1"/>
  <c r="H97" i="197" s="1"/>
  <c r="M76" i="197"/>
  <c r="M95" i="197" s="1"/>
  <c r="I95" i="197" s="1"/>
  <c r="L79" i="197"/>
  <c r="K76" i="197"/>
  <c r="K95" i="197" s="1"/>
  <c r="G95" i="197" s="1"/>
  <c r="M80" i="197"/>
  <c r="F59" i="197"/>
  <c r="M50" i="197"/>
  <c r="M59" i="197"/>
  <c r="K54" i="197"/>
  <c r="H45" i="197"/>
  <c r="M40" i="197"/>
  <c r="L37" i="197"/>
  <c r="L35" i="197"/>
  <c r="F35" i="197"/>
  <c r="N35" i="197" s="1"/>
  <c r="K37" i="197"/>
  <c r="H30" i="197"/>
  <c r="F30" i="197" s="1"/>
  <c r="M29" i="197"/>
  <c r="H26" i="197"/>
  <c r="M15" i="197"/>
  <c r="K18" i="197"/>
  <c r="M21" i="197"/>
  <c r="K22" i="197"/>
  <c r="L18" i="197"/>
  <c r="F7" i="197"/>
  <c r="N7" i="197" s="1"/>
  <c r="M7" i="197"/>
  <c r="F17" i="197"/>
  <c r="M30" i="197"/>
  <c r="L8" i="197"/>
  <c r="L22" i="197"/>
  <c r="K40" i="197"/>
  <c r="L55" i="197"/>
  <c r="F21" i="197"/>
  <c r="N21" i="197" s="1"/>
  <c r="K23" i="197"/>
  <c r="M37" i="197"/>
  <c r="K14" i="197"/>
  <c r="L31" i="197"/>
  <c r="M36" i="197"/>
  <c r="K53" i="197"/>
  <c r="L59" i="197"/>
  <c r="K31" i="197"/>
  <c r="K36" i="197"/>
  <c r="L57" i="197"/>
  <c r="K64" i="197"/>
  <c r="F19" i="197"/>
  <c r="N19" i="197" s="1"/>
  <c r="J30" i="196"/>
  <c r="I37" i="196"/>
  <c r="H37" i="196"/>
  <c r="F50" i="196"/>
  <c r="J37" i="196"/>
  <c r="J44" i="196"/>
  <c r="I44" i="196"/>
  <c r="H44" i="196"/>
  <c r="G44" i="196"/>
  <c r="F77" i="196"/>
  <c r="J43" i="196"/>
  <c r="I43" i="196"/>
  <c r="H43" i="196"/>
  <c r="G43" i="196"/>
  <c r="J62" i="196"/>
  <c r="I62" i="196"/>
  <c r="H62" i="196"/>
  <c r="G62" i="196"/>
  <c r="M131" i="196"/>
  <c r="I131" i="196" s="1"/>
  <c r="M123" i="196"/>
  <c r="I123" i="196" s="1"/>
  <c r="M149" i="196"/>
  <c r="M127" i="196"/>
  <c r="I127" i="196" s="1"/>
  <c r="M98" i="196"/>
  <c r="I98" i="196" s="1"/>
  <c r="M148" i="196"/>
  <c r="M97" i="196"/>
  <c r="I97" i="196" s="1"/>
  <c r="M96" i="196"/>
  <c r="I96" i="196" s="1"/>
  <c r="M90" i="196"/>
  <c r="M84" i="196"/>
  <c r="M119" i="196"/>
  <c r="I119" i="196" s="1"/>
  <c r="M140" i="196"/>
  <c r="I140" i="196" s="1"/>
  <c r="M139" i="196"/>
  <c r="I139" i="196" s="1"/>
  <c r="M92" i="196"/>
  <c r="M73" i="196" s="1"/>
  <c r="M113" i="196"/>
  <c r="I113" i="196" s="1"/>
  <c r="M112" i="196"/>
  <c r="K24" i="196"/>
  <c r="G24" i="196" s="1"/>
  <c r="I24" i="196"/>
  <c r="J33" i="196"/>
  <c r="I33" i="196"/>
  <c r="F34" i="196"/>
  <c r="K34" i="196" s="1"/>
  <c r="K23" i="196"/>
  <c r="H23" i="196"/>
  <c r="H33" i="196"/>
  <c r="J61" i="196"/>
  <c r="I61" i="196"/>
  <c r="H61" i="196"/>
  <c r="F26" i="196"/>
  <c r="J22" i="196"/>
  <c r="I23" i="196"/>
  <c r="H90" i="196"/>
  <c r="H17" i="196"/>
  <c r="G22" i="196"/>
  <c r="G23" i="196"/>
  <c r="F30" i="196"/>
  <c r="L30" i="196" s="1"/>
  <c r="G29" i="196"/>
  <c r="G30" i="196" s="1"/>
  <c r="K37" i="196"/>
  <c r="G37" i="196" s="1"/>
  <c r="G41" i="196"/>
  <c r="P6" i="196"/>
  <c r="Q7" i="196" s="1"/>
  <c r="I17" i="196"/>
  <c r="H22" i="196"/>
  <c r="G39" i="196"/>
  <c r="I45" i="196"/>
  <c r="H45" i="196"/>
  <c r="J45" i="196"/>
  <c r="F116" i="196"/>
  <c r="J17" i="196"/>
  <c r="I22" i="196"/>
  <c r="J23" i="196"/>
  <c r="I29" i="196"/>
  <c r="K45" i="196"/>
  <c r="G45" i="196" s="1"/>
  <c r="G47" i="196"/>
  <c r="I46" i="196"/>
  <c r="H47" i="196"/>
  <c r="G48" i="196"/>
  <c r="J63" i="196"/>
  <c r="I90" i="196"/>
  <c r="L113" i="196"/>
  <c r="H113" i="196" s="1"/>
  <c r="F115" i="196"/>
  <c r="H147" i="196"/>
  <c r="G149" i="196"/>
  <c r="G150" i="196"/>
  <c r="M6" i="197"/>
  <c r="N8" i="197"/>
  <c r="J8" i="197"/>
  <c r="M25" i="197"/>
  <c r="K25" i="197"/>
  <c r="F37" i="197"/>
  <c r="J50" i="197"/>
  <c r="N50" i="197"/>
  <c r="J24" i="196"/>
  <c r="I25" i="196"/>
  <c r="I39" i="196"/>
  <c r="I47" i="196"/>
  <c r="I87" i="196"/>
  <c r="H88" i="196"/>
  <c r="L92" i="196"/>
  <c r="G99" i="196"/>
  <c r="H103" i="196"/>
  <c r="G104" i="196"/>
  <c r="G111" i="196"/>
  <c r="N112" i="196"/>
  <c r="G124" i="196"/>
  <c r="G128" i="196"/>
  <c r="G129" i="196"/>
  <c r="L131" i="196"/>
  <c r="L139" i="196"/>
  <c r="H139" i="196" s="1"/>
  <c r="L140" i="196"/>
  <c r="H140" i="196" s="1"/>
  <c r="H150" i="196"/>
  <c r="J42" i="197"/>
  <c r="N42" i="197"/>
  <c r="F52" i="197"/>
  <c r="K52" i="197"/>
  <c r="J87" i="196"/>
  <c r="H99" i="196"/>
  <c r="H104" i="196"/>
  <c r="J105" i="196"/>
  <c r="H111" i="196"/>
  <c r="N113" i="196"/>
  <c r="J113" i="196" s="1"/>
  <c r="L119" i="196"/>
  <c r="H124" i="196"/>
  <c r="H128" i="196"/>
  <c r="H129" i="196"/>
  <c r="N131" i="196"/>
  <c r="J131" i="196" s="1"/>
  <c r="G142" i="196"/>
  <c r="I150" i="196"/>
  <c r="G154" i="196"/>
  <c r="I154" i="196"/>
  <c r="J7" i="197"/>
  <c r="J25" i="197"/>
  <c r="J29" i="197"/>
  <c r="N29" i="197"/>
  <c r="K30" i="197"/>
  <c r="E32" i="197"/>
  <c r="L42" i="197"/>
  <c r="J49" i="197"/>
  <c r="N49" i="197"/>
  <c r="N58" i="197"/>
  <c r="J58" i="197"/>
  <c r="N92" i="196"/>
  <c r="N73" i="196" s="1"/>
  <c r="J73" i="196" s="1"/>
  <c r="L96" i="196"/>
  <c r="I99" i="196"/>
  <c r="I104" i="196"/>
  <c r="I111" i="196"/>
  <c r="N139" i="196"/>
  <c r="N140" i="196"/>
  <c r="J140" i="196" s="1"/>
  <c r="H153" i="196"/>
  <c r="J153" i="196"/>
  <c r="E26" i="197"/>
  <c r="L7" i="197"/>
  <c r="K8" i="197"/>
  <c r="L25" i="197"/>
  <c r="G32" i="197"/>
  <c r="K32" i="197" s="1"/>
  <c r="F41" i="197"/>
  <c r="L49" i="197"/>
  <c r="K50" i="197"/>
  <c r="L97" i="196"/>
  <c r="G108" i="196"/>
  <c r="H110" i="196"/>
  <c r="N119" i="196"/>
  <c r="J119" i="196" s="1"/>
  <c r="G126" i="196"/>
  <c r="G132" i="196"/>
  <c r="G141" i="196"/>
  <c r="J142" i="196"/>
  <c r="L148" i="196"/>
  <c r="G153" i="196"/>
  <c r="J154" i="196"/>
  <c r="G26" i="197"/>
  <c r="F6" i="197"/>
  <c r="M18" i="197"/>
  <c r="N25" i="197"/>
  <c r="I32" i="197"/>
  <c r="M32" i="197" s="1"/>
  <c r="J35" i="197"/>
  <c r="J36" i="197"/>
  <c r="E45" i="197"/>
  <c r="L45" i="197" s="1"/>
  <c r="L40" i="197"/>
  <c r="K42" i="197"/>
  <c r="G63" i="196"/>
  <c r="I73" i="196"/>
  <c r="N84" i="196"/>
  <c r="N90" i="196"/>
  <c r="K90" i="196" s="1"/>
  <c r="G90" i="196" s="1"/>
  <c r="N96" i="196"/>
  <c r="J96" i="196" s="1"/>
  <c r="L98" i="196"/>
  <c r="H108" i="196"/>
  <c r="G109" i="196"/>
  <c r="I110" i="196"/>
  <c r="H126" i="196"/>
  <c r="L127" i="196"/>
  <c r="H132" i="196"/>
  <c r="H141" i="196"/>
  <c r="L149" i="196"/>
  <c r="I153" i="196"/>
  <c r="L6" i="197"/>
  <c r="K7" i="197"/>
  <c r="J14" i="197"/>
  <c r="J15" i="197"/>
  <c r="J18" i="197"/>
  <c r="J19" i="197"/>
  <c r="J22" i="197"/>
  <c r="J23" i="197"/>
  <c r="K29" i="197"/>
  <c r="N31" i="197"/>
  <c r="J31" i="197"/>
  <c r="F40" i="197"/>
  <c r="G45" i="197"/>
  <c r="K49" i="197"/>
  <c r="F51" i="197"/>
  <c r="G65" i="197"/>
  <c r="K51" i="197"/>
  <c r="N55" i="197"/>
  <c r="J55" i="197"/>
  <c r="J57" i="197"/>
  <c r="N57" i="197"/>
  <c r="H63" i="196"/>
  <c r="I92" i="196"/>
  <c r="N97" i="196"/>
  <c r="J97" i="196" s="1"/>
  <c r="F100" i="196"/>
  <c r="G107" i="196"/>
  <c r="I108" i="196"/>
  <c r="H109" i="196"/>
  <c r="L123" i="196"/>
  <c r="G125" i="196"/>
  <c r="J126" i="196"/>
  <c r="I132" i="196"/>
  <c r="I141" i="196"/>
  <c r="F143" i="196"/>
  <c r="N148" i="196"/>
  <c r="I26" i="197"/>
  <c r="L14" i="197"/>
  <c r="N59" i="197"/>
  <c r="J59" i="197"/>
  <c r="J61" i="197"/>
  <c r="N61" i="197"/>
  <c r="N78" i="197"/>
  <c r="J78" i="197"/>
  <c r="J97" i="197" s="1"/>
  <c r="F97" i="197" s="1"/>
  <c r="O86" i="197"/>
  <c r="N86" i="197"/>
  <c r="J86" i="197"/>
  <c r="N98" i="196"/>
  <c r="J98" i="196" s="1"/>
  <c r="N127" i="196"/>
  <c r="J127" i="196" s="1"/>
  <c r="J139" i="196"/>
  <c r="N149" i="196"/>
  <c r="F156" i="196"/>
  <c r="K6" i="197"/>
  <c r="I45" i="197"/>
  <c r="F43" i="197"/>
  <c r="I65" i="197"/>
  <c r="M51" i="197"/>
  <c r="H155" i="196"/>
  <c r="L29" i="197"/>
  <c r="M35" i="197"/>
  <c r="L50" i="197"/>
  <c r="F53" i="197"/>
  <c r="F60" i="197"/>
  <c r="F64" i="197"/>
  <c r="F79" i="197"/>
  <c r="J81" i="197"/>
  <c r="J96" i="197" s="1"/>
  <c r="F96" i="197" s="1"/>
  <c r="K55" i="197"/>
  <c r="K58" i="197"/>
  <c r="E65" i="197"/>
  <c r="L65" i="197" s="1"/>
  <c r="F54" i="197"/>
  <c r="F76" i="197"/>
  <c r="F80" i="197"/>
  <c r="K86" i="197"/>
  <c r="K59" i="197"/>
  <c r="F71" i="197"/>
  <c r="M17" i="197"/>
  <c r="G96" i="197"/>
  <c r="K35" i="197"/>
  <c r="H96" i="197"/>
  <c r="G97" i="197"/>
  <c r="I96" i="197"/>
  <c r="L85" i="197" l="1"/>
  <c r="M85" i="197"/>
  <c r="G19" i="196"/>
  <c r="K19" i="196" s="1"/>
  <c r="F135" i="196"/>
  <c r="K30" i="196"/>
  <c r="F52" i="196"/>
  <c r="F79" i="196" s="1"/>
  <c r="K127" i="196"/>
  <c r="G127" i="196" s="1"/>
  <c r="K131" i="196"/>
  <c r="G131" i="196" s="1"/>
  <c r="K112" i="196"/>
  <c r="J90" i="196"/>
  <c r="H127" i="196"/>
  <c r="J74" i="197"/>
  <c r="K85" i="197"/>
  <c r="K45" i="197"/>
  <c r="M45" i="197"/>
  <c r="F32" i="197"/>
  <c r="N30" i="197"/>
  <c r="J30" i="197"/>
  <c r="H32" i="197"/>
  <c r="L32" i="197" s="1"/>
  <c r="L30" i="197"/>
  <c r="L26" i="197"/>
  <c r="J21" i="197"/>
  <c r="H67" i="197"/>
  <c r="J17" i="197"/>
  <c r="N17" i="197"/>
  <c r="J100" i="196"/>
  <c r="N100" i="196" s="1"/>
  <c r="H143" i="196"/>
  <c r="F106" i="197"/>
  <c r="J37" i="197"/>
  <c r="J50" i="196"/>
  <c r="N50" i="196" s="1"/>
  <c r="N40" i="197"/>
  <c r="J40" i="197"/>
  <c r="F45" i="197"/>
  <c r="K148" i="196"/>
  <c r="E67" i="197"/>
  <c r="K96" i="196"/>
  <c r="G96" i="196" s="1"/>
  <c r="I30" i="196"/>
  <c r="M30" i="196" s="1"/>
  <c r="J26" i="196"/>
  <c r="N26" i="196" s="1"/>
  <c r="J92" i="196"/>
  <c r="K92" i="196"/>
  <c r="G92" i="196" s="1"/>
  <c r="G93" i="196" s="1"/>
  <c r="L73" i="196"/>
  <c r="J64" i="197"/>
  <c r="N64" i="197"/>
  <c r="I67" i="197"/>
  <c r="M26" i="197"/>
  <c r="G98" i="197"/>
  <c r="G85" i="197" s="1"/>
  <c r="I26" i="196"/>
  <c r="M26" i="196" s="1"/>
  <c r="G26" i="196"/>
  <c r="H34" i="196"/>
  <c r="L34" i="196" s="1"/>
  <c r="H50" i="196"/>
  <c r="L50" i="196" s="1"/>
  <c r="J54" i="197"/>
  <c r="N54" i="197"/>
  <c r="J60" i="197"/>
  <c r="N60" i="197"/>
  <c r="I98" i="197"/>
  <c r="I85" i="197" s="1"/>
  <c r="J143" i="196"/>
  <c r="K98" i="196"/>
  <c r="G98" i="196" s="1"/>
  <c r="H98" i="196"/>
  <c r="H98" i="197"/>
  <c r="H85" i="197" s="1"/>
  <c r="K140" i="196"/>
  <c r="G140" i="196" s="1"/>
  <c r="K113" i="196"/>
  <c r="G113" i="196" s="1"/>
  <c r="J19" i="196"/>
  <c r="H19" i="196"/>
  <c r="I34" i="196"/>
  <c r="M34" i="196" s="1"/>
  <c r="I50" i="196"/>
  <c r="M50" i="196" s="1"/>
  <c r="G50" i="196"/>
  <c r="K50" i="196" s="1"/>
  <c r="J32" i="197"/>
  <c r="F105" i="197"/>
  <c r="I115" i="196"/>
  <c r="J115" i="196"/>
  <c r="H115" i="196"/>
  <c r="G115" i="196"/>
  <c r="J53" i="197"/>
  <c r="N53" i="197"/>
  <c r="F158" i="196"/>
  <c r="F161" i="196" s="1"/>
  <c r="K123" i="196"/>
  <c r="G123" i="196" s="1"/>
  <c r="H123" i="196"/>
  <c r="K65" i="197"/>
  <c r="H131" i="196"/>
  <c r="F109" i="197"/>
  <c r="J6" i="197"/>
  <c r="N6" i="197"/>
  <c r="F26" i="197"/>
  <c r="I143" i="196"/>
  <c r="K97" i="196"/>
  <c r="G97" i="196" s="1"/>
  <c r="H97" i="196"/>
  <c r="K139" i="196"/>
  <c r="G139" i="196" s="1"/>
  <c r="I93" i="196"/>
  <c r="M93" i="196" s="1"/>
  <c r="H26" i="196"/>
  <c r="L26" i="196" s="1"/>
  <c r="H96" i="196"/>
  <c r="J34" i="196"/>
  <c r="N34" i="196" s="1"/>
  <c r="N30" i="196"/>
  <c r="J79" i="197"/>
  <c r="N79" i="197"/>
  <c r="H119" i="196"/>
  <c r="K119" i="196"/>
  <c r="G119" i="196" s="1"/>
  <c r="M65" i="197"/>
  <c r="N51" i="197"/>
  <c r="F65" i="197"/>
  <c r="J51" i="197"/>
  <c r="H92" i="196"/>
  <c r="K26" i="197"/>
  <c r="G67" i="197"/>
  <c r="N52" i="197"/>
  <c r="J52" i="197"/>
  <c r="J112" i="196"/>
  <c r="I112" i="196"/>
  <c r="H112" i="196"/>
  <c r="G112" i="196"/>
  <c r="I19" i="196"/>
  <c r="J80" i="197"/>
  <c r="N80" i="197"/>
  <c r="Q86" i="197"/>
  <c r="L96" i="26" s="1"/>
  <c r="S86" i="197"/>
  <c r="N96" i="26" s="1"/>
  <c r="R86" i="197"/>
  <c r="M96" i="26" s="1"/>
  <c r="I100" i="196"/>
  <c r="M100" i="196" s="1"/>
  <c r="F95" i="197"/>
  <c r="F98" i="197" s="1"/>
  <c r="N76" i="197"/>
  <c r="N41" i="197"/>
  <c r="N71" i="197"/>
  <c r="N43" i="197"/>
  <c r="J43" i="197"/>
  <c r="K149" i="196"/>
  <c r="P7" i="196"/>
  <c r="R7" i="196"/>
  <c r="S7" i="196"/>
  <c r="G143" i="196" l="1"/>
  <c r="K143" i="196" s="1"/>
  <c r="L67" i="197"/>
  <c r="F166" i="196"/>
  <c r="M19" i="196"/>
  <c r="I52" i="196"/>
  <c r="J52" i="196"/>
  <c r="N19" i="196"/>
  <c r="K26" i="196"/>
  <c r="G52" i="196"/>
  <c r="L143" i="196"/>
  <c r="H93" i="196"/>
  <c r="H116" i="196"/>
  <c r="L116" i="196" s="1"/>
  <c r="F67" i="197"/>
  <c r="F104" i="197"/>
  <c r="J26" i="197"/>
  <c r="G116" i="196"/>
  <c r="K116" i="196" s="1"/>
  <c r="M67" i="197"/>
  <c r="F107" i="197"/>
  <c r="J45" i="197"/>
  <c r="F108" i="197"/>
  <c r="J65" i="197"/>
  <c r="N143" i="196"/>
  <c r="K73" i="196"/>
  <c r="G73" i="196" s="1"/>
  <c r="H73" i="196"/>
  <c r="T86" i="197"/>
  <c r="J116" i="196"/>
  <c r="N116" i="196" s="1"/>
  <c r="K67" i="197"/>
  <c r="J93" i="196"/>
  <c r="K93" i="196"/>
  <c r="M143" i="196"/>
  <c r="H100" i="196"/>
  <c r="L100" i="196" s="1"/>
  <c r="H52" i="196"/>
  <c r="L19" i="196"/>
  <c r="F85" i="197"/>
  <c r="G95" i="26" s="1"/>
  <c r="G100" i="196"/>
  <c r="K100" i="196" s="1"/>
  <c r="I116" i="196"/>
  <c r="M116" i="196" s="1"/>
  <c r="N85" i="197" l="1"/>
  <c r="J85" i="197"/>
  <c r="J67" i="197"/>
  <c r="K52" i="196"/>
  <c r="N52" i="196"/>
  <c r="N93" i="196"/>
  <c r="L93" i="196"/>
  <c r="L52" i="196"/>
  <c r="M52" i="196"/>
  <c r="O84" i="197" l="1"/>
  <c r="O83" i="197"/>
  <c r="O85" i="197" l="1"/>
  <c r="S83" i="197"/>
  <c r="R83" i="197"/>
  <c r="Q83" i="197"/>
  <c r="T83" i="197" l="1"/>
  <c r="P85" i="197"/>
  <c r="M67" i="196" l="1"/>
  <c r="I67" i="196" s="1"/>
  <c r="I57" i="196"/>
  <c r="K57" i="196"/>
  <c r="G57" i="196" s="1"/>
  <c r="L67" i="196"/>
  <c r="H57" i="196"/>
  <c r="N67" i="196"/>
  <c r="J67" i="196" s="1"/>
  <c r="J57" i="196"/>
  <c r="H67" i="196" l="1"/>
  <c r="K67" i="196"/>
  <c r="G67" i="196" s="1"/>
  <c r="N339" i="191" l="1"/>
  <c r="M339" i="191"/>
  <c r="L339" i="191"/>
  <c r="K339" i="191"/>
  <c r="J339" i="191"/>
  <c r="I339" i="191"/>
  <c r="H339" i="191"/>
  <c r="O338" i="191"/>
  <c r="O337" i="191"/>
  <c r="O336" i="191"/>
  <c r="O335" i="191"/>
  <c r="O334" i="191"/>
  <c r="O333" i="191"/>
  <c r="O332" i="191"/>
  <c r="O331" i="191"/>
  <c r="O330" i="191"/>
  <c r="O329" i="191"/>
  <c r="O328" i="191"/>
  <c r="O327" i="191"/>
  <c r="O326" i="191"/>
  <c r="O325" i="191"/>
  <c r="O324" i="191"/>
  <c r="O323" i="191"/>
  <c r="O322" i="191"/>
  <c r="O321" i="191"/>
  <c r="O320" i="191"/>
  <c r="O319" i="191"/>
  <c r="O318" i="191"/>
  <c r="O317" i="191"/>
  <c r="O316" i="191"/>
  <c r="O315" i="191"/>
  <c r="O314" i="191"/>
  <c r="O313" i="191"/>
  <c r="O312" i="191"/>
  <c r="O311" i="191"/>
  <c r="O310" i="191"/>
  <c r="O309" i="191"/>
  <c r="O308" i="191"/>
  <c r="O307" i="191"/>
  <c r="O306" i="191"/>
  <c r="O305" i="191"/>
  <c r="O304" i="191"/>
  <c r="O303" i="191"/>
  <c r="O302" i="191"/>
  <c r="O301" i="191"/>
  <c r="O300" i="191"/>
  <c r="O299" i="191"/>
  <c r="O298" i="191"/>
  <c r="O297" i="191"/>
  <c r="O296" i="191"/>
  <c r="O295" i="191"/>
  <c r="O294" i="191"/>
  <c r="O293" i="191"/>
  <c r="O292" i="191"/>
  <c r="O291" i="191"/>
  <c r="O290" i="191"/>
  <c r="O289" i="191"/>
  <c r="O288" i="191"/>
  <c r="O287" i="191"/>
  <c r="O286" i="191"/>
  <c r="O285" i="191"/>
  <c r="O284" i="191"/>
  <c r="O283" i="191"/>
  <c r="O282" i="191"/>
  <c r="O281" i="191"/>
  <c r="O280" i="191"/>
  <c r="O279" i="191"/>
  <c r="O278" i="191"/>
  <c r="O277" i="191"/>
  <c r="O276" i="191"/>
  <c r="O275" i="191"/>
  <c r="O274" i="191"/>
  <c r="O273" i="191"/>
  <c r="O272" i="191"/>
  <c r="O271" i="191"/>
  <c r="O270" i="191"/>
  <c r="O269" i="191"/>
  <c r="O268" i="191"/>
  <c r="O267" i="191"/>
  <c r="O266" i="191"/>
  <c r="O265" i="191"/>
  <c r="O264" i="191"/>
  <c r="O263" i="191"/>
  <c r="O262" i="191"/>
  <c r="O261" i="191"/>
  <c r="O260" i="191"/>
  <c r="O259" i="191"/>
  <c r="O258" i="191"/>
  <c r="O257" i="191"/>
  <c r="O256" i="191"/>
  <c r="O255" i="191"/>
  <c r="O254" i="191"/>
  <c r="O253" i="191"/>
  <c r="O252" i="191"/>
  <c r="O251" i="191"/>
  <c r="O250" i="191"/>
  <c r="O249" i="191"/>
  <c r="O248" i="191"/>
  <c r="O247" i="191"/>
  <c r="O246" i="191"/>
  <c r="O245" i="191"/>
  <c r="O244" i="191"/>
  <c r="O243" i="191"/>
  <c r="O242" i="191"/>
  <c r="O241" i="191"/>
  <c r="O240" i="191"/>
  <c r="O239" i="191"/>
  <c r="O238" i="191"/>
  <c r="O237" i="191"/>
  <c r="O236" i="191"/>
  <c r="O235" i="191"/>
  <c r="O234" i="191"/>
  <c r="O233" i="191"/>
  <c r="O232" i="191"/>
  <c r="O231" i="191"/>
  <c r="O230" i="191"/>
  <c r="O229" i="191"/>
  <c r="O228" i="191"/>
  <c r="O227" i="191"/>
  <c r="O226" i="191"/>
  <c r="O225" i="191"/>
  <c r="O224" i="191"/>
  <c r="O223" i="191"/>
  <c r="O222" i="191"/>
  <c r="O221" i="191"/>
  <c r="O220" i="191"/>
  <c r="O219" i="191"/>
  <c r="O218" i="191"/>
  <c r="O217" i="191"/>
  <c r="O216" i="191"/>
  <c r="O215" i="191"/>
  <c r="O214" i="191"/>
  <c r="O213" i="191"/>
  <c r="O212" i="191"/>
  <c r="O211" i="191"/>
  <c r="O210" i="191"/>
  <c r="O209" i="191"/>
  <c r="O208" i="191"/>
  <c r="O207" i="191"/>
  <c r="O206" i="191"/>
  <c r="O205" i="191"/>
  <c r="O204" i="191"/>
  <c r="O203" i="191"/>
  <c r="O202" i="191"/>
  <c r="O201" i="191"/>
  <c r="O200" i="191"/>
  <c r="O199" i="191"/>
  <c r="O198" i="191"/>
  <c r="O197" i="191"/>
  <c r="O196" i="191"/>
  <c r="O195" i="191"/>
  <c r="O194" i="191"/>
  <c r="O193" i="191"/>
  <c r="O192" i="191"/>
  <c r="O191" i="191"/>
  <c r="O190" i="191"/>
  <c r="O189" i="191"/>
  <c r="O188" i="191"/>
  <c r="O187" i="191"/>
  <c r="O186" i="191"/>
  <c r="O185" i="191"/>
  <c r="O184" i="191"/>
  <c r="O183" i="191"/>
  <c r="O182" i="191"/>
  <c r="O181" i="191"/>
  <c r="O180" i="191"/>
  <c r="O179" i="191"/>
  <c r="O178" i="191"/>
  <c r="O177" i="191"/>
  <c r="O176" i="191"/>
  <c r="O175" i="191"/>
  <c r="O174" i="191"/>
  <c r="O173" i="191"/>
  <c r="O172" i="191"/>
  <c r="O171" i="191"/>
  <c r="O170" i="191"/>
  <c r="O169" i="191"/>
  <c r="O168" i="191"/>
  <c r="O167" i="191"/>
  <c r="O166" i="191"/>
  <c r="O165" i="191"/>
  <c r="O164" i="191"/>
  <c r="O163" i="191"/>
  <c r="O162" i="191"/>
  <c r="O161" i="191"/>
  <c r="O160" i="191"/>
  <c r="O159" i="191"/>
  <c r="O158" i="191"/>
  <c r="O157" i="191"/>
  <c r="O156" i="191"/>
  <c r="O155" i="191"/>
  <c r="O154" i="191"/>
  <c r="O153" i="191"/>
  <c r="O152" i="191"/>
  <c r="O151" i="191"/>
  <c r="O150" i="191"/>
  <c r="O149" i="191"/>
  <c r="O148" i="191"/>
  <c r="O147" i="191"/>
  <c r="O146" i="191"/>
  <c r="O145" i="191"/>
  <c r="O144" i="191"/>
  <c r="O143" i="191"/>
  <c r="O142" i="191"/>
  <c r="O141" i="191"/>
  <c r="O140" i="191"/>
  <c r="O139" i="191"/>
  <c r="O138" i="191"/>
  <c r="O137" i="191"/>
  <c r="O136" i="191"/>
  <c r="O135" i="191"/>
  <c r="O134" i="191"/>
  <c r="O133" i="191"/>
  <c r="O132" i="191"/>
  <c r="O131" i="191"/>
  <c r="O130" i="191"/>
  <c r="O129" i="191"/>
  <c r="O128" i="191"/>
  <c r="O127" i="191"/>
  <c r="O126" i="191"/>
  <c r="O125" i="191"/>
  <c r="O124" i="191"/>
  <c r="O123" i="191"/>
  <c r="O122" i="191"/>
  <c r="O121" i="191"/>
  <c r="O120" i="191"/>
  <c r="O119" i="191"/>
  <c r="O118" i="191"/>
  <c r="O117" i="191"/>
  <c r="O116" i="191"/>
  <c r="O115" i="191"/>
  <c r="O114" i="191"/>
  <c r="O113" i="191"/>
  <c r="O112" i="191"/>
  <c r="O111" i="191"/>
  <c r="O110" i="191"/>
  <c r="O109" i="191"/>
  <c r="O108" i="191"/>
  <c r="O107" i="191"/>
  <c r="O106" i="191"/>
  <c r="O105" i="191"/>
  <c r="O104" i="191"/>
  <c r="O103" i="191"/>
  <c r="O102" i="191"/>
  <c r="O101" i="191"/>
  <c r="O100" i="191"/>
  <c r="O99" i="191"/>
  <c r="O98" i="191"/>
  <c r="O97" i="191"/>
  <c r="O96" i="191"/>
  <c r="O95" i="191"/>
  <c r="O94" i="191"/>
  <c r="O93" i="191"/>
  <c r="O92" i="191"/>
  <c r="O91" i="191"/>
  <c r="O90" i="191"/>
  <c r="O89" i="191"/>
  <c r="O88" i="191"/>
  <c r="O87" i="191"/>
  <c r="O86" i="191"/>
  <c r="O85" i="191"/>
  <c r="O84" i="191"/>
  <c r="O83" i="191"/>
  <c r="O82" i="191"/>
  <c r="O81" i="191"/>
  <c r="O80" i="191"/>
  <c r="O79" i="191"/>
  <c r="O78" i="191"/>
  <c r="O77" i="191"/>
  <c r="O76" i="191"/>
  <c r="O75" i="191"/>
  <c r="O74" i="191"/>
  <c r="O73" i="191"/>
  <c r="O72" i="191"/>
  <c r="O71" i="191"/>
  <c r="O70" i="191"/>
  <c r="O69" i="191"/>
  <c r="O68" i="191"/>
  <c r="O67" i="191"/>
  <c r="O66" i="191"/>
  <c r="O65" i="191"/>
  <c r="O64" i="191"/>
  <c r="O63" i="191"/>
  <c r="O62" i="191"/>
  <c r="O61" i="191"/>
  <c r="O60" i="191"/>
  <c r="O59" i="191"/>
  <c r="O58" i="191"/>
  <c r="O57" i="191"/>
  <c r="O56" i="191"/>
  <c r="O55" i="191"/>
  <c r="O54" i="191"/>
  <c r="O53" i="191"/>
  <c r="O52" i="191"/>
  <c r="O51" i="191"/>
  <c r="O50" i="191"/>
  <c r="O49" i="191"/>
  <c r="O48" i="191"/>
  <c r="O47" i="191"/>
  <c r="O46" i="191"/>
  <c r="O45" i="191"/>
  <c r="O44" i="191"/>
  <c r="O43" i="191"/>
  <c r="O42" i="191"/>
  <c r="O41" i="191"/>
  <c r="O40" i="191"/>
  <c r="O39" i="191"/>
  <c r="O38" i="191"/>
  <c r="O37" i="191"/>
  <c r="O36" i="191"/>
  <c r="O35" i="191"/>
  <c r="O34" i="191"/>
  <c r="O33" i="191"/>
  <c r="O32" i="191"/>
  <c r="O31" i="191"/>
  <c r="O30" i="191"/>
  <c r="O29" i="191"/>
  <c r="O28" i="191"/>
  <c r="O27" i="191"/>
  <c r="O26" i="191"/>
  <c r="O25" i="191"/>
  <c r="O24" i="191"/>
  <c r="O23" i="191"/>
  <c r="O22" i="191"/>
  <c r="O21" i="191"/>
  <c r="O20" i="191"/>
  <c r="O19" i="191"/>
  <c r="O18" i="191"/>
  <c r="O17" i="191"/>
  <c r="O16" i="191"/>
  <c r="O15" i="191"/>
  <c r="O14" i="191"/>
  <c r="O13" i="191"/>
  <c r="O12" i="191"/>
  <c r="O11" i="191"/>
  <c r="O10" i="191"/>
  <c r="O9" i="191"/>
  <c r="A9" i="191"/>
  <c r="P9" i="191" s="1"/>
  <c r="P8" i="191"/>
  <c r="O8" i="191"/>
  <c r="A8" i="191"/>
  <c r="P7" i="191"/>
  <c r="O7" i="191"/>
  <c r="C219" i="147"/>
  <c r="C217" i="147"/>
  <c r="C216" i="147"/>
  <c r="M136" i="189"/>
  <c r="M135" i="189"/>
  <c r="K135" i="189"/>
  <c r="J135" i="189"/>
  <c r="I135" i="189"/>
  <c r="H135" i="189"/>
  <c r="M134" i="189"/>
  <c r="K134" i="189"/>
  <c r="K136" i="189" s="1"/>
  <c r="J134" i="189"/>
  <c r="J136" i="189" s="1"/>
  <c r="I134" i="189"/>
  <c r="I136" i="189" s="1"/>
  <c r="H134" i="189"/>
  <c r="H136" i="189" s="1"/>
  <c r="M133" i="189"/>
  <c r="L133" i="189"/>
  <c r="M132" i="189"/>
  <c r="L132" i="189"/>
  <c r="M131" i="189"/>
  <c r="L131" i="189"/>
  <c r="M130" i="189"/>
  <c r="L130" i="189"/>
  <c r="M129" i="189"/>
  <c r="L129" i="189"/>
  <c r="M128" i="189"/>
  <c r="L128" i="189"/>
  <c r="M127" i="189"/>
  <c r="L127" i="189"/>
  <c r="M126" i="189"/>
  <c r="L126" i="189"/>
  <c r="M125" i="189"/>
  <c r="L125" i="189"/>
  <c r="M124" i="189"/>
  <c r="L124" i="189"/>
  <c r="M123" i="189"/>
  <c r="L123" i="189"/>
  <c r="M122" i="189"/>
  <c r="L122" i="189"/>
  <c r="M121" i="189"/>
  <c r="L121" i="189"/>
  <c r="M120" i="189"/>
  <c r="L120" i="189"/>
  <c r="M119" i="189"/>
  <c r="L119" i="189"/>
  <c r="M118" i="189"/>
  <c r="L118" i="189"/>
  <c r="M117" i="189"/>
  <c r="L117" i="189"/>
  <c r="M116" i="189"/>
  <c r="L116" i="189"/>
  <c r="M115" i="189"/>
  <c r="L115" i="189"/>
  <c r="M114" i="189"/>
  <c r="L114" i="189"/>
  <c r="M113" i="189"/>
  <c r="L113" i="189"/>
  <c r="M112" i="189"/>
  <c r="L112" i="189"/>
  <c r="M111" i="189"/>
  <c r="L111" i="189"/>
  <c r="M110" i="189"/>
  <c r="L110" i="189"/>
  <c r="M109" i="189"/>
  <c r="L109" i="189"/>
  <c r="M108" i="189"/>
  <c r="L108" i="189"/>
  <c r="M107" i="189"/>
  <c r="L107" i="189"/>
  <c r="M106" i="189"/>
  <c r="L106" i="189"/>
  <c r="M105" i="189"/>
  <c r="L105" i="189"/>
  <c r="M104" i="189"/>
  <c r="L104" i="189"/>
  <c r="M103" i="189"/>
  <c r="L103" i="189"/>
  <c r="M102" i="189"/>
  <c r="L102" i="189"/>
  <c r="M101" i="189"/>
  <c r="L101" i="189"/>
  <c r="M100" i="189"/>
  <c r="L100" i="189"/>
  <c r="M99" i="189"/>
  <c r="L99" i="189"/>
  <c r="M98" i="189"/>
  <c r="L98" i="189"/>
  <c r="M97" i="189"/>
  <c r="L97" i="189"/>
  <c r="M96" i="189"/>
  <c r="L96" i="189"/>
  <c r="M95" i="189"/>
  <c r="L95" i="189"/>
  <c r="M94" i="189"/>
  <c r="L94" i="189"/>
  <c r="M93" i="189"/>
  <c r="L93" i="189"/>
  <c r="M92" i="189"/>
  <c r="L92" i="189"/>
  <c r="M91" i="189"/>
  <c r="L91" i="189"/>
  <c r="M90" i="189"/>
  <c r="L90" i="189"/>
  <c r="M89" i="189"/>
  <c r="L89" i="189"/>
  <c r="M88" i="189"/>
  <c r="L88" i="189"/>
  <c r="M87" i="189"/>
  <c r="L87" i="189"/>
  <c r="M86" i="189"/>
  <c r="L86" i="189"/>
  <c r="M85" i="189"/>
  <c r="L85" i="189"/>
  <c r="M84" i="189"/>
  <c r="L84" i="189"/>
  <c r="M83" i="189"/>
  <c r="L83" i="189"/>
  <c r="M82" i="189"/>
  <c r="L82" i="189"/>
  <c r="M81" i="189"/>
  <c r="L81" i="189"/>
  <c r="M80" i="189"/>
  <c r="L80" i="189"/>
  <c r="M79" i="189"/>
  <c r="L79" i="189"/>
  <c r="M78" i="189"/>
  <c r="L78" i="189"/>
  <c r="M77" i="189"/>
  <c r="L77" i="189"/>
  <c r="M76" i="189"/>
  <c r="L76" i="189"/>
  <c r="M75" i="189"/>
  <c r="L75" i="189"/>
  <c r="M74" i="189"/>
  <c r="L74" i="189"/>
  <c r="M73" i="189"/>
  <c r="L73" i="189"/>
  <c r="M72" i="189"/>
  <c r="L72" i="189"/>
  <c r="M71" i="189"/>
  <c r="L71" i="189"/>
  <c r="M70" i="189"/>
  <c r="L70" i="189"/>
  <c r="M69" i="189"/>
  <c r="L69" i="189"/>
  <c r="M68" i="189"/>
  <c r="L68" i="189"/>
  <c r="M67" i="189"/>
  <c r="L67" i="189"/>
  <c r="M66" i="189"/>
  <c r="L66" i="189"/>
  <c r="M65" i="189"/>
  <c r="L65" i="189"/>
  <c r="M64" i="189"/>
  <c r="L64" i="189"/>
  <c r="M63" i="189"/>
  <c r="L63" i="189"/>
  <c r="M62" i="189"/>
  <c r="L62" i="189"/>
  <c r="M61" i="189"/>
  <c r="L61" i="189"/>
  <c r="M60" i="189"/>
  <c r="L60" i="189"/>
  <c r="M59" i="189"/>
  <c r="L59" i="189"/>
  <c r="M58" i="189"/>
  <c r="L58" i="189"/>
  <c r="M57" i="189"/>
  <c r="L57" i="189"/>
  <c r="M56" i="189"/>
  <c r="L56" i="189"/>
  <c r="M55" i="189"/>
  <c r="L55" i="189"/>
  <c r="M54" i="189"/>
  <c r="L54" i="189"/>
  <c r="M53" i="189"/>
  <c r="L53" i="189"/>
  <c r="M52" i="189"/>
  <c r="L52" i="189"/>
  <c r="M51" i="189"/>
  <c r="L51" i="189"/>
  <c r="M50" i="189"/>
  <c r="L50" i="189"/>
  <c r="M49" i="189"/>
  <c r="L49" i="189"/>
  <c r="M48" i="189"/>
  <c r="L48" i="189"/>
  <c r="M47" i="189"/>
  <c r="L47" i="189"/>
  <c r="M46" i="189"/>
  <c r="L46" i="189"/>
  <c r="M45" i="189"/>
  <c r="L45" i="189"/>
  <c r="M44" i="189"/>
  <c r="L44" i="189"/>
  <c r="M43" i="189"/>
  <c r="L43" i="189"/>
  <c r="M42" i="189"/>
  <c r="L42" i="189"/>
  <c r="M41" i="189"/>
  <c r="L41" i="189"/>
  <c r="M40" i="189"/>
  <c r="L40" i="189"/>
  <c r="M39" i="189"/>
  <c r="L39" i="189"/>
  <c r="M38" i="189"/>
  <c r="L38" i="189"/>
  <c r="M37" i="189"/>
  <c r="L37" i="189"/>
  <c r="M36" i="189"/>
  <c r="L36" i="189"/>
  <c r="M35" i="189"/>
  <c r="L35" i="189"/>
  <c r="M34" i="189"/>
  <c r="L34" i="189"/>
  <c r="M33" i="189"/>
  <c r="L33" i="189"/>
  <c r="M32" i="189"/>
  <c r="L32" i="189"/>
  <c r="M31" i="189"/>
  <c r="L31" i="189"/>
  <c r="M30" i="189"/>
  <c r="L30" i="189"/>
  <c r="M29" i="189"/>
  <c r="L29" i="189"/>
  <c r="M28" i="189"/>
  <c r="L28" i="189"/>
  <c r="M27" i="189"/>
  <c r="L27" i="189"/>
  <c r="M26" i="189"/>
  <c r="L26" i="189"/>
  <c r="M25" i="189"/>
  <c r="L25" i="189"/>
  <c r="L135" i="189" s="1"/>
  <c r="M24" i="189"/>
  <c r="L24" i="189"/>
  <c r="M23" i="189"/>
  <c r="L23" i="189"/>
  <c r="A23" i="189"/>
  <c r="A24" i="189" s="1"/>
  <c r="A25" i="189" s="1"/>
  <c r="A26" i="189" s="1"/>
  <c r="A27" i="189" s="1"/>
  <c r="A28" i="189" s="1"/>
  <c r="A29" i="189" s="1"/>
  <c r="A30" i="189" s="1"/>
  <c r="A31" i="189" s="1"/>
  <c r="A32" i="189" s="1"/>
  <c r="A33" i="189" s="1"/>
  <c r="A34" i="189" s="1"/>
  <c r="A35" i="189" s="1"/>
  <c r="A36" i="189" s="1"/>
  <c r="A37" i="189" s="1"/>
  <c r="A38" i="189" s="1"/>
  <c r="A39" i="189" s="1"/>
  <c r="A40" i="189" s="1"/>
  <c r="A41" i="189" s="1"/>
  <c r="A42" i="189" s="1"/>
  <c r="A43" i="189" s="1"/>
  <c r="A44" i="189" s="1"/>
  <c r="A45" i="189" s="1"/>
  <c r="A46" i="189" s="1"/>
  <c r="A47" i="189" s="1"/>
  <c r="A48" i="189" s="1"/>
  <c r="A49" i="189" s="1"/>
  <c r="A50" i="189" s="1"/>
  <c r="A51" i="189" s="1"/>
  <c r="A52" i="189" s="1"/>
  <c r="A53" i="189" s="1"/>
  <c r="A54" i="189" s="1"/>
  <c r="A55" i="189" s="1"/>
  <c r="A56" i="189" s="1"/>
  <c r="A57" i="189" s="1"/>
  <c r="A58" i="189" s="1"/>
  <c r="A59" i="189" s="1"/>
  <c r="A60" i="189" s="1"/>
  <c r="A61" i="189" s="1"/>
  <c r="A62" i="189" s="1"/>
  <c r="A63" i="189" s="1"/>
  <c r="A64" i="189" s="1"/>
  <c r="A65" i="189" s="1"/>
  <c r="A66" i="189" s="1"/>
  <c r="A67" i="189" s="1"/>
  <c r="A68" i="189" s="1"/>
  <c r="A69" i="189" s="1"/>
  <c r="A70" i="189" s="1"/>
  <c r="A71" i="189" s="1"/>
  <c r="A72" i="189" s="1"/>
  <c r="A73" i="189" s="1"/>
  <c r="A74" i="189" s="1"/>
  <c r="A75" i="189" s="1"/>
  <c r="A76" i="189" s="1"/>
  <c r="A77" i="189" s="1"/>
  <c r="A78" i="189" s="1"/>
  <c r="A79" i="189" s="1"/>
  <c r="A80" i="189" s="1"/>
  <c r="A81" i="189" s="1"/>
  <c r="A82" i="189" s="1"/>
  <c r="A83" i="189" s="1"/>
  <c r="A84" i="189" s="1"/>
  <c r="A85" i="189" s="1"/>
  <c r="A86" i="189" s="1"/>
  <c r="A87" i="189" s="1"/>
  <c r="A88" i="189" s="1"/>
  <c r="A89" i="189" s="1"/>
  <c r="A90" i="189" s="1"/>
  <c r="A91" i="189" s="1"/>
  <c r="A92" i="189" s="1"/>
  <c r="A93" i="189" s="1"/>
  <c r="A94" i="189" s="1"/>
  <c r="A95" i="189" s="1"/>
  <c r="A96" i="189" s="1"/>
  <c r="A97" i="189" s="1"/>
  <c r="A98" i="189" s="1"/>
  <c r="A99" i="189" s="1"/>
  <c r="A100" i="189" s="1"/>
  <c r="A101" i="189" s="1"/>
  <c r="A102" i="189" s="1"/>
  <c r="A103" i="189" s="1"/>
  <c r="A104" i="189" s="1"/>
  <c r="A105" i="189" s="1"/>
  <c r="A106" i="189" s="1"/>
  <c r="A107" i="189" s="1"/>
  <c r="A108" i="189" s="1"/>
  <c r="A109" i="189" s="1"/>
  <c r="A110" i="189" s="1"/>
  <c r="A111" i="189" s="1"/>
  <c r="A112" i="189" s="1"/>
  <c r="A113" i="189" s="1"/>
  <c r="A114" i="189" s="1"/>
  <c r="A115" i="189" s="1"/>
  <c r="A116" i="189" s="1"/>
  <c r="A117" i="189" s="1"/>
  <c r="A118" i="189" s="1"/>
  <c r="A119" i="189" s="1"/>
  <c r="A120" i="189" s="1"/>
  <c r="A121" i="189" s="1"/>
  <c r="A122" i="189" s="1"/>
  <c r="A123" i="189" s="1"/>
  <c r="A124" i="189" s="1"/>
  <c r="A125" i="189" s="1"/>
  <c r="A126" i="189" s="1"/>
  <c r="A127" i="189" s="1"/>
  <c r="A128" i="189" s="1"/>
  <c r="A129" i="189" s="1"/>
  <c r="A130" i="189" s="1"/>
  <c r="A131" i="189" s="1"/>
  <c r="A132" i="189" s="1"/>
  <c r="A133" i="189" s="1"/>
  <c r="M22" i="189"/>
  <c r="L22" i="189"/>
  <c r="M21" i="189"/>
  <c r="L21" i="189"/>
  <c r="M20" i="189"/>
  <c r="L20" i="189"/>
  <c r="M19" i="189"/>
  <c r="L19" i="189"/>
  <c r="M18" i="189"/>
  <c r="L18" i="189"/>
  <c r="M17" i="189"/>
  <c r="M16" i="189"/>
  <c r="M15" i="189"/>
  <c r="L15" i="189"/>
  <c r="M14" i="189"/>
  <c r="L14" i="189"/>
  <c r="M13" i="189"/>
  <c r="L13" i="189"/>
  <c r="M12" i="189"/>
  <c r="L12" i="189"/>
  <c r="M11" i="189"/>
  <c r="L11" i="189"/>
  <c r="M10" i="189"/>
  <c r="L10" i="189"/>
  <c r="L134" i="189" s="1"/>
  <c r="M9" i="189"/>
  <c r="L9" i="189"/>
  <c r="D11" i="188"/>
  <c r="C11" i="188"/>
  <c r="D9" i="188"/>
  <c r="C9" i="188"/>
  <c r="D8" i="188"/>
  <c r="C8" i="188"/>
  <c r="D7" i="188"/>
  <c r="C7" i="188"/>
  <c r="D6" i="188"/>
  <c r="C6" i="188"/>
  <c r="D5" i="188"/>
  <c r="C5" i="188"/>
  <c r="D4" i="188"/>
  <c r="C4" i="188"/>
  <c r="D122" i="145"/>
  <c r="C122" i="145"/>
  <c r="D121" i="145"/>
  <c r="C121" i="145"/>
  <c r="D120" i="145"/>
  <c r="D123" i="145" s="1"/>
  <c r="D124" i="145" s="1"/>
  <c r="C120" i="145"/>
  <c r="D119" i="145"/>
  <c r="C119" i="145"/>
  <c r="C128" i="145" s="1"/>
  <c r="D118" i="145"/>
  <c r="C118" i="145"/>
  <c r="C130" i="145" s="1"/>
  <c r="D117" i="145"/>
  <c r="C117" i="145"/>
  <c r="D129" i="145"/>
  <c r="C17" i="188"/>
  <c r="D128" i="145"/>
  <c r="D130" i="145"/>
  <c r="D425" i="144"/>
  <c r="C425" i="144"/>
  <c r="D424" i="144"/>
  <c r="C424" i="144"/>
  <c r="D423" i="144"/>
  <c r="C423" i="144"/>
  <c r="D422" i="144"/>
  <c r="C422" i="144"/>
  <c r="C431" i="144" s="1"/>
  <c r="D421" i="144"/>
  <c r="D433" i="144" s="1"/>
  <c r="C421" i="144"/>
  <c r="C433" i="144" s="1"/>
  <c r="D420" i="144"/>
  <c r="D426" i="144" s="1"/>
  <c r="D427" i="144" s="1"/>
  <c r="C420" i="144"/>
  <c r="C426" i="144" s="1"/>
  <c r="C427" i="144" s="1"/>
  <c r="D431" i="144"/>
  <c r="D258" i="142"/>
  <c r="C258" i="142"/>
  <c r="D257" i="142"/>
  <c r="C257" i="142"/>
  <c r="D256" i="142"/>
  <c r="C256" i="142"/>
  <c r="D255" i="142"/>
  <c r="D264" i="142" s="1"/>
  <c r="C255" i="142"/>
  <c r="C264" i="142" s="1"/>
  <c r="C267" i="142" s="1"/>
  <c r="D254" i="142"/>
  <c r="D266" i="142" s="1"/>
  <c r="C254" i="142"/>
  <c r="C266" i="142" s="1"/>
  <c r="D253" i="142"/>
  <c r="D259" i="142" s="1"/>
  <c r="D260" i="142" s="1"/>
  <c r="C253" i="142"/>
  <c r="D327" i="143"/>
  <c r="D326" i="143"/>
  <c r="D325" i="143"/>
  <c r="D324" i="143"/>
  <c r="D323" i="143"/>
  <c r="D322" i="143"/>
  <c r="C327" i="143"/>
  <c r="C326" i="143"/>
  <c r="C325" i="143"/>
  <c r="C324" i="143"/>
  <c r="C323" i="143"/>
  <c r="C322" i="143"/>
  <c r="D265" i="142"/>
  <c r="C265" i="142"/>
  <c r="D46" i="141"/>
  <c r="E46" i="141" s="1"/>
  <c r="D45" i="141"/>
  <c r="D43" i="141"/>
  <c r="E43" i="141" s="1"/>
  <c r="D42" i="141"/>
  <c r="D41" i="141"/>
  <c r="E41" i="141" s="1"/>
  <c r="D40" i="141"/>
  <c r="E40" i="141" s="1"/>
  <c r="C46" i="141"/>
  <c r="C45" i="141"/>
  <c r="C44" i="141"/>
  <c r="E44" i="141" s="1"/>
  <c r="C43" i="141"/>
  <c r="C42" i="141"/>
  <c r="C41" i="141"/>
  <c r="C40" i="141"/>
  <c r="I171" i="136"/>
  <c r="I167" i="136"/>
  <c r="I165" i="136"/>
  <c r="I162" i="136"/>
  <c r="I170" i="136"/>
  <c r="I169" i="136"/>
  <c r="I166" i="136"/>
  <c r="J171" i="136"/>
  <c r="J170" i="136"/>
  <c r="J169" i="136"/>
  <c r="J168" i="136"/>
  <c r="J167" i="136"/>
  <c r="J166" i="136"/>
  <c r="J165" i="136"/>
  <c r="J163" i="136"/>
  <c r="K163" i="136" s="1"/>
  <c r="J162" i="136"/>
  <c r="D54" i="121"/>
  <c r="A10" i="191" l="1"/>
  <c r="O339" i="191"/>
  <c r="C221" i="147"/>
  <c r="C223" i="147" s="1"/>
  <c r="L136" i="189"/>
  <c r="C123" i="145"/>
  <c r="C124" i="145" s="1"/>
  <c r="D131" i="145"/>
  <c r="C129" i="145"/>
  <c r="C131" i="145" s="1"/>
  <c r="C432" i="144"/>
  <c r="C434" i="144" s="1"/>
  <c r="D432" i="144"/>
  <c r="D434" i="144" s="1"/>
  <c r="D267" i="142"/>
  <c r="C259" i="142"/>
  <c r="C260" i="142" s="1"/>
  <c r="C10" i="188"/>
  <c r="D10" i="188"/>
  <c r="D17" i="188"/>
  <c r="E42" i="141"/>
  <c r="E45" i="141"/>
  <c r="K162" i="136"/>
  <c r="K170" i="136"/>
  <c r="K167" i="136"/>
  <c r="K171" i="136"/>
  <c r="K169" i="136"/>
  <c r="K166" i="136"/>
  <c r="K165" i="136"/>
  <c r="P10" i="191" l="1"/>
  <c r="A11" i="191"/>
  <c r="F5" i="188"/>
  <c r="F4" i="188"/>
  <c r="E5" i="188"/>
  <c r="E4" i="188"/>
  <c r="A12" i="191" l="1"/>
  <c r="P11" i="191"/>
  <c r="A13" i="191" l="1"/>
  <c r="P12" i="191"/>
  <c r="P13" i="191" l="1"/>
  <c r="A14" i="191"/>
  <c r="A15" i="191" l="1"/>
  <c r="P14" i="191"/>
  <c r="A16" i="191" l="1"/>
  <c r="P15" i="191"/>
  <c r="P16" i="191" l="1"/>
  <c r="A17" i="191"/>
  <c r="P17" i="191" l="1"/>
  <c r="A18" i="191"/>
  <c r="P18" i="191" l="1"/>
  <c r="A19" i="191"/>
  <c r="A20" i="191" l="1"/>
  <c r="P19" i="191"/>
  <c r="A21" i="191" l="1"/>
  <c r="P20" i="191"/>
  <c r="A22" i="191" l="1"/>
  <c r="P21" i="191"/>
  <c r="A23" i="191" l="1"/>
  <c r="P22" i="191"/>
  <c r="A24" i="191" l="1"/>
  <c r="P23" i="191"/>
  <c r="P24" i="191" l="1"/>
  <c r="A25" i="191"/>
  <c r="P25" i="191" l="1"/>
  <c r="A26" i="191"/>
  <c r="P26" i="191" l="1"/>
  <c r="A27" i="191"/>
  <c r="A28" i="191" l="1"/>
  <c r="P27" i="191"/>
  <c r="A29" i="191" l="1"/>
  <c r="P28" i="191"/>
  <c r="P29" i="191" l="1"/>
  <c r="A30" i="191"/>
  <c r="A31" i="191" l="1"/>
  <c r="P30" i="191"/>
  <c r="A32" i="191" l="1"/>
  <c r="P31" i="191"/>
  <c r="P32" i="191" l="1"/>
  <c r="A33" i="191"/>
  <c r="P33" i="191" l="1"/>
  <c r="A34" i="191"/>
  <c r="P34" i="191" l="1"/>
  <c r="A35" i="191"/>
  <c r="A36" i="191" l="1"/>
  <c r="P35" i="191"/>
  <c r="A37" i="191" l="1"/>
  <c r="P36" i="191"/>
  <c r="P37" i="191" l="1"/>
  <c r="A38" i="191"/>
  <c r="A39" i="191" l="1"/>
  <c r="P38" i="191"/>
  <c r="A40" i="191" l="1"/>
  <c r="P39" i="191"/>
  <c r="P40" i="191" l="1"/>
  <c r="A41" i="191"/>
  <c r="P41" i="191" l="1"/>
  <c r="A42" i="191"/>
  <c r="P42" i="191" l="1"/>
  <c r="A43" i="191"/>
  <c r="A44" i="191" l="1"/>
  <c r="P43" i="191"/>
  <c r="A45" i="191" l="1"/>
  <c r="P44" i="191"/>
  <c r="P45" i="191" l="1"/>
  <c r="A46" i="191"/>
  <c r="A47" i="191" l="1"/>
  <c r="P46" i="191"/>
  <c r="A48" i="191" l="1"/>
  <c r="P47" i="191"/>
  <c r="P48" i="191" l="1"/>
  <c r="A49" i="191"/>
  <c r="P49" i="191" l="1"/>
  <c r="A50" i="191"/>
  <c r="P50" i="191" l="1"/>
  <c r="A51" i="191"/>
  <c r="A52" i="191" l="1"/>
  <c r="P51" i="191"/>
  <c r="A53" i="191" l="1"/>
  <c r="P52" i="191"/>
  <c r="O28" i="117"/>
  <c r="L28" i="117"/>
  <c r="O20" i="117"/>
  <c r="O23" i="117" s="1"/>
  <c r="P62" i="187"/>
  <c r="P61" i="187"/>
  <c r="P60" i="187"/>
  <c r="P59" i="187"/>
  <c r="P58" i="187"/>
  <c r="P57" i="187"/>
  <c r="P56" i="187"/>
  <c r="P55" i="187"/>
  <c r="P54" i="187"/>
  <c r="P53" i="187"/>
  <c r="P52" i="187"/>
  <c r="O395" i="96"/>
  <c r="N395" i="96"/>
  <c r="M395" i="96"/>
  <c r="L395" i="96"/>
  <c r="D90" i="113"/>
  <c r="N208" i="187"/>
  <c r="N48" i="187" s="1"/>
  <c r="M208" i="187"/>
  <c r="M51" i="187" s="1"/>
  <c r="L208" i="187"/>
  <c r="L46" i="187" s="1"/>
  <c r="N207" i="187"/>
  <c r="M207" i="187"/>
  <c r="L207" i="187"/>
  <c r="N206" i="187"/>
  <c r="M206" i="187"/>
  <c r="M60" i="187" s="1"/>
  <c r="L206" i="187"/>
  <c r="L55" i="187" s="1"/>
  <c r="N55" i="187" s="1"/>
  <c r="N49" i="187" l="1"/>
  <c r="M28" i="187"/>
  <c r="L31" i="187"/>
  <c r="N33" i="187"/>
  <c r="M61" i="187"/>
  <c r="P53" i="191"/>
  <c r="A54" i="191"/>
  <c r="M36" i="187"/>
  <c r="N17" i="187"/>
  <c r="L39" i="187"/>
  <c r="M20" i="187"/>
  <c r="N41" i="187"/>
  <c r="L23" i="187"/>
  <c r="M44" i="187"/>
  <c r="M53" i="187"/>
  <c r="N25" i="187"/>
  <c r="L47" i="187"/>
  <c r="L56" i="187"/>
  <c r="N56" i="187" s="1"/>
  <c r="L17" i="187"/>
  <c r="N19" i="187"/>
  <c r="M22" i="187"/>
  <c r="L25" i="187"/>
  <c r="N27" i="187"/>
  <c r="M30" i="187"/>
  <c r="L33" i="187"/>
  <c r="N35" i="187"/>
  <c r="M38" i="187"/>
  <c r="L41" i="187"/>
  <c r="N43" i="187"/>
  <c r="M46" i="187"/>
  <c r="L49" i="187"/>
  <c r="N51" i="187"/>
  <c r="M55" i="187"/>
  <c r="L58" i="187"/>
  <c r="N58" i="187" s="1"/>
  <c r="M17" i="187"/>
  <c r="L20" i="187"/>
  <c r="N22" i="187"/>
  <c r="M25" i="187"/>
  <c r="L28" i="187"/>
  <c r="N30" i="187"/>
  <c r="M33" i="187"/>
  <c r="L36" i="187"/>
  <c r="N38" i="187"/>
  <c r="M41" i="187"/>
  <c r="L44" i="187"/>
  <c r="N46" i="187"/>
  <c r="M49" i="187"/>
  <c r="L53" i="187"/>
  <c r="N53" i="187" s="1"/>
  <c r="M58" i="187"/>
  <c r="L61" i="187"/>
  <c r="N61" i="187" s="1"/>
  <c r="L18" i="187"/>
  <c r="N20" i="187"/>
  <c r="M23" i="187"/>
  <c r="L26" i="187"/>
  <c r="N28" i="187"/>
  <c r="M31" i="187"/>
  <c r="L34" i="187"/>
  <c r="N36" i="187"/>
  <c r="M39" i="187"/>
  <c r="L42" i="187"/>
  <c r="N44" i="187"/>
  <c r="M47" i="187"/>
  <c r="L50" i="187"/>
  <c r="M56" i="187"/>
  <c r="L59" i="187"/>
  <c r="N59" i="187" s="1"/>
  <c r="M18" i="187"/>
  <c r="L21" i="187"/>
  <c r="N23" i="187"/>
  <c r="M26" i="187"/>
  <c r="L29" i="187"/>
  <c r="N31" i="187"/>
  <c r="M34" i="187"/>
  <c r="L37" i="187"/>
  <c r="N39" i="187"/>
  <c r="M42" i="187"/>
  <c r="L45" i="187"/>
  <c r="N47" i="187"/>
  <c r="M50" i="187"/>
  <c r="L54" i="187"/>
  <c r="N54" i="187" s="1"/>
  <c r="M59" i="187"/>
  <c r="L62" i="187"/>
  <c r="N62" i="187" s="1"/>
  <c r="L16" i="187"/>
  <c r="N18" i="187"/>
  <c r="M21" i="187"/>
  <c r="L24" i="187"/>
  <c r="N26" i="187"/>
  <c r="M29" i="187"/>
  <c r="L32" i="187"/>
  <c r="N34" i="187"/>
  <c r="M37" i="187"/>
  <c r="L40" i="187"/>
  <c r="N42" i="187"/>
  <c r="M45" i="187"/>
  <c r="L48" i="187"/>
  <c r="N50" i="187"/>
  <c r="M54" i="187"/>
  <c r="L57" i="187"/>
  <c r="N57" i="187" s="1"/>
  <c r="M62" i="187"/>
  <c r="M16" i="187"/>
  <c r="L19" i="187"/>
  <c r="N21" i="187"/>
  <c r="M24" i="187"/>
  <c r="L27" i="187"/>
  <c r="N29" i="187"/>
  <c r="M32" i="187"/>
  <c r="L35" i="187"/>
  <c r="N37" i="187"/>
  <c r="M40" i="187"/>
  <c r="L43" i="187"/>
  <c r="N45" i="187"/>
  <c r="M48" i="187"/>
  <c r="L51" i="187"/>
  <c r="L52" i="187"/>
  <c r="N52" i="187" s="1"/>
  <c r="M57" i="187"/>
  <c r="L60" i="187"/>
  <c r="N60" i="187" s="1"/>
  <c r="N16" i="187"/>
  <c r="M19" i="187"/>
  <c r="L22" i="187"/>
  <c r="N24" i="187"/>
  <c r="M27" i="187"/>
  <c r="L30" i="187"/>
  <c r="N32" i="187"/>
  <c r="M35" i="187"/>
  <c r="L38" i="187"/>
  <c r="N40" i="187"/>
  <c r="M43" i="187"/>
  <c r="M52" i="187"/>
  <c r="P395" i="96"/>
  <c r="S67" i="186"/>
  <c r="R67" i="186"/>
  <c r="Q67" i="186"/>
  <c r="S66" i="186"/>
  <c r="R66" i="186"/>
  <c r="Q66" i="186"/>
  <c r="S65" i="186"/>
  <c r="R65" i="186"/>
  <c r="Q65" i="186"/>
  <c r="K207" i="187"/>
  <c r="J201" i="187"/>
  <c r="F90" i="113" s="1"/>
  <c r="E201" i="187"/>
  <c r="E202" i="187" s="1"/>
  <c r="N59" i="186"/>
  <c r="N58" i="186"/>
  <c r="N57" i="186"/>
  <c r="N6" i="186"/>
  <c r="N23" i="186"/>
  <c r="N22" i="186"/>
  <c r="N13" i="186"/>
  <c r="N21" i="186"/>
  <c r="N12" i="186"/>
  <c r="N20" i="186"/>
  <c r="N56" i="186"/>
  <c r="N55" i="186"/>
  <c r="N54" i="186"/>
  <c r="N53" i="186"/>
  <c r="N52" i="186"/>
  <c r="N51" i="186"/>
  <c r="N50" i="186"/>
  <c r="N49" i="186"/>
  <c r="N48" i="186"/>
  <c r="N47" i="186"/>
  <c r="N46" i="186"/>
  <c r="N45" i="186"/>
  <c r="N11" i="186"/>
  <c r="N19" i="186"/>
  <c r="N18" i="186"/>
  <c r="N10" i="186"/>
  <c r="N17" i="186"/>
  <c r="N9" i="186"/>
  <c r="N16" i="186"/>
  <c r="N44" i="186"/>
  <c r="N43" i="186"/>
  <c r="N42" i="186"/>
  <c r="N8" i="186"/>
  <c r="N15" i="186"/>
  <c r="N7" i="186"/>
  <c r="N14" i="186"/>
  <c r="S23" i="186"/>
  <c r="R23" i="186"/>
  <c r="Q23" i="186"/>
  <c r="N41" i="186"/>
  <c r="S22" i="186"/>
  <c r="R22" i="186"/>
  <c r="Q22" i="186"/>
  <c r="N40" i="186"/>
  <c r="S21" i="186"/>
  <c r="R21" i="186"/>
  <c r="Q21" i="186"/>
  <c r="N39" i="186"/>
  <c r="S20" i="186"/>
  <c r="R20" i="186"/>
  <c r="Q20" i="186"/>
  <c r="N38" i="186"/>
  <c r="S19" i="186"/>
  <c r="R19" i="186"/>
  <c r="Q19" i="186"/>
  <c r="N37" i="186"/>
  <c r="S18" i="186"/>
  <c r="R18" i="186"/>
  <c r="Q18" i="186"/>
  <c r="N36" i="186"/>
  <c r="S17" i="186"/>
  <c r="R17" i="186"/>
  <c r="Q17" i="186"/>
  <c r="N4" i="186"/>
  <c r="S16" i="186"/>
  <c r="R16" i="186"/>
  <c r="Q16" i="186"/>
  <c r="N5" i="186"/>
  <c r="S15" i="186"/>
  <c r="R15" i="186"/>
  <c r="Q15" i="186"/>
  <c r="N35" i="186"/>
  <c r="S14" i="186"/>
  <c r="R14" i="186"/>
  <c r="Q14" i="186"/>
  <c r="N34" i="186"/>
  <c r="S13" i="186"/>
  <c r="R13" i="186"/>
  <c r="Q13" i="186"/>
  <c r="N33" i="186"/>
  <c r="S12" i="186"/>
  <c r="R12" i="186"/>
  <c r="Q12" i="186"/>
  <c r="N32" i="186"/>
  <c r="S11" i="186"/>
  <c r="R11" i="186"/>
  <c r="Q11" i="186"/>
  <c r="N31" i="186"/>
  <c r="S10" i="186"/>
  <c r="R10" i="186"/>
  <c r="Q10" i="186"/>
  <c r="N30" i="186"/>
  <c r="N29" i="186"/>
  <c r="N28" i="186"/>
  <c r="N27" i="186"/>
  <c r="N26" i="186"/>
  <c r="N25" i="186"/>
  <c r="N3" i="186"/>
  <c r="N24" i="186"/>
  <c r="K114" i="113"/>
  <c r="J114" i="113"/>
  <c r="G113" i="113"/>
  <c r="F113" i="113"/>
  <c r="G112" i="113"/>
  <c r="E112" i="113"/>
  <c r="F111" i="113"/>
  <c r="E111" i="113"/>
  <c r="G110" i="113"/>
  <c r="E110" i="113"/>
  <c r="G109" i="113"/>
  <c r="E109" i="113"/>
  <c r="G108" i="113"/>
  <c r="E108" i="113"/>
  <c r="G107" i="113"/>
  <c r="F107" i="113"/>
  <c r="F106" i="113"/>
  <c r="E106" i="113"/>
  <c r="G105" i="113"/>
  <c r="F105" i="113"/>
  <c r="G104" i="113"/>
  <c r="F104" i="113"/>
  <c r="G103" i="113"/>
  <c r="E103" i="113"/>
  <c r="G102" i="113"/>
  <c r="F102" i="113"/>
  <c r="L23" i="186"/>
  <c r="M23" i="186" s="1"/>
  <c r="D96" i="113"/>
  <c r="F96" i="113" s="1"/>
  <c r="B96" i="113"/>
  <c r="B95" i="113"/>
  <c r="B94" i="113"/>
  <c r="B93" i="113"/>
  <c r="B92" i="113"/>
  <c r="B91" i="113"/>
  <c r="B90" i="113"/>
  <c r="L24" i="186" l="1"/>
  <c r="M24" i="186" s="1"/>
  <c r="R24" i="186" s="1"/>
  <c r="L15" i="186"/>
  <c r="M15" i="186" s="1"/>
  <c r="L55" i="186"/>
  <c r="M55" i="186" s="1"/>
  <c r="L28" i="186"/>
  <c r="M28" i="186" s="1"/>
  <c r="Q28" i="186" s="1"/>
  <c r="L8" i="186"/>
  <c r="M8" i="186" s="1"/>
  <c r="L20" i="186"/>
  <c r="M20" i="186" s="1"/>
  <c r="L30" i="186"/>
  <c r="M30" i="186" s="1"/>
  <c r="R30" i="186" s="1"/>
  <c r="L9" i="186"/>
  <c r="M9" i="186" s="1"/>
  <c r="L12" i="186"/>
  <c r="M12" i="186" s="1"/>
  <c r="L31" i="186"/>
  <c r="M31" i="186" s="1"/>
  <c r="Q31" i="186" s="1"/>
  <c r="L10" i="186"/>
  <c r="M10" i="186" s="1"/>
  <c r="L6" i="186"/>
  <c r="M6" i="186" s="1"/>
  <c r="Q6" i="186" s="1"/>
  <c r="L5" i="186"/>
  <c r="M5" i="186" s="1"/>
  <c r="Q5" i="186" s="1"/>
  <c r="L18" i="186"/>
  <c r="M18" i="186" s="1"/>
  <c r="L58" i="186"/>
  <c r="M58" i="186" s="1"/>
  <c r="S58" i="186" s="1"/>
  <c r="S47" i="186"/>
  <c r="L36" i="186"/>
  <c r="M36" i="186" s="1"/>
  <c r="S36" i="186" s="1"/>
  <c r="L47" i="186"/>
  <c r="M47" i="186" s="1"/>
  <c r="Q47" i="186" s="1"/>
  <c r="L59" i="186"/>
  <c r="M59" i="186" s="1"/>
  <c r="L37" i="186"/>
  <c r="M37" i="186" s="1"/>
  <c r="R37" i="186" s="1"/>
  <c r="L49" i="186"/>
  <c r="M49" i="186" s="1"/>
  <c r="Q49" i="186" s="1"/>
  <c r="L14" i="186"/>
  <c r="M14" i="186" s="1"/>
  <c r="L50" i="186"/>
  <c r="M50" i="186" s="1"/>
  <c r="S50" i="186" s="1"/>
  <c r="A55" i="191"/>
  <c r="P54" i="191"/>
  <c r="P65" i="186"/>
  <c r="Q24" i="186"/>
  <c r="S55" i="186"/>
  <c r="R49" i="186"/>
  <c r="R47" i="186"/>
  <c r="P66" i="186"/>
  <c r="R31" i="186"/>
  <c r="Q59" i="186"/>
  <c r="S59" i="186"/>
  <c r="R59" i="186"/>
  <c r="S37" i="186"/>
  <c r="S24" i="186"/>
  <c r="L29" i="186"/>
  <c r="M29" i="186" s="1"/>
  <c r="L4" i="186"/>
  <c r="M4" i="186" s="1"/>
  <c r="R4" i="186" s="1"/>
  <c r="L7" i="186"/>
  <c r="M7" i="186" s="1"/>
  <c r="L17" i="186"/>
  <c r="M17" i="186" s="1"/>
  <c r="L48" i="186"/>
  <c r="M48" i="186" s="1"/>
  <c r="L56" i="186"/>
  <c r="M56" i="186" s="1"/>
  <c r="L57" i="186"/>
  <c r="M57" i="186" s="1"/>
  <c r="Q55" i="186"/>
  <c r="L3" i="186"/>
  <c r="M3" i="186" s="1"/>
  <c r="Q3" i="186" s="1"/>
  <c r="L32" i="186"/>
  <c r="M32" i="186" s="1"/>
  <c r="L38" i="186"/>
  <c r="M38" i="186" s="1"/>
  <c r="L42" i="186"/>
  <c r="M42" i="186" s="1"/>
  <c r="L19" i="186"/>
  <c r="M19" i="186" s="1"/>
  <c r="L51" i="186"/>
  <c r="M51" i="186" s="1"/>
  <c r="L21" i="186"/>
  <c r="M21" i="186" s="1"/>
  <c r="R55" i="186"/>
  <c r="L25" i="186"/>
  <c r="M25" i="186" s="1"/>
  <c r="L33" i="186"/>
  <c r="M33" i="186" s="1"/>
  <c r="L39" i="186"/>
  <c r="M39" i="186" s="1"/>
  <c r="L43" i="186"/>
  <c r="M43" i="186" s="1"/>
  <c r="L11" i="186"/>
  <c r="M11" i="186" s="1"/>
  <c r="L52" i="186"/>
  <c r="M52" i="186" s="1"/>
  <c r="L13" i="186"/>
  <c r="M13" i="186" s="1"/>
  <c r="L26" i="186"/>
  <c r="M26" i="186" s="1"/>
  <c r="L34" i="186"/>
  <c r="M34" i="186" s="1"/>
  <c r="L40" i="186"/>
  <c r="M40" i="186" s="1"/>
  <c r="L44" i="186"/>
  <c r="M44" i="186" s="1"/>
  <c r="L45" i="186"/>
  <c r="M45" i="186" s="1"/>
  <c r="L53" i="186"/>
  <c r="M53" i="186" s="1"/>
  <c r="L22" i="186"/>
  <c r="M22" i="186" s="1"/>
  <c r="L27" i="186"/>
  <c r="M27" i="186" s="1"/>
  <c r="L35" i="186"/>
  <c r="M35" i="186" s="1"/>
  <c r="L41" i="186"/>
  <c r="M41" i="186" s="1"/>
  <c r="L16" i="186"/>
  <c r="M16" i="186" s="1"/>
  <c r="L46" i="186"/>
  <c r="M46" i="186" s="1"/>
  <c r="L54" i="186"/>
  <c r="M54" i="186" s="1"/>
  <c r="R6" i="186"/>
  <c r="P67" i="186"/>
  <c r="R8" i="186"/>
  <c r="Q8" i="186"/>
  <c r="S8" i="186"/>
  <c r="R9" i="186"/>
  <c r="S9" i="186"/>
  <c r="Q9" i="186"/>
  <c r="Q7" i="186"/>
  <c r="R7" i="186"/>
  <c r="S7" i="186"/>
  <c r="S5" i="186"/>
  <c r="R5" i="186"/>
  <c r="K206" i="187"/>
  <c r="S6" i="186"/>
  <c r="K208" i="187"/>
  <c r="F103" i="113"/>
  <c r="E105" i="113"/>
  <c r="E107" i="113"/>
  <c r="E104" i="113"/>
  <c r="G106" i="113"/>
  <c r="F54" i="185"/>
  <c r="F53" i="185"/>
  <c r="F52" i="185"/>
  <c r="F51" i="185"/>
  <c r="F50" i="185"/>
  <c r="F49" i="185"/>
  <c r="F48" i="185"/>
  <c r="F47" i="185"/>
  <c r="F46" i="185"/>
  <c r="F45" i="185"/>
  <c r="F44" i="185"/>
  <c r="F43" i="185"/>
  <c r="F42" i="185"/>
  <c r="F41" i="185"/>
  <c r="F40" i="185"/>
  <c r="F39" i="185"/>
  <c r="F38" i="185"/>
  <c r="F37" i="185"/>
  <c r="F36" i="185"/>
  <c r="F35" i="185"/>
  <c r="F34" i="185"/>
  <c r="F33" i="185"/>
  <c r="F31" i="185"/>
  <c r="F30" i="185"/>
  <c r="F29" i="185"/>
  <c r="F28" i="185"/>
  <c r="F27" i="185"/>
  <c r="F26" i="185"/>
  <c r="F25" i="185"/>
  <c r="F24" i="185"/>
  <c r="F23" i="185"/>
  <c r="F22" i="185"/>
  <c r="F21" i="185"/>
  <c r="F20" i="185"/>
  <c r="F19" i="185"/>
  <c r="F18" i="185"/>
  <c r="F17" i="185"/>
  <c r="F16" i="185"/>
  <c r="F15" i="185"/>
  <c r="F14" i="185"/>
  <c r="F13" i="185"/>
  <c r="F12" i="185"/>
  <c r="F11" i="185"/>
  <c r="M150" i="184"/>
  <c r="H142" i="184"/>
  <c r="H141" i="184"/>
  <c r="H140" i="184"/>
  <c r="N138" i="184"/>
  <c r="N137" i="184"/>
  <c r="N136" i="184"/>
  <c r="N135" i="184"/>
  <c r="N134" i="184"/>
  <c r="N133" i="184"/>
  <c r="N132" i="184"/>
  <c r="N131" i="184"/>
  <c r="N130" i="184"/>
  <c r="N129" i="184"/>
  <c r="N128" i="184"/>
  <c r="N127" i="184"/>
  <c r="N126" i="184"/>
  <c r="N125" i="184"/>
  <c r="N124" i="184"/>
  <c r="N123" i="184"/>
  <c r="N122" i="184"/>
  <c r="N121" i="184"/>
  <c r="N120" i="184"/>
  <c r="N119" i="184"/>
  <c r="N118" i="184"/>
  <c r="N117" i="184"/>
  <c r="N116" i="184"/>
  <c r="N115" i="184"/>
  <c r="N114" i="184"/>
  <c r="N113" i="184"/>
  <c r="N112" i="184"/>
  <c r="N111" i="184"/>
  <c r="N110" i="184"/>
  <c r="N109" i="184"/>
  <c r="N108" i="184"/>
  <c r="N107" i="184"/>
  <c r="N106" i="184"/>
  <c r="N105" i="184"/>
  <c r="N104" i="184"/>
  <c r="N103" i="184"/>
  <c r="N102" i="184"/>
  <c r="N101" i="184"/>
  <c r="N100" i="184"/>
  <c r="N99" i="184"/>
  <c r="N98" i="184"/>
  <c r="N97" i="184"/>
  <c r="N96" i="184"/>
  <c r="N95" i="184"/>
  <c r="N94" i="184"/>
  <c r="N93" i="184"/>
  <c r="N92" i="184"/>
  <c r="N91" i="184"/>
  <c r="N90" i="184"/>
  <c r="N89" i="184"/>
  <c r="N88" i="184"/>
  <c r="N87" i="184"/>
  <c r="N86" i="184"/>
  <c r="N85" i="184"/>
  <c r="N84" i="184"/>
  <c r="N83" i="184"/>
  <c r="N82" i="184"/>
  <c r="N81" i="184"/>
  <c r="N80" i="184"/>
  <c r="N79" i="184"/>
  <c r="N78" i="184"/>
  <c r="N77" i="184"/>
  <c r="N76" i="184"/>
  <c r="N75" i="184"/>
  <c r="N74" i="184"/>
  <c r="N73" i="184"/>
  <c r="N72" i="184"/>
  <c r="N71" i="184"/>
  <c r="N70" i="184"/>
  <c r="N69" i="184"/>
  <c r="N68" i="184"/>
  <c r="N67" i="184"/>
  <c r="N66" i="184"/>
  <c r="N65" i="184"/>
  <c r="N64" i="184"/>
  <c r="N63" i="184"/>
  <c r="N62" i="184"/>
  <c r="N61" i="184"/>
  <c r="N60" i="184"/>
  <c r="N59" i="184"/>
  <c r="N58" i="184"/>
  <c r="N57" i="184"/>
  <c r="N56" i="184"/>
  <c r="N55" i="184"/>
  <c r="N54" i="184"/>
  <c r="N53" i="184"/>
  <c r="N52" i="184"/>
  <c r="N51" i="184"/>
  <c r="N50" i="184"/>
  <c r="N49" i="184"/>
  <c r="N48" i="184"/>
  <c r="N47" i="184"/>
  <c r="N46" i="184"/>
  <c r="N45" i="184"/>
  <c r="N44" i="184"/>
  <c r="N43" i="184"/>
  <c r="N42" i="184"/>
  <c r="N41" i="184"/>
  <c r="N40" i="184"/>
  <c r="N39" i="184"/>
  <c r="N38" i="184"/>
  <c r="N37" i="184"/>
  <c r="N36" i="184"/>
  <c r="N35" i="184"/>
  <c r="N34" i="184"/>
  <c r="N33" i="184"/>
  <c r="N32" i="184"/>
  <c r="N31" i="184"/>
  <c r="N30" i="184"/>
  <c r="N29" i="184"/>
  <c r="N28" i="184"/>
  <c r="N27" i="184"/>
  <c r="N26" i="184"/>
  <c r="N25" i="184"/>
  <c r="N24" i="184"/>
  <c r="N23" i="184"/>
  <c r="N22" i="184"/>
  <c r="N21" i="184"/>
  <c r="N20" i="184"/>
  <c r="N19" i="184"/>
  <c r="N18" i="184"/>
  <c r="N17" i="184"/>
  <c r="N16" i="184"/>
  <c r="N15" i="184"/>
  <c r="N14" i="184"/>
  <c r="N13" i="184"/>
  <c r="N12" i="184"/>
  <c r="N11" i="184"/>
  <c r="N10" i="184"/>
  <c r="A3" i="184"/>
  <c r="N53" i="183"/>
  <c r="H53" i="183"/>
  <c r="N52" i="183"/>
  <c r="H52" i="183"/>
  <c r="H54" i="183" s="1"/>
  <c r="N50" i="183"/>
  <c r="N49" i="183"/>
  <c r="N48" i="183"/>
  <c r="N47" i="183"/>
  <c r="N46" i="183"/>
  <c r="N45" i="183"/>
  <c r="N44" i="183"/>
  <c r="N43" i="183"/>
  <c r="N42" i="183"/>
  <c r="N41" i="183"/>
  <c r="N40" i="183"/>
  <c r="N39" i="183"/>
  <c r="N38" i="183"/>
  <c r="N37" i="183"/>
  <c r="N36" i="183"/>
  <c r="N35" i="183"/>
  <c r="N34" i="183"/>
  <c r="N33" i="183"/>
  <c r="N32" i="183"/>
  <c r="N31" i="183"/>
  <c r="N30" i="183"/>
  <c r="N29" i="183"/>
  <c r="N28" i="183"/>
  <c r="N27" i="183"/>
  <c r="N26" i="183"/>
  <c r="N25" i="183"/>
  <c r="N24" i="183"/>
  <c r="N23" i="183"/>
  <c r="N22" i="183"/>
  <c r="N21" i="183"/>
  <c r="N20" i="183"/>
  <c r="N19" i="183"/>
  <c r="N18" i="183"/>
  <c r="N17" i="183"/>
  <c r="N16" i="183"/>
  <c r="N15" i="183"/>
  <c r="N14" i="183"/>
  <c r="N13" i="183"/>
  <c r="N12" i="183"/>
  <c r="N11" i="183"/>
  <c r="N10" i="183"/>
  <c r="A3" i="183"/>
  <c r="N366" i="182"/>
  <c r="H366" i="182"/>
  <c r="N365" i="182"/>
  <c r="H365" i="182"/>
  <c r="N364" i="182"/>
  <c r="H364" i="182"/>
  <c r="N363" i="182"/>
  <c r="H363" i="182"/>
  <c r="N361" i="182"/>
  <c r="N360" i="182"/>
  <c r="N359" i="182"/>
  <c r="N358" i="182"/>
  <c r="N357" i="182"/>
  <c r="N356" i="182"/>
  <c r="N355" i="182"/>
  <c r="N354" i="182"/>
  <c r="N353" i="182"/>
  <c r="N352" i="182"/>
  <c r="N351" i="182"/>
  <c r="N350" i="182"/>
  <c r="N349" i="182"/>
  <c r="N348" i="182"/>
  <c r="N347" i="182"/>
  <c r="N346" i="182"/>
  <c r="N345" i="182"/>
  <c r="N344" i="182"/>
  <c r="N343" i="182"/>
  <c r="N342" i="182"/>
  <c r="N341" i="182"/>
  <c r="N340" i="182"/>
  <c r="N339" i="182"/>
  <c r="N338" i="182"/>
  <c r="N337" i="182"/>
  <c r="N336" i="182"/>
  <c r="N335" i="182"/>
  <c r="N334" i="182"/>
  <c r="N333" i="182"/>
  <c r="N332" i="182"/>
  <c r="N331" i="182"/>
  <c r="N330" i="182"/>
  <c r="N329" i="182"/>
  <c r="N328" i="182"/>
  <c r="N327" i="182"/>
  <c r="N326" i="182"/>
  <c r="N325" i="182"/>
  <c r="N324" i="182"/>
  <c r="N323" i="182"/>
  <c r="N322" i="182"/>
  <c r="N321" i="182"/>
  <c r="N320" i="182"/>
  <c r="N319" i="182"/>
  <c r="N318" i="182"/>
  <c r="N317" i="182"/>
  <c r="N316" i="182"/>
  <c r="N315" i="182"/>
  <c r="N314" i="182"/>
  <c r="N313" i="182"/>
  <c r="N312" i="182"/>
  <c r="N311" i="182"/>
  <c r="N310" i="182"/>
  <c r="N309" i="182"/>
  <c r="N308" i="182"/>
  <c r="N307" i="182"/>
  <c r="N306" i="182"/>
  <c r="N305" i="182"/>
  <c r="N304" i="182"/>
  <c r="N303" i="182"/>
  <c r="N302" i="182"/>
  <c r="N301" i="182"/>
  <c r="N300" i="182"/>
  <c r="N299" i="182"/>
  <c r="N298" i="182"/>
  <c r="N297" i="182"/>
  <c r="N296" i="182"/>
  <c r="N295" i="182"/>
  <c r="N294" i="182"/>
  <c r="N293" i="182"/>
  <c r="N292" i="182"/>
  <c r="N291" i="182"/>
  <c r="N290" i="182"/>
  <c r="N289" i="182"/>
  <c r="N288" i="182"/>
  <c r="N287" i="182"/>
  <c r="N286" i="182"/>
  <c r="N285" i="182"/>
  <c r="N284" i="182"/>
  <c r="N283" i="182"/>
  <c r="N282" i="182"/>
  <c r="N281" i="182"/>
  <c r="N280" i="182"/>
  <c r="N279" i="182"/>
  <c r="N278" i="182"/>
  <c r="N277" i="182"/>
  <c r="N276" i="182"/>
  <c r="N275" i="182"/>
  <c r="N274" i="182"/>
  <c r="N273" i="182"/>
  <c r="N272" i="182"/>
  <c r="N271" i="182"/>
  <c r="N270" i="182"/>
  <c r="N269" i="182"/>
  <c r="N268" i="182"/>
  <c r="N267" i="182"/>
  <c r="N266" i="182"/>
  <c r="N265" i="182"/>
  <c r="N264" i="182"/>
  <c r="N263" i="182"/>
  <c r="N262" i="182"/>
  <c r="N261" i="182"/>
  <c r="N260" i="182"/>
  <c r="N259" i="182"/>
  <c r="N258" i="182"/>
  <c r="N257" i="182"/>
  <c r="N256" i="182"/>
  <c r="N255" i="182"/>
  <c r="N254" i="182"/>
  <c r="N253" i="182"/>
  <c r="N252" i="182"/>
  <c r="N251" i="182"/>
  <c r="N250" i="182"/>
  <c r="N249" i="182"/>
  <c r="N248" i="182"/>
  <c r="N247" i="182"/>
  <c r="N246" i="182"/>
  <c r="N245" i="182"/>
  <c r="N244" i="182"/>
  <c r="N243" i="182"/>
  <c r="N242" i="182"/>
  <c r="N241" i="182"/>
  <c r="N240" i="182"/>
  <c r="N239" i="182"/>
  <c r="N238" i="182"/>
  <c r="N237" i="182"/>
  <c r="N236" i="182"/>
  <c r="N235" i="182"/>
  <c r="N234" i="182"/>
  <c r="N233" i="182"/>
  <c r="N232" i="182"/>
  <c r="N231" i="182"/>
  <c r="N230" i="182"/>
  <c r="N229" i="182"/>
  <c r="N228" i="182"/>
  <c r="N227" i="182"/>
  <c r="N226" i="182"/>
  <c r="N225" i="182"/>
  <c r="N224" i="182"/>
  <c r="N223" i="182"/>
  <c r="N222" i="182"/>
  <c r="N221" i="182"/>
  <c r="N220" i="182"/>
  <c r="N219" i="182"/>
  <c r="N218" i="182"/>
  <c r="N217" i="182"/>
  <c r="N216" i="182"/>
  <c r="N215" i="182"/>
  <c r="N214" i="182"/>
  <c r="N213" i="182"/>
  <c r="N212" i="182"/>
  <c r="N211" i="182"/>
  <c r="N210" i="182"/>
  <c r="N209" i="182"/>
  <c r="N208" i="182"/>
  <c r="N207" i="182"/>
  <c r="N206" i="182"/>
  <c r="N205" i="182"/>
  <c r="N204" i="182"/>
  <c r="N203" i="182"/>
  <c r="N202" i="182"/>
  <c r="N201" i="182"/>
  <c r="N200" i="182"/>
  <c r="N199" i="182"/>
  <c r="N198" i="182"/>
  <c r="N197" i="182"/>
  <c r="N196" i="182"/>
  <c r="N195" i="182"/>
  <c r="N194" i="182"/>
  <c r="N193" i="182"/>
  <c r="N192" i="182"/>
  <c r="N191" i="182"/>
  <c r="N190" i="182"/>
  <c r="N189" i="182"/>
  <c r="N188" i="182"/>
  <c r="N187" i="182"/>
  <c r="N186" i="182"/>
  <c r="N185" i="182"/>
  <c r="N184" i="182"/>
  <c r="N183" i="182"/>
  <c r="N182" i="182"/>
  <c r="N181" i="182"/>
  <c r="N180" i="182"/>
  <c r="N179" i="182"/>
  <c r="N178" i="182"/>
  <c r="N177" i="182"/>
  <c r="N176" i="182"/>
  <c r="N175" i="182"/>
  <c r="N174" i="182"/>
  <c r="N173" i="182"/>
  <c r="N172" i="182"/>
  <c r="N171" i="182"/>
  <c r="N170" i="182"/>
  <c r="N169" i="182"/>
  <c r="N168" i="182"/>
  <c r="N167" i="182"/>
  <c r="N166" i="182"/>
  <c r="N165" i="182"/>
  <c r="N164" i="182"/>
  <c r="N163" i="182"/>
  <c r="N162" i="182"/>
  <c r="N161" i="182"/>
  <c r="N160" i="182"/>
  <c r="N159" i="182"/>
  <c r="N158" i="182"/>
  <c r="N157" i="182"/>
  <c r="N156" i="182"/>
  <c r="N155" i="182"/>
  <c r="N154" i="182"/>
  <c r="N153" i="182"/>
  <c r="N152" i="182"/>
  <c r="N151" i="182"/>
  <c r="N150" i="182"/>
  <c r="N149" i="182"/>
  <c r="N148" i="182"/>
  <c r="N147" i="182"/>
  <c r="N146" i="182"/>
  <c r="N145" i="182"/>
  <c r="N144" i="182"/>
  <c r="N143" i="182"/>
  <c r="N142" i="182"/>
  <c r="N141" i="182"/>
  <c r="N140" i="182"/>
  <c r="N139" i="182"/>
  <c r="N138" i="182"/>
  <c r="N137" i="182"/>
  <c r="N136" i="182"/>
  <c r="N135" i="182"/>
  <c r="N134" i="182"/>
  <c r="N133" i="182"/>
  <c r="N132" i="182"/>
  <c r="N131" i="182"/>
  <c r="N130" i="182"/>
  <c r="N129" i="182"/>
  <c r="N128" i="182"/>
  <c r="N127" i="182"/>
  <c r="N126" i="182"/>
  <c r="N125" i="182"/>
  <c r="N124" i="182"/>
  <c r="N123" i="182"/>
  <c r="N122" i="182"/>
  <c r="N121" i="182"/>
  <c r="N120" i="182"/>
  <c r="N119" i="182"/>
  <c r="N118" i="182"/>
  <c r="N117" i="182"/>
  <c r="N116" i="182"/>
  <c r="N115" i="182"/>
  <c r="N114" i="182"/>
  <c r="N113" i="182"/>
  <c r="N112" i="182"/>
  <c r="N111" i="182"/>
  <c r="N110" i="182"/>
  <c r="N109" i="182"/>
  <c r="N108" i="182"/>
  <c r="N107" i="182"/>
  <c r="N106" i="182"/>
  <c r="N105" i="182"/>
  <c r="N104" i="182"/>
  <c r="N103" i="182"/>
  <c r="N102" i="182"/>
  <c r="N101" i="182"/>
  <c r="N100" i="182"/>
  <c r="N99" i="182"/>
  <c r="N98" i="182"/>
  <c r="N97" i="182"/>
  <c r="N96" i="182"/>
  <c r="N95" i="182"/>
  <c r="N94" i="182"/>
  <c r="N93" i="182"/>
  <c r="N92" i="182"/>
  <c r="N91" i="182"/>
  <c r="N90" i="182"/>
  <c r="N89" i="182"/>
  <c r="N88" i="182"/>
  <c r="N87" i="182"/>
  <c r="N86" i="182"/>
  <c r="N85" i="182"/>
  <c r="N84" i="182"/>
  <c r="N83" i="182"/>
  <c r="N82" i="182"/>
  <c r="N81" i="182"/>
  <c r="N80" i="182"/>
  <c r="N79" i="182"/>
  <c r="N78" i="182"/>
  <c r="N77" i="182"/>
  <c r="N76" i="182"/>
  <c r="N75" i="182"/>
  <c r="N74" i="182"/>
  <c r="N73" i="182"/>
  <c r="N72" i="182"/>
  <c r="N71" i="182"/>
  <c r="N70" i="182"/>
  <c r="N69" i="182"/>
  <c r="N68" i="182"/>
  <c r="N67" i="182"/>
  <c r="N66" i="182"/>
  <c r="N65" i="182"/>
  <c r="N64" i="182"/>
  <c r="N63" i="182"/>
  <c r="N62" i="182"/>
  <c r="N61" i="182"/>
  <c r="N60" i="182"/>
  <c r="N59" i="182"/>
  <c r="N58" i="182"/>
  <c r="N57" i="182"/>
  <c r="N56" i="182"/>
  <c r="N55" i="182"/>
  <c r="N54" i="182"/>
  <c r="N53" i="182"/>
  <c r="N52" i="182"/>
  <c r="N51" i="182"/>
  <c r="N50" i="182"/>
  <c r="N49" i="182"/>
  <c r="N48" i="182"/>
  <c r="N47" i="182"/>
  <c r="N46" i="182"/>
  <c r="N45" i="182"/>
  <c r="N44" i="182"/>
  <c r="N43" i="182"/>
  <c r="N42" i="182"/>
  <c r="N41" i="182"/>
  <c r="N40" i="182"/>
  <c r="N39" i="182"/>
  <c r="N38" i="182"/>
  <c r="N37" i="182"/>
  <c r="N36" i="182"/>
  <c r="N35" i="182"/>
  <c r="N34" i="182"/>
  <c r="N33" i="182"/>
  <c r="N32" i="182"/>
  <c r="N31" i="182"/>
  <c r="N30" i="182"/>
  <c r="N29" i="182"/>
  <c r="N28" i="182"/>
  <c r="N27" i="182"/>
  <c r="N26" i="182"/>
  <c r="N25" i="182"/>
  <c r="N24" i="182"/>
  <c r="N23" i="182"/>
  <c r="N22" i="182"/>
  <c r="N21" i="182"/>
  <c r="N20" i="182"/>
  <c r="N19" i="182"/>
  <c r="N18" i="182"/>
  <c r="N17" i="182"/>
  <c r="N16" i="182"/>
  <c r="N15" i="182"/>
  <c r="N14" i="182"/>
  <c r="N13" i="182"/>
  <c r="N12" i="182"/>
  <c r="N11" i="182"/>
  <c r="N10" i="182"/>
  <c r="A3" i="182"/>
  <c r="N243" i="181"/>
  <c r="H243" i="181"/>
  <c r="N242" i="181"/>
  <c r="H242" i="181"/>
  <c r="N241" i="181"/>
  <c r="H241" i="181"/>
  <c r="N240" i="181"/>
  <c r="H240" i="181"/>
  <c r="N238" i="181"/>
  <c r="N237" i="181"/>
  <c r="N236" i="181"/>
  <c r="N235" i="181"/>
  <c r="N234" i="181"/>
  <c r="N233" i="181"/>
  <c r="N232" i="181"/>
  <c r="N231" i="181"/>
  <c r="N230" i="181"/>
  <c r="N229" i="181"/>
  <c r="N228" i="181"/>
  <c r="N227" i="181"/>
  <c r="N226" i="181"/>
  <c r="N225" i="181"/>
  <c r="N224" i="181"/>
  <c r="N223" i="181"/>
  <c r="N222" i="181"/>
  <c r="N221" i="181"/>
  <c r="N220" i="181"/>
  <c r="N219" i="181"/>
  <c r="N218" i="181"/>
  <c r="N217" i="181"/>
  <c r="N216" i="181"/>
  <c r="N215" i="181"/>
  <c r="N214" i="181"/>
  <c r="N213" i="181"/>
  <c r="N212" i="181"/>
  <c r="N211" i="181"/>
  <c r="N210" i="181"/>
  <c r="N209" i="181"/>
  <c r="N208" i="181"/>
  <c r="N207" i="181"/>
  <c r="N206" i="181"/>
  <c r="N205" i="181"/>
  <c r="N204" i="181"/>
  <c r="N203" i="181"/>
  <c r="N202" i="181"/>
  <c r="N201" i="181"/>
  <c r="N200" i="181"/>
  <c r="N199" i="181"/>
  <c r="N198" i="181"/>
  <c r="N197" i="181"/>
  <c r="N196" i="181"/>
  <c r="N195" i="181"/>
  <c r="N194" i="181"/>
  <c r="N193" i="181"/>
  <c r="N192" i="181"/>
  <c r="N191" i="181"/>
  <c r="N190" i="181"/>
  <c r="N189" i="181"/>
  <c r="N188" i="181"/>
  <c r="N187" i="181"/>
  <c r="N186" i="181"/>
  <c r="N185" i="181"/>
  <c r="N184" i="181"/>
  <c r="N183" i="181"/>
  <c r="N182" i="181"/>
  <c r="N181" i="181"/>
  <c r="N180" i="181"/>
  <c r="N179" i="181"/>
  <c r="N178" i="181"/>
  <c r="N177" i="181"/>
  <c r="N176" i="181"/>
  <c r="N175" i="181"/>
  <c r="N174" i="181"/>
  <c r="N173" i="181"/>
  <c r="N172" i="181"/>
  <c r="N171" i="181"/>
  <c r="N170" i="181"/>
  <c r="N169" i="181"/>
  <c r="N168" i="181"/>
  <c r="N167" i="181"/>
  <c r="N166" i="181"/>
  <c r="N165" i="181"/>
  <c r="N164" i="181"/>
  <c r="N163" i="181"/>
  <c r="N162" i="181"/>
  <c r="N161" i="181"/>
  <c r="N160" i="181"/>
  <c r="N159" i="181"/>
  <c r="N158" i="181"/>
  <c r="N157" i="181"/>
  <c r="N156" i="181"/>
  <c r="N155" i="181"/>
  <c r="N154" i="181"/>
  <c r="N153" i="181"/>
  <c r="N152" i="181"/>
  <c r="N151" i="181"/>
  <c r="N150" i="181"/>
  <c r="N149" i="181"/>
  <c r="N148" i="181"/>
  <c r="N147" i="181"/>
  <c r="N146" i="181"/>
  <c r="N145" i="181"/>
  <c r="N144" i="181"/>
  <c r="N143" i="181"/>
  <c r="N142" i="181"/>
  <c r="N141" i="181"/>
  <c r="N140" i="181"/>
  <c r="N139" i="181"/>
  <c r="N138" i="181"/>
  <c r="N137" i="181"/>
  <c r="N136" i="181"/>
  <c r="N135" i="181"/>
  <c r="N134" i="181"/>
  <c r="N133" i="181"/>
  <c r="N132" i="181"/>
  <c r="N131" i="181"/>
  <c r="N130" i="181"/>
  <c r="N129" i="181"/>
  <c r="N128" i="181"/>
  <c r="N127" i="181"/>
  <c r="N126" i="181"/>
  <c r="N125" i="181"/>
  <c r="N124" i="181"/>
  <c r="N123" i="181"/>
  <c r="N122" i="181"/>
  <c r="N121" i="181"/>
  <c r="N120" i="181"/>
  <c r="N119" i="181"/>
  <c r="N118" i="181"/>
  <c r="N117" i="181"/>
  <c r="N116" i="181"/>
  <c r="N115" i="181"/>
  <c r="N114" i="181"/>
  <c r="N113" i="181"/>
  <c r="N112" i="181"/>
  <c r="N111" i="181"/>
  <c r="N110" i="181"/>
  <c r="N109" i="181"/>
  <c r="N108" i="181"/>
  <c r="N107" i="181"/>
  <c r="N106" i="181"/>
  <c r="N105" i="181"/>
  <c r="N104" i="181"/>
  <c r="N103" i="181"/>
  <c r="N102" i="181"/>
  <c r="N101" i="181"/>
  <c r="N100" i="181"/>
  <c r="N99" i="181"/>
  <c r="N98" i="181"/>
  <c r="N97" i="181"/>
  <c r="N96" i="181"/>
  <c r="N95" i="181"/>
  <c r="N94" i="181"/>
  <c r="N93" i="181"/>
  <c r="N92" i="181"/>
  <c r="N91" i="181"/>
  <c r="N90" i="181"/>
  <c r="N89" i="181"/>
  <c r="N88" i="181"/>
  <c r="N87" i="181"/>
  <c r="N86" i="181"/>
  <c r="N85" i="181"/>
  <c r="N84" i="181"/>
  <c r="N83" i="181"/>
  <c r="N82" i="181"/>
  <c r="N81" i="181"/>
  <c r="N80" i="181"/>
  <c r="N79" i="181"/>
  <c r="N78" i="181"/>
  <c r="N77" i="181"/>
  <c r="N76" i="181"/>
  <c r="N75" i="181"/>
  <c r="N74" i="181"/>
  <c r="N73" i="181"/>
  <c r="N72" i="181"/>
  <c r="N71" i="181"/>
  <c r="N70" i="181"/>
  <c r="N69" i="181"/>
  <c r="N68" i="181"/>
  <c r="N67" i="181"/>
  <c r="N66" i="181"/>
  <c r="N65" i="181"/>
  <c r="N64" i="181"/>
  <c r="N63" i="181"/>
  <c r="N62" i="181"/>
  <c r="N61" i="181"/>
  <c r="N60" i="181"/>
  <c r="N59" i="181"/>
  <c r="N58" i="181"/>
  <c r="N57" i="181"/>
  <c r="N56" i="181"/>
  <c r="N55" i="181"/>
  <c r="N54" i="181"/>
  <c r="N53" i="181"/>
  <c r="N52" i="181"/>
  <c r="N51" i="181"/>
  <c r="N50" i="181"/>
  <c r="N49" i="181"/>
  <c r="N48" i="181"/>
  <c r="N47" i="181"/>
  <c r="N46" i="181"/>
  <c r="N45" i="181"/>
  <c r="N44" i="181"/>
  <c r="N43" i="181"/>
  <c r="N42" i="181"/>
  <c r="N41" i="181"/>
  <c r="N40" i="181"/>
  <c r="N39" i="181"/>
  <c r="N38" i="181"/>
  <c r="N37" i="181"/>
  <c r="N36" i="181"/>
  <c r="N35" i="181"/>
  <c r="N34" i="181"/>
  <c r="N33" i="181"/>
  <c r="N32" i="181"/>
  <c r="N31" i="181"/>
  <c r="N30" i="181"/>
  <c r="N29" i="181"/>
  <c r="N28" i="181"/>
  <c r="N27" i="181"/>
  <c r="N26" i="181"/>
  <c r="N25" i="181"/>
  <c r="N24" i="181"/>
  <c r="N23" i="181"/>
  <c r="N22" i="181"/>
  <c r="N21" i="181"/>
  <c r="N20" i="181"/>
  <c r="N19" i="181"/>
  <c r="N18" i="181"/>
  <c r="N17" i="181"/>
  <c r="N16" i="181"/>
  <c r="N15" i="181"/>
  <c r="N14" i="181"/>
  <c r="N13" i="181"/>
  <c r="N12" i="181"/>
  <c r="N11" i="181"/>
  <c r="N10" i="181"/>
  <c r="A3" i="181"/>
  <c r="N15" i="180"/>
  <c r="H15" i="180"/>
  <c r="N14" i="180"/>
  <c r="H14" i="180"/>
  <c r="H16" i="180" s="1"/>
  <c r="N12" i="180"/>
  <c r="N11" i="180"/>
  <c r="N10" i="180"/>
  <c r="A3" i="180"/>
  <c r="N101" i="179"/>
  <c r="H101" i="179"/>
  <c r="N100" i="179"/>
  <c r="H100" i="179"/>
  <c r="N99" i="179"/>
  <c r="H99" i="179"/>
  <c r="N98" i="179"/>
  <c r="H98" i="179"/>
  <c r="N96" i="179"/>
  <c r="N95" i="179"/>
  <c r="N94" i="179"/>
  <c r="N93" i="179"/>
  <c r="N92" i="179"/>
  <c r="N91" i="179"/>
  <c r="N90" i="179"/>
  <c r="N89" i="179"/>
  <c r="N88" i="179"/>
  <c r="N87" i="179"/>
  <c r="N86" i="179"/>
  <c r="N85" i="179"/>
  <c r="N84" i="179"/>
  <c r="N83" i="179"/>
  <c r="N82" i="179"/>
  <c r="N81" i="179"/>
  <c r="N80" i="179"/>
  <c r="N79" i="179"/>
  <c r="N78" i="179"/>
  <c r="N77" i="179"/>
  <c r="N76" i="179"/>
  <c r="N75" i="179"/>
  <c r="N74" i="179"/>
  <c r="N73" i="179"/>
  <c r="N72" i="179"/>
  <c r="N71" i="179"/>
  <c r="N70" i="179"/>
  <c r="N69" i="179"/>
  <c r="N68" i="179"/>
  <c r="N67" i="179"/>
  <c r="N66" i="179"/>
  <c r="N65" i="179"/>
  <c r="N64" i="179"/>
  <c r="N63" i="179"/>
  <c r="N62" i="179"/>
  <c r="N61" i="179"/>
  <c r="N60" i="179"/>
  <c r="N59" i="179"/>
  <c r="N58" i="179"/>
  <c r="N57" i="179"/>
  <c r="N56" i="179"/>
  <c r="N55" i="179"/>
  <c r="N54" i="179"/>
  <c r="N53" i="179"/>
  <c r="N52" i="179"/>
  <c r="N51" i="179"/>
  <c r="N50" i="179"/>
  <c r="N49" i="179"/>
  <c r="N48" i="179"/>
  <c r="N47" i="179"/>
  <c r="N46" i="179"/>
  <c r="N45" i="179"/>
  <c r="N44" i="179"/>
  <c r="N43" i="179"/>
  <c r="N42" i="179"/>
  <c r="N41" i="179"/>
  <c r="N40" i="179"/>
  <c r="N39" i="179"/>
  <c r="N38" i="179"/>
  <c r="N37" i="179"/>
  <c r="N36" i="179"/>
  <c r="N35" i="179"/>
  <c r="N34" i="179"/>
  <c r="N33" i="179"/>
  <c r="N32" i="179"/>
  <c r="N31" i="179"/>
  <c r="N30" i="179"/>
  <c r="N29" i="179"/>
  <c r="N28" i="179"/>
  <c r="N27" i="179"/>
  <c r="N26" i="179"/>
  <c r="N25" i="179"/>
  <c r="N24" i="179"/>
  <c r="N23" i="179"/>
  <c r="N22" i="179"/>
  <c r="N21" i="179"/>
  <c r="N20" i="179"/>
  <c r="N19" i="179"/>
  <c r="N18" i="179"/>
  <c r="N17" i="179"/>
  <c r="N16" i="179"/>
  <c r="N15" i="179"/>
  <c r="N14" i="179"/>
  <c r="N13" i="179"/>
  <c r="N12" i="179"/>
  <c r="N11" i="179"/>
  <c r="N10" i="179"/>
  <c r="A3" i="179"/>
  <c r="N64" i="178"/>
  <c r="H64" i="178"/>
  <c r="N63" i="178"/>
  <c r="H63" i="178"/>
  <c r="N62" i="178"/>
  <c r="H62" i="178"/>
  <c r="H147" i="184" s="1"/>
  <c r="N60" i="178"/>
  <c r="N59" i="178"/>
  <c r="N58" i="178"/>
  <c r="N57" i="178"/>
  <c r="N56" i="178"/>
  <c r="N55" i="178"/>
  <c r="N54" i="178"/>
  <c r="N53" i="178"/>
  <c r="N52" i="178"/>
  <c r="N51" i="178"/>
  <c r="N50" i="178"/>
  <c r="N49" i="178"/>
  <c r="N48" i="178"/>
  <c r="N47" i="178"/>
  <c r="N46" i="178"/>
  <c r="N45" i="178"/>
  <c r="N44" i="178"/>
  <c r="N43" i="178"/>
  <c r="N42" i="178"/>
  <c r="N41" i="178"/>
  <c r="N40" i="178"/>
  <c r="N39" i="178"/>
  <c r="N38" i="178"/>
  <c r="N37" i="178"/>
  <c r="N36" i="178"/>
  <c r="N35" i="178"/>
  <c r="N34" i="178"/>
  <c r="N33" i="178"/>
  <c r="N32" i="178"/>
  <c r="N31" i="178"/>
  <c r="N30" i="178"/>
  <c r="N29" i="178"/>
  <c r="N28" i="178"/>
  <c r="N27" i="178"/>
  <c r="N26" i="178"/>
  <c r="N25" i="178"/>
  <c r="N24" i="178"/>
  <c r="N23" i="178"/>
  <c r="N22" i="178"/>
  <c r="N21" i="178"/>
  <c r="N20" i="178"/>
  <c r="N19" i="178"/>
  <c r="N18" i="178"/>
  <c r="N17" i="178"/>
  <c r="N16" i="178"/>
  <c r="A16" i="178"/>
  <c r="A17" i="178" s="1"/>
  <c r="A18" i="178" s="1"/>
  <c r="A19" i="178" s="1"/>
  <c r="A20" i="178" s="1"/>
  <c r="A21" i="178" s="1"/>
  <c r="A22" i="178" s="1"/>
  <c r="A23" i="178" s="1"/>
  <c r="A24" i="178" s="1"/>
  <c r="A25" i="178" s="1"/>
  <c r="A26" i="178" s="1"/>
  <c r="A27" i="178" s="1"/>
  <c r="A28" i="178" s="1"/>
  <c r="A29" i="178" s="1"/>
  <c r="A30" i="178" s="1"/>
  <c r="A31" i="178" s="1"/>
  <c r="A32" i="178" s="1"/>
  <c r="A33" i="178" s="1"/>
  <c r="A34" i="178" s="1"/>
  <c r="A35" i="178" s="1"/>
  <c r="A36" i="178" s="1"/>
  <c r="A37" i="178" s="1"/>
  <c r="A38" i="178" s="1"/>
  <c r="A39" i="178" s="1"/>
  <c r="A40" i="178" s="1"/>
  <c r="A41" i="178" s="1"/>
  <c r="A42" i="178" s="1"/>
  <c r="A43" i="178" s="1"/>
  <c r="A44" i="178" s="1"/>
  <c r="A45" i="178" s="1"/>
  <c r="A46" i="178" s="1"/>
  <c r="A47" i="178" s="1"/>
  <c r="A48" i="178" s="1"/>
  <c r="A49" i="178" s="1"/>
  <c r="A50" i="178" s="1"/>
  <c r="A51" i="178" s="1"/>
  <c r="A52" i="178" s="1"/>
  <c r="A53" i="178" s="1"/>
  <c r="A54" i="178" s="1"/>
  <c r="A55" i="178" s="1"/>
  <c r="A56" i="178" s="1"/>
  <c r="A57" i="178" s="1"/>
  <c r="A58" i="178" s="1"/>
  <c r="A59" i="178" s="1"/>
  <c r="A60" i="178" s="1"/>
  <c r="A10" i="179" s="1"/>
  <c r="A11" i="179" s="1"/>
  <c r="A12" i="179" s="1"/>
  <c r="A13" i="179" s="1"/>
  <c r="A14" i="179" s="1"/>
  <c r="A15" i="179" s="1"/>
  <c r="A16" i="179" s="1"/>
  <c r="A17" i="179" s="1"/>
  <c r="A18" i="179" s="1"/>
  <c r="A19" i="179" s="1"/>
  <c r="A20" i="179" s="1"/>
  <c r="A21" i="179" s="1"/>
  <c r="A22" i="179" s="1"/>
  <c r="A23" i="179" s="1"/>
  <c r="A24" i="179" s="1"/>
  <c r="A25" i="179" s="1"/>
  <c r="A26" i="179" s="1"/>
  <c r="A27" i="179" s="1"/>
  <c r="A28" i="179" s="1"/>
  <c r="A29" i="179" s="1"/>
  <c r="A30" i="179" s="1"/>
  <c r="A31" i="179" s="1"/>
  <c r="A32" i="179" s="1"/>
  <c r="A33" i="179" s="1"/>
  <c r="A34" i="179" s="1"/>
  <c r="A35" i="179" s="1"/>
  <c r="A36" i="179" s="1"/>
  <c r="A37" i="179" s="1"/>
  <c r="A38" i="179" s="1"/>
  <c r="A39" i="179" s="1"/>
  <c r="A40" i="179" s="1"/>
  <c r="A41" i="179" s="1"/>
  <c r="A42" i="179" s="1"/>
  <c r="A43" i="179" s="1"/>
  <c r="A44" i="179" s="1"/>
  <c r="A45" i="179" s="1"/>
  <c r="A46" i="179" s="1"/>
  <c r="A47" i="179" s="1"/>
  <c r="A48" i="179" s="1"/>
  <c r="A49" i="179" s="1"/>
  <c r="A50" i="179" s="1"/>
  <c r="A51" i="179" s="1"/>
  <c r="A52" i="179" s="1"/>
  <c r="A53" i="179" s="1"/>
  <c r="A54" i="179" s="1"/>
  <c r="A55" i="179" s="1"/>
  <c r="A56" i="179" s="1"/>
  <c r="A57" i="179" s="1"/>
  <c r="A58" i="179" s="1"/>
  <c r="A59" i="179" s="1"/>
  <c r="A60" i="179" s="1"/>
  <c r="A61" i="179" s="1"/>
  <c r="A62" i="179" s="1"/>
  <c r="A63" i="179" s="1"/>
  <c r="A64" i="179" s="1"/>
  <c r="A65" i="179" s="1"/>
  <c r="A66" i="179" s="1"/>
  <c r="A67" i="179" s="1"/>
  <c r="A68" i="179" s="1"/>
  <c r="A69" i="179" s="1"/>
  <c r="A70" i="179" s="1"/>
  <c r="A71" i="179" s="1"/>
  <c r="A72" i="179" s="1"/>
  <c r="A73" i="179" s="1"/>
  <c r="A74" i="179" s="1"/>
  <c r="A75" i="179" s="1"/>
  <c r="A76" i="179" s="1"/>
  <c r="A77" i="179" s="1"/>
  <c r="A78" i="179" s="1"/>
  <c r="A79" i="179" s="1"/>
  <c r="A80" i="179" s="1"/>
  <c r="A81" i="179" s="1"/>
  <c r="A82" i="179" s="1"/>
  <c r="A83" i="179" s="1"/>
  <c r="A84" i="179" s="1"/>
  <c r="A85" i="179" s="1"/>
  <c r="A86" i="179" s="1"/>
  <c r="A87" i="179" s="1"/>
  <c r="A88" i="179" s="1"/>
  <c r="A89" i="179" s="1"/>
  <c r="A90" i="179" s="1"/>
  <c r="A91" i="179" s="1"/>
  <c r="A92" i="179" s="1"/>
  <c r="A93" i="179" s="1"/>
  <c r="A94" i="179" s="1"/>
  <c r="A95" i="179" s="1"/>
  <c r="A96" i="179" s="1"/>
  <c r="A10" i="180" s="1"/>
  <c r="A11" i="180" s="1"/>
  <c r="A12" i="180" s="1"/>
  <c r="A10" i="181" s="1"/>
  <c r="A11" i="181" s="1"/>
  <c r="A12" i="181" s="1"/>
  <c r="A13" i="181" s="1"/>
  <c r="A14" i="181" s="1"/>
  <c r="A15" i="181" s="1"/>
  <c r="A16" i="181" s="1"/>
  <c r="A17" i="181" s="1"/>
  <c r="A18" i="181" s="1"/>
  <c r="A19" i="181" s="1"/>
  <c r="A20" i="181" s="1"/>
  <c r="A21" i="181" s="1"/>
  <c r="A22" i="181" s="1"/>
  <c r="A23" i="181" s="1"/>
  <c r="A24" i="181" s="1"/>
  <c r="A25" i="181" s="1"/>
  <c r="A26" i="181" s="1"/>
  <c r="A27" i="181" s="1"/>
  <c r="A28" i="181" s="1"/>
  <c r="A29" i="181" s="1"/>
  <c r="A30" i="181" s="1"/>
  <c r="A31" i="181" s="1"/>
  <c r="A32" i="181" s="1"/>
  <c r="A33" i="181" s="1"/>
  <c r="A34" i="181" s="1"/>
  <c r="A35" i="181" s="1"/>
  <c r="A36" i="181" s="1"/>
  <c r="A37" i="181" s="1"/>
  <c r="A38" i="181" s="1"/>
  <c r="A39" i="181" s="1"/>
  <c r="A40" i="181" s="1"/>
  <c r="A41" i="181" s="1"/>
  <c r="A42" i="181" s="1"/>
  <c r="A43" i="181" s="1"/>
  <c r="A44" i="181" s="1"/>
  <c r="A45" i="181" s="1"/>
  <c r="A46" i="181" s="1"/>
  <c r="A47" i="181" s="1"/>
  <c r="A48" i="181" s="1"/>
  <c r="A49" i="181" s="1"/>
  <c r="A50" i="181" s="1"/>
  <c r="A51" i="181" s="1"/>
  <c r="A52" i="181" s="1"/>
  <c r="A53" i="181" s="1"/>
  <c r="A54" i="181" s="1"/>
  <c r="A55" i="181" s="1"/>
  <c r="A56" i="181" s="1"/>
  <c r="A57" i="181" s="1"/>
  <c r="A58" i="181" s="1"/>
  <c r="A59" i="181" s="1"/>
  <c r="A60" i="181" s="1"/>
  <c r="A61" i="181" s="1"/>
  <c r="A62" i="181" s="1"/>
  <c r="A63" i="181" s="1"/>
  <c r="A64" i="181" s="1"/>
  <c r="A65" i="181" s="1"/>
  <c r="A66" i="181" s="1"/>
  <c r="A67" i="181" s="1"/>
  <c r="A68" i="181" s="1"/>
  <c r="A69" i="181" s="1"/>
  <c r="A70" i="181" s="1"/>
  <c r="A71" i="181" s="1"/>
  <c r="A72" i="181" s="1"/>
  <c r="A73" i="181" s="1"/>
  <c r="A74" i="181" s="1"/>
  <c r="A75" i="181" s="1"/>
  <c r="A76" i="181" s="1"/>
  <c r="A77" i="181" s="1"/>
  <c r="A78" i="181" s="1"/>
  <c r="A79" i="181" s="1"/>
  <c r="A80" i="181" s="1"/>
  <c r="A81" i="181" s="1"/>
  <c r="A82" i="181" s="1"/>
  <c r="A83" i="181" s="1"/>
  <c r="A84" i="181" s="1"/>
  <c r="A85" i="181" s="1"/>
  <c r="A86" i="181" s="1"/>
  <c r="A87" i="181" s="1"/>
  <c r="A88" i="181" s="1"/>
  <c r="A89" i="181" s="1"/>
  <c r="A90" i="181" s="1"/>
  <c r="A91" i="181" s="1"/>
  <c r="A92" i="181" s="1"/>
  <c r="A93" i="181" s="1"/>
  <c r="A94" i="181" s="1"/>
  <c r="A95" i="181" s="1"/>
  <c r="A96" i="181" s="1"/>
  <c r="A97" i="181" s="1"/>
  <c r="A98" i="181" s="1"/>
  <c r="A99" i="181" s="1"/>
  <c r="A100" i="181" s="1"/>
  <c r="A101" i="181" s="1"/>
  <c r="A102" i="181" s="1"/>
  <c r="A103" i="181" s="1"/>
  <c r="A104" i="181" s="1"/>
  <c r="A105" i="181" s="1"/>
  <c r="A106" i="181" s="1"/>
  <c r="A107" i="181" s="1"/>
  <c r="A108" i="181" s="1"/>
  <c r="A109" i="181" s="1"/>
  <c r="A110" i="181" s="1"/>
  <c r="A111" i="181" s="1"/>
  <c r="A112" i="181" s="1"/>
  <c r="A113" i="181" s="1"/>
  <c r="A114" i="181" s="1"/>
  <c r="A115" i="181" s="1"/>
  <c r="A116" i="181" s="1"/>
  <c r="A117" i="181" s="1"/>
  <c r="A118" i="181" s="1"/>
  <c r="A119" i="181" s="1"/>
  <c r="A120" i="181" s="1"/>
  <c r="A121" i="181" s="1"/>
  <c r="A122" i="181" s="1"/>
  <c r="A123" i="181" s="1"/>
  <c r="A124" i="181" s="1"/>
  <c r="A125" i="181" s="1"/>
  <c r="A126" i="181" s="1"/>
  <c r="A127" i="181" s="1"/>
  <c r="A128" i="181" s="1"/>
  <c r="A129" i="181" s="1"/>
  <c r="A130" i="181" s="1"/>
  <c r="A131" i="181" s="1"/>
  <c r="A132" i="181" s="1"/>
  <c r="A133" i="181" s="1"/>
  <c r="A134" i="181" s="1"/>
  <c r="A135" i="181" s="1"/>
  <c r="A136" i="181" s="1"/>
  <c r="A137" i="181" s="1"/>
  <c r="A138" i="181" s="1"/>
  <c r="A139" i="181" s="1"/>
  <c r="A140" i="181" s="1"/>
  <c r="A141" i="181" s="1"/>
  <c r="A142" i="181" s="1"/>
  <c r="A143" i="181" s="1"/>
  <c r="A144" i="181" s="1"/>
  <c r="A145" i="181" s="1"/>
  <c r="A146" i="181" s="1"/>
  <c r="A147" i="181" s="1"/>
  <c r="A148" i="181" s="1"/>
  <c r="A149" i="181" s="1"/>
  <c r="A150" i="181" s="1"/>
  <c r="A151" i="181" s="1"/>
  <c r="A152" i="181" s="1"/>
  <c r="A153" i="181" s="1"/>
  <c r="A154" i="181" s="1"/>
  <c r="A155" i="181" s="1"/>
  <c r="A156" i="181" s="1"/>
  <c r="A157" i="181" s="1"/>
  <c r="A158" i="181" s="1"/>
  <c r="A159" i="181" s="1"/>
  <c r="A160" i="181" s="1"/>
  <c r="A161" i="181" s="1"/>
  <c r="A162" i="181" s="1"/>
  <c r="A163" i="181" s="1"/>
  <c r="A164" i="181" s="1"/>
  <c r="A165" i="181" s="1"/>
  <c r="A166" i="181" s="1"/>
  <c r="A167" i="181" s="1"/>
  <c r="A168" i="181" s="1"/>
  <c r="A169" i="181" s="1"/>
  <c r="A170" i="181" s="1"/>
  <c r="A171" i="181" s="1"/>
  <c r="A172" i="181" s="1"/>
  <c r="A173" i="181" s="1"/>
  <c r="A174" i="181" s="1"/>
  <c r="A175" i="181" s="1"/>
  <c r="A176" i="181" s="1"/>
  <c r="A177" i="181" s="1"/>
  <c r="A178" i="181" s="1"/>
  <c r="A179" i="181" s="1"/>
  <c r="A180" i="181" s="1"/>
  <c r="A181" i="181" s="1"/>
  <c r="A182" i="181" s="1"/>
  <c r="A183" i="181" s="1"/>
  <c r="A184" i="181" s="1"/>
  <c r="A185" i="181" s="1"/>
  <c r="A186" i="181" s="1"/>
  <c r="A187" i="181" s="1"/>
  <c r="A188" i="181" s="1"/>
  <c r="A189" i="181" s="1"/>
  <c r="A190" i="181" s="1"/>
  <c r="A191" i="181" s="1"/>
  <c r="A192" i="181" s="1"/>
  <c r="A193" i="181" s="1"/>
  <c r="A194" i="181" s="1"/>
  <c r="A195" i="181" s="1"/>
  <c r="A196" i="181" s="1"/>
  <c r="A197" i="181" s="1"/>
  <c r="A198" i="181" s="1"/>
  <c r="A199" i="181" s="1"/>
  <c r="A200" i="181" s="1"/>
  <c r="A201" i="181" s="1"/>
  <c r="A202" i="181" s="1"/>
  <c r="A203" i="181" s="1"/>
  <c r="A204" i="181" s="1"/>
  <c r="A205" i="181" s="1"/>
  <c r="A206" i="181" s="1"/>
  <c r="A207" i="181" s="1"/>
  <c r="A208" i="181" s="1"/>
  <c r="A209" i="181" s="1"/>
  <c r="A210" i="181" s="1"/>
  <c r="A211" i="181" s="1"/>
  <c r="A212" i="181" s="1"/>
  <c r="A213" i="181" s="1"/>
  <c r="A214" i="181" s="1"/>
  <c r="A215" i="181" s="1"/>
  <c r="A216" i="181" s="1"/>
  <c r="A217" i="181" s="1"/>
  <c r="A218" i="181" s="1"/>
  <c r="A219" i="181" s="1"/>
  <c r="A220" i="181" s="1"/>
  <c r="A221" i="181" s="1"/>
  <c r="A222" i="181" s="1"/>
  <c r="A223" i="181" s="1"/>
  <c r="A224" i="181" s="1"/>
  <c r="A225" i="181" s="1"/>
  <c r="A226" i="181" s="1"/>
  <c r="A227" i="181" s="1"/>
  <c r="A228" i="181" s="1"/>
  <c r="A229" i="181" s="1"/>
  <c r="A230" i="181" s="1"/>
  <c r="A231" i="181" s="1"/>
  <c r="A232" i="181" s="1"/>
  <c r="A233" i="181" s="1"/>
  <c r="A234" i="181" s="1"/>
  <c r="A235" i="181" s="1"/>
  <c r="A236" i="181" s="1"/>
  <c r="A237" i="181" s="1"/>
  <c r="A238" i="181" s="1"/>
  <c r="A10" i="182" s="1"/>
  <c r="A11" i="182" s="1"/>
  <c r="A12" i="182" s="1"/>
  <c r="A13" i="182" s="1"/>
  <c r="A14" i="182" s="1"/>
  <c r="A15" i="182" s="1"/>
  <c r="A16" i="182" s="1"/>
  <c r="A17" i="182" s="1"/>
  <c r="A18" i="182" s="1"/>
  <c r="A19" i="182" s="1"/>
  <c r="A20" i="182" s="1"/>
  <c r="A21" i="182" s="1"/>
  <c r="A22" i="182" s="1"/>
  <c r="A23" i="182" s="1"/>
  <c r="A24" i="182" s="1"/>
  <c r="A25" i="182" s="1"/>
  <c r="A26" i="182" s="1"/>
  <c r="A27" i="182" s="1"/>
  <c r="A28" i="182" s="1"/>
  <c r="A29" i="182" s="1"/>
  <c r="A30" i="182" s="1"/>
  <c r="A31" i="182" s="1"/>
  <c r="A32" i="182" s="1"/>
  <c r="A33" i="182" s="1"/>
  <c r="A34" i="182" s="1"/>
  <c r="A35" i="182" s="1"/>
  <c r="A36" i="182" s="1"/>
  <c r="A37" i="182" s="1"/>
  <c r="A38" i="182" s="1"/>
  <c r="A39" i="182" s="1"/>
  <c r="A40" i="182" s="1"/>
  <c r="A41" i="182" s="1"/>
  <c r="A42" i="182" s="1"/>
  <c r="A43" i="182" s="1"/>
  <c r="A44" i="182" s="1"/>
  <c r="A45" i="182" s="1"/>
  <c r="A46" i="182" s="1"/>
  <c r="A47" i="182" s="1"/>
  <c r="A48" i="182" s="1"/>
  <c r="A49" i="182" s="1"/>
  <c r="A50" i="182" s="1"/>
  <c r="A51" i="182" s="1"/>
  <c r="A52" i="182" s="1"/>
  <c r="A53" i="182" s="1"/>
  <c r="A54" i="182" s="1"/>
  <c r="A55" i="182" s="1"/>
  <c r="A56" i="182" s="1"/>
  <c r="A57" i="182" s="1"/>
  <c r="A58" i="182" s="1"/>
  <c r="A59" i="182" s="1"/>
  <c r="A60" i="182" s="1"/>
  <c r="A61" i="182" s="1"/>
  <c r="A62" i="182" s="1"/>
  <c r="A63" i="182" s="1"/>
  <c r="A64" i="182" s="1"/>
  <c r="A65" i="182" s="1"/>
  <c r="A66" i="182" s="1"/>
  <c r="A67" i="182" s="1"/>
  <c r="A68" i="182" s="1"/>
  <c r="A69" i="182" s="1"/>
  <c r="A70" i="182" s="1"/>
  <c r="A71" i="182" s="1"/>
  <c r="A72" i="182" s="1"/>
  <c r="A73" i="182" s="1"/>
  <c r="A74" i="182" s="1"/>
  <c r="A75" i="182" s="1"/>
  <c r="A76" i="182" s="1"/>
  <c r="A77" i="182" s="1"/>
  <c r="A78" i="182" s="1"/>
  <c r="A79" i="182" s="1"/>
  <c r="A80" i="182" s="1"/>
  <c r="A81" i="182" s="1"/>
  <c r="A82" i="182" s="1"/>
  <c r="A83" i="182" s="1"/>
  <c r="A84" i="182" s="1"/>
  <c r="A85" i="182" s="1"/>
  <c r="A86" i="182" s="1"/>
  <c r="A87" i="182" s="1"/>
  <c r="A88" i="182" s="1"/>
  <c r="A89" i="182" s="1"/>
  <c r="A90" i="182" s="1"/>
  <c r="A91" i="182" s="1"/>
  <c r="A92" i="182" s="1"/>
  <c r="A93" i="182" s="1"/>
  <c r="A94" i="182" s="1"/>
  <c r="A95" i="182" s="1"/>
  <c r="A96" i="182" s="1"/>
  <c r="A97" i="182" s="1"/>
  <c r="A98" i="182" s="1"/>
  <c r="A99" i="182" s="1"/>
  <c r="A100" i="182" s="1"/>
  <c r="A101" i="182" s="1"/>
  <c r="A102" i="182" s="1"/>
  <c r="A103" i="182" s="1"/>
  <c r="A104" i="182" s="1"/>
  <c r="A105" i="182" s="1"/>
  <c r="A106" i="182" s="1"/>
  <c r="A107" i="182" s="1"/>
  <c r="A108" i="182" s="1"/>
  <c r="A109" i="182" s="1"/>
  <c r="A110" i="182" s="1"/>
  <c r="A111" i="182" s="1"/>
  <c r="A112" i="182" s="1"/>
  <c r="A113" i="182" s="1"/>
  <c r="A114" i="182" s="1"/>
  <c r="A115" i="182" s="1"/>
  <c r="A116" i="182" s="1"/>
  <c r="A117" i="182" s="1"/>
  <c r="A118" i="182" s="1"/>
  <c r="A119" i="182" s="1"/>
  <c r="A120" i="182" s="1"/>
  <c r="A121" i="182" s="1"/>
  <c r="A122" i="182" s="1"/>
  <c r="A123" i="182" s="1"/>
  <c r="A124" i="182" s="1"/>
  <c r="A125" i="182" s="1"/>
  <c r="A126" i="182" s="1"/>
  <c r="A127" i="182" s="1"/>
  <c r="A128" i="182" s="1"/>
  <c r="A129" i="182" s="1"/>
  <c r="A130" i="182" s="1"/>
  <c r="A131" i="182" s="1"/>
  <c r="A132" i="182" s="1"/>
  <c r="A133" i="182" s="1"/>
  <c r="A134" i="182" s="1"/>
  <c r="A135" i="182" s="1"/>
  <c r="A136" i="182" s="1"/>
  <c r="A137" i="182" s="1"/>
  <c r="A138" i="182" s="1"/>
  <c r="A139" i="182" s="1"/>
  <c r="A140" i="182" s="1"/>
  <c r="A141" i="182" s="1"/>
  <c r="A142" i="182" s="1"/>
  <c r="A143" i="182" s="1"/>
  <c r="A144" i="182" s="1"/>
  <c r="A145" i="182" s="1"/>
  <c r="A146" i="182" s="1"/>
  <c r="A147" i="182" s="1"/>
  <c r="A148" i="182" s="1"/>
  <c r="A149" i="182" s="1"/>
  <c r="A150" i="182" s="1"/>
  <c r="A151" i="182" s="1"/>
  <c r="A152" i="182" s="1"/>
  <c r="A153" i="182" s="1"/>
  <c r="A154" i="182" s="1"/>
  <c r="A155" i="182" s="1"/>
  <c r="A156" i="182" s="1"/>
  <c r="A157" i="182" s="1"/>
  <c r="A158" i="182" s="1"/>
  <c r="A159" i="182" s="1"/>
  <c r="A160" i="182" s="1"/>
  <c r="A161" i="182" s="1"/>
  <c r="A162" i="182" s="1"/>
  <c r="A163" i="182" s="1"/>
  <c r="A164" i="182" s="1"/>
  <c r="A165" i="182" s="1"/>
  <c r="A166" i="182" s="1"/>
  <c r="A167" i="182" s="1"/>
  <c r="A168" i="182" s="1"/>
  <c r="A169" i="182" s="1"/>
  <c r="A170" i="182" s="1"/>
  <c r="A171" i="182" s="1"/>
  <c r="A172" i="182" s="1"/>
  <c r="A173" i="182" s="1"/>
  <c r="A174" i="182" s="1"/>
  <c r="A175" i="182" s="1"/>
  <c r="A176" i="182" s="1"/>
  <c r="A177" i="182" s="1"/>
  <c r="A178" i="182" s="1"/>
  <c r="A179" i="182" s="1"/>
  <c r="A180" i="182" s="1"/>
  <c r="A181" i="182" s="1"/>
  <c r="A182" i="182" s="1"/>
  <c r="A183" i="182" s="1"/>
  <c r="A184" i="182" s="1"/>
  <c r="A185" i="182" s="1"/>
  <c r="A186" i="182" s="1"/>
  <c r="A187" i="182" s="1"/>
  <c r="A188" i="182" s="1"/>
  <c r="A189" i="182" s="1"/>
  <c r="A190" i="182" s="1"/>
  <c r="A191" i="182" s="1"/>
  <c r="A192" i="182" s="1"/>
  <c r="A193" i="182" s="1"/>
  <c r="A194" i="182" s="1"/>
  <c r="A195" i="182" s="1"/>
  <c r="A196" i="182" s="1"/>
  <c r="A197" i="182" s="1"/>
  <c r="A198" i="182" s="1"/>
  <c r="A199" i="182" s="1"/>
  <c r="A200" i="182" s="1"/>
  <c r="A201" i="182" s="1"/>
  <c r="A202" i="182" s="1"/>
  <c r="A203" i="182" s="1"/>
  <c r="A204" i="182" s="1"/>
  <c r="A205" i="182" s="1"/>
  <c r="A206" i="182" s="1"/>
  <c r="A207" i="182" s="1"/>
  <c r="A208" i="182" s="1"/>
  <c r="A209" i="182" s="1"/>
  <c r="A210" i="182" s="1"/>
  <c r="A211" i="182" s="1"/>
  <c r="A212" i="182" s="1"/>
  <c r="A213" i="182" s="1"/>
  <c r="A214" i="182" s="1"/>
  <c r="A215" i="182" s="1"/>
  <c r="A216" i="182" s="1"/>
  <c r="A217" i="182" s="1"/>
  <c r="A218" i="182" s="1"/>
  <c r="A219" i="182" s="1"/>
  <c r="A220" i="182" s="1"/>
  <c r="A221" i="182" s="1"/>
  <c r="A222" i="182" s="1"/>
  <c r="A223" i="182" s="1"/>
  <c r="A224" i="182" s="1"/>
  <c r="A225" i="182" s="1"/>
  <c r="A226" i="182" s="1"/>
  <c r="A227" i="182" s="1"/>
  <c r="A228" i="182" s="1"/>
  <c r="A229" i="182" s="1"/>
  <c r="A230" i="182" s="1"/>
  <c r="A231" i="182" s="1"/>
  <c r="A232" i="182" s="1"/>
  <c r="A233" i="182" s="1"/>
  <c r="A234" i="182" s="1"/>
  <c r="A235" i="182" s="1"/>
  <c r="A236" i="182" s="1"/>
  <c r="A237" i="182" s="1"/>
  <c r="A238" i="182" s="1"/>
  <c r="A239" i="182" s="1"/>
  <c r="A240" i="182" s="1"/>
  <c r="A241" i="182" s="1"/>
  <c r="A242" i="182" s="1"/>
  <c r="A243" i="182" s="1"/>
  <c r="A244" i="182" s="1"/>
  <c r="A245" i="182" s="1"/>
  <c r="A246" i="182" s="1"/>
  <c r="A247" i="182" s="1"/>
  <c r="A248" i="182" s="1"/>
  <c r="A249" i="182" s="1"/>
  <c r="A250" i="182" s="1"/>
  <c r="A251" i="182" s="1"/>
  <c r="A252" i="182" s="1"/>
  <c r="A253" i="182" s="1"/>
  <c r="A254" i="182" s="1"/>
  <c r="A255" i="182" s="1"/>
  <c r="A256" i="182" s="1"/>
  <c r="A257" i="182" s="1"/>
  <c r="A258" i="182" s="1"/>
  <c r="A259" i="182" s="1"/>
  <c r="A260" i="182" s="1"/>
  <c r="A261" i="182" s="1"/>
  <c r="A262" i="182" s="1"/>
  <c r="A263" i="182" s="1"/>
  <c r="A264" i="182" s="1"/>
  <c r="A265" i="182" s="1"/>
  <c r="A266" i="182" s="1"/>
  <c r="A267" i="182" s="1"/>
  <c r="A268" i="182" s="1"/>
  <c r="A269" i="182" s="1"/>
  <c r="A270" i="182" s="1"/>
  <c r="A271" i="182" s="1"/>
  <c r="A272" i="182" s="1"/>
  <c r="A273" i="182" s="1"/>
  <c r="A274" i="182" s="1"/>
  <c r="A275" i="182" s="1"/>
  <c r="A276" i="182" s="1"/>
  <c r="A277" i="182" s="1"/>
  <c r="A278" i="182" s="1"/>
  <c r="A279" i="182" s="1"/>
  <c r="A280" i="182" s="1"/>
  <c r="A281" i="182" s="1"/>
  <c r="A282" i="182" s="1"/>
  <c r="A283" i="182" s="1"/>
  <c r="A284" i="182" s="1"/>
  <c r="A285" i="182" s="1"/>
  <c r="A286" i="182" s="1"/>
  <c r="A287" i="182" s="1"/>
  <c r="A288" i="182" s="1"/>
  <c r="A289" i="182" s="1"/>
  <c r="A290" i="182" s="1"/>
  <c r="A291" i="182" s="1"/>
  <c r="A292" i="182" s="1"/>
  <c r="A293" i="182" s="1"/>
  <c r="A294" i="182" s="1"/>
  <c r="A295" i="182" s="1"/>
  <c r="A296" i="182" s="1"/>
  <c r="A297" i="182" s="1"/>
  <c r="A298" i="182" s="1"/>
  <c r="A299" i="182" s="1"/>
  <c r="A300" i="182" s="1"/>
  <c r="A301" i="182" s="1"/>
  <c r="A302" i="182" s="1"/>
  <c r="A303" i="182" s="1"/>
  <c r="A304" i="182" s="1"/>
  <c r="A305" i="182" s="1"/>
  <c r="A306" i="182" s="1"/>
  <c r="A307" i="182" s="1"/>
  <c r="A308" i="182" s="1"/>
  <c r="A309" i="182" s="1"/>
  <c r="A310" i="182" s="1"/>
  <c r="A311" i="182" s="1"/>
  <c r="A312" i="182" s="1"/>
  <c r="A313" i="182" s="1"/>
  <c r="A314" i="182" s="1"/>
  <c r="A315" i="182" s="1"/>
  <c r="A316" i="182" s="1"/>
  <c r="A317" i="182" s="1"/>
  <c r="A318" i="182" s="1"/>
  <c r="A319" i="182" s="1"/>
  <c r="A320" i="182" s="1"/>
  <c r="A321" i="182" s="1"/>
  <c r="A322" i="182" s="1"/>
  <c r="A323" i="182" s="1"/>
  <c r="A324" i="182" s="1"/>
  <c r="A325" i="182" s="1"/>
  <c r="A326" i="182" s="1"/>
  <c r="A327" i="182" s="1"/>
  <c r="A328" i="182" s="1"/>
  <c r="A329" i="182" s="1"/>
  <c r="A330" i="182" s="1"/>
  <c r="A331" i="182" s="1"/>
  <c r="A332" i="182" s="1"/>
  <c r="A333" i="182" s="1"/>
  <c r="A334" i="182" s="1"/>
  <c r="A335" i="182" s="1"/>
  <c r="A336" i="182" s="1"/>
  <c r="A337" i="182" s="1"/>
  <c r="A338" i="182" s="1"/>
  <c r="A339" i="182" s="1"/>
  <c r="A340" i="182" s="1"/>
  <c r="A341" i="182" s="1"/>
  <c r="A342" i="182" s="1"/>
  <c r="A343" i="182" s="1"/>
  <c r="A344" i="182" s="1"/>
  <c r="A345" i="182" s="1"/>
  <c r="A346" i="182" s="1"/>
  <c r="A347" i="182" s="1"/>
  <c r="A348" i="182" s="1"/>
  <c r="A349" i="182" s="1"/>
  <c r="A350" i="182" s="1"/>
  <c r="A351" i="182" s="1"/>
  <c r="A352" i="182" s="1"/>
  <c r="A353" i="182" s="1"/>
  <c r="A354" i="182" s="1"/>
  <c r="A355" i="182" s="1"/>
  <c r="A356" i="182" s="1"/>
  <c r="A357" i="182" s="1"/>
  <c r="A358" i="182" s="1"/>
  <c r="A359" i="182" s="1"/>
  <c r="A360" i="182" s="1"/>
  <c r="A10" i="183" s="1"/>
  <c r="A11" i="183" s="1"/>
  <c r="A12" i="183" s="1"/>
  <c r="A13" i="183" s="1"/>
  <c r="A14" i="183" s="1"/>
  <c r="A15" i="183" s="1"/>
  <c r="A16" i="183" s="1"/>
  <c r="A17" i="183" s="1"/>
  <c r="A18" i="183" s="1"/>
  <c r="A19" i="183" s="1"/>
  <c r="A20" i="183" s="1"/>
  <c r="A21" i="183" s="1"/>
  <c r="A22" i="183" s="1"/>
  <c r="A23" i="183" s="1"/>
  <c r="A24" i="183" s="1"/>
  <c r="A25" i="183" s="1"/>
  <c r="A26" i="183" s="1"/>
  <c r="A27" i="183" s="1"/>
  <c r="A28" i="183" s="1"/>
  <c r="A29" i="183" s="1"/>
  <c r="A30" i="183" s="1"/>
  <c r="A31" i="183" s="1"/>
  <c r="A32" i="183" s="1"/>
  <c r="A33" i="183" s="1"/>
  <c r="A34" i="183" s="1"/>
  <c r="A35" i="183" s="1"/>
  <c r="A36" i="183" s="1"/>
  <c r="A37" i="183" s="1"/>
  <c r="A38" i="183" s="1"/>
  <c r="A39" i="183" s="1"/>
  <c r="A40" i="183" s="1"/>
  <c r="A41" i="183" s="1"/>
  <c r="A42" i="183" s="1"/>
  <c r="A43" i="183" s="1"/>
  <c r="A44" i="183" s="1"/>
  <c r="A45" i="183" s="1"/>
  <c r="A46" i="183" s="1"/>
  <c r="A47" i="183" s="1"/>
  <c r="A48" i="183" s="1"/>
  <c r="A49" i="183" s="1"/>
  <c r="A50" i="183" s="1"/>
  <c r="A10" i="184" s="1"/>
  <c r="A11" i="184" s="1"/>
  <c r="A12" i="184" s="1"/>
  <c r="A13" i="184" s="1"/>
  <c r="A14" i="184" s="1"/>
  <c r="A15" i="184" s="1"/>
  <c r="A16" i="184" s="1"/>
  <c r="A17" i="184" s="1"/>
  <c r="A18" i="184" s="1"/>
  <c r="A19" i="184" s="1"/>
  <c r="A20" i="184" s="1"/>
  <c r="A21" i="184" s="1"/>
  <c r="A22" i="184" s="1"/>
  <c r="A23" i="184" s="1"/>
  <c r="A24" i="184" s="1"/>
  <c r="A25" i="184" s="1"/>
  <c r="A26" i="184" s="1"/>
  <c r="A27" i="184" s="1"/>
  <c r="A28" i="184" s="1"/>
  <c r="A29" i="184" s="1"/>
  <c r="A30" i="184" s="1"/>
  <c r="A31" i="184" s="1"/>
  <c r="A32" i="184" s="1"/>
  <c r="A33" i="184" s="1"/>
  <c r="A34" i="184" s="1"/>
  <c r="A35" i="184" s="1"/>
  <c r="A36" i="184" s="1"/>
  <c r="A37" i="184" s="1"/>
  <c r="A38" i="184" s="1"/>
  <c r="A39" i="184" s="1"/>
  <c r="A40" i="184" s="1"/>
  <c r="A41" i="184" s="1"/>
  <c r="A42" i="184" s="1"/>
  <c r="A43" i="184" s="1"/>
  <c r="A44" i="184" s="1"/>
  <c r="A45" i="184" s="1"/>
  <c r="A46" i="184" s="1"/>
  <c r="A47" i="184" s="1"/>
  <c r="A48" i="184" s="1"/>
  <c r="A49" i="184" s="1"/>
  <c r="A50" i="184" s="1"/>
  <c r="A51" i="184" s="1"/>
  <c r="A52" i="184" s="1"/>
  <c r="A53" i="184" s="1"/>
  <c r="A54" i="184" s="1"/>
  <c r="A55" i="184" s="1"/>
  <c r="A56" i="184" s="1"/>
  <c r="A57" i="184" s="1"/>
  <c r="A58" i="184" s="1"/>
  <c r="A59" i="184" s="1"/>
  <c r="A60" i="184" s="1"/>
  <c r="A61" i="184" s="1"/>
  <c r="A62" i="184" s="1"/>
  <c r="A63" i="184" s="1"/>
  <c r="A64" i="184" s="1"/>
  <c r="A65" i="184" s="1"/>
  <c r="A66" i="184" s="1"/>
  <c r="A67" i="184" s="1"/>
  <c r="A68" i="184" s="1"/>
  <c r="A69" i="184" s="1"/>
  <c r="A70" i="184" s="1"/>
  <c r="A71" i="184" s="1"/>
  <c r="A72" i="184" s="1"/>
  <c r="A73" i="184" s="1"/>
  <c r="A74" i="184" s="1"/>
  <c r="A75" i="184" s="1"/>
  <c r="A76" i="184" s="1"/>
  <c r="A77" i="184" s="1"/>
  <c r="A78" i="184" s="1"/>
  <c r="A79" i="184" s="1"/>
  <c r="A80" i="184" s="1"/>
  <c r="A81" i="184" s="1"/>
  <c r="A82" i="184" s="1"/>
  <c r="A83" i="184" s="1"/>
  <c r="A84" i="184" s="1"/>
  <c r="A85" i="184" s="1"/>
  <c r="A86" i="184" s="1"/>
  <c r="A87" i="184" s="1"/>
  <c r="A88" i="184" s="1"/>
  <c r="A89" i="184" s="1"/>
  <c r="A90" i="184" s="1"/>
  <c r="A91" i="184" s="1"/>
  <c r="A92" i="184" s="1"/>
  <c r="A93" i="184" s="1"/>
  <c r="A94" i="184" s="1"/>
  <c r="A95" i="184" s="1"/>
  <c r="A96" i="184" s="1"/>
  <c r="A97" i="184" s="1"/>
  <c r="A98" i="184" s="1"/>
  <c r="A99" i="184" s="1"/>
  <c r="A100" i="184" s="1"/>
  <c r="A101" i="184" s="1"/>
  <c r="A102" i="184" s="1"/>
  <c r="A103" i="184" s="1"/>
  <c r="A104" i="184" s="1"/>
  <c r="A105" i="184" s="1"/>
  <c r="A106" i="184" s="1"/>
  <c r="A107" i="184" s="1"/>
  <c r="A108" i="184" s="1"/>
  <c r="A109" i="184" s="1"/>
  <c r="A110" i="184" s="1"/>
  <c r="A111" i="184" s="1"/>
  <c r="A112" i="184" s="1"/>
  <c r="A113" i="184" s="1"/>
  <c r="A114" i="184" s="1"/>
  <c r="A115" i="184" s="1"/>
  <c r="A116" i="184" s="1"/>
  <c r="A117" i="184" s="1"/>
  <c r="A118" i="184" s="1"/>
  <c r="A119" i="184" s="1"/>
  <c r="A120" i="184" s="1"/>
  <c r="A121" i="184" s="1"/>
  <c r="A122" i="184" s="1"/>
  <c r="A123" i="184" s="1"/>
  <c r="A124" i="184" s="1"/>
  <c r="A125" i="184" s="1"/>
  <c r="A126" i="184" s="1"/>
  <c r="A127" i="184" s="1"/>
  <c r="A128" i="184" s="1"/>
  <c r="A129" i="184" s="1"/>
  <c r="A130" i="184" s="1"/>
  <c r="A131" i="184" s="1"/>
  <c r="A132" i="184" s="1"/>
  <c r="A133" i="184" s="1"/>
  <c r="A134" i="184" s="1"/>
  <c r="A135" i="184" s="1"/>
  <c r="A136" i="184" s="1"/>
  <c r="A137" i="184" s="1"/>
  <c r="A138" i="184" s="1"/>
  <c r="N15" i="178"/>
  <c r="N14" i="178"/>
  <c r="N13" i="178"/>
  <c r="A13" i="178"/>
  <c r="A14" i="178" s="1"/>
  <c r="A15" i="178" s="1"/>
  <c r="N12" i="178"/>
  <c r="A12" i="178"/>
  <c r="N11" i="178"/>
  <c r="A11" i="178"/>
  <c r="N10" i="178"/>
  <c r="A3" i="178"/>
  <c r="Q52" i="177"/>
  <c r="P52" i="177"/>
  <c r="O52" i="177"/>
  <c r="N52" i="177"/>
  <c r="M52" i="177"/>
  <c r="H52" i="177"/>
  <c r="G52" i="177"/>
  <c r="F52" i="177"/>
  <c r="D52" i="177"/>
  <c r="S51" i="177"/>
  <c r="S50" i="177"/>
  <c r="S49" i="177"/>
  <c r="S48" i="177"/>
  <c r="S47" i="177"/>
  <c r="S46" i="177"/>
  <c r="S45" i="177"/>
  <c r="S44" i="177"/>
  <c r="S43" i="177"/>
  <c r="S42" i="177"/>
  <c r="S41" i="177"/>
  <c r="S40" i="177"/>
  <c r="S39" i="177"/>
  <c r="S38" i="177"/>
  <c r="S37" i="177"/>
  <c r="S36" i="177"/>
  <c r="S35" i="177"/>
  <c r="S34" i="177"/>
  <c r="S33" i="177"/>
  <c r="S32" i="177"/>
  <c r="S31" i="177"/>
  <c r="S30" i="177"/>
  <c r="S29" i="177"/>
  <c r="S28" i="177"/>
  <c r="S27" i="177"/>
  <c r="S26" i="177"/>
  <c r="S25" i="177"/>
  <c r="S24" i="177"/>
  <c r="S23" i="177"/>
  <c r="S22" i="177"/>
  <c r="S21" i="177"/>
  <c r="S20" i="177"/>
  <c r="S19" i="177"/>
  <c r="S18" i="177"/>
  <c r="S17" i="177"/>
  <c r="S16" i="177"/>
  <c r="S15" i="177"/>
  <c r="S14" i="177"/>
  <c r="S13" i="177"/>
  <c r="S12" i="177"/>
  <c r="S11" i="177"/>
  <c r="S10" i="177"/>
  <c r="S9" i="177"/>
  <c r="R169" i="176"/>
  <c r="R168" i="176"/>
  <c r="O168" i="176"/>
  <c r="Q168" i="176" s="1"/>
  <c r="M168" i="176"/>
  <c r="R167" i="176"/>
  <c r="R166" i="176"/>
  <c r="Q166" i="176"/>
  <c r="O166" i="176"/>
  <c r="M166" i="176"/>
  <c r="R165" i="176"/>
  <c r="R164" i="176"/>
  <c r="Q164" i="176"/>
  <c r="M164" i="176"/>
  <c r="R163" i="176"/>
  <c r="R162" i="176"/>
  <c r="Q162" i="176"/>
  <c r="M162" i="176"/>
  <c r="G162" i="176"/>
  <c r="R161" i="176"/>
  <c r="R160" i="176"/>
  <c r="P160" i="176"/>
  <c r="O160" i="176"/>
  <c r="N160" i="176"/>
  <c r="L160" i="176"/>
  <c r="K160" i="176"/>
  <c r="I160" i="176"/>
  <c r="H160" i="176"/>
  <c r="G160" i="176"/>
  <c r="R159" i="176"/>
  <c r="Q159" i="176"/>
  <c r="Q160" i="176" s="1"/>
  <c r="M159" i="176"/>
  <c r="M160" i="176" s="1"/>
  <c r="R158" i="176"/>
  <c r="R157" i="176"/>
  <c r="R156" i="176"/>
  <c r="R155" i="176"/>
  <c r="R154" i="176"/>
  <c r="R153" i="176"/>
  <c r="R152" i="176"/>
  <c r="R151" i="176"/>
  <c r="R150" i="176"/>
  <c r="R149" i="176"/>
  <c r="R148" i="176"/>
  <c r="R147" i="176"/>
  <c r="R146" i="176"/>
  <c r="R145" i="176"/>
  <c r="R144" i="176"/>
  <c r="R143" i="176"/>
  <c r="R142" i="176"/>
  <c r="R141" i="176"/>
  <c r="R140" i="176"/>
  <c r="R139" i="176"/>
  <c r="R138" i="176"/>
  <c r="R137" i="176"/>
  <c r="R136" i="176"/>
  <c r="R135" i="176"/>
  <c r="R134" i="176"/>
  <c r="R133" i="176"/>
  <c r="R132" i="176"/>
  <c r="R131" i="176"/>
  <c r="R130" i="176"/>
  <c r="R129" i="176"/>
  <c r="R128" i="176"/>
  <c r="R127" i="176"/>
  <c r="R126" i="176"/>
  <c r="R125" i="176"/>
  <c r="R124" i="176"/>
  <c r="R123" i="176"/>
  <c r="R122" i="176"/>
  <c r="R121" i="176"/>
  <c r="R120" i="176"/>
  <c r="R119" i="176"/>
  <c r="R118" i="176"/>
  <c r="R117" i="176"/>
  <c r="R116" i="176"/>
  <c r="R115" i="176"/>
  <c r="R114" i="176"/>
  <c r="R113" i="176"/>
  <c r="R112" i="176"/>
  <c r="R111" i="176"/>
  <c r="R110" i="176"/>
  <c r="R109" i="176"/>
  <c r="R108" i="176"/>
  <c r="R107" i="176"/>
  <c r="R106" i="176"/>
  <c r="R105" i="176"/>
  <c r="R104" i="176"/>
  <c r="R103" i="176"/>
  <c r="R102" i="176"/>
  <c r="R101" i="176"/>
  <c r="R100" i="176"/>
  <c r="R99" i="176"/>
  <c r="R98" i="176"/>
  <c r="R97" i="176"/>
  <c r="R96" i="176"/>
  <c r="R95" i="176"/>
  <c r="R94" i="176"/>
  <c r="R93" i="176"/>
  <c r="R92" i="176"/>
  <c r="R91" i="176"/>
  <c r="R90" i="176"/>
  <c r="R89" i="176"/>
  <c r="R88" i="176"/>
  <c r="R87" i="176"/>
  <c r="R86" i="176"/>
  <c r="R85" i="176"/>
  <c r="R84" i="176"/>
  <c r="R83" i="176"/>
  <c r="R82" i="176"/>
  <c r="R81" i="176"/>
  <c r="R80" i="176"/>
  <c r="R79" i="176"/>
  <c r="R78" i="176"/>
  <c r="R77" i="176"/>
  <c r="R76" i="176"/>
  <c r="R75" i="176"/>
  <c r="R74" i="176"/>
  <c r="R73" i="176"/>
  <c r="R72" i="176"/>
  <c r="R71" i="176"/>
  <c r="R70" i="176"/>
  <c r="R69" i="176"/>
  <c r="R68" i="176"/>
  <c r="R67" i="176"/>
  <c r="R66" i="176"/>
  <c r="R65" i="176"/>
  <c r="R64" i="176"/>
  <c r="R63" i="176"/>
  <c r="R62" i="176"/>
  <c r="R61" i="176"/>
  <c r="R60" i="176"/>
  <c r="R59" i="176"/>
  <c r="R58" i="176"/>
  <c r="R57" i="176"/>
  <c r="R56" i="176"/>
  <c r="R55" i="176"/>
  <c r="R54" i="176"/>
  <c r="R53" i="176"/>
  <c r="R52" i="176"/>
  <c r="R51" i="176"/>
  <c r="R50" i="176"/>
  <c r="R49" i="176"/>
  <c r="R48" i="176"/>
  <c r="R47" i="176"/>
  <c r="R46" i="176"/>
  <c r="R45" i="176"/>
  <c r="R44" i="176"/>
  <c r="R43" i="176"/>
  <c r="R42" i="176"/>
  <c r="R41" i="176"/>
  <c r="R40" i="176"/>
  <c r="R39" i="176"/>
  <c r="R38" i="176"/>
  <c r="R37" i="176"/>
  <c r="R36" i="176"/>
  <c r="R35" i="176"/>
  <c r="R34" i="176"/>
  <c r="R33" i="176"/>
  <c r="R32" i="176"/>
  <c r="R31" i="176"/>
  <c r="R30" i="176"/>
  <c r="R29" i="176"/>
  <c r="R28" i="176"/>
  <c r="R27" i="176"/>
  <c r="R26" i="176"/>
  <c r="R25" i="176"/>
  <c r="R24" i="176"/>
  <c r="R23" i="176"/>
  <c r="R22" i="176"/>
  <c r="R21" i="176"/>
  <c r="R20" i="176"/>
  <c r="R19" i="176"/>
  <c r="R18" i="176"/>
  <c r="R17" i="176"/>
  <c r="R16" i="176"/>
  <c r="R15" i="176"/>
  <c r="R14" i="176"/>
  <c r="R13" i="176"/>
  <c r="R12" i="176"/>
  <c r="R11" i="176"/>
  <c r="R10" i="176"/>
  <c r="R9" i="176"/>
  <c r="R26" i="175"/>
  <c r="R25" i="175"/>
  <c r="O25" i="175"/>
  <c r="N25" i="175"/>
  <c r="M25" i="175"/>
  <c r="L25" i="175"/>
  <c r="K25" i="175"/>
  <c r="I25" i="175"/>
  <c r="H25" i="175"/>
  <c r="G25" i="175"/>
  <c r="R24" i="175"/>
  <c r="Q24" i="175"/>
  <c r="Q25" i="175" s="1"/>
  <c r="P24" i="175"/>
  <c r="P25" i="175" s="1"/>
  <c r="M24" i="175"/>
  <c r="R23" i="175"/>
  <c r="R22" i="175"/>
  <c r="R21" i="175"/>
  <c r="R20" i="175"/>
  <c r="R19" i="175"/>
  <c r="R18" i="175"/>
  <c r="R17" i="175"/>
  <c r="R16" i="175"/>
  <c r="R15" i="175"/>
  <c r="R14" i="175"/>
  <c r="R13" i="175"/>
  <c r="R12" i="175"/>
  <c r="R11" i="175"/>
  <c r="R10" i="175"/>
  <c r="R9" i="175"/>
  <c r="R96" i="174"/>
  <c r="R95" i="174"/>
  <c r="Q95" i="174"/>
  <c r="P95" i="174"/>
  <c r="O95" i="174"/>
  <c r="N95" i="174"/>
  <c r="L95" i="174"/>
  <c r="K95" i="174"/>
  <c r="I95" i="174"/>
  <c r="H95" i="174"/>
  <c r="G95" i="174"/>
  <c r="R94" i="174"/>
  <c r="Q94" i="174"/>
  <c r="M94" i="174"/>
  <c r="M95" i="174" s="1"/>
  <c r="R93" i="174"/>
  <c r="R92" i="174"/>
  <c r="R91" i="174"/>
  <c r="R90" i="174"/>
  <c r="R89" i="174"/>
  <c r="R88" i="174"/>
  <c r="R87" i="174"/>
  <c r="R86" i="174"/>
  <c r="R85" i="174"/>
  <c r="R84" i="174"/>
  <c r="R83" i="174"/>
  <c r="R82" i="174"/>
  <c r="R81" i="174"/>
  <c r="R80" i="174"/>
  <c r="R79" i="174"/>
  <c r="R78" i="174"/>
  <c r="R77" i="174"/>
  <c r="R76" i="174"/>
  <c r="R75" i="174"/>
  <c r="R74" i="174"/>
  <c r="R73" i="174"/>
  <c r="R72" i="174"/>
  <c r="R71" i="174"/>
  <c r="R70" i="174"/>
  <c r="R69" i="174"/>
  <c r="R68" i="174"/>
  <c r="R67" i="174"/>
  <c r="R66" i="174"/>
  <c r="R65" i="174"/>
  <c r="R64" i="174"/>
  <c r="R63" i="174"/>
  <c r="R62" i="174"/>
  <c r="R61" i="174"/>
  <c r="R60" i="174"/>
  <c r="R59" i="174"/>
  <c r="R58" i="174"/>
  <c r="R57" i="174"/>
  <c r="R56" i="174"/>
  <c r="R55" i="174"/>
  <c r="R54" i="174"/>
  <c r="R53" i="174"/>
  <c r="R52" i="174"/>
  <c r="R51" i="174"/>
  <c r="R50" i="174"/>
  <c r="R49" i="174"/>
  <c r="R48" i="174"/>
  <c r="R47" i="174"/>
  <c r="R46" i="174"/>
  <c r="R45" i="174"/>
  <c r="R44" i="174"/>
  <c r="R43" i="174"/>
  <c r="R42" i="174"/>
  <c r="R41" i="174"/>
  <c r="R40" i="174"/>
  <c r="R39" i="174"/>
  <c r="R38" i="174"/>
  <c r="R37" i="174"/>
  <c r="R36" i="174"/>
  <c r="R35" i="174"/>
  <c r="R34" i="174"/>
  <c r="R33" i="174"/>
  <c r="R32" i="174"/>
  <c r="R31" i="174"/>
  <c r="R30" i="174"/>
  <c r="R29" i="174"/>
  <c r="R28" i="174"/>
  <c r="R27" i="174"/>
  <c r="R26" i="174"/>
  <c r="R25" i="174"/>
  <c r="R24" i="174"/>
  <c r="R23" i="174"/>
  <c r="R22" i="174"/>
  <c r="R21" i="174"/>
  <c r="R20" i="174"/>
  <c r="R19" i="174"/>
  <c r="R18" i="174"/>
  <c r="R17" i="174"/>
  <c r="R16" i="174"/>
  <c r="R15" i="174"/>
  <c r="R14" i="174"/>
  <c r="R13" i="174"/>
  <c r="R12" i="174"/>
  <c r="R11" i="174"/>
  <c r="R10" i="174"/>
  <c r="R9" i="174"/>
  <c r="R54" i="173"/>
  <c r="R53" i="173"/>
  <c r="R52" i="173"/>
  <c r="P52" i="173"/>
  <c r="O52" i="173"/>
  <c r="N52" i="173"/>
  <c r="N28" i="172" s="1"/>
  <c r="N31" i="172" s="1"/>
  <c r="L52" i="173"/>
  <c r="L28" i="172" s="1"/>
  <c r="K52" i="173"/>
  <c r="I52" i="173"/>
  <c r="H52" i="173"/>
  <c r="G52" i="173"/>
  <c r="R51" i="173"/>
  <c r="Q51" i="173"/>
  <c r="Q52" i="173" s="1"/>
  <c r="N51" i="173"/>
  <c r="M51" i="173"/>
  <c r="M52" i="173" s="1"/>
  <c r="A51" i="173"/>
  <c r="A9" i="174" s="1"/>
  <c r="A10" i="174" s="1"/>
  <c r="A11" i="174" s="1"/>
  <c r="A12" i="174" s="1"/>
  <c r="A13" i="174" s="1"/>
  <c r="A14" i="174" s="1"/>
  <c r="A15" i="174" s="1"/>
  <c r="A16" i="174" s="1"/>
  <c r="A17" i="174" s="1"/>
  <c r="A18" i="174" s="1"/>
  <c r="A19" i="174" s="1"/>
  <c r="A20" i="174" s="1"/>
  <c r="A21" i="174" s="1"/>
  <c r="A22" i="174" s="1"/>
  <c r="A23" i="174" s="1"/>
  <c r="A24" i="174" s="1"/>
  <c r="A25" i="174" s="1"/>
  <c r="A26" i="174" s="1"/>
  <c r="A27" i="174" s="1"/>
  <c r="A28" i="174" s="1"/>
  <c r="A29" i="174" s="1"/>
  <c r="A30" i="174" s="1"/>
  <c r="A31" i="174" s="1"/>
  <c r="A32" i="174" s="1"/>
  <c r="A33" i="174" s="1"/>
  <c r="A34" i="174" s="1"/>
  <c r="A35" i="174" s="1"/>
  <c r="A36" i="174" s="1"/>
  <c r="A37" i="174" s="1"/>
  <c r="A38" i="174" s="1"/>
  <c r="A39" i="174" s="1"/>
  <c r="A40" i="174" s="1"/>
  <c r="A41" i="174" s="1"/>
  <c r="A42" i="174" s="1"/>
  <c r="A43" i="174" s="1"/>
  <c r="A44" i="174" s="1"/>
  <c r="A45" i="174" s="1"/>
  <c r="A46" i="174" s="1"/>
  <c r="A47" i="174" s="1"/>
  <c r="A48" i="174" s="1"/>
  <c r="A49" i="174" s="1"/>
  <c r="A50" i="174" s="1"/>
  <c r="A51" i="174" s="1"/>
  <c r="A52" i="174" s="1"/>
  <c r="A53" i="174" s="1"/>
  <c r="A54" i="174" s="1"/>
  <c r="A55" i="174" s="1"/>
  <c r="A56" i="174" s="1"/>
  <c r="A57" i="174" s="1"/>
  <c r="A58" i="174" s="1"/>
  <c r="A59" i="174" s="1"/>
  <c r="A60" i="174" s="1"/>
  <c r="A61" i="174" s="1"/>
  <c r="A62" i="174" s="1"/>
  <c r="A63" i="174" s="1"/>
  <c r="A64" i="174" s="1"/>
  <c r="A65" i="174" s="1"/>
  <c r="A66" i="174" s="1"/>
  <c r="A67" i="174" s="1"/>
  <c r="A68" i="174" s="1"/>
  <c r="A69" i="174" s="1"/>
  <c r="A70" i="174" s="1"/>
  <c r="A71" i="174" s="1"/>
  <c r="A72" i="174" s="1"/>
  <c r="A73" i="174" s="1"/>
  <c r="A74" i="174" s="1"/>
  <c r="A75" i="174" s="1"/>
  <c r="A76" i="174" s="1"/>
  <c r="A77" i="174" s="1"/>
  <c r="A78" i="174" s="1"/>
  <c r="A79" i="174" s="1"/>
  <c r="A80" i="174" s="1"/>
  <c r="A81" i="174" s="1"/>
  <c r="A82" i="174" s="1"/>
  <c r="A83" i="174" s="1"/>
  <c r="A84" i="174" s="1"/>
  <c r="A85" i="174" s="1"/>
  <c r="A86" i="174" s="1"/>
  <c r="A87" i="174" s="1"/>
  <c r="A88" i="174" s="1"/>
  <c r="A89" i="174" s="1"/>
  <c r="A90" i="174" s="1"/>
  <c r="A91" i="174" s="1"/>
  <c r="A92" i="174" s="1"/>
  <c r="A93" i="174" s="1"/>
  <c r="A94" i="174" s="1"/>
  <c r="A9" i="175" s="1"/>
  <c r="A10" i="175" s="1"/>
  <c r="A11" i="175" s="1"/>
  <c r="A12" i="175" s="1"/>
  <c r="A13" i="175" s="1"/>
  <c r="A14" i="175" s="1"/>
  <c r="A15" i="175" s="1"/>
  <c r="A16" i="175" s="1"/>
  <c r="A17" i="175" s="1"/>
  <c r="A18" i="175" s="1"/>
  <c r="A19" i="175" s="1"/>
  <c r="A20" i="175" s="1"/>
  <c r="A21" i="175" s="1"/>
  <c r="A22" i="175" s="1"/>
  <c r="A23" i="175" s="1"/>
  <c r="A24" i="175" s="1"/>
  <c r="A9" i="176" s="1"/>
  <c r="A10" i="176" s="1"/>
  <c r="A11" i="176" s="1"/>
  <c r="A12" i="176" s="1"/>
  <c r="A13" i="176" s="1"/>
  <c r="A14" i="176" s="1"/>
  <c r="A15" i="176" s="1"/>
  <c r="A16" i="176" s="1"/>
  <c r="A17" i="176" s="1"/>
  <c r="A18" i="176" s="1"/>
  <c r="A19" i="176" s="1"/>
  <c r="A20" i="176" s="1"/>
  <c r="A21" i="176" s="1"/>
  <c r="A22" i="176" s="1"/>
  <c r="A23" i="176" s="1"/>
  <c r="A24" i="176" s="1"/>
  <c r="A25" i="176" s="1"/>
  <c r="A26" i="176" s="1"/>
  <c r="A27" i="176" s="1"/>
  <c r="A28" i="176" s="1"/>
  <c r="A29" i="176" s="1"/>
  <c r="A30" i="176" s="1"/>
  <c r="A31" i="176" s="1"/>
  <c r="A32" i="176" s="1"/>
  <c r="A33" i="176" s="1"/>
  <c r="A34" i="176" s="1"/>
  <c r="A35" i="176" s="1"/>
  <c r="A36" i="176" s="1"/>
  <c r="A37" i="176" s="1"/>
  <c r="A38" i="176" s="1"/>
  <c r="A39" i="176" s="1"/>
  <c r="A40" i="176" s="1"/>
  <c r="A41" i="176" s="1"/>
  <c r="A42" i="176" s="1"/>
  <c r="A43" i="176" s="1"/>
  <c r="A44" i="176" s="1"/>
  <c r="A45" i="176" s="1"/>
  <c r="A46" i="176" s="1"/>
  <c r="A47" i="176" s="1"/>
  <c r="A48" i="176" s="1"/>
  <c r="A49" i="176" s="1"/>
  <c r="A50" i="176" s="1"/>
  <c r="A51" i="176" s="1"/>
  <c r="A52" i="176" s="1"/>
  <c r="A53" i="176" s="1"/>
  <c r="A54" i="176" s="1"/>
  <c r="A55" i="176" s="1"/>
  <c r="A56" i="176" s="1"/>
  <c r="A57" i="176" s="1"/>
  <c r="A58" i="176" s="1"/>
  <c r="A59" i="176" s="1"/>
  <c r="A60" i="176" s="1"/>
  <c r="A61" i="176" s="1"/>
  <c r="A62" i="176" s="1"/>
  <c r="A63" i="176" s="1"/>
  <c r="A64" i="176" s="1"/>
  <c r="A65" i="176" s="1"/>
  <c r="A66" i="176" s="1"/>
  <c r="A67" i="176" s="1"/>
  <c r="A68" i="176" s="1"/>
  <c r="A69" i="176" s="1"/>
  <c r="A70" i="176" s="1"/>
  <c r="A71" i="176" s="1"/>
  <c r="A72" i="176" s="1"/>
  <c r="A73" i="176" s="1"/>
  <c r="A74" i="176" s="1"/>
  <c r="A75" i="176" s="1"/>
  <c r="A76" i="176" s="1"/>
  <c r="A77" i="176" s="1"/>
  <c r="A78" i="176" s="1"/>
  <c r="A79" i="176" s="1"/>
  <c r="A80" i="176" s="1"/>
  <c r="A81" i="176" s="1"/>
  <c r="A82" i="176" s="1"/>
  <c r="A83" i="176" s="1"/>
  <c r="A84" i="176" s="1"/>
  <c r="A85" i="176" s="1"/>
  <c r="A86" i="176" s="1"/>
  <c r="A87" i="176" s="1"/>
  <c r="A88" i="176" s="1"/>
  <c r="A89" i="176" s="1"/>
  <c r="A90" i="176" s="1"/>
  <c r="A91" i="176" s="1"/>
  <c r="A92" i="176" s="1"/>
  <c r="A93" i="176" s="1"/>
  <c r="A94" i="176" s="1"/>
  <c r="A95" i="176" s="1"/>
  <c r="A96" i="176" s="1"/>
  <c r="A97" i="176" s="1"/>
  <c r="A98" i="176" s="1"/>
  <c r="A99" i="176" s="1"/>
  <c r="A100" i="176" s="1"/>
  <c r="A101" i="176" s="1"/>
  <c r="A102" i="176" s="1"/>
  <c r="A103" i="176" s="1"/>
  <c r="A104" i="176" s="1"/>
  <c r="A105" i="176" s="1"/>
  <c r="A106" i="176" s="1"/>
  <c r="A107" i="176" s="1"/>
  <c r="A108" i="176" s="1"/>
  <c r="A109" i="176" s="1"/>
  <c r="A110" i="176" s="1"/>
  <c r="A111" i="176" s="1"/>
  <c r="A112" i="176" s="1"/>
  <c r="A113" i="176" s="1"/>
  <c r="A114" i="176" s="1"/>
  <c r="A115" i="176" s="1"/>
  <c r="A116" i="176" s="1"/>
  <c r="A117" i="176" s="1"/>
  <c r="A118" i="176" s="1"/>
  <c r="A119" i="176" s="1"/>
  <c r="A120" i="176" s="1"/>
  <c r="A121" i="176" s="1"/>
  <c r="A122" i="176" s="1"/>
  <c r="A123" i="176" s="1"/>
  <c r="A124" i="176" s="1"/>
  <c r="A125" i="176" s="1"/>
  <c r="A126" i="176" s="1"/>
  <c r="A127" i="176" s="1"/>
  <c r="A128" i="176" s="1"/>
  <c r="A129" i="176" s="1"/>
  <c r="A130" i="176" s="1"/>
  <c r="A131" i="176" s="1"/>
  <c r="A132" i="176" s="1"/>
  <c r="A133" i="176" s="1"/>
  <c r="A134" i="176" s="1"/>
  <c r="A135" i="176" s="1"/>
  <c r="A136" i="176" s="1"/>
  <c r="A137" i="176" s="1"/>
  <c r="A138" i="176" s="1"/>
  <c r="A139" i="176" s="1"/>
  <c r="A140" i="176" s="1"/>
  <c r="A141" i="176" s="1"/>
  <c r="A142" i="176" s="1"/>
  <c r="A143" i="176" s="1"/>
  <c r="A144" i="176" s="1"/>
  <c r="A145" i="176" s="1"/>
  <c r="A146" i="176" s="1"/>
  <c r="A147" i="176" s="1"/>
  <c r="A148" i="176" s="1"/>
  <c r="A149" i="176" s="1"/>
  <c r="A150" i="176" s="1"/>
  <c r="A151" i="176" s="1"/>
  <c r="A152" i="176" s="1"/>
  <c r="A153" i="176" s="1"/>
  <c r="A154" i="176" s="1"/>
  <c r="A155" i="176" s="1"/>
  <c r="A156" i="176" s="1"/>
  <c r="A157" i="176" s="1"/>
  <c r="A158" i="176" s="1"/>
  <c r="A159" i="176" s="1"/>
  <c r="A161" i="176" s="1"/>
  <c r="A162" i="176" s="1"/>
  <c r="A163" i="176" s="1"/>
  <c r="A164" i="176" s="1"/>
  <c r="A165" i="176" s="1"/>
  <c r="A166" i="176" s="1"/>
  <c r="A167" i="176" s="1"/>
  <c r="A168" i="176" s="1"/>
  <c r="R50" i="173"/>
  <c r="R49" i="173"/>
  <c r="R48" i="173"/>
  <c r="R47" i="173"/>
  <c r="R46" i="173"/>
  <c r="R45" i="173"/>
  <c r="R44" i="173"/>
  <c r="R43" i="173"/>
  <c r="R42" i="173"/>
  <c r="R41" i="173"/>
  <c r="R40" i="173"/>
  <c r="R39" i="173"/>
  <c r="R38" i="173"/>
  <c r="R37" i="173"/>
  <c r="R36" i="173"/>
  <c r="R35" i="173"/>
  <c r="A35" i="173"/>
  <c r="A36" i="173" s="1"/>
  <c r="A37" i="173" s="1"/>
  <c r="A38" i="173" s="1"/>
  <c r="A39" i="173" s="1"/>
  <c r="A40" i="173" s="1"/>
  <c r="A41" i="173" s="1"/>
  <c r="A42" i="173" s="1"/>
  <c r="A43" i="173" s="1"/>
  <c r="A44" i="173" s="1"/>
  <c r="A45" i="173" s="1"/>
  <c r="A46" i="173" s="1"/>
  <c r="A47" i="173" s="1"/>
  <c r="A48" i="173" s="1"/>
  <c r="A49" i="173" s="1"/>
  <c r="A50" i="173" s="1"/>
  <c r="R34" i="173"/>
  <c r="R33" i="173"/>
  <c r="R32" i="173"/>
  <c r="R31" i="173"/>
  <c r="R30" i="173"/>
  <c r="R29" i="173"/>
  <c r="R28" i="173"/>
  <c r="R27" i="173"/>
  <c r="A27" i="173"/>
  <c r="A28" i="173" s="1"/>
  <c r="A29" i="173" s="1"/>
  <c r="A30" i="173" s="1"/>
  <c r="A31" i="173" s="1"/>
  <c r="A32" i="173" s="1"/>
  <c r="A33" i="173" s="1"/>
  <c r="A34" i="173" s="1"/>
  <c r="R26" i="173"/>
  <c r="A26" i="173"/>
  <c r="R25" i="173"/>
  <c r="R24" i="173"/>
  <c r="R23" i="173"/>
  <c r="R22" i="173"/>
  <c r="R21" i="173"/>
  <c r="R20" i="173"/>
  <c r="R19" i="173"/>
  <c r="R18" i="173"/>
  <c r="R17" i="173"/>
  <c r="R16" i="173"/>
  <c r="R15" i="173"/>
  <c r="R14" i="173"/>
  <c r="R13" i="173"/>
  <c r="R12" i="173"/>
  <c r="R11" i="173"/>
  <c r="R10" i="173"/>
  <c r="R9" i="173"/>
  <c r="A9" i="173"/>
  <c r="A10" i="173" s="1"/>
  <c r="A11" i="173" s="1"/>
  <c r="A12" i="173" s="1"/>
  <c r="A13" i="173" s="1"/>
  <c r="A14" i="173" s="1"/>
  <c r="A15" i="173" s="1"/>
  <c r="A16" i="173" s="1"/>
  <c r="A17" i="173" s="1"/>
  <c r="A18" i="173" s="1"/>
  <c r="A19" i="173" s="1"/>
  <c r="A20" i="173" s="1"/>
  <c r="A21" i="173" s="1"/>
  <c r="A22" i="173" s="1"/>
  <c r="A23" i="173" s="1"/>
  <c r="A24" i="173" s="1"/>
  <c r="O30" i="172"/>
  <c r="R27" i="172"/>
  <c r="R26" i="172"/>
  <c r="Q26" i="172"/>
  <c r="P26" i="172"/>
  <c r="P28" i="172" s="1"/>
  <c r="P31" i="172" s="1"/>
  <c r="O26" i="172"/>
  <c r="O28" i="172" s="1"/>
  <c r="N26" i="172"/>
  <c r="M26" i="172"/>
  <c r="L26" i="172"/>
  <c r="K26" i="172"/>
  <c r="I26" i="172"/>
  <c r="I28" i="172" s="1"/>
  <c r="H26" i="172"/>
  <c r="G26" i="172"/>
  <c r="G28" i="172" s="1"/>
  <c r="R25" i="172"/>
  <c r="O25" i="172"/>
  <c r="Q25" i="172" s="1"/>
  <c r="M25" i="172"/>
  <c r="R24" i="172"/>
  <c r="R23" i="172"/>
  <c r="R22" i="172"/>
  <c r="R21" i="172"/>
  <c r="R20" i="172"/>
  <c r="R19" i="172"/>
  <c r="R18" i="172"/>
  <c r="R17" i="172"/>
  <c r="R16" i="172"/>
  <c r="R15" i="172"/>
  <c r="R14" i="172"/>
  <c r="R13" i="172"/>
  <c r="R12" i="172"/>
  <c r="R11" i="172"/>
  <c r="R10" i="172"/>
  <c r="R9" i="172"/>
  <c r="F58" i="171"/>
  <c r="F59" i="171" s="1"/>
  <c r="F52" i="171"/>
  <c r="F53" i="171" s="1"/>
  <c r="F32" i="171"/>
  <c r="F31" i="171"/>
  <c r="C15" i="171"/>
  <c r="O56" i="170"/>
  <c r="H56" i="170"/>
  <c r="O55" i="170"/>
  <c r="O54" i="170"/>
  <c r="H54" i="170"/>
  <c r="O53" i="170"/>
  <c r="H53" i="170"/>
  <c r="O52" i="170"/>
  <c r="H52" i="170"/>
  <c r="O51" i="170"/>
  <c r="H51" i="170"/>
  <c r="O50" i="170"/>
  <c r="H50" i="170"/>
  <c r="O49" i="170"/>
  <c r="H49" i="170"/>
  <c r="O48" i="170"/>
  <c r="H48" i="170"/>
  <c r="O47" i="170"/>
  <c r="H47" i="170"/>
  <c r="O46" i="170"/>
  <c r="H46" i="170"/>
  <c r="O45" i="170"/>
  <c r="H45" i="170"/>
  <c r="O44" i="170"/>
  <c r="H44" i="170"/>
  <c r="O43" i="170"/>
  <c r="H43" i="170"/>
  <c r="O42" i="170"/>
  <c r="H42" i="170"/>
  <c r="O41" i="170"/>
  <c r="H41" i="170"/>
  <c r="O40" i="170"/>
  <c r="H40" i="170"/>
  <c r="O39" i="170"/>
  <c r="H39" i="170"/>
  <c r="O38" i="170"/>
  <c r="H38" i="170"/>
  <c r="O37" i="170"/>
  <c r="H37" i="170"/>
  <c r="O36" i="170"/>
  <c r="H36" i="170"/>
  <c r="O35" i="170"/>
  <c r="O34" i="170"/>
  <c r="O33" i="170"/>
  <c r="O32" i="170"/>
  <c r="O31" i="170"/>
  <c r="O30" i="170"/>
  <c r="O29" i="170"/>
  <c r="H29" i="170"/>
  <c r="O28" i="170"/>
  <c r="H28" i="170"/>
  <c r="O27" i="170"/>
  <c r="H27" i="170"/>
  <c r="O26" i="170"/>
  <c r="H26" i="170"/>
  <c r="O25" i="170"/>
  <c r="H25" i="170"/>
  <c r="O24" i="170"/>
  <c r="H24" i="170"/>
  <c r="O23" i="170"/>
  <c r="H23" i="170"/>
  <c r="O22" i="170"/>
  <c r="H22" i="170"/>
  <c r="O21" i="170"/>
  <c r="H21" i="170"/>
  <c r="O20" i="170"/>
  <c r="H20" i="170"/>
  <c r="O19" i="170"/>
  <c r="H19" i="170"/>
  <c r="O18" i="170"/>
  <c r="H18" i="170"/>
  <c r="O17" i="170"/>
  <c r="H17" i="170"/>
  <c r="O16" i="170"/>
  <c r="H16" i="170"/>
  <c r="O15" i="170"/>
  <c r="H15" i="170"/>
  <c r="O14" i="170"/>
  <c r="H14" i="170"/>
  <c r="O13" i="170"/>
  <c r="H13" i="170"/>
  <c r="O12" i="170"/>
  <c r="H12" i="170"/>
  <c r="O11" i="170"/>
  <c r="H11" i="170"/>
  <c r="O10" i="170"/>
  <c r="H10" i="170"/>
  <c r="O9" i="170"/>
  <c r="H9" i="170"/>
  <c r="K45" i="169"/>
  <c r="I45" i="169"/>
  <c r="G45" i="169"/>
  <c r="E45" i="169"/>
  <c r="K44" i="169"/>
  <c r="I44" i="169"/>
  <c r="G44" i="169"/>
  <c r="E44" i="169"/>
  <c r="C44" i="169"/>
  <c r="C45" i="169" s="1"/>
  <c r="K31" i="169"/>
  <c r="I31" i="169"/>
  <c r="K30" i="169"/>
  <c r="I30" i="169"/>
  <c r="G30" i="169"/>
  <c r="G31" i="169" s="1"/>
  <c r="E30" i="169"/>
  <c r="E31" i="169" s="1"/>
  <c r="C30" i="169"/>
  <c r="C31" i="169" s="1"/>
  <c r="K10" i="169"/>
  <c r="K9" i="169"/>
  <c r="I9" i="169"/>
  <c r="I10" i="169" s="1"/>
  <c r="G9" i="169"/>
  <c r="E9" i="169"/>
  <c r="C9" i="169"/>
  <c r="K8" i="169"/>
  <c r="I8" i="169"/>
  <c r="G8" i="169"/>
  <c r="E8" i="169"/>
  <c r="C8" i="169"/>
  <c r="K45" i="168"/>
  <c r="I45" i="168"/>
  <c r="G45" i="168"/>
  <c r="K44" i="168"/>
  <c r="I44" i="168"/>
  <c r="G44" i="168"/>
  <c r="E44" i="168"/>
  <c r="E45" i="168" s="1"/>
  <c r="C44" i="168"/>
  <c r="C45" i="168" s="1"/>
  <c r="K31" i="168"/>
  <c r="G31" i="168"/>
  <c r="C31" i="168"/>
  <c r="K30" i="168"/>
  <c r="I30" i="168"/>
  <c r="I31" i="168" s="1"/>
  <c r="G30" i="168"/>
  <c r="E30" i="168"/>
  <c r="E31" i="168" s="1"/>
  <c r="C30" i="168"/>
  <c r="E10" i="168"/>
  <c r="K9" i="168"/>
  <c r="K10" i="168" s="1"/>
  <c r="I9" i="168"/>
  <c r="G9" i="168"/>
  <c r="E9" i="168"/>
  <c r="C9" i="168"/>
  <c r="K8" i="168"/>
  <c r="I8" i="168"/>
  <c r="I10" i="168" s="1"/>
  <c r="G8" i="168"/>
  <c r="G10" i="168" s="1"/>
  <c r="E8" i="168"/>
  <c r="C8" i="168"/>
  <c r="C10" i="168" s="1"/>
  <c r="I45" i="167"/>
  <c r="E45" i="167"/>
  <c r="K44" i="167"/>
  <c r="K45" i="167" s="1"/>
  <c r="I44" i="167"/>
  <c r="G44" i="167"/>
  <c r="G45" i="167" s="1"/>
  <c r="E44" i="167"/>
  <c r="C44" i="167"/>
  <c r="C45" i="167" s="1"/>
  <c r="I31" i="167"/>
  <c r="K30" i="167"/>
  <c r="K31" i="167" s="1"/>
  <c r="I30" i="167"/>
  <c r="G30" i="167"/>
  <c r="G31" i="167" s="1"/>
  <c r="E30" i="167"/>
  <c r="E31" i="167" s="1"/>
  <c r="C30" i="167"/>
  <c r="C31" i="167" s="1"/>
  <c r="E10" i="167"/>
  <c r="K9" i="167"/>
  <c r="I9" i="167"/>
  <c r="I10" i="167" s="1"/>
  <c r="G9" i="167"/>
  <c r="G10" i="167" s="1"/>
  <c r="E9" i="167"/>
  <c r="C9" i="167"/>
  <c r="K8" i="167"/>
  <c r="K10" i="167" s="1"/>
  <c r="I8" i="167"/>
  <c r="G8" i="167"/>
  <c r="E8" i="167"/>
  <c r="C8" i="167"/>
  <c r="C10" i="167" s="1"/>
  <c r="K45" i="166"/>
  <c r="K44" i="166"/>
  <c r="I44" i="166"/>
  <c r="I45" i="166" s="1"/>
  <c r="G44" i="166"/>
  <c r="G45" i="166" s="1"/>
  <c r="E44" i="166"/>
  <c r="E45" i="166" s="1"/>
  <c r="C44" i="166"/>
  <c r="C45" i="166" s="1"/>
  <c r="I31" i="166"/>
  <c r="C31" i="166"/>
  <c r="K30" i="166"/>
  <c r="K31" i="166" s="1"/>
  <c r="I30" i="166"/>
  <c r="G30" i="166"/>
  <c r="G31" i="166" s="1"/>
  <c r="E30" i="166"/>
  <c r="E31" i="166" s="1"/>
  <c r="C30" i="166"/>
  <c r="E10" i="166"/>
  <c r="K9" i="166"/>
  <c r="K10" i="166" s="1"/>
  <c r="I9" i="166"/>
  <c r="G9" i="166"/>
  <c r="E9" i="166"/>
  <c r="C9" i="166"/>
  <c r="K8" i="166"/>
  <c r="I8" i="166"/>
  <c r="I10" i="166" s="1"/>
  <c r="G8" i="166"/>
  <c r="G10" i="166" s="1"/>
  <c r="E8" i="166"/>
  <c r="C8" i="166"/>
  <c r="C10" i="166" s="1"/>
  <c r="O42" i="165"/>
  <c r="O43" i="165" s="1"/>
  <c r="L42" i="165"/>
  <c r="L43" i="165" s="1"/>
  <c r="I42" i="165"/>
  <c r="I43" i="165" s="1"/>
  <c r="F42" i="165"/>
  <c r="F43" i="165" s="1"/>
  <c r="C42" i="165"/>
  <c r="C43" i="165" s="1"/>
  <c r="I26" i="165"/>
  <c r="F26" i="165"/>
  <c r="C26" i="165"/>
  <c r="O25" i="165"/>
  <c r="O26" i="165" s="1"/>
  <c r="L25" i="165"/>
  <c r="L26" i="165" s="1"/>
  <c r="I25" i="165"/>
  <c r="F25" i="165"/>
  <c r="C25" i="165"/>
  <c r="O8" i="165"/>
  <c r="L8" i="165"/>
  <c r="I8" i="165"/>
  <c r="F8" i="165"/>
  <c r="C8" i="165"/>
  <c r="O43" i="164"/>
  <c r="C43" i="164"/>
  <c r="O42" i="164"/>
  <c r="L42" i="164"/>
  <c r="L43" i="164" s="1"/>
  <c r="I42" i="164"/>
  <c r="I43" i="164" s="1"/>
  <c r="F42" i="164"/>
  <c r="F43" i="164" s="1"/>
  <c r="C42" i="164"/>
  <c r="I26" i="164"/>
  <c r="C26" i="164"/>
  <c r="O25" i="164"/>
  <c r="O26" i="164" s="1"/>
  <c r="L25" i="164"/>
  <c r="L26" i="164" s="1"/>
  <c r="I25" i="164"/>
  <c r="F25" i="164"/>
  <c r="F26" i="164" s="1"/>
  <c r="C25" i="164"/>
  <c r="O8" i="164"/>
  <c r="L8" i="164"/>
  <c r="I8" i="164"/>
  <c r="F8" i="164"/>
  <c r="C8" i="164"/>
  <c r="L43" i="163"/>
  <c r="F43" i="163"/>
  <c r="C43" i="163"/>
  <c r="O42" i="163"/>
  <c r="O43" i="163" s="1"/>
  <c r="L42" i="163"/>
  <c r="I42" i="163"/>
  <c r="I43" i="163" s="1"/>
  <c r="F42" i="163"/>
  <c r="C42" i="163"/>
  <c r="L26" i="163"/>
  <c r="I26" i="163"/>
  <c r="C26" i="163"/>
  <c r="O25" i="163"/>
  <c r="O26" i="163" s="1"/>
  <c r="L25" i="163"/>
  <c r="I25" i="163"/>
  <c r="F25" i="163"/>
  <c r="F26" i="163" s="1"/>
  <c r="C25" i="163"/>
  <c r="O8" i="163"/>
  <c r="L8" i="163"/>
  <c r="I8" i="163"/>
  <c r="F8" i="163"/>
  <c r="C8" i="163"/>
  <c r="I43" i="162"/>
  <c r="F43" i="162"/>
  <c r="O42" i="162"/>
  <c r="O43" i="162" s="1"/>
  <c r="L42" i="162"/>
  <c r="L43" i="162" s="1"/>
  <c r="I42" i="162"/>
  <c r="F42" i="162"/>
  <c r="C42" i="162"/>
  <c r="C43" i="162" s="1"/>
  <c r="O26" i="162"/>
  <c r="L26" i="162"/>
  <c r="F26" i="162"/>
  <c r="C26" i="162"/>
  <c r="O25" i="162"/>
  <c r="L25" i="162"/>
  <c r="I25" i="162"/>
  <c r="I26" i="162" s="1"/>
  <c r="F25" i="162"/>
  <c r="C25" i="162"/>
  <c r="O8" i="162"/>
  <c r="L8" i="162"/>
  <c r="I8" i="162"/>
  <c r="F8" i="162"/>
  <c r="C8" i="162"/>
  <c r="H23" i="161"/>
  <c r="D23" i="161"/>
  <c r="C23" i="161"/>
  <c r="H22" i="161"/>
  <c r="H21" i="161"/>
  <c r="H20" i="161"/>
  <c r="H19" i="161"/>
  <c r="H18" i="161"/>
  <c r="H17" i="161"/>
  <c r="H16" i="161"/>
  <c r="H15" i="161"/>
  <c r="H14" i="161"/>
  <c r="H13" i="161"/>
  <c r="H12" i="161"/>
  <c r="H11" i="161"/>
  <c r="H10" i="161"/>
  <c r="C37" i="160"/>
  <c r="C26" i="160"/>
  <c r="C22" i="160"/>
  <c r="C16" i="160"/>
  <c r="L24" i="159"/>
  <c r="J24" i="159"/>
  <c r="I24" i="159"/>
  <c r="L23" i="159"/>
  <c r="K23" i="159"/>
  <c r="J23" i="159"/>
  <c r="I23" i="159"/>
  <c r="H23" i="159"/>
  <c r="G23" i="159"/>
  <c r="F23" i="159"/>
  <c r="L22" i="159"/>
  <c r="C22" i="159"/>
  <c r="L21" i="159"/>
  <c r="C21" i="159"/>
  <c r="L20" i="159"/>
  <c r="C20" i="159"/>
  <c r="L19" i="159"/>
  <c r="K19" i="159"/>
  <c r="J19" i="159"/>
  <c r="I19" i="159"/>
  <c r="H19" i="159"/>
  <c r="G19" i="159"/>
  <c r="F19" i="159"/>
  <c r="F24" i="159" s="1"/>
  <c r="L18" i="159"/>
  <c r="C18" i="159"/>
  <c r="L17" i="159"/>
  <c r="C17" i="159"/>
  <c r="L16" i="159"/>
  <c r="C16" i="159"/>
  <c r="L15" i="159"/>
  <c r="K15" i="159"/>
  <c r="J15" i="159"/>
  <c r="I15" i="159"/>
  <c r="H15" i="159"/>
  <c r="G15" i="159"/>
  <c r="F15" i="159"/>
  <c r="L14" i="159"/>
  <c r="C14" i="159"/>
  <c r="L13" i="159"/>
  <c r="C13" i="159"/>
  <c r="L12" i="159"/>
  <c r="C12" i="159"/>
  <c r="L11" i="159"/>
  <c r="K11" i="159"/>
  <c r="J11" i="159"/>
  <c r="I11" i="159"/>
  <c r="H11" i="159"/>
  <c r="G11" i="159"/>
  <c r="F11" i="159"/>
  <c r="L10" i="159"/>
  <c r="C10" i="159"/>
  <c r="L9" i="159"/>
  <c r="C9" i="159"/>
  <c r="L8" i="159"/>
  <c r="C8" i="159"/>
  <c r="L7" i="159"/>
  <c r="H17" i="158"/>
  <c r="F17" i="158"/>
  <c r="E17" i="158"/>
  <c r="C17" i="158"/>
  <c r="F53" i="157"/>
  <c r="E53" i="157"/>
  <c r="D53" i="157"/>
  <c r="C53" i="157"/>
  <c r="G52" i="157"/>
  <c r="G51" i="157"/>
  <c r="G50" i="157"/>
  <c r="G49" i="157"/>
  <c r="G48" i="157"/>
  <c r="G47" i="157"/>
  <c r="G46" i="157"/>
  <c r="G45" i="157"/>
  <c r="G44" i="157"/>
  <c r="G43" i="157"/>
  <c r="G42" i="157"/>
  <c r="G41" i="157"/>
  <c r="G40" i="157"/>
  <c r="G39" i="157"/>
  <c r="G38" i="157"/>
  <c r="G37" i="157"/>
  <c r="G36" i="157"/>
  <c r="G35" i="157"/>
  <c r="G34" i="157"/>
  <c r="G33" i="157"/>
  <c r="G32" i="157"/>
  <c r="G31" i="157"/>
  <c r="G30" i="157"/>
  <c r="G29" i="157"/>
  <c r="G28" i="157"/>
  <c r="G27" i="157"/>
  <c r="G26" i="157"/>
  <c r="G25" i="157"/>
  <c r="G24" i="157"/>
  <c r="G23" i="157"/>
  <c r="G22" i="157"/>
  <c r="G21" i="157"/>
  <c r="G20" i="157"/>
  <c r="G19" i="157"/>
  <c r="G18" i="157"/>
  <c r="G17" i="157"/>
  <c r="G16" i="157"/>
  <c r="G15" i="157"/>
  <c r="G14" i="157"/>
  <c r="G13" i="157"/>
  <c r="E102" i="156"/>
  <c r="D102" i="156"/>
  <c r="C102" i="156"/>
  <c r="F101" i="156"/>
  <c r="F100" i="156"/>
  <c r="F99" i="156"/>
  <c r="F98" i="156"/>
  <c r="F97" i="156"/>
  <c r="F96" i="156"/>
  <c r="F95" i="156"/>
  <c r="F94" i="156"/>
  <c r="F93" i="156"/>
  <c r="F92" i="156"/>
  <c r="F91" i="156"/>
  <c r="F90" i="156"/>
  <c r="F89" i="156"/>
  <c r="F88" i="156"/>
  <c r="F87" i="156"/>
  <c r="F86" i="156"/>
  <c r="F85" i="156"/>
  <c r="F84" i="156"/>
  <c r="D83" i="156"/>
  <c r="C83" i="156"/>
  <c r="E83" i="156" s="1"/>
  <c r="D78" i="156"/>
  <c r="E78" i="156" s="1"/>
  <c r="C78" i="156"/>
  <c r="D72" i="156"/>
  <c r="C68" i="156"/>
  <c r="C67" i="156"/>
  <c r="C66" i="156"/>
  <c r="C65" i="156"/>
  <c r="C64" i="156"/>
  <c r="C63" i="156"/>
  <c r="C62" i="156"/>
  <c r="C61" i="156"/>
  <c r="C60" i="156"/>
  <c r="C59" i="156"/>
  <c r="C57" i="156"/>
  <c r="C48" i="156"/>
  <c r="C34" i="156"/>
  <c r="C33" i="156"/>
  <c r="C32" i="156"/>
  <c r="C31" i="156"/>
  <c r="C30" i="156"/>
  <c r="C29" i="156"/>
  <c r="C28" i="156"/>
  <c r="C27" i="156"/>
  <c r="C25" i="156"/>
  <c r="C18" i="156"/>
  <c r="I45" i="155"/>
  <c r="I44" i="155"/>
  <c r="I43" i="155"/>
  <c r="I42" i="155"/>
  <c r="I41" i="155"/>
  <c r="I40" i="155"/>
  <c r="I39" i="155"/>
  <c r="I38" i="155"/>
  <c r="I37" i="155"/>
  <c r="I36" i="155"/>
  <c r="I35" i="155"/>
  <c r="I34" i="155"/>
  <c r="I33" i="155"/>
  <c r="I32" i="155"/>
  <c r="I31" i="155"/>
  <c r="I30" i="155"/>
  <c r="I29" i="155"/>
  <c r="I28" i="155"/>
  <c r="I27" i="155"/>
  <c r="I26" i="155"/>
  <c r="I25" i="155"/>
  <c r="I24" i="155"/>
  <c r="I23" i="155"/>
  <c r="I22" i="155"/>
  <c r="I21" i="155"/>
  <c r="I20" i="155"/>
  <c r="I19" i="155"/>
  <c r="I18" i="155"/>
  <c r="I17" i="155"/>
  <c r="I16" i="155"/>
  <c r="I15" i="155"/>
  <c r="I14" i="155"/>
  <c r="I13" i="155"/>
  <c r="I12" i="155"/>
  <c r="I11" i="155"/>
  <c r="I10" i="155"/>
  <c r="I9" i="155"/>
  <c r="I8" i="155"/>
  <c r="M55" i="154"/>
  <c r="L55" i="154"/>
  <c r="J55" i="154"/>
  <c r="I55" i="154"/>
  <c r="F55" i="154"/>
  <c r="E55" i="154"/>
  <c r="D55" i="154"/>
  <c r="C55" i="154"/>
  <c r="N54" i="154"/>
  <c r="N53" i="154"/>
  <c r="N52" i="154"/>
  <c r="N51" i="154"/>
  <c r="N50" i="154"/>
  <c r="N49" i="154"/>
  <c r="N48" i="154"/>
  <c r="N47" i="154"/>
  <c r="N46" i="154"/>
  <c r="N45" i="154"/>
  <c r="N44" i="154"/>
  <c r="N43" i="154"/>
  <c r="N42" i="154"/>
  <c r="N41" i="154"/>
  <c r="N40" i="154"/>
  <c r="N39" i="154"/>
  <c r="N38" i="154"/>
  <c r="N37" i="154"/>
  <c r="N36" i="154"/>
  <c r="N35" i="154"/>
  <c r="N34" i="154"/>
  <c r="N33" i="154"/>
  <c r="N32" i="154"/>
  <c r="N31" i="154"/>
  <c r="N30" i="154"/>
  <c r="N29" i="154"/>
  <c r="N28" i="154"/>
  <c r="N27" i="154"/>
  <c r="N26" i="154"/>
  <c r="N25" i="154"/>
  <c r="N24" i="154"/>
  <c r="N23" i="154"/>
  <c r="N22" i="154"/>
  <c r="N21" i="154"/>
  <c r="N20" i="154"/>
  <c r="N19" i="154"/>
  <c r="N18" i="154"/>
  <c r="N17" i="154"/>
  <c r="N16" i="154"/>
  <c r="N15" i="154"/>
  <c r="N14" i="154"/>
  <c r="N13" i="154"/>
  <c r="N12" i="154"/>
  <c r="N11" i="154"/>
  <c r="N10" i="154"/>
  <c r="I704" i="153"/>
  <c r="I703" i="153"/>
  <c r="I702" i="153"/>
  <c r="I701" i="153"/>
  <c r="I700" i="153"/>
  <c r="I699" i="153"/>
  <c r="I698" i="153"/>
  <c r="I697" i="153"/>
  <c r="I696" i="153"/>
  <c r="I695" i="153"/>
  <c r="I694" i="153"/>
  <c r="I693" i="153"/>
  <c r="I692" i="153"/>
  <c r="I691" i="153"/>
  <c r="I690" i="153"/>
  <c r="I689" i="153"/>
  <c r="I688" i="153"/>
  <c r="I687" i="153"/>
  <c r="I686" i="153"/>
  <c r="I685" i="153"/>
  <c r="I684" i="153"/>
  <c r="I683" i="153"/>
  <c r="I682" i="153"/>
  <c r="I681" i="153"/>
  <c r="I680" i="153"/>
  <c r="I679" i="153"/>
  <c r="I678" i="153"/>
  <c r="I677" i="153"/>
  <c r="I676" i="153"/>
  <c r="I675" i="153"/>
  <c r="I674" i="153"/>
  <c r="I673" i="153"/>
  <c r="I672" i="153"/>
  <c r="I671" i="153"/>
  <c r="I670" i="153"/>
  <c r="I669" i="153"/>
  <c r="I668" i="153"/>
  <c r="I667" i="153"/>
  <c r="I666" i="153"/>
  <c r="I665" i="153"/>
  <c r="I664" i="153"/>
  <c r="I663" i="153"/>
  <c r="I662" i="153"/>
  <c r="I661" i="153"/>
  <c r="I660" i="153"/>
  <c r="I659" i="153"/>
  <c r="I658" i="153"/>
  <c r="I657" i="153"/>
  <c r="I656" i="153"/>
  <c r="I655" i="153"/>
  <c r="I654" i="153"/>
  <c r="I653" i="153"/>
  <c r="I652" i="153"/>
  <c r="I651" i="153"/>
  <c r="I650" i="153"/>
  <c r="I649" i="153"/>
  <c r="I648" i="153"/>
  <c r="I647" i="153"/>
  <c r="I646" i="153"/>
  <c r="I645" i="153"/>
  <c r="I644" i="153"/>
  <c r="I643" i="153"/>
  <c r="I642" i="153"/>
  <c r="I641" i="153"/>
  <c r="I640" i="153"/>
  <c r="I639" i="153"/>
  <c r="I638" i="153"/>
  <c r="I637" i="153"/>
  <c r="I636" i="153"/>
  <c r="I635" i="153"/>
  <c r="I634" i="153"/>
  <c r="I633" i="153"/>
  <c r="I632" i="153"/>
  <c r="I631" i="153"/>
  <c r="I630" i="153"/>
  <c r="I629" i="153"/>
  <c r="I628" i="153"/>
  <c r="I627" i="153"/>
  <c r="I626" i="153"/>
  <c r="I625" i="153"/>
  <c r="I624" i="153"/>
  <c r="I623" i="153"/>
  <c r="I622" i="153"/>
  <c r="I621" i="153"/>
  <c r="I620" i="153"/>
  <c r="I619" i="153"/>
  <c r="I618" i="153"/>
  <c r="I617" i="153"/>
  <c r="I616" i="153"/>
  <c r="I615" i="153"/>
  <c r="I614" i="153"/>
  <c r="I613" i="153"/>
  <c r="I612" i="153"/>
  <c r="I611" i="153"/>
  <c r="I610" i="153"/>
  <c r="I609" i="153"/>
  <c r="I608" i="153"/>
  <c r="I607" i="153"/>
  <c r="I606" i="153"/>
  <c r="I605" i="153"/>
  <c r="I604" i="153"/>
  <c r="I603" i="153"/>
  <c r="I602" i="153"/>
  <c r="I601" i="153"/>
  <c r="I600" i="153"/>
  <c r="I599" i="153"/>
  <c r="I598" i="153"/>
  <c r="I597" i="153"/>
  <c r="I596" i="153"/>
  <c r="I595" i="153"/>
  <c r="I594" i="153"/>
  <c r="I593" i="153"/>
  <c r="I592" i="153"/>
  <c r="I591" i="153"/>
  <c r="I590" i="153"/>
  <c r="I589" i="153"/>
  <c r="I588" i="153"/>
  <c r="I587" i="153"/>
  <c r="I586" i="153"/>
  <c r="I585" i="153"/>
  <c r="I584" i="153"/>
  <c r="I583" i="153"/>
  <c r="I582" i="153"/>
  <c r="I581" i="153"/>
  <c r="I580" i="153"/>
  <c r="I579" i="153"/>
  <c r="I578" i="153"/>
  <c r="I577" i="153"/>
  <c r="I576" i="153"/>
  <c r="I575" i="153"/>
  <c r="I574" i="153"/>
  <c r="I573" i="153"/>
  <c r="I572" i="153"/>
  <c r="I571" i="153"/>
  <c r="I570" i="153"/>
  <c r="I569" i="153"/>
  <c r="I568" i="153"/>
  <c r="I567" i="153"/>
  <c r="I566" i="153"/>
  <c r="I565" i="153"/>
  <c r="I564" i="153"/>
  <c r="I563" i="153"/>
  <c r="I562" i="153"/>
  <c r="I561" i="153"/>
  <c r="I560" i="153"/>
  <c r="I559" i="153"/>
  <c r="I558" i="153"/>
  <c r="I557" i="153"/>
  <c r="I556" i="153"/>
  <c r="I555" i="153"/>
  <c r="I554" i="153"/>
  <c r="I553" i="153"/>
  <c r="I552" i="153"/>
  <c r="I551" i="153"/>
  <c r="I550" i="153"/>
  <c r="I549" i="153"/>
  <c r="I548" i="153"/>
  <c r="I547" i="153"/>
  <c r="I546" i="153"/>
  <c r="I545" i="153"/>
  <c r="I544" i="153"/>
  <c r="I543" i="153"/>
  <c r="I542" i="153"/>
  <c r="I541" i="153"/>
  <c r="I540" i="153"/>
  <c r="I539" i="153"/>
  <c r="I538" i="153"/>
  <c r="I537" i="153"/>
  <c r="I536" i="153"/>
  <c r="I535" i="153"/>
  <c r="I534" i="153"/>
  <c r="I533" i="153"/>
  <c r="I532" i="153"/>
  <c r="I531" i="153"/>
  <c r="I530" i="153"/>
  <c r="I529" i="153"/>
  <c r="I528" i="153"/>
  <c r="I527" i="153"/>
  <c r="I526" i="153"/>
  <c r="I525" i="153"/>
  <c r="I524" i="153"/>
  <c r="I523" i="153"/>
  <c r="I522" i="153"/>
  <c r="I521" i="153"/>
  <c r="I520" i="153"/>
  <c r="I519" i="153"/>
  <c r="I518" i="153"/>
  <c r="I517" i="153"/>
  <c r="I516" i="153"/>
  <c r="I515" i="153"/>
  <c r="I514" i="153"/>
  <c r="I513" i="153"/>
  <c r="I512" i="153"/>
  <c r="I511" i="153"/>
  <c r="I510" i="153"/>
  <c r="I509" i="153"/>
  <c r="I508" i="153"/>
  <c r="I507" i="153"/>
  <c r="I506" i="153"/>
  <c r="I505" i="153"/>
  <c r="I504" i="153"/>
  <c r="I503" i="153"/>
  <c r="I502" i="153"/>
  <c r="I500" i="153"/>
  <c r="I499" i="153"/>
  <c r="I498" i="153"/>
  <c r="I497" i="153"/>
  <c r="I496" i="153"/>
  <c r="I495" i="153"/>
  <c r="I494" i="153"/>
  <c r="I493" i="153"/>
  <c r="I492" i="153"/>
  <c r="I491" i="153"/>
  <c r="I490" i="153"/>
  <c r="I489" i="153"/>
  <c r="I488" i="153"/>
  <c r="I487" i="153"/>
  <c r="I486" i="153"/>
  <c r="I485" i="153"/>
  <c r="I484" i="153"/>
  <c r="I483" i="153"/>
  <c r="I482" i="153"/>
  <c r="I481" i="153"/>
  <c r="I480" i="153"/>
  <c r="I479" i="153"/>
  <c r="I478" i="153"/>
  <c r="I477" i="153"/>
  <c r="I476" i="153"/>
  <c r="I475" i="153"/>
  <c r="I474" i="153"/>
  <c r="I473" i="153"/>
  <c r="I472" i="153"/>
  <c r="I471" i="153"/>
  <c r="I470" i="153"/>
  <c r="I469" i="153"/>
  <c r="I468" i="153"/>
  <c r="I467" i="153"/>
  <c r="I466" i="153"/>
  <c r="I465" i="153"/>
  <c r="I464" i="153"/>
  <c r="I463" i="153"/>
  <c r="I462" i="153"/>
  <c r="I461" i="153"/>
  <c r="I460" i="153"/>
  <c r="I459" i="153"/>
  <c r="I458" i="153"/>
  <c r="I457" i="153"/>
  <c r="I456" i="153"/>
  <c r="I455" i="153"/>
  <c r="I454" i="153"/>
  <c r="I453" i="153"/>
  <c r="I452" i="153"/>
  <c r="I451" i="153"/>
  <c r="I450" i="153"/>
  <c r="I449" i="153"/>
  <c r="I448" i="153"/>
  <c r="I447" i="153"/>
  <c r="I446" i="153"/>
  <c r="I445" i="153"/>
  <c r="I444" i="153"/>
  <c r="I443" i="153"/>
  <c r="I442" i="153"/>
  <c r="I441" i="153"/>
  <c r="I440" i="153"/>
  <c r="I439" i="153"/>
  <c r="I438" i="153"/>
  <c r="I437" i="153"/>
  <c r="I436" i="153"/>
  <c r="I435" i="153"/>
  <c r="I434" i="153"/>
  <c r="I433" i="153"/>
  <c r="I432" i="153"/>
  <c r="I431" i="153"/>
  <c r="I430" i="153"/>
  <c r="I429" i="153"/>
  <c r="I428" i="153"/>
  <c r="I427" i="153"/>
  <c r="I426" i="153"/>
  <c r="I425" i="153"/>
  <c r="I424" i="153"/>
  <c r="I423" i="153"/>
  <c r="I422" i="153"/>
  <c r="I421" i="153"/>
  <c r="I420" i="153"/>
  <c r="I419" i="153"/>
  <c r="I418" i="153"/>
  <c r="I417" i="153"/>
  <c r="I416" i="153"/>
  <c r="I415" i="153"/>
  <c r="I414" i="153"/>
  <c r="I413" i="153"/>
  <c r="I412" i="153"/>
  <c r="I411" i="153"/>
  <c r="I410" i="153"/>
  <c r="I409" i="153"/>
  <c r="I408" i="153"/>
  <c r="I407" i="153"/>
  <c r="I406" i="153"/>
  <c r="I405" i="153"/>
  <c r="I404" i="153"/>
  <c r="I403" i="153"/>
  <c r="I402" i="153"/>
  <c r="I401" i="153"/>
  <c r="I400" i="153"/>
  <c r="I399" i="153"/>
  <c r="I398" i="153"/>
  <c r="I397" i="153"/>
  <c r="I396" i="153"/>
  <c r="I395" i="153"/>
  <c r="I394" i="153"/>
  <c r="I393" i="153"/>
  <c r="I392" i="153"/>
  <c r="I391" i="153"/>
  <c r="I390" i="153"/>
  <c r="I389" i="153"/>
  <c r="I388" i="153"/>
  <c r="I387" i="153"/>
  <c r="I386" i="153"/>
  <c r="I385" i="153"/>
  <c r="I384" i="153"/>
  <c r="I383" i="153"/>
  <c r="I382" i="153"/>
  <c r="I381" i="153"/>
  <c r="I380" i="153"/>
  <c r="I379" i="153"/>
  <c r="I378" i="153"/>
  <c r="I377" i="153"/>
  <c r="I376" i="153"/>
  <c r="I375" i="153"/>
  <c r="I374" i="153"/>
  <c r="I373" i="153"/>
  <c r="I372" i="153"/>
  <c r="I371" i="153"/>
  <c r="I370" i="153"/>
  <c r="I369" i="153"/>
  <c r="I368" i="153"/>
  <c r="I367" i="153"/>
  <c r="I366" i="153"/>
  <c r="I365" i="153"/>
  <c r="I364" i="153"/>
  <c r="I363" i="153"/>
  <c r="I362" i="153"/>
  <c r="I361" i="153"/>
  <c r="I360" i="153"/>
  <c r="I359" i="153"/>
  <c r="I358" i="153"/>
  <c r="I357" i="153"/>
  <c r="I356" i="153"/>
  <c r="I355" i="153"/>
  <c r="I354" i="153"/>
  <c r="I353" i="153"/>
  <c r="I352" i="153"/>
  <c r="I351" i="153"/>
  <c r="I350" i="153"/>
  <c r="I349" i="153"/>
  <c r="I348" i="153"/>
  <c r="I347" i="153"/>
  <c r="I346" i="153"/>
  <c r="I345" i="153"/>
  <c r="I344" i="153"/>
  <c r="I343" i="153"/>
  <c r="I342" i="153"/>
  <c r="I341" i="153"/>
  <c r="I340" i="153"/>
  <c r="I339" i="153"/>
  <c r="I338" i="153"/>
  <c r="I337" i="153"/>
  <c r="I336" i="153"/>
  <c r="I335" i="153"/>
  <c r="I334" i="153"/>
  <c r="I333" i="153"/>
  <c r="I332" i="153"/>
  <c r="I331" i="153"/>
  <c r="I330" i="153"/>
  <c r="I329" i="153"/>
  <c r="I328" i="153"/>
  <c r="I327" i="153"/>
  <c r="I326" i="153"/>
  <c r="I325" i="153"/>
  <c r="I324" i="153"/>
  <c r="I323" i="153"/>
  <c r="I322" i="153"/>
  <c r="I321" i="153"/>
  <c r="I320" i="153"/>
  <c r="I319" i="153"/>
  <c r="I318" i="153"/>
  <c r="I317" i="153"/>
  <c r="I316" i="153"/>
  <c r="I315" i="153"/>
  <c r="I314" i="153"/>
  <c r="I313" i="153"/>
  <c r="I312" i="153"/>
  <c r="I311" i="153"/>
  <c r="I310" i="153"/>
  <c r="I309" i="153"/>
  <c r="I308" i="153"/>
  <c r="I307" i="153"/>
  <c r="I306" i="153"/>
  <c r="I305" i="153"/>
  <c r="I304" i="153"/>
  <c r="I303" i="153"/>
  <c r="I302" i="153"/>
  <c r="I301" i="153"/>
  <c r="I300" i="153"/>
  <c r="I299" i="153"/>
  <c r="I298" i="153"/>
  <c r="I297" i="153"/>
  <c r="I296" i="153"/>
  <c r="I295" i="153"/>
  <c r="I294" i="153"/>
  <c r="I293" i="153"/>
  <c r="I292" i="153"/>
  <c r="I291" i="153"/>
  <c r="I290" i="153"/>
  <c r="I289" i="153"/>
  <c r="I288" i="153"/>
  <c r="I287" i="153"/>
  <c r="I286" i="153"/>
  <c r="I285" i="153"/>
  <c r="I284" i="153"/>
  <c r="I283" i="153"/>
  <c r="I282" i="153"/>
  <c r="I281" i="153"/>
  <c r="I280" i="153"/>
  <c r="I279" i="153"/>
  <c r="I278" i="153"/>
  <c r="I277" i="153"/>
  <c r="I276" i="153"/>
  <c r="I275" i="153"/>
  <c r="I274" i="153"/>
  <c r="I273" i="153"/>
  <c r="I272" i="153"/>
  <c r="I271" i="153"/>
  <c r="I270" i="153"/>
  <c r="I269" i="153"/>
  <c r="I268" i="153"/>
  <c r="I267" i="153"/>
  <c r="I266" i="153"/>
  <c r="I265" i="153"/>
  <c r="I264" i="153"/>
  <c r="I263" i="153"/>
  <c r="I262" i="153"/>
  <c r="I261" i="153"/>
  <c r="I260" i="153"/>
  <c r="I259" i="153"/>
  <c r="I258" i="153"/>
  <c r="I257" i="153"/>
  <c r="I256" i="153"/>
  <c r="I255" i="153"/>
  <c r="I254" i="153"/>
  <c r="I253" i="153"/>
  <c r="I252" i="153"/>
  <c r="I251" i="153"/>
  <c r="I250" i="153"/>
  <c r="I249" i="153"/>
  <c r="I248" i="153"/>
  <c r="I247" i="153"/>
  <c r="I246" i="153"/>
  <c r="I245" i="153"/>
  <c r="I244" i="153"/>
  <c r="I243" i="153"/>
  <c r="I242" i="153"/>
  <c r="I241" i="153"/>
  <c r="I240" i="153"/>
  <c r="I239" i="153"/>
  <c r="I238" i="153"/>
  <c r="I237" i="153"/>
  <c r="I236" i="153"/>
  <c r="I235" i="153"/>
  <c r="I234" i="153"/>
  <c r="I233" i="153"/>
  <c r="I232" i="153"/>
  <c r="I231" i="153"/>
  <c r="I230" i="153"/>
  <c r="I229" i="153"/>
  <c r="I228" i="153"/>
  <c r="I227" i="153"/>
  <c r="I226" i="153"/>
  <c r="I225" i="153"/>
  <c r="I224" i="153"/>
  <c r="I223" i="153"/>
  <c r="I222" i="153"/>
  <c r="I221" i="153"/>
  <c r="I220" i="153"/>
  <c r="I219" i="153"/>
  <c r="I218" i="153"/>
  <c r="I217" i="153"/>
  <c r="I216" i="153"/>
  <c r="I215" i="153"/>
  <c r="I214" i="153"/>
  <c r="I213" i="153"/>
  <c r="I212" i="153"/>
  <c r="I211" i="153"/>
  <c r="I210" i="153"/>
  <c r="I209" i="153"/>
  <c r="I208" i="153"/>
  <c r="I207" i="153"/>
  <c r="I206" i="153"/>
  <c r="I205" i="153"/>
  <c r="I204" i="153"/>
  <c r="I203" i="153"/>
  <c r="I202" i="153"/>
  <c r="I201" i="153"/>
  <c r="I200" i="153"/>
  <c r="I199" i="153"/>
  <c r="I198" i="153"/>
  <c r="I197" i="153"/>
  <c r="I196" i="153"/>
  <c r="I195" i="153"/>
  <c r="I194" i="153"/>
  <c r="I193" i="153"/>
  <c r="I192" i="153"/>
  <c r="I191" i="153"/>
  <c r="I190" i="153"/>
  <c r="I189" i="153"/>
  <c r="I188" i="153"/>
  <c r="I187" i="153"/>
  <c r="I186" i="153"/>
  <c r="I185" i="153"/>
  <c r="I184" i="153"/>
  <c r="I183" i="153"/>
  <c r="I182" i="153"/>
  <c r="I181" i="153"/>
  <c r="I180" i="153"/>
  <c r="I179" i="153"/>
  <c r="I178" i="153"/>
  <c r="I177" i="153"/>
  <c r="I176" i="153"/>
  <c r="I175" i="153"/>
  <c r="I174" i="153"/>
  <c r="I173" i="153"/>
  <c r="I172" i="153"/>
  <c r="I171" i="153"/>
  <c r="I170" i="153"/>
  <c r="I169" i="153"/>
  <c r="I168" i="153"/>
  <c r="I167" i="153"/>
  <c r="I166" i="153"/>
  <c r="I165" i="153"/>
  <c r="I164" i="153"/>
  <c r="I163" i="153"/>
  <c r="I162" i="153"/>
  <c r="I161" i="153"/>
  <c r="I160" i="153"/>
  <c r="I159" i="153"/>
  <c r="I158" i="153"/>
  <c r="I157" i="153"/>
  <c r="I156" i="153"/>
  <c r="I155" i="153"/>
  <c r="I154" i="153"/>
  <c r="I153" i="153"/>
  <c r="I152" i="153"/>
  <c r="I151" i="153"/>
  <c r="I150" i="153"/>
  <c r="I149" i="153"/>
  <c r="I148" i="153"/>
  <c r="I147" i="153"/>
  <c r="I146" i="153"/>
  <c r="I145" i="153"/>
  <c r="I144" i="153"/>
  <c r="I143" i="153"/>
  <c r="I142" i="153"/>
  <c r="I141" i="153"/>
  <c r="I140" i="153"/>
  <c r="I139" i="153"/>
  <c r="I138" i="153"/>
  <c r="I137" i="153"/>
  <c r="I136" i="153"/>
  <c r="I135" i="153"/>
  <c r="I134" i="153"/>
  <c r="I133" i="153"/>
  <c r="I132" i="153"/>
  <c r="I131" i="153"/>
  <c r="I130" i="153"/>
  <c r="I129" i="153"/>
  <c r="I128" i="153"/>
  <c r="I127" i="153"/>
  <c r="I126" i="153"/>
  <c r="I125" i="153"/>
  <c r="I124" i="153"/>
  <c r="I123" i="153"/>
  <c r="I122" i="153"/>
  <c r="I121" i="153"/>
  <c r="I120" i="153"/>
  <c r="I119" i="153"/>
  <c r="I118" i="153"/>
  <c r="I117" i="153"/>
  <c r="I116" i="153"/>
  <c r="I115" i="153"/>
  <c r="I114" i="153"/>
  <c r="I113" i="153"/>
  <c r="I112" i="153"/>
  <c r="I111" i="153"/>
  <c r="I110" i="153"/>
  <c r="I109" i="153"/>
  <c r="I108" i="153"/>
  <c r="I107" i="153"/>
  <c r="I106" i="153"/>
  <c r="I105" i="153"/>
  <c r="I104" i="153"/>
  <c r="I103" i="153"/>
  <c r="I102" i="153"/>
  <c r="I101" i="153"/>
  <c r="I100" i="153"/>
  <c r="I99" i="153"/>
  <c r="I98" i="153"/>
  <c r="I97" i="153"/>
  <c r="I96" i="153"/>
  <c r="I95" i="153"/>
  <c r="I94" i="153"/>
  <c r="I93" i="153"/>
  <c r="I92" i="153"/>
  <c r="I91" i="153"/>
  <c r="I90" i="153"/>
  <c r="I89" i="153"/>
  <c r="I88" i="153"/>
  <c r="I87" i="153"/>
  <c r="I86" i="153"/>
  <c r="I85" i="153"/>
  <c r="I84" i="153"/>
  <c r="I83" i="153"/>
  <c r="I82" i="153"/>
  <c r="I81" i="153"/>
  <c r="I80" i="153"/>
  <c r="I79" i="153"/>
  <c r="I78" i="153"/>
  <c r="I77" i="153"/>
  <c r="I76" i="153"/>
  <c r="I75" i="153"/>
  <c r="I74" i="153"/>
  <c r="I73" i="153"/>
  <c r="I72" i="153"/>
  <c r="I71" i="153"/>
  <c r="I70" i="153"/>
  <c r="I69" i="153"/>
  <c r="I68" i="153"/>
  <c r="I67" i="153"/>
  <c r="I66" i="153"/>
  <c r="I65" i="153"/>
  <c r="I64" i="153"/>
  <c r="I63" i="153"/>
  <c r="I62" i="153"/>
  <c r="I61" i="153"/>
  <c r="I60" i="153"/>
  <c r="I59" i="153"/>
  <c r="I58" i="153"/>
  <c r="I57" i="153"/>
  <c r="I56" i="153"/>
  <c r="I55" i="153"/>
  <c r="I54" i="153"/>
  <c r="I53" i="153"/>
  <c r="I52" i="153"/>
  <c r="I51" i="153"/>
  <c r="I50" i="153"/>
  <c r="I49" i="153"/>
  <c r="I48" i="153"/>
  <c r="I47" i="153"/>
  <c r="I46" i="153"/>
  <c r="I45" i="153"/>
  <c r="I44" i="153"/>
  <c r="I43" i="153"/>
  <c r="I42" i="153"/>
  <c r="I41" i="153"/>
  <c r="I40" i="153"/>
  <c r="I39" i="153"/>
  <c r="I38" i="153"/>
  <c r="I37" i="153"/>
  <c r="I36" i="153"/>
  <c r="I35" i="153"/>
  <c r="I34" i="153"/>
  <c r="I33" i="153"/>
  <c r="I32" i="153"/>
  <c r="I31" i="153"/>
  <c r="I30" i="153"/>
  <c r="I29" i="153"/>
  <c r="I28" i="153"/>
  <c r="I27" i="153"/>
  <c r="I26" i="153"/>
  <c r="I25" i="153"/>
  <c r="I24" i="153"/>
  <c r="I23" i="153"/>
  <c r="A23" i="153"/>
  <c r="A24" i="153" s="1"/>
  <c r="A25" i="153" s="1"/>
  <c r="A26" i="153" s="1"/>
  <c r="A27" i="153" s="1"/>
  <c r="A28" i="153" s="1"/>
  <c r="A29" i="153" s="1"/>
  <c r="A30" i="153" s="1"/>
  <c r="A31" i="153" s="1"/>
  <c r="A32" i="153" s="1"/>
  <c r="A33" i="153" s="1"/>
  <c r="A34" i="153" s="1"/>
  <c r="A35" i="153" s="1"/>
  <c r="A36" i="153" s="1"/>
  <c r="A37" i="153" s="1"/>
  <c r="A38" i="153" s="1"/>
  <c r="A39" i="153" s="1"/>
  <c r="A40" i="153" s="1"/>
  <c r="A41" i="153" s="1"/>
  <c r="A42" i="153" s="1"/>
  <c r="A43" i="153" s="1"/>
  <c r="A44" i="153" s="1"/>
  <c r="A45" i="153" s="1"/>
  <c r="A46" i="153" s="1"/>
  <c r="A47" i="153" s="1"/>
  <c r="A48" i="153" s="1"/>
  <c r="A49" i="153" s="1"/>
  <c r="A50" i="153" s="1"/>
  <c r="A51" i="153" s="1"/>
  <c r="A52" i="153" s="1"/>
  <c r="A53" i="153" s="1"/>
  <c r="A54" i="153" s="1"/>
  <c r="A55" i="153" s="1"/>
  <c r="A56" i="153" s="1"/>
  <c r="A57" i="153" s="1"/>
  <c r="A58" i="153" s="1"/>
  <c r="A59" i="153" s="1"/>
  <c r="A60" i="153" s="1"/>
  <c r="A61" i="153" s="1"/>
  <c r="A62" i="153" s="1"/>
  <c r="A63" i="153" s="1"/>
  <c r="A64" i="153" s="1"/>
  <c r="A65" i="153" s="1"/>
  <c r="A66" i="153" s="1"/>
  <c r="A67" i="153" s="1"/>
  <c r="A68" i="153" s="1"/>
  <c r="A69" i="153" s="1"/>
  <c r="A70" i="153" s="1"/>
  <c r="A71" i="153" s="1"/>
  <c r="A72" i="153" s="1"/>
  <c r="A73" i="153" s="1"/>
  <c r="A74" i="153" s="1"/>
  <c r="A75" i="153" s="1"/>
  <c r="A76" i="153" s="1"/>
  <c r="A77" i="153" s="1"/>
  <c r="A78" i="153" s="1"/>
  <c r="A79" i="153" s="1"/>
  <c r="A80" i="153" s="1"/>
  <c r="A81" i="153" s="1"/>
  <c r="A82" i="153" s="1"/>
  <c r="A83" i="153" s="1"/>
  <c r="A84" i="153" s="1"/>
  <c r="A85" i="153" s="1"/>
  <c r="A86" i="153" s="1"/>
  <c r="A87" i="153" s="1"/>
  <c r="A88" i="153" s="1"/>
  <c r="A89" i="153" s="1"/>
  <c r="A90" i="153" s="1"/>
  <c r="A91" i="153" s="1"/>
  <c r="A92" i="153" s="1"/>
  <c r="A93" i="153" s="1"/>
  <c r="A94" i="153" s="1"/>
  <c r="A95" i="153" s="1"/>
  <c r="A96" i="153" s="1"/>
  <c r="A97" i="153" s="1"/>
  <c r="A98" i="153" s="1"/>
  <c r="A99" i="153" s="1"/>
  <c r="A100" i="153" s="1"/>
  <c r="A101" i="153" s="1"/>
  <c r="A102" i="153" s="1"/>
  <c r="A103" i="153" s="1"/>
  <c r="A104" i="153" s="1"/>
  <c r="A105" i="153" s="1"/>
  <c r="A106" i="153" s="1"/>
  <c r="A107" i="153" s="1"/>
  <c r="A108" i="153" s="1"/>
  <c r="A109" i="153" s="1"/>
  <c r="A110" i="153" s="1"/>
  <c r="A111" i="153" s="1"/>
  <c r="A112" i="153" s="1"/>
  <c r="A113" i="153" s="1"/>
  <c r="A114" i="153" s="1"/>
  <c r="A115" i="153" s="1"/>
  <c r="A116" i="153" s="1"/>
  <c r="A117" i="153" s="1"/>
  <c r="A118" i="153" s="1"/>
  <c r="A119" i="153" s="1"/>
  <c r="A120" i="153" s="1"/>
  <c r="A121" i="153" s="1"/>
  <c r="A122" i="153" s="1"/>
  <c r="A123" i="153" s="1"/>
  <c r="A124" i="153" s="1"/>
  <c r="A125" i="153" s="1"/>
  <c r="A126" i="153" s="1"/>
  <c r="A127" i="153" s="1"/>
  <c r="A128" i="153" s="1"/>
  <c r="A129" i="153" s="1"/>
  <c r="A130" i="153" s="1"/>
  <c r="A131" i="153" s="1"/>
  <c r="A132" i="153" s="1"/>
  <c r="A133" i="153" s="1"/>
  <c r="A134" i="153" s="1"/>
  <c r="A135" i="153" s="1"/>
  <c r="A136" i="153" s="1"/>
  <c r="A137" i="153" s="1"/>
  <c r="A138" i="153" s="1"/>
  <c r="A139" i="153" s="1"/>
  <c r="A140" i="153" s="1"/>
  <c r="A141" i="153" s="1"/>
  <c r="A142" i="153" s="1"/>
  <c r="A143" i="153" s="1"/>
  <c r="A144" i="153" s="1"/>
  <c r="A145" i="153" s="1"/>
  <c r="A146" i="153" s="1"/>
  <c r="A147" i="153" s="1"/>
  <c r="A148" i="153" s="1"/>
  <c r="A149" i="153" s="1"/>
  <c r="A150" i="153" s="1"/>
  <c r="A151" i="153" s="1"/>
  <c r="A152" i="153" s="1"/>
  <c r="A153" i="153" s="1"/>
  <c r="A154" i="153" s="1"/>
  <c r="A155" i="153" s="1"/>
  <c r="A156" i="153" s="1"/>
  <c r="A157" i="153" s="1"/>
  <c r="A158" i="153" s="1"/>
  <c r="A159" i="153" s="1"/>
  <c r="A160" i="153" s="1"/>
  <c r="A161" i="153" s="1"/>
  <c r="A162" i="153" s="1"/>
  <c r="A163" i="153" s="1"/>
  <c r="A164" i="153" s="1"/>
  <c r="A165" i="153" s="1"/>
  <c r="A166" i="153" s="1"/>
  <c r="A167" i="153" s="1"/>
  <c r="A168" i="153" s="1"/>
  <c r="A169" i="153" s="1"/>
  <c r="A170" i="153" s="1"/>
  <c r="A171" i="153" s="1"/>
  <c r="A172" i="153" s="1"/>
  <c r="A173" i="153" s="1"/>
  <c r="A174" i="153" s="1"/>
  <c r="A175" i="153" s="1"/>
  <c r="A176" i="153" s="1"/>
  <c r="A177" i="153" s="1"/>
  <c r="A178" i="153" s="1"/>
  <c r="A179" i="153" s="1"/>
  <c r="A180" i="153" s="1"/>
  <c r="A181" i="153" s="1"/>
  <c r="A182" i="153" s="1"/>
  <c r="A183" i="153" s="1"/>
  <c r="A184" i="153" s="1"/>
  <c r="A185" i="153" s="1"/>
  <c r="A186" i="153" s="1"/>
  <c r="A187" i="153" s="1"/>
  <c r="A188" i="153" s="1"/>
  <c r="A189" i="153" s="1"/>
  <c r="A190" i="153" s="1"/>
  <c r="A191" i="153" s="1"/>
  <c r="A192" i="153" s="1"/>
  <c r="A193" i="153" s="1"/>
  <c r="A194" i="153" s="1"/>
  <c r="A195" i="153" s="1"/>
  <c r="A196" i="153" s="1"/>
  <c r="A197" i="153" s="1"/>
  <c r="A198" i="153" s="1"/>
  <c r="A199" i="153" s="1"/>
  <c r="A200" i="153" s="1"/>
  <c r="A201" i="153" s="1"/>
  <c r="A202" i="153" s="1"/>
  <c r="A203" i="153" s="1"/>
  <c r="A204" i="153" s="1"/>
  <c r="A205" i="153" s="1"/>
  <c r="A206" i="153" s="1"/>
  <c r="A207" i="153" s="1"/>
  <c r="A208" i="153" s="1"/>
  <c r="A209" i="153" s="1"/>
  <c r="A210" i="153" s="1"/>
  <c r="A211" i="153" s="1"/>
  <c r="A212" i="153" s="1"/>
  <c r="A213" i="153" s="1"/>
  <c r="A214" i="153" s="1"/>
  <c r="A215" i="153" s="1"/>
  <c r="A216" i="153" s="1"/>
  <c r="A217" i="153" s="1"/>
  <c r="A218" i="153" s="1"/>
  <c r="A219" i="153" s="1"/>
  <c r="A220" i="153" s="1"/>
  <c r="A221" i="153" s="1"/>
  <c r="A222" i="153" s="1"/>
  <c r="A223" i="153" s="1"/>
  <c r="A224" i="153" s="1"/>
  <c r="A225" i="153" s="1"/>
  <c r="A226" i="153" s="1"/>
  <c r="A227" i="153" s="1"/>
  <c r="A228" i="153" s="1"/>
  <c r="A229" i="153" s="1"/>
  <c r="A230" i="153" s="1"/>
  <c r="A231" i="153" s="1"/>
  <c r="A232" i="153" s="1"/>
  <c r="A233" i="153" s="1"/>
  <c r="A234" i="153" s="1"/>
  <c r="A235" i="153" s="1"/>
  <c r="A236" i="153" s="1"/>
  <c r="A237" i="153" s="1"/>
  <c r="A238" i="153" s="1"/>
  <c r="A239" i="153" s="1"/>
  <c r="A240" i="153" s="1"/>
  <c r="A241" i="153" s="1"/>
  <c r="A242" i="153" s="1"/>
  <c r="A243" i="153" s="1"/>
  <c r="A244" i="153" s="1"/>
  <c r="A245" i="153" s="1"/>
  <c r="A246" i="153" s="1"/>
  <c r="A247" i="153" s="1"/>
  <c r="A248" i="153" s="1"/>
  <c r="A249" i="153" s="1"/>
  <c r="A250" i="153" s="1"/>
  <c r="A251" i="153" s="1"/>
  <c r="A252" i="153" s="1"/>
  <c r="A253" i="153" s="1"/>
  <c r="A254" i="153" s="1"/>
  <c r="A255" i="153" s="1"/>
  <c r="A256" i="153" s="1"/>
  <c r="A257" i="153" s="1"/>
  <c r="A258" i="153" s="1"/>
  <c r="A259" i="153" s="1"/>
  <c r="A260" i="153" s="1"/>
  <c r="A261" i="153" s="1"/>
  <c r="A262" i="153" s="1"/>
  <c r="A263" i="153" s="1"/>
  <c r="A264" i="153" s="1"/>
  <c r="A265" i="153" s="1"/>
  <c r="A266" i="153" s="1"/>
  <c r="A267" i="153" s="1"/>
  <c r="A268" i="153" s="1"/>
  <c r="A269" i="153" s="1"/>
  <c r="A270" i="153" s="1"/>
  <c r="A271" i="153" s="1"/>
  <c r="A272" i="153" s="1"/>
  <c r="A273" i="153" s="1"/>
  <c r="A274" i="153" s="1"/>
  <c r="A275" i="153" s="1"/>
  <c r="A276" i="153" s="1"/>
  <c r="A277" i="153" s="1"/>
  <c r="A278" i="153" s="1"/>
  <c r="A279" i="153" s="1"/>
  <c r="A280" i="153" s="1"/>
  <c r="A281" i="153" s="1"/>
  <c r="A282" i="153" s="1"/>
  <c r="A283" i="153" s="1"/>
  <c r="A284" i="153" s="1"/>
  <c r="A285" i="153" s="1"/>
  <c r="A286" i="153" s="1"/>
  <c r="A287" i="153" s="1"/>
  <c r="A288" i="153" s="1"/>
  <c r="A289" i="153" s="1"/>
  <c r="A290" i="153" s="1"/>
  <c r="A291" i="153" s="1"/>
  <c r="A292" i="153" s="1"/>
  <c r="A293" i="153" s="1"/>
  <c r="A294" i="153" s="1"/>
  <c r="A295" i="153" s="1"/>
  <c r="A296" i="153" s="1"/>
  <c r="A297" i="153" s="1"/>
  <c r="A298" i="153" s="1"/>
  <c r="A299" i="153" s="1"/>
  <c r="A300" i="153" s="1"/>
  <c r="A301" i="153" s="1"/>
  <c r="A302" i="153" s="1"/>
  <c r="A303" i="153" s="1"/>
  <c r="A304" i="153" s="1"/>
  <c r="A305" i="153" s="1"/>
  <c r="A306" i="153" s="1"/>
  <c r="A307" i="153" s="1"/>
  <c r="A308" i="153" s="1"/>
  <c r="A309" i="153" s="1"/>
  <c r="A310" i="153" s="1"/>
  <c r="A311" i="153" s="1"/>
  <c r="A312" i="153" s="1"/>
  <c r="A313" i="153" s="1"/>
  <c r="A314" i="153" s="1"/>
  <c r="A315" i="153" s="1"/>
  <c r="A316" i="153" s="1"/>
  <c r="A317" i="153" s="1"/>
  <c r="A318" i="153" s="1"/>
  <c r="A319" i="153" s="1"/>
  <c r="A320" i="153" s="1"/>
  <c r="A321" i="153" s="1"/>
  <c r="A322" i="153" s="1"/>
  <c r="A323" i="153" s="1"/>
  <c r="A324" i="153" s="1"/>
  <c r="A325" i="153" s="1"/>
  <c r="A326" i="153" s="1"/>
  <c r="A327" i="153" s="1"/>
  <c r="A328" i="153" s="1"/>
  <c r="A329" i="153" s="1"/>
  <c r="A330" i="153" s="1"/>
  <c r="A331" i="153" s="1"/>
  <c r="A332" i="153" s="1"/>
  <c r="A333" i="153" s="1"/>
  <c r="A334" i="153" s="1"/>
  <c r="A335" i="153" s="1"/>
  <c r="A336" i="153" s="1"/>
  <c r="A337" i="153" s="1"/>
  <c r="A338" i="153" s="1"/>
  <c r="A339" i="153" s="1"/>
  <c r="A340" i="153" s="1"/>
  <c r="A341" i="153" s="1"/>
  <c r="A342" i="153" s="1"/>
  <c r="A343" i="153" s="1"/>
  <c r="A344" i="153" s="1"/>
  <c r="A345" i="153" s="1"/>
  <c r="A346" i="153" s="1"/>
  <c r="A347" i="153" s="1"/>
  <c r="A348" i="153" s="1"/>
  <c r="A349" i="153" s="1"/>
  <c r="A350" i="153" s="1"/>
  <c r="A351" i="153" s="1"/>
  <c r="A352" i="153" s="1"/>
  <c r="A353" i="153" s="1"/>
  <c r="A354" i="153" s="1"/>
  <c r="A355" i="153" s="1"/>
  <c r="A356" i="153" s="1"/>
  <c r="A357" i="153" s="1"/>
  <c r="A358" i="153" s="1"/>
  <c r="A359" i="153" s="1"/>
  <c r="A360" i="153" s="1"/>
  <c r="A361" i="153" s="1"/>
  <c r="A362" i="153" s="1"/>
  <c r="A363" i="153" s="1"/>
  <c r="A364" i="153" s="1"/>
  <c r="A365" i="153" s="1"/>
  <c r="A366" i="153" s="1"/>
  <c r="A367" i="153" s="1"/>
  <c r="A368" i="153" s="1"/>
  <c r="A369" i="153" s="1"/>
  <c r="A370" i="153" s="1"/>
  <c r="A371" i="153" s="1"/>
  <c r="A372" i="153" s="1"/>
  <c r="A373" i="153" s="1"/>
  <c r="A374" i="153" s="1"/>
  <c r="A375" i="153" s="1"/>
  <c r="A376" i="153" s="1"/>
  <c r="A377" i="153" s="1"/>
  <c r="A378" i="153" s="1"/>
  <c r="A379" i="153" s="1"/>
  <c r="A380" i="153" s="1"/>
  <c r="A381" i="153" s="1"/>
  <c r="A382" i="153" s="1"/>
  <c r="A383" i="153" s="1"/>
  <c r="A384" i="153" s="1"/>
  <c r="A385" i="153" s="1"/>
  <c r="A386" i="153" s="1"/>
  <c r="A387" i="153" s="1"/>
  <c r="A388" i="153" s="1"/>
  <c r="A389" i="153" s="1"/>
  <c r="A390" i="153" s="1"/>
  <c r="A391" i="153" s="1"/>
  <c r="A392" i="153" s="1"/>
  <c r="A393" i="153" s="1"/>
  <c r="A394" i="153" s="1"/>
  <c r="A395" i="153" s="1"/>
  <c r="A396" i="153" s="1"/>
  <c r="A397" i="153" s="1"/>
  <c r="A398" i="153" s="1"/>
  <c r="A399" i="153" s="1"/>
  <c r="A400" i="153" s="1"/>
  <c r="A401" i="153" s="1"/>
  <c r="A402" i="153" s="1"/>
  <c r="A403" i="153" s="1"/>
  <c r="A404" i="153" s="1"/>
  <c r="A405" i="153" s="1"/>
  <c r="A406" i="153" s="1"/>
  <c r="A407" i="153" s="1"/>
  <c r="A408" i="153" s="1"/>
  <c r="A409" i="153" s="1"/>
  <c r="A410" i="153" s="1"/>
  <c r="A411" i="153" s="1"/>
  <c r="A412" i="153" s="1"/>
  <c r="A413" i="153" s="1"/>
  <c r="A414" i="153" s="1"/>
  <c r="A415" i="153" s="1"/>
  <c r="A416" i="153" s="1"/>
  <c r="A417" i="153" s="1"/>
  <c r="A418" i="153" s="1"/>
  <c r="A419" i="153" s="1"/>
  <c r="A420" i="153" s="1"/>
  <c r="A421" i="153" s="1"/>
  <c r="A422" i="153" s="1"/>
  <c r="A423" i="153" s="1"/>
  <c r="A424" i="153" s="1"/>
  <c r="A425" i="153" s="1"/>
  <c r="A426" i="153" s="1"/>
  <c r="A427" i="153" s="1"/>
  <c r="A428" i="153" s="1"/>
  <c r="A429" i="153" s="1"/>
  <c r="A430" i="153" s="1"/>
  <c r="A431" i="153" s="1"/>
  <c r="A432" i="153" s="1"/>
  <c r="A433" i="153" s="1"/>
  <c r="A434" i="153" s="1"/>
  <c r="A435" i="153" s="1"/>
  <c r="A436" i="153" s="1"/>
  <c r="A437" i="153" s="1"/>
  <c r="A438" i="153" s="1"/>
  <c r="A439" i="153" s="1"/>
  <c r="A440" i="153" s="1"/>
  <c r="A441" i="153" s="1"/>
  <c r="A442" i="153" s="1"/>
  <c r="A443" i="153" s="1"/>
  <c r="A444" i="153" s="1"/>
  <c r="A445" i="153" s="1"/>
  <c r="A446" i="153" s="1"/>
  <c r="A447" i="153" s="1"/>
  <c r="A448" i="153" s="1"/>
  <c r="A449" i="153" s="1"/>
  <c r="A450" i="153" s="1"/>
  <c r="A451" i="153" s="1"/>
  <c r="A452" i="153" s="1"/>
  <c r="A453" i="153" s="1"/>
  <c r="A454" i="153" s="1"/>
  <c r="A455" i="153" s="1"/>
  <c r="A456" i="153" s="1"/>
  <c r="A457" i="153" s="1"/>
  <c r="A458" i="153" s="1"/>
  <c r="A459" i="153" s="1"/>
  <c r="A460" i="153" s="1"/>
  <c r="A461" i="153" s="1"/>
  <c r="A462" i="153" s="1"/>
  <c r="A463" i="153" s="1"/>
  <c r="A464" i="153" s="1"/>
  <c r="A465" i="153" s="1"/>
  <c r="A466" i="153" s="1"/>
  <c r="A467" i="153" s="1"/>
  <c r="A468" i="153" s="1"/>
  <c r="A469" i="153" s="1"/>
  <c r="A470" i="153" s="1"/>
  <c r="A471" i="153" s="1"/>
  <c r="A472" i="153" s="1"/>
  <c r="A473" i="153" s="1"/>
  <c r="A474" i="153" s="1"/>
  <c r="A475" i="153" s="1"/>
  <c r="A476" i="153" s="1"/>
  <c r="A477" i="153" s="1"/>
  <c r="A478" i="153" s="1"/>
  <c r="A479" i="153" s="1"/>
  <c r="A480" i="153" s="1"/>
  <c r="A481" i="153" s="1"/>
  <c r="A482" i="153" s="1"/>
  <c r="A483" i="153" s="1"/>
  <c r="A484" i="153" s="1"/>
  <c r="A485" i="153" s="1"/>
  <c r="A486" i="153" s="1"/>
  <c r="A487" i="153" s="1"/>
  <c r="A488" i="153" s="1"/>
  <c r="A489" i="153" s="1"/>
  <c r="A490" i="153" s="1"/>
  <c r="A491" i="153" s="1"/>
  <c r="A492" i="153" s="1"/>
  <c r="A493" i="153" s="1"/>
  <c r="A494" i="153" s="1"/>
  <c r="A495" i="153" s="1"/>
  <c r="A496" i="153" s="1"/>
  <c r="A497" i="153" s="1"/>
  <c r="A498" i="153" s="1"/>
  <c r="A499" i="153" s="1"/>
  <c r="A500" i="153" s="1"/>
  <c r="A501" i="153" s="1"/>
  <c r="A502" i="153" s="1"/>
  <c r="A503" i="153" s="1"/>
  <c r="A504" i="153" s="1"/>
  <c r="A505" i="153" s="1"/>
  <c r="A506" i="153" s="1"/>
  <c r="A507" i="153" s="1"/>
  <c r="A508" i="153" s="1"/>
  <c r="A509" i="153" s="1"/>
  <c r="A510" i="153" s="1"/>
  <c r="A511" i="153" s="1"/>
  <c r="A512" i="153" s="1"/>
  <c r="A513" i="153" s="1"/>
  <c r="A514" i="153" s="1"/>
  <c r="A515" i="153" s="1"/>
  <c r="A516" i="153" s="1"/>
  <c r="A517" i="153" s="1"/>
  <c r="A518" i="153" s="1"/>
  <c r="A519" i="153" s="1"/>
  <c r="A520" i="153" s="1"/>
  <c r="A521" i="153" s="1"/>
  <c r="A522" i="153" s="1"/>
  <c r="A523" i="153" s="1"/>
  <c r="A524" i="153" s="1"/>
  <c r="A525" i="153" s="1"/>
  <c r="A526" i="153" s="1"/>
  <c r="A527" i="153" s="1"/>
  <c r="A528" i="153" s="1"/>
  <c r="A529" i="153" s="1"/>
  <c r="A530" i="153" s="1"/>
  <c r="A531" i="153" s="1"/>
  <c r="A532" i="153" s="1"/>
  <c r="A533" i="153" s="1"/>
  <c r="A534" i="153" s="1"/>
  <c r="A535" i="153" s="1"/>
  <c r="A536" i="153" s="1"/>
  <c r="A537" i="153" s="1"/>
  <c r="A538" i="153" s="1"/>
  <c r="A539" i="153" s="1"/>
  <c r="A540" i="153" s="1"/>
  <c r="A541" i="153" s="1"/>
  <c r="A542" i="153" s="1"/>
  <c r="A543" i="153" s="1"/>
  <c r="A544" i="153" s="1"/>
  <c r="A545" i="153" s="1"/>
  <c r="A546" i="153" s="1"/>
  <c r="A547" i="153" s="1"/>
  <c r="A548" i="153" s="1"/>
  <c r="A549" i="153" s="1"/>
  <c r="A550" i="153" s="1"/>
  <c r="A551" i="153" s="1"/>
  <c r="A552" i="153" s="1"/>
  <c r="A553" i="153" s="1"/>
  <c r="A554" i="153" s="1"/>
  <c r="A555" i="153" s="1"/>
  <c r="A556" i="153" s="1"/>
  <c r="A557" i="153" s="1"/>
  <c r="A558" i="153" s="1"/>
  <c r="A559" i="153" s="1"/>
  <c r="A560" i="153" s="1"/>
  <c r="A561" i="153" s="1"/>
  <c r="A562" i="153" s="1"/>
  <c r="A563" i="153" s="1"/>
  <c r="A564" i="153" s="1"/>
  <c r="A565" i="153" s="1"/>
  <c r="A566" i="153" s="1"/>
  <c r="A567" i="153" s="1"/>
  <c r="A568" i="153" s="1"/>
  <c r="A569" i="153" s="1"/>
  <c r="A570" i="153" s="1"/>
  <c r="A571" i="153" s="1"/>
  <c r="A572" i="153" s="1"/>
  <c r="A573" i="153" s="1"/>
  <c r="A574" i="153" s="1"/>
  <c r="A575" i="153" s="1"/>
  <c r="A576" i="153" s="1"/>
  <c r="A577" i="153" s="1"/>
  <c r="A578" i="153" s="1"/>
  <c r="A579" i="153" s="1"/>
  <c r="A580" i="153" s="1"/>
  <c r="A581" i="153" s="1"/>
  <c r="A582" i="153" s="1"/>
  <c r="A583" i="153" s="1"/>
  <c r="A584" i="153" s="1"/>
  <c r="A585" i="153" s="1"/>
  <c r="A586" i="153" s="1"/>
  <c r="A587" i="153" s="1"/>
  <c r="A588" i="153" s="1"/>
  <c r="A589" i="153" s="1"/>
  <c r="A590" i="153" s="1"/>
  <c r="A591" i="153" s="1"/>
  <c r="A592" i="153" s="1"/>
  <c r="A593" i="153" s="1"/>
  <c r="A594" i="153" s="1"/>
  <c r="A595" i="153" s="1"/>
  <c r="A596" i="153" s="1"/>
  <c r="A597" i="153" s="1"/>
  <c r="A598" i="153" s="1"/>
  <c r="A599" i="153" s="1"/>
  <c r="A600" i="153" s="1"/>
  <c r="A601" i="153" s="1"/>
  <c r="A602" i="153" s="1"/>
  <c r="A603" i="153" s="1"/>
  <c r="A604" i="153" s="1"/>
  <c r="A605" i="153" s="1"/>
  <c r="A606" i="153" s="1"/>
  <c r="A607" i="153" s="1"/>
  <c r="A608" i="153" s="1"/>
  <c r="A609" i="153" s="1"/>
  <c r="A610" i="153" s="1"/>
  <c r="A611" i="153" s="1"/>
  <c r="A612" i="153" s="1"/>
  <c r="A613" i="153" s="1"/>
  <c r="A614" i="153" s="1"/>
  <c r="A615" i="153" s="1"/>
  <c r="A616" i="153" s="1"/>
  <c r="A617" i="153" s="1"/>
  <c r="A618" i="153" s="1"/>
  <c r="A619" i="153" s="1"/>
  <c r="A620" i="153" s="1"/>
  <c r="A621" i="153" s="1"/>
  <c r="A622" i="153" s="1"/>
  <c r="A623" i="153" s="1"/>
  <c r="A624" i="153" s="1"/>
  <c r="A625" i="153" s="1"/>
  <c r="A626" i="153" s="1"/>
  <c r="A627" i="153" s="1"/>
  <c r="A628" i="153" s="1"/>
  <c r="A629" i="153" s="1"/>
  <c r="A630" i="153" s="1"/>
  <c r="A631" i="153" s="1"/>
  <c r="A632" i="153" s="1"/>
  <c r="A633" i="153" s="1"/>
  <c r="A634" i="153" s="1"/>
  <c r="A635" i="153" s="1"/>
  <c r="A636" i="153" s="1"/>
  <c r="A637" i="153" s="1"/>
  <c r="A638" i="153" s="1"/>
  <c r="A639" i="153" s="1"/>
  <c r="A640" i="153" s="1"/>
  <c r="A641" i="153" s="1"/>
  <c r="A642" i="153" s="1"/>
  <c r="A643" i="153" s="1"/>
  <c r="A644" i="153" s="1"/>
  <c r="A645" i="153" s="1"/>
  <c r="A646" i="153" s="1"/>
  <c r="A647" i="153" s="1"/>
  <c r="A648" i="153" s="1"/>
  <c r="A649" i="153" s="1"/>
  <c r="A650" i="153" s="1"/>
  <c r="A651" i="153" s="1"/>
  <c r="A652" i="153" s="1"/>
  <c r="A653" i="153" s="1"/>
  <c r="A654" i="153" s="1"/>
  <c r="A655" i="153" s="1"/>
  <c r="A656" i="153" s="1"/>
  <c r="A657" i="153" s="1"/>
  <c r="A658" i="153" s="1"/>
  <c r="A659" i="153" s="1"/>
  <c r="A660" i="153" s="1"/>
  <c r="A661" i="153" s="1"/>
  <c r="A662" i="153" s="1"/>
  <c r="A663" i="153" s="1"/>
  <c r="A664" i="153" s="1"/>
  <c r="A665" i="153" s="1"/>
  <c r="A666" i="153" s="1"/>
  <c r="A667" i="153" s="1"/>
  <c r="A668" i="153" s="1"/>
  <c r="A669" i="153" s="1"/>
  <c r="A670" i="153" s="1"/>
  <c r="A671" i="153" s="1"/>
  <c r="A672" i="153" s="1"/>
  <c r="A673" i="153" s="1"/>
  <c r="A674" i="153" s="1"/>
  <c r="A675" i="153" s="1"/>
  <c r="A676" i="153" s="1"/>
  <c r="A677" i="153" s="1"/>
  <c r="A678" i="153" s="1"/>
  <c r="A679" i="153" s="1"/>
  <c r="A680" i="153" s="1"/>
  <c r="A681" i="153" s="1"/>
  <c r="A682" i="153" s="1"/>
  <c r="A683" i="153" s="1"/>
  <c r="A684" i="153" s="1"/>
  <c r="A685" i="153" s="1"/>
  <c r="A686" i="153" s="1"/>
  <c r="A687" i="153" s="1"/>
  <c r="A688" i="153" s="1"/>
  <c r="A689" i="153" s="1"/>
  <c r="A690" i="153" s="1"/>
  <c r="A691" i="153" s="1"/>
  <c r="A692" i="153" s="1"/>
  <c r="A693" i="153" s="1"/>
  <c r="A694" i="153" s="1"/>
  <c r="A695" i="153" s="1"/>
  <c r="A696" i="153" s="1"/>
  <c r="A697" i="153" s="1"/>
  <c r="A698" i="153" s="1"/>
  <c r="A699" i="153" s="1"/>
  <c r="A700" i="153" s="1"/>
  <c r="A701" i="153" s="1"/>
  <c r="A702" i="153" s="1"/>
  <c r="A703" i="153" s="1"/>
  <c r="I22" i="153"/>
  <c r="I21" i="153"/>
  <c r="I20" i="153"/>
  <c r="I19" i="153"/>
  <c r="I18" i="153"/>
  <c r="I17" i="153"/>
  <c r="I16" i="153"/>
  <c r="I15" i="153"/>
  <c r="I14" i="153"/>
  <c r="I13" i="153"/>
  <c r="I12" i="153"/>
  <c r="I11" i="153"/>
  <c r="A11" i="153"/>
  <c r="A12" i="153" s="1"/>
  <c r="A13" i="153" s="1"/>
  <c r="A14" i="153" s="1"/>
  <c r="A15" i="153" s="1"/>
  <c r="A16" i="153" s="1"/>
  <c r="A17" i="153" s="1"/>
  <c r="A18" i="153" s="1"/>
  <c r="A19" i="153" s="1"/>
  <c r="A20" i="153" s="1"/>
  <c r="A21" i="153" s="1"/>
  <c r="A22" i="153" s="1"/>
  <c r="I10" i="153"/>
  <c r="I9" i="153"/>
  <c r="A9" i="153"/>
  <c r="A10" i="153" s="1"/>
  <c r="I8" i="153"/>
  <c r="F20" i="152"/>
  <c r="E20" i="152"/>
  <c r="D20" i="152"/>
  <c r="C20" i="152"/>
  <c r="G19" i="152"/>
  <c r="G18" i="152"/>
  <c r="G17" i="152"/>
  <c r="G16" i="152"/>
  <c r="G15" i="152"/>
  <c r="G14" i="152"/>
  <c r="G13" i="152"/>
  <c r="G12" i="152"/>
  <c r="G11" i="152"/>
  <c r="G10" i="152"/>
  <c r="G9" i="152"/>
  <c r="C54" i="151"/>
  <c r="D52" i="151"/>
  <c r="D51" i="151"/>
  <c r="D50" i="151"/>
  <c r="D49" i="151"/>
  <c r="D48" i="151"/>
  <c r="D47" i="151"/>
  <c r="D46" i="151"/>
  <c r="D45" i="151"/>
  <c r="D44" i="151"/>
  <c r="D43" i="151"/>
  <c r="D42" i="151"/>
  <c r="D41" i="151"/>
  <c r="D40" i="151"/>
  <c r="D39" i="151"/>
  <c r="D38" i="151"/>
  <c r="D37" i="151"/>
  <c r="D36" i="151"/>
  <c r="D35" i="151"/>
  <c r="D34" i="151"/>
  <c r="D33" i="151"/>
  <c r="D32" i="151"/>
  <c r="D31" i="151"/>
  <c r="D30" i="151"/>
  <c r="D29" i="151"/>
  <c r="D28" i="151"/>
  <c r="D27" i="151"/>
  <c r="D26" i="151"/>
  <c r="D25" i="151"/>
  <c r="D24" i="151"/>
  <c r="D23" i="151"/>
  <c r="D22" i="151"/>
  <c r="D21" i="151"/>
  <c r="D20" i="151"/>
  <c r="D19" i="151"/>
  <c r="D18" i="151"/>
  <c r="D17" i="151"/>
  <c r="D16" i="151"/>
  <c r="D15" i="151"/>
  <c r="D14" i="151"/>
  <c r="D13" i="151"/>
  <c r="D12" i="151"/>
  <c r="H103" i="150"/>
  <c r="G103" i="150"/>
  <c r="F103" i="150"/>
  <c r="E103" i="150"/>
  <c r="D103" i="150"/>
  <c r="J102" i="150"/>
  <c r="I102" i="150"/>
  <c r="J101" i="150"/>
  <c r="I101" i="150"/>
  <c r="J100" i="150"/>
  <c r="I100" i="150"/>
  <c r="J99" i="150"/>
  <c r="I99" i="150"/>
  <c r="J98" i="150"/>
  <c r="I98" i="150"/>
  <c r="J97" i="150"/>
  <c r="I97" i="150"/>
  <c r="J96" i="150"/>
  <c r="I96" i="150"/>
  <c r="J95" i="150"/>
  <c r="I95" i="150"/>
  <c r="J94" i="150"/>
  <c r="I94" i="150"/>
  <c r="J93" i="150"/>
  <c r="I93" i="150"/>
  <c r="J92" i="150"/>
  <c r="I92" i="150"/>
  <c r="J91" i="150"/>
  <c r="I91" i="150"/>
  <c r="J90" i="150"/>
  <c r="I90" i="150"/>
  <c r="J89" i="150"/>
  <c r="I89" i="150"/>
  <c r="J88" i="150"/>
  <c r="I88" i="150"/>
  <c r="J87" i="150"/>
  <c r="I87" i="150"/>
  <c r="J86" i="150"/>
  <c r="I86" i="150"/>
  <c r="J85" i="150"/>
  <c r="I85" i="150"/>
  <c r="J84" i="150"/>
  <c r="I84" i="150"/>
  <c r="J83" i="150"/>
  <c r="I83" i="150"/>
  <c r="J82" i="150"/>
  <c r="I82" i="150"/>
  <c r="J81" i="150"/>
  <c r="I81" i="150"/>
  <c r="J80" i="150"/>
  <c r="I80" i="150"/>
  <c r="J79" i="150"/>
  <c r="I79" i="150"/>
  <c r="J78" i="150"/>
  <c r="I78" i="150"/>
  <c r="J77" i="150"/>
  <c r="I77" i="150"/>
  <c r="J76" i="150"/>
  <c r="I76" i="150"/>
  <c r="J75" i="150"/>
  <c r="I75" i="150"/>
  <c r="J74" i="150"/>
  <c r="I74" i="150"/>
  <c r="J73" i="150"/>
  <c r="I73" i="150"/>
  <c r="J72" i="150"/>
  <c r="I72" i="150"/>
  <c r="J71" i="150"/>
  <c r="I71" i="150"/>
  <c r="J70" i="150"/>
  <c r="I70" i="150"/>
  <c r="J69" i="150"/>
  <c r="I69" i="150"/>
  <c r="J68" i="150"/>
  <c r="I68" i="150"/>
  <c r="J67" i="150"/>
  <c r="I67" i="150"/>
  <c r="J66" i="150"/>
  <c r="I66" i="150"/>
  <c r="J65" i="150"/>
  <c r="I65" i="150"/>
  <c r="J64" i="150"/>
  <c r="I64" i="150"/>
  <c r="J63" i="150"/>
  <c r="I63" i="150"/>
  <c r="J62" i="150"/>
  <c r="I62" i="150"/>
  <c r="J61" i="150"/>
  <c r="I61" i="150"/>
  <c r="J60" i="150"/>
  <c r="I60" i="150"/>
  <c r="J59" i="150"/>
  <c r="I59" i="150"/>
  <c r="J58" i="150"/>
  <c r="I58" i="150"/>
  <c r="J57" i="150"/>
  <c r="I57" i="150"/>
  <c r="J56" i="150"/>
  <c r="I56" i="150"/>
  <c r="J55" i="150"/>
  <c r="I55" i="150"/>
  <c r="J54" i="150"/>
  <c r="I54" i="150"/>
  <c r="J53" i="150"/>
  <c r="I53" i="150"/>
  <c r="J52" i="150"/>
  <c r="I52" i="150"/>
  <c r="J51" i="150"/>
  <c r="I51" i="150"/>
  <c r="J50" i="150"/>
  <c r="I50" i="150"/>
  <c r="J49" i="150"/>
  <c r="I49" i="150"/>
  <c r="J48" i="150"/>
  <c r="I48" i="150"/>
  <c r="J47" i="150"/>
  <c r="I47" i="150"/>
  <c r="J46" i="150"/>
  <c r="I46" i="150"/>
  <c r="J45" i="150"/>
  <c r="I45" i="150"/>
  <c r="J44" i="150"/>
  <c r="I44" i="150"/>
  <c r="J43" i="150"/>
  <c r="I43" i="150"/>
  <c r="J42" i="150"/>
  <c r="I42" i="150"/>
  <c r="J41" i="150"/>
  <c r="I41" i="150"/>
  <c r="J40" i="150"/>
  <c r="I40" i="150"/>
  <c r="J39" i="150"/>
  <c r="I39" i="150"/>
  <c r="J38" i="150"/>
  <c r="I38" i="150"/>
  <c r="J37" i="150"/>
  <c r="I37" i="150"/>
  <c r="J36" i="150"/>
  <c r="I36" i="150"/>
  <c r="J35" i="150"/>
  <c r="I35" i="150"/>
  <c r="J34" i="150"/>
  <c r="I34" i="150"/>
  <c r="J33" i="150"/>
  <c r="I33" i="150"/>
  <c r="J32" i="150"/>
  <c r="I32" i="150"/>
  <c r="J31" i="150"/>
  <c r="I31" i="150"/>
  <c r="J30" i="150"/>
  <c r="I30" i="150"/>
  <c r="J29" i="150"/>
  <c r="I29" i="150"/>
  <c r="J28" i="150"/>
  <c r="I28" i="150"/>
  <c r="J27" i="150"/>
  <c r="I27" i="150"/>
  <c r="J26" i="150"/>
  <c r="I26" i="150"/>
  <c r="J25" i="150"/>
  <c r="I25" i="150"/>
  <c r="J24" i="150"/>
  <c r="I24" i="150"/>
  <c r="J23" i="150"/>
  <c r="I23" i="150"/>
  <c r="J22" i="150"/>
  <c r="I22" i="150"/>
  <c r="J21" i="150"/>
  <c r="I21" i="150"/>
  <c r="J20" i="150"/>
  <c r="I20" i="150"/>
  <c r="J19" i="150"/>
  <c r="I19" i="150"/>
  <c r="J18" i="150"/>
  <c r="I18" i="150"/>
  <c r="J17" i="150"/>
  <c r="I17" i="150"/>
  <c r="J16" i="150"/>
  <c r="I16" i="150"/>
  <c r="J15" i="150"/>
  <c r="I15" i="150"/>
  <c r="J14" i="150"/>
  <c r="I14" i="150"/>
  <c r="J13" i="150"/>
  <c r="I13" i="150"/>
  <c r="J12" i="150"/>
  <c r="I12" i="150"/>
  <c r="J11" i="150"/>
  <c r="I11" i="150"/>
  <c r="J10" i="150"/>
  <c r="I10" i="150"/>
  <c r="J9" i="150"/>
  <c r="I9" i="150"/>
  <c r="I103" i="150" s="1"/>
  <c r="J8" i="150"/>
  <c r="I8" i="150"/>
  <c r="J7" i="150"/>
  <c r="I7" i="150"/>
  <c r="P263" i="149"/>
  <c r="N263" i="149"/>
  <c r="M263" i="149"/>
  <c r="L263" i="149"/>
  <c r="K263" i="149"/>
  <c r="J263" i="149"/>
  <c r="I263" i="149"/>
  <c r="P262" i="149"/>
  <c r="O262" i="149"/>
  <c r="P261" i="149"/>
  <c r="O261" i="149"/>
  <c r="P260" i="149"/>
  <c r="O260" i="149"/>
  <c r="P259" i="149"/>
  <c r="O259" i="149"/>
  <c r="P258" i="149"/>
  <c r="O258" i="149"/>
  <c r="P257" i="149"/>
  <c r="O257" i="149"/>
  <c r="P256" i="149"/>
  <c r="O256" i="149"/>
  <c r="P255" i="149"/>
  <c r="O255" i="149"/>
  <c r="P254" i="149"/>
  <c r="O254" i="149"/>
  <c r="P253" i="149"/>
  <c r="O253" i="149"/>
  <c r="P252" i="149"/>
  <c r="O252" i="149"/>
  <c r="P251" i="149"/>
  <c r="O251" i="149"/>
  <c r="P250" i="149"/>
  <c r="O250" i="149"/>
  <c r="P249" i="149"/>
  <c r="O249" i="149"/>
  <c r="P248" i="149"/>
  <c r="O248" i="149"/>
  <c r="P247" i="149"/>
  <c r="O247" i="149"/>
  <c r="P246" i="149"/>
  <c r="O246" i="149"/>
  <c r="P245" i="149"/>
  <c r="O245" i="149"/>
  <c r="P244" i="149"/>
  <c r="O244" i="149"/>
  <c r="P243" i="149"/>
  <c r="O243" i="149"/>
  <c r="P242" i="149"/>
  <c r="O242" i="149"/>
  <c r="P241" i="149"/>
  <c r="O241" i="149"/>
  <c r="P240" i="149"/>
  <c r="O240" i="149"/>
  <c r="P239" i="149"/>
  <c r="O239" i="149"/>
  <c r="P238" i="149"/>
  <c r="O238" i="149"/>
  <c r="P237" i="149"/>
  <c r="O237" i="149"/>
  <c r="P236" i="149"/>
  <c r="O236" i="149"/>
  <c r="P235" i="149"/>
  <c r="O235" i="149"/>
  <c r="P234" i="149"/>
  <c r="O234" i="149"/>
  <c r="P233" i="149"/>
  <c r="O233" i="149"/>
  <c r="P232" i="149"/>
  <c r="O232" i="149"/>
  <c r="P231" i="149"/>
  <c r="O231" i="149"/>
  <c r="P230" i="149"/>
  <c r="O230" i="149"/>
  <c r="P229" i="149"/>
  <c r="O229" i="149"/>
  <c r="P228" i="149"/>
  <c r="O228" i="149"/>
  <c r="P227" i="149"/>
  <c r="O227" i="149"/>
  <c r="P226" i="149"/>
  <c r="O226" i="149"/>
  <c r="P225" i="149"/>
  <c r="O225" i="149"/>
  <c r="P224" i="149"/>
  <c r="O224" i="149"/>
  <c r="P223" i="149"/>
  <c r="O223" i="149"/>
  <c r="P222" i="149"/>
  <c r="O222" i="149"/>
  <c r="P221" i="149"/>
  <c r="O221" i="149"/>
  <c r="P220" i="149"/>
  <c r="O220" i="149"/>
  <c r="P219" i="149"/>
  <c r="O219" i="149"/>
  <c r="P218" i="149"/>
  <c r="O218" i="149"/>
  <c r="P217" i="149"/>
  <c r="O217" i="149"/>
  <c r="P216" i="149"/>
  <c r="O216" i="149"/>
  <c r="P215" i="149"/>
  <c r="O215" i="149"/>
  <c r="P214" i="149"/>
  <c r="O214" i="149"/>
  <c r="P213" i="149"/>
  <c r="O213" i="149"/>
  <c r="P212" i="149"/>
  <c r="O212" i="149"/>
  <c r="P211" i="149"/>
  <c r="O211" i="149"/>
  <c r="P210" i="149"/>
  <c r="O210" i="149"/>
  <c r="P209" i="149"/>
  <c r="O209" i="149"/>
  <c r="P208" i="149"/>
  <c r="O208" i="149"/>
  <c r="P207" i="149"/>
  <c r="O207" i="149"/>
  <c r="P206" i="149"/>
  <c r="O206" i="149"/>
  <c r="P205" i="149"/>
  <c r="O205" i="149"/>
  <c r="P204" i="149"/>
  <c r="O204" i="149"/>
  <c r="P203" i="149"/>
  <c r="O203" i="149"/>
  <c r="P202" i="149"/>
  <c r="O202" i="149"/>
  <c r="P201" i="149"/>
  <c r="O201" i="149"/>
  <c r="P200" i="149"/>
  <c r="O200" i="149"/>
  <c r="P199" i="149"/>
  <c r="O199" i="149"/>
  <c r="P198" i="149"/>
  <c r="O198" i="149"/>
  <c r="P197" i="149"/>
  <c r="O197" i="149"/>
  <c r="P196" i="149"/>
  <c r="O196" i="149"/>
  <c r="P195" i="149"/>
  <c r="O195" i="149"/>
  <c r="P194" i="149"/>
  <c r="O194" i="149"/>
  <c r="P193" i="149"/>
  <c r="O193" i="149"/>
  <c r="P192" i="149"/>
  <c r="O192" i="149"/>
  <c r="P191" i="149"/>
  <c r="O191" i="149"/>
  <c r="P190" i="149"/>
  <c r="O190" i="149"/>
  <c r="P189" i="149"/>
  <c r="O189" i="149"/>
  <c r="P188" i="149"/>
  <c r="O188" i="149"/>
  <c r="P187" i="149"/>
  <c r="O187" i="149"/>
  <c r="P186" i="149"/>
  <c r="O186" i="149"/>
  <c r="P185" i="149"/>
  <c r="O185" i="149"/>
  <c r="P184" i="149"/>
  <c r="O184" i="149"/>
  <c r="P183" i="149"/>
  <c r="O183" i="149"/>
  <c r="P182" i="149"/>
  <c r="O182" i="149"/>
  <c r="P181" i="149"/>
  <c r="O181" i="149"/>
  <c r="P180" i="149"/>
  <c r="O180" i="149"/>
  <c r="P179" i="149"/>
  <c r="O179" i="149"/>
  <c r="P178" i="149"/>
  <c r="O178" i="149"/>
  <c r="P177" i="149"/>
  <c r="O177" i="149"/>
  <c r="P176" i="149"/>
  <c r="O176" i="149"/>
  <c r="P175" i="149"/>
  <c r="O175" i="149"/>
  <c r="P174" i="149"/>
  <c r="O174" i="149"/>
  <c r="P173" i="149"/>
  <c r="O173" i="149"/>
  <c r="P172" i="149"/>
  <c r="O172" i="149"/>
  <c r="P171" i="149"/>
  <c r="O171" i="149"/>
  <c r="P170" i="149"/>
  <c r="O170" i="149"/>
  <c r="P169" i="149"/>
  <c r="O169" i="149"/>
  <c r="P168" i="149"/>
  <c r="O168" i="149"/>
  <c r="P167" i="149"/>
  <c r="O167" i="149"/>
  <c r="P166" i="149"/>
  <c r="O166" i="149"/>
  <c r="P165" i="149"/>
  <c r="O165" i="149"/>
  <c r="P164" i="149"/>
  <c r="O164" i="149"/>
  <c r="P163" i="149"/>
  <c r="O163" i="149"/>
  <c r="P162" i="149"/>
  <c r="O162" i="149"/>
  <c r="P161" i="149"/>
  <c r="O161" i="149"/>
  <c r="P160" i="149"/>
  <c r="O160" i="149"/>
  <c r="P159" i="149"/>
  <c r="O159" i="149"/>
  <c r="P158" i="149"/>
  <c r="O158" i="149"/>
  <c r="P157" i="149"/>
  <c r="O157" i="149"/>
  <c r="P156" i="149"/>
  <c r="O156" i="149"/>
  <c r="P155" i="149"/>
  <c r="O155" i="149"/>
  <c r="P154" i="149"/>
  <c r="O154" i="149"/>
  <c r="P153" i="149"/>
  <c r="O153" i="149"/>
  <c r="P152" i="149"/>
  <c r="O152" i="149"/>
  <c r="P151" i="149"/>
  <c r="O151" i="149"/>
  <c r="P150" i="149"/>
  <c r="O150" i="149"/>
  <c r="P149" i="149"/>
  <c r="O149" i="149"/>
  <c r="P148" i="149"/>
  <c r="O148" i="149"/>
  <c r="P147" i="149"/>
  <c r="O147" i="149"/>
  <c r="P146" i="149"/>
  <c r="O146" i="149"/>
  <c r="P145" i="149"/>
  <c r="O145" i="149"/>
  <c r="P144" i="149"/>
  <c r="O144" i="149"/>
  <c r="P143" i="149"/>
  <c r="O143" i="149"/>
  <c r="P142" i="149"/>
  <c r="O142" i="149"/>
  <c r="P141" i="149"/>
  <c r="O141" i="149"/>
  <c r="P140" i="149"/>
  <c r="O140" i="149"/>
  <c r="P139" i="149"/>
  <c r="O139" i="149"/>
  <c r="P138" i="149"/>
  <c r="O138" i="149"/>
  <c r="P137" i="149"/>
  <c r="O137" i="149"/>
  <c r="P136" i="149"/>
  <c r="O136" i="149"/>
  <c r="P135" i="149"/>
  <c r="O135" i="149"/>
  <c r="P134" i="149"/>
  <c r="O134" i="149"/>
  <c r="P133" i="149"/>
  <c r="O133" i="149"/>
  <c r="P132" i="149"/>
  <c r="O132" i="149"/>
  <c r="P131" i="149"/>
  <c r="O131" i="149"/>
  <c r="P130" i="149"/>
  <c r="O130" i="149"/>
  <c r="P129" i="149"/>
  <c r="O129" i="149"/>
  <c r="P128" i="149"/>
  <c r="O128" i="149"/>
  <c r="P127" i="149"/>
  <c r="O127" i="149"/>
  <c r="P126" i="149"/>
  <c r="O126" i="149"/>
  <c r="P125" i="149"/>
  <c r="O125" i="149"/>
  <c r="P124" i="149"/>
  <c r="O124" i="149"/>
  <c r="P123" i="149"/>
  <c r="O123" i="149"/>
  <c r="P122" i="149"/>
  <c r="O122" i="149"/>
  <c r="P121" i="149"/>
  <c r="O121" i="149"/>
  <c r="P120" i="149"/>
  <c r="O120" i="149"/>
  <c r="P119" i="149"/>
  <c r="O119" i="149"/>
  <c r="P118" i="149"/>
  <c r="O118" i="149"/>
  <c r="P117" i="149"/>
  <c r="O117" i="149"/>
  <c r="P116" i="149"/>
  <c r="O116" i="149"/>
  <c r="P115" i="149"/>
  <c r="O115" i="149"/>
  <c r="P114" i="149"/>
  <c r="O114" i="149"/>
  <c r="P113" i="149"/>
  <c r="O113" i="149"/>
  <c r="P112" i="149"/>
  <c r="O112" i="149"/>
  <c r="P111" i="149"/>
  <c r="O111" i="149"/>
  <c r="P110" i="149"/>
  <c r="O110" i="149"/>
  <c r="P109" i="149"/>
  <c r="O109" i="149"/>
  <c r="P108" i="149"/>
  <c r="O108" i="149"/>
  <c r="P107" i="149"/>
  <c r="O107" i="149"/>
  <c r="P106" i="149"/>
  <c r="O106" i="149"/>
  <c r="P105" i="149"/>
  <c r="O105" i="149"/>
  <c r="P104" i="149"/>
  <c r="O104" i="149"/>
  <c r="P103" i="149"/>
  <c r="O103" i="149"/>
  <c r="P102" i="149"/>
  <c r="O102" i="149"/>
  <c r="P101" i="149"/>
  <c r="O101" i="149"/>
  <c r="P100" i="149"/>
  <c r="O100" i="149"/>
  <c r="P99" i="149"/>
  <c r="O99" i="149"/>
  <c r="P98" i="149"/>
  <c r="O98" i="149"/>
  <c r="P97" i="149"/>
  <c r="O97" i="149"/>
  <c r="P96" i="149"/>
  <c r="O96" i="149"/>
  <c r="P95" i="149"/>
  <c r="O95" i="149"/>
  <c r="P94" i="149"/>
  <c r="O94" i="149"/>
  <c r="P93" i="149"/>
  <c r="O93" i="149"/>
  <c r="P92" i="149"/>
  <c r="O92" i="149"/>
  <c r="P91" i="149"/>
  <c r="O91" i="149"/>
  <c r="P90" i="149"/>
  <c r="O90" i="149"/>
  <c r="P89" i="149"/>
  <c r="O89" i="149"/>
  <c r="P88" i="149"/>
  <c r="O88" i="149"/>
  <c r="P87" i="149"/>
  <c r="O87" i="149"/>
  <c r="P86" i="149"/>
  <c r="O86" i="149"/>
  <c r="P85" i="149"/>
  <c r="O85" i="149"/>
  <c r="P84" i="149"/>
  <c r="O84" i="149"/>
  <c r="P83" i="149"/>
  <c r="O83" i="149"/>
  <c r="P82" i="149"/>
  <c r="O82" i="149"/>
  <c r="P81" i="149"/>
  <c r="O81" i="149"/>
  <c r="P80" i="149"/>
  <c r="O80" i="149"/>
  <c r="P79" i="149"/>
  <c r="O79" i="149"/>
  <c r="P78" i="149"/>
  <c r="O78" i="149"/>
  <c r="P77" i="149"/>
  <c r="O77" i="149"/>
  <c r="P76" i="149"/>
  <c r="O76" i="149"/>
  <c r="P75" i="149"/>
  <c r="O75" i="149"/>
  <c r="P74" i="149"/>
  <c r="O74" i="149"/>
  <c r="P73" i="149"/>
  <c r="O73" i="149"/>
  <c r="P72" i="149"/>
  <c r="O72" i="149"/>
  <c r="P71" i="149"/>
  <c r="O71" i="149"/>
  <c r="P70" i="149"/>
  <c r="O70" i="149"/>
  <c r="P69" i="149"/>
  <c r="O69" i="149"/>
  <c r="P68" i="149"/>
  <c r="O68" i="149"/>
  <c r="P67" i="149"/>
  <c r="O67" i="149"/>
  <c r="P66" i="149"/>
  <c r="O66" i="149"/>
  <c r="P65" i="149"/>
  <c r="O65" i="149"/>
  <c r="P64" i="149"/>
  <c r="O64" i="149"/>
  <c r="P63" i="149"/>
  <c r="O63" i="149"/>
  <c r="P62" i="149"/>
  <c r="O62" i="149"/>
  <c r="P61" i="149"/>
  <c r="O61" i="149"/>
  <c r="P60" i="149"/>
  <c r="O60" i="149"/>
  <c r="P59" i="149"/>
  <c r="O59" i="149"/>
  <c r="P58" i="149"/>
  <c r="O58" i="149"/>
  <c r="P57" i="149"/>
  <c r="O57" i="149"/>
  <c r="P56" i="149"/>
  <c r="O56" i="149"/>
  <c r="P55" i="149"/>
  <c r="O55" i="149"/>
  <c r="P54" i="149"/>
  <c r="O54" i="149"/>
  <c r="P53" i="149"/>
  <c r="O53" i="149"/>
  <c r="P52" i="149"/>
  <c r="O52" i="149"/>
  <c r="P51" i="149"/>
  <c r="O51" i="149"/>
  <c r="P50" i="149"/>
  <c r="O50" i="149"/>
  <c r="P49" i="149"/>
  <c r="O49" i="149"/>
  <c r="P48" i="149"/>
  <c r="O48" i="149"/>
  <c r="P47" i="149"/>
  <c r="O47" i="149"/>
  <c r="P46" i="149"/>
  <c r="O46" i="149"/>
  <c r="P45" i="149"/>
  <c r="O45" i="149"/>
  <c r="P44" i="149"/>
  <c r="O44" i="149"/>
  <c r="P43" i="149"/>
  <c r="O43" i="149"/>
  <c r="P42" i="149"/>
  <c r="O42" i="149"/>
  <c r="P41" i="149"/>
  <c r="O41" i="149"/>
  <c r="P40" i="149"/>
  <c r="O40" i="149"/>
  <c r="P39" i="149"/>
  <c r="O39" i="149"/>
  <c r="P38" i="149"/>
  <c r="O38" i="149"/>
  <c r="P37" i="149"/>
  <c r="O37" i="149"/>
  <c r="P36" i="149"/>
  <c r="O36" i="149"/>
  <c r="P35" i="149"/>
  <c r="O35" i="149"/>
  <c r="P34" i="149"/>
  <c r="O34" i="149"/>
  <c r="P33" i="149"/>
  <c r="O33" i="149"/>
  <c r="P32" i="149"/>
  <c r="O32" i="149"/>
  <c r="P31" i="149"/>
  <c r="O31" i="149"/>
  <c r="P30" i="149"/>
  <c r="O30" i="149"/>
  <c r="P29" i="149"/>
  <c r="O29" i="149"/>
  <c r="P28" i="149"/>
  <c r="O28" i="149"/>
  <c r="P27" i="149"/>
  <c r="O27" i="149"/>
  <c r="P26" i="149"/>
  <c r="O26" i="149"/>
  <c r="P25" i="149"/>
  <c r="O25" i="149"/>
  <c r="P24" i="149"/>
  <c r="O24" i="149"/>
  <c r="P23" i="149"/>
  <c r="O23" i="149"/>
  <c r="P22" i="149"/>
  <c r="O22" i="149"/>
  <c r="P21" i="149"/>
  <c r="O21" i="149"/>
  <c r="P20" i="149"/>
  <c r="O20" i="149"/>
  <c r="P19" i="149"/>
  <c r="O19" i="149"/>
  <c r="P18" i="149"/>
  <c r="O18" i="149"/>
  <c r="P17" i="149"/>
  <c r="O17" i="149"/>
  <c r="P16" i="149"/>
  <c r="O16" i="149"/>
  <c r="P15" i="149"/>
  <c r="O15" i="149"/>
  <c r="P14" i="149"/>
  <c r="O14" i="149"/>
  <c r="P13" i="149"/>
  <c r="O13" i="149"/>
  <c r="P12" i="149"/>
  <c r="O12" i="149"/>
  <c r="P11" i="149"/>
  <c r="O11" i="149"/>
  <c r="P10" i="149"/>
  <c r="O10" i="149"/>
  <c r="P9" i="149"/>
  <c r="O9" i="149"/>
  <c r="O263" i="149" s="1"/>
  <c r="N336" i="148"/>
  <c r="M336" i="148"/>
  <c r="L336" i="148"/>
  <c r="K336" i="148"/>
  <c r="J336" i="148"/>
  <c r="I336" i="148"/>
  <c r="H336" i="148"/>
  <c r="O335" i="148"/>
  <c r="O334" i="148"/>
  <c r="O333" i="148"/>
  <c r="O332" i="148"/>
  <c r="O331" i="148"/>
  <c r="O330" i="148"/>
  <c r="O329" i="148"/>
  <c r="O328" i="148"/>
  <c r="O327" i="148"/>
  <c r="O326" i="148"/>
  <c r="O325" i="148"/>
  <c r="O324" i="148"/>
  <c r="O323" i="148"/>
  <c r="O322" i="148"/>
  <c r="O321" i="148"/>
  <c r="O320" i="148"/>
  <c r="O319" i="148"/>
  <c r="O318" i="148"/>
  <c r="O317" i="148"/>
  <c r="O316" i="148"/>
  <c r="O315" i="148"/>
  <c r="O314" i="148"/>
  <c r="O313" i="148"/>
  <c r="O312" i="148"/>
  <c r="O311" i="148"/>
  <c r="O310" i="148"/>
  <c r="O309" i="148"/>
  <c r="O308" i="148"/>
  <c r="O307" i="148"/>
  <c r="O306" i="148"/>
  <c r="O305" i="148"/>
  <c r="O304" i="148"/>
  <c r="O303" i="148"/>
  <c r="O302" i="148"/>
  <c r="O301" i="148"/>
  <c r="O300" i="148"/>
  <c r="O299" i="148"/>
  <c r="O298" i="148"/>
  <c r="O297" i="148"/>
  <c r="O296" i="148"/>
  <c r="O295" i="148"/>
  <c r="O294" i="148"/>
  <c r="O293" i="148"/>
  <c r="O292" i="148"/>
  <c r="O291" i="148"/>
  <c r="O290" i="148"/>
  <c r="O289" i="148"/>
  <c r="O288" i="148"/>
  <c r="O287" i="148"/>
  <c r="O286" i="148"/>
  <c r="O285" i="148"/>
  <c r="O284" i="148"/>
  <c r="O283" i="148"/>
  <c r="O282" i="148"/>
  <c r="O281" i="148"/>
  <c r="O280" i="148"/>
  <c r="O279" i="148"/>
  <c r="O278" i="148"/>
  <c r="O277" i="148"/>
  <c r="O276" i="148"/>
  <c r="O275" i="148"/>
  <c r="O274" i="148"/>
  <c r="O273" i="148"/>
  <c r="O272" i="148"/>
  <c r="O271" i="148"/>
  <c r="O270" i="148"/>
  <c r="O269" i="148"/>
  <c r="O268" i="148"/>
  <c r="O267" i="148"/>
  <c r="O266" i="148"/>
  <c r="O265" i="148"/>
  <c r="O264" i="148"/>
  <c r="O263" i="148"/>
  <c r="O262" i="148"/>
  <c r="O261" i="148"/>
  <c r="O260" i="148"/>
  <c r="O259" i="148"/>
  <c r="O258" i="148"/>
  <c r="O257" i="148"/>
  <c r="O256" i="148"/>
  <c r="O255" i="148"/>
  <c r="O254" i="148"/>
  <c r="O253" i="148"/>
  <c r="O252" i="148"/>
  <c r="O251" i="148"/>
  <c r="O250" i="148"/>
  <c r="O249" i="148"/>
  <c r="O248" i="148"/>
  <c r="O247" i="148"/>
  <c r="O246" i="148"/>
  <c r="O245" i="148"/>
  <c r="O244" i="148"/>
  <c r="O243" i="148"/>
  <c r="O242" i="148"/>
  <c r="O241" i="148"/>
  <c r="O240" i="148"/>
  <c r="O239" i="148"/>
  <c r="O238" i="148"/>
  <c r="O237" i="148"/>
  <c r="O236" i="148"/>
  <c r="O235" i="148"/>
  <c r="O234" i="148"/>
  <c r="O233" i="148"/>
  <c r="O232" i="148"/>
  <c r="O231" i="148"/>
  <c r="O230" i="148"/>
  <c r="O229" i="148"/>
  <c r="O228" i="148"/>
  <c r="O227" i="148"/>
  <c r="O226" i="148"/>
  <c r="O225" i="148"/>
  <c r="O224" i="148"/>
  <c r="O223" i="148"/>
  <c r="O222" i="148"/>
  <c r="O221" i="148"/>
  <c r="O220" i="148"/>
  <c r="O219" i="148"/>
  <c r="O218" i="148"/>
  <c r="O217" i="148"/>
  <c r="O216" i="148"/>
  <c r="O215" i="148"/>
  <c r="O214" i="148"/>
  <c r="O213" i="148"/>
  <c r="O212" i="148"/>
  <c r="O211" i="148"/>
  <c r="O210" i="148"/>
  <c r="O209" i="148"/>
  <c r="O208" i="148"/>
  <c r="O207" i="148"/>
  <c r="O206" i="148"/>
  <c r="O205" i="148"/>
  <c r="O204" i="148"/>
  <c r="O203" i="148"/>
  <c r="O202" i="148"/>
  <c r="O201" i="148"/>
  <c r="O200" i="148"/>
  <c r="O199" i="148"/>
  <c r="O198" i="148"/>
  <c r="O197" i="148"/>
  <c r="O196" i="148"/>
  <c r="O195" i="148"/>
  <c r="O194" i="148"/>
  <c r="O193" i="148"/>
  <c r="O192" i="148"/>
  <c r="O191" i="148"/>
  <c r="O190" i="148"/>
  <c r="O189" i="148"/>
  <c r="O188" i="148"/>
  <c r="O187" i="148"/>
  <c r="O186" i="148"/>
  <c r="O185" i="148"/>
  <c r="O184" i="148"/>
  <c r="O183" i="148"/>
  <c r="O182" i="148"/>
  <c r="O181" i="148"/>
  <c r="O180" i="148"/>
  <c r="O179" i="148"/>
  <c r="O178" i="148"/>
  <c r="O177" i="148"/>
  <c r="O176" i="148"/>
  <c r="O175" i="148"/>
  <c r="O174" i="148"/>
  <c r="O173" i="148"/>
  <c r="O172" i="148"/>
  <c r="O171" i="148"/>
  <c r="O170" i="148"/>
  <c r="O169" i="148"/>
  <c r="O168" i="148"/>
  <c r="O167" i="148"/>
  <c r="O166" i="148"/>
  <c r="O165" i="148"/>
  <c r="O164" i="148"/>
  <c r="O163" i="148"/>
  <c r="O162" i="148"/>
  <c r="O161" i="148"/>
  <c r="O160" i="148"/>
  <c r="O159" i="148"/>
  <c r="O158" i="148"/>
  <c r="O157" i="148"/>
  <c r="O156" i="148"/>
  <c r="O155" i="148"/>
  <c r="O154" i="148"/>
  <c r="O153" i="148"/>
  <c r="O152" i="148"/>
  <c r="O151" i="148"/>
  <c r="O150" i="148"/>
  <c r="O149" i="148"/>
  <c r="O148" i="148"/>
  <c r="O147" i="148"/>
  <c r="O146" i="148"/>
  <c r="O145" i="148"/>
  <c r="O144" i="148"/>
  <c r="O143" i="148"/>
  <c r="O142" i="148"/>
  <c r="O141" i="148"/>
  <c r="O140" i="148"/>
  <c r="O139" i="148"/>
  <c r="O138" i="148"/>
  <c r="O137" i="148"/>
  <c r="O136" i="148"/>
  <c r="O135" i="148"/>
  <c r="O134" i="148"/>
  <c r="O133" i="148"/>
  <c r="O132" i="148"/>
  <c r="O131" i="148"/>
  <c r="O130" i="148"/>
  <c r="O129" i="148"/>
  <c r="O128" i="148"/>
  <c r="O127" i="148"/>
  <c r="O126" i="148"/>
  <c r="O125" i="148"/>
  <c r="O124" i="148"/>
  <c r="O123" i="148"/>
  <c r="O122" i="148"/>
  <c r="O121" i="148"/>
  <c r="O120" i="148"/>
  <c r="O119" i="148"/>
  <c r="O118" i="148"/>
  <c r="O117" i="148"/>
  <c r="O116" i="148"/>
  <c r="O115" i="148"/>
  <c r="O114" i="148"/>
  <c r="O113" i="148"/>
  <c r="O112" i="148"/>
  <c r="O111" i="148"/>
  <c r="O110" i="148"/>
  <c r="O109" i="148"/>
  <c r="O108" i="148"/>
  <c r="O107" i="148"/>
  <c r="O106" i="148"/>
  <c r="O105" i="148"/>
  <c r="O104" i="148"/>
  <c r="O103" i="148"/>
  <c r="O102" i="148"/>
  <c r="O101" i="148"/>
  <c r="O100" i="148"/>
  <c r="O99" i="148"/>
  <c r="O98" i="148"/>
  <c r="O97" i="148"/>
  <c r="O96" i="148"/>
  <c r="O95" i="148"/>
  <c r="O94" i="148"/>
  <c r="O93" i="148"/>
  <c r="O92" i="148"/>
  <c r="O91" i="148"/>
  <c r="O90" i="148"/>
  <c r="O89" i="148"/>
  <c r="O88" i="148"/>
  <c r="O87" i="148"/>
  <c r="O86" i="148"/>
  <c r="O85" i="148"/>
  <c r="O84" i="148"/>
  <c r="O83" i="148"/>
  <c r="O82" i="148"/>
  <c r="O81" i="148"/>
  <c r="O80" i="148"/>
  <c r="O79" i="148"/>
  <c r="O78" i="148"/>
  <c r="O77" i="148"/>
  <c r="O76" i="148"/>
  <c r="O75" i="148"/>
  <c r="O74" i="148"/>
  <c r="O73" i="148"/>
  <c r="O72" i="148"/>
  <c r="O71" i="148"/>
  <c r="O70" i="148"/>
  <c r="O69" i="148"/>
  <c r="O68" i="148"/>
  <c r="O67" i="148"/>
  <c r="O66" i="148"/>
  <c r="O65" i="148"/>
  <c r="O64" i="148"/>
  <c r="O63" i="148"/>
  <c r="O62" i="148"/>
  <c r="O61" i="148"/>
  <c r="O60" i="148"/>
  <c r="O59" i="148"/>
  <c r="O58" i="148"/>
  <c r="O57" i="148"/>
  <c r="O56" i="148"/>
  <c r="O55" i="148"/>
  <c r="O54" i="148"/>
  <c r="O53" i="148"/>
  <c r="O52" i="148"/>
  <c r="O51" i="148"/>
  <c r="O50" i="148"/>
  <c r="O49" i="148"/>
  <c r="O48" i="148"/>
  <c r="O47" i="148"/>
  <c r="O46" i="148"/>
  <c r="O45" i="148"/>
  <c r="O44" i="148"/>
  <c r="O43" i="148"/>
  <c r="O42" i="148"/>
  <c r="O41" i="148"/>
  <c r="O40" i="148"/>
  <c r="O39" i="148"/>
  <c r="O38" i="148"/>
  <c r="O37" i="148"/>
  <c r="O36" i="148"/>
  <c r="O35" i="148"/>
  <c r="O34" i="148"/>
  <c r="O33" i="148"/>
  <c r="O32" i="148"/>
  <c r="O31" i="148"/>
  <c r="O30" i="148"/>
  <c r="O29" i="148"/>
  <c r="O28" i="148"/>
  <c r="O27" i="148"/>
  <c r="O26" i="148"/>
  <c r="O25" i="148"/>
  <c r="O24" i="148"/>
  <c r="O23" i="148"/>
  <c r="O22" i="148"/>
  <c r="O21" i="148"/>
  <c r="O20" i="148"/>
  <c r="O19" i="148"/>
  <c r="O18" i="148"/>
  <c r="O17" i="148"/>
  <c r="O16" i="148"/>
  <c r="O15" i="148"/>
  <c r="O14" i="148"/>
  <c r="O13" i="148"/>
  <c r="O12" i="148"/>
  <c r="O336" i="148" s="1"/>
  <c r="O11" i="148"/>
  <c r="O10" i="148"/>
  <c r="A10" i="148"/>
  <c r="P9" i="148"/>
  <c r="O9" i="148"/>
  <c r="A9" i="148"/>
  <c r="O8" i="148"/>
  <c r="A8" i="148"/>
  <c r="P8" i="148" s="1"/>
  <c r="P7" i="148"/>
  <c r="O7" i="148"/>
  <c r="D209" i="147"/>
  <c r="D212" i="147" s="1"/>
  <c r="C209" i="147"/>
  <c r="C212" i="147" s="1"/>
  <c r="D193" i="147"/>
  <c r="C193" i="147"/>
  <c r="D186" i="147"/>
  <c r="C186" i="147"/>
  <c r="D179" i="147"/>
  <c r="C179" i="147"/>
  <c r="D171" i="147"/>
  <c r="D170" i="147"/>
  <c r="C170" i="147"/>
  <c r="D157" i="147"/>
  <c r="C157" i="147"/>
  <c r="C171" i="147" s="1"/>
  <c r="D142" i="147"/>
  <c r="C142" i="147"/>
  <c r="D135" i="147"/>
  <c r="D143" i="147" s="1"/>
  <c r="C135" i="147"/>
  <c r="C143" i="147" s="1"/>
  <c r="D124" i="147"/>
  <c r="C124" i="147"/>
  <c r="D123" i="147"/>
  <c r="C123" i="147"/>
  <c r="D110" i="147"/>
  <c r="C110" i="147"/>
  <c r="D90" i="147"/>
  <c r="C90" i="147"/>
  <c r="D83" i="147"/>
  <c r="C83" i="147"/>
  <c r="D76" i="147"/>
  <c r="D84" i="147" s="1"/>
  <c r="C76" i="147"/>
  <c r="C84" i="147" s="1"/>
  <c r="C67" i="147"/>
  <c r="D66" i="147"/>
  <c r="D67" i="147" s="1"/>
  <c r="C66" i="147"/>
  <c r="D58" i="147"/>
  <c r="C58" i="147"/>
  <c r="D48" i="147"/>
  <c r="D49" i="147" s="1"/>
  <c r="C48" i="147"/>
  <c r="C49" i="147" s="1"/>
  <c r="D41" i="147"/>
  <c r="C41" i="147"/>
  <c r="D28" i="147"/>
  <c r="C28" i="147"/>
  <c r="D21" i="147"/>
  <c r="D29" i="147" s="1"/>
  <c r="C21" i="147"/>
  <c r="C29" i="147" s="1"/>
  <c r="M140" i="146"/>
  <c r="I140" i="146"/>
  <c r="M139" i="146"/>
  <c r="K139" i="146"/>
  <c r="J139" i="146"/>
  <c r="I139" i="146"/>
  <c r="H139" i="146"/>
  <c r="H140" i="146" s="1"/>
  <c r="M138" i="146"/>
  <c r="K138" i="146"/>
  <c r="K140" i="146" s="1"/>
  <c r="J138" i="146"/>
  <c r="J140" i="146" s="1"/>
  <c r="I138" i="146"/>
  <c r="H138" i="146"/>
  <c r="M137" i="146"/>
  <c r="L137" i="146"/>
  <c r="M136" i="146"/>
  <c r="L136" i="146"/>
  <c r="M135" i="146"/>
  <c r="L135" i="146"/>
  <c r="M134" i="146"/>
  <c r="L134" i="146"/>
  <c r="M133" i="146"/>
  <c r="L133" i="146"/>
  <c r="M132" i="146"/>
  <c r="L132" i="146"/>
  <c r="M131" i="146"/>
  <c r="L131" i="146"/>
  <c r="M130" i="146"/>
  <c r="L130" i="146"/>
  <c r="M129" i="146"/>
  <c r="L129" i="146"/>
  <c r="M128" i="146"/>
  <c r="L128" i="146"/>
  <c r="M127" i="146"/>
  <c r="L127" i="146"/>
  <c r="M126" i="146"/>
  <c r="L126" i="146"/>
  <c r="M125" i="146"/>
  <c r="L125" i="146"/>
  <c r="M124" i="146"/>
  <c r="L124" i="146"/>
  <c r="M123" i="146"/>
  <c r="L123" i="146"/>
  <c r="M122" i="146"/>
  <c r="L122" i="146"/>
  <c r="M121" i="146"/>
  <c r="L121" i="146"/>
  <c r="M120" i="146"/>
  <c r="L120" i="146"/>
  <c r="M119" i="146"/>
  <c r="L119" i="146"/>
  <c r="M118" i="146"/>
  <c r="L118" i="146"/>
  <c r="M117" i="146"/>
  <c r="L117" i="146"/>
  <c r="M116" i="146"/>
  <c r="L116" i="146"/>
  <c r="M115" i="146"/>
  <c r="L115" i="146"/>
  <c r="M114" i="146"/>
  <c r="L114" i="146"/>
  <c r="M113" i="146"/>
  <c r="L113" i="146"/>
  <c r="M112" i="146"/>
  <c r="L112" i="146"/>
  <c r="M111" i="146"/>
  <c r="L111" i="146"/>
  <c r="M110" i="146"/>
  <c r="L110" i="146"/>
  <c r="M109" i="146"/>
  <c r="L109" i="146"/>
  <c r="M108" i="146"/>
  <c r="L108" i="146"/>
  <c r="M107" i="146"/>
  <c r="L107" i="146"/>
  <c r="M106" i="146"/>
  <c r="L106" i="146"/>
  <c r="M105" i="146"/>
  <c r="L105" i="146"/>
  <c r="M104" i="146"/>
  <c r="L104" i="146"/>
  <c r="M103" i="146"/>
  <c r="L103" i="146"/>
  <c r="M102" i="146"/>
  <c r="L102" i="146"/>
  <c r="M101" i="146"/>
  <c r="L101" i="146"/>
  <c r="M100" i="146"/>
  <c r="L100" i="146"/>
  <c r="M99" i="146"/>
  <c r="L99" i="146"/>
  <c r="M98" i="146"/>
  <c r="L98" i="146"/>
  <c r="M97" i="146"/>
  <c r="L97" i="146"/>
  <c r="M96" i="146"/>
  <c r="L96" i="146"/>
  <c r="M95" i="146"/>
  <c r="L95" i="146"/>
  <c r="M94" i="146"/>
  <c r="L94" i="146"/>
  <c r="M93" i="146"/>
  <c r="L93" i="146"/>
  <c r="M92" i="146"/>
  <c r="L92" i="146"/>
  <c r="M91" i="146"/>
  <c r="L91" i="146"/>
  <c r="M90" i="146"/>
  <c r="L90" i="146"/>
  <c r="M89" i="146"/>
  <c r="L89" i="146"/>
  <c r="M88" i="146"/>
  <c r="L88" i="146"/>
  <c r="M87" i="146"/>
  <c r="L87" i="146"/>
  <c r="M86" i="146"/>
  <c r="L86" i="146"/>
  <c r="M85" i="146"/>
  <c r="L85" i="146"/>
  <c r="M84" i="146"/>
  <c r="L84" i="146"/>
  <c r="M83" i="146"/>
  <c r="L83" i="146"/>
  <c r="M82" i="146"/>
  <c r="L82" i="146"/>
  <c r="M81" i="146"/>
  <c r="L81" i="146"/>
  <c r="M80" i="146"/>
  <c r="L80" i="146"/>
  <c r="M79" i="146"/>
  <c r="L79" i="146"/>
  <c r="M78" i="146"/>
  <c r="L78" i="146"/>
  <c r="M77" i="146"/>
  <c r="L77" i="146"/>
  <c r="M76" i="146"/>
  <c r="L76" i="146"/>
  <c r="M75" i="146"/>
  <c r="L75" i="146"/>
  <c r="M74" i="146"/>
  <c r="L74" i="146"/>
  <c r="M73" i="146"/>
  <c r="L73" i="146"/>
  <c r="M72" i="146"/>
  <c r="L72" i="146"/>
  <c r="M71" i="146"/>
  <c r="L71" i="146"/>
  <c r="M70" i="146"/>
  <c r="L70" i="146"/>
  <c r="M69" i="146"/>
  <c r="L69" i="146"/>
  <c r="M68" i="146"/>
  <c r="L68" i="146"/>
  <c r="M67" i="146"/>
  <c r="L67" i="146"/>
  <c r="M66" i="146"/>
  <c r="L66" i="146"/>
  <c r="M65" i="146"/>
  <c r="L65" i="146"/>
  <c r="M64" i="146"/>
  <c r="L64" i="146"/>
  <c r="M63" i="146"/>
  <c r="L63" i="146"/>
  <c r="M62" i="146"/>
  <c r="L62" i="146"/>
  <c r="M61" i="146"/>
  <c r="L61" i="146"/>
  <c r="M60" i="146"/>
  <c r="L60" i="146"/>
  <c r="M59" i="146"/>
  <c r="L59" i="146"/>
  <c r="M58" i="146"/>
  <c r="L58" i="146"/>
  <c r="M57" i="146"/>
  <c r="L57" i="146"/>
  <c r="M56" i="146"/>
  <c r="L56" i="146"/>
  <c r="M55" i="146"/>
  <c r="L55" i="146"/>
  <c r="M54" i="146"/>
  <c r="L54" i="146"/>
  <c r="M53" i="146"/>
  <c r="L53" i="146"/>
  <c r="M52" i="146"/>
  <c r="L52" i="146"/>
  <c r="M51" i="146"/>
  <c r="L51" i="146"/>
  <c r="M50" i="146"/>
  <c r="L50" i="146"/>
  <c r="M49" i="146"/>
  <c r="L49" i="146"/>
  <c r="M48" i="146"/>
  <c r="L48" i="146"/>
  <c r="M47" i="146"/>
  <c r="L47" i="146"/>
  <c r="M46" i="146"/>
  <c r="L46" i="146"/>
  <c r="A46" i="146"/>
  <c r="A47" i="146" s="1"/>
  <c r="A48" i="146" s="1"/>
  <c r="A49" i="146" s="1"/>
  <c r="A50" i="146" s="1"/>
  <c r="A51" i="146" s="1"/>
  <c r="A52" i="146" s="1"/>
  <c r="A53" i="146" s="1"/>
  <c r="A54" i="146" s="1"/>
  <c r="A55" i="146" s="1"/>
  <c r="A56" i="146" s="1"/>
  <c r="A57" i="146" s="1"/>
  <c r="A58" i="146" s="1"/>
  <c r="A59" i="146" s="1"/>
  <c r="A60" i="146" s="1"/>
  <c r="A61" i="146" s="1"/>
  <c r="A62" i="146" s="1"/>
  <c r="A63" i="146" s="1"/>
  <c r="A64" i="146" s="1"/>
  <c r="A65" i="146" s="1"/>
  <c r="A66" i="146" s="1"/>
  <c r="A67" i="146" s="1"/>
  <c r="A68" i="146" s="1"/>
  <c r="A69" i="146" s="1"/>
  <c r="A70" i="146" s="1"/>
  <c r="A71" i="146" s="1"/>
  <c r="A72" i="146" s="1"/>
  <c r="A73" i="146" s="1"/>
  <c r="A74" i="146" s="1"/>
  <c r="A75" i="146" s="1"/>
  <c r="A76" i="146" s="1"/>
  <c r="A77" i="146" s="1"/>
  <c r="A78" i="146" s="1"/>
  <c r="A79" i="146" s="1"/>
  <c r="A80" i="146" s="1"/>
  <c r="A81" i="146" s="1"/>
  <c r="A82" i="146" s="1"/>
  <c r="A83" i="146" s="1"/>
  <c r="A84" i="146" s="1"/>
  <c r="A85" i="146" s="1"/>
  <c r="A86" i="146" s="1"/>
  <c r="A87" i="146" s="1"/>
  <c r="A88" i="146" s="1"/>
  <c r="A89" i="146" s="1"/>
  <c r="A90" i="146" s="1"/>
  <c r="A91" i="146" s="1"/>
  <c r="A92" i="146" s="1"/>
  <c r="A93" i="146" s="1"/>
  <c r="A94" i="146" s="1"/>
  <c r="A95" i="146" s="1"/>
  <c r="A96" i="146" s="1"/>
  <c r="A97" i="146" s="1"/>
  <c r="A98" i="146" s="1"/>
  <c r="A99" i="146" s="1"/>
  <c r="A100" i="146" s="1"/>
  <c r="A101" i="146" s="1"/>
  <c r="A102" i="146" s="1"/>
  <c r="A103" i="146" s="1"/>
  <c r="A104" i="146" s="1"/>
  <c r="A105" i="146" s="1"/>
  <c r="A106" i="146" s="1"/>
  <c r="A107" i="146" s="1"/>
  <c r="A108" i="146" s="1"/>
  <c r="A109" i="146" s="1"/>
  <c r="A110" i="146" s="1"/>
  <c r="A111" i="146" s="1"/>
  <c r="A112" i="146" s="1"/>
  <c r="A113" i="146" s="1"/>
  <c r="A114" i="146" s="1"/>
  <c r="A115" i="146" s="1"/>
  <c r="A116" i="146" s="1"/>
  <c r="A117" i="146" s="1"/>
  <c r="A118" i="146" s="1"/>
  <c r="A119" i="146" s="1"/>
  <c r="A120" i="146" s="1"/>
  <c r="A121" i="146" s="1"/>
  <c r="A122" i="146" s="1"/>
  <c r="A123" i="146" s="1"/>
  <c r="A124" i="146" s="1"/>
  <c r="A125" i="146" s="1"/>
  <c r="A126" i="146" s="1"/>
  <c r="A127" i="146" s="1"/>
  <c r="A128" i="146" s="1"/>
  <c r="A129" i="146" s="1"/>
  <c r="A130" i="146" s="1"/>
  <c r="A131" i="146" s="1"/>
  <c r="A132" i="146" s="1"/>
  <c r="A133" i="146" s="1"/>
  <c r="A134" i="146" s="1"/>
  <c r="A135" i="146" s="1"/>
  <c r="A136" i="146" s="1"/>
  <c r="A137" i="146" s="1"/>
  <c r="M45" i="146"/>
  <c r="L45" i="146"/>
  <c r="M44" i="146"/>
  <c r="L44" i="146"/>
  <c r="M43" i="146"/>
  <c r="L43" i="146"/>
  <c r="M42" i="146"/>
  <c r="L42" i="146"/>
  <c r="A42" i="146"/>
  <c r="A43" i="146" s="1"/>
  <c r="A44" i="146" s="1"/>
  <c r="A45" i="146" s="1"/>
  <c r="M41" i="146"/>
  <c r="L41" i="146"/>
  <c r="M40" i="146"/>
  <c r="L40" i="146"/>
  <c r="M39" i="146"/>
  <c r="L39" i="146"/>
  <c r="M38" i="146"/>
  <c r="L38" i="146"/>
  <c r="M37" i="146"/>
  <c r="L37" i="146"/>
  <c r="M36" i="146"/>
  <c r="L36" i="146"/>
  <c r="M35" i="146"/>
  <c r="L35" i="146"/>
  <c r="M34" i="146"/>
  <c r="L34" i="146"/>
  <c r="M33" i="146"/>
  <c r="L33" i="146"/>
  <c r="M32" i="146"/>
  <c r="L32" i="146"/>
  <c r="M31" i="146"/>
  <c r="L31" i="146"/>
  <c r="M30" i="146"/>
  <c r="L30" i="146"/>
  <c r="M29" i="146"/>
  <c r="L29" i="146"/>
  <c r="M28" i="146"/>
  <c r="L28" i="146"/>
  <c r="M27" i="146"/>
  <c r="L27" i="146"/>
  <c r="M26" i="146"/>
  <c r="L26" i="146"/>
  <c r="M25" i="146"/>
  <c r="L25" i="146"/>
  <c r="M24" i="146"/>
  <c r="L24" i="146"/>
  <c r="A24" i="146"/>
  <c r="A25" i="146" s="1"/>
  <c r="A26" i="146" s="1"/>
  <c r="A27" i="146" s="1"/>
  <c r="A28" i="146" s="1"/>
  <c r="A29" i="146" s="1"/>
  <c r="A30" i="146" s="1"/>
  <c r="A31" i="146" s="1"/>
  <c r="A32" i="146" s="1"/>
  <c r="A33" i="146" s="1"/>
  <c r="A34" i="146" s="1"/>
  <c r="A35" i="146" s="1"/>
  <c r="A36" i="146" s="1"/>
  <c r="A37" i="146" s="1"/>
  <c r="A38" i="146" s="1"/>
  <c r="A39" i="146" s="1"/>
  <c r="A40" i="146" s="1"/>
  <c r="A41" i="146" s="1"/>
  <c r="M23" i="146"/>
  <c r="L23" i="146"/>
  <c r="A23" i="146"/>
  <c r="M22" i="146"/>
  <c r="L22" i="146"/>
  <c r="M21" i="146"/>
  <c r="L21" i="146"/>
  <c r="M20" i="146"/>
  <c r="L20" i="146"/>
  <c r="M19" i="146"/>
  <c r="L19" i="146"/>
  <c r="M18" i="146"/>
  <c r="L18" i="146"/>
  <c r="M17" i="146"/>
  <c r="M16" i="146"/>
  <c r="M15" i="146"/>
  <c r="L15" i="146"/>
  <c r="M14" i="146"/>
  <c r="L14" i="146"/>
  <c r="M13" i="146"/>
  <c r="L13" i="146"/>
  <c r="M12" i="146"/>
  <c r="L12" i="146"/>
  <c r="M11" i="146"/>
  <c r="L11" i="146"/>
  <c r="M10" i="146"/>
  <c r="L10" i="146"/>
  <c r="L138" i="146" s="1"/>
  <c r="M9" i="146"/>
  <c r="L9" i="146"/>
  <c r="K107" i="145"/>
  <c r="G107" i="145"/>
  <c r="F107" i="145"/>
  <c r="K106" i="145"/>
  <c r="E106" i="145"/>
  <c r="D106" i="145"/>
  <c r="D107" i="145" s="1"/>
  <c r="C106" i="145"/>
  <c r="H105" i="145"/>
  <c r="H104" i="145"/>
  <c r="H103" i="145"/>
  <c r="H102" i="145"/>
  <c r="H101" i="145"/>
  <c r="H100" i="145"/>
  <c r="H99" i="145"/>
  <c r="H98" i="145"/>
  <c r="H97" i="145"/>
  <c r="H96" i="145"/>
  <c r="H95" i="145"/>
  <c r="H94" i="145"/>
  <c r="H93" i="145"/>
  <c r="H92" i="145"/>
  <c r="H91" i="145"/>
  <c r="H90" i="145"/>
  <c r="H89" i="145"/>
  <c r="H88" i="145"/>
  <c r="H87" i="145"/>
  <c r="K86" i="145"/>
  <c r="D86" i="145"/>
  <c r="H85" i="145"/>
  <c r="H84" i="145"/>
  <c r="H83" i="145"/>
  <c r="H82" i="145"/>
  <c r="H81" i="145"/>
  <c r="H80" i="145"/>
  <c r="H79" i="145"/>
  <c r="H78" i="145"/>
  <c r="H77" i="145"/>
  <c r="H76" i="145"/>
  <c r="H75" i="145"/>
  <c r="H74" i="145"/>
  <c r="H73" i="145"/>
  <c r="E73" i="145"/>
  <c r="E86" i="145" s="1"/>
  <c r="D73" i="145"/>
  <c r="C73" i="145"/>
  <c r="H72" i="145"/>
  <c r="H71" i="145"/>
  <c r="H70" i="145"/>
  <c r="H69" i="145"/>
  <c r="H67" i="145"/>
  <c r="H66" i="145"/>
  <c r="H65" i="145"/>
  <c r="H64" i="145"/>
  <c r="H63" i="145"/>
  <c r="H62" i="145"/>
  <c r="H61" i="145"/>
  <c r="H60" i="145"/>
  <c r="H59" i="145"/>
  <c r="H58" i="145"/>
  <c r="H57" i="145"/>
  <c r="H56" i="145"/>
  <c r="H55" i="145"/>
  <c r="H54" i="145"/>
  <c r="H53" i="145"/>
  <c r="H52" i="145"/>
  <c r="H51" i="145"/>
  <c r="H50" i="145"/>
  <c r="H49" i="145"/>
  <c r="H48" i="145"/>
  <c r="C48" i="145"/>
  <c r="H47" i="145"/>
  <c r="H46" i="145"/>
  <c r="H45" i="145"/>
  <c r="H44" i="145"/>
  <c r="H43" i="145"/>
  <c r="H42" i="145"/>
  <c r="H41" i="145"/>
  <c r="H40" i="145"/>
  <c r="H39" i="145"/>
  <c r="H38" i="145"/>
  <c r="H37" i="145"/>
  <c r="H36" i="145"/>
  <c r="H35" i="145"/>
  <c r="H34" i="145"/>
  <c r="H33" i="145"/>
  <c r="H32" i="145"/>
  <c r="H31" i="145"/>
  <c r="H30" i="145"/>
  <c r="H29" i="145"/>
  <c r="H28" i="145"/>
  <c r="H27" i="145"/>
  <c r="H26" i="145"/>
  <c r="H25" i="145"/>
  <c r="H24" i="145"/>
  <c r="H23" i="145"/>
  <c r="H22" i="145"/>
  <c r="H21" i="145"/>
  <c r="H20" i="145"/>
  <c r="H19" i="145"/>
  <c r="C19" i="145"/>
  <c r="C86" i="145" s="1"/>
  <c r="C107" i="145" s="1"/>
  <c r="H18" i="145"/>
  <c r="H17" i="145"/>
  <c r="H16" i="145"/>
  <c r="H15" i="145"/>
  <c r="H14" i="145"/>
  <c r="H13" i="145"/>
  <c r="H12" i="145"/>
  <c r="H11" i="145"/>
  <c r="A11" i="145"/>
  <c r="A12" i="145" s="1"/>
  <c r="A13" i="145" s="1"/>
  <c r="A14" i="145" s="1"/>
  <c r="A15" i="145" s="1"/>
  <c r="A16" i="145" s="1"/>
  <c r="A17" i="145" s="1"/>
  <c r="A19" i="145" s="1"/>
  <c r="A20" i="145" s="1"/>
  <c r="A21" i="145" s="1"/>
  <c r="A22" i="145" s="1"/>
  <c r="A23" i="145" s="1"/>
  <c r="A24" i="145" s="1"/>
  <c r="A25" i="145" s="1"/>
  <c r="A26" i="145" s="1"/>
  <c r="A28" i="145" s="1"/>
  <c r="A29" i="145" s="1"/>
  <c r="A30" i="145" s="1"/>
  <c r="A31" i="145" s="1"/>
  <c r="A32" i="145" s="1"/>
  <c r="A33" i="145" s="1"/>
  <c r="A34" i="145" s="1"/>
  <c r="A35" i="145" s="1"/>
  <c r="A36" i="145" s="1"/>
  <c r="A37" i="145" s="1"/>
  <c r="A38" i="145" s="1"/>
  <c r="A39" i="145" s="1"/>
  <c r="A40" i="145" s="1"/>
  <c r="A41" i="145" s="1"/>
  <c r="A43" i="145" s="1"/>
  <c r="A44" i="145" s="1"/>
  <c r="A45" i="145" s="1"/>
  <c r="A46" i="145" s="1"/>
  <c r="A47" i="145" s="1"/>
  <c r="A48" i="145" s="1"/>
  <c r="A49" i="145" s="1"/>
  <c r="A50" i="145" s="1"/>
  <c r="A51" i="145" s="1"/>
  <c r="A52" i="145" s="1"/>
  <c r="A53" i="145" s="1"/>
  <c r="A54" i="145" s="1"/>
  <c r="A55" i="145" s="1"/>
  <c r="A56" i="145" s="1"/>
  <c r="A57" i="145" s="1"/>
  <c r="A58" i="145" s="1"/>
  <c r="A60" i="145" s="1"/>
  <c r="A61" i="145" s="1"/>
  <c r="A62" i="145" s="1"/>
  <c r="A63" i="145" s="1"/>
  <c r="A64" i="145" s="1"/>
  <c r="A65" i="145" s="1"/>
  <c r="A66" i="145" s="1"/>
  <c r="A67" i="145" s="1"/>
  <c r="A68" i="145" s="1"/>
  <c r="A70" i="145" s="1"/>
  <c r="A71" i="145" s="1"/>
  <c r="A72" i="145" s="1"/>
  <c r="A73" i="145" s="1"/>
  <c r="A74" i="145" s="1"/>
  <c r="A75" i="145" s="1"/>
  <c r="A76" i="145" s="1"/>
  <c r="A77" i="145" s="1"/>
  <c r="A78" i="145" s="1"/>
  <c r="A79" i="145" s="1"/>
  <c r="A80" i="145" s="1"/>
  <c r="A81" i="145" s="1"/>
  <c r="A82" i="145" s="1"/>
  <c r="A83" i="145" s="1"/>
  <c r="A84" i="145" s="1"/>
  <c r="A85" i="145" s="1"/>
  <c r="H10" i="145"/>
  <c r="A10" i="145"/>
  <c r="K9" i="145"/>
  <c r="H9" i="145"/>
  <c r="M8" i="145"/>
  <c r="K8" i="145"/>
  <c r="H8" i="145"/>
  <c r="G410" i="144"/>
  <c r="G409" i="144"/>
  <c r="F409" i="144"/>
  <c r="E409" i="144"/>
  <c r="D409" i="144"/>
  <c r="G408" i="144"/>
  <c r="F408" i="144"/>
  <c r="K404" i="144"/>
  <c r="G404" i="144"/>
  <c r="F404" i="144"/>
  <c r="K403" i="144"/>
  <c r="E403" i="144"/>
  <c r="D403" i="144"/>
  <c r="C403" i="144"/>
  <c r="C404" i="144" s="1"/>
  <c r="H401" i="144"/>
  <c r="H400" i="144"/>
  <c r="H397" i="144"/>
  <c r="H394" i="144"/>
  <c r="H391" i="144"/>
  <c r="H388" i="144"/>
  <c r="H385" i="144"/>
  <c r="H383" i="144"/>
  <c r="H382" i="144"/>
  <c r="H381" i="144"/>
  <c r="H380" i="144"/>
  <c r="H379" i="144"/>
  <c r="H378" i="144"/>
  <c r="H377" i="144"/>
  <c r="H376" i="144"/>
  <c r="H375" i="144"/>
  <c r="H374" i="144"/>
  <c r="H373" i="144"/>
  <c r="H372" i="144"/>
  <c r="H371" i="144"/>
  <c r="H370" i="144"/>
  <c r="H369" i="144"/>
  <c r="H368" i="144"/>
  <c r="H367" i="144"/>
  <c r="H366" i="144"/>
  <c r="H365" i="144"/>
  <c r="K364" i="144"/>
  <c r="D364" i="144"/>
  <c r="D404" i="144" s="1"/>
  <c r="C364" i="144"/>
  <c r="H363" i="144"/>
  <c r="H362" i="144"/>
  <c r="H360" i="144"/>
  <c r="H359" i="144"/>
  <c r="H358" i="144"/>
  <c r="D358" i="144"/>
  <c r="H357" i="144"/>
  <c r="E357" i="144"/>
  <c r="E364" i="144" s="1"/>
  <c r="E404" i="144" s="1"/>
  <c r="H356" i="144"/>
  <c r="H355" i="144"/>
  <c r="H354" i="144"/>
  <c r="H353" i="144"/>
  <c r="H352" i="144"/>
  <c r="H351" i="144"/>
  <c r="H350" i="144"/>
  <c r="H349" i="144"/>
  <c r="H348" i="144"/>
  <c r="H347" i="144"/>
  <c r="H346" i="144"/>
  <c r="H345" i="144"/>
  <c r="H344" i="144"/>
  <c r="H343" i="144"/>
  <c r="H342" i="144"/>
  <c r="H341" i="144"/>
  <c r="H340" i="144"/>
  <c r="H339" i="144"/>
  <c r="H338" i="144"/>
  <c r="H337" i="144"/>
  <c r="H336" i="144"/>
  <c r="H335" i="144"/>
  <c r="H334" i="144"/>
  <c r="H333" i="144"/>
  <c r="H332" i="144"/>
  <c r="H331" i="144"/>
  <c r="H330" i="144"/>
  <c r="H329" i="144"/>
  <c r="H328" i="144"/>
  <c r="H327" i="144"/>
  <c r="H326" i="144"/>
  <c r="H325" i="144"/>
  <c r="H324" i="144"/>
  <c r="H323" i="144"/>
  <c r="H322" i="144"/>
  <c r="H321" i="144"/>
  <c r="H320" i="144"/>
  <c r="H318" i="144"/>
  <c r="H317" i="144"/>
  <c r="H316" i="144"/>
  <c r="H315" i="144"/>
  <c r="H314" i="144"/>
  <c r="H313" i="144"/>
  <c r="H312" i="144"/>
  <c r="H311" i="144"/>
  <c r="H310" i="144"/>
  <c r="H309" i="144"/>
  <c r="H308" i="144"/>
  <c r="H307" i="144"/>
  <c r="H306" i="144"/>
  <c r="H305" i="144"/>
  <c r="H304" i="144"/>
  <c r="H303" i="144"/>
  <c r="H302" i="144"/>
  <c r="H301" i="144"/>
  <c r="H300" i="144"/>
  <c r="H299" i="144"/>
  <c r="H298" i="144"/>
  <c r="H297" i="144"/>
  <c r="H296" i="144"/>
  <c r="H295" i="144"/>
  <c r="H294" i="144"/>
  <c r="H291" i="144"/>
  <c r="H290" i="144"/>
  <c r="H289" i="144"/>
  <c r="H288" i="144"/>
  <c r="H287" i="144"/>
  <c r="H286" i="144"/>
  <c r="H285" i="144"/>
  <c r="H284" i="144"/>
  <c r="H283" i="144"/>
  <c r="H282" i="144"/>
  <c r="H281" i="144"/>
  <c r="H280" i="144"/>
  <c r="H279" i="144"/>
  <c r="H278" i="144"/>
  <c r="H277" i="144"/>
  <c r="H276" i="144"/>
  <c r="H275" i="144"/>
  <c r="H274" i="144"/>
  <c r="H273" i="144"/>
  <c r="H272" i="144"/>
  <c r="H271" i="144"/>
  <c r="H270" i="144"/>
  <c r="H269" i="144"/>
  <c r="H268" i="144"/>
  <c r="H267" i="144"/>
  <c r="H266" i="144"/>
  <c r="H265" i="144"/>
  <c r="H264" i="144"/>
  <c r="H263" i="144"/>
  <c r="H262" i="144"/>
  <c r="H261" i="144"/>
  <c r="H260" i="144"/>
  <c r="H259" i="144"/>
  <c r="H258" i="144"/>
  <c r="H257" i="144"/>
  <c r="H256" i="144"/>
  <c r="H255" i="144"/>
  <c r="H254" i="144"/>
  <c r="H253" i="144"/>
  <c r="H252" i="144"/>
  <c r="H251" i="144"/>
  <c r="H250" i="144"/>
  <c r="H249" i="144"/>
  <c r="H248" i="144"/>
  <c r="H247" i="144"/>
  <c r="H246" i="144"/>
  <c r="A246" i="144"/>
  <c r="A247" i="144" s="1"/>
  <c r="A248" i="144" s="1"/>
  <c r="A249" i="144" s="1"/>
  <c r="A250" i="144" s="1"/>
  <c r="A251" i="144" s="1"/>
  <c r="A252" i="144" s="1"/>
  <c r="A253" i="144" s="1"/>
  <c r="A254" i="144" s="1"/>
  <c r="A255" i="144" s="1"/>
  <c r="A256" i="144" s="1"/>
  <c r="A257" i="144" s="1"/>
  <c r="A258" i="144" s="1"/>
  <c r="A259" i="144" s="1"/>
  <c r="A260" i="144" s="1"/>
  <c r="A261" i="144" s="1"/>
  <c r="A262" i="144" s="1"/>
  <c r="A263" i="144" s="1"/>
  <c r="A264" i="144" s="1"/>
  <c r="A265" i="144" s="1"/>
  <c r="A266" i="144" s="1"/>
  <c r="A267" i="144" s="1"/>
  <c r="A268" i="144" s="1"/>
  <c r="A269" i="144" s="1"/>
  <c r="A270" i="144" s="1"/>
  <c r="A271" i="144" s="1"/>
  <c r="A272" i="144" s="1"/>
  <c r="A273" i="144" s="1"/>
  <c r="A274" i="144" s="1"/>
  <c r="A275" i="144" s="1"/>
  <c r="A276" i="144" s="1"/>
  <c r="A277" i="144" s="1"/>
  <c r="A278" i="144" s="1"/>
  <c r="A279" i="144" s="1"/>
  <c r="A280" i="144" s="1"/>
  <c r="A281" i="144" s="1"/>
  <c r="A282" i="144" s="1"/>
  <c r="A283" i="144" s="1"/>
  <c r="A284" i="144" s="1"/>
  <c r="A285" i="144" s="1"/>
  <c r="A286" i="144" s="1"/>
  <c r="A287" i="144" s="1"/>
  <c r="A288" i="144" s="1"/>
  <c r="A289" i="144" s="1"/>
  <c r="A290" i="144" s="1"/>
  <c r="A291" i="144" s="1"/>
  <c r="A294" i="144" s="1"/>
  <c r="A295" i="144" s="1"/>
  <c r="A296" i="144" s="1"/>
  <c r="A297" i="144" s="1"/>
  <c r="A298" i="144" s="1"/>
  <c r="A299" i="144" s="1"/>
  <c r="A300" i="144" s="1"/>
  <c r="A301" i="144" s="1"/>
  <c r="A302" i="144" s="1"/>
  <c r="A303" i="144" s="1"/>
  <c r="A304" i="144" s="1"/>
  <c r="A305" i="144" s="1"/>
  <c r="A306" i="144" s="1"/>
  <c r="A307" i="144" s="1"/>
  <c r="A308" i="144" s="1"/>
  <c r="A309" i="144" s="1"/>
  <c r="A310" i="144" s="1"/>
  <c r="A311" i="144" s="1"/>
  <c r="A312" i="144" s="1"/>
  <c r="A313" i="144" s="1"/>
  <c r="A314" i="144" s="1"/>
  <c r="A315" i="144" s="1"/>
  <c r="A316" i="144" s="1"/>
  <c r="A317" i="144" s="1"/>
  <c r="A318" i="144" s="1"/>
  <c r="A321" i="144" s="1"/>
  <c r="A322" i="144" s="1"/>
  <c r="A323" i="144" s="1"/>
  <c r="A324" i="144" s="1"/>
  <c r="A325" i="144" s="1"/>
  <c r="A326" i="144" s="1"/>
  <c r="A327" i="144" s="1"/>
  <c r="A328" i="144" s="1"/>
  <c r="A329" i="144" s="1"/>
  <c r="A330" i="144" s="1"/>
  <c r="A331" i="144" s="1"/>
  <c r="A332" i="144" s="1"/>
  <c r="A333" i="144" s="1"/>
  <c r="A334" i="144" s="1"/>
  <c r="A335" i="144" s="1"/>
  <c r="A336" i="144" s="1"/>
  <c r="A339" i="144" s="1"/>
  <c r="A340" i="144" s="1"/>
  <c r="A341" i="144" s="1"/>
  <c r="A342" i="144" s="1"/>
  <c r="A343" i="144" s="1"/>
  <c r="A344" i="144" s="1"/>
  <c r="A345" i="144" s="1"/>
  <c r="A346" i="144" s="1"/>
  <c r="A347" i="144" s="1"/>
  <c r="A348" i="144" s="1"/>
  <c r="A349" i="144" s="1"/>
  <c r="A350" i="144" s="1"/>
  <c r="A351" i="144" s="1"/>
  <c r="A352" i="144" s="1"/>
  <c r="A353" i="144" s="1"/>
  <c r="A354" i="144" s="1"/>
  <c r="A355" i="144" s="1"/>
  <c r="A356" i="144" s="1"/>
  <c r="A357" i="144" s="1"/>
  <c r="A358" i="144" s="1"/>
  <c r="A359" i="144" s="1"/>
  <c r="A360" i="144" s="1"/>
  <c r="A362" i="144" s="1"/>
  <c r="A363" i="144" s="1"/>
  <c r="H245" i="144"/>
  <c r="H244" i="144"/>
  <c r="H243" i="144"/>
  <c r="H242" i="144"/>
  <c r="H240" i="144"/>
  <c r="H239" i="144"/>
  <c r="H238" i="144"/>
  <c r="H237" i="144"/>
  <c r="H236" i="144"/>
  <c r="H235" i="144"/>
  <c r="H234" i="144"/>
  <c r="H233" i="144"/>
  <c r="A233" i="144"/>
  <c r="A234" i="144" s="1"/>
  <c r="A235" i="144" s="1"/>
  <c r="A236" i="144" s="1"/>
  <c r="A237" i="144" s="1"/>
  <c r="A238" i="144" s="1"/>
  <c r="A239" i="144" s="1"/>
  <c r="A240" i="144" s="1"/>
  <c r="A243" i="144" s="1"/>
  <c r="A244" i="144" s="1"/>
  <c r="A245" i="144" s="1"/>
  <c r="H232" i="144"/>
  <c r="H231" i="144"/>
  <c r="H230" i="144"/>
  <c r="H229" i="144"/>
  <c r="H228" i="144"/>
  <c r="H227" i="144"/>
  <c r="H226" i="144"/>
  <c r="H225" i="144"/>
  <c r="A225" i="144"/>
  <c r="A226" i="144" s="1"/>
  <c r="A227" i="144" s="1"/>
  <c r="A228" i="144" s="1"/>
  <c r="A229" i="144" s="1"/>
  <c r="A230" i="144" s="1"/>
  <c r="A231" i="144" s="1"/>
  <c r="A232" i="144" s="1"/>
  <c r="H224" i="144"/>
  <c r="H223" i="144"/>
  <c r="H222" i="144"/>
  <c r="H221" i="144"/>
  <c r="A221" i="144"/>
  <c r="A222" i="144" s="1"/>
  <c r="A223" i="144" s="1"/>
  <c r="A224" i="144" s="1"/>
  <c r="H220" i="144"/>
  <c r="A220" i="144"/>
  <c r="H219" i="144"/>
  <c r="A219" i="144"/>
  <c r="H218" i="144"/>
  <c r="H217" i="144"/>
  <c r="H215" i="144"/>
  <c r="H214" i="144"/>
  <c r="H213" i="144"/>
  <c r="H212" i="144"/>
  <c r="H211" i="144"/>
  <c r="H210" i="144"/>
  <c r="H209" i="144"/>
  <c r="H208" i="144"/>
  <c r="H207" i="144"/>
  <c r="H206" i="144"/>
  <c r="H205" i="144"/>
  <c r="H204" i="144"/>
  <c r="H203" i="144"/>
  <c r="H202" i="144"/>
  <c r="H201" i="144"/>
  <c r="H200" i="144"/>
  <c r="H199" i="144"/>
  <c r="H198" i="144"/>
  <c r="H197" i="144"/>
  <c r="H196" i="144"/>
  <c r="D196" i="144"/>
  <c r="A196" i="144"/>
  <c r="A197" i="144" s="1"/>
  <c r="A198" i="144" s="1"/>
  <c r="A199" i="144" s="1"/>
  <c r="A200" i="144" s="1"/>
  <c r="A201" i="144" s="1"/>
  <c r="A202" i="144" s="1"/>
  <c r="A203" i="144" s="1"/>
  <c r="A204" i="144" s="1"/>
  <c r="A205" i="144" s="1"/>
  <c r="A206" i="144" s="1"/>
  <c r="A207" i="144" s="1"/>
  <c r="A208" i="144" s="1"/>
  <c r="A209" i="144" s="1"/>
  <c r="A210" i="144" s="1"/>
  <c r="A211" i="144" s="1"/>
  <c r="A212" i="144" s="1"/>
  <c r="A213" i="144" s="1"/>
  <c r="A214" i="144" s="1"/>
  <c r="A215" i="144" s="1"/>
  <c r="H195" i="144"/>
  <c r="A195" i="144"/>
  <c r="H194" i="144"/>
  <c r="A194" i="144"/>
  <c r="H193" i="144"/>
  <c r="H192" i="144"/>
  <c r="H191" i="144"/>
  <c r="H189" i="144"/>
  <c r="H187" i="144"/>
  <c r="H186" i="144"/>
  <c r="H185" i="144"/>
  <c r="H184" i="144"/>
  <c r="H183" i="144"/>
  <c r="H182" i="144"/>
  <c r="H181" i="144"/>
  <c r="H180" i="144"/>
  <c r="H179" i="144"/>
  <c r="H178" i="144"/>
  <c r="H177" i="144"/>
  <c r="H176" i="144"/>
  <c r="H175" i="144"/>
  <c r="H174" i="144"/>
  <c r="H173" i="144"/>
  <c r="H172" i="144"/>
  <c r="H171" i="144"/>
  <c r="H170" i="144"/>
  <c r="H169" i="144"/>
  <c r="H168" i="144"/>
  <c r="H167" i="144"/>
  <c r="H166" i="144"/>
  <c r="H165" i="144"/>
  <c r="H164" i="144"/>
  <c r="H163" i="144"/>
  <c r="D163" i="144"/>
  <c r="H162" i="144"/>
  <c r="H161" i="144"/>
  <c r="H160" i="144"/>
  <c r="H159" i="144"/>
  <c r="H158" i="144"/>
  <c r="H157" i="144"/>
  <c r="H156" i="144"/>
  <c r="H155" i="144"/>
  <c r="H154" i="144"/>
  <c r="H153" i="144"/>
  <c r="H152" i="144"/>
  <c r="H151" i="144"/>
  <c r="H150" i="144"/>
  <c r="H149" i="144"/>
  <c r="H148" i="144"/>
  <c r="H147" i="144"/>
  <c r="H146" i="144"/>
  <c r="H145" i="144"/>
  <c r="H144" i="144"/>
  <c r="H143" i="144"/>
  <c r="H142" i="144"/>
  <c r="H141" i="144"/>
  <c r="H140" i="144"/>
  <c r="H139" i="144"/>
  <c r="H138" i="144"/>
  <c r="H137" i="144"/>
  <c r="H136" i="144"/>
  <c r="H135" i="144"/>
  <c r="H134" i="144"/>
  <c r="H133" i="144"/>
  <c r="H132" i="144"/>
  <c r="H131" i="144"/>
  <c r="D131" i="144"/>
  <c r="H130" i="144"/>
  <c r="H129" i="144"/>
  <c r="H128" i="144"/>
  <c r="H127" i="144"/>
  <c r="H126" i="144"/>
  <c r="H125" i="144"/>
  <c r="H124" i="144"/>
  <c r="H123" i="144"/>
  <c r="H122" i="144"/>
  <c r="H121" i="144"/>
  <c r="H120" i="144"/>
  <c r="H119" i="144"/>
  <c r="H118" i="144"/>
  <c r="H117" i="144"/>
  <c r="H116" i="144"/>
  <c r="H115" i="144"/>
  <c r="H114" i="144"/>
  <c r="H113" i="144"/>
  <c r="D113" i="144"/>
  <c r="H112" i="144"/>
  <c r="H111" i="144"/>
  <c r="H110" i="144"/>
  <c r="H109" i="144"/>
  <c r="H108" i="144"/>
  <c r="H107" i="144"/>
  <c r="H106" i="144"/>
  <c r="H105" i="144"/>
  <c r="H104" i="144"/>
  <c r="H103" i="144"/>
  <c r="H102" i="144"/>
  <c r="H101" i="144"/>
  <c r="H100" i="144"/>
  <c r="H99" i="144"/>
  <c r="H98" i="144"/>
  <c r="H97" i="144"/>
  <c r="H96" i="144"/>
  <c r="H95" i="144"/>
  <c r="H94" i="144"/>
  <c r="H93" i="144"/>
  <c r="H92" i="144"/>
  <c r="H91" i="144"/>
  <c r="H90" i="144"/>
  <c r="H89" i="144"/>
  <c r="H88" i="144"/>
  <c r="H87" i="144"/>
  <c r="H86" i="144"/>
  <c r="H85" i="144"/>
  <c r="H84" i="144"/>
  <c r="H83" i="144"/>
  <c r="H82" i="144"/>
  <c r="H81" i="144"/>
  <c r="H80" i="144"/>
  <c r="H79" i="144"/>
  <c r="H78" i="144"/>
  <c r="H77" i="144"/>
  <c r="H76" i="144"/>
  <c r="H75" i="144"/>
  <c r="H74" i="144"/>
  <c r="H73" i="144"/>
  <c r="H72" i="144"/>
  <c r="H71" i="144"/>
  <c r="H70" i="144"/>
  <c r="H69" i="144"/>
  <c r="H68" i="144"/>
  <c r="H67" i="144"/>
  <c r="H66" i="144"/>
  <c r="H65" i="144"/>
  <c r="H64" i="144"/>
  <c r="H63" i="144"/>
  <c r="H62" i="144"/>
  <c r="H61" i="144"/>
  <c r="H60" i="144"/>
  <c r="H59" i="144"/>
  <c r="H58" i="144"/>
  <c r="H57" i="144"/>
  <c r="H56" i="144"/>
  <c r="H55" i="144"/>
  <c r="H54" i="144"/>
  <c r="H53" i="144"/>
  <c r="H52" i="144"/>
  <c r="H51" i="144"/>
  <c r="H50" i="144"/>
  <c r="H49" i="144"/>
  <c r="H48" i="144"/>
  <c r="H47" i="144"/>
  <c r="H46" i="144"/>
  <c r="H45" i="144"/>
  <c r="D45" i="144"/>
  <c r="H44" i="144"/>
  <c r="A44" i="144"/>
  <c r="A45" i="144" s="1"/>
  <c r="A46" i="144" s="1"/>
  <c r="A47" i="144" s="1"/>
  <c r="A48" i="144" s="1"/>
  <c r="A49" i="144" s="1"/>
  <c r="A50" i="144" s="1"/>
  <c r="A51" i="144" s="1"/>
  <c r="A52" i="144" s="1"/>
  <c r="A53" i="144" s="1"/>
  <c r="A54" i="144" s="1"/>
  <c r="A55" i="144" s="1"/>
  <c r="A56" i="144" s="1"/>
  <c r="A57" i="144" s="1"/>
  <c r="A58" i="144" s="1"/>
  <c r="A59" i="144" s="1"/>
  <c r="A60" i="144" s="1"/>
  <c r="A61" i="144" s="1"/>
  <c r="A62" i="144" s="1"/>
  <c r="A63" i="144" s="1"/>
  <c r="A64" i="144" s="1"/>
  <c r="A65" i="144" s="1"/>
  <c r="A66" i="144" s="1"/>
  <c r="A67" i="144" s="1"/>
  <c r="A68" i="144" s="1"/>
  <c r="A69" i="144" s="1"/>
  <c r="A70" i="144" s="1"/>
  <c r="A71" i="144" s="1"/>
  <c r="A72" i="144" s="1"/>
  <c r="A73" i="144" s="1"/>
  <c r="A74" i="144" s="1"/>
  <c r="A75" i="144" s="1"/>
  <c r="A76" i="144" s="1"/>
  <c r="A77" i="144" s="1"/>
  <c r="A78" i="144" s="1"/>
  <c r="A79" i="144" s="1"/>
  <c r="A80" i="144" s="1"/>
  <c r="A81" i="144" s="1"/>
  <c r="A82" i="144" s="1"/>
  <c r="A85" i="144" s="1"/>
  <c r="A86" i="144" s="1"/>
  <c r="A87" i="144" s="1"/>
  <c r="A88" i="144" s="1"/>
  <c r="A89" i="144" s="1"/>
  <c r="A90" i="144" s="1"/>
  <c r="A91" i="144" s="1"/>
  <c r="A92" i="144" s="1"/>
  <c r="A93" i="144" s="1"/>
  <c r="A94" i="144" s="1"/>
  <c r="A95" i="144" s="1"/>
  <c r="A96" i="144" s="1"/>
  <c r="A97" i="144" s="1"/>
  <c r="A98" i="144" s="1"/>
  <c r="A99" i="144" s="1"/>
  <c r="A100" i="144" s="1"/>
  <c r="A101" i="144" s="1"/>
  <c r="A102" i="144" s="1"/>
  <c r="A103" i="144" s="1"/>
  <c r="A104" i="144" s="1"/>
  <c r="A105" i="144" s="1"/>
  <c r="A106" i="144" s="1"/>
  <c r="A107" i="144" s="1"/>
  <c r="A108" i="144" s="1"/>
  <c r="A109" i="144" s="1"/>
  <c r="A110" i="144" s="1"/>
  <c r="A111" i="144" s="1"/>
  <c r="A112" i="144" s="1"/>
  <c r="A113" i="144" s="1"/>
  <c r="A114" i="144" s="1"/>
  <c r="A115" i="144" s="1"/>
  <c r="A116" i="144" s="1"/>
  <c r="A117" i="144" s="1"/>
  <c r="A118" i="144" s="1"/>
  <c r="A119" i="144" s="1"/>
  <c r="A120" i="144" s="1"/>
  <c r="A121" i="144" s="1"/>
  <c r="A122" i="144" s="1"/>
  <c r="A123" i="144" s="1"/>
  <c r="A124" i="144" s="1"/>
  <c r="A125" i="144" s="1"/>
  <c r="A126" i="144" s="1"/>
  <c r="A127" i="144" s="1"/>
  <c r="A129" i="144" s="1"/>
  <c r="A130" i="144" s="1"/>
  <c r="A131" i="144" s="1"/>
  <c r="A132" i="144" s="1"/>
  <c r="A133" i="144" s="1"/>
  <c r="A134" i="144" s="1"/>
  <c r="A135" i="144" s="1"/>
  <c r="A136" i="144" s="1"/>
  <c r="A137" i="144" s="1"/>
  <c r="A138" i="144" s="1"/>
  <c r="A139" i="144" s="1"/>
  <c r="A140" i="144" s="1"/>
  <c r="A141" i="144" s="1"/>
  <c r="A142" i="144" s="1"/>
  <c r="A143" i="144" s="1"/>
  <c r="A144" i="144" s="1"/>
  <c r="A145" i="144" s="1"/>
  <c r="A146" i="144" s="1"/>
  <c r="A147" i="144" s="1"/>
  <c r="A148" i="144" s="1"/>
  <c r="A151" i="144" s="1"/>
  <c r="A152" i="144" s="1"/>
  <c r="A153" i="144" s="1"/>
  <c r="A154" i="144" s="1"/>
  <c r="A155" i="144" s="1"/>
  <c r="A156" i="144" s="1"/>
  <c r="A157" i="144" s="1"/>
  <c r="A158" i="144" s="1"/>
  <c r="A159" i="144" s="1"/>
  <c r="A160" i="144" s="1"/>
  <c r="A161" i="144" s="1"/>
  <c r="A162" i="144" s="1"/>
  <c r="A163" i="144" s="1"/>
  <c r="A164" i="144" s="1"/>
  <c r="A165" i="144" s="1"/>
  <c r="A166" i="144" s="1"/>
  <c r="A167" i="144" s="1"/>
  <c r="A168" i="144" s="1"/>
  <c r="A169" i="144" s="1"/>
  <c r="A170" i="144" s="1"/>
  <c r="A171" i="144" s="1"/>
  <c r="A172" i="144" s="1"/>
  <c r="A173" i="144" s="1"/>
  <c r="A174" i="144" s="1"/>
  <c r="A175" i="144" s="1"/>
  <c r="A176" i="144" s="1"/>
  <c r="A177" i="144" s="1"/>
  <c r="A178" i="144" s="1"/>
  <c r="A179" i="144" s="1"/>
  <c r="A180" i="144" s="1"/>
  <c r="A181" i="144" s="1"/>
  <c r="A182" i="144" s="1"/>
  <c r="A183" i="144" s="1"/>
  <c r="A184" i="144" s="1"/>
  <c r="A185" i="144" s="1"/>
  <c r="A186" i="144" s="1"/>
  <c r="A187" i="144" s="1"/>
  <c r="A189" i="144" s="1"/>
  <c r="A190" i="144" s="1"/>
  <c r="H43" i="144"/>
  <c r="A43" i="144"/>
  <c r="H42" i="144"/>
  <c r="A42" i="144"/>
  <c r="H41" i="144"/>
  <c r="H40" i="144"/>
  <c r="H39" i="144"/>
  <c r="H38" i="144"/>
  <c r="H37" i="144"/>
  <c r="H36" i="144"/>
  <c r="H35" i="144"/>
  <c r="H34" i="144"/>
  <c r="H33" i="144"/>
  <c r="H32" i="144"/>
  <c r="H31" i="144"/>
  <c r="H30" i="144"/>
  <c r="H29" i="144"/>
  <c r="H28" i="144"/>
  <c r="H27" i="144"/>
  <c r="A27" i="144"/>
  <c r="A28" i="144" s="1"/>
  <c r="A29" i="144" s="1"/>
  <c r="A30" i="144" s="1"/>
  <c r="A31" i="144" s="1"/>
  <c r="A32" i="144" s="1"/>
  <c r="A33" i="144" s="1"/>
  <c r="A34" i="144" s="1"/>
  <c r="A35" i="144" s="1"/>
  <c r="A36" i="144" s="1"/>
  <c r="A37" i="144" s="1"/>
  <c r="A38" i="144" s="1"/>
  <c r="H26" i="144"/>
  <c r="H25" i="144"/>
  <c r="H24" i="144"/>
  <c r="D24" i="144"/>
  <c r="H23" i="144"/>
  <c r="A23" i="144"/>
  <c r="A24" i="144" s="1"/>
  <c r="A25" i="144" s="1"/>
  <c r="A26" i="144" s="1"/>
  <c r="H22" i="144"/>
  <c r="A22" i="144"/>
  <c r="H21" i="144"/>
  <c r="H20" i="144"/>
  <c r="H18" i="144"/>
  <c r="H17" i="144"/>
  <c r="H16" i="144"/>
  <c r="H15" i="144"/>
  <c r="H14" i="144"/>
  <c r="H13" i="144"/>
  <c r="H12" i="144"/>
  <c r="H11" i="144"/>
  <c r="D11" i="144"/>
  <c r="H10" i="144"/>
  <c r="A10" i="144"/>
  <c r="A11" i="144" s="1"/>
  <c r="A12" i="144" s="1"/>
  <c r="A13" i="144" s="1"/>
  <c r="A14" i="144" s="1"/>
  <c r="A15" i="144" s="1"/>
  <c r="A16" i="144" s="1"/>
  <c r="A17" i="144" s="1"/>
  <c r="A18" i="144" s="1"/>
  <c r="K9" i="144"/>
  <c r="H9" i="144"/>
  <c r="K8" i="144"/>
  <c r="M8" i="144" s="1"/>
  <c r="H8" i="144"/>
  <c r="K312" i="143"/>
  <c r="G312" i="143"/>
  <c r="F312" i="143"/>
  <c r="F410" i="144" s="1"/>
  <c r="K311" i="143"/>
  <c r="E311" i="143"/>
  <c r="D311" i="143"/>
  <c r="C311" i="143"/>
  <c r="H310" i="143"/>
  <c r="H309" i="143"/>
  <c r="H308" i="143"/>
  <c r="H307" i="143"/>
  <c r="H306" i="143"/>
  <c r="H305" i="143"/>
  <c r="H304" i="143"/>
  <c r="H303" i="143"/>
  <c r="H302" i="143"/>
  <c r="H301" i="143"/>
  <c r="H300" i="143"/>
  <c r="H299" i="143"/>
  <c r="H298" i="143"/>
  <c r="H297" i="143"/>
  <c r="H296" i="143"/>
  <c r="H295" i="143"/>
  <c r="H294" i="143"/>
  <c r="H293" i="143"/>
  <c r="H292" i="143"/>
  <c r="K291" i="143"/>
  <c r="C291" i="143"/>
  <c r="H290" i="143"/>
  <c r="H289" i="143"/>
  <c r="H287" i="143"/>
  <c r="H286" i="143"/>
  <c r="H285" i="143"/>
  <c r="H284" i="143"/>
  <c r="H283" i="143"/>
  <c r="D283" i="143"/>
  <c r="H282" i="143"/>
  <c r="H281" i="143"/>
  <c r="H280" i="143"/>
  <c r="H279" i="143"/>
  <c r="H278" i="143"/>
  <c r="H277" i="143"/>
  <c r="H276" i="143"/>
  <c r="H275" i="143"/>
  <c r="H274" i="143"/>
  <c r="H273" i="143"/>
  <c r="H272" i="143"/>
  <c r="H271" i="143"/>
  <c r="H270" i="143"/>
  <c r="H269" i="143"/>
  <c r="H268" i="143"/>
  <c r="H267" i="143"/>
  <c r="H266" i="143"/>
  <c r="H265" i="143"/>
  <c r="H264" i="143"/>
  <c r="H263" i="143"/>
  <c r="H262" i="143"/>
  <c r="H261" i="143"/>
  <c r="H260" i="143"/>
  <c r="H259" i="143"/>
  <c r="H258" i="143"/>
  <c r="H257" i="143"/>
  <c r="H256" i="143"/>
  <c r="H255" i="143"/>
  <c r="H254" i="143"/>
  <c r="H253" i="143"/>
  <c r="H252" i="143"/>
  <c r="H251" i="143"/>
  <c r="H250" i="143"/>
  <c r="H249" i="143"/>
  <c r="H248" i="143"/>
  <c r="H247" i="143"/>
  <c r="E247" i="143"/>
  <c r="D247" i="143"/>
  <c r="C247" i="143"/>
  <c r="H246" i="143"/>
  <c r="H245" i="143"/>
  <c r="H244" i="143"/>
  <c r="H242" i="143"/>
  <c r="H241" i="143"/>
  <c r="H240" i="143"/>
  <c r="H239" i="143"/>
  <c r="H238" i="143"/>
  <c r="H237" i="143"/>
  <c r="H236" i="143"/>
  <c r="H235" i="143"/>
  <c r="H234" i="143"/>
  <c r="H233" i="143"/>
  <c r="H232" i="143"/>
  <c r="H231" i="143"/>
  <c r="H230" i="143"/>
  <c r="H229" i="143"/>
  <c r="H228" i="143"/>
  <c r="H227" i="143"/>
  <c r="H226" i="143"/>
  <c r="H225" i="143"/>
  <c r="H224" i="143"/>
  <c r="H223" i="143"/>
  <c r="H222" i="143"/>
  <c r="H221" i="143"/>
  <c r="H220" i="143"/>
  <c r="H219" i="143"/>
  <c r="H218" i="143"/>
  <c r="H217" i="143"/>
  <c r="H216" i="143"/>
  <c r="H215" i="143"/>
  <c r="H214" i="143"/>
  <c r="H213" i="143"/>
  <c r="H212" i="143"/>
  <c r="H211" i="143"/>
  <c r="H210" i="143"/>
  <c r="H209" i="143"/>
  <c r="E209" i="143"/>
  <c r="D209" i="143"/>
  <c r="H208" i="143"/>
  <c r="H207" i="143"/>
  <c r="H206" i="143"/>
  <c r="H205" i="143"/>
  <c r="H204" i="143"/>
  <c r="H203" i="143"/>
  <c r="H202" i="143"/>
  <c r="E202" i="143"/>
  <c r="H201" i="143"/>
  <c r="H200" i="143"/>
  <c r="H199" i="143"/>
  <c r="D199" i="143"/>
  <c r="H198" i="143"/>
  <c r="H197" i="143"/>
  <c r="H196" i="143"/>
  <c r="H195" i="143"/>
  <c r="H194" i="143"/>
  <c r="H193" i="143"/>
  <c r="H192" i="143"/>
  <c r="H191" i="143"/>
  <c r="H190" i="143"/>
  <c r="H189" i="143"/>
  <c r="H188" i="143"/>
  <c r="H187" i="143"/>
  <c r="H186" i="143"/>
  <c r="H185" i="143"/>
  <c r="H184" i="143"/>
  <c r="H183" i="143"/>
  <c r="H182" i="143"/>
  <c r="H181" i="143"/>
  <c r="H180" i="143"/>
  <c r="H179" i="143"/>
  <c r="H178" i="143"/>
  <c r="H177" i="143"/>
  <c r="H176" i="143"/>
  <c r="H175" i="143"/>
  <c r="H174" i="143"/>
  <c r="H173" i="143"/>
  <c r="H172" i="143"/>
  <c r="H171" i="143"/>
  <c r="H170" i="143"/>
  <c r="H169" i="143"/>
  <c r="H168" i="143"/>
  <c r="H167" i="143"/>
  <c r="H166" i="143"/>
  <c r="H165" i="143"/>
  <c r="H164" i="143"/>
  <c r="H163" i="143"/>
  <c r="H162" i="143"/>
  <c r="H161" i="143"/>
  <c r="H160" i="143"/>
  <c r="H159" i="143"/>
  <c r="H158" i="143"/>
  <c r="H157" i="143"/>
  <c r="E157" i="143"/>
  <c r="D157" i="143"/>
  <c r="C157" i="143"/>
  <c r="H156" i="143"/>
  <c r="H155" i="143"/>
  <c r="H154" i="143"/>
  <c r="H153" i="143"/>
  <c r="H152" i="143"/>
  <c r="H151" i="143"/>
  <c r="H150" i="143"/>
  <c r="H149" i="143"/>
  <c r="H148" i="143"/>
  <c r="H147" i="143"/>
  <c r="H146" i="143"/>
  <c r="H145" i="143"/>
  <c r="H144" i="143"/>
  <c r="H143" i="143"/>
  <c r="H142" i="143"/>
  <c r="H141" i="143"/>
  <c r="H140" i="143"/>
  <c r="H139" i="143"/>
  <c r="H138" i="143"/>
  <c r="H137" i="143"/>
  <c r="H136" i="143"/>
  <c r="H135" i="143"/>
  <c r="H134" i="143"/>
  <c r="H133" i="143"/>
  <c r="H132" i="143"/>
  <c r="H131" i="143"/>
  <c r="E131" i="143"/>
  <c r="D131" i="143"/>
  <c r="H130" i="143"/>
  <c r="H129" i="143"/>
  <c r="H128" i="143"/>
  <c r="H127" i="143"/>
  <c r="H126" i="143"/>
  <c r="H125" i="143"/>
  <c r="H124" i="143"/>
  <c r="H123" i="143"/>
  <c r="H122" i="143"/>
  <c r="H121" i="143"/>
  <c r="H120" i="143"/>
  <c r="H119" i="143"/>
  <c r="H118" i="143"/>
  <c r="H117" i="143"/>
  <c r="H116" i="143"/>
  <c r="H115" i="143"/>
  <c r="H114" i="143"/>
  <c r="H113" i="143"/>
  <c r="H112" i="143"/>
  <c r="H111" i="143"/>
  <c r="H110" i="143"/>
  <c r="H109" i="143"/>
  <c r="H108" i="143"/>
  <c r="H107" i="143"/>
  <c r="H106" i="143"/>
  <c r="H105" i="143"/>
  <c r="H104" i="143"/>
  <c r="H103" i="143"/>
  <c r="H102" i="143"/>
  <c r="H101" i="143"/>
  <c r="H100" i="143"/>
  <c r="H99" i="143"/>
  <c r="H98" i="143"/>
  <c r="H97" i="143"/>
  <c r="H96" i="143"/>
  <c r="H95" i="143"/>
  <c r="H94" i="143"/>
  <c r="H93" i="143"/>
  <c r="H92" i="143"/>
  <c r="H91" i="143"/>
  <c r="H90" i="143"/>
  <c r="H89" i="143"/>
  <c r="H88" i="143"/>
  <c r="H87" i="143"/>
  <c r="H86" i="143"/>
  <c r="H85" i="143"/>
  <c r="H84" i="143"/>
  <c r="H83" i="143"/>
  <c r="H82" i="143"/>
  <c r="H81" i="143"/>
  <c r="H80" i="143"/>
  <c r="H79" i="143"/>
  <c r="H78" i="143"/>
  <c r="E78" i="143"/>
  <c r="H77" i="143"/>
  <c r="H76" i="143"/>
  <c r="H75" i="143"/>
  <c r="H74" i="143"/>
  <c r="H73" i="143"/>
  <c r="H72" i="143"/>
  <c r="H71" i="143"/>
  <c r="A71" i="143"/>
  <c r="A72" i="143" s="1"/>
  <c r="A73" i="143" s="1"/>
  <c r="A74" i="143" s="1"/>
  <c r="A75" i="143" s="1"/>
  <c r="A76" i="143" s="1"/>
  <c r="A77" i="143" s="1"/>
  <c r="A78" i="143" s="1"/>
  <c r="A79" i="143" s="1"/>
  <c r="A80" i="143" s="1"/>
  <c r="A81" i="143" s="1"/>
  <c r="A82" i="143" s="1"/>
  <c r="A83" i="143" s="1"/>
  <c r="A84" i="143" s="1"/>
  <c r="A85" i="143" s="1"/>
  <c r="A86" i="143" s="1"/>
  <c r="A87" i="143" s="1"/>
  <c r="A88" i="143" s="1"/>
  <c r="A89" i="143" s="1"/>
  <c r="A90" i="143" s="1"/>
  <c r="A91" i="143" s="1"/>
  <c r="A92" i="143" s="1"/>
  <c r="A93" i="143" s="1"/>
  <c r="A94" i="143" s="1"/>
  <c r="A95" i="143" s="1"/>
  <c r="A96" i="143" s="1"/>
  <c r="A97" i="143" s="1"/>
  <c r="A98" i="143" s="1"/>
  <c r="A99" i="143" s="1"/>
  <c r="A100" i="143" s="1"/>
  <c r="A101" i="143" s="1"/>
  <c r="A102" i="143" s="1"/>
  <c r="A103" i="143" s="1"/>
  <c r="A104" i="143" s="1"/>
  <c r="A105" i="143" s="1"/>
  <c r="A106" i="143" s="1"/>
  <c r="A107" i="143" s="1"/>
  <c r="A108" i="143" s="1"/>
  <c r="A109" i="143" s="1"/>
  <c r="A110" i="143" s="1"/>
  <c r="A111" i="143" s="1"/>
  <c r="A112" i="143" s="1"/>
  <c r="A113" i="143" s="1"/>
  <c r="A114" i="143" s="1"/>
  <c r="A115" i="143" s="1"/>
  <c r="A116" i="143" s="1"/>
  <c r="A117" i="143" s="1"/>
  <c r="A118" i="143" s="1"/>
  <c r="A119" i="143" s="1"/>
  <c r="A120" i="143" s="1"/>
  <c r="A121" i="143" s="1"/>
  <c r="A122" i="143" s="1"/>
  <c r="A123" i="143" s="1"/>
  <c r="A124" i="143" s="1"/>
  <c r="A125" i="143" s="1"/>
  <c r="A126" i="143" s="1"/>
  <c r="A127" i="143" s="1"/>
  <c r="A128" i="143" s="1"/>
  <c r="A129" i="143" s="1"/>
  <c r="A130" i="143" s="1"/>
  <c r="A131" i="143" s="1"/>
  <c r="A132" i="143" s="1"/>
  <c r="A133" i="143" s="1"/>
  <c r="A134" i="143" s="1"/>
  <c r="A135" i="143" s="1"/>
  <c r="A136" i="143" s="1"/>
  <c r="A137" i="143" s="1"/>
  <c r="A138" i="143" s="1"/>
  <c r="A139" i="143" s="1"/>
  <c r="A140" i="143" s="1"/>
  <c r="A141" i="143" s="1"/>
  <c r="A144" i="143" s="1"/>
  <c r="A145" i="143" s="1"/>
  <c r="A146" i="143" s="1"/>
  <c r="A147" i="143" s="1"/>
  <c r="A148" i="143" s="1"/>
  <c r="A149" i="143" s="1"/>
  <c r="A150" i="143" s="1"/>
  <c r="A151" i="143" s="1"/>
  <c r="A152" i="143" s="1"/>
  <c r="A153" i="143" s="1"/>
  <c r="A154" i="143" s="1"/>
  <c r="A155" i="143" s="1"/>
  <c r="A156" i="143" s="1"/>
  <c r="A157" i="143" s="1"/>
  <c r="A158" i="143" s="1"/>
  <c r="A159" i="143" s="1"/>
  <c r="A160" i="143" s="1"/>
  <c r="A161" i="143" s="1"/>
  <c r="A162" i="143" s="1"/>
  <c r="A163" i="143" s="1"/>
  <c r="A164" i="143" s="1"/>
  <c r="A165" i="143" s="1"/>
  <c r="A166" i="143" s="1"/>
  <c r="A167" i="143" s="1"/>
  <c r="A168" i="143" s="1"/>
  <c r="A169" i="143" s="1"/>
  <c r="A170" i="143" s="1"/>
  <c r="A171" i="143" s="1"/>
  <c r="A172" i="143" s="1"/>
  <c r="A173" i="143" s="1"/>
  <c r="A174" i="143" s="1"/>
  <c r="A175" i="143" s="1"/>
  <c r="A176" i="143" s="1"/>
  <c r="A177" i="143" s="1"/>
  <c r="A178" i="143" s="1"/>
  <c r="A179" i="143" s="1"/>
  <c r="A180" i="143" s="1"/>
  <c r="A181" i="143" s="1"/>
  <c r="A182" i="143" s="1"/>
  <c r="A183" i="143" s="1"/>
  <c r="A184" i="143" s="1"/>
  <c r="A185" i="143" s="1"/>
  <c r="A186" i="143" s="1"/>
  <c r="A187" i="143" s="1"/>
  <c r="A188" i="143" s="1"/>
  <c r="A189" i="143" s="1"/>
  <c r="A190" i="143" s="1"/>
  <c r="A191" i="143" s="1"/>
  <c r="A192" i="143" s="1"/>
  <c r="A193" i="143" s="1"/>
  <c r="A194" i="143" s="1"/>
  <c r="A195" i="143" s="1"/>
  <c r="A196" i="143" s="1"/>
  <c r="A197" i="143" s="1"/>
  <c r="A198" i="143" s="1"/>
  <c r="A199" i="143" s="1"/>
  <c r="A200" i="143" s="1"/>
  <c r="A201" i="143" s="1"/>
  <c r="A202" i="143" s="1"/>
  <c r="A203" i="143" s="1"/>
  <c r="A204" i="143" s="1"/>
  <c r="A205" i="143" s="1"/>
  <c r="A208" i="143" s="1"/>
  <c r="A209" i="143" s="1"/>
  <c r="A210" i="143" s="1"/>
  <c r="A211" i="143" s="1"/>
  <c r="A212" i="143" s="1"/>
  <c r="A213" i="143" s="1"/>
  <c r="A214" i="143" s="1"/>
  <c r="A215" i="143" s="1"/>
  <c r="A216" i="143" s="1"/>
  <c r="A217" i="143" s="1"/>
  <c r="A218" i="143" s="1"/>
  <c r="A219" i="143" s="1"/>
  <c r="A220" i="143" s="1"/>
  <c r="A221" i="143" s="1"/>
  <c r="A222" i="143" s="1"/>
  <c r="A223" i="143" s="1"/>
  <c r="A224" i="143" s="1"/>
  <c r="A225" i="143" s="1"/>
  <c r="A226" i="143" s="1"/>
  <c r="A227" i="143" s="1"/>
  <c r="A228" i="143" s="1"/>
  <c r="A229" i="143" s="1"/>
  <c r="A230" i="143" s="1"/>
  <c r="A231" i="143" s="1"/>
  <c r="A232" i="143" s="1"/>
  <c r="A233" i="143" s="1"/>
  <c r="A234" i="143" s="1"/>
  <c r="A235" i="143" s="1"/>
  <c r="A236" i="143" s="1"/>
  <c r="A237" i="143" s="1"/>
  <c r="A238" i="143" s="1"/>
  <c r="A239" i="143" s="1"/>
  <c r="A240" i="143" s="1"/>
  <c r="A241" i="143" s="1"/>
  <c r="A242" i="143" s="1"/>
  <c r="A245" i="143" s="1"/>
  <c r="A246" i="143" s="1"/>
  <c r="A247" i="143" s="1"/>
  <c r="A248" i="143" s="1"/>
  <c r="A249" i="143" s="1"/>
  <c r="A250" i="143" s="1"/>
  <c r="A251" i="143" s="1"/>
  <c r="A252" i="143" s="1"/>
  <c r="A253" i="143" s="1"/>
  <c r="A254" i="143" s="1"/>
  <c r="A255" i="143" s="1"/>
  <c r="A256" i="143" s="1"/>
  <c r="A257" i="143" s="1"/>
  <c r="A258" i="143" s="1"/>
  <c r="A259" i="143" s="1"/>
  <c r="A260" i="143" s="1"/>
  <c r="A261" i="143" s="1"/>
  <c r="A262" i="143" s="1"/>
  <c r="A263" i="143" s="1"/>
  <c r="A264" i="143" s="1"/>
  <c r="A265" i="143" s="1"/>
  <c r="A266" i="143" s="1"/>
  <c r="A267" i="143" s="1"/>
  <c r="A268" i="143" s="1"/>
  <c r="A269" i="143" s="1"/>
  <c r="A270" i="143" s="1"/>
  <c r="A271" i="143" s="1"/>
  <c r="A272" i="143" s="1"/>
  <c r="A273" i="143" s="1"/>
  <c r="A274" i="143" s="1"/>
  <c r="A275" i="143" s="1"/>
  <c r="A276" i="143" s="1"/>
  <c r="A277" i="143" s="1"/>
  <c r="A278" i="143" s="1"/>
  <c r="A279" i="143" s="1"/>
  <c r="A280" i="143" s="1"/>
  <c r="A281" i="143" s="1"/>
  <c r="A282" i="143" s="1"/>
  <c r="A283" i="143" s="1"/>
  <c r="A284" i="143" s="1"/>
  <c r="A285" i="143" s="1"/>
  <c r="A286" i="143" s="1"/>
  <c r="A287" i="143" s="1"/>
  <c r="A289" i="143" s="1"/>
  <c r="A290" i="143" s="1"/>
  <c r="H70" i="143"/>
  <c r="H69" i="143"/>
  <c r="H68" i="143"/>
  <c r="D68" i="143"/>
  <c r="H67" i="143"/>
  <c r="H66" i="143"/>
  <c r="A66" i="143"/>
  <c r="A67" i="143" s="1"/>
  <c r="A68" i="143" s="1"/>
  <c r="A69" i="143" s="1"/>
  <c r="A70" i="143" s="1"/>
  <c r="H65" i="143"/>
  <c r="H64" i="143"/>
  <c r="H63" i="143"/>
  <c r="H62" i="143"/>
  <c r="H61" i="143"/>
  <c r="D61" i="143"/>
  <c r="H60" i="143"/>
  <c r="H59" i="143"/>
  <c r="H58" i="143"/>
  <c r="H57" i="143"/>
  <c r="H56" i="143"/>
  <c r="H55" i="143"/>
  <c r="H54" i="143"/>
  <c r="H53" i="143"/>
  <c r="H52" i="143"/>
  <c r="H51" i="143"/>
  <c r="H50" i="143"/>
  <c r="H49" i="143"/>
  <c r="H48" i="143"/>
  <c r="H47" i="143"/>
  <c r="H46" i="143"/>
  <c r="H45" i="143"/>
  <c r="H44" i="143"/>
  <c r="H43" i="143"/>
  <c r="H42" i="143"/>
  <c r="H41" i="143"/>
  <c r="H40" i="143"/>
  <c r="A40" i="143"/>
  <c r="A41" i="143" s="1"/>
  <c r="A42" i="143" s="1"/>
  <c r="A43" i="143" s="1"/>
  <c r="A44" i="143" s="1"/>
  <c r="A45" i="143" s="1"/>
  <c r="A46" i="143" s="1"/>
  <c r="A47" i="143" s="1"/>
  <c r="A48" i="143" s="1"/>
  <c r="A49" i="143" s="1"/>
  <c r="A50" i="143" s="1"/>
  <c r="A51" i="143" s="1"/>
  <c r="A52" i="143" s="1"/>
  <c r="A53" i="143" s="1"/>
  <c r="A54" i="143" s="1"/>
  <c r="A55" i="143" s="1"/>
  <c r="A56" i="143" s="1"/>
  <c r="A57" i="143" s="1"/>
  <c r="A58" i="143" s="1"/>
  <c r="A59" i="143" s="1"/>
  <c r="A60" i="143" s="1"/>
  <c r="A61" i="143" s="1"/>
  <c r="A62" i="143" s="1"/>
  <c r="A63" i="143" s="1"/>
  <c r="H39" i="143"/>
  <c r="E39" i="143"/>
  <c r="E291" i="143" s="1"/>
  <c r="D39" i="143"/>
  <c r="H38" i="143"/>
  <c r="H37" i="143"/>
  <c r="H36" i="143"/>
  <c r="A36" i="143"/>
  <c r="A37" i="143" s="1"/>
  <c r="A38" i="143" s="1"/>
  <c r="A39" i="143" s="1"/>
  <c r="H35" i="143"/>
  <c r="H34" i="143"/>
  <c r="H32" i="143"/>
  <c r="H31" i="143"/>
  <c r="H30" i="143"/>
  <c r="H29" i="143"/>
  <c r="H28" i="143"/>
  <c r="H27" i="143"/>
  <c r="H26" i="143"/>
  <c r="H25" i="143"/>
  <c r="H24" i="143"/>
  <c r="H23" i="143"/>
  <c r="H22" i="143"/>
  <c r="E22" i="143"/>
  <c r="D22" i="143"/>
  <c r="H21" i="143"/>
  <c r="H20" i="143"/>
  <c r="H19" i="143"/>
  <c r="H18" i="143"/>
  <c r="H17" i="143"/>
  <c r="H16" i="143"/>
  <c r="H15" i="143"/>
  <c r="A15" i="143"/>
  <c r="A16" i="143" s="1"/>
  <c r="A17" i="143" s="1"/>
  <c r="A18" i="143" s="1"/>
  <c r="A19" i="143" s="1"/>
  <c r="A20" i="143" s="1"/>
  <c r="A21" i="143" s="1"/>
  <c r="A22" i="143" s="1"/>
  <c r="A23" i="143" s="1"/>
  <c r="A24" i="143" s="1"/>
  <c r="A25" i="143" s="1"/>
  <c r="A26" i="143" s="1"/>
  <c r="A27" i="143" s="1"/>
  <c r="A28" i="143" s="1"/>
  <c r="A29" i="143" s="1"/>
  <c r="A30" i="143" s="1"/>
  <c r="A31" i="143" s="1"/>
  <c r="A32" i="143" s="1"/>
  <c r="H14" i="143"/>
  <c r="H13" i="143"/>
  <c r="H12" i="143"/>
  <c r="A12" i="143"/>
  <c r="A13" i="143" s="1"/>
  <c r="A14" i="143" s="1"/>
  <c r="H11" i="143"/>
  <c r="A11" i="143"/>
  <c r="H10" i="143"/>
  <c r="A10" i="143"/>
  <c r="K9" i="143"/>
  <c r="H9" i="143"/>
  <c r="K8" i="143"/>
  <c r="H8" i="143"/>
  <c r="K7" i="143"/>
  <c r="E249" i="142"/>
  <c r="D249" i="142"/>
  <c r="H239" i="142"/>
  <c r="H238" i="142"/>
  <c r="H237" i="142"/>
  <c r="H236" i="142"/>
  <c r="H235" i="142"/>
  <c r="K234" i="142"/>
  <c r="G234" i="142"/>
  <c r="F234" i="142"/>
  <c r="C234" i="142"/>
  <c r="K233" i="142"/>
  <c r="E233" i="142"/>
  <c r="E238" i="142" s="1"/>
  <c r="C233" i="142"/>
  <c r="H232" i="142"/>
  <c r="H231" i="142"/>
  <c r="H230" i="142"/>
  <c r="H229" i="142"/>
  <c r="H228" i="142"/>
  <c r="H227" i="142"/>
  <c r="H226" i="142"/>
  <c r="H225" i="142"/>
  <c r="H224" i="142"/>
  <c r="H223" i="142"/>
  <c r="H222" i="142"/>
  <c r="H221" i="142"/>
  <c r="H220" i="142"/>
  <c r="H219" i="142"/>
  <c r="H218" i="142"/>
  <c r="H217" i="142"/>
  <c r="H216" i="142"/>
  <c r="H215" i="142"/>
  <c r="D215" i="142"/>
  <c r="D233" i="142" s="1"/>
  <c r="K213" i="142"/>
  <c r="H212" i="142"/>
  <c r="H211" i="142"/>
  <c r="H210" i="142"/>
  <c r="H209" i="142"/>
  <c r="D209" i="142"/>
  <c r="H208" i="142"/>
  <c r="H207" i="142"/>
  <c r="H206" i="142"/>
  <c r="H205" i="142"/>
  <c r="H204" i="142"/>
  <c r="H203" i="142"/>
  <c r="H202" i="142"/>
  <c r="H201" i="142"/>
  <c r="H200" i="142"/>
  <c r="H199" i="142"/>
  <c r="D199" i="142"/>
  <c r="C199" i="142"/>
  <c r="C213" i="142" s="1"/>
  <c r="C237" i="142" s="1"/>
  <c r="H198" i="142"/>
  <c r="H197" i="142"/>
  <c r="H196" i="142"/>
  <c r="H195" i="142"/>
  <c r="H194" i="142"/>
  <c r="H193" i="142"/>
  <c r="H192" i="142"/>
  <c r="H191" i="142"/>
  <c r="H190" i="142"/>
  <c r="H189" i="142"/>
  <c r="H188" i="142"/>
  <c r="E188" i="142"/>
  <c r="H187" i="142"/>
  <c r="H186" i="142"/>
  <c r="H185" i="142"/>
  <c r="H184" i="142"/>
  <c r="H183" i="142"/>
  <c r="H182" i="142"/>
  <c r="H181" i="142"/>
  <c r="H180" i="142"/>
  <c r="H179" i="142"/>
  <c r="H178" i="142"/>
  <c r="H177" i="142"/>
  <c r="H176" i="142"/>
  <c r="H175" i="142"/>
  <c r="H174" i="142"/>
  <c r="H173" i="142"/>
  <c r="H172" i="142"/>
  <c r="H171" i="142"/>
  <c r="H170" i="142"/>
  <c r="H169" i="142"/>
  <c r="H168" i="142"/>
  <c r="H167" i="142"/>
  <c r="H166" i="142"/>
  <c r="H165" i="142"/>
  <c r="H164" i="142"/>
  <c r="H163" i="142"/>
  <c r="H162" i="142"/>
  <c r="H161" i="142"/>
  <c r="H160" i="142"/>
  <c r="H159" i="142"/>
  <c r="H158" i="142"/>
  <c r="H157" i="142"/>
  <c r="H156" i="142"/>
  <c r="H155" i="142"/>
  <c r="H154" i="142"/>
  <c r="H153" i="142"/>
  <c r="H152" i="142"/>
  <c r="H151" i="142"/>
  <c r="H150" i="142"/>
  <c r="H149" i="142"/>
  <c r="H148" i="142"/>
  <c r="H147" i="142"/>
  <c r="H146" i="142"/>
  <c r="H145" i="142"/>
  <c r="H144" i="142"/>
  <c r="H143" i="142"/>
  <c r="H142" i="142"/>
  <c r="H141" i="142"/>
  <c r="H140" i="142"/>
  <c r="H139" i="142"/>
  <c r="H138" i="142"/>
  <c r="H137" i="142"/>
  <c r="H136" i="142"/>
  <c r="H135" i="142"/>
  <c r="H134" i="142"/>
  <c r="H133" i="142"/>
  <c r="H132" i="142"/>
  <c r="H131" i="142"/>
  <c r="H130" i="142"/>
  <c r="H129" i="142"/>
  <c r="H128" i="142"/>
  <c r="E128" i="142"/>
  <c r="D128" i="142"/>
  <c r="H127" i="142"/>
  <c r="H126" i="142"/>
  <c r="H125" i="142"/>
  <c r="H124" i="142"/>
  <c r="H123" i="142"/>
  <c r="H122" i="142"/>
  <c r="H121" i="142"/>
  <c r="H120" i="142"/>
  <c r="H119" i="142"/>
  <c r="H118" i="142"/>
  <c r="H117" i="142"/>
  <c r="H116" i="142"/>
  <c r="H115" i="142"/>
  <c r="H114" i="142"/>
  <c r="H113" i="142"/>
  <c r="H112" i="142"/>
  <c r="H111" i="142"/>
  <c r="H110" i="142"/>
  <c r="H109" i="142"/>
  <c r="D109" i="142"/>
  <c r="H108" i="142"/>
  <c r="H107" i="142"/>
  <c r="H106" i="142"/>
  <c r="H105" i="142"/>
  <c r="H104" i="142"/>
  <c r="H103" i="142"/>
  <c r="H102" i="142"/>
  <c r="H101" i="142"/>
  <c r="H100" i="142"/>
  <c r="H99" i="142"/>
  <c r="H98" i="142"/>
  <c r="H97" i="142"/>
  <c r="H96" i="142"/>
  <c r="H94" i="142"/>
  <c r="H93" i="142"/>
  <c r="H92" i="142"/>
  <c r="H91" i="142"/>
  <c r="H90" i="142"/>
  <c r="H89" i="142"/>
  <c r="H88" i="142"/>
  <c r="H87" i="142"/>
  <c r="H86" i="142"/>
  <c r="H85" i="142"/>
  <c r="H84" i="142"/>
  <c r="H83" i="142"/>
  <c r="H82" i="142"/>
  <c r="H81" i="142"/>
  <c r="H80" i="142"/>
  <c r="H79" i="142"/>
  <c r="H78" i="142"/>
  <c r="H77" i="142"/>
  <c r="H76" i="142"/>
  <c r="H75" i="142"/>
  <c r="H74" i="142"/>
  <c r="H73" i="142"/>
  <c r="H72" i="142"/>
  <c r="H71" i="142"/>
  <c r="H70" i="142"/>
  <c r="H69" i="142"/>
  <c r="H68" i="142"/>
  <c r="H67" i="142"/>
  <c r="H66" i="142"/>
  <c r="H65" i="142"/>
  <c r="H64" i="142"/>
  <c r="H63" i="142"/>
  <c r="H62" i="142"/>
  <c r="H61" i="142"/>
  <c r="H60" i="142"/>
  <c r="H59" i="142"/>
  <c r="H58" i="142"/>
  <c r="H57" i="142"/>
  <c r="H56" i="142"/>
  <c r="H55" i="142"/>
  <c r="H54" i="142"/>
  <c r="H53" i="142"/>
  <c r="H52" i="142"/>
  <c r="H51" i="142"/>
  <c r="H50" i="142"/>
  <c r="H49" i="142"/>
  <c r="H48" i="142"/>
  <c r="H47" i="142"/>
  <c r="H46" i="142"/>
  <c r="H45" i="142"/>
  <c r="H44" i="142"/>
  <c r="H43" i="142"/>
  <c r="H42" i="142"/>
  <c r="H41" i="142"/>
  <c r="H40" i="142"/>
  <c r="H39" i="142"/>
  <c r="H38" i="142"/>
  <c r="H37" i="142"/>
  <c r="E37" i="142"/>
  <c r="H36" i="142"/>
  <c r="H35" i="142"/>
  <c r="H34" i="142"/>
  <c r="H33" i="142"/>
  <c r="H31" i="142"/>
  <c r="H30" i="142"/>
  <c r="H29" i="142"/>
  <c r="H28" i="142"/>
  <c r="H27" i="142"/>
  <c r="H26" i="142"/>
  <c r="H25" i="142"/>
  <c r="H24" i="142"/>
  <c r="H23" i="142"/>
  <c r="H22" i="142"/>
  <c r="H21" i="142"/>
  <c r="H20" i="142"/>
  <c r="H19" i="142"/>
  <c r="E19" i="142"/>
  <c r="E213" i="142" s="1"/>
  <c r="D19" i="142"/>
  <c r="H18" i="142"/>
  <c r="H17" i="142"/>
  <c r="H16" i="142"/>
  <c r="H15" i="142"/>
  <c r="H14" i="142"/>
  <c r="H13" i="142"/>
  <c r="H12" i="142"/>
  <c r="H11" i="142"/>
  <c r="H10" i="142"/>
  <c r="A10" i="142"/>
  <c r="A11" i="142" s="1"/>
  <c r="A12" i="142" s="1"/>
  <c r="A13" i="142" s="1"/>
  <c r="A14" i="142" s="1"/>
  <c r="A15" i="142" s="1"/>
  <c r="A16" i="142" s="1"/>
  <c r="A17" i="142" s="1"/>
  <c r="A18" i="142" s="1"/>
  <c r="A19" i="142" s="1"/>
  <c r="A20" i="142" s="1"/>
  <c r="A21" i="142" s="1"/>
  <c r="A22" i="142" s="1"/>
  <c r="A23" i="142" s="1"/>
  <c r="A24" i="142" s="1"/>
  <c r="A25" i="142" s="1"/>
  <c r="A26" i="142" s="1"/>
  <c r="A27" i="142" s="1"/>
  <c r="A28" i="142" s="1"/>
  <c r="A29" i="142" s="1"/>
  <c r="A30" i="142" s="1"/>
  <c r="A31" i="142" s="1"/>
  <c r="A34" i="142" s="1"/>
  <c r="A35" i="142" s="1"/>
  <c r="A36" i="142" s="1"/>
  <c r="A37" i="142" s="1"/>
  <c r="A38" i="142" s="1"/>
  <c r="A39" i="142" s="1"/>
  <c r="A40" i="142" s="1"/>
  <c r="A41" i="142" s="1"/>
  <c r="A42" i="142" s="1"/>
  <c r="A43" i="142" s="1"/>
  <c r="A44" i="142" s="1"/>
  <c r="A45" i="142" s="1"/>
  <c r="A46" i="142" s="1"/>
  <c r="A47" i="142" s="1"/>
  <c r="A48" i="142" s="1"/>
  <c r="A49" i="142" s="1"/>
  <c r="A50" i="142" s="1"/>
  <c r="A53" i="142" s="1"/>
  <c r="A54" i="142" s="1"/>
  <c r="A55" i="142" s="1"/>
  <c r="A56" i="142" s="1"/>
  <c r="A57" i="142" s="1"/>
  <c r="A58" i="142" s="1"/>
  <c r="A59" i="142" s="1"/>
  <c r="A60" i="142" s="1"/>
  <c r="A61" i="142" s="1"/>
  <c r="A62" i="142" s="1"/>
  <c r="A63" i="142" s="1"/>
  <c r="A64" i="142" s="1"/>
  <c r="A65" i="142" s="1"/>
  <c r="A66" i="142" s="1"/>
  <c r="A67" i="142" s="1"/>
  <c r="A68" i="142" s="1"/>
  <c r="A69" i="142" s="1"/>
  <c r="A70" i="142" s="1"/>
  <c r="A71" i="142" s="1"/>
  <c r="A72" i="142" s="1"/>
  <c r="A73" i="142" s="1"/>
  <c r="A74" i="142" s="1"/>
  <c r="A75" i="142" s="1"/>
  <c r="A76" i="142" s="1"/>
  <c r="A77" i="142" s="1"/>
  <c r="A78" i="142" s="1"/>
  <c r="A79" i="142" s="1"/>
  <c r="A80" i="142" s="1"/>
  <c r="A81" i="142" s="1"/>
  <c r="A82" i="142" s="1"/>
  <c r="A83" i="142" s="1"/>
  <c r="A84" i="142" s="1"/>
  <c r="A85" i="142" s="1"/>
  <c r="A86" i="142" s="1"/>
  <c r="A87" i="142" s="1"/>
  <c r="A88" i="142" s="1"/>
  <c r="A89" i="142" s="1"/>
  <c r="A90" i="142" s="1"/>
  <c r="A91" i="142" s="1"/>
  <c r="A92" i="142" s="1"/>
  <c r="A93" i="142" s="1"/>
  <c r="A94" i="142" s="1"/>
  <c r="A97" i="142" s="1"/>
  <c r="A98" i="142" s="1"/>
  <c r="A99" i="142" s="1"/>
  <c r="A100" i="142" s="1"/>
  <c r="A101" i="142" s="1"/>
  <c r="A102" i="142" s="1"/>
  <c r="A103" i="142" s="1"/>
  <c r="A104" i="142" s="1"/>
  <c r="A105" i="142" s="1"/>
  <c r="A106" i="142" s="1"/>
  <c r="A107" i="142" s="1"/>
  <c r="A108" i="142" s="1"/>
  <c r="A109" i="142" s="1"/>
  <c r="A110" i="142" s="1"/>
  <c r="A111" i="142" s="1"/>
  <c r="A112" i="142" s="1"/>
  <c r="A113" i="142" s="1"/>
  <c r="A114" i="142" s="1"/>
  <c r="A115" i="142" s="1"/>
  <c r="A116" i="142" s="1"/>
  <c r="A117" i="142" s="1"/>
  <c r="A118" i="142" s="1"/>
  <c r="A119" i="142" s="1"/>
  <c r="A120" i="142" s="1"/>
  <c r="A121" i="142" s="1"/>
  <c r="A122" i="142" s="1"/>
  <c r="A123" i="142" s="1"/>
  <c r="A124" i="142" s="1"/>
  <c r="A125" i="142" s="1"/>
  <c r="A126" i="142" s="1"/>
  <c r="A127" i="142" s="1"/>
  <c r="A128" i="142" s="1"/>
  <c r="A129" i="142" s="1"/>
  <c r="A130" i="142" s="1"/>
  <c r="A131" i="142" s="1"/>
  <c r="A132" i="142" s="1"/>
  <c r="A133" i="142" s="1"/>
  <c r="A134" i="142" s="1"/>
  <c r="A135" i="142" s="1"/>
  <c r="A136" i="142" s="1"/>
  <c r="A137" i="142" s="1"/>
  <c r="A138" i="142" s="1"/>
  <c r="A139" i="142" s="1"/>
  <c r="A140" i="142" s="1"/>
  <c r="A141" i="142" s="1"/>
  <c r="A142" i="142" s="1"/>
  <c r="A143" i="142" s="1"/>
  <c r="A144" i="142" s="1"/>
  <c r="A145" i="142" s="1"/>
  <c r="A146" i="142" s="1"/>
  <c r="A147" i="142" s="1"/>
  <c r="A148" i="142" s="1"/>
  <c r="A149" i="142" s="1"/>
  <c r="A150" i="142" s="1"/>
  <c r="A151" i="142" s="1"/>
  <c r="A152" i="142" s="1"/>
  <c r="A153" i="142" s="1"/>
  <c r="A154" i="142" s="1"/>
  <c r="A157" i="142" s="1"/>
  <c r="A158" i="142" s="1"/>
  <c r="A159" i="142" s="1"/>
  <c r="A160" i="142" s="1"/>
  <c r="A161" i="142" s="1"/>
  <c r="A162" i="142" s="1"/>
  <c r="A163" i="142" s="1"/>
  <c r="A164" i="142" s="1"/>
  <c r="A165" i="142" s="1"/>
  <c r="A166" i="142" s="1"/>
  <c r="A167" i="142" s="1"/>
  <c r="A168" i="142" s="1"/>
  <c r="A169" i="142" s="1"/>
  <c r="A170" i="142" s="1"/>
  <c r="A171" i="142" s="1"/>
  <c r="A172" i="142" s="1"/>
  <c r="A173" i="142" s="1"/>
  <c r="A174" i="142" s="1"/>
  <c r="A175" i="142" s="1"/>
  <c r="A176" i="142" s="1"/>
  <c r="A177" i="142" s="1"/>
  <c r="A178" i="142" s="1"/>
  <c r="A179" i="142" s="1"/>
  <c r="A180" i="142" s="1"/>
  <c r="A183" i="142" s="1"/>
  <c r="A184" i="142" s="1"/>
  <c r="A185" i="142" s="1"/>
  <c r="A186" i="142" s="1"/>
  <c r="A187" i="142" s="1"/>
  <c r="A188" i="142" s="1"/>
  <c r="A189" i="142" s="1"/>
  <c r="A190" i="142" s="1"/>
  <c r="A191" i="142" s="1"/>
  <c r="A192" i="142" s="1"/>
  <c r="A193" i="142" s="1"/>
  <c r="A194" i="142" s="1"/>
  <c r="A195" i="142" s="1"/>
  <c r="A196" i="142" s="1"/>
  <c r="A197" i="142" s="1"/>
  <c r="A198" i="142" s="1"/>
  <c r="A199" i="142" s="1"/>
  <c r="A200" i="142" s="1"/>
  <c r="A201" i="142" s="1"/>
  <c r="A202" i="142" s="1"/>
  <c r="A203" i="142" s="1"/>
  <c r="A204" i="142" s="1"/>
  <c r="A205" i="142" s="1"/>
  <c r="A206" i="142" s="1"/>
  <c r="A207" i="142" s="1"/>
  <c r="A208" i="142" s="1"/>
  <c r="A209" i="142" s="1"/>
  <c r="A211" i="142" s="1"/>
  <c r="K9" i="142"/>
  <c r="H9" i="142"/>
  <c r="K8" i="142"/>
  <c r="M8" i="142" s="1"/>
  <c r="H8" i="142"/>
  <c r="M36" i="141"/>
  <c r="L36" i="141"/>
  <c r="D36" i="141"/>
  <c r="C36" i="141"/>
  <c r="I35" i="141"/>
  <c r="D22" i="141"/>
  <c r="D24" i="141" s="1"/>
  <c r="D37" i="141" s="1"/>
  <c r="M20" i="141"/>
  <c r="M22" i="141" s="1"/>
  <c r="M24" i="141" s="1"/>
  <c r="M37" i="141" s="1"/>
  <c r="L20" i="141"/>
  <c r="L22" i="141" s="1"/>
  <c r="L24" i="141" s="1"/>
  <c r="L37" i="141" s="1"/>
  <c r="H20" i="141"/>
  <c r="H22" i="141" s="1"/>
  <c r="H24" i="141" s="1"/>
  <c r="G20" i="141"/>
  <c r="G22" i="141" s="1"/>
  <c r="G24" i="141" s="1"/>
  <c r="F20" i="141"/>
  <c r="F22" i="141" s="1"/>
  <c r="F24" i="141" s="1"/>
  <c r="E20" i="141"/>
  <c r="E22" i="141" s="1"/>
  <c r="E24" i="141" s="1"/>
  <c r="D20" i="141"/>
  <c r="C20" i="141"/>
  <c r="C22" i="141" s="1"/>
  <c r="C24" i="141" s="1"/>
  <c r="L32" i="140"/>
  <c r="D32" i="140"/>
  <c r="L30" i="140"/>
  <c r="K30" i="140"/>
  <c r="K32" i="140" s="1"/>
  <c r="I30" i="140"/>
  <c r="G30" i="140"/>
  <c r="F30" i="140"/>
  <c r="E30" i="140"/>
  <c r="E32" i="140" s="1"/>
  <c r="D30" i="140"/>
  <c r="C30" i="140"/>
  <c r="M29" i="140"/>
  <c r="M28" i="140"/>
  <c r="M27" i="140"/>
  <c r="M26" i="140"/>
  <c r="M25" i="140"/>
  <c r="M24" i="140"/>
  <c r="L22" i="140"/>
  <c r="K22" i="140"/>
  <c r="I22" i="140"/>
  <c r="I32" i="140" s="1"/>
  <c r="G22" i="140"/>
  <c r="G32" i="140" s="1"/>
  <c r="F22" i="140"/>
  <c r="F32" i="140" s="1"/>
  <c r="E22" i="140"/>
  <c r="D22" i="140"/>
  <c r="C22" i="140"/>
  <c r="C32" i="140" s="1"/>
  <c r="M21" i="140"/>
  <c r="M20" i="140"/>
  <c r="M19" i="140"/>
  <c r="M18" i="140"/>
  <c r="M17" i="140"/>
  <c r="M16" i="140"/>
  <c r="L17" i="139"/>
  <c r="K17" i="139"/>
  <c r="I17" i="139"/>
  <c r="F17" i="139"/>
  <c r="M16" i="139"/>
  <c r="M15" i="139"/>
  <c r="M14" i="139"/>
  <c r="L13" i="139"/>
  <c r="K13" i="139"/>
  <c r="I13" i="139"/>
  <c r="G13" i="139"/>
  <c r="G17" i="139" s="1"/>
  <c r="F13" i="139"/>
  <c r="E13" i="139"/>
  <c r="E17" i="139" s="1"/>
  <c r="D13" i="139"/>
  <c r="D17" i="139" s="1"/>
  <c r="C13" i="139"/>
  <c r="C17" i="139" s="1"/>
  <c r="G25" i="138"/>
  <c r="D25" i="138"/>
  <c r="C25" i="138"/>
  <c r="M24" i="138"/>
  <c r="C24" i="138"/>
  <c r="L23" i="138"/>
  <c r="K23" i="138"/>
  <c r="I23" i="138"/>
  <c r="G23" i="138"/>
  <c r="F23" i="138"/>
  <c r="E23" i="138"/>
  <c r="E25" i="138" s="1"/>
  <c r="D23" i="138"/>
  <c r="C23" i="138"/>
  <c r="M22" i="138"/>
  <c r="M21" i="138"/>
  <c r="M20" i="138"/>
  <c r="L16" i="138"/>
  <c r="L25" i="138" s="1"/>
  <c r="K16" i="138"/>
  <c r="K25" i="138" s="1"/>
  <c r="I16" i="138"/>
  <c r="I25" i="138" s="1"/>
  <c r="G16" i="138"/>
  <c r="F16" i="138"/>
  <c r="E16" i="138"/>
  <c r="D16" i="138"/>
  <c r="C16" i="138"/>
  <c r="M15" i="138"/>
  <c r="M14" i="138"/>
  <c r="M13" i="138"/>
  <c r="H57" i="137"/>
  <c r="L56" i="137"/>
  <c r="I56" i="137"/>
  <c r="I57" i="137" s="1"/>
  <c r="H56" i="137"/>
  <c r="G56" i="137"/>
  <c r="E56" i="137"/>
  <c r="E57" i="137" s="1"/>
  <c r="C56" i="137"/>
  <c r="C57" i="137" s="1"/>
  <c r="L55" i="137"/>
  <c r="C55" i="137"/>
  <c r="L54" i="137"/>
  <c r="C54" i="137"/>
  <c r="L53" i="137"/>
  <c r="C53" i="137"/>
  <c r="L52" i="137"/>
  <c r="C52" i="137"/>
  <c r="L51" i="137"/>
  <c r="C51" i="137"/>
  <c r="L50" i="137"/>
  <c r="C50" i="137"/>
  <c r="L49" i="137"/>
  <c r="C49" i="137"/>
  <c r="L48" i="137"/>
  <c r="C48" i="137"/>
  <c r="L47" i="137"/>
  <c r="C47" i="137"/>
  <c r="L46" i="137"/>
  <c r="C46" i="137"/>
  <c r="L45" i="137"/>
  <c r="C45" i="137"/>
  <c r="L44" i="137"/>
  <c r="C44" i="137"/>
  <c r="L43" i="137"/>
  <c r="C43" i="137"/>
  <c r="L42" i="137"/>
  <c r="C42" i="137"/>
  <c r="L41" i="137"/>
  <c r="C41" i="137"/>
  <c r="L40" i="137"/>
  <c r="C40" i="137"/>
  <c r="L39" i="137"/>
  <c r="C39" i="137"/>
  <c r="L38" i="137"/>
  <c r="C38" i="137"/>
  <c r="L37" i="137"/>
  <c r="C37" i="137"/>
  <c r="L36" i="137"/>
  <c r="C36" i="137"/>
  <c r="L35" i="137"/>
  <c r="C35" i="137"/>
  <c r="L34" i="137"/>
  <c r="C34" i="137"/>
  <c r="L33" i="137"/>
  <c r="C33" i="137"/>
  <c r="L32" i="137"/>
  <c r="C32" i="137"/>
  <c r="L31" i="137"/>
  <c r="C31" i="137"/>
  <c r="L30" i="137"/>
  <c r="C30" i="137"/>
  <c r="L29" i="137"/>
  <c r="C29" i="137"/>
  <c r="L28" i="137"/>
  <c r="C28" i="137"/>
  <c r="L27" i="137"/>
  <c r="C27" i="137"/>
  <c r="L26" i="137"/>
  <c r="C26" i="137"/>
  <c r="L25" i="137"/>
  <c r="C25" i="137"/>
  <c r="L24" i="137"/>
  <c r="C24" i="137"/>
  <c r="L23" i="137"/>
  <c r="C23" i="137"/>
  <c r="L22" i="137"/>
  <c r="C22" i="137"/>
  <c r="L21" i="137"/>
  <c r="C21" i="137"/>
  <c r="L20" i="137"/>
  <c r="L19" i="137"/>
  <c r="L17" i="137"/>
  <c r="I17" i="137"/>
  <c r="H17" i="137"/>
  <c r="G17" i="137"/>
  <c r="G57" i="137" s="1"/>
  <c r="E17" i="137"/>
  <c r="C17" i="137"/>
  <c r="L16" i="137"/>
  <c r="L15" i="137"/>
  <c r="L14" i="137"/>
  <c r="L13" i="137"/>
  <c r="L12" i="137"/>
  <c r="L11" i="137"/>
  <c r="L10" i="137"/>
  <c r="P158" i="136"/>
  <c r="O158" i="136"/>
  <c r="N158" i="136"/>
  <c r="M158" i="136"/>
  <c r="L158" i="136"/>
  <c r="J158" i="136"/>
  <c r="I158" i="136"/>
  <c r="H158" i="136"/>
  <c r="Q157" i="136"/>
  <c r="G157" i="136"/>
  <c r="F157" i="136"/>
  <c r="K157" i="136" s="1"/>
  <c r="Q156" i="136"/>
  <c r="G156" i="136"/>
  <c r="G158" i="136" s="1"/>
  <c r="F156" i="136"/>
  <c r="P155" i="136"/>
  <c r="O155" i="136"/>
  <c r="N155" i="136"/>
  <c r="M155" i="136"/>
  <c r="L155" i="136"/>
  <c r="J155" i="136"/>
  <c r="I155" i="136"/>
  <c r="H155" i="136"/>
  <c r="Q154" i="136"/>
  <c r="G154" i="136"/>
  <c r="F154" i="136"/>
  <c r="K154" i="136" s="1"/>
  <c r="Q153" i="136"/>
  <c r="G153" i="136"/>
  <c r="G155" i="136" s="1"/>
  <c r="F153" i="136"/>
  <c r="P152" i="136"/>
  <c r="O152" i="136"/>
  <c r="N152" i="136"/>
  <c r="M152" i="136"/>
  <c r="L152" i="136"/>
  <c r="J152" i="136"/>
  <c r="I152" i="136"/>
  <c r="H152" i="136"/>
  <c r="Q151" i="136"/>
  <c r="G151" i="136"/>
  <c r="F151" i="136"/>
  <c r="Q150" i="136"/>
  <c r="G150" i="136"/>
  <c r="G152" i="136" s="1"/>
  <c r="F150" i="136"/>
  <c r="F152" i="136" s="1"/>
  <c r="P149" i="136"/>
  <c r="O149" i="136"/>
  <c r="N149" i="136"/>
  <c r="M149" i="136"/>
  <c r="L149" i="136"/>
  <c r="J149" i="136"/>
  <c r="I149" i="136"/>
  <c r="H149" i="136"/>
  <c r="Q148" i="136"/>
  <c r="G148" i="136"/>
  <c r="K148" i="136" s="1"/>
  <c r="F148" i="136"/>
  <c r="Q147" i="136"/>
  <c r="G147" i="136"/>
  <c r="F147" i="136"/>
  <c r="P146" i="136"/>
  <c r="O146" i="136"/>
  <c r="N146" i="136"/>
  <c r="M146" i="136"/>
  <c r="L146" i="136"/>
  <c r="J146" i="136"/>
  <c r="I146" i="136"/>
  <c r="H146" i="136"/>
  <c r="Q145" i="136"/>
  <c r="G145" i="136"/>
  <c r="F145" i="136"/>
  <c r="Q144" i="136"/>
  <c r="G144" i="136"/>
  <c r="F144" i="136"/>
  <c r="P143" i="136"/>
  <c r="O143" i="136"/>
  <c r="N143" i="136"/>
  <c r="M143" i="136"/>
  <c r="L143" i="136"/>
  <c r="K143" i="136"/>
  <c r="J143" i="136"/>
  <c r="I143" i="136"/>
  <c r="H143" i="136"/>
  <c r="G143" i="136"/>
  <c r="F143" i="136"/>
  <c r="Q142" i="136"/>
  <c r="Q141" i="136"/>
  <c r="Q140" i="136"/>
  <c r="Q139" i="136"/>
  <c r="Q138" i="136"/>
  <c r="Q137" i="136"/>
  <c r="Q136" i="136"/>
  <c r="Q135" i="136"/>
  <c r="Q134" i="136"/>
  <c r="P133" i="136"/>
  <c r="O133" i="136"/>
  <c r="N133" i="136"/>
  <c r="M133" i="136"/>
  <c r="L133" i="136"/>
  <c r="J133" i="136"/>
  <c r="I133" i="136"/>
  <c r="H133" i="136"/>
  <c r="Q132" i="136"/>
  <c r="G132" i="136"/>
  <c r="F132" i="136"/>
  <c r="Q131" i="136"/>
  <c r="G131" i="136"/>
  <c r="F131" i="136"/>
  <c r="P130" i="136"/>
  <c r="O130" i="136"/>
  <c r="N130" i="136"/>
  <c r="M130" i="136"/>
  <c r="L130" i="136"/>
  <c r="J130" i="136"/>
  <c r="I130" i="136"/>
  <c r="H130" i="136"/>
  <c r="Q129" i="136"/>
  <c r="G129" i="136"/>
  <c r="F129" i="136"/>
  <c r="K129" i="136" s="1"/>
  <c r="Q128" i="136"/>
  <c r="G128" i="136"/>
  <c r="G130" i="136" s="1"/>
  <c r="F128" i="136"/>
  <c r="P127" i="136"/>
  <c r="O127" i="136"/>
  <c r="N127" i="136"/>
  <c r="M127" i="136"/>
  <c r="L127" i="136"/>
  <c r="J127" i="136"/>
  <c r="I127" i="136"/>
  <c r="H127" i="136"/>
  <c r="Q126" i="136"/>
  <c r="G126" i="136"/>
  <c r="F126" i="136"/>
  <c r="Q125" i="136"/>
  <c r="G125" i="136"/>
  <c r="G127" i="136" s="1"/>
  <c r="F125" i="136"/>
  <c r="P124" i="136"/>
  <c r="O124" i="136"/>
  <c r="N124" i="136"/>
  <c r="M124" i="136"/>
  <c r="L124" i="136"/>
  <c r="J124" i="136"/>
  <c r="I124" i="136"/>
  <c r="H124" i="136"/>
  <c r="Q123" i="136"/>
  <c r="G123" i="136"/>
  <c r="F123" i="136"/>
  <c r="Q122" i="136"/>
  <c r="G122" i="136"/>
  <c r="F122" i="136"/>
  <c r="P121" i="136"/>
  <c r="O121" i="136"/>
  <c r="N121" i="136"/>
  <c r="M121" i="136"/>
  <c r="L121" i="136"/>
  <c r="J121" i="136"/>
  <c r="I121" i="136"/>
  <c r="H121" i="136"/>
  <c r="G121" i="136"/>
  <c r="F121" i="136"/>
  <c r="Q120" i="136"/>
  <c r="K120" i="136"/>
  <c r="Q119" i="136"/>
  <c r="K119" i="136"/>
  <c r="Q118" i="136"/>
  <c r="K118" i="136"/>
  <c r="Q117" i="136"/>
  <c r="K117" i="136"/>
  <c r="Q116" i="136"/>
  <c r="K116" i="136"/>
  <c r="Q115" i="136"/>
  <c r="K115" i="136"/>
  <c r="Q114" i="136"/>
  <c r="K114" i="136"/>
  <c r="Q113" i="136"/>
  <c r="K113" i="136"/>
  <c r="A113" i="136"/>
  <c r="A114" i="136" s="1"/>
  <c r="A115" i="136" s="1"/>
  <c r="A116" i="136" s="1"/>
  <c r="A117" i="136" s="1"/>
  <c r="A118" i="136" s="1"/>
  <c r="A119" i="136" s="1"/>
  <c r="A120" i="136" s="1"/>
  <c r="Q112" i="136"/>
  <c r="K112" i="136"/>
  <c r="P111" i="136"/>
  <c r="O111" i="136"/>
  <c r="N111" i="136"/>
  <c r="M111" i="136"/>
  <c r="L111" i="136"/>
  <c r="J111" i="136"/>
  <c r="I111" i="136"/>
  <c r="H111" i="136"/>
  <c r="Q110" i="136"/>
  <c r="G110" i="136"/>
  <c r="F110" i="136"/>
  <c r="Q109" i="136"/>
  <c r="G109" i="136"/>
  <c r="F109" i="136"/>
  <c r="K109" i="136" s="1"/>
  <c r="P108" i="136"/>
  <c r="O108" i="136"/>
  <c r="N108" i="136"/>
  <c r="M108" i="136"/>
  <c r="L108" i="136"/>
  <c r="J108" i="136"/>
  <c r="I108" i="136"/>
  <c r="H108" i="136"/>
  <c r="Q107" i="136"/>
  <c r="G107" i="136"/>
  <c r="F107" i="136"/>
  <c r="Q106" i="136"/>
  <c r="G106" i="136"/>
  <c r="F106" i="136"/>
  <c r="P105" i="136"/>
  <c r="O105" i="136"/>
  <c r="N105" i="136"/>
  <c r="M105" i="136"/>
  <c r="L105" i="136"/>
  <c r="J105" i="136"/>
  <c r="I105" i="136"/>
  <c r="I168" i="136" s="1"/>
  <c r="H105" i="136"/>
  <c r="G105" i="136"/>
  <c r="F105" i="136"/>
  <c r="Q104" i="136"/>
  <c r="K104" i="136"/>
  <c r="Q103" i="136"/>
  <c r="K103" i="136"/>
  <c r="Q102" i="136"/>
  <c r="K102" i="136"/>
  <c r="Q101" i="136"/>
  <c r="K101" i="136"/>
  <c r="Q100" i="136"/>
  <c r="K100" i="136"/>
  <c r="P99" i="136"/>
  <c r="O99" i="136"/>
  <c r="N99" i="136"/>
  <c r="M99" i="136"/>
  <c r="L99" i="136"/>
  <c r="J99" i="136"/>
  <c r="I99" i="136"/>
  <c r="H99" i="136"/>
  <c r="F99" i="136"/>
  <c r="Q98" i="136"/>
  <c r="G98" i="136"/>
  <c r="G99" i="136" s="1"/>
  <c r="F98" i="136"/>
  <c r="Q97" i="136"/>
  <c r="P96" i="136"/>
  <c r="O96" i="136"/>
  <c r="N96" i="136"/>
  <c r="M96" i="136"/>
  <c r="L96" i="136"/>
  <c r="J96" i="136"/>
  <c r="I96" i="136"/>
  <c r="H96" i="136"/>
  <c r="F96" i="136"/>
  <c r="Q95" i="136"/>
  <c r="G95" i="136"/>
  <c r="F95" i="136"/>
  <c r="Q94" i="136"/>
  <c r="G94" i="136"/>
  <c r="F94" i="136"/>
  <c r="K94" i="136" s="1"/>
  <c r="P93" i="136"/>
  <c r="O93" i="136"/>
  <c r="N93" i="136"/>
  <c r="M93" i="136"/>
  <c r="L93" i="136"/>
  <c r="J93" i="136"/>
  <c r="I93" i="136"/>
  <c r="H93" i="136"/>
  <c r="G93" i="136"/>
  <c r="F93" i="136"/>
  <c r="Q92" i="136"/>
  <c r="K92" i="136"/>
  <c r="Q91" i="136"/>
  <c r="K91" i="136"/>
  <c r="K93" i="136" s="1"/>
  <c r="P90" i="136"/>
  <c r="O90" i="136"/>
  <c r="N90" i="136"/>
  <c r="M90" i="136"/>
  <c r="L90" i="136"/>
  <c r="J90" i="136"/>
  <c r="I90" i="136"/>
  <c r="H90" i="136"/>
  <c r="G90" i="136"/>
  <c r="F90" i="136"/>
  <c r="Q89" i="136"/>
  <c r="K89" i="136"/>
  <c r="Q88" i="136"/>
  <c r="K88" i="136"/>
  <c r="Q87" i="136"/>
  <c r="Q86" i="136"/>
  <c r="K86" i="136"/>
  <c r="Q85" i="136"/>
  <c r="K85" i="136"/>
  <c r="Q84" i="136"/>
  <c r="K84" i="136"/>
  <c r="Q83" i="136"/>
  <c r="K83" i="136"/>
  <c r="Q82" i="136"/>
  <c r="K82" i="136"/>
  <c r="A82" i="136"/>
  <c r="A83" i="136" s="1"/>
  <c r="A84" i="136" s="1"/>
  <c r="A85" i="136" s="1"/>
  <c r="A86" i="136" s="1"/>
  <c r="A87" i="136" s="1"/>
  <c r="A88" i="136" s="1"/>
  <c r="A89" i="136" s="1"/>
  <c r="Q81" i="136"/>
  <c r="K81" i="136"/>
  <c r="Q80" i="136"/>
  <c r="K80" i="136"/>
  <c r="Q79" i="136"/>
  <c r="K79" i="136"/>
  <c r="Q78" i="136"/>
  <c r="K78" i="136"/>
  <c r="Q77" i="136"/>
  <c r="K77" i="136"/>
  <c r="A77" i="136"/>
  <c r="A78" i="136" s="1"/>
  <c r="A79" i="136" s="1"/>
  <c r="A80" i="136" s="1"/>
  <c r="A81" i="136" s="1"/>
  <c r="Q76" i="136"/>
  <c r="K76" i="136"/>
  <c r="P75" i="136"/>
  <c r="O75" i="136"/>
  <c r="N75" i="136"/>
  <c r="M75" i="136"/>
  <c r="L75" i="136"/>
  <c r="K75" i="136"/>
  <c r="J75" i="136"/>
  <c r="I75" i="136"/>
  <c r="H75" i="136"/>
  <c r="G75" i="136"/>
  <c r="F75" i="136"/>
  <c r="Q74" i="136"/>
  <c r="K74" i="136"/>
  <c r="Q73" i="136"/>
  <c r="K73" i="136"/>
  <c r="Q72" i="136"/>
  <c r="K72" i="136"/>
  <c r="Q71" i="136"/>
  <c r="K71" i="136"/>
  <c r="Q70" i="136"/>
  <c r="K70" i="136"/>
  <c r="Q69" i="136"/>
  <c r="K69" i="136"/>
  <c r="P68" i="136"/>
  <c r="O68" i="136"/>
  <c r="N68" i="136"/>
  <c r="M68" i="136"/>
  <c r="L68" i="136"/>
  <c r="J68" i="136"/>
  <c r="I68" i="136"/>
  <c r="H68" i="136"/>
  <c r="G68" i="136"/>
  <c r="F68" i="136"/>
  <c r="Q66" i="136"/>
  <c r="Q65" i="136"/>
  <c r="Q64" i="136"/>
  <c r="Q63" i="136"/>
  <c r="Q62" i="136"/>
  <c r="Q61" i="136"/>
  <c r="A61" i="136"/>
  <c r="A62" i="136" s="1"/>
  <c r="A63" i="136" s="1"/>
  <c r="A64" i="136" s="1"/>
  <c r="A65" i="136" s="1"/>
  <c r="A66" i="136" s="1"/>
  <c r="A67" i="136" s="1"/>
  <c r="Q60" i="136"/>
  <c r="A60" i="136"/>
  <c r="Q59" i="136"/>
  <c r="Q58" i="136"/>
  <c r="Q57" i="136"/>
  <c r="K57" i="136"/>
  <c r="Q56" i="136"/>
  <c r="K56" i="136"/>
  <c r="Q55" i="136"/>
  <c r="K55" i="136"/>
  <c r="Q54" i="136"/>
  <c r="K54" i="136"/>
  <c r="Q53" i="136"/>
  <c r="K53" i="136"/>
  <c r="Q52" i="136"/>
  <c r="K52" i="136"/>
  <c r="Q51" i="136"/>
  <c r="K51" i="136"/>
  <c r="Q50" i="136"/>
  <c r="K50" i="136"/>
  <c r="Q49" i="136"/>
  <c r="K49" i="136"/>
  <c r="Q48" i="136"/>
  <c r="K48" i="136"/>
  <c r="Q47" i="136"/>
  <c r="K47" i="136"/>
  <c r="Q46" i="136"/>
  <c r="K46" i="136"/>
  <c r="A46" i="136"/>
  <c r="A47" i="136" s="1"/>
  <c r="A48" i="136" s="1"/>
  <c r="A49" i="136" s="1"/>
  <c r="A50" i="136" s="1"/>
  <c r="A51" i="136" s="1"/>
  <c r="A52" i="136" s="1"/>
  <c r="A53" i="136" s="1"/>
  <c r="A54" i="136" s="1"/>
  <c r="A55" i="136" s="1"/>
  <c r="A56" i="136" s="1"/>
  <c r="A57" i="136" s="1"/>
  <c r="A58" i="136" s="1"/>
  <c r="A59" i="136" s="1"/>
  <c r="Q45" i="136"/>
  <c r="K45" i="136"/>
  <c r="Q44" i="136"/>
  <c r="K44" i="136"/>
  <c r="A44" i="136"/>
  <c r="A45" i="136" s="1"/>
  <c r="Q43" i="136"/>
  <c r="K43" i="136"/>
  <c r="A43" i="136"/>
  <c r="Q42" i="136"/>
  <c r="K42" i="136"/>
  <c r="P41" i="136"/>
  <c r="O41" i="136"/>
  <c r="N41" i="136"/>
  <c r="M41" i="136"/>
  <c r="L41" i="136"/>
  <c r="J41" i="136"/>
  <c r="I41" i="136"/>
  <c r="H41" i="136"/>
  <c r="G41" i="136"/>
  <c r="Q40" i="136"/>
  <c r="G40" i="136"/>
  <c r="F40" i="136"/>
  <c r="K40" i="136" s="1"/>
  <c r="Q39" i="136"/>
  <c r="G39" i="136"/>
  <c r="F39" i="136"/>
  <c r="K39" i="136" s="1"/>
  <c r="P38" i="136"/>
  <c r="O38" i="136"/>
  <c r="N38" i="136"/>
  <c r="M38" i="136"/>
  <c r="L38" i="136"/>
  <c r="J38" i="136"/>
  <c r="I38" i="136"/>
  <c r="H38" i="136"/>
  <c r="G38" i="136"/>
  <c r="F38" i="136"/>
  <c r="Q37" i="136"/>
  <c r="K37" i="136"/>
  <c r="Q36" i="136"/>
  <c r="K36" i="136"/>
  <c r="Q35" i="136"/>
  <c r="K35" i="136"/>
  <c r="Q34" i="136"/>
  <c r="K34" i="136"/>
  <c r="Q33" i="136"/>
  <c r="K33" i="136"/>
  <c r="Q32" i="136"/>
  <c r="K32" i="136"/>
  <c r="Q31" i="136"/>
  <c r="K31" i="136"/>
  <c r="A31" i="136"/>
  <c r="A32" i="136" s="1"/>
  <c r="A33" i="136" s="1"/>
  <c r="A34" i="136" s="1"/>
  <c r="A35" i="136" s="1"/>
  <c r="A36" i="136" s="1"/>
  <c r="A37" i="136" s="1"/>
  <c r="Q30" i="136"/>
  <c r="K30" i="136"/>
  <c r="Q29" i="136"/>
  <c r="K29" i="136"/>
  <c r="Q28" i="136"/>
  <c r="K28" i="136"/>
  <c r="Q27" i="136"/>
  <c r="K27" i="136"/>
  <c r="Q26" i="136"/>
  <c r="K26" i="136"/>
  <c r="Q25" i="136"/>
  <c r="K25" i="136"/>
  <c r="Q24" i="136"/>
  <c r="K24" i="136"/>
  <c r="Q23" i="136"/>
  <c r="K23" i="136"/>
  <c r="A23" i="136"/>
  <c r="A24" i="136" s="1"/>
  <c r="A25" i="136" s="1"/>
  <c r="A26" i="136" s="1"/>
  <c r="A27" i="136" s="1"/>
  <c r="A28" i="136" s="1"/>
  <c r="A29" i="136" s="1"/>
  <c r="A30" i="136" s="1"/>
  <c r="Q22" i="136"/>
  <c r="K22" i="136"/>
  <c r="P21" i="136"/>
  <c r="O21" i="136"/>
  <c r="N21" i="136"/>
  <c r="M21" i="136"/>
  <c r="L21" i="136"/>
  <c r="J21" i="136"/>
  <c r="I21" i="136"/>
  <c r="H21" i="136"/>
  <c r="G21" i="136"/>
  <c r="Q20" i="136"/>
  <c r="K20" i="136"/>
  <c r="K21" i="136" s="1"/>
  <c r="G20" i="136"/>
  <c r="F20" i="136"/>
  <c r="Q19" i="136"/>
  <c r="G19" i="136"/>
  <c r="K19" i="136" s="1"/>
  <c r="F19" i="136"/>
  <c r="F21" i="136" s="1"/>
  <c r="P18" i="136"/>
  <c r="O18" i="136"/>
  <c r="N18" i="136"/>
  <c r="M18" i="136"/>
  <c r="L18" i="136"/>
  <c r="J18" i="136"/>
  <c r="I18" i="136"/>
  <c r="H18" i="136"/>
  <c r="G18" i="136"/>
  <c r="Q17" i="136"/>
  <c r="G17" i="136"/>
  <c r="F17" i="136"/>
  <c r="K17" i="136" s="1"/>
  <c r="Q16" i="136"/>
  <c r="G16" i="136"/>
  <c r="F16" i="136"/>
  <c r="P15" i="136"/>
  <c r="O15" i="136"/>
  <c r="N15" i="136"/>
  <c r="M15" i="136"/>
  <c r="L15" i="136"/>
  <c r="J15" i="136"/>
  <c r="I15" i="136"/>
  <c r="H15" i="136"/>
  <c r="G15" i="136"/>
  <c r="Q14" i="136"/>
  <c r="G14" i="136"/>
  <c r="F14" i="136"/>
  <c r="K14" i="136" s="1"/>
  <c r="Q13" i="136"/>
  <c r="G13" i="136"/>
  <c r="F13" i="136"/>
  <c r="P12" i="136"/>
  <c r="O12" i="136"/>
  <c r="N12" i="136"/>
  <c r="M12" i="136"/>
  <c r="L12" i="136"/>
  <c r="J12" i="136"/>
  <c r="I12" i="136"/>
  <c r="H12" i="136"/>
  <c r="Q11" i="136"/>
  <c r="K11" i="136"/>
  <c r="G11" i="136"/>
  <c r="F11" i="136"/>
  <c r="Q10" i="136"/>
  <c r="K10" i="136"/>
  <c r="G10" i="136"/>
  <c r="G12" i="136" s="1"/>
  <c r="F10" i="136"/>
  <c r="F12" i="136" s="1"/>
  <c r="D270" i="135"/>
  <c r="D269" i="135"/>
  <c r="D268" i="135"/>
  <c r="D267" i="135"/>
  <c r="D266" i="135"/>
  <c r="D265" i="135"/>
  <c r="D264" i="135"/>
  <c r="C264" i="135"/>
  <c r="D263" i="135"/>
  <c r="D262" i="135"/>
  <c r="D261" i="135"/>
  <c r="D260" i="135"/>
  <c r="D259" i="135"/>
  <c r="D258" i="135"/>
  <c r="D257" i="135"/>
  <c r="D256" i="135"/>
  <c r="D255" i="135"/>
  <c r="D254" i="135"/>
  <c r="D253" i="135"/>
  <c r="A253" i="135"/>
  <c r="D252" i="135"/>
  <c r="D251" i="135"/>
  <c r="D250" i="135"/>
  <c r="D249" i="135"/>
  <c r="D248" i="135"/>
  <c r="D247" i="135"/>
  <c r="D246" i="135"/>
  <c r="D245" i="135"/>
  <c r="D244" i="135"/>
  <c r="D243" i="135"/>
  <c r="D242" i="135"/>
  <c r="D241" i="135"/>
  <c r="D240" i="135"/>
  <c r="D239" i="135"/>
  <c r="D238" i="135"/>
  <c r="D237" i="135"/>
  <c r="D236" i="135"/>
  <c r="D235" i="135"/>
  <c r="D234" i="135"/>
  <c r="D233" i="135"/>
  <c r="D232" i="135"/>
  <c r="D231" i="135"/>
  <c r="D230" i="135"/>
  <c r="D229" i="135"/>
  <c r="D228" i="135"/>
  <c r="D227" i="135"/>
  <c r="D226" i="135"/>
  <c r="D225" i="135"/>
  <c r="D224" i="135"/>
  <c r="D223" i="135"/>
  <c r="D222" i="135"/>
  <c r="D221" i="135"/>
  <c r="D220" i="135"/>
  <c r="D219" i="135"/>
  <c r="D218" i="135"/>
  <c r="D217" i="135"/>
  <c r="D216" i="135"/>
  <c r="D215" i="135"/>
  <c r="D214" i="135"/>
  <c r="D213" i="135"/>
  <c r="D212" i="135"/>
  <c r="D211" i="135"/>
  <c r="D210" i="135"/>
  <c r="D209" i="135"/>
  <c r="D208" i="135"/>
  <c r="D207" i="135"/>
  <c r="D206" i="135"/>
  <c r="D205" i="135"/>
  <c r="D204" i="135"/>
  <c r="D203" i="135"/>
  <c r="D202" i="135"/>
  <c r="D201" i="135"/>
  <c r="D200" i="135"/>
  <c r="D199" i="135"/>
  <c r="D198" i="135"/>
  <c r="D197" i="135"/>
  <c r="D196" i="135"/>
  <c r="D195" i="135"/>
  <c r="D194" i="135"/>
  <c r="D193" i="135"/>
  <c r="D192" i="135"/>
  <c r="D191" i="135"/>
  <c r="D190" i="135"/>
  <c r="D189" i="135"/>
  <c r="D188" i="135"/>
  <c r="D187" i="135"/>
  <c r="D186" i="135"/>
  <c r="D185" i="135"/>
  <c r="D184" i="135"/>
  <c r="D183" i="135"/>
  <c r="D182" i="135"/>
  <c r="D181" i="135"/>
  <c r="D180" i="135"/>
  <c r="D179" i="135"/>
  <c r="D178" i="135"/>
  <c r="D177" i="135"/>
  <c r="D176" i="135"/>
  <c r="D175" i="135"/>
  <c r="D174" i="135"/>
  <c r="D173" i="135"/>
  <c r="D172" i="135"/>
  <c r="D171" i="135"/>
  <c r="D170" i="135"/>
  <c r="D169" i="135"/>
  <c r="D168" i="135"/>
  <c r="D167" i="135"/>
  <c r="D166" i="135"/>
  <c r="D165" i="135"/>
  <c r="D164" i="135"/>
  <c r="D163" i="135"/>
  <c r="D162" i="135"/>
  <c r="D161" i="135"/>
  <c r="D160" i="135"/>
  <c r="D159" i="135"/>
  <c r="D158" i="135"/>
  <c r="D157" i="135"/>
  <c r="D156" i="135"/>
  <c r="D155" i="135"/>
  <c r="D154" i="135"/>
  <c r="D153" i="135"/>
  <c r="D152" i="135"/>
  <c r="D151" i="135"/>
  <c r="D150" i="135"/>
  <c r="D149" i="135"/>
  <c r="D148" i="135"/>
  <c r="D147" i="135"/>
  <c r="D146" i="135"/>
  <c r="D145" i="135"/>
  <c r="D144" i="135"/>
  <c r="D143" i="135"/>
  <c r="D142" i="135"/>
  <c r="D141" i="135"/>
  <c r="D140" i="135"/>
  <c r="D139" i="135"/>
  <c r="D138" i="135"/>
  <c r="D137" i="135"/>
  <c r="D136" i="135"/>
  <c r="D135" i="135"/>
  <c r="D134" i="135"/>
  <c r="D133" i="135"/>
  <c r="D132" i="135"/>
  <c r="D131" i="135"/>
  <c r="D130" i="135"/>
  <c r="D129" i="135"/>
  <c r="D128" i="135"/>
  <c r="D127" i="135"/>
  <c r="D126" i="135"/>
  <c r="D125" i="135"/>
  <c r="D124" i="135"/>
  <c r="D123" i="135"/>
  <c r="D122" i="135"/>
  <c r="D121" i="135"/>
  <c r="D120" i="135"/>
  <c r="D119" i="135"/>
  <c r="D118" i="135"/>
  <c r="D117" i="135"/>
  <c r="D116" i="135"/>
  <c r="D115" i="135"/>
  <c r="D114" i="135"/>
  <c r="D113" i="135"/>
  <c r="D112" i="135"/>
  <c r="D111" i="135"/>
  <c r="D110" i="135"/>
  <c r="D109" i="135"/>
  <c r="D108" i="135"/>
  <c r="D107" i="135"/>
  <c r="D106" i="135"/>
  <c r="D105" i="135"/>
  <c r="D104" i="135"/>
  <c r="D103" i="135"/>
  <c r="D102" i="135"/>
  <c r="D101" i="135"/>
  <c r="D100" i="135"/>
  <c r="D99" i="135"/>
  <c r="D98" i="135"/>
  <c r="D97" i="135"/>
  <c r="D96" i="135"/>
  <c r="D95" i="135"/>
  <c r="D94" i="135"/>
  <c r="D93" i="135"/>
  <c r="D92" i="135"/>
  <c r="D91" i="135"/>
  <c r="D90" i="135"/>
  <c r="D89" i="135"/>
  <c r="D88" i="135"/>
  <c r="D87" i="135"/>
  <c r="D86" i="135"/>
  <c r="D85" i="135"/>
  <c r="D84" i="135"/>
  <c r="D83" i="135"/>
  <c r="D82" i="135"/>
  <c r="D81" i="135"/>
  <c r="D80" i="135"/>
  <c r="D79" i="135"/>
  <c r="D78" i="135"/>
  <c r="D77" i="135"/>
  <c r="D76" i="135"/>
  <c r="D75" i="135"/>
  <c r="D74" i="135"/>
  <c r="D73" i="135"/>
  <c r="D72" i="135"/>
  <c r="D71" i="135"/>
  <c r="D70" i="135"/>
  <c r="D69" i="135"/>
  <c r="D68" i="135"/>
  <c r="D67" i="135"/>
  <c r="D66" i="135"/>
  <c r="D65" i="135"/>
  <c r="D64" i="135"/>
  <c r="D63" i="135"/>
  <c r="D62" i="135"/>
  <c r="D61" i="135"/>
  <c r="D60" i="135"/>
  <c r="D59" i="135"/>
  <c r="D58" i="135"/>
  <c r="D57" i="135"/>
  <c r="D56" i="135"/>
  <c r="D55" i="135"/>
  <c r="D54" i="135"/>
  <c r="D53" i="135"/>
  <c r="D52" i="135"/>
  <c r="D51" i="135"/>
  <c r="D50" i="135"/>
  <c r="D49" i="135"/>
  <c r="D48" i="135"/>
  <c r="D47" i="135"/>
  <c r="D46" i="135"/>
  <c r="D45" i="135"/>
  <c r="D44" i="135"/>
  <c r="D43" i="135"/>
  <c r="D42" i="135"/>
  <c r="D41" i="135"/>
  <c r="D40" i="135"/>
  <c r="D39" i="135"/>
  <c r="D38" i="135"/>
  <c r="D37" i="135"/>
  <c r="D36" i="135"/>
  <c r="D35" i="135"/>
  <c r="D34" i="135"/>
  <c r="D33" i="135"/>
  <c r="D31" i="135"/>
  <c r="D30" i="135"/>
  <c r="D29" i="135"/>
  <c r="D28" i="135"/>
  <c r="D27" i="135"/>
  <c r="D26" i="135"/>
  <c r="D25" i="135"/>
  <c r="A25" i="135"/>
  <c r="A26" i="135" s="1"/>
  <c r="A27" i="135" s="1"/>
  <c r="A28" i="135" s="1"/>
  <c r="A29" i="135" s="1"/>
  <c r="A30" i="135" s="1"/>
  <c r="D24" i="135"/>
  <c r="D23" i="135"/>
  <c r="D22" i="135"/>
  <c r="D21" i="135"/>
  <c r="D20" i="135"/>
  <c r="D19" i="135"/>
  <c r="D18" i="135"/>
  <c r="D17" i="135"/>
  <c r="D16" i="135"/>
  <c r="D15" i="135"/>
  <c r="D14" i="135"/>
  <c r="D13" i="135"/>
  <c r="D12" i="135"/>
  <c r="D11" i="135"/>
  <c r="D10" i="135"/>
  <c r="N89" i="134"/>
  <c r="N88" i="134"/>
  <c r="M88" i="134"/>
  <c r="H88" i="134"/>
  <c r="G88" i="134"/>
  <c r="F88" i="134"/>
  <c r="E88" i="134"/>
  <c r="D88" i="134"/>
  <c r="O87" i="134"/>
  <c r="O86" i="134"/>
  <c r="O85" i="134"/>
  <c r="N83" i="134"/>
  <c r="M83" i="134"/>
  <c r="H83" i="134"/>
  <c r="G83" i="134"/>
  <c r="G89" i="134" s="1"/>
  <c r="F83" i="134"/>
  <c r="E83" i="134"/>
  <c r="D83" i="134"/>
  <c r="O82" i="134"/>
  <c r="O81" i="134"/>
  <c r="O80" i="134"/>
  <c r="N78" i="134"/>
  <c r="M78" i="134"/>
  <c r="M89" i="134" s="1"/>
  <c r="H78" i="134"/>
  <c r="G78" i="134"/>
  <c r="F78" i="134"/>
  <c r="F89" i="134" s="1"/>
  <c r="E78" i="134"/>
  <c r="D78" i="134"/>
  <c r="O77" i="134"/>
  <c r="O76" i="134"/>
  <c r="O75" i="134"/>
  <c r="O74" i="134"/>
  <c r="O73" i="134"/>
  <c r="N73" i="134"/>
  <c r="M73" i="134"/>
  <c r="H73" i="134"/>
  <c r="H89" i="134" s="1"/>
  <c r="G73" i="134"/>
  <c r="F73" i="134"/>
  <c r="E73" i="134"/>
  <c r="E89" i="134" s="1"/>
  <c r="D73" i="134"/>
  <c r="O72" i="134"/>
  <c r="O71" i="134"/>
  <c r="O70" i="134"/>
  <c r="O69" i="134"/>
  <c r="O68" i="134"/>
  <c r="O67" i="134"/>
  <c r="O66" i="134"/>
  <c r="O65" i="134"/>
  <c r="O64" i="134"/>
  <c r="O63" i="134"/>
  <c r="O62" i="134"/>
  <c r="A62" i="134"/>
  <c r="A63" i="134" s="1"/>
  <c r="A64" i="134" s="1"/>
  <c r="A65" i="134" s="1"/>
  <c r="A66" i="134" s="1"/>
  <c r="O61" i="134"/>
  <c r="O60" i="134"/>
  <c r="O59" i="134"/>
  <c r="O58" i="134"/>
  <c r="O57" i="134"/>
  <c r="O56" i="134"/>
  <c r="O55" i="134"/>
  <c r="O54" i="134"/>
  <c r="O53" i="134"/>
  <c r="O52" i="134"/>
  <c r="O51" i="134"/>
  <c r="O50" i="134"/>
  <c r="O49" i="134"/>
  <c r="O48" i="134"/>
  <c r="O47" i="134"/>
  <c r="O46" i="134"/>
  <c r="O45" i="134"/>
  <c r="O44" i="134"/>
  <c r="O43" i="134"/>
  <c r="O42" i="134"/>
  <c r="O41" i="134"/>
  <c r="O40" i="134"/>
  <c r="O39" i="134"/>
  <c r="O38" i="134"/>
  <c r="O37" i="134"/>
  <c r="O36" i="134"/>
  <c r="O35" i="134"/>
  <c r="O34" i="134"/>
  <c r="O33" i="134"/>
  <c r="O32" i="134"/>
  <c r="O31" i="134"/>
  <c r="O30" i="134"/>
  <c r="O29" i="134"/>
  <c r="O28" i="134"/>
  <c r="O27" i="134"/>
  <c r="O26" i="134"/>
  <c r="O25" i="134"/>
  <c r="O24" i="134"/>
  <c r="O23" i="134"/>
  <c r="O22" i="134"/>
  <c r="O21" i="134"/>
  <c r="O20" i="134"/>
  <c r="O19" i="134"/>
  <c r="O18" i="134"/>
  <c r="O17" i="134"/>
  <c r="O16" i="134"/>
  <c r="O15" i="134"/>
  <c r="O14" i="134"/>
  <c r="A14" i="134"/>
  <c r="A15" i="134" s="1"/>
  <c r="A16" i="134" s="1"/>
  <c r="A17" i="134" s="1"/>
  <c r="A18" i="134" s="1"/>
  <c r="A19" i="134" s="1"/>
  <c r="A20" i="134" s="1"/>
  <c r="A21" i="134" s="1"/>
  <c r="A22" i="134" s="1"/>
  <c r="A23" i="134" s="1"/>
  <c r="A24" i="134" s="1"/>
  <c r="A25" i="134" s="1"/>
  <c r="A26" i="134" s="1"/>
  <c r="A27" i="134" s="1"/>
  <c r="A28" i="134" s="1"/>
  <c r="A29" i="134" s="1"/>
  <c r="A34" i="134" s="1"/>
  <c r="A35" i="134" s="1"/>
  <c r="A36" i="134" s="1"/>
  <c r="A37" i="134" s="1"/>
  <c r="A38" i="134" s="1"/>
  <c r="A39" i="134" s="1"/>
  <c r="A40" i="134" s="1"/>
  <c r="A41" i="134" s="1"/>
  <c r="A42" i="134" s="1"/>
  <c r="A43" i="134" s="1"/>
  <c r="A44" i="134" s="1"/>
  <c r="A45" i="134" s="1"/>
  <c r="A46" i="134" s="1"/>
  <c r="A47" i="134" s="1"/>
  <c r="A48" i="134" s="1"/>
  <c r="A49" i="134" s="1"/>
  <c r="A50" i="134" s="1"/>
  <c r="A51" i="134" s="1"/>
  <c r="A52" i="134" s="1"/>
  <c r="A53" i="134" s="1"/>
  <c r="A54" i="134" s="1"/>
  <c r="A55" i="134" s="1"/>
  <c r="A56" i="134" s="1"/>
  <c r="A57" i="134" s="1"/>
  <c r="O13" i="134"/>
  <c r="A13" i="134"/>
  <c r="O12" i="134"/>
  <c r="A12" i="134"/>
  <c r="O11" i="134"/>
  <c r="O10" i="134"/>
  <c r="O9" i="134"/>
  <c r="C28" i="133"/>
  <c r="D27" i="133"/>
  <c r="D26" i="133"/>
  <c r="D25" i="133"/>
  <c r="D24" i="133"/>
  <c r="D23" i="133"/>
  <c r="D22" i="133"/>
  <c r="D21" i="133"/>
  <c r="D20" i="133"/>
  <c r="D19" i="133"/>
  <c r="D18" i="133"/>
  <c r="D17" i="133"/>
  <c r="D16" i="133"/>
  <c r="D15" i="133"/>
  <c r="D14" i="133"/>
  <c r="D13" i="133"/>
  <c r="D12" i="133"/>
  <c r="D11" i="133"/>
  <c r="D10" i="133"/>
  <c r="D9" i="133"/>
  <c r="D8" i="133"/>
  <c r="D7" i="133"/>
  <c r="C32" i="132"/>
  <c r="D30" i="132"/>
  <c r="D29" i="132"/>
  <c r="C26" i="132"/>
  <c r="D25" i="132"/>
  <c r="D21" i="132"/>
  <c r="D20" i="132"/>
  <c r="D16" i="132"/>
  <c r="D15" i="132"/>
  <c r="D11" i="132"/>
  <c r="D10" i="132"/>
  <c r="G23" i="131"/>
  <c r="F23" i="131"/>
  <c r="C23" i="131"/>
  <c r="L21" i="131"/>
  <c r="G18" i="131"/>
  <c r="F18" i="131"/>
  <c r="C18" i="131"/>
  <c r="L17" i="131"/>
  <c r="L16" i="131"/>
  <c r="L15" i="131"/>
  <c r="L14" i="131"/>
  <c r="L13" i="131"/>
  <c r="G11" i="131"/>
  <c r="F11" i="131"/>
  <c r="C11" i="131"/>
  <c r="L10" i="131"/>
  <c r="E28" i="130"/>
  <c r="D27" i="130"/>
  <c r="C26" i="130"/>
  <c r="E25" i="130"/>
  <c r="E24" i="130"/>
  <c r="C24" i="130"/>
  <c r="E23" i="130"/>
  <c r="E22" i="130"/>
  <c r="E21" i="130"/>
  <c r="D20" i="130"/>
  <c r="D29" i="130" s="1"/>
  <c r="C20" i="130"/>
  <c r="E19" i="130"/>
  <c r="E18" i="130"/>
  <c r="E17" i="130"/>
  <c r="E16" i="130"/>
  <c r="E15" i="130"/>
  <c r="E14" i="130"/>
  <c r="E13" i="130"/>
  <c r="G56" i="129"/>
  <c r="F56" i="129"/>
  <c r="E56" i="129"/>
  <c r="C56" i="129"/>
  <c r="H55" i="129"/>
  <c r="G55" i="129"/>
  <c r="H54" i="129"/>
  <c r="G54" i="129"/>
  <c r="H53" i="129"/>
  <c r="G53" i="129"/>
  <c r="H52" i="129"/>
  <c r="G52" i="129"/>
  <c r="H51" i="129"/>
  <c r="G51" i="129"/>
  <c r="H50" i="129"/>
  <c r="G50" i="129"/>
  <c r="H49" i="129"/>
  <c r="G49" i="129"/>
  <c r="H48" i="129"/>
  <c r="G48" i="129"/>
  <c r="H47" i="129"/>
  <c r="G47" i="129"/>
  <c r="H46" i="129"/>
  <c r="G46" i="129"/>
  <c r="H45" i="129"/>
  <c r="G45" i="129"/>
  <c r="H44" i="129"/>
  <c r="G44" i="129"/>
  <c r="H43" i="129"/>
  <c r="G43" i="129"/>
  <c r="H42" i="129"/>
  <c r="G42" i="129"/>
  <c r="H41" i="129"/>
  <c r="G41" i="129"/>
  <c r="H40" i="129"/>
  <c r="G40" i="129"/>
  <c r="H39" i="129"/>
  <c r="G39" i="129"/>
  <c r="H38" i="129"/>
  <c r="G38" i="129"/>
  <c r="H37" i="129"/>
  <c r="G37" i="129"/>
  <c r="H36" i="129"/>
  <c r="G36" i="129"/>
  <c r="H35" i="129"/>
  <c r="G35" i="129"/>
  <c r="H34" i="129"/>
  <c r="G34" i="129"/>
  <c r="H33" i="129"/>
  <c r="G33" i="129"/>
  <c r="H32" i="129"/>
  <c r="G32" i="129"/>
  <c r="H31" i="129"/>
  <c r="G31" i="129"/>
  <c r="H30" i="129"/>
  <c r="G30" i="129"/>
  <c r="H29" i="129"/>
  <c r="G29" i="129"/>
  <c r="H28" i="129"/>
  <c r="G28" i="129"/>
  <c r="H27" i="129"/>
  <c r="G27" i="129"/>
  <c r="H26" i="129"/>
  <c r="G26" i="129"/>
  <c r="H25" i="129"/>
  <c r="G25" i="129"/>
  <c r="H24" i="129"/>
  <c r="G24" i="129"/>
  <c r="H23" i="129"/>
  <c r="G23" i="129"/>
  <c r="H22" i="129"/>
  <c r="G22" i="129"/>
  <c r="H21" i="129"/>
  <c r="G21" i="129"/>
  <c r="H20" i="129"/>
  <c r="G20" i="129"/>
  <c r="H19" i="129"/>
  <c r="G19" i="129"/>
  <c r="H18" i="129"/>
  <c r="G18" i="129"/>
  <c r="H17" i="129"/>
  <c r="G17" i="129"/>
  <c r="H16" i="129"/>
  <c r="G16" i="129"/>
  <c r="H15" i="129"/>
  <c r="G15" i="129"/>
  <c r="H14" i="129"/>
  <c r="G14" i="129"/>
  <c r="H13" i="129"/>
  <c r="G13" i="129"/>
  <c r="H12" i="129"/>
  <c r="G12" i="129"/>
  <c r="H11" i="129"/>
  <c r="G11" i="129"/>
  <c r="H10" i="129"/>
  <c r="G10" i="129"/>
  <c r="F60" i="128"/>
  <c r="D60" i="128"/>
  <c r="C58" i="128"/>
  <c r="C57" i="128"/>
  <c r="C55" i="128"/>
  <c r="H54" i="128"/>
  <c r="H53" i="128"/>
  <c r="H52" i="128"/>
  <c r="H51" i="128"/>
  <c r="H50" i="128"/>
  <c r="H49" i="128"/>
  <c r="H48" i="128"/>
  <c r="H47" i="128"/>
  <c r="H46" i="128"/>
  <c r="H45" i="128"/>
  <c r="H44" i="128"/>
  <c r="H43" i="128"/>
  <c r="G43" i="128"/>
  <c r="H42" i="128"/>
  <c r="G42" i="128"/>
  <c r="H41" i="128"/>
  <c r="G41" i="128"/>
  <c r="H40" i="128"/>
  <c r="G40" i="128"/>
  <c r="H39" i="128"/>
  <c r="G39" i="128"/>
  <c r="H38" i="128"/>
  <c r="G38" i="128"/>
  <c r="H37" i="128"/>
  <c r="G37" i="128"/>
  <c r="H36" i="128"/>
  <c r="G36" i="128"/>
  <c r="H35" i="128"/>
  <c r="G35" i="128"/>
  <c r="H34" i="128"/>
  <c r="G34" i="128"/>
  <c r="H33" i="128"/>
  <c r="G33" i="128"/>
  <c r="H32" i="128"/>
  <c r="G32" i="128"/>
  <c r="H31" i="128"/>
  <c r="G31" i="128"/>
  <c r="H30" i="128"/>
  <c r="G30" i="128"/>
  <c r="H29" i="128"/>
  <c r="G29" i="128"/>
  <c r="H28" i="128"/>
  <c r="G28" i="128"/>
  <c r="H27" i="128"/>
  <c r="G27" i="128"/>
  <c r="H26" i="128"/>
  <c r="G26" i="128"/>
  <c r="H25" i="128"/>
  <c r="G25" i="128"/>
  <c r="H24" i="128"/>
  <c r="G24" i="128"/>
  <c r="H23" i="128"/>
  <c r="G23" i="128"/>
  <c r="H22" i="128"/>
  <c r="G22" i="128"/>
  <c r="H21" i="128"/>
  <c r="G21" i="128"/>
  <c r="H20" i="128"/>
  <c r="G20" i="128"/>
  <c r="H19" i="128"/>
  <c r="G19" i="128"/>
  <c r="H18" i="128"/>
  <c r="G18" i="128"/>
  <c r="H17" i="128"/>
  <c r="G17" i="128"/>
  <c r="H16" i="128"/>
  <c r="G16" i="128"/>
  <c r="H15" i="128"/>
  <c r="G15" i="128"/>
  <c r="H14" i="128"/>
  <c r="G14" i="128"/>
  <c r="H13" i="128"/>
  <c r="G13" i="128"/>
  <c r="H12" i="128"/>
  <c r="G12" i="128"/>
  <c r="H11" i="128"/>
  <c r="G11" i="128"/>
  <c r="H10" i="128"/>
  <c r="G10" i="128"/>
  <c r="H9" i="128"/>
  <c r="G9" i="128"/>
  <c r="G58" i="128" s="1"/>
  <c r="G67" i="127"/>
  <c r="F67" i="127"/>
  <c r="E67" i="127"/>
  <c r="C67" i="127"/>
  <c r="H65" i="127"/>
  <c r="H64" i="127"/>
  <c r="H63" i="127"/>
  <c r="H62" i="127"/>
  <c r="A62" i="127"/>
  <c r="A63" i="127" s="1"/>
  <c r="A64" i="127" s="1"/>
  <c r="A65" i="127" s="1"/>
  <c r="A66" i="127" s="1"/>
  <c r="H61" i="127"/>
  <c r="H60" i="127"/>
  <c r="H59" i="127"/>
  <c r="H58" i="127"/>
  <c r="H57" i="127"/>
  <c r="H56" i="127"/>
  <c r="A56" i="127"/>
  <c r="A57" i="127" s="1"/>
  <c r="A58" i="127" s="1"/>
  <c r="A59" i="127" s="1"/>
  <c r="A60" i="127" s="1"/>
  <c r="A61" i="127" s="1"/>
  <c r="H55" i="127"/>
  <c r="H54" i="127"/>
  <c r="H53" i="127"/>
  <c r="H52" i="127"/>
  <c r="H51" i="127"/>
  <c r="H50" i="127"/>
  <c r="A50" i="127"/>
  <c r="A51" i="127" s="1"/>
  <c r="A52" i="127" s="1"/>
  <c r="A53" i="127" s="1"/>
  <c r="A54" i="127" s="1"/>
  <c r="A55" i="127" s="1"/>
  <c r="H49" i="127"/>
  <c r="H48" i="127"/>
  <c r="H47" i="127"/>
  <c r="H46" i="127"/>
  <c r="H45" i="127"/>
  <c r="H44" i="127"/>
  <c r="H43" i="127"/>
  <c r="H42" i="127"/>
  <c r="H41" i="127"/>
  <c r="H40" i="127"/>
  <c r="H39" i="127"/>
  <c r="H38" i="127"/>
  <c r="H37" i="127"/>
  <c r="H36" i="127"/>
  <c r="H35" i="127"/>
  <c r="H34" i="127"/>
  <c r="H33" i="127"/>
  <c r="H32" i="127"/>
  <c r="H31" i="127"/>
  <c r="H30" i="127"/>
  <c r="H29" i="127"/>
  <c r="H28" i="127"/>
  <c r="H27" i="127"/>
  <c r="H26" i="127"/>
  <c r="H25" i="127"/>
  <c r="H24" i="127"/>
  <c r="H23" i="127"/>
  <c r="H22" i="127"/>
  <c r="H21" i="127"/>
  <c r="H20" i="127"/>
  <c r="H19" i="127"/>
  <c r="H18" i="127"/>
  <c r="H17" i="127"/>
  <c r="H16" i="127"/>
  <c r="H15" i="127"/>
  <c r="H14" i="127"/>
  <c r="H13" i="127"/>
  <c r="H12" i="127"/>
  <c r="H11" i="127"/>
  <c r="H10" i="127"/>
  <c r="H9" i="127"/>
  <c r="G104" i="126"/>
  <c r="F104" i="126"/>
  <c r="D104" i="126"/>
  <c r="C104" i="126"/>
  <c r="H103" i="126"/>
  <c r="H102" i="126"/>
  <c r="H101" i="126"/>
  <c r="H100" i="126"/>
  <c r="H99" i="126"/>
  <c r="H98" i="126"/>
  <c r="H97" i="126"/>
  <c r="H96" i="126"/>
  <c r="H95" i="126"/>
  <c r="H94" i="126"/>
  <c r="H93" i="126"/>
  <c r="H92" i="126"/>
  <c r="H91" i="126"/>
  <c r="H90" i="126"/>
  <c r="H89" i="126"/>
  <c r="H88" i="126"/>
  <c r="H87" i="126"/>
  <c r="H86" i="126"/>
  <c r="H85" i="126"/>
  <c r="H84" i="126"/>
  <c r="H83" i="126"/>
  <c r="H82" i="126"/>
  <c r="H81" i="126"/>
  <c r="H80" i="126"/>
  <c r="H79" i="126"/>
  <c r="H78" i="126"/>
  <c r="H77" i="126"/>
  <c r="H76" i="126"/>
  <c r="H75" i="126"/>
  <c r="H74" i="126"/>
  <c r="H73" i="126"/>
  <c r="H72" i="126"/>
  <c r="H71" i="126"/>
  <c r="H70" i="126"/>
  <c r="H69" i="126"/>
  <c r="H68" i="126"/>
  <c r="H67" i="126"/>
  <c r="H66" i="126"/>
  <c r="H65" i="126"/>
  <c r="H64" i="126"/>
  <c r="H63" i="126"/>
  <c r="H62" i="126"/>
  <c r="H61" i="126"/>
  <c r="H60" i="126"/>
  <c r="H59" i="126"/>
  <c r="H58" i="126"/>
  <c r="H57" i="126"/>
  <c r="H56" i="126"/>
  <c r="H55" i="126"/>
  <c r="H54" i="126"/>
  <c r="H53" i="126"/>
  <c r="H52" i="126"/>
  <c r="H51" i="126"/>
  <c r="H50" i="126"/>
  <c r="H49" i="126"/>
  <c r="H48" i="126"/>
  <c r="H47" i="126"/>
  <c r="H46" i="126"/>
  <c r="H45" i="126"/>
  <c r="H44" i="126"/>
  <c r="H43" i="126"/>
  <c r="H42" i="126"/>
  <c r="H41" i="126"/>
  <c r="H40" i="126"/>
  <c r="H39" i="126"/>
  <c r="H38" i="126"/>
  <c r="H37" i="126"/>
  <c r="H36" i="126"/>
  <c r="H35" i="126"/>
  <c r="H34" i="126"/>
  <c r="H33" i="126"/>
  <c r="H32" i="126"/>
  <c r="H31" i="126"/>
  <c r="H30" i="126"/>
  <c r="H29" i="126"/>
  <c r="H28" i="126"/>
  <c r="H27" i="126"/>
  <c r="H26" i="126"/>
  <c r="H25" i="126"/>
  <c r="H24" i="126"/>
  <c r="H23" i="126"/>
  <c r="H22" i="126"/>
  <c r="H21" i="126"/>
  <c r="H20" i="126"/>
  <c r="H19" i="126"/>
  <c r="H18" i="126"/>
  <c r="H17" i="126"/>
  <c r="H16" i="126"/>
  <c r="H15" i="126"/>
  <c r="H14" i="126"/>
  <c r="A14" i="126"/>
  <c r="A15" i="126" s="1"/>
  <c r="A16" i="126" s="1"/>
  <c r="A17" i="126" s="1"/>
  <c r="A18" i="126" s="1"/>
  <c r="A19" i="126" s="1"/>
  <c r="A20" i="126" s="1"/>
  <c r="A21" i="126" s="1"/>
  <c r="A22" i="126" s="1"/>
  <c r="A23" i="126" s="1"/>
  <c r="A24" i="126" s="1"/>
  <c r="A25" i="126" s="1"/>
  <c r="A26" i="126" s="1"/>
  <c r="A27" i="126" s="1"/>
  <c r="A28" i="126" s="1"/>
  <c r="A29" i="126" s="1"/>
  <c r="A30" i="126" s="1"/>
  <c r="A31" i="126" s="1"/>
  <c r="A32" i="126" s="1"/>
  <c r="A33" i="126" s="1"/>
  <c r="A34" i="126" s="1"/>
  <c r="A35" i="126" s="1"/>
  <c r="A36" i="126" s="1"/>
  <c r="A37" i="126" s="1"/>
  <c r="A38" i="126" s="1"/>
  <c r="A39" i="126" s="1"/>
  <c r="A40" i="126" s="1"/>
  <c r="A41" i="126" s="1"/>
  <c r="A42" i="126" s="1"/>
  <c r="A43" i="126" s="1"/>
  <c r="A44" i="126" s="1"/>
  <c r="A45" i="126" s="1"/>
  <c r="A46" i="126" s="1"/>
  <c r="A47" i="126" s="1"/>
  <c r="A48" i="126" s="1"/>
  <c r="A49" i="126" s="1"/>
  <c r="A50" i="126" s="1"/>
  <c r="A51" i="126" s="1"/>
  <c r="A52" i="126" s="1"/>
  <c r="A53" i="126" s="1"/>
  <c r="A54" i="126" s="1"/>
  <c r="A55" i="126" s="1"/>
  <c r="A56" i="126" s="1"/>
  <c r="A57" i="126" s="1"/>
  <c r="A58" i="126" s="1"/>
  <c r="A59" i="126" s="1"/>
  <c r="A60" i="126" s="1"/>
  <c r="A61" i="126" s="1"/>
  <c r="A62" i="126" s="1"/>
  <c r="A63" i="126" s="1"/>
  <c r="A64" i="126" s="1"/>
  <c r="A65" i="126" s="1"/>
  <c r="A66" i="126" s="1"/>
  <c r="A67" i="126" s="1"/>
  <c r="A68" i="126" s="1"/>
  <c r="A69" i="126" s="1"/>
  <c r="A70" i="126" s="1"/>
  <c r="A71" i="126" s="1"/>
  <c r="A72" i="126" s="1"/>
  <c r="A73" i="126" s="1"/>
  <c r="A74" i="126" s="1"/>
  <c r="A75" i="126" s="1"/>
  <c r="A76" i="126" s="1"/>
  <c r="A77" i="126" s="1"/>
  <c r="A78" i="126" s="1"/>
  <c r="A79" i="126" s="1"/>
  <c r="A80" i="126" s="1"/>
  <c r="A81" i="126" s="1"/>
  <c r="A82" i="126" s="1"/>
  <c r="A83" i="126" s="1"/>
  <c r="A84" i="126" s="1"/>
  <c r="A85" i="126" s="1"/>
  <c r="A86" i="126" s="1"/>
  <c r="A87" i="126" s="1"/>
  <c r="A88" i="126" s="1"/>
  <c r="A89" i="126" s="1"/>
  <c r="A90" i="126" s="1"/>
  <c r="A91" i="126" s="1"/>
  <c r="A92" i="126" s="1"/>
  <c r="A93" i="126" s="1"/>
  <c r="A94" i="126" s="1"/>
  <c r="A95" i="126" s="1"/>
  <c r="A96" i="126" s="1"/>
  <c r="A97" i="126" s="1"/>
  <c r="A98" i="126" s="1"/>
  <c r="A99" i="126" s="1"/>
  <c r="A100" i="126" s="1"/>
  <c r="A101" i="126" s="1"/>
  <c r="A102" i="126" s="1"/>
  <c r="A103" i="126" s="1"/>
  <c r="H13" i="126"/>
  <c r="H12" i="126"/>
  <c r="A12" i="126"/>
  <c r="A13" i="126" s="1"/>
  <c r="H11" i="126"/>
  <c r="H10" i="126"/>
  <c r="A10" i="126"/>
  <c r="A11" i="126" s="1"/>
  <c r="H9" i="126"/>
  <c r="G255" i="125"/>
  <c r="E255" i="125"/>
  <c r="C255" i="125"/>
  <c r="G254" i="125"/>
  <c r="E254" i="125"/>
  <c r="C254" i="125"/>
  <c r="G251" i="125"/>
  <c r="G250" i="125"/>
  <c r="G249" i="125"/>
  <c r="G248" i="125"/>
  <c r="G247" i="125"/>
  <c r="G246" i="125"/>
  <c r="G245" i="125"/>
  <c r="G244" i="125"/>
  <c r="G243" i="125"/>
  <c r="G242" i="125"/>
  <c r="G241" i="125"/>
  <c r="G240" i="125"/>
  <c r="G239" i="125"/>
  <c r="G238" i="125"/>
  <c r="G237" i="125"/>
  <c r="G236" i="125"/>
  <c r="G235" i="125"/>
  <c r="G234" i="125"/>
  <c r="G233" i="125"/>
  <c r="G232" i="125"/>
  <c r="G231" i="125"/>
  <c r="G230" i="125"/>
  <c r="G229" i="125"/>
  <c r="G228" i="125"/>
  <c r="G227" i="125"/>
  <c r="G226" i="125"/>
  <c r="G225" i="125"/>
  <c r="G224" i="125"/>
  <c r="G223" i="125"/>
  <c r="G222" i="125"/>
  <c r="G221" i="125"/>
  <c r="G220" i="125"/>
  <c r="G219" i="125"/>
  <c r="G218" i="125"/>
  <c r="G217" i="125"/>
  <c r="G216" i="125"/>
  <c r="G215" i="125"/>
  <c r="G214" i="125"/>
  <c r="G213" i="125"/>
  <c r="G212" i="125"/>
  <c r="G211" i="125"/>
  <c r="G210" i="125"/>
  <c r="G209" i="125"/>
  <c r="G208" i="125"/>
  <c r="G207" i="125"/>
  <c r="G206" i="125"/>
  <c r="G205" i="125"/>
  <c r="G204" i="125"/>
  <c r="G203" i="125"/>
  <c r="G202" i="125"/>
  <c r="G201" i="125"/>
  <c r="G200" i="125"/>
  <c r="G199" i="125"/>
  <c r="G198" i="125"/>
  <c r="G197" i="125"/>
  <c r="G196" i="125"/>
  <c r="G195" i="125"/>
  <c r="G194" i="125"/>
  <c r="G193" i="125"/>
  <c r="G192" i="125"/>
  <c r="G191" i="125"/>
  <c r="G190" i="125"/>
  <c r="G189" i="125"/>
  <c r="G188" i="125"/>
  <c r="G187" i="125"/>
  <c r="G186" i="125"/>
  <c r="G185" i="125"/>
  <c r="G184" i="125"/>
  <c r="G183" i="125"/>
  <c r="G182" i="125"/>
  <c r="G181" i="125"/>
  <c r="G180" i="125"/>
  <c r="G179" i="125"/>
  <c r="G178" i="125"/>
  <c r="G177" i="125"/>
  <c r="G176" i="125"/>
  <c r="G175" i="125"/>
  <c r="G174" i="125"/>
  <c r="G173" i="125"/>
  <c r="G172" i="125"/>
  <c r="G171" i="125"/>
  <c r="G170" i="125"/>
  <c r="G169" i="125"/>
  <c r="G168" i="125"/>
  <c r="G167" i="125"/>
  <c r="G166" i="125"/>
  <c r="G165" i="125"/>
  <c r="G164" i="125"/>
  <c r="G163" i="125"/>
  <c r="G162" i="125"/>
  <c r="G161" i="125"/>
  <c r="G160" i="125"/>
  <c r="G159" i="125"/>
  <c r="G158" i="125"/>
  <c r="G157" i="125"/>
  <c r="G156" i="125"/>
  <c r="G155" i="125"/>
  <c r="G154" i="125"/>
  <c r="G153" i="125"/>
  <c r="G152" i="125"/>
  <c r="G151" i="125"/>
  <c r="G150" i="125"/>
  <c r="G149" i="125"/>
  <c r="G148" i="125"/>
  <c r="G147" i="125"/>
  <c r="G146" i="125"/>
  <c r="G145" i="125"/>
  <c r="G144" i="125"/>
  <c r="G143" i="125"/>
  <c r="G142" i="125"/>
  <c r="G141" i="125"/>
  <c r="G140" i="125"/>
  <c r="G139" i="125"/>
  <c r="G138" i="125"/>
  <c r="G137" i="125"/>
  <c r="G136" i="125"/>
  <c r="G135" i="125"/>
  <c r="G134" i="125"/>
  <c r="G133" i="125"/>
  <c r="G132" i="125"/>
  <c r="G131" i="125"/>
  <c r="G130" i="125"/>
  <c r="G129" i="125"/>
  <c r="G128" i="125"/>
  <c r="G127" i="125"/>
  <c r="G126" i="125"/>
  <c r="G125" i="125"/>
  <c r="G124" i="125"/>
  <c r="G123" i="125"/>
  <c r="G122" i="125"/>
  <c r="G121" i="125"/>
  <c r="G120" i="125"/>
  <c r="G119" i="125"/>
  <c r="G118" i="125"/>
  <c r="G117" i="125"/>
  <c r="G116" i="125"/>
  <c r="G115" i="125"/>
  <c r="G114" i="125"/>
  <c r="G113" i="125"/>
  <c r="G112" i="125"/>
  <c r="G111" i="125"/>
  <c r="G110" i="125"/>
  <c r="G109" i="125"/>
  <c r="G108" i="125"/>
  <c r="G107" i="125"/>
  <c r="G106" i="125"/>
  <c r="G105" i="125"/>
  <c r="G104" i="125"/>
  <c r="G103" i="125"/>
  <c r="G102" i="125"/>
  <c r="G101" i="125"/>
  <c r="G100" i="125"/>
  <c r="G99" i="125"/>
  <c r="G98" i="125"/>
  <c r="G97" i="125"/>
  <c r="G96" i="125"/>
  <c r="G95" i="125"/>
  <c r="G94" i="125"/>
  <c r="G93" i="125"/>
  <c r="G92" i="125"/>
  <c r="G91" i="125"/>
  <c r="G90" i="125"/>
  <c r="A90" i="125"/>
  <c r="A91" i="125" s="1"/>
  <c r="A92" i="125" s="1"/>
  <c r="A93" i="125" s="1"/>
  <c r="A94" i="125" s="1"/>
  <c r="A95" i="125" s="1"/>
  <c r="A96" i="125" s="1"/>
  <c r="A97" i="125" s="1"/>
  <c r="A98" i="125" s="1"/>
  <c r="A99" i="125" s="1"/>
  <c r="A100" i="125" s="1"/>
  <c r="A101" i="125" s="1"/>
  <c r="A102" i="125" s="1"/>
  <c r="A103" i="125" s="1"/>
  <c r="A104" i="125" s="1"/>
  <c r="A105" i="125" s="1"/>
  <c r="A106" i="125" s="1"/>
  <c r="A107" i="125" s="1"/>
  <c r="A108" i="125" s="1"/>
  <c r="A109" i="125" s="1"/>
  <c r="A110" i="125" s="1"/>
  <c r="A111" i="125" s="1"/>
  <c r="A112" i="125" s="1"/>
  <c r="A113" i="125" s="1"/>
  <c r="A114" i="125" s="1"/>
  <c r="A115" i="125" s="1"/>
  <c r="A116" i="125" s="1"/>
  <c r="A117" i="125" s="1"/>
  <c r="A118" i="125" s="1"/>
  <c r="A119" i="125" s="1"/>
  <c r="A120" i="125" s="1"/>
  <c r="A121" i="125" s="1"/>
  <c r="A122" i="125" s="1"/>
  <c r="A123" i="125" s="1"/>
  <c r="A124" i="125" s="1"/>
  <c r="A125" i="125" s="1"/>
  <c r="A126" i="125" s="1"/>
  <c r="A127" i="125" s="1"/>
  <c r="A128" i="125" s="1"/>
  <c r="A129" i="125" s="1"/>
  <c r="A130" i="125" s="1"/>
  <c r="A131" i="125" s="1"/>
  <c r="A132" i="125" s="1"/>
  <c r="A133" i="125" s="1"/>
  <c r="A134" i="125" s="1"/>
  <c r="A135" i="125" s="1"/>
  <c r="A136" i="125" s="1"/>
  <c r="A137" i="125" s="1"/>
  <c r="A138" i="125" s="1"/>
  <c r="A139" i="125" s="1"/>
  <c r="A140" i="125" s="1"/>
  <c r="A141" i="125" s="1"/>
  <c r="A142" i="125" s="1"/>
  <c r="A143" i="125" s="1"/>
  <c r="A144" i="125" s="1"/>
  <c r="A145" i="125" s="1"/>
  <c r="A146" i="125" s="1"/>
  <c r="A147" i="125" s="1"/>
  <c r="A148" i="125" s="1"/>
  <c r="A149" i="125" s="1"/>
  <c r="A150" i="125" s="1"/>
  <c r="A151" i="125" s="1"/>
  <c r="A152" i="125" s="1"/>
  <c r="A153" i="125" s="1"/>
  <c r="A154" i="125" s="1"/>
  <c r="A155" i="125" s="1"/>
  <c r="A156" i="125" s="1"/>
  <c r="A157" i="125" s="1"/>
  <c r="A158" i="125" s="1"/>
  <c r="A159" i="125" s="1"/>
  <c r="A160" i="125" s="1"/>
  <c r="A161" i="125" s="1"/>
  <c r="A162" i="125" s="1"/>
  <c r="A163" i="125" s="1"/>
  <c r="A164" i="125" s="1"/>
  <c r="A165" i="125" s="1"/>
  <c r="A166" i="125" s="1"/>
  <c r="A167" i="125" s="1"/>
  <c r="A168" i="125" s="1"/>
  <c r="A169" i="125" s="1"/>
  <c r="A170" i="125" s="1"/>
  <c r="A171" i="125" s="1"/>
  <c r="A172" i="125" s="1"/>
  <c r="A173" i="125" s="1"/>
  <c r="A174" i="125" s="1"/>
  <c r="A175" i="125" s="1"/>
  <c r="A176" i="125" s="1"/>
  <c r="A177" i="125" s="1"/>
  <c r="A178" i="125" s="1"/>
  <c r="A179" i="125" s="1"/>
  <c r="A180" i="125" s="1"/>
  <c r="A181" i="125" s="1"/>
  <c r="A182" i="125" s="1"/>
  <c r="A183" i="125" s="1"/>
  <c r="A184" i="125" s="1"/>
  <c r="A185" i="125" s="1"/>
  <c r="A186" i="125" s="1"/>
  <c r="A187" i="125" s="1"/>
  <c r="A188" i="125" s="1"/>
  <c r="A189" i="125" s="1"/>
  <c r="A190" i="125" s="1"/>
  <c r="A191" i="125" s="1"/>
  <c r="A192" i="125" s="1"/>
  <c r="A193" i="125" s="1"/>
  <c r="A194" i="125" s="1"/>
  <c r="A195" i="125" s="1"/>
  <c r="A196" i="125" s="1"/>
  <c r="A197" i="125" s="1"/>
  <c r="A198" i="125" s="1"/>
  <c r="A199" i="125" s="1"/>
  <c r="A200" i="125" s="1"/>
  <c r="A201" i="125" s="1"/>
  <c r="A202" i="125" s="1"/>
  <c r="A203" i="125" s="1"/>
  <c r="A204" i="125" s="1"/>
  <c r="A205" i="125" s="1"/>
  <c r="A206" i="125" s="1"/>
  <c r="A207" i="125" s="1"/>
  <c r="A208" i="125" s="1"/>
  <c r="A209" i="125" s="1"/>
  <c r="A210" i="125" s="1"/>
  <c r="A211" i="125" s="1"/>
  <c r="A212" i="125" s="1"/>
  <c r="A213" i="125" s="1"/>
  <c r="A214" i="125" s="1"/>
  <c r="A215" i="125" s="1"/>
  <c r="A216" i="125" s="1"/>
  <c r="A217" i="125" s="1"/>
  <c r="A218" i="125" s="1"/>
  <c r="A219" i="125" s="1"/>
  <c r="A220" i="125" s="1"/>
  <c r="A221" i="125" s="1"/>
  <c r="A222" i="125" s="1"/>
  <c r="A223" i="125" s="1"/>
  <c r="A224" i="125" s="1"/>
  <c r="A225" i="125" s="1"/>
  <c r="A226" i="125" s="1"/>
  <c r="A227" i="125" s="1"/>
  <c r="A228" i="125" s="1"/>
  <c r="A229" i="125" s="1"/>
  <c r="A230" i="125" s="1"/>
  <c r="A231" i="125" s="1"/>
  <c r="A232" i="125" s="1"/>
  <c r="A233" i="125" s="1"/>
  <c r="A234" i="125" s="1"/>
  <c r="A235" i="125" s="1"/>
  <c r="A236" i="125" s="1"/>
  <c r="A237" i="125" s="1"/>
  <c r="A238" i="125" s="1"/>
  <c r="A239" i="125" s="1"/>
  <c r="A240" i="125" s="1"/>
  <c r="A241" i="125" s="1"/>
  <c r="A242" i="125" s="1"/>
  <c r="A243" i="125" s="1"/>
  <c r="A244" i="125" s="1"/>
  <c r="A245" i="125" s="1"/>
  <c r="A246" i="125" s="1"/>
  <c r="A247" i="125" s="1"/>
  <c r="A248" i="125" s="1"/>
  <c r="A249" i="125" s="1"/>
  <c r="A250" i="125" s="1"/>
  <c r="A251" i="125" s="1"/>
  <c r="A252" i="125" s="1"/>
  <c r="A253" i="125" s="1"/>
  <c r="G89" i="125"/>
  <c r="G88" i="125"/>
  <c r="G87" i="125"/>
  <c r="A87" i="125"/>
  <c r="A88" i="125" s="1"/>
  <c r="A89" i="125" s="1"/>
  <c r="G86" i="125"/>
  <c r="G85" i="125"/>
  <c r="G84" i="125"/>
  <c r="G83" i="125"/>
  <c r="G82" i="125"/>
  <c r="G81" i="125"/>
  <c r="G80" i="125"/>
  <c r="G79" i="125"/>
  <c r="G78" i="125"/>
  <c r="G77" i="125"/>
  <c r="G76" i="125"/>
  <c r="G75" i="125"/>
  <c r="G74" i="125"/>
  <c r="G73" i="125"/>
  <c r="G72" i="125"/>
  <c r="G71" i="125"/>
  <c r="G70" i="125"/>
  <c r="G68" i="125"/>
  <c r="E68" i="125"/>
  <c r="C68" i="125"/>
  <c r="G67" i="125"/>
  <c r="G66" i="125"/>
  <c r="G65" i="125"/>
  <c r="G64" i="125"/>
  <c r="G63" i="125"/>
  <c r="G62" i="125"/>
  <c r="G61" i="125"/>
  <c r="G60" i="125"/>
  <c r="G59" i="125"/>
  <c r="G58" i="125"/>
  <c r="G57" i="125"/>
  <c r="G56" i="125"/>
  <c r="G55" i="125"/>
  <c r="G54" i="125"/>
  <c r="G53" i="125"/>
  <c r="G52" i="125"/>
  <c r="G51" i="125"/>
  <c r="G50" i="125"/>
  <c r="G49" i="125"/>
  <c r="G48" i="125"/>
  <c r="G47" i="125"/>
  <c r="G46" i="125"/>
  <c r="G45" i="125"/>
  <c r="G44" i="125"/>
  <c r="G43" i="125"/>
  <c r="G42" i="125"/>
  <c r="G41" i="125"/>
  <c r="G40" i="125"/>
  <c r="G39" i="125"/>
  <c r="G38" i="125"/>
  <c r="G37" i="125"/>
  <c r="G36" i="125"/>
  <c r="G35" i="125"/>
  <c r="G34" i="125"/>
  <c r="G33" i="125"/>
  <c r="G32" i="125"/>
  <c r="G31" i="125"/>
  <c r="G30" i="125"/>
  <c r="G29" i="125"/>
  <c r="G28" i="125"/>
  <c r="G27" i="125"/>
  <c r="G26" i="125"/>
  <c r="A26" i="125"/>
  <c r="A27" i="125" s="1"/>
  <c r="A28" i="125" s="1"/>
  <c r="A29" i="125" s="1"/>
  <c r="A30" i="125" s="1"/>
  <c r="A31" i="125" s="1"/>
  <c r="A32" i="125" s="1"/>
  <c r="A33" i="125" s="1"/>
  <c r="A34" i="125" s="1"/>
  <c r="A35" i="125" s="1"/>
  <c r="A36" i="125" s="1"/>
  <c r="A37" i="125" s="1"/>
  <c r="A38" i="125" s="1"/>
  <c r="A39" i="125" s="1"/>
  <c r="A40" i="125" s="1"/>
  <c r="A41" i="125" s="1"/>
  <c r="A42" i="125" s="1"/>
  <c r="A43" i="125" s="1"/>
  <c r="A44" i="125" s="1"/>
  <c r="A45" i="125" s="1"/>
  <c r="A46" i="125" s="1"/>
  <c r="A47" i="125" s="1"/>
  <c r="A48" i="125" s="1"/>
  <c r="A49" i="125" s="1"/>
  <c r="A50" i="125" s="1"/>
  <c r="A51" i="125" s="1"/>
  <c r="A52" i="125" s="1"/>
  <c r="A53" i="125" s="1"/>
  <c r="A54" i="125" s="1"/>
  <c r="A55" i="125" s="1"/>
  <c r="A56" i="125" s="1"/>
  <c r="A57" i="125" s="1"/>
  <c r="A58" i="125" s="1"/>
  <c r="A59" i="125" s="1"/>
  <c r="A60" i="125" s="1"/>
  <c r="A61" i="125" s="1"/>
  <c r="A62" i="125" s="1"/>
  <c r="A63" i="125" s="1"/>
  <c r="A64" i="125" s="1"/>
  <c r="A65" i="125" s="1"/>
  <c r="A66" i="125" s="1"/>
  <c r="A67" i="125" s="1"/>
  <c r="G25" i="125"/>
  <c r="A25" i="125"/>
  <c r="G24" i="125"/>
  <c r="G23" i="125"/>
  <c r="G22" i="125"/>
  <c r="G21" i="125"/>
  <c r="G20" i="125"/>
  <c r="G19" i="125"/>
  <c r="G18" i="125"/>
  <c r="G17" i="125"/>
  <c r="G16" i="125"/>
  <c r="G15" i="125"/>
  <c r="G14" i="125"/>
  <c r="G13" i="125"/>
  <c r="G12" i="125"/>
  <c r="G11" i="125"/>
  <c r="G10" i="125"/>
  <c r="G9" i="125"/>
  <c r="G8" i="125"/>
  <c r="G7" i="125"/>
  <c r="O36" i="124"/>
  <c r="O35" i="124"/>
  <c r="O34" i="124"/>
  <c r="O33" i="124"/>
  <c r="O32" i="124"/>
  <c r="O31" i="124"/>
  <c r="O29" i="124"/>
  <c r="O28" i="124"/>
  <c r="O22" i="124"/>
  <c r="O21" i="124"/>
  <c r="O20" i="124"/>
  <c r="O19" i="124"/>
  <c r="O18" i="124"/>
  <c r="O17" i="124"/>
  <c r="O16" i="124"/>
  <c r="F26" i="123"/>
  <c r="F25" i="123"/>
  <c r="F24" i="123"/>
  <c r="D19" i="123"/>
  <c r="D27" i="123" s="1"/>
  <c r="C19" i="123"/>
  <c r="C27" i="123" s="1"/>
  <c r="K50" i="122"/>
  <c r="J50" i="122"/>
  <c r="I50" i="122"/>
  <c r="H50" i="122"/>
  <c r="G50" i="122"/>
  <c r="M45" i="122"/>
  <c r="L45" i="122"/>
  <c r="M44" i="122"/>
  <c r="L44" i="122"/>
  <c r="M43" i="122"/>
  <c r="L43" i="122"/>
  <c r="M42" i="122"/>
  <c r="L42" i="122"/>
  <c r="M41" i="122"/>
  <c r="L41" i="122"/>
  <c r="M40" i="122"/>
  <c r="L40" i="122"/>
  <c r="M39" i="122"/>
  <c r="L39" i="122"/>
  <c r="M38" i="122"/>
  <c r="L38" i="122"/>
  <c r="M37" i="122"/>
  <c r="L37" i="122"/>
  <c r="M36" i="122"/>
  <c r="L36" i="122"/>
  <c r="M35" i="122"/>
  <c r="L35" i="122"/>
  <c r="M34" i="122"/>
  <c r="L34" i="122"/>
  <c r="M33" i="122"/>
  <c r="L33" i="122"/>
  <c r="M32" i="122"/>
  <c r="L32" i="122"/>
  <c r="M31" i="122"/>
  <c r="L31" i="122"/>
  <c r="M30" i="122"/>
  <c r="L30" i="122"/>
  <c r="M29" i="122"/>
  <c r="L29" i="122"/>
  <c r="M28" i="122"/>
  <c r="L28" i="122"/>
  <c r="M27" i="122"/>
  <c r="L27" i="122"/>
  <c r="M26" i="122"/>
  <c r="L26" i="122"/>
  <c r="M25" i="122"/>
  <c r="L25" i="122"/>
  <c r="M24" i="122"/>
  <c r="L24" i="122"/>
  <c r="M23" i="122"/>
  <c r="L23" i="122"/>
  <c r="M22" i="122"/>
  <c r="L22" i="122"/>
  <c r="M21" i="122"/>
  <c r="L21" i="122"/>
  <c r="M20" i="122"/>
  <c r="L20" i="122"/>
  <c r="M19" i="122"/>
  <c r="L19" i="122"/>
  <c r="M18" i="122"/>
  <c r="L18" i="122"/>
  <c r="B18" i="122"/>
  <c r="M17" i="122"/>
  <c r="L17" i="122"/>
  <c r="B17" i="122"/>
  <c r="M16" i="122"/>
  <c r="L16" i="122"/>
  <c r="B16" i="122"/>
  <c r="M15" i="122"/>
  <c r="L15" i="122"/>
  <c r="B15" i="122"/>
  <c r="L14" i="122"/>
  <c r="L13" i="122"/>
  <c r="L12" i="122"/>
  <c r="L11" i="122"/>
  <c r="L10" i="122"/>
  <c r="L9" i="122"/>
  <c r="F50" i="121"/>
  <c r="E50" i="121"/>
  <c r="D50" i="121"/>
  <c r="C49" i="121"/>
  <c r="C48" i="121"/>
  <c r="C47" i="121"/>
  <c r="C46" i="121"/>
  <c r="C45" i="121"/>
  <c r="C44" i="121"/>
  <c r="C43" i="121"/>
  <c r="C42" i="121"/>
  <c r="C41" i="121"/>
  <c r="C38" i="121"/>
  <c r="G37" i="121"/>
  <c r="C37" i="121"/>
  <c r="G36" i="121"/>
  <c r="G35" i="121"/>
  <c r="C35" i="121"/>
  <c r="G34" i="121"/>
  <c r="C34" i="121"/>
  <c r="G33" i="121"/>
  <c r="C33" i="121"/>
  <c r="G32" i="121"/>
  <c r="C32" i="121"/>
  <c r="A32" i="121"/>
  <c r="A33" i="121" s="1"/>
  <c r="A34" i="121" s="1"/>
  <c r="A35" i="121" s="1"/>
  <c r="A36" i="121" s="1"/>
  <c r="G31" i="121"/>
  <c r="C31" i="121"/>
  <c r="A31" i="121"/>
  <c r="G30" i="121"/>
  <c r="C30" i="121"/>
  <c r="G29" i="121"/>
  <c r="C29" i="121"/>
  <c r="F28" i="121"/>
  <c r="E28" i="121"/>
  <c r="D28" i="121"/>
  <c r="C27" i="121"/>
  <c r="C28" i="121" s="1"/>
  <c r="C26" i="121"/>
  <c r="C25" i="121"/>
  <c r="F23" i="121"/>
  <c r="F39" i="121" s="1"/>
  <c r="E23" i="121"/>
  <c r="E39" i="121" s="1"/>
  <c r="D23" i="121"/>
  <c r="D39" i="121" s="1"/>
  <c r="C39" i="121" s="1"/>
  <c r="C22" i="121"/>
  <c r="G21" i="121"/>
  <c r="C21" i="121"/>
  <c r="G20" i="121"/>
  <c r="C20" i="121"/>
  <c r="G19" i="121"/>
  <c r="C19" i="121"/>
  <c r="G18" i="121"/>
  <c r="C18" i="121"/>
  <c r="A18" i="121"/>
  <c r="A19" i="121" s="1"/>
  <c r="A20" i="121" s="1"/>
  <c r="A21" i="121" s="1"/>
  <c r="G17" i="121"/>
  <c r="C17" i="121"/>
  <c r="G16" i="121"/>
  <c r="C16" i="121"/>
  <c r="C15" i="121"/>
  <c r="C14" i="121"/>
  <c r="C13" i="121"/>
  <c r="C11" i="121"/>
  <c r="C10" i="121"/>
  <c r="C23" i="121" s="1"/>
  <c r="C8" i="121"/>
  <c r="D251" i="120"/>
  <c r="C251" i="120"/>
  <c r="D250" i="120"/>
  <c r="D249" i="120"/>
  <c r="D247" i="120"/>
  <c r="D246" i="120"/>
  <c r="D245" i="120"/>
  <c r="D244" i="120"/>
  <c r="D243" i="120"/>
  <c r="D242" i="120"/>
  <c r="D241" i="120"/>
  <c r="D240" i="120"/>
  <c r="D238" i="120"/>
  <c r="D237" i="120"/>
  <c r="D236" i="120"/>
  <c r="D235" i="120"/>
  <c r="D234" i="120"/>
  <c r="D233" i="120"/>
  <c r="D232" i="120"/>
  <c r="D231" i="120"/>
  <c r="D230" i="120"/>
  <c r="D229" i="120"/>
  <c r="D228" i="120"/>
  <c r="D227" i="120"/>
  <c r="D226" i="120"/>
  <c r="D225" i="120"/>
  <c r="D224" i="120"/>
  <c r="D223" i="120"/>
  <c r="D222" i="120"/>
  <c r="D221" i="120"/>
  <c r="D220" i="120"/>
  <c r="D219" i="120"/>
  <c r="D218" i="120"/>
  <c r="D217" i="120"/>
  <c r="D216" i="120"/>
  <c r="D215" i="120"/>
  <c r="D214" i="120"/>
  <c r="D213" i="120"/>
  <c r="D212" i="120"/>
  <c r="D211" i="120"/>
  <c r="D210" i="120"/>
  <c r="D209" i="120"/>
  <c r="D208" i="120"/>
  <c r="D207" i="120"/>
  <c r="D206" i="120"/>
  <c r="D205" i="120"/>
  <c r="D204" i="120"/>
  <c r="D203" i="120"/>
  <c r="D202" i="120"/>
  <c r="D201" i="120"/>
  <c r="D200" i="120"/>
  <c r="D199" i="120"/>
  <c r="D198" i="120"/>
  <c r="D197" i="120"/>
  <c r="D196" i="120"/>
  <c r="D195" i="120"/>
  <c r="D194" i="120"/>
  <c r="D193" i="120"/>
  <c r="D192" i="120"/>
  <c r="D191" i="120"/>
  <c r="D190" i="120"/>
  <c r="D189" i="120"/>
  <c r="D188" i="120"/>
  <c r="D187" i="120"/>
  <c r="D186" i="120"/>
  <c r="D185" i="120"/>
  <c r="D184" i="120"/>
  <c r="D183" i="120"/>
  <c r="D182" i="120"/>
  <c r="D181" i="120"/>
  <c r="D180" i="120"/>
  <c r="D179" i="120"/>
  <c r="D178" i="120"/>
  <c r="D177" i="120"/>
  <c r="D176" i="120"/>
  <c r="D175" i="120"/>
  <c r="D174" i="120"/>
  <c r="D173" i="120"/>
  <c r="D172" i="120"/>
  <c r="D171" i="120"/>
  <c r="D170" i="120"/>
  <c r="D169" i="120"/>
  <c r="D168" i="120"/>
  <c r="D167" i="120"/>
  <c r="D166" i="120"/>
  <c r="D165" i="120"/>
  <c r="D164" i="120"/>
  <c r="D163" i="120"/>
  <c r="D162" i="120"/>
  <c r="D161" i="120"/>
  <c r="D160" i="120"/>
  <c r="D159" i="120"/>
  <c r="D158" i="120"/>
  <c r="D157" i="120"/>
  <c r="D156" i="120"/>
  <c r="D155" i="120"/>
  <c r="D154" i="120"/>
  <c r="D153" i="120"/>
  <c r="D152" i="120"/>
  <c r="D151" i="120"/>
  <c r="D150" i="120"/>
  <c r="D149" i="120"/>
  <c r="D148" i="120"/>
  <c r="D147" i="120"/>
  <c r="D146" i="120"/>
  <c r="D145" i="120"/>
  <c r="D144" i="120"/>
  <c r="D143" i="120"/>
  <c r="D142" i="120"/>
  <c r="D141" i="120"/>
  <c r="D140" i="120"/>
  <c r="D139" i="120"/>
  <c r="D138" i="120"/>
  <c r="D137" i="120"/>
  <c r="D136" i="120"/>
  <c r="D134" i="120"/>
  <c r="D133" i="120"/>
  <c r="D132" i="120"/>
  <c r="D131" i="120"/>
  <c r="D130" i="120"/>
  <c r="D129" i="120"/>
  <c r="D128" i="120"/>
  <c r="D127" i="120"/>
  <c r="D126" i="120"/>
  <c r="D125" i="120"/>
  <c r="D124" i="120"/>
  <c r="D123" i="120"/>
  <c r="D122" i="120"/>
  <c r="D121" i="120"/>
  <c r="D120" i="120"/>
  <c r="D119" i="120"/>
  <c r="D118" i="120"/>
  <c r="D117" i="120"/>
  <c r="D116" i="120"/>
  <c r="D115" i="120"/>
  <c r="D114" i="120"/>
  <c r="D113" i="120"/>
  <c r="D112" i="120"/>
  <c r="D111" i="120"/>
  <c r="D110" i="120"/>
  <c r="D109" i="120"/>
  <c r="D108" i="120"/>
  <c r="D107" i="120"/>
  <c r="D106" i="120"/>
  <c r="D105" i="120"/>
  <c r="D104" i="120"/>
  <c r="D103" i="120"/>
  <c r="D102" i="120"/>
  <c r="D101" i="120"/>
  <c r="D100" i="120"/>
  <c r="D99" i="120"/>
  <c r="D98" i="120"/>
  <c r="D97" i="120"/>
  <c r="D96" i="120"/>
  <c r="D95" i="120"/>
  <c r="D94" i="120"/>
  <c r="D93" i="120"/>
  <c r="D92" i="120"/>
  <c r="D91" i="120"/>
  <c r="D90" i="120"/>
  <c r="D89" i="120"/>
  <c r="D88" i="120"/>
  <c r="D87" i="120"/>
  <c r="D86" i="120"/>
  <c r="D85" i="120"/>
  <c r="D84" i="120"/>
  <c r="D83" i="120"/>
  <c r="D82" i="120"/>
  <c r="D81" i="120"/>
  <c r="D80" i="120"/>
  <c r="D79" i="120"/>
  <c r="D78" i="120"/>
  <c r="D77" i="120"/>
  <c r="D76" i="120"/>
  <c r="D75" i="120"/>
  <c r="D74" i="120"/>
  <c r="D73" i="120"/>
  <c r="D72" i="120"/>
  <c r="D71" i="120"/>
  <c r="D70" i="120"/>
  <c r="D69" i="120"/>
  <c r="D68" i="120"/>
  <c r="D67" i="120"/>
  <c r="D66" i="120"/>
  <c r="D65" i="120"/>
  <c r="D63" i="120"/>
  <c r="D62" i="120"/>
  <c r="D61" i="120"/>
  <c r="D60" i="120"/>
  <c r="D59" i="120"/>
  <c r="D58" i="120"/>
  <c r="D57" i="120"/>
  <c r="D56" i="120"/>
  <c r="D55" i="120"/>
  <c r="D54" i="120"/>
  <c r="D53" i="120"/>
  <c r="D52" i="120"/>
  <c r="D51" i="120"/>
  <c r="D50" i="120"/>
  <c r="A50" i="120"/>
  <c r="A51" i="120" s="1"/>
  <c r="A52" i="120" s="1"/>
  <c r="A53" i="120" s="1"/>
  <c r="A54" i="120" s="1"/>
  <c r="A55" i="120" s="1"/>
  <c r="A56" i="120" s="1"/>
  <c r="A57" i="120" s="1"/>
  <c r="A58" i="120" s="1"/>
  <c r="A59" i="120" s="1"/>
  <c r="A60" i="120" s="1"/>
  <c r="A61" i="120" s="1"/>
  <c r="A62" i="120" s="1"/>
  <c r="A63" i="120" s="1"/>
  <c r="A64" i="120" s="1"/>
  <c r="A65" i="120" s="1"/>
  <c r="A66" i="120" s="1"/>
  <c r="A67" i="120" s="1"/>
  <c r="A68" i="120" s="1"/>
  <c r="A69" i="120" s="1"/>
  <c r="A70" i="120" s="1"/>
  <c r="A71" i="120" s="1"/>
  <c r="A72" i="120" s="1"/>
  <c r="A73" i="120" s="1"/>
  <c r="A74" i="120" s="1"/>
  <c r="A75" i="120" s="1"/>
  <c r="A76" i="120" s="1"/>
  <c r="A77" i="120" s="1"/>
  <c r="A78" i="120" s="1"/>
  <c r="A79" i="120" s="1"/>
  <c r="A80" i="120" s="1"/>
  <c r="A81" i="120" s="1"/>
  <c r="A82" i="120" s="1"/>
  <c r="A83" i="120" s="1"/>
  <c r="A84" i="120" s="1"/>
  <c r="A85" i="120" s="1"/>
  <c r="A86" i="120" s="1"/>
  <c r="A87" i="120" s="1"/>
  <c r="A88" i="120" s="1"/>
  <c r="A89" i="120" s="1"/>
  <c r="A90" i="120" s="1"/>
  <c r="A91" i="120" s="1"/>
  <c r="A92" i="120" s="1"/>
  <c r="A93" i="120" s="1"/>
  <c r="A94" i="120" s="1"/>
  <c r="A95" i="120" s="1"/>
  <c r="A96" i="120" s="1"/>
  <c r="A97" i="120" s="1"/>
  <c r="A98" i="120" s="1"/>
  <c r="A99" i="120" s="1"/>
  <c r="A100" i="120" s="1"/>
  <c r="A101" i="120" s="1"/>
  <c r="A102" i="120" s="1"/>
  <c r="A103" i="120" s="1"/>
  <c r="A104" i="120" s="1"/>
  <c r="A105" i="120" s="1"/>
  <c r="A106" i="120" s="1"/>
  <c r="A107" i="120" s="1"/>
  <c r="A108" i="120" s="1"/>
  <c r="A109" i="120" s="1"/>
  <c r="A110" i="120" s="1"/>
  <c r="A111" i="120" s="1"/>
  <c r="A112" i="120" s="1"/>
  <c r="A113" i="120" s="1"/>
  <c r="A114" i="120" s="1"/>
  <c r="A115" i="120" s="1"/>
  <c r="A116" i="120" s="1"/>
  <c r="A117" i="120" s="1"/>
  <c r="A118" i="120" s="1"/>
  <c r="A119" i="120" s="1"/>
  <c r="A120" i="120" s="1"/>
  <c r="A121" i="120" s="1"/>
  <c r="A122" i="120" s="1"/>
  <c r="A123" i="120" s="1"/>
  <c r="A124" i="120" s="1"/>
  <c r="A125" i="120" s="1"/>
  <c r="A126" i="120" s="1"/>
  <c r="A127" i="120" s="1"/>
  <c r="A128" i="120" s="1"/>
  <c r="A129" i="120" s="1"/>
  <c r="A130" i="120" s="1"/>
  <c r="A131" i="120" s="1"/>
  <c r="A132" i="120" s="1"/>
  <c r="A133" i="120" s="1"/>
  <c r="A134" i="120" s="1"/>
  <c r="A135" i="120" s="1"/>
  <c r="A136" i="120" s="1"/>
  <c r="A137" i="120" s="1"/>
  <c r="A138" i="120" s="1"/>
  <c r="A139" i="120" s="1"/>
  <c r="A140" i="120" s="1"/>
  <c r="A141" i="120" s="1"/>
  <c r="A142" i="120" s="1"/>
  <c r="A143" i="120" s="1"/>
  <c r="A144" i="120" s="1"/>
  <c r="A145" i="120" s="1"/>
  <c r="A146" i="120" s="1"/>
  <c r="A147" i="120" s="1"/>
  <c r="A148" i="120" s="1"/>
  <c r="A149" i="120" s="1"/>
  <c r="A150" i="120" s="1"/>
  <c r="A151" i="120" s="1"/>
  <c r="A152" i="120" s="1"/>
  <c r="A153" i="120" s="1"/>
  <c r="A154" i="120" s="1"/>
  <c r="A155" i="120" s="1"/>
  <c r="A156" i="120" s="1"/>
  <c r="A157" i="120" s="1"/>
  <c r="A158" i="120" s="1"/>
  <c r="A159" i="120" s="1"/>
  <c r="A160" i="120" s="1"/>
  <c r="A161" i="120" s="1"/>
  <c r="A162" i="120" s="1"/>
  <c r="A163" i="120" s="1"/>
  <c r="A164" i="120" s="1"/>
  <c r="A165" i="120" s="1"/>
  <c r="A166" i="120" s="1"/>
  <c r="A167" i="120" s="1"/>
  <c r="A168" i="120" s="1"/>
  <c r="A169" i="120" s="1"/>
  <c r="A170" i="120" s="1"/>
  <c r="A171" i="120" s="1"/>
  <c r="A172" i="120" s="1"/>
  <c r="A173" i="120" s="1"/>
  <c r="A174" i="120" s="1"/>
  <c r="A175" i="120" s="1"/>
  <c r="A176" i="120" s="1"/>
  <c r="A177" i="120" s="1"/>
  <c r="A178" i="120" s="1"/>
  <c r="A179" i="120" s="1"/>
  <c r="A180" i="120" s="1"/>
  <c r="A181" i="120" s="1"/>
  <c r="A182" i="120" s="1"/>
  <c r="A183" i="120" s="1"/>
  <c r="A184" i="120" s="1"/>
  <c r="A185" i="120" s="1"/>
  <c r="A186" i="120" s="1"/>
  <c r="A187" i="120" s="1"/>
  <c r="A188" i="120" s="1"/>
  <c r="A189" i="120" s="1"/>
  <c r="A190" i="120" s="1"/>
  <c r="A191" i="120" s="1"/>
  <c r="A192" i="120" s="1"/>
  <c r="A193" i="120" s="1"/>
  <c r="A194" i="120" s="1"/>
  <c r="A195" i="120" s="1"/>
  <c r="A196" i="120" s="1"/>
  <c r="A197" i="120" s="1"/>
  <c r="A198" i="120" s="1"/>
  <c r="A199" i="120" s="1"/>
  <c r="A200" i="120" s="1"/>
  <c r="A201" i="120" s="1"/>
  <c r="A202" i="120" s="1"/>
  <c r="A203" i="120" s="1"/>
  <c r="A204" i="120" s="1"/>
  <c r="A205" i="120" s="1"/>
  <c r="A206" i="120" s="1"/>
  <c r="A207" i="120" s="1"/>
  <c r="A208" i="120" s="1"/>
  <c r="A209" i="120" s="1"/>
  <c r="A210" i="120" s="1"/>
  <c r="A211" i="120" s="1"/>
  <c r="A212" i="120" s="1"/>
  <c r="A213" i="120" s="1"/>
  <c r="A214" i="120" s="1"/>
  <c r="A215" i="120" s="1"/>
  <c r="A216" i="120" s="1"/>
  <c r="A217" i="120" s="1"/>
  <c r="A218" i="120" s="1"/>
  <c r="A219" i="120" s="1"/>
  <c r="A220" i="120" s="1"/>
  <c r="A221" i="120" s="1"/>
  <c r="A222" i="120" s="1"/>
  <c r="A223" i="120" s="1"/>
  <c r="A224" i="120" s="1"/>
  <c r="A225" i="120" s="1"/>
  <c r="A226" i="120" s="1"/>
  <c r="A227" i="120" s="1"/>
  <c r="A228" i="120" s="1"/>
  <c r="A229" i="120" s="1"/>
  <c r="A230" i="120" s="1"/>
  <c r="A231" i="120" s="1"/>
  <c r="A232" i="120" s="1"/>
  <c r="A233" i="120" s="1"/>
  <c r="A234" i="120" s="1"/>
  <c r="A235" i="120" s="1"/>
  <c r="A236" i="120" s="1"/>
  <c r="A237" i="120" s="1"/>
  <c r="A238" i="120" s="1"/>
  <c r="A239" i="120" s="1"/>
  <c r="A240" i="120" s="1"/>
  <c r="A241" i="120" s="1"/>
  <c r="A242" i="120" s="1"/>
  <c r="A243" i="120" s="1"/>
  <c r="A244" i="120" s="1"/>
  <c r="A245" i="120" s="1"/>
  <c r="A246" i="120" s="1"/>
  <c r="A247" i="120" s="1"/>
  <c r="A248" i="120" s="1"/>
  <c r="A249" i="120" s="1"/>
  <c r="A250" i="120" s="1"/>
  <c r="D49" i="120"/>
  <c r="D48" i="120"/>
  <c r="D47" i="120"/>
  <c r="D46" i="120"/>
  <c r="D45" i="120"/>
  <c r="D44" i="120"/>
  <c r="D43" i="120"/>
  <c r="D42" i="120"/>
  <c r="D41" i="120"/>
  <c r="D40" i="120"/>
  <c r="D39" i="120"/>
  <c r="D38" i="120"/>
  <c r="D37" i="120"/>
  <c r="D36" i="120"/>
  <c r="D35" i="120"/>
  <c r="D34" i="120"/>
  <c r="D33" i="120"/>
  <c r="D32" i="120"/>
  <c r="D31" i="120"/>
  <c r="D30" i="120"/>
  <c r="D29" i="120"/>
  <c r="D28" i="120"/>
  <c r="D27" i="120"/>
  <c r="D26" i="120"/>
  <c r="D25" i="120"/>
  <c r="D23" i="120"/>
  <c r="D22" i="120"/>
  <c r="D21" i="120"/>
  <c r="D20" i="120"/>
  <c r="D19" i="120"/>
  <c r="D18" i="120"/>
  <c r="D17" i="120"/>
  <c r="D16" i="120"/>
  <c r="D15" i="120"/>
  <c r="D14" i="120"/>
  <c r="D13" i="120"/>
  <c r="D12" i="120"/>
  <c r="D11" i="120"/>
  <c r="D10" i="120"/>
  <c r="D9" i="120"/>
  <c r="D8" i="120"/>
  <c r="D7" i="120"/>
  <c r="E53" i="119"/>
  <c r="F52" i="119"/>
  <c r="F51" i="119"/>
  <c r="F50" i="119"/>
  <c r="F49" i="119"/>
  <c r="F48" i="119"/>
  <c r="F47" i="119"/>
  <c r="F46" i="119"/>
  <c r="F45" i="119"/>
  <c r="F44" i="119"/>
  <c r="F43" i="119"/>
  <c r="F42" i="119"/>
  <c r="F41" i="119"/>
  <c r="F40" i="119"/>
  <c r="F39" i="119"/>
  <c r="F38" i="119"/>
  <c r="F37" i="119"/>
  <c r="F36" i="119"/>
  <c r="F35" i="119"/>
  <c r="F34" i="119"/>
  <c r="F33" i="119"/>
  <c r="F32" i="119"/>
  <c r="F31" i="119"/>
  <c r="F30" i="119"/>
  <c r="F29" i="119"/>
  <c r="F28" i="119"/>
  <c r="F26" i="119"/>
  <c r="F25" i="119"/>
  <c r="F24" i="119"/>
  <c r="F23" i="119"/>
  <c r="F22" i="119"/>
  <c r="F21" i="119"/>
  <c r="F20" i="119"/>
  <c r="F19" i="119"/>
  <c r="F18" i="119"/>
  <c r="F17" i="119"/>
  <c r="F16" i="119"/>
  <c r="F15" i="119"/>
  <c r="F14" i="119"/>
  <c r="F13" i="119"/>
  <c r="F12" i="119"/>
  <c r="F11" i="119"/>
  <c r="F10" i="119"/>
  <c r="F9" i="119"/>
  <c r="F8" i="119"/>
  <c r="H116" i="118"/>
  <c r="C116" i="118"/>
  <c r="H115" i="118"/>
  <c r="C115" i="118"/>
  <c r="C114" i="118"/>
  <c r="H114" i="118" s="1"/>
  <c r="G112" i="118"/>
  <c r="H111" i="118"/>
  <c r="C111" i="118"/>
  <c r="C110" i="118"/>
  <c r="H110" i="118" s="1"/>
  <c r="G109" i="118"/>
  <c r="F109" i="118"/>
  <c r="F112" i="118" s="1"/>
  <c r="F113" i="118" s="1"/>
  <c r="F117" i="118" s="1"/>
  <c r="E109" i="118"/>
  <c r="E112" i="118" s="1"/>
  <c r="D109" i="118"/>
  <c r="D112" i="118" s="1"/>
  <c r="C109" i="118"/>
  <c r="C112" i="118" s="1"/>
  <c r="C108" i="118"/>
  <c r="H108" i="118" s="1"/>
  <c r="C107" i="118"/>
  <c r="H107" i="118" s="1"/>
  <c r="C106" i="118"/>
  <c r="H106" i="118" s="1"/>
  <c r="H105" i="118"/>
  <c r="C105" i="118"/>
  <c r="C104" i="118"/>
  <c r="H104" i="118" s="1"/>
  <c r="C103" i="118"/>
  <c r="H103" i="118" s="1"/>
  <c r="H102" i="118"/>
  <c r="C102" i="118"/>
  <c r="C101" i="118"/>
  <c r="H101" i="118" s="1"/>
  <c r="C100" i="118"/>
  <c r="H100" i="118" s="1"/>
  <c r="C99" i="118"/>
  <c r="H99" i="118" s="1"/>
  <c r="G97" i="118"/>
  <c r="F97" i="118"/>
  <c r="E97" i="118"/>
  <c r="D97" i="118"/>
  <c r="C96" i="118"/>
  <c r="H96" i="118" s="1"/>
  <c r="H95" i="118"/>
  <c r="C95" i="118"/>
  <c r="H94" i="118"/>
  <c r="C94" i="118"/>
  <c r="C93" i="118"/>
  <c r="H93" i="118" s="1"/>
  <c r="C92" i="118"/>
  <c r="H92" i="118" s="1"/>
  <c r="C91" i="118"/>
  <c r="C97" i="118" s="1"/>
  <c r="H90" i="118"/>
  <c r="C90" i="118"/>
  <c r="G88" i="118"/>
  <c r="F88" i="118"/>
  <c r="E88" i="118"/>
  <c r="D88" i="118"/>
  <c r="H87" i="118"/>
  <c r="C87" i="118"/>
  <c r="C86" i="118"/>
  <c r="H86" i="118" s="1"/>
  <c r="C85" i="118"/>
  <c r="H85" i="118" s="1"/>
  <c r="C84" i="118"/>
  <c r="H84" i="118" s="1"/>
  <c r="C83" i="118"/>
  <c r="H83" i="118" s="1"/>
  <c r="C82" i="118"/>
  <c r="H82" i="118" s="1"/>
  <c r="C81" i="118"/>
  <c r="H81" i="118" s="1"/>
  <c r="C80" i="118"/>
  <c r="H80" i="118" s="1"/>
  <c r="C79" i="118"/>
  <c r="H79" i="118" s="1"/>
  <c r="C78" i="118"/>
  <c r="H78" i="118" s="1"/>
  <c r="C77" i="118"/>
  <c r="H77" i="118" s="1"/>
  <c r="H76" i="118"/>
  <c r="C76" i="118"/>
  <c r="C75" i="118"/>
  <c r="H75" i="118" s="1"/>
  <c r="C74" i="118"/>
  <c r="H74" i="118" s="1"/>
  <c r="C73" i="118"/>
  <c r="H73" i="118" s="1"/>
  <c r="G71" i="118"/>
  <c r="F71" i="118"/>
  <c r="E71" i="118"/>
  <c r="D71" i="118"/>
  <c r="C70" i="118"/>
  <c r="H70" i="118" s="1"/>
  <c r="C69" i="118"/>
  <c r="H69" i="118" s="1"/>
  <c r="C68" i="118"/>
  <c r="H68" i="118" s="1"/>
  <c r="C67" i="118"/>
  <c r="H67" i="118" s="1"/>
  <c r="C66" i="118"/>
  <c r="H66" i="118" s="1"/>
  <c r="H65" i="118"/>
  <c r="C65" i="118"/>
  <c r="C64" i="118"/>
  <c r="H64" i="118" s="1"/>
  <c r="C63" i="118"/>
  <c r="H63" i="118" s="1"/>
  <c r="C62" i="118"/>
  <c r="H62" i="118" s="1"/>
  <c r="H61" i="118"/>
  <c r="C61" i="118"/>
  <c r="H60" i="118"/>
  <c r="H71" i="118" s="1"/>
  <c r="C60" i="118"/>
  <c r="G57" i="118"/>
  <c r="F57" i="118"/>
  <c r="E57" i="118"/>
  <c r="D57" i="118"/>
  <c r="C56" i="118"/>
  <c r="H56" i="118" s="1"/>
  <c r="H55" i="118"/>
  <c r="C55" i="118"/>
  <c r="C54" i="118"/>
  <c r="H54" i="118" s="1"/>
  <c r="C53" i="118"/>
  <c r="H53" i="118" s="1"/>
  <c r="C52" i="118"/>
  <c r="H52" i="118" s="1"/>
  <c r="C51" i="118"/>
  <c r="H51" i="118" s="1"/>
  <c r="C50" i="118"/>
  <c r="H50" i="118" s="1"/>
  <c r="C49" i="118"/>
  <c r="H49" i="118" s="1"/>
  <c r="H48" i="118"/>
  <c r="C48" i="118"/>
  <c r="G46" i="118"/>
  <c r="F46" i="118"/>
  <c r="E46" i="118"/>
  <c r="D46" i="118"/>
  <c r="H45" i="118"/>
  <c r="C45" i="118"/>
  <c r="C44" i="118"/>
  <c r="H44" i="118" s="1"/>
  <c r="C43" i="118"/>
  <c r="H43" i="118" s="1"/>
  <c r="C42" i="118"/>
  <c r="H42" i="118" s="1"/>
  <c r="H41" i="118"/>
  <c r="C41" i="118"/>
  <c r="H40" i="118"/>
  <c r="C40" i="118"/>
  <c r="C39" i="118"/>
  <c r="H39" i="118" s="1"/>
  <c r="C38" i="118"/>
  <c r="H38" i="118" s="1"/>
  <c r="H46" i="118" s="1"/>
  <c r="G36" i="118"/>
  <c r="F36" i="118"/>
  <c r="E36" i="118"/>
  <c r="D36" i="118"/>
  <c r="C35" i="118"/>
  <c r="H35" i="118" s="1"/>
  <c r="C34" i="118"/>
  <c r="H34" i="118" s="1"/>
  <c r="H33" i="118"/>
  <c r="C33" i="118"/>
  <c r="C32" i="118"/>
  <c r="H32" i="118" s="1"/>
  <c r="C31" i="118"/>
  <c r="H31" i="118" s="1"/>
  <c r="H30" i="118"/>
  <c r="C30" i="118"/>
  <c r="C29" i="118"/>
  <c r="C36" i="118" s="1"/>
  <c r="G27" i="118"/>
  <c r="G58" i="118" s="1"/>
  <c r="F27" i="118"/>
  <c r="F58" i="118" s="1"/>
  <c r="E27" i="118"/>
  <c r="E58" i="118" s="1"/>
  <c r="D27" i="118"/>
  <c r="D58" i="118" s="1"/>
  <c r="C26" i="118"/>
  <c r="H26" i="118" s="1"/>
  <c r="C25" i="118"/>
  <c r="H25" i="118" s="1"/>
  <c r="C24" i="118"/>
  <c r="H24" i="118" s="1"/>
  <c r="H23" i="118"/>
  <c r="C23" i="118"/>
  <c r="H22" i="118"/>
  <c r="C22" i="118"/>
  <c r="C21" i="118"/>
  <c r="H21" i="118" s="1"/>
  <c r="C20" i="118"/>
  <c r="H20" i="118" s="1"/>
  <c r="C19" i="118"/>
  <c r="C27" i="118" s="1"/>
  <c r="G16" i="118"/>
  <c r="F16" i="118"/>
  <c r="E16" i="118"/>
  <c r="D16" i="118"/>
  <c r="C15" i="118"/>
  <c r="H15" i="118" s="1"/>
  <c r="H14" i="118"/>
  <c r="H16" i="118" s="1"/>
  <c r="C14" i="118"/>
  <c r="C13" i="118"/>
  <c r="H13" i="118" s="1"/>
  <c r="D40" i="117"/>
  <c r="C39" i="117"/>
  <c r="C38" i="117"/>
  <c r="I37" i="117"/>
  <c r="H37" i="117"/>
  <c r="H40" i="117" s="1"/>
  <c r="G37" i="117"/>
  <c r="F37" i="117"/>
  <c r="E37" i="117"/>
  <c r="D37" i="117"/>
  <c r="C37" i="117"/>
  <c r="C36" i="117"/>
  <c r="C35" i="117"/>
  <c r="I33" i="117"/>
  <c r="H33" i="117"/>
  <c r="G33" i="117"/>
  <c r="F33" i="117"/>
  <c r="F40" i="117" s="1"/>
  <c r="E33" i="117"/>
  <c r="D33" i="117"/>
  <c r="C32" i="117"/>
  <c r="C31" i="117"/>
  <c r="C33" i="117" s="1"/>
  <c r="I29" i="117"/>
  <c r="H29" i="117"/>
  <c r="G29" i="117"/>
  <c r="G40" i="117" s="1"/>
  <c r="F29" i="117"/>
  <c r="E29" i="117"/>
  <c r="E40" i="117" s="1"/>
  <c r="D29" i="117"/>
  <c r="C28" i="117"/>
  <c r="C29" i="117" s="1"/>
  <c r="C40" i="117" s="1"/>
  <c r="C27" i="117"/>
  <c r="C26" i="117"/>
  <c r="C25" i="117"/>
  <c r="E22" i="117"/>
  <c r="C21" i="117"/>
  <c r="E20" i="117"/>
  <c r="D20" i="117"/>
  <c r="D22" i="117" s="1"/>
  <c r="C19" i="117"/>
  <c r="C18" i="117"/>
  <c r="C17" i="117"/>
  <c r="C16" i="117"/>
  <c r="I15" i="117"/>
  <c r="I20" i="117" s="1"/>
  <c r="I22" i="117" s="1"/>
  <c r="H15" i="117"/>
  <c r="H20" i="117" s="1"/>
  <c r="H22" i="117" s="1"/>
  <c r="G15" i="117"/>
  <c r="G20" i="117" s="1"/>
  <c r="G22" i="117" s="1"/>
  <c r="F15" i="117"/>
  <c r="F20" i="117" s="1"/>
  <c r="F22" i="117" s="1"/>
  <c r="E15" i="117"/>
  <c r="D15" i="117"/>
  <c r="C14" i="117"/>
  <c r="C13" i="117"/>
  <c r="C12" i="117"/>
  <c r="C11" i="117"/>
  <c r="C10" i="117"/>
  <c r="C15" i="117" s="1"/>
  <c r="C20" i="117" s="1"/>
  <c r="C22" i="117" s="1"/>
  <c r="G17" i="116"/>
  <c r="H16" i="116"/>
  <c r="H17" i="116" s="1"/>
  <c r="G16" i="116"/>
  <c r="F16" i="116"/>
  <c r="F17" i="116" s="1"/>
  <c r="E16" i="116"/>
  <c r="E17" i="116" s="1"/>
  <c r="D16" i="116"/>
  <c r="D17" i="116" s="1"/>
  <c r="C16" i="116"/>
  <c r="C17" i="116" s="1"/>
  <c r="I15" i="116"/>
  <c r="I14" i="116"/>
  <c r="I16" i="116" s="1"/>
  <c r="K16" i="116" s="1"/>
  <c r="I13" i="116"/>
  <c r="G12" i="116"/>
  <c r="D12" i="116"/>
  <c r="C12" i="116"/>
  <c r="H11" i="116"/>
  <c r="H12" i="116" s="1"/>
  <c r="G11" i="116"/>
  <c r="F11" i="116"/>
  <c r="F12" i="116" s="1"/>
  <c r="E11" i="116"/>
  <c r="E12" i="116" s="1"/>
  <c r="D11" i="116"/>
  <c r="C11" i="116"/>
  <c r="I10" i="116"/>
  <c r="I9" i="116"/>
  <c r="I11" i="116" s="1"/>
  <c r="I8" i="116"/>
  <c r="M108" i="115"/>
  <c r="E104" i="115"/>
  <c r="E102" i="115"/>
  <c r="E101" i="115"/>
  <c r="E100" i="115"/>
  <c r="D100" i="115"/>
  <c r="E99" i="115"/>
  <c r="D99" i="115"/>
  <c r="E98" i="115"/>
  <c r="E93" i="115"/>
  <c r="O92" i="115"/>
  <c r="O108" i="115" s="1"/>
  <c r="N92" i="115"/>
  <c r="N108" i="115" s="1"/>
  <c r="M92" i="115"/>
  <c r="L92" i="115"/>
  <c r="L108" i="115" s="1"/>
  <c r="K92" i="115"/>
  <c r="K108" i="115" s="1"/>
  <c r="J92" i="115"/>
  <c r="J108" i="115" s="1"/>
  <c r="I92" i="115"/>
  <c r="I108" i="115" s="1"/>
  <c r="C92" i="115"/>
  <c r="C108" i="115" s="1"/>
  <c r="E91" i="115"/>
  <c r="E90" i="115"/>
  <c r="E89" i="115"/>
  <c r="E87" i="115"/>
  <c r="E86" i="115"/>
  <c r="N79" i="115"/>
  <c r="K79" i="115"/>
  <c r="J79" i="115"/>
  <c r="I79" i="115"/>
  <c r="E77" i="115"/>
  <c r="E76" i="115"/>
  <c r="E75" i="115"/>
  <c r="E74" i="115"/>
  <c r="E73" i="115"/>
  <c r="E72" i="115"/>
  <c r="E67" i="115"/>
  <c r="E62" i="115"/>
  <c r="E57" i="115"/>
  <c r="O53" i="115"/>
  <c r="O79" i="115" s="1"/>
  <c r="N53" i="115"/>
  <c r="M53" i="115"/>
  <c r="M79" i="115" s="1"/>
  <c r="L53" i="115"/>
  <c r="L79" i="115" s="1"/>
  <c r="K53" i="115"/>
  <c r="J53" i="115"/>
  <c r="I53" i="115"/>
  <c r="C53" i="115"/>
  <c r="C79" i="115" s="1"/>
  <c r="E52" i="115"/>
  <c r="E51" i="115"/>
  <c r="E50" i="115"/>
  <c r="O41" i="115"/>
  <c r="O111" i="115" s="1"/>
  <c r="O115" i="115" s="1"/>
  <c r="N41" i="115"/>
  <c r="N111" i="115" s="1"/>
  <c r="N115" i="115" s="1"/>
  <c r="M41" i="115"/>
  <c r="L41" i="115"/>
  <c r="K41" i="115"/>
  <c r="K111" i="115" s="1"/>
  <c r="K115" i="115" s="1"/>
  <c r="J41" i="115"/>
  <c r="I41" i="115"/>
  <c r="C41" i="115"/>
  <c r="E40" i="115"/>
  <c r="E39" i="115"/>
  <c r="E38" i="115"/>
  <c r="E37" i="115"/>
  <c r="E36" i="115"/>
  <c r="E35" i="115"/>
  <c r="E34" i="115"/>
  <c r="E33" i="115"/>
  <c r="E32" i="115"/>
  <c r="E31" i="115"/>
  <c r="E30" i="115"/>
  <c r="A30" i="115"/>
  <c r="A31" i="115" s="1"/>
  <c r="A32" i="115" s="1"/>
  <c r="A33" i="115" s="1"/>
  <c r="H29" i="115"/>
  <c r="E29" i="115"/>
  <c r="A29" i="115"/>
  <c r="E28" i="115"/>
  <c r="E17" i="115"/>
  <c r="E16" i="115"/>
  <c r="E15" i="115"/>
  <c r="E14" i="115"/>
  <c r="E13" i="115"/>
  <c r="E12" i="115"/>
  <c r="O65" i="114"/>
  <c r="N65" i="114"/>
  <c r="M65" i="114"/>
  <c r="L65" i="114"/>
  <c r="K65" i="114"/>
  <c r="J65" i="114"/>
  <c r="E65" i="114"/>
  <c r="D65" i="114"/>
  <c r="F64" i="114"/>
  <c r="E64" i="114"/>
  <c r="E63" i="114"/>
  <c r="E62" i="114"/>
  <c r="E61" i="114"/>
  <c r="Q57" i="114"/>
  <c r="O57" i="114"/>
  <c r="M57" i="114"/>
  <c r="L57" i="114"/>
  <c r="E57" i="114" s="1"/>
  <c r="F58" i="114" s="1"/>
  <c r="D57" i="114"/>
  <c r="E56" i="114"/>
  <c r="Q54" i="114"/>
  <c r="O54" i="114"/>
  <c r="N54" i="114"/>
  <c r="N57" i="114" s="1"/>
  <c r="M54" i="114"/>
  <c r="L54" i="114"/>
  <c r="K54" i="114"/>
  <c r="K57" i="114" s="1"/>
  <c r="J54" i="114"/>
  <c r="J57" i="114" s="1"/>
  <c r="E54" i="114"/>
  <c r="D54" i="114"/>
  <c r="F53" i="114"/>
  <c r="E53" i="114"/>
  <c r="F52" i="114"/>
  <c r="E52" i="114"/>
  <c r="F51" i="114"/>
  <c r="E51" i="114"/>
  <c r="F50" i="114"/>
  <c r="E50" i="114"/>
  <c r="F49" i="114"/>
  <c r="E49" i="114"/>
  <c r="F48" i="114"/>
  <c r="E48" i="114"/>
  <c r="N46" i="114"/>
  <c r="N58" i="114" s="1"/>
  <c r="L46" i="114"/>
  <c r="L58" i="114" s="1"/>
  <c r="E45" i="114"/>
  <c r="Q44" i="114"/>
  <c r="O44" i="114"/>
  <c r="N44" i="114"/>
  <c r="M44" i="114"/>
  <c r="L44" i="114"/>
  <c r="K44" i="114"/>
  <c r="J44" i="114"/>
  <c r="E44" i="114"/>
  <c r="D44" i="114"/>
  <c r="F43" i="114"/>
  <c r="F42" i="114"/>
  <c r="F41" i="114"/>
  <c r="F40" i="114"/>
  <c r="F39" i="114"/>
  <c r="E39" i="114"/>
  <c r="Q37" i="114"/>
  <c r="O37" i="114"/>
  <c r="N37" i="114"/>
  <c r="M37" i="114"/>
  <c r="L37" i="114"/>
  <c r="K37" i="114"/>
  <c r="J37" i="114"/>
  <c r="E37" i="114"/>
  <c r="D37" i="114"/>
  <c r="F36" i="114"/>
  <c r="F35" i="114"/>
  <c r="F34" i="114"/>
  <c r="F33" i="114"/>
  <c r="F32" i="114"/>
  <c r="E32" i="114"/>
  <c r="Q30" i="114"/>
  <c r="O30" i="114"/>
  <c r="N30" i="114"/>
  <c r="M30" i="114"/>
  <c r="L30" i="114"/>
  <c r="K30" i="114"/>
  <c r="J30" i="114"/>
  <c r="D30" i="114"/>
  <c r="D46" i="114" s="1"/>
  <c r="D58" i="114" s="1"/>
  <c r="F29" i="114"/>
  <c r="F28" i="114"/>
  <c r="F27" i="114"/>
  <c r="E27" i="114"/>
  <c r="F26" i="114"/>
  <c r="E26" i="114"/>
  <c r="E30" i="114" s="1"/>
  <c r="E24" i="114"/>
  <c r="Q23" i="114"/>
  <c r="Q46" i="114" s="1"/>
  <c r="Q58" i="114" s="1"/>
  <c r="O23" i="114"/>
  <c r="O46" i="114" s="1"/>
  <c r="O58" i="114" s="1"/>
  <c r="N23" i="114"/>
  <c r="M23" i="114"/>
  <c r="M46" i="114" s="1"/>
  <c r="M58" i="114" s="1"/>
  <c r="L23" i="114"/>
  <c r="K23" i="114"/>
  <c r="K46" i="114" s="1"/>
  <c r="J23" i="114"/>
  <c r="E23" i="114"/>
  <c r="F22" i="114"/>
  <c r="F21" i="114"/>
  <c r="F20" i="114"/>
  <c r="F19" i="114"/>
  <c r="F18" i="114"/>
  <c r="Q17" i="114"/>
  <c r="O17" i="114"/>
  <c r="N17" i="114"/>
  <c r="M17" i="114"/>
  <c r="L17" i="114"/>
  <c r="E17" i="114" s="1"/>
  <c r="K17" i="114"/>
  <c r="J17" i="114"/>
  <c r="J46" i="114" s="1"/>
  <c r="D17" i="114"/>
  <c r="F16" i="114"/>
  <c r="F15" i="114"/>
  <c r="F14" i="114"/>
  <c r="F13" i="114"/>
  <c r="F12" i="114"/>
  <c r="E9" i="114"/>
  <c r="E86" i="113"/>
  <c r="E85" i="113"/>
  <c r="V84" i="113"/>
  <c r="V86" i="113" s="1"/>
  <c r="U84" i="113"/>
  <c r="U86" i="113" s="1"/>
  <c r="T84" i="113"/>
  <c r="T86" i="113" s="1"/>
  <c r="S84" i="113"/>
  <c r="S86" i="113" s="1"/>
  <c r="D84" i="113"/>
  <c r="D86" i="113" s="1"/>
  <c r="E83" i="113"/>
  <c r="E82" i="113"/>
  <c r="V79" i="113"/>
  <c r="U79" i="113"/>
  <c r="T79" i="113"/>
  <c r="S79" i="113"/>
  <c r="D79" i="113"/>
  <c r="E78" i="113"/>
  <c r="E77" i="113"/>
  <c r="E76" i="113"/>
  <c r="E75" i="113"/>
  <c r="E74" i="113"/>
  <c r="E73" i="113"/>
  <c r="E72" i="113"/>
  <c r="E71" i="113"/>
  <c r="V68" i="113"/>
  <c r="U68" i="113"/>
  <c r="T68" i="113"/>
  <c r="S68" i="113"/>
  <c r="D68" i="113"/>
  <c r="E67" i="113"/>
  <c r="E66" i="113"/>
  <c r="E65" i="113"/>
  <c r="E64" i="113"/>
  <c r="E63" i="113"/>
  <c r="E62" i="113"/>
  <c r="E61" i="113"/>
  <c r="V59" i="113"/>
  <c r="U59" i="113"/>
  <c r="T59" i="113"/>
  <c r="S59" i="113"/>
  <c r="D59" i="113"/>
  <c r="E58" i="113"/>
  <c r="E57" i="113"/>
  <c r="E56" i="113"/>
  <c r="E55" i="113"/>
  <c r="E54" i="113"/>
  <c r="E53" i="113"/>
  <c r="E52" i="113"/>
  <c r="V50" i="113"/>
  <c r="V69" i="113" s="1"/>
  <c r="U50" i="113"/>
  <c r="U69" i="113" s="1"/>
  <c r="T50" i="113"/>
  <c r="S50" i="113"/>
  <c r="S69" i="113" s="1"/>
  <c r="S80" i="113" s="1"/>
  <c r="D50" i="113"/>
  <c r="E49" i="113"/>
  <c r="E48" i="113"/>
  <c r="E47" i="113"/>
  <c r="E46" i="113"/>
  <c r="E45" i="113"/>
  <c r="E44" i="113"/>
  <c r="E43" i="113"/>
  <c r="E42" i="113"/>
  <c r="E41" i="113"/>
  <c r="E40" i="113"/>
  <c r="V34" i="113"/>
  <c r="V35" i="113" s="1"/>
  <c r="U34" i="113"/>
  <c r="U35" i="113" s="1"/>
  <c r="T34" i="113"/>
  <c r="T35" i="113" s="1"/>
  <c r="S34" i="113"/>
  <c r="S35" i="113" s="1"/>
  <c r="H34" i="113"/>
  <c r="H35" i="113" s="1"/>
  <c r="I33" i="113"/>
  <c r="E33" i="113" s="1"/>
  <c r="D33" i="113"/>
  <c r="I32" i="113"/>
  <c r="E32" i="113" s="1"/>
  <c r="D32" i="113"/>
  <c r="D95" i="113" s="1"/>
  <c r="F95" i="113" s="1"/>
  <c r="I31" i="113"/>
  <c r="E31" i="113" s="1"/>
  <c r="D31" i="113"/>
  <c r="D94" i="113" s="1"/>
  <c r="F94" i="113" s="1"/>
  <c r="I30" i="113"/>
  <c r="E30" i="113" s="1"/>
  <c r="D30" i="113"/>
  <c r="D93" i="113" s="1"/>
  <c r="F93" i="113" s="1"/>
  <c r="G18" i="27" s="1"/>
  <c r="I29" i="113"/>
  <c r="E29" i="113" s="1"/>
  <c r="D29" i="113"/>
  <c r="D92" i="113" s="1"/>
  <c r="F92" i="113" s="1"/>
  <c r="I28" i="113"/>
  <c r="E28" i="113" s="1"/>
  <c r="D28" i="113"/>
  <c r="I27" i="113"/>
  <c r="E27" i="113" s="1"/>
  <c r="D27" i="113"/>
  <c r="I26" i="113"/>
  <c r="E26" i="113" s="1"/>
  <c r="D26" i="113"/>
  <c r="I25" i="113"/>
  <c r="E25" i="113" s="1"/>
  <c r="D25" i="113"/>
  <c r="I24" i="113"/>
  <c r="E24" i="113" s="1"/>
  <c r="D24" i="113"/>
  <c r="I23" i="113"/>
  <c r="E23" i="113" s="1"/>
  <c r="D23" i="113"/>
  <c r="I22" i="113"/>
  <c r="E22" i="113" s="1"/>
  <c r="D22" i="113"/>
  <c r="D91" i="113" s="1"/>
  <c r="F91" i="113" s="1"/>
  <c r="I21" i="113"/>
  <c r="E21" i="113" s="1"/>
  <c r="D21" i="113"/>
  <c r="I20" i="113"/>
  <c r="E20" i="113" s="1"/>
  <c r="D20" i="113"/>
  <c r="I19" i="113"/>
  <c r="E19" i="113" s="1"/>
  <c r="D19" i="113"/>
  <c r="I18" i="113"/>
  <c r="E18" i="113" s="1"/>
  <c r="D18" i="113"/>
  <c r="I17" i="113"/>
  <c r="E17" i="113" s="1"/>
  <c r="D17" i="113"/>
  <c r="I16" i="113"/>
  <c r="E16" i="113" s="1"/>
  <c r="D16" i="113"/>
  <c r="I15" i="113"/>
  <c r="E15" i="113" s="1"/>
  <c r="D15" i="113"/>
  <c r="I14" i="113"/>
  <c r="E14" i="113" s="1"/>
  <c r="D14" i="113"/>
  <c r="I13" i="113"/>
  <c r="D13" i="113"/>
  <c r="I11" i="113"/>
  <c r="E11" i="113" s="1"/>
  <c r="D11" i="113"/>
  <c r="K72" i="112"/>
  <c r="J72" i="112"/>
  <c r="D72" i="112"/>
  <c r="E71" i="112"/>
  <c r="E70" i="112"/>
  <c r="E69" i="112"/>
  <c r="E68" i="112"/>
  <c r="E67" i="112"/>
  <c r="E66" i="112"/>
  <c r="E65" i="112"/>
  <c r="E64" i="112"/>
  <c r="E63" i="112"/>
  <c r="E72" i="112" s="1"/>
  <c r="K61" i="112"/>
  <c r="K73" i="112" s="1"/>
  <c r="J61" i="112"/>
  <c r="J73" i="112" s="1"/>
  <c r="D61" i="112"/>
  <c r="E60" i="112"/>
  <c r="E59" i="112"/>
  <c r="E58" i="112"/>
  <c r="E61" i="112" s="1"/>
  <c r="E57" i="112"/>
  <c r="E56" i="112"/>
  <c r="E55" i="112"/>
  <c r="E54" i="112"/>
  <c r="E53" i="112"/>
  <c r="E52" i="112"/>
  <c r="E51" i="112"/>
  <c r="E50" i="112"/>
  <c r="E49" i="112"/>
  <c r="E48" i="112"/>
  <c r="E47" i="112"/>
  <c r="E46" i="112"/>
  <c r="E45" i="112"/>
  <c r="E44" i="112"/>
  <c r="K42" i="112"/>
  <c r="J42" i="112"/>
  <c r="D42" i="112"/>
  <c r="E41" i="112"/>
  <c r="E40" i="112"/>
  <c r="E39" i="112"/>
  <c r="E38" i="112"/>
  <c r="E37" i="112"/>
  <c r="E36" i="112"/>
  <c r="E35" i="112"/>
  <c r="E34" i="112"/>
  <c r="E33" i="112"/>
  <c r="E42" i="112" s="1"/>
  <c r="K31" i="112"/>
  <c r="J31" i="112"/>
  <c r="D31" i="112"/>
  <c r="E30" i="112"/>
  <c r="E31" i="112" s="1"/>
  <c r="E29" i="112"/>
  <c r="E28" i="112"/>
  <c r="E27" i="112"/>
  <c r="E26" i="112"/>
  <c r="E25" i="112"/>
  <c r="K23" i="112"/>
  <c r="J23" i="112"/>
  <c r="D23" i="112"/>
  <c r="D73" i="112" s="1"/>
  <c r="E22" i="112"/>
  <c r="E21" i="112"/>
  <c r="E20" i="112"/>
  <c r="E19" i="112"/>
  <c r="E18" i="112"/>
  <c r="E17" i="112"/>
  <c r="E16" i="112"/>
  <c r="E23" i="112" s="1"/>
  <c r="E15" i="112"/>
  <c r="E14" i="112"/>
  <c r="E13" i="112"/>
  <c r="E12" i="112"/>
  <c r="E11" i="112"/>
  <c r="E10" i="112"/>
  <c r="E9" i="112"/>
  <c r="K91" i="111"/>
  <c r="J91" i="111"/>
  <c r="D91" i="111"/>
  <c r="E90" i="111"/>
  <c r="E89" i="111"/>
  <c r="E88" i="111"/>
  <c r="E87" i="111"/>
  <c r="E86" i="111"/>
  <c r="E85" i="111"/>
  <c r="E84" i="111"/>
  <c r="E83" i="111"/>
  <c r="E82" i="111"/>
  <c r="E81" i="111"/>
  <c r="E80" i="111"/>
  <c r="E79" i="111"/>
  <c r="E78" i="111"/>
  <c r="E77" i="111"/>
  <c r="E76" i="111"/>
  <c r="E91" i="111" s="1"/>
  <c r="K74" i="111"/>
  <c r="J74" i="111"/>
  <c r="D74" i="111"/>
  <c r="E73" i="111"/>
  <c r="E72" i="111"/>
  <c r="E70" i="111"/>
  <c r="E69" i="111"/>
  <c r="E68" i="111"/>
  <c r="E67" i="111"/>
  <c r="E66" i="111"/>
  <c r="E65" i="111"/>
  <c r="E64" i="111"/>
  <c r="E63" i="111"/>
  <c r="E62" i="111"/>
  <c r="E61" i="111"/>
  <c r="E60" i="111"/>
  <c r="E59" i="111"/>
  <c r="E58" i="111"/>
  <c r="E57" i="111"/>
  <c r="E56" i="111"/>
  <c r="E55" i="111"/>
  <c r="E54" i="111"/>
  <c r="E53" i="111"/>
  <c r="E52" i="111"/>
  <c r="E51" i="111"/>
  <c r="E50" i="111"/>
  <c r="E49" i="111"/>
  <c r="E48" i="111"/>
  <c r="E47" i="111"/>
  <c r="E46" i="111"/>
  <c r="E45" i="111"/>
  <c r="E44" i="111"/>
  <c r="E43" i="111"/>
  <c r="E42" i="111"/>
  <c r="E41" i="111"/>
  <c r="E74" i="111" s="1"/>
  <c r="K39" i="111"/>
  <c r="J39" i="111"/>
  <c r="D39" i="111"/>
  <c r="E38" i="111"/>
  <c r="E37" i="111"/>
  <c r="E71" i="111" s="1"/>
  <c r="E36" i="111"/>
  <c r="E35" i="111"/>
  <c r="E34" i="111"/>
  <c r="E33" i="111"/>
  <c r="E32" i="111"/>
  <c r="E31" i="111"/>
  <c r="E30" i="111"/>
  <c r="E28" i="111"/>
  <c r="E27" i="111"/>
  <c r="E26" i="111"/>
  <c r="E39" i="111" s="1"/>
  <c r="E25" i="111"/>
  <c r="E23" i="111"/>
  <c r="E22" i="111"/>
  <c r="K20" i="111"/>
  <c r="J20" i="111"/>
  <c r="D20" i="111"/>
  <c r="E19" i="111"/>
  <c r="E18" i="111"/>
  <c r="E17" i="111"/>
  <c r="E16" i="111"/>
  <c r="E15" i="111"/>
  <c r="E20" i="111" s="1"/>
  <c r="E14" i="111"/>
  <c r="E12" i="111"/>
  <c r="K11" i="111"/>
  <c r="K13" i="111" s="1"/>
  <c r="K21" i="111" s="1"/>
  <c r="K92" i="111" s="1"/>
  <c r="J11" i="111"/>
  <c r="J13" i="111" s="1"/>
  <c r="J21" i="111" s="1"/>
  <c r="J92" i="111" s="1"/>
  <c r="D11" i="111"/>
  <c r="D13" i="111" s="1"/>
  <c r="D21" i="111" s="1"/>
  <c r="D92" i="111" s="1"/>
  <c r="E10" i="111"/>
  <c r="E11" i="111" s="1"/>
  <c r="E13" i="111" s="1"/>
  <c r="E21" i="111" s="1"/>
  <c r="E92" i="111" s="1"/>
  <c r="E9" i="111"/>
  <c r="Q58" i="186" l="1"/>
  <c r="Q4" i="186"/>
  <c r="Q50" i="186"/>
  <c r="R50" i="186"/>
  <c r="S49" i="186"/>
  <c r="S3" i="186"/>
  <c r="Q37" i="186"/>
  <c r="S31" i="186"/>
  <c r="R58" i="186"/>
  <c r="Q36" i="186"/>
  <c r="S30" i="186"/>
  <c r="Q30" i="186"/>
  <c r="R36" i="186"/>
  <c r="R3" i="186"/>
  <c r="S28" i="186"/>
  <c r="R28" i="186"/>
  <c r="A56" i="191"/>
  <c r="P55" i="191"/>
  <c r="K121" i="136"/>
  <c r="K123" i="136"/>
  <c r="K147" i="136"/>
  <c r="K149" i="136" s="1"/>
  <c r="K128" i="136"/>
  <c r="F146" i="136"/>
  <c r="L159" i="136"/>
  <c r="K125" i="136"/>
  <c r="K127" i="136" s="1"/>
  <c r="F155" i="136"/>
  <c r="K106" i="136"/>
  <c r="K122" i="136"/>
  <c r="K124" i="136" s="1"/>
  <c r="K105" i="136"/>
  <c r="K132" i="136"/>
  <c r="G146" i="136"/>
  <c r="K151" i="136"/>
  <c r="K144" i="136"/>
  <c r="I159" i="136"/>
  <c r="I173" i="136" s="1"/>
  <c r="I174" i="136" s="1"/>
  <c r="K126" i="136"/>
  <c r="K168" i="136"/>
  <c r="K172" i="136" s="1"/>
  <c r="P159" i="136"/>
  <c r="K110" i="136"/>
  <c r="K111" i="136" s="1"/>
  <c r="F127" i="136"/>
  <c r="G133" i="136"/>
  <c r="F149" i="136"/>
  <c r="K150" i="136"/>
  <c r="S53" i="186"/>
  <c r="R53" i="186"/>
  <c r="Q53" i="186"/>
  <c r="R51" i="186"/>
  <c r="Q51" i="186"/>
  <c r="S51" i="186"/>
  <c r="R57" i="186"/>
  <c r="Q57" i="186"/>
  <c r="S57" i="186"/>
  <c r="S46" i="186"/>
  <c r="R46" i="186"/>
  <c r="Q46" i="186"/>
  <c r="S44" i="186"/>
  <c r="Q44" i="186"/>
  <c r="R44" i="186"/>
  <c r="S39" i="186"/>
  <c r="R39" i="186"/>
  <c r="Q39" i="186"/>
  <c r="R42" i="186"/>
  <c r="S42" i="186"/>
  <c r="Q42" i="186"/>
  <c r="R56" i="186"/>
  <c r="S56" i="186"/>
  <c r="Q56" i="186"/>
  <c r="Q52" i="186"/>
  <c r="S52" i="186"/>
  <c r="R52" i="186"/>
  <c r="R43" i="186"/>
  <c r="Q43" i="186"/>
  <c r="S43" i="186"/>
  <c r="S4" i="186"/>
  <c r="S40" i="186"/>
  <c r="R40" i="186"/>
  <c r="Q40" i="186"/>
  <c r="R33" i="186"/>
  <c r="S33" i="186"/>
  <c r="Q33" i="186"/>
  <c r="S38" i="186"/>
  <c r="R38" i="186"/>
  <c r="Q38" i="186"/>
  <c r="S48" i="186"/>
  <c r="R48" i="186"/>
  <c r="Q48" i="186"/>
  <c r="S41" i="186"/>
  <c r="R41" i="186"/>
  <c r="Q41" i="186"/>
  <c r="S34" i="186"/>
  <c r="R34" i="186"/>
  <c r="Q34" i="186"/>
  <c r="S25" i="186"/>
  <c r="R25" i="186"/>
  <c r="Q25" i="186"/>
  <c r="S32" i="186"/>
  <c r="R32" i="186"/>
  <c r="Q32" i="186"/>
  <c r="Q29" i="186"/>
  <c r="S29" i="186"/>
  <c r="R29" i="186"/>
  <c r="S45" i="186"/>
  <c r="R45" i="186"/>
  <c r="Q45" i="186"/>
  <c r="R35" i="186"/>
  <c r="Q35" i="186"/>
  <c r="S35" i="186"/>
  <c r="S26" i="186"/>
  <c r="R26" i="186"/>
  <c r="Q26" i="186"/>
  <c r="M60" i="186"/>
  <c r="M61" i="186" s="1"/>
  <c r="S54" i="186"/>
  <c r="R54" i="186"/>
  <c r="Q54" i="186"/>
  <c r="S27" i="186"/>
  <c r="R27" i="186"/>
  <c r="Q27" i="186"/>
  <c r="E59" i="113"/>
  <c r="E79" i="113"/>
  <c r="E50" i="113"/>
  <c r="E69" i="113" s="1"/>
  <c r="D34" i="113"/>
  <c r="D35" i="113" s="1"/>
  <c r="E68" i="113"/>
  <c r="T69" i="113"/>
  <c r="T80" i="113" s="1"/>
  <c r="T87" i="113" s="1"/>
  <c r="I34" i="113"/>
  <c r="E102" i="113"/>
  <c r="K11" i="116"/>
  <c r="I12" i="116"/>
  <c r="J58" i="114"/>
  <c r="I17" i="116"/>
  <c r="E46" i="114"/>
  <c r="E58" i="114" s="1"/>
  <c r="L111" i="115"/>
  <c r="L115" i="115" s="1"/>
  <c r="H97" i="118"/>
  <c r="I111" i="115"/>
  <c r="I115" i="115" s="1"/>
  <c r="D113" i="118"/>
  <c r="D117" i="118" s="1"/>
  <c r="E113" i="118"/>
  <c r="E117" i="118" s="1"/>
  <c r="C111" i="115"/>
  <c r="C115" i="115" s="1"/>
  <c r="H57" i="118"/>
  <c r="S87" i="113"/>
  <c r="V80" i="113"/>
  <c r="V87" i="113" s="1"/>
  <c r="K58" i="114"/>
  <c r="A34" i="115"/>
  <c r="E73" i="112"/>
  <c r="M111" i="115"/>
  <c r="M115" i="115" s="1"/>
  <c r="H109" i="118"/>
  <c r="H112" i="118" s="1"/>
  <c r="G113" i="118"/>
  <c r="G117" i="118" s="1"/>
  <c r="J111" i="115"/>
  <c r="J115" i="115" s="1"/>
  <c r="H19" i="118"/>
  <c r="H27" i="118" s="1"/>
  <c r="C88" i="118"/>
  <c r="H91" i="118"/>
  <c r="C16" i="118"/>
  <c r="H29" i="118"/>
  <c r="H36" i="118" s="1"/>
  <c r="C57" i="118"/>
  <c r="G149" i="136"/>
  <c r="E408" i="144"/>
  <c r="E312" i="143"/>
  <c r="E410" i="144" s="1"/>
  <c r="D69" i="113"/>
  <c r="D80" i="113" s="1"/>
  <c r="D87" i="113" s="1"/>
  <c r="H30" i="115"/>
  <c r="H88" i="118"/>
  <c r="E234" i="142"/>
  <c r="E237" i="142"/>
  <c r="E239" i="142" s="1"/>
  <c r="K156" i="136"/>
  <c r="K158" i="136" s="1"/>
  <c r="F158" i="136"/>
  <c r="I35" i="113"/>
  <c r="U80" i="113"/>
  <c r="U87" i="113" s="1"/>
  <c r="I40" i="117"/>
  <c r="N159" i="136"/>
  <c r="K68" i="136"/>
  <c r="C71" i="118"/>
  <c r="C113" i="118" s="1"/>
  <c r="C117" i="118" s="1"/>
  <c r="E13" i="113"/>
  <c r="E34" i="113" s="1"/>
  <c r="E35" i="113" s="1"/>
  <c r="E36" i="113" s="1"/>
  <c r="E84" i="113"/>
  <c r="C46" i="118"/>
  <c r="C58" i="118" s="1"/>
  <c r="C50" i="121"/>
  <c r="K16" i="136"/>
  <c r="K18" i="136" s="1"/>
  <c r="F18" i="136"/>
  <c r="K130" i="136"/>
  <c r="O159" i="136"/>
  <c r="K107" i="136"/>
  <c r="K108" i="136" s="1"/>
  <c r="C23" i="130"/>
  <c r="C25" i="130"/>
  <c r="H159" i="136"/>
  <c r="F15" i="136"/>
  <c r="K90" i="136"/>
  <c r="K152" i="136"/>
  <c r="C37" i="141"/>
  <c r="C408" i="144"/>
  <c r="C312" i="143"/>
  <c r="C410" i="144" s="1"/>
  <c r="K38" i="136"/>
  <c r="F108" i="136"/>
  <c r="K12" i="136"/>
  <c r="J159" i="136"/>
  <c r="F41" i="136"/>
  <c r="G96" i="136"/>
  <c r="K98" i="136"/>
  <c r="K99" i="136" s="1"/>
  <c r="K145" i="136"/>
  <c r="A11" i="148"/>
  <c r="P10" i="148"/>
  <c r="K41" i="136"/>
  <c r="F111" i="136"/>
  <c r="F124" i="136"/>
  <c r="F130" i="136"/>
  <c r="F133" i="136"/>
  <c r="C22" i="130"/>
  <c r="C28" i="130"/>
  <c r="D89" i="134"/>
  <c r="M159" i="136"/>
  <c r="K95" i="136"/>
  <c r="K96" i="136" s="1"/>
  <c r="G108" i="136"/>
  <c r="G111" i="136"/>
  <c r="G124" i="136"/>
  <c r="F25" i="138"/>
  <c r="D213" i="142"/>
  <c r="D238" i="142"/>
  <c r="D234" i="142"/>
  <c r="K13" i="136"/>
  <c r="K15" i="136" s="1"/>
  <c r="K131" i="136"/>
  <c r="K133" i="136" s="1"/>
  <c r="K153" i="136"/>
  <c r="K155" i="136" s="1"/>
  <c r="C409" i="144"/>
  <c r="C238" i="142"/>
  <c r="C239" i="142" s="1"/>
  <c r="C243" i="142" s="1"/>
  <c r="C91" i="147"/>
  <c r="C213" i="147" s="1"/>
  <c r="D91" i="147"/>
  <c r="D213" i="147" s="1"/>
  <c r="D291" i="143"/>
  <c r="E107" i="145"/>
  <c r="L139" i="146"/>
  <c r="L140" i="146" s="1"/>
  <c r="M28" i="172"/>
  <c r="C35" i="156"/>
  <c r="G20" i="152"/>
  <c r="C10" i="169"/>
  <c r="C28" i="160"/>
  <c r="H24" i="159"/>
  <c r="O31" i="172"/>
  <c r="G24" i="159"/>
  <c r="H28" i="172"/>
  <c r="Q28" i="172"/>
  <c r="C69" i="156"/>
  <c r="C72" i="156" s="1"/>
  <c r="E10" i="169"/>
  <c r="K28" i="172"/>
  <c r="D103" i="156"/>
  <c r="H244" i="181"/>
  <c r="K24" i="159"/>
  <c r="G10" i="169"/>
  <c r="C3" i="178"/>
  <c r="H143" i="184"/>
  <c r="H65" i="178"/>
  <c r="H146" i="184"/>
  <c r="H102" i="179"/>
  <c r="H148" i="184"/>
  <c r="H149" i="184"/>
  <c r="H367" i="182"/>
  <c r="Q60" i="186" l="1"/>
  <c r="L21" i="27" s="1"/>
  <c r="P56" i="191"/>
  <c r="A57" i="191"/>
  <c r="S60" i="186"/>
  <c r="N21" i="27" s="1"/>
  <c r="R60" i="186"/>
  <c r="M21" i="27" s="1"/>
  <c r="G159" i="136"/>
  <c r="F159" i="136"/>
  <c r="K146" i="136"/>
  <c r="E80" i="113"/>
  <c r="E87" i="113" s="1"/>
  <c r="H150" i="184"/>
  <c r="D408" i="144"/>
  <c r="D312" i="143"/>
  <c r="D410" i="144" s="1"/>
  <c r="K159" i="136"/>
  <c r="A35" i="115"/>
  <c r="H31" i="115"/>
  <c r="E72" i="156"/>
  <c r="E103" i="156" s="1"/>
  <c r="C103" i="156"/>
  <c r="D237" i="142"/>
  <c r="D239" i="142" s="1"/>
  <c r="D243" i="142" s="1"/>
  <c r="A12" i="148"/>
  <c r="P11" i="148"/>
  <c r="H58" i="118"/>
  <c r="H113" i="118" s="1"/>
  <c r="H117" i="118" s="1"/>
  <c r="C27" i="130"/>
  <c r="C29" i="130" s="1"/>
  <c r="F46" i="114"/>
  <c r="P57" i="191" l="1"/>
  <c r="A58" i="191"/>
  <c r="H32" i="115"/>
  <c r="A36" i="115"/>
  <c r="A13" i="148"/>
  <c r="P12" i="148"/>
  <c r="P58" i="191" l="1"/>
  <c r="A59" i="191"/>
  <c r="A14" i="148"/>
  <c r="P13" i="148"/>
  <c r="A37" i="115"/>
  <c r="H33" i="115"/>
  <c r="A60" i="191" l="1"/>
  <c r="P59" i="191"/>
  <c r="H34" i="115"/>
  <c r="A38" i="115"/>
  <c r="A15" i="148"/>
  <c r="P14" i="148"/>
  <c r="A61" i="191" l="1"/>
  <c r="P60" i="191"/>
  <c r="A39" i="115"/>
  <c r="P15" i="148"/>
  <c r="A16" i="148"/>
  <c r="H35" i="115"/>
  <c r="P61" i="191" l="1"/>
  <c r="A62" i="191"/>
  <c r="H36" i="115"/>
  <c r="P16" i="148"/>
  <c r="A17" i="148"/>
  <c r="A63" i="191" l="1"/>
  <c r="P62" i="191"/>
  <c r="A18" i="148"/>
  <c r="P17" i="148"/>
  <c r="H37" i="115"/>
  <c r="A64" i="191" l="1"/>
  <c r="P63" i="191"/>
  <c r="H38" i="115"/>
  <c r="A19" i="148"/>
  <c r="P18" i="148"/>
  <c r="P64" i="191" l="1"/>
  <c r="A65" i="191"/>
  <c r="A20" i="148"/>
  <c r="P19" i="148"/>
  <c r="H39" i="115"/>
  <c r="D64" i="115"/>
  <c r="D55" i="115"/>
  <c r="D36" i="115"/>
  <c r="D24" i="115"/>
  <c r="D9" i="115"/>
  <c r="D11" i="115"/>
  <c r="D85" i="115"/>
  <c r="P65" i="191" l="1"/>
  <c r="A66" i="191"/>
  <c r="D13" i="115"/>
  <c r="D103" i="115"/>
  <c r="D83" i="115"/>
  <c r="D72" i="115"/>
  <c r="D69" i="115"/>
  <c r="D33" i="115"/>
  <c r="D30" i="115"/>
  <c r="D15" i="115"/>
  <c r="D61" i="115"/>
  <c r="D70" i="115"/>
  <c r="D58" i="115"/>
  <c r="D22" i="115"/>
  <c r="D21" i="115"/>
  <c r="D101" i="115"/>
  <c r="D44" i="115"/>
  <c r="D14" i="115"/>
  <c r="D41" i="115" s="1"/>
  <c r="D26" i="115"/>
  <c r="D84" i="115"/>
  <c r="D59" i="115"/>
  <c r="D92" i="115"/>
  <c r="D105" i="115"/>
  <c r="D49" i="115"/>
  <c r="D74" i="115"/>
  <c r="D19" i="115"/>
  <c r="D63" i="115"/>
  <c r="D95" i="115"/>
  <c r="D88" i="115"/>
  <c r="D97" i="115"/>
  <c r="D37" i="115"/>
  <c r="D113" i="115"/>
  <c r="D27" i="115"/>
  <c r="D71" i="115"/>
  <c r="D47" i="115"/>
  <c r="D25" i="115"/>
  <c r="D89" i="115"/>
  <c r="D18" i="115"/>
  <c r="D56" i="115"/>
  <c r="D65" i="115"/>
  <c r="D46" i="115"/>
  <c r="D73" i="115"/>
  <c r="D66" i="115"/>
  <c r="D45" i="115"/>
  <c r="D106" i="115"/>
  <c r="D48" i="115"/>
  <c r="D96" i="115"/>
  <c r="D98" i="115"/>
  <c r="D23" i="115"/>
  <c r="D29" i="115"/>
  <c r="D35" i="115"/>
  <c r="D38" i="115"/>
  <c r="D68" i="115"/>
  <c r="D34" i="115"/>
  <c r="D39" i="115"/>
  <c r="D20" i="115"/>
  <c r="P20" i="148"/>
  <c r="A21" i="148"/>
  <c r="P66" i="191" l="1"/>
  <c r="A67" i="191"/>
  <c r="D53" i="115"/>
  <c r="D79" i="115" s="1"/>
  <c r="D111" i="115" s="1"/>
  <c r="D115" i="115" s="1"/>
  <c r="D108" i="115"/>
  <c r="A22" i="148"/>
  <c r="P21" i="148"/>
  <c r="A68" i="191" l="1"/>
  <c r="P67" i="191"/>
  <c r="A23" i="148"/>
  <c r="P22" i="148"/>
  <c r="A69" i="191" l="1"/>
  <c r="P68" i="191"/>
  <c r="A24" i="148"/>
  <c r="P23" i="148"/>
  <c r="P69" i="191" l="1"/>
  <c r="A70" i="191"/>
  <c r="P24" i="148"/>
  <c r="A25" i="148"/>
  <c r="A71" i="191" l="1"/>
  <c r="P70" i="191"/>
  <c r="A26" i="148"/>
  <c r="P25" i="148"/>
  <c r="A72" i="191" l="1"/>
  <c r="P71" i="191"/>
  <c r="P26" i="148"/>
  <c r="A27" i="148"/>
  <c r="P72" i="191" l="1"/>
  <c r="A73" i="191"/>
  <c r="A28" i="148"/>
  <c r="P27" i="148"/>
  <c r="P73" i="191" l="1"/>
  <c r="A74" i="191"/>
  <c r="A29" i="148"/>
  <c r="P28" i="148"/>
  <c r="P74" i="191" l="1"/>
  <c r="A75" i="191"/>
  <c r="A30" i="148"/>
  <c r="P29" i="148"/>
  <c r="A76" i="191" l="1"/>
  <c r="P75" i="191"/>
  <c r="P30" i="148"/>
  <c r="A31" i="148"/>
  <c r="A77" i="191" l="1"/>
  <c r="P76" i="191"/>
  <c r="A32" i="148"/>
  <c r="P31" i="148"/>
  <c r="P77" i="191" l="1"/>
  <c r="A78" i="191"/>
  <c r="P32" i="148"/>
  <c r="A33" i="148"/>
  <c r="A79" i="191" l="1"/>
  <c r="P78" i="191"/>
  <c r="P33" i="148"/>
  <c r="A34" i="148"/>
  <c r="A80" i="191" l="1"/>
  <c r="P79" i="191"/>
  <c r="P34" i="148"/>
  <c r="A35" i="148"/>
  <c r="P80" i="191" l="1"/>
  <c r="A81" i="191"/>
  <c r="A36" i="148"/>
  <c r="P35" i="148"/>
  <c r="P81" i="191" l="1"/>
  <c r="A82" i="191"/>
  <c r="P36" i="148"/>
  <c r="A37" i="148"/>
  <c r="P82" i="191" l="1"/>
  <c r="A83" i="191"/>
  <c r="A38" i="148"/>
  <c r="P37" i="148"/>
  <c r="A84" i="191" l="1"/>
  <c r="P83" i="191"/>
  <c r="A39" i="148"/>
  <c r="P38" i="148"/>
  <c r="A85" i="191" l="1"/>
  <c r="P84" i="191"/>
  <c r="A40" i="148"/>
  <c r="P39" i="148"/>
  <c r="P85" i="191" l="1"/>
  <c r="A86" i="191"/>
  <c r="P40" i="148"/>
  <c r="A41" i="148"/>
  <c r="A87" i="191" l="1"/>
  <c r="P86" i="191"/>
  <c r="A42" i="148"/>
  <c r="P41" i="148"/>
  <c r="A88" i="191" l="1"/>
  <c r="P87" i="191"/>
  <c r="P42" i="148"/>
  <c r="A43" i="148"/>
  <c r="P88" i="191" l="1"/>
  <c r="A89" i="191"/>
  <c r="P43" i="148"/>
  <c r="A44" i="148"/>
  <c r="P89" i="191" l="1"/>
  <c r="A90" i="191"/>
  <c r="A45" i="148"/>
  <c r="P44" i="148"/>
  <c r="P90" i="191" l="1"/>
  <c r="A91" i="191"/>
  <c r="A46" i="148"/>
  <c r="P45" i="148"/>
  <c r="A92" i="191" l="1"/>
  <c r="P91" i="191"/>
  <c r="A47" i="148"/>
  <c r="P46" i="148"/>
  <c r="A93" i="191" l="1"/>
  <c r="P92" i="191"/>
  <c r="A48" i="148"/>
  <c r="P47" i="148"/>
  <c r="P93" i="191" l="1"/>
  <c r="A94" i="191"/>
  <c r="P48" i="148"/>
  <c r="A49" i="148"/>
  <c r="A95" i="191" l="1"/>
  <c r="P94" i="191"/>
  <c r="P49" i="148"/>
  <c r="A50" i="148"/>
  <c r="A96" i="191" l="1"/>
  <c r="P95" i="191"/>
  <c r="P50" i="148"/>
  <c r="A51" i="148"/>
  <c r="P96" i="191" l="1"/>
  <c r="A97" i="191"/>
  <c r="A52" i="148"/>
  <c r="P51" i="148"/>
  <c r="P97" i="191" l="1"/>
  <c r="A98" i="191"/>
  <c r="P52" i="148"/>
  <c r="A53" i="148"/>
  <c r="P98" i="191" l="1"/>
  <c r="A99" i="191"/>
  <c r="A54" i="148"/>
  <c r="P53" i="148"/>
  <c r="A100" i="191" l="1"/>
  <c r="P99" i="191"/>
  <c r="A55" i="148"/>
  <c r="P54" i="148"/>
  <c r="A101" i="191" l="1"/>
  <c r="P100" i="191"/>
  <c r="A56" i="148"/>
  <c r="P55" i="148"/>
  <c r="P101" i="191" l="1"/>
  <c r="A102" i="191"/>
  <c r="P56" i="148"/>
  <c r="A57" i="148"/>
  <c r="A103" i="191" l="1"/>
  <c r="P102" i="191"/>
  <c r="A58" i="148"/>
  <c r="P57" i="148"/>
  <c r="A104" i="191" l="1"/>
  <c r="P103" i="191"/>
  <c r="P58" i="148"/>
  <c r="A59" i="148"/>
  <c r="P104" i="191" l="1"/>
  <c r="A105" i="191"/>
  <c r="P59" i="148"/>
  <c r="A60" i="148"/>
  <c r="P105" i="191" l="1"/>
  <c r="A106" i="191"/>
  <c r="A61" i="148"/>
  <c r="P60" i="148"/>
  <c r="P106" i="191" l="1"/>
  <c r="A107" i="191"/>
  <c r="A62" i="148"/>
  <c r="P61" i="148"/>
  <c r="A108" i="191" l="1"/>
  <c r="P107" i="191"/>
  <c r="A63" i="148"/>
  <c r="P62" i="148"/>
  <c r="A109" i="191" l="1"/>
  <c r="P108" i="191"/>
  <c r="A64" i="148"/>
  <c r="P63" i="148"/>
  <c r="P109" i="191" l="1"/>
  <c r="A110" i="191"/>
  <c r="P64" i="148"/>
  <c r="A65" i="148"/>
  <c r="A111" i="191" l="1"/>
  <c r="P110" i="191"/>
  <c r="P65" i="148"/>
  <c r="A66" i="148"/>
  <c r="A112" i="191" l="1"/>
  <c r="P111" i="191"/>
  <c r="P66" i="148"/>
  <c r="A67" i="148"/>
  <c r="P112" i="191" l="1"/>
  <c r="A113" i="191"/>
  <c r="A68" i="148"/>
  <c r="P67" i="148"/>
  <c r="P113" i="191" l="1"/>
  <c r="A114" i="191"/>
  <c r="P68" i="148"/>
  <c r="A69" i="148"/>
  <c r="P114" i="191" l="1"/>
  <c r="A115" i="191"/>
  <c r="A70" i="148"/>
  <c r="P69" i="148"/>
  <c r="A116" i="191" l="1"/>
  <c r="P115" i="191"/>
  <c r="A71" i="148"/>
  <c r="P70" i="148"/>
  <c r="A117" i="191" l="1"/>
  <c r="P116" i="191"/>
  <c r="A72" i="148"/>
  <c r="P71" i="148"/>
  <c r="A118" i="191" l="1"/>
  <c r="P117" i="191"/>
  <c r="P72" i="148"/>
  <c r="A73" i="148"/>
  <c r="A119" i="191" l="1"/>
  <c r="P118" i="191"/>
  <c r="A74" i="148"/>
  <c r="P73" i="148"/>
  <c r="A120" i="191" l="1"/>
  <c r="P119" i="191"/>
  <c r="P74" i="148"/>
  <c r="A75" i="148"/>
  <c r="P120" i="191" l="1"/>
  <c r="A121" i="191"/>
  <c r="A76" i="148"/>
  <c r="P75" i="148"/>
  <c r="P121" i="191" l="1"/>
  <c r="A122" i="191"/>
  <c r="A77" i="148"/>
  <c r="P76" i="148"/>
  <c r="P122" i="191" l="1"/>
  <c r="A123" i="191"/>
  <c r="A78" i="148"/>
  <c r="P77" i="148"/>
  <c r="A124" i="191" l="1"/>
  <c r="P123" i="191"/>
  <c r="A79" i="148"/>
  <c r="P78" i="148"/>
  <c r="A125" i="191" l="1"/>
  <c r="P124" i="191"/>
  <c r="A80" i="148"/>
  <c r="P79" i="148"/>
  <c r="P125" i="191" l="1"/>
  <c r="A126" i="191"/>
  <c r="P80" i="148"/>
  <c r="A81" i="148"/>
  <c r="A127" i="191" l="1"/>
  <c r="P126" i="191"/>
  <c r="P81" i="148"/>
  <c r="A82" i="148"/>
  <c r="A128" i="191" l="1"/>
  <c r="P127" i="191"/>
  <c r="P82" i="148"/>
  <c r="A83" i="148"/>
  <c r="P128" i="191" l="1"/>
  <c r="A129" i="191"/>
  <c r="A84" i="148"/>
  <c r="P83" i="148"/>
  <c r="P129" i="191" l="1"/>
  <c r="A130" i="191"/>
  <c r="P84" i="148"/>
  <c r="A85" i="148"/>
  <c r="P130" i="191" l="1"/>
  <c r="A131" i="191"/>
  <c r="A86" i="148"/>
  <c r="P85" i="148"/>
  <c r="A132" i="191" l="1"/>
  <c r="P131" i="191"/>
  <c r="A87" i="148"/>
  <c r="P86" i="148"/>
  <c r="A133" i="191" l="1"/>
  <c r="P132" i="191"/>
  <c r="A88" i="148"/>
  <c r="P87" i="148"/>
  <c r="A134" i="191" l="1"/>
  <c r="P133" i="191"/>
  <c r="P88" i="148"/>
  <c r="A89" i="148"/>
  <c r="A135" i="191" l="1"/>
  <c r="P134" i="191"/>
  <c r="A90" i="148"/>
  <c r="P89" i="148"/>
  <c r="A136" i="191" l="1"/>
  <c r="P135" i="191"/>
  <c r="P90" i="148"/>
  <c r="A91" i="148"/>
  <c r="P136" i="191" l="1"/>
  <c r="A137" i="191"/>
  <c r="A92" i="148"/>
  <c r="P91" i="148"/>
  <c r="P137" i="191" l="1"/>
  <c r="A138" i="191"/>
  <c r="A93" i="148"/>
  <c r="P92" i="148"/>
  <c r="P138" i="191" l="1"/>
  <c r="A139" i="191"/>
  <c r="A94" i="148"/>
  <c r="P93" i="148"/>
  <c r="A140" i="191" l="1"/>
  <c r="P139" i="191"/>
  <c r="A95" i="148"/>
  <c r="P94" i="148"/>
  <c r="A141" i="191" l="1"/>
  <c r="P140" i="191"/>
  <c r="A96" i="148"/>
  <c r="P95" i="148"/>
  <c r="A142" i="191" l="1"/>
  <c r="P141" i="191"/>
  <c r="P96" i="148"/>
  <c r="A97" i="148"/>
  <c r="A143" i="191" l="1"/>
  <c r="P142" i="191"/>
  <c r="P97" i="148"/>
  <c r="A98" i="148"/>
  <c r="A144" i="191" l="1"/>
  <c r="P143" i="191"/>
  <c r="P98" i="148"/>
  <c r="A99" i="148"/>
  <c r="P144" i="191" l="1"/>
  <c r="A145" i="191"/>
  <c r="A100" i="148"/>
  <c r="P99" i="148"/>
  <c r="P145" i="191" l="1"/>
  <c r="A146" i="191"/>
  <c r="P100" i="148"/>
  <c r="A101" i="148"/>
  <c r="P146" i="191" l="1"/>
  <c r="A147" i="191"/>
  <c r="A102" i="148"/>
  <c r="P101" i="148"/>
  <c r="A148" i="191" l="1"/>
  <c r="P147" i="191"/>
  <c r="A103" i="148"/>
  <c r="P102" i="148"/>
  <c r="A149" i="191" l="1"/>
  <c r="P148" i="191"/>
  <c r="A104" i="148"/>
  <c r="P103" i="148"/>
  <c r="P149" i="191" l="1"/>
  <c r="A150" i="191"/>
  <c r="P104" i="148"/>
  <c r="A105" i="148"/>
  <c r="A151" i="191" l="1"/>
  <c r="P150" i="191"/>
  <c r="A106" i="148"/>
  <c r="P105" i="148"/>
  <c r="A152" i="191" l="1"/>
  <c r="P151" i="191"/>
  <c r="P106" i="148"/>
  <c r="A107" i="148"/>
  <c r="P152" i="191" l="1"/>
  <c r="A153" i="191"/>
  <c r="A108" i="148"/>
  <c r="P107" i="148"/>
  <c r="P153" i="191" l="1"/>
  <c r="A154" i="191"/>
  <c r="A109" i="148"/>
  <c r="P108" i="148"/>
  <c r="P154" i="191" l="1"/>
  <c r="A155" i="191"/>
  <c r="A110" i="148"/>
  <c r="P109" i="148"/>
  <c r="A156" i="191" l="1"/>
  <c r="P155" i="191"/>
  <c r="A111" i="148"/>
  <c r="P110" i="148"/>
  <c r="A157" i="191" l="1"/>
  <c r="P156" i="191"/>
  <c r="A112" i="148"/>
  <c r="P111" i="148"/>
  <c r="P157" i="191" l="1"/>
  <c r="A158" i="191"/>
  <c r="P112" i="148"/>
  <c r="A113" i="148"/>
  <c r="A159" i="191" l="1"/>
  <c r="P158" i="191"/>
  <c r="P113" i="148"/>
  <c r="A114" i="148"/>
  <c r="A160" i="191" l="1"/>
  <c r="P159" i="191"/>
  <c r="P114" i="148"/>
  <c r="A115" i="148"/>
  <c r="P160" i="191" l="1"/>
  <c r="A161" i="191"/>
  <c r="A116" i="148"/>
  <c r="P115" i="148"/>
  <c r="P161" i="191" l="1"/>
  <c r="A162" i="191"/>
  <c r="P116" i="148"/>
  <c r="A117" i="148"/>
  <c r="P162" i="191" l="1"/>
  <c r="A163" i="191"/>
  <c r="A118" i="148"/>
  <c r="P117" i="148"/>
  <c r="A164" i="191" l="1"/>
  <c r="P163" i="191"/>
  <c r="A119" i="148"/>
  <c r="P118" i="148"/>
  <c r="A165" i="191" l="1"/>
  <c r="P164" i="191"/>
  <c r="A120" i="148"/>
  <c r="P119" i="148"/>
  <c r="P165" i="191" l="1"/>
  <c r="A166" i="191"/>
  <c r="P120" i="148"/>
  <c r="A121" i="148"/>
  <c r="A167" i="191" l="1"/>
  <c r="P166" i="191"/>
  <c r="A122" i="148"/>
  <c r="P121" i="148"/>
  <c r="A168" i="191" l="1"/>
  <c r="P167" i="191"/>
  <c r="P122" i="148"/>
  <c r="A123" i="148"/>
  <c r="P168" i="191" l="1"/>
  <c r="A169" i="191"/>
  <c r="A124" i="148"/>
  <c r="P123" i="148"/>
  <c r="A170" i="191" l="1"/>
  <c r="P169" i="191"/>
  <c r="A125" i="148"/>
  <c r="P124" i="148"/>
  <c r="P170" i="191" l="1"/>
  <c r="A171" i="191"/>
  <c r="A126" i="148"/>
  <c r="P125" i="148"/>
  <c r="A172" i="191" l="1"/>
  <c r="P171" i="191"/>
  <c r="A127" i="148"/>
  <c r="P126" i="148"/>
  <c r="A173" i="191" l="1"/>
  <c r="P172" i="191"/>
  <c r="A128" i="148"/>
  <c r="P127" i="148"/>
  <c r="A174" i="191" l="1"/>
  <c r="P173" i="191"/>
  <c r="P128" i="148"/>
  <c r="A129" i="148"/>
  <c r="A175" i="191" l="1"/>
  <c r="P174" i="191"/>
  <c r="P129" i="148"/>
  <c r="A130" i="148"/>
  <c r="A176" i="191" l="1"/>
  <c r="P175" i="191"/>
  <c r="P130" i="148"/>
  <c r="A131" i="148"/>
  <c r="A177" i="191" l="1"/>
  <c r="P176" i="191"/>
  <c r="A132" i="148"/>
  <c r="P131" i="148"/>
  <c r="A178" i="191" l="1"/>
  <c r="P177" i="191"/>
  <c r="P132" i="148"/>
  <c r="A133" i="148"/>
  <c r="P178" i="191" l="1"/>
  <c r="A179" i="191"/>
  <c r="A134" i="148"/>
  <c r="P133" i="148"/>
  <c r="A180" i="191" l="1"/>
  <c r="P179" i="191"/>
  <c r="A135" i="148"/>
  <c r="P134" i="148"/>
  <c r="A181" i="191" l="1"/>
  <c r="P180" i="191"/>
  <c r="A136" i="148"/>
  <c r="P135" i="148"/>
  <c r="A182" i="191" l="1"/>
  <c r="P181" i="191"/>
  <c r="P136" i="148"/>
  <c r="A137" i="148"/>
  <c r="A183" i="191" l="1"/>
  <c r="P182" i="191"/>
  <c r="A138" i="148"/>
  <c r="P137" i="148"/>
  <c r="A184" i="191" l="1"/>
  <c r="P183" i="191"/>
  <c r="P138" i="148"/>
  <c r="A139" i="148"/>
  <c r="A185" i="191" l="1"/>
  <c r="P184" i="191"/>
  <c r="A140" i="148"/>
  <c r="P139" i="148"/>
  <c r="A186" i="191" l="1"/>
  <c r="P185" i="191"/>
  <c r="A141" i="148"/>
  <c r="P140" i="148"/>
  <c r="P186" i="191" l="1"/>
  <c r="A187" i="191"/>
  <c r="A142" i="148"/>
  <c r="P141" i="148"/>
  <c r="A188" i="191" l="1"/>
  <c r="P187" i="191"/>
  <c r="P142" i="148"/>
  <c r="A143" i="148"/>
  <c r="A189" i="191" l="1"/>
  <c r="P188" i="191"/>
  <c r="A144" i="148"/>
  <c r="P143" i="148"/>
  <c r="A190" i="191" l="1"/>
  <c r="P189" i="191"/>
  <c r="P144" i="148"/>
  <c r="A145" i="148"/>
  <c r="A191" i="191" l="1"/>
  <c r="P190" i="191"/>
  <c r="P145" i="148"/>
  <c r="A146" i="148"/>
  <c r="A192" i="191" l="1"/>
  <c r="P191" i="191"/>
  <c r="P146" i="148"/>
  <c r="A147" i="148"/>
  <c r="A193" i="191" l="1"/>
  <c r="P192" i="191"/>
  <c r="A148" i="148"/>
  <c r="P147" i="148"/>
  <c r="A194" i="191" l="1"/>
  <c r="P193" i="191"/>
  <c r="P148" i="148"/>
  <c r="A149" i="148"/>
  <c r="P194" i="191" l="1"/>
  <c r="A195" i="191"/>
  <c r="A150" i="148"/>
  <c r="P149" i="148"/>
  <c r="A196" i="191" l="1"/>
  <c r="P195" i="191"/>
  <c r="A151" i="148"/>
  <c r="P150" i="148"/>
  <c r="A197" i="191" l="1"/>
  <c r="P196" i="191"/>
  <c r="A152" i="148"/>
  <c r="P151" i="148"/>
  <c r="P197" i="191" l="1"/>
  <c r="A198" i="191"/>
  <c r="P152" i="148"/>
  <c r="A153" i="148"/>
  <c r="A199" i="191" l="1"/>
  <c r="P198" i="191"/>
  <c r="A154" i="148"/>
  <c r="P153" i="148"/>
  <c r="A200" i="191" l="1"/>
  <c r="P199" i="191"/>
  <c r="P154" i="148"/>
  <c r="A155" i="148"/>
  <c r="P200" i="191" l="1"/>
  <c r="A201" i="191"/>
  <c r="A156" i="148"/>
  <c r="P155" i="148"/>
  <c r="A202" i="191" l="1"/>
  <c r="P201" i="191"/>
  <c r="A157" i="148"/>
  <c r="P156" i="148"/>
  <c r="P202" i="191" l="1"/>
  <c r="A203" i="191"/>
  <c r="A158" i="148"/>
  <c r="P157" i="148"/>
  <c r="A204" i="191" l="1"/>
  <c r="P203" i="191"/>
  <c r="P158" i="148"/>
  <c r="A159" i="148"/>
  <c r="A205" i="191" l="1"/>
  <c r="P204" i="191"/>
  <c r="A160" i="148"/>
  <c r="P159" i="148"/>
  <c r="P205" i="191" l="1"/>
  <c r="A206" i="191"/>
  <c r="P160" i="148"/>
  <c r="A161" i="148"/>
  <c r="A207" i="191" l="1"/>
  <c r="P206" i="191"/>
  <c r="A162" i="148"/>
  <c r="P161" i="148"/>
  <c r="A208" i="191" l="1"/>
  <c r="P207" i="191"/>
  <c r="A163" i="148"/>
  <c r="P162" i="148"/>
  <c r="A209" i="191" l="1"/>
  <c r="P208" i="191"/>
  <c r="A164" i="148"/>
  <c r="P163" i="148"/>
  <c r="A210" i="191" l="1"/>
  <c r="P209" i="191"/>
  <c r="P164" i="148"/>
  <c r="A165" i="148"/>
  <c r="P210" i="191" l="1"/>
  <c r="A211" i="191"/>
  <c r="A166" i="148"/>
  <c r="P165" i="148"/>
  <c r="A212" i="191" l="1"/>
  <c r="P211" i="191"/>
  <c r="A167" i="148"/>
  <c r="P166" i="148"/>
  <c r="A213" i="191" l="1"/>
  <c r="P212" i="191"/>
  <c r="A168" i="148"/>
  <c r="P167" i="148"/>
  <c r="A214" i="191" l="1"/>
  <c r="P213" i="191"/>
  <c r="P168" i="148"/>
  <c r="A169" i="148"/>
  <c r="A215" i="191" l="1"/>
  <c r="P214" i="191"/>
  <c r="A170" i="148"/>
  <c r="P169" i="148"/>
  <c r="A216" i="191" l="1"/>
  <c r="P215" i="191"/>
  <c r="A171" i="148"/>
  <c r="P170" i="148"/>
  <c r="A217" i="191" l="1"/>
  <c r="P216" i="191"/>
  <c r="A172" i="148"/>
  <c r="P171" i="148"/>
  <c r="A218" i="191" l="1"/>
  <c r="P217" i="191"/>
  <c r="P172" i="148"/>
  <c r="A173" i="148"/>
  <c r="P218" i="191" l="1"/>
  <c r="A219" i="191"/>
  <c r="A174" i="148"/>
  <c r="P173" i="148"/>
  <c r="A220" i="191" l="1"/>
  <c r="P219" i="191"/>
  <c r="A175" i="148"/>
  <c r="P174" i="148"/>
  <c r="A221" i="191" l="1"/>
  <c r="P220" i="191"/>
  <c r="A176" i="148"/>
  <c r="P175" i="148"/>
  <c r="A222" i="191" l="1"/>
  <c r="P221" i="191"/>
  <c r="P176" i="148"/>
  <c r="A177" i="148"/>
  <c r="A223" i="191" l="1"/>
  <c r="P222" i="191"/>
  <c r="A178" i="148"/>
  <c r="P177" i="148"/>
  <c r="A224" i="191" l="1"/>
  <c r="P223" i="191"/>
  <c r="A179" i="148"/>
  <c r="P178" i="148"/>
  <c r="P224" i="191" l="1"/>
  <c r="A225" i="191"/>
  <c r="A180" i="148"/>
  <c r="P179" i="148"/>
  <c r="A226" i="191" l="1"/>
  <c r="P225" i="191"/>
  <c r="A181" i="148"/>
  <c r="P180" i="148"/>
  <c r="P226" i="191" l="1"/>
  <c r="A227" i="191"/>
  <c r="A182" i="148"/>
  <c r="P181" i="148"/>
  <c r="A228" i="191" l="1"/>
  <c r="P227" i="191"/>
  <c r="P182" i="148"/>
  <c r="A183" i="148"/>
  <c r="A229" i="191" l="1"/>
  <c r="P228" i="191"/>
  <c r="A184" i="148"/>
  <c r="P183" i="148"/>
  <c r="P229" i="191" l="1"/>
  <c r="A230" i="191"/>
  <c r="P184" i="148"/>
  <c r="A185" i="148"/>
  <c r="A231" i="191" l="1"/>
  <c r="P230" i="191"/>
  <c r="A186" i="148"/>
  <c r="P185" i="148"/>
  <c r="A232" i="191" l="1"/>
  <c r="P231" i="191"/>
  <c r="A187" i="148"/>
  <c r="P186" i="148"/>
  <c r="P232" i="191" l="1"/>
  <c r="A233" i="191"/>
  <c r="P187" i="148"/>
  <c r="A188" i="148"/>
  <c r="A234" i="191" l="1"/>
  <c r="P233" i="191"/>
  <c r="A189" i="148"/>
  <c r="P188" i="148"/>
  <c r="P234" i="191" l="1"/>
  <c r="A235" i="191"/>
  <c r="A190" i="148"/>
  <c r="P189" i="148"/>
  <c r="A236" i="191" l="1"/>
  <c r="P235" i="191"/>
  <c r="P190" i="148"/>
  <c r="A191" i="148"/>
  <c r="A237" i="191" l="1"/>
  <c r="P236" i="191"/>
  <c r="A192" i="148"/>
  <c r="P191" i="148"/>
  <c r="P237" i="191" l="1"/>
  <c r="A238" i="191"/>
  <c r="P192" i="148"/>
  <c r="A193" i="148"/>
  <c r="A239" i="191" l="1"/>
  <c r="P238" i="191"/>
  <c r="A194" i="148"/>
  <c r="P193" i="148"/>
  <c r="A240" i="191" l="1"/>
  <c r="P239" i="191"/>
  <c r="A195" i="148"/>
  <c r="P194" i="148"/>
  <c r="A241" i="191" l="1"/>
  <c r="P240" i="191"/>
  <c r="A196" i="148"/>
  <c r="P195" i="148"/>
  <c r="A242" i="191" l="1"/>
  <c r="P241" i="191"/>
  <c r="P196" i="148"/>
  <c r="A197" i="148"/>
  <c r="P242" i="191" l="1"/>
  <c r="A243" i="191"/>
  <c r="A198" i="148"/>
  <c r="P197" i="148"/>
  <c r="A244" i="191" l="1"/>
  <c r="P243" i="191"/>
  <c r="A199" i="148"/>
  <c r="P198" i="148"/>
  <c r="A245" i="191" l="1"/>
  <c r="P244" i="191"/>
  <c r="A200" i="148"/>
  <c r="P199" i="148"/>
  <c r="A246" i="191" l="1"/>
  <c r="P245" i="191"/>
  <c r="P200" i="148"/>
  <c r="A201" i="148"/>
  <c r="A247" i="191" l="1"/>
  <c r="P246" i="191"/>
  <c r="P201" i="148"/>
  <c r="A202" i="148"/>
  <c r="A248" i="191" l="1"/>
  <c r="P247" i="191"/>
  <c r="A203" i="148"/>
  <c r="P202" i="148"/>
  <c r="A249" i="191" l="1"/>
  <c r="P248" i="191"/>
  <c r="A204" i="148"/>
  <c r="P203" i="148"/>
  <c r="A250" i="191" l="1"/>
  <c r="P249" i="191"/>
  <c r="P204" i="148"/>
  <c r="A205" i="148"/>
  <c r="P250" i="191" l="1"/>
  <c r="A251" i="191"/>
  <c r="A206" i="148"/>
  <c r="P205" i="148"/>
  <c r="A252" i="191" l="1"/>
  <c r="P251" i="191"/>
  <c r="A207" i="148"/>
  <c r="P206" i="148"/>
  <c r="A253" i="191" l="1"/>
  <c r="P252" i="191"/>
  <c r="A208" i="148"/>
  <c r="P207" i="148"/>
  <c r="A254" i="191" l="1"/>
  <c r="P253" i="191"/>
  <c r="P208" i="148"/>
  <c r="A209" i="148"/>
  <c r="A255" i="191" l="1"/>
  <c r="P254" i="191"/>
  <c r="A210" i="148"/>
  <c r="P209" i="148"/>
  <c r="A256" i="191" l="1"/>
  <c r="P255" i="191"/>
  <c r="A211" i="148"/>
  <c r="P210" i="148"/>
  <c r="A257" i="191" l="1"/>
  <c r="P256" i="191"/>
  <c r="A212" i="148"/>
  <c r="P211" i="148"/>
  <c r="A258" i="191" l="1"/>
  <c r="P257" i="191"/>
  <c r="A213" i="148"/>
  <c r="P212" i="148"/>
  <c r="P258" i="191" l="1"/>
  <c r="A259" i="191"/>
  <c r="A214" i="148"/>
  <c r="P213" i="148"/>
  <c r="A260" i="191" l="1"/>
  <c r="P259" i="191"/>
  <c r="P214" i="148"/>
  <c r="A215" i="148"/>
  <c r="A261" i="191" l="1"/>
  <c r="P260" i="191"/>
  <c r="A216" i="148"/>
  <c r="P215" i="148"/>
  <c r="A262" i="191" l="1"/>
  <c r="P261" i="191"/>
  <c r="P216" i="148"/>
  <c r="A217" i="148"/>
  <c r="A263" i="191" l="1"/>
  <c r="P262" i="191"/>
  <c r="A218" i="148"/>
  <c r="P217" i="148"/>
  <c r="A264" i="191" l="1"/>
  <c r="P263" i="191"/>
  <c r="A219" i="148"/>
  <c r="P218" i="148"/>
  <c r="P264" i="191" l="1"/>
  <c r="A265" i="191"/>
  <c r="A220" i="148"/>
  <c r="P219" i="148"/>
  <c r="A266" i="191" l="1"/>
  <c r="P265" i="191"/>
  <c r="A221" i="148"/>
  <c r="P220" i="148"/>
  <c r="P266" i="191" l="1"/>
  <c r="A267" i="191"/>
  <c r="A222" i="148"/>
  <c r="P221" i="148"/>
  <c r="A268" i="191" l="1"/>
  <c r="P267" i="191"/>
  <c r="P222" i="148"/>
  <c r="A223" i="148"/>
  <c r="A269" i="191" l="1"/>
  <c r="P268" i="191"/>
  <c r="A224" i="148"/>
  <c r="P223" i="148"/>
  <c r="P269" i="191" l="1"/>
  <c r="A270" i="191"/>
  <c r="P224" i="148"/>
  <c r="A225" i="148"/>
  <c r="A271" i="191" l="1"/>
  <c r="P270" i="191"/>
  <c r="A226" i="148"/>
  <c r="P225" i="148"/>
  <c r="A272" i="191" l="1"/>
  <c r="P271" i="191"/>
  <c r="A227" i="148"/>
  <c r="P226" i="148"/>
  <c r="A273" i="191" l="1"/>
  <c r="P272" i="191"/>
  <c r="A228" i="148"/>
  <c r="P227" i="148"/>
  <c r="A274" i="191" l="1"/>
  <c r="P273" i="191"/>
  <c r="P228" i="148"/>
  <c r="A229" i="148"/>
  <c r="P274" i="191" l="1"/>
  <c r="A275" i="191"/>
  <c r="A230" i="148"/>
  <c r="P229" i="148"/>
  <c r="A276" i="191" l="1"/>
  <c r="P275" i="191"/>
  <c r="P230" i="148"/>
  <c r="A231" i="148"/>
  <c r="A277" i="191" l="1"/>
  <c r="P276" i="191"/>
  <c r="A232" i="148"/>
  <c r="P231" i="148"/>
  <c r="A278" i="191" l="1"/>
  <c r="P277" i="191"/>
  <c r="P232" i="148"/>
  <c r="A233" i="148"/>
  <c r="A279" i="191" l="1"/>
  <c r="P278" i="191"/>
  <c r="A234" i="148"/>
  <c r="P233" i="148"/>
  <c r="A280" i="191" l="1"/>
  <c r="P279" i="191"/>
  <c r="A235" i="148"/>
  <c r="P234" i="148"/>
  <c r="A281" i="191" l="1"/>
  <c r="P280" i="191"/>
  <c r="A236" i="148"/>
  <c r="P235" i="148"/>
  <c r="A282" i="191" l="1"/>
  <c r="P281" i="191"/>
  <c r="P236" i="148"/>
  <c r="A237" i="148"/>
  <c r="P282" i="191" l="1"/>
  <c r="A283" i="191"/>
  <c r="A238" i="148"/>
  <c r="P237" i="148"/>
  <c r="A284" i="191" l="1"/>
  <c r="P283" i="191"/>
  <c r="P238" i="148"/>
  <c r="A239" i="148"/>
  <c r="A285" i="191" l="1"/>
  <c r="P284" i="191"/>
  <c r="P239" i="148"/>
  <c r="A240" i="148"/>
  <c r="A286" i="191" l="1"/>
  <c r="P285" i="191"/>
  <c r="P240" i="148"/>
  <c r="A241" i="148"/>
  <c r="A287" i="191" l="1"/>
  <c r="P286" i="191"/>
  <c r="P241" i="148"/>
  <c r="A242" i="148"/>
  <c r="A288" i="191" l="1"/>
  <c r="P287" i="191"/>
  <c r="A243" i="148"/>
  <c r="P242" i="148"/>
  <c r="A289" i="191" l="1"/>
  <c r="P288" i="191"/>
  <c r="A244" i="148"/>
  <c r="P243" i="148"/>
  <c r="A290" i="191" l="1"/>
  <c r="P289" i="191"/>
  <c r="P244" i="148"/>
  <c r="A245" i="148"/>
  <c r="P290" i="191" l="1"/>
  <c r="A291" i="191"/>
  <c r="A246" i="148"/>
  <c r="P245" i="148"/>
  <c r="A292" i="191" l="1"/>
  <c r="P291" i="191"/>
  <c r="P246" i="148"/>
  <c r="A247" i="148"/>
  <c r="A293" i="191" l="1"/>
  <c r="P292" i="191"/>
  <c r="A248" i="148"/>
  <c r="P247" i="148"/>
  <c r="P293" i="191" l="1"/>
  <c r="A294" i="191"/>
  <c r="P248" i="148"/>
  <c r="A249" i="148"/>
  <c r="A295" i="191" l="1"/>
  <c r="P294" i="191"/>
  <c r="P249" i="148"/>
  <c r="A250" i="148"/>
  <c r="A296" i="191" l="1"/>
  <c r="P295" i="191"/>
  <c r="A251" i="148"/>
  <c r="P250" i="148"/>
  <c r="P296" i="191" l="1"/>
  <c r="A297" i="191"/>
  <c r="A252" i="148"/>
  <c r="P251" i="148"/>
  <c r="A298" i="191" l="1"/>
  <c r="P297" i="191"/>
  <c r="A253" i="148"/>
  <c r="P252" i="148"/>
  <c r="P298" i="191" l="1"/>
  <c r="A299" i="191"/>
  <c r="A254" i="148"/>
  <c r="P253" i="148"/>
  <c r="A300" i="191" l="1"/>
  <c r="P299" i="191"/>
  <c r="P254" i="148"/>
  <c r="A255" i="148"/>
  <c r="A301" i="191" l="1"/>
  <c r="P300" i="191"/>
  <c r="A256" i="148"/>
  <c r="P255" i="148"/>
  <c r="A302" i="191" l="1"/>
  <c r="P301" i="191"/>
  <c r="P256" i="148"/>
  <c r="A257" i="148"/>
  <c r="A303" i="191" l="1"/>
  <c r="P302" i="191"/>
  <c r="P257" i="148"/>
  <c r="A258" i="148"/>
  <c r="A304" i="191" l="1"/>
  <c r="P303" i="191"/>
  <c r="A259" i="148"/>
  <c r="P258" i="148"/>
  <c r="A305" i="191" l="1"/>
  <c r="P304" i="191"/>
  <c r="A260" i="148"/>
  <c r="P259" i="148"/>
  <c r="A306" i="191" l="1"/>
  <c r="P305" i="191"/>
  <c r="P260" i="148"/>
  <c r="A261" i="148"/>
  <c r="P306" i="191" l="1"/>
  <c r="A307" i="191"/>
  <c r="A262" i="148"/>
  <c r="P261" i="148"/>
  <c r="A308" i="191" l="1"/>
  <c r="P307" i="191"/>
  <c r="P262" i="148"/>
  <c r="A263" i="148"/>
  <c r="A309" i="191" l="1"/>
  <c r="P308" i="191"/>
  <c r="A264" i="148"/>
  <c r="P263" i="148"/>
  <c r="A310" i="191" l="1"/>
  <c r="P309" i="191"/>
  <c r="P264" i="148"/>
  <c r="A265" i="148"/>
  <c r="A311" i="191" l="1"/>
  <c r="P310" i="191"/>
  <c r="P265" i="148"/>
  <c r="A266" i="148"/>
  <c r="A312" i="191" l="1"/>
  <c r="P311" i="191"/>
  <c r="A267" i="148"/>
  <c r="P266" i="148"/>
  <c r="A313" i="191" l="1"/>
  <c r="P312" i="191"/>
  <c r="A268" i="148"/>
  <c r="P267" i="148"/>
  <c r="A314" i="191" l="1"/>
  <c r="P313" i="191"/>
  <c r="P268" i="148"/>
  <c r="A269" i="148"/>
  <c r="P314" i="191" l="1"/>
  <c r="A315" i="191"/>
  <c r="A270" i="148"/>
  <c r="P269" i="148"/>
  <c r="A316" i="191" l="1"/>
  <c r="P315" i="191"/>
  <c r="P270" i="148"/>
  <c r="A271" i="148"/>
  <c r="A317" i="191" l="1"/>
  <c r="P316" i="191"/>
  <c r="A272" i="148"/>
  <c r="P271" i="148"/>
  <c r="A318" i="191" l="1"/>
  <c r="P317" i="191"/>
  <c r="P272" i="148"/>
  <c r="A273" i="148"/>
  <c r="A319" i="191" l="1"/>
  <c r="P318" i="191"/>
  <c r="P273" i="148"/>
  <c r="A274" i="148"/>
  <c r="A320" i="191" l="1"/>
  <c r="P319" i="191"/>
  <c r="A275" i="148"/>
  <c r="P274" i="148"/>
  <c r="A321" i="191" l="1"/>
  <c r="P320" i="191"/>
  <c r="A276" i="148"/>
  <c r="P275" i="148"/>
  <c r="A322" i="191" l="1"/>
  <c r="P321" i="191"/>
  <c r="P276" i="148"/>
  <c r="A277" i="148"/>
  <c r="P322" i="191" l="1"/>
  <c r="A323" i="191"/>
  <c r="A278" i="148"/>
  <c r="P277" i="148"/>
  <c r="A324" i="191" l="1"/>
  <c r="P323" i="191"/>
  <c r="P278" i="148"/>
  <c r="A279" i="148"/>
  <c r="A325" i="191" l="1"/>
  <c r="P324" i="191"/>
  <c r="A280" i="148"/>
  <c r="P279" i="148"/>
  <c r="P325" i="191" l="1"/>
  <c r="A326" i="191"/>
  <c r="P280" i="148"/>
  <c r="A281" i="148"/>
  <c r="A327" i="191" l="1"/>
  <c r="P326" i="191"/>
  <c r="A282" i="148"/>
  <c r="P281" i="148"/>
  <c r="A328" i="191" l="1"/>
  <c r="P327" i="191"/>
  <c r="A283" i="148"/>
  <c r="P282" i="148"/>
  <c r="P328" i="191" l="1"/>
  <c r="A329" i="191"/>
  <c r="A284" i="148"/>
  <c r="P283" i="148"/>
  <c r="A330" i="191" l="1"/>
  <c r="P329" i="191"/>
  <c r="A285" i="148"/>
  <c r="P284" i="148"/>
  <c r="P330" i="191" l="1"/>
  <c r="A331" i="191"/>
  <c r="A286" i="148"/>
  <c r="P285" i="148"/>
  <c r="A332" i="191" l="1"/>
  <c r="P331" i="191"/>
  <c r="P286" i="148"/>
  <c r="A287" i="148"/>
  <c r="A333" i="191" l="1"/>
  <c r="P332" i="191"/>
  <c r="A288" i="148"/>
  <c r="P287" i="148"/>
  <c r="A334" i="191" l="1"/>
  <c r="P333" i="191"/>
  <c r="P288" i="148"/>
  <c r="A289" i="148"/>
  <c r="A335" i="191" l="1"/>
  <c r="P334" i="191"/>
  <c r="P289" i="148"/>
  <c r="A290" i="148"/>
  <c r="A336" i="191" l="1"/>
  <c r="P335" i="191"/>
  <c r="P290" i="148"/>
  <c r="A291" i="148"/>
  <c r="A337" i="191" l="1"/>
  <c r="P336" i="191"/>
  <c r="A292" i="148"/>
  <c r="P291" i="148"/>
  <c r="A338" i="191" l="1"/>
  <c r="P338" i="191" s="1"/>
  <c r="P337" i="191"/>
  <c r="P292" i="148"/>
  <c r="A293" i="148"/>
  <c r="A294" i="148" l="1"/>
  <c r="P293" i="148"/>
  <c r="P294" i="148" l="1"/>
  <c r="A295" i="148"/>
  <c r="A296" i="148" l="1"/>
  <c r="P295" i="148"/>
  <c r="P296" i="148" l="1"/>
  <c r="A297" i="148"/>
  <c r="A298" i="148" l="1"/>
  <c r="P297" i="148"/>
  <c r="A299" i="148" l="1"/>
  <c r="P298" i="148"/>
  <c r="A300" i="148" l="1"/>
  <c r="P299" i="148"/>
  <c r="A301" i="148" l="1"/>
  <c r="P300" i="148"/>
  <c r="A302" i="148" l="1"/>
  <c r="P301" i="148"/>
  <c r="P302" i="148" l="1"/>
  <c r="A303" i="148"/>
  <c r="A304" i="148" l="1"/>
  <c r="P303" i="148"/>
  <c r="P304" i="148" l="1"/>
  <c r="A305" i="148"/>
  <c r="P305" i="148" l="1"/>
  <c r="A306" i="148"/>
  <c r="A307" i="148" l="1"/>
  <c r="P306" i="148"/>
  <c r="A308" i="148" l="1"/>
  <c r="P307" i="148"/>
  <c r="P308" i="148" l="1"/>
  <c r="A309" i="148"/>
  <c r="A310" i="148" l="1"/>
  <c r="P309" i="148"/>
  <c r="P310" i="148" l="1"/>
  <c r="A311" i="148"/>
  <c r="A312" i="148" l="1"/>
  <c r="P311" i="148"/>
  <c r="P312" i="148" l="1"/>
  <c r="A313" i="148"/>
  <c r="A314" i="148" l="1"/>
  <c r="P313" i="148"/>
  <c r="A315" i="148" l="1"/>
  <c r="P314" i="148"/>
  <c r="A316" i="148" l="1"/>
  <c r="P315" i="148"/>
  <c r="P316" i="148" l="1"/>
  <c r="A317" i="148"/>
  <c r="A318" i="148" l="1"/>
  <c r="P317" i="148"/>
  <c r="P318" i="148" l="1"/>
  <c r="A319" i="148"/>
  <c r="A320" i="148" l="1"/>
  <c r="P319" i="148"/>
  <c r="P320" i="148" l="1"/>
  <c r="A321" i="148"/>
  <c r="P321" i="148" l="1"/>
  <c r="A322" i="148"/>
  <c r="A323" i="148" l="1"/>
  <c r="P322" i="148"/>
  <c r="A324" i="148" l="1"/>
  <c r="P323" i="148"/>
  <c r="P324" i="148" l="1"/>
  <c r="A325" i="148"/>
  <c r="A326" i="148" l="1"/>
  <c r="P325" i="148"/>
  <c r="P326" i="148" l="1"/>
  <c r="A327" i="148"/>
  <c r="A328" i="148" l="1"/>
  <c r="P327" i="148"/>
  <c r="P328" i="148" l="1"/>
  <c r="A329" i="148"/>
  <c r="P329" i="148" l="1"/>
  <c r="A330" i="148"/>
  <c r="A331" i="148" l="1"/>
  <c r="P330" i="148"/>
  <c r="A332" i="148" l="1"/>
  <c r="P331" i="148"/>
  <c r="A333" i="148" l="1"/>
  <c r="P332" i="148"/>
  <c r="A334" i="148" l="1"/>
  <c r="P333" i="148"/>
  <c r="P334" i="148" l="1"/>
  <c r="A335" i="148"/>
  <c r="P335" i="148" s="1"/>
  <c r="E6" i="109"/>
  <c r="F6" i="109" s="1"/>
  <c r="G6" i="109" s="1"/>
  <c r="H6" i="109" s="1"/>
  <c r="I6" i="109" s="1"/>
  <c r="J6" i="109" s="1"/>
  <c r="K6" i="109" s="1"/>
  <c r="L6" i="109" s="1"/>
  <c r="M6" i="109" s="1"/>
  <c r="N6" i="109" s="1"/>
  <c r="C5" i="109" l="1"/>
  <c r="B23" i="109"/>
  <c r="C14" i="109" l="1"/>
  <c r="D5" i="109"/>
  <c r="B14" i="109"/>
  <c r="B25" i="109" s="1"/>
  <c r="B26" i="109" s="1"/>
  <c r="B30" i="109" l="1"/>
  <c r="E5" i="109"/>
  <c r="D14" i="109"/>
  <c r="C23" i="109"/>
  <c r="C25" i="109"/>
  <c r="C26" i="109" s="1"/>
  <c r="C30" i="109" s="1"/>
  <c r="F5" i="109" l="1"/>
  <c r="E14" i="109"/>
  <c r="D23" i="109"/>
  <c r="D25" i="109" s="1"/>
  <c r="D26" i="109" s="1"/>
  <c r="D30" i="109" s="1"/>
  <c r="G5" i="109" l="1"/>
  <c r="E23" i="109"/>
  <c r="E25" i="109" s="1"/>
  <c r="E26" i="109" s="1"/>
  <c r="E30" i="109" s="1"/>
  <c r="H5" i="109" l="1"/>
  <c r="G14" i="109"/>
  <c r="F23" i="109"/>
  <c r="F14" i="109"/>
  <c r="F25" i="109" s="1"/>
  <c r="F26" i="109" s="1"/>
  <c r="F30" i="109" s="1"/>
  <c r="I5" i="109" l="1"/>
  <c r="G23" i="109"/>
  <c r="G25" i="109" s="1"/>
  <c r="G26" i="109" s="1"/>
  <c r="G30" i="109" s="1"/>
  <c r="J5" i="109" l="1"/>
  <c r="I14" i="109"/>
  <c r="H23" i="109"/>
  <c r="H14" i="109"/>
  <c r="H25" i="109" s="1"/>
  <c r="H26" i="109" s="1"/>
  <c r="H30" i="109" s="1"/>
  <c r="I23" i="109" l="1"/>
  <c r="I25" i="109" s="1"/>
  <c r="I26" i="109" s="1"/>
  <c r="I30" i="109" s="1"/>
  <c r="K5" i="109"/>
  <c r="J14" i="109" l="1"/>
  <c r="L5" i="109"/>
  <c r="J23" i="109"/>
  <c r="K23" i="109" l="1"/>
  <c r="K14" i="109"/>
  <c r="M5" i="109"/>
  <c r="J25" i="109"/>
  <c r="J26" i="109" s="1"/>
  <c r="J30" i="109" s="1"/>
  <c r="L23" i="109" l="1"/>
  <c r="L14" i="109"/>
  <c r="L25" i="109" s="1"/>
  <c r="L26" i="109" s="1"/>
  <c r="L30" i="109" s="1"/>
  <c r="N5" i="109"/>
  <c r="M14" i="109"/>
  <c r="K25" i="109"/>
  <c r="K26" i="109" s="1"/>
  <c r="K30" i="109" s="1"/>
  <c r="M23" i="109" l="1"/>
  <c r="N23" i="109"/>
  <c r="M25" i="109"/>
  <c r="M26" i="109" s="1"/>
  <c r="M30" i="109" s="1"/>
  <c r="N14" i="109" l="1"/>
  <c r="N25" i="109" s="1"/>
  <c r="N26" i="109" s="1"/>
  <c r="N30" i="109" l="1"/>
  <c r="O15" i="108" l="1"/>
  <c r="O17" i="108" s="1"/>
  <c r="N15" i="108"/>
  <c r="N17" i="108" s="1"/>
  <c r="M15" i="108"/>
  <c r="M17" i="108" s="1"/>
  <c r="L15" i="108"/>
  <c r="L17" i="108" s="1"/>
  <c r="K15" i="108"/>
  <c r="K17" i="108" s="1"/>
  <c r="J15" i="108"/>
  <c r="J17" i="108" s="1"/>
  <c r="I15" i="108"/>
  <c r="I17" i="108" s="1"/>
  <c r="H15" i="108"/>
  <c r="H17" i="108" s="1"/>
  <c r="G15" i="108"/>
  <c r="G17" i="108" s="1"/>
  <c r="F15" i="108"/>
  <c r="F17" i="108" s="1"/>
  <c r="E15" i="108"/>
  <c r="E17" i="108" s="1"/>
  <c r="D15" i="108"/>
  <c r="D17" i="108" s="1"/>
  <c r="B15" i="108"/>
  <c r="B17" i="108" s="1"/>
  <c r="C7" i="108"/>
  <c r="C15" i="108" l="1"/>
  <c r="C17" i="108" s="1"/>
  <c r="AB341" i="107" l="1"/>
  <c r="AA341" i="107"/>
  <c r="Z341" i="107"/>
  <c r="Y341" i="107"/>
  <c r="W341" i="107"/>
  <c r="V341" i="107"/>
  <c r="U341" i="107"/>
  <c r="S341" i="107"/>
  <c r="R341" i="107"/>
  <c r="Q341" i="107"/>
  <c r="P341" i="107"/>
  <c r="O341" i="107"/>
  <c r="L341" i="107"/>
  <c r="E341" i="107"/>
  <c r="F341" i="107" s="1"/>
  <c r="C341" i="107"/>
  <c r="K339" i="107"/>
  <c r="H339" i="107"/>
  <c r="F339" i="107"/>
  <c r="K338" i="107"/>
  <c r="H338" i="107"/>
  <c r="F338" i="107"/>
  <c r="K337" i="107"/>
  <c r="J337" i="107"/>
  <c r="H337" i="107"/>
  <c r="F337" i="107"/>
  <c r="K336" i="107"/>
  <c r="H336" i="107"/>
  <c r="F336" i="107"/>
  <c r="K335" i="107"/>
  <c r="J335" i="107"/>
  <c r="H335" i="107"/>
  <c r="F335" i="107"/>
  <c r="K334" i="107"/>
  <c r="H334" i="107"/>
  <c r="F334" i="107"/>
  <c r="K333" i="107"/>
  <c r="H333" i="107"/>
  <c r="F333" i="107"/>
  <c r="K332" i="107"/>
  <c r="J332" i="107"/>
  <c r="H332" i="107"/>
  <c r="F332" i="107"/>
  <c r="K331" i="107"/>
  <c r="H331" i="107"/>
  <c r="F331" i="107"/>
  <c r="K330" i="107"/>
  <c r="J330" i="107"/>
  <c r="J341" i="107" s="1"/>
  <c r="H330" i="107"/>
  <c r="F330" i="107"/>
  <c r="K329" i="107"/>
  <c r="K341" i="107" s="1"/>
  <c r="M341" i="107" s="1"/>
  <c r="F329" i="107"/>
  <c r="K328" i="107"/>
  <c r="H328" i="107"/>
  <c r="H341" i="107" s="1"/>
  <c r="F328" i="107"/>
  <c r="AB326" i="107"/>
  <c r="AA326" i="107"/>
  <c r="Z326" i="107"/>
  <c r="Y326" i="107"/>
  <c r="W326" i="107"/>
  <c r="V326" i="107"/>
  <c r="U326" i="107"/>
  <c r="S326" i="107"/>
  <c r="R326" i="107"/>
  <c r="P326" i="107"/>
  <c r="O326" i="107"/>
  <c r="L326" i="107"/>
  <c r="K326" i="107"/>
  <c r="M326" i="107" s="1"/>
  <c r="E326" i="107"/>
  <c r="C326" i="107"/>
  <c r="Q324" i="107"/>
  <c r="H324" i="107"/>
  <c r="F324" i="107"/>
  <c r="Q323" i="107"/>
  <c r="J323" i="107"/>
  <c r="H323" i="107"/>
  <c r="F323" i="107"/>
  <c r="Q322" i="107"/>
  <c r="H322" i="107" s="1"/>
  <c r="F322" i="107"/>
  <c r="Q321" i="107"/>
  <c r="H321" i="107"/>
  <c r="F321" i="107"/>
  <c r="Q320" i="107"/>
  <c r="H320" i="107" s="1"/>
  <c r="J320" i="107"/>
  <c r="F320" i="107"/>
  <c r="Q319" i="107"/>
  <c r="H319" i="107" s="1"/>
  <c r="F319" i="107"/>
  <c r="Q318" i="107"/>
  <c r="H318" i="107"/>
  <c r="F318" i="107"/>
  <c r="Q317" i="107"/>
  <c r="H317" i="107" s="1"/>
  <c r="F317" i="107"/>
  <c r="H316" i="107"/>
  <c r="F316" i="107"/>
  <c r="Q315" i="107"/>
  <c r="J315" i="107"/>
  <c r="J326" i="107" s="1"/>
  <c r="H315" i="107"/>
  <c r="F315" i="107"/>
  <c r="Q314" i="107"/>
  <c r="H314" i="107"/>
  <c r="F314" i="107"/>
  <c r="Q313" i="107"/>
  <c r="J313" i="107"/>
  <c r="H313" i="107"/>
  <c r="F313" i="107"/>
  <c r="Q312" i="107"/>
  <c r="H312" i="107" s="1"/>
  <c r="F312" i="107"/>
  <c r="AB310" i="107"/>
  <c r="AA310" i="107"/>
  <c r="Z310" i="107"/>
  <c r="Y310" i="107"/>
  <c r="W310" i="107"/>
  <c r="V310" i="107"/>
  <c r="U310" i="107"/>
  <c r="S310" i="107"/>
  <c r="R310" i="107"/>
  <c r="P310" i="107"/>
  <c r="O310" i="107"/>
  <c r="L310" i="107"/>
  <c r="K310" i="107"/>
  <c r="E310" i="107"/>
  <c r="C310" i="107"/>
  <c r="Q308" i="107"/>
  <c r="H308" i="107" s="1"/>
  <c r="F308" i="107"/>
  <c r="Q307" i="107"/>
  <c r="H307" i="107" s="1"/>
  <c r="J307" i="107"/>
  <c r="F307" i="107"/>
  <c r="Q306" i="107"/>
  <c r="H306" i="107" s="1"/>
  <c r="F306" i="107"/>
  <c r="Q305" i="107"/>
  <c r="H305" i="107" s="1"/>
  <c r="F305" i="107"/>
  <c r="Q304" i="107"/>
  <c r="J304" i="107"/>
  <c r="H304" i="107"/>
  <c r="F304" i="107"/>
  <c r="Q303" i="107"/>
  <c r="H303" i="107" s="1"/>
  <c r="J303" i="107"/>
  <c r="J310" i="107" s="1"/>
  <c r="X310" i="107" s="1"/>
  <c r="F303" i="107"/>
  <c r="AA302" i="107"/>
  <c r="Q302" i="107"/>
  <c r="H302" i="107"/>
  <c r="F302" i="107"/>
  <c r="Q301" i="107"/>
  <c r="H301" i="107"/>
  <c r="F301" i="107"/>
  <c r="Q300" i="107"/>
  <c r="H300" i="107" s="1"/>
  <c r="F300" i="107"/>
  <c r="Q299" i="107"/>
  <c r="H299" i="107" s="1"/>
  <c r="F299" i="107"/>
  <c r="Q298" i="107"/>
  <c r="H298" i="107" s="1"/>
  <c r="F298" i="107"/>
  <c r="Q297" i="107"/>
  <c r="Q310" i="107" s="1"/>
  <c r="H297" i="107"/>
  <c r="F297" i="107"/>
  <c r="AB295" i="107"/>
  <c r="AA295" i="107"/>
  <c r="Z295" i="107"/>
  <c r="Y295" i="107"/>
  <c r="W295" i="107"/>
  <c r="V295" i="107"/>
  <c r="U295" i="107"/>
  <c r="S295" i="107"/>
  <c r="R295" i="107"/>
  <c r="O295" i="107"/>
  <c r="K295" i="107"/>
  <c r="X295" i="107" s="1"/>
  <c r="J295" i="107"/>
  <c r="E295" i="107"/>
  <c r="F295" i="107" s="1"/>
  <c r="C295" i="107"/>
  <c r="Q293" i="107"/>
  <c r="H293" i="107"/>
  <c r="F293" i="107"/>
  <c r="Q292" i="107"/>
  <c r="H292" i="107" s="1"/>
  <c r="F292" i="107"/>
  <c r="Q291" i="107"/>
  <c r="P291" i="107"/>
  <c r="H291" i="107" s="1"/>
  <c r="F291" i="107"/>
  <c r="Q290" i="107"/>
  <c r="H290" i="107" s="1"/>
  <c r="F290" i="107"/>
  <c r="Q289" i="107"/>
  <c r="H289" i="107"/>
  <c r="F289" i="107"/>
  <c r="Q288" i="107"/>
  <c r="H288" i="107"/>
  <c r="F288" i="107"/>
  <c r="Q287" i="107"/>
  <c r="P287" i="107"/>
  <c r="H287" i="107" s="1"/>
  <c r="F287" i="107"/>
  <c r="Q286" i="107"/>
  <c r="H286" i="107" s="1"/>
  <c r="F286" i="107"/>
  <c r="Q285" i="107"/>
  <c r="P285" i="107"/>
  <c r="H285" i="107" s="1"/>
  <c r="L285" i="107"/>
  <c r="F285" i="107"/>
  <c r="Q284" i="107"/>
  <c r="P284" i="107"/>
  <c r="L284" i="107"/>
  <c r="L295" i="107" s="1"/>
  <c r="H284" i="107"/>
  <c r="F284" i="107"/>
  <c r="Q283" i="107"/>
  <c r="P283" i="107"/>
  <c r="L283" i="107"/>
  <c r="H283" i="107"/>
  <c r="F283" i="107"/>
  <c r="Q282" i="107"/>
  <c r="Q295" i="107" s="1"/>
  <c r="P282" i="107"/>
  <c r="H282" i="107" s="1"/>
  <c r="L282" i="107"/>
  <c r="F282" i="107"/>
  <c r="AB280" i="107"/>
  <c r="AA280" i="107"/>
  <c r="Z280" i="107"/>
  <c r="Y280" i="107"/>
  <c r="X280" i="107"/>
  <c r="W280" i="107"/>
  <c r="V280" i="107"/>
  <c r="U280" i="107"/>
  <c r="S280" i="107"/>
  <c r="R280" i="107"/>
  <c r="O280" i="107"/>
  <c r="K280" i="107"/>
  <c r="J280" i="107"/>
  <c r="E280" i="107"/>
  <c r="C280" i="107"/>
  <c r="Q278" i="107"/>
  <c r="H278" i="107" s="1"/>
  <c r="P278" i="107"/>
  <c r="L278" i="107"/>
  <c r="F278" i="107"/>
  <c r="Q277" i="107"/>
  <c r="P277" i="107"/>
  <c r="H277" i="107" s="1"/>
  <c r="L277" i="107"/>
  <c r="F277" i="107"/>
  <c r="Y276" i="107"/>
  <c r="Q276" i="107"/>
  <c r="P276" i="107"/>
  <c r="L276" i="107"/>
  <c r="H276" i="107"/>
  <c r="F276" i="107"/>
  <c r="Q275" i="107"/>
  <c r="H275" i="107" s="1"/>
  <c r="P275" i="107"/>
  <c r="L275" i="107"/>
  <c r="F275" i="107"/>
  <c r="Q274" i="107"/>
  <c r="P274" i="107"/>
  <c r="H274" i="107" s="1"/>
  <c r="L274" i="107"/>
  <c r="F274" i="107"/>
  <c r="Q273" i="107"/>
  <c r="P273" i="107"/>
  <c r="H273" i="107" s="1"/>
  <c r="L273" i="107"/>
  <c r="F273" i="107"/>
  <c r="Q272" i="107"/>
  <c r="P272" i="107"/>
  <c r="H272" i="107" s="1"/>
  <c r="L272" i="107"/>
  <c r="F272" i="107"/>
  <c r="Q271" i="107"/>
  <c r="P271" i="107"/>
  <c r="L271" i="107"/>
  <c r="H271" i="107"/>
  <c r="F271" i="107"/>
  <c r="AA270" i="107"/>
  <c r="R270" i="107"/>
  <c r="Q270" i="107"/>
  <c r="P270" i="107"/>
  <c r="O270" i="107"/>
  <c r="L270" i="107"/>
  <c r="H270" i="107"/>
  <c r="F270" i="107"/>
  <c r="Q269" i="107"/>
  <c r="P269" i="107"/>
  <c r="L269" i="107"/>
  <c r="H269" i="107"/>
  <c r="F269" i="107"/>
  <c r="Q268" i="107"/>
  <c r="P268" i="107"/>
  <c r="H268" i="107" s="1"/>
  <c r="L268" i="107"/>
  <c r="F268" i="107"/>
  <c r="Q267" i="107"/>
  <c r="Q280" i="107" s="1"/>
  <c r="P267" i="107"/>
  <c r="L267" i="107"/>
  <c r="L280" i="107" s="1"/>
  <c r="H267" i="107"/>
  <c r="F267" i="107"/>
  <c r="AB265" i="107"/>
  <c r="AA265" i="107"/>
  <c r="Z265" i="107"/>
  <c r="Y265" i="107"/>
  <c r="W265" i="107"/>
  <c r="V265" i="107"/>
  <c r="U265" i="107"/>
  <c r="S265" i="107"/>
  <c r="R265" i="107"/>
  <c r="O265" i="107"/>
  <c r="K265" i="107"/>
  <c r="X265" i="107" s="1"/>
  <c r="J265" i="107"/>
  <c r="H265" i="107"/>
  <c r="E265" i="107"/>
  <c r="F265" i="107" s="1"/>
  <c r="C265" i="107"/>
  <c r="Q263" i="107"/>
  <c r="P263" i="107"/>
  <c r="L263" i="107"/>
  <c r="F263" i="107"/>
  <c r="Q262" i="107"/>
  <c r="P262" i="107"/>
  <c r="L262" i="107"/>
  <c r="F262" i="107"/>
  <c r="Q261" i="107"/>
  <c r="P261" i="107"/>
  <c r="L261" i="107"/>
  <c r="F261" i="107"/>
  <c r="Q260" i="107"/>
  <c r="P260" i="107"/>
  <c r="L260" i="107"/>
  <c r="F260" i="107"/>
  <c r="Q259" i="107"/>
  <c r="P259" i="107"/>
  <c r="L259" i="107"/>
  <c r="F259" i="107"/>
  <c r="Q258" i="107"/>
  <c r="P258" i="107"/>
  <c r="L258" i="107"/>
  <c r="F258" i="107"/>
  <c r="Q257" i="107"/>
  <c r="P257" i="107"/>
  <c r="L257" i="107"/>
  <c r="F257" i="107"/>
  <c r="Q256" i="107"/>
  <c r="P256" i="107"/>
  <c r="L256" i="107"/>
  <c r="F256" i="107"/>
  <c r="Q255" i="107"/>
  <c r="P255" i="107"/>
  <c r="L255" i="107"/>
  <c r="F255" i="107"/>
  <c r="Q254" i="107"/>
  <c r="P254" i="107"/>
  <c r="L254" i="107"/>
  <c r="F254" i="107"/>
  <c r="Q253" i="107"/>
  <c r="P253" i="107"/>
  <c r="P265" i="107" s="1"/>
  <c r="L253" i="107"/>
  <c r="L265" i="107" s="1"/>
  <c r="F253" i="107"/>
  <c r="Q252" i="107"/>
  <c r="Q265" i="107" s="1"/>
  <c r="P252" i="107"/>
  <c r="L252" i="107"/>
  <c r="F252" i="107"/>
  <c r="AB250" i="107"/>
  <c r="AA250" i="107"/>
  <c r="Z250" i="107"/>
  <c r="Y250" i="107"/>
  <c r="W250" i="107"/>
  <c r="V250" i="107"/>
  <c r="U250" i="107"/>
  <c r="S250" i="107"/>
  <c r="R250" i="107"/>
  <c r="O250" i="107"/>
  <c r="L250" i="107"/>
  <c r="K250" i="107"/>
  <c r="M250" i="107" s="1"/>
  <c r="J250" i="107"/>
  <c r="H250" i="107"/>
  <c r="F250" i="107"/>
  <c r="E250" i="107"/>
  <c r="X250" i="107" s="1"/>
  <c r="C250" i="107"/>
  <c r="Q248" i="107"/>
  <c r="P248" i="107"/>
  <c r="F248" i="107"/>
  <c r="Q247" i="107"/>
  <c r="P247" i="107"/>
  <c r="F247" i="107"/>
  <c r="Q246" i="107"/>
  <c r="P246" i="107"/>
  <c r="F246" i="107"/>
  <c r="Q245" i="107"/>
  <c r="P245" i="107"/>
  <c r="F245" i="107"/>
  <c r="Q244" i="107"/>
  <c r="P244" i="107"/>
  <c r="F244" i="107"/>
  <c r="Q243" i="107"/>
  <c r="P243" i="107"/>
  <c r="F243" i="107"/>
  <c r="Q242" i="107"/>
  <c r="P242" i="107"/>
  <c r="F242" i="107"/>
  <c r="Q241" i="107"/>
  <c r="Q250" i="107" s="1"/>
  <c r="P241" i="107"/>
  <c r="F241" i="107"/>
  <c r="Q240" i="107"/>
  <c r="P240" i="107"/>
  <c r="F240" i="107"/>
  <c r="Q239" i="107"/>
  <c r="P239" i="107"/>
  <c r="F239" i="107"/>
  <c r="Q238" i="107"/>
  <c r="P238" i="107"/>
  <c r="F238" i="107"/>
  <c r="Q237" i="107"/>
  <c r="P237" i="107"/>
  <c r="P250" i="107" s="1"/>
  <c r="F237" i="107"/>
  <c r="AB235" i="107"/>
  <c r="AA235" i="107"/>
  <c r="Z235" i="107"/>
  <c r="Y235" i="107"/>
  <c r="W235" i="107"/>
  <c r="V235" i="107"/>
  <c r="U235" i="107"/>
  <c r="S235" i="107"/>
  <c r="R235" i="107"/>
  <c r="O235" i="107"/>
  <c r="L235" i="107"/>
  <c r="K235" i="107"/>
  <c r="J235" i="107"/>
  <c r="M235" i="107" s="1"/>
  <c r="H235" i="107"/>
  <c r="F235" i="107"/>
  <c r="E235" i="107"/>
  <c r="X235" i="107" s="1"/>
  <c r="C235" i="107"/>
  <c r="Q233" i="107"/>
  <c r="P233" i="107"/>
  <c r="F233" i="107"/>
  <c r="Q232" i="107"/>
  <c r="P232" i="107"/>
  <c r="F232" i="107"/>
  <c r="Q231" i="107"/>
  <c r="P231" i="107"/>
  <c r="F231" i="107"/>
  <c r="Q230" i="107"/>
  <c r="P230" i="107"/>
  <c r="F230" i="107"/>
  <c r="Q229" i="107"/>
  <c r="P229" i="107"/>
  <c r="F229" i="107"/>
  <c r="Q228" i="107"/>
  <c r="P228" i="107"/>
  <c r="F228" i="107"/>
  <c r="Q227" i="107"/>
  <c r="P227" i="107"/>
  <c r="F227" i="107"/>
  <c r="Q226" i="107"/>
  <c r="P226" i="107"/>
  <c r="F226" i="107"/>
  <c r="Q225" i="107"/>
  <c r="P225" i="107"/>
  <c r="F225" i="107"/>
  <c r="Q224" i="107"/>
  <c r="P224" i="107"/>
  <c r="F224" i="107"/>
  <c r="Q223" i="107"/>
  <c r="P223" i="107"/>
  <c r="F223" i="107"/>
  <c r="Q222" i="107"/>
  <c r="Q235" i="107" s="1"/>
  <c r="P222" i="107"/>
  <c r="P235" i="107" s="1"/>
  <c r="F222" i="107"/>
  <c r="AB220" i="107"/>
  <c r="AA220" i="107"/>
  <c r="Z220" i="107"/>
  <c r="Y220" i="107"/>
  <c r="W220" i="107"/>
  <c r="V220" i="107"/>
  <c r="U220" i="107"/>
  <c r="S220" i="107"/>
  <c r="R220" i="107"/>
  <c r="O220" i="107"/>
  <c r="L220" i="107"/>
  <c r="K220" i="107"/>
  <c r="M220" i="107" s="1"/>
  <c r="J220" i="107"/>
  <c r="X220" i="107" s="1"/>
  <c r="H220" i="107"/>
  <c r="E220" i="107"/>
  <c r="C220" i="107"/>
  <c r="F220" i="107" s="1"/>
  <c r="Q218" i="107"/>
  <c r="P218" i="107"/>
  <c r="F218" i="107"/>
  <c r="Q217" i="107"/>
  <c r="P217" i="107"/>
  <c r="F217" i="107"/>
  <c r="AB216" i="107"/>
  <c r="Q216" i="107"/>
  <c r="P216" i="107"/>
  <c r="F216" i="107"/>
  <c r="Q215" i="107"/>
  <c r="P215" i="107"/>
  <c r="F215" i="107"/>
  <c r="Q214" i="107"/>
  <c r="P214" i="107"/>
  <c r="F214" i="107"/>
  <c r="Q213" i="107"/>
  <c r="P213" i="107"/>
  <c r="F213" i="107"/>
  <c r="Q212" i="107"/>
  <c r="P212" i="107"/>
  <c r="F212" i="107"/>
  <c r="Q211" i="107"/>
  <c r="P211" i="107"/>
  <c r="F211" i="107"/>
  <c r="Q210" i="107"/>
  <c r="P210" i="107"/>
  <c r="F210" i="107"/>
  <c r="Q209" i="107"/>
  <c r="P209" i="107"/>
  <c r="F209" i="107"/>
  <c r="Q208" i="107"/>
  <c r="P208" i="107"/>
  <c r="F208" i="107"/>
  <c r="Q207" i="107"/>
  <c r="Q220" i="107" s="1"/>
  <c r="P207" i="107"/>
  <c r="P220" i="107" s="1"/>
  <c r="F207" i="107"/>
  <c r="AB205" i="107"/>
  <c r="AA205" i="107"/>
  <c r="Z205" i="107"/>
  <c r="Y205" i="107"/>
  <c r="W205" i="107"/>
  <c r="V205" i="107"/>
  <c r="U205" i="107"/>
  <c r="L205" i="107"/>
  <c r="M205" i="107" s="1"/>
  <c r="K205" i="107"/>
  <c r="J205" i="107"/>
  <c r="H205" i="107"/>
  <c r="E205" i="107"/>
  <c r="F205" i="107" s="1"/>
  <c r="C205" i="107"/>
  <c r="Q203" i="107"/>
  <c r="P203" i="107"/>
  <c r="F203" i="107"/>
  <c r="Q202" i="107"/>
  <c r="P202" i="107"/>
  <c r="F202" i="107"/>
  <c r="Q201" i="107"/>
  <c r="P201" i="107"/>
  <c r="F201" i="107"/>
  <c r="Q200" i="107"/>
  <c r="P200" i="107"/>
  <c r="F200" i="107"/>
  <c r="Q199" i="107"/>
  <c r="P199" i="107"/>
  <c r="F199" i="107"/>
  <c r="Q198" i="107"/>
  <c r="P198" i="107"/>
  <c r="F198" i="107"/>
  <c r="Q197" i="107"/>
  <c r="P197" i="107"/>
  <c r="F197" i="107"/>
  <c r="S196" i="107"/>
  <c r="S205" i="107" s="1"/>
  <c r="R196" i="107"/>
  <c r="R205" i="107" s="1"/>
  <c r="Q196" i="107"/>
  <c r="P196" i="107"/>
  <c r="O196" i="107"/>
  <c r="O205" i="107" s="1"/>
  <c r="F196" i="107"/>
  <c r="Q195" i="107"/>
  <c r="P195" i="107"/>
  <c r="F195" i="107"/>
  <c r="Q194" i="107"/>
  <c r="P194" i="107"/>
  <c r="F194" i="107"/>
  <c r="Q193" i="107"/>
  <c r="P193" i="107"/>
  <c r="P205" i="107" s="1"/>
  <c r="F193" i="107"/>
  <c r="Q192" i="107"/>
  <c r="Q205" i="107" s="1"/>
  <c r="P192" i="107"/>
  <c r="F192" i="107"/>
  <c r="AB190" i="107"/>
  <c r="AA190" i="107"/>
  <c r="Z190" i="107"/>
  <c r="Y190" i="107"/>
  <c r="W190" i="107"/>
  <c r="V190" i="107"/>
  <c r="U190" i="107"/>
  <c r="S190" i="107"/>
  <c r="R190" i="107"/>
  <c r="O190" i="107"/>
  <c r="K190" i="107"/>
  <c r="M190" i="107" s="1"/>
  <c r="J190" i="107"/>
  <c r="H190" i="107"/>
  <c r="F190" i="107"/>
  <c r="E190" i="107"/>
  <c r="X190" i="107" s="1"/>
  <c r="C190" i="107"/>
  <c r="Q188" i="107"/>
  <c r="P188" i="107"/>
  <c r="F188" i="107"/>
  <c r="Q187" i="107"/>
  <c r="P187" i="107"/>
  <c r="F187" i="107"/>
  <c r="Q186" i="107"/>
  <c r="P186" i="107"/>
  <c r="F186" i="107"/>
  <c r="Q185" i="107"/>
  <c r="P185" i="107"/>
  <c r="F185" i="107"/>
  <c r="Q184" i="107"/>
  <c r="P184" i="107"/>
  <c r="F184" i="107"/>
  <c r="Q183" i="107"/>
  <c r="P183" i="107"/>
  <c r="F183" i="107"/>
  <c r="Q182" i="107"/>
  <c r="P182" i="107"/>
  <c r="F182" i="107"/>
  <c r="Q181" i="107"/>
  <c r="Q190" i="107" s="1"/>
  <c r="P181" i="107"/>
  <c r="F181" i="107"/>
  <c r="Q180" i="107"/>
  <c r="P180" i="107"/>
  <c r="F180" i="107"/>
  <c r="Y179" i="107"/>
  <c r="Q179" i="107"/>
  <c r="P179" i="107"/>
  <c r="L179" i="107"/>
  <c r="F179" i="107"/>
  <c r="Q178" i="107"/>
  <c r="P178" i="107"/>
  <c r="L178" i="107"/>
  <c r="F178" i="107"/>
  <c r="Q177" i="107"/>
  <c r="P177" i="107"/>
  <c r="P190" i="107" s="1"/>
  <c r="L177" i="107"/>
  <c r="L190" i="107" s="1"/>
  <c r="F177" i="107"/>
  <c r="AB175" i="107"/>
  <c r="AA175" i="107"/>
  <c r="Z175" i="107"/>
  <c r="W175" i="107"/>
  <c r="X175" i="107" s="1"/>
  <c r="V175" i="107"/>
  <c r="U175" i="107"/>
  <c r="S175" i="107"/>
  <c r="R175" i="107"/>
  <c r="O175" i="107"/>
  <c r="M175" i="107"/>
  <c r="L175" i="107"/>
  <c r="K175" i="107"/>
  <c r="J175" i="107"/>
  <c r="H175" i="107"/>
  <c r="E175" i="107"/>
  <c r="C175" i="107"/>
  <c r="F175" i="107" s="1"/>
  <c r="Q173" i="107"/>
  <c r="P173" i="107"/>
  <c r="L173" i="107"/>
  <c r="F173" i="107"/>
  <c r="Q172" i="107"/>
  <c r="P172" i="107"/>
  <c r="L172" i="107"/>
  <c r="F172" i="107"/>
  <c r="Q171" i="107"/>
  <c r="P171" i="107"/>
  <c r="L171" i="107"/>
  <c r="F171" i="107"/>
  <c r="Q170" i="107"/>
  <c r="P170" i="107"/>
  <c r="L170" i="107"/>
  <c r="F170" i="107"/>
  <c r="Y169" i="107"/>
  <c r="Q169" i="107"/>
  <c r="P169" i="107"/>
  <c r="L169" i="107"/>
  <c r="F169" i="107"/>
  <c r="Q168" i="107"/>
  <c r="P168" i="107"/>
  <c r="F168" i="107"/>
  <c r="Q167" i="107"/>
  <c r="P167" i="107"/>
  <c r="F167" i="107"/>
  <c r="Q166" i="107"/>
  <c r="P166" i="107"/>
  <c r="F166" i="107"/>
  <c r="Q165" i="107"/>
  <c r="P165" i="107"/>
  <c r="F165" i="107"/>
  <c r="Q164" i="107"/>
  <c r="P164" i="107"/>
  <c r="F164" i="107"/>
  <c r="Y163" i="107"/>
  <c r="Y175" i="107" s="1"/>
  <c r="Q163" i="107"/>
  <c r="P163" i="107"/>
  <c r="F163" i="107"/>
  <c r="Q162" i="107"/>
  <c r="Q175" i="107" s="1"/>
  <c r="P162" i="107"/>
  <c r="P175" i="107" s="1"/>
  <c r="F162" i="107"/>
  <c r="AA160" i="107"/>
  <c r="Z160" i="107"/>
  <c r="Y160" i="107"/>
  <c r="W160" i="107"/>
  <c r="X160" i="107" s="1"/>
  <c r="V160" i="107"/>
  <c r="U160" i="107"/>
  <c r="S160" i="107"/>
  <c r="R160" i="107"/>
  <c r="O160" i="107"/>
  <c r="M160" i="107"/>
  <c r="L160" i="107"/>
  <c r="K160" i="107"/>
  <c r="J160" i="107"/>
  <c r="H160" i="107"/>
  <c r="E160" i="107"/>
  <c r="C160" i="107"/>
  <c r="F160" i="107" s="1"/>
  <c r="AB158" i="107"/>
  <c r="Q158" i="107"/>
  <c r="P158" i="107"/>
  <c r="F158" i="107"/>
  <c r="Q157" i="107"/>
  <c r="P157" i="107"/>
  <c r="F157" i="107"/>
  <c r="AB156" i="107"/>
  <c r="AB160" i="107" s="1"/>
  <c r="Q156" i="107"/>
  <c r="P156" i="107"/>
  <c r="O156" i="107"/>
  <c r="F156" i="107"/>
  <c r="Q155" i="107"/>
  <c r="P155" i="107"/>
  <c r="F155" i="107"/>
  <c r="Q154" i="107"/>
  <c r="P154" i="107"/>
  <c r="F154" i="107"/>
  <c r="Q153" i="107"/>
  <c r="P153" i="107"/>
  <c r="F153" i="107"/>
  <c r="Q152" i="107"/>
  <c r="P152" i="107"/>
  <c r="F152" i="107"/>
  <c r="Q151" i="107"/>
  <c r="Q160" i="107" s="1"/>
  <c r="P151" i="107"/>
  <c r="F151" i="107"/>
  <c r="Q150" i="107"/>
  <c r="P150" i="107"/>
  <c r="F150" i="107"/>
  <c r="Q148" i="107"/>
  <c r="P148" i="107"/>
  <c r="P160" i="107" s="1"/>
  <c r="F148" i="107"/>
  <c r="F147" i="107"/>
  <c r="F146" i="107"/>
  <c r="AB144" i="107"/>
  <c r="AA144" i="107"/>
  <c r="Z144" i="107"/>
  <c r="Y144" i="107"/>
  <c r="W144" i="107"/>
  <c r="X144" i="107" s="1"/>
  <c r="V144" i="107"/>
  <c r="U144" i="107"/>
  <c r="S144" i="107"/>
  <c r="R144" i="107"/>
  <c r="O144" i="107"/>
  <c r="M144" i="107"/>
  <c r="L144" i="107"/>
  <c r="K144" i="107"/>
  <c r="J144" i="107"/>
  <c r="H144" i="107"/>
  <c r="E144" i="107"/>
  <c r="C144" i="107"/>
  <c r="F144" i="107" s="1"/>
  <c r="F142" i="107"/>
  <c r="F141" i="107"/>
  <c r="F140" i="107"/>
  <c r="F139" i="107"/>
  <c r="F138" i="107"/>
  <c r="F137" i="107"/>
  <c r="F136" i="107"/>
  <c r="F135" i="107"/>
  <c r="F134" i="107"/>
  <c r="Q133" i="107"/>
  <c r="Q144" i="107" s="1"/>
  <c r="P133" i="107"/>
  <c r="P144" i="107" s="1"/>
  <c r="F133" i="107"/>
  <c r="F132" i="107"/>
  <c r="F131" i="107"/>
  <c r="AB129" i="107"/>
  <c r="AA129" i="107"/>
  <c r="Z129" i="107"/>
  <c r="Y129" i="107"/>
  <c r="W129" i="107"/>
  <c r="V129" i="107"/>
  <c r="U129" i="107"/>
  <c r="S129" i="107"/>
  <c r="R129" i="107"/>
  <c r="Q129" i="107"/>
  <c r="P129" i="107"/>
  <c r="O129" i="107"/>
  <c r="L129" i="107"/>
  <c r="K129" i="107"/>
  <c r="M129" i="107" s="1"/>
  <c r="H129" i="107"/>
  <c r="F129" i="107"/>
  <c r="E129" i="107"/>
  <c r="C129" i="107"/>
  <c r="Y127" i="107"/>
  <c r="J127" i="107"/>
  <c r="J129" i="107" s="1"/>
  <c r="F127" i="107"/>
  <c r="F126" i="107"/>
  <c r="F125" i="107"/>
  <c r="F124" i="107"/>
  <c r="F123" i="107"/>
  <c r="F122" i="107"/>
  <c r="F121" i="107"/>
  <c r="F120" i="107"/>
  <c r="F119" i="107"/>
  <c r="F118" i="107"/>
  <c r="F117" i="107"/>
  <c r="F116" i="107"/>
  <c r="AB114" i="107"/>
  <c r="AA114" i="107"/>
  <c r="Z114" i="107"/>
  <c r="W114" i="107"/>
  <c r="V114" i="107"/>
  <c r="U114" i="107"/>
  <c r="S114" i="107"/>
  <c r="R114" i="107"/>
  <c r="Q114" i="107"/>
  <c r="P114" i="107"/>
  <c r="O114" i="107"/>
  <c r="L114" i="107"/>
  <c r="K114" i="107"/>
  <c r="M114" i="107" s="1"/>
  <c r="J114" i="107"/>
  <c r="H114" i="107"/>
  <c r="F112" i="107"/>
  <c r="F111" i="107"/>
  <c r="F110" i="107"/>
  <c r="F109" i="107"/>
  <c r="Y108" i="107"/>
  <c r="J108" i="107"/>
  <c r="F108" i="107"/>
  <c r="F107" i="107"/>
  <c r="E106" i="107"/>
  <c r="E114" i="107" s="1"/>
  <c r="C106" i="107"/>
  <c r="C114" i="107" s="1"/>
  <c r="F105" i="107"/>
  <c r="F104" i="107"/>
  <c r="F103" i="107"/>
  <c r="Y102" i="107"/>
  <c r="Y114" i="107" s="1"/>
  <c r="F102" i="107"/>
  <c r="F101" i="107"/>
  <c r="AB99" i="107"/>
  <c r="AA99" i="107"/>
  <c r="Z99" i="107"/>
  <c r="W99" i="107"/>
  <c r="V99" i="107"/>
  <c r="U99" i="107"/>
  <c r="S99" i="107"/>
  <c r="R99" i="107"/>
  <c r="Q99" i="107"/>
  <c r="P99" i="107"/>
  <c r="O99" i="107"/>
  <c r="L99" i="107"/>
  <c r="K99" i="107"/>
  <c r="M99" i="107" s="1"/>
  <c r="J99" i="107"/>
  <c r="H99" i="107"/>
  <c r="F99" i="107"/>
  <c r="E99" i="107"/>
  <c r="X99" i="107" s="1"/>
  <c r="C99" i="107"/>
  <c r="F97" i="107"/>
  <c r="F96" i="107"/>
  <c r="F95" i="107"/>
  <c r="F94" i="107"/>
  <c r="F93" i="107"/>
  <c r="F92" i="107"/>
  <c r="F91" i="107"/>
  <c r="F90" i="107"/>
  <c r="F89" i="107"/>
  <c r="F88" i="107"/>
  <c r="F87" i="107"/>
  <c r="Y86" i="107"/>
  <c r="Y99" i="107" s="1"/>
  <c r="F86" i="107"/>
  <c r="AB84" i="107"/>
  <c r="AA84" i="107"/>
  <c r="Z84" i="107"/>
  <c r="Y84" i="107"/>
  <c r="W84" i="107"/>
  <c r="V84" i="107"/>
  <c r="U84" i="107"/>
  <c r="S84" i="107"/>
  <c r="R84" i="107"/>
  <c r="Q84" i="107"/>
  <c r="P84" i="107"/>
  <c r="O84" i="107"/>
  <c r="L84" i="107"/>
  <c r="K84" i="107"/>
  <c r="M84" i="107" s="1"/>
  <c r="J84" i="107"/>
  <c r="X84" i="107" s="1"/>
  <c r="H84" i="107"/>
  <c r="E84" i="107"/>
  <c r="F84" i="107" s="1"/>
  <c r="C84" i="107"/>
  <c r="F82" i="107"/>
  <c r="F81" i="107"/>
  <c r="F80" i="107"/>
  <c r="F79" i="107"/>
  <c r="F78" i="107"/>
  <c r="F77" i="107"/>
  <c r="F76" i="107"/>
  <c r="F75" i="107"/>
  <c r="F74" i="107"/>
  <c r="F73" i="107"/>
  <c r="F72" i="107"/>
  <c r="F71" i="107"/>
  <c r="AB69" i="107"/>
  <c r="AA69" i="107"/>
  <c r="Z69" i="107"/>
  <c r="Y69" i="107"/>
  <c r="W69" i="107"/>
  <c r="V69" i="107"/>
  <c r="U69" i="107"/>
  <c r="S69" i="107"/>
  <c r="R69" i="107"/>
  <c r="Q69" i="107"/>
  <c r="P69" i="107"/>
  <c r="O69" i="107"/>
  <c r="M69" i="107"/>
  <c r="L69" i="107"/>
  <c r="K69" i="107"/>
  <c r="J69" i="107"/>
  <c r="H69" i="107"/>
  <c r="E69" i="107"/>
  <c r="F69" i="107" s="1"/>
  <c r="C69" i="107"/>
  <c r="F67" i="107"/>
  <c r="F66" i="107"/>
  <c r="F65" i="107"/>
  <c r="F64" i="107"/>
  <c r="F63" i="107"/>
  <c r="F62" i="107"/>
  <c r="F61" i="107"/>
  <c r="F60" i="107"/>
  <c r="F59" i="107"/>
  <c r="F58" i="107"/>
  <c r="F57" i="107"/>
  <c r="F56" i="107"/>
  <c r="E56" i="107"/>
  <c r="AB54" i="107"/>
  <c r="AA54" i="107"/>
  <c r="Z54" i="107"/>
  <c r="Y54" i="107"/>
  <c r="W54" i="107"/>
  <c r="V54" i="107"/>
  <c r="U54" i="107"/>
  <c r="S54" i="107"/>
  <c r="R54" i="107"/>
  <c r="Q54" i="107"/>
  <c r="P54" i="107"/>
  <c r="O54" i="107"/>
  <c r="K54" i="107"/>
  <c r="J54" i="107"/>
  <c r="H54" i="107"/>
  <c r="C54" i="107"/>
  <c r="F52" i="107"/>
  <c r="E52" i="107"/>
  <c r="F51" i="107"/>
  <c r="E51" i="107"/>
  <c r="E50" i="107"/>
  <c r="F50" i="107" s="1"/>
  <c r="E49" i="107"/>
  <c r="F49" i="107" s="1"/>
  <c r="F48" i="107"/>
  <c r="E48" i="107"/>
  <c r="F47" i="107"/>
  <c r="E47" i="107"/>
  <c r="E46" i="107"/>
  <c r="F46" i="107" s="1"/>
  <c r="E45" i="107"/>
  <c r="F45" i="107" s="1"/>
  <c r="F44" i="107"/>
  <c r="E44" i="107"/>
  <c r="F43" i="107"/>
  <c r="E43" i="107"/>
  <c r="E42" i="107"/>
  <c r="F42" i="107" s="1"/>
  <c r="E41" i="107"/>
  <c r="E54" i="107" s="1"/>
  <c r="AB39" i="107"/>
  <c r="AA39" i="107"/>
  <c r="Z39" i="107"/>
  <c r="Y39" i="107"/>
  <c r="W39" i="107"/>
  <c r="V39" i="107"/>
  <c r="U39" i="107"/>
  <c r="S39" i="107"/>
  <c r="R39" i="107"/>
  <c r="Q39" i="107"/>
  <c r="P39" i="107"/>
  <c r="O39" i="107"/>
  <c r="K39" i="107"/>
  <c r="J39" i="107"/>
  <c r="H39" i="107"/>
  <c r="C39" i="107"/>
  <c r="E37" i="107"/>
  <c r="F37" i="107" s="1"/>
  <c r="E36" i="107"/>
  <c r="F36" i="107" s="1"/>
  <c r="F35" i="107"/>
  <c r="E35" i="107"/>
  <c r="F34" i="107"/>
  <c r="E34" i="107"/>
  <c r="E33" i="107"/>
  <c r="F33" i="107" s="1"/>
  <c r="E32" i="107"/>
  <c r="F32" i="107" s="1"/>
  <c r="F31" i="107"/>
  <c r="E31" i="107"/>
  <c r="F30" i="107"/>
  <c r="E30" i="107"/>
  <c r="E29" i="107"/>
  <c r="F29" i="107" s="1"/>
  <c r="E28" i="107"/>
  <c r="F28" i="107" s="1"/>
  <c r="F27" i="107"/>
  <c r="E27" i="107"/>
  <c r="F26" i="107"/>
  <c r="E26" i="107"/>
  <c r="E39" i="107" s="1"/>
  <c r="AB24" i="107"/>
  <c r="AA24" i="107"/>
  <c r="Z24" i="107"/>
  <c r="Y24" i="107"/>
  <c r="X24" i="107"/>
  <c r="W24" i="107"/>
  <c r="V24" i="107"/>
  <c r="U24" i="107"/>
  <c r="O24" i="107"/>
  <c r="M24" i="107"/>
  <c r="K24" i="107"/>
  <c r="J24" i="107"/>
  <c r="H24" i="107"/>
  <c r="E24" i="107"/>
  <c r="C24" i="107"/>
  <c r="S22" i="107"/>
  <c r="R22" i="107"/>
  <c r="Q22" i="107"/>
  <c r="P22" i="107"/>
  <c r="O22" i="107"/>
  <c r="S21" i="107"/>
  <c r="R21" i="107"/>
  <c r="Q21" i="107"/>
  <c r="P21" i="107"/>
  <c r="O21" i="107"/>
  <c r="S20" i="107"/>
  <c r="R20" i="107"/>
  <c r="Q20" i="107"/>
  <c r="P20" i="107"/>
  <c r="O20" i="107"/>
  <c r="S19" i="107"/>
  <c r="R19" i="107"/>
  <c r="Q19" i="107"/>
  <c r="P19" i="107"/>
  <c r="O19" i="107"/>
  <c r="S18" i="107"/>
  <c r="R18" i="107"/>
  <c r="Q18" i="107"/>
  <c r="P18" i="107"/>
  <c r="O18" i="107"/>
  <c r="S17" i="107"/>
  <c r="R17" i="107"/>
  <c r="R24" i="107" s="1"/>
  <c r="Q17" i="107"/>
  <c r="P17" i="107"/>
  <c r="O17" i="107"/>
  <c r="S16" i="107"/>
  <c r="R16" i="107"/>
  <c r="Q16" i="107"/>
  <c r="P16" i="107"/>
  <c r="O16" i="107"/>
  <c r="S15" i="107"/>
  <c r="S24" i="107" s="1"/>
  <c r="R15" i="107"/>
  <c r="Q15" i="107"/>
  <c r="P15" i="107"/>
  <c r="O15" i="107"/>
  <c r="Q13" i="107"/>
  <c r="Q24" i="107" s="1"/>
  <c r="P13" i="107"/>
  <c r="P24" i="107" s="1"/>
  <c r="O1" i="107"/>
  <c r="H310" i="107" l="1"/>
  <c r="M310" i="107"/>
  <c r="X341" i="107"/>
  <c r="X129" i="107"/>
  <c r="M54" i="107"/>
  <c r="F54" i="107"/>
  <c r="X54" i="107"/>
  <c r="F39" i="107"/>
  <c r="X39" i="107"/>
  <c r="M39" i="107"/>
  <c r="F114" i="107"/>
  <c r="X114" i="107"/>
  <c r="H280" i="107"/>
  <c r="M280" i="107"/>
  <c r="H295" i="107"/>
  <c r="X326" i="107"/>
  <c r="H326" i="107"/>
  <c r="F41" i="107"/>
  <c r="X69" i="107"/>
  <c r="F106" i="107"/>
  <c r="X205" i="107"/>
  <c r="M265" i="107"/>
  <c r="F280" i="107"/>
  <c r="M295" i="107"/>
  <c r="F310" i="107"/>
  <c r="P280" i="107"/>
  <c r="Q326" i="107"/>
  <c r="P295" i="107"/>
  <c r="F326" i="107"/>
  <c r="I48" i="106" l="1"/>
  <c r="H48" i="106"/>
  <c r="G48" i="106"/>
  <c r="F48" i="106"/>
  <c r="P272" i="105"/>
  <c r="O272" i="105"/>
  <c r="N272" i="105"/>
  <c r="Q272" i="105" s="1"/>
  <c r="I272" i="105"/>
  <c r="H272" i="105"/>
  <c r="G272" i="105"/>
  <c r="F272" i="105"/>
  <c r="M272" i="105" s="1"/>
  <c r="O271" i="105"/>
  <c r="I271" i="105"/>
  <c r="H271" i="105"/>
  <c r="G271" i="105"/>
  <c r="N271" i="105" s="1"/>
  <c r="F271" i="105"/>
  <c r="M271" i="105" s="1"/>
  <c r="I270" i="105"/>
  <c r="H270" i="105"/>
  <c r="O270" i="105" s="1"/>
  <c r="G270" i="105"/>
  <c r="N270" i="105" s="1"/>
  <c r="F270" i="105"/>
  <c r="P270" i="105" s="1"/>
  <c r="I269" i="105"/>
  <c r="I273" i="105" s="1"/>
  <c r="H269" i="105"/>
  <c r="O269" i="105" s="1"/>
  <c r="G269" i="105"/>
  <c r="G273" i="105" s="1"/>
  <c r="F269" i="105"/>
  <c r="M269" i="105" s="1"/>
  <c r="I49" i="104"/>
  <c r="H49" i="104"/>
  <c r="G49" i="104"/>
  <c r="F49" i="104"/>
  <c r="Q270" i="105" l="1"/>
  <c r="Q271" i="105"/>
  <c r="F273" i="105"/>
  <c r="N269" i="105"/>
  <c r="M270" i="105"/>
  <c r="P271" i="105"/>
  <c r="H273" i="105"/>
  <c r="P269" i="105"/>
  <c r="I141" i="103"/>
  <c r="H141" i="103"/>
  <c r="G141" i="103"/>
  <c r="F141" i="103"/>
  <c r="M141" i="103" s="1"/>
  <c r="I140" i="103"/>
  <c r="P140" i="103" s="1"/>
  <c r="H140" i="103"/>
  <c r="O140" i="103" s="1"/>
  <c r="G140" i="103"/>
  <c r="F140" i="103"/>
  <c r="M140" i="103" s="1"/>
  <c r="I138" i="103"/>
  <c r="H138" i="103"/>
  <c r="G138" i="103"/>
  <c r="F138" i="103"/>
  <c r="M138" i="103" s="1"/>
  <c r="I137" i="103"/>
  <c r="P137" i="103" s="1"/>
  <c r="N65" i="196" s="1"/>
  <c r="J65" i="196" s="1"/>
  <c r="H137" i="103"/>
  <c r="O137" i="103" s="1"/>
  <c r="M65" i="196" s="1"/>
  <c r="I65" i="196" s="1"/>
  <c r="G137" i="103"/>
  <c r="N137" i="103" s="1"/>
  <c r="L65" i="196" s="1"/>
  <c r="F137" i="103"/>
  <c r="M137" i="103" s="1"/>
  <c r="I129" i="92"/>
  <c r="H129" i="92"/>
  <c r="G129" i="92"/>
  <c r="F129" i="92"/>
  <c r="K128" i="80"/>
  <c r="G128" i="80"/>
  <c r="FC128" i="80" s="1"/>
  <c r="E128" i="80"/>
  <c r="K128" i="79"/>
  <c r="G128" i="79"/>
  <c r="FC128" i="79" s="1"/>
  <c r="E128" i="79"/>
  <c r="J128" i="91"/>
  <c r="I140" i="100"/>
  <c r="H140" i="100"/>
  <c r="G140" i="100"/>
  <c r="F140" i="100"/>
  <c r="I447" i="102"/>
  <c r="H447" i="102"/>
  <c r="G447" i="102"/>
  <c r="F447" i="102"/>
  <c r="I446" i="102"/>
  <c r="H446" i="102"/>
  <c r="G446" i="102"/>
  <c r="F446" i="102"/>
  <c r="I453" i="102"/>
  <c r="H453" i="102"/>
  <c r="G453" i="102"/>
  <c r="F453" i="102"/>
  <c r="I452" i="102"/>
  <c r="H452" i="102"/>
  <c r="N452" i="102" s="1"/>
  <c r="G452" i="102"/>
  <c r="M452" i="102" s="1"/>
  <c r="F452" i="102"/>
  <c r="L452" i="102" s="1"/>
  <c r="I451" i="102"/>
  <c r="H451" i="102"/>
  <c r="G451" i="102"/>
  <c r="M451" i="102" s="1"/>
  <c r="F451" i="102"/>
  <c r="I450" i="102"/>
  <c r="H450" i="102"/>
  <c r="N450" i="102" s="1"/>
  <c r="G450" i="102"/>
  <c r="M450" i="102" s="1"/>
  <c r="F450" i="102"/>
  <c r="L450" i="102" s="1"/>
  <c r="I449" i="102"/>
  <c r="O449" i="102" s="1"/>
  <c r="H449" i="102"/>
  <c r="G449" i="102"/>
  <c r="M449" i="102" s="1"/>
  <c r="F449" i="102"/>
  <c r="L449" i="102" s="1"/>
  <c r="I448" i="102"/>
  <c r="H448" i="102"/>
  <c r="N448" i="102" s="1"/>
  <c r="G448" i="102"/>
  <c r="M448" i="102" s="1"/>
  <c r="F448" i="102"/>
  <c r="L448" i="102" s="1"/>
  <c r="I445" i="102"/>
  <c r="O445" i="102" s="1"/>
  <c r="H445" i="102"/>
  <c r="G445" i="102"/>
  <c r="M445" i="102" s="1"/>
  <c r="F445" i="102"/>
  <c r="L445" i="102" s="1"/>
  <c r="S992" i="101"/>
  <c r="P992" i="101"/>
  <c r="O992" i="101"/>
  <c r="N992" i="101"/>
  <c r="M992" i="101"/>
  <c r="L992" i="101"/>
  <c r="S991" i="101"/>
  <c r="P991" i="101"/>
  <c r="O991" i="101"/>
  <c r="N991" i="101"/>
  <c r="M991" i="101"/>
  <c r="L991" i="101"/>
  <c r="S990" i="101"/>
  <c r="O990" i="101"/>
  <c r="N990" i="101"/>
  <c r="M990" i="101"/>
  <c r="P990" i="101" s="1"/>
  <c r="L990" i="101"/>
  <c r="S982" i="101"/>
  <c r="P982" i="101"/>
  <c r="O982" i="101"/>
  <c r="N982" i="101"/>
  <c r="M982" i="101"/>
  <c r="L982" i="101"/>
  <c r="S980" i="101"/>
  <c r="O980" i="101"/>
  <c r="N980" i="101"/>
  <c r="M980" i="101"/>
  <c r="P980" i="101" s="1"/>
  <c r="L980" i="101"/>
  <c r="S979" i="101"/>
  <c r="O979" i="101"/>
  <c r="N979" i="101"/>
  <c r="M979" i="101"/>
  <c r="P979" i="101" s="1"/>
  <c r="L979" i="101"/>
  <c r="S978" i="101"/>
  <c r="P978" i="101"/>
  <c r="O978" i="101"/>
  <c r="N978" i="101"/>
  <c r="M978" i="101"/>
  <c r="L978" i="101"/>
  <c r="S977" i="101"/>
  <c r="P977" i="101"/>
  <c r="O977" i="101"/>
  <c r="N977" i="101"/>
  <c r="M977" i="101"/>
  <c r="L977" i="101"/>
  <c r="S970" i="101"/>
  <c r="O970" i="101"/>
  <c r="N970" i="101"/>
  <c r="M970" i="101"/>
  <c r="P970" i="101" s="1"/>
  <c r="L970" i="101"/>
  <c r="S969" i="101"/>
  <c r="O969" i="101"/>
  <c r="N969" i="101"/>
  <c r="M969" i="101"/>
  <c r="P969" i="101" s="1"/>
  <c r="L969" i="101"/>
  <c r="S968" i="101"/>
  <c r="O968" i="101"/>
  <c r="N968" i="101"/>
  <c r="P968" i="101" s="1"/>
  <c r="M968" i="101"/>
  <c r="L968" i="101"/>
  <c r="S966" i="101"/>
  <c r="O966" i="101"/>
  <c r="N966" i="101"/>
  <c r="M966" i="101"/>
  <c r="P966" i="101" s="1"/>
  <c r="L966" i="101"/>
  <c r="S965" i="101"/>
  <c r="O965" i="101"/>
  <c r="N965" i="101"/>
  <c r="M965" i="101"/>
  <c r="P965" i="101" s="1"/>
  <c r="L965" i="101"/>
  <c r="S964" i="101"/>
  <c r="O964" i="101"/>
  <c r="N964" i="101"/>
  <c r="M964" i="101"/>
  <c r="P964" i="101" s="1"/>
  <c r="L964" i="101"/>
  <c r="S963" i="101"/>
  <c r="O963" i="101"/>
  <c r="N963" i="101"/>
  <c r="M963" i="101"/>
  <c r="P963" i="101" s="1"/>
  <c r="L963" i="101"/>
  <c r="S959" i="101"/>
  <c r="O959" i="101"/>
  <c r="N959" i="101"/>
  <c r="M959" i="101"/>
  <c r="P959" i="101" s="1"/>
  <c r="L959" i="101"/>
  <c r="S957" i="101"/>
  <c r="O957" i="101"/>
  <c r="N957" i="101"/>
  <c r="M957" i="101"/>
  <c r="P957" i="101" s="1"/>
  <c r="L957" i="101"/>
  <c r="S956" i="101"/>
  <c r="O956" i="101"/>
  <c r="N956" i="101"/>
  <c r="M956" i="101"/>
  <c r="P956" i="101" s="1"/>
  <c r="L956" i="101"/>
  <c r="S955" i="101"/>
  <c r="O955" i="101"/>
  <c r="N955" i="101"/>
  <c r="M955" i="101"/>
  <c r="P955" i="101" s="1"/>
  <c r="L955" i="101"/>
  <c r="S954" i="101"/>
  <c r="O954" i="101"/>
  <c r="N954" i="101"/>
  <c r="M954" i="101"/>
  <c r="P954" i="101" s="1"/>
  <c r="L954" i="101"/>
  <c r="S953" i="101"/>
  <c r="O953" i="101"/>
  <c r="N953" i="101"/>
  <c r="M953" i="101"/>
  <c r="P953" i="101" s="1"/>
  <c r="L953" i="101"/>
  <c r="S941" i="101"/>
  <c r="O941" i="101"/>
  <c r="N941" i="101"/>
  <c r="M941" i="101"/>
  <c r="P941" i="101" s="1"/>
  <c r="L941" i="101"/>
  <c r="S944" i="101"/>
  <c r="P944" i="101"/>
  <c r="O944" i="101"/>
  <c r="N944" i="101"/>
  <c r="M944" i="101"/>
  <c r="L944" i="101"/>
  <c r="O937" i="101"/>
  <c r="N937" i="101"/>
  <c r="M937" i="101"/>
  <c r="L937" i="101"/>
  <c r="S942" i="101"/>
  <c r="O942" i="101"/>
  <c r="N942" i="101"/>
  <c r="M942" i="101"/>
  <c r="P942" i="101" s="1"/>
  <c r="L942" i="101"/>
  <c r="S940" i="101"/>
  <c r="O940" i="101"/>
  <c r="N940" i="101"/>
  <c r="M940" i="101"/>
  <c r="P940" i="101" s="1"/>
  <c r="L940" i="101"/>
  <c r="O912" i="101"/>
  <c r="N912" i="101"/>
  <c r="M912" i="101"/>
  <c r="L912" i="101"/>
  <c r="S939" i="101"/>
  <c r="P939" i="101"/>
  <c r="O939" i="101"/>
  <c r="N939" i="101"/>
  <c r="M939" i="101"/>
  <c r="L939" i="101"/>
  <c r="O918" i="101"/>
  <c r="N918" i="101"/>
  <c r="M918" i="101"/>
  <c r="L918" i="101"/>
  <c r="S938" i="101"/>
  <c r="P938" i="101"/>
  <c r="O938" i="101"/>
  <c r="N938" i="101"/>
  <c r="M938" i="101"/>
  <c r="L938" i="101"/>
  <c r="O875" i="101"/>
  <c r="N875" i="101"/>
  <c r="M875" i="101"/>
  <c r="L875" i="101"/>
  <c r="S874" i="101"/>
  <c r="O874" i="101"/>
  <c r="P874" i="101" s="1"/>
  <c r="N874" i="101"/>
  <c r="M874" i="101"/>
  <c r="L874" i="101"/>
  <c r="S937" i="101"/>
  <c r="O924" i="101"/>
  <c r="N924" i="101"/>
  <c r="M924" i="101"/>
  <c r="L924" i="101"/>
  <c r="S910" i="101"/>
  <c r="P910" i="101"/>
  <c r="O910" i="101"/>
  <c r="N910" i="101"/>
  <c r="M910" i="101"/>
  <c r="L910" i="101"/>
  <c r="S924" i="101"/>
  <c r="P924" i="101"/>
  <c r="O919" i="101"/>
  <c r="N919" i="101"/>
  <c r="P919" i="101" s="1"/>
  <c r="M919" i="101"/>
  <c r="L919" i="101"/>
  <c r="S919" i="101"/>
  <c r="S918" i="101"/>
  <c r="O915" i="101"/>
  <c r="N915" i="101"/>
  <c r="P915" i="101" s="1"/>
  <c r="M915" i="101"/>
  <c r="L915" i="101"/>
  <c r="S915" i="101"/>
  <c r="BS128" i="79" l="1"/>
  <c r="AM128" i="79"/>
  <c r="FK128" i="80"/>
  <c r="FK128" i="79"/>
  <c r="BC128" i="79"/>
  <c r="CY128" i="80"/>
  <c r="DO128" i="80"/>
  <c r="EE128" i="80"/>
  <c r="CI128" i="79"/>
  <c r="W128" i="80"/>
  <c r="EU128" i="80"/>
  <c r="CY128" i="79"/>
  <c r="AM128" i="80"/>
  <c r="DO128" i="79"/>
  <c r="BC128" i="80"/>
  <c r="EE128" i="79"/>
  <c r="BS128" i="80"/>
  <c r="W128" i="79"/>
  <c r="EU128" i="79"/>
  <c r="CI128" i="80"/>
  <c r="K65" i="196"/>
  <c r="G65" i="196" s="1"/>
  <c r="H65" i="196"/>
  <c r="N140" i="103"/>
  <c r="Q140" i="103" s="1"/>
  <c r="N138" i="103"/>
  <c r="L66" i="196" s="1"/>
  <c r="N141" i="103"/>
  <c r="L72" i="196" s="1"/>
  <c r="O138" i="103"/>
  <c r="O141" i="103"/>
  <c r="P138" i="103"/>
  <c r="P141" i="103"/>
  <c r="Q269" i="105"/>
  <c r="I139" i="103"/>
  <c r="H139" i="103"/>
  <c r="G139" i="103"/>
  <c r="O128" i="79"/>
  <c r="AE128" i="79"/>
  <c r="AU128" i="79"/>
  <c r="BK128" i="79"/>
  <c r="CA128" i="79"/>
  <c r="CQ128" i="79"/>
  <c r="DG128" i="79"/>
  <c r="DW128" i="79"/>
  <c r="EM128" i="79"/>
  <c r="O128" i="80"/>
  <c r="AE128" i="80"/>
  <c r="AU128" i="80"/>
  <c r="BK128" i="80"/>
  <c r="CA128" i="80"/>
  <c r="CQ128" i="80"/>
  <c r="DG128" i="80"/>
  <c r="DW128" i="80"/>
  <c r="EM128" i="80"/>
  <c r="O448" i="102"/>
  <c r="O450" i="102"/>
  <c r="O452" i="102"/>
  <c r="O451" i="102"/>
  <c r="N445" i="102"/>
  <c r="N449" i="102"/>
  <c r="P449" i="102" s="1"/>
  <c r="N451" i="102"/>
  <c r="L451" i="102"/>
  <c r="H454" i="102"/>
  <c r="F139" i="103"/>
  <c r="P451" i="102"/>
  <c r="G454" i="102"/>
  <c r="F454" i="102"/>
  <c r="I454" i="102"/>
  <c r="P450" i="102"/>
  <c r="P452" i="102"/>
  <c r="P937" i="101"/>
  <c r="P918" i="101"/>
  <c r="O913" i="101"/>
  <c r="N913" i="101"/>
  <c r="M913" i="101"/>
  <c r="L913" i="101"/>
  <c r="S913" i="101"/>
  <c r="S912" i="101"/>
  <c r="O909" i="101"/>
  <c r="N909" i="101"/>
  <c r="M909" i="101"/>
  <c r="L909" i="101"/>
  <c r="S909" i="101"/>
  <c r="O906" i="101"/>
  <c r="N906" i="101"/>
  <c r="M906" i="101"/>
  <c r="L906" i="101"/>
  <c r="S906" i="101"/>
  <c r="O904" i="101"/>
  <c r="N904" i="101"/>
  <c r="M904" i="101"/>
  <c r="L904" i="101"/>
  <c r="O903" i="101"/>
  <c r="N903" i="101"/>
  <c r="M903" i="101"/>
  <c r="P903" i="101" s="1"/>
  <c r="L903" i="101"/>
  <c r="O902" i="101"/>
  <c r="N902" i="101"/>
  <c r="M902" i="101"/>
  <c r="L902" i="101"/>
  <c r="S904" i="101"/>
  <c r="S903" i="101"/>
  <c r="S902" i="101"/>
  <c r="O896" i="101"/>
  <c r="N896" i="101"/>
  <c r="M896" i="101"/>
  <c r="P896" i="101" s="1"/>
  <c r="L896" i="101"/>
  <c r="O895" i="101"/>
  <c r="N895" i="101"/>
  <c r="M895" i="101"/>
  <c r="L895" i="101"/>
  <c r="S896" i="101"/>
  <c r="S895" i="101"/>
  <c r="O894" i="101"/>
  <c r="N894" i="101"/>
  <c r="M894" i="101"/>
  <c r="P894" i="101" s="1"/>
  <c r="L894" i="101"/>
  <c r="S894" i="101"/>
  <c r="O892" i="101"/>
  <c r="N892" i="101"/>
  <c r="M892" i="101"/>
  <c r="P892" i="101" s="1"/>
  <c r="L892" i="101"/>
  <c r="O891" i="101"/>
  <c r="N891" i="101"/>
  <c r="M891" i="101"/>
  <c r="L891" i="101"/>
  <c r="S892" i="101"/>
  <c r="S891" i="101"/>
  <c r="O889" i="101"/>
  <c r="N889" i="101"/>
  <c r="P889" i="101" s="1"/>
  <c r="M889" i="101"/>
  <c r="L889" i="101"/>
  <c r="S889" i="101"/>
  <c r="O888" i="101"/>
  <c r="N888" i="101"/>
  <c r="M888" i="101"/>
  <c r="P888" i="101" s="1"/>
  <c r="L888" i="101"/>
  <c r="S888" i="101"/>
  <c r="O884" i="101"/>
  <c r="N884" i="101"/>
  <c r="M884" i="101"/>
  <c r="P884" i="101" s="1"/>
  <c r="L884" i="101"/>
  <c r="S884" i="101"/>
  <c r="O882" i="101"/>
  <c r="N882" i="101"/>
  <c r="M882" i="101"/>
  <c r="L882" i="101"/>
  <c r="S882" i="101"/>
  <c r="O881" i="101"/>
  <c r="N881" i="101"/>
  <c r="M881" i="101"/>
  <c r="L881" i="101"/>
  <c r="S881" i="101"/>
  <c r="O880" i="101"/>
  <c r="N880" i="101"/>
  <c r="M880" i="101"/>
  <c r="P880" i="101" s="1"/>
  <c r="L880" i="101"/>
  <c r="S880" i="101"/>
  <c r="P875" i="101"/>
  <c r="S875" i="101"/>
  <c r="O871" i="101"/>
  <c r="N871" i="101"/>
  <c r="M871" i="101"/>
  <c r="L871" i="101"/>
  <c r="O870" i="101"/>
  <c r="N870" i="101"/>
  <c r="M870" i="101"/>
  <c r="P870" i="101" s="1"/>
  <c r="L870" i="101"/>
  <c r="S871" i="101"/>
  <c r="S870" i="101"/>
  <c r="O866" i="101"/>
  <c r="N866" i="101"/>
  <c r="M866" i="101"/>
  <c r="P866" i="101" s="1"/>
  <c r="L866" i="101"/>
  <c r="O865" i="101"/>
  <c r="P865" i="101" s="1"/>
  <c r="N865" i="101"/>
  <c r="M865" i="101"/>
  <c r="L865" i="101"/>
  <c r="O864" i="101"/>
  <c r="N864" i="101"/>
  <c r="M864" i="101"/>
  <c r="P864" i="101" s="1"/>
  <c r="L864" i="101"/>
  <c r="S866" i="101"/>
  <c r="S865" i="101"/>
  <c r="S864" i="101"/>
  <c r="O846" i="101"/>
  <c r="N846" i="101"/>
  <c r="M846" i="101"/>
  <c r="L846" i="101"/>
  <c r="S846" i="101"/>
  <c r="S86" i="101"/>
  <c r="S85" i="101"/>
  <c r="S84" i="101"/>
  <c r="O86" i="101"/>
  <c r="N86" i="101"/>
  <c r="M86" i="101"/>
  <c r="L86" i="101"/>
  <c r="O85" i="101"/>
  <c r="N85" i="101"/>
  <c r="M85" i="101"/>
  <c r="L85" i="101"/>
  <c r="O84" i="101"/>
  <c r="N84" i="101"/>
  <c r="M84" i="101"/>
  <c r="L84" i="101"/>
  <c r="I1009" i="101"/>
  <c r="H1009" i="101"/>
  <c r="G1009" i="101"/>
  <c r="F1009" i="101"/>
  <c r="S1018" i="101"/>
  <c r="O1019" i="101"/>
  <c r="V954" i="101" s="1"/>
  <c r="N1019" i="101"/>
  <c r="U954" i="101" s="1"/>
  <c r="M1019" i="101"/>
  <c r="T918" i="101" s="1"/>
  <c r="O1018" i="101"/>
  <c r="N1018" i="101"/>
  <c r="M1018" i="101"/>
  <c r="O1017" i="101"/>
  <c r="V944" i="101" s="1"/>
  <c r="N1017" i="101"/>
  <c r="M1017" i="101"/>
  <c r="T992" i="101" s="1"/>
  <c r="V1009" i="101"/>
  <c r="U1009" i="101"/>
  <c r="T1009" i="101"/>
  <c r="S1009" i="101"/>
  <c r="P1009" i="101"/>
  <c r="V1008" i="101"/>
  <c r="U1008" i="101"/>
  <c r="T1008" i="101"/>
  <c r="S1008" i="101"/>
  <c r="S1023" i="101" l="1"/>
  <c r="S1022" i="101"/>
  <c r="S1024" i="101"/>
  <c r="N66" i="196"/>
  <c r="J66" i="196" s="1"/>
  <c r="N72" i="196"/>
  <c r="J72" i="196" s="1"/>
  <c r="N139" i="103"/>
  <c r="Q139" i="103" s="1"/>
  <c r="G143" i="103"/>
  <c r="O139" i="103"/>
  <c r="H143" i="103"/>
  <c r="M72" i="196"/>
  <c r="I72" i="196" s="1"/>
  <c r="M66" i="196"/>
  <c r="I66" i="196" s="1"/>
  <c r="P139" i="103"/>
  <c r="I143" i="103"/>
  <c r="H72" i="196"/>
  <c r="Q141" i="103"/>
  <c r="H77" i="196"/>
  <c r="F143" i="103"/>
  <c r="M139" i="103"/>
  <c r="H66" i="196"/>
  <c r="L1018" i="101"/>
  <c r="V894" i="101"/>
  <c r="T902" i="101"/>
  <c r="V918" i="101"/>
  <c r="T955" i="101"/>
  <c r="V964" i="101"/>
  <c r="U957" i="101"/>
  <c r="T964" i="101"/>
  <c r="V970" i="101"/>
  <c r="V965" i="101"/>
  <c r="T919" i="101"/>
  <c r="U977" i="101"/>
  <c r="U924" i="101"/>
  <c r="U979" i="101"/>
  <c r="U992" i="101"/>
  <c r="U991" i="101"/>
  <c r="U982" i="101"/>
  <c r="U965" i="101"/>
  <c r="U959" i="101"/>
  <c r="U910" i="101"/>
  <c r="U990" i="101"/>
  <c r="U966" i="101"/>
  <c r="T882" i="101"/>
  <c r="U904" i="101"/>
  <c r="U915" i="101"/>
  <c r="T954" i="101"/>
  <c r="U955" i="101"/>
  <c r="V966" i="101"/>
  <c r="V977" i="101"/>
  <c r="V979" i="101"/>
  <c r="T915" i="101"/>
  <c r="V957" i="101"/>
  <c r="T956" i="101"/>
  <c r="T966" i="101"/>
  <c r="T979" i="101"/>
  <c r="V956" i="101"/>
  <c r="V955" i="101"/>
  <c r="T990" i="101"/>
  <c r="V909" i="101"/>
  <c r="T957" i="101"/>
  <c r="V959" i="101"/>
  <c r="T969" i="101"/>
  <c r="V915" i="101"/>
  <c r="V919" i="101"/>
  <c r="U980" i="101"/>
  <c r="U880" i="101"/>
  <c r="V978" i="101"/>
  <c r="V992" i="101"/>
  <c r="V991" i="101"/>
  <c r="V982" i="101"/>
  <c r="V990" i="101"/>
  <c r="V980" i="101"/>
  <c r="V910" i="101"/>
  <c r="U889" i="101"/>
  <c r="V903" i="101"/>
  <c r="U956" i="101"/>
  <c r="U969" i="101"/>
  <c r="U970" i="101"/>
  <c r="V963" i="101"/>
  <c r="T846" i="101"/>
  <c r="U881" i="101"/>
  <c r="T895" i="101"/>
  <c r="T924" i="101"/>
  <c r="T953" i="101"/>
  <c r="T965" i="101"/>
  <c r="T968" i="101"/>
  <c r="T977" i="101"/>
  <c r="T959" i="101"/>
  <c r="V953" i="101"/>
  <c r="L1019" i="101"/>
  <c r="U918" i="101"/>
  <c r="U846" i="101"/>
  <c r="U891" i="101"/>
  <c r="U944" i="101"/>
  <c r="U953" i="101"/>
  <c r="T963" i="101"/>
  <c r="V968" i="101"/>
  <c r="U968" i="101"/>
  <c r="U978" i="101"/>
  <c r="V924" i="101"/>
  <c r="T978" i="101"/>
  <c r="T991" i="101"/>
  <c r="T982" i="101"/>
  <c r="T980" i="101"/>
  <c r="T910" i="101"/>
  <c r="V846" i="101"/>
  <c r="V884" i="101"/>
  <c r="T892" i="101"/>
  <c r="V902" i="101"/>
  <c r="V906" i="101"/>
  <c r="U919" i="101"/>
  <c r="T944" i="101"/>
  <c r="U963" i="101"/>
  <c r="T970" i="101"/>
  <c r="U964" i="101"/>
  <c r="V969" i="101"/>
  <c r="P445" i="102"/>
  <c r="P448" i="102"/>
  <c r="P895" i="101"/>
  <c r="P881" i="101"/>
  <c r="P909" i="101"/>
  <c r="P912" i="101"/>
  <c r="V889" i="101"/>
  <c r="T894" i="101"/>
  <c r="U894" i="101"/>
  <c r="P902" i="101"/>
  <c r="P904" i="101"/>
  <c r="P882" i="101"/>
  <c r="P913" i="101"/>
  <c r="U882" i="101"/>
  <c r="U884" i="101"/>
  <c r="P891" i="101"/>
  <c r="V882" i="101"/>
  <c r="P871" i="101"/>
  <c r="V891" i="101"/>
  <c r="V904" i="101"/>
  <c r="P906" i="101"/>
  <c r="T909" i="101"/>
  <c r="U909" i="101"/>
  <c r="T906" i="101"/>
  <c r="U906" i="101"/>
  <c r="U902" i="101"/>
  <c r="T903" i="101"/>
  <c r="U903" i="101"/>
  <c r="T904" i="101"/>
  <c r="U895" i="101"/>
  <c r="V895" i="101"/>
  <c r="U892" i="101"/>
  <c r="V892" i="101"/>
  <c r="T891" i="101"/>
  <c r="T889" i="101"/>
  <c r="T884" i="101"/>
  <c r="T881" i="101"/>
  <c r="V881" i="101"/>
  <c r="T880" i="101"/>
  <c r="S1019" i="101"/>
  <c r="V880" i="101"/>
  <c r="P85" i="101"/>
  <c r="P846" i="101"/>
  <c r="S1017" i="101"/>
  <c r="P86" i="101"/>
  <c r="P84" i="101"/>
  <c r="L1017" i="101"/>
  <c r="S1027" i="101"/>
  <c r="I122" i="196" s="1"/>
  <c r="G122" i="206" l="1"/>
  <c r="M122" i="196"/>
  <c r="I133" i="196"/>
  <c r="J77" i="196"/>
  <c r="L77" i="196"/>
  <c r="H79" i="196"/>
  <c r="K66" i="196"/>
  <c r="G66" i="196" s="1"/>
  <c r="G77" i="196" s="1"/>
  <c r="K72" i="196"/>
  <c r="G72" i="196" s="1"/>
  <c r="I77" i="196"/>
  <c r="S1028" i="101"/>
  <c r="J122" i="196" s="1"/>
  <c r="G122" i="207" s="1"/>
  <c r="G133" i="207" s="1"/>
  <c r="N122" i="196" l="1"/>
  <c r="J133" i="196"/>
  <c r="M133" i="196"/>
  <c r="I79" i="196"/>
  <c r="M77" i="196"/>
  <c r="K77" i="196"/>
  <c r="G79" i="196"/>
  <c r="L79" i="196"/>
  <c r="N77" i="196"/>
  <c r="J79" i="196"/>
  <c r="I226" i="100"/>
  <c r="H226" i="100"/>
  <c r="G226" i="100"/>
  <c r="N235" i="100"/>
  <c r="M235" i="100"/>
  <c r="L235" i="100"/>
  <c r="T128" i="100" s="1"/>
  <c r="N234" i="100"/>
  <c r="V138" i="100" s="1"/>
  <c r="M234" i="100"/>
  <c r="U134" i="100" s="1"/>
  <c r="L234" i="100"/>
  <c r="N233" i="100"/>
  <c r="M233" i="100"/>
  <c r="L233" i="100"/>
  <c r="I225" i="100"/>
  <c r="H225" i="100"/>
  <c r="G225" i="100"/>
  <c r="F225" i="100"/>
  <c r="L225" i="100" s="1"/>
  <c r="I224" i="100"/>
  <c r="I222" i="100"/>
  <c r="H222" i="100"/>
  <c r="G222" i="100"/>
  <c r="F222" i="100"/>
  <c r="I221" i="100"/>
  <c r="H221" i="100"/>
  <c r="G221" i="100"/>
  <c r="F221" i="100"/>
  <c r="O221" i="100" s="1"/>
  <c r="V240" i="100"/>
  <c r="U240" i="100"/>
  <c r="T240" i="100"/>
  <c r="V239" i="100"/>
  <c r="U239" i="100"/>
  <c r="T239" i="100"/>
  <c r="V238" i="100"/>
  <c r="U238" i="100"/>
  <c r="T238" i="100"/>
  <c r="V233" i="100"/>
  <c r="U233" i="100"/>
  <c r="T233" i="100"/>
  <c r="V232" i="100"/>
  <c r="U232" i="100"/>
  <c r="T232" i="100"/>
  <c r="V231" i="100"/>
  <c r="U231" i="100"/>
  <c r="T231" i="100"/>
  <c r="W256" i="100"/>
  <c r="W249" i="100"/>
  <c r="O222" i="100"/>
  <c r="N222" i="100"/>
  <c r="W242" i="100"/>
  <c r="W235" i="100"/>
  <c r="P183" i="99"/>
  <c r="I183" i="99"/>
  <c r="H183" i="99"/>
  <c r="G183" i="99"/>
  <c r="F183" i="99"/>
  <c r="I182" i="99"/>
  <c r="H182" i="99"/>
  <c r="G182" i="99"/>
  <c r="F182" i="99"/>
  <c r="I181" i="99"/>
  <c r="H181" i="99"/>
  <c r="G181" i="99"/>
  <c r="F181" i="99"/>
  <c r="L181" i="99" s="1"/>
  <c r="P98" i="98"/>
  <c r="O98" i="98"/>
  <c r="N98" i="98"/>
  <c r="P97" i="98"/>
  <c r="O53" i="98" s="1"/>
  <c r="O97" i="98"/>
  <c r="N55" i="98" s="1"/>
  <c r="N97" i="98"/>
  <c r="M55" i="98" s="1"/>
  <c r="P96" i="98"/>
  <c r="O68" i="98" s="1"/>
  <c r="O96" i="98"/>
  <c r="N71" i="98" s="1"/>
  <c r="N96" i="98"/>
  <c r="M73" i="98" s="1"/>
  <c r="H81" i="98"/>
  <c r="F81" i="98"/>
  <c r="K75" i="98"/>
  <c r="K73" i="98"/>
  <c r="K72" i="98"/>
  <c r="K71" i="98"/>
  <c r="K70" i="98"/>
  <c r="K69" i="98"/>
  <c r="K68" i="98"/>
  <c r="K67" i="98"/>
  <c r="K66" i="98"/>
  <c r="K65" i="98"/>
  <c r="K64" i="98"/>
  <c r="K63" i="98"/>
  <c r="K62" i="98"/>
  <c r="K61" i="98"/>
  <c r="K60" i="98"/>
  <c r="K59" i="98"/>
  <c r="K58" i="98"/>
  <c r="K57" i="98"/>
  <c r="K56" i="98"/>
  <c r="K55" i="98"/>
  <c r="K54" i="98"/>
  <c r="K53" i="98"/>
  <c r="K52" i="98"/>
  <c r="K51" i="98"/>
  <c r="K50" i="98"/>
  <c r="K49" i="98"/>
  <c r="K48" i="98"/>
  <c r="K47" i="98"/>
  <c r="K46" i="98"/>
  <c r="K45" i="98"/>
  <c r="K43" i="98"/>
  <c r="K42" i="98"/>
  <c r="K41" i="98"/>
  <c r="K40" i="98"/>
  <c r="K38" i="98"/>
  <c r="K37" i="98"/>
  <c r="N44" i="97"/>
  <c r="O44" i="97"/>
  <c r="M44" i="97"/>
  <c r="L44" i="97"/>
  <c r="K44" i="97"/>
  <c r="Q124" i="96"/>
  <c r="O124" i="96"/>
  <c r="N124" i="96"/>
  <c r="M124" i="96"/>
  <c r="P124" i="96"/>
  <c r="L124" i="96"/>
  <c r="Q123" i="96"/>
  <c r="P123" i="96"/>
  <c r="O123" i="96"/>
  <c r="N123" i="96"/>
  <c r="M123" i="96"/>
  <c r="L123" i="96"/>
  <c r="Q122" i="96"/>
  <c r="O122" i="96"/>
  <c r="N122" i="96"/>
  <c r="P122" i="96"/>
  <c r="M122" i="96"/>
  <c r="L122" i="96"/>
  <c r="Q121" i="96"/>
  <c r="O121" i="96"/>
  <c r="N121" i="96"/>
  <c r="M121" i="96"/>
  <c r="P121" i="96"/>
  <c r="L121" i="96"/>
  <c r="Q120" i="96"/>
  <c r="O120" i="96"/>
  <c r="N120" i="96"/>
  <c r="M120" i="96"/>
  <c r="P120" i="96"/>
  <c r="L120" i="96"/>
  <c r="Q119" i="96"/>
  <c r="P119" i="96"/>
  <c r="O119" i="96"/>
  <c r="N119" i="96"/>
  <c r="M119" i="96"/>
  <c r="L119" i="96"/>
  <c r="Q118" i="96"/>
  <c r="O118" i="96"/>
  <c r="N118" i="96"/>
  <c r="P118" i="96"/>
  <c r="M118" i="96"/>
  <c r="L118" i="96"/>
  <c r="Q117" i="96"/>
  <c r="O117" i="96"/>
  <c r="N117" i="96"/>
  <c r="M117" i="96"/>
  <c r="P117" i="96"/>
  <c r="L117" i="96"/>
  <c r="Q116" i="96"/>
  <c r="O116" i="96"/>
  <c r="N116" i="96"/>
  <c r="M116" i="96"/>
  <c r="P116" i="96"/>
  <c r="L116" i="96"/>
  <c r="Q115" i="96"/>
  <c r="P115" i="96"/>
  <c r="O115" i="96"/>
  <c r="N115" i="96"/>
  <c r="M115" i="96"/>
  <c r="L115" i="96"/>
  <c r="Q114" i="96"/>
  <c r="O114" i="96"/>
  <c r="N114" i="96"/>
  <c r="P114" i="96"/>
  <c r="M114" i="96"/>
  <c r="L114" i="96"/>
  <c r="Q113" i="96"/>
  <c r="O113" i="96"/>
  <c r="N113" i="96"/>
  <c r="M113" i="96"/>
  <c r="P113" i="96"/>
  <c r="L113" i="96"/>
  <c r="Q112" i="96"/>
  <c r="O112" i="96"/>
  <c r="N112" i="96"/>
  <c r="M112" i="96"/>
  <c r="P112" i="96"/>
  <c r="L112" i="96"/>
  <c r="Q111" i="96"/>
  <c r="P111" i="96"/>
  <c r="O111" i="96"/>
  <c r="N111" i="96"/>
  <c r="M111" i="96"/>
  <c r="L111" i="96"/>
  <c r="Q110" i="96"/>
  <c r="O110" i="96"/>
  <c r="N110" i="96"/>
  <c r="P110" i="96"/>
  <c r="M110" i="96"/>
  <c r="L110" i="96"/>
  <c r="Q109" i="96"/>
  <c r="O109" i="96"/>
  <c r="N109" i="96"/>
  <c r="P109" i="96" s="1"/>
  <c r="M109" i="96"/>
  <c r="L109" i="96"/>
  <c r="Q108" i="96"/>
  <c r="O108" i="96"/>
  <c r="N108" i="96"/>
  <c r="M108" i="96"/>
  <c r="P108" i="96"/>
  <c r="L108" i="96"/>
  <c r="Q107" i="96"/>
  <c r="P107" i="96"/>
  <c r="O107" i="96"/>
  <c r="N107" i="96"/>
  <c r="M107" i="96"/>
  <c r="L107" i="96"/>
  <c r="Q106" i="96"/>
  <c r="O106" i="96"/>
  <c r="N106" i="96"/>
  <c r="P106" i="96"/>
  <c r="M106" i="96"/>
  <c r="L106" i="96"/>
  <c r="Q105" i="96"/>
  <c r="O105" i="96"/>
  <c r="N105" i="96"/>
  <c r="M105" i="96"/>
  <c r="P105" i="96"/>
  <c r="L105" i="96"/>
  <c r="Q104" i="96"/>
  <c r="O104" i="96"/>
  <c r="N104" i="96"/>
  <c r="M104" i="96"/>
  <c r="P104" i="96"/>
  <c r="L104" i="96"/>
  <c r="Q103" i="96"/>
  <c r="P103" i="96"/>
  <c r="O103" i="96"/>
  <c r="N103" i="96"/>
  <c r="M103" i="96"/>
  <c r="L103" i="96"/>
  <c r="Q102" i="96"/>
  <c r="O102" i="96"/>
  <c r="N102" i="96"/>
  <c r="P102" i="96"/>
  <c r="M102" i="96"/>
  <c r="L102" i="96"/>
  <c r="Q101" i="96"/>
  <c r="O101" i="96"/>
  <c r="N101" i="96"/>
  <c r="M101" i="96"/>
  <c r="P101" i="96"/>
  <c r="L101" i="96"/>
  <c r="Q100" i="96"/>
  <c r="O100" i="96"/>
  <c r="N100" i="96"/>
  <c r="M100" i="96"/>
  <c r="P100" i="96"/>
  <c r="L100" i="96"/>
  <c r="Q99" i="96"/>
  <c r="P99" i="96"/>
  <c r="O99" i="96"/>
  <c r="N99" i="96"/>
  <c r="M99" i="96"/>
  <c r="L99" i="96"/>
  <c r="Q98" i="96"/>
  <c r="O98" i="96"/>
  <c r="N98" i="96"/>
  <c r="P98" i="96"/>
  <c r="M98" i="96"/>
  <c r="L98" i="96"/>
  <c r="Q97" i="96"/>
  <c r="O97" i="96"/>
  <c r="N97" i="96"/>
  <c r="M97" i="96"/>
  <c r="P97" i="96"/>
  <c r="L97" i="96"/>
  <c r="Q96" i="96"/>
  <c r="O96" i="96"/>
  <c r="N96" i="96"/>
  <c r="M96" i="96"/>
  <c r="P96" i="96"/>
  <c r="L96" i="96"/>
  <c r="Q95" i="96"/>
  <c r="P95" i="96"/>
  <c r="O95" i="96"/>
  <c r="N95" i="96"/>
  <c r="M95" i="96"/>
  <c r="L95" i="96"/>
  <c r="Q94" i="96"/>
  <c r="O94" i="96"/>
  <c r="N94" i="96"/>
  <c r="P94" i="96"/>
  <c r="M94" i="96"/>
  <c r="L94" i="96"/>
  <c r="Q93" i="96"/>
  <c r="O93" i="96"/>
  <c r="P93" i="96" s="1"/>
  <c r="N93" i="96"/>
  <c r="M93" i="96"/>
  <c r="L93" i="96"/>
  <c r="Q92" i="96"/>
  <c r="O92" i="96"/>
  <c r="N92" i="96"/>
  <c r="M92" i="96"/>
  <c r="P92" i="96"/>
  <c r="L92" i="96"/>
  <c r="Q91" i="96"/>
  <c r="P91" i="96"/>
  <c r="O91" i="96"/>
  <c r="N91" i="96"/>
  <c r="M91" i="96"/>
  <c r="L91" i="96"/>
  <c r="Q90" i="96"/>
  <c r="O90" i="96"/>
  <c r="N90" i="96"/>
  <c r="P90" i="96" s="1"/>
  <c r="M90" i="96"/>
  <c r="L90" i="96"/>
  <c r="Q89" i="96"/>
  <c r="O89" i="96"/>
  <c r="N89" i="96"/>
  <c r="M89" i="96"/>
  <c r="P89" i="96"/>
  <c r="L89" i="96"/>
  <c r="Q88" i="96"/>
  <c r="O88" i="96"/>
  <c r="N88" i="96"/>
  <c r="M88" i="96"/>
  <c r="P88" i="96"/>
  <c r="L88" i="96"/>
  <c r="Q87" i="96"/>
  <c r="P87" i="96"/>
  <c r="O87" i="96"/>
  <c r="N87" i="96"/>
  <c r="M87" i="96"/>
  <c r="L87" i="96"/>
  <c r="Q86" i="96"/>
  <c r="O86" i="96"/>
  <c r="N86" i="96"/>
  <c r="P86" i="96"/>
  <c r="M86" i="96"/>
  <c r="L86" i="96"/>
  <c r="Q85" i="96"/>
  <c r="O85" i="96"/>
  <c r="N85" i="96"/>
  <c r="M85" i="96"/>
  <c r="P85" i="96"/>
  <c r="L85" i="96"/>
  <c r="Q84" i="96"/>
  <c r="O84" i="96"/>
  <c r="N84" i="96"/>
  <c r="M84" i="96"/>
  <c r="P84" i="96"/>
  <c r="L84" i="96"/>
  <c r="Q83" i="96"/>
  <c r="P83" i="96"/>
  <c r="O83" i="96"/>
  <c r="N83" i="96"/>
  <c r="M83" i="96"/>
  <c r="L83" i="96"/>
  <c r="Q82" i="96"/>
  <c r="O82" i="96"/>
  <c r="N82" i="96"/>
  <c r="P82" i="96"/>
  <c r="M82" i="96"/>
  <c r="L82" i="96"/>
  <c r="Q81" i="96"/>
  <c r="O81" i="96"/>
  <c r="N81" i="96"/>
  <c r="M81" i="96"/>
  <c r="P81" i="96"/>
  <c r="L81" i="96"/>
  <c r="Q80" i="96"/>
  <c r="O80" i="96"/>
  <c r="N80" i="96"/>
  <c r="M80" i="96"/>
  <c r="P80" i="96"/>
  <c r="L80" i="96"/>
  <c r="Q79" i="96"/>
  <c r="P79" i="96"/>
  <c r="O79" i="96"/>
  <c r="N79" i="96"/>
  <c r="M79" i="96"/>
  <c r="L79" i="96"/>
  <c r="Q78" i="96"/>
  <c r="O78" i="96"/>
  <c r="N78" i="96"/>
  <c r="P78" i="96"/>
  <c r="M78" i="96"/>
  <c r="L78" i="96"/>
  <c r="Q77" i="96"/>
  <c r="O77" i="96"/>
  <c r="N77" i="96"/>
  <c r="M77" i="96"/>
  <c r="P77" i="96"/>
  <c r="L77" i="96"/>
  <c r="Q76" i="96"/>
  <c r="O76" i="96"/>
  <c r="N76" i="96"/>
  <c r="P76" i="96" s="1"/>
  <c r="M76" i="96"/>
  <c r="L76" i="96"/>
  <c r="Q75" i="96"/>
  <c r="P75" i="96"/>
  <c r="O75" i="96"/>
  <c r="N75" i="96"/>
  <c r="M75" i="96"/>
  <c r="L75" i="96"/>
  <c r="Q74" i="96"/>
  <c r="O74" i="96"/>
  <c r="N74" i="96"/>
  <c r="P74" i="96"/>
  <c r="M74" i="96"/>
  <c r="L74" i="96"/>
  <c r="Q73" i="96"/>
  <c r="O73" i="96"/>
  <c r="N73" i="96"/>
  <c r="M73" i="96"/>
  <c r="P73" i="96"/>
  <c r="L73" i="96"/>
  <c r="Q72" i="96"/>
  <c r="O72" i="96"/>
  <c r="N72" i="96"/>
  <c r="M72" i="96"/>
  <c r="P72" i="96"/>
  <c r="L72" i="96"/>
  <c r="Q71" i="96"/>
  <c r="P71" i="96"/>
  <c r="O71" i="96"/>
  <c r="N71" i="96"/>
  <c r="M71" i="96"/>
  <c r="L71" i="96"/>
  <c r="Q70" i="96"/>
  <c r="O70" i="96"/>
  <c r="N70" i="96"/>
  <c r="P70" i="96"/>
  <c r="M70" i="96"/>
  <c r="L70" i="96"/>
  <c r="Q69" i="96"/>
  <c r="O69" i="96"/>
  <c r="N69" i="96"/>
  <c r="M69" i="96"/>
  <c r="P69" i="96"/>
  <c r="L69" i="96"/>
  <c r="Q68" i="96"/>
  <c r="O68" i="96"/>
  <c r="N68" i="96"/>
  <c r="M68" i="96"/>
  <c r="P68" i="96"/>
  <c r="L68" i="96"/>
  <c r="Q67" i="96"/>
  <c r="P67" i="96"/>
  <c r="O67" i="96"/>
  <c r="N67" i="96"/>
  <c r="M67" i="96"/>
  <c r="L67" i="96"/>
  <c r="Q66" i="96"/>
  <c r="O66" i="96"/>
  <c r="N66" i="96"/>
  <c r="P66" i="96"/>
  <c r="M66" i="96"/>
  <c r="L66" i="96"/>
  <c r="Q65" i="96"/>
  <c r="O65" i="96"/>
  <c r="N65" i="96"/>
  <c r="M65" i="96"/>
  <c r="P65" i="96"/>
  <c r="L65" i="96"/>
  <c r="Q64" i="96"/>
  <c r="O64" i="96"/>
  <c r="N64" i="96"/>
  <c r="M64" i="96"/>
  <c r="P64" i="96"/>
  <c r="L64" i="96"/>
  <c r="Q63" i="96"/>
  <c r="P63" i="96"/>
  <c r="O63" i="96"/>
  <c r="N63" i="96"/>
  <c r="M63" i="96"/>
  <c r="L63" i="96"/>
  <c r="Q62" i="96"/>
  <c r="O62" i="96"/>
  <c r="N62" i="96"/>
  <c r="P62" i="96"/>
  <c r="M62" i="96"/>
  <c r="L62" i="96"/>
  <c r="Q61" i="96"/>
  <c r="O61" i="96"/>
  <c r="N61" i="96"/>
  <c r="M61" i="96"/>
  <c r="P61" i="96"/>
  <c r="L61" i="96"/>
  <c r="Q60" i="96"/>
  <c r="O60" i="96"/>
  <c r="N60" i="96"/>
  <c r="M60" i="96"/>
  <c r="P60" i="96"/>
  <c r="L60" i="96"/>
  <c r="Q59" i="96"/>
  <c r="P59" i="96"/>
  <c r="O59" i="96"/>
  <c r="N59" i="96"/>
  <c r="M59" i="96"/>
  <c r="L59" i="96"/>
  <c r="Q58" i="96"/>
  <c r="O58" i="96"/>
  <c r="N58" i="96"/>
  <c r="P58" i="96"/>
  <c r="M58" i="96"/>
  <c r="L58" i="96"/>
  <c r="Q57" i="96"/>
  <c r="O57" i="96"/>
  <c r="N57" i="96"/>
  <c r="M57" i="96"/>
  <c r="P57" i="96"/>
  <c r="L57" i="96"/>
  <c r="Q56" i="96"/>
  <c r="O56" i="96"/>
  <c r="N56" i="96"/>
  <c r="M56" i="96"/>
  <c r="P56" i="96"/>
  <c r="L56" i="96"/>
  <c r="Q55" i="96"/>
  <c r="P55" i="96"/>
  <c r="O55" i="96"/>
  <c r="N55" i="96"/>
  <c r="M55" i="96"/>
  <c r="L55" i="96"/>
  <c r="Q54" i="96"/>
  <c r="O54" i="96"/>
  <c r="N54" i="96"/>
  <c r="P54" i="96"/>
  <c r="M54" i="96"/>
  <c r="L54" i="96"/>
  <c r="Q53" i="96"/>
  <c r="O53" i="96"/>
  <c r="N53" i="96"/>
  <c r="M53" i="96"/>
  <c r="P53" i="96"/>
  <c r="L53" i="96"/>
  <c r="Q52" i="96"/>
  <c r="O52" i="96"/>
  <c r="N52" i="96"/>
  <c r="M52" i="96"/>
  <c r="P52" i="96"/>
  <c r="L52" i="96"/>
  <c r="Q51" i="96"/>
  <c r="P51" i="96"/>
  <c r="O51" i="96"/>
  <c r="N51" i="96"/>
  <c r="M51" i="96"/>
  <c r="L51" i="96"/>
  <c r="Q50" i="96"/>
  <c r="O50" i="96"/>
  <c r="N50" i="96"/>
  <c r="P50" i="96"/>
  <c r="M50" i="96"/>
  <c r="L50" i="96"/>
  <c r="Q49" i="96"/>
  <c r="O49" i="96"/>
  <c r="N49" i="96"/>
  <c r="M49" i="96"/>
  <c r="P49" i="96"/>
  <c r="L49" i="96"/>
  <c r="Q48" i="96"/>
  <c r="O48" i="96"/>
  <c r="N48" i="96"/>
  <c r="M48" i="96"/>
  <c r="P48" i="96"/>
  <c r="L48" i="96"/>
  <c r="Q47" i="96"/>
  <c r="P47" i="96"/>
  <c r="O47" i="96"/>
  <c r="N47" i="96"/>
  <c r="M47" i="96"/>
  <c r="L47" i="96"/>
  <c r="Q46" i="96"/>
  <c r="O46" i="96"/>
  <c r="N46" i="96"/>
  <c r="P46" i="96"/>
  <c r="M46" i="96"/>
  <c r="L46" i="96"/>
  <c r="Q45" i="96"/>
  <c r="O45" i="96"/>
  <c r="N45" i="96"/>
  <c r="M45" i="96"/>
  <c r="P45" i="96"/>
  <c r="L45" i="96"/>
  <c r="Q44" i="96"/>
  <c r="O44" i="96"/>
  <c r="N44" i="96"/>
  <c r="M44" i="96"/>
  <c r="P44" i="96"/>
  <c r="L44" i="96"/>
  <c r="Q43" i="96"/>
  <c r="P43" i="96"/>
  <c r="O43" i="96"/>
  <c r="N43" i="96"/>
  <c r="M43" i="96"/>
  <c r="L43" i="96"/>
  <c r="Q42" i="96"/>
  <c r="O42" i="96"/>
  <c r="N42" i="96"/>
  <c r="P42" i="96"/>
  <c r="M42" i="96"/>
  <c r="L42" i="96"/>
  <c r="Q41" i="96"/>
  <c r="O41" i="96"/>
  <c r="N41" i="96"/>
  <c r="M41" i="96"/>
  <c r="P41" i="96"/>
  <c r="L41" i="96"/>
  <c r="Q40" i="96"/>
  <c r="O40" i="96"/>
  <c r="N40" i="96"/>
  <c r="M40" i="96"/>
  <c r="P40" i="96"/>
  <c r="L40" i="96"/>
  <c r="Q39" i="96"/>
  <c r="P39" i="96"/>
  <c r="O39" i="96"/>
  <c r="N39" i="96"/>
  <c r="M39" i="96"/>
  <c r="L39" i="96"/>
  <c r="Q38" i="96"/>
  <c r="O38" i="96"/>
  <c r="N38" i="96"/>
  <c r="P38" i="96"/>
  <c r="M38" i="96"/>
  <c r="L38" i="96"/>
  <c r="Q37" i="96"/>
  <c r="P37" i="96"/>
  <c r="O37" i="96"/>
  <c r="N37" i="96"/>
  <c r="M37" i="96"/>
  <c r="L37" i="96"/>
  <c r="O394" i="96"/>
  <c r="P394" i="96"/>
  <c r="N394" i="96"/>
  <c r="M394" i="96"/>
  <c r="L394" i="96"/>
  <c r="V604" i="96"/>
  <c r="U604" i="96"/>
  <c r="T604" i="96"/>
  <c r="S105" i="96" s="1"/>
  <c r="V603" i="96"/>
  <c r="U43" i="96" s="1"/>
  <c r="U603" i="96"/>
  <c r="T113" i="96" s="1"/>
  <c r="T603" i="96"/>
  <c r="S44" i="96" s="1"/>
  <c r="V602" i="96"/>
  <c r="U602" i="96"/>
  <c r="T602" i="96"/>
  <c r="S88" i="96" s="1"/>
  <c r="F605" i="96"/>
  <c r="L605" i="96" s="1"/>
  <c r="I603" i="96"/>
  <c r="H603" i="96"/>
  <c r="G603" i="96"/>
  <c r="F603" i="96"/>
  <c r="I602" i="96"/>
  <c r="H602" i="96"/>
  <c r="G602" i="96"/>
  <c r="F602" i="96"/>
  <c r="I601" i="96"/>
  <c r="H601" i="96"/>
  <c r="N601" i="96" s="1"/>
  <c r="G601" i="96"/>
  <c r="F601" i="96"/>
  <c r="I600" i="96"/>
  <c r="H600" i="96"/>
  <c r="G600" i="96"/>
  <c r="F600" i="96"/>
  <c r="I599" i="96"/>
  <c r="H599" i="96"/>
  <c r="G599" i="96"/>
  <c r="F599" i="96"/>
  <c r="I598" i="96"/>
  <c r="H598" i="96"/>
  <c r="G598" i="96"/>
  <c r="F598" i="96"/>
  <c r="I597" i="96"/>
  <c r="H597" i="96"/>
  <c r="G597" i="96"/>
  <c r="F597" i="96"/>
  <c r="I596" i="96"/>
  <c r="H596" i="96"/>
  <c r="G596" i="96"/>
  <c r="F596" i="96"/>
  <c r="I595" i="96"/>
  <c r="H595" i="96"/>
  <c r="G595" i="96"/>
  <c r="F595" i="96"/>
  <c r="I594" i="96"/>
  <c r="H594" i="96"/>
  <c r="G594" i="96"/>
  <c r="F594" i="96"/>
  <c r="I593" i="96"/>
  <c r="H593" i="96"/>
  <c r="G593" i="96"/>
  <c r="F593" i="96"/>
  <c r="L593" i="96" s="1"/>
  <c r="I592" i="96"/>
  <c r="H592" i="96"/>
  <c r="G592" i="96"/>
  <c r="F592" i="96"/>
  <c r="I591" i="96"/>
  <c r="H591" i="96"/>
  <c r="G591" i="96"/>
  <c r="F591" i="96"/>
  <c r="I590" i="96"/>
  <c r="H590" i="96"/>
  <c r="G590" i="96"/>
  <c r="F590" i="96"/>
  <c r="I589" i="96"/>
  <c r="H589" i="96"/>
  <c r="G589" i="96"/>
  <c r="F589" i="96"/>
  <c r="L589" i="96" s="1"/>
  <c r="I588" i="96"/>
  <c r="H588" i="96"/>
  <c r="G588" i="96"/>
  <c r="F588" i="96"/>
  <c r="L588" i="96" s="1"/>
  <c r="I586" i="96"/>
  <c r="H586" i="96"/>
  <c r="G586" i="96"/>
  <c r="F586" i="96"/>
  <c r="L586" i="96" s="1"/>
  <c r="I585" i="96"/>
  <c r="I587" i="96" s="1"/>
  <c r="H585" i="96"/>
  <c r="G585" i="96"/>
  <c r="S588" i="96" s="1"/>
  <c r="F585" i="96"/>
  <c r="L585" i="96" s="1"/>
  <c r="O603" i="96"/>
  <c r="N603" i="96"/>
  <c r="M603" i="96"/>
  <c r="L603" i="96"/>
  <c r="L602" i="96"/>
  <c r="O601" i="96"/>
  <c r="L601" i="96"/>
  <c r="L600" i="96"/>
  <c r="O600" i="96"/>
  <c r="M600" i="96"/>
  <c r="L599" i="96"/>
  <c r="O599" i="96"/>
  <c r="O598" i="96"/>
  <c r="M598" i="96"/>
  <c r="L598" i="96"/>
  <c r="O597" i="96"/>
  <c r="N597" i="96"/>
  <c r="L597" i="96"/>
  <c r="M596" i="96"/>
  <c r="O596" i="96"/>
  <c r="L595" i="96"/>
  <c r="O595" i="96"/>
  <c r="O594" i="96"/>
  <c r="M594" i="96"/>
  <c r="L594" i="96"/>
  <c r="O593" i="96"/>
  <c r="F604" i="96"/>
  <c r="L604" i="96" s="1"/>
  <c r="N592" i="96"/>
  <c r="M592" i="96"/>
  <c r="L592" i="96"/>
  <c r="O592" i="96"/>
  <c r="U591" i="96"/>
  <c r="O591" i="96"/>
  <c r="N590" i="96"/>
  <c r="M590" i="96"/>
  <c r="L590" i="96"/>
  <c r="M602" i="96"/>
  <c r="I604" i="96"/>
  <c r="N593" i="96"/>
  <c r="O602" i="96"/>
  <c r="L596" i="96"/>
  <c r="G68" i="95"/>
  <c r="F68" i="95"/>
  <c r="I66" i="95"/>
  <c r="H66" i="95"/>
  <c r="G66" i="95"/>
  <c r="F66" i="95"/>
  <c r="O66" i="95"/>
  <c r="I65" i="95"/>
  <c r="H65" i="95"/>
  <c r="O65" i="95" s="1"/>
  <c r="Q65" i="95" s="1"/>
  <c r="G65" i="95"/>
  <c r="F65" i="95"/>
  <c r="P67" i="95"/>
  <c r="O67" i="95"/>
  <c r="N67" i="95"/>
  <c r="M67" i="95"/>
  <c r="W177" i="94"/>
  <c r="V177" i="94"/>
  <c r="V85" i="94" s="1"/>
  <c r="U177" i="94"/>
  <c r="U73" i="94" s="1"/>
  <c r="W176" i="94"/>
  <c r="W43" i="94" s="1"/>
  <c r="V176" i="94"/>
  <c r="V105" i="94" s="1"/>
  <c r="U176" i="94"/>
  <c r="U105" i="94" s="1"/>
  <c r="W175" i="94"/>
  <c r="W100" i="94" s="1"/>
  <c r="V175" i="94"/>
  <c r="V100" i="94" s="1"/>
  <c r="U175" i="94"/>
  <c r="U64" i="94" s="1"/>
  <c r="I159" i="94"/>
  <c r="H159" i="94"/>
  <c r="G159" i="94"/>
  <c r="F159" i="94"/>
  <c r="L159" i="94" s="1"/>
  <c r="I158" i="94"/>
  <c r="H158" i="94"/>
  <c r="G158" i="94"/>
  <c r="F158" i="94"/>
  <c r="L158" i="94" s="1"/>
  <c r="I156" i="94"/>
  <c r="H156" i="94"/>
  <c r="G156" i="94"/>
  <c r="F156" i="94"/>
  <c r="I155" i="94"/>
  <c r="U162" i="94" s="1"/>
  <c r="X162" i="94" s="1"/>
  <c r="H155" i="94"/>
  <c r="U161" i="94" s="1"/>
  <c r="X161" i="94" s="1"/>
  <c r="G155" i="94"/>
  <c r="U160" i="94" s="1"/>
  <c r="F155" i="94"/>
  <c r="L155" i="94" s="1"/>
  <c r="V163" i="94"/>
  <c r="N159" i="94"/>
  <c r="R105" i="94"/>
  <c r="R104" i="94"/>
  <c r="R103" i="94"/>
  <c r="R102" i="94"/>
  <c r="R101" i="94"/>
  <c r="R100" i="94"/>
  <c r="R99" i="94"/>
  <c r="R98" i="94"/>
  <c r="R97" i="94"/>
  <c r="R96" i="94"/>
  <c r="R95" i="94"/>
  <c r="R94" i="94"/>
  <c r="R93" i="94"/>
  <c r="R92" i="94"/>
  <c r="R91" i="94"/>
  <c r="R90" i="94"/>
  <c r="R89" i="94"/>
  <c r="R88" i="94"/>
  <c r="R87" i="94"/>
  <c r="R86" i="94"/>
  <c r="R85" i="94"/>
  <c r="R84" i="94"/>
  <c r="R83" i="94"/>
  <c r="R82" i="94"/>
  <c r="R81" i="94"/>
  <c r="R80" i="94"/>
  <c r="R79" i="94"/>
  <c r="R78" i="94"/>
  <c r="R77" i="94"/>
  <c r="R76" i="94"/>
  <c r="R75" i="94"/>
  <c r="R74" i="94"/>
  <c r="R73" i="94"/>
  <c r="R72" i="94"/>
  <c r="R71" i="94"/>
  <c r="R70" i="94"/>
  <c r="R69" i="94"/>
  <c r="R68" i="94"/>
  <c r="R67" i="94"/>
  <c r="R66" i="94"/>
  <c r="R65" i="94"/>
  <c r="R64" i="94"/>
  <c r="R63" i="94"/>
  <c r="R62" i="94"/>
  <c r="R61" i="94"/>
  <c r="R60" i="94"/>
  <c r="R59" i="94"/>
  <c r="R58" i="94"/>
  <c r="R57" i="94"/>
  <c r="R56" i="94"/>
  <c r="R55" i="94"/>
  <c r="R54" i="94"/>
  <c r="R53" i="94"/>
  <c r="R52" i="94"/>
  <c r="R51" i="94"/>
  <c r="R50" i="94"/>
  <c r="R49" i="94"/>
  <c r="R48" i="94"/>
  <c r="R47" i="94"/>
  <c r="R46" i="94"/>
  <c r="R45" i="94"/>
  <c r="R44" i="94"/>
  <c r="R43" i="94"/>
  <c r="R42" i="94"/>
  <c r="R41" i="94"/>
  <c r="R40" i="94"/>
  <c r="R39" i="94"/>
  <c r="R38" i="94"/>
  <c r="R37" i="94"/>
  <c r="H341" i="93"/>
  <c r="G341" i="93"/>
  <c r="F341" i="93"/>
  <c r="I337" i="93"/>
  <c r="P337" i="93" s="1"/>
  <c r="H337" i="93"/>
  <c r="O337" i="93" s="1"/>
  <c r="G337" i="93"/>
  <c r="N337" i="93" s="1"/>
  <c r="F337" i="93"/>
  <c r="M337" i="93" s="1"/>
  <c r="I336" i="93"/>
  <c r="P336" i="93" s="1"/>
  <c r="H336" i="93"/>
  <c r="G336" i="93"/>
  <c r="F336" i="93"/>
  <c r="O336" i="93" s="1"/>
  <c r="I335" i="93"/>
  <c r="H335" i="93"/>
  <c r="O335" i="93" s="1"/>
  <c r="G335" i="93"/>
  <c r="N335" i="93" s="1"/>
  <c r="F335" i="93"/>
  <c r="I334" i="93"/>
  <c r="P334" i="93" s="1"/>
  <c r="H334" i="93"/>
  <c r="O334" i="93" s="1"/>
  <c r="G334" i="93"/>
  <c r="N334" i="93" s="1"/>
  <c r="F334" i="93"/>
  <c r="M334" i="93" s="1"/>
  <c r="I333" i="93"/>
  <c r="P333" i="93" s="1"/>
  <c r="H333" i="93"/>
  <c r="G333" i="93"/>
  <c r="N333" i="93" s="1"/>
  <c r="F333" i="93"/>
  <c r="M333" i="93" s="1"/>
  <c r="I332" i="93"/>
  <c r="P332" i="93" s="1"/>
  <c r="H332" i="93"/>
  <c r="H338" i="93" s="1"/>
  <c r="G332" i="93"/>
  <c r="N332" i="93" s="1"/>
  <c r="F332" i="93"/>
  <c r="M336" i="93"/>
  <c r="M332" i="93"/>
  <c r="J777" i="92"/>
  <c r="J773" i="92"/>
  <c r="I883" i="92"/>
  <c r="H883" i="92"/>
  <c r="G883" i="92"/>
  <c r="I882" i="92"/>
  <c r="I884" i="92"/>
  <c r="H882" i="92"/>
  <c r="H884" i="92"/>
  <c r="M68" i="95"/>
  <c r="N66" i="95"/>
  <c r="N65" i="95"/>
  <c r="P66" i="95"/>
  <c r="M65" i="95"/>
  <c r="M66" i="95"/>
  <c r="P65" i="95"/>
  <c r="H157" i="94"/>
  <c r="H160" i="94" s="1"/>
  <c r="O333" i="93"/>
  <c r="M335" i="93"/>
  <c r="F338" i="93"/>
  <c r="M338" i="93" s="1"/>
  <c r="J797" i="92"/>
  <c r="J795" i="92"/>
  <c r="J785" i="92"/>
  <c r="J771" i="92"/>
  <c r="J769" i="92"/>
  <c r="J767" i="92"/>
  <c r="J765" i="92"/>
  <c r="J763" i="92"/>
  <c r="J761" i="92"/>
  <c r="J759" i="92"/>
  <c r="J757" i="92"/>
  <c r="J755" i="92"/>
  <c r="J748" i="92"/>
  <c r="J740" i="92"/>
  <c r="J738" i="92"/>
  <c r="J736" i="92"/>
  <c r="J734" i="92"/>
  <c r="J732" i="92"/>
  <c r="J730" i="92"/>
  <c r="J728" i="92"/>
  <c r="J726" i="92"/>
  <c r="J723" i="92"/>
  <c r="J721" i="92"/>
  <c r="J714" i="92"/>
  <c r="J712" i="92"/>
  <c r="J709" i="92"/>
  <c r="J707" i="92"/>
  <c r="J705" i="92"/>
  <c r="J698" i="92"/>
  <c r="J692" i="92"/>
  <c r="J685" i="92"/>
  <c r="J676" i="92"/>
  <c r="J674" i="92"/>
  <c r="J663" i="92"/>
  <c r="J658" i="92"/>
  <c r="J656" i="92"/>
  <c r="J613" i="92"/>
  <c r="J611" i="92"/>
  <c r="J604" i="92"/>
  <c r="J596" i="92"/>
  <c r="J592" i="92"/>
  <c r="J584" i="92"/>
  <c r="J575" i="92"/>
  <c r="J571" i="92"/>
  <c r="J569" i="92"/>
  <c r="J567" i="92"/>
  <c r="J558" i="92"/>
  <c r="J556" i="92"/>
  <c r="J554" i="92"/>
  <c r="J546" i="92"/>
  <c r="J537" i="92"/>
  <c r="J529" i="92"/>
  <c r="J527" i="92"/>
  <c r="J518" i="92"/>
  <c r="J511" i="92"/>
  <c r="J502" i="92"/>
  <c r="J493" i="92"/>
  <c r="J484" i="92"/>
  <c r="J476" i="92"/>
  <c r="J467" i="92"/>
  <c r="J458" i="92"/>
  <c r="J450" i="92"/>
  <c r="J442" i="92"/>
  <c r="J440" i="92"/>
  <c r="J432" i="92"/>
  <c r="J424" i="92"/>
  <c r="J422" i="92"/>
  <c r="J413" i="92"/>
  <c r="J411" i="92"/>
  <c r="J409" i="92"/>
  <c r="J407" i="92"/>
  <c r="J405" i="92"/>
  <c r="J403" i="92"/>
  <c r="J401" i="92"/>
  <c r="J399" i="92"/>
  <c r="J397" i="92"/>
  <c r="J395" i="92"/>
  <c r="J393" i="92"/>
  <c r="J391" i="92"/>
  <c r="J389" i="92"/>
  <c r="J387" i="92"/>
  <c r="J385" i="92"/>
  <c r="J383" i="92"/>
  <c r="J381" i="92"/>
  <c r="J379" i="92"/>
  <c r="J377" i="92"/>
  <c r="J375" i="92"/>
  <c r="J373" i="92"/>
  <c r="J371" i="92"/>
  <c r="J369" i="92"/>
  <c r="J367" i="92"/>
  <c r="J365" i="92"/>
  <c r="J363" i="92"/>
  <c r="J361" i="92"/>
  <c r="J358" i="92"/>
  <c r="J355" i="92"/>
  <c r="J352" i="92"/>
  <c r="J350" i="92"/>
  <c r="J348" i="92"/>
  <c r="J345" i="92"/>
  <c r="J343" i="92"/>
  <c r="J341" i="92"/>
  <c r="J339" i="92"/>
  <c r="J337" i="92"/>
  <c r="J335" i="92"/>
  <c r="J333" i="92"/>
  <c r="J331" i="92"/>
  <c r="J329" i="92"/>
  <c r="J327" i="92"/>
  <c r="J325" i="92"/>
  <c r="J323" i="92"/>
  <c r="J321" i="92"/>
  <c r="J319" i="92"/>
  <c r="J317" i="92"/>
  <c r="J315" i="92"/>
  <c r="J313" i="92"/>
  <c r="J310" i="92"/>
  <c r="J307" i="92"/>
  <c r="J305" i="92"/>
  <c r="J303" i="92"/>
  <c r="J301" i="92"/>
  <c r="J299" i="92"/>
  <c r="J296" i="92"/>
  <c r="J293" i="92"/>
  <c r="J291" i="92"/>
  <c r="J289" i="92"/>
  <c r="J286" i="92"/>
  <c r="J283" i="92"/>
  <c r="J281" i="92"/>
  <c r="J278" i="92"/>
  <c r="J275" i="92"/>
  <c r="J273" i="92"/>
  <c r="J270" i="92"/>
  <c r="J267" i="92"/>
  <c r="J264" i="92"/>
  <c r="J261" i="92"/>
  <c r="J259" i="92"/>
  <c r="J256" i="92"/>
  <c r="J254" i="92"/>
  <c r="J252" i="92"/>
  <c r="J249" i="92"/>
  <c r="J247" i="92"/>
  <c r="J245" i="92"/>
  <c r="J243" i="92"/>
  <c r="J241" i="92"/>
  <c r="J239" i="92"/>
  <c r="J237" i="92"/>
  <c r="J235" i="92"/>
  <c r="J233" i="92"/>
  <c r="J231" i="92"/>
  <c r="J229" i="92"/>
  <c r="J227" i="92"/>
  <c r="J225" i="92"/>
  <c r="J223" i="92"/>
  <c r="J221" i="92"/>
  <c r="J219" i="92"/>
  <c r="J217" i="92"/>
  <c r="J215" i="92"/>
  <c r="J213" i="92"/>
  <c r="J211" i="92"/>
  <c r="J209" i="92"/>
  <c r="J207" i="92"/>
  <c r="J205" i="92"/>
  <c r="J203" i="92"/>
  <c r="J201" i="92"/>
  <c r="J199" i="92"/>
  <c r="G809" i="92" s="1"/>
  <c r="J197" i="92"/>
  <c r="J195" i="92"/>
  <c r="J193" i="92"/>
  <c r="J191" i="92"/>
  <c r="J189" i="92"/>
  <c r="J187" i="92"/>
  <c r="J185" i="92"/>
  <c r="J183" i="92"/>
  <c r="J181" i="92"/>
  <c r="J179" i="92"/>
  <c r="J177" i="92"/>
  <c r="J175" i="92"/>
  <c r="J173" i="92"/>
  <c r="J171" i="92"/>
  <c r="J169" i="92"/>
  <c r="J167" i="92"/>
  <c r="J165" i="92"/>
  <c r="J163" i="92"/>
  <c r="J161" i="92"/>
  <c r="J159" i="92"/>
  <c r="J157" i="92"/>
  <c r="J155" i="92"/>
  <c r="J153" i="92"/>
  <c r="J151" i="92"/>
  <c r="J149" i="92"/>
  <c r="J147" i="92"/>
  <c r="J145" i="92"/>
  <c r="J143" i="92"/>
  <c r="J141" i="92"/>
  <c r="J139" i="92"/>
  <c r="J137" i="92"/>
  <c r="J135" i="92"/>
  <c r="J133" i="92"/>
  <c r="J131" i="92"/>
  <c r="J129" i="92"/>
  <c r="J127" i="92"/>
  <c r="J125" i="92"/>
  <c r="J123" i="92"/>
  <c r="J121" i="92"/>
  <c r="J119" i="92"/>
  <c r="J117" i="92"/>
  <c r="J115" i="92"/>
  <c r="J113" i="92"/>
  <c r="J111" i="92"/>
  <c r="J109" i="92"/>
  <c r="J107" i="92"/>
  <c r="J105" i="92"/>
  <c r="J103" i="92"/>
  <c r="J101" i="92"/>
  <c r="J99" i="92"/>
  <c r="J97" i="92"/>
  <c r="J95" i="92"/>
  <c r="J93" i="92"/>
  <c r="J91" i="92"/>
  <c r="J89" i="92"/>
  <c r="J87" i="92"/>
  <c r="J85" i="92"/>
  <c r="J83" i="92"/>
  <c r="J81" i="92"/>
  <c r="J79" i="92"/>
  <c r="J77" i="92"/>
  <c r="J75" i="92"/>
  <c r="J73" i="92"/>
  <c r="J71" i="92"/>
  <c r="J69" i="92"/>
  <c r="J67" i="92"/>
  <c r="J65" i="92"/>
  <c r="J63" i="92"/>
  <c r="J61" i="92"/>
  <c r="J59" i="92"/>
  <c r="J57" i="92"/>
  <c r="J55" i="92"/>
  <c r="J53" i="92"/>
  <c r="J51" i="92"/>
  <c r="J49" i="92"/>
  <c r="J47" i="92"/>
  <c r="J44" i="92"/>
  <c r="J42" i="92"/>
  <c r="J40" i="92"/>
  <c r="J38" i="92"/>
  <c r="F448" i="91"/>
  <c r="F443" i="91"/>
  <c r="F435" i="91"/>
  <c r="F433" i="91"/>
  <c r="F428" i="91"/>
  <c r="F426" i="91"/>
  <c r="F411" i="91"/>
  <c r="F409" i="91"/>
  <c r="F407" i="91"/>
  <c r="F404" i="91"/>
  <c r="F397" i="91"/>
  <c r="F395" i="91"/>
  <c r="J450" i="91"/>
  <c r="J448" i="91"/>
  <c r="J443" i="91"/>
  <c r="J435" i="91"/>
  <c r="J433" i="91"/>
  <c r="J428" i="91"/>
  <c r="J426" i="91"/>
  <c r="J411" i="91"/>
  <c r="J409" i="91"/>
  <c r="J407" i="91"/>
  <c r="J404" i="91"/>
  <c r="J397" i="91"/>
  <c r="J395" i="91"/>
  <c r="J381" i="91"/>
  <c r="J379" i="91"/>
  <c r="J377" i="91"/>
  <c r="J333" i="91"/>
  <c r="J320" i="91"/>
  <c r="J313" i="91"/>
  <c r="J298" i="91"/>
  <c r="J291" i="91"/>
  <c r="J283" i="91"/>
  <c r="J275" i="91"/>
  <c r="J267" i="91"/>
  <c r="J265" i="91"/>
  <c r="J263" i="91"/>
  <c r="J260" i="91"/>
  <c r="J258" i="91"/>
  <c r="J254" i="91"/>
  <c r="J245" i="91"/>
  <c r="J243" i="91"/>
  <c r="H45" i="106"/>
  <c r="F45" i="106"/>
  <c r="F44" i="106"/>
  <c r="I45" i="106"/>
  <c r="H44" i="106"/>
  <c r="G45" i="106"/>
  <c r="F263" i="105"/>
  <c r="I263" i="105"/>
  <c r="H263" i="105"/>
  <c r="G263" i="105"/>
  <c r="F156" i="105"/>
  <c r="I156" i="105"/>
  <c r="H156" i="105"/>
  <c r="G156" i="105"/>
  <c r="F140" i="105"/>
  <c r="I140" i="105"/>
  <c r="H140" i="105"/>
  <c r="G140" i="105"/>
  <c r="F138" i="105"/>
  <c r="I138" i="105"/>
  <c r="H138" i="105"/>
  <c r="G138" i="105"/>
  <c r="F136" i="105"/>
  <c r="H136" i="105"/>
  <c r="I136" i="105"/>
  <c r="G136" i="105"/>
  <c r="F42" i="105"/>
  <c r="I42" i="105"/>
  <c r="H42" i="105"/>
  <c r="F43" i="104"/>
  <c r="I43" i="104"/>
  <c r="H43" i="104"/>
  <c r="G43" i="104"/>
  <c r="F41" i="104"/>
  <c r="F44" i="104"/>
  <c r="I41" i="104"/>
  <c r="H41" i="104"/>
  <c r="F132" i="103"/>
  <c r="I132" i="103"/>
  <c r="H132" i="103"/>
  <c r="G132" i="103"/>
  <c r="F130" i="103"/>
  <c r="F133" i="103" s="1"/>
  <c r="I130" i="103"/>
  <c r="H130" i="103"/>
  <c r="H133" i="103" s="1"/>
  <c r="G130" i="103"/>
  <c r="G133" i="103" s="1"/>
  <c r="F439" i="102"/>
  <c r="I439" i="102"/>
  <c r="G439" i="102"/>
  <c r="H439" i="102"/>
  <c r="F427" i="102"/>
  <c r="H427" i="102"/>
  <c r="I427" i="102"/>
  <c r="G427" i="102"/>
  <c r="F421" i="102"/>
  <c r="F440" i="102" s="1"/>
  <c r="F455" i="102" s="1"/>
  <c r="I421" i="102"/>
  <c r="H421" i="102"/>
  <c r="G421" i="102"/>
  <c r="F1003" i="101"/>
  <c r="I1003" i="101"/>
  <c r="H1003" i="101"/>
  <c r="G1003" i="101"/>
  <c r="F987" i="101"/>
  <c r="H987" i="101"/>
  <c r="I987" i="101"/>
  <c r="G987" i="101"/>
  <c r="F843" i="101"/>
  <c r="H843" i="101"/>
  <c r="N843" i="101" s="1"/>
  <c r="I843" i="101"/>
  <c r="G843" i="101"/>
  <c r="F836" i="101"/>
  <c r="I836" i="101"/>
  <c r="H836" i="101"/>
  <c r="N836" i="101" s="1"/>
  <c r="G836" i="101"/>
  <c r="F727" i="101"/>
  <c r="I727" i="101"/>
  <c r="H727" i="101"/>
  <c r="G727" i="101"/>
  <c r="F208" i="101"/>
  <c r="I208" i="101"/>
  <c r="I1010" i="101" s="1"/>
  <c r="H208" i="101"/>
  <c r="G208" i="101"/>
  <c r="G1010" i="101" s="1"/>
  <c r="F103" i="101"/>
  <c r="I103" i="101"/>
  <c r="H103" i="101"/>
  <c r="G103" i="101"/>
  <c r="F88" i="101"/>
  <c r="I88" i="101"/>
  <c r="H88" i="101"/>
  <c r="G88" i="101"/>
  <c r="F81" i="101"/>
  <c r="H81" i="101"/>
  <c r="I81" i="101"/>
  <c r="G81" i="101"/>
  <c r="F47" i="101"/>
  <c r="I47" i="101"/>
  <c r="H47" i="101"/>
  <c r="N47" i="101" s="1"/>
  <c r="G47" i="101"/>
  <c r="F45" i="101"/>
  <c r="H45" i="101"/>
  <c r="I45" i="101"/>
  <c r="G45" i="101"/>
  <c r="F41" i="101"/>
  <c r="I41" i="101"/>
  <c r="H41" i="101"/>
  <c r="G41" i="101"/>
  <c r="F39" i="101"/>
  <c r="I39" i="101"/>
  <c r="I1008" i="101" s="1"/>
  <c r="H39" i="101"/>
  <c r="F211" i="100"/>
  <c r="F226" i="100" s="1"/>
  <c r="N226" i="100" s="1"/>
  <c r="I211" i="100"/>
  <c r="H211" i="100"/>
  <c r="G211" i="100"/>
  <c r="F127" i="100"/>
  <c r="I127" i="100"/>
  <c r="H127" i="100"/>
  <c r="G127" i="100"/>
  <c r="F125" i="100"/>
  <c r="G125" i="100"/>
  <c r="I125" i="100"/>
  <c r="H125" i="100"/>
  <c r="F118" i="100"/>
  <c r="I118" i="100"/>
  <c r="H118" i="100"/>
  <c r="G118" i="100"/>
  <c r="G224" i="100" s="1"/>
  <c r="F116" i="100"/>
  <c r="I116" i="100"/>
  <c r="H116" i="100"/>
  <c r="G116" i="100"/>
  <c r="F114" i="100"/>
  <c r="I114" i="100"/>
  <c r="H114" i="100"/>
  <c r="G114" i="100"/>
  <c r="F112" i="100"/>
  <c r="I112" i="100"/>
  <c r="H112" i="100"/>
  <c r="G112" i="100"/>
  <c r="F110" i="100"/>
  <c r="I110" i="100"/>
  <c r="H110" i="100"/>
  <c r="G110" i="100"/>
  <c r="F107" i="100"/>
  <c r="I107" i="100"/>
  <c r="H107" i="100"/>
  <c r="G107" i="100"/>
  <c r="F104" i="100"/>
  <c r="I104" i="100"/>
  <c r="H104" i="100"/>
  <c r="G104" i="100"/>
  <c r="F99" i="100"/>
  <c r="G99" i="100"/>
  <c r="I99" i="100"/>
  <c r="H99" i="100"/>
  <c r="F96" i="100"/>
  <c r="F224" i="100" s="1"/>
  <c r="I96" i="100"/>
  <c r="H96" i="100"/>
  <c r="H224" i="100" s="1"/>
  <c r="G96" i="100"/>
  <c r="F85" i="100"/>
  <c r="F223" i="100" s="1"/>
  <c r="N223" i="100" s="1"/>
  <c r="I85" i="100"/>
  <c r="H85" i="100"/>
  <c r="H223" i="100" s="1"/>
  <c r="G85" i="100"/>
  <c r="G223" i="100" s="1"/>
  <c r="F54" i="100"/>
  <c r="I54" i="100"/>
  <c r="H54" i="100"/>
  <c r="G54" i="100"/>
  <c r="F50" i="100"/>
  <c r="I50" i="100"/>
  <c r="H50" i="100"/>
  <c r="G50" i="100"/>
  <c r="F44" i="100"/>
  <c r="I44" i="100"/>
  <c r="H44" i="100"/>
  <c r="G44" i="100"/>
  <c r="F42" i="100"/>
  <c r="I42" i="100"/>
  <c r="H42" i="100"/>
  <c r="G42" i="100"/>
  <c r="F39" i="100"/>
  <c r="I39" i="100"/>
  <c r="F178" i="99"/>
  <c r="I178" i="99"/>
  <c r="H178" i="99"/>
  <c r="G178" i="99"/>
  <c r="F172" i="99"/>
  <c r="I172" i="99"/>
  <c r="H172" i="99"/>
  <c r="G172" i="99"/>
  <c r="F168" i="99"/>
  <c r="I168" i="99"/>
  <c r="H168" i="99"/>
  <c r="G168" i="99"/>
  <c r="F163" i="99"/>
  <c r="H163" i="99"/>
  <c r="F62" i="99"/>
  <c r="I62" i="99"/>
  <c r="H62" i="99"/>
  <c r="G62" i="99"/>
  <c r="F60" i="99"/>
  <c r="I60" i="99"/>
  <c r="H60" i="99"/>
  <c r="G60" i="99"/>
  <c r="F58" i="99"/>
  <c r="I58" i="99"/>
  <c r="H58" i="99"/>
  <c r="G58" i="99"/>
  <c r="F56" i="99"/>
  <c r="I56" i="99"/>
  <c r="H56" i="99"/>
  <c r="G56" i="99"/>
  <c r="F54" i="99"/>
  <c r="I54" i="99"/>
  <c r="H54" i="99"/>
  <c r="G54" i="99"/>
  <c r="F52" i="99"/>
  <c r="I52" i="99"/>
  <c r="H52" i="99"/>
  <c r="G52" i="99"/>
  <c r="F50" i="99"/>
  <c r="I50" i="99"/>
  <c r="H50" i="99"/>
  <c r="G50" i="99"/>
  <c r="H48" i="99"/>
  <c r="F48" i="99"/>
  <c r="I48" i="99"/>
  <c r="G48" i="99"/>
  <c r="F46" i="99"/>
  <c r="I46" i="99"/>
  <c r="H46" i="99"/>
  <c r="G46" i="99"/>
  <c r="F44" i="99"/>
  <c r="I44" i="99"/>
  <c r="H44" i="99"/>
  <c r="G44" i="99"/>
  <c r="F42" i="99"/>
  <c r="I42" i="99"/>
  <c r="H42" i="99"/>
  <c r="G42" i="99"/>
  <c r="F40" i="99"/>
  <c r="I40" i="99"/>
  <c r="H40" i="99"/>
  <c r="G40" i="99"/>
  <c r="F38" i="99"/>
  <c r="I38" i="99"/>
  <c r="H38" i="99"/>
  <c r="G38" i="99"/>
  <c r="F76" i="98"/>
  <c r="I76" i="98"/>
  <c r="H76" i="98"/>
  <c r="G76" i="98"/>
  <c r="F74" i="98"/>
  <c r="I74" i="98"/>
  <c r="I77" i="98" s="1"/>
  <c r="I81" i="98" s="1"/>
  <c r="H74" i="98"/>
  <c r="F44" i="98"/>
  <c r="I44" i="98"/>
  <c r="H44" i="98"/>
  <c r="G44" i="98"/>
  <c r="F39" i="98"/>
  <c r="F77" i="98"/>
  <c r="H39" i="98"/>
  <c r="H77" i="98"/>
  <c r="I39" i="98"/>
  <c r="F43" i="97"/>
  <c r="F44" i="97"/>
  <c r="I581" i="96"/>
  <c r="H581" i="96"/>
  <c r="G581" i="96"/>
  <c r="I579" i="96"/>
  <c r="H579" i="96"/>
  <c r="G579" i="96"/>
  <c r="I577" i="96"/>
  <c r="H577" i="96"/>
  <c r="G577" i="96"/>
  <c r="H575" i="96"/>
  <c r="H568" i="96"/>
  <c r="I568" i="96"/>
  <c r="I565" i="96"/>
  <c r="G39" i="98"/>
  <c r="I43" i="97"/>
  <c r="I44" i="97"/>
  <c r="G43" i="97"/>
  <c r="G44" i="97"/>
  <c r="I575" i="96"/>
  <c r="G565" i="96"/>
  <c r="G568" i="96"/>
  <c r="F58" i="95"/>
  <c r="I58" i="95"/>
  <c r="H58" i="95"/>
  <c r="F46" i="95"/>
  <c r="I46" i="95"/>
  <c r="H46" i="95"/>
  <c r="F41" i="95"/>
  <c r="I41" i="95"/>
  <c r="G41" i="95"/>
  <c r="F38" i="95"/>
  <c r="F59" i="95"/>
  <c r="I38" i="95"/>
  <c r="H38" i="95"/>
  <c r="F148" i="94"/>
  <c r="H148" i="94"/>
  <c r="F144" i="94"/>
  <c r="H144" i="94"/>
  <c r="F131" i="94"/>
  <c r="G131" i="94"/>
  <c r="F128" i="94"/>
  <c r="H128" i="94"/>
  <c r="G128" i="94"/>
  <c r="F120" i="94"/>
  <c r="F117" i="94"/>
  <c r="I117" i="94"/>
  <c r="G117" i="94"/>
  <c r="H117" i="94"/>
  <c r="F113" i="94"/>
  <c r="F149" i="94" s="1"/>
  <c r="F327" i="93"/>
  <c r="F322" i="93"/>
  <c r="I322" i="93"/>
  <c r="H322" i="93"/>
  <c r="G322" i="93"/>
  <c r="F320" i="93"/>
  <c r="I320" i="93"/>
  <c r="G320" i="93"/>
  <c r="F313" i="93"/>
  <c r="I313" i="93"/>
  <c r="H313" i="93"/>
  <c r="G313" i="93"/>
  <c r="F311" i="93"/>
  <c r="I311" i="93"/>
  <c r="H311" i="93"/>
  <c r="G311" i="93"/>
  <c r="F309" i="93"/>
  <c r="G309" i="93"/>
  <c r="F306" i="93"/>
  <c r="H306" i="93"/>
  <c r="I306" i="93"/>
  <c r="G306" i="93"/>
  <c r="F303" i="93"/>
  <c r="F328" i="93"/>
  <c r="H303" i="93"/>
  <c r="F797" i="92"/>
  <c r="I797" i="92"/>
  <c r="H797" i="92"/>
  <c r="G797" i="92"/>
  <c r="F795" i="92"/>
  <c r="I795" i="92"/>
  <c r="F785" i="92"/>
  <c r="F777" i="92"/>
  <c r="F773" i="92"/>
  <c r="I773" i="92"/>
  <c r="H773" i="92"/>
  <c r="G773" i="92"/>
  <c r="F771" i="92"/>
  <c r="I771" i="92"/>
  <c r="H771" i="92"/>
  <c r="G771" i="92"/>
  <c r="F769" i="92"/>
  <c r="I769" i="92"/>
  <c r="H769" i="92"/>
  <c r="G769" i="92"/>
  <c r="F767" i="92"/>
  <c r="I767" i="92"/>
  <c r="H767" i="92"/>
  <c r="G767" i="92"/>
  <c r="F765" i="92"/>
  <c r="I765" i="92"/>
  <c r="H765" i="92"/>
  <c r="G765" i="92"/>
  <c r="F763" i="92"/>
  <c r="I763" i="92"/>
  <c r="H763" i="92"/>
  <c r="G763" i="92"/>
  <c r="F761" i="92"/>
  <c r="I761" i="92"/>
  <c r="H761" i="92"/>
  <c r="G761" i="92"/>
  <c r="F759" i="92"/>
  <c r="I759" i="92"/>
  <c r="H759" i="92"/>
  <c r="G759" i="92"/>
  <c r="F757" i="92"/>
  <c r="I757" i="92"/>
  <c r="H757" i="92"/>
  <c r="G757" i="92"/>
  <c r="F755" i="92"/>
  <c r="H755" i="92"/>
  <c r="F748" i="92"/>
  <c r="G748" i="92"/>
  <c r="F740" i="92"/>
  <c r="I740" i="92"/>
  <c r="H740" i="92"/>
  <c r="G740" i="92"/>
  <c r="F738" i="92"/>
  <c r="I738" i="92"/>
  <c r="H738" i="92"/>
  <c r="G738" i="92"/>
  <c r="F736" i="92"/>
  <c r="I736" i="92"/>
  <c r="H736" i="92"/>
  <c r="G736" i="92"/>
  <c r="F734" i="92"/>
  <c r="I734" i="92"/>
  <c r="H734" i="92"/>
  <c r="G734" i="92"/>
  <c r="F732" i="92"/>
  <c r="I732" i="92"/>
  <c r="H732" i="92"/>
  <c r="G732" i="92"/>
  <c r="F730" i="92"/>
  <c r="I730" i="92"/>
  <c r="H730" i="92"/>
  <c r="G730" i="92"/>
  <c r="F728" i="92"/>
  <c r="I728" i="92"/>
  <c r="H728" i="92"/>
  <c r="G728" i="92"/>
  <c r="F726" i="92"/>
  <c r="F723" i="92"/>
  <c r="I723" i="92"/>
  <c r="H723" i="92"/>
  <c r="G723" i="92"/>
  <c r="F721" i="92"/>
  <c r="H721" i="92"/>
  <c r="F714" i="92"/>
  <c r="I714" i="92"/>
  <c r="H714" i="92"/>
  <c r="G714" i="92"/>
  <c r="F712" i="92"/>
  <c r="I712" i="92"/>
  <c r="F709" i="92"/>
  <c r="I709" i="92"/>
  <c r="H709" i="92"/>
  <c r="G709" i="92"/>
  <c r="F707" i="92"/>
  <c r="I707" i="92"/>
  <c r="H707" i="92"/>
  <c r="G707" i="92"/>
  <c r="F705" i="92"/>
  <c r="I705" i="92"/>
  <c r="F698" i="92"/>
  <c r="F692" i="92"/>
  <c r="H692" i="92"/>
  <c r="F685" i="92"/>
  <c r="F676" i="92"/>
  <c r="I676" i="92"/>
  <c r="H676" i="92"/>
  <c r="G676" i="92"/>
  <c r="F674" i="92"/>
  <c r="G674" i="92"/>
  <c r="F663" i="92"/>
  <c r="F658" i="92"/>
  <c r="I658" i="92"/>
  <c r="H658" i="92"/>
  <c r="G658" i="92"/>
  <c r="F656" i="92"/>
  <c r="F648" i="92"/>
  <c r="I648" i="92"/>
  <c r="H648" i="92"/>
  <c r="G648" i="92"/>
  <c r="F646" i="92"/>
  <c r="I646" i="92"/>
  <c r="H646" i="92"/>
  <c r="G646" i="92"/>
  <c r="F644" i="92"/>
  <c r="I644" i="92"/>
  <c r="H644" i="92"/>
  <c r="G644" i="92"/>
  <c r="F642" i="92"/>
  <c r="I642" i="92"/>
  <c r="H642" i="92"/>
  <c r="G642" i="92"/>
  <c r="F640" i="92"/>
  <c r="I640" i="92"/>
  <c r="H640" i="92"/>
  <c r="G640" i="92"/>
  <c r="F638" i="92"/>
  <c r="I638" i="92"/>
  <c r="F631" i="92"/>
  <c r="I631" i="92"/>
  <c r="H631" i="92"/>
  <c r="G631" i="92"/>
  <c r="F629" i="92"/>
  <c r="F621" i="92"/>
  <c r="G621" i="92"/>
  <c r="F617" i="92"/>
  <c r="F613" i="92"/>
  <c r="I613" i="92"/>
  <c r="H613" i="92"/>
  <c r="G613" i="92"/>
  <c r="F611" i="92"/>
  <c r="I611" i="92"/>
  <c r="F604" i="92"/>
  <c r="H604" i="92"/>
  <c r="F596" i="92"/>
  <c r="I596" i="92"/>
  <c r="F592" i="92"/>
  <c r="I592" i="92"/>
  <c r="F584" i="92"/>
  <c r="H584" i="92"/>
  <c r="F575" i="92"/>
  <c r="F571" i="92"/>
  <c r="I571" i="92"/>
  <c r="H571" i="92"/>
  <c r="G571" i="92"/>
  <c r="F569" i="92"/>
  <c r="I569" i="92"/>
  <c r="H569" i="92"/>
  <c r="G569" i="92"/>
  <c r="F567" i="92"/>
  <c r="I567" i="92"/>
  <c r="H567" i="92"/>
  <c r="F558" i="92"/>
  <c r="I558" i="92"/>
  <c r="H558" i="92"/>
  <c r="G558" i="92"/>
  <c r="F556" i="92"/>
  <c r="I556" i="92"/>
  <c r="H556" i="92"/>
  <c r="G556" i="92"/>
  <c r="F554" i="92"/>
  <c r="F546" i="92"/>
  <c r="I546" i="92"/>
  <c r="F537" i="92"/>
  <c r="H537" i="92"/>
  <c r="F529" i="92"/>
  <c r="I529" i="92"/>
  <c r="H529" i="92"/>
  <c r="G529" i="92"/>
  <c r="F527" i="92"/>
  <c r="F518" i="92"/>
  <c r="H518" i="92"/>
  <c r="F511" i="92"/>
  <c r="F502" i="92"/>
  <c r="I502" i="92"/>
  <c r="F493" i="92"/>
  <c r="H493" i="92"/>
  <c r="F484" i="92"/>
  <c r="G484" i="92"/>
  <c r="I484" i="92"/>
  <c r="F476" i="92"/>
  <c r="I476" i="92"/>
  <c r="F467" i="92"/>
  <c r="F458" i="92"/>
  <c r="G458" i="92"/>
  <c r="F450" i="92"/>
  <c r="F442" i="92"/>
  <c r="I442" i="92"/>
  <c r="H442" i="92"/>
  <c r="G442" i="92"/>
  <c r="F440" i="92"/>
  <c r="G440" i="92"/>
  <c r="F432" i="92"/>
  <c r="F424" i="92"/>
  <c r="I424" i="92"/>
  <c r="H424" i="92"/>
  <c r="G424" i="92"/>
  <c r="F422" i="92"/>
  <c r="F413" i="92"/>
  <c r="I413" i="92"/>
  <c r="H413" i="92"/>
  <c r="G413" i="92"/>
  <c r="F411" i="92"/>
  <c r="I411" i="92"/>
  <c r="H411" i="92"/>
  <c r="G411" i="92"/>
  <c r="F409" i="92"/>
  <c r="I409" i="92"/>
  <c r="H409" i="92"/>
  <c r="G409" i="92"/>
  <c r="F407" i="92"/>
  <c r="I407" i="92"/>
  <c r="H407" i="92"/>
  <c r="G407" i="92"/>
  <c r="F405" i="92"/>
  <c r="I405" i="92"/>
  <c r="H405" i="92"/>
  <c r="G405" i="92"/>
  <c r="F403" i="92"/>
  <c r="I403" i="92"/>
  <c r="H403" i="92"/>
  <c r="G403" i="92"/>
  <c r="F401" i="92"/>
  <c r="I401" i="92"/>
  <c r="H401" i="92"/>
  <c r="G401" i="92"/>
  <c r="F399" i="92"/>
  <c r="I399" i="92"/>
  <c r="H399" i="92"/>
  <c r="G399" i="92"/>
  <c r="F397" i="92"/>
  <c r="I397" i="92"/>
  <c r="H397" i="92"/>
  <c r="G397" i="92"/>
  <c r="F395" i="92"/>
  <c r="I395" i="92"/>
  <c r="H395" i="92"/>
  <c r="G395" i="92"/>
  <c r="F393" i="92"/>
  <c r="I393" i="92"/>
  <c r="H393" i="92"/>
  <c r="G393" i="92"/>
  <c r="F391" i="92"/>
  <c r="I391" i="92"/>
  <c r="H391" i="92"/>
  <c r="G391" i="92"/>
  <c r="F389" i="92"/>
  <c r="I389" i="92"/>
  <c r="G389" i="92"/>
  <c r="F387" i="92"/>
  <c r="I387" i="92"/>
  <c r="H387" i="92"/>
  <c r="G387" i="92"/>
  <c r="F385" i="92"/>
  <c r="I385" i="92"/>
  <c r="H385" i="92"/>
  <c r="G385" i="92"/>
  <c r="F383" i="92"/>
  <c r="I383" i="92"/>
  <c r="H383" i="92"/>
  <c r="G383" i="92"/>
  <c r="F381" i="92"/>
  <c r="I381" i="92"/>
  <c r="H381" i="92"/>
  <c r="G381" i="92"/>
  <c r="F379" i="92"/>
  <c r="I379" i="92"/>
  <c r="H379" i="92"/>
  <c r="G379" i="92"/>
  <c r="F377" i="92"/>
  <c r="I377" i="92"/>
  <c r="H377" i="92"/>
  <c r="G377" i="92"/>
  <c r="F375" i="92"/>
  <c r="I375" i="92"/>
  <c r="H375" i="92"/>
  <c r="G375" i="92"/>
  <c r="F373" i="92"/>
  <c r="I373" i="92"/>
  <c r="H373" i="92"/>
  <c r="G373" i="92"/>
  <c r="F371" i="92"/>
  <c r="I371" i="92"/>
  <c r="H371" i="92"/>
  <c r="G371" i="92"/>
  <c r="F369" i="92"/>
  <c r="I369" i="92"/>
  <c r="H369" i="92"/>
  <c r="G369" i="92"/>
  <c r="F367" i="92"/>
  <c r="I367" i="92"/>
  <c r="H367" i="92"/>
  <c r="G367" i="92"/>
  <c r="F365" i="92"/>
  <c r="I365" i="92"/>
  <c r="H365" i="92"/>
  <c r="G365" i="92"/>
  <c r="F363" i="92"/>
  <c r="I363" i="92"/>
  <c r="H363" i="92"/>
  <c r="G363" i="92"/>
  <c r="F361" i="92"/>
  <c r="I361" i="92"/>
  <c r="F358" i="92"/>
  <c r="F355" i="92"/>
  <c r="F352" i="92"/>
  <c r="I352" i="92"/>
  <c r="H352" i="92"/>
  <c r="G352" i="92"/>
  <c r="F350" i="92"/>
  <c r="I350" i="92"/>
  <c r="H350" i="92"/>
  <c r="G350" i="92"/>
  <c r="F348" i="92"/>
  <c r="F345" i="92"/>
  <c r="I345" i="92"/>
  <c r="H345" i="92"/>
  <c r="G345" i="92"/>
  <c r="F343" i="92"/>
  <c r="I343" i="92"/>
  <c r="H343" i="92"/>
  <c r="G343" i="92"/>
  <c r="F341" i="92"/>
  <c r="I341" i="92"/>
  <c r="H341" i="92"/>
  <c r="G341" i="92"/>
  <c r="F339" i="92"/>
  <c r="I339" i="92"/>
  <c r="H339" i="92"/>
  <c r="G339" i="92"/>
  <c r="F337" i="92"/>
  <c r="I337" i="92"/>
  <c r="H337" i="92"/>
  <c r="G337" i="92"/>
  <c r="F335" i="92"/>
  <c r="I335" i="92"/>
  <c r="H335" i="92"/>
  <c r="G335" i="92"/>
  <c r="F333" i="92"/>
  <c r="I333" i="92"/>
  <c r="H333" i="92"/>
  <c r="G333" i="92"/>
  <c r="F331" i="92"/>
  <c r="I331" i="92"/>
  <c r="H331" i="92"/>
  <c r="G331" i="92"/>
  <c r="F329" i="92"/>
  <c r="I329" i="92"/>
  <c r="H329" i="92"/>
  <c r="G329" i="92"/>
  <c r="F327" i="92"/>
  <c r="I327" i="92"/>
  <c r="H327" i="92"/>
  <c r="G327" i="92"/>
  <c r="F325" i="92"/>
  <c r="I325" i="92"/>
  <c r="H325" i="92"/>
  <c r="G325" i="92"/>
  <c r="F323" i="92"/>
  <c r="I323" i="92"/>
  <c r="H323" i="92"/>
  <c r="G323" i="92"/>
  <c r="F321" i="92"/>
  <c r="I321" i="92"/>
  <c r="H321" i="92"/>
  <c r="G321" i="92"/>
  <c r="F319" i="92"/>
  <c r="I319" i="92"/>
  <c r="H319" i="92"/>
  <c r="G319" i="92"/>
  <c r="F317" i="92"/>
  <c r="I317" i="92"/>
  <c r="H317" i="92"/>
  <c r="G317" i="92"/>
  <c r="F315" i="92"/>
  <c r="I315" i="92"/>
  <c r="H315" i="92"/>
  <c r="G315" i="92"/>
  <c r="F313" i="92"/>
  <c r="F310" i="92"/>
  <c r="F307" i="92"/>
  <c r="I307" i="92"/>
  <c r="H307" i="92"/>
  <c r="G307" i="92"/>
  <c r="F305" i="92"/>
  <c r="I305" i="92"/>
  <c r="H305" i="92"/>
  <c r="G305" i="92"/>
  <c r="F303" i="92"/>
  <c r="I303" i="92"/>
  <c r="H303" i="92"/>
  <c r="G303" i="92"/>
  <c r="F301" i="92"/>
  <c r="I301" i="92"/>
  <c r="H301" i="92"/>
  <c r="G301" i="92"/>
  <c r="F299" i="92"/>
  <c r="G299" i="92"/>
  <c r="F296" i="92"/>
  <c r="I296" i="92"/>
  <c r="F293" i="92"/>
  <c r="I293" i="92"/>
  <c r="H293" i="92"/>
  <c r="G293" i="92"/>
  <c r="F291" i="92"/>
  <c r="I291" i="92"/>
  <c r="H291" i="92"/>
  <c r="G291" i="92"/>
  <c r="F289" i="92"/>
  <c r="I289" i="92"/>
  <c r="H289" i="92"/>
  <c r="F286" i="92"/>
  <c r="F283" i="92"/>
  <c r="I283" i="92"/>
  <c r="H283" i="92"/>
  <c r="G283" i="92"/>
  <c r="F281" i="92"/>
  <c r="F278" i="92"/>
  <c r="H278" i="92"/>
  <c r="F275" i="92"/>
  <c r="I275" i="92"/>
  <c r="H275" i="92"/>
  <c r="G275" i="92"/>
  <c r="F273" i="92"/>
  <c r="H273" i="92"/>
  <c r="F270" i="92"/>
  <c r="I270" i="92"/>
  <c r="G270" i="92"/>
  <c r="F267" i="92"/>
  <c r="I267" i="92"/>
  <c r="F264" i="92"/>
  <c r="I264" i="92"/>
  <c r="F261" i="92"/>
  <c r="I261" i="92"/>
  <c r="H261" i="92"/>
  <c r="G261" i="92"/>
  <c r="F259" i="92"/>
  <c r="I259" i="92"/>
  <c r="F256" i="92"/>
  <c r="I256" i="92"/>
  <c r="H256" i="92"/>
  <c r="G256" i="92"/>
  <c r="F254" i="92"/>
  <c r="I254" i="92"/>
  <c r="H254" i="92"/>
  <c r="G254" i="92"/>
  <c r="F252" i="92"/>
  <c r="F249" i="92"/>
  <c r="I249" i="92"/>
  <c r="H249" i="92"/>
  <c r="G249" i="92"/>
  <c r="F247" i="92"/>
  <c r="I247" i="92"/>
  <c r="H247" i="92"/>
  <c r="G247" i="92"/>
  <c r="F245" i="92"/>
  <c r="I245" i="92"/>
  <c r="H245" i="92"/>
  <c r="G245" i="92"/>
  <c r="F243" i="92"/>
  <c r="I243" i="92"/>
  <c r="H243" i="92"/>
  <c r="G243" i="92"/>
  <c r="F241" i="92"/>
  <c r="I241" i="92"/>
  <c r="H241" i="92"/>
  <c r="G241" i="92"/>
  <c r="F239" i="92"/>
  <c r="I239" i="92"/>
  <c r="H239" i="92"/>
  <c r="G239" i="92"/>
  <c r="F237" i="92"/>
  <c r="I237" i="92"/>
  <c r="H237" i="92"/>
  <c r="G237" i="92"/>
  <c r="F235" i="92"/>
  <c r="I235" i="92"/>
  <c r="H235" i="92"/>
  <c r="G235" i="92"/>
  <c r="F233" i="92"/>
  <c r="I233" i="92"/>
  <c r="H233" i="92"/>
  <c r="G233" i="92"/>
  <c r="F231" i="92"/>
  <c r="I231" i="92"/>
  <c r="H231" i="92"/>
  <c r="G231" i="92"/>
  <c r="F229" i="92"/>
  <c r="I229" i="92"/>
  <c r="H229" i="92"/>
  <c r="G229" i="92"/>
  <c r="F227" i="92"/>
  <c r="I227" i="92"/>
  <c r="H227" i="92"/>
  <c r="G227" i="92"/>
  <c r="F225" i="92"/>
  <c r="I225" i="92"/>
  <c r="H225" i="92"/>
  <c r="G225" i="92"/>
  <c r="F223" i="92"/>
  <c r="I223" i="92"/>
  <c r="H223" i="92"/>
  <c r="G223" i="92"/>
  <c r="F221" i="92"/>
  <c r="I221" i="92"/>
  <c r="H221" i="92"/>
  <c r="G221" i="92"/>
  <c r="F219" i="92"/>
  <c r="I219" i="92"/>
  <c r="H219" i="92"/>
  <c r="G219" i="92"/>
  <c r="F217" i="92"/>
  <c r="I217" i="92"/>
  <c r="H217" i="92"/>
  <c r="G217" i="92"/>
  <c r="F215" i="92"/>
  <c r="I215" i="92"/>
  <c r="H215" i="92"/>
  <c r="G215" i="92"/>
  <c r="F213" i="92"/>
  <c r="I213" i="92"/>
  <c r="H213" i="92"/>
  <c r="G213" i="92"/>
  <c r="F211" i="92"/>
  <c r="I211" i="92"/>
  <c r="H211" i="92"/>
  <c r="G211" i="92"/>
  <c r="F209" i="92"/>
  <c r="I209" i="92"/>
  <c r="H209" i="92"/>
  <c r="G209" i="92"/>
  <c r="F207" i="92"/>
  <c r="I207" i="92"/>
  <c r="H207" i="92"/>
  <c r="G207" i="92"/>
  <c r="F205" i="92"/>
  <c r="I205" i="92"/>
  <c r="H205" i="92"/>
  <c r="G205" i="92"/>
  <c r="F203" i="92"/>
  <c r="I203" i="92"/>
  <c r="H203" i="92"/>
  <c r="G203" i="92"/>
  <c r="F201" i="92"/>
  <c r="I201" i="92"/>
  <c r="H201" i="92"/>
  <c r="G201" i="92"/>
  <c r="F199" i="92"/>
  <c r="I199" i="92"/>
  <c r="H199" i="92"/>
  <c r="G199" i="92"/>
  <c r="F197" i="92"/>
  <c r="I197" i="92"/>
  <c r="H197" i="92"/>
  <c r="G197" i="92"/>
  <c r="F195" i="92"/>
  <c r="I195" i="92"/>
  <c r="H195" i="92"/>
  <c r="G195" i="92"/>
  <c r="F193" i="92"/>
  <c r="I193" i="92"/>
  <c r="H193" i="92"/>
  <c r="G193" i="92"/>
  <c r="F191" i="92"/>
  <c r="I191" i="92"/>
  <c r="H191" i="92"/>
  <c r="G191" i="92"/>
  <c r="F189" i="92"/>
  <c r="I189" i="92"/>
  <c r="H189" i="92"/>
  <c r="G189" i="92"/>
  <c r="F187" i="92"/>
  <c r="I187" i="92"/>
  <c r="H187" i="92"/>
  <c r="G187" i="92"/>
  <c r="F185" i="92"/>
  <c r="I185" i="92"/>
  <c r="H185" i="92"/>
  <c r="G185" i="92"/>
  <c r="F183" i="92"/>
  <c r="I183" i="92"/>
  <c r="H183" i="92"/>
  <c r="G183" i="92"/>
  <c r="F181" i="92"/>
  <c r="I181" i="92"/>
  <c r="H181" i="92"/>
  <c r="G181" i="92"/>
  <c r="F179" i="92"/>
  <c r="I179" i="92"/>
  <c r="H179" i="92"/>
  <c r="G179" i="92"/>
  <c r="F177" i="92"/>
  <c r="I177" i="92"/>
  <c r="H177" i="92"/>
  <c r="G177" i="92"/>
  <c r="F175" i="92"/>
  <c r="I175" i="92"/>
  <c r="H175" i="92"/>
  <c r="G175" i="92"/>
  <c r="F173" i="92"/>
  <c r="I173" i="92"/>
  <c r="H173" i="92"/>
  <c r="G173" i="92"/>
  <c r="F171" i="92"/>
  <c r="I171" i="92"/>
  <c r="H171" i="92"/>
  <c r="G171" i="92"/>
  <c r="F169" i="92"/>
  <c r="I169" i="92"/>
  <c r="H169" i="92"/>
  <c r="G169" i="92"/>
  <c r="F167" i="92"/>
  <c r="I167" i="92"/>
  <c r="H167" i="92"/>
  <c r="G167" i="92"/>
  <c r="F165" i="92"/>
  <c r="I165" i="92"/>
  <c r="H165" i="92"/>
  <c r="G165" i="92"/>
  <c r="F163" i="92"/>
  <c r="I163" i="92"/>
  <c r="H163" i="92"/>
  <c r="G163" i="92"/>
  <c r="F161" i="92"/>
  <c r="I161" i="92"/>
  <c r="H161" i="92"/>
  <c r="G161" i="92"/>
  <c r="F159" i="92"/>
  <c r="I159" i="92"/>
  <c r="H159" i="92"/>
  <c r="G159" i="92"/>
  <c r="F157" i="92"/>
  <c r="I157" i="92"/>
  <c r="H157" i="92"/>
  <c r="G157" i="92"/>
  <c r="F155" i="92"/>
  <c r="I155" i="92"/>
  <c r="H155" i="92"/>
  <c r="G155" i="92"/>
  <c r="F153" i="92"/>
  <c r="I153" i="92"/>
  <c r="H153" i="92"/>
  <c r="G153" i="92"/>
  <c r="F151" i="92"/>
  <c r="I151" i="92"/>
  <c r="H151" i="92"/>
  <c r="F149" i="92"/>
  <c r="I149" i="92"/>
  <c r="H149" i="92"/>
  <c r="G149" i="92"/>
  <c r="F147" i="92"/>
  <c r="I147" i="92"/>
  <c r="H147" i="92"/>
  <c r="G147" i="92"/>
  <c r="F145" i="92"/>
  <c r="I145" i="92"/>
  <c r="H145" i="92"/>
  <c r="G145" i="92"/>
  <c r="F143" i="92"/>
  <c r="I143" i="92"/>
  <c r="H143" i="92"/>
  <c r="G143" i="92"/>
  <c r="F141" i="92"/>
  <c r="I141" i="92"/>
  <c r="H141" i="92"/>
  <c r="G141" i="92"/>
  <c r="F139" i="92"/>
  <c r="I139" i="92"/>
  <c r="H139" i="92"/>
  <c r="G139" i="92"/>
  <c r="F137" i="92"/>
  <c r="I137" i="92"/>
  <c r="H137" i="92"/>
  <c r="G137" i="92"/>
  <c r="F135" i="92"/>
  <c r="I135" i="92"/>
  <c r="H135" i="92"/>
  <c r="G135" i="92"/>
  <c r="F133" i="92"/>
  <c r="I133" i="92"/>
  <c r="H133" i="92"/>
  <c r="G133" i="92"/>
  <c r="F131" i="92"/>
  <c r="I131" i="92"/>
  <c r="H131" i="92"/>
  <c r="G131" i="92"/>
  <c r="F127" i="92"/>
  <c r="I127" i="92"/>
  <c r="H127" i="92"/>
  <c r="G127" i="92"/>
  <c r="F125" i="92"/>
  <c r="I125" i="92"/>
  <c r="H125" i="92"/>
  <c r="G125" i="92"/>
  <c r="F123" i="92"/>
  <c r="I123" i="92"/>
  <c r="G123" i="92"/>
  <c r="F121" i="92"/>
  <c r="I121" i="92"/>
  <c r="H121" i="92"/>
  <c r="G121" i="92"/>
  <c r="F119" i="92"/>
  <c r="I119" i="92"/>
  <c r="H119" i="92"/>
  <c r="F117" i="92"/>
  <c r="I117" i="92"/>
  <c r="H117" i="92"/>
  <c r="G117" i="92"/>
  <c r="F115" i="92"/>
  <c r="I115" i="92"/>
  <c r="H115" i="92"/>
  <c r="G115" i="92"/>
  <c r="F113" i="92"/>
  <c r="I113" i="92"/>
  <c r="H113" i="92"/>
  <c r="G113" i="92"/>
  <c r="F111" i="92"/>
  <c r="I111" i="92"/>
  <c r="H111" i="92"/>
  <c r="G111" i="92"/>
  <c r="F109" i="92"/>
  <c r="I109" i="92"/>
  <c r="H109" i="92"/>
  <c r="G109" i="92"/>
  <c r="F107" i="92"/>
  <c r="I107" i="92"/>
  <c r="H107" i="92"/>
  <c r="G107" i="92"/>
  <c r="F105" i="92"/>
  <c r="I105" i="92"/>
  <c r="H105" i="92"/>
  <c r="G105" i="92"/>
  <c r="F103" i="92"/>
  <c r="I103" i="92"/>
  <c r="H103" i="92"/>
  <c r="G103" i="92"/>
  <c r="F101" i="92"/>
  <c r="I101" i="92"/>
  <c r="H101" i="92"/>
  <c r="G101" i="92"/>
  <c r="F99" i="92"/>
  <c r="I99" i="92"/>
  <c r="H99" i="92"/>
  <c r="G99" i="92"/>
  <c r="F97" i="92"/>
  <c r="I97" i="92"/>
  <c r="H97" i="92"/>
  <c r="G97" i="92"/>
  <c r="F95" i="92"/>
  <c r="I95" i="92"/>
  <c r="H95" i="92"/>
  <c r="G95" i="92"/>
  <c r="F93" i="92"/>
  <c r="I93" i="92"/>
  <c r="H93" i="92"/>
  <c r="G93" i="92"/>
  <c r="F91" i="92"/>
  <c r="I91" i="92"/>
  <c r="H91" i="92"/>
  <c r="G91" i="92"/>
  <c r="F89" i="92"/>
  <c r="I89" i="92"/>
  <c r="H89" i="92"/>
  <c r="G89" i="92"/>
  <c r="F87" i="92"/>
  <c r="I87" i="92"/>
  <c r="H87" i="92"/>
  <c r="F85" i="92"/>
  <c r="I85" i="92"/>
  <c r="H85" i="92"/>
  <c r="G85" i="92"/>
  <c r="F83" i="92"/>
  <c r="I83" i="92"/>
  <c r="H83" i="92"/>
  <c r="G83" i="92"/>
  <c r="F81" i="92"/>
  <c r="I81" i="92"/>
  <c r="H81" i="92"/>
  <c r="G81" i="92"/>
  <c r="F79" i="92"/>
  <c r="I79" i="92"/>
  <c r="H79" i="92"/>
  <c r="G79" i="92"/>
  <c r="F77" i="92"/>
  <c r="I77" i="92"/>
  <c r="H77" i="92"/>
  <c r="G77" i="92"/>
  <c r="F75" i="92"/>
  <c r="I75" i="92"/>
  <c r="H75" i="92"/>
  <c r="G75" i="92"/>
  <c r="F73" i="92"/>
  <c r="I73" i="92"/>
  <c r="H73" i="92"/>
  <c r="G73" i="92"/>
  <c r="F71" i="92"/>
  <c r="I71" i="92"/>
  <c r="H71" i="92"/>
  <c r="G71" i="92"/>
  <c r="F69" i="92"/>
  <c r="I69" i="92"/>
  <c r="H69" i="92"/>
  <c r="G69" i="92"/>
  <c r="F67" i="92"/>
  <c r="I67" i="92"/>
  <c r="H67" i="92"/>
  <c r="G67" i="92"/>
  <c r="F65" i="92"/>
  <c r="I65" i="92"/>
  <c r="H65" i="92"/>
  <c r="G65" i="92"/>
  <c r="F63" i="92"/>
  <c r="I63" i="92"/>
  <c r="H63" i="92"/>
  <c r="G63" i="92"/>
  <c r="F61" i="92"/>
  <c r="I61" i="92"/>
  <c r="H61" i="92"/>
  <c r="G61" i="92"/>
  <c r="F59" i="92"/>
  <c r="I59" i="92"/>
  <c r="H59" i="92"/>
  <c r="F57" i="92"/>
  <c r="I57" i="92"/>
  <c r="H57" i="92"/>
  <c r="G57" i="92"/>
  <c r="F55" i="92"/>
  <c r="I55" i="92"/>
  <c r="H55" i="92"/>
  <c r="G55" i="92"/>
  <c r="F53" i="92"/>
  <c r="I53" i="92"/>
  <c r="H53" i="92"/>
  <c r="G53" i="92"/>
  <c r="F51" i="92"/>
  <c r="I51" i="92"/>
  <c r="H51" i="92"/>
  <c r="G51" i="92"/>
  <c r="F49" i="92"/>
  <c r="I49" i="92"/>
  <c r="H49" i="92"/>
  <c r="G49" i="92"/>
  <c r="F47" i="92"/>
  <c r="H47" i="92"/>
  <c r="G47" i="92"/>
  <c r="F44" i="92"/>
  <c r="I44" i="92"/>
  <c r="H44" i="92"/>
  <c r="G44" i="92"/>
  <c r="F42" i="92"/>
  <c r="I42" i="92"/>
  <c r="H42" i="92"/>
  <c r="G42" i="92"/>
  <c r="F40" i="92"/>
  <c r="I40" i="92"/>
  <c r="H40" i="92"/>
  <c r="G40" i="92"/>
  <c r="F38" i="92"/>
  <c r="I38" i="92"/>
  <c r="F450" i="91"/>
  <c r="J449" i="91"/>
  <c r="I450" i="91"/>
  <c r="H450" i="91"/>
  <c r="G450" i="91"/>
  <c r="J447" i="91"/>
  <c r="J446" i="91"/>
  <c r="J445" i="91"/>
  <c r="J444" i="91"/>
  <c r="I448" i="91"/>
  <c r="J442" i="91"/>
  <c r="J441" i="91"/>
  <c r="J440" i="91"/>
  <c r="G443" i="91"/>
  <c r="J439" i="91"/>
  <c r="H443" i="91"/>
  <c r="J438" i="91"/>
  <c r="J437" i="91"/>
  <c r="J436" i="91"/>
  <c r="I443" i="91"/>
  <c r="J434" i="91"/>
  <c r="I435" i="91"/>
  <c r="H435" i="91"/>
  <c r="G435" i="91"/>
  <c r="J432" i="91"/>
  <c r="J431" i="91"/>
  <c r="H433" i="91"/>
  <c r="J430" i="91"/>
  <c r="J429" i="91"/>
  <c r="J427" i="91"/>
  <c r="I428" i="91"/>
  <c r="H428" i="91"/>
  <c r="G428" i="91"/>
  <c r="J425" i="91"/>
  <c r="J424" i="91"/>
  <c r="J423" i="91"/>
  <c r="J422" i="91"/>
  <c r="J421" i="91"/>
  <c r="J420" i="91"/>
  <c r="J419" i="91"/>
  <c r="J418" i="91"/>
  <c r="J417" i="91"/>
  <c r="J416" i="91"/>
  <c r="J415" i="91"/>
  <c r="H426" i="91"/>
  <c r="J414" i="91"/>
  <c r="J413" i="91"/>
  <c r="J412" i="91"/>
  <c r="I426" i="91"/>
  <c r="J410" i="91"/>
  <c r="I411" i="91"/>
  <c r="H411" i="91"/>
  <c r="G411" i="91"/>
  <c r="J408" i="91"/>
  <c r="I409" i="91"/>
  <c r="H409" i="91"/>
  <c r="G409" i="91"/>
  <c r="J406" i="91"/>
  <c r="J405" i="91"/>
  <c r="J403" i="91"/>
  <c r="G404" i="91"/>
  <c r="J402" i="91"/>
  <c r="J401" i="91"/>
  <c r="J400" i="91"/>
  <c r="J399" i="91"/>
  <c r="J398" i="91"/>
  <c r="J396" i="91"/>
  <c r="I397" i="91"/>
  <c r="H397" i="91"/>
  <c r="G397" i="91"/>
  <c r="J394" i="91"/>
  <c r="J393" i="91"/>
  <c r="J392" i="91"/>
  <c r="J391" i="91"/>
  <c r="J390" i="91"/>
  <c r="J389" i="91"/>
  <c r="J388" i="91"/>
  <c r="J387" i="91"/>
  <c r="H395" i="91"/>
  <c r="J386" i="91"/>
  <c r="J385" i="91"/>
  <c r="J384" i="91"/>
  <c r="J383" i="91"/>
  <c r="J382" i="91"/>
  <c r="F381" i="91"/>
  <c r="J380" i="91"/>
  <c r="I381" i="91"/>
  <c r="H381" i="91"/>
  <c r="G381" i="91"/>
  <c r="F379" i="91"/>
  <c r="J378" i="91"/>
  <c r="I379" i="91"/>
  <c r="H379" i="91"/>
  <c r="G379" i="91"/>
  <c r="F377" i="91"/>
  <c r="J376" i="91"/>
  <c r="J375" i="91"/>
  <c r="J374" i="91"/>
  <c r="J373" i="91"/>
  <c r="J372" i="91"/>
  <c r="J371" i="91"/>
  <c r="J370" i="91"/>
  <c r="J369" i="91"/>
  <c r="J368" i="91"/>
  <c r="J367" i="91"/>
  <c r="J366" i="91"/>
  <c r="J365" i="91"/>
  <c r="J364" i="91"/>
  <c r="J363" i="91"/>
  <c r="J362" i="91"/>
  <c r="J361" i="91"/>
  <c r="J360" i="91"/>
  <c r="J359" i="91"/>
  <c r="J358" i="91"/>
  <c r="J357" i="91"/>
  <c r="J356" i="91"/>
  <c r="J355" i="91"/>
  <c r="J354" i="91"/>
  <c r="J353" i="91"/>
  <c r="J352" i="91"/>
  <c r="J351" i="91"/>
  <c r="J350" i="91"/>
  <c r="J349" i="91"/>
  <c r="J348" i="91"/>
  <c r="J347" i="91"/>
  <c r="J346" i="91"/>
  <c r="J345" i="91"/>
  <c r="J344" i="91"/>
  <c r="J343" i="91"/>
  <c r="J342" i="91"/>
  <c r="J341" i="91"/>
  <c r="J340" i="91"/>
  <c r="G377" i="91"/>
  <c r="J339" i="91"/>
  <c r="J338" i="91"/>
  <c r="J337" i="91"/>
  <c r="J336" i="91"/>
  <c r="J335" i="91"/>
  <c r="J334" i="91"/>
  <c r="F333" i="91"/>
  <c r="J332" i="91"/>
  <c r="J331" i="91"/>
  <c r="J330" i="91"/>
  <c r="J329" i="91"/>
  <c r="J328" i="91"/>
  <c r="I333" i="91"/>
  <c r="J327" i="91"/>
  <c r="J326" i="91"/>
  <c r="J325" i="91"/>
  <c r="J324" i="91"/>
  <c r="G333" i="91"/>
  <c r="J323" i="91"/>
  <c r="H333" i="91"/>
  <c r="J322" i="91"/>
  <c r="J321" i="91"/>
  <c r="F320" i="91"/>
  <c r="J319" i="91"/>
  <c r="J318" i="91"/>
  <c r="J317" i="91"/>
  <c r="J316" i="91"/>
  <c r="G320" i="91"/>
  <c r="J315" i="91"/>
  <c r="J314" i="91"/>
  <c r="F313" i="91"/>
  <c r="J312" i="91"/>
  <c r="J311" i="91"/>
  <c r="J310" i="91"/>
  <c r="J309" i="91"/>
  <c r="J308" i="91"/>
  <c r="J307" i="91"/>
  <c r="J306" i="91"/>
  <c r="J305" i="91"/>
  <c r="J304" i="91"/>
  <c r="J303" i="91"/>
  <c r="J302" i="91"/>
  <c r="J301" i="91"/>
  <c r="G313" i="91"/>
  <c r="J300" i="91"/>
  <c r="H313" i="91"/>
  <c r="J299" i="91"/>
  <c r="F298" i="91"/>
  <c r="J297" i="91"/>
  <c r="J296" i="91"/>
  <c r="J295" i="91"/>
  <c r="J294" i="91"/>
  <c r="G298" i="91"/>
  <c r="J293" i="91"/>
  <c r="J292" i="91"/>
  <c r="F291" i="91"/>
  <c r="J290" i="91"/>
  <c r="I291" i="91"/>
  <c r="J289" i="91"/>
  <c r="J288" i="91"/>
  <c r="J287" i="91"/>
  <c r="J286" i="91"/>
  <c r="G291" i="91"/>
  <c r="J285" i="91"/>
  <c r="H291" i="91"/>
  <c r="J284" i="91"/>
  <c r="F283" i="91"/>
  <c r="J282" i="91"/>
  <c r="I283" i="91"/>
  <c r="J281" i="91"/>
  <c r="J280" i="91"/>
  <c r="J279" i="91"/>
  <c r="J278" i="91"/>
  <c r="G283" i="91"/>
  <c r="J277" i="91"/>
  <c r="H283" i="91"/>
  <c r="J276" i="91"/>
  <c r="F275" i="91"/>
  <c r="J274" i="91"/>
  <c r="J273" i="91"/>
  <c r="J272" i="91"/>
  <c r="J271" i="91"/>
  <c r="J270" i="91"/>
  <c r="G275" i="91"/>
  <c r="J269" i="91"/>
  <c r="H275" i="91"/>
  <c r="J268" i="91"/>
  <c r="F267" i="91"/>
  <c r="J266" i="91"/>
  <c r="I267" i="91"/>
  <c r="H267" i="91"/>
  <c r="G267" i="91"/>
  <c r="F265" i="91"/>
  <c r="J264" i="91"/>
  <c r="I265" i="91"/>
  <c r="H265" i="91"/>
  <c r="G265" i="91"/>
  <c r="F263" i="91"/>
  <c r="J262" i="91"/>
  <c r="J261" i="91"/>
  <c r="I263" i="91"/>
  <c r="F260" i="91"/>
  <c r="J259" i="91"/>
  <c r="I260" i="91"/>
  <c r="H260" i="91"/>
  <c r="G260" i="91"/>
  <c r="F258" i="91"/>
  <c r="J257" i="91"/>
  <c r="G258" i="91"/>
  <c r="J256" i="91"/>
  <c r="J255" i="91"/>
  <c r="H258" i="91"/>
  <c r="F254" i="91"/>
  <c r="J253" i="91"/>
  <c r="J252" i="91"/>
  <c r="J251" i="91"/>
  <c r="G254" i="91"/>
  <c r="J250" i="91"/>
  <c r="H254" i="91"/>
  <c r="J249" i="91"/>
  <c r="J248" i="91"/>
  <c r="J247" i="91"/>
  <c r="I254" i="91"/>
  <c r="J246" i="91"/>
  <c r="F245" i="91"/>
  <c r="J244" i="91"/>
  <c r="I245" i="91"/>
  <c r="H245" i="91"/>
  <c r="G245" i="91"/>
  <c r="F243" i="91"/>
  <c r="J242" i="91"/>
  <c r="J241" i="91"/>
  <c r="G243" i="91"/>
  <c r="F240" i="91"/>
  <c r="J239" i="91"/>
  <c r="J238" i="91"/>
  <c r="J237" i="91"/>
  <c r="J236" i="91"/>
  <c r="J235" i="91"/>
  <c r="J234" i="91"/>
  <c r="J233" i="91"/>
  <c r="J232" i="91"/>
  <c r="J231" i="91"/>
  <c r="J230" i="91"/>
  <c r="J229" i="91"/>
  <c r="J228" i="91"/>
  <c r="J227" i="91"/>
  <c r="J226" i="91"/>
  <c r="J225" i="91"/>
  <c r="J224" i="91"/>
  <c r="J223" i="91"/>
  <c r="J222" i="91"/>
  <c r="J221" i="91"/>
  <c r="J220" i="91"/>
  <c r="J219" i="91"/>
  <c r="J218" i="91"/>
  <c r="J217" i="91"/>
  <c r="J216" i="91"/>
  <c r="J215" i="91"/>
  <c r="G240" i="91"/>
  <c r="J214" i="91"/>
  <c r="J213" i="91"/>
  <c r="J212" i="91"/>
  <c r="J211" i="91"/>
  <c r="J210" i="91"/>
  <c r="J209" i="91"/>
  <c r="J208" i="91"/>
  <c r="J207" i="91"/>
  <c r="J206" i="91"/>
  <c r="J205" i="91"/>
  <c r="F204" i="91"/>
  <c r="J203" i="91"/>
  <c r="J202" i="91"/>
  <c r="J201" i="91"/>
  <c r="J200" i="91"/>
  <c r="J199" i="91"/>
  <c r="J198" i="91"/>
  <c r="J197" i="91"/>
  <c r="J196" i="91"/>
  <c r="J195" i="91"/>
  <c r="J194" i="91"/>
  <c r="J193" i="91"/>
  <c r="J192" i="91"/>
  <c r="J191" i="91"/>
  <c r="J190" i="91"/>
  <c r="J189" i="91"/>
  <c r="J188" i="91"/>
  <c r="J187" i="91"/>
  <c r="J186" i="91"/>
  <c r="J185" i="91"/>
  <c r="J184" i="91"/>
  <c r="J183" i="91"/>
  <c r="J182" i="91"/>
  <c r="J181" i="91"/>
  <c r="J180" i="91"/>
  <c r="J179" i="91"/>
  <c r="J178" i="91"/>
  <c r="J177" i="91"/>
  <c r="J176" i="91"/>
  <c r="J175" i="91"/>
  <c r="J174" i="91"/>
  <c r="J173" i="91"/>
  <c r="J172" i="91"/>
  <c r="I204" i="91"/>
  <c r="J171" i="91"/>
  <c r="J170" i="91"/>
  <c r="J169" i="91"/>
  <c r="J168" i="91"/>
  <c r="G204" i="91"/>
  <c r="J167" i="91"/>
  <c r="H204" i="91"/>
  <c r="J166" i="91"/>
  <c r="F165" i="91"/>
  <c r="J164" i="91"/>
  <c r="J163" i="91"/>
  <c r="J162" i="91"/>
  <c r="J161" i="91"/>
  <c r="J160" i="91"/>
  <c r="J159" i="91"/>
  <c r="J158" i="91"/>
  <c r="J157" i="91"/>
  <c r="J156" i="91"/>
  <c r="J155" i="91"/>
  <c r="J154" i="91"/>
  <c r="J153" i="91"/>
  <c r="J152" i="91"/>
  <c r="J151" i="91"/>
  <c r="J150" i="91"/>
  <c r="J149" i="91"/>
  <c r="J148" i="91"/>
  <c r="J147" i="91"/>
  <c r="J146" i="91"/>
  <c r="J145" i="91"/>
  <c r="J144" i="91"/>
  <c r="J143" i="91"/>
  <c r="J142" i="91"/>
  <c r="J141" i="91"/>
  <c r="J140" i="91"/>
  <c r="J139" i="91"/>
  <c r="J138" i="91"/>
  <c r="J137" i="91"/>
  <c r="J136" i="91"/>
  <c r="J135" i="91"/>
  <c r="J134" i="91"/>
  <c r="J133" i="91"/>
  <c r="J132" i="91"/>
  <c r="J131" i="91"/>
  <c r="J130" i="91"/>
  <c r="J129" i="91"/>
  <c r="G165" i="91"/>
  <c r="J127" i="91"/>
  <c r="H165" i="91"/>
  <c r="H451" i="91" s="1"/>
  <c r="J126" i="91"/>
  <c r="J125" i="91"/>
  <c r="J124" i="91"/>
  <c r="J123" i="91"/>
  <c r="F122" i="91"/>
  <c r="J121" i="91"/>
  <c r="J120" i="91"/>
  <c r="J119" i="91"/>
  <c r="J118" i="91"/>
  <c r="J117" i="91"/>
  <c r="J116" i="91"/>
  <c r="J115" i="91"/>
  <c r="J114" i="91"/>
  <c r="J113" i="91"/>
  <c r="J112" i="91"/>
  <c r="J111" i="91"/>
  <c r="J110" i="91"/>
  <c r="J109" i="91"/>
  <c r="J108" i="91"/>
  <c r="J107" i="91"/>
  <c r="J106" i="91"/>
  <c r="J105" i="91"/>
  <c r="J104" i="91"/>
  <c r="J103" i="91"/>
  <c r="J102" i="91"/>
  <c r="J101" i="91"/>
  <c r="J100" i="91"/>
  <c r="J99" i="91"/>
  <c r="J98" i="91"/>
  <c r="J97" i="91"/>
  <c r="J96" i="91"/>
  <c r="J95" i="91"/>
  <c r="J94" i="91"/>
  <c r="J93" i="91"/>
  <c r="J92" i="91"/>
  <c r="J91" i="91"/>
  <c r="J90" i="91"/>
  <c r="J89" i="91"/>
  <c r="G122" i="91"/>
  <c r="J88" i="91"/>
  <c r="H122" i="91"/>
  <c r="J87" i="91"/>
  <c r="J86" i="91"/>
  <c r="J85" i="91"/>
  <c r="I122" i="91"/>
  <c r="J84" i="91"/>
  <c r="J83" i="91"/>
  <c r="J82" i="91"/>
  <c r="F81" i="91"/>
  <c r="J80" i="91"/>
  <c r="J79" i="91"/>
  <c r="J78" i="91"/>
  <c r="J77" i="91"/>
  <c r="J76" i="91"/>
  <c r="J75" i="91"/>
  <c r="J74" i="91"/>
  <c r="J73" i="91"/>
  <c r="J72" i="91"/>
  <c r="J71" i="91"/>
  <c r="J70" i="91"/>
  <c r="J69" i="91"/>
  <c r="J68" i="91"/>
  <c r="J67" i="91"/>
  <c r="J66" i="91"/>
  <c r="J65" i="91"/>
  <c r="J64" i="91"/>
  <c r="J63" i="91"/>
  <c r="J62" i="91"/>
  <c r="J61" i="91"/>
  <c r="J60" i="91"/>
  <c r="J59" i="91"/>
  <c r="J58" i="91"/>
  <c r="J57" i="91"/>
  <c r="J56" i="91"/>
  <c r="J55" i="91"/>
  <c r="J54" i="91"/>
  <c r="J53" i="91"/>
  <c r="J52" i="91"/>
  <c r="J51" i="91"/>
  <c r="J50" i="91"/>
  <c r="J49" i="91"/>
  <c r="G81" i="91"/>
  <c r="J48" i="91"/>
  <c r="H81" i="91"/>
  <c r="J47" i="91"/>
  <c r="J46" i="91"/>
  <c r="J45" i="91"/>
  <c r="I81" i="91"/>
  <c r="J44" i="91"/>
  <c r="J43" i="91"/>
  <c r="J42" i="91"/>
  <c r="F41" i="91"/>
  <c r="J40" i="91"/>
  <c r="H41" i="91"/>
  <c r="J39" i="91"/>
  <c r="F38" i="91"/>
  <c r="F451" i="91" s="1"/>
  <c r="J37" i="91"/>
  <c r="I38" i="91"/>
  <c r="H38" i="91"/>
  <c r="G38" i="91"/>
  <c r="G29" i="78"/>
  <c r="G28" i="78"/>
  <c r="G7" i="78"/>
  <c r="B3" i="70"/>
  <c r="D3" i="90"/>
  <c r="D4" i="90"/>
  <c r="D5" i="90"/>
  <c r="D6" i="90"/>
  <c r="D7" i="90"/>
  <c r="D8" i="90"/>
  <c r="D9" i="90"/>
  <c r="D10" i="90"/>
  <c r="D11" i="90"/>
  <c r="D12" i="90"/>
  <c r="D13" i="90"/>
  <c r="D14" i="90"/>
  <c r="D15" i="90"/>
  <c r="D16" i="90"/>
  <c r="D17" i="90"/>
  <c r="D18" i="90"/>
  <c r="D19" i="90"/>
  <c r="D20" i="90"/>
  <c r="D21" i="90"/>
  <c r="D22" i="90"/>
  <c r="D23" i="90"/>
  <c r="D24" i="90"/>
  <c r="D25" i="90"/>
  <c r="D26" i="90"/>
  <c r="D27" i="90"/>
  <c r="D28" i="90"/>
  <c r="D29" i="90"/>
  <c r="D30" i="90"/>
  <c r="D31" i="90"/>
  <c r="D32" i="90"/>
  <c r="D33" i="90"/>
  <c r="D34" i="90"/>
  <c r="D35" i="90"/>
  <c r="D36" i="90"/>
  <c r="D37" i="90"/>
  <c r="D38" i="90"/>
  <c r="D39" i="90"/>
  <c r="D40" i="90"/>
  <c r="D41" i="90"/>
  <c r="D42" i="90"/>
  <c r="D43" i="90"/>
  <c r="D44" i="90"/>
  <c r="D45" i="90"/>
  <c r="D46" i="90"/>
  <c r="D47" i="90"/>
  <c r="D48" i="90"/>
  <c r="D49" i="90"/>
  <c r="D50" i="90"/>
  <c r="D51" i="90"/>
  <c r="D52" i="90"/>
  <c r="D53" i="90"/>
  <c r="D54" i="90"/>
  <c r="D55" i="90"/>
  <c r="D56" i="90"/>
  <c r="D57" i="90"/>
  <c r="D58" i="90"/>
  <c r="D59" i="90"/>
  <c r="D60" i="90"/>
  <c r="D61" i="90"/>
  <c r="D62" i="90"/>
  <c r="D63" i="90"/>
  <c r="D64" i="90"/>
  <c r="D65" i="90"/>
  <c r="D66" i="90"/>
  <c r="D67" i="90"/>
  <c r="D68" i="90"/>
  <c r="D69" i="90"/>
  <c r="D70" i="90"/>
  <c r="D71" i="90"/>
  <c r="D72" i="90"/>
  <c r="D73" i="90"/>
  <c r="D74" i="90"/>
  <c r="D75" i="90"/>
  <c r="D76" i="90"/>
  <c r="D77" i="90"/>
  <c r="D78" i="90"/>
  <c r="D79" i="90"/>
  <c r="D80" i="90"/>
  <c r="D81" i="90"/>
  <c r="D82" i="90"/>
  <c r="D83" i="90"/>
  <c r="D84" i="90"/>
  <c r="D85" i="90"/>
  <c r="D86" i="90"/>
  <c r="D87" i="90"/>
  <c r="D88" i="90"/>
  <c r="D89" i="90"/>
  <c r="D90" i="90"/>
  <c r="D91" i="90"/>
  <c r="D92" i="90"/>
  <c r="D93" i="90"/>
  <c r="D94" i="90"/>
  <c r="D95" i="90"/>
  <c r="D96" i="90"/>
  <c r="D97" i="90"/>
  <c r="D98" i="90"/>
  <c r="D99" i="90"/>
  <c r="D100" i="90"/>
  <c r="D101" i="90"/>
  <c r="D102" i="90"/>
  <c r="D103" i="90"/>
  <c r="D104" i="90"/>
  <c r="D105" i="90"/>
  <c r="D106" i="90"/>
  <c r="D107" i="90"/>
  <c r="D108" i="90"/>
  <c r="D109" i="90"/>
  <c r="D110" i="90"/>
  <c r="D111" i="90"/>
  <c r="D112" i="90"/>
  <c r="D113" i="90"/>
  <c r="D114" i="90"/>
  <c r="D115" i="90"/>
  <c r="D116" i="90"/>
  <c r="D117" i="90"/>
  <c r="D118" i="90"/>
  <c r="D119" i="90"/>
  <c r="D120" i="90"/>
  <c r="D121" i="90"/>
  <c r="D122" i="90"/>
  <c r="D123" i="90"/>
  <c r="D124" i="90"/>
  <c r="D125" i="90"/>
  <c r="D126" i="90"/>
  <c r="D127" i="90"/>
  <c r="D128" i="90"/>
  <c r="D129" i="90"/>
  <c r="D130" i="90"/>
  <c r="D131" i="90"/>
  <c r="D132" i="90"/>
  <c r="D133" i="90"/>
  <c r="D134" i="90"/>
  <c r="D135" i="90"/>
  <c r="D136" i="90"/>
  <c r="D137" i="90"/>
  <c r="D138" i="90"/>
  <c r="D139" i="90"/>
  <c r="D140" i="90"/>
  <c r="D141" i="90"/>
  <c r="D142" i="90"/>
  <c r="D143" i="90"/>
  <c r="D144" i="90"/>
  <c r="D145" i="90"/>
  <c r="D146" i="90"/>
  <c r="D147" i="90"/>
  <c r="D148" i="90"/>
  <c r="D149" i="90"/>
  <c r="D150" i="90"/>
  <c r="D151" i="90"/>
  <c r="D152" i="90"/>
  <c r="D153" i="90"/>
  <c r="D154" i="90"/>
  <c r="D155" i="90"/>
  <c r="D156" i="90"/>
  <c r="D157" i="90"/>
  <c r="D158" i="90"/>
  <c r="D159" i="90"/>
  <c r="D160" i="90"/>
  <c r="D161" i="90"/>
  <c r="D162" i="90"/>
  <c r="D163" i="90"/>
  <c r="D164" i="90"/>
  <c r="D165" i="90"/>
  <c r="D166" i="90"/>
  <c r="D167" i="90"/>
  <c r="D168" i="90"/>
  <c r="D169" i="90"/>
  <c r="D170" i="90"/>
  <c r="D171" i="90"/>
  <c r="D172" i="90"/>
  <c r="D173" i="90"/>
  <c r="D174" i="90"/>
  <c r="D175" i="90"/>
  <c r="D176" i="90"/>
  <c r="D177" i="90"/>
  <c r="D178" i="90"/>
  <c r="D179" i="90"/>
  <c r="D180" i="90"/>
  <c r="D181" i="90"/>
  <c r="D182" i="90"/>
  <c r="D183" i="90"/>
  <c r="D184" i="90"/>
  <c r="D185" i="90"/>
  <c r="D2" i="90"/>
  <c r="H182" i="90"/>
  <c r="F182" i="90"/>
  <c r="E182" i="90"/>
  <c r="H181" i="90"/>
  <c r="F181" i="90"/>
  <c r="E181" i="90"/>
  <c r="H180" i="90"/>
  <c r="G180" i="90"/>
  <c r="F180" i="90"/>
  <c r="E180" i="90"/>
  <c r="H179" i="90"/>
  <c r="F179" i="90"/>
  <c r="E179" i="90"/>
  <c r="H178" i="90"/>
  <c r="F178" i="90"/>
  <c r="E178" i="90"/>
  <c r="H177" i="90"/>
  <c r="G177" i="90"/>
  <c r="F177" i="90"/>
  <c r="E177" i="90"/>
  <c r="H176" i="90"/>
  <c r="F176" i="90"/>
  <c r="E176" i="90"/>
  <c r="H175" i="90"/>
  <c r="G175" i="90"/>
  <c r="H174" i="90"/>
  <c r="G174" i="90"/>
  <c r="F174" i="90"/>
  <c r="E174" i="90"/>
  <c r="I173" i="90"/>
  <c r="H173" i="90"/>
  <c r="E172" i="90"/>
  <c r="G171" i="90"/>
  <c r="F171" i="90"/>
  <c r="E171" i="90"/>
  <c r="I170" i="90"/>
  <c r="H170" i="90"/>
  <c r="G170" i="90"/>
  <c r="F170" i="90"/>
  <c r="E170" i="90"/>
  <c r="E169" i="90"/>
  <c r="F168" i="90"/>
  <c r="E168" i="90"/>
  <c r="E167" i="90"/>
  <c r="F163" i="90"/>
  <c r="E163" i="90"/>
  <c r="H160" i="90"/>
  <c r="H159" i="90"/>
  <c r="G159" i="90"/>
  <c r="H158" i="90"/>
  <c r="F158" i="90"/>
  <c r="H157" i="90"/>
  <c r="H156" i="90"/>
  <c r="G156" i="90"/>
  <c r="F156" i="90"/>
  <c r="E156" i="90"/>
  <c r="H155" i="90"/>
  <c r="E155" i="90"/>
  <c r="H154" i="90"/>
  <c r="F154" i="90"/>
  <c r="E154" i="90"/>
  <c r="H153" i="90"/>
  <c r="G153" i="90"/>
  <c r="F153" i="90"/>
  <c r="E153" i="90"/>
  <c r="H152" i="90"/>
  <c r="H151" i="90"/>
  <c r="H150" i="90"/>
  <c r="G150" i="90"/>
  <c r="F150" i="90"/>
  <c r="E150" i="90"/>
  <c r="H149" i="90"/>
  <c r="G149" i="90"/>
  <c r="F149" i="90"/>
  <c r="H148" i="90"/>
  <c r="E148" i="90"/>
  <c r="H147" i="90"/>
  <c r="H146" i="90"/>
  <c r="G146" i="90"/>
  <c r="F146" i="90"/>
  <c r="E146" i="90"/>
  <c r="H145" i="90"/>
  <c r="G145" i="90"/>
  <c r="H144" i="90"/>
  <c r="H143" i="90"/>
  <c r="G143" i="90"/>
  <c r="F143" i="90"/>
  <c r="E143" i="90"/>
  <c r="H142" i="90"/>
  <c r="G142" i="90"/>
  <c r="F142" i="90"/>
  <c r="H141" i="90"/>
  <c r="H140" i="90"/>
  <c r="E140" i="90"/>
  <c r="H139" i="90"/>
  <c r="G139" i="90"/>
  <c r="F139" i="90"/>
  <c r="E139" i="90"/>
  <c r="H138" i="90"/>
  <c r="G136" i="90"/>
  <c r="F136" i="90"/>
  <c r="E136" i="90"/>
  <c r="H135" i="90"/>
  <c r="G135" i="90"/>
  <c r="H134" i="90"/>
  <c r="H133" i="90"/>
  <c r="H132" i="90"/>
  <c r="G132" i="90"/>
  <c r="F132" i="90"/>
  <c r="F131" i="90"/>
  <c r="E131" i="90"/>
  <c r="H129" i="90"/>
  <c r="F129" i="90"/>
  <c r="E129" i="90"/>
  <c r="H128" i="90"/>
  <c r="H127" i="90"/>
  <c r="H126" i="90"/>
  <c r="H125" i="90"/>
  <c r="H124" i="90"/>
  <c r="G124" i="90"/>
  <c r="H123" i="90"/>
  <c r="G123" i="90"/>
  <c r="F123" i="90"/>
  <c r="E123" i="90"/>
  <c r="H122" i="90"/>
  <c r="G122" i="90"/>
  <c r="H121" i="90"/>
  <c r="F121" i="90"/>
  <c r="H120" i="90"/>
  <c r="G120" i="90"/>
  <c r="F120" i="90"/>
  <c r="E120" i="90"/>
  <c r="H119" i="90"/>
  <c r="G119" i="90"/>
  <c r="E119" i="90"/>
  <c r="H118" i="90"/>
  <c r="H117" i="90"/>
  <c r="F117" i="90"/>
  <c r="E117" i="90"/>
  <c r="H116" i="90"/>
  <c r="F116" i="90"/>
  <c r="E116" i="90"/>
  <c r="H115" i="90"/>
  <c r="H114" i="90"/>
  <c r="G114" i="90"/>
  <c r="H113" i="90"/>
  <c r="H112" i="90"/>
  <c r="E111" i="90"/>
  <c r="H110" i="90"/>
  <c r="H109" i="90"/>
  <c r="H108" i="90"/>
  <c r="H107" i="90"/>
  <c r="E107" i="90"/>
  <c r="H106" i="90"/>
  <c r="G106" i="90"/>
  <c r="F106" i="90"/>
  <c r="E106" i="90"/>
  <c r="H105" i="90"/>
  <c r="H104" i="90"/>
  <c r="G104" i="90"/>
  <c r="H103" i="90"/>
  <c r="G103" i="90"/>
  <c r="F103" i="90"/>
  <c r="E103" i="90"/>
  <c r="H102" i="90"/>
  <c r="G102" i="90"/>
  <c r="H101" i="90"/>
  <c r="H100" i="90"/>
  <c r="G100" i="90"/>
  <c r="F100" i="90"/>
  <c r="E100" i="90"/>
  <c r="H99" i="90"/>
  <c r="G99" i="90"/>
  <c r="F99" i="90"/>
  <c r="H98" i="90"/>
  <c r="H97" i="90"/>
  <c r="H96" i="90"/>
  <c r="G96" i="90"/>
  <c r="F96" i="90"/>
  <c r="E96" i="90"/>
  <c r="H95" i="90"/>
  <c r="G95" i="90"/>
  <c r="F95" i="90"/>
  <c r="E95" i="90"/>
  <c r="H94" i="90"/>
  <c r="G94" i="90"/>
  <c r="F94" i="90"/>
  <c r="E94" i="90"/>
  <c r="H93" i="90"/>
  <c r="G93" i="90"/>
  <c r="F93" i="90"/>
  <c r="H92" i="90"/>
  <c r="H91" i="90"/>
  <c r="G91" i="90"/>
  <c r="F91" i="90"/>
  <c r="E91" i="90"/>
  <c r="H90" i="90"/>
  <c r="G90" i="90"/>
  <c r="F90" i="90"/>
  <c r="E90" i="90"/>
  <c r="H89" i="90"/>
  <c r="H88" i="90"/>
  <c r="H87" i="90"/>
  <c r="G87" i="90"/>
  <c r="F87" i="90"/>
  <c r="E87" i="90"/>
  <c r="H86" i="90"/>
  <c r="G86" i="90"/>
  <c r="F86" i="90"/>
  <c r="E86" i="90"/>
  <c r="H85" i="90"/>
  <c r="H84" i="90"/>
  <c r="E84" i="90"/>
  <c r="H83" i="90"/>
  <c r="G83" i="90"/>
  <c r="F83" i="90"/>
  <c r="E83" i="90"/>
  <c r="H82" i="90"/>
  <c r="H81" i="90"/>
  <c r="H80" i="90"/>
  <c r="E80" i="90"/>
  <c r="H79" i="90"/>
  <c r="H78" i="90"/>
  <c r="G78" i="90"/>
  <c r="H77" i="90"/>
  <c r="H76" i="90"/>
  <c r="G76" i="90"/>
  <c r="H75" i="90"/>
  <c r="H73" i="90"/>
  <c r="H72" i="90"/>
  <c r="H71" i="90"/>
  <c r="E71" i="90"/>
  <c r="H70" i="90"/>
  <c r="G70" i="90"/>
  <c r="F70" i="90"/>
  <c r="E70" i="90"/>
  <c r="H69" i="90"/>
  <c r="G68" i="90"/>
  <c r="F68" i="90"/>
  <c r="G67" i="90"/>
  <c r="F67" i="90"/>
  <c r="E67" i="90"/>
  <c r="H66" i="90"/>
  <c r="G66" i="90"/>
  <c r="H65" i="90"/>
  <c r="E65" i="90"/>
  <c r="H64" i="90"/>
  <c r="E64" i="90"/>
  <c r="H63" i="90"/>
  <c r="G63" i="90"/>
  <c r="F63" i="90"/>
  <c r="E63" i="90"/>
  <c r="H62" i="90"/>
  <c r="H61" i="90"/>
  <c r="E61" i="90"/>
  <c r="H60" i="90"/>
  <c r="G60" i="90"/>
  <c r="F60" i="90"/>
  <c r="E60" i="90"/>
  <c r="H59" i="90"/>
  <c r="G59" i="90"/>
  <c r="H58" i="90"/>
  <c r="H57" i="90"/>
  <c r="F57" i="90"/>
  <c r="E57" i="90"/>
  <c r="H56" i="90"/>
  <c r="G56" i="90"/>
  <c r="H55" i="90"/>
  <c r="G55" i="90"/>
  <c r="F55" i="90"/>
  <c r="H54" i="90"/>
  <c r="H53" i="90"/>
  <c r="G53" i="90"/>
  <c r="F53" i="90"/>
  <c r="H52" i="90"/>
  <c r="H51" i="90"/>
  <c r="G51" i="90"/>
  <c r="F51" i="90"/>
  <c r="E51" i="90"/>
  <c r="H50" i="90"/>
  <c r="G50" i="90"/>
  <c r="H49" i="90"/>
  <c r="E49" i="90"/>
  <c r="H48" i="90"/>
  <c r="E48" i="90"/>
  <c r="H47" i="90"/>
  <c r="G47" i="90"/>
  <c r="F47" i="90"/>
  <c r="E47" i="90"/>
  <c r="H46" i="90"/>
  <c r="H45" i="90"/>
  <c r="G45" i="90"/>
  <c r="F45" i="90"/>
  <c r="H44" i="90"/>
  <c r="G44" i="90"/>
  <c r="F44" i="90"/>
  <c r="E44" i="90"/>
  <c r="H43" i="90"/>
  <c r="G43" i="90"/>
  <c r="F43" i="90"/>
  <c r="H42" i="90"/>
  <c r="L41" i="90"/>
  <c r="K41" i="90"/>
  <c r="H41" i="90"/>
  <c r="G41" i="90"/>
  <c r="F41" i="90"/>
  <c r="E41" i="90"/>
  <c r="H40" i="90"/>
  <c r="G40" i="90"/>
  <c r="F40" i="90"/>
  <c r="F39" i="90"/>
  <c r="G37" i="90"/>
  <c r="F37" i="90"/>
  <c r="E37" i="90"/>
  <c r="H36" i="90"/>
  <c r="G36" i="90"/>
  <c r="F36" i="90"/>
  <c r="E36" i="90"/>
  <c r="H34" i="90"/>
  <c r="E34" i="90"/>
  <c r="H33" i="90"/>
  <c r="G33" i="90"/>
  <c r="F33" i="90"/>
  <c r="E33" i="90"/>
  <c r="G32" i="90"/>
  <c r="H30" i="90"/>
  <c r="G30" i="90"/>
  <c r="F30" i="90"/>
  <c r="E30" i="90"/>
  <c r="H29" i="90"/>
  <c r="E29" i="90"/>
  <c r="G28" i="90"/>
  <c r="F28" i="90"/>
  <c r="H27" i="90"/>
  <c r="H26" i="90"/>
  <c r="G26" i="90"/>
  <c r="F26" i="90"/>
  <c r="E26" i="90"/>
  <c r="H25" i="90"/>
  <c r="F25" i="90"/>
  <c r="E25" i="90"/>
  <c r="H24" i="90"/>
  <c r="H23" i="90"/>
  <c r="H22" i="90"/>
  <c r="G22" i="90"/>
  <c r="E22" i="90"/>
  <c r="H20" i="90"/>
  <c r="G20" i="90"/>
  <c r="F20" i="90"/>
  <c r="H19" i="90"/>
  <c r="H18" i="90"/>
  <c r="G18" i="90"/>
  <c r="H17" i="90"/>
  <c r="G17" i="90"/>
  <c r="F17" i="90"/>
  <c r="E17" i="90"/>
  <c r="H16" i="90"/>
  <c r="G16" i="90"/>
  <c r="H15" i="90"/>
  <c r="H14" i="90"/>
  <c r="G14" i="90"/>
  <c r="F14" i="90"/>
  <c r="E14" i="90"/>
  <c r="H13" i="90"/>
  <c r="G13" i="90"/>
  <c r="F13" i="90"/>
  <c r="H12" i="90"/>
  <c r="H11" i="90"/>
  <c r="E11" i="90"/>
  <c r="H10" i="90"/>
  <c r="G10" i="90"/>
  <c r="F10" i="90"/>
  <c r="E10" i="90"/>
  <c r="H9" i="90"/>
  <c r="H7" i="90"/>
  <c r="G7" i="90"/>
  <c r="E7" i="90"/>
  <c r="H6" i="90"/>
  <c r="G6" i="90"/>
  <c r="G4" i="90"/>
  <c r="F4" i="90"/>
  <c r="E4" i="90"/>
  <c r="H3" i="90"/>
  <c r="G3" i="90"/>
  <c r="F3" i="90"/>
  <c r="E3" i="90"/>
  <c r="H2" i="90"/>
  <c r="D389" i="85"/>
  <c r="D388" i="85"/>
  <c r="D387" i="85"/>
  <c r="D386" i="85"/>
  <c r="D385" i="85"/>
  <c r="D384" i="85"/>
  <c r="G383" i="85"/>
  <c r="F383" i="85"/>
  <c r="E383" i="85"/>
  <c r="D383" i="85"/>
  <c r="G382" i="85"/>
  <c r="F382" i="85"/>
  <c r="E382" i="85"/>
  <c r="D382" i="85"/>
  <c r="G381" i="85"/>
  <c r="F381" i="85"/>
  <c r="E381" i="85"/>
  <c r="D381" i="85"/>
  <c r="G380" i="85"/>
  <c r="F380" i="85"/>
  <c r="E380" i="85"/>
  <c r="D380" i="85"/>
  <c r="E371" i="85"/>
  <c r="G182" i="90"/>
  <c r="E370" i="85"/>
  <c r="G181" i="90"/>
  <c r="E369" i="85"/>
  <c r="E368" i="85"/>
  <c r="G179" i="90"/>
  <c r="E367" i="85"/>
  <c r="G178" i="90"/>
  <c r="E366" i="85"/>
  <c r="E365" i="85"/>
  <c r="G176" i="90"/>
  <c r="J350" i="85"/>
  <c r="J347" i="85"/>
  <c r="H346" i="85"/>
  <c r="J321" i="85"/>
  <c r="I321" i="85"/>
  <c r="H321" i="85"/>
  <c r="G321" i="85"/>
  <c r="G311" i="85"/>
  <c r="I175" i="90" s="1"/>
  <c r="F311" i="85"/>
  <c r="E311" i="85"/>
  <c r="D311" i="85"/>
  <c r="F175" i="90"/>
  <c r="C311" i="85"/>
  <c r="E175" i="90"/>
  <c r="G310" i="85"/>
  <c r="I174" i="90" s="1"/>
  <c r="F310" i="85"/>
  <c r="E310" i="85"/>
  <c r="D310" i="85"/>
  <c r="C310" i="85"/>
  <c r="G309" i="85"/>
  <c r="F309" i="85"/>
  <c r="E309" i="85"/>
  <c r="G173" i="90"/>
  <c r="D309" i="85"/>
  <c r="F173" i="90"/>
  <c r="C309" i="85"/>
  <c r="E173" i="90"/>
  <c r="G308" i="85"/>
  <c r="I172" i="90"/>
  <c r="F308" i="85"/>
  <c r="H172" i="90"/>
  <c r="E308" i="85"/>
  <c r="G172" i="90"/>
  <c r="D308" i="85"/>
  <c r="F172" i="90"/>
  <c r="C308" i="85"/>
  <c r="G307" i="85"/>
  <c r="I171" i="90" s="1"/>
  <c r="F307" i="85"/>
  <c r="H171" i="90"/>
  <c r="E307" i="85"/>
  <c r="D307" i="85"/>
  <c r="C307" i="85"/>
  <c r="G306" i="85"/>
  <c r="F306" i="85"/>
  <c r="E306" i="85"/>
  <c r="D306" i="85"/>
  <c r="C306" i="85"/>
  <c r="G305" i="85"/>
  <c r="I169" i="90" s="1"/>
  <c r="F305" i="85"/>
  <c r="H169" i="90"/>
  <c r="E305" i="85"/>
  <c r="G169" i="90"/>
  <c r="D305" i="85"/>
  <c r="F169" i="90"/>
  <c r="C305" i="85"/>
  <c r="F301" i="85"/>
  <c r="H168" i="90"/>
  <c r="E301" i="85"/>
  <c r="G168" i="90"/>
  <c r="D301" i="85"/>
  <c r="C301" i="85"/>
  <c r="G297" i="85"/>
  <c r="I167" i="90" s="1"/>
  <c r="F297" i="85"/>
  <c r="H167" i="90"/>
  <c r="E297" i="85"/>
  <c r="G167" i="90"/>
  <c r="D297" i="85"/>
  <c r="F167" i="90"/>
  <c r="C297" i="85"/>
  <c r="G296" i="85"/>
  <c r="I166" i="90" s="1"/>
  <c r="F296" i="85"/>
  <c r="H166" i="90"/>
  <c r="E296" i="85"/>
  <c r="G166" i="90"/>
  <c r="D296" i="85"/>
  <c r="F166" i="90"/>
  <c r="C296" i="85"/>
  <c r="E166" i="90"/>
  <c r="G295" i="85"/>
  <c r="I165" i="90" s="1"/>
  <c r="F295" i="85"/>
  <c r="H165" i="90"/>
  <c r="E295" i="85"/>
  <c r="G165" i="90"/>
  <c r="D295" i="85"/>
  <c r="F165" i="90"/>
  <c r="C295" i="85"/>
  <c r="E165" i="90"/>
  <c r="G294" i="85"/>
  <c r="I164" i="90" s="1"/>
  <c r="F294" i="85"/>
  <c r="H164" i="90"/>
  <c r="E294" i="85"/>
  <c r="G164" i="90"/>
  <c r="D294" i="85"/>
  <c r="F164" i="90"/>
  <c r="C294" i="85"/>
  <c r="E164" i="90"/>
  <c r="G293" i="85"/>
  <c r="I163" i="90"/>
  <c r="F293" i="85"/>
  <c r="H163" i="90"/>
  <c r="E293" i="85"/>
  <c r="G163" i="90"/>
  <c r="D293" i="85"/>
  <c r="C293" i="85"/>
  <c r="G292" i="85"/>
  <c r="I162" i="90" s="1"/>
  <c r="F292" i="85"/>
  <c r="H162" i="90"/>
  <c r="E292" i="85"/>
  <c r="G162" i="90"/>
  <c r="D292" i="85"/>
  <c r="F162" i="90"/>
  <c r="C292" i="85"/>
  <c r="E162" i="90"/>
  <c r="G291" i="85"/>
  <c r="I161" i="90" s="1"/>
  <c r="F291" i="85"/>
  <c r="H161" i="90"/>
  <c r="E291" i="85"/>
  <c r="G161" i="90"/>
  <c r="D291" i="85"/>
  <c r="F161" i="90"/>
  <c r="C291" i="85"/>
  <c r="E161" i="90"/>
  <c r="G280" i="85"/>
  <c r="I160" i="90"/>
  <c r="E280" i="85"/>
  <c r="G160" i="90"/>
  <c r="D280" i="85"/>
  <c r="F160" i="90"/>
  <c r="C280" i="85"/>
  <c r="E160" i="90"/>
  <c r="G279" i="85"/>
  <c r="I159" i="90" s="1"/>
  <c r="E279" i="85"/>
  <c r="D279" i="85"/>
  <c r="F159" i="90"/>
  <c r="C279" i="85"/>
  <c r="E159" i="90"/>
  <c r="G278" i="85"/>
  <c r="I158" i="90"/>
  <c r="E278" i="85"/>
  <c r="G158" i="90"/>
  <c r="D278" i="85"/>
  <c r="C278" i="85"/>
  <c r="E158" i="90"/>
  <c r="G277" i="85"/>
  <c r="I157" i="90" s="1"/>
  <c r="E277" i="85"/>
  <c r="G157" i="90"/>
  <c r="D277" i="85"/>
  <c r="F157" i="90"/>
  <c r="C277" i="85"/>
  <c r="E157" i="90"/>
  <c r="G276" i="85"/>
  <c r="I156" i="90" s="1"/>
  <c r="E276" i="85"/>
  <c r="D276" i="85"/>
  <c r="C276" i="85"/>
  <c r="G275" i="85"/>
  <c r="I155" i="90"/>
  <c r="E275" i="85"/>
  <c r="G155" i="90"/>
  <c r="D275" i="85"/>
  <c r="F155" i="90"/>
  <c r="C275" i="85"/>
  <c r="G274" i="85"/>
  <c r="I154" i="90" s="1"/>
  <c r="E274" i="85"/>
  <c r="G154" i="90"/>
  <c r="D274" i="85"/>
  <c r="C274" i="85"/>
  <c r="G270" i="85"/>
  <c r="I153" i="90" s="1"/>
  <c r="E270" i="85"/>
  <c r="D270" i="85"/>
  <c r="C270" i="85"/>
  <c r="G269" i="85"/>
  <c r="I152" i="90" s="1"/>
  <c r="E269" i="85"/>
  <c r="G152" i="90"/>
  <c r="D269" i="85"/>
  <c r="F152" i="90"/>
  <c r="C269" i="85"/>
  <c r="E152" i="90"/>
  <c r="G268" i="85"/>
  <c r="I151" i="90" s="1"/>
  <c r="E268" i="85"/>
  <c r="G151" i="90"/>
  <c r="D268" i="85"/>
  <c r="F151" i="90"/>
  <c r="C268" i="85"/>
  <c r="E151" i="90"/>
  <c r="G256" i="85"/>
  <c r="I150" i="90" s="1"/>
  <c r="E256" i="85"/>
  <c r="D256" i="85"/>
  <c r="C256" i="85"/>
  <c r="G255" i="85"/>
  <c r="I149" i="90" s="1"/>
  <c r="E255" i="85"/>
  <c r="D255" i="85"/>
  <c r="C255" i="85"/>
  <c r="E149" i="90"/>
  <c r="G254" i="85"/>
  <c r="I148" i="90" s="1"/>
  <c r="E254" i="85"/>
  <c r="G148" i="90"/>
  <c r="D254" i="85"/>
  <c r="F148" i="90"/>
  <c r="C254" i="85"/>
  <c r="G253" i="85"/>
  <c r="I147" i="90" s="1"/>
  <c r="E253" i="85"/>
  <c r="G147" i="90"/>
  <c r="D253" i="85"/>
  <c r="F147" i="90"/>
  <c r="C253" i="85"/>
  <c r="E147" i="90"/>
  <c r="G252" i="85"/>
  <c r="I146" i="90" s="1"/>
  <c r="E252" i="85"/>
  <c r="D252" i="85"/>
  <c r="C252" i="85"/>
  <c r="G251" i="85"/>
  <c r="I145" i="90" s="1"/>
  <c r="E251" i="85"/>
  <c r="D251" i="85"/>
  <c r="F145" i="90"/>
  <c r="C251" i="85"/>
  <c r="E145" i="90"/>
  <c r="G250" i="85"/>
  <c r="I144" i="90" s="1"/>
  <c r="E250" i="85"/>
  <c r="G144" i="90"/>
  <c r="D250" i="85"/>
  <c r="F144" i="90"/>
  <c r="C250" i="85"/>
  <c r="E144" i="90"/>
  <c r="G249" i="85"/>
  <c r="I143" i="90" s="1"/>
  <c r="E249" i="85"/>
  <c r="D249" i="85"/>
  <c r="C249" i="85"/>
  <c r="G248" i="85"/>
  <c r="I142" i="90" s="1"/>
  <c r="E248" i="85"/>
  <c r="D248" i="85"/>
  <c r="C248" i="85"/>
  <c r="E142" i="90"/>
  <c r="G247" i="85"/>
  <c r="I141" i="90" s="1"/>
  <c r="E247" i="85"/>
  <c r="G141" i="90"/>
  <c r="D247" i="85"/>
  <c r="F141" i="90"/>
  <c r="C247" i="85"/>
  <c r="E141" i="90"/>
  <c r="G246" i="85"/>
  <c r="I140" i="90" s="1"/>
  <c r="E246" i="85"/>
  <c r="G140" i="90"/>
  <c r="D246" i="85"/>
  <c r="F140" i="90"/>
  <c r="C246" i="85"/>
  <c r="G245" i="85"/>
  <c r="I139" i="90" s="1"/>
  <c r="E245" i="85"/>
  <c r="D245" i="85"/>
  <c r="C245" i="85"/>
  <c r="G244" i="85"/>
  <c r="I138" i="90" s="1"/>
  <c r="E244" i="85"/>
  <c r="G138" i="90"/>
  <c r="D244" i="85"/>
  <c r="F138" i="90"/>
  <c r="C244" i="85"/>
  <c r="E138" i="90"/>
  <c r="F243" i="85"/>
  <c r="H137" i="90"/>
  <c r="E243" i="85"/>
  <c r="G137" i="90"/>
  <c r="D243" i="85"/>
  <c r="F137" i="90"/>
  <c r="C243" i="85"/>
  <c r="E137" i="90"/>
  <c r="F242" i="85"/>
  <c r="H136" i="90"/>
  <c r="E242" i="85"/>
  <c r="D242" i="85"/>
  <c r="C242" i="85"/>
  <c r="G241" i="85"/>
  <c r="I135" i="90" s="1"/>
  <c r="F241" i="85"/>
  <c r="E241" i="85"/>
  <c r="D241" i="85"/>
  <c r="F135" i="90"/>
  <c r="C241" i="85"/>
  <c r="E135" i="90"/>
  <c r="G234" i="85"/>
  <c r="I134" i="90" s="1"/>
  <c r="E234" i="85"/>
  <c r="G134" i="90"/>
  <c r="D234" i="85"/>
  <c r="F134" i="90"/>
  <c r="C234" i="85"/>
  <c r="E134" i="90"/>
  <c r="G232" i="85"/>
  <c r="I133" i="90" s="1"/>
  <c r="E232" i="85"/>
  <c r="G133" i="90"/>
  <c r="D232" i="85"/>
  <c r="F133" i="90"/>
  <c r="C232" i="85"/>
  <c r="E133" i="90"/>
  <c r="G231" i="85"/>
  <c r="I132" i="90" s="1"/>
  <c r="E231" i="85"/>
  <c r="D231" i="85"/>
  <c r="C231" i="85"/>
  <c r="E132" i="90"/>
  <c r="G230" i="85"/>
  <c r="I131" i="90" s="1"/>
  <c r="F230" i="85"/>
  <c r="H131" i="90"/>
  <c r="E230" i="85"/>
  <c r="G131" i="90"/>
  <c r="D230" i="85"/>
  <c r="C230" i="85"/>
  <c r="G229" i="85"/>
  <c r="I130" i="90" s="1"/>
  <c r="F229" i="85"/>
  <c r="H130" i="90"/>
  <c r="E229" i="85"/>
  <c r="G130" i="90"/>
  <c r="D229" i="85"/>
  <c r="F130" i="90"/>
  <c r="C229" i="85"/>
  <c r="E130" i="90"/>
  <c r="G228" i="85"/>
  <c r="I129" i="90" s="1"/>
  <c r="E228" i="85"/>
  <c r="G129" i="90"/>
  <c r="D228" i="85"/>
  <c r="C228" i="85"/>
  <c r="G227" i="85"/>
  <c r="I128" i="90" s="1"/>
  <c r="E227" i="85"/>
  <c r="G128" i="90"/>
  <c r="D227" i="85"/>
  <c r="F128" i="90"/>
  <c r="C227" i="85"/>
  <c r="E128" i="90"/>
  <c r="G226" i="85"/>
  <c r="I127" i="90" s="1"/>
  <c r="E226" i="85"/>
  <c r="G127" i="90"/>
  <c r="D226" i="85"/>
  <c r="F127" i="90"/>
  <c r="C226" i="85"/>
  <c r="E127" i="90"/>
  <c r="G225" i="85"/>
  <c r="I126" i="90" s="1"/>
  <c r="E225" i="85"/>
  <c r="G126" i="90"/>
  <c r="D225" i="85"/>
  <c r="F126" i="90"/>
  <c r="C225" i="85"/>
  <c r="E126" i="90"/>
  <c r="G224" i="85"/>
  <c r="I125" i="90" s="1"/>
  <c r="E224" i="85"/>
  <c r="G125" i="90" s="1"/>
  <c r="D224" i="85"/>
  <c r="F125" i="90"/>
  <c r="C224" i="85"/>
  <c r="E125" i="90"/>
  <c r="G223" i="85"/>
  <c r="I124" i="90" s="1"/>
  <c r="E223" i="85"/>
  <c r="D223" i="85"/>
  <c r="F124" i="90"/>
  <c r="C223" i="85"/>
  <c r="E124" i="90"/>
  <c r="G222" i="85"/>
  <c r="I123" i="90" s="1"/>
  <c r="E222" i="85"/>
  <c r="D222" i="85"/>
  <c r="C222" i="85"/>
  <c r="G221" i="85"/>
  <c r="I122" i="90" s="1"/>
  <c r="E221" i="85"/>
  <c r="D221" i="85"/>
  <c r="F122" i="90"/>
  <c r="C221" i="85"/>
  <c r="E122" i="90"/>
  <c r="G220" i="85"/>
  <c r="I121" i="90" s="1"/>
  <c r="E220" i="85"/>
  <c r="G121" i="90"/>
  <c r="D220" i="85"/>
  <c r="C220" i="85"/>
  <c r="E121" i="90"/>
  <c r="G219" i="85"/>
  <c r="I120" i="90" s="1"/>
  <c r="E219" i="85"/>
  <c r="D219" i="85"/>
  <c r="C219" i="85"/>
  <c r="G214" i="85"/>
  <c r="I118" i="90" s="1"/>
  <c r="E214" i="85"/>
  <c r="G118" i="90"/>
  <c r="D214" i="85"/>
  <c r="F118" i="90"/>
  <c r="C214" i="85"/>
  <c r="E118" i="90"/>
  <c r="G213" i="85"/>
  <c r="I119" i="90" s="1"/>
  <c r="F213" i="85"/>
  <c r="E213" i="85"/>
  <c r="D213" i="85"/>
  <c r="F119" i="90" s="1"/>
  <c r="C213" i="85"/>
  <c r="G212" i="85"/>
  <c r="I116" i="90" s="1"/>
  <c r="F212" i="85"/>
  <c r="E212" i="85"/>
  <c r="G116" i="90" s="1"/>
  <c r="D212" i="85"/>
  <c r="C212" i="85"/>
  <c r="G211" i="85"/>
  <c r="I117" i="90" s="1"/>
  <c r="E211" i="85"/>
  <c r="G117" i="90"/>
  <c r="D211" i="85"/>
  <c r="C211" i="85"/>
  <c r="G210" i="85"/>
  <c r="I115" i="90" s="1"/>
  <c r="E210" i="85"/>
  <c r="G115" i="90"/>
  <c r="D210" i="85"/>
  <c r="F115" i="90"/>
  <c r="C210" i="85"/>
  <c r="E115" i="90"/>
  <c r="G206" i="85"/>
  <c r="E206" i="85"/>
  <c r="D206" i="85"/>
  <c r="C206" i="85"/>
  <c r="G205" i="85"/>
  <c r="E205" i="85"/>
  <c r="D205" i="85"/>
  <c r="C205" i="85"/>
  <c r="G201" i="85"/>
  <c r="I114" i="90" s="1"/>
  <c r="E201" i="85"/>
  <c r="D201" i="85"/>
  <c r="F114" i="90"/>
  <c r="C201" i="85"/>
  <c r="E114" i="90"/>
  <c r="G200" i="85"/>
  <c r="I113" i="90" s="1"/>
  <c r="E200" i="85"/>
  <c r="G113" i="90"/>
  <c r="D200" i="85"/>
  <c r="F113" i="90"/>
  <c r="C200" i="85"/>
  <c r="E113" i="90"/>
  <c r="G199" i="85"/>
  <c r="I112" i="90" s="1"/>
  <c r="E199" i="85"/>
  <c r="G112" i="90" s="1"/>
  <c r="D199" i="85"/>
  <c r="F112" i="90"/>
  <c r="C199" i="85"/>
  <c r="E112" i="90"/>
  <c r="G195" i="85"/>
  <c r="I111" i="90" s="1"/>
  <c r="F195" i="85"/>
  <c r="H111" i="90"/>
  <c r="E195" i="85"/>
  <c r="G111" i="90"/>
  <c r="D195" i="85"/>
  <c r="F111" i="90"/>
  <c r="C195" i="85"/>
  <c r="G194" i="85"/>
  <c r="I110" i="90" s="1"/>
  <c r="E194" i="85"/>
  <c r="G110" i="90"/>
  <c r="D194" i="85"/>
  <c r="F110" i="90"/>
  <c r="C194" i="85"/>
  <c r="E110" i="90"/>
  <c r="G193" i="85"/>
  <c r="I109" i="90" s="1"/>
  <c r="E193" i="85"/>
  <c r="G109" i="90"/>
  <c r="D193" i="85"/>
  <c r="F109" i="90"/>
  <c r="C193" i="85"/>
  <c r="E109" i="90"/>
  <c r="G192" i="85"/>
  <c r="I108" i="90" s="1"/>
  <c r="E192" i="85"/>
  <c r="G108" i="90"/>
  <c r="D192" i="85"/>
  <c r="F108" i="90"/>
  <c r="C192" i="85"/>
  <c r="E108" i="90"/>
  <c r="E191" i="85"/>
  <c r="G107" i="90"/>
  <c r="D191" i="85"/>
  <c r="F107" i="90"/>
  <c r="C191" i="85"/>
  <c r="G189" i="85"/>
  <c r="I106" i="90" s="1"/>
  <c r="E189" i="85"/>
  <c r="D189" i="85"/>
  <c r="C189" i="85"/>
  <c r="G188" i="85"/>
  <c r="I105" i="90" s="1"/>
  <c r="E188" i="85"/>
  <c r="G105" i="90"/>
  <c r="D188" i="85"/>
  <c r="F105" i="90"/>
  <c r="C188" i="85"/>
  <c r="E105" i="90"/>
  <c r="G187" i="85"/>
  <c r="I104" i="90" s="1"/>
  <c r="E187" i="85"/>
  <c r="D187" i="85"/>
  <c r="F104" i="90"/>
  <c r="C187" i="85"/>
  <c r="E104" i="90"/>
  <c r="G185" i="85"/>
  <c r="I103" i="90" s="1"/>
  <c r="E185" i="85"/>
  <c r="D185" i="85"/>
  <c r="C185" i="85"/>
  <c r="G184" i="85"/>
  <c r="I102" i="90" s="1"/>
  <c r="E184" i="85"/>
  <c r="D184" i="85"/>
  <c r="F102" i="90"/>
  <c r="C184" i="85"/>
  <c r="E102" i="90"/>
  <c r="G182" i="85"/>
  <c r="I101" i="90" s="1"/>
  <c r="E182" i="85"/>
  <c r="G101" i="90"/>
  <c r="D182" i="85"/>
  <c r="F101" i="90"/>
  <c r="C182" i="85"/>
  <c r="E101" i="90"/>
  <c r="G181" i="85"/>
  <c r="I100" i="90" s="1"/>
  <c r="E181" i="85"/>
  <c r="D181" i="85"/>
  <c r="C181" i="85"/>
  <c r="G180" i="85"/>
  <c r="I99" i="90" s="1"/>
  <c r="E180" i="85"/>
  <c r="D180" i="85"/>
  <c r="C180" i="85"/>
  <c r="E99" i="90"/>
  <c r="G178" i="85"/>
  <c r="I98" i="90" s="1"/>
  <c r="E178" i="85"/>
  <c r="G98" i="90"/>
  <c r="D178" i="85"/>
  <c r="F98" i="90"/>
  <c r="C178" i="85"/>
  <c r="E98" i="90"/>
  <c r="G177" i="85"/>
  <c r="I97" i="90" s="1"/>
  <c r="E177" i="85"/>
  <c r="G97" i="90"/>
  <c r="D177" i="85"/>
  <c r="F97" i="90"/>
  <c r="C177" i="85"/>
  <c r="E97" i="90"/>
  <c r="G176" i="85"/>
  <c r="I96" i="90" s="1"/>
  <c r="E176" i="85"/>
  <c r="D176" i="85"/>
  <c r="C176" i="85"/>
  <c r="G155" i="85"/>
  <c r="I93" i="90" s="1"/>
  <c r="E155" i="85"/>
  <c r="D155" i="85"/>
  <c r="C155" i="85"/>
  <c r="E93" i="90"/>
  <c r="G154" i="85"/>
  <c r="I92" i="90" s="1"/>
  <c r="E154" i="85"/>
  <c r="G92" i="90"/>
  <c r="D154" i="85"/>
  <c r="F92" i="90"/>
  <c r="C154" i="85"/>
  <c r="E92" i="90"/>
  <c r="G153" i="85"/>
  <c r="I91" i="90" s="1"/>
  <c r="E153" i="85"/>
  <c r="D153" i="85"/>
  <c r="C153" i="85"/>
  <c r="G152" i="85"/>
  <c r="I90" i="90" s="1"/>
  <c r="E152" i="85"/>
  <c r="D152" i="85"/>
  <c r="C152" i="85"/>
  <c r="G151" i="85"/>
  <c r="I89" i="90" s="1"/>
  <c r="E151" i="85"/>
  <c r="G89" i="90"/>
  <c r="D151" i="85"/>
  <c r="F89" i="90"/>
  <c r="C151" i="85"/>
  <c r="E89" i="90"/>
  <c r="G150" i="85"/>
  <c r="I88" i="90" s="1"/>
  <c r="E150" i="85"/>
  <c r="G88" i="90"/>
  <c r="D150" i="85"/>
  <c r="F88" i="90"/>
  <c r="C150" i="85"/>
  <c r="E88" i="90"/>
  <c r="G149" i="85"/>
  <c r="I87" i="90" s="1"/>
  <c r="F149" i="85"/>
  <c r="E149" i="85"/>
  <c r="D149" i="85"/>
  <c r="C149" i="85"/>
  <c r="F148" i="85"/>
  <c r="E148" i="85"/>
  <c r="D148" i="85"/>
  <c r="C148" i="85"/>
  <c r="G147" i="85"/>
  <c r="I85" i="90" s="1"/>
  <c r="E147" i="85"/>
  <c r="G85" i="90"/>
  <c r="D147" i="85"/>
  <c r="F85" i="90"/>
  <c r="C147" i="85"/>
  <c r="E85" i="90"/>
  <c r="G146" i="85"/>
  <c r="I84" i="90" s="1"/>
  <c r="E146" i="85"/>
  <c r="G84" i="90"/>
  <c r="D146" i="85"/>
  <c r="F84" i="90"/>
  <c r="C146" i="85"/>
  <c r="G145" i="85"/>
  <c r="I83" i="90" s="1"/>
  <c r="E145" i="85"/>
  <c r="D145" i="85"/>
  <c r="C145" i="85"/>
  <c r="G142" i="85"/>
  <c r="I82" i="90" s="1"/>
  <c r="E142" i="85"/>
  <c r="G82" i="90"/>
  <c r="D142" i="85"/>
  <c r="F82" i="90"/>
  <c r="C142" i="85"/>
  <c r="E82" i="90"/>
  <c r="G141" i="85"/>
  <c r="I81" i="90" s="1"/>
  <c r="E141" i="85"/>
  <c r="G81" i="90"/>
  <c r="D141" i="85"/>
  <c r="F81" i="90"/>
  <c r="C141" i="85"/>
  <c r="E81" i="90"/>
  <c r="G140" i="85"/>
  <c r="I80" i="90" s="1"/>
  <c r="E140" i="85"/>
  <c r="G80" i="90"/>
  <c r="D140" i="85"/>
  <c r="F80" i="90"/>
  <c r="C140" i="85"/>
  <c r="G139" i="85"/>
  <c r="I79" i="90" s="1"/>
  <c r="E139" i="85"/>
  <c r="G79" i="90"/>
  <c r="D139" i="85"/>
  <c r="F79" i="90"/>
  <c r="C139" i="85"/>
  <c r="E79" i="90"/>
  <c r="G132" i="85"/>
  <c r="I78" i="90" s="1"/>
  <c r="E132" i="85"/>
  <c r="D132" i="85"/>
  <c r="F78" i="90"/>
  <c r="C132" i="85"/>
  <c r="E78" i="90"/>
  <c r="G131" i="85"/>
  <c r="I77" i="90" s="1"/>
  <c r="E131" i="85"/>
  <c r="G77" i="90"/>
  <c r="D131" i="85"/>
  <c r="F77" i="90"/>
  <c r="C131" i="85"/>
  <c r="E77" i="90"/>
  <c r="G130" i="85"/>
  <c r="I76" i="90" s="1"/>
  <c r="E130" i="85"/>
  <c r="D130" i="85"/>
  <c r="F76" i="90"/>
  <c r="C130" i="85"/>
  <c r="E76" i="90"/>
  <c r="G129" i="85"/>
  <c r="I75" i="90" s="1"/>
  <c r="E129" i="85"/>
  <c r="G75" i="90"/>
  <c r="D129" i="85"/>
  <c r="F75" i="90"/>
  <c r="C129" i="85"/>
  <c r="E75" i="90"/>
  <c r="G128" i="85"/>
  <c r="I74" i="90" s="1"/>
  <c r="F128" i="85"/>
  <c r="H74" i="90"/>
  <c r="E128" i="85"/>
  <c r="G74" i="90"/>
  <c r="D128" i="85"/>
  <c r="F74" i="90"/>
  <c r="C128" i="85"/>
  <c r="E74" i="90"/>
  <c r="G127" i="85"/>
  <c r="I73" i="90" s="1"/>
  <c r="E127" i="85"/>
  <c r="G73" i="90"/>
  <c r="D127" i="85"/>
  <c r="F73" i="90"/>
  <c r="C127" i="85"/>
  <c r="E73" i="90"/>
  <c r="G126" i="85"/>
  <c r="I72" i="90" s="1"/>
  <c r="E126" i="85"/>
  <c r="G72" i="90"/>
  <c r="D126" i="85"/>
  <c r="F72" i="90"/>
  <c r="C126" i="85"/>
  <c r="E72" i="90"/>
  <c r="G125" i="85"/>
  <c r="I71" i="90" s="1"/>
  <c r="E125" i="85"/>
  <c r="G71" i="90"/>
  <c r="D125" i="85"/>
  <c r="F71" i="90"/>
  <c r="C125" i="85"/>
  <c r="G124" i="85"/>
  <c r="I70" i="90" s="1"/>
  <c r="E124" i="85"/>
  <c r="D124" i="85"/>
  <c r="C124" i="85"/>
  <c r="G123" i="85"/>
  <c r="I69" i="90" s="1"/>
  <c r="E123" i="85"/>
  <c r="G69" i="90"/>
  <c r="D123" i="85"/>
  <c r="F69" i="90"/>
  <c r="C123" i="85"/>
  <c r="E69" i="90"/>
  <c r="F122" i="85"/>
  <c r="H68" i="90"/>
  <c r="E122" i="85"/>
  <c r="D122" i="85"/>
  <c r="C122" i="85"/>
  <c r="E68" i="90"/>
  <c r="G121" i="85"/>
  <c r="I67" i="90" s="1"/>
  <c r="F121" i="85"/>
  <c r="H67" i="90"/>
  <c r="E121" i="85"/>
  <c r="D121" i="85"/>
  <c r="C121" i="85"/>
  <c r="G120" i="85"/>
  <c r="I66" i="90" s="1"/>
  <c r="F120" i="85"/>
  <c r="E120" i="85"/>
  <c r="D120" i="85"/>
  <c r="F66" i="90"/>
  <c r="C120" i="85"/>
  <c r="E66" i="90"/>
  <c r="G119" i="85"/>
  <c r="I65" i="90" s="1"/>
  <c r="E119" i="85"/>
  <c r="G65" i="90"/>
  <c r="D119" i="85"/>
  <c r="F65" i="90"/>
  <c r="C119" i="85"/>
  <c r="G115" i="85"/>
  <c r="I64" i="90" s="1"/>
  <c r="E115" i="85"/>
  <c r="G64" i="90"/>
  <c r="D115" i="85"/>
  <c r="F64" i="90"/>
  <c r="C115" i="85"/>
  <c r="G114" i="85"/>
  <c r="I63" i="90" s="1"/>
  <c r="E114" i="85"/>
  <c r="D114" i="85"/>
  <c r="C114" i="85"/>
  <c r="G113" i="85"/>
  <c r="I62" i="90" s="1"/>
  <c r="E113" i="85"/>
  <c r="G62" i="90"/>
  <c r="D113" i="85"/>
  <c r="F62" i="90"/>
  <c r="C113" i="85"/>
  <c r="E62" i="90"/>
  <c r="G112" i="85"/>
  <c r="I61" i="90" s="1"/>
  <c r="E112" i="85"/>
  <c r="G61" i="90"/>
  <c r="D112" i="85"/>
  <c r="F61" i="90"/>
  <c r="C112" i="85"/>
  <c r="G111" i="85"/>
  <c r="I60" i="90" s="1"/>
  <c r="E111" i="85"/>
  <c r="D111" i="85"/>
  <c r="C111" i="85"/>
  <c r="G110" i="85"/>
  <c r="I59" i="90" s="1"/>
  <c r="E110" i="85"/>
  <c r="D110" i="85"/>
  <c r="F59" i="90"/>
  <c r="C110" i="85"/>
  <c r="E59" i="90"/>
  <c r="G109" i="85"/>
  <c r="I58" i="90" s="1"/>
  <c r="E109" i="85"/>
  <c r="G58" i="90"/>
  <c r="D109" i="85"/>
  <c r="F58" i="90"/>
  <c r="C109" i="85"/>
  <c r="E58" i="90"/>
  <c r="G108" i="85"/>
  <c r="I57" i="90" s="1"/>
  <c r="E108" i="85"/>
  <c r="G57" i="90"/>
  <c r="D108" i="85"/>
  <c r="C108" i="85"/>
  <c r="G107" i="85"/>
  <c r="I56" i="90" s="1"/>
  <c r="E107" i="85"/>
  <c r="D107" i="85"/>
  <c r="F56" i="90"/>
  <c r="C107" i="85"/>
  <c r="E56" i="90"/>
  <c r="G106" i="85"/>
  <c r="I55" i="90" s="1"/>
  <c r="E106" i="85"/>
  <c r="D106" i="85"/>
  <c r="C106" i="85"/>
  <c r="E55" i="90"/>
  <c r="G105" i="85"/>
  <c r="I54" i="90" s="1"/>
  <c r="E105" i="85"/>
  <c r="G54" i="90"/>
  <c r="D105" i="85"/>
  <c r="F54" i="90"/>
  <c r="C105" i="85"/>
  <c r="E54" i="90"/>
  <c r="G104" i="85"/>
  <c r="I53" i="90" s="1"/>
  <c r="E104" i="85"/>
  <c r="D104" i="85"/>
  <c r="C104" i="85"/>
  <c r="E53" i="90"/>
  <c r="G103" i="85"/>
  <c r="I52" i="90" s="1"/>
  <c r="E103" i="85"/>
  <c r="G52" i="90"/>
  <c r="D103" i="85"/>
  <c r="F52" i="90"/>
  <c r="C103" i="85"/>
  <c r="E52" i="90"/>
  <c r="G99" i="85"/>
  <c r="I51" i="90" s="1"/>
  <c r="E99" i="85"/>
  <c r="D99" i="85"/>
  <c r="C99" i="85"/>
  <c r="G98" i="85"/>
  <c r="I50" i="90" s="1"/>
  <c r="E98" i="85"/>
  <c r="D98" i="85"/>
  <c r="F50" i="90"/>
  <c r="C98" i="85"/>
  <c r="E50" i="90"/>
  <c r="G97" i="85"/>
  <c r="I49" i="90" s="1"/>
  <c r="E97" i="85"/>
  <c r="G49" i="90"/>
  <c r="D97" i="85"/>
  <c r="F49" i="90"/>
  <c r="C97" i="85"/>
  <c r="G96" i="85"/>
  <c r="I48" i="90" s="1"/>
  <c r="F96" i="85"/>
  <c r="E96" i="85"/>
  <c r="G48" i="90"/>
  <c r="D96" i="85"/>
  <c r="F48" i="90"/>
  <c r="C96" i="85"/>
  <c r="G92" i="85"/>
  <c r="I47" i="90" s="1"/>
  <c r="F92" i="85"/>
  <c r="E92" i="85"/>
  <c r="D92" i="85"/>
  <c r="C92" i="85"/>
  <c r="G91" i="85"/>
  <c r="I46" i="90" s="1"/>
  <c r="E91" i="85"/>
  <c r="G46" i="90"/>
  <c r="D91" i="85"/>
  <c r="F46" i="90"/>
  <c r="C91" i="85"/>
  <c r="E46" i="90"/>
  <c r="G90" i="85"/>
  <c r="I45" i="90" s="1"/>
  <c r="E90" i="85"/>
  <c r="D90" i="85"/>
  <c r="C90" i="85"/>
  <c r="E45" i="90"/>
  <c r="G89" i="85"/>
  <c r="I44" i="90" s="1"/>
  <c r="E89" i="85"/>
  <c r="D89" i="85"/>
  <c r="C89" i="85"/>
  <c r="G88" i="85"/>
  <c r="I43" i="90" s="1"/>
  <c r="E88" i="85"/>
  <c r="D88" i="85"/>
  <c r="C88" i="85"/>
  <c r="E43" i="90"/>
  <c r="G87" i="85"/>
  <c r="I42" i="90" s="1"/>
  <c r="E87" i="85"/>
  <c r="G42" i="90"/>
  <c r="D87" i="85"/>
  <c r="F42" i="90"/>
  <c r="C87" i="85"/>
  <c r="E42" i="90"/>
  <c r="G85" i="85"/>
  <c r="I41" i="90"/>
  <c r="G75" i="85"/>
  <c r="F75" i="85"/>
  <c r="E75" i="85"/>
  <c r="G73" i="85"/>
  <c r="I39" i="90" s="1"/>
  <c r="F73" i="85"/>
  <c r="H39" i="90"/>
  <c r="E73" i="85"/>
  <c r="G39" i="90"/>
  <c r="D73" i="85"/>
  <c r="C73" i="85"/>
  <c r="E39" i="90"/>
  <c r="G72" i="85"/>
  <c r="I38" i="90" s="1"/>
  <c r="F72" i="85"/>
  <c r="H38" i="90"/>
  <c r="E72" i="85"/>
  <c r="G38" i="90"/>
  <c r="D72" i="85"/>
  <c r="F38" i="90"/>
  <c r="C72" i="85"/>
  <c r="E38" i="90"/>
  <c r="G71" i="85"/>
  <c r="I37" i="90" s="1"/>
  <c r="F71" i="85"/>
  <c r="H37" i="90"/>
  <c r="E71" i="85"/>
  <c r="D71" i="85"/>
  <c r="C71" i="85"/>
  <c r="G70" i="85"/>
  <c r="I36" i="90" s="1"/>
  <c r="F70" i="85"/>
  <c r="E70" i="85"/>
  <c r="D70" i="85"/>
  <c r="C70" i="85"/>
  <c r="G69" i="85"/>
  <c r="I35" i="90" s="1"/>
  <c r="F69" i="85"/>
  <c r="H35" i="90"/>
  <c r="E69" i="85"/>
  <c r="G35" i="90"/>
  <c r="D69" i="85"/>
  <c r="F35" i="90"/>
  <c r="C69" i="85"/>
  <c r="E35" i="90"/>
  <c r="G68" i="85"/>
  <c r="I34" i="90" s="1"/>
  <c r="E68" i="85"/>
  <c r="G34" i="90"/>
  <c r="D68" i="85"/>
  <c r="F34" i="90"/>
  <c r="C68" i="85"/>
  <c r="G67" i="85"/>
  <c r="I33" i="90" s="1"/>
  <c r="E67" i="85"/>
  <c r="D67" i="85"/>
  <c r="C67" i="85"/>
  <c r="G66" i="85"/>
  <c r="I32" i="90" s="1"/>
  <c r="F66" i="85"/>
  <c r="H32" i="90"/>
  <c r="E66" i="85"/>
  <c r="D66" i="85"/>
  <c r="F32" i="90"/>
  <c r="C66" i="85"/>
  <c r="E32" i="90"/>
  <c r="G65" i="85"/>
  <c r="I31" i="90" s="1"/>
  <c r="F65" i="85"/>
  <c r="H31" i="90"/>
  <c r="E65" i="85"/>
  <c r="G31" i="90"/>
  <c r="D65" i="85"/>
  <c r="F31" i="90"/>
  <c r="C65" i="85"/>
  <c r="E31" i="90"/>
  <c r="G64" i="85"/>
  <c r="I30" i="90" s="1"/>
  <c r="F64" i="85"/>
  <c r="E64" i="85"/>
  <c r="D64" i="85"/>
  <c r="C64" i="85"/>
  <c r="G63" i="85"/>
  <c r="I29" i="90" s="1"/>
  <c r="E63" i="85"/>
  <c r="G29" i="90"/>
  <c r="D63" i="85"/>
  <c r="F29" i="90"/>
  <c r="C63" i="85"/>
  <c r="G62" i="85"/>
  <c r="E62" i="85"/>
  <c r="D62" i="85"/>
  <c r="C62" i="85"/>
  <c r="G61" i="85"/>
  <c r="I27" i="90" s="1"/>
  <c r="E61" i="85"/>
  <c r="G27" i="90"/>
  <c r="D61" i="85"/>
  <c r="F27" i="90"/>
  <c r="C61" i="85"/>
  <c r="E27" i="90"/>
  <c r="G60" i="85"/>
  <c r="I26" i="90" s="1"/>
  <c r="E60" i="85"/>
  <c r="D60" i="85"/>
  <c r="C60" i="85"/>
  <c r="G59" i="85"/>
  <c r="I25" i="90" s="1"/>
  <c r="E59" i="85"/>
  <c r="G25" i="90"/>
  <c r="D59" i="85"/>
  <c r="C59" i="85"/>
  <c r="G58" i="85"/>
  <c r="I24" i="90" s="1"/>
  <c r="E58" i="85"/>
  <c r="G24" i="90"/>
  <c r="D58" i="85"/>
  <c r="F24" i="90"/>
  <c r="C58" i="85"/>
  <c r="E24" i="90"/>
  <c r="G57" i="85"/>
  <c r="I23" i="90" s="1"/>
  <c r="E57" i="85"/>
  <c r="G23" i="90"/>
  <c r="D57" i="85"/>
  <c r="F23" i="90"/>
  <c r="C57" i="85"/>
  <c r="E23" i="90"/>
  <c r="G48" i="85"/>
  <c r="I22" i="90" s="1"/>
  <c r="E48" i="85"/>
  <c r="D48" i="85"/>
  <c r="F22" i="90"/>
  <c r="C48" i="85"/>
  <c r="G47" i="85"/>
  <c r="I21" i="90" s="1"/>
  <c r="F47" i="85"/>
  <c r="H21" i="90"/>
  <c r="E47" i="85"/>
  <c r="G21" i="90"/>
  <c r="D47" i="85"/>
  <c r="F21" i="90"/>
  <c r="C47" i="85"/>
  <c r="E21" i="90"/>
  <c r="G46" i="85"/>
  <c r="I20" i="90" s="1"/>
  <c r="E46" i="85"/>
  <c r="D46" i="85"/>
  <c r="C46" i="85"/>
  <c r="E20" i="90"/>
  <c r="G45" i="85"/>
  <c r="I19" i="90" s="1"/>
  <c r="E45" i="85"/>
  <c r="G19" i="90"/>
  <c r="D45" i="85"/>
  <c r="F19" i="90"/>
  <c r="C45" i="85"/>
  <c r="E19" i="90"/>
  <c r="G44" i="85"/>
  <c r="I18" i="90" s="1"/>
  <c r="E44" i="85"/>
  <c r="D44" i="85"/>
  <c r="F18" i="90"/>
  <c r="C44" i="85"/>
  <c r="E18" i="90"/>
  <c r="G43" i="85"/>
  <c r="I17" i="90" s="1"/>
  <c r="E43" i="85"/>
  <c r="D43" i="85"/>
  <c r="C43" i="85"/>
  <c r="G42" i="85"/>
  <c r="I16" i="90" s="1"/>
  <c r="E42" i="85"/>
  <c r="D42" i="85"/>
  <c r="F16" i="90"/>
  <c r="C42" i="85"/>
  <c r="E16" i="90"/>
  <c r="G41" i="85"/>
  <c r="I15" i="90" s="1"/>
  <c r="E41" i="85"/>
  <c r="G15" i="90"/>
  <c r="D41" i="85"/>
  <c r="F15" i="90"/>
  <c r="C41" i="85"/>
  <c r="E15" i="90"/>
  <c r="G40" i="85"/>
  <c r="I14" i="90" s="1"/>
  <c r="E40" i="85"/>
  <c r="D40" i="85"/>
  <c r="C40" i="85"/>
  <c r="G39" i="85"/>
  <c r="I13" i="90" s="1"/>
  <c r="E39" i="85"/>
  <c r="D39" i="85"/>
  <c r="C39" i="85"/>
  <c r="E13" i="90"/>
  <c r="G38" i="85"/>
  <c r="I12" i="90" s="1"/>
  <c r="E38" i="85"/>
  <c r="G12" i="90"/>
  <c r="D38" i="85"/>
  <c r="F12" i="90"/>
  <c r="C38" i="85"/>
  <c r="E12" i="90"/>
  <c r="G37" i="85"/>
  <c r="I11" i="90" s="1"/>
  <c r="E37" i="85"/>
  <c r="G11" i="90"/>
  <c r="D37" i="85"/>
  <c r="F11" i="90"/>
  <c r="C37" i="85"/>
  <c r="G33" i="85"/>
  <c r="F33" i="85"/>
  <c r="H28" i="90"/>
  <c r="E33" i="85"/>
  <c r="D33" i="85"/>
  <c r="C33" i="85"/>
  <c r="E28" i="90"/>
  <c r="G29" i="85"/>
  <c r="I9" i="90" s="1"/>
  <c r="F29" i="85"/>
  <c r="E29" i="85"/>
  <c r="G9" i="90"/>
  <c r="D29" i="85"/>
  <c r="F9" i="90"/>
  <c r="C29" i="85"/>
  <c r="E9" i="90"/>
  <c r="G25" i="85"/>
  <c r="I8" i="90" s="1"/>
  <c r="F25" i="85"/>
  <c r="H8" i="90"/>
  <c r="E25" i="85"/>
  <c r="G8" i="90"/>
  <c r="D25" i="85"/>
  <c r="F8" i="90"/>
  <c r="C25" i="85"/>
  <c r="E8" i="90"/>
  <c r="G24" i="85"/>
  <c r="I7" i="90" s="1"/>
  <c r="F24" i="85"/>
  <c r="E24" i="85"/>
  <c r="D24" i="85"/>
  <c r="F7" i="90"/>
  <c r="C24" i="85"/>
  <c r="G23" i="85"/>
  <c r="I6" i="90" s="1"/>
  <c r="F23" i="85"/>
  <c r="E23" i="85"/>
  <c r="D23" i="85"/>
  <c r="F6" i="90"/>
  <c r="C23" i="85"/>
  <c r="E6" i="90"/>
  <c r="G22" i="85"/>
  <c r="I5" i="90" s="1"/>
  <c r="F22" i="85"/>
  <c r="H5" i="90"/>
  <c r="E22" i="85"/>
  <c r="G5" i="90"/>
  <c r="D22" i="85"/>
  <c r="F5" i="90"/>
  <c r="C22" i="85"/>
  <c r="E5" i="90"/>
  <c r="G18" i="85"/>
  <c r="I4" i="90" s="1"/>
  <c r="F18" i="85"/>
  <c r="H4" i="90"/>
  <c r="E18" i="85"/>
  <c r="D18" i="85"/>
  <c r="C18" i="85"/>
  <c r="G17" i="85"/>
  <c r="I3" i="90" s="1"/>
  <c r="F17" i="85"/>
  <c r="E17" i="85"/>
  <c r="D17" i="85"/>
  <c r="C17" i="85"/>
  <c r="G16" i="85"/>
  <c r="I2" i="90" s="1"/>
  <c r="F16" i="85"/>
  <c r="E16" i="85"/>
  <c r="G2" i="90"/>
  <c r="D16" i="85"/>
  <c r="F2" i="90"/>
  <c r="C16" i="85"/>
  <c r="E2" i="90"/>
  <c r="E7" i="85"/>
  <c r="D7" i="85"/>
  <c r="E6" i="85"/>
  <c r="H10" i="85"/>
  <c r="I10" i="85"/>
  <c r="D6" i="85"/>
  <c r="E5" i="85"/>
  <c r="D5" i="85"/>
  <c r="A3" i="85"/>
  <c r="A2" i="85"/>
  <c r="A1" i="85"/>
  <c r="F7" i="78"/>
  <c r="E7" i="78"/>
  <c r="E4" i="76"/>
  <c r="E4" i="70"/>
  <c r="C37" i="77"/>
  <c r="E376" i="80"/>
  <c r="E375" i="80"/>
  <c r="E374" i="80"/>
  <c r="E373" i="80"/>
  <c r="E372" i="80"/>
  <c r="E371" i="80"/>
  <c r="E370" i="80"/>
  <c r="E376" i="79"/>
  <c r="E375" i="79"/>
  <c r="E374" i="79"/>
  <c r="E373" i="79"/>
  <c r="E372" i="79"/>
  <c r="E371" i="79"/>
  <c r="E370" i="79"/>
  <c r="K429" i="80"/>
  <c r="K425" i="80"/>
  <c r="K424" i="80"/>
  <c r="K429" i="79"/>
  <c r="K425" i="79"/>
  <c r="K424" i="79"/>
  <c r="K376" i="80"/>
  <c r="K375" i="80"/>
  <c r="K374" i="80"/>
  <c r="K373" i="80"/>
  <c r="K372" i="80"/>
  <c r="K371" i="80"/>
  <c r="K370" i="80"/>
  <c r="K376" i="79"/>
  <c r="K375" i="79"/>
  <c r="K374" i="79"/>
  <c r="K373" i="79"/>
  <c r="K372" i="79"/>
  <c r="K371" i="79"/>
  <c r="K370" i="79"/>
  <c r="G85" i="80"/>
  <c r="G85" i="79"/>
  <c r="F9" i="70"/>
  <c r="B16" i="69"/>
  <c r="D20" i="77"/>
  <c r="D24" i="77" s="1"/>
  <c r="C20" i="77"/>
  <c r="C24" i="77"/>
  <c r="D41" i="84"/>
  <c r="D42" i="84" s="1"/>
  <c r="O60" i="76"/>
  <c r="N60" i="76"/>
  <c r="M60" i="76"/>
  <c r="O53" i="76"/>
  <c r="N53" i="76"/>
  <c r="M53" i="76"/>
  <c r="F109" i="36"/>
  <c r="H30" i="32"/>
  <c r="H85" i="85"/>
  <c r="J41" i="90"/>
  <c r="H85" i="80"/>
  <c r="H85" i="79"/>
  <c r="Y4" i="76"/>
  <c r="X4" i="76"/>
  <c r="W4" i="76"/>
  <c r="V4" i="76"/>
  <c r="U4" i="76"/>
  <c r="T4" i="76"/>
  <c r="S4" i="76"/>
  <c r="R4" i="76"/>
  <c r="Q4" i="76"/>
  <c r="P4" i="76"/>
  <c r="O4" i="76"/>
  <c r="N4" i="76"/>
  <c r="M4" i="76"/>
  <c r="L4" i="76"/>
  <c r="K4" i="76"/>
  <c r="J4" i="76"/>
  <c r="I4" i="76"/>
  <c r="H4" i="76"/>
  <c r="G4" i="76"/>
  <c r="F4" i="76"/>
  <c r="B1" i="70"/>
  <c r="B9" i="84"/>
  <c r="Y60" i="76"/>
  <c r="X60" i="76"/>
  <c r="W60" i="76"/>
  <c r="V60" i="76"/>
  <c r="U60" i="76"/>
  <c r="T60" i="76"/>
  <c r="S60" i="76"/>
  <c r="R60" i="76"/>
  <c r="Q60" i="76"/>
  <c r="P60" i="76"/>
  <c r="Y53" i="76"/>
  <c r="X53" i="76"/>
  <c r="W53" i="76"/>
  <c r="V53" i="76"/>
  <c r="U53" i="76"/>
  <c r="T53" i="76"/>
  <c r="S53" i="76"/>
  <c r="R53" i="76"/>
  <c r="Q53" i="76"/>
  <c r="P53" i="76"/>
  <c r="Y43" i="76"/>
  <c r="X43" i="76"/>
  <c r="W43" i="76"/>
  <c r="V43" i="76"/>
  <c r="U43" i="76"/>
  <c r="T43" i="76"/>
  <c r="S43" i="76"/>
  <c r="R43" i="76"/>
  <c r="Q43" i="76"/>
  <c r="P43" i="76"/>
  <c r="O43" i="76"/>
  <c r="N43" i="76"/>
  <c r="M43" i="76"/>
  <c r="Y33" i="76"/>
  <c r="X33" i="76"/>
  <c r="W33" i="76"/>
  <c r="V33" i="76"/>
  <c r="U33" i="76"/>
  <c r="T33" i="76"/>
  <c r="S33" i="76"/>
  <c r="R33" i="76"/>
  <c r="Q33" i="76"/>
  <c r="P33" i="76"/>
  <c r="O33" i="76"/>
  <c r="N33" i="76"/>
  <c r="M33" i="76"/>
  <c r="Y26" i="76"/>
  <c r="X26" i="76"/>
  <c r="W26" i="76"/>
  <c r="V26" i="76"/>
  <c r="U26" i="76"/>
  <c r="T26" i="76"/>
  <c r="S26" i="76"/>
  <c r="R26" i="76"/>
  <c r="Q26" i="76"/>
  <c r="P26" i="76"/>
  <c r="O26" i="76"/>
  <c r="N26" i="76"/>
  <c r="M26" i="76"/>
  <c r="Y20" i="76"/>
  <c r="X20" i="76"/>
  <c r="W20" i="76"/>
  <c r="V20" i="76"/>
  <c r="U20" i="76"/>
  <c r="T20" i="76"/>
  <c r="S20" i="76"/>
  <c r="R20" i="76"/>
  <c r="Q20" i="76"/>
  <c r="P20" i="76"/>
  <c r="O20" i="76"/>
  <c r="N20" i="76"/>
  <c r="M20" i="76"/>
  <c r="Y13" i="76"/>
  <c r="X13" i="76"/>
  <c r="W13" i="76"/>
  <c r="V13" i="76"/>
  <c r="U13" i="76"/>
  <c r="T13" i="76"/>
  <c r="S13" i="76"/>
  <c r="R13" i="76"/>
  <c r="Q13" i="76"/>
  <c r="P13" i="76"/>
  <c r="O13" i="76"/>
  <c r="N13" i="76"/>
  <c r="M13" i="76"/>
  <c r="C56" i="82"/>
  <c r="C55" i="82"/>
  <c r="C72" i="82"/>
  <c r="C71" i="82"/>
  <c r="C70" i="82"/>
  <c r="C69" i="82"/>
  <c r="C35" i="82"/>
  <c r="C72" i="35"/>
  <c r="C71" i="35"/>
  <c r="C70" i="35"/>
  <c r="C69" i="35"/>
  <c r="C35" i="35"/>
  <c r="W41" i="84"/>
  <c r="W42" i="84" s="1"/>
  <c r="U41" i="84"/>
  <c r="U42" i="84" s="1"/>
  <c r="T41" i="84"/>
  <c r="T42" i="84" s="1"/>
  <c r="S41" i="84"/>
  <c r="S42" i="84" s="1"/>
  <c r="R41" i="84"/>
  <c r="R42" i="84" s="1"/>
  <c r="Q41" i="84"/>
  <c r="Q42" i="84" s="1"/>
  <c r="P41" i="84"/>
  <c r="P42" i="84" s="1"/>
  <c r="O41" i="84"/>
  <c r="O42" i="84" s="1"/>
  <c r="N41" i="84"/>
  <c r="N42" i="84" s="1"/>
  <c r="M41" i="84"/>
  <c r="M42" i="84" s="1"/>
  <c r="L41" i="84"/>
  <c r="L42" i="84" s="1"/>
  <c r="K41" i="84"/>
  <c r="K42" i="84" s="1"/>
  <c r="J41" i="84"/>
  <c r="J42" i="84" s="1"/>
  <c r="I41" i="84"/>
  <c r="I42" i="84" s="1"/>
  <c r="H41" i="84"/>
  <c r="H42" i="84" s="1"/>
  <c r="G41" i="84"/>
  <c r="G42" i="84" s="1"/>
  <c r="F41" i="84"/>
  <c r="F42" i="84" s="1"/>
  <c r="E41" i="84"/>
  <c r="E42" i="84" s="1"/>
  <c r="C41" i="84"/>
  <c r="C42" i="84"/>
  <c r="B34" i="83"/>
  <c r="B33" i="83"/>
  <c r="AA33" i="83" s="1"/>
  <c r="B29" i="83"/>
  <c r="B18" i="83"/>
  <c r="AA18" i="83" s="1"/>
  <c r="B15" i="83"/>
  <c r="C9" i="84"/>
  <c r="AE40" i="84"/>
  <c r="AE39" i="84"/>
  <c r="AE38" i="84"/>
  <c r="AE37" i="84"/>
  <c r="AE36" i="84"/>
  <c r="AE35" i="84"/>
  <c r="AE34" i="84"/>
  <c r="AE32" i="84"/>
  <c r="B29" i="77" s="1"/>
  <c r="B31" i="77" s="1"/>
  <c r="AE31" i="84"/>
  <c r="B18" i="77" s="1"/>
  <c r="AE27" i="84"/>
  <c r="AE26" i="84"/>
  <c r="AE25" i="84"/>
  <c r="AE24" i="84"/>
  <c r="AE22" i="84"/>
  <c r="B15" i="77" s="1"/>
  <c r="AE17" i="84"/>
  <c r="B17" i="83"/>
  <c r="C29" i="84"/>
  <c r="AE28" i="84"/>
  <c r="B17" i="77" s="1"/>
  <c r="B29" i="78"/>
  <c r="H29" i="26"/>
  <c r="H189" i="85" s="1"/>
  <c r="J106" i="90" s="1"/>
  <c r="H28" i="26"/>
  <c r="H188" i="85" s="1"/>
  <c r="J105" i="90" s="1"/>
  <c r="H27" i="26"/>
  <c r="H187" i="85" s="1"/>
  <c r="J104" i="90" s="1"/>
  <c r="F29" i="78"/>
  <c r="E29" i="78"/>
  <c r="D29" i="78"/>
  <c r="C29" i="78"/>
  <c r="F28" i="78"/>
  <c r="E28" i="78"/>
  <c r="D28" i="78"/>
  <c r="C28" i="78"/>
  <c r="J52" i="26"/>
  <c r="J212" i="85" s="1"/>
  <c r="L116" i="90" s="1"/>
  <c r="I52" i="26"/>
  <c r="H212" i="80"/>
  <c r="B9" i="69"/>
  <c r="B11" i="69" s="1"/>
  <c r="C11" i="69" s="1"/>
  <c r="D11" i="69" s="1"/>
  <c r="E11" i="69" s="1"/>
  <c r="F11" i="69" s="1"/>
  <c r="G11" i="69" s="1"/>
  <c r="D42" i="7"/>
  <c r="H348" i="79" s="1"/>
  <c r="B5" i="69"/>
  <c r="K43" i="7"/>
  <c r="J43" i="7"/>
  <c r="K40" i="7"/>
  <c r="K41" i="7" s="1"/>
  <c r="I40" i="7"/>
  <c r="K39" i="7"/>
  <c r="J39" i="7"/>
  <c r="J41" i="7"/>
  <c r="I39" i="7"/>
  <c r="H39" i="7"/>
  <c r="H41" i="7"/>
  <c r="H42" i="7"/>
  <c r="K42" i="7"/>
  <c r="J42" i="7"/>
  <c r="J44" i="7"/>
  <c r="I42" i="7"/>
  <c r="I41" i="7"/>
  <c r="I44" i="7" s="1"/>
  <c r="AA37" i="83"/>
  <c r="AA35" i="83"/>
  <c r="AA34" i="83"/>
  <c r="AA29" i="83"/>
  <c r="AA21" i="83"/>
  <c r="Z20" i="83"/>
  <c r="Z24" i="83"/>
  <c r="Y20" i="83"/>
  <c r="Y24" i="83"/>
  <c r="X20" i="83"/>
  <c r="X24" i="83"/>
  <c r="W20" i="83"/>
  <c r="W24" i="83"/>
  <c r="V20" i="83"/>
  <c r="V24" i="83"/>
  <c r="U20" i="83"/>
  <c r="U24" i="83"/>
  <c r="T20" i="83"/>
  <c r="T24" i="83"/>
  <c r="S20" i="83"/>
  <c r="S24" i="83"/>
  <c r="R20" i="83"/>
  <c r="R24" i="83"/>
  <c r="Q20" i="83"/>
  <c r="Q24" i="83"/>
  <c r="P20" i="83"/>
  <c r="P24" i="83"/>
  <c r="O20" i="83"/>
  <c r="O24" i="83"/>
  <c r="N20" i="83"/>
  <c r="N24" i="83"/>
  <c r="M20" i="83"/>
  <c r="M24" i="83"/>
  <c r="L20" i="83"/>
  <c r="L24" i="83"/>
  <c r="K20" i="83"/>
  <c r="K24" i="83"/>
  <c r="J20" i="83"/>
  <c r="J24" i="83"/>
  <c r="I20" i="83"/>
  <c r="I24" i="83"/>
  <c r="H20" i="83"/>
  <c r="H24" i="83"/>
  <c r="G20" i="83"/>
  <c r="G24" i="83"/>
  <c r="F20" i="83"/>
  <c r="F24" i="83"/>
  <c r="E20" i="83"/>
  <c r="E24" i="83"/>
  <c r="D20" i="83"/>
  <c r="D24" i="83"/>
  <c r="C20" i="83"/>
  <c r="AA15" i="83"/>
  <c r="Z11" i="83"/>
  <c r="Y11" i="83"/>
  <c r="X11" i="83"/>
  <c r="W11" i="83"/>
  <c r="V11" i="83"/>
  <c r="U11" i="83"/>
  <c r="T11" i="83"/>
  <c r="S11" i="83"/>
  <c r="R11" i="83"/>
  <c r="Q11" i="83"/>
  <c r="P11" i="83"/>
  <c r="O11" i="83"/>
  <c r="N11" i="83"/>
  <c r="M11" i="83"/>
  <c r="L11" i="83"/>
  <c r="K11" i="83"/>
  <c r="J11" i="83"/>
  <c r="I11" i="83"/>
  <c r="H11" i="83"/>
  <c r="G11" i="83"/>
  <c r="F11" i="83"/>
  <c r="E11" i="83"/>
  <c r="D11" i="83"/>
  <c r="C11" i="83"/>
  <c r="B11" i="83"/>
  <c r="B8" i="83"/>
  <c r="A8" i="83"/>
  <c r="A7" i="83"/>
  <c r="H87" i="82"/>
  <c r="K87" i="82"/>
  <c r="K86" i="82"/>
  <c r="H86" i="82"/>
  <c r="H85" i="82"/>
  <c r="K85" i="82"/>
  <c r="H84" i="82"/>
  <c r="K84" i="82"/>
  <c r="H83" i="82"/>
  <c r="K83" i="82"/>
  <c r="H82" i="82"/>
  <c r="K82" i="82"/>
  <c r="H81" i="82"/>
  <c r="K81" i="82"/>
  <c r="H80" i="82"/>
  <c r="K80" i="82"/>
  <c r="H79" i="82"/>
  <c r="K79" i="82"/>
  <c r="H78" i="82"/>
  <c r="K78" i="82"/>
  <c r="R64" i="82"/>
  <c r="Q64" i="82"/>
  <c r="D56" i="82"/>
  <c r="D55" i="82"/>
  <c r="D54" i="82"/>
  <c r="D45" i="82"/>
  <c r="D44" i="82"/>
  <c r="D43" i="82"/>
  <c r="Q43" i="82" s="1"/>
  <c r="D42" i="82"/>
  <c r="D36" i="82"/>
  <c r="D35" i="82"/>
  <c r="D34" i="82"/>
  <c r="D72" i="82" s="1"/>
  <c r="D33" i="82"/>
  <c r="D71" i="82" s="1"/>
  <c r="D32" i="82"/>
  <c r="D31" i="82"/>
  <c r="D30" i="82"/>
  <c r="D29" i="82"/>
  <c r="D28" i="82"/>
  <c r="D27" i="82"/>
  <c r="D70" i="82" s="1"/>
  <c r="D26" i="82"/>
  <c r="D25" i="82"/>
  <c r="C7" i="82"/>
  <c r="C6" i="82"/>
  <c r="C5" i="82"/>
  <c r="S64" i="82"/>
  <c r="H44" i="7"/>
  <c r="R44" i="82"/>
  <c r="R42" i="82"/>
  <c r="C24" i="83"/>
  <c r="G70" i="37"/>
  <c r="G69" i="37"/>
  <c r="E70" i="37"/>
  <c r="E69" i="37"/>
  <c r="B2" i="78"/>
  <c r="B4" i="78"/>
  <c r="C4" i="78"/>
  <c r="D4" i="78"/>
  <c r="E4" i="78"/>
  <c r="F4" i="78"/>
  <c r="G4" i="78"/>
  <c r="M81" i="70"/>
  <c r="BR193" i="80"/>
  <c r="M80" i="70"/>
  <c r="L81" i="70"/>
  <c r="L80" i="70"/>
  <c r="K81" i="70"/>
  <c r="K80" i="70"/>
  <c r="J81" i="70"/>
  <c r="AT193" i="80"/>
  <c r="J80" i="70"/>
  <c r="H81" i="70"/>
  <c r="H80" i="70"/>
  <c r="F81" i="70"/>
  <c r="F80" i="70"/>
  <c r="I81" i="70"/>
  <c r="I80" i="70"/>
  <c r="G81" i="70"/>
  <c r="G80" i="70"/>
  <c r="H16" i="26"/>
  <c r="H17" i="26"/>
  <c r="H18" i="26"/>
  <c r="H20" i="26"/>
  <c r="H180" i="79" s="1"/>
  <c r="H21" i="26"/>
  <c r="H22" i="26"/>
  <c r="H182" i="85" s="1"/>
  <c r="J101" i="90" s="1"/>
  <c r="H24" i="26"/>
  <c r="H184" i="79" s="1"/>
  <c r="H25" i="26"/>
  <c r="H185" i="79" s="1"/>
  <c r="H32" i="26"/>
  <c r="H192" i="80" s="1"/>
  <c r="H33" i="26"/>
  <c r="H193" i="85" s="1"/>
  <c r="J109" i="90" s="1"/>
  <c r="H34" i="26"/>
  <c r="H194" i="79" s="1"/>
  <c r="H35" i="26"/>
  <c r="H195" i="79" s="1"/>
  <c r="H39" i="26"/>
  <c r="H40" i="26"/>
  <c r="H200" i="80" s="1"/>
  <c r="H41" i="26"/>
  <c r="H201" i="80" s="1"/>
  <c r="H45" i="26"/>
  <c r="H205" i="85" s="1"/>
  <c r="H46" i="26"/>
  <c r="H206" i="79" s="1"/>
  <c r="H50" i="26"/>
  <c r="H51" i="26"/>
  <c r="H53" i="26"/>
  <c r="H54" i="26"/>
  <c r="H214" i="85" s="1"/>
  <c r="J118" i="90" s="1"/>
  <c r="D42" i="35"/>
  <c r="D43" i="35"/>
  <c r="Q43" i="35" s="1"/>
  <c r="D44" i="35"/>
  <c r="D45" i="35"/>
  <c r="D54" i="35"/>
  <c r="D55" i="35"/>
  <c r="D56" i="35"/>
  <c r="D25" i="35"/>
  <c r="D26" i="35"/>
  <c r="D69" i="35" s="1"/>
  <c r="D27" i="35"/>
  <c r="D70" i="35" s="1"/>
  <c r="D28" i="35"/>
  <c r="D29" i="35"/>
  <c r="D30" i="35"/>
  <c r="D31" i="35"/>
  <c r="D32" i="35"/>
  <c r="D33" i="35"/>
  <c r="D71" i="35" s="1"/>
  <c r="D34" i="35"/>
  <c r="D72" i="35" s="1"/>
  <c r="D35" i="35"/>
  <c r="D36" i="35"/>
  <c r="H66" i="26"/>
  <c r="H226" i="85" s="1"/>
  <c r="J127" i="90" s="1"/>
  <c r="H67" i="26"/>
  <c r="H227" i="80" s="1"/>
  <c r="DP227" i="80" s="1"/>
  <c r="H69" i="26"/>
  <c r="H229" i="80" s="1"/>
  <c r="H70" i="26"/>
  <c r="H71" i="26"/>
  <c r="H72" i="26"/>
  <c r="H232" i="85" s="1"/>
  <c r="J133" i="90" s="1"/>
  <c r="H81" i="26"/>
  <c r="H241" i="85" s="1"/>
  <c r="J135" i="90" s="1"/>
  <c r="H84" i="26"/>
  <c r="H244" i="79" s="1"/>
  <c r="H85" i="26"/>
  <c r="H245" i="79" s="1"/>
  <c r="H86" i="26"/>
  <c r="H246" i="79" s="1"/>
  <c r="H87" i="26"/>
  <c r="H88" i="26"/>
  <c r="H248" i="80" s="1"/>
  <c r="H89" i="26"/>
  <c r="H249" i="79" s="1"/>
  <c r="H90" i="26"/>
  <c r="H250" i="85" s="1"/>
  <c r="J144" i="90" s="1"/>
  <c r="H92" i="26"/>
  <c r="H252" i="85" s="1"/>
  <c r="J146" i="90" s="1"/>
  <c r="H93" i="26"/>
  <c r="H253" i="79" s="1"/>
  <c r="H94" i="26"/>
  <c r="H254" i="85" s="1"/>
  <c r="J148" i="90" s="1"/>
  <c r="E42" i="35"/>
  <c r="H25" i="85"/>
  <c r="J8" i="90" s="1"/>
  <c r="H29" i="80"/>
  <c r="H33" i="79"/>
  <c r="H404" i="79" s="1"/>
  <c r="H425" i="79" s="1"/>
  <c r="H67" i="79"/>
  <c r="H68" i="85"/>
  <c r="J34" i="90" s="1"/>
  <c r="H69" i="85"/>
  <c r="J35" i="90" s="1"/>
  <c r="H70" i="85"/>
  <c r="J36" i="90" s="1"/>
  <c r="H75" i="85"/>
  <c r="H92" i="85"/>
  <c r="J47" i="90" s="1"/>
  <c r="H97" i="79"/>
  <c r="H98" i="80"/>
  <c r="H99" i="85"/>
  <c r="J51" i="90" s="1"/>
  <c r="H104" i="79"/>
  <c r="H106" i="79"/>
  <c r="H112" i="79"/>
  <c r="H114" i="85"/>
  <c r="J63" i="90" s="1"/>
  <c r="H113" i="80"/>
  <c r="H121" i="80"/>
  <c r="H125" i="80"/>
  <c r="H129" i="80"/>
  <c r="H130" i="79"/>
  <c r="H132" i="85"/>
  <c r="J78" i="90" s="1"/>
  <c r="H150" i="79"/>
  <c r="H153" i="79"/>
  <c r="H154" i="85"/>
  <c r="J92" i="90" s="1"/>
  <c r="G16" i="31"/>
  <c r="H268" i="85" s="1"/>
  <c r="J151" i="90" s="1"/>
  <c r="G18" i="31"/>
  <c r="H270" i="85" s="1"/>
  <c r="J153" i="90" s="1"/>
  <c r="G24" i="31"/>
  <c r="H276" i="85" s="1"/>
  <c r="J156" i="90" s="1"/>
  <c r="G25" i="31"/>
  <c r="G26" i="31"/>
  <c r="H278" i="79" s="1"/>
  <c r="EF278" i="79" s="1"/>
  <c r="G27" i="31"/>
  <c r="H279" i="80" s="1"/>
  <c r="CZ279" i="80" s="1"/>
  <c r="G28" i="31"/>
  <c r="H280" i="80" s="1"/>
  <c r="EF280" i="80" s="1"/>
  <c r="H29" i="27"/>
  <c r="H305" i="85" s="1"/>
  <c r="J169" i="90" s="1"/>
  <c r="H30" i="27"/>
  <c r="H306" i="79" s="1"/>
  <c r="AN306" i="79" s="1"/>
  <c r="H31" i="27"/>
  <c r="H307" i="79" s="1"/>
  <c r="H33" i="27"/>
  <c r="H309" i="85" s="1"/>
  <c r="J173" i="90" s="1"/>
  <c r="H34" i="27"/>
  <c r="H310" i="79" s="1"/>
  <c r="DH310" i="79" s="1"/>
  <c r="H35" i="27"/>
  <c r="H311" i="85" s="1"/>
  <c r="J175" i="90" s="1"/>
  <c r="H15" i="27"/>
  <c r="H291" i="79" s="1"/>
  <c r="H17" i="27"/>
  <c r="H18" i="27"/>
  <c r="H294" i="79" s="1"/>
  <c r="H19" i="27"/>
  <c r="H295" i="80" s="1"/>
  <c r="H20" i="27"/>
  <c r="H296" i="79" s="1"/>
  <c r="H21" i="27"/>
  <c r="H297" i="85" s="1"/>
  <c r="J167" i="90" s="1"/>
  <c r="I16" i="26"/>
  <c r="I176" i="79" s="1"/>
  <c r="I17" i="26"/>
  <c r="I177" i="80" s="1"/>
  <c r="I18" i="26"/>
  <c r="I178" i="85" s="1"/>
  <c r="K98" i="90" s="1"/>
  <c r="I20" i="26"/>
  <c r="I21" i="26"/>
  <c r="I181" i="85" s="1"/>
  <c r="K100" i="90" s="1"/>
  <c r="I22" i="26"/>
  <c r="I182" i="79" s="1"/>
  <c r="I24" i="26"/>
  <c r="I184" i="85" s="1"/>
  <c r="K102" i="90" s="1"/>
  <c r="I25" i="26"/>
  <c r="I185" i="79" s="1"/>
  <c r="I27" i="26"/>
  <c r="I187" i="85" s="1"/>
  <c r="K104" i="90" s="1"/>
  <c r="I28" i="26"/>
  <c r="I188" i="80" s="1"/>
  <c r="I29" i="26"/>
  <c r="I189" i="79" s="1"/>
  <c r="I32" i="26"/>
  <c r="I192" i="80" s="1"/>
  <c r="I33" i="26"/>
  <c r="I193" i="80" s="1"/>
  <c r="I34" i="26"/>
  <c r="I194" i="80" s="1"/>
  <c r="I35" i="26"/>
  <c r="I195" i="80" s="1"/>
  <c r="I39" i="26"/>
  <c r="I40" i="26"/>
  <c r="I200" i="79" s="1"/>
  <c r="I41" i="26"/>
  <c r="I201" i="80" s="1"/>
  <c r="I45" i="26"/>
  <c r="I205" i="85" s="1"/>
  <c r="I46" i="26"/>
  <c r="I50" i="26"/>
  <c r="I210" i="80" s="1"/>
  <c r="I51" i="26"/>
  <c r="I211" i="80" s="1"/>
  <c r="I53" i="26"/>
  <c r="I54" i="26"/>
  <c r="I214" i="79" s="1"/>
  <c r="I66" i="26"/>
  <c r="I226" i="80" s="1"/>
  <c r="I67" i="26"/>
  <c r="I227" i="85" s="1"/>
  <c r="K128" i="90" s="1"/>
  <c r="I69" i="26"/>
  <c r="I70" i="26"/>
  <c r="I71" i="26"/>
  <c r="I231" i="85" s="1"/>
  <c r="K132" i="90" s="1"/>
  <c r="I72" i="26"/>
  <c r="I232" i="85" s="1"/>
  <c r="K133" i="90" s="1"/>
  <c r="I81" i="26"/>
  <c r="I241" i="79" s="1"/>
  <c r="I84" i="26"/>
  <c r="I244" i="80" s="1"/>
  <c r="AO244" i="80" s="1"/>
  <c r="I85" i="26"/>
  <c r="I86" i="26"/>
  <c r="I87" i="26"/>
  <c r="I247" i="80" s="1"/>
  <c r="I88" i="26"/>
  <c r="I248" i="85" s="1"/>
  <c r="K142" i="90" s="1"/>
  <c r="I89" i="26"/>
  <c r="I249" i="80" s="1"/>
  <c r="I90" i="26"/>
  <c r="I250" i="80" s="1"/>
  <c r="I92" i="26"/>
  <c r="I93" i="26"/>
  <c r="I253" i="85" s="1"/>
  <c r="K147" i="90" s="1"/>
  <c r="I94" i="26"/>
  <c r="F42" i="35"/>
  <c r="F43" i="82"/>
  <c r="I67" i="85"/>
  <c r="K33" i="90" s="1"/>
  <c r="I70" i="85"/>
  <c r="K36" i="90" s="1"/>
  <c r="I71" i="79"/>
  <c r="I75" i="79"/>
  <c r="I97" i="85"/>
  <c r="K49" i="90" s="1"/>
  <c r="I104" i="79"/>
  <c r="I106" i="80"/>
  <c r="I107" i="80"/>
  <c r="I108" i="79"/>
  <c r="I109" i="80"/>
  <c r="I113" i="85"/>
  <c r="K62" i="90" s="1"/>
  <c r="I120" i="79"/>
  <c r="I121" i="85"/>
  <c r="K67" i="90" s="1"/>
  <c r="I126" i="79"/>
  <c r="I129" i="80"/>
  <c r="I130" i="80"/>
  <c r="I132" i="80"/>
  <c r="I150" i="80"/>
  <c r="I151" i="80"/>
  <c r="I154" i="80"/>
  <c r="I155" i="80"/>
  <c r="I140" i="80"/>
  <c r="I142" i="85"/>
  <c r="K82" i="90" s="1"/>
  <c r="H16" i="31"/>
  <c r="I268" i="85" s="1"/>
  <c r="K151" i="90" s="1"/>
  <c r="H18" i="31"/>
  <c r="I270" i="80" s="1"/>
  <c r="H24" i="31"/>
  <c r="I276" i="80" s="1"/>
  <c r="EO276" i="80" s="1"/>
  <c r="H25" i="31"/>
  <c r="I277" i="80" s="1"/>
  <c r="Q277" i="80" s="1"/>
  <c r="H26" i="31"/>
  <c r="I278" i="80" s="1"/>
  <c r="FM278" i="80" s="1"/>
  <c r="H27" i="31"/>
  <c r="I279" i="80" s="1"/>
  <c r="DY279" i="80" s="1"/>
  <c r="H28" i="31"/>
  <c r="I29" i="27"/>
  <c r="I30" i="27"/>
  <c r="I306" i="85" s="1"/>
  <c r="K170" i="90" s="1"/>
  <c r="I31" i="27"/>
  <c r="I307" i="79" s="1"/>
  <c r="I33" i="27"/>
  <c r="I34" i="27"/>
  <c r="I310" i="85" s="1"/>
  <c r="K174" i="90" s="1"/>
  <c r="I35" i="27"/>
  <c r="I311" i="85" s="1"/>
  <c r="K175" i="90" s="1"/>
  <c r="I15" i="27"/>
  <c r="I291" i="85" s="1"/>
  <c r="K161" i="90" s="1"/>
  <c r="I17" i="27"/>
  <c r="I293" i="79" s="1"/>
  <c r="I18" i="27"/>
  <c r="I294" i="79" s="1"/>
  <c r="I19" i="27"/>
  <c r="I295" i="85" s="1"/>
  <c r="K165" i="90" s="1"/>
  <c r="I20" i="27"/>
  <c r="I296" i="85" s="1"/>
  <c r="K166" i="90" s="1"/>
  <c r="I21" i="27"/>
  <c r="I297" i="85" s="1"/>
  <c r="K167" i="90" s="1"/>
  <c r="F65" i="70"/>
  <c r="G65" i="70"/>
  <c r="I65" i="70"/>
  <c r="F70" i="70"/>
  <c r="G70" i="70"/>
  <c r="I70" i="70"/>
  <c r="F79" i="70"/>
  <c r="F77" i="70"/>
  <c r="G79" i="70"/>
  <c r="G77" i="70"/>
  <c r="I79" i="70"/>
  <c r="I77" i="70"/>
  <c r="H79" i="70"/>
  <c r="H77" i="70"/>
  <c r="J79" i="70"/>
  <c r="J77" i="70"/>
  <c r="K79" i="70"/>
  <c r="K77" i="70"/>
  <c r="L79" i="70"/>
  <c r="L77" i="70"/>
  <c r="M79" i="70"/>
  <c r="M77" i="70"/>
  <c r="H65" i="70"/>
  <c r="J65" i="70"/>
  <c r="K65" i="70"/>
  <c r="L65" i="70"/>
  <c r="M65" i="70"/>
  <c r="F67" i="70"/>
  <c r="G67" i="70"/>
  <c r="I67" i="70"/>
  <c r="H67" i="70"/>
  <c r="J67" i="70"/>
  <c r="K67" i="70"/>
  <c r="L67" i="70"/>
  <c r="M67" i="70"/>
  <c r="F69" i="70"/>
  <c r="G69" i="70"/>
  <c r="I69" i="70"/>
  <c r="H69" i="70"/>
  <c r="J69" i="70"/>
  <c r="K69" i="70"/>
  <c r="L69" i="70"/>
  <c r="M69" i="70"/>
  <c r="F71" i="70"/>
  <c r="G71" i="70"/>
  <c r="I71" i="70"/>
  <c r="H71" i="70"/>
  <c r="J71" i="70"/>
  <c r="K71" i="70"/>
  <c r="L71" i="70"/>
  <c r="M71" i="70"/>
  <c r="J20" i="70"/>
  <c r="J33" i="70"/>
  <c r="J43" i="70"/>
  <c r="J60" i="70"/>
  <c r="K20" i="70"/>
  <c r="K33" i="70"/>
  <c r="K43" i="70"/>
  <c r="K60" i="70"/>
  <c r="L20" i="70"/>
  <c r="L33" i="70"/>
  <c r="L43" i="70"/>
  <c r="L60" i="70"/>
  <c r="M20" i="70"/>
  <c r="M33" i="70"/>
  <c r="M43" i="70"/>
  <c r="M60" i="70"/>
  <c r="F19" i="70"/>
  <c r="F32" i="70"/>
  <c r="F42" i="70"/>
  <c r="F59" i="70"/>
  <c r="G19" i="70"/>
  <c r="G32" i="70"/>
  <c r="G42" i="70"/>
  <c r="G59" i="70"/>
  <c r="I19" i="70"/>
  <c r="I32" i="70"/>
  <c r="I42" i="70"/>
  <c r="I59" i="70"/>
  <c r="H19" i="70"/>
  <c r="H32" i="70"/>
  <c r="H42" i="70"/>
  <c r="H59" i="70"/>
  <c r="J19" i="70"/>
  <c r="J32" i="70"/>
  <c r="J42" i="70"/>
  <c r="J59" i="70"/>
  <c r="K19" i="70"/>
  <c r="K32" i="70"/>
  <c r="K42" i="70"/>
  <c r="K59" i="70"/>
  <c r="L19" i="70"/>
  <c r="L32" i="70"/>
  <c r="L42" i="70"/>
  <c r="L59" i="70"/>
  <c r="M19" i="70"/>
  <c r="M32" i="70"/>
  <c r="M42" i="70"/>
  <c r="M59" i="70"/>
  <c r="F73" i="70"/>
  <c r="G73" i="70"/>
  <c r="I73" i="70"/>
  <c r="H73" i="70"/>
  <c r="J73" i="70"/>
  <c r="K73" i="70"/>
  <c r="L73" i="70"/>
  <c r="M73" i="70"/>
  <c r="F8" i="70"/>
  <c r="G8" i="70"/>
  <c r="I8" i="70"/>
  <c r="AL22" i="80"/>
  <c r="H8" i="70"/>
  <c r="J8" i="70"/>
  <c r="K8" i="70"/>
  <c r="L8" i="70"/>
  <c r="M8" i="70"/>
  <c r="F17" i="70"/>
  <c r="G17" i="70"/>
  <c r="I17" i="70"/>
  <c r="H17" i="70"/>
  <c r="J17" i="70"/>
  <c r="K17" i="70"/>
  <c r="L17" i="70"/>
  <c r="M17" i="70"/>
  <c r="F48" i="70"/>
  <c r="G48" i="70"/>
  <c r="I48" i="70"/>
  <c r="H48" i="70"/>
  <c r="J48" i="70"/>
  <c r="AT25" i="80"/>
  <c r="K48" i="70"/>
  <c r="BB25" i="80"/>
  <c r="L48" i="70"/>
  <c r="M48" i="70"/>
  <c r="F57" i="70"/>
  <c r="G57" i="70"/>
  <c r="I57" i="70"/>
  <c r="AL248" i="80"/>
  <c r="H57" i="70"/>
  <c r="J57" i="70"/>
  <c r="K57" i="70"/>
  <c r="L57" i="70"/>
  <c r="M57" i="70"/>
  <c r="F35" i="70"/>
  <c r="N24" i="80"/>
  <c r="G35" i="70"/>
  <c r="I35" i="70"/>
  <c r="H35" i="70"/>
  <c r="J35" i="70"/>
  <c r="K35" i="70"/>
  <c r="L35" i="70"/>
  <c r="M35" i="70"/>
  <c r="F45" i="70"/>
  <c r="F46" i="70"/>
  <c r="G45" i="70"/>
  <c r="G46" i="70"/>
  <c r="I45" i="70"/>
  <c r="I46" i="70"/>
  <c r="H45" i="70"/>
  <c r="H46" i="70"/>
  <c r="J45" i="70"/>
  <c r="J46" i="70"/>
  <c r="K45" i="70"/>
  <c r="K46" i="70"/>
  <c r="L45" i="70"/>
  <c r="L46" i="70"/>
  <c r="M45" i="70"/>
  <c r="M46" i="70"/>
  <c r="F49" i="70"/>
  <c r="G9" i="70"/>
  <c r="G49" i="70"/>
  <c r="I9" i="70"/>
  <c r="I49" i="70"/>
  <c r="H9" i="70"/>
  <c r="H49" i="70"/>
  <c r="J9" i="70"/>
  <c r="J49" i="70"/>
  <c r="K9" i="70"/>
  <c r="K49" i="70"/>
  <c r="L9" i="70"/>
  <c r="L49" i="70"/>
  <c r="M9" i="70"/>
  <c r="M49" i="70"/>
  <c r="F22" i="70"/>
  <c r="G22" i="70"/>
  <c r="I22" i="70"/>
  <c r="H22" i="70"/>
  <c r="J22" i="70"/>
  <c r="K22" i="70"/>
  <c r="L22" i="70"/>
  <c r="M22" i="70"/>
  <c r="F83" i="70"/>
  <c r="G83" i="70"/>
  <c r="I83" i="70"/>
  <c r="AL29" i="80"/>
  <c r="H83" i="70"/>
  <c r="J83" i="70"/>
  <c r="K83" i="70"/>
  <c r="L83" i="70"/>
  <c r="M83" i="70"/>
  <c r="F14" i="70"/>
  <c r="G14" i="70"/>
  <c r="I14" i="70"/>
  <c r="H14" i="70"/>
  <c r="J14" i="70"/>
  <c r="K14" i="70"/>
  <c r="L14" i="70"/>
  <c r="M14" i="70"/>
  <c r="F15" i="70"/>
  <c r="G15" i="70"/>
  <c r="I15" i="70"/>
  <c r="H15" i="70"/>
  <c r="J15" i="70"/>
  <c r="K15" i="70"/>
  <c r="L15" i="70"/>
  <c r="M15" i="70"/>
  <c r="F38" i="70"/>
  <c r="G38" i="70"/>
  <c r="V184" i="80"/>
  <c r="I38" i="70"/>
  <c r="H38" i="70"/>
  <c r="J38" i="70"/>
  <c r="K38" i="70"/>
  <c r="L38" i="70"/>
  <c r="M38" i="70"/>
  <c r="F39" i="70"/>
  <c r="G39" i="70"/>
  <c r="I39" i="70"/>
  <c r="H39" i="70"/>
  <c r="J39" i="70"/>
  <c r="AT185" i="80"/>
  <c r="K39" i="70"/>
  <c r="L39" i="70"/>
  <c r="M39" i="70"/>
  <c r="F54" i="70"/>
  <c r="G54" i="70"/>
  <c r="I54" i="70"/>
  <c r="H54" i="70"/>
  <c r="J54" i="70"/>
  <c r="K54" i="70"/>
  <c r="L54" i="70"/>
  <c r="M54" i="70"/>
  <c r="F55" i="70"/>
  <c r="G55" i="70"/>
  <c r="I55" i="70"/>
  <c r="H55" i="70"/>
  <c r="J55" i="70"/>
  <c r="K55" i="70"/>
  <c r="L55" i="70"/>
  <c r="M55" i="70"/>
  <c r="F27" i="70"/>
  <c r="G27" i="70"/>
  <c r="I27" i="70"/>
  <c r="H27" i="70"/>
  <c r="J27" i="70"/>
  <c r="K27" i="70"/>
  <c r="L27" i="70"/>
  <c r="M27" i="70"/>
  <c r="F28" i="70"/>
  <c r="G28" i="70"/>
  <c r="I28" i="70"/>
  <c r="H28" i="70"/>
  <c r="J28" i="70"/>
  <c r="K28" i="70"/>
  <c r="L28" i="70"/>
  <c r="M28" i="70"/>
  <c r="J13" i="70"/>
  <c r="K13" i="70"/>
  <c r="L13" i="70"/>
  <c r="M13" i="70"/>
  <c r="J53" i="70"/>
  <c r="K53" i="70"/>
  <c r="L53" i="70"/>
  <c r="BJ187" i="80"/>
  <c r="M53" i="70"/>
  <c r="F16" i="70"/>
  <c r="F29" i="70"/>
  <c r="F40" i="70"/>
  <c r="F56" i="70"/>
  <c r="F89" i="70"/>
  <c r="G16" i="70"/>
  <c r="G29" i="70"/>
  <c r="G40" i="70"/>
  <c r="G56" i="70"/>
  <c r="G89" i="70"/>
  <c r="I16" i="70"/>
  <c r="I29" i="70"/>
  <c r="I40" i="70"/>
  <c r="I56" i="70"/>
  <c r="I89" i="70"/>
  <c r="H16" i="70"/>
  <c r="H29" i="70"/>
  <c r="H40" i="70"/>
  <c r="H56" i="70"/>
  <c r="H89" i="70"/>
  <c r="J16" i="70"/>
  <c r="J29" i="70"/>
  <c r="J40" i="70"/>
  <c r="J56" i="70"/>
  <c r="J89" i="70"/>
  <c r="K16" i="70"/>
  <c r="K29" i="70"/>
  <c r="K40" i="70"/>
  <c r="K56" i="70"/>
  <c r="K89" i="70"/>
  <c r="L16" i="70"/>
  <c r="L29" i="70"/>
  <c r="L40" i="70"/>
  <c r="L56" i="70"/>
  <c r="L89" i="70"/>
  <c r="M16" i="70"/>
  <c r="M29" i="70"/>
  <c r="M40" i="70"/>
  <c r="M56" i="70"/>
  <c r="M89" i="70"/>
  <c r="F62" i="70"/>
  <c r="F94" i="70"/>
  <c r="G62" i="70"/>
  <c r="G94" i="70"/>
  <c r="I62" i="70"/>
  <c r="I94" i="70"/>
  <c r="H62" i="70"/>
  <c r="H94" i="70"/>
  <c r="J62" i="70"/>
  <c r="J94" i="70"/>
  <c r="K62" i="70"/>
  <c r="K94" i="70"/>
  <c r="L62" i="70"/>
  <c r="L94" i="70"/>
  <c r="M62" i="70"/>
  <c r="M94" i="70"/>
  <c r="F76" i="70"/>
  <c r="F78" i="70"/>
  <c r="F64" i="70"/>
  <c r="F66" i="70"/>
  <c r="F68" i="70"/>
  <c r="F72" i="70"/>
  <c r="G76" i="70"/>
  <c r="G78" i="70"/>
  <c r="G64" i="70"/>
  <c r="G66" i="70"/>
  <c r="G68" i="70"/>
  <c r="G72" i="70"/>
  <c r="I76" i="70"/>
  <c r="I78" i="70"/>
  <c r="I64" i="70"/>
  <c r="I66" i="70"/>
  <c r="I68" i="70"/>
  <c r="I72" i="70"/>
  <c r="H76" i="70"/>
  <c r="H78" i="70"/>
  <c r="H64" i="70"/>
  <c r="H66" i="70"/>
  <c r="H68" i="70"/>
  <c r="H70" i="70"/>
  <c r="H72" i="70"/>
  <c r="J76" i="70"/>
  <c r="J78" i="70"/>
  <c r="J64" i="70"/>
  <c r="J66" i="70"/>
  <c r="J68" i="70"/>
  <c r="J70" i="70"/>
  <c r="J72" i="70"/>
  <c r="K76" i="70"/>
  <c r="K78" i="70"/>
  <c r="K64" i="70"/>
  <c r="K66" i="70"/>
  <c r="K68" i="70"/>
  <c r="K70" i="70"/>
  <c r="K72" i="70"/>
  <c r="L76" i="70"/>
  <c r="L78" i="70"/>
  <c r="L64" i="70"/>
  <c r="L66" i="70"/>
  <c r="L68" i="70"/>
  <c r="L70" i="70"/>
  <c r="L72" i="70"/>
  <c r="M76" i="70"/>
  <c r="M78" i="70"/>
  <c r="M64" i="70"/>
  <c r="M66" i="70"/>
  <c r="M68" i="70"/>
  <c r="M70" i="70"/>
  <c r="M72" i="70"/>
  <c r="F10" i="70"/>
  <c r="F24" i="70"/>
  <c r="F36" i="70"/>
  <c r="F50" i="70"/>
  <c r="F84" i="70"/>
  <c r="J26" i="70"/>
  <c r="K26" i="70"/>
  <c r="L26" i="70"/>
  <c r="M26" i="70"/>
  <c r="F86" i="70"/>
  <c r="H86" i="70"/>
  <c r="J86" i="70"/>
  <c r="K86" i="70"/>
  <c r="L86" i="70"/>
  <c r="M86" i="70"/>
  <c r="F87" i="70"/>
  <c r="H87" i="70"/>
  <c r="J87" i="70"/>
  <c r="K87" i="70"/>
  <c r="L87" i="70"/>
  <c r="M87" i="70"/>
  <c r="F88" i="70"/>
  <c r="H88" i="70"/>
  <c r="J88" i="70"/>
  <c r="K88" i="70"/>
  <c r="L88" i="70"/>
  <c r="M88" i="70"/>
  <c r="F30" i="70"/>
  <c r="H30" i="70"/>
  <c r="J30" i="70"/>
  <c r="K30" i="70"/>
  <c r="L30" i="70"/>
  <c r="M30" i="70"/>
  <c r="F90" i="70"/>
  <c r="H90" i="70"/>
  <c r="J90" i="70"/>
  <c r="K90" i="70"/>
  <c r="L90" i="70"/>
  <c r="M90" i="70"/>
  <c r="F23" i="70"/>
  <c r="H23" i="70"/>
  <c r="J23" i="70"/>
  <c r="K23" i="70"/>
  <c r="L23" i="70"/>
  <c r="M23" i="70"/>
  <c r="H10" i="70"/>
  <c r="H24" i="70"/>
  <c r="H36" i="70"/>
  <c r="H50" i="70"/>
  <c r="H84" i="70"/>
  <c r="J10" i="70"/>
  <c r="J24" i="70"/>
  <c r="J36" i="70"/>
  <c r="J50" i="70"/>
  <c r="J84" i="70"/>
  <c r="K10" i="70"/>
  <c r="K24" i="70"/>
  <c r="K36" i="70"/>
  <c r="K50" i="70"/>
  <c r="K84" i="70"/>
  <c r="L10" i="70"/>
  <c r="L24" i="70"/>
  <c r="L36" i="70"/>
  <c r="L50" i="70"/>
  <c r="L84" i="70"/>
  <c r="M10" i="70"/>
  <c r="M24" i="70"/>
  <c r="M36" i="70"/>
  <c r="M50" i="70"/>
  <c r="M84" i="70"/>
  <c r="F11" i="70"/>
  <c r="F51" i="70"/>
  <c r="H11" i="70"/>
  <c r="H51" i="70"/>
  <c r="J11" i="70"/>
  <c r="J51" i="70"/>
  <c r="K11" i="70"/>
  <c r="K51" i="70"/>
  <c r="L11" i="70"/>
  <c r="L51" i="70"/>
  <c r="M11" i="70"/>
  <c r="M51" i="70"/>
  <c r="F91" i="70"/>
  <c r="H91" i="70"/>
  <c r="J91" i="70"/>
  <c r="K91" i="70"/>
  <c r="L91" i="70"/>
  <c r="M91" i="70"/>
  <c r="I86" i="70"/>
  <c r="I87" i="70"/>
  <c r="I88" i="70"/>
  <c r="I30" i="70"/>
  <c r="I90" i="70"/>
  <c r="I23" i="70"/>
  <c r="I10" i="70"/>
  <c r="I24" i="70"/>
  <c r="I36" i="70"/>
  <c r="I50" i="70"/>
  <c r="I84" i="70"/>
  <c r="I11" i="70"/>
  <c r="I51" i="70"/>
  <c r="I91" i="70"/>
  <c r="G86" i="70"/>
  <c r="G87" i="70"/>
  <c r="G88" i="70"/>
  <c r="G30" i="70"/>
  <c r="G90" i="70"/>
  <c r="G23" i="70"/>
  <c r="G10" i="70"/>
  <c r="G24" i="70"/>
  <c r="G36" i="70"/>
  <c r="G50" i="70"/>
  <c r="G84" i="70"/>
  <c r="G11" i="70"/>
  <c r="G51" i="70"/>
  <c r="G91" i="70"/>
  <c r="F18" i="70"/>
  <c r="F31" i="70"/>
  <c r="F41" i="70"/>
  <c r="F58" i="70"/>
  <c r="G18" i="70"/>
  <c r="G31" i="70"/>
  <c r="G41" i="70"/>
  <c r="G58" i="70"/>
  <c r="I18" i="70"/>
  <c r="I31" i="70"/>
  <c r="I41" i="70"/>
  <c r="I58" i="70"/>
  <c r="H18" i="70"/>
  <c r="H31" i="70"/>
  <c r="H41" i="70"/>
  <c r="H58" i="70"/>
  <c r="J18" i="70"/>
  <c r="J31" i="70"/>
  <c r="J41" i="70"/>
  <c r="J58" i="70"/>
  <c r="K18" i="70"/>
  <c r="K31" i="70"/>
  <c r="K41" i="70"/>
  <c r="K58" i="70"/>
  <c r="L18" i="70"/>
  <c r="L31" i="70"/>
  <c r="L41" i="70"/>
  <c r="L58" i="70"/>
  <c r="M18" i="70"/>
  <c r="M31" i="70"/>
  <c r="M41" i="70"/>
  <c r="M58" i="70"/>
  <c r="Y13" i="70"/>
  <c r="Y14" i="70"/>
  <c r="Y15" i="70"/>
  <c r="Y26" i="70"/>
  <c r="Y27" i="70"/>
  <c r="Y28" i="70"/>
  <c r="Y38" i="70"/>
  <c r="Y39" i="70"/>
  <c r="Y54" i="70"/>
  <c r="Y55" i="70"/>
  <c r="Y76" i="70"/>
  <c r="Y78" i="70"/>
  <c r="Y64" i="70"/>
  <c r="Y66" i="70"/>
  <c r="Y68" i="70"/>
  <c r="Y70" i="70"/>
  <c r="Y72" i="70"/>
  <c r="Y79" i="70"/>
  <c r="Y77" i="70"/>
  <c r="Y65" i="70"/>
  <c r="Y67" i="70"/>
  <c r="Y69" i="70"/>
  <c r="Y71" i="70"/>
  <c r="Y73" i="70"/>
  <c r="Y20" i="70"/>
  <c r="Y33" i="70"/>
  <c r="Y43" i="70"/>
  <c r="Y60" i="70"/>
  <c r="Y19" i="70"/>
  <c r="Y32" i="70"/>
  <c r="Y42" i="70"/>
  <c r="Y59" i="70"/>
  <c r="Y80" i="70"/>
  <c r="Y81" i="70"/>
  <c r="Y86" i="70"/>
  <c r="Y87" i="70"/>
  <c r="Y88" i="70"/>
  <c r="Y8" i="70"/>
  <c r="Y22" i="70"/>
  <c r="Y35" i="70"/>
  <c r="Y48" i="70"/>
  <c r="Y83" i="70"/>
  <c r="Y16" i="70"/>
  <c r="Y29" i="70"/>
  <c r="Y40" i="70"/>
  <c r="Y56" i="70"/>
  <c r="Y89" i="70"/>
  <c r="Y17" i="70"/>
  <c r="Y30" i="70"/>
  <c r="Y45" i="70"/>
  <c r="Y46" i="70"/>
  <c r="Y57" i="70"/>
  <c r="Y90" i="70"/>
  <c r="Y9" i="70"/>
  <c r="Y49" i="70"/>
  <c r="Y10" i="70"/>
  <c r="Y24" i="70"/>
  <c r="Y36" i="70"/>
  <c r="Y50" i="70"/>
  <c r="Y84" i="70"/>
  <c r="Y11" i="70"/>
  <c r="Y51" i="70"/>
  <c r="Y62" i="70"/>
  <c r="Y94" i="70"/>
  <c r="Y91" i="70"/>
  <c r="Y18" i="70"/>
  <c r="Y31" i="70"/>
  <c r="Y41" i="70"/>
  <c r="Y58" i="70"/>
  <c r="X13" i="70"/>
  <c r="X14" i="70"/>
  <c r="X15" i="70"/>
  <c r="X26" i="70"/>
  <c r="X27" i="70"/>
  <c r="X28" i="70"/>
  <c r="X38" i="70"/>
  <c r="X39" i="70"/>
  <c r="X54" i="70"/>
  <c r="X55" i="70"/>
  <c r="X76" i="70"/>
  <c r="X78" i="70"/>
  <c r="X64" i="70"/>
  <c r="X66" i="70"/>
  <c r="X68" i="70"/>
  <c r="X70" i="70"/>
  <c r="X72" i="70"/>
  <c r="X79" i="70"/>
  <c r="X77" i="70"/>
  <c r="X65" i="70"/>
  <c r="X67" i="70"/>
  <c r="X69" i="70"/>
  <c r="X71" i="70"/>
  <c r="X73" i="70"/>
  <c r="X20" i="70"/>
  <c r="X33" i="70"/>
  <c r="X43" i="70"/>
  <c r="X60" i="70"/>
  <c r="X19" i="70"/>
  <c r="X32" i="70"/>
  <c r="X42" i="70"/>
  <c r="X59" i="70"/>
  <c r="X80" i="70"/>
  <c r="X81" i="70"/>
  <c r="X86" i="70"/>
  <c r="X87" i="70"/>
  <c r="X88" i="70"/>
  <c r="X8" i="70"/>
  <c r="X22" i="70"/>
  <c r="X35" i="70"/>
  <c r="X48" i="70"/>
  <c r="X83" i="70"/>
  <c r="X16" i="70"/>
  <c r="X29" i="70"/>
  <c r="X40" i="70"/>
  <c r="X56" i="70"/>
  <c r="X89" i="70"/>
  <c r="X17" i="70"/>
  <c r="X30" i="70"/>
  <c r="X45" i="70"/>
  <c r="X46" i="70"/>
  <c r="X57" i="70"/>
  <c r="X90" i="70"/>
  <c r="X9" i="70"/>
  <c r="X49" i="70"/>
  <c r="X10" i="70"/>
  <c r="X24" i="70"/>
  <c r="X36" i="70"/>
  <c r="X50" i="70"/>
  <c r="X84" i="70"/>
  <c r="X11" i="70"/>
  <c r="X51" i="70"/>
  <c r="X62" i="70"/>
  <c r="X94" i="70"/>
  <c r="X91" i="70"/>
  <c r="X18" i="70"/>
  <c r="X31" i="70"/>
  <c r="X41" i="70"/>
  <c r="X58" i="70"/>
  <c r="W13" i="70"/>
  <c r="W14" i="70"/>
  <c r="W15" i="70"/>
  <c r="W26" i="70"/>
  <c r="W27" i="70"/>
  <c r="W28" i="70"/>
  <c r="W38" i="70"/>
  <c r="W39" i="70"/>
  <c r="W54" i="70"/>
  <c r="W55" i="70"/>
  <c r="W76" i="70"/>
  <c r="W78" i="70"/>
  <c r="W64" i="70"/>
  <c r="W66" i="70"/>
  <c r="W68" i="70"/>
  <c r="W70" i="70"/>
  <c r="W72" i="70"/>
  <c r="W79" i="70"/>
  <c r="W77" i="70"/>
  <c r="W65" i="70"/>
  <c r="W67" i="70"/>
  <c r="W69" i="70"/>
  <c r="W71" i="70"/>
  <c r="W73" i="70"/>
  <c r="W20" i="70"/>
  <c r="W33" i="70"/>
  <c r="W43" i="70"/>
  <c r="W60" i="70"/>
  <c r="W19" i="70"/>
  <c r="W32" i="70"/>
  <c r="W42" i="70"/>
  <c r="W59" i="70"/>
  <c r="W80" i="70"/>
  <c r="W81" i="70"/>
  <c r="W86" i="70"/>
  <c r="W87" i="70"/>
  <c r="W88" i="70"/>
  <c r="W8" i="70"/>
  <c r="W22" i="70"/>
  <c r="W35" i="70"/>
  <c r="W48" i="70"/>
  <c r="W83" i="70"/>
  <c r="W16" i="70"/>
  <c r="W29" i="70"/>
  <c r="W40" i="70"/>
  <c r="W56" i="70"/>
  <c r="W89" i="70"/>
  <c r="W17" i="70"/>
  <c r="W30" i="70"/>
  <c r="W45" i="70"/>
  <c r="W46" i="70"/>
  <c r="ET247" i="80"/>
  <c r="W57" i="70"/>
  <c r="W90" i="70"/>
  <c r="W9" i="70"/>
  <c r="W49" i="70"/>
  <c r="W10" i="70"/>
  <c r="W24" i="70"/>
  <c r="W36" i="70"/>
  <c r="W50" i="70"/>
  <c r="W84" i="70"/>
  <c r="W11" i="70"/>
  <c r="W51" i="70"/>
  <c r="W62" i="70"/>
  <c r="W94" i="70"/>
  <c r="W91" i="70"/>
  <c r="W18" i="70"/>
  <c r="W31" i="70"/>
  <c r="W41" i="70"/>
  <c r="W58" i="70"/>
  <c r="V13" i="70"/>
  <c r="V14" i="70"/>
  <c r="V15" i="70"/>
  <c r="V26" i="70"/>
  <c r="V27" i="70"/>
  <c r="V28" i="70"/>
  <c r="V38" i="70"/>
  <c r="V39" i="70"/>
  <c r="V54" i="70"/>
  <c r="V55" i="70"/>
  <c r="V76" i="70"/>
  <c r="V78" i="70"/>
  <c r="V64" i="70"/>
  <c r="V66" i="70"/>
  <c r="V68" i="70"/>
  <c r="V70" i="70"/>
  <c r="V72" i="70"/>
  <c r="V79" i="70"/>
  <c r="V77" i="70"/>
  <c r="V65" i="70"/>
  <c r="V67" i="70"/>
  <c r="V69" i="70"/>
  <c r="V71" i="70"/>
  <c r="V73" i="70"/>
  <c r="V20" i="70"/>
  <c r="V33" i="70"/>
  <c r="V43" i="70"/>
  <c r="V60" i="70"/>
  <c r="V19" i="70"/>
  <c r="V32" i="70"/>
  <c r="V42" i="70"/>
  <c r="V59" i="70"/>
  <c r="V80" i="70"/>
  <c r="V81" i="70"/>
  <c r="V86" i="70"/>
  <c r="V87" i="70"/>
  <c r="V88" i="70"/>
  <c r="V8" i="70"/>
  <c r="V22" i="70"/>
  <c r="V35" i="70"/>
  <c r="V48" i="70"/>
  <c r="V83" i="70"/>
  <c r="V16" i="70"/>
  <c r="V29" i="70"/>
  <c r="V40" i="70"/>
  <c r="V56" i="70"/>
  <c r="V89" i="70"/>
  <c r="V17" i="70"/>
  <c r="V30" i="70"/>
  <c r="V45" i="70"/>
  <c r="V46" i="70"/>
  <c r="V57" i="70"/>
  <c r="V90" i="70"/>
  <c r="V9" i="70"/>
  <c r="V49" i="70"/>
  <c r="V10" i="70"/>
  <c r="V24" i="70"/>
  <c r="V36" i="70"/>
  <c r="V50" i="70"/>
  <c r="V84" i="70"/>
  <c r="V11" i="70"/>
  <c r="V51" i="70"/>
  <c r="V62" i="70"/>
  <c r="V94" i="70"/>
  <c r="V91" i="70"/>
  <c r="V18" i="70"/>
  <c r="V31" i="70"/>
  <c r="V41" i="70"/>
  <c r="V58" i="70"/>
  <c r="U13" i="70"/>
  <c r="U14" i="70"/>
  <c r="U15" i="70"/>
  <c r="U26" i="70"/>
  <c r="U27" i="70"/>
  <c r="U28" i="70"/>
  <c r="U38" i="70"/>
  <c r="ED184" i="80"/>
  <c r="U39" i="70"/>
  <c r="U53" i="70"/>
  <c r="U54" i="70"/>
  <c r="U55" i="70"/>
  <c r="U76" i="70"/>
  <c r="U78" i="70"/>
  <c r="U64" i="70"/>
  <c r="U66" i="70"/>
  <c r="U68" i="70"/>
  <c r="U70" i="70"/>
  <c r="U72" i="70"/>
  <c r="U79" i="70"/>
  <c r="U77" i="70"/>
  <c r="U65" i="70"/>
  <c r="U67" i="70"/>
  <c r="U69" i="70"/>
  <c r="U71" i="70"/>
  <c r="U73" i="70"/>
  <c r="U20" i="70"/>
  <c r="U33" i="70"/>
  <c r="U43" i="70"/>
  <c r="U60" i="70"/>
  <c r="U19" i="70"/>
  <c r="U32" i="70"/>
  <c r="U42" i="70"/>
  <c r="U59" i="70"/>
  <c r="U80" i="70"/>
  <c r="U81" i="70"/>
  <c r="U86" i="70"/>
  <c r="U87" i="70"/>
  <c r="U88" i="70"/>
  <c r="U8" i="70"/>
  <c r="U22" i="70"/>
  <c r="U35" i="70"/>
  <c r="U48" i="70"/>
  <c r="U83" i="70"/>
  <c r="U16" i="70"/>
  <c r="U29" i="70"/>
  <c r="U40" i="70"/>
  <c r="U56" i="70"/>
  <c r="U89" i="70"/>
  <c r="U17" i="70"/>
  <c r="U30" i="70"/>
  <c r="U45" i="70"/>
  <c r="U46" i="70"/>
  <c r="U57" i="70"/>
  <c r="U90" i="70"/>
  <c r="U9" i="70"/>
  <c r="U49" i="70"/>
  <c r="U10" i="70"/>
  <c r="U24" i="70"/>
  <c r="U36" i="70"/>
  <c r="U50" i="70"/>
  <c r="U84" i="70"/>
  <c r="U11" i="70"/>
  <c r="U51" i="70"/>
  <c r="U62" i="70"/>
  <c r="U94" i="70"/>
  <c r="U91" i="70"/>
  <c r="U18" i="70"/>
  <c r="U31" i="70"/>
  <c r="U41" i="70"/>
  <c r="U58" i="70"/>
  <c r="T13" i="70"/>
  <c r="T14" i="70"/>
  <c r="T15" i="70"/>
  <c r="T26" i="70"/>
  <c r="T27" i="70"/>
  <c r="T28" i="70"/>
  <c r="T38" i="70"/>
  <c r="T39" i="70"/>
  <c r="T53" i="70"/>
  <c r="T54" i="70"/>
  <c r="T55" i="70"/>
  <c r="T76" i="70"/>
  <c r="T78" i="70"/>
  <c r="T64" i="70"/>
  <c r="T66" i="70"/>
  <c r="T68" i="70"/>
  <c r="T70" i="70"/>
  <c r="T72" i="70"/>
  <c r="T79" i="70"/>
  <c r="T77" i="70"/>
  <c r="T65" i="70"/>
  <c r="T67" i="70"/>
  <c r="T69" i="70"/>
  <c r="T71" i="70"/>
  <c r="T73" i="70"/>
  <c r="T20" i="70"/>
  <c r="T33" i="70"/>
  <c r="T43" i="70"/>
  <c r="T60" i="70"/>
  <c r="T19" i="70"/>
  <c r="T32" i="70"/>
  <c r="T42" i="70"/>
  <c r="T59" i="70"/>
  <c r="T80" i="70"/>
  <c r="T81" i="70"/>
  <c r="T86" i="70"/>
  <c r="T87" i="70"/>
  <c r="T88" i="70"/>
  <c r="T8" i="70"/>
  <c r="T22" i="70"/>
  <c r="T35" i="70"/>
  <c r="T48" i="70"/>
  <c r="T83" i="70"/>
  <c r="T16" i="70"/>
  <c r="T29" i="70"/>
  <c r="T40" i="70"/>
  <c r="T56" i="70"/>
  <c r="T89" i="70"/>
  <c r="T17" i="70"/>
  <c r="T30" i="70"/>
  <c r="T45" i="70"/>
  <c r="T46" i="70"/>
  <c r="T57" i="70"/>
  <c r="T90" i="70"/>
  <c r="T9" i="70"/>
  <c r="T49" i="70"/>
  <c r="T10" i="70"/>
  <c r="T24" i="70"/>
  <c r="T36" i="70"/>
  <c r="T50" i="70"/>
  <c r="T84" i="70"/>
  <c r="T11" i="70"/>
  <c r="T51" i="70"/>
  <c r="T62" i="70"/>
  <c r="T94" i="70"/>
  <c r="T91" i="70"/>
  <c r="T18" i="70"/>
  <c r="T31" i="70"/>
  <c r="T41" i="70"/>
  <c r="T58" i="70"/>
  <c r="S13" i="70"/>
  <c r="S14" i="70"/>
  <c r="S15" i="70"/>
  <c r="S26" i="70"/>
  <c r="S27" i="70"/>
  <c r="S28" i="70"/>
  <c r="S38" i="70"/>
  <c r="S39" i="70"/>
  <c r="S53" i="70"/>
  <c r="S54" i="70"/>
  <c r="S55" i="70"/>
  <c r="S76" i="70"/>
  <c r="S78" i="70"/>
  <c r="S64" i="70"/>
  <c r="S66" i="70"/>
  <c r="S68" i="70"/>
  <c r="S70" i="70"/>
  <c r="S72" i="70"/>
  <c r="S79" i="70"/>
  <c r="S77" i="70"/>
  <c r="S65" i="70"/>
  <c r="S67" i="70"/>
  <c r="S69" i="70"/>
  <c r="S71" i="70"/>
  <c r="S73" i="70"/>
  <c r="S20" i="70"/>
  <c r="S33" i="70"/>
  <c r="S43" i="70"/>
  <c r="S60" i="70"/>
  <c r="S19" i="70"/>
  <c r="S32" i="70"/>
  <c r="S42" i="70"/>
  <c r="S59" i="70"/>
  <c r="S80" i="70"/>
  <c r="S81" i="70"/>
  <c r="S86" i="70"/>
  <c r="S87" i="70"/>
  <c r="S88" i="70"/>
  <c r="S8" i="70"/>
  <c r="S22" i="70"/>
  <c r="S35" i="70"/>
  <c r="S48" i="70"/>
  <c r="S83" i="70"/>
  <c r="S16" i="70"/>
  <c r="S29" i="70"/>
  <c r="S40" i="70"/>
  <c r="S56" i="70"/>
  <c r="S89" i="70"/>
  <c r="S17" i="70"/>
  <c r="S30" i="70"/>
  <c r="S45" i="70"/>
  <c r="S46" i="70"/>
  <c r="S57" i="70"/>
  <c r="S90" i="70"/>
  <c r="S9" i="70"/>
  <c r="S49" i="70"/>
  <c r="S10" i="70"/>
  <c r="S24" i="70"/>
  <c r="S36" i="70"/>
  <c r="S50" i="70"/>
  <c r="S84" i="70"/>
  <c r="S11" i="70"/>
  <c r="S51" i="70"/>
  <c r="S62" i="70"/>
  <c r="S94" i="70"/>
  <c r="S91" i="70"/>
  <c r="S18" i="70"/>
  <c r="S31" i="70"/>
  <c r="S41" i="70"/>
  <c r="S58" i="70"/>
  <c r="R13" i="70"/>
  <c r="R14" i="70"/>
  <c r="R15" i="70"/>
  <c r="R26" i="70"/>
  <c r="R27" i="70"/>
  <c r="R28" i="70"/>
  <c r="R38" i="70"/>
  <c r="R39" i="70"/>
  <c r="R53" i="70"/>
  <c r="R54" i="70"/>
  <c r="R55" i="70"/>
  <c r="R76" i="70"/>
  <c r="R78" i="70"/>
  <c r="R64" i="70"/>
  <c r="R66" i="70"/>
  <c r="R68" i="70"/>
  <c r="R70" i="70"/>
  <c r="R72" i="70"/>
  <c r="R79" i="70"/>
  <c r="R77" i="70"/>
  <c r="R65" i="70"/>
  <c r="R67" i="70"/>
  <c r="R69" i="70"/>
  <c r="R71" i="70"/>
  <c r="R73" i="70"/>
  <c r="R20" i="70"/>
  <c r="R33" i="70"/>
  <c r="R43" i="70"/>
  <c r="R60" i="70"/>
  <c r="R19" i="70"/>
  <c r="R32" i="70"/>
  <c r="R42" i="70"/>
  <c r="R59" i="70"/>
  <c r="R80" i="70"/>
  <c r="R81" i="70"/>
  <c r="R86" i="70"/>
  <c r="R87" i="70"/>
  <c r="R88" i="70"/>
  <c r="R8" i="70"/>
  <c r="R22" i="70"/>
  <c r="R35" i="70"/>
  <c r="R48" i="70"/>
  <c r="R83" i="70"/>
  <c r="R16" i="70"/>
  <c r="R29" i="70"/>
  <c r="R40" i="70"/>
  <c r="R56" i="70"/>
  <c r="R89" i="70"/>
  <c r="R17" i="70"/>
  <c r="R30" i="70"/>
  <c r="R45" i="70"/>
  <c r="R46" i="70"/>
  <c r="R57" i="70"/>
  <c r="R90" i="70"/>
  <c r="R9" i="70"/>
  <c r="R49" i="70"/>
  <c r="R10" i="70"/>
  <c r="R24" i="70"/>
  <c r="R36" i="70"/>
  <c r="R50" i="70"/>
  <c r="R84" i="70"/>
  <c r="R11" i="70"/>
  <c r="R51" i="70"/>
  <c r="R62" i="70"/>
  <c r="R94" i="70"/>
  <c r="R91" i="70"/>
  <c r="R18" i="70"/>
  <c r="R31" i="70"/>
  <c r="R41" i="70"/>
  <c r="R58" i="70"/>
  <c r="Q13" i="70"/>
  <c r="Q14" i="70"/>
  <c r="Q15" i="70"/>
  <c r="Q26" i="70"/>
  <c r="Q27" i="70"/>
  <c r="Q28" i="70"/>
  <c r="Q38" i="70"/>
  <c r="Q39" i="70"/>
  <c r="Q53" i="70"/>
  <c r="Q54" i="70"/>
  <c r="Q55" i="70"/>
  <c r="Q76" i="70"/>
  <c r="Q78" i="70"/>
  <c r="Q64" i="70"/>
  <c r="Q66" i="70"/>
  <c r="Q68" i="70"/>
  <c r="Q70" i="70"/>
  <c r="Q72" i="70"/>
  <c r="Q79" i="70"/>
  <c r="Q77" i="70"/>
  <c r="Q65" i="70"/>
  <c r="Q67" i="70"/>
  <c r="Q69" i="70"/>
  <c r="Q71" i="70"/>
  <c r="Q73" i="70"/>
  <c r="Q20" i="70"/>
  <c r="Q33" i="70"/>
  <c r="Q43" i="70"/>
  <c r="Q60" i="70"/>
  <c r="Q19" i="70"/>
  <c r="Q32" i="70"/>
  <c r="Q42" i="70"/>
  <c r="Q59" i="70"/>
  <c r="Q80" i="70"/>
  <c r="Q81" i="70"/>
  <c r="Q86" i="70"/>
  <c r="Q87" i="70"/>
  <c r="Q88" i="70"/>
  <c r="Q8" i="70"/>
  <c r="Q22" i="70"/>
  <c r="Q35" i="70"/>
  <c r="Q48" i="70"/>
  <c r="Q83" i="70"/>
  <c r="Q16" i="70"/>
  <c r="Q29" i="70"/>
  <c r="Q40" i="70"/>
  <c r="Q56" i="70"/>
  <c r="Q89" i="70"/>
  <c r="Q17" i="70"/>
  <c r="Q30" i="70"/>
  <c r="Q45" i="70"/>
  <c r="Q46" i="70"/>
  <c r="Q57" i="70"/>
  <c r="Q90" i="70"/>
  <c r="Q9" i="70"/>
  <c r="Q49" i="70"/>
  <c r="Q10" i="70"/>
  <c r="Q24" i="70"/>
  <c r="Q36" i="70"/>
  <c r="Q50" i="70"/>
  <c r="Q84" i="70"/>
  <c r="Q11" i="70"/>
  <c r="Q51" i="70"/>
  <c r="Q62" i="70"/>
  <c r="Q94" i="70"/>
  <c r="Q91" i="70"/>
  <c r="Q18" i="70"/>
  <c r="Q31" i="70"/>
  <c r="Q41" i="70"/>
  <c r="Q58" i="70"/>
  <c r="P13" i="70"/>
  <c r="P14" i="70"/>
  <c r="P15" i="70"/>
  <c r="P26" i="70"/>
  <c r="P27" i="70"/>
  <c r="P28" i="70"/>
  <c r="P38" i="70"/>
  <c r="P39" i="70"/>
  <c r="P53" i="70"/>
  <c r="P54" i="70"/>
  <c r="P55" i="70"/>
  <c r="P76" i="70"/>
  <c r="P78" i="70"/>
  <c r="P64" i="70"/>
  <c r="P66" i="70"/>
  <c r="P68" i="70"/>
  <c r="P70" i="70"/>
  <c r="P72" i="70"/>
  <c r="P79" i="70"/>
  <c r="P77" i="70"/>
  <c r="P65" i="70"/>
  <c r="P67" i="70"/>
  <c r="P69" i="70"/>
  <c r="P71" i="70"/>
  <c r="P73" i="70"/>
  <c r="P20" i="70"/>
  <c r="P33" i="70"/>
  <c r="P43" i="70"/>
  <c r="P60" i="70"/>
  <c r="P19" i="70"/>
  <c r="P32" i="70"/>
  <c r="P42" i="70"/>
  <c r="P59" i="70"/>
  <c r="P80" i="70"/>
  <c r="P81" i="70"/>
  <c r="CP193" i="80"/>
  <c r="P86" i="70"/>
  <c r="P87" i="70"/>
  <c r="P88" i="70"/>
  <c r="P8" i="70"/>
  <c r="P22" i="70"/>
  <c r="P35" i="70"/>
  <c r="P48" i="70"/>
  <c r="P83" i="70"/>
  <c r="P16" i="70"/>
  <c r="P29" i="70"/>
  <c r="P40" i="70"/>
  <c r="P56" i="70"/>
  <c r="P89" i="70"/>
  <c r="P17" i="70"/>
  <c r="P30" i="70"/>
  <c r="P45" i="70"/>
  <c r="P46" i="70"/>
  <c r="P57" i="70"/>
  <c r="P90" i="70"/>
  <c r="P9" i="70"/>
  <c r="P49" i="70"/>
  <c r="P10" i="70"/>
  <c r="P24" i="70"/>
  <c r="P36" i="70"/>
  <c r="P50" i="70"/>
  <c r="P84" i="70"/>
  <c r="P11" i="70"/>
  <c r="P51" i="70"/>
  <c r="P62" i="70"/>
  <c r="P94" i="70"/>
  <c r="P91" i="70"/>
  <c r="P18" i="70"/>
  <c r="P31" i="70"/>
  <c r="P41" i="70"/>
  <c r="P58" i="70"/>
  <c r="O13" i="70"/>
  <c r="O14" i="70"/>
  <c r="O15" i="70"/>
  <c r="O26" i="70"/>
  <c r="O27" i="70"/>
  <c r="O28" i="70"/>
  <c r="O38" i="70"/>
  <c r="O39" i="70"/>
  <c r="O53" i="70"/>
  <c r="O54" i="70"/>
  <c r="O55" i="70"/>
  <c r="O76" i="70"/>
  <c r="O78" i="70"/>
  <c r="O64" i="70"/>
  <c r="O66" i="70"/>
  <c r="O68" i="70"/>
  <c r="O70" i="70"/>
  <c r="O72" i="70"/>
  <c r="O79" i="70"/>
  <c r="O77" i="70"/>
  <c r="O65" i="70"/>
  <c r="O67" i="70"/>
  <c r="O69" i="70"/>
  <c r="O71" i="70"/>
  <c r="O73" i="70"/>
  <c r="O20" i="70"/>
  <c r="O33" i="70"/>
  <c r="O43" i="70"/>
  <c r="O60" i="70"/>
  <c r="O19" i="70"/>
  <c r="O32" i="70"/>
  <c r="O42" i="70"/>
  <c r="O59" i="70"/>
  <c r="O80" i="70"/>
  <c r="O81" i="70"/>
  <c r="O86" i="70"/>
  <c r="O87" i="70"/>
  <c r="O88" i="70"/>
  <c r="O8" i="70"/>
  <c r="O22" i="70"/>
  <c r="O35" i="70"/>
  <c r="O48" i="70"/>
  <c r="O83" i="70"/>
  <c r="O16" i="70"/>
  <c r="O29" i="70"/>
  <c r="O40" i="70"/>
  <c r="O56" i="70"/>
  <c r="O89" i="70"/>
  <c r="O17" i="70"/>
  <c r="O30" i="70"/>
  <c r="O45" i="70"/>
  <c r="O46" i="70"/>
  <c r="O57" i="70"/>
  <c r="O90" i="70"/>
  <c r="O9" i="70"/>
  <c r="O49" i="70"/>
  <c r="O10" i="70"/>
  <c r="O24" i="70"/>
  <c r="O36" i="70"/>
  <c r="O50" i="70"/>
  <c r="O84" i="70"/>
  <c r="O11" i="70"/>
  <c r="O51" i="70"/>
  <c r="O62" i="70"/>
  <c r="O94" i="70"/>
  <c r="O91" i="70"/>
  <c r="O18" i="70"/>
  <c r="O31" i="70"/>
  <c r="O41" i="70"/>
  <c r="O58" i="70"/>
  <c r="N13" i="70"/>
  <c r="N14" i="70"/>
  <c r="N15" i="70"/>
  <c r="N26" i="70"/>
  <c r="N27" i="70"/>
  <c r="N28" i="70"/>
  <c r="N38" i="70"/>
  <c r="N39" i="70"/>
  <c r="N53" i="70"/>
  <c r="N54" i="70"/>
  <c r="N55" i="70"/>
  <c r="N76" i="70"/>
  <c r="N78" i="70"/>
  <c r="N64" i="70"/>
  <c r="N66" i="70"/>
  <c r="N68" i="70"/>
  <c r="N70" i="70"/>
  <c r="N72" i="70"/>
  <c r="N79" i="70"/>
  <c r="N77" i="70"/>
  <c r="N65" i="70"/>
  <c r="N67" i="70"/>
  <c r="N69" i="70"/>
  <c r="N71" i="70"/>
  <c r="N73" i="70"/>
  <c r="N20" i="70"/>
  <c r="N33" i="70"/>
  <c r="N43" i="70"/>
  <c r="N60" i="70"/>
  <c r="N19" i="70"/>
  <c r="N32" i="70"/>
  <c r="N42" i="70"/>
  <c r="N59" i="70"/>
  <c r="N80" i="70"/>
  <c r="N81" i="70"/>
  <c r="N86" i="70"/>
  <c r="N87" i="70"/>
  <c r="N88" i="70"/>
  <c r="N8" i="70"/>
  <c r="N22" i="70"/>
  <c r="N35" i="70"/>
  <c r="N48" i="70"/>
  <c r="N83" i="70"/>
  <c r="N16" i="70"/>
  <c r="N29" i="70"/>
  <c r="N40" i="70"/>
  <c r="N56" i="70"/>
  <c r="N89" i="70"/>
  <c r="N17" i="70"/>
  <c r="N30" i="70"/>
  <c r="N45" i="70"/>
  <c r="N46" i="70"/>
  <c r="N57" i="70"/>
  <c r="N90" i="70"/>
  <c r="N9" i="70"/>
  <c r="N49" i="70"/>
  <c r="N10" i="70"/>
  <c r="N24" i="70"/>
  <c r="N36" i="70"/>
  <c r="N50" i="70"/>
  <c r="N84" i="70"/>
  <c r="N11" i="70"/>
  <c r="N51" i="70"/>
  <c r="N62" i="70"/>
  <c r="N94" i="70"/>
  <c r="N91" i="70"/>
  <c r="N18" i="70"/>
  <c r="N31" i="70"/>
  <c r="N41" i="70"/>
  <c r="N58" i="70"/>
  <c r="V23" i="70"/>
  <c r="W23" i="70"/>
  <c r="X23" i="70"/>
  <c r="Y23" i="70"/>
  <c r="R23" i="70"/>
  <c r="S23" i="70"/>
  <c r="T23" i="70"/>
  <c r="U23" i="70"/>
  <c r="Y92" i="70"/>
  <c r="X92" i="70"/>
  <c r="W92" i="70"/>
  <c r="V92" i="70"/>
  <c r="U92" i="70"/>
  <c r="T92" i="70"/>
  <c r="S92" i="70"/>
  <c r="R92" i="70"/>
  <c r="Q92" i="70"/>
  <c r="P92" i="70"/>
  <c r="O92" i="70"/>
  <c r="N92" i="70"/>
  <c r="M92" i="70"/>
  <c r="L92" i="70"/>
  <c r="K92" i="70"/>
  <c r="BB311" i="80"/>
  <c r="J92" i="70"/>
  <c r="I92" i="70"/>
  <c r="H92" i="70"/>
  <c r="G92" i="70"/>
  <c r="F92" i="70"/>
  <c r="Q23" i="70"/>
  <c r="P23" i="70"/>
  <c r="O23" i="70"/>
  <c r="N23" i="70"/>
  <c r="J90" i="26"/>
  <c r="J250" i="79" s="1"/>
  <c r="J33" i="85"/>
  <c r="J16" i="26"/>
  <c r="J17" i="26"/>
  <c r="J177" i="79" s="1"/>
  <c r="J18" i="26"/>
  <c r="J20" i="26"/>
  <c r="J180" i="79" s="1"/>
  <c r="J21" i="26"/>
  <c r="J181" i="85" s="1"/>
  <c r="L100" i="90" s="1"/>
  <c r="J22" i="26"/>
  <c r="J182" i="80" s="1"/>
  <c r="J24" i="26"/>
  <c r="J25" i="26"/>
  <c r="J185" i="80" s="1"/>
  <c r="J27" i="26"/>
  <c r="J187" i="79" s="1"/>
  <c r="J28" i="26"/>
  <c r="J29" i="26"/>
  <c r="J32" i="26"/>
  <c r="J192" i="79" s="1"/>
  <c r="J33" i="26"/>
  <c r="J193" i="79" s="1"/>
  <c r="J34" i="26"/>
  <c r="J194" i="80" s="1"/>
  <c r="J35" i="26"/>
  <c r="J195" i="85" s="1"/>
  <c r="L111" i="90" s="1"/>
  <c r="J39" i="26"/>
  <c r="J199" i="80" s="1"/>
  <c r="J40" i="26"/>
  <c r="J41" i="26"/>
  <c r="J45" i="26"/>
  <c r="J46" i="26"/>
  <c r="J206" i="79" s="1"/>
  <c r="J50" i="26"/>
  <c r="J210" i="79" s="1"/>
  <c r="J51" i="26"/>
  <c r="J211" i="80" s="1"/>
  <c r="J53" i="26"/>
  <c r="J54" i="26"/>
  <c r="J214" i="85" s="1"/>
  <c r="L118" i="90" s="1"/>
  <c r="J66" i="26"/>
  <c r="J226" i="79" s="1"/>
  <c r="J67" i="26"/>
  <c r="J227" i="79" s="1"/>
  <c r="J69" i="26"/>
  <c r="J229" i="85" s="1"/>
  <c r="L130" i="90" s="1"/>
  <c r="J70" i="26"/>
  <c r="J71" i="26"/>
  <c r="J231" i="79" s="1"/>
  <c r="J72" i="26"/>
  <c r="J232" i="80" s="1"/>
  <c r="J151" i="85"/>
  <c r="L89" i="90" s="1"/>
  <c r="J139" i="79"/>
  <c r="J140" i="85"/>
  <c r="L80" i="90" s="1"/>
  <c r="J96" i="80"/>
  <c r="J97" i="80"/>
  <c r="J99" i="85"/>
  <c r="L51" i="90" s="1"/>
  <c r="J67" i="85"/>
  <c r="L33" i="90" s="1"/>
  <c r="J69" i="80"/>
  <c r="J70" i="85"/>
  <c r="L36" i="90" s="1"/>
  <c r="J71" i="79"/>
  <c r="J75" i="85"/>
  <c r="J121" i="85"/>
  <c r="L67" i="90" s="1"/>
  <c r="J20" i="27"/>
  <c r="G43" i="82"/>
  <c r="J120" i="85"/>
  <c r="L66" i="90" s="1"/>
  <c r="J113" i="79"/>
  <c r="G42" i="82"/>
  <c r="J129" i="85"/>
  <c r="L75" i="90" s="1"/>
  <c r="J21" i="27"/>
  <c r="J297" i="85" s="1"/>
  <c r="L167" i="90" s="1"/>
  <c r="J130" i="79"/>
  <c r="J90" i="79"/>
  <c r="J92" i="85"/>
  <c r="L47" i="90" s="1"/>
  <c r="J115" i="85"/>
  <c r="L64" i="90" s="1"/>
  <c r="J125" i="80"/>
  <c r="J24" i="85"/>
  <c r="L7" i="90" s="1"/>
  <c r="J85" i="26"/>
  <c r="J245" i="80" s="1"/>
  <c r="J87" i="26"/>
  <c r="J89" i="26"/>
  <c r="J249" i="80" s="1"/>
  <c r="I25" i="31"/>
  <c r="J277" i="80" s="1"/>
  <c r="J29" i="27"/>
  <c r="J31" i="27"/>
  <c r="J307" i="85" s="1"/>
  <c r="L171" i="90" s="1"/>
  <c r="J15" i="27"/>
  <c r="J291" i="85" s="1"/>
  <c r="L161" i="90" s="1"/>
  <c r="J92" i="26"/>
  <c r="J252" i="80" s="1"/>
  <c r="J108" i="80"/>
  <c r="J124" i="85"/>
  <c r="L70" i="90" s="1"/>
  <c r="I26" i="31"/>
  <c r="J33" i="27"/>
  <c r="J309" i="85" s="1"/>
  <c r="L173" i="90" s="1"/>
  <c r="J87" i="79"/>
  <c r="J91" i="80"/>
  <c r="J114" i="79"/>
  <c r="J132" i="80"/>
  <c r="J84" i="26"/>
  <c r="J86" i="26"/>
  <c r="J246" i="80" s="1"/>
  <c r="J88" i="26"/>
  <c r="J248" i="85" s="1"/>
  <c r="L142" i="90" s="1"/>
  <c r="I18" i="31"/>
  <c r="J270" i="80" s="1"/>
  <c r="J30" i="27"/>
  <c r="J306" i="85" s="1"/>
  <c r="L170" i="90" s="1"/>
  <c r="J19" i="27"/>
  <c r="J295" i="79" s="1"/>
  <c r="J94" i="26"/>
  <c r="J254" i="80" s="1"/>
  <c r="J81" i="26"/>
  <c r="J241" i="85" s="1"/>
  <c r="L135" i="90" s="1"/>
  <c r="J35" i="27"/>
  <c r="J311" i="79" s="1"/>
  <c r="J93" i="26"/>
  <c r="J253" i="80" s="1"/>
  <c r="I28" i="31"/>
  <c r="J280" i="80" s="1"/>
  <c r="I27" i="31"/>
  <c r="J279" i="79" s="1"/>
  <c r="I24" i="31"/>
  <c r="J276" i="79" s="1"/>
  <c r="I16" i="31"/>
  <c r="J268" i="85" s="1"/>
  <c r="L151" i="90" s="1"/>
  <c r="J18" i="27"/>
  <c r="J294" i="80" s="1"/>
  <c r="J17" i="27"/>
  <c r="J96" i="26"/>
  <c r="J256" i="85" s="1"/>
  <c r="L150" i="90" s="1"/>
  <c r="J34" i="27"/>
  <c r="J310" i="85" s="1"/>
  <c r="L174" i="90" s="1"/>
  <c r="E29" i="80"/>
  <c r="G29" i="80"/>
  <c r="FK29" i="80" s="1"/>
  <c r="FK30" i="80" s="1"/>
  <c r="FK403" i="80" s="1"/>
  <c r="FK418" i="80" s="1"/>
  <c r="E29" i="79"/>
  <c r="G29" i="79"/>
  <c r="G30" i="79" s="1"/>
  <c r="FJ29" i="79"/>
  <c r="FB29" i="79"/>
  <c r="ET29" i="79"/>
  <c r="EL29" i="79"/>
  <c r="ED29" i="79"/>
  <c r="DV29" i="79"/>
  <c r="DN29" i="79"/>
  <c r="DF29" i="79"/>
  <c r="CX29" i="79"/>
  <c r="CP29" i="79"/>
  <c r="CH29" i="79"/>
  <c r="BZ29" i="79"/>
  <c r="BR29" i="79"/>
  <c r="BJ29" i="79"/>
  <c r="BB29" i="79"/>
  <c r="AT29" i="79"/>
  <c r="AL29" i="79"/>
  <c r="AD29" i="79"/>
  <c r="V29" i="79"/>
  <c r="N29" i="79"/>
  <c r="B4" i="69"/>
  <c r="F11" i="77"/>
  <c r="E11" i="77"/>
  <c r="C11" i="77"/>
  <c r="D11" i="77"/>
  <c r="G11" i="77"/>
  <c r="H11" i="77"/>
  <c r="Z11" i="77"/>
  <c r="Y11" i="77"/>
  <c r="X11" i="77"/>
  <c r="W11" i="77"/>
  <c r="V11" i="77"/>
  <c r="U11" i="77"/>
  <c r="T11" i="77"/>
  <c r="S11" i="77"/>
  <c r="R11" i="77"/>
  <c r="Q11" i="77"/>
  <c r="P11" i="77"/>
  <c r="O11" i="77"/>
  <c r="N11" i="77"/>
  <c r="M11" i="77"/>
  <c r="L11" i="77"/>
  <c r="K11" i="77"/>
  <c r="J11" i="77"/>
  <c r="I11" i="77"/>
  <c r="I146" i="85"/>
  <c r="K84" i="90" s="1"/>
  <c r="D33" i="33"/>
  <c r="D34" i="33"/>
  <c r="D35" i="33"/>
  <c r="D36" i="33"/>
  <c r="D37" i="33"/>
  <c r="D17" i="35" s="1"/>
  <c r="D38" i="33"/>
  <c r="D18" i="35" s="1"/>
  <c r="D39" i="33"/>
  <c r="K6" i="37"/>
  <c r="K5" i="37"/>
  <c r="F7" i="7"/>
  <c r="F6" i="7"/>
  <c r="I7" i="27"/>
  <c r="I6" i="27"/>
  <c r="I7" i="31"/>
  <c r="I6" i="31"/>
  <c r="I7" i="26"/>
  <c r="I6" i="26"/>
  <c r="H7" i="36"/>
  <c r="H6" i="36"/>
  <c r="F7" i="32"/>
  <c r="F6" i="32"/>
  <c r="D1" i="78"/>
  <c r="D22" i="69"/>
  <c r="D21" i="69"/>
  <c r="D20" i="69"/>
  <c r="C7" i="33"/>
  <c r="C6" i="33"/>
  <c r="C5" i="33"/>
  <c r="B1" i="76"/>
  <c r="C7" i="79"/>
  <c r="C6" i="79"/>
  <c r="C5" i="79"/>
  <c r="D21" i="37"/>
  <c r="H145" i="79"/>
  <c r="H146" i="85"/>
  <c r="J84" i="90" s="1"/>
  <c r="D36" i="37"/>
  <c r="G25" i="27" s="1"/>
  <c r="G22" i="80"/>
  <c r="G398" i="80" s="1"/>
  <c r="G23" i="80"/>
  <c r="G399" i="80" s="1"/>
  <c r="G24" i="80"/>
  <c r="G400" i="80" s="1"/>
  <c r="G25" i="80"/>
  <c r="G33" i="80"/>
  <c r="EE33" i="80" s="1"/>
  <c r="G38" i="80"/>
  <c r="G383" i="80" s="1"/>
  <c r="G434" i="80" s="1"/>
  <c r="E38" i="80"/>
  <c r="E383" i="80"/>
  <c r="G39" i="80"/>
  <c r="G384" i="80" s="1"/>
  <c r="G435" i="80" s="1"/>
  <c r="E39" i="80"/>
  <c r="E384" i="80"/>
  <c r="G45" i="80"/>
  <c r="G390" i="80" s="1"/>
  <c r="G436" i="80" s="1"/>
  <c r="E45" i="80"/>
  <c r="E390" i="80"/>
  <c r="G46" i="80"/>
  <c r="G391" i="80" s="1"/>
  <c r="G437" i="80" s="1"/>
  <c r="E46" i="80"/>
  <c r="C7" i="80"/>
  <c r="C6" i="80"/>
  <c r="C5" i="80"/>
  <c r="B8" i="77"/>
  <c r="A8" i="77"/>
  <c r="A7" i="77"/>
  <c r="B11" i="77"/>
  <c r="F69" i="37"/>
  <c r="B118" i="36"/>
  <c r="AA29" i="77"/>
  <c r="E58" i="80"/>
  <c r="K58" i="80"/>
  <c r="J60" i="79"/>
  <c r="E61" i="80"/>
  <c r="K61" i="80"/>
  <c r="G470" i="80"/>
  <c r="G465" i="80" s="1"/>
  <c r="G478" i="80"/>
  <c r="G484" i="80"/>
  <c r="E191" i="80"/>
  <c r="E176" i="80"/>
  <c r="K176" i="80"/>
  <c r="G176" i="80"/>
  <c r="BK176" i="80" s="1"/>
  <c r="E177" i="80"/>
  <c r="K177" i="80"/>
  <c r="G177" i="80"/>
  <c r="FC177" i="80" s="1"/>
  <c r="E178" i="80"/>
  <c r="K178" i="80"/>
  <c r="G178" i="80"/>
  <c r="E180" i="80"/>
  <c r="G180" i="80"/>
  <c r="CI180" i="80" s="1"/>
  <c r="CK180" i="80" s="1"/>
  <c r="E181" i="80"/>
  <c r="G181" i="80"/>
  <c r="DW181" i="80" s="1"/>
  <c r="E182" i="80"/>
  <c r="G182" i="80"/>
  <c r="E184" i="80"/>
  <c r="K184" i="80"/>
  <c r="G184" i="80"/>
  <c r="E185" i="80"/>
  <c r="K185" i="80"/>
  <c r="G185" i="80"/>
  <c r="AU185" i="80" s="1"/>
  <c r="E187" i="80"/>
  <c r="K187" i="80"/>
  <c r="G187" i="80"/>
  <c r="Y53" i="70"/>
  <c r="FJ187" i="80"/>
  <c r="X53" i="70"/>
  <c r="FB187" i="80"/>
  <c r="E188" i="80"/>
  <c r="K188" i="80"/>
  <c r="G188" i="80"/>
  <c r="E189" i="80"/>
  <c r="G189" i="80"/>
  <c r="E192" i="80"/>
  <c r="K192" i="80"/>
  <c r="G192" i="80"/>
  <c r="DG192" i="80" s="1"/>
  <c r="E193" i="80"/>
  <c r="K193" i="80"/>
  <c r="G193" i="80"/>
  <c r="E194" i="80"/>
  <c r="G194" i="80"/>
  <c r="AU194" i="80" s="1"/>
  <c r="E195" i="80"/>
  <c r="G195" i="80"/>
  <c r="BC195" i="80" s="1"/>
  <c r="E199" i="80"/>
  <c r="G199" i="80"/>
  <c r="AM199" i="80" s="1"/>
  <c r="E200" i="80"/>
  <c r="G200" i="80"/>
  <c r="E201" i="80"/>
  <c r="G201" i="80"/>
  <c r="E205" i="80"/>
  <c r="K205" i="80"/>
  <c r="G205" i="80"/>
  <c r="BK205" i="80" s="1"/>
  <c r="E206" i="80"/>
  <c r="K206" i="80"/>
  <c r="G206" i="80"/>
  <c r="E210" i="80"/>
  <c r="G210" i="80"/>
  <c r="CA210" i="80" s="1"/>
  <c r="E211" i="80"/>
  <c r="K211" i="80"/>
  <c r="G211" i="80"/>
  <c r="DG211" i="80" s="1"/>
  <c r="E212" i="80"/>
  <c r="G212" i="80"/>
  <c r="FK212" i="80" s="1"/>
  <c r="E213" i="80"/>
  <c r="G213" i="80"/>
  <c r="FK213" i="80" s="1"/>
  <c r="E214" i="80"/>
  <c r="G214" i="80"/>
  <c r="E219" i="80"/>
  <c r="E22" i="80"/>
  <c r="E23" i="80"/>
  <c r="E24" i="80"/>
  <c r="K24" i="80"/>
  <c r="E25" i="80"/>
  <c r="E33" i="80"/>
  <c r="K33" i="80"/>
  <c r="G219" i="80"/>
  <c r="CI219" i="80" s="1"/>
  <c r="K219" i="80"/>
  <c r="E220" i="80"/>
  <c r="K220" i="80"/>
  <c r="G220" i="80"/>
  <c r="E222" i="80"/>
  <c r="K222" i="80"/>
  <c r="G222" i="80"/>
  <c r="E223" i="80"/>
  <c r="K223" i="80"/>
  <c r="G16" i="80"/>
  <c r="FC16" i="80" s="1"/>
  <c r="FD16" i="80" s="1"/>
  <c r="FD410" i="80" s="1"/>
  <c r="G17" i="80"/>
  <c r="G18" i="80"/>
  <c r="G37" i="80"/>
  <c r="G382" i="80" s="1"/>
  <c r="G40" i="80"/>
  <c r="G385" i="80" s="1"/>
  <c r="G41" i="80"/>
  <c r="G386" i="80" s="1"/>
  <c r="G42" i="80"/>
  <c r="G387" i="80" s="1"/>
  <c r="G43" i="80"/>
  <c r="G388" i="80" s="1"/>
  <c r="G44" i="80"/>
  <c r="G389" i="80" s="1"/>
  <c r="G47" i="80"/>
  <c r="G392" i="80" s="1"/>
  <c r="G48" i="80"/>
  <c r="G393" i="80" s="1"/>
  <c r="E16" i="80"/>
  <c r="E17" i="80"/>
  <c r="E18" i="80"/>
  <c r="E37" i="80"/>
  <c r="E382" i="80"/>
  <c r="K382" i="80"/>
  <c r="E40" i="80"/>
  <c r="E385" i="80"/>
  <c r="K385" i="80"/>
  <c r="E41" i="80"/>
  <c r="E386" i="80"/>
  <c r="K386" i="80"/>
  <c r="E42" i="80"/>
  <c r="E43" i="80"/>
  <c r="E44" i="80"/>
  <c r="E389" i="80"/>
  <c r="K389" i="80"/>
  <c r="E47" i="80"/>
  <c r="E392" i="80"/>
  <c r="K392" i="80"/>
  <c r="E48" i="80"/>
  <c r="E393" i="80"/>
  <c r="K393" i="80"/>
  <c r="G223" i="80"/>
  <c r="E224" i="80"/>
  <c r="G224" i="80"/>
  <c r="FK224" i="80" s="1"/>
  <c r="E225" i="80"/>
  <c r="K225" i="80"/>
  <c r="G225" i="80"/>
  <c r="BS225" i="80" s="1"/>
  <c r="E226" i="80"/>
  <c r="G226" i="80"/>
  <c r="EM226" i="80" s="1"/>
  <c r="E227" i="80"/>
  <c r="K227" i="80"/>
  <c r="G227" i="80"/>
  <c r="FK227" i="80" s="1"/>
  <c r="E229" i="80"/>
  <c r="G229" i="80"/>
  <c r="DG229" i="80" s="1"/>
  <c r="E230" i="80"/>
  <c r="G230" i="80"/>
  <c r="CQ230" i="80" s="1"/>
  <c r="E231" i="80"/>
  <c r="G231" i="80"/>
  <c r="E232" i="80"/>
  <c r="G232" i="80"/>
  <c r="AU232" i="80" s="1"/>
  <c r="E234" i="80"/>
  <c r="K234" i="80"/>
  <c r="G234" i="80"/>
  <c r="EM234" i="80" s="1"/>
  <c r="E221" i="80"/>
  <c r="K221" i="80"/>
  <c r="G221" i="80"/>
  <c r="E228" i="80"/>
  <c r="K228" i="80"/>
  <c r="G228" i="80"/>
  <c r="E241" i="80"/>
  <c r="G241" i="80"/>
  <c r="AU241" i="80" s="1"/>
  <c r="E242" i="80"/>
  <c r="E243" i="80"/>
  <c r="K243" i="80"/>
  <c r="E244" i="80"/>
  <c r="G244" i="80"/>
  <c r="E245" i="80"/>
  <c r="K245" i="80"/>
  <c r="G245" i="80"/>
  <c r="FC245" i="80" s="1"/>
  <c r="E246" i="80"/>
  <c r="K246" i="80"/>
  <c r="G246" i="80"/>
  <c r="E247" i="80"/>
  <c r="K247" i="80"/>
  <c r="G247" i="80"/>
  <c r="E248" i="80"/>
  <c r="K248" i="80"/>
  <c r="G248" i="80"/>
  <c r="EM248" i="80" s="1"/>
  <c r="E249" i="80"/>
  <c r="K249" i="80"/>
  <c r="G249" i="80"/>
  <c r="E250" i="80"/>
  <c r="G250" i="80"/>
  <c r="FK250" i="80" s="1"/>
  <c r="K250" i="80"/>
  <c r="E251" i="80"/>
  <c r="G251" i="80"/>
  <c r="E252" i="80"/>
  <c r="G252" i="80"/>
  <c r="E253" i="80"/>
  <c r="G253" i="80"/>
  <c r="E254" i="80"/>
  <c r="G254" i="80"/>
  <c r="CI254" i="80" s="1"/>
  <c r="E255" i="80"/>
  <c r="G255" i="80"/>
  <c r="BK255" i="80" s="1"/>
  <c r="E256" i="80"/>
  <c r="G256" i="80"/>
  <c r="BS256" i="80" s="1"/>
  <c r="E87" i="80"/>
  <c r="G87" i="80"/>
  <c r="E88" i="80"/>
  <c r="K88" i="80"/>
  <c r="G88" i="80"/>
  <c r="AM88" i="80" s="1"/>
  <c r="E89" i="80"/>
  <c r="G89" i="80"/>
  <c r="EM89" i="80" s="1"/>
  <c r="E90" i="80"/>
  <c r="K90" i="80"/>
  <c r="G90" i="80"/>
  <c r="AM90" i="80" s="1"/>
  <c r="E91" i="80"/>
  <c r="K91" i="80"/>
  <c r="G91" i="80"/>
  <c r="CA91" i="80" s="1"/>
  <c r="CB91" i="80" s="1"/>
  <c r="E92" i="80"/>
  <c r="G92" i="80"/>
  <c r="E96" i="80"/>
  <c r="G96" i="80"/>
  <c r="BS96" i="80" s="1"/>
  <c r="E97" i="80"/>
  <c r="G97" i="80"/>
  <c r="FK97" i="80" s="1"/>
  <c r="E98" i="80"/>
  <c r="G98" i="80"/>
  <c r="DG98" i="80" s="1"/>
  <c r="E99" i="80"/>
  <c r="G99" i="80"/>
  <c r="BK99" i="80" s="1"/>
  <c r="E103" i="80"/>
  <c r="K103" i="80"/>
  <c r="G103" i="80"/>
  <c r="EU103" i="80" s="1"/>
  <c r="E104" i="80"/>
  <c r="G104" i="80"/>
  <c r="AM104" i="80" s="1"/>
  <c r="AO104" i="80" s="1"/>
  <c r="E105" i="80"/>
  <c r="K105" i="80"/>
  <c r="G105" i="80"/>
  <c r="E106" i="80"/>
  <c r="G106" i="80"/>
  <c r="E107" i="80"/>
  <c r="G107" i="80"/>
  <c r="FK107" i="80" s="1"/>
  <c r="E108" i="80"/>
  <c r="K108" i="80"/>
  <c r="G108" i="80"/>
  <c r="AE108" i="80" s="1"/>
  <c r="E109" i="80"/>
  <c r="G109" i="80"/>
  <c r="AM109" i="80" s="1"/>
  <c r="E110" i="80"/>
  <c r="G110" i="80"/>
  <c r="E111" i="80"/>
  <c r="G111" i="80"/>
  <c r="E112" i="80"/>
  <c r="G112" i="80"/>
  <c r="E114" i="80"/>
  <c r="G114" i="80"/>
  <c r="E113" i="80"/>
  <c r="G113" i="80"/>
  <c r="BS113" i="80" s="1"/>
  <c r="E115" i="80"/>
  <c r="G115" i="80"/>
  <c r="CI115" i="80" s="1"/>
  <c r="E119" i="80"/>
  <c r="K119" i="80"/>
  <c r="G119" i="80"/>
  <c r="BC119" i="80" s="1"/>
  <c r="E120" i="80"/>
  <c r="K120" i="80"/>
  <c r="G120" i="80"/>
  <c r="FK120" i="80" s="1"/>
  <c r="E121" i="80"/>
  <c r="G121" i="80"/>
  <c r="BC121" i="80" s="1"/>
  <c r="E122" i="80"/>
  <c r="E123" i="80"/>
  <c r="G123" i="80"/>
  <c r="DW123" i="80" s="1"/>
  <c r="E124" i="80"/>
  <c r="G124" i="80"/>
  <c r="BC124" i="80" s="1"/>
  <c r="BD124" i="80" s="1"/>
  <c r="K124" i="80"/>
  <c r="E125" i="80"/>
  <c r="G125" i="80"/>
  <c r="DO125" i="80" s="1"/>
  <c r="K125" i="80"/>
  <c r="E126" i="80"/>
  <c r="K126" i="80"/>
  <c r="G126" i="80"/>
  <c r="E127" i="80"/>
  <c r="K127" i="80"/>
  <c r="G127" i="80"/>
  <c r="E129" i="80"/>
  <c r="K129" i="80"/>
  <c r="G129" i="80"/>
  <c r="CA129" i="80" s="1"/>
  <c r="E130" i="80"/>
  <c r="G130" i="80"/>
  <c r="DG130" i="80" s="1"/>
  <c r="E131" i="80"/>
  <c r="K131" i="80"/>
  <c r="G131" i="80"/>
  <c r="DW131" i="80" s="1"/>
  <c r="E132" i="80"/>
  <c r="G132" i="80"/>
  <c r="AM132" i="80" s="1"/>
  <c r="K37" i="80"/>
  <c r="K40" i="80"/>
  <c r="K41" i="80"/>
  <c r="E57" i="80"/>
  <c r="G57" i="80"/>
  <c r="CA57" i="80" s="1"/>
  <c r="G58" i="80"/>
  <c r="W58" i="80" s="1"/>
  <c r="G59" i="80"/>
  <c r="BC59" i="80" s="1"/>
  <c r="E60" i="80"/>
  <c r="K60" i="80"/>
  <c r="G60" i="80"/>
  <c r="DO60" i="80" s="1"/>
  <c r="G61" i="80"/>
  <c r="E62" i="80"/>
  <c r="K62" i="80"/>
  <c r="G62" i="80"/>
  <c r="E63" i="80"/>
  <c r="K63" i="80"/>
  <c r="G63" i="80"/>
  <c r="BS63" i="80" s="1"/>
  <c r="E64" i="80"/>
  <c r="G64" i="80"/>
  <c r="E65" i="80"/>
  <c r="G65" i="80"/>
  <c r="AM65" i="80" s="1"/>
  <c r="E66" i="80"/>
  <c r="G66" i="80"/>
  <c r="FK66" i="80" s="1"/>
  <c r="E67" i="80"/>
  <c r="G67" i="80"/>
  <c r="CA67" i="80" s="1"/>
  <c r="E68" i="80"/>
  <c r="G68" i="80"/>
  <c r="DO68" i="80" s="1"/>
  <c r="DQ68" i="80" s="1"/>
  <c r="E69" i="80"/>
  <c r="G69" i="80"/>
  <c r="E70" i="80"/>
  <c r="G70" i="80"/>
  <c r="EM70" i="80" s="1"/>
  <c r="EN70" i="80" s="1"/>
  <c r="E71" i="80"/>
  <c r="G71" i="80"/>
  <c r="E72" i="80"/>
  <c r="G72" i="80"/>
  <c r="DW72" i="80" s="1"/>
  <c r="G73" i="80"/>
  <c r="E147" i="80"/>
  <c r="K147" i="80"/>
  <c r="G147" i="80"/>
  <c r="EE147" i="80" s="1"/>
  <c r="E148" i="80"/>
  <c r="K148" i="80"/>
  <c r="E149" i="80"/>
  <c r="G149" i="80"/>
  <c r="EM149" i="80" s="1"/>
  <c r="E150" i="80"/>
  <c r="K150" i="80"/>
  <c r="G150" i="80"/>
  <c r="E151" i="80"/>
  <c r="K151" i="80"/>
  <c r="G151" i="80"/>
  <c r="E152" i="80"/>
  <c r="K152" i="80"/>
  <c r="G152" i="80"/>
  <c r="EE152" i="80" s="1"/>
  <c r="E153" i="80"/>
  <c r="K153" i="80"/>
  <c r="G153" i="80"/>
  <c r="BS153" i="80" s="1"/>
  <c r="E154" i="80"/>
  <c r="K154" i="80"/>
  <c r="G154" i="80"/>
  <c r="EU154" i="80" s="1"/>
  <c r="E155" i="80"/>
  <c r="G155" i="80"/>
  <c r="BC155" i="80" s="1"/>
  <c r="E139" i="80"/>
  <c r="G139" i="80"/>
  <c r="E140" i="80"/>
  <c r="G140" i="80"/>
  <c r="O140" i="80" s="1"/>
  <c r="E141" i="80"/>
  <c r="G141" i="80"/>
  <c r="EE141" i="80" s="1"/>
  <c r="EF141" i="80" s="1"/>
  <c r="E142" i="80"/>
  <c r="G142" i="80"/>
  <c r="EM142" i="80" s="1"/>
  <c r="G486" i="80"/>
  <c r="G489" i="80"/>
  <c r="G493" i="80"/>
  <c r="E301" i="80"/>
  <c r="K301" i="80"/>
  <c r="E305" i="80"/>
  <c r="K305" i="80"/>
  <c r="G305" i="80"/>
  <c r="FK305" i="80" s="1"/>
  <c r="E306" i="80"/>
  <c r="K306" i="80"/>
  <c r="G306" i="80"/>
  <c r="FK306" i="80" s="1"/>
  <c r="E307" i="80"/>
  <c r="G307" i="80"/>
  <c r="E308" i="80"/>
  <c r="K308" i="80"/>
  <c r="G308" i="80"/>
  <c r="E309" i="80"/>
  <c r="K309" i="80"/>
  <c r="G309" i="80"/>
  <c r="FK309" i="80"/>
  <c r="FL309" i="80" s="1"/>
  <c r="E310" i="80"/>
  <c r="K310" i="80"/>
  <c r="G310" i="80"/>
  <c r="E311" i="80"/>
  <c r="K311" i="80"/>
  <c r="G311" i="80"/>
  <c r="BC311" i="80" s="1"/>
  <c r="E291" i="80"/>
  <c r="G291" i="80"/>
  <c r="BS291" i="80" s="1"/>
  <c r="E292" i="80"/>
  <c r="K292" i="80"/>
  <c r="G292" i="80"/>
  <c r="AE292" i="80" s="1"/>
  <c r="E293" i="80"/>
  <c r="G293" i="80"/>
  <c r="CQ293" i="80" s="1"/>
  <c r="K293" i="80"/>
  <c r="E294" i="80"/>
  <c r="G294" i="80"/>
  <c r="CQ294" i="80" s="1"/>
  <c r="E295" i="80"/>
  <c r="G295" i="80"/>
  <c r="E296" i="80"/>
  <c r="G296" i="80"/>
  <c r="DO296" i="80" s="1"/>
  <c r="E297" i="80"/>
  <c r="K297" i="80"/>
  <c r="G297" i="80"/>
  <c r="DW297" i="80" s="1"/>
  <c r="E268" i="80"/>
  <c r="G268" i="80"/>
  <c r="BK268" i="80"/>
  <c r="E269" i="80"/>
  <c r="K269" i="80"/>
  <c r="G269" i="80"/>
  <c r="FK269" i="80"/>
  <c r="E270" i="80"/>
  <c r="G270" i="80"/>
  <c r="DO270" i="80" s="1"/>
  <c r="E274" i="80"/>
  <c r="K274" i="80"/>
  <c r="G274" i="80"/>
  <c r="FK274" i="80" s="1"/>
  <c r="E275" i="80"/>
  <c r="G275" i="80"/>
  <c r="E276" i="80"/>
  <c r="K276" i="80"/>
  <c r="G276" i="80"/>
  <c r="AM276" i="80"/>
  <c r="E277" i="80"/>
  <c r="G277" i="80"/>
  <c r="CI277" i="80" s="1"/>
  <c r="E278" i="80"/>
  <c r="K278" i="80"/>
  <c r="G278" i="80"/>
  <c r="E279" i="80"/>
  <c r="G279" i="80"/>
  <c r="EU279" i="80"/>
  <c r="E280" i="80"/>
  <c r="K280" i="80"/>
  <c r="G280" i="80"/>
  <c r="O280" i="80" s="1"/>
  <c r="H345" i="80"/>
  <c r="W53" i="70"/>
  <c r="ET187" i="80"/>
  <c r="FC232" i="80"/>
  <c r="FD232" i="80" s="1"/>
  <c r="FC305" i="80"/>
  <c r="FC308" i="80"/>
  <c r="FC269" i="80"/>
  <c r="V53" i="70"/>
  <c r="EL187" i="80"/>
  <c r="ET245" i="80"/>
  <c r="EU308" i="80"/>
  <c r="EU269" i="80"/>
  <c r="EU275" i="80"/>
  <c r="EL248" i="80"/>
  <c r="EM305" i="80"/>
  <c r="EM269" i="80"/>
  <c r="EE305" i="80"/>
  <c r="EE269" i="80"/>
  <c r="EE275" i="80"/>
  <c r="EE281" i="80" s="1"/>
  <c r="DW232" i="80"/>
  <c r="DY232" i="80" s="1"/>
  <c r="DW305" i="80"/>
  <c r="DW308" i="80"/>
  <c r="DW295" i="80"/>
  <c r="DW269" i="80"/>
  <c r="DO305" i="80"/>
  <c r="DO308" i="80"/>
  <c r="DO269" i="80"/>
  <c r="DO275" i="80"/>
  <c r="DG305" i="80"/>
  <c r="DG308" i="80"/>
  <c r="DG294" i="80"/>
  <c r="DG295" i="80"/>
  <c r="DG269" i="80"/>
  <c r="DG275" i="80"/>
  <c r="DG279" i="80"/>
  <c r="CX22" i="80"/>
  <c r="CY305" i="80"/>
  <c r="CY308" i="80"/>
  <c r="CY269" i="80"/>
  <c r="CY275" i="80"/>
  <c r="CQ256" i="80"/>
  <c r="CQ305" i="80"/>
  <c r="CQ307" i="80"/>
  <c r="CS307" i="80" s="1"/>
  <c r="CQ308" i="80"/>
  <c r="CQ269" i="80"/>
  <c r="CI486" i="80"/>
  <c r="CI305" i="80"/>
  <c r="CI308" i="80"/>
  <c r="CI269" i="80"/>
  <c r="CI279" i="80"/>
  <c r="CA308" i="80"/>
  <c r="CA269" i="80"/>
  <c r="CA275" i="80"/>
  <c r="CA277" i="80"/>
  <c r="BS305" i="80"/>
  <c r="BS307" i="80"/>
  <c r="BT307" i="80" s="1"/>
  <c r="BS308" i="80"/>
  <c r="BS295" i="80"/>
  <c r="BS269" i="80"/>
  <c r="BS275" i="80"/>
  <c r="BK307" i="80"/>
  <c r="BK308" i="80"/>
  <c r="BK295" i="80"/>
  <c r="BK269" i="80"/>
  <c r="BK278" i="80"/>
  <c r="BC486" i="80"/>
  <c r="BC305" i="80"/>
  <c r="BC307" i="80"/>
  <c r="BC308" i="80"/>
  <c r="BC294" i="80"/>
  <c r="BD294" i="80" s="1"/>
  <c r="BC269" i="80"/>
  <c r="BC275" i="80"/>
  <c r="BC277" i="80"/>
  <c r="BC279" i="80"/>
  <c r="J140" i="76"/>
  <c r="I20" i="70"/>
  <c r="J149" i="76"/>
  <c r="J33" i="76"/>
  <c r="I13" i="70"/>
  <c r="AU305" i="80"/>
  <c r="AU307" i="80"/>
  <c r="AU308" i="80"/>
  <c r="AU294" i="80"/>
  <c r="AV294" i="80" s="1"/>
  <c r="AU269" i="80"/>
  <c r="AU278" i="80"/>
  <c r="AU279" i="80"/>
  <c r="I140" i="76"/>
  <c r="I149" i="76"/>
  <c r="I150" i="76"/>
  <c r="H26" i="70"/>
  <c r="H33" i="70"/>
  <c r="AL192" i="80"/>
  <c r="AL193" i="80"/>
  <c r="AM305" i="80"/>
  <c r="AM307" i="80"/>
  <c r="AM308" i="80"/>
  <c r="AM313" i="80" s="1"/>
  <c r="AM294" i="80"/>
  <c r="AN294" i="80" s="1"/>
  <c r="AM295" i="80"/>
  <c r="AM269" i="80"/>
  <c r="AM275" i="80"/>
  <c r="AM277" i="80"/>
  <c r="AM280" i="80"/>
  <c r="G140" i="76"/>
  <c r="AE486" i="80"/>
  <c r="AE305" i="80"/>
  <c r="AE307" i="80"/>
  <c r="AE308" i="80"/>
  <c r="AE294" i="80"/>
  <c r="AG294" i="80" s="1"/>
  <c r="AE269" i="80"/>
  <c r="F140" i="76"/>
  <c r="V199" i="80"/>
  <c r="W486" i="80"/>
  <c r="W305" i="80"/>
  <c r="W307" i="80"/>
  <c r="W308" i="80"/>
  <c r="W292" i="80"/>
  <c r="W269" i="80"/>
  <c r="W275" i="80"/>
  <c r="W277" i="80"/>
  <c r="W279" i="80"/>
  <c r="O486" i="80"/>
  <c r="O305" i="80"/>
  <c r="O306" i="80"/>
  <c r="O308" i="80"/>
  <c r="O269" i="80"/>
  <c r="O275" i="80"/>
  <c r="O277" i="80"/>
  <c r="O279" i="80"/>
  <c r="G470" i="79"/>
  <c r="G478" i="79"/>
  <c r="DW478" i="79" s="1"/>
  <c r="G484" i="79"/>
  <c r="E191" i="79"/>
  <c r="K191" i="79"/>
  <c r="E176" i="79"/>
  <c r="K176" i="79"/>
  <c r="G176" i="79"/>
  <c r="E177" i="79"/>
  <c r="G177" i="79"/>
  <c r="EU177" i="79" s="1"/>
  <c r="FJ177" i="79"/>
  <c r="E178" i="79"/>
  <c r="G178" i="79"/>
  <c r="CA178" i="79" s="1"/>
  <c r="FJ178" i="79"/>
  <c r="K178" i="79"/>
  <c r="E180" i="79"/>
  <c r="K180" i="79"/>
  <c r="G180" i="79"/>
  <c r="DO180" i="79" s="1"/>
  <c r="E181" i="79"/>
  <c r="K181" i="79"/>
  <c r="G181" i="79"/>
  <c r="CI181" i="79" s="1"/>
  <c r="FJ181" i="79"/>
  <c r="E182" i="79"/>
  <c r="K182" i="79"/>
  <c r="G182" i="79"/>
  <c r="FC182" i="79" s="1"/>
  <c r="FJ182" i="79"/>
  <c r="E184" i="79"/>
  <c r="G184" i="79"/>
  <c r="FJ184" i="79"/>
  <c r="E185" i="79"/>
  <c r="G185" i="79"/>
  <c r="FJ185" i="79"/>
  <c r="K185" i="79"/>
  <c r="E187" i="79"/>
  <c r="K187" i="79"/>
  <c r="G187" i="79"/>
  <c r="E188" i="79"/>
  <c r="K188" i="79"/>
  <c r="G188" i="79"/>
  <c r="BS188" i="79" s="1"/>
  <c r="FJ188" i="79"/>
  <c r="E189" i="79"/>
  <c r="K189" i="79"/>
  <c r="G189" i="79"/>
  <c r="BC189" i="79" s="1"/>
  <c r="FJ189" i="79"/>
  <c r="E192" i="79"/>
  <c r="G192" i="79"/>
  <c r="FJ192" i="79"/>
  <c r="E193" i="79"/>
  <c r="K193" i="79"/>
  <c r="G193" i="79"/>
  <c r="AM193" i="79" s="1"/>
  <c r="FJ193" i="79"/>
  <c r="E194" i="79"/>
  <c r="G194" i="79"/>
  <c r="FK194" i="79"/>
  <c r="E195" i="79"/>
  <c r="G195" i="79"/>
  <c r="AU195" i="79" s="1"/>
  <c r="E199" i="79"/>
  <c r="K199" i="79"/>
  <c r="G199" i="79"/>
  <c r="DG199" i="79" s="1"/>
  <c r="FJ199" i="79"/>
  <c r="E200" i="79"/>
  <c r="K200" i="79"/>
  <c r="G200" i="79"/>
  <c r="FJ200" i="79"/>
  <c r="E201" i="79"/>
  <c r="K201" i="79"/>
  <c r="G201" i="79"/>
  <c r="EM201" i="79" s="1"/>
  <c r="FJ201" i="79"/>
  <c r="E205" i="79"/>
  <c r="G205" i="79"/>
  <c r="EE205" i="79" s="1"/>
  <c r="K205" i="79"/>
  <c r="E206" i="79"/>
  <c r="K206" i="79"/>
  <c r="G206" i="79"/>
  <c r="BK206" i="79" s="1"/>
  <c r="E210" i="79"/>
  <c r="G210" i="79"/>
  <c r="E211" i="79"/>
  <c r="G211" i="79"/>
  <c r="E212" i="79"/>
  <c r="G212" i="79"/>
  <c r="E213" i="79"/>
  <c r="G213" i="79"/>
  <c r="BC213" i="79" s="1"/>
  <c r="E214" i="79"/>
  <c r="G214" i="79"/>
  <c r="E219" i="79"/>
  <c r="G22" i="79"/>
  <c r="FC22" i="79" s="1"/>
  <c r="FC398" i="79" s="1"/>
  <c r="G23" i="79"/>
  <c r="G24" i="79"/>
  <c r="G25" i="79"/>
  <c r="DW25" i="79" s="1"/>
  <c r="DW401" i="79" s="1"/>
  <c r="G33" i="79"/>
  <c r="CA33" i="79" s="1"/>
  <c r="E22" i="79"/>
  <c r="K22" i="79"/>
  <c r="FJ22" i="79"/>
  <c r="E23" i="79"/>
  <c r="FJ23" i="79"/>
  <c r="E24" i="79"/>
  <c r="FJ24" i="79"/>
  <c r="E25" i="79"/>
  <c r="FJ25" i="79"/>
  <c r="E33" i="79"/>
  <c r="K33" i="79"/>
  <c r="G219" i="79"/>
  <c r="CI219" i="79" s="1"/>
  <c r="K219" i="79"/>
  <c r="E220" i="79"/>
  <c r="K220" i="79"/>
  <c r="G220" i="79"/>
  <c r="EE220" i="79" s="1"/>
  <c r="E222" i="79"/>
  <c r="K222" i="79"/>
  <c r="G222" i="79"/>
  <c r="EE222" i="79" s="1"/>
  <c r="E223" i="79"/>
  <c r="K223" i="79"/>
  <c r="G16" i="79"/>
  <c r="G17" i="79"/>
  <c r="G18" i="79"/>
  <c r="BS18" i="79" s="1"/>
  <c r="BS412" i="79" s="1"/>
  <c r="G37" i="79"/>
  <c r="G382" i="79" s="1"/>
  <c r="G38" i="79"/>
  <c r="G39" i="79"/>
  <c r="G40" i="79"/>
  <c r="G385" i="79" s="1"/>
  <c r="G41" i="79"/>
  <c r="G42" i="79"/>
  <c r="G387" i="79" s="1"/>
  <c r="G43" i="79"/>
  <c r="G388" i="79" s="1"/>
  <c r="G44" i="79"/>
  <c r="G389" i="79" s="1"/>
  <c r="G45" i="79"/>
  <c r="G436" i="79" s="1"/>
  <c r="G46" i="79"/>
  <c r="G437" i="79" s="1"/>
  <c r="G47" i="79"/>
  <c r="G392" i="79" s="1"/>
  <c r="G48" i="79"/>
  <c r="G393" i="79" s="1"/>
  <c r="E16" i="79"/>
  <c r="E17" i="79"/>
  <c r="E18" i="79"/>
  <c r="E37" i="79"/>
  <c r="E382" i="79"/>
  <c r="K382" i="79"/>
  <c r="E38" i="79"/>
  <c r="K38" i="79"/>
  <c r="E39" i="79"/>
  <c r="K39" i="79"/>
  <c r="E40" i="79"/>
  <c r="E385" i="79"/>
  <c r="K385" i="79"/>
  <c r="E41" i="79"/>
  <c r="E42" i="79"/>
  <c r="E43" i="79"/>
  <c r="E388" i="79"/>
  <c r="K388" i="79"/>
  <c r="E44" i="79"/>
  <c r="E389" i="79"/>
  <c r="K389" i="79"/>
  <c r="E45" i="79"/>
  <c r="E46" i="79"/>
  <c r="K46" i="79"/>
  <c r="E47" i="79"/>
  <c r="E392" i="79"/>
  <c r="K392" i="79"/>
  <c r="E48" i="79"/>
  <c r="E393" i="79"/>
  <c r="K393" i="79"/>
  <c r="G223" i="79"/>
  <c r="EM223" i="79" s="1"/>
  <c r="E224" i="79"/>
  <c r="G224" i="79"/>
  <c r="E225" i="79"/>
  <c r="G225" i="79"/>
  <c r="DG225" i="79" s="1"/>
  <c r="E226" i="79"/>
  <c r="G226" i="79"/>
  <c r="EM226" i="79" s="1"/>
  <c r="EN226" i="79" s="1"/>
  <c r="E227" i="79"/>
  <c r="G227" i="79"/>
  <c r="FK227" i="79" s="1"/>
  <c r="E229" i="79"/>
  <c r="G229" i="79"/>
  <c r="AU229" i="79" s="1"/>
  <c r="E230" i="79"/>
  <c r="G230" i="79"/>
  <c r="EM230" i="79" s="1"/>
  <c r="E231" i="79"/>
  <c r="G231" i="79"/>
  <c r="CI231" i="79" s="1"/>
  <c r="E232" i="79"/>
  <c r="G232" i="79"/>
  <c r="EM232" i="79" s="1"/>
  <c r="E234" i="79"/>
  <c r="G234" i="79"/>
  <c r="E221" i="79"/>
  <c r="G221" i="79"/>
  <c r="FK221" i="79" s="1"/>
  <c r="E228" i="79"/>
  <c r="G228" i="79"/>
  <c r="E241" i="79"/>
  <c r="G241" i="79"/>
  <c r="CI241" i="79" s="1"/>
  <c r="E242" i="79"/>
  <c r="E243" i="79"/>
  <c r="E244" i="79"/>
  <c r="K244" i="79"/>
  <c r="G244" i="79"/>
  <c r="AE244" i="79" s="1"/>
  <c r="FJ244" i="79"/>
  <c r="E245" i="79"/>
  <c r="K245" i="79"/>
  <c r="G245" i="79"/>
  <c r="FJ245" i="79"/>
  <c r="E246" i="79"/>
  <c r="G246" i="79"/>
  <c r="FJ246" i="79"/>
  <c r="E247" i="79"/>
  <c r="K247" i="79"/>
  <c r="G247" i="79"/>
  <c r="CQ247" i="79" s="1"/>
  <c r="FJ247" i="79"/>
  <c r="E248" i="79"/>
  <c r="K248" i="79"/>
  <c r="G248" i="79"/>
  <c r="FJ248" i="79"/>
  <c r="E249" i="79"/>
  <c r="K249" i="79"/>
  <c r="G249" i="79"/>
  <c r="DO249" i="79" s="1"/>
  <c r="FJ249" i="79"/>
  <c r="E250" i="79"/>
  <c r="G250" i="79"/>
  <c r="FC250" i="79" s="1"/>
  <c r="E251" i="79"/>
  <c r="K251" i="79"/>
  <c r="G251" i="79"/>
  <c r="E252" i="79"/>
  <c r="G252" i="79"/>
  <c r="E253" i="79"/>
  <c r="K253" i="79"/>
  <c r="G253" i="79"/>
  <c r="FK253" i="79" s="1"/>
  <c r="E254" i="79"/>
  <c r="G254" i="79"/>
  <c r="CY254" i="79" s="1"/>
  <c r="E255" i="79"/>
  <c r="G255" i="79"/>
  <c r="E256" i="79"/>
  <c r="G256" i="79"/>
  <c r="E87" i="79"/>
  <c r="G87" i="79"/>
  <c r="O87" i="79" s="1"/>
  <c r="E88" i="79"/>
  <c r="G88" i="79"/>
  <c r="FK88" i="79" s="1"/>
  <c r="E89" i="79"/>
  <c r="G89" i="79"/>
  <c r="EU89" i="79" s="1"/>
  <c r="EW89" i="79" s="1"/>
  <c r="E90" i="79"/>
  <c r="G90" i="79"/>
  <c r="BK90" i="79" s="1"/>
  <c r="E91" i="79"/>
  <c r="G91" i="79"/>
  <c r="EM91" i="79" s="1"/>
  <c r="E92" i="79"/>
  <c r="G92" i="79"/>
  <c r="E96" i="79"/>
  <c r="K96" i="79"/>
  <c r="G96" i="79"/>
  <c r="CI96" i="79" s="1"/>
  <c r="E97" i="79"/>
  <c r="G97" i="79"/>
  <c r="CI97" i="79" s="1"/>
  <c r="E98" i="79"/>
  <c r="G98" i="79"/>
  <c r="EU98" i="79" s="1"/>
  <c r="E99" i="79"/>
  <c r="K99" i="79"/>
  <c r="G99" i="79"/>
  <c r="EE99" i="79" s="1"/>
  <c r="E103" i="79"/>
  <c r="K103" i="79"/>
  <c r="G103" i="79"/>
  <c r="O103" i="79" s="1"/>
  <c r="E104" i="79"/>
  <c r="K104" i="79"/>
  <c r="G104" i="79"/>
  <c r="E105" i="79"/>
  <c r="K105" i="79"/>
  <c r="G105" i="79"/>
  <c r="BC105" i="79" s="1"/>
  <c r="E106" i="79"/>
  <c r="G106" i="79"/>
  <c r="EE106" i="79" s="1"/>
  <c r="EF106" i="79" s="1"/>
  <c r="E107" i="79"/>
  <c r="G107" i="79"/>
  <c r="E108" i="79"/>
  <c r="K108" i="79"/>
  <c r="G108" i="79"/>
  <c r="FK108" i="79" s="1"/>
  <c r="E109" i="79"/>
  <c r="K109" i="79"/>
  <c r="G109" i="79"/>
  <c r="AU109" i="79" s="1"/>
  <c r="E110" i="79"/>
  <c r="K110" i="79"/>
  <c r="G110" i="79"/>
  <c r="W110" i="79" s="1"/>
  <c r="E111" i="79"/>
  <c r="K111" i="79"/>
  <c r="G111" i="79"/>
  <c r="EM111" i="79" s="1"/>
  <c r="E112" i="79"/>
  <c r="K112" i="79"/>
  <c r="G112" i="79"/>
  <c r="E114" i="79"/>
  <c r="K114" i="79"/>
  <c r="G114" i="79"/>
  <c r="AE114" i="79" s="1"/>
  <c r="AF114" i="79" s="1"/>
  <c r="E113" i="79"/>
  <c r="K113" i="79"/>
  <c r="G113" i="79"/>
  <c r="CQ113" i="79" s="1"/>
  <c r="E115" i="79"/>
  <c r="K115" i="79"/>
  <c r="G115" i="79"/>
  <c r="E119" i="79"/>
  <c r="K119" i="79"/>
  <c r="G119" i="79"/>
  <c r="EE119" i="79" s="1"/>
  <c r="E120" i="79"/>
  <c r="K120" i="79"/>
  <c r="G120" i="79"/>
  <c r="AU120" i="79" s="1"/>
  <c r="AV120" i="79" s="1"/>
  <c r="E121" i="79"/>
  <c r="K121" i="79"/>
  <c r="G121" i="79"/>
  <c r="E122" i="79"/>
  <c r="E123" i="79"/>
  <c r="G123" i="79"/>
  <c r="CY123" i="79" s="1"/>
  <c r="E124" i="79"/>
  <c r="G124" i="79"/>
  <c r="E125" i="79"/>
  <c r="K125" i="79"/>
  <c r="G125" i="79"/>
  <c r="BC125" i="79" s="1"/>
  <c r="E126" i="79"/>
  <c r="G126" i="79"/>
  <c r="CI126" i="79" s="1"/>
  <c r="E127" i="79"/>
  <c r="K127" i="79"/>
  <c r="G127" i="79"/>
  <c r="EE127" i="79" s="1"/>
  <c r="E129" i="79"/>
  <c r="K129" i="79"/>
  <c r="G129" i="79"/>
  <c r="DO129" i="79" s="1"/>
  <c r="E130" i="79"/>
  <c r="K130" i="79"/>
  <c r="G130" i="79"/>
  <c r="CA130" i="79" s="1"/>
  <c r="E131" i="79"/>
  <c r="K131" i="79"/>
  <c r="G131" i="79"/>
  <c r="EM131" i="79" s="1"/>
  <c r="E132" i="79"/>
  <c r="G132" i="79"/>
  <c r="DW132" i="79" s="1"/>
  <c r="K44" i="79"/>
  <c r="E57" i="79"/>
  <c r="K57" i="79"/>
  <c r="G57" i="79"/>
  <c r="CA57" i="79" s="1"/>
  <c r="E58" i="79"/>
  <c r="G58" i="79"/>
  <c r="G59" i="79"/>
  <c r="AM59" i="79" s="1"/>
  <c r="E60" i="79"/>
  <c r="K60" i="79"/>
  <c r="G60" i="79"/>
  <c r="BS60" i="79" s="1"/>
  <c r="E61" i="79"/>
  <c r="G61" i="79"/>
  <c r="E62" i="79"/>
  <c r="K62" i="79"/>
  <c r="G62" i="79"/>
  <c r="FK62" i="79" s="1"/>
  <c r="E63" i="79"/>
  <c r="K63" i="79"/>
  <c r="G63" i="79"/>
  <c r="AE63" i="79" s="1"/>
  <c r="E64" i="79"/>
  <c r="G64" i="79"/>
  <c r="DG64" i="79" s="1"/>
  <c r="DI64" i="79" s="1"/>
  <c r="E65" i="79"/>
  <c r="K65" i="79"/>
  <c r="G65" i="79"/>
  <c r="E66" i="79"/>
  <c r="K66" i="79"/>
  <c r="G66" i="79"/>
  <c r="FC66" i="79" s="1"/>
  <c r="E67" i="79"/>
  <c r="G67" i="79"/>
  <c r="EU67" i="79" s="1"/>
  <c r="EV67" i="79" s="1"/>
  <c r="E68" i="79"/>
  <c r="K68" i="79"/>
  <c r="G68" i="79"/>
  <c r="CY68" i="79" s="1"/>
  <c r="E69" i="79"/>
  <c r="K69" i="79"/>
  <c r="G69" i="79"/>
  <c r="BS69" i="79" s="1"/>
  <c r="E70" i="79"/>
  <c r="G70" i="79"/>
  <c r="DG70" i="79" s="1"/>
  <c r="DI70" i="79" s="1"/>
  <c r="E71" i="79"/>
  <c r="G71" i="79"/>
  <c r="DW71" i="79" s="1"/>
  <c r="E72" i="79"/>
  <c r="K72" i="79"/>
  <c r="G72" i="79"/>
  <c r="FK72" i="79" s="1"/>
  <c r="E73" i="79"/>
  <c r="G73" i="79"/>
  <c r="E147" i="79"/>
  <c r="K147" i="79"/>
  <c r="G147" i="79"/>
  <c r="E148" i="79"/>
  <c r="K148" i="79"/>
  <c r="E149" i="79"/>
  <c r="K149" i="79"/>
  <c r="G149" i="79"/>
  <c r="AU149" i="79" s="1"/>
  <c r="E150" i="79"/>
  <c r="K150" i="79"/>
  <c r="G150" i="79"/>
  <c r="E151" i="79"/>
  <c r="G151" i="79"/>
  <c r="CY151" i="79" s="1"/>
  <c r="E152" i="79"/>
  <c r="K152" i="79"/>
  <c r="G152" i="79"/>
  <c r="FK152" i="79" s="1"/>
  <c r="E153" i="79"/>
  <c r="K153" i="79"/>
  <c r="G153" i="79"/>
  <c r="AM153" i="79" s="1"/>
  <c r="E154" i="79"/>
  <c r="K154" i="79"/>
  <c r="G154" i="79"/>
  <c r="EU154" i="79" s="1"/>
  <c r="E155" i="79"/>
  <c r="G155" i="79"/>
  <c r="DO155" i="79" s="1"/>
  <c r="E139" i="79"/>
  <c r="K139" i="79"/>
  <c r="G139" i="79"/>
  <c r="BK139" i="79" s="1"/>
  <c r="E140" i="79"/>
  <c r="K140" i="79"/>
  <c r="G140" i="79"/>
  <c r="DO140" i="79" s="1"/>
  <c r="E141" i="79"/>
  <c r="G141" i="79"/>
  <c r="E142" i="79"/>
  <c r="K142" i="79"/>
  <c r="G142" i="79"/>
  <c r="G486" i="79"/>
  <c r="DG486" i="79" s="1"/>
  <c r="G489" i="79"/>
  <c r="G493" i="79"/>
  <c r="EU493" i="79" s="1"/>
  <c r="E301" i="79"/>
  <c r="K301" i="79"/>
  <c r="E305" i="79"/>
  <c r="G305" i="79"/>
  <c r="AU305" i="79" s="1"/>
  <c r="E306" i="79"/>
  <c r="G306" i="79"/>
  <c r="EU306" i="79"/>
  <c r="EU313" i="79" s="1"/>
  <c r="E307" i="79"/>
  <c r="G307" i="79"/>
  <c r="E308" i="79"/>
  <c r="G308" i="79"/>
  <c r="AU308" i="79" s="1"/>
  <c r="E309" i="79"/>
  <c r="G309" i="79"/>
  <c r="E310" i="79"/>
  <c r="K310" i="79"/>
  <c r="G310" i="79"/>
  <c r="FJ310" i="79"/>
  <c r="E311" i="79"/>
  <c r="K311" i="79"/>
  <c r="G311" i="79"/>
  <c r="EM311" i="79" s="1"/>
  <c r="FJ311" i="79"/>
  <c r="E291" i="79"/>
  <c r="K291" i="79"/>
  <c r="G291" i="79"/>
  <c r="AU291" i="79" s="1"/>
  <c r="E292" i="79"/>
  <c r="K292" i="79"/>
  <c r="G292" i="79"/>
  <c r="FK292" i="79" s="1"/>
  <c r="E293" i="79"/>
  <c r="K293" i="79"/>
  <c r="G293" i="79"/>
  <c r="FC293" i="79" s="1"/>
  <c r="E294" i="79"/>
  <c r="G294" i="79"/>
  <c r="E295" i="79"/>
  <c r="K295" i="79"/>
  <c r="G295" i="79"/>
  <c r="DW295" i="79" s="1"/>
  <c r="E296" i="79"/>
  <c r="G296" i="79"/>
  <c r="EU296" i="79" s="1"/>
  <c r="E297" i="79"/>
  <c r="K297" i="79"/>
  <c r="G297" i="79"/>
  <c r="FK297" i="79" s="1"/>
  <c r="E268" i="79"/>
  <c r="G268" i="79"/>
  <c r="CI268" i="79" s="1"/>
  <c r="E269" i="79"/>
  <c r="G269" i="79"/>
  <c r="FK269" i="79" s="1"/>
  <c r="E270" i="79"/>
  <c r="G270" i="79"/>
  <c r="EM270" i="79" s="1"/>
  <c r="E274" i="79"/>
  <c r="K274" i="79"/>
  <c r="G274" i="79"/>
  <c r="E275" i="79"/>
  <c r="K275" i="79"/>
  <c r="G275" i="79"/>
  <c r="CA275" i="79" s="1"/>
  <c r="CA281" i="79" s="1"/>
  <c r="E276" i="79"/>
  <c r="G276" i="79"/>
  <c r="CY276" i="79" s="1"/>
  <c r="E277" i="79"/>
  <c r="G277" i="79"/>
  <c r="FK277" i="79"/>
  <c r="E278" i="79"/>
  <c r="G278" i="79"/>
  <c r="FK278" i="79" s="1"/>
  <c r="K278" i="79"/>
  <c r="E279" i="79"/>
  <c r="K279" i="79"/>
  <c r="G279" i="79"/>
  <c r="AM279" i="79"/>
  <c r="E280" i="79"/>
  <c r="K280" i="79"/>
  <c r="G280" i="79"/>
  <c r="FK280" i="79"/>
  <c r="H345" i="79"/>
  <c r="FB177" i="79"/>
  <c r="FB178" i="79"/>
  <c r="FB181" i="79"/>
  <c r="FB182" i="79"/>
  <c r="FB184" i="79"/>
  <c r="FB185" i="79"/>
  <c r="FB188" i="79"/>
  <c r="FB189" i="79"/>
  <c r="FB192" i="79"/>
  <c r="FB193" i="79"/>
  <c r="FB199" i="79"/>
  <c r="FC199" i="79" s="1"/>
  <c r="FB200" i="79"/>
  <c r="FB201" i="79"/>
  <c r="FB22" i="79"/>
  <c r="FB23" i="79"/>
  <c r="FB24" i="79"/>
  <c r="FB25" i="79"/>
  <c r="FB244" i="79"/>
  <c r="FB245" i="79"/>
  <c r="FB246" i="79"/>
  <c r="FB247" i="79"/>
  <c r="FB248" i="79"/>
  <c r="FB249" i="79"/>
  <c r="FC307" i="79"/>
  <c r="FE307" i="79" s="1"/>
  <c r="FB310" i="79"/>
  <c r="FB311" i="79"/>
  <c r="FC292" i="79"/>
  <c r="FC269" i="79"/>
  <c r="ET177" i="79"/>
  <c r="ET178" i="79"/>
  <c r="ET181" i="79"/>
  <c r="ET182" i="79"/>
  <c r="ET184" i="79"/>
  <c r="ET185" i="79"/>
  <c r="ET188" i="79"/>
  <c r="ET189" i="79"/>
  <c r="ET192" i="79"/>
  <c r="ET193" i="79"/>
  <c r="ET199" i="79"/>
  <c r="ET200" i="79"/>
  <c r="ET201" i="79"/>
  <c r="ET22" i="79"/>
  <c r="ET23" i="79"/>
  <c r="ET24" i="79"/>
  <c r="ET25" i="79"/>
  <c r="ET244" i="79"/>
  <c r="ET245" i="79"/>
  <c r="ET246" i="79"/>
  <c r="ET247" i="79"/>
  <c r="ET248" i="79"/>
  <c r="ET249" i="79"/>
  <c r="ET310" i="79"/>
  <c r="ET311" i="79"/>
  <c r="EU311" i="79"/>
  <c r="EU292" i="79"/>
  <c r="EU295" i="79"/>
  <c r="EU269" i="79"/>
  <c r="EU270" i="79"/>
  <c r="EL177" i="79"/>
  <c r="EL178" i="79"/>
  <c r="EL181" i="79"/>
  <c r="EL182" i="79"/>
  <c r="EL184" i="79"/>
  <c r="EL185" i="79"/>
  <c r="EL188" i="79"/>
  <c r="EL189" i="79"/>
  <c r="EL192" i="79"/>
  <c r="EL193" i="79"/>
  <c r="EL199" i="79"/>
  <c r="EL200" i="79"/>
  <c r="EL201" i="79"/>
  <c r="EL22" i="79"/>
  <c r="EL23" i="79"/>
  <c r="EL24" i="79"/>
  <c r="EL25" i="79"/>
  <c r="EL244" i="79"/>
  <c r="EL245" i="79"/>
  <c r="EL246" i="79"/>
  <c r="EL247" i="79"/>
  <c r="EL248" i="79"/>
  <c r="EL249" i="79"/>
  <c r="EM306" i="79"/>
  <c r="EL310" i="79"/>
  <c r="EM310" i="79"/>
  <c r="EL311" i="79"/>
  <c r="EM292" i="79"/>
  <c r="EM293" i="79"/>
  <c r="EN293" i="79" s="1"/>
  <c r="EM294" i="79"/>
  <c r="EM269" i="79"/>
  <c r="ED177" i="79"/>
  <c r="ED178" i="79"/>
  <c r="ED181" i="79"/>
  <c r="ED182" i="79"/>
  <c r="ED184" i="79"/>
  <c r="ED185" i="79"/>
  <c r="ED188" i="79"/>
  <c r="ED189" i="79"/>
  <c r="ED192" i="79"/>
  <c r="ED193" i="79"/>
  <c r="ED199" i="79"/>
  <c r="ED200" i="79"/>
  <c r="ED201" i="79"/>
  <c r="ED22" i="79"/>
  <c r="ED23" i="79"/>
  <c r="ED24" i="79"/>
  <c r="ED25" i="79"/>
  <c r="ED244" i="79"/>
  <c r="ED245" i="79"/>
  <c r="ED246" i="79"/>
  <c r="ED247" i="79"/>
  <c r="ED248" i="79"/>
  <c r="ED249" i="79"/>
  <c r="EE306" i="79"/>
  <c r="EE307" i="79"/>
  <c r="ED310" i="79"/>
  <c r="EE310" i="79" s="1"/>
  <c r="ED311" i="79"/>
  <c r="EE293" i="79"/>
  <c r="EF293" i="79" s="1"/>
  <c r="EE294" i="79"/>
  <c r="EF294" i="79" s="1"/>
  <c r="EE295" i="79"/>
  <c r="EE296" i="79"/>
  <c r="EE269" i="79"/>
  <c r="EE270" i="79"/>
  <c r="EF270" i="79" s="1"/>
  <c r="DV177" i="79"/>
  <c r="DV178" i="79"/>
  <c r="DV181" i="79"/>
  <c r="DV182" i="79"/>
  <c r="DV184" i="79"/>
  <c r="DV185" i="79"/>
  <c r="DV188" i="79"/>
  <c r="DV189" i="79"/>
  <c r="DV192" i="79"/>
  <c r="DV193" i="79"/>
  <c r="DV199" i="79"/>
  <c r="DV200" i="79"/>
  <c r="DV201" i="79"/>
  <c r="DV22" i="79"/>
  <c r="DV23" i="79"/>
  <c r="DV24" i="79"/>
  <c r="DV25" i="79"/>
  <c r="DV244" i="79"/>
  <c r="DV245" i="79"/>
  <c r="DV246" i="79"/>
  <c r="DV247" i="79"/>
  <c r="DV248" i="79"/>
  <c r="DV249" i="79"/>
  <c r="DW307" i="79"/>
  <c r="DV310" i="79"/>
  <c r="DW310" i="79" s="1"/>
  <c r="DV311" i="79"/>
  <c r="DW292" i="79"/>
  <c r="DW293" i="79"/>
  <c r="DW294" i="79"/>
  <c r="DY294" i="79" s="1"/>
  <c r="DW269" i="79"/>
  <c r="DW270" i="79"/>
  <c r="DN177" i="79"/>
  <c r="DN178" i="79"/>
  <c r="DN181" i="79"/>
  <c r="DN182" i="79"/>
  <c r="DN184" i="79"/>
  <c r="DN185" i="79"/>
  <c r="DN188" i="79"/>
  <c r="DN189" i="79"/>
  <c r="DN192" i="79"/>
  <c r="DN193" i="79"/>
  <c r="DN199" i="79"/>
  <c r="DN200" i="79"/>
  <c r="DN201" i="79"/>
  <c r="DN22" i="79"/>
  <c r="DN23" i="79"/>
  <c r="DN24" i="79"/>
  <c r="DN25" i="79"/>
  <c r="DN244" i="79"/>
  <c r="DN245" i="79"/>
  <c r="DN246" i="79"/>
  <c r="DN247" i="79"/>
  <c r="DN248" i="79"/>
  <c r="DN249" i="79"/>
  <c r="DO307" i="79"/>
  <c r="DO308" i="79"/>
  <c r="DN310" i="79"/>
  <c r="DO310" i="79" s="1"/>
  <c r="DN311" i="79"/>
  <c r="DO311" i="79" s="1"/>
  <c r="DO293" i="79"/>
  <c r="DO269" i="79"/>
  <c r="DO270" i="79"/>
  <c r="DQ270" i="79" s="1"/>
  <c r="DF177" i="79"/>
  <c r="DF178" i="79"/>
  <c r="DF181" i="79"/>
  <c r="DF182" i="79"/>
  <c r="DF184" i="79"/>
  <c r="DF185" i="79"/>
  <c r="DF188" i="79"/>
  <c r="DF189" i="79"/>
  <c r="DF192" i="79"/>
  <c r="DF193" i="79"/>
  <c r="DF199" i="79"/>
  <c r="DF200" i="79"/>
  <c r="DF201" i="79"/>
  <c r="DF22" i="79"/>
  <c r="DF23" i="79"/>
  <c r="DF24" i="79"/>
  <c r="DF25" i="79"/>
  <c r="DF244" i="79"/>
  <c r="DF245" i="79"/>
  <c r="DF246" i="79"/>
  <c r="DF247" i="79"/>
  <c r="DF248" i="79"/>
  <c r="DF249" i="79"/>
  <c r="DG307" i="79"/>
  <c r="DG308" i="79"/>
  <c r="DF310" i="79"/>
  <c r="DG310" i="79" s="1"/>
  <c r="DF311" i="79"/>
  <c r="DG311" i="79" s="1"/>
  <c r="DG293" i="79"/>
  <c r="DI293" i="79" s="1"/>
  <c r="DG294" i="79"/>
  <c r="DG269" i="79"/>
  <c r="DG270" i="79"/>
  <c r="DG278" i="79"/>
  <c r="CX177" i="79"/>
  <c r="CX178" i="79"/>
  <c r="CX181" i="79"/>
  <c r="CX182" i="79"/>
  <c r="CX184" i="79"/>
  <c r="CX185" i="79"/>
  <c r="CX188" i="79"/>
  <c r="CX189" i="79"/>
  <c r="CX192" i="79"/>
  <c r="CX193" i="79"/>
  <c r="CX199" i="79"/>
  <c r="CX200" i="79"/>
  <c r="CX201" i="79"/>
  <c r="CX22" i="79"/>
  <c r="CX23" i="79"/>
  <c r="CX24" i="79"/>
  <c r="CX25" i="79"/>
  <c r="CX244" i="79"/>
  <c r="CX245" i="79"/>
  <c r="CX246" i="79"/>
  <c r="CX247" i="79"/>
  <c r="CX248" i="79"/>
  <c r="CX249" i="79"/>
  <c r="CY306" i="79"/>
  <c r="CY307" i="79"/>
  <c r="CY313" i="79" s="1"/>
  <c r="CX310" i="79"/>
  <c r="CY310" i="79" s="1"/>
  <c r="CX311" i="79"/>
  <c r="CY311" i="79" s="1"/>
  <c r="CY292" i="79"/>
  <c r="CY293" i="79"/>
  <c r="DA293" i="79" s="1"/>
  <c r="CY294" i="79"/>
  <c r="CY295" i="79"/>
  <c r="CY269" i="79"/>
  <c r="CY275" i="79"/>
  <c r="CP177" i="79"/>
  <c r="CP178" i="79"/>
  <c r="CP181" i="79"/>
  <c r="CP182" i="79"/>
  <c r="CP184" i="79"/>
  <c r="CP185" i="79"/>
  <c r="CP188" i="79"/>
  <c r="CP189" i="79"/>
  <c r="CP192" i="79"/>
  <c r="CP193" i="79"/>
  <c r="CP199" i="79"/>
  <c r="CP200" i="79"/>
  <c r="CP201" i="79"/>
  <c r="CP22" i="79"/>
  <c r="CP23" i="79"/>
  <c r="CP24" i="79"/>
  <c r="CP25" i="79"/>
  <c r="CP244" i="79"/>
  <c r="CP245" i="79"/>
  <c r="CP246" i="79"/>
  <c r="CP247" i="79"/>
  <c r="CP248" i="79"/>
  <c r="CP249" i="79"/>
  <c r="CQ486" i="79"/>
  <c r="CQ307" i="79"/>
  <c r="CS307" i="79" s="1"/>
  <c r="CP310" i="79"/>
  <c r="CQ310" i="79"/>
  <c r="CP311" i="79"/>
  <c r="CQ292" i="79"/>
  <c r="CQ293" i="79"/>
  <c r="CQ295" i="79"/>
  <c r="CQ269" i="79"/>
  <c r="CQ270" i="79"/>
  <c r="CS270" i="79" s="1"/>
  <c r="CQ277" i="79"/>
  <c r="CH177" i="79"/>
  <c r="CH178" i="79"/>
  <c r="CH181" i="79"/>
  <c r="CH182" i="79"/>
  <c r="CH184" i="79"/>
  <c r="CH185" i="79"/>
  <c r="CH188" i="79"/>
  <c r="CH189" i="79"/>
  <c r="CH192" i="79"/>
  <c r="CH193" i="79"/>
  <c r="CH199" i="79"/>
  <c r="CH200" i="79"/>
  <c r="CH201" i="79"/>
  <c r="CH22" i="79"/>
  <c r="CH23" i="79"/>
  <c r="CH24" i="79"/>
  <c r="CH25" i="79"/>
  <c r="CH244" i="79"/>
  <c r="CH245" i="79"/>
  <c r="CH246" i="79"/>
  <c r="CH247" i="79"/>
  <c r="CH248" i="79"/>
  <c r="CH249" i="79"/>
  <c r="CI486" i="79"/>
  <c r="CI307" i="79"/>
  <c r="CH310" i="79"/>
  <c r="CI310" i="79" s="1"/>
  <c r="CI313" i="79" s="1"/>
  <c r="CH311" i="79"/>
  <c r="CI311" i="79"/>
  <c r="CI292" i="79"/>
  <c r="CI293" i="79"/>
  <c r="CJ293" i="79" s="1"/>
  <c r="CI295" i="79"/>
  <c r="CI297" i="79"/>
  <c r="CI269" i="79"/>
  <c r="CI270" i="79"/>
  <c r="CJ270" i="79" s="1"/>
  <c r="BZ177" i="79"/>
  <c r="BZ178" i="79"/>
  <c r="BZ181" i="79"/>
  <c r="BZ182" i="79"/>
  <c r="BZ184" i="79"/>
  <c r="BZ185" i="79"/>
  <c r="BZ188" i="79"/>
  <c r="BZ189" i="79"/>
  <c r="BZ192" i="79"/>
  <c r="BZ193" i="79"/>
  <c r="BZ199" i="79"/>
  <c r="BZ200" i="79"/>
  <c r="BZ201" i="79"/>
  <c r="BZ22" i="79"/>
  <c r="BZ23" i="79"/>
  <c r="BZ24" i="79"/>
  <c r="BZ25" i="79"/>
  <c r="BZ244" i="79"/>
  <c r="BZ245" i="79"/>
  <c r="BZ246" i="79"/>
  <c r="BZ247" i="79"/>
  <c r="BZ248" i="79"/>
  <c r="BZ249" i="79"/>
  <c r="CA307" i="79"/>
  <c r="BZ310" i="79"/>
  <c r="CA310" i="79" s="1"/>
  <c r="BZ311" i="79"/>
  <c r="CA292" i="79"/>
  <c r="CA293" i="79"/>
  <c r="CA294" i="79"/>
  <c r="CB294" i="79" s="1"/>
  <c r="CA295" i="79"/>
  <c r="CA269" i="79"/>
  <c r="CA270" i="79"/>
  <c r="CB270" i="79" s="1"/>
  <c r="BR177" i="79"/>
  <c r="BR178" i="79"/>
  <c r="BR181" i="79"/>
  <c r="BR182" i="79"/>
  <c r="BR184" i="79"/>
  <c r="BR185" i="79"/>
  <c r="BR188" i="79"/>
  <c r="BR189" i="79"/>
  <c r="BR192" i="79"/>
  <c r="BR193" i="79"/>
  <c r="BR199" i="79"/>
  <c r="BR200" i="79"/>
  <c r="BR201" i="79"/>
  <c r="BR22" i="79"/>
  <c r="BR23" i="79"/>
  <c r="BR24" i="79"/>
  <c r="BR25" i="79"/>
  <c r="BS229" i="79"/>
  <c r="BR244" i="79"/>
  <c r="BR245" i="79"/>
  <c r="BR246" i="79"/>
  <c r="BR247" i="79"/>
  <c r="BR248" i="79"/>
  <c r="BR249" i="79"/>
  <c r="BS307" i="79"/>
  <c r="BR310" i="79"/>
  <c r="BS310" i="79" s="1"/>
  <c r="BR311" i="79"/>
  <c r="BS292" i="79"/>
  <c r="BS293" i="79"/>
  <c r="BS294" i="79"/>
  <c r="BU294" i="79" s="1"/>
  <c r="BS295" i="79"/>
  <c r="BS296" i="79"/>
  <c r="BU296" i="79" s="1"/>
  <c r="BS269" i="79"/>
  <c r="BS270" i="79"/>
  <c r="BT270" i="79" s="1"/>
  <c r="L140" i="76"/>
  <c r="L20" i="76"/>
  <c r="L149" i="76"/>
  <c r="L33" i="76"/>
  <c r="BJ177" i="79"/>
  <c r="BJ178" i="79"/>
  <c r="BJ181" i="79"/>
  <c r="BJ182" i="79"/>
  <c r="BJ184" i="79"/>
  <c r="BJ185" i="79"/>
  <c r="BJ188" i="79"/>
  <c r="BJ189" i="79"/>
  <c r="BJ192" i="79"/>
  <c r="BJ193" i="79"/>
  <c r="BJ199" i="79"/>
  <c r="BJ200" i="79"/>
  <c r="BJ201" i="79"/>
  <c r="BJ22" i="79"/>
  <c r="BJ23" i="79"/>
  <c r="BJ24" i="79"/>
  <c r="BJ25" i="79"/>
  <c r="BK230" i="79"/>
  <c r="BJ244" i="79"/>
  <c r="BJ245" i="79"/>
  <c r="BJ246" i="79"/>
  <c r="BJ247" i="79"/>
  <c r="BJ248" i="79"/>
  <c r="BJ249" i="79"/>
  <c r="BK307" i="79"/>
  <c r="BK308" i="79"/>
  <c r="BJ310" i="79"/>
  <c r="BK310" i="79" s="1"/>
  <c r="BJ311" i="79"/>
  <c r="BK292" i="79"/>
  <c r="BK293" i="79"/>
  <c r="BK294" i="79"/>
  <c r="BM294" i="79" s="1"/>
  <c r="BK295" i="79"/>
  <c r="BK269" i="79"/>
  <c r="BK270" i="79"/>
  <c r="BM270" i="79" s="1"/>
  <c r="BK279" i="79"/>
  <c r="K140" i="76"/>
  <c r="K20" i="76"/>
  <c r="K149" i="76"/>
  <c r="K33" i="76"/>
  <c r="BB177" i="79"/>
  <c r="BB178" i="79"/>
  <c r="BB181" i="79"/>
  <c r="BB182" i="79"/>
  <c r="BB184" i="79"/>
  <c r="BB185" i="79"/>
  <c r="BB188" i="79"/>
  <c r="BB189" i="79"/>
  <c r="BB192" i="79"/>
  <c r="BB193" i="79"/>
  <c r="BB199" i="79"/>
  <c r="BB200" i="79"/>
  <c r="BB201" i="79"/>
  <c r="BB22" i="79"/>
  <c r="BB23" i="79"/>
  <c r="BB24" i="79"/>
  <c r="BB25" i="79"/>
  <c r="BB244" i="79"/>
  <c r="BB245" i="79"/>
  <c r="BB246" i="79"/>
  <c r="BB247" i="79"/>
  <c r="BB248" i="79"/>
  <c r="BB249" i="79"/>
  <c r="BC307" i="79"/>
  <c r="BC308" i="79"/>
  <c r="BC309" i="79"/>
  <c r="BB310" i="79"/>
  <c r="BC310" i="79"/>
  <c r="BB311" i="79"/>
  <c r="BC311" i="79"/>
  <c r="BC292" i="79"/>
  <c r="BC293" i="79"/>
  <c r="BC295" i="79"/>
  <c r="BC296" i="79"/>
  <c r="BE296" i="79" s="1"/>
  <c r="BC269" i="79"/>
  <c r="AT177" i="79"/>
  <c r="AT178" i="79"/>
  <c r="AT181" i="79"/>
  <c r="AT182" i="79"/>
  <c r="AT184" i="79"/>
  <c r="AT185" i="79"/>
  <c r="AT188" i="79"/>
  <c r="AT189" i="79"/>
  <c r="AT192" i="79"/>
  <c r="AT193" i="79"/>
  <c r="AT199" i="79"/>
  <c r="AT200" i="79"/>
  <c r="AT201" i="79"/>
  <c r="AT22" i="79"/>
  <c r="AT23" i="79"/>
  <c r="AT24" i="79"/>
  <c r="AT25" i="79"/>
  <c r="AT244" i="79"/>
  <c r="AT245" i="79"/>
  <c r="AT246" i="79"/>
  <c r="AT247" i="79"/>
  <c r="AT248" i="79"/>
  <c r="AT249" i="79"/>
  <c r="AU307" i="79"/>
  <c r="AT310" i="79"/>
  <c r="AU310" i="79"/>
  <c r="AT311" i="79"/>
  <c r="AU311" i="79" s="1"/>
  <c r="AU292" i="79"/>
  <c r="AU293" i="79"/>
  <c r="AU295" i="79"/>
  <c r="AU296" i="79"/>
  <c r="AU269" i="79"/>
  <c r="I122" i="76"/>
  <c r="AL470" i="79"/>
  <c r="I123" i="76"/>
  <c r="AL473" i="79"/>
  <c r="AL177" i="79"/>
  <c r="AL178" i="79"/>
  <c r="AL180" i="79"/>
  <c r="AL181" i="79"/>
  <c r="AL182" i="79"/>
  <c r="AL184" i="79"/>
  <c r="AL185" i="79"/>
  <c r="AL188" i="79"/>
  <c r="AL189" i="79"/>
  <c r="AL192" i="79"/>
  <c r="AL193" i="79"/>
  <c r="AL199" i="79"/>
  <c r="AL200" i="79"/>
  <c r="AL201" i="79"/>
  <c r="AL22" i="79"/>
  <c r="AL23" i="79"/>
  <c r="AL24" i="79"/>
  <c r="AL25" i="79"/>
  <c r="AL244" i="79"/>
  <c r="AL245" i="79"/>
  <c r="AL246" i="79"/>
  <c r="AL247" i="79"/>
  <c r="AL248" i="79"/>
  <c r="AL249" i="79"/>
  <c r="AM307" i="79"/>
  <c r="AM309" i="79"/>
  <c r="AL310" i="79"/>
  <c r="AM310" i="79"/>
  <c r="AL311" i="79"/>
  <c r="AM311" i="79" s="1"/>
  <c r="AM313" i="79" s="1"/>
  <c r="AM292" i="79"/>
  <c r="AM293" i="79"/>
  <c r="AM295" i="79"/>
  <c r="AM296" i="79"/>
  <c r="AO296" i="79" s="1"/>
  <c r="AM269" i="79"/>
  <c r="AM277" i="79"/>
  <c r="AE478" i="79"/>
  <c r="H140" i="76"/>
  <c r="AD177" i="79"/>
  <c r="AD178" i="79"/>
  <c r="AD181" i="79"/>
  <c r="AD182" i="79"/>
  <c r="AD184" i="79"/>
  <c r="AD185" i="79"/>
  <c r="AD188" i="79"/>
  <c r="AD189" i="79"/>
  <c r="AD192" i="79"/>
  <c r="AD193" i="79"/>
  <c r="AD199" i="79"/>
  <c r="AD200" i="79"/>
  <c r="AD201" i="79"/>
  <c r="AD22" i="79"/>
  <c r="AD23" i="79"/>
  <c r="AD24" i="79"/>
  <c r="AD25" i="79"/>
  <c r="AD244" i="79"/>
  <c r="AD245" i="79"/>
  <c r="AD246" i="79"/>
  <c r="AD247" i="79"/>
  <c r="AD248" i="79"/>
  <c r="AD249" i="79"/>
  <c r="AE307" i="79"/>
  <c r="AE308" i="79"/>
  <c r="AD310" i="79"/>
  <c r="AE310" i="79"/>
  <c r="AD311" i="79"/>
  <c r="AE292" i="79"/>
  <c r="AE293" i="79"/>
  <c r="AG293" i="79" s="1"/>
  <c r="AE294" i="79"/>
  <c r="AE295" i="79"/>
  <c r="AE296" i="79"/>
  <c r="AF296" i="79" s="1"/>
  <c r="AE269" i="79"/>
  <c r="AE270" i="79"/>
  <c r="AE277" i="79"/>
  <c r="G122" i="76"/>
  <c r="V470" i="79"/>
  <c r="G123" i="76"/>
  <c r="V473" i="79"/>
  <c r="V177" i="79"/>
  <c r="V178" i="79"/>
  <c r="V181" i="79"/>
  <c r="V182" i="79"/>
  <c r="V184" i="79"/>
  <c r="V185" i="79"/>
  <c r="V188" i="79"/>
  <c r="V189" i="79"/>
  <c r="V192" i="79"/>
  <c r="V193" i="79"/>
  <c r="V199" i="79"/>
  <c r="V200" i="79"/>
  <c r="V201" i="79"/>
  <c r="V22" i="79"/>
  <c r="V23" i="79"/>
  <c r="V24" i="79"/>
  <c r="V25" i="79"/>
  <c r="V244" i="79"/>
  <c r="V245" i="79"/>
  <c r="V246" i="79"/>
  <c r="V247" i="79"/>
  <c r="V248" i="79"/>
  <c r="V249" i="79"/>
  <c r="W306" i="79"/>
  <c r="W307" i="79"/>
  <c r="W308" i="79"/>
  <c r="V310" i="79"/>
  <c r="W310" i="79"/>
  <c r="V311" i="79"/>
  <c r="W292" i="79"/>
  <c r="W293" i="79"/>
  <c r="X293" i="79" s="1"/>
  <c r="W295" i="79"/>
  <c r="W296" i="79"/>
  <c r="W269" i="79"/>
  <c r="W270" i="79"/>
  <c r="W277" i="79"/>
  <c r="N177" i="79"/>
  <c r="N178" i="79"/>
  <c r="N181" i="79"/>
  <c r="N182" i="79"/>
  <c r="N184" i="79"/>
  <c r="N185" i="79"/>
  <c r="N188" i="79"/>
  <c r="N189" i="79"/>
  <c r="N192" i="79"/>
  <c r="N193" i="79"/>
  <c r="N199" i="79"/>
  <c r="N200" i="79"/>
  <c r="N201" i="79"/>
  <c r="N22" i="79"/>
  <c r="N23" i="79"/>
  <c r="N24" i="79"/>
  <c r="N25" i="79"/>
  <c r="O225" i="79"/>
  <c r="O229" i="79"/>
  <c r="N244" i="79"/>
  <c r="N245" i="79"/>
  <c r="N246" i="79"/>
  <c r="N247" i="79"/>
  <c r="N248" i="79"/>
  <c r="N249" i="79"/>
  <c r="O307" i="79"/>
  <c r="N310" i="79"/>
  <c r="O310" i="79" s="1"/>
  <c r="N311" i="79"/>
  <c r="O292" i="79"/>
  <c r="O293" i="79"/>
  <c r="O294" i="79"/>
  <c r="Q294" i="79" s="1"/>
  <c r="O295" i="79"/>
  <c r="O296" i="79"/>
  <c r="O269" i="79"/>
  <c r="O270" i="79"/>
  <c r="Q270" i="79" s="1"/>
  <c r="AU3" i="79"/>
  <c r="H87" i="35"/>
  <c r="K87" i="35"/>
  <c r="H86" i="35"/>
  <c r="K86" i="35"/>
  <c r="H85" i="35"/>
  <c r="K85" i="35"/>
  <c r="H84" i="35"/>
  <c r="K84" i="35"/>
  <c r="H83" i="35"/>
  <c r="K83" i="35"/>
  <c r="H82" i="35"/>
  <c r="K82" i="35"/>
  <c r="H81" i="35"/>
  <c r="K81" i="35"/>
  <c r="H80" i="35"/>
  <c r="K80" i="35"/>
  <c r="H79" i="35"/>
  <c r="K79" i="35"/>
  <c r="H78" i="35"/>
  <c r="K78" i="35"/>
  <c r="E87" i="37"/>
  <c r="D87" i="37"/>
  <c r="F70" i="37"/>
  <c r="F72" i="37" s="1"/>
  <c r="J167" i="76"/>
  <c r="I158" i="76"/>
  <c r="G149" i="76"/>
  <c r="G150" i="76"/>
  <c r="L185" i="76"/>
  <c r="K176" i="76"/>
  <c r="K177" i="76"/>
  <c r="J122" i="76"/>
  <c r="AT470" i="79"/>
  <c r="J123" i="76"/>
  <c r="AT473" i="79"/>
  <c r="FJ187" i="79"/>
  <c r="FK187" i="79"/>
  <c r="FB187" i="79"/>
  <c r="ET187" i="79"/>
  <c r="EL187" i="79"/>
  <c r="ED187" i="79"/>
  <c r="DV187" i="79"/>
  <c r="DN187" i="79"/>
  <c r="DF187" i="79"/>
  <c r="CX187" i="79"/>
  <c r="CP187" i="79"/>
  <c r="CH187" i="79"/>
  <c r="BZ187" i="79"/>
  <c r="BR187" i="79"/>
  <c r="E146" i="80"/>
  <c r="K146" i="80"/>
  <c r="E145" i="80"/>
  <c r="K145" i="80"/>
  <c r="E75" i="80"/>
  <c r="K75" i="80"/>
  <c r="Y123" i="76"/>
  <c r="FJ473" i="79"/>
  <c r="X123" i="76"/>
  <c r="FB473" i="79"/>
  <c r="W123" i="76"/>
  <c r="ET473" i="79"/>
  <c r="V123" i="76"/>
  <c r="EL473" i="79"/>
  <c r="U123" i="76"/>
  <c r="ED473" i="79"/>
  <c r="T123" i="76"/>
  <c r="DV473" i="79"/>
  <c r="S123" i="76"/>
  <c r="DN473" i="79"/>
  <c r="R123" i="76"/>
  <c r="DF473" i="79"/>
  <c r="Q123" i="76"/>
  <c r="CX473" i="79"/>
  <c r="P123" i="76"/>
  <c r="CP473" i="79"/>
  <c r="O123" i="76"/>
  <c r="CH473" i="79"/>
  <c r="N123" i="76"/>
  <c r="BZ473" i="79"/>
  <c r="M123" i="76"/>
  <c r="BR473" i="79"/>
  <c r="L123" i="76"/>
  <c r="BJ473" i="79"/>
  <c r="K123" i="76"/>
  <c r="BB473" i="79"/>
  <c r="H123" i="76"/>
  <c r="AD473" i="79"/>
  <c r="F123" i="76"/>
  <c r="N473" i="79"/>
  <c r="Y122" i="76"/>
  <c r="FJ470" i="79"/>
  <c r="X122" i="76"/>
  <c r="FB470" i="79"/>
  <c r="W122" i="76"/>
  <c r="ET470" i="79"/>
  <c r="V122" i="76"/>
  <c r="EL470" i="79"/>
  <c r="EM470" i="79" s="1"/>
  <c r="U122" i="76"/>
  <c r="ED470" i="79"/>
  <c r="T122" i="76"/>
  <c r="DV470" i="79"/>
  <c r="S122" i="76"/>
  <c r="DN470" i="79"/>
  <c r="R122" i="76"/>
  <c r="DF470" i="79"/>
  <c r="Q122" i="76"/>
  <c r="CX470" i="79"/>
  <c r="P122" i="76"/>
  <c r="CP470" i="79"/>
  <c r="O122" i="76"/>
  <c r="CH470" i="79"/>
  <c r="N122" i="76"/>
  <c r="BZ470" i="79"/>
  <c r="M122" i="76"/>
  <c r="BR470" i="79"/>
  <c r="L122" i="76"/>
  <c r="BJ470" i="79"/>
  <c r="K122" i="76"/>
  <c r="BB470" i="79"/>
  <c r="H122" i="76"/>
  <c r="AD470" i="79"/>
  <c r="AE470" i="79" s="1"/>
  <c r="F122" i="76"/>
  <c r="N470" i="79"/>
  <c r="Y121" i="76"/>
  <c r="FJ475" i="79"/>
  <c r="X121" i="76"/>
  <c r="FB475" i="79"/>
  <c r="W121" i="76"/>
  <c r="ET475" i="79"/>
  <c r="V121" i="76"/>
  <c r="EL475" i="79"/>
  <c r="U121" i="76"/>
  <c r="ED475" i="79"/>
  <c r="T121" i="76"/>
  <c r="DV475" i="79"/>
  <c r="S121" i="76"/>
  <c r="DN475" i="79"/>
  <c r="R121" i="76"/>
  <c r="DF475" i="79"/>
  <c r="Q121" i="76"/>
  <c r="CX475" i="79"/>
  <c r="P121" i="76"/>
  <c r="CP475" i="79"/>
  <c r="O121" i="76"/>
  <c r="CH475" i="79"/>
  <c r="N121" i="76"/>
  <c r="BZ475" i="79"/>
  <c r="M121" i="76"/>
  <c r="BR475" i="79"/>
  <c r="L121" i="76"/>
  <c r="BJ475" i="79"/>
  <c r="K121" i="76"/>
  <c r="BB475" i="79"/>
  <c r="J121" i="76"/>
  <c r="AT475" i="79"/>
  <c r="I121" i="76"/>
  <c r="AL475" i="79"/>
  <c r="H121" i="76"/>
  <c r="AD475" i="79"/>
  <c r="G121" i="76"/>
  <c r="V475" i="79"/>
  <c r="F121" i="76"/>
  <c r="N475" i="79"/>
  <c r="Y120" i="76"/>
  <c r="FJ493" i="79"/>
  <c r="X120" i="76"/>
  <c r="FB493" i="79"/>
  <c r="W120" i="76"/>
  <c r="ET493" i="79"/>
  <c r="V120" i="76"/>
  <c r="EL493" i="79"/>
  <c r="U120" i="76"/>
  <c r="ED493" i="79"/>
  <c r="T120" i="76"/>
  <c r="DV493" i="79"/>
  <c r="S120" i="76"/>
  <c r="DN493" i="79"/>
  <c r="R120" i="76"/>
  <c r="DF493" i="79"/>
  <c r="Q120" i="76"/>
  <c r="CX493" i="79"/>
  <c r="P120" i="76"/>
  <c r="CP493" i="79"/>
  <c r="O120" i="76"/>
  <c r="CH493" i="79"/>
  <c r="N120" i="76"/>
  <c r="BZ493" i="79"/>
  <c r="M120" i="76"/>
  <c r="BR493" i="79"/>
  <c r="L120" i="76"/>
  <c r="BJ493" i="79"/>
  <c r="K120" i="76"/>
  <c r="BB493" i="79"/>
  <c r="J120" i="76"/>
  <c r="AT493" i="79"/>
  <c r="I120" i="76"/>
  <c r="AL493" i="79"/>
  <c r="H120" i="76"/>
  <c r="AD493" i="79"/>
  <c r="G120" i="76"/>
  <c r="V493" i="79"/>
  <c r="F120" i="76"/>
  <c r="N493" i="79"/>
  <c r="FJ180" i="79"/>
  <c r="FB180" i="79"/>
  <c r="ET180" i="79"/>
  <c r="EL180" i="79"/>
  <c r="ED180" i="79"/>
  <c r="DV180" i="79"/>
  <c r="DN180" i="79"/>
  <c r="DF180" i="79"/>
  <c r="CX180" i="79"/>
  <c r="CP180" i="79"/>
  <c r="CH180" i="79"/>
  <c r="BZ180" i="79"/>
  <c r="BR180" i="79"/>
  <c r="Y124" i="76"/>
  <c r="FJ474" i="79"/>
  <c r="X124" i="76"/>
  <c r="FB474" i="79"/>
  <c r="W124" i="76"/>
  <c r="ET474" i="79"/>
  <c r="U124" i="76"/>
  <c r="ED474" i="79"/>
  <c r="T124" i="76"/>
  <c r="DV474" i="79"/>
  <c r="S124" i="76"/>
  <c r="DN474" i="79"/>
  <c r="R124" i="76"/>
  <c r="DF474" i="79"/>
  <c r="Q124" i="76"/>
  <c r="CX474" i="79"/>
  <c r="O124" i="76"/>
  <c r="CH474" i="79"/>
  <c r="N124" i="76"/>
  <c r="BZ474" i="79"/>
  <c r="M124" i="76"/>
  <c r="BR474" i="79"/>
  <c r="FJ176" i="79"/>
  <c r="FB176" i="79"/>
  <c r="ET176" i="79"/>
  <c r="EL176" i="79"/>
  <c r="ED176" i="79"/>
  <c r="DV176" i="79"/>
  <c r="DN176" i="79"/>
  <c r="DF176" i="79"/>
  <c r="CX176" i="79"/>
  <c r="CP176" i="79"/>
  <c r="CH176" i="79"/>
  <c r="BZ176" i="79"/>
  <c r="BR176" i="79"/>
  <c r="K185" i="76"/>
  <c r="J185" i="76"/>
  <c r="I185" i="76"/>
  <c r="H185" i="76"/>
  <c r="G185" i="76"/>
  <c r="F185" i="76"/>
  <c r="L176" i="76"/>
  <c r="L177" i="76"/>
  <c r="J176" i="76"/>
  <c r="J177" i="76"/>
  <c r="I176" i="76"/>
  <c r="I177" i="76"/>
  <c r="H176" i="76"/>
  <c r="H177" i="76"/>
  <c r="G176" i="76"/>
  <c r="G177" i="76"/>
  <c r="F176" i="76"/>
  <c r="F177" i="76"/>
  <c r="L167" i="76"/>
  <c r="L60" i="76"/>
  <c r="K167" i="76"/>
  <c r="I167" i="76"/>
  <c r="H167" i="76"/>
  <c r="G167" i="76"/>
  <c r="F167" i="76"/>
  <c r="F168" i="76"/>
  <c r="L158" i="76"/>
  <c r="L43" i="76"/>
  <c r="K158" i="76"/>
  <c r="K43" i="76"/>
  <c r="J158" i="76"/>
  <c r="J43" i="76"/>
  <c r="H158" i="76"/>
  <c r="G158" i="76"/>
  <c r="F158" i="76"/>
  <c r="F43" i="70"/>
  <c r="H149" i="76"/>
  <c r="H150" i="76"/>
  <c r="AD180" i="79"/>
  <c r="F149" i="76"/>
  <c r="F150" i="76"/>
  <c r="E146" i="79"/>
  <c r="K146" i="79"/>
  <c r="E145" i="79"/>
  <c r="K145" i="79"/>
  <c r="G6" i="37"/>
  <c r="G5" i="37"/>
  <c r="G4" i="37"/>
  <c r="H21" i="37"/>
  <c r="J21" i="37"/>
  <c r="K21" i="37"/>
  <c r="E36" i="37"/>
  <c r="G36" i="37"/>
  <c r="H36" i="37"/>
  <c r="J36" i="37"/>
  <c r="K36" i="37"/>
  <c r="D7" i="68"/>
  <c r="D6" i="68"/>
  <c r="D5" i="68"/>
  <c r="B3" i="69"/>
  <c r="C3" i="69"/>
  <c r="D3" i="69"/>
  <c r="E3" i="69"/>
  <c r="F3" i="69"/>
  <c r="G3" i="69"/>
  <c r="B27" i="36"/>
  <c r="C25" i="36"/>
  <c r="E25" i="36"/>
  <c r="B56" i="36"/>
  <c r="B64" i="36"/>
  <c r="B72" i="36"/>
  <c r="F110" i="36"/>
  <c r="F111" i="36"/>
  <c r="F112" i="36"/>
  <c r="F113" i="36"/>
  <c r="F114" i="36"/>
  <c r="F115" i="36"/>
  <c r="F116" i="36"/>
  <c r="F117" i="36"/>
  <c r="E20" i="77"/>
  <c r="E24" i="77" s="1"/>
  <c r="F20" i="77"/>
  <c r="F24" i="77"/>
  <c r="G20" i="77"/>
  <c r="G24" i="77"/>
  <c r="H20" i="77"/>
  <c r="I20" i="77"/>
  <c r="I24" i="77"/>
  <c r="J20" i="77"/>
  <c r="K20" i="77"/>
  <c r="L20" i="77"/>
  <c r="L24" i="77"/>
  <c r="M20" i="77"/>
  <c r="M24" i="77"/>
  <c r="N20" i="77"/>
  <c r="O20" i="77"/>
  <c r="O24" i="77"/>
  <c r="P20" i="77"/>
  <c r="P24" i="77"/>
  <c r="Q20" i="77"/>
  <c r="Q24" i="77"/>
  <c r="R20" i="77"/>
  <c r="R24" i="77"/>
  <c r="S20" i="77"/>
  <c r="S24" i="77"/>
  <c r="T20" i="77"/>
  <c r="T24" i="77"/>
  <c r="U20" i="77"/>
  <c r="U24" i="77"/>
  <c r="V20" i="77"/>
  <c r="V24" i="77"/>
  <c r="W20" i="77"/>
  <c r="W24" i="77"/>
  <c r="X20" i="77"/>
  <c r="Y20" i="77"/>
  <c r="Y24" i="77"/>
  <c r="Z20" i="77"/>
  <c r="AA21" i="77"/>
  <c r="AA35" i="77"/>
  <c r="G75" i="80"/>
  <c r="G42" i="26"/>
  <c r="C16" i="32" s="1"/>
  <c r="G47" i="26"/>
  <c r="C17" i="32" s="1"/>
  <c r="G55" i="26"/>
  <c r="C18" i="32" s="1"/>
  <c r="G75" i="26"/>
  <c r="G235" i="85" s="1"/>
  <c r="J146" i="85"/>
  <c r="L84" i="90" s="1"/>
  <c r="G146" i="80"/>
  <c r="G145" i="80"/>
  <c r="E84" i="80"/>
  <c r="E75" i="79"/>
  <c r="K75" i="79"/>
  <c r="FK3" i="79"/>
  <c r="FC3" i="79"/>
  <c r="EU3" i="79"/>
  <c r="EM3" i="79"/>
  <c r="EE3" i="79"/>
  <c r="DW3" i="79"/>
  <c r="DO3" i="79"/>
  <c r="DG3" i="79"/>
  <c r="CY3" i="79"/>
  <c r="CQ3" i="79"/>
  <c r="CI3" i="79"/>
  <c r="CA3" i="79"/>
  <c r="BS3" i="79"/>
  <c r="BK3" i="79"/>
  <c r="BC3" i="79"/>
  <c r="AM3" i="79"/>
  <c r="AE3" i="79"/>
  <c r="W3" i="79"/>
  <c r="O3" i="79"/>
  <c r="G75" i="79"/>
  <c r="G146" i="79"/>
  <c r="G145" i="79"/>
  <c r="E84" i="79"/>
  <c r="H128" i="76"/>
  <c r="G128" i="76"/>
  <c r="F128" i="76"/>
  <c r="H127" i="76"/>
  <c r="G127" i="76"/>
  <c r="F127" i="76"/>
  <c r="H126" i="76"/>
  <c r="G126" i="76"/>
  <c r="F126" i="76"/>
  <c r="H117" i="76"/>
  <c r="G117" i="76"/>
  <c r="F117" i="76"/>
  <c r="H116" i="76"/>
  <c r="G116" i="76"/>
  <c r="F116" i="76"/>
  <c r="H115" i="76"/>
  <c r="G115" i="76"/>
  <c r="F115" i="76"/>
  <c r="H113" i="76"/>
  <c r="AD274" i="79"/>
  <c r="G113" i="76"/>
  <c r="V274" i="79"/>
  <c r="W274" i="79" s="1"/>
  <c r="F113" i="76"/>
  <c r="N274" i="79"/>
  <c r="O274" i="79" s="1"/>
  <c r="H111" i="76"/>
  <c r="AD223" i="79"/>
  <c r="G111" i="76"/>
  <c r="V223" i="79"/>
  <c r="F111" i="76"/>
  <c r="N223" i="79"/>
  <c r="H110" i="76"/>
  <c r="AD108" i="79"/>
  <c r="G110" i="76"/>
  <c r="V108" i="79"/>
  <c r="F110" i="76"/>
  <c r="N108" i="79"/>
  <c r="H109" i="76"/>
  <c r="AD105" i="79"/>
  <c r="G109" i="76"/>
  <c r="V105" i="79"/>
  <c r="F109" i="76"/>
  <c r="N105" i="79"/>
  <c r="H108" i="76"/>
  <c r="AD103" i="79"/>
  <c r="G108" i="76"/>
  <c r="V103" i="79"/>
  <c r="F108" i="76"/>
  <c r="N103" i="79"/>
  <c r="M128" i="76"/>
  <c r="K128" i="76"/>
  <c r="L128" i="76"/>
  <c r="M127" i="76"/>
  <c r="K127" i="76"/>
  <c r="L127" i="76"/>
  <c r="M126" i="76"/>
  <c r="K126" i="76"/>
  <c r="L126" i="76"/>
  <c r="M125" i="76"/>
  <c r="M117" i="76"/>
  <c r="K117" i="76"/>
  <c r="L117" i="76"/>
  <c r="M113" i="76"/>
  <c r="BR274" i="79"/>
  <c r="K113" i="76"/>
  <c r="BB274" i="79"/>
  <c r="L113" i="76"/>
  <c r="BJ274" i="79"/>
  <c r="M111" i="76"/>
  <c r="BR223" i="79"/>
  <c r="K111" i="76"/>
  <c r="BB223" i="79"/>
  <c r="L111" i="76"/>
  <c r="BJ223" i="79"/>
  <c r="BK223" i="79" s="1"/>
  <c r="M110" i="76"/>
  <c r="BR108" i="79"/>
  <c r="K110" i="76"/>
  <c r="BB108" i="79"/>
  <c r="L110" i="76"/>
  <c r="BJ108" i="79"/>
  <c r="M109" i="76"/>
  <c r="BR105" i="79"/>
  <c r="K109" i="76"/>
  <c r="BB105" i="79"/>
  <c r="L109" i="76"/>
  <c r="BJ105" i="79"/>
  <c r="M108" i="76"/>
  <c r="BR103" i="79"/>
  <c r="K108" i="76"/>
  <c r="BB103" i="79"/>
  <c r="L108" i="76"/>
  <c r="BJ103" i="79"/>
  <c r="M116" i="76"/>
  <c r="L116" i="76"/>
  <c r="K116" i="76"/>
  <c r="M115" i="76"/>
  <c r="L115" i="76"/>
  <c r="K115" i="76"/>
  <c r="I108" i="76"/>
  <c r="AL103" i="79"/>
  <c r="J108" i="76"/>
  <c r="AT103" i="79"/>
  <c r="N108" i="76"/>
  <c r="BZ103" i="79"/>
  <c r="O108" i="76"/>
  <c r="CH103" i="79"/>
  <c r="P108" i="76"/>
  <c r="CP103" i="79"/>
  <c r="Q108" i="76"/>
  <c r="CX103" i="79"/>
  <c r="R108" i="76"/>
  <c r="DF103" i="79"/>
  <c r="S108" i="76"/>
  <c r="DN103" i="79"/>
  <c r="T108" i="76"/>
  <c r="DV103" i="79"/>
  <c r="U108" i="76"/>
  <c r="ED103" i="79"/>
  <c r="V108" i="76"/>
  <c r="EL103" i="79"/>
  <c r="W108" i="76"/>
  <c r="ET103" i="79"/>
  <c r="X108" i="76"/>
  <c r="FB103" i="79"/>
  <c r="Y108" i="76"/>
  <c r="FJ103" i="79"/>
  <c r="I109" i="76"/>
  <c r="AL105" i="79"/>
  <c r="J109" i="76"/>
  <c r="AT105" i="79"/>
  <c r="N109" i="76"/>
  <c r="BZ105" i="79"/>
  <c r="O109" i="76"/>
  <c r="CH105" i="79"/>
  <c r="P109" i="76"/>
  <c r="CP105" i="79"/>
  <c r="Q109" i="76"/>
  <c r="CX105" i="79"/>
  <c r="R109" i="76"/>
  <c r="DF105" i="79"/>
  <c r="S109" i="76"/>
  <c r="DN105" i="79"/>
  <c r="T109" i="76"/>
  <c r="DV105" i="79"/>
  <c r="U109" i="76"/>
  <c r="ED105" i="79"/>
  <c r="V109" i="76"/>
  <c r="EL105" i="79"/>
  <c r="W109" i="76"/>
  <c r="ET105" i="79"/>
  <c r="X109" i="76"/>
  <c r="FB105" i="79"/>
  <c r="Y109" i="76"/>
  <c r="FJ105" i="79"/>
  <c r="I110" i="76"/>
  <c r="AL108" i="79"/>
  <c r="J110" i="76"/>
  <c r="AT108" i="79"/>
  <c r="N110" i="76"/>
  <c r="BZ108" i="79"/>
  <c r="O110" i="76"/>
  <c r="CH108" i="79"/>
  <c r="P110" i="76"/>
  <c r="CP108" i="79"/>
  <c r="Q110" i="76"/>
  <c r="CX108" i="79"/>
  <c r="R110" i="76"/>
  <c r="DF108" i="79"/>
  <c r="S110" i="76"/>
  <c r="DN108" i="79"/>
  <c r="T110" i="76"/>
  <c r="DV108" i="79"/>
  <c r="U110" i="76"/>
  <c r="ED108" i="79"/>
  <c r="V110" i="76"/>
  <c r="EL108" i="79"/>
  <c r="W110" i="76"/>
  <c r="ET108" i="79"/>
  <c r="X110" i="76"/>
  <c r="FB108" i="79"/>
  <c r="Y110" i="76"/>
  <c r="FJ108" i="79"/>
  <c r="I111" i="76"/>
  <c r="AL223" i="79"/>
  <c r="J111" i="76"/>
  <c r="AT223" i="79"/>
  <c r="N111" i="76"/>
  <c r="BZ223" i="79"/>
  <c r="O111" i="76"/>
  <c r="CH223" i="79"/>
  <c r="P111" i="76"/>
  <c r="CP223" i="79"/>
  <c r="Q111" i="76"/>
  <c r="CX223" i="79"/>
  <c r="R111" i="76"/>
  <c r="DF223" i="79"/>
  <c r="S111" i="76"/>
  <c r="DN223" i="79"/>
  <c r="T111" i="76"/>
  <c r="DV223" i="79"/>
  <c r="U111" i="76"/>
  <c r="ED223" i="79"/>
  <c r="V111" i="76"/>
  <c r="EL223" i="79"/>
  <c r="W111" i="76"/>
  <c r="ET223" i="79"/>
  <c r="X111" i="76"/>
  <c r="FB223" i="79"/>
  <c r="Y111" i="76"/>
  <c r="FJ223" i="79"/>
  <c r="I113" i="76"/>
  <c r="AL274" i="79"/>
  <c r="J113" i="76"/>
  <c r="AT274" i="79"/>
  <c r="N113" i="76"/>
  <c r="BZ274" i="79"/>
  <c r="O113" i="76"/>
  <c r="CH274" i="79"/>
  <c r="P113" i="76"/>
  <c r="CP274" i="79"/>
  <c r="CQ274" i="79" s="1"/>
  <c r="Q113" i="76"/>
  <c r="CX274" i="79"/>
  <c r="CY274" i="79" s="1"/>
  <c r="R113" i="76"/>
  <c r="DF274" i="79"/>
  <c r="S113" i="76"/>
  <c r="DN274" i="79"/>
  <c r="T113" i="76"/>
  <c r="DV274" i="79"/>
  <c r="U113" i="76"/>
  <c r="ED274" i="79"/>
  <c r="V113" i="76"/>
  <c r="EL274" i="79"/>
  <c r="EM274" i="79" s="1"/>
  <c r="W113" i="76"/>
  <c r="ET274" i="79"/>
  <c r="EU274" i="79" s="1"/>
  <c r="X113" i="76"/>
  <c r="FB274" i="79"/>
  <c r="Y113" i="76"/>
  <c r="FJ274" i="79"/>
  <c r="I115" i="76"/>
  <c r="J115" i="76"/>
  <c r="N115" i="76"/>
  <c r="O115" i="76"/>
  <c r="P115" i="76"/>
  <c r="Q115" i="76"/>
  <c r="R115" i="76"/>
  <c r="S115" i="76"/>
  <c r="T115" i="76"/>
  <c r="U115" i="76"/>
  <c r="V115" i="76"/>
  <c r="W115" i="76"/>
  <c r="X115" i="76"/>
  <c r="Y115" i="76"/>
  <c r="I116" i="76"/>
  <c r="J116" i="76"/>
  <c r="N116" i="76"/>
  <c r="O116" i="76"/>
  <c r="P116" i="76"/>
  <c r="Q116" i="76"/>
  <c r="R116" i="76"/>
  <c r="S116" i="76"/>
  <c r="T116" i="76"/>
  <c r="U116" i="76"/>
  <c r="V116" i="76"/>
  <c r="W116" i="76"/>
  <c r="X116" i="76"/>
  <c r="Y116" i="76"/>
  <c r="I117" i="76"/>
  <c r="J117" i="76"/>
  <c r="N117" i="76"/>
  <c r="O117" i="76"/>
  <c r="P117" i="76"/>
  <c r="Q117" i="76"/>
  <c r="R117" i="76"/>
  <c r="S117" i="76"/>
  <c r="T117" i="76"/>
  <c r="U117" i="76"/>
  <c r="V117" i="76"/>
  <c r="W117" i="76"/>
  <c r="X117" i="76"/>
  <c r="Y117" i="76"/>
  <c r="N125" i="76"/>
  <c r="O125" i="76"/>
  <c r="Q125" i="76"/>
  <c r="S125" i="76"/>
  <c r="T125" i="76"/>
  <c r="U125" i="76"/>
  <c r="W125" i="76"/>
  <c r="Y125" i="76"/>
  <c r="I126" i="76"/>
  <c r="J126" i="76"/>
  <c r="N126" i="76"/>
  <c r="O126" i="76"/>
  <c r="P126" i="76"/>
  <c r="Q126" i="76"/>
  <c r="R126" i="76"/>
  <c r="S126" i="76"/>
  <c r="T126" i="76"/>
  <c r="U126" i="76"/>
  <c r="V126" i="76"/>
  <c r="W126" i="76"/>
  <c r="X126" i="76"/>
  <c r="Y126" i="76"/>
  <c r="I127" i="76"/>
  <c r="J127" i="76"/>
  <c r="N127" i="76"/>
  <c r="O127" i="76"/>
  <c r="P127" i="76"/>
  <c r="Q127" i="76"/>
  <c r="R127" i="76"/>
  <c r="S127" i="76"/>
  <c r="T127" i="76"/>
  <c r="U127" i="76"/>
  <c r="V127" i="76"/>
  <c r="W127" i="76"/>
  <c r="X127" i="76"/>
  <c r="Y127" i="76"/>
  <c r="I128" i="76"/>
  <c r="J128" i="76"/>
  <c r="N128" i="76"/>
  <c r="O128" i="76"/>
  <c r="P128" i="76"/>
  <c r="Q128" i="76"/>
  <c r="R128" i="76"/>
  <c r="S128" i="76"/>
  <c r="T128" i="76"/>
  <c r="U128" i="76"/>
  <c r="V128" i="76"/>
  <c r="W128" i="76"/>
  <c r="X128" i="76"/>
  <c r="Y128" i="76"/>
  <c r="Y63" i="70"/>
  <c r="X63" i="70"/>
  <c r="W63" i="70"/>
  <c r="V63" i="70"/>
  <c r="U63" i="70"/>
  <c r="T63" i="70"/>
  <c r="S63" i="70"/>
  <c r="R63" i="70"/>
  <c r="Q63" i="70"/>
  <c r="P63" i="70"/>
  <c r="O63" i="70"/>
  <c r="N63" i="70"/>
  <c r="M63" i="70"/>
  <c r="L63" i="70"/>
  <c r="K63" i="70"/>
  <c r="J63" i="70"/>
  <c r="I63" i="70"/>
  <c r="H63" i="70"/>
  <c r="G63" i="70"/>
  <c r="F63" i="70"/>
  <c r="H24" i="77"/>
  <c r="J24" i="77"/>
  <c r="K24" i="77"/>
  <c r="N24" i="77"/>
  <c r="X24" i="77"/>
  <c r="Z24" i="77"/>
  <c r="AA18" i="77"/>
  <c r="C7" i="35"/>
  <c r="C6" i="35"/>
  <c r="C5" i="35"/>
  <c r="Q64" i="35"/>
  <c r="R64" i="35"/>
  <c r="D23" i="33"/>
  <c r="D30" i="33"/>
  <c r="G19" i="85"/>
  <c r="G26" i="85"/>
  <c r="G50" i="85"/>
  <c r="G77" i="85"/>
  <c r="G93" i="85"/>
  <c r="G100" i="85"/>
  <c r="G143" i="85"/>
  <c r="C7" i="32"/>
  <c r="C6" i="32"/>
  <c r="C5" i="32"/>
  <c r="D7" i="36"/>
  <c r="D6" i="36"/>
  <c r="D5" i="36"/>
  <c r="E7" i="26"/>
  <c r="E6" i="26"/>
  <c r="E5" i="26"/>
  <c r="E7" i="31"/>
  <c r="E6" i="31"/>
  <c r="E5" i="31"/>
  <c r="F29" i="31"/>
  <c r="G281" i="85" s="1"/>
  <c r="F19" i="31"/>
  <c r="G271" i="85" s="1"/>
  <c r="E7" i="27"/>
  <c r="E6" i="27"/>
  <c r="E5" i="27"/>
  <c r="G37" i="27"/>
  <c r="G313" i="85" s="1"/>
  <c r="G22" i="27"/>
  <c r="G298" i="85" s="1"/>
  <c r="C7" i="7"/>
  <c r="C6" i="7"/>
  <c r="C5" i="7"/>
  <c r="E391" i="80"/>
  <c r="K391" i="80"/>
  <c r="K46" i="80"/>
  <c r="BC305" i="79"/>
  <c r="AU268" i="80"/>
  <c r="CY270" i="80"/>
  <c r="CZ270" i="80"/>
  <c r="CQ470" i="79"/>
  <c r="DG279" i="79"/>
  <c r="FK234" i="79"/>
  <c r="DG234" i="79"/>
  <c r="W195" i="80"/>
  <c r="AM270" i="80"/>
  <c r="BS278" i="80"/>
  <c r="AM278" i="80"/>
  <c r="CY278" i="80"/>
  <c r="AE278" i="80"/>
  <c r="O278" i="80"/>
  <c r="W278" i="80"/>
  <c r="AM308" i="79"/>
  <c r="AU234" i="79"/>
  <c r="BC279" i="79"/>
  <c r="EU279" i="79"/>
  <c r="FK309" i="79"/>
  <c r="CA309" i="79"/>
  <c r="BC278" i="80"/>
  <c r="DO268" i="79"/>
  <c r="I60" i="76"/>
  <c r="AE279" i="79"/>
  <c r="CQ305" i="79"/>
  <c r="CY305" i="79"/>
  <c r="CQ279" i="79"/>
  <c r="CY279" i="79"/>
  <c r="K151" i="79"/>
  <c r="BS297" i="80"/>
  <c r="FC294" i="79"/>
  <c r="FD294" i="79" s="1"/>
  <c r="DO294" i="79"/>
  <c r="DP294" i="79" s="1"/>
  <c r="CI294" i="79"/>
  <c r="CJ294" i="79" s="1"/>
  <c r="BC294" i="79"/>
  <c r="AU294" i="79"/>
  <c r="AM294" i="79"/>
  <c r="W294" i="79"/>
  <c r="CQ294" i="79"/>
  <c r="K141" i="79"/>
  <c r="AE184" i="79"/>
  <c r="CA279" i="79"/>
  <c r="K107" i="80"/>
  <c r="DW268" i="80"/>
  <c r="O268" i="80"/>
  <c r="AM268" i="80"/>
  <c r="EU268" i="80"/>
  <c r="BC268" i="80"/>
  <c r="W268" i="80"/>
  <c r="Y268" i="80" s="1"/>
  <c r="FC219" i="80"/>
  <c r="CY219" i="80"/>
  <c r="FK253" i="80"/>
  <c r="O253" i="80"/>
  <c r="DO253" i="80"/>
  <c r="DQ253" i="80" s="1"/>
  <c r="K277" i="80"/>
  <c r="FK279" i="79"/>
  <c r="DW279" i="79"/>
  <c r="FC279" i="79"/>
  <c r="O279" i="79"/>
  <c r="EE279" i="79"/>
  <c r="DO279" i="79"/>
  <c r="CI305" i="79"/>
  <c r="W268" i="79"/>
  <c r="W271" i="79" s="1"/>
  <c r="E386" i="79"/>
  <c r="K386" i="79"/>
  <c r="K41" i="79"/>
  <c r="CI279" i="79"/>
  <c r="EM279" i="79"/>
  <c r="FK478" i="80"/>
  <c r="BC478" i="80"/>
  <c r="BK224" i="80"/>
  <c r="AE295" i="80"/>
  <c r="EE295" i="80"/>
  <c r="BC295" i="80"/>
  <c r="EM295" i="80"/>
  <c r="W295" i="80"/>
  <c r="CA295" i="80"/>
  <c r="AU295" i="80"/>
  <c r="DO295" i="80"/>
  <c r="BK305" i="79"/>
  <c r="DO305" i="79"/>
  <c r="AM293" i="80"/>
  <c r="AN293" i="80" s="1"/>
  <c r="AE230" i="80"/>
  <c r="E388" i="80"/>
  <c r="K388" i="80"/>
  <c r="K43" i="80"/>
  <c r="W214" i="80"/>
  <c r="X214" i="80" s="1"/>
  <c r="AU214" i="80"/>
  <c r="AV214" i="80" s="1"/>
  <c r="BC214" i="80"/>
  <c r="W305" i="79"/>
  <c r="AE268" i="80"/>
  <c r="FK293" i="80"/>
  <c r="FL293" i="80" s="1"/>
  <c r="EM293" i="80"/>
  <c r="EO293" i="80" s="1"/>
  <c r="BK293" i="80"/>
  <c r="BM293" i="80" s="1"/>
  <c r="DW293" i="80"/>
  <c r="DX293" i="80" s="1"/>
  <c r="FC270" i="80"/>
  <c r="BK270" i="80"/>
  <c r="AU270" i="80"/>
  <c r="CQ270" i="80"/>
  <c r="CR270" i="80" s="1"/>
  <c r="O270" i="80"/>
  <c r="CI270" i="80"/>
  <c r="CJ270" i="80" s="1"/>
  <c r="BC270" i="80"/>
  <c r="BE270" i="80" s="1"/>
  <c r="W270" i="80"/>
  <c r="EM228" i="80"/>
  <c r="G271" i="80"/>
  <c r="DG270" i="80"/>
  <c r="DI270" i="80" s="1"/>
  <c r="W279" i="79"/>
  <c r="EM270" i="80"/>
  <c r="EO270" i="80" s="1"/>
  <c r="FK305" i="79"/>
  <c r="EU305" i="79"/>
  <c r="BS305" i="79"/>
  <c r="O305" i="79"/>
  <c r="BC254" i="79"/>
  <c r="BD254" i="79" s="1"/>
  <c r="AE305" i="79"/>
  <c r="DG305" i="79"/>
  <c r="BS210" i="80"/>
  <c r="O210" i="80"/>
  <c r="DG210" i="80"/>
  <c r="CY210" i="80"/>
  <c r="FC210" i="80"/>
  <c r="DW210" i="80"/>
  <c r="EM210" i="80"/>
  <c r="BC210" i="80"/>
  <c r="AM210" i="80"/>
  <c r="DO210" i="80"/>
  <c r="AE210" i="80"/>
  <c r="W210" i="80"/>
  <c r="AM305" i="79"/>
  <c r="FK308" i="79"/>
  <c r="CQ308" i="79"/>
  <c r="BS308" i="79"/>
  <c r="CA308" i="79"/>
  <c r="CY308" i="79"/>
  <c r="K296" i="80"/>
  <c r="O308" i="79"/>
  <c r="AE270" i="80"/>
  <c r="EE210" i="80"/>
  <c r="C27" i="36"/>
  <c r="AU279" i="79"/>
  <c r="BS279" i="79"/>
  <c r="CA305" i="79"/>
  <c r="CI308" i="79"/>
  <c r="O295" i="80"/>
  <c r="BC293" i="80"/>
  <c r="BE293" i="80" s="1"/>
  <c r="BK210" i="80"/>
  <c r="CI224" i="80"/>
  <c r="EE270" i="80"/>
  <c r="BK245" i="79"/>
  <c r="BL245" i="79" s="1"/>
  <c r="BS178" i="79"/>
  <c r="DO178" i="79"/>
  <c r="EU486" i="80"/>
  <c r="BK486" i="80"/>
  <c r="BS486" i="80"/>
  <c r="AU486" i="80"/>
  <c r="DG486" i="80"/>
  <c r="AM486" i="80"/>
  <c r="CQ486" i="80"/>
  <c r="FK232" i="80"/>
  <c r="FM232" i="80" s="1"/>
  <c r="EM232" i="80"/>
  <c r="EO232" i="80" s="1"/>
  <c r="CI232" i="80"/>
  <c r="CK232" i="80" s="1"/>
  <c r="BK232" i="80"/>
  <c r="EE232" i="80"/>
  <c r="BC232" i="80"/>
  <c r="BD232" i="80" s="1"/>
  <c r="CA232" i="80"/>
  <c r="CB232" i="80" s="1"/>
  <c r="AM232" i="80"/>
  <c r="AE232" i="80"/>
  <c r="AF232" i="80" s="1"/>
  <c r="AM245" i="79"/>
  <c r="AN245" i="79" s="1"/>
  <c r="EU310" i="79"/>
  <c r="FC277" i="80"/>
  <c r="DO277" i="80"/>
  <c r="BS277" i="80"/>
  <c r="BK277" i="80"/>
  <c r="AU277" i="80"/>
  <c r="DW277" i="80"/>
  <c r="CQ277" i="80"/>
  <c r="AE277" i="80"/>
  <c r="AM181" i="79"/>
  <c r="AO181" i="79" s="1"/>
  <c r="CI245" i="79"/>
  <c r="CY184" i="79"/>
  <c r="DW245" i="79"/>
  <c r="FK293" i="79"/>
  <c r="EU293" i="79"/>
  <c r="EW293" i="79" s="1"/>
  <c r="BK275" i="80"/>
  <c r="AU275" i="80"/>
  <c r="DW275" i="80"/>
  <c r="CQ275" i="80"/>
  <c r="EM275" i="80"/>
  <c r="AE275" i="80"/>
  <c r="CI275" i="80"/>
  <c r="FK307" i="79"/>
  <c r="EU307" i="79"/>
  <c r="EM307" i="79"/>
  <c r="FK307" i="80"/>
  <c r="CI307" i="80"/>
  <c r="CA307" i="80"/>
  <c r="O307" i="80"/>
  <c r="J60" i="76"/>
  <c r="AE245" i="79"/>
  <c r="AF245" i="79" s="1"/>
  <c r="AM178" i="79"/>
  <c r="AU245" i="79"/>
  <c r="AV245" i="79" s="1"/>
  <c r="FK178" i="79"/>
  <c r="DG232" i="80"/>
  <c r="EE486" i="80"/>
  <c r="BK305" i="80"/>
  <c r="CA305" i="80"/>
  <c r="DW250" i="80"/>
  <c r="EU305" i="80"/>
  <c r="K48" i="80"/>
  <c r="EM294" i="80"/>
  <c r="EN294" i="80" s="1"/>
  <c r="CA276" i="79"/>
  <c r="AE276" i="79"/>
  <c r="EU297" i="79"/>
  <c r="BU293" i="79"/>
  <c r="BM293" i="79"/>
  <c r="Y293" i="79"/>
  <c r="DP293" i="79"/>
  <c r="DQ293" i="79"/>
  <c r="CS293" i="79"/>
  <c r="CK293" i="79"/>
  <c r="F53" i="76"/>
  <c r="F60" i="76"/>
  <c r="G60" i="76"/>
  <c r="G124" i="76"/>
  <c r="V474" i="79"/>
  <c r="V476" i="79" s="1"/>
  <c r="W476" i="79" s="1"/>
  <c r="DX293" i="79"/>
  <c r="EU294" i="79"/>
  <c r="EW294" i="79" s="1"/>
  <c r="FC295" i="79"/>
  <c r="K294" i="79"/>
  <c r="CZ294" i="79"/>
  <c r="E436" i="79"/>
  <c r="E390" i="79"/>
  <c r="K390" i="79"/>
  <c r="DO280" i="80"/>
  <c r="EM280" i="80"/>
  <c r="FK278" i="80"/>
  <c r="DW278" i="80"/>
  <c r="DO278" i="80"/>
  <c r="DG278" i="80"/>
  <c r="CI278" i="80"/>
  <c r="CA278" i="80"/>
  <c r="EM278" i="80"/>
  <c r="EE278" i="80"/>
  <c r="FK276" i="80"/>
  <c r="CY276" i="80"/>
  <c r="CQ276" i="80"/>
  <c r="EE276" i="80"/>
  <c r="CA276" i="80"/>
  <c r="K270" i="80"/>
  <c r="EM268" i="80"/>
  <c r="CQ268" i="80"/>
  <c r="EE268" i="80"/>
  <c r="EF268" i="80" s="1"/>
  <c r="DG268" i="80"/>
  <c r="CY268" i="80"/>
  <c r="EM296" i="80"/>
  <c r="EO296" i="80" s="1"/>
  <c r="DW296" i="80"/>
  <c r="DX296" i="80" s="1"/>
  <c r="FC292" i="80"/>
  <c r="CQ292" i="80"/>
  <c r="EM292" i="80"/>
  <c r="EU292" i="80"/>
  <c r="CY292" i="80"/>
  <c r="DW292" i="80"/>
  <c r="DO292" i="80"/>
  <c r="CI292" i="80"/>
  <c r="K226" i="80"/>
  <c r="FC206" i="80"/>
  <c r="FK194" i="80"/>
  <c r="DG194" i="80"/>
  <c r="DO194" i="80"/>
  <c r="BK194" i="80"/>
  <c r="S64" i="35"/>
  <c r="H168" i="76"/>
  <c r="H53" i="76"/>
  <c r="H60" i="76"/>
  <c r="AN293" i="79"/>
  <c r="AW293" i="79"/>
  <c r="BL293" i="79"/>
  <c r="CB293" i="79"/>
  <c r="FD345" i="79"/>
  <c r="CB345" i="79"/>
  <c r="AF345" i="79"/>
  <c r="FL345" i="79"/>
  <c r="EV345" i="79"/>
  <c r="EF345" i="79"/>
  <c r="DP345" i="79"/>
  <c r="CZ345" i="79"/>
  <c r="CJ345" i="79"/>
  <c r="BT345" i="79"/>
  <c r="BD345" i="79"/>
  <c r="AN345" i="79"/>
  <c r="X345" i="79"/>
  <c r="EN345" i="79"/>
  <c r="DH345" i="79"/>
  <c r="BL345" i="79"/>
  <c r="P345" i="79"/>
  <c r="DX345" i="79"/>
  <c r="CR345" i="79"/>
  <c r="AV345" i="79"/>
  <c r="FK294" i="79"/>
  <c r="E428" i="79"/>
  <c r="K428" i="79"/>
  <c r="E412" i="79"/>
  <c r="Q270" i="80"/>
  <c r="CA292" i="80"/>
  <c r="CI268" i="80"/>
  <c r="CQ278" i="80"/>
  <c r="DH270" i="80"/>
  <c r="DG292" i="80"/>
  <c r="EU278" i="80"/>
  <c r="FK256" i="80"/>
  <c r="EE256" i="80"/>
  <c r="FC256" i="80"/>
  <c r="CA256" i="80"/>
  <c r="CY254" i="80"/>
  <c r="CZ254" i="80" s="1"/>
  <c r="CQ254" i="80"/>
  <c r="CS254" i="80" s="1"/>
  <c r="DO252" i="80"/>
  <c r="DG252" i="80"/>
  <c r="BD293" i="79"/>
  <c r="DH293" i="79"/>
  <c r="E435" i="79"/>
  <c r="E384" i="79"/>
  <c r="K384" i="79"/>
  <c r="K17" i="79"/>
  <c r="E427" i="79"/>
  <c r="K427" i="79"/>
  <c r="E411" i="79"/>
  <c r="EE292" i="80"/>
  <c r="K60" i="76"/>
  <c r="J168" i="76"/>
  <c r="J53" i="76"/>
  <c r="BT293" i="79"/>
  <c r="CR293" i="79"/>
  <c r="E437" i="79"/>
  <c r="E391" i="79"/>
  <c r="K391" i="79"/>
  <c r="K42" i="79"/>
  <c r="E387" i="79"/>
  <c r="K387" i="79"/>
  <c r="E434" i="79"/>
  <c r="E383" i="79"/>
  <c r="K383" i="79"/>
  <c r="E426" i="79"/>
  <c r="K426" i="79"/>
  <c r="E410" i="79"/>
  <c r="J141" i="76"/>
  <c r="J13" i="76"/>
  <c r="AT176" i="79"/>
  <c r="J20" i="76"/>
  <c r="BS268" i="80"/>
  <c r="CA268" i="80"/>
  <c r="CI296" i="80"/>
  <c r="CK296" i="80" s="1"/>
  <c r="DO276" i="80"/>
  <c r="DO268" i="80"/>
  <c r="EF270" i="80"/>
  <c r="FC280" i="80"/>
  <c r="K291" i="80"/>
  <c r="CY486" i="80"/>
  <c r="DO486" i="80"/>
  <c r="DW270" i="80"/>
  <c r="DX270" i="80" s="1"/>
  <c r="DW486" i="80"/>
  <c r="EU277" i="80"/>
  <c r="K99" i="80"/>
  <c r="EU222" i="80"/>
  <c r="CY214" i="80"/>
  <c r="EM486" i="80"/>
  <c r="FD345" i="80"/>
  <c r="EN345" i="80"/>
  <c r="DX345" i="80"/>
  <c r="DH345" i="80"/>
  <c r="CR345" i="80"/>
  <c r="CB345" i="80"/>
  <c r="BL345" i="80"/>
  <c r="AV345" i="80"/>
  <c r="AF345" i="80"/>
  <c r="EV345" i="80"/>
  <c r="EF345" i="80"/>
  <c r="CJ345" i="80"/>
  <c r="BD345" i="80"/>
  <c r="X345" i="80"/>
  <c r="P345" i="80"/>
  <c r="DP345" i="80"/>
  <c r="BT345" i="80"/>
  <c r="AN345" i="80"/>
  <c r="FL345" i="80"/>
  <c r="CZ345" i="80"/>
  <c r="FK277" i="80"/>
  <c r="EM277" i="80"/>
  <c r="EE277" i="80"/>
  <c r="FK275" i="80"/>
  <c r="FC275" i="80"/>
  <c r="FC295" i="80"/>
  <c r="CY295" i="80"/>
  <c r="CQ295" i="80"/>
  <c r="CI295" i="80"/>
  <c r="K294" i="80"/>
  <c r="K122" i="80"/>
  <c r="K241" i="80"/>
  <c r="K232" i="80"/>
  <c r="E387" i="80"/>
  <c r="K387" i="80"/>
  <c r="K42" i="80"/>
  <c r="K18" i="80"/>
  <c r="E428" i="80"/>
  <c r="K428" i="80"/>
  <c r="E412" i="80"/>
  <c r="FK210" i="80"/>
  <c r="EU210" i="80"/>
  <c r="CQ210" i="80"/>
  <c r="FK270" i="80"/>
  <c r="EU270" i="80"/>
  <c r="CA270" i="80"/>
  <c r="CA271" i="80" s="1"/>
  <c r="K295" i="80"/>
  <c r="FK308" i="80"/>
  <c r="EM308" i="80"/>
  <c r="EE308" i="80"/>
  <c r="FC486" i="80"/>
  <c r="CA486" i="80"/>
  <c r="K139" i="80"/>
  <c r="K87" i="80"/>
  <c r="FK226" i="80"/>
  <c r="FL226" i="80" s="1"/>
  <c r="E427" i="80"/>
  <c r="K427" i="80"/>
  <c r="E411" i="80"/>
  <c r="E436" i="80"/>
  <c r="K390" i="80"/>
  <c r="E434" i="80"/>
  <c r="K383" i="80"/>
  <c r="K16" i="80"/>
  <c r="E410" i="80"/>
  <c r="E426" i="80"/>
  <c r="K426" i="80"/>
  <c r="E437" i="80"/>
  <c r="E435" i="80"/>
  <c r="K384" i="80"/>
  <c r="G31" i="26"/>
  <c r="G191" i="85" s="1"/>
  <c r="I107" i="90" s="1"/>
  <c r="R42" i="35"/>
  <c r="C24" i="36"/>
  <c r="E24" i="36"/>
  <c r="CQ478" i="79"/>
  <c r="W478" i="79"/>
  <c r="BC478" i="79"/>
  <c r="O478" i="79"/>
  <c r="EE305" i="79"/>
  <c r="EU308" i="79"/>
  <c r="BS309" i="80"/>
  <c r="BU309" i="80" s="1"/>
  <c r="DW305" i="79"/>
  <c r="EM305" i="79"/>
  <c r="FC305" i="79"/>
  <c r="AM306" i="80"/>
  <c r="EE308" i="79"/>
  <c r="W309" i="80"/>
  <c r="X309" i="80"/>
  <c r="AU306" i="80"/>
  <c r="BC309" i="80"/>
  <c r="EM308" i="79"/>
  <c r="DW308" i="79"/>
  <c r="FC308" i="79"/>
  <c r="CI306" i="80"/>
  <c r="W278" i="79"/>
  <c r="AM278" i="79"/>
  <c r="AU275" i="79"/>
  <c r="BK278" i="79"/>
  <c r="EE278" i="79"/>
  <c r="O278" i="79"/>
  <c r="AE275" i="79"/>
  <c r="BC278" i="79"/>
  <c r="CI278" i="79"/>
  <c r="CQ275" i="79"/>
  <c r="DG275" i="79"/>
  <c r="DO278" i="79"/>
  <c r="DW275" i="79"/>
  <c r="EM278" i="79"/>
  <c r="EU278" i="79"/>
  <c r="BK275" i="79"/>
  <c r="EE275" i="79"/>
  <c r="O275" i="79"/>
  <c r="W275" i="79"/>
  <c r="AM275" i="79"/>
  <c r="BC275" i="79"/>
  <c r="BS278" i="79"/>
  <c r="CA278" i="79"/>
  <c r="CI275" i="79"/>
  <c r="CY278" i="79"/>
  <c r="DO275" i="79"/>
  <c r="EM275" i="79"/>
  <c r="AE278" i="79"/>
  <c r="AU278" i="79"/>
  <c r="CQ278" i="79"/>
  <c r="FC278" i="79"/>
  <c r="O227" i="80"/>
  <c r="W224" i="80"/>
  <c r="CA224" i="80"/>
  <c r="DG224" i="80"/>
  <c r="EM227" i="80"/>
  <c r="EU227" i="80"/>
  <c r="FC227" i="80"/>
  <c r="AE227" i="80"/>
  <c r="AU224" i="80"/>
  <c r="BC227" i="80"/>
  <c r="BS227" i="80"/>
  <c r="CQ224" i="80"/>
  <c r="DG231" i="80"/>
  <c r="DO227" i="80"/>
  <c r="AM227" i="80"/>
  <c r="CQ231" i="80"/>
  <c r="CY224" i="80"/>
  <c r="DW224" i="80"/>
  <c r="EE221" i="80"/>
  <c r="EE227" i="80"/>
  <c r="EM224" i="80"/>
  <c r="EU224" i="80"/>
  <c r="O224" i="80"/>
  <c r="W227" i="80"/>
  <c r="AE224" i="80"/>
  <c r="AU221" i="80"/>
  <c r="BC224" i="80"/>
  <c r="BK227" i="80"/>
  <c r="BS224" i="80"/>
  <c r="CI227" i="80"/>
  <c r="DO231" i="80"/>
  <c r="DO224" i="80"/>
  <c r="FC224" i="80"/>
  <c r="AE231" i="80"/>
  <c r="AM224" i="80"/>
  <c r="AU227" i="80"/>
  <c r="CA227" i="80"/>
  <c r="CY227" i="80"/>
  <c r="DG227" i="80"/>
  <c r="DW221" i="80"/>
  <c r="EE224" i="80"/>
  <c r="FC210" i="79"/>
  <c r="AE213" i="80"/>
  <c r="EU213" i="80"/>
  <c r="DO210" i="79"/>
  <c r="O194" i="79"/>
  <c r="W194" i="79"/>
  <c r="BC194" i="79"/>
  <c r="BK194" i="79"/>
  <c r="BS192" i="79"/>
  <c r="CA194" i="79"/>
  <c r="EU194" i="79"/>
  <c r="FC192" i="79"/>
  <c r="AE194" i="79"/>
  <c r="AU192" i="79"/>
  <c r="EM192" i="79"/>
  <c r="CA192" i="79"/>
  <c r="CI194" i="79"/>
  <c r="CQ194" i="79"/>
  <c r="DO194" i="79"/>
  <c r="DW194" i="79"/>
  <c r="AM193" i="80"/>
  <c r="EM194" i="79"/>
  <c r="AE192" i="79"/>
  <c r="AM194" i="79"/>
  <c r="AU194" i="79"/>
  <c r="BS194" i="79"/>
  <c r="CY194" i="79"/>
  <c r="DG194" i="79"/>
  <c r="DO192" i="79"/>
  <c r="DW192" i="79"/>
  <c r="EE194" i="79"/>
  <c r="FC194" i="79"/>
  <c r="F108" i="70"/>
  <c r="N103" i="80"/>
  <c r="CP22" i="80"/>
  <c r="CX184" i="80"/>
  <c r="DF24" i="80"/>
  <c r="DV244" i="80"/>
  <c r="DW244" i="80"/>
  <c r="ED181" i="80"/>
  <c r="BZ200" i="80"/>
  <c r="CX244" i="80"/>
  <c r="CY244" i="80" s="1"/>
  <c r="DN246" i="80"/>
  <c r="DO246" i="80" s="1"/>
  <c r="DV176" i="80"/>
  <c r="DN311" i="80"/>
  <c r="DO311" i="80" s="1"/>
  <c r="BZ244" i="80"/>
  <c r="CA244" i="80"/>
  <c r="CH181" i="80"/>
  <c r="CX200" i="80"/>
  <c r="CX176" i="80"/>
  <c r="DN178" i="80"/>
  <c r="DO178" i="80" s="1"/>
  <c r="DV200" i="80"/>
  <c r="ED24" i="80"/>
  <c r="EL177" i="80"/>
  <c r="ET310" i="80"/>
  <c r="EU310" i="80"/>
  <c r="FB246" i="80"/>
  <c r="FC246" i="80" s="1"/>
  <c r="FB22" i="80"/>
  <c r="FB185" i="80"/>
  <c r="FB177" i="80"/>
  <c r="FJ310" i="80"/>
  <c r="FK310" i="80" s="1"/>
  <c r="FJ199" i="80"/>
  <c r="FJ181" i="80"/>
  <c r="V201" i="80"/>
  <c r="W201" i="80" s="1"/>
  <c r="BR311" i="80"/>
  <c r="BS311" i="80" s="1"/>
  <c r="BZ176" i="80"/>
  <c r="CH24" i="80"/>
  <c r="DF181" i="80"/>
  <c r="DN22" i="80"/>
  <c r="EL22" i="80"/>
  <c r="EL185" i="80"/>
  <c r="ET249" i="80"/>
  <c r="ET181" i="80"/>
  <c r="FJ249" i="80"/>
  <c r="V311" i="80"/>
  <c r="W311" i="80"/>
  <c r="BZ184" i="80"/>
  <c r="DV184" i="80"/>
  <c r="DW184" i="80" s="1"/>
  <c r="ET199" i="80"/>
  <c r="DF311" i="80"/>
  <c r="DG311" i="80" s="1"/>
  <c r="DG313" i="80" s="1"/>
  <c r="BZ185" i="80"/>
  <c r="CA185" i="80" s="1"/>
  <c r="CH310" i="80"/>
  <c r="CI310" i="80" s="1"/>
  <c r="CH249" i="80"/>
  <c r="CH199" i="80"/>
  <c r="CH182" i="80"/>
  <c r="CP247" i="80"/>
  <c r="CQ247" i="80"/>
  <c r="CP23" i="80"/>
  <c r="CP180" i="80"/>
  <c r="CX245" i="80"/>
  <c r="CX201" i="80"/>
  <c r="CY201" i="80" s="1"/>
  <c r="CX185" i="80"/>
  <c r="DF310" i="80"/>
  <c r="DG310" i="80" s="1"/>
  <c r="DF249" i="80"/>
  <c r="DF199" i="80"/>
  <c r="DF182" i="80"/>
  <c r="DN247" i="80"/>
  <c r="DO247" i="80"/>
  <c r="DQ247" i="80" s="1"/>
  <c r="DN23" i="80"/>
  <c r="DN180" i="80"/>
  <c r="DV245" i="80"/>
  <c r="DV201" i="80"/>
  <c r="DW201" i="80" s="1"/>
  <c r="DV185" i="80"/>
  <c r="DW185" i="80" s="1"/>
  <c r="DV177" i="80"/>
  <c r="DW177" i="80" s="1"/>
  <c r="ED310" i="80"/>
  <c r="EE310" i="80" s="1"/>
  <c r="ED249" i="80"/>
  <c r="ED199" i="80"/>
  <c r="ED182" i="80"/>
  <c r="EL247" i="80"/>
  <c r="EM247" i="80" s="1"/>
  <c r="EO247" i="80" s="1"/>
  <c r="EL23" i="80"/>
  <c r="EL178" i="80"/>
  <c r="EM178" i="80" s="1"/>
  <c r="ET244" i="80"/>
  <c r="EU244" i="80" s="1"/>
  <c r="ET200" i="80"/>
  <c r="ET182" i="80"/>
  <c r="FB247" i="80"/>
  <c r="FB23" i="80"/>
  <c r="FB178" i="80"/>
  <c r="FC178" i="80"/>
  <c r="FJ244" i="80"/>
  <c r="FK244" i="80"/>
  <c r="FJ29" i="80"/>
  <c r="FJ200" i="80"/>
  <c r="FK200" i="80" s="1"/>
  <c r="FJ182" i="80"/>
  <c r="V245" i="80"/>
  <c r="BR310" i="80"/>
  <c r="BS310" i="80" s="1"/>
  <c r="N249" i="80"/>
  <c r="N245" i="80"/>
  <c r="N201" i="80"/>
  <c r="O201" i="80" s="1"/>
  <c r="N200" i="80"/>
  <c r="O200" i="80"/>
  <c r="N199" i="80"/>
  <c r="AT176" i="80"/>
  <c r="AL182" i="80"/>
  <c r="AT181" i="80"/>
  <c r="BJ184" i="80"/>
  <c r="N184" i="80"/>
  <c r="O184" i="80" s="1"/>
  <c r="AL178" i="80"/>
  <c r="AM178" i="80" s="1"/>
  <c r="AT177" i="80"/>
  <c r="BJ29" i="80"/>
  <c r="N29" i="80"/>
  <c r="AL23" i="80"/>
  <c r="BB246" i="80"/>
  <c r="BC246" i="80" s="1"/>
  <c r="AL246" i="80"/>
  <c r="AM246" i="80" s="1"/>
  <c r="BJ24" i="80"/>
  <c r="BJ244" i="80"/>
  <c r="BK244" i="80"/>
  <c r="N244" i="80"/>
  <c r="O244" i="80"/>
  <c r="AD311" i="80"/>
  <c r="AE311" i="80" s="1"/>
  <c r="BZ311" i="80"/>
  <c r="CA311" i="80" s="1"/>
  <c r="DV311" i="80"/>
  <c r="DW311" i="80" s="1"/>
  <c r="BZ310" i="80"/>
  <c r="CA310" i="80" s="1"/>
  <c r="BZ249" i="80"/>
  <c r="BZ199" i="80"/>
  <c r="BZ182" i="80"/>
  <c r="CH247" i="80"/>
  <c r="CI247" i="80" s="1"/>
  <c r="CK247" i="80" s="1"/>
  <c r="CH23" i="80"/>
  <c r="CH180" i="80"/>
  <c r="CP245" i="80"/>
  <c r="CP201" i="80"/>
  <c r="CQ201" i="80"/>
  <c r="CP185" i="80"/>
  <c r="CP177" i="80"/>
  <c r="CQ177" i="80"/>
  <c r="CX310" i="80"/>
  <c r="CX249" i="80"/>
  <c r="CX199" i="80"/>
  <c r="CX182" i="80"/>
  <c r="DF247" i="80"/>
  <c r="DG247" i="80" s="1"/>
  <c r="DF23" i="80"/>
  <c r="DF180" i="80"/>
  <c r="DG180" i="80" s="1"/>
  <c r="DI180" i="80" s="1"/>
  <c r="DN245" i="80"/>
  <c r="DN201" i="80"/>
  <c r="DO201" i="80" s="1"/>
  <c r="DN185" i="80"/>
  <c r="DN177" i="80"/>
  <c r="DV310" i="80"/>
  <c r="DW310" i="80" s="1"/>
  <c r="DV249" i="80"/>
  <c r="DV199" i="80"/>
  <c r="DV182" i="80"/>
  <c r="ED247" i="80"/>
  <c r="EE247" i="80" s="1"/>
  <c r="EG247" i="80" s="1"/>
  <c r="ED23" i="80"/>
  <c r="ED180" i="80"/>
  <c r="EL245" i="80"/>
  <c r="EL201" i="80"/>
  <c r="EL184" i="80"/>
  <c r="EL176" i="80"/>
  <c r="ET24" i="80"/>
  <c r="ET180" i="80"/>
  <c r="FB245" i="80"/>
  <c r="FB201" i="80"/>
  <c r="FC201" i="80" s="1"/>
  <c r="FB184" i="80"/>
  <c r="FB176" i="80"/>
  <c r="FJ24" i="80"/>
  <c r="FJ180" i="80"/>
  <c r="V310" i="80"/>
  <c r="W310" i="80" s="1"/>
  <c r="V200" i="80"/>
  <c r="W200" i="80"/>
  <c r="AL245" i="80"/>
  <c r="BB310" i="80"/>
  <c r="BC310" i="80"/>
  <c r="BJ249" i="80"/>
  <c r="BK249" i="80"/>
  <c r="BJ245" i="80"/>
  <c r="BJ201" i="80"/>
  <c r="BK201" i="80"/>
  <c r="BJ200" i="80"/>
  <c r="BJ199" i="80"/>
  <c r="BJ180" i="80"/>
  <c r="BJ182" i="80"/>
  <c r="N182" i="80"/>
  <c r="AL181" i="80"/>
  <c r="AL185" i="80"/>
  <c r="AM185" i="80" s="1"/>
  <c r="AT184" i="80"/>
  <c r="N178" i="80"/>
  <c r="O178" i="80" s="1"/>
  <c r="AT29" i="80"/>
  <c r="BJ23" i="80"/>
  <c r="N23" i="80"/>
  <c r="BR246" i="80"/>
  <c r="BS246" i="80"/>
  <c r="V246" i="80"/>
  <c r="W246" i="80"/>
  <c r="AT24" i="80"/>
  <c r="AT244" i="80"/>
  <c r="AU244" i="80" s="1"/>
  <c r="BJ22" i="80"/>
  <c r="N22" i="80"/>
  <c r="AL249" i="80"/>
  <c r="BR245" i="80"/>
  <c r="BR200" i="80"/>
  <c r="BR180" i="80"/>
  <c r="V182" i="80"/>
  <c r="BB184" i="80"/>
  <c r="BC184" i="80"/>
  <c r="V178" i="80"/>
  <c r="W178" i="80" s="1"/>
  <c r="BB29" i="80"/>
  <c r="BR23" i="80"/>
  <c r="BR247" i="80"/>
  <c r="BS247" i="80"/>
  <c r="BU247" i="80" s="1"/>
  <c r="V247" i="80"/>
  <c r="W247" i="80" s="1"/>
  <c r="Y247" i="80" s="1"/>
  <c r="V22" i="80"/>
  <c r="AL311" i="80"/>
  <c r="AM311" i="80"/>
  <c r="CH311" i="80"/>
  <c r="CI311" i="80"/>
  <c r="ED311" i="80"/>
  <c r="EE311" i="80" s="1"/>
  <c r="BZ24" i="80"/>
  <c r="BZ181" i="80"/>
  <c r="CH246" i="80"/>
  <c r="CI246" i="80" s="1"/>
  <c r="CH22" i="80"/>
  <c r="CP244" i="80"/>
  <c r="CQ244" i="80" s="1"/>
  <c r="CP200" i="80"/>
  <c r="CP184" i="80"/>
  <c r="CP176" i="80"/>
  <c r="CX24" i="80"/>
  <c r="CX181" i="80"/>
  <c r="DF246" i="80"/>
  <c r="DG246" i="80"/>
  <c r="DF22" i="80"/>
  <c r="DF178" i="80"/>
  <c r="DG178" i="80" s="1"/>
  <c r="DN244" i="80"/>
  <c r="DO244" i="80" s="1"/>
  <c r="DN29" i="80"/>
  <c r="DN200" i="80"/>
  <c r="DN184" i="80"/>
  <c r="DO184" i="80"/>
  <c r="DN176" i="80"/>
  <c r="DO176" i="80" s="1"/>
  <c r="DV24" i="80"/>
  <c r="DV181" i="80"/>
  <c r="ED246" i="80"/>
  <c r="EE246" i="80" s="1"/>
  <c r="ED22" i="80"/>
  <c r="ED178" i="80"/>
  <c r="EE178" i="80"/>
  <c r="EL244" i="80"/>
  <c r="EM244" i="80" s="1"/>
  <c r="EL29" i="80"/>
  <c r="EL200" i="80"/>
  <c r="EL182" i="80"/>
  <c r="ET23" i="80"/>
  <c r="ET178" i="80"/>
  <c r="EU178" i="80" s="1"/>
  <c r="FB244" i="80"/>
  <c r="FC244" i="80"/>
  <c r="FB29" i="80"/>
  <c r="FB200" i="80"/>
  <c r="FB182" i="80"/>
  <c r="FJ247" i="80"/>
  <c r="FK247" i="80"/>
  <c r="FJ23" i="80"/>
  <c r="AL201" i="80"/>
  <c r="AM201" i="80" s="1"/>
  <c r="AT310" i="80"/>
  <c r="AU310" i="80"/>
  <c r="BB249" i="80"/>
  <c r="BB245" i="80"/>
  <c r="BB201" i="80"/>
  <c r="BC201" i="80"/>
  <c r="BB200" i="80"/>
  <c r="BC200" i="80" s="1"/>
  <c r="BB199" i="80"/>
  <c r="BB180" i="80"/>
  <c r="BR176" i="80"/>
  <c r="BS176" i="80"/>
  <c r="BB182" i="80"/>
  <c r="BR181" i="80"/>
  <c r="V181" i="80"/>
  <c r="BR185" i="80"/>
  <c r="BB178" i="80"/>
  <c r="BC178" i="80"/>
  <c r="BR177" i="80"/>
  <c r="BS177" i="80" s="1"/>
  <c r="V177" i="80"/>
  <c r="W177" i="80" s="1"/>
  <c r="AD29" i="80"/>
  <c r="BB23" i="80"/>
  <c r="BJ247" i="80"/>
  <c r="BK247" i="80" s="1"/>
  <c r="AD247" i="80"/>
  <c r="AE247" i="80" s="1"/>
  <c r="AG247" i="80" s="1"/>
  <c r="N247" i="80"/>
  <c r="O247" i="80"/>
  <c r="Q247" i="80" s="1"/>
  <c r="AD24" i="80"/>
  <c r="AD244" i="80"/>
  <c r="AE244" i="80" s="1"/>
  <c r="BB22" i="80"/>
  <c r="BJ310" i="80"/>
  <c r="BK310" i="80" s="1"/>
  <c r="BR249" i="80"/>
  <c r="BR201" i="80"/>
  <c r="BS201" i="80"/>
  <c r="BR199" i="80"/>
  <c r="BR182" i="80"/>
  <c r="AD181" i="80"/>
  <c r="AD185" i="80"/>
  <c r="BR178" i="80"/>
  <c r="BS178" i="80" s="1"/>
  <c r="V23" i="80"/>
  <c r="AT247" i="80"/>
  <c r="AU247" i="80"/>
  <c r="AW247" i="80" s="1"/>
  <c r="BB24" i="80"/>
  <c r="BB244" i="80"/>
  <c r="BC244" i="80" s="1"/>
  <c r="BR22" i="80"/>
  <c r="AT311" i="80"/>
  <c r="AU311" i="80" s="1"/>
  <c r="CP311" i="80"/>
  <c r="CQ311" i="80" s="1"/>
  <c r="EL311" i="80"/>
  <c r="EM311" i="80"/>
  <c r="BZ247" i="80"/>
  <c r="CA247" i="80" s="1"/>
  <c r="CC247" i="80" s="1"/>
  <c r="BZ23" i="80"/>
  <c r="BZ180" i="80"/>
  <c r="CA180" i="80"/>
  <c r="CB180" i="80" s="1"/>
  <c r="CH245" i="80"/>
  <c r="CH201" i="80"/>
  <c r="CI201" i="80" s="1"/>
  <c r="CH185" i="80"/>
  <c r="CH177" i="80"/>
  <c r="CP310" i="80"/>
  <c r="CQ310" i="80"/>
  <c r="CP249" i="80"/>
  <c r="CP199" i="80"/>
  <c r="CP182" i="80"/>
  <c r="CX23" i="80"/>
  <c r="CX180" i="80"/>
  <c r="DF245" i="80"/>
  <c r="DF201" i="80"/>
  <c r="DG201" i="80" s="1"/>
  <c r="DF185" i="80"/>
  <c r="DG185" i="80" s="1"/>
  <c r="DN310" i="80"/>
  <c r="DO310" i="80" s="1"/>
  <c r="DN249" i="80"/>
  <c r="DN199" i="80"/>
  <c r="DN182" i="80"/>
  <c r="DV247" i="80"/>
  <c r="DW247" i="80" s="1"/>
  <c r="DV23" i="80"/>
  <c r="DV180" i="80"/>
  <c r="ED245" i="80"/>
  <c r="ED201" i="80"/>
  <c r="EE201" i="80"/>
  <c r="ED185" i="80"/>
  <c r="ED177" i="80"/>
  <c r="EE177" i="80"/>
  <c r="EL310" i="80"/>
  <c r="EM310" i="80"/>
  <c r="EL249" i="80"/>
  <c r="EL199" i="80"/>
  <c r="EL181" i="80"/>
  <c r="ET246" i="80"/>
  <c r="EU246" i="80" s="1"/>
  <c r="ET22" i="80"/>
  <c r="ET185" i="80"/>
  <c r="ET177" i="80"/>
  <c r="FB310" i="80"/>
  <c r="FC310" i="80" s="1"/>
  <c r="FB249" i="80"/>
  <c r="FB199" i="80"/>
  <c r="FC199" i="80"/>
  <c r="FB181" i="80"/>
  <c r="FJ246" i="80"/>
  <c r="FK246" i="80"/>
  <c r="FJ22" i="80"/>
  <c r="FJ185" i="80"/>
  <c r="FJ177" i="80"/>
  <c r="AL310" i="80"/>
  <c r="AM310" i="80"/>
  <c r="AL200" i="80"/>
  <c r="AM200" i="80" s="1"/>
  <c r="AD310" i="80"/>
  <c r="AE310" i="80"/>
  <c r="AT249" i="80"/>
  <c r="AU249" i="80" s="1"/>
  <c r="AT245" i="80"/>
  <c r="AT201" i="80"/>
  <c r="AU201" i="80"/>
  <c r="AT200" i="80"/>
  <c r="AU200" i="80" s="1"/>
  <c r="AT199" i="80"/>
  <c r="AT180" i="80"/>
  <c r="BJ176" i="80"/>
  <c r="AT182" i="80"/>
  <c r="BJ181" i="80"/>
  <c r="N181" i="80"/>
  <c r="AL184" i="80"/>
  <c r="AT178" i="80"/>
  <c r="AU178" i="80"/>
  <c r="BJ177" i="80"/>
  <c r="AT23" i="80"/>
  <c r="BJ246" i="80"/>
  <c r="BK246" i="80"/>
  <c r="AD246" i="80"/>
  <c r="AE246" i="80" s="1"/>
  <c r="N246" i="80"/>
  <c r="O246" i="80"/>
  <c r="AL24" i="80"/>
  <c r="AL244" i="80"/>
  <c r="AM244" i="80" s="1"/>
  <c r="AT22" i="80"/>
  <c r="CX311" i="80"/>
  <c r="CY311" i="80" s="1"/>
  <c r="ET311" i="80"/>
  <c r="EU311" i="80" s="1"/>
  <c r="BZ246" i="80"/>
  <c r="CA246" i="80"/>
  <c r="BZ22" i="80"/>
  <c r="BZ178" i="80"/>
  <c r="CA178" i="80" s="1"/>
  <c r="CH244" i="80"/>
  <c r="CI244" i="80" s="1"/>
  <c r="CH200" i="80"/>
  <c r="CH184" i="80"/>
  <c r="CI184" i="80" s="1"/>
  <c r="CH176" i="80"/>
  <c r="CP24" i="80"/>
  <c r="CP181" i="80"/>
  <c r="CX246" i="80"/>
  <c r="CY246" i="80"/>
  <c r="CX178" i="80"/>
  <c r="CY178" i="80" s="1"/>
  <c r="DF244" i="80"/>
  <c r="DG244" i="80" s="1"/>
  <c r="DF29" i="80"/>
  <c r="DF200" i="80"/>
  <c r="DG200" i="80"/>
  <c r="DF184" i="80"/>
  <c r="DF176" i="80"/>
  <c r="DN24" i="80"/>
  <c r="DN181" i="80"/>
  <c r="DV246" i="80"/>
  <c r="DW246" i="80"/>
  <c r="DV22" i="80"/>
  <c r="DV178" i="80"/>
  <c r="DW178" i="80" s="1"/>
  <c r="ED244" i="80"/>
  <c r="EE244" i="80"/>
  <c r="ED29" i="80"/>
  <c r="ED200" i="80"/>
  <c r="EE200" i="80" s="1"/>
  <c r="ED176" i="80"/>
  <c r="EL24" i="80"/>
  <c r="EL180" i="80"/>
  <c r="ET201" i="80"/>
  <c r="EU201" i="80" s="1"/>
  <c r="ET176" i="80"/>
  <c r="FB24" i="80"/>
  <c r="FB180" i="80"/>
  <c r="FJ245" i="80"/>
  <c r="FJ201" i="80"/>
  <c r="FK201" i="80" s="1"/>
  <c r="FJ184" i="80"/>
  <c r="FJ176" i="80"/>
  <c r="V249" i="80"/>
  <c r="AL199" i="80"/>
  <c r="N310" i="80"/>
  <c r="O310" i="80" s="1"/>
  <c r="AD249" i="80"/>
  <c r="AD245" i="80"/>
  <c r="AD201" i="80"/>
  <c r="AE201" i="80" s="1"/>
  <c r="AD200" i="80"/>
  <c r="AE200" i="80"/>
  <c r="AD199" i="80"/>
  <c r="BB176" i="80"/>
  <c r="AD182" i="80"/>
  <c r="AE182" i="80" s="1"/>
  <c r="AG182" i="80" s="1"/>
  <c r="BB181" i="80"/>
  <c r="BB185" i="80"/>
  <c r="BR184" i="80"/>
  <c r="AD178" i="80"/>
  <c r="AE178" i="80"/>
  <c r="BB177" i="80"/>
  <c r="BC177" i="80"/>
  <c r="BR29" i="80"/>
  <c r="V29" i="80"/>
  <c r="AD23" i="80"/>
  <c r="BB247" i="80"/>
  <c r="BC247" i="80" s="1"/>
  <c r="BE247" i="80" s="1"/>
  <c r="AL247" i="80"/>
  <c r="AM247" i="80"/>
  <c r="BR24" i="80"/>
  <c r="V24" i="80"/>
  <c r="BR244" i="80"/>
  <c r="BS244" i="80" s="1"/>
  <c r="V244" i="80"/>
  <c r="W244" i="80"/>
  <c r="AD22" i="80"/>
  <c r="CH25" i="80"/>
  <c r="CP192" i="80"/>
  <c r="CP188" i="80"/>
  <c r="DF25" i="80"/>
  <c r="DN192" i="80"/>
  <c r="DN188" i="80"/>
  <c r="DO188" i="80" s="1"/>
  <c r="ED25" i="80"/>
  <c r="EL192" i="80"/>
  <c r="EL188" i="80"/>
  <c r="FB192" i="80"/>
  <c r="FB188" i="80"/>
  <c r="BJ189" i="80"/>
  <c r="N189" i="80"/>
  <c r="O189" i="80" s="1"/>
  <c r="AL188" i="80"/>
  <c r="N193" i="80"/>
  <c r="O193" i="80"/>
  <c r="BB193" i="80"/>
  <c r="CH248" i="80"/>
  <c r="CH193" i="80"/>
  <c r="CI193" i="80" s="1"/>
  <c r="CP187" i="80"/>
  <c r="DF248" i="80"/>
  <c r="DF193" i="80"/>
  <c r="DF189" i="80"/>
  <c r="DN187" i="80"/>
  <c r="ED248" i="80"/>
  <c r="ED193" i="80"/>
  <c r="EE193" i="80" s="1"/>
  <c r="ET25" i="80"/>
  <c r="FJ25" i="80"/>
  <c r="BB187" i="80"/>
  <c r="BB189" i="80"/>
  <c r="BR188" i="80"/>
  <c r="V188" i="80"/>
  <c r="BR248" i="80"/>
  <c r="BS248" i="80"/>
  <c r="V248" i="80"/>
  <c r="AD25" i="80"/>
  <c r="V192" i="80"/>
  <c r="AD192" i="80"/>
  <c r="BJ192" i="80"/>
  <c r="BZ25" i="80"/>
  <c r="CH192" i="80"/>
  <c r="CH188" i="80"/>
  <c r="CX25" i="80"/>
  <c r="DF192" i="80"/>
  <c r="DF188" i="80"/>
  <c r="DG188" i="80"/>
  <c r="DV25" i="80"/>
  <c r="ED192" i="80"/>
  <c r="ED188" i="80"/>
  <c r="ET248" i="80"/>
  <c r="ET193" i="80"/>
  <c r="ET189" i="80"/>
  <c r="FJ248" i="80"/>
  <c r="FK248" i="80" s="1"/>
  <c r="FJ193" i="80"/>
  <c r="FJ189" i="80"/>
  <c r="FK189" i="80" s="1"/>
  <c r="AT187" i="80"/>
  <c r="AT189" i="80"/>
  <c r="BJ188" i="80"/>
  <c r="N188" i="80"/>
  <c r="O188" i="80" s="1"/>
  <c r="BJ248" i="80"/>
  <c r="N248" i="80"/>
  <c r="AL25" i="80"/>
  <c r="V193" i="80"/>
  <c r="AD193" i="80"/>
  <c r="BJ193" i="80"/>
  <c r="BK193" i="80" s="1"/>
  <c r="BZ248" i="80"/>
  <c r="BZ193" i="80"/>
  <c r="BZ189" i="80"/>
  <c r="CH187" i="80"/>
  <c r="CX248" i="80"/>
  <c r="CX193" i="80"/>
  <c r="CY193" i="80" s="1"/>
  <c r="DF187" i="80"/>
  <c r="DV248" i="80"/>
  <c r="DV193" i="80"/>
  <c r="DW193" i="80" s="1"/>
  <c r="ED187" i="80"/>
  <c r="EE187" i="80"/>
  <c r="ET192" i="80"/>
  <c r="ET188" i="80"/>
  <c r="EU188" i="80" s="1"/>
  <c r="FJ192" i="80"/>
  <c r="FJ188" i="80"/>
  <c r="AD189" i="80"/>
  <c r="AE189" i="80"/>
  <c r="BB188" i="80"/>
  <c r="BB248" i="80"/>
  <c r="BC248" i="80"/>
  <c r="BR25" i="80"/>
  <c r="V25" i="80"/>
  <c r="AT192" i="80"/>
  <c r="BR192" i="80"/>
  <c r="BZ192" i="80"/>
  <c r="BZ188" i="80"/>
  <c r="CA188" i="80"/>
  <c r="CP25" i="80"/>
  <c r="CX192" i="80"/>
  <c r="CX188" i="80"/>
  <c r="CY188" i="80" s="1"/>
  <c r="DN25" i="80"/>
  <c r="DV192" i="80"/>
  <c r="DV188" i="80"/>
  <c r="DW188" i="80" s="1"/>
  <c r="EL25" i="80"/>
  <c r="FB25" i="80"/>
  <c r="AL189" i="80"/>
  <c r="AT188" i="80"/>
  <c r="AT248" i="80"/>
  <c r="BJ25" i="80"/>
  <c r="N25" i="80"/>
  <c r="BZ187" i="80"/>
  <c r="CP248" i="80"/>
  <c r="CP189" i="80"/>
  <c r="CQ189" i="80"/>
  <c r="CX187" i="80"/>
  <c r="CY187" i="80" s="1"/>
  <c r="DN248" i="80"/>
  <c r="DN193" i="80"/>
  <c r="DO193" i="80" s="1"/>
  <c r="DN189" i="80"/>
  <c r="DV187" i="80"/>
  <c r="EL193" i="80"/>
  <c r="EM193" i="80"/>
  <c r="EL189" i="80"/>
  <c r="FB248" i="80"/>
  <c r="FB193" i="80"/>
  <c r="FC193" i="80"/>
  <c r="FB189" i="80"/>
  <c r="BR187" i="80"/>
  <c r="BS187" i="80"/>
  <c r="BR189" i="80"/>
  <c r="BS189" i="80" s="1"/>
  <c r="V189" i="80"/>
  <c r="AD188" i="80"/>
  <c r="AD248" i="80"/>
  <c r="AE248" i="80"/>
  <c r="N192" i="80"/>
  <c r="BB192" i="80"/>
  <c r="CY307" i="80"/>
  <c r="CY313" i="80" s="1"/>
  <c r="EE307" i="80"/>
  <c r="EU307" i="80"/>
  <c r="EW307" i="80" s="1"/>
  <c r="FC307" i="80"/>
  <c r="DG307" i="80"/>
  <c r="DO307" i="80"/>
  <c r="DW307" i="80"/>
  <c r="EM307" i="80"/>
  <c r="FC274" i="79"/>
  <c r="DG274" i="79"/>
  <c r="AM274" i="79"/>
  <c r="AU277" i="79"/>
  <c r="BC277" i="79"/>
  <c r="DO277" i="79"/>
  <c r="AE279" i="80"/>
  <c r="BK279" i="80"/>
  <c r="BS279" i="80"/>
  <c r="EM279" i="80"/>
  <c r="EE274" i="79"/>
  <c r="CI274" i="79"/>
  <c r="BK274" i="79"/>
  <c r="AE274" i="79"/>
  <c r="CA277" i="79"/>
  <c r="CI277" i="79"/>
  <c r="AE276" i="80"/>
  <c r="BK276" i="80"/>
  <c r="DW276" i="80"/>
  <c r="EM276" i="80"/>
  <c r="DW274" i="79"/>
  <c r="CA274" i="79"/>
  <c r="BC274" i="79"/>
  <c r="O277" i="79"/>
  <c r="BK277" i="79"/>
  <c r="DG277" i="79"/>
  <c r="DW277" i="79"/>
  <c r="W276" i="80"/>
  <c r="AU276" i="80"/>
  <c r="BS276" i="80"/>
  <c r="CI276" i="80"/>
  <c r="CQ279" i="80"/>
  <c r="CY279" i="80"/>
  <c r="DO279" i="80"/>
  <c r="CY280" i="79"/>
  <c r="DO274" i="79"/>
  <c r="AU274" i="79"/>
  <c r="BS274" i="79"/>
  <c r="AE280" i="79"/>
  <c r="BS277" i="79"/>
  <c r="CY277" i="79"/>
  <c r="EE277" i="79"/>
  <c r="FC277" i="79"/>
  <c r="O276" i="80"/>
  <c r="AM279" i="80"/>
  <c r="BC276" i="80"/>
  <c r="CA279" i="80"/>
  <c r="DG276" i="80"/>
  <c r="DW279" i="80"/>
  <c r="EE279" i="80"/>
  <c r="FC276" i="80"/>
  <c r="G191" i="79"/>
  <c r="F71" i="37"/>
  <c r="FK255" i="80"/>
  <c r="DG255" i="80"/>
  <c r="BC255" i="80"/>
  <c r="FK252" i="80"/>
  <c r="DW252" i="80"/>
  <c r="CA252" i="80"/>
  <c r="AE252" i="80"/>
  <c r="O252" i="80"/>
  <c r="FC252" i="80"/>
  <c r="EM252" i="80"/>
  <c r="CY252" i="80"/>
  <c r="BK252" i="80"/>
  <c r="W252" i="80"/>
  <c r="EU252" i="80"/>
  <c r="EE252" i="80"/>
  <c r="BC252" i="80"/>
  <c r="AU252" i="80"/>
  <c r="AM252" i="80"/>
  <c r="CI252" i="80"/>
  <c r="BS252" i="80"/>
  <c r="CQ252" i="80"/>
  <c r="FK256" i="79"/>
  <c r="CY256" i="79"/>
  <c r="CQ256" i="79"/>
  <c r="CI256" i="79"/>
  <c r="FC256" i="79"/>
  <c r="DG256" i="79"/>
  <c r="AE256" i="79"/>
  <c r="FC253" i="79"/>
  <c r="FE253" i="79" s="1"/>
  <c r="DG253" i="79"/>
  <c r="DI253" i="79" s="1"/>
  <c r="BS250" i="79"/>
  <c r="BK246" i="79"/>
  <c r="DG246" i="79"/>
  <c r="EU247" i="80"/>
  <c r="EW247" i="80" s="1"/>
  <c r="O246" i="79"/>
  <c r="CA248" i="79"/>
  <c r="CY248" i="79"/>
  <c r="EM246" i="79"/>
  <c r="O248" i="79"/>
  <c r="W246" i="79"/>
  <c r="AM246" i="79"/>
  <c r="BC252" i="79"/>
  <c r="BS252" i="79"/>
  <c r="BS246" i="79"/>
  <c r="EM255" i="79"/>
  <c r="EM248" i="79"/>
  <c r="FC252" i="79"/>
  <c r="CI244" i="79"/>
  <c r="O241" i="79"/>
  <c r="P241" i="79" s="1"/>
  <c r="W252" i="79"/>
  <c r="CQ255" i="79"/>
  <c r="DO248" i="79"/>
  <c r="EU248" i="79"/>
  <c r="EE254" i="80"/>
  <c r="EG254" i="80" s="1"/>
  <c r="EU254" i="80"/>
  <c r="EV254" i="80" s="1"/>
  <c r="O221" i="79"/>
  <c r="O227" i="79"/>
  <c r="AU221" i="79"/>
  <c r="CY221" i="79"/>
  <c r="CY227" i="79"/>
  <c r="DW221" i="79"/>
  <c r="DW227" i="79"/>
  <c r="EU221" i="79"/>
  <c r="FC221" i="79"/>
  <c r="W221" i="79"/>
  <c r="AE221" i="79"/>
  <c r="AE227" i="79"/>
  <c r="CI224" i="79"/>
  <c r="DG224" i="79"/>
  <c r="EM221" i="79"/>
  <c r="O224" i="79"/>
  <c r="AU224" i="79"/>
  <c r="BC221" i="79"/>
  <c r="BC227" i="79"/>
  <c r="AM221" i="79"/>
  <c r="BK224" i="79"/>
  <c r="BS221" i="79"/>
  <c r="BS227" i="79"/>
  <c r="CA221" i="79"/>
  <c r="CQ221" i="79"/>
  <c r="EE221" i="79"/>
  <c r="EE227" i="79"/>
  <c r="FC227" i="79"/>
  <c r="W224" i="79"/>
  <c r="CI221" i="79"/>
  <c r="DG221" i="79"/>
  <c r="DG227" i="79"/>
  <c r="EM224" i="79"/>
  <c r="EU227" i="79"/>
  <c r="DW214" i="79"/>
  <c r="EE214" i="79"/>
  <c r="EF214" i="79" s="1"/>
  <c r="FK214" i="79"/>
  <c r="FM214" i="79" s="1"/>
  <c r="O213" i="80"/>
  <c r="DG213" i="80"/>
  <c r="O214" i="79"/>
  <c r="Q214" i="79" s="1"/>
  <c r="BC214" i="79"/>
  <c r="BD214" i="79" s="1"/>
  <c r="FC214" i="79"/>
  <c r="FE214" i="79" s="1"/>
  <c r="BK214" i="79"/>
  <c r="BL214" i="79" s="1"/>
  <c r="W214" i="79"/>
  <c r="X214" i="79" s="1"/>
  <c r="W115" i="70"/>
  <c r="Q113" i="70"/>
  <c r="CX274" i="80"/>
  <c r="R115" i="70"/>
  <c r="U110" i="70"/>
  <c r="ED108" i="80"/>
  <c r="Q128" i="70"/>
  <c r="H115" i="70"/>
  <c r="CX247" i="80"/>
  <c r="CY247" i="80" s="1"/>
  <c r="DA247" i="80" s="1"/>
  <c r="N128" i="70"/>
  <c r="O108" i="70"/>
  <c r="CH103" i="80"/>
  <c r="O116" i="70"/>
  <c r="R108" i="70"/>
  <c r="DF103" i="80"/>
  <c r="U108" i="70"/>
  <c r="ED103" i="80"/>
  <c r="U116" i="70"/>
  <c r="W110" i="70"/>
  <c r="ET108" i="80"/>
  <c r="W116" i="70"/>
  <c r="Y110" i="70"/>
  <c r="FJ108" i="80"/>
  <c r="K110" i="70"/>
  <c r="BB108" i="80"/>
  <c r="F110" i="70"/>
  <c r="N108" i="80"/>
  <c r="R116" i="70"/>
  <c r="G117" i="70"/>
  <c r="AD177" i="80"/>
  <c r="DF177" i="80"/>
  <c r="O486" i="79"/>
  <c r="W486" i="79"/>
  <c r="AM486" i="79"/>
  <c r="BK486" i="79"/>
  <c r="CA486" i="79"/>
  <c r="EU486" i="79"/>
  <c r="BC486" i="79"/>
  <c r="DO486" i="79"/>
  <c r="AE486" i="79"/>
  <c r="AU486" i="79"/>
  <c r="CY486" i="79"/>
  <c r="EE486" i="79"/>
  <c r="BS486" i="79"/>
  <c r="G466" i="80"/>
  <c r="G71" i="37"/>
  <c r="AM478" i="79"/>
  <c r="AU478" i="79"/>
  <c r="CI478" i="79"/>
  <c r="CI480" i="79" s="1"/>
  <c r="CY478" i="79"/>
  <c r="EM478" i="79"/>
  <c r="FC478" i="79"/>
  <c r="FC480" i="79" s="1"/>
  <c r="FK478" i="79"/>
  <c r="AM470" i="79"/>
  <c r="CA478" i="79"/>
  <c r="DG478" i="80"/>
  <c r="BK470" i="79"/>
  <c r="DG470" i="79"/>
  <c r="FC470" i="79"/>
  <c r="BS478" i="79"/>
  <c r="DO478" i="79"/>
  <c r="EE478" i="79"/>
  <c r="EE480" i="79" s="1"/>
  <c r="EU478" i="79"/>
  <c r="BK478" i="79"/>
  <c r="DG478" i="79"/>
  <c r="ET184" i="80"/>
  <c r="T128" i="70"/>
  <c r="Y116" i="70"/>
  <c r="D40" i="33"/>
  <c r="W309" i="79"/>
  <c r="AM306" i="79"/>
  <c r="BC306" i="79"/>
  <c r="BC313" i="79" s="1"/>
  <c r="CA306" i="79"/>
  <c r="CY309" i="79"/>
  <c r="EE309" i="79"/>
  <c r="EM309" i="79"/>
  <c r="EN309" i="79" s="1"/>
  <c r="O309" i="80"/>
  <c r="W306" i="80"/>
  <c r="AM309" i="80"/>
  <c r="AU309" i="80"/>
  <c r="AV309" i="80" s="1"/>
  <c r="BC306" i="80"/>
  <c r="BS306" i="80"/>
  <c r="CI309" i="80"/>
  <c r="CJ309" i="80"/>
  <c r="AE306" i="79"/>
  <c r="BK306" i="79"/>
  <c r="CY306" i="80"/>
  <c r="DG309" i="80"/>
  <c r="DH309" i="80" s="1"/>
  <c r="EE306" i="80"/>
  <c r="EE313" i="80" s="1"/>
  <c r="FC309" i="80"/>
  <c r="FD309" i="80" s="1"/>
  <c r="O306" i="79"/>
  <c r="AU309" i="79"/>
  <c r="BS306" i="79"/>
  <c r="CI306" i="79"/>
  <c r="CQ309" i="79"/>
  <c r="CS309" i="79" s="1"/>
  <c r="DG306" i="79"/>
  <c r="DO306" i="79"/>
  <c r="DW306" i="79"/>
  <c r="EU309" i="79"/>
  <c r="AE306" i="80"/>
  <c r="BK306" i="80"/>
  <c r="CA309" i="80"/>
  <c r="CQ306" i="80"/>
  <c r="DO306" i="80"/>
  <c r="DW306" i="80"/>
  <c r="EM306" i="80"/>
  <c r="EU309" i="80"/>
  <c r="EV309" i="80" s="1"/>
  <c r="G313" i="80"/>
  <c r="AE309" i="79"/>
  <c r="BK309" i="79"/>
  <c r="FC309" i="79"/>
  <c r="CY309" i="80"/>
  <c r="DG306" i="80"/>
  <c r="EE309" i="80"/>
  <c r="FC306" i="80"/>
  <c r="O309" i="79"/>
  <c r="AU306" i="79"/>
  <c r="BS309" i="79"/>
  <c r="CI309" i="79"/>
  <c r="CQ306" i="79"/>
  <c r="DG309" i="79"/>
  <c r="DO309" i="79"/>
  <c r="DW309" i="79"/>
  <c r="DY309" i="79" s="1"/>
  <c r="AE309" i="80"/>
  <c r="BK309" i="80"/>
  <c r="BM309" i="80" s="1"/>
  <c r="CA306" i="80"/>
  <c r="CQ309" i="80"/>
  <c r="DO309" i="80"/>
  <c r="DW309" i="80"/>
  <c r="DX309" i="80"/>
  <c r="EM309" i="80"/>
  <c r="EU306" i="80"/>
  <c r="EU313" i="80" s="1"/>
  <c r="CY310" i="80"/>
  <c r="EM277" i="79"/>
  <c r="EU276" i="80"/>
  <c r="EU277" i="79"/>
  <c r="CY247" i="79"/>
  <c r="EU247" i="79"/>
  <c r="AE253" i="80"/>
  <c r="AU256" i="80"/>
  <c r="DG253" i="80"/>
  <c r="DI253" i="80" s="1"/>
  <c r="EM256" i="80"/>
  <c r="EU256" i="80"/>
  <c r="BK247" i="79"/>
  <c r="W253" i="80"/>
  <c r="Y253" i="80" s="1"/>
  <c r="AM253" i="80"/>
  <c r="BC253" i="80"/>
  <c r="BD253" i="80" s="1"/>
  <c r="BK253" i="80"/>
  <c r="BM253" i="80" s="1"/>
  <c r="CI256" i="80"/>
  <c r="DW256" i="80"/>
  <c r="AE256" i="80"/>
  <c r="AU253" i="80"/>
  <c r="AW253" i="80" s="1"/>
  <c r="DG256" i="80"/>
  <c r="EM253" i="80"/>
  <c r="EU253" i="80"/>
  <c r="FC247" i="80"/>
  <c r="AM247" i="79"/>
  <c r="W256" i="80"/>
  <c r="AM256" i="80"/>
  <c r="BC256" i="80"/>
  <c r="BK256" i="80"/>
  <c r="CI253" i="80"/>
  <c r="DW253" i="80"/>
  <c r="DO250" i="79"/>
  <c r="FC247" i="79"/>
  <c r="O256" i="80"/>
  <c r="BS253" i="80"/>
  <c r="CA253" i="80"/>
  <c r="CC253" i="80" s="1"/>
  <c r="CQ253" i="80"/>
  <c r="CY253" i="80"/>
  <c r="DO256" i="80"/>
  <c r="EE253" i="80"/>
  <c r="EG253" i="80" s="1"/>
  <c r="FC253" i="80"/>
  <c r="FE253" i="80" s="1"/>
  <c r="AU200" i="79"/>
  <c r="EM200" i="80"/>
  <c r="EE200" i="79"/>
  <c r="DO200" i="79"/>
  <c r="EM201" i="80"/>
  <c r="J75" i="80"/>
  <c r="J155" i="80"/>
  <c r="L116" i="70"/>
  <c r="F116" i="70"/>
  <c r="W128" i="70"/>
  <c r="Y115" i="70"/>
  <c r="G110" i="70"/>
  <c r="V108" i="80"/>
  <c r="N113" i="70"/>
  <c r="BZ274" i="80"/>
  <c r="N115" i="70"/>
  <c r="P113" i="70"/>
  <c r="CP274" i="80"/>
  <c r="Q110" i="70"/>
  <c r="CX108" i="80"/>
  <c r="Q115" i="70"/>
  <c r="K113" i="70"/>
  <c r="BB274" i="80"/>
  <c r="BC274" i="80"/>
  <c r="I113" i="70"/>
  <c r="AL274" i="80"/>
  <c r="K108" i="70"/>
  <c r="BB103" i="80"/>
  <c r="I108" i="70"/>
  <c r="AL103" i="80"/>
  <c r="J128" i="70"/>
  <c r="S113" i="70"/>
  <c r="DN274" i="80"/>
  <c r="T110" i="70"/>
  <c r="DV108" i="80"/>
  <c r="V113" i="70"/>
  <c r="EL274" i="80"/>
  <c r="W108" i="70"/>
  <c r="ET103" i="80"/>
  <c r="X113" i="70"/>
  <c r="FB274" i="80"/>
  <c r="FC274" i="80"/>
  <c r="Y108" i="70"/>
  <c r="FJ103" i="80"/>
  <c r="I110" i="70"/>
  <c r="AL108" i="80"/>
  <c r="I115" i="70"/>
  <c r="L113" i="70"/>
  <c r="BJ274" i="80"/>
  <c r="BK274" i="80"/>
  <c r="H113" i="70"/>
  <c r="AD274" i="80"/>
  <c r="F113" i="70"/>
  <c r="N274" i="80"/>
  <c r="O274" i="80"/>
  <c r="L108" i="70"/>
  <c r="BJ103" i="80"/>
  <c r="R120" i="70"/>
  <c r="DF493" i="80"/>
  <c r="DG493" i="80"/>
  <c r="K128" i="70"/>
  <c r="O128" i="70"/>
  <c r="Q111" i="70"/>
  <c r="CX223" i="80"/>
  <c r="CY223" i="80" s="1"/>
  <c r="R126" i="70"/>
  <c r="T111" i="70"/>
  <c r="DV223" i="80"/>
  <c r="DW223" i="80" s="1"/>
  <c r="Y127" i="70"/>
  <c r="J111" i="70"/>
  <c r="AT223" i="80"/>
  <c r="AU223" i="80" s="1"/>
  <c r="G126" i="70"/>
  <c r="FJ178" i="80"/>
  <c r="FK178" i="80"/>
  <c r="U126" i="70"/>
  <c r="H116" i="70"/>
  <c r="T125" i="70"/>
  <c r="M127" i="70"/>
  <c r="N117" i="70"/>
  <c r="O110" i="70"/>
  <c r="CH108" i="80"/>
  <c r="O115" i="70"/>
  <c r="Q117" i="70"/>
  <c r="R110" i="70"/>
  <c r="DF108" i="80"/>
  <c r="T113" i="70"/>
  <c r="DV274" i="80"/>
  <c r="DW274" i="80"/>
  <c r="DW281" i="80" s="1"/>
  <c r="T117" i="70"/>
  <c r="H108" i="70"/>
  <c r="AD103" i="80"/>
  <c r="Y120" i="70"/>
  <c r="FJ493" i="80"/>
  <c r="FK493" i="80"/>
  <c r="M115" i="70"/>
  <c r="K117" i="70"/>
  <c r="N121" i="70"/>
  <c r="BZ475" i="80"/>
  <c r="Q120" i="70"/>
  <c r="CX493" i="80"/>
  <c r="CY493" i="80" s="1"/>
  <c r="T127" i="70"/>
  <c r="W121" i="70"/>
  <c r="ET475" i="80"/>
  <c r="F127" i="70"/>
  <c r="M122" i="70"/>
  <c r="BR470" i="80"/>
  <c r="BS470" i="80"/>
  <c r="L115" i="70"/>
  <c r="P108" i="70"/>
  <c r="CP103" i="80"/>
  <c r="R124" i="70"/>
  <c r="DF474" i="80"/>
  <c r="Y124" i="70"/>
  <c r="FJ474" i="80"/>
  <c r="S115" i="70"/>
  <c r="M125" i="70"/>
  <c r="P116" i="70"/>
  <c r="I117" i="70"/>
  <c r="L117" i="70"/>
  <c r="N185" i="80"/>
  <c r="O185" i="80"/>
  <c r="O120" i="70"/>
  <c r="CH493" i="80"/>
  <c r="CI493" i="80"/>
  <c r="R127" i="70"/>
  <c r="T109" i="70"/>
  <c r="DV105" i="80"/>
  <c r="K120" i="70"/>
  <c r="BB493" i="80"/>
  <c r="BC493" i="80" s="1"/>
  <c r="G120" i="70"/>
  <c r="V493" i="80"/>
  <c r="W493" i="80"/>
  <c r="U121" i="70"/>
  <c r="ED475" i="80"/>
  <c r="AL177" i="80"/>
  <c r="P117" i="70"/>
  <c r="H128" i="70"/>
  <c r="J115" i="70"/>
  <c r="I116" i="70"/>
  <c r="V117" i="70"/>
  <c r="AT246" i="80"/>
  <c r="AU246" i="80"/>
  <c r="O121" i="70"/>
  <c r="CH475" i="80"/>
  <c r="R121" i="70"/>
  <c r="DF475" i="80"/>
  <c r="J121" i="70"/>
  <c r="AT475" i="80"/>
  <c r="L124" i="70"/>
  <c r="BJ474" i="80"/>
  <c r="I123" i="70"/>
  <c r="AL473" i="80"/>
  <c r="G128" i="70"/>
  <c r="G121" i="70"/>
  <c r="V475" i="80"/>
  <c r="BJ178" i="80"/>
  <c r="BK178" i="80"/>
  <c r="CH178" i="80"/>
  <c r="CI178" i="80" s="1"/>
  <c r="CX189" i="80"/>
  <c r="G116" i="70"/>
  <c r="Q124" i="70"/>
  <c r="CX474" i="80"/>
  <c r="T124" i="70"/>
  <c r="DV474" i="80"/>
  <c r="W120" i="70"/>
  <c r="ET493" i="80"/>
  <c r="EU493" i="80"/>
  <c r="H109" i="70"/>
  <c r="AD105" i="80"/>
  <c r="K111" i="70"/>
  <c r="BB223" i="80"/>
  <c r="BC223" i="80" s="1"/>
  <c r="M126" i="70"/>
  <c r="K116" i="70"/>
  <c r="M117" i="70"/>
  <c r="X117" i="70"/>
  <c r="U115" i="70"/>
  <c r="F117" i="70"/>
  <c r="K127" i="70"/>
  <c r="I128" i="70"/>
  <c r="S128" i="70"/>
  <c r="DV189" i="80"/>
  <c r="O127" i="70"/>
  <c r="Q122" i="70"/>
  <c r="CX470" i="80"/>
  <c r="CY470" i="80" s="1"/>
  <c r="R128" i="70"/>
  <c r="R111" i="70"/>
  <c r="DF223" i="80"/>
  <c r="DG223" i="80" s="1"/>
  <c r="S108" i="70"/>
  <c r="DN103" i="80"/>
  <c r="S116" i="70"/>
  <c r="T126" i="70"/>
  <c r="T122" i="70"/>
  <c r="DV470" i="80"/>
  <c r="DW470" i="80"/>
  <c r="U120" i="70"/>
  <c r="ED493" i="80"/>
  <c r="EE493" i="80" s="1"/>
  <c r="U113" i="70"/>
  <c r="ED274" i="80"/>
  <c r="EE274" i="80"/>
  <c r="V108" i="70"/>
  <c r="EL103" i="80"/>
  <c r="V123" i="70"/>
  <c r="EL473" i="80"/>
  <c r="W113" i="70"/>
  <c r="ET274" i="80"/>
  <c r="W111" i="70"/>
  <c r="ET223" i="80"/>
  <c r="EU223" i="80"/>
  <c r="W124" i="70"/>
  <c r="ET474" i="80"/>
  <c r="X110" i="70"/>
  <c r="FB108" i="80"/>
  <c r="X108" i="70"/>
  <c r="FB103" i="80"/>
  <c r="X121" i="70"/>
  <c r="FB475" i="80"/>
  <c r="X116" i="70"/>
  <c r="Y113" i="70"/>
  <c r="FJ274" i="80"/>
  <c r="I127" i="70"/>
  <c r="L110" i="70"/>
  <c r="BJ108" i="80"/>
  <c r="H110" i="70"/>
  <c r="AD108" i="80"/>
  <c r="J122" i="70"/>
  <c r="AT470" i="80"/>
  <c r="AU470" i="80"/>
  <c r="M113" i="70"/>
  <c r="BR274" i="80"/>
  <c r="M111" i="70"/>
  <c r="BR223" i="80"/>
  <c r="BS223" i="80" s="1"/>
  <c r="J117" i="70"/>
  <c r="F115" i="70"/>
  <c r="L121" i="70"/>
  <c r="BJ475" i="80"/>
  <c r="F126" i="70"/>
  <c r="K124" i="70"/>
  <c r="BB474" i="80"/>
  <c r="L123" i="70"/>
  <c r="BJ473" i="80"/>
  <c r="F123" i="70"/>
  <c r="N473" i="80"/>
  <c r="J123" i="70"/>
  <c r="AT473" i="80"/>
  <c r="BZ177" i="80"/>
  <c r="CX177" i="80"/>
  <c r="M128" i="70"/>
  <c r="O126" i="70"/>
  <c r="W127" i="70"/>
  <c r="Y128" i="70"/>
  <c r="T120" i="70"/>
  <c r="DV493" i="80"/>
  <c r="DW493" i="80"/>
  <c r="T115" i="70"/>
  <c r="J116" i="70"/>
  <c r="W117" i="70"/>
  <c r="F128" i="70"/>
  <c r="U128" i="70"/>
  <c r="N177" i="80"/>
  <c r="I120" i="70"/>
  <c r="AL493" i="80"/>
  <c r="AM493" i="80" s="1"/>
  <c r="BJ185" i="80"/>
  <c r="BK185" i="80" s="1"/>
  <c r="M121" i="70"/>
  <c r="BR475" i="80"/>
  <c r="N120" i="70"/>
  <c r="BZ493" i="80"/>
  <c r="CA493" i="80" s="1"/>
  <c r="P109" i="70"/>
  <c r="CP105" i="80"/>
  <c r="P128" i="70"/>
  <c r="Q127" i="70"/>
  <c r="Q108" i="70"/>
  <c r="CX103" i="80"/>
  <c r="Q116" i="70"/>
  <c r="S109" i="70"/>
  <c r="DN105" i="80"/>
  <c r="T108" i="70"/>
  <c r="DV103" i="80"/>
  <c r="T116" i="70"/>
  <c r="V109" i="70"/>
  <c r="EL105" i="80"/>
  <c r="V128" i="70"/>
  <c r="X109" i="70"/>
  <c r="FB105" i="80"/>
  <c r="Y121" i="70"/>
  <c r="FJ475" i="80"/>
  <c r="L120" i="70"/>
  <c r="BJ493" i="80"/>
  <c r="BK493" i="80" s="1"/>
  <c r="H120" i="70"/>
  <c r="AD493" i="80"/>
  <c r="AE493" i="80"/>
  <c r="F120" i="70"/>
  <c r="N493" i="80"/>
  <c r="O493" i="80"/>
  <c r="M110" i="70"/>
  <c r="BR108" i="80"/>
  <c r="J110" i="70"/>
  <c r="AT108" i="80"/>
  <c r="J109" i="70"/>
  <c r="AT105" i="80"/>
  <c r="F109" i="70"/>
  <c r="N105" i="80"/>
  <c r="Y117" i="70"/>
  <c r="J126" i="70"/>
  <c r="S117" i="70"/>
  <c r="L125" i="70"/>
  <c r="U127" i="70"/>
  <c r="W126" i="70"/>
  <c r="N109" i="70"/>
  <c r="BZ105" i="80"/>
  <c r="N123" i="70"/>
  <c r="BZ473" i="80"/>
  <c r="N122" i="70"/>
  <c r="BZ470" i="80"/>
  <c r="CA470" i="80" s="1"/>
  <c r="O113" i="70"/>
  <c r="CH274" i="80"/>
  <c r="O109" i="70"/>
  <c r="CH105" i="80"/>
  <c r="O111" i="70"/>
  <c r="CH223" i="80"/>
  <c r="O125" i="70"/>
  <c r="O123" i="70"/>
  <c r="CH473" i="80"/>
  <c r="O122" i="70"/>
  <c r="CH470" i="80"/>
  <c r="CI470" i="80"/>
  <c r="O117" i="70"/>
  <c r="P120" i="70"/>
  <c r="CP493" i="80"/>
  <c r="CQ493" i="80" s="1"/>
  <c r="P110" i="70"/>
  <c r="CP108" i="80"/>
  <c r="P111" i="70"/>
  <c r="CP223" i="80"/>
  <c r="CQ223" i="80" s="1"/>
  <c r="P126" i="70"/>
  <c r="P124" i="70"/>
  <c r="CP474" i="80"/>
  <c r="P123" i="70"/>
  <c r="CP473" i="80"/>
  <c r="P122" i="70"/>
  <c r="CP470" i="80"/>
  <c r="CQ470" i="80" s="1"/>
  <c r="P115" i="70"/>
  <c r="Q109" i="70"/>
  <c r="CX105" i="80"/>
  <c r="Q126" i="70"/>
  <c r="Q125" i="70"/>
  <c r="Q123" i="70"/>
  <c r="CX473" i="80"/>
  <c r="R113" i="70"/>
  <c r="DF274" i="80"/>
  <c r="R109" i="70"/>
  <c r="DF105" i="80"/>
  <c r="R125" i="70"/>
  <c r="R123" i="70"/>
  <c r="DF473" i="80"/>
  <c r="R122" i="70"/>
  <c r="DF470" i="80"/>
  <c r="DG470" i="80" s="1"/>
  <c r="S120" i="70"/>
  <c r="DN493" i="80"/>
  <c r="DO493" i="80"/>
  <c r="S110" i="70"/>
  <c r="DN108" i="80"/>
  <c r="S111" i="70"/>
  <c r="DN223" i="80"/>
  <c r="S121" i="70"/>
  <c r="DN475" i="80"/>
  <c r="S124" i="70"/>
  <c r="DN474" i="80"/>
  <c r="S123" i="70"/>
  <c r="DN473" i="80"/>
  <c r="S122" i="70"/>
  <c r="DN470" i="80"/>
  <c r="DO470" i="80"/>
  <c r="T121" i="70"/>
  <c r="DV475" i="80"/>
  <c r="T123" i="70"/>
  <c r="DV473" i="80"/>
  <c r="U109" i="70"/>
  <c r="ED105" i="80"/>
  <c r="U111" i="70"/>
  <c r="ED223" i="80"/>
  <c r="EE223" i="80" s="1"/>
  <c r="U124" i="70"/>
  <c r="ED474" i="80"/>
  <c r="U123" i="70"/>
  <c r="ED473" i="80"/>
  <c r="U122" i="70"/>
  <c r="ED470" i="80"/>
  <c r="EE470" i="80" s="1"/>
  <c r="U117" i="70"/>
  <c r="V120" i="70"/>
  <c r="EL493" i="80"/>
  <c r="EM493" i="80" s="1"/>
  <c r="V110" i="70"/>
  <c r="EL108" i="80"/>
  <c r="V111" i="70"/>
  <c r="EL223" i="80"/>
  <c r="V121" i="70"/>
  <c r="EL475" i="80"/>
  <c r="V124" i="70"/>
  <c r="EL474" i="80"/>
  <c r="V122" i="70"/>
  <c r="EL470" i="80"/>
  <c r="EM470" i="80"/>
  <c r="W109" i="70"/>
  <c r="ET105" i="80"/>
  <c r="W125" i="70"/>
  <c r="W122" i="70"/>
  <c r="ET470" i="80"/>
  <c r="EU470" i="80" s="1"/>
  <c r="X120" i="70"/>
  <c r="FB493" i="80"/>
  <c r="FC493" i="80" s="1"/>
  <c r="X111" i="70"/>
  <c r="FB223" i="80"/>
  <c r="X126" i="70"/>
  <c r="X125" i="70"/>
  <c r="X123" i="70"/>
  <c r="FB473" i="80"/>
  <c r="X122" i="70"/>
  <c r="FB470" i="80"/>
  <c r="FC470" i="80" s="1"/>
  <c r="Y109" i="70"/>
  <c r="FJ105" i="80"/>
  <c r="Y111" i="70"/>
  <c r="FJ223" i="80"/>
  <c r="FK223" i="80" s="1"/>
  <c r="Y123" i="70"/>
  <c r="FJ473" i="80"/>
  <c r="Y122" i="70"/>
  <c r="FJ470" i="80"/>
  <c r="FK470" i="80" s="1"/>
  <c r="M120" i="70"/>
  <c r="BR493" i="80"/>
  <c r="BS493" i="80" s="1"/>
  <c r="J120" i="70"/>
  <c r="AT493" i="80"/>
  <c r="AU493" i="80"/>
  <c r="G127" i="70"/>
  <c r="G109" i="70"/>
  <c r="V105" i="80"/>
  <c r="I109" i="70"/>
  <c r="AL105" i="80"/>
  <c r="M109" i="70"/>
  <c r="BR105" i="80"/>
  <c r="L109" i="70"/>
  <c r="BJ105" i="80"/>
  <c r="K109" i="70"/>
  <c r="BB105" i="80"/>
  <c r="L122" i="70"/>
  <c r="BJ470" i="80"/>
  <c r="BK470" i="80"/>
  <c r="K122" i="70"/>
  <c r="BB470" i="80"/>
  <c r="BC470" i="80"/>
  <c r="H122" i="70"/>
  <c r="AD470" i="80"/>
  <c r="AE470" i="80" s="1"/>
  <c r="I122" i="70"/>
  <c r="AL470" i="80"/>
  <c r="AM470" i="80"/>
  <c r="F122" i="70"/>
  <c r="N470" i="80"/>
  <c r="O470" i="80" s="1"/>
  <c r="J113" i="70"/>
  <c r="AT274" i="80"/>
  <c r="G113" i="70"/>
  <c r="V274" i="80"/>
  <c r="L111" i="70"/>
  <c r="BJ223" i="80"/>
  <c r="BK223" i="80"/>
  <c r="H111" i="70"/>
  <c r="AD223" i="80"/>
  <c r="I111" i="70"/>
  <c r="AL223" i="80"/>
  <c r="G111" i="70"/>
  <c r="V223" i="80"/>
  <c r="W223" i="80" s="1"/>
  <c r="F111" i="70"/>
  <c r="N223" i="80"/>
  <c r="M108" i="70"/>
  <c r="BR103" i="80"/>
  <c r="J108" i="70"/>
  <c r="AT103" i="80"/>
  <c r="G108" i="70"/>
  <c r="V103" i="80"/>
  <c r="L126" i="70"/>
  <c r="K126" i="70"/>
  <c r="H121" i="70"/>
  <c r="AD475" i="80"/>
  <c r="I121" i="70"/>
  <c r="AL475" i="80"/>
  <c r="F121" i="70"/>
  <c r="N475" i="80"/>
  <c r="M124" i="70"/>
  <c r="BR474" i="80"/>
  <c r="K125" i="70"/>
  <c r="J124" i="70"/>
  <c r="AT474" i="80"/>
  <c r="M123" i="70"/>
  <c r="BR473" i="80"/>
  <c r="G123" i="70"/>
  <c r="V473" i="80"/>
  <c r="H123" i="70"/>
  <c r="AD473" i="80"/>
  <c r="K123" i="70"/>
  <c r="BB473" i="80"/>
  <c r="G122" i="70"/>
  <c r="V470" i="80"/>
  <c r="W470" i="80"/>
  <c r="X115" i="70"/>
  <c r="S125" i="70"/>
  <c r="Y125" i="70"/>
  <c r="S126" i="70"/>
  <c r="Y126" i="70"/>
  <c r="L127" i="70"/>
  <c r="S127" i="70"/>
  <c r="L128" i="70"/>
  <c r="X128" i="70"/>
  <c r="H127" i="70"/>
  <c r="V185" i="80"/>
  <c r="W185" i="80"/>
  <c r="K121" i="70"/>
  <c r="BB475" i="80"/>
  <c r="M116" i="70"/>
  <c r="U125" i="70"/>
  <c r="AD184" i="80"/>
  <c r="CH189" i="80"/>
  <c r="O124" i="70"/>
  <c r="CH474" i="80"/>
  <c r="P121" i="70"/>
  <c r="CP475" i="80"/>
  <c r="EL246" i="80"/>
  <c r="EM246" i="80"/>
  <c r="G115" i="70"/>
  <c r="R117" i="70"/>
  <c r="N116" i="70"/>
  <c r="P125" i="70"/>
  <c r="V125" i="70"/>
  <c r="I126" i="70"/>
  <c r="V126" i="70"/>
  <c r="P127" i="70"/>
  <c r="V127" i="70"/>
  <c r="CP178" i="80"/>
  <c r="CQ178" i="80"/>
  <c r="Q121" i="70"/>
  <c r="CX475" i="80"/>
  <c r="X124" i="70"/>
  <c r="FB474" i="80"/>
  <c r="J125" i="70"/>
  <c r="J127" i="70"/>
  <c r="CP246" i="80"/>
  <c r="CQ246" i="80"/>
  <c r="ED189" i="80"/>
  <c r="EE189" i="80" s="1"/>
  <c r="W123" i="70"/>
  <c r="ET473" i="80"/>
  <c r="V115" i="70"/>
  <c r="H117" i="70"/>
  <c r="K115" i="70"/>
  <c r="V116" i="70"/>
  <c r="X127" i="70"/>
  <c r="H126" i="70"/>
  <c r="N111" i="70"/>
  <c r="BZ223" i="80"/>
  <c r="CA223" i="80" s="1"/>
  <c r="N124" i="70"/>
  <c r="BZ474" i="80"/>
  <c r="FJ311" i="80"/>
  <c r="FK311" i="80" s="1"/>
  <c r="BZ29" i="80"/>
  <c r="CX29" i="80"/>
  <c r="DV29" i="80"/>
  <c r="AD180" i="80"/>
  <c r="AE180" i="80" s="1"/>
  <c r="AF180" i="80" s="1"/>
  <c r="BJ311" i="80"/>
  <c r="BK311" i="80" s="1"/>
  <c r="BZ245" i="80"/>
  <c r="BZ201" i="80"/>
  <c r="CA201" i="80"/>
  <c r="FB311" i="80"/>
  <c r="FC311" i="80"/>
  <c r="N125" i="70"/>
  <c r="N311" i="80"/>
  <c r="O311" i="80" s="1"/>
  <c r="N126" i="70"/>
  <c r="N110" i="70"/>
  <c r="BZ108" i="80"/>
  <c r="N108" i="70"/>
  <c r="BZ103" i="80"/>
  <c r="N127" i="70"/>
  <c r="AL176" i="80"/>
  <c r="AM176" i="80" s="1"/>
  <c r="ET29" i="80"/>
  <c r="CP29" i="80"/>
  <c r="CH29" i="80"/>
  <c r="O280" i="79"/>
  <c r="W280" i="79"/>
  <c r="CA280" i="79"/>
  <c r="CI280" i="79"/>
  <c r="DW280" i="79"/>
  <c r="EU280" i="79"/>
  <c r="EE280" i="80"/>
  <c r="FK280" i="80"/>
  <c r="AU280" i="79"/>
  <c r="CQ280" i="79"/>
  <c r="FC280" i="79"/>
  <c r="BS280" i="80"/>
  <c r="CQ280" i="80"/>
  <c r="CY280" i="80"/>
  <c r="DW280" i="80"/>
  <c r="G281" i="80"/>
  <c r="AM280" i="79"/>
  <c r="BC280" i="79"/>
  <c r="BK280" i="79"/>
  <c r="DG280" i="79"/>
  <c r="EE280" i="79"/>
  <c r="EM280" i="79"/>
  <c r="K277" i="79"/>
  <c r="AE280" i="80"/>
  <c r="CA280" i="80"/>
  <c r="DG280" i="80"/>
  <c r="EU280" i="80"/>
  <c r="K279" i="80"/>
  <c r="BS280" i="79"/>
  <c r="DO280" i="79"/>
  <c r="W280" i="80"/>
  <c r="AU280" i="80"/>
  <c r="BC280" i="80"/>
  <c r="CI280" i="80"/>
  <c r="BC470" i="79"/>
  <c r="CY470" i="79"/>
  <c r="EU470" i="79"/>
  <c r="AU470" i="79"/>
  <c r="O478" i="80"/>
  <c r="AE478" i="80"/>
  <c r="BK478" i="80"/>
  <c r="EM478" i="80"/>
  <c r="BS470" i="79"/>
  <c r="DO470" i="79"/>
  <c r="W470" i="79"/>
  <c r="AM478" i="80"/>
  <c r="CA470" i="79"/>
  <c r="DW470" i="79"/>
  <c r="AU478" i="80"/>
  <c r="BS478" i="80"/>
  <c r="CI478" i="80"/>
  <c r="FC478" i="80"/>
  <c r="G483" i="80"/>
  <c r="AM483" i="80" s="1"/>
  <c r="DW478" i="80"/>
  <c r="EU478" i="80"/>
  <c r="O470" i="79"/>
  <c r="CI470" i="79"/>
  <c r="EE470" i="79"/>
  <c r="W478" i="80"/>
  <c r="CA478" i="80"/>
  <c r="CQ478" i="80"/>
  <c r="CQ480" i="80" s="1"/>
  <c r="CY478" i="80"/>
  <c r="DO478" i="80"/>
  <c r="EE478" i="80"/>
  <c r="W222" i="79"/>
  <c r="AM222" i="79"/>
  <c r="BK222" i="79"/>
  <c r="BC222" i="79"/>
  <c r="O228" i="80"/>
  <c r="CA228" i="80"/>
  <c r="CY228" i="80"/>
  <c r="DO222" i="79"/>
  <c r="EM222" i="79"/>
  <c r="AE222" i="79"/>
  <c r="BS222" i="79"/>
  <c r="W228" i="80"/>
  <c r="AE228" i="80"/>
  <c r="BC228" i="80"/>
  <c r="DG211" i="79"/>
  <c r="DH211" i="79" s="1"/>
  <c r="DG212" i="80"/>
  <c r="EE213" i="80"/>
  <c r="CY211" i="79"/>
  <c r="DA211" i="79" s="1"/>
  <c r="AE212" i="80"/>
  <c r="BS213" i="80"/>
  <c r="DW213" i="80"/>
  <c r="W211" i="79"/>
  <c r="X211" i="79" s="1"/>
  <c r="AM211" i="79"/>
  <c r="AN211" i="79" s="1"/>
  <c r="CA211" i="79"/>
  <c r="CB211" i="79" s="1"/>
  <c r="EE211" i="79"/>
  <c r="EG211" i="79" s="1"/>
  <c r="BC213" i="80"/>
  <c r="CA213" i="80"/>
  <c r="EM213" i="80"/>
  <c r="EE212" i="80"/>
  <c r="DO211" i="79"/>
  <c r="DQ211" i="79" s="1"/>
  <c r="W213" i="80"/>
  <c r="AM213" i="80"/>
  <c r="AU213" i="80"/>
  <c r="CI213" i="80"/>
  <c r="CQ213" i="80"/>
  <c r="CY213" i="80"/>
  <c r="DO213" i="80"/>
  <c r="FC213" i="80"/>
  <c r="O206" i="80"/>
  <c r="EU206" i="79"/>
  <c r="DG206" i="80"/>
  <c r="EE206" i="80"/>
  <c r="CI206" i="80"/>
  <c r="FC195" i="79"/>
  <c r="EM187" i="80"/>
  <c r="K155" i="79"/>
  <c r="K155" i="80"/>
  <c r="K149" i="80"/>
  <c r="K130" i="80"/>
  <c r="K124" i="79"/>
  <c r="K126" i="79"/>
  <c r="K121" i="80"/>
  <c r="K106" i="80"/>
  <c r="K92" i="80"/>
  <c r="D16" i="35"/>
  <c r="E16" i="35" s="1"/>
  <c r="H373" i="79" s="1"/>
  <c r="G368" i="85"/>
  <c r="I179" i="90" s="1"/>
  <c r="D16" i="82"/>
  <c r="D15" i="35"/>
  <c r="D15" i="82"/>
  <c r="D14" i="35"/>
  <c r="G371" i="80" s="1"/>
  <c r="D14" i="82"/>
  <c r="D19" i="35"/>
  <c r="D19" i="82"/>
  <c r="D13" i="35"/>
  <c r="D13" i="82"/>
  <c r="D48" i="35"/>
  <c r="D63" i="35" s="1"/>
  <c r="D48" i="82"/>
  <c r="D63" i="82" s="1"/>
  <c r="E59" i="79"/>
  <c r="E59" i="80"/>
  <c r="K23" i="80"/>
  <c r="H124" i="80"/>
  <c r="K18" i="79"/>
  <c r="AN181" i="79"/>
  <c r="FK192" i="79"/>
  <c r="FK184" i="79"/>
  <c r="FK200" i="79"/>
  <c r="FK185" i="79"/>
  <c r="P125" i="76"/>
  <c r="V125" i="76"/>
  <c r="I168" i="76"/>
  <c r="I53" i="76"/>
  <c r="AL187" i="79"/>
  <c r="G60" i="70"/>
  <c r="P124" i="76"/>
  <c r="CP474" i="79"/>
  <c r="CP476" i="79"/>
  <c r="CQ476" i="79"/>
  <c r="CQ480" i="79" s="1"/>
  <c r="V124" i="76"/>
  <c r="EL474" i="79"/>
  <c r="EL476" i="79"/>
  <c r="EM476" i="79"/>
  <c r="AO293" i="79"/>
  <c r="H141" i="76"/>
  <c r="AD176" i="79"/>
  <c r="AE176" i="79"/>
  <c r="BE293" i="79"/>
  <c r="CC293" i="79"/>
  <c r="AV293" i="79"/>
  <c r="K276" i="79"/>
  <c r="FK270" i="79"/>
  <c r="FL270" i="79" s="1"/>
  <c r="FC270" i="79"/>
  <c r="FE270" i="79" s="1"/>
  <c r="FK310" i="79"/>
  <c r="K71" i="79"/>
  <c r="K256" i="79"/>
  <c r="K24" i="79"/>
  <c r="FK275" i="79"/>
  <c r="FC275" i="79"/>
  <c r="K97" i="79"/>
  <c r="FK229" i="79"/>
  <c r="FC229" i="79"/>
  <c r="EU229" i="79"/>
  <c r="K40" i="79"/>
  <c r="K37" i="79"/>
  <c r="FC222" i="79"/>
  <c r="FK222" i="79"/>
  <c r="EU222" i="79"/>
  <c r="FK245" i="79"/>
  <c r="FL245" i="79" s="1"/>
  <c r="FC245" i="79"/>
  <c r="FD245" i="79" s="1"/>
  <c r="FC232" i="79"/>
  <c r="FD232" i="79" s="1"/>
  <c r="FK232" i="79"/>
  <c r="FL232" i="79" s="1"/>
  <c r="K16" i="79"/>
  <c r="J150" i="76"/>
  <c r="J26" i="76"/>
  <c r="I33" i="70"/>
  <c r="DY293" i="79"/>
  <c r="K252" i="79"/>
  <c r="K48" i="79"/>
  <c r="K43" i="79"/>
  <c r="K296" i="79"/>
  <c r="FK306" i="79"/>
  <c r="FC306" i="79"/>
  <c r="K132" i="79"/>
  <c r="AN232" i="80"/>
  <c r="AO232" i="80"/>
  <c r="K184" i="79"/>
  <c r="EU245" i="79"/>
  <c r="EV245" i="79" s="1"/>
  <c r="EU200" i="79"/>
  <c r="AG309" i="80"/>
  <c r="AF309" i="80"/>
  <c r="I141" i="76"/>
  <c r="H20" i="70"/>
  <c r="FC200" i="79"/>
  <c r="F141" i="76"/>
  <c r="F20" i="70"/>
  <c r="FC310" i="79"/>
  <c r="G483" i="79"/>
  <c r="FK483" i="79" s="1"/>
  <c r="G141" i="76"/>
  <c r="G20" i="70"/>
  <c r="CK309" i="80"/>
  <c r="EN270" i="80"/>
  <c r="K89" i="80"/>
  <c r="K242" i="80"/>
  <c r="EW270" i="80"/>
  <c r="FK268" i="80"/>
  <c r="FM268" i="80" s="1"/>
  <c r="FC268" i="80"/>
  <c r="K17" i="80"/>
  <c r="K132" i="80"/>
  <c r="FK230" i="80"/>
  <c r="EU230" i="80"/>
  <c r="K213" i="80"/>
  <c r="FC230" i="80"/>
  <c r="FC279" i="80"/>
  <c r="FK279" i="80"/>
  <c r="K57" i="80"/>
  <c r="FK295" i="80"/>
  <c r="EU295" i="80"/>
  <c r="K142" i="80"/>
  <c r="FK228" i="80"/>
  <c r="EU228" i="80"/>
  <c r="K189" i="80"/>
  <c r="FC185" i="80"/>
  <c r="K180" i="80"/>
  <c r="E73" i="80"/>
  <c r="FC278" i="80"/>
  <c r="FC250" i="80"/>
  <c r="FK292" i="80"/>
  <c r="FK486" i="80"/>
  <c r="K97" i="80"/>
  <c r="K22" i="80"/>
  <c r="K39" i="80"/>
  <c r="K44" i="80"/>
  <c r="K38" i="80"/>
  <c r="K29" i="79"/>
  <c r="K194" i="80"/>
  <c r="K96" i="80"/>
  <c r="K244" i="80"/>
  <c r="K229" i="80"/>
  <c r="K45" i="80"/>
  <c r="G490" i="80"/>
  <c r="K123" i="80"/>
  <c r="K98" i="80"/>
  <c r="K230" i="80"/>
  <c r="H60" i="70"/>
  <c r="I125" i="76"/>
  <c r="F53" i="70"/>
  <c r="N187" i="79"/>
  <c r="O187" i="79"/>
  <c r="G43" i="70"/>
  <c r="G125" i="76"/>
  <c r="I43" i="70"/>
  <c r="AD187" i="79"/>
  <c r="AE187" i="79"/>
  <c r="F26" i="70"/>
  <c r="N180" i="79"/>
  <c r="O180" i="79" s="1"/>
  <c r="H53" i="70"/>
  <c r="C72" i="36"/>
  <c r="C64" i="36"/>
  <c r="X125" i="76"/>
  <c r="R125" i="76"/>
  <c r="BZ476" i="79"/>
  <c r="CA476" i="79"/>
  <c r="DV476" i="79"/>
  <c r="DW476" i="79"/>
  <c r="F60" i="70"/>
  <c r="C26" i="36"/>
  <c r="E26" i="36"/>
  <c r="E27" i="36"/>
  <c r="G168" i="76"/>
  <c r="G53" i="76"/>
  <c r="K168" i="76"/>
  <c r="CX476" i="79"/>
  <c r="CY476" i="79" s="1"/>
  <c r="ET476" i="79"/>
  <c r="EU476" i="79"/>
  <c r="DF476" i="79"/>
  <c r="DG476" i="79"/>
  <c r="DG480" i="79" s="1"/>
  <c r="DG481" i="79" s="1"/>
  <c r="FB476" i="79"/>
  <c r="FC476" i="79"/>
  <c r="CH476" i="79"/>
  <c r="CI476" i="79" s="1"/>
  <c r="ED476" i="79"/>
  <c r="EE476" i="79"/>
  <c r="L168" i="76"/>
  <c r="BR476" i="79"/>
  <c r="BS476" i="79" s="1"/>
  <c r="BS480" i="79" s="1"/>
  <c r="BS481" i="79" s="1"/>
  <c r="DN476" i="79"/>
  <c r="DO476" i="79"/>
  <c r="FJ476" i="79"/>
  <c r="FK476" i="79" s="1"/>
  <c r="K106" i="79"/>
  <c r="K98" i="79"/>
  <c r="G26" i="70"/>
  <c r="V180" i="79"/>
  <c r="G33" i="70"/>
  <c r="H43" i="70"/>
  <c r="I124" i="76"/>
  <c r="AL474" i="79"/>
  <c r="AL476" i="79" s="1"/>
  <c r="AM476" i="79" s="1"/>
  <c r="AM480" i="79" s="1"/>
  <c r="AM487" i="79" s="1"/>
  <c r="AM488" i="79" s="1"/>
  <c r="I60" i="70"/>
  <c r="K141" i="76"/>
  <c r="L141" i="76"/>
  <c r="K308" i="79"/>
  <c r="CJ245" i="79"/>
  <c r="K150" i="76"/>
  <c r="L150" i="76"/>
  <c r="DX245" i="79"/>
  <c r="FC486" i="79"/>
  <c r="FK486" i="79"/>
  <c r="EM486" i="79"/>
  <c r="DW486" i="79"/>
  <c r="K246" i="79"/>
  <c r="FK274" i="79"/>
  <c r="K255" i="79"/>
  <c r="K224" i="79"/>
  <c r="K192" i="79"/>
  <c r="K231" i="79"/>
  <c r="K227" i="79"/>
  <c r="DW181" i="79"/>
  <c r="DX181" i="79" s="1"/>
  <c r="DO181" i="79"/>
  <c r="DP181" i="79" s="1"/>
  <c r="X270" i="80"/>
  <c r="Y270" i="80"/>
  <c r="K107" i="79"/>
  <c r="K45" i="79"/>
  <c r="K23" i="79"/>
  <c r="K270" i="79"/>
  <c r="DX270" i="79"/>
  <c r="K307" i="79"/>
  <c r="Q307" i="79"/>
  <c r="K305" i="79"/>
  <c r="K254" i="79"/>
  <c r="K123" i="79"/>
  <c r="K177" i="79"/>
  <c r="K268" i="79"/>
  <c r="FL293" i="79"/>
  <c r="FM293" i="79"/>
  <c r="FC206" i="79"/>
  <c r="K306" i="79"/>
  <c r="G490" i="79"/>
  <c r="DW490" i="79" s="1"/>
  <c r="K122" i="79"/>
  <c r="K212" i="79"/>
  <c r="FK182" i="79"/>
  <c r="K269" i="79"/>
  <c r="K309" i="79"/>
  <c r="K73" i="79"/>
  <c r="K70" i="79"/>
  <c r="K67" i="79"/>
  <c r="K64" i="79"/>
  <c r="K61" i="79"/>
  <c r="K58" i="79"/>
  <c r="K221" i="79"/>
  <c r="K232" i="79"/>
  <c r="K229" i="79"/>
  <c r="K225" i="79"/>
  <c r="K47" i="79"/>
  <c r="K213" i="79"/>
  <c r="K210" i="79"/>
  <c r="K194" i="79"/>
  <c r="FK223" i="79"/>
  <c r="FK188" i="79"/>
  <c r="K228" i="79"/>
  <c r="K234" i="79"/>
  <c r="K230" i="79"/>
  <c r="K226" i="79"/>
  <c r="K214" i="79"/>
  <c r="K211" i="79"/>
  <c r="K195" i="79"/>
  <c r="FK176" i="79"/>
  <c r="FK470" i="79"/>
  <c r="K92" i="79"/>
  <c r="K91" i="79"/>
  <c r="K90" i="79"/>
  <c r="K89" i="79"/>
  <c r="K88" i="79"/>
  <c r="K87" i="79"/>
  <c r="K250" i="79"/>
  <c r="K243" i="79"/>
  <c r="K242" i="79"/>
  <c r="K241" i="79"/>
  <c r="K25" i="79"/>
  <c r="BM270" i="80"/>
  <c r="DI309" i="80"/>
  <c r="EO294" i="80"/>
  <c r="FD270" i="80"/>
  <c r="FE270" i="80"/>
  <c r="K275" i="80"/>
  <c r="FL270" i="80"/>
  <c r="FM270" i="80"/>
  <c r="K307" i="80"/>
  <c r="EF307" i="80"/>
  <c r="K141" i="80"/>
  <c r="FM293" i="80"/>
  <c r="K251" i="80"/>
  <c r="K268" i="80"/>
  <c r="DX268" i="80"/>
  <c r="K111" i="80"/>
  <c r="K73" i="80"/>
  <c r="K71" i="80"/>
  <c r="K69" i="80"/>
  <c r="K67" i="80"/>
  <c r="K65" i="80"/>
  <c r="K114" i="80"/>
  <c r="K201" i="80"/>
  <c r="K195" i="80"/>
  <c r="K64" i="80"/>
  <c r="K113" i="80"/>
  <c r="K109" i="80"/>
  <c r="K231" i="80"/>
  <c r="K224" i="80"/>
  <c r="K140" i="80"/>
  <c r="K72" i="80"/>
  <c r="K70" i="80"/>
  <c r="K68" i="80"/>
  <c r="K66" i="80"/>
  <c r="K115" i="80"/>
  <c r="K112" i="80"/>
  <c r="K110" i="80"/>
  <c r="K104" i="80"/>
  <c r="K254" i="80"/>
  <c r="K255" i="80"/>
  <c r="K252" i="80"/>
  <c r="K47" i="80"/>
  <c r="K212" i="80"/>
  <c r="K181" i="80"/>
  <c r="K199" i="80"/>
  <c r="K256" i="80"/>
  <c r="K253" i="80"/>
  <c r="FL232" i="80"/>
  <c r="K25" i="80"/>
  <c r="K210" i="80"/>
  <c r="K182" i="80"/>
  <c r="K200" i="80"/>
  <c r="K191" i="80"/>
  <c r="H59" i="80"/>
  <c r="I59" i="80"/>
  <c r="J59" i="80"/>
  <c r="I58" i="79"/>
  <c r="H64" i="85"/>
  <c r="J30" i="90" s="1"/>
  <c r="J57" i="80"/>
  <c r="K214" i="80"/>
  <c r="J61" i="85"/>
  <c r="L27" i="90" s="1"/>
  <c r="R44" i="35"/>
  <c r="I4" i="70" a="1"/>
  <c r="I4" i="70"/>
  <c r="G15" i="35"/>
  <c r="J372" i="80" s="1"/>
  <c r="FF372" i="80" s="1"/>
  <c r="E15" i="35"/>
  <c r="H372" i="79" s="1"/>
  <c r="CJ372" i="79" s="1"/>
  <c r="H62" i="85"/>
  <c r="I62" i="85"/>
  <c r="H73" i="79"/>
  <c r="I73" i="80"/>
  <c r="J62" i="80"/>
  <c r="H96" i="26"/>
  <c r="I96" i="26"/>
  <c r="M4" i="70" a="1"/>
  <c r="M4" i="70"/>
  <c r="F4" i="70" a="1"/>
  <c r="F4" i="70"/>
  <c r="X4" i="70" a="1"/>
  <c r="X4" i="70"/>
  <c r="V4" i="70" a="1"/>
  <c r="V4" i="70"/>
  <c r="T4" i="70" a="1"/>
  <c r="T4" i="70"/>
  <c r="R4" i="70" a="1"/>
  <c r="R4" i="70"/>
  <c r="P4" i="70" a="1"/>
  <c r="P4" i="70"/>
  <c r="N4" i="70" a="1"/>
  <c r="N4" i="70"/>
  <c r="H4" i="70" a="1"/>
  <c r="H4" i="70"/>
  <c r="J4" i="70" a="1"/>
  <c r="J4" i="70"/>
  <c r="K4" i="70" a="1"/>
  <c r="K4" i="70"/>
  <c r="Y4" i="70" a="1"/>
  <c r="Y4" i="70"/>
  <c r="W4" i="70" a="1"/>
  <c r="W4" i="70"/>
  <c r="U4" i="70" a="1"/>
  <c r="U4" i="70"/>
  <c r="S4" i="70" a="1"/>
  <c r="S4" i="70"/>
  <c r="Q4" i="70" a="1"/>
  <c r="Q4" i="70"/>
  <c r="O4" i="70" a="1"/>
  <c r="O4" i="70"/>
  <c r="L4" i="70" a="1"/>
  <c r="L4" i="70"/>
  <c r="G4" i="70" a="1"/>
  <c r="G4" i="70"/>
  <c r="K29" i="80"/>
  <c r="FL294" i="79"/>
  <c r="DA294" i="79"/>
  <c r="EW268" i="80"/>
  <c r="Y309" i="80"/>
  <c r="AE271" i="80"/>
  <c r="EV268" i="80"/>
  <c r="CR294" i="79"/>
  <c r="BD294" i="79"/>
  <c r="AW270" i="80"/>
  <c r="AV270" i="80"/>
  <c r="BE309" i="80"/>
  <c r="BD309" i="80"/>
  <c r="DY309" i="80"/>
  <c r="DY270" i="79"/>
  <c r="FM270" i="79"/>
  <c r="EU271" i="80"/>
  <c r="EV270" i="80"/>
  <c r="EF232" i="80"/>
  <c r="DH232" i="80"/>
  <c r="BM232" i="80"/>
  <c r="BK271" i="80"/>
  <c r="BL270" i="80"/>
  <c r="H125" i="76"/>
  <c r="H124" i="76"/>
  <c r="AD474" i="79"/>
  <c r="AD476" i="79" s="1"/>
  <c r="AE476" i="79"/>
  <c r="AE480" i="79" s="1"/>
  <c r="AE487" i="79" s="1"/>
  <c r="AE488" i="79" s="1"/>
  <c r="X294" i="79"/>
  <c r="G370" i="80"/>
  <c r="DW370" i="80" s="1"/>
  <c r="G365" i="85"/>
  <c r="I176" i="90" s="1"/>
  <c r="F13" i="35"/>
  <c r="I370" i="79" s="1"/>
  <c r="CK370" i="79" s="1"/>
  <c r="E13" i="35"/>
  <c r="H370" i="80" s="1"/>
  <c r="DP370" i="80" s="1"/>
  <c r="CQ271" i="80"/>
  <c r="CB268" i="80"/>
  <c r="AG294" i="79"/>
  <c r="Y294" i="79"/>
  <c r="EO294" i="79"/>
  <c r="FM294" i="79"/>
  <c r="EN294" i="79"/>
  <c r="AU271" i="80"/>
  <c r="CY271" i="80"/>
  <c r="G376" i="80"/>
  <c r="G371" i="85"/>
  <c r="I182" i="90" s="1"/>
  <c r="W271" i="80"/>
  <c r="EM271" i="80"/>
  <c r="AM271" i="80"/>
  <c r="FK480" i="79"/>
  <c r="FK487" i="79" s="1"/>
  <c r="FK488" i="79" s="1"/>
  <c r="G372" i="80"/>
  <c r="DW372" i="80" s="1"/>
  <c r="G367" i="85"/>
  <c r="I178" i="90" s="1"/>
  <c r="O271" i="80"/>
  <c r="C20" i="32"/>
  <c r="FC271" i="80"/>
  <c r="DI268" i="80"/>
  <c r="EG268" i="80"/>
  <c r="EG307" i="79"/>
  <c r="L26" i="76"/>
  <c r="BJ180" i="79"/>
  <c r="L13" i="76"/>
  <c r="BJ176" i="79"/>
  <c r="EE376" i="80"/>
  <c r="DW376" i="80"/>
  <c r="K26" i="76"/>
  <c r="BB180" i="79"/>
  <c r="L53" i="76"/>
  <c r="BJ187" i="79"/>
  <c r="BK187" i="79" s="1"/>
  <c r="DY307" i="79"/>
  <c r="P296" i="79"/>
  <c r="Y296" i="79"/>
  <c r="G373" i="80"/>
  <c r="EM373" i="80" s="1"/>
  <c r="AO270" i="80"/>
  <c r="AG270" i="80"/>
  <c r="AW294" i="79"/>
  <c r="AO294" i="79"/>
  <c r="BE294" i="79"/>
  <c r="K13" i="76"/>
  <c r="BB176" i="79"/>
  <c r="BB187" i="79"/>
  <c r="BC187" i="79"/>
  <c r="K53" i="76"/>
  <c r="F14" i="35"/>
  <c r="I366" i="85" s="1"/>
  <c r="K177" i="90" s="1"/>
  <c r="DW271" i="80"/>
  <c r="BL232" i="80"/>
  <c r="DY270" i="80"/>
  <c r="AF270" i="80"/>
  <c r="AN294" i="79"/>
  <c r="P270" i="80"/>
  <c r="DI232" i="80"/>
  <c r="BE232" i="80"/>
  <c r="EG232" i="80"/>
  <c r="DA270" i="80"/>
  <c r="AV294" i="79"/>
  <c r="AN270" i="80"/>
  <c r="CB270" i="80"/>
  <c r="CC270" i="80"/>
  <c r="AW294" i="80"/>
  <c r="AF294" i="79"/>
  <c r="CS294" i="79"/>
  <c r="G14" i="35"/>
  <c r="J366" i="85" s="1"/>
  <c r="L177" i="90" s="1"/>
  <c r="DO480" i="79"/>
  <c r="DO481" i="79" s="1"/>
  <c r="BM309" i="79"/>
  <c r="DY247" i="80"/>
  <c r="FM247" i="80"/>
  <c r="EM313" i="80"/>
  <c r="AE313" i="80"/>
  <c r="CA480" i="79"/>
  <c r="CA481" i="79" s="1"/>
  <c r="G16" i="35"/>
  <c r="J373" i="79" s="1"/>
  <c r="DR373" i="79" s="1"/>
  <c r="BM247" i="80"/>
  <c r="DO313" i="80"/>
  <c r="FE247" i="80"/>
  <c r="DI247" i="80"/>
  <c r="CS247" i="80"/>
  <c r="CA313" i="80"/>
  <c r="AT476" i="80"/>
  <c r="AU476" i="80"/>
  <c r="AU480" i="80"/>
  <c r="AU487" i="80" s="1"/>
  <c r="AU488" i="80" s="1"/>
  <c r="AU489" i="80" s="1"/>
  <c r="EM480" i="79"/>
  <c r="EM481" i="79"/>
  <c r="EU480" i="79"/>
  <c r="EU481" i="79" s="1"/>
  <c r="CY480" i="79"/>
  <c r="CY487" i="79" s="1"/>
  <c r="CY488" i="79" s="1"/>
  <c r="AO247" i="80"/>
  <c r="CR309" i="80"/>
  <c r="CS309" i="80"/>
  <c r="EF309" i="80"/>
  <c r="EG309" i="80"/>
  <c r="CB309" i="80"/>
  <c r="CC309" i="80"/>
  <c r="EN309" i="80"/>
  <c r="EO309" i="80"/>
  <c r="CZ309" i="80"/>
  <c r="DA309" i="80"/>
  <c r="AW309" i="80"/>
  <c r="DW313" i="80"/>
  <c r="EW309" i="80"/>
  <c r="P309" i="80"/>
  <c r="Q309" i="80"/>
  <c r="AN309" i="80"/>
  <c r="AO309" i="80"/>
  <c r="AU313" i="80"/>
  <c r="DP309" i="80"/>
  <c r="DQ309" i="80"/>
  <c r="CH476" i="80"/>
  <c r="CI476" i="80"/>
  <c r="FJ476" i="80"/>
  <c r="FK476" i="80" s="1"/>
  <c r="FK480" i="80" s="1"/>
  <c r="FK487" i="80" s="1"/>
  <c r="FK488" i="80" s="1"/>
  <c r="BZ476" i="80"/>
  <c r="CA476" i="80" s="1"/>
  <c r="CA480" i="80" s="1"/>
  <c r="CA487" i="80" s="1"/>
  <c r="CA488" i="80" s="1"/>
  <c r="BJ476" i="80"/>
  <c r="BK476" i="80" s="1"/>
  <c r="G124" i="70"/>
  <c r="V474" i="80"/>
  <c r="V476" i="80"/>
  <c r="W476" i="80" s="1"/>
  <c r="W480" i="80" s="1"/>
  <c r="W487" i="80" s="1"/>
  <c r="W488" i="80" s="1"/>
  <c r="DV476" i="80"/>
  <c r="DW476" i="80" s="1"/>
  <c r="DW480" i="80" s="1"/>
  <c r="FB476" i="80"/>
  <c r="FC476" i="80" s="1"/>
  <c r="FC480" i="80" s="1"/>
  <c r="FC481" i="80" s="1"/>
  <c r="EL476" i="80"/>
  <c r="EM476" i="80"/>
  <c r="EM480" i="80" s="1"/>
  <c r="EM487" i="80" s="1"/>
  <c r="EM488" i="80" s="1"/>
  <c r="BB476" i="80"/>
  <c r="BC476" i="80"/>
  <c r="BC480" i="80" s="1"/>
  <c r="BC481" i="80" s="1"/>
  <c r="CX476" i="80"/>
  <c r="CY476" i="80" s="1"/>
  <c r="CY480" i="80" s="1"/>
  <c r="CY487" i="80" s="1"/>
  <c r="CY488" i="80" s="1"/>
  <c r="ET476" i="80"/>
  <c r="EU476" i="80" s="1"/>
  <c r="EU480" i="80" s="1"/>
  <c r="EU487" i="80" s="1"/>
  <c r="EU488" i="80" s="1"/>
  <c r="DF476" i="80"/>
  <c r="DG476" i="80"/>
  <c r="BR476" i="80"/>
  <c r="BS476" i="80"/>
  <c r="BS480" i="80" s="1"/>
  <c r="BS481" i="80" s="1"/>
  <c r="ED476" i="80"/>
  <c r="EE476" i="80"/>
  <c r="EE480" i="80"/>
  <c r="EE487" i="80" s="1"/>
  <c r="EE488" i="80" s="1"/>
  <c r="DN476" i="80"/>
  <c r="DO476" i="80" s="1"/>
  <c r="DO480" i="80" s="1"/>
  <c r="DO481" i="80" s="1"/>
  <c r="CP476" i="80"/>
  <c r="CQ476" i="80"/>
  <c r="I124" i="70"/>
  <c r="AL474" i="80"/>
  <c r="AL476" i="80"/>
  <c r="AM476" i="80" s="1"/>
  <c r="AM480" i="80" s="1"/>
  <c r="AM481" i="80" s="1"/>
  <c r="V180" i="80"/>
  <c r="W180" i="80" s="1"/>
  <c r="X180" i="80" s="1"/>
  <c r="N180" i="80"/>
  <c r="AD187" i="80"/>
  <c r="AE187" i="80" s="1"/>
  <c r="N187" i="80"/>
  <c r="O187" i="80"/>
  <c r="FL307" i="80"/>
  <c r="EW307" i="79"/>
  <c r="EM483" i="80"/>
  <c r="EU483" i="80"/>
  <c r="W483" i="80"/>
  <c r="E16" i="82"/>
  <c r="F16" i="82"/>
  <c r="G16" i="82"/>
  <c r="G376" i="79"/>
  <c r="G13" i="82"/>
  <c r="E13" i="82"/>
  <c r="F13" i="82"/>
  <c r="G15" i="82"/>
  <c r="F15" i="82"/>
  <c r="E15" i="82"/>
  <c r="G13" i="35"/>
  <c r="J370" i="79" s="1"/>
  <c r="CD370" i="79" s="1"/>
  <c r="G370" i="79"/>
  <c r="F15" i="35"/>
  <c r="G372" i="79"/>
  <c r="CI372" i="79" s="1"/>
  <c r="K59" i="80"/>
  <c r="K59" i="79"/>
  <c r="BM307" i="80"/>
  <c r="BL307" i="80"/>
  <c r="CB307" i="80"/>
  <c r="FM307" i="80"/>
  <c r="AF307" i="80"/>
  <c r="AO307" i="80"/>
  <c r="AV307" i="80"/>
  <c r="CZ214" i="80"/>
  <c r="EF254" i="80"/>
  <c r="BD214" i="80"/>
  <c r="DH307" i="80"/>
  <c r="FK490" i="80"/>
  <c r="DW490" i="80"/>
  <c r="FC490" i="80"/>
  <c r="EU490" i="80"/>
  <c r="EM490" i="80"/>
  <c r="EE490" i="80"/>
  <c r="DG490" i="80"/>
  <c r="DO490" i="80"/>
  <c r="CY490" i="80"/>
  <c r="CQ490" i="80"/>
  <c r="AU490" i="80"/>
  <c r="BS490" i="80"/>
  <c r="BK490" i="80"/>
  <c r="BC490" i="80"/>
  <c r="CI490" i="80"/>
  <c r="CA490" i="80"/>
  <c r="AM490" i="80"/>
  <c r="AE490" i="80"/>
  <c r="O490" i="80"/>
  <c r="W490" i="80"/>
  <c r="G13" i="70"/>
  <c r="V176" i="79"/>
  <c r="W176" i="79" s="1"/>
  <c r="BL268" i="80"/>
  <c r="I26" i="70"/>
  <c r="AT180" i="79"/>
  <c r="EF296" i="79"/>
  <c r="DX307" i="79"/>
  <c r="EV270" i="79"/>
  <c r="Y270" i="79"/>
  <c r="H13" i="70"/>
  <c r="AL176" i="79"/>
  <c r="X296" i="79"/>
  <c r="BE268" i="80"/>
  <c r="AF268" i="80"/>
  <c r="EW270" i="79"/>
  <c r="AW307" i="79"/>
  <c r="FC483" i="79"/>
  <c r="EM483" i="79"/>
  <c r="EM484" i="79" s="1"/>
  <c r="EM465" i="79" s="1"/>
  <c r="EM191" i="79" s="1"/>
  <c r="DW483" i="79"/>
  <c r="CQ483" i="79"/>
  <c r="AU483" i="79"/>
  <c r="BS483" i="79"/>
  <c r="AV296" i="79"/>
  <c r="CS268" i="80"/>
  <c r="FD309" i="79"/>
  <c r="I125" i="70"/>
  <c r="F13" i="70"/>
  <c r="N176" i="79"/>
  <c r="EG296" i="79"/>
  <c r="FL194" i="79"/>
  <c r="FM309" i="79"/>
  <c r="AW296" i="79"/>
  <c r="Q296" i="79"/>
  <c r="E32" i="36"/>
  <c r="E35" i="36"/>
  <c r="V2" i="70"/>
  <c r="V3" i="70"/>
  <c r="L3" i="70"/>
  <c r="L2" i="70"/>
  <c r="Y2" i="70"/>
  <c r="Y3" i="70"/>
  <c r="I2" i="70"/>
  <c r="I3" i="70"/>
  <c r="FD214" i="79"/>
  <c r="AO307" i="79"/>
  <c r="E72" i="36"/>
  <c r="C77" i="36" s="1"/>
  <c r="Q2" i="70"/>
  <c r="Q3" i="70"/>
  <c r="R2" i="70"/>
  <c r="R3" i="70"/>
  <c r="EV253" i="80"/>
  <c r="Q241" i="79"/>
  <c r="DY214" i="79"/>
  <c r="BE214" i="79"/>
  <c r="O2" i="70"/>
  <c r="O3" i="70"/>
  <c r="K2" i="70"/>
  <c r="K3" i="70"/>
  <c r="T2" i="70"/>
  <c r="T3" i="70"/>
  <c r="FE307" i="80"/>
  <c r="FD307" i="80"/>
  <c r="EN307" i="80"/>
  <c r="EO307" i="80"/>
  <c r="DP307" i="80"/>
  <c r="DX307" i="80"/>
  <c r="DY307" i="80"/>
  <c r="DQ307" i="80"/>
  <c r="CJ307" i="80"/>
  <c r="CK307" i="80"/>
  <c r="BU307" i="80"/>
  <c r="BE307" i="80"/>
  <c r="AW307" i="80"/>
  <c r="Q307" i="80"/>
  <c r="Y307" i="80"/>
  <c r="P307" i="80"/>
  <c r="AG307" i="80"/>
  <c r="X307" i="80"/>
  <c r="EG307" i="80"/>
  <c r="DY268" i="80"/>
  <c r="BM268" i="80"/>
  <c r="CR268" i="80"/>
  <c r="CR253" i="80"/>
  <c r="BD268" i="80"/>
  <c r="AN253" i="80"/>
  <c r="FE232" i="79"/>
  <c r="FE309" i="79"/>
  <c r="DQ307" i="79"/>
  <c r="EV309" i="79"/>
  <c r="DX309" i="79"/>
  <c r="EV194" i="79"/>
  <c r="DI270" i="79"/>
  <c r="DH309" i="79"/>
  <c r="K124" i="76"/>
  <c r="BB474" i="79"/>
  <c r="BB476" i="79" s="1"/>
  <c r="BC476" i="79" s="1"/>
  <c r="BC480" i="79" s="1"/>
  <c r="BC487" i="79" s="1"/>
  <c r="K125" i="76"/>
  <c r="H124" i="70"/>
  <c r="AD474" i="80"/>
  <c r="AD476" i="80" s="1"/>
  <c r="AE476" i="80" s="1"/>
  <c r="AE480" i="80" s="1"/>
  <c r="H125" i="70"/>
  <c r="G125" i="70"/>
  <c r="I53" i="70"/>
  <c r="AT187" i="79"/>
  <c r="AU187" i="79" s="1"/>
  <c r="AN194" i="79"/>
  <c r="G53" i="70"/>
  <c r="V187" i="79"/>
  <c r="W187" i="79" s="1"/>
  <c r="F33" i="70"/>
  <c r="F124" i="76"/>
  <c r="N474" i="79"/>
  <c r="N476" i="79" s="1"/>
  <c r="O476" i="79" s="1"/>
  <c r="F125" i="76"/>
  <c r="S2" i="70"/>
  <c r="S3" i="70"/>
  <c r="AN307" i="80"/>
  <c r="CC268" i="80"/>
  <c r="EW309" i="79"/>
  <c r="EG309" i="79"/>
  <c r="DA309" i="79"/>
  <c r="CK309" i="79"/>
  <c r="CZ309" i="79"/>
  <c r="CJ309" i="79"/>
  <c r="AW309" i="79"/>
  <c r="FL309" i="79"/>
  <c r="AV309" i="79"/>
  <c r="AO309" i="79"/>
  <c r="BU309" i="79"/>
  <c r="AN309" i="79"/>
  <c r="BT309" i="79"/>
  <c r="AG309" i="79"/>
  <c r="AF309" i="79"/>
  <c r="X309" i="79"/>
  <c r="Q309" i="79"/>
  <c r="P309" i="79"/>
  <c r="Y309" i="79"/>
  <c r="DX214" i="79"/>
  <c r="DX194" i="79"/>
  <c r="L124" i="76"/>
  <c r="BJ474" i="79"/>
  <c r="BJ476" i="79"/>
  <c r="BK476" i="79" s="1"/>
  <c r="BK480" i="79" s="1"/>
  <c r="BK481" i="79" s="1"/>
  <c r="L125" i="76"/>
  <c r="EF309" i="79"/>
  <c r="BE309" i="79"/>
  <c r="BL309" i="79"/>
  <c r="FM253" i="80"/>
  <c r="EN253" i="80"/>
  <c r="EO253" i="80"/>
  <c r="DY253" i="80"/>
  <c r="DP253" i="80"/>
  <c r="DX253" i="80"/>
  <c r="CZ253" i="80"/>
  <c r="DH253" i="80"/>
  <c r="DA253" i="80"/>
  <c r="CK253" i="80"/>
  <c r="CJ253" i="80"/>
  <c r="BT253" i="80"/>
  <c r="BU253" i="80"/>
  <c r="CS253" i="80"/>
  <c r="AO253" i="80"/>
  <c r="Q253" i="80"/>
  <c r="P253" i="80"/>
  <c r="AG253" i="80"/>
  <c r="X2" i="70"/>
  <c r="X3" i="70"/>
  <c r="F2" i="70"/>
  <c r="F3" i="70"/>
  <c r="J61" i="80"/>
  <c r="J61" i="79"/>
  <c r="EW254" i="80"/>
  <c r="AW268" i="80"/>
  <c r="BD307" i="80"/>
  <c r="AO268" i="80"/>
  <c r="DI211" i="79"/>
  <c r="CC211" i="79"/>
  <c r="CZ194" i="79"/>
  <c r="CB194" i="79"/>
  <c r="CR194" i="79"/>
  <c r="BL194" i="79"/>
  <c r="BD194" i="79"/>
  <c r="AF194" i="79"/>
  <c r="X194" i="79"/>
  <c r="X253" i="80"/>
  <c r="FL182" i="79"/>
  <c r="FM182" i="79"/>
  <c r="AF253" i="80"/>
  <c r="DH307" i="79"/>
  <c r="EF307" i="79"/>
  <c r="DI307" i="79"/>
  <c r="BT307" i="79"/>
  <c r="BL307" i="79"/>
  <c r="BD307" i="79"/>
  <c r="BU307" i="79"/>
  <c r="BM307" i="79"/>
  <c r="BE307" i="79"/>
  <c r="EV307" i="79"/>
  <c r="CK307" i="79"/>
  <c r="CB307" i="79"/>
  <c r="CJ307" i="79"/>
  <c r="CC307" i="79"/>
  <c r="AG307" i="79"/>
  <c r="AN307" i="79"/>
  <c r="AF307" i="79"/>
  <c r="Y307" i="79"/>
  <c r="X307" i="79"/>
  <c r="AV307" i="79"/>
  <c r="DH194" i="79"/>
  <c r="DP307" i="79"/>
  <c r="EF194" i="79"/>
  <c r="EN194" i="79"/>
  <c r="DP309" i="79"/>
  <c r="BD309" i="79"/>
  <c r="P307" i="79"/>
  <c r="C56" i="36"/>
  <c r="J125" i="76"/>
  <c r="J2" i="70"/>
  <c r="J3" i="70"/>
  <c r="I60" i="80"/>
  <c r="H2" i="70"/>
  <c r="H3" i="70"/>
  <c r="FL253" i="80"/>
  <c r="U2" i="70"/>
  <c r="U3" i="70"/>
  <c r="N2" i="70"/>
  <c r="N3" i="70"/>
  <c r="H64" i="80"/>
  <c r="H64" i="79"/>
  <c r="DY181" i="80"/>
  <c r="G3" i="70"/>
  <c r="G2" i="70"/>
  <c r="W2" i="70"/>
  <c r="W3" i="70"/>
  <c r="P2" i="70"/>
  <c r="P3" i="70"/>
  <c r="M2" i="70"/>
  <c r="M3" i="70"/>
  <c r="DA214" i="80"/>
  <c r="BE214" i="80"/>
  <c r="FD268" i="80"/>
  <c r="FE268" i="80"/>
  <c r="EN268" i="80"/>
  <c r="EO268" i="80"/>
  <c r="DP268" i="80"/>
  <c r="DQ268" i="80"/>
  <c r="DA268" i="80"/>
  <c r="CZ268" i="80"/>
  <c r="CK268" i="80"/>
  <c r="BT268" i="80"/>
  <c r="BU268" i="80"/>
  <c r="Q268" i="80"/>
  <c r="CJ268" i="80"/>
  <c r="P268" i="80"/>
  <c r="EW253" i="80"/>
  <c r="DX181" i="80"/>
  <c r="DH268" i="80"/>
  <c r="DI307" i="80"/>
  <c r="CC307" i="80"/>
  <c r="AV268" i="80"/>
  <c r="AN268" i="80"/>
  <c r="AG268" i="80"/>
  <c r="CK270" i="79"/>
  <c r="AG270" i="79"/>
  <c r="BL270" i="79"/>
  <c r="AF270" i="79"/>
  <c r="CC270" i="79"/>
  <c r="X270" i="79"/>
  <c r="CJ194" i="79"/>
  <c r="DQ309" i="79"/>
  <c r="AV194" i="79"/>
  <c r="CR309" i="79"/>
  <c r="DH270" i="79"/>
  <c r="DI309" i="79"/>
  <c r="CQ481" i="79"/>
  <c r="CQ487" i="79"/>
  <c r="CQ488" i="79" s="1"/>
  <c r="J124" i="76"/>
  <c r="AT474" i="79"/>
  <c r="AT476" i="79" s="1"/>
  <c r="AU476" i="79" s="1"/>
  <c r="DO376" i="80"/>
  <c r="DG376" i="80"/>
  <c r="W376" i="80"/>
  <c r="CY376" i="80"/>
  <c r="CQ376" i="80"/>
  <c r="EM376" i="80"/>
  <c r="BK376" i="80"/>
  <c r="BC376" i="80"/>
  <c r="FK376" i="80"/>
  <c r="CA376" i="80"/>
  <c r="AU376" i="80"/>
  <c r="FC376" i="80"/>
  <c r="EU376" i="80"/>
  <c r="AM376" i="80"/>
  <c r="AE376" i="80"/>
  <c r="BS376" i="80"/>
  <c r="CI376" i="80"/>
  <c r="FK370" i="80"/>
  <c r="FC372" i="80"/>
  <c r="FK370" i="79"/>
  <c r="EE370" i="79"/>
  <c r="CY370" i="79"/>
  <c r="BS370" i="79"/>
  <c r="DW370" i="79"/>
  <c r="DO370" i="79"/>
  <c r="DG370" i="79"/>
  <c r="W370" i="79"/>
  <c r="FC370" i="79"/>
  <c r="EU370" i="79"/>
  <c r="EM370" i="79"/>
  <c r="BK370" i="79"/>
  <c r="BC370" i="79"/>
  <c r="AU370" i="79"/>
  <c r="AM370" i="79"/>
  <c r="CQ370" i="79"/>
  <c r="AE370" i="79"/>
  <c r="CI370" i="79"/>
  <c r="CA370" i="79"/>
  <c r="FC373" i="80"/>
  <c r="EU373" i="80"/>
  <c r="CY373" i="80"/>
  <c r="CQ373" i="80"/>
  <c r="AM373" i="80"/>
  <c r="AE373" i="80"/>
  <c r="EU376" i="79"/>
  <c r="DO376" i="79"/>
  <c r="CI376" i="79"/>
  <c r="BC376" i="79"/>
  <c r="DG376" i="79"/>
  <c r="EM376" i="79"/>
  <c r="EE376" i="79"/>
  <c r="DW376" i="79"/>
  <c r="AM376" i="79"/>
  <c r="FK376" i="79"/>
  <c r="FC376" i="79"/>
  <c r="AU376" i="79"/>
  <c r="AE376" i="79"/>
  <c r="CA376" i="79"/>
  <c r="BS376" i="79"/>
  <c r="BK376" i="79"/>
  <c r="W376" i="79"/>
  <c r="CY376" i="79"/>
  <c r="CQ376" i="79"/>
  <c r="DO372" i="79"/>
  <c r="FK372" i="79"/>
  <c r="AU372" i="79"/>
  <c r="DG372" i="79"/>
  <c r="CQ372" i="79"/>
  <c r="DO487" i="79"/>
  <c r="DO488" i="79" s="1"/>
  <c r="EU489" i="80"/>
  <c r="EM487" i="79"/>
  <c r="EM488" i="79" s="1"/>
  <c r="CA489" i="80"/>
  <c r="CA466" i="80" s="1"/>
  <c r="CA301" i="80" s="1"/>
  <c r="CY481" i="79"/>
  <c r="BC487" i="80"/>
  <c r="CA481" i="80"/>
  <c r="FC487" i="80"/>
  <c r="FC488" i="80" s="1"/>
  <c r="FC489" i="80" s="1"/>
  <c r="FC466" i="80" s="1"/>
  <c r="FC301" i="80" s="1"/>
  <c r="CY489" i="80"/>
  <c r="CY466" i="80" s="1"/>
  <c r="CY301" i="80" s="1"/>
  <c r="CY481" i="80"/>
  <c r="EM489" i="80"/>
  <c r="EM481" i="80"/>
  <c r="BS487" i="80"/>
  <c r="BS488" i="80" s="1"/>
  <c r="BS489" i="80" s="1"/>
  <c r="BS466" i="80" s="1"/>
  <c r="BS301" i="80" s="1"/>
  <c r="BS302" i="80" s="1"/>
  <c r="EU481" i="80"/>
  <c r="DO487" i="80"/>
  <c r="DO488" i="80" s="1"/>
  <c r="DO489" i="80" s="1"/>
  <c r="DO466" i="80" s="1"/>
  <c r="DO301" i="80" s="1"/>
  <c r="W3" i="80"/>
  <c r="AL187" i="80"/>
  <c r="AM187" i="80" s="1"/>
  <c r="BS3" i="80"/>
  <c r="V187" i="80"/>
  <c r="W187" i="80"/>
  <c r="AM3" i="80"/>
  <c r="EM3" i="80"/>
  <c r="DW3" i="80"/>
  <c r="FC3" i="80"/>
  <c r="BC3" i="80"/>
  <c r="DG3" i="80"/>
  <c r="N176" i="80"/>
  <c r="O176" i="80"/>
  <c r="O3" i="80"/>
  <c r="AD176" i="80"/>
  <c r="DO3" i="80"/>
  <c r="V176" i="80"/>
  <c r="CQ3" i="80"/>
  <c r="CA3" i="80"/>
  <c r="AE3" i="80"/>
  <c r="CI3" i="80"/>
  <c r="FK3" i="80"/>
  <c r="CY3" i="80"/>
  <c r="AL180" i="80"/>
  <c r="AU3" i="80"/>
  <c r="EU3" i="80"/>
  <c r="EE3" i="80"/>
  <c r="BK3" i="80"/>
  <c r="DW487" i="80"/>
  <c r="DW488" i="80" s="1"/>
  <c r="DW489" i="80" s="1"/>
  <c r="DW466" i="80" s="1"/>
  <c r="DW301" i="80" s="1"/>
  <c r="DW481" i="80"/>
  <c r="O370" i="79"/>
  <c r="O376" i="79"/>
  <c r="O376" i="80"/>
  <c r="E64" i="36"/>
  <c r="C76" i="36"/>
  <c r="E11" i="36"/>
  <c r="F41" i="36"/>
  <c r="H41" i="36"/>
  <c r="G41" i="36"/>
  <c r="E41" i="36"/>
  <c r="F125" i="70"/>
  <c r="F124" i="70"/>
  <c r="N474" i="80"/>
  <c r="N476" i="80" s="1"/>
  <c r="O476" i="80" s="1"/>
  <c r="O480" i="80" s="1"/>
  <c r="O487" i="80" s="1"/>
  <c r="E56" i="36"/>
  <c r="C75" i="36" s="1"/>
  <c r="AE481" i="80"/>
  <c r="AE487" i="80"/>
  <c r="BC481" i="79"/>
  <c r="O481" i="80"/>
  <c r="J65" i="85"/>
  <c r="L31" i="90" s="1"/>
  <c r="J47" i="80"/>
  <c r="J392" i="80" s="1"/>
  <c r="J17" i="79"/>
  <c r="J411" i="79" s="1"/>
  <c r="H47" i="79"/>
  <c r="H392" i="79" s="1"/>
  <c r="B6" i="69"/>
  <c r="B7" i="69" s="1"/>
  <c r="F118" i="36"/>
  <c r="E118" i="36"/>
  <c r="E124" i="36"/>
  <c r="H124" i="36"/>
  <c r="G124" i="36"/>
  <c r="E13" i="36"/>
  <c r="F124" i="36"/>
  <c r="H115" i="80"/>
  <c r="J115" i="79"/>
  <c r="J107" i="80"/>
  <c r="E44" i="35"/>
  <c r="I151" i="79"/>
  <c r="I146" i="79"/>
  <c r="J99" i="79"/>
  <c r="H24" i="85"/>
  <c r="J7" i="90" s="1"/>
  <c r="H69" i="79"/>
  <c r="G38" i="92"/>
  <c r="H69" i="80"/>
  <c r="H24" i="79"/>
  <c r="H38" i="92"/>
  <c r="I67" i="80"/>
  <c r="J115" i="80"/>
  <c r="I67" i="79"/>
  <c r="J99" i="80"/>
  <c r="I422" i="92"/>
  <c r="H467" i="92"/>
  <c r="H484" i="92"/>
  <c r="I493" i="92"/>
  <c r="I511" i="92"/>
  <c r="G422" i="92"/>
  <c r="G493" i="92"/>
  <c r="G511" i="92"/>
  <c r="G527" i="92"/>
  <c r="I621" i="92"/>
  <c r="G546" i="92"/>
  <c r="I617" i="92"/>
  <c r="H629" i="92"/>
  <c r="H611" i="92"/>
  <c r="G567" i="92"/>
  <c r="I584" i="92"/>
  <c r="G604" i="92"/>
  <c r="G638" i="92"/>
  <c r="H554" i="92"/>
  <c r="I663" i="92"/>
  <c r="H674" i="92"/>
  <c r="H785" i="92"/>
  <c r="I692" i="92"/>
  <c r="G705" i="92"/>
  <c r="I656" i="92"/>
  <c r="I674" i="92"/>
  <c r="H748" i="92"/>
  <c r="G795" i="92"/>
  <c r="G41" i="91"/>
  <c r="E54" i="82"/>
  <c r="H16" i="85"/>
  <c r="J2" i="90" s="1"/>
  <c r="H16" i="79"/>
  <c r="H410" i="79" s="1"/>
  <c r="H16" i="80"/>
  <c r="H410" i="80" s="1"/>
  <c r="E54" i="35"/>
  <c r="H139" i="85"/>
  <c r="J79" i="90" s="1"/>
  <c r="H139" i="80"/>
  <c r="H139" i="79"/>
  <c r="I92" i="79"/>
  <c r="I92" i="85"/>
  <c r="K47" i="90" s="1"/>
  <c r="H178" i="80"/>
  <c r="FL178" i="80" s="1"/>
  <c r="H107" i="79"/>
  <c r="I92" i="80"/>
  <c r="H145" i="85"/>
  <c r="J83" i="90" s="1"/>
  <c r="J155" i="79"/>
  <c r="J155" i="85"/>
  <c r="L93" i="90" s="1"/>
  <c r="J22" i="85"/>
  <c r="L5" i="90" s="1"/>
  <c r="I126" i="80"/>
  <c r="I126" i="85"/>
  <c r="K72" i="90" s="1"/>
  <c r="G42" i="35"/>
  <c r="J29" i="85"/>
  <c r="L9" i="90" s="1"/>
  <c r="I303" i="93"/>
  <c r="G303" i="93"/>
  <c r="G87" i="92"/>
  <c r="G119" i="92"/>
  <c r="H389" i="92"/>
  <c r="G273" i="92"/>
  <c r="H361" i="92"/>
  <c r="H450" i="92"/>
  <c r="I358" i="92"/>
  <c r="H422" i="92"/>
  <c r="G358" i="92"/>
  <c r="I450" i="92"/>
  <c r="I440" i="92"/>
  <c r="H458" i="92"/>
  <c r="I575" i="92"/>
  <c r="G596" i="92"/>
  <c r="H596" i="92"/>
  <c r="J109" i="80"/>
  <c r="J109" i="85"/>
  <c r="L58" i="90" s="1"/>
  <c r="I22" i="79"/>
  <c r="I22" i="85"/>
  <c r="K5" i="90" s="1"/>
  <c r="J109" i="79"/>
  <c r="I141" i="85"/>
  <c r="K81" i="90" s="1"/>
  <c r="J114" i="80"/>
  <c r="J114" i="85"/>
  <c r="L63" i="90" s="1"/>
  <c r="I132" i="79"/>
  <c r="I132" i="85"/>
  <c r="K78" i="90" s="1"/>
  <c r="G395" i="91"/>
  <c r="I313" i="91"/>
  <c r="G151" i="92"/>
  <c r="H310" i="92"/>
  <c r="H267" i="92"/>
  <c r="I554" i="92"/>
  <c r="G611" i="92"/>
  <c r="H476" i="92"/>
  <c r="I537" i="92"/>
  <c r="G518" i="92"/>
  <c r="I527" i="92"/>
  <c r="G554" i="92"/>
  <c r="G450" i="92"/>
  <c r="H502" i="92"/>
  <c r="G663" i="92"/>
  <c r="H575" i="92"/>
  <c r="I104" i="85"/>
  <c r="K53" i="90" s="1"/>
  <c r="I104" i="80"/>
  <c r="H130" i="80"/>
  <c r="H130" i="85"/>
  <c r="J76" i="90" s="1"/>
  <c r="I141" i="80"/>
  <c r="I141" i="79"/>
  <c r="H22" i="85"/>
  <c r="J5" i="90" s="1"/>
  <c r="H22" i="80"/>
  <c r="H22" i="79"/>
  <c r="E42" i="82"/>
  <c r="I115" i="80"/>
  <c r="J108" i="79"/>
  <c r="J108" i="85"/>
  <c r="L57" i="90" s="1"/>
  <c r="I120" i="85"/>
  <c r="K66" i="90" s="1"/>
  <c r="G38" i="95"/>
  <c r="I59" i="95"/>
  <c r="I68" i="95" s="1"/>
  <c r="I275" i="91"/>
  <c r="I299" i="92"/>
  <c r="I278" i="92"/>
  <c r="I252" i="92"/>
  <c r="G278" i="92"/>
  <c r="I432" i="92"/>
  <c r="J154" i="85"/>
  <c r="L92" i="90" s="1"/>
  <c r="J154" i="80"/>
  <c r="J154" i="79"/>
  <c r="I68" i="85"/>
  <c r="K34" i="90" s="1"/>
  <c r="I68" i="80"/>
  <c r="I68" i="79"/>
  <c r="I23" i="79"/>
  <c r="I399" i="79" s="1"/>
  <c r="J97" i="85"/>
  <c r="L49" i="90" s="1"/>
  <c r="J97" i="79"/>
  <c r="H23" i="85"/>
  <c r="J6" i="90" s="1"/>
  <c r="H23" i="79"/>
  <c r="H399" i="79" s="1"/>
  <c r="E43" i="35"/>
  <c r="H23" i="80"/>
  <c r="H399" i="80" s="1"/>
  <c r="E43" i="82"/>
  <c r="H109" i="85"/>
  <c r="J58" i="90" s="1"/>
  <c r="H109" i="79"/>
  <c r="H109" i="80"/>
  <c r="G575" i="92"/>
  <c r="G629" i="92"/>
  <c r="G882" i="92" s="1"/>
  <c r="G884" i="92" s="1"/>
  <c r="I243" i="91"/>
  <c r="I286" i="92"/>
  <c r="I310" i="92"/>
  <c r="I518" i="92"/>
  <c r="H698" i="92"/>
  <c r="G712" i="92"/>
  <c r="G755" i="92"/>
  <c r="G144" i="94"/>
  <c r="G46" i="95"/>
  <c r="G263" i="91"/>
  <c r="H320" i="91"/>
  <c r="G259" i="92"/>
  <c r="G355" i="92"/>
  <c r="H592" i="92"/>
  <c r="H705" i="92"/>
  <c r="H663" i="92"/>
  <c r="H320" i="93"/>
  <c r="H263" i="91"/>
  <c r="I433" i="91"/>
  <c r="H685" i="92"/>
  <c r="G313" i="92"/>
  <c r="H355" i="92"/>
  <c r="I41" i="91"/>
  <c r="H298" i="91"/>
  <c r="H240" i="91"/>
  <c r="I320" i="91"/>
  <c r="I165" i="91"/>
  <c r="I298" i="91"/>
  <c r="H377" i="91"/>
  <c r="G348" i="92"/>
  <c r="I377" i="91"/>
  <c r="I404" i="91"/>
  <c r="G426" i="91"/>
  <c r="H299" i="92"/>
  <c r="H358" i="92"/>
  <c r="G361" i="92"/>
  <c r="I395" i="91"/>
  <c r="G407" i="91"/>
  <c r="G448" i="91"/>
  <c r="G252" i="92"/>
  <c r="H407" i="91"/>
  <c r="H448" i="91"/>
  <c r="H252" i="92"/>
  <c r="I281" i="92"/>
  <c r="G433" i="91"/>
  <c r="H404" i="91"/>
  <c r="G296" i="92"/>
  <c r="H527" i="92"/>
  <c r="I721" i="92"/>
  <c r="G327" i="93"/>
  <c r="G476" i="92"/>
  <c r="H511" i="92"/>
  <c r="I604" i="92"/>
  <c r="G617" i="92"/>
  <c r="I685" i="92"/>
  <c r="G698" i="92"/>
  <c r="H712" i="92"/>
  <c r="I755" i="92"/>
  <c r="H327" i="93"/>
  <c r="I120" i="94"/>
  <c r="G785" i="92"/>
  <c r="H113" i="94"/>
  <c r="G148" i="94"/>
  <c r="G58" i="95"/>
  <c r="G59" i="95"/>
  <c r="G584" i="92"/>
  <c r="G113" i="94"/>
  <c r="G120" i="94"/>
  <c r="H131" i="94"/>
  <c r="H41" i="95"/>
  <c r="H59" i="95" s="1"/>
  <c r="H68" i="95" s="1"/>
  <c r="O68" i="95" s="1"/>
  <c r="H432" i="92"/>
  <c r="H656" i="92"/>
  <c r="H120" i="94"/>
  <c r="H149" i="94" s="1"/>
  <c r="H161" i="94" s="1"/>
  <c r="I128" i="94"/>
  <c r="H296" i="92"/>
  <c r="H313" i="92"/>
  <c r="G467" i="92"/>
  <c r="G502" i="92"/>
  <c r="G592" i="92"/>
  <c r="I726" i="92"/>
  <c r="H777" i="92"/>
  <c r="I785" i="92"/>
  <c r="H638" i="92"/>
  <c r="G692" i="92"/>
  <c r="I748" i="92"/>
  <c r="I309" i="93"/>
  <c r="I131" i="94"/>
  <c r="I148" i="94"/>
  <c r="J90" i="85"/>
  <c r="L45" i="90" s="1"/>
  <c r="J90" i="80"/>
  <c r="I139" i="79"/>
  <c r="I139" i="85"/>
  <c r="K79" i="90" s="1"/>
  <c r="H104" i="85"/>
  <c r="J53" i="90" s="1"/>
  <c r="H104" i="80"/>
  <c r="J89" i="80"/>
  <c r="J89" i="85"/>
  <c r="L44" i="90" s="1"/>
  <c r="J89" i="79"/>
  <c r="H29" i="79"/>
  <c r="J113" i="85"/>
  <c r="L62" i="90" s="1"/>
  <c r="J113" i="80"/>
  <c r="G267" i="92"/>
  <c r="H264" i="92"/>
  <c r="G286" i="92"/>
  <c r="G310" i="92"/>
  <c r="I467" i="92"/>
  <c r="I458" i="92"/>
  <c r="H546" i="92"/>
  <c r="G721" i="92"/>
  <c r="H726" i="92"/>
  <c r="G537" i="92"/>
  <c r="H617" i="92"/>
  <c r="G656" i="92"/>
  <c r="I698" i="92"/>
  <c r="I777" i="92"/>
  <c r="H621" i="92"/>
  <c r="H286" i="92"/>
  <c r="I313" i="92"/>
  <c r="I144" i="94"/>
  <c r="H309" i="93"/>
  <c r="J146" i="80"/>
  <c r="J98" i="80"/>
  <c r="J98" i="85"/>
  <c r="L50" i="90" s="1"/>
  <c r="J98" i="79"/>
  <c r="J120" i="79"/>
  <c r="J120" i="80"/>
  <c r="H70" i="80"/>
  <c r="I120" i="80"/>
  <c r="H141" i="80"/>
  <c r="I273" i="92"/>
  <c r="I629" i="92"/>
  <c r="H141" i="85"/>
  <c r="J81" i="90" s="1"/>
  <c r="H141" i="79"/>
  <c r="J25" i="79"/>
  <c r="J401" i="79" s="1"/>
  <c r="G45" i="82"/>
  <c r="J25" i="85"/>
  <c r="L8" i="90" s="1"/>
  <c r="J25" i="80"/>
  <c r="J401" i="80" s="1"/>
  <c r="G45" i="35"/>
  <c r="J130" i="80"/>
  <c r="J130" i="85"/>
  <c r="L76" i="90" s="1"/>
  <c r="G39" i="101"/>
  <c r="G1008" i="101" s="1"/>
  <c r="G289" i="92"/>
  <c r="H440" i="92"/>
  <c r="G726" i="92"/>
  <c r="I327" i="93"/>
  <c r="I341" i="93" s="1"/>
  <c r="H795" i="92"/>
  <c r="G555" i="96"/>
  <c r="H555" i="96"/>
  <c r="H39" i="100"/>
  <c r="H212" i="100" s="1"/>
  <c r="G575" i="96"/>
  <c r="G582" i="96" s="1"/>
  <c r="G74" i="98"/>
  <c r="G77" i="98" s="1"/>
  <c r="P91" i="98" s="1"/>
  <c r="G39" i="100"/>
  <c r="G212" i="100" s="1"/>
  <c r="H155" i="85"/>
  <c r="J93" i="90" s="1"/>
  <c r="H155" i="80"/>
  <c r="H155" i="79"/>
  <c r="H107" i="85"/>
  <c r="J56" i="90" s="1"/>
  <c r="H107" i="80"/>
  <c r="I91" i="85"/>
  <c r="K46" i="90" s="1"/>
  <c r="I91" i="79"/>
  <c r="I91" i="80"/>
  <c r="I16" i="79"/>
  <c r="I410" i="79" s="1"/>
  <c r="F54" i="35"/>
  <c r="F54" i="82"/>
  <c r="H150" i="85"/>
  <c r="J88" i="90" s="1"/>
  <c r="I25" i="85"/>
  <c r="K8" i="90" s="1"/>
  <c r="I25" i="80"/>
  <c r="F45" i="35"/>
  <c r="I25" i="79"/>
  <c r="F45" i="82"/>
  <c r="H24" i="80"/>
  <c r="E44" i="82"/>
  <c r="I125" i="85"/>
  <c r="K71" i="90" s="1"/>
  <c r="I125" i="80"/>
  <c r="I125" i="79"/>
  <c r="I98" i="85"/>
  <c r="K50" i="90" s="1"/>
  <c r="I98" i="79"/>
  <c r="J106" i="85"/>
  <c r="L55" i="90" s="1"/>
  <c r="J106" i="80"/>
  <c r="J106" i="79"/>
  <c r="I258" i="91"/>
  <c r="H281" i="92"/>
  <c r="H259" i="92"/>
  <c r="H565" i="96"/>
  <c r="J104" i="85"/>
  <c r="L53" i="90" s="1"/>
  <c r="J104" i="80"/>
  <c r="J104" i="79"/>
  <c r="J107" i="85"/>
  <c r="L56" i="90" s="1"/>
  <c r="J107" i="79"/>
  <c r="I106" i="85"/>
  <c r="K55" i="90" s="1"/>
  <c r="I106" i="79"/>
  <c r="I139" i="80"/>
  <c r="H121" i="85"/>
  <c r="J67" i="90" s="1"/>
  <c r="H121" i="79"/>
  <c r="I115" i="85"/>
  <c r="K64" i="90" s="1"/>
  <c r="I115" i="79"/>
  <c r="H146" i="79"/>
  <c r="H146" i="80"/>
  <c r="I47" i="92"/>
  <c r="I407" i="91"/>
  <c r="G264" i="92"/>
  <c r="H270" i="92"/>
  <c r="G281" i="92"/>
  <c r="G432" i="92"/>
  <c r="I555" i="96"/>
  <c r="I113" i="94"/>
  <c r="I440" i="102"/>
  <c r="I455" i="102" s="1"/>
  <c r="H43" i="97"/>
  <c r="H44" i="97"/>
  <c r="H90" i="79"/>
  <c r="H90" i="80"/>
  <c r="H90" i="85"/>
  <c r="J45" i="90" s="1"/>
  <c r="J141" i="80"/>
  <c r="J141" i="79"/>
  <c r="J141" i="85"/>
  <c r="L81" i="90" s="1"/>
  <c r="J147" i="85"/>
  <c r="L85" i="90" s="1"/>
  <c r="J147" i="79"/>
  <c r="J147" i="80"/>
  <c r="J124" i="80"/>
  <c r="J124" i="79"/>
  <c r="J112" i="79"/>
  <c r="J112" i="80"/>
  <c r="J112" i="85"/>
  <c r="L61" i="90" s="1"/>
  <c r="I153" i="79"/>
  <c r="I153" i="85"/>
  <c r="K91" i="90" s="1"/>
  <c r="I153" i="80"/>
  <c r="I29" i="80"/>
  <c r="F47" i="35"/>
  <c r="F62" i="35" s="1"/>
  <c r="H108" i="80"/>
  <c r="H108" i="79"/>
  <c r="H108" i="85"/>
  <c r="J57" i="90" s="1"/>
  <c r="H154" i="80"/>
  <c r="I98" i="80"/>
  <c r="J103" i="80"/>
  <c r="J103" i="85"/>
  <c r="L52" i="90" s="1"/>
  <c r="J103" i="79"/>
  <c r="J22" i="79"/>
  <c r="J398" i="79" s="1"/>
  <c r="J22" i="80"/>
  <c r="J398" i="80" s="1"/>
  <c r="H44" i="104"/>
  <c r="G41" i="104"/>
  <c r="G44" i="104"/>
  <c r="G777" i="92"/>
  <c r="I163" i="99"/>
  <c r="H440" i="102"/>
  <c r="H455" i="102" s="1"/>
  <c r="G440" i="102"/>
  <c r="G455" i="102" s="1"/>
  <c r="I151" i="85"/>
  <c r="K89" i="90" s="1"/>
  <c r="H97" i="85"/>
  <c r="J49" i="90" s="1"/>
  <c r="H97" i="80"/>
  <c r="I147" i="85"/>
  <c r="K85" i="90" s="1"/>
  <c r="I147" i="80"/>
  <c r="I147" i="79"/>
  <c r="H264" i="105"/>
  <c r="G42" i="105"/>
  <c r="G264" i="105" s="1"/>
  <c r="I264" i="105"/>
  <c r="I348" i="92"/>
  <c r="G685" i="92"/>
  <c r="I44" i="104"/>
  <c r="I112" i="79"/>
  <c r="I112" i="80"/>
  <c r="I112" i="85"/>
  <c r="K61" i="90" s="1"/>
  <c r="H113" i="85"/>
  <c r="J62" i="90" s="1"/>
  <c r="J24" i="79"/>
  <c r="J400" i="79" s="1"/>
  <c r="H151" i="79"/>
  <c r="H151" i="85"/>
  <c r="J89" i="90" s="1"/>
  <c r="H151" i="80"/>
  <c r="J153" i="80"/>
  <c r="J153" i="85"/>
  <c r="L91" i="90" s="1"/>
  <c r="J153" i="79"/>
  <c r="I69" i="85"/>
  <c r="K35" i="90" s="1"/>
  <c r="I69" i="79"/>
  <c r="I69" i="80"/>
  <c r="J33" i="79"/>
  <c r="J419" i="79" s="1"/>
  <c r="G48" i="35"/>
  <c r="J33" i="80"/>
  <c r="J404" i="80" s="1"/>
  <c r="J142" i="80"/>
  <c r="J142" i="85"/>
  <c r="L82" i="90" s="1"/>
  <c r="I107" i="85"/>
  <c r="K56" i="90" s="1"/>
  <c r="I107" i="79"/>
  <c r="H147" i="80"/>
  <c r="H147" i="79"/>
  <c r="H147" i="85"/>
  <c r="J85" i="90" s="1"/>
  <c r="I114" i="85"/>
  <c r="K63" i="90" s="1"/>
  <c r="I154" i="85"/>
  <c r="K92" i="90" s="1"/>
  <c r="I154" i="79"/>
  <c r="F42" i="82"/>
  <c r="I22" i="80"/>
  <c r="I44" i="106"/>
  <c r="G44" i="106"/>
  <c r="G59" i="92"/>
  <c r="H123" i="92"/>
  <c r="I240" i="91"/>
  <c r="H243" i="91"/>
  <c r="H348" i="92"/>
  <c r="I355" i="92"/>
  <c r="G163" i="99"/>
  <c r="I133" i="103"/>
  <c r="N68" i="95"/>
  <c r="P68" i="95"/>
  <c r="G149" i="94"/>
  <c r="F343" i="93"/>
  <c r="F344" i="93" s="1"/>
  <c r="I328" i="93"/>
  <c r="G328" i="93"/>
  <c r="H328" i="93"/>
  <c r="G798" i="92"/>
  <c r="G799" i="92" s="1"/>
  <c r="F798" i="92"/>
  <c r="H798" i="92"/>
  <c r="I798" i="92"/>
  <c r="F179" i="99"/>
  <c r="I179" i="99"/>
  <c r="G179" i="99"/>
  <c r="H179" i="99"/>
  <c r="H180" i="85" l="1"/>
  <c r="J99" i="90" s="1"/>
  <c r="AM29" i="80"/>
  <c r="AM30" i="80" s="1"/>
  <c r="AM403" i="80" s="1"/>
  <c r="AM418" i="80" s="1"/>
  <c r="J277" i="85"/>
  <c r="L157" i="90" s="1"/>
  <c r="CQ29" i="80"/>
  <c r="CQ30" i="80" s="1"/>
  <c r="CQ403" i="80" s="1"/>
  <c r="G30" i="80"/>
  <c r="G403" i="80" s="1"/>
  <c r="G424" i="80" s="1"/>
  <c r="CA29" i="80"/>
  <c r="CA30" i="80" s="1"/>
  <c r="CA403" i="80" s="1"/>
  <c r="CA418" i="80" s="1"/>
  <c r="H254" i="79"/>
  <c r="H254" i="80"/>
  <c r="EN279" i="80"/>
  <c r="I205" i="79"/>
  <c r="CC205" i="79" s="1"/>
  <c r="I178" i="80"/>
  <c r="FE178" i="80" s="1"/>
  <c r="I205" i="80"/>
  <c r="J227" i="80"/>
  <c r="H194" i="85"/>
  <c r="J110" i="90" s="1"/>
  <c r="BC67" i="79"/>
  <c r="BE67" i="79" s="1"/>
  <c r="EV279" i="80"/>
  <c r="EF279" i="80"/>
  <c r="DO90" i="79"/>
  <c r="CI29" i="80"/>
  <c r="CI30" i="80" s="1"/>
  <c r="CI403" i="80" s="1"/>
  <c r="DO29" i="80"/>
  <c r="EU29" i="80"/>
  <c r="EU30" i="80" s="1"/>
  <c r="EM29" i="80"/>
  <c r="EO29" i="80" s="1"/>
  <c r="EO30" i="80" s="1"/>
  <c r="EO403" i="80" s="1"/>
  <c r="DW29" i="80"/>
  <c r="DW30" i="80" s="1"/>
  <c r="DW403" i="80" s="1"/>
  <c r="DW424" i="80" s="1"/>
  <c r="CY29" i="80"/>
  <c r="CY30" i="80" s="1"/>
  <c r="CY403" i="80" s="1"/>
  <c r="CY418" i="80" s="1"/>
  <c r="BS29" i="80"/>
  <c r="BS30" i="80" s="1"/>
  <c r="FK113" i="79"/>
  <c r="AM67" i="79"/>
  <c r="AN67" i="79" s="1"/>
  <c r="CI90" i="79"/>
  <c r="Y279" i="80"/>
  <c r="CA67" i="79"/>
  <c r="CC67" i="79" s="1"/>
  <c r="EU87" i="79"/>
  <c r="BM279" i="80"/>
  <c r="CC279" i="80"/>
  <c r="O29" i="80"/>
  <c r="O30" i="80" s="1"/>
  <c r="O403" i="80" s="1"/>
  <c r="FE279" i="80"/>
  <c r="EE29" i="80"/>
  <c r="EE30" i="80" s="1"/>
  <c r="EE403" i="80" s="1"/>
  <c r="BK29" i="80"/>
  <c r="FC29" i="80"/>
  <c r="FD29" i="80" s="1"/>
  <c r="BU279" i="80"/>
  <c r="CA70" i="79"/>
  <c r="CC70" i="79" s="1"/>
  <c r="O70" i="79"/>
  <c r="P70" i="79" s="1"/>
  <c r="CQ70" i="79"/>
  <c r="CR70" i="79" s="1"/>
  <c r="EE123" i="80"/>
  <c r="CB306" i="79"/>
  <c r="FK64" i="79"/>
  <c r="FM64" i="79" s="1"/>
  <c r="BS70" i="79"/>
  <c r="FK90" i="79"/>
  <c r="FC64" i="79"/>
  <c r="FD64" i="79" s="1"/>
  <c r="CY70" i="79"/>
  <c r="DA70" i="79" s="1"/>
  <c r="I250" i="79"/>
  <c r="BS64" i="79"/>
  <c r="BT64" i="79" s="1"/>
  <c r="EM90" i="79"/>
  <c r="FC70" i="79"/>
  <c r="CI70" i="79"/>
  <c r="CJ70" i="79" s="1"/>
  <c r="BK67" i="79"/>
  <c r="BM67" i="79" s="1"/>
  <c r="AE67" i="79"/>
  <c r="AF67" i="79" s="1"/>
  <c r="W70" i="79"/>
  <c r="Y70" i="79" s="1"/>
  <c r="BM244" i="80"/>
  <c r="CC244" i="80"/>
  <c r="Q44" i="35"/>
  <c r="DG107" i="80"/>
  <c r="DI107" i="80" s="1"/>
  <c r="AG244" i="80"/>
  <c r="CY120" i="79"/>
  <c r="DA120" i="79" s="1"/>
  <c r="AU90" i="79"/>
  <c r="FC67" i="79"/>
  <c r="FE67" i="79" s="1"/>
  <c r="CQ131" i="80"/>
  <c r="J280" i="85"/>
  <c r="L160" i="90" s="1"/>
  <c r="J180" i="85"/>
  <c r="L99" i="90" s="1"/>
  <c r="CY25" i="79"/>
  <c r="CY401" i="79" s="1"/>
  <c r="BK24" i="80"/>
  <c r="BK400" i="80" s="1"/>
  <c r="BS24" i="80"/>
  <c r="BS400" i="80" s="1"/>
  <c r="FE277" i="80"/>
  <c r="H229" i="85"/>
  <c r="J130" i="90" s="1"/>
  <c r="H229" i="79"/>
  <c r="DH229" i="79" s="1"/>
  <c r="P306" i="79"/>
  <c r="DG24" i="80"/>
  <c r="DG400" i="80" s="1"/>
  <c r="H194" i="80"/>
  <c r="BL194" i="80" s="1"/>
  <c r="W24" i="80"/>
  <c r="W400" i="80" s="1"/>
  <c r="AF227" i="80"/>
  <c r="EF227" i="80"/>
  <c r="X227" i="80"/>
  <c r="BT227" i="80"/>
  <c r="BD227" i="80"/>
  <c r="BL227" i="80"/>
  <c r="DH227" i="80"/>
  <c r="FD227" i="80"/>
  <c r="EV227" i="80"/>
  <c r="CB227" i="80"/>
  <c r="EN227" i="80"/>
  <c r="CJ227" i="80"/>
  <c r="AN227" i="80"/>
  <c r="CZ227" i="80"/>
  <c r="P227" i="80"/>
  <c r="AV227" i="80"/>
  <c r="CR306" i="79"/>
  <c r="EG277" i="80"/>
  <c r="EE67" i="79"/>
  <c r="EF67" i="79" s="1"/>
  <c r="DG29" i="80"/>
  <c r="DG30" i="80" s="1"/>
  <c r="EG106" i="79"/>
  <c r="BT306" i="79"/>
  <c r="CJ306" i="79"/>
  <c r="DO67" i="79"/>
  <c r="DQ67" i="79" s="1"/>
  <c r="J279" i="80"/>
  <c r="CZ306" i="79"/>
  <c r="FL306" i="79"/>
  <c r="DG67" i="79"/>
  <c r="DH67" i="79" s="1"/>
  <c r="DG25" i="79"/>
  <c r="DG401" i="79" s="1"/>
  <c r="W29" i="80"/>
  <c r="W30" i="80" s="1"/>
  <c r="W403" i="80" s="1"/>
  <c r="W418" i="80" s="1"/>
  <c r="BC29" i="80"/>
  <c r="BC30" i="80" s="1"/>
  <c r="BC403" i="80" s="1"/>
  <c r="AW277" i="80"/>
  <c r="DO25" i="79"/>
  <c r="DO401" i="79" s="1"/>
  <c r="CA90" i="79"/>
  <c r="BK25" i="79"/>
  <c r="BK401" i="79" s="1"/>
  <c r="DH306" i="79"/>
  <c r="DX306" i="79"/>
  <c r="AU29" i="80"/>
  <c r="AU30" i="80" s="1"/>
  <c r="AU403" i="80" s="1"/>
  <c r="AU418" i="80" s="1"/>
  <c r="J309" i="79"/>
  <c r="BC90" i="79"/>
  <c r="BL306" i="79"/>
  <c r="EN306" i="79"/>
  <c r="DY277" i="80"/>
  <c r="CY90" i="79"/>
  <c r="CZ90" i="79" s="1"/>
  <c r="BC25" i="79"/>
  <c r="BC401" i="79" s="1"/>
  <c r="FC113" i="79"/>
  <c r="BS67" i="79"/>
  <c r="BU67" i="79" s="1"/>
  <c r="AE29" i="80"/>
  <c r="AE30" i="80" s="1"/>
  <c r="AE403" i="80" s="1"/>
  <c r="AE424" i="80" s="1"/>
  <c r="P279" i="80"/>
  <c r="AV306" i="79"/>
  <c r="I250" i="85"/>
  <c r="K144" i="90" s="1"/>
  <c r="AF306" i="79"/>
  <c r="FM277" i="80"/>
  <c r="FE250" i="80"/>
  <c r="BM277" i="80"/>
  <c r="FC25" i="79"/>
  <c r="FC401" i="79" s="1"/>
  <c r="K44" i="7"/>
  <c r="FC231" i="79"/>
  <c r="CK244" i="80"/>
  <c r="I149" i="94"/>
  <c r="CB253" i="80"/>
  <c r="DP211" i="79"/>
  <c r="DR211" i="79" s="1"/>
  <c r="W232" i="80"/>
  <c r="DQ181" i="79"/>
  <c r="DR181" i="79" s="1"/>
  <c r="EM291" i="79"/>
  <c r="FK291" i="79"/>
  <c r="CA291" i="79"/>
  <c r="FM244" i="80"/>
  <c r="DI279" i="80"/>
  <c r="DQ244" i="80"/>
  <c r="CJ180" i="80"/>
  <c r="CL180" i="80" s="1"/>
  <c r="EW244" i="80"/>
  <c r="CY206" i="79"/>
  <c r="O29" i="79"/>
  <c r="O30" i="79" s="1"/>
  <c r="O403" i="79" s="1"/>
  <c r="O424" i="79" s="1"/>
  <c r="AU254" i="80"/>
  <c r="CI176" i="80"/>
  <c r="BE244" i="80"/>
  <c r="EO244" i="80"/>
  <c r="DW176" i="80"/>
  <c r="DO195" i="80"/>
  <c r="AE219" i="80"/>
  <c r="AM220" i="79"/>
  <c r="DW201" i="79"/>
  <c r="AM180" i="80"/>
  <c r="AN180" i="80" s="1"/>
  <c r="W176" i="80"/>
  <c r="EF211" i="79"/>
  <c r="EH211" i="79" s="1"/>
  <c r="CR254" i="80"/>
  <c r="CT254" i="80" s="1"/>
  <c r="BE279" i="80"/>
  <c r="AW279" i="80"/>
  <c r="EG244" i="80"/>
  <c r="CC232" i="80"/>
  <c r="CD232" i="80" s="1"/>
  <c r="CI193" i="79"/>
  <c r="FC213" i="79"/>
  <c r="AM254" i="80"/>
  <c r="EE176" i="80"/>
  <c r="DW180" i="80"/>
  <c r="CY195" i="80"/>
  <c r="DW219" i="80"/>
  <c r="BK189" i="79"/>
  <c r="EU195" i="80"/>
  <c r="BC219" i="80"/>
  <c r="W199" i="79"/>
  <c r="AE199" i="79"/>
  <c r="BC199" i="79"/>
  <c r="DO201" i="79"/>
  <c r="EU199" i="79"/>
  <c r="FL214" i="79"/>
  <c r="FN214" i="79" s="1"/>
  <c r="BU244" i="80"/>
  <c r="DA279" i="80"/>
  <c r="DB279" i="80" s="1"/>
  <c r="AO279" i="80"/>
  <c r="FC193" i="79"/>
  <c r="DG213" i="79"/>
  <c r="DW244" i="79"/>
  <c r="DX244" i="79" s="1"/>
  <c r="DI244" i="80"/>
  <c r="CQ180" i="80"/>
  <c r="CA176" i="80"/>
  <c r="CA229" i="80"/>
  <c r="FK219" i="80"/>
  <c r="BC226" i="79"/>
  <c r="CQ195" i="80"/>
  <c r="BS254" i="80"/>
  <c r="BU254" i="80" s="1"/>
  <c r="CQ199" i="79"/>
  <c r="DW199" i="79"/>
  <c r="CC180" i="80"/>
  <c r="CD180" i="80" s="1"/>
  <c r="FE244" i="80"/>
  <c r="AG279" i="80"/>
  <c r="CK279" i="80"/>
  <c r="AM29" i="79"/>
  <c r="AM30" i="79" s="1"/>
  <c r="AM418" i="79" s="1"/>
  <c r="FK199" i="79"/>
  <c r="EO279" i="80"/>
  <c r="FC180" i="80"/>
  <c r="CY180" i="80"/>
  <c r="EE180" i="80"/>
  <c r="EG180" i="80" s="1"/>
  <c r="AU219" i="80"/>
  <c r="DG195" i="80"/>
  <c r="AU201" i="79"/>
  <c r="DO199" i="79"/>
  <c r="DO202" i="79" s="1"/>
  <c r="EE199" i="79"/>
  <c r="AE176" i="80"/>
  <c r="DA254" i="80"/>
  <c r="AW244" i="80"/>
  <c r="EW279" i="80"/>
  <c r="CS279" i="80"/>
  <c r="O180" i="80"/>
  <c r="P180" i="80" s="1"/>
  <c r="DX232" i="80"/>
  <c r="DZ232" i="80" s="1"/>
  <c r="BC176" i="80"/>
  <c r="CQ176" i="80"/>
  <c r="CA195" i="80"/>
  <c r="O195" i="80"/>
  <c r="EM219" i="80"/>
  <c r="DG189" i="79"/>
  <c r="O189" i="79"/>
  <c r="CY199" i="79"/>
  <c r="FC201" i="79"/>
  <c r="FC202" i="79" s="1"/>
  <c r="AM199" i="79"/>
  <c r="FM279" i="80"/>
  <c r="Y244" i="80"/>
  <c r="EG279" i="80"/>
  <c r="FK201" i="79"/>
  <c r="FK244" i="79"/>
  <c r="O231" i="79"/>
  <c r="Q244" i="80"/>
  <c r="C19" i="32"/>
  <c r="EU219" i="80"/>
  <c r="AM201" i="79"/>
  <c r="BE254" i="79"/>
  <c r="BF254" i="79" s="1"/>
  <c r="BK180" i="79"/>
  <c r="BL180" i="79" s="1"/>
  <c r="FK206" i="79"/>
  <c r="AU193" i="79"/>
  <c r="EE193" i="79"/>
  <c r="W206" i="79"/>
  <c r="CI206" i="79"/>
  <c r="CI213" i="79"/>
  <c r="EU213" i="79"/>
  <c r="EU244" i="79"/>
  <c r="FC192" i="80"/>
  <c r="W220" i="79"/>
  <c r="BS177" i="79"/>
  <c r="Y214" i="80"/>
  <c r="BC180" i="79"/>
  <c r="BC193" i="79"/>
  <c r="DO193" i="79"/>
  <c r="O206" i="79"/>
  <c r="CA206" i="79"/>
  <c r="BS213" i="79"/>
  <c r="DW213" i="79"/>
  <c r="DG244" i="79"/>
  <c r="DO244" i="79"/>
  <c r="AM254" i="79"/>
  <c r="EE234" i="80"/>
  <c r="AE220" i="79"/>
  <c r="EU193" i="79"/>
  <c r="AE193" i="79"/>
  <c r="DG193" i="79"/>
  <c r="G207" i="80"/>
  <c r="BS206" i="79"/>
  <c r="BK213" i="79"/>
  <c r="DO213" i="79"/>
  <c r="DW193" i="79"/>
  <c r="BS244" i="79"/>
  <c r="DG254" i="79"/>
  <c r="W254" i="79"/>
  <c r="AE213" i="79"/>
  <c r="CJ232" i="80"/>
  <c r="CL232" i="80" s="1"/>
  <c r="CY193" i="79"/>
  <c r="W193" i="79"/>
  <c r="AE206" i="79"/>
  <c r="O213" i="79"/>
  <c r="CY213" i="79"/>
  <c r="CA193" i="79"/>
  <c r="O193" i="79"/>
  <c r="BK244" i="79"/>
  <c r="CY244" i="79"/>
  <c r="AU244" i="79"/>
  <c r="W211" i="80"/>
  <c r="X211" i="80" s="1"/>
  <c r="AE229" i="80"/>
  <c r="AV253" i="80"/>
  <c r="AX253" i="80" s="1"/>
  <c r="AU180" i="79"/>
  <c r="AW180" i="79" s="1"/>
  <c r="W180" i="79"/>
  <c r="BK193" i="79"/>
  <c r="CQ193" i="79"/>
  <c r="BS205" i="80"/>
  <c r="EM206" i="79"/>
  <c r="CQ206" i="79"/>
  <c r="AU213" i="79"/>
  <c r="AU211" i="80"/>
  <c r="AV211" i="80" s="1"/>
  <c r="BC244" i="79"/>
  <c r="CQ244" i="79"/>
  <c r="FC244" i="79"/>
  <c r="AM244" i="79"/>
  <c r="BS193" i="79"/>
  <c r="DW206" i="79"/>
  <c r="BC206" i="79"/>
  <c r="CA213" i="79"/>
  <c r="EM213" i="79"/>
  <c r="CA244" i="79"/>
  <c r="W244" i="79"/>
  <c r="FK180" i="79"/>
  <c r="FL180" i="79" s="1"/>
  <c r="FK193" i="79"/>
  <c r="EM193" i="79"/>
  <c r="DG206" i="79"/>
  <c r="EE213" i="79"/>
  <c r="EE244" i="79"/>
  <c r="FK245" i="80"/>
  <c r="AE254" i="79"/>
  <c r="BK254" i="79"/>
  <c r="BL254" i="79" s="1"/>
  <c r="AM202" i="80"/>
  <c r="I157" i="94"/>
  <c r="FL253" i="79"/>
  <c r="FM253" i="79"/>
  <c r="AW241" i="80"/>
  <c r="AV241" i="80"/>
  <c r="CJ241" i="79"/>
  <c r="CK241" i="79"/>
  <c r="DH211" i="80"/>
  <c r="DI211" i="80"/>
  <c r="FM232" i="79"/>
  <c r="FN232" i="79" s="1"/>
  <c r="AU205" i="80"/>
  <c r="EE211" i="80"/>
  <c r="AE241" i="80"/>
  <c r="CQ192" i="80"/>
  <c r="CR192" i="80" s="1"/>
  <c r="W234" i="80"/>
  <c r="BK212" i="79"/>
  <c r="AE212" i="79"/>
  <c r="DO212" i="79"/>
  <c r="DW212" i="79"/>
  <c r="CQ212" i="79"/>
  <c r="FK212" i="79"/>
  <c r="DG212" i="79"/>
  <c r="EU212" i="79"/>
  <c r="FC212" i="79"/>
  <c r="FC215" i="79" s="1"/>
  <c r="I226" i="79"/>
  <c r="AO180" i="80"/>
  <c r="AO211" i="79"/>
  <c r="AG180" i="80"/>
  <c r="EF180" i="80"/>
  <c r="AF279" i="80"/>
  <c r="FK234" i="80"/>
  <c r="CA123" i="80"/>
  <c r="EE195" i="79"/>
  <c r="DW195" i="79"/>
  <c r="AE205" i="80"/>
  <c r="DW205" i="80"/>
  <c r="FK249" i="79"/>
  <c r="FL249" i="79" s="1"/>
  <c r="DG250" i="79"/>
  <c r="CI247" i="79"/>
  <c r="CQ241" i="80"/>
  <c r="EM241" i="80"/>
  <c r="EO241" i="80" s="1"/>
  <c r="BS199" i="80"/>
  <c r="CQ185" i="80"/>
  <c r="EM177" i="80"/>
  <c r="CY234" i="80"/>
  <c r="FC212" i="80"/>
  <c r="CY230" i="80"/>
  <c r="CI234" i="80"/>
  <c r="BS212" i="79"/>
  <c r="CQ234" i="79"/>
  <c r="FC234" i="79"/>
  <c r="DO234" i="79"/>
  <c r="EM234" i="79"/>
  <c r="BC234" i="79"/>
  <c r="BK234" i="79"/>
  <c r="AM234" i="79"/>
  <c r="DW234" i="79"/>
  <c r="DG229" i="79"/>
  <c r="AE229" i="79"/>
  <c r="AM229" i="79"/>
  <c r="FC224" i="79"/>
  <c r="AM224" i="79"/>
  <c r="CY224" i="79"/>
  <c r="AE224" i="79"/>
  <c r="EU224" i="79"/>
  <c r="DW224" i="79"/>
  <c r="BC224" i="79"/>
  <c r="DO224" i="79"/>
  <c r="CI200" i="79"/>
  <c r="CK200" i="79" s="1"/>
  <c r="CA200" i="79"/>
  <c r="DG200" i="79"/>
  <c r="DW200" i="79"/>
  <c r="EU205" i="80"/>
  <c r="EW205" i="80" s="1"/>
  <c r="BC225" i="80"/>
  <c r="CI241" i="80"/>
  <c r="BK234" i="80"/>
  <c r="BS142" i="79"/>
  <c r="BT142" i="79" s="1"/>
  <c r="W142" i="79"/>
  <c r="X142" i="79" s="1"/>
  <c r="W147" i="79"/>
  <c r="X147" i="79" s="1"/>
  <c r="EU147" i="79"/>
  <c r="EW147" i="79" s="1"/>
  <c r="CQ253" i="79"/>
  <c r="CR253" i="79" s="1"/>
  <c r="BK253" i="79"/>
  <c r="AE253" i="79"/>
  <c r="BC253" i="79"/>
  <c r="O253" i="79"/>
  <c r="EE253" i="79"/>
  <c r="BS253" i="79"/>
  <c r="DW253" i="79"/>
  <c r="CI250" i="79"/>
  <c r="DW250" i="79"/>
  <c r="W250" i="79"/>
  <c r="EE250" i="79"/>
  <c r="AE250" i="79"/>
  <c r="AG250" i="79" s="1"/>
  <c r="CA250" i="79"/>
  <c r="BC250" i="79"/>
  <c r="FK250" i="79"/>
  <c r="AU250" i="79"/>
  <c r="CY250" i="79"/>
  <c r="CQ195" i="79"/>
  <c r="CI195" i="79"/>
  <c r="FK195" i="79"/>
  <c r="FL195" i="79" s="1"/>
  <c r="BS195" i="79"/>
  <c r="EM195" i="79"/>
  <c r="DG195" i="79"/>
  <c r="DH195" i="79" s="1"/>
  <c r="W195" i="79"/>
  <c r="X195" i="79" s="1"/>
  <c r="DO195" i="79"/>
  <c r="FC176" i="79"/>
  <c r="FE176" i="79" s="1"/>
  <c r="DO176" i="79"/>
  <c r="I187" i="79"/>
  <c r="I226" i="85"/>
  <c r="K127" i="90" s="1"/>
  <c r="I176" i="85"/>
  <c r="K96" i="90" s="1"/>
  <c r="I189" i="85"/>
  <c r="K106" i="90" s="1"/>
  <c r="I187" i="80"/>
  <c r="AO187" i="80" s="1"/>
  <c r="I176" i="80"/>
  <c r="CC176" i="80" s="1"/>
  <c r="Q180" i="80"/>
  <c r="BM180" i="79"/>
  <c r="Y211" i="79"/>
  <c r="Z211" i="79" s="1"/>
  <c r="BL253" i="80"/>
  <c r="BN253" i="80" s="1"/>
  <c r="Y211" i="80"/>
  <c r="AG232" i="80"/>
  <c r="AH232" i="80" s="1"/>
  <c r="FK247" i="79"/>
  <c r="AM192" i="80"/>
  <c r="DW212" i="80"/>
  <c r="DO225" i="80"/>
  <c r="BK250" i="79"/>
  <c r="EU211" i="80"/>
  <c r="CI211" i="80"/>
  <c r="EE241" i="80"/>
  <c r="AM241" i="80"/>
  <c r="CA241" i="80"/>
  <c r="CQ250" i="79"/>
  <c r="BK192" i="80"/>
  <c r="BM192" i="80" s="1"/>
  <c r="EM192" i="80"/>
  <c r="AE199" i="80"/>
  <c r="AE202" i="80" s="1"/>
  <c r="EU185" i="80"/>
  <c r="DG245" i="80"/>
  <c r="CI199" i="80"/>
  <c r="W212" i="79"/>
  <c r="BC212" i="79"/>
  <c r="O212" i="79"/>
  <c r="CY176" i="79"/>
  <c r="FK225" i="80"/>
  <c r="CA212" i="79"/>
  <c r="FK70" i="79"/>
  <c r="AE70" i="79"/>
  <c r="AU70" i="79"/>
  <c r="AW70" i="79" s="1"/>
  <c r="DO70" i="79"/>
  <c r="BC70" i="79"/>
  <c r="BD70" i="79" s="1"/>
  <c r="BK70" i="79"/>
  <c r="BL70" i="79" s="1"/>
  <c r="EE70" i="79"/>
  <c r="EF70" i="79" s="1"/>
  <c r="EU70" i="79"/>
  <c r="EV70" i="79" s="1"/>
  <c r="DW70" i="79"/>
  <c r="DY70" i="79" s="1"/>
  <c r="FK67" i="79"/>
  <c r="W67" i="79"/>
  <c r="Y67" i="79" s="1"/>
  <c r="CI67" i="79"/>
  <c r="CK67" i="79" s="1"/>
  <c r="DW67" i="79"/>
  <c r="DY67" i="79" s="1"/>
  <c r="AU67" i="79"/>
  <c r="EM67" i="79"/>
  <c r="EN67" i="79" s="1"/>
  <c r="CY67" i="79"/>
  <c r="CZ67" i="79" s="1"/>
  <c r="EM64" i="79"/>
  <c r="AM64" i="79"/>
  <c r="AO64" i="79" s="1"/>
  <c r="CQ64" i="79"/>
  <c r="CS64" i="79" s="1"/>
  <c r="FC90" i="79"/>
  <c r="FD90" i="79" s="1"/>
  <c r="W90" i="79"/>
  <c r="X90" i="79" s="1"/>
  <c r="O90" i="79"/>
  <c r="P90" i="79" s="1"/>
  <c r="EU90" i="79"/>
  <c r="EV90" i="79" s="1"/>
  <c r="CQ90" i="79"/>
  <c r="CR90" i="79" s="1"/>
  <c r="BS90" i="79"/>
  <c r="BT90" i="79" s="1"/>
  <c r="AE90" i="79"/>
  <c r="AF90" i="79" s="1"/>
  <c r="DG90" i="79"/>
  <c r="DH90" i="79" s="1"/>
  <c r="AU256" i="79"/>
  <c r="CA256" i="79"/>
  <c r="BS256" i="79"/>
  <c r="O256" i="79"/>
  <c r="BK256" i="79"/>
  <c r="EU256" i="79"/>
  <c r="BC256" i="79"/>
  <c r="DO256" i="79"/>
  <c r="EM256" i="79"/>
  <c r="DG245" i="79"/>
  <c r="DH245" i="79" s="1"/>
  <c r="DO245" i="79"/>
  <c r="DP245" i="79" s="1"/>
  <c r="FK211" i="79"/>
  <c r="O211" i="79"/>
  <c r="EM211" i="79"/>
  <c r="AE211" i="79"/>
  <c r="BK211" i="79"/>
  <c r="BL211" i="79" s="1"/>
  <c r="DW211" i="79"/>
  <c r="DY211" i="79" s="1"/>
  <c r="CQ211" i="79"/>
  <c r="CS211" i="79" s="1"/>
  <c r="AU211" i="79"/>
  <c r="AW211" i="79" s="1"/>
  <c r="BC211" i="79"/>
  <c r="BS211" i="79"/>
  <c r="BT211" i="79" s="1"/>
  <c r="EU211" i="79"/>
  <c r="EV211" i="79" s="1"/>
  <c r="CI211" i="79"/>
  <c r="FC211" i="79"/>
  <c r="FE211" i="79" s="1"/>
  <c r="CY192" i="79"/>
  <c r="O192" i="79"/>
  <c r="CI192" i="79"/>
  <c r="DG192" i="79"/>
  <c r="W192" i="79"/>
  <c r="EU192" i="79"/>
  <c r="CQ192" i="79"/>
  <c r="EE192" i="79"/>
  <c r="BC192" i="79"/>
  <c r="BK192" i="79"/>
  <c r="DO234" i="80"/>
  <c r="CQ234" i="80"/>
  <c r="DG234" i="80"/>
  <c r="DW234" i="80"/>
  <c r="AE234" i="80"/>
  <c r="FD253" i="80"/>
  <c r="FF253" i="80" s="1"/>
  <c r="DH180" i="80"/>
  <c r="DJ180" i="80" s="1"/>
  <c r="DH253" i="79"/>
  <c r="DJ253" i="79" s="1"/>
  <c r="EM205" i="80"/>
  <c r="CQ225" i="80"/>
  <c r="EU225" i="80"/>
  <c r="EM225" i="80"/>
  <c r="EU250" i="79"/>
  <c r="CQ87" i="79"/>
  <c r="DW211" i="80"/>
  <c r="W241" i="80"/>
  <c r="EM253" i="79"/>
  <c r="EO253" i="79" s="1"/>
  <c r="EU192" i="80"/>
  <c r="AE192" i="80"/>
  <c r="AG192" i="80" s="1"/>
  <c r="AM245" i="80"/>
  <c r="EM245" i="80"/>
  <c r="CY245" i="80"/>
  <c r="AM212" i="79"/>
  <c r="DW225" i="80"/>
  <c r="EE176" i="79"/>
  <c r="BS234" i="80"/>
  <c r="DG176" i="79"/>
  <c r="BS176" i="79"/>
  <c r="BU176" i="79" s="1"/>
  <c r="DW176" i="79"/>
  <c r="FK252" i="79"/>
  <c r="DW252" i="79"/>
  <c r="AM252" i="79"/>
  <c r="EE252" i="79"/>
  <c r="AU252" i="79"/>
  <c r="DG247" i="79"/>
  <c r="DI247" i="79" s="1"/>
  <c r="DO247" i="79"/>
  <c r="DQ247" i="79" s="1"/>
  <c r="DW247" i="79"/>
  <c r="AU247" i="79"/>
  <c r="EE247" i="79"/>
  <c r="BS247" i="79"/>
  <c r="BU247" i="79" s="1"/>
  <c r="DG241" i="79"/>
  <c r="DO241" i="79"/>
  <c r="AE241" i="79"/>
  <c r="AG241" i="79" s="1"/>
  <c r="EM241" i="79"/>
  <c r="FC234" i="80"/>
  <c r="Y214" i="79"/>
  <c r="Z214" i="79" s="1"/>
  <c r="O176" i="79"/>
  <c r="CZ211" i="79"/>
  <c r="DB211" i="79" s="1"/>
  <c r="AF182" i="80"/>
  <c r="AH182" i="80" s="1"/>
  <c r="AN279" i="80"/>
  <c r="FE232" i="80"/>
  <c r="FF232" i="80" s="1"/>
  <c r="DH279" i="80"/>
  <c r="EU195" i="79"/>
  <c r="EV195" i="79" s="1"/>
  <c r="BC195" i="79"/>
  <c r="CA195" i="79"/>
  <c r="DO205" i="80"/>
  <c r="DQ205" i="80" s="1"/>
  <c r="CA225" i="80"/>
  <c r="W225" i="80"/>
  <c r="EE225" i="80"/>
  <c r="O247" i="79"/>
  <c r="Q247" i="79" s="1"/>
  <c r="EM250" i="79"/>
  <c r="AM250" i="79"/>
  <c r="EM247" i="79"/>
  <c r="AE211" i="80"/>
  <c r="BK252" i="79"/>
  <c r="EU241" i="79"/>
  <c r="W253" i="79"/>
  <c r="Y253" i="79" s="1"/>
  <c r="BC192" i="80"/>
  <c r="BD192" i="80" s="1"/>
  <c r="BK248" i="80"/>
  <c r="DO177" i="80"/>
  <c r="CI212" i="79"/>
  <c r="CA234" i="80"/>
  <c r="CA211" i="80"/>
  <c r="AU234" i="80"/>
  <c r="EU245" i="80"/>
  <c r="EE245" i="80"/>
  <c r="CQ245" i="80"/>
  <c r="FK205" i="80"/>
  <c r="FC205" i="80"/>
  <c r="O205" i="80"/>
  <c r="O207" i="80" s="1"/>
  <c r="DG205" i="80"/>
  <c r="DG207" i="80" s="1"/>
  <c r="CA205" i="80"/>
  <c r="CQ205" i="80"/>
  <c r="EE205" i="80"/>
  <c r="EE207" i="80" s="1"/>
  <c r="W205" i="80"/>
  <c r="CI192" i="80"/>
  <c r="FK192" i="80"/>
  <c r="AU192" i="80"/>
  <c r="AV192" i="80" s="1"/>
  <c r="W192" i="80"/>
  <c r="EF253" i="80"/>
  <c r="EH253" i="80" s="1"/>
  <c r="AM176" i="79"/>
  <c r="AO176" i="79" s="1"/>
  <c r="FL310" i="79"/>
  <c r="BK176" i="79"/>
  <c r="EF310" i="79"/>
  <c r="O195" i="79"/>
  <c r="CA245" i="80"/>
  <c r="BC205" i="80"/>
  <c r="O250" i="79"/>
  <c r="CY211" i="80"/>
  <c r="AM253" i="79"/>
  <c r="O192" i="80"/>
  <c r="DW192" i="80"/>
  <c r="CA192" i="80"/>
  <c r="BS245" i="80"/>
  <c r="O245" i="80"/>
  <c r="EM212" i="79"/>
  <c r="EE212" i="79"/>
  <c r="CY212" i="79"/>
  <c r="AU212" i="79"/>
  <c r="CQ176" i="79"/>
  <c r="CI154" i="80"/>
  <c r="FC154" i="80"/>
  <c r="FE154" i="80" s="1"/>
  <c r="CY212" i="80"/>
  <c r="EU212" i="80"/>
  <c r="EM212" i="80"/>
  <c r="EN212" i="80" s="1"/>
  <c r="CQ212" i="80"/>
  <c r="CR212" i="80" s="1"/>
  <c r="BK212" i="80"/>
  <c r="BS212" i="80"/>
  <c r="BC212" i="80"/>
  <c r="CA212" i="80"/>
  <c r="CB212" i="80" s="1"/>
  <c r="EU177" i="80"/>
  <c r="O177" i="80"/>
  <c r="FK241" i="80"/>
  <c r="FL241" i="80" s="1"/>
  <c r="DO241" i="80"/>
  <c r="BC241" i="80"/>
  <c r="DG241" i="80"/>
  <c r="BK241" i="80"/>
  <c r="O241" i="80"/>
  <c r="DW241" i="80"/>
  <c r="CY225" i="80"/>
  <c r="AE225" i="80"/>
  <c r="O225" i="80"/>
  <c r="AM225" i="80"/>
  <c r="FC225" i="80"/>
  <c r="AU225" i="80"/>
  <c r="BK225" i="80"/>
  <c r="CI225" i="80"/>
  <c r="DG225" i="80"/>
  <c r="FC211" i="80"/>
  <c r="AM211" i="80"/>
  <c r="BC211" i="80"/>
  <c r="BK211" i="80"/>
  <c r="EM211" i="80"/>
  <c r="FK211" i="80"/>
  <c r="BS211" i="80"/>
  <c r="DO211" i="80"/>
  <c r="G215" i="80"/>
  <c r="DY205" i="80"/>
  <c r="FM226" i="80"/>
  <c r="CY195" i="79"/>
  <c r="CY205" i="80"/>
  <c r="BC176" i="79"/>
  <c r="EN232" i="80"/>
  <c r="EP232" i="80" s="1"/>
  <c r="FC131" i="79"/>
  <c r="AM195" i="79"/>
  <c r="AN195" i="79" s="1"/>
  <c r="BK195" i="79"/>
  <c r="BL195" i="79" s="1"/>
  <c r="AE195" i="79"/>
  <c r="CI205" i="80"/>
  <c r="CI207" i="80" s="1"/>
  <c r="O212" i="80"/>
  <c r="CY177" i="80"/>
  <c r="DA177" i="80" s="1"/>
  <c r="AM177" i="80"/>
  <c r="CA247" i="79"/>
  <c r="CQ211" i="80"/>
  <c r="DG252" i="79"/>
  <c r="AU253" i="79"/>
  <c r="BS192" i="80"/>
  <c r="FK177" i="80"/>
  <c r="BC245" i="80"/>
  <c r="EE226" i="80"/>
  <c r="BC234" i="80"/>
  <c r="O211" i="80"/>
  <c r="CI176" i="79"/>
  <c r="CK176" i="79" s="1"/>
  <c r="FC241" i="80"/>
  <c r="AU255" i="80"/>
  <c r="O255" i="80"/>
  <c r="FC255" i="80"/>
  <c r="W255" i="80"/>
  <c r="BS230" i="80"/>
  <c r="EE230" i="80"/>
  <c r="AU230" i="80"/>
  <c r="DW199" i="80"/>
  <c r="BK199" i="80"/>
  <c r="CQ199" i="80"/>
  <c r="AU199" i="80"/>
  <c r="W199" i="80"/>
  <c r="G202" i="80"/>
  <c r="O199" i="80"/>
  <c r="BC199" i="80"/>
  <c r="BC202" i="80" s="1"/>
  <c r="EM199" i="80"/>
  <c r="EM202" i="80" s="1"/>
  <c r="CA199" i="80"/>
  <c r="CY199" i="80"/>
  <c r="AE185" i="80"/>
  <c r="EM185" i="80"/>
  <c r="BS185" i="80"/>
  <c r="DO185" i="80"/>
  <c r="CA177" i="80"/>
  <c r="CC177" i="80" s="1"/>
  <c r="AM227" i="79"/>
  <c r="DO254" i="80"/>
  <c r="DQ254" i="80" s="1"/>
  <c r="EU176" i="80"/>
  <c r="DG176" i="80"/>
  <c r="AU245" i="80"/>
  <c r="EE185" i="80"/>
  <c r="CI177" i="80"/>
  <c r="CK177" i="80" s="1"/>
  <c r="BC180" i="80"/>
  <c r="BK245" i="80"/>
  <c r="EU180" i="80"/>
  <c r="AU176" i="80"/>
  <c r="DG199" i="80"/>
  <c r="DG202" i="80" s="1"/>
  <c r="EM229" i="80"/>
  <c r="EM178" i="79"/>
  <c r="CI178" i="79"/>
  <c r="W178" i="79"/>
  <c r="DG178" i="79"/>
  <c r="CI195" i="80"/>
  <c r="BS195" i="80"/>
  <c r="BK219" i="80"/>
  <c r="AM195" i="80"/>
  <c r="DO219" i="80"/>
  <c r="AM223" i="79"/>
  <c r="DO232" i="80"/>
  <c r="DW222" i="79"/>
  <c r="CI227" i="79"/>
  <c r="CQ227" i="79"/>
  <c r="W227" i="79"/>
  <c r="DW254" i="80"/>
  <c r="DY254" i="80" s="1"/>
  <c r="FK176" i="80"/>
  <c r="BK177" i="80"/>
  <c r="FK185" i="80"/>
  <c r="DO199" i="80"/>
  <c r="CI185" i="80"/>
  <c r="FK180" i="80"/>
  <c r="FL180" i="80" s="1"/>
  <c r="W245" i="80"/>
  <c r="DW245" i="80"/>
  <c r="EU199" i="80"/>
  <c r="CY176" i="80"/>
  <c r="DA244" i="80"/>
  <c r="FD278" i="79"/>
  <c r="EM195" i="80"/>
  <c r="FC229" i="80"/>
  <c r="DG219" i="80"/>
  <c r="BS181" i="79"/>
  <c r="AE195" i="80"/>
  <c r="FK195" i="80"/>
  <c r="FM195" i="80" s="1"/>
  <c r="BS219" i="80"/>
  <c r="DO223" i="79"/>
  <c r="CA176" i="79"/>
  <c r="EM176" i="79"/>
  <c r="BK178" i="79"/>
  <c r="BS229" i="80"/>
  <c r="CY222" i="79"/>
  <c r="DG177" i="80"/>
  <c r="AU227" i="79"/>
  <c r="CA254" i="80"/>
  <c r="CY192" i="80"/>
  <c r="DO192" i="80"/>
  <c r="BC185" i="80"/>
  <c r="AU180" i="80"/>
  <c r="BK180" i="80"/>
  <c r="EM176" i="80"/>
  <c r="AU177" i="80"/>
  <c r="AW177" i="80" s="1"/>
  <c r="DO180" i="80"/>
  <c r="DQ180" i="80" s="1"/>
  <c r="FK229" i="80"/>
  <c r="EE178" i="79"/>
  <c r="FC178" i="79"/>
  <c r="DW195" i="80"/>
  <c r="O219" i="80"/>
  <c r="EE219" i="80"/>
  <c r="CA219" i="80"/>
  <c r="CI223" i="79"/>
  <c r="EU176" i="79"/>
  <c r="BC232" i="79"/>
  <c r="CA222" i="79"/>
  <c r="DG222" i="79"/>
  <c r="CQ222" i="79"/>
  <c r="AE177" i="80"/>
  <c r="AG177" i="80" s="1"/>
  <c r="CA227" i="79"/>
  <c r="EM227" i="79"/>
  <c r="BC254" i="80"/>
  <c r="AE254" i="80"/>
  <c r="DG254" i="80"/>
  <c r="EE192" i="80"/>
  <c r="AE245" i="80"/>
  <c r="EM180" i="80"/>
  <c r="CI245" i="80"/>
  <c r="BS180" i="80"/>
  <c r="FC176" i="80"/>
  <c r="DO245" i="80"/>
  <c r="EE199" i="80"/>
  <c r="EE202" i="80" s="1"/>
  <c r="CY185" i="80"/>
  <c r="EM22" i="80"/>
  <c r="EM398" i="80" s="1"/>
  <c r="FK199" i="80"/>
  <c r="FK202" i="80" s="1"/>
  <c r="EE195" i="80"/>
  <c r="EG195" i="80" s="1"/>
  <c r="AU176" i="79"/>
  <c r="EU178" i="79"/>
  <c r="CQ178" i="79"/>
  <c r="FC195" i="80"/>
  <c r="FE195" i="80" s="1"/>
  <c r="CQ219" i="80"/>
  <c r="AM219" i="80"/>
  <c r="P310" i="79"/>
  <c r="O232" i="79"/>
  <c r="AU232" i="79"/>
  <c r="AU206" i="79"/>
  <c r="BS180" i="79"/>
  <c r="W177" i="79"/>
  <c r="DO206" i="79"/>
  <c r="FC207" i="80"/>
  <c r="AE177" i="79"/>
  <c r="P201" i="80"/>
  <c r="J249" i="85"/>
  <c r="L143" i="90" s="1"/>
  <c r="DQ200" i="79"/>
  <c r="EO226" i="79"/>
  <c r="EP226" i="79" s="1"/>
  <c r="EG214" i="79"/>
  <c r="EH214" i="79" s="1"/>
  <c r="AM255" i="79"/>
  <c r="AE255" i="79"/>
  <c r="CI255" i="79"/>
  <c r="CY255" i="79"/>
  <c r="EU255" i="79"/>
  <c r="DO255" i="79"/>
  <c r="CA255" i="79"/>
  <c r="O255" i="79"/>
  <c r="DO214" i="79"/>
  <c r="BS214" i="79"/>
  <c r="EM214" i="79"/>
  <c r="EO214" i="79" s="1"/>
  <c r="CI214" i="79"/>
  <c r="DG214" i="79"/>
  <c r="AU214" i="79"/>
  <c r="AM214" i="79"/>
  <c r="AE214" i="79"/>
  <c r="CY214" i="79"/>
  <c r="CA214" i="79"/>
  <c r="CQ214" i="79"/>
  <c r="EU214" i="79"/>
  <c r="EV214" i="79" s="1"/>
  <c r="CY210" i="79"/>
  <c r="DG210" i="79"/>
  <c r="EU210" i="79"/>
  <c r="CA210" i="79"/>
  <c r="AU210" i="79"/>
  <c r="AE210" i="79"/>
  <c r="AE215" i="79" s="1"/>
  <c r="CQ210" i="79"/>
  <c r="DW210" i="79"/>
  <c r="BS210" i="79"/>
  <c r="AM210" i="79"/>
  <c r="W210" i="79"/>
  <c r="FK210" i="79"/>
  <c r="O210" i="79"/>
  <c r="BC210" i="79"/>
  <c r="BC215" i="79" s="1"/>
  <c r="EE210" i="79"/>
  <c r="G215" i="79"/>
  <c r="CI210" i="79"/>
  <c r="BK210" i="79"/>
  <c r="EM210" i="79"/>
  <c r="CI187" i="79"/>
  <c r="DO187" i="79"/>
  <c r="BS187" i="79"/>
  <c r="CY187" i="79"/>
  <c r="AM187" i="79"/>
  <c r="EE187" i="79"/>
  <c r="FC184" i="79"/>
  <c r="FD184" i="79" s="1"/>
  <c r="DG184" i="79"/>
  <c r="AM184" i="79"/>
  <c r="BK184" i="79"/>
  <c r="BL184" i="79" s="1"/>
  <c r="CI184" i="79"/>
  <c r="CJ184" i="79" s="1"/>
  <c r="CQ184" i="79"/>
  <c r="EM184" i="79"/>
  <c r="EN184" i="79" s="1"/>
  <c r="DW184" i="79"/>
  <c r="DX184" i="79" s="1"/>
  <c r="EU184" i="79"/>
  <c r="EV184" i="79" s="1"/>
  <c r="BS184" i="79"/>
  <c r="EE184" i="79"/>
  <c r="BC184" i="79"/>
  <c r="BD184" i="79" s="1"/>
  <c r="DG228" i="80"/>
  <c r="AM228" i="80"/>
  <c r="FC228" i="80"/>
  <c r="DO228" i="80"/>
  <c r="CQ228" i="80"/>
  <c r="BK228" i="80"/>
  <c r="AU228" i="80"/>
  <c r="BS228" i="80"/>
  <c r="DW228" i="80"/>
  <c r="CI228" i="80"/>
  <c r="EE228" i="80"/>
  <c r="AU222" i="80"/>
  <c r="FK222" i="80"/>
  <c r="FC222" i="80"/>
  <c r="CY222" i="80"/>
  <c r="O214" i="80"/>
  <c r="O215" i="80" s="1"/>
  <c r="BS214" i="80"/>
  <c r="BS215" i="80" s="1"/>
  <c r="DW214" i="80"/>
  <c r="DG214" i="80"/>
  <c r="DG215" i="80" s="1"/>
  <c r="EU214" i="80"/>
  <c r="CQ214" i="80"/>
  <c r="CI214" i="80"/>
  <c r="CA214" i="80"/>
  <c r="BK214" i="80"/>
  <c r="FK214" i="80"/>
  <c r="FK215" i="80" s="1"/>
  <c r="AM214" i="80"/>
  <c r="EM214" i="80"/>
  <c r="DO214" i="80"/>
  <c r="AM184" i="80"/>
  <c r="BK184" i="80"/>
  <c r="AE184" i="80"/>
  <c r="DG228" i="79"/>
  <c r="BK228" i="79"/>
  <c r="AE228" i="79"/>
  <c r="CI228" i="79"/>
  <c r="BC228" i="79"/>
  <c r="FK228" i="79"/>
  <c r="CY228" i="79"/>
  <c r="EM228" i="79"/>
  <c r="FC228" i="79"/>
  <c r="AU228" i="79"/>
  <c r="O228" i="79"/>
  <c r="DO228" i="79"/>
  <c r="EE228" i="79"/>
  <c r="AM228" i="79"/>
  <c r="CA228" i="79"/>
  <c r="FK231" i="79"/>
  <c r="EE231" i="79"/>
  <c r="DG231" i="79"/>
  <c r="AU231" i="79"/>
  <c r="EU231" i="79"/>
  <c r="W231" i="79"/>
  <c r="EM231" i="79"/>
  <c r="BK231" i="79"/>
  <c r="DO231" i="79"/>
  <c r="CY231" i="79"/>
  <c r="BS231" i="79"/>
  <c r="AM231" i="79"/>
  <c r="AM226" i="79"/>
  <c r="AN226" i="79" s="1"/>
  <c r="CI226" i="79"/>
  <c r="FC226" i="79"/>
  <c r="W226" i="79"/>
  <c r="EE226" i="79"/>
  <c r="CY226" i="79"/>
  <c r="BS226" i="79"/>
  <c r="CA226" i="79"/>
  <c r="AU226" i="79"/>
  <c r="EU226" i="79"/>
  <c r="AE226" i="79"/>
  <c r="FK226" i="79"/>
  <c r="DO226" i="79"/>
  <c r="BK226" i="79"/>
  <c r="CY155" i="80"/>
  <c r="CZ155" i="80" s="1"/>
  <c r="DG155" i="80"/>
  <c r="DH155" i="80" s="1"/>
  <c r="AW249" i="80"/>
  <c r="EU73" i="80"/>
  <c r="EW73" i="80" s="1"/>
  <c r="CY73" i="80"/>
  <c r="DA73" i="80" s="1"/>
  <c r="DW73" i="80"/>
  <c r="DY73" i="80" s="1"/>
  <c r="CI124" i="80"/>
  <c r="CJ124" i="80" s="1"/>
  <c r="W124" i="80"/>
  <c r="X124" i="80" s="1"/>
  <c r="DW249" i="80"/>
  <c r="DY249" i="80" s="1"/>
  <c r="AM249" i="80"/>
  <c r="EU249" i="80"/>
  <c r="EW249" i="80" s="1"/>
  <c r="DX211" i="79"/>
  <c r="DZ211" i="79" s="1"/>
  <c r="BM211" i="79"/>
  <c r="BM214" i="79"/>
  <c r="BN214" i="79" s="1"/>
  <c r="FM180" i="80"/>
  <c r="AE231" i="79"/>
  <c r="DW231" i="79"/>
  <c r="DO184" i="79"/>
  <c r="W248" i="79"/>
  <c r="CQ248" i="79"/>
  <c r="AE248" i="79"/>
  <c r="CI248" i="79"/>
  <c r="FK248" i="79"/>
  <c r="CQ246" i="79"/>
  <c r="CR246" i="79" s="1"/>
  <c r="AE246" i="79"/>
  <c r="AU246" i="79"/>
  <c r="AV246" i="79" s="1"/>
  <c r="FC246" i="79"/>
  <c r="FK246" i="79"/>
  <c r="FL246" i="79" s="1"/>
  <c r="DW246" i="79"/>
  <c r="BC246" i="79"/>
  <c r="BD246" i="79" s="1"/>
  <c r="EE246" i="79"/>
  <c r="EF246" i="79" s="1"/>
  <c r="EM221" i="80"/>
  <c r="G235" i="80"/>
  <c r="CY221" i="80"/>
  <c r="FK221" i="80"/>
  <c r="CI221" i="80"/>
  <c r="DG221" i="80"/>
  <c r="BS221" i="80"/>
  <c r="AE221" i="80"/>
  <c r="AM221" i="80"/>
  <c r="DO221" i="80"/>
  <c r="BK221" i="80"/>
  <c r="CA221" i="80"/>
  <c r="BC221" i="80"/>
  <c r="FC221" i="80"/>
  <c r="FK231" i="80"/>
  <c r="W231" i="80"/>
  <c r="O231" i="80"/>
  <c r="BS231" i="80"/>
  <c r="BK231" i="80"/>
  <c r="CA231" i="80"/>
  <c r="AM231" i="80"/>
  <c r="BC231" i="80"/>
  <c r="DW231" i="80"/>
  <c r="EM231" i="80"/>
  <c r="EU231" i="80"/>
  <c r="FC231" i="80"/>
  <c r="CI223" i="80"/>
  <c r="AE223" i="80"/>
  <c r="O223" i="80"/>
  <c r="EM223" i="80"/>
  <c r="FC223" i="80"/>
  <c r="AM223" i="80"/>
  <c r="BC18" i="80"/>
  <c r="BC412" i="80" s="1"/>
  <c r="CY18" i="80"/>
  <c r="CY412" i="80" s="1"/>
  <c r="W220" i="80"/>
  <c r="CA220" i="80"/>
  <c r="EE220" i="80"/>
  <c r="CY220" i="80"/>
  <c r="BS220" i="80"/>
  <c r="CQ220" i="80"/>
  <c r="CY206" i="80"/>
  <c r="CY207" i="80" s="1"/>
  <c r="AE206" i="80"/>
  <c r="AE207" i="80" s="1"/>
  <c r="EM206" i="80"/>
  <c r="EM207" i="80" s="1"/>
  <c r="AU206" i="80"/>
  <c r="AU207" i="80" s="1"/>
  <c r="AM206" i="80"/>
  <c r="CQ206" i="80"/>
  <c r="W206" i="80"/>
  <c r="W207" i="80" s="1"/>
  <c r="BK206" i="80"/>
  <c r="BK207" i="80" s="1"/>
  <c r="DW206" i="80"/>
  <c r="DW207" i="80" s="1"/>
  <c r="BS206" i="80"/>
  <c r="CA200" i="80"/>
  <c r="CA202" i="80" s="1"/>
  <c r="CI200" i="80"/>
  <c r="CI202" i="80" s="1"/>
  <c r="AU193" i="80"/>
  <c r="AW193" i="80" s="1"/>
  <c r="CQ193" i="80"/>
  <c r="FK193" i="80"/>
  <c r="BS193" i="80"/>
  <c r="BU193" i="80" s="1"/>
  <c r="AE193" i="80"/>
  <c r="AG193" i="80" s="1"/>
  <c r="AM188" i="80"/>
  <c r="CQ188" i="80"/>
  <c r="AU188" i="80"/>
  <c r="W188" i="80"/>
  <c r="Y188" i="80" s="1"/>
  <c r="BK188" i="80"/>
  <c r="CI182" i="80"/>
  <c r="CY182" i="80"/>
  <c r="BK182" i="80"/>
  <c r="EE182" i="80"/>
  <c r="BS182" i="80"/>
  <c r="J227" i="85"/>
  <c r="L128" i="90" s="1"/>
  <c r="BC231" i="79"/>
  <c r="AE249" i="80"/>
  <c r="AM73" i="80"/>
  <c r="AO73" i="80" s="1"/>
  <c r="DW228" i="79"/>
  <c r="J249" i="79"/>
  <c r="EU228" i="79"/>
  <c r="EM155" i="80"/>
  <c r="EN155" i="80" s="1"/>
  <c r="BS228" i="79"/>
  <c r="CA187" i="79"/>
  <c r="CY200" i="79"/>
  <c r="AM200" i="79"/>
  <c r="AM202" i="79" s="1"/>
  <c r="O200" i="79"/>
  <c r="Q200" i="79" s="1"/>
  <c r="BS200" i="79"/>
  <c r="BU200" i="79" s="1"/>
  <c r="BC200" i="79"/>
  <c r="EM200" i="79"/>
  <c r="W200" i="79"/>
  <c r="AE200" i="79"/>
  <c r="BK200" i="79"/>
  <c r="EM185" i="79"/>
  <c r="EO185" i="79" s="1"/>
  <c r="FC185" i="79"/>
  <c r="FE185" i="79" s="1"/>
  <c r="BS255" i="80"/>
  <c r="EM255" i="80"/>
  <c r="AM255" i="80"/>
  <c r="CI255" i="80"/>
  <c r="CY255" i="80"/>
  <c r="CQ255" i="80"/>
  <c r="EU255" i="80"/>
  <c r="DW255" i="80"/>
  <c r="EE255" i="80"/>
  <c r="CA255" i="80"/>
  <c r="DO255" i="80"/>
  <c r="AE255" i="80"/>
  <c r="CA248" i="80"/>
  <c r="O248" i="80"/>
  <c r="DW248" i="80"/>
  <c r="EU248" i="80"/>
  <c r="EV248" i="80" s="1"/>
  <c r="AM248" i="80"/>
  <c r="AN248" i="80" s="1"/>
  <c r="CI248" i="80"/>
  <c r="CJ248" i="80" s="1"/>
  <c r="EE248" i="80"/>
  <c r="CY248" i="80"/>
  <c r="CZ248" i="80" s="1"/>
  <c r="DO248" i="80"/>
  <c r="DP248" i="80" s="1"/>
  <c r="DW142" i="80"/>
  <c r="DY142" i="80" s="1"/>
  <c r="DG142" i="80"/>
  <c r="DI142" i="80" s="1"/>
  <c r="EU142" i="80"/>
  <c r="EV142" i="80" s="1"/>
  <c r="BC152" i="80"/>
  <c r="DG152" i="80"/>
  <c r="O106" i="80"/>
  <c r="Q106" i="80" s="1"/>
  <c r="FC106" i="80"/>
  <c r="FD106" i="80" s="1"/>
  <c r="DY181" i="79"/>
  <c r="DZ181" i="79" s="1"/>
  <c r="BS106" i="80"/>
  <c r="BE253" i="79"/>
  <c r="BD253" i="79"/>
  <c r="CQ249" i="80"/>
  <c r="CI249" i="80"/>
  <c r="EE142" i="80"/>
  <c r="EF142" i="80" s="1"/>
  <c r="AU142" i="80"/>
  <c r="AV142" i="80" s="1"/>
  <c r="CA184" i="79"/>
  <c r="EU187" i="79"/>
  <c r="O184" i="79"/>
  <c r="W228" i="79"/>
  <c r="Y180" i="80"/>
  <c r="Z180" i="80" s="1"/>
  <c r="AV211" i="79"/>
  <c r="G235" i="79"/>
  <c r="DG124" i="80"/>
  <c r="DH124" i="80" s="1"/>
  <c r="G215" i="85"/>
  <c r="DG226" i="79"/>
  <c r="CQ228" i="79"/>
  <c r="CA231" i="79"/>
  <c r="BS184" i="80"/>
  <c r="W249" i="80"/>
  <c r="Y249" i="80" s="1"/>
  <c r="BC182" i="80"/>
  <c r="CQ184" i="80"/>
  <c r="BS200" i="80"/>
  <c r="BS202" i="80" s="1"/>
  <c r="EM184" i="80"/>
  <c r="DG182" i="80"/>
  <c r="AU184" i="79"/>
  <c r="DQ192" i="80"/>
  <c r="DO223" i="80"/>
  <c r="EU184" i="80"/>
  <c r="AE188" i="80"/>
  <c r="AG188" i="80" s="1"/>
  <c r="FC248" i="80"/>
  <c r="FD248" i="80" s="1"/>
  <c r="AU248" i="80"/>
  <c r="AV248" i="80" s="1"/>
  <c r="BC188" i="80"/>
  <c r="EU193" i="80"/>
  <c r="FC188" i="80"/>
  <c r="AU182" i="80"/>
  <c r="CQ200" i="80"/>
  <c r="AU184" i="80"/>
  <c r="FC184" i="80"/>
  <c r="CY249" i="80"/>
  <c r="CA249" i="80"/>
  <c r="DW200" i="80"/>
  <c r="DW202" i="80" s="1"/>
  <c r="EM254" i="80"/>
  <c r="AM230" i="80"/>
  <c r="CQ187" i="79"/>
  <c r="AM230" i="79"/>
  <c r="AM177" i="79"/>
  <c r="BC177" i="79"/>
  <c r="EM177" i="79"/>
  <c r="DO230" i="80"/>
  <c r="Q189" i="79"/>
  <c r="DP206" i="79"/>
  <c r="W193" i="80"/>
  <c r="Y193" i="80" s="1"/>
  <c r="BS188" i="80"/>
  <c r="BU188" i="80" s="1"/>
  <c r="BC193" i="80"/>
  <c r="BE193" i="80" s="1"/>
  <c r="FK184" i="80"/>
  <c r="DG184" i="80"/>
  <c r="FC249" i="80"/>
  <c r="BC249" i="80"/>
  <c r="BE249" i="80" s="1"/>
  <c r="FC200" i="80"/>
  <c r="CS244" i="80"/>
  <c r="BK200" i="80"/>
  <c r="BK202" i="80" s="1"/>
  <c r="FK182" i="80"/>
  <c r="DG249" i="80"/>
  <c r="CY184" i="80"/>
  <c r="FK177" i="79"/>
  <c r="FC254" i="80"/>
  <c r="FC230" i="79"/>
  <c r="CA230" i="80"/>
  <c r="O153" i="80"/>
  <c r="Q153" i="80" s="1"/>
  <c r="EM187" i="79"/>
  <c r="W184" i="79"/>
  <c r="AM206" i="79"/>
  <c r="BK177" i="79"/>
  <c r="BS225" i="79"/>
  <c r="CA177" i="79"/>
  <c r="O230" i="80"/>
  <c r="FL185" i="79"/>
  <c r="FK188" i="80"/>
  <c r="CA193" i="80"/>
  <c r="EE188" i="80"/>
  <c r="CI188" i="80"/>
  <c r="DG193" i="80"/>
  <c r="DI193" i="80" s="1"/>
  <c r="EM188" i="80"/>
  <c r="DO249" i="80"/>
  <c r="DQ249" i="80" s="1"/>
  <c r="CQ182" i="80"/>
  <c r="O182" i="80"/>
  <c r="EU182" i="80"/>
  <c r="CA184" i="80"/>
  <c r="CY200" i="80"/>
  <c r="CY202" i="80" s="1"/>
  <c r="DW225" i="79"/>
  <c r="W213" i="79"/>
  <c r="G202" i="85"/>
  <c r="EE180" i="79"/>
  <c r="DG187" i="79"/>
  <c r="X306" i="79"/>
  <c r="AF310" i="79"/>
  <c r="AU177" i="79"/>
  <c r="BD310" i="79"/>
  <c r="EE206" i="79"/>
  <c r="BD200" i="80"/>
  <c r="BD212" i="80"/>
  <c r="CQ248" i="80"/>
  <c r="CR248" i="80" s="1"/>
  <c r="W248" i="80"/>
  <c r="DG248" i="80"/>
  <c r="EM249" i="80"/>
  <c r="BS249" i="80"/>
  <c r="BU249" i="80" s="1"/>
  <c r="DO200" i="80"/>
  <c r="DO202" i="80" s="1"/>
  <c r="W182" i="80"/>
  <c r="EU200" i="80"/>
  <c r="EU202" i="80" s="1"/>
  <c r="EE249" i="80"/>
  <c r="EG249" i="80" s="1"/>
  <c r="FK254" i="80"/>
  <c r="FK225" i="79"/>
  <c r="AM213" i="79"/>
  <c r="AM215" i="79" s="1"/>
  <c r="BK230" i="80"/>
  <c r="CQ213" i="79"/>
  <c r="CI180" i="79"/>
  <c r="FC187" i="79"/>
  <c r="DG177" i="79"/>
  <c r="DO177" i="79"/>
  <c r="DW177" i="79"/>
  <c r="FC177" i="79"/>
  <c r="BC230" i="80"/>
  <c r="J47" i="26"/>
  <c r="J207" i="85" s="1"/>
  <c r="DY250" i="80"/>
  <c r="DA195" i="80"/>
  <c r="AM182" i="80"/>
  <c r="O249" i="80"/>
  <c r="FK249" i="80"/>
  <c r="DY244" i="80"/>
  <c r="FK213" i="79"/>
  <c r="FK215" i="79" s="1"/>
  <c r="CI230" i="80"/>
  <c r="DW187" i="79"/>
  <c r="O177" i="79"/>
  <c r="AE225" i="79"/>
  <c r="BK221" i="79"/>
  <c r="CA230" i="79"/>
  <c r="CI177" i="79"/>
  <c r="EW210" i="80"/>
  <c r="O159" i="94"/>
  <c r="BC313" i="80"/>
  <c r="EM313" i="79"/>
  <c r="FD307" i="79"/>
  <c r="FF307" i="79" s="1"/>
  <c r="CR307" i="79"/>
  <c r="CT307" i="79" s="1"/>
  <c r="EO309" i="79"/>
  <c r="BL309" i="80"/>
  <c r="W313" i="80"/>
  <c r="EN310" i="79"/>
  <c r="AE311" i="79"/>
  <c r="EN307" i="79"/>
  <c r="CJ310" i="79"/>
  <c r="H310" i="80"/>
  <c r="AN310" i="80" s="1"/>
  <c r="CB309" i="79"/>
  <c r="EV306" i="79"/>
  <c r="FL307" i="79"/>
  <c r="DA307" i="79"/>
  <c r="FC313" i="80"/>
  <c r="O313" i="80"/>
  <c r="CB310" i="79"/>
  <c r="BK311" i="79"/>
  <c r="CA311" i="79"/>
  <c r="DW311" i="79"/>
  <c r="H310" i="85"/>
  <c r="J174" i="90" s="1"/>
  <c r="CR307" i="80"/>
  <c r="CT307" i="80" s="1"/>
  <c r="BT309" i="80"/>
  <c r="BV309" i="80" s="1"/>
  <c r="CZ307" i="79"/>
  <c r="EO307" i="79"/>
  <c r="DO313" i="79"/>
  <c r="DG313" i="79"/>
  <c r="EV310" i="79"/>
  <c r="X310" i="79"/>
  <c r="AN310" i="79"/>
  <c r="G313" i="79"/>
  <c r="W311" i="79"/>
  <c r="W313" i="79" s="1"/>
  <c r="EF306" i="79"/>
  <c r="CZ310" i="79"/>
  <c r="FM307" i="79"/>
  <c r="CC309" i="79"/>
  <c r="FD306" i="79"/>
  <c r="CQ313" i="80"/>
  <c r="FM309" i="80"/>
  <c r="FN309" i="80" s="1"/>
  <c r="DX310" i="79"/>
  <c r="BL310" i="79"/>
  <c r="BS311" i="79"/>
  <c r="CQ311" i="79"/>
  <c r="EE311" i="79"/>
  <c r="FC311" i="79"/>
  <c r="EV307" i="80"/>
  <c r="EX307" i="80" s="1"/>
  <c r="BS313" i="80"/>
  <c r="CI313" i="80"/>
  <c r="EE313" i="79"/>
  <c r="DP306" i="79"/>
  <c r="DA307" i="80"/>
  <c r="BD306" i="79"/>
  <c r="FD310" i="79"/>
  <c r="CR310" i="79"/>
  <c r="BK313" i="80"/>
  <c r="DP310" i="79"/>
  <c r="FE309" i="80"/>
  <c r="FF309" i="80" s="1"/>
  <c r="FK311" i="79"/>
  <c r="O311" i="79"/>
  <c r="CZ307" i="80"/>
  <c r="AV310" i="79"/>
  <c r="BT310" i="79"/>
  <c r="AU313" i="79"/>
  <c r="FK313" i="80"/>
  <c r="CY291" i="79"/>
  <c r="EE291" i="79"/>
  <c r="W291" i="79"/>
  <c r="AE291" i="80"/>
  <c r="DW291" i="80"/>
  <c r="EU291" i="79"/>
  <c r="O291" i="79"/>
  <c r="DO291" i="79"/>
  <c r="DP291" i="79" s="1"/>
  <c r="AM291" i="79"/>
  <c r="BK291" i="79"/>
  <c r="CQ291" i="79"/>
  <c r="AE291" i="79"/>
  <c r="DW291" i="79"/>
  <c r="FC291" i="79"/>
  <c r="CY291" i="80"/>
  <c r="CI291" i="79"/>
  <c r="CJ291" i="79" s="1"/>
  <c r="BS291" i="79"/>
  <c r="DG291" i="79"/>
  <c r="DH291" i="79" s="1"/>
  <c r="BC291" i="79"/>
  <c r="FC291" i="80"/>
  <c r="DG291" i="80"/>
  <c r="BC291" i="80"/>
  <c r="FK291" i="80"/>
  <c r="EM291" i="80"/>
  <c r="EM298" i="80" s="1"/>
  <c r="O291" i="80"/>
  <c r="AM291" i="80"/>
  <c r="AM298" i="80" s="1"/>
  <c r="EE291" i="80"/>
  <c r="DO291" i="80"/>
  <c r="EU291" i="80"/>
  <c r="CQ291" i="80"/>
  <c r="W291" i="80"/>
  <c r="CA291" i="80"/>
  <c r="BK291" i="80"/>
  <c r="AU291" i="80"/>
  <c r="CI291" i="80"/>
  <c r="FC297" i="79"/>
  <c r="CA297" i="79"/>
  <c r="AE297" i="79"/>
  <c r="CQ297" i="79"/>
  <c r="CY297" i="80"/>
  <c r="W297" i="80"/>
  <c r="EM297" i="79"/>
  <c r="AU297" i="80"/>
  <c r="FC297" i="80"/>
  <c r="CA297" i="80"/>
  <c r="BK297" i="80"/>
  <c r="DG297" i="80"/>
  <c r="BC297" i="80"/>
  <c r="BC298" i="80" s="1"/>
  <c r="EM297" i="80"/>
  <c r="DO297" i="80"/>
  <c r="O297" i="80"/>
  <c r="AE297" i="80"/>
  <c r="CQ297" i="80"/>
  <c r="EU297" i="80"/>
  <c r="EE297" i="80"/>
  <c r="CI297" i="80"/>
  <c r="FK297" i="80"/>
  <c r="AM297" i="80"/>
  <c r="FD293" i="79"/>
  <c r="FE293" i="79"/>
  <c r="BS292" i="80"/>
  <c r="BK292" i="80"/>
  <c r="CA294" i="80"/>
  <c r="CB294" i="80" s="1"/>
  <c r="AU296" i="80"/>
  <c r="AV296" i="80" s="1"/>
  <c r="FC296" i="79"/>
  <c r="AM292" i="80"/>
  <c r="BC292" i="80"/>
  <c r="AF293" i="79"/>
  <c r="AH293" i="79" s="1"/>
  <c r="FK295" i="79"/>
  <c r="O296" i="80"/>
  <c r="P296" i="80" s="1"/>
  <c r="AU292" i="80"/>
  <c r="O292" i="80"/>
  <c r="CS293" i="80"/>
  <c r="CR293" i="80"/>
  <c r="DP296" i="80"/>
  <c r="DQ296" i="80"/>
  <c r="CY296" i="80"/>
  <c r="EE296" i="80"/>
  <c r="EE293" i="80"/>
  <c r="EU293" i="80"/>
  <c r="AO293" i="80"/>
  <c r="AP293" i="80" s="1"/>
  <c r="EV294" i="79"/>
  <c r="EX294" i="79" s="1"/>
  <c r="EN296" i="80"/>
  <c r="EP296" i="80" s="1"/>
  <c r="CZ293" i="79"/>
  <c r="DB293" i="79" s="1"/>
  <c r="EU296" i="80"/>
  <c r="EO293" i="79"/>
  <c r="EP293" i="79" s="1"/>
  <c r="AE293" i="80"/>
  <c r="CY293" i="80"/>
  <c r="DA293" i="80" s="1"/>
  <c r="BS293" i="80"/>
  <c r="DG295" i="79"/>
  <c r="CQ296" i="80"/>
  <c r="EN293" i="80"/>
  <c r="EP293" i="80" s="1"/>
  <c r="CA296" i="80"/>
  <c r="BC296" i="80"/>
  <c r="DG293" i="80"/>
  <c r="AU293" i="80"/>
  <c r="DO295" i="79"/>
  <c r="BK296" i="80"/>
  <c r="BS296" i="80"/>
  <c r="BL293" i="80"/>
  <c r="BN293" i="80" s="1"/>
  <c r="DX294" i="79"/>
  <c r="DZ294" i="79" s="1"/>
  <c r="BD293" i="80"/>
  <c r="BF293" i="80" s="1"/>
  <c r="DG296" i="80"/>
  <c r="O293" i="80"/>
  <c r="CI293" i="80"/>
  <c r="EE292" i="79"/>
  <c r="W296" i="80"/>
  <c r="DY296" i="80"/>
  <c r="DZ296" i="80" s="1"/>
  <c r="FK296" i="80"/>
  <c r="FM296" i="80" s="1"/>
  <c r="DY293" i="80"/>
  <c r="DZ293" i="80" s="1"/>
  <c r="FC296" i="80"/>
  <c r="AE296" i="80"/>
  <c r="G298" i="80"/>
  <c r="W293" i="80"/>
  <c r="DO293" i="80"/>
  <c r="FC293" i="80"/>
  <c r="CA293" i="80"/>
  <c r="DG292" i="79"/>
  <c r="DO292" i="79"/>
  <c r="EM295" i="79"/>
  <c r="AM296" i="80"/>
  <c r="EV296" i="79"/>
  <c r="EW296" i="79"/>
  <c r="AG296" i="79"/>
  <c r="AH296" i="79" s="1"/>
  <c r="Q296" i="80"/>
  <c r="CQ296" i="79"/>
  <c r="CS296" i="79" s="1"/>
  <c r="DW296" i="79"/>
  <c r="EM296" i="79"/>
  <c r="BD296" i="79"/>
  <c r="BF296" i="79" s="1"/>
  <c r="BK296" i="79"/>
  <c r="CI296" i="79"/>
  <c r="FL296" i="80"/>
  <c r="CA296" i="79"/>
  <c r="CC296" i="79" s="1"/>
  <c r="DG296" i="79"/>
  <c r="FK296" i="79"/>
  <c r="FK298" i="79" s="1"/>
  <c r="CQ298" i="79"/>
  <c r="CY296" i="79"/>
  <c r="DO296" i="79"/>
  <c r="X295" i="80"/>
  <c r="FK294" i="80"/>
  <c r="FL294" i="80" s="1"/>
  <c r="P291" i="79"/>
  <c r="H348" i="80"/>
  <c r="H349" i="85"/>
  <c r="CZ348" i="79"/>
  <c r="EN348" i="79"/>
  <c r="CJ348" i="79"/>
  <c r="DX348" i="79"/>
  <c r="BT348" i="79"/>
  <c r="DH348" i="79"/>
  <c r="BD348" i="79"/>
  <c r="CR348" i="79"/>
  <c r="FL348" i="79"/>
  <c r="AN348" i="79"/>
  <c r="CB348" i="79"/>
  <c r="EV348" i="79"/>
  <c r="X348" i="79"/>
  <c r="BL348" i="79"/>
  <c r="EF348" i="79"/>
  <c r="P348" i="79"/>
  <c r="AV348" i="79"/>
  <c r="DP348" i="79"/>
  <c r="FD348" i="79"/>
  <c r="AF348" i="79"/>
  <c r="G5" i="69"/>
  <c r="G6" i="69" s="1"/>
  <c r="F5" i="69"/>
  <c r="F6" i="69" s="1"/>
  <c r="C4" i="69"/>
  <c r="E5" i="69"/>
  <c r="E6" i="69" s="1"/>
  <c r="D5" i="69"/>
  <c r="D6" i="69" s="1"/>
  <c r="BL348" i="80"/>
  <c r="FL348" i="80"/>
  <c r="DP348" i="80"/>
  <c r="DH348" i="80"/>
  <c r="AV348" i="80"/>
  <c r="FK87" i="79"/>
  <c r="DW18" i="80"/>
  <c r="DW412" i="80" s="1"/>
  <c r="AM87" i="79"/>
  <c r="BC87" i="79"/>
  <c r="BS87" i="79"/>
  <c r="J309" i="80"/>
  <c r="FD67" i="79"/>
  <c r="FF67" i="79" s="1"/>
  <c r="DQ277" i="80"/>
  <c r="FC87" i="79"/>
  <c r="FK25" i="79"/>
  <c r="FK401" i="79" s="1"/>
  <c r="AG278" i="80"/>
  <c r="BK18" i="80"/>
  <c r="BK412" i="80" s="1"/>
  <c r="O25" i="79"/>
  <c r="O401" i="79" s="1"/>
  <c r="EE25" i="79"/>
  <c r="EE401" i="79" s="1"/>
  <c r="CY87" i="79"/>
  <c r="AE87" i="79"/>
  <c r="AU87" i="79"/>
  <c r="AE22" i="80"/>
  <c r="AE398" i="80" s="1"/>
  <c r="FK22" i="80"/>
  <c r="FK398" i="80" s="1"/>
  <c r="DG22" i="80"/>
  <c r="DG398" i="80" s="1"/>
  <c r="DO22" i="80"/>
  <c r="DO398" i="80" s="1"/>
  <c r="CA142" i="79"/>
  <c r="CC142" i="79" s="1"/>
  <c r="Q42" i="35"/>
  <c r="BK97" i="79"/>
  <c r="BL97" i="79" s="1"/>
  <c r="I311" i="80"/>
  <c r="I185" i="85"/>
  <c r="K103" i="90" s="1"/>
  <c r="J229" i="80"/>
  <c r="CS70" i="79"/>
  <c r="BE277" i="80"/>
  <c r="BU278" i="80"/>
  <c r="G401" i="79"/>
  <c r="DO18" i="79"/>
  <c r="DO412" i="79" s="1"/>
  <c r="EM25" i="79"/>
  <c r="EM401" i="79" s="1"/>
  <c r="CQ25" i="79"/>
  <c r="CQ401" i="79" s="1"/>
  <c r="CI87" i="79"/>
  <c r="W87" i="79"/>
  <c r="CQ120" i="79"/>
  <c r="CS120" i="79" s="1"/>
  <c r="AM22" i="80"/>
  <c r="AM398" i="80" s="1"/>
  <c r="AM103" i="79"/>
  <c r="CI103" i="79"/>
  <c r="FM250" i="80"/>
  <c r="Y277" i="80"/>
  <c r="EW277" i="80"/>
  <c r="FK18" i="80"/>
  <c r="FK412" i="80" s="1"/>
  <c r="AU18" i="79"/>
  <c r="AU412" i="79" s="1"/>
  <c r="CA25" i="79"/>
  <c r="CA401" i="79" s="1"/>
  <c r="CI25" i="79"/>
  <c r="CI401" i="79" s="1"/>
  <c r="DW87" i="79"/>
  <c r="W106" i="79"/>
  <c r="X106" i="79" s="1"/>
  <c r="CI22" i="80"/>
  <c r="CI398" i="80" s="1"/>
  <c r="AE131" i="79"/>
  <c r="I311" i="79"/>
  <c r="AO311" i="79" s="1"/>
  <c r="AG277" i="80"/>
  <c r="EU25" i="79"/>
  <c r="EU401" i="79" s="1"/>
  <c r="AM25" i="79"/>
  <c r="AM401" i="79" s="1"/>
  <c r="BK87" i="79"/>
  <c r="BK106" i="79"/>
  <c r="BL106" i="79" s="1"/>
  <c r="AE147" i="79"/>
  <c r="AG147" i="79" s="1"/>
  <c r="BS22" i="80"/>
  <c r="BS398" i="80" s="1"/>
  <c r="CS278" i="80"/>
  <c r="I185" i="80"/>
  <c r="EO185" i="80" s="1"/>
  <c r="H297" i="80"/>
  <c r="CB297" i="80" s="1"/>
  <c r="EO277" i="80"/>
  <c r="BK131" i="79"/>
  <c r="BC18" i="79"/>
  <c r="BC412" i="79" s="1"/>
  <c r="BS25" i="79"/>
  <c r="BS401" i="79" s="1"/>
  <c r="W25" i="79"/>
  <c r="W401" i="79" s="1"/>
  <c r="AM106" i="79"/>
  <c r="AN106" i="79" s="1"/>
  <c r="DW120" i="79"/>
  <c r="DY120" i="79" s="1"/>
  <c r="EM87" i="79"/>
  <c r="DW22" i="80"/>
  <c r="DX22" i="80" s="1"/>
  <c r="DX398" i="80" s="1"/>
  <c r="AU22" i="80"/>
  <c r="AU398" i="80" s="1"/>
  <c r="EU22" i="80"/>
  <c r="EU398" i="80" s="1"/>
  <c r="BC22" i="80"/>
  <c r="BC398" i="80" s="1"/>
  <c r="EE22" i="80"/>
  <c r="EE398" i="80" s="1"/>
  <c r="W22" i="80"/>
  <c r="W398" i="80" s="1"/>
  <c r="O22" i="80"/>
  <c r="O398" i="80" s="1"/>
  <c r="J280" i="79"/>
  <c r="J277" i="79"/>
  <c r="BU277" i="80"/>
  <c r="AO277" i="80"/>
  <c r="EE87" i="79"/>
  <c r="EW154" i="80"/>
  <c r="AU25" i="79"/>
  <c r="AU401" i="79" s="1"/>
  <c r="FC22" i="80"/>
  <c r="FC398" i="80" s="1"/>
  <c r="DO87" i="79"/>
  <c r="CA87" i="79"/>
  <c r="O106" i="79"/>
  <c r="Q106" i="79" s="1"/>
  <c r="DG87" i="79"/>
  <c r="CA22" i="80"/>
  <c r="CA398" i="80" s="1"/>
  <c r="BK22" i="80"/>
  <c r="BK398" i="80" s="1"/>
  <c r="CQ22" i="80"/>
  <c r="CQ398" i="80" s="1"/>
  <c r="H311" i="80"/>
  <c r="BD311" i="80" s="1"/>
  <c r="H278" i="80"/>
  <c r="FL278" i="80" s="1"/>
  <c r="FN278" i="80" s="1"/>
  <c r="DH206" i="79"/>
  <c r="X278" i="79"/>
  <c r="CZ278" i="79"/>
  <c r="AN206" i="79"/>
  <c r="AV278" i="79"/>
  <c r="BT278" i="79"/>
  <c r="H311" i="79"/>
  <c r="CZ311" i="79" s="1"/>
  <c r="H278" i="85"/>
  <c r="J158" i="90" s="1"/>
  <c r="CB206" i="79"/>
  <c r="AF206" i="79"/>
  <c r="CJ278" i="79"/>
  <c r="BL278" i="79"/>
  <c r="AF278" i="79"/>
  <c r="G418" i="80"/>
  <c r="BD206" i="79"/>
  <c r="P278" i="79"/>
  <c r="CJ97" i="79"/>
  <c r="AN278" i="79"/>
  <c r="DP278" i="79"/>
  <c r="BD278" i="79"/>
  <c r="CB278" i="79"/>
  <c r="CR278" i="79"/>
  <c r="EV278" i="79"/>
  <c r="EN278" i="79"/>
  <c r="DH278" i="79"/>
  <c r="DG25" i="80"/>
  <c r="DI25" i="80" s="1"/>
  <c r="DI401" i="80" s="1"/>
  <c r="EM110" i="79"/>
  <c r="DW125" i="79"/>
  <c r="DY125" i="79" s="1"/>
  <c r="W126" i="79"/>
  <c r="Y126" i="79" s="1"/>
  <c r="CY90" i="80"/>
  <c r="CZ90" i="80" s="1"/>
  <c r="BU370" i="79"/>
  <c r="DG126" i="79"/>
  <c r="DI126" i="79" s="1"/>
  <c r="O113" i="80"/>
  <c r="P113" i="80" s="1"/>
  <c r="DH64" i="79"/>
  <c r="DJ64" i="79" s="1"/>
  <c r="DG57" i="80"/>
  <c r="EU90" i="80"/>
  <c r="EV90" i="80" s="1"/>
  <c r="AM126" i="79"/>
  <c r="AO126" i="79" s="1"/>
  <c r="AU126" i="79"/>
  <c r="AW126" i="79" s="1"/>
  <c r="EE57" i="80"/>
  <c r="EE113" i="80"/>
  <c r="EF113" i="80" s="1"/>
  <c r="H187" i="80"/>
  <c r="X187" i="80" s="1"/>
  <c r="J199" i="79"/>
  <c r="H187" i="79"/>
  <c r="X187" i="79" s="1"/>
  <c r="CZ295" i="80"/>
  <c r="AF246" i="79"/>
  <c r="EV280" i="80"/>
  <c r="BT280" i="80"/>
  <c r="EW370" i="79"/>
  <c r="FE370" i="79"/>
  <c r="AO370" i="79"/>
  <c r="I307" i="80"/>
  <c r="G72" i="37"/>
  <c r="G12" i="37" s="1"/>
  <c r="G73" i="37"/>
  <c r="G13" i="37" s="1"/>
  <c r="F73" i="37"/>
  <c r="E72" i="37"/>
  <c r="W489" i="80"/>
  <c r="W466" i="80" s="1"/>
  <c r="W301" i="80" s="1"/>
  <c r="EE487" i="79"/>
  <c r="EE488" i="79" s="1"/>
  <c r="EE481" i="79"/>
  <c r="AU480" i="79"/>
  <c r="FK483" i="80"/>
  <c r="J31" i="26"/>
  <c r="J191" i="85" s="1"/>
  <c r="L107" i="90" s="1"/>
  <c r="G191" i="80"/>
  <c r="AM487" i="80"/>
  <c r="AM488" i="80" s="1"/>
  <c r="AM489" i="80" s="1"/>
  <c r="AE481" i="79"/>
  <c r="CQ483" i="80"/>
  <c r="I31" i="26"/>
  <c r="I191" i="79" s="1"/>
  <c r="EO191" i="79" s="1"/>
  <c r="G36" i="26"/>
  <c r="G77" i="26" s="1"/>
  <c r="AU481" i="80"/>
  <c r="DG487" i="79"/>
  <c r="DG488" i="79" s="1"/>
  <c r="EE483" i="80"/>
  <c r="DG480" i="80"/>
  <c r="H31" i="26"/>
  <c r="H191" i="85" s="1"/>
  <c r="J107" i="90" s="1"/>
  <c r="BS484" i="79"/>
  <c r="BS465" i="79" s="1"/>
  <c r="BS191" i="79" s="1"/>
  <c r="AA37" i="77"/>
  <c r="AU483" i="80"/>
  <c r="AM484" i="80"/>
  <c r="AM465" i="80" s="1"/>
  <c r="AM191" i="80" s="1"/>
  <c r="CI483" i="80"/>
  <c r="CI480" i="80"/>
  <c r="FK481" i="79"/>
  <c r="BC488" i="80"/>
  <c r="BC489" i="80" s="1"/>
  <c r="BC466" i="80" s="1"/>
  <c r="BC301" i="80" s="1"/>
  <c r="BC302" i="80" s="1"/>
  <c r="AE488" i="80"/>
  <c r="AE489" i="80" s="1"/>
  <c r="AE466" i="80" s="1"/>
  <c r="AE301" i="80" s="1"/>
  <c r="O488" i="80"/>
  <c r="O489" i="80" s="1"/>
  <c r="O466" i="80" s="1"/>
  <c r="O301" i="80" s="1"/>
  <c r="O302" i="80" s="1"/>
  <c r="BC488" i="79"/>
  <c r="AU466" i="80"/>
  <c r="AU301" i="80" s="1"/>
  <c r="AU302" i="80" s="1"/>
  <c r="BK490" i="79"/>
  <c r="DO490" i="79"/>
  <c r="DO489" i="79" s="1"/>
  <c r="DO466" i="79" s="1"/>
  <c r="DO301" i="79" s="1"/>
  <c r="BS490" i="79"/>
  <c r="EM490" i="79"/>
  <c r="EM489" i="79" s="1"/>
  <c r="O490" i="79"/>
  <c r="CA490" i="79"/>
  <c r="EE490" i="79"/>
  <c r="EE489" i="79" s="1"/>
  <c r="DW493" i="79"/>
  <c r="W490" i="79"/>
  <c r="CQ490" i="79"/>
  <c r="CQ489" i="79" s="1"/>
  <c r="EU490" i="79"/>
  <c r="AE490" i="79"/>
  <c r="AE489" i="79" s="1"/>
  <c r="AE466" i="79" s="1"/>
  <c r="AE301" i="79" s="1"/>
  <c r="AE302" i="79" s="1"/>
  <c r="DG490" i="79"/>
  <c r="FK490" i="79"/>
  <c r="FK489" i="79" s="1"/>
  <c r="AU490" i="79"/>
  <c r="CI490" i="79"/>
  <c r="FC490" i="79"/>
  <c r="FK489" i="80"/>
  <c r="FK466" i="80" s="1"/>
  <c r="FK301" i="80" s="1"/>
  <c r="FK302" i="80" s="1"/>
  <c r="AM490" i="79"/>
  <c r="AM489" i="79" s="1"/>
  <c r="CY490" i="79"/>
  <c r="AU493" i="79"/>
  <c r="BC490" i="79"/>
  <c r="BC489" i="79" s="1"/>
  <c r="W493" i="79"/>
  <c r="EU466" i="80"/>
  <c r="EU301" i="80" s="1"/>
  <c r="EU302" i="80" s="1"/>
  <c r="FK493" i="79"/>
  <c r="CA493" i="79"/>
  <c r="CY493" i="79"/>
  <c r="FC493" i="79"/>
  <c r="G466" i="79"/>
  <c r="BC493" i="79"/>
  <c r="EE493" i="79"/>
  <c r="AM466" i="80"/>
  <c r="AM301" i="80" s="1"/>
  <c r="AE493" i="79"/>
  <c r="CI493" i="79"/>
  <c r="DG493" i="79"/>
  <c r="EM493" i="79"/>
  <c r="BK493" i="79"/>
  <c r="DO493" i="79"/>
  <c r="O493" i="79"/>
  <c r="AM493" i="79"/>
  <c r="CQ493" i="79"/>
  <c r="EM466" i="80"/>
  <c r="EM301" i="80" s="1"/>
  <c r="EM302" i="80" s="1"/>
  <c r="BS493" i="79"/>
  <c r="FC487" i="79"/>
  <c r="FC488" i="79" s="1"/>
  <c r="FC481" i="79"/>
  <c r="FC484" i="79" s="1"/>
  <c r="FC465" i="79" s="1"/>
  <c r="FC191" i="79" s="1"/>
  <c r="CI487" i="79"/>
  <c r="CI488" i="79" s="1"/>
  <c r="CI481" i="79"/>
  <c r="CQ487" i="80"/>
  <c r="CQ488" i="80" s="1"/>
  <c r="CQ489" i="80" s="1"/>
  <c r="CQ466" i="80" s="1"/>
  <c r="CQ301" i="80" s="1"/>
  <c r="CQ302" i="80" s="1"/>
  <c r="CQ481" i="80"/>
  <c r="CQ484" i="80" s="1"/>
  <c r="CQ465" i="80" s="1"/>
  <c r="CQ191" i="80" s="1"/>
  <c r="EU484" i="80"/>
  <c r="EU465" i="80" s="1"/>
  <c r="EU191" i="80" s="1"/>
  <c r="O480" i="79"/>
  <c r="AM483" i="79"/>
  <c r="DO483" i="79"/>
  <c r="DO484" i="79" s="1"/>
  <c r="DO465" i="79" s="1"/>
  <c r="DO191" i="79" s="1"/>
  <c r="CY483" i="80"/>
  <c r="CY484" i="80" s="1"/>
  <c r="CY465" i="80" s="1"/>
  <c r="CY191" i="80" s="1"/>
  <c r="BK483" i="80"/>
  <c r="BS483" i="80"/>
  <c r="BS484" i="80" s="1"/>
  <c r="BS465" i="80" s="1"/>
  <c r="BS191" i="80" s="1"/>
  <c r="EM484" i="80"/>
  <c r="EM465" i="80" s="1"/>
  <c r="EM191" i="80" s="1"/>
  <c r="EE481" i="80"/>
  <c r="AU484" i="80"/>
  <c r="AU465" i="80" s="1"/>
  <c r="AU191" i="80" s="1"/>
  <c r="CA487" i="79"/>
  <c r="CA488" i="79" s="1"/>
  <c r="O483" i="79"/>
  <c r="W483" i="79"/>
  <c r="CY483" i="79"/>
  <c r="CY484" i="79" s="1"/>
  <c r="CY465" i="79" s="1"/>
  <c r="CY191" i="79" s="1"/>
  <c r="BC483" i="80"/>
  <c r="BC484" i="80" s="1"/>
  <c r="BC465" i="80" s="1"/>
  <c r="BC191" i="80" s="1"/>
  <c r="DW483" i="80"/>
  <c r="DW484" i="80" s="1"/>
  <c r="DW465" i="80" s="1"/>
  <c r="DW191" i="80" s="1"/>
  <c r="E71" i="37"/>
  <c r="BK487" i="79"/>
  <c r="BK488" i="79" s="1"/>
  <c r="W481" i="80"/>
  <c r="W484" i="80" s="1"/>
  <c r="W465" i="80" s="1"/>
  <c r="W191" i="80" s="1"/>
  <c r="FK481" i="80"/>
  <c r="FK484" i="80" s="1"/>
  <c r="FK465" i="80" s="1"/>
  <c r="FK191" i="80" s="1"/>
  <c r="EU487" i="79"/>
  <c r="EU488" i="79" s="1"/>
  <c r="EU489" i="79" s="1"/>
  <c r="EU466" i="79" s="1"/>
  <c r="EU301" i="79" s="1"/>
  <c r="AE483" i="79"/>
  <c r="BK483" i="79"/>
  <c r="BK484" i="79" s="1"/>
  <c r="BK465" i="79" s="1"/>
  <c r="BK191" i="79" s="1"/>
  <c r="EE483" i="79"/>
  <c r="EE484" i="79" s="1"/>
  <c r="EE465" i="79" s="1"/>
  <c r="EE191" i="79" s="1"/>
  <c r="CA483" i="80"/>
  <c r="CA484" i="80" s="1"/>
  <c r="CA465" i="80" s="1"/>
  <c r="CA191" i="80" s="1"/>
  <c r="FC483" i="80"/>
  <c r="FC484" i="80" s="1"/>
  <c r="FC465" i="80" s="1"/>
  <c r="FC191" i="80" s="1"/>
  <c r="BK480" i="80"/>
  <c r="BS487" i="79"/>
  <c r="BS488" i="79" s="1"/>
  <c r="BS489" i="79" s="1"/>
  <c r="AM481" i="79"/>
  <c r="AM484" i="79" s="1"/>
  <c r="AM465" i="79" s="1"/>
  <c r="AM191" i="79" s="1"/>
  <c r="CI483" i="79"/>
  <c r="CA483" i="79"/>
  <c r="CA484" i="79" s="1"/>
  <c r="CA465" i="79" s="1"/>
  <c r="CA191" i="79" s="1"/>
  <c r="EU483" i="79"/>
  <c r="DG483" i="80"/>
  <c r="AE483" i="80"/>
  <c r="AE484" i="80" s="1"/>
  <c r="AE465" i="80" s="1"/>
  <c r="AE191" i="80" s="1"/>
  <c r="CQ484" i="79"/>
  <c r="CQ465" i="79" s="1"/>
  <c r="CQ191" i="79" s="1"/>
  <c r="BC483" i="79"/>
  <c r="BC484" i="79" s="1"/>
  <c r="BC465" i="79" s="1"/>
  <c r="BC191" i="79" s="1"/>
  <c r="DG483" i="79"/>
  <c r="DG484" i="79" s="1"/>
  <c r="DG465" i="79" s="1"/>
  <c r="DG191" i="79" s="1"/>
  <c r="O483" i="80"/>
  <c r="O484" i="80" s="1"/>
  <c r="O465" i="80" s="1"/>
  <c r="O191" i="80" s="1"/>
  <c r="DO483" i="80"/>
  <c r="DO484" i="80" s="1"/>
  <c r="DO465" i="80" s="1"/>
  <c r="DO191" i="80" s="1"/>
  <c r="J25" i="27"/>
  <c r="J26" i="27" s="1"/>
  <c r="J302" i="85" s="1"/>
  <c r="G26" i="27"/>
  <c r="G302" i="85" s="1"/>
  <c r="G301" i="79"/>
  <c r="G301" i="80"/>
  <c r="I25" i="27"/>
  <c r="I26" i="27" s="1"/>
  <c r="I302" i="85" s="1"/>
  <c r="G301" i="85"/>
  <c r="I168" i="90" s="1"/>
  <c r="H25" i="27"/>
  <c r="H26" i="27" s="1"/>
  <c r="H302" i="85" s="1"/>
  <c r="DW480" i="79"/>
  <c r="G51" i="37"/>
  <c r="G11" i="37"/>
  <c r="G21" i="37" s="1"/>
  <c r="E73" i="37"/>
  <c r="E13" i="37" s="1"/>
  <c r="E12" i="37"/>
  <c r="F15" i="77" s="1"/>
  <c r="AA15" i="77" s="1"/>
  <c r="E11" i="37"/>
  <c r="CY489" i="79"/>
  <c r="EE489" i="80"/>
  <c r="EE466" i="80" s="1"/>
  <c r="EE301" i="80" s="1"/>
  <c r="EE302" i="80" s="1"/>
  <c r="DW302" i="80"/>
  <c r="EU484" i="79"/>
  <c r="EU465" i="79" s="1"/>
  <c r="EU191" i="79" s="1"/>
  <c r="FK484" i="79"/>
  <c r="FK465" i="79" s="1"/>
  <c r="FK191" i="79" s="1"/>
  <c r="G465" i="79"/>
  <c r="CY302" i="80"/>
  <c r="W302" i="80"/>
  <c r="DO302" i="80"/>
  <c r="W480" i="79"/>
  <c r="AE484" i="79"/>
  <c r="AE465" i="79" s="1"/>
  <c r="AE191" i="79" s="1"/>
  <c r="G14" i="69"/>
  <c r="F14" i="69"/>
  <c r="DG371" i="80"/>
  <c r="DW371" i="80"/>
  <c r="DO371" i="80"/>
  <c r="BS371" i="80"/>
  <c r="FK371" i="80"/>
  <c r="AM371" i="80"/>
  <c r="AU371" i="80"/>
  <c r="I189" i="80"/>
  <c r="AG189" i="80" s="1"/>
  <c r="J270" i="85"/>
  <c r="L153" i="90" s="1"/>
  <c r="O372" i="79"/>
  <c r="CY372" i="79"/>
  <c r="FC372" i="79"/>
  <c r="EU372" i="79"/>
  <c r="CR279" i="80"/>
  <c r="G366" i="85"/>
  <c r="I177" i="90" s="1"/>
  <c r="I178" i="79"/>
  <c r="J270" i="79"/>
  <c r="AE372" i="79"/>
  <c r="DW372" i="79"/>
  <c r="BS372" i="80"/>
  <c r="X279" i="80"/>
  <c r="DP279" i="80"/>
  <c r="H180" i="80"/>
  <c r="BK372" i="79"/>
  <c r="EE372" i="79"/>
  <c r="W372" i="80"/>
  <c r="G371" i="79"/>
  <c r="FL279" i="80"/>
  <c r="BS372" i="79"/>
  <c r="EM372" i="79"/>
  <c r="I371" i="80"/>
  <c r="EG371" i="80" s="1"/>
  <c r="E14" i="35"/>
  <c r="H366" i="85" s="1"/>
  <c r="J177" i="90" s="1"/>
  <c r="BD279" i="80"/>
  <c r="CA372" i="79"/>
  <c r="BC372" i="79"/>
  <c r="CJ279" i="80"/>
  <c r="BL279" i="80"/>
  <c r="AV279" i="80"/>
  <c r="EE372" i="80"/>
  <c r="W372" i="79"/>
  <c r="AM372" i="79"/>
  <c r="AM372" i="80"/>
  <c r="FD279" i="80"/>
  <c r="FF279" i="80" s="1"/>
  <c r="BT279" i="80"/>
  <c r="DX279" i="80"/>
  <c r="DZ279" i="80" s="1"/>
  <c r="CQ372" i="80"/>
  <c r="AE370" i="80"/>
  <c r="CA370" i="80"/>
  <c r="EU370" i="80"/>
  <c r="DO370" i="80"/>
  <c r="W370" i="80"/>
  <c r="EM370" i="80"/>
  <c r="CQ370" i="80"/>
  <c r="DG370" i="80"/>
  <c r="BS370" i="80"/>
  <c r="CI370" i="80"/>
  <c r="FC370" i="80"/>
  <c r="O370" i="80"/>
  <c r="CY370" i="80"/>
  <c r="EE370" i="80"/>
  <c r="G370" i="85"/>
  <c r="I181" i="90" s="1"/>
  <c r="G18" i="35"/>
  <c r="J375" i="79" s="1"/>
  <c r="F18" i="35"/>
  <c r="I375" i="80" s="1"/>
  <c r="FE375" i="80" s="1"/>
  <c r="G375" i="79"/>
  <c r="E18" i="35"/>
  <c r="G375" i="80"/>
  <c r="G374" i="79"/>
  <c r="G17" i="35"/>
  <c r="J374" i="79" s="1"/>
  <c r="CD374" i="79" s="1"/>
  <c r="G374" i="80"/>
  <c r="G369" i="85"/>
  <c r="I180" i="90" s="1"/>
  <c r="F17" i="35"/>
  <c r="I369" i="85" s="1"/>
  <c r="K180" i="90" s="1"/>
  <c r="E17" i="35"/>
  <c r="Q17" i="35" s="1"/>
  <c r="S17" i="35" s="1"/>
  <c r="CZ373" i="79"/>
  <c r="AN373" i="79"/>
  <c r="FL373" i="79"/>
  <c r="I210" i="79"/>
  <c r="Y210" i="79" s="1"/>
  <c r="G378" i="80"/>
  <c r="BC371" i="80"/>
  <c r="CA371" i="80"/>
  <c r="AU373" i="80"/>
  <c r="DG373" i="80"/>
  <c r="FK373" i="80"/>
  <c r="BC372" i="80"/>
  <c r="CA372" i="80"/>
  <c r="FD246" i="79"/>
  <c r="E14" i="82"/>
  <c r="G373" i="79"/>
  <c r="D17" i="82"/>
  <c r="O372" i="80"/>
  <c r="EE371" i="80"/>
  <c r="CI371" i="80"/>
  <c r="BC373" i="80"/>
  <c r="DO373" i="80"/>
  <c r="FK372" i="80"/>
  <c r="F14" i="82"/>
  <c r="DA192" i="80"/>
  <c r="F16" i="35"/>
  <c r="I373" i="80" s="1"/>
  <c r="CS373" i="80" s="1"/>
  <c r="H214" i="79"/>
  <c r="BK371" i="80"/>
  <c r="W373" i="80"/>
  <c r="DW373" i="80"/>
  <c r="CI372" i="80"/>
  <c r="EN246" i="79"/>
  <c r="O371" i="80"/>
  <c r="G14" i="82"/>
  <c r="CY372" i="80"/>
  <c r="D18" i="82"/>
  <c r="I193" i="79"/>
  <c r="FM193" i="79" s="1"/>
  <c r="EM371" i="80"/>
  <c r="CQ371" i="80"/>
  <c r="BS373" i="80"/>
  <c r="EE373" i="80"/>
  <c r="AU372" i="80"/>
  <c r="AE372" i="80"/>
  <c r="EU372" i="80"/>
  <c r="DG372" i="80"/>
  <c r="H182" i="79"/>
  <c r="W371" i="80"/>
  <c r="EU371" i="80"/>
  <c r="CY371" i="80"/>
  <c r="CA373" i="80"/>
  <c r="BK373" i="80"/>
  <c r="O373" i="80"/>
  <c r="DO372" i="80"/>
  <c r="AE371" i="80"/>
  <c r="FC371" i="80"/>
  <c r="CI373" i="80"/>
  <c r="EM372" i="80"/>
  <c r="BK372" i="80"/>
  <c r="D21" i="35"/>
  <c r="AU370" i="80"/>
  <c r="BC370" i="80"/>
  <c r="BK370" i="80"/>
  <c r="AM370" i="80"/>
  <c r="I295" i="79"/>
  <c r="CC295" i="79" s="1"/>
  <c r="H200" i="79"/>
  <c r="CB200" i="79" s="1"/>
  <c r="J291" i="79"/>
  <c r="I210" i="85"/>
  <c r="K115" i="90" s="1"/>
  <c r="J306" i="79"/>
  <c r="I193" i="85"/>
  <c r="K109" i="90" s="1"/>
  <c r="J295" i="85"/>
  <c r="L165" i="90" s="1"/>
  <c r="H200" i="85"/>
  <c r="J113" i="90" s="1"/>
  <c r="J250" i="80"/>
  <c r="H182" i="80"/>
  <c r="J194" i="85"/>
  <c r="L110" i="90" s="1"/>
  <c r="H280" i="85"/>
  <c r="J160" i="90" s="1"/>
  <c r="BL246" i="79"/>
  <c r="DX246" i="79"/>
  <c r="G373" i="85"/>
  <c r="I295" i="80"/>
  <c r="CS295" i="80" s="1"/>
  <c r="J295" i="80"/>
  <c r="J250" i="85"/>
  <c r="L144" i="90" s="1"/>
  <c r="D22" i="35"/>
  <c r="G374" i="85" s="1"/>
  <c r="I231" i="79"/>
  <c r="EO231" i="79" s="1"/>
  <c r="J306" i="80"/>
  <c r="I231" i="80"/>
  <c r="FE231" i="80" s="1"/>
  <c r="J291" i="80"/>
  <c r="J232" i="79"/>
  <c r="AN246" i="79"/>
  <c r="BT246" i="79"/>
  <c r="X246" i="79"/>
  <c r="P246" i="79"/>
  <c r="DH246" i="79"/>
  <c r="H294" i="85"/>
  <c r="J164" i="90" s="1"/>
  <c r="J195" i="80"/>
  <c r="I181" i="79"/>
  <c r="CB280" i="80"/>
  <c r="I181" i="80"/>
  <c r="H294" i="80"/>
  <c r="J195" i="79"/>
  <c r="I247" i="79"/>
  <c r="FL280" i="80"/>
  <c r="EX270" i="80"/>
  <c r="AN280" i="80"/>
  <c r="I247" i="85"/>
  <c r="K141" i="90" s="1"/>
  <c r="B20" i="83"/>
  <c r="R6" i="82"/>
  <c r="B20" i="77"/>
  <c r="AE41" i="84"/>
  <c r="AE42" i="84" s="1"/>
  <c r="B33" i="77"/>
  <c r="AA33" i="77" s="1"/>
  <c r="B34" i="77"/>
  <c r="AA34" i="77" s="1"/>
  <c r="R6" i="35" s="1"/>
  <c r="AA20" i="77"/>
  <c r="B24" i="77"/>
  <c r="AA20" i="83"/>
  <c r="B24" i="83"/>
  <c r="R45" i="35"/>
  <c r="R46" i="35" s="1"/>
  <c r="R49" i="35" s="1"/>
  <c r="R53" i="35" s="1"/>
  <c r="AA17" i="77"/>
  <c r="Q44" i="82"/>
  <c r="AA17" i="83"/>
  <c r="R45" i="82"/>
  <c r="R46" i="82" s="1"/>
  <c r="R49" i="82" s="1"/>
  <c r="R53" i="82" s="1"/>
  <c r="AE29" i="84"/>
  <c r="Q42" i="82"/>
  <c r="I307" i="85"/>
  <c r="K171" i="90" s="1"/>
  <c r="H306" i="80"/>
  <c r="X306" i="80" s="1"/>
  <c r="J199" i="85"/>
  <c r="L112" i="90" s="1"/>
  <c r="I296" i="79"/>
  <c r="BT295" i="80"/>
  <c r="CJ295" i="80"/>
  <c r="BD295" i="80"/>
  <c r="EV295" i="80"/>
  <c r="H306" i="85"/>
  <c r="J170" i="90" s="1"/>
  <c r="J214" i="79"/>
  <c r="I296" i="80"/>
  <c r="EF295" i="80"/>
  <c r="FL295" i="80"/>
  <c r="J214" i="80"/>
  <c r="BL295" i="80"/>
  <c r="AV295" i="80"/>
  <c r="DP295" i="80"/>
  <c r="I270" i="79"/>
  <c r="J185" i="79"/>
  <c r="J185" i="85"/>
  <c r="L103" i="90" s="1"/>
  <c r="AN295" i="80"/>
  <c r="H248" i="85"/>
  <c r="J142" i="90" s="1"/>
  <c r="DJ309" i="80"/>
  <c r="DH295" i="80"/>
  <c r="H201" i="85"/>
  <c r="J114" i="90" s="1"/>
  <c r="H268" i="80"/>
  <c r="AF295" i="80"/>
  <c r="P295" i="80"/>
  <c r="CB295" i="80"/>
  <c r="H268" i="79"/>
  <c r="DX295" i="80"/>
  <c r="CR295" i="80"/>
  <c r="BV293" i="79"/>
  <c r="CS277" i="80"/>
  <c r="R307" i="79"/>
  <c r="DI276" i="80"/>
  <c r="FE276" i="80"/>
  <c r="EG276" i="80"/>
  <c r="Q249" i="80"/>
  <c r="FM249" i="80"/>
  <c r="I276" i="79"/>
  <c r="DA276" i="79" s="1"/>
  <c r="H185" i="85"/>
  <c r="J103" i="90" s="1"/>
  <c r="DI249" i="80"/>
  <c r="AO249" i="80"/>
  <c r="CS249" i="80"/>
  <c r="DY276" i="80"/>
  <c r="I276" i="85"/>
  <c r="K156" i="90" s="1"/>
  <c r="CC249" i="80"/>
  <c r="DA249" i="80"/>
  <c r="EO249" i="80"/>
  <c r="CS276" i="80"/>
  <c r="H249" i="80"/>
  <c r="H241" i="79"/>
  <c r="J245" i="85"/>
  <c r="L139" i="90" s="1"/>
  <c r="H205" i="80"/>
  <c r="CJ205" i="80" s="1"/>
  <c r="BE276" i="80"/>
  <c r="CK276" i="80"/>
  <c r="BM276" i="80"/>
  <c r="DQ276" i="80"/>
  <c r="H241" i="80"/>
  <c r="H249" i="85"/>
  <c r="J143" i="90" s="1"/>
  <c r="J245" i="79"/>
  <c r="H205" i="79"/>
  <c r="EF205" i="79" s="1"/>
  <c r="I241" i="80"/>
  <c r="H185" i="80"/>
  <c r="CZ185" i="80" s="1"/>
  <c r="BM249" i="80"/>
  <c r="AG249" i="80"/>
  <c r="BU276" i="80"/>
  <c r="AG276" i="80"/>
  <c r="DA276" i="80"/>
  <c r="FE249" i="80"/>
  <c r="Q276" i="80"/>
  <c r="AW276" i="80"/>
  <c r="AO276" i="80"/>
  <c r="EW276" i="80"/>
  <c r="Y276" i="80"/>
  <c r="FM276" i="80"/>
  <c r="CK249" i="80"/>
  <c r="CC276" i="80"/>
  <c r="EN185" i="79"/>
  <c r="J180" i="80"/>
  <c r="J192" i="80"/>
  <c r="H201" i="79"/>
  <c r="DP201" i="79" s="1"/>
  <c r="Q192" i="80"/>
  <c r="FL248" i="80"/>
  <c r="DX248" i="80"/>
  <c r="EF248" i="80"/>
  <c r="CB248" i="80"/>
  <c r="J206" i="80"/>
  <c r="J212" i="79"/>
  <c r="CR184" i="79"/>
  <c r="EO192" i="80"/>
  <c r="BD248" i="80"/>
  <c r="EF184" i="79"/>
  <c r="AM96" i="79"/>
  <c r="P248" i="80"/>
  <c r="DP155" i="79"/>
  <c r="J212" i="80"/>
  <c r="DH184" i="79"/>
  <c r="BT184" i="79"/>
  <c r="BE192" i="80"/>
  <c r="Y192" i="80"/>
  <c r="CZ184" i="79"/>
  <c r="AN184" i="79"/>
  <c r="BC111" i="79"/>
  <c r="CK192" i="80"/>
  <c r="X248" i="80"/>
  <c r="DH248" i="80"/>
  <c r="CS192" i="80"/>
  <c r="J246" i="79"/>
  <c r="CB184" i="79"/>
  <c r="EG192" i="80"/>
  <c r="EW192" i="80"/>
  <c r="AU111" i="79"/>
  <c r="AF248" i="80"/>
  <c r="BL248" i="80"/>
  <c r="AF184" i="79"/>
  <c r="J310" i="79"/>
  <c r="H184" i="85"/>
  <c r="J102" i="90" s="1"/>
  <c r="AF372" i="79"/>
  <c r="DJ211" i="79"/>
  <c r="FE192" i="80"/>
  <c r="BT248" i="80"/>
  <c r="FL184" i="79"/>
  <c r="X184" i="79"/>
  <c r="AO192" i="80"/>
  <c r="J246" i="85"/>
  <c r="L140" i="90" s="1"/>
  <c r="J310" i="80"/>
  <c r="H184" i="80"/>
  <c r="FL184" i="80" s="1"/>
  <c r="BD372" i="79"/>
  <c r="J192" i="85"/>
  <c r="L108" i="90" s="1"/>
  <c r="DP184" i="79"/>
  <c r="FM192" i="80"/>
  <c r="BU192" i="80"/>
  <c r="CC192" i="80"/>
  <c r="AV184" i="79"/>
  <c r="EN248" i="80"/>
  <c r="J206" i="85"/>
  <c r="H305" i="79"/>
  <c r="AV305" i="79" s="1"/>
  <c r="H248" i="79"/>
  <c r="DY192" i="80"/>
  <c r="H297" i="79"/>
  <c r="EV297" i="79" s="1"/>
  <c r="CY297" i="79"/>
  <c r="BK297" i="79"/>
  <c r="BK298" i="79" s="1"/>
  <c r="BS297" i="79"/>
  <c r="BS298" i="79" s="1"/>
  <c r="O297" i="79"/>
  <c r="O298" i="79" s="1"/>
  <c r="EE297" i="79"/>
  <c r="EE298" i="79" s="1"/>
  <c r="W297" i="79"/>
  <c r="W298" i="79" s="1"/>
  <c r="AM297" i="79"/>
  <c r="BC297" i="79"/>
  <c r="BC298" i="79" s="1"/>
  <c r="DW297" i="79"/>
  <c r="DW298" i="79" s="1"/>
  <c r="G298" i="79"/>
  <c r="AU297" i="79"/>
  <c r="AU298" i="79" s="1"/>
  <c r="DO297" i="79"/>
  <c r="DG297" i="79"/>
  <c r="G39" i="27"/>
  <c r="EV291" i="79"/>
  <c r="DX291" i="79"/>
  <c r="X291" i="79"/>
  <c r="EF291" i="79"/>
  <c r="CR291" i="79"/>
  <c r="AN291" i="79"/>
  <c r="CB291" i="79"/>
  <c r="FD291" i="79"/>
  <c r="CZ291" i="79"/>
  <c r="FL291" i="79"/>
  <c r="BL291" i="79"/>
  <c r="AF291" i="79"/>
  <c r="EN291" i="79"/>
  <c r="BD291" i="79"/>
  <c r="AV291" i="79"/>
  <c r="CS294" i="80"/>
  <c r="CR294" i="80"/>
  <c r="DQ294" i="79"/>
  <c r="DR294" i="79" s="1"/>
  <c r="CC294" i="80"/>
  <c r="P294" i="79"/>
  <c r="R294" i="79" s="1"/>
  <c r="DI294" i="79"/>
  <c r="EE294" i="80"/>
  <c r="EU294" i="80"/>
  <c r="EG294" i="79"/>
  <c r="EH294" i="79" s="1"/>
  <c r="W294" i="80"/>
  <c r="DO294" i="80"/>
  <c r="DW294" i="80"/>
  <c r="DX294" i="80" s="1"/>
  <c r="FC294" i="80"/>
  <c r="DI294" i="80"/>
  <c r="BK294" i="80"/>
  <c r="CI294" i="80"/>
  <c r="CY294" i="80"/>
  <c r="O294" i="80"/>
  <c r="BS294" i="80"/>
  <c r="BT294" i="80" s="1"/>
  <c r="AO294" i="80"/>
  <c r="AP294" i="80" s="1"/>
  <c r="DH294" i="80"/>
  <c r="CA298" i="79"/>
  <c r="BT294" i="79"/>
  <c r="BV294" i="79" s="1"/>
  <c r="FM294" i="80"/>
  <c r="DH294" i="79"/>
  <c r="CC294" i="79"/>
  <c r="CD294" i="79" s="1"/>
  <c r="CK294" i="79"/>
  <c r="CL294" i="79" s="1"/>
  <c r="BL294" i="79"/>
  <c r="BN294" i="79" s="1"/>
  <c r="BT296" i="79"/>
  <c r="BV296" i="79" s="1"/>
  <c r="FD295" i="80"/>
  <c r="FK298" i="80"/>
  <c r="Q293" i="79"/>
  <c r="FC298" i="79"/>
  <c r="EV293" i="79"/>
  <c r="EX293" i="79" s="1"/>
  <c r="EG293" i="79"/>
  <c r="EH293" i="79" s="1"/>
  <c r="DY294" i="80"/>
  <c r="BE294" i="80"/>
  <c r="BF294" i="80" s="1"/>
  <c r="EU298" i="79"/>
  <c r="FE294" i="79"/>
  <c r="FF294" i="79" s="1"/>
  <c r="H296" i="80"/>
  <c r="CB296" i="79"/>
  <c r="BU294" i="80"/>
  <c r="EN295" i="80"/>
  <c r="DQ294" i="80"/>
  <c r="AN296" i="79"/>
  <c r="AP296" i="79" s="1"/>
  <c r="AF294" i="80"/>
  <c r="AH294" i="80" s="1"/>
  <c r="P293" i="79"/>
  <c r="CR296" i="79"/>
  <c r="CJ296" i="80"/>
  <c r="CL296" i="80" s="1"/>
  <c r="AE298" i="79"/>
  <c r="BT291" i="79"/>
  <c r="FL278" i="79"/>
  <c r="P280" i="80"/>
  <c r="CK277" i="80"/>
  <c r="H280" i="79"/>
  <c r="DX280" i="79" s="1"/>
  <c r="I278" i="79"/>
  <c r="DI278" i="79" s="1"/>
  <c r="I278" i="85"/>
  <c r="K158" i="90" s="1"/>
  <c r="CR280" i="80"/>
  <c r="CJ280" i="80"/>
  <c r="DQ279" i="80"/>
  <c r="BD280" i="80"/>
  <c r="EG278" i="80"/>
  <c r="EW278" i="80"/>
  <c r="W276" i="79"/>
  <c r="BS276" i="79"/>
  <c r="FC276" i="79"/>
  <c r="DG276" i="79"/>
  <c r="DW278" i="79"/>
  <c r="BK280" i="80"/>
  <c r="CY277" i="80"/>
  <c r="O281" i="80"/>
  <c r="DH280" i="80"/>
  <c r="CZ280" i="80"/>
  <c r="AV280" i="80"/>
  <c r="EO278" i="80"/>
  <c r="AW278" i="80"/>
  <c r="BM278" i="80"/>
  <c r="AO278" i="80"/>
  <c r="O276" i="79"/>
  <c r="BK276" i="79"/>
  <c r="FK276" i="79"/>
  <c r="AM276" i="79"/>
  <c r="AM281" i="79" s="1"/>
  <c r="EU275" i="79"/>
  <c r="DG277" i="80"/>
  <c r="CB279" i="80"/>
  <c r="CD279" i="80" s="1"/>
  <c r="AF280" i="80"/>
  <c r="EU276" i="79"/>
  <c r="BC276" i="79"/>
  <c r="Q279" i="80"/>
  <c r="FD280" i="80"/>
  <c r="CC278" i="80"/>
  <c r="BE278" i="80"/>
  <c r="DY278" i="80"/>
  <c r="AE281" i="79"/>
  <c r="EM276" i="79"/>
  <c r="CY281" i="79"/>
  <c r="FK281" i="80"/>
  <c r="DX280" i="80"/>
  <c r="X280" i="80"/>
  <c r="DP280" i="80"/>
  <c r="CK278" i="80"/>
  <c r="DQ278" i="80"/>
  <c r="FE278" i="80"/>
  <c r="DI278" i="80"/>
  <c r="G281" i="79"/>
  <c r="BK281" i="80"/>
  <c r="BK283" i="80" s="1"/>
  <c r="BK328" i="80" s="1"/>
  <c r="FC281" i="80"/>
  <c r="FC283" i="80" s="1"/>
  <c r="FC328" i="80" s="1"/>
  <c r="EN280" i="80"/>
  <c r="DO276" i="79"/>
  <c r="DW276" i="79"/>
  <c r="Y278" i="80"/>
  <c r="W281" i="79"/>
  <c r="AU276" i="79"/>
  <c r="BS275" i="79"/>
  <c r="BS281" i="79" s="1"/>
  <c r="CC277" i="80"/>
  <c r="CQ276" i="79"/>
  <c r="EE276" i="79"/>
  <c r="DA278" i="80"/>
  <c r="Q278" i="80"/>
  <c r="BC281" i="80"/>
  <c r="CI276" i="79"/>
  <c r="DG274" i="80"/>
  <c r="DG281" i="80" s="1"/>
  <c r="DO274" i="80"/>
  <c r="DO281" i="80" s="1"/>
  <c r="AM274" i="80"/>
  <c r="AM281" i="80" s="1"/>
  <c r="CQ274" i="80"/>
  <c r="CQ281" i="80" s="1"/>
  <c r="CQ283" i="80" s="1"/>
  <c r="CQ328" i="80" s="1"/>
  <c r="CY274" i="80"/>
  <c r="CY281" i="80" s="1"/>
  <c r="CY283" i="80" s="1"/>
  <c r="CY328" i="80" s="1"/>
  <c r="AM283" i="80"/>
  <c r="AM328" i="80" s="1"/>
  <c r="AU283" i="80"/>
  <c r="AU328" i="80" s="1"/>
  <c r="W274" i="80"/>
  <c r="W281" i="80" s="1"/>
  <c r="W283" i="80" s="1"/>
  <c r="W328" i="80" s="1"/>
  <c r="CI274" i="80"/>
  <c r="CI281" i="80" s="1"/>
  <c r="BS274" i="80"/>
  <c r="BS281" i="80" s="1"/>
  <c r="O283" i="80"/>
  <c r="O328" i="80" s="1"/>
  <c r="EU274" i="80"/>
  <c r="EU281" i="80" s="1"/>
  <c r="EU283" i="80" s="1"/>
  <c r="EU328" i="80" s="1"/>
  <c r="EM274" i="80"/>
  <c r="EM281" i="80" s="1"/>
  <c r="EM283" i="80" s="1"/>
  <c r="EM328" i="80" s="1"/>
  <c r="CA274" i="80"/>
  <c r="CA281" i="80" s="1"/>
  <c r="CA283" i="80" s="1"/>
  <c r="CA328" i="80" s="1"/>
  <c r="G283" i="80"/>
  <c r="G328" i="80" s="1"/>
  <c r="DW283" i="80"/>
  <c r="DW328" i="80" s="1"/>
  <c r="AU274" i="80"/>
  <c r="AU281" i="80" s="1"/>
  <c r="AE274" i="80"/>
  <c r="AE281" i="80" s="1"/>
  <c r="AE283" i="80" s="1"/>
  <c r="AE328" i="80" s="1"/>
  <c r="BS270" i="80"/>
  <c r="BU270" i="80" s="1"/>
  <c r="CS270" i="80"/>
  <c r="CT270" i="80" s="1"/>
  <c r="EE271" i="80"/>
  <c r="DQ270" i="80"/>
  <c r="DP270" i="80"/>
  <c r="EO270" i="79"/>
  <c r="EN270" i="79"/>
  <c r="FD270" i="79"/>
  <c r="FF270" i="79" s="1"/>
  <c r="BD270" i="80"/>
  <c r="BF270" i="80" s="1"/>
  <c r="DO271" i="80"/>
  <c r="DO283" i="80" s="1"/>
  <c r="DO328" i="80" s="1"/>
  <c r="BU270" i="79"/>
  <c r="BV270" i="79" s="1"/>
  <c r="CR270" i="79"/>
  <c r="CT270" i="79" s="1"/>
  <c r="EG270" i="79"/>
  <c r="EH270" i="79" s="1"/>
  <c r="DO271" i="79"/>
  <c r="AM270" i="79"/>
  <c r="DP270" i="79"/>
  <c r="DR270" i="79" s="1"/>
  <c r="EG270" i="80"/>
  <c r="EH270" i="80" s="1"/>
  <c r="CI271" i="80"/>
  <c r="CI283" i="80" s="1"/>
  <c r="CI328" i="80" s="1"/>
  <c r="I270" i="85"/>
  <c r="K153" i="90" s="1"/>
  <c r="P270" i="79"/>
  <c r="R270" i="79" s="1"/>
  <c r="CK270" i="80"/>
  <c r="CL270" i="80" s="1"/>
  <c r="DG271" i="80"/>
  <c r="DG283" i="80" s="1"/>
  <c r="DG328" i="80" s="1"/>
  <c r="AU270" i="79"/>
  <c r="BC270" i="79"/>
  <c r="CY270" i="79"/>
  <c r="BT270" i="80"/>
  <c r="CJ268" i="79"/>
  <c r="CK268" i="79"/>
  <c r="CA268" i="79"/>
  <c r="FC268" i="79"/>
  <c r="AM268" i="79"/>
  <c r="EE268" i="79"/>
  <c r="BC271" i="80"/>
  <c r="F31" i="31"/>
  <c r="AE268" i="79"/>
  <c r="AU268" i="79"/>
  <c r="CY268" i="79"/>
  <c r="BK271" i="79"/>
  <c r="EE283" i="80"/>
  <c r="EE328" i="80" s="1"/>
  <c r="FK271" i="80"/>
  <c r="FK283" i="80" s="1"/>
  <c r="FK328" i="80" s="1"/>
  <c r="EU268" i="79"/>
  <c r="EU271" i="79" s="1"/>
  <c r="BK268" i="79"/>
  <c r="DW268" i="79"/>
  <c r="AE271" i="79"/>
  <c r="DW271" i="79"/>
  <c r="DP268" i="79"/>
  <c r="X268" i="80"/>
  <c r="Z268" i="80" s="1"/>
  <c r="CQ268" i="79"/>
  <c r="BC268" i="79"/>
  <c r="FK268" i="79"/>
  <c r="FK271" i="79"/>
  <c r="Y268" i="79"/>
  <c r="DQ268" i="79"/>
  <c r="FL268" i="80"/>
  <c r="FN268" i="80" s="1"/>
  <c r="G271" i="79"/>
  <c r="G283" i="79" s="1"/>
  <c r="G328" i="79" s="1"/>
  <c r="O268" i="79"/>
  <c r="O271" i="79" s="1"/>
  <c r="EM268" i="79"/>
  <c r="J268" i="80"/>
  <c r="X268" i="79"/>
  <c r="DG268" i="79"/>
  <c r="BS268" i="79"/>
  <c r="CI271" i="79"/>
  <c r="W283" i="79"/>
  <c r="W328" i="79" s="1"/>
  <c r="J229" i="79"/>
  <c r="AF212" i="80"/>
  <c r="DH212" i="80"/>
  <c r="FL212" i="80"/>
  <c r="CQ219" i="79"/>
  <c r="EU232" i="79"/>
  <c r="W219" i="79"/>
  <c r="CY215" i="80"/>
  <c r="FC226" i="80"/>
  <c r="EE254" i="79"/>
  <c r="AU220" i="80"/>
  <c r="CI254" i="79"/>
  <c r="AM220" i="80"/>
  <c r="EM254" i="79"/>
  <c r="DW226" i="80"/>
  <c r="EE223" i="79"/>
  <c r="BC223" i="79"/>
  <c r="AU222" i="79"/>
  <c r="BC219" i="79"/>
  <c r="EU221" i="80"/>
  <c r="AU231" i="80"/>
  <c r="EM220" i="80"/>
  <c r="EE231" i="80"/>
  <c r="BS254" i="79"/>
  <c r="EU220" i="80"/>
  <c r="AE220" i="80"/>
  <c r="FC223" i="79"/>
  <c r="DG223" i="79"/>
  <c r="CA223" i="79"/>
  <c r="O223" i="79"/>
  <c r="O201" i="79"/>
  <c r="AM219" i="79"/>
  <c r="AU220" i="79"/>
  <c r="CA232" i="79"/>
  <c r="CQ177" i="79"/>
  <c r="CY177" i="79"/>
  <c r="DO232" i="79"/>
  <c r="DW230" i="79"/>
  <c r="EE177" i="79"/>
  <c r="BS232" i="80"/>
  <c r="EU254" i="79"/>
  <c r="EW254" i="79" s="1"/>
  <c r="FC220" i="80"/>
  <c r="BC220" i="80"/>
  <c r="BS223" i="79"/>
  <c r="O222" i="79"/>
  <c r="AU219" i="79"/>
  <c r="EU206" i="80"/>
  <c r="EU207" i="80" s="1"/>
  <c r="CA206" i="80"/>
  <c r="CA207" i="80" s="1"/>
  <c r="CQ254" i="79"/>
  <c r="O254" i="79"/>
  <c r="P254" i="79" s="1"/>
  <c r="DW254" i="79"/>
  <c r="DO254" i="79"/>
  <c r="DO227" i="79"/>
  <c r="AU254" i="79"/>
  <c r="BK220" i="80"/>
  <c r="FK220" i="80"/>
  <c r="BK205" i="79"/>
  <c r="BK207" i="79" s="1"/>
  <c r="EU223" i="79"/>
  <c r="DW223" i="79"/>
  <c r="CY223" i="79"/>
  <c r="W223" i="79"/>
  <c r="O220" i="79"/>
  <c r="O199" i="79"/>
  <c r="AM232" i="79"/>
  <c r="BK232" i="79"/>
  <c r="BK201" i="79"/>
  <c r="CI201" i="79"/>
  <c r="CY201" i="79"/>
  <c r="DG201" i="79"/>
  <c r="DG202" i="79" s="1"/>
  <c r="FC254" i="79"/>
  <c r="CI220" i="80"/>
  <c r="EE229" i="80"/>
  <c r="EF229" i="80" s="1"/>
  <c r="CQ221" i="80"/>
  <c r="FK254" i="79"/>
  <c r="DG220" i="80"/>
  <c r="CY188" i="79"/>
  <c r="BK227" i="79"/>
  <c r="DO220" i="80"/>
  <c r="FK132" i="79"/>
  <c r="FM132" i="79" s="1"/>
  <c r="AU223" i="79"/>
  <c r="O219" i="79"/>
  <c r="AE232" i="79"/>
  <c r="BS199" i="79"/>
  <c r="CA219" i="79"/>
  <c r="CI185" i="79"/>
  <c r="CJ185" i="79" s="1"/>
  <c r="EU201" i="79"/>
  <c r="FD253" i="79"/>
  <c r="FF253" i="79" s="1"/>
  <c r="DW22" i="79"/>
  <c r="DY22" i="79" s="1"/>
  <c r="DY398" i="79" s="1"/>
  <c r="DG132" i="79"/>
  <c r="W221" i="80"/>
  <c r="CY231" i="80"/>
  <c r="CI231" i="80"/>
  <c r="O221" i="80"/>
  <c r="DO206" i="80"/>
  <c r="DW220" i="80"/>
  <c r="O220" i="80"/>
  <c r="CA254" i="79"/>
  <c r="CQ223" i="79"/>
  <c r="AE223" i="79"/>
  <c r="O244" i="79"/>
  <c r="W232" i="79"/>
  <c r="W201" i="79"/>
  <c r="W202" i="79" s="1"/>
  <c r="AE201" i="79"/>
  <c r="AM192" i="79"/>
  <c r="AU199" i="79"/>
  <c r="AU202" i="79" s="1"/>
  <c r="BC201" i="79"/>
  <c r="BC202" i="79" s="1"/>
  <c r="BK219" i="79"/>
  <c r="BK199" i="79"/>
  <c r="CA199" i="79"/>
  <c r="CI220" i="79"/>
  <c r="CY232" i="79"/>
  <c r="EE232" i="79"/>
  <c r="EM199" i="79"/>
  <c r="EM202" i="79" s="1"/>
  <c r="O232" i="80"/>
  <c r="W230" i="80"/>
  <c r="CQ232" i="80"/>
  <c r="CY256" i="80"/>
  <c r="EU232" i="80"/>
  <c r="AO226" i="79"/>
  <c r="FE182" i="79"/>
  <c r="FD182" i="79"/>
  <c r="AW232" i="80"/>
  <c r="AV232" i="80"/>
  <c r="EM182" i="79"/>
  <c r="CI226" i="80"/>
  <c r="CA182" i="79"/>
  <c r="AU241" i="79"/>
  <c r="W212" i="80"/>
  <c r="W215" i="80" s="1"/>
  <c r="DO226" i="80"/>
  <c r="BS182" i="79"/>
  <c r="AM182" i="79"/>
  <c r="AN182" i="79" s="1"/>
  <c r="O226" i="80"/>
  <c r="AE178" i="79"/>
  <c r="AU178" i="79"/>
  <c r="BS219" i="79"/>
  <c r="BS201" i="79"/>
  <c r="CI182" i="79"/>
  <c r="CJ182" i="79" s="1"/>
  <c r="CQ201" i="79"/>
  <c r="EU219" i="79"/>
  <c r="AU212" i="80"/>
  <c r="AV212" i="80" s="1"/>
  <c r="BK213" i="80"/>
  <c r="O202" i="80"/>
  <c r="EU182" i="79"/>
  <c r="O182" i="79"/>
  <c r="DW182" i="79"/>
  <c r="BK226" i="80"/>
  <c r="AU226" i="80"/>
  <c r="CA224" i="79"/>
  <c r="CQ224" i="79"/>
  <c r="BK195" i="80"/>
  <c r="BM195" i="80" s="1"/>
  <c r="W184" i="80"/>
  <c r="DJ270" i="79"/>
  <c r="FK206" i="80"/>
  <c r="CY182" i="79"/>
  <c r="DO212" i="80"/>
  <c r="BC226" i="80"/>
  <c r="W182" i="79"/>
  <c r="CY226" i="80"/>
  <c r="DO182" i="79"/>
  <c r="EE224" i="79"/>
  <c r="O178" i="79"/>
  <c r="BC182" i="79"/>
  <c r="CA201" i="79"/>
  <c r="CA185" i="79"/>
  <c r="CB185" i="79" s="1"/>
  <c r="CQ220" i="79"/>
  <c r="DO221" i="79"/>
  <c r="EE201" i="79"/>
  <c r="CQ226" i="79"/>
  <c r="EE207" i="79"/>
  <c r="O222" i="80"/>
  <c r="W222" i="80"/>
  <c r="CY232" i="80"/>
  <c r="BC241" i="79"/>
  <c r="BS226" i="80"/>
  <c r="FK224" i="79"/>
  <c r="CQ182" i="79"/>
  <c r="DG226" i="80"/>
  <c r="BK182" i="79"/>
  <c r="W241" i="79"/>
  <c r="AM212" i="80"/>
  <c r="DG182" i="79"/>
  <c r="W226" i="80"/>
  <c r="BC178" i="79"/>
  <c r="CI222" i="79"/>
  <c r="DO219" i="79"/>
  <c r="FK220" i="79"/>
  <c r="BC206" i="80"/>
  <c r="BC207" i="80" s="1"/>
  <c r="EU241" i="80"/>
  <c r="X253" i="79"/>
  <c r="CI212" i="80"/>
  <c r="CJ212" i="80" s="1"/>
  <c r="AE226" i="80"/>
  <c r="CA226" i="80"/>
  <c r="CQ226" i="80"/>
  <c r="AM226" i="80"/>
  <c r="BS224" i="79"/>
  <c r="AU182" i="79"/>
  <c r="DW226" i="79"/>
  <c r="EE248" i="79"/>
  <c r="G202" i="79"/>
  <c r="DO222" i="80"/>
  <c r="EU226" i="80"/>
  <c r="O226" i="79"/>
  <c r="AE219" i="79"/>
  <c r="AE182" i="79"/>
  <c r="AU181" i="79"/>
  <c r="CI199" i="79"/>
  <c r="CY178" i="79"/>
  <c r="DG220" i="79"/>
  <c r="DW219" i="79"/>
  <c r="EM222" i="80"/>
  <c r="EO226" i="80"/>
  <c r="EN226" i="80"/>
  <c r="EM249" i="79"/>
  <c r="EN249" i="79" s="1"/>
  <c r="EU252" i="79"/>
  <c r="CI249" i="79"/>
  <c r="FC188" i="79"/>
  <c r="EU230" i="79"/>
  <c r="DO205" i="79"/>
  <c r="DO207" i="79" s="1"/>
  <c r="EM105" i="79"/>
  <c r="DG105" i="79"/>
  <c r="CA105" i="79"/>
  <c r="AE230" i="79"/>
  <c r="AU205" i="79"/>
  <c r="AU207" i="79" s="1"/>
  <c r="CY205" i="79"/>
  <c r="CY207" i="79" s="1"/>
  <c r="DG185" i="79"/>
  <c r="DH185" i="79" s="1"/>
  <c r="DO252" i="79"/>
  <c r="DO188" i="79"/>
  <c r="DW178" i="79"/>
  <c r="EE230" i="79"/>
  <c r="EM229" i="79"/>
  <c r="W219" i="80"/>
  <c r="BK229" i="80"/>
  <c r="BL229" i="80" s="1"/>
  <c r="BS222" i="80"/>
  <c r="DW230" i="80"/>
  <c r="AU195" i="80"/>
  <c r="AW195" i="80" s="1"/>
  <c r="G207" i="79"/>
  <c r="EE249" i="79"/>
  <c r="EF249" i="79" s="1"/>
  <c r="EU188" i="79"/>
  <c r="W188" i="79"/>
  <c r="BS230" i="79"/>
  <c r="EU205" i="79"/>
  <c r="EU207" i="79" s="1"/>
  <c r="AE247" i="79"/>
  <c r="AG247" i="79" s="1"/>
  <c r="AM205" i="79"/>
  <c r="AO205" i="79" s="1"/>
  <c r="AU185" i="79"/>
  <c r="AV185" i="79" s="1"/>
  <c r="BC249" i="79"/>
  <c r="BC205" i="79"/>
  <c r="BC188" i="79"/>
  <c r="BS185" i="79"/>
  <c r="BT185" i="79" s="1"/>
  <c r="CI230" i="79"/>
  <c r="CY252" i="79"/>
  <c r="CY229" i="79"/>
  <c r="DG249" i="79"/>
  <c r="DH249" i="79" s="1"/>
  <c r="DO185" i="79"/>
  <c r="DP185" i="79" s="1"/>
  <c r="EE219" i="79"/>
  <c r="EE185" i="79"/>
  <c r="EF185" i="79" s="1"/>
  <c r="EM219" i="79"/>
  <c r="CQ202" i="80"/>
  <c r="EE188" i="79"/>
  <c r="CQ200" i="79"/>
  <c r="AU188" i="79"/>
  <c r="AM188" i="79"/>
  <c r="EM188" i="79"/>
  <c r="W249" i="79"/>
  <c r="X249" i="79" s="1"/>
  <c r="CQ230" i="79"/>
  <c r="W247" i="79"/>
  <c r="Y247" i="79" s="1"/>
  <c r="FK205" i="79"/>
  <c r="FK207" i="79" s="1"/>
  <c r="AE205" i="79"/>
  <c r="AE207" i="79" s="1"/>
  <c r="AM249" i="79"/>
  <c r="AN249" i="79" s="1"/>
  <c r="AM185" i="79"/>
  <c r="CI252" i="79"/>
  <c r="CI205" i="79"/>
  <c r="CQ231" i="79"/>
  <c r="CQ188" i="79"/>
  <c r="CY219" i="79"/>
  <c r="CY185" i="79"/>
  <c r="CZ185" i="79" s="1"/>
  <c r="DG219" i="79"/>
  <c r="DO229" i="79"/>
  <c r="EU185" i="79"/>
  <c r="EW185" i="79" s="1"/>
  <c r="FC249" i="79"/>
  <c r="FD249" i="79" s="1"/>
  <c r="FC219" i="79"/>
  <c r="FK219" i="79"/>
  <c r="CI229" i="80"/>
  <c r="CJ229" i="80" s="1"/>
  <c r="DG222" i="80"/>
  <c r="CC201" i="80"/>
  <c r="CA188" i="79"/>
  <c r="O249" i="79"/>
  <c r="P249" i="79" s="1"/>
  <c r="CY249" i="79"/>
  <c r="DW249" i="79"/>
  <c r="DX249" i="79" s="1"/>
  <c r="DG230" i="79"/>
  <c r="CA205" i="79"/>
  <c r="CA207" i="79" s="1"/>
  <c r="BC247" i="79"/>
  <c r="BE247" i="79" s="1"/>
  <c r="AE185" i="79"/>
  <c r="AF185" i="79" s="1"/>
  <c r="AU249" i="79"/>
  <c r="BC230" i="79"/>
  <c r="BC185" i="79"/>
  <c r="BD185" i="79" s="1"/>
  <c r="BK249" i="79"/>
  <c r="BL249" i="79" s="1"/>
  <c r="BK188" i="79"/>
  <c r="BS249" i="79"/>
  <c r="BT249" i="79" s="1"/>
  <c r="CA252" i="79"/>
  <c r="CQ252" i="79"/>
  <c r="DW185" i="79"/>
  <c r="DX185" i="79" s="1"/>
  <c r="AE188" i="79"/>
  <c r="DW188" i="79"/>
  <c r="DO230" i="79"/>
  <c r="CQ205" i="79"/>
  <c r="CQ207" i="79" s="1"/>
  <c r="DO105" i="79"/>
  <c r="O252" i="79"/>
  <c r="AU230" i="79"/>
  <c r="BK185" i="79"/>
  <c r="BL185" i="79" s="1"/>
  <c r="CA249" i="79"/>
  <c r="CB249" i="79" s="1"/>
  <c r="CQ249" i="79"/>
  <c r="CR249" i="79" s="1"/>
  <c r="CQ185" i="79"/>
  <c r="EE182" i="79"/>
  <c r="EM205" i="79"/>
  <c r="EM207" i="79" s="1"/>
  <c r="O234" i="80"/>
  <c r="AE222" i="80"/>
  <c r="EM230" i="80"/>
  <c r="EU234" i="80"/>
  <c r="O230" i="79"/>
  <c r="FK230" i="79"/>
  <c r="DW205" i="79"/>
  <c r="DW207" i="79" s="1"/>
  <c r="O188" i="79"/>
  <c r="W230" i="79"/>
  <c r="W205" i="79"/>
  <c r="W207" i="79" s="1"/>
  <c r="W185" i="79"/>
  <c r="X185" i="79" s="1"/>
  <c r="AE252" i="79"/>
  <c r="EU249" i="79"/>
  <c r="EV249" i="79" s="1"/>
  <c r="CA222" i="80"/>
  <c r="BC222" i="80"/>
  <c r="BT206" i="79"/>
  <c r="FD192" i="80"/>
  <c r="DX212" i="80"/>
  <c r="DJ232" i="80"/>
  <c r="CI188" i="79"/>
  <c r="CY230" i="79"/>
  <c r="FC205" i="79"/>
  <c r="O205" i="79"/>
  <c r="O207" i="79" s="1"/>
  <c r="O185" i="79"/>
  <c r="P185" i="79" s="1"/>
  <c r="AE249" i="79"/>
  <c r="AF249" i="79" s="1"/>
  <c r="BS205" i="79"/>
  <c r="BS207" i="79" s="1"/>
  <c r="DG205" i="79"/>
  <c r="DG188" i="79"/>
  <c r="EM252" i="79"/>
  <c r="DG250" i="80"/>
  <c r="DI250" i="80" s="1"/>
  <c r="DO250" i="80"/>
  <c r="DQ250" i="80" s="1"/>
  <c r="CY241" i="80"/>
  <c r="CI250" i="80"/>
  <c r="CK250" i="80" s="1"/>
  <c r="BC255" i="79"/>
  <c r="W255" i="79"/>
  <c r="AU255" i="79"/>
  <c r="DW255" i="79"/>
  <c r="EM244" i="79"/>
  <c r="EN244" i="79" s="1"/>
  <c r="BK250" i="80"/>
  <c r="BM250" i="80" s="1"/>
  <c r="BK255" i="79"/>
  <c r="DG255" i="79"/>
  <c r="EE255" i="79"/>
  <c r="BS255" i="79"/>
  <c r="FK255" i="79"/>
  <c r="W250" i="80"/>
  <c r="Y250" i="80" s="1"/>
  <c r="FC255" i="79"/>
  <c r="AU250" i="80"/>
  <c r="AW250" i="80" s="1"/>
  <c r="BS241" i="80"/>
  <c r="BK241" i="79"/>
  <c r="FC241" i="79"/>
  <c r="CJ254" i="80"/>
  <c r="CK254" i="80"/>
  <c r="DA254" i="79"/>
  <c r="CZ254" i="79"/>
  <c r="BM250" i="79"/>
  <c r="DX254" i="80"/>
  <c r="EV254" i="79"/>
  <c r="BE253" i="80"/>
  <c r="BF253" i="80" s="1"/>
  <c r="DW241" i="79"/>
  <c r="O254" i="80"/>
  <c r="DO253" i="79"/>
  <c r="FK241" i="79"/>
  <c r="CQ241" i="79"/>
  <c r="AM248" i="79"/>
  <c r="BC248" i="79"/>
  <c r="CI246" i="79"/>
  <c r="CJ246" i="79" s="1"/>
  <c r="O250" i="80"/>
  <c r="Q250" i="80" s="1"/>
  <c r="CQ250" i="80"/>
  <c r="CS250" i="80" s="1"/>
  <c r="AU248" i="79"/>
  <c r="CA246" i="79"/>
  <c r="CB246" i="79" s="1"/>
  <c r="DW248" i="79"/>
  <c r="EU246" i="79"/>
  <c r="EV246" i="79" s="1"/>
  <c r="CA253" i="79"/>
  <c r="CY246" i="79"/>
  <c r="CZ246" i="79" s="1"/>
  <c r="DG248" i="79"/>
  <c r="EE256" i="79"/>
  <c r="AE250" i="80"/>
  <c r="AG250" i="80" s="1"/>
  <c r="AM250" i="80"/>
  <c r="AO250" i="80" s="1"/>
  <c r="CY250" i="80"/>
  <c r="DA250" i="80" s="1"/>
  <c r="FC248" i="79"/>
  <c r="DP254" i="80"/>
  <c r="BS241" i="79"/>
  <c r="W256" i="79"/>
  <c r="AM256" i="79"/>
  <c r="BK248" i="79"/>
  <c r="DO246" i="79"/>
  <c r="DP246" i="79" s="1"/>
  <c r="EU253" i="79"/>
  <c r="BC250" i="80"/>
  <c r="BE250" i="80" s="1"/>
  <c r="BS250" i="80"/>
  <c r="BU250" i="80" s="1"/>
  <c r="EM250" i="80"/>
  <c r="EO250" i="80" s="1"/>
  <c r="EU250" i="80"/>
  <c r="EW250" i="80" s="1"/>
  <c r="BK254" i="80"/>
  <c r="EN253" i="79"/>
  <c r="CY253" i="79"/>
  <c r="CI253" i="79"/>
  <c r="W254" i="80"/>
  <c r="CA241" i="79"/>
  <c r="AM241" i="79"/>
  <c r="CY241" i="79"/>
  <c r="DW256" i="79"/>
  <c r="CA250" i="80"/>
  <c r="CC250" i="80" s="1"/>
  <c r="EE250" i="80"/>
  <c r="EG250" i="80" s="1"/>
  <c r="EE241" i="79"/>
  <c r="BS248" i="79"/>
  <c r="EW247" i="79"/>
  <c r="EO247" i="79"/>
  <c r="DY247" i="79"/>
  <c r="BM247" i="79"/>
  <c r="EG247" i="79"/>
  <c r="AO247" i="79"/>
  <c r="CC247" i="79"/>
  <c r="FM247" i="79"/>
  <c r="AO250" i="79"/>
  <c r="CJ249" i="79"/>
  <c r="CZ249" i="79"/>
  <c r="AV249" i="79"/>
  <c r="BD249" i="79"/>
  <c r="DP249" i="79"/>
  <c r="CS247" i="79"/>
  <c r="AW247" i="79"/>
  <c r="CC250" i="79"/>
  <c r="DI250" i="79"/>
  <c r="AW250" i="79"/>
  <c r="CS250" i="79"/>
  <c r="Y250" i="79"/>
  <c r="EO250" i="79"/>
  <c r="DA250" i="79"/>
  <c r="FE250" i="79"/>
  <c r="EW250" i="79"/>
  <c r="BU250" i="79"/>
  <c r="DQ250" i="79"/>
  <c r="BE250" i="79"/>
  <c r="Q250" i="79"/>
  <c r="CR244" i="79"/>
  <c r="BL244" i="79"/>
  <c r="P244" i="79"/>
  <c r="EV244" i="79"/>
  <c r="AV244" i="79"/>
  <c r="AF244" i="79"/>
  <c r="DH244" i="79"/>
  <c r="FL244" i="79"/>
  <c r="BT244" i="79"/>
  <c r="DI241" i="79"/>
  <c r="DH241" i="79"/>
  <c r="EG250" i="79"/>
  <c r="CJ244" i="79"/>
  <c r="DY250" i="79"/>
  <c r="FE247" i="79"/>
  <c r="DP244" i="79"/>
  <c r="BS245" i="79"/>
  <c r="BD244" i="79"/>
  <c r="CZ244" i="79"/>
  <c r="W245" i="79"/>
  <c r="CA245" i="79"/>
  <c r="EE245" i="79"/>
  <c r="CK247" i="79"/>
  <c r="DA247" i="79"/>
  <c r="BC245" i="79"/>
  <c r="EM245" i="79"/>
  <c r="CB244" i="79"/>
  <c r="FD244" i="79"/>
  <c r="AN244" i="79"/>
  <c r="O245" i="79"/>
  <c r="CQ245" i="79"/>
  <c r="CY245" i="79"/>
  <c r="X244" i="79"/>
  <c r="EF244" i="79"/>
  <c r="O234" i="79"/>
  <c r="AE113" i="79"/>
  <c r="EE234" i="79"/>
  <c r="BK105" i="79"/>
  <c r="CY234" i="79"/>
  <c r="EU234" i="79"/>
  <c r="AE234" i="79"/>
  <c r="BS234" i="79"/>
  <c r="CA234" i="79"/>
  <c r="CI234" i="79"/>
  <c r="DW90" i="79"/>
  <c r="DX90" i="79" s="1"/>
  <c r="W234" i="79"/>
  <c r="AM70" i="79"/>
  <c r="AO70" i="79" s="1"/>
  <c r="AM234" i="80"/>
  <c r="CY113" i="79"/>
  <c r="DH229" i="80"/>
  <c r="FK235" i="80"/>
  <c r="FL227" i="80"/>
  <c r="EO232" i="79"/>
  <c r="EN232" i="79"/>
  <c r="FL229" i="80"/>
  <c r="EM225" i="79"/>
  <c r="EU225" i="79"/>
  <c r="FC225" i="79"/>
  <c r="W229" i="79"/>
  <c r="AM225" i="79"/>
  <c r="AU225" i="79"/>
  <c r="BK229" i="79"/>
  <c r="BS220" i="79"/>
  <c r="CY225" i="79"/>
  <c r="DO225" i="79"/>
  <c r="DW232" i="79"/>
  <c r="EM220" i="79"/>
  <c r="EU220" i="79"/>
  <c r="FC220" i="79"/>
  <c r="CY229" i="80"/>
  <c r="DW229" i="80"/>
  <c r="W225" i="79"/>
  <c r="BC229" i="79"/>
  <c r="BK225" i="79"/>
  <c r="CA229" i="79"/>
  <c r="CI232" i="79"/>
  <c r="CQ232" i="79"/>
  <c r="CY220" i="79"/>
  <c r="DO220" i="79"/>
  <c r="DW227" i="80"/>
  <c r="BC225" i="79"/>
  <c r="BK220" i="79"/>
  <c r="CA225" i="79"/>
  <c r="DW229" i="79"/>
  <c r="EE229" i="79"/>
  <c r="O229" i="80"/>
  <c r="CQ229" i="80"/>
  <c r="DW222" i="80"/>
  <c r="EE222" i="80"/>
  <c r="DO229" i="80"/>
  <c r="BT229" i="80"/>
  <c r="FD229" i="80"/>
  <c r="CB229" i="80"/>
  <c r="AF229" i="80"/>
  <c r="EH232" i="80"/>
  <c r="BC220" i="79"/>
  <c r="CA220" i="79"/>
  <c r="CI229" i="79"/>
  <c r="CQ229" i="79"/>
  <c r="DG232" i="79"/>
  <c r="EE225" i="79"/>
  <c r="CQ227" i="80"/>
  <c r="EN229" i="80"/>
  <c r="BS232" i="79"/>
  <c r="CI225" i="79"/>
  <c r="CQ225" i="79"/>
  <c r="DW220" i="79"/>
  <c r="W229" i="80"/>
  <c r="AM229" i="80"/>
  <c r="AU229" i="80"/>
  <c r="BC229" i="80"/>
  <c r="BK222" i="80"/>
  <c r="CI222" i="80"/>
  <c r="CQ222" i="80"/>
  <c r="DG230" i="80"/>
  <c r="EU229" i="80"/>
  <c r="AM222" i="80"/>
  <c r="AM24" i="80"/>
  <c r="AM400" i="80" s="1"/>
  <c r="H227" i="85"/>
  <c r="J128" i="90" s="1"/>
  <c r="EO370" i="79"/>
  <c r="AW370" i="79"/>
  <c r="J211" i="79"/>
  <c r="J182" i="79"/>
  <c r="R370" i="79"/>
  <c r="H252" i="80"/>
  <c r="I306" i="80"/>
  <c r="CS306" i="80" s="1"/>
  <c r="I249" i="79"/>
  <c r="H125" i="79"/>
  <c r="Y195" i="80"/>
  <c r="DQ195" i="80"/>
  <c r="BE195" i="80"/>
  <c r="EW67" i="79"/>
  <c r="EX67" i="79" s="1"/>
  <c r="FK110" i="79"/>
  <c r="FK29" i="79"/>
  <c r="FK30" i="79" s="1"/>
  <c r="FK418" i="79" s="1"/>
  <c r="EM29" i="79"/>
  <c r="EM30" i="79" s="1"/>
  <c r="DO29" i="79"/>
  <c r="DO30" i="79" s="1"/>
  <c r="EE153" i="80"/>
  <c r="EG153" i="80" s="1"/>
  <c r="AU24" i="80"/>
  <c r="AU400" i="80" s="1"/>
  <c r="EE110" i="79"/>
  <c r="CI125" i="79"/>
  <c r="CK125" i="79" s="1"/>
  <c r="FC140" i="80"/>
  <c r="FE140" i="80" s="1"/>
  <c r="J182" i="85"/>
  <c r="L101" i="90" s="1"/>
  <c r="BV370" i="79"/>
  <c r="H309" i="79"/>
  <c r="H227" i="79"/>
  <c r="FL227" i="79" s="1"/>
  <c r="DY370" i="79"/>
  <c r="DI370" i="79"/>
  <c r="DQ370" i="79"/>
  <c r="I294" i="80"/>
  <c r="J211" i="85"/>
  <c r="L117" i="90" s="1"/>
  <c r="J307" i="80"/>
  <c r="E47" i="35"/>
  <c r="E62" i="35" s="1"/>
  <c r="H252" i="79"/>
  <c r="I306" i="79"/>
  <c r="EG306" i="79" s="1"/>
  <c r="H114" i="80"/>
  <c r="I268" i="79"/>
  <c r="DI195" i="80"/>
  <c r="BL212" i="80"/>
  <c r="Q195" i="80"/>
  <c r="CZ212" i="80"/>
  <c r="DX206" i="79"/>
  <c r="EN206" i="79"/>
  <c r="DW29" i="79"/>
  <c r="DW30" i="79" s="1"/>
  <c r="DW418" i="79" s="1"/>
  <c r="BS29" i="79"/>
  <c r="BS30" i="79" s="1"/>
  <c r="BS403" i="79" s="1"/>
  <c r="BS424" i="79" s="1"/>
  <c r="BK88" i="79"/>
  <c r="AU154" i="79"/>
  <c r="AW154" i="79" s="1"/>
  <c r="AM153" i="80"/>
  <c r="AO153" i="80" s="1"/>
  <c r="EM24" i="80"/>
  <c r="EM400" i="80" s="1"/>
  <c r="FK24" i="80"/>
  <c r="FK400" i="80" s="1"/>
  <c r="EU24" i="80"/>
  <c r="EU400" i="80" s="1"/>
  <c r="CI114" i="79"/>
  <c r="CJ114" i="79" s="1"/>
  <c r="BS125" i="79"/>
  <c r="BT125" i="79" s="1"/>
  <c r="AE70" i="80"/>
  <c r="AG70" i="80" s="1"/>
  <c r="BK132" i="79"/>
  <c r="BM132" i="79" s="1"/>
  <c r="CY72" i="79"/>
  <c r="I249" i="85"/>
  <c r="K143" i="90" s="1"/>
  <c r="I268" i="80"/>
  <c r="CQ29" i="79"/>
  <c r="CQ30" i="79" s="1"/>
  <c r="CQ403" i="79" s="1"/>
  <c r="CQ424" i="79" s="1"/>
  <c r="BE370" i="79"/>
  <c r="I294" i="85"/>
  <c r="K164" i="90" s="1"/>
  <c r="I211" i="85"/>
  <c r="K117" i="90" s="1"/>
  <c r="I184" i="80"/>
  <c r="DA184" i="80" s="1"/>
  <c r="I195" i="79"/>
  <c r="BE195" i="79" s="1"/>
  <c r="H29" i="85"/>
  <c r="J9" i="90" s="1"/>
  <c r="H295" i="85"/>
  <c r="J165" i="90" s="1"/>
  <c r="H114" i="79"/>
  <c r="H276" i="79"/>
  <c r="AF276" i="79" s="1"/>
  <c r="AG195" i="80"/>
  <c r="EO195" i="80"/>
  <c r="EV206" i="79"/>
  <c r="FD212" i="80"/>
  <c r="EF206" i="79"/>
  <c r="DY195" i="80"/>
  <c r="BK29" i="79"/>
  <c r="BK30" i="79" s="1"/>
  <c r="BK418" i="79" s="1"/>
  <c r="W29" i="79"/>
  <c r="W30" i="79" s="1"/>
  <c r="W403" i="79" s="1"/>
  <c r="W424" i="79" s="1"/>
  <c r="BC154" i="79"/>
  <c r="BE154" i="79" s="1"/>
  <c r="AE24" i="80"/>
  <c r="AE400" i="80" s="1"/>
  <c r="CY24" i="80"/>
  <c r="CY400" i="80" s="1"/>
  <c r="BK110" i="79"/>
  <c r="DG125" i="79"/>
  <c r="DH125" i="79" s="1"/>
  <c r="EU129" i="79"/>
  <c r="EV129" i="79" s="1"/>
  <c r="H296" i="85"/>
  <c r="J166" i="90" s="1"/>
  <c r="EM114" i="79"/>
  <c r="EN114" i="79" s="1"/>
  <c r="Y370" i="79"/>
  <c r="FM370" i="79"/>
  <c r="CC370" i="79"/>
  <c r="I184" i="79"/>
  <c r="FE184" i="79" s="1"/>
  <c r="I195" i="85"/>
  <c r="K111" i="90" s="1"/>
  <c r="J241" i="80"/>
  <c r="J121" i="79"/>
  <c r="H276" i="80"/>
  <c r="CB276" i="80" s="1"/>
  <c r="H99" i="80"/>
  <c r="H309" i="80"/>
  <c r="EF212" i="80"/>
  <c r="AO195" i="80"/>
  <c r="FD206" i="79"/>
  <c r="CR206" i="79"/>
  <c r="CI29" i="79"/>
  <c r="CI30" i="79" s="1"/>
  <c r="CI403" i="79" s="1"/>
  <c r="CI424" i="79" s="1"/>
  <c r="AU29" i="79"/>
  <c r="AU30" i="79" s="1"/>
  <c r="AU418" i="79" s="1"/>
  <c r="EU29" i="79"/>
  <c r="EU30" i="79" s="1"/>
  <c r="AV206" i="79"/>
  <c r="EM115" i="80"/>
  <c r="EN115" i="80" s="1"/>
  <c r="FC24" i="80"/>
  <c r="FC400" i="80" s="1"/>
  <c r="CA24" i="80"/>
  <c r="CA400" i="80" s="1"/>
  <c r="BC110" i="79"/>
  <c r="AE125" i="79"/>
  <c r="AF125" i="79" s="1"/>
  <c r="AU129" i="79"/>
  <c r="AV129" i="79" s="1"/>
  <c r="CS370" i="79"/>
  <c r="H206" i="80"/>
  <c r="AF206" i="80" s="1"/>
  <c r="BM370" i="79"/>
  <c r="AG370" i="79"/>
  <c r="J268" i="79"/>
  <c r="J146" i="79"/>
  <c r="I71" i="80"/>
  <c r="J241" i="79"/>
  <c r="H47" i="26"/>
  <c r="D17" i="32" s="1"/>
  <c r="I293" i="80"/>
  <c r="J194" i="79"/>
  <c r="J232" i="85"/>
  <c r="L133" i="90" s="1"/>
  <c r="I232" i="80"/>
  <c r="FL206" i="79"/>
  <c r="CS195" i="80"/>
  <c r="P212" i="80"/>
  <c r="EV212" i="80"/>
  <c r="EW195" i="80"/>
  <c r="EE29" i="79"/>
  <c r="EE30" i="79" s="1"/>
  <c r="EE418" i="79" s="1"/>
  <c r="BC29" i="79"/>
  <c r="BC30" i="79" s="1"/>
  <c r="BC418" i="79" s="1"/>
  <c r="FC29" i="79"/>
  <c r="FD29" i="79" s="1"/>
  <c r="CQ24" i="80"/>
  <c r="CQ400" i="80" s="1"/>
  <c r="DW24" i="80"/>
  <c r="DW400" i="80" s="1"/>
  <c r="DG70" i="80"/>
  <c r="DH70" i="80" s="1"/>
  <c r="BC129" i="79"/>
  <c r="BD129" i="79" s="1"/>
  <c r="AM129" i="79"/>
  <c r="AO129" i="79" s="1"/>
  <c r="H145" i="80"/>
  <c r="BC24" i="80"/>
  <c r="BC400" i="80" s="1"/>
  <c r="DA370" i="79"/>
  <c r="H154" i="79"/>
  <c r="EV154" i="79" s="1"/>
  <c r="I71" i="85"/>
  <c r="K37" i="90" s="1"/>
  <c r="I241" i="85"/>
  <c r="K135" i="90" s="1"/>
  <c r="H99" i="79"/>
  <c r="DP212" i="80"/>
  <c r="CC195" i="80"/>
  <c r="BF307" i="79"/>
  <c r="BD67" i="79"/>
  <c r="BF67" i="79" s="1"/>
  <c r="CZ206" i="79"/>
  <c r="X206" i="79"/>
  <c r="CY29" i="79"/>
  <c r="CY30" i="79" s="1"/>
  <c r="CY418" i="79" s="1"/>
  <c r="DG29" i="79"/>
  <c r="DG30" i="79" s="1"/>
  <c r="DG418" i="79" s="1"/>
  <c r="EU91" i="80"/>
  <c r="EW91" i="80" s="1"/>
  <c r="P192" i="80"/>
  <c r="DO24" i="80"/>
  <c r="DO400" i="80" s="1"/>
  <c r="CI24" i="80"/>
  <c r="CI400" i="80" s="1"/>
  <c r="EE24" i="80"/>
  <c r="EE400" i="80" s="1"/>
  <c r="CQ114" i="79"/>
  <c r="CR114" i="79" s="1"/>
  <c r="AM132" i="79"/>
  <c r="AO132" i="79" s="1"/>
  <c r="O125" i="80"/>
  <c r="Q125" i="80" s="1"/>
  <c r="BL206" i="79"/>
  <c r="CC210" i="80"/>
  <c r="BK215" i="79"/>
  <c r="FL211" i="79"/>
  <c r="FM211" i="79"/>
  <c r="DQ210" i="80"/>
  <c r="DI210" i="80"/>
  <c r="P214" i="79"/>
  <c r="R214" i="79" s="1"/>
  <c r="DY210" i="80"/>
  <c r="AW214" i="80"/>
  <c r="AX214" i="80" s="1"/>
  <c r="CK205" i="80"/>
  <c r="EP309" i="80"/>
  <c r="BT212" i="80"/>
  <c r="BK88" i="80"/>
  <c r="CA88" i="80"/>
  <c r="AM154" i="79"/>
  <c r="AO154" i="79" s="1"/>
  <c r="FC114" i="79"/>
  <c r="FD114" i="79" s="1"/>
  <c r="BK114" i="79"/>
  <c r="CQ72" i="79"/>
  <c r="FC214" i="80"/>
  <c r="BE59" i="80"/>
  <c r="FD211" i="79"/>
  <c r="BE201" i="80"/>
  <c r="EN214" i="79"/>
  <c r="FM210" i="80"/>
  <c r="AG114" i="79"/>
  <c r="AH114" i="79" s="1"/>
  <c r="O88" i="80"/>
  <c r="EE91" i="80"/>
  <c r="W154" i="79"/>
  <c r="EU114" i="79"/>
  <c r="EW114" i="79" s="1"/>
  <c r="EE114" i="79"/>
  <c r="EG114" i="79" s="1"/>
  <c r="BC114" i="79"/>
  <c r="BS72" i="79"/>
  <c r="AE214" i="80"/>
  <c r="I177" i="85"/>
  <c r="K97" i="90" s="1"/>
  <c r="DQ201" i="80"/>
  <c r="AO210" i="80"/>
  <c r="EO210" i="80"/>
  <c r="AU88" i="80"/>
  <c r="CQ154" i="79"/>
  <c r="DW154" i="79"/>
  <c r="DY154" i="79" s="1"/>
  <c r="DG114" i="79"/>
  <c r="DI114" i="79" s="1"/>
  <c r="W114" i="79"/>
  <c r="X114" i="79" s="1"/>
  <c r="W140" i="79"/>
  <c r="EE154" i="79"/>
  <c r="EG154" i="79" s="1"/>
  <c r="AU114" i="79"/>
  <c r="AV114" i="79" s="1"/>
  <c r="EE214" i="80"/>
  <c r="EE215" i="80" s="1"/>
  <c r="FE210" i="80"/>
  <c r="Y210" i="80"/>
  <c r="BM210" i="80"/>
  <c r="DO154" i="79"/>
  <c r="BS154" i="79"/>
  <c r="BU154" i="79" s="1"/>
  <c r="O154" i="79"/>
  <c r="Q154" i="79" s="1"/>
  <c r="DW114" i="79"/>
  <c r="DX114" i="79" s="1"/>
  <c r="CA114" i="79"/>
  <c r="O114" i="79"/>
  <c r="P114" i="79" s="1"/>
  <c r="BK140" i="79"/>
  <c r="FC140" i="79"/>
  <c r="FK114" i="79"/>
  <c r="FL114" i="79" s="1"/>
  <c r="AU72" i="79"/>
  <c r="DO72" i="79"/>
  <c r="AH373" i="79"/>
  <c r="CS210" i="80"/>
  <c r="AG210" i="80"/>
  <c r="EG210" i="80"/>
  <c r="CY154" i="79"/>
  <c r="DA154" i="79" s="1"/>
  <c r="BK154" i="79"/>
  <c r="AM114" i="79"/>
  <c r="AN114" i="79" s="1"/>
  <c r="BS114" i="79"/>
  <c r="BT114" i="79" s="1"/>
  <c r="BS140" i="80"/>
  <c r="BU140" i="80" s="1"/>
  <c r="FK91" i="80"/>
  <c r="FL91" i="80" s="1"/>
  <c r="AM72" i="79"/>
  <c r="BC72" i="79"/>
  <c r="AU210" i="80"/>
  <c r="DA210" i="80"/>
  <c r="BE210" i="80"/>
  <c r="Q210" i="80"/>
  <c r="BU210" i="80"/>
  <c r="CI154" i="79"/>
  <c r="EM154" i="79"/>
  <c r="EO154" i="79" s="1"/>
  <c r="FC154" i="79"/>
  <c r="DG154" i="79"/>
  <c r="DO114" i="79"/>
  <c r="DP114" i="79" s="1"/>
  <c r="CI140" i="80"/>
  <c r="CK140" i="80" s="1"/>
  <c r="W72" i="79"/>
  <c r="EE72" i="79"/>
  <c r="CI210" i="80"/>
  <c r="H132" i="79"/>
  <c r="BM201" i="80"/>
  <c r="FK140" i="79"/>
  <c r="FC91" i="80"/>
  <c r="CA154" i="79"/>
  <c r="CC154" i="79" s="1"/>
  <c r="FK154" i="79"/>
  <c r="FM154" i="79" s="1"/>
  <c r="CY114" i="79"/>
  <c r="CZ114" i="79" s="1"/>
  <c r="DG72" i="79"/>
  <c r="DQ125" i="80"/>
  <c r="DP125" i="80"/>
  <c r="BD121" i="80"/>
  <c r="BE121" i="80"/>
  <c r="CJ115" i="80"/>
  <c r="CK115" i="80"/>
  <c r="FM205" i="80"/>
  <c r="FK207" i="80"/>
  <c r="I177" i="79"/>
  <c r="J60" i="80"/>
  <c r="G35" i="82"/>
  <c r="CJ67" i="79"/>
  <c r="CL67" i="79" s="1"/>
  <c r="EG201" i="80"/>
  <c r="EW201" i="80"/>
  <c r="P206" i="79"/>
  <c r="CC205" i="80"/>
  <c r="CK205" i="79"/>
  <c r="EG205" i="79"/>
  <c r="EG200" i="79"/>
  <c r="EU115" i="80"/>
  <c r="EM153" i="80"/>
  <c r="EO153" i="80" s="1"/>
  <c r="DO153" i="80"/>
  <c r="DQ153" i="80" s="1"/>
  <c r="CI147" i="80"/>
  <c r="CK147" i="80" s="1"/>
  <c r="FC70" i="80"/>
  <c r="FD70" i="80" s="1"/>
  <c r="AM70" i="80"/>
  <c r="AN70" i="80" s="1"/>
  <c r="J60" i="85"/>
  <c r="L26" i="90" s="1"/>
  <c r="EO201" i="80"/>
  <c r="AW205" i="80"/>
  <c r="DI205" i="80"/>
  <c r="BU205" i="80"/>
  <c r="Y205" i="80"/>
  <c r="AG205" i="80"/>
  <c r="BD59" i="80"/>
  <c r="EM104" i="80"/>
  <c r="EO104" i="80" s="1"/>
  <c r="DG153" i="80"/>
  <c r="DI153" i="80" s="1"/>
  <c r="CI153" i="80"/>
  <c r="CK153" i="80" s="1"/>
  <c r="DW147" i="80"/>
  <c r="DX147" i="80" s="1"/>
  <c r="CY70" i="80"/>
  <c r="DA70" i="80" s="1"/>
  <c r="BS115" i="80"/>
  <c r="BU115" i="80" s="1"/>
  <c r="AM205" i="80"/>
  <c r="H132" i="80"/>
  <c r="AN132" i="80" s="1"/>
  <c r="I277" i="85"/>
  <c r="K157" i="90" s="1"/>
  <c r="H291" i="80"/>
  <c r="AV90" i="79"/>
  <c r="H188" i="80"/>
  <c r="BL188" i="80" s="1"/>
  <c r="FM201" i="80"/>
  <c r="EO70" i="80"/>
  <c r="EP70" i="80" s="1"/>
  <c r="AV200" i="80"/>
  <c r="FE200" i="79"/>
  <c r="BU205" i="79"/>
  <c r="BS207" i="80"/>
  <c r="CS205" i="80"/>
  <c r="AG201" i="80"/>
  <c r="EW205" i="79"/>
  <c r="EE115" i="80"/>
  <c r="EF115" i="80" s="1"/>
  <c r="CY153" i="80"/>
  <c r="DA153" i="80" s="1"/>
  <c r="AU153" i="80"/>
  <c r="AW153" i="80" s="1"/>
  <c r="DW153" i="80"/>
  <c r="DY153" i="80" s="1"/>
  <c r="DW66" i="80"/>
  <c r="CQ70" i="80"/>
  <c r="J23" i="80"/>
  <c r="J399" i="80" s="1"/>
  <c r="H291" i="85"/>
  <c r="J161" i="90" s="1"/>
  <c r="I244" i="85"/>
  <c r="K138" i="90" s="1"/>
  <c r="Q201" i="80"/>
  <c r="X67" i="79"/>
  <c r="Z67" i="79" s="1"/>
  <c r="CI207" i="79"/>
  <c r="DA205" i="80"/>
  <c r="FE205" i="79"/>
  <c r="FK104" i="80"/>
  <c r="EU147" i="80"/>
  <c r="EW147" i="80" s="1"/>
  <c r="W147" i="80"/>
  <c r="Y147" i="80" s="1"/>
  <c r="W115" i="80"/>
  <c r="CQ153" i="80"/>
  <c r="CS153" i="80" s="1"/>
  <c r="AE153" i="80"/>
  <c r="AG153" i="80" s="1"/>
  <c r="EU153" i="80"/>
  <c r="EW153" i="80" s="1"/>
  <c r="FK70" i="80"/>
  <c r="H279" i="85"/>
  <c r="J159" i="90" s="1"/>
  <c r="AO201" i="80"/>
  <c r="Y201" i="80"/>
  <c r="Y205" i="79"/>
  <c r="BM205" i="80"/>
  <c r="CS205" i="79"/>
  <c r="CJ206" i="79"/>
  <c r="AW205" i="79"/>
  <c r="FE205" i="80"/>
  <c r="BK104" i="80"/>
  <c r="CY147" i="80"/>
  <c r="CZ147" i="80" s="1"/>
  <c r="AE147" i="80"/>
  <c r="BK153" i="80"/>
  <c r="BM153" i="80" s="1"/>
  <c r="CA153" i="80"/>
  <c r="CC153" i="80" s="1"/>
  <c r="FK153" i="80"/>
  <c r="FM153" i="80" s="1"/>
  <c r="G207" i="85"/>
  <c r="H106" i="80"/>
  <c r="H279" i="79"/>
  <c r="EN279" i="79" s="1"/>
  <c r="BU201" i="80"/>
  <c r="FC207" i="79"/>
  <c r="CS201" i="80"/>
  <c r="DY205" i="79"/>
  <c r="BE205" i="80"/>
  <c r="AM125" i="80"/>
  <c r="AN125" i="80" s="1"/>
  <c r="CI121" i="80"/>
  <c r="BC147" i="80"/>
  <c r="BD147" i="80" s="1"/>
  <c r="FK147" i="80"/>
  <c r="FM147" i="80" s="1"/>
  <c r="BC153" i="80"/>
  <c r="BE153" i="80" s="1"/>
  <c r="DO70" i="80"/>
  <c r="DQ70" i="80" s="1"/>
  <c r="H106" i="85"/>
  <c r="J55" i="90" s="1"/>
  <c r="J71" i="85"/>
  <c r="L37" i="90" s="1"/>
  <c r="H214" i="80"/>
  <c r="CK201" i="80"/>
  <c r="DA201" i="80"/>
  <c r="EO205" i="80"/>
  <c r="BE205" i="79"/>
  <c r="AM424" i="80"/>
  <c r="FK121" i="80"/>
  <c r="FM121" i="80" s="1"/>
  <c r="DG147" i="80"/>
  <c r="W153" i="80"/>
  <c r="Y153" i="80" s="1"/>
  <c r="FC153" i="80"/>
  <c r="FE153" i="80" s="1"/>
  <c r="DI201" i="80"/>
  <c r="DY201" i="80"/>
  <c r="BC70" i="80"/>
  <c r="FC109" i="79"/>
  <c r="FE109" i="79" s="1"/>
  <c r="FK90" i="80"/>
  <c r="FL90" i="80" s="1"/>
  <c r="FK126" i="79"/>
  <c r="FM126" i="79" s="1"/>
  <c r="DO90" i="80"/>
  <c r="DP90" i="80" s="1"/>
  <c r="BK126" i="79"/>
  <c r="BM126" i="79" s="1"/>
  <c r="BS126" i="79"/>
  <c r="BU126" i="79" s="1"/>
  <c r="DO126" i="79"/>
  <c r="DQ126" i="79" s="1"/>
  <c r="EM18" i="79"/>
  <c r="EM412" i="79" s="1"/>
  <c r="FC18" i="79"/>
  <c r="FC412" i="79" s="1"/>
  <c r="AM18" i="79"/>
  <c r="AM412" i="79" s="1"/>
  <c r="AE18" i="79"/>
  <c r="AE412" i="79" s="1"/>
  <c r="EU88" i="80"/>
  <c r="W88" i="80"/>
  <c r="DO91" i="80"/>
  <c r="DQ91" i="80" s="1"/>
  <c r="DW91" i="80"/>
  <c r="EM106" i="79"/>
  <c r="BC106" i="79"/>
  <c r="BK120" i="79"/>
  <c r="BM120" i="79" s="1"/>
  <c r="CA120" i="79"/>
  <c r="CC120" i="79" s="1"/>
  <c r="CY57" i="80"/>
  <c r="CQ140" i="80"/>
  <c r="CS140" i="80" s="1"/>
  <c r="EM88" i="80"/>
  <c r="EE194" i="80"/>
  <c r="EF194" i="80" s="1"/>
  <c r="BK113" i="80"/>
  <c r="BL113" i="80" s="1"/>
  <c r="DW127" i="79"/>
  <c r="W194" i="80"/>
  <c r="CI108" i="79"/>
  <c r="CJ108" i="79" s="1"/>
  <c r="BC194" i="80"/>
  <c r="CR201" i="80"/>
  <c r="FK109" i="79"/>
  <c r="FM109" i="79" s="1"/>
  <c r="FC90" i="80"/>
  <c r="FD90" i="80" s="1"/>
  <c r="CC91" i="80"/>
  <c r="CD91" i="80" s="1"/>
  <c r="FC126" i="79"/>
  <c r="FE126" i="79" s="1"/>
  <c r="FK120" i="79"/>
  <c r="CY126" i="79"/>
  <c r="DA126" i="79" s="1"/>
  <c r="CA126" i="79"/>
  <c r="CC126" i="79" s="1"/>
  <c r="AU103" i="80"/>
  <c r="EM103" i="80"/>
  <c r="DG18" i="79"/>
  <c r="DG412" i="79" s="1"/>
  <c r="O18" i="79"/>
  <c r="O412" i="79" s="1"/>
  <c r="EE88" i="80"/>
  <c r="DG91" i="80"/>
  <c r="CI88" i="80"/>
  <c r="DO106" i="79"/>
  <c r="DP106" i="79" s="1"/>
  <c r="FC106" i="79"/>
  <c r="AE120" i="79"/>
  <c r="AF120" i="79" s="1"/>
  <c r="O120" i="79"/>
  <c r="AU140" i="80"/>
  <c r="AW140" i="80" s="1"/>
  <c r="AE140" i="80"/>
  <c r="AG140" i="80" s="1"/>
  <c r="CI91" i="80"/>
  <c r="FC88" i="80"/>
  <c r="EM194" i="80"/>
  <c r="EN194" i="80" s="1"/>
  <c r="CA113" i="80"/>
  <c r="CB113" i="80" s="1"/>
  <c r="BS91" i="80"/>
  <c r="CZ200" i="80"/>
  <c r="FC120" i="79"/>
  <c r="FD120" i="79" s="1"/>
  <c r="DW126" i="79"/>
  <c r="DY126" i="79" s="1"/>
  <c r="EM126" i="79"/>
  <c r="EO126" i="79" s="1"/>
  <c r="DO88" i="80"/>
  <c r="CY88" i="80"/>
  <c r="BK91" i="80"/>
  <c r="BL91" i="80" s="1"/>
  <c r="CY106" i="79"/>
  <c r="CA106" i="79"/>
  <c r="EU106" i="79"/>
  <c r="EV106" i="79" s="1"/>
  <c r="CI57" i="80"/>
  <c r="CQ91" i="80"/>
  <c r="FK88" i="80"/>
  <c r="CY194" i="80"/>
  <c r="CZ194" i="80" s="1"/>
  <c r="EU194" i="80"/>
  <c r="EW194" i="80" s="1"/>
  <c r="FK113" i="80"/>
  <c r="AU103" i="79"/>
  <c r="BC91" i="80"/>
  <c r="BD91" i="80" s="1"/>
  <c r="BS194" i="80"/>
  <c r="BF307" i="80"/>
  <c r="DX200" i="80"/>
  <c r="AX307" i="80"/>
  <c r="DB294" i="79"/>
  <c r="EE126" i="79"/>
  <c r="EG126" i="79" s="1"/>
  <c r="EU126" i="79"/>
  <c r="EW126" i="79" s="1"/>
  <c r="W18" i="79"/>
  <c r="W412" i="79" s="1"/>
  <c r="G412" i="79"/>
  <c r="DG88" i="80"/>
  <c r="CQ88" i="80"/>
  <c r="BC88" i="80"/>
  <c r="AE106" i="79"/>
  <c r="BS106" i="79"/>
  <c r="AU106" i="79"/>
  <c r="EE120" i="79"/>
  <c r="EF120" i="79" s="1"/>
  <c r="EM120" i="79"/>
  <c r="EN120" i="79" s="1"/>
  <c r="DI192" i="80"/>
  <c r="DW57" i="80"/>
  <c r="EE140" i="80"/>
  <c r="EG140" i="80" s="1"/>
  <c r="CY91" i="80"/>
  <c r="CZ91" i="80" s="1"/>
  <c r="EE90" i="80"/>
  <c r="EF90" i="80" s="1"/>
  <c r="CA194" i="80"/>
  <c r="AM194" i="80"/>
  <c r="AO194" i="80" s="1"/>
  <c r="AE194" i="80"/>
  <c r="CC200" i="79"/>
  <c r="FK103" i="79"/>
  <c r="BS90" i="80"/>
  <c r="BT90" i="80" s="1"/>
  <c r="O126" i="79"/>
  <c r="Q126" i="79" s="1"/>
  <c r="CQ126" i="79"/>
  <c r="CS126" i="79" s="1"/>
  <c r="BC126" i="79"/>
  <c r="BE126" i="79" s="1"/>
  <c r="EU18" i="79"/>
  <c r="EU412" i="79" s="1"/>
  <c r="DW18" i="79"/>
  <c r="DW412" i="79" s="1"/>
  <c r="CY18" i="79"/>
  <c r="CY412" i="79" s="1"/>
  <c r="EM91" i="80"/>
  <c r="BS88" i="80"/>
  <c r="AE88" i="80"/>
  <c r="DG106" i="79"/>
  <c r="DI106" i="79" s="1"/>
  <c r="DW106" i="79"/>
  <c r="DY106" i="79" s="1"/>
  <c r="BS120" i="79"/>
  <c r="BU120" i="79" s="1"/>
  <c r="W120" i="79"/>
  <c r="BC140" i="80"/>
  <c r="BE140" i="80" s="1"/>
  <c r="CY140" i="80"/>
  <c r="DA140" i="80" s="1"/>
  <c r="CI194" i="80"/>
  <c r="DW194" i="80"/>
  <c r="DY194" i="80" s="1"/>
  <c r="AM97" i="79"/>
  <c r="AN97" i="79" s="1"/>
  <c r="DW109" i="79"/>
  <c r="DX109" i="79" s="1"/>
  <c r="BE124" i="80"/>
  <c r="BF124" i="80" s="1"/>
  <c r="AE126" i="79"/>
  <c r="AG126" i="79" s="1"/>
  <c r="CA18" i="79"/>
  <c r="CA412" i="79" s="1"/>
  <c r="BK18" i="79"/>
  <c r="BK412" i="79" s="1"/>
  <c r="CQ18" i="79"/>
  <c r="CQ412" i="79" s="1"/>
  <c r="DW88" i="80"/>
  <c r="W91" i="80"/>
  <c r="X91" i="80" s="1"/>
  <c r="CI106" i="79"/>
  <c r="CK106" i="79" s="1"/>
  <c r="CQ106" i="79"/>
  <c r="CR106" i="79" s="1"/>
  <c r="AV201" i="80"/>
  <c r="X200" i="80"/>
  <c r="FD201" i="80"/>
  <c r="CA140" i="80"/>
  <c r="CC140" i="80" s="1"/>
  <c r="CQ194" i="80"/>
  <c r="CR194" i="80" s="1"/>
  <c r="FC194" i="80"/>
  <c r="DG97" i="79"/>
  <c r="DH97" i="79" s="1"/>
  <c r="O91" i="80"/>
  <c r="O194" i="80"/>
  <c r="I211" i="79"/>
  <c r="J181" i="80"/>
  <c r="J139" i="80"/>
  <c r="J276" i="80"/>
  <c r="J121" i="80"/>
  <c r="I23" i="80"/>
  <c r="I399" i="80" s="1"/>
  <c r="H153" i="85"/>
  <c r="J91" i="90" s="1"/>
  <c r="H295" i="79"/>
  <c r="X295" i="79" s="1"/>
  <c r="H125" i="85"/>
  <c r="J71" i="90" s="1"/>
  <c r="I248" i="79"/>
  <c r="DP200" i="80"/>
  <c r="AF201" i="80"/>
  <c r="EF201" i="80"/>
  <c r="CB200" i="80"/>
  <c r="DH200" i="80"/>
  <c r="CJ200" i="80"/>
  <c r="EV201" i="80"/>
  <c r="FL192" i="80"/>
  <c r="W202" i="80"/>
  <c r="FK154" i="80"/>
  <c r="FM154" i="80" s="1"/>
  <c r="FC60" i="80"/>
  <c r="FE60" i="80" s="1"/>
  <c r="EU123" i="80"/>
  <c r="CY123" i="80"/>
  <c r="DG105" i="80"/>
  <c r="EF192" i="80"/>
  <c r="J67" i="80"/>
  <c r="H206" i="85"/>
  <c r="J67" i="79"/>
  <c r="I108" i="80"/>
  <c r="FL97" i="80"/>
  <c r="H98" i="85"/>
  <c r="J50" i="90" s="1"/>
  <c r="I70" i="79"/>
  <c r="J139" i="85"/>
  <c r="L79" i="90" s="1"/>
  <c r="J276" i="85"/>
  <c r="L156" i="90" s="1"/>
  <c r="H153" i="80"/>
  <c r="E45" i="82"/>
  <c r="E46" i="82" s="1"/>
  <c r="R2" i="82" s="1"/>
  <c r="R4" i="82" s="1"/>
  <c r="H226" i="80"/>
  <c r="J210" i="85"/>
  <c r="L115" i="90" s="1"/>
  <c r="FE201" i="80"/>
  <c r="DB214" i="80"/>
  <c r="AW201" i="80"/>
  <c r="EN201" i="80"/>
  <c r="CJ201" i="80"/>
  <c r="CS200" i="79"/>
  <c r="BT201" i="80"/>
  <c r="FC202" i="80"/>
  <c r="FL200" i="80"/>
  <c r="FK60" i="80"/>
  <c r="FM60" i="80" s="1"/>
  <c r="FC123" i="80"/>
  <c r="EM123" i="80"/>
  <c r="CY154" i="80"/>
  <c r="DA154" i="80" s="1"/>
  <c r="EN192" i="80"/>
  <c r="H270" i="80"/>
  <c r="I108" i="85"/>
  <c r="K57" i="90" s="1"/>
  <c r="I143" i="85"/>
  <c r="H250" i="80"/>
  <c r="I70" i="80"/>
  <c r="J181" i="79"/>
  <c r="J129" i="80"/>
  <c r="H25" i="80"/>
  <c r="H226" i="79"/>
  <c r="H26" i="85"/>
  <c r="AN201" i="80"/>
  <c r="CR200" i="80"/>
  <c r="DH201" i="80"/>
  <c r="EF200" i="80"/>
  <c r="Y200" i="79"/>
  <c r="DP201" i="80"/>
  <c r="DH192" i="80"/>
  <c r="BM200" i="79"/>
  <c r="AW120" i="79"/>
  <c r="AX120" i="79" s="1"/>
  <c r="FD200" i="80"/>
  <c r="AU202" i="80"/>
  <c r="W123" i="80"/>
  <c r="BC123" i="80"/>
  <c r="W154" i="80"/>
  <c r="AU154" i="80"/>
  <c r="AW154" i="80" s="1"/>
  <c r="EV192" i="80"/>
  <c r="CI23" i="80"/>
  <c r="CJ23" i="80" s="1"/>
  <c r="CJ399" i="80" s="1"/>
  <c r="AU16" i="80"/>
  <c r="AU410" i="80" s="1"/>
  <c r="AM98" i="79"/>
  <c r="AO98" i="79" s="1"/>
  <c r="H250" i="79"/>
  <c r="I150" i="79"/>
  <c r="J367" i="85"/>
  <c r="L178" i="90" s="1"/>
  <c r="J129" i="79"/>
  <c r="I26" i="85"/>
  <c r="P200" i="80"/>
  <c r="AF200" i="80"/>
  <c r="CZ201" i="80"/>
  <c r="J372" i="79"/>
  <c r="FN372" i="79" s="1"/>
  <c r="BL201" i="80"/>
  <c r="FL201" i="80"/>
  <c r="DA200" i="79"/>
  <c r="AE123" i="80"/>
  <c r="CI123" i="80"/>
  <c r="BC154" i="80"/>
  <c r="BT192" i="80"/>
  <c r="CY60" i="80"/>
  <c r="DA60" i="80" s="1"/>
  <c r="H270" i="79"/>
  <c r="J132" i="79"/>
  <c r="I150" i="85"/>
  <c r="K88" i="90" s="1"/>
  <c r="J193" i="80"/>
  <c r="J125" i="85"/>
  <c r="L71" i="90" s="1"/>
  <c r="I23" i="85"/>
  <c r="K6" i="90" s="1"/>
  <c r="J231" i="85"/>
  <c r="L132" i="90" s="1"/>
  <c r="E45" i="35"/>
  <c r="E46" i="35" s="1"/>
  <c r="R2" i="35" s="1"/>
  <c r="CB201" i="80"/>
  <c r="EG141" i="80"/>
  <c r="EH141" i="80" s="1"/>
  <c r="DX192" i="80"/>
  <c r="FM200" i="79"/>
  <c r="EW200" i="79"/>
  <c r="CJ192" i="80"/>
  <c r="AN192" i="80"/>
  <c r="BE200" i="79"/>
  <c r="EO200" i="79"/>
  <c r="AW200" i="79"/>
  <c r="CB192" i="80"/>
  <c r="BK123" i="80"/>
  <c r="DG123" i="80"/>
  <c r="AM105" i="80"/>
  <c r="AM154" i="80"/>
  <c r="AO154" i="80" s="1"/>
  <c r="AF192" i="80"/>
  <c r="DP192" i="80"/>
  <c r="FM108" i="79"/>
  <c r="I142" i="79"/>
  <c r="I142" i="80"/>
  <c r="I143" i="80" s="1"/>
  <c r="J132" i="85"/>
  <c r="L78" i="90" s="1"/>
  <c r="I55" i="26"/>
  <c r="E18" i="32" s="1"/>
  <c r="J193" i="85"/>
  <c r="L109" i="90" s="1"/>
  <c r="J125" i="79"/>
  <c r="F43" i="35"/>
  <c r="J231" i="80"/>
  <c r="H25" i="79"/>
  <c r="H401" i="79" s="1"/>
  <c r="H112" i="85"/>
  <c r="J61" i="90" s="1"/>
  <c r="I248" i="80"/>
  <c r="J210" i="80"/>
  <c r="BD201" i="80"/>
  <c r="X201" i="80"/>
  <c r="EN200" i="80"/>
  <c r="DX201" i="80"/>
  <c r="AU123" i="80"/>
  <c r="CQ123" i="80"/>
  <c r="FK123" i="80"/>
  <c r="BK154" i="80"/>
  <c r="BM154" i="80" s="1"/>
  <c r="X192" i="80"/>
  <c r="I194" i="85"/>
  <c r="K110" i="90" s="1"/>
  <c r="I293" i="85"/>
  <c r="K163" i="90" s="1"/>
  <c r="H112" i="80"/>
  <c r="I232" i="79"/>
  <c r="AN200" i="80"/>
  <c r="DI200" i="79"/>
  <c r="DO123" i="80"/>
  <c r="O123" i="80"/>
  <c r="EM154" i="80"/>
  <c r="EO154" i="80" s="1"/>
  <c r="CZ192" i="80"/>
  <c r="I62" i="79"/>
  <c r="FM62" i="79" s="1"/>
  <c r="BT195" i="79"/>
  <c r="CB195" i="79"/>
  <c r="EN195" i="79"/>
  <c r="P194" i="80"/>
  <c r="W97" i="79"/>
  <c r="X97" i="79" s="1"/>
  <c r="AU97" i="79"/>
  <c r="AV97" i="79" s="1"/>
  <c r="DG109" i="79"/>
  <c r="DH109" i="79" s="1"/>
  <c r="EM24" i="79"/>
  <c r="EM400" i="79" s="1"/>
  <c r="I62" i="80"/>
  <c r="CJ195" i="79"/>
  <c r="CZ195" i="79"/>
  <c r="I371" i="79"/>
  <c r="DQ371" i="79" s="1"/>
  <c r="BS109" i="79"/>
  <c r="BU109" i="79" s="1"/>
  <c r="CA24" i="79"/>
  <c r="CA400" i="79" s="1"/>
  <c r="EE97" i="79"/>
  <c r="EF97" i="79" s="1"/>
  <c r="AF195" i="79"/>
  <c r="BD194" i="80"/>
  <c r="BC109" i="79"/>
  <c r="BK109" i="79"/>
  <c r="W70" i="80"/>
  <c r="DP195" i="79"/>
  <c r="EF195" i="79"/>
  <c r="FD195" i="79"/>
  <c r="CJ194" i="80"/>
  <c r="FN307" i="80"/>
  <c r="P195" i="79"/>
  <c r="BE189" i="79"/>
  <c r="CA103" i="79"/>
  <c r="BS103" i="79"/>
  <c r="EE103" i="79"/>
  <c r="CY103" i="79"/>
  <c r="FC103" i="79"/>
  <c r="AU70" i="80"/>
  <c r="BD195" i="79"/>
  <c r="FM107" i="80"/>
  <c r="FL107" i="80"/>
  <c r="FM193" i="80"/>
  <c r="CS193" i="80"/>
  <c r="Q193" i="80"/>
  <c r="EO193" i="80"/>
  <c r="EW193" i="80"/>
  <c r="FE193" i="80"/>
  <c r="DY193" i="80"/>
  <c r="DA193" i="80"/>
  <c r="CC193" i="80"/>
  <c r="BM193" i="80"/>
  <c r="DQ193" i="80"/>
  <c r="BK58" i="80"/>
  <c r="BL58" i="80" s="1"/>
  <c r="CB194" i="80"/>
  <c r="I16" i="80"/>
  <c r="I410" i="80" s="1"/>
  <c r="I426" i="80" s="1"/>
  <c r="I16" i="85"/>
  <c r="K2" i="90" s="1"/>
  <c r="Y142" i="79"/>
  <c r="EO142" i="80"/>
  <c r="EN142" i="80"/>
  <c r="AV195" i="79"/>
  <c r="DA194" i="80"/>
  <c r="BM194" i="80"/>
  <c r="CK194" i="80"/>
  <c r="AG194" i="80"/>
  <c r="BU194" i="80"/>
  <c r="Q194" i="80"/>
  <c r="Y194" i="80"/>
  <c r="FM194" i="80"/>
  <c r="DI194" i="80"/>
  <c r="DQ194" i="80"/>
  <c r="EG194" i="80"/>
  <c r="CS194" i="80"/>
  <c r="EN91" i="79"/>
  <c r="EO91" i="79"/>
  <c r="BK139" i="80"/>
  <c r="BL139" i="80" s="1"/>
  <c r="EU139" i="80"/>
  <c r="EW139" i="80" s="1"/>
  <c r="BS150" i="80"/>
  <c r="BU150" i="80" s="1"/>
  <c r="CY150" i="80"/>
  <c r="DA150" i="80" s="1"/>
  <c r="CA150" i="80"/>
  <c r="CC150" i="80" s="1"/>
  <c r="BS62" i="80"/>
  <c r="AM62" i="80"/>
  <c r="CY62" i="80"/>
  <c r="BS58" i="80"/>
  <c r="BT58" i="80" s="1"/>
  <c r="O58" i="80"/>
  <c r="CI58" i="80"/>
  <c r="CJ58" i="80" s="1"/>
  <c r="AU58" i="80"/>
  <c r="CQ58" i="80"/>
  <c r="CS58" i="80" s="1"/>
  <c r="CY58" i="80"/>
  <c r="CA58" i="80"/>
  <c r="CB58" i="80" s="1"/>
  <c r="EM58" i="80"/>
  <c r="EO58" i="80" s="1"/>
  <c r="DG58" i="80"/>
  <c r="DI58" i="80" s="1"/>
  <c r="EE58" i="80"/>
  <c r="FC58" i="80"/>
  <c r="DW58" i="80"/>
  <c r="EU58" i="80"/>
  <c r="EV58" i="80" s="1"/>
  <c r="AM58" i="80"/>
  <c r="DO58" i="80"/>
  <c r="BC58" i="80"/>
  <c r="BE58" i="80" s="1"/>
  <c r="EM131" i="80"/>
  <c r="CI131" i="80"/>
  <c r="AE131" i="80"/>
  <c r="BS131" i="80"/>
  <c r="O131" i="80"/>
  <c r="DO131" i="80"/>
  <c r="BK131" i="80"/>
  <c r="AM131" i="80"/>
  <c r="BC131" i="80"/>
  <c r="FC131" i="80"/>
  <c r="CA131" i="80"/>
  <c r="FK131" i="80"/>
  <c r="AU131" i="80"/>
  <c r="EE131" i="80"/>
  <c r="EE127" i="80"/>
  <c r="DW127" i="80"/>
  <c r="DG127" i="80"/>
  <c r="CY127" i="80"/>
  <c r="CA127" i="80"/>
  <c r="FK127" i="80"/>
  <c r="W127" i="80"/>
  <c r="EU127" i="80"/>
  <c r="BK107" i="80"/>
  <c r="BM107" i="80" s="1"/>
  <c r="BC107" i="80"/>
  <c r="CA107" i="80"/>
  <c r="AE107" i="80"/>
  <c r="CI107" i="80"/>
  <c r="CJ107" i="80" s="1"/>
  <c r="EU107" i="80"/>
  <c r="EV107" i="80" s="1"/>
  <c r="CQ107" i="80"/>
  <c r="CR107" i="80" s="1"/>
  <c r="O107" i="80"/>
  <c r="DW107" i="80"/>
  <c r="DY107" i="80" s="1"/>
  <c r="W107" i="80"/>
  <c r="EE107" i="80"/>
  <c r="EG107" i="80" s="1"/>
  <c r="FC107" i="80"/>
  <c r="AM107" i="80"/>
  <c r="AO107" i="80" s="1"/>
  <c r="AU107" i="80"/>
  <c r="DO107" i="80"/>
  <c r="AE97" i="80"/>
  <c r="AF97" i="80" s="1"/>
  <c r="O97" i="80"/>
  <c r="P97" i="80" s="1"/>
  <c r="EM97" i="80"/>
  <c r="EN97" i="80" s="1"/>
  <c r="DG97" i="80"/>
  <c r="DH97" i="80" s="1"/>
  <c r="AW194" i="80"/>
  <c r="AV194" i="80"/>
  <c r="I145" i="80"/>
  <c r="I145" i="79"/>
  <c r="J16" i="79"/>
  <c r="J410" i="79" s="1"/>
  <c r="J426" i="79" s="1"/>
  <c r="G54" i="82"/>
  <c r="J247" i="79"/>
  <c r="J247" i="80"/>
  <c r="J200" i="79"/>
  <c r="J42" i="26"/>
  <c r="F16" i="32" s="1"/>
  <c r="AO188" i="80"/>
  <c r="BE188" i="80"/>
  <c r="H140" i="85"/>
  <c r="J80" i="90" s="1"/>
  <c r="H140" i="79"/>
  <c r="DP140" i="79" s="1"/>
  <c r="H140" i="80"/>
  <c r="H120" i="80"/>
  <c r="H120" i="85"/>
  <c r="J66" i="90" s="1"/>
  <c r="H120" i="79"/>
  <c r="H91" i="79"/>
  <c r="H91" i="80"/>
  <c r="H91" i="85"/>
  <c r="J46" i="90" s="1"/>
  <c r="H231" i="79"/>
  <c r="H231" i="85"/>
  <c r="J132" i="90" s="1"/>
  <c r="H231" i="80"/>
  <c r="H199" i="85"/>
  <c r="J112" i="90" s="1"/>
  <c r="H42" i="26"/>
  <c r="D16" i="32" s="1"/>
  <c r="Q193" i="79"/>
  <c r="FE194" i="80"/>
  <c r="EG193" i="80"/>
  <c r="CK193" i="80"/>
  <c r="P194" i="79"/>
  <c r="CY33" i="79"/>
  <c r="CY419" i="79" s="1"/>
  <c r="AE33" i="79"/>
  <c r="AF33" i="79" s="1"/>
  <c r="AF34" i="79" s="1"/>
  <c r="CR195" i="79"/>
  <c r="FD194" i="79"/>
  <c r="BT194" i="79"/>
  <c r="DP194" i="79"/>
  <c r="CK195" i="80"/>
  <c r="BU195" i="80"/>
  <c r="CY142" i="79"/>
  <c r="DA142" i="79" s="1"/>
  <c r="EM142" i="79"/>
  <c r="AU142" i="79"/>
  <c r="CQ142" i="79"/>
  <c r="DW142" i="79"/>
  <c r="FC142" i="79"/>
  <c r="BK142" i="79"/>
  <c r="EU142" i="79"/>
  <c r="EV142" i="79" s="1"/>
  <c r="O142" i="79"/>
  <c r="AE142" i="79"/>
  <c r="DO142" i="79"/>
  <c r="DP142" i="79" s="1"/>
  <c r="BC142" i="79"/>
  <c r="BD142" i="79" s="1"/>
  <c r="FK142" i="79"/>
  <c r="DO139" i="79"/>
  <c r="EM139" i="79"/>
  <c r="EO139" i="79" s="1"/>
  <c r="AE139" i="79"/>
  <c r="AF139" i="79" s="1"/>
  <c r="EU139" i="79"/>
  <c r="EW139" i="79" s="1"/>
  <c r="DW139" i="79"/>
  <c r="DX139" i="79" s="1"/>
  <c r="CI139" i="79"/>
  <c r="CJ139" i="79" s="1"/>
  <c r="FC139" i="79"/>
  <c r="FE139" i="79" s="1"/>
  <c r="BC139" i="79"/>
  <c r="BE139" i="79" s="1"/>
  <c r="FK139" i="79"/>
  <c r="FM139" i="79" s="1"/>
  <c r="CY139" i="79"/>
  <c r="DA139" i="79" s="1"/>
  <c r="BS139" i="79"/>
  <c r="BT139" i="79" s="1"/>
  <c r="AU139" i="79"/>
  <c r="AV139" i="79" s="1"/>
  <c r="O139" i="79"/>
  <c r="P139" i="79" s="1"/>
  <c r="CA139" i="79"/>
  <c r="CC139" i="79" s="1"/>
  <c r="AM139" i="79"/>
  <c r="AO139" i="79" s="1"/>
  <c r="DG139" i="79"/>
  <c r="DI139" i="79" s="1"/>
  <c r="EE139" i="79"/>
  <c r="EF139" i="79" s="1"/>
  <c r="W139" i="79"/>
  <c r="X139" i="79" s="1"/>
  <c r="CQ139" i="79"/>
  <c r="CS139" i="79" s="1"/>
  <c r="BK153" i="79"/>
  <c r="BL153" i="79" s="1"/>
  <c r="DO153" i="79"/>
  <c r="DP153" i="79" s="1"/>
  <c r="DG153" i="79"/>
  <c r="DI153" i="79" s="1"/>
  <c r="CQ153" i="79"/>
  <c r="CR153" i="79" s="1"/>
  <c r="CY153" i="79"/>
  <c r="DA153" i="79" s="1"/>
  <c r="O153" i="79"/>
  <c r="Q153" i="79" s="1"/>
  <c r="CA153" i="79"/>
  <c r="CB153" i="79" s="1"/>
  <c r="FK153" i="79"/>
  <c r="FL153" i="79" s="1"/>
  <c r="EE153" i="79"/>
  <c r="EG153" i="79" s="1"/>
  <c r="DW153" i="79"/>
  <c r="DY153" i="79" s="1"/>
  <c r="FC153" i="79"/>
  <c r="FE153" i="79" s="1"/>
  <c r="AU153" i="79"/>
  <c r="EU153" i="79"/>
  <c r="EW153" i="79" s="1"/>
  <c r="W153" i="79"/>
  <c r="X153" i="79" s="1"/>
  <c r="EM153" i="79"/>
  <c r="EO153" i="79" s="1"/>
  <c r="BS153" i="79"/>
  <c r="BU153" i="79" s="1"/>
  <c r="CI153" i="79"/>
  <c r="CK153" i="79" s="1"/>
  <c r="DG150" i="79"/>
  <c r="DH150" i="79" s="1"/>
  <c r="BK150" i="79"/>
  <c r="BL150" i="79" s="1"/>
  <c r="EU150" i="79"/>
  <c r="EV150" i="79" s="1"/>
  <c r="FC150" i="79"/>
  <c r="FD150" i="79" s="1"/>
  <c r="FK150" i="79"/>
  <c r="FL150" i="79" s="1"/>
  <c r="EU131" i="79"/>
  <c r="CY131" i="79"/>
  <c r="CA131" i="79"/>
  <c r="EE131" i="79"/>
  <c r="DW131" i="79"/>
  <c r="CQ131" i="79"/>
  <c r="DO131" i="79"/>
  <c r="DG131" i="79"/>
  <c r="FK131" i="79"/>
  <c r="AM131" i="79"/>
  <c r="CI131" i="79"/>
  <c r="AM91" i="79"/>
  <c r="W91" i="79"/>
  <c r="FK91" i="79"/>
  <c r="FC91" i="79"/>
  <c r="FD91" i="79" s="1"/>
  <c r="BS91" i="79"/>
  <c r="BT91" i="79" s="1"/>
  <c r="EU91" i="79"/>
  <c r="EV91" i="79" s="1"/>
  <c r="CQ91" i="79"/>
  <c r="CR91" i="79" s="1"/>
  <c r="O91" i="79"/>
  <c r="DG91" i="79"/>
  <c r="DI91" i="79" s="1"/>
  <c r="BK91" i="79"/>
  <c r="BL91" i="79" s="1"/>
  <c r="BC91" i="79"/>
  <c r="FE64" i="79"/>
  <c r="FF64" i="79" s="1"/>
  <c r="I372" i="79"/>
  <c r="FE372" i="79" s="1"/>
  <c r="I367" i="85"/>
  <c r="K178" i="90" s="1"/>
  <c r="I372" i="80"/>
  <c r="DY372" i="80" s="1"/>
  <c r="BE194" i="80"/>
  <c r="DX195" i="79"/>
  <c r="BN268" i="80"/>
  <c r="DP194" i="80"/>
  <c r="FD194" i="80"/>
  <c r="BN309" i="79"/>
  <c r="DX194" i="80"/>
  <c r="AF194" i="80"/>
  <c r="FL194" i="80"/>
  <c r="X194" i="80"/>
  <c r="DH194" i="80"/>
  <c r="BT194" i="80"/>
  <c r="AO193" i="80"/>
  <c r="I89" i="85"/>
  <c r="K44" i="90" s="1"/>
  <c r="I89" i="80"/>
  <c r="J23" i="79"/>
  <c r="J399" i="79" s="1"/>
  <c r="J402" i="79" s="1"/>
  <c r="J226" i="80"/>
  <c r="I244" i="79"/>
  <c r="I42" i="26"/>
  <c r="E16" i="32" s="1"/>
  <c r="G54" i="35"/>
  <c r="DH372" i="79"/>
  <c r="EF372" i="79"/>
  <c r="I129" i="85"/>
  <c r="K75" i="90" s="1"/>
  <c r="I155" i="85"/>
  <c r="K93" i="90" s="1"/>
  <c r="J248" i="79"/>
  <c r="DH70" i="79"/>
  <c r="DJ70" i="79" s="1"/>
  <c r="DA188" i="80"/>
  <c r="CA132" i="79"/>
  <c r="BC132" i="79"/>
  <c r="BE132" i="79" s="1"/>
  <c r="EE132" i="79"/>
  <c r="EG132" i="79" s="1"/>
  <c r="EU132" i="79"/>
  <c r="CQ132" i="79"/>
  <c r="CS132" i="79" s="1"/>
  <c r="EM132" i="79"/>
  <c r="EO132" i="79" s="1"/>
  <c r="CY132" i="79"/>
  <c r="DA132" i="79" s="1"/>
  <c r="O132" i="79"/>
  <c r="Q132" i="79" s="1"/>
  <c r="BS132" i="79"/>
  <c r="AE132" i="79"/>
  <c r="AG132" i="79" s="1"/>
  <c r="AU132" i="79"/>
  <c r="AW132" i="79" s="1"/>
  <c r="CI132" i="79"/>
  <c r="FC132" i="79"/>
  <c r="DO132" i="79"/>
  <c r="DQ132" i="79" s="1"/>
  <c r="W132" i="79"/>
  <c r="Y132" i="79" s="1"/>
  <c r="EE129" i="79"/>
  <c r="EF129" i="79" s="1"/>
  <c r="AE129" i="79"/>
  <c r="O129" i="79"/>
  <c r="P129" i="79" s="1"/>
  <c r="FK129" i="79"/>
  <c r="W129" i="79"/>
  <c r="EM129" i="79"/>
  <c r="EO129" i="79" s="1"/>
  <c r="DW129" i="79"/>
  <c r="BS129" i="79"/>
  <c r="BU129" i="79" s="1"/>
  <c r="BK129" i="79"/>
  <c r="CI129" i="79"/>
  <c r="FC129" i="79"/>
  <c r="FE129" i="79" s="1"/>
  <c r="FK125" i="79"/>
  <c r="FL125" i="79" s="1"/>
  <c r="CA125" i="79"/>
  <c r="CQ125" i="79"/>
  <c r="EU125" i="79"/>
  <c r="W125" i="79"/>
  <c r="X125" i="79" s="1"/>
  <c r="FC125" i="79"/>
  <c r="EM125" i="79"/>
  <c r="AM125" i="79"/>
  <c r="BK125" i="79"/>
  <c r="DO125" i="79"/>
  <c r="O125" i="79"/>
  <c r="AU125" i="79"/>
  <c r="AV125" i="79" s="1"/>
  <c r="CY125" i="79"/>
  <c r="CZ125" i="79" s="1"/>
  <c r="EE125" i="79"/>
  <c r="EF125" i="79" s="1"/>
  <c r="FC121" i="79"/>
  <c r="FD121" i="79" s="1"/>
  <c r="BS121" i="79"/>
  <c r="BU121" i="79" s="1"/>
  <c r="EM121" i="79"/>
  <c r="EO121" i="79" s="1"/>
  <c r="CY110" i="79"/>
  <c r="AM110" i="79"/>
  <c r="DW110" i="79"/>
  <c r="CI110" i="79"/>
  <c r="EU110" i="79"/>
  <c r="DG110" i="79"/>
  <c r="BS110" i="79"/>
  <c r="CQ110" i="79"/>
  <c r="DO110" i="79"/>
  <c r="AE110" i="79"/>
  <c r="CA110" i="79"/>
  <c r="FC110" i="79"/>
  <c r="O110" i="79"/>
  <c r="AU110" i="79"/>
  <c r="EU17" i="79"/>
  <c r="EU411" i="79" s="1"/>
  <c r="G411" i="79"/>
  <c r="DO189" i="79"/>
  <c r="CY189" i="79"/>
  <c r="CI189" i="79"/>
  <c r="EE189" i="79"/>
  <c r="FK189" i="79"/>
  <c r="BS189" i="79"/>
  <c r="CA189" i="79"/>
  <c r="EU189" i="79"/>
  <c r="AM189" i="79"/>
  <c r="W189" i="79"/>
  <c r="DW189" i="79"/>
  <c r="CQ189" i="79"/>
  <c r="EM189" i="79"/>
  <c r="FC189" i="79"/>
  <c r="G43" i="35"/>
  <c r="J226" i="85"/>
  <c r="L127" i="90" s="1"/>
  <c r="J247" i="85"/>
  <c r="L141" i="90" s="1"/>
  <c r="I201" i="85"/>
  <c r="K114" i="90" s="1"/>
  <c r="J16" i="80"/>
  <c r="J410" i="80" s="1"/>
  <c r="DP372" i="79"/>
  <c r="X372" i="79"/>
  <c r="I145" i="85"/>
  <c r="K83" i="90" s="1"/>
  <c r="J16" i="85"/>
  <c r="L2" i="90" s="1"/>
  <c r="J256" i="79"/>
  <c r="DI188" i="80"/>
  <c r="CS188" i="80"/>
  <c r="EO188" i="80"/>
  <c r="Q188" i="80"/>
  <c r="FM120" i="80"/>
  <c r="FL120" i="80"/>
  <c r="DP129" i="79"/>
  <c r="DQ129" i="79"/>
  <c r="CI65" i="79"/>
  <c r="EE65" i="79"/>
  <c r="DO65" i="79"/>
  <c r="EU65" i="79"/>
  <c r="BS65" i="79"/>
  <c r="CY65" i="79"/>
  <c r="O65" i="79"/>
  <c r="EU88" i="79"/>
  <c r="O88" i="79"/>
  <c r="W88" i="79"/>
  <c r="AE88" i="79"/>
  <c r="CI88" i="79"/>
  <c r="FC88" i="79"/>
  <c r="AM88" i="79"/>
  <c r="DO88" i="79"/>
  <c r="CY88" i="79"/>
  <c r="J71" i="80"/>
  <c r="I113" i="80"/>
  <c r="I188" i="79"/>
  <c r="J23" i="85"/>
  <c r="L6" i="90" s="1"/>
  <c r="I277" i="79"/>
  <c r="I310" i="79"/>
  <c r="BE310" i="79" s="1"/>
  <c r="J256" i="80"/>
  <c r="DX372" i="79"/>
  <c r="BL372" i="79"/>
  <c r="J200" i="80"/>
  <c r="J248" i="80"/>
  <c r="EW188" i="80"/>
  <c r="BD125" i="79"/>
  <c r="BE125" i="79"/>
  <c r="DO69" i="80"/>
  <c r="DQ69" i="80" s="1"/>
  <c r="W69" i="80"/>
  <c r="X69" i="80" s="1"/>
  <c r="EM57" i="80"/>
  <c r="FC57" i="80"/>
  <c r="EU57" i="80"/>
  <c r="DO57" i="80"/>
  <c r="AM57" i="80"/>
  <c r="O57" i="80"/>
  <c r="AU57" i="80"/>
  <c r="W57" i="80"/>
  <c r="BK57" i="80"/>
  <c r="BS57" i="80"/>
  <c r="FK57" i="80"/>
  <c r="CQ57" i="80"/>
  <c r="FC120" i="80"/>
  <c r="FD120" i="80" s="1"/>
  <c r="CQ120" i="80"/>
  <c r="CS120" i="80" s="1"/>
  <c r="DW113" i="80"/>
  <c r="DX113" i="80" s="1"/>
  <c r="DG113" i="80"/>
  <c r="DH113" i="80" s="1"/>
  <c r="AE113" i="80"/>
  <c r="AF113" i="80" s="1"/>
  <c r="DO113" i="80"/>
  <c r="DP113" i="80" s="1"/>
  <c r="AM113" i="80"/>
  <c r="AN113" i="80" s="1"/>
  <c r="CY113" i="80"/>
  <c r="CZ113" i="80" s="1"/>
  <c r="W113" i="80"/>
  <c r="X113" i="80" s="1"/>
  <c r="EM113" i="80"/>
  <c r="EN113" i="80" s="1"/>
  <c r="CQ113" i="80"/>
  <c r="EU113" i="80"/>
  <c r="EV113" i="80" s="1"/>
  <c r="AU110" i="80"/>
  <c r="EU110" i="80"/>
  <c r="EE103" i="80"/>
  <c r="CQ103" i="80"/>
  <c r="BK103" i="80"/>
  <c r="DO103" i="80"/>
  <c r="AE103" i="80"/>
  <c r="DG103" i="80"/>
  <c r="W90" i="80"/>
  <c r="X90" i="80" s="1"/>
  <c r="CI90" i="80"/>
  <c r="CJ90" i="80" s="1"/>
  <c r="AU90" i="80"/>
  <c r="AV90" i="80" s="1"/>
  <c r="CQ90" i="80"/>
  <c r="CR90" i="80" s="1"/>
  <c r="CA90" i="80"/>
  <c r="CB90" i="80" s="1"/>
  <c r="EM90" i="80"/>
  <c r="EN90" i="80" s="1"/>
  <c r="O90" i="80"/>
  <c r="P90" i="80" s="1"/>
  <c r="DG90" i="80"/>
  <c r="DH90" i="80" s="1"/>
  <c r="BC90" i="80"/>
  <c r="BD90" i="80" s="1"/>
  <c r="AE90" i="80"/>
  <c r="AF90" i="80" s="1"/>
  <c r="BK90" i="80"/>
  <c r="BL90" i="80" s="1"/>
  <c r="DW90" i="80"/>
  <c r="DX90" i="80" s="1"/>
  <c r="EM87" i="80"/>
  <c r="AE87" i="80"/>
  <c r="W189" i="80"/>
  <c r="EU189" i="80"/>
  <c r="CY189" i="80"/>
  <c r="DG189" i="80"/>
  <c r="CA189" i="80"/>
  <c r="CI189" i="80"/>
  <c r="BC189" i="80"/>
  <c r="I113" i="79"/>
  <c r="I188" i="85"/>
  <c r="K105" i="90" s="1"/>
  <c r="CR187" i="79"/>
  <c r="I310" i="80"/>
  <c r="J92" i="79"/>
  <c r="EN372" i="79"/>
  <c r="J200" i="85"/>
  <c r="L113" i="90" s="1"/>
  <c r="I253" i="79"/>
  <c r="BM188" i="80"/>
  <c r="DY188" i="80"/>
  <c r="I89" i="79"/>
  <c r="CQ142" i="80"/>
  <c r="W142" i="80"/>
  <c r="BC142" i="80"/>
  <c r="BD142" i="80" s="1"/>
  <c r="AM142" i="80"/>
  <c r="AO142" i="80" s="1"/>
  <c r="AE142" i="80"/>
  <c r="AF142" i="80" s="1"/>
  <c r="BS142" i="80"/>
  <c r="O142" i="80"/>
  <c r="Q142" i="80" s="1"/>
  <c r="CA142" i="80"/>
  <c r="CI142" i="80"/>
  <c r="CY142" i="80"/>
  <c r="FC142" i="80"/>
  <c r="FK142" i="80"/>
  <c r="BK142" i="80"/>
  <c r="DO142" i="80"/>
  <c r="AU155" i="80"/>
  <c r="AW155" i="80" s="1"/>
  <c r="EE155" i="80"/>
  <c r="EG155" i="80" s="1"/>
  <c r="CQ155" i="80"/>
  <c r="CS155" i="80" s="1"/>
  <c r="DO155" i="80"/>
  <c r="DQ155" i="80" s="1"/>
  <c r="DW155" i="80"/>
  <c r="DY155" i="80" s="1"/>
  <c r="CI155" i="80"/>
  <c r="CJ155" i="80" s="1"/>
  <c r="W155" i="80"/>
  <c r="BK155" i="80"/>
  <c r="BL155" i="80" s="1"/>
  <c r="AM155" i="80"/>
  <c r="AN155" i="80" s="1"/>
  <c r="FK155" i="80"/>
  <c r="FL155" i="80" s="1"/>
  <c r="FC155" i="80"/>
  <c r="FD155" i="80" s="1"/>
  <c r="EU155" i="80"/>
  <c r="EW155" i="80" s="1"/>
  <c r="CA155" i="80"/>
  <c r="CC155" i="80" s="1"/>
  <c r="EM152" i="80"/>
  <c r="FK152" i="80"/>
  <c r="AE152" i="80"/>
  <c r="DO152" i="80"/>
  <c r="FC152" i="80"/>
  <c r="CA152" i="80"/>
  <c r="AU152" i="80"/>
  <c r="EU152" i="80"/>
  <c r="BS152" i="80"/>
  <c r="BK152" i="80"/>
  <c r="DW152" i="80"/>
  <c r="W152" i="80"/>
  <c r="CI152" i="80"/>
  <c r="CY152" i="80"/>
  <c r="O152" i="80"/>
  <c r="CQ152" i="80"/>
  <c r="FK73" i="80"/>
  <c r="FM73" i="80" s="1"/>
  <c r="EM73" i="80"/>
  <c r="EO73" i="80" s="1"/>
  <c r="EE73" i="80"/>
  <c r="EG73" i="80" s="1"/>
  <c r="CQ73" i="80"/>
  <c r="CS73" i="80" s="1"/>
  <c r="DO73" i="80"/>
  <c r="DQ73" i="80" s="1"/>
  <c r="BK73" i="80"/>
  <c r="BM73" i="80" s="1"/>
  <c r="BC73" i="80"/>
  <c r="BE73" i="80" s="1"/>
  <c r="BS73" i="80"/>
  <c r="BU73" i="80" s="1"/>
  <c r="AE73" i="80"/>
  <c r="AG73" i="80" s="1"/>
  <c r="O73" i="80"/>
  <c r="Q73" i="80" s="1"/>
  <c r="CI73" i="80"/>
  <c r="CK73" i="80" s="1"/>
  <c r="CA73" i="80"/>
  <c r="CC73" i="80" s="1"/>
  <c r="W73" i="80"/>
  <c r="Y73" i="80" s="1"/>
  <c r="FK124" i="80"/>
  <c r="FM124" i="80" s="1"/>
  <c r="BS124" i="80"/>
  <c r="BT124" i="80" s="1"/>
  <c r="AE124" i="80"/>
  <c r="AM124" i="80"/>
  <c r="AN124" i="80" s="1"/>
  <c r="CA124" i="80"/>
  <c r="CC124" i="80" s="1"/>
  <c r="AU124" i="80"/>
  <c r="AW124" i="80" s="1"/>
  <c r="CY124" i="80"/>
  <c r="DA124" i="80" s="1"/>
  <c r="EE124" i="80"/>
  <c r="DO124" i="80"/>
  <c r="DP124" i="80" s="1"/>
  <c r="EU124" i="80"/>
  <c r="EM124" i="80"/>
  <c r="DW124" i="80"/>
  <c r="CQ124" i="80"/>
  <c r="CS124" i="80" s="1"/>
  <c r="O124" i="80"/>
  <c r="Q124" i="80" s="1"/>
  <c r="FC124" i="80"/>
  <c r="FD124" i="80" s="1"/>
  <c r="W106" i="80"/>
  <c r="EU106" i="80"/>
  <c r="AM106" i="80"/>
  <c r="BK106" i="80"/>
  <c r="BM106" i="80" s="1"/>
  <c r="FK106" i="80"/>
  <c r="FM106" i="80" s="1"/>
  <c r="CI106" i="80"/>
  <c r="BC106" i="80"/>
  <c r="BE106" i="80" s="1"/>
  <c r="AE106" i="80"/>
  <c r="CQ106" i="80"/>
  <c r="DG106" i="80"/>
  <c r="DI106" i="80" s="1"/>
  <c r="CY106" i="80"/>
  <c r="CZ106" i="80" s="1"/>
  <c r="CA106" i="80"/>
  <c r="CC106" i="80" s="1"/>
  <c r="DW106" i="80"/>
  <c r="DY106" i="80" s="1"/>
  <c r="EE106" i="80"/>
  <c r="EF106" i="80" s="1"/>
  <c r="DO106" i="80"/>
  <c r="DP106" i="80" s="1"/>
  <c r="EM106" i="80"/>
  <c r="AU106" i="80"/>
  <c r="AV106" i="80" s="1"/>
  <c r="EE18" i="80"/>
  <c r="EE412" i="80" s="1"/>
  <c r="W18" i="80"/>
  <c r="W412" i="80" s="1"/>
  <c r="AM18" i="80"/>
  <c r="AM412" i="80" s="1"/>
  <c r="EM18" i="80"/>
  <c r="EM412" i="80" s="1"/>
  <c r="DO18" i="80"/>
  <c r="DO412" i="80" s="1"/>
  <c r="BS18" i="80"/>
  <c r="BS412" i="80" s="1"/>
  <c r="DG18" i="80"/>
  <c r="DG412" i="80" s="1"/>
  <c r="CQ18" i="80"/>
  <c r="CQ412" i="80" s="1"/>
  <c r="AU18" i="80"/>
  <c r="AU412" i="80" s="1"/>
  <c r="EU18" i="80"/>
  <c r="EU412" i="80" s="1"/>
  <c r="CA18" i="80"/>
  <c r="CA412" i="80" s="1"/>
  <c r="CI18" i="80"/>
  <c r="CI412" i="80" s="1"/>
  <c r="G412" i="80"/>
  <c r="O18" i="80"/>
  <c r="O412" i="80" s="1"/>
  <c r="AE18" i="80"/>
  <c r="AE412" i="80" s="1"/>
  <c r="FC18" i="80"/>
  <c r="FC412" i="80" s="1"/>
  <c r="AU187" i="80"/>
  <c r="FC187" i="80"/>
  <c r="DG187" i="80"/>
  <c r="CA187" i="80"/>
  <c r="EU187" i="80"/>
  <c r="FK187" i="80"/>
  <c r="BK187" i="80"/>
  <c r="J311" i="85"/>
  <c r="L175" i="90" s="1"/>
  <c r="J92" i="80"/>
  <c r="AN372" i="79"/>
  <c r="FD372" i="79"/>
  <c r="I297" i="79"/>
  <c r="I227" i="80"/>
  <c r="J187" i="85"/>
  <c r="L104" i="90" s="1"/>
  <c r="I253" i="80"/>
  <c r="FE188" i="80"/>
  <c r="EG188" i="80"/>
  <c r="I103" i="85"/>
  <c r="K52" i="90" s="1"/>
  <c r="I103" i="79"/>
  <c r="Q103" i="79" s="1"/>
  <c r="I103" i="80"/>
  <c r="J311" i="80"/>
  <c r="I201" i="79"/>
  <c r="BE201" i="79" s="1"/>
  <c r="CZ370" i="80"/>
  <c r="CZ372" i="79"/>
  <c r="EV372" i="79"/>
  <c r="I297" i="80"/>
  <c r="H372" i="80"/>
  <c r="CR372" i="80" s="1"/>
  <c r="I155" i="79"/>
  <c r="DQ155" i="79" s="1"/>
  <c r="I227" i="79"/>
  <c r="J187" i="80"/>
  <c r="J91" i="85"/>
  <c r="L46" i="90" s="1"/>
  <c r="P372" i="79"/>
  <c r="FM188" i="80"/>
  <c r="DQ188" i="80"/>
  <c r="CJ187" i="79"/>
  <c r="X58" i="80"/>
  <c r="Y58" i="80"/>
  <c r="AN370" i="80"/>
  <c r="FL372" i="79"/>
  <c r="AV372" i="79"/>
  <c r="I129" i="79"/>
  <c r="H367" i="85"/>
  <c r="J178" i="90" s="1"/>
  <c r="J91" i="79"/>
  <c r="CC188" i="80"/>
  <c r="AW188" i="80"/>
  <c r="CK188" i="80"/>
  <c r="BM189" i="79"/>
  <c r="DI189" i="79"/>
  <c r="AH294" i="79"/>
  <c r="DW103" i="80"/>
  <c r="DW187" i="80"/>
  <c r="CI187" i="80"/>
  <c r="DO187" i="80"/>
  <c r="BK189" i="80"/>
  <c r="O103" i="80"/>
  <c r="AU66" i="80"/>
  <c r="CQ147" i="80"/>
  <c r="CS147" i="80" s="1"/>
  <c r="FK103" i="80"/>
  <c r="AM103" i="80"/>
  <c r="FC189" i="80"/>
  <c r="DO189" i="80"/>
  <c r="AM189" i="80"/>
  <c r="O70" i="80"/>
  <c r="AE66" i="80"/>
  <c r="CI70" i="80"/>
  <c r="CQ66" i="80"/>
  <c r="BS103" i="80"/>
  <c r="FC103" i="80"/>
  <c r="H68" i="79"/>
  <c r="BC187" i="80"/>
  <c r="O66" i="80"/>
  <c r="CA147" i="80"/>
  <c r="CC147" i="80" s="1"/>
  <c r="H68" i="80"/>
  <c r="BC103" i="80"/>
  <c r="AU189" i="80"/>
  <c r="AE189" i="79"/>
  <c r="CA66" i="80"/>
  <c r="CA103" i="80"/>
  <c r="DW189" i="80"/>
  <c r="CI103" i="80"/>
  <c r="Z294" i="79"/>
  <c r="W103" i="80"/>
  <c r="CY103" i="80"/>
  <c r="EM189" i="80"/>
  <c r="CQ187" i="80"/>
  <c r="AU189" i="79"/>
  <c r="AM147" i="80"/>
  <c r="AO147" i="80" s="1"/>
  <c r="BS147" i="80"/>
  <c r="BT147" i="80" s="1"/>
  <c r="AO109" i="80"/>
  <c r="AN109" i="80"/>
  <c r="CZ151" i="79"/>
  <c r="DA151" i="79"/>
  <c r="DI130" i="80"/>
  <c r="DH130" i="80"/>
  <c r="AN64" i="79"/>
  <c r="AE149" i="80"/>
  <c r="FK149" i="80"/>
  <c r="AM149" i="80"/>
  <c r="BC149" i="80"/>
  <c r="CY149" i="80"/>
  <c r="EU72" i="80"/>
  <c r="CA72" i="80"/>
  <c r="AU64" i="80"/>
  <c r="EM64" i="80"/>
  <c r="EO64" i="80" s="1"/>
  <c r="EE64" i="80"/>
  <c r="BS64" i="80"/>
  <c r="CQ64" i="80"/>
  <c r="AM64" i="80"/>
  <c r="CA64" i="80"/>
  <c r="W64" i="80"/>
  <c r="DW64" i="80"/>
  <c r="EU64" i="80"/>
  <c r="BK64" i="80"/>
  <c r="FK64" i="80"/>
  <c r="FC64" i="80"/>
  <c r="CY64" i="80"/>
  <c r="FK61" i="80"/>
  <c r="BC61" i="80"/>
  <c r="AM61" i="80"/>
  <c r="W61" i="80"/>
  <c r="EM61" i="80"/>
  <c r="AE61" i="80"/>
  <c r="BK61" i="80"/>
  <c r="CI61" i="80"/>
  <c r="AU61" i="80"/>
  <c r="BS61" i="80"/>
  <c r="DW61" i="80"/>
  <c r="DO61" i="80"/>
  <c r="CA61" i="80"/>
  <c r="EU61" i="80"/>
  <c r="CQ61" i="80"/>
  <c r="FC61" i="80"/>
  <c r="O61" i="80"/>
  <c r="CY61" i="80"/>
  <c r="BC130" i="80"/>
  <c r="BD130" i="80" s="1"/>
  <c r="EU130" i="80"/>
  <c r="FK130" i="80"/>
  <c r="FL130" i="80" s="1"/>
  <c r="EE130" i="80"/>
  <c r="CI130" i="80"/>
  <c r="EM126" i="80"/>
  <c r="EO126" i="80" s="1"/>
  <c r="AM126" i="80"/>
  <c r="AO126" i="80" s="1"/>
  <c r="CQ126" i="80"/>
  <c r="CS126" i="80" s="1"/>
  <c r="BC114" i="80"/>
  <c r="BD114" i="80" s="1"/>
  <c r="O114" i="80"/>
  <c r="P114" i="80" s="1"/>
  <c r="FC114" i="80"/>
  <c r="FD114" i="80" s="1"/>
  <c r="FK109" i="80"/>
  <c r="DO109" i="80"/>
  <c r="AU109" i="80"/>
  <c r="EE109" i="80"/>
  <c r="EF109" i="80" s="1"/>
  <c r="CY109" i="80"/>
  <c r="EU109" i="80"/>
  <c r="DG109" i="80"/>
  <c r="DH109" i="80" s="1"/>
  <c r="AE109" i="80"/>
  <c r="AF109" i="80" s="1"/>
  <c r="DW109" i="80"/>
  <c r="DX109" i="80" s="1"/>
  <c r="W109" i="80"/>
  <c r="BC109" i="80"/>
  <c r="BD109" i="80" s="1"/>
  <c r="EM109" i="80"/>
  <c r="BS109" i="80"/>
  <c r="CQ109" i="80"/>
  <c r="BK109" i="80"/>
  <c r="CI109" i="80"/>
  <c r="CJ109" i="80" s="1"/>
  <c r="CA109" i="80"/>
  <c r="J244" i="80"/>
  <c r="J244" i="79"/>
  <c r="J244" i="85"/>
  <c r="L138" i="90" s="1"/>
  <c r="J213" i="80"/>
  <c r="J55" i="26"/>
  <c r="F18" i="32" s="1"/>
  <c r="J184" i="79"/>
  <c r="J184" i="80"/>
  <c r="J184" i="85"/>
  <c r="L102" i="90" s="1"/>
  <c r="I199" i="80"/>
  <c r="I199" i="79"/>
  <c r="FE199" i="79" s="1"/>
  <c r="BE185" i="79"/>
  <c r="Y185" i="79"/>
  <c r="BU185" i="79"/>
  <c r="DQ185" i="79"/>
  <c r="CK185" i="79"/>
  <c r="DY185" i="79"/>
  <c r="BM185" i="79"/>
  <c r="EG185" i="79"/>
  <c r="CC185" i="79"/>
  <c r="H277" i="80"/>
  <c r="BT277" i="80" s="1"/>
  <c r="H277" i="85"/>
  <c r="J157" i="90" s="1"/>
  <c r="H277" i="79"/>
  <c r="H34" i="79"/>
  <c r="CB33" i="79"/>
  <c r="H419" i="79"/>
  <c r="H253" i="85"/>
  <c r="J147" i="90" s="1"/>
  <c r="H253" i="80"/>
  <c r="H244" i="85"/>
  <c r="J138" i="90" s="1"/>
  <c r="H244" i="80"/>
  <c r="H211" i="79"/>
  <c r="H211" i="80"/>
  <c r="H211" i="85"/>
  <c r="J117" i="90" s="1"/>
  <c r="H178" i="79"/>
  <c r="P178" i="79" s="1"/>
  <c r="H178" i="85"/>
  <c r="J98" i="90" s="1"/>
  <c r="FC109" i="80"/>
  <c r="DG61" i="80"/>
  <c r="O109" i="80"/>
  <c r="H129" i="85"/>
  <c r="J75" i="90" s="1"/>
  <c r="DI185" i="79"/>
  <c r="AE64" i="80"/>
  <c r="AO185" i="79"/>
  <c r="AN185" i="79"/>
  <c r="DW141" i="79"/>
  <c r="DX141" i="79" s="1"/>
  <c r="O141" i="79"/>
  <c r="CI141" i="79"/>
  <c r="FK141" i="79"/>
  <c r="EE149" i="79"/>
  <c r="BK149" i="79"/>
  <c r="CI149" i="79"/>
  <c r="CY149" i="79"/>
  <c r="FK149" i="79"/>
  <c r="CQ149" i="79"/>
  <c r="W149" i="79"/>
  <c r="FC149" i="79"/>
  <c r="BC149" i="79"/>
  <c r="AE149" i="79"/>
  <c r="O149" i="79"/>
  <c r="EU149" i="79"/>
  <c r="DG149" i="79"/>
  <c r="BS149" i="79"/>
  <c r="DO149" i="79"/>
  <c r="AM149" i="79"/>
  <c r="CI73" i="79"/>
  <c r="CJ73" i="79" s="1"/>
  <c r="DG73" i="79"/>
  <c r="DH73" i="79" s="1"/>
  <c r="FC73" i="79"/>
  <c r="FD73" i="79" s="1"/>
  <c r="DO123" i="79"/>
  <c r="O123" i="79"/>
  <c r="AE123" i="79"/>
  <c r="CI123" i="79"/>
  <c r="BS123" i="79"/>
  <c r="EM123" i="79"/>
  <c r="CA123" i="79"/>
  <c r="W123" i="79"/>
  <c r="CQ123" i="79"/>
  <c r="BK123" i="79"/>
  <c r="FK123" i="79"/>
  <c r="DG123" i="79"/>
  <c r="FC123" i="79"/>
  <c r="AM123" i="79"/>
  <c r="EU123" i="79"/>
  <c r="DW123" i="79"/>
  <c r="BC123" i="79"/>
  <c r="EE123" i="79"/>
  <c r="CQ111" i="79"/>
  <c r="W111" i="79"/>
  <c r="CY111" i="79"/>
  <c r="DG111" i="79"/>
  <c r="CA111" i="79"/>
  <c r="EE111" i="79"/>
  <c r="DW111" i="79"/>
  <c r="CI111" i="79"/>
  <c r="AE111" i="79"/>
  <c r="BS111" i="79"/>
  <c r="O111" i="79"/>
  <c r="AM111" i="79"/>
  <c r="FK111" i="79"/>
  <c r="CI105" i="79"/>
  <c r="W105" i="79"/>
  <c r="BS105" i="79"/>
  <c r="EU105" i="79"/>
  <c r="CQ105" i="79"/>
  <c r="DW105" i="79"/>
  <c r="O105" i="79"/>
  <c r="AM105" i="79"/>
  <c r="FK105" i="79"/>
  <c r="FK96" i="79"/>
  <c r="DO96" i="79"/>
  <c r="BS96" i="79"/>
  <c r="FC96" i="79"/>
  <c r="CQ96" i="79"/>
  <c r="AE96" i="79"/>
  <c r="EU96" i="79"/>
  <c r="CA96" i="79"/>
  <c r="W96" i="79"/>
  <c r="EE96" i="79"/>
  <c r="AU96" i="79"/>
  <c r="O96" i="79"/>
  <c r="EM96" i="79"/>
  <c r="DG96" i="79"/>
  <c r="DW96" i="79"/>
  <c r="BK96" i="79"/>
  <c r="CY96" i="79"/>
  <c r="BC96" i="79"/>
  <c r="G383" i="79"/>
  <c r="G434" i="79"/>
  <c r="G399" i="79"/>
  <c r="EU23" i="79"/>
  <c r="EV23" i="79" s="1"/>
  <c r="EV399" i="79" s="1"/>
  <c r="O64" i="80"/>
  <c r="FM185" i="79"/>
  <c r="DG64" i="80"/>
  <c r="CI114" i="80"/>
  <c r="H129" i="79"/>
  <c r="AE105" i="79"/>
  <c r="BS60" i="80"/>
  <c r="BU60" i="80" s="1"/>
  <c r="BC16" i="80"/>
  <c r="BK60" i="80"/>
  <c r="BM60" i="80" s="1"/>
  <c r="DG108" i="79"/>
  <c r="DI108" i="79" s="1"/>
  <c r="EE105" i="79"/>
  <c r="CY105" i="79"/>
  <c r="AU105" i="79"/>
  <c r="CQ129" i="79"/>
  <c r="CY129" i="79"/>
  <c r="DG129" i="79"/>
  <c r="AM16" i="80"/>
  <c r="AN16" i="80" s="1"/>
  <c r="AN410" i="80" s="1"/>
  <c r="AE141" i="80"/>
  <c r="AG141" i="80" s="1"/>
  <c r="FC105" i="79"/>
  <c r="AU99" i="79"/>
  <c r="AW99" i="79" s="1"/>
  <c r="EE16" i="80"/>
  <c r="G390" i="79"/>
  <c r="W16" i="80"/>
  <c r="W410" i="80" s="1"/>
  <c r="EE108" i="79"/>
  <c r="EF108" i="79" s="1"/>
  <c r="AM142" i="79"/>
  <c r="AN142" i="79" s="1"/>
  <c r="AH307" i="80"/>
  <c r="CY16" i="80"/>
  <c r="CZ16" i="80" s="1"/>
  <c r="CZ410" i="80" s="1"/>
  <c r="CA129" i="79"/>
  <c r="CC129" i="79" s="1"/>
  <c r="AM98" i="80"/>
  <c r="AO98" i="80" s="1"/>
  <c r="EE184" i="80"/>
  <c r="DW60" i="80"/>
  <c r="DY60" i="80" s="1"/>
  <c r="BS141" i="80"/>
  <c r="G410" i="80"/>
  <c r="BK16" i="80"/>
  <c r="BK410" i="80" s="1"/>
  <c r="FK60" i="79"/>
  <c r="AE60" i="80"/>
  <c r="AG60" i="80" s="1"/>
  <c r="DG60" i="80"/>
  <c r="DI60" i="80" s="1"/>
  <c r="BS16" i="80"/>
  <c r="BS410" i="80" s="1"/>
  <c r="AE89" i="80"/>
  <c r="AU72" i="80"/>
  <c r="EE61" i="80"/>
  <c r="FC72" i="80"/>
  <c r="BC108" i="79"/>
  <c r="BE108" i="79" s="1"/>
  <c r="W108" i="79"/>
  <c r="Y108" i="79" s="1"/>
  <c r="AE66" i="79"/>
  <c r="AM90" i="79"/>
  <c r="AN90" i="79" s="1"/>
  <c r="FC130" i="80"/>
  <c r="CY72" i="80"/>
  <c r="FC108" i="79"/>
  <c r="FE108" i="79" s="1"/>
  <c r="DW108" i="79"/>
  <c r="DY108" i="79" s="1"/>
  <c r="CA108" i="79"/>
  <c r="CC108" i="79" s="1"/>
  <c r="AE60" i="79"/>
  <c r="AE98" i="80"/>
  <c r="AF98" i="80" s="1"/>
  <c r="AP307" i="80"/>
  <c r="FK72" i="80"/>
  <c r="CY108" i="79"/>
  <c r="CZ108" i="79" s="1"/>
  <c r="CQ60" i="79"/>
  <c r="FF307" i="80"/>
  <c r="EX253" i="80"/>
  <c r="EU108" i="79"/>
  <c r="EW108" i="79" s="1"/>
  <c r="AU108" i="79"/>
  <c r="AW108" i="79" s="1"/>
  <c r="BS108" i="79"/>
  <c r="BT108" i="79" s="1"/>
  <c r="AE108" i="79"/>
  <c r="AG108" i="79" s="1"/>
  <c r="BC99" i="79"/>
  <c r="BE99" i="79" s="1"/>
  <c r="DG60" i="79"/>
  <c r="EE90" i="79"/>
  <c r="EF90" i="79" s="1"/>
  <c r="AU91" i="79"/>
  <c r="BS72" i="80"/>
  <c r="BC72" i="80"/>
  <c r="DO108" i="79"/>
  <c r="DQ108" i="79" s="1"/>
  <c r="W66" i="79"/>
  <c r="AE99" i="79"/>
  <c r="AF99" i="79" s="1"/>
  <c r="FC60" i="79"/>
  <c r="AU91" i="80"/>
  <c r="AW91" i="80" s="1"/>
  <c r="DR309" i="80"/>
  <c r="EH309" i="80"/>
  <c r="CA63" i="79"/>
  <c r="EM108" i="79"/>
  <c r="EO108" i="79" s="1"/>
  <c r="CQ108" i="79"/>
  <c r="CS108" i="79" s="1"/>
  <c r="AM108" i="79"/>
  <c r="AO108" i="79" s="1"/>
  <c r="BK108" i="79"/>
  <c r="BM108" i="79" s="1"/>
  <c r="O108" i="79"/>
  <c r="P108" i="79" s="1"/>
  <c r="AE25" i="79"/>
  <c r="AE401" i="79" s="1"/>
  <c r="AM66" i="79"/>
  <c r="BK99" i="79"/>
  <c r="BL99" i="79" s="1"/>
  <c r="DO99" i="79"/>
  <c r="DQ99" i="79" s="1"/>
  <c r="DG72" i="80"/>
  <c r="DG99" i="79"/>
  <c r="W130" i="80"/>
  <c r="BC98" i="80"/>
  <c r="BD98" i="80" s="1"/>
  <c r="DB373" i="79"/>
  <c r="J371" i="79"/>
  <c r="DJ371" i="79" s="1"/>
  <c r="J65" i="79"/>
  <c r="Q180" i="79"/>
  <c r="P180" i="79"/>
  <c r="FF373" i="79"/>
  <c r="EP373" i="79"/>
  <c r="EX373" i="79"/>
  <c r="CT373" i="79"/>
  <c r="CL373" i="79"/>
  <c r="CD373" i="79"/>
  <c r="BV373" i="79"/>
  <c r="R373" i="79"/>
  <c r="DJ373" i="79"/>
  <c r="Z373" i="79"/>
  <c r="I60" i="85"/>
  <c r="K26" i="90" s="1"/>
  <c r="I60" i="79"/>
  <c r="I58" i="85"/>
  <c r="K24" i="90" s="1"/>
  <c r="I58" i="80"/>
  <c r="CZ68" i="79"/>
  <c r="DA68" i="79"/>
  <c r="CJ181" i="79"/>
  <c r="CK181" i="79"/>
  <c r="DQ60" i="80"/>
  <c r="DZ373" i="79"/>
  <c r="BN373" i="79"/>
  <c r="AP373" i="79"/>
  <c r="FN373" i="79"/>
  <c r="J368" i="85"/>
  <c r="L179" i="90" s="1"/>
  <c r="EH373" i="79"/>
  <c r="AX373" i="79"/>
  <c r="J373" i="80"/>
  <c r="FN373" i="80" s="1"/>
  <c r="BF373" i="79"/>
  <c r="J371" i="80"/>
  <c r="CL371" i="80" s="1"/>
  <c r="BE180" i="79"/>
  <c r="BD180" i="79"/>
  <c r="DP180" i="80"/>
  <c r="DR180" i="80" s="1"/>
  <c r="AO182" i="79"/>
  <c r="EE181" i="79"/>
  <c r="EU62" i="79"/>
  <c r="FC23" i="80"/>
  <c r="EE62" i="79"/>
  <c r="CI62" i="79"/>
  <c r="FC98" i="79"/>
  <c r="FE98" i="79" s="1"/>
  <c r="EU181" i="79"/>
  <c r="FC62" i="79"/>
  <c r="EM65" i="79"/>
  <c r="AU23" i="80"/>
  <c r="DW23" i="80"/>
  <c r="CA23" i="80"/>
  <c r="CA181" i="80"/>
  <c r="EE23" i="80"/>
  <c r="DW62" i="79"/>
  <c r="AM65" i="79"/>
  <c r="CA62" i="79"/>
  <c r="FC68" i="79"/>
  <c r="BC68" i="79"/>
  <c r="FK98" i="79"/>
  <c r="FM98" i="79" s="1"/>
  <c r="CA130" i="80"/>
  <c r="AU140" i="79"/>
  <c r="O72" i="80"/>
  <c r="BS131" i="79"/>
  <c r="W72" i="80"/>
  <c r="DO64" i="80"/>
  <c r="CQ140" i="79"/>
  <c r="DO72" i="80"/>
  <c r="O24" i="79"/>
  <c r="O400" i="79" s="1"/>
  <c r="AE72" i="79"/>
  <c r="AU150" i="79"/>
  <c r="AV150" i="79" s="1"/>
  <c r="BC98" i="79"/>
  <c r="BE98" i="79" s="1"/>
  <c r="BK72" i="79"/>
  <c r="DO150" i="79"/>
  <c r="DP150" i="79" s="1"/>
  <c r="DW24" i="79"/>
  <c r="DW400" i="79" s="1"/>
  <c r="EE150" i="79"/>
  <c r="EF150" i="79" s="1"/>
  <c r="O98" i="80"/>
  <c r="P98" i="80" s="1"/>
  <c r="BS130" i="80"/>
  <c r="FC98" i="80"/>
  <c r="FE98" i="80" s="1"/>
  <c r="EM181" i="79"/>
  <c r="CK182" i="79"/>
  <c r="EM62" i="79"/>
  <c r="FC65" i="79"/>
  <c r="AE181" i="80"/>
  <c r="BK62" i="79"/>
  <c r="DW65" i="79"/>
  <c r="AM62" i="79"/>
  <c r="AE181" i="79"/>
  <c r="W181" i="79"/>
  <c r="EU72" i="79"/>
  <c r="FC72" i="79"/>
  <c r="AH307" i="79"/>
  <c r="FC181" i="79"/>
  <c r="EU68" i="79"/>
  <c r="EW68" i="79" s="1"/>
  <c r="CY23" i="80"/>
  <c r="DA23" i="80" s="1"/>
  <c r="DA399" i="80" s="1"/>
  <c r="AE62" i="79"/>
  <c r="BC65" i="79"/>
  <c r="DO62" i="79"/>
  <c r="O62" i="79"/>
  <c r="CY181" i="79"/>
  <c r="CY130" i="80"/>
  <c r="EM130" i="80"/>
  <c r="BC131" i="79"/>
  <c r="AU131" i="79"/>
  <c r="BK181" i="79"/>
  <c r="AM91" i="80"/>
  <c r="O131" i="79"/>
  <c r="AE72" i="80"/>
  <c r="O72" i="79"/>
  <c r="AU98" i="79"/>
  <c r="AW98" i="79" s="1"/>
  <c r="EE98" i="79"/>
  <c r="EG98" i="79" s="1"/>
  <c r="AE91" i="80"/>
  <c r="FK181" i="79"/>
  <c r="AE23" i="80"/>
  <c r="AF23" i="80" s="1"/>
  <c r="BC23" i="80"/>
  <c r="BC399" i="80" s="1"/>
  <c r="FK181" i="80"/>
  <c r="W65" i="79"/>
  <c r="CI68" i="79"/>
  <c r="DG65" i="79"/>
  <c r="AU65" i="79"/>
  <c r="DG68" i="79"/>
  <c r="O130" i="80"/>
  <c r="CQ181" i="79"/>
  <c r="CA181" i="79"/>
  <c r="CQ65" i="79"/>
  <c r="CI72" i="80"/>
  <c r="BC64" i="80"/>
  <c r="W131" i="79"/>
  <c r="AE154" i="79"/>
  <c r="O181" i="79"/>
  <c r="EE72" i="80"/>
  <c r="CA65" i="79"/>
  <c r="AM72" i="80"/>
  <c r="AM150" i="79"/>
  <c r="AN150" i="79" s="1"/>
  <c r="BK98" i="79"/>
  <c r="CA72" i="79"/>
  <c r="CI72" i="79"/>
  <c r="CQ150" i="79"/>
  <c r="CR150" i="79" s="1"/>
  <c r="DW72" i="79"/>
  <c r="EM150" i="79"/>
  <c r="EN150" i="79" s="1"/>
  <c r="DO130" i="80"/>
  <c r="AU108" i="80"/>
  <c r="CQ181" i="80"/>
  <c r="BS23" i="80"/>
  <c r="BT23" i="80" s="1"/>
  <c r="EM23" i="80"/>
  <c r="BK65" i="79"/>
  <c r="DG181" i="79"/>
  <c r="O98" i="79"/>
  <c r="Q98" i="79" s="1"/>
  <c r="W98" i="79"/>
  <c r="Y98" i="79" s="1"/>
  <c r="CI98" i="79"/>
  <c r="CK98" i="79" s="1"/>
  <c r="EM72" i="79"/>
  <c r="W149" i="80"/>
  <c r="BK149" i="80"/>
  <c r="CQ130" i="80"/>
  <c r="CA108" i="80"/>
  <c r="CB108" i="80" s="1"/>
  <c r="EU23" i="80"/>
  <c r="CY62" i="79"/>
  <c r="CQ62" i="79"/>
  <c r="DO98" i="79"/>
  <c r="DQ98" i="79" s="1"/>
  <c r="BC181" i="79"/>
  <c r="AU130" i="80"/>
  <c r="FK65" i="79"/>
  <c r="CI64" i="80"/>
  <c r="DW150" i="79"/>
  <c r="DX150" i="79" s="1"/>
  <c r="CQ72" i="80"/>
  <c r="CA98" i="79"/>
  <c r="CC98" i="79" s="1"/>
  <c r="CY150" i="79"/>
  <c r="CZ150" i="79" s="1"/>
  <c r="EE142" i="79"/>
  <c r="EM98" i="79"/>
  <c r="EO98" i="79" s="1"/>
  <c r="AU98" i="80"/>
  <c r="AV98" i="80" s="1"/>
  <c r="AP370" i="79"/>
  <c r="Z370" i="79"/>
  <c r="O119" i="80"/>
  <c r="AE127" i="80"/>
  <c r="AM127" i="80"/>
  <c r="AU127" i="80"/>
  <c r="DZ270" i="79"/>
  <c r="DW152" i="79"/>
  <c r="FK106" i="79"/>
  <c r="W131" i="80"/>
  <c r="BS127" i="80"/>
  <c r="CQ127" i="80"/>
  <c r="BN370" i="79"/>
  <c r="O89" i="80"/>
  <c r="AM123" i="80"/>
  <c r="BS98" i="80"/>
  <c r="BU98" i="80" s="1"/>
  <c r="CQ98" i="80"/>
  <c r="W98" i="80"/>
  <c r="Y98" i="80" s="1"/>
  <c r="BC66" i="80"/>
  <c r="BK147" i="80"/>
  <c r="BL147" i="80" s="1"/>
  <c r="EE98" i="80"/>
  <c r="EF98" i="80" s="1"/>
  <c r="AU147" i="80"/>
  <c r="AW147" i="80" s="1"/>
  <c r="BC127" i="80"/>
  <c r="BK127" i="80"/>
  <c r="EM72" i="80"/>
  <c r="DZ370" i="79"/>
  <c r="BS155" i="79"/>
  <c r="AX370" i="79"/>
  <c r="O127" i="80"/>
  <c r="AE58" i="80"/>
  <c r="CI127" i="80"/>
  <c r="Y177" i="80"/>
  <c r="BU177" i="80"/>
  <c r="AV109" i="79"/>
  <c r="AW109" i="79"/>
  <c r="DP180" i="79"/>
  <c r="DQ180" i="79"/>
  <c r="R307" i="80"/>
  <c r="EP307" i="80"/>
  <c r="FK141" i="80"/>
  <c r="CY141" i="79"/>
  <c r="CA180" i="79"/>
  <c r="DW180" i="79"/>
  <c r="O109" i="79"/>
  <c r="AM180" i="79"/>
  <c r="BS141" i="79"/>
  <c r="BT141" i="79" s="1"/>
  <c r="CA109" i="79"/>
  <c r="AM119" i="80"/>
  <c r="AU60" i="80"/>
  <c r="AW60" i="80" s="1"/>
  <c r="CT294" i="79"/>
  <c r="BC181" i="80"/>
  <c r="DO181" i="80"/>
  <c r="O181" i="80"/>
  <c r="W23" i="80"/>
  <c r="Y23" i="80" s="1"/>
  <c r="Y399" i="80" s="1"/>
  <c r="W181" i="80"/>
  <c r="FK23" i="80"/>
  <c r="O23" i="80"/>
  <c r="DW182" i="80"/>
  <c r="CA182" i="80"/>
  <c r="AM23" i="80"/>
  <c r="CQ23" i="80"/>
  <c r="CS23" i="80" s="1"/>
  <c r="CS399" i="80" s="1"/>
  <c r="DG181" i="80"/>
  <c r="CI181" i="80"/>
  <c r="AM60" i="80"/>
  <c r="AO60" i="80" s="1"/>
  <c r="CA60" i="80"/>
  <c r="CC60" i="80" s="1"/>
  <c r="BC64" i="79"/>
  <c r="EU64" i="79"/>
  <c r="CI64" i="79"/>
  <c r="AU141" i="80"/>
  <c r="AW141" i="80" s="1"/>
  <c r="AM140" i="80"/>
  <c r="AO140" i="80" s="1"/>
  <c r="CI16" i="80"/>
  <c r="CK16" i="80" s="1"/>
  <c r="CK410" i="80" s="1"/>
  <c r="CK426" i="80" s="1"/>
  <c r="CA89" i="80"/>
  <c r="EU140" i="80"/>
  <c r="EW140" i="80" s="1"/>
  <c r="O16" i="80"/>
  <c r="P16" i="80" s="1"/>
  <c r="P410" i="80" s="1"/>
  <c r="EM23" i="79"/>
  <c r="EO23" i="79" s="1"/>
  <c r="EO399" i="79" s="1"/>
  <c r="AE65" i="79"/>
  <c r="DO97" i="79"/>
  <c r="DP97" i="79" s="1"/>
  <c r="CI91" i="79"/>
  <c r="BK124" i="80"/>
  <c r="BM124" i="80" s="1"/>
  <c r="DO91" i="79"/>
  <c r="W150" i="79"/>
  <c r="X150" i="79" s="1"/>
  <c r="EM141" i="79"/>
  <c r="AM152" i="80"/>
  <c r="DW103" i="79"/>
  <c r="O150" i="79"/>
  <c r="P150" i="79" s="1"/>
  <c r="O97" i="79"/>
  <c r="P97" i="79" s="1"/>
  <c r="W64" i="79"/>
  <c r="AE141" i="79"/>
  <c r="AE109" i="79"/>
  <c r="AF109" i="79" s="1"/>
  <c r="AU62" i="79"/>
  <c r="AU88" i="79"/>
  <c r="BC97" i="79"/>
  <c r="BD97" i="79" s="1"/>
  <c r="BS152" i="79"/>
  <c r="BS98" i="79"/>
  <c r="BU98" i="79" s="1"/>
  <c r="CA97" i="79"/>
  <c r="CB97" i="79" s="1"/>
  <c r="CI142" i="79"/>
  <c r="CI23" i="79"/>
  <c r="DW98" i="79"/>
  <c r="DY98" i="79" s="1"/>
  <c r="EE88" i="79"/>
  <c r="AE130" i="80"/>
  <c r="AF130" i="80" s="1"/>
  <c r="AM89" i="80"/>
  <c r="AU119" i="80"/>
  <c r="BK72" i="80"/>
  <c r="CY119" i="80"/>
  <c r="DW89" i="80"/>
  <c r="G196" i="79"/>
  <c r="BK181" i="80"/>
  <c r="FC181" i="80"/>
  <c r="BS181" i="80"/>
  <c r="BK23" i="80"/>
  <c r="BL23" i="80" s="1"/>
  <c r="BL399" i="80" s="1"/>
  <c r="AM181" i="80"/>
  <c r="AU181" i="80"/>
  <c r="DO23" i="80"/>
  <c r="DO399" i="80" s="1"/>
  <c r="EU181" i="80"/>
  <c r="EE181" i="80"/>
  <c r="O64" i="79"/>
  <c r="AU64" i="79"/>
  <c r="AE64" i="79"/>
  <c r="CQ60" i="80"/>
  <c r="CS60" i="80" s="1"/>
  <c r="EM70" i="79"/>
  <c r="CA64" i="79"/>
  <c r="DO140" i="80"/>
  <c r="DQ140" i="80" s="1"/>
  <c r="W140" i="80"/>
  <c r="Y140" i="80" s="1"/>
  <c r="DG16" i="80"/>
  <c r="DG410" i="80" s="1"/>
  <c r="FK89" i="80"/>
  <c r="EM140" i="80"/>
  <c r="EO140" i="80" s="1"/>
  <c r="CY99" i="80"/>
  <c r="DA99" i="80" s="1"/>
  <c r="I199" i="85"/>
  <c r="K112" i="90" s="1"/>
  <c r="EU16" i="80"/>
  <c r="EE18" i="79"/>
  <c r="EE412" i="79" s="1"/>
  <c r="BS123" i="80"/>
  <c r="DO111" i="79"/>
  <c r="FC97" i="79"/>
  <c r="FD97" i="79" s="1"/>
  <c r="FC99" i="80"/>
  <c r="FD99" i="80" s="1"/>
  <c r="AE91" i="79"/>
  <c r="BC150" i="79"/>
  <c r="BD150" i="79" s="1"/>
  <c r="EU141" i="79"/>
  <c r="EV141" i="79" s="1"/>
  <c r="EU103" i="79"/>
  <c r="CQ103" i="79"/>
  <c r="BK103" i="79"/>
  <c r="W103" i="79"/>
  <c r="CQ180" i="79"/>
  <c r="EM180" i="79"/>
  <c r="W62" i="79"/>
  <c r="AE153" i="79"/>
  <c r="AG153" i="79" s="1"/>
  <c r="AM113" i="79"/>
  <c r="AU57" i="79"/>
  <c r="BC141" i="79"/>
  <c r="BE141" i="79" s="1"/>
  <c r="BC88" i="79"/>
  <c r="BK141" i="79"/>
  <c r="BS150" i="79"/>
  <c r="BT150" i="79" s="1"/>
  <c r="BS97" i="79"/>
  <c r="BT97" i="79" s="1"/>
  <c r="CA88" i="79"/>
  <c r="CQ109" i="79"/>
  <c r="CR109" i="79" s="1"/>
  <c r="CY109" i="79"/>
  <c r="DG142" i="79"/>
  <c r="DI142" i="79" s="1"/>
  <c r="DG98" i="79"/>
  <c r="DW97" i="79"/>
  <c r="DX97" i="79" s="1"/>
  <c r="EU109" i="79"/>
  <c r="W119" i="80"/>
  <c r="AM87" i="80"/>
  <c r="BC89" i="80"/>
  <c r="BS89" i="80"/>
  <c r="CY89" i="80"/>
  <c r="DG89" i="80"/>
  <c r="EE119" i="80"/>
  <c r="BK64" i="79"/>
  <c r="FK140" i="80"/>
  <c r="FM140" i="80" s="1"/>
  <c r="O24" i="80"/>
  <c r="O400" i="80" s="1"/>
  <c r="DO16" i="80"/>
  <c r="DW16" i="80"/>
  <c r="DW410" i="80" s="1"/>
  <c r="CA149" i="79"/>
  <c r="FK18" i="79"/>
  <c r="FK412" i="79" s="1"/>
  <c r="BT113" i="80"/>
  <c r="FK97" i="79"/>
  <c r="FL97" i="79" s="1"/>
  <c r="W60" i="80"/>
  <c r="Y60" i="80" s="1"/>
  <c r="CA91" i="79"/>
  <c r="EU111" i="79"/>
  <c r="CI150" i="79"/>
  <c r="CJ150" i="79" s="1"/>
  <c r="FC141" i="79"/>
  <c r="DO103" i="79"/>
  <c r="CY180" i="79"/>
  <c r="EU180" i="79"/>
  <c r="O67" i="79"/>
  <c r="AE150" i="79"/>
  <c r="AF150" i="79" s="1"/>
  <c r="AE98" i="79"/>
  <c r="AG98" i="79" s="1"/>
  <c r="AM141" i="79"/>
  <c r="AN141" i="79" s="1"/>
  <c r="AM109" i="79"/>
  <c r="AO109" i="79" s="1"/>
  <c r="AU123" i="79"/>
  <c r="BC153" i="79"/>
  <c r="BD153" i="79" s="1"/>
  <c r="BS88" i="79"/>
  <c r="CA150" i="79"/>
  <c r="CB150" i="79" s="1"/>
  <c r="CI109" i="79"/>
  <c r="CJ109" i="79" s="1"/>
  <c r="CI18" i="79"/>
  <c r="CI412" i="79" s="1"/>
  <c r="CQ98" i="79"/>
  <c r="CS98" i="79" s="1"/>
  <c r="CY98" i="79"/>
  <c r="DA98" i="79" s="1"/>
  <c r="DG88" i="79"/>
  <c r="DW91" i="79"/>
  <c r="EM109" i="79"/>
  <c r="AE119" i="80"/>
  <c r="AM130" i="80"/>
  <c r="BK119" i="80"/>
  <c r="CQ89" i="80"/>
  <c r="CY91" i="79"/>
  <c r="FC111" i="79"/>
  <c r="BC103" i="79"/>
  <c r="AE103" i="79"/>
  <c r="AE180" i="79"/>
  <c r="DG180" i="79"/>
  <c r="W113" i="79"/>
  <c r="AE97" i="79"/>
  <c r="AF97" i="79" s="1"/>
  <c r="AM152" i="79"/>
  <c r="AU141" i="79"/>
  <c r="AU113" i="79"/>
  <c r="CQ97" i="79"/>
  <c r="CR97" i="79" s="1"/>
  <c r="CY97" i="79"/>
  <c r="CZ97" i="79" s="1"/>
  <c r="DO109" i="79"/>
  <c r="EE109" i="79"/>
  <c r="EU97" i="79"/>
  <c r="EV97" i="79" s="1"/>
  <c r="O60" i="80"/>
  <c r="Q60" i="80" s="1"/>
  <c r="W89" i="80"/>
  <c r="AU89" i="80"/>
  <c r="BK89" i="80"/>
  <c r="EM181" i="80"/>
  <c r="DO182" i="80"/>
  <c r="FC182" i="80"/>
  <c r="EM182" i="80"/>
  <c r="CY181" i="80"/>
  <c r="DG23" i="80"/>
  <c r="DO64" i="79"/>
  <c r="EM60" i="80"/>
  <c r="EO60" i="80" s="1"/>
  <c r="BC60" i="80"/>
  <c r="BE60" i="80" s="1"/>
  <c r="CQ67" i="79"/>
  <c r="CI60" i="80"/>
  <c r="CK60" i="80" s="1"/>
  <c r="EU60" i="80"/>
  <c r="EW60" i="80" s="1"/>
  <c r="DW140" i="80"/>
  <c r="DY140" i="80" s="1"/>
  <c r="DG140" i="80"/>
  <c r="DI140" i="80" s="1"/>
  <c r="FK16" i="80"/>
  <c r="FM16" i="80" s="1"/>
  <c r="FM410" i="80" s="1"/>
  <c r="FM426" i="80" s="1"/>
  <c r="EM16" i="80"/>
  <c r="EO16" i="80" s="1"/>
  <c r="EO410" i="80" s="1"/>
  <c r="CQ16" i="80"/>
  <c r="EM149" i="79"/>
  <c r="CA16" i="80"/>
  <c r="BK111" i="79"/>
  <c r="EM97" i="79"/>
  <c r="EN97" i="79" s="1"/>
  <c r="EE60" i="80"/>
  <c r="EG60" i="80" s="1"/>
  <c r="EE91" i="79"/>
  <c r="EM103" i="79"/>
  <c r="DG103" i="79"/>
  <c r="FC180" i="79"/>
  <c r="O113" i="79"/>
  <c r="W141" i="79"/>
  <c r="W109" i="79"/>
  <c r="X109" i="79" s="1"/>
  <c r="AU155" i="79"/>
  <c r="AV155" i="79" s="1"/>
  <c r="BC62" i="79"/>
  <c r="BS62" i="79"/>
  <c r="CQ88" i="79"/>
  <c r="DG62" i="79"/>
  <c r="DW88" i="79"/>
  <c r="EM88" i="79"/>
  <c r="W87" i="80"/>
  <c r="AU87" i="80"/>
  <c r="CC67" i="80"/>
  <c r="CB67" i="80"/>
  <c r="CA151" i="80"/>
  <c r="CC151" i="80" s="1"/>
  <c r="DG151" i="80"/>
  <c r="DO151" i="80"/>
  <c r="DP151" i="80" s="1"/>
  <c r="EM151" i="80"/>
  <c r="AE151" i="80"/>
  <c r="EE151" i="80"/>
  <c r="O151" i="80"/>
  <c r="W151" i="80"/>
  <c r="X151" i="80" s="1"/>
  <c r="BK151" i="80"/>
  <c r="BC151" i="80"/>
  <c r="DW151" i="80"/>
  <c r="CI151" i="80"/>
  <c r="BS151" i="80"/>
  <c r="AM151" i="80"/>
  <c r="CQ151" i="80"/>
  <c r="FC151" i="80"/>
  <c r="EU151" i="80"/>
  <c r="DY71" i="79"/>
  <c r="DX71" i="79"/>
  <c r="CI71" i="80"/>
  <c r="DW71" i="80"/>
  <c r="DY71" i="80" s="1"/>
  <c r="AU71" i="80"/>
  <c r="CA71" i="80"/>
  <c r="CC71" i="80" s="1"/>
  <c r="EM71" i="80"/>
  <c r="EP370" i="79"/>
  <c r="DB370" i="79"/>
  <c r="Q177" i="80"/>
  <c r="DO67" i="80"/>
  <c r="AG178" i="80"/>
  <c r="BU178" i="80"/>
  <c r="EW178" i="80"/>
  <c r="AO178" i="80"/>
  <c r="EO178" i="80"/>
  <c r="DY178" i="80"/>
  <c r="CT370" i="79"/>
  <c r="BD178" i="80"/>
  <c r="AM112" i="80"/>
  <c r="BK112" i="80"/>
  <c r="W112" i="80"/>
  <c r="BS112" i="80"/>
  <c r="FK112" i="80"/>
  <c r="AE112" i="80"/>
  <c r="AG112" i="80" s="1"/>
  <c r="CA112" i="80"/>
  <c r="CC112" i="80" s="1"/>
  <c r="EU112" i="80"/>
  <c r="EW112" i="80" s="1"/>
  <c r="DG112" i="80"/>
  <c r="BC112" i="80"/>
  <c r="BE112" i="80" s="1"/>
  <c r="CQ112" i="80"/>
  <c r="CY112" i="80"/>
  <c r="DA112" i="80" s="1"/>
  <c r="EE112" i="80"/>
  <c r="EG112" i="80" s="1"/>
  <c r="DO112" i="80"/>
  <c r="DQ112" i="80" s="1"/>
  <c r="AU112" i="80"/>
  <c r="AW112" i="80" s="1"/>
  <c r="EG177" i="80"/>
  <c r="FE177" i="80"/>
  <c r="DY177" i="80"/>
  <c r="EO177" i="80"/>
  <c r="DI177" i="80"/>
  <c r="BE177" i="80"/>
  <c r="AO177" i="80"/>
  <c r="FF370" i="79"/>
  <c r="DR370" i="79"/>
  <c r="DJ370" i="79"/>
  <c r="G384" i="79"/>
  <c r="G435" i="79"/>
  <c r="G400" i="79"/>
  <c r="CQ24" i="79"/>
  <c r="CQ400" i="79" s="1"/>
  <c r="DG24" i="79"/>
  <c r="DG400" i="79" s="1"/>
  <c r="CY24" i="79"/>
  <c r="CY400" i="79" s="1"/>
  <c r="FK24" i="79"/>
  <c r="FK400" i="79" s="1"/>
  <c r="BK24" i="79"/>
  <c r="BK400" i="79" s="1"/>
  <c r="BS24" i="79"/>
  <c r="BS400" i="79" s="1"/>
  <c r="EU24" i="79"/>
  <c r="EU400" i="79" s="1"/>
  <c r="AM24" i="79"/>
  <c r="AM400" i="79" s="1"/>
  <c r="FC24" i="79"/>
  <c r="FC400" i="79" s="1"/>
  <c r="O67" i="80"/>
  <c r="EH370" i="79"/>
  <c r="CL370" i="79"/>
  <c r="AH370" i="79"/>
  <c r="FM177" i="80"/>
  <c r="CY63" i="80"/>
  <c r="FK59" i="79"/>
  <c r="CA59" i="79"/>
  <c r="EE59" i="79"/>
  <c r="BS59" i="79"/>
  <c r="CQ59" i="79"/>
  <c r="CI59" i="79"/>
  <c r="DO59" i="79"/>
  <c r="CY59" i="79"/>
  <c r="EM59" i="79"/>
  <c r="BK59" i="79"/>
  <c r="AU59" i="79"/>
  <c r="FC59" i="79"/>
  <c r="EU59" i="79"/>
  <c r="AE59" i="79"/>
  <c r="BC59" i="79"/>
  <c r="O59" i="79"/>
  <c r="W59" i="79"/>
  <c r="DW59" i="79"/>
  <c r="DG59" i="79"/>
  <c r="EE115" i="79"/>
  <c r="EG115" i="79" s="1"/>
  <c r="BC115" i="79"/>
  <c r="BE115" i="79" s="1"/>
  <c r="EE129" i="80"/>
  <c r="O129" i="80"/>
  <c r="CY129" i="80"/>
  <c r="CZ129" i="80" s="1"/>
  <c r="EU129" i="80"/>
  <c r="CQ129" i="80"/>
  <c r="CR129" i="80" s="1"/>
  <c r="BC129" i="80"/>
  <c r="BD129" i="80" s="1"/>
  <c r="CI129" i="80"/>
  <c r="CJ129" i="80" s="1"/>
  <c r="DG129" i="80"/>
  <c r="FC129" i="80"/>
  <c r="FD129" i="80" s="1"/>
  <c r="AM129" i="80"/>
  <c r="AN129" i="80" s="1"/>
  <c r="DO129" i="80"/>
  <c r="AU129" i="80"/>
  <c r="DW129" i="80"/>
  <c r="AE129" i="80"/>
  <c r="BK129" i="80"/>
  <c r="BS129" i="80"/>
  <c r="EM129" i="80"/>
  <c r="CZ178" i="80"/>
  <c r="BL178" i="80"/>
  <c r="CB178" i="80"/>
  <c r="AN178" i="80"/>
  <c r="EF178" i="80"/>
  <c r="CR178" i="80"/>
  <c r="FN370" i="79"/>
  <c r="EX370" i="79"/>
  <c r="CY151" i="80"/>
  <c r="AU147" i="79"/>
  <c r="AW147" i="79" s="1"/>
  <c r="EM147" i="79"/>
  <c r="EN147" i="79" s="1"/>
  <c r="BK147" i="79"/>
  <c r="BL147" i="79" s="1"/>
  <c r="CI147" i="79"/>
  <c r="CJ147" i="79" s="1"/>
  <c r="DO147" i="79"/>
  <c r="DQ147" i="79" s="1"/>
  <c r="O147" i="79"/>
  <c r="Q147" i="79" s="1"/>
  <c r="DG147" i="79"/>
  <c r="DH147" i="79" s="1"/>
  <c r="CQ147" i="79"/>
  <c r="CR147" i="79" s="1"/>
  <c r="CY147" i="79"/>
  <c r="CZ147" i="79" s="1"/>
  <c r="FK147" i="79"/>
  <c r="FL147" i="79" s="1"/>
  <c r="CA147" i="79"/>
  <c r="CC147" i="79" s="1"/>
  <c r="FC147" i="79"/>
  <c r="FE147" i="79" s="1"/>
  <c r="DW147" i="79"/>
  <c r="DX147" i="79" s="1"/>
  <c r="BS147" i="79"/>
  <c r="BU147" i="79" s="1"/>
  <c r="EE147" i="79"/>
  <c r="EG147" i="79" s="1"/>
  <c r="AM147" i="79"/>
  <c r="AO147" i="79" s="1"/>
  <c r="BC147" i="79"/>
  <c r="BD147" i="79" s="1"/>
  <c r="BK71" i="79"/>
  <c r="CI71" i="79"/>
  <c r="O71" i="79"/>
  <c r="CQ71" i="79"/>
  <c r="CR71" i="79" s="1"/>
  <c r="EU71" i="79"/>
  <c r="FC71" i="79"/>
  <c r="FE71" i="79" s="1"/>
  <c r="CY71" i="79"/>
  <c r="EM71" i="79"/>
  <c r="CB129" i="80"/>
  <c r="CC129" i="80"/>
  <c r="BC63" i="80"/>
  <c r="BK63" i="80"/>
  <c r="FK63" i="80"/>
  <c r="AE63" i="80"/>
  <c r="FC63" i="80"/>
  <c r="CI63" i="80"/>
  <c r="EU63" i="80"/>
  <c r="CQ63" i="80"/>
  <c r="EE63" i="80"/>
  <c r="AM63" i="80"/>
  <c r="W63" i="80"/>
  <c r="CA63" i="80"/>
  <c r="DW63" i="80"/>
  <c r="AU63" i="80"/>
  <c r="O63" i="80"/>
  <c r="DO63" i="80"/>
  <c r="EM63" i="80"/>
  <c r="DG63" i="80"/>
  <c r="H115" i="85"/>
  <c r="J64" i="90" s="1"/>
  <c r="H115" i="79"/>
  <c r="AV178" i="80"/>
  <c r="W67" i="80"/>
  <c r="DW67" i="80"/>
  <c r="FC67" i="80"/>
  <c r="FE67" i="80" s="1"/>
  <c r="DG67" i="80"/>
  <c r="DH67" i="80" s="1"/>
  <c r="EE67" i="80"/>
  <c r="CY67" i="80"/>
  <c r="AU67" i="80"/>
  <c r="EU67" i="80"/>
  <c r="BK67" i="80"/>
  <c r="AM67" i="80"/>
  <c r="AO67" i="80" s="1"/>
  <c r="FK67" i="80"/>
  <c r="EM67" i="80"/>
  <c r="AE67" i="80"/>
  <c r="CQ67" i="80"/>
  <c r="BS67" i="80"/>
  <c r="BC67" i="80"/>
  <c r="CI67" i="80"/>
  <c r="BF370" i="79"/>
  <c r="DP67" i="79"/>
  <c r="EN178" i="80"/>
  <c r="W24" i="79"/>
  <c r="W400" i="79" s="1"/>
  <c r="AU24" i="79"/>
  <c r="AU400" i="79" s="1"/>
  <c r="BS25" i="80"/>
  <c r="EW177" i="80"/>
  <c r="X178" i="80"/>
  <c r="P178" i="80"/>
  <c r="CS177" i="80"/>
  <c r="FD178" i="80"/>
  <c r="DZ293" i="79"/>
  <c r="CJ178" i="80"/>
  <c r="CK154" i="80"/>
  <c r="BK25" i="80"/>
  <c r="BK401" i="80" s="1"/>
  <c r="DH178" i="80"/>
  <c r="DQ177" i="80"/>
  <c r="AE24" i="79"/>
  <c r="AE400" i="79" s="1"/>
  <c r="BC24" i="79"/>
  <c r="BC400" i="79" s="1"/>
  <c r="FC147" i="80"/>
  <c r="CY107" i="80"/>
  <c r="BT178" i="80"/>
  <c r="EV178" i="80"/>
  <c r="DP178" i="80"/>
  <c r="CI24" i="79"/>
  <c r="CI400" i="79" s="1"/>
  <c r="DW70" i="80"/>
  <c r="AF178" i="80"/>
  <c r="DX178" i="80"/>
  <c r="BN293" i="79"/>
  <c r="DO24" i="79"/>
  <c r="DO400" i="79" s="1"/>
  <c r="EE24" i="79"/>
  <c r="EE400" i="79" s="1"/>
  <c r="BM177" i="80"/>
  <c r="AE29" i="79"/>
  <c r="AE30" i="79" s="1"/>
  <c r="AE403" i="79" s="1"/>
  <c r="AE424" i="79" s="1"/>
  <c r="Q176" i="79"/>
  <c r="AG176" i="79"/>
  <c r="DQ176" i="79"/>
  <c r="CS176" i="80"/>
  <c r="DY176" i="79"/>
  <c r="DI176" i="79"/>
  <c r="CQ155" i="79"/>
  <c r="DO141" i="79"/>
  <c r="DW149" i="79"/>
  <c r="BK130" i="80"/>
  <c r="CI113" i="80"/>
  <c r="CJ113" i="80" s="1"/>
  <c r="DW130" i="80"/>
  <c r="DX130" i="80" s="1"/>
  <c r="EM127" i="80"/>
  <c r="FC112" i="80"/>
  <c r="FE112" i="80" s="1"/>
  <c r="AW176" i="79"/>
  <c r="CI152" i="79"/>
  <c r="AU113" i="80"/>
  <c r="AV113" i="80" s="1"/>
  <c r="BC57" i="80"/>
  <c r="CI112" i="80"/>
  <c r="DW112" i="80"/>
  <c r="EM112" i="80"/>
  <c r="EO112" i="80" s="1"/>
  <c r="BM176" i="79"/>
  <c r="CC176" i="79"/>
  <c r="DW64" i="79"/>
  <c r="W120" i="80"/>
  <c r="AE57" i="80"/>
  <c r="CI89" i="80"/>
  <c r="DW98" i="80"/>
  <c r="DX98" i="80" s="1"/>
  <c r="EM98" i="80"/>
  <c r="EN98" i="80" s="1"/>
  <c r="AU73" i="80"/>
  <c r="AW73" i="80" s="1"/>
  <c r="CY22" i="80"/>
  <c r="CY398" i="80" s="1"/>
  <c r="DZ253" i="80"/>
  <c r="FM176" i="79"/>
  <c r="EW176" i="79"/>
  <c r="EO176" i="79"/>
  <c r="CY64" i="79"/>
  <c r="BC120" i="80"/>
  <c r="BD120" i="80" s="1"/>
  <c r="DO127" i="80"/>
  <c r="EU120" i="80"/>
  <c r="FC89" i="80"/>
  <c r="Y176" i="79"/>
  <c r="BE176" i="79"/>
  <c r="EG176" i="79"/>
  <c r="O112" i="80"/>
  <c r="Q112" i="80" s="1"/>
  <c r="AE120" i="80"/>
  <c r="BC113" i="80"/>
  <c r="BD113" i="80" s="1"/>
  <c r="DA176" i="79"/>
  <c r="CS176" i="79"/>
  <c r="EE64" i="79"/>
  <c r="I75" i="85"/>
  <c r="H75" i="79"/>
  <c r="H75" i="80"/>
  <c r="J70" i="79"/>
  <c r="J70" i="80"/>
  <c r="BL99" i="80"/>
  <c r="BM99" i="80"/>
  <c r="CB373" i="79"/>
  <c r="CR373" i="79"/>
  <c r="X373" i="79"/>
  <c r="CY57" i="79"/>
  <c r="AE57" i="79"/>
  <c r="EE57" i="79"/>
  <c r="DW57" i="79"/>
  <c r="BK57" i="79"/>
  <c r="CI57" i="79"/>
  <c r="BS57" i="79"/>
  <c r="FK57" i="79"/>
  <c r="W57" i="79"/>
  <c r="EU57" i="79"/>
  <c r="FC57" i="79"/>
  <c r="DO57" i="79"/>
  <c r="DG57" i="79"/>
  <c r="CQ57" i="79"/>
  <c r="O57" i="79"/>
  <c r="BC57" i="79"/>
  <c r="AM57" i="79"/>
  <c r="EM57" i="79"/>
  <c r="BK127" i="79"/>
  <c r="CY127" i="79"/>
  <c r="BS127" i="79"/>
  <c r="CA127" i="79"/>
  <c r="CI127" i="79"/>
  <c r="W127" i="79"/>
  <c r="FC127" i="79"/>
  <c r="EU127" i="79"/>
  <c r="DO127" i="79"/>
  <c r="DG127" i="79"/>
  <c r="CQ127" i="79"/>
  <c r="AE127" i="79"/>
  <c r="AM127" i="79"/>
  <c r="O127" i="79"/>
  <c r="BC127" i="79"/>
  <c r="FK127" i="79"/>
  <c r="AU127" i="79"/>
  <c r="EM127" i="79"/>
  <c r="EU124" i="79"/>
  <c r="EW124" i="79" s="1"/>
  <c r="AM124" i="79"/>
  <c r="AN124" i="79" s="1"/>
  <c r="AE112" i="79"/>
  <c r="AF112" i="79" s="1"/>
  <c r="FC112" i="79"/>
  <c r="FD112" i="79" s="1"/>
  <c r="FK112" i="79"/>
  <c r="FL112" i="79" s="1"/>
  <c r="BC112" i="79"/>
  <c r="BD112" i="79" s="1"/>
  <c r="EU112" i="79"/>
  <c r="EV112" i="79" s="1"/>
  <c r="CA112" i="79"/>
  <c r="CB112" i="79" s="1"/>
  <c r="FK107" i="79"/>
  <c r="FM107" i="79" s="1"/>
  <c r="AE107" i="79"/>
  <c r="AG107" i="79" s="1"/>
  <c r="J47" i="85"/>
  <c r="L21" i="90" s="1"/>
  <c r="DH373" i="79"/>
  <c r="DP373" i="79"/>
  <c r="FD373" i="79"/>
  <c r="BT69" i="79"/>
  <c r="BU69" i="79"/>
  <c r="AE69" i="79"/>
  <c r="W69" i="79"/>
  <c r="CQ69" i="79"/>
  <c r="BC69" i="79"/>
  <c r="DO69" i="79"/>
  <c r="CA69" i="79"/>
  <c r="CC69" i="79" s="1"/>
  <c r="AU69" i="79"/>
  <c r="AV69" i="79" s="1"/>
  <c r="FK69" i="79"/>
  <c r="DG69" i="79"/>
  <c r="CY69" i="79"/>
  <c r="EE69" i="79"/>
  <c r="BK69" i="79"/>
  <c r="DW69" i="79"/>
  <c r="FC69" i="79"/>
  <c r="EM69" i="79"/>
  <c r="EN69" i="79" s="1"/>
  <c r="EU69" i="79"/>
  <c r="EV69" i="79" s="1"/>
  <c r="O69" i="79"/>
  <c r="CI69" i="79"/>
  <c r="AM69" i="79"/>
  <c r="CQ66" i="79"/>
  <c r="BC66" i="79"/>
  <c r="DO66" i="79"/>
  <c r="CA66" i="79"/>
  <c r="AU66" i="79"/>
  <c r="DG66" i="79"/>
  <c r="CY66" i="79"/>
  <c r="BK66" i="79"/>
  <c r="EE66" i="79"/>
  <c r="DW66" i="79"/>
  <c r="EU66" i="79"/>
  <c r="CI66" i="79"/>
  <c r="EM66" i="79"/>
  <c r="BS66" i="79"/>
  <c r="O66" i="79"/>
  <c r="FK66" i="79"/>
  <c r="AX296" i="79"/>
  <c r="AF373" i="79"/>
  <c r="BD373" i="79"/>
  <c r="CJ373" i="79"/>
  <c r="EX254" i="80"/>
  <c r="CA419" i="79"/>
  <c r="CA34" i="79"/>
  <c r="CA404" i="79"/>
  <c r="CA425" i="79" s="1"/>
  <c r="FK151" i="79"/>
  <c r="FL151" i="79" s="1"/>
  <c r="DO151" i="79"/>
  <c r="W151" i="79"/>
  <c r="BK151" i="79"/>
  <c r="DG151" i="79"/>
  <c r="BS151" i="79"/>
  <c r="EM151" i="79"/>
  <c r="BC151" i="79"/>
  <c r="AM151" i="79"/>
  <c r="AE151" i="79"/>
  <c r="O151" i="79"/>
  <c r="FC151" i="79"/>
  <c r="CA151" i="79"/>
  <c r="EE151" i="79"/>
  <c r="DW151" i="79"/>
  <c r="AU151" i="79"/>
  <c r="CQ151" i="79"/>
  <c r="EU151" i="79"/>
  <c r="CI151" i="79"/>
  <c r="EF373" i="79"/>
  <c r="DX373" i="79"/>
  <c r="EV89" i="79"/>
  <c r="EX89" i="79" s="1"/>
  <c r="G391" i="79"/>
  <c r="AU89" i="79"/>
  <c r="BK89" i="79"/>
  <c r="AE89" i="79"/>
  <c r="G93" i="79"/>
  <c r="BS89" i="79"/>
  <c r="AM89" i="79"/>
  <c r="CA89" i="79"/>
  <c r="CI89" i="79"/>
  <c r="CY89" i="79"/>
  <c r="O89" i="79"/>
  <c r="DG89" i="79"/>
  <c r="DW89" i="79"/>
  <c r="FK89" i="79"/>
  <c r="W89" i="79"/>
  <c r="DO89" i="79"/>
  <c r="FC89" i="79"/>
  <c r="EE89" i="79"/>
  <c r="AV373" i="79"/>
  <c r="EN373" i="79"/>
  <c r="EV373" i="79"/>
  <c r="BT373" i="79"/>
  <c r="P373" i="79"/>
  <c r="EM108" i="80"/>
  <c r="EN108" i="80" s="1"/>
  <c r="DO108" i="80"/>
  <c r="DP108" i="80" s="1"/>
  <c r="DG108" i="80"/>
  <c r="DH108" i="80" s="1"/>
  <c r="BC108" i="80"/>
  <c r="BD108" i="80" s="1"/>
  <c r="BK108" i="80"/>
  <c r="BL108" i="80" s="1"/>
  <c r="EE108" i="80"/>
  <c r="EF108" i="80" s="1"/>
  <c r="W108" i="80"/>
  <c r="BS108" i="80"/>
  <c r="EU108" i="80"/>
  <c r="EV108" i="80" s="1"/>
  <c r="CI108" i="80"/>
  <c r="DW105" i="80"/>
  <c r="FC105" i="80"/>
  <c r="AU105" i="80"/>
  <c r="EM105" i="80"/>
  <c r="W105" i="80"/>
  <c r="DO105" i="80"/>
  <c r="EU105" i="80"/>
  <c r="BC105" i="80"/>
  <c r="CA99" i="80"/>
  <c r="CC99" i="80" s="1"/>
  <c r="BS99" i="80"/>
  <c r="BU99" i="80" s="1"/>
  <c r="DO99" i="80"/>
  <c r="DQ99" i="80" s="1"/>
  <c r="CI99" i="80"/>
  <c r="AU99" i="80"/>
  <c r="FK99" i="80"/>
  <c r="FM99" i="80" s="1"/>
  <c r="O99" i="80"/>
  <c r="EU99" i="80"/>
  <c r="EE99" i="80"/>
  <c r="DG99" i="80"/>
  <c r="BC99" i="80"/>
  <c r="AM99" i="80"/>
  <c r="EM99" i="80"/>
  <c r="AE99" i="80"/>
  <c r="DW99" i="80"/>
  <c r="DX99" i="80" s="1"/>
  <c r="W99" i="80"/>
  <c r="X99" i="80" s="1"/>
  <c r="CQ99" i="80"/>
  <c r="EU92" i="80"/>
  <c r="EW92" i="80" s="1"/>
  <c r="EE92" i="80"/>
  <c r="EG92" i="80" s="1"/>
  <c r="DW92" i="80"/>
  <c r="DY92" i="80" s="1"/>
  <c r="G93" i="80"/>
  <c r="BS92" i="80"/>
  <c r="BU92" i="80" s="1"/>
  <c r="BK92" i="80"/>
  <c r="BM92" i="80" s="1"/>
  <c r="CQ92" i="80"/>
  <c r="CS92" i="80" s="1"/>
  <c r="AE17" i="80"/>
  <c r="AE411" i="80" s="1"/>
  <c r="DG17" i="80"/>
  <c r="DG411" i="80" s="1"/>
  <c r="FC17" i="80"/>
  <c r="FC411" i="80" s="1"/>
  <c r="G19" i="80"/>
  <c r="BC17" i="80"/>
  <c r="AM17" i="80"/>
  <c r="AM411" i="80" s="1"/>
  <c r="EU17" i="80"/>
  <c r="FK17" i="80"/>
  <c r="FK411" i="80" s="1"/>
  <c r="BC25" i="80"/>
  <c r="BC401" i="80" s="1"/>
  <c r="AE25" i="80"/>
  <c r="AG25" i="80" s="1"/>
  <c r="AG401" i="80" s="1"/>
  <c r="CQ25" i="80"/>
  <c r="CQ401" i="80" s="1"/>
  <c r="EM25" i="80"/>
  <c r="EO25" i="80" s="1"/>
  <c r="EO401" i="80" s="1"/>
  <c r="G26" i="80"/>
  <c r="EU25" i="80"/>
  <c r="EW25" i="80" s="1"/>
  <c r="EW401" i="80" s="1"/>
  <c r="AU25" i="80"/>
  <c r="AU401" i="80" s="1"/>
  <c r="DG92" i="79"/>
  <c r="DI92" i="79" s="1"/>
  <c r="AM92" i="79"/>
  <c r="AO92" i="79" s="1"/>
  <c r="G35" i="35"/>
  <c r="BL373" i="79"/>
  <c r="DZ307" i="80"/>
  <c r="AM33" i="79"/>
  <c r="AM34" i="79" s="1"/>
  <c r="EE33" i="79"/>
  <c r="FC33" i="79"/>
  <c r="FD33" i="79" s="1"/>
  <c r="O33" i="79"/>
  <c r="W33" i="79"/>
  <c r="G34" i="79"/>
  <c r="CQ33" i="79"/>
  <c r="CQ419" i="79" s="1"/>
  <c r="DW33" i="79"/>
  <c r="DG33" i="79"/>
  <c r="FK33" i="79"/>
  <c r="AU33" i="79"/>
  <c r="AU419" i="79" s="1"/>
  <c r="EM33" i="79"/>
  <c r="DO33" i="79"/>
  <c r="DP33" i="79" s="1"/>
  <c r="G419" i="79"/>
  <c r="BC33" i="79"/>
  <c r="EU33" i="79"/>
  <c r="BK33" i="79"/>
  <c r="G404" i="79"/>
  <c r="G425" i="79" s="1"/>
  <c r="CI33" i="79"/>
  <c r="BS33" i="79"/>
  <c r="CY139" i="80"/>
  <c r="DA139" i="80" s="1"/>
  <c r="CA139" i="80"/>
  <c r="CC139" i="80" s="1"/>
  <c r="BS139" i="80"/>
  <c r="BT139" i="80" s="1"/>
  <c r="O139" i="80"/>
  <c r="P139" i="80" s="1"/>
  <c r="DG139" i="80"/>
  <c r="DI139" i="80" s="1"/>
  <c r="FK139" i="80"/>
  <c r="FL139" i="80" s="1"/>
  <c r="FC139" i="80"/>
  <c r="FE139" i="80" s="1"/>
  <c r="EE139" i="80"/>
  <c r="DO139" i="80"/>
  <c r="DP139" i="80" s="1"/>
  <c r="EM139" i="80"/>
  <c r="EN139" i="80" s="1"/>
  <c r="AE139" i="80"/>
  <c r="AU139" i="80"/>
  <c r="BC139" i="80"/>
  <c r="BE139" i="80" s="1"/>
  <c r="CQ150" i="80"/>
  <c r="CS150" i="80" s="1"/>
  <c r="FK150" i="80"/>
  <c r="FM150" i="80" s="1"/>
  <c r="BC150" i="80"/>
  <c r="BE150" i="80" s="1"/>
  <c r="EE150" i="80"/>
  <c r="EG150" i="80" s="1"/>
  <c r="AM150" i="80"/>
  <c r="AO150" i="80" s="1"/>
  <c r="CI150" i="80"/>
  <c r="CK150" i="80" s="1"/>
  <c r="DG150" i="80"/>
  <c r="DI150" i="80" s="1"/>
  <c r="DW150" i="80"/>
  <c r="DY150" i="80" s="1"/>
  <c r="FC150" i="80"/>
  <c r="FE150" i="80" s="1"/>
  <c r="AU150" i="80"/>
  <c r="AW150" i="80" s="1"/>
  <c r="W150" i="80"/>
  <c r="Y150" i="80" s="1"/>
  <c r="DO150" i="80"/>
  <c r="DQ150" i="80" s="1"/>
  <c r="EU150" i="80"/>
  <c r="EW150" i="80" s="1"/>
  <c r="BK150" i="80"/>
  <c r="BM150" i="80" s="1"/>
  <c r="O150" i="80"/>
  <c r="Q150" i="80" s="1"/>
  <c r="EM150" i="80"/>
  <c r="EO150" i="80" s="1"/>
  <c r="AE150" i="80"/>
  <c r="AG150" i="80" s="1"/>
  <c r="CQ125" i="80"/>
  <c r="CS125" i="80" s="1"/>
  <c r="BC125" i="80"/>
  <c r="BK125" i="80"/>
  <c r="FK125" i="80"/>
  <c r="CY125" i="80"/>
  <c r="AU125" i="80"/>
  <c r="AW125" i="80" s="1"/>
  <c r="FC125" i="80"/>
  <c r="EM125" i="80"/>
  <c r="EO125" i="80" s="1"/>
  <c r="DG125" i="80"/>
  <c r="W125" i="80"/>
  <c r="EU125" i="80"/>
  <c r="DW125" i="80"/>
  <c r="AE125" i="80"/>
  <c r="CA125" i="80"/>
  <c r="CI125" i="80"/>
  <c r="EE125" i="80"/>
  <c r="BS125" i="80"/>
  <c r="EE121" i="80"/>
  <c r="DW121" i="80"/>
  <c r="EM121" i="80"/>
  <c r="CQ121" i="80"/>
  <c r="CY121" i="80"/>
  <c r="EU121" i="80"/>
  <c r="BS121" i="80"/>
  <c r="BU121" i="80" s="1"/>
  <c r="CA121" i="80"/>
  <c r="CC121" i="80" s="1"/>
  <c r="AU121" i="80"/>
  <c r="BK121" i="80"/>
  <c r="AM121" i="80"/>
  <c r="DO121" i="80"/>
  <c r="W121" i="80"/>
  <c r="O121" i="80"/>
  <c r="FC121" i="80"/>
  <c r="AE121" i="80"/>
  <c r="DG121" i="80"/>
  <c r="CQ115" i="80"/>
  <c r="DG115" i="80"/>
  <c r="DH115" i="80" s="1"/>
  <c r="BK115" i="80"/>
  <c r="O115" i="80"/>
  <c r="AU115" i="80"/>
  <c r="CY115" i="80"/>
  <c r="DA115" i="80" s="1"/>
  <c r="BC115" i="80"/>
  <c r="AM115" i="80"/>
  <c r="DO115" i="80"/>
  <c r="FK115" i="80"/>
  <c r="FC115" i="80"/>
  <c r="FD115" i="80" s="1"/>
  <c r="CA115" i="80"/>
  <c r="AE115" i="80"/>
  <c r="AF115" i="80" s="1"/>
  <c r="DW115" i="80"/>
  <c r="FK105" i="80"/>
  <c r="CY105" i="80"/>
  <c r="CQ105" i="80"/>
  <c r="DW108" i="80"/>
  <c r="CY108" i="80"/>
  <c r="CZ108" i="80" s="1"/>
  <c r="O108" i="80"/>
  <c r="P108" i="80" s="1"/>
  <c r="CA25" i="80"/>
  <c r="CC25" i="80" s="1"/>
  <c r="CC401" i="80" s="1"/>
  <c r="FK25" i="80"/>
  <c r="FM25" i="80" s="1"/>
  <c r="FM401" i="80" s="1"/>
  <c r="FC127" i="80"/>
  <c r="FC113" i="80"/>
  <c r="CI105" i="80"/>
  <c r="CA105" i="80"/>
  <c r="O105" i="80"/>
  <c r="AE105" i="80"/>
  <c r="DO25" i="80"/>
  <c r="DO401" i="80" s="1"/>
  <c r="CY25" i="80"/>
  <c r="CY401" i="80" s="1"/>
  <c r="H100" i="85"/>
  <c r="BK105" i="80"/>
  <c r="EE105" i="80"/>
  <c r="CQ108" i="80"/>
  <c r="AM108" i="80"/>
  <c r="AN108" i="80" s="1"/>
  <c r="FC25" i="80"/>
  <c r="FC401" i="80" s="1"/>
  <c r="EE25" i="80"/>
  <c r="EE401" i="80" s="1"/>
  <c r="CI25" i="80"/>
  <c r="CI401" i="80" s="1"/>
  <c r="BS105" i="80"/>
  <c r="FK108" i="80"/>
  <c r="DW25" i="80"/>
  <c r="DW401" i="80" s="1"/>
  <c r="G100" i="80"/>
  <c r="FC108" i="80"/>
  <c r="FD108" i="80" s="1"/>
  <c r="O25" i="80"/>
  <c r="O401" i="80" s="1"/>
  <c r="W25" i="80"/>
  <c r="W401" i="80" s="1"/>
  <c r="AM25" i="80"/>
  <c r="AO25" i="80" s="1"/>
  <c r="AO401" i="80" s="1"/>
  <c r="EU69" i="80"/>
  <c r="EW69" i="80" s="1"/>
  <c r="CQ69" i="80"/>
  <c r="CR69" i="80" s="1"/>
  <c r="FK69" i="80"/>
  <c r="DW69" i="80"/>
  <c r="AU69" i="80"/>
  <c r="FC69" i="80"/>
  <c r="AE69" i="80"/>
  <c r="AF69" i="80" s="1"/>
  <c r="BC69" i="80"/>
  <c r="BK69" i="80"/>
  <c r="AM69" i="80"/>
  <c r="BS69" i="80"/>
  <c r="DG69" i="80"/>
  <c r="CI69" i="80"/>
  <c r="CY69" i="80"/>
  <c r="CA69" i="80"/>
  <c r="EM69" i="80"/>
  <c r="O69" i="80"/>
  <c r="EE69" i="80"/>
  <c r="FK62" i="80"/>
  <c r="EM62" i="80"/>
  <c r="DG62" i="80"/>
  <c r="DW62" i="80"/>
  <c r="CA62" i="80"/>
  <c r="W62" i="80"/>
  <c r="DO62" i="80"/>
  <c r="EE62" i="80"/>
  <c r="EU62" i="80"/>
  <c r="BC62" i="80"/>
  <c r="AE62" i="80"/>
  <c r="CQ62" i="80"/>
  <c r="FC62" i="80"/>
  <c r="BK62" i="80"/>
  <c r="CI62" i="80"/>
  <c r="AU62" i="80"/>
  <c r="O62" i="80"/>
  <c r="AM111" i="80"/>
  <c r="FC111" i="80"/>
  <c r="DW111" i="80"/>
  <c r="EM111" i="80"/>
  <c r="DG111" i="80"/>
  <c r="CQ111" i="80"/>
  <c r="CI111" i="80"/>
  <c r="CA111" i="80"/>
  <c r="BS111" i="80"/>
  <c r="CY111" i="80"/>
  <c r="BK111" i="80"/>
  <c r="W111" i="80"/>
  <c r="EU111" i="80"/>
  <c r="DO111" i="80"/>
  <c r="AE111" i="80"/>
  <c r="EE111" i="80"/>
  <c r="BC111" i="80"/>
  <c r="O111" i="80"/>
  <c r="FK111" i="80"/>
  <c r="EO89" i="80"/>
  <c r="EN89" i="80"/>
  <c r="I10" i="90"/>
  <c r="I28" i="90"/>
  <c r="DR307" i="79"/>
  <c r="BF268" i="80"/>
  <c r="AU111" i="80"/>
  <c r="BV307" i="80"/>
  <c r="FK115" i="79"/>
  <c r="CA115" i="79"/>
  <c r="DG115" i="79"/>
  <c r="CQ115" i="79"/>
  <c r="BS115" i="79"/>
  <c r="AE115" i="79"/>
  <c r="FC115" i="79"/>
  <c r="FD115" i="79" s="1"/>
  <c r="BK115" i="79"/>
  <c r="AM115" i="79"/>
  <c r="AN115" i="79" s="1"/>
  <c r="DO115" i="79"/>
  <c r="AU115" i="79"/>
  <c r="AW115" i="79" s="1"/>
  <c r="G116" i="79"/>
  <c r="CI115" i="79"/>
  <c r="W115" i="79"/>
  <c r="EU115" i="79"/>
  <c r="O115" i="79"/>
  <c r="DW115" i="79"/>
  <c r="CY115" i="79"/>
  <c r="EM115" i="79"/>
  <c r="G386" i="79"/>
  <c r="G50" i="79"/>
  <c r="G413" i="79" s="1"/>
  <c r="BC16" i="79"/>
  <c r="BE16" i="79" s="1"/>
  <c r="BE410" i="79" s="1"/>
  <c r="BE426" i="79" s="1"/>
  <c r="CA16" i="79"/>
  <c r="CA410" i="79" s="1"/>
  <c r="G410" i="79"/>
  <c r="EE16" i="79"/>
  <c r="EE410" i="79" s="1"/>
  <c r="CT309" i="79"/>
  <c r="DB253" i="80"/>
  <c r="EP253" i="80"/>
  <c r="DG112" i="79"/>
  <c r="DH112" i="79" s="1"/>
  <c r="CQ112" i="79"/>
  <c r="CR112" i="79" s="1"/>
  <c r="BS112" i="79"/>
  <c r="BT112" i="79" s="1"/>
  <c r="AM112" i="79"/>
  <c r="AN112" i="79" s="1"/>
  <c r="BK112" i="79"/>
  <c r="BL112" i="79" s="1"/>
  <c r="EE112" i="79"/>
  <c r="EF112" i="79" s="1"/>
  <c r="DO112" i="79"/>
  <c r="DP112" i="79" s="1"/>
  <c r="CY112" i="79"/>
  <c r="CZ112" i="79" s="1"/>
  <c r="AU112" i="79"/>
  <c r="AV112" i="79" s="1"/>
  <c r="W112" i="79"/>
  <c r="X112" i="79" s="1"/>
  <c r="O112" i="79"/>
  <c r="P112" i="79" s="1"/>
  <c r="EM112" i="79"/>
  <c r="EN112" i="79" s="1"/>
  <c r="DW112" i="79"/>
  <c r="DX112" i="79" s="1"/>
  <c r="CI112" i="79"/>
  <c r="CJ112" i="79" s="1"/>
  <c r="EU107" i="79"/>
  <c r="DO107" i="79"/>
  <c r="BK107" i="79"/>
  <c r="CY107" i="79"/>
  <c r="CZ107" i="79" s="1"/>
  <c r="DW107" i="79"/>
  <c r="CQ107" i="79"/>
  <c r="CI107" i="79"/>
  <c r="BS107" i="79"/>
  <c r="BT107" i="79" s="1"/>
  <c r="AM107" i="79"/>
  <c r="AN107" i="79" s="1"/>
  <c r="EM107" i="79"/>
  <c r="DG107" i="79"/>
  <c r="DI107" i="79" s="1"/>
  <c r="CA107" i="79"/>
  <c r="O107" i="79"/>
  <c r="W107" i="79"/>
  <c r="FC107" i="79"/>
  <c r="DO104" i="79"/>
  <c r="DP104" i="79" s="1"/>
  <c r="EE104" i="79"/>
  <c r="EG104" i="79" s="1"/>
  <c r="CY104" i="79"/>
  <c r="FK104" i="79"/>
  <c r="O104" i="79"/>
  <c r="P104" i="79" s="1"/>
  <c r="FC104" i="79"/>
  <c r="EM104" i="79"/>
  <c r="W104" i="79"/>
  <c r="EU104" i="79"/>
  <c r="EW104" i="79" s="1"/>
  <c r="AE104" i="79"/>
  <c r="BS92" i="79"/>
  <c r="BU92" i="79" s="1"/>
  <c r="AE92" i="79"/>
  <c r="FC92" i="79"/>
  <c r="FE92" i="79" s="1"/>
  <c r="BK92" i="79"/>
  <c r="BM92" i="79" s="1"/>
  <c r="CQ92" i="79"/>
  <c r="CS92" i="79" s="1"/>
  <c r="DO92" i="79"/>
  <c r="EE92" i="79"/>
  <c r="EG92" i="79" s="1"/>
  <c r="CY92" i="79"/>
  <c r="DA92" i="79" s="1"/>
  <c r="AU92" i="79"/>
  <c r="AW92" i="79" s="1"/>
  <c r="CI92" i="79"/>
  <c r="FK92" i="79"/>
  <c r="FM92" i="79" s="1"/>
  <c r="CA92" i="79"/>
  <c r="CC92" i="79" s="1"/>
  <c r="EM92" i="79"/>
  <c r="EO92" i="79" s="1"/>
  <c r="EU92" i="79"/>
  <c r="BC89" i="79"/>
  <c r="EM89" i="79"/>
  <c r="CQ89" i="79"/>
  <c r="DI98" i="80"/>
  <c r="EX309" i="80"/>
  <c r="CL309" i="80"/>
  <c r="DW92" i="79"/>
  <c r="W92" i="79"/>
  <c r="Y92" i="79" s="1"/>
  <c r="BC92" i="79"/>
  <c r="BE92" i="79" s="1"/>
  <c r="AM60" i="79"/>
  <c r="EM60" i="79"/>
  <c r="DW60" i="79"/>
  <c r="DO60" i="79"/>
  <c r="BK60" i="79"/>
  <c r="EU60" i="79"/>
  <c r="EE60" i="79"/>
  <c r="CY60" i="79"/>
  <c r="CI60" i="79"/>
  <c r="AU60" i="79"/>
  <c r="W60" i="79"/>
  <c r="O60" i="79"/>
  <c r="BC60" i="79"/>
  <c r="CA60" i="79"/>
  <c r="DG120" i="79"/>
  <c r="BC120" i="79"/>
  <c r="BE120" i="79" s="1"/>
  <c r="EU120" i="79"/>
  <c r="AM120" i="79"/>
  <c r="DO120" i="79"/>
  <c r="DP120" i="79" s="1"/>
  <c r="CI120" i="79"/>
  <c r="EU149" i="80"/>
  <c r="DW149" i="80"/>
  <c r="BS149" i="80"/>
  <c r="FC149" i="80"/>
  <c r="DG149" i="80"/>
  <c r="CA149" i="80"/>
  <c r="CQ149" i="80"/>
  <c r="CI149" i="80"/>
  <c r="AU149" i="80"/>
  <c r="O149" i="80"/>
  <c r="DO149" i="80"/>
  <c r="DZ270" i="80"/>
  <c r="CA141" i="80"/>
  <c r="G143" i="80"/>
  <c r="EU141" i="80"/>
  <c r="CQ141" i="80"/>
  <c r="BC141" i="80"/>
  <c r="CY141" i="80"/>
  <c r="FC141" i="80"/>
  <c r="O141" i="80"/>
  <c r="W141" i="80"/>
  <c r="DO141" i="80"/>
  <c r="CI141" i="80"/>
  <c r="DW141" i="80"/>
  <c r="DG141" i="80"/>
  <c r="BK141" i="80"/>
  <c r="EM141" i="80"/>
  <c r="AM141" i="80"/>
  <c r="DW154" i="80"/>
  <c r="DX154" i="80" s="1"/>
  <c r="DO154" i="80"/>
  <c r="DQ154" i="80" s="1"/>
  <c r="CQ154" i="80"/>
  <c r="CS154" i="80" s="1"/>
  <c r="BF232" i="80"/>
  <c r="FK68" i="79"/>
  <c r="FL68" i="79" s="1"/>
  <c r="W68" i="79"/>
  <c r="DO68" i="79"/>
  <c r="O68" i="79"/>
  <c r="BS68" i="79"/>
  <c r="DW68" i="79"/>
  <c r="AE68" i="79"/>
  <c r="CA68" i="79"/>
  <c r="BK68" i="79"/>
  <c r="BL68" i="79" s="1"/>
  <c r="EE68" i="79"/>
  <c r="AM68" i="79"/>
  <c r="AU68" i="79"/>
  <c r="CQ68" i="79"/>
  <c r="CS68" i="79" s="1"/>
  <c r="EM68" i="79"/>
  <c r="H307" i="80"/>
  <c r="H307" i="85"/>
  <c r="J171" i="90" s="1"/>
  <c r="R241" i="79"/>
  <c r="AN153" i="79"/>
  <c r="FK155" i="79"/>
  <c r="FL155" i="79" s="1"/>
  <c r="DW155" i="79"/>
  <c r="CI155" i="79"/>
  <c r="AM155" i="79"/>
  <c r="AN155" i="79" s="1"/>
  <c r="FC155" i="79"/>
  <c r="EE155" i="79"/>
  <c r="EF155" i="79" s="1"/>
  <c r="W155" i="79"/>
  <c r="CA155" i="79"/>
  <c r="AE155" i="79"/>
  <c r="O155" i="79"/>
  <c r="EU155" i="79"/>
  <c r="EM155" i="79"/>
  <c r="EN155" i="79" s="1"/>
  <c r="CY155" i="79"/>
  <c r="BC155" i="79"/>
  <c r="BD155" i="79" s="1"/>
  <c r="DG155" i="79"/>
  <c r="DH155" i="79" s="1"/>
  <c r="DG71" i="79"/>
  <c r="CA71" i="79"/>
  <c r="W71" i="79"/>
  <c r="X71" i="79" s="1"/>
  <c r="BS71" i="79"/>
  <c r="AU71" i="79"/>
  <c r="AM71" i="79"/>
  <c r="FK71" i="79"/>
  <c r="EE71" i="79"/>
  <c r="DO71" i="79"/>
  <c r="AE71" i="79"/>
  <c r="BC71" i="79"/>
  <c r="BE71" i="79" s="1"/>
  <c r="FK129" i="80"/>
  <c r="FM129" i="80" s="1"/>
  <c r="W129" i="80"/>
  <c r="AX293" i="79"/>
  <c r="BS104" i="79"/>
  <c r="FC152" i="79"/>
  <c r="EE152" i="79"/>
  <c r="W152" i="79"/>
  <c r="AE152" i="79"/>
  <c r="O152" i="79"/>
  <c r="CA152" i="79"/>
  <c r="BC152" i="79"/>
  <c r="EU152" i="79"/>
  <c r="EM152" i="79"/>
  <c r="CY152" i="79"/>
  <c r="DG152" i="79"/>
  <c r="BK152" i="79"/>
  <c r="AU152" i="79"/>
  <c r="DO152" i="79"/>
  <c r="CQ152" i="79"/>
  <c r="G404" i="80"/>
  <c r="G425" i="80" s="1"/>
  <c r="DO33" i="80"/>
  <c r="BS33" i="80"/>
  <c r="BS404" i="80" s="1"/>
  <c r="BS425" i="80" s="1"/>
  <c r="AP232" i="80"/>
  <c r="AU107" i="79"/>
  <c r="BC107" i="79"/>
  <c r="EE107" i="79"/>
  <c r="O92" i="79"/>
  <c r="Q92" i="79" s="1"/>
  <c r="BK155" i="79"/>
  <c r="BL155" i="79" s="1"/>
  <c r="CQ104" i="79"/>
  <c r="DG140" i="79"/>
  <c r="DW140" i="79"/>
  <c r="CI140" i="79"/>
  <c r="CY140" i="79"/>
  <c r="EU140" i="79"/>
  <c r="EE140" i="79"/>
  <c r="O140" i="79"/>
  <c r="CA140" i="79"/>
  <c r="BS140" i="79"/>
  <c r="AE140" i="79"/>
  <c r="BC140" i="79"/>
  <c r="G143" i="79"/>
  <c r="EM140" i="79"/>
  <c r="AM140" i="79"/>
  <c r="FC59" i="80"/>
  <c r="AU59" i="80"/>
  <c r="CY59" i="80"/>
  <c r="BK59" i="80"/>
  <c r="EE59" i="80"/>
  <c r="DO59" i="80"/>
  <c r="BS59" i="80"/>
  <c r="AM59" i="80"/>
  <c r="EU59" i="80"/>
  <c r="W59" i="80"/>
  <c r="FK59" i="80"/>
  <c r="EM59" i="80"/>
  <c r="DG59" i="80"/>
  <c r="AE59" i="80"/>
  <c r="O59" i="80"/>
  <c r="CI59" i="80"/>
  <c r="DW59" i="80"/>
  <c r="CQ59" i="80"/>
  <c r="CA59" i="80"/>
  <c r="CA92" i="80"/>
  <c r="CC92" i="80" s="1"/>
  <c r="DO92" i="80"/>
  <c r="DQ92" i="80" s="1"/>
  <c r="W92" i="80"/>
  <c r="EM92" i="80"/>
  <c r="DG92" i="80"/>
  <c r="DI92" i="80" s="1"/>
  <c r="AE92" i="80"/>
  <c r="AG92" i="80" s="1"/>
  <c r="O92" i="80"/>
  <c r="Q92" i="80" s="1"/>
  <c r="FC92" i="80"/>
  <c r="FE92" i="80" s="1"/>
  <c r="AM92" i="80"/>
  <c r="AO92" i="80" s="1"/>
  <c r="CY92" i="80"/>
  <c r="DA92" i="80" s="1"/>
  <c r="AU92" i="80"/>
  <c r="AW92" i="80" s="1"/>
  <c r="CI92" i="80"/>
  <c r="CK92" i="80" s="1"/>
  <c r="BC92" i="80"/>
  <c r="BE92" i="80" s="1"/>
  <c r="FK92" i="80"/>
  <c r="FM92" i="80" s="1"/>
  <c r="G411" i="80"/>
  <c r="AU17" i="80"/>
  <c r="CI17" i="80"/>
  <c r="CI411" i="80" s="1"/>
  <c r="CQ17" i="80"/>
  <c r="DO17" i="80"/>
  <c r="DO411" i="80" s="1"/>
  <c r="CY17" i="80"/>
  <c r="CY411" i="80" s="1"/>
  <c r="DW17" i="80"/>
  <c r="DW411" i="80" s="1"/>
  <c r="O17" i="80"/>
  <c r="O411" i="80" s="1"/>
  <c r="W17" i="80"/>
  <c r="W411" i="80" s="1"/>
  <c r="EM17" i="80"/>
  <c r="EM411" i="80" s="1"/>
  <c r="CA17" i="80"/>
  <c r="CA411" i="80" s="1"/>
  <c r="CI119" i="80"/>
  <c r="CY120" i="80"/>
  <c r="DG66" i="80"/>
  <c r="DO119" i="80"/>
  <c r="EM66" i="80"/>
  <c r="EU70" i="80"/>
  <c r="EU119" i="80"/>
  <c r="FC66" i="80"/>
  <c r="FK151" i="80"/>
  <c r="FK58" i="80"/>
  <c r="FK119" i="80"/>
  <c r="FK98" i="80"/>
  <c r="BS70" i="80"/>
  <c r="O155" i="80"/>
  <c r="Q155" i="80" s="1"/>
  <c r="O87" i="80"/>
  <c r="W66" i="80"/>
  <c r="AM66" i="80"/>
  <c r="AM120" i="80"/>
  <c r="AU151" i="80"/>
  <c r="BK70" i="80"/>
  <c r="BS119" i="80"/>
  <c r="CA119" i="80"/>
  <c r="DG131" i="80"/>
  <c r="DO66" i="80"/>
  <c r="DO98" i="80"/>
  <c r="DP98" i="80" s="1"/>
  <c r="EE70" i="80"/>
  <c r="EE96" i="80"/>
  <c r="EU66" i="80"/>
  <c r="EU98" i="80"/>
  <c r="EW98" i="80" s="1"/>
  <c r="BS66" i="80"/>
  <c r="CY98" i="80"/>
  <c r="DA98" i="80" s="1"/>
  <c r="DO89" i="80"/>
  <c r="DW119" i="80"/>
  <c r="EE66" i="80"/>
  <c r="EE89" i="80"/>
  <c r="EM119" i="80"/>
  <c r="EU89" i="80"/>
  <c r="J100" i="85"/>
  <c r="D37" i="82"/>
  <c r="D57" i="82" s="1"/>
  <c r="O147" i="80"/>
  <c r="Q147" i="80" s="1"/>
  <c r="O120" i="80"/>
  <c r="AU120" i="80"/>
  <c r="BK66" i="80"/>
  <c r="BK98" i="80"/>
  <c r="BL98" i="80" s="1"/>
  <c r="CA98" i="80"/>
  <c r="CC98" i="80" s="1"/>
  <c r="CI98" i="80"/>
  <c r="CK98" i="80" s="1"/>
  <c r="CQ119" i="80"/>
  <c r="CY66" i="80"/>
  <c r="DG119" i="80"/>
  <c r="EU131" i="80"/>
  <c r="EU87" i="80"/>
  <c r="FC119" i="80"/>
  <c r="D37" i="35"/>
  <c r="AE155" i="80"/>
  <c r="AF155" i="80" s="1"/>
  <c r="CA70" i="80"/>
  <c r="CI66" i="80"/>
  <c r="CY131" i="80"/>
  <c r="DG73" i="80"/>
  <c r="DI73" i="80" s="1"/>
  <c r="FC73" i="80"/>
  <c r="FE73" i="80" s="1"/>
  <c r="BU153" i="80"/>
  <c r="EF147" i="80"/>
  <c r="EG147" i="80"/>
  <c r="AE154" i="80"/>
  <c r="EV154" i="80"/>
  <c r="BS155" i="80"/>
  <c r="CA154" i="80"/>
  <c r="EE149" i="80"/>
  <c r="BE155" i="80"/>
  <c r="AO153" i="79"/>
  <c r="BS154" i="80"/>
  <c r="DO147" i="80"/>
  <c r="EM147" i="80"/>
  <c r="CJ154" i="80"/>
  <c r="O154" i="80"/>
  <c r="BD155" i="80"/>
  <c r="DG154" i="80"/>
  <c r="EE154" i="80"/>
  <c r="EW154" i="79"/>
  <c r="Q140" i="80"/>
  <c r="BM139" i="79"/>
  <c r="DG141" i="79"/>
  <c r="AM139" i="80"/>
  <c r="BK140" i="80"/>
  <c r="BL139" i="79"/>
  <c r="DW139" i="80"/>
  <c r="CI139" i="80"/>
  <c r="CQ141" i="79"/>
  <c r="CQ139" i="80"/>
  <c r="EE141" i="79"/>
  <c r="W139" i="80"/>
  <c r="CA141" i="79"/>
  <c r="AO132" i="80"/>
  <c r="W132" i="80"/>
  <c r="CB130" i="79"/>
  <c r="CC130" i="79"/>
  <c r="DO119" i="79"/>
  <c r="O119" i="79"/>
  <c r="W119" i="79"/>
  <c r="FK119" i="79"/>
  <c r="AM119" i="79"/>
  <c r="EU119" i="79"/>
  <c r="DW119" i="79"/>
  <c r="CA119" i="79"/>
  <c r="DG119" i="79"/>
  <c r="CY119" i="79"/>
  <c r="BS119" i="79"/>
  <c r="AU119" i="79"/>
  <c r="AE119" i="79"/>
  <c r="FC119" i="79"/>
  <c r="EM119" i="79"/>
  <c r="CI119" i="79"/>
  <c r="CQ119" i="79"/>
  <c r="BK119" i="79"/>
  <c r="BC119" i="79"/>
  <c r="DY132" i="79"/>
  <c r="DG132" i="80"/>
  <c r="BC132" i="80"/>
  <c r="AE132" i="80"/>
  <c r="FC132" i="80"/>
  <c r="EE132" i="80"/>
  <c r="CA132" i="80"/>
  <c r="DW132" i="80"/>
  <c r="AU132" i="80"/>
  <c r="BS132" i="80"/>
  <c r="CQ132" i="80"/>
  <c r="CI132" i="80"/>
  <c r="O132" i="80"/>
  <c r="BK132" i="80"/>
  <c r="DO132" i="80"/>
  <c r="FK132" i="80"/>
  <c r="EU132" i="80"/>
  <c r="EM132" i="80"/>
  <c r="CY132" i="80"/>
  <c r="CI121" i="79"/>
  <c r="AM121" i="79"/>
  <c r="AE121" i="79"/>
  <c r="BC121" i="79"/>
  <c r="CA121" i="79"/>
  <c r="EE121" i="79"/>
  <c r="AU121" i="79"/>
  <c r="O121" i="79"/>
  <c r="EU121" i="79"/>
  <c r="DW121" i="79"/>
  <c r="W121" i="79"/>
  <c r="BK121" i="79"/>
  <c r="CY121" i="79"/>
  <c r="DO121" i="79"/>
  <c r="FK121" i="79"/>
  <c r="DG121" i="79"/>
  <c r="CQ121" i="79"/>
  <c r="W124" i="79"/>
  <c r="DW124" i="79"/>
  <c r="CY124" i="79"/>
  <c r="EE124" i="79"/>
  <c r="EM124" i="79"/>
  <c r="BK124" i="79"/>
  <c r="CA124" i="79"/>
  <c r="O124" i="79"/>
  <c r="BS124" i="79"/>
  <c r="FK124" i="79"/>
  <c r="AU124" i="79"/>
  <c r="CI124" i="79"/>
  <c r="FC124" i="79"/>
  <c r="DG124" i="79"/>
  <c r="AE124" i="79"/>
  <c r="CQ124" i="79"/>
  <c r="BC124" i="79"/>
  <c r="DO124" i="79"/>
  <c r="DG130" i="79"/>
  <c r="W130" i="79"/>
  <c r="FK130" i="79"/>
  <c r="DO130" i="79"/>
  <c r="CY130" i="79"/>
  <c r="FC130" i="79"/>
  <c r="EU130" i="79"/>
  <c r="CI130" i="79"/>
  <c r="DW130" i="79"/>
  <c r="EE130" i="79"/>
  <c r="O130" i="79"/>
  <c r="AE130" i="79"/>
  <c r="BS130" i="79"/>
  <c r="BK130" i="79"/>
  <c r="AM130" i="79"/>
  <c r="AU130" i="79"/>
  <c r="BC130" i="79"/>
  <c r="EM130" i="79"/>
  <c r="CQ130" i="79"/>
  <c r="DW126" i="80"/>
  <c r="CA126" i="80"/>
  <c r="CY126" i="80"/>
  <c r="O126" i="80"/>
  <c r="CI126" i="80"/>
  <c r="BK126" i="80"/>
  <c r="FK126" i="80"/>
  <c r="FC126" i="80"/>
  <c r="EU126" i="80"/>
  <c r="W126" i="80"/>
  <c r="DG126" i="80"/>
  <c r="BC126" i="80"/>
  <c r="AE126" i="80"/>
  <c r="AU126" i="80"/>
  <c r="DO126" i="80"/>
  <c r="BS126" i="80"/>
  <c r="EE126" i="80"/>
  <c r="CK126" i="79"/>
  <c r="BS120" i="80"/>
  <c r="EE120" i="80"/>
  <c r="DW120" i="80"/>
  <c r="EM120" i="80"/>
  <c r="DO120" i="80"/>
  <c r="BK120" i="80"/>
  <c r="CA120" i="80"/>
  <c r="CI120" i="80"/>
  <c r="DG120" i="80"/>
  <c r="CQ110" i="80"/>
  <c r="CY110" i="80"/>
  <c r="FC110" i="80"/>
  <c r="BK110" i="80"/>
  <c r="FK110" i="80"/>
  <c r="DW110" i="80"/>
  <c r="CI110" i="80"/>
  <c r="BS110" i="80"/>
  <c r="DG110" i="80"/>
  <c r="EE110" i="80"/>
  <c r="EM110" i="80"/>
  <c r="CA110" i="80"/>
  <c r="DO110" i="80"/>
  <c r="AM110" i="80"/>
  <c r="O110" i="80"/>
  <c r="BC110" i="80"/>
  <c r="W110" i="80"/>
  <c r="AE110" i="80"/>
  <c r="W104" i="80"/>
  <c r="BS104" i="80"/>
  <c r="CQ104" i="80"/>
  <c r="CY104" i="80"/>
  <c r="O104" i="80"/>
  <c r="G116" i="80"/>
  <c r="BC104" i="80"/>
  <c r="DW104" i="80"/>
  <c r="AE104" i="80"/>
  <c r="DO104" i="80"/>
  <c r="EE104" i="80"/>
  <c r="CI104" i="80"/>
  <c r="CA104" i="80"/>
  <c r="DG104" i="80"/>
  <c r="FC104" i="80"/>
  <c r="EU104" i="80"/>
  <c r="AU104" i="80"/>
  <c r="FL108" i="79"/>
  <c r="AF108" i="80"/>
  <c r="FK114" i="80"/>
  <c r="EM114" i="80"/>
  <c r="CY114" i="80"/>
  <c r="CQ114" i="80"/>
  <c r="DO114" i="80"/>
  <c r="DG114" i="80"/>
  <c r="BS114" i="80"/>
  <c r="EE114" i="80"/>
  <c r="EU114" i="80"/>
  <c r="DW114" i="80"/>
  <c r="BK114" i="80"/>
  <c r="AU114" i="80"/>
  <c r="CA114" i="80"/>
  <c r="AM114" i="80"/>
  <c r="W114" i="80"/>
  <c r="AE114" i="80"/>
  <c r="AN104" i="80"/>
  <c r="AP104" i="80" s="1"/>
  <c r="BK113" i="79"/>
  <c r="CA113" i="79"/>
  <c r="DG113" i="79"/>
  <c r="DO113" i="79"/>
  <c r="DW104" i="79"/>
  <c r="EE113" i="79"/>
  <c r="EM113" i="79"/>
  <c r="BC113" i="79"/>
  <c r="CI104" i="79"/>
  <c r="AM104" i="79"/>
  <c r="BK104" i="79"/>
  <c r="DG104" i="79"/>
  <c r="DW113" i="79"/>
  <c r="EU113" i="79"/>
  <c r="EM107" i="80"/>
  <c r="BS113" i="79"/>
  <c r="CI113" i="79"/>
  <c r="BS107" i="80"/>
  <c r="AU104" i="79"/>
  <c r="BC104" i="79"/>
  <c r="CA104" i="79"/>
  <c r="EG99" i="79"/>
  <c r="EF99" i="79"/>
  <c r="CQ97" i="80"/>
  <c r="BC97" i="80"/>
  <c r="CQ99" i="79"/>
  <c r="EM99" i="79"/>
  <c r="EU99" i="79"/>
  <c r="DG96" i="80"/>
  <c r="W97" i="80"/>
  <c r="CY97" i="80"/>
  <c r="AU96" i="80"/>
  <c r="CA97" i="80"/>
  <c r="BC96" i="80"/>
  <c r="CI99" i="79"/>
  <c r="CY99" i="79"/>
  <c r="CI97" i="80"/>
  <c r="BK97" i="80"/>
  <c r="H96" i="80"/>
  <c r="FC99" i="79"/>
  <c r="DO96" i="80"/>
  <c r="CQ96" i="80"/>
  <c r="CI96" i="80"/>
  <c r="AM96" i="80"/>
  <c r="EU97" i="80"/>
  <c r="CY96" i="80"/>
  <c r="O99" i="79"/>
  <c r="BS99" i="79"/>
  <c r="CA99" i="79"/>
  <c r="EM96" i="80"/>
  <c r="DO97" i="80"/>
  <c r="H96" i="85"/>
  <c r="J48" i="90" s="1"/>
  <c r="DH98" i="80"/>
  <c r="AU97" i="80"/>
  <c r="BK96" i="80"/>
  <c r="FC96" i="80"/>
  <c r="AE96" i="80"/>
  <c r="FC97" i="80"/>
  <c r="FK96" i="80"/>
  <c r="I97" i="79"/>
  <c r="I97" i="80"/>
  <c r="H98" i="79"/>
  <c r="H96" i="79"/>
  <c r="J96" i="85"/>
  <c r="L48" i="90" s="1"/>
  <c r="EW98" i="79"/>
  <c r="FK99" i="79"/>
  <c r="AM97" i="80"/>
  <c r="W96" i="80"/>
  <c r="EU96" i="80"/>
  <c r="CA96" i="80"/>
  <c r="O96" i="80"/>
  <c r="DW97" i="80"/>
  <c r="AM99" i="79"/>
  <c r="DW99" i="79"/>
  <c r="EE97" i="80"/>
  <c r="BS97" i="80"/>
  <c r="J96" i="79"/>
  <c r="J100" i="79" s="1"/>
  <c r="DW96" i="80"/>
  <c r="G100" i="79"/>
  <c r="W99" i="79"/>
  <c r="EN90" i="79"/>
  <c r="AN90" i="80"/>
  <c r="DG87" i="80"/>
  <c r="BL90" i="79"/>
  <c r="CQ87" i="80"/>
  <c r="DO87" i="80"/>
  <c r="CB90" i="79"/>
  <c r="CA87" i="80"/>
  <c r="CY87" i="80"/>
  <c r="EE87" i="80"/>
  <c r="FC87" i="80"/>
  <c r="BD90" i="79"/>
  <c r="DP90" i="79"/>
  <c r="CJ90" i="79"/>
  <c r="FL90" i="79"/>
  <c r="BC87" i="80"/>
  <c r="BK87" i="80"/>
  <c r="BS87" i="80"/>
  <c r="DW87" i="80"/>
  <c r="FK87" i="80"/>
  <c r="CI87" i="80"/>
  <c r="J75" i="79"/>
  <c r="BT70" i="79"/>
  <c r="BU70" i="79"/>
  <c r="FK65" i="80"/>
  <c r="DW65" i="80"/>
  <c r="EE65" i="80"/>
  <c r="W65" i="80"/>
  <c r="CQ65" i="80"/>
  <c r="BC65" i="80"/>
  <c r="AU65" i="80"/>
  <c r="BS65" i="80"/>
  <c r="G77" i="80"/>
  <c r="DO65" i="80"/>
  <c r="O65" i="80"/>
  <c r="BK65" i="80"/>
  <c r="DG65" i="80"/>
  <c r="CY65" i="80"/>
  <c r="CA65" i="80"/>
  <c r="EU65" i="80"/>
  <c r="FC65" i="80"/>
  <c r="AE65" i="80"/>
  <c r="EM65" i="80"/>
  <c r="CI65" i="80"/>
  <c r="AU73" i="79"/>
  <c r="DO73" i="79"/>
  <c r="CA73" i="79"/>
  <c r="EM73" i="79"/>
  <c r="AE73" i="79"/>
  <c r="CQ73" i="79"/>
  <c r="W73" i="79"/>
  <c r="EU73" i="79"/>
  <c r="AM73" i="79"/>
  <c r="BS73" i="79"/>
  <c r="BK73" i="79"/>
  <c r="CY73" i="79"/>
  <c r="FK73" i="79"/>
  <c r="EE73" i="79"/>
  <c r="O73" i="79"/>
  <c r="BC73" i="79"/>
  <c r="DW73" i="79"/>
  <c r="DP68" i="80"/>
  <c r="DR68" i="80" s="1"/>
  <c r="AG67" i="79"/>
  <c r="CY58" i="79"/>
  <c r="O58" i="79"/>
  <c r="DW58" i="79"/>
  <c r="CQ58" i="79"/>
  <c r="W58" i="79"/>
  <c r="CI58" i="79"/>
  <c r="DO58" i="79"/>
  <c r="CA58" i="79"/>
  <c r="FK58" i="79"/>
  <c r="AE58" i="79"/>
  <c r="DG58" i="79"/>
  <c r="FC58" i="79"/>
  <c r="EM58" i="79"/>
  <c r="BS58" i="79"/>
  <c r="EU58" i="79"/>
  <c r="BC58" i="79"/>
  <c r="AM58" i="79"/>
  <c r="BK58" i="79"/>
  <c r="EE58" i="79"/>
  <c r="AU58" i="79"/>
  <c r="FK68" i="80"/>
  <c r="FC68" i="80"/>
  <c r="AM68" i="80"/>
  <c r="EU68" i="80"/>
  <c r="BC68" i="80"/>
  <c r="BS68" i="80"/>
  <c r="W68" i="80"/>
  <c r="EM68" i="80"/>
  <c r="BK68" i="80"/>
  <c r="CY68" i="80"/>
  <c r="O68" i="80"/>
  <c r="AU68" i="80"/>
  <c r="DG68" i="80"/>
  <c r="DW68" i="80"/>
  <c r="EE68" i="80"/>
  <c r="CA68" i="80"/>
  <c r="CQ68" i="80"/>
  <c r="CI68" i="80"/>
  <c r="AE68" i="80"/>
  <c r="EE61" i="79"/>
  <c r="W61" i="79"/>
  <c r="CI61" i="79"/>
  <c r="FK61" i="79"/>
  <c r="BS61" i="79"/>
  <c r="DG61" i="79"/>
  <c r="EM61" i="79"/>
  <c r="BK61" i="79"/>
  <c r="FC61" i="79"/>
  <c r="DO61" i="79"/>
  <c r="AM61" i="79"/>
  <c r="AU61" i="79"/>
  <c r="CY61" i="79"/>
  <c r="EU61" i="79"/>
  <c r="CQ61" i="79"/>
  <c r="O61" i="79"/>
  <c r="BC61" i="79"/>
  <c r="CA61" i="79"/>
  <c r="DW61" i="79"/>
  <c r="AE61" i="79"/>
  <c r="CQ71" i="80"/>
  <c r="FK71" i="80"/>
  <c r="BK71" i="80"/>
  <c r="BC71" i="80"/>
  <c r="O71" i="80"/>
  <c r="EE71" i="80"/>
  <c r="AM71" i="80"/>
  <c r="BS71" i="80"/>
  <c r="EU71" i="80"/>
  <c r="DO71" i="80"/>
  <c r="FC71" i="80"/>
  <c r="CY71" i="80"/>
  <c r="W71" i="80"/>
  <c r="DG71" i="80"/>
  <c r="AE71" i="80"/>
  <c r="FD70" i="79"/>
  <c r="FE70" i="79"/>
  <c r="G77" i="79"/>
  <c r="CI63" i="79"/>
  <c r="O63" i="79"/>
  <c r="EM63" i="79"/>
  <c r="BK63" i="79"/>
  <c r="BS63" i="79"/>
  <c r="FK63" i="79"/>
  <c r="AU63" i="79"/>
  <c r="DO63" i="79"/>
  <c r="EU63" i="79"/>
  <c r="DW63" i="79"/>
  <c r="AM63" i="79"/>
  <c r="CQ63" i="79"/>
  <c r="BC63" i="79"/>
  <c r="W63" i="79"/>
  <c r="CY63" i="79"/>
  <c r="FC63" i="79"/>
  <c r="EE63" i="79"/>
  <c r="DG63" i="79"/>
  <c r="G394" i="80"/>
  <c r="G413" i="80" s="1"/>
  <c r="G438" i="80"/>
  <c r="D73" i="35"/>
  <c r="DG403" i="80"/>
  <c r="AP309" i="80"/>
  <c r="BF309" i="80"/>
  <c r="G50" i="80"/>
  <c r="BC33" i="80"/>
  <c r="DG33" i="80"/>
  <c r="BC23" i="79"/>
  <c r="BS23" i="79"/>
  <c r="CQ23" i="79"/>
  <c r="CY23" i="79"/>
  <c r="DG23" i="79"/>
  <c r="DW23" i="79"/>
  <c r="O33" i="80"/>
  <c r="D69" i="82"/>
  <c r="D73" i="82" s="1"/>
  <c r="AM33" i="80"/>
  <c r="EM33" i="80"/>
  <c r="CQ33" i="80"/>
  <c r="W33" i="80"/>
  <c r="DO23" i="79"/>
  <c r="J140" i="79"/>
  <c r="J140" i="80"/>
  <c r="FK23" i="79"/>
  <c r="FL23" i="79" s="1"/>
  <c r="FK33" i="80"/>
  <c r="W23" i="79"/>
  <c r="AM23" i="79"/>
  <c r="AU23" i="79"/>
  <c r="CI33" i="80"/>
  <c r="BF214" i="80"/>
  <c r="AE33" i="80"/>
  <c r="G34" i="80"/>
  <c r="AU33" i="80"/>
  <c r="O23" i="79"/>
  <c r="H92" i="79"/>
  <c r="BK33" i="80"/>
  <c r="FC33" i="80"/>
  <c r="AE23" i="79"/>
  <c r="AE399" i="79" s="1"/>
  <c r="CA33" i="80"/>
  <c r="BK23" i="79"/>
  <c r="FC23" i="79"/>
  <c r="EH254" i="80"/>
  <c r="EP294" i="79"/>
  <c r="CY33" i="80"/>
  <c r="CY34" i="80" s="1"/>
  <c r="DW33" i="80"/>
  <c r="EU33" i="80"/>
  <c r="EE23" i="79"/>
  <c r="CA23" i="79"/>
  <c r="CA399" i="79" s="1"/>
  <c r="CA29" i="79"/>
  <c r="CA30" i="79" s="1"/>
  <c r="CA403" i="79" s="1"/>
  <c r="CA424" i="79" s="1"/>
  <c r="E35" i="82"/>
  <c r="E35" i="35"/>
  <c r="D46" i="35"/>
  <c r="EE404" i="80"/>
  <c r="EE34" i="80"/>
  <c r="H47" i="85"/>
  <c r="J21" i="90" s="1"/>
  <c r="EU403" i="80"/>
  <c r="O418" i="80"/>
  <c r="O424" i="80"/>
  <c r="BS403" i="80"/>
  <c r="H365" i="85"/>
  <c r="J176" i="90" s="1"/>
  <c r="H370" i="79"/>
  <c r="P370" i="79" s="1"/>
  <c r="I370" i="80"/>
  <c r="I365" i="85"/>
  <c r="K176" i="90" s="1"/>
  <c r="H60" i="85"/>
  <c r="J26" i="90" s="1"/>
  <c r="H60" i="80"/>
  <c r="H60" i="79"/>
  <c r="D47" i="35"/>
  <c r="D62" i="35" s="1"/>
  <c r="D64" i="35" s="1"/>
  <c r="D47" i="82"/>
  <c r="D62" i="82" s="1"/>
  <c r="D64" i="82" s="1"/>
  <c r="BF214" i="79"/>
  <c r="FF268" i="80"/>
  <c r="EH307" i="80"/>
  <c r="Z270" i="79"/>
  <c r="H30" i="79"/>
  <c r="H403" i="79" s="1"/>
  <c r="H424" i="79" s="1"/>
  <c r="H430" i="79" s="1"/>
  <c r="AN29" i="79"/>
  <c r="AN30" i="79" s="1"/>
  <c r="AN403" i="79" s="1"/>
  <c r="AN424" i="79" s="1"/>
  <c r="I30" i="80"/>
  <c r="I403" i="80" s="1"/>
  <c r="I418" i="80" s="1"/>
  <c r="FM29" i="80"/>
  <c r="FM30" i="80" s="1"/>
  <c r="FM403" i="80" s="1"/>
  <c r="AW29" i="80"/>
  <c r="AW30" i="80" s="1"/>
  <c r="AW403" i="80" s="1"/>
  <c r="AW418" i="80" s="1"/>
  <c r="Q29" i="80"/>
  <c r="Q30" i="80" s="1"/>
  <c r="Q403" i="80" s="1"/>
  <c r="DI29" i="80"/>
  <c r="DI30" i="80" s="1"/>
  <c r="DI403" i="80" s="1"/>
  <c r="AO29" i="80"/>
  <c r="AO30" i="80" s="1"/>
  <c r="AO403" i="80" s="1"/>
  <c r="DA29" i="80"/>
  <c r="DA30" i="80" s="1"/>
  <c r="DA403" i="80" s="1"/>
  <c r="DA418" i="80" s="1"/>
  <c r="AG29" i="80"/>
  <c r="AG30" i="80" s="1"/>
  <c r="AG403" i="80" s="1"/>
  <c r="CK29" i="80"/>
  <c r="CK30" i="80" s="1"/>
  <c r="CK403" i="80" s="1"/>
  <c r="BU29" i="80"/>
  <c r="BU30" i="80" s="1"/>
  <c r="BU403" i="80" s="1"/>
  <c r="EW29" i="80"/>
  <c r="EG29" i="80"/>
  <c r="EG30" i="80" s="1"/>
  <c r="EG403" i="80" s="1"/>
  <c r="EG418" i="80" s="1"/>
  <c r="H30" i="80"/>
  <c r="H403" i="80" s="1"/>
  <c r="H424" i="80" s="1"/>
  <c r="AF29" i="80"/>
  <c r="AF30" i="80" s="1"/>
  <c r="AF403" i="80" s="1"/>
  <c r="FL29" i="80"/>
  <c r="EV29" i="80"/>
  <c r="EV30" i="80" s="1"/>
  <c r="EV403" i="80" s="1"/>
  <c r="EV424" i="80" s="1"/>
  <c r="AN29" i="80"/>
  <c r="AN30" i="80" s="1"/>
  <c r="AN403" i="80" s="1"/>
  <c r="DX29" i="80"/>
  <c r="P29" i="80"/>
  <c r="P30" i="80" s="1"/>
  <c r="P403" i="80" s="1"/>
  <c r="CJ29" i="80"/>
  <c r="CJ30" i="80" s="1"/>
  <c r="CJ403" i="80" s="1"/>
  <c r="AV29" i="80"/>
  <c r="AV30" i="80" s="1"/>
  <c r="AV403" i="80" s="1"/>
  <c r="AV418" i="80" s="1"/>
  <c r="DH29" i="80"/>
  <c r="DH30" i="80" s="1"/>
  <c r="DH403" i="80" s="1"/>
  <c r="DH418" i="80" s="1"/>
  <c r="BT29" i="80"/>
  <c r="EF29" i="80"/>
  <c r="CS29" i="80"/>
  <c r="CS30" i="80" s="1"/>
  <c r="CS403" i="80" s="1"/>
  <c r="CR29" i="80"/>
  <c r="G403" i="79"/>
  <c r="G424" i="79" s="1"/>
  <c r="G418" i="79"/>
  <c r="FC30" i="80"/>
  <c r="EM30" i="80"/>
  <c r="EN29" i="80"/>
  <c r="DP29" i="80"/>
  <c r="DP30" i="80" s="1"/>
  <c r="DP403" i="80" s="1"/>
  <c r="DQ29" i="80"/>
  <c r="DQ30" i="80" s="1"/>
  <c r="DQ403" i="80" s="1"/>
  <c r="DO30" i="80"/>
  <c r="BD29" i="80"/>
  <c r="BE29" i="80"/>
  <c r="BE30" i="80" s="1"/>
  <c r="BE403" i="80" s="1"/>
  <c r="BK30" i="80"/>
  <c r="BM29" i="80"/>
  <c r="BM30" i="80" s="1"/>
  <c r="BM403" i="80" s="1"/>
  <c r="BL29" i="80"/>
  <c r="H124" i="85"/>
  <c r="J70" i="90" s="1"/>
  <c r="H124" i="79"/>
  <c r="H230" i="85"/>
  <c r="J131" i="90" s="1"/>
  <c r="H230" i="80"/>
  <c r="BT230" i="80" s="1"/>
  <c r="H230" i="79"/>
  <c r="BK22" i="79"/>
  <c r="BL22" i="79" s="1"/>
  <c r="BL398" i="79" s="1"/>
  <c r="EM22" i="79"/>
  <c r="EO22" i="79" s="1"/>
  <c r="EO398" i="79" s="1"/>
  <c r="FK22" i="79"/>
  <c r="FM22" i="79" s="1"/>
  <c r="FM398" i="79" s="1"/>
  <c r="BS22" i="79"/>
  <c r="BU22" i="79" s="1"/>
  <c r="BU398" i="79" s="1"/>
  <c r="EU22" i="79"/>
  <c r="EV22" i="79" s="1"/>
  <c r="G398" i="79"/>
  <c r="W22" i="79"/>
  <c r="AU22" i="79"/>
  <c r="AW22" i="79" s="1"/>
  <c r="AW398" i="79" s="1"/>
  <c r="AM22" i="79"/>
  <c r="AO22" i="79" s="1"/>
  <c r="AO398" i="79" s="1"/>
  <c r="CQ22" i="79"/>
  <c r="CS22" i="79" s="1"/>
  <c r="CS398" i="79" s="1"/>
  <c r="BC22" i="79"/>
  <c r="CA22" i="79"/>
  <c r="CC22" i="79" s="1"/>
  <c r="CC398" i="79" s="1"/>
  <c r="G26" i="79"/>
  <c r="DO22" i="79"/>
  <c r="DQ22" i="79" s="1"/>
  <c r="CI22" i="79"/>
  <c r="CJ22" i="79" s="1"/>
  <c r="O22" i="79"/>
  <c r="Q22" i="79" s="1"/>
  <c r="Q398" i="79" s="1"/>
  <c r="CY22" i="79"/>
  <c r="CZ22" i="79" s="1"/>
  <c r="DG22" i="79"/>
  <c r="DH22" i="79" s="1"/>
  <c r="AE22" i="79"/>
  <c r="AG22" i="79" s="1"/>
  <c r="AG398" i="79" s="1"/>
  <c r="EE22" i="79"/>
  <c r="EF22" i="79" s="1"/>
  <c r="EF398" i="79" s="1"/>
  <c r="CI418" i="80"/>
  <c r="CI424" i="80"/>
  <c r="FC16" i="79"/>
  <c r="FD16" i="79" s="1"/>
  <c r="AM16" i="79"/>
  <c r="AM410" i="79" s="1"/>
  <c r="W16" i="79"/>
  <c r="DO16" i="79"/>
  <c r="BS16" i="79"/>
  <c r="BS410" i="79" s="1"/>
  <c r="CY16" i="79"/>
  <c r="CQ16" i="79"/>
  <c r="EU16" i="79"/>
  <c r="O16" i="79"/>
  <c r="P16" i="79" s="1"/>
  <c r="P410" i="79" s="1"/>
  <c r="DW16" i="79"/>
  <c r="DY16" i="79" s="1"/>
  <c r="DY410" i="79" s="1"/>
  <c r="DY426" i="79" s="1"/>
  <c r="AU16" i="79"/>
  <c r="DG16" i="79"/>
  <c r="EM16" i="79"/>
  <c r="BK16" i="79"/>
  <c r="AE16" i="79"/>
  <c r="AE410" i="79" s="1"/>
  <c r="CI16" i="79"/>
  <c r="FK16" i="79"/>
  <c r="FK410" i="79" s="1"/>
  <c r="CQ424" i="80"/>
  <c r="CQ418" i="80"/>
  <c r="R309" i="79"/>
  <c r="DZ309" i="80"/>
  <c r="R253" i="80"/>
  <c r="Z307" i="80"/>
  <c r="AP270" i="80"/>
  <c r="D46" i="82"/>
  <c r="FF232" i="79"/>
  <c r="I398" i="80"/>
  <c r="EO22" i="80"/>
  <c r="EO398" i="80" s="1"/>
  <c r="Y22" i="80"/>
  <c r="H400" i="79"/>
  <c r="X24" i="80"/>
  <c r="X400" i="80" s="1"/>
  <c r="BL24" i="80"/>
  <c r="BL400" i="80" s="1"/>
  <c r="I398" i="79"/>
  <c r="FE22" i="79"/>
  <c r="FE398" i="79" s="1"/>
  <c r="FD22" i="79"/>
  <c r="FD398" i="79" s="1"/>
  <c r="I401" i="79"/>
  <c r="DY25" i="79"/>
  <c r="DY401" i="79" s="1"/>
  <c r="BM25" i="79"/>
  <c r="BM401" i="79" s="1"/>
  <c r="FE25" i="79"/>
  <c r="FE401" i="79" s="1"/>
  <c r="DA25" i="79"/>
  <c r="DA401" i="79" s="1"/>
  <c r="H398" i="80"/>
  <c r="CR22" i="80"/>
  <c r="CR398" i="80" s="1"/>
  <c r="EN22" i="80"/>
  <c r="EN398" i="80" s="1"/>
  <c r="X22" i="80"/>
  <c r="I401" i="80"/>
  <c r="BS17" i="80"/>
  <c r="AH180" i="80"/>
  <c r="BK17" i="80"/>
  <c r="EE17" i="80"/>
  <c r="G401" i="80"/>
  <c r="G402" i="80" s="1"/>
  <c r="DR307" i="80"/>
  <c r="AH309" i="80"/>
  <c r="H57" i="85"/>
  <c r="J23" i="90" s="1"/>
  <c r="H57" i="80"/>
  <c r="H57" i="79"/>
  <c r="J305" i="85"/>
  <c r="L169" i="90" s="1"/>
  <c r="J305" i="79"/>
  <c r="I96" i="79"/>
  <c r="I96" i="80"/>
  <c r="I252" i="85"/>
  <c r="K146" i="90" s="1"/>
  <c r="I252" i="80"/>
  <c r="I252" i="79"/>
  <c r="I200" i="85"/>
  <c r="K113" i="90" s="1"/>
  <c r="I200" i="80"/>
  <c r="FE200" i="80" s="1"/>
  <c r="BS17" i="79"/>
  <c r="CI17" i="79"/>
  <c r="AU17" i="79"/>
  <c r="EE17" i="79"/>
  <c r="AM17" i="79"/>
  <c r="FK17" i="79"/>
  <c r="W17" i="79"/>
  <c r="AE17" i="79"/>
  <c r="CQ17" i="79"/>
  <c r="O17" i="79"/>
  <c r="FC17" i="79"/>
  <c r="DW17" i="79"/>
  <c r="DO17" i="79"/>
  <c r="DG17" i="79"/>
  <c r="BK17" i="79"/>
  <c r="G19" i="79"/>
  <c r="CA17" i="79"/>
  <c r="EM17" i="79"/>
  <c r="CY17" i="79"/>
  <c r="BC17" i="79"/>
  <c r="AP253" i="80"/>
  <c r="AH309" i="79"/>
  <c r="AX309" i="79"/>
  <c r="BV268" i="80"/>
  <c r="EH309" i="79"/>
  <c r="AP181" i="79"/>
  <c r="DB309" i="80"/>
  <c r="AX294" i="79"/>
  <c r="FN294" i="79"/>
  <c r="DJ309" i="79"/>
  <c r="Q370" i="79"/>
  <c r="EG370" i="79"/>
  <c r="G47" i="35"/>
  <c r="G62" i="35" s="1"/>
  <c r="G47" i="82"/>
  <c r="G62" i="82" s="1"/>
  <c r="CD268" i="80"/>
  <c r="EX307" i="79"/>
  <c r="FC410" i="80"/>
  <c r="FE16" i="80"/>
  <c r="H47" i="80"/>
  <c r="H392" i="80" s="1"/>
  <c r="BV307" i="79"/>
  <c r="FF214" i="79"/>
  <c r="CD270" i="80"/>
  <c r="I214" i="85"/>
  <c r="K118" i="90" s="1"/>
  <c r="AE16" i="80"/>
  <c r="I121" i="79"/>
  <c r="I121" i="80"/>
  <c r="I214" i="80"/>
  <c r="G55" i="35"/>
  <c r="H370" i="85"/>
  <c r="J181" i="90" s="1"/>
  <c r="H375" i="79"/>
  <c r="CZ375" i="79" s="1"/>
  <c r="H375" i="80"/>
  <c r="BL375" i="80" s="1"/>
  <c r="R372" i="80"/>
  <c r="H199" i="80"/>
  <c r="DZ268" i="80"/>
  <c r="FN293" i="80"/>
  <c r="H70" i="79"/>
  <c r="H199" i="79"/>
  <c r="FD199" i="79" s="1"/>
  <c r="CT268" i="80"/>
  <c r="AH268" i="80"/>
  <c r="I130" i="85"/>
  <c r="K76" i="90" s="1"/>
  <c r="H92" i="80"/>
  <c r="AX294" i="80"/>
  <c r="AH270" i="80"/>
  <c r="I100" i="85"/>
  <c r="H143" i="85"/>
  <c r="H212" i="79"/>
  <c r="BL212" i="79" s="1"/>
  <c r="DJ307" i="80"/>
  <c r="BN307" i="80"/>
  <c r="N133" i="196"/>
  <c r="N79" i="196"/>
  <c r="K79" i="196"/>
  <c r="M79" i="196"/>
  <c r="F157" i="94"/>
  <c r="O157" i="94" s="1"/>
  <c r="E72" i="197"/>
  <c r="N156" i="94"/>
  <c r="L73" i="197" s="1"/>
  <c r="E73" i="197"/>
  <c r="J296" i="79"/>
  <c r="J296" i="80"/>
  <c r="J296" i="85"/>
  <c r="L166" i="90" s="1"/>
  <c r="J230" i="85"/>
  <c r="L131" i="90" s="1"/>
  <c r="J230" i="80"/>
  <c r="J230" i="79"/>
  <c r="I114" i="80"/>
  <c r="I114" i="79"/>
  <c r="EV370" i="80"/>
  <c r="R296" i="79"/>
  <c r="J65" i="80"/>
  <c r="DH370" i="80"/>
  <c r="I256" i="85"/>
  <c r="K150" i="90" s="1"/>
  <c r="I256" i="80"/>
  <c r="I256" i="79"/>
  <c r="EP270" i="80"/>
  <c r="CD253" i="80"/>
  <c r="AP268" i="80"/>
  <c r="AX307" i="79"/>
  <c r="H188" i="79"/>
  <c r="I73" i="85"/>
  <c r="K39" i="90" s="1"/>
  <c r="I73" i="79"/>
  <c r="I368" i="85"/>
  <c r="K179" i="90" s="1"/>
  <c r="J64" i="85"/>
  <c r="L30" i="90" s="1"/>
  <c r="J64" i="79"/>
  <c r="J64" i="80"/>
  <c r="H59" i="85"/>
  <c r="J25" i="90" s="1"/>
  <c r="H59" i="79"/>
  <c r="BF309" i="79"/>
  <c r="EX309" i="79"/>
  <c r="DR253" i="80"/>
  <c r="DB254" i="80"/>
  <c r="FN309" i="79"/>
  <c r="BN270" i="80"/>
  <c r="I130" i="79"/>
  <c r="FF309" i="79"/>
  <c r="FN270" i="80"/>
  <c r="AP294" i="79"/>
  <c r="CL253" i="80"/>
  <c r="J26" i="85"/>
  <c r="J143" i="85"/>
  <c r="CT309" i="80"/>
  <c r="EX268" i="80"/>
  <c r="I87" i="85"/>
  <c r="K42" i="90" s="1"/>
  <c r="I87" i="79"/>
  <c r="I87" i="80"/>
  <c r="I246" i="85"/>
  <c r="K140" i="90" s="1"/>
  <c r="I246" i="80"/>
  <c r="EG246" i="80" s="1"/>
  <c r="I47" i="26"/>
  <c r="I206" i="79"/>
  <c r="I206" i="85"/>
  <c r="H126" i="80"/>
  <c r="H126" i="79"/>
  <c r="H67" i="80"/>
  <c r="J142" i="79"/>
  <c r="H113" i="79"/>
  <c r="H305" i="80"/>
  <c r="FL305" i="80" s="1"/>
  <c r="J279" i="85"/>
  <c r="L159" i="90" s="1"/>
  <c r="EN370" i="80"/>
  <c r="BD370" i="80"/>
  <c r="J307" i="79"/>
  <c r="I206" i="80"/>
  <c r="J69" i="79"/>
  <c r="J69" i="85"/>
  <c r="L35" i="90" s="1"/>
  <c r="CB370" i="80"/>
  <c r="FL370" i="80"/>
  <c r="CJ370" i="80"/>
  <c r="H67" i="85"/>
  <c r="J33" i="90" s="1"/>
  <c r="J150" i="85"/>
  <c r="L88" i="90" s="1"/>
  <c r="J150" i="79"/>
  <c r="G44" i="82"/>
  <c r="G46" i="82" s="1"/>
  <c r="I140" i="85"/>
  <c r="K80" i="90" s="1"/>
  <c r="G44" i="35"/>
  <c r="AX372" i="80"/>
  <c r="P370" i="80"/>
  <c r="I279" i="79"/>
  <c r="J188" i="80"/>
  <c r="J188" i="85"/>
  <c r="L105" i="90" s="1"/>
  <c r="J188" i="79"/>
  <c r="I140" i="79"/>
  <c r="BL370" i="80"/>
  <c r="I279" i="85"/>
  <c r="K159" i="90" s="1"/>
  <c r="H126" i="85"/>
  <c r="J72" i="90" s="1"/>
  <c r="I61" i="85"/>
  <c r="K27" i="90" s="1"/>
  <c r="I61" i="80"/>
  <c r="I61" i="79"/>
  <c r="I57" i="85"/>
  <c r="K23" i="90" s="1"/>
  <c r="I57" i="80"/>
  <c r="I57" i="79"/>
  <c r="H58" i="85"/>
  <c r="J24" i="90" s="1"/>
  <c r="H58" i="80"/>
  <c r="H58" i="79"/>
  <c r="I123" i="85"/>
  <c r="K69" i="90" s="1"/>
  <c r="I123" i="79"/>
  <c r="I123" i="80"/>
  <c r="I192" i="79"/>
  <c r="X370" i="80"/>
  <c r="J177" i="80"/>
  <c r="H193" i="80"/>
  <c r="EF193" i="80" s="1"/>
  <c r="J254" i="79"/>
  <c r="J254" i="85"/>
  <c r="L148" i="90" s="1"/>
  <c r="J126" i="79"/>
  <c r="J126" i="80"/>
  <c r="J126" i="85"/>
  <c r="L72" i="90" s="1"/>
  <c r="I109" i="85"/>
  <c r="K58" i="90" s="1"/>
  <c r="I109" i="79"/>
  <c r="I192" i="85"/>
  <c r="K108" i="90" s="1"/>
  <c r="J24" i="80"/>
  <c r="J400" i="80" s="1"/>
  <c r="H150" i="80"/>
  <c r="I291" i="80"/>
  <c r="I291" i="79"/>
  <c r="J177" i="85"/>
  <c r="L97" i="90" s="1"/>
  <c r="J17" i="80"/>
  <c r="J411" i="80" s="1"/>
  <c r="J427" i="80" s="1"/>
  <c r="J17" i="85"/>
  <c r="L3" i="90" s="1"/>
  <c r="J29" i="79"/>
  <c r="J30" i="79" s="1"/>
  <c r="J29" i="80"/>
  <c r="J30" i="80" s="1"/>
  <c r="J403" i="80" s="1"/>
  <c r="J205" i="85"/>
  <c r="J205" i="80"/>
  <c r="J205" i="79"/>
  <c r="J207" i="79" s="1"/>
  <c r="J189" i="85"/>
  <c r="L106" i="90" s="1"/>
  <c r="J189" i="80"/>
  <c r="J189" i="79"/>
  <c r="I33" i="85"/>
  <c r="F48" i="35"/>
  <c r="F63" i="35" s="1"/>
  <c r="F64" i="35" s="1"/>
  <c r="I33" i="79"/>
  <c r="I33" i="80"/>
  <c r="I254" i="85"/>
  <c r="K148" i="90" s="1"/>
  <c r="I254" i="80"/>
  <c r="I254" i="79"/>
  <c r="I229" i="85"/>
  <c r="K130" i="90" s="1"/>
  <c r="I229" i="80"/>
  <c r="I229" i="79"/>
  <c r="DI229" i="79" s="1"/>
  <c r="H192" i="85"/>
  <c r="J108" i="90" s="1"/>
  <c r="H192" i="79"/>
  <c r="EN192" i="79" s="1"/>
  <c r="H176" i="85"/>
  <c r="J96" i="90" s="1"/>
  <c r="H176" i="80"/>
  <c r="FL176" i="80" s="1"/>
  <c r="H256" i="85"/>
  <c r="J150" i="90" s="1"/>
  <c r="H256" i="79"/>
  <c r="AV256" i="79" s="1"/>
  <c r="H61" i="85"/>
  <c r="J27" i="90" s="1"/>
  <c r="H61" i="80"/>
  <c r="H61" i="79"/>
  <c r="J57" i="85"/>
  <c r="L23" i="90" s="1"/>
  <c r="J57" i="79"/>
  <c r="J59" i="85"/>
  <c r="L25" i="90" s="1"/>
  <c r="J59" i="79"/>
  <c r="J73" i="85"/>
  <c r="L39" i="90" s="1"/>
  <c r="J73" i="80"/>
  <c r="J73" i="79"/>
  <c r="FN226" i="80"/>
  <c r="H176" i="79"/>
  <c r="EV176" i="79" s="1"/>
  <c r="I75" i="80"/>
  <c r="Z253" i="80"/>
  <c r="CT70" i="79"/>
  <c r="Z296" i="79"/>
  <c r="BN309" i="80"/>
  <c r="FN232" i="80"/>
  <c r="AP309" i="79"/>
  <c r="DZ309" i="79"/>
  <c r="J34" i="80"/>
  <c r="I280" i="85"/>
  <c r="K160" i="90" s="1"/>
  <c r="I280" i="80"/>
  <c r="AO280" i="80" s="1"/>
  <c r="I280" i="79"/>
  <c r="BE280" i="79" s="1"/>
  <c r="I124" i="85"/>
  <c r="K70" i="90" s="1"/>
  <c r="I124" i="79"/>
  <c r="I99" i="85"/>
  <c r="K51" i="90" s="1"/>
  <c r="I99" i="80"/>
  <c r="I180" i="80"/>
  <c r="I180" i="79"/>
  <c r="I180" i="85"/>
  <c r="K99" i="90" s="1"/>
  <c r="H293" i="79"/>
  <c r="H293" i="85"/>
  <c r="J163" i="90" s="1"/>
  <c r="H142" i="85"/>
  <c r="J82" i="90" s="1"/>
  <c r="H142" i="80"/>
  <c r="H103" i="79"/>
  <c r="H103" i="80"/>
  <c r="H103" i="85"/>
  <c r="J52" i="90" s="1"/>
  <c r="H89" i="85"/>
  <c r="J44" i="90" s="1"/>
  <c r="H89" i="79"/>
  <c r="H247" i="79"/>
  <c r="FL247" i="79" s="1"/>
  <c r="H247" i="85"/>
  <c r="J141" i="90" s="1"/>
  <c r="H247" i="80"/>
  <c r="EN247" i="80" s="1"/>
  <c r="EP247" i="80" s="1"/>
  <c r="EP268" i="80"/>
  <c r="J201" i="85"/>
  <c r="L114" i="90" s="1"/>
  <c r="J201" i="79"/>
  <c r="J201" i="80"/>
  <c r="EP372" i="80"/>
  <c r="BV253" i="80"/>
  <c r="I124" i="80"/>
  <c r="I246" i="79"/>
  <c r="EH268" i="80"/>
  <c r="H142" i="79"/>
  <c r="H293" i="80"/>
  <c r="Z214" i="80"/>
  <c r="BV309" i="79"/>
  <c r="H89" i="80"/>
  <c r="N595" i="96"/>
  <c r="N599" i="96"/>
  <c r="H605" i="96"/>
  <c r="N605" i="96" s="1"/>
  <c r="N591" i="96"/>
  <c r="I605" i="96"/>
  <c r="O605" i="96" s="1"/>
  <c r="L591" i="96"/>
  <c r="G605" i="96"/>
  <c r="M605" i="96" s="1"/>
  <c r="H582" i="96"/>
  <c r="G604" i="96"/>
  <c r="N594" i="96"/>
  <c r="N596" i="96"/>
  <c r="P596" i="96" s="1"/>
  <c r="N598" i="96"/>
  <c r="P598" i="96" s="1"/>
  <c r="N602" i="96"/>
  <c r="P602" i="96" s="1"/>
  <c r="M593" i="96"/>
  <c r="P593" i="96" s="1"/>
  <c r="I582" i="96"/>
  <c r="O586" i="96"/>
  <c r="O589" i="96"/>
  <c r="H210" i="80"/>
  <c r="EN210" i="80" s="1"/>
  <c r="H210" i="85"/>
  <c r="J115" i="90" s="1"/>
  <c r="H210" i="79"/>
  <c r="H232" i="80"/>
  <c r="H177" i="85"/>
  <c r="J97" i="90" s="1"/>
  <c r="H177" i="80"/>
  <c r="BT177" i="80" s="1"/>
  <c r="H193" i="79"/>
  <c r="EV193" i="79" s="1"/>
  <c r="H232" i="79"/>
  <c r="H189" i="80"/>
  <c r="AF189" i="80" s="1"/>
  <c r="H177" i="79"/>
  <c r="DP177" i="79" s="1"/>
  <c r="DQ373" i="80"/>
  <c r="FE373" i="80"/>
  <c r="DY373" i="80"/>
  <c r="EW373" i="80"/>
  <c r="CC373" i="80"/>
  <c r="J404" i="79"/>
  <c r="J425" i="79" s="1"/>
  <c r="H87" i="85"/>
  <c r="J42" i="90" s="1"/>
  <c r="H87" i="80"/>
  <c r="H87" i="79"/>
  <c r="H246" i="85"/>
  <c r="J140" i="90" s="1"/>
  <c r="H246" i="80"/>
  <c r="DH246" i="80" s="1"/>
  <c r="J58" i="85"/>
  <c r="L24" i="90" s="1"/>
  <c r="J58" i="80"/>
  <c r="J58" i="79"/>
  <c r="I29" i="85"/>
  <c r="K9" i="90" s="1"/>
  <c r="I29" i="79"/>
  <c r="J213" i="85"/>
  <c r="L119" i="90" s="1"/>
  <c r="J213" i="79"/>
  <c r="J145" i="79"/>
  <c r="J145" i="80"/>
  <c r="J145" i="85"/>
  <c r="L83" i="90" s="1"/>
  <c r="EH106" i="79"/>
  <c r="CL293" i="79"/>
  <c r="FN270" i="79"/>
  <c r="CD307" i="80"/>
  <c r="DB268" i="80"/>
  <c r="Z309" i="79"/>
  <c r="CL309" i="79"/>
  <c r="Z270" i="80"/>
  <c r="EH307" i="79"/>
  <c r="FN253" i="80"/>
  <c r="DR309" i="79"/>
  <c r="FN182" i="79"/>
  <c r="AX268" i="80"/>
  <c r="DZ214" i="79"/>
  <c r="I451" i="91"/>
  <c r="G451" i="91"/>
  <c r="G471" i="91"/>
  <c r="G470" i="91"/>
  <c r="H472" i="91"/>
  <c r="CT293" i="79"/>
  <c r="CD293" i="79"/>
  <c r="J34" i="79"/>
  <c r="J47" i="79"/>
  <c r="J392" i="79" s="1"/>
  <c r="I213" i="85"/>
  <c r="K119" i="90" s="1"/>
  <c r="I213" i="80"/>
  <c r="EO213" i="80" s="1"/>
  <c r="I213" i="79"/>
  <c r="CK213" i="79" s="1"/>
  <c r="H71" i="85"/>
  <c r="J37" i="90" s="1"/>
  <c r="H71" i="79"/>
  <c r="H71" i="80"/>
  <c r="CL307" i="80"/>
  <c r="J370" i="80"/>
  <c r="DB370" i="80" s="1"/>
  <c r="J365" i="85"/>
  <c r="L176" i="90" s="1"/>
  <c r="I59" i="85"/>
  <c r="K25" i="90" s="1"/>
  <c r="I59" i="79"/>
  <c r="H73" i="85"/>
  <c r="J39" i="90" s="1"/>
  <c r="H73" i="80"/>
  <c r="J87" i="85"/>
  <c r="L42" i="90" s="1"/>
  <c r="J87" i="80"/>
  <c r="J252" i="85"/>
  <c r="L146" i="90" s="1"/>
  <c r="J252" i="79"/>
  <c r="DJ253" i="80"/>
  <c r="EP309" i="79"/>
  <c r="R270" i="80"/>
  <c r="DJ268" i="80"/>
  <c r="R268" i="80"/>
  <c r="DB309" i="79"/>
  <c r="H256" i="80"/>
  <c r="H62" i="79"/>
  <c r="I305" i="79"/>
  <c r="I305" i="80"/>
  <c r="BE305" i="80" s="1"/>
  <c r="H62" i="80"/>
  <c r="J68" i="85"/>
  <c r="L34" i="90" s="1"/>
  <c r="J68" i="80"/>
  <c r="J68" i="79"/>
  <c r="J176" i="85"/>
  <c r="L96" i="90" s="1"/>
  <c r="J176" i="79"/>
  <c r="J176" i="80"/>
  <c r="DZ307" i="79"/>
  <c r="W77" i="94"/>
  <c r="BN232" i="80"/>
  <c r="J150" i="80"/>
  <c r="BF294" i="79"/>
  <c r="J151" i="80"/>
  <c r="J305" i="80"/>
  <c r="J151" i="79"/>
  <c r="Z293" i="79"/>
  <c r="H189" i="79"/>
  <c r="DH189" i="79" s="1"/>
  <c r="E47" i="82"/>
  <c r="E62" i="82" s="1"/>
  <c r="F35" i="35"/>
  <c r="I47" i="79"/>
  <c r="I392" i="79" s="1"/>
  <c r="I47" i="80"/>
  <c r="I392" i="80" s="1"/>
  <c r="F35" i="82"/>
  <c r="I47" i="85"/>
  <c r="K21" i="90" s="1"/>
  <c r="CL372" i="80"/>
  <c r="DB372" i="80"/>
  <c r="BE373" i="80"/>
  <c r="FM373" i="80"/>
  <c r="AW373" i="80"/>
  <c r="AV370" i="80"/>
  <c r="AF370" i="80"/>
  <c r="EF370" i="80"/>
  <c r="BT370" i="80"/>
  <c r="FD370" i="80"/>
  <c r="DX370" i="80"/>
  <c r="CR370" i="80"/>
  <c r="DZ181" i="80"/>
  <c r="AH253" i="80"/>
  <c r="M69" i="98"/>
  <c r="AP211" i="79"/>
  <c r="R309" i="80"/>
  <c r="DJ307" i="79"/>
  <c r="EP294" i="80"/>
  <c r="CL307" i="79"/>
  <c r="CL268" i="80"/>
  <c r="CD307" i="79"/>
  <c r="EH296" i="79"/>
  <c r="I99" i="79"/>
  <c r="M98" i="98"/>
  <c r="J427" i="79"/>
  <c r="F47" i="82"/>
  <c r="F62" i="82" s="1"/>
  <c r="H400" i="80"/>
  <c r="Z372" i="80"/>
  <c r="I426" i="79"/>
  <c r="G48" i="82"/>
  <c r="G63" i="82" s="1"/>
  <c r="CT372" i="80"/>
  <c r="BN270" i="79"/>
  <c r="Z307" i="79"/>
  <c r="O75" i="98"/>
  <c r="AX270" i="80"/>
  <c r="T176" i="94"/>
  <c r="J293" i="79"/>
  <c r="J293" i="80"/>
  <c r="J293" i="85"/>
  <c r="L163" i="90" s="1"/>
  <c r="J123" i="85"/>
  <c r="L69" i="90" s="1"/>
  <c r="J123" i="80"/>
  <c r="J123" i="79"/>
  <c r="J178" i="80"/>
  <c r="J178" i="85"/>
  <c r="L98" i="90" s="1"/>
  <c r="J178" i="79"/>
  <c r="H213" i="79"/>
  <c r="H55" i="26"/>
  <c r="D18" i="32" s="1"/>
  <c r="H213" i="80"/>
  <c r="FL213" i="80" s="1"/>
  <c r="H213" i="85"/>
  <c r="J119" i="90" s="1"/>
  <c r="H195" i="80"/>
  <c r="CJ195" i="80" s="1"/>
  <c r="H195" i="85"/>
  <c r="J111" i="90" s="1"/>
  <c r="H181" i="79"/>
  <c r="H181" i="85"/>
  <c r="J100" i="90" s="1"/>
  <c r="H181" i="80"/>
  <c r="R7" i="35"/>
  <c r="R7" i="82"/>
  <c r="J100" i="80"/>
  <c r="I194" i="79"/>
  <c r="Q194" i="79" s="1"/>
  <c r="I182" i="85"/>
  <c r="K101" i="90" s="1"/>
  <c r="I182" i="80"/>
  <c r="H123" i="85"/>
  <c r="J69" i="90" s="1"/>
  <c r="H123" i="80"/>
  <c r="H123" i="79"/>
  <c r="H33" i="85"/>
  <c r="H33" i="80"/>
  <c r="I245" i="80"/>
  <c r="Y245" i="80" s="1"/>
  <c r="I245" i="85"/>
  <c r="K139" i="90" s="1"/>
  <c r="I245" i="79"/>
  <c r="I230" i="85"/>
  <c r="K131" i="90" s="1"/>
  <c r="I230" i="80"/>
  <c r="BU230" i="80" s="1"/>
  <c r="I230" i="79"/>
  <c r="I64" i="85"/>
  <c r="K30" i="90" s="1"/>
  <c r="I64" i="80"/>
  <c r="I64" i="79"/>
  <c r="Z309" i="80"/>
  <c r="CL270" i="79"/>
  <c r="DR268" i="80"/>
  <c r="J297" i="79"/>
  <c r="J297" i="80"/>
  <c r="I24" i="85"/>
  <c r="K7" i="90" s="1"/>
  <c r="F44" i="35"/>
  <c r="F44" i="82"/>
  <c r="F46" i="82" s="1"/>
  <c r="I24" i="80"/>
  <c r="I24" i="79"/>
  <c r="J62" i="85"/>
  <c r="J62" i="79"/>
  <c r="I90" i="79"/>
  <c r="I90" i="85"/>
  <c r="K45" i="90" s="1"/>
  <c r="I90" i="80"/>
  <c r="T86" i="96"/>
  <c r="T79" i="96"/>
  <c r="T44" i="96"/>
  <c r="CD270" i="79"/>
  <c r="AH270" i="79"/>
  <c r="J278" i="79"/>
  <c r="J278" i="80"/>
  <c r="I309" i="79"/>
  <c r="I309" i="80"/>
  <c r="I212" i="85"/>
  <c r="K116" i="90" s="1"/>
  <c r="I212" i="79"/>
  <c r="I212" i="80"/>
  <c r="DI212" i="80" s="1"/>
  <c r="W84" i="94"/>
  <c r="W73" i="94"/>
  <c r="W41" i="94"/>
  <c r="DJ293" i="79"/>
  <c r="CD309" i="80"/>
  <c r="AP307" i="79"/>
  <c r="DB270" i="80"/>
  <c r="O37" i="98"/>
  <c r="H212" i="85"/>
  <c r="J116" i="90" s="1"/>
  <c r="O51" i="98"/>
  <c r="M56" i="98"/>
  <c r="J425" i="80"/>
  <c r="J419" i="80"/>
  <c r="H398" i="79"/>
  <c r="BV372" i="80"/>
  <c r="CD372" i="80"/>
  <c r="DR372" i="80"/>
  <c r="EX372" i="80"/>
  <c r="DZ372" i="80"/>
  <c r="BN372" i="80"/>
  <c r="BF372" i="80"/>
  <c r="DJ372" i="80"/>
  <c r="AP372" i="80"/>
  <c r="AH372" i="80"/>
  <c r="EH372" i="80"/>
  <c r="FN372" i="80"/>
  <c r="G55" i="82"/>
  <c r="BN307" i="79"/>
  <c r="CT253" i="80"/>
  <c r="DJ270" i="80"/>
  <c r="N45" i="98"/>
  <c r="N62" i="98"/>
  <c r="V137" i="100"/>
  <c r="U44" i="94"/>
  <c r="W79" i="94"/>
  <c r="U44" i="96"/>
  <c r="U79" i="96"/>
  <c r="U113" i="96"/>
  <c r="N38" i="98"/>
  <c r="O45" i="98"/>
  <c r="O63" i="98"/>
  <c r="N69" i="98"/>
  <c r="T144" i="100"/>
  <c r="FF270" i="80"/>
  <c r="V44" i="94"/>
  <c r="U85" i="94"/>
  <c r="S48" i="96"/>
  <c r="S85" i="96"/>
  <c r="T124" i="96"/>
  <c r="O38" i="98"/>
  <c r="O47" i="98"/>
  <c r="N58" i="98"/>
  <c r="N64" i="98"/>
  <c r="O69" i="98"/>
  <c r="T167" i="100"/>
  <c r="I96" i="85"/>
  <c r="K48" i="90" s="1"/>
  <c r="W46" i="94"/>
  <c r="S39" i="96"/>
  <c r="S52" i="96"/>
  <c r="U86" i="96"/>
  <c r="U124" i="96"/>
  <c r="N41" i="98"/>
  <c r="N48" i="98"/>
  <c r="O58" i="98"/>
  <c r="O64" i="98"/>
  <c r="N70" i="98"/>
  <c r="T173" i="100"/>
  <c r="I305" i="85"/>
  <c r="K169" i="90" s="1"/>
  <c r="W67" i="94"/>
  <c r="U47" i="94"/>
  <c r="V95" i="94"/>
  <c r="T41" i="96"/>
  <c r="S61" i="96"/>
  <c r="S87" i="96"/>
  <c r="O41" i="98"/>
  <c r="O48" i="98"/>
  <c r="N59" i="98"/>
  <c r="N66" i="98"/>
  <c r="O71" i="98"/>
  <c r="T121" i="100"/>
  <c r="T200" i="100"/>
  <c r="W63" i="94"/>
  <c r="W95" i="94"/>
  <c r="U41" i="96"/>
  <c r="S69" i="96"/>
  <c r="S93" i="96"/>
  <c r="M42" i="98"/>
  <c r="N50" i="98"/>
  <c r="O59" i="98"/>
  <c r="O66" i="98"/>
  <c r="N72" i="98"/>
  <c r="T124" i="100"/>
  <c r="EX270" i="79"/>
  <c r="V68" i="94"/>
  <c r="T42" i="96"/>
  <c r="U70" i="96"/>
  <c r="S104" i="96"/>
  <c r="N42" i="98"/>
  <c r="O50" i="98"/>
  <c r="N61" i="98"/>
  <c r="N67" i="98"/>
  <c r="O72" i="98"/>
  <c r="V134" i="100"/>
  <c r="I309" i="85"/>
  <c r="K173" i="90" s="1"/>
  <c r="J278" i="85"/>
  <c r="L158" i="90" s="1"/>
  <c r="V41" i="94"/>
  <c r="W70" i="94"/>
  <c r="W103" i="94"/>
  <c r="U42" i="96"/>
  <c r="S77" i="96"/>
  <c r="S109" i="96"/>
  <c r="O42" i="98"/>
  <c r="N51" i="98"/>
  <c r="O61" i="98"/>
  <c r="O67" i="98"/>
  <c r="N75" i="98"/>
  <c r="U137" i="100"/>
  <c r="G63" i="35"/>
  <c r="AO373" i="80"/>
  <c r="EO373" i="80"/>
  <c r="CK373" i="80"/>
  <c r="Q373" i="80"/>
  <c r="DI373" i="80"/>
  <c r="BT372" i="79"/>
  <c r="CR372" i="79"/>
  <c r="CB372" i="79"/>
  <c r="L10" i="90"/>
  <c r="L28" i="90"/>
  <c r="FN293" i="79"/>
  <c r="AX374" i="79"/>
  <c r="H373" i="80"/>
  <c r="H368" i="85"/>
  <c r="J179" i="90" s="1"/>
  <c r="CD211" i="79"/>
  <c r="BF293" i="79"/>
  <c r="DR293" i="79"/>
  <c r="U123" i="96"/>
  <c r="U91" i="96"/>
  <c r="U104" i="96"/>
  <c r="U48" i="96"/>
  <c r="U109" i="96"/>
  <c r="U93" i="96"/>
  <c r="U85" i="96"/>
  <c r="U77" i="96"/>
  <c r="U69" i="96"/>
  <c r="U61" i="96"/>
  <c r="U89" i="96"/>
  <c r="U105" i="96"/>
  <c r="U87" i="96"/>
  <c r="U49" i="96"/>
  <c r="AP293" i="79"/>
  <c r="U75" i="96"/>
  <c r="U88" i="96"/>
  <c r="U72" i="96"/>
  <c r="U40" i="96"/>
  <c r="U53" i="96"/>
  <c r="U76" i="96"/>
  <c r="U63" i="96"/>
  <c r="U38" i="96"/>
  <c r="U122" i="96"/>
  <c r="U84" i="96"/>
  <c r="U46" i="96"/>
  <c r="U100" i="96"/>
  <c r="U74" i="96"/>
  <c r="U95" i="96"/>
  <c r="U52" i="96"/>
  <c r="U39" i="96"/>
  <c r="U73" i="96"/>
  <c r="J253" i="79"/>
  <c r="J253" i="85"/>
  <c r="L147" i="90" s="1"/>
  <c r="H245" i="85"/>
  <c r="J139" i="90" s="1"/>
  <c r="H245" i="80"/>
  <c r="BL245" i="80" s="1"/>
  <c r="AX309" i="80"/>
  <c r="J294" i="79"/>
  <c r="J294" i="85"/>
  <c r="L164" i="90" s="1"/>
  <c r="U80" i="94"/>
  <c r="V79" i="94"/>
  <c r="V46" i="94"/>
  <c r="V84" i="94"/>
  <c r="V75" i="94"/>
  <c r="V89" i="94"/>
  <c r="V61" i="94"/>
  <c r="V47" i="94"/>
  <c r="V73" i="94"/>
  <c r="T177" i="94"/>
  <c r="U100" i="94"/>
  <c r="U97" i="94"/>
  <c r="U102" i="94"/>
  <c r="U95" i="94"/>
  <c r="U103" i="94"/>
  <c r="U63" i="94"/>
  <c r="U98" i="94"/>
  <c r="U66" i="94"/>
  <c r="U51" i="94"/>
  <c r="U38" i="94"/>
  <c r="U72" i="94"/>
  <c r="U40" i="94"/>
  <c r="U101" i="94"/>
  <c r="U96" i="94"/>
  <c r="U74" i="94"/>
  <c r="U50" i="94"/>
  <c r="U99" i="94"/>
  <c r="U68" i="94"/>
  <c r="U39" i="94"/>
  <c r="T175" i="94"/>
  <c r="U104" i="94"/>
  <c r="T46" i="96"/>
  <c r="T38" i="96"/>
  <c r="T75" i="96"/>
  <c r="T88" i="96"/>
  <c r="T72" i="96"/>
  <c r="T40" i="96"/>
  <c r="T123" i="96"/>
  <c r="T91" i="96"/>
  <c r="T104" i="96"/>
  <c r="T48" i="96"/>
  <c r="T73" i="96"/>
  <c r="T85" i="96"/>
  <c r="T196" i="100"/>
  <c r="T179" i="100"/>
  <c r="T170" i="100"/>
  <c r="T40" i="100"/>
  <c r="T222" i="100" s="1"/>
  <c r="T191" i="100"/>
  <c r="T176" i="100"/>
  <c r="T165" i="100"/>
  <c r="T152" i="100"/>
  <c r="T143" i="100"/>
  <c r="T185" i="100"/>
  <c r="T172" i="100"/>
  <c r="T160" i="100"/>
  <c r="T149" i="100"/>
  <c r="T131" i="100"/>
  <c r="T195" i="100"/>
  <c r="T178" i="100"/>
  <c r="T169" i="100"/>
  <c r="T155" i="100"/>
  <c r="T126" i="100"/>
  <c r="T37" i="100"/>
  <c r="T221" i="100" s="1"/>
  <c r="T188" i="100"/>
  <c r="T175" i="100"/>
  <c r="T151" i="100"/>
  <c r="T142" i="100"/>
  <c r="T183" i="100"/>
  <c r="T171" i="100"/>
  <c r="T192" i="100"/>
  <c r="T177" i="100"/>
  <c r="T154" i="100"/>
  <c r="T187" i="100"/>
  <c r="T163" i="100"/>
  <c r="T150" i="100"/>
  <c r="T141" i="100"/>
  <c r="T132" i="100"/>
  <c r="V128" i="100"/>
  <c r="V199" i="100"/>
  <c r="V120" i="100"/>
  <c r="V204" i="100"/>
  <c r="V122" i="100"/>
  <c r="V198" i="100"/>
  <c r="V148" i="100"/>
  <c r="V119" i="100"/>
  <c r="V206" i="100"/>
  <c r="V167" i="100"/>
  <c r="V144" i="100"/>
  <c r="V124" i="100"/>
  <c r="V200" i="100"/>
  <c r="V173" i="100"/>
  <c r="V121" i="100"/>
  <c r="V209" i="100"/>
  <c r="V147" i="100"/>
  <c r="V129" i="100"/>
  <c r="V205" i="100"/>
  <c r="V123" i="100"/>
  <c r="T39" i="96"/>
  <c r="T52" i="96"/>
  <c r="T77" i="96"/>
  <c r="S95" i="96"/>
  <c r="M48" i="98"/>
  <c r="N56" i="98"/>
  <c r="M61" i="98"/>
  <c r="U191" i="100"/>
  <c r="U176" i="100"/>
  <c r="U165" i="100"/>
  <c r="U152" i="100"/>
  <c r="U143" i="100"/>
  <c r="U185" i="100"/>
  <c r="U172" i="100"/>
  <c r="U160" i="100"/>
  <c r="U149" i="100"/>
  <c r="U131" i="100"/>
  <c r="U195" i="100"/>
  <c r="U178" i="100"/>
  <c r="U169" i="100"/>
  <c r="U155" i="100"/>
  <c r="U126" i="100"/>
  <c r="U37" i="100"/>
  <c r="U221" i="100" s="1"/>
  <c r="U188" i="100"/>
  <c r="U175" i="100"/>
  <c r="U151" i="100"/>
  <c r="U142" i="100"/>
  <c r="U183" i="100"/>
  <c r="U171" i="100"/>
  <c r="U192" i="100"/>
  <c r="U177" i="100"/>
  <c r="U154" i="100"/>
  <c r="U187" i="100"/>
  <c r="U163" i="100"/>
  <c r="U150" i="100"/>
  <c r="U141" i="100"/>
  <c r="U132" i="100"/>
  <c r="U196" i="100"/>
  <c r="U179" i="100"/>
  <c r="U170" i="100"/>
  <c r="U40" i="100"/>
  <c r="U222" i="100" s="1"/>
  <c r="V97" i="94"/>
  <c r="V102" i="94"/>
  <c r="V99" i="94"/>
  <c r="U37" i="94"/>
  <c r="V39" i="94"/>
  <c r="U42" i="94"/>
  <c r="W44" i="94"/>
  <c r="V64" i="94"/>
  <c r="W68" i="94"/>
  <c r="V80" i="94"/>
  <c r="W85" i="94"/>
  <c r="V104" i="94"/>
  <c r="S113" i="96"/>
  <c r="S41" i="96"/>
  <c r="S86" i="96"/>
  <c r="S70" i="96"/>
  <c r="S43" i="96"/>
  <c r="S37" i="96"/>
  <c r="T69" i="96"/>
  <c r="S74" i="96"/>
  <c r="T95" i="96"/>
  <c r="S100" i="96"/>
  <c r="M75" i="98"/>
  <c r="M66" i="98"/>
  <c r="M58" i="98"/>
  <c r="M50" i="98"/>
  <c r="M41" i="98"/>
  <c r="M71" i="98"/>
  <c r="M63" i="98"/>
  <c r="M47" i="98"/>
  <c r="M37" i="98"/>
  <c r="M68" i="98"/>
  <c r="M60" i="98"/>
  <c r="M52" i="98"/>
  <c r="M43" i="98"/>
  <c r="M96" i="98"/>
  <c r="M38" i="98"/>
  <c r="M53" i="98"/>
  <c r="O56" i="98"/>
  <c r="M65" i="98"/>
  <c r="V185" i="100"/>
  <c r="V172" i="100"/>
  <c r="V160" i="100"/>
  <c r="V149" i="100"/>
  <c r="V131" i="100"/>
  <c r="V195" i="100"/>
  <c r="V178" i="100"/>
  <c r="V169" i="100"/>
  <c r="V155" i="100"/>
  <c r="V126" i="100"/>
  <c r="V37" i="100"/>
  <c r="V221" i="100" s="1"/>
  <c r="V188" i="100"/>
  <c r="V175" i="100"/>
  <c r="V151" i="100"/>
  <c r="V142" i="100"/>
  <c r="V183" i="100"/>
  <c r="V171" i="100"/>
  <c r="V192" i="100"/>
  <c r="V177" i="100"/>
  <c r="V154" i="100"/>
  <c r="V187" i="100"/>
  <c r="V163" i="100"/>
  <c r="V150" i="100"/>
  <c r="V141" i="100"/>
  <c r="V132" i="100"/>
  <c r="V196" i="100"/>
  <c r="V179" i="100"/>
  <c r="V170" i="100"/>
  <c r="V40" i="100"/>
  <c r="V222" i="100" s="1"/>
  <c r="V191" i="100"/>
  <c r="V176" i="100"/>
  <c r="V165" i="100"/>
  <c r="V152" i="100"/>
  <c r="V143" i="100"/>
  <c r="W102" i="94"/>
  <c r="W99" i="94"/>
  <c r="W104" i="94"/>
  <c r="W96" i="94"/>
  <c r="V37" i="94"/>
  <c r="W39" i="94"/>
  <c r="V42" i="94"/>
  <c r="W47" i="94"/>
  <c r="V50" i="94"/>
  <c r="U61" i="94"/>
  <c r="W64" i="94"/>
  <c r="V74" i="94"/>
  <c r="W80" i="94"/>
  <c r="U89" i="94"/>
  <c r="V96" i="94"/>
  <c r="W105" i="94"/>
  <c r="S603" i="96"/>
  <c r="S40" i="96"/>
  <c r="T49" i="96"/>
  <c r="S53" i="96"/>
  <c r="T61" i="96"/>
  <c r="T74" i="96"/>
  <c r="S79" i="96"/>
  <c r="T87" i="96"/>
  <c r="T100" i="96"/>
  <c r="M97" i="98"/>
  <c r="M45" i="98"/>
  <c r="N53" i="98"/>
  <c r="M57" i="98"/>
  <c r="M70" i="98"/>
  <c r="T137" i="100"/>
  <c r="T134" i="100"/>
  <c r="T139" i="100"/>
  <c r="T136" i="100"/>
  <c r="T133" i="100"/>
  <c r="T138" i="100"/>
  <c r="T135" i="100"/>
  <c r="W37" i="94"/>
  <c r="W42" i="94"/>
  <c r="W50" i="94"/>
  <c r="V65" i="94"/>
  <c r="W74" i="94"/>
  <c r="U81" i="94"/>
  <c r="U93" i="94"/>
  <c r="W97" i="94"/>
  <c r="V101" i="94"/>
  <c r="S602" i="96"/>
  <c r="T53" i="96"/>
  <c r="S84" i="96"/>
  <c r="S96" i="96"/>
  <c r="T105" i="96"/>
  <c r="S122" i="96"/>
  <c r="M49" i="98"/>
  <c r="M62" i="98"/>
  <c r="I146" i="80"/>
  <c r="U65" i="94"/>
  <c r="V40" i="94"/>
  <c r="U43" i="94"/>
  <c r="W61" i="94"/>
  <c r="V72" i="94"/>
  <c r="U75" i="94"/>
  <c r="V81" i="94"/>
  <c r="U84" i="94"/>
  <c r="W89" i="94"/>
  <c r="V93" i="94"/>
  <c r="W101" i="94"/>
  <c r="S63" i="96"/>
  <c r="S76" i="96"/>
  <c r="T84" i="96"/>
  <c r="T109" i="96"/>
  <c r="T122" i="96"/>
  <c r="M54" i="98"/>
  <c r="M67" i="98"/>
  <c r="K233" i="100"/>
  <c r="V38" i="94"/>
  <c r="W40" i="94"/>
  <c r="V43" i="94"/>
  <c r="U46" i="94"/>
  <c r="V51" i="94"/>
  <c r="V66" i="94"/>
  <c r="U70" i="94"/>
  <c r="W72" i="94"/>
  <c r="U79" i="94"/>
  <c r="W81" i="94"/>
  <c r="W93" i="94"/>
  <c r="V98" i="94"/>
  <c r="S42" i="96"/>
  <c r="T63" i="96"/>
  <c r="T76" i="96"/>
  <c r="T89" i="96"/>
  <c r="M46" i="98"/>
  <c r="N54" i="98"/>
  <c r="M59" i="98"/>
  <c r="M72" i="98"/>
  <c r="W38" i="94"/>
  <c r="U41" i="94"/>
  <c r="W51" i="94"/>
  <c r="V63" i="94"/>
  <c r="W66" i="94"/>
  <c r="V70" i="94"/>
  <c r="W75" i="94"/>
  <c r="W98" i="94"/>
  <c r="V103" i="94"/>
  <c r="S73" i="96"/>
  <c r="S46" i="96"/>
  <c r="S38" i="96"/>
  <c r="S75" i="96"/>
  <c r="S604" i="96"/>
  <c r="S72" i="96"/>
  <c r="T93" i="96"/>
  <c r="S124" i="96"/>
  <c r="O54" i="98"/>
  <c r="O46" i="98"/>
  <c r="N46" i="98"/>
  <c r="M51" i="98"/>
  <c r="O55" i="98"/>
  <c r="M64" i="98"/>
  <c r="K235" i="100"/>
  <c r="U128" i="100"/>
  <c r="U205" i="100"/>
  <c r="U123" i="100"/>
  <c r="U199" i="100"/>
  <c r="U120" i="100"/>
  <c r="U204" i="100"/>
  <c r="U122" i="100"/>
  <c r="U198" i="100"/>
  <c r="U148" i="100"/>
  <c r="U119" i="100"/>
  <c r="U206" i="100"/>
  <c r="U167" i="100"/>
  <c r="U144" i="100"/>
  <c r="U124" i="100"/>
  <c r="U200" i="100"/>
  <c r="U173" i="100"/>
  <c r="U121" i="100"/>
  <c r="U209" i="100"/>
  <c r="U147" i="100"/>
  <c r="U129" i="100"/>
  <c r="T206" i="100"/>
  <c r="T119" i="100"/>
  <c r="U135" i="100"/>
  <c r="T148" i="100"/>
  <c r="T198" i="100"/>
  <c r="T122" i="100"/>
  <c r="V135" i="100"/>
  <c r="U138" i="100"/>
  <c r="T204" i="100"/>
  <c r="S91" i="96"/>
  <c r="T96" i="96"/>
  <c r="S123" i="96"/>
  <c r="N49" i="98"/>
  <c r="N57" i="98"/>
  <c r="O62" i="98"/>
  <c r="N65" i="98"/>
  <c r="O70" i="98"/>
  <c r="N73" i="98"/>
  <c r="U133" i="100"/>
  <c r="T37" i="96"/>
  <c r="T43" i="96"/>
  <c r="U96" i="96"/>
  <c r="N43" i="98"/>
  <c r="O49" i="98"/>
  <c r="N52" i="98"/>
  <c r="O57" i="98"/>
  <c r="N60" i="98"/>
  <c r="O65" i="98"/>
  <c r="N68" i="98"/>
  <c r="O73" i="98"/>
  <c r="K234" i="100"/>
  <c r="T120" i="100"/>
  <c r="V133" i="100"/>
  <c r="U136" i="100"/>
  <c r="T199" i="100"/>
  <c r="U37" i="96"/>
  <c r="S49" i="96"/>
  <c r="T70" i="96"/>
  <c r="S89" i="96"/>
  <c r="N37" i="98"/>
  <c r="O43" i="98"/>
  <c r="N47" i="98"/>
  <c r="O52" i="98"/>
  <c r="O60" i="98"/>
  <c r="N63" i="98"/>
  <c r="T123" i="100"/>
  <c r="V136" i="100"/>
  <c r="U139" i="100"/>
  <c r="T205" i="100"/>
  <c r="T129" i="100"/>
  <c r="V139" i="100"/>
  <c r="T147" i="100"/>
  <c r="T209" i="100"/>
  <c r="F264" i="105"/>
  <c r="Q66" i="95"/>
  <c r="I223" i="100"/>
  <c r="V77" i="94"/>
  <c r="O158" i="94"/>
  <c r="I160" i="94"/>
  <c r="I161" i="94" s="1"/>
  <c r="I227" i="100"/>
  <c r="N208" i="101"/>
  <c r="G804" i="92"/>
  <c r="O156" i="94"/>
  <c r="M73" i="197" s="1"/>
  <c r="Q68" i="95"/>
  <c r="H817" i="92"/>
  <c r="H806" i="92"/>
  <c r="X170" i="94"/>
  <c r="I806" i="92"/>
  <c r="L156" i="94"/>
  <c r="M159" i="94"/>
  <c r="P159" i="94" s="1"/>
  <c r="U77" i="94"/>
  <c r="I874" i="92"/>
  <c r="H874" i="92"/>
  <c r="G874" i="92"/>
  <c r="H900" i="92"/>
  <c r="H809" i="92"/>
  <c r="U67" i="94"/>
  <c r="Q67" i="95"/>
  <c r="H1010" i="101"/>
  <c r="N155" i="94"/>
  <c r="L72" i="197" s="1"/>
  <c r="H72" i="197" s="1"/>
  <c r="O155" i="94"/>
  <c r="M72" i="197" s="1"/>
  <c r="M158" i="94"/>
  <c r="V67" i="94"/>
  <c r="M599" i="96"/>
  <c r="P599" i="96" s="1"/>
  <c r="M601" i="96"/>
  <c r="P601" i="96" s="1"/>
  <c r="M181" i="99"/>
  <c r="F1010" i="101"/>
  <c r="N158" i="94"/>
  <c r="N600" i="96"/>
  <c r="P600" i="96" s="1"/>
  <c r="G157" i="94"/>
  <c r="H604" i="96"/>
  <c r="N604" i="96" s="1"/>
  <c r="Q337" i="93"/>
  <c r="G829" i="92"/>
  <c r="M156" i="94"/>
  <c r="N81" i="101"/>
  <c r="M589" i="96"/>
  <c r="M591" i="96"/>
  <c r="P591" i="96" s="1"/>
  <c r="M604" i="96"/>
  <c r="N589" i="96"/>
  <c r="F587" i="96"/>
  <c r="F606" i="96" s="1"/>
  <c r="L606" i="96" s="1"/>
  <c r="O604" i="96"/>
  <c r="P594" i="96"/>
  <c r="L224" i="100"/>
  <c r="O224" i="100"/>
  <c r="G227" i="100"/>
  <c r="H227" i="100"/>
  <c r="M224" i="100"/>
  <c r="N224" i="100"/>
  <c r="X164" i="94"/>
  <c r="P603" i="96"/>
  <c r="N586" i="96"/>
  <c r="M595" i="96"/>
  <c r="P595" i="96" s="1"/>
  <c r="M597" i="96"/>
  <c r="P597" i="96" s="1"/>
  <c r="G81" i="98"/>
  <c r="F212" i="100"/>
  <c r="G338" i="93"/>
  <c r="N588" i="96"/>
  <c r="M155" i="94"/>
  <c r="I338" i="93"/>
  <c r="P592" i="96"/>
  <c r="M588" i="96"/>
  <c r="P335" i="93"/>
  <c r="Q335" i="93" s="1"/>
  <c r="N585" i="96"/>
  <c r="F227" i="100"/>
  <c r="N336" i="93"/>
  <c r="Q336" i="93" s="1"/>
  <c r="G587" i="96"/>
  <c r="O590" i="96"/>
  <c r="P590" i="96" s="1"/>
  <c r="Q333" i="93"/>
  <c r="V598" i="96"/>
  <c r="AU481" i="79"/>
  <c r="AU484" i="79" s="1"/>
  <c r="AU465" i="79" s="1"/>
  <c r="AU191" i="79" s="1"/>
  <c r="AU487" i="79"/>
  <c r="AU488" i="79" s="1"/>
  <c r="AU489" i="79" s="1"/>
  <c r="CA302" i="80"/>
  <c r="FC302" i="80"/>
  <c r="AE302" i="80"/>
  <c r="FK424" i="80"/>
  <c r="EE418" i="80"/>
  <c r="EE424" i="80"/>
  <c r="CY424" i="80"/>
  <c r="O338" i="93"/>
  <c r="H343" i="93"/>
  <c r="H344" i="93" s="1"/>
  <c r="I343" i="93"/>
  <c r="I344" i="93" s="1"/>
  <c r="P338" i="93"/>
  <c r="U163" i="94"/>
  <c r="X160" i="94"/>
  <c r="X163" i="94" s="1"/>
  <c r="V588" i="96"/>
  <c r="Q334" i="93"/>
  <c r="I606" i="96"/>
  <c r="O606" i="96" s="1"/>
  <c r="F466" i="91"/>
  <c r="I467" i="91"/>
  <c r="H469" i="91"/>
  <c r="F471" i="91"/>
  <c r="I472" i="91"/>
  <c r="H804" i="92"/>
  <c r="G807" i="92"/>
  <c r="I809" i="92"/>
  <c r="H812" i="92"/>
  <c r="G815" i="92"/>
  <c r="I817" i="92"/>
  <c r="H820" i="92"/>
  <c r="G823" i="92"/>
  <c r="I825" i="92"/>
  <c r="H828" i="92"/>
  <c r="G831" i="92"/>
  <c r="I833" i="92"/>
  <c r="H836" i="92"/>
  <c r="G839" i="92"/>
  <c r="I841" i="92"/>
  <c r="H844" i="92"/>
  <c r="G847" i="92"/>
  <c r="I849" i="92"/>
  <c r="H852" i="92"/>
  <c r="G855" i="92"/>
  <c r="I857" i="92"/>
  <c r="H860" i="92"/>
  <c r="G863" i="92"/>
  <c r="I865" i="92"/>
  <c r="H868" i="92"/>
  <c r="G871" i="92"/>
  <c r="I873" i="92"/>
  <c r="H876" i="92"/>
  <c r="G879" i="92"/>
  <c r="I881" i="92"/>
  <c r="H887" i="92"/>
  <c r="G890" i="92"/>
  <c r="I892" i="92"/>
  <c r="H895" i="92"/>
  <c r="G898" i="92"/>
  <c r="I900" i="92"/>
  <c r="O332" i="93"/>
  <c r="Q332" i="93" s="1"/>
  <c r="W65" i="94"/>
  <c r="M585" i="96"/>
  <c r="S589" i="96"/>
  <c r="V589" i="96" s="1"/>
  <c r="G466" i="91"/>
  <c r="I469" i="91"/>
  <c r="I804" i="92"/>
  <c r="H807" i="92"/>
  <c r="G810" i="92"/>
  <c r="I812" i="92"/>
  <c r="H815" i="92"/>
  <c r="G818" i="92"/>
  <c r="I820" i="92"/>
  <c r="H823" i="92"/>
  <c r="G826" i="92"/>
  <c r="I828" i="92"/>
  <c r="H831" i="92"/>
  <c r="G834" i="92"/>
  <c r="I836" i="92"/>
  <c r="H839" i="92"/>
  <c r="G842" i="92"/>
  <c r="I844" i="92"/>
  <c r="H847" i="92"/>
  <c r="G850" i="92"/>
  <c r="I852" i="92"/>
  <c r="H855" i="92"/>
  <c r="G858" i="92"/>
  <c r="I860" i="92"/>
  <c r="H863" i="92"/>
  <c r="G866" i="92"/>
  <c r="I868" i="92"/>
  <c r="H871" i="92"/>
  <c r="I876" i="92"/>
  <c r="H879" i="92"/>
  <c r="G885" i="92"/>
  <c r="I887" i="92"/>
  <c r="H890" i="92"/>
  <c r="G893" i="92"/>
  <c r="I895" i="92"/>
  <c r="H898" i="92"/>
  <c r="F839" i="92"/>
  <c r="L587" i="96"/>
  <c r="H587" i="96"/>
  <c r="M586" i="96"/>
  <c r="H466" i="91"/>
  <c r="F468" i="91"/>
  <c r="L468" i="91" s="1"/>
  <c r="H471" i="91"/>
  <c r="N471" i="91" s="1"/>
  <c r="G805" i="92"/>
  <c r="I807" i="92"/>
  <c r="H810" i="92"/>
  <c r="G813" i="92"/>
  <c r="I815" i="92"/>
  <c r="H818" i="92"/>
  <c r="G821" i="92"/>
  <c r="I823" i="92"/>
  <c r="H826" i="92"/>
  <c r="I831" i="92"/>
  <c r="H834" i="92"/>
  <c r="G837" i="92"/>
  <c r="I839" i="92"/>
  <c r="H842" i="92"/>
  <c r="G845" i="92"/>
  <c r="I847" i="92"/>
  <c r="H850" i="92"/>
  <c r="G853" i="92"/>
  <c r="I855" i="92"/>
  <c r="H858" i="92"/>
  <c r="G861" i="92"/>
  <c r="I863" i="92"/>
  <c r="H866" i="92"/>
  <c r="G869" i="92"/>
  <c r="I871" i="92"/>
  <c r="G877" i="92"/>
  <c r="I879" i="92"/>
  <c r="H885" i="92"/>
  <c r="G888" i="92"/>
  <c r="I890" i="92"/>
  <c r="H893" i="92"/>
  <c r="G896" i="92"/>
  <c r="I898" i="92"/>
  <c r="I466" i="91"/>
  <c r="G468" i="91"/>
  <c r="F470" i="91"/>
  <c r="I471" i="91"/>
  <c r="O471" i="91" s="1"/>
  <c r="H805" i="92"/>
  <c r="G808" i="92"/>
  <c r="I810" i="92"/>
  <c r="H813" i="92"/>
  <c r="G816" i="92"/>
  <c r="I818" i="92"/>
  <c r="H821" i="92"/>
  <c r="G824" i="92"/>
  <c r="I826" i="92"/>
  <c r="H829" i="92"/>
  <c r="G832" i="92"/>
  <c r="I834" i="92"/>
  <c r="H837" i="92"/>
  <c r="G840" i="92"/>
  <c r="I842" i="92"/>
  <c r="H845" i="92"/>
  <c r="G848" i="92"/>
  <c r="I850" i="92"/>
  <c r="H853" i="92"/>
  <c r="G856" i="92"/>
  <c r="I858" i="92"/>
  <c r="H861" i="92"/>
  <c r="G864" i="92"/>
  <c r="I866" i="92"/>
  <c r="H869" i="92"/>
  <c r="G872" i="92"/>
  <c r="H877" i="92"/>
  <c r="G880" i="92"/>
  <c r="I885" i="92"/>
  <c r="H888" i="92"/>
  <c r="G891" i="92"/>
  <c r="I893" i="92"/>
  <c r="H896" i="92"/>
  <c r="G899" i="92"/>
  <c r="O585" i="96"/>
  <c r="F465" i="91"/>
  <c r="L465" i="91" s="1"/>
  <c r="H468" i="91"/>
  <c r="I805" i="92"/>
  <c r="H808" i="92"/>
  <c r="G811" i="92"/>
  <c r="I813" i="92"/>
  <c r="H816" i="92"/>
  <c r="G819" i="92"/>
  <c r="I821" i="92"/>
  <c r="H824" i="92"/>
  <c r="G827" i="92"/>
  <c r="I829" i="92"/>
  <c r="H832" i="92"/>
  <c r="G835" i="92"/>
  <c r="I837" i="92"/>
  <c r="H840" i="92"/>
  <c r="G843" i="92"/>
  <c r="I845" i="92"/>
  <c r="H848" i="92"/>
  <c r="G851" i="92"/>
  <c r="I853" i="92"/>
  <c r="H856" i="92"/>
  <c r="G859" i="92"/>
  <c r="I861" i="92"/>
  <c r="H864" i="92"/>
  <c r="G867" i="92"/>
  <c r="I869" i="92"/>
  <c r="H872" i="92"/>
  <c r="G875" i="92"/>
  <c r="I877" i="92"/>
  <c r="H880" i="92"/>
  <c r="G886" i="92"/>
  <c r="I888" i="92"/>
  <c r="H891" i="92"/>
  <c r="G894" i="92"/>
  <c r="I896" i="92"/>
  <c r="H899" i="92"/>
  <c r="V592" i="96"/>
  <c r="O727" i="101"/>
  <c r="G465" i="91"/>
  <c r="F467" i="91"/>
  <c r="L467" i="91" s="1"/>
  <c r="I468" i="91"/>
  <c r="H470" i="91"/>
  <c r="F472" i="91"/>
  <c r="G806" i="92"/>
  <c r="I808" i="92"/>
  <c r="H811" i="92"/>
  <c r="G814" i="92"/>
  <c r="I816" i="92"/>
  <c r="H819" i="92"/>
  <c r="G822" i="92"/>
  <c r="I824" i="92"/>
  <c r="H827" i="92"/>
  <c r="G830" i="92"/>
  <c r="I832" i="92"/>
  <c r="H835" i="92"/>
  <c r="G838" i="92"/>
  <c r="I840" i="92"/>
  <c r="H843" i="92"/>
  <c r="G846" i="92"/>
  <c r="I848" i="92"/>
  <c r="H851" i="92"/>
  <c r="G854" i="92"/>
  <c r="I856" i="92"/>
  <c r="H859" i="92"/>
  <c r="G862" i="92"/>
  <c r="I864" i="92"/>
  <c r="H867" i="92"/>
  <c r="G870" i="92"/>
  <c r="I872" i="92"/>
  <c r="H875" i="92"/>
  <c r="G878" i="92"/>
  <c r="I880" i="92"/>
  <c r="H886" i="92"/>
  <c r="G889" i="92"/>
  <c r="I891" i="92"/>
  <c r="H894" i="92"/>
  <c r="G897" i="92"/>
  <c r="I899" i="92"/>
  <c r="H465" i="91"/>
  <c r="G467" i="91"/>
  <c r="M467" i="91" s="1"/>
  <c r="F469" i="91"/>
  <c r="I470" i="91"/>
  <c r="O470" i="91" s="1"/>
  <c r="G472" i="91"/>
  <c r="I811" i="92"/>
  <c r="H814" i="92"/>
  <c r="G817" i="92"/>
  <c r="I819" i="92"/>
  <c r="H822" i="92"/>
  <c r="G825" i="92"/>
  <c r="I827" i="92"/>
  <c r="H830" i="92"/>
  <c r="G833" i="92"/>
  <c r="I835" i="92"/>
  <c r="H838" i="92"/>
  <c r="G841" i="92"/>
  <c r="I843" i="92"/>
  <c r="H846" i="92"/>
  <c r="G849" i="92"/>
  <c r="I851" i="92"/>
  <c r="H854" i="92"/>
  <c r="G857" i="92"/>
  <c r="I859" i="92"/>
  <c r="H862" i="92"/>
  <c r="G865" i="92"/>
  <c r="I867" i="92"/>
  <c r="H870" i="92"/>
  <c r="G873" i="92"/>
  <c r="I875" i="92"/>
  <c r="H878" i="92"/>
  <c r="G881" i="92"/>
  <c r="I886" i="92"/>
  <c r="H889" i="92"/>
  <c r="G892" i="92"/>
  <c r="I894" i="92"/>
  <c r="H897" i="92"/>
  <c r="G900" i="92"/>
  <c r="O588" i="96"/>
  <c r="I465" i="91"/>
  <c r="H467" i="91"/>
  <c r="G469" i="91"/>
  <c r="G812" i="92"/>
  <c r="I814" i="92"/>
  <c r="G820" i="92"/>
  <c r="I822" i="92"/>
  <c r="H825" i="92"/>
  <c r="G828" i="92"/>
  <c r="I830" i="92"/>
  <c r="H833" i="92"/>
  <c r="G836" i="92"/>
  <c r="I838" i="92"/>
  <c r="H841" i="92"/>
  <c r="G844" i="92"/>
  <c r="I846" i="92"/>
  <c r="H849" i="92"/>
  <c r="G852" i="92"/>
  <c r="I854" i="92"/>
  <c r="H857" i="92"/>
  <c r="G860" i="92"/>
  <c r="I862" i="92"/>
  <c r="H865" i="92"/>
  <c r="G868" i="92"/>
  <c r="I870" i="92"/>
  <c r="H873" i="92"/>
  <c r="G876" i="92"/>
  <c r="I878" i="92"/>
  <c r="H881" i="92"/>
  <c r="G887" i="92"/>
  <c r="I889" i="92"/>
  <c r="H892" i="92"/>
  <c r="G895" i="92"/>
  <c r="I897" i="92"/>
  <c r="O47" i="101"/>
  <c r="O208" i="101"/>
  <c r="O836" i="101"/>
  <c r="F1008" i="101"/>
  <c r="L1008" i="101" s="1"/>
  <c r="M47" i="101"/>
  <c r="P47" i="101" s="1"/>
  <c r="M208" i="101"/>
  <c r="M836" i="101"/>
  <c r="P836" i="101" s="1"/>
  <c r="L81" i="101"/>
  <c r="S81" i="101"/>
  <c r="S727" i="101"/>
  <c r="L727" i="101"/>
  <c r="L843" i="101"/>
  <c r="S843" i="101"/>
  <c r="S47" i="101"/>
  <c r="L47" i="101"/>
  <c r="S208" i="101"/>
  <c r="L208" i="101"/>
  <c r="L836" i="101"/>
  <c r="S836" i="101"/>
  <c r="M81" i="101"/>
  <c r="M727" i="101"/>
  <c r="M843" i="101"/>
  <c r="P843" i="101" s="1"/>
  <c r="H1008" i="101"/>
  <c r="N1008" i="101" s="1"/>
  <c r="O81" i="101"/>
  <c r="N727" i="101"/>
  <c r="O843" i="101"/>
  <c r="G1004" i="101"/>
  <c r="I1004" i="101"/>
  <c r="H1004" i="101"/>
  <c r="F1004" i="101"/>
  <c r="M226" i="100"/>
  <c r="O226" i="100"/>
  <c r="L226" i="100"/>
  <c r="W240" i="100"/>
  <c r="W239" i="100"/>
  <c r="W232" i="100"/>
  <c r="O223" i="100"/>
  <c r="L223" i="100"/>
  <c r="N225" i="100"/>
  <c r="T241" i="100"/>
  <c r="N221" i="100"/>
  <c r="M223" i="100"/>
  <c r="O225" i="100"/>
  <c r="W233" i="100"/>
  <c r="W231" i="100"/>
  <c r="H228" i="100"/>
  <c r="P224" i="100"/>
  <c r="P226" i="100"/>
  <c r="T234" i="100"/>
  <c r="W238" i="100"/>
  <c r="L222" i="100"/>
  <c r="M222" i="100"/>
  <c r="P222" i="100" s="1"/>
  <c r="M225" i="100"/>
  <c r="L221" i="100"/>
  <c r="M221" i="100"/>
  <c r="I212" i="100"/>
  <c r="I228" i="100" s="1"/>
  <c r="O182" i="99"/>
  <c r="I184" i="99"/>
  <c r="I185" i="99" s="1"/>
  <c r="H184" i="99"/>
  <c r="H185" i="99" s="1"/>
  <c r="O181" i="99"/>
  <c r="N181" i="99"/>
  <c r="N182" i="99"/>
  <c r="M182" i="99"/>
  <c r="F184" i="99"/>
  <c r="G184" i="99"/>
  <c r="L182" i="99"/>
  <c r="BM178" i="80" l="1"/>
  <c r="BM193" i="79"/>
  <c r="EP279" i="80"/>
  <c r="CB29" i="80"/>
  <c r="CB30" i="80" s="1"/>
  <c r="CB403" i="80" s="1"/>
  <c r="AW178" i="80"/>
  <c r="CS178" i="80"/>
  <c r="BE193" i="79"/>
  <c r="I36" i="26"/>
  <c r="E15" i="32" s="1"/>
  <c r="EG178" i="80"/>
  <c r="EH178" i="80" s="1"/>
  <c r="CK178" i="80"/>
  <c r="DA193" i="79"/>
  <c r="DQ178" i="80"/>
  <c r="FE193" i="79"/>
  <c r="AO193" i="79"/>
  <c r="DA178" i="80"/>
  <c r="DQ193" i="79"/>
  <c r="Y193" i="79"/>
  <c r="E20" i="32"/>
  <c r="CS193" i="79"/>
  <c r="EW193" i="79"/>
  <c r="BU193" i="79"/>
  <c r="I191" i="80"/>
  <c r="FE29" i="80"/>
  <c r="FE30" i="80" s="1"/>
  <c r="FE403" i="80" s="1"/>
  <c r="FE424" i="80" s="1"/>
  <c r="CZ29" i="80"/>
  <c r="CZ30" i="80" s="1"/>
  <c r="CZ403" i="80" s="1"/>
  <c r="CC29" i="80"/>
  <c r="CC30" i="80" s="1"/>
  <c r="CC403" i="80" s="1"/>
  <c r="CC424" i="80" s="1"/>
  <c r="Y178" i="80"/>
  <c r="I191" i="85"/>
  <c r="K107" i="90" s="1"/>
  <c r="EG25" i="79"/>
  <c r="EG401" i="79" s="1"/>
  <c r="Q178" i="80"/>
  <c r="EO193" i="79"/>
  <c r="BE178" i="80"/>
  <c r="FM178" i="80"/>
  <c r="FN178" i="80" s="1"/>
  <c r="CC178" i="80"/>
  <c r="DI178" i="80"/>
  <c r="DY29" i="80"/>
  <c r="DY30" i="80" s="1"/>
  <c r="DY403" i="80" s="1"/>
  <c r="DY193" i="79"/>
  <c r="DW418" i="80"/>
  <c r="EH279" i="80"/>
  <c r="EX279" i="80"/>
  <c r="D57" i="35"/>
  <c r="CK193" i="79"/>
  <c r="FE106" i="80"/>
  <c r="FF106" i="80" s="1"/>
  <c r="BT67" i="79"/>
  <c r="BV67" i="79" s="1"/>
  <c r="DI124" i="80"/>
  <c r="DJ124" i="80" s="1"/>
  <c r="Z279" i="80"/>
  <c r="FM22" i="80"/>
  <c r="FM398" i="80" s="1"/>
  <c r="BU375" i="80"/>
  <c r="AO67" i="79"/>
  <c r="EG70" i="79"/>
  <c r="EH70" i="79" s="1"/>
  <c r="DI25" i="79"/>
  <c r="DI401" i="79" s="1"/>
  <c r="BE25" i="79"/>
  <c r="BE401" i="79" s="1"/>
  <c r="AM403" i="79"/>
  <c r="AM424" i="79" s="1"/>
  <c r="CB67" i="79"/>
  <c r="CD67" i="79" s="1"/>
  <c r="BL154" i="80"/>
  <c r="EW25" i="79"/>
  <c r="EW401" i="79" s="1"/>
  <c r="X70" i="79"/>
  <c r="Z70" i="79" s="1"/>
  <c r="CZ70" i="79"/>
  <c r="DB70" i="79" s="1"/>
  <c r="EG67" i="79"/>
  <c r="EH67" i="79" s="1"/>
  <c r="EO210" i="79"/>
  <c r="DP229" i="79"/>
  <c r="BM70" i="79"/>
  <c r="DI210" i="79"/>
  <c r="CZ120" i="79"/>
  <c r="CD309" i="79"/>
  <c r="P29" i="79"/>
  <c r="P30" i="79" s="1"/>
  <c r="CY403" i="79"/>
  <c r="CY424" i="79" s="1"/>
  <c r="CB70" i="79"/>
  <c r="CD70" i="79" s="1"/>
  <c r="DH142" i="80"/>
  <c r="CC25" i="79"/>
  <c r="CC401" i="79" s="1"/>
  <c r="BT29" i="79"/>
  <c r="H301" i="85"/>
  <c r="J168" i="90" s="1"/>
  <c r="FL24" i="80"/>
  <c r="FL400" i="80" s="1"/>
  <c r="EX154" i="80"/>
  <c r="DQ25" i="79"/>
  <c r="DQ401" i="79" s="1"/>
  <c r="FM250" i="79"/>
  <c r="FC30" i="79"/>
  <c r="DQ22" i="80"/>
  <c r="DQ398" i="80" s="1"/>
  <c r="CL241" i="79"/>
  <c r="AX241" i="80"/>
  <c r="DP22" i="80"/>
  <c r="DP398" i="80" s="1"/>
  <c r="FD22" i="80"/>
  <c r="FD398" i="80" s="1"/>
  <c r="DX120" i="79"/>
  <c r="CR120" i="79"/>
  <c r="BN279" i="80"/>
  <c r="FE22" i="80"/>
  <c r="FE398" i="80" s="1"/>
  <c r="FE155" i="80"/>
  <c r="FF155" i="80" s="1"/>
  <c r="EV229" i="79"/>
  <c r="P229" i="79"/>
  <c r="AN229" i="79"/>
  <c r="FD229" i="79"/>
  <c r="CS22" i="80"/>
  <c r="CS398" i="80" s="1"/>
  <c r="BT229" i="79"/>
  <c r="AV229" i="79"/>
  <c r="BF279" i="80"/>
  <c r="CZ229" i="79"/>
  <c r="DI67" i="79"/>
  <c r="AF229" i="79"/>
  <c r="FL229" i="79"/>
  <c r="EN229" i="79"/>
  <c r="DR192" i="80"/>
  <c r="CK70" i="79"/>
  <c r="CL70" i="79" s="1"/>
  <c r="BN211" i="79"/>
  <c r="Q70" i="79"/>
  <c r="R70" i="79" s="1"/>
  <c r="EF29" i="79"/>
  <c r="EF30" i="79" s="1"/>
  <c r="EF403" i="79" s="1"/>
  <c r="EF424" i="79" s="1"/>
  <c r="Q22" i="80"/>
  <c r="Q398" i="80" s="1"/>
  <c r="DX142" i="80"/>
  <c r="AG176" i="80"/>
  <c r="EW176" i="80"/>
  <c r="CK176" i="80"/>
  <c r="AO176" i="80"/>
  <c r="AW176" i="80"/>
  <c r="FE185" i="80"/>
  <c r="BL67" i="79"/>
  <c r="Q176" i="80"/>
  <c r="Q185" i="80"/>
  <c r="EG185" i="80"/>
  <c r="DX125" i="79"/>
  <c r="DQ176" i="80"/>
  <c r="DA176" i="80"/>
  <c r="BU185" i="80"/>
  <c r="EG176" i="80"/>
  <c r="Y176" i="80"/>
  <c r="DQ185" i="80"/>
  <c r="FF211" i="79"/>
  <c r="DY176" i="80"/>
  <c r="BM176" i="80"/>
  <c r="BV279" i="80"/>
  <c r="BT24" i="80"/>
  <c r="BT400" i="80" s="1"/>
  <c r="FE176" i="80"/>
  <c r="DI185" i="80"/>
  <c r="CR64" i="79"/>
  <c r="AP279" i="80"/>
  <c r="BU176" i="80"/>
  <c r="X29" i="79"/>
  <c r="X30" i="79" s="1"/>
  <c r="AN187" i="80"/>
  <c r="Y29" i="80"/>
  <c r="Y30" i="80" s="1"/>
  <c r="Y403" i="80" s="1"/>
  <c r="Y418" i="80" s="1"/>
  <c r="DX155" i="80"/>
  <c r="DZ155" i="80" s="1"/>
  <c r="X29" i="80"/>
  <c r="X30" i="80" s="1"/>
  <c r="X403" i="80" s="1"/>
  <c r="BT73" i="80"/>
  <c r="BV73" i="80" s="1"/>
  <c r="DH24" i="80"/>
  <c r="DH400" i="80" s="1"/>
  <c r="CB106" i="80"/>
  <c r="BV185" i="79"/>
  <c r="P187" i="80"/>
  <c r="W424" i="80"/>
  <c r="BU139" i="79"/>
  <c r="AO106" i="79"/>
  <c r="AP106" i="79" s="1"/>
  <c r="DH22" i="80"/>
  <c r="EH306" i="79"/>
  <c r="AX194" i="80"/>
  <c r="BN194" i="80"/>
  <c r="R279" i="80"/>
  <c r="FL64" i="79"/>
  <c r="FN64" i="79" s="1"/>
  <c r="AW25" i="79"/>
  <c r="AW401" i="79" s="1"/>
  <c r="DH107" i="80"/>
  <c r="DJ107" i="80" s="1"/>
  <c r="Z374" i="79"/>
  <c r="DY16" i="80"/>
  <c r="DI22" i="80"/>
  <c r="DI398" i="80" s="1"/>
  <c r="CS108" i="80"/>
  <c r="EN154" i="80"/>
  <c r="H371" i="79"/>
  <c r="AN371" i="79" s="1"/>
  <c r="BE147" i="80"/>
  <c r="DJ279" i="80"/>
  <c r="BV177" i="80"/>
  <c r="BU373" i="80"/>
  <c r="DA373" i="80"/>
  <c r="CJ24" i="80"/>
  <c r="CJ400" i="80" s="1"/>
  <c r="CK250" i="79"/>
  <c r="BM373" i="80"/>
  <c r="AU424" i="80"/>
  <c r="EG373" i="80"/>
  <c r="AG373" i="80"/>
  <c r="EO67" i="79"/>
  <c r="EP67" i="79" s="1"/>
  <c r="CL182" i="79"/>
  <c r="BU64" i="79"/>
  <c r="BV64" i="79" s="1"/>
  <c r="EV139" i="80"/>
  <c r="Z185" i="79"/>
  <c r="FE114" i="79"/>
  <c r="AX279" i="80"/>
  <c r="EH180" i="80"/>
  <c r="DQ153" i="79"/>
  <c r="FN279" i="80"/>
  <c r="BC403" i="79"/>
  <c r="BC424" i="79" s="1"/>
  <c r="CB147" i="80"/>
  <c r="CD147" i="80" s="1"/>
  <c r="D20" i="32"/>
  <c r="EG113" i="80"/>
  <c r="EH113" i="80" s="1"/>
  <c r="Z253" i="79"/>
  <c r="DX185" i="80"/>
  <c r="AN129" i="79"/>
  <c r="AP129" i="79" s="1"/>
  <c r="EP214" i="79"/>
  <c r="CC22" i="80"/>
  <c r="CC398" i="80" s="1"/>
  <c r="EV91" i="80"/>
  <c r="Y147" i="79"/>
  <c r="DP184" i="80"/>
  <c r="EP253" i="79"/>
  <c r="BD22" i="80"/>
  <c r="BD398" i="80" s="1"/>
  <c r="H191" i="79"/>
  <c r="EN191" i="79" s="1"/>
  <c r="EP191" i="79" s="1"/>
  <c r="X184" i="80"/>
  <c r="AN107" i="80"/>
  <c r="H191" i="80"/>
  <c r="BD191" i="80" s="1"/>
  <c r="DZ254" i="80"/>
  <c r="H36" i="26"/>
  <c r="D15" i="32" s="1"/>
  <c r="CK58" i="80"/>
  <c r="BL184" i="80"/>
  <c r="R180" i="80"/>
  <c r="FL187" i="79"/>
  <c r="AF187" i="80"/>
  <c r="DR254" i="80"/>
  <c r="EW106" i="79"/>
  <c r="EX106" i="79" s="1"/>
  <c r="BU62" i="79"/>
  <c r="BM103" i="79"/>
  <c r="AX211" i="79"/>
  <c r="CB24" i="80"/>
  <c r="CB400" i="80" s="1"/>
  <c r="CZ187" i="80"/>
  <c r="EF187" i="80"/>
  <c r="BT187" i="80"/>
  <c r="DI176" i="80"/>
  <c r="BV192" i="80"/>
  <c r="P125" i="80"/>
  <c r="R125" i="80" s="1"/>
  <c r="EN187" i="80"/>
  <c r="EO176" i="80"/>
  <c r="AV70" i="79"/>
  <c r="AX70" i="79" s="1"/>
  <c r="CR155" i="80"/>
  <c r="DI125" i="79"/>
  <c r="CD185" i="79"/>
  <c r="EG22" i="80"/>
  <c r="EX371" i="80"/>
  <c r="DJ185" i="79"/>
  <c r="DB307" i="79"/>
  <c r="CL205" i="80"/>
  <c r="DH201" i="79"/>
  <c r="BV373" i="80"/>
  <c r="Y185" i="80"/>
  <c r="EE403" i="79"/>
  <c r="EE424" i="79" s="1"/>
  <c r="DB374" i="79"/>
  <c r="AW185" i="80"/>
  <c r="DA185" i="80"/>
  <c r="DB185" i="80" s="1"/>
  <c r="CD294" i="80"/>
  <c r="CS185" i="80"/>
  <c r="AO185" i="80"/>
  <c r="DH154" i="79"/>
  <c r="CT279" i="80"/>
  <c r="Q25" i="79"/>
  <c r="Q401" i="79" s="1"/>
  <c r="FM153" i="79"/>
  <c r="DY185" i="80"/>
  <c r="AE418" i="80"/>
  <c r="BM185" i="80"/>
  <c r="AP180" i="80"/>
  <c r="J202" i="79"/>
  <c r="P22" i="80"/>
  <c r="R22" i="80" s="1"/>
  <c r="R398" i="80" s="1"/>
  <c r="O418" i="79"/>
  <c r="CB120" i="79"/>
  <c r="CD120" i="79" s="1"/>
  <c r="CK185" i="80"/>
  <c r="CC185" i="80"/>
  <c r="Q139" i="79"/>
  <c r="CS103" i="79"/>
  <c r="DX153" i="79"/>
  <c r="EW103" i="79"/>
  <c r="X200" i="79"/>
  <c r="Z200" i="79" s="1"/>
  <c r="J215" i="85"/>
  <c r="I215" i="85"/>
  <c r="DH57" i="80"/>
  <c r="F17" i="32"/>
  <c r="CB142" i="79"/>
  <c r="CD142" i="79" s="1"/>
  <c r="CR139" i="79"/>
  <c r="CT139" i="79" s="1"/>
  <c r="EO103" i="79"/>
  <c r="AN22" i="80"/>
  <c r="AN398" i="80" s="1"/>
  <c r="AO22" i="80"/>
  <c r="AO398" i="80" s="1"/>
  <c r="EW129" i="79"/>
  <c r="EX129" i="79" s="1"/>
  <c r="CL185" i="79"/>
  <c r="AG103" i="79"/>
  <c r="EW70" i="79"/>
  <c r="EX70" i="79" s="1"/>
  <c r="DJ241" i="79"/>
  <c r="EE143" i="80"/>
  <c r="DP200" i="79"/>
  <c r="DR200" i="79" s="1"/>
  <c r="FL200" i="79"/>
  <c r="FN200" i="79" s="1"/>
  <c r="BD200" i="79"/>
  <c r="DJ278" i="79"/>
  <c r="D38" i="82"/>
  <c r="BL200" i="79"/>
  <c r="BN200" i="79" s="1"/>
  <c r="EN310" i="80"/>
  <c r="FN180" i="80"/>
  <c r="EN200" i="79"/>
  <c r="EP200" i="79" s="1"/>
  <c r="CZ200" i="79"/>
  <c r="DB200" i="79" s="1"/>
  <c r="AF205" i="80"/>
  <c r="AF207" i="80" s="1"/>
  <c r="EP307" i="79"/>
  <c r="CZ24" i="79"/>
  <c r="BT112" i="80"/>
  <c r="EF200" i="79"/>
  <c r="EH200" i="79" s="1"/>
  <c r="AW295" i="79"/>
  <c r="FN296" i="80"/>
  <c r="FL109" i="79"/>
  <c r="EV200" i="79"/>
  <c r="EX200" i="79" s="1"/>
  <c r="CD200" i="79"/>
  <c r="BK399" i="80"/>
  <c r="DH200" i="79"/>
  <c r="DJ200" i="79" s="1"/>
  <c r="FN307" i="79"/>
  <c r="CJ200" i="79"/>
  <c r="AV200" i="79"/>
  <c r="AX200" i="79" s="1"/>
  <c r="CR200" i="79"/>
  <c r="CT200" i="79" s="1"/>
  <c r="AG120" i="79"/>
  <c r="BS418" i="79"/>
  <c r="FD200" i="79"/>
  <c r="DP153" i="80"/>
  <c r="P310" i="80"/>
  <c r="DP310" i="80"/>
  <c r="DY139" i="79"/>
  <c r="DB192" i="80"/>
  <c r="AX232" i="80"/>
  <c r="DR296" i="80"/>
  <c r="DP24" i="79"/>
  <c r="DP400" i="79" s="1"/>
  <c r="EV205" i="79"/>
  <c r="EX205" i="79" s="1"/>
  <c r="Q104" i="79"/>
  <c r="R104" i="79" s="1"/>
  <c r="BU114" i="79"/>
  <c r="BV114" i="79" s="1"/>
  <c r="EN297" i="80"/>
  <c r="FC404" i="79"/>
  <c r="FC425" i="79" s="1"/>
  <c r="DA125" i="79"/>
  <c r="BE120" i="80"/>
  <c r="EF278" i="80"/>
  <c r="AF297" i="80"/>
  <c r="BN180" i="79"/>
  <c r="Y91" i="80"/>
  <c r="AH279" i="80"/>
  <c r="CB278" i="80"/>
  <c r="DJ212" i="80"/>
  <c r="Y125" i="79"/>
  <c r="EO155" i="80"/>
  <c r="EP155" i="80" s="1"/>
  <c r="P106" i="80"/>
  <c r="Z211" i="80"/>
  <c r="DY22" i="80"/>
  <c r="DY398" i="80" s="1"/>
  <c r="BT129" i="79"/>
  <c r="BV129" i="79" s="1"/>
  <c r="AP372" i="79"/>
  <c r="EG142" i="80"/>
  <c r="CL279" i="80"/>
  <c r="DB372" i="79"/>
  <c r="EW107" i="80"/>
  <c r="EX107" i="80" s="1"/>
  <c r="DQ124" i="80"/>
  <c r="DR124" i="80" s="1"/>
  <c r="DI155" i="80"/>
  <c r="DJ155" i="80" s="1"/>
  <c r="DX70" i="79"/>
  <c r="AP182" i="79"/>
  <c r="CK103" i="79"/>
  <c r="FN253" i="79"/>
  <c r="AG193" i="79"/>
  <c r="AW193" i="79"/>
  <c r="FK202" i="79"/>
  <c r="FF293" i="79"/>
  <c r="DX187" i="79"/>
  <c r="FM185" i="80"/>
  <c r="X232" i="80"/>
  <c r="Y232" i="80"/>
  <c r="CQ215" i="80"/>
  <c r="EE215" i="79"/>
  <c r="CQ207" i="80"/>
  <c r="EW185" i="80"/>
  <c r="BT187" i="79"/>
  <c r="CT192" i="80"/>
  <c r="EV187" i="79"/>
  <c r="CC193" i="79"/>
  <c r="DI193" i="79"/>
  <c r="EG193" i="79"/>
  <c r="BE176" i="80"/>
  <c r="EU202" i="79"/>
  <c r="AO291" i="80"/>
  <c r="AV22" i="80"/>
  <c r="AV398" i="80" s="1"/>
  <c r="AG187" i="80"/>
  <c r="DW202" i="79"/>
  <c r="AV180" i="79"/>
  <c r="AX180" i="79" s="1"/>
  <c r="J375" i="80"/>
  <c r="AP375" i="80" s="1"/>
  <c r="CK25" i="79"/>
  <c r="CK401" i="79" s="1"/>
  <c r="W418" i="79"/>
  <c r="CY399" i="80"/>
  <c r="CY402" i="80" s="1"/>
  <c r="DZ373" i="80"/>
  <c r="FL124" i="80"/>
  <c r="FN124" i="80" s="1"/>
  <c r="BM62" i="79"/>
  <c r="EO187" i="80"/>
  <c r="DA187" i="80"/>
  <c r="CZ187" i="79"/>
  <c r="AN200" i="79"/>
  <c r="FM180" i="79"/>
  <c r="FN180" i="79" s="1"/>
  <c r="DJ211" i="80"/>
  <c r="DA147" i="79"/>
  <c r="DB147" i="79" s="1"/>
  <c r="P106" i="79"/>
  <c r="EG62" i="79"/>
  <c r="BL120" i="79"/>
  <c r="BN120" i="79" s="1"/>
  <c r="BT115" i="80"/>
  <c r="BV115" i="80" s="1"/>
  <c r="EW187" i="79"/>
  <c r="EG187" i="80"/>
  <c r="AF187" i="79"/>
  <c r="BT200" i="80"/>
  <c r="FM241" i="80"/>
  <c r="FN241" i="80" s="1"/>
  <c r="AF241" i="79"/>
  <c r="AH241" i="79" s="1"/>
  <c r="CY202" i="79"/>
  <c r="BM254" i="79"/>
  <c r="BN254" i="79" s="1"/>
  <c r="BD226" i="79"/>
  <c r="BE226" i="79"/>
  <c r="DY180" i="80"/>
  <c r="DX180" i="80"/>
  <c r="J370" i="85"/>
  <c r="L181" i="90" s="1"/>
  <c r="W399" i="80"/>
  <c r="X23" i="80"/>
  <c r="X399" i="80" s="1"/>
  <c r="DI154" i="79"/>
  <c r="DX154" i="79"/>
  <c r="DZ154" i="79" s="1"/>
  <c r="BT120" i="79"/>
  <c r="BV120" i="79" s="1"/>
  <c r="BV277" i="80"/>
  <c r="EG103" i="80"/>
  <c r="EF187" i="79"/>
  <c r="P187" i="79"/>
  <c r="Q187" i="80"/>
  <c r="DP91" i="80"/>
  <c r="DR91" i="80" s="1"/>
  <c r="EG205" i="80"/>
  <c r="FC215" i="80"/>
  <c r="CS253" i="79"/>
  <c r="CT253" i="79" s="1"/>
  <c r="EW211" i="79"/>
  <c r="EX211" i="79" s="1"/>
  <c r="AV254" i="80"/>
  <c r="AW254" i="80"/>
  <c r="O202" i="79"/>
  <c r="AO25" i="79"/>
  <c r="AO401" i="79" s="1"/>
  <c r="EN24" i="79"/>
  <c r="CZ213" i="79"/>
  <c r="H301" i="79"/>
  <c r="H302" i="79" s="1"/>
  <c r="P199" i="80"/>
  <c r="AU34" i="79"/>
  <c r="FL147" i="80"/>
  <c r="FN147" i="80" s="1"/>
  <c r="BE153" i="79"/>
  <c r="CK124" i="80"/>
  <c r="CL124" i="80" s="1"/>
  <c r="AF154" i="79"/>
  <c r="BL187" i="79"/>
  <c r="Q114" i="79"/>
  <c r="R114" i="79" s="1"/>
  <c r="BD187" i="79"/>
  <c r="DA205" i="79"/>
  <c r="AW211" i="80"/>
  <c r="AX211" i="80" s="1"/>
  <c r="DA67" i="79"/>
  <c r="DB67" i="79" s="1"/>
  <c r="AF205" i="79"/>
  <c r="AF207" i="79" s="1"/>
  <c r="BT254" i="80"/>
  <c r="BV254" i="80" s="1"/>
  <c r="DG207" i="79"/>
  <c r="CD278" i="80"/>
  <c r="CD296" i="79"/>
  <c r="BU211" i="79"/>
  <c r="BV211" i="79" s="1"/>
  <c r="AN254" i="80"/>
  <c r="AO254" i="80"/>
  <c r="Y187" i="80"/>
  <c r="Z187" i="80" s="1"/>
  <c r="BL200" i="80"/>
  <c r="AN103" i="79"/>
  <c r="H301" i="80"/>
  <c r="H302" i="80" s="1"/>
  <c r="DW398" i="80"/>
  <c r="EM399" i="79"/>
  <c r="BM23" i="80"/>
  <c r="BM399" i="80" s="1"/>
  <c r="EV147" i="79"/>
  <c r="EX147" i="79" s="1"/>
  <c r="DA185" i="79"/>
  <c r="DB185" i="79" s="1"/>
  <c r="AV187" i="79"/>
  <c r="BU187" i="80"/>
  <c r="AO200" i="79"/>
  <c r="EN241" i="80"/>
  <c r="EP241" i="80" s="1"/>
  <c r="BC207" i="79"/>
  <c r="DW215" i="79"/>
  <c r="CZ180" i="80"/>
  <c r="DA180" i="80"/>
  <c r="CZ23" i="80"/>
  <c r="DB23" i="80" s="1"/>
  <c r="DB399" i="80" s="1"/>
  <c r="FN247" i="79"/>
  <c r="DX16" i="80"/>
  <c r="DX410" i="80" s="1"/>
  <c r="AW22" i="80"/>
  <c r="DI109" i="79"/>
  <c r="DJ109" i="79" s="1"/>
  <c r="Y62" i="79"/>
  <c r="Q185" i="79"/>
  <c r="R185" i="79" s="1"/>
  <c r="FL231" i="80"/>
  <c r="DY200" i="79"/>
  <c r="DX200" i="79"/>
  <c r="AM207" i="79"/>
  <c r="AG205" i="79"/>
  <c r="EE202" i="79"/>
  <c r="FN294" i="80"/>
  <c r="EV249" i="80"/>
  <c r="EX249" i="80" s="1"/>
  <c r="DI187" i="79"/>
  <c r="EO187" i="79"/>
  <c r="FD180" i="80"/>
  <c r="FE180" i="80"/>
  <c r="CR180" i="80"/>
  <c r="CS180" i="80"/>
  <c r="DH106" i="80"/>
  <c r="DJ106" i="80" s="1"/>
  <c r="AF254" i="79"/>
  <c r="AG254" i="79"/>
  <c r="AN254" i="79"/>
  <c r="AO254" i="79"/>
  <c r="BL132" i="79"/>
  <c r="X154" i="79"/>
  <c r="R296" i="80"/>
  <c r="AM196" i="80"/>
  <c r="Y180" i="79"/>
  <c r="X180" i="79"/>
  <c r="DH91" i="79"/>
  <c r="DJ91" i="79" s="1"/>
  <c r="CL201" i="80"/>
  <c r="X254" i="79"/>
  <c r="Y254" i="79"/>
  <c r="CZ98" i="80"/>
  <c r="DB98" i="80" s="1"/>
  <c r="FE70" i="80"/>
  <c r="FF70" i="80" s="1"/>
  <c r="AW103" i="79"/>
  <c r="DH254" i="79"/>
  <c r="DI254" i="79"/>
  <c r="EX296" i="79"/>
  <c r="CT293" i="80"/>
  <c r="EM215" i="79"/>
  <c r="EO114" i="79"/>
  <c r="EP114" i="79" s="1"/>
  <c r="BE185" i="80"/>
  <c r="AG185" i="80"/>
  <c r="DA187" i="79"/>
  <c r="DB187" i="79" s="1"/>
  <c r="DH254" i="80"/>
  <c r="DI254" i="80"/>
  <c r="P241" i="80"/>
  <c r="Q241" i="80"/>
  <c r="EH193" i="80"/>
  <c r="EF24" i="79"/>
  <c r="EF400" i="79" s="1"/>
  <c r="EW22" i="80"/>
  <c r="EW398" i="80" s="1"/>
  <c r="Y154" i="79"/>
  <c r="CJ125" i="79"/>
  <c r="CL125" i="79" s="1"/>
  <c r="Q375" i="80"/>
  <c r="DI199" i="80"/>
  <c r="EG187" i="79"/>
  <c r="DY187" i="79"/>
  <c r="BL192" i="80"/>
  <c r="BN192" i="80" s="1"/>
  <c r="EF201" i="79"/>
  <c r="DX67" i="79"/>
  <c r="DZ67" i="79" s="1"/>
  <c r="CA215" i="80"/>
  <c r="FC235" i="80"/>
  <c r="AW192" i="80"/>
  <c r="AX192" i="80" s="1"/>
  <c r="CR211" i="79"/>
  <c r="CT211" i="79" s="1"/>
  <c r="AG254" i="80"/>
  <c r="AF254" i="80"/>
  <c r="BE232" i="79"/>
  <c r="BD232" i="79"/>
  <c r="EN211" i="80"/>
  <c r="EO211" i="80"/>
  <c r="BM241" i="80"/>
  <c r="BL241" i="80"/>
  <c r="BC215" i="80"/>
  <c r="DX211" i="80"/>
  <c r="DY211" i="80"/>
  <c r="DP70" i="79"/>
  <c r="DQ70" i="79"/>
  <c r="AG211" i="80"/>
  <c r="AF211" i="80"/>
  <c r="Y371" i="80"/>
  <c r="CB154" i="79"/>
  <c r="CD154" i="79" s="1"/>
  <c r="BD154" i="79"/>
  <c r="AV154" i="79"/>
  <c r="BU187" i="79"/>
  <c r="DA91" i="80"/>
  <c r="DB91" i="80" s="1"/>
  <c r="AG187" i="79"/>
  <c r="AU235" i="79"/>
  <c r="DB307" i="80"/>
  <c r="BE254" i="80"/>
  <c r="BD254" i="80"/>
  <c r="EV180" i="80"/>
  <c r="EW180" i="80"/>
  <c r="BL211" i="80"/>
  <c r="BM211" i="80"/>
  <c r="DH241" i="80"/>
  <c r="DI241" i="80"/>
  <c r="CB241" i="80"/>
  <c r="CC241" i="80"/>
  <c r="AG253" i="79"/>
  <c r="AF253" i="79"/>
  <c r="CK241" i="80"/>
  <c r="CJ241" i="80"/>
  <c r="AG241" i="80"/>
  <c r="AF241" i="80"/>
  <c r="X241" i="80"/>
  <c r="Y241" i="80"/>
  <c r="BM371" i="80"/>
  <c r="Y60" i="79"/>
  <c r="DY60" i="79"/>
  <c r="DH114" i="79"/>
  <c r="DJ114" i="79" s="1"/>
  <c r="BU142" i="79"/>
  <c r="BV142" i="79" s="1"/>
  <c r="FM187" i="79"/>
  <c r="Q187" i="79"/>
  <c r="Q205" i="79"/>
  <c r="AE215" i="80"/>
  <c r="BK215" i="80"/>
  <c r="BS235" i="80"/>
  <c r="DP187" i="79"/>
  <c r="O215" i="79"/>
  <c r="AU215" i="79"/>
  <c r="AW232" i="79"/>
  <c r="AV232" i="79"/>
  <c r="BU180" i="80"/>
  <c r="BT180" i="80"/>
  <c r="CB254" i="80"/>
  <c r="CC254" i="80"/>
  <c r="FD241" i="80"/>
  <c r="FE241" i="80"/>
  <c r="AV253" i="79"/>
  <c r="AW253" i="79"/>
  <c r="BE211" i="80"/>
  <c r="BD211" i="80"/>
  <c r="BD241" i="80"/>
  <c r="BE241" i="80"/>
  <c r="CK211" i="79"/>
  <c r="CJ211" i="79"/>
  <c r="AF211" i="79"/>
  <c r="AG211" i="79"/>
  <c r="FM67" i="79"/>
  <c r="FL67" i="79"/>
  <c r="AF70" i="79"/>
  <c r="AG70" i="79"/>
  <c r="AN241" i="80"/>
  <c r="AO241" i="80"/>
  <c r="FM176" i="80"/>
  <c r="FN176" i="80" s="1"/>
  <c r="BM253" i="79"/>
  <c r="BL253" i="79"/>
  <c r="EF211" i="80"/>
  <c r="EG211" i="80"/>
  <c r="J301" i="85"/>
  <c r="L168" i="90" s="1"/>
  <c r="EO371" i="80"/>
  <c r="FD154" i="80"/>
  <c r="FF154" i="80" s="1"/>
  <c r="BE375" i="80"/>
  <c r="BM187" i="79"/>
  <c r="CK23" i="80"/>
  <c r="CK399" i="80" s="1"/>
  <c r="BE187" i="79"/>
  <c r="EO195" i="79"/>
  <c r="EP195" i="79" s="1"/>
  <c r="Q205" i="80"/>
  <c r="P154" i="79"/>
  <c r="R154" i="79" s="1"/>
  <c r="AF200" i="79"/>
  <c r="CB187" i="79"/>
  <c r="Q232" i="79"/>
  <c r="P232" i="79"/>
  <c r="DP232" i="80"/>
  <c r="DQ232" i="80"/>
  <c r="BD180" i="80"/>
  <c r="BE180" i="80"/>
  <c r="AN211" i="80"/>
  <c r="AO211" i="80"/>
  <c r="DQ241" i="80"/>
  <c r="DP241" i="80"/>
  <c r="AN253" i="79"/>
  <c r="AO253" i="79"/>
  <c r="EN241" i="79"/>
  <c r="EO241" i="79"/>
  <c r="EN211" i="79"/>
  <c r="EO211" i="79"/>
  <c r="EO64" i="79"/>
  <c r="EN64" i="79"/>
  <c r="FM70" i="79"/>
  <c r="FL70" i="79"/>
  <c r="EF241" i="80"/>
  <c r="EG241" i="80"/>
  <c r="CS371" i="80"/>
  <c r="CK60" i="79"/>
  <c r="AO60" i="79"/>
  <c r="CC375" i="80"/>
  <c r="DA114" i="79"/>
  <c r="DB114" i="79" s="1"/>
  <c r="CK187" i="79"/>
  <c r="CL187" i="79" s="1"/>
  <c r="EN187" i="79"/>
  <c r="CI399" i="80"/>
  <c r="CI402" i="80" s="1"/>
  <c r="CS375" i="80"/>
  <c r="DO207" i="80"/>
  <c r="BE70" i="79"/>
  <c r="BF70" i="79" s="1"/>
  <c r="EN180" i="80"/>
  <c r="EO180" i="80"/>
  <c r="P211" i="80"/>
  <c r="Q211" i="80"/>
  <c r="CR211" i="80"/>
  <c r="CS211" i="80"/>
  <c r="FD211" i="80"/>
  <c r="FE211" i="80"/>
  <c r="CZ211" i="80"/>
  <c r="DA211" i="80"/>
  <c r="P211" i="79"/>
  <c r="Q211" i="79"/>
  <c r="CJ211" i="80"/>
  <c r="CK211" i="80"/>
  <c r="DX253" i="79"/>
  <c r="DY253" i="79"/>
  <c r="CS241" i="80"/>
  <c r="CR241" i="80"/>
  <c r="P253" i="79"/>
  <c r="Q253" i="79"/>
  <c r="DA371" i="80"/>
  <c r="EO25" i="79"/>
  <c r="EO401" i="79" s="1"/>
  <c r="EN24" i="80"/>
  <c r="EN400" i="80" s="1"/>
  <c r="DA60" i="79"/>
  <c r="CK375" i="80"/>
  <c r="AW187" i="79"/>
  <c r="CC187" i="79"/>
  <c r="Y187" i="79"/>
  <c r="Z187" i="79" s="1"/>
  <c r="EO184" i="79"/>
  <c r="EP184" i="79" s="1"/>
  <c r="CI202" i="79"/>
  <c r="BL180" i="80"/>
  <c r="BM180" i="80"/>
  <c r="DP211" i="80"/>
  <c r="DQ211" i="80"/>
  <c r="EW241" i="79"/>
  <c r="EV241" i="79"/>
  <c r="DP241" i="79"/>
  <c r="DQ241" i="79"/>
  <c r="BE211" i="79"/>
  <c r="BD211" i="79"/>
  <c r="EV211" i="80"/>
  <c r="EW211" i="80"/>
  <c r="BU253" i="79"/>
  <c r="BT253" i="79"/>
  <c r="FL211" i="80"/>
  <c r="FM211" i="80"/>
  <c r="EW371" i="80"/>
  <c r="EV22" i="80"/>
  <c r="EV398" i="80" s="1"/>
  <c r="AF24" i="80"/>
  <c r="AF400" i="80" s="1"/>
  <c r="EF24" i="80"/>
  <c r="EF400" i="80" s="1"/>
  <c r="CS187" i="79"/>
  <c r="CT187" i="79" s="1"/>
  <c r="CI215" i="79"/>
  <c r="AW180" i="80"/>
  <c r="AV180" i="80"/>
  <c r="BU181" i="79"/>
  <c r="BT181" i="79"/>
  <c r="EF226" i="80"/>
  <c r="EG226" i="80"/>
  <c r="BT211" i="80"/>
  <c r="BU211" i="80"/>
  <c r="DY241" i="80"/>
  <c r="DX241" i="80"/>
  <c r="CB211" i="80"/>
  <c r="CC211" i="80"/>
  <c r="AW67" i="79"/>
  <c r="AV67" i="79"/>
  <c r="EF253" i="79"/>
  <c r="EG253" i="79"/>
  <c r="DQ114" i="79"/>
  <c r="DR114" i="79" s="1"/>
  <c r="AW142" i="80"/>
  <c r="AX142" i="80" s="1"/>
  <c r="Q214" i="80"/>
  <c r="FK235" i="79"/>
  <c r="Q306" i="80"/>
  <c r="FL29" i="79"/>
  <c r="FL30" i="79" s="1"/>
  <c r="FL418" i="79" s="1"/>
  <c r="EV139" i="79"/>
  <c r="EX139" i="79" s="1"/>
  <c r="AO114" i="79"/>
  <c r="AP114" i="79" s="1"/>
  <c r="DY184" i="79"/>
  <c r="DZ184" i="79" s="1"/>
  <c r="DA113" i="79"/>
  <c r="DQ187" i="79"/>
  <c r="P214" i="80"/>
  <c r="CS231" i="80"/>
  <c r="CR311" i="80"/>
  <c r="U155" i="94"/>
  <c r="AV99" i="79"/>
  <c r="AX99" i="79" s="1"/>
  <c r="Y109" i="79"/>
  <c r="Z109" i="79" s="1"/>
  <c r="DO196" i="80"/>
  <c r="Y184" i="79"/>
  <c r="Z184" i="79" s="1"/>
  <c r="BF310" i="79"/>
  <c r="AG200" i="79"/>
  <c r="CT296" i="79"/>
  <c r="DX71" i="80"/>
  <c r="DZ71" i="80" s="1"/>
  <c r="AU196" i="80"/>
  <c r="AE202" i="79"/>
  <c r="AW306" i="79"/>
  <c r="AX306" i="79" s="1"/>
  <c r="DH187" i="79"/>
  <c r="BF253" i="79"/>
  <c r="BS215" i="79"/>
  <c r="CY215" i="79"/>
  <c r="DX107" i="80"/>
  <c r="DZ107" i="80" s="1"/>
  <c r="Z192" i="80"/>
  <c r="R201" i="80"/>
  <c r="X212" i="80"/>
  <c r="BE311" i="79"/>
  <c r="FD187" i="79"/>
  <c r="Q184" i="79"/>
  <c r="P200" i="79"/>
  <c r="R200" i="79" s="1"/>
  <c r="AN187" i="79"/>
  <c r="BU180" i="79"/>
  <c r="BT180" i="79"/>
  <c r="FK403" i="79"/>
  <c r="FK424" i="79" s="1"/>
  <c r="BE129" i="79"/>
  <c r="BF129" i="79" s="1"/>
  <c r="Y106" i="79"/>
  <c r="Z106" i="79" s="1"/>
  <c r="DQ205" i="79"/>
  <c r="CJ201" i="79"/>
  <c r="CZ205" i="79"/>
  <c r="CZ207" i="79" s="1"/>
  <c r="BM106" i="79"/>
  <c r="BN106" i="79" s="1"/>
  <c r="FE25" i="80"/>
  <c r="FE401" i="80" s="1"/>
  <c r="DB201" i="80"/>
  <c r="CR205" i="79"/>
  <c r="CT205" i="79" s="1"/>
  <c r="AG178" i="79"/>
  <c r="AO182" i="80"/>
  <c r="AN182" i="80"/>
  <c r="P182" i="80"/>
  <c r="Q182" i="80"/>
  <c r="FM182" i="80"/>
  <c r="FL182" i="80"/>
  <c r="DI182" i="80"/>
  <c r="DH182" i="80"/>
  <c r="BL182" i="80"/>
  <c r="BM182" i="80"/>
  <c r="CB226" i="79"/>
  <c r="CC226" i="79"/>
  <c r="DP214" i="80"/>
  <c r="DQ214" i="80"/>
  <c r="EW214" i="80"/>
  <c r="EV214" i="80"/>
  <c r="EU215" i="80"/>
  <c r="DH214" i="79"/>
  <c r="DI214" i="79"/>
  <c r="EW184" i="79"/>
  <c r="EX184" i="79" s="1"/>
  <c r="CS182" i="80"/>
  <c r="CR182" i="80"/>
  <c r="DI226" i="79"/>
  <c r="DH226" i="79"/>
  <c r="CZ182" i="80"/>
  <c r="DA182" i="80"/>
  <c r="BU226" i="79"/>
  <c r="BT226" i="79"/>
  <c r="EN214" i="80"/>
  <c r="EO214" i="80"/>
  <c r="DI214" i="80"/>
  <c r="DH214" i="80"/>
  <c r="CK214" i="79"/>
  <c r="CJ214" i="79"/>
  <c r="EG180" i="79"/>
  <c r="EF180" i="79"/>
  <c r="N157" i="94"/>
  <c r="BE371" i="80"/>
  <c r="DI371" i="80"/>
  <c r="AO371" i="80"/>
  <c r="DH372" i="80"/>
  <c r="FL22" i="80"/>
  <c r="FL398" i="80" s="1"/>
  <c r="Y25" i="79"/>
  <c r="Y401" i="79" s="1"/>
  <c r="BT92" i="79"/>
  <c r="EF154" i="79"/>
  <c r="EH154" i="79" s="1"/>
  <c r="Y375" i="80"/>
  <c r="EW375" i="80"/>
  <c r="EW142" i="80"/>
  <c r="EX142" i="80" s="1"/>
  <c r="EG184" i="79"/>
  <c r="EH184" i="79" s="1"/>
  <c r="AW184" i="79"/>
  <c r="AX184" i="79" s="1"/>
  <c r="FE106" i="79"/>
  <c r="P184" i="79"/>
  <c r="FD185" i="79"/>
  <c r="FF185" i="79" s="1"/>
  <c r="AO375" i="80"/>
  <c r="AV205" i="79"/>
  <c r="AV207" i="79" s="1"/>
  <c r="AN205" i="79"/>
  <c r="AP205" i="79" s="1"/>
  <c r="BD201" i="79"/>
  <c r="BF201" i="79" s="1"/>
  <c r="DX205" i="79"/>
  <c r="EE235" i="80"/>
  <c r="AM235" i="79"/>
  <c r="DR279" i="80"/>
  <c r="DA311" i="79"/>
  <c r="DB311" i="79" s="1"/>
  <c r="FD310" i="80"/>
  <c r="FL306" i="80"/>
  <c r="CJ180" i="79"/>
  <c r="CK180" i="79"/>
  <c r="X182" i="80"/>
  <c r="Y182" i="80"/>
  <c r="BU106" i="80"/>
  <c r="BT106" i="80"/>
  <c r="CJ182" i="80"/>
  <c r="CK182" i="80"/>
  <c r="BL226" i="79"/>
  <c r="BM226" i="79"/>
  <c r="DA226" i="79"/>
  <c r="CZ226" i="79"/>
  <c r="AN214" i="80"/>
  <c r="AO214" i="80"/>
  <c r="DW215" i="80"/>
  <c r="DX214" i="80"/>
  <c r="DY214" i="80"/>
  <c r="CQ215" i="79"/>
  <c r="CR214" i="79"/>
  <c r="CS214" i="79"/>
  <c r="I143" i="79"/>
  <c r="F160" i="94"/>
  <c r="AG371" i="80"/>
  <c r="FE371" i="80"/>
  <c r="BU371" i="80"/>
  <c r="I374" i="79"/>
  <c r="BU374" i="79" s="1"/>
  <c r="CB22" i="80"/>
  <c r="BT22" i="80"/>
  <c r="BE22" i="80"/>
  <c r="BE398" i="80" s="1"/>
  <c r="EN29" i="79"/>
  <c r="EN30" i="79" s="1"/>
  <c r="CZ139" i="79"/>
  <c r="DB139" i="79" s="1"/>
  <c r="AF147" i="79"/>
  <c r="AH147" i="79" s="1"/>
  <c r="BT154" i="79"/>
  <c r="BV154" i="79" s="1"/>
  <c r="DA155" i="80"/>
  <c r="DB155" i="80" s="1"/>
  <c r="DI375" i="80"/>
  <c r="AW375" i="80"/>
  <c r="DI178" i="79"/>
  <c r="AW185" i="79"/>
  <c r="AX185" i="79" s="1"/>
  <c r="DQ184" i="79"/>
  <c r="DR184" i="79" s="1"/>
  <c r="CC184" i="79"/>
  <c r="CD184" i="79" s="1"/>
  <c r="FD106" i="79"/>
  <c r="FE187" i="79"/>
  <c r="BT200" i="79"/>
  <c r="BV200" i="79" s="1"/>
  <c r="EV200" i="80"/>
  <c r="BL201" i="79"/>
  <c r="P205" i="79"/>
  <c r="P207" i="79" s="1"/>
  <c r="CJ205" i="79"/>
  <c r="CL205" i="79" s="1"/>
  <c r="FD205" i="79"/>
  <c r="FF205" i="79" s="1"/>
  <c r="EM215" i="80"/>
  <c r="BS202" i="79"/>
  <c r="X311" i="80"/>
  <c r="DQ226" i="79"/>
  <c r="DP226" i="79"/>
  <c r="EG226" i="79"/>
  <c r="EF226" i="79"/>
  <c r="FM214" i="80"/>
  <c r="FL214" i="80"/>
  <c r="BU214" i="80"/>
  <c r="BT214" i="80"/>
  <c r="CB214" i="79"/>
  <c r="CC214" i="79"/>
  <c r="BU214" i="79"/>
  <c r="BT214" i="79"/>
  <c r="AG184" i="79"/>
  <c r="AH184" i="79" s="1"/>
  <c r="L157" i="94"/>
  <c r="DQ371" i="80"/>
  <c r="FM371" i="80"/>
  <c r="H369" i="85"/>
  <c r="J180" i="90" s="1"/>
  <c r="DY375" i="80"/>
  <c r="I375" i="79"/>
  <c r="CS375" i="79" s="1"/>
  <c r="I374" i="80"/>
  <c r="AG374" i="80" s="1"/>
  <c r="CJ188" i="79"/>
  <c r="CJ22" i="80"/>
  <c r="CJ398" i="80" s="1"/>
  <c r="AN24" i="79"/>
  <c r="AN400" i="79" s="1"/>
  <c r="EG375" i="80"/>
  <c r="DA375" i="80"/>
  <c r="FM375" i="80"/>
  <c r="AE419" i="79"/>
  <c r="DA184" i="79"/>
  <c r="DB184" i="79" s="1"/>
  <c r="BM184" i="79"/>
  <c r="BN184" i="79" s="1"/>
  <c r="AO184" i="79"/>
  <c r="AP184" i="79" s="1"/>
  <c r="CS107" i="80"/>
  <c r="CT107" i="80" s="1"/>
  <c r="EN201" i="79"/>
  <c r="AN201" i="79"/>
  <c r="BD205" i="79"/>
  <c r="BD207" i="79" s="1"/>
  <c r="DI205" i="79"/>
  <c r="BT205" i="79"/>
  <c r="BV205" i="79" s="1"/>
  <c r="BL205" i="79"/>
  <c r="BL207" i="79" s="1"/>
  <c r="BM205" i="79"/>
  <c r="EW214" i="79"/>
  <c r="EX214" i="79" s="1"/>
  <c r="DG215" i="79"/>
  <c r="FD248" i="79"/>
  <c r="FL310" i="80"/>
  <c r="BL310" i="80"/>
  <c r="EW306" i="79"/>
  <c r="EX306" i="79" s="1"/>
  <c r="FE254" i="80"/>
  <c r="FD254" i="80"/>
  <c r="AV182" i="80"/>
  <c r="AW182" i="80"/>
  <c r="BD182" i="80"/>
  <c r="BE182" i="80"/>
  <c r="FL226" i="79"/>
  <c r="FM226" i="79"/>
  <c r="X226" i="79"/>
  <c r="Y226" i="79"/>
  <c r="BL214" i="80"/>
  <c r="BM214" i="80"/>
  <c r="DA214" i="79"/>
  <c r="CZ214" i="79"/>
  <c r="DQ214" i="79"/>
  <c r="DP214" i="79"/>
  <c r="DO215" i="79"/>
  <c r="EO205" i="79"/>
  <c r="W155" i="94"/>
  <c r="Q371" i="80"/>
  <c r="DY371" i="80"/>
  <c r="EO375" i="80"/>
  <c r="H207" i="85"/>
  <c r="I370" i="85"/>
  <c r="K181" i="90" s="1"/>
  <c r="AF22" i="80"/>
  <c r="EF22" i="80"/>
  <c r="EF398" i="80" s="1"/>
  <c r="CR24" i="80"/>
  <c r="CR400" i="80" s="1"/>
  <c r="BD24" i="80"/>
  <c r="BD400" i="80" s="1"/>
  <c r="CK22" i="80"/>
  <c r="CK398" i="80" s="1"/>
  <c r="DP29" i="79"/>
  <c r="DP30" i="79" s="1"/>
  <c r="Y139" i="79"/>
  <c r="Z139" i="79" s="1"/>
  <c r="AG375" i="80"/>
  <c r="FM114" i="79"/>
  <c r="FN114" i="79" s="1"/>
  <c r="DQ375" i="80"/>
  <c r="AE404" i="79"/>
  <c r="AE425" i="79" s="1"/>
  <c r="FN185" i="79"/>
  <c r="FM184" i="79"/>
  <c r="FN184" i="79" s="1"/>
  <c r="BU184" i="79"/>
  <c r="BV184" i="79" s="1"/>
  <c r="BE184" i="79"/>
  <c r="BF184" i="79" s="1"/>
  <c r="AO187" i="79"/>
  <c r="BT132" i="79"/>
  <c r="CB132" i="79"/>
  <c r="EV201" i="79"/>
  <c r="P201" i="79"/>
  <c r="X205" i="79"/>
  <c r="X207" i="79" s="1"/>
  <c r="DP205" i="79"/>
  <c r="DP207" i="79" s="1"/>
  <c r="CI235" i="80"/>
  <c r="W235" i="79"/>
  <c r="O235" i="79"/>
  <c r="EU215" i="79"/>
  <c r="DO215" i="80"/>
  <c r="CR310" i="80"/>
  <c r="CJ310" i="80"/>
  <c r="EO254" i="80"/>
  <c r="EN254" i="80"/>
  <c r="AF226" i="79"/>
  <c r="AG226" i="79"/>
  <c r="FE226" i="79"/>
  <c r="FD226" i="79"/>
  <c r="CC214" i="80"/>
  <c r="CB214" i="80"/>
  <c r="CA215" i="79"/>
  <c r="AF214" i="79"/>
  <c r="AG214" i="79"/>
  <c r="Y164" i="94"/>
  <c r="V155" i="94"/>
  <c r="AW371" i="80"/>
  <c r="CC371" i="80"/>
  <c r="H207" i="79"/>
  <c r="BL22" i="80"/>
  <c r="BL398" i="80" s="1"/>
  <c r="CS25" i="79"/>
  <c r="CS401" i="79" s="1"/>
  <c r="AG22" i="80"/>
  <c r="AG398" i="80" s="1"/>
  <c r="BU22" i="80"/>
  <c r="BU398" i="80" s="1"/>
  <c r="BM22" i="80"/>
  <c r="BM398" i="80" s="1"/>
  <c r="AN154" i="79"/>
  <c r="AP154" i="79" s="1"/>
  <c r="CK184" i="79"/>
  <c r="CL184" i="79" s="1"/>
  <c r="EV185" i="79"/>
  <c r="EX185" i="79" s="1"/>
  <c r="AW114" i="79"/>
  <c r="AX114" i="79" s="1"/>
  <c r="CZ201" i="79"/>
  <c r="CR201" i="79"/>
  <c r="BT201" i="79"/>
  <c r="AV201" i="79"/>
  <c r="DH205" i="79"/>
  <c r="DH207" i="79" s="1"/>
  <c r="CB205" i="79"/>
  <c r="CB207" i="79" s="1"/>
  <c r="AW311" i="79"/>
  <c r="EV310" i="80"/>
  <c r="DH311" i="80"/>
  <c r="CJ311" i="80"/>
  <c r="EW311" i="79"/>
  <c r="BU182" i="80"/>
  <c r="BT182" i="80"/>
  <c r="EW226" i="79"/>
  <c r="EV226" i="79"/>
  <c r="CJ226" i="79"/>
  <c r="CK226" i="79"/>
  <c r="CJ214" i="80"/>
  <c r="CK214" i="80"/>
  <c r="W215" i="79"/>
  <c r="AN214" i="79"/>
  <c r="AO214" i="79"/>
  <c r="CK371" i="80"/>
  <c r="FM25" i="79"/>
  <c r="FM401" i="79" s="1"/>
  <c r="BU25" i="79"/>
  <c r="BU401" i="79" s="1"/>
  <c r="EV29" i="79"/>
  <c r="EV30" i="79" s="1"/>
  <c r="EV418" i="79" s="1"/>
  <c r="P132" i="79"/>
  <c r="R132" i="79" s="1"/>
  <c r="P147" i="79"/>
  <c r="BM375" i="80"/>
  <c r="FE178" i="79"/>
  <c r="EG178" i="79"/>
  <c r="G237" i="79"/>
  <c r="AU403" i="79"/>
  <c r="AU424" i="79" s="1"/>
  <c r="DI184" i="79"/>
  <c r="DJ184" i="79" s="1"/>
  <c r="CS184" i="79"/>
  <c r="CT184" i="79" s="1"/>
  <c r="AG185" i="79"/>
  <c r="AH185" i="79" s="1"/>
  <c r="FD201" i="79"/>
  <c r="FD202" i="79" s="1"/>
  <c r="DX201" i="79"/>
  <c r="Y124" i="80"/>
  <c r="Z124" i="80" s="1"/>
  <c r="X201" i="79"/>
  <c r="AF201" i="79"/>
  <c r="FL201" i="79"/>
  <c r="EN205" i="79"/>
  <c r="AE235" i="79"/>
  <c r="CA235" i="80"/>
  <c r="DR270" i="80"/>
  <c r="AG276" i="79"/>
  <c r="AH276" i="79" s="1"/>
  <c r="CB311" i="80"/>
  <c r="DH310" i="80"/>
  <c r="FM254" i="80"/>
  <c r="FL254" i="80"/>
  <c r="EW182" i="80"/>
  <c r="EV182" i="80"/>
  <c r="EF182" i="80"/>
  <c r="EG182" i="80"/>
  <c r="AV226" i="79"/>
  <c r="AW226" i="79"/>
  <c r="CR214" i="80"/>
  <c r="CS214" i="80"/>
  <c r="AW214" i="79"/>
  <c r="AV214" i="79"/>
  <c r="CK310" i="79"/>
  <c r="CL310" i="79" s="1"/>
  <c r="FM310" i="79"/>
  <c r="FN310" i="79" s="1"/>
  <c r="EG311" i="80"/>
  <c r="Q311" i="80"/>
  <c r="BM311" i="80"/>
  <c r="DQ311" i="80"/>
  <c r="CS311" i="80"/>
  <c r="AG311" i="80"/>
  <c r="EW311" i="80"/>
  <c r="FE311" i="80"/>
  <c r="CC311" i="80"/>
  <c r="DA311" i="80"/>
  <c r="AW311" i="80"/>
  <c r="FM311" i="80"/>
  <c r="Y311" i="80"/>
  <c r="BU311" i="79"/>
  <c r="BT311" i="79"/>
  <c r="BS313" i="79"/>
  <c r="CB311" i="79"/>
  <c r="CC311" i="79"/>
  <c r="CA313" i="79"/>
  <c r="BE311" i="80"/>
  <c r="BF311" i="80" s="1"/>
  <c r="P311" i="79"/>
  <c r="Q311" i="79"/>
  <c r="DI311" i="80"/>
  <c r="Y306" i="79"/>
  <c r="Z306" i="79" s="1"/>
  <c r="DY311" i="80"/>
  <c r="CK311" i="80"/>
  <c r="BM311" i="79"/>
  <c r="BL311" i="79"/>
  <c r="BK313" i="79"/>
  <c r="AN311" i="79"/>
  <c r="AP311" i="79" s="1"/>
  <c r="P306" i="80"/>
  <c r="FM306" i="80"/>
  <c r="AG310" i="80"/>
  <c r="AW310" i="80"/>
  <c r="Y310" i="80"/>
  <c r="CC310" i="80"/>
  <c r="EW310" i="80"/>
  <c r="Q310" i="80"/>
  <c r="EG310" i="80"/>
  <c r="BU310" i="80"/>
  <c r="DA310" i="80"/>
  <c r="AO310" i="80"/>
  <c r="AP310" i="80" s="1"/>
  <c r="EO310" i="80"/>
  <c r="CS310" i="80"/>
  <c r="DQ310" i="80"/>
  <c r="DI310" i="80"/>
  <c r="DY310" i="80"/>
  <c r="FM310" i="80"/>
  <c r="BM310" i="80"/>
  <c r="BE310" i="80"/>
  <c r="EF311" i="80"/>
  <c r="CZ311" i="80"/>
  <c r="FL311" i="80"/>
  <c r="P311" i="80"/>
  <c r="BL311" i="80"/>
  <c r="BT311" i="80"/>
  <c r="AF311" i="80"/>
  <c r="DX311" i="80"/>
  <c r="AV311" i="80"/>
  <c r="AX311" i="80" s="1"/>
  <c r="FE310" i="80"/>
  <c r="AO311" i="80"/>
  <c r="AF311" i="79"/>
  <c r="AG311" i="79"/>
  <c r="AE313" i="79"/>
  <c r="CK310" i="80"/>
  <c r="EN311" i="80"/>
  <c r="DP311" i="79"/>
  <c r="EN311" i="79"/>
  <c r="BL306" i="80"/>
  <c r="EN306" i="80"/>
  <c r="CB306" i="80"/>
  <c r="AF306" i="80"/>
  <c r="CZ306" i="80"/>
  <c r="FD306" i="80"/>
  <c r="DX306" i="80"/>
  <c r="AV306" i="80"/>
  <c r="DP306" i="80"/>
  <c r="AN306" i="80"/>
  <c r="BD306" i="80"/>
  <c r="DH306" i="80"/>
  <c r="AN311" i="80"/>
  <c r="DP311" i="80"/>
  <c r="DQ306" i="79"/>
  <c r="DR306" i="79" s="1"/>
  <c r="EO311" i="79"/>
  <c r="BD311" i="79"/>
  <c r="EV311" i="79"/>
  <c r="FD311" i="80"/>
  <c r="FM311" i="79"/>
  <c r="FL311" i="79"/>
  <c r="FD311" i="79"/>
  <c r="FE311" i="79"/>
  <c r="EV311" i="80"/>
  <c r="EW306" i="80"/>
  <c r="DQ311" i="79"/>
  <c r="X310" i="80"/>
  <c r="CZ310" i="80"/>
  <c r="BD310" i="80"/>
  <c r="DX310" i="80"/>
  <c r="AV310" i="80"/>
  <c r="CB310" i="80"/>
  <c r="CD310" i="80" s="1"/>
  <c r="AF310" i="80"/>
  <c r="EF310" i="80"/>
  <c r="BT310" i="80"/>
  <c r="FC313" i="79"/>
  <c r="O313" i="79"/>
  <c r="FE306" i="79"/>
  <c r="FF306" i="79" s="1"/>
  <c r="CJ311" i="79"/>
  <c r="BU311" i="80"/>
  <c r="DA310" i="79"/>
  <c r="DB310" i="79" s="1"/>
  <c r="AW310" i="79"/>
  <c r="AX310" i="79" s="1"/>
  <c r="EG310" i="79"/>
  <c r="EH310" i="79" s="1"/>
  <c r="DY310" i="79"/>
  <c r="DZ310" i="79" s="1"/>
  <c r="BU310" i="79"/>
  <c r="BV310" i="79" s="1"/>
  <c r="DQ310" i="79"/>
  <c r="DR310" i="79" s="1"/>
  <c r="FE310" i="79"/>
  <c r="FF310" i="79" s="1"/>
  <c r="DI310" i="79"/>
  <c r="DJ310" i="79" s="1"/>
  <c r="CS310" i="79"/>
  <c r="CT310" i="79" s="1"/>
  <c r="Y310" i="79"/>
  <c r="Z310" i="79" s="1"/>
  <c r="AO310" i="79"/>
  <c r="AP310" i="79" s="1"/>
  <c r="CC310" i="79"/>
  <c r="CD310" i="79" s="1"/>
  <c r="AG310" i="79"/>
  <c r="AH310" i="79" s="1"/>
  <c r="EO310" i="79"/>
  <c r="EP310" i="79" s="1"/>
  <c r="BM310" i="79"/>
  <c r="BN310" i="79" s="1"/>
  <c r="Q310" i="79"/>
  <c r="R310" i="79" s="1"/>
  <c r="EO306" i="79"/>
  <c r="EP306" i="79" s="1"/>
  <c r="AG306" i="79"/>
  <c r="AH306" i="79" s="1"/>
  <c r="CC306" i="79"/>
  <c r="CD306" i="79" s="1"/>
  <c r="BE306" i="79"/>
  <c r="BF306" i="79" s="1"/>
  <c r="CS306" i="79"/>
  <c r="CT306" i="79" s="1"/>
  <c r="BM306" i="79"/>
  <c r="BN306" i="79" s="1"/>
  <c r="AO306" i="79"/>
  <c r="AP306" i="79" s="1"/>
  <c r="DY306" i="79"/>
  <c r="DZ306" i="79" s="1"/>
  <c r="FM306" i="79"/>
  <c r="FN306" i="79" s="1"/>
  <c r="DA306" i="79"/>
  <c r="DB306" i="79" s="1"/>
  <c r="Q306" i="79"/>
  <c r="R306" i="79" s="1"/>
  <c r="DI306" i="79"/>
  <c r="DJ306" i="79" s="1"/>
  <c r="BU306" i="79"/>
  <c r="BV306" i="79" s="1"/>
  <c r="CK306" i="79"/>
  <c r="CL306" i="79" s="1"/>
  <c r="DH311" i="79"/>
  <c r="EG311" i="79"/>
  <c r="EF311" i="79"/>
  <c r="Y311" i="79"/>
  <c r="X311" i="79"/>
  <c r="Y306" i="80"/>
  <c r="Z306" i="80" s="1"/>
  <c r="EO311" i="80"/>
  <c r="EW310" i="79"/>
  <c r="EX310" i="79" s="1"/>
  <c r="CJ306" i="80"/>
  <c r="FK313" i="79"/>
  <c r="DA306" i="80"/>
  <c r="AW306" i="80"/>
  <c r="EO306" i="80"/>
  <c r="BU306" i="80"/>
  <c r="EG306" i="80"/>
  <c r="CC306" i="80"/>
  <c r="AG306" i="80"/>
  <c r="DI306" i="80"/>
  <c r="BE306" i="80"/>
  <c r="DY306" i="80"/>
  <c r="CK306" i="80"/>
  <c r="DQ306" i="80"/>
  <c r="BM306" i="80"/>
  <c r="AO306" i="80"/>
  <c r="AV311" i="79"/>
  <c r="CS311" i="79"/>
  <c r="CR311" i="79"/>
  <c r="CK311" i="79"/>
  <c r="CQ313" i="79"/>
  <c r="CR306" i="80"/>
  <c r="CT306" i="80" s="1"/>
  <c r="DY311" i="79"/>
  <c r="DW313" i="79"/>
  <c r="DX311" i="79"/>
  <c r="EV306" i="80"/>
  <c r="EF306" i="80"/>
  <c r="DI311" i="79"/>
  <c r="BT306" i="80"/>
  <c r="FE306" i="80"/>
  <c r="FM305" i="80"/>
  <c r="FN305" i="80" s="1"/>
  <c r="P305" i="80"/>
  <c r="EV305" i="80"/>
  <c r="AF305" i="80"/>
  <c r="CJ305" i="80"/>
  <c r="AN305" i="80"/>
  <c r="BL305" i="80"/>
  <c r="BT305" i="80"/>
  <c r="DX305" i="80"/>
  <c r="X305" i="80"/>
  <c r="BD305" i="80"/>
  <c r="BF305" i="80" s="1"/>
  <c r="DP305" i="80"/>
  <c r="DH305" i="80"/>
  <c r="CZ305" i="80"/>
  <c r="CB305" i="80"/>
  <c r="EN305" i="80"/>
  <c r="AV305" i="80"/>
  <c r="CR305" i="80"/>
  <c r="EF305" i="80"/>
  <c r="FD305" i="80"/>
  <c r="CK305" i="80"/>
  <c r="DI305" i="80"/>
  <c r="DA305" i="80"/>
  <c r="AO305" i="80"/>
  <c r="BU305" i="80"/>
  <c r="EW305" i="80"/>
  <c r="DY305" i="80"/>
  <c r="AG305" i="80"/>
  <c r="FE305" i="80"/>
  <c r="Y305" i="80"/>
  <c r="CC305" i="80"/>
  <c r="BM305" i="80"/>
  <c r="EO305" i="80"/>
  <c r="AW305" i="80"/>
  <c r="DQ305" i="80"/>
  <c r="Q305" i="80"/>
  <c r="CS305" i="80"/>
  <c r="EG305" i="80"/>
  <c r="FE305" i="79"/>
  <c r="DA305" i="79"/>
  <c r="DI305" i="79"/>
  <c r="DQ305" i="79"/>
  <c r="AG305" i="79"/>
  <c r="FM305" i="79"/>
  <c r="EW305" i="79"/>
  <c r="CC305" i="79"/>
  <c r="EO305" i="79"/>
  <c r="AO305" i="79"/>
  <c r="DY305" i="79"/>
  <c r="BU305" i="79"/>
  <c r="Q305" i="79"/>
  <c r="CK305" i="79"/>
  <c r="Y305" i="79"/>
  <c r="CS305" i="79"/>
  <c r="BM305" i="79"/>
  <c r="EG305" i="79"/>
  <c r="BE305" i="79"/>
  <c r="BT305" i="79"/>
  <c r="DX305" i="79"/>
  <c r="FL305" i="79"/>
  <c r="FN305" i="79" s="1"/>
  <c r="P305" i="79"/>
  <c r="BL305" i="79"/>
  <c r="CJ305" i="79"/>
  <c r="CZ305" i="79"/>
  <c r="X305" i="79"/>
  <c r="BD305" i="79"/>
  <c r="AF305" i="79"/>
  <c r="EN305" i="79"/>
  <c r="EF305" i="79"/>
  <c r="EV305" i="79"/>
  <c r="AN305" i="79"/>
  <c r="CR305" i="79"/>
  <c r="DP305" i="79"/>
  <c r="DH305" i="79"/>
  <c r="CB305" i="79"/>
  <c r="FD305" i="79"/>
  <c r="AW305" i="79"/>
  <c r="AX305" i="79" s="1"/>
  <c r="CI298" i="79"/>
  <c r="CQ298" i="80"/>
  <c r="BK298" i="80"/>
  <c r="AN291" i="80"/>
  <c r="CA298" i="80"/>
  <c r="DP297" i="80"/>
  <c r="EF297" i="80"/>
  <c r="AN297" i="80"/>
  <c r="EV297" i="80"/>
  <c r="BL297" i="80"/>
  <c r="CS297" i="80"/>
  <c r="CZ297" i="80"/>
  <c r="FD297" i="80"/>
  <c r="X297" i="80"/>
  <c r="DX297" i="80"/>
  <c r="CR297" i="80"/>
  <c r="FL297" i="80"/>
  <c r="BT297" i="80"/>
  <c r="P297" i="80"/>
  <c r="DH297" i="80"/>
  <c r="AV297" i="80"/>
  <c r="AU298" i="80"/>
  <c r="EU298" i="80"/>
  <c r="CJ297" i="80"/>
  <c r="BD297" i="80"/>
  <c r="CI298" i="80"/>
  <c r="CI315" i="80" s="1"/>
  <c r="CI331" i="80" s="1"/>
  <c r="AW296" i="80"/>
  <c r="AX296" i="80" s="1"/>
  <c r="CZ293" i="80"/>
  <c r="DB293" i="80" s="1"/>
  <c r="EM298" i="79"/>
  <c r="FE296" i="79"/>
  <c r="FD296" i="79"/>
  <c r="DG298" i="80"/>
  <c r="BS298" i="80"/>
  <c r="BS315" i="80" s="1"/>
  <c r="BS331" i="80" s="1"/>
  <c r="AG296" i="80"/>
  <c r="AF296" i="80"/>
  <c r="FE296" i="80"/>
  <c r="FD296" i="80"/>
  <c r="BD296" i="80"/>
  <c r="BE296" i="80"/>
  <c r="EG296" i="80"/>
  <c r="EF296" i="80"/>
  <c r="P293" i="80"/>
  <c r="Q293" i="80"/>
  <c r="EF293" i="80"/>
  <c r="EG293" i="80"/>
  <c r="CB293" i="80"/>
  <c r="CC293" i="80"/>
  <c r="CB296" i="80"/>
  <c r="CC296" i="80"/>
  <c r="EW296" i="80"/>
  <c r="EV296" i="80"/>
  <c r="DA296" i="80"/>
  <c r="CZ296" i="80"/>
  <c r="CY298" i="80"/>
  <c r="CY315" i="80" s="1"/>
  <c r="CY331" i="80" s="1"/>
  <c r="DH293" i="80"/>
  <c r="DI293" i="80"/>
  <c r="FE293" i="80"/>
  <c r="FD293" i="80"/>
  <c r="DI296" i="80"/>
  <c r="DH296" i="80"/>
  <c r="FC298" i="80"/>
  <c r="FC315" i="80" s="1"/>
  <c r="FC331" i="80" s="1"/>
  <c r="DO298" i="79"/>
  <c r="DP293" i="80"/>
  <c r="DQ293" i="80"/>
  <c r="Y296" i="80"/>
  <c r="X296" i="80"/>
  <c r="BU296" i="80"/>
  <c r="BT296" i="80"/>
  <c r="CS296" i="80"/>
  <c r="CR296" i="80"/>
  <c r="AW293" i="80"/>
  <c r="AV293" i="80"/>
  <c r="AG293" i="80"/>
  <c r="AF293" i="80"/>
  <c r="Y293" i="80"/>
  <c r="X293" i="80"/>
  <c r="BM296" i="80"/>
  <c r="BL296" i="80"/>
  <c r="EV293" i="80"/>
  <c r="EW293" i="80"/>
  <c r="AE298" i="80"/>
  <c r="AE315" i="80" s="1"/>
  <c r="AE331" i="80" s="1"/>
  <c r="AN296" i="80"/>
  <c r="AO296" i="80"/>
  <c r="CK293" i="80"/>
  <c r="CJ293" i="80"/>
  <c r="BT293" i="80"/>
  <c r="BU293" i="80"/>
  <c r="EN296" i="79"/>
  <c r="EO296" i="79"/>
  <c r="FL296" i="79"/>
  <c r="FM296" i="79"/>
  <c r="DY296" i="79"/>
  <c r="DX296" i="79"/>
  <c r="CZ296" i="79"/>
  <c r="DA296" i="79"/>
  <c r="CY298" i="79"/>
  <c r="DI296" i="79"/>
  <c r="DH296" i="79"/>
  <c r="CJ296" i="79"/>
  <c r="CK296" i="79"/>
  <c r="DQ296" i="79"/>
  <c r="DP296" i="79"/>
  <c r="BL296" i="79"/>
  <c r="BM296" i="79"/>
  <c r="DW298" i="80"/>
  <c r="DW315" i="80" s="1"/>
  <c r="DW331" i="80" s="1"/>
  <c r="AE315" i="79"/>
  <c r="AE331" i="79" s="1"/>
  <c r="EM315" i="80"/>
  <c r="EM331" i="80" s="1"/>
  <c r="E14" i="69"/>
  <c r="EF348" i="80"/>
  <c r="BT348" i="80"/>
  <c r="DX348" i="80"/>
  <c r="BD348" i="80"/>
  <c r="CB348" i="80"/>
  <c r="AN348" i="80"/>
  <c r="FD348" i="80"/>
  <c r="EN348" i="80"/>
  <c r="AF348" i="80"/>
  <c r="CR348" i="80"/>
  <c r="EV348" i="80"/>
  <c r="P348" i="80"/>
  <c r="CZ348" i="80"/>
  <c r="CJ348" i="80"/>
  <c r="X348" i="80"/>
  <c r="C5" i="69"/>
  <c r="C6" i="69" s="1"/>
  <c r="FD419" i="79"/>
  <c r="FD404" i="79"/>
  <c r="FD425" i="79" s="1"/>
  <c r="AV33" i="79"/>
  <c r="AV34" i="79" s="1"/>
  <c r="AO103" i="79"/>
  <c r="Y112" i="79"/>
  <c r="Z112" i="79" s="1"/>
  <c r="AG139" i="79"/>
  <c r="Q60" i="79"/>
  <c r="DQ60" i="79"/>
  <c r="AP373" i="80"/>
  <c r="FF194" i="80"/>
  <c r="DX205" i="80"/>
  <c r="DZ205" i="80" s="1"/>
  <c r="CR205" i="80"/>
  <c r="CT205" i="80" s="1"/>
  <c r="BU231" i="80"/>
  <c r="AO231" i="80"/>
  <c r="EG231" i="80"/>
  <c r="DY231" i="80"/>
  <c r="BL278" i="80"/>
  <c r="BN278" i="80" s="1"/>
  <c r="EN23" i="79"/>
  <c r="EN399" i="79" s="1"/>
  <c r="CB121" i="80"/>
  <c r="CD121" i="80" s="1"/>
  <c r="EF140" i="79"/>
  <c r="AW60" i="79"/>
  <c r="EO60" i="79"/>
  <c r="DI103" i="79"/>
  <c r="DY62" i="79"/>
  <c r="FM91" i="80"/>
  <c r="FN91" i="80" s="1"/>
  <c r="FE120" i="79"/>
  <c r="FF120" i="79" s="1"/>
  <c r="AG231" i="80"/>
  <c r="DI231" i="80"/>
  <c r="CC231" i="80"/>
  <c r="CK231" i="80"/>
  <c r="AW231" i="80"/>
  <c r="DH132" i="79"/>
  <c r="P278" i="80"/>
  <c r="R278" i="80" s="1"/>
  <c r="AV278" i="80"/>
  <c r="AX278" i="80" s="1"/>
  <c r="R293" i="79"/>
  <c r="DJ294" i="80"/>
  <c r="CR278" i="80"/>
  <c r="CT278" i="80" s="1"/>
  <c r="Q231" i="80"/>
  <c r="EW231" i="80"/>
  <c r="EX254" i="79"/>
  <c r="AN278" i="80"/>
  <c r="AP278" i="80" s="1"/>
  <c r="DH278" i="80"/>
  <c r="DJ278" i="80" s="1"/>
  <c r="EV278" i="80"/>
  <c r="EX278" i="80" s="1"/>
  <c r="EH192" i="80"/>
  <c r="R192" i="80"/>
  <c r="DA231" i="80"/>
  <c r="BE231" i="80"/>
  <c r="FM231" i="80"/>
  <c r="DP278" i="80"/>
  <c r="DR278" i="80" s="1"/>
  <c r="CR297" i="79"/>
  <c r="DX278" i="80"/>
  <c r="DZ278" i="80" s="1"/>
  <c r="FM125" i="79"/>
  <c r="EG60" i="79"/>
  <c r="CS91" i="79"/>
  <c r="CT91" i="79" s="1"/>
  <c r="Z373" i="80"/>
  <c r="CR124" i="80"/>
  <c r="CT124" i="80" s="1"/>
  <c r="BE103" i="79"/>
  <c r="CR58" i="80"/>
  <c r="CT58" i="80" s="1"/>
  <c r="AF70" i="80"/>
  <c r="AH70" i="80" s="1"/>
  <c r="Y231" i="80"/>
  <c r="BM231" i="80"/>
  <c r="CJ278" i="80"/>
  <c r="CL278" i="80" s="1"/>
  <c r="X278" i="80"/>
  <c r="Z278" i="80" s="1"/>
  <c r="BT109" i="79"/>
  <c r="BV109" i="79" s="1"/>
  <c r="AV108" i="79"/>
  <c r="AX108" i="79" s="1"/>
  <c r="AW103" i="80"/>
  <c r="CB155" i="80"/>
  <c r="CD155" i="80" s="1"/>
  <c r="CC60" i="79"/>
  <c r="EW60" i="79"/>
  <c r="DQ103" i="79"/>
  <c r="Y103" i="79"/>
  <c r="CR140" i="79"/>
  <c r="AP192" i="80"/>
  <c r="FD154" i="79"/>
  <c r="CR154" i="79"/>
  <c r="DQ231" i="80"/>
  <c r="BT278" i="80"/>
  <c r="BV278" i="80" s="1"/>
  <c r="CZ278" i="80"/>
  <c r="DB278" i="80" s="1"/>
  <c r="BD278" i="80"/>
  <c r="BF278" i="80" s="1"/>
  <c r="AF278" i="80"/>
  <c r="AH278" i="80" s="1"/>
  <c r="AU404" i="79"/>
  <c r="AU425" i="79" s="1"/>
  <c r="BS143" i="79"/>
  <c r="BE60" i="79"/>
  <c r="BM60" i="79"/>
  <c r="BF373" i="80"/>
  <c r="BT153" i="79"/>
  <c r="BV153" i="79" s="1"/>
  <c r="DY103" i="79"/>
  <c r="Q195" i="79"/>
  <c r="R195" i="79" s="1"/>
  <c r="EP192" i="80"/>
  <c r="CZ205" i="80"/>
  <c r="DB205" i="80" s="1"/>
  <c r="FL154" i="79"/>
  <c r="FN154" i="79" s="1"/>
  <c r="AU420" i="79"/>
  <c r="EO231" i="80"/>
  <c r="FD278" i="80"/>
  <c r="FF278" i="80" s="1"/>
  <c r="EN278" i="80"/>
  <c r="EP278" i="80" s="1"/>
  <c r="BE109" i="80"/>
  <c r="BF109" i="80" s="1"/>
  <c r="EH374" i="79"/>
  <c r="EP210" i="80"/>
  <c r="DH126" i="79"/>
  <c r="CS25" i="80"/>
  <c r="CS401" i="80" s="1"/>
  <c r="EV24" i="80"/>
  <c r="EV400" i="80" s="1"/>
  <c r="AV24" i="80"/>
  <c r="AV400" i="80" s="1"/>
  <c r="BE23" i="80"/>
  <c r="BE399" i="80" s="1"/>
  <c r="CZ70" i="80"/>
  <c r="DB70" i="80" s="1"/>
  <c r="BE112" i="79"/>
  <c r="BF112" i="79" s="1"/>
  <c r="AN132" i="79"/>
  <c r="AP132" i="79" s="1"/>
  <c r="DI132" i="79"/>
  <c r="DY147" i="80"/>
  <c r="DZ147" i="80" s="1"/>
  <c r="DG26" i="80"/>
  <c r="DQ62" i="79"/>
  <c r="FD184" i="80"/>
  <c r="CB184" i="80"/>
  <c r="EN185" i="80"/>
  <c r="EP185" i="80" s="1"/>
  <c r="BT184" i="80"/>
  <c r="FN374" i="79"/>
  <c r="AH374" i="79"/>
  <c r="X132" i="79"/>
  <c r="Z132" i="79" s="1"/>
  <c r="DZ192" i="80"/>
  <c r="FE210" i="79"/>
  <c r="EW210" i="79"/>
  <c r="DZ294" i="80"/>
  <c r="AN98" i="80"/>
  <c r="AP98" i="80" s="1"/>
  <c r="CJ147" i="80"/>
  <c r="CL147" i="80" s="1"/>
  <c r="Q62" i="79"/>
  <c r="BF374" i="79"/>
  <c r="BD23" i="80"/>
  <c r="BD399" i="80" s="1"/>
  <c r="DX29" i="79"/>
  <c r="DX30" i="79" s="1"/>
  <c r="EW62" i="79"/>
  <c r="EF114" i="79"/>
  <c r="EH114" i="79" s="1"/>
  <c r="AO113" i="80"/>
  <c r="AP113" i="80" s="1"/>
  <c r="AF132" i="79"/>
  <c r="AH132" i="79" s="1"/>
  <c r="EN154" i="79"/>
  <c r="EP154" i="79" s="1"/>
  <c r="BC402" i="80"/>
  <c r="CS114" i="79"/>
  <c r="CT114" i="79" s="1"/>
  <c r="EW58" i="80"/>
  <c r="EX58" i="80" s="1"/>
  <c r="DH184" i="80"/>
  <c r="CR184" i="80"/>
  <c r="EX374" i="79"/>
  <c r="CS210" i="79"/>
  <c r="EG210" i="79"/>
  <c r="DQ210" i="79"/>
  <c r="CD276" i="80"/>
  <c r="DR374" i="79"/>
  <c r="BE62" i="79"/>
  <c r="J374" i="80"/>
  <c r="EH374" i="80" s="1"/>
  <c r="I202" i="85"/>
  <c r="BV374" i="79"/>
  <c r="EP374" i="79"/>
  <c r="CS371" i="79"/>
  <c r="J191" i="79"/>
  <c r="J196" i="79" s="1"/>
  <c r="CZ29" i="79"/>
  <c r="CZ30" i="79" s="1"/>
  <c r="CJ29" i="79"/>
  <c r="CJ30" i="79" s="1"/>
  <c r="CJ418" i="79" s="1"/>
  <c r="BD132" i="79"/>
  <c r="BF132" i="79" s="1"/>
  <c r="CZ124" i="80"/>
  <c r="DB124" i="80" s="1"/>
  <c r="DG401" i="80"/>
  <c r="AG62" i="79"/>
  <c r="CJ184" i="80"/>
  <c r="P184" i="80"/>
  <c r="BD184" i="80"/>
  <c r="EV114" i="79"/>
  <c r="EX114" i="79" s="1"/>
  <c r="P188" i="80"/>
  <c r="R188" i="80" s="1"/>
  <c r="CL374" i="79"/>
  <c r="FF374" i="79"/>
  <c r="FD132" i="79"/>
  <c r="AN70" i="79"/>
  <c r="AP70" i="79" s="1"/>
  <c r="FM210" i="79"/>
  <c r="CK210" i="79"/>
  <c r="BE210" i="79"/>
  <c r="J301" i="79"/>
  <c r="J302" i="79" s="1"/>
  <c r="R374" i="79"/>
  <c r="J191" i="80"/>
  <c r="J196" i="80" s="1"/>
  <c r="EN16" i="80"/>
  <c r="EN410" i="80" s="1"/>
  <c r="BD29" i="79"/>
  <c r="BD30" i="79" s="1"/>
  <c r="DI62" i="79"/>
  <c r="CK114" i="79"/>
  <c r="CL114" i="79" s="1"/>
  <c r="CR108" i="79"/>
  <c r="CT108" i="79" s="1"/>
  <c r="P124" i="80"/>
  <c r="R124" i="80" s="1"/>
  <c r="DX132" i="79"/>
  <c r="DZ132" i="79" s="1"/>
  <c r="AW129" i="79"/>
  <c r="AX129" i="79" s="1"/>
  <c r="EV147" i="80"/>
  <c r="EX147" i="80" s="1"/>
  <c r="CZ154" i="80"/>
  <c r="DB154" i="80" s="1"/>
  <c r="CS62" i="79"/>
  <c r="EV184" i="80"/>
  <c r="AF184" i="80"/>
  <c r="EN184" i="80"/>
  <c r="CR188" i="80"/>
  <c r="CT188" i="80" s="1"/>
  <c r="BN188" i="80"/>
  <c r="EV132" i="79"/>
  <c r="DJ374" i="79"/>
  <c r="DA210" i="79"/>
  <c r="BM210" i="79"/>
  <c r="AO210" i="79"/>
  <c r="AW210" i="79"/>
  <c r="X249" i="80"/>
  <c r="Z249" i="80" s="1"/>
  <c r="AP280" i="80"/>
  <c r="BN374" i="79"/>
  <c r="J301" i="80"/>
  <c r="J302" i="80" s="1"/>
  <c r="F20" i="32"/>
  <c r="AV29" i="79"/>
  <c r="AV30" i="79" s="1"/>
  <c r="AV403" i="79" s="1"/>
  <c r="CC62" i="79"/>
  <c r="DP99" i="79"/>
  <c r="DR99" i="79" s="1"/>
  <c r="FL132" i="79"/>
  <c r="FN132" i="79" s="1"/>
  <c r="FE154" i="79"/>
  <c r="BM155" i="80"/>
  <c r="BN155" i="80" s="1"/>
  <c r="AW62" i="79"/>
  <c r="DA62" i="79"/>
  <c r="CJ185" i="80"/>
  <c r="AV184" i="80"/>
  <c r="DX184" i="80"/>
  <c r="AF188" i="80"/>
  <c r="AH188" i="80" s="1"/>
  <c r="DZ374" i="79"/>
  <c r="AG125" i="79"/>
  <c r="AH125" i="79" s="1"/>
  <c r="J369" i="85"/>
  <c r="L180" i="90" s="1"/>
  <c r="AV132" i="79"/>
  <c r="AX132" i="79" s="1"/>
  <c r="CC210" i="79"/>
  <c r="AG210" i="79"/>
  <c r="BU210" i="79"/>
  <c r="CZ24" i="80"/>
  <c r="CZ400" i="80" s="1"/>
  <c r="CZ132" i="79"/>
  <c r="DB132" i="79" s="1"/>
  <c r="CT374" i="79"/>
  <c r="J36" i="26"/>
  <c r="F15" i="32" s="1"/>
  <c r="FE29" i="79"/>
  <c r="FE30" i="79" s="1"/>
  <c r="FE403" i="79" s="1"/>
  <c r="FE424" i="79" s="1"/>
  <c r="AN24" i="80"/>
  <c r="AN400" i="80" s="1"/>
  <c r="AO62" i="79"/>
  <c r="EO62" i="79"/>
  <c r="EN108" i="79"/>
  <c r="EP108" i="79" s="1"/>
  <c r="DW403" i="79"/>
  <c r="DW424" i="79" s="1"/>
  <c r="FE62" i="79"/>
  <c r="CK62" i="79"/>
  <c r="CZ184" i="80"/>
  <c r="DB184" i="80" s="1"/>
  <c r="AN184" i="80"/>
  <c r="Y114" i="79"/>
  <c r="Z114" i="79" s="1"/>
  <c r="AP374" i="79"/>
  <c r="CI418" i="79"/>
  <c r="CL192" i="80"/>
  <c r="DY210" i="79"/>
  <c r="Q210" i="79"/>
  <c r="DA231" i="79"/>
  <c r="CS231" i="79"/>
  <c r="FD24" i="80"/>
  <c r="FD400" i="80" s="1"/>
  <c r="BE114" i="80"/>
  <c r="BF114" i="80" s="1"/>
  <c r="O143" i="79"/>
  <c r="BL372" i="80"/>
  <c r="CC372" i="79"/>
  <c r="FD34" i="79"/>
  <c r="EF115" i="79"/>
  <c r="EH115" i="79" s="1"/>
  <c r="P372" i="80"/>
  <c r="BT372" i="80"/>
  <c r="DP372" i="80"/>
  <c r="CJ372" i="80"/>
  <c r="AN372" i="80"/>
  <c r="DA372" i="79"/>
  <c r="FL372" i="80"/>
  <c r="DP24" i="80"/>
  <c r="DP400" i="80" s="1"/>
  <c r="EN125" i="80"/>
  <c r="EP125" i="80" s="1"/>
  <c r="BT121" i="80"/>
  <c r="BV121" i="80" s="1"/>
  <c r="AV154" i="80"/>
  <c r="AX154" i="80" s="1"/>
  <c r="AV372" i="80"/>
  <c r="AN108" i="79"/>
  <c r="AP108" i="79" s="1"/>
  <c r="DY130" i="80"/>
  <c r="DZ130" i="80" s="1"/>
  <c r="CS154" i="79"/>
  <c r="Y69" i="80"/>
  <c r="Z69" i="80" s="1"/>
  <c r="X372" i="80"/>
  <c r="DX372" i="80"/>
  <c r="CZ372" i="80"/>
  <c r="CR25" i="79"/>
  <c r="CR401" i="79" s="1"/>
  <c r="EG115" i="80"/>
  <c r="EH115" i="80" s="1"/>
  <c r="CK129" i="80"/>
  <c r="CL129" i="80" s="1"/>
  <c r="EN372" i="80"/>
  <c r="FD25" i="79"/>
  <c r="FF25" i="79" s="1"/>
  <c r="FF401" i="79" s="1"/>
  <c r="EW132" i="79"/>
  <c r="BE130" i="80"/>
  <c r="BF130" i="80" s="1"/>
  <c r="EF372" i="80"/>
  <c r="FD372" i="80"/>
  <c r="FM139" i="80"/>
  <c r="CB108" i="79"/>
  <c r="CD108" i="79" s="1"/>
  <c r="EH205" i="79"/>
  <c r="BF201" i="80"/>
  <c r="BV270" i="80"/>
  <c r="AW98" i="80"/>
  <c r="AX98" i="80" s="1"/>
  <c r="DP155" i="80"/>
  <c r="DR155" i="80" s="1"/>
  <c r="BT99" i="80"/>
  <c r="BV99" i="80" s="1"/>
  <c r="EF107" i="80"/>
  <c r="EH107" i="80" s="1"/>
  <c r="FM103" i="80"/>
  <c r="EW191" i="80"/>
  <c r="I373" i="79"/>
  <c r="BE373" i="79" s="1"/>
  <c r="Z372" i="79"/>
  <c r="FF372" i="79"/>
  <c r="AH192" i="80"/>
  <c r="X206" i="80"/>
  <c r="BF372" i="79"/>
  <c r="Y373" i="80"/>
  <c r="DR372" i="79"/>
  <c r="AH372" i="79"/>
  <c r="EP372" i="79"/>
  <c r="EP270" i="79"/>
  <c r="CT372" i="79"/>
  <c r="EX372" i="79"/>
  <c r="AX372" i="79"/>
  <c r="CL372" i="79"/>
  <c r="DZ372" i="79"/>
  <c r="EH372" i="79"/>
  <c r="FM191" i="80"/>
  <c r="DQ191" i="79"/>
  <c r="CD372" i="79"/>
  <c r="BV372" i="79"/>
  <c r="Q295" i="79"/>
  <c r="EX192" i="80"/>
  <c r="BU191" i="79"/>
  <c r="CR191" i="79"/>
  <c r="Y191" i="80"/>
  <c r="DJ372" i="79"/>
  <c r="CD192" i="80"/>
  <c r="BF59" i="80"/>
  <c r="Y295" i="80"/>
  <c r="Z295" i="80" s="1"/>
  <c r="DQ191" i="80"/>
  <c r="CS191" i="80"/>
  <c r="BE191" i="80"/>
  <c r="CS191" i="79"/>
  <c r="DP191" i="79"/>
  <c r="FE191" i="80"/>
  <c r="EE484" i="80"/>
  <c r="EE465" i="80" s="1"/>
  <c r="EE191" i="80" s="1"/>
  <c r="G196" i="85"/>
  <c r="C15" i="32"/>
  <c r="C21" i="32" s="1"/>
  <c r="C24" i="32" s="1"/>
  <c r="CI481" i="80"/>
  <c r="CI484" i="80" s="1"/>
  <c r="CI465" i="80" s="1"/>
  <c r="CI191" i="80" s="1"/>
  <c r="CI487" i="80"/>
  <c r="CI488" i="80" s="1"/>
  <c r="CI489" i="80" s="1"/>
  <c r="CI466" i="80" s="1"/>
  <c r="CI301" i="80" s="1"/>
  <c r="CI302" i="80" s="1"/>
  <c r="G196" i="80"/>
  <c r="G237" i="80" s="1"/>
  <c r="BU191" i="80"/>
  <c r="AO191" i="80"/>
  <c r="AW191" i="80"/>
  <c r="AU315" i="80"/>
  <c r="AU331" i="80" s="1"/>
  <c r="AO191" i="79"/>
  <c r="BT191" i="79"/>
  <c r="EW191" i="79"/>
  <c r="DG487" i="80"/>
  <c r="DG488" i="80" s="1"/>
  <c r="DG489" i="80" s="1"/>
  <c r="DG466" i="80" s="1"/>
  <c r="DG301" i="80" s="1"/>
  <c r="DG481" i="80"/>
  <c r="DG484" i="80" s="1"/>
  <c r="DG465" i="80" s="1"/>
  <c r="DG191" i="80" s="1"/>
  <c r="BK489" i="79"/>
  <c r="EU315" i="80"/>
  <c r="EU331" i="80" s="1"/>
  <c r="AM302" i="80"/>
  <c r="AM315" i="80"/>
  <c r="AM331" i="80" s="1"/>
  <c r="BC315" i="80"/>
  <c r="BC331" i="80" s="1"/>
  <c r="FK315" i="80"/>
  <c r="FK331" i="80" s="1"/>
  <c r="E75" i="37"/>
  <c r="E15" i="37" s="1"/>
  <c r="CA489" i="79"/>
  <c r="CA466" i="79" s="1"/>
  <c r="CA301" i="79" s="1"/>
  <c r="I301" i="79"/>
  <c r="I302" i="79" s="1"/>
  <c r="DG489" i="79"/>
  <c r="DG466" i="79" s="1"/>
  <c r="DG301" i="79" s="1"/>
  <c r="FC489" i="79"/>
  <c r="FC466" i="79" s="1"/>
  <c r="FC301" i="79" s="1"/>
  <c r="I301" i="80"/>
  <c r="I302" i="80" s="1"/>
  <c r="I301" i="85"/>
  <c r="K168" i="90" s="1"/>
  <c r="FK466" i="79"/>
  <c r="FK301" i="79" s="1"/>
  <c r="EE466" i="79"/>
  <c r="EE301" i="79" s="1"/>
  <c r="EE302" i="79" s="1"/>
  <c r="EE315" i="79" s="1"/>
  <c r="EE331" i="79" s="1"/>
  <c r="BK466" i="79"/>
  <c r="BK301" i="79" s="1"/>
  <c r="BK302" i="79" s="1"/>
  <c r="BS466" i="79"/>
  <c r="BS301" i="79" s="1"/>
  <c r="DO302" i="79"/>
  <c r="FK302" i="79"/>
  <c r="AU466" i="79"/>
  <c r="AU301" i="79" s="1"/>
  <c r="AU302" i="79" s="1"/>
  <c r="AU315" i="79" s="1"/>
  <c r="AU331" i="79" s="1"/>
  <c r="CI489" i="79"/>
  <c r="CI466" i="79" s="1"/>
  <c r="CI301" i="79" s="1"/>
  <c r="CY466" i="79"/>
  <c r="CY301" i="79" s="1"/>
  <c r="BC466" i="79"/>
  <c r="BC301" i="79" s="1"/>
  <c r="BC302" i="79" s="1"/>
  <c r="BC315" i="79" s="1"/>
  <c r="BC331" i="79" s="1"/>
  <c r="EM466" i="79"/>
  <c r="EM301" i="79" s="1"/>
  <c r="EM302" i="79" s="1"/>
  <c r="CQ466" i="79"/>
  <c r="CQ301" i="79" s="1"/>
  <c r="CQ302" i="79" s="1"/>
  <c r="CQ315" i="79" s="1"/>
  <c r="CQ331" i="79" s="1"/>
  <c r="EU302" i="79"/>
  <c r="EU315" i="79" s="1"/>
  <c r="EU331" i="79" s="1"/>
  <c r="CQ315" i="80"/>
  <c r="CQ331" i="80" s="1"/>
  <c r="AM466" i="79"/>
  <c r="AM301" i="79" s="1"/>
  <c r="Q191" i="80"/>
  <c r="O196" i="80"/>
  <c r="DI191" i="79"/>
  <c r="DH191" i="79"/>
  <c r="DA191" i="79"/>
  <c r="CY196" i="79"/>
  <c r="CC191" i="79"/>
  <c r="BE191" i="79"/>
  <c r="DA191" i="80"/>
  <c r="AG191" i="80"/>
  <c r="DY191" i="80"/>
  <c r="EG191" i="79"/>
  <c r="CC191" i="80"/>
  <c r="EG191" i="80"/>
  <c r="EO191" i="80"/>
  <c r="O487" i="79"/>
  <c r="O488" i="79" s="1"/>
  <c r="O489" i="79" s="1"/>
  <c r="O466" i="79" s="1"/>
  <c r="O301" i="79" s="1"/>
  <c r="O481" i="79"/>
  <c r="O484" i="79" s="1"/>
  <c r="O465" i="79" s="1"/>
  <c r="O191" i="79" s="1"/>
  <c r="CI484" i="79"/>
  <c r="CI465" i="79" s="1"/>
  <c r="CI191" i="79" s="1"/>
  <c r="AN191" i="79"/>
  <c r="BM191" i="79"/>
  <c r="BK487" i="80"/>
  <c r="BK488" i="80" s="1"/>
  <c r="BK489" i="80" s="1"/>
  <c r="BK466" i="80" s="1"/>
  <c r="BK301" i="80" s="1"/>
  <c r="BK481" i="80"/>
  <c r="BK484" i="80" s="1"/>
  <c r="BK465" i="80" s="1"/>
  <c r="BK191" i="80" s="1"/>
  <c r="BK196" i="80" s="1"/>
  <c r="FE191" i="79"/>
  <c r="G302" i="80"/>
  <c r="G315" i="80" s="1"/>
  <c r="G331" i="80" s="1"/>
  <c r="G302" i="79"/>
  <c r="G315" i="79" s="1"/>
  <c r="G331" i="79" s="1"/>
  <c r="FM191" i="79"/>
  <c r="DW481" i="79"/>
  <c r="DW484" i="79" s="1"/>
  <c r="DW465" i="79" s="1"/>
  <c r="DW191" i="79" s="1"/>
  <c r="DW487" i="79"/>
  <c r="DW488" i="79" s="1"/>
  <c r="DW489" i="79" s="1"/>
  <c r="DW466" i="79" s="1"/>
  <c r="DW301" i="79" s="1"/>
  <c r="E21" i="37"/>
  <c r="E51" i="37"/>
  <c r="AG191" i="79"/>
  <c r="W487" i="79"/>
  <c r="W488" i="79" s="1"/>
  <c r="W489" i="79" s="1"/>
  <c r="W466" i="79" s="1"/>
  <c r="W301" i="79" s="1"/>
  <c r="W481" i="79"/>
  <c r="W484" i="79" s="1"/>
  <c r="W465" i="79" s="1"/>
  <c r="W191" i="79" s="1"/>
  <c r="W196" i="79" s="1"/>
  <c r="FF371" i="80"/>
  <c r="R371" i="80"/>
  <c r="H371" i="80"/>
  <c r="BL371" i="80" s="1"/>
  <c r="Y178" i="79"/>
  <c r="CS189" i="80"/>
  <c r="AO295" i="79"/>
  <c r="FE295" i="80"/>
  <c r="FF295" i="80" s="1"/>
  <c r="DI295" i="80"/>
  <c r="DJ295" i="80" s="1"/>
  <c r="DI295" i="79"/>
  <c r="CC295" i="80"/>
  <c r="CD295" i="80" s="1"/>
  <c r="BN371" i="80"/>
  <c r="DB371" i="80"/>
  <c r="EW178" i="79"/>
  <c r="AO178" i="79"/>
  <c r="FM189" i="80"/>
  <c r="CC276" i="79"/>
  <c r="BM295" i="79"/>
  <c r="EW295" i="79"/>
  <c r="EP371" i="80"/>
  <c r="FN371" i="80"/>
  <c r="DJ229" i="79"/>
  <c r="Q178" i="79"/>
  <c r="R178" i="79" s="1"/>
  <c r="FM178" i="79"/>
  <c r="CK178" i="79"/>
  <c r="EH185" i="79"/>
  <c r="BU189" i="80"/>
  <c r="EF297" i="79"/>
  <c r="CS295" i="79"/>
  <c r="DQ295" i="80"/>
  <c r="DR295" i="80" s="1"/>
  <c r="EN297" i="79"/>
  <c r="FE295" i="79"/>
  <c r="BV371" i="80"/>
  <c r="EH371" i="80"/>
  <c r="DY178" i="79"/>
  <c r="DA178" i="79"/>
  <c r="CC178" i="79"/>
  <c r="BE178" i="79"/>
  <c r="AW178" i="79"/>
  <c r="BU295" i="79"/>
  <c r="AW295" i="80"/>
  <c r="AX295" i="80" s="1"/>
  <c r="DY295" i="79"/>
  <c r="EO295" i="79"/>
  <c r="Q295" i="80"/>
  <c r="R295" i="80" s="1"/>
  <c r="CT371" i="80"/>
  <c r="Z371" i="80"/>
  <c r="J215" i="79"/>
  <c r="EO178" i="79"/>
  <c r="CS178" i="79"/>
  <c r="BM178" i="79"/>
  <c r="Q189" i="80"/>
  <c r="CK295" i="79"/>
  <c r="EW295" i="80"/>
  <c r="EX295" i="80" s="1"/>
  <c r="DA295" i="79"/>
  <c r="BU295" i="80"/>
  <c r="BV295" i="80" s="1"/>
  <c r="AG295" i="79"/>
  <c r="FM295" i="80"/>
  <c r="FN295" i="80" s="1"/>
  <c r="EO295" i="80"/>
  <c r="EP295" i="80" s="1"/>
  <c r="AO295" i="80"/>
  <c r="AP295" i="80" s="1"/>
  <c r="CT295" i="80"/>
  <c r="EM371" i="79"/>
  <c r="CA371" i="79"/>
  <c r="AU371" i="79"/>
  <c r="O371" i="79"/>
  <c r="FC371" i="79"/>
  <c r="EE371" i="79"/>
  <c r="BS371" i="79"/>
  <c r="DO371" i="79"/>
  <c r="DW371" i="79"/>
  <c r="CY371" i="79"/>
  <c r="AE371" i="79"/>
  <c r="CI371" i="79"/>
  <c r="CQ371" i="79"/>
  <c r="FK371" i="79"/>
  <c r="W371" i="79"/>
  <c r="BK371" i="79"/>
  <c r="BC371" i="79"/>
  <c r="EU371" i="79"/>
  <c r="DG371" i="79"/>
  <c r="AM371" i="79"/>
  <c r="DJ371" i="80"/>
  <c r="H374" i="80"/>
  <c r="AN374" i="80" s="1"/>
  <c r="AH189" i="80"/>
  <c r="BU178" i="79"/>
  <c r="DQ178" i="79"/>
  <c r="BE295" i="79"/>
  <c r="AG295" i="80"/>
  <c r="AH295" i="80" s="1"/>
  <c r="DY295" i="80"/>
  <c r="DZ295" i="80" s="1"/>
  <c r="BE295" i="80"/>
  <c r="BF295" i="80" s="1"/>
  <c r="EG295" i="80"/>
  <c r="EH295" i="80" s="1"/>
  <c r="H374" i="79"/>
  <c r="BL374" i="79" s="1"/>
  <c r="FN108" i="79"/>
  <c r="EG189" i="80"/>
  <c r="BM295" i="80"/>
  <c r="BN295" i="80" s="1"/>
  <c r="DQ295" i="79"/>
  <c r="DA295" i="80"/>
  <c r="DB295" i="80" s="1"/>
  <c r="EG295" i="79"/>
  <c r="FM295" i="79"/>
  <c r="CK295" i="80"/>
  <c r="CL295" i="80" s="1"/>
  <c r="Y295" i="79"/>
  <c r="Z295" i="79" s="1"/>
  <c r="AF297" i="79"/>
  <c r="CT294" i="80"/>
  <c r="BF194" i="80"/>
  <c r="CA375" i="80"/>
  <c r="BC375" i="80"/>
  <c r="CQ375" i="80"/>
  <c r="O375" i="80"/>
  <c r="BS375" i="80"/>
  <c r="AU375" i="80"/>
  <c r="BK375" i="80"/>
  <c r="DW375" i="80"/>
  <c r="FK375" i="80"/>
  <c r="AM375" i="80"/>
  <c r="DO375" i="80"/>
  <c r="FC375" i="80"/>
  <c r="AE375" i="80"/>
  <c r="EE375" i="80"/>
  <c r="DG375" i="80"/>
  <c r="EU375" i="80"/>
  <c r="W375" i="80"/>
  <c r="CY375" i="80"/>
  <c r="EM375" i="80"/>
  <c r="CI375" i="80"/>
  <c r="DG375" i="79"/>
  <c r="AU375" i="79"/>
  <c r="DO375" i="79"/>
  <c r="CY375" i="79"/>
  <c r="AE375" i="79"/>
  <c r="FK375" i="79"/>
  <c r="EU375" i="79"/>
  <c r="W375" i="79"/>
  <c r="BC375" i="79"/>
  <c r="FC375" i="79"/>
  <c r="EM375" i="79"/>
  <c r="CI375" i="79"/>
  <c r="O375" i="79"/>
  <c r="DW375" i="79"/>
  <c r="EE375" i="79"/>
  <c r="BS375" i="79"/>
  <c r="BK375" i="79"/>
  <c r="CQ375" i="79"/>
  <c r="AM375" i="79"/>
  <c r="CA375" i="79"/>
  <c r="E17" i="82"/>
  <c r="Q17" i="82" s="1"/>
  <c r="S17" i="82" s="1"/>
  <c r="G17" i="82"/>
  <c r="F17" i="82"/>
  <c r="EU373" i="79"/>
  <c r="W373" i="79"/>
  <c r="BS373" i="79"/>
  <c r="EE373" i="79"/>
  <c r="FC373" i="79"/>
  <c r="EM373" i="79"/>
  <c r="BK373" i="79"/>
  <c r="DW373" i="79"/>
  <c r="DG373" i="79"/>
  <c r="BC373" i="79"/>
  <c r="DO373" i="79"/>
  <c r="O373" i="79"/>
  <c r="FK373" i="79"/>
  <c r="CA373" i="79"/>
  <c r="AE373" i="79"/>
  <c r="AM373" i="79"/>
  <c r="CQ373" i="79"/>
  <c r="AU373" i="79"/>
  <c r="CY373" i="79"/>
  <c r="G378" i="79"/>
  <c r="CI373" i="79"/>
  <c r="CA374" i="80"/>
  <c r="CA378" i="80" s="1"/>
  <c r="AU374" i="80"/>
  <c r="AU378" i="80" s="1"/>
  <c r="CQ374" i="80"/>
  <c r="CQ378" i="80" s="1"/>
  <c r="BC374" i="80"/>
  <c r="BC378" i="80" s="1"/>
  <c r="EE374" i="80"/>
  <c r="EE378" i="80" s="1"/>
  <c r="BS374" i="80"/>
  <c r="BS378" i="80" s="1"/>
  <c r="AM374" i="80"/>
  <c r="AM378" i="80" s="1"/>
  <c r="DW374" i="80"/>
  <c r="DW378" i="80" s="1"/>
  <c r="FK374" i="80"/>
  <c r="FK378" i="80" s="1"/>
  <c r="AE374" i="80"/>
  <c r="AE378" i="80" s="1"/>
  <c r="BK374" i="80"/>
  <c r="BK378" i="80" s="1"/>
  <c r="O374" i="80"/>
  <c r="O378" i="80" s="1"/>
  <c r="DO374" i="80"/>
  <c r="DO378" i="80" s="1"/>
  <c r="FC374" i="80"/>
  <c r="FC378" i="80" s="1"/>
  <c r="W374" i="80"/>
  <c r="W378" i="80" s="1"/>
  <c r="CI374" i="80"/>
  <c r="CI378" i="80" s="1"/>
  <c r="DG374" i="80"/>
  <c r="DG378" i="80" s="1"/>
  <c r="EU374" i="80"/>
  <c r="EU378" i="80" s="1"/>
  <c r="CY374" i="80"/>
  <c r="CY378" i="80" s="1"/>
  <c r="EM374" i="80"/>
  <c r="EM378" i="80" s="1"/>
  <c r="E18" i="82"/>
  <c r="F18" i="82"/>
  <c r="G18" i="82"/>
  <c r="DB68" i="79"/>
  <c r="D21" i="82"/>
  <c r="D22" i="82" s="1"/>
  <c r="CY374" i="79"/>
  <c r="DG374" i="79"/>
  <c r="AE374" i="79"/>
  <c r="EE374" i="79"/>
  <c r="O374" i="79"/>
  <c r="BS374" i="79"/>
  <c r="FC374" i="79"/>
  <c r="FK374" i="79"/>
  <c r="DO374" i="79"/>
  <c r="CQ374" i="79"/>
  <c r="EU374" i="79"/>
  <c r="DW374" i="79"/>
  <c r="CI374" i="79"/>
  <c r="EM374" i="79"/>
  <c r="BC374" i="79"/>
  <c r="CA374" i="79"/>
  <c r="AM374" i="79"/>
  <c r="W374" i="79"/>
  <c r="BK374" i="79"/>
  <c r="AU374" i="79"/>
  <c r="P185" i="80"/>
  <c r="BL185" i="80"/>
  <c r="CR185" i="80"/>
  <c r="CT185" i="80" s="1"/>
  <c r="FM231" i="79"/>
  <c r="BM231" i="79"/>
  <c r="BE231" i="79"/>
  <c r="CB249" i="80"/>
  <c r="CD249" i="80" s="1"/>
  <c r="EF207" i="79"/>
  <c r="DP185" i="80"/>
  <c r="BT185" i="80"/>
  <c r="AF185" i="80"/>
  <c r="AH185" i="80" s="1"/>
  <c r="DH185" i="80"/>
  <c r="DJ185" i="80" s="1"/>
  <c r="FF184" i="79"/>
  <c r="DQ231" i="79"/>
  <c r="DY231" i="79"/>
  <c r="EN249" i="80"/>
  <c r="EP249" i="80" s="1"/>
  <c r="EF185" i="80"/>
  <c r="EH185" i="80" s="1"/>
  <c r="EV185" i="80"/>
  <c r="CC231" i="79"/>
  <c r="Q231" i="79"/>
  <c r="BD249" i="80"/>
  <c r="BF249" i="80" s="1"/>
  <c r="FD185" i="80"/>
  <c r="FN192" i="80"/>
  <c r="CK231" i="79"/>
  <c r="EW231" i="79"/>
  <c r="BT249" i="80"/>
  <c r="BV249" i="80" s="1"/>
  <c r="CB185" i="80"/>
  <c r="AG231" i="79"/>
  <c r="FE231" i="79"/>
  <c r="CJ249" i="80"/>
  <c r="CL249" i="80" s="1"/>
  <c r="FD297" i="79"/>
  <c r="AN185" i="80"/>
  <c r="AV185" i="80"/>
  <c r="BF192" i="80"/>
  <c r="AO231" i="79"/>
  <c r="BU231" i="79"/>
  <c r="DI231" i="79"/>
  <c r="BL249" i="80"/>
  <c r="BN249" i="80" s="1"/>
  <c r="X185" i="80"/>
  <c r="FL185" i="80"/>
  <c r="BD185" i="80"/>
  <c r="Y231" i="79"/>
  <c r="AW231" i="79"/>
  <c r="EG231" i="79"/>
  <c r="DX249" i="80"/>
  <c r="DZ249" i="80" s="1"/>
  <c r="Q45" i="35"/>
  <c r="Q46" i="35" s="1"/>
  <c r="S46" i="35" s="1"/>
  <c r="Q45" i="82"/>
  <c r="Q46" i="82" s="1"/>
  <c r="S46" i="82" s="1"/>
  <c r="R1" i="82"/>
  <c r="R1" i="35"/>
  <c r="FL297" i="79"/>
  <c r="CT155" i="80"/>
  <c r="EP232" i="79"/>
  <c r="BN67" i="79"/>
  <c r="Z268" i="79"/>
  <c r="CL268" i="79"/>
  <c r="FN211" i="79"/>
  <c r="EP185" i="79"/>
  <c r="DA424" i="80"/>
  <c r="EP22" i="80"/>
  <c r="DI184" i="80"/>
  <c r="DR185" i="79"/>
  <c r="DR129" i="79"/>
  <c r="DX375" i="80"/>
  <c r="Q184" i="80"/>
  <c r="DR67" i="79"/>
  <c r="AX201" i="80"/>
  <c r="DJ201" i="80"/>
  <c r="EH201" i="80"/>
  <c r="BF185" i="79"/>
  <c r="EH278" i="80"/>
  <c r="BV294" i="80"/>
  <c r="FF192" i="80"/>
  <c r="DJ189" i="79"/>
  <c r="DR178" i="80"/>
  <c r="BN185" i="79"/>
  <c r="FF182" i="79"/>
  <c r="DR268" i="79"/>
  <c r="DB178" i="80"/>
  <c r="DR155" i="79"/>
  <c r="BN99" i="80"/>
  <c r="CC195" i="79"/>
  <c r="CD195" i="79" s="1"/>
  <c r="EG195" i="79"/>
  <c r="EH195" i="79" s="1"/>
  <c r="AW371" i="79"/>
  <c r="J207" i="80"/>
  <c r="EO371" i="79"/>
  <c r="CB372" i="80"/>
  <c r="EV372" i="80"/>
  <c r="H100" i="80"/>
  <c r="DY184" i="80"/>
  <c r="CC184" i="80"/>
  <c r="BM195" i="79"/>
  <c r="BN195" i="79" s="1"/>
  <c r="AG195" i="79"/>
  <c r="AH195" i="79" s="1"/>
  <c r="BL205" i="80"/>
  <c r="BN205" i="80" s="1"/>
  <c r="EV205" i="80"/>
  <c r="EX205" i="80" s="1"/>
  <c r="DH205" i="80"/>
  <c r="DJ205" i="80" s="1"/>
  <c r="P205" i="80"/>
  <c r="DH249" i="80"/>
  <c r="DJ249" i="80" s="1"/>
  <c r="CZ249" i="80"/>
  <c r="DB249" i="80" s="1"/>
  <c r="EF249" i="80"/>
  <c r="EH249" i="80" s="1"/>
  <c r="AP226" i="79"/>
  <c r="FM371" i="79"/>
  <c r="BD372" i="80"/>
  <c r="DQ184" i="80"/>
  <c r="DR184" i="80" s="1"/>
  <c r="BU184" i="80"/>
  <c r="DQ195" i="79"/>
  <c r="DR195" i="79" s="1"/>
  <c r="CL115" i="80"/>
  <c r="BT205" i="80"/>
  <c r="BV205" i="80" s="1"/>
  <c r="BD205" i="80"/>
  <c r="BF205" i="80" s="1"/>
  <c r="X205" i="80"/>
  <c r="CJ248" i="79"/>
  <c r="CR249" i="80"/>
  <c r="CT249" i="80" s="1"/>
  <c r="FL249" i="80"/>
  <c r="FN249" i="80" s="1"/>
  <c r="P249" i="80"/>
  <c r="R249" i="80" s="1"/>
  <c r="Q278" i="79"/>
  <c r="R278" i="79" s="1"/>
  <c r="CK371" i="79"/>
  <c r="DY371" i="79"/>
  <c r="BU371" i="79"/>
  <c r="FE371" i="79"/>
  <c r="Y184" i="80"/>
  <c r="BE184" i="80"/>
  <c r="AG184" i="80"/>
  <c r="AW184" i="80"/>
  <c r="FM184" i="80"/>
  <c r="FN184" i="80" s="1"/>
  <c r="DA195" i="79"/>
  <c r="DB195" i="79" s="1"/>
  <c r="FD205" i="80"/>
  <c r="FF205" i="80" s="1"/>
  <c r="CB248" i="79"/>
  <c r="DX248" i="79"/>
  <c r="Y371" i="79"/>
  <c r="AG371" i="79"/>
  <c r="EO184" i="80"/>
  <c r="AO184" i="80"/>
  <c r="FE184" i="80"/>
  <c r="CK184" i="80"/>
  <c r="CS195" i="79"/>
  <c r="CT195" i="79" s="1"/>
  <c r="EW195" i="79"/>
  <c r="EX195" i="79" s="1"/>
  <c r="Z201" i="80"/>
  <c r="DP205" i="80"/>
  <c r="DR205" i="80" s="1"/>
  <c r="CB205" i="80"/>
  <c r="CD205" i="80" s="1"/>
  <c r="X248" i="79"/>
  <c r="DP249" i="80"/>
  <c r="DR249" i="80" s="1"/>
  <c r="FD249" i="80"/>
  <c r="FF249" i="80" s="1"/>
  <c r="BE371" i="79"/>
  <c r="AO371" i="79"/>
  <c r="DI371" i="79"/>
  <c r="J402" i="80"/>
  <c r="J405" i="80" s="1"/>
  <c r="J409" i="80" s="1"/>
  <c r="CS184" i="80"/>
  <c r="BM184" i="80"/>
  <c r="DZ185" i="79"/>
  <c r="DY195" i="79"/>
  <c r="DZ195" i="79" s="1"/>
  <c r="AW195" i="79"/>
  <c r="AX195" i="79" s="1"/>
  <c r="AO195" i="79"/>
  <c r="AP195" i="79" s="1"/>
  <c r="Y195" i="79"/>
  <c r="Z195" i="79" s="1"/>
  <c r="DI195" i="79"/>
  <c r="DJ195" i="79" s="1"/>
  <c r="BN201" i="80"/>
  <c r="DR201" i="80"/>
  <c r="BV201" i="80"/>
  <c r="EF205" i="80"/>
  <c r="EN205" i="80"/>
  <c r="EP205" i="80" s="1"/>
  <c r="AN249" i="80"/>
  <c r="AP249" i="80" s="1"/>
  <c r="AV249" i="80"/>
  <c r="AX249" i="80" s="1"/>
  <c r="EW371" i="79"/>
  <c r="AF372" i="80"/>
  <c r="BF147" i="80"/>
  <c r="EW184" i="80"/>
  <c r="Z194" i="80"/>
  <c r="BF195" i="79"/>
  <c r="FM195" i="79"/>
  <c r="FN195" i="79" s="1"/>
  <c r="FE195" i="79"/>
  <c r="FF195" i="79" s="1"/>
  <c r="BU195" i="79"/>
  <c r="BV195" i="79" s="1"/>
  <c r="CK195" i="79"/>
  <c r="CL195" i="79" s="1"/>
  <c r="AV205" i="80"/>
  <c r="AX205" i="80" s="1"/>
  <c r="FL205" i="80"/>
  <c r="FN205" i="80" s="1"/>
  <c r="AF249" i="80"/>
  <c r="AH249" i="80" s="1"/>
  <c r="FL206" i="80"/>
  <c r="FE278" i="79"/>
  <c r="FF278" i="79" s="1"/>
  <c r="DX297" i="79"/>
  <c r="BT297" i="79"/>
  <c r="BT280" i="79"/>
  <c r="EP201" i="80"/>
  <c r="CZ297" i="79"/>
  <c r="P297" i="79"/>
  <c r="CJ206" i="80"/>
  <c r="CJ207" i="80" s="1"/>
  <c r="DP297" i="79"/>
  <c r="H207" i="80"/>
  <c r="BL297" i="79"/>
  <c r="CB276" i="79"/>
  <c r="P248" i="79"/>
  <c r="CZ248" i="79"/>
  <c r="EF248" i="79"/>
  <c r="BL248" i="79"/>
  <c r="AV248" i="79"/>
  <c r="AV276" i="80"/>
  <c r="AX276" i="80" s="1"/>
  <c r="CR248" i="79"/>
  <c r="AF248" i="79"/>
  <c r="DP248" i="79"/>
  <c r="BV69" i="79"/>
  <c r="FL248" i="79"/>
  <c r="DH248" i="79"/>
  <c r="CB297" i="79"/>
  <c r="EV248" i="79"/>
  <c r="FL276" i="80"/>
  <c r="FN276" i="80" s="1"/>
  <c r="BT248" i="79"/>
  <c r="BD248" i="79"/>
  <c r="Q280" i="80"/>
  <c r="R280" i="80" s="1"/>
  <c r="DH297" i="79"/>
  <c r="AN297" i="79"/>
  <c r="AH67" i="79"/>
  <c r="EN248" i="79"/>
  <c r="AN248" i="79"/>
  <c r="CJ297" i="79"/>
  <c r="AV297" i="79"/>
  <c r="BE297" i="79"/>
  <c r="BK315" i="79"/>
  <c r="BK331" i="79" s="1"/>
  <c r="X297" i="79"/>
  <c r="DG298" i="79"/>
  <c r="AM298" i="79"/>
  <c r="CA315" i="80"/>
  <c r="CA331" i="80" s="1"/>
  <c r="BD297" i="79"/>
  <c r="C22" i="7"/>
  <c r="G331" i="85" s="1"/>
  <c r="G315" i="85"/>
  <c r="EF294" i="80"/>
  <c r="EE298" i="80"/>
  <c r="EE315" i="80" s="1"/>
  <c r="EE331" i="80" s="1"/>
  <c r="EG294" i="80"/>
  <c r="DJ294" i="79"/>
  <c r="DP294" i="80"/>
  <c r="DR294" i="80" s="1"/>
  <c r="DO298" i="80"/>
  <c r="DO315" i="80" s="1"/>
  <c r="DO331" i="80" s="1"/>
  <c r="O298" i="80"/>
  <c r="O315" i="80" s="1"/>
  <c r="O331" i="80" s="1"/>
  <c r="CZ294" i="80"/>
  <c r="DA294" i="80"/>
  <c r="Y294" i="80"/>
  <c r="W298" i="80"/>
  <c r="W315" i="80" s="1"/>
  <c r="W331" i="80" s="1"/>
  <c r="X294" i="80"/>
  <c r="CK294" i="80"/>
  <c r="CJ294" i="80"/>
  <c r="BM294" i="80"/>
  <c r="BL294" i="80"/>
  <c r="P294" i="80"/>
  <c r="Q294" i="80"/>
  <c r="FE294" i="80"/>
  <c r="FD294" i="80"/>
  <c r="EW294" i="80"/>
  <c r="EV294" i="80"/>
  <c r="Y297" i="79"/>
  <c r="DI297" i="79"/>
  <c r="EG297" i="79"/>
  <c r="AG297" i="79"/>
  <c r="FE297" i="79"/>
  <c r="BU297" i="79"/>
  <c r="EW297" i="79"/>
  <c r="EX297" i="79" s="1"/>
  <c r="DA297" i="79"/>
  <c r="DY297" i="79"/>
  <c r="EO297" i="79"/>
  <c r="BM297" i="79"/>
  <c r="Q297" i="79"/>
  <c r="DQ297" i="79"/>
  <c r="CS297" i="79"/>
  <c r="AO297" i="79"/>
  <c r="AG297" i="80"/>
  <c r="CB295" i="79"/>
  <c r="AN295" i="79"/>
  <c r="DH295" i="79"/>
  <c r="FL295" i="79"/>
  <c r="BL295" i="79"/>
  <c r="DP295" i="79"/>
  <c r="CJ295" i="79"/>
  <c r="CR295" i="79"/>
  <c r="EF295" i="79"/>
  <c r="DX295" i="79"/>
  <c r="BT295" i="79"/>
  <c r="CZ295" i="79"/>
  <c r="P295" i="79"/>
  <c r="BD295" i="79"/>
  <c r="AV295" i="79"/>
  <c r="EN295" i="79"/>
  <c r="AF295" i="79"/>
  <c r="CK297" i="79"/>
  <c r="CC297" i="79"/>
  <c r="FM297" i="79"/>
  <c r="AW297" i="80"/>
  <c r="AO297" i="80"/>
  <c r="DQ297" i="80"/>
  <c r="CK297" i="80"/>
  <c r="EO297" i="80"/>
  <c r="Y297" i="80"/>
  <c r="CC297" i="80"/>
  <c r="CD297" i="80" s="1"/>
  <c r="FE297" i="80"/>
  <c r="BM297" i="80"/>
  <c r="DY297" i="80"/>
  <c r="FM297" i="80"/>
  <c r="EG297" i="80"/>
  <c r="Q297" i="80"/>
  <c r="DA297" i="80"/>
  <c r="EW297" i="80"/>
  <c r="DI297" i="80"/>
  <c r="BE297" i="80"/>
  <c r="BU297" i="80"/>
  <c r="AW297" i="79"/>
  <c r="EV295" i="79"/>
  <c r="FD295" i="79"/>
  <c r="AG291" i="79"/>
  <c r="DY291" i="79"/>
  <c r="FE291" i="79"/>
  <c r="EW291" i="79"/>
  <c r="FM291" i="79"/>
  <c r="BE291" i="79"/>
  <c r="EG291" i="79"/>
  <c r="AW291" i="79"/>
  <c r="Q291" i="79"/>
  <c r="EO291" i="79"/>
  <c r="BM291" i="79"/>
  <c r="DI291" i="79"/>
  <c r="Y291" i="79"/>
  <c r="CK291" i="79"/>
  <c r="CC291" i="79"/>
  <c r="CS291" i="79"/>
  <c r="DA291" i="79"/>
  <c r="EO291" i="80"/>
  <c r="BT291" i="80"/>
  <c r="CJ291" i="80"/>
  <c r="EF291" i="80"/>
  <c r="BD291" i="80"/>
  <c r="AF291" i="80"/>
  <c r="FD291" i="80"/>
  <c r="X291" i="80"/>
  <c r="AV291" i="80"/>
  <c r="CZ291" i="80"/>
  <c r="P291" i="80"/>
  <c r="EV291" i="80"/>
  <c r="CR291" i="80"/>
  <c r="DP291" i="80"/>
  <c r="DX291" i="80"/>
  <c r="CB291" i="80"/>
  <c r="FL291" i="80"/>
  <c r="BM291" i="80"/>
  <c r="AO291" i="79"/>
  <c r="EN291" i="80"/>
  <c r="AG291" i="80"/>
  <c r="EW291" i="80"/>
  <c r="BE291" i="80"/>
  <c r="FM291" i="80"/>
  <c r="FE291" i="80"/>
  <c r="CK291" i="80"/>
  <c r="Y291" i="80"/>
  <c r="DY291" i="80"/>
  <c r="DA291" i="80"/>
  <c r="DQ291" i="80"/>
  <c r="Q291" i="80"/>
  <c r="EG291" i="80"/>
  <c r="CS291" i="80"/>
  <c r="AW291" i="80"/>
  <c r="CC291" i="80"/>
  <c r="BU291" i="80"/>
  <c r="DH291" i="80"/>
  <c r="DI291" i="80"/>
  <c r="BL291" i="80"/>
  <c r="DQ291" i="79"/>
  <c r="BU291" i="79"/>
  <c r="AE283" i="79"/>
  <c r="AE328" i="79" s="1"/>
  <c r="AW276" i="79"/>
  <c r="AV276" i="79"/>
  <c r="Q279" i="79"/>
  <c r="DY279" i="79"/>
  <c r="Y279" i="79"/>
  <c r="CK279" i="79"/>
  <c r="BE279" i="79"/>
  <c r="FE279" i="79"/>
  <c r="AW279" i="79"/>
  <c r="AG279" i="79"/>
  <c r="AO279" i="79"/>
  <c r="DA279" i="79"/>
  <c r="FM279" i="79"/>
  <c r="CC279" i="79"/>
  <c r="BM279" i="79"/>
  <c r="DQ279" i="79"/>
  <c r="EW279" i="79"/>
  <c r="EG279" i="79"/>
  <c r="BU279" i="79"/>
  <c r="AU281" i="79"/>
  <c r="BC281" i="79"/>
  <c r="BE276" i="79"/>
  <c r="BD276" i="79"/>
  <c r="CR279" i="79"/>
  <c r="P276" i="79"/>
  <c r="Q276" i="79"/>
  <c r="O281" i="79"/>
  <c r="FE276" i="79"/>
  <c r="FD276" i="79"/>
  <c r="EG278" i="79"/>
  <c r="EH278" i="79" s="1"/>
  <c r="AO278" i="79"/>
  <c r="AP278" i="79" s="1"/>
  <c r="EW278" i="79"/>
  <c r="EX278" i="79" s="1"/>
  <c r="BE278" i="79"/>
  <c r="BF278" i="79" s="1"/>
  <c r="EO278" i="79"/>
  <c r="EP278" i="79" s="1"/>
  <c r="CC278" i="79"/>
  <c r="CD278" i="79" s="1"/>
  <c r="AW278" i="79"/>
  <c r="AX278" i="79" s="1"/>
  <c r="AG278" i="79"/>
  <c r="AH278" i="79" s="1"/>
  <c r="DA278" i="79"/>
  <c r="DB278" i="79" s="1"/>
  <c r="BM278" i="79"/>
  <c r="BN278" i="79" s="1"/>
  <c r="DQ278" i="79"/>
  <c r="DR278" i="79" s="1"/>
  <c r="BU278" i="79"/>
  <c r="BV278" i="79" s="1"/>
  <c r="CK278" i="79"/>
  <c r="CL278" i="79" s="1"/>
  <c r="CS278" i="79"/>
  <c r="CT278" i="79" s="1"/>
  <c r="Y278" i="79"/>
  <c r="Z278" i="79" s="1"/>
  <c r="DH276" i="79"/>
  <c r="DG281" i="79"/>
  <c r="DI276" i="79"/>
  <c r="DH277" i="79"/>
  <c r="AN277" i="79"/>
  <c r="DX277" i="79"/>
  <c r="EN277" i="79"/>
  <c r="X277" i="79"/>
  <c r="BL277" i="79"/>
  <c r="CJ277" i="79"/>
  <c r="P277" i="79"/>
  <c r="CR277" i="79"/>
  <c r="BD277" i="79"/>
  <c r="EF277" i="79"/>
  <c r="AV277" i="79"/>
  <c r="EV277" i="79"/>
  <c r="FL277" i="79"/>
  <c r="CZ277" i="79"/>
  <c r="AF277" i="79"/>
  <c r="CB277" i="79"/>
  <c r="DP277" i="79"/>
  <c r="FD277" i="79"/>
  <c r="EW276" i="79"/>
  <c r="EV276" i="79"/>
  <c r="BU276" i="79"/>
  <c r="BT276" i="79"/>
  <c r="EN280" i="79"/>
  <c r="CJ280" i="79"/>
  <c r="BL280" i="79"/>
  <c r="CZ280" i="79"/>
  <c r="CB280" i="79"/>
  <c r="DP280" i="79"/>
  <c r="DH280" i="79"/>
  <c r="EV280" i="79"/>
  <c r="P280" i="79"/>
  <c r="FL280" i="79"/>
  <c r="AV280" i="79"/>
  <c r="X280" i="79"/>
  <c r="AN280" i="79"/>
  <c r="FD280" i="79"/>
  <c r="AF280" i="79"/>
  <c r="EF280" i="79"/>
  <c r="BD280" i="79"/>
  <c r="BF280" i="79" s="1"/>
  <c r="CB277" i="80"/>
  <c r="CD277" i="80" s="1"/>
  <c r="CR280" i="79"/>
  <c r="FE277" i="79"/>
  <c r="DY277" i="79"/>
  <c r="DI277" i="79"/>
  <c r="BM277" i="79"/>
  <c r="CK277" i="79"/>
  <c r="Q277" i="79"/>
  <c r="CC277" i="79"/>
  <c r="AO277" i="79"/>
  <c r="EO277" i="79"/>
  <c r="EW277" i="79"/>
  <c r="AG277" i="79"/>
  <c r="BE277" i="79"/>
  <c r="Y277" i="79"/>
  <c r="BU277" i="79"/>
  <c r="CS277" i="79"/>
  <c r="DA277" i="79"/>
  <c r="DQ277" i="79"/>
  <c r="EG277" i="79"/>
  <c r="FM277" i="79"/>
  <c r="AW277" i="79"/>
  <c r="O283" i="79"/>
  <c r="O328" i="79" s="1"/>
  <c r="EU283" i="79"/>
  <c r="EU328" i="79" s="1"/>
  <c r="BC283" i="80"/>
  <c r="BC328" i="80" s="1"/>
  <c r="X276" i="79"/>
  <c r="Y276" i="79"/>
  <c r="CJ277" i="80"/>
  <c r="CL277" i="80" s="1"/>
  <c r="DI280" i="79"/>
  <c r="EW280" i="79"/>
  <c r="EO280" i="79"/>
  <c r="BM280" i="79"/>
  <c r="DQ280" i="79"/>
  <c r="Q280" i="79"/>
  <c r="FE280" i="79"/>
  <c r="CS280" i="79"/>
  <c r="AW280" i="79"/>
  <c r="EG280" i="79"/>
  <c r="AG280" i="79"/>
  <c r="CK280" i="79"/>
  <c r="CC280" i="79"/>
  <c r="Y280" i="79"/>
  <c r="DA280" i="79"/>
  <c r="FM280" i="79"/>
  <c r="AO280" i="79"/>
  <c r="BU280" i="79"/>
  <c r="AV277" i="80"/>
  <c r="AX277" i="80" s="1"/>
  <c r="FL277" i="80"/>
  <c r="FN277" i="80" s="1"/>
  <c r="BL277" i="80"/>
  <c r="BN277" i="80" s="1"/>
  <c r="AF277" i="80"/>
  <c r="AH277" i="80" s="1"/>
  <c r="EF277" i="80"/>
  <c r="EH277" i="80" s="1"/>
  <c r="DX277" i="80"/>
  <c r="DZ277" i="80" s="1"/>
  <c r="BD277" i="80"/>
  <c r="BF277" i="80" s="1"/>
  <c r="X277" i="80"/>
  <c r="Z277" i="80" s="1"/>
  <c r="FD277" i="80"/>
  <c r="FF277" i="80" s="1"/>
  <c r="DP277" i="80"/>
  <c r="DR277" i="80" s="1"/>
  <c r="AN277" i="80"/>
  <c r="AP277" i="80" s="1"/>
  <c r="P277" i="80"/>
  <c r="R277" i="80" s="1"/>
  <c r="EN277" i="80"/>
  <c r="EP277" i="80" s="1"/>
  <c r="EV277" i="80"/>
  <c r="EX277" i="80" s="1"/>
  <c r="DY276" i="79"/>
  <c r="DX276" i="79"/>
  <c r="DH277" i="80"/>
  <c r="DI277" i="80"/>
  <c r="BT277" i="79"/>
  <c r="FE280" i="80"/>
  <c r="FF280" i="80" s="1"/>
  <c r="CC280" i="80"/>
  <c r="CD280" i="80" s="1"/>
  <c r="DQ280" i="80"/>
  <c r="DR280" i="80" s="1"/>
  <c r="EO280" i="80"/>
  <c r="EP280" i="80" s="1"/>
  <c r="AW280" i="80"/>
  <c r="AX280" i="80" s="1"/>
  <c r="EG280" i="80"/>
  <c r="EH280" i="80" s="1"/>
  <c r="AG280" i="80"/>
  <c r="AH280" i="80" s="1"/>
  <c r="BE280" i="80"/>
  <c r="BF280" i="80" s="1"/>
  <c r="Y280" i="80"/>
  <c r="Z280" i="80" s="1"/>
  <c r="DY280" i="80"/>
  <c r="DZ280" i="80" s="1"/>
  <c r="DI280" i="80"/>
  <c r="DJ280" i="80" s="1"/>
  <c r="CK280" i="80"/>
  <c r="CL280" i="80" s="1"/>
  <c r="FM280" i="80"/>
  <c r="FN280" i="80" s="1"/>
  <c r="CS280" i="80"/>
  <c r="CT280" i="80" s="1"/>
  <c r="DA280" i="80"/>
  <c r="DB280" i="80" s="1"/>
  <c r="BU280" i="80"/>
  <c r="BV280" i="80" s="1"/>
  <c r="X279" i="79"/>
  <c r="CB279" i="79"/>
  <c r="CZ279" i="79"/>
  <c r="FL279" i="79"/>
  <c r="CJ279" i="79"/>
  <c r="FD279" i="79"/>
  <c r="EV279" i="79"/>
  <c r="AF279" i="79"/>
  <c r="BT279" i="79"/>
  <c r="P279" i="79"/>
  <c r="DH279" i="79"/>
  <c r="BD279" i="79"/>
  <c r="BL279" i="79"/>
  <c r="DP279" i="79"/>
  <c r="DX279" i="79"/>
  <c r="AN279" i="79"/>
  <c r="AV279" i="79"/>
  <c r="DP276" i="79"/>
  <c r="DQ276" i="79"/>
  <c r="DO281" i="79"/>
  <c r="DO283" i="79" s="1"/>
  <c r="DO328" i="79" s="1"/>
  <c r="EU281" i="79"/>
  <c r="CZ277" i="80"/>
  <c r="DA277" i="80"/>
  <c r="FC281" i="79"/>
  <c r="EF279" i="79"/>
  <c r="FM278" i="79"/>
  <c r="FN278" i="79" s="1"/>
  <c r="CZ276" i="79"/>
  <c r="DB276" i="79" s="1"/>
  <c r="CJ276" i="80"/>
  <c r="CL276" i="80" s="1"/>
  <c r="AN276" i="80"/>
  <c r="AP276" i="80" s="1"/>
  <c r="BT276" i="80"/>
  <c r="BV276" i="80" s="1"/>
  <c r="P276" i="80"/>
  <c r="R276" i="80" s="1"/>
  <c r="DH276" i="80"/>
  <c r="DJ276" i="80" s="1"/>
  <c r="EN276" i="80"/>
  <c r="EP276" i="80" s="1"/>
  <c r="AF276" i="80"/>
  <c r="AH276" i="80" s="1"/>
  <c r="FD276" i="80"/>
  <c r="FF276" i="80" s="1"/>
  <c r="DX276" i="80"/>
  <c r="DZ276" i="80" s="1"/>
  <c r="DP276" i="80"/>
  <c r="DR276" i="80" s="1"/>
  <c r="CR276" i="80"/>
  <c r="CT276" i="80" s="1"/>
  <c r="EV276" i="80"/>
  <c r="EX276" i="80" s="1"/>
  <c r="X276" i="80"/>
  <c r="Z276" i="80" s="1"/>
  <c r="CZ276" i="80"/>
  <c r="DB276" i="80" s="1"/>
  <c r="EF276" i="80"/>
  <c r="EH276" i="80" s="1"/>
  <c r="BL276" i="80"/>
  <c r="BN276" i="80" s="1"/>
  <c r="BD276" i="80"/>
  <c r="BF276" i="80" s="1"/>
  <c r="EF276" i="79"/>
  <c r="EE281" i="79"/>
  <c r="EG276" i="79"/>
  <c r="EW280" i="80"/>
  <c r="EX280" i="80" s="1"/>
  <c r="CR277" i="80"/>
  <c r="CT277" i="80" s="1"/>
  <c r="EM281" i="79"/>
  <c r="EN276" i="79"/>
  <c r="EO276" i="79"/>
  <c r="AN276" i="79"/>
  <c r="AO276" i="79"/>
  <c r="BM280" i="80"/>
  <c r="BL280" i="80"/>
  <c r="DW281" i="79"/>
  <c r="EO279" i="79"/>
  <c r="EP279" i="79" s="1"/>
  <c r="DI279" i="79"/>
  <c r="BL276" i="79"/>
  <c r="BK281" i="79"/>
  <c r="BK283" i="79" s="1"/>
  <c r="BK328" i="79" s="1"/>
  <c r="BM276" i="79"/>
  <c r="DW283" i="79"/>
  <c r="DW328" i="79" s="1"/>
  <c r="CK276" i="79"/>
  <c r="CJ276" i="79"/>
  <c r="CI281" i="79"/>
  <c r="CI283" i="79" s="1"/>
  <c r="CI328" i="79" s="1"/>
  <c r="CR276" i="79"/>
  <c r="CQ281" i="79"/>
  <c r="CS276" i="79"/>
  <c r="FM276" i="79"/>
  <c r="FL276" i="79"/>
  <c r="FK281" i="79"/>
  <c r="FK283" i="79" s="1"/>
  <c r="FK328" i="79" s="1"/>
  <c r="DY278" i="79"/>
  <c r="DX278" i="79"/>
  <c r="CS279" i="79"/>
  <c r="DY280" i="79"/>
  <c r="DZ280" i="79" s="1"/>
  <c r="BS271" i="80"/>
  <c r="BS283" i="80" s="1"/>
  <c r="BS328" i="80" s="1"/>
  <c r="CZ270" i="79"/>
  <c r="DA270" i="79"/>
  <c r="BD270" i="79"/>
  <c r="BE270" i="79"/>
  <c r="AW270" i="79"/>
  <c r="AV270" i="79"/>
  <c r="AO270" i="79"/>
  <c r="AN270" i="79"/>
  <c r="BD268" i="79"/>
  <c r="BC271" i="79"/>
  <c r="BC283" i="79" s="1"/>
  <c r="BC328" i="79" s="1"/>
  <c r="BE268" i="79"/>
  <c r="AM271" i="79"/>
  <c r="AM283" i="79" s="1"/>
  <c r="AM328" i="79" s="1"/>
  <c r="AN268" i="79"/>
  <c r="AO268" i="79"/>
  <c r="EN268" i="79"/>
  <c r="EM271" i="79"/>
  <c r="EO268" i="79"/>
  <c r="EE271" i="79"/>
  <c r="EE283" i="79" s="1"/>
  <c r="EE328" i="79" s="1"/>
  <c r="EG268" i="79"/>
  <c r="EF268" i="79"/>
  <c r="DX268" i="79"/>
  <c r="DY268" i="79"/>
  <c r="DA268" i="79"/>
  <c r="CZ268" i="79"/>
  <c r="CY271" i="79"/>
  <c r="CY283" i="79" s="1"/>
  <c r="CY328" i="79" s="1"/>
  <c r="FC271" i="79"/>
  <c r="FC283" i="79" s="1"/>
  <c r="FC328" i="79" s="1"/>
  <c r="FD268" i="79"/>
  <c r="FE268" i="79"/>
  <c r="BT268" i="79"/>
  <c r="BS271" i="79"/>
  <c r="BS283" i="79" s="1"/>
  <c r="BS328" i="79" s="1"/>
  <c r="BU268" i="79"/>
  <c r="BL268" i="79"/>
  <c r="BM268" i="79"/>
  <c r="AU271" i="79"/>
  <c r="AU283" i="79" s="1"/>
  <c r="AU328" i="79" s="1"/>
  <c r="AV268" i="79"/>
  <c r="AW268" i="79"/>
  <c r="CR268" i="79"/>
  <c r="CQ271" i="79"/>
  <c r="CQ283" i="79" s="1"/>
  <c r="CQ328" i="79" s="1"/>
  <c r="CS268" i="79"/>
  <c r="DG271" i="79"/>
  <c r="DG283" i="79" s="1"/>
  <c r="DG328" i="79" s="1"/>
  <c r="DH268" i="79"/>
  <c r="DI268" i="79"/>
  <c r="EW268" i="79"/>
  <c r="EV268" i="79"/>
  <c r="AF268" i="79"/>
  <c r="AG268" i="79"/>
  <c r="CB268" i="79"/>
  <c r="CA271" i="79"/>
  <c r="CA283" i="79" s="1"/>
  <c r="CA328" i="79" s="1"/>
  <c r="CC268" i="79"/>
  <c r="P268" i="79"/>
  <c r="Q268" i="79"/>
  <c r="G283" i="85"/>
  <c r="C19" i="7"/>
  <c r="G328" i="85" s="1"/>
  <c r="FM268" i="79"/>
  <c r="FL268" i="79"/>
  <c r="EX178" i="80"/>
  <c r="BE62" i="80"/>
  <c r="DO196" i="79"/>
  <c r="EP91" i="79"/>
  <c r="DW196" i="79"/>
  <c r="CD201" i="80"/>
  <c r="EP226" i="80"/>
  <c r="BC196" i="80"/>
  <c r="CJ154" i="79"/>
  <c r="DP154" i="79"/>
  <c r="AE235" i="80"/>
  <c r="FF201" i="80"/>
  <c r="Q254" i="79"/>
  <c r="R254" i="79" s="1"/>
  <c r="EW232" i="79"/>
  <c r="EV232" i="79"/>
  <c r="Y150" i="79"/>
  <c r="Z150" i="79" s="1"/>
  <c r="EN254" i="79"/>
  <c r="EO254" i="79"/>
  <c r="Y372" i="80"/>
  <c r="X16" i="80"/>
  <c r="X410" i="80" s="1"/>
  <c r="DQ96" i="79"/>
  <c r="EM410" i="80"/>
  <c r="BD106" i="80"/>
  <c r="BF106" i="80" s="1"/>
  <c r="CZ115" i="80"/>
  <c r="DB115" i="80" s="1"/>
  <c r="Y113" i="80"/>
  <c r="Z113" i="80" s="1"/>
  <c r="BK403" i="79"/>
  <c r="BK424" i="79" s="1"/>
  <c r="EM196" i="79"/>
  <c r="CA235" i="79"/>
  <c r="DA232" i="79"/>
  <c r="CZ232" i="79"/>
  <c r="BM232" i="79"/>
  <c r="BL232" i="79"/>
  <c r="DQ232" i="79"/>
  <c r="DP232" i="79"/>
  <c r="FE372" i="80"/>
  <c r="G426" i="79"/>
  <c r="H418" i="80"/>
  <c r="Y16" i="80"/>
  <c r="Y410" i="80" s="1"/>
  <c r="Y426" i="80" s="1"/>
  <c r="DW398" i="79"/>
  <c r="BL29" i="79"/>
  <c r="BL30" i="79" s="1"/>
  <c r="DQ106" i="80"/>
  <c r="DR106" i="80" s="1"/>
  <c r="FK196" i="80"/>
  <c r="BK235" i="80"/>
  <c r="EM235" i="80"/>
  <c r="EV232" i="80"/>
  <c r="EW232" i="80"/>
  <c r="AO232" i="79"/>
  <c r="AN232" i="79"/>
  <c r="CR254" i="79"/>
  <c r="CS254" i="79"/>
  <c r="CJ254" i="79"/>
  <c r="CK254" i="79"/>
  <c r="BE372" i="80"/>
  <c r="DX22" i="79"/>
  <c r="DX398" i="79" s="1"/>
  <c r="DX24" i="80"/>
  <c r="DX400" i="80" s="1"/>
  <c r="CK139" i="79"/>
  <c r="CL139" i="79" s="1"/>
  <c r="DG403" i="79"/>
  <c r="DG424" i="79" s="1"/>
  <c r="EO115" i="80"/>
  <c r="EP115" i="80" s="1"/>
  <c r="CQ418" i="79"/>
  <c r="CQ420" i="79" s="1"/>
  <c r="X232" i="79"/>
  <c r="Y232" i="79"/>
  <c r="EF232" i="79"/>
  <c r="EG232" i="79"/>
  <c r="DX254" i="79"/>
  <c r="DY254" i="79"/>
  <c r="BU372" i="80"/>
  <c r="AN92" i="80"/>
  <c r="AP92" i="80" s="1"/>
  <c r="DH29" i="79"/>
  <c r="DH30" i="79" s="1"/>
  <c r="DQ154" i="79"/>
  <c r="AV124" i="80"/>
  <c r="AX124" i="80" s="1"/>
  <c r="AW69" i="79"/>
  <c r="AX69" i="79" s="1"/>
  <c r="CA202" i="79"/>
  <c r="CS232" i="80"/>
  <c r="CR232" i="80"/>
  <c r="BK202" i="79"/>
  <c r="FE254" i="79"/>
  <c r="FD254" i="79"/>
  <c r="CB232" i="79"/>
  <c r="CC232" i="79"/>
  <c r="EF254" i="79"/>
  <c r="EG254" i="79"/>
  <c r="CR150" i="80"/>
  <c r="CT150" i="80" s="1"/>
  <c r="CB98" i="80"/>
  <c r="CD98" i="80" s="1"/>
  <c r="EV108" i="79"/>
  <c r="EX108" i="79" s="1"/>
  <c r="BU125" i="79"/>
  <c r="BV125" i="79" s="1"/>
  <c r="EE235" i="79"/>
  <c r="DO235" i="79"/>
  <c r="CQ202" i="79"/>
  <c r="AV254" i="79"/>
  <c r="AW254" i="79"/>
  <c r="FE226" i="80"/>
  <c r="FD226" i="80"/>
  <c r="CA19" i="80"/>
  <c r="DA16" i="80"/>
  <c r="DA410" i="80" s="1"/>
  <c r="DA426" i="80" s="1"/>
  <c r="EO69" i="79"/>
  <c r="EP69" i="79" s="1"/>
  <c r="X98" i="80"/>
  <c r="Z98" i="80" s="1"/>
  <c r="CC103" i="80"/>
  <c r="DY141" i="79"/>
  <c r="DZ141" i="79" s="1"/>
  <c r="AO70" i="80"/>
  <c r="AP70" i="80" s="1"/>
  <c r="Q232" i="80"/>
  <c r="P232" i="80"/>
  <c r="BU232" i="80"/>
  <c r="BT232" i="80"/>
  <c r="BT254" i="79"/>
  <c r="BU254" i="79"/>
  <c r="CR29" i="79"/>
  <c r="CR30" i="79" s="1"/>
  <c r="CR403" i="79" s="1"/>
  <c r="CR424" i="79" s="1"/>
  <c r="CY410" i="80"/>
  <c r="D38" i="35"/>
  <c r="EW103" i="80"/>
  <c r="FM147" i="79"/>
  <c r="FN147" i="79" s="1"/>
  <c r="AO62" i="80"/>
  <c r="CB254" i="79"/>
  <c r="CC254" i="79"/>
  <c r="AF232" i="79"/>
  <c r="AG232" i="79"/>
  <c r="FM254" i="79"/>
  <c r="FL254" i="79"/>
  <c r="DQ254" i="79"/>
  <c r="DP254" i="79"/>
  <c r="DY226" i="80"/>
  <c r="DX226" i="80"/>
  <c r="EW226" i="80"/>
  <c r="EV226" i="80"/>
  <c r="AO226" i="80"/>
  <c r="AN226" i="80"/>
  <c r="X226" i="80"/>
  <c r="Y226" i="80"/>
  <c r="CS182" i="79"/>
  <c r="CR182" i="79"/>
  <c r="BD226" i="80"/>
  <c r="BE226" i="80"/>
  <c r="Q182" i="79"/>
  <c r="P182" i="79"/>
  <c r="BU182" i="79"/>
  <c r="BT182" i="79"/>
  <c r="CR226" i="80"/>
  <c r="CS226" i="80"/>
  <c r="EW241" i="80"/>
  <c r="EV241" i="80"/>
  <c r="DH182" i="79"/>
  <c r="DI182" i="79"/>
  <c r="EV182" i="79"/>
  <c r="EW182" i="79"/>
  <c r="DP226" i="80"/>
  <c r="DQ226" i="80"/>
  <c r="CB201" i="79"/>
  <c r="CC226" i="80"/>
  <c r="CB226" i="80"/>
  <c r="AM215" i="80"/>
  <c r="AN212" i="80"/>
  <c r="BU226" i="80"/>
  <c r="BT226" i="80"/>
  <c r="BE182" i="79"/>
  <c r="BD182" i="79"/>
  <c r="CZ182" i="79"/>
  <c r="DA182" i="79"/>
  <c r="FL205" i="79"/>
  <c r="FM205" i="79"/>
  <c r="AW181" i="79"/>
  <c r="AV181" i="79"/>
  <c r="AF226" i="80"/>
  <c r="AG226" i="80"/>
  <c r="Y241" i="79"/>
  <c r="X241" i="79"/>
  <c r="BD241" i="79"/>
  <c r="BE241" i="79"/>
  <c r="CS226" i="79"/>
  <c r="CR226" i="79"/>
  <c r="AW241" i="79"/>
  <c r="AV241" i="79"/>
  <c r="BS235" i="79"/>
  <c r="DX226" i="79"/>
  <c r="DY226" i="79"/>
  <c r="BL182" i="79"/>
  <c r="BM182" i="79"/>
  <c r="CC182" i="79"/>
  <c r="CB182" i="79"/>
  <c r="AF182" i="79"/>
  <c r="AG182" i="79"/>
  <c r="DH226" i="80"/>
  <c r="DI226" i="80"/>
  <c r="DA232" i="80"/>
  <c r="CZ232" i="80"/>
  <c r="DP182" i="79"/>
  <c r="DQ182" i="79"/>
  <c r="AV226" i="80"/>
  <c r="AW226" i="80"/>
  <c r="CJ226" i="80"/>
  <c r="CK226" i="80"/>
  <c r="DZ370" i="80"/>
  <c r="AV182" i="79"/>
  <c r="AW182" i="79"/>
  <c r="CZ226" i="80"/>
  <c r="DA226" i="80"/>
  <c r="BM226" i="80"/>
  <c r="BL226" i="80"/>
  <c r="Q226" i="80"/>
  <c r="P226" i="80"/>
  <c r="EO182" i="79"/>
  <c r="EN182" i="79"/>
  <c r="DW235" i="79"/>
  <c r="Q226" i="79"/>
  <c r="P226" i="79"/>
  <c r="X182" i="79"/>
  <c r="Y182" i="79"/>
  <c r="DY182" i="79"/>
  <c r="DX182" i="79"/>
  <c r="CJ98" i="80"/>
  <c r="CL98" i="80" s="1"/>
  <c r="DP70" i="80"/>
  <c r="DR70" i="80" s="1"/>
  <c r="BN372" i="79"/>
  <c r="AO125" i="80"/>
  <c r="AP125" i="80" s="1"/>
  <c r="CQ235" i="79"/>
  <c r="FE99" i="80"/>
  <c r="FF99" i="80" s="1"/>
  <c r="EF182" i="79"/>
  <c r="EG182" i="79"/>
  <c r="AG142" i="80"/>
  <c r="AH142" i="80" s="1"/>
  <c r="DR194" i="80"/>
  <c r="DI70" i="80"/>
  <c r="DJ70" i="80" s="1"/>
  <c r="CR185" i="79"/>
  <c r="CS185" i="79"/>
  <c r="BK235" i="79"/>
  <c r="AP370" i="80"/>
  <c r="FD139" i="80"/>
  <c r="FF139" i="80" s="1"/>
  <c r="BU141" i="79"/>
  <c r="BV141" i="79" s="1"/>
  <c r="EU196" i="79"/>
  <c r="DA241" i="80"/>
  <c r="CZ241" i="80"/>
  <c r="CL254" i="80"/>
  <c r="CK246" i="80"/>
  <c r="EN247" i="79"/>
  <c r="EP247" i="79" s="1"/>
  <c r="FM246" i="80"/>
  <c r="Q245" i="80"/>
  <c r="FE246" i="80"/>
  <c r="FD245" i="80"/>
  <c r="DQ245" i="80"/>
  <c r="FD241" i="79"/>
  <c r="FE241" i="79"/>
  <c r="BL241" i="79"/>
  <c r="BM241" i="79"/>
  <c r="BT241" i="80"/>
  <c r="BU241" i="80"/>
  <c r="AN241" i="79"/>
  <c r="AO241" i="79"/>
  <c r="DY241" i="79"/>
  <c r="DX241" i="79"/>
  <c r="CB241" i="79"/>
  <c r="CC241" i="79"/>
  <c r="BT241" i="79"/>
  <c r="BU241" i="79"/>
  <c r="DA241" i="79"/>
  <c r="CZ241" i="79"/>
  <c r="X254" i="80"/>
  <c r="Y254" i="80"/>
  <c r="CS241" i="79"/>
  <c r="CR241" i="79"/>
  <c r="BM254" i="80"/>
  <c r="BL254" i="80"/>
  <c r="CJ253" i="79"/>
  <c r="CK253" i="79"/>
  <c r="CZ253" i="79"/>
  <c r="DA253" i="79"/>
  <c r="EW253" i="79"/>
  <c r="EV253" i="79"/>
  <c r="FM241" i="79"/>
  <c r="FL241" i="79"/>
  <c r="DP253" i="79"/>
  <c r="DQ253" i="79"/>
  <c r="DB254" i="79"/>
  <c r="EG241" i="79"/>
  <c r="EF241" i="79"/>
  <c r="CB253" i="79"/>
  <c r="CC253" i="79"/>
  <c r="P254" i="80"/>
  <c r="Q254" i="80"/>
  <c r="DQ256" i="80"/>
  <c r="Y256" i="80"/>
  <c r="FM256" i="80"/>
  <c r="DY256" i="80"/>
  <c r="CK256" i="80"/>
  <c r="CC256" i="80"/>
  <c r="EW256" i="80"/>
  <c r="DI256" i="80"/>
  <c r="AG256" i="80"/>
  <c r="AW256" i="80"/>
  <c r="BM256" i="80"/>
  <c r="EO256" i="80"/>
  <c r="CS256" i="80"/>
  <c r="Q256" i="80"/>
  <c r="EG256" i="80"/>
  <c r="DA256" i="80"/>
  <c r="BU256" i="80"/>
  <c r="AO256" i="80"/>
  <c r="BE256" i="80"/>
  <c r="FE256" i="80"/>
  <c r="CC252" i="80"/>
  <c r="Q252" i="80"/>
  <c r="AG252" i="80"/>
  <c r="FM252" i="80"/>
  <c r="DQ252" i="80"/>
  <c r="AW252" i="80"/>
  <c r="Y252" i="80"/>
  <c r="EW252" i="80"/>
  <c r="DA252" i="80"/>
  <c r="CS252" i="80"/>
  <c r="FE252" i="80"/>
  <c r="BE252" i="80"/>
  <c r="EO252" i="80"/>
  <c r="BM252" i="80"/>
  <c r="EG252" i="80"/>
  <c r="CK252" i="80"/>
  <c r="DI252" i="80"/>
  <c r="DY252" i="80"/>
  <c r="BU252" i="80"/>
  <c r="AO252" i="80"/>
  <c r="DP252" i="79"/>
  <c r="CZ252" i="79"/>
  <c r="P252" i="79"/>
  <c r="EV252" i="79"/>
  <c r="AV252" i="79"/>
  <c r="CR252" i="79"/>
  <c r="DX252" i="79"/>
  <c r="FD252" i="79"/>
  <c r="CB252" i="79"/>
  <c r="BT252" i="79"/>
  <c r="AN252" i="79"/>
  <c r="BL252" i="79"/>
  <c r="BD252" i="79"/>
  <c r="EF252" i="79"/>
  <c r="EN252" i="79"/>
  <c r="FL252" i="79"/>
  <c r="CJ252" i="79"/>
  <c r="DH252" i="79"/>
  <c r="X252" i="79"/>
  <c r="AF252" i="79"/>
  <c r="BT246" i="80"/>
  <c r="CB246" i="80"/>
  <c r="Y246" i="80"/>
  <c r="DQ246" i="80"/>
  <c r="BD245" i="80"/>
  <c r="BE245" i="79"/>
  <c r="BD245" i="79"/>
  <c r="CC246" i="79"/>
  <c r="CD246" i="79" s="1"/>
  <c r="DI246" i="79"/>
  <c r="DJ246" i="79" s="1"/>
  <c r="AO246" i="79"/>
  <c r="AP246" i="79" s="1"/>
  <c r="Y246" i="79"/>
  <c r="Z246" i="79" s="1"/>
  <c r="Q246" i="79"/>
  <c r="R246" i="79" s="1"/>
  <c r="CS246" i="79"/>
  <c r="CT246" i="79" s="1"/>
  <c r="BM246" i="79"/>
  <c r="BN246" i="79" s="1"/>
  <c r="AW246" i="79"/>
  <c r="AX246" i="79" s="1"/>
  <c r="EG246" i="79"/>
  <c r="EH246" i="79" s="1"/>
  <c r="EO246" i="79"/>
  <c r="EP246" i="79" s="1"/>
  <c r="BU246" i="79"/>
  <c r="BV246" i="79" s="1"/>
  <c r="EW246" i="79"/>
  <c r="EX246" i="79" s="1"/>
  <c r="BE246" i="79"/>
  <c r="BF246" i="79" s="1"/>
  <c r="DQ246" i="79"/>
  <c r="DR246" i="79" s="1"/>
  <c r="DY246" i="79"/>
  <c r="DZ246" i="79" s="1"/>
  <c r="AG246" i="79"/>
  <c r="AH246" i="79" s="1"/>
  <c r="FM246" i="79"/>
  <c r="FN246" i="79" s="1"/>
  <c r="DA246" i="79"/>
  <c r="DB246" i="79" s="1"/>
  <c r="CK246" i="79"/>
  <c r="CL246" i="79" s="1"/>
  <c r="FE246" i="79"/>
  <c r="FF246" i="79" s="1"/>
  <c r="BT247" i="79"/>
  <c r="BV247" i="79" s="1"/>
  <c r="EV247" i="79"/>
  <c r="EX247" i="79" s="1"/>
  <c r="CZ247" i="79"/>
  <c r="DB247" i="79" s="1"/>
  <c r="CJ247" i="79"/>
  <c r="CL247" i="79" s="1"/>
  <c r="DX247" i="79"/>
  <c r="DZ247" i="79" s="1"/>
  <c r="AN247" i="79"/>
  <c r="AP247" i="79" s="1"/>
  <c r="DH247" i="79"/>
  <c r="DJ247" i="79" s="1"/>
  <c r="P247" i="79"/>
  <c r="R247" i="79" s="1"/>
  <c r="BL247" i="79"/>
  <c r="BN247" i="79" s="1"/>
  <c r="AV247" i="79"/>
  <c r="AX247" i="79" s="1"/>
  <c r="X247" i="79"/>
  <c r="Z247" i="79" s="1"/>
  <c r="FD247" i="79"/>
  <c r="FF247" i="79" s="1"/>
  <c r="BD247" i="79"/>
  <c r="BF247" i="79" s="1"/>
  <c r="CR247" i="79"/>
  <c r="CT247" i="79" s="1"/>
  <c r="FL250" i="80"/>
  <c r="FN250" i="80" s="1"/>
  <c r="FD250" i="80"/>
  <c r="FF250" i="80" s="1"/>
  <c r="DH250" i="80"/>
  <c r="DJ250" i="80" s="1"/>
  <c r="CR250" i="80"/>
  <c r="CT250" i="80" s="1"/>
  <c r="DX250" i="80"/>
  <c r="DZ250" i="80" s="1"/>
  <c r="AF250" i="80"/>
  <c r="AH250" i="80" s="1"/>
  <c r="X250" i="80"/>
  <c r="Z250" i="80" s="1"/>
  <c r="AN250" i="80"/>
  <c r="AP250" i="80" s="1"/>
  <c r="CJ250" i="80"/>
  <c r="CL250" i="80" s="1"/>
  <c r="BD250" i="80"/>
  <c r="BF250" i="80" s="1"/>
  <c r="DP250" i="80"/>
  <c r="DR250" i="80" s="1"/>
  <c r="EV250" i="80"/>
  <c r="EX250" i="80" s="1"/>
  <c r="EN250" i="80"/>
  <c r="EP250" i="80" s="1"/>
  <c r="BL250" i="80"/>
  <c r="BN250" i="80" s="1"/>
  <c r="P250" i="80"/>
  <c r="R250" i="80" s="1"/>
  <c r="AV250" i="80"/>
  <c r="AX250" i="80" s="1"/>
  <c r="CZ250" i="80"/>
  <c r="DB250" i="80" s="1"/>
  <c r="CB250" i="80"/>
  <c r="CD250" i="80" s="1"/>
  <c r="EF250" i="80"/>
  <c r="EH250" i="80" s="1"/>
  <c r="BT250" i="80"/>
  <c r="BV250" i="80" s="1"/>
  <c r="BE248" i="79"/>
  <c r="Y248" i="79"/>
  <c r="BM248" i="79"/>
  <c r="FM248" i="79"/>
  <c r="AW248" i="79"/>
  <c r="FE248" i="79"/>
  <c r="EW248" i="79"/>
  <c r="EO248" i="79"/>
  <c r="DA248" i="79"/>
  <c r="AG248" i="79"/>
  <c r="BU248" i="79"/>
  <c r="CC248" i="79"/>
  <c r="CK248" i="79"/>
  <c r="DQ248" i="79"/>
  <c r="Q248" i="79"/>
  <c r="AO248" i="79"/>
  <c r="DI248" i="79"/>
  <c r="DY248" i="79"/>
  <c r="CS248" i="79"/>
  <c r="EG248" i="79"/>
  <c r="CB247" i="80"/>
  <c r="CD247" i="80" s="1"/>
  <c r="DH245" i="80"/>
  <c r="CR247" i="80"/>
  <c r="CT247" i="80" s="1"/>
  <c r="EF245" i="79"/>
  <c r="EG245" i="79"/>
  <c r="P247" i="80"/>
  <c r="R247" i="80" s="1"/>
  <c r="BT245" i="79"/>
  <c r="BU245" i="79"/>
  <c r="DP247" i="79"/>
  <c r="DR247" i="79" s="1"/>
  <c r="AF246" i="80"/>
  <c r="EF246" i="80"/>
  <c r="EH246" i="80" s="1"/>
  <c r="EV246" i="80"/>
  <c r="CR246" i="80"/>
  <c r="EN246" i="80"/>
  <c r="DP246" i="80"/>
  <c r="FD246" i="80"/>
  <c r="DX246" i="80"/>
  <c r="CJ246" i="80"/>
  <c r="FL246" i="80"/>
  <c r="BD246" i="80"/>
  <c r="X246" i="80"/>
  <c r="CZ246" i="80"/>
  <c r="AV246" i="80"/>
  <c r="AO244" i="79"/>
  <c r="AP244" i="79" s="1"/>
  <c r="AW244" i="79"/>
  <c r="AX244" i="79" s="1"/>
  <c r="FE244" i="79"/>
  <c r="FF244" i="79" s="1"/>
  <c r="Q244" i="79"/>
  <c r="R244" i="79" s="1"/>
  <c r="DQ244" i="79"/>
  <c r="DR244" i="79" s="1"/>
  <c r="CK244" i="79"/>
  <c r="CL244" i="79" s="1"/>
  <c r="EG244" i="79"/>
  <c r="EH244" i="79" s="1"/>
  <c r="BE244" i="79"/>
  <c r="BF244" i="79" s="1"/>
  <c r="CS244" i="79"/>
  <c r="CT244" i="79" s="1"/>
  <c r="AG244" i="79"/>
  <c r="AH244" i="79" s="1"/>
  <c r="Y244" i="79"/>
  <c r="Z244" i="79" s="1"/>
  <c r="DI244" i="79"/>
  <c r="DJ244" i="79" s="1"/>
  <c r="DA244" i="79"/>
  <c r="DB244" i="79" s="1"/>
  <c r="DY244" i="79"/>
  <c r="DZ244" i="79" s="1"/>
  <c r="CC244" i="79"/>
  <c r="CD244" i="79" s="1"/>
  <c r="CK249" i="79"/>
  <c r="CL249" i="79" s="1"/>
  <c r="AO249" i="79"/>
  <c r="AP249" i="79" s="1"/>
  <c r="BU249" i="79"/>
  <c r="BV249" i="79" s="1"/>
  <c r="DI249" i="79"/>
  <c r="DJ249" i="79" s="1"/>
  <c r="BM249" i="79"/>
  <c r="BN249" i="79" s="1"/>
  <c r="Y249" i="79"/>
  <c r="Z249" i="79" s="1"/>
  <c r="DY249" i="79"/>
  <c r="DZ249" i="79" s="1"/>
  <c r="DQ249" i="79"/>
  <c r="DR249" i="79" s="1"/>
  <c r="AG249" i="79"/>
  <c r="AH249" i="79" s="1"/>
  <c r="CS249" i="79"/>
  <c r="CT249" i="79" s="1"/>
  <c r="FM249" i="79"/>
  <c r="FN249" i="79" s="1"/>
  <c r="DA249" i="79"/>
  <c r="DB249" i="79" s="1"/>
  <c r="FE249" i="79"/>
  <c r="FF249" i="79" s="1"/>
  <c r="AW249" i="79"/>
  <c r="AX249" i="79" s="1"/>
  <c r="EW249" i="79"/>
  <c r="EX249" i="79" s="1"/>
  <c r="EO249" i="79"/>
  <c r="EP249" i="79" s="1"/>
  <c r="BE249" i="79"/>
  <c r="BF249" i="79" s="1"/>
  <c r="FL247" i="80"/>
  <c r="FN247" i="80" s="1"/>
  <c r="AW245" i="80"/>
  <c r="BD247" i="80"/>
  <c r="BF247" i="80" s="1"/>
  <c r="CB247" i="79"/>
  <c r="CD247" i="79" s="1"/>
  <c r="AN246" i="80"/>
  <c r="CB245" i="79"/>
  <c r="CC245" i="79"/>
  <c r="CK245" i="80"/>
  <c r="Q249" i="79"/>
  <c r="R249" i="79" s="1"/>
  <c r="AO245" i="79"/>
  <c r="AP245" i="79" s="1"/>
  <c r="FM245" i="79"/>
  <c r="FN245" i="79" s="1"/>
  <c r="AW245" i="79"/>
  <c r="AX245" i="79" s="1"/>
  <c r="DY245" i="79"/>
  <c r="DZ245" i="79" s="1"/>
  <c r="AG245" i="79"/>
  <c r="AH245" i="79" s="1"/>
  <c r="BM245" i="79"/>
  <c r="BN245" i="79" s="1"/>
  <c r="EW245" i="79"/>
  <c r="EX245" i="79" s="1"/>
  <c r="DQ245" i="79"/>
  <c r="DR245" i="79" s="1"/>
  <c r="AG246" i="80"/>
  <c r="EW246" i="80"/>
  <c r="DA246" i="80"/>
  <c r="DI246" i="80"/>
  <c r="DJ246" i="80" s="1"/>
  <c r="CC246" i="80"/>
  <c r="BU246" i="80"/>
  <c r="DY246" i="80"/>
  <c r="BE246" i="80"/>
  <c r="AO246" i="80"/>
  <c r="BM246" i="80"/>
  <c r="Q246" i="80"/>
  <c r="DY248" i="80"/>
  <c r="DZ248" i="80" s="1"/>
  <c r="AW248" i="80"/>
  <c r="AX248" i="80" s="1"/>
  <c r="Y248" i="80"/>
  <c r="Z248" i="80" s="1"/>
  <c r="EW248" i="80"/>
  <c r="EX248" i="80" s="1"/>
  <c r="EO248" i="80"/>
  <c r="EP248" i="80" s="1"/>
  <c r="FE248" i="80"/>
  <c r="FF248" i="80" s="1"/>
  <c r="CK248" i="80"/>
  <c r="CL248" i="80" s="1"/>
  <c r="DQ248" i="80"/>
  <c r="DR248" i="80" s="1"/>
  <c r="BE248" i="80"/>
  <c r="BF248" i="80" s="1"/>
  <c r="FM248" i="80"/>
  <c r="FN248" i="80" s="1"/>
  <c r="Q248" i="80"/>
  <c r="R248" i="80" s="1"/>
  <c r="BU248" i="80"/>
  <c r="BV248" i="80" s="1"/>
  <c r="EG248" i="80"/>
  <c r="EH248" i="80" s="1"/>
  <c r="DI248" i="80"/>
  <c r="DJ248" i="80" s="1"/>
  <c r="BM248" i="80"/>
  <c r="BN248" i="80" s="1"/>
  <c r="CS248" i="80"/>
  <c r="CT248" i="80" s="1"/>
  <c r="AG248" i="80"/>
  <c r="AH248" i="80" s="1"/>
  <c r="DA248" i="80"/>
  <c r="DB248" i="80" s="1"/>
  <c r="CC248" i="80"/>
  <c r="CD248" i="80" s="1"/>
  <c r="AO248" i="80"/>
  <c r="AP248" i="80" s="1"/>
  <c r="P246" i="80"/>
  <c r="EO246" i="80"/>
  <c r="AW246" i="80"/>
  <c r="DH247" i="80"/>
  <c r="DJ247" i="80" s="1"/>
  <c r="AF247" i="79"/>
  <c r="AH247" i="79" s="1"/>
  <c r="EF245" i="80"/>
  <c r="FM244" i="79"/>
  <c r="FN244" i="79" s="1"/>
  <c r="BM244" i="79"/>
  <c r="BN244" i="79" s="1"/>
  <c r="DP256" i="80"/>
  <c r="P256" i="80"/>
  <c r="R256" i="80" s="1"/>
  <c r="CB256" i="80"/>
  <c r="AF256" i="80"/>
  <c r="DX256" i="80"/>
  <c r="X256" i="80"/>
  <c r="Z256" i="80" s="1"/>
  <c r="AV256" i="80"/>
  <c r="CR256" i="80"/>
  <c r="FD256" i="80"/>
  <c r="DH256" i="80"/>
  <c r="BD256" i="80"/>
  <c r="BL256" i="80"/>
  <c r="EN256" i="80"/>
  <c r="AN256" i="80"/>
  <c r="CZ256" i="80"/>
  <c r="EV256" i="80"/>
  <c r="FL256" i="80"/>
  <c r="EF256" i="80"/>
  <c r="CJ256" i="80"/>
  <c r="P256" i="79"/>
  <c r="EN256" i="79"/>
  <c r="FL256" i="79"/>
  <c r="CR256" i="79"/>
  <c r="FD256" i="79"/>
  <c r="EV256" i="79"/>
  <c r="DX256" i="79"/>
  <c r="CZ256" i="79"/>
  <c r="DH256" i="79"/>
  <c r="X256" i="79"/>
  <c r="AN256" i="79"/>
  <c r="BT256" i="79"/>
  <c r="BD256" i="79"/>
  <c r="CB256" i="79"/>
  <c r="EF256" i="79"/>
  <c r="CJ256" i="79"/>
  <c r="AF256" i="79"/>
  <c r="DP256" i="79"/>
  <c r="BL256" i="79"/>
  <c r="AF245" i="80"/>
  <c r="FE245" i="79"/>
  <c r="FF245" i="79" s="1"/>
  <c r="EO244" i="79"/>
  <c r="EP244" i="79" s="1"/>
  <c r="CS246" i="80"/>
  <c r="Y245" i="79"/>
  <c r="X245" i="79"/>
  <c r="BU244" i="79"/>
  <c r="BV244" i="79" s="1"/>
  <c r="BT256" i="80"/>
  <c r="DP245" i="80"/>
  <c r="P245" i="80"/>
  <c r="EV245" i="80"/>
  <c r="CR245" i="80"/>
  <c r="CJ245" i="80"/>
  <c r="FL245" i="80"/>
  <c r="BT245" i="80"/>
  <c r="CZ245" i="80"/>
  <c r="AV245" i="80"/>
  <c r="X245" i="80"/>
  <c r="Z245" i="80" s="1"/>
  <c r="CS245" i="80"/>
  <c r="DI245" i="80"/>
  <c r="DY245" i="80"/>
  <c r="DA245" i="80"/>
  <c r="BM245" i="80"/>
  <c r="BN245" i="80" s="1"/>
  <c r="BE245" i="80"/>
  <c r="CC245" i="80"/>
  <c r="FM245" i="80"/>
  <c r="AG245" i="80"/>
  <c r="EG245" i="80"/>
  <c r="AO245" i="80"/>
  <c r="BU245" i="80"/>
  <c r="FE245" i="80"/>
  <c r="EO245" i="80"/>
  <c r="EW245" i="80"/>
  <c r="CR244" i="80"/>
  <c r="CT244" i="80" s="1"/>
  <c r="BD244" i="80"/>
  <c r="BF244" i="80" s="1"/>
  <c r="EV244" i="80"/>
  <c r="EX244" i="80" s="1"/>
  <c r="CB244" i="80"/>
  <c r="CD244" i="80" s="1"/>
  <c r="EF244" i="80"/>
  <c r="EH244" i="80" s="1"/>
  <c r="AV244" i="80"/>
  <c r="AX244" i="80" s="1"/>
  <c r="FD244" i="80"/>
  <c r="FF244" i="80" s="1"/>
  <c r="AF244" i="80"/>
  <c r="AH244" i="80" s="1"/>
  <c r="BT244" i="80"/>
  <c r="BV244" i="80" s="1"/>
  <c r="DH244" i="80"/>
  <c r="DJ244" i="80" s="1"/>
  <c r="CZ244" i="80"/>
  <c r="DB244" i="80" s="1"/>
  <c r="FL244" i="80"/>
  <c r="FN244" i="80" s="1"/>
  <c r="AN244" i="80"/>
  <c r="AP244" i="80" s="1"/>
  <c r="P244" i="80"/>
  <c r="R244" i="80" s="1"/>
  <c r="EN244" i="80"/>
  <c r="EP244" i="80" s="1"/>
  <c r="X244" i="80"/>
  <c r="Z244" i="80" s="1"/>
  <c r="DX244" i="80"/>
  <c r="DZ244" i="80" s="1"/>
  <c r="BL244" i="80"/>
  <c r="BN244" i="80" s="1"/>
  <c r="DP244" i="80"/>
  <c r="DR244" i="80" s="1"/>
  <c r="CJ244" i="80"/>
  <c r="CL244" i="80" s="1"/>
  <c r="DH250" i="79"/>
  <c r="DJ250" i="79" s="1"/>
  <c r="CJ250" i="79"/>
  <c r="EV250" i="79"/>
  <c r="EX250" i="79" s="1"/>
  <c r="DP250" i="79"/>
  <c r="DR250" i="79" s="1"/>
  <c r="AN250" i="79"/>
  <c r="AP250" i="79" s="1"/>
  <c r="CB250" i="79"/>
  <c r="CD250" i="79" s="1"/>
  <c r="X250" i="79"/>
  <c r="Z250" i="79" s="1"/>
  <c r="DX250" i="79"/>
  <c r="DZ250" i="79" s="1"/>
  <c r="BD250" i="79"/>
  <c r="BF250" i="79" s="1"/>
  <c r="CZ250" i="79"/>
  <c r="DB250" i="79" s="1"/>
  <c r="CR250" i="79"/>
  <c r="CT250" i="79" s="1"/>
  <c r="EF250" i="79"/>
  <c r="EH250" i="79" s="1"/>
  <c r="AF250" i="79"/>
  <c r="AH250" i="79" s="1"/>
  <c r="BT250" i="79"/>
  <c r="BV250" i="79" s="1"/>
  <c r="P250" i="79"/>
  <c r="R250" i="79" s="1"/>
  <c r="EN250" i="79"/>
  <c r="EP250" i="79" s="1"/>
  <c r="FD250" i="79"/>
  <c r="FF250" i="79" s="1"/>
  <c r="AV250" i="79"/>
  <c r="AX250" i="79" s="1"/>
  <c r="FL250" i="79"/>
  <c r="BL250" i="79"/>
  <c r="BN250" i="79" s="1"/>
  <c r="FL252" i="80"/>
  <c r="DX252" i="80"/>
  <c r="CB252" i="80"/>
  <c r="X252" i="80"/>
  <c r="EN252" i="80"/>
  <c r="BL252" i="80"/>
  <c r="CR252" i="80"/>
  <c r="DP252" i="80"/>
  <c r="BD252" i="80"/>
  <c r="EV252" i="80"/>
  <c r="FD252" i="80"/>
  <c r="CJ252" i="80"/>
  <c r="AN252" i="80"/>
  <c r="DH252" i="80"/>
  <c r="AF252" i="80"/>
  <c r="CZ252" i="80"/>
  <c r="BT252" i="80"/>
  <c r="AV252" i="80"/>
  <c r="P252" i="80"/>
  <c r="EF252" i="80"/>
  <c r="EW244" i="79"/>
  <c r="EX244" i="79" s="1"/>
  <c r="CC249" i="79"/>
  <c r="CD249" i="79" s="1"/>
  <c r="DA245" i="79"/>
  <c r="CZ245" i="79"/>
  <c r="CB245" i="80"/>
  <c r="BL246" i="80"/>
  <c r="CK245" i="79"/>
  <c r="CL245" i="79" s="1"/>
  <c r="EN245" i="80"/>
  <c r="DI245" i="79"/>
  <c r="DJ245" i="79" s="1"/>
  <c r="AV247" i="80"/>
  <c r="AX247" i="80" s="1"/>
  <c r="CZ247" i="80"/>
  <c r="DB247" i="80" s="1"/>
  <c r="AF247" i="80"/>
  <c r="AH247" i="80" s="1"/>
  <c r="BL247" i="80"/>
  <c r="BN247" i="80" s="1"/>
  <c r="CJ247" i="80"/>
  <c r="CL247" i="80" s="1"/>
  <c r="DP247" i="80"/>
  <c r="DR247" i="80" s="1"/>
  <c r="DX247" i="80"/>
  <c r="DZ247" i="80" s="1"/>
  <c r="AN247" i="80"/>
  <c r="AP247" i="80" s="1"/>
  <c r="EF247" i="80"/>
  <c r="EH247" i="80" s="1"/>
  <c r="BT247" i="80"/>
  <c r="BV247" i="80" s="1"/>
  <c r="EV247" i="80"/>
  <c r="EX247" i="80" s="1"/>
  <c r="FD247" i="80"/>
  <c r="FF247" i="80" s="1"/>
  <c r="X247" i="80"/>
  <c r="Z247" i="80" s="1"/>
  <c r="P245" i="79"/>
  <c r="Q245" i="79"/>
  <c r="FM256" i="79"/>
  <c r="DY256" i="79"/>
  <c r="EO256" i="79"/>
  <c r="CS256" i="79"/>
  <c r="BM256" i="79"/>
  <c r="DQ256" i="79"/>
  <c r="EG256" i="79"/>
  <c r="DI256" i="79"/>
  <c r="CC256" i="79"/>
  <c r="BE256" i="79"/>
  <c r="AO256" i="79"/>
  <c r="CK256" i="79"/>
  <c r="EW256" i="79"/>
  <c r="Q256" i="79"/>
  <c r="BU256" i="79"/>
  <c r="Y256" i="79"/>
  <c r="AG256" i="79"/>
  <c r="FE256" i="79"/>
  <c r="DA256" i="79"/>
  <c r="DA252" i="79"/>
  <c r="EG252" i="79"/>
  <c r="CC252" i="79"/>
  <c r="BU252" i="79"/>
  <c r="AG252" i="79"/>
  <c r="BE252" i="79"/>
  <c r="FM252" i="79"/>
  <c r="DY252" i="79"/>
  <c r="CS252" i="79"/>
  <c r="EO252" i="79"/>
  <c r="BM252" i="79"/>
  <c r="EW252" i="79"/>
  <c r="DI252" i="79"/>
  <c r="FE252" i="79"/>
  <c r="Q252" i="79"/>
  <c r="CK252" i="79"/>
  <c r="Y252" i="79"/>
  <c r="DQ252" i="79"/>
  <c r="AO252" i="79"/>
  <c r="AW252" i="79"/>
  <c r="EG249" i="79"/>
  <c r="EH249" i="79" s="1"/>
  <c r="CR245" i="79"/>
  <c r="CS245" i="79"/>
  <c r="EN245" i="79"/>
  <c r="EO245" i="79"/>
  <c r="DX245" i="80"/>
  <c r="AN245" i="80"/>
  <c r="EF247" i="79"/>
  <c r="EH247" i="79" s="1"/>
  <c r="AW256" i="79"/>
  <c r="AX256" i="79" s="1"/>
  <c r="DP22" i="79"/>
  <c r="DP398" i="79" s="1"/>
  <c r="R372" i="79"/>
  <c r="BV230" i="80"/>
  <c r="BD229" i="80"/>
  <c r="BC235" i="80"/>
  <c r="BE229" i="80"/>
  <c r="DP229" i="80"/>
  <c r="DO235" i="80"/>
  <c r="DQ229" i="80"/>
  <c r="CC227" i="80"/>
  <c r="CD227" i="80" s="1"/>
  <c r="EW227" i="80"/>
  <c r="EX227" i="80" s="1"/>
  <c r="BM227" i="80"/>
  <c r="BN227" i="80" s="1"/>
  <c r="EG227" i="80"/>
  <c r="EH227" i="80" s="1"/>
  <c r="AW227" i="80"/>
  <c r="AX227" i="80" s="1"/>
  <c r="EO227" i="80"/>
  <c r="EP227" i="80" s="1"/>
  <c r="CK227" i="80"/>
  <c r="CL227" i="80" s="1"/>
  <c r="AG227" i="80"/>
  <c r="AH227" i="80" s="1"/>
  <c r="Q227" i="80"/>
  <c r="R227" i="80" s="1"/>
  <c r="BU227" i="80"/>
  <c r="BV227" i="80" s="1"/>
  <c r="DA227" i="80"/>
  <c r="DB227" i="80" s="1"/>
  <c r="FE227" i="80"/>
  <c r="FF227" i="80" s="1"/>
  <c r="DI227" i="80"/>
  <c r="DJ227" i="80" s="1"/>
  <c r="AO227" i="80"/>
  <c r="AP227" i="80" s="1"/>
  <c r="BE227" i="80"/>
  <c r="BF227" i="80" s="1"/>
  <c r="Y227" i="80"/>
  <c r="Z227" i="80" s="1"/>
  <c r="DQ227" i="80"/>
  <c r="DR227" i="80" s="1"/>
  <c r="DX231" i="79"/>
  <c r="AN231" i="79"/>
  <c r="EV231" i="79"/>
  <c r="AV231" i="79"/>
  <c r="AF231" i="79"/>
  <c r="CR231" i="79"/>
  <c r="BT231" i="79"/>
  <c r="FL231" i="79"/>
  <c r="DP231" i="79"/>
  <c r="BL231" i="79"/>
  <c r="P231" i="79"/>
  <c r="CB231" i="79"/>
  <c r="BD231" i="79"/>
  <c r="CJ231" i="79"/>
  <c r="DH231" i="79"/>
  <c r="FD231" i="79"/>
  <c r="EF231" i="79"/>
  <c r="X231" i="79"/>
  <c r="EN231" i="79"/>
  <c r="EP231" i="79" s="1"/>
  <c r="CZ231" i="79"/>
  <c r="AV229" i="80"/>
  <c r="AW229" i="80"/>
  <c r="CR227" i="80"/>
  <c r="CS227" i="80"/>
  <c r="BD229" i="79"/>
  <c r="BE229" i="79"/>
  <c r="DX229" i="80"/>
  <c r="DY229" i="80"/>
  <c r="AU235" i="80"/>
  <c r="DP230" i="79"/>
  <c r="BD230" i="79"/>
  <c r="CB230" i="79"/>
  <c r="DH230" i="79"/>
  <c r="CR230" i="79"/>
  <c r="EF230" i="79"/>
  <c r="FL230" i="79"/>
  <c r="AN230" i="79"/>
  <c r="P230" i="79"/>
  <c r="EV230" i="79"/>
  <c r="X230" i="79"/>
  <c r="DX230" i="79"/>
  <c r="FD230" i="79"/>
  <c r="CZ230" i="79"/>
  <c r="BT230" i="79"/>
  <c r="CJ230" i="79"/>
  <c r="AF230" i="79"/>
  <c r="EN230" i="79"/>
  <c r="BL230" i="79"/>
  <c r="AV230" i="79"/>
  <c r="AN229" i="80"/>
  <c r="AO229" i="80"/>
  <c r="DW235" i="80"/>
  <c r="DX227" i="80"/>
  <c r="DY227" i="80"/>
  <c r="CZ229" i="80"/>
  <c r="CY235" i="80"/>
  <c r="DA229" i="80"/>
  <c r="BM229" i="79"/>
  <c r="BL229" i="79"/>
  <c r="FM227" i="80"/>
  <c r="FN227" i="80" s="1"/>
  <c r="AF230" i="80"/>
  <c r="BD230" i="80"/>
  <c r="CJ230" i="80"/>
  <c r="P230" i="80"/>
  <c r="EV230" i="80"/>
  <c r="EN230" i="80"/>
  <c r="CZ230" i="80"/>
  <c r="X230" i="80"/>
  <c r="CB230" i="80"/>
  <c r="CR230" i="80"/>
  <c r="FD230" i="80"/>
  <c r="FL230" i="80"/>
  <c r="BL230" i="80"/>
  <c r="DP230" i="80"/>
  <c r="DX230" i="80"/>
  <c r="AV230" i="80"/>
  <c r="EF230" i="80"/>
  <c r="AN230" i="80"/>
  <c r="DR153" i="79"/>
  <c r="AO227" i="79"/>
  <c r="EW227" i="79"/>
  <c r="DI227" i="79"/>
  <c r="CS227" i="79"/>
  <c r="Y227" i="79"/>
  <c r="DQ227" i="79"/>
  <c r="BU227" i="79"/>
  <c r="CK227" i="79"/>
  <c r="BM227" i="79"/>
  <c r="DA227" i="79"/>
  <c r="EO227" i="79"/>
  <c r="DY227" i="79"/>
  <c r="BE227" i="79"/>
  <c r="Q227" i="79"/>
  <c r="AG227" i="79"/>
  <c r="FE227" i="79"/>
  <c r="CC227" i="79"/>
  <c r="AW227" i="79"/>
  <c r="EG227" i="79"/>
  <c r="BL206" i="80"/>
  <c r="DH206" i="80"/>
  <c r="EU235" i="80"/>
  <c r="EW229" i="80"/>
  <c r="EV229" i="80"/>
  <c r="W235" i="80"/>
  <c r="X229" i="80"/>
  <c r="Y229" i="80"/>
  <c r="DH232" i="79"/>
  <c r="DI232" i="79"/>
  <c r="CR229" i="80"/>
  <c r="CS229" i="80"/>
  <c r="FC235" i="79"/>
  <c r="BU229" i="79"/>
  <c r="BV229" i="79" s="1"/>
  <c r="DQ229" i="79"/>
  <c r="DR229" i="79" s="1"/>
  <c r="AG229" i="79"/>
  <c r="AH229" i="79" s="1"/>
  <c r="DA229" i="79"/>
  <c r="DB229" i="79" s="1"/>
  <c r="AW229" i="79"/>
  <c r="AX229" i="79" s="1"/>
  <c r="EO229" i="79"/>
  <c r="EP229" i="79" s="1"/>
  <c r="FM229" i="79"/>
  <c r="FN229" i="79" s="1"/>
  <c r="AO229" i="79"/>
  <c r="EW229" i="79"/>
  <c r="FE229" i="79"/>
  <c r="Q229" i="79"/>
  <c r="FM60" i="79"/>
  <c r="CR206" i="80"/>
  <c r="FD206" i="80"/>
  <c r="BD206" i="80"/>
  <c r="CB206" i="80"/>
  <c r="AM235" i="80"/>
  <c r="DI230" i="80"/>
  <c r="DH230" i="80"/>
  <c r="CS229" i="79"/>
  <c r="CR229" i="79"/>
  <c r="O235" i="80"/>
  <c r="P229" i="80"/>
  <c r="Q229" i="80"/>
  <c r="CY235" i="79"/>
  <c r="CY84" i="79" s="1"/>
  <c r="EU235" i="79"/>
  <c r="FM227" i="79"/>
  <c r="FN227" i="79" s="1"/>
  <c r="EW230" i="79"/>
  <c r="Q230" i="79"/>
  <c r="AW230" i="79"/>
  <c r="EG230" i="79"/>
  <c r="AG230" i="79"/>
  <c r="DI230" i="79"/>
  <c r="BU230" i="79"/>
  <c r="AO230" i="79"/>
  <c r="CS230" i="79"/>
  <c r="BM230" i="79"/>
  <c r="CC230" i="79"/>
  <c r="BE230" i="79"/>
  <c r="FE230" i="79"/>
  <c r="DA230" i="79"/>
  <c r="Y230" i="79"/>
  <c r="DQ230" i="79"/>
  <c r="EO230" i="79"/>
  <c r="DY230" i="79"/>
  <c r="FM230" i="79"/>
  <c r="CK230" i="79"/>
  <c r="BU229" i="80"/>
  <c r="BV229" i="80" s="1"/>
  <c r="FM229" i="80"/>
  <c r="FN229" i="80" s="1"/>
  <c r="CK229" i="80"/>
  <c r="CL229" i="80" s="1"/>
  <c r="EO229" i="80"/>
  <c r="EP229" i="80" s="1"/>
  <c r="CC229" i="80"/>
  <c r="CD229" i="80" s="1"/>
  <c r="FE229" i="80"/>
  <c r="FF229" i="80" s="1"/>
  <c r="BM229" i="80"/>
  <c r="BN229" i="80" s="1"/>
  <c r="AG229" i="80"/>
  <c r="AH229" i="80" s="1"/>
  <c r="EG229" i="80"/>
  <c r="EH229" i="80" s="1"/>
  <c r="EF206" i="80"/>
  <c r="P206" i="80"/>
  <c r="DH227" i="79"/>
  <c r="CB227" i="79"/>
  <c r="BL227" i="79"/>
  <c r="BD227" i="79"/>
  <c r="AN227" i="79"/>
  <c r="DP227" i="79"/>
  <c r="P227" i="79"/>
  <c r="AV227" i="79"/>
  <c r="X227" i="79"/>
  <c r="DX227" i="79"/>
  <c r="CJ227" i="79"/>
  <c r="CZ227" i="79"/>
  <c r="CR227" i="79"/>
  <c r="EF227" i="79"/>
  <c r="FD227" i="79"/>
  <c r="EN227" i="79"/>
  <c r="EV227" i="79"/>
  <c r="BT227" i="79"/>
  <c r="AF227" i="79"/>
  <c r="CQ235" i="80"/>
  <c r="CJ229" i="79"/>
  <c r="CK229" i="79"/>
  <c r="EG229" i="79"/>
  <c r="EF229" i="79"/>
  <c r="CS232" i="79"/>
  <c r="CR232" i="79"/>
  <c r="EM235" i="79"/>
  <c r="X229" i="79"/>
  <c r="Y229" i="79"/>
  <c r="DQ230" i="80"/>
  <c r="AW230" i="80"/>
  <c r="CK230" i="80"/>
  <c r="Y230" i="80"/>
  <c r="DA230" i="80"/>
  <c r="BE230" i="80"/>
  <c r="CS230" i="80"/>
  <c r="EG230" i="80"/>
  <c r="CC230" i="80"/>
  <c r="AG230" i="80"/>
  <c r="EW230" i="80"/>
  <c r="EO230" i="80"/>
  <c r="AO230" i="80"/>
  <c r="FE230" i="80"/>
  <c r="DY230" i="80"/>
  <c r="Q230" i="80"/>
  <c r="BM230" i="80"/>
  <c r="FM230" i="80"/>
  <c r="EN206" i="80"/>
  <c r="BT206" i="80"/>
  <c r="CI235" i="79"/>
  <c r="DX229" i="79"/>
  <c r="DY229" i="79"/>
  <c r="CK232" i="79"/>
  <c r="CJ232" i="79"/>
  <c r="DY232" i="79"/>
  <c r="DX232" i="79"/>
  <c r="DI229" i="80"/>
  <c r="DJ229" i="80" s="1"/>
  <c r="DX231" i="80"/>
  <c r="P231" i="80"/>
  <c r="BT231" i="80"/>
  <c r="BD231" i="80"/>
  <c r="CB231" i="80"/>
  <c r="EN231" i="80"/>
  <c r="CZ231" i="80"/>
  <c r="BL231" i="80"/>
  <c r="EF231" i="80"/>
  <c r="CR231" i="80"/>
  <c r="AN231" i="80"/>
  <c r="EV231" i="80"/>
  <c r="CJ231" i="80"/>
  <c r="X231" i="80"/>
  <c r="FD231" i="80"/>
  <c r="FF231" i="80" s="1"/>
  <c r="DP231" i="80"/>
  <c r="AV231" i="80"/>
  <c r="AF231" i="80"/>
  <c r="DH231" i="80"/>
  <c r="AV206" i="80"/>
  <c r="EV206" i="80"/>
  <c r="BT232" i="79"/>
  <c r="BU232" i="79"/>
  <c r="BC235" i="79"/>
  <c r="CC229" i="79"/>
  <c r="CB229" i="79"/>
  <c r="DG235" i="79"/>
  <c r="DG235" i="80"/>
  <c r="BE213" i="79"/>
  <c r="BL210" i="80"/>
  <c r="BN210" i="80" s="1"/>
  <c r="CK213" i="80"/>
  <c r="DH213" i="80"/>
  <c r="CZ213" i="80"/>
  <c r="DP213" i="80"/>
  <c r="CR213" i="80"/>
  <c r="BT213" i="80"/>
  <c r="BL213" i="80"/>
  <c r="AN213" i="80"/>
  <c r="EV213" i="80"/>
  <c r="DX213" i="80"/>
  <c r="BD213" i="80"/>
  <c r="FD213" i="80"/>
  <c r="AF213" i="80"/>
  <c r="X213" i="80"/>
  <c r="CB213" i="80"/>
  <c r="EF213" i="80"/>
  <c r="AH370" i="80"/>
  <c r="EX91" i="80"/>
  <c r="DJ194" i="80"/>
  <c r="EO62" i="80"/>
  <c r="BN154" i="80"/>
  <c r="CC108" i="80"/>
  <c r="CD108" i="80" s="1"/>
  <c r="CZ206" i="80"/>
  <c r="DR125" i="80"/>
  <c r="DX206" i="80"/>
  <c r="EH194" i="80"/>
  <c r="Q213" i="80"/>
  <c r="AV213" i="79"/>
  <c r="P213" i="79"/>
  <c r="BL213" i="79"/>
  <c r="AN213" i="79"/>
  <c r="DX213" i="79"/>
  <c r="DP213" i="79"/>
  <c r="AF213" i="79"/>
  <c r="CR213" i="79"/>
  <c r="CB213" i="79"/>
  <c r="EV213" i="79"/>
  <c r="X213" i="79"/>
  <c r="FD213" i="79"/>
  <c r="EN213" i="79"/>
  <c r="DH213" i="79"/>
  <c r="FL213" i="79"/>
  <c r="FE213" i="79"/>
  <c r="AO213" i="79"/>
  <c r="DI213" i="79"/>
  <c r="DY213" i="79"/>
  <c r="CS213" i="79"/>
  <c r="CC213" i="79"/>
  <c r="Y213" i="79"/>
  <c r="EO213" i="79"/>
  <c r="AW213" i="79"/>
  <c r="DQ213" i="79"/>
  <c r="FM213" i="79"/>
  <c r="EW213" i="79"/>
  <c r="BM213" i="79"/>
  <c r="Q213" i="79"/>
  <c r="BE103" i="80"/>
  <c r="FN194" i="80"/>
  <c r="EG213" i="79"/>
  <c r="EF213" i="79"/>
  <c r="P213" i="80"/>
  <c r="EN213" i="80"/>
  <c r="EP213" i="80" s="1"/>
  <c r="DA213" i="80"/>
  <c r="DQ213" i="80"/>
  <c r="AO213" i="80"/>
  <c r="CC213" i="80"/>
  <c r="EG213" i="80"/>
  <c r="Y213" i="80"/>
  <c r="DY213" i="80"/>
  <c r="FE213" i="80"/>
  <c r="AG213" i="80"/>
  <c r="BU213" i="80"/>
  <c r="DI213" i="80"/>
  <c r="EW213" i="80"/>
  <c r="BM213" i="80"/>
  <c r="CS213" i="80"/>
  <c r="BE213" i="80"/>
  <c r="FD67" i="80"/>
  <c r="FF67" i="80" s="1"/>
  <c r="DJ192" i="80"/>
  <c r="DA213" i="79"/>
  <c r="EM403" i="79"/>
  <c r="EM424" i="79" s="1"/>
  <c r="EM418" i="79"/>
  <c r="CJ213" i="79"/>
  <c r="CL213" i="79" s="1"/>
  <c r="AX178" i="80"/>
  <c r="DI150" i="79"/>
  <c r="DJ150" i="79" s="1"/>
  <c r="AN206" i="80"/>
  <c r="AV213" i="80"/>
  <c r="BD213" i="79"/>
  <c r="AG213" i="79"/>
  <c r="AW213" i="80"/>
  <c r="BU213" i="79"/>
  <c r="CJ213" i="80"/>
  <c r="BM98" i="80"/>
  <c r="BN98" i="80" s="1"/>
  <c r="EO112" i="79"/>
  <c r="EP112" i="79" s="1"/>
  <c r="DP206" i="80"/>
  <c r="FM213" i="80"/>
  <c r="FN213" i="80" s="1"/>
  <c r="EU403" i="79"/>
  <c r="EU424" i="79" s="1"/>
  <c r="EU418" i="79"/>
  <c r="BT213" i="79"/>
  <c r="BU177" i="79"/>
  <c r="CK177" i="79"/>
  <c r="DY177" i="79"/>
  <c r="FE177" i="79"/>
  <c r="EW177" i="79"/>
  <c r="Q177" i="79"/>
  <c r="Y177" i="79"/>
  <c r="FM177" i="79"/>
  <c r="BM177" i="79"/>
  <c r="EG177" i="79"/>
  <c r="BE177" i="79"/>
  <c r="DA177" i="79"/>
  <c r="DI177" i="79"/>
  <c r="AG177" i="79"/>
  <c r="AO177" i="79"/>
  <c r="DQ177" i="79"/>
  <c r="DR177" i="79" s="1"/>
  <c r="EO177" i="79"/>
  <c r="CC177" i="79"/>
  <c r="DA206" i="80"/>
  <c r="DA207" i="80" s="1"/>
  <c r="Y206" i="80"/>
  <c r="CK154" i="79"/>
  <c r="AF140" i="80"/>
  <c r="AH140" i="80" s="1"/>
  <c r="CB140" i="80"/>
  <c r="CD140" i="80" s="1"/>
  <c r="AW177" i="79"/>
  <c r="DP125" i="79"/>
  <c r="DQ125" i="79"/>
  <c r="CB125" i="79"/>
  <c r="CC125" i="79"/>
  <c r="CJ132" i="79"/>
  <c r="CK132" i="79"/>
  <c r="AV153" i="79"/>
  <c r="AW153" i="79"/>
  <c r="X154" i="80"/>
  <c r="Y154" i="80"/>
  <c r="CS106" i="79"/>
  <c r="CT106" i="79" s="1"/>
  <c r="BE114" i="79"/>
  <c r="BD114" i="79"/>
  <c r="FE91" i="80"/>
  <c r="FD91" i="80"/>
  <c r="AW141" i="79"/>
  <c r="AV141" i="79"/>
  <c r="CS177" i="79"/>
  <c r="CS98" i="80"/>
  <c r="CR98" i="80"/>
  <c r="BE154" i="80"/>
  <c r="BD154" i="80"/>
  <c r="AG147" i="80"/>
  <c r="AF147" i="80"/>
  <c r="EG33" i="80"/>
  <c r="EG34" i="80" s="1"/>
  <c r="I404" i="80"/>
  <c r="I419" i="80" s="1"/>
  <c r="I420" i="80" s="1"/>
  <c r="I34" i="80"/>
  <c r="FE147" i="80"/>
  <c r="FD147" i="80"/>
  <c r="DI212" i="79"/>
  <c r="CC212" i="79"/>
  <c r="CK212" i="79"/>
  <c r="FM212" i="79"/>
  <c r="BU212" i="79"/>
  <c r="Q212" i="79"/>
  <c r="DY212" i="79"/>
  <c r="EG212" i="79"/>
  <c r="AO212" i="79"/>
  <c r="Y212" i="79"/>
  <c r="DQ212" i="79"/>
  <c r="EO212" i="79"/>
  <c r="CS212" i="79"/>
  <c r="BE212" i="79"/>
  <c r="DA212" i="79"/>
  <c r="FE212" i="79"/>
  <c r="EW212" i="79"/>
  <c r="AW212" i="79"/>
  <c r="AG212" i="79"/>
  <c r="BM212" i="79"/>
  <c r="X106" i="80"/>
  <c r="Y106" i="80"/>
  <c r="DH147" i="80"/>
  <c r="DI147" i="80"/>
  <c r="EF214" i="80"/>
  <c r="EG214" i="80"/>
  <c r="P120" i="79"/>
  <c r="Q120" i="79"/>
  <c r="CK108" i="79"/>
  <c r="CL108" i="79" s="1"/>
  <c r="CC212" i="80"/>
  <c r="AG212" i="80"/>
  <c r="BU212" i="80"/>
  <c r="DY212" i="80"/>
  <c r="DQ212" i="80"/>
  <c r="CS212" i="80"/>
  <c r="AW212" i="80"/>
  <c r="AX212" i="80" s="1"/>
  <c r="Q212" i="80"/>
  <c r="DA212" i="80"/>
  <c r="FE212" i="80"/>
  <c r="EW212" i="80"/>
  <c r="Y212" i="80"/>
  <c r="BM212" i="80"/>
  <c r="BN212" i="80" s="1"/>
  <c r="BE212" i="80"/>
  <c r="BF212" i="80" s="1"/>
  <c r="EG212" i="80"/>
  <c r="AO212" i="80"/>
  <c r="CK212" i="80"/>
  <c r="CL212" i="80" s="1"/>
  <c r="EO212" i="80"/>
  <c r="FM212" i="80"/>
  <c r="EG129" i="80"/>
  <c r="EF129" i="80"/>
  <c r="BM109" i="79"/>
  <c r="BL109" i="79"/>
  <c r="Q91" i="80"/>
  <c r="P91" i="80"/>
  <c r="AU215" i="80"/>
  <c r="AU237" i="80" s="1"/>
  <c r="AV210" i="80"/>
  <c r="AW210" i="80"/>
  <c r="BL154" i="79"/>
  <c r="BM154" i="79"/>
  <c r="CB114" i="79"/>
  <c r="CC114" i="79"/>
  <c r="FM372" i="80"/>
  <c r="AG372" i="80"/>
  <c r="DI16" i="80"/>
  <c r="DI410" i="80" s="1"/>
  <c r="DI426" i="80" s="1"/>
  <c r="CI26" i="80"/>
  <c r="BT96" i="79"/>
  <c r="BT98" i="80"/>
  <c r="BV98" i="80" s="1"/>
  <c r="FL140" i="79"/>
  <c r="AV140" i="79"/>
  <c r="DX140" i="79"/>
  <c r="AV147" i="79"/>
  <c r="AX147" i="79" s="1"/>
  <c r="CZ154" i="79"/>
  <c r="DB154" i="79" s="1"/>
  <c r="FE62" i="80"/>
  <c r="CC62" i="80"/>
  <c r="CC58" i="80"/>
  <c r="CD58" i="80" s="1"/>
  <c r="FM108" i="80"/>
  <c r="DY114" i="79"/>
  <c r="DZ114" i="79" s="1"/>
  <c r="J215" i="80"/>
  <c r="EO103" i="80"/>
  <c r="EP142" i="80"/>
  <c r="FF200" i="79"/>
  <c r="FE214" i="80"/>
  <c r="FD214" i="80"/>
  <c r="EO372" i="80"/>
  <c r="Q372" i="80"/>
  <c r="CK372" i="80"/>
  <c r="EF210" i="79"/>
  <c r="BL210" i="79"/>
  <c r="FD210" i="79"/>
  <c r="BT210" i="79"/>
  <c r="DP210" i="79"/>
  <c r="BD210" i="79"/>
  <c r="CJ210" i="79"/>
  <c r="AV210" i="79"/>
  <c r="CB210" i="79"/>
  <c r="CZ210" i="79"/>
  <c r="P210" i="79"/>
  <c r="EN210" i="79"/>
  <c r="DX210" i="79"/>
  <c r="X210" i="79"/>
  <c r="FL210" i="79"/>
  <c r="AF210" i="79"/>
  <c r="CR210" i="79"/>
  <c r="EG96" i="80"/>
  <c r="DH16" i="80"/>
  <c r="DH410" i="80" s="1"/>
  <c r="AM19" i="80"/>
  <c r="P112" i="80"/>
  <c r="R112" i="80" s="1"/>
  <c r="AG108" i="80"/>
  <c r="AH108" i="80" s="1"/>
  <c r="CB139" i="79"/>
  <c r="CD139" i="79" s="1"/>
  <c r="BE147" i="79"/>
  <c r="BF147" i="79" s="1"/>
  <c r="CK150" i="79"/>
  <c r="CL150" i="79" s="1"/>
  <c r="BM150" i="79"/>
  <c r="BN150" i="79" s="1"/>
  <c r="DH153" i="79"/>
  <c r="DJ153" i="79" s="1"/>
  <c r="CS62" i="80"/>
  <c r="DY62" i="80"/>
  <c r="EP178" i="80"/>
  <c r="EX201" i="80"/>
  <c r="AH201" i="80"/>
  <c r="AP201" i="80"/>
  <c r="EW372" i="80"/>
  <c r="BD123" i="80"/>
  <c r="CZ103" i="80"/>
  <c r="X212" i="79"/>
  <c r="DX212" i="79"/>
  <c r="AN212" i="79"/>
  <c r="FD212" i="79"/>
  <c r="P212" i="79"/>
  <c r="CR212" i="79"/>
  <c r="CB212" i="79"/>
  <c r="EN212" i="79"/>
  <c r="BD212" i="79"/>
  <c r="CJ212" i="79"/>
  <c r="DH212" i="79"/>
  <c r="CZ212" i="79"/>
  <c r="DP212" i="79"/>
  <c r="EF212" i="79"/>
  <c r="FL212" i="79"/>
  <c r="BT212" i="79"/>
  <c r="EV212" i="79"/>
  <c r="FL24" i="79"/>
  <c r="FL400" i="79" s="1"/>
  <c r="BL107" i="80"/>
  <c r="BN107" i="80" s="1"/>
  <c r="CK109" i="80"/>
  <c r="CL109" i="80" s="1"/>
  <c r="CC112" i="79"/>
  <c r="CD112" i="79" s="1"/>
  <c r="X140" i="79"/>
  <c r="FD140" i="79"/>
  <c r="CJ140" i="79"/>
  <c r="CK108" i="80"/>
  <c r="CR120" i="80"/>
  <c r="CT120" i="80" s="1"/>
  <c r="AG109" i="80"/>
  <c r="AH109" i="80" s="1"/>
  <c r="FN201" i="80"/>
  <c r="DZ201" i="80"/>
  <c r="EV210" i="79"/>
  <c r="AN210" i="79"/>
  <c r="AF214" i="80"/>
  <c r="AG214" i="80"/>
  <c r="EG91" i="80"/>
  <c r="EF91" i="80"/>
  <c r="BM114" i="79"/>
  <c r="BL114" i="79"/>
  <c r="BM372" i="80"/>
  <c r="EG372" i="80"/>
  <c r="AW372" i="80"/>
  <c r="AN210" i="80"/>
  <c r="DX210" i="80"/>
  <c r="EF210" i="80"/>
  <c r="CZ210" i="80"/>
  <c r="X210" i="80"/>
  <c r="FD210" i="80"/>
  <c r="P210" i="80"/>
  <c r="FL210" i="80"/>
  <c r="DP210" i="80"/>
  <c r="BD210" i="80"/>
  <c r="DH210" i="80"/>
  <c r="AF210" i="80"/>
  <c r="EV210" i="80"/>
  <c r="BT210" i="80"/>
  <c r="CR210" i="80"/>
  <c r="FC19" i="80"/>
  <c r="CK25" i="80"/>
  <c r="CK401" i="80" s="1"/>
  <c r="AF140" i="79"/>
  <c r="BL140" i="79"/>
  <c r="DA147" i="80"/>
  <c r="DB147" i="80" s="1"/>
  <c r="AV147" i="80"/>
  <c r="AX147" i="80" s="1"/>
  <c r="EW141" i="79"/>
  <c r="EX141" i="79" s="1"/>
  <c r="BE91" i="80"/>
  <c r="BF91" i="80" s="1"/>
  <c r="FM130" i="80"/>
  <c r="FN130" i="80" s="1"/>
  <c r="CB210" i="80"/>
  <c r="CS372" i="80"/>
  <c r="CC372" i="80"/>
  <c r="AO372" i="80"/>
  <c r="F46" i="35"/>
  <c r="F49" i="35" s="1"/>
  <c r="F53" i="35" s="1"/>
  <c r="H143" i="79"/>
  <c r="FF200" i="80"/>
  <c r="AG99" i="79"/>
  <c r="AH99" i="79" s="1"/>
  <c r="EN121" i="79"/>
  <c r="EP121" i="79" s="1"/>
  <c r="BE150" i="79"/>
  <c r="BF150" i="79" s="1"/>
  <c r="AV155" i="80"/>
  <c r="AX155" i="80" s="1"/>
  <c r="DH140" i="79"/>
  <c r="CB151" i="80"/>
  <c r="CD151" i="80" s="1"/>
  <c r="FD153" i="79"/>
  <c r="FF153" i="79" s="1"/>
  <c r="BU108" i="80"/>
  <c r="BM91" i="79"/>
  <c r="BN91" i="79" s="1"/>
  <c r="G438" i="79"/>
  <c r="DQ142" i="79"/>
  <c r="DR142" i="79" s="1"/>
  <c r="FE114" i="80"/>
  <c r="FF114" i="80" s="1"/>
  <c r="EN104" i="80"/>
  <c r="EP104" i="80" s="1"/>
  <c r="AF212" i="79"/>
  <c r="DH210" i="79"/>
  <c r="DI372" i="80"/>
  <c r="DA372" i="80"/>
  <c r="DQ372" i="80"/>
  <c r="CB24" i="79"/>
  <c r="CB400" i="79" s="1"/>
  <c r="EF132" i="79"/>
  <c r="EH132" i="79" s="1"/>
  <c r="CB140" i="79"/>
  <c r="DH142" i="79"/>
  <c r="DJ142" i="79" s="1"/>
  <c r="DY108" i="80"/>
  <c r="FL121" i="80"/>
  <c r="FN121" i="80" s="1"/>
  <c r="Z58" i="80"/>
  <c r="CJ106" i="79"/>
  <c r="CL106" i="79" s="1"/>
  <c r="BF121" i="80"/>
  <c r="CI215" i="80"/>
  <c r="CK210" i="80"/>
  <c r="CJ210" i="80"/>
  <c r="AV212" i="79"/>
  <c r="CK73" i="79"/>
  <c r="CL73" i="79" s="1"/>
  <c r="J143" i="80"/>
  <c r="CS109" i="79"/>
  <c r="CT109" i="79" s="1"/>
  <c r="AN140" i="80"/>
  <c r="AP140" i="80" s="1"/>
  <c r="X147" i="80"/>
  <c r="Z147" i="80" s="1"/>
  <c r="O26" i="80"/>
  <c r="EN188" i="80"/>
  <c r="EP188" i="80" s="1"/>
  <c r="FN120" i="80"/>
  <c r="FE103" i="79"/>
  <c r="BF200" i="79"/>
  <c r="DW26" i="79"/>
  <c r="Y99" i="80"/>
  <c r="Z99" i="80" s="1"/>
  <c r="FD129" i="79"/>
  <c r="FF129" i="79" s="1"/>
  <c r="EW150" i="79"/>
  <c r="EX150" i="79" s="1"/>
  <c r="Q129" i="79"/>
  <c r="R129" i="79" s="1"/>
  <c r="EV188" i="80"/>
  <c r="EX188" i="80" s="1"/>
  <c r="CB188" i="80"/>
  <c r="CD188" i="80" s="1"/>
  <c r="DH188" i="80"/>
  <c r="DJ188" i="80" s="1"/>
  <c r="FL188" i="80"/>
  <c r="FN188" i="80" s="1"/>
  <c r="DP188" i="80"/>
  <c r="DR188" i="80" s="1"/>
  <c r="CT201" i="80"/>
  <c r="CJ121" i="80"/>
  <c r="CK121" i="80"/>
  <c r="FL104" i="80"/>
  <c r="FM104" i="80"/>
  <c r="AN205" i="80"/>
  <c r="AO205" i="80"/>
  <c r="AM207" i="80"/>
  <c r="I207" i="79"/>
  <c r="DQ206" i="79"/>
  <c r="DI206" i="79"/>
  <c r="FE206" i="79"/>
  <c r="BE206" i="79"/>
  <c r="AW206" i="79"/>
  <c r="CC206" i="79"/>
  <c r="CS206" i="79"/>
  <c r="EG206" i="79"/>
  <c r="DY206" i="79"/>
  <c r="Y206" i="79"/>
  <c r="BU206" i="79"/>
  <c r="EW206" i="79"/>
  <c r="FM206" i="79"/>
  <c r="AO206" i="79"/>
  <c r="DA206" i="79"/>
  <c r="AG206" i="79"/>
  <c r="EO206" i="79"/>
  <c r="AN139" i="79"/>
  <c r="AP139" i="79" s="1"/>
  <c r="BT147" i="79"/>
  <c r="BV147" i="79" s="1"/>
  <c r="W93" i="80"/>
  <c r="FL154" i="80"/>
  <c r="FN154" i="80" s="1"/>
  <c r="BM91" i="80"/>
  <c r="BN91" i="80" s="1"/>
  <c r="FD109" i="79"/>
  <c r="FF109" i="79" s="1"/>
  <c r="CZ188" i="80"/>
  <c r="DB188" i="80" s="1"/>
  <c r="FL70" i="80"/>
  <c r="FM70" i="80"/>
  <c r="I207" i="80"/>
  <c r="CS206" i="80"/>
  <c r="Q206" i="80"/>
  <c r="FM206" i="80"/>
  <c r="EG206" i="80"/>
  <c r="CK206" i="80"/>
  <c r="EO206" i="80"/>
  <c r="AO206" i="80"/>
  <c r="AG206" i="80"/>
  <c r="FE206" i="80"/>
  <c r="DQ206" i="80"/>
  <c r="BM206" i="80"/>
  <c r="DI206" i="80"/>
  <c r="BU206" i="80"/>
  <c r="CC206" i="80"/>
  <c r="EW206" i="80"/>
  <c r="BE206" i="80"/>
  <c r="X24" i="79"/>
  <c r="X400" i="79" s="1"/>
  <c r="X60" i="79"/>
  <c r="EN58" i="80"/>
  <c r="EP58" i="80" s="1"/>
  <c r="EV155" i="80"/>
  <c r="EX155" i="80" s="1"/>
  <c r="DA106" i="80"/>
  <c r="DB106" i="80" s="1"/>
  <c r="R106" i="79"/>
  <c r="CD129" i="80"/>
  <c r="CZ33" i="79"/>
  <c r="CZ34" i="79" s="1"/>
  <c r="DX188" i="80"/>
  <c r="DZ188" i="80" s="1"/>
  <c r="EU19" i="79"/>
  <c r="DH106" i="79"/>
  <c r="DJ106" i="79" s="1"/>
  <c r="FL107" i="79"/>
  <c r="FN107" i="79" s="1"/>
  <c r="FD139" i="79"/>
  <c r="FF139" i="79" s="1"/>
  <c r="EW23" i="79"/>
  <c r="EW399" i="79" s="1"/>
  <c r="BE142" i="79"/>
  <c r="BF142" i="79" s="1"/>
  <c r="DG100" i="79"/>
  <c r="AN188" i="80"/>
  <c r="AP188" i="80" s="1"/>
  <c r="FD188" i="80"/>
  <c r="FF188" i="80" s="1"/>
  <c r="BT188" i="80"/>
  <c r="BV188" i="80" s="1"/>
  <c r="CR70" i="80"/>
  <c r="CS70" i="80"/>
  <c r="CK206" i="79"/>
  <c r="DX24" i="79"/>
  <c r="DX400" i="79" s="1"/>
  <c r="BT121" i="79"/>
  <c r="BV121" i="79" s="1"/>
  <c r="CS153" i="79"/>
  <c r="CT153" i="79" s="1"/>
  <c r="BU124" i="80"/>
  <c r="BV124" i="80" s="1"/>
  <c r="EU399" i="79"/>
  <c r="AP185" i="79"/>
  <c r="CT64" i="79"/>
  <c r="EG120" i="79"/>
  <c r="EH120" i="79" s="1"/>
  <c r="BD188" i="80"/>
  <c r="BF188" i="80" s="1"/>
  <c r="CJ188" i="80"/>
  <c r="CL188" i="80" s="1"/>
  <c r="DO143" i="79"/>
  <c r="BM104" i="80"/>
  <c r="BL104" i="80"/>
  <c r="EW115" i="80"/>
  <c r="EV115" i="80"/>
  <c r="AW206" i="80"/>
  <c r="G46" i="35"/>
  <c r="G49" i="35" s="1"/>
  <c r="G53" i="35" s="1"/>
  <c r="X188" i="80"/>
  <c r="Z188" i="80" s="1"/>
  <c r="EF188" i="80"/>
  <c r="EH188" i="80" s="1"/>
  <c r="AV188" i="80"/>
  <c r="AX188" i="80" s="1"/>
  <c r="DP112" i="80"/>
  <c r="DR112" i="80" s="1"/>
  <c r="CJ25" i="80"/>
  <c r="CJ401" i="80" s="1"/>
  <c r="DR153" i="80"/>
  <c r="FM113" i="80"/>
  <c r="BE70" i="80"/>
  <c r="BD70" i="80"/>
  <c r="BM206" i="79"/>
  <c r="Y115" i="80"/>
  <c r="X115" i="80"/>
  <c r="DY206" i="80"/>
  <c r="Q206" i="79"/>
  <c r="BM16" i="80"/>
  <c r="BM410" i="80" s="1"/>
  <c r="BM426" i="80" s="1"/>
  <c r="DH25" i="80"/>
  <c r="DJ25" i="80" s="1"/>
  <c r="DJ401" i="80" s="1"/>
  <c r="BD99" i="79"/>
  <c r="BF99" i="79" s="1"/>
  <c r="CZ112" i="80"/>
  <c r="DB112" i="80" s="1"/>
  <c r="BU112" i="80"/>
  <c r="BV112" i="80" s="1"/>
  <c r="BM113" i="80"/>
  <c r="BN113" i="80" s="1"/>
  <c r="DQ139" i="79"/>
  <c r="EG139" i="79"/>
  <c r="EH139" i="79" s="1"/>
  <c r="CB147" i="79"/>
  <c r="CD147" i="79" s="1"/>
  <c r="P153" i="79"/>
  <c r="R153" i="79" s="1"/>
  <c r="FE113" i="80"/>
  <c r="DQ106" i="79"/>
  <c r="DR106" i="79" s="1"/>
  <c r="CL200" i="79"/>
  <c r="EO106" i="79"/>
  <c r="EN106" i="79"/>
  <c r="DA106" i="79"/>
  <c r="CZ106" i="79"/>
  <c r="AG16" i="79"/>
  <c r="AG410" i="79" s="1"/>
  <c r="AG426" i="79" s="1"/>
  <c r="DH24" i="79"/>
  <c r="DH400" i="79" s="1"/>
  <c r="EE100" i="79"/>
  <c r="AV112" i="80"/>
  <c r="AX112" i="80" s="1"/>
  <c r="Q113" i="80"/>
  <c r="R113" i="80" s="1"/>
  <c r="DP132" i="79"/>
  <c r="DR132" i="79" s="1"/>
  <c r="FL139" i="79"/>
  <c r="FN139" i="79" s="1"/>
  <c r="DP139" i="79"/>
  <c r="AN147" i="80"/>
  <c r="AP147" i="80" s="1"/>
  <c r="CK155" i="80"/>
  <c r="CL155" i="80" s="1"/>
  <c r="AG62" i="80"/>
  <c r="DI62" i="80"/>
  <c r="AE34" i="79"/>
  <c r="DX112" i="80"/>
  <c r="BL112" i="80"/>
  <c r="DZ125" i="79"/>
  <c r="EO194" i="80"/>
  <c r="EP194" i="80" s="1"/>
  <c r="CC194" i="80"/>
  <c r="CD194" i="80" s="1"/>
  <c r="AW106" i="79"/>
  <c r="AV106" i="79"/>
  <c r="CK91" i="80"/>
  <c r="CJ91" i="80"/>
  <c r="DH91" i="80"/>
  <c r="DI91" i="80"/>
  <c r="DX91" i="80"/>
  <c r="DY91" i="80"/>
  <c r="BE106" i="79"/>
  <c r="BD106" i="79"/>
  <c r="Q25" i="80"/>
  <c r="Q401" i="80" s="1"/>
  <c r="AG25" i="79"/>
  <c r="AG401" i="79" s="1"/>
  <c r="P24" i="79"/>
  <c r="P400" i="79" s="1"/>
  <c r="EW69" i="79"/>
  <c r="EX69" i="79" s="1"/>
  <c r="EO98" i="80"/>
  <c r="EP98" i="80" s="1"/>
  <c r="AF107" i="79"/>
  <c r="AH107" i="79" s="1"/>
  <c r="AG113" i="80"/>
  <c r="AH113" i="80" s="1"/>
  <c r="CC113" i="80"/>
  <c r="CD113" i="80" s="1"/>
  <c r="X155" i="80"/>
  <c r="BM147" i="80"/>
  <c r="BN147" i="80" s="1"/>
  <c r="EM93" i="80"/>
  <c r="W93" i="79"/>
  <c r="AF153" i="79"/>
  <c r="AH153" i="79" s="1"/>
  <c r="EO120" i="79"/>
  <c r="EP120" i="79" s="1"/>
  <c r="CK107" i="80"/>
  <c r="CL107" i="80" s="1"/>
  <c r="AG109" i="79"/>
  <c r="AH109" i="79" s="1"/>
  <c r="CJ112" i="80"/>
  <c r="AF141" i="80"/>
  <c r="AH141" i="80" s="1"/>
  <c r="DH112" i="80"/>
  <c r="AX109" i="79"/>
  <c r="CL181" i="79"/>
  <c r="DJ130" i="80"/>
  <c r="CB124" i="80"/>
  <c r="CD124" i="80" s="1"/>
  <c r="DA62" i="80"/>
  <c r="CL194" i="80"/>
  <c r="CS200" i="80"/>
  <c r="CT200" i="80" s="1"/>
  <c r="BU106" i="79"/>
  <c r="BT106" i="79"/>
  <c r="FM120" i="79"/>
  <c r="FL120" i="79"/>
  <c r="CT194" i="80"/>
  <c r="J202" i="85"/>
  <c r="Q35" i="82"/>
  <c r="AF16" i="79"/>
  <c r="AF410" i="79" s="1"/>
  <c r="CR24" i="79"/>
  <c r="CR400" i="79" s="1"/>
  <c r="EE26" i="80"/>
  <c r="EN112" i="80"/>
  <c r="EP112" i="80" s="1"/>
  <c r="DA108" i="79"/>
  <c r="DB108" i="79" s="1"/>
  <c r="AF112" i="80"/>
  <c r="AH112" i="80" s="1"/>
  <c r="EO113" i="80"/>
  <c r="EP113" i="80" s="1"/>
  <c r="EN132" i="79"/>
  <c r="EP132" i="79" s="1"/>
  <c r="BD120" i="79"/>
  <c r="BF120" i="79" s="1"/>
  <c r="DH153" i="80"/>
  <c r="DJ153" i="80" s="1"/>
  <c r="EO147" i="79"/>
  <c r="EP147" i="79" s="1"/>
  <c r="Y153" i="79"/>
  <c r="Z153" i="79" s="1"/>
  <c r="Y155" i="80"/>
  <c r="BM147" i="79"/>
  <c r="BN147" i="79" s="1"/>
  <c r="BU91" i="79"/>
  <c r="BV91" i="79" s="1"/>
  <c r="FE129" i="80"/>
  <c r="FF129" i="80" s="1"/>
  <c r="Q62" i="80"/>
  <c r="EW62" i="80"/>
  <c r="FM62" i="80"/>
  <c r="DQ23" i="80"/>
  <c r="DQ399" i="80" s="1"/>
  <c r="DZ178" i="80"/>
  <c r="EG108" i="79"/>
  <c r="EH108" i="79" s="1"/>
  <c r="DY109" i="79"/>
  <c r="DZ109" i="79" s="1"/>
  <c r="AH187" i="80"/>
  <c r="EN91" i="80"/>
  <c r="EO91" i="80"/>
  <c r="AF106" i="79"/>
  <c r="AG106" i="79"/>
  <c r="CR91" i="80"/>
  <c r="CS91" i="80"/>
  <c r="AN418" i="79"/>
  <c r="W19" i="80"/>
  <c r="Q16" i="80"/>
  <c r="Q410" i="80" s="1"/>
  <c r="Q426" i="80" s="1"/>
  <c r="EG25" i="80"/>
  <c r="EG401" i="80" s="1"/>
  <c r="W26" i="80"/>
  <c r="CY420" i="79"/>
  <c r="BU113" i="80"/>
  <c r="BV113" i="80" s="1"/>
  <c r="DX106" i="79"/>
  <c r="DZ106" i="79" s="1"/>
  <c r="AF108" i="79"/>
  <c r="AH108" i="79" s="1"/>
  <c r="AW113" i="80"/>
  <c r="AX113" i="80" s="1"/>
  <c r="FE120" i="80"/>
  <c r="FF120" i="80" s="1"/>
  <c r="DZ153" i="79"/>
  <c r="AG150" i="79"/>
  <c r="AH150" i="79" s="1"/>
  <c r="FM150" i="79"/>
  <c r="FN150" i="79" s="1"/>
  <c r="AW62" i="80"/>
  <c r="EG62" i="80"/>
  <c r="EN129" i="79"/>
  <c r="EP129" i="79" s="1"/>
  <c r="AW125" i="79"/>
  <c r="AX125" i="79" s="1"/>
  <c r="CB112" i="80"/>
  <c r="CD112" i="80" s="1"/>
  <c r="DY109" i="80"/>
  <c r="DZ109" i="80" s="1"/>
  <c r="FL113" i="80"/>
  <c r="EV194" i="80"/>
  <c r="EX194" i="80" s="1"/>
  <c r="AN194" i="80"/>
  <c r="AP194" i="80" s="1"/>
  <c r="BU62" i="80"/>
  <c r="O410" i="80"/>
  <c r="W402" i="80"/>
  <c r="FC26" i="80"/>
  <c r="BE113" i="80"/>
  <c r="BF113" i="80" s="1"/>
  <c r="DY112" i="79"/>
  <c r="DZ112" i="79" s="1"/>
  <c r="DI113" i="80"/>
  <c r="DJ113" i="80" s="1"/>
  <c r="AN154" i="80"/>
  <c r="AP154" i="80" s="1"/>
  <c r="CK62" i="80"/>
  <c r="EG106" i="80"/>
  <c r="EH106" i="80" s="1"/>
  <c r="FC143" i="79"/>
  <c r="BU108" i="79"/>
  <c r="BV108" i="79" s="1"/>
  <c r="AG60" i="79"/>
  <c r="AG103" i="80"/>
  <c r="CS113" i="80"/>
  <c r="BF125" i="79"/>
  <c r="AH194" i="80"/>
  <c r="X120" i="79"/>
  <c r="Y120" i="79"/>
  <c r="BT91" i="80"/>
  <c r="BU91" i="80"/>
  <c r="G64" i="35"/>
  <c r="G65" i="35" s="1"/>
  <c r="G87" i="35" s="1"/>
  <c r="Y25" i="80"/>
  <c r="Y401" i="80" s="1"/>
  <c r="P24" i="80"/>
  <c r="P400" i="80" s="1"/>
  <c r="CJ24" i="79"/>
  <c r="CJ400" i="79" s="1"/>
  <c r="X98" i="79"/>
  <c r="Z98" i="79" s="1"/>
  <c r="DQ113" i="80"/>
  <c r="DR113" i="80" s="1"/>
  <c r="FE132" i="79"/>
  <c r="EG150" i="79"/>
  <c r="EH150" i="79" s="1"/>
  <c r="BM62" i="80"/>
  <c r="Y62" i="80"/>
  <c r="EF112" i="80"/>
  <c r="EH112" i="80" s="1"/>
  <c r="FL112" i="80"/>
  <c r="H202" i="85"/>
  <c r="FE60" i="79"/>
  <c r="DB151" i="79"/>
  <c r="AP109" i="80"/>
  <c r="Q103" i="80"/>
  <c r="BV194" i="80"/>
  <c r="BK143" i="79"/>
  <c r="R194" i="80"/>
  <c r="DZ120" i="79"/>
  <c r="CC106" i="79"/>
  <c r="CB106" i="79"/>
  <c r="FF199" i="79"/>
  <c r="P202" i="80"/>
  <c r="J26" i="79"/>
  <c r="BT375" i="80"/>
  <c r="J202" i="80"/>
  <c r="BL16" i="80"/>
  <c r="BL410" i="80" s="1"/>
  <c r="P25" i="80"/>
  <c r="P401" i="80" s="1"/>
  <c r="AV25" i="80"/>
  <c r="AV401" i="80" s="1"/>
  <c r="AW25" i="80"/>
  <c r="AW401" i="80" s="1"/>
  <c r="P25" i="79"/>
  <c r="P401" i="79" s="1"/>
  <c r="DX25" i="79"/>
  <c r="DP69" i="80"/>
  <c r="DR69" i="80" s="1"/>
  <c r="BL108" i="79"/>
  <c r="BN108" i="79" s="1"/>
  <c r="DY113" i="80"/>
  <c r="DZ113" i="80" s="1"/>
  <c r="BN139" i="79"/>
  <c r="FD153" i="80"/>
  <c r="FF153" i="80" s="1"/>
  <c r="DY150" i="79"/>
  <c r="DZ150" i="79" s="1"/>
  <c r="AN153" i="80"/>
  <c r="AP153" i="80" s="1"/>
  <c r="EM143" i="79"/>
  <c r="DY112" i="80"/>
  <c r="EN153" i="79"/>
  <c r="EP153" i="79" s="1"/>
  <c r="P142" i="80"/>
  <c r="R142" i="80" s="1"/>
  <c r="CD178" i="80"/>
  <c r="DR180" i="79"/>
  <c r="FN109" i="79"/>
  <c r="FN107" i="80"/>
  <c r="CR199" i="79"/>
  <c r="Q199" i="80"/>
  <c r="DH375" i="80"/>
  <c r="AF375" i="80"/>
  <c r="CL195" i="80"/>
  <c r="AN375" i="80"/>
  <c r="DP25" i="80"/>
  <c r="DP401" i="80" s="1"/>
  <c r="FD25" i="80"/>
  <c r="FD401" i="80" s="1"/>
  <c r="CJ25" i="79"/>
  <c r="CL25" i="79" s="1"/>
  <c r="CL401" i="79" s="1"/>
  <c r="CB25" i="79"/>
  <c r="CB401" i="79" s="1"/>
  <c r="FD108" i="79"/>
  <c r="FF108" i="79" s="1"/>
  <c r="DH108" i="79"/>
  <c r="DJ108" i="79" s="1"/>
  <c r="EN139" i="79"/>
  <c r="EP139" i="79" s="1"/>
  <c r="EV153" i="80"/>
  <c r="EX153" i="80" s="1"/>
  <c r="Q155" i="79"/>
  <c r="DY155" i="79"/>
  <c r="CZ178" i="79"/>
  <c r="DB194" i="80"/>
  <c r="EW199" i="79"/>
  <c r="CR375" i="80"/>
  <c r="EN375" i="80"/>
  <c r="DP375" i="80"/>
  <c r="H202" i="80"/>
  <c r="EV199" i="80"/>
  <c r="DX199" i="80"/>
  <c r="CZ199" i="80"/>
  <c r="CR199" i="80"/>
  <c r="CB199" i="80"/>
  <c r="BT199" i="80"/>
  <c r="FD199" i="80"/>
  <c r="AV199" i="80"/>
  <c r="X199" i="80"/>
  <c r="AN199" i="80"/>
  <c r="EN199" i="80"/>
  <c r="EF199" i="80"/>
  <c r="BL199" i="80"/>
  <c r="AF199" i="80"/>
  <c r="BD199" i="80"/>
  <c r="FL199" i="80"/>
  <c r="DP199" i="80"/>
  <c r="CJ199" i="80"/>
  <c r="EF25" i="80"/>
  <c r="EF401" i="80" s="1"/>
  <c r="EN25" i="80"/>
  <c r="EN401" i="80" s="1"/>
  <c r="AN25" i="79"/>
  <c r="AN401" i="79" s="1"/>
  <c r="AV25" i="79"/>
  <c r="AV401" i="79" s="1"/>
  <c r="EV25" i="79"/>
  <c r="EV401" i="79" s="1"/>
  <c r="DQ98" i="80"/>
  <c r="DR98" i="80" s="1"/>
  <c r="CR113" i="80"/>
  <c r="EO108" i="80"/>
  <c r="EP108" i="80" s="1"/>
  <c r="AF153" i="80"/>
  <c r="AH153" i="80" s="1"/>
  <c r="BT153" i="80"/>
  <c r="BV153" i="80" s="1"/>
  <c r="DP108" i="79"/>
  <c r="DR108" i="79" s="1"/>
  <c r="AO142" i="79"/>
  <c r="AP142" i="79" s="1"/>
  <c r="CD67" i="80"/>
  <c r="DJ67" i="79"/>
  <c r="DH199" i="80"/>
  <c r="FD375" i="80"/>
  <c r="CJ375" i="80"/>
  <c r="DJ126" i="79"/>
  <c r="X25" i="80"/>
  <c r="X401" i="80" s="1"/>
  <c r="AN25" i="80"/>
  <c r="AP25" i="80" s="1"/>
  <c r="AP401" i="80" s="1"/>
  <c r="X25" i="79"/>
  <c r="X401" i="79" s="1"/>
  <c r="EF25" i="79"/>
  <c r="EF401" i="79" s="1"/>
  <c r="CZ25" i="79"/>
  <c r="CZ401" i="79" s="1"/>
  <c r="FD98" i="80"/>
  <c r="FF98" i="80" s="1"/>
  <c r="AV115" i="79"/>
  <c r="AX115" i="79" s="1"/>
  <c r="X153" i="80"/>
  <c r="Z153" i="80" s="1"/>
  <c r="AO155" i="80"/>
  <c r="AP155" i="80" s="1"/>
  <c r="AV153" i="80"/>
  <c r="AX153" i="80" s="1"/>
  <c r="BL153" i="80"/>
  <c r="BN153" i="80" s="1"/>
  <c r="BD108" i="79"/>
  <c r="BF108" i="79" s="1"/>
  <c r="EN178" i="79"/>
  <c r="EH142" i="80"/>
  <c r="AP67" i="79"/>
  <c r="EV375" i="80"/>
  <c r="AV375" i="80"/>
  <c r="I202" i="80"/>
  <c r="Q200" i="80"/>
  <c r="R200" i="80" s="1"/>
  <c r="EG200" i="80"/>
  <c r="EH200" i="80" s="1"/>
  <c r="DI200" i="80"/>
  <c r="DJ200" i="80" s="1"/>
  <c r="AW200" i="80"/>
  <c r="AX200" i="80" s="1"/>
  <c r="CK200" i="80"/>
  <c r="CL200" i="80" s="1"/>
  <c r="EO200" i="80"/>
  <c r="EP200" i="80" s="1"/>
  <c r="BE200" i="80"/>
  <c r="BF200" i="80" s="1"/>
  <c r="BM200" i="80"/>
  <c r="DY200" i="80"/>
  <c r="DZ200" i="80" s="1"/>
  <c r="BU200" i="80"/>
  <c r="BV200" i="80" s="1"/>
  <c r="AO200" i="80"/>
  <c r="AP200" i="80" s="1"/>
  <c r="DQ200" i="80"/>
  <c r="DR200" i="80" s="1"/>
  <c r="EW200" i="80"/>
  <c r="DA200" i="80"/>
  <c r="DB200" i="80" s="1"/>
  <c r="FM200" i="80"/>
  <c r="FN200" i="80" s="1"/>
  <c r="CC200" i="80"/>
  <c r="CD200" i="80" s="1"/>
  <c r="AG200" i="80"/>
  <c r="AH200" i="80" s="1"/>
  <c r="CR25" i="80"/>
  <c r="CR401" i="80" s="1"/>
  <c r="CB25" i="80"/>
  <c r="CB401" i="80" s="1"/>
  <c r="BD25" i="79"/>
  <c r="BD401" i="79" s="1"/>
  <c r="DH25" i="79"/>
  <c r="DH401" i="79" s="1"/>
  <c r="BL25" i="79"/>
  <c r="BL401" i="79" s="1"/>
  <c r="CR33" i="79"/>
  <c r="CR34" i="79" s="1"/>
  <c r="DX108" i="80"/>
  <c r="EW108" i="80"/>
  <c r="EX108" i="80" s="1"/>
  <c r="P153" i="80"/>
  <c r="R153" i="80" s="1"/>
  <c r="EF153" i="80"/>
  <c r="EH153" i="80" s="1"/>
  <c r="BD153" i="80"/>
  <c r="BF153" i="80" s="1"/>
  <c r="EN153" i="80"/>
  <c r="EP153" i="80" s="1"/>
  <c r="CJ153" i="80"/>
  <c r="CL153" i="80" s="1"/>
  <c r="CC153" i="79"/>
  <c r="CD153" i="79" s="1"/>
  <c r="CB129" i="79"/>
  <c r="CD129" i="79" s="1"/>
  <c r="DX178" i="79"/>
  <c r="AV16" i="80"/>
  <c r="AV410" i="80" s="1"/>
  <c r="BK100" i="79"/>
  <c r="FE124" i="80"/>
  <c r="FF124" i="80" s="1"/>
  <c r="AU26" i="80"/>
  <c r="BD375" i="80"/>
  <c r="P375" i="80"/>
  <c r="H202" i="79"/>
  <c r="DX199" i="79"/>
  <c r="EN199" i="79"/>
  <c r="CZ199" i="79"/>
  <c r="CB199" i="79"/>
  <c r="BL199" i="79"/>
  <c r="BD199" i="79"/>
  <c r="P199" i="79"/>
  <c r="AV199" i="79"/>
  <c r="EF199" i="79"/>
  <c r="CJ199" i="79"/>
  <c r="X199" i="79"/>
  <c r="DH199" i="79"/>
  <c r="AN199" i="79"/>
  <c r="FL199" i="79"/>
  <c r="AF199" i="79"/>
  <c r="BT199" i="79"/>
  <c r="DP199" i="79"/>
  <c r="FL25" i="80"/>
  <c r="FL401" i="80" s="1"/>
  <c r="H401" i="80"/>
  <c r="H402" i="80" s="1"/>
  <c r="DP25" i="79"/>
  <c r="DP401" i="79" s="1"/>
  <c r="FL25" i="79"/>
  <c r="FL401" i="79" s="1"/>
  <c r="AF25" i="79"/>
  <c r="AF401" i="79" s="1"/>
  <c r="DY99" i="80"/>
  <c r="DZ99" i="80" s="1"/>
  <c r="DX153" i="80"/>
  <c r="DZ153" i="80" s="1"/>
  <c r="FL153" i="80"/>
  <c r="FN153" i="80" s="1"/>
  <c r="EU93" i="79"/>
  <c r="BE129" i="80"/>
  <c r="BF129" i="80" s="1"/>
  <c r="BT25" i="80"/>
  <c r="BT401" i="80" s="1"/>
  <c r="EW91" i="79"/>
  <c r="EX91" i="79" s="1"/>
  <c r="AW16" i="80"/>
  <c r="AW410" i="80" s="1"/>
  <c r="AW426" i="80" s="1"/>
  <c r="I202" i="79"/>
  <c r="DA199" i="79"/>
  <c r="BE199" i="79"/>
  <c r="BE202" i="79" s="1"/>
  <c r="DQ199" i="79"/>
  <c r="DI199" i="79"/>
  <c r="BM199" i="79"/>
  <c r="CK199" i="79"/>
  <c r="Y199" i="79"/>
  <c r="BU199" i="79"/>
  <c r="CC199" i="79"/>
  <c r="EO199" i="79"/>
  <c r="Q199" i="79"/>
  <c r="AW199" i="79"/>
  <c r="EG199" i="79"/>
  <c r="AG199" i="79"/>
  <c r="DY199" i="79"/>
  <c r="AO199" i="79"/>
  <c r="FM199" i="79"/>
  <c r="AP64" i="79"/>
  <c r="Y200" i="80"/>
  <c r="Z200" i="80" s="1"/>
  <c r="EV199" i="79"/>
  <c r="H26" i="79"/>
  <c r="EF375" i="80"/>
  <c r="H26" i="80"/>
  <c r="EN25" i="79"/>
  <c r="EN401" i="79" s="1"/>
  <c r="BT25" i="79"/>
  <c r="BT401" i="79" s="1"/>
  <c r="CB153" i="80"/>
  <c r="CD153" i="80" s="1"/>
  <c r="EF147" i="79"/>
  <c r="EH147" i="79" s="1"/>
  <c r="EO150" i="79"/>
  <c r="EP150" i="79" s="1"/>
  <c r="AW150" i="79"/>
  <c r="AX150" i="79" s="1"/>
  <c r="DI155" i="79"/>
  <c r="DJ155" i="79" s="1"/>
  <c r="CR153" i="80"/>
  <c r="CT153" i="80" s="1"/>
  <c r="CZ153" i="80"/>
  <c r="DB153" i="80" s="1"/>
  <c r="Y199" i="80"/>
  <c r="FM199" i="80"/>
  <c r="FE199" i="80"/>
  <c r="FE202" i="80" s="1"/>
  <c r="CC199" i="80"/>
  <c r="EO199" i="80"/>
  <c r="AW199" i="80"/>
  <c r="EG199" i="80"/>
  <c r="BM199" i="80"/>
  <c r="AO199" i="80"/>
  <c r="DA199" i="80"/>
  <c r="BU199" i="80"/>
  <c r="DY199" i="80"/>
  <c r="BE199" i="80"/>
  <c r="CK199" i="80"/>
  <c r="DQ199" i="80"/>
  <c r="EW199" i="80"/>
  <c r="AG199" i="80"/>
  <c r="CS199" i="80"/>
  <c r="Q201" i="79"/>
  <c r="CK201" i="79"/>
  <c r="EW201" i="79"/>
  <c r="Y201" i="79"/>
  <c r="AO201" i="79"/>
  <c r="EG201" i="79"/>
  <c r="DY201" i="79"/>
  <c r="AW201" i="79"/>
  <c r="DQ201" i="79"/>
  <c r="DR201" i="79" s="1"/>
  <c r="EO201" i="79"/>
  <c r="DI201" i="79"/>
  <c r="BM201" i="79"/>
  <c r="CS201" i="79"/>
  <c r="FM201" i="79"/>
  <c r="FE201" i="79"/>
  <c r="BU201" i="79"/>
  <c r="DA201" i="79"/>
  <c r="AG201" i="79"/>
  <c r="CC201" i="79"/>
  <c r="CS199" i="79"/>
  <c r="DQ418" i="80"/>
  <c r="DQ424" i="80"/>
  <c r="DQ372" i="79"/>
  <c r="BE372" i="79"/>
  <c r="CZ370" i="79"/>
  <c r="CI19" i="80"/>
  <c r="EV25" i="80"/>
  <c r="EV401" i="80" s="1"/>
  <c r="AF24" i="79"/>
  <c r="AF400" i="79" s="1"/>
  <c r="BM99" i="79"/>
  <c r="BN99" i="79" s="1"/>
  <c r="BU132" i="79"/>
  <c r="CJ140" i="80"/>
  <c r="CL140" i="80" s="1"/>
  <c r="CR140" i="80"/>
  <c r="CT140" i="80" s="1"/>
  <c r="AV140" i="80"/>
  <c r="AX140" i="80" s="1"/>
  <c r="BM153" i="79"/>
  <c r="BN153" i="79" s="1"/>
  <c r="CR147" i="80"/>
  <c r="CT147" i="80" s="1"/>
  <c r="EF153" i="79"/>
  <c r="EH153" i="79" s="1"/>
  <c r="CJ153" i="79"/>
  <c r="CL153" i="79" s="1"/>
  <c r="DX106" i="80"/>
  <c r="DZ106" i="80" s="1"/>
  <c r="Z91" i="80"/>
  <c r="CB375" i="80"/>
  <c r="EW372" i="79"/>
  <c r="Q372" i="79"/>
  <c r="FM16" i="79"/>
  <c r="FM410" i="79" s="1"/>
  <c r="FM426" i="79" s="1"/>
  <c r="G402" i="79"/>
  <c r="G405" i="79" s="1"/>
  <c r="G409" i="79" s="1"/>
  <c r="G414" i="79" s="1"/>
  <c r="L39" i="80"/>
  <c r="EV69" i="80"/>
  <c r="EX69" i="80" s="1"/>
  <c r="AE100" i="79"/>
  <c r="FE121" i="79"/>
  <c r="FF121" i="79" s="1"/>
  <c r="BT140" i="80"/>
  <c r="BV140" i="80" s="1"/>
  <c r="DP140" i="80"/>
  <c r="DR140" i="80" s="1"/>
  <c r="DQ150" i="79"/>
  <c r="DR150" i="79" s="1"/>
  <c r="EU143" i="79"/>
  <c r="CY143" i="80"/>
  <c r="R373" i="80"/>
  <c r="EX371" i="79"/>
  <c r="BD58" i="80"/>
  <c r="BF58" i="80" s="1"/>
  <c r="BM58" i="80"/>
  <c r="BN58" i="80" s="1"/>
  <c r="CJ193" i="79"/>
  <c r="AW139" i="79"/>
  <c r="AX139" i="79" s="1"/>
  <c r="BT195" i="80"/>
  <c r="BV195" i="80" s="1"/>
  <c r="BD109" i="79"/>
  <c r="BE109" i="79"/>
  <c r="DY372" i="79"/>
  <c r="FF22" i="79"/>
  <c r="FF398" i="79" s="1"/>
  <c r="O19" i="80"/>
  <c r="BU25" i="80"/>
  <c r="BU401" i="80" s="1"/>
  <c r="CZ22" i="80"/>
  <c r="CZ398" i="80" s="1"/>
  <c r="AG98" i="80"/>
  <c r="AH98" i="80" s="1"/>
  <c r="DA113" i="80"/>
  <c r="DB113" i="80" s="1"/>
  <c r="FE115" i="79"/>
  <c r="FF115" i="79" s="1"/>
  <c r="EV140" i="80"/>
  <c r="EX140" i="80" s="1"/>
  <c r="EG139" i="80"/>
  <c r="EG143" i="80" s="1"/>
  <c r="X140" i="80"/>
  <c r="Z140" i="80" s="1"/>
  <c r="DH140" i="80"/>
  <c r="DJ140" i="80" s="1"/>
  <c r="CY143" i="79"/>
  <c r="EH373" i="80"/>
  <c r="CD373" i="80"/>
  <c r="DJ373" i="80"/>
  <c r="AO124" i="80"/>
  <c r="AP124" i="80" s="1"/>
  <c r="CZ142" i="79"/>
  <c r="DB142" i="79" s="1"/>
  <c r="AF178" i="79"/>
  <c r="BD140" i="80"/>
  <c r="BF140" i="80" s="1"/>
  <c r="AO372" i="79"/>
  <c r="FL371" i="79"/>
  <c r="DQ25" i="80"/>
  <c r="DQ401" i="80" s="1"/>
  <c r="DA22" i="80"/>
  <c r="DA398" i="80" s="1"/>
  <c r="DO26" i="80"/>
  <c r="CB71" i="80"/>
  <c r="CD71" i="80" s="1"/>
  <c r="BM98" i="79"/>
  <c r="EV112" i="80"/>
  <c r="EX112" i="80" s="1"/>
  <c r="DX140" i="80"/>
  <c r="DZ140" i="80" s="1"/>
  <c r="EN140" i="80"/>
  <c r="EP140" i="80" s="1"/>
  <c r="BC143" i="79"/>
  <c r="AX373" i="80"/>
  <c r="CT373" i="80"/>
  <c r="CL373" i="80"/>
  <c r="BL106" i="80"/>
  <c r="BN106" i="80" s="1"/>
  <c r="EG109" i="80"/>
  <c r="EH109" i="80" s="1"/>
  <c r="FL106" i="80"/>
  <c r="FN106" i="80" s="1"/>
  <c r="R187" i="80"/>
  <c r="DB187" i="80"/>
  <c r="AW70" i="80"/>
  <c r="AV70" i="80"/>
  <c r="CK372" i="79"/>
  <c r="DJ22" i="80"/>
  <c r="DJ398" i="80" s="1"/>
  <c r="AV22" i="79"/>
  <c r="AV398" i="79" s="1"/>
  <c r="CC132" i="79"/>
  <c r="P140" i="79"/>
  <c r="CZ140" i="80"/>
  <c r="DB140" i="80" s="1"/>
  <c r="EF139" i="80"/>
  <c r="DB373" i="80"/>
  <c r="DR373" i="80"/>
  <c r="EP373" i="80"/>
  <c r="AU143" i="80"/>
  <c r="AV91" i="80"/>
  <c r="AX91" i="80" s="1"/>
  <c r="EG129" i="79"/>
  <c r="EH129" i="79" s="1"/>
  <c r="CT120" i="79"/>
  <c r="DA371" i="79"/>
  <c r="CC371" i="79"/>
  <c r="BM371" i="79"/>
  <c r="Q371" i="79"/>
  <c r="EG371" i="79"/>
  <c r="Y70" i="80"/>
  <c r="X70" i="80"/>
  <c r="DI372" i="79"/>
  <c r="AG372" i="79"/>
  <c r="BT108" i="80"/>
  <c r="BM112" i="79"/>
  <c r="BN112" i="79" s="1"/>
  <c r="FD140" i="80"/>
  <c r="FF140" i="80" s="1"/>
  <c r="EF140" i="80"/>
  <c r="EH140" i="80" s="1"/>
  <c r="P140" i="80"/>
  <c r="R140" i="80" s="1"/>
  <c r="EX373" i="80"/>
  <c r="BN373" i="80"/>
  <c r="FF373" i="80"/>
  <c r="CD371" i="79"/>
  <c r="EG125" i="79"/>
  <c r="EH125" i="79" s="1"/>
  <c r="DH178" i="79"/>
  <c r="AN142" i="80"/>
  <c r="AP142" i="80" s="1"/>
  <c r="EW142" i="79"/>
  <c r="EX142" i="79" s="1"/>
  <c r="DZ194" i="80"/>
  <c r="R194" i="79"/>
  <c r="AV195" i="80"/>
  <c r="AX195" i="80" s="1"/>
  <c r="X195" i="80"/>
  <c r="Z195" i="80" s="1"/>
  <c r="FD195" i="80"/>
  <c r="FF195" i="80" s="1"/>
  <c r="DP195" i="80"/>
  <c r="DR195" i="80" s="1"/>
  <c r="BL195" i="80"/>
  <c r="BN195" i="80" s="1"/>
  <c r="AN195" i="80"/>
  <c r="AP195" i="80" s="1"/>
  <c r="CB195" i="80"/>
  <c r="CD195" i="80" s="1"/>
  <c r="AF195" i="80"/>
  <c r="AH195" i="80" s="1"/>
  <c r="CR195" i="80"/>
  <c r="CT195" i="80" s="1"/>
  <c r="BD195" i="80"/>
  <c r="BF195" i="80" s="1"/>
  <c r="EN195" i="80"/>
  <c r="EP195" i="80" s="1"/>
  <c r="DH195" i="80"/>
  <c r="DJ195" i="80" s="1"/>
  <c r="EF195" i="80"/>
  <c r="EH195" i="80" s="1"/>
  <c r="P195" i="80"/>
  <c r="R195" i="80" s="1"/>
  <c r="FL195" i="80"/>
  <c r="FN195" i="80" s="1"/>
  <c r="DX195" i="80"/>
  <c r="DZ195" i="80" s="1"/>
  <c r="EV195" i="80"/>
  <c r="EX195" i="80" s="1"/>
  <c r="CZ195" i="80"/>
  <c r="DB195" i="80" s="1"/>
  <c r="X375" i="80"/>
  <c r="EG372" i="79"/>
  <c r="H143" i="80"/>
  <c r="CR126" i="80"/>
  <c r="CT126" i="80" s="1"/>
  <c r="CB370" i="79"/>
  <c r="EF370" i="79"/>
  <c r="DO404" i="79"/>
  <c r="DO425" i="79" s="1"/>
  <c r="R106" i="80"/>
  <c r="AH373" i="80"/>
  <c r="FD178" i="79"/>
  <c r="Z142" i="79"/>
  <c r="EV68" i="79"/>
  <c r="EX68" i="79" s="1"/>
  <c r="BD71" i="79"/>
  <c r="BF71" i="79" s="1"/>
  <c r="EF96" i="80"/>
  <c r="FD112" i="80"/>
  <c r="FF112" i="80" s="1"/>
  <c r="DI112" i="80"/>
  <c r="EV104" i="79"/>
  <c r="EX104" i="79" s="1"/>
  <c r="EW113" i="80"/>
  <c r="EX113" i="80" s="1"/>
  <c r="DH139" i="79"/>
  <c r="DJ139" i="79" s="1"/>
  <c r="AG154" i="79"/>
  <c r="FM155" i="80"/>
  <c r="FN155" i="80" s="1"/>
  <c r="AW155" i="79"/>
  <c r="AX155" i="79" s="1"/>
  <c r="EW155" i="79"/>
  <c r="CK155" i="79"/>
  <c r="FE113" i="79"/>
  <c r="DH58" i="80"/>
  <c r="DJ58" i="80" s="1"/>
  <c r="CS155" i="79"/>
  <c r="BT193" i="79"/>
  <c r="BV193" i="79" s="1"/>
  <c r="FD142" i="79"/>
  <c r="FE142" i="79"/>
  <c r="FD107" i="80"/>
  <c r="FE107" i="80"/>
  <c r="AF107" i="80"/>
  <c r="AG107" i="80"/>
  <c r="EG58" i="80"/>
  <c r="EF58" i="80"/>
  <c r="P58" i="80"/>
  <c r="Q58" i="80"/>
  <c r="FM142" i="79"/>
  <c r="FL142" i="79"/>
  <c r="DX142" i="79"/>
  <c r="DY142" i="79"/>
  <c r="FE194" i="79"/>
  <c r="FF194" i="79" s="1"/>
  <c r="CC107" i="80"/>
  <c r="CB107" i="80"/>
  <c r="Y57" i="80"/>
  <c r="BS419" i="80"/>
  <c r="CK112" i="80"/>
  <c r="CS113" i="79"/>
  <c r="DX108" i="79"/>
  <c r="DZ108" i="79" s="1"/>
  <c r="AO112" i="79"/>
  <c r="AP112" i="79" s="1"/>
  <c r="EF155" i="80"/>
  <c r="EH155" i="80" s="1"/>
  <c r="AM93" i="80"/>
  <c r="AG155" i="79"/>
  <c r="CZ153" i="79"/>
  <c r="DB153" i="79" s="1"/>
  <c r="Q108" i="79"/>
  <c r="R108" i="79" s="1"/>
  <c r="AV178" i="79"/>
  <c r="FE91" i="79"/>
  <c r="FF91" i="79" s="1"/>
  <c r="BE91" i="79"/>
  <c r="BD91" i="79"/>
  <c r="FM91" i="79"/>
  <c r="FL91" i="79"/>
  <c r="CR142" i="79"/>
  <c r="CS142" i="79"/>
  <c r="EF193" i="79"/>
  <c r="Y107" i="80"/>
  <c r="X107" i="80"/>
  <c r="BD107" i="80"/>
  <c r="BE107" i="80"/>
  <c r="EN193" i="79"/>
  <c r="EP193" i="79" s="1"/>
  <c r="BD16" i="79"/>
  <c r="BD410" i="79" s="1"/>
  <c r="BT16" i="80"/>
  <c r="BT410" i="80" s="1"/>
  <c r="CQ399" i="80"/>
  <c r="CQ402" i="80" s="1"/>
  <c r="BE98" i="80"/>
  <c r="BF98" i="80" s="1"/>
  <c r="X108" i="79"/>
  <c r="Z108" i="79" s="1"/>
  <c r="AN112" i="80"/>
  <c r="CR132" i="79"/>
  <c r="CT132" i="79" s="1"/>
  <c r="BD139" i="79"/>
  <c r="BF139" i="79" s="1"/>
  <c r="BU147" i="80"/>
  <c r="BV147" i="80" s="1"/>
  <c r="DY147" i="79"/>
  <c r="DZ147" i="79" s="1"/>
  <c r="FE150" i="79"/>
  <c r="FF150" i="79" s="1"/>
  <c r="CC155" i="79"/>
  <c r="Y151" i="80"/>
  <c r="Z151" i="80" s="1"/>
  <c r="AF193" i="79"/>
  <c r="X91" i="79"/>
  <c r="Y91" i="79"/>
  <c r="AW142" i="79"/>
  <c r="AV142" i="79"/>
  <c r="BL193" i="79"/>
  <c r="BN193" i="79" s="1"/>
  <c r="CY34" i="79"/>
  <c r="CY404" i="79"/>
  <c r="CY425" i="79" s="1"/>
  <c r="P193" i="79"/>
  <c r="R193" i="79" s="1"/>
  <c r="DP58" i="80"/>
  <c r="DQ58" i="80"/>
  <c r="EX193" i="79"/>
  <c r="FL193" i="79"/>
  <c r="FN193" i="79" s="1"/>
  <c r="CK192" i="79"/>
  <c r="AG192" i="79"/>
  <c r="FM192" i="79"/>
  <c r="Q192" i="79"/>
  <c r="CS192" i="79"/>
  <c r="EW192" i="79"/>
  <c r="BM192" i="79"/>
  <c r="AO192" i="79"/>
  <c r="DQ192" i="79"/>
  <c r="Y192" i="79"/>
  <c r="DA192" i="79"/>
  <c r="FE192" i="79"/>
  <c r="DI192" i="79"/>
  <c r="CC192" i="79"/>
  <c r="BE192" i="79"/>
  <c r="AW192" i="79"/>
  <c r="EG192" i="79"/>
  <c r="DY192" i="79"/>
  <c r="EO192" i="79"/>
  <c r="EP192" i="79" s="1"/>
  <c r="BU192" i="79"/>
  <c r="BC410" i="79"/>
  <c r="BU16" i="80"/>
  <c r="BU410" i="80" s="1"/>
  <c r="BU426" i="80" s="1"/>
  <c r="CR23" i="80"/>
  <c r="CR399" i="80" s="1"/>
  <c r="BS34" i="80"/>
  <c r="Y71" i="79"/>
  <c r="Z71" i="79" s="1"/>
  <c r="AU100" i="79"/>
  <c r="AO112" i="80"/>
  <c r="BV139" i="79"/>
  <c r="Y155" i="79"/>
  <c r="CK103" i="80"/>
  <c r="AO91" i="79"/>
  <c r="AN91" i="79"/>
  <c r="AG142" i="79"/>
  <c r="AF142" i="79"/>
  <c r="EO142" i="79"/>
  <c r="EN142" i="79"/>
  <c r="FD193" i="79"/>
  <c r="FF193" i="79" s="1"/>
  <c r="Q107" i="80"/>
  <c r="P107" i="80"/>
  <c r="AO58" i="80"/>
  <c r="AN58" i="80"/>
  <c r="DA58" i="80"/>
  <c r="CZ58" i="80"/>
  <c r="H215" i="79"/>
  <c r="AV193" i="79"/>
  <c r="CB193" i="79"/>
  <c r="DH193" i="79"/>
  <c r="DX193" i="79"/>
  <c r="DZ193" i="79" s="1"/>
  <c r="X193" i="79"/>
  <c r="Z193" i="79" s="1"/>
  <c r="AN193" i="79"/>
  <c r="AP193" i="79" s="1"/>
  <c r="BD192" i="79"/>
  <c r="X192" i="79"/>
  <c r="AV192" i="79"/>
  <c r="EV192" i="79"/>
  <c r="P192" i="79"/>
  <c r="BL192" i="79"/>
  <c r="CR192" i="79"/>
  <c r="CB192" i="79"/>
  <c r="DP192" i="79"/>
  <c r="AN192" i="79"/>
  <c r="CZ192" i="79"/>
  <c r="FD192" i="79"/>
  <c r="AF192" i="79"/>
  <c r="DH192" i="79"/>
  <c r="FL192" i="79"/>
  <c r="BT192" i="79"/>
  <c r="CJ192" i="79"/>
  <c r="DX192" i="79"/>
  <c r="Q98" i="80"/>
  <c r="R98" i="80" s="1"/>
  <c r="FE108" i="80"/>
  <c r="FF108" i="80" s="1"/>
  <c r="EV153" i="79"/>
  <c r="EX153" i="79" s="1"/>
  <c r="FM151" i="79"/>
  <c r="FN151" i="79" s="1"/>
  <c r="AW106" i="80"/>
  <c r="AX106" i="80" s="1"/>
  <c r="CS129" i="80"/>
  <c r="CT129" i="80" s="1"/>
  <c r="CR193" i="79"/>
  <c r="CT193" i="79" s="1"/>
  <c r="DP193" i="79"/>
  <c r="DR193" i="79" s="1"/>
  <c r="EO372" i="79"/>
  <c r="FM372" i="79"/>
  <c r="BU372" i="79"/>
  <c r="BM372" i="79"/>
  <c r="AW372" i="79"/>
  <c r="Y372" i="79"/>
  <c r="CS372" i="79"/>
  <c r="Q91" i="79"/>
  <c r="P91" i="79"/>
  <c r="P142" i="79"/>
  <c r="Q142" i="79"/>
  <c r="DQ194" i="79"/>
  <c r="DR194" i="79" s="1"/>
  <c r="DP107" i="80"/>
  <c r="DQ107" i="80"/>
  <c r="CK194" i="79"/>
  <c r="CL194" i="79" s="1"/>
  <c r="AO194" i="79"/>
  <c r="AP194" i="79" s="1"/>
  <c r="EO194" i="79"/>
  <c r="EP194" i="79" s="1"/>
  <c r="Y194" i="79"/>
  <c r="Z194" i="79" s="1"/>
  <c r="EW194" i="79"/>
  <c r="EX194" i="79" s="1"/>
  <c r="CC194" i="79"/>
  <c r="CD194" i="79" s="1"/>
  <c r="EG194" i="79"/>
  <c r="EH194" i="79" s="1"/>
  <c r="DI194" i="79"/>
  <c r="DJ194" i="79" s="1"/>
  <c r="CS194" i="79"/>
  <c r="CT194" i="79" s="1"/>
  <c r="DY194" i="79"/>
  <c r="DZ194" i="79" s="1"/>
  <c r="DA194" i="79"/>
  <c r="DB194" i="79" s="1"/>
  <c r="BM194" i="79"/>
  <c r="BN194" i="79" s="1"/>
  <c r="AW194" i="79"/>
  <c r="AX194" i="79" s="1"/>
  <c r="BE194" i="79"/>
  <c r="BF194" i="79" s="1"/>
  <c r="FM194" i="79"/>
  <c r="FN194" i="79" s="1"/>
  <c r="AG194" i="79"/>
  <c r="AH194" i="79" s="1"/>
  <c r="EN193" i="80"/>
  <c r="EP193" i="80" s="1"/>
  <c r="BL193" i="80"/>
  <c r="BN193" i="80" s="1"/>
  <c r="DH193" i="80"/>
  <c r="DJ193" i="80" s="1"/>
  <c r="AF193" i="80"/>
  <c r="AH193" i="80" s="1"/>
  <c r="DX193" i="80"/>
  <c r="DZ193" i="80" s="1"/>
  <c r="BT193" i="80"/>
  <c r="BV193" i="80" s="1"/>
  <c r="AV193" i="80"/>
  <c r="AX193" i="80" s="1"/>
  <c r="EV193" i="80"/>
  <c r="EX193" i="80" s="1"/>
  <c r="CZ193" i="80"/>
  <c r="DB193" i="80" s="1"/>
  <c r="FL193" i="80"/>
  <c r="FN193" i="80" s="1"/>
  <c r="CB193" i="80"/>
  <c r="CD193" i="80" s="1"/>
  <c r="DP193" i="80"/>
  <c r="DR193" i="80" s="1"/>
  <c r="FD193" i="80"/>
  <c r="FF193" i="80" s="1"/>
  <c r="P193" i="80"/>
  <c r="R193" i="80" s="1"/>
  <c r="BD193" i="80"/>
  <c r="BF193" i="80" s="1"/>
  <c r="AN193" i="80"/>
  <c r="AP193" i="80" s="1"/>
  <c r="X193" i="80"/>
  <c r="Z193" i="80" s="1"/>
  <c r="EV24" i="79"/>
  <c r="EV400" i="79" s="1"/>
  <c r="EM100" i="79"/>
  <c r="AO113" i="79"/>
  <c r="EV124" i="79"/>
  <c r="EX124" i="79" s="1"/>
  <c r="BM139" i="80"/>
  <c r="BN139" i="80" s="1"/>
  <c r="DW143" i="79"/>
  <c r="FE155" i="79"/>
  <c r="DI98" i="79"/>
  <c r="BU58" i="80"/>
  <c r="BV58" i="80" s="1"/>
  <c r="BD193" i="79"/>
  <c r="BU194" i="79"/>
  <c r="BV194" i="79" s="1"/>
  <c r="EF192" i="79"/>
  <c r="AV107" i="80"/>
  <c r="AW107" i="80"/>
  <c r="DY58" i="80"/>
  <c r="DX58" i="80"/>
  <c r="AV58" i="80"/>
  <c r="AW58" i="80"/>
  <c r="I424" i="80"/>
  <c r="AG113" i="79"/>
  <c r="Y113" i="79"/>
  <c r="FM113" i="79"/>
  <c r="FM155" i="79"/>
  <c r="FN155" i="79" s="1"/>
  <c r="AO155" i="79"/>
  <c r="AP155" i="79" s="1"/>
  <c r="Q113" i="79"/>
  <c r="AW113" i="79"/>
  <c r="BU155" i="79"/>
  <c r="CZ193" i="79"/>
  <c r="CR193" i="80"/>
  <c r="CT193" i="80" s="1"/>
  <c r="BL142" i="79"/>
  <c r="BM142" i="79"/>
  <c r="CJ193" i="80"/>
  <c r="CL193" i="80" s="1"/>
  <c r="FD58" i="80"/>
  <c r="FE58" i="80"/>
  <c r="FK399" i="79"/>
  <c r="BF120" i="80"/>
  <c r="CD130" i="79"/>
  <c r="AH120" i="79"/>
  <c r="BL189" i="79"/>
  <c r="BN189" i="79" s="1"/>
  <c r="DI187" i="80"/>
  <c r="DH187" i="80"/>
  <c r="EO124" i="80"/>
  <c r="EN124" i="80"/>
  <c r="AF124" i="80"/>
  <c r="AG124" i="80"/>
  <c r="FE142" i="80"/>
  <c r="FD142" i="80"/>
  <c r="CB189" i="80"/>
  <c r="CC189" i="80"/>
  <c r="CC188" i="79"/>
  <c r="BU188" i="79"/>
  <c r="DQ188" i="79"/>
  <c r="CS188" i="79"/>
  <c r="FE188" i="79"/>
  <c r="DA188" i="79"/>
  <c r="AG188" i="79"/>
  <c r="EG188" i="79"/>
  <c r="EO188" i="79"/>
  <c r="AO188" i="79"/>
  <c r="Q188" i="79"/>
  <c r="AW188" i="79"/>
  <c r="EW188" i="79"/>
  <c r="CK188" i="79"/>
  <c r="DI188" i="79"/>
  <c r="DY188" i="79"/>
  <c r="FM188" i="79"/>
  <c r="FE189" i="79"/>
  <c r="FD189" i="79"/>
  <c r="BU189" i="79"/>
  <c r="BT189" i="79"/>
  <c r="EO125" i="79"/>
  <c r="EN125" i="79"/>
  <c r="CJ129" i="79"/>
  <c r="CK129" i="79"/>
  <c r="AG129" i="79"/>
  <c r="AF129" i="79"/>
  <c r="BE142" i="80"/>
  <c r="BF142" i="80" s="1"/>
  <c r="P70" i="80"/>
  <c r="Q70" i="80"/>
  <c r="DX187" i="80"/>
  <c r="DY187" i="80"/>
  <c r="CC103" i="79"/>
  <c r="EG103" i="79"/>
  <c r="BU103" i="79"/>
  <c r="DA103" i="79"/>
  <c r="FM103" i="79"/>
  <c r="FE187" i="80"/>
  <c r="FD187" i="80"/>
  <c r="AN106" i="80"/>
  <c r="AO106" i="80"/>
  <c r="EV124" i="80"/>
  <c r="EW124" i="80"/>
  <c r="DA142" i="80"/>
  <c r="CZ142" i="80"/>
  <c r="Y142" i="80"/>
  <c r="X142" i="80"/>
  <c r="DH189" i="80"/>
  <c r="DI189" i="80"/>
  <c r="EO189" i="79"/>
  <c r="EN189" i="79"/>
  <c r="FL189" i="79"/>
  <c r="FM189" i="79"/>
  <c r="FD125" i="79"/>
  <c r="FE125" i="79"/>
  <c r="BM129" i="79"/>
  <c r="BL129" i="79"/>
  <c r="BF370" i="80"/>
  <c r="BU112" i="79"/>
  <c r="BV112" i="79" s="1"/>
  <c r="DQ139" i="80"/>
  <c r="DR139" i="80" s="1"/>
  <c r="CZ139" i="80"/>
  <c r="DB139" i="80" s="1"/>
  <c r="EO155" i="79"/>
  <c r="EP155" i="79" s="1"/>
  <c r="EH147" i="80"/>
  <c r="BN70" i="79"/>
  <c r="DX189" i="80"/>
  <c r="DY189" i="80"/>
  <c r="DY103" i="80"/>
  <c r="AW187" i="80"/>
  <c r="AV187" i="80"/>
  <c r="EV106" i="80"/>
  <c r="EW106" i="80"/>
  <c r="CK142" i="80"/>
  <c r="CJ142" i="80"/>
  <c r="CR142" i="80"/>
  <c r="CS142" i="80"/>
  <c r="DA189" i="80"/>
  <c r="CZ189" i="80"/>
  <c r="CR189" i="79"/>
  <c r="CS189" i="79"/>
  <c r="EG189" i="79"/>
  <c r="EF189" i="79"/>
  <c r="EH370" i="80"/>
  <c r="EV188" i="79"/>
  <c r="BT188" i="79"/>
  <c r="DP188" i="79"/>
  <c r="FD188" i="79"/>
  <c r="DX188" i="79"/>
  <c r="DH188" i="79"/>
  <c r="CR188" i="79"/>
  <c r="AN188" i="79"/>
  <c r="EF188" i="79"/>
  <c r="X188" i="79"/>
  <c r="CB188" i="79"/>
  <c r="BL188" i="79"/>
  <c r="AF188" i="79"/>
  <c r="P188" i="79"/>
  <c r="EN188" i="79"/>
  <c r="CZ188" i="79"/>
  <c r="FL188" i="79"/>
  <c r="FL99" i="80"/>
  <c r="FN99" i="80" s="1"/>
  <c r="FE103" i="80"/>
  <c r="CS187" i="80"/>
  <c r="CR187" i="80"/>
  <c r="BU103" i="80"/>
  <c r="AO189" i="80"/>
  <c r="AN189" i="80"/>
  <c r="BD189" i="79"/>
  <c r="BF189" i="79" s="1"/>
  <c r="CS106" i="80"/>
  <c r="CR106" i="80"/>
  <c r="EF124" i="80"/>
  <c r="EG124" i="80"/>
  <c r="CB142" i="80"/>
  <c r="CC142" i="80"/>
  <c r="EV189" i="80"/>
  <c r="EW189" i="80"/>
  <c r="DI103" i="80"/>
  <c r="P189" i="80"/>
  <c r="DY189" i="79"/>
  <c r="DX189" i="79"/>
  <c r="CJ189" i="79"/>
  <c r="CK189" i="79"/>
  <c r="CI196" i="79"/>
  <c r="EV125" i="79"/>
  <c r="EW125" i="79"/>
  <c r="DX129" i="79"/>
  <c r="DY129" i="79"/>
  <c r="D49" i="82"/>
  <c r="D53" i="82" s="1"/>
  <c r="D58" i="82" s="1"/>
  <c r="D59" i="82" s="1"/>
  <c r="AV141" i="80"/>
  <c r="AX141" i="80" s="1"/>
  <c r="BM103" i="80"/>
  <c r="DP189" i="80"/>
  <c r="DQ189" i="80"/>
  <c r="BS196" i="79"/>
  <c r="BM187" i="80"/>
  <c r="BL187" i="80"/>
  <c r="EO106" i="80"/>
  <c r="EN106" i="80"/>
  <c r="AG106" i="80"/>
  <c r="AF106" i="80"/>
  <c r="X189" i="80"/>
  <c r="Y189" i="80"/>
  <c r="CR189" i="80"/>
  <c r="X189" i="79"/>
  <c r="Y189" i="79"/>
  <c r="CZ189" i="79"/>
  <c r="DA189" i="79"/>
  <c r="Q125" i="79"/>
  <c r="P125" i="79"/>
  <c r="CR125" i="79"/>
  <c r="CS125" i="79"/>
  <c r="CJ370" i="79"/>
  <c r="EW22" i="79"/>
  <c r="EW398" i="79" s="1"/>
  <c r="Q112" i="79"/>
  <c r="R112" i="79" s="1"/>
  <c r="EW112" i="79"/>
  <c r="EX112" i="79" s="1"/>
  <c r="DQ103" i="80"/>
  <c r="FF114" i="79"/>
  <c r="EN189" i="80"/>
  <c r="EO189" i="80"/>
  <c r="AG189" i="79"/>
  <c r="AF189" i="79"/>
  <c r="FD189" i="80"/>
  <c r="FE189" i="80"/>
  <c r="BL189" i="80"/>
  <c r="BM189" i="80"/>
  <c r="P189" i="79"/>
  <c r="R189" i="79" s="1"/>
  <c r="FM187" i="80"/>
  <c r="FL187" i="80"/>
  <c r="DP142" i="80"/>
  <c r="DQ142" i="80"/>
  <c r="BU142" i="80"/>
  <c r="BT142" i="80"/>
  <c r="BM188" i="79"/>
  <c r="FL189" i="80"/>
  <c r="AO189" i="79"/>
  <c r="AN189" i="79"/>
  <c r="DP189" i="79"/>
  <c r="DQ189" i="79"/>
  <c r="X129" i="79"/>
  <c r="Y129" i="79"/>
  <c r="EP89" i="80"/>
  <c r="DZ142" i="80"/>
  <c r="Y103" i="80"/>
  <c r="AO103" i="80"/>
  <c r="CS103" i="80"/>
  <c r="DA103" i="80"/>
  <c r="AV189" i="80"/>
  <c r="AW189" i="80"/>
  <c r="BE187" i="80"/>
  <c r="BD187" i="80"/>
  <c r="DQ187" i="80"/>
  <c r="DP187" i="80"/>
  <c r="EW187" i="80"/>
  <c r="EV187" i="80"/>
  <c r="CK106" i="80"/>
  <c r="CJ106" i="80"/>
  <c r="BM142" i="80"/>
  <c r="BL142" i="80"/>
  <c r="BD189" i="80"/>
  <c r="BE189" i="80"/>
  <c r="BD188" i="79"/>
  <c r="Y188" i="79"/>
  <c r="EV189" i="79"/>
  <c r="EW189" i="79"/>
  <c r="BM125" i="79"/>
  <c r="BL125" i="79"/>
  <c r="FM129" i="79"/>
  <c r="FL129" i="79"/>
  <c r="BT189" i="80"/>
  <c r="EF189" i="80"/>
  <c r="CA93" i="79"/>
  <c r="Z184" i="80"/>
  <c r="AW189" i="79"/>
  <c r="AV189" i="79"/>
  <c r="CK70" i="80"/>
  <c r="CJ70" i="80"/>
  <c r="CJ187" i="80"/>
  <c r="CK187" i="80"/>
  <c r="CB187" i="80"/>
  <c r="CC187" i="80"/>
  <c r="DX124" i="80"/>
  <c r="DY124" i="80"/>
  <c r="FL142" i="80"/>
  <c r="FM142" i="80"/>
  <c r="CJ189" i="80"/>
  <c r="CK189" i="80"/>
  <c r="BE188" i="79"/>
  <c r="AV188" i="79"/>
  <c r="CB189" i="79"/>
  <c r="CC189" i="79"/>
  <c r="AN125" i="79"/>
  <c r="AO125" i="79"/>
  <c r="CI410" i="80"/>
  <c r="BD112" i="80"/>
  <c r="BF112" i="80" s="1"/>
  <c r="CS150" i="79"/>
  <c r="CT150" i="79" s="1"/>
  <c r="AE143" i="80"/>
  <c r="AO129" i="80"/>
  <c r="AP129" i="80" s="1"/>
  <c r="Q114" i="80"/>
  <c r="R114" i="80" s="1"/>
  <c r="AO141" i="79"/>
  <c r="AP141" i="79" s="1"/>
  <c r="AG89" i="80"/>
  <c r="AF89" i="80"/>
  <c r="EE410" i="80"/>
  <c r="EG16" i="80"/>
  <c r="EG410" i="80" s="1"/>
  <c r="EG426" i="80" s="1"/>
  <c r="EF16" i="80"/>
  <c r="AM410" i="80"/>
  <c r="AO16" i="80"/>
  <c r="DI129" i="79"/>
  <c r="DH129" i="79"/>
  <c r="BC410" i="80"/>
  <c r="BD16" i="80"/>
  <c r="BE16" i="80"/>
  <c r="BE410" i="80" s="1"/>
  <c r="BE426" i="80" s="1"/>
  <c r="DP178" i="79"/>
  <c r="FL178" i="79"/>
  <c r="FN178" i="79" s="1"/>
  <c r="BT178" i="79"/>
  <c r="CR178" i="79"/>
  <c r="BD178" i="79"/>
  <c r="X178" i="79"/>
  <c r="AN178" i="79"/>
  <c r="CJ178" i="79"/>
  <c r="EV178" i="79"/>
  <c r="BL178" i="79"/>
  <c r="EF178" i="79"/>
  <c r="CB178" i="79"/>
  <c r="CR109" i="80"/>
  <c r="CS109" i="80"/>
  <c r="EV109" i="80"/>
  <c r="EW109" i="80"/>
  <c r="DY64" i="80"/>
  <c r="DX64" i="80"/>
  <c r="AW64" i="80"/>
  <c r="AV64" i="80"/>
  <c r="DR29" i="80"/>
  <c r="DR30" i="80" s="1"/>
  <c r="DR403" i="80" s="1"/>
  <c r="DR424" i="80" s="1"/>
  <c r="CA424" i="80"/>
  <c r="AF29" i="79"/>
  <c r="AF30" i="79" s="1"/>
  <c r="AF418" i="79" s="1"/>
  <c r="CS69" i="80"/>
  <c r="CT69" i="80" s="1"/>
  <c r="DW100" i="79"/>
  <c r="DO100" i="79"/>
  <c r="EG98" i="80"/>
  <c r="EH98" i="80" s="1"/>
  <c r="DI108" i="80"/>
  <c r="DJ108" i="80" s="1"/>
  <c r="CJ155" i="79"/>
  <c r="CS147" i="79"/>
  <c r="CT147" i="79" s="1"/>
  <c r="EG184" i="80"/>
  <c r="EF184" i="80"/>
  <c r="CZ129" i="79"/>
  <c r="DA129" i="79"/>
  <c r="CJ114" i="80"/>
  <c r="CK114" i="80"/>
  <c r="FL141" i="79"/>
  <c r="FM141" i="79"/>
  <c r="FK143" i="79"/>
  <c r="BU109" i="80"/>
  <c r="BT109" i="80"/>
  <c r="CZ109" i="80"/>
  <c r="DA109" i="80"/>
  <c r="X64" i="80"/>
  <c r="Y64" i="80"/>
  <c r="BE25" i="80"/>
  <c r="BE401" i="80" s="1"/>
  <c r="BK26" i="80"/>
  <c r="CR68" i="79"/>
  <c r="CT68" i="79" s="1"/>
  <c r="EN64" i="80"/>
  <c r="EP64" i="80" s="1"/>
  <c r="FK100" i="79"/>
  <c r="CB99" i="80"/>
  <c r="CD99" i="80" s="1"/>
  <c r="BL124" i="80"/>
  <c r="BN124" i="80" s="1"/>
  <c r="BD140" i="79"/>
  <c r="BT155" i="79"/>
  <c r="AN147" i="79"/>
  <c r="AP147" i="79" s="1"/>
  <c r="CS129" i="79"/>
  <c r="CR129" i="79"/>
  <c r="DH64" i="80"/>
  <c r="DI64" i="80"/>
  <c r="P64" i="80"/>
  <c r="Q64" i="80"/>
  <c r="CK141" i="79"/>
  <c r="CJ141" i="79"/>
  <c r="CB419" i="79"/>
  <c r="CB404" i="79"/>
  <c r="CB425" i="79" s="1"/>
  <c r="CB34" i="79"/>
  <c r="EO109" i="80"/>
  <c r="EN109" i="80"/>
  <c r="CB64" i="80"/>
  <c r="CC64" i="80"/>
  <c r="BL109" i="80"/>
  <c r="BM109" i="80"/>
  <c r="EW130" i="80"/>
  <c r="EV130" i="80"/>
  <c r="EV64" i="80"/>
  <c r="EW64" i="80"/>
  <c r="EG424" i="80"/>
  <c r="BD25" i="80"/>
  <c r="BD401" i="80" s="1"/>
  <c r="CY116" i="79"/>
  <c r="BS399" i="80"/>
  <c r="AG23" i="80"/>
  <c r="AG399" i="80" s="1"/>
  <c r="Q141" i="79"/>
  <c r="P141" i="79"/>
  <c r="AG64" i="80"/>
  <c r="AF64" i="80"/>
  <c r="P109" i="80"/>
  <c r="Q109" i="80"/>
  <c r="FD109" i="80"/>
  <c r="FE109" i="80"/>
  <c r="AV109" i="80"/>
  <c r="AW109" i="80"/>
  <c r="CZ64" i="80"/>
  <c r="DA64" i="80"/>
  <c r="AN64" i="80"/>
  <c r="AO64" i="80"/>
  <c r="BM25" i="80"/>
  <c r="BM401" i="80" s="1"/>
  <c r="BC26" i="80"/>
  <c r="BT24" i="79"/>
  <c r="BT400" i="79" s="1"/>
  <c r="DA107" i="79"/>
  <c r="DB107" i="79" s="1"/>
  <c r="DI109" i="80"/>
  <c r="DJ109" i="80" s="1"/>
  <c r="CS112" i="79"/>
  <c r="CT112" i="79" s="1"/>
  <c r="EV155" i="79"/>
  <c r="Y109" i="80"/>
  <c r="X109" i="80"/>
  <c r="DQ109" i="80"/>
  <c r="DP109" i="80"/>
  <c r="CJ130" i="80"/>
  <c r="CK130" i="80"/>
  <c r="FE64" i="80"/>
  <c r="FD64" i="80"/>
  <c r="CR64" i="80"/>
  <c r="CS64" i="80"/>
  <c r="J143" i="79"/>
  <c r="BL25" i="80"/>
  <c r="BL401" i="80" s="1"/>
  <c r="BK402" i="80"/>
  <c r="AN67" i="80"/>
  <c r="AP67" i="80" s="1"/>
  <c r="CZ99" i="80"/>
  <c r="DB99" i="80" s="1"/>
  <c r="EV98" i="80"/>
  <c r="EX98" i="80" s="1"/>
  <c r="BM112" i="80"/>
  <c r="FL129" i="80"/>
  <c r="FN129" i="80" s="1"/>
  <c r="EX154" i="79"/>
  <c r="DO402" i="80"/>
  <c r="BU141" i="80"/>
  <c r="BT141" i="80"/>
  <c r="CC109" i="80"/>
  <c r="CB109" i="80"/>
  <c r="FL109" i="80"/>
  <c r="FM109" i="80"/>
  <c r="EG130" i="80"/>
  <c r="EF130" i="80"/>
  <c r="FL64" i="80"/>
  <c r="FM64" i="80"/>
  <c r="BT64" i="80"/>
  <c r="BU64" i="80"/>
  <c r="CJ16" i="80"/>
  <c r="CJ410" i="80" s="1"/>
  <c r="AV125" i="80"/>
  <c r="AX125" i="80" s="1"/>
  <c r="Q139" i="80"/>
  <c r="R139" i="80" s="1"/>
  <c r="DA150" i="79"/>
  <c r="DB150" i="79" s="1"/>
  <c r="BU150" i="79"/>
  <c r="BV150" i="79" s="1"/>
  <c r="AU93" i="80"/>
  <c r="DZ71" i="79"/>
  <c r="BM64" i="80"/>
  <c r="BL64" i="80"/>
  <c r="EF64" i="80"/>
  <c r="EG64" i="80"/>
  <c r="BT399" i="80"/>
  <c r="AF399" i="80"/>
  <c r="DA112" i="79"/>
  <c r="DB112" i="79" s="1"/>
  <c r="P155" i="79"/>
  <c r="BU23" i="80"/>
  <c r="BU399" i="80" s="1"/>
  <c r="BF178" i="80"/>
  <c r="AE399" i="80"/>
  <c r="P147" i="80"/>
  <c r="R147" i="80" s="1"/>
  <c r="O93" i="79"/>
  <c r="BK93" i="79"/>
  <c r="DJ178" i="80"/>
  <c r="CL154" i="80"/>
  <c r="DP23" i="80"/>
  <c r="CK109" i="79"/>
  <c r="CL109" i="79" s="1"/>
  <c r="BF180" i="79"/>
  <c r="X130" i="80"/>
  <c r="Y130" i="80"/>
  <c r="AF155" i="79"/>
  <c r="DI99" i="79"/>
  <c r="DH99" i="79"/>
  <c r="DJ154" i="79"/>
  <c r="AH178" i="80"/>
  <c r="AW91" i="79"/>
  <c r="AV91" i="79"/>
  <c r="FD130" i="80"/>
  <c r="FE130" i="80"/>
  <c r="CA418" i="79"/>
  <c r="CA420" i="79" s="1"/>
  <c r="FN139" i="80"/>
  <c r="BF154" i="79"/>
  <c r="FN153" i="79"/>
  <c r="DJ142" i="80"/>
  <c r="G394" i="79"/>
  <c r="AU143" i="79"/>
  <c r="FK84" i="80"/>
  <c r="FK237" i="80"/>
  <c r="H418" i="79"/>
  <c r="H420" i="79" s="1"/>
  <c r="EN370" i="79"/>
  <c r="AN370" i="79"/>
  <c r="DX370" i="79"/>
  <c r="DG19" i="80"/>
  <c r="G420" i="79"/>
  <c r="FL16" i="80"/>
  <c r="FL410" i="80" s="1"/>
  <c r="CY26" i="80"/>
  <c r="DI115" i="80"/>
  <c r="DJ115" i="80" s="1"/>
  <c r="CK113" i="80"/>
  <c r="CL113" i="80" s="1"/>
  <c r="AW108" i="80"/>
  <c r="FC93" i="79"/>
  <c r="FK143" i="80"/>
  <c r="Z371" i="79"/>
  <c r="AH371" i="79"/>
  <c r="BV371" i="79"/>
  <c r="FN371" i="79"/>
  <c r="EH371" i="79"/>
  <c r="BF371" i="79"/>
  <c r="Q181" i="79"/>
  <c r="P181" i="79"/>
  <c r="O196" i="79"/>
  <c r="P130" i="80"/>
  <c r="Q130" i="80"/>
  <c r="BM181" i="79"/>
  <c r="BL181" i="79"/>
  <c r="BK196" i="79"/>
  <c r="AF181" i="80"/>
  <c r="AG181" i="80"/>
  <c r="AE196" i="80"/>
  <c r="CC23" i="80"/>
  <c r="CC399" i="80" s="1"/>
  <c r="CA399" i="80"/>
  <c r="CB23" i="80"/>
  <c r="EG181" i="79"/>
  <c r="EF181" i="79"/>
  <c r="X370" i="79"/>
  <c r="FL370" i="79"/>
  <c r="BL370" i="79"/>
  <c r="DI22" i="79"/>
  <c r="DI398" i="79" s="1"/>
  <c r="CY19" i="80"/>
  <c r="FK410" i="80"/>
  <c r="CB69" i="79"/>
  <c r="CD69" i="79" s="1"/>
  <c r="EO92" i="80"/>
  <c r="BS100" i="80"/>
  <c r="DY98" i="80"/>
  <c r="DZ98" i="80" s="1"/>
  <c r="BE108" i="80"/>
  <c r="BF108" i="80" s="1"/>
  <c r="AV108" i="80"/>
  <c r="CK147" i="79"/>
  <c r="CL147" i="79" s="1"/>
  <c r="CI93" i="79"/>
  <c r="R371" i="79"/>
  <c r="CL371" i="79"/>
  <c r="CR181" i="80"/>
  <c r="CQ196" i="80"/>
  <c r="CS181" i="80"/>
  <c r="DI68" i="79"/>
  <c r="DH68" i="79"/>
  <c r="AF91" i="80"/>
  <c r="AG91" i="80"/>
  <c r="BD68" i="79"/>
  <c r="BE68" i="79"/>
  <c r="DX23" i="80"/>
  <c r="DW399" i="80"/>
  <c r="DW402" i="80" s="1"/>
  <c r="DY23" i="80"/>
  <c r="DY399" i="80" s="1"/>
  <c r="EW181" i="79"/>
  <c r="EV181" i="79"/>
  <c r="DH370" i="79"/>
  <c r="FD370" i="79"/>
  <c r="FM23" i="79"/>
  <c r="FM399" i="79" s="1"/>
  <c r="BM68" i="79"/>
  <c r="BN68" i="79" s="1"/>
  <c r="EG112" i="79"/>
  <c r="EH112" i="79" s="1"/>
  <c r="CB139" i="80"/>
  <c r="CD139" i="80" s="1"/>
  <c r="EV140" i="79"/>
  <c r="FL140" i="80"/>
  <c r="FN140" i="80" s="1"/>
  <c r="FD147" i="79"/>
  <c r="FF147" i="79" s="1"/>
  <c r="X155" i="79"/>
  <c r="AO150" i="79"/>
  <c r="AP150" i="79" s="1"/>
  <c r="BD115" i="79"/>
  <c r="BF115" i="79" s="1"/>
  <c r="X181" i="79"/>
  <c r="Y181" i="79"/>
  <c r="DP64" i="80"/>
  <c r="DQ64" i="80"/>
  <c r="FD68" i="79"/>
  <c r="FE68" i="79"/>
  <c r="AW23" i="80"/>
  <c r="AW399" i="80" s="1"/>
  <c r="AV23" i="80"/>
  <c r="AU399" i="80"/>
  <c r="AU402" i="80" s="1"/>
  <c r="EV370" i="79"/>
  <c r="AF370" i="79"/>
  <c r="BD370" i="79"/>
  <c r="CZ25" i="80"/>
  <c r="CZ401" i="80" s="1"/>
  <c r="AF25" i="80"/>
  <c r="AF401" i="80" s="1"/>
  <c r="FM112" i="80"/>
  <c r="O93" i="80"/>
  <c r="EU399" i="80"/>
  <c r="EW23" i="80"/>
  <c r="EW399" i="80" s="1"/>
  <c r="EV23" i="80"/>
  <c r="BE64" i="80"/>
  <c r="BD64" i="80"/>
  <c r="FL181" i="79"/>
  <c r="FM181" i="79"/>
  <c r="FK196" i="79"/>
  <c r="EO130" i="80"/>
  <c r="EN130" i="80"/>
  <c r="AF181" i="79"/>
  <c r="AG181" i="79"/>
  <c r="CJ64" i="80"/>
  <c r="CK64" i="80"/>
  <c r="CK68" i="79"/>
  <c r="CJ68" i="79"/>
  <c r="DA130" i="80"/>
  <c r="CZ130" i="80"/>
  <c r="FD23" i="80"/>
  <c r="FD399" i="80" s="1"/>
  <c r="FE23" i="80"/>
  <c r="FE399" i="80" s="1"/>
  <c r="FC399" i="80"/>
  <c r="FC402" i="80" s="1"/>
  <c r="AX371" i="79"/>
  <c r="DR371" i="79"/>
  <c r="FF371" i="79"/>
  <c r="DB371" i="79"/>
  <c r="CR370" i="79"/>
  <c r="AP29" i="80"/>
  <c r="AP30" i="80" s="1"/>
  <c r="AP403" i="80" s="1"/>
  <c r="AP418" i="80" s="1"/>
  <c r="O410" i="79"/>
  <c r="BL24" i="79"/>
  <c r="BL400" i="79" s="1"/>
  <c r="AE116" i="79"/>
  <c r="FM112" i="79"/>
  <c r="FN112" i="79" s="1"/>
  <c r="EO139" i="80"/>
  <c r="EP139" i="80" s="1"/>
  <c r="EN140" i="79"/>
  <c r="BM155" i="79"/>
  <c r="BN155" i="79" s="1"/>
  <c r="DO93" i="79"/>
  <c r="BN371" i="79"/>
  <c r="AP371" i="79"/>
  <c r="DZ70" i="79"/>
  <c r="AG130" i="80"/>
  <c r="AH130" i="80" s="1"/>
  <c r="DI181" i="79"/>
  <c r="DH181" i="79"/>
  <c r="DP130" i="80"/>
  <c r="DQ130" i="80"/>
  <c r="CZ181" i="79"/>
  <c r="DA181" i="79"/>
  <c r="FE181" i="79"/>
  <c r="FD181" i="79"/>
  <c r="CS60" i="79"/>
  <c r="BU60" i="79"/>
  <c r="DI60" i="79"/>
  <c r="AV370" i="79"/>
  <c r="DP370" i="79"/>
  <c r="CB23" i="79"/>
  <c r="DI67" i="80"/>
  <c r="DJ67" i="80" s="1"/>
  <c r="CC150" i="79"/>
  <c r="CD150" i="79" s="1"/>
  <c r="CI143" i="79"/>
  <c r="AN109" i="79"/>
  <c r="AP109" i="79" s="1"/>
  <c r="AV130" i="80"/>
  <c r="AW130" i="80"/>
  <c r="CS130" i="80"/>
  <c r="CR130" i="80"/>
  <c r="CB181" i="79"/>
  <c r="CC181" i="79"/>
  <c r="FM181" i="80"/>
  <c r="FL181" i="80"/>
  <c r="BU130" i="80"/>
  <c r="BT130" i="80"/>
  <c r="EE399" i="80"/>
  <c r="EE402" i="80" s="1"/>
  <c r="EE405" i="80" s="1"/>
  <c r="EE409" i="80" s="1"/>
  <c r="EF23" i="80"/>
  <c r="EG23" i="80"/>
  <c r="EG399" i="80" s="1"/>
  <c r="EX370" i="80"/>
  <c r="BT370" i="79"/>
  <c r="DA25" i="80"/>
  <c r="DA401" i="80" s="1"/>
  <c r="CQ100" i="79"/>
  <c r="DQ104" i="79"/>
  <c r="DR104" i="79" s="1"/>
  <c r="AE143" i="79"/>
  <c r="CT371" i="79"/>
  <c r="DZ371" i="79"/>
  <c r="EP371" i="79"/>
  <c r="BD141" i="79"/>
  <c r="EF142" i="79"/>
  <c r="EG142" i="79"/>
  <c r="BD181" i="79"/>
  <c r="BC196" i="79"/>
  <c r="BE181" i="79"/>
  <c r="EO23" i="80"/>
  <c r="EO399" i="80" s="1"/>
  <c r="EM399" i="80"/>
  <c r="EN23" i="80"/>
  <c r="CR181" i="79"/>
  <c r="CS181" i="79"/>
  <c r="G237" i="85"/>
  <c r="AN91" i="80"/>
  <c r="AO91" i="80"/>
  <c r="EO181" i="79"/>
  <c r="EN181" i="79"/>
  <c r="CB130" i="80"/>
  <c r="CC130" i="80"/>
  <c r="CB181" i="80"/>
  <c r="CC181" i="80"/>
  <c r="AP371" i="80"/>
  <c r="DZ371" i="80"/>
  <c r="BF371" i="80"/>
  <c r="CD371" i="80"/>
  <c r="AX371" i="80"/>
  <c r="DR371" i="80"/>
  <c r="AH371" i="80"/>
  <c r="EE196" i="79"/>
  <c r="R180" i="79"/>
  <c r="AP178" i="80"/>
  <c r="AN16" i="79"/>
  <c r="AN410" i="79" s="1"/>
  <c r="BS19" i="79"/>
  <c r="DB125" i="79"/>
  <c r="G52" i="79"/>
  <c r="G79" i="79" s="1"/>
  <c r="FC410" i="79"/>
  <c r="DX155" i="79"/>
  <c r="FM106" i="79"/>
  <c r="FL106" i="79"/>
  <c r="CY404" i="80"/>
  <c r="CY419" i="80" s="1"/>
  <c r="CY420" i="80" s="1"/>
  <c r="DG116" i="80"/>
  <c r="AF58" i="80"/>
  <c r="AG58" i="80"/>
  <c r="BT16" i="79"/>
  <c r="BU16" i="79"/>
  <c r="BU410" i="79" s="1"/>
  <c r="BU426" i="79" s="1"/>
  <c r="CT178" i="80"/>
  <c r="Q150" i="79"/>
  <c r="R150" i="79" s="1"/>
  <c r="CR22" i="79"/>
  <c r="CR398" i="79" s="1"/>
  <c r="CC23" i="79"/>
  <c r="CC399" i="79" s="1"/>
  <c r="EU93" i="80"/>
  <c r="BV92" i="79"/>
  <c r="P89" i="80"/>
  <c r="Q89" i="80"/>
  <c r="EM237" i="79"/>
  <c r="EM84" i="79"/>
  <c r="BC100" i="79"/>
  <c r="FE180" i="79"/>
  <c r="FD180" i="79"/>
  <c r="FC196" i="79"/>
  <c r="CZ181" i="80"/>
  <c r="DA181" i="80"/>
  <c r="CY196" i="80"/>
  <c r="X89" i="80"/>
  <c r="Y89" i="80"/>
  <c r="DY91" i="79"/>
  <c r="DX91" i="79"/>
  <c r="CZ180" i="79"/>
  <c r="DA180" i="79"/>
  <c r="BM141" i="79"/>
  <c r="BL141" i="79"/>
  <c r="CS180" i="79"/>
  <c r="CR180" i="79"/>
  <c r="CQ196" i="79"/>
  <c r="AG64" i="79"/>
  <c r="AF64" i="79"/>
  <c r="CK91" i="79"/>
  <c r="CJ91" i="79"/>
  <c r="CK181" i="80"/>
  <c r="CJ181" i="80"/>
  <c r="Y181" i="80"/>
  <c r="X181" i="80"/>
  <c r="W196" i="80"/>
  <c r="CB109" i="79"/>
  <c r="CC109" i="79"/>
  <c r="CI196" i="80"/>
  <c r="FK116" i="80"/>
  <c r="AP132" i="80"/>
  <c r="W116" i="79"/>
  <c r="O116" i="79"/>
  <c r="EN182" i="80"/>
  <c r="EO182" i="80"/>
  <c r="DA91" i="79"/>
  <c r="CZ91" i="79"/>
  <c r="DI89" i="80"/>
  <c r="DH89" i="80"/>
  <c r="FL89" i="80"/>
  <c r="FM89" i="80"/>
  <c r="AW64" i="79"/>
  <c r="AV64" i="79"/>
  <c r="BU181" i="80"/>
  <c r="BS196" i="80"/>
  <c r="BT181" i="80"/>
  <c r="AO89" i="80"/>
  <c r="AN89" i="80"/>
  <c r="DH181" i="80"/>
  <c r="DI181" i="80"/>
  <c r="AG155" i="80"/>
  <c r="AH155" i="80" s="1"/>
  <c r="CA410" i="80"/>
  <c r="CC16" i="80"/>
  <c r="CC410" i="80" s="1"/>
  <c r="CC426" i="80" s="1"/>
  <c r="CB16" i="80"/>
  <c r="FD182" i="80"/>
  <c r="FE182" i="80"/>
  <c r="FD141" i="79"/>
  <c r="FE141" i="79"/>
  <c r="DA89" i="80"/>
  <c r="CZ89" i="80"/>
  <c r="Q64" i="79"/>
  <c r="P64" i="79"/>
  <c r="FD181" i="80"/>
  <c r="FC196" i="80"/>
  <c r="FE181" i="80"/>
  <c r="Q181" i="80"/>
  <c r="P181" i="80"/>
  <c r="AN180" i="79"/>
  <c r="AO180" i="79"/>
  <c r="AM196" i="79"/>
  <c r="FL177" i="80"/>
  <c r="FN177" i="80" s="1"/>
  <c r="BN178" i="80"/>
  <c r="CL178" i="80"/>
  <c r="CS67" i="79"/>
  <c r="CR67" i="79"/>
  <c r="DQ182" i="80"/>
  <c r="DP182" i="80"/>
  <c r="EG109" i="79"/>
  <c r="EF109" i="79"/>
  <c r="CS89" i="80"/>
  <c r="CR89" i="80"/>
  <c r="BU89" i="80"/>
  <c r="BT89" i="80"/>
  <c r="DA109" i="79"/>
  <c r="CZ109" i="79"/>
  <c r="EG181" i="80"/>
  <c r="EF181" i="80"/>
  <c r="EE196" i="80"/>
  <c r="BM181" i="80"/>
  <c r="BL181" i="80"/>
  <c r="CK64" i="79"/>
  <c r="CJ64" i="79"/>
  <c r="AO23" i="80"/>
  <c r="AO399" i="80" s="1"/>
  <c r="AN23" i="80"/>
  <c r="AM399" i="80"/>
  <c r="DP181" i="80"/>
  <c r="DQ181" i="80"/>
  <c r="Q109" i="79"/>
  <c r="P109" i="79"/>
  <c r="BS93" i="79"/>
  <c r="R147" i="79"/>
  <c r="CQ410" i="80"/>
  <c r="CS16" i="80"/>
  <c r="CS410" i="80" s="1"/>
  <c r="CS426" i="80" s="1"/>
  <c r="CR16" i="80"/>
  <c r="EO181" i="80"/>
  <c r="EN181" i="80"/>
  <c r="EM196" i="80"/>
  <c r="DP109" i="79"/>
  <c r="DQ109" i="79"/>
  <c r="DI180" i="79"/>
  <c r="DH180" i="79"/>
  <c r="DG196" i="79"/>
  <c r="DO410" i="80"/>
  <c r="DP16" i="80"/>
  <c r="DP410" i="80" s="1"/>
  <c r="DQ16" i="80"/>
  <c r="DQ410" i="80" s="1"/>
  <c r="BE89" i="80"/>
  <c r="BD89" i="80"/>
  <c r="EU196" i="80"/>
  <c r="EV181" i="80"/>
  <c r="EW181" i="80"/>
  <c r="EN141" i="79"/>
  <c r="EO141" i="79"/>
  <c r="EW64" i="79"/>
  <c r="EV64" i="79"/>
  <c r="CC182" i="80"/>
  <c r="CA196" i="80"/>
  <c r="CB182" i="80"/>
  <c r="BE181" i="80"/>
  <c r="BD181" i="80"/>
  <c r="DX180" i="79"/>
  <c r="DY180" i="79"/>
  <c r="R139" i="79"/>
  <c r="AF180" i="79"/>
  <c r="AG180" i="79"/>
  <c r="AE196" i="79"/>
  <c r="AO130" i="80"/>
  <c r="AN130" i="80"/>
  <c r="CB91" i="79"/>
  <c r="CC91" i="79"/>
  <c r="EU410" i="80"/>
  <c r="EV16" i="80"/>
  <c r="EW16" i="80"/>
  <c r="EW410" i="80" s="1"/>
  <c r="EW426" i="80" s="1"/>
  <c r="CC64" i="79"/>
  <c r="CB64" i="79"/>
  <c r="DY89" i="80"/>
  <c r="DX89" i="80"/>
  <c r="CI399" i="79"/>
  <c r="CK23" i="79"/>
  <c r="CK399" i="79" s="1"/>
  <c r="CJ23" i="79"/>
  <c r="BD64" i="79"/>
  <c r="BE64" i="79"/>
  <c r="DW196" i="80"/>
  <c r="DY182" i="80"/>
  <c r="DX182" i="80"/>
  <c r="CB180" i="79"/>
  <c r="CC180" i="79"/>
  <c r="CA196" i="79"/>
  <c r="L37" i="80"/>
  <c r="Y141" i="79"/>
  <c r="W143" i="79"/>
  <c r="X141" i="79"/>
  <c r="EF91" i="79"/>
  <c r="EG91" i="79"/>
  <c r="DQ64" i="79"/>
  <c r="DP64" i="79"/>
  <c r="BM89" i="80"/>
  <c r="BL89" i="80"/>
  <c r="Q67" i="79"/>
  <c r="P67" i="79"/>
  <c r="EO70" i="79"/>
  <c r="EN70" i="79"/>
  <c r="AW181" i="80"/>
  <c r="AV181" i="80"/>
  <c r="CJ142" i="79"/>
  <c r="CK142" i="79"/>
  <c r="AG141" i="79"/>
  <c r="AF141" i="79"/>
  <c r="DP91" i="79"/>
  <c r="DQ91" i="79"/>
  <c r="CC89" i="80"/>
  <c r="CB89" i="80"/>
  <c r="O399" i="80"/>
  <c r="O402" i="80" s="1"/>
  <c r="Q23" i="80"/>
  <c r="Q399" i="80" s="1"/>
  <c r="P23" i="80"/>
  <c r="DA141" i="79"/>
  <c r="CZ141" i="79"/>
  <c r="AP153" i="79"/>
  <c r="DI23" i="80"/>
  <c r="DI399" i="80" s="1"/>
  <c r="DH23" i="80"/>
  <c r="DG399" i="80"/>
  <c r="AW89" i="80"/>
  <c r="AV89" i="80"/>
  <c r="EO109" i="79"/>
  <c r="EN109" i="79"/>
  <c r="EW180" i="79"/>
  <c r="EV180" i="79"/>
  <c r="BL64" i="79"/>
  <c r="BM64" i="79"/>
  <c r="EV109" i="79"/>
  <c r="EW109" i="79"/>
  <c r="EN180" i="79"/>
  <c r="EO180" i="79"/>
  <c r="AF91" i="79"/>
  <c r="AG91" i="79"/>
  <c r="AN181" i="80"/>
  <c r="AO181" i="80"/>
  <c r="X64" i="79"/>
  <c r="Y64" i="79"/>
  <c r="FK399" i="80"/>
  <c r="FL23" i="80"/>
  <c r="FM23" i="80"/>
  <c r="FM399" i="80" s="1"/>
  <c r="FL141" i="80"/>
  <c r="FM141" i="80"/>
  <c r="DA22" i="79"/>
  <c r="DA398" i="79" s="1"/>
  <c r="CR67" i="80"/>
  <c r="CS67" i="80"/>
  <c r="CZ67" i="80"/>
  <c r="DA67" i="80"/>
  <c r="AW129" i="80"/>
  <c r="AV129" i="80"/>
  <c r="EV129" i="80"/>
  <c r="EW129" i="80"/>
  <c r="BV178" i="80"/>
  <c r="CJ151" i="80"/>
  <c r="CK151" i="80"/>
  <c r="EN151" i="80"/>
  <c r="EO151" i="80"/>
  <c r="AM404" i="79"/>
  <c r="AM425" i="79" s="1"/>
  <c r="DW19" i="80"/>
  <c r="Y112" i="80"/>
  <c r="DQ120" i="79"/>
  <c r="DR120" i="79" s="1"/>
  <c r="BF153" i="79"/>
  <c r="CS112" i="80"/>
  <c r="AG67" i="80"/>
  <c r="AF67" i="80"/>
  <c r="EF67" i="80"/>
  <c r="EG67" i="80"/>
  <c r="EW71" i="79"/>
  <c r="EV71" i="79"/>
  <c r="DQ129" i="80"/>
  <c r="DP129" i="80"/>
  <c r="DP67" i="80"/>
  <c r="DQ67" i="80"/>
  <c r="DX151" i="80"/>
  <c r="DY151" i="80"/>
  <c r="Q374" i="79"/>
  <c r="AN22" i="79"/>
  <c r="AN398" i="79" s="1"/>
  <c r="BM22" i="79"/>
  <c r="BM398" i="79" s="1"/>
  <c r="AG69" i="80"/>
  <c r="AH69" i="80" s="1"/>
  <c r="X108" i="80"/>
  <c r="X112" i="80"/>
  <c r="EP154" i="80"/>
  <c r="FD71" i="79"/>
  <c r="FF71" i="79" s="1"/>
  <c r="EO67" i="80"/>
  <c r="EN67" i="80"/>
  <c r="Q129" i="80"/>
  <c r="P129" i="80"/>
  <c r="BE151" i="80"/>
  <c r="BD151" i="80"/>
  <c r="DH151" i="80"/>
  <c r="DI151" i="80"/>
  <c r="Y374" i="79"/>
  <c r="DP177" i="80"/>
  <c r="DR177" i="80" s="1"/>
  <c r="AV177" i="80"/>
  <c r="AX177" i="80" s="1"/>
  <c r="BL177" i="80"/>
  <c r="BN177" i="80" s="1"/>
  <c r="AF177" i="80"/>
  <c r="AH177" i="80" s="1"/>
  <c r="EV177" i="80"/>
  <c r="EX177" i="80" s="1"/>
  <c r="CJ177" i="80"/>
  <c r="CL177" i="80" s="1"/>
  <c r="CZ177" i="80"/>
  <c r="DB177" i="80" s="1"/>
  <c r="EN177" i="80"/>
  <c r="EP177" i="80" s="1"/>
  <c r="CR177" i="80"/>
  <c r="CT177" i="80" s="1"/>
  <c r="F48" i="82"/>
  <c r="F63" i="82" s="1"/>
  <c r="F64" i="82" s="1"/>
  <c r="F65" i="82" s="1"/>
  <c r="F87" i="82" s="1"/>
  <c r="AM19" i="79"/>
  <c r="FL16" i="79"/>
  <c r="DX16" i="79"/>
  <c r="DX410" i="79" s="1"/>
  <c r="FM68" i="79"/>
  <c r="FN68" i="79" s="1"/>
  <c r="EW92" i="79"/>
  <c r="Y108" i="80"/>
  <c r="FE115" i="80"/>
  <c r="FF115" i="80" s="1"/>
  <c r="CR108" i="80"/>
  <c r="CT108" i="80" s="1"/>
  <c r="BM108" i="80"/>
  <c r="BN108" i="80" s="1"/>
  <c r="EF104" i="79"/>
  <c r="EH104" i="79" s="1"/>
  <c r="EG108" i="80"/>
  <c r="EH108" i="80" s="1"/>
  <c r="BU139" i="80"/>
  <c r="AV139" i="80"/>
  <c r="EG155" i="79"/>
  <c r="EH155" i="79" s="1"/>
  <c r="CR155" i="79"/>
  <c r="DI147" i="79"/>
  <c r="DJ147" i="79" s="1"/>
  <c r="BS143" i="80"/>
  <c r="Z178" i="80"/>
  <c r="FD177" i="80"/>
  <c r="FF177" i="80" s="1"/>
  <c r="FM67" i="80"/>
  <c r="FL67" i="80"/>
  <c r="P71" i="79"/>
  <c r="Q71" i="79"/>
  <c r="EN129" i="80"/>
  <c r="EO129" i="80"/>
  <c r="FF178" i="80"/>
  <c r="R178" i="80"/>
  <c r="CB177" i="80"/>
  <c r="CD177" i="80" s="1"/>
  <c r="EN71" i="80"/>
  <c r="EO71" i="80"/>
  <c r="EW151" i="80"/>
  <c r="EV151" i="80"/>
  <c r="BL151" i="80"/>
  <c r="BM151" i="80"/>
  <c r="FK19" i="79"/>
  <c r="O19" i="79"/>
  <c r="DO19" i="80"/>
  <c r="DW410" i="79"/>
  <c r="FD24" i="79"/>
  <c r="FD400" i="79" s="1"/>
  <c r="CQ26" i="80"/>
  <c r="L44" i="80"/>
  <c r="Y92" i="80"/>
  <c r="FM98" i="80"/>
  <c r="EH99" i="79"/>
  <c r="AO108" i="80"/>
  <c r="AP108" i="80" s="1"/>
  <c r="AO107" i="79"/>
  <c r="AP107" i="79" s="1"/>
  <c r="BU107" i="79"/>
  <c r="BV107" i="79" s="1"/>
  <c r="AO124" i="79"/>
  <c r="AP124" i="79" s="1"/>
  <c r="EE143" i="79"/>
  <c r="DP154" i="80"/>
  <c r="DR154" i="80" s="1"/>
  <c r="CB155" i="79"/>
  <c r="DX70" i="80"/>
  <c r="DY70" i="80"/>
  <c r="DY67" i="80"/>
  <c r="DX67" i="80"/>
  <c r="CK71" i="79"/>
  <c r="CJ71" i="79"/>
  <c r="BT129" i="80"/>
  <c r="BU129" i="80"/>
  <c r="DH129" i="80"/>
  <c r="DI129" i="80"/>
  <c r="P177" i="80"/>
  <c r="R177" i="80" s="1"/>
  <c r="FE151" i="80"/>
  <c r="FD151" i="80"/>
  <c r="EV418" i="80"/>
  <c r="AV177" i="79"/>
  <c r="BL177" i="79"/>
  <c r="EN177" i="79"/>
  <c r="AF177" i="79"/>
  <c r="EF177" i="79"/>
  <c r="CZ177" i="79"/>
  <c r="FD177" i="79"/>
  <c r="CR177" i="79"/>
  <c r="CB177" i="79"/>
  <c r="DX177" i="79"/>
  <c r="DH177" i="79"/>
  <c r="CJ177" i="79"/>
  <c r="FL177" i="79"/>
  <c r="EV177" i="79"/>
  <c r="P177" i="79"/>
  <c r="BD177" i="79"/>
  <c r="BT177" i="79"/>
  <c r="AN177" i="79"/>
  <c r="X177" i="79"/>
  <c r="AV24" i="79"/>
  <c r="AV400" i="79" s="1"/>
  <c r="CC16" i="79"/>
  <c r="CC410" i="79" s="1"/>
  <c r="CC426" i="79" s="1"/>
  <c r="L40" i="80"/>
  <c r="AE418" i="79"/>
  <c r="DP99" i="80"/>
  <c r="DR99" i="80" s="1"/>
  <c r="FL98" i="80"/>
  <c r="FL108" i="80"/>
  <c r="CR112" i="80"/>
  <c r="DA108" i="80"/>
  <c r="DB108" i="80" s="1"/>
  <c r="DP147" i="79"/>
  <c r="DR147" i="79" s="1"/>
  <c r="P155" i="80"/>
  <c r="R155" i="80" s="1"/>
  <c r="FK93" i="79"/>
  <c r="CS71" i="79"/>
  <c r="CT71" i="79" s="1"/>
  <c r="BD177" i="80"/>
  <c r="BF177" i="80" s="1"/>
  <c r="BS401" i="80"/>
  <c r="BS26" i="80"/>
  <c r="CJ67" i="80"/>
  <c r="CK67" i="80"/>
  <c r="BM67" i="80"/>
  <c r="BL67" i="80"/>
  <c r="X67" i="80"/>
  <c r="Y67" i="80"/>
  <c r="BM71" i="79"/>
  <c r="BL71" i="79"/>
  <c r="BM129" i="80"/>
  <c r="BL129" i="80"/>
  <c r="BC84" i="80"/>
  <c r="AV71" i="80"/>
  <c r="AW71" i="80"/>
  <c r="CR151" i="80"/>
  <c r="CS151" i="80"/>
  <c r="P151" i="80"/>
  <c r="Q151" i="80"/>
  <c r="I215" i="79"/>
  <c r="DR22" i="80"/>
  <c r="DR398" i="80" s="1"/>
  <c r="AV424" i="80"/>
  <c r="EF418" i="79"/>
  <c r="G405" i="80"/>
  <c r="G409" i="80" s="1"/>
  <c r="G414" i="80" s="1"/>
  <c r="CB16" i="79"/>
  <c r="L38" i="80"/>
  <c r="G419" i="80"/>
  <c r="G420" i="80" s="1"/>
  <c r="AG112" i="79"/>
  <c r="AH112" i="79" s="1"/>
  <c r="DA129" i="80"/>
  <c r="DB129" i="80" s="1"/>
  <c r="CZ140" i="79"/>
  <c r="AW139" i="80"/>
  <c r="AW143" i="80" s="1"/>
  <c r="BE155" i="79"/>
  <c r="BF155" i="79" s="1"/>
  <c r="DY154" i="80"/>
  <c r="DZ154" i="80" s="1"/>
  <c r="AE93" i="79"/>
  <c r="DQ151" i="80"/>
  <c r="DR151" i="80" s="1"/>
  <c r="X177" i="80"/>
  <c r="Z177" i="80" s="1"/>
  <c r="CZ107" i="80"/>
  <c r="DA107" i="80"/>
  <c r="DX177" i="80"/>
  <c r="DZ177" i="80" s="1"/>
  <c r="BE67" i="80"/>
  <c r="BD67" i="80"/>
  <c r="EV67" i="80"/>
  <c r="EW67" i="80"/>
  <c r="EO71" i="79"/>
  <c r="EN71" i="79"/>
  <c r="CZ151" i="80"/>
  <c r="DA151" i="80"/>
  <c r="AF129" i="80"/>
  <c r="AG129" i="80"/>
  <c r="AO151" i="80"/>
  <c r="AN151" i="80"/>
  <c r="EF151" i="80"/>
  <c r="EG151" i="80"/>
  <c r="AO16" i="79"/>
  <c r="AO410" i="79" s="1"/>
  <c r="AO426" i="79" s="1"/>
  <c r="Q16" i="79"/>
  <c r="P22" i="79"/>
  <c r="P398" i="79" s="1"/>
  <c r="BD24" i="79"/>
  <c r="BD400" i="79" s="1"/>
  <c r="FE16" i="79"/>
  <c r="FE410" i="79" s="1"/>
  <c r="FE426" i="79" s="1"/>
  <c r="BS424" i="80"/>
  <c r="CQ404" i="79"/>
  <c r="CQ425" i="79" s="1"/>
  <c r="CQ34" i="79"/>
  <c r="DQ92" i="79"/>
  <c r="DQ112" i="79"/>
  <c r="DR112" i="79" s="1"/>
  <c r="CD106" i="80"/>
  <c r="AF139" i="80"/>
  <c r="AG139" i="80"/>
  <c r="DW93" i="79"/>
  <c r="EF177" i="80"/>
  <c r="EH177" i="80" s="1"/>
  <c r="DH177" i="80"/>
  <c r="DJ177" i="80" s="1"/>
  <c r="AN177" i="80"/>
  <c r="AP177" i="80" s="1"/>
  <c r="BU67" i="80"/>
  <c r="BT67" i="80"/>
  <c r="AV67" i="80"/>
  <c r="AW67" i="80"/>
  <c r="CZ71" i="79"/>
  <c r="DA71" i="79"/>
  <c r="DX129" i="80"/>
  <c r="DY129" i="80"/>
  <c r="Q67" i="80"/>
  <c r="P67" i="80"/>
  <c r="CJ71" i="80"/>
  <c r="CK71" i="80"/>
  <c r="BT151" i="80"/>
  <c r="BU151" i="80"/>
  <c r="AF151" i="80"/>
  <c r="AG151" i="80"/>
  <c r="EX176" i="79"/>
  <c r="BV70" i="79"/>
  <c r="BC116" i="80"/>
  <c r="AM93" i="79"/>
  <c r="EV176" i="80"/>
  <c r="FD176" i="80"/>
  <c r="BL130" i="80"/>
  <c r="BM130" i="80"/>
  <c r="BT176" i="79"/>
  <c r="CJ176" i="79"/>
  <c r="AV176" i="79"/>
  <c r="AX176" i="79" s="1"/>
  <c r="BD176" i="79"/>
  <c r="AN176" i="79"/>
  <c r="X176" i="79"/>
  <c r="EN176" i="79"/>
  <c r="CZ176" i="79"/>
  <c r="FL176" i="79"/>
  <c r="EF176" i="79"/>
  <c r="CB176" i="79"/>
  <c r="DX176" i="79"/>
  <c r="DZ176" i="79" s="1"/>
  <c r="BL176" i="79"/>
  <c r="DP176" i="79"/>
  <c r="P176" i="79"/>
  <c r="FD176" i="79"/>
  <c r="CR176" i="79"/>
  <c r="CZ64" i="79"/>
  <c r="DA64" i="79"/>
  <c r="AN176" i="80"/>
  <c r="AP176" i="80" s="1"/>
  <c r="CR176" i="80"/>
  <c r="FF70" i="79"/>
  <c r="AM116" i="80"/>
  <c r="BF155" i="80"/>
  <c r="Z154" i="79"/>
  <c r="CK89" i="80"/>
  <c r="CJ89" i="80"/>
  <c r="DQ141" i="79"/>
  <c r="DP141" i="79"/>
  <c r="DP176" i="80"/>
  <c r="P176" i="80"/>
  <c r="R176" i="80" s="1"/>
  <c r="AF176" i="80"/>
  <c r="CB176" i="80"/>
  <c r="CD176" i="80" s="1"/>
  <c r="BT176" i="80"/>
  <c r="BD176" i="80"/>
  <c r="EF176" i="80"/>
  <c r="X176" i="80"/>
  <c r="BL176" i="80"/>
  <c r="AF22" i="79"/>
  <c r="AH22" i="79" s="1"/>
  <c r="AH398" i="79" s="1"/>
  <c r="EX139" i="80"/>
  <c r="CJ176" i="80"/>
  <c r="EG64" i="79"/>
  <c r="EF64" i="79"/>
  <c r="Y120" i="80"/>
  <c r="X120" i="80"/>
  <c r="DH176" i="80"/>
  <c r="CQ116" i="79"/>
  <c r="CR125" i="80"/>
  <c r="CT125" i="80" s="1"/>
  <c r="AP107" i="80"/>
  <c r="AG120" i="80"/>
  <c r="AF120" i="80"/>
  <c r="FE89" i="80"/>
  <c r="FD89" i="80"/>
  <c r="DY64" i="79"/>
  <c r="DX64" i="79"/>
  <c r="DX176" i="80"/>
  <c r="AF176" i="79"/>
  <c r="CL58" i="80"/>
  <c r="AV176" i="80"/>
  <c r="AX176" i="80" s="1"/>
  <c r="EW120" i="80"/>
  <c r="EV120" i="80"/>
  <c r="CZ176" i="80"/>
  <c r="EN176" i="80"/>
  <c r="DH176" i="79"/>
  <c r="AV115" i="80"/>
  <c r="AW115" i="80"/>
  <c r="EW99" i="80"/>
  <c r="EV99" i="80"/>
  <c r="EF89" i="79"/>
  <c r="EG89" i="79"/>
  <c r="CZ89" i="79"/>
  <c r="DA89" i="79"/>
  <c r="AV89" i="79"/>
  <c r="AW89" i="79"/>
  <c r="CC151" i="79"/>
  <c r="CB151" i="79"/>
  <c r="DH151" i="79"/>
  <c r="DI151" i="79"/>
  <c r="CK69" i="79"/>
  <c r="CJ69" i="79"/>
  <c r="CZ69" i="79"/>
  <c r="DA69" i="79"/>
  <c r="X69" i="79"/>
  <c r="Y69" i="79"/>
  <c r="R3" i="82"/>
  <c r="R35" i="82" s="1"/>
  <c r="EN22" i="79"/>
  <c r="EN398" i="79" s="1"/>
  <c r="EG22" i="79"/>
  <c r="EG398" i="79" s="1"/>
  <c r="FK19" i="80"/>
  <c r="AM419" i="79"/>
  <c r="AM420" i="79" s="1"/>
  <c r="FK77" i="79"/>
  <c r="AU116" i="79"/>
  <c r="AU116" i="80"/>
  <c r="DB120" i="79"/>
  <c r="FN125" i="79"/>
  <c r="DH139" i="80"/>
  <c r="DJ139" i="80" s="1"/>
  <c r="AX154" i="79"/>
  <c r="AU93" i="79"/>
  <c r="CC115" i="80"/>
  <c r="CB115" i="80"/>
  <c r="Q115" i="80"/>
  <c r="P115" i="80"/>
  <c r="Y121" i="80"/>
  <c r="X121" i="80"/>
  <c r="DA121" i="80"/>
  <c r="CZ121" i="80"/>
  <c r="CC125" i="80"/>
  <c r="CB125" i="80"/>
  <c r="EU34" i="79"/>
  <c r="EU419" i="79"/>
  <c r="EU404" i="79"/>
  <c r="EU425" i="79" s="1"/>
  <c r="EV33" i="79"/>
  <c r="DW34" i="79"/>
  <c r="DW404" i="79"/>
  <c r="DW425" i="79" s="1"/>
  <c r="DW419" i="79"/>
  <c r="DW420" i="79" s="1"/>
  <c r="DX33" i="79"/>
  <c r="EU411" i="80"/>
  <c r="EU19" i="80"/>
  <c r="P99" i="80"/>
  <c r="Q99" i="80"/>
  <c r="FE89" i="79"/>
  <c r="FD89" i="79"/>
  <c r="CJ89" i="79"/>
  <c r="CK89" i="79"/>
  <c r="DJ125" i="79"/>
  <c r="FE151" i="79"/>
  <c r="FD151" i="79"/>
  <c r="BM151" i="79"/>
  <c r="BL151" i="79"/>
  <c r="P69" i="79"/>
  <c r="Q69" i="79"/>
  <c r="DH69" i="79"/>
  <c r="DI69" i="79"/>
  <c r="AF69" i="79"/>
  <c r="AG69" i="79"/>
  <c r="Z29" i="80"/>
  <c r="Z30" i="80" s="1"/>
  <c r="Z403" i="80" s="1"/>
  <c r="DY25" i="80"/>
  <c r="DY401" i="80" s="1"/>
  <c r="AG115" i="80"/>
  <c r="AH115" i="80" s="1"/>
  <c r="DQ108" i="80"/>
  <c r="DR108" i="80" s="1"/>
  <c r="CY93" i="79"/>
  <c r="BL115" i="80"/>
  <c r="BM115" i="80"/>
  <c r="DP121" i="80"/>
  <c r="DQ121" i="80"/>
  <c r="CR121" i="80"/>
  <c r="CS121" i="80"/>
  <c r="AF125" i="80"/>
  <c r="AG125" i="80"/>
  <c r="CZ125" i="80"/>
  <c r="DA125" i="80"/>
  <c r="BC34" i="79"/>
  <c r="BC419" i="79"/>
  <c r="BC420" i="79" s="1"/>
  <c r="BC404" i="79"/>
  <c r="BC425" i="79" s="1"/>
  <c r="BD33" i="79"/>
  <c r="EU401" i="80"/>
  <c r="EU26" i="80"/>
  <c r="AG99" i="80"/>
  <c r="AF99" i="80"/>
  <c r="DQ89" i="79"/>
  <c r="DP89" i="79"/>
  <c r="CB89" i="79"/>
  <c r="CC89" i="79"/>
  <c r="CK151" i="79"/>
  <c r="CJ151" i="79"/>
  <c r="P151" i="79"/>
  <c r="Q151" i="79"/>
  <c r="Y151" i="79"/>
  <c r="X151" i="79"/>
  <c r="FL69" i="79"/>
  <c r="FM69" i="79"/>
  <c r="CJ125" i="80"/>
  <c r="CK125" i="80"/>
  <c r="BK419" i="79"/>
  <c r="BK420" i="79" s="1"/>
  <c r="BK404" i="79"/>
  <c r="BK425" i="79" s="1"/>
  <c r="BL33" i="79"/>
  <c r="BK34" i="79"/>
  <c r="DX25" i="80"/>
  <c r="DX401" i="80" s="1"/>
  <c r="DG77" i="80"/>
  <c r="EM77" i="80"/>
  <c r="EE77" i="80"/>
  <c r="FC116" i="80"/>
  <c r="BT140" i="79"/>
  <c r="BT143" i="79" s="1"/>
  <c r="EE93" i="79"/>
  <c r="AM401" i="80"/>
  <c r="AM26" i="80"/>
  <c r="FL115" i="80"/>
  <c r="FM115" i="80"/>
  <c r="AO121" i="80"/>
  <c r="AN121" i="80"/>
  <c r="EN121" i="80"/>
  <c r="EO121" i="80"/>
  <c r="DX125" i="80"/>
  <c r="DY125" i="80"/>
  <c r="FL125" i="80"/>
  <c r="FM125" i="80"/>
  <c r="BC411" i="80"/>
  <c r="BC19" i="80"/>
  <c r="EO99" i="80"/>
  <c r="EN99" i="80"/>
  <c r="AV99" i="80"/>
  <c r="AW99" i="80"/>
  <c r="X89" i="79"/>
  <c r="Y89" i="79"/>
  <c r="AO89" i="79"/>
  <c r="AN89" i="79"/>
  <c r="EW151" i="79"/>
  <c r="EV151" i="79"/>
  <c r="AG151" i="79"/>
  <c r="AF151" i="79"/>
  <c r="DP151" i="79"/>
  <c r="DQ151" i="79"/>
  <c r="Q121" i="80"/>
  <c r="P121" i="80"/>
  <c r="AF404" i="79"/>
  <c r="AF425" i="79" s="1"/>
  <c r="CJ108" i="80"/>
  <c r="AW112" i="79"/>
  <c r="AX112" i="79" s="1"/>
  <c r="FE112" i="79"/>
  <c r="FF112" i="79" s="1"/>
  <c r="BD139" i="80"/>
  <c r="BF139" i="80" s="1"/>
  <c r="FD155" i="79"/>
  <c r="Z147" i="79"/>
  <c r="DO77" i="80"/>
  <c r="DQ115" i="80"/>
  <c r="DP115" i="80"/>
  <c r="CR115" i="80"/>
  <c r="CS115" i="80"/>
  <c r="BL121" i="80"/>
  <c r="BM121" i="80"/>
  <c r="DX121" i="80"/>
  <c r="DY121" i="80"/>
  <c r="EW125" i="80"/>
  <c r="EV125" i="80"/>
  <c r="BM125" i="80"/>
  <c r="BL125" i="80"/>
  <c r="DO419" i="79"/>
  <c r="DO34" i="79"/>
  <c r="W34" i="79"/>
  <c r="W404" i="79"/>
  <c r="W425" i="79" s="1"/>
  <c r="W419" i="79"/>
  <c r="W420" i="79" s="1"/>
  <c r="X33" i="79"/>
  <c r="EM401" i="80"/>
  <c r="EM26" i="80"/>
  <c r="AN99" i="80"/>
  <c r="AO99" i="80"/>
  <c r="CK99" i="80"/>
  <c r="CJ99" i="80"/>
  <c r="FM89" i="79"/>
  <c r="FL89" i="79"/>
  <c r="BU89" i="79"/>
  <c r="BT89" i="79"/>
  <c r="CS151" i="79"/>
  <c r="CR151" i="79"/>
  <c r="AO151" i="79"/>
  <c r="AN151" i="79"/>
  <c r="FD69" i="79"/>
  <c r="FE69" i="79"/>
  <c r="I100" i="79"/>
  <c r="AF419" i="79"/>
  <c r="BT22" i="79"/>
  <c r="BT398" i="79" s="1"/>
  <c r="Q108" i="80"/>
  <c r="R108" i="80" s="1"/>
  <c r="AO115" i="80"/>
  <c r="AN115" i="80"/>
  <c r="DH121" i="80"/>
  <c r="DI121" i="80"/>
  <c r="AW121" i="80"/>
  <c r="AV121" i="80"/>
  <c r="EG121" i="80"/>
  <c r="EF121" i="80"/>
  <c r="X125" i="80"/>
  <c r="Y125" i="80"/>
  <c r="BE125" i="80"/>
  <c r="BD125" i="80"/>
  <c r="BS404" i="79"/>
  <c r="BS425" i="79" s="1"/>
  <c r="BS34" i="79"/>
  <c r="BT33" i="79"/>
  <c r="BS419" i="79"/>
  <c r="BS420" i="79" s="1"/>
  <c r="EM34" i="79"/>
  <c r="EM404" i="79"/>
  <c r="EM425" i="79" s="1"/>
  <c r="EN33" i="79"/>
  <c r="EM419" i="79"/>
  <c r="O34" i="79"/>
  <c r="O419" i="79"/>
  <c r="O420" i="79" s="1"/>
  <c r="O404" i="79"/>
  <c r="O425" i="79" s="1"/>
  <c r="P33" i="79"/>
  <c r="BE99" i="80"/>
  <c r="BD99" i="80"/>
  <c r="DY89" i="79"/>
  <c r="DX89" i="79"/>
  <c r="AV151" i="79"/>
  <c r="AW151" i="79"/>
  <c r="BD151" i="79"/>
  <c r="BE151" i="79"/>
  <c r="DX69" i="79"/>
  <c r="DY69" i="79"/>
  <c r="DP69" i="79"/>
  <c r="DQ69" i="79"/>
  <c r="FD125" i="80"/>
  <c r="FE125" i="80"/>
  <c r="R29" i="80"/>
  <c r="R30" i="80" s="1"/>
  <c r="R403" i="80" s="1"/>
  <c r="R424" i="80" s="1"/>
  <c r="CB22" i="79"/>
  <c r="CB398" i="79" s="1"/>
  <c r="AE77" i="80"/>
  <c r="FC116" i="79"/>
  <c r="FK401" i="80"/>
  <c r="FK26" i="80"/>
  <c r="BE115" i="80"/>
  <c r="BD115" i="80"/>
  <c r="AG121" i="80"/>
  <c r="AF121" i="80"/>
  <c r="BT125" i="80"/>
  <c r="BU125" i="80"/>
  <c r="DH125" i="80"/>
  <c r="DI125" i="80"/>
  <c r="CI419" i="79"/>
  <c r="CI404" i="79"/>
  <c r="CI425" i="79" s="1"/>
  <c r="CI34" i="79"/>
  <c r="CJ33" i="79"/>
  <c r="FC34" i="79"/>
  <c r="FC419" i="79"/>
  <c r="AE401" i="80"/>
  <c r="AE26" i="80"/>
  <c r="DI99" i="80"/>
  <c r="DH99" i="80"/>
  <c r="DH89" i="79"/>
  <c r="DG93" i="79"/>
  <c r="DI89" i="79"/>
  <c r="AF89" i="79"/>
  <c r="AG89" i="79"/>
  <c r="DX151" i="79"/>
  <c r="DY151" i="79"/>
  <c r="EN151" i="79"/>
  <c r="EO151" i="79"/>
  <c r="BL69" i="79"/>
  <c r="BM69" i="79"/>
  <c r="BD69" i="79"/>
  <c r="BE69" i="79"/>
  <c r="EW121" i="80"/>
  <c r="EV121" i="80"/>
  <c r="DG34" i="79"/>
  <c r="DG404" i="79"/>
  <c r="DG425" i="79" s="1"/>
  <c r="DH33" i="79"/>
  <c r="DG419" i="79"/>
  <c r="DG420" i="79" s="1"/>
  <c r="BS418" i="80"/>
  <c r="DW26" i="80"/>
  <c r="AN33" i="79"/>
  <c r="AN419" i="79" s="1"/>
  <c r="FD113" i="80"/>
  <c r="CA401" i="80"/>
  <c r="CA26" i="80"/>
  <c r="DX115" i="80"/>
  <c r="DY115" i="80"/>
  <c r="FE121" i="80"/>
  <c r="FD121" i="80"/>
  <c r="EG125" i="80"/>
  <c r="EF125" i="80"/>
  <c r="FK34" i="79"/>
  <c r="FK419" i="79"/>
  <c r="FK420" i="79" s="1"/>
  <c r="FK404" i="79"/>
  <c r="FK425" i="79" s="1"/>
  <c r="FL33" i="79"/>
  <c r="EE419" i="79"/>
  <c r="EE420" i="79" s="1"/>
  <c r="EE34" i="79"/>
  <c r="EF33" i="79"/>
  <c r="EE404" i="79"/>
  <c r="EE425" i="79" s="1"/>
  <c r="CR99" i="80"/>
  <c r="CS99" i="80"/>
  <c r="EG99" i="80"/>
  <c r="EF99" i="80"/>
  <c r="P89" i="79"/>
  <c r="Q89" i="79"/>
  <c r="BM89" i="79"/>
  <c r="BL89" i="79"/>
  <c r="EF151" i="79"/>
  <c r="EG151" i="79"/>
  <c r="BT151" i="79"/>
  <c r="BU151" i="79"/>
  <c r="AN69" i="79"/>
  <c r="AO69" i="79"/>
  <c r="EG69" i="79"/>
  <c r="EF69" i="79"/>
  <c r="CR69" i="79"/>
  <c r="CS69" i="79"/>
  <c r="EF371" i="79"/>
  <c r="X371" i="79"/>
  <c r="DX371" i="79"/>
  <c r="EV371" i="79"/>
  <c r="DP371" i="79"/>
  <c r="BL371" i="79"/>
  <c r="AF371" i="79"/>
  <c r="CZ371" i="79"/>
  <c r="BD371" i="79"/>
  <c r="CJ371" i="79"/>
  <c r="FD371" i="79"/>
  <c r="DH371" i="79"/>
  <c r="EN371" i="79"/>
  <c r="EO97" i="80"/>
  <c r="EP97" i="80" s="1"/>
  <c r="Q97" i="80"/>
  <c r="R97" i="80" s="1"/>
  <c r="AG97" i="80"/>
  <c r="AH97" i="80" s="1"/>
  <c r="FM97" i="80"/>
  <c r="FN97" i="80" s="1"/>
  <c r="DI97" i="80"/>
  <c r="DJ97" i="80" s="1"/>
  <c r="BK411" i="80"/>
  <c r="BK19" i="80"/>
  <c r="DQ374" i="79"/>
  <c r="AO33" i="79"/>
  <c r="AO419" i="79" s="1"/>
  <c r="AW33" i="79"/>
  <c r="P371" i="79"/>
  <c r="EG398" i="80"/>
  <c r="CK22" i="79"/>
  <c r="CK398" i="79" s="1"/>
  <c r="Y22" i="79"/>
  <c r="Y398" i="79" s="1"/>
  <c r="X22" i="79"/>
  <c r="X398" i="79" s="1"/>
  <c r="DX30" i="80"/>
  <c r="DX403" i="80" s="1"/>
  <c r="DZ29" i="80"/>
  <c r="DZ30" i="80" s="1"/>
  <c r="DZ403" i="80" s="1"/>
  <c r="DZ424" i="80" s="1"/>
  <c r="DY424" i="80"/>
  <c r="DY418" i="80"/>
  <c r="AF23" i="79"/>
  <c r="AG23" i="79"/>
  <c r="AG399" i="79" s="1"/>
  <c r="EV89" i="80"/>
  <c r="EW89" i="80"/>
  <c r="AU411" i="80"/>
  <c r="AU19" i="80"/>
  <c r="CC59" i="80"/>
  <c r="CB59" i="80"/>
  <c r="FM59" i="80"/>
  <c r="FL59" i="80"/>
  <c r="CZ59" i="80"/>
  <c r="DA59" i="80"/>
  <c r="AW107" i="79"/>
  <c r="AV107" i="79"/>
  <c r="AN71" i="79"/>
  <c r="AO71" i="79"/>
  <c r="AG68" i="79"/>
  <c r="AF68" i="79"/>
  <c r="AO141" i="80"/>
  <c r="AN141" i="80"/>
  <c r="P141" i="80"/>
  <c r="Q141" i="80"/>
  <c r="EV120" i="79"/>
  <c r="EW120" i="79"/>
  <c r="FL104" i="79"/>
  <c r="FM104" i="79"/>
  <c r="BM107" i="79"/>
  <c r="BL107" i="79"/>
  <c r="DX115" i="79"/>
  <c r="DY115" i="79"/>
  <c r="FM115" i="79"/>
  <c r="FL115" i="79"/>
  <c r="Q69" i="80"/>
  <c r="P69" i="80"/>
  <c r="BL69" i="80"/>
  <c r="BM69" i="80"/>
  <c r="EF16" i="79"/>
  <c r="EF410" i="79" s="1"/>
  <c r="BN23" i="80"/>
  <c r="BN399" i="80" s="1"/>
  <c r="AU77" i="79"/>
  <c r="EW96" i="79"/>
  <c r="DX103" i="80"/>
  <c r="AO115" i="79"/>
  <c r="AP115" i="79" s="1"/>
  <c r="AW120" i="80"/>
  <c r="AV120" i="80"/>
  <c r="EV70" i="80"/>
  <c r="EW70" i="80"/>
  <c r="CR59" i="80"/>
  <c r="CS59" i="80"/>
  <c r="Y59" i="80"/>
  <c r="X59" i="80"/>
  <c r="AW59" i="80"/>
  <c r="AV59" i="80"/>
  <c r="X129" i="80"/>
  <c r="Y129" i="80"/>
  <c r="AW71" i="79"/>
  <c r="AV71" i="79"/>
  <c r="EO68" i="79"/>
  <c r="EN68" i="79"/>
  <c r="DX68" i="79"/>
  <c r="DY68" i="79"/>
  <c r="EM143" i="80"/>
  <c r="EO141" i="80"/>
  <c r="EN141" i="80"/>
  <c r="FC143" i="80"/>
  <c r="FD141" i="80"/>
  <c r="FE141" i="80"/>
  <c r="CR89" i="79"/>
  <c r="CS89" i="79"/>
  <c r="CZ104" i="79"/>
  <c r="DA104" i="79"/>
  <c r="EN107" i="79"/>
  <c r="EO107" i="79"/>
  <c r="DP107" i="79"/>
  <c r="DQ107" i="79"/>
  <c r="P115" i="79"/>
  <c r="Q115" i="79"/>
  <c r="BM115" i="79"/>
  <c r="BL115" i="79"/>
  <c r="EN69" i="80"/>
  <c r="EO69" i="80"/>
  <c r="BE69" i="80"/>
  <c r="BD69" i="80"/>
  <c r="EM19" i="80"/>
  <c r="EG16" i="79"/>
  <c r="EG410" i="79" s="1"/>
  <c r="EG426" i="79" s="1"/>
  <c r="FK77" i="80"/>
  <c r="FK116" i="79"/>
  <c r="CB70" i="80"/>
  <c r="CC70" i="80"/>
  <c r="Q120" i="80"/>
  <c r="P120" i="80"/>
  <c r="EG89" i="80"/>
  <c r="EF89" i="80"/>
  <c r="DY59" i="80"/>
  <c r="DX59" i="80"/>
  <c r="EW59" i="80"/>
  <c r="EV59" i="80"/>
  <c r="FE59" i="80"/>
  <c r="FD59" i="80"/>
  <c r="BU71" i="79"/>
  <c r="BT71" i="79"/>
  <c r="BU68" i="79"/>
  <c r="BT68" i="79"/>
  <c r="BL141" i="80"/>
  <c r="BM141" i="80"/>
  <c r="DA141" i="80"/>
  <c r="CZ141" i="80"/>
  <c r="DH120" i="79"/>
  <c r="DI120" i="79"/>
  <c r="EM93" i="79"/>
  <c r="EO89" i="79"/>
  <c r="EN89" i="79"/>
  <c r="AG104" i="79"/>
  <c r="AF104" i="79"/>
  <c r="EW107" i="79"/>
  <c r="EV107" i="79"/>
  <c r="EW115" i="79"/>
  <c r="EV115" i="79"/>
  <c r="CB69" i="80"/>
  <c r="CC69" i="80"/>
  <c r="CL22" i="80"/>
  <c r="CL398" i="80" s="1"/>
  <c r="DQ62" i="80"/>
  <c r="AG92" i="79"/>
  <c r="BD103" i="80"/>
  <c r="BL70" i="80"/>
  <c r="BM70" i="80"/>
  <c r="CJ59" i="80"/>
  <c r="CK59" i="80"/>
  <c r="AO59" i="80"/>
  <c r="AN59" i="80"/>
  <c r="AN140" i="79"/>
  <c r="AM143" i="79"/>
  <c r="CS104" i="79"/>
  <c r="CR104" i="79"/>
  <c r="AW68" i="79"/>
  <c r="AV68" i="79"/>
  <c r="P68" i="79"/>
  <c r="Q68" i="79"/>
  <c r="DI141" i="80"/>
  <c r="DI143" i="80" s="1"/>
  <c r="DH141" i="80"/>
  <c r="BC143" i="80"/>
  <c r="BD141" i="80"/>
  <c r="BE141" i="80"/>
  <c r="BE89" i="79"/>
  <c r="BC93" i="79"/>
  <c r="BD89" i="79"/>
  <c r="X115" i="79"/>
  <c r="Y115" i="79"/>
  <c r="AF115" i="79"/>
  <c r="AG115" i="79"/>
  <c r="DY92" i="79"/>
  <c r="AE93" i="80"/>
  <c r="DA69" i="80"/>
  <c r="CZ69" i="80"/>
  <c r="FD69" i="80"/>
  <c r="FE69" i="80"/>
  <c r="EX29" i="80"/>
  <c r="EX30" i="80" s="1"/>
  <c r="EX403" i="80" s="1"/>
  <c r="EX424" i="80" s="1"/>
  <c r="BC77" i="80"/>
  <c r="AM116" i="79"/>
  <c r="Z125" i="79"/>
  <c r="CZ155" i="79"/>
  <c r="AV151" i="80"/>
  <c r="AW151" i="80"/>
  <c r="BU70" i="80"/>
  <c r="BT70" i="80"/>
  <c r="P59" i="80"/>
  <c r="Q59" i="80"/>
  <c r="BT59" i="80"/>
  <c r="BU59" i="80"/>
  <c r="DO404" i="80"/>
  <c r="DO34" i="80"/>
  <c r="AG71" i="79"/>
  <c r="AF71" i="79"/>
  <c r="CC71" i="79"/>
  <c r="CB71" i="79"/>
  <c r="AO68" i="79"/>
  <c r="AN68" i="79"/>
  <c r="DP68" i="79"/>
  <c r="DQ68" i="79"/>
  <c r="DX141" i="80"/>
  <c r="DY141" i="80"/>
  <c r="CS141" i="80"/>
  <c r="CR141" i="80"/>
  <c r="X104" i="79"/>
  <c r="Y104" i="79"/>
  <c r="FD107" i="79"/>
  <c r="FE107" i="79"/>
  <c r="CJ107" i="79"/>
  <c r="CK107" i="79"/>
  <c r="CR154" i="80"/>
  <c r="CT154" i="80" s="1"/>
  <c r="CK115" i="79"/>
  <c r="CJ115" i="79"/>
  <c r="BU115" i="79"/>
  <c r="BT115" i="79"/>
  <c r="CK112" i="79"/>
  <c r="CL112" i="79" s="1"/>
  <c r="CK69" i="80"/>
  <c r="CJ69" i="80"/>
  <c r="AW69" i="80"/>
  <c r="AV69" i="80"/>
  <c r="DI112" i="79"/>
  <c r="DJ112" i="79" s="1"/>
  <c r="DP89" i="80"/>
  <c r="DQ89" i="80"/>
  <c r="EG70" i="80"/>
  <c r="EF70" i="80"/>
  <c r="AO120" i="80"/>
  <c r="AN120" i="80"/>
  <c r="FL58" i="80"/>
  <c r="FM58" i="80"/>
  <c r="CZ120" i="80"/>
  <c r="DA120" i="80"/>
  <c r="AG59" i="80"/>
  <c r="AF59" i="80"/>
  <c r="DQ59" i="80"/>
  <c r="DP59" i="80"/>
  <c r="BU104" i="79"/>
  <c r="BT104" i="79"/>
  <c r="DP71" i="79"/>
  <c r="DQ71" i="79"/>
  <c r="DI71" i="79"/>
  <c r="DH71" i="79"/>
  <c r="EF68" i="79"/>
  <c r="EG68" i="79"/>
  <c r="X68" i="79"/>
  <c r="Y68" i="79"/>
  <c r="CJ141" i="80"/>
  <c r="CK141" i="80"/>
  <c r="EU143" i="80"/>
  <c r="EV141" i="80"/>
  <c r="EW141" i="80"/>
  <c r="CJ120" i="79"/>
  <c r="CK120" i="79"/>
  <c r="EN104" i="79"/>
  <c r="EO104" i="79"/>
  <c r="X107" i="79"/>
  <c r="Y107" i="79"/>
  <c r="CR107" i="79"/>
  <c r="CS107" i="79"/>
  <c r="CQ93" i="79"/>
  <c r="CS115" i="79"/>
  <c r="CR115" i="79"/>
  <c r="DG143" i="80"/>
  <c r="DI69" i="80"/>
  <c r="DH69" i="80"/>
  <c r="DY69" i="80"/>
  <c r="DX69" i="80"/>
  <c r="CY77" i="80"/>
  <c r="CK92" i="79"/>
  <c r="DJ98" i="80"/>
  <c r="EV103" i="80"/>
  <c r="DA155" i="79"/>
  <c r="FL151" i="80"/>
  <c r="FM151" i="80"/>
  <c r="CQ411" i="80"/>
  <c r="CQ19" i="80"/>
  <c r="DI59" i="80"/>
  <c r="DH59" i="80"/>
  <c r="EG59" i="80"/>
  <c r="EF59" i="80"/>
  <c r="EF107" i="79"/>
  <c r="EG107" i="79"/>
  <c r="EG71" i="79"/>
  <c r="EF71" i="79"/>
  <c r="DO143" i="80"/>
  <c r="DP141" i="80"/>
  <c r="DQ141" i="80"/>
  <c r="FE104" i="79"/>
  <c r="FD104" i="79"/>
  <c r="P107" i="79"/>
  <c r="Q107" i="79"/>
  <c r="DY107" i="79"/>
  <c r="DX107" i="79"/>
  <c r="EN115" i="79"/>
  <c r="EO115" i="79"/>
  <c r="DI115" i="79"/>
  <c r="DH115" i="79"/>
  <c r="BU69" i="80"/>
  <c r="BT69" i="80"/>
  <c r="FM69" i="80"/>
  <c r="FL69" i="80"/>
  <c r="CI77" i="80"/>
  <c r="DH107" i="79"/>
  <c r="DJ107" i="79" s="1"/>
  <c r="AE116" i="80"/>
  <c r="O143" i="80"/>
  <c r="EO59" i="80"/>
  <c r="EN59" i="80"/>
  <c r="BM59" i="80"/>
  <c r="BL59" i="80"/>
  <c r="BD107" i="79"/>
  <c r="BE107" i="79"/>
  <c r="FL71" i="79"/>
  <c r="FM71" i="79"/>
  <c r="CB68" i="79"/>
  <c r="CC68" i="79"/>
  <c r="X141" i="80"/>
  <c r="Y141" i="80"/>
  <c r="CA143" i="80"/>
  <c r="CC141" i="80"/>
  <c r="CB141" i="80"/>
  <c r="AN120" i="79"/>
  <c r="AO120" i="79"/>
  <c r="CB107" i="79"/>
  <c r="CC107" i="79"/>
  <c r="CZ115" i="79"/>
  <c r="DA115" i="79"/>
  <c r="DQ115" i="79"/>
  <c r="DP115" i="79"/>
  <c r="CC115" i="79"/>
  <c r="CB115" i="79"/>
  <c r="EG69" i="80"/>
  <c r="EF69" i="80"/>
  <c r="AN69" i="80"/>
  <c r="AO69" i="80"/>
  <c r="P150" i="80"/>
  <c r="R150" i="80" s="1"/>
  <c r="EG154" i="80"/>
  <c r="EF154" i="80"/>
  <c r="DH154" i="80"/>
  <c r="DI154" i="80"/>
  <c r="CB154" i="80"/>
  <c r="CC154" i="80"/>
  <c r="BD150" i="80"/>
  <c r="BF150" i="80" s="1"/>
  <c r="DX150" i="80"/>
  <c r="DZ150" i="80" s="1"/>
  <c r="BT150" i="80"/>
  <c r="BV150" i="80" s="1"/>
  <c r="FD150" i="80"/>
  <c r="FF150" i="80" s="1"/>
  <c r="FL150" i="80"/>
  <c r="FN150" i="80" s="1"/>
  <c r="X150" i="80"/>
  <c r="Z150" i="80" s="1"/>
  <c r="AV150" i="80"/>
  <c r="AX150" i="80" s="1"/>
  <c r="CZ150" i="80"/>
  <c r="DB150" i="80" s="1"/>
  <c r="BL150" i="80"/>
  <c r="BN150" i="80" s="1"/>
  <c r="DH150" i="80"/>
  <c r="DJ150" i="80" s="1"/>
  <c r="DP150" i="80"/>
  <c r="DR150" i="80" s="1"/>
  <c r="CB150" i="80"/>
  <c r="CD150" i="80" s="1"/>
  <c r="AF150" i="80"/>
  <c r="AH150" i="80" s="1"/>
  <c r="CJ150" i="80"/>
  <c r="CL150" i="80" s="1"/>
  <c r="AN150" i="80"/>
  <c r="AP150" i="80" s="1"/>
  <c r="EV150" i="80"/>
  <c r="EX150" i="80" s="1"/>
  <c r="EN150" i="80"/>
  <c r="EP150" i="80" s="1"/>
  <c r="EF150" i="80"/>
  <c r="EH150" i="80" s="1"/>
  <c r="BT155" i="80"/>
  <c r="BU155" i="80"/>
  <c r="EN147" i="80"/>
  <c r="EO147" i="80"/>
  <c r="P154" i="80"/>
  <c r="Q154" i="80"/>
  <c r="DP147" i="80"/>
  <c r="DQ147" i="80"/>
  <c r="BU154" i="80"/>
  <c r="BT154" i="80"/>
  <c r="AF154" i="80"/>
  <c r="AG154" i="80"/>
  <c r="BU140" i="79"/>
  <c r="EO140" i="79"/>
  <c r="CC140" i="79"/>
  <c r="AO140" i="79"/>
  <c r="Y140" i="79"/>
  <c r="FM140" i="79"/>
  <c r="BE140" i="79"/>
  <c r="AW140" i="79"/>
  <c r="EG140" i="79"/>
  <c r="EH140" i="79" s="1"/>
  <c r="DI140" i="79"/>
  <c r="FE140" i="79"/>
  <c r="DY140" i="79"/>
  <c r="AG140" i="79"/>
  <c r="BM140" i="79"/>
  <c r="CS140" i="79"/>
  <c r="DQ140" i="79"/>
  <c r="DR140" i="79" s="1"/>
  <c r="Q140" i="79"/>
  <c r="EW140" i="79"/>
  <c r="CK140" i="79"/>
  <c r="DA140" i="79"/>
  <c r="CB141" i="79"/>
  <c r="CC141" i="79"/>
  <c r="CA143" i="79"/>
  <c r="CI143" i="80"/>
  <c r="CK139" i="80"/>
  <c r="CJ139" i="80"/>
  <c r="DX139" i="80"/>
  <c r="DY139" i="80"/>
  <c r="DW143" i="80"/>
  <c r="AH139" i="79"/>
  <c r="CS139" i="80"/>
  <c r="CQ143" i="80"/>
  <c r="CR139" i="80"/>
  <c r="Y139" i="80"/>
  <c r="W143" i="80"/>
  <c r="X139" i="80"/>
  <c r="CQ143" i="79"/>
  <c r="CS141" i="79"/>
  <c r="CR141" i="79"/>
  <c r="BK143" i="80"/>
  <c r="BM140" i="80"/>
  <c r="BL140" i="80"/>
  <c r="EF141" i="79"/>
  <c r="EG141" i="79"/>
  <c r="AN139" i="80"/>
  <c r="AO139" i="80"/>
  <c r="AM143" i="80"/>
  <c r="DZ139" i="79"/>
  <c r="DI141" i="79"/>
  <c r="DG143" i="79"/>
  <c r="DH141" i="79"/>
  <c r="CB121" i="79"/>
  <c r="CC121" i="79"/>
  <c r="CB120" i="80"/>
  <c r="CC120" i="80"/>
  <c r="CJ126" i="79"/>
  <c r="CL126" i="79" s="1"/>
  <c r="DH126" i="80"/>
  <c r="DI126" i="80"/>
  <c r="DA126" i="80"/>
  <c r="CZ126" i="80"/>
  <c r="BM130" i="79"/>
  <c r="BL130" i="79"/>
  <c r="FE130" i="79"/>
  <c r="FD130" i="79"/>
  <c r="DH124" i="79"/>
  <c r="DI124" i="79"/>
  <c r="BL124" i="79"/>
  <c r="BM124" i="79"/>
  <c r="BL121" i="79"/>
  <c r="BM121" i="79"/>
  <c r="BE121" i="79"/>
  <c r="BD121" i="79"/>
  <c r="FL132" i="80"/>
  <c r="FM132" i="80"/>
  <c r="DX132" i="80"/>
  <c r="DY132" i="80"/>
  <c r="AN126" i="80"/>
  <c r="AP126" i="80" s="1"/>
  <c r="EV130" i="79"/>
  <c r="EW130" i="79"/>
  <c r="CB124" i="79"/>
  <c r="CC124" i="79"/>
  <c r="BL120" i="80"/>
  <c r="BM120" i="80"/>
  <c r="EF126" i="80"/>
  <c r="EG126" i="80"/>
  <c r="Y126" i="80"/>
  <c r="X126" i="80"/>
  <c r="CC126" i="80"/>
  <c r="CB126" i="80"/>
  <c r="BT130" i="79"/>
  <c r="BU130" i="79"/>
  <c r="CZ130" i="79"/>
  <c r="DA130" i="79"/>
  <c r="FD124" i="79"/>
  <c r="FE124" i="79"/>
  <c r="EN124" i="79"/>
  <c r="EO124" i="79"/>
  <c r="X121" i="79"/>
  <c r="Y121" i="79"/>
  <c r="AF121" i="79"/>
  <c r="AG121" i="79"/>
  <c r="DQ132" i="80"/>
  <c r="DP132" i="80"/>
  <c r="CC132" i="80"/>
  <c r="CB132" i="80"/>
  <c r="AO130" i="79"/>
  <c r="AN130" i="79"/>
  <c r="CZ121" i="79"/>
  <c r="DA121" i="79"/>
  <c r="AW132" i="80"/>
  <c r="AV132" i="80"/>
  <c r="EN126" i="80"/>
  <c r="EP126" i="80" s="1"/>
  <c r="BT126" i="80"/>
  <c r="BU126" i="80"/>
  <c r="EV126" i="80"/>
  <c r="EW126" i="80"/>
  <c r="DY126" i="80"/>
  <c r="DX126" i="80"/>
  <c r="AF130" i="79"/>
  <c r="AG130" i="79"/>
  <c r="DP130" i="79"/>
  <c r="DQ130" i="79"/>
  <c r="CK124" i="79"/>
  <c r="CJ124" i="79"/>
  <c r="EF124" i="79"/>
  <c r="EG124" i="79"/>
  <c r="DX121" i="79"/>
  <c r="DY121" i="79"/>
  <c r="AN121" i="79"/>
  <c r="AO121" i="79"/>
  <c r="BL132" i="80"/>
  <c r="BM132" i="80"/>
  <c r="EG132" i="80"/>
  <c r="EF132" i="80"/>
  <c r="CK120" i="80"/>
  <c r="CJ120" i="80"/>
  <c r="P126" i="80"/>
  <c r="Q126" i="80"/>
  <c r="AO123" i="80"/>
  <c r="BM123" i="80"/>
  <c r="CS123" i="80"/>
  <c r="FE123" i="80"/>
  <c r="CK123" i="80"/>
  <c r="FM123" i="80"/>
  <c r="DY123" i="80"/>
  <c r="Q123" i="80"/>
  <c r="BU123" i="80"/>
  <c r="DI123" i="80"/>
  <c r="DQ123" i="80"/>
  <c r="EG123" i="80"/>
  <c r="CC123" i="80"/>
  <c r="DA123" i="80"/>
  <c r="BE123" i="80"/>
  <c r="AW123" i="80"/>
  <c r="EO123" i="80"/>
  <c r="EW123" i="80"/>
  <c r="AG123" i="80"/>
  <c r="AN126" i="79"/>
  <c r="AP126" i="79" s="1"/>
  <c r="EF126" i="79"/>
  <c r="EH126" i="79" s="1"/>
  <c r="P126" i="79"/>
  <c r="R126" i="79" s="1"/>
  <c r="CZ126" i="79"/>
  <c r="DB126" i="79" s="1"/>
  <c r="CB126" i="79"/>
  <c r="CD126" i="79" s="1"/>
  <c r="DX126" i="79"/>
  <c r="DZ126" i="79" s="1"/>
  <c r="EN126" i="79"/>
  <c r="EP126" i="79" s="1"/>
  <c r="X126" i="79"/>
  <c r="Z126" i="79" s="1"/>
  <c r="AV126" i="79"/>
  <c r="AX126" i="79" s="1"/>
  <c r="BT126" i="79"/>
  <c r="BV126" i="79" s="1"/>
  <c r="FD126" i="79"/>
  <c r="FF126" i="79" s="1"/>
  <c r="DP126" i="79"/>
  <c r="DR126" i="79" s="1"/>
  <c r="FL126" i="79"/>
  <c r="FN126" i="79" s="1"/>
  <c r="EV126" i="79"/>
  <c r="EX126" i="79" s="1"/>
  <c r="BD126" i="79"/>
  <c r="BF126" i="79" s="1"/>
  <c r="BL126" i="79"/>
  <c r="BN126" i="79" s="1"/>
  <c r="AF126" i="79"/>
  <c r="AH126" i="79" s="1"/>
  <c r="CR126" i="79"/>
  <c r="CT126" i="79" s="1"/>
  <c r="DP120" i="80"/>
  <c r="DQ120" i="80"/>
  <c r="DP126" i="80"/>
  <c r="DQ126" i="80"/>
  <c r="FD126" i="80"/>
  <c r="FE126" i="80"/>
  <c r="CR130" i="79"/>
  <c r="CS130" i="79"/>
  <c r="Q130" i="79"/>
  <c r="P130" i="79"/>
  <c r="FL130" i="79"/>
  <c r="FM130" i="79"/>
  <c r="AV124" i="79"/>
  <c r="AW124" i="79"/>
  <c r="DA124" i="79"/>
  <c r="CZ124" i="79"/>
  <c r="CS121" i="79"/>
  <c r="CR121" i="79"/>
  <c r="EW121" i="79"/>
  <c r="EV121" i="79"/>
  <c r="CK121" i="79"/>
  <c r="CJ121" i="79"/>
  <c r="P132" i="80"/>
  <c r="Q132" i="80"/>
  <c r="FE132" i="80"/>
  <c r="FD132" i="80"/>
  <c r="X132" i="80"/>
  <c r="Y132" i="80"/>
  <c r="CB123" i="79"/>
  <c r="BL123" i="79"/>
  <c r="AF123" i="79"/>
  <c r="DX123" i="79"/>
  <c r="EN123" i="79"/>
  <c r="CR123" i="79"/>
  <c r="FD123" i="79"/>
  <c r="DH123" i="79"/>
  <c r="CJ123" i="79"/>
  <c r="CZ123" i="79"/>
  <c r="BD123" i="79"/>
  <c r="EV123" i="79"/>
  <c r="AV123" i="79"/>
  <c r="X123" i="79"/>
  <c r="P123" i="79"/>
  <c r="FL123" i="79"/>
  <c r="DP123" i="79"/>
  <c r="EF123" i="79"/>
  <c r="AN123" i="79"/>
  <c r="BT123" i="79"/>
  <c r="BE123" i="79"/>
  <c r="FE123" i="79"/>
  <c r="AG123" i="79"/>
  <c r="EO123" i="79"/>
  <c r="DQ123" i="79"/>
  <c r="AW123" i="79"/>
  <c r="DI123" i="79"/>
  <c r="AO123" i="79"/>
  <c r="FM123" i="79"/>
  <c r="Q123" i="79"/>
  <c r="DY123" i="79"/>
  <c r="CK123" i="79"/>
  <c r="DA123" i="79"/>
  <c r="BM123" i="79"/>
  <c r="EG123" i="79"/>
  <c r="EW123" i="79"/>
  <c r="CC123" i="79"/>
  <c r="Y123" i="79"/>
  <c r="CS123" i="79"/>
  <c r="BU123" i="79"/>
  <c r="EO120" i="80"/>
  <c r="EN120" i="80"/>
  <c r="AW126" i="80"/>
  <c r="AV126" i="80"/>
  <c r="FM126" i="80"/>
  <c r="FL126" i="80"/>
  <c r="EN130" i="79"/>
  <c r="EO130" i="79"/>
  <c r="EG130" i="79"/>
  <c r="EF130" i="79"/>
  <c r="X130" i="79"/>
  <c r="Y130" i="79"/>
  <c r="DP124" i="79"/>
  <c r="DQ124" i="79"/>
  <c r="FM124" i="79"/>
  <c r="FL124" i="79"/>
  <c r="DX124" i="79"/>
  <c r="DY124" i="79"/>
  <c r="BN132" i="79"/>
  <c r="DH121" i="79"/>
  <c r="DI121" i="79"/>
  <c r="P121" i="79"/>
  <c r="Q121" i="79"/>
  <c r="CJ132" i="80"/>
  <c r="CK132" i="80"/>
  <c r="AF132" i="80"/>
  <c r="AG132" i="80"/>
  <c r="BU120" i="80"/>
  <c r="BT120" i="80"/>
  <c r="DX123" i="80"/>
  <c r="CZ123" i="80"/>
  <c r="EV123" i="80"/>
  <c r="P123" i="80"/>
  <c r="CB123" i="80"/>
  <c r="BT123" i="80"/>
  <c r="AV123" i="80"/>
  <c r="FD123" i="80"/>
  <c r="BL123" i="80"/>
  <c r="AN123" i="80"/>
  <c r="EN123" i="80"/>
  <c r="EP123" i="80" s="1"/>
  <c r="DH123" i="80"/>
  <c r="EF123" i="80"/>
  <c r="AF123" i="80"/>
  <c r="CR123" i="80"/>
  <c r="FL123" i="80"/>
  <c r="CJ123" i="80"/>
  <c r="DP123" i="80"/>
  <c r="DX120" i="80"/>
  <c r="DY120" i="80"/>
  <c r="AG126" i="80"/>
  <c r="AF126" i="80"/>
  <c r="BM126" i="80"/>
  <c r="BL126" i="80"/>
  <c r="BD130" i="79"/>
  <c r="BE130" i="79"/>
  <c r="DX130" i="79"/>
  <c r="DY130" i="79"/>
  <c r="DH130" i="79"/>
  <c r="DI130" i="79"/>
  <c r="Y123" i="80"/>
  <c r="BD124" i="79"/>
  <c r="BE124" i="79"/>
  <c r="BU124" i="79"/>
  <c r="BT124" i="79"/>
  <c r="Y124" i="79"/>
  <c r="X124" i="79"/>
  <c r="FL121" i="79"/>
  <c r="FM121" i="79"/>
  <c r="AW121" i="79"/>
  <c r="AV121" i="79"/>
  <c r="DA132" i="80"/>
  <c r="CZ132" i="80"/>
  <c r="CS132" i="80"/>
  <c r="CR132" i="80"/>
  <c r="BE132" i="80"/>
  <c r="BD132" i="80"/>
  <c r="AG124" i="79"/>
  <c r="AF124" i="79"/>
  <c r="EV132" i="80"/>
  <c r="EW132" i="80"/>
  <c r="DI120" i="80"/>
  <c r="DH120" i="80"/>
  <c r="EF120" i="80"/>
  <c r="EG120" i="80"/>
  <c r="BD126" i="80"/>
  <c r="BE126" i="80"/>
  <c r="CK126" i="80"/>
  <c r="CJ126" i="80"/>
  <c r="AV130" i="79"/>
  <c r="AW130" i="79"/>
  <c r="CK130" i="79"/>
  <c r="CJ130" i="79"/>
  <c r="X123" i="80"/>
  <c r="CR124" i="79"/>
  <c r="CS124" i="79"/>
  <c r="P124" i="79"/>
  <c r="Q124" i="79"/>
  <c r="DP121" i="79"/>
  <c r="DQ121" i="79"/>
  <c r="EF121" i="79"/>
  <c r="EG121" i="79"/>
  <c r="EO132" i="80"/>
  <c r="EN132" i="80"/>
  <c r="BU132" i="80"/>
  <c r="BT132" i="80"/>
  <c r="DI132" i="80"/>
  <c r="DH132" i="80"/>
  <c r="BC116" i="79"/>
  <c r="BD113" i="79"/>
  <c r="BE113" i="79"/>
  <c r="O116" i="80"/>
  <c r="Q104" i="80"/>
  <c r="P104" i="80"/>
  <c r="DX104" i="79"/>
  <c r="DY104" i="79"/>
  <c r="CJ103" i="80"/>
  <c r="CB114" i="80"/>
  <c r="CC114" i="80"/>
  <c r="DP114" i="80"/>
  <c r="DQ114" i="80"/>
  <c r="EV104" i="80"/>
  <c r="EW104" i="80"/>
  <c r="DW116" i="80"/>
  <c r="DX104" i="80"/>
  <c r="DY104" i="80"/>
  <c r="P113" i="79"/>
  <c r="CZ113" i="79"/>
  <c r="DB113" i="79" s="1"/>
  <c r="AV113" i="79"/>
  <c r="X113" i="79"/>
  <c r="AF113" i="79"/>
  <c r="AN113" i="79"/>
  <c r="FL113" i="79"/>
  <c r="FD113" i="79"/>
  <c r="AF103" i="80"/>
  <c r="DP113" i="79"/>
  <c r="DQ113" i="79"/>
  <c r="AW114" i="80"/>
  <c r="AV114" i="80"/>
  <c r="CS114" i="80"/>
  <c r="CR114" i="80"/>
  <c r="FE104" i="80"/>
  <c r="FD104" i="80"/>
  <c r="BD104" i="80"/>
  <c r="BE104" i="80"/>
  <c r="AV103" i="80"/>
  <c r="CA116" i="80"/>
  <c r="CB104" i="80"/>
  <c r="CC104" i="80"/>
  <c r="EO107" i="80"/>
  <c r="EN107" i="80"/>
  <c r="CK104" i="79"/>
  <c r="CJ104" i="79"/>
  <c r="DH113" i="79"/>
  <c r="DG116" i="79"/>
  <c r="DI113" i="79"/>
  <c r="CR113" i="79"/>
  <c r="EM116" i="80"/>
  <c r="BM114" i="80"/>
  <c r="BL114" i="80"/>
  <c r="CZ114" i="80"/>
  <c r="DA114" i="80"/>
  <c r="DH104" i="80"/>
  <c r="DI104" i="80"/>
  <c r="EU116" i="80"/>
  <c r="P103" i="80"/>
  <c r="AN103" i="80"/>
  <c r="X103" i="80"/>
  <c r="EN103" i="80"/>
  <c r="DP103" i="80"/>
  <c r="BL103" i="80"/>
  <c r="FD103" i="80"/>
  <c r="CR103" i="80"/>
  <c r="FL103" i="80"/>
  <c r="FN103" i="80" s="1"/>
  <c r="EF103" i="80"/>
  <c r="EH103" i="80" s="1"/>
  <c r="DH103" i="80"/>
  <c r="BT103" i="80"/>
  <c r="DX113" i="79"/>
  <c r="DW116" i="79"/>
  <c r="DY113" i="79"/>
  <c r="BL113" i="79"/>
  <c r="BM113" i="79"/>
  <c r="BK116" i="79"/>
  <c r="EV114" i="80"/>
  <c r="EW114" i="80"/>
  <c r="FL114" i="80"/>
  <c r="FM114" i="80"/>
  <c r="CI116" i="80"/>
  <c r="CJ104" i="80"/>
  <c r="CK104" i="80"/>
  <c r="CY116" i="80"/>
  <c r="CZ104" i="80"/>
  <c r="DA104" i="80"/>
  <c r="CB103" i="80"/>
  <c r="EV113" i="79"/>
  <c r="EW113" i="79"/>
  <c r="EU116" i="79"/>
  <c r="AV103" i="79"/>
  <c r="AX103" i="79" s="1"/>
  <c r="FL103" i="79"/>
  <c r="BD103" i="79"/>
  <c r="EF103" i="79"/>
  <c r="FD103" i="79"/>
  <c r="DX103" i="79"/>
  <c r="DH103" i="79"/>
  <c r="CZ103" i="79"/>
  <c r="EN103" i="79"/>
  <c r="EP103" i="79" s="1"/>
  <c r="BT103" i="79"/>
  <c r="CB103" i="79"/>
  <c r="BL103" i="79"/>
  <c r="BN103" i="79" s="1"/>
  <c r="CR103" i="79"/>
  <c r="CT103" i="79" s="1"/>
  <c r="AF103" i="79"/>
  <c r="AH103" i="79" s="1"/>
  <c r="P103" i="79"/>
  <c r="R103" i="79" s="1"/>
  <c r="DP103" i="79"/>
  <c r="CJ103" i="79"/>
  <c r="CL103" i="79" s="1"/>
  <c r="CC104" i="79"/>
  <c r="CB104" i="79"/>
  <c r="BT107" i="80"/>
  <c r="BU107" i="80"/>
  <c r="DH104" i="79"/>
  <c r="DI104" i="79"/>
  <c r="EN113" i="79"/>
  <c r="EM116" i="79"/>
  <c r="EO113" i="79"/>
  <c r="AG114" i="80"/>
  <c r="AF114" i="80"/>
  <c r="EF114" i="80"/>
  <c r="EG114" i="80"/>
  <c r="X103" i="79"/>
  <c r="EF104" i="80"/>
  <c r="EE116" i="80"/>
  <c r="EG104" i="80"/>
  <c r="CS104" i="80"/>
  <c r="CQ116" i="80"/>
  <c r="CR104" i="80"/>
  <c r="DY114" i="80"/>
  <c r="DX114" i="80"/>
  <c r="EO114" i="80"/>
  <c r="EN114" i="80"/>
  <c r="BD104" i="79"/>
  <c r="BE104" i="79"/>
  <c r="CK113" i="79"/>
  <c r="CJ113" i="79"/>
  <c r="CI116" i="79"/>
  <c r="BM104" i="79"/>
  <c r="BL104" i="79"/>
  <c r="X114" i="80"/>
  <c r="Y114" i="80"/>
  <c r="BT114" i="80"/>
  <c r="BU114" i="80"/>
  <c r="DO116" i="80"/>
  <c r="DQ104" i="80"/>
  <c r="DP104" i="80"/>
  <c r="BT104" i="80"/>
  <c r="BS116" i="80"/>
  <c r="BU104" i="80"/>
  <c r="BK116" i="80"/>
  <c r="CB113" i="79"/>
  <c r="CC113" i="79"/>
  <c r="CA116" i="79"/>
  <c r="AV104" i="79"/>
  <c r="AW104" i="79"/>
  <c r="BS116" i="79"/>
  <c r="BT113" i="79"/>
  <c r="BU113" i="79"/>
  <c r="AN104" i="79"/>
  <c r="AO104" i="79"/>
  <c r="EF113" i="79"/>
  <c r="EE116" i="79"/>
  <c r="EG113" i="79"/>
  <c r="DO116" i="79"/>
  <c r="AN114" i="80"/>
  <c r="AO114" i="80"/>
  <c r="DH114" i="80"/>
  <c r="DI114" i="80"/>
  <c r="EV103" i="79"/>
  <c r="EX103" i="79" s="1"/>
  <c r="AW104" i="80"/>
  <c r="AV104" i="80"/>
  <c r="AG104" i="80"/>
  <c r="AF104" i="80"/>
  <c r="W116" i="80"/>
  <c r="X104" i="80"/>
  <c r="Y104" i="80"/>
  <c r="W100" i="80"/>
  <c r="Y96" i="80"/>
  <c r="X96" i="80"/>
  <c r="FK100" i="80"/>
  <c r="FL96" i="80"/>
  <c r="FM96" i="80"/>
  <c r="EM100" i="80"/>
  <c r="EN96" i="80"/>
  <c r="EO96" i="80"/>
  <c r="CQ100" i="80"/>
  <c r="CR96" i="80"/>
  <c r="CS96" i="80"/>
  <c r="DA97" i="80"/>
  <c r="CZ97" i="80"/>
  <c r="CR97" i="80"/>
  <c r="CS97" i="80"/>
  <c r="DA96" i="79"/>
  <c r="EG96" i="79"/>
  <c r="CK96" i="79"/>
  <c r="DY96" i="79"/>
  <c r="EO96" i="79"/>
  <c r="CS96" i="79"/>
  <c r="Q96" i="79"/>
  <c r="FM96" i="79"/>
  <c r="AG96" i="79"/>
  <c r="AO96" i="79"/>
  <c r="FE96" i="79"/>
  <c r="BE96" i="79"/>
  <c r="DI96" i="79"/>
  <c r="AW96" i="79"/>
  <c r="BM96" i="79"/>
  <c r="BU96" i="80"/>
  <c r="DX99" i="79"/>
  <c r="DY99" i="79"/>
  <c r="AN97" i="80"/>
  <c r="AO97" i="80"/>
  <c r="FE97" i="80"/>
  <c r="FD97" i="80"/>
  <c r="FL98" i="79"/>
  <c r="FN98" i="79" s="1"/>
  <c r="CC99" i="79"/>
  <c r="CB99" i="79"/>
  <c r="DO100" i="80"/>
  <c r="DQ96" i="80"/>
  <c r="DP96" i="80"/>
  <c r="Y96" i="79"/>
  <c r="X97" i="80"/>
  <c r="Y97" i="80"/>
  <c r="BU96" i="79"/>
  <c r="CC96" i="79"/>
  <c r="AN99" i="79"/>
  <c r="AM100" i="79"/>
  <c r="AO99" i="79"/>
  <c r="FL99" i="79"/>
  <c r="FM99" i="79"/>
  <c r="AN96" i="79"/>
  <c r="AV96" i="79"/>
  <c r="CZ96" i="79"/>
  <c r="DX96" i="79"/>
  <c r="EN96" i="79"/>
  <c r="CR96" i="79"/>
  <c r="CJ96" i="79"/>
  <c r="FL96" i="79"/>
  <c r="DH96" i="79"/>
  <c r="CB96" i="79"/>
  <c r="BD96" i="79"/>
  <c r="P96" i="79"/>
  <c r="AF96" i="79"/>
  <c r="FD96" i="79"/>
  <c r="EF96" i="79"/>
  <c r="BL96" i="79"/>
  <c r="AE100" i="80"/>
  <c r="AG96" i="80"/>
  <c r="AF96" i="80"/>
  <c r="BT99" i="79"/>
  <c r="BS100" i="79"/>
  <c r="BU99" i="79"/>
  <c r="CR98" i="79"/>
  <c r="CT98" i="79" s="1"/>
  <c r="CJ97" i="80"/>
  <c r="CK97" i="80"/>
  <c r="DG100" i="80"/>
  <c r="DH96" i="80"/>
  <c r="DI96" i="80"/>
  <c r="DP96" i="79"/>
  <c r="EW99" i="79"/>
  <c r="EV99" i="79"/>
  <c r="CY100" i="79"/>
  <c r="CZ99" i="79"/>
  <c r="DA99" i="79"/>
  <c r="I100" i="80"/>
  <c r="H100" i="79"/>
  <c r="X99" i="79"/>
  <c r="Y99" i="79"/>
  <c r="DY97" i="80"/>
  <c r="DX97" i="80"/>
  <c r="BK100" i="80"/>
  <c r="BL96" i="80"/>
  <c r="BM96" i="80"/>
  <c r="CZ96" i="80"/>
  <c r="CY100" i="80"/>
  <c r="DA96" i="80"/>
  <c r="CK99" i="79"/>
  <c r="CJ99" i="79"/>
  <c r="CI100" i="79"/>
  <c r="EN99" i="79"/>
  <c r="EO99" i="79"/>
  <c r="CA100" i="79"/>
  <c r="FD96" i="80"/>
  <c r="FC100" i="80"/>
  <c r="FE96" i="80"/>
  <c r="O100" i="79"/>
  <c r="Q99" i="79"/>
  <c r="P99" i="79"/>
  <c r="FC100" i="79"/>
  <c r="FE99" i="79"/>
  <c r="FD99" i="79"/>
  <c r="Q96" i="80"/>
  <c r="P96" i="80"/>
  <c r="O100" i="80"/>
  <c r="BU97" i="79"/>
  <c r="BV97" i="79" s="1"/>
  <c r="AO97" i="79"/>
  <c r="AP97" i="79" s="1"/>
  <c r="BE97" i="79"/>
  <c r="BF97" i="79" s="1"/>
  <c r="EO97" i="79"/>
  <c r="EP97" i="79" s="1"/>
  <c r="FM97" i="79"/>
  <c r="FN97" i="79" s="1"/>
  <c r="CS97" i="79"/>
  <c r="CT97" i="79" s="1"/>
  <c r="EG97" i="79"/>
  <c r="EH97" i="79" s="1"/>
  <c r="BM97" i="79"/>
  <c r="BN97" i="79" s="1"/>
  <c r="CC97" i="79"/>
  <c r="CD97" i="79" s="1"/>
  <c r="AW97" i="79"/>
  <c r="AX97" i="79" s="1"/>
  <c r="DA97" i="79"/>
  <c r="DB97" i="79" s="1"/>
  <c r="Q97" i="79"/>
  <c r="R97" i="79" s="1"/>
  <c r="Y97" i="79"/>
  <c r="Z97" i="79" s="1"/>
  <c r="EW97" i="79"/>
  <c r="EX97" i="79" s="1"/>
  <c r="DY97" i="79"/>
  <c r="DZ97" i="79" s="1"/>
  <c r="CK97" i="79"/>
  <c r="CL97" i="79" s="1"/>
  <c r="FE97" i="79"/>
  <c r="FF97" i="79" s="1"/>
  <c r="AG97" i="79"/>
  <c r="AH97" i="79" s="1"/>
  <c r="AW97" i="80"/>
  <c r="AV97" i="80"/>
  <c r="EW97" i="80"/>
  <c r="EV97" i="80"/>
  <c r="BE96" i="80"/>
  <c r="BC100" i="80"/>
  <c r="BD96" i="80"/>
  <c r="CS99" i="79"/>
  <c r="CR99" i="79"/>
  <c r="DQ97" i="79"/>
  <c r="FD98" i="79"/>
  <c r="FF98" i="79" s="1"/>
  <c r="CZ98" i="79"/>
  <c r="DB98" i="79" s="1"/>
  <c r="CJ98" i="79"/>
  <c r="CL98" i="79" s="1"/>
  <c r="DH98" i="79"/>
  <c r="EV98" i="79"/>
  <c r="EX98" i="79" s="1"/>
  <c r="BL98" i="79"/>
  <c r="BD98" i="79"/>
  <c r="BF98" i="79" s="1"/>
  <c r="AN98" i="79"/>
  <c r="AP98" i="79" s="1"/>
  <c r="DX98" i="79"/>
  <c r="DZ98" i="79" s="1"/>
  <c r="AF98" i="79"/>
  <c r="AH98" i="79" s="1"/>
  <c r="BT98" i="79"/>
  <c r="BV98" i="79" s="1"/>
  <c r="P98" i="79"/>
  <c r="R98" i="79" s="1"/>
  <c r="AV98" i="79"/>
  <c r="AX98" i="79" s="1"/>
  <c r="DP98" i="79"/>
  <c r="DR98" i="79" s="1"/>
  <c r="CB98" i="79"/>
  <c r="CD98" i="79" s="1"/>
  <c r="DY96" i="80"/>
  <c r="DW100" i="80"/>
  <c r="DX96" i="80"/>
  <c r="BU97" i="80"/>
  <c r="BT97" i="80"/>
  <c r="CA100" i="80"/>
  <c r="CC96" i="80"/>
  <c r="CB96" i="80"/>
  <c r="DP97" i="80"/>
  <c r="DQ97" i="80"/>
  <c r="AO96" i="80"/>
  <c r="AM100" i="80"/>
  <c r="AN96" i="80"/>
  <c r="BM97" i="80"/>
  <c r="BL97" i="80"/>
  <c r="CC97" i="80"/>
  <c r="CB97" i="80"/>
  <c r="EV96" i="79"/>
  <c r="DI97" i="79"/>
  <c r="DJ97" i="79" s="1"/>
  <c r="X96" i="79"/>
  <c r="EN98" i="79"/>
  <c r="EP98" i="79" s="1"/>
  <c r="EF97" i="80"/>
  <c r="EG97" i="80"/>
  <c r="EW96" i="80"/>
  <c r="EV96" i="80"/>
  <c r="EU100" i="80"/>
  <c r="CK96" i="80"/>
  <c r="CI100" i="80"/>
  <c r="CJ96" i="80"/>
  <c r="BT96" i="80"/>
  <c r="AV96" i="80"/>
  <c r="AU100" i="80"/>
  <c r="AW96" i="80"/>
  <c r="W100" i="79"/>
  <c r="BE97" i="80"/>
  <c r="BD97" i="80"/>
  <c r="EE100" i="80"/>
  <c r="EU100" i="79"/>
  <c r="EF98" i="79"/>
  <c r="EH98" i="79" s="1"/>
  <c r="AN87" i="80"/>
  <c r="X87" i="80"/>
  <c r="EV87" i="80"/>
  <c r="P87" i="80"/>
  <c r="AF87" i="80"/>
  <c r="AV87" i="80"/>
  <c r="CK87" i="79"/>
  <c r="AO87" i="79"/>
  <c r="BE87" i="79"/>
  <c r="DI87" i="79"/>
  <c r="Q87" i="79"/>
  <c r="CC87" i="79"/>
  <c r="Y87" i="79"/>
  <c r="CS87" i="79"/>
  <c r="BU87" i="79"/>
  <c r="DY87" i="79"/>
  <c r="AG87" i="79"/>
  <c r="FE87" i="79"/>
  <c r="EW87" i="79"/>
  <c r="EO87" i="79"/>
  <c r="FM87" i="79"/>
  <c r="BM87" i="79"/>
  <c r="AW87" i="79"/>
  <c r="EG87" i="79"/>
  <c r="DA87" i="79"/>
  <c r="DQ87" i="79"/>
  <c r="BE87" i="80"/>
  <c r="BD87" i="80"/>
  <c r="BC93" i="80"/>
  <c r="CB87" i="79"/>
  <c r="AV87" i="79"/>
  <c r="BT87" i="79"/>
  <c r="X87" i="79"/>
  <c r="AN87" i="79"/>
  <c r="DP87" i="79"/>
  <c r="P87" i="79"/>
  <c r="EV87" i="79"/>
  <c r="DH87" i="79"/>
  <c r="CR87" i="79"/>
  <c r="CZ87" i="79"/>
  <c r="AF87" i="79"/>
  <c r="BD87" i="79"/>
  <c r="DX87" i="79"/>
  <c r="FD87" i="79"/>
  <c r="EF87" i="79"/>
  <c r="CJ87" i="79"/>
  <c r="EN87" i="79"/>
  <c r="BL87" i="79"/>
  <c r="FL87" i="79"/>
  <c r="DA87" i="80"/>
  <c r="CY93" i="80"/>
  <c r="CZ87" i="80"/>
  <c r="AW90" i="80"/>
  <c r="AX90" i="80" s="1"/>
  <c r="DA90" i="80"/>
  <c r="DB90" i="80" s="1"/>
  <c r="CK90" i="80"/>
  <c r="CL90" i="80" s="1"/>
  <c r="EW90" i="80"/>
  <c r="EX90" i="80" s="1"/>
  <c r="FE90" i="80"/>
  <c r="FF90" i="80" s="1"/>
  <c r="DI90" i="80"/>
  <c r="DJ90" i="80" s="1"/>
  <c r="EG90" i="80"/>
  <c r="EH90" i="80" s="1"/>
  <c r="CS90" i="80"/>
  <c r="CT90" i="80" s="1"/>
  <c r="Y90" i="80"/>
  <c r="Z90" i="80" s="1"/>
  <c r="DQ90" i="80"/>
  <c r="DR90" i="80" s="1"/>
  <c r="BM90" i="80"/>
  <c r="BN90" i="80" s="1"/>
  <c r="DY90" i="80"/>
  <c r="DZ90" i="80" s="1"/>
  <c r="BE90" i="80"/>
  <c r="BF90" i="80" s="1"/>
  <c r="AG90" i="80"/>
  <c r="AH90" i="80" s="1"/>
  <c r="Q90" i="80"/>
  <c r="R90" i="80" s="1"/>
  <c r="EO90" i="80"/>
  <c r="EP90" i="80" s="1"/>
  <c r="CC90" i="80"/>
  <c r="CD90" i="80" s="1"/>
  <c r="AO90" i="80"/>
  <c r="AP90" i="80" s="1"/>
  <c r="BU90" i="80"/>
  <c r="BV90" i="80" s="1"/>
  <c r="FM90" i="80"/>
  <c r="FN90" i="80" s="1"/>
  <c r="AV92" i="79"/>
  <c r="AX92" i="79" s="1"/>
  <c r="FD92" i="79"/>
  <c r="FF92" i="79" s="1"/>
  <c r="DP92" i="79"/>
  <c r="FL92" i="79"/>
  <c r="FN92" i="79" s="1"/>
  <c r="CZ92" i="79"/>
  <c r="DB92" i="79" s="1"/>
  <c r="BL92" i="79"/>
  <c r="BN92" i="79" s="1"/>
  <c r="X92" i="79"/>
  <c r="Z92" i="79" s="1"/>
  <c r="P92" i="79"/>
  <c r="R92" i="79" s="1"/>
  <c r="AN92" i="79"/>
  <c r="AP92" i="79" s="1"/>
  <c r="EN92" i="79"/>
  <c r="EP92" i="79" s="1"/>
  <c r="DH92" i="79"/>
  <c r="DJ92" i="79" s="1"/>
  <c r="BD92" i="79"/>
  <c r="BF92" i="79" s="1"/>
  <c r="EF92" i="79"/>
  <c r="EH92" i="79" s="1"/>
  <c r="CJ92" i="79"/>
  <c r="CR92" i="79"/>
  <c r="CT92" i="79" s="1"/>
  <c r="CB92" i="79"/>
  <c r="CD92" i="79" s="1"/>
  <c r="EV92" i="79"/>
  <c r="AF92" i="79"/>
  <c r="DX92" i="79"/>
  <c r="CB87" i="80"/>
  <c r="CC87" i="80"/>
  <c r="CA93" i="80"/>
  <c r="Q87" i="80"/>
  <c r="AO87" i="80"/>
  <c r="Y87" i="80"/>
  <c r="EW87" i="80"/>
  <c r="AG87" i="80"/>
  <c r="AW87" i="80"/>
  <c r="BK93" i="80"/>
  <c r="BL87" i="80"/>
  <c r="BM87" i="80"/>
  <c r="FE87" i="80"/>
  <c r="FD87" i="80"/>
  <c r="FC93" i="80"/>
  <c r="DI87" i="80"/>
  <c r="DG93" i="80"/>
  <c r="DH87" i="80"/>
  <c r="DQ90" i="79"/>
  <c r="DR90" i="79" s="1"/>
  <c r="EW90" i="79"/>
  <c r="EX90" i="79" s="1"/>
  <c r="EG90" i="79"/>
  <c r="EH90" i="79" s="1"/>
  <c r="BM90" i="79"/>
  <c r="BN90" i="79" s="1"/>
  <c r="AW90" i="79"/>
  <c r="AX90" i="79" s="1"/>
  <c r="EO90" i="79"/>
  <c r="EP90" i="79" s="1"/>
  <c r="Q90" i="79"/>
  <c r="R90" i="79" s="1"/>
  <c r="DI90" i="79"/>
  <c r="DJ90" i="79" s="1"/>
  <c r="BU90" i="79"/>
  <c r="BV90" i="79" s="1"/>
  <c r="DA90" i="79"/>
  <c r="DB90" i="79" s="1"/>
  <c r="AO90" i="79"/>
  <c r="AP90" i="79" s="1"/>
  <c r="AG90" i="79"/>
  <c r="AH90" i="79" s="1"/>
  <c r="FM90" i="79"/>
  <c r="FN90" i="79" s="1"/>
  <c r="CK90" i="79"/>
  <c r="CL90" i="79" s="1"/>
  <c r="CS90" i="79"/>
  <c r="CT90" i="79" s="1"/>
  <c r="DY90" i="79"/>
  <c r="DZ90" i="79" s="1"/>
  <c r="FE90" i="79"/>
  <c r="FF90" i="79" s="1"/>
  <c r="CC90" i="79"/>
  <c r="CD90" i="79" s="1"/>
  <c r="Y90" i="79"/>
  <c r="Z90" i="79" s="1"/>
  <c r="BE90" i="79"/>
  <c r="BF90" i="79" s="1"/>
  <c r="AF92" i="80"/>
  <c r="AH92" i="80" s="1"/>
  <c r="EN92" i="80"/>
  <c r="DH92" i="80"/>
  <c r="DJ92" i="80" s="1"/>
  <c r="BL92" i="80"/>
  <c r="BN92" i="80" s="1"/>
  <c r="FL92" i="80"/>
  <c r="FN92" i="80" s="1"/>
  <c r="EF92" i="80"/>
  <c r="EH92" i="80" s="1"/>
  <c r="CB92" i="80"/>
  <c r="CD92" i="80" s="1"/>
  <c r="FD92" i="80"/>
  <c r="FF92" i="80" s="1"/>
  <c r="DP92" i="80"/>
  <c r="DR92" i="80" s="1"/>
  <c r="BD92" i="80"/>
  <c r="BF92" i="80" s="1"/>
  <c r="BT92" i="80"/>
  <c r="BV92" i="80" s="1"/>
  <c r="CR92" i="80"/>
  <c r="CT92" i="80" s="1"/>
  <c r="P92" i="80"/>
  <c r="R92" i="80" s="1"/>
  <c r="EV92" i="80"/>
  <c r="EX92" i="80" s="1"/>
  <c r="X92" i="80"/>
  <c r="CJ92" i="80"/>
  <c r="CL92" i="80" s="1"/>
  <c r="AV92" i="80"/>
  <c r="AX92" i="80" s="1"/>
  <c r="DX92" i="80"/>
  <c r="DZ92" i="80" s="1"/>
  <c r="CZ92" i="80"/>
  <c r="DB92" i="80" s="1"/>
  <c r="FK93" i="80"/>
  <c r="FM87" i="80"/>
  <c r="FL87" i="80"/>
  <c r="EG87" i="80"/>
  <c r="EE93" i="80"/>
  <c r="EF87" i="80"/>
  <c r="EN87" i="80"/>
  <c r="CI93" i="80"/>
  <c r="CK87" i="80"/>
  <c r="CJ87" i="80"/>
  <c r="DW93" i="80"/>
  <c r="DY87" i="80"/>
  <c r="DX87" i="80"/>
  <c r="DQ87" i="80"/>
  <c r="DO93" i="80"/>
  <c r="DP87" i="80"/>
  <c r="EO87" i="80"/>
  <c r="BT87" i="80"/>
  <c r="BS93" i="80"/>
  <c r="BU87" i="80"/>
  <c r="CS87" i="80"/>
  <c r="CQ93" i="80"/>
  <c r="CR87" i="80"/>
  <c r="BT62" i="80"/>
  <c r="EF62" i="80"/>
  <c r="CZ62" i="80"/>
  <c r="AF62" i="80"/>
  <c r="CJ62" i="80"/>
  <c r="AN62" i="80"/>
  <c r="FD62" i="80"/>
  <c r="CB62" i="80"/>
  <c r="AV62" i="80"/>
  <c r="DH62" i="80"/>
  <c r="DX62" i="80"/>
  <c r="CR62" i="80"/>
  <c r="BD62" i="80"/>
  <c r="DP62" i="80"/>
  <c r="EV62" i="80"/>
  <c r="FL62" i="80"/>
  <c r="BL62" i="80"/>
  <c r="P62" i="80"/>
  <c r="EN62" i="80"/>
  <c r="BT61" i="80"/>
  <c r="BD61" i="80"/>
  <c r="EF61" i="80"/>
  <c r="EV61" i="80"/>
  <c r="BL61" i="80"/>
  <c r="CR61" i="80"/>
  <c r="FL61" i="80"/>
  <c r="EN61" i="80"/>
  <c r="FD61" i="80"/>
  <c r="DH61" i="80"/>
  <c r="DX61" i="80"/>
  <c r="CB61" i="80"/>
  <c r="DP61" i="80"/>
  <c r="AV61" i="80"/>
  <c r="AF61" i="80"/>
  <c r="P61" i="80"/>
  <c r="CJ61" i="80"/>
  <c r="X61" i="80"/>
  <c r="AN61" i="80"/>
  <c r="CZ61" i="80"/>
  <c r="EN59" i="79"/>
  <c r="FL59" i="79"/>
  <c r="CR59" i="79"/>
  <c r="CJ59" i="79"/>
  <c r="DP59" i="79"/>
  <c r="EV59" i="79"/>
  <c r="AF59" i="79"/>
  <c r="BT59" i="79"/>
  <c r="AN59" i="79"/>
  <c r="DX59" i="79"/>
  <c r="FD59" i="79"/>
  <c r="CB59" i="79"/>
  <c r="EF59" i="79"/>
  <c r="P59" i="79"/>
  <c r="X59" i="79"/>
  <c r="BD59" i="79"/>
  <c r="DH59" i="79"/>
  <c r="AV59" i="79"/>
  <c r="BL59" i="79"/>
  <c r="CZ59" i="79"/>
  <c r="DI57" i="80"/>
  <c r="DJ57" i="80" s="1"/>
  <c r="CR73" i="80"/>
  <c r="CT73" i="80" s="1"/>
  <c r="X71" i="80"/>
  <c r="Y71" i="80"/>
  <c r="P71" i="80"/>
  <c r="Q71" i="80"/>
  <c r="CB61" i="79"/>
  <c r="CC61" i="79"/>
  <c r="DP61" i="79"/>
  <c r="DQ61" i="79"/>
  <c r="X61" i="79"/>
  <c r="Y61" i="79"/>
  <c r="AW68" i="80"/>
  <c r="AV68" i="80"/>
  <c r="EV68" i="80"/>
  <c r="EW68" i="80"/>
  <c r="BC77" i="79"/>
  <c r="BE58" i="79"/>
  <c r="BD58" i="79"/>
  <c r="CA77" i="79"/>
  <c r="CB58" i="79"/>
  <c r="CC58" i="79"/>
  <c r="AU77" i="80"/>
  <c r="BT73" i="79"/>
  <c r="BU73" i="79"/>
  <c r="DP73" i="79"/>
  <c r="DQ73" i="79"/>
  <c r="FD57" i="79"/>
  <c r="DP57" i="79"/>
  <c r="AF57" i="79"/>
  <c r="BD57" i="79"/>
  <c r="DX57" i="79"/>
  <c r="CR57" i="79"/>
  <c r="P57" i="79"/>
  <c r="AN57" i="79"/>
  <c r="EF57" i="79"/>
  <c r="EN57" i="79"/>
  <c r="BT57" i="79"/>
  <c r="CZ57" i="79"/>
  <c r="EV57" i="79"/>
  <c r="X57" i="79"/>
  <c r="CJ57" i="79"/>
  <c r="DH57" i="79"/>
  <c r="CB57" i="79"/>
  <c r="BL57" i="79"/>
  <c r="DA71" i="80"/>
  <c r="CZ71" i="80"/>
  <c r="BD71" i="80"/>
  <c r="BE71" i="80"/>
  <c r="BD61" i="79"/>
  <c r="BE61" i="79"/>
  <c r="FD61" i="79"/>
  <c r="FE61" i="79"/>
  <c r="EG61" i="79"/>
  <c r="EF61" i="79"/>
  <c r="AG68" i="80"/>
  <c r="AF68" i="80"/>
  <c r="P68" i="80"/>
  <c r="Q68" i="80"/>
  <c r="AN68" i="80"/>
  <c r="AO68" i="80"/>
  <c r="EU77" i="79"/>
  <c r="EV58" i="79"/>
  <c r="EW58" i="79"/>
  <c r="DO77" i="79"/>
  <c r="DQ58" i="79"/>
  <c r="DP58" i="79"/>
  <c r="DX73" i="79"/>
  <c r="DY73" i="79"/>
  <c r="AN73" i="79"/>
  <c r="AO73" i="79"/>
  <c r="AW73" i="79"/>
  <c r="AV73" i="79"/>
  <c r="BU59" i="79"/>
  <c r="BM59" i="79"/>
  <c r="FE59" i="79"/>
  <c r="CK59" i="79"/>
  <c r="DQ59" i="79"/>
  <c r="FM59" i="79"/>
  <c r="CC59" i="79"/>
  <c r="DI59" i="79"/>
  <c r="BE59" i="79"/>
  <c r="Q59" i="79"/>
  <c r="DA59" i="79"/>
  <c r="Y59" i="79"/>
  <c r="EO59" i="79"/>
  <c r="DY59" i="79"/>
  <c r="AW59" i="79"/>
  <c r="EW59" i="79"/>
  <c r="CS59" i="79"/>
  <c r="AO59" i="79"/>
  <c r="EG59" i="79"/>
  <c r="AG59" i="79"/>
  <c r="DP57" i="80"/>
  <c r="FL57" i="80"/>
  <c r="AN57" i="80"/>
  <c r="CR57" i="80"/>
  <c r="AV57" i="80"/>
  <c r="EV57" i="80"/>
  <c r="BT57" i="80"/>
  <c r="DX57" i="80"/>
  <c r="BL57" i="80"/>
  <c r="FD57" i="80"/>
  <c r="EF57" i="80"/>
  <c r="P57" i="80"/>
  <c r="CB57" i="80"/>
  <c r="CZ57" i="80"/>
  <c r="CJ57" i="80"/>
  <c r="EU77" i="80"/>
  <c r="FD71" i="80"/>
  <c r="FE71" i="80"/>
  <c r="BM71" i="80"/>
  <c r="BL71" i="80"/>
  <c r="EO57" i="80"/>
  <c r="P61" i="79"/>
  <c r="Q61" i="79"/>
  <c r="BL61" i="79"/>
  <c r="BM61" i="79"/>
  <c r="CK68" i="80"/>
  <c r="CJ68" i="80"/>
  <c r="CZ68" i="80"/>
  <c r="DA68" i="80"/>
  <c r="FD68" i="80"/>
  <c r="FE68" i="80"/>
  <c r="BT58" i="79"/>
  <c r="BU58" i="79"/>
  <c r="BS77" i="79"/>
  <c r="CI77" i="79"/>
  <c r="CJ58" i="79"/>
  <c r="CK58" i="79"/>
  <c r="BD57" i="80"/>
  <c r="BD73" i="79"/>
  <c r="BE73" i="79"/>
  <c r="EV73" i="79"/>
  <c r="EW73" i="79"/>
  <c r="CQ77" i="80"/>
  <c r="BM57" i="79"/>
  <c r="CK57" i="79"/>
  <c r="BU57" i="79"/>
  <c r="CC57" i="79"/>
  <c r="Y57" i="79"/>
  <c r="DA57" i="79"/>
  <c r="Q57" i="79"/>
  <c r="EW57" i="79"/>
  <c r="AO57" i="79"/>
  <c r="AG57" i="79"/>
  <c r="DY57" i="79"/>
  <c r="BE57" i="79"/>
  <c r="FE57" i="79"/>
  <c r="EG57" i="79"/>
  <c r="DQ57" i="79"/>
  <c r="CS57" i="79"/>
  <c r="EO57" i="79"/>
  <c r="DI57" i="79"/>
  <c r="FL57" i="79"/>
  <c r="DQ71" i="80"/>
  <c r="DP71" i="80"/>
  <c r="FM71" i="80"/>
  <c r="FL71" i="80"/>
  <c r="CR61" i="79"/>
  <c r="CS61" i="79"/>
  <c r="EN61" i="79"/>
  <c r="EO61" i="79"/>
  <c r="CR68" i="80"/>
  <c r="CS68" i="80"/>
  <c r="BL68" i="80"/>
  <c r="BM68" i="80"/>
  <c r="FL68" i="80"/>
  <c r="FM68" i="80"/>
  <c r="EN58" i="79"/>
  <c r="EM77" i="79"/>
  <c r="EO58" i="79"/>
  <c r="W77" i="79"/>
  <c r="Y58" i="79"/>
  <c r="X58" i="79"/>
  <c r="Q73" i="79"/>
  <c r="P73" i="79"/>
  <c r="Y73" i="79"/>
  <c r="X73" i="79"/>
  <c r="AM77" i="80"/>
  <c r="CA77" i="80"/>
  <c r="FM57" i="80"/>
  <c r="CC57" i="80"/>
  <c r="FE57" i="80"/>
  <c r="CS57" i="80"/>
  <c r="CK57" i="80"/>
  <c r="EW57" i="80"/>
  <c r="DA57" i="80"/>
  <c r="BU57" i="80"/>
  <c r="DQ57" i="80"/>
  <c r="AW57" i="80"/>
  <c r="EG57" i="80"/>
  <c r="Q57" i="80"/>
  <c r="AO57" i="80"/>
  <c r="BM57" i="80"/>
  <c r="DY57" i="80"/>
  <c r="AG57" i="80"/>
  <c r="FM57" i="79"/>
  <c r="X57" i="80"/>
  <c r="EW71" i="80"/>
  <c r="EV71" i="80"/>
  <c r="CR71" i="80"/>
  <c r="CS71" i="80"/>
  <c r="EN57" i="80"/>
  <c r="EW61" i="79"/>
  <c r="EV61" i="79"/>
  <c r="DH61" i="79"/>
  <c r="DI61" i="79"/>
  <c r="CC68" i="80"/>
  <c r="CB68" i="80"/>
  <c r="EN68" i="80"/>
  <c r="EO68" i="80"/>
  <c r="AW58" i="79"/>
  <c r="AV58" i="79"/>
  <c r="FD58" i="79"/>
  <c r="FC77" i="79"/>
  <c r="FE58" i="79"/>
  <c r="CQ77" i="79"/>
  <c r="CR58" i="79"/>
  <c r="CS58" i="79"/>
  <c r="BE57" i="80"/>
  <c r="EG73" i="79"/>
  <c r="EF73" i="79"/>
  <c r="CR73" i="79"/>
  <c r="CS73" i="79"/>
  <c r="AV57" i="79"/>
  <c r="O77" i="80"/>
  <c r="BK77" i="80"/>
  <c r="EV60" i="79"/>
  <c r="P60" i="79"/>
  <c r="DP60" i="79"/>
  <c r="FL60" i="79"/>
  <c r="CJ60" i="79"/>
  <c r="DX60" i="79"/>
  <c r="BT60" i="79"/>
  <c r="EN60" i="79"/>
  <c r="EF60" i="79"/>
  <c r="CZ60" i="79"/>
  <c r="AN60" i="79"/>
  <c r="DH60" i="79"/>
  <c r="CB60" i="79"/>
  <c r="CD60" i="79" s="1"/>
  <c r="BL60" i="79"/>
  <c r="BN60" i="79" s="1"/>
  <c r="AV60" i="79"/>
  <c r="FD60" i="79"/>
  <c r="CR60" i="79"/>
  <c r="BD60" i="79"/>
  <c r="BF60" i="79" s="1"/>
  <c r="AF60" i="79"/>
  <c r="W77" i="80"/>
  <c r="BT71" i="80"/>
  <c r="BU71" i="80"/>
  <c r="CZ61" i="79"/>
  <c r="DA61" i="79"/>
  <c r="BT61" i="79"/>
  <c r="BU61" i="79"/>
  <c r="EF68" i="80"/>
  <c r="EG68" i="80"/>
  <c r="X68" i="80"/>
  <c r="Y68" i="80"/>
  <c r="EE77" i="79"/>
  <c r="EF58" i="79"/>
  <c r="EG58" i="79"/>
  <c r="DH58" i="79"/>
  <c r="DG77" i="79"/>
  <c r="DI58" i="79"/>
  <c r="DW77" i="79"/>
  <c r="DX58" i="79"/>
  <c r="DY58" i="79"/>
  <c r="FM73" i="79"/>
  <c r="FL73" i="79"/>
  <c r="AG73" i="79"/>
  <c r="AF73" i="79"/>
  <c r="AW57" i="79"/>
  <c r="DW77" i="80"/>
  <c r="BT62" i="79"/>
  <c r="BV62" i="79" s="1"/>
  <c r="EF62" i="79"/>
  <c r="EH62" i="79" s="1"/>
  <c r="FD62" i="79"/>
  <c r="BL62" i="79"/>
  <c r="BN62" i="79" s="1"/>
  <c r="AV62" i="79"/>
  <c r="AX62" i="79" s="1"/>
  <c r="CR62" i="79"/>
  <c r="DH62" i="79"/>
  <c r="AF62" i="79"/>
  <c r="DP62" i="79"/>
  <c r="EN62" i="79"/>
  <c r="X62" i="79"/>
  <c r="Z62" i="79" s="1"/>
  <c r="CB62" i="79"/>
  <c r="CJ62" i="79"/>
  <c r="DX62" i="79"/>
  <c r="P62" i="79"/>
  <c r="BD62" i="79"/>
  <c r="CZ62" i="79"/>
  <c r="EV62" i="79"/>
  <c r="FL62" i="79"/>
  <c r="FN62" i="79" s="1"/>
  <c r="AN62" i="79"/>
  <c r="P73" i="80"/>
  <c r="R73" i="80" s="1"/>
  <c r="AV73" i="80"/>
  <c r="AX73" i="80" s="1"/>
  <c r="X73" i="80"/>
  <c r="Z73" i="80" s="1"/>
  <c r="EN73" i="80"/>
  <c r="EP73" i="80" s="1"/>
  <c r="EV73" i="80"/>
  <c r="EX73" i="80" s="1"/>
  <c r="CB73" i="80"/>
  <c r="CD73" i="80" s="1"/>
  <c r="AF73" i="80"/>
  <c r="AH73" i="80" s="1"/>
  <c r="AN73" i="80"/>
  <c r="AP73" i="80" s="1"/>
  <c r="CZ73" i="80"/>
  <c r="DB73" i="80" s="1"/>
  <c r="EF73" i="80"/>
  <c r="EH73" i="80" s="1"/>
  <c r="BL73" i="80"/>
  <c r="BN73" i="80" s="1"/>
  <c r="BD73" i="80"/>
  <c r="BF73" i="80" s="1"/>
  <c r="DH73" i="80"/>
  <c r="DJ73" i="80" s="1"/>
  <c r="FL73" i="80"/>
  <c r="FN73" i="80" s="1"/>
  <c r="DP73" i="80"/>
  <c r="DR73" i="80" s="1"/>
  <c r="CJ73" i="80"/>
  <c r="CL73" i="80" s="1"/>
  <c r="FD73" i="80"/>
  <c r="FF73" i="80" s="1"/>
  <c r="BL60" i="80"/>
  <c r="BN60" i="80" s="1"/>
  <c r="DP60" i="80"/>
  <c r="DR60" i="80" s="1"/>
  <c r="EN60" i="80"/>
  <c r="EP60" i="80" s="1"/>
  <c r="X60" i="80"/>
  <c r="Z60" i="80" s="1"/>
  <c r="EV60" i="80"/>
  <c r="EX60" i="80" s="1"/>
  <c r="FD60" i="80"/>
  <c r="FF60" i="80" s="1"/>
  <c r="P60" i="80"/>
  <c r="R60" i="80" s="1"/>
  <c r="BD60" i="80"/>
  <c r="BF60" i="80" s="1"/>
  <c r="DH60" i="80"/>
  <c r="DJ60" i="80" s="1"/>
  <c r="AV60" i="80"/>
  <c r="AX60" i="80" s="1"/>
  <c r="CB60" i="80"/>
  <c r="CD60" i="80" s="1"/>
  <c r="CR60" i="80"/>
  <c r="CT60" i="80" s="1"/>
  <c r="AF60" i="80"/>
  <c r="AH60" i="80" s="1"/>
  <c r="BT60" i="80"/>
  <c r="BV60" i="80" s="1"/>
  <c r="DX60" i="80"/>
  <c r="DZ60" i="80" s="1"/>
  <c r="EF60" i="80"/>
  <c r="EH60" i="80" s="1"/>
  <c r="CJ60" i="80"/>
  <c r="CL60" i="80" s="1"/>
  <c r="AN60" i="80"/>
  <c r="AP60" i="80" s="1"/>
  <c r="CZ60" i="80"/>
  <c r="DB60" i="80" s="1"/>
  <c r="FL60" i="80"/>
  <c r="FN60" i="80" s="1"/>
  <c r="AG71" i="80"/>
  <c r="AF71" i="80"/>
  <c r="AO71" i="80"/>
  <c r="AN71" i="80"/>
  <c r="AG61" i="79"/>
  <c r="AF61" i="79"/>
  <c r="AV61" i="79"/>
  <c r="AW61" i="79"/>
  <c r="FM61" i="79"/>
  <c r="FL61" i="79"/>
  <c r="DY68" i="80"/>
  <c r="DX68" i="80"/>
  <c r="BU68" i="80"/>
  <c r="BT68" i="80"/>
  <c r="BK77" i="79"/>
  <c r="BM58" i="79"/>
  <c r="BL58" i="79"/>
  <c r="AE77" i="79"/>
  <c r="AG58" i="79"/>
  <c r="AF58" i="79"/>
  <c r="O77" i="79"/>
  <c r="Q58" i="79"/>
  <c r="P58" i="79"/>
  <c r="CZ73" i="79"/>
  <c r="DA73" i="79"/>
  <c r="EN73" i="79"/>
  <c r="EO73" i="79"/>
  <c r="FC77" i="80"/>
  <c r="X62" i="80"/>
  <c r="BE61" i="80"/>
  <c r="FM61" i="80"/>
  <c r="AO61" i="80"/>
  <c r="BU61" i="80"/>
  <c r="EG61" i="80"/>
  <c r="Y61" i="80"/>
  <c r="CC61" i="80"/>
  <c r="DI61" i="80"/>
  <c r="DY61" i="80"/>
  <c r="CS61" i="80"/>
  <c r="CK61" i="80"/>
  <c r="FE61" i="80"/>
  <c r="AW61" i="80"/>
  <c r="DQ61" i="80"/>
  <c r="EW61" i="80"/>
  <c r="BM61" i="80"/>
  <c r="Q61" i="80"/>
  <c r="AG61" i="80"/>
  <c r="EO61" i="80"/>
  <c r="DA61" i="80"/>
  <c r="DI73" i="79"/>
  <c r="DJ73" i="79" s="1"/>
  <c r="FE73" i="79"/>
  <c r="FF73" i="79" s="1"/>
  <c r="DH71" i="80"/>
  <c r="DI71" i="80"/>
  <c r="EF71" i="80"/>
  <c r="EG71" i="80"/>
  <c r="DY61" i="79"/>
  <c r="DX61" i="79"/>
  <c r="AO61" i="79"/>
  <c r="AN61" i="79"/>
  <c r="CK61" i="79"/>
  <c r="CJ61" i="79"/>
  <c r="DH68" i="80"/>
  <c r="DI68" i="80"/>
  <c r="BE68" i="80"/>
  <c r="BD68" i="80"/>
  <c r="AM77" i="79"/>
  <c r="AO58" i="79"/>
  <c r="AN58" i="79"/>
  <c r="FM58" i="79"/>
  <c r="FL58" i="79"/>
  <c r="DA58" i="79"/>
  <c r="CY77" i="79"/>
  <c r="CZ58" i="79"/>
  <c r="AF57" i="80"/>
  <c r="BL73" i="79"/>
  <c r="BM73" i="79"/>
  <c r="CC73" i="79"/>
  <c r="CB73" i="79"/>
  <c r="BS77" i="80"/>
  <c r="DX73" i="80"/>
  <c r="DZ73" i="80" s="1"/>
  <c r="FL22" i="79"/>
  <c r="FL398" i="79" s="1"/>
  <c r="L48" i="80"/>
  <c r="EU404" i="80"/>
  <c r="EU34" i="80"/>
  <c r="CQ34" i="80"/>
  <c r="CQ404" i="80"/>
  <c r="D74" i="82"/>
  <c r="DG34" i="80"/>
  <c r="DG404" i="80"/>
  <c r="BC399" i="79"/>
  <c r="BE23" i="79"/>
  <c r="BE399" i="79" s="1"/>
  <c r="BD23" i="79"/>
  <c r="BD399" i="79" s="1"/>
  <c r="F65" i="35"/>
  <c r="F87" i="35" s="1"/>
  <c r="EX22" i="80"/>
  <c r="EX398" i="80" s="1"/>
  <c r="EW30" i="80"/>
  <c r="EW403" i="80" s="1"/>
  <c r="EW424" i="80" s="1"/>
  <c r="BD22" i="79"/>
  <c r="BD398" i="79" s="1"/>
  <c r="BE22" i="79"/>
  <c r="BE398" i="79" s="1"/>
  <c r="L46" i="80"/>
  <c r="DW404" i="80"/>
  <c r="DW34" i="80"/>
  <c r="CI404" i="80"/>
  <c r="CI34" i="80"/>
  <c r="EM34" i="80"/>
  <c r="EM404" i="80"/>
  <c r="O34" i="80"/>
  <c r="O404" i="80"/>
  <c r="BC34" i="80"/>
  <c r="BC404" i="80"/>
  <c r="DP419" i="79"/>
  <c r="DP404" i="79"/>
  <c r="DP425" i="79" s="1"/>
  <c r="DP34" i="79"/>
  <c r="W404" i="80"/>
  <c r="W34" i="80"/>
  <c r="DH424" i="80"/>
  <c r="L47" i="80"/>
  <c r="O399" i="79"/>
  <c r="P23" i="79"/>
  <c r="Q23" i="79"/>
  <c r="Q399" i="79" s="1"/>
  <c r="AU399" i="79"/>
  <c r="AV23" i="79"/>
  <c r="AW23" i="79"/>
  <c r="AW399" i="79" s="1"/>
  <c r="AM404" i="80"/>
  <c r="AM34" i="80"/>
  <c r="DW399" i="79"/>
  <c r="DY23" i="79"/>
  <c r="DY399" i="79" s="1"/>
  <c r="DX23" i="79"/>
  <c r="DG418" i="80"/>
  <c r="DG424" i="80"/>
  <c r="H402" i="79"/>
  <c r="H405" i="79" s="1"/>
  <c r="H409" i="79" s="1"/>
  <c r="CB29" i="79"/>
  <c r="CB30" i="79" s="1"/>
  <c r="G52" i="80"/>
  <c r="G79" i="80" s="1"/>
  <c r="FC399" i="79"/>
  <c r="FC402" i="79" s="1"/>
  <c r="FD23" i="79"/>
  <c r="FD399" i="79" s="1"/>
  <c r="FE23" i="79"/>
  <c r="FE399" i="79" s="1"/>
  <c r="FC26" i="79"/>
  <c r="AU404" i="80"/>
  <c r="AU34" i="80"/>
  <c r="AM399" i="79"/>
  <c r="AO23" i="79"/>
  <c r="AO399" i="79" s="1"/>
  <c r="AN23" i="79"/>
  <c r="AN399" i="79" s="1"/>
  <c r="DI23" i="79"/>
  <c r="DI399" i="79" s="1"/>
  <c r="DH23" i="79"/>
  <c r="DG399" i="79"/>
  <c r="BL23" i="79"/>
  <c r="BM23" i="79"/>
  <c r="BM399" i="79" s="1"/>
  <c r="BK399" i="79"/>
  <c r="L45" i="80"/>
  <c r="L41" i="80"/>
  <c r="L42" i="80"/>
  <c r="W399" i="79"/>
  <c r="Y23" i="79"/>
  <c r="Y399" i="79" s="1"/>
  <c r="X23" i="79"/>
  <c r="CY399" i="79"/>
  <c r="CZ23" i="79"/>
  <c r="DA23" i="79"/>
  <c r="DA399" i="79" s="1"/>
  <c r="EE399" i="79"/>
  <c r="EG23" i="79"/>
  <c r="EG399" i="79" s="1"/>
  <c r="EF23" i="79"/>
  <c r="DJ29" i="80"/>
  <c r="DJ30" i="80" s="1"/>
  <c r="DJ403" i="80" s="1"/>
  <c r="DJ424" i="80" s="1"/>
  <c r="CA34" i="80"/>
  <c r="CA404" i="80"/>
  <c r="AE404" i="80"/>
  <c r="AE34" i="80"/>
  <c r="FK404" i="80"/>
  <c r="FK34" i="80"/>
  <c r="CQ399" i="79"/>
  <c r="CS23" i="79"/>
  <c r="CS399" i="79" s="1"/>
  <c r="CR23" i="79"/>
  <c r="D74" i="35"/>
  <c r="BK404" i="80"/>
  <c r="BK34" i="80"/>
  <c r="DB29" i="80"/>
  <c r="DB30" i="80" s="1"/>
  <c r="DB403" i="80" s="1"/>
  <c r="L43" i="80"/>
  <c r="FC404" i="80"/>
  <c r="FC34" i="80"/>
  <c r="DO399" i="79"/>
  <c r="DP23" i="79"/>
  <c r="DP399" i="79" s="1"/>
  <c r="DQ23" i="79"/>
  <c r="DQ399" i="79" s="1"/>
  <c r="BS399" i="79"/>
  <c r="BT23" i="79"/>
  <c r="BU23" i="79"/>
  <c r="BU399" i="79" s="1"/>
  <c r="DQ398" i="79"/>
  <c r="G64" i="82"/>
  <c r="G65" i="82" s="1"/>
  <c r="G87" i="82" s="1"/>
  <c r="CL29" i="80"/>
  <c r="CL30" i="80" s="1"/>
  <c r="CL403" i="80" s="1"/>
  <c r="FE370" i="80"/>
  <c r="Y370" i="80"/>
  <c r="CK370" i="80"/>
  <c r="DI370" i="80"/>
  <c r="DQ370" i="80"/>
  <c r="EG370" i="80"/>
  <c r="AW370" i="80"/>
  <c r="Q370" i="80"/>
  <c r="CS370" i="80"/>
  <c r="DY370" i="80"/>
  <c r="BU370" i="80"/>
  <c r="FM370" i="80"/>
  <c r="AG370" i="80"/>
  <c r="AO370" i="80"/>
  <c r="BM370" i="80"/>
  <c r="EO370" i="80"/>
  <c r="CC370" i="80"/>
  <c r="DA370" i="80"/>
  <c r="EW370" i="80"/>
  <c r="BE370" i="80"/>
  <c r="EU418" i="80"/>
  <c r="EU424" i="80"/>
  <c r="AV419" i="79"/>
  <c r="EE419" i="80"/>
  <c r="EE420" i="80" s="1"/>
  <c r="EE425" i="80"/>
  <c r="AX29" i="80"/>
  <c r="AX30" i="80" s="1"/>
  <c r="AX403" i="80" s="1"/>
  <c r="AX424" i="80" s="1"/>
  <c r="BM33" i="80"/>
  <c r="Y33" i="80"/>
  <c r="CC33" i="80"/>
  <c r="DI33" i="80"/>
  <c r="EO33" i="80"/>
  <c r="AG33" i="80"/>
  <c r="Q33" i="80"/>
  <c r="BU33" i="80"/>
  <c r="AW33" i="80"/>
  <c r="BE33" i="80"/>
  <c r="DY33" i="80"/>
  <c r="FM33" i="80"/>
  <c r="FE33" i="80"/>
  <c r="DQ33" i="80"/>
  <c r="CS33" i="80"/>
  <c r="AO33" i="80"/>
  <c r="CK33" i="80"/>
  <c r="EW33" i="80"/>
  <c r="AH29" i="80"/>
  <c r="AH30" i="80" s="1"/>
  <c r="AH403" i="80" s="1"/>
  <c r="AH418" i="80" s="1"/>
  <c r="D49" i="35"/>
  <c r="G50" i="35" s="1"/>
  <c r="DQ33" i="79"/>
  <c r="DI33" i="79"/>
  <c r="Q33" i="79"/>
  <c r="FM33" i="79"/>
  <c r="DA33" i="79"/>
  <c r="CS33" i="79"/>
  <c r="EO33" i="79"/>
  <c r="CK33" i="79"/>
  <c r="BM33" i="79"/>
  <c r="EG33" i="79"/>
  <c r="FE33" i="79"/>
  <c r="DY33" i="79"/>
  <c r="BU33" i="79"/>
  <c r="CC33" i="79"/>
  <c r="BE33" i="79"/>
  <c r="Y33" i="79"/>
  <c r="EW33" i="79"/>
  <c r="AG33" i="79"/>
  <c r="AU19" i="79"/>
  <c r="FF22" i="80"/>
  <c r="FF398" i="80" s="1"/>
  <c r="AW424" i="80"/>
  <c r="D65" i="82"/>
  <c r="R65" i="82"/>
  <c r="R87" i="82" s="1"/>
  <c r="Q65" i="82"/>
  <c r="DA33" i="80"/>
  <c r="Q65" i="35"/>
  <c r="D65" i="35"/>
  <c r="R65" i="35"/>
  <c r="R87" i="35" s="1"/>
  <c r="DP33" i="80"/>
  <c r="BT33" i="80"/>
  <c r="CR33" i="80"/>
  <c r="X33" i="80"/>
  <c r="CB33" i="80"/>
  <c r="EV33" i="80"/>
  <c r="DX33" i="80"/>
  <c r="DH33" i="80"/>
  <c r="CJ33" i="80"/>
  <c r="BL33" i="80"/>
  <c r="AN33" i="80"/>
  <c r="P33" i="80"/>
  <c r="EN33" i="80"/>
  <c r="BD33" i="80"/>
  <c r="AV33" i="80"/>
  <c r="FD33" i="80"/>
  <c r="FL33" i="80"/>
  <c r="AF33" i="80"/>
  <c r="EF33" i="80"/>
  <c r="CZ33" i="80"/>
  <c r="G52" i="85"/>
  <c r="EV398" i="79"/>
  <c r="FD410" i="79"/>
  <c r="BK410" i="79"/>
  <c r="BM16" i="79"/>
  <c r="BM410" i="79" s="1"/>
  <c r="BL16" i="79"/>
  <c r="CY410" i="79"/>
  <c r="DA16" i="79"/>
  <c r="DA410" i="79" s="1"/>
  <c r="DA426" i="79" s="1"/>
  <c r="CZ16" i="79"/>
  <c r="CZ410" i="79" s="1"/>
  <c r="CY398" i="79"/>
  <c r="CY26" i="79"/>
  <c r="AM26" i="79"/>
  <c r="AM398" i="79"/>
  <c r="BK26" i="79"/>
  <c r="BK398" i="79"/>
  <c r="BM424" i="80"/>
  <c r="BM418" i="80"/>
  <c r="P403" i="79"/>
  <c r="P424" i="79" s="1"/>
  <c r="P418" i="79"/>
  <c r="FD30" i="79"/>
  <c r="DO418" i="79"/>
  <c r="DO403" i="79"/>
  <c r="DO424" i="79" s="1"/>
  <c r="EM410" i="79"/>
  <c r="EN16" i="79"/>
  <c r="EN410" i="79" s="1"/>
  <c r="EO16" i="79"/>
  <c r="EO410" i="79" s="1"/>
  <c r="EO426" i="79" s="1"/>
  <c r="O398" i="79"/>
  <c r="O26" i="79"/>
  <c r="AU398" i="79"/>
  <c r="AU26" i="79"/>
  <c r="BK403" i="80"/>
  <c r="DP424" i="80"/>
  <c r="DP418" i="80"/>
  <c r="CB418" i="80"/>
  <c r="CB424" i="80"/>
  <c r="AN418" i="80"/>
  <c r="AN424" i="80"/>
  <c r="BU424" i="80"/>
  <c r="BU418" i="80"/>
  <c r="DG410" i="79"/>
  <c r="DI16" i="79"/>
  <c r="DI410" i="79" s="1"/>
  <c r="DH16" i="79"/>
  <c r="DH410" i="79" s="1"/>
  <c r="DP16" i="79"/>
  <c r="DO410" i="79"/>
  <c r="DQ16" i="79"/>
  <c r="DQ410" i="79" s="1"/>
  <c r="CI398" i="79"/>
  <c r="CI26" i="79"/>
  <c r="W398" i="79"/>
  <c r="W26" i="79"/>
  <c r="EN30" i="80"/>
  <c r="EN403" i="80" s="1"/>
  <c r="EP29" i="80"/>
  <c r="EP30" i="80" s="1"/>
  <c r="EP403" i="80" s="1"/>
  <c r="FL399" i="79"/>
  <c r="EF30" i="80"/>
  <c r="EF403" i="80" s="1"/>
  <c r="EH29" i="80"/>
  <c r="EH30" i="80" s="1"/>
  <c r="EH403" i="80" s="1"/>
  <c r="X424" i="80"/>
  <c r="X418" i="80"/>
  <c r="CK418" i="80"/>
  <c r="CK424" i="80"/>
  <c r="FM424" i="80"/>
  <c r="FM418" i="80"/>
  <c r="FC418" i="79"/>
  <c r="FC403" i="79"/>
  <c r="FC424" i="79" s="1"/>
  <c r="AU410" i="79"/>
  <c r="AV16" i="79"/>
  <c r="AV410" i="79" s="1"/>
  <c r="AW16" i="79"/>
  <c r="AW410" i="79" s="1"/>
  <c r="X16" i="79"/>
  <c r="Y16" i="79"/>
  <c r="Y410" i="79" s="1"/>
  <c r="W410" i="79"/>
  <c r="DO398" i="79"/>
  <c r="DO26" i="79"/>
  <c r="EM403" i="80"/>
  <c r="BT30" i="80"/>
  <c r="BT403" i="80" s="1"/>
  <c r="BV29" i="80"/>
  <c r="BV30" i="80" s="1"/>
  <c r="BV403" i="80" s="1"/>
  <c r="AG424" i="80"/>
  <c r="AG418" i="80"/>
  <c r="BT30" i="79"/>
  <c r="L39" i="79"/>
  <c r="L41" i="79"/>
  <c r="L48" i="79"/>
  <c r="L44" i="79"/>
  <c r="L47" i="79"/>
  <c r="L42" i="79"/>
  <c r="L38" i="79"/>
  <c r="L45" i="79"/>
  <c r="L40" i="79"/>
  <c r="L37" i="79"/>
  <c r="L43" i="79"/>
  <c r="L46" i="79"/>
  <c r="EU398" i="79"/>
  <c r="EU26" i="79"/>
  <c r="BE418" i="80"/>
  <c r="BE424" i="80"/>
  <c r="FC403" i="80"/>
  <c r="CZ418" i="80"/>
  <c r="CZ424" i="80"/>
  <c r="EE26" i="79"/>
  <c r="EE398" i="79"/>
  <c r="CA398" i="79"/>
  <c r="CA402" i="79" s="1"/>
  <c r="CA405" i="79" s="1"/>
  <c r="CA409" i="79" s="1"/>
  <c r="CA26" i="79"/>
  <c r="BS398" i="79"/>
  <c r="BS26" i="79"/>
  <c r="BF29" i="80"/>
  <c r="BF30" i="80" s="1"/>
  <c r="BF403" i="80" s="1"/>
  <c r="BD30" i="80"/>
  <c r="BD403" i="80" s="1"/>
  <c r="CT29" i="80"/>
  <c r="CT30" i="80" s="1"/>
  <c r="CT403" i="80" s="1"/>
  <c r="CR30" i="80"/>
  <c r="CR403" i="80" s="1"/>
  <c r="FL30" i="80"/>
  <c r="FL403" i="80" s="1"/>
  <c r="FN29" i="80"/>
  <c r="FN30" i="80" s="1"/>
  <c r="FN403" i="80" s="1"/>
  <c r="EO424" i="80"/>
  <c r="EO418" i="80"/>
  <c r="I30" i="79"/>
  <c r="I418" i="79" s="1"/>
  <c r="EO29" i="79"/>
  <c r="AO29" i="79"/>
  <c r="CS29" i="79"/>
  <c r="CS30" i="79" s="1"/>
  <c r="DI29" i="79"/>
  <c r="DI30" i="79" s="1"/>
  <c r="Q29" i="79"/>
  <c r="AW29" i="79"/>
  <c r="BU29" i="79"/>
  <c r="BU30" i="79" s="1"/>
  <c r="DY29" i="79"/>
  <c r="DY30" i="79" s="1"/>
  <c r="EG29" i="79"/>
  <c r="EW29" i="79"/>
  <c r="Y29" i="79"/>
  <c r="AG29" i="79"/>
  <c r="BE29" i="79"/>
  <c r="BE30" i="79" s="1"/>
  <c r="BM29" i="79"/>
  <c r="BM30" i="79" s="1"/>
  <c r="DA29" i="79"/>
  <c r="FM29" i="79"/>
  <c r="CC29" i="79"/>
  <c r="CC30" i="79" s="1"/>
  <c r="CK29" i="79"/>
  <c r="CI410" i="79"/>
  <c r="CJ16" i="79"/>
  <c r="CJ410" i="79" s="1"/>
  <c r="CK16" i="79"/>
  <c r="CK410" i="79" s="1"/>
  <c r="EU410" i="79"/>
  <c r="EV16" i="79"/>
  <c r="EW16" i="79"/>
  <c r="EW410" i="79" s="1"/>
  <c r="EW426" i="79" s="1"/>
  <c r="AE398" i="79"/>
  <c r="AE402" i="79" s="1"/>
  <c r="AE26" i="79"/>
  <c r="BC398" i="79"/>
  <c r="BC26" i="79"/>
  <c r="FK26" i="79"/>
  <c r="FK398" i="79"/>
  <c r="BC418" i="80"/>
  <c r="BC424" i="80"/>
  <c r="FD30" i="80"/>
  <c r="FD403" i="80" s="1"/>
  <c r="FF29" i="80"/>
  <c r="FF30" i="80" s="1"/>
  <c r="FF403" i="80" s="1"/>
  <c r="CS418" i="80"/>
  <c r="CS424" i="80"/>
  <c r="AF424" i="80"/>
  <c r="AF418" i="80"/>
  <c r="DI418" i="80"/>
  <c r="DI424" i="80"/>
  <c r="X403" i="79"/>
  <c r="X424" i="79" s="1"/>
  <c r="X418" i="79"/>
  <c r="DQ29" i="79"/>
  <c r="DQ30" i="79" s="1"/>
  <c r="CQ410" i="79"/>
  <c r="CS16" i="79"/>
  <c r="CS410" i="79" s="1"/>
  <c r="CR16" i="79"/>
  <c r="CR410" i="79" s="1"/>
  <c r="DG398" i="79"/>
  <c r="DG26" i="79"/>
  <c r="CQ398" i="79"/>
  <c r="CQ26" i="79"/>
  <c r="EM398" i="79"/>
  <c r="EM26" i="79"/>
  <c r="BL30" i="80"/>
  <c r="BL403" i="80" s="1"/>
  <c r="BN29" i="80"/>
  <c r="BN30" i="80" s="1"/>
  <c r="BN403" i="80" s="1"/>
  <c r="DO403" i="80"/>
  <c r="P418" i="80"/>
  <c r="P424" i="80"/>
  <c r="CZ418" i="79"/>
  <c r="CZ403" i="79"/>
  <c r="CZ424" i="79" s="1"/>
  <c r="I400" i="79"/>
  <c r="I402" i="79" s="1"/>
  <c r="DY24" i="79"/>
  <c r="EG24" i="79"/>
  <c r="Y24" i="79"/>
  <c r="EW24" i="79"/>
  <c r="BU24" i="79"/>
  <c r="FE24" i="79"/>
  <c r="DQ24" i="79"/>
  <c r="AO24" i="79"/>
  <c r="Q24" i="79"/>
  <c r="CK24" i="79"/>
  <c r="CC24" i="79"/>
  <c r="CC400" i="79" s="1"/>
  <c r="BE24" i="79"/>
  <c r="AW24" i="79"/>
  <c r="BM24" i="79"/>
  <c r="EO24" i="79"/>
  <c r="EP24" i="79" s="1"/>
  <c r="EP400" i="79" s="1"/>
  <c r="FM24" i="79"/>
  <c r="DI24" i="79"/>
  <c r="AG24" i="79"/>
  <c r="CS24" i="79"/>
  <c r="DA24" i="79"/>
  <c r="AO24" i="80"/>
  <c r="DQ24" i="80"/>
  <c r="EO24" i="80"/>
  <c r="Y24" i="80"/>
  <c r="CC24" i="80"/>
  <c r="BM24" i="80"/>
  <c r="BU24" i="80"/>
  <c r="FE24" i="80"/>
  <c r="AG24" i="80"/>
  <c r="AH24" i="80" s="1"/>
  <c r="BE24" i="80"/>
  <c r="BF24" i="80" s="1"/>
  <c r="EW24" i="80"/>
  <c r="Q24" i="80"/>
  <c r="EG24" i="80"/>
  <c r="DA24" i="80"/>
  <c r="AW24" i="80"/>
  <c r="FM24" i="80"/>
  <c r="FN24" i="80" s="1"/>
  <c r="FN400" i="80" s="1"/>
  <c r="CK24" i="80"/>
  <c r="CS24" i="80"/>
  <c r="DI24" i="80"/>
  <c r="DY24" i="80"/>
  <c r="X398" i="80"/>
  <c r="Z22" i="80"/>
  <c r="Z398" i="80" s="1"/>
  <c r="CJ398" i="79"/>
  <c r="EN400" i="79"/>
  <c r="AW398" i="80"/>
  <c r="DH398" i="79"/>
  <c r="CZ400" i="79"/>
  <c r="CB398" i="80"/>
  <c r="CD22" i="80"/>
  <c r="BT398" i="80"/>
  <c r="BV22" i="80"/>
  <c r="BV398" i="80" s="1"/>
  <c r="DH398" i="80"/>
  <c r="CZ398" i="79"/>
  <c r="EE411" i="80"/>
  <c r="EE19" i="80"/>
  <c r="AF398" i="80"/>
  <c r="Y398" i="80"/>
  <c r="BS411" i="80"/>
  <c r="BS19" i="80"/>
  <c r="DO19" i="79"/>
  <c r="DO411" i="79"/>
  <c r="AM411" i="79"/>
  <c r="BC19" i="79"/>
  <c r="BC411" i="79"/>
  <c r="DW411" i="79"/>
  <c r="EE411" i="79"/>
  <c r="EE19" i="79"/>
  <c r="CY19" i="79"/>
  <c r="CY411" i="79"/>
  <c r="FC411" i="79"/>
  <c r="FC19" i="79"/>
  <c r="AU411" i="79"/>
  <c r="EM19" i="79"/>
  <c r="EM411" i="79"/>
  <c r="O411" i="79"/>
  <c r="CI411" i="79"/>
  <c r="CI19" i="79"/>
  <c r="CA411" i="79"/>
  <c r="CA19" i="79"/>
  <c r="CQ411" i="79"/>
  <c r="CQ19" i="79"/>
  <c r="BS411" i="79"/>
  <c r="AE411" i="79"/>
  <c r="AE19" i="79"/>
  <c r="BK19" i="79"/>
  <c r="BK411" i="79"/>
  <c r="W19" i="79"/>
  <c r="W411" i="79"/>
  <c r="DW19" i="79"/>
  <c r="DG411" i="79"/>
  <c r="DG19" i="79"/>
  <c r="FK411" i="79"/>
  <c r="CJ418" i="80"/>
  <c r="CJ424" i="80"/>
  <c r="AF16" i="80"/>
  <c r="AE410" i="80"/>
  <c r="AE19" i="80"/>
  <c r="AG16" i="80"/>
  <c r="DY410" i="80"/>
  <c r="FE410" i="80"/>
  <c r="FE426" i="80" s="1"/>
  <c r="FF16" i="80"/>
  <c r="FF410" i="80" s="1"/>
  <c r="FF426" i="80" s="1"/>
  <c r="CZ375" i="80"/>
  <c r="FL375" i="80"/>
  <c r="CR375" i="79"/>
  <c r="BD375" i="79"/>
  <c r="FL375" i="79"/>
  <c r="P375" i="79"/>
  <c r="AV375" i="79"/>
  <c r="DP375" i="79"/>
  <c r="DX375" i="79"/>
  <c r="EV375" i="79"/>
  <c r="CB375" i="79"/>
  <c r="AF375" i="79"/>
  <c r="CJ375" i="79"/>
  <c r="DH375" i="79"/>
  <c r="FD375" i="79"/>
  <c r="BL375" i="79"/>
  <c r="BT375" i="79"/>
  <c r="EN375" i="79"/>
  <c r="AN375" i="79"/>
  <c r="X375" i="79"/>
  <c r="EF375" i="79"/>
  <c r="P155" i="94"/>
  <c r="K72" i="197"/>
  <c r="J72" i="197" s="1"/>
  <c r="P156" i="94"/>
  <c r="K73" i="197"/>
  <c r="J73" i="197" s="1"/>
  <c r="P158" i="94"/>
  <c r="I73" i="197"/>
  <c r="H73" i="197"/>
  <c r="H87" i="197" s="1"/>
  <c r="I72" i="197"/>
  <c r="E87" i="197"/>
  <c r="E90" i="197" s="1"/>
  <c r="I215" i="80"/>
  <c r="I196" i="79"/>
  <c r="J26" i="80"/>
  <c r="I196" i="80"/>
  <c r="G49" i="82"/>
  <c r="EO374" i="79"/>
  <c r="K28" i="90"/>
  <c r="K10" i="90"/>
  <c r="J418" i="79"/>
  <c r="J420" i="79" s="1"/>
  <c r="J403" i="79"/>
  <c r="EV403" i="79"/>
  <c r="EV424" i="79" s="1"/>
  <c r="CK374" i="80"/>
  <c r="BE374" i="80"/>
  <c r="EO374" i="80"/>
  <c r="EG374" i="80"/>
  <c r="Y374" i="80"/>
  <c r="DY374" i="80"/>
  <c r="AV371" i="79"/>
  <c r="BT371" i="79"/>
  <c r="CB371" i="79"/>
  <c r="CR371" i="79"/>
  <c r="X371" i="80"/>
  <c r="CB371" i="80"/>
  <c r="DJ370" i="80"/>
  <c r="CD370" i="80"/>
  <c r="H196" i="79"/>
  <c r="EP370" i="80"/>
  <c r="BN370" i="80"/>
  <c r="EO426" i="80"/>
  <c r="U584" i="96"/>
  <c r="FN370" i="80"/>
  <c r="R370" i="80"/>
  <c r="BV375" i="80"/>
  <c r="EH375" i="80"/>
  <c r="CK375" i="79"/>
  <c r="I404" i="79"/>
  <c r="I425" i="79" s="1"/>
  <c r="I419" i="79"/>
  <c r="I34" i="79"/>
  <c r="E17" i="32"/>
  <c r="I207" i="85"/>
  <c r="FF370" i="80"/>
  <c r="BV375" i="79"/>
  <c r="AP375" i="79"/>
  <c r="EP375" i="79"/>
  <c r="BF375" i="79"/>
  <c r="Z375" i="79"/>
  <c r="DR375" i="79"/>
  <c r="FF375" i="79"/>
  <c r="DJ375" i="79"/>
  <c r="DB375" i="79"/>
  <c r="FN375" i="79"/>
  <c r="CT375" i="79"/>
  <c r="AH375" i="79"/>
  <c r="BN375" i="79"/>
  <c r="AX375" i="79"/>
  <c r="R375" i="79"/>
  <c r="DZ375" i="79"/>
  <c r="CL375" i="79"/>
  <c r="EX375" i="79"/>
  <c r="CD375" i="79"/>
  <c r="EH375" i="79"/>
  <c r="J424" i="80"/>
  <c r="J418" i="80"/>
  <c r="J420" i="80" s="1"/>
  <c r="H215" i="80"/>
  <c r="P605" i="96"/>
  <c r="P586" i="96"/>
  <c r="P588" i="96"/>
  <c r="Q424" i="80"/>
  <c r="Q418" i="80"/>
  <c r="W221" i="100"/>
  <c r="N467" i="91"/>
  <c r="N465" i="91"/>
  <c r="O465" i="91"/>
  <c r="BV370" i="80"/>
  <c r="CT370" i="80"/>
  <c r="CL370" i="80"/>
  <c r="Z370" i="80"/>
  <c r="DR370" i="80"/>
  <c r="AX370" i="80"/>
  <c r="EV374" i="80"/>
  <c r="S584" i="96"/>
  <c r="X221" i="100"/>
  <c r="R9" i="82"/>
  <c r="Q13" i="82" s="1"/>
  <c r="R8" i="82"/>
  <c r="R13" i="82" s="1"/>
  <c r="R8" i="35"/>
  <c r="R13" i="35" s="1"/>
  <c r="R9" i="35"/>
  <c r="Q13" i="35" s="1"/>
  <c r="I400" i="80"/>
  <c r="I402" i="80" s="1"/>
  <c r="I26" i="80"/>
  <c r="E48" i="35"/>
  <c r="E48" i="82"/>
  <c r="H215" i="85"/>
  <c r="H404" i="80"/>
  <c r="H34" i="80"/>
  <c r="I26" i="79"/>
  <c r="J28" i="90"/>
  <c r="J10" i="90"/>
  <c r="T584" i="96"/>
  <c r="T590" i="96" s="1"/>
  <c r="W222" i="100"/>
  <c r="J426" i="80"/>
  <c r="G426" i="80"/>
  <c r="R3" i="35"/>
  <c r="R4" i="35"/>
  <c r="BL373" i="80"/>
  <c r="BT373" i="80"/>
  <c r="AV373" i="80"/>
  <c r="EV373" i="80"/>
  <c r="P373" i="80"/>
  <c r="CR373" i="80"/>
  <c r="EN373" i="80"/>
  <c r="FD373" i="80"/>
  <c r="X373" i="80"/>
  <c r="AF373" i="80"/>
  <c r="CZ373" i="80"/>
  <c r="DH373" i="80"/>
  <c r="FL373" i="80"/>
  <c r="EF373" i="80"/>
  <c r="CJ373" i="80"/>
  <c r="DX373" i="80"/>
  <c r="BD373" i="80"/>
  <c r="AN373" i="80"/>
  <c r="DP373" i="80"/>
  <c r="CB373" i="80"/>
  <c r="X222" i="100"/>
  <c r="EP398" i="80"/>
  <c r="Q138" i="103"/>
  <c r="Q137" i="103"/>
  <c r="P221" i="100"/>
  <c r="O587" i="96"/>
  <c r="O160" i="94"/>
  <c r="N160" i="94"/>
  <c r="F607" i="96"/>
  <c r="O468" i="91"/>
  <c r="N468" i="91"/>
  <c r="F1011" i="101"/>
  <c r="F1012" i="101" s="1"/>
  <c r="P604" i="96"/>
  <c r="G160" i="94"/>
  <c r="M157" i="94"/>
  <c r="P157" i="94" s="1"/>
  <c r="P223" i="100"/>
  <c r="M465" i="91"/>
  <c r="P465" i="91" s="1"/>
  <c r="P589" i="96"/>
  <c r="P81" i="101"/>
  <c r="M587" i="96"/>
  <c r="G606" i="96"/>
  <c r="G343" i="93"/>
  <c r="G344" i="93" s="1"/>
  <c r="N338" i="93"/>
  <c r="Q338" i="93" s="1"/>
  <c r="G901" i="92"/>
  <c r="P225" i="100"/>
  <c r="M472" i="91"/>
  <c r="N470" i="91"/>
  <c r="M468" i="91"/>
  <c r="N587" i="96"/>
  <c r="H606" i="96"/>
  <c r="H901" i="92"/>
  <c r="AM237" i="80"/>
  <c r="AM84" i="80"/>
  <c r="O472" i="91"/>
  <c r="P585" i="96"/>
  <c r="L471" i="91"/>
  <c r="M471" i="91"/>
  <c r="P471" i="91" s="1"/>
  <c r="D100" i="113" s="1"/>
  <c r="I607" i="96"/>
  <c r="AO424" i="80"/>
  <c r="AO418" i="80"/>
  <c r="AU84" i="80"/>
  <c r="L472" i="91"/>
  <c r="N472" i="91"/>
  <c r="O467" i="91"/>
  <c r="M470" i="91"/>
  <c r="L470" i="91"/>
  <c r="I901" i="92"/>
  <c r="AP187" i="80"/>
  <c r="DO237" i="80"/>
  <c r="DO84" i="80"/>
  <c r="P727" i="101"/>
  <c r="P467" i="91"/>
  <c r="P468" i="91"/>
  <c r="AU196" i="79"/>
  <c r="AW191" i="79"/>
  <c r="AV191" i="79"/>
  <c r="V727" i="101"/>
  <c r="U727" i="101"/>
  <c r="T727" i="101"/>
  <c r="O1010" i="101"/>
  <c r="V836" i="101"/>
  <c r="U836" i="101"/>
  <c r="T836" i="101"/>
  <c r="N1010" i="101"/>
  <c r="V843" i="101"/>
  <c r="U843" i="101"/>
  <c r="T843" i="101"/>
  <c r="M1010" i="101"/>
  <c r="P208" i="101"/>
  <c r="M1008" i="101"/>
  <c r="O1008" i="101"/>
  <c r="L1010" i="101"/>
  <c r="S1010" i="101"/>
  <c r="S1011" i="101" s="1"/>
  <c r="S1016" i="101" s="1"/>
  <c r="S1004" i="101"/>
  <c r="G1011" i="101"/>
  <c r="G1012" i="101" s="1"/>
  <c r="I1011" i="101"/>
  <c r="I1012" i="101" s="1"/>
  <c r="H1011" i="101"/>
  <c r="H1012" i="101" s="1"/>
  <c r="W241" i="100"/>
  <c r="W234" i="100"/>
  <c r="G228" i="100"/>
  <c r="M227" i="100"/>
  <c r="L227" i="100"/>
  <c r="F228" i="100"/>
  <c r="O227" i="100"/>
  <c r="N227" i="100"/>
  <c r="P181" i="99"/>
  <c r="P182" i="99"/>
  <c r="G185" i="99"/>
  <c r="M184" i="99"/>
  <c r="L184" i="99"/>
  <c r="F185" i="99"/>
  <c r="O184" i="99"/>
  <c r="N184" i="99"/>
  <c r="DZ185" i="80" l="1"/>
  <c r="CC418" i="80"/>
  <c r="P398" i="80"/>
  <c r="AX193" i="79"/>
  <c r="FF229" i="79"/>
  <c r="CZ399" i="80"/>
  <c r="DZ22" i="80"/>
  <c r="DZ398" i="80" s="1"/>
  <c r="EX229" i="79"/>
  <c r="AP229" i="79"/>
  <c r="CL250" i="79"/>
  <c r="AX185" i="80"/>
  <c r="H196" i="80"/>
  <c r="CL193" i="79"/>
  <c r="DI373" i="79"/>
  <c r="J196" i="85"/>
  <c r="DB193" i="79"/>
  <c r="EV207" i="79"/>
  <c r="CB191" i="80"/>
  <c r="CD29" i="80"/>
  <c r="CD30" i="80" s="1"/>
  <c r="CD403" i="80" s="1"/>
  <c r="H196" i="85"/>
  <c r="I196" i="85"/>
  <c r="EH193" i="79"/>
  <c r="FE418" i="80"/>
  <c r="Y424" i="80"/>
  <c r="AV191" i="80"/>
  <c r="AX191" i="80" s="1"/>
  <c r="BF193" i="79"/>
  <c r="AE405" i="79"/>
  <c r="AE409" i="79" s="1"/>
  <c r="R229" i="79"/>
  <c r="CD185" i="80"/>
  <c r="AP185" i="80"/>
  <c r="FE375" i="79"/>
  <c r="AH205" i="80"/>
  <c r="Z185" i="80"/>
  <c r="AF191" i="80"/>
  <c r="X191" i="80"/>
  <c r="Z191" i="80" s="1"/>
  <c r="CZ191" i="80"/>
  <c r="DJ176" i="80"/>
  <c r="BV185" i="80"/>
  <c r="EN191" i="80"/>
  <c r="EE48" i="80"/>
  <c r="EE393" i="80" s="1"/>
  <c r="AN191" i="80"/>
  <c r="FD191" i="80"/>
  <c r="EF191" i="80"/>
  <c r="P191" i="80"/>
  <c r="DX191" i="80"/>
  <c r="BT191" i="80"/>
  <c r="CR191" i="80"/>
  <c r="FL191" i="80"/>
  <c r="DP191" i="80"/>
  <c r="EV191" i="80"/>
  <c r="BF191" i="80"/>
  <c r="EP16" i="80"/>
  <c r="EP410" i="80" s="1"/>
  <c r="EP426" i="80" s="1"/>
  <c r="AH201" i="79"/>
  <c r="Z178" i="79"/>
  <c r="CT62" i="79"/>
  <c r="AH22" i="80"/>
  <c r="AH398" i="80" s="1"/>
  <c r="DB16" i="80"/>
  <c r="DB410" i="80" s="1"/>
  <c r="AG374" i="79"/>
  <c r="CC374" i="79"/>
  <c r="DI374" i="79"/>
  <c r="FF62" i="79"/>
  <c r="DA374" i="79"/>
  <c r="AX60" i="79"/>
  <c r="EG374" i="79"/>
  <c r="DZ103" i="79"/>
  <c r="CS374" i="79"/>
  <c r="FE374" i="79"/>
  <c r="Z103" i="79"/>
  <c r="EX200" i="80"/>
  <c r="BM374" i="79"/>
  <c r="CL201" i="79"/>
  <c r="CK374" i="79"/>
  <c r="EF371" i="80"/>
  <c r="AP22" i="80"/>
  <c r="AP398" i="80" s="1"/>
  <c r="CT22" i="80"/>
  <c r="CT398" i="80" s="1"/>
  <c r="EN371" i="80"/>
  <c r="BD371" i="80"/>
  <c r="EM402" i="79"/>
  <c r="DR185" i="80"/>
  <c r="DQ374" i="80"/>
  <c r="FN250" i="79"/>
  <c r="BN184" i="80"/>
  <c r="DZ16" i="80"/>
  <c r="DZ410" i="80" s="1"/>
  <c r="DZ426" i="80" s="1"/>
  <c r="FM374" i="80"/>
  <c r="EW374" i="80"/>
  <c r="CS374" i="80"/>
  <c r="BM374" i="80"/>
  <c r="CR371" i="80"/>
  <c r="DA374" i="80"/>
  <c r="P371" i="80"/>
  <c r="EV143" i="79"/>
  <c r="DX374" i="80"/>
  <c r="BT374" i="80"/>
  <c r="CD193" i="79"/>
  <c r="AF301" i="80"/>
  <c r="AF302" i="80" s="1"/>
  <c r="DJ178" i="79"/>
  <c r="EX62" i="80"/>
  <c r="EE37" i="80"/>
  <c r="CJ207" i="79"/>
  <c r="P374" i="80"/>
  <c r="DX301" i="80"/>
  <c r="FL374" i="80"/>
  <c r="BN178" i="79"/>
  <c r="DY373" i="79"/>
  <c r="CL60" i="79"/>
  <c r="CT201" i="79"/>
  <c r="AP103" i="79"/>
  <c r="FM373" i="79"/>
  <c r="CT25" i="79"/>
  <c r="CT401" i="79" s="1"/>
  <c r="DI215" i="80"/>
  <c r="AG373" i="79"/>
  <c r="CI420" i="79"/>
  <c r="CR207" i="79"/>
  <c r="DW402" i="79"/>
  <c r="FE418" i="79"/>
  <c r="DR62" i="79"/>
  <c r="DZ60" i="79"/>
  <c r="DJ62" i="79"/>
  <c r="BV132" i="79"/>
  <c r="EP201" i="79"/>
  <c r="FN189" i="80"/>
  <c r="DZ201" i="79"/>
  <c r="BF23" i="80"/>
  <c r="BF399" i="80" s="1"/>
  <c r="Q373" i="79"/>
  <c r="CC373" i="79"/>
  <c r="EO373" i="79"/>
  <c r="AW373" i="79"/>
  <c r="EG373" i="79"/>
  <c r="EW373" i="79"/>
  <c r="BM373" i="79"/>
  <c r="DQ373" i="79"/>
  <c r="DA373" i="79"/>
  <c r="R62" i="79"/>
  <c r="DJ231" i="80"/>
  <c r="CK373" i="79"/>
  <c r="BV187" i="80"/>
  <c r="BU373" i="79"/>
  <c r="CS373" i="79"/>
  <c r="Y373" i="79"/>
  <c r="AO373" i="79"/>
  <c r="AH62" i="79"/>
  <c r="FE373" i="79"/>
  <c r="AW374" i="79"/>
  <c r="FF185" i="80"/>
  <c r="EX201" i="79"/>
  <c r="EW374" i="79"/>
  <c r="FN231" i="80"/>
  <c r="DY374" i="79"/>
  <c r="FN22" i="80"/>
  <c r="FN398" i="80" s="1"/>
  <c r="R310" i="80"/>
  <c r="FM374" i="79"/>
  <c r="BC405" i="80"/>
  <c r="BC409" i="80" s="1"/>
  <c r="AO374" i="79"/>
  <c r="BE374" i="79"/>
  <c r="EP187" i="80"/>
  <c r="DP371" i="80"/>
  <c r="Q374" i="80"/>
  <c r="CJ371" i="80"/>
  <c r="DI374" i="80"/>
  <c r="AF371" i="80"/>
  <c r="CZ371" i="80"/>
  <c r="EV371" i="80"/>
  <c r="FE374" i="80"/>
  <c r="CL62" i="79"/>
  <c r="DX371" i="80"/>
  <c r="FD371" i="80"/>
  <c r="BU374" i="80"/>
  <c r="AO374" i="80"/>
  <c r="AN371" i="80"/>
  <c r="AW374" i="80"/>
  <c r="CC374" i="80"/>
  <c r="AV371" i="80"/>
  <c r="DH371" i="80"/>
  <c r="FL371" i="80"/>
  <c r="BT371" i="80"/>
  <c r="DH401" i="80"/>
  <c r="FF187" i="79"/>
  <c r="BF185" i="80"/>
  <c r="DR60" i="79"/>
  <c r="DG402" i="80"/>
  <c r="CT140" i="79"/>
  <c r="BN201" i="79"/>
  <c r="DJ201" i="79"/>
  <c r="AX187" i="79"/>
  <c r="BN185" i="80"/>
  <c r="DZ62" i="79"/>
  <c r="AP60" i="79"/>
  <c r="DR176" i="80"/>
  <c r="R185" i="80"/>
  <c r="CL24" i="80"/>
  <c r="AH193" i="79"/>
  <c r="DB60" i="79"/>
  <c r="BF22" i="80"/>
  <c r="BF398" i="80" s="1"/>
  <c r="DJ193" i="79"/>
  <c r="FN123" i="80"/>
  <c r="EX231" i="80"/>
  <c r="FN187" i="79"/>
  <c r="Q49" i="35"/>
  <c r="Q53" i="35" s="1"/>
  <c r="S53" i="35" s="1"/>
  <c r="EX23" i="79"/>
  <c r="EX399" i="79" s="1"/>
  <c r="CD205" i="79"/>
  <c r="Z205" i="79"/>
  <c r="DB231" i="80"/>
  <c r="FF29" i="79"/>
  <c r="FF30" i="79" s="1"/>
  <c r="DH26" i="80"/>
  <c r="DB62" i="79"/>
  <c r="BD402" i="80"/>
  <c r="AP177" i="79"/>
  <c r="EP60" i="79"/>
  <c r="DR248" i="79"/>
  <c r="CL185" i="80"/>
  <c r="DZ231" i="80"/>
  <c r="DR103" i="79"/>
  <c r="DB205" i="79"/>
  <c r="DB213" i="79"/>
  <c r="Z201" i="79"/>
  <c r="CT178" i="79"/>
  <c r="FN25" i="80"/>
  <c r="FN401" i="80" s="1"/>
  <c r="CD191" i="80"/>
  <c r="R191" i="80"/>
  <c r="AP62" i="79"/>
  <c r="AH205" i="79"/>
  <c r="BD374" i="80"/>
  <c r="DH374" i="80"/>
  <c r="AP231" i="79"/>
  <c r="CR374" i="80"/>
  <c r="AV374" i="80"/>
  <c r="FD374" i="80"/>
  <c r="DB201" i="79"/>
  <c r="DB178" i="79"/>
  <c r="CZ374" i="80"/>
  <c r="DP374" i="80"/>
  <c r="I425" i="80"/>
  <c r="X374" i="80"/>
  <c r="BL374" i="80"/>
  <c r="EF374" i="80"/>
  <c r="AP291" i="80"/>
  <c r="EH187" i="79"/>
  <c r="CJ374" i="80"/>
  <c r="BF103" i="79"/>
  <c r="EN374" i="80"/>
  <c r="EP25" i="79"/>
  <c r="EP401" i="79" s="1"/>
  <c r="AF374" i="80"/>
  <c r="CB374" i="80"/>
  <c r="EP62" i="79"/>
  <c r="EF207" i="80"/>
  <c r="BF231" i="80"/>
  <c r="DP301" i="80"/>
  <c r="CD248" i="79"/>
  <c r="AF191" i="79"/>
  <c r="AH191" i="79" s="1"/>
  <c r="BL191" i="79"/>
  <c r="BN191" i="79" s="1"/>
  <c r="EV191" i="79"/>
  <c r="EV196" i="79" s="1"/>
  <c r="BD191" i="79"/>
  <c r="BF191" i="79" s="1"/>
  <c r="FL191" i="79"/>
  <c r="FN191" i="79" s="1"/>
  <c r="EH187" i="80"/>
  <c r="CB191" i="79"/>
  <c r="CD191" i="79" s="1"/>
  <c r="CZ191" i="79"/>
  <c r="DB191" i="79" s="1"/>
  <c r="EF191" i="79"/>
  <c r="EH191" i="79" s="1"/>
  <c r="AH87" i="79"/>
  <c r="FD191" i="79"/>
  <c r="FF191" i="79" s="1"/>
  <c r="FF178" i="79"/>
  <c r="CD311" i="80"/>
  <c r="R231" i="80"/>
  <c r="EX187" i="79"/>
  <c r="CR418" i="79"/>
  <c r="AP231" i="80"/>
  <c r="R187" i="79"/>
  <c r="EP297" i="80"/>
  <c r="EX185" i="80"/>
  <c r="EP23" i="79"/>
  <c r="EP399" i="79" s="1"/>
  <c r="FN201" i="79"/>
  <c r="AX178" i="79"/>
  <c r="Z297" i="80"/>
  <c r="DR310" i="80"/>
  <c r="EX306" i="80"/>
  <c r="AX205" i="79"/>
  <c r="AP182" i="80"/>
  <c r="DJ132" i="79"/>
  <c r="FK402" i="79"/>
  <c r="FK405" i="79" s="1"/>
  <c r="FK409" i="79" s="1"/>
  <c r="DR231" i="80"/>
  <c r="FN248" i="79"/>
  <c r="AH279" i="79"/>
  <c r="CS202" i="79"/>
  <c r="BV108" i="80"/>
  <c r="AX184" i="80"/>
  <c r="AX254" i="80"/>
  <c r="CD187" i="79"/>
  <c r="CT311" i="80"/>
  <c r="BF187" i="79"/>
  <c r="FF305" i="80"/>
  <c r="DR297" i="80"/>
  <c r="FF154" i="79"/>
  <c r="R184" i="79"/>
  <c r="AH154" i="79"/>
  <c r="BN200" i="80"/>
  <c r="EP92" i="80"/>
  <c r="CL227" i="79"/>
  <c r="FN103" i="79"/>
  <c r="EH201" i="79"/>
  <c r="EH205" i="80"/>
  <c r="AH295" i="79"/>
  <c r="DZ187" i="79"/>
  <c r="BV189" i="80"/>
  <c r="Z231" i="79"/>
  <c r="AV374" i="79"/>
  <c r="P374" i="79"/>
  <c r="EG404" i="80"/>
  <c r="CL23" i="80"/>
  <c r="CL399" i="80" s="1"/>
  <c r="R201" i="79"/>
  <c r="DX207" i="80"/>
  <c r="BV187" i="79"/>
  <c r="FD374" i="79"/>
  <c r="BV201" i="79"/>
  <c r="FF310" i="80"/>
  <c r="EP205" i="79"/>
  <c r="BN205" i="79"/>
  <c r="DR22" i="79"/>
  <c r="DR398" i="79" s="1"/>
  <c r="AW26" i="80"/>
  <c r="FL403" i="79"/>
  <c r="FL424" i="79" s="1"/>
  <c r="EE39" i="80"/>
  <c r="EE384" i="80" s="1"/>
  <c r="EE435" i="80" s="1"/>
  <c r="CR207" i="80"/>
  <c r="EP310" i="80"/>
  <c r="CZ207" i="80"/>
  <c r="AP187" i="79"/>
  <c r="DJ187" i="79"/>
  <c r="BV191" i="79"/>
  <c r="EX62" i="79"/>
  <c r="EH22" i="80"/>
  <c r="EH398" i="80" s="1"/>
  <c r="BV305" i="79"/>
  <c r="CT231" i="79"/>
  <c r="EN207" i="79"/>
  <c r="DH207" i="80"/>
  <c r="BF62" i="79"/>
  <c r="CD25" i="80"/>
  <c r="CD401" i="80" s="1"/>
  <c r="AX33" i="79"/>
  <c r="AX404" i="79" s="1"/>
  <c r="AX425" i="79" s="1"/>
  <c r="CB26" i="80"/>
  <c r="CD132" i="79"/>
  <c r="EX311" i="79"/>
  <c r="R241" i="80"/>
  <c r="BV248" i="79"/>
  <c r="AP191" i="80"/>
  <c r="DJ293" i="80"/>
  <c r="FD401" i="79"/>
  <c r="FE143" i="80"/>
  <c r="W405" i="80"/>
  <c r="W409" i="80" s="1"/>
  <c r="CD62" i="80"/>
  <c r="Z206" i="80"/>
  <c r="AH305" i="79"/>
  <c r="EM420" i="79"/>
  <c r="AP311" i="80"/>
  <c r="DR24" i="80"/>
  <c r="BF205" i="79"/>
  <c r="CD184" i="80"/>
  <c r="CZ26" i="80"/>
  <c r="DZ184" i="80"/>
  <c r="BV184" i="80"/>
  <c r="AV404" i="79"/>
  <c r="AV425" i="79" s="1"/>
  <c r="AX103" i="80"/>
  <c r="FF295" i="79"/>
  <c r="DR375" i="80"/>
  <c r="R375" i="80"/>
  <c r="DJ205" i="79"/>
  <c r="CD375" i="80"/>
  <c r="Z375" i="80"/>
  <c r="AH297" i="80"/>
  <c r="X207" i="80"/>
  <c r="CL375" i="80"/>
  <c r="AP201" i="79"/>
  <c r="DB311" i="80"/>
  <c r="BF375" i="80"/>
  <c r="AH200" i="79"/>
  <c r="R252" i="80"/>
  <c r="CD231" i="80"/>
  <c r="AH375" i="80"/>
  <c r="EP375" i="80"/>
  <c r="DR231" i="79"/>
  <c r="BU301" i="79"/>
  <c r="BU302" i="79" s="1"/>
  <c r="FD207" i="79"/>
  <c r="DB305" i="79"/>
  <c r="FN306" i="80"/>
  <c r="AX279" i="79"/>
  <c r="FF375" i="80"/>
  <c r="AU402" i="79"/>
  <c r="AU405" i="79" s="1"/>
  <c r="AU409" i="79" s="1"/>
  <c r="CT375" i="80"/>
  <c r="FN375" i="80"/>
  <c r="AX375" i="80"/>
  <c r="DB375" i="80"/>
  <c r="Z23" i="80"/>
  <c r="Z399" i="80" s="1"/>
  <c r="FF201" i="79"/>
  <c r="FF202" i="79" s="1"/>
  <c r="AP256" i="80"/>
  <c r="BN375" i="80"/>
  <c r="DJ375" i="80"/>
  <c r="EX375" i="80"/>
  <c r="DJ123" i="80"/>
  <c r="CL241" i="80"/>
  <c r="DZ375" i="80"/>
  <c r="CD62" i="79"/>
  <c r="EH103" i="79"/>
  <c r="DZ200" i="79"/>
  <c r="AP200" i="79"/>
  <c r="AH187" i="79"/>
  <c r="DR187" i="79"/>
  <c r="FN185" i="80"/>
  <c r="AP191" i="79"/>
  <c r="CB301" i="80"/>
  <c r="CB302" i="80" s="1"/>
  <c r="AV301" i="80"/>
  <c r="AV302" i="80" s="1"/>
  <c r="Z310" i="80"/>
  <c r="BN311" i="80"/>
  <c r="EV301" i="80"/>
  <c r="EV302" i="80" s="1"/>
  <c r="X301" i="80"/>
  <c r="X302" i="80" s="1"/>
  <c r="CZ301" i="80"/>
  <c r="CZ302" i="80" s="1"/>
  <c r="EV301" i="79"/>
  <c r="EV302" i="79" s="1"/>
  <c r="DP301" i="79"/>
  <c r="DP302" i="79" s="1"/>
  <c r="FL301" i="80"/>
  <c r="FL302" i="80" s="1"/>
  <c r="DJ103" i="79"/>
  <c r="FM375" i="79"/>
  <c r="Z60" i="79"/>
  <c r="BT301" i="80"/>
  <c r="BT302" i="80" s="1"/>
  <c r="BD301" i="80"/>
  <c r="BD302" i="80" s="1"/>
  <c r="AF301" i="79"/>
  <c r="AF302" i="79" s="1"/>
  <c r="AV301" i="79"/>
  <c r="AV302" i="79" s="1"/>
  <c r="EG375" i="79"/>
  <c r="AE420" i="79"/>
  <c r="EP184" i="80"/>
  <c r="EN301" i="80"/>
  <c r="EN302" i="80" s="1"/>
  <c r="CR301" i="80"/>
  <c r="CR302" i="80" s="1"/>
  <c r="AN301" i="80"/>
  <c r="AN302" i="80" s="1"/>
  <c r="FF296" i="79"/>
  <c r="DR305" i="80"/>
  <c r="BN311" i="79"/>
  <c r="CL214" i="79"/>
  <c r="DB182" i="80"/>
  <c r="BN182" i="80"/>
  <c r="AO375" i="79"/>
  <c r="DQ375" i="79"/>
  <c r="P301" i="80"/>
  <c r="P302" i="80" s="1"/>
  <c r="EF301" i="80"/>
  <c r="EF302" i="80" s="1"/>
  <c r="EP187" i="79"/>
  <c r="CT180" i="80"/>
  <c r="AP254" i="80"/>
  <c r="DA375" i="79"/>
  <c r="AX22" i="80"/>
  <c r="AX398" i="80" s="1"/>
  <c r="FD301" i="80"/>
  <c r="FD302" i="80" s="1"/>
  <c r="DH301" i="80"/>
  <c r="DH302" i="80" s="1"/>
  <c r="EH226" i="80"/>
  <c r="Y375" i="79"/>
  <c r="DR178" i="79"/>
  <c r="EP231" i="80"/>
  <c r="CR301" i="79"/>
  <c r="CR302" i="79" s="1"/>
  <c r="CJ301" i="80"/>
  <c r="CJ302" i="80" s="1"/>
  <c r="BN310" i="80"/>
  <c r="Z180" i="79"/>
  <c r="Z241" i="80"/>
  <c r="CD241" i="80"/>
  <c r="CT182" i="80"/>
  <c r="BF211" i="79"/>
  <c r="FN67" i="79"/>
  <c r="BF211" i="80"/>
  <c r="BV180" i="80"/>
  <c r="BN187" i="79"/>
  <c r="AX232" i="79"/>
  <c r="CL211" i="80"/>
  <c r="CT211" i="80"/>
  <c r="EP211" i="79"/>
  <c r="BV227" i="79"/>
  <c r="AH70" i="79"/>
  <c r="BF241" i="80"/>
  <c r="CD254" i="80"/>
  <c r="DJ254" i="80"/>
  <c r="DZ180" i="80"/>
  <c r="Z232" i="80"/>
  <c r="R50" i="82"/>
  <c r="R31" i="82" s="1"/>
  <c r="DB62" i="80"/>
  <c r="FN211" i="80"/>
  <c r="AH254" i="79"/>
  <c r="BF226" i="79"/>
  <c r="BF184" i="80"/>
  <c r="CT310" i="80"/>
  <c r="CY237" i="79"/>
  <c r="BV231" i="79"/>
  <c r="AP241" i="80"/>
  <c r="FF241" i="80"/>
  <c r="DB180" i="80"/>
  <c r="FF177" i="79"/>
  <c r="EX132" i="79"/>
  <c r="AP103" i="80"/>
  <c r="R113" i="79"/>
  <c r="DB177" i="79"/>
  <c r="FL26" i="80"/>
  <c r="AH231" i="79"/>
  <c r="EH279" i="79"/>
  <c r="FN297" i="80"/>
  <c r="CT184" i="80"/>
  <c r="DB211" i="80"/>
  <c r="EP180" i="80"/>
  <c r="AP253" i="79"/>
  <c r="FF180" i="80"/>
  <c r="EU237" i="79"/>
  <c r="FF248" i="79"/>
  <c r="EP64" i="79"/>
  <c r="DR241" i="80"/>
  <c r="R232" i="79"/>
  <c r="AH253" i="79"/>
  <c r="BF232" i="79"/>
  <c r="R60" i="79"/>
  <c r="R306" i="80"/>
  <c r="R253" i="79"/>
  <c r="R211" i="79"/>
  <c r="R211" i="80"/>
  <c r="EH241" i="80"/>
  <c r="EP241" i="79"/>
  <c r="BF180" i="80"/>
  <c r="R205" i="80"/>
  <c r="DJ241" i="80"/>
  <c r="AH211" i="80"/>
  <c r="AV418" i="79"/>
  <c r="AV420" i="79" s="1"/>
  <c r="AV421" i="79" s="1"/>
  <c r="AV452" i="79" s="1"/>
  <c r="EH60" i="79"/>
  <c r="EX60" i="79"/>
  <c r="Q49" i="82"/>
  <c r="Q53" i="82" s="1"/>
  <c r="S53" i="82" s="1"/>
  <c r="BV106" i="80"/>
  <c r="FN182" i="80"/>
  <c r="R214" i="80"/>
  <c r="CD211" i="80"/>
  <c r="Z254" i="79"/>
  <c r="Q50" i="82"/>
  <c r="Q33" i="82" s="1"/>
  <c r="BL402" i="80"/>
  <c r="CL188" i="79"/>
  <c r="AH178" i="79"/>
  <c r="AN207" i="79"/>
  <c r="DR232" i="80"/>
  <c r="CT231" i="80"/>
  <c r="AP254" i="79"/>
  <c r="X26" i="80"/>
  <c r="BD26" i="80"/>
  <c r="EH178" i="79"/>
  <c r="AX231" i="80"/>
  <c r="EH231" i="80"/>
  <c r="O237" i="80"/>
  <c r="BC237" i="80"/>
  <c r="AX311" i="79"/>
  <c r="CT214" i="80"/>
  <c r="FF106" i="79"/>
  <c r="DJ254" i="79"/>
  <c r="Z25" i="80"/>
  <c r="Z401" i="80" s="1"/>
  <c r="CJ401" i="79"/>
  <c r="CL62" i="80"/>
  <c r="BN22" i="80"/>
  <c r="BN398" i="80" s="1"/>
  <c r="BN231" i="80"/>
  <c r="FF113" i="79"/>
  <c r="DJ296" i="80"/>
  <c r="EH293" i="80"/>
  <c r="DR305" i="79"/>
  <c r="BV253" i="79"/>
  <c r="EX241" i="79"/>
  <c r="AN420" i="79"/>
  <c r="AN421" i="79" s="1"/>
  <c r="AN452" i="79" s="1"/>
  <c r="BU375" i="79"/>
  <c r="AW375" i="79"/>
  <c r="FF132" i="79"/>
  <c r="CT296" i="80"/>
  <c r="EH311" i="80"/>
  <c r="DZ241" i="80"/>
  <c r="AX180" i="80"/>
  <c r="EX211" i="80"/>
  <c r="DR211" i="80"/>
  <c r="CT241" i="80"/>
  <c r="FN70" i="79"/>
  <c r="AH241" i="80"/>
  <c r="BN241" i="80"/>
  <c r="BM375" i="79"/>
  <c r="BE375" i="79"/>
  <c r="EH297" i="80"/>
  <c r="CC375" i="79"/>
  <c r="AX201" i="79"/>
  <c r="CK215" i="79"/>
  <c r="R205" i="79"/>
  <c r="FM301" i="80"/>
  <c r="FM302" i="80" s="1"/>
  <c r="BV214" i="80"/>
  <c r="CT214" i="79"/>
  <c r="Z182" i="80"/>
  <c r="BV226" i="79"/>
  <c r="CD226" i="79"/>
  <c r="R182" i="80"/>
  <c r="BN180" i="80"/>
  <c r="EH211" i="80"/>
  <c r="EP177" i="79"/>
  <c r="EH227" i="79"/>
  <c r="AX248" i="79"/>
  <c r="DZ297" i="80"/>
  <c r="BU301" i="80"/>
  <c r="BU302" i="80" s="1"/>
  <c r="FN310" i="80"/>
  <c r="EH253" i="79"/>
  <c r="BV211" i="80"/>
  <c r="DZ253" i="79"/>
  <c r="FF211" i="80"/>
  <c r="BN253" i="79"/>
  <c r="BN211" i="80"/>
  <c r="EP211" i="80"/>
  <c r="BN177" i="79"/>
  <c r="FD402" i="80"/>
  <c r="EO375" i="79"/>
  <c r="AG375" i="79"/>
  <c r="Q375" i="79"/>
  <c r="EH189" i="80"/>
  <c r="EP178" i="79"/>
  <c r="AH231" i="80"/>
  <c r="EH231" i="79"/>
  <c r="DZ231" i="79"/>
  <c r="CS301" i="79"/>
  <c r="CS302" i="79" s="1"/>
  <c r="FF293" i="80"/>
  <c r="DJ311" i="80"/>
  <c r="BV311" i="79"/>
  <c r="AX67" i="79"/>
  <c r="DR241" i="79"/>
  <c r="DR70" i="79"/>
  <c r="G72" i="197"/>
  <c r="F72" i="197" s="1"/>
  <c r="G82" i="26" s="1"/>
  <c r="BV177" i="79"/>
  <c r="DI375" i="79"/>
  <c r="DY375" i="79"/>
  <c r="CL178" i="79"/>
  <c r="EW375" i="79"/>
  <c r="EX191" i="80"/>
  <c r="R184" i="80"/>
  <c r="EX305" i="79"/>
  <c r="AP211" i="80"/>
  <c r="AH211" i="79"/>
  <c r="AX253" i="79"/>
  <c r="EX180" i="80"/>
  <c r="BV280" i="79"/>
  <c r="BF311" i="79"/>
  <c r="AX214" i="79"/>
  <c r="EX182" i="80"/>
  <c r="BV182" i="80"/>
  <c r="CD214" i="80"/>
  <c r="BV214" i="79"/>
  <c r="BV181" i="79"/>
  <c r="CL211" i="79"/>
  <c r="BF254" i="80"/>
  <c r="DZ211" i="80"/>
  <c r="AH254" i="80"/>
  <c r="DJ214" i="79"/>
  <c r="BV231" i="80"/>
  <c r="EX310" i="80"/>
  <c r="AH214" i="79"/>
  <c r="Z226" i="79"/>
  <c r="CL180" i="79"/>
  <c r="DZ178" i="79"/>
  <c r="AX306" i="80"/>
  <c r="DR214" i="79"/>
  <c r="DZ214" i="80"/>
  <c r="EN143" i="80"/>
  <c r="BF227" i="79"/>
  <c r="BV297" i="80"/>
  <c r="CD305" i="79"/>
  <c r="DJ311" i="79"/>
  <c r="EH226" i="79"/>
  <c r="CL182" i="80"/>
  <c r="G73" i="197"/>
  <c r="F73" i="197" s="1"/>
  <c r="BV103" i="80"/>
  <c r="DO84" i="79"/>
  <c r="BN297" i="80"/>
  <c r="Z293" i="80"/>
  <c r="BV103" i="79"/>
  <c r="EU84" i="79"/>
  <c r="FN231" i="79"/>
  <c r="AH311" i="80"/>
  <c r="BF182" i="80"/>
  <c r="EP214" i="80"/>
  <c r="DJ140" i="79"/>
  <c r="CL214" i="80"/>
  <c r="CD214" i="79"/>
  <c r="BV180" i="79"/>
  <c r="R293" i="80"/>
  <c r="AP305" i="79"/>
  <c r="BV306" i="80"/>
  <c r="BV310" i="80"/>
  <c r="FF311" i="80"/>
  <c r="AX226" i="79"/>
  <c r="DR214" i="80"/>
  <c r="DQ301" i="79"/>
  <c r="DQ302" i="79" s="1"/>
  <c r="EX293" i="80"/>
  <c r="AX293" i="80"/>
  <c r="BN305" i="79"/>
  <c r="DB305" i="80"/>
  <c r="AP305" i="80"/>
  <c r="EH310" i="80"/>
  <c r="DJ310" i="80"/>
  <c r="CL226" i="79"/>
  <c r="FN226" i="79"/>
  <c r="FN214" i="80"/>
  <c r="BN226" i="79"/>
  <c r="DZ205" i="79"/>
  <c r="DX207" i="79"/>
  <c r="EH180" i="79"/>
  <c r="N73" i="197"/>
  <c r="G83" i="26"/>
  <c r="EX25" i="79"/>
  <c r="EX401" i="79" s="1"/>
  <c r="CJ26" i="79"/>
  <c r="Z231" i="80"/>
  <c r="CL184" i="80"/>
  <c r="DJ184" i="80"/>
  <c r="AW301" i="80"/>
  <c r="AW302" i="80" s="1"/>
  <c r="DR296" i="79"/>
  <c r="BN296" i="80"/>
  <c r="EH305" i="79"/>
  <c r="R305" i="79"/>
  <c r="Z311" i="80"/>
  <c r="EH182" i="80"/>
  <c r="EX226" i="79"/>
  <c r="FF226" i="79"/>
  <c r="DB214" i="79"/>
  <c r="CL231" i="80"/>
  <c r="DR205" i="79"/>
  <c r="FF305" i="79"/>
  <c r="EP305" i="79"/>
  <c r="EX311" i="80"/>
  <c r="DB248" i="79"/>
  <c r="BE301" i="80"/>
  <c r="BE302" i="80" s="1"/>
  <c r="FE301" i="80"/>
  <c r="FE302" i="80" s="1"/>
  <c r="CT154" i="79"/>
  <c r="DZ305" i="79"/>
  <c r="DZ311" i="79"/>
  <c r="CL306" i="80"/>
  <c r="AP214" i="79"/>
  <c r="EN418" i="79"/>
  <c r="EN403" i="79"/>
  <c r="EN424" i="79" s="1"/>
  <c r="F161" i="94"/>
  <c r="L160" i="94"/>
  <c r="EP248" i="79"/>
  <c r="BT207" i="79"/>
  <c r="BV296" i="80"/>
  <c r="DB296" i="80"/>
  <c r="DJ305" i="79"/>
  <c r="BF305" i="79"/>
  <c r="DZ310" i="80"/>
  <c r="FF311" i="79"/>
  <c r="DR311" i="80"/>
  <c r="FF306" i="80"/>
  <c r="EP311" i="80"/>
  <c r="DZ311" i="80"/>
  <c r="CL311" i="80"/>
  <c r="FN254" i="80"/>
  <c r="AH226" i="79"/>
  <c r="BN214" i="80"/>
  <c r="AX182" i="80"/>
  <c r="DR226" i="79"/>
  <c r="AP214" i="80"/>
  <c r="DJ214" i="80"/>
  <c r="DJ226" i="79"/>
  <c r="EX214" i="80"/>
  <c r="DJ182" i="80"/>
  <c r="R248" i="79"/>
  <c r="EX248" i="79"/>
  <c r="DW84" i="79"/>
  <c r="G84" i="196"/>
  <c r="G165" i="196" s="1"/>
  <c r="G84" i="13"/>
  <c r="DJ296" i="79"/>
  <c r="FN311" i="79"/>
  <c r="CL310" i="80"/>
  <c r="EP254" i="80"/>
  <c r="FF254" i="80"/>
  <c r="DB226" i="79"/>
  <c r="DB310" i="80"/>
  <c r="AH310" i="80"/>
  <c r="EP311" i="79"/>
  <c r="CL311" i="79"/>
  <c r="AX310" i="80"/>
  <c r="DZ306" i="80"/>
  <c r="DR311" i="79"/>
  <c r="BF310" i="80"/>
  <c r="DB306" i="80"/>
  <c r="CD311" i="79"/>
  <c r="FK315" i="79"/>
  <c r="FK331" i="79" s="1"/>
  <c r="DJ306" i="80"/>
  <c r="AH306" i="80"/>
  <c r="BV311" i="80"/>
  <c r="Z311" i="79"/>
  <c r="BF306" i="80"/>
  <c r="CD306" i="80"/>
  <c r="AP306" i="80"/>
  <c r="EP306" i="80"/>
  <c r="AH311" i="79"/>
  <c r="R311" i="80"/>
  <c r="EH306" i="80"/>
  <c r="CT311" i="79"/>
  <c r="EH311" i="79"/>
  <c r="DR306" i="80"/>
  <c r="BN306" i="80"/>
  <c r="FN311" i="80"/>
  <c r="R311" i="79"/>
  <c r="DJ305" i="80"/>
  <c r="CL305" i="80"/>
  <c r="AH305" i="80"/>
  <c r="EH305" i="80"/>
  <c r="EX305" i="80"/>
  <c r="CT305" i="80"/>
  <c r="Z305" i="80"/>
  <c r="R305" i="80"/>
  <c r="Z305" i="79"/>
  <c r="AX305" i="80"/>
  <c r="DZ305" i="80"/>
  <c r="CT305" i="79"/>
  <c r="EP305" i="80"/>
  <c r="BV305" i="80"/>
  <c r="CL305" i="79"/>
  <c r="CD305" i="80"/>
  <c r="BN305" i="80"/>
  <c r="CL297" i="80"/>
  <c r="AP297" i="80"/>
  <c r="BF297" i="80"/>
  <c r="EX297" i="80"/>
  <c r="DB297" i="80"/>
  <c r="CT297" i="80"/>
  <c r="AX297" i="80"/>
  <c r="DJ297" i="80"/>
  <c r="FF297" i="80"/>
  <c r="R297" i="80"/>
  <c r="EM315" i="79"/>
  <c r="EM331" i="79" s="1"/>
  <c r="DB296" i="79"/>
  <c r="BV293" i="80"/>
  <c r="DZ296" i="79"/>
  <c r="CL293" i="80"/>
  <c r="FF297" i="79"/>
  <c r="AP296" i="80"/>
  <c r="AH293" i="80"/>
  <c r="AH296" i="80"/>
  <c r="CD293" i="80"/>
  <c r="BF296" i="80"/>
  <c r="DO315" i="79"/>
  <c r="DO331" i="79" s="1"/>
  <c r="Z296" i="80"/>
  <c r="EX296" i="80"/>
  <c r="FF296" i="80"/>
  <c r="CL296" i="79"/>
  <c r="DR293" i="80"/>
  <c r="CD296" i="80"/>
  <c r="EH296" i="80"/>
  <c r="CT297" i="79"/>
  <c r="AH297" i="79"/>
  <c r="EP297" i="79"/>
  <c r="FN296" i="79"/>
  <c r="BN296" i="79"/>
  <c r="EP296" i="79"/>
  <c r="C7" i="69"/>
  <c r="D7" i="69" s="1"/>
  <c r="E7" i="69" s="1"/>
  <c r="F7" i="69" s="1"/>
  <c r="G7" i="69" s="1"/>
  <c r="C14" i="69"/>
  <c r="D14" i="69"/>
  <c r="FN25" i="79"/>
  <c r="FN401" i="79" s="1"/>
  <c r="BT26" i="80"/>
  <c r="AP184" i="80"/>
  <c r="AH184" i="80"/>
  <c r="FF184" i="80"/>
  <c r="F49" i="82"/>
  <c r="F50" i="82" s="1"/>
  <c r="F85" i="82" s="1"/>
  <c r="F19" i="82" s="1"/>
  <c r="F21" i="82" s="1"/>
  <c r="F22" i="82" s="1"/>
  <c r="F84" i="82" s="1"/>
  <c r="DJ22" i="79"/>
  <c r="DJ398" i="79" s="1"/>
  <c r="EM402" i="80"/>
  <c r="EM405" i="80" s="1"/>
  <c r="EM409" i="80" s="1"/>
  <c r="EU402" i="80"/>
  <c r="EU405" i="80" s="1"/>
  <c r="EU409" i="80" s="1"/>
  <c r="EX184" i="80"/>
  <c r="DR374" i="80"/>
  <c r="EP374" i="80"/>
  <c r="FN374" i="80"/>
  <c r="DZ374" i="80"/>
  <c r="AP374" i="80"/>
  <c r="BF374" i="80"/>
  <c r="BN374" i="80"/>
  <c r="DJ374" i="80"/>
  <c r="AH374" i="80"/>
  <c r="CD374" i="80"/>
  <c r="Z374" i="80"/>
  <c r="BV374" i="80"/>
  <c r="CT374" i="80"/>
  <c r="FF374" i="80"/>
  <c r="EX374" i="80"/>
  <c r="DB374" i="80"/>
  <c r="R374" i="80"/>
  <c r="AX374" i="80"/>
  <c r="CD178" i="79"/>
  <c r="CL374" i="80"/>
  <c r="CI405" i="80"/>
  <c r="CI409" i="80" s="1"/>
  <c r="DJ60" i="79"/>
  <c r="DB103" i="79"/>
  <c r="BE143" i="80"/>
  <c r="CL231" i="79"/>
  <c r="DR245" i="80"/>
  <c r="DZ248" i="79"/>
  <c r="Z248" i="79"/>
  <c r="BV295" i="79"/>
  <c r="EH297" i="79"/>
  <c r="EX103" i="80"/>
  <c r="CT189" i="80"/>
  <c r="R189" i="80"/>
  <c r="CT252" i="80"/>
  <c r="DJ248" i="79"/>
  <c r="EM405" i="79"/>
  <c r="EM409" i="79" s="1"/>
  <c r="BN16" i="80"/>
  <c r="BN410" i="80" s="1"/>
  <c r="BN426" i="80" s="1"/>
  <c r="DA143" i="80"/>
  <c r="AG196" i="80"/>
  <c r="EX178" i="79"/>
  <c r="DB231" i="79"/>
  <c r="DZ24" i="80"/>
  <c r="DZ400" i="80" s="1"/>
  <c r="EV26" i="79"/>
  <c r="CJ403" i="79"/>
  <c r="CJ424" i="79" s="1"/>
  <c r="EX231" i="79"/>
  <c r="CD276" i="79"/>
  <c r="DR191" i="79"/>
  <c r="CT191" i="79"/>
  <c r="FN62" i="80"/>
  <c r="DJ98" i="79"/>
  <c r="AH140" i="79"/>
  <c r="EE40" i="80"/>
  <c r="EE385" i="80" s="1"/>
  <c r="EE44" i="80"/>
  <c r="EE389" i="80" s="1"/>
  <c r="Q196" i="80"/>
  <c r="BN154" i="79"/>
  <c r="BN231" i="79"/>
  <c r="CD256" i="80"/>
  <c r="DA301" i="80"/>
  <c r="DA302" i="80" s="1"/>
  <c r="CB215" i="80"/>
  <c r="AH227" i="79"/>
  <c r="DB252" i="80"/>
  <c r="DA301" i="79"/>
  <c r="DA302" i="79" s="1"/>
  <c r="DJ252" i="80"/>
  <c r="FF245" i="80"/>
  <c r="BM301" i="79"/>
  <c r="BM302" i="79" s="1"/>
  <c r="AG301" i="79"/>
  <c r="AG302" i="79" s="1"/>
  <c r="FM301" i="79"/>
  <c r="FM302" i="79" s="1"/>
  <c r="AH248" i="79"/>
  <c r="BF248" i="79"/>
  <c r="BN279" i="79"/>
  <c r="DJ191" i="79"/>
  <c r="BF279" i="79"/>
  <c r="FN191" i="80"/>
  <c r="BN112" i="80"/>
  <c r="BD207" i="80"/>
  <c r="R231" i="79"/>
  <c r="CL252" i="80"/>
  <c r="CL245" i="80"/>
  <c r="AX25" i="79"/>
  <c r="AX401" i="79" s="1"/>
  <c r="DR191" i="80"/>
  <c r="AX87" i="79"/>
  <c r="DZ252" i="80"/>
  <c r="AX245" i="80"/>
  <c r="AX256" i="80"/>
  <c r="DY301" i="80"/>
  <c r="DY302" i="80" s="1"/>
  <c r="Q301" i="80"/>
  <c r="BN252" i="80"/>
  <c r="CK301" i="80"/>
  <c r="CK302" i="80" s="1"/>
  <c r="AO301" i="80"/>
  <c r="AO302" i="80" s="1"/>
  <c r="Y301" i="80"/>
  <c r="Y302" i="80" s="1"/>
  <c r="DQ301" i="80"/>
  <c r="DQ302" i="80" s="1"/>
  <c r="EW301" i="79"/>
  <c r="CT191" i="80"/>
  <c r="FN246" i="80"/>
  <c r="AG301" i="80"/>
  <c r="AG302" i="80" s="1"/>
  <c r="EW301" i="80"/>
  <c r="EW302" i="80" s="1"/>
  <c r="EH191" i="80"/>
  <c r="AH191" i="80"/>
  <c r="EO301" i="80"/>
  <c r="EO302" i="80" s="1"/>
  <c r="CC301" i="80"/>
  <c r="CC302" i="80" s="1"/>
  <c r="EG301" i="80"/>
  <c r="EG302" i="80" s="1"/>
  <c r="CS301" i="80"/>
  <c r="CS302" i="80" s="1"/>
  <c r="FL301" i="79"/>
  <c r="FL302" i="79" s="1"/>
  <c r="FC302" i="79"/>
  <c r="FC315" i="79" s="1"/>
  <c r="FC331" i="79" s="1"/>
  <c r="FE301" i="79"/>
  <c r="FE302" i="79" s="1"/>
  <c r="FD301" i="79"/>
  <c r="FD302" i="79" s="1"/>
  <c r="DG302" i="79"/>
  <c r="DI301" i="79"/>
  <c r="DI302" i="79" s="1"/>
  <c r="DZ191" i="80"/>
  <c r="G84" i="203"/>
  <c r="BV191" i="80"/>
  <c r="BU196" i="80"/>
  <c r="G84" i="207"/>
  <c r="G135" i="207" s="1"/>
  <c r="DW237" i="79"/>
  <c r="G84" i="206"/>
  <c r="DG196" i="80"/>
  <c r="DI191" i="80"/>
  <c r="DI196" i="80" s="1"/>
  <c r="DH191" i="80"/>
  <c r="DH196" i="80" s="1"/>
  <c r="CK191" i="80"/>
  <c r="CK196" i="80" s="1"/>
  <c r="CJ191" i="80"/>
  <c r="DB191" i="80"/>
  <c r="DG302" i="80"/>
  <c r="DG315" i="80" s="1"/>
  <c r="DG331" i="80" s="1"/>
  <c r="DI301" i="80"/>
  <c r="DI302" i="80" s="1"/>
  <c r="FF191" i="80"/>
  <c r="EO301" i="79"/>
  <c r="EO302" i="79" s="1"/>
  <c r="EN301" i="79"/>
  <c r="EN302" i="79" s="1"/>
  <c r="BD301" i="79"/>
  <c r="BD302" i="79" s="1"/>
  <c r="CA302" i="79"/>
  <c r="CA315" i="79" s="1"/>
  <c r="CA331" i="79" s="1"/>
  <c r="CB301" i="79"/>
  <c r="CB302" i="79" s="1"/>
  <c r="CC301" i="79"/>
  <c r="CC302" i="79" s="1"/>
  <c r="BS302" i="79"/>
  <c r="BS315" i="79" s="1"/>
  <c r="BS331" i="79" s="1"/>
  <c r="DG315" i="79"/>
  <c r="DG331" i="79" s="1"/>
  <c r="BT301" i="79"/>
  <c r="BT302" i="79" s="1"/>
  <c r="DH301" i="79"/>
  <c r="DH302" i="79" s="1"/>
  <c r="EG301" i="79"/>
  <c r="EG302" i="79" s="1"/>
  <c r="EF301" i="79"/>
  <c r="EF302" i="79" s="1"/>
  <c r="BE301" i="79"/>
  <c r="BE302" i="79" s="1"/>
  <c r="BL301" i="79"/>
  <c r="AW301" i="79"/>
  <c r="AW302" i="79" s="1"/>
  <c r="CZ301" i="79"/>
  <c r="CY302" i="79"/>
  <c r="CY315" i="79" s="1"/>
  <c r="CY331" i="79" s="1"/>
  <c r="CK301" i="79"/>
  <c r="CK302" i="79" s="1"/>
  <c r="CJ301" i="79"/>
  <c r="CI302" i="79"/>
  <c r="CI315" i="79" s="1"/>
  <c r="CI331" i="79" s="1"/>
  <c r="DP302" i="80"/>
  <c r="AN301" i="79"/>
  <c r="AN302" i="79" s="1"/>
  <c r="AM302" i="79"/>
  <c r="AM315" i="79" s="1"/>
  <c r="AM331" i="79" s="1"/>
  <c r="AO301" i="79"/>
  <c r="AO302" i="79" s="1"/>
  <c r="DX302" i="80"/>
  <c r="EP191" i="80"/>
  <c r="CJ191" i="79"/>
  <c r="CJ196" i="79" s="1"/>
  <c r="CK191" i="79"/>
  <c r="BM191" i="80"/>
  <c r="BM196" i="80" s="1"/>
  <c r="BL191" i="80"/>
  <c r="Q191" i="79"/>
  <c r="Q196" i="79" s="1"/>
  <c r="P191" i="79"/>
  <c r="BM301" i="80"/>
  <c r="BM302" i="80" s="1"/>
  <c r="BL301" i="80"/>
  <c r="BL302" i="80" s="1"/>
  <c r="BK302" i="80"/>
  <c r="BK315" i="80" s="1"/>
  <c r="BK331" i="80" s="1"/>
  <c r="O302" i="79"/>
  <c r="O315" i="79" s="1"/>
  <c r="O331" i="79" s="1"/>
  <c r="Q301" i="79"/>
  <c r="Q302" i="79" s="1"/>
  <c r="P301" i="79"/>
  <c r="DY301" i="79"/>
  <c r="DY302" i="79" s="1"/>
  <c r="DX301" i="79"/>
  <c r="DX302" i="79" s="1"/>
  <c r="DW302" i="79"/>
  <c r="DW315" i="79" s="1"/>
  <c r="DW331" i="79" s="1"/>
  <c r="DY191" i="79"/>
  <c r="DY196" i="79" s="1"/>
  <c r="DX191" i="79"/>
  <c r="DX196" i="79" s="1"/>
  <c r="DO237" i="79"/>
  <c r="X191" i="79"/>
  <c r="X196" i="79" s="1"/>
  <c r="Y191" i="79"/>
  <c r="Y196" i="79" s="1"/>
  <c r="Y301" i="79"/>
  <c r="Y302" i="79" s="1"/>
  <c r="W302" i="79"/>
  <c r="W315" i="79" s="1"/>
  <c r="W331" i="79" s="1"/>
  <c r="X301" i="79"/>
  <c r="X302" i="79" s="1"/>
  <c r="CR374" i="79"/>
  <c r="CB374" i="79"/>
  <c r="DH374" i="79"/>
  <c r="BF25" i="79"/>
  <c r="BF401" i="79" s="1"/>
  <c r="EN374" i="79"/>
  <c r="AF374" i="79"/>
  <c r="EV374" i="79"/>
  <c r="AO404" i="79"/>
  <c r="AO425" i="79" s="1"/>
  <c r="AP178" i="79"/>
  <c r="BT207" i="80"/>
  <c r="X374" i="79"/>
  <c r="EF374" i="79"/>
  <c r="CZ374" i="79"/>
  <c r="AO34" i="79"/>
  <c r="EN207" i="80"/>
  <c r="BD374" i="79"/>
  <c r="DP374" i="79"/>
  <c r="BF178" i="79"/>
  <c r="AV207" i="80"/>
  <c r="BL207" i="80"/>
  <c r="CJ374" i="79"/>
  <c r="AN374" i="79"/>
  <c r="AF403" i="79"/>
  <c r="AF424" i="79" s="1"/>
  <c r="AF430" i="79" s="1"/>
  <c r="DR92" i="79"/>
  <c r="FD143" i="79"/>
  <c r="BF231" i="79"/>
  <c r="FL374" i="79"/>
  <c r="BT374" i="79"/>
  <c r="BV60" i="79"/>
  <c r="BV178" i="79"/>
  <c r="CD231" i="79"/>
  <c r="DX374" i="79"/>
  <c r="DJ103" i="80"/>
  <c r="CL279" i="79"/>
  <c r="FF147" i="80"/>
  <c r="AX153" i="79"/>
  <c r="BE202" i="80"/>
  <c r="CI378" i="79"/>
  <c r="CD297" i="79"/>
  <c r="AE378" i="79"/>
  <c r="BK378" i="79"/>
  <c r="BN280" i="80"/>
  <c r="CA378" i="79"/>
  <c r="EM378" i="79"/>
  <c r="FK378" i="79"/>
  <c r="FC378" i="79"/>
  <c r="O378" i="79"/>
  <c r="EE378" i="79"/>
  <c r="CY378" i="79"/>
  <c r="DO378" i="79"/>
  <c r="BS378" i="79"/>
  <c r="AU378" i="79"/>
  <c r="BC378" i="79"/>
  <c r="W378" i="79"/>
  <c r="CQ378" i="79"/>
  <c r="DG378" i="79"/>
  <c r="EU378" i="79"/>
  <c r="AM378" i="79"/>
  <c r="DW378" i="79"/>
  <c r="AX276" i="79"/>
  <c r="AX231" i="79"/>
  <c r="EP25" i="80"/>
  <c r="EP401" i="80" s="1"/>
  <c r="CT22" i="79"/>
  <c r="CT398" i="79" s="1"/>
  <c r="BV25" i="80"/>
  <c r="BV401" i="80" s="1"/>
  <c r="R177" i="79"/>
  <c r="FN297" i="79"/>
  <c r="DJ16" i="80"/>
  <c r="DJ410" i="80" s="1"/>
  <c r="DG426" i="80" s="1"/>
  <c r="EN26" i="80"/>
  <c r="R22" i="79"/>
  <c r="R398" i="79" s="1"/>
  <c r="FF231" i="79"/>
  <c r="DJ231" i="79"/>
  <c r="FN108" i="80"/>
  <c r="EO215" i="79"/>
  <c r="P207" i="80"/>
  <c r="FN276" i="79"/>
  <c r="J40" i="207"/>
  <c r="J44" i="207"/>
  <c r="I44" i="207"/>
  <c r="I40" i="207"/>
  <c r="CD192" i="79"/>
  <c r="CD279" i="79"/>
  <c r="Z294" i="80"/>
  <c r="BF154" i="80"/>
  <c r="J44" i="206"/>
  <c r="J40" i="206"/>
  <c r="I44" i="206"/>
  <c r="I40" i="206"/>
  <c r="DJ147" i="80"/>
  <c r="DJ297" i="79"/>
  <c r="EO143" i="80"/>
  <c r="AP62" i="80"/>
  <c r="CD140" i="79"/>
  <c r="EH177" i="79"/>
  <c r="EH212" i="79"/>
  <c r="EX279" i="79"/>
  <c r="FD207" i="80"/>
  <c r="BF62" i="80"/>
  <c r="BF123" i="80"/>
  <c r="AG143" i="80"/>
  <c r="CL177" i="79"/>
  <c r="CL248" i="79"/>
  <c r="Z205" i="80"/>
  <c r="FF62" i="80"/>
  <c r="DB212" i="79"/>
  <c r="R25" i="79"/>
  <c r="R401" i="79" s="1"/>
  <c r="DB103" i="80"/>
  <c r="BV297" i="79"/>
  <c r="Z16" i="80"/>
  <c r="Z410" i="80" s="1"/>
  <c r="Z426" i="80" s="1"/>
  <c r="AH60" i="79"/>
  <c r="DZ62" i="80"/>
  <c r="DZ177" i="79"/>
  <c r="Z25" i="79"/>
  <c r="Z401" i="79" s="1"/>
  <c r="BN248" i="79"/>
  <c r="R268" i="79"/>
  <c r="CD177" i="79"/>
  <c r="AX177" i="79"/>
  <c r="CL154" i="79"/>
  <c r="EP103" i="80"/>
  <c r="FF103" i="79"/>
  <c r="CD103" i="80"/>
  <c r="BF177" i="79"/>
  <c r="DP207" i="80"/>
  <c r="CB207" i="80"/>
  <c r="EX268" i="79"/>
  <c r="AW202" i="80"/>
  <c r="BN297" i="79"/>
  <c r="FF226" i="80"/>
  <c r="FF254" i="79"/>
  <c r="FN279" i="79"/>
  <c r="EX276" i="79"/>
  <c r="CL297" i="79"/>
  <c r="BN294" i="80"/>
  <c r="R279" i="79"/>
  <c r="EX294" i="80"/>
  <c r="CL294" i="80"/>
  <c r="FL207" i="80"/>
  <c r="BV279" i="79"/>
  <c r="Z279" i="79"/>
  <c r="AP279" i="79"/>
  <c r="DR297" i="79"/>
  <c r="DR139" i="79"/>
  <c r="BV276" i="79"/>
  <c r="AX113" i="79"/>
  <c r="DJ177" i="79"/>
  <c r="DB279" i="79"/>
  <c r="BF103" i="80"/>
  <c r="DZ108" i="80"/>
  <c r="AP248" i="79"/>
  <c r="DB297" i="79"/>
  <c r="AH62" i="80"/>
  <c r="FF294" i="80"/>
  <c r="DZ22" i="79"/>
  <c r="DZ398" i="79" s="1"/>
  <c r="Z57" i="80"/>
  <c r="EP62" i="80"/>
  <c r="CT103" i="80"/>
  <c r="DZ279" i="79"/>
  <c r="AO26" i="80"/>
  <c r="AG100" i="80"/>
  <c r="EX177" i="79"/>
  <c r="EH139" i="80"/>
  <c r="EH143" i="80" s="1"/>
  <c r="EV207" i="80"/>
  <c r="AP270" i="79"/>
  <c r="AX62" i="80"/>
  <c r="FN112" i="80"/>
  <c r="CD245" i="80"/>
  <c r="CT248" i="79"/>
  <c r="BN232" i="79"/>
  <c r="R16" i="80"/>
  <c r="R410" i="80" s="1"/>
  <c r="O426" i="80" s="1"/>
  <c r="AX226" i="80"/>
  <c r="DB182" i="79"/>
  <c r="BF276" i="79"/>
  <c r="BF192" i="79"/>
  <c r="BN109" i="79"/>
  <c r="EH248" i="79"/>
  <c r="DZ182" i="79"/>
  <c r="CD182" i="79"/>
  <c r="AX241" i="79"/>
  <c r="BF182" i="79"/>
  <c r="DR279" i="79"/>
  <c r="FF279" i="79"/>
  <c r="R297" i="79"/>
  <c r="J40" i="203"/>
  <c r="J44" i="203"/>
  <c r="I44" i="203"/>
  <c r="I40" i="203"/>
  <c r="R120" i="79"/>
  <c r="R294" i="80"/>
  <c r="CT276" i="79"/>
  <c r="BN276" i="79"/>
  <c r="FF280" i="79"/>
  <c r="CT268" i="79"/>
  <c r="DZ297" i="79"/>
  <c r="EH268" i="79"/>
  <c r="CD114" i="79"/>
  <c r="BN254" i="80"/>
  <c r="BF268" i="79"/>
  <c r="Z276" i="79"/>
  <c r="DR277" i="79"/>
  <c r="R276" i="79"/>
  <c r="AP297" i="79"/>
  <c r="BU215" i="79"/>
  <c r="BV213" i="79"/>
  <c r="AP277" i="79"/>
  <c r="DJ268" i="79"/>
  <c r="CD277" i="79"/>
  <c r="CT277" i="79"/>
  <c r="DJ277" i="79"/>
  <c r="DB294" i="80"/>
  <c r="R280" i="79"/>
  <c r="EP280" i="79"/>
  <c r="EX232" i="80"/>
  <c r="CD268" i="79"/>
  <c r="DB277" i="80"/>
  <c r="DB277" i="79"/>
  <c r="EH129" i="80"/>
  <c r="EX232" i="79"/>
  <c r="EP268" i="79"/>
  <c r="AP276" i="79"/>
  <c r="EH276" i="79"/>
  <c r="DZ276" i="79"/>
  <c r="DJ276" i="79"/>
  <c r="FF276" i="79"/>
  <c r="BV254" i="79"/>
  <c r="DB64" i="80"/>
  <c r="BV232" i="80"/>
  <c r="EP276" i="79"/>
  <c r="J40" i="13"/>
  <c r="J44" i="13"/>
  <c r="I40" i="13"/>
  <c r="F28" i="82" s="1"/>
  <c r="I44" i="13"/>
  <c r="F32" i="35" s="1"/>
  <c r="DR212" i="79"/>
  <c r="CL276" i="79"/>
  <c r="BF297" i="79"/>
  <c r="AX297" i="79"/>
  <c r="Z297" i="79"/>
  <c r="EH294" i="80"/>
  <c r="DJ295" i="79"/>
  <c r="DZ295" i="79"/>
  <c r="AP295" i="79"/>
  <c r="EH295" i="79"/>
  <c r="CD295" i="79"/>
  <c r="EX295" i="79"/>
  <c r="EP295" i="79"/>
  <c r="CT295" i="79"/>
  <c r="AX295" i="79"/>
  <c r="CL295" i="79"/>
  <c r="BF295" i="79"/>
  <c r="DR295" i="79"/>
  <c r="R295" i="79"/>
  <c r="BN295" i="79"/>
  <c r="DB295" i="79"/>
  <c r="FN295" i="79"/>
  <c r="CT291" i="80"/>
  <c r="BF291" i="80"/>
  <c r="CL291" i="79"/>
  <c r="BF291" i="79"/>
  <c r="EP291" i="80"/>
  <c r="EX291" i="80"/>
  <c r="EH291" i="80"/>
  <c r="Z291" i="79"/>
  <c r="FN291" i="79"/>
  <c r="AP291" i="79"/>
  <c r="R291" i="80"/>
  <c r="CL291" i="80"/>
  <c r="DJ291" i="79"/>
  <c r="EX291" i="79"/>
  <c r="BV291" i="79"/>
  <c r="DB291" i="80"/>
  <c r="BV291" i="80"/>
  <c r="BN291" i="79"/>
  <c r="FF291" i="79"/>
  <c r="DR291" i="79"/>
  <c r="FN291" i="80"/>
  <c r="AX291" i="80"/>
  <c r="EP291" i="79"/>
  <c r="DZ291" i="79"/>
  <c r="BN291" i="80"/>
  <c r="CD291" i="80"/>
  <c r="Z291" i="80"/>
  <c r="DB291" i="79"/>
  <c r="R291" i="79"/>
  <c r="AH291" i="79"/>
  <c r="DZ291" i="80"/>
  <c r="FF291" i="80"/>
  <c r="CT291" i="79"/>
  <c r="AX291" i="79"/>
  <c r="DJ291" i="80"/>
  <c r="DR291" i="80"/>
  <c r="AH291" i="80"/>
  <c r="CD291" i="79"/>
  <c r="EH291" i="79"/>
  <c r="Z280" i="79"/>
  <c r="DB280" i="79"/>
  <c r="AX277" i="79"/>
  <c r="EP277" i="79"/>
  <c r="EM283" i="79"/>
  <c r="EM328" i="79" s="1"/>
  <c r="CT280" i="79"/>
  <c r="AX280" i="79"/>
  <c r="BN280" i="79"/>
  <c r="FF277" i="79"/>
  <c r="EH277" i="79"/>
  <c r="DZ277" i="79"/>
  <c r="BV277" i="79"/>
  <c r="FN280" i="79"/>
  <c r="CL280" i="79"/>
  <c r="BF277" i="79"/>
  <c r="CT279" i="79"/>
  <c r="DZ278" i="79"/>
  <c r="DJ277" i="80"/>
  <c r="EH280" i="79"/>
  <c r="EX280" i="79"/>
  <c r="AH277" i="79"/>
  <c r="R277" i="79"/>
  <c r="AH280" i="79"/>
  <c r="DJ280" i="79"/>
  <c r="CL277" i="79"/>
  <c r="DR280" i="79"/>
  <c r="FN277" i="79"/>
  <c r="BN277" i="79"/>
  <c r="DR276" i="79"/>
  <c r="DJ279" i="79"/>
  <c r="AP280" i="79"/>
  <c r="CD280" i="79"/>
  <c r="EX277" i="79"/>
  <c r="Z277" i="79"/>
  <c r="AX270" i="79"/>
  <c r="DB270" i="79"/>
  <c r="BV268" i="79"/>
  <c r="BN268" i="79"/>
  <c r="BF270" i="79"/>
  <c r="AP268" i="79"/>
  <c r="AX268" i="79"/>
  <c r="FF268" i="79"/>
  <c r="DZ268" i="79"/>
  <c r="FN268" i="79"/>
  <c r="DB268" i="79"/>
  <c r="AH268" i="79"/>
  <c r="CT256" i="80"/>
  <c r="CL256" i="80"/>
  <c r="DZ254" i="79"/>
  <c r="EP254" i="79"/>
  <c r="CC215" i="79"/>
  <c r="BF213" i="79"/>
  <c r="R213" i="80"/>
  <c r="BE215" i="79"/>
  <c r="BV246" i="80"/>
  <c r="DZ103" i="80"/>
  <c r="AW215" i="79"/>
  <c r="EX182" i="79"/>
  <c r="Z226" i="80"/>
  <c r="CD254" i="79"/>
  <c r="EX155" i="79"/>
  <c r="DR252" i="80"/>
  <c r="DR254" i="79"/>
  <c r="DR25" i="79"/>
  <c r="DR401" i="79" s="1"/>
  <c r="CL112" i="80"/>
  <c r="BV256" i="80"/>
  <c r="CT232" i="80"/>
  <c r="DB232" i="79"/>
  <c r="EP252" i="80"/>
  <c r="AH256" i="80"/>
  <c r="DB226" i="80"/>
  <c r="Z106" i="80"/>
  <c r="CS215" i="79"/>
  <c r="DZ212" i="79"/>
  <c r="EH96" i="80"/>
  <c r="CD125" i="79"/>
  <c r="DB232" i="80"/>
  <c r="CT226" i="79"/>
  <c r="AX181" i="79"/>
  <c r="BV226" i="80"/>
  <c r="R232" i="80"/>
  <c r="CD232" i="79"/>
  <c r="EH232" i="79"/>
  <c r="AP232" i="79"/>
  <c r="DR232" i="79"/>
  <c r="BF212" i="79"/>
  <c r="DR154" i="79"/>
  <c r="AN26" i="80"/>
  <c r="CD201" i="79"/>
  <c r="FN70" i="80"/>
  <c r="CL254" i="79"/>
  <c r="P143" i="80"/>
  <c r="AN401" i="80"/>
  <c r="EX25" i="80"/>
  <c r="EX401" i="80" s="1"/>
  <c r="BC44" i="80"/>
  <c r="FN140" i="79"/>
  <c r="EU420" i="79"/>
  <c r="AF143" i="80"/>
  <c r="CD25" i="79"/>
  <c r="CD401" i="79" s="1"/>
  <c r="EG196" i="80"/>
  <c r="DZ227" i="79"/>
  <c r="FF252" i="80"/>
  <c r="CT185" i="79"/>
  <c r="AX182" i="79"/>
  <c r="DR226" i="80"/>
  <c r="CT226" i="80"/>
  <c r="AH232" i="79"/>
  <c r="EH254" i="79"/>
  <c r="AN143" i="79"/>
  <c r="Z177" i="79"/>
  <c r="BD143" i="79"/>
  <c r="AV26" i="80"/>
  <c r="AX141" i="79"/>
  <c r="DR125" i="79"/>
  <c r="AP245" i="80"/>
  <c r="EX252" i="80"/>
  <c r="FF256" i="80"/>
  <c r="FF246" i="80"/>
  <c r="R226" i="80"/>
  <c r="DZ226" i="80"/>
  <c r="CT254" i="79"/>
  <c r="AH16" i="79"/>
  <c r="AH410" i="79" s="1"/>
  <c r="AH426" i="79" s="1"/>
  <c r="EX24" i="79"/>
  <c r="EX400" i="79" s="1"/>
  <c r="BV16" i="80"/>
  <c r="BV410" i="80" s="1"/>
  <c r="FF113" i="80"/>
  <c r="FF155" i="79"/>
  <c r="BV252" i="80"/>
  <c r="R245" i="80"/>
  <c r="EX256" i="80"/>
  <c r="Z62" i="80"/>
  <c r="R103" i="80"/>
  <c r="EV26" i="80"/>
  <c r="R206" i="80"/>
  <c r="I405" i="80"/>
  <c r="I409" i="80" s="1"/>
  <c r="O84" i="80"/>
  <c r="BT402" i="80"/>
  <c r="CI402" i="79"/>
  <c r="CI405" i="79" s="1"/>
  <c r="CI409" i="79" s="1"/>
  <c r="DB22" i="80"/>
  <c r="DB398" i="80" s="1"/>
  <c r="EM44" i="80"/>
  <c r="EM389" i="80" s="1"/>
  <c r="BN98" i="79"/>
  <c r="CT113" i="79"/>
  <c r="AH25" i="79"/>
  <c r="AH401" i="79" s="1"/>
  <c r="CT177" i="79"/>
  <c r="Z155" i="79"/>
  <c r="CT23" i="80"/>
  <c r="CT399" i="80" s="1"/>
  <c r="D50" i="82"/>
  <c r="AX25" i="80"/>
  <c r="AX401" i="80" s="1"/>
  <c r="Y207" i="80"/>
  <c r="FF206" i="80"/>
  <c r="FF207" i="80" s="1"/>
  <c r="DB206" i="80"/>
  <c r="DB207" i="80" s="1"/>
  <c r="FF212" i="79"/>
  <c r="AH252" i="80"/>
  <c r="DJ182" i="79"/>
  <c r="Z232" i="79"/>
  <c r="CT227" i="79"/>
  <c r="EX230" i="80"/>
  <c r="DB230" i="79"/>
  <c r="EP256" i="80"/>
  <c r="DZ256" i="80"/>
  <c r="AH182" i="79"/>
  <c r="EX241" i="80"/>
  <c r="EX226" i="80"/>
  <c r="FN254" i="79"/>
  <c r="AX254" i="79"/>
  <c r="DZ245" i="80"/>
  <c r="Z182" i="79"/>
  <c r="BN182" i="79"/>
  <c r="BV182" i="79"/>
  <c r="FE215" i="79"/>
  <c r="BN25" i="79"/>
  <c r="BN401" i="79" s="1"/>
  <c r="BL215" i="80"/>
  <c r="DR227" i="79"/>
  <c r="EP230" i="80"/>
  <c r="AP229" i="80"/>
  <c r="Z246" i="80"/>
  <c r="DB253" i="79"/>
  <c r="R226" i="79"/>
  <c r="BN226" i="80"/>
  <c r="CL226" i="80"/>
  <c r="DJ226" i="80"/>
  <c r="DZ226" i="79"/>
  <c r="BF241" i="79"/>
  <c r="FL207" i="79"/>
  <c r="FN205" i="79"/>
  <c r="R182" i="79"/>
  <c r="AP226" i="80"/>
  <c r="Z241" i="79"/>
  <c r="CD226" i="80"/>
  <c r="CY40" i="80"/>
  <c r="CY385" i="80" s="1"/>
  <c r="BF226" i="80"/>
  <c r="AX213" i="79"/>
  <c r="CT232" i="79"/>
  <c r="CD227" i="79"/>
  <c r="EH256" i="80"/>
  <c r="EP182" i="79"/>
  <c r="DR182" i="79"/>
  <c r="AH226" i="80"/>
  <c r="CT182" i="79"/>
  <c r="Z230" i="79"/>
  <c r="CD252" i="80"/>
  <c r="R254" i="80"/>
  <c r="EH25" i="80"/>
  <c r="EH401" i="80" s="1"/>
  <c r="X143" i="79"/>
  <c r="R188" i="79"/>
  <c r="EN215" i="80"/>
  <c r="R212" i="79"/>
  <c r="EW215" i="79"/>
  <c r="AO215" i="79"/>
  <c r="DZ232" i="79"/>
  <c r="Z227" i="79"/>
  <c r="DJ230" i="80"/>
  <c r="AX252" i="80"/>
  <c r="DR256" i="80"/>
  <c r="DB241" i="80"/>
  <c r="CJ402" i="80"/>
  <c r="AV143" i="79"/>
  <c r="EH25" i="79"/>
  <c r="EH401" i="79" s="1"/>
  <c r="AH177" i="79"/>
  <c r="BV192" i="79"/>
  <c r="EO202" i="80"/>
  <c r="DA215" i="79"/>
  <c r="Z229" i="80"/>
  <c r="AX229" i="80"/>
  <c r="CR26" i="79"/>
  <c r="FN60" i="79"/>
  <c r="CT62" i="80"/>
  <c r="CL25" i="80"/>
  <c r="CL401" i="80" s="1"/>
  <c r="EF26" i="80"/>
  <c r="EP213" i="79"/>
  <c r="CD229" i="79"/>
  <c r="BV230" i="79"/>
  <c r="DP26" i="79"/>
  <c r="CJ26" i="80"/>
  <c r="AH103" i="80"/>
  <c r="CD155" i="79"/>
  <c r="CT155" i="79"/>
  <c r="BV206" i="80"/>
  <c r="BV207" i="80" s="1"/>
  <c r="EH62" i="80"/>
  <c r="BM215" i="79"/>
  <c r="DZ229" i="79"/>
  <c r="Z229" i="79"/>
  <c r="DB227" i="79"/>
  <c r="EU402" i="79"/>
  <c r="EU405" i="79" s="1"/>
  <c r="EU409" i="79" s="1"/>
  <c r="CI37" i="80"/>
  <c r="CI382" i="80" s="1"/>
  <c r="BV62" i="80"/>
  <c r="CZ419" i="79"/>
  <c r="CZ420" i="79" s="1"/>
  <c r="CZ421" i="79" s="1"/>
  <c r="CZ452" i="79" s="1"/>
  <c r="AG215" i="79"/>
  <c r="DQ215" i="79"/>
  <c r="BN227" i="79"/>
  <c r="CT229" i="79"/>
  <c r="CT229" i="80"/>
  <c r="CL230" i="80"/>
  <c r="DB229" i="80"/>
  <c r="DJ230" i="79"/>
  <c r="BF229" i="79"/>
  <c r="EP245" i="80"/>
  <c r="EH182" i="79"/>
  <c r="CL246" i="80"/>
  <c r="BF245" i="79"/>
  <c r="R245" i="79"/>
  <c r="DB245" i="79"/>
  <c r="FN241" i="79"/>
  <c r="CD253" i="79"/>
  <c r="CT241" i="79"/>
  <c r="EP245" i="79"/>
  <c r="CD241" i="79"/>
  <c r="EH241" i="79"/>
  <c r="DZ241" i="79"/>
  <c r="BN241" i="79"/>
  <c r="BV241" i="80"/>
  <c r="DB241" i="79"/>
  <c r="FF241" i="79"/>
  <c r="Z245" i="79"/>
  <c r="BN256" i="80"/>
  <c r="EH245" i="79"/>
  <c r="EX253" i="79"/>
  <c r="BV241" i="79"/>
  <c r="EH252" i="80"/>
  <c r="DR253" i="79"/>
  <c r="CL253" i="79"/>
  <c r="FN252" i="79"/>
  <c r="FF252" i="79"/>
  <c r="EX245" i="80"/>
  <c r="CD256" i="79"/>
  <c r="FN256" i="80"/>
  <c r="Z254" i="80"/>
  <c r="AP241" i="79"/>
  <c r="DB245" i="80"/>
  <c r="BF252" i="80"/>
  <c r="FN252" i="80"/>
  <c r="BF256" i="79"/>
  <c r="FF256" i="79"/>
  <c r="AH246" i="80"/>
  <c r="DJ245" i="80"/>
  <c r="EP252" i="79"/>
  <c r="DZ252" i="79"/>
  <c r="AH245" i="80"/>
  <c r="BV256" i="79"/>
  <c r="CT256" i="79"/>
  <c r="DB256" i="80"/>
  <c r="DZ246" i="80"/>
  <c r="CD246" i="80"/>
  <c r="EH252" i="79"/>
  <c r="CT252" i="79"/>
  <c r="BN256" i="79"/>
  <c r="AP256" i="79"/>
  <c r="FN256" i="79"/>
  <c r="BF252" i="79"/>
  <c r="AX252" i="79"/>
  <c r="CT245" i="79"/>
  <c r="BV245" i="80"/>
  <c r="DR256" i="79"/>
  <c r="Z256" i="79"/>
  <c r="EP256" i="79"/>
  <c r="EH245" i="80"/>
  <c r="AX246" i="80"/>
  <c r="DR246" i="80"/>
  <c r="BV245" i="79"/>
  <c r="AH252" i="79"/>
  <c r="BN252" i="79"/>
  <c r="EX252" i="79"/>
  <c r="AP252" i="80"/>
  <c r="FN245" i="80"/>
  <c r="AH256" i="79"/>
  <c r="DJ256" i="79"/>
  <c r="R256" i="79"/>
  <c r="DB246" i="80"/>
  <c r="EP246" i="80"/>
  <c r="Z252" i="79"/>
  <c r="AP252" i="79"/>
  <c r="R252" i="79"/>
  <c r="Z252" i="80"/>
  <c r="BF256" i="80"/>
  <c r="EX256" i="79"/>
  <c r="CL256" i="79"/>
  <c r="DB256" i="79"/>
  <c r="CD245" i="79"/>
  <c r="CT246" i="80"/>
  <c r="DJ252" i="79"/>
  <c r="BV252" i="79"/>
  <c r="DB252" i="79"/>
  <c r="BN246" i="80"/>
  <c r="CT245" i="80"/>
  <c r="EH256" i="79"/>
  <c r="DZ256" i="79"/>
  <c r="DJ256" i="80"/>
  <c r="R246" i="80"/>
  <c r="AP246" i="80"/>
  <c r="BF246" i="80"/>
  <c r="EX246" i="80"/>
  <c r="BF245" i="80"/>
  <c r="CL252" i="79"/>
  <c r="CD252" i="79"/>
  <c r="DR252" i="79"/>
  <c r="AX212" i="79"/>
  <c r="DI215" i="79"/>
  <c r="AP206" i="80"/>
  <c r="DJ212" i="79"/>
  <c r="AP212" i="79"/>
  <c r="EX227" i="79"/>
  <c r="AH230" i="80"/>
  <c r="CS196" i="80"/>
  <c r="FF192" i="79"/>
  <c r="DA202" i="80"/>
  <c r="CL121" i="80"/>
  <c r="BV91" i="80"/>
  <c r="CS143" i="80"/>
  <c r="CD212" i="79"/>
  <c r="CD188" i="79"/>
  <c r="DJ112" i="80"/>
  <c r="AX230" i="79"/>
  <c r="FN230" i="80"/>
  <c r="R230" i="80"/>
  <c r="CS202" i="80"/>
  <c r="DZ112" i="80"/>
  <c r="CZ404" i="79"/>
  <c r="CZ425" i="79" s="1"/>
  <c r="CZ430" i="79" s="1"/>
  <c r="BU207" i="80"/>
  <c r="EX212" i="79"/>
  <c r="DY215" i="79"/>
  <c r="EX213" i="80"/>
  <c r="EH229" i="79"/>
  <c r="EP227" i="79"/>
  <c r="AX227" i="79"/>
  <c r="AX230" i="80"/>
  <c r="Z230" i="80"/>
  <c r="AH230" i="79"/>
  <c r="R230" i="79"/>
  <c r="DR230" i="79"/>
  <c r="AP424" i="80"/>
  <c r="AU40" i="80"/>
  <c r="AU385" i="80" s="1"/>
  <c r="FF123" i="80"/>
  <c r="AH212" i="79"/>
  <c r="Q215" i="79"/>
  <c r="BF114" i="79"/>
  <c r="DJ213" i="79"/>
  <c r="DR213" i="79"/>
  <c r="CL232" i="79"/>
  <c r="FF227" i="79"/>
  <c r="R227" i="79"/>
  <c r="DZ230" i="80"/>
  <c r="DB230" i="80"/>
  <c r="BN229" i="79"/>
  <c r="CL230" i="79"/>
  <c r="AP230" i="79"/>
  <c r="DR229" i="80"/>
  <c r="EN143" i="79"/>
  <c r="BM202" i="80"/>
  <c r="DR230" i="80"/>
  <c r="FN230" i="79"/>
  <c r="Y196" i="80"/>
  <c r="BV155" i="79"/>
  <c r="AG202" i="79"/>
  <c r="CK202" i="79"/>
  <c r="CT212" i="79"/>
  <c r="FM215" i="79"/>
  <c r="FF213" i="79"/>
  <c r="CL229" i="79"/>
  <c r="AP227" i="79"/>
  <c r="R229" i="80"/>
  <c r="EX229" i="80"/>
  <c r="BN230" i="80"/>
  <c r="EH230" i="79"/>
  <c r="DZ229" i="80"/>
  <c r="FF230" i="79"/>
  <c r="CT230" i="79"/>
  <c r="BF229" i="80"/>
  <c r="AF26" i="80"/>
  <c r="DB25" i="80"/>
  <c r="DB401" i="80" s="1"/>
  <c r="DR103" i="80"/>
  <c r="FF230" i="80"/>
  <c r="DZ230" i="79"/>
  <c r="AP113" i="79"/>
  <c r="Z92" i="80"/>
  <c r="CD103" i="79"/>
  <c r="CC202" i="80"/>
  <c r="BV232" i="79"/>
  <c r="AP230" i="80"/>
  <c r="CT230" i="80"/>
  <c r="BF230" i="80"/>
  <c r="BN230" i="79"/>
  <c r="CD230" i="79"/>
  <c r="AH25" i="80"/>
  <c r="AH401" i="80" s="1"/>
  <c r="CA40" i="80"/>
  <c r="CA385" i="80" s="1"/>
  <c r="DQ143" i="80"/>
  <c r="DB188" i="79"/>
  <c r="R192" i="79"/>
  <c r="FN113" i="80"/>
  <c r="AH106" i="79"/>
  <c r="EG215" i="79"/>
  <c r="DJ227" i="79"/>
  <c r="DJ232" i="79"/>
  <c r="EH230" i="80"/>
  <c r="CD230" i="80"/>
  <c r="DZ227" i="80"/>
  <c r="EP230" i="79"/>
  <c r="EX230" i="79"/>
  <c r="BF230" i="79"/>
  <c r="CT227" i="80"/>
  <c r="AM402" i="80"/>
  <c r="AM405" i="80" s="1"/>
  <c r="AM409" i="80" s="1"/>
  <c r="DZ155" i="79"/>
  <c r="FF25" i="80"/>
  <c r="FF401" i="80" s="1"/>
  <c r="R155" i="79"/>
  <c r="CK215" i="80"/>
  <c r="CL132" i="79"/>
  <c r="DZ213" i="79"/>
  <c r="EH213" i="80"/>
  <c r="AP213" i="80"/>
  <c r="Z70" i="80"/>
  <c r="Z115" i="80"/>
  <c r="DX143" i="79"/>
  <c r="AP213" i="79"/>
  <c r="CD213" i="80"/>
  <c r="BN213" i="80"/>
  <c r="CR402" i="80"/>
  <c r="CD210" i="80"/>
  <c r="Y215" i="79"/>
  <c r="AX213" i="80"/>
  <c r="Z213" i="79"/>
  <c r="BN213" i="79"/>
  <c r="Z213" i="80"/>
  <c r="BV213" i="80"/>
  <c r="AX22" i="79"/>
  <c r="AX398" i="79" s="1"/>
  <c r="BF106" i="79"/>
  <c r="R91" i="80"/>
  <c r="EH214" i="80"/>
  <c r="EH213" i="79"/>
  <c r="EX213" i="79"/>
  <c r="R213" i="79"/>
  <c r="AH213" i="80"/>
  <c r="CT213" i="80"/>
  <c r="CL108" i="80"/>
  <c r="Z212" i="79"/>
  <c r="CD213" i="79"/>
  <c r="FF213" i="80"/>
  <c r="DR213" i="80"/>
  <c r="Z107" i="80"/>
  <c r="CD107" i="80"/>
  <c r="EH58" i="80"/>
  <c r="BV212" i="79"/>
  <c r="Z154" i="80"/>
  <c r="CL213" i="80"/>
  <c r="CT213" i="79"/>
  <c r="BF213" i="80"/>
  <c r="DB213" i="80"/>
  <c r="EX99" i="80"/>
  <c r="AW215" i="80"/>
  <c r="CT98" i="80"/>
  <c r="FN213" i="79"/>
  <c r="AH213" i="79"/>
  <c r="DZ213" i="80"/>
  <c r="DJ213" i="80"/>
  <c r="DP215" i="80"/>
  <c r="DR210" i="80"/>
  <c r="EX212" i="80"/>
  <c r="EW215" i="80"/>
  <c r="BD402" i="79"/>
  <c r="FD26" i="80"/>
  <c r="Q100" i="80"/>
  <c r="FL100" i="80"/>
  <c r="CC143" i="80"/>
  <c r="BN104" i="80"/>
  <c r="FN210" i="80"/>
  <c r="FL215" i="80"/>
  <c r="AH214" i="80"/>
  <c r="EP212" i="79"/>
  <c r="CZ215" i="79"/>
  <c r="DB210" i="79"/>
  <c r="BN210" i="79"/>
  <c r="BL215" i="79"/>
  <c r="EO215" i="80"/>
  <c r="EP212" i="80"/>
  <c r="FF212" i="80"/>
  <c r="FE215" i="80"/>
  <c r="AH212" i="80"/>
  <c r="AG215" i="80"/>
  <c r="CL212" i="79"/>
  <c r="BN212" i="79"/>
  <c r="EG100" i="80"/>
  <c r="AE402" i="80"/>
  <c r="AE405" i="80" s="1"/>
  <c r="AE409" i="80" s="1"/>
  <c r="DR25" i="80"/>
  <c r="DR401" i="80" s="1"/>
  <c r="BU202" i="80"/>
  <c r="CR215" i="80"/>
  <c r="CT210" i="80"/>
  <c r="P215" i="80"/>
  <c r="R210" i="80"/>
  <c r="AP210" i="79"/>
  <c r="AN215" i="79"/>
  <c r="FN212" i="79"/>
  <c r="CT210" i="79"/>
  <c r="CR215" i="79"/>
  <c r="CD210" i="79"/>
  <c r="CB215" i="79"/>
  <c r="EH210" i="79"/>
  <c r="EF215" i="79"/>
  <c r="DA215" i="80"/>
  <c r="DB212" i="80"/>
  <c r="CC215" i="80"/>
  <c r="CD212" i="80"/>
  <c r="BE215" i="80"/>
  <c r="AN215" i="80"/>
  <c r="AP210" i="80"/>
  <c r="R210" i="79"/>
  <c r="P215" i="79"/>
  <c r="FF210" i="79"/>
  <c r="FD215" i="79"/>
  <c r="BU215" i="80"/>
  <c r="BV212" i="80"/>
  <c r="DW47" i="79"/>
  <c r="DY47" i="79" s="1"/>
  <c r="DY392" i="79" s="1"/>
  <c r="FN23" i="79"/>
  <c r="FN399" i="79" s="1"/>
  <c r="DJ62" i="80"/>
  <c r="R25" i="80"/>
  <c r="R401" i="80" s="1"/>
  <c r="DP26" i="80"/>
  <c r="CJ215" i="80"/>
  <c r="CL210" i="80"/>
  <c r="BV210" i="80"/>
  <c r="BT215" i="80"/>
  <c r="FD215" i="80"/>
  <c r="FF210" i="80"/>
  <c r="EV215" i="79"/>
  <c r="EX210" i="79"/>
  <c r="AF215" i="79"/>
  <c r="AH210" i="79"/>
  <c r="AX210" i="79"/>
  <c r="AV215" i="79"/>
  <c r="AP212" i="80"/>
  <c r="AO215" i="80"/>
  <c r="Q215" i="80"/>
  <c r="R212" i="80"/>
  <c r="BM215" i="80"/>
  <c r="FM215" i="80"/>
  <c r="FN212" i="80"/>
  <c r="AP25" i="79"/>
  <c r="AP401" i="79" s="1"/>
  <c r="DW46" i="79"/>
  <c r="DW437" i="79" s="1"/>
  <c r="DW44" i="79"/>
  <c r="DW389" i="79" s="1"/>
  <c r="EX22" i="79"/>
  <c r="EX398" i="79" s="1"/>
  <c r="BN62" i="80"/>
  <c r="CR26" i="80"/>
  <c r="P26" i="80"/>
  <c r="FM196" i="79"/>
  <c r="CL155" i="79"/>
  <c r="AO202" i="80"/>
  <c r="EX210" i="80"/>
  <c r="EV215" i="80"/>
  <c r="Z210" i="80"/>
  <c r="X215" i="80"/>
  <c r="BN114" i="79"/>
  <c r="FN210" i="79"/>
  <c r="FL215" i="79"/>
  <c r="CL210" i="79"/>
  <c r="CJ215" i="79"/>
  <c r="EH212" i="80"/>
  <c r="EG215" i="80"/>
  <c r="AH147" i="80"/>
  <c r="DW48" i="79"/>
  <c r="DW393" i="79" s="1"/>
  <c r="BV25" i="79"/>
  <c r="BV401" i="79" s="1"/>
  <c r="CL103" i="80"/>
  <c r="DY143" i="80"/>
  <c r="CT25" i="80"/>
  <c r="CT401" i="80" s="1"/>
  <c r="AX129" i="80"/>
  <c r="BE196" i="79"/>
  <c r="BV106" i="79"/>
  <c r="AH210" i="80"/>
  <c r="AF215" i="80"/>
  <c r="CZ215" i="80"/>
  <c r="DB210" i="80"/>
  <c r="Z210" i="79"/>
  <c r="X215" i="79"/>
  <c r="BD215" i="79"/>
  <c r="BF210" i="79"/>
  <c r="CT212" i="80"/>
  <c r="CS215" i="80"/>
  <c r="DB25" i="79"/>
  <c r="DB401" i="79" s="1"/>
  <c r="BM196" i="79"/>
  <c r="EG202" i="80"/>
  <c r="DY202" i="79"/>
  <c r="DJ210" i="80"/>
  <c r="DH215" i="80"/>
  <c r="EH210" i="80"/>
  <c r="EF215" i="80"/>
  <c r="EH91" i="80"/>
  <c r="DX215" i="79"/>
  <c r="DZ210" i="79"/>
  <c r="DR210" i="79"/>
  <c r="DP215" i="79"/>
  <c r="AV215" i="80"/>
  <c r="AX210" i="80"/>
  <c r="DQ215" i="80"/>
  <c r="DR212" i="80"/>
  <c r="FF91" i="80"/>
  <c r="BF25" i="80"/>
  <c r="BF401" i="80" s="1"/>
  <c r="Y26" i="80"/>
  <c r="DW40" i="79"/>
  <c r="DW385" i="79" s="1"/>
  <c r="FC48" i="80"/>
  <c r="FC393" i="80" s="1"/>
  <c r="AH113" i="79"/>
  <c r="FN177" i="79"/>
  <c r="AV143" i="80"/>
  <c r="AX16" i="80"/>
  <c r="AX410" i="80" s="1"/>
  <c r="AX426" i="80" s="1"/>
  <c r="BK40" i="80"/>
  <c r="BK385" i="80" s="1"/>
  <c r="AH89" i="80"/>
  <c r="BN125" i="79"/>
  <c r="EP106" i="80"/>
  <c r="BF70" i="80"/>
  <c r="EX115" i="80"/>
  <c r="DJ210" i="79"/>
  <c r="DH215" i="79"/>
  <c r="BF210" i="80"/>
  <c r="BD215" i="80"/>
  <c r="DZ210" i="80"/>
  <c r="DX215" i="80"/>
  <c r="EP210" i="79"/>
  <c r="EN215" i="79"/>
  <c r="BT215" i="79"/>
  <c r="BV210" i="79"/>
  <c r="FF214" i="80"/>
  <c r="Y215" i="80"/>
  <c r="Z212" i="80"/>
  <c r="DY215" i="80"/>
  <c r="DZ212" i="80"/>
  <c r="DO420" i="79"/>
  <c r="DB89" i="79"/>
  <c r="BE207" i="80"/>
  <c r="BF206" i="80"/>
  <c r="BF207" i="80" s="1"/>
  <c r="AG207" i="80"/>
  <c r="AH206" i="80"/>
  <c r="AH207" i="80" s="1"/>
  <c r="DA207" i="79"/>
  <c r="DB206" i="79"/>
  <c r="CT206" i="79"/>
  <c r="CT207" i="79" s="1"/>
  <c r="CS207" i="79"/>
  <c r="CK202" i="80"/>
  <c r="CT70" i="80"/>
  <c r="EX206" i="80"/>
  <c r="EX207" i="80" s="1"/>
  <c r="EW207" i="80"/>
  <c r="AO207" i="79"/>
  <c r="AP206" i="79"/>
  <c r="AP207" i="79" s="1"/>
  <c r="CD206" i="79"/>
  <c r="CD207" i="79" s="1"/>
  <c r="CC207" i="79"/>
  <c r="AO207" i="80"/>
  <c r="BK44" i="80"/>
  <c r="BK389" i="80" s="1"/>
  <c r="EN26" i="79"/>
  <c r="AH92" i="79"/>
  <c r="BL143" i="80"/>
  <c r="Z155" i="80"/>
  <c r="DJ91" i="80"/>
  <c r="CC207" i="80"/>
  <c r="CD206" i="80"/>
  <c r="CD207" i="80" s="1"/>
  <c r="EP206" i="80"/>
  <c r="EP207" i="80" s="1"/>
  <c r="EO207" i="80"/>
  <c r="FN206" i="79"/>
  <c r="FM207" i="79"/>
  <c r="AX206" i="79"/>
  <c r="AX207" i="79" s="1"/>
  <c r="AW207" i="79"/>
  <c r="AN207" i="80"/>
  <c r="AP205" i="80"/>
  <c r="BM143" i="80"/>
  <c r="EX188" i="79"/>
  <c r="CD106" i="79"/>
  <c r="CL91" i="80"/>
  <c r="R206" i="79"/>
  <c r="Q207" i="79"/>
  <c r="CK207" i="80"/>
  <c r="CL206" i="80"/>
  <c r="CL207" i="80" s="1"/>
  <c r="EX206" i="79"/>
  <c r="EX207" i="79" s="1"/>
  <c r="EW207" i="79"/>
  <c r="BF206" i="79"/>
  <c r="BE207" i="79"/>
  <c r="FN104" i="80"/>
  <c r="BS420" i="80"/>
  <c r="DZ206" i="80"/>
  <c r="DZ207" i="80" s="1"/>
  <c r="DY207" i="80"/>
  <c r="DI207" i="80"/>
  <c r="DJ206" i="80"/>
  <c r="DJ207" i="80" s="1"/>
  <c r="EG207" i="80"/>
  <c r="EH206" i="80"/>
  <c r="BU207" i="79"/>
  <c r="BV206" i="79"/>
  <c r="BV207" i="79" s="1"/>
  <c r="FF206" i="79"/>
  <c r="FF207" i="79" s="1"/>
  <c r="FE207" i="79"/>
  <c r="Q207" i="80"/>
  <c r="G389" i="85"/>
  <c r="AF398" i="79"/>
  <c r="Z113" i="79"/>
  <c r="EF143" i="80"/>
  <c r="FL143" i="79"/>
  <c r="AX106" i="79"/>
  <c r="BM207" i="80"/>
  <c r="BN206" i="80"/>
  <c r="BN207" i="80" s="1"/>
  <c r="FN206" i="80"/>
  <c r="FN207" i="80" s="1"/>
  <c r="FM207" i="80"/>
  <c r="Z206" i="79"/>
  <c r="Z207" i="79" s="1"/>
  <c r="Y207" i="79"/>
  <c r="DJ206" i="79"/>
  <c r="DJ207" i="79" s="1"/>
  <c r="DI207" i="79"/>
  <c r="AW196" i="79"/>
  <c r="AH139" i="80"/>
  <c r="AH143" i="80" s="1"/>
  <c r="BS402" i="80"/>
  <c r="BS405" i="80" s="1"/>
  <c r="BS409" i="80" s="1"/>
  <c r="BS37" i="80"/>
  <c r="BS382" i="80" s="1"/>
  <c r="DB106" i="79"/>
  <c r="DQ207" i="80"/>
  <c r="DR206" i="80"/>
  <c r="DR207" i="80" s="1"/>
  <c r="EO207" i="79"/>
  <c r="EP206" i="79"/>
  <c r="DZ206" i="79"/>
  <c r="DY207" i="79"/>
  <c r="DR206" i="79"/>
  <c r="DQ207" i="79"/>
  <c r="FF16" i="79"/>
  <c r="FF410" i="79" s="1"/>
  <c r="FF426" i="79" s="1"/>
  <c r="BF16" i="79"/>
  <c r="BF410" i="79" s="1"/>
  <c r="BF426" i="79" s="1"/>
  <c r="CT113" i="80"/>
  <c r="BM207" i="79"/>
  <c r="BN206" i="79"/>
  <c r="AX206" i="80"/>
  <c r="AX207" i="80" s="1"/>
  <c r="AW207" i="80"/>
  <c r="CL206" i="79"/>
  <c r="CL207" i="79" s="1"/>
  <c r="CK207" i="79"/>
  <c r="CT206" i="80"/>
  <c r="CT207" i="80" s="1"/>
  <c r="CS207" i="80"/>
  <c r="AG207" i="79"/>
  <c r="AH206" i="79"/>
  <c r="EH206" i="79"/>
  <c r="EH207" i="79" s="1"/>
  <c r="EG207" i="79"/>
  <c r="FE207" i="80"/>
  <c r="BS41" i="80"/>
  <c r="BS386" i="80" s="1"/>
  <c r="DG39" i="80"/>
  <c r="DG384" i="80" s="1"/>
  <c r="DG435" i="80" s="1"/>
  <c r="DA100" i="80"/>
  <c r="Z103" i="80"/>
  <c r="BS38" i="80"/>
  <c r="BS383" i="80" s="1"/>
  <c r="BS434" i="80" s="1"/>
  <c r="CD181" i="79"/>
  <c r="DB189" i="79"/>
  <c r="DR107" i="80"/>
  <c r="DR192" i="79"/>
  <c r="CT91" i="80"/>
  <c r="FL26" i="79"/>
  <c r="BS45" i="80"/>
  <c r="BS390" i="80" s="1"/>
  <c r="BS436" i="80" s="1"/>
  <c r="R62" i="80"/>
  <c r="BS44" i="80"/>
  <c r="BS389" i="80" s="1"/>
  <c r="EM37" i="80"/>
  <c r="EM382" i="80" s="1"/>
  <c r="DB58" i="80"/>
  <c r="DY202" i="80"/>
  <c r="FN22" i="79"/>
  <c r="FN398" i="79" s="1"/>
  <c r="CQ405" i="80"/>
  <c r="CQ409" i="80" s="1"/>
  <c r="BS39" i="80"/>
  <c r="BS384" i="80" s="1"/>
  <c r="BS435" i="80" s="1"/>
  <c r="AX91" i="79"/>
  <c r="DZ142" i="79"/>
  <c r="FF60" i="79"/>
  <c r="EW196" i="80"/>
  <c r="BS48" i="80"/>
  <c r="BS393" i="80" s="1"/>
  <c r="BS46" i="80"/>
  <c r="BS391" i="80" s="1"/>
  <c r="BS437" i="80" s="1"/>
  <c r="FF103" i="80"/>
  <c r="FN113" i="79"/>
  <c r="EV143" i="80"/>
  <c r="CZ143" i="79"/>
  <c r="AG202" i="80"/>
  <c r="EP91" i="80"/>
  <c r="DZ91" i="80"/>
  <c r="DR418" i="80"/>
  <c r="Q31" i="82"/>
  <c r="O39" i="80"/>
  <c r="O384" i="80" s="1"/>
  <c r="O435" i="80" s="1"/>
  <c r="DR62" i="80"/>
  <c r="EX92" i="79"/>
  <c r="CK143" i="79"/>
  <c r="EP189" i="79"/>
  <c r="DJ25" i="79"/>
  <c r="DJ401" i="79" s="1"/>
  <c r="EW202" i="80"/>
  <c r="Z120" i="79"/>
  <c r="FN120" i="79"/>
  <c r="EP106" i="79"/>
  <c r="Q72" i="82"/>
  <c r="BS47" i="80"/>
  <c r="BS392" i="80" s="1"/>
  <c r="FM196" i="80"/>
  <c r="FN129" i="79"/>
  <c r="DR187" i="80"/>
  <c r="AP189" i="79"/>
  <c r="FN187" i="80"/>
  <c r="AH106" i="80"/>
  <c r="DQ202" i="80"/>
  <c r="AX70" i="80"/>
  <c r="EV202" i="79"/>
  <c r="EX199" i="79"/>
  <c r="EX202" i="79" s="1"/>
  <c r="Y202" i="79"/>
  <c r="DH202" i="79"/>
  <c r="DJ199" i="79"/>
  <c r="DJ202" i="79" s="1"/>
  <c r="CD199" i="79"/>
  <c r="CB202" i="79"/>
  <c r="CR404" i="79"/>
  <c r="CR425" i="79" s="1"/>
  <c r="CR430" i="79" s="1"/>
  <c r="CR419" i="79"/>
  <c r="CR420" i="79" s="1"/>
  <c r="CR421" i="79" s="1"/>
  <c r="CR452" i="79" s="1"/>
  <c r="BD202" i="80"/>
  <c r="BF199" i="80"/>
  <c r="BF202" i="80" s="1"/>
  <c r="FF199" i="80"/>
  <c r="FF202" i="80" s="1"/>
  <c r="FD202" i="80"/>
  <c r="DQ26" i="79"/>
  <c r="FK39" i="80"/>
  <c r="FK384" i="80" s="1"/>
  <c r="FK435" i="80" s="1"/>
  <c r="AP130" i="79"/>
  <c r="Q143" i="80"/>
  <c r="CY48" i="80"/>
  <c r="CY393" i="80" s="1"/>
  <c r="Z199" i="79"/>
  <c r="Z202" i="79" s="1"/>
  <c r="X202" i="79"/>
  <c r="CZ202" i="79"/>
  <c r="DB199" i="79"/>
  <c r="AF202" i="80"/>
  <c r="AH199" i="80"/>
  <c r="AH202" i="80" s="1"/>
  <c r="BT202" i="80"/>
  <c r="BV199" i="80"/>
  <c r="BV202" i="80" s="1"/>
  <c r="H405" i="80"/>
  <c r="H409" i="80" s="1"/>
  <c r="CL130" i="80"/>
  <c r="BN142" i="80"/>
  <c r="BF187" i="80"/>
  <c r="AX58" i="80"/>
  <c r="EG202" i="79"/>
  <c r="BM202" i="79"/>
  <c r="CJ202" i="79"/>
  <c r="CL199" i="79"/>
  <c r="CL202" i="79" s="1"/>
  <c r="EN202" i="79"/>
  <c r="EP199" i="79"/>
  <c r="EP202" i="79" s="1"/>
  <c r="BN199" i="80"/>
  <c r="BN202" i="80" s="1"/>
  <c r="BL202" i="80"/>
  <c r="CD199" i="80"/>
  <c r="CD202" i="80" s="1"/>
  <c r="CB202" i="80"/>
  <c r="BU143" i="80"/>
  <c r="EO196" i="80"/>
  <c r="CS196" i="79"/>
  <c r="DR188" i="79"/>
  <c r="AX192" i="79"/>
  <c r="AW202" i="79"/>
  <c r="DI202" i="79"/>
  <c r="DP202" i="79"/>
  <c r="DR199" i="79"/>
  <c r="DR202" i="79" s="1"/>
  <c r="EF202" i="79"/>
  <c r="EH199" i="79"/>
  <c r="EH202" i="79" s="1"/>
  <c r="DZ199" i="79"/>
  <c r="DX202" i="79"/>
  <c r="DJ199" i="80"/>
  <c r="DJ202" i="80" s="1"/>
  <c r="DH202" i="80"/>
  <c r="EH199" i="80"/>
  <c r="EH202" i="80" s="1"/>
  <c r="EF202" i="80"/>
  <c r="CR202" i="80"/>
  <c r="CT199" i="80"/>
  <c r="CT202" i="80" s="1"/>
  <c r="DI202" i="80"/>
  <c r="W402" i="79"/>
  <c r="W405" i="79" s="1"/>
  <c r="W409" i="79" s="1"/>
  <c r="DW405" i="79"/>
  <c r="DW409" i="79" s="1"/>
  <c r="EP22" i="79"/>
  <c r="EP398" i="79" s="1"/>
  <c r="EP402" i="79" s="1"/>
  <c r="BS40" i="80"/>
  <c r="BS385" i="80" s="1"/>
  <c r="CJ143" i="79"/>
  <c r="CC196" i="79"/>
  <c r="BE196" i="80"/>
  <c r="CD109" i="80"/>
  <c r="CL106" i="80"/>
  <c r="BV142" i="80"/>
  <c r="FM202" i="80"/>
  <c r="Q202" i="79"/>
  <c r="DQ202" i="79"/>
  <c r="BT202" i="79"/>
  <c r="BV199" i="79"/>
  <c r="BV202" i="79" s="1"/>
  <c r="AX199" i="79"/>
  <c r="AV202" i="79"/>
  <c r="EN202" i="80"/>
  <c r="EP199" i="80"/>
  <c r="EP202" i="80" s="1"/>
  <c r="CZ202" i="80"/>
  <c r="DB199" i="80"/>
  <c r="DB202" i="80" s="1"/>
  <c r="FL196" i="80"/>
  <c r="EP142" i="79"/>
  <c r="AP112" i="80"/>
  <c r="BF91" i="79"/>
  <c r="Y202" i="80"/>
  <c r="EO202" i="79"/>
  <c r="AH199" i="79"/>
  <c r="AH202" i="79" s="1"/>
  <c r="AF202" i="79"/>
  <c r="R199" i="79"/>
  <c r="P202" i="79"/>
  <c r="CL199" i="80"/>
  <c r="CL202" i="80" s="1"/>
  <c r="CJ202" i="80"/>
  <c r="AP199" i="80"/>
  <c r="AP202" i="80" s="1"/>
  <c r="AN202" i="80"/>
  <c r="DZ199" i="80"/>
  <c r="DZ202" i="80" s="1"/>
  <c r="DX202" i="80"/>
  <c r="EW202" i="79"/>
  <c r="Q202" i="80"/>
  <c r="DX401" i="79"/>
  <c r="DZ25" i="79"/>
  <c r="DZ401" i="79" s="1"/>
  <c r="EN402" i="79"/>
  <c r="EM39" i="80"/>
  <c r="EM384" i="80" s="1"/>
  <c r="EM435" i="80" s="1"/>
  <c r="AN34" i="79"/>
  <c r="EG196" i="79"/>
  <c r="FM202" i="79"/>
  <c r="CC202" i="79"/>
  <c r="DA202" i="79"/>
  <c r="FL202" i="79"/>
  <c r="FN199" i="79"/>
  <c r="FN202" i="79" s="1"/>
  <c r="BF199" i="79"/>
  <c r="BF202" i="79" s="1"/>
  <c r="BD202" i="79"/>
  <c r="DP202" i="80"/>
  <c r="DR199" i="80"/>
  <c r="DR202" i="80" s="1"/>
  <c r="Z199" i="80"/>
  <c r="Z202" i="80" s="1"/>
  <c r="X202" i="80"/>
  <c r="EV202" i="80"/>
  <c r="EX199" i="80"/>
  <c r="EX202" i="80" s="1"/>
  <c r="CR202" i="79"/>
  <c r="CT199" i="79"/>
  <c r="CT202" i="79" s="1"/>
  <c r="EM40" i="80"/>
  <c r="EM385" i="80" s="1"/>
  <c r="DY196" i="80"/>
  <c r="AX108" i="80"/>
  <c r="CT125" i="79"/>
  <c r="CT142" i="80"/>
  <c r="AO202" i="79"/>
  <c r="BU202" i="79"/>
  <c r="AN202" i="79"/>
  <c r="AP199" i="79"/>
  <c r="BN199" i="79"/>
  <c r="BL202" i="79"/>
  <c r="FL202" i="80"/>
  <c r="FN199" i="80"/>
  <c r="FN202" i="80" s="1"/>
  <c r="AX199" i="80"/>
  <c r="AX202" i="80" s="1"/>
  <c r="AV202" i="80"/>
  <c r="R199" i="80"/>
  <c r="R202" i="80" s="1"/>
  <c r="FE202" i="79"/>
  <c r="FN181" i="80"/>
  <c r="DB142" i="80"/>
  <c r="R70" i="80"/>
  <c r="FF142" i="80"/>
  <c r="AP192" i="79"/>
  <c r="DR58" i="80"/>
  <c r="Z91" i="79"/>
  <c r="DP402" i="79"/>
  <c r="BC402" i="79"/>
  <c r="BC405" i="79" s="1"/>
  <c r="BC409" i="79" s="1"/>
  <c r="CY38" i="80"/>
  <c r="CY383" i="80" s="1"/>
  <c r="CY434" i="80" s="1"/>
  <c r="EH22" i="79"/>
  <c r="EH398" i="79" s="1"/>
  <c r="EX120" i="79"/>
  <c r="AF26" i="79"/>
  <c r="AH155" i="79"/>
  <c r="AH23" i="80"/>
  <c r="AH399" i="80" s="1"/>
  <c r="CL114" i="80"/>
  <c r="DJ188" i="79"/>
  <c r="FF58" i="80"/>
  <c r="FF142" i="79"/>
  <c r="CY39" i="80"/>
  <c r="CY384" i="80" s="1"/>
  <c r="CY435" i="80" s="1"/>
  <c r="R125" i="79"/>
  <c r="DR189" i="80"/>
  <c r="AH188" i="79"/>
  <c r="DZ189" i="80"/>
  <c r="EH192" i="79"/>
  <c r="FN192" i="79"/>
  <c r="CT192" i="79"/>
  <c r="CI40" i="80"/>
  <c r="CI385" i="80" s="1"/>
  <c r="CY37" i="80"/>
  <c r="CY382" i="80" s="1"/>
  <c r="CL92" i="79"/>
  <c r="EH142" i="79"/>
  <c r="CT130" i="80"/>
  <c r="FF188" i="79"/>
  <c r="BN129" i="79"/>
  <c r="EP124" i="80"/>
  <c r="BN142" i="79"/>
  <c r="DJ192" i="79"/>
  <c r="BN192" i="79"/>
  <c r="CC402" i="79"/>
  <c r="EW418" i="80"/>
  <c r="CI39" i="80"/>
  <c r="CI384" i="80" s="1"/>
  <c r="CI435" i="80" s="1"/>
  <c r="CY44" i="80"/>
  <c r="CY389" i="80" s="1"/>
  <c r="CY425" i="80"/>
  <c r="DG43" i="80"/>
  <c r="DG388" i="80" s="1"/>
  <c r="AU48" i="80"/>
  <c r="AU393" i="80" s="1"/>
  <c r="DW48" i="80"/>
  <c r="DW393" i="80" s="1"/>
  <c r="DA196" i="80"/>
  <c r="CI48" i="80"/>
  <c r="CI393" i="80" s="1"/>
  <c r="BN107" i="79"/>
  <c r="FM143" i="80"/>
  <c r="AP189" i="80"/>
  <c r="DB189" i="80"/>
  <c r="DZ58" i="80"/>
  <c r="CT142" i="79"/>
  <c r="BF109" i="79"/>
  <c r="AU37" i="80"/>
  <c r="AU382" i="80" s="1"/>
  <c r="FE196" i="79"/>
  <c r="FN64" i="80"/>
  <c r="AX189" i="80"/>
  <c r="Z129" i="79"/>
  <c r="BV188" i="79"/>
  <c r="CL192" i="79"/>
  <c r="BF107" i="80"/>
  <c r="FF107" i="80"/>
  <c r="AO196" i="79"/>
  <c r="BF68" i="79"/>
  <c r="CL187" i="80"/>
  <c r="EX187" i="80"/>
  <c r="BN187" i="80"/>
  <c r="FN188" i="79"/>
  <c r="Z142" i="80"/>
  <c r="FF187" i="80"/>
  <c r="DZ187" i="80"/>
  <c r="CL129" i="79"/>
  <c r="DJ187" i="80"/>
  <c r="S69" i="186"/>
  <c r="FC41" i="79"/>
  <c r="FC386" i="79" s="1"/>
  <c r="AU39" i="80"/>
  <c r="AU384" i="80" s="1"/>
  <c r="AU435" i="80" s="1"/>
  <c r="BK39" i="80"/>
  <c r="BK384" i="80" s="1"/>
  <c r="BK435" i="80" s="1"/>
  <c r="AO143" i="80"/>
  <c r="FK402" i="80"/>
  <c r="FK405" i="80" s="1"/>
  <c r="FK409" i="80" s="1"/>
  <c r="AW196" i="80"/>
  <c r="CL68" i="79"/>
  <c r="H421" i="79"/>
  <c r="H452" i="79" s="1"/>
  <c r="AH189" i="79"/>
  <c r="DZ189" i="79"/>
  <c r="AP188" i="79"/>
  <c r="R142" i="79"/>
  <c r="AP58" i="80"/>
  <c r="AH142" i="79"/>
  <c r="R58" i="80"/>
  <c r="CY402" i="79"/>
  <c r="CY405" i="79" s="1"/>
  <c r="CY409" i="79" s="1"/>
  <c r="EP188" i="79"/>
  <c r="AH192" i="79"/>
  <c r="BC37" i="80"/>
  <c r="BC382" i="80" s="1"/>
  <c r="N210" i="187"/>
  <c r="DO40" i="80"/>
  <c r="DO385" i="80" s="1"/>
  <c r="CA402" i="80"/>
  <c r="CA405" i="80" s="1"/>
  <c r="CA409" i="80" s="1"/>
  <c r="AX71" i="80"/>
  <c r="FN109" i="80"/>
  <c r="EX64" i="80"/>
  <c r="CT106" i="80"/>
  <c r="R91" i="79"/>
  <c r="EX192" i="79"/>
  <c r="R107" i="80"/>
  <c r="AP91" i="79"/>
  <c r="AX142" i="79"/>
  <c r="AU44" i="80"/>
  <c r="AU389" i="80" s="1"/>
  <c r="DG402" i="79"/>
  <c r="DG405" i="79" s="1"/>
  <c r="DG409" i="79" s="1"/>
  <c r="FC47" i="80"/>
  <c r="FC392" i="80" s="1"/>
  <c r="BN103" i="80"/>
  <c r="CC143" i="79"/>
  <c r="BM143" i="79"/>
  <c r="BT143" i="80"/>
  <c r="EW196" i="79"/>
  <c r="Y143" i="79"/>
  <c r="R141" i="79"/>
  <c r="DJ64" i="80"/>
  <c r="FN141" i="79"/>
  <c r="EX125" i="79"/>
  <c r="BN188" i="79"/>
  <c r="CT189" i="79"/>
  <c r="AH129" i="79"/>
  <c r="FF189" i="79"/>
  <c r="AX107" i="80"/>
  <c r="DZ192" i="79"/>
  <c r="Z192" i="79"/>
  <c r="DB192" i="79"/>
  <c r="FN91" i="79"/>
  <c r="FN142" i="79"/>
  <c r="AH107" i="80"/>
  <c r="CA37" i="80"/>
  <c r="CA382" i="80" s="1"/>
  <c r="BK48" i="80"/>
  <c r="BK393" i="80" s="1"/>
  <c r="DG38" i="80"/>
  <c r="DG383" i="80" s="1"/>
  <c r="DG434" i="80" s="1"/>
  <c r="FE100" i="80"/>
  <c r="CD189" i="79"/>
  <c r="DZ124" i="80"/>
  <c r="AX189" i="79"/>
  <c r="BF189" i="80"/>
  <c r="DR189" i="79"/>
  <c r="DR142" i="80"/>
  <c r="FF189" i="80"/>
  <c r="CI237" i="79"/>
  <c r="CI84" i="79"/>
  <c r="EX189" i="80"/>
  <c r="EX124" i="80"/>
  <c r="DQ196" i="79"/>
  <c r="AH124" i="80"/>
  <c r="EW100" i="80"/>
  <c r="FN98" i="80"/>
  <c r="AP130" i="80"/>
  <c r="DZ64" i="80"/>
  <c r="AX188" i="79"/>
  <c r="Z189" i="79"/>
  <c r="Z188" i="79"/>
  <c r="EX106" i="80"/>
  <c r="BU196" i="79"/>
  <c r="EH130" i="80"/>
  <c r="BV141" i="80"/>
  <c r="Z109" i="80"/>
  <c r="EX130" i="80"/>
  <c r="CD187" i="80"/>
  <c r="CL189" i="79"/>
  <c r="CD142" i="80"/>
  <c r="EH188" i="79"/>
  <c r="AX187" i="80"/>
  <c r="DJ189" i="80"/>
  <c r="AP106" i="80"/>
  <c r="BS84" i="79"/>
  <c r="BS237" i="79"/>
  <c r="DG44" i="80"/>
  <c r="DG389" i="80" s="1"/>
  <c r="FK48" i="80"/>
  <c r="FK393" i="80" s="1"/>
  <c r="DG40" i="80"/>
  <c r="DG385" i="80" s="1"/>
  <c r="AU38" i="80"/>
  <c r="AU383" i="80" s="1"/>
  <c r="AU434" i="80" s="1"/>
  <c r="AG196" i="79"/>
  <c r="CB26" i="79"/>
  <c r="BN109" i="80"/>
  <c r="CT129" i="79"/>
  <c r="EH184" i="80"/>
  <c r="CL189" i="80"/>
  <c r="EX189" i="79"/>
  <c r="EP189" i="80"/>
  <c r="Z189" i="80"/>
  <c r="DZ129" i="79"/>
  <c r="EH124" i="80"/>
  <c r="CT187" i="80"/>
  <c r="CT188" i="79"/>
  <c r="EH189" i="79"/>
  <c r="FF125" i="79"/>
  <c r="EP125" i="79"/>
  <c r="CD189" i="80"/>
  <c r="DZ64" i="79"/>
  <c r="BN181" i="79"/>
  <c r="BV64" i="80"/>
  <c r="FF109" i="80"/>
  <c r="Z64" i="80"/>
  <c r="DJ129" i="79"/>
  <c r="AP125" i="79"/>
  <c r="FN142" i="80"/>
  <c r="CL70" i="80"/>
  <c r="BF188" i="79"/>
  <c r="BN189" i="80"/>
  <c r="DZ188" i="79"/>
  <c r="CL142" i="80"/>
  <c r="FN189" i="79"/>
  <c r="BV189" i="79"/>
  <c r="AX115" i="80"/>
  <c r="DI196" i="79"/>
  <c r="EH64" i="80"/>
  <c r="AX109" i="80"/>
  <c r="DB129" i="79"/>
  <c r="EH16" i="80"/>
  <c r="EH410" i="80" s="1"/>
  <c r="EF410" i="80"/>
  <c r="AX89" i="79"/>
  <c r="AV196" i="79"/>
  <c r="CB196" i="80"/>
  <c r="I403" i="79"/>
  <c r="I424" i="79" s="1"/>
  <c r="AN196" i="80"/>
  <c r="DB22" i="79"/>
  <c r="DB398" i="79" s="1"/>
  <c r="BS402" i="79"/>
  <c r="BS405" i="79" s="1"/>
  <c r="BS409" i="79" s="1"/>
  <c r="FC37" i="80"/>
  <c r="FC382" i="80" s="1"/>
  <c r="EM48" i="80"/>
  <c r="EM393" i="80" s="1"/>
  <c r="BK38" i="80"/>
  <c r="BK383" i="80" s="1"/>
  <c r="BK434" i="80" s="1"/>
  <c r="AP33" i="79"/>
  <c r="AP34" i="79" s="1"/>
  <c r="DI100" i="80"/>
  <c r="AP22" i="79"/>
  <c r="AP398" i="79" s="1"/>
  <c r="BN151" i="80"/>
  <c r="CC196" i="80"/>
  <c r="FN181" i="79"/>
  <c r="BV23" i="80"/>
  <c r="BV399" i="80" s="1"/>
  <c r="AH91" i="80"/>
  <c r="BN64" i="80"/>
  <c r="BN25" i="80"/>
  <c r="BN401" i="80" s="1"/>
  <c r="DJ151" i="80"/>
  <c r="DJ418" i="80"/>
  <c r="J421" i="80"/>
  <c r="J452" i="80" s="1"/>
  <c r="AP16" i="79"/>
  <c r="AP410" i="79" s="1"/>
  <c r="AM426" i="79" s="1"/>
  <c r="R33" i="82"/>
  <c r="DO44" i="80"/>
  <c r="DO389" i="80" s="1"/>
  <c r="FC38" i="80"/>
  <c r="FC383" i="80" s="1"/>
  <c r="FC434" i="80" s="1"/>
  <c r="EM38" i="80"/>
  <c r="EM383" i="80" s="1"/>
  <c r="EM434" i="80" s="1"/>
  <c r="EE38" i="80"/>
  <c r="EE383" i="80" s="1"/>
  <c r="EE434" i="80" s="1"/>
  <c r="AW404" i="79"/>
  <c r="AW425" i="79" s="1"/>
  <c r="AF100" i="80"/>
  <c r="EO100" i="80"/>
  <c r="FL143" i="80"/>
  <c r="DR89" i="79"/>
  <c r="EP71" i="79"/>
  <c r="EX71" i="79"/>
  <c r="R67" i="79"/>
  <c r="BV130" i="80"/>
  <c r="AX130" i="80"/>
  <c r="BF64" i="80"/>
  <c r="P143" i="79"/>
  <c r="DR109" i="80"/>
  <c r="CL141" i="79"/>
  <c r="EX109" i="80"/>
  <c r="BD410" i="80"/>
  <c r="BF16" i="80"/>
  <c r="BF410" i="80" s="1"/>
  <c r="AX419" i="79"/>
  <c r="FC39" i="80"/>
  <c r="FC384" i="80" s="1"/>
  <c r="FC435" i="80" s="1"/>
  <c r="CA38" i="80"/>
  <c r="CA383" i="80" s="1"/>
  <c r="CA434" i="80" s="1"/>
  <c r="AN404" i="79"/>
  <c r="AN425" i="79" s="1"/>
  <c r="AN430" i="79" s="1"/>
  <c r="BL26" i="80"/>
  <c r="EN100" i="80"/>
  <c r="BN123" i="80"/>
  <c r="BF141" i="79"/>
  <c r="EO196" i="79"/>
  <c r="AW34" i="79"/>
  <c r="AW419" i="79"/>
  <c r="FN16" i="80"/>
  <c r="FN410" i="80" s="1"/>
  <c r="CT112" i="80"/>
  <c r="DZ151" i="80"/>
  <c r="DB67" i="80"/>
  <c r="EP180" i="79"/>
  <c r="DA196" i="79"/>
  <c r="CD181" i="80"/>
  <c r="CT64" i="80"/>
  <c r="AP64" i="80"/>
  <c r="R109" i="80"/>
  <c r="CD64" i="80"/>
  <c r="CT109" i="80"/>
  <c r="DZ16" i="79"/>
  <c r="DZ410" i="79" s="1"/>
  <c r="DZ426" i="79" s="1"/>
  <c r="AX418" i="80"/>
  <c r="I421" i="80"/>
  <c r="I452" i="80" s="1"/>
  <c r="R418" i="80"/>
  <c r="P26" i="79"/>
  <c r="CI38" i="80"/>
  <c r="CI383" i="80" s="1"/>
  <c r="CI434" i="80" s="1"/>
  <c r="FC40" i="80"/>
  <c r="FC385" i="80" s="1"/>
  <c r="BK37" i="80"/>
  <c r="BK382" i="80" s="1"/>
  <c r="FK37" i="80"/>
  <c r="FK382" i="80" s="1"/>
  <c r="CD23" i="79"/>
  <c r="CD399" i="79" s="1"/>
  <c r="CL87" i="79"/>
  <c r="FM100" i="80"/>
  <c r="Q143" i="79"/>
  <c r="DH143" i="80"/>
  <c r="DR67" i="80"/>
  <c r="DJ99" i="79"/>
  <c r="FF64" i="80"/>
  <c r="AH64" i="80"/>
  <c r="EP109" i="80"/>
  <c r="R64" i="80"/>
  <c r="DB109" i="80"/>
  <c r="AX64" i="80"/>
  <c r="FC420" i="79"/>
  <c r="FC44" i="80"/>
  <c r="FC389" i="80" s="1"/>
  <c r="CY47" i="80"/>
  <c r="CY392" i="80" s="1"/>
  <c r="J421" i="79"/>
  <c r="J452" i="79" s="1"/>
  <c r="Y26" i="79"/>
  <c r="CB399" i="79"/>
  <c r="CB402" i="79" s="1"/>
  <c r="W38" i="80"/>
  <c r="W383" i="80" s="1"/>
  <c r="W434" i="80" s="1"/>
  <c r="DW405" i="80"/>
  <c r="DW409" i="80" s="1"/>
  <c r="CQ40" i="80"/>
  <c r="CQ385" i="80" s="1"/>
  <c r="CT60" i="79"/>
  <c r="CL125" i="80"/>
  <c r="CL176" i="80"/>
  <c r="BV109" i="80"/>
  <c r="AO410" i="80"/>
  <c r="AP16" i="80"/>
  <c r="AP410" i="80" s="1"/>
  <c r="AP426" i="80" s="1"/>
  <c r="CL16" i="80"/>
  <c r="CL410" i="80" s="1"/>
  <c r="EP182" i="80"/>
  <c r="CD109" i="79"/>
  <c r="DR64" i="80"/>
  <c r="Z64" i="79"/>
  <c r="EX109" i="79"/>
  <c r="CD180" i="79"/>
  <c r="CT67" i="79"/>
  <c r="R64" i="79"/>
  <c r="DZ91" i="79"/>
  <c r="FF180" i="79"/>
  <c r="EX181" i="79"/>
  <c r="R181" i="79"/>
  <c r="R67" i="80"/>
  <c r="BV67" i="80"/>
  <c r="CD182" i="80"/>
  <c r="DJ180" i="79"/>
  <c r="DQ196" i="80"/>
  <c r="Z181" i="80"/>
  <c r="DR130" i="80"/>
  <c r="DP399" i="80"/>
  <c r="DP402" i="80" s="1"/>
  <c r="DR23" i="80"/>
  <c r="DR399" i="80" s="1"/>
  <c r="CT89" i="80"/>
  <c r="DB130" i="80"/>
  <c r="EP130" i="80"/>
  <c r="EH181" i="79"/>
  <c r="Z112" i="80"/>
  <c r="R89" i="80"/>
  <c r="Z130" i="80"/>
  <c r="DJ151" i="79"/>
  <c r="CL91" i="79"/>
  <c r="FN106" i="79"/>
  <c r="FK44" i="80"/>
  <c r="FK389" i="80" s="1"/>
  <c r="EP57" i="80"/>
  <c r="CL59" i="79"/>
  <c r="BN89" i="80"/>
  <c r="R130" i="80"/>
  <c r="FF130" i="80"/>
  <c r="FN87" i="80"/>
  <c r="BN71" i="79"/>
  <c r="AP89" i="80"/>
  <c r="FN89" i="80"/>
  <c r="CD130" i="80"/>
  <c r="CT181" i="79"/>
  <c r="CT180" i="79"/>
  <c r="EP181" i="79"/>
  <c r="EP23" i="80"/>
  <c r="EP399" i="80" s="1"/>
  <c r="EN399" i="80"/>
  <c r="EN402" i="80" s="1"/>
  <c r="DB181" i="79"/>
  <c r="FF23" i="80"/>
  <c r="FF399" i="80" s="1"/>
  <c r="FF68" i="79"/>
  <c r="DX399" i="80"/>
  <c r="DX402" i="80" s="1"/>
  <c r="DZ23" i="80"/>
  <c r="DZ399" i="80" s="1"/>
  <c r="CQ84" i="80"/>
  <c r="CQ237" i="80"/>
  <c r="CD23" i="80"/>
  <c r="CD399" i="80" s="1"/>
  <c r="CB399" i="80"/>
  <c r="CB402" i="80" s="1"/>
  <c r="FF69" i="80"/>
  <c r="DZ67" i="80"/>
  <c r="FN67" i="80"/>
  <c r="CL181" i="80"/>
  <c r="CL64" i="80"/>
  <c r="CT181" i="80"/>
  <c r="Z96" i="80"/>
  <c r="EF399" i="80"/>
  <c r="EF402" i="80" s="1"/>
  <c r="EH23" i="80"/>
  <c r="EH399" i="80" s="1"/>
  <c r="DB69" i="80"/>
  <c r="R68" i="79"/>
  <c r="AP91" i="80"/>
  <c r="AH181" i="79"/>
  <c r="W237" i="79"/>
  <c r="W84" i="79"/>
  <c r="AE84" i="80"/>
  <c r="AE237" i="80"/>
  <c r="O84" i="79"/>
  <c r="O237" i="79"/>
  <c r="BF67" i="80"/>
  <c r="CD89" i="80"/>
  <c r="AX181" i="80"/>
  <c r="DR64" i="79"/>
  <c r="R109" i="79"/>
  <c r="DR182" i="80"/>
  <c r="DB181" i="80"/>
  <c r="EE84" i="79"/>
  <c r="EE237" i="79"/>
  <c r="BC84" i="79"/>
  <c r="BC237" i="79"/>
  <c r="DJ181" i="79"/>
  <c r="EV399" i="80"/>
  <c r="EV402" i="80" s="1"/>
  <c r="EX23" i="80"/>
  <c r="EX399" i="80" s="1"/>
  <c r="R126" i="80"/>
  <c r="DJ71" i="79"/>
  <c r="AH59" i="80"/>
  <c r="AH64" i="79"/>
  <c r="BF181" i="79"/>
  <c r="FF181" i="79"/>
  <c r="AV399" i="80"/>
  <c r="AV402" i="80" s="1"/>
  <c r="AX23" i="80"/>
  <c r="AX399" i="80" s="1"/>
  <c r="Z181" i="79"/>
  <c r="DJ68" i="79"/>
  <c r="AH181" i="80"/>
  <c r="FK84" i="79"/>
  <c r="FK237" i="79"/>
  <c r="BK84" i="79"/>
  <c r="BK237" i="79"/>
  <c r="AH424" i="80"/>
  <c r="CD132" i="80"/>
  <c r="AX107" i="79"/>
  <c r="AH89" i="79"/>
  <c r="CL89" i="80"/>
  <c r="R71" i="79"/>
  <c r="BN22" i="79"/>
  <c r="BN398" i="79" s="1"/>
  <c r="BF151" i="80"/>
  <c r="FN141" i="80"/>
  <c r="EX180" i="79"/>
  <c r="DB141" i="79"/>
  <c r="DR91" i="79"/>
  <c r="EP70" i="79"/>
  <c r="DZ89" i="80"/>
  <c r="CD91" i="79"/>
  <c r="EX181" i="80"/>
  <c r="AX64" i="79"/>
  <c r="BV16" i="79"/>
  <c r="BV410" i="79" s="1"/>
  <c r="BV426" i="79" s="1"/>
  <c r="BT410" i="79"/>
  <c r="BC38" i="80"/>
  <c r="BC383" i="80" s="1"/>
  <c r="BC434" i="80" s="1"/>
  <c r="O402" i="79"/>
  <c r="O405" i="79" s="1"/>
  <c r="O409" i="79" s="1"/>
  <c r="CQ42" i="80"/>
  <c r="CQ387" i="80" s="1"/>
  <c r="AH57" i="80"/>
  <c r="FN61" i="79"/>
  <c r="AH71" i="80"/>
  <c r="DR71" i="80"/>
  <c r="AH126" i="80"/>
  <c r="FF130" i="79"/>
  <c r="DJ69" i="80"/>
  <c r="BN141" i="80"/>
  <c r="DJ89" i="79"/>
  <c r="EP99" i="80"/>
  <c r="CD125" i="80"/>
  <c r="DX196" i="80"/>
  <c r="AX67" i="80"/>
  <c r="AH129" i="80"/>
  <c r="EX67" i="80"/>
  <c r="CD64" i="79"/>
  <c r="DJ181" i="80"/>
  <c r="CY405" i="80"/>
  <c r="CY409" i="80" s="1"/>
  <c r="BC40" i="80"/>
  <c r="BC385" i="80" s="1"/>
  <c r="F389" i="85"/>
  <c r="BC39" i="80"/>
  <c r="BC384" i="80" s="1"/>
  <c r="BC435" i="80" s="1"/>
  <c r="R69" i="186"/>
  <c r="CD68" i="80"/>
  <c r="CL104" i="79"/>
  <c r="CT132" i="80"/>
  <c r="EH67" i="80"/>
  <c r="CL151" i="80"/>
  <c r="CL142" i="79"/>
  <c r="DR16" i="80"/>
  <c r="DR410" i="80" s="1"/>
  <c r="DR426" i="80" s="1"/>
  <c r="DR109" i="79"/>
  <c r="EH181" i="80"/>
  <c r="DJ89" i="80"/>
  <c r="AH58" i="80"/>
  <c r="BC48" i="80"/>
  <c r="BC393" i="80" s="1"/>
  <c r="CQ37" i="80"/>
  <c r="CQ382" i="80" s="1"/>
  <c r="CZ402" i="80"/>
  <c r="CQ48" i="80"/>
  <c r="CQ393" i="80" s="1"/>
  <c r="FN87" i="79"/>
  <c r="Z87" i="79"/>
  <c r="EX123" i="80"/>
  <c r="R115" i="79"/>
  <c r="CT89" i="79"/>
  <c r="DR141" i="79"/>
  <c r="AH151" i="80"/>
  <c r="DB107" i="80"/>
  <c r="AP181" i="80"/>
  <c r="BF181" i="80"/>
  <c r="CL64" i="79"/>
  <c r="FE196" i="80"/>
  <c r="DB91" i="79"/>
  <c r="DO402" i="79"/>
  <c r="DO405" i="79" s="1"/>
  <c r="DO409" i="79" s="1"/>
  <c r="CQ38" i="80"/>
  <c r="CQ383" i="80" s="1"/>
  <c r="CQ434" i="80" s="1"/>
  <c r="O405" i="80"/>
  <c r="O409" i="80" s="1"/>
  <c r="DJ104" i="80"/>
  <c r="EP147" i="80"/>
  <c r="AP69" i="80"/>
  <c r="DB115" i="79"/>
  <c r="CT107" i="79"/>
  <c r="DZ115" i="79"/>
  <c r="EH89" i="79"/>
  <c r="BN129" i="80"/>
  <c r="AX89" i="80"/>
  <c r="DG84" i="79"/>
  <c r="DG237" i="79"/>
  <c r="CR410" i="80"/>
  <c r="CT16" i="80"/>
  <c r="CT410" i="80" s="1"/>
  <c r="CI84" i="80"/>
  <c r="CI237" i="80"/>
  <c r="BN141" i="79"/>
  <c r="BL143" i="79"/>
  <c r="CY237" i="80"/>
  <c r="CY84" i="80"/>
  <c r="FK40" i="80"/>
  <c r="FK385" i="80" s="1"/>
  <c r="CD124" i="79"/>
  <c r="EH107" i="79"/>
  <c r="AP141" i="80"/>
  <c r="DB59" i="80"/>
  <c r="EX89" i="80"/>
  <c r="FN89" i="79"/>
  <c r="EX125" i="80"/>
  <c r="DW84" i="80"/>
  <c r="DW237" i="80"/>
  <c r="CA84" i="80"/>
  <c r="CA237" i="80"/>
  <c r="EU84" i="80"/>
  <c r="EU237" i="80"/>
  <c r="BK237" i="80"/>
  <c r="BK84" i="80"/>
  <c r="BV89" i="80"/>
  <c r="FF141" i="79"/>
  <c r="DB71" i="79"/>
  <c r="CT151" i="80"/>
  <c r="CL67" i="80"/>
  <c r="BV129" i="80"/>
  <c r="EP129" i="80"/>
  <c r="FC84" i="80"/>
  <c r="FC237" i="80"/>
  <c r="BV181" i="80"/>
  <c r="DG405" i="80"/>
  <c r="DG409" i="80" s="1"/>
  <c r="BF87" i="79"/>
  <c r="CL71" i="80"/>
  <c r="CL71" i="79"/>
  <c r="DR129" i="80"/>
  <c r="BN64" i="79"/>
  <c r="DH399" i="80"/>
  <c r="DH402" i="80" s="1"/>
  <c r="DJ23" i="80"/>
  <c r="DJ399" i="80" s="1"/>
  <c r="CA84" i="79"/>
  <c r="CA237" i="79"/>
  <c r="BF64" i="79"/>
  <c r="AE237" i="79"/>
  <c r="AE84" i="79"/>
  <c r="EX64" i="79"/>
  <c r="BF89" i="80"/>
  <c r="DR181" i="80"/>
  <c r="BN181" i="80"/>
  <c r="FF181" i="80"/>
  <c r="FF182" i="80"/>
  <c r="BS84" i="80"/>
  <c r="BS237" i="80"/>
  <c r="W84" i="80"/>
  <c r="W237" i="80"/>
  <c r="DB180" i="79"/>
  <c r="FC237" i="79"/>
  <c r="FC84" i="79"/>
  <c r="DZ124" i="79"/>
  <c r="DJ59" i="80"/>
  <c r="CJ399" i="79"/>
  <c r="CL23" i="79"/>
  <c r="CL399" i="79" s="1"/>
  <c r="EE237" i="80"/>
  <c r="EE84" i="80"/>
  <c r="AM237" i="79"/>
  <c r="AM84" i="79"/>
  <c r="CB410" i="80"/>
  <c r="CD16" i="80"/>
  <c r="CD410" i="80" s="1"/>
  <c r="AO196" i="80"/>
  <c r="BF71" i="80"/>
  <c r="BV87" i="79"/>
  <c r="FN124" i="79"/>
  <c r="DZ107" i="79"/>
  <c r="EP71" i="80"/>
  <c r="AH91" i="79"/>
  <c r="AF143" i="79"/>
  <c r="AH141" i="79"/>
  <c r="EH91" i="79"/>
  <c r="EV410" i="80"/>
  <c r="EX16" i="80"/>
  <c r="EX410" i="80" s="1"/>
  <c r="AH180" i="79"/>
  <c r="DZ180" i="79"/>
  <c r="DQ426" i="80"/>
  <c r="EM84" i="80"/>
  <c r="EM237" i="80"/>
  <c r="AN399" i="80"/>
  <c r="AP23" i="80"/>
  <c r="AP399" i="80" s="1"/>
  <c r="CQ237" i="79"/>
  <c r="CQ84" i="79"/>
  <c r="AH58" i="79"/>
  <c r="CD104" i="80"/>
  <c r="AP120" i="80"/>
  <c r="DB151" i="80"/>
  <c r="Z67" i="80"/>
  <c r="EP151" i="80"/>
  <c r="FL399" i="80"/>
  <c r="FL402" i="80" s="1"/>
  <c r="FN23" i="80"/>
  <c r="FN399" i="80" s="1"/>
  <c r="FN402" i="80" s="1"/>
  <c r="EP109" i="79"/>
  <c r="P399" i="80"/>
  <c r="P402" i="80" s="1"/>
  <c r="R23" i="80"/>
  <c r="R399" i="80" s="1"/>
  <c r="Z141" i="79"/>
  <c r="EP141" i="79"/>
  <c r="EP181" i="80"/>
  <c r="EH109" i="79"/>
  <c r="AP180" i="79"/>
  <c r="DB89" i="80"/>
  <c r="DJ125" i="80"/>
  <c r="BN67" i="80"/>
  <c r="R129" i="80"/>
  <c r="Z108" i="80"/>
  <c r="DZ182" i="80"/>
  <c r="DB109" i="79"/>
  <c r="R181" i="80"/>
  <c r="Z89" i="80"/>
  <c r="EX120" i="80"/>
  <c r="FL410" i="79"/>
  <c r="FN16" i="79"/>
  <c r="FN410" i="79" s="1"/>
  <c r="FN426" i="79" s="1"/>
  <c r="EP67" i="80"/>
  <c r="FC46" i="80"/>
  <c r="FC391" i="80" s="1"/>
  <c r="FC437" i="80" s="1"/>
  <c r="AU43" i="80"/>
  <c r="AU388" i="80" s="1"/>
  <c r="CQ41" i="80"/>
  <c r="CQ386" i="80" s="1"/>
  <c r="BF68" i="80"/>
  <c r="Z71" i="80"/>
  <c r="DZ115" i="80"/>
  <c r="EX121" i="80"/>
  <c r="DJ99" i="80"/>
  <c r="FF125" i="80"/>
  <c r="AX121" i="80"/>
  <c r="CL99" i="80"/>
  <c r="AP121" i="80"/>
  <c r="CD89" i="79"/>
  <c r="FF89" i="79"/>
  <c r="FF151" i="80"/>
  <c r="CI41" i="80"/>
  <c r="CI386" i="80" s="1"/>
  <c r="EM46" i="80"/>
  <c r="EM391" i="80" s="1"/>
  <c r="EM437" i="80" s="1"/>
  <c r="AU41" i="80"/>
  <c r="AU386" i="80" s="1"/>
  <c r="CA46" i="80"/>
  <c r="CA391" i="80" s="1"/>
  <c r="CA437" i="80" s="1"/>
  <c r="CD16" i="79"/>
  <c r="CD410" i="79" s="1"/>
  <c r="CB410" i="79"/>
  <c r="BC41" i="80"/>
  <c r="BC386" i="80" s="1"/>
  <c r="H406" i="79"/>
  <c r="H450" i="79" s="1"/>
  <c r="EM41" i="80"/>
  <c r="EM386" i="80" s="1"/>
  <c r="EE41" i="80"/>
  <c r="EE386" i="80" s="1"/>
  <c r="FK46" i="80"/>
  <c r="FK391" i="80" s="1"/>
  <c r="FK437" i="80" s="1"/>
  <c r="DR73" i="79"/>
  <c r="AH104" i="80"/>
  <c r="AH114" i="80"/>
  <c r="DZ141" i="80"/>
  <c r="DR69" i="79"/>
  <c r="DP196" i="80"/>
  <c r="BN130" i="80"/>
  <c r="BV151" i="80"/>
  <c r="DZ129" i="80"/>
  <c r="EH151" i="80"/>
  <c r="R151" i="80"/>
  <c r="AH67" i="80"/>
  <c r="CT67" i="80"/>
  <c r="AN26" i="79"/>
  <c r="EE46" i="80"/>
  <c r="EE391" i="80" s="1"/>
  <c r="EE437" i="80" s="1"/>
  <c r="BV68" i="80"/>
  <c r="EH87" i="80"/>
  <c r="FF99" i="79"/>
  <c r="FF104" i="79"/>
  <c r="Z107" i="79"/>
  <c r="BN70" i="80"/>
  <c r="AP151" i="80"/>
  <c r="BK41" i="80"/>
  <c r="BK386" i="80" s="1"/>
  <c r="BV87" i="80"/>
  <c r="BV115" i="79"/>
  <c r="Z125" i="80"/>
  <c r="AP115" i="80"/>
  <c r="Q410" i="79"/>
  <c r="R16" i="79"/>
  <c r="R410" i="79" s="1"/>
  <c r="R426" i="79" s="1"/>
  <c r="DJ129" i="80"/>
  <c r="DZ70" i="80"/>
  <c r="EX129" i="80"/>
  <c r="CI46" i="80"/>
  <c r="CI391" i="80" s="1"/>
  <c r="CI437" i="80" s="1"/>
  <c r="FF89" i="80"/>
  <c r="AX139" i="80"/>
  <c r="AX143" i="80" s="1"/>
  <c r="BV139" i="80"/>
  <c r="BC46" i="80"/>
  <c r="BC391" i="80" s="1"/>
  <c r="BC437" i="80" s="1"/>
  <c r="AU46" i="80"/>
  <c r="AU391" i="80" s="1"/>
  <c r="AU437" i="80" s="1"/>
  <c r="AP61" i="79"/>
  <c r="DB71" i="80"/>
  <c r="AX68" i="80"/>
  <c r="Z104" i="79"/>
  <c r="BV59" i="80"/>
  <c r="AH68" i="79"/>
  <c r="FN59" i="80"/>
  <c r="EX151" i="80"/>
  <c r="CQ402" i="79"/>
  <c r="CQ405" i="79" s="1"/>
  <c r="CQ409" i="79" s="1"/>
  <c r="CI44" i="80"/>
  <c r="CI389" i="80" s="1"/>
  <c r="EE402" i="79"/>
  <c r="EE405" i="79" s="1"/>
  <c r="EE409" i="79" s="1"/>
  <c r="M210" i="187"/>
  <c r="FK38" i="80"/>
  <c r="FK383" i="80" s="1"/>
  <c r="FK434" i="80" s="1"/>
  <c r="EE47" i="80"/>
  <c r="EE392" i="80" s="1"/>
  <c r="CQ46" i="80"/>
  <c r="CQ391" i="80" s="1"/>
  <c r="CQ437" i="80" s="1"/>
  <c r="CY41" i="80"/>
  <c r="CY386" i="80" s="1"/>
  <c r="DG48" i="80"/>
  <c r="DG393" i="80" s="1"/>
  <c r="FN57" i="80"/>
  <c r="FF68" i="80"/>
  <c r="R68" i="80"/>
  <c r="BF61" i="79"/>
  <c r="DB87" i="79"/>
  <c r="AW100" i="80"/>
  <c r="EH113" i="79"/>
  <c r="EP113" i="79"/>
  <c r="BF104" i="80"/>
  <c r="DR114" i="80"/>
  <c r="EH124" i="79"/>
  <c r="CK143" i="80"/>
  <c r="CT115" i="79"/>
  <c r="BV104" i="79"/>
  <c r="BV22" i="79"/>
  <c r="BV398" i="79" s="1"/>
  <c r="DB141" i="80"/>
  <c r="BV125" i="80"/>
  <c r="DZ69" i="79"/>
  <c r="Z89" i="79"/>
  <c r="CD22" i="79"/>
  <c r="CD398" i="79" s="1"/>
  <c r="CD115" i="80"/>
  <c r="Z69" i="79"/>
  <c r="EN196" i="80"/>
  <c r="EP176" i="80"/>
  <c r="CR196" i="80"/>
  <c r="CT176" i="80"/>
  <c r="DR176" i="79"/>
  <c r="DP196" i="79"/>
  <c r="Z176" i="79"/>
  <c r="P196" i="80"/>
  <c r="FL402" i="79"/>
  <c r="FC41" i="80"/>
  <c r="FC386" i="80" s="1"/>
  <c r="EM43" i="80"/>
  <c r="EM388" i="80" s="1"/>
  <c r="BK46" i="80"/>
  <c r="BK391" i="80" s="1"/>
  <c r="BK437" i="80" s="1"/>
  <c r="DG37" i="80"/>
  <c r="DG382" i="80" s="1"/>
  <c r="CQ44" i="80"/>
  <c r="CQ389" i="80" s="1"/>
  <c r="EP58" i="79"/>
  <c r="CL113" i="79"/>
  <c r="CD114" i="80"/>
  <c r="BF113" i="79"/>
  <c r="AH124" i="79"/>
  <c r="FN104" i="79"/>
  <c r="AP69" i="79"/>
  <c r="R89" i="79"/>
  <c r="BN121" i="80"/>
  <c r="CT121" i="80"/>
  <c r="CZ196" i="80"/>
  <c r="DB176" i="80"/>
  <c r="DP143" i="79"/>
  <c r="BN176" i="80"/>
  <c r="BN176" i="79"/>
  <c r="BL196" i="79"/>
  <c r="AP176" i="79"/>
  <c r="AN196" i="79"/>
  <c r="Z176" i="80"/>
  <c r="X196" i="80"/>
  <c r="BF176" i="79"/>
  <c r="BD196" i="79"/>
  <c r="CQ39" i="80"/>
  <c r="CQ384" i="80" s="1"/>
  <c r="CQ435" i="80" s="1"/>
  <c r="CY46" i="80"/>
  <c r="CY391" i="80" s="1"/>
  <c r="CY437" i="80" s="1"/>
  <c r="EX97" i="80"/>
  <c r="EX99" i="79"/>
  <c r="FF97" i="80"/>
  <c r="DB97" i="80"/>
  <c r="BV114" i="80"/>
  <c r="EH114" i="80"/>
  <c r="EX113" i="79"/>
  <c r="EH121" i="79"/>
  <c r="AP123" i="80"/>
  <c r="Z132" i="80"/>
  <c r="FN130" i="79"/>
  <c r="DZ132" i="80"/>
  <c r="BN124" i="79"/>
  <c r="EH68" i="79"/>
  <c r="CL69" i="80"/>
  <c r="DR107" i="79"/>
  <c r="AP71" i="79"/>
  <c r="BV151" i="79"/>
  <c r="CT115" i="80"/>
  <c r="DR121" i="80"/>
  <c r="FF151" i="79"/>
  <c r="CL69" i="79"/>
  <c r="Z120" i="80"/>
  <c r="EH176" i="80"/>
  <c r="EF196" i="80"/>
  <c r="DB64" i="79"/>
  <c r="CD176" i="79"/>
  <c r="CB196" i="79"/>
  <c r="DW43" i="80"/>
  <c r="DW388" i="80" s="1"/>
  <c r="BF87" i="80"/>
  <c r="AE48" i="80"/>
  <c r="AE393" i="80" s="1"/>
  <c r="AH176" i="79"/>
  <c r="AF196" i="79"/>
  <c r="AH120" i="80"/>
  <c r="BD196" i="80"/>
  <c r="BF176" i="80"/>
  <c r="EH176" i="79"/>
  <c r="EF196" i="79"/>
  <c r="CL176" i="79"/>
  <c r="AV196" i="80"/>
  <c r="AM43" i="80"/>
  <c r="AM388" i="80" s="1"/>
  <c r="W47" i="80"/>
  <c r="W392" i="80" s="1"/>
  <c r="DR61" i="79"/>
  <c r="DZ104" i="79"/>
  <c r="EH59" i="80"/>
  <c r="CL107" i="79"/>
  <c r="AH71" i="79"/>
  <c r="EP69" i="80"/>
  <c r="CT69" i="79"/>
  <c r="CT99" i="80"/>
  <c r="DZ89" i="79"/>
  <c r="R151" i="79"/>
  <c r="AH99" i="80"/>
  <c r="DB125" i="80"/>
  <c r="BN115" i="80"/>
  <c r="EH64" i="79"/>
  <c r="BV176" i="80"/>
  <c r="BT196" i="80"/>
  <c r="CT176" i="79"/>
  <c r="CR196" i="79"/>
  <c r="FN176" i="79"/>
  <c r="FL196" i="79"/>
  <c r="BV176" i="79"/>
  <c r="BT196" i="79"/>
  <c r="BV58" i="79"/>
  <c r="BN61" i="79"/>
  <c r="DZ73" i="79"/>
  <c r="AP68" i="80"/>
  <c r="DB104" i="80"/>
  <c r="DB114" i="80"/>
  <c r="EX104" i="80"/>
  <c r="FD196" i="79"/>
  <c r="FF176" i="79"/>
  <c r="DB176" i="79"/>
  <c r="CZ196" i="79"/>
  <c r="FF176" i="80"/>
  <c r="FD196" i="80"/>
  <c r="DG46" i="80"/>
  <c r="DG391" i="80" s="1"/>
  <c r="DG437" i="80" s="1"/>
  <c r="DJ68" i="80"/>
  <c r="EH71" i="80"/>
  <c r="EP73" i="79"/>
  <c r="Z130" i="79"/>
  <c r="AP120" i="79"/>
  <c r="DR89" i="80"/>
  <c r="DB104" i="79"/>
  <c r="EX70" i="80"/>
  <c r="AN402" i="79"/>
  <c r="BN69" i="79"/>
  <c r="AH125" i="80"/>
  <c r="CL89" i="79"/>
  <c r="DJ176" i="79"/>
  <c r="DH196" i="79"/>
  <c r="DZ176" i="80"/>
  <c r="AH176" i="80"/>
  <c r="AF196" i="80"/>
  <c r="R176" i="79"/>
  <c r="EN196" i="79"/>
  <c r="EP176" i="79"/>
  <c r="EX176" i="80"/>
  <c r="EV196" i="80"/>
  <c r="CT151" i="79"/>
  <c r="DR151" i="79"/>
  <c r="BF151" i="79"/>
  <c r="Z151" i="79"/>
  <c r="FN151" i="80"/>
  <c r="AX151" i="79"/>
  <c r="EH151" i="79"/>
  <c r="AP151" i="79"/>
  <c r="CL151" i="79"/>
  <c r="BN151" i="79"/>
  <c r="Z129" i="80"/>
  <c r="AX121" i="79"/>
  <c r="EH120" i="80"/>
  <c r="BN120" i="80"/>
  <c r="BV120" i="80"/>
  <c r="CL120" i="80"/>
  <c r="BF121" i="79"/>
  <c r="R121" i="80"/>
  <c r="DZ121" i="80"/>
  <c r="DB121" i="80"/>
  <c r="DZ92" i="79"/>
  <c r="BV69" i="80"/>
  <c r="EH71" i="79"/>
  <c r="AH69" i="79"/>
  <c r="DB69" i="79"/>
  <c r="CD70" i="80"/>
  <c r="BF73" i="79"/>
  <c r="EF419" i="79"/>
  <c r="EF420" i="79" s="1"/>
  <c r="EF421" i="79" s="1"/>
  <c r="EF452" i="79" s="1"/>
  <c r="EF404" i="79"/>
  <c r="EF425" i="79" s="1"/>
  <c r="EF430" i="79" s="1"/>
  <c r="EF34" i="79"/>
  <c r="DX34" i="79"/>
  <c r="DX419" i="79"/>
  <c r="DX404" i="79"/>
  <c r="DX425" i="79" s="1"/>
  <c r="EX418" i="80"/>
  <c r="FD26" i="79"/>
  <c r="O43" i="80"/>
  <c r="O388" i="80" s="1"/>
  <c r="DO43" i="80"/>
  <c r="DO388" i="80" s="1"/>
  <c r="DW39" i="80"/>
  <c r="DW384" i="80" s="1"/>
  <c r="DW435" i="80" s="1"/>
  <c r="CI47" i="80"/>
  <c r="CI392" i="80" s="1"/>
  <c r="EM47" i="80"/>
  <c r="AU47" i="80"/>
  <c r="AU392" i="80" s="1"/>
  <c r="W40" i="80"/>
  <c r="W385" i="80" s="1"/>
  <c r="BK47" i="80"/>
  <c r="BK392" i="80" s="1"/>
  <c r="CA47" i="80"/>
  <c r="CA392" i="80" s="1"/>
  <c r="EH16" i="79"/>
  <c r="EH410" i="79" s="1"/>
  <c r="EH426" i="79" s="1"/>
  <c r="EH68" i="80"/>
  <c r="BN57" i="80"/>
  <c r="CL68" i="80"/>
  <c r="DJ87" i="80"/>
  <c r="CZ100" i="80"/>
  <c r="EP96" i="80"/>
  <c r="AP114" i="80"/>
  <c r="BV113" i="79"/>
  <c r="BF130" i="79"/>
  <c r="AX124" i="79"/>
  <c r="FF126" i="80"/>
  <c r="DB121" i="79"/>
  <c r="EH126" i="80"/>
  <c r="CD121" i="79"/>
  <c r="CD115" i="79"/>
  <c r="CD107" i="79"/>
  <c r="Z141" i="80"/>
  <c r="Z68" i="79"/>
  <c r="FN58" i="80"/>
  <c r="DR68" i="79"/>
  <c r="AX151" i="80"/>
  <c r="Z115" i="79"/>
  <c r="CD69" i="80"/>
  <c r="EP68" i="79"/>
  <c r="FN115" i="79"/>
  <c r="FF121" i="80"/>
  <c r="BF69" i="79"/>
  <c r="P34" i="79"/>
  <c r="P419" i="79"/>
  <c r="P420" i="79" s="1"/>
  <c r="P421" i="79" s="1"/>
  <c r="P452" i="79" s="1"/>
  <c r="P404" i="79"/>
  <c r="P425" i="79" s="1"/>
  <c r="P430" i="79" s="1"/>
  <c r="AP99" i="80"/>
  <c r="BL419" i="79"/>
  <c r="BL34" i="79"/>
  <c r="BL404" i="79"/>
  <c r="BL425" i="79" s="1"/>
  <c r="BC42" i="80"/>
  <c r="BC387" i="80" s="1"/>
  <c r="FD402" i="79"/>
  <c r="DO48" i="80"/>
  <c r="DO393" i="80" s="1"/>
  <c r="DW40" i="80"/>
  <c r="DW385" i="80" s="1"/>
  <c r="W44" i="80"/>
  <c r="W389" i="80" s="1"/>
  <c r="W42" i="80"/>
  <c r="W387" i="80" s="1"/>
  <c r="AF420" i="79"/>
  <c r="AF421" i="79" s="1"/>
  <c r="AF452" i="79" s="1"/>
  <c r="AE46" i="80"/>
  <c r="AE391" i="80" s="1"/>
  <c r="AE437" i="80" s="1"/>
  <c r="AE39" i="80"/>
  <c r="AE384" i="80" s="1"/>
  <c r="AE435" i="80" s="1"/>
  <c r="DZ68" i="80"/>
  <c r="AP71" i="80"/>
  <c r="EP87" i="80"/>
  <c r="EH87" i="79"/>
  <c r="EX87" i="79"/>
  <c r="AX87" i="80"/>
  <c r="R99" i="79"/>
  <c r="BM100" i="80"/>
  <c r="CS100" i="80"/>
  <c r="BF132" i="80"/>
  <c r="DR123" i="80"/>
  <c r="BN132" i="80"/>
  <c r="BN140" i="79"/>
  <c r="EP59" i="80"/>
  <c r="DJ115" i="79"/>
  <c r="DZ69" i="80"/>
  <c r="DR59" i="80"/>
  <c r="AX69" i="80"/>
  <c r="CL115" i="79"/>
  <c r="AP68" i="79"/>
  <c r="BF89" i="79"/>
  <c r="CD59" i="80"/>
  <c r="BT419" i="79"/>
  <c r="BT404" i="79"/>
  <c r="BT425" i="79" s="1"/>
  <c r="BT34" i="79"/>
  <c r="EH121" i="80"/>
  <c r="BV89" i="79"/>
  <c r="BN125" i="80"/>
  <c r="DO37" i="80"/>
  <c r="DO382" i="80" s="1"/>
  <c r="DO46" i="80"/>
  <c r="DO391" i="80" s="1"/>
  <c r="DO437" i="80" s="1"/>
  <c r="DW42" i="80"/>
  <c r="DW387" i="80" s="1"/>
  <c r="CI43" i="80"/>
  <c r="CI388" i="80" s="1"/>
  <c r="FC43" i="80"/>
  <c r="FC388" i="80" s="1"/>
  <c r="W39" i="80"/>
  <c r="W384" i="80" s="1"/>
  <c r="W435" i="80" s="1"/>
  <c r="W43" i="80"/>
  <c r="W388" i="80" s="1"/>
  <c r="AE37" i="80"/>
  <c r="AE382" i="80" s="1"/>
  <c r="CQ43" i="80"/>
  <c r="CQ388" i="80" s="1"/>
  <c r="O42" i="80"/>
  <c r="O387" i="80" s="1"/>
  <c r="FN58" i="79"/>
  <c r="FF87" i="79"/>
  <c r="CL123" i="80"/>
  <c r="DZ123" i="80"/>
  <c r="R140" i="79"/>
  <c r="EG143" i="79"/>
  <c r="DR115" i="79"/>
  <c r="CT141" i="80"/>
  <c r="AP59" i="80"/>
  <c r="EX115" i="79"/>
  <c r="BV68" i="79"/>
  <c r="DZ59" i="80"/>
  <c r="AX71" i="79"/>
  <c r="R141" i="80"/>
  <c r="R143" i="80" s="1"/>
  <c r="EH99" i="80"/>
  <c r="FL419" i="79"/>
  <c r="FL420" i="79" s="1"/>
  <c r="FL421" i="79" s="1"/>
  <c r="FL452" i="79" s="1"/>
  <c r="FL34" i="79"/>
  <c r="FL404" i="79"/>
  <c r="FL425" i="79" s="1"/>
  <c r="DH419" i="79"/>
  <c r="DH404" i="79"/>
  <c r="DH425" i="79" s="1"/>
  <c r="DH34" i="79"/>
  <c r="AH151" i="79"/>
  <c r="FN125" i="80"/>
  <c r="FN115" i="80"/>
  <c r="DX26" i="80"/>
  <c r="DZ25" i="80"/>
  <c r="DZ401" i="80" s="1"/>
  <c r="BC43" i="80"/>
  <c r="BC388" i="80" s="1"/>
  <c r="DO38" i="80"/>
  <c r="DO383" i="80" s="1"/>
  <c r="DO434" i="80" s="1"/>
  <c r="DO47" i="80"/>
  <c r="DO392" i="80" s="1"/>
  <c r="DW47" i="80"/>
  <c r="DW392" i="80" s="1"/>
  <c r="CI42" i="80"/>
  <c r="CI387" i="80" s="1"/>
  <c r="EM42" i="80"/>
  <c r="EM387" i="80" s="1"/>
  <c r="W45" i="80"/>
  <c r="W390" i="80" s="1"/>
  <c r="W436" i="80" s="1"/>
  <c r="W41" i="80"/>
  <c r="W386" i="80" s="1"/>
  <c r="BK42" i="80"/>
  <c r="BK387" i="80" s="1"/>
  <c r="AE38" i="80"/>
  <c r="AE383" i="80" s="1"/>
  <c r="AE434" i="80" s="1"/>
  <c r="AE44" i="80"/>
  <c r="AE389" i="80" s="1"/>
  <c r="CQ47" i="80"/>
  <c r="CR47" i="80" s="1"/>
  <c r="CR392" i="80" s="1"/>
  <c r="DZ418" i="80"/>
  <c r="DB155" i="79"/>
  <c r="CJ419" i="79"/>
  <c r="CJ420" i="79" s="1"/>
  <c r="CJ421" i="79" s="1"/>
  <c r="CJ452" i="79" s="1"/>
  <c r="CJ34" i="79"/>
  <c r="CJ404" i="79"/>
  <c r="CJ425" i="79" s="1"/>
  <c r="X404" i="79"/>
  <c r="X425" i="79" s="1"/>
  <c r="X430" i="79" s="1"/>
  <c r="X34" i="79"/>
  <c r="X419" i="79"/>
  <c r="X420" i="79" s="1"/>
  <c r="X421" i="79" s="1"/>
  <c r="X452" i="79" s="1"/>
  <c r="EV34" i="79"/>
  <c r="EV419" i="79"/>
  <c r="EV420" i="79" s="1"/>
  <c r="EV404" i="79"/>
  <c r="EV425" i="79" s="1"/>
  <c r="EV430" i="79" s="1"/>
  <c r="DO41" i="80"/>
  <c r="DO386" i="80" s="1"/>
  <c r="DO42" i="80"/>
  <c r="DO387" i="80" s="1"/>
  <c r="DW44" i="80"/>
  <c r="DW389" i="80" s="1"/>
  <c r="DW46" i="80"/>
  <c r="DW391" i="80" s="1"/>
  <c r="DW437" i="80" s="1"/>
  <c r="W46" i="80"/>
  <c r="W391" i="80" s="1"/>
  <c r="W437" i="80" s="1"/>
  <c r="W37" i="80"/>
  <c r="W382" i="80" s="1"/>
  <c r="BK43" i="80"/>
  <c r="BK388" i="80" s="1"/>
  <c r="FK47" i="80"/>
  <c r="FK392" i="80" s="1"/>
  <c r="AE40" i="80"/>
  <c r="AE385" i="80" s="1"/>
  <c r="BN23" i="79"/>
  <c r="BN399" i="79" s="1"/>
  <c r="BN73" i="79"/>
  <c r="DB73" i="79"/>
  <c r="BN58" i="79"/>
  <c r="EH58" i="79"/>
  <c r="AX58" i="79"/>
  <c r="DJ61" i="79"/>
  <c r="DR58" i="79"/>
  <c r="AP87" i="79"/>
  <c r="DY100" i="80"/>
  <c r="DZ97" i="80"/>
  <c r="CD99" i="79"/>
  <c r="R104" i="80"/>
  <c r="AX130" i="79"/>
  <c r="Z124" i="79"/>
  <c r="CT123" i="80"/>
  <c r="DJ121" i="79"/>
  <c r="DR120" i="80"/>
  <c r="CD126" i="80"/>
  <c r="DJ124" i="79"/>
  <c r="FM143" i="79"/>
  <c r="FN69" i="80"/>
  <c r="EP115" i="79"/>
  <c r="EH70" i="80"/>
  <c r="AX68" i="79"/>
  <c r="EX107" i="79"/>
  <c r="DJ120" i="79"/>
  <c r="BV71" i="79"/>
  <c r="EH89" i="80"/>
  <c r="BN115" i="79"/>
  <c r="BN69" i="80"/>
  <c r="Z22" i="79"/>
  <c r="Z398" i="79" s="1"/>
  <c r="EP151" i="79"/>
  <c r="AH121" i="80"/>
  <c r="BF125" i="80"/>
  <c r="FF69" i="79"/>
  <c r="DR115" i="80"/>
  <c r="EX151" i="79"/>
  <c r="AX99" i="80"/>
  <c r="DZ125" i="80"/>
  <c r="Z424" i="80"/>
  <c r="Z418" i="80"/>
  <c r="DJ69" i="79"/>
  <c r="R99" i="80"/>
  <c r="Z121" i="80"/>
  <c r="CD151" i="79"/>
  <c r="BC47" i="80"/>
  <c r="BE47" i="80" s="1"/>
  <c r="BE392" i="80" s="1"/>
  <c r="DO39" i="80"/>
  <c r="DO384" i="80" s="1"/>
  <c r="DO435" i="80" s="1"/>
  <c r="DW37" i="80"/>
  <c r="DW382" i="80" s="1"/>
  <c r="DW41" i="80"/>
  <c r="DW386" i="80" s="1"/>
  <c r="AU42" i="80"/>
  <c r="AU387" i="80" s="1"/>
  <c r="W48" i="80"/>
  <c r="W393" i="80" s="1"/>
  <c r="AE47" i="80"/>
  <c r="AE392" i="80" s="1"/>
  <c r="DR87" i="80"/>
  <c r="AH123" i="80"/>
  <c r="Y143" i="80"/>
  <c r="EN419" i="79"/>
  <c r="EN34" i="79"/>
  <c r="EN404" i="79"/>
  <c r="EN425" i="79" s="1"/>
  <c r="DW38" i="80"/>
  <c r="DW383" i="80" s="1"/>
  <c r="DW434" i="80" s="1"/>
  <c r="FC42" i="80"/>
  <c r="FC387" i="80" s="1"/>
  <c r="CY43" i="80"/>
  <c r="CY388" i="80" s="1"/>
  <c r="EU43" i="80"/>
  <c r="EU388" i="80" s="1"/>
  <c r="CD58" i="79"/>
  <c r="CL87" i="80"/>
  <c r="FF96" i="80"/>
  <c r="Z99" i="79"/>
  <c r="CT97" i="80"/>
  <c r="BN113" i="79"/>
  <c r="FF104" i="80"/>
  <c r="EX132" i="80"/>
  <c r="DB132" i="80"/>
  <c r="BV124" i="79"/>
  <c r="DZ130" i="79"/>
  <c r="DZ120" i="80"/>
  <c r="CD123" i="80"/>
  <c r="AX132" i="80"/>
  <c r="Z126" i="80"/>
  <c r="CD120" i="80"/>
  <c r="BF107" i="79"/>
  <c r="DR71" i="79"/>
  <c r="DB120" i="80"/>
  <c r="CT104" i="79"/>
  <c r="AX59" i="80"/>
  <c r="AX120" i="80"/>
  <c r="R69" i="80"/>
  <c r="EH69" i="79"/>
  <c r="BN89" i="79"/>
  <c r="EH125" i="80"/>
  <c r="DZ151" i="79"/>
  <c r="BF115" i="80"/>
  <c r="BF99" i="80"/>
  <c r="DJ121" i="80"/>
  <c r="AP89" i="79"/>
  <c r="EP121" i="80"/>
  <c r="FN69" i="79"/>
  <c r="BD404" i="79"/>
  <c r="BD425" i="79" s="1"/>
  <c r="BD419" i="79"/>
  <c r="BD34" i="79"/>
  <c r="R69" i="79"/>
  <c r="R115" i="80"/>
  <c r="O38" i="80"/>
  <c r="O383" i="80" s="1"/>
  <c r="O434" i="80" s="1"/>
  <c r="AM402" i="79"/>
  <c r="AM405" i="79" s="1"/>
  <c r="AM409" i="79" s="1"/>
  <c r="CL61" i="79"/>
  <c r="CT73" i="79"/>
  <c r="R73" i="79"/>
  <c r="EX58" i="79"/>
  <c r="EH61" i="79"/>
  <c r="Z61" i="79"/>
  <c r="AO100" i="80"/>
  <c r="AP97" i="80"/>
  <c r="FE100" i="79"/>
  <c r="CR100" i="80"/>
  <c r="Z114" i="80"/>
  <c r="BV107" i="80"/>
  <c r="FF124" i="79"/>
  <c r="DB126" i="80"/>
  <c r="CD154" i="80"/>
  <c r="DO425" i="80"/>
  <c r="DO419" i="80"/>
  <c r="BD143" i="80"/>
  <c r="BF141" i="80"/>
  <c r="BF143" i="80" s="1"/>
  <c r="CL59" i="80"/>
  <c r="EP89" i="79"/>
  <c r="EX59" i="80"/>
  <c r="EP107" i="79"/>
  <c r="O37" i="80"/>
  <c r="O382" i="80" s="1"/>
  <c r="DZ29" i="79"/>
  <c r="DZ30" i="79" s="1"/>
  <c r="DZ418" i="79" s="1"/>
  <c r="Z23" i="79"/>
  <c r="Z399" i="79" s="1"/>
  <c r="EP87" i="79"/>
  <c r="BE100" i="80"/>
  <c r="BV99" i="79"/>
  <c r="AP99" i="79"/>
  <c r="AO100" i="79"/>
  <c r="AX104" i="80"/>
  <c r="DZ104" i="80"/>
  <c r="CT123" i="79"/>
  <c r="AH121" i="79"/>
  <c r="DQ143" i="79"/>
  <c r="EH154" i="80"/>
  <c r="EH69" i="80"/>
  <c r="BN59" i="80"/>
  <c r="AH115" i="79"/>
  <c r="EP141" i="80"/>
  <c r="EP143" i="80" s="1"/>
  <c r="CT59" i="80"/>
  <c r="CZ143" i="80"/>
  <c r="O44" i="80"/>
  <c r="O389" i="80" s="1"/>
  <c r="FC37" i="79"/>
  <c r="FC382" i="79" s="1"/>
  <c r="Z58" i="79"/>
  <c r="FN68" i="80"/>
  <c r="CT61" i="79"/>
  <c r="CL99" i="79"/>
  <c r="DB99" i="79"/>
  <c r="CC100" i="79"/>
  <c r="DR104" i="80"/>
  <c r="DZ114" i="80"/>
  <c r="EH123" i="80"/>
  <c r="EP123" i="79"/>
  <c r="DP143" i="80"/>
  <c r="DR141" i="80"/>
  <c r="DJ141" i="80"/>
  <c r="DJ143" i="80" s="1"/>
  <c r="AF399" i="79"/>
  <c r="AH23" i="79"/>
  <c r="AH399" i="79" s="1"/>
  <c r="CL96" i="80"/>
  <c r="AH96" i="80"/>
  <c r="EW100" i="79"/>
  <c r="BV123" i="79"/>
  <c r="DZ123" i="79"/>
  <c r="Z121" i="79"/>
  <c r="BV154" i="80"/>
  <c r="CL141" i="80"/>
  <c r="CD71" i="79"/>
  <c r="O40" i="80"/>
  <c r="O385" i="80" s="1"/>
  <c r="DZ61" i="79"/>
  <c r="DZ58" i="79"/>
  <c r="DB61" i="79"/>
  <c r="BN68" i="80"/>
  <c r="BN97" i="80"/>
  <c r="AH123" i="79"/>
  <c r="CD68" i="79"/>
  <c r="EP104" i="79"/>
  <c r="CL22" i="79"/>
  <c r="CL398" i="79" s="1"/>
  <c r="O48" i="80"/>
  <c r="O393" i="80" s="1"/>
  <c r="O47" i="80"/>
  <c r="O392" i="80" s="1"/>
  <c r="AX57" i="79"/>
  <c r="R61" i="79"/>
  <c r="CT99" i="79"/>
  <c r="Z97" i="80"/>
  <c r="Z104" i="80"/>
  <c r="DJ114" i="80"/>
  <c r="AP104" i="79"/>
  <c r="EH123" i="79"/>
  <c r="DB123" i="79"/>
  <c r="R132" i="80"/>
  <c r="BN121" i="79"/>
  <c r="R154" i="80"/>
  <c r="R107" i="79"/>
  <c r="R59" i="80"/>
  <c r="BF69" i="80"/>
  <c r="DZ68" i="79"/>
  <c r="O41" i="80"/>
  <c r="O386" i="80" s="1"/>
  <c r="O46" i="80"/>
  <c r="O391" i="80" s="1"/>
  <c r="O437" i="80" s="1"/>
  <c r="BK402" i="79"/>
  <c r="BK405" i="79" s="1"/>
  <c r="BK409" i="79" s="1"/>
  <c r="DR23" i="79"/>
  <c r="DR399" i="79" s="1"/>
  <c r="CD73" i="79"/>
  <c r="Z68" i="80"/>
  <c r="BV71" i="80"/>
  <c r="CT68" i="80"/>
  <c r="AX73" i="79"/>
  <c r="DJ104" i="79"/>
  <c r="EP107" i="80"/>
  <c r="DR113" i="79"/>
  <c r="DJ120" i="80"/>
  <c r="CL121" i="79"/>
  <c r="DZ126" i="80"/>
  <c r="BV130" i="79"/>
  <c r="BN130" i="79"/>
  <c r="CB143" i="80"/>
  <c r="CD141" i="80"/>
  <c r="FN71" i="79"/>
  <c r="CL120" i="79"/>
  <c r="FF107" i="79"/>
  <c r="BV70" i="80"/>
  <c r="AH104" i="79"/>
  <c r="FF59" i="80"/>
  <c r="R120" i="80"/>
  <c r="FD143" i="80"/>
  <c r="FF141" i="80"/>
  <c r="Z59" i="80"/>
  <c r="DX424" i="80"/>
  <c r="DX418" i="80"/>
  <c r="EX141" i="80"/>
  <c r="EX143" i="80" s="1"/>
  <c r="EW143" i="80"/>
  <c r="AH154" i="80"/>
  <c r="DR147" i="80"/>
  <c r="BV155" i="80"/>
  <c r="DJ154" i="80"/>
  <c r="AP139" i="80"/>
  <c r="AN143" i="80"/>
  <c r="CT139" i="80"/>
  <c r="CR143" i="80"/>
  <c r="DX143" i="80"/>
  <c r="DZ139" i="80"/>
  <c r="DA143" i="79"/>
  <c r="DB140" i="79"/>
  <c r="DZ140" i="79"/>
  <c r="DY143" i="79"/>
  <c r="AO143" i="79"/>
  <c r="AP140" i="79"/>
  <c r="AP143" i="79" s="1"/>
  <c r="CJ143" i="80"/>
  <c r="CL139" i="80"/>
  <c r="FF140" i="79"/>
  <c r="FE143" i="79"/>
  <c r="EX140" i="79"/>
  <c r="EX143" i="79" s="1"/>
  <c r="EW143" i="79"/>
  <c r="EO143" i="79"/>
  <c r="EP140" i="79"/>
  <c r="CD141" i="79"/>
  <c r="CB143" i="79"/>
  <c r="EH141" i="79"/>
  <c r="EF143" i="79"/>
  <c r="Z140" i="79"/>
  <c r="BV140" i="79"/>
  <c r="BV143" i="79" s="1"/>
  <c r="BU143" i="79"/>
  <c r="CR143" i="79"/>
  <c r="CT141" i="79"/>
  <c r="AX140" i="79"/>
  <c r="AW143" i="79"/>
  <c r="CL140" i="79"/>
  <c r="CS143" i="79"/>
  <c r="BF140" i="79"/>
  <c r="BE143" i="79"/>
  <c r="DI143" i="79"/>
  <c r="X143" i="80"/>
  <c r="Z139" i="80"/>
  <c r="DH143" i="79"/>
  <c r="DJ141" i="79"/>
  <c r="BN140" i="80"/>
  <c r="AG143" i="79"/>
  <c r="EX123" i="79"/>
  <c r="EP132" i="80"/>
  <c r="R124" i="79"/>
  <c r="CL126" i="80"/>
  <c r="BF124" i="79"/>
  <c r="BN126" i="80"/>
  <c r="DB123" i="80"/>
  <c r="CL132" i="80"/>
  <c r="EH130" i="79"/>
  <c r="EP120" i="80"/>
  <c r="AP123" i="79"/>
  <c r="BF123" i="79"/>
  <c r="DB124" i="79"/>
  <c r="R130" i="79"/>
  <c r="EH132" i="80"/>
  <c r="DZ121" i="79"/>
  <c r="DR130" i="79"/>
  <c r="BV126" i="80"/>
  <c r="FN132" i="80"/>
  <c r="BN123" i="79"/>
  <c r="CT124" i="79"/>
  <c r="FN121" i="79"/>
  <c r="R121" i="79"/>
  <c r="DR123" i="79"/>
  <c r="CD123" i="79"/>
  <c r="AH130" i="79"/>
  <c r="Z123" i="80"/>
  <c r="BF126" i="80"/>
  <c r="DJ130" i="79"/>
  <c r="AX123" i="80"/>
  <c r="EP130" i="79"/>
  <c r="CL123" i="79"/>
  <c r="FN123" i="79"/>
  <c r="DJ123" i="79"/>
  <c r="CT130" i="79"/>
  <c r="DB130" i="79"/>
  <c r="DJ132" i="80"/>
  <c r="CL130" i="79"/>
  <c r="BV123" i="80"/>
  <c r="DR124" i="79"/>
  <c r="FN126" i="80"/>
  <c r="R123" i="79"/>
  <c r="FF123" i="79"/>
  <c r="EX121" i="79"/>
  <c r="CL124" i="79"/>
  <c r="DR132" i="80"/>
  <c r="EP124" i="79"/>
  <c r="EX130" i="79"/>
  <c r="DJ126" i="80"/>
  <c r="Z123" i="79"/>
  <c r="BV132" i="80"/>
  <c r="DR121" i="79"/>
  <c r="R123" i="80"/>
  <c r="AH132" i="80"/>
  <c r="AX126" i="80"/>
  <c r="AX123" i="79"/>
  <c r="FF132" i="80"/>
  <c r="CT121" i="79"/>
  <c r="DR126" i="80"/>
  <c r="AP121" i="79"/>
  <c r="EX126" i="80"/>
  <c r="BF104" i="79"/>
  <c r="EH104" i="80"/>
  <c r="AX104" i="79"/>
  <c r="BV104" i="80"/>
  <c r="BN104" i="79"/>
  <c r="EP114" i="80"/>
  <c r="CD104" i="79"/>
  <c r="FN114" i="80"/>
  <c r="DZ113" i="79"/>
  <c r="CT114" i="80"/>
  <c r="CD113" i="79"/>
  <c r="EX114" i="80"/>
  <c r="DJ113" i="79"/>
  <c r="AX114" i="80"/>
  <c r="CT104" i="80"/>
  <c r="CL104" i="80"/>
  <c r="BN114" i="80"/>
  <c r="AP96" i="79"/>
  <c r="AN100" i="79"/>
  <c r="DR97" i="79"/>
  <c r="DQ100" i="79"/>
  <c r="BN96" i="79"/>
  <c r="BL100" i="79"/>
  <c r="FL100" i="79"/>
  <c r="FN99" i="79"/>
  <c r="DZ99" i="79"/>
  <c r="AG100" i="79"/>
  <c r="DA100" i="79"/>
  <c r="CT96" i="80"/>
  <c r="X100" i="80"/>
  <c r="CB100" i="79"/>
  <c r="CD96" i="79"/>
  <c r="BF97" i="80"/>
  <c r="CJ100" i="80"/>
  <c r="EH97" i="80"/>
  <c r="EF100" i="80"/>
  <c r="AN100" i="80"/>
  <c r="AP96" i="80"/>
  <c r="BV97" i="80"/>
  <c r="FD100" i="80"/>
  <c r="DB96" i="80"/>
  <c r="EH96" i="79"/>
  <c r="EH100" i="79" s="1"/>
  <c r="EF100" i="79"/>
  <c r="CJ100" i="79"/>
  <c r="CL96" i="79"/>
  <c r="BU100" i="80"/>
  <c r="FN96" i="79"/>
  <c r="FM100" i="79"/>
  <c r="Y100" i="80"/>
  <c r="CD96" i="80"/>
  <c r="CB100" i="80"/>
  <c r="EG100" i="79"/>
  <c r="Z96" i="79"/>
  <c r="X100" i="79"/>
  <c r="AX97" i="80"/>
  <c r="DP100" i="79"/>
  <c r="DR96" i="79"/>
  <c r="FD100" i="79"/>
  <c r="FF96" i="79"/>
  <c r="CT96" i="79"/>
  <c r="CR100" i="79"/>
  <c r="Y100" i="79"/>
  <c r="BM100" i="79"/>
  <c r="Q100" i="79"/>
  <c r="AV100" i="79"/>
  <c r="AX96" i="79"/>
  <c r="AX100" i="79" s="1"/>
  <c r="CK100" i="79"/>
  <c r="BV96" i="80"/>
  <c r="BT100" i="80"/>
  <c r="R96" i="80"/>
  <c r="P100" i="80"/>
  <c r="BU100" i="79"/>
  <c r="BV96" i="79"/>
  <c r="CK100" i="80"/>
  <c r="DX100" i="80"/>
  <c r="DZ96" i="80"/>
  <c r="AF100" i="79"/>
  <c r="AH96" i="79"/>
  <c r="AH100" i="79" s="1"/>
  <c r="EN100" i="79"/>
  <c r="EP96" i="79"/>
  <c r="DP100" i="80"/>
  <c r="AW100" i="79"/>
  <c r="CS100" i="79"/>
  <c r="EV100" i="80"/>
  <c r="EX96" i="80"/>
  <c r="DH100" i="79"/>
  <c r="DJ96" i="79"/>
  <c r="EV100" i="79"/>
  <c r="EX96" i="79"/>
  <c r="BD100" i="80"/>
  <c r="BF96" i="80"/>
  <c r="DJ96" i="80"/>
  <c r="DH100" i="80"/>
  <c r="P100" i="79"/>
  <c r="R96" i="79"/>
  <c r="DX100" i="79"/>
  <c r="DZ96" i="79"/>
  <c r="DQ100" i="80"/>
  <c r="DI100" i="79"/>
  <c r="EO100" i="79"/>
  <c r="FN96" i="80"/>
  <c r="AV100" i="80"/>
  <c r="AX96" i="80"/>
  <c r="BN96" i="80"/>
  <c r="BL100" i="80"/>
  <c r="CC100" i="80"/>
  <c r="CL97" i="80"/>
  <c r="CD97" i="80"/>
  <c r="DR97" i="80"/>
  <c r="EP99" i="79"/>
  <c r="BD100" i="79"/>
  <c r="BF96" i="79"/>
  <c r="BF100" i="79" s="1"/>
  <c r="DB96" i="79"/>
  <c r="CZ100" i="79"/>
  <c r="DR96" i="80"/>
  <c r="BE100" i="79"/>
  <c r="DY100" i="79"/>
  <c r="BT100" i="79"/>
  <c r="R87" i="79"/>
  <c r="AH87" i="80"/>
  <c r="R87" i="80"/>
  <c r="BN87" i="80"/>
  <c r="EX87" i="80"/>
  <c r="DR87" i="79"/>
  <c r="Z87" i="80"/>
  <c r="CD87" i="80"/>
  <c r="BN87" i="79"/>
  <c r="AP87" i="80"/>
  <c r="DB87" i="80"/>
  <c r="CT87" i="79"/>
  <c r="DZ87" i="79"/>
  <c r="CT87" i="80"/>
  <c r="DZ87" i="80"/>
  <c r="FF87" i="80"/>
  <c r="DJ87" i="79"/>
  <c r="CD87" i="79"/>
  <c r="DR57" i="80"/>
  <c r="EX57" i="79"/>
  <c r="DZ57" i="79"/>
  <c r="EH59" i="79"/>
  <c r="DR59" i="79"/>
  <c r="CL61" i="80"/>
  <c r="FF61" i="80"/>
  <c r="BV61" i="80"/>
  <c r="DB58" i="79"/>
  <c r="R58" i="79"/>
  <c r="CT58" i="79"/>
  <c r="EP68" i="80"/>
  <c r="Z73" i="79"/>
  <c r="BF57" i="80"/>
  <c r="DZ57" i="80"/>
  <c r="DB57" i="79"/>
  <c r="BF57" i="79"/>
  <c r="R71" i="80"/>
  <c r="DB59" i="79"/>
  <c r="CD59" i="79"/>
  <c r="R61" i="80"/>
  <c r="EP61" i="80"/>
  <c r="CL57" i="80"/>
  <c r="BV57" i="80"/>
  <c r="BV57" i="79"/>
  <c r="AH57" i="79"/>
  <c r="BF58" i="79"/>
  <c r="BN59" i="79"/>
  <c r="FF59" i="79"/>
  <c r="CT59" i="79"/>
  <c r="AH61" i="80"/>
  <c r="FN61" i="80"/>
  <c r="AX61" i="79"/>
  <c r="CT71" i="80"/>
  <c r="DB57" i="80"/>
  <c r="EX57" i="80"/>
  <c r="FF61" i="79"/>
  <c r="BN57" i="79"/>
  <c r="EP57" i="79"/>
  <c r="DR57" i="79"/>
  <c r="AX59" i="79"/>
  <c r="DZ59" i="79"/>
  <c r="FN59" i="79"/>
  <c r="AX61" i="80"/>
  <c r="CT61" i="80"/>
  <c r="AH61" i="79"/>
  <c r="BV61" i="79"/>
  <c r="EX71" i="80"/>
  <c r="EP61" i="79"/>
  <c r="FN57" i="79"/>
  <c r="CL58" i="79"/>
  <c r="DB68" i="80"/>
  <c r="BN71" i="80"/>
  <c r="CD57" i="80"/>
  <c r="AX57" i="80"/>
  <c r="CD57" i="79"/>
  <c r="EH57" i="79"/>
  <c r="FF57" i="79"/>
  <c r="BV73" i="79"/>
  <c r="DJ59" i="79"/>
  <c r="AP59" i="79"/>
  <c r="EP59" i="79"/>
  <c r="DR61" i="80"/>
  <c r="BN61" i="80"/>
  <c r="AH73" i="79"/>
  <c r="EH73" i="79"/>
  <c r="FF58" i="79"/>
  <c r="R57" i="80"/>
  <c r="CT57" i="80"/>
  <c r="DJ57" i="79"/>
  <c r="AP57" i="79"/>
  <c r="BF59" i="79"/>
  <c r="BV59" i="79"/>
  <c r="DB61" i="80"/>
  <c r="CD61" i="80"/>
  <c r="EX61" i="80"/>
  <c r="DJ58" i="79"/>
  <c r="EX73" i="79"/>
  <c r="EH57" i="80"/>
  <c r="AP57" i="80"/>
  <c r="AP73" i="79"/>
  <c r="CL57" i="79"/>
  <c r="R57" i="79"/>
  <c r="EX68" i="80"/>
  <c r="Z59" i="79"/>
  <c r="AH59" i="79"/>
  <c r="AP61" i="80"/>
  <c r="DZ61" i="80"/>
  <c r="EH61" i="80"/>
  <c r="AP58" i="79"/>
  <c r="DJ71" i="80"/>
  <c r="FN73" i="79"/>
  <c r="EX61" i="79"/>
  <c r="FN71" i="80"/>
  <c r="FF71" i="80"/>
  <c r="FF57" i="80"/>
  <c r="AH68" i="80"/>
  <c r="Z57" i="79"/>
  <c r="CT57" i="79"/>
  <c r="CD61" i="79"/>
  <c r="R59" i="79"/>
  <c r="EX59" i="79"/>
  <c r="Z61" i="80"/>
  <c r="DJ61" i="80"/>
  <c r="BF61" i="80"/>
  <c r="CZ399" i="79"/>
  <c r="CZ402" i="79" s="1"/>
  <c r="DB23" i="79"/>
  <c r="DB399" i="79" s="1"/>
  <c r="DH399" i="79"/>
  <c r="DH402" i="79" s="1"/>
  <c r="DH26" i="79"/>
  <c r="DJ23" i="79"/>
  <c r="DJ399" i="79" s="1"/>
  <c r="CI419" i="80"/>
  <c r="CI420" i="80" s="1"/>
  <c r="CI425" i="80"/>
  <c r="EU41" i="80"/>
  <c r="EU386" i="80" s="1"/>
  <c r="EU37" i="80"/>
  <c r="EU42" i="80"/>
  <c r="EU387" i="80" s="1"/>
  <c r="EU45" i="80"/>
  <c r="EU390" i="80" s="1"/>
  <c r="EU436" i="80" s="1"/>
  <c r="DW45" i="80"/>
  <c r="DW390" i="80" s="1"/>
  <c r="DW436" i="80" s="1"/>
  <c r="CI45" i="80"/>
  <c r="CI390" i="80" s="1"/>
  <c r="CI436" i="80" s="1"/>
  <c r="FC39" i="79"/>
  <c r="FC384" i="79" s="1"/>
  <c r="EM45" i="80"/>
  <c r="EM390" i="80" s="1"/>
  <c r="EM436" i="80" s="1"/>
  <c r="M48" i="80"/>
  <c r="EU38" i="80"/>
  <c r="EU383" i="80" s="1"/>
  <c r="EU434" i="80" s="1"/>
  <c r="DG47" i="80"/>
  <c r="DG392" i="80" s="1"/>
  <c r="CY42" i="80"/>
  <c r="CY387" i="80" s="1"/>
  <c r="FK43" i="80"/>
  <c r="FK388" i="80" s="1"/>
  <c r="FF23" i="79"/>
  <c r="FF399" i="79" s="1"/>
  <c r="BC425" i="80"/>
  <c r="BC419" i="80"/>
  <c r="BC420" i="80" s="1"/>
  <c r="EU425" i="80"/>
  <c r="EU419" i="80"/>
  <c r="EU420" i="80" s="1"/>
  <c r="CC26" i="79"/>
  <c r="FC45" i="79"/>
  <c r="FC390" i="79" s="1"/>
  <c r="FC405" i="79"/>
  <c r="FC409" i="79" s="1"/>
  <c r="EE42" i="80"/>
  <c r="EE387" i="80" s="1"/>
  <c r="EE45" i="80"/>
  <c r="EE390" i="80" s="1"/>
  <c r="EE436" i="80" s="1"/>
  <c r="CA43" i="80"/>
  <c r="CA388" i="80" s="1"/>
  <c r="BS43" i="80"/>
  <c r="BS388" i="80" s="1"/>
  <c r="V606" i="96"/>
  <c r="W179" i="94"/>
  <c r="J32" i="27"/>
  <c r="O1021" i="101"/>
  <c r="P100" i="98"/>
  <c r="N237" i="100"/>
  <c r="FK41" i="80"/>
  <c r="FK386" i="80" s="1"/>
  <c r="FK45" i="80"/>
  <c r="FK390" i="80" s="1"/>
  <c r="FK436" i="80" s="1"/>
  <c r="FK42" i="80"/>
  <c r="FK387" i="80" s="1"/>
  <c r="AP23" i="79"/>
  <c r="AP399" i="79" s="1"/>
  <c r="DX399" i="79"/>
  <c r="DX26" i="79"/>
  <c r="DZ23" i="79"/>
  <c r="DZ399" i="79" s="1"/>
  <c r="W419" i="80"/>
  <c r="W420" i="80" s="1"/>
  <c r="W425" i="80"/>
  <c r="DW425" i="80"/>
  <c r="DW419" i="80"/>
  <c r="DW420" i="80" s="1"/>
  <c r="U606" i="96"/>
  <c r="O100" i="98"/>
  <c r="I32" i="27"/>
  <c r="V179" i="94"/>
  <c r="N1021" i="101"/>
  <c r="M237" i="100"/>
  <c r="CD24" i="79"/>
  <c r="CD400" i="79" s="1"/>
  <c r="O45" i="80"/>
  <c r="O390" i="80" s="1"/>
  <c r="O436" i="80" s="1"/>
  <c r="FC38" i="79"/>
  <c r="FC383" i="79" s="1"/>
  <c r="EU48" i="80"/>
  <c r="EU393" i="80" s="1"/>
  <c r="EU40" i="80"/>
  <c r="EU385" i="80" s="1"/>
  <c r="AE43" i="80"/>
  <c r="AE388" i="80" s="1"/>
  <c r="DB418" i="80"/>
  <c r="DB424" i="80"/>
  <c r="FK425" i="80"/>
  <c r="FK419" i="80"/>
  <c r="FK420" i="80" s="1"/>
  <c r="BD26" i="79"/>
  <c r="X399" i="79"/>
  <c r="X402" i="79" s="1"/>
  <c r="X26" i="79"/>
  <c r="P399" i="79"/>
  <c r="P402" i="79" s="1"/>
  <c r="R23" i="79"/>
  <c r="R399" i="79" s="1"/>
  <c r="O425" i="80"/>
  <c r="O419" i="80"/>
  <c r="O420" i="80" s="1"/>
  <c r="EV402" i="79"/>
  <c r="FC42" i="79"/>
  <c r="FC387" i="79" s="1"/>
  <c r="EU46" i="80"/>
  <c r="EU391" i="80" s="1"/>
  <c r="EU437" i="80" s="1"/>
  <c r="EE43" i="80"/>
  <c r="EE388" i="80" s="1"/>
  <c r="AE41" i="80"/>
  <c r="AE386" i="80" s="1"/>
  <c r="AE45" i="80"/>
  <c r="AE390" i="80" s="1"/>
  <c r="AE436" i="80" s="1"/>
  <c r="EF26" i="79"/>
  <c r="EF399" i="79"/>
  <c r="EF402" i="79" s="1"/>
  <c r="EH23" i="79"/>
  <c r="EH399" i="79" s="1"/>
  <c r="AV399" i="79"/>
  <c r="AV402" i="79" s="1"/>
  <c r="AV405" i="79" s="1"/>
  <c r="AX23" i="79"/>
  <c r="AX399" i="79" s="1"/>
  <c r="AV26" i="79"/>
  <c r="I420" i="79"/>
  <c r="I421" i="79" s="1"/>
  <c r="I452" i="79" s="1"/>
  <c r="FC45" i="80"/>
  <c r="FC390" i="80" s="1"/>
  <c r="FC436" i="80" s="1"/>
  <c r="BK45" i="80"/>
  <c r="BK390" i="80" s="1"/>
  <c r="BK436" i="80" s="1"/>
  <c r="FC419" i="80"/>
  <c r="FC425" i="80"/>
  <c r="AE425" i="80"/>
  <c r="AE419" i="80"/>
  <c r="AE420" i="80" s="1"/>
  <c r="BL399" i="79"/>
  <c r="BL402" i="79" s="1"/>
  <c r="BL26" i="79"/>
  <c r="AM42" i="80"/>
  <c r="AM387" i="80" s="1"/>
  <c r="AM40" i="80"/>
  <c r="AM385" i="80" s="1"/>
  <c r="AM41" i="80"/>
  <c r="AM386" i="80" s="1"/>
  <c r="AM48" i="80"/>
  <c r="AM393" i="80" s="1"/>
  <c r="AM44" i="80"/>
  <c r="AM389" i="80" s="1"/>
  <c r="AM37" i="80"/>
  <c r="AM382" i="80" s="1"/>
  <c r="AM38" i="80"/>
  <c r="AM383" i="80" s="1"/>
  <c r="AM434" i="80" s="1"/>
  <c r="AM46" i="80"/>
  <c r="AM391" i="80" s="1"/>
  <c r="AM437" i="80" s="1"/>
  <c r="AM47" i="80"/>
  <c r="AM45" i="80"/>
  <c r="AM390" i="80" s="1"/>
  <c r="AM436" i="80" s="1"/>
  <c r="AM39" i="80"/>
  <c r="AM384" i="80" s="1"/>
  <c r="AM435" i="80" s="1"/>
  <c r="EM419" i="80"/>
  <c r="EM425" i="80"/>
  <c r="CZ26" i="79"/>
  <c r="DO45" i="80"/>
  <c r="DO390" i="80" s="1"/>
  <c r="DO436" i="80" s="1"/>
  <c r="EU44" i="80"/>
  <c r="EU389" i="80" s="1"/>
  <c r="EU47" i="80"/>
  <c r="EU392" i="80" s="1"/>
  <c r="BT399" i="79"/>
  <c r="BT402" i="79" s="1"/>
  <c r="BT26" i="79"/>
  <c r="BV23" i="79"/>
  <c r="BV399" i="79" s="1"/>
  <c r="BK425" i="80"/>
  <c r="BK419" i="80"/>
  <c r="CA425" i="80"/>
  <c r="CA419" i="80"/>
  <c r="CA420" i="80" s="1"/>
  <c r="AE42" i="80"/>
  <c r="AE387" i="80" s="1"/>
  <c r="BS42" i="80"/>
  <c r="BS387" i="80" s="1"/>
  <c r="AM419" i="80"/>
  <c r="AM420" i="80" s="1"/>
  <c r="AM425" i="80"/>
  <c r="DG419" i="80"/>
  <c r="DG420" i="80" s="1"/>
  <c r="DG425" i="80"/>
  <c r="CQ419" i="80"/>
  <c r="CQ420" i="80" s="1"/>
  <c r="CQ425" i="80"/>
  <c r="BF22" i="79"/>
  <c r="BF398" i="79" s="1"/>
  <c r="BC45" i="80"/>
  <c r="BC390" i="80" s="1"/>
  <c r="BC436" i="80" s="1"/>
  <c r="AF402" i="80"/>
  <c r="FC43" i="79"/>
  <c r="FC388" i="79" s="1"/>
  <c r="AU45" i="80"/>
  <c r="AU390" i="80" s="1"/>
  <c r="AU436" i="80" s="1"/>
  <c r="CQ45" i="80"/>
  <c r="CQ390" i="80" s="1"/>
  <c r="CQ436" i="80" s="1"/>
  <c r="CY45" i="80"/>
  <c r="CY390" i="80" s="1"/>
  <c r="CY436" i="80" s="1"/>
  <c r="EU39" i="80"/>
  <c r="EU384" i="80" s="1"/>
  <c r="EU435" i="80" s="1"/>
  <c r="CR399" i="79"/>
  <c r="CR402" i="79" s="1"/>
  <c r="CT23" i="79"/>
  <c r="CT399" i="79" s="1"/>
  <c r="CA41" i="80"/>
  <c r="CA386" i="80" s="1"/>
  <c r="CA42" i="80"/>
  <c r="CA387" i="80" s="1"/>
  <c r="CA48" i="80"/>
  <c r="CA393" i="80" s="1"/>
  <c r="CA44" i="80"/>
  <c r="CA389" i="80" s="1"/>
  <c r="CA45" i="80"/>
  <c r="CA390" i="80" s="1"/>
  <c r="CA436" i="80" s="1"/>
  <c r="CA39" i="80"/>
  <c r="CA384" i="80" s="1"/>
  <c r="CA435" i="80" s="1"/>
  <c r="AU425" i="80"/>
  <c r="AU419" i="80"/>
  <c r="AU420" i="80" s="1"/>
  <c r="AU405" i="80"/>
  <c r="AU409" i="80" s="1"/>
  <c r="DG45" i="80"/>
  <c r="DG390" i="80" s="1"/>
  <c r="DG436" i="80" s="1"/>
  <c r="DG41" i="80"/>
  <c r="DG386" i="80" s="1"/>
  <c r="DG42" i="80"/>
  <c r="DG387" i="80" s="1"/>
  <c r="BF23" i="79"/>
  <c r="BF399" i="79" s="1"/>
  <c r="FC44" i="79"/>
  <c r="FC389" i="79" s="1"/>
  <c r="FD404" i="80"/>
  <c r="FD34" i="80"/>
  <c r="FF33" i="80"/>
  <c r="DH404" i="80"/>
  <c r="DH34" i="80"/>
  <c r="DJ33" i="80"/>
  <c r="Z33" i="79"/>
  <c r="Y419" i="79"/>
  <c r="Y34" i="79"/>
  <c r="Y404" i="79"/>
  <c r="Y425" i="79" s="1"/>
  <c r="CL33" i="79"/>
  <c r="CK34" i="79"/>
  <c r="CK404" i="79"/>
  <c r="CK425" i="79" s="1"/>
  <c r="CK419" i="79"/>
  <c r="D53" i="35"/>
  <c r="D58" i="35" s="1"/>
  <c r="R50" i="35"/>
  <c r="R19" i="35" s="1"/>
  <c r="Q50" i="35"/>
  <c r="D50" i="35"/>
  <c r="CK34" i="80"/>
  <c r="CK404" i="80"/>
  <c r="AW404" i="80"/>
  <c r="AW34" i="80"/>
  <c r="BM404" i="80"/>
  <c r="BM34" i="80"/>
  <c r="DJ29" i="79"/>
  <c r="DJ30" i="79" s="1"/>
  <c r="DJ403" i="79" s="1"/>
  <c r="DJ424" i="79" s="1"/>
  <c r="AX33" i="80"/>
  <c r="AV34" i="80"/>
  <c r="AV404" i="80"/>
  <c r="DX34" i="80"/>
  <c r="DZ33" i="80"/>
  <c r="DX404" i="80"/>
  <c r="Q87" i="35"/>
  <c r="S87" i="35" s="1"/>
  <c r="S65" i="35"/>
  <c r="BF33" i="79"/>
  <c r="BE34" i="79"/>
  <c r="BE404" i="79"/>
  <c r="BE425" i="79" s="1"/>
  <c r="BE419" i="79"/>
  <c r="EO404" i="79"/>
  <c r="EO425" i="79" s="1"/>
  <c r="EO419" i="79"/>
  <c r="EP33" i="79"/>
  <c r="EO34" i="79"/>
  <c r="AO404" i="80"/>
  <c r="AO34" i="80"/>
  <c r="BU404" i="80"/>
  <c r="BU34" i="80"/>
  <c r="X402" i="80"/>
  <c r="BD404" i="80"/>
  <c r="BD405" i="80" s="1"/>
  <c r="BF33" i="80"/>
  <c r="BD34" i="80"/>
  <c r="EV404" i="80"/>
  <c r="EX33" i="80"/>
  <c r="EV34" i="80"/>
  <c r="CC419" i="79"/>
  <c r="CC404" i="79"/>
  <c r="CC425" i="79" s="1"/>
  <c r="CD33" i="79"/>
  <c r="CC34" i="79"/>
  <c r="CS404" i="79"/>
  <c r="CS425" i="79" s="1"/>
  <c r="CS34" i="79"/>
  <c r="CS419" i="79"/>
  <c r="CT33" i="79"/>
  <c r="CS34" i="80"/>
  <c r="CS404" i="80"/>
  <c r="Q404" i="80"/>
  <c r="Q34" i="80"/>
  <c r="R34" i="82"/>
  <c r="G85" i="35"/>
  <c r="EN34" i="80"/>
  <c r="EN404" i="80"/>
  <c r="EP33" i="80"/>
  <c r="CD33" i="80"/>
  <c r="CB34" i="80"/>
  <c r="CB404" i="80"/>
  <c r="BU34" i="79"/>
  <c r="BU419" i="79"/>
  <c r="BV33" i="79"/>
  <c r="BU404" i="79"/>
  <c r="BU425" i="79" s="1"/>
  <c r="DA404" i="79"/>
  <c r="DA425" i="79" s="1"/>
  <c r="DA34" i="79"/>
  <c r="DA419" i="79"/>
  <c r="DB33" i="79"/>
  <c r="DQ34" i="80"/>
  <c r="DQ404" i="80"/>
  <c r="AG34" i="80"/>
  <c r="AG404" i="80"/>
  <c r="DW41" i="79"/>
  <c r="DW386" i="79" s="1"/>
  <c r="DJ16" i="79"/>
  <c r="DJ410" i="79" s="1"/>
  <c r="DJ426" i="79" s="1"/>
  <c r="P404" i="80"/>
  <c r="R33" i="80"/>
  <c r="P34" i="80"/>
  <c r="X404" i="80"/>
  <c r="X34" i="80"/>
  <c r="Z33" i="80"/>
  <c r="DA34" i="80"/>
  <c r="DA404" i="80"/>
  <c r="Q87" i="82"/>
  <c r="S87" i="82" s="1"/>
  <c r="S65" i="82"/>
  <c r="DY404" i="79"/>
  <c r="DY425" i="79" s="1"/>
  <c r="DY419" i="79"/>
  <c r="DY34" i="79"/>
  <c r="DZ33" i="79"/>
  <c r="FM404" i="79"/>
  <c r="FM425" i="79" s="1"/>
  <c r="FN33" i="79"/>
  <c r="FM34" i="79"/>
  <c r="FM419" i="79"/>
  <c r="FE404" i="80"/>
  <c r="FE34" i="80"/>
  <c r="EO404" i="80"/>
  <c r="EO34" i="80"/>
  <c r="CL424" i="80"/>
  <c r="CL418" i="80"/>
  <c r="R36" i="82"/>
  <c r="F85" i="35"/>
  <c r="FC46" i="79"/>
  <c r="FC437" i="79" s="1"/>
  <c r="G79" i="85"/>
  <c r="EF404" i="80"/>
  <c r="EF34" i="80"/>
  <c r="EH33" i="80"/>
  <c r="AN404" i="80"/>
  <c r="AN34" i="80"/>
  <c r="AP33" i="80"/>
  <c r="CR404" i="80"/>
  <c r="CT33" i="80"/>
  <c r="CR34" i="80"/>
  <c r="FE34" i="79"/>
  <c r="FE419" i="79"/>
  <c r="FE404" i="79"/>
  <c r="FE425" i="79" s="1"/>
  <c r="FF33" i="79"/>
  <c r="Q34" i="79"/>
  <c r="Q404" i="79"/>
  <c r="Q425" i="79" s="1"/>
  <c r="R33" i="79"/>
  <c r="Q419" i="79"/>
  <c r="FM404" i="80"/>
  <c r="FM34" i="80"/>
  <c r="DI404" i="80"/>
  <c r="DI34" i="80"/>
  <c r="CT16" i="79"/>
  <c r="CT410" i="79" s="1"/>
  <c r="CT426" i="79" s="1"/>
  <c r="FC47" i="79"/>
  <c r="FC392" i="79" s="1"/>
  <c r="CZ404" i="80"/>
  <c r="CZ34" i="80"/>
  <c r="DB33" i="80"/>
  <c r="AH33" i="80"/>
  <c r="AF404" i="80"/>
  <c r="AF34" i="80"/>
  <c r="BL404" i="80"/>
  <c r="BL405" i="80" s="1"/>
  <c r="BN33" i="80"/>
  <c r="BL34" i="80"/>
  <c r="BT404" i="80"/>
  <c r="BT34" i="80"/>
  <c r="BV33" i="80"/>
  <c r="AG419" i="79"/>
  <c r="AH33" i="79"/>
  <c r="AG34" i="79"/>
  <c r="AG404" i="79"/>
  <c r="AG425" i="79" s="1"/>
  <c r="EG419" i="79"/>
  <c r="EG404" i="79"/>
  <c r="EG425" i="79" s="1"/>
  <c r="EH33" i="79"/>
  <c r="EG34" i="79"/>
  <c r="DI404" i="79"/>
  <c r="DI425" i="79" s="1"/>
  <c r="DI34" i="79"/>
  <c r="DI419" i="79"/>
  <c r="DJ33" i="79"/>
  <c r="DY404" i="80"/>
  <c r="DY34" i="80"/>
  <c r="CC404" i="80"/>
  <c r="CC34" i="80"/>
  <c r="EG419" i="80"/>
  <c r="EG420" i="80" s="1"/>
  <c r="EG421" i="80" s="1"/>
  <c r="EG452" i="80" s="1"/>
  <c r="EG425" i="80"/>
  <c r="DB16" i="79"/>
  <c r="DB410" i="79" s="1"/>
  <c r="CY426" i="79" s="1"/>
  <c r="FN33" i="80"/>
  <c r="FL34" i="80"/>
  <c r="FL404" i="80"/>
  <c r="CJ404" i="80"/>
  <c r="CJ34" i="80"/>
  <c r="CL33" i="80"/>
  <c r="DP404" i="80"/>
  <c r="DP34" i="80"/>
  <c r="DR33" i="80"/>
  <c r="DB426" i="80"/>
  <c r="CY426" i="80"/>
  <c r="EE382" i="80"/>
  <c r="EW419" i="79"/>
  <c r="EX33" i="79"/>
  <c r="EW404" i="79"/>
  <c r="EW425" i="79" s="1"/>
  <c r="EW34" i="79"/>
  <c r="BM404" i="79"/>
  <c r="BM425" i="79" s="1"/>
  <c r="BM419" i="79"/>
  <c r="BM34" i="79"/>
  <c r="BN33" i="79"/>
  <c r="DQ419" i="79"/>
  <c r="DQ404" i="79"/>
  <c r="DQ425" i="79" s="1"/>
  <c r="DR33" i="79"/>
  <c r="DQ34" i="79"/>
  <c r="EW404" i="80"/>
  <c r="EW34" i="80"/>
  <c r="BE404" i="80"/>
  <c r="BE34" i="80"/>
  <c r="Y404" i="80"/>
  <c r="Y34" i="80"/>
  <c r="DR400" i="80"/>
  <c r="CL400" i="80"/>
  <c r="AH400" i="80"/>
  <c r="DO418" i="80"/>
  <c r="DO424" i="80"/>
  <c r="DO405" i="80"/>
  <c r="DO409" i="80" s="1"/>
  <c r="BM403" i="79"/>
  <c r="BM424" i="79" s="1"/>
  <c r="BM418" i="79"/>
  <c r="AW30" i="79"/>
  <c r="AX29" i="79"/>
  <c r="AX30" i="79" s="1"/>
  <c r="BN29" i="79"/>
  <c r="BN30" i="79" s="1"/>
  <c r="EE41" i="79"/>
  <c r="EE386" i="79" s="1"/>
  <c r="EE45" i="79"/>
  <c r="EE44" i="79"/>
  <c r="EE389" i="79" s="1"/>
  <c r="EE37" i="79"/>
  <c r="EE47" i="79"/>
  <c r="EE43" i="79"/>
  <c r="EE388" i="79" s="1"/>
  <c r="EE46" i="79"/>
  <c r="EE40" i="79"/>
  <c r="EE385" i="79" s="1"/>
  <c r="EE48" i="79"/>
  <c r="EE393" i="79" s="1"/>
  <c r="EE42" i="79"/>
  <c r="EE387" i="79" s="1"/>
  <c r="EE38" i="79"/>
  <c r="EE39" i="79"/>
  <c r="Y426" i="79"/>
  <c r="DW45" i="79"/>
  <c r="FC48" i="79"/>
  <c r="FC393" i="79" s="1"/>
  <c r="BD403" i="79"/>
  <c r="BD424" i="79" s="1"/>
  <c r="BD418" i="79"/>
  <c r="EF418" i="80"/>
  <c r="EF424" i="80"/>
  <c r="DP410" i="79"/>
  <c r="DR16" i="79"/>
  <c r="DR410" i="79" s="1"/>
  <c r="DR426" i="79" s="1"/>
  <c r="O41" i="79"/>
  <c r="O386" i="79" s="1"/>
  <c r="O48" i="79"/>
  <c r="O393" i="79" s="1"/>
  <c r="O42" i="79"/>
  <c r="O387" i="79" s="1"/>
  <c r="O43" i="79"/>
  <c r="O388" i="79" s="1"/>
  <c r="O37" i="79"/>
  <c r="O38" i="79"/>
  <c r="O47" i="79"/>
  <c r="O39" i="79"/>
  <c r="O45" i="79"/>
  <c r="O44" i="79"/>
  <c r="O389" i="79" s="1"/>
  <c r="O46" i="79"/>
  <c r="O40" i="79"/>
  <c r="O385" i="79" s="1"/>
  <c r="FF418" i="79"/>
  <c r="FF403" i="79"/>
  <c r="FF424" i="79" s="1"/>
  <c r="BK38" i="79"/>
  <c r="BK41" i="79"/>
  <c r="BK386" i="79" s="1"/>
  <c r="BK39" i="79"/>
  <c r="BK37" i="79"/>
  <c r="BK40" i="79"/>
  <c r="BK385" i="79" s="1"/>
  <c r="BK47" i="79"/>
  <c r="BK48" i="79"/>
  <c r="BK393" i="79" s="1"/>
  <c r="BK45" i="79"/>
  <c r="BK46" i="79"/>
  <c r="BK43" i="79"/>
  <c r="BK388" i="79" s="1"/>
  <c r="BK42" i="79"/>
  <c r="BK387" i="79" s="1"/>
  <c r="BK44" i="79"/>
  <c r="BK389" i="79" s="1"/>
  <c r="BN418" i="80"/>
  <c r="BN424" i="80"/>
  <c r="EV410" i="79"/>
  <c r="EX16" i="79"/>
  <c r="EX410" i="79" s="1"/>
  <c r="BE403" i="79"/>
  <c r="BE424" i="79" s="1"/>
  <c r="BE418" i="79"/>
  <c r="Q30" i="79"/>
  <c r="R29" i="79"/>
  <c r="R30" i="79" s="1"/>
  <c r="BL418" i="79"/>
  <c r="BL403" i="79"/>
  <c r="CT29" i="79"/>
  <c r="CT30" i="79" s="1"/>
  <c r="X410" i="79"/>
  <c r="Z16" i="79"/>
  <c r="Z410" i="79" s="1"/>
  <c r="Z426" i="79" s="1"/>
  <c r="DW43" i="79"/>
  <c r="DW388" i="79" s="1"/>
  <c r="DW38" i="79"/>
  <c r="FD418" i="79"/>
  <c r="FD420" i="79" s="1"/>
  <c r="FD403" i="79"/>
  <c r="FD424" i="79" s="1"/>
  <c r="FD430" i="79" s="1"/>
  <c r="BL410" i="79"/>
  <c r="BN16" i="79"/>
  <c r="BN410" i="79" s="1"/>
  <c r="BN426" i="79" s="1"/>
  <c r="BL424" i="80"/>
  <c r="BL418" i="80"/>
  <c r="AG30" i="79"/>
  <c r="AH29" i="79"/>
  <c r="AH30" i="79" s="1"/>
  <c r="DI418" i="79"/>
  <c r="DI403" i="79"/>
  <c r="DI424" i="79" s="1"/>
  <c r="BV29" i="79"/>
  <c r="BV30" i="79" s="1"/>
  <c r="AX16" i="79"/>
  <c r="AX410" i="79" s="1"/>
  <c r="AX426" i="79" s="1"/>
  <c r="FC40" i="79"/>
  <c r="FC385" i="79" s="1"/>
  <c r="W39" i="79"/>
  <c r="W38" i="79"/>
  <c r="W48" i="79"/>
  <c r="W393" i="79" s="1"/>
  <c r="W43" i="79"/>
  <c r="W388" i="79" s="1"/>
  <c r="W47" i="79"/>
  <c r="W45" i="79"/>
  <c r="W44" i="79"/>
  <c r="W389" i="79" s="1"/>
  <c r="W37" i="79"/>
  <c r="W40" i="79"/>
  <c r="W385" i="79" s="1"/>
  <c r="W41" i="79"/>
  <c r="W386" i="79" s="1"/>
  <c r="W46" i="79"/>
  <c r="W42" i="79"/>
  <c r="W387" i="79" s="1"/>
  <c r="EP16" i="79"/>
  <c r="EP410" i="79" s="1"/>
  <c r="AM44" i="79"/>
  <c r="AM389" i="79" s="1"/>
  <c r="AM47" i="79"/>
  <c r="AM48" i="79"/>
  <c r="AM393" i="79" s="1"/>
  <c r="AM38" i="79"/>
  <c r="AM43" i="79"/>
  <c r="AM388" i="79" s="1"/>
  <c r="AM41" i="79"/>
  <c r="AM386" i="79" s="1"/>
  <c r="AM46" i="79"/>
  <c r="AM42" i="79"/>
  <c r="AM387" i="79" s="1"/>
  <c r="AM45" i="79"/>
  <c r="AM37" i="79"/>
  <c r="AM40" i="79"/>
  <c r="AM385" i="79" s="1"/>
  <c r="AM39" i="79"/>
  <c r="BM426" i="79"/>
  <c r="EM44" i="79"/>
  <c r="EM389" i="79" s="1"/>
  <c r="EM42" i="79"/>
  <c r="EM387" i="79" s="1"/>
  <c r="EM43" i="79"/>
  <c r="EM388" i="79" s="1"/>
  <c r="EM40" i="79"/>
  <c r="EM385" i="79" s="1"/>
  <c r="EM46" i="79"/>
  <c r="EM38" i="79"/>
  <c r="EM37" i="79"/>
  <c r="EM45" i="79"/>
  <c r="EM47" i="79"/>
  <c r="EM48" i="79"/>
  <c r="EM393" i="79" s="1"/>
  <c r="EM41" i="79"/>
  <c r="EM386" i="79" s="1"/>
  <c r="EM39" i="79"/>
  <c r="CS426" i="79"/>
  <c r="FK37" i="79"/>
  <c r="FK45" i="79"/>
  <c r="FK39" i="79"/>
  <c r="FK41" i="79"/>
  <c r="FK386" i="79" s="1"/>
  <c r="FK43" i="79"/>
  <c r="FK388" i="79" s="1"/>
  <c r="FK48" i="79"/>
  <c r="FK393" i="79" s="1"/>
  <c r="FK42" i="79"/>
  <c r="FK387" i="79" s="1"/>
  <c r="FK46" i="79"/>
  <c r="FK44" i="79"/>
  <c r="FK389" i="79" s="1"/>
  <c r="FK38" i="79"/>
  <c r="FK47" i="79"/>
  <c r="FK40" i="79"/>
  <c r="FK385" i="79" s="1"/>
  <c r="CL16" i="79"/>
  <c r="CL410" i="79" s="1"/>
  <c r="CL426" i="79" s="1"/>
  <c r="Y30" i="79"/>
  <c r="Z29" i="79"/>
  <c r="Z30" i="79" s="1"/>
  <c r="CS403" i="79"/>
  <c r="CS424" i="79" s="1"/>
  <c r="CS418" i="79"/>
  <c r="BS39" i="79"/>
  <c r="BS37" i="79"/>
  <c r="BS40" i="79"/>
  <c r="BS385" i="79" s="1"/>
  <c r="BS38" i="79"/>
  <c r="BS44" i="79"/>
  <c r="BS389" i="79" s="1"/>
  <c r="BS45" i="79"/>
  <c r="BS41" i="79"/>
  <c r="BS386" i="79" s="1"/>
  <c r="BS47" i="79"/>
  <c r="BS46" i="79"/>
  <c r="BS43" i="79"/>
  <c r="BS388" i="79" s="1"/>
  <c r="BS48" i="79"/>
  <c r="BS393" i="79" s="1"/>
  <c r="BS42" i="79"/>
  <c r="BS387" i="79" s="1"/>
  <c r="M48" i="79"/>
  <c r="BT403" i="79"/>
  <c r="BT418" i="79"/>
  <c r="EM424" i="80"/>
  <c r="EM418" i="80"/>
  <c r="AW426" i="79"/>
  <c r="DW42" i="79"/>
  <c r="DW387" i="79" s="1"/>
  <c r="EP424" i="80"/>
  <c r="EP418" i="80"/>
  <c r="DI426" i="79"/>
  <c r="CY44" i="79"/>
  <c r="CY389" i="79" s="1"/>
  <c r="CY48" i="79"/>
  <c r="CY393" i="79" s="1"/>
  <c r="CY37" i="79"/>
  <c r="CY38" i="79"/>
  <c r="CY41" i="79"/>
  <c r="CY386" i="79" s="1"/>
  <c r="CY45" i="79"/>
  <c r="CY43" i="79"/>
  <c r="CY388" i="79" s="1"/>
  <c r="CY47" i="79"/>
  <c r="CY42" i="79"/>
  <c r="CY387" i="79" s="1"/>
  <c r="CY46" i="79"/>
  <c r="CY39" i="79"/>
  <c r="CY40" i="79"/>
  <c r="CY385" i="79" s="1"/>
  <c r="DX403" i="79"/>
  <c r="DX424" i="79" s="1"/>
  <c r="DX418" i="79"/>
  <c r="BC42" i="79"/>
  <c r="BC387" i="79" s="1"/>
  <c r="BC39" i="79"/>
  <c r="BC40" i="79"/>
  <c r="BC385" i="79" s="1"/>
  <c r="BC47" i="79"/>
  <c r="BC38" i="79"/>
  <c r="BC37" i="79"/>
  <c r="BC46" i="79"/>
  <c r="BC45" i="79"/>
  <c r="BC41" i="79"/>
  <c r="BC386" i="79" s="1"/>
  <c r="BC43" i="79"/>
  <c r="BC388" i="79" s="1"/>
  <c r="BC48" i="79"/>
  <c r="BC393" i="79" s="1"/>
  <c r="BC44" i="79"/>
  <c r="BC389" i="79" s="1"/>
  <c r="CK426" i="79"/>
  <c r="CK30" i="79"/>
  <c r="CL29" i="79"/>
  <c r="CL30" i="79" s="1"/>
  <c r="EW30" i="79"/>
  <c r="EX29" i="79"/>
  <c r="EX30" i="79" s="1"/>
  <c r="AO30" i="79"/>
  <c r="AP29" i="79"/>
  <c r="AP30" i="79" s="1"/>
  <c r="FN424" i="80"/>
  <c r="FN418" i="80"/>
  <c r="CD29" i="79"/>
  <c r="CD30" i="79" s="1"/>
  <c r="FC424" i="80"/>
  <c r="FC418" i="80"/>
  <c r="FC405" i="80"/>
  <c r="FC409" i="80" s="1"/>
  <c r="EN418" i="80"/>
  <c r="EN424" i="80"/>
  <c r="CI38" i="79"/>
  <c r="CI42" i="79"/>
  <c r="CI387" i="79" s="1"/>
  <c r="CI46" i="79"/>
  <c r="CI40" i="79"/>
  <c r="CI385" i="79" s="1"/>
  <c r="CI45" i="79"/>
  <c r="CI39" i="79"/>
  <c r="CI44" i="79"/>
  <c r="CI389" i="79" s="1"/>
  <c r="CI47" i="79"/>
  <c r="CI37" i="79"/>
  <c r="CI48" i="79"/>
  <c r="CI393" i="79" s="1"/>
  <c r="CI41" i="79"/>
  <c r="CI386" i="79" s="1"/>
  <c r="CI43" i="79"/>
  <c r="CI388" i="79" s="1"/>
  <c r="DH418" i="79"/>
  <c r="DH403" i="79"/>
  <c r="CQ48" i="79"/>
  <c r="CQ393" i="79" s="1"/>
  <c r="CQ42" i="79"/>
  <c r="CQ387" i="79" s="1"/>
  <c r="CQ38" i="79"/>
  <c r="CQ41" i="79"/>
  <c r="CQ386" i="79" s="1"/>
  <c r="CQ39" i="79"/>
  <c r="CQ43" i="79"/>
  <c r="CQ388" i="79" s="1"/>
  <c r="CQ40" i="79"/>
  <c r="CQ385" i="79" s="1"/>
  <c r="CQ37" i="79"/>
  <c r="CQ47" i="79"/>
  <c r="CQ45" i="79"/>
  <c r="CQ46" i="79"/>
  <c r="CQ44" i="79"/>
  <c r="CQ389" i="79" s="1"/>
  <c r="DQ418" i="79"/>
  <c r="DQ403" i="79"/>
  <c r="DQ424" i="79" s="1"/>
  <c r="CC403" i="79"/>
  <c r="CC424" i="79" s="1"/>
  <c r="CC418" i="79"/>
  <c r="EG30" i="79"/>
  <c r="EH29" i="79"/>
  <c r="EH30" i="79" s="1"/>
  <c r="EO30" i="79"/>
  <c r="EP29" i="79"/>
  <c r="EP30" i="79" s="1"/>
  <c r="FL424" i="80"/>
  <c r="FL418" i="80"/>
  <c r="BD418" i="80"/>
  <c r="BD424" i="80"/>
  <c r="CA44" i="79"/>
  <c r="CA389" i="79" s="1"/>
  <c r="CA39" i="79"/>
  <c r="CA37" i="79"/>
  <c r="CA38" i="79"/>
  <c r="CA48" i="79"/>
  <c r="CA393" i="79" s="1"/>
  <c r="CA47" i="79"/>
  <c r="CA46" i="79"/>
  <c r="CA42" i="79"/>
  <c r="CA387" i="79" s="1"/>
  <c r="CA45" i="79"/>
  <c r="CA40" i="79"/>
  <c r="CA385" i="79" s="1"/>
  <c r="CA41" i="79"/>
  <c r="CA386" i="79" s="1"/>
  <c r="CA43" i="79"/>
  <c r="CA388" i="79" s="1"/>
  <c r="CB418" i="79"/>
  <c r="CB420" i="79" s="1"/>
  <c r="CB421" i="79" s="1"/>
  <c r="CB403" i="79"/>
  <c r="DO40" i="79"/>
  <c r="DO385" i="79" s="1"/>
  <c r="DO47" i="79"/>
  <c r="DO38" i="79"/>
  <c r="DO42" i="79"/>
  <c r="DO387" i="79" s="1"/>
  <c r="DO37" i="79"/>
  <c r="DO39" i="79"/>
  <c r="DO41" i="79"/>
  <c r="DO386" i="79" s="1"/>
  <c r="DO46" i="79"/>
  <c r="DO44" i="79"/>
  <c r="DO389" i="79" s="1"/>
  <c r="DO43" i="79"/>
  <c r="DO388" i="79" s="1"/>
  <c r="DO48" i="79"/>
  <c r="DO393" i="79" s="1"/>
  <c r="DO45" i="79"/>
  <c r="DW39" i="79"/>
  <c r="BK418" i="80"/>
  <c r="BK424" i="80"/>
  <c r="BK405" i="80"/>
  <c r="BK409" i="80" s="1"/>
  <c r="DP418" i="79"/>
  <c r="DP420" i="79" s="1"/>
  <c r="DP403" i="79"/>
  <c r="DP424" i="79" s="1"/>
  <c r="DP430" i="79" s="1"/>
  <c r="FF424" i="80"/>
  <c r="FF418" i="80"/>
  <c r="AE37" i="79"/>
  <c r="AE38" i="79"/>
  <c r="AE39" i="79"/>
  <c r="AE40" i="79"/>
  <c r="AE385" i="79" s="1"/>
  <c r="AE42" i="79"/>
  <c r="AE387" i="79" s="1"/>
  <c r="AE47" i="79"/>
  <c r="AE43" i="79"/>
  <c r="AE388" i="79" s="1"/>
  <c r="AE45" i="79"/>
  <c r="AE41" i="79"/>
  <c r="AE386" i="79" s="1"/>
  <c r="AE44" i="79"/>
  <c r="AE389" i="79" s="1"/>
  <c r="AE46" i="79"/>
  <c r="AE48" i="79"/>
  <c r="AE393" i="79" s="1"/>
  <c r="FM30" i="79"/>
  <c r="FN29" i="79"/>
  <c r="FN30" i="79" s="1"/>
  <c r="DY418" i="79"/>
  <c r="DY403" i="79"/>
  <c r="DY424" i="79" s="1"/>
  <c r="CR424" i="80"/>
  <c r="CR418" i="80"/>
  <c r="BF418" i="80"/>
  <c r="BF424" i="80"/>
  <c r="BV424" i="80"/>
  <c r="BV418" i="80"/>
  <c r="DQ426" i="79"/>
  <c r="AU44" i="79"/>
  <c r="AU389" i="79" s="1"/>
  <c r="AU39" i="79"/>
  <c r="AU38" i="79"/>
  <c r="AU47" i="79"/>
  <c r="AU37" i="79"/>
  <c r="AU48" i="79"/>
  <c r="AU393" i="79" s="1"/>
  <c r="AU46" i="79"/>
  <c r="AU42" i="79"/>
  <c r="AU387" i="79" s="1"/>
  <c r="AU41" i="79"/>
  <c r="AU386" i="79" s="1"/>
  <c r="AU40" i="79"/>
  <c r="AU385" i="79" s="1"/>
  <c r="AU45" i="79"/>
  <c r="AU43" i="79"/>
  <c r="AU388" i="79" s="1"/>
  <c r="DR29" i="79"/>
  <c r="DR30" i="79" s="1"/>
  <c r="DG41" i="79"/>
  <c r="DG386" i="79" s="1"/>
  <c r="DG37" i="79"/>
  <c r="DG44" i="79"/>
  <c r="DG389" i="79" s="1"/>
  <c r="DG47" i="79"/>
  <c r="DG46" i="79"/>
  <c r="DG38" i="79"/>
  <c r="DG48" i="79"/>
  <c r="DG393" i="79" s="1"/>
  <c r="DG40" i="79"/>
  <c r="DG385" i="79" s="1"/>
  <c r="DG45" i="79"/>
  <c r="DG42" i="79"/>
  <c r="DG387" i="79" s="1"/>
  <c r="DG39" i="79"/>
  <c r="DG43" i="79"/>
  <c r="DG388" i="79" s="1"/>
  <c r="FD418" i="80"/>
  <c r="FD424" i="80"/>
  <c r="DA30" i="79"/>
  <c r="DB29" i="79"/>
  <c r="DB30" i="79" s="1"/>
  <c r="BU403" i="79"/>
  <c r="BU424" i="79" s="1"/>
  <c r="BU418" i="79"/>
  <c r="CT424" i="80"/>
  <c r="CT418" i="80"/>
  <c r="EU42" i="79"/>
  <c r="EU387" i="79" s="1"/>
  <c r="EU43" i="79"/>
  <c r="EU388" i="79" s="1"/>
  <c r="EU44" i="79"/>
  <c r="EU389" i="79" s="1"/>
  <c r="EU47" i="79"/>
  <c r="EU38" i="79"/>
  <c r="EU41" i="79"/>
  <c r="EU386" i="79" s="1"/>
  <c r="EU48" i="79"/>
  <c r="EU393" i="79" s="1"/>
  <c r="EU46" i="79"/>
  <c r="EU37" i="79"/>
  <c r="EU39" i="79"/>
  <c r="EU45" i="79"/>
  <c r="EU40" i="79"/>
  <c r="EU385" i="79" s="1"/>
  <c r="BT424" i="80"/>
  <c r="BT418" i="80"/>
  <c r="DW37" i="79"/>
  <c r="BF29" i="79"/>
  <c r="BF30" i="79" s="1"/>
  <c r="EH424" i="80"/>
  <c r="EH418" i="80"/>
  <c r="G53" i="82"/>
  <c r="G50" i="82"/>
  <c r="G85" i="82" s="1"/>
  <c r="G19" i="82" s="1"/>
  <c r="G21" i="82" s="1"/>
  <c r="G22" i="82" s="1"/>
  <c r="G84" i="82" s="1"/>
  <c r="BF400" i="80"/>
  <c r="CD398" i="80"/>
  <c r="DA400" i="80"/>
  <c r="DA402" i="80" s="1"/>
  <c r="DA26" i="80"/>
  <c r="DB24" i="80"/>
  <c r="BM400" i="80"/>
  <c r="BM402" i="80" s="1"/>
  <c r="BN24" i="80"/>
  <c r="BM26" i="80"/>
  <c r="EO400" i="79"/>
  <c r="EO402" i="79" s="1"/>
  <c r="EO26" i="79"/>
  <c r="DQ400" i="79"/>
  <c r="DQ402" i="79" s="1"/>
  <c r="DR24" i="79"/>
  <c r="EG400" i="80"/>
  <c r="EG402" i="80" s="1"/>
  <c r="EG405" i="80" s="1"/>
  <c r="EH24" i="80"/>
  <c r="EG26" i="80"/>
  <c r="CC400" i="80"/>
  <c r="CC402" i="80" s="1"/>
  <c r="CC26" i="80"/>
  <c r="CD24" i="80"/>
  <c r="CD400" i="80" s="1"/>
  <c r="BM400" i="79"/>
  <c r="BM402" i="79" s="1"/>
  <c r="BM26" i="79"/>
  <c r="BN24" i="79"/>
  <c r="FE26" i="79"/>
  <c r="FE400" i="79"/>
  <c r="FE402" i="79" s="1"/>
  <c r="FF24" i="79"/>
  <c r="DY400" i="80"/>
  <c r="DY402" i="80" s="1"/>
  <c r="DY26" i="80"/>
  <c r="Q400" i="80"/>
  <c r="Q402" i="80" s="1"/>
  <c r="Q26" i="80"/>
  <c r="R24" i="80"/>
  <c r="Y400" i="80"/>
  <c r="Y402" i="80" s="1"/>
  <c r="Z24" i="80"/>
  <c r="AW400" i="79"/>
  <c r="AW402" i="79" s="1"/>
  <c r="AX24" i="79"/>
  <c r="AW26" i="79"/>
  <c r="BU400" i="79"/>
  <c r="BU402" i="79" s="1"/>
  <c r="BU26" i="79"/>
  <c r="BV24" i="79"/>
  <c r="DI400" i="80"/>
  <c r="DI402" i="80" s="1"/>
  <c r="DJ24" i="80"/>
  <c r="DI26" i="80"/>
  <c r="EW400" i="80"/>
  <c r="EW402" i="80" s="1"/>
  <c r="EW26" i="80"/>
  <c r="EX24" i="80"/>
  <c r="EO400" i="80"/>
  <c r="EO402" i="80" s="1"/>
  <c r="EP24" i="80"/>
  <c r="EO26" i="80"/>
  <c r="DA400" i="79"/>
  <c r="DA402" i="79" s="1"/>
  <c r="DA26" i="79"/>
  <c r="BE400" i="79"/>
  <c r="BE402" i="79" s="1"/>
  <c r="BE26" i="79"/>
  <c r="BF24" i="79"/>
  <c r="EW400" i="79"/>
  <c r="EW402" i="79" s="1"/>
  <c r="EW26" i="79"/>
  <c r="BC389" i="80"/>
  <c r="CS26" i="80"/>
  <c r="CS400" i="80"/>
  <c r="CS402" i="80" s="1"/>
  <c r="CT24" i="80"/>
  <c r="BE400" i="80"/>
  <c r="BE402" i="80" s="1"/>
  <c r="BE26" i="80"/>
  <c r="DQ400" i="80"/>
  <c r="DQ402" i="80" s="1"/>
  <c r="DQ26" i="80"/>
  <c r="CS400" i="79"/>
  <c r="CS402" i="79" s="1"/>
  <c r="CS26" i="79"/>
  <c r="CT24" i="79"/>
  <c r="Y400" i="79"/>
  <c r="Y402" i="79" s="1"/>
  <c r="Z24" i="79"/>
  <c r="CK400" i="80"/>
  <c r="CK402" i="80" s="1"/>
  <c r="CK26" i="80"/>
  <c r="AG400" i="80"/>
  <c r="AG402" i="80" s="1"/>
  <c r="AG26" i="80"/>
  <c r="AP24" i="80"/>
  <c r="AO400" i="80"/>
  <c r="AO402" i="80" s="1"/>
  <c r="AG400" i="79"/>
  <c r="AG402" i="79" s="1"/>
  <c r="AH24" i="79"/>
  <c r="AG26" i="79"/>
  <c r="CK400" i="79"/>
  <c r="CK402" i="79" s="1"/>
  <c r="CL24" i="79"/>
  <c r="CK26" i="79"/>
  <c r="EG400" i="79"/>
  <c r="EG402" i="79" s="1"/>
  <c r="EH24" i="79"/>
  <c r="EG26" i="79"/>
  <c r="FM400" i="80"/>
  <c r="FM402" i="80" s="1"/>
  <c r="FM26" i="80"/>
  <c r="FE400" i="80"/>
  <c r="FE402" i="80" s="1"/>
  <c r="FE26" i="80"/>
  <c r="FF24" i="80"/>
  <c r="DI400" i="79"/>
  <c r="DI402" i="79" s="1"/>
  <c r="DJ24" i="79"/>
  <c r="DI26" i="79"/>
  <c r="Q400" i="79"/>
  <c r="Q402" i="79" s="1"/>
  <c r="R24" i="79"/>
  <c r="Q26" i="79"/>
  <c r="DY400" i="79"/>
  <c r="DY402" i="79" s="1"/>
  <c r="DZ24" i="79"/>
  <c r="DY26" i="79"/>
  <c r="DB24" i="79"/>
  <c r="DB400" i="79" s="1"/>
  <c r="AW400" i="80"/>
  <c r="AW402" i="80" s="1"/>
  <c r="AX24" i="80"/>
  <c r="BU400" i="80"/>
  <c r="BU402" i="80" s="1"/>
  <c r="BU26" i="80"/>
  <c r="BV24" i="80"/>
  <c r="J406" i="80"/>
  <c r="J450" i="80" s="1"/>
  <c r="FM400" i="79"/>
  <c r="FM402" i="79" s="1"/>
  <c r="FM26" i="79"/>
  <c r="FN24" i="79"/>
  <c r="FN400" i="79" s="1"/>
  <c r="AP24" i="79"/>
  <c r="AO400" i="79"/>
  <c r="AO402" i="79" s="1"/>
  <c r="AO26" i="79"/>
  <c r="FC426" i="80"/>
  <c r="AV424" i="79"/>
  <c r="AV430" i="79" s="1"/>
  <c r="T591" i="96"/>
  <c r="DY426" i="80"/>
  <c r="AG410" i="80"/>
  <c r="AF410" i="80"/>
  <c r="AH16" i="80"/>
  <c r="L87" i="197"/>
  <c r="H90" i="197"/>
  <c r="L90" i="197" s="1"/>
  <c r="I87" i="197"/>
  <c r="EM426" i="80"/>
  <c r="J424" i="79"/>
  <c r="J405" i="79"/>
  <c r="P472" i="91"/>
  <c r="P470" i="91"/>
  <c r="S590" i="96"/>
  <c r="V584" i="96"/>
  <c r="W584" i="96" s="1"/>
  <c r="S13" i="35"/>
  <c r="X155" i="94"/>
  <c r="Y155" i="94" s="1"/>
  <c r="E63" i="82"/>
  <c r="E64" i="82" s="1"/>
  <c r="E65" i="82" s="1"/>
  <c r="E87" i="82" s="1"/>
  <c r="E49" i="82"/>
  <c r="E63" i="35"/>
  <c r="E64" i="35" s="1"/>
  <c r="E65" i="35" s="1"/>
  <c r="E87" i="35" s="1"/>
  <c r="E49" i="35"/>
  <c r="H425" i="80"/>
  <c r="H430" i="80" s="1"/>
  <c r="H419" i="80"/>
  <c r="H420" i="80" s="1"/>
  <c r="H421" i="80" s="1"/>
  <c r="S13" i="82"/>
  <c r="R35" i="35"/>
  <c r="CD424" i="80"/>
  <c r="CD418" i="80"/>
  <c r="Q35" i="35"/>
  <c r="M160" i="94"/>
  <c r="P160" i="94" s="1"/>
  <c r="G161" i="94"/>
  <c r="P587" i="96"/>
  <c r="G607" i="96"/>
  <c r="M606" i="96"/>
  <c r="AU84" i="79"/>
  <c r="AU237" i="79"/>
  <c r="AX191" i="79"/>
  <c r="N606" i="96"/>
  <c r="H607" i="96"/>
  <c r="P1010" i="101"/>
  <c r="P1008" i="101"/>
  <c r="P227" i="100"/>
  <c r="P184" i="99"/>
  <c r="BN207" i="79" l="1"/>
  <c r="D59" i="35"/>
  <c r="FE420" i="79"/>
  <c r="DW426" i="80"/>
  <c r="R29" i="82"/>
  <c r="R26" i="82"/>
  <c r="R30" i="82"/>
  <c r="R85" i="82"/>
  <c r="R25" i="82"/>
  <c r="AA22" i="83"/>
  <c r="R72" i="82"/>
  <c r="S72" i="82" s="1"/>
  <c r="R19" i="82"/>
  <c r="R21" i="82" s="1"/>
  <c r="R22" i="82" s="1"/>
  <c r="AA38" i="83" s="1"/>
  <c r="R69" i="82"/>
  <c r="S50" i="82"/>
  <c r="R71" i="82"/>
  <c r="R202" i="79"/>
  <c r="DB207" i="79"/>
  <c r="BN202" i="79"/>
  <c r="S49" i="35"/>
  <c r="CJ405" i="80"/>
  <c r="DJ143" i="79"/>
  <c r="AX34" i="79"/>
  <c r="FL430" i="79"/>
  <c r="DZ202" i="79"/>
  <c r="DW392" i="79"/>
  <c r="EN430" i="79"/>
  <c r="Q85" i="82"/>
  <c r="I406" i="80"/>
  <c r="I450" i="80" s="1"/>
  <c r="DB202" i="79"/>
  <c r="AH207" i="79"/>
  <c r="Q29" i="82"/>
  <c r="R196" i="80"/>
  <c r="Q30" i="82"/>
  <c r="EP207" i="79"/>
  <c r="DP421" i="79"/>
  <c r="EX191" i="79"/>
  <c r="Z207" i="80"/>
  <c r="EN420" i="79"/>
  <c r="EN421" i="79" s="1"/>
  <c r="EN452" i="79" s="1"/>
  <c r="EH207" i="80"/>
  <c r="DX47" i="79"/>
  <c r="DX392" i="79" s="1"/>
  <c r="AP202" i="79"/>
  <c r="BF207" i="79"/>
  <c r="S31" i="82"/>
  <c r="BK426" i="80"/>
  <c r="S33" i="82"/>
  <c r="Q26" i="82"/>
  <c r="S26" i="82" s="1"/>
  <c r="AX202" i="79"/>
  <c r="Q19" i="82"/>
  <c r="Q21" i="82" s="1"/>
  <c r="Q22" i="82" s="1"/>
  <c r="Q27" i="82" s="1"/>
  <c r="FN301" i="80"/>
  <c r="FN302" i="80" s="1"/>
  <c r="Q34" i="82"/>
  <c r="S34" i="82" s="1"/>
  <c r="Q25" i="82"/>
  <c r="Q36" i="82"/>
  <c r="S36" i="82" s="1"/>
  <c r="Q69" i="82"/>
  <c r="AX301" i="80"/>
  <c r="AX302" i="80" s="1"/>
  <c r="Q71" i="82"/>
  <c r="EP215" i="80"/>
  <c r="BF301" i="80"/>
  <c r="BF302" i="80" s="1"/>
  <c r="DB301" i="80"/>
  <c r="DB302" i="80" s="1"/>
  <c r="F53" i="82"/>
  <c r="CT301" i="79"/>
  <c r="CT302" i="79" s="1"/>
  <c r="CJ402" i="79"/>
  <c r="CJ405" i="79" s="1"/>
  <c r="CJ409" i="79" s="1"/>
  <c r="AE426" i="79"/>
  <c r="BN215" i="80"/>
  <c r="BV301" i="80"/>
  <c r="BV302" i="80" s="1"/>
  <c r="R207" i="80"/>
  <c r="DR207" i="79"/>
  <c r="FD405" i="80"/>
  <c r="FD409" i="80" s="1"/>
  <c r="DZ207" i="79"/>
  <c r="AP207" i="80"/>
  <c r="AN402" i="80"/>
  <c r="G87" i="197"/>
  <c r="CJ430" i="79"/>
  <c r="R207" i="79"/>
  <c r="J84" i="196"/>
  <c r="S49" i="82"/>
  <c r="H84" i="196"/>
  <c r="H165" i="196" s="1"/>
  <c r="FN207" i="79"/>
  <c r="I84" i="196"/>
  <c r="CT301" i="80"/>
  <c r="CT302" i="80" s="1"/>
  <c r="DR301" i="79"/>
  <c r="DR302" i="79" s="1"/>
  <c r="DJ301" i="80"/>
  <c r="DJ302" i="80" s="1"/>
  <c r="DW391" i="79"/>
  <c r="FF301" i="80"/>
  <c r="FF302" i="80" s="1"/>
  <c r="CL191" i="80"/>
  <c r="CL196" i="80" s="1"/>
  <c r="N82" i="26"/>
  <c r="J82" i="26" s="1"/>
  <c r="M82" i="26"/>
  <c r="I82" i="26" s="1"/>
  <c r="G242" i="80"/>
  <c r="G242" i="85"/>
  <c r="I136" i="90" s="1"/>
  <c r="G242" i="79"/>
  <c r="G97" i="26"/>
  <c r="G243" i="80"/>
  <c r="G243" i="79"/>
  <c r="G243" i="85"/>
  <c r="I137" i="90" s="1"/>
  <c r="G84" i="80"/>
  <c r="G84" i="79"/>
  <c r="G84" i="85"/>
  <c r="I40" i="90" s="1"/>
  <c r="AV47" i="80"/>
  <c r="AV392" i="80" s="1"/>
  <c r="CD301" i="80"/>
  <c r="CD302" i="80" s="1"/>
  <c r="DR301" i="80"/>
  <c r="DR302" i="80" s="1"/>
  <c r="AX301" i="79"/>
  <c r="AX302" i="79" s="1"/>
  <c r="EV421" i="79"/>
  <c r="EV452" i="79" s="1"/>
  <c r="AH301" i="80"/>
  <c r="AH302" i="80" s="1"/>
  <c r="Z100" i="80"/>
  <c r="CL301" i="80"/>
  <c r="CL302" i="80" s="1"/>
  <c r="CD143" i="79"/>
  <c r="FN301" i="79"/>
  <c r="FN302" i="79" s="1"/>
  <c r="AH301" i="79"/>
  <c r="AH302" i="79" s="1"/>
  <c r="EX301" i="80"/>
  <c r="EX302" i="80" s="1"/>
  <c r="DZ143" i="79"/>
  <c r="I44" i="80"/>
  <c r="I389" i="80" s="1"/>
  <c r="FE421" i="79"/>
  <c r="FE452" i="79" s="1"/>
  <c r="BN191" i="80"/>
  <c r="BN196" i="80" s="1"/>
  <c r="DX47" i="80"/>
  <c r="DX392" i="80" s="1"/>
  <c r="FD421" i="79"/>
  <c r="FD452" i="79" s="1"/>
  <c r="CL191" i="79"/>
  <c r="CL196" i="79" s="1"/>
  <c r="EH301" i="80"/>
  <c r="EH302" i="80" s="1"/>
  <c r="CK196" i="79"/>
  <c r="EP301" i="80"/>
  <c r="EP302" i="80" s="1"/>
  <c r="CJ196" i="80"/>
  <c r="Z301" i="80"/>
  <c r="Z302" i="80" s="1"/>
  <c r="CR405" i="80"/>
  <c r="CR409" i="80" s="1"/>
  <c r="DZ301" i="80"/>
  <c r="DZ302" i="80" s="1"/>
  <c r="BL196" i="80"/>
  <c r="AP301" i="80"/>
  <c r="AP302" i="80" s="1"/>
  <c r="FF301" i="79"/>
  <c r="FF302" i="79" s="1"/>
  <c r="R191" i="79"/>
  <c r="R196" i="79" s="1"/>
  <c r="EW302" i="79"/>
  <c r="EX301" i="79"/>
  <c r="EX302" i="79" s="1"/>
  <c r="Q302" i="80"/>
  <c r="R301" i="80"/>
  <c r="R302" i="80" s="1"/>
  <c r="EP301" i="79"/>
  <c r="EP302" i="79" s="1"/>
  <c r="EH301" i="79"/>
  <c r="EH302" i="79" s="1"/>
  <c r="DJ191" i="80"/>
  <c r="DJ196" i="80" s="1"/>
  <c r="P196" i="79"/>
  <c r="DG84" i="80"/>
  <c r="DG237" i="80"/>
  <c r="CD301" i="79"/>
  <c r="CD302" i="79" s="1"/>
  <c r="BF301" i="79"/>
  <c r="BF302" i="79" s="1"/>
  <c r="DJ301" i="79"/>
  <c r="DJ302" i="79" s="1"/>
  <c r="BL302" i="79"/>
  <c r="BN301" i="79"/>
  <c r="BN302" i="79" s="1"/>
  <c r="BV301" i="79"/>
  <c r="BV302" i="79" s="1"/>
  <c r="CJ302" i="79"/>
  <c r="CL301" i="79"/>
  <c r="CL302" i="79" s="1"/>
  <c r="CZ302" i="79"/>
  <c r="DB301" i="79"/>
  <c r="DB302" i="79" s="1"/>
  <c r="AP301" i="79"/>
  <c r="AP302" i="79" s="1"/>
  <c r="BN301" i="80"/>
  <c r="BN302" i="80" s="1"/>
  <c r="P302" i="79"/>
  <c r="R301" i="79"/>
  <c r="R302" i="79" s="1"/>
  <c r="DZ191" i="79"/>
  <c r="DZ196" i="79" s="1"/>
  <c r="DZ301" i="79"/>
  <c r="DZ302" i="79" s="1"/>
  <c r="Z191" i="79"/>
  <c r="Z196" i="79" s="1"/>
  <c r="Z301" i="79"/>
  <c r="Z302" i="79" s="1"/>
  <c r="I44" i="85"/>
  <c r="K18" i="90" s="1"/>
  <c r="EP100" i="80"/>
  <c r="CD202" i="79"/>
  <c r="I44" i="79"/>
  <c r="I389" i="79" s="1"/>
  <c r="BC426" i="79"/>
  <c r="F32" i="82"/>
  <c r="BV215" i="80"/>
  <c r="BS426" i="79"/>
  <c r="DB215" i="79"/>
  <c r="AH26" i="80"/>
  <c r="AH402" i="80"/>
  <c r="BT405" i="80"/>
  <c r="BT406" i="80" s="1"/>
  <c r="BT450" i="80" s="1"/>
  <c r="DJ426" i="80"/>
  <c r="EH143" i="79"/>
  <c r="CT143" i="79"/>
  <c r="FC426" i="79"/>
  <c r="J110" i="207"/>
  <c r="J42" i="207"/>
  <c r="J43" i="207"/>
  <c r="J41" i="207"/>
  <c r="J37" i="207"/>
  <c r="J38" i="207"/>
  <c r="J111" i="207"/>
  <c r="J45" i="207"/>
  <c r="J48" i="207"/>
  <c r="J88" i="207"/>
  <c r="J93" i="207" s="1"/>
  <c r="J105" i="207"/>
  <c r="J46" i="207"/>
  <c r="H44" i="207"/>
  <c r="H40" i="207"/>
  <c r="I41" i="207"/>
  <c r="I46" i="207"/>
  <c r="I42" i="207"/>
  <c r="I38" i="207"/>
  <c r="I43" i="207"/>
  <c r="I45" i="207"/>
  <c r="I37" i="207"/>
  <c r="I88" i="207"/>
  <c r="I93" i="207" s="1"/>
  <c r="I111" i="207"/>
  <c r="I48" i="207"/>
  <c r="I105" i="207"/>
  <c r="I110" i="207"/>
  <c r="J43" i="206"/>
  <c r="J46" i="206"/>
  <c r="J42" i="206"/>
  <c r="J38" i="206"/>
  <c r="J110" i="206"/>
  <c r="J45" i="206"/>
  <c r="J41" i="206"/>
  <c r="J37" i="206"/>
  <c r="J88" i="206"/>
  <c r="J93" i="206" s="1"/>
  <c r="J111" i="206"/>
  <c r="J105" i="206"/>
  <c r="J48" i="206"/>
  <c r="H44" i="206"/>
  <c r="H40" i="206"/>
  <c r="I48" i="206"/>
  <c r="I46" i="206"/>
  <c r="I42" i="206"/>
  <c r="I38" i="206"/>
  <c r="I45" i="206"/>
  <c r="I43" i="206"/>
  <c r="I41" i="206"/>
  <c r="I37" i="206"/>
  <c r="I105" i="206"/>
  <c r="I110" i="206"/>
  <c r="I88" i="206"/>
  <c r="I93" i="206" s="1"/>
  <c r="I111" i="206"/>
  <c r="CL215" i="79"/>
  <c r="W426" i="80"/>
  <c r="BN100" i="79"/>
  <c r="DR143" i="79"/>
  <c r="CR405" i="79"/>
  <c r="CR409" i="79" s="1"/>
  <c r="R426" i="80"/>
  <c r="CD143" i="80"/>
  <c r="CL26" i="80"/>
  <c r="CZ405" i="79"/>
  <c r="CZ406" i="79" s="1"/>
  <c r="AP143" i="80"/>
  <c r="CL402" i="80"/>
  <c r="AH143" i="79"/>
  <c r="BV215" i="79"/>
  <c r="DR143" i="80"/>
  <c r="I111" i="203"/>
  <c r="I41" i="203"/>
  <c r="I46" i="203"/>
  <c r="I38" i="203"/>
  <c r="I105" i="203"/>
  <c r="I43" i="203"/>
  <c r="I110" i="203"/>
  <c r="I88" i="203"/>
  <c r="I93" i="203" s="1"/>
  <c r="I48" i="203"/>
  <c r="I45" i="203"/>
  <c r="I37" i="203"/>
  <c r="I42" i="203"/>
  <c r="EV405" i="79"/>
  <c r="EV409" i="79" s="1"/>
  <c r="J46" i="203"/>
  <c r="J38" i="203"/>
  <c r="J105" i="203"/>
  <c r="J43" i="203"/>
  <c r="J110" i="203"/>
  <c r="J88" i="203"/>
  <c r="J93" i="203" s="1"/>
  <c r="J48" i="203"/>
  <c r="J111" i="203"/>
  <c r="J45" i="203"/>
  <c r="J37" i="203"/>
  <c r="J42" i="203"/>
  <c r="J41" i="203"/>
  <c r="H44" i="203"/>
  <c r="H40" i="203"/>
  <c r="J46" i="13"/>
  <c r="J46" i="79" s="1"/>
  <c r="J38" i="13"/>
  <c r="J38" i="80" s="1"/>
  <c r="J383" i="80" s="1"/>
  <c r="J434" i="80" s="1"/>
  <c r="J105" i="13"/>
  <c r="J105" i="79" s="1"/>
  <c r="J43" i="13"/>
  <c r="J43" i="79" s="1"/>
  <c r="J388" i="79" s="1"/>
  <c r="J110" i="13"/>
  <c r="J110" i="80" s="1"/>
  <c r="J88" i="13"/>
  <c r="J93" i="13" s="1"/>
  <c r="J48" i="13"/>
  <c r="J48" i="85" s="1"/>
  <c r="L22" i="90" s="1"/>
  <c r="J45" i="13"/>
  <c r="G33" i="35" s="1"/>
  <c r="G71" i="35" s="1"/>
  <c r="J37" i="13"/>
  <c r="J37" i="85" s="1"/>
  <c r="L11" i="90" s="1"/>
  <c r="J42" i="13"/>
  <c r="J42" i="79" s="1"/>
  <c r="J387" i="79" s="1"/>
  <c r="J41" i="13"/>
  <c r="G29" i="35" s="1"/>
  <c r="J111" i="13"/>
  <c r="J111" i="80" s="1"/>
  <c r="H44" i="13"/>
  <c r="H40" i="13"/>
  <c r="I111" i="13"/>
  <c r="I111" i="79" s="1"/>
  <c r="I41" i="13"/>
  <c r="F29" i="35" s="1"/>
  <c r="I46" i="13"/>
  <c r="I46" i="80" s="1"/>
  <c r="I391" i="80" s="1"/>
  <c r="I437" i="80" s="1"/>
  <c r="I38" i="13"/>
  <c r="I38" i="80" s="1"/>
  <c r="I383" i="80" s="1"/>
  <c r="I434" i="80" s="1"/>
  <c r="I105" i="13"/>
  <c r="I105" i="79" s="1"/>
  <c r="I43" i="13"/>
  <c r="F31" i="35" s="1"/>
  <c r="I110" i="13"/>
  <c r="I110" i="85" s="1"/>
  <c r="K59" i="90" s="1"/>
  <c r="I88" i="13"/>
  <c r="I93" i="13" s="1"/>
  <c r="I48" i="13"/>
  <c r="I48" i="79" s="1"/>
  <c r="I393" i="79" s="1"/>
  <c r="I42" i="13"/>
  <c r="I42" i="85" s="1"/>
  <c r="K16" i="90" s="1"/>
  <c r="I45" i="13"/>
  <c r="I45" i="80" s="1"/>
  <c r="I390" i="80" s="1"/>
  <c r="I436" i="80" s="1"/>
  <c r="I37" i="13"/>
  <c r="I37" i="85" s="1"/>
  <c r="K11" i="90" s="1"/>
  <c r="Z215" i="79"/>
  <c r="AX215" i="79"/>
  <c r="BF215" i="79"/>
  <c r="CQ392" i="80"/>
  <c r="CQ394" i="80" s="1"/>
  <c r="CQ413" i="80" s="1"/>
  <c r="CQ414" i="80" s="1"/>
  <c r="BU47" i="80"/>
  <c r="BU392" i="80" s="1"/>
  <c r="EX215" i="79"/>
  <c r="CC47" i="80"/>
  <c r="CC392" i="80" s="1"/>
  <c r="BT47" i="80"/>
  <c r="BT392" i="80" s="1"/>
  <c r="BV426" i="80"/>
  <c r="BS426" i="80"/>
  <c r="EP26" i="79"/>
  <c r="CD215" i="80"/>
  <c r="DJ215" i="80"/>
  <c r="EH196" i="80"/>
  <c r="FF215" i="79"/>
  <c r="BF215" i="80"/>
  <c r="DZ215" i="79"/>
  <c r="EX215" i="80"/>
  <c r="FN196" i="80"/>
  <c r="R215" i="79"/>
  <c r="AP215" i="79"/>
  <c r="DJ215" i="79"/>
  <c r="AP426" i="79"/>
  <c r="EP215" i="79"/>
  <c r="CZ47" i="80"/>
  <c r="CZ392" i="80" s="1"/>
  <c r="BV196" i="79"/>
  <c r="BV143" i="80"/>
  <c r="DA47" i="80"/>
  <c r="DA392" i="80" s="1"/>
  <c r="AX143" i="79"/>
  <c r="Z196" i="80"/>
  <c r="BF26" i="80"/>
  <c r="EF47" i="80"/>
  <c r="EF392" i="80" s="1"/>
  <c r="FL47" i="80"/>
  <c r="FL392" i="80" s="1"/>
  <c r="R143" i="79"/>
  <c r="DB143" i="80"/>
  <c r="AH215" i="79"/>
  <c r="BF402" i="80"/>
  <c r="EG47" i="80"/>
  <c r="EG392" i="80" s="1"/>
  <c r="FM47" i="80"/>
  <c r="FM392" i="80" s="1"/>
  <c r="CT215" i="79"/>
  <c r="BC392" i="80"/>
  <c r="BC394" i="80" s="1"/>
  <c r="BC413" i="80" s="1"/>
  <c r="BC414" i="80" s="1"/>
  <c r="DR215" i="79"/>
  <c r="AX215" i="80"/>
  <c r="EH215" i="80"/>
  <c r="CD215" i="79"/>
  <c r="BN215" i="79"/>
  <c r="FN143" i="79"/>
  <c r="CL215" i="80"/>
  <c r="Q405" i="80"/>
  <c r="Q409" i="80" s="1"/>
  <c r="FF215" i="80"/>
  <c r="EH215" i="79"/>
  <c r="Y47" i="80"/>
  <c r="Y392" i="80" s="1"/>
  <c r="R100" i="79"/>
  <c r="DB215" i="80"/>
  <c r="CJ47" i="80"/>
  <c r="CJ392" i="80" s="1"/>
  <c r="X47" i="80"/>
  <c r="X392" i="80" s="1"/>
  <c r="DZ196" i="80"/>
  <c r="CK47" i="80"/>
  <c r="CK392" i="80" s="1"/>
  <c r="EX26" i="79"/>
  <c r="FN100" i="80"/>
  <c r="FN215" i="79"/>
  <c r="AP215" i="80"/>
  <c r="R215" i="80"/>
  <c r="DX430" i="79"/>
  <c r="EX402" i="79"/>
  <c r="AH215" i="80"/>
  <c r="AU426" i="80"/>
  <c r="W438" i="80"/>
  <c r="DZ215" i="80"/>
  <c r="CT215" i="80"/>
  <c r="FN215" i="80"/>
  <c r="DR26" i="80"/>
  <c r="Z215" i="80"/>
  <c r="DR215" i="80"/>
  <c r="DX402" i="79"/>
  <c r="DX405" i="79" s="1"/>
  <c r="AX196" i="79"/>
  <c r="FF143" i="80"/>
  <c r="AN405" i="79"/>
  <c r="AN409" i="79" s="1"/>
  <c r="F28" i="35"/>
  <c r="CD402" i="79"/>
  <c r="AF402" i="79"/>
  <c r="AF405" i="79" s="1"/>
  <c r="AF406" i="79" s="1"/>
  <c r="AF450" i="79" s="1"/>
  <c r="AX196" i="80"/>
  <c r="FN26" i="80"/>
  <c r="CI438" i="80"/>
  <c r="AP196" i="80"/>
  <c r="BS438" i="80"/>
  <c r="DR402" i="80"/>
  <c r="CS420" i="79"/>
  <c r="CS421" i="79" s="1"/>
  <c r="CS452" i="79" s="1"/>
  <c r="H406" i="80"/>
  <c r="P47" i="80"/>
  <c r="P392" i="80" s="1"/>
  <c r="Q47" i="80"/>
  <c r="Q392" i="80" s="1"/>
  <c r="BE420" i="79"/>
  <c r="BE421" i="79" s="1"/>
  <c r="BE452" i="79" s="1"/>
  <c r="CD196" i="79"/>
  <c r="CT196" i="80"/>
  <c r="BD420" i="79"/>
  <c r="BD421" i="79" s="1"/>
  <c r="BD452" i="79" s="1"/>
  <c r="I405" i="79"/>
  <c r="I406" i="79" s="1"/>
  <c r="I40" i="85"/>
  <c r="K14" i="90" s="1"/>
  <c r="DZ26" i="80"/>
  <c r="FE47" i="80"/>
  <c r="FE392" i="80" s="1"/>
  <c r="I40" i="79"/>
  <c r="I385" i="79" s="1"/>
  <c r="DZ402" i="80"/>
  <c r="FD47" i="80"/>
  <c r="FD392" i="80" s="1"/>
  <c r="I40" i="80"/>
  <c r="I385" i="80" s="1"/>
  <c r="DR196" i="79"/>
  <c r="AP419" i="79"/>
  <c r="AP404" i="79"/>
  <c r="AP425" i="79" s="1"/>
  <c r="EP196" i="79"/>
  <c r="AW47" i="80"/>
  <c r="AW392" i="80" s="1"/>
  <c r="EE438" i="80"/>
  <c r="CD196" i="80"/>
  <c r="BF196" i="80"/>
  <c r="O438" i="80"/>
  <c r="BN143" i="79"/>
  <c r="EX196" i="80"/>
  <c r="DB196" i="80"/>
  <c r="BU420" i="79"/>
  <c r="BU421" i="79" s="1"/>
  <c r="BU452" i="79" s="1"/>
  <c r="DO426" i="80"/>
  <c r="CT196" i="79"/>
  <c r="BL420" i="79"/>
  <c r="BL421" i="79" s="1"/>
  <c r="BL452" i="79" s="1"/>
  <c r="CY438" i="80"/>
  <c r="BK438" i="80"/>
  <c r="DB143" i="79"/>
  <c r="DB196" i="79"/>
  <c r="BN196" i="79"/>
  <c r="EX196" i="79"/>
  <c r="CS47" i="80"/>
  <c r="CS392" i="80" s="1"/>
  <c r="CQ438" i="80"/>
  <c r="EM438" i="80"/>
  <c r="FF196" i="79"/>
  <c r="FN143" i="80"/>
  <c r="DH420" i="79"/>
  <c r="DH421" i="79" s="1"/>
  <c r="DH452" i="79" s="1"/>
  <c r="EM420" i="80"/>
  <c r="AH196" i="80"/>
  <c r="DA405" i="80"/>
  <c r="DA409" i="80" s="1"/>
  <c r="DY47" i="80"/>
  <c r="DY392" i="80" s="1"/>
  <c r="FF196" i="80"/>
  <c r="DR196" i="80"/>
  <c r="FE405" i="80"/>
  <c r="FE409" i="80" s="1"/>
  <c r="FF100" i="79"/>
  <c r="BF143" i="79"/>
  <c r="DJ196" i="79"/>
  <c r="DX405" i="80"/>
  <c r="DX406" i="80" s="1"/>
  <c r="DX450" i="80" s="1"/>
  <c r="DI405" i="79"/>
  <c r="DI406" i="79" s="1"/>
  <c r="DI450" i="79" s="1"/>
  <c r="CB47" i="80"/>
  <c r="CB392" i="80" s="1"/>
  <c r="FC438" i="80"/>
  <c r="CL426" i="80"/>
  <c r="CI426" i="80"/>
  <c r="DJ100" i="79"/>
  <c r="DW426" i="79"/>
  <c r="EH196" i="79"/>
  <c r="BF426" i="80"/>
  <c r="BC426" i="80"/>
  <c r="EH426" i="80"/>
  <c r="EE426" i="80"/>
  <c r="FK426" i="79"/>
  <c r="EO405" i="80"/>
  <c r="EO409" i="80" s="1"/>
  <c r="BD430" i="79"/>
  <c r="AO426" i="80"/>
  <c r="AM426" i="80"/>
  <c r="BF196" i="79"/>
  <c r="FK426" i="80"/>
  <c r="FN426" i="80"/>
  <c r="AG405" i="80"/>
  <c r="AG409" i="80" s="1"/>
  <c r="FC420" i="80"/>
  <c r="DZ403" i="79"/>
  <c r="DZ424" i="79" s="1"/>
  <c r="Z143" i="79"/>
  <c r="FN196" i="79"/>
  <c r="FE47" i="79"/>
  <c r="FE392" i="79" s="1"/>
  <c r="FD47" i="79"/>
  <c r="FD392" i="79" s="1"/>
  <c r="EV405" i="80"/>
  <c r="EV409" i="80" s="1"/>
  <c r="EF405" i="80"/>
  <c r="EF409" i="80" s="1"/>
  <c r="BC438" i="80"/>
  <c r="DZ143" i="80"/>
  <c r="AH196" i="79"/>
  <c r="EP196" i="80"/>
  <c r="DH405" i="80"/>
  <c r="DH409" i="80" s="1"/>
  <c r="CS405" i="79"/>
  <c r="CS409" i="79" s="1"/>
  <c r="P405" i="79"/>
  <c r="P409" i="79" s="1"/>
  <c r="EX100" i="80"/>
  <c r="EP143" i="79"/>
  <c r="DJ100" i="80"/>
  <c r="BL47" i="80"/>
  <c r="BL392" i="80" s="1"/>
  <c r="BD47" i="80"/>
  <c r="BD392" i="80" s="1"/>
  <c r="BM47" i="80"/>
  <c r="BM392" i="80" s="1"/>
  <c r="FC50" i="80"/>
  <c r="FC251" i="80" s="1"/>
  <c r="EF405" i="79"/>
  <c r="EF409" i="79" s="1"/>
  <c r="BN143" i="80"/>
  <c r="BC50" i="80"/>
  <c r="BC251" i="80" s="1"/>
  <c r="CL143" i="79"/>
  <c r="P405" i="80"/>
  <c r="P409" i="80" s="1"/>
  <c r="CD426" i="80"/>
  <c r="CA426" i="80"/>
  <c r="BV196" i="80"/>
  <c r="AU438" i="80"/>
  <c r="CT426" i="80"/>
  <c r="CQ426" i="80"/>
  <c r="CD100" i="79"/>
  <c r="FF143" i="79"/>
  <c r="V174" i="94"/>
  <c r="V86" i="94" s="1"/>
  <c r="N1016" i="101"/>
  <c r="U939" i="101" s="1"/>
  <c r="FC434" i="79"/>
  <c r="Z143" i="80"/>
  <c r="EX426" i="80"/>
  <c r="EU426" i="80"/>
  <c r="R100" i="80"/>
  <c r="AP196" i="79"/>
  <c r="Z100" i="79"/>
  <c r="DZ100" i="80"/>
  <c r="CT143" i="80"/>
  <c r="FK438" i="80"/>
  <c r="AP100" i="80"/>
  <c r="DY405" i="80"/>
  <c r="DY409" i="80" s="1"/>
  <c r="DW438" i="80"/>
  <c r="CA426" i="79"/>
  <c r="CD426" i="79"/>
  <c r="BM405" i="80"/>
  <c r="BM406" i="80" s="1"/>
  <c r="BM450" i="80" s="1"/>
  <c r="EU438" i="80"/>
  <c r="CT100" i="79"/>
  <c r="Q426" i="79"/>
  <c r="O426" i="79"/>
  <c r="X405" i="79"/>
  <c r="X409" i="79" s="1"/>
  <c r="EE426" i="79"/>
  <c r="FL405" i="79"/>
  <c r="FL409" i="79" s="1"/>
  <c r="BE405" i="80"/>
  <c r="BE409" i="80" s="1"/>
  <c r="DW50" i="80"/>
  <c r="DW251" i="80" s="1"/>
  <c r="FC435" i="79"/>
  <c r="AF47" i="80"/>
  <c r="AF392" i="80" s="1"/>
  <c r="AP100" i="79"/>
  <c r="FF100" i="80"/>
  <c r="CD26" i="79"/>
  <c r="EW405" i="80"/>
  <c r="EW409" i="80" s="1"/>
  <c r="CI50" i="80"/>
  <c r="CI251" i="80" s="1"/>
  <c r="FC436" i="79"/>
  <c r="AG47" i="80"/>
  <c r="AG392" i="80" s="1"/>
  <c r="EX100" i="79"/>
  <c r="BV100" i="79"/>
  <c r="DB100" i="80"/>
  <c r="AO405" i="80"/>
  <c r="AO409" i="80" s="1"/>
  <c r="FL405" i="80"/>
  <c r="FL406" i="80" s="1"/>
  <c r="FL450" i="80" s="1"/>
  <c r="DX420" i="79"/>
  <c r="DX421" i="79" s="1"/>
  <c r="DX452" i="79" s="1"/>
  <c r="EE50" i="80"/>
  <c r="EE251" i="80" s="1"/>
  <c r="DG438" i="80"/>
  <c r="BN100" i="80"/>
  <c r="CC405" i="80"/>
  <c r="CC409" i="80" s="1"/>
  <c r="O95" i="98"/>
  <c r="N40" i="98" s="1"/>
  <c r="N82" i="98" s="1"/>
  <c r="N89" i="98" s="1"/>
  <c r="CI426" i="79"/>
  <c r="CL100" i="79"/>
  <c r="CT100" i="80"/>
  <c r="AH100" i="80"/>
  <c r="M205" i="187"/>
  <c r="M7" i="187" s="1"/>
  <c r="EM50" i="80"/>
  <c r="EM251" i="80" s="1"/>
  <c r="BU405" i="79"/>
  <c r="BU409" i="79" s="1"/>
  <c r="F387" i="85"/>
  <c r="U601" i="96"/>
  <c r="T82" i="96" s="1"/>
  <c r="CL100" i="80"/>
  <c r="EH100" i="80"/>
  <c r="R64" i="186"/>
  <c r="M232" i="100"/>
  <c r="U208" i="100" s="1"/>
  <c r="FM405" i="80"/>
  <c r="FM406" i="80" s="1"/>
  <c r="FM450" i="80" s="1"/>
  <c r="F19" i="35"/>
  <c r="F21" i="35" s="1"/>
  <c r="DO426" i="79"/>
  <c r="BD406" i="80"/>
  <c r="BD450" i="80" s="1"/>
  <c r="BD409" i="80"/>
  <c r="BK50" i="80"/>
  <c r="BK251" i="80" s="1"/>
  <c r="AU50" i="80"/>
  <c r="AU52" i="80" s="1"/>
  <c r="AU79" i="80" s="1"/>
  <c r="DO438" i="80"/>
  <c r="AE438" i="80"/>
  <c r="W50" i="80"/>
  <c r="W251" i="80" s="1"/>
  <c r="DQ47" i="80"/>
  <c r="DQ392" i="80" s="1"/>
  <c r="FC391" i="79"/>
  <c r="FC394" i="79" s="1"/>
  <c r="EN47" i="80"/>
  <c r="EN392" i="80" s="1"/>
  <c r="DI47" i="80"/>
  <c r="DI392" i="80" s="1"/>
  <c r="CL143" i="80"/>
  <c r="EN405" i="79"/>
  <c r="DG50" i="80"/>
  <c r="DG251" i="80" s="1"/>
  <c r="DP47" i="80"/>
  <c r="DP392" i="80" s="1"/>
  <c r="EO47" i="80"/>
  <c r="EO392" i="80" s="1"/>
  <c r="EE394" i="80"/>
  <c r="EE413" i="80" s="1"/>
  <c r="EE414" i="80" s="1"/>
  <c r="DH47" i="80"/>
  <c r="DH392" i="80" s="1"/>
  <c r="AW405" i="80"/>
  <c r="AW409" i="80" s="1"/>
  <c r="BT420" i="79"/>
  <c r="BT421" i="79" s="1"/>
  <c r="BT452" i="79" s="1"/>
  <c r="EM392" i="80"/>
  <c r="EM394" i="80" s="1"/>
  <c r="EM413" i="80" s="1"/>
  <c r="EM414" i="80" s="1"/>
  <c r="EV47" i="80"/>
  <c r="EV392" i="80" s="1"/>
  <c r="CQ426" i="79"/>
  <c r="EW47" i="80"/>
  <c r="EW392" i="80" s="1"/>
  <c r="DZ100" i="79"/>
  <c r="DY405" i="79"/>
  <c r="DY409" i="79" s="1"/>
  <c r="CQ50" i="80"/>
  <c r="CQ251" i="80" s="1"/>
  <c r="O394" i="80"/>
  <c r="O413" i="80" s="1"/>
  <c r="O414" i="80" s="1"/>
  <c r="CS405" i="80"/>
  <c r="CS409" i="80" s="1"/>
  <c r="BE405" i="79"/>
  <c r="BE409" i="79" s="1"/>
  <c r="G421" i="79"/>
  <c r="DJ418" i="79"/>
  <c r="CA438" i="80"/>
  <c r="BF100" i="80"/>
  <c r="FE405" i="79"/>
  <c r="FE409" i="79" s="1"/>
  <c r="DB426" i="79"/>
  <c r="DO420" i="80"/>
  <c r="DG426" i="79"/>
  <c r="DR100" i="79"/>
  <c r="DI405" i="80"/>
  <c r="DI409" i="80" s="1"/>
  <c r="CC420" i="79"/>
  <c r="CC421" i="79" s="1"/>
  <c r="CC452" i="79" s="1"/>
  <c r="O50" i="80"/>
  <c r="O251" i="80" s="1"/>
  <c r="BS50" i="80"/>
  <c r="BS251" i="80" s="1"/>
  <c r="BM405" i="79"/>
  <c r="BM409" i="79" s="1"/>
  <c r="CC405" i="79"/>
  <c r="CC409" i="79" s="1"/>
  <c r="BK420" i="80"/>
  <c r="BS394" i="80"/>
  <c r="BS413" i="80" s="1"/>
  <c r="BS414" i="80" s="1"/>
  <c r="CY50" i="80"/>
  <c r="CY52" i="80" s="1"/>
  <c r="CY79" i="80" s="1"/>
  <c r="DB100" i="79"/>
  <c r="FN100" i="79"/>
  <c r="BV100" i="80"/>
  <c r="AX100" i="80"/>
  <c r="DR100" i="80"/>
  <c r="EP100" i="79"/>
  <c r="CD100" i="80"/>
  <c r="BL409" i="80"/>
  <c r="BL406" i="80"/>
  <c r="BL450" i="80" s="1"/>
  <c r="Y405" i="80"/>
  <c r="Y409" i="80" s="1"/>
  <c r="CA50" i="80"/>
  <c r="CA251" i="80" s="1"/>
  <c r="AM438" i="80"/>
  <c r="U59" i="96"/>
  <c r="U58" i="96"/>
  <c r="U66" i="96"/>
  <c r="U108" i="96"/>
  <c r="U103" i="96"/>
  <c r="U65" i="96"/>
  <c r="U68" i="96"/>
  <c r="U67" i="96"/>
  <c r="W88" i="94"/>
  <c r="W59" i="94"/>
  <c r="W56" i="94"/>
  <c r="W83" i="94"/>
  <c r="W58" i="94"/>
  <c r="W60" i="94"/>
  <c r="W57" i="94"/>
  <c r="BU405" i="80"/>
  <c r="BU409" i="80" s="1"/>
  <c r="V601" i="96"/>
  <c r="U64" i="96" s="1"/>
  <c r="FC394" i="80"/>
  <c r="FC413" i="80" s="1"/>
  <c r="FC414" i="80" s="1"/>
  <c r="CA394" i="80"/>
  <c r="CA413" i="80" s="1"/>
  <c r="CA414" i="80" s="1"/>
  <c r="V59" i="94"/>
  <c r="V56" i="94"/>
  <c r="V83" i="94"/>
  <c r="V58" i="94"/>
  <c r="V88" i="94"/>
  <c r="V60" i="94"/>
  <c r="V57" i="94"/>
  <c r="O1016" i="101"/>
  <c r="V871" i="101" s="1"/>
  <c r="N205" i="187"/>
  <c r="N9" i="187" s="1"/>
  <c r="CK405" i="80"/>
  <c r="CK409" i="80" s="1"/>
  <c r="DQ420" i="79"/>
  <c r="DQ421" i="79" s="1"/>
  <c r="DQ452" i="79" s="1"/>
  <c r="I308" i="79"/>
  <c r="I313" i="79" s="1"/>
  <c r="I37" i="27"/>
  <c r="I308" i="80"/>
  <c r="I313" i="80" s="1"/>
  <c r="I308" i="85"/>
  <c r="K172" i="90" s="1"/>
  <c r="P95" i="98"/>
  <c r="O40" i="98" s="1"/>
  <c r="O82" i="98" s="1"/>
  <c r="G19" i="35"/>
  <c r="J376" i="80" s="1"/>
  <c r="J378" i="80" s="1"/>
  <c r="J379" i="80" s="1"/>
  <c r="J449" i="80" s="1"/>
  <c r="DQ405" i="80"/>
  <c r="DQ409" i="80" s="1"/>
  <c r="DO50" i="80"/>
  <c r="DO251" i="80" s="1"/>
  <c r="FK50" i="80"/>
  <c r="FK52" i="80" s="1"/>
  <c r="FK79" i="80" s="1"/>
  <c r="W174" i="94"/>
  <c r="W91" i="94" s="1"/>
  <c r="S64" i="186"/>
  <c r="AU426" i="79"/>
  <c r="FK394" i="80"/>
  <c r="FK413" i="80" s="1"/>
  <c r="FK414" i="80" s="1"/>
  <c r="AE50" i="80"/>
  <c r="T68" i="96"/>
  <c r="T58" i="96"/>
  <c r="T66" i="96"/>
  <c r="T108" i="96"/>
  <c r="T103" i="96"/>
  <c r="T65" i="96"/>
  <c r="T67" i="96"/>
  <c r="T59" i="96"/>
  <c r="J44" i="85"/>
  <c r="L18" i="90" s="1"/>
  <c r="J44" i="80"/>
  <c r="J389" i="80" s="1"/>
  <c r="J44" i="79"/>
  <c r="J389" i="79" s="1"/>
  <c r="G32" i="82"/>
  <c r="G32" i="35"/>
  <c r="DB402" i="79"/>
  <c r="N232" i="100"/>
  <c r="V208" i="100" s="1"/>
  <c r="FD405" i="79"/>
  <c r="FD409" i="79" s="1"/>
  <c r="W394" i="80"/>
  <c r="W413" i="80" s="1"/>
  <c r="W414" i="80" s="1"/>
  <c r="BD405" i="79"/>
  <c r="BD406" i="79" s="1"/>
  <c r="BD450" i="79" s="1"/>
  <c r="J308" i="80"/>
  <c r="J313" i="80" s="1"/>
  <c r="J308" i="79"/>
  <c r="J313" i="79" s="1"/>
  <c r="J37" i="27"/>
  <c r="J308" i="85"/>
  <c r="L172" i="90" s="1"/>
  <c r="G387" i="85"/>
  <c r="DI420" i="79"/>
  <c r="DI421" i="79" s="1"/>
  <c r="DI452" i="79" s="1"/>
  <c r="AM50" i="80"/>
  <c r="AM52" i="80" s="1"/>
  <c r="AM79" i="80" s="1"/>
  <c r="AM392" i="80"/>
  <c r="AM394" i="80" s="1"/>
  <c r="AM413" i="80" s="1"/>
  <c r="AM414" i="80" s="1"/>
  <c r="AO47" i="80"/>
  <c r="AO392" i="80" s="1"/>
  <c r="AN47" i="80"/>
  <c r="G28" i="35"/>
  <c r="J40" i="85"/>
  <c r="L14" i="90" s="1"/>
  <c r="J40" i="80"/>
  <c r="J385" i="80" s="1"/>
  <c r="J40" i="79"/>
  <c r="J385" i="79" s="1"/>
  <c r="G28" i="82"/>
  <c r="EU382" i="80"/>
  <c r="EU394" i="80" s="1"/>
  <c r="EU413" i="80" s="1"/>
  <c r="EU414" i="80" s="1"/>
  <c r="EU50" i="80"/>
  <c r="CJ409" i="80"/>
  <c r="CJ406" i="80"/>
  <c r="CJ450" i="80" s="1"/>
  <c r="CD26" i="80"/>
  <c r="EX34" i="79"/>
  <c r="EX419" i="79"/>
  <c r="EX404" i="79"/>
  <c r="EX425" i="79" s="1"/>
  <c r="DR404" i="80"/>
  <c r="DR34" i="80"/>
  <c r="FN404" i="80"/>
  <c r="FN34" i="80"/>
  <c r="CZ425" i="80"/>
  <c r="CZ430" i="80" s="1"/>
  <c r="CZ419" i="80"/>
  <c r="CZ420" i="80" s="1"/>
  <c r="CZ421" i="80" s="1"/>
  <c r="FF419" i="79"/>
  <c r="FF420" i="79" s="1"/>
  <c r="FF421" i="79" s="1"/>
  <c r="FF404" i="79"/>
  <c r="FF425" i="79" s="1"/>
  <c r="FF34" i="79"/>
  <c r="AN419" i="80"/>
  <c r="AN420" i="80" s="1"/>
  <c r="AN421" i="80" s="1"/>
  <c r="AN452" i="80" s="1"/>
  <c r="AN425" i="80"/>
  <c r="AN430" i="80" s="1"/>
  <c r="AG425" i="80"/>
  <c r="AG419" i="80"/>
  <c r="AG420" i="80" s="1"/>
  <c r="AG421" i="80" s="1"/>
  <c r="AG452" i="80" s="1"/>
  <c r="EP404" i="80"/>
  <c r="EP34" i="80"/>
  <c r="EX404" i="80"/>
  <c r="EX34" i="80"/>
  <c r="DQ405" i="79"/>
  <c r="DQ409" i="79" s="1"/>
  <c r="BM420" i="79"/>
  <c r="BM421" i="79" s="1"/>
  <c r="BM452" i="79" s="1"/>
  <c r="Y425" i="80"/>
  <c r="Y419" i="80"/>
  <c r="Y420" i="80" s="1"/>
  <c r="Y421" i="80" s="1"/>
  <c r="Y452" i="80" s="1"/>
  <c r="CC419" i="80"/>
  <c r="CC420" i="80" s="1"/>
  <c r="CC421" i="80" s="1"/>
  <c r="CC452" i="80" s="1"/>
  <c r="CC425" i="80"/>
  <c r="EH404" i="79"/>
  <c r="EH425" i="79" s="1"/>
  <c r="EH419" i="79"/>
  <c r="EH34" i="79"/>
  <c r="BN404" i="80"/>
  <c r="BN34" i="80"/>
  <c r="DI425" i="80"/>
  <c r="DI419" i="80"/>
  <c r="DI420" i="80" s="1"/>
  <c r="DI421" i="80" s="1"/>
  <c r="DI452" i="80" s="1"/>
  <c r="EH34" i="80"/>
  <c r="EH404" i="80"/>
  <c r="FE419" i="80"/>
  <c r="FE420" i="80" s="1"/>
  <c r="FE425" i="80"/>
  <c r="Z404" i="80"/>
  <c r="Z34" i="80"/>
  <c r="EN419" i="80"/>
  <c r="EN420" i="80" s="1"/>
  <c r="EN425" i="80"/>
  <c r="EN430" i="80" s="1"/>
  <c r="EN405" i="80"/>
  <c r="EV425" i="80"/>
  <c r="EV430" i="80" s="1"/>
  <c r="EV419" i="80"/>
  <c r="EV420" i="80" s="1"/>
  <c r="EV421" i="80" s="1"/>
  <c r="BF419" i="79"/>
  <c r="BF404" i="79"/>
  <c r="BF425" i="79" s="1"/>
  <c r="BF34" i="79"/>
  <c r="AX404" i="80"/>
  <c r="AX34" i="80"/>
  <c r="DH419" i="80"/>
  <c r="DH420" i="80" s="1"/>
  <c r="DH421" i="80" s="1"/>
  <c r="DH425" i="80"/>
  <c r="DH430" i="80" s="1"/>
  <c r="BN419" i="79"/>
  <c r="BN404" i="79"/>
  <c r="BN425" i="79" s="1"/>
  <c r="BN34" i="79"/>
  <c r="DP419" i="80"/>
  <c r="DP420" i="80" s="1"/>
  <c r="DP425" i="80"/>
  <c r="DP430" i="80" s="1"/>
  <c r="DP405" i="80"/>
  <c r="BL425" i="80"/>
  <c r="BL430" i="80" s="1"/>
  <c r="BL419" i="80"/>
  <c r="BL420" i="80" s="1"/>
  <c r="DQ419" i="80"/>
  <c r="DQ420" i="80" s="1"/>
  <c r="DQ425" i="80"/>
  <c r="BM419" i="80"/>
  <c r="BM420" i="80" s="1"/>
  <c r="BM425" i="80"/>
  <c r="CL404" i="79"/>
  <c r="CL425" i="79" s="1"/>
  <c r="CL419" i="79"/>
  <c r="CL34" i="79"/>
  <c r="FF404" i="80"/>
  <c r="FF34" i="80"/>
  <c r="BE419" i="80"/>
  <c r="BE420" i="80" s="1"/>
  <c r="BE421" i="80" s="1"/>
  <c r="BE452" i="80" s="1"/>
  <c r="BE425" i="80"/>
  <c r="CL404" i="80"/>
  <c r="CL34" i="80"/>
  <c r="DY425" i="80"/>
  <c r="DY419" i="80"/>
  <c r="DY420" i="80" s="1"/>
  <c r="DY421" i="80" s="1"/>
  <c r="DY452" i="80" s="1"/>
  <c r="FM425" i="80"/>
  <c r="FM419" i="80"/>
  <c r="FM420" i="80" s="1"/>
  <c r="FM421" i="80" s="1"/>
  <c r="FM452" i="80" s="1"/>
  <c r="EF425" i="80"/>
  <c r="EF430" i="80" s="1"/>
  <c r="EF419" i="80"/>
  <c r="EF420" i="80" s="1"/>
  <c r="EF421" i="80" s="1"/>
  <c r="X425" i="80"/>
  <c r="X430" i="80" s="1"/>
  <c r="X419" i="80"/>
  <c r="X420" i="80" s="1"/>
  <c r="X421" i="80" s="1"/>
  <c r="BV419" i="79"/>
  <c r="BV404" i="79"/>
  <c r="BV425" i="79" s="1"/>
  <c r="BV34" i="79"/>
  <c r="Q419" i="80"/>
  <c r="Q420" i="80" s="1"/>
  <c r="Q421" i="80" s="1"/>
  <c r="Q452" i="80" s="1"/>
  <c r="Q425" i="80"/>
  <c r="CD419" i="79"/>
  <c r="CD404" i="79"/>
  <c r="CD425" i="79" s="1"/>
  <c r="CD34" i="79"/>
  <c r="BF404" i="80"/>
  <c r="BF34" i="80"/>
  <c r="EP34" i="79"/>
  <c r="EP419" i="79"/>
  <c r="EP404" i="79"/>
  <c r="EP425" i="79" s="1"/>
  <c r="AE394" i="80"/>
  <c r="AE413" i="80" s="1"/>
  <c r="AE414" i="80" s="1"/>
  <c r="CI394" i="80"/>
  <c r="CI413" i="80" s="1"/>
  <c r="CI414" i="80" s="1"/>
  <c r="DY420" i="79"/>
  <c r="DY421" i="79" s="1"/>
  <c r="DY452" i="79" s="1"/>
  <c r="BK394" i="80"/>
  <c r="BK413" i="80" s="1"/>
  <c r="BK414" i="80" s="1"/>
  <c r="W426" i="79"/>
  <c r="DJ419" i="79"/>
  <c r="DJ34" i="79"/>
  <c r="DJ404" i="79"/>
  <c r="DJ425" i="79" s="1"/>
  <c r="AF419" i="80"/>
  <c r="AF420" i="80" s="1"/>
  <c r="AF421" i="80" s="1"/>
  <c r="AF425" i="80"/>
  <c r="AF430" i="80" s="1"/>
  <c r="CT404" i="80"/>
  <c r="CT34" i="80"/>
  <c r="FN404" i="79"/>
  <c r="FN425" i="79" s="1"/>
  <c r="FN419" i="79"/>
  <c r="FN34" i="79"/>
  <c r="CS425" i="80"/>
  <c r="CS419" i="80"/>
  <c r="CS420" i="80" s="1"/>
  <c r="CS421" i="80" s="1"/>
  <c r="CS452" i="80" s="1"/>
  <c r="BD419" i="80"/>
  <c r="BD420" i="80" s="1"/>
  <c r="BD421" i="80" s="1"/>
  <c r="BD425" i="80"/>
  <c r="BD430" i="80" s="1"/>
  <c r="X405" i="80"/>
  <c r="DX425" i="80"/>
  <c r="DX430" i="80" s="1"/>
  <c r="DX419" i="80"/>
  <c r="DX420" i="80" s="1"/>
  <c r="DX421" i="80" s="1"/>
  <c r="DX452" i="80" s="1"/>
  <c r="AW419" i="80"/>
  <c r="AW420" i="80" s="1"/>
  <c r="AW421" i="80" s="1"/>
  <c r="AW452" i="80" s="1"/>
  <c r="AW425" i="80"/>
  <c r="Q31" i="35"/>
  <c r="Q85" i="35"/>
  <c r="Q72" i="35"/>
  <c r="Q33" i="35"/>
  <c r="Q25" i="35"/>
  <c r="Q69" i="35"/>
  <c r="Q36" i="35"/>
  <c r="Q34" i="35"/>
  <c r="S50" i="35"/>
  <c r="Q71" i="35"/>
  <c r="Q26" i="35"/>
  <c r="Q29" i="35"/>
  <c r="Q19" i="35"/>
  <c r="S19" i="35" s="1"/>
  <c r="Q30" i="35"/>
  <c r="FD419" i="80"/>
  <c r="FD420" i="80" s="1"/>
  <c r="FD425" i="80"/>
  <c r="FD430" i="80" s="1"/>
  <c r="EW425" i="80"/>
  <c r="EW419" i="80"/>
  <c r="EW420" i="80" s="1"/>
  <c r="EW421" i="80" s="1"/>
  <c r="EW452" i="80" s="1"/>
  <c r="CJ419" i="80"/>
  <c r="CJ420" i="80" s="1"/>
  <c r="CJ421" i="80" s="1"/>
  <c r="CJ425" i="80"/>
  <c r="CJ430" i="80" s="1"/>
  <c r="BV404" i="80"/>
  <c r="BV34" i="80"/>
  <c r="AH34" i="80"/>
  <c r="AH404" i="80"/>
  <c r="R34" i="79"/>
  <c r="R419" i="79"/>
  <c r="R404" i="79"/>
  <c r="R425" i="79" s="1"/>
  <c r="CR425" i="80"/>
  <c r="CR430" i="80" s="1"/>
  <c r="CR419" i="80"/>
  <c r="CR420" i="80" s="1"/>
  <c r="CR421" i="80" s="1"/>
  <c r="CY394" i="80"/>
  <c r="CY413" i="80" s="1"/>
  <c r="CY414" i="80" s="1"/>
  <c r="R404" i="80"/>
  <c r="R34" i="80"/>
  <c r="CB425" i="80"/>
  <c r="CB430" i="80" s="1"/>
  <c r="CB419" i="80"/>
  <c r="CB420" i="80" s="1"/>
  <c r="CB421" i="80" s="1"/>
  <c r="CB452" i="80" s="1"/>
  <c r="AF405" i="80"/>
  <c r="BU425" i="80"/>
  <c r="BU419" i="80"/>
  <c r="BU420" i="80" s="1"/>
  <c r="BU421" i="80" s="1"/>
  <c r="BU452" i="80" s="1"/>
  <c r="DZ404" i="80"/>
  <c r="DZ34" i="80"/>
  <c r="CK419" i="80"/>
  <c r="CK420" i="80" s="1"/>
  <c r="CK421" i="80" s="1"/>
  <c r="CK452" i="80" s="1"/>
  <c r="CK425" i="80"/>
  <c r="AA22" i="77"/>
  <c r="R72" i="35"/>
  <c r="R69" i="35"/>
  <c r="R29" i="35"/>
  <c r="R25" i="35"/>
  <c r="R85" i="35"/>
  <c r="R71" i="35"/>
  <c r="R36" i="35"/>
  <c r="R26" i="35"/>
  <c r="R30" i="35"/>
  <c r="R21" i="35"/>
  <c r="R22" i="35" s="1"/>
  <c r="R31" i="35"/>
  <c r="R33" i="35"/>
  <c r="R34" i="35"/>
  <c r="FL425" i="80"/>
  <c r="FL430" i="80" s="1"/>
  <c r="FL419" i="80"/>
  <c r="FL420" i="80" s="1"/>
  <c r="FL421" i="80" s="1"/>
  <c r="AH404" i="79"/>
  <c r="AH425" i="79" s="1"/>
  <c r="AH419" i="79"/>
  <c r="AH34" i="79"/>
  <c r="DB404" i="80"/>
  <c r="DB34" i="80"/>
  <c r="AP34" i="80"/>
  <c r="AP404" i="80"/>
  <c r="DZ34" i="79"/>
  <c r="DZ404" i="79"/>
  <c r="DZ425" i="79" s="1"/>
  <c r="DZ419" i="79"/>
  <c r="DZ420" i="79" s="1"/>
  <c r="DZ421" i="79" s="1"/>
  <c r="P419" i="80"/>
  <c r="P420" i="80" s="1"/>
  <c r="P421" i="80" s="1"/>
  <c r="P425" i="80"/>
  <c r="P430" i="80" s="1"/>
  <c r="DB404" i="79"/>
  <c r="DB425" i="79" s="1"/>
  <c r="DB34" i="79"/>
  <c r="DB419" i="79"/>
  <c r="CT419" i="79"/>
  <c r="CT404" i="79"/>
  <c r="CT425" i="79" s="1"/>
  <c r="CT34" i="79"/>
  <c r="CB405" i="80"/>
  <c r="CZ405" i="80"/>
  <c r="Z419" i="79"/>
  <c r="Z34" i="79"/>
  <c r="Z404" i="79"/>
  <c r="Z425" i="79" s="1"/>
  <c r="DG394" i="80"/>
  <c r="DG413" i="80" s="1"/>
  <c r="DG414" i="80" s="1"/>
  <c r="DR34" i="79"/>
  <c r="DR404" i="79"/>
  <c r="DR425" i="79" s="1"/>
  <c r="DR419" i="79"/>
  <c r="BT419" i="80"/>
  <c r="BT420" i="80" s="1"/>
  <c r="BT421" i="80" s="1"/>
  <c r="BT425" i="80"/>
  <c r="BT430" i="80" s="1"/>
  <c r="EO419" i="80"/>
  <c r="EO420" i="80" s="1"/>
  <c r="EO425" i="80"/>
  <c r="DA419" i="80"/>
  <c r="DA420" i="80" s="1"/>
  <c r="DA421" i="80" s="1"/>
  <c r="DA452" i="80" s="1"/>
  <c r="DA425" i="80"/>
  <c r="CD404" i="80"/>
  <c r="CD34" i="80"/>
  <c r="AN405" i="80"/>
  <c r="AO419" i="80"/>
  <c r="AO420" i="80" s="1"/>
  <c r="AO421" i="80" s="1"/>
  <c r="AO452" i="80" s="1"/>
  <c r="AO425" i="80"/>
  <c r="AV419" i="80"/>
  <c r="AV420" i="80" s="1"/>
  <c r="AV421" i="80" s="1"/>
  <c r="AV425" i="80"/>
  <c r="AV430" i="80" s="1"/>
  <c r="AV405" i="80"/>
  <c r="DJ34" i="80"/>
  <c r="DJ404" i="80"/>
  <c r="EU392" i="79"/>
  <c r="EV47" i="79"/>
  <c r="EV392" i="79" s="1"/>
  <c r="EW47" i="79"/>
  <c r="EW392" i="79" s="1"/>
  <c r="DG434" i="79"/>
  <c r="DG383" i="79"/>
  <c r="AU437" i="79"/>
  <c r="AU391" i="79"/>
  <c r="AE436" i="79"/>
  <c r="AE390" i="79"/>
  <c r="CB452" i="79"/>
  <c r="CQ382" i="79"/>
  <c r="CQ50" i="79"/>
  <c r="CI390" i="79"/>
  <c r="CI436" i="79"/>
  <c r="CL403" i="79"/>
  <c r="CL424" i="79" s="1"/>
  <c r="CL418" i="79"/>
  <c r="BC390" i="79"/>
  <c r="BC436" i="79"/>
  <c r="CY392" i="79"/>
  <c r="DA47" i="79"/>
  <c r="DA392" i="79" s="1"/>
  <c r="CZ47" i="79"/>
  <c r="CZ392" i="79" s="1"/>
  <c r="Z418" i="79"/>
  <c r="Z403" i="79"/>
  <c r="Z424" i="79" s="1"/>
  <c r="EM382" i="79"/>
  <c r="EM50" i="79"/>
  <c r="EM426" i="79"/>
  <c r="EP426" i="79"/>
  <c r="Q418" i="79"/>
  <c r="Q420" i="79" s="1"/>
  <c r="Q421" i="79" s="1"/>
  <c r="Q403" i="79"/>
  <c r="Q424" i="79" s="1"/>
  <c r="BK382" i="79"/>
  <c r="BK50" i="79"/>
  <c r="O437" i="79"/>
  <c r="O391" i="79"/>
  <c r="EE391" i="79"/>
  <c r="EE437" i="79"/>
  <c r="EU436" i="79"/>
  <c r="EU390" i="79"/>
  <c r="DG437" i="79"/>
  <c r="DG391" i="79"/>
  <c r="DO384" i="79"/>
  <c r="DO435" i="79"/>
  <c r="CA383" i="79"/>
  <c r="CA434" i="79"/>
  <c r="CD403" i="79"/>
  <c r="CD424" i="79" s="1"/>
  <c r="CD418" i="79"/>
  <c r="CK403" i="79"/>
  <c r="CK424" i="79" s="1"/>
  <c r="CK418" i="79"/>
  <c r="CK420" i="79" s="1"/>
  <c r="CK421" i="79" s="1"/>
  <c r="BC391" i="79"/>
  <c r="BC437" i="79"/>
  <c r="BS434" i="79"/>
  <c r="BS383" i="79"/>
  <c r="Y403" i="79"/>
  <c r="Y424" i="79" s="1"/>
  <c r="Y418" i="79"/>
  <c r="Y420" i="79" s="1"/>
  <c r="Y421" i="79" s="1"/>
  <c r="EM383" i="79"/>
  <c r="EM434" i="79"/>
  <c r="AM391" i="79"/>
  <c r="AM437" i="79"/>
  <c r="W436" i="79"/>
  <c r="W390" i="79"/>
  <c r="BK384" i="79"/>
  <c r="BK435" i="79"/>
  <c r="H452" i="80"/>
  <c r="G421" i="80"/>
  <c r="EU435" i="79"/>
  <c r="EU384" i="79"/>
  <c r="DG392" i="79"/>
  <c r="DH47" i="79"/>
  <c r="DH392" i="79" s="1"/>
  <c r="DI47" i="79"/>
  <c r="DI392" i="79" s="1"/>
  <c r="DR418" i="79"/>
  <c r="DR403" i="79"/>
  <c r="DR424" i="79" s="1"/>
  <c r="AU382" i="79"/>
  <c r="AU50" i="79"/>
  <c r="FN418" i="79"/>
  <c r="FN403" i="79"/>
  <c r="FN424" i="79" s="1"/>
  <c r="AE392" i="79"/>
  <c r="AF47" i="79"/>
  <c r="AF392" i="79" s="1"/>
  <c r="AG47" i="79"/>
  <c r="AG392" i="79" s="1"/>
  <c r="DW435" i="79"/>
  <c r="DW384" i="79"/>
  <c r="DO382" i="79"/>
  <c r="DO50" i="79"/>
  <c r="CA382" i="79"/>
  <c r="CA50" i="79"/>
  <c r="DH424" i="79"/>
  <c r="DH430" i="79" s="1"/>
  <c r="DH405" i="79"/>
  <c r="CI437" i="79"/>
  <c r="CI391" i="79"/>
  <c r="FC50" i="79"/>
  <c r="BC382" i="79"/>
  <c r="BC50" i="79"/>
  <c r="CY390" i="79"/>
  <c r="CY436" i="79"/>
  <c r="EM437" i="79"/>
  <c r="EM391" i="79"/>
  <c r="BK426" i="79"/>
  <c r="W392" i="79"/>
  <c r="Y47" i="79"/>
  <c r="Y392" i="79" s="1"/>
  <c r="X47" i="79"/>
  <c r="X392" i="79" s="1"/>
  <c r="O436" i="79"/>
  <c r="O390" i="79"/>
  <c r="EE392" i="79"/>
  <c r="EF47" i="79"/>
  <c r="EF392" i="79" s="1"/>
  <c r="EG47" i="79"/>
  <c r="EG392" i="79" s="1"/>
  <c r="EU382" i="79"/>
  <c r="EU50" i="79"/>
  <c r="DG435" i="79"/>
  <c r="DG384" i="79"/>
  <c r="AU392" i="79"/>
  <c r="AV47" i="79"/>
  <c r="AV392" i="79" s="1"/>
  <c r="AW47" i="79"/>
  <c r="AW392" i="79" s="1"/>
  <c r="FM418" i="79"/>
  <c r="FM420" i="79" s="1"/>
  <c r="FM421" i="79" s="1"/>
  <c r="FM403" i="79"/>
  <c r="DO390" i="79"/>
  <c r="DO436" i="79"/>
  <c r="CA435" i="79"/>
  <c r="CA384" i="79"/>
  <c r="CQ435" i="79"/>
  <c r="CQ384" i="79"/>
  <c r="BC383" i="79"/>
  <c r="BC434" i="79"/>
  <c r="BS382" i="79"/>
  <c r="BS50" i="79"/>
  <c r="EM384" i="79"/>
  <c r="EM435" i="79"/>
  <c r="AH403" i="79"/>
  <c r="AH424" i="79" s="1"/>
  <c r="AH418" i="79"/>
  <c r="DP405" i="79"/>
  <c r="EX426" i="79"/>
  <c r="EU426" i="79"/>
  <c r="BK437" i="79"/>
  <c r="BK391" i="79"/>
  <c r="BK434" i="79"/>
  <c r="BK383" i="79"/>
  <c r="O435" i="79"/>
  <c r="O384" i="79"/>
  <c r="EE435" i="79"/>
  <c r="EE384" i="79"/>
  <c r="EE382" i="79"/>
  <c r="EE50" i="79"/>
  <c r="BN418" i="79"/>
  <c r="BN403" i="79"/>
  <c r="BN424" i="79" s="1"/>
  <c r="EU437" i="79"/>
  <c r="EU391" i="79"/>
  <c r="DB403" i="79"/>
  <c r="DB424" i="79" s="1"/>
  <c r="DB418" i="79"/>
  <c r="DG382" i="79"/>
  <c r="DG50" i="79"/>
  <c r="AU390" i="79"/>
  <c r="AU436" i="79"/>
  <c r="AU383" i="79"/>
  <c r="AU434" i="79"/>
  <c r="DO434" i="79"/>
  <c r="DO383" i="79"/>
  <c r="CA436" i="79"/>
  <c r="CA390" i="79"/>
  <c r="EP418" i="79"/>
  <c r="EP403" i="79"/>
  <c r="CI382" i="79"/>
  <c r="CI50" i="79"/>
  <c r="CI434" i="79"/>
  <c r="CI383" i="79"/>
  <c r="AP403" i="79"/>
  <c r="AP424" i="79" s="1"/>
  <c r="AP418" i="79"/>
  <c r="BC392" i="79"/>
  <c r="BE47" i="79"/>
  <c r="BE392" i="79" s="1"/>
  <c r="BD47" i="79"/>
  <c r="BD392" i="79" s="1"/>
  <c r="CY383" i="79"/>
  <c r="CY434" i="79"/>
  <c r="BS437" i="79"/>
  <c r="BS391" i="79"/>
  <c r="BS435" i="79"/>
  <c r="BS384" i="79"/>
  <c r="FK392" i="79"/>
  <c r="FM47" i="79"/>
  <c r="FM392" i="79" s="1"/>
  <c r="FL47" i="79"/>
  <c r="FL392" i="79" s="1"/>
  <c r="FK435" i="79"/>
  <c r="FK384" i="79"/>
  <c r="AM384" i="79"/>
  <c r="AM435" i="79"/>
  <c r="AM434" i="79"/>
  <c r="AM383" i="79"/>
  <c r="W437" i="79"/>
  <c r="W391" i="79"/>
  <c r="AG403" i="79"/>
  <c r="AG418" i="79"/>
  <c r="AG420" i="79" s="1"/>
  <c r="AG421" i="79" s="1"/>
  <c r="BK390" i="79"/>
  <c r="BK436" i="79"/>
  <c r="O392" i="79"/>
  <c r="P47" i="79"/>
  <c r="P392" i="79" s="1"/>
  <c r="Q47" i="79"/>
  <c r="Q392" i="79" s="1"/>
  <c r="EE434" i="79"/>
  <c r="EE383" i="79"/>
  <c r="AX418" i="79"/>
  <c r="AX420" i="79" s="1"/>
  <c r="AX421" i="79" s="1"/>
  <c r="AX452" i="79" s="1"/>
  <c r="AX403" i="79"/>
  <c r="AX424" i="79" s="1"/>
  <c r="H32" i="27"/>
  <c r="L210" i="187"/>
  <c r="K210" i="187" s="1"/>
  <c r="M1021" i="101"/>
  <c r="L1021" i="101" s="1"/>
  <c r="Q69" i="186"/>
  <c r="P69" i="186" s="1"/>
  <c r="T606" i="96"/>
  <c r="N100" i="98"/>
  <c r="M100" i="98" s="1"/>
  <c r="U179" i="94"/>
  <c r="E389" i="85"/>
  <c r="L237" i="100"/>
  <c r="K237" i="100" s="1"/>
  <c r="DA418" i="79"/>
  <c r="DA420" i="79" s="1"/>
  <c r="DA421" i="79" s="1"/>
  <c r="DA403" i="79"/>
  <c r="DA424" i="79" s="1"/>
  <c r="DG436" i="79"/>
  <c r="DG390" i="79"/>
  <c r="AU435" i="79"/>
  <c r="AU384" i="79"/>
  <c r="AE391" i="79"/>
  <c r="AE437" i="79"/>
  <c r="AE435" i="79"/>
  <c r="AE384" i="79"/>
  <c r="DP452" i="79"/>
  <c r="DO392" i="79"/>
  <c r="DP47" i="79"/>
  <c r="DP392" i="79" s="1"/>
  <c r="DQ47" i="79"/>
  <c r="DQ392" i="79" s="1"/>
  <c r="EO418" i="79"/>
  <c r="EO420" i="79" s="1"/>
  <c r="EO421" i="79" s="1"/>
  <c r="EO403" i="79"/>
  <c r="EO424" i="79" s="1"/>
  <c r="CQ391" i="79"/>
  <c r="CQ437" i="79"/>
  <c r="CQ434" i="79"/>
  <c r="CQ383" i="79"/>
  <c r="CI392" i="79"/>
  <c r="CK47" i="79"/>
  <c r="CK392" i="79" s="1"/>
  <c r="CJ47" i="79"/>
  <c r="CJ392" i="79" s="1"/>
  <c r="AO418" i="79"/>
  <c r="AO420" i="79" s="1"/>
  <c r="AO421" i="79" s="1"/>
  <c r="AO403" i="79"/>
  <c r="AO424" i="79" s="1"/>
  <c r="DO394" i="80"/>
  <c r="DO413" i="80" s="1"/>
  <c r="DO414" i="80" s="1"/>
  <c r="CY384" i="79"/>
  <c r="CY435" i="79"/>
  <c r="CY382" i="79"/>
  <c r="CY50" i="79"/>
  <c r="BT424" i="79"/>
  <c r="BT430" i="79" s="1"/>
  <c r="BT405" i="79"/>
  <c r="BS392" i="79"/>
  <c r="BT47" i="79"/>
  <c r="BT392" i="79" s="1"/>
  <c r="BU47" i="79"/>
  <c r="BU392" i="79" s="1"/>
  <c r="FK434" i="79"/>
  <c r="FK383" i="79"/>
  <c r="FK436" i="79"/>
  <c r="FK390" i="79"/>
  <c r="W434" i="79"/>
  <c r="W383" i="79"/>
  <c r="DW394" i="80"/>
  <c r="DW413" i="80" s="1"/>
  <c r="DW414" i="80" s="1"/>
  <c r="AU394" i="80"/>
  <c r="AU413" i="80" s="1"/>
  <c r="AU414" i="80" s="1"/>
  <c r="BL424" i="79"/>
  <c r="BL430" i="79" s="1"/>
  <c r="BL405" i="79"/>
  <c r="O434" i="79"/>
  <c r="O383" i="79"/>
  <c r="DW390" i="79"/>
  <c r="DW436" i="79"/>
  <c r="EE390" i="79"/>
  <c r="EE436" i="79"/>
  <c r="AW403" i="79"/>
  <c r="AW424" i="79" s="1"/>
  <c r="AW418" i="79"/>
  <c r="AW420" i="79" s="1"/>
  <c r="AW421" i="79" s="1"/>
  <c r="BF403" i="79"/>
  <c r="BF424" i="79" s="1"/>
  <c r="BF418" i="79"/>
  <c r="AE434" i="79"/>
  <c r="AE383" i="79"/>
  <c r="CA437" i="79"/>
  <c r="CA391" i="79"/>
  <c r="EH403" i="79"/>
  <c r="EH424" i="79" s="1"/>
  <c r="EH418" i="79"/>
  <c r="CQ390" i="79"/>
  <c r="CQ436" i="79"/>
  <c r="EX403" i="79"/>
  <c r="EX418" i="79"/>
  <c r="BC435" i="79"/>
  <c r="BC384" i="79"/>
  <c r="CY437" i="79"/>
  <c r="CY391" i="79"/>
  <c r="FK382" i="79"/>
  <c r="FK50" i="79"/>
  <c r="EM392" i="79"/>
  <c r="EN47" i="79"/>
  <c r="EN392" i="79" s="1"/>
  <c r="EO47" i="79"/>
  <c r="EO392" i="79" s="1"/>
  <c r="AM382" i="79"/>
  <c r="AM50" i="79"/>
  <c r="AM392" i="79"/>
  <c r="AN47" i="79"/>
  <c r="AN392" i="79" s="1"/>
  <c r="AO47" i="79"/>
  <c r="AO392" i="79" s="1"/>
  <c r="W384" i="79"/>
  <c r="W435" i="79"/>
  <c r="BV403" i="79"/>
  <c r="BV424" i="79" s="1"/>
  <c r="BV418" i="79"/>
  <c r="DW383" i="79"/>
  <c r="DW434" i="79"/>
  <c r="BK392" i="79"/>
  <c r="BL47" i="79"/>
  <c r="BL392" i="79" s="1"/>
  <c r="BM47" i="79"/>
  <c r="BM392" i="79" s="1"/>
  <c r="O382" i="79"/>
  <c r="O50" i="79"/>
  <c r="DW382" i="79"/>
  <c r="DW50" i="79"/>
  <c r="EU434" i="79"/>
  <c r="EU383" i="79"/>
  <c r="AE382" i="79"/>
  <c r="AE50" i="79"/>
  <c r="DO437" i="79"/>
  <c r="DO391" i="79"/>
  <c r="CB424" i="79"/>
  <c r="CB430" i="79" s="1"/>
  <c r="CB405" i="79"/>
  <c r="CA392" i="79"/>
  <c r="CB47" i="79"/>
  <c r="CB392" i="79" s="1"/>
  <c r="CC47" i="79"/>
  <c r="CC392" i="79" s="1"/>
  <c r="EG403" i="79"/>
  <c r="EG424" i="79" s="1"/>
  <c r="EG418" i="79"/>
  <c r="EG420" i="79" s="1"/>
  <c r="EG421" i="79" s="1"/>
  <c r="CQ392" i="79"/>
  <c r="CR47" i="79"/>
  <c r="CR392" i="79" s="1"/>
  <c r="CS47" i="79"/>
  <c r="CS392" i="79" s="1"/>
  <c r="CI435" i="79"/>
  <c r="CI384" i="79"/>
  <c r="EW418" i="79"/>
  <c r="EW420" i="79" s="1"/>
  <c r="EW421" i="79" s="1"/>
  <c r="EW403" i="79"/>
  <c r="EW424" i="79" s="1"/>
  <c r="BS390" i="79"/>
  <c r="BS436" i="79"/>
  <c r="FK391" i="79"/>
  <c r="FK437" i="79"/>
  <c r="EM390" i="79"/>
  <c r="EM436" i="79"/>
  <c r="AM436" i="79"/>
  <c r="AM390" i="79"/>
  <c r="W382" i="79"/>
  <c r="W50" i="79"/>
  <c r="CT418" i="79"/>
  <c r="CT403" i="79"/>
  <c r="CT424" i="79" s="1"/>
  <c r="R418" i="79"/>
  <c r="R403" i="79"/>
  <c r="R424" i="79" s="1"/>
  <c r="E53" i="82"/>
  <c r="E50" i="82"/>
  <c r="E85" i="82" s="1"/>
  <c r="E19" i="82" s="1"/>
  <c r="E21" i="82" s="1"/>
  <c r="E22" i="82" s="1"/>
  <c r="E84" i="82" s="1"/>
  <c r="E53" i="35"/>
  <c r="E50" i="35"/>
  <c r="E85" i="35" s="1"/>
  <c r="R400" i="79"/>
  <c r="R402" i="79" s="1"/>
  <c r="R26" i="79"/>
  <c r="FF400" i="80"/>
  <c r="FF402" i="80" s="1"/>
  <c r="FF26" i="80"/>
  <c r="AH400" i="79"/>
  <c r="AH402" i="79" s="1"/>
  <c r="AH26" i="79"/>
  <c r="Z400" i="80"/>
  <c r="Z402" i="80" s="1"/>
  <c r="Z26" i="80"/>
  <c r="FF400" i="79"/>
  <c r="FF402" i="79" s="1"/>
  <c r="FF26" i="79"/>
  <c r="FN26" i="79"/>
  <c r="DR400" i="79"/>
  <c r="DR402" i="79" s="1"/>
  <c r="DR26" i="79"/>
  <c r="BN400" i="80"/>
  <c r="BN402" i="80" s="1"/>
  <c r="BN26" i="80"/>
  <c r="AP400" i="80"/>
  <c r="AP402" i="80" s="1"/>
  <c r="AP26" i="80"/>
  <c r="FN402" i="79"/>
  <c r="CD402" i="80"/>
  <c r="J409" i="79"/>
  <c r="J406" i="79"/>
  <c r="J450" i="79" s="1"/>
  <c r="AV409" i="79"/>
  <c r="AV406" i="79"/>
  <c r="BV400" i="80"/>
  <c r="BV402" i="80" s="1"/>
  <c r="BV26" i="80"/>
  <c r="DJ400" i="79"/>
  <c r="DJ402" i="79" s="1"/>
  <c r="DJ26" i="79"/>
  <c r="EH400" i="79"/>
  <c r="EH402" i="79" s="1"/>
  <c r="EH26" i="79"/>
  <c r="Z400" i="79"/>
  <c r="Z402" i="79" s="1"/>
  <c r="Z26" i="79"/>
  <c r="DB26" i="79"/>
  <c r="DJ400" i="80"/>
  <c r="DJ402" i="80" s="1"/>
  <c r="DJ26" i="80"/>
  <c r="AX400" i="79"/>
  <c r="AX402" i="79" s="1"/>
  <c r="AX26" i="79"/>
  <c r="R400" i="80"/>
  <c r="R402" i="80" s="1"/>
  <c r="R26" i="80"/>
  <c r="DB400" i="80"/>
  <c r="DB402" i="80" s="1"/>
  <c r="DB26" i="80"/>
  <c r="BN400" i="79"/>
  <c r="BN402" i="79" s="1"/>
  <c r="BN26" i="79"/>
  <c r="EH400" i="80"/>
  <c r="EH402" i="80" s="1"/>
  <c r="EH26" i="80"/>
  <c r="AP400" i="79"/>
  <c r="AP402" i="79" s="1"/>
  <c r="AP26" i="79"/>
  <c r="DZ400" i="79"/>
  <c r="DZ402" i="79" s="1"/>
  <c r="DZ26" i="79"/>
  <c r="EP400" i="80"/>
  <c r="EP402" i="80" s="1"/>
  <c r="EP26" i="80"/>
  <c r="EG409" i="80"/>
  <c r="EG406" i="80"/>
  <c r="EG450" i="80" s="1"/>
  <c r="AX400" i="80"/>
  <c r="AX402" i="80" s="1"/>
  <c r="AX26" i="80"/>
  <c r="CL400" i="79"/>
  <c r="CL402" i="79" s="1"/>
  <c r="CL26" i="79"/>
  <c r="CT400" i="79"/>
  <c r="CT402" i="79" s="1"/>
  <c r="CT26" i="79"/>
  <c r="CT400" i="80"/>
  <c r="CT402" i="80" s="1"/>
  <c r="CT26" i="80"/>
  <c r="BF400" i="79"/>
  <c r="BF402" i="79" s="1"/>
  <c r="BF26" i="79"/>
  <c r="EX26" i="80"/>
  <c r="EX400" i="80"/>
  <c r="EX402" i="80" s="1"/>
  <c r="BV400" i="79"/>
  <c r="BV402" i="79" s="1"/>
  <c r="BV26" i="79"/>
  <c r="AH410" i="80"/>
  <c r="AH426" i="80" s="1"/>
  <c r="AG426" i="80"/>
  <c r="M87" i="197"/>
  <c r="I90" i="197"/>
  <c r="M90" i="197" s="1"/>
  <c r="K87" i="197"/>
  <c r="G90" i="197"/>
  <c r="K90" i="197" s="1"/>
  <c r="N72" i="197"/>
  <c r="F87" i="197"/>
  <c r="P606" i="96"/>
  <c r="V590" i="96"/>
  <c r="L17" i="207" s="1"/>
  <c r="S591" i="96"/>
  <c r="R84" i="82" l="1"/>
  <c r="R27" i="82"/>
  <c r="R37" i="82" s="1"/>
  <c r="S30" i="82"/>
  <c r="S85" i="82"/>
  <c r="DZ47" i="79"/>
  <c r="DZ392" i="79" s="1"/>
  <c r="AA39" i="83"/>
  <c r="CR406" i="79"/>
  <c r="CR450" i="79" s="1"/>
  <c r="CR110" i="79" s="1"/>
  <c r="R70" i="82"/>
  <c r="R73" i="82" s="1"/>
  <c r="R74" i="82" s="1"/>
  <c r="R83" i="82" s="1"/>
  <c r="S25" i="82"/>
  <c r="S29" i="82"/>
  <c r="S71" i="82"/>
  <c r="S69" i="82"/>
  <c r="CR406" i="80"/>
  <c r="CR450" i="80" s="1"/>
  <c r="CR110" i="80" s="1"/>
  <c r="S21" i="82"/>
  <c r="Q84" i="82"/>
  <c r="S84" i="82" s="1"/>
  <c r="BM44" i="79"/>
  <c r="BM389" i="79" s="1"/>
  <c r="S19" i="82"/>
  <c r="G406" i="80"/>
  <c r="EO406" i="80"/>
  <c r="EO450" i="80" s="1"/>
  <c r="S22" i="82"/>
  <c r="Q70" i="82"/>
  <c r="Q73" i="82" s="1"/>
  <c r="Q37" i="82"/>
  <c r="Q57" i="82" s="1"/>
  <c r="FE44" i="79"/>
  <c r="FE389" i="79" s="1"/>
  <c r="AO406" i="80"/>
  <c r="AO450" i="80" s="1"/>
  <c r="DY44" i="79"/>
  <c r="DY389" i="79" s="1"/>
  <c r="AH405" i="80"/>
  <c r="AH409" i="80" s="1"/>
  <c r="U45" i="96"/>
  <c r="AG406" i="80"/>
  <c r="AG450" i="80" s="1"/>
  <c r="DR405" i="80"/>
  <c r="DR409" i="80" s="1"/>
  <c r="CS44" i="79"/>
  <c r="CS389" i="79" s="1"/>
  <c r="BT409" i="80"/>
  <c r="I376" i="80"/>
  <c r="I378" i="80" s="1"/>
  <c r="I379" i="80" s="1"/>
  <c r="I449" i="80" s="1"/>
  <c r="CZ409" i="79"/>
  <c r="N88" i="98"/>
  <c r="BF405" i="80"/>
  <c r="BF406" i="80" s="1"/>
  <c r="BF450" i="80" s="1"/>
  <c r="FD406" i="80"/>
  <c r="FD450" i="80" s="1"/>
  <c r="FD110" i="80" s="1"/>
  <c r="DQ406" i="80"/>
  <c r="DQ450" i="80" s="1"/>
  <c r="DQ46" i="80" s="1"/>
  <c r="DQ391" i="80" s="1"/>
  <c r="DQ437" i="80" s="1"/>
  <c r="FE308" i="79"/>
  <c r="FE313" i="79" s="1"/>
  <c r="DI308" i="79"/>
  <c r="DI313" i="79" s="1"/>
  <c r="J135" i="196"/>
  <c r="N135" i="196" s="1"/>
  <c r="J165" i="196"/>
  <c r="U101" i="96"/>
  <c r="I165" i="196"/>
  <c r="I135" i="196"/>
  <c r="M135" i="196" s="1"/>
  <c r="BM406" i="79"/>
  <c r="BM450" i="79" s="1"/>
  <c r="BM105" i="79" s="1"/>
  <c r="DH406" i="80"/>
  <c r="DH450" i="80" s="1"/>
  <c r="U864" i="101"/>
  <c r="DI44" i="80"/>
  <c r="Q406" i="80"/>
  <c r="V164" i="100"/>
  <c r="BM409" i="80"/>
  <c r="CJ406" i="79"/>
  <c r="CJ450" i="79" s="1"/>
  <c r="EG44" i="80"/>
  <c r="EG389" i="80" s="1"/>
  <c r="U111" i="96"/>
  <c r="CC308" i="79"/>
  <c r="CC313" i="79" s="1"/>
  <c r="EE243" i="80"/>
  <c r="CA243" i="80"/>
  <c r="FK243" i="80"/>
  <c r="CY243" i="80"/>
  <c r="DW243" i="80"/>
  <c r="BK243" i="80"/>
  <c r="EM243" i="80"/>
  <c r="O243" i="80"/>
  <c r="CQ243" i="80"/>
  <c r="DG243" i="80"/>
  <c r="BS243" i="80"/>
  <c r="FC243" i="80"/>
  <c r="AU243" i="80"/>
  <c r="W243" i="80"/>
  <c r="CI243" i="80"/>
  <c r="EU243" i="80"/>
  <c r="DO243" i="80"/>
  <c r="AM243" i="80"/>
  <c r="BC243" i="80"/>
  <c r="AE243" i="80"/>
  <c r="G257" i="85"/>
  <c r="G100" i="26"/>
  <c r="DW242" i="79"/>
  <c r="O242" i="79"/>
  <c r="CY242" i="79"/>
  <c r="EU242" i="79"/>
  <c r="CA242" i="79"/>
  <c r="G257" i="79"/>
  <c r="G260" i="79" s="1"/>
  <c r="G322" i="79" s="1"/>
  <c r="DO242" i="79"/>
  <c r="CI242" i="79"/>
  <c r="FK242" i="79"/>
  <c r="EM242" i="79"/>
  <c r="AE242" i="79"/>
  <c r="CQ242" i="79"/>
  <c r="BC242" i="79"/>
  <c r="AM242" i="79"/>
  <c r="W242" i="79"/>
  <c r="DG242" i="79"/>
  <c r="FC242" i="79"/>
  <c r="AU242" i="79"/>
  <c r="BK242" i="79"/>
  <c r="EE242" i="79"/>
  <c r="BS242" i="79"/>
  <c r="FK242" i="80"/>
  <c r="DG242" i="80"/>
  <c r="DG257" i="80" s="1"/>
  <c r="DG260" i="80" s="1"/>
  <c r="DG322" i="80" s="1"/>
  <c r="AM242" i="80"/>
  <c r="CI242" i="80"/>
  <c r="CI257" i="80" s="1"/>
  <c r="CI260" i="80" s="1"/>
  <c r="CI322" i="80" s="1"/>
  <c r="CA242" i="80"/>
  <c r="CA257" i="80" s="1"/>
  <c r="CA260" i="80" s="1"/>
  <c r="CA322" i="80" s="1"/>
  <c r="FC242" i="80"/>
  <c r="FC257" i="80" s="1"/>
  <c r="FC260" i="80" s="1"/>
  <c r="FC322" i="80" s="1"/>
  <c r="DO242" i="80"/>
  <c r="CQ242" i="80"/>
  <c r="W242" i="80"/>
  <c r="BS242" i="80"/>
  <c r="CY242" i="80"/>
  <c r="BK242" i="80"/>
  <c r="G257" i="80"/>
  <c r="G260" i="80" s="1"/>
  <c r="G322" i="80" s="1"/>
  <c r="EE242" i="80"/>
  <c r="DW242" i="80"/>
  <c r="EM242" i="80"/>
  <c r="EU242" i="80"/>
  <c r="AU242" i="80"/>
  <c r="O242" i="80"/>
  <c r="BC242" i="80"/>
  <c r="AE242" i="80"/>
  <c r="I242" i="85"/>
  <c r="K136" i="90" s="1"/>
  <c r="I242" i="79"/>
  <c r="I242" i="80"/>
  <c r="CS242" i="80" s="1"/>
  <c r="W52" i="94"/>
  <c r="J242" i="85"/>
  <c r="L136" i="90" s="1"/>
  <c r="J242" i="79"/>
  <c r="J242" i="80"/>
  <c r="BU308" i="79"/>
  <c r="BU313" i="79" s="1"/>
  <c r="CY243" i="79"/>
  <c r="AM243" i="79"/>
  <c r="DW243" i="79"/>
  <c r="W243" i="79"/>
  <c r="DG243" i="79"/>
  <c r="FK243" i="79"/>
  <c r="FC243" i="79"/>
  <c r="EE243" i="79"/>
  <c r="O243" i="79"/>
  <c r="CI243" i="79"/>
  <c r="CQ243" i="79"/>
  <c r="EU243" i="79"/>
  <c r="BC243" i="79"/>
  <c r="DO243" i="79"/>
  <c r="CA243" i="79"/>
  <c r="BS243" i="79"/>
  <c r="BK243" i="79"/>
  <c r="AE243" i="79"/>
  <c r="AU243" i="79"/>
  <c r="EM243" i="79"/>
  <c r="BE308" i="79"/>
  <c r="BE313" i="79" s="1"/>
  <c r="EG308" i="80"/>
  <c r="EG313" i="80" s="1"/>
  <c r="BC52" i="80"/>
  <c r="BC79" i="80" s="1"/>
  <c r="U51" i="96"/>
  <c r="U107" i="96"/>
  <c r="U97" i="96"/>
  <c r="G30" i="35"/>
  <c r="U55" i="96"/>
  <c r="U47" i="96"/>
  <c r="U80" i="96"/>
  <c r="F25" i="82"/>
  <c r="U82" i="96"/>
  <c r="CL405" i="80"/>
  <c r="CL409" i="80" s="1"/>
  <c r="U92" i="96"/>
  <c r="U56" i="96"/>
  <c r="F25" i="35"/>
  <c r="G21" i="35"/>
  <c r="EV406" i="79"/>
  <c r="EV450" i="79" s="1"/>
  <c r="U57" i="96"/>
  <c r="U99" i="96"/>
  <c r="U98" i="96"/>
  <c r="U112" i="96"/>
  <c r="U90" i="96"/>
  <c r="U114" i="96"/>
  <c r="U110" i="96"/>
  <c r="CK406" i="80"/>
  <c r="CK450" i="80" s="1"/>
  <c r="CK45" i="80" s="1"/>
  <c r="CK390" i="80" s="1"/>
  <c r="CK436" i="80" s="1"/>
  <c r="U54" i="96"/>
  <c r="U81" i="96"/>
  <c r="U71" i="96"/>
  <c r="H17" i="207"/>
  <c r="L65" i="207" s="1"/>
  <c r="L17" i="13"/>
  <c r="H17" i="13" s="1"/>
  <c r="DI406" i="80"/>
  <c r="DI450" i="80" s="1"/>
  <c r="DI110" i="80" s="1"/>
  <c r="U106" i="96"/>
  <c r="DJ405" i="80"/>
  <c r="DJ406" i="80" s="1"/>
  <c r="DJ450" i="80" s="1"/>
  <c r="U102" i="96"/>
  <c r="U62" i="96"/>
  <c r="AN406" i="79"/>
  <c r="AN450" i="79" s="1"/>
  <c r="AN110" i="79" s="1"/>
  <c r="Q58" i="84"/>
  <c r="I58" i="84"/>
  <c r="M58" i="84"/>
  <c r="D58" i="84"/>
  <c r="P58" i="84"/>
  <c r="H58" i="84"/>
  <c r="E58" i="84"/>
  <c r="O58" i="84"/>
  <c r="G58" i="84"/>
  <c r="L58" i="84"/>
  <c r="N58" i="84"/>
  <c r="F58" i="84"/>
  <c r="U58" i="84"/>
  <c r="S58" i="84"/>
  <c r="K58" i="84"/>
  <c r="C58" i="84"/>
  <c r="R58" i="84"/>
  <c r="J58" i="84"/>
  <c r="J88" i="85"/>
  <c r="L43" i="90" s="1"/>
  <c r="U896" i="101"/>
  <c r="U888" i="101"/>
  <c r="U866" i="101"/>
  <c r="U874" i="101"/>
  <c r="CC44" i="79"/>
  <c r="CC389" i="79" s="1"/>
  <c r="V145" i="100"/>
  <c r="G34" i="82"/>
  <c r="G72" i="82" s="1"/>
  <c r="I409" i="79"/>
  <c r="V158" i="100"/>
  <c r="Z47" i="80"/>
  <c r="Z392" i="80" s="1"/>
  <c r="V130" i="100"/>
  <c r="V225" i="100" s="1"/>
  <c r="V246" i="100" s="1"/>
  <c r="V52" i="94"/>
  <c r="BV47" i="80"/>
  <c r="BV392" i="80" s="1"/>
  <c r="V62" i="94"/>
  <c r="M5" i="187"/>
  <c r="R27" i="35"/>
  <c r="R37" i="35" s="1"/>
  <c r="R38" i="35" s="1"/>
  <c r="R84" i="35"/>
  <c r="R70" i="35"/>
  <c r="R73" i="35" s="1"/>
  <c r="R74" i="35" s="1"/>
  <c r="R83" i="35" s="1"/>
  <c r="AA39" i="77"/>
  <c r="AA38" i="77"/>
  <c r="I373" i="85"/>
  <c r="S27" i="82"/>
  <c r="J43" i="85"/>
  <c r="L17" i="90" s="1"/>
  <c r="H41" i="207"/>
  <c r="H45" i="207"/>
  <c r="H46" i="207"/>
  <c r="H42" i="207"/>
  <c r="H38" i="207"/>
  <c r="H43" i="207"/>
  <c r="H37" i="207"/>
  <c r="H111" i="207"/>
  <c r="H88" i="207"/>
  <c r="H93" i="207" s="1"/>
  <c r="H105" i="207"/>
  <c r="H48" i="207"/>
  <c r="H110" i="207"/>
  <c r="J116" i="207"/>
  <c r="I116" i="207"/>
  <c r="I116" i="206"/>
  <c r="H45" i="206"/>
  <c r="H37" i="206"/>
  <c r="H110" i="206"/>
  <c r="H48" i="206"/>
  <c r="H88" i="206"/>
  <c r="H93" i="206" s="1"/>
  <c r="H46" i="206"/>
  <c r="H42" i="206"/>
  <c r="H38" i="206"/>
  <c r="H105" i="206"/>
  <c r="H43" i="206"/>
  <c r="H111" i="206"/>
  <c r="H41" i="206"/>
  <c r="J116" i="206"/>
  <c r="W55" i="94"/>
  <c r="BM308" i="79"/>
  <c r="BM313" i="79" s="1"/>
  <c r="J43" i="80"/>
  <c r="J388" i="80" s="1"/>
  <c r="G31" i="82"/>
  <c r="G31" i="35"/>
  <c r="W45" i="94"/>
  <c r="W69" i="94"/>
  <c r="V865" i="101"/>
  <c r="J116" i="203"/>
  <c r="I88" i="80"/>
  <c r="I93" i="80" s="1"/>
  <c r="I116" i="203"/>
  <c r="H111" i="203"/>
  <c r="H41" i="203"/>
  <c r="H46" i="203"/>
  <c r="H38" i="203"/>
  <c r="H105" i="203"/>
  <c r="H43" i="203"/>
  <c r="H110" i="203"/>
  <c r="H88" i="203"/>
  <c r="H93" i="203" s="1"/>
  <c r="H48" i="203"/>
  <c r="H45" i="203"/>
  <c r="H37" i="203"/>
  <c r="H42" i="203"/>
  <c r="H41" i="13"/>
  <c r="H111" i="13"/>
  <c r="H46" i="13"/>
  <c r="H38" i="13"/>
  <c r="H45" i="13"/>
  <c r="H105" i="13"/>
  <c r="H43" i="13"/>
  <c r="H110" i="13"/>
  <c r="H88" i="13"/>
  <c r="H93" i="13" s="1"/>
  <c r="H48" i="13"/>
  <c r="H37" i="13"/>
  <c r="H42" i="13"/>
  <c r="J116" i="13"/>
  <c r="I116" i="13"/>
  <c r="R405" i="80"/>
  <c r="R409" i="80" s="1"/>
  <c r="I110" i="79"/>
  <c r="I116" i="79" s="1"/>
  <c r="BK52" i="80"/>
  <c r="BK79" i="80" s="1"/>
  <c r="J42" i="80"/>
  <c r="J387" i="80" s="1"/>
  <c r="J38" i="79"/>
  <c r="J434" i="79" s="1"/>
  <c r="J42" i="85"/>
  <c r="L16" i="90" s="1"/>
  <c r="G30" i="82"/>
  <c r="AW406" i="80"/>
  <c r="AW450" i="80" s="1"/>
  <c r="F36" i="35"/>
  <c r="J46" i="85"/>
  <c r="L20" i="90" s="1"/>
  <c r="J46" i="80"/>
  <c r="J391" i="80" s="1"/>
  <c r="J437" i="80" s="1"/>
  <c r="V76" i="94"/>
  <c r="DB47" i="80"/>
  <c r="DB392" i="80" s="1"/>
  <c r="V69" i="94"/>
  <c r="V78" i="94"/>
  <c r="CL47" i="80"/>
  <c r="CL392" i="80" s="1"/>
  <c r="X406" i="79"/>
  <c r="X450" i="79" s="1"/>
  <c r="X110" i="79" s="1"/>
  <c r="V55" i="94"/>
  <c r="EE52" i="80"/>
  <c r="EE79" i="80" s="1"/>
  <c r="V87" i="94"/>
  <c r="DI409" i="79"/>
  <c r="FM409" i="80"/>
  <c r="V53" i="94"/>
  <c r="V94" i="94"/>
  <c r="DA406" i="80"/>
  <c r="DA450" i="80" s="1"/>
  <c r="J105" i="80"/>
  <c r="J116" i="80" s="1"/>
  <c r="DP421" i="80"/>
  <c r="DP452" i="80" s="1"/>
  <c r="J105" i="85"/>
  <c r="L54" i="90" s="1"/>
  <c r="BE406" i="79"/>
  <c r="BE450" i="79" s="1"/>
  <c r="BE105" i="79" s="1"/>
  <c r="DX409" i="80"/>
  <c r="W52" i="80"/>
  <c r="W79" i="80" s="1"/>
  <c r="EG40" i="80"/>
  <c r="EG385" i="80" s="1"/>
  <c r="EH405" i="80"/>
  <c r="EH406" i="80" s="1"/>
  <c r="EH450" i="80" s="1"/>
  <c r="R47" i="80"/>
  <c r="R392" i="80" s="1"/>
  <c r="DQ406" i="79"/>
  <c r="DQ450" i="79" s="1"/>
  <c r="DQ48" i="79" s="1"/>
  <c r="DQ393" i="79" s="1"/>
  <c r="FN47" i="80"/>
  <c r="FN392" i="80" s="1"/>
  <c r="CT405" i="80"/>
  <c r="CT409" i="80" s="1"/>
  <c r="I43" i="80"/>
  <c r="I388" i="80" s="1"/>
  <c r="FF47" i="80"/>
  <c r="FF392" i="80" s="1"/>
  <c r="EH47" i="80"/>
  <c r="EH392" i="80" s="1"/>
  <c r="J38" i="85"/>
  <c r="L12" i="90" s="1"/>
  <c r="F31" i="82"/>
  <c r="I43" i="79"/>
  <c r="I388" i="79" s="1"/>
  <c r="H450" i="80"/>
  <c r="CT47" i="80"/>
  <c r="CT392" i="80" s="1"/>
  <c r="Q38" i="82"/>
  <c r="I43" i="85"/>
  <c r="K17" i="90" s="1"/>
  <c r="G26" i="82"/>
  <c r="G69" i="82" s="1"/>
  <c r="M6" i="187"/>
  <c r="I93" i="85"/>
  <c r="M8" i="187"/>
  <c r="I88" i="85"/>
  <c r="K43" i="90" s="1"/>
  <c r="I41" i="79"/>
  <c r="I386" i="79" s="1"/>
  <c r="I41" i="80"/>
  <c r="I386" i="80" s="1"/>
  <c r="CC40" i="79"/>
  <c r="CC385" i="79" s="1"/>
  <c r="I45" i="85"/>
  <c r="K19" i="90" s="1"/>
  <c r="G36" i="82"/>
  <c r="FE40" i="79"/>
  <c r="FE385" i="79" s="1"/>
  <c r="BU44" i="79"/>
  <c r="BU389" i="79" s="1"/>
  <c r="BE40" i="79"/>
  <c r="BE385" i="79" s="1"/>
  <c r="EN421" i="80"/>
  <c r="EN452" i="80" s="1"/>
  <c r="CC406" i="79"/>
  <c r="CC450" i="79" s="1"/>
  <c r="CC111" i="79" s="1"/>
  <c r="M15" i="187"/>
  <c r="J45" i="79"/>
  <c r="J436" i="79" s="1"/>
  <c r="F33" i="35"/>
  <c r="F71" i="35" s="1"/>
  <c r="BF47" i="80"/>
  <c r="BF392" i="80" s="1"/>
  <c r="M9" i="187"/>
  <c r="I45" i="79"/>
  <c r="I436" i="79" s="1"/>
  <c r="M10" i="187"/>
  <c r="J45" i="85"/>
  <c r="L19" i="90" s="1"/>
  <c r="BM40" i="79"/>
  <c r="BM385" i="79" s="1"/>
  <c r="AF110" i="79"/>
  <c r="AX405" i="80"/>
  <c r="AX409" i="80" s="1"/>
  <c r="I376" i="79"/>
  <c r="I378" i="79" s="1"/>
  <c r="I379" i="79" s="1"/>
  <c r="I449" i="79" s="1"/>
  <c r="U941" i="101"/>
  <c r="M13" i="187"/>
  <c r="I37" i="79"/>
  <c r="G33" i="82"/>
  <c r="G71" i="82" s="1"/>
  <c r="F33" i="82"/>
  <c r="F71" i="82" s="1"/>
  <c r="BE406" i="80"/>
  <c r="BE450" i="80" s="1"/>
  <c r="I371" i="85"/>
  <c r="K182" i="90" s="1"/>
  <c r="V159" i="100"/>
  <c r="U912" i="101"/>
  <c r="U870" i="101"/>
  <c r="U81" i="101"/>
  <c r="V82" i="94"/>
  <c r="V92" i="94"/>
  <c r="W49" i="94"/>
  <c r="W90" i="94"/>
  <c r="W62" i="94"/>
  <c r="I111" i="85"/>
  <c r="K60" i="90" s="1"/>
  <c r="J376" i="79"/>
  <c r="J378" i="79" s="1"/>
  <c r="J379" i="79" s="1"/>
  <c r="J449" i="79" s="1"/>
  <c r="EW406" i="80"/>
  <c r="EW450" i="80" s="1"/>
  <c r="I41" i="85"/>
  <c r="K15" i="90" s="1"/>
  <c r="AX47" i="80"/>
  <c r="AX392" i="80" s="1"/>
  <c r="BU40" i="79"/>
  <c r="BU385" i="79" s="1"/>
  <c r="DZ405" i="80"/>
  <c r="DZ409" i="80" s="1"/>
  <c r="U865" i="101"/>
  <c r="U940" i="101"/>
  <c r="W92" i="94"/>
  <c r="W94" i="94"/>
  <c r="I111" i="80"/>
  <c r="FM111" i="80" s="1"/>
  <c r="J371" i="85"/>
  <c r="L182" i="90" s="1"/>
  <c r="M14" i="187"/>
  <c r="I37" i="80"/>
  <c r="J45" i="80"/>
  <c r="J390" i="80" s="1"/>
  <c r="J436" i="80" s="1"/>
  <c r="U942" i="101"/>
  <c r="U875" i="101"/>
  <c r="U86" i="101"/>
  <c r="V45" i="94"/>
  <c r="V90" i="94"/>
  <c r="W82" i="94"/>
  <c r="W78" i="94"/>
  <c r="F29" i="82"/>
  <c r="DZ47" i="80"/>
  <c r="DZ392" i="80" s="1"/>
  <c r="AH47" i="80"/>
  <c r="AH392" i="80" s="1"/>
  <c r="AF409" i="79"/>
  <c r="U85" i="101"/>
  <c r="U208" i="101"/>
  <c r="W54" i="94"/>
  <c r="FL406" i="79"/>
  <c r="FL450" i="79" s="1"/>
  <c r="FL110" i="79" s="1"/>
  <c r="M12" i="187"/>
  <c r="V210" i="100"/>
  <c r="U47" i="101"/>
  <c r="W53" i="94"/>
  <c r="W76" i="94"/>
  <c r="G26" i="35"/>
  <c r="G69" i="35" s="1"/>
  <c r="G34" i="35"/>
  <c r="G72" i="35" s="1"/>
  <c r="I88" i="79"/>
  <c r="I93" i="79" s="1"/>
  <c r="BU406" i="79"/>
  <c r="BU450" i="79" s="1"/>
  <c r="CS406" i="79"/>
  <c r="CS450" i="79" s="1"/>
  <c r="CS308" i="79"/>
  <c r="CS313" i="79" s="1"/>
  <c r="AU251" i="80"/>
  <c r="BE44" i="79"/>
  <c r="BE389" i="79" s="1"/>
  <c r="FF47" i="79"/>
  <c r="FF392" i="79" s="1"/>
  <c r="EV406" i="80"/>
  <c r="EV450" i="80" s="1"/>
  <c r="U938" i="101"/>
  <c r="W86" i="94"/>
  <c r="CS40" i="79"/>
  <c r="CS385" i="79" s="1"/>
  <c r="M11" i="187"/>
  <c r="DY406" i="80"/>
  <c r="DY450" i="80" s="1"/>
  <c r="DY46" i="80" s="1"/>
  <c r="DY391" i="80" s="1"/>
  <c r="DY437" i="80" s="1"/>
  <c r="DY406" i="79"/>
  <c r="DY450" i="79" s="1"/>
  <c r="DY111" i="79" s="1"/>
  <c r="U937" i="101"/>
  <c r="U84" i="101"/>
  <c r="V54" i="94"/>
  <c r="V49" i="94"/>
  <c r="M4" i="187"/>
  <c r="N87" i="98"/>
  <c r="U913" i="101"/>
  <c r="U871" i="101"/>
  <c r="V91" i="94"/>
  <c r="W87" i="94"/>
  <c r="AX405" i="79"/>
  <c r="AX406" i="79" s="1"/>
  <c r="AX450" i="79" s="1"/>
  <c r="FF405" i="80"/>
  <c r="FF409" i="80" s="1"/>
  <c r="AP420" i="79"/>
  <c r="AP421" i="79" s="1"/>
  <c r="AP452" i="79" s="1"/>
  <c r="EO421" i="80"/>
  <c r="EO452" i="80" s="1"/>
  <c r="DQ40" i="79"/>
  <c r="DQ385" i="79" s="1"/>
  <c r="CD47" i="80"/>
  <c r="CD392" i="80" s="1"/>
  <c r="BV405" i="80"/>
  <c r="BV406" i="80" s="1"/>
  <c r="BV450" i="80" s="1"/>
  <c r="J48" i="80"/>
  <c r="J393" i="80" s="1"/>
  <c r="F26" i="82"/>
  <c r="F69" i="82" s="1"/>
  <c r="G36" i="35"/>
  <c r="CY251" i="80"/>
  <c r="CY257" i="80" s="1"/>
  <c r="CY260" i="80" s="1"/>
  <c r="CY322" i="80" s="1"/>
  <c r="I38" i="79"/>
  <c r="I434" i="79" s="1"/>
  <c r="DB405" i="80"/>
  <c r="DB409" i="80" s="1"/>
  <c r="U159" i="100"/>
  <c r="J48" i="79"/>
  <c r="J393" i="79" s="1"/>
  <c r="T62" i="96"/>
  <c r="T80" i="96"/>
  <c r="CD405" i="80"/>
  <c r="CD409" i="80" s="1"/>
  <c r="T81" i="96"/>
  <c r="FD406" i="79"/>
  <c r="FD450" i="79" s="1"/>
  <c r="I38" i="85"/>
  <c r="K12" i="90" s="1"/>
  <c r="U130" i="100"/>
  <c r="U225" i="100" s="1"/>
  <c r="U246" i="100" s="1"/>
  <c r="F30" i="35"/>
  <c r="T97" i="96"/>
  <c r="T111" i="96"/>
  <c r="T107" i="96"/>
  <c r="BN47" i="80"/>
  <c r="BN392" i="80" s="1"/>
  <c r="U158" i="100"/>
  <c r="I42" i="80"/>
  <c r="I387" i="80" s="1"/>
  <c r="T110" i="96"/>
  <c r="T101" i="96"/>
  <c r="T47" i="96"/>
  <c r="U210" i="100"/>
  <c r="F30" i="82"/>
  <c r="T99" i="96"/>
  <c r="T112" i="96"/>
  <c r="T71" i="96"/>
  <c r="P406" i="80"/>
  <c r="P450" i="80" s="1"/>
  <c r="N10" i="187"/>
  <c r="I42" i="79"/>
  <c r="I387" i="79" s="1"/>
  <c r="T92" i="96"/>
  <c r="T55" i="96"/>
  <c r="T90" i="96"/>
  <c r="T64" i="96"/>
  <c r="F26" i="35"/>
  <c r="F69" i="35" s="1"/>
  <c r="FE406" i="80"/>
  <c r="FE450" i="80" s="1"/>
  <c r="U164" i="100"/>
  <c r="CC406" i="80"/>
  <c r="CC450" i="80" s="1"/>
  <c r="T54" i="96"/>
  <c r="T106" i="96"/>
  <c r="T114" i="96"/>
  <c r="T102" i="96"/>
  <c r="U145" i="100"/>
  <c r="T57" i="96"/>
  <c r="T56" i="96"/>
  <c r="T51" i="96"/>
  <c r="CS406" i="80"/>
  <c r="CS450" i="80" s="1"/>
  <c r="T45" i="96"/>
  <c r="T98" i="96"/>
  <c r="EP47" i="80"/>
  <c r="EP392" i="80" s="1"/>
  <c r="BV405" i="79"/>
  <c r="BV409" i="79" s="1"/>
  <c r="FE421" i="80"/>
  <c r="FE452" i="80" s="1"/>
  <c r="FE40" i="80" s="1"/>
  <c r="FE385" i="80" s="1"/>
  <c r="FD421" i="80"/>
  <c r="FD452" i="80" s="1"/>
  <c r="EF406" i="80"/>
  <c r="EF450" i="80" s="1"/>
  <c r="DI308" i="80"/>
  <c r="DI313" i="80" s="1"/>
  <c r="Y406" i="80"/>
  <c r="Y450" i="80" s="1"/>
  <c r="V939" i="101"/>
  <c r="EH420" i="79"/>
  <c r="EH421" i="79" s="1"/>
  <c r="EH452" i="79" s="1"/>
  <c r="CL405" i="79"/>
  <c r="CL409" i="79" s="1"/>
  <c r="EP405" i="80"/>
  <c r="EP409" i="80" s="1"/>
  <c r="DJ405" i="79"/>
  <c r="DJ409" i="79" s="1"/>
  <c r="V888" i="101"/>
  <c r="DI40" i="79"/>
  <c r="DI385" i="79" s="1"/>
  <c r="V864" i="101"/>
  <c r="DI44" i="79"/>
  <c r="DI389" i="79" s="1"/>
  <c r="EF406" i="79"/>
  <c r="EF450" i="79" s="1"/>
  <c r="EF110" i="79" s="1"/>
  <c r="G25" i="82"/>
  <c r="V941" i="101"/>
  <c r="DR405" i="79"/>
  <c r="DR409" i="79" s="1"/>
  <c r="DQ44" i="79"/>
  <c r="DQ389" i="79" s="1"/>
  <c r="V912" i="101"/>
  <c r="FK251" i="80"/>
  <c r="DI40" i="80"/>
  <c r="DI385" i="80" s="1"/>
  <c r="DQ421" i="80"/>
  <c r="DQ452" i="80" s="1"/>
  <c r="DQ44" i="80" s="1"/>
  <c r="DQ389" i="80" s="1"/>
  <c r="DJ47" i="80"/>
  <c r="DJ392" i="80" s="1"/>
  <c r="FC52" i="80"/>
  <c r="FC79" i="80" s="1"/>
  <c r="O52" i="80"/>
  <c r="O79" i="80" s="1"/>
  <c r="P406" i="79"/>
  <c r="P450" i="79" s="1"/>
  <c r="P110" i="79" s="1"/>
  <c r="CI52" i="80"/>
  <c r="CI79" i="80" s="1"/>
  <c r="FL409" i="80"/>
  <c r="DZ405" i="79"/>
  <c r="DZ409" i="79" s="1"/>
  <c r="FC438" i="79"/>
  <c r="EM52" i="80"/>
  <c r="EM79" i="80" s="1"/>
  <c r="DG52" i="80"/>
  <c r="DG79" i="80" s="1"/>
  <c r="DW52" i="80"/>
  <c r="DW79" i="80" s="1"/>
  <c r="EX405" i="80"/>
  <c r="EX409" i="80" s="1"/>
  <c r="G29" i="82"/>
  <c r="FF405" i="79"/>
  <c r="FF409" i="79" s="1"/>
  <c r="BF405" i="79"/>
  <c r="BF406" i="79" s="1"/>
  <c r="BU406" i="80"/>
  <c r="BU450" i="80" s="1"/>
  <c r="BU46" i="80" s="1"/>
  <c r="BU391" i="80" s="1"/>
  <c r="BU437" i="80" s="1"/>
  <c r="FN405" i="79"/>
  <c r="FN409" i="79" s="1"/>
  <c r="Y405" i="79"/>
  <c r="DB420" i="79"/>
  <c r="DB421" i="79" s="1"/>
  <c r="DB452" i="79" s="1"/>
  <c r="EX47" i="80"/>
  <c r="EX392" i="80" s="1"/>
  <c r="CT405" i="79"/>
  <c r="CT409" i="79" s="1"/>
  <c r="CQ52" i="80"/>
  <c r="CQ79" i="80" s="1"/>
  <c r="N11" i="187"/>
  <c r="I110" i="80"/>
  <c r="I48" i="80"/>
  <c r="I393" i="80" s="1"/>
  <c r="F34" i="35"/>
  <c r="F72" i="35" s="1"/>
  <c r="F36" i="82"/>
  <c r="N5" i="187"/>
  <c r="W394" i="79"/>
  <c r="BV420" i="79"/>
  <c r="BV421" i="79" s="1"/>
  <c r="BV452" i="79" s="1"/>
  <c r="I48" i="85"/>
  <c r="K22" i="90" s="1"/>
  <c r="FE406" i="79"/>
  <c r="FE450" i="79" s="1"/>
  <c r="FE105" i="79" s="1"/>
  <c r="N6" i="187"/>
  <c r="J88" i="80"/>
  <c r="J93" i="80" s="1"/>
  <c r="F34" i="82"/>
  <c r="F72" i="82" s="1"/>
  <c r="BN405" i="79"/>
  <c r="BN409" i="79" s="1"/>
  <c r="I105" i="85"/>
  <c r="K54" i="90" s="1"/>
  <c r="N12" i="187"/>
  <c r="N13" i="187"/>
  <c r="BN405" i="80"/>
  <c r="BN409" i="80" s="1"/>
  <c r="J93" i="85"/>
  <c r="BM421" i="80"/>
  <c r="BM452" i="80" s="1"/>
  <c r="BM308" i="80" s="1"/>
  <c r="BM313" i="80" s="1"/>
  <c r="N7" i="187"/>
  <c r="N14" i="187"/>
  <c r="J88" i="79"/>
  <c r="J93" i="79" s="1"/>
  <c r="DO52" i="80"/>
  <c r="DO79" i="80" s="1"/>
  <c r="I105" i="80"/>
  <c r="FM105" i="80" s="1"/>
  <c r="N15" i="187"/>
  <c r="N8" i="187"/>
  <c r="I46" i="79"/>
  <c r="I46" i="85"/>
  <c r="K20" i="90" s="1"/>
  <c r="AP405" i="79"/>
  <c r="AP409" i="79" s="1"/>
  <c r="N4" i="187"/>
  <c r="DR47" i="80"/>
  <c r="DR392" i="80" s="1"/>
  <c r="BL421" i="80"/>
  <c r="BL452" i="80" s="1"/>
  <c r="DR420" i="79"/>
  <c r="DR421" i="79" s="1"/>
  <c r="DR452" i="79" s="1"/>
  <c r="DY40" i="79"/>
  <c r="DY385" i="79" s="1"/>
  <c r="Z420" i="79"/>
  <c r="Z421" i="79" s="1"/>
  <c r="Z452" i="79" s="1"/>
  <c r="EN409" i="79"/>
  <c r="EN406" i="79"/>
  <c r="EN450" i="79" s="1"/>
  <c r="G25" i="35"/>
  <c r="V81" i="101"/>
  <c r="V896" i="101"/>
  <c r="V85" i="101"/>
  <c r="J111" i="79"/>
  <c r="R420" i="79"/>
  <c r="R421" i="79" s="1"/>
  <c r="R452" i="79" s="1"/>
  <c r="BS52" i="80"/>
  <c r="BS79" i="80" s="1"/>
  <c r="J37" i="80"/>
  <c r="J382" i="80" s="1"/>
  <c r="V208" i="101"/>
  <c r="V940" i="101"/>
  <c r="V942" i="101"/>
  <c r="J111" i="85"/>
  <c r="L60" i="90" s="1"/>
  <c r="DY308" i="79"/>
  <c r="DY313" i="79" s="1"/>
  <c r="S71" i="35"/>
  <c r="S85" i="35"/>
  <c r="J37" i="79"/>
  <c r="J382" i="79" s="1"/>
  <c r="V47" i="101"/>
  <c r="V84" i="101"/>
  <c r="V86" i="101"/>
  <c r="V913" i="101"/>
  <c r="V874" i="101"/>
  <c r="V875" i="101"/>
  <c r="CA52" i="80"/>
  <c r="CA79" i="80" s="1"/>
  <c r="S34" i="35"/>
  <c r="V937" i="101"/>
  <c r="V866" i="101"/>
  <c r="V938" i="101"/>
  <c r="CT47" i="79"/>
  <c r="CT392" i="79" s="1"/>
  <c r="DJ420" i="79"/>
  <c r="DJ421" i="79" s="1"/>
  <c r="DJ452" i="79" s="1"/>
  <c r="V870" i="101"/>
  <c r="AO405" i="79"/>
  <c r="AO409" i="79" s="1"/>
  <c r="S30" i="35"/>
  <c r="J110" i="85"/>
  <c r="L59" i="90" s="1"/>
  <c r="J110" i="79"/>
  <c r="AE251" i="80"/>
  <c r="AE52" i="80"/>
  <c r="AE79" i="80" s="1"/>
  <c r="J41" i="80"/>
  <c r="J386" i="80" s="1"/>
  <c r="BF420" i="79"/>
  <c r="BF421" i="79" s="1"/>
  <c r="EP420" i="79"/>
  <c r="EP421" i="79" s="1"/>
  <c r="EP452" i="79" s="1"/>
  <c r="CL420" i="79"/>
  <c r="CL421" i="79" s="1"/>
  <c r="CL452" i="79" s="1"/>
  <c r="I313" i="85"/>
  <c r="EU438" i="79"/>
  <c r="J41" i="79"/>
  <c r="J41" i="85"/>
  <c r="L15" i="90" s="1"/>
  <c r="EH405" i="79"/>
  <c r="EH406" i="79" s="1"/>
  <c r="EH450" i="79" s="1"/>
  <c r="BD409" i="79"/>
  <c r="AM251" i="80"/>
  <c r="AM257" i="80" s="1"/>
  <c r="AM260" i="80" s="1"/>
  <c r="AM322" i="80" s="1"/>
  <c r="J313" i="85"/>
  <c r="Z405" i="80"/>
  <c r="Z409" i="80" s="1"/>
  <c r="DQ308" i="79"/>
  <c r="DQ313" i="79" s="1"/>
  <c r="AN392" i="80"/>
  <c r="AP47" i="80"/>
  <c r="AP392" i="80" s="1"/>
  <c r="AP405" i="80"/>
  <c r="AP409" i="80" s="1"/>
  <c r="DR47" i="79"/>
  <c r="DR392" i="79" s="1"/>
  <c r="AH47" i="79"/>
  <c r="AH392" i="79" s="1"/>
  <c r="S26" i="35"/>
  <c r="EU251" i="80"/>
  <c r="EU52" i="80"/>
  <c r="EU79" i="80" s="1"/>
  <c r="O89" i="98"/>
  <c r="O87" i="98"/>
  <c r="O88" i="98"/>
  <c r="AH406" i="80"/>
  <c r="AH450" i="80" s="1"/>
  <c r="BD452" i="80"/>
  <c r="BT452" i="80"/>
  <c r="EF452" i="80"/>
  <c r="FL452" i="80"/>
  <c r="CR452" i="80"/>
  <c r="DZ452" i="79"/>
  <c r="DW421" i="79"/>
  <c r="FF452" i="79"/>
  <c r="FC421" i="79"/>
  <c r="S69" i="35"/>
  <c r="EV452" i="80"/>
  <c r="EX420" i="79"/>
  <c r="EX421" i="79" s="1"/>
  <c r="EX452" i="79" s="1"/>
  <c r="CY394" i="79"/>
  <c r="AH420" i="79"/>
  <c r="AH421" i="79" s="1"/>
  <c r="AH452" i="79" s="1"/>
  <c r="FN420" i="79"/>
  <c r="FN421" i="79" s="1"/>
  <c r="FN452" i="79" s="1"/>
  <c r="CD419" i="80"/>
  <c r="CD420" i="80" s="1"/>
  <c r="CD421" i="80" s="1"/>
  <c r="CD452" i="80" s="1"/>
  <c r="CD425" i="80"/>
  <c r="CK308" i="80"/>
  <c r="CK313" i="80" s="1"/>
  <c r="CK40" i="80"/>
  <c r="CK385" i="80" s="1"/>
  <c r="CK44" i="80"/>
  <c r="CK389" i="80" s="1"/>
  <c r="EW40" i="80"/>
  <c r="EW385" i="80" s="1"/>
  <c r="EW308" i="80"/>
  <c r="EW313" i="80" s="1"/>
  <c r="EW44" i="80"/>
  <c r="EW389" i="80" s="1"/>
  <c r="Q21" i="35"/>
  <c r="S25" i="35"/>
  <c r="CT425" i="80"/>
  <c r="CT419" i="80"/>
  <c r="CT420" i="80" s="1"/>
  <c r="CT421" i="80" s="1"/>
  <c r="CT452" i="80" s="1"/>
  <c r="BE308" i="80"/>
  <c r="BE313" i="80" s="1"/>
  <c r="BE44" i="80"/>
  <c r="BE389" i="80" s="1"/>
  <c r="BE40" i="80"/>
  <c r="BE385" i="80" s="1"/>
  <c r="DH452" i="80"/>
  <c r="BN419" i="80"/>
  <c r="BN420" i="80" s="1"/>
  <c r="BN421" i="80" s="1"/>
  <c r="BN425" i="80"/>
  <c r="Y44" i="80"/>
  <c r="Y389" i="80" s="1"/>
  <c r="Y308" i="80"/>
  <c r="Y313" i="80" s="1"/>
  <c r="Y40" i="80"/>
  <c r="Y385" i="80" s="1"/>
  <c r="AG44" i="80"/>
  <c r="AG389" i="80" s="1"/>
  <c r="AG40" i="80"/>
  <c r="AG385" i="80" s="1"/>
  <c r="AG308" i="80"/>
  <c r="AG313" i="80" s="1"/>
  <c r="CZ452" i="80"/>
  <c r="CJ452" i="80"/>
  <c r="CC40" i="80"/>
  <c r="CC385" i="80" s="1"/>
  <c r="CC308" i="80"/>
  <c r="CC313" i="80" s="1"/>
  <c r="CC44" i="80"/>
  <c r="CC389" i="80" s="1"/>
  <c r="EP419" i="80"/>
  <c r="EP420" i="80" s="1"/>
  <c r="EP421" i="80" s="1"/>
  <c r="EP452" i="80" s="1"/>
  <c r="EP425" i="80"/>
  <c r="AM394" i="79"/>
  <c r="CI394" i="79"/>
  <c r="BC438" i="79"/>
  <c r="AV409" i="80"/>
  <c r="AV406" i="80"/>
  <c r="AV450" i="80" s="1"/>
  <c r="S29" i="35"/>
  <c r="S33" i="35"/>
  <c r="X409" i="80"/>
  <c r="X406" i="80"/>
  <c r="X450" i="80" s="1"/>
  <c r="Q40" i="80"/>
  <c r="Q385" i="80" s="1"/>
  <c r="Q44" i="80"/>
  <c r="Q389" i="80" s="1"/>
  <c r="Q308" i="80"/>
  <c r="Q313" i="80" s="1"/>
  <c r="FM308" i="80"/>
  <c r="FM313" i="80" s="1"/>
  <c r="FM40" i="80"/>
  <c r="FM385" i="80" s="1"/>
  <c r="FM44" i="80"/>
  <c r="FM389" i="80" s="1"/>
  <c r="EN409" i="80"/>
  <c r="EN406" i="80"/>
  <c r="EN450" i="80" s="1"/>
  <c r="EN110" i="80" s="1"/>
  <c r="EH425" i="80"/>
  <c r="EH419" i="80"/>
  <c r="EH420" i="80" s="1"/>
  <c r="EH421" i="80" s="1"/>
  <c r="EH452" i="80" s="1"/>
  <c r="Z405" i="79"/>
  <c r="Z409" i="79" s="1"/>
  <c r="AE438" i="79"/>
  <c r="DA44" i="80"/>
  <c r="DA389" i="80" s="1"/>
  <c r="DA308" i="80"/>
  <c r="DA313" i="80" s="1"/>
  <c r="DA40" i="80"/>
  <c r="DA385" i="80" s="1"/>
  <c r="CZ409" i="80"/>
  <c r="CZ406" i="80"/>
  <c r="CZ450" i="80" s="1"/>
  <c r="AP419" i="80"/>
  <c r="AP420" i="80" s="1"/>
  <c r="AP421" i="80" s="1"/>
  <c r="AP425" i="80"/>
  <c r="DZ419" i="80"/>
  <c r="DZ420" i="80" s="1"/>
  <c r="DZ421" i="80" s="1"/>
  <c r="DZ452" i="80" s="1"/>
  <c r="DZ425" i="80"/>
  <c r="R419" i="80"/>
  <c r="R420" i="80" s="1"/>
  <c r="R421" i="80" s="1"/>
  <c r="R452" i="80" s="1"/>
  <c r="R425" i="80"/>
  <c r="AH425" i="80"/>
  <c r="AH419" i="80"/>
  <c r="AH420" i="80" s="1"/>
  <c r="AH421" i="80" s="1"/>
  <c r="AH452" i="80" s="1"/>
  <c r="S72" i="35"/>
  <c r="DP409" i="80"/>
  <c r="DP406" i="80"/>
  <c r="AX419" i="80"/>
  <c r="AX420" i="80" s="1"/>
  <c r="AX421" i="80" s="1"/>
  <c r="AX452" i="80" s="1"/>
  <c r="AX425" i="80"/>
  <c r="BC394" i="79"/>
  <c r="CD420" i="79"/>
  <c r="CD421" i="79" s="1"/>
  <c r="CD452" i="79" s="1"/>
  <c r="AV452" i="80"/>
  <c r="CB409" i="80"/>
  <c r="CB406" i="80"/>
  <c r="CB450" i="80" s="1"/>
  <c r="BU308" i="80"/>
  <c r="BU313" i="80" s="1"/>
  <c r="BU44" i="80"/>
  <c r="BU389" i="80" s="1"/>
  <c r="BU40" i="80"/>
  <c r="BU385" i="80" s="1"/>
  <c r="AF452" i="80"/>
  <c r="DY308" i="80"/>
  <c r="DY313" i="80" s="1"/>
  <c r="DY40" i="80"/>
  <c r="DY385" i="80" s="1"/>
  <c r="DY44" i="80"/>
  <c r="DY389" i="80" s="1"/>
  <c r="FN419" i="80"/>
  <c r="FN420" i="80" s="1"/>
  <c r="FN421" i="80" s="1"/>
  <c r="FN452" i="80" s="1"/>
  <c r="FN425" i="80"/>
  <c r="FN405" i="80"/>
  <c r="P452" i="80"/>
  <c r="S31" i="35"/>
  <c r="CS308" i="80"/>
  <c r="CS313" i="80" s="1"/>
  <c r="CS44" i="80"/>
  <c r="CS389" i="80" s="1"/>
  <c r="CS40" i="80"/>
  <c r="CS385" i="80" s="1"/>
  <c r="BF419" i="80"/>
  <c r="BF420" i="80" s="1"/>
  <c r="BF421" i="80" s="1"/>
  <c r="BF452" i="80" s="1"/>
  <c r="BF425" i="80"/>
  <c r="AW405" i="79"/>
  <c r="CK405" i="79"/>
  <c r="DJ425" i="80"/>
  <c r="DJ419" i="80"/>
  <c r="DJ420" i="80" s="1"/>
  <c r="DJ421" i="80" s="1"/>
  <c r="DJ452" i="80" s="1"/>
  <c r="AO44" i="80"/>
  <c r="AO389" i="80" s="1"/>
  <c r="AO308" i="80"/>
  <c r="AO313" i="80" s="1"/>
  <c r="AO40" i="80"/>
  <c r="AO385" i="80" s="1"/>
  <c r="DB419" i="80"/>
  <c r="DB420" i="80" s="1"/>
  <c r="DB421" i="80" s="1"/>
  <c r="DB452" i="80" s="1"/>
  <c r="DB425" i="80"/>
  <c r="AF409" i="80"/>
  <c r="AF406" i="80"/>
  <c r="AF450" i="80" s="1"/>
  <c r="AF110" i="80" s="1"/>
  <c r="BV419" i="80"/>
  <c r="BV420" i="80" s="1"/>
  <c r="BV421" i="80" s="1"/>
  <c r="BV452" i="80" s="1"/>
  <c r="BV425" i="80"/>
  <c r="X452" i="80"/>
  <c r="Z419" i="80"/>
  <c r="Z420" i="80" s="1"/>
  <c r="Z421" i="80" s="1"/>
  <c r="Z452" i="80" s="1"/>
  <c r="Z425" i="80"/>
  <c r="EX419" i="80"/>
  <c r="EX420" i="80" s="1"/>
  <c r="EX421" i="80" s="1"/>
  <c r="EX452" i="80" s="1"/>
  <c r="EX425" i="80"/>
  <c r="DR419" i="80"/>
  <c r="DR420" i="80" s="1"/>
  <c r="DR421" i="80" s="1"/>
  <c r="DR425" i="80"/>
  <c r="CT420" i="79"/>
  <c r="CT421" i="79" s="1"/>
  <c r="CT452" i="79" s="1"/>
  <c r="DO394" i="79"/>
  <c r="EE438" i="79"/>
  <c r="BN420" i="79"/>
  <c r="BN421" i="79" s="1"/>
  <c r="Z47" i="79"/>
  <c r="Z392" i="79" s="1"/>
  <c r="CD405" i="79"/>
  <c r="CA394" i="79"/>
  <c r="AN409" i="80"/>
  <c r="AN406" i="80"/>
  <c r="AN450" i="80" s="1"/>
  <c r="S36" i="35"/>
  <c r="AW308" i="80"/>
  <c r="AW313" i="80" s="1"/>
  <c r="AW44" i="80"/>
  <c r="AW389" i="80" s="1"/>
  <c r="AW40" i="80"/>
  <c r="AW385" i="80" s="1"/>
  <c r="CL419" i="80"/>
  <c r="CL420" i="80" s="1"/>
  <c r="CL421" i="80" s="1"/>
  <c r="CL452" i="80" s="1"/>
  <c r="CL425" i="80"/>
  <c r="FF425" i="80"/>
  <c r="FF419" i="80"/>
  <c r="FF420" i="80" s="1"/>
  <c r="FF421" i="80" s="1"/>
  <c r="FF452" i="80" s="1"/>
  <c r="W413" i="79"/>
  <c r="W414" i="79" s="1"/>
  <c r="W251" i="79"/>
  <c r="W257" i="79" s="1"/>
  <c r="W260" i="79" s="1"/>
  <c r="W322" i="79" s="1"/>
  <c r="W52" i="79"/>
  <c r="W79" i="79" s="1"/>
  <c r="EO405" i="79"/>
  <c r="BN47" i="79"/>
  <c r="BN392" i="79" s="1"/>
  <c r="AM251" i="79"/>
  <c r="AM413" i="79"/>
  <c r="AM414" i="79" s="1"/>
  <c r="AM52" i="79"/>
  <c r="AM79" i="79" s="1"/>
  <c r="DA452" i="79"/>
  <c r="E28" i="82"/>
  <c r="H40" i="79"/>
  <c r="BD40" i="79" s="1"/>
  <c r="BD385" i="79" s="1"/>
  <c r="H40" i="80"/>
  <c r="CB40" i="80" s="1"/>
  <c r="CB385" i="80" s="1"/>
  <c r="E28" i="35"/>
  <c r="H40" i="85"/>
  <c r="J14" i="90" s="1"/>
  <c r="R47" i="79"/>
  <c r="R392" i="79" s="1"/>
  <c r="CY438" i="79"/>
  <c r="BS413" i="79"/>
  <c r="BS414" i="79" s="1"/>
  <c r="BS251" i="79"/>
  <c r="BS52" i="79"/>
  <c r="BS79" i="79" s="1"/>
  <c r="FM452" i="79"/>
  <c r="EU251" i="79"/>
  <c r="EU257" i="79" s="1"/>
  <c r="EU260" i="79" s="1"/>
  <c r="EU322" i="79" s="1"/>
  <c r="EU413" i="79"/>
  <c r="EU414" i="79" s="1"/>
  <c r="EU52" i="79"/>
  <c r="EU79" i="79" s="1"/>
  <c r="CA438" i="79"/>
  <c r="DI389" i="80"/>
  <c r="O394" i="79"/>
  <c r="DB47" i="79"/>
  <c r="DB392" i="79" s="1"/>
  <c r="DW438" i="79"/>
  <c r="AW452" i="79"/>
  <c r="AU421" i="79"/>
  <c r="BL409" i="79"/>
  <c r="BL406" i="79"/>
  <c r="BL450" i="79" s="1"/>
  <c r="CQ438" i="79"/>
  <c r="E32" i="35"/>
  <c r="H44" i="85"/>
  <c r="J18" i="90" s="1"/>
  <c r="H44" i="80"/>
  <c r="H44" i="79"/>
  <c r="DH44" i="79" s="1"/>
  <c r="E32" i="82"/>
  <c r="BS394" i="79"/>
  <c r="EU394" i="79"/>
  <c r="EM394" i="79"/>
  <c r="DO413" i="79"/>
  <c r="DO414" i="79" s="1"/>
  <c r="DO251" i="79"/>
  <c r="DO52" i="79"/>
  <c r="DO79" i="79" s="1"/>
  <c r="BS438" i="79"/>
  <c r="AH405" i="79"/>
  <c r="AH409" i="79" s="1"/>
  <c r="EG405" i="79"/>
  <c r="EP47" i="79"/>
  <c r="EP392" i="79" s="1"/>
  <c r="EX424" i="79"/>
  <c r="EX405" i="79"/>
  <c r="O438" i="79"/>
  <c r="W438" i="79"/>
  <c r="AE394" i="79"/>
  <c r="AG452" i="79"/>
  <c r="FK394" i="79"/>
  <c r="BF47" i="79"/>
  <c r="BF392" i="79" s="1"/>
  <c r="CI438" i="79"/>
  <c r="DO438" i="79"/>
  <c r="AX47" i="79"/>
  <c r="AX392" i="79" s="1"/>
  <c r="EH47" i="79"/>
  <c r="EH392" i="79" s="1"/>
  <c r="FC413" i="79"/>
  <c r="FC414" i="79" s="1"/>
  <c r="FC251" i="79"/>
  <c r="FC52" i="79"/>
  <c r="FC79" i="79" s="1"/>
  <c r="Q405" i="79"/>
  <c r="BK251" i="79"/>
  <c r="BK257" i="79" s="1"/>
  <c r="BK260" i="79" s="1"/>
  <c r="BK322" i="79" s="1"/>
  <c r="BK413" i="79"/>
  <c r="BK414" i="79" s="1"/>
  <c r="BK52" i="79"/>
  <c r="BK79" i="79" s="1"/>
  <c r="EM251" i="79"/>
  <c r="EM413" i="79"/>
  <c r="EM414" i="79" s="1"/>
  <c r="EM52" i="79"/>
  <c r="EM79" i="79" s="1"/>
  <c r="CB409" i="79"/>
  <c r="CB406" i="79"/>
  <c r="BT409" i="79"/>
  <c r="BT406" i="79"/>
  <c r="BT450" i="79" s="1"/>
  <c r="AO452" i="79"/>
  <c r="U57" i="94"/>
  <c r="U59" i="94"/>
  <c r="U56" i="94"/>
  <c r="T179" i="94"/>
  <c r="U83" i="94"/>
  <c r="U58" i="94"/>
  <c r="U60" i="94"/>
  <c r="U88" i="94"/>
  <c r="AG424" i="79"/>
  <c r="AG405" i="79"/>
  <c r="FK438" i="79"/>
  <c r="CI251" i="79"/>
  <c r="CI257" i="79" s="1"/>
  <c r="CI260" i="79" s="1"/>
  <c r="CI322" i="79" s="1"/>
  <c r="CI413" i="79"/>
  <c r="CI414" i="79" s="1"/>
  <c r="CI52" i="79"/>
  <c r="CI79" i="79" s="1"/>
  <c r="EE251" i="79"/>
  <c r="EE413" i="79"/>
  <c r="EE414" i="79" s="1"/>
  <c r="EE52" i="79"/>
  <c r="EE79" i="79" s="1"/>
  <c r="BK438" i="79"/>
  <c r="DP409" i="79"/>
  <c r="DP406" i="79"/>
  <c r="DP450" i="79" s="1"/>
  <c r="CQ394" i="79"/>
  <c r="DJ47" i="79"/>
  <c r="DJ392" i="79" s="1"/>
  <c r="BK394" i="79"/>
  <c r="AP47" i="79"/>
  <c r="AP392" i="79" s="1"/>
  <c r="CL47" i="79"/>
  <c r="CL392" i="79" s="1"/>
  <c r="H37" i="27"/>
  <c r="H308" i="79"/>
  <c r="BL308" i="79" s="1"/>
  <c r="BL313" i="79" s="1"/>
  <c r="H308" i="85"/>
  <c r="J172" i="90" s="1"/>
  <c r="H308" i="80"/>
  <c r="H313" i="80" s="1"/>
  <c r="EE394" i="79"/>
  <c r="FN47" i="79"/>
  <c r="FN392" i="79" s="1"/>
  <c r="CK452" i="79"/>
  <c r="CQ251" i="79"/>
  <c r="CQ257" i="79" s="1"/>
  <c r="CQ260" i="79" s="1"/>
  <c r="CQ322" i="79" s="1"/>
  <c r="CQ413" i="79"/>
  <c r="CQ414" i="79" s="1"/>
  <c r="CQ52" i="79"/>
  <c r="CQ79" i="79" s="1"/>
  <c r="DA405" i="79"/>
  <c r="EG452" i="79"/>
  <c r="CY251" i="79"/>
  <c r="CY257" i="79" s="1"/>
  <c r="CY260" i="79" s="1"/>
  <c r="CY322" i="79" s="1"/>
  <c r="CY413" i="79"/>
  <c r="CY414" i="79" s="1"/>
  <c r="CY52" i="79"/>
  <c r="CY79" i="79" s="1"/>
  <c r="EO452" i="79"/>
  <c r="EP424" i="79"/>
  <c r="EP405" i="79"/>
  <c r="DG413" i="79"/>
  <c r="DG414" i="79" s="1"/>
  <c r="DG251" i="79"/>
  <c r="DG52" i="79"/>
  <c r="DG79" i="79" s="1"/>
  <c r="EW405" i="79"/>
  <c r="BC251" i="79"/>
  <c r="BC257" i="79" s="1"/>
  <c r="BC260" i="79" s="1"/>
  <c r="BC322" i="79" s="1"/>
  <c r="BC413" i="79"/>
  <c r="BC414" i="79" s="1"/>
  <c r="BC52" i="79"/>
  <c r="BC79" i="79" s="1"/>
  <c r="DH409" i="79"/>
  <c r="DH406" i="79"/>
  <c r="DH450" i="79" s="1"/>
  <c r="DH110" i="79" s="1"/>
  <c r="Q452" i="79"/>
  <c r="AU394" i="79"/>
  <c r="EW452" i="79"/>
  <c r="DW413" i="79"/>
  <c r="DW414" i="79" s="1"/>
  <c r="DW251" i="79"/>
  <c r="DW52" i="79"/>
  <c r="DW79" i="79" s="1"/>
  <c r="O251" i="79"/>
  <c r="O413" i="79"/>
  <c r="O414" i="79" s="1"/>
  <c r="O52" i="79"/>
  <c r="O79" i="79" s="1"/>
  <c r="FK251" i="79"/>
  <c r="FK413" i="79"/>
  <c r="FK414" i="79" s="1"/>
  <c r="FK52" i="79"/>
  <c r="FK79" i="79" s="1"/>
  <c r="DG394" i="79"/>
  <c r="EM438" i="79"/>
  <c r="DX409" i="79"/>
  <c r="DX406" i="79"/>
  <c r="DX450" i="79" s="1"/>
  <c r="DX110" i="79" s="1"/>
  <c r="Y452" i="79"/>
  <c r="AU438" i="79"/>
  <c r="R405" i="79"/>
  <c r="R409" i="79" s="1"/>
  <c r="CD47" i="79"/>
  <c r="CD392" i="79" s="1"/>
  <c r="AE251" i="79"/>
  <c r="AE413" i="79"/>
  <c r="AE414" i="79" s="1"/>
  <c r="AE52" i="79"/>
  <c r="AE79" i="79" s="1"/>
  <c r="DW394" i="79"/>
  <c r="BV47" i="79"/>
  <c r="BV392" i="79" s="1"/>
  <c r="S59" i="96"/>
  <c r="S68" i="96"/>
  <c r="S58" i="96"/>
  <c r="S66" i="96"/>
  <c r="S108" i="96"/>
  <c r="S65" i="96"/>
  <c r="S103" i="96"/>
  <c r="S606" i="96"/>
  <c r="S67" i="96"/>
  <c r="AM438" i="79"/>
  <c r="FM424" i="79"/>
  <c r="FM405" i="79"/>
  <c r="DG438" i="79"/>
  <c r="DB405" i="79"/>
  <c r="CA413" i="79"/>
  <c r="CA414" i="79" s="1"/>
  <c r="CA251" i="79"/>
  <c r="CA257" i="79" s="1"/>
  <c r="CA260" i="79" s="1"/>
  <c r="CA322" i="79" s="1"/>
  <c r="CA52" i="79"/>
  <c r="CA79" i="79" s="1"/>
  <c r="AU251" i="79"/>
  <c r="AU413" i="79"/>
  <c r="AU414" i="79" s="1"/>
  <c r="AU52" i="79"/>
  <c r="AU79" i="79" s="1"/>
  <c r="EX47" i="79"/>
  <c r="EX392" i="79" s="1"/>
  <c r="CZ450" i="79"/>
  <c r="BT110" i="80"/>
  <c r="FL110" i="80"/>
  <c r="Q450" i="80"/>
  <c r="AV450" i="79"/>
  <c r="DI48" i="79"/>
  <c r="DI393" i="79" s="1"/>
  <c r="DI105" i="79"/>
  <c r="DI110" i="79"/>
  <c r="DI111" i="79"/>
  <c r="BD110" i="79"/>
  <c r="DX110" i="80"/>
  <c r="BD110" i="80"/>
  <c r="I450" i="79"/>
  <c r="G406" i="79"/>
  <c r="EG110" i="80"/>
  <c r="EG46" i="80"/>
  <c r="EG391" i="80" s="1"/>
  <c r="EG437" i="80" s="1"/>
  <c r="EG45" i="80"/>
  <c r="EG390" i="80" s="1"/>
  <c r="EG436" i="80" s="1"/>
  <c r="EG38" i="80"/>
  <c r="EG383" i="80" s="1"/>
  <c r="EG434" i="80" s="1"/>
  <c r="EG376" i="80"/>
  <c r="FM376" i="80"/>
  <c r="FM378" i="80" s="1"/>
  <c r="FM379" i="80" s="1"/>
  <c r="FM449" i="80" s="1"/>
  <c r="FM46" i="80"/>
  <c r="FM391" i="80" s="1"/>
  <c r="FM437" i="80" s="1"/>
  <c r="FM38" i="80"/>
  <c r="FM383" i="80" s="1"/>
  <c r="FM434" i="80" s="1"/>
  <c r="FM110" i="80"/>
  <c r="FM45" i="80"/>
  <c r="FM390" i="80" s="1"/>
  <c r="FM436" i="80" s="1"/>
  <c r="AG45" i="80"/>
  <c r="AG390" i="80" s="1"/>
  <c r="AG436" i="80" s="1"/>
  <c r="AG110" i="80"/>
  <c r="AG38" i="80"/>
  <c r="AG383" i="80" s="1"/>
  <c r="AG434" i="80" s="1"/>
  <c r="AG46" i="80"/>
  <c r="AG391" i="80" s="1"/>
  <c r="AG437" i="80" s="1"/>
  <c r="BL110" i="80"/>
  <c r="AE426" i="80"/>
  <c r="EO46" i="80"/>
  <c r="EO391" i="80" s="1"/>
  <c r="EO437" i="80" s="1"/>
  <c r="EO110" i="80"/>
  <c r="EO38" i="80"/>
  <c r="EO383" i="80" s="1"/>
  <c r="EO434" i="80" s="1"/>
  <c r="EO45" i="80"/>
  <c r="EO390" i="80" s="1"/>
  <c r="EO436" i="80" s="1"/>
  <c r="J437" i="79"/>
  <c r="J391" i="79"/>
  <c r="CJ110" i="80"/>
  <c r="L205" i="187"/>
  <c r="Q64" i="186"/>
  <c r="P64" i="186" s="1"/>
  <c r="U174" i="94"/>
  <c r="E19" i="35"/>
  <c r="E387" i="85"/>
  <c r="L232" i="100"/>
  <c r="M1016" i="101"/>
  <c r="T601" i="96"/>
  <c r="N95" i="98"/>
  <c r="BM45" i="80"/>
  <c r="BM390" i="80" s="1"/>
  <c r="BM436" i="80" s="1"/>
  <c r="BM46" i="80"/>
  <c r="BM391" i="80" s="1"/>
  <c r="BM437" i="80" s="1"/>
  <c r="BM38" i="80"/>
  <c r="BM383" i="80" s="1"/>
  <c r="BM434" i="80" s="1"/>
  <c r="BM110" i="80"/>
  <c r="V591" i="96"/>
  <c r="W592" i="96" s="1"/>
  <c r="J87" i="197"/>
  <c r="F90" i="197"/>
  <c r="J90" i="197" s="1"/>
  <c r="R38" i="82" l="1"/>
  <c r="AA23" i="83"/>
  <c r="AA24" i="83" s="1"/>
  <c r="R57" i="82"/>
  <c r="S57" i="82" s="1"/>
  <c r="S37" i="82"/>
  <c r="S38" i="82"/>
  <c r="DR406" i="80"/>
  <c r="DR450" i="80" s="1"/>
  <c r="J373" i="85"/>
  <c r="G22" i="35"/>
  <c r="BM111" i="79"/>
  <c r="BM48" i="79"/>
  <c r="BM393" i="79" s="1"/>
  <c r="BM110" i="79"/>
  <c r="BM116" i="79" s="1"/>
  <c r="S70" i="82"/>
  <c r="AO376" i="80"/>
  <c r="AO378" i="80" s="1"/>
  <c r="AO379" i="80" s="1"/>
  <c r="AO449" i="80" s="1"/>
  <c r="AO45" i="80"/>
  <c r="AO390" i="80" s="1"/>
  <c r="AO436" i="80" s="1"/>
  <c r="Q74" i="82"/>
  <c r="S73" i="82"/>
  <c r="AO46" i="80"/>
  <c r="AO391" i="80" s="1"/>
  <c r="AO437" i="80" s="1"/>
  <c r="AO110" i="80"/>
  <c r="AO38" i="80"/>
  <c r="AO383" i="80" s="1"/>
  <c r="AO434" i="80" s="1"/>
  <c r="DI46" i="80"/>
  <c r="DI391" i="80" s="1"/>
  <c r="DI437" i="80" s="1"/>
  <c r="CK88" i="80"/>
  <c r="CK93" i="80" s="1"/>
  <c r="DI376" i="79"/>
  <c r="DI378" i="79" s="1"/>
  <c r="DI379" i="79" s="1"/>
  <c r="DI449" i="79" s="1"/>
  <c r="BM46" i="79"/>
  <c r="DI43" i="79"/>
  <c r="DI388" i="79" s="1"/>
  <c r="I390" i="79"/>
  <c r="DI46" i="79"/>
  <c r="N90" i="98"/>
  <c r="CL406" i="80"/>
  <c r="CL450" i="80" s="1"/>
  <c r="DQ45" i="80"/>
  <c r="DQ390" i="80" s="1"/>
  <c r="DQ436" i="80" s="1"/>
  <c r="BF409" i="80"/>
  <c r="DQ38" i="80"/>
  <c r="DQ383" i="80" s="1"/>
  <c r="DQ434" i="80" s="1"/>
  <c r="AW376" i="80"/>
  <c r="DQ110" i="80"/>
  <c r="DI45" i="80"/>
  <c r="DI390" i="80" s="1"/>
  <c r="DI436" i="80" s="1"/>
  <c r="AG376" i="80"/>
  <c r="AG378" i="80" s="1"/>
  <c r="AG379" i="80" s="1"/>
  <c r="AG449" i="80" s="1"/>
  <c r="DQ376" i="80"/>
  <c r="DQ378" i="80" s="1"/>
  <c r="DQ379" i="80" s="1"/>
  <c r="DQ449" i="80" s="1"/>
  <c r="BM376" i="79"/>
  <c r="BM378" i="79" s="1"/>
  <c r="BM379" i="79" s="1"/>
  <c r="BM449" i="79" s="1"/>
  <c r="CD406" i="80"/>
  <c r="CD450" i="80" s="1"/>
  <c r="DI376" i="80"/>
  <c r="DI378" i="80" s="1"/>
  <c r="DI379" i="80" s="1"/>
  <c r="DI449" i="80" s="1"/>
  <c r="BM376" i="80"/>
  <c r="BM378" i="80" s="1"/>
  <c r="BM379" i="80" s="1"/>
  <c r="BM449" i="80" s="1"/>
  <c r="EO376" i="80"/>
  <c r="EO378" i="80" s="1"/>
  <c r="EO379" i="80" s="1"/>
  <c r="EO449" i="80" s="1"/>
  <c r="FF406" i="80"/>
  <c r="FF450" i="80" s="1"/>
  <c r="DI38" i="80"/>
  <c r="DI383" i="80" s="1"/>
  <c r="DI434" i="80" s="1"/>
  <c r="DI37" i="80"/>
  <c r="BM45" i="79"/>
  <c r="BM436" i="79" s="1"/>
  <c r="DI45" i="79"/>
  <c r="DI390" i="79" s="1"/>
  <c r="DI38" i="79"/>
  <c r="DI383" i="79" s="1"/>
  <c r="BM38" i="79"/>
  <c r="BM434" i="79" s="1"/>
  <c r="DQ43" i="79"/>
  <c r="DQ388" i="79" s="1"/>
  <c r="U1018" i="101"/>
  <c r="U1024" i="101" s="1"/>
  <c r="BM37" i="79"/>
  <c r="BM382" i="79" s="1"/>
  <c r="O257" i="79"/>
  <c r="O260" i="79" s="1"/>
  <c r="O322" i="79" s="1"/>
  <c r="FC257" i="79"/>
  <c r="FC260" i="79" s="1"/>
  <c r="FC322" i="79" s="1"/>
  <c r="DW257" i="79"/>
  <c r="DW260" i="79" s="1"/>
  <c r="DW322" i="79" s="1"/>
  <c r="EM257" i="79"/>
  <c r="EM260" i="79" s="1"/>
  <c r="EM322" i="79" s="1"/>
  <c r="AU257" i="79"/>
  <c r="AU260" i="79" s="1"/>
  <c r="AU322" i="79" s="1"/>
  <c r="AE257" i="80"/>
  <c r="AE260" i="80" s="1"/>
  <c r="AE322" i="80" s="1"/>
  <c r="EX406" i="80"/>
  <c r="EX450" i="80" s="1"/>
  <c r="FK257" i="79"/>
  <c r="FK260" i="79" s="1"/>
  <c r="FK322" i="79" s="1"/>
  <c r="DW257" i="80"/>
  <c r="DW260" i="80" s="1"/>
  <c r="DW322" i="80" s="1"/>
  <c r="EM257" i="80"/>
  <c r="EM260" i="80" s="1"/>
  <c r="EM322" i="80" s="1"/>
  <c r="CQ257" i="80"/>
  <c r="CQ260" i="80" s="1"/>
  <c r="CQ322" i="80" s="1"/>
  <c r="DQ376" i="79"/>
  <c r="DQ378" i="79" s="1"/>
  <c r="DQ379" i="79" s="1"/>
  <c r="DQ449" i="79" s="1"/>
  <c r="BU242" i="79"/>
  <c r="AM257" i="79"/>
  <c r="AM260" i="79" s="1"/>
  <c r="AM322" i="79" s="1"/>
  <c r="BM43" i="79"/>
  <c r="BM388" i="79" s="1"/>
  <c r="AE257" i="79"/>
  <c r="AE260" i="79" s="1"/>
  <c r="AE322" i="79" s="1"/>
  <c r="AU257" i="80"/>
  <c r="AU260" i="80" s="1"/>
  <c r="AU322" i="80" s="1"/>
  <c r="DO257" i="79"/>
  <c r="DO260" i="79" s="1"/>
  <c r="DO322" i="79" s="1"/>
  <c r="R406" i="80"/>
  <c r="R450" i="80" s="1"/>
  <c r="AW38" i="80"/>
  <c r="AW383" i="80" s="1"/>
  <c r="AW434" i="80" s="1"/>
  <c r="DP308" i="79"/>
  <c r="DP313" i="79" s="1"/>
  <c r="BT308" i="79"/>
  <c r="BT313" i="79" s="1"/>
  <c r="DY242" i="80"/>
  <c r="DQ242" i="80"/>
  <c r="BE242" i="79"/>
  <c r="CC242" i="79"/>
  <c r="AX406" i="80"/>
  <c r="AX450" i="80" s="1"/>
  <c r="EU257" i="80"/>
  <c r="EU260" i="80" s="1"/>
  <c r="EU322" i="80" s="1"/>
  <c r="I382" i="80"/>
  <c r="DZ406" i="80"/>
  <c r="DZ450" i="80" s="1"/>
  <c r="EH409" i="80"/>
  <c r="EE257" i="79"/>
  <c r="EE260" i="79" s="1"/>
  <c r="EE322" i="79" s="1"/>
  <c r="BS257" i="79"/>
  <c r="BS260" i="79" s="1"/>
  <c r="BS322" i="79" s="1"/>
  <c r="BE242" i="80"/>
  <c r="BM242" i="80"/>
  <c r="EE257" i="80"/>
  <c r="EE260" i="80" s="1"/>
  <c r="EE322" i="80" s="1"/>
  <c r="AX409" i="79"/>
  <c r="DG257" i="79"/>
  <c r="DG260" i="79" s="1"/>
  <c r="DG322" i="79" s="1"/>
  <c r="Q242" i="80"/>
  <c r="DA242" i="80"/>
  <c r="AO242" i="80"/>
  <c r="DQ37" i="80"/>
  <c r="DQ382" i="80" s="1"/>
  <c r="EO37" i="80"/>
  <c r="EO382" i="80" s="1"/>
  <c r="FK257" i="80"/>
  <c r="FK260" i="80" s="1"/>
  <c r="FK322" i="80" s="1"/>
  <c r="FE242" i="79"/>
  <c r="FM242" i="79"/>
  <c r="DY242" i="79"/>
  <c r="CK242" i="80"/>
  <c r="AO242" i="79"/>
  <c r="O257" i="80"/>
  <c r="O260" i="80" s="1"/>
  <c r="O322" i="80" s="1"/>
  <c r="AW242" i="80"/>
  <c r="BU242" i="80"/>
  <c r="DI242" i="80"/>
  <c r="EG242" i="79"/>
  <c r="CS242" i="79"/>
  <c r="EW242" i="79"/>
  <c r="EW242" i="80"/>
  <c r="Y242" i="80"/>
  <c r="FM242" i="80"/>
  <c r="BM242" i="79"/>
  <c r="AG242" i="79"/>
  <c r="DA242" i="79"/>
  <c r="H65" i="207"/>
  <c r="L65" i="13"/>
  <c r="H65" i="13" s="1"/>
  <c r="EO242" i="80"/>
  <c r="BK257" i="80"/>
  <c r="BK260" i="80" s="1"/>
  <c r="BK322" i="80" s="1"/>
  <c r="AW242" i="79"/>
  <c r="EO242" i="79"/>
  <c r="Q242" i="79"/>
  <c r="CB308" i="79"/>
  <c r="CB313" i="79" s="1"/>
  <c r="EG242" i="80"/>
  <c r="FE242" i="80"/>
  <c r="DO257" i="80"/>
  <c r="DO260" i="80" s="1"/>
  <c r="DO322" i="80" s="1"/>
  <c r="DI242" i="79"/>
  <c r="CK242" i="79"/>
  <c r="C13" i="7"/>
  <c r="G322" i="85" s="1"/>
  <c r="G260" i="85"/>
  <c r="W257" i="80"/>
  <c r="W260" i="80" s="1"/>
  <c r="W322" i="80" s="1"/>
  <c r="AG242" i="80"/>
  <c r="CC242" i="80"/>
  <c r="BC257" i="80"/>
  <c r="BC260" i="80" s="1"/>
  <c r="BC322" i="80" s="1"/>
  <c r="Y242" i="79"/>
  <c r="DQ242" i="79"/>
  <c r="BS257" i="80"/>
  <c r="BS260" i="80" s="1"/>
  <c r="BS322" i="80" s="1"/>
  <c r="DX308" i="80"/>
  <c r="DX313" i="80" s="1"/>
  <c r="EF308" i="80"/>
  <c r="EF313" i="80" s="1"/>
  <c r="FD308" i="80"/>
  <c r="FD313" i="80" s="1"/>
  <c r="BT308" i="80"/>
  <c r="BT313" i="80" s="1"/>
  <c r="BD308" i="80"/>
  <c r="BD313" i="80" s="1"/>
  <c r="EN308" i="80"/>
  <c r="EN313" i="80" s="1"/>
  <c r="CB308" i="80"/>
  <c r="CB313" i="80" s="1"/>
  <c r="DX308" i="79"/>
  <c r="DZ308" i="79" s="1"/>
  <c r="DZ313" i="79" s="1"/>
  <c r="DP308" i="80"/>
  <c r="DP313" i="80" s="1"/>
  <c r="BD308" i="79"/>
  <c r="BD313" i="79" s="1"/>
  <c r="H313" i="79"/>
  <c r="EN308" i="79"/>
  <c r="EN313" i="79" s="1"/>
  <c r="CR308" i="79"/>
  <c r="CR313" i="79" s="1"/>
  <c r="X308" i="79"/>
  <c r="X313" i="79" s="1"/>
  <c r="EV308" i="79"/>
  <c r="EV313" i="79" s="1"/>
  <c r="AV308" i="79"/>
  <c r="AV313" i="79" s="1"/>
  <c r="FL308" i="79"/>
  <c r="FL313" i="79" s="1"/>
  <c r="AN308" i="79"/>
  <c r="AN313" i="79" s="1"/>
  <c r="CZ308" i="79"/>
  <c r="CZ313" i="79" s="1"/>
  <c r="AF308" i="79"/>
  <c r="AF313" i="79" s="1"/>
  <c r="EF308" i="79"/>
  <c r="EF313" i="79" s="1"/>
  <c r="CJ308" i="79"/>
  <c r="CJ313" i="79" s="1"/>
  <c r="P308" i="79"/>
  <c r="P313" i="79" s="1"/>
  <c r="FD308" i="79"/>
  <c r="FF308" i="79" s="1"/>
  <c r="FF313" i="79" s="1"/>
  <c r="DH308" i="79"/>
  <c r="DJ308" i="79" s="1"/>
  <c r="DJ313" i="79" s="1"/>
  <c r="AN308" i="80"/>
  <c r="AN313" i="80" s="1"/>
  <c r="J374" i="85"/>
  <c r="CT406" i="80"/>
  <c r="CT450" i="80" s="1"/>
  <c r="DQ37" i="79"/>
  <c r="DQ382" i="79" s="1"/>
  <c r="DI41" i="79"/>
  <c r="DI386" i="79" s="1"/>
  <c r="BN406" i="80"/>
  <c r="BN450" i="80" s="1"/>
  <c r="DJ409" i="80"/>
  <c r="DI88" i="80"/>
  <c r="DI93" i="80" s="1"/>
  <c r="CK376" i="80"/>
  <c r="CK378" i="80" s="1"/>
  <c r="CK379" i="80" s="1"/>
  <c r="CK449" i="80" s="1"/>
  <c r="CK110" i="80"/>
  <c r="CL110" i="80" s="1"/>
  <c r="DQ43" i="80"/>
  <c r="DQ388" i="80" s="1"/>
  <c r="CK46" i="80"/>
  <c r="CK391" i="80" s="1"/>
  <c r="CK437" i="80" s="1"/>
  <c r="EO88" i="80"/>
  <c r="EO93" i="80" s="1"/>
  <c r="J383" i="79"/>
  <c r="DI37" i="79"/>
  <c r="DI382" i="79" s="1"/>
  <c r="CK38" i="80"/>
  <c r="CK383" i="80" s="1"/>
  <c r="CK434" i="80" s="1"/>
  <c r="Z406" i="80"/>
  <c r="W406" i="80" s="1"/>
  <c r="FM88" i="80"/>
  <c r="FM93" i="80" s="1"/>
  <c r="Y88" i="80"/>
  <c r="Y93" i="80" s="1"/>
  <c r="L82" i="26"/>
  <c r="H82" i="26" s="1"/>
  <c r="BM41" i="80"/>
  <c r="BM386" i="80" s="1"/>
  <c r="BM88" i="80"/>
  <c r="BM93" i="80" s="1"/>
  <c r="EG88" i="80"/>
  <c r="EG93" i="80" s="1"/>
  <c r="AG88" i="80"/>
  <c r="AG93" i="80" s="1"/>
  <c r="CK37" i="80"/>
  <c r="CK382" i="80" s="1"/>
  <c r="BE376" i="79"/>
  <c r="BE378" i="79" s="1"/>
  <c r="BE379" i="79" s="1"/>
  <c r="BE449" i="79" s="1"/>
  <c r="EO43" i="80"/>
  <c r="EO388" i="80" s="1"/>
  <c r="BE37" i="79"/>
  <c r="BE382" i="79" s="1"/>
  <c r="DQ88" i="80"/>
  <c r="DQ93" i="80" s="1"/>
  <c r="BE45" i="79"/>
  <c r="BE436" i="79" s="1"/>
  <c r="AO88" i="80"/>
  <c r="AO93" i="80" s="1"/>
  <c r="BM41" i="79"/>
  <c r="BM386" i="79" s="1"/>
  <c r="BM111" i="80"/>
  <c r="BV409" i="80"/>
  <c r="EG41" i="80"/>
  <c r="EG386" i="80" s="1"/>
  <c r="AE58" i="84"/>
  <c r="CK43" i="80"/>
  <c r="CK388" i="80" s="1"/>
  <c r="DR406" i="79"/>
  <c r="DR450" i="79" s="1"/>
  <c r="DI111" i="80"/>
  <c r="EO41" i="80"/>
  <c r="EO386" i="80" s="1"/>
  <c r="EG111" i="80"/>
  <c r="DJ406" i="79"/>
  <c r="DJ450" i="79" s="1"/>
  <c r="DJ110" i="79" s="1"/>
  <c r="DI43" i="80"/>
  <c r="DI388" i="80" s="1"/>
  <c r="FN406" i="79"/>
  <c r="FN450" i="79" s="1"/>
  <c r="FM41" i="80"/>
  <c r="FM386" i="80" s="1"/>
  <c r="CC37" i="80"/>
  <c r="CC382" i="80" s="1"/>
  <c r="V245" i="100"/>
  <c r="N148" i="203" s="1"/>
  <c r="AW45" i="80"/>
  <c r="AW390" i="80" s="1"/>
  <c r="AW436" i="80" s="1"/>
  <c r="CC37" i="79"/>
  <c r="CC382" i="79" s="1"/>
  <c r="CC88" i="80"/>
  <c r="CC93" i="80" s="1"/>
  <c r="V247" i="100"/>
  <c r="N148" i="207" s="1"/>
  <c r="J148" i="207" s="1"/>
  <c r="J390" i="79"/>
  <c r="CC45" i="80"/>
  <c r="CC390" i="80" s="1"/>
  <c r="CC436" i="80" s="1"/>
  <c r="CC110" i="80"/>
  <c r="CY421" i="79"/>
  <c r="BC406" i="80"/>
  <c r="S21" i="35"/>
  <c r="Q22" i="35"/>
  <c r="S22" i="35" s="1"/>
  <c r="S74" i="84"/>
  <c r="N74" i="84"/>
  <c r="Q74" i="84"/>
  <c r="F74" i="84"/>
  <c r="I74" i="84"/>
  <c r="D74" i="84"/>
  <c r="P74" i="84"/>
  <c r="C74" i="84"/>
  <c r="H74" i="84"/>
  <c r="M74" i="84"/>
  <c r="U74" i="84"/>
  <c r="E74" i="84"/>
  <c r="R74" i="84"/>
  <c r="O74" i="84"/>
  <c r="L74" i="84"/>
  <c r="J74" i="84"/>
  <c r="G74" i="84"/>
  <c r="K74" i="84"/>
  <c r="F75" i="84"/>
  <c r="S75" i="84"/>
  <c r="P75" i="84"/>
  <c r="M75" i="84"/>
  <c r="K75" i="84"/>
  <c r="H75" i="84"/>
  <c r="E75" i="84"/>
  <c r="C75" i="84"/>
  <c r="O75" i="84"/>
  <c r="R75" i="84"/>
  <c r="G75" i="84"/>
  <c r="Q75" i="84"/>
  <c r="J75" i="84"/>
  <c r="U75" i="84"/>
  <c r="I75" i="84"/>
  <c r="L75" i="84"/>
  <c r="N75" i="84"/>
  <c r="D75" i="84"/>
  <c r="I374" i="85"/>
  <c r="F84" i="35"/>
  <c r="BE41" i="79"/>
  <c r="BE386" i="79" s="1"/>
  <c r="BE42" i="79"/>
  <c r="BE387" i="79" s="1"/>
  <c r="I383" i="79"/>
  <c r="CT308" i="79"/>
  <c r="CT313" i="79" s="1"/>
  <c r="BE43" i="79"/>
  <c r="BE388" i="79" s="1"/>
  <c r="BE110" i="79"/>
  <c r="BE38" i="79"/>
  <c r="BE434" i="79" s="1"/>
  <c r="BE48" i="79"/>
  <c r="BE393" i="79" s="1"/>
  <c r="U1019" i="101"/>
  <c r="BE111" i="79"/>
  <c r="N148" i="206"/>
  <c r="J148" i="206" s="1"/>
  <c r="H116" i="207"/>
  <c r="M148" i="206"/>
  <c r="H116" i="206"/>
  <c r="FE45" i="79"/>
  <c r="FE390" i="79" s="1"/>
  <c r="Q82" i="82"/>
  <c r="FE38" i="79"/>
  <c r="FE383" i="79" s="1"/>
  <c r="FE110" i="79"/>
  <c r="FE111" i="79"/>
  <c r="CC105" i="79"/>
  <c r="CC38" i="79"/>
  <c r="FE376" i="79"/>
  <c r="FE378" i="79" s="1"/>
  <c r="FE379" i="79" s="1"/>
  <c r="FE449" i="79" s="1"/>
  <c r="CC46" i="79"/>
  <c r="CC391" i="79" s="1"/>
  <c r="FE41" i="79"/>
  <c r="FE386" i="79" s="1"/>
  <c r="CC41" i="79"/>
  <c r="CC386" i="79" s="1"/>
  <c r="I382" i="79"/>
  <c r="CC48" i="79"/>
  <c r="CC393" i="79" s="1"/>
  <c r="FE37" i="79"/>
  <c r="FE382" i="79" s="1"/>
  <c r="FE48" i="79"/>
  <c r="FE393" i="79" s="1"/>
  <c r="H116" i="203"/>
  <c r="DY37" i="79"/>
  <c r="DY382" i="79" s="1"/>
  <c r="DY41" i="79"/>
  <c r="DY386" i="79" s="1"/>
  <c r="H116" i="13"/>
  <c r="AE421" i="79"/>
  <c r="DY45" i="79"/>
  <c r="DY390" i="79" s="1"/>
  <c r="AW37" i="80"/>
  <c r="AW382" i="80" s="1"/>
  <c r="DQ308" i="80"/>
  <c r="DQ313" i="80" s="1"/>
  <c r="DY43" i="79"/>
  <c r="DY388" i="79" s="1"/>
  <c r="EO111" i="80"/>
  <c r="AW111" i="80"/>
  <c r="AW46" i="80"/>
  <c r="AW391" i="80" s="1"/>
  <c r="AW437" i="80" s="1"/>
  <c r="AW88" i="80"/>
  <c r="AW93" i="80" s="1"/>
  <c r="CC111" i="80"/>
  <c r="AW110" i="80"/>
  <c r="BU111" i="80"/>
  <c r="CC42" i="79"/>
  <c r="CC387" i="79" s="1"/>
  <c r="FE44" i="80"/>
  <c r="FE389" i="80" s="1"/>
  <c r="DQ45" i="79"/>
  <c r="DQ436" i="79" s="1"/>
  <c r="CC41" i="80"/>
  <c r="CC386" i="80" s="1"/>
  <c r="BM88" i="79"/>
  <c r="BM93" i="79" s="1"/>
  <c r="DQ42" i="79"/>
  <c r="DQ387" i="79" s="1"/>
  <c r="DQ110" i="79"/>
  <c r="DI42" i="79"/>
  <c r="DI387" i="79" s="1"/>
  <c r="CC88" i="79"/>
  <c r="CC93" i="79" s="1"/>
  <c r="FM37" i="80"/>
  <c r="FM382" i="80" s="1"/>
  <c r="EG37" i="80"/>
  <c r="EG382" i="80" s="1"/>
  <c r="FE88" i="79"/>
  <c r="FE93" i="79" s="1"/>
  <c r="DQ111" i="79"/>
  <c r="DQ46" i="79"/>
  <c r="DQ437" i="79" s="1"/>
  <c r="U1017" i="101"/>
  <c r="CC376" i="80"/>
  <c r="CC378" i="80" s="1"/>
  <c r="CC379" i="80" s="1"/>
  <c r="CC449" i="80" s="1"/>
  <c r="EF110" i="80"/>
  <c r="EH110" i="80" s="1"/>
  <c r="AG37" i="80"/>
  <c r="AG382" i="80" s="1"/>
  <c r="FE43" i="79"/>
  <c r="FE388" i="79" s="1"/>
  <c r="DQ88" i="79"/>
  <c r="DQ93" i="79" s="1"/>
  <c r="DI88" i="79"/>
  <c r="DI93" i="79" s="1"/>
  <c r="BT44" i="80"/>
  <c r="BT389" i="80" s="1"/>
  <c r="CC43" i="79"/>
  <c r="CC388" i="79" s="1"/>
  <c r="AO37" i="80"/>
  <c r="AO382" i="80" s="1"/>
  <c r="DQ41" i="79"/>
  <c r="DQ386" i="79" s="1"/>
  <c r="CC38" i="80"/>
  <c r="CC383" i="80" s="1"/>
  <c r="CC434" i="80" s="1"/>
  <c r="BM37" i="80"/>
  <c r="BM382" i="80" s="1"/>
  <c r="BU88" i="80"/>
  <c r="BU93" i="80" s="1"/>
  <c r="BM42" i="79"/>
  <c r="BM387" i="79" s="1"/>
  <c r="DQ38" i="79"/>
  <c r="DQ434" i="79" s="1"/>
  <c r="DQ105" i="79"/>
  <c r="V226" i="100"/>
  <c r="V252" i="100" s="1"/>
  <c r="CC46" i="80"/>
  <c r="CC391" i="80" s="1"/>
  <c r="CC437" i="80" s="1"/>
  <c r="BE88" i="79"/>
  <c r="BE93" i="79" s="1"/>
  <c r="EH409" i="79"/>
  <c r="FE42" i="79"/>
  <c r="FE387" i="79" s="1"/>
  <c r="DY105" i="79"/>
  <c r="AO111" i="80"/>
  <c r="CC105" i="80"/>
  <c r="DQ111" i="80"/>
  <c r="DY88" i="79"/>
  <c r="DY93" i="79" s="1"/>
  <c r="DY376" i="79"/>
  <c r="DY378" i="79" s="1"/>
  <c r="DY379" i="79" s="1"/>
  <c r="DY449" i="79" s="1"/>
  <c r="CK111" i="80"/>
  <c r="FF406" i="79"/>
  <c r="FF450" i="79" s="1"/>
  <c r="R406" i="79"/>
  <c r="R450" i="79" s="1"/>
  <c r="DY42" i="79"/>
  <c r="DY387" i="79" s="1"/>
  <c r="DY110" i="79"/>
  <c r="AG105" i="80"/>
  <c r="AG111" i="80"/>
  <c r="EG105" i="80"/>
  <c r="DY38" i="79"/>
  <c r="DY434" i="79" s="1"/>
  <c r="DY48" i="79"/>
  <c r="DY393" i="79" s="1"/>
  <c r="U245" i="100"/>
  <c r="AW41" i="80"/>
  <c r="AW386" i="80" s="1"/>
  <c r="EG43" i="80"/>
  <c r="EG388" i="80" s="1"/>
  <c r="BM43" i="80"/>
  <c r="BM388" i="80" s="1"/>
  <c r="DQ41" i="80"/>
  <c r="DQ386" i="80" s="1"/>
  <c r="X110" i="80"/>
  <c r="FM43" i="80"/>
  <c r="FM388" i="80" s="1"/>
  <c r="BU41" i="80"/>
  <c r="BU386" i="80" s="1"/>
  <c r="CC43" i="80"/>
  <c r="CC388" i="80" s="1"/>
  <c r="DI41" i="80"/>
  <c r="DI386" i="80" s="1"/>
  <c r="AO41" i="80"/>
  <c r="AO386" i="80" s="1"/>
  <c r="Y110" i="80"/>
  <c r="Y41" i="80"/>
  <c r="Y386" i="80" s="1"/>
  <c r="AO43" i="80"/>
  <c r="AO388" i="80" s="1"/>
  <c r="AG41" i="80"/>
  <c r="AG386" i="80" s="1"/>
  <c r="CK41" i="80"/>
  <c r="CK386" i="80" s="1"/>
  <c r="Y45" i="80"/>
  <c r="Y390" i="80" s="1"/>
  <c r="Y436" i="80" s="1"/>
  <c r="AW43" i="80"/>
  <c r="AW388" i="80" s="1"/>
  <c r="AG43" i="80"/>
  <c r="AG388" i="80" s="1"/>
  <c r="EP406" i="80"/>
  <c r="EP450" i="80" s="1"/>
  <c r="EP110" i="80" s="1"/>
  <c r="FL44" i="80"/>
  <c r="FL389" i="80" s="1"/>
  <c r="U1010" i="101"/>
  <c r="U1011" i="101" s="1"/>
  <c r="U1016" i="101" s="1"/>
  <c r="U247" i="100"/>
  <c r="M148" i="207" s="1"/>
  <c r="I148" i="207" s="1"/>
  <c r="CI406" i="80"/>
  <c r="AV110" i="80"/>
  <c r="J116" i="79"/>
  <c r="CC110" i="79"/>
  <c r="CC376" i="79"/>
  <c r="CC378" i="79" s="1"/>
  <c r="CC379" i="79" s="1"/>
  <c r="CC449" i="79" s="1"/>
  <c r="M201" i="187"/>
  <c r="M16" i="27" s="1"/>
  <c r="I16" i="27" s="1"/>
  <c r="DY37" i="80"/>
  <c r="DY382" i="80" s="1"/>
  <c r="CC45" i="79"/>
  <c r="DY110" i="80"/>
  <c r="AW48" i="80"/>
  <c r="AW393" i="80" s="1"/>
  <c r="EU421" i="79"/>
  <c r="FD110" i="79"/>
  <c r="DZ406" i="79"/>
  <c r="DZ450" i="79" s="1"/>
  <c r="Y111" i="80"/>
  <c r="Y46" i="80"/>
  <c r="Y391" i="80" s="1"/>
  <c r="Y437" i="80" s="1"/>
  <c r="AO48" i="80"/>
  <c r="AO393" i="80" s="1"/>
  <c r="DY41" i="80"/>
  <c r="DY386" i="80" s="1"/>
  <c r="BM48" i="80"/>
  <c r="BM393" i="80" s="1"/>
  <c r="Y43" i="80"/>
  <c r="Y388" i="80" s="1"/>
  <c r="U1004" i="101"/>
  <c r="DY111" i="80"/>
  <c r="DQ48" i="80"/>
  <c r="DQ393" i="80" s="1"/>
  <c r="Y38" i="80"/>
  <c r="Y383" i="80" s="1"/>
  <c r="Y434" i="80" s="1"/>
  <c r="DB406" i="80"/>
  <c r="DB450" i="80" s="1"/>
  <c r="DY376" i="80"/>
  <c r="DY378" i="80" s="1"/>
  <c r="DY379" i="80" s="1"/>
  <c r="DY449" i="80" s="1"/>
  <c r="Y37" i="80"/>
  <c r="Y382" i="80" s="1"/>
  <c r="DY43" i="80"/>
  <c r="DY388" i="80" s="1"/>
  <c r="O421" i="79"/>
  <c r="EV110" i="80"/>
  <c r="DY45" i="80"/>
  <c r="DY390" i="80" s="1"/>
  <c r="DY436" i="80" s="1"/>
  <c r="AE406" i="80"/>
  <c r="Y376" i="80"/>
  <c r="Y378" i="80" s="1"/>
  <c r="Y379" i="80" s="1"/>
  <c r="Y449" i="80" s="1"/>
  <c r="DY88" i="80"/>
  <c r="DY93" i="80" s="1"/>
  <c r="CC48" i="80"/>
  <c r="CC393" i="80" s="1"/>
  <c r="DY38" i="80"/>
  <c r="DY383" i="80" s="1"/>
  <c r="DY434" i="80" s="1"/>
  <c r="AM421" i="79"/>
  <c r="EO42" i="80"/>
  <c r="EO387" i="80" s="1"/>
  <c r="AW42" i="80"/>
  <c r="AW387" i="80" s="1"/>
  <c r="U226" i="100"/>
  <c r="U252" i="100" s="1"/>
  <c r="AW105" i="80"/>
  <c r="AG42" i="80"/>
  <c r="AG387" i="80" s="1"/>
  <c r="CL406" i="79"/>
  <c r="CL450" i="79" s="1"/>
  <c r="FL308" i="80"/>
  <c r="FL313" i="80" s="1"/>
  <c r="CC42" i="80"/>
  <c r="CC387" i="80" s="1"/>
  <c r="BU105" i="80"/>
  <c r="DI42" i="80"/>
  <c r="DI387" i="80" s="1"/>
  <c r="CT406" i="79"/>
  <c r="CT450" i="79" s="1"/>
  <c r="AO105" i="80"/>
  <c r="DY105" i="80"/>
  <c r="BM40" i="80"/>
  <c r="BM385" i="80" s="1"/>
  <c r="AO42" i="80"/>
  <c r="AO387" i="80" s="1"/>
  <c r="AP406" i="79"/>
  <c r="AP450" i="79" s="1"/>
  <c r="DQ105" i="80"/>
  <c r="CK42" i="80"/>
  <c r="CK387" i="80" s="1"/>
  <c r="Y105" i="80"/>
  <c r="BM105" i="80"/>
  <c r="Y42" i="80"/>
  <c r="Y387" i="80" s="1"/>
  <c r="EO105" i="80"/>
  <c r="BV406" i="79"/>
  <c r="BV450" i="79" s="1"/>
  <c r="BM44" i="80"/>
  <c r="BM389" i="80" s="1"/>
  <c r="CK105" i="80"/>
  <c r="I116" i="80"/>
  <c r="BM42" i="80"/>
  <c r="BM387" i="80" s="1"/>
  <c r="DQ42" i="80"/>
  <c r="DQ387" i="80" s="1"/>
  <c r="BU42" i="80"/>
  <c r="BU387" i="80" s="1"/>
  <c r="DI105" i="80"/>
  <c r="FM42" i="80"/>
  <c r="FM387" i="80" s="1"/>
  <c r="EG42" i="80"/>
  <c r="EG387" i="80" s="1"/>
  <c r="DY42" i="80"/>
  <c r="DY387" i="80" s="1"/>
  <c r="CA421" i="80"/>
  <c r="BF409" i="79"/>
  <c r="DQ40" i="80"/>
  <c r="DQ385" i="80" s="1"/>
  <c r="EM421" i="79"/>
  <c r="AG48" i="80"/>
  <c r="AG393" i="80" s="1"/>
  <c r="DI48" i="80"/>
  <c r="DI393" i="80" s="1"/>
  <c r="EG48" i="80"/>
  <c r="EG393" i="80" s="1"/>
  <c r="BL110" i="79"/>
  <c r="FM48" i="80"/>
  <c r="FM393" i="80" s="1"/>
  <c r="W421" i="79"/>
  <c r="CK48" i="80"/>
  <c r="CK393" i="80" s="1"/>
  <c r="Y48" i="80"/>
  <c r="Y393" i="80" s="1"/>
  <c r="EO48" i="80"/>
  <c r="EO393" i="80" s="1"/>
  <c r="EN110" i="79"/>
  <c r="EE421" i="79"/>
  <c r="FE308" i="80"/>
  <c r="FE313" i="80" s="1"/>
  <c r="P110" i="80"/>
  <c r="DY48" i="80"/>
  <c r="DY393" i="80" s="1"/>
  <c r="DX40" i="79"/>
  <c r="DX385" i="79" s="1"/>
  <c r="V1018" i="101"/>
  <c r="V1022" i="101" s="1"/>
  <c r="BL44" i="80"/>
  <c r="BL389" i="80" s="1"/>
  <c r="EE406" i="80"/>
  <c r="BL40" i="80"/>
  <c r="BL385" i="80" s="1"/>
  <c r="EN40" i="80"/>
  <c r="EN385" i="80" s="1"/>
  <c r="EF40" i="80"/>
  <c r="EF385" i="80" s="1"/>
  <c r="BT40" i="80"/>
  <c r="BT385" i="80" s="1"/>
  <c r="BU48" i="80"/>
  <c r="BU393" i="80" s="1"/>
  <c r="BU43" i="80"/>
  <c r="BU388" i="80" s="1"/>
  <c r="I391" i="79"/>
  <c r="EN44" i="80"/>
  <c r="EN389" i="80" s="1"/>
  <c r="BU110" i="80"/>
  <c r="BV110" i="80" s="1"/>
  <c r="BU376" i="80"/>
  <c r="BU378" i="80" s="1"/>
  <c r="BU379" i="80" s="1"/>
  <c r="BU449" i="80" s="1"/>
  <c r="I437" i="79"/>
  <c r="FE46" i="79"/>
  <c r="FE391" i="79" s="1"/>
  <c r="BL308" i="80"/>
  <c r="BL313" i="80" s="1"/>
  <c r="DP44" i="80"/>
  <c r="DP389" i="80" s="1"/>
  <c r="BU45" i="80"/>
  <c r="BU390" i="80" s="1"/>
  <c r="BU436" i="80" s="1"/>
  <c r="BU37" i="80"/>
  <c r="BU382" i="80" s="1"/>
  <c r="DP40" i="80"/>
  <c r="DP385" i="80" s="1"/>
  <c r="CI421" i="79"/>
  <c r="DY46" i="79"/>
  <c r="DY437" i="79" s="1"/>
  <c r="AP406" i="80"/>
  <c r="AP450" i="80" s="1"/>
  <c r="BE46" i="79"/>
  <c r="BE437" i="79" s="1"/>
  <c r="EF44" i="80"/>
  <c r="EH44" i="80" s="1"/>
  <c r="EH389" i="80" s="1"/>
  <c r="BU38" i="80"/>
  <c r="BU383" i="80" s="1"/>
  <c r="BU434" i="80" s="1"/>
  <c r="AA23" i="77"/>
  <c r="FD40" i="80"/>
  <c r="FD385" i="80" s="1"/>
  <c r="R57" i="35"/>
  <c r="BN406" i="79"/>
  <c r="BN450" i="79" s="1"/>
  <c r="AH406" i="79"/>
  <c r="AH450" i="79" s="1"/>
  <c r="FD44" i="80"/>
  <c r="FD389" i="80" s="1"/>
  <c r="Z406" i="79"/>
  <c r="Z450" i="79" s="1"/>
  <c r="Y409" i="79"/>
  <c r="Y406" i="79"/>
  <c r="Y450" i="79" s="1"/>
  <c r="V1017" i="101"/>
  <c r="V1004" i="101"/>
  <c r="N201" i="187"/>
  <c r="N16" i="27" s="1"/>
  <c r="J16" i="27" s="1"/>
  <c r="CR44" i="80"/>
  <c r="CR389" i="80" s="1"/>
  <c r="FL40" i="80"/>
  <c r="FN40" i="80" s="1"/>
  <c r="FN385" i="80" s="1"/>
  <c r="CZ110" i="80"/>
  <c r="CB40" i="79"/>
  <c r="CB385" i="79" s="1"/>
  <c r="AO406" i="79"/>
  <c r="AO450" i="79" s="1"/>
  <c r="AO37" i="79" s="1"/>
  <c r="AO382" i="79" s="1"/>
  <c r="BS421" i="79"/>
  <c r="V1010" i="101"/>
  <c r="V1011" i="101" s="1"/>
  <c r="V1016" i="101" s="1"/>
  <c r="BT40" i="79"/>
  <c r="BT385" i="79" s="1"/>
  <c r="DH40" i="79"/>
  <c r="DH385" i="79" s="1"/>
  <c r="AN110" i="80"/>
  <c r="FD40" i="79"/>
  <c r="FF40" i="79" s="1"/>
  <c r="FF385" i="79" s="1"/>
  <c r="DP40" i="79"/>
  <c r="DP385" i="79" s="1"/>
  <c r="BD40" i="80"/>
  <c r="BD385" i="80" s="1"/>
  <c r="DG421" i="79"/>
  <c r="CR308" i="80"/>
  <c r="CR313" i="80" s="1"/>
  <c r="DO421" i="79"/>
  <c r="FD44" i="79"/>
  <c r="FF44" i="79" s="1"/>
  <c r="FF389" i="79" s="1"/>
  <c r="DX44" i="79"/>
  <c r="DZ44" i="79" s="1"/>
  <c r="DZ389" i="79" s="1"/>
  <c r="CR40" i="80"/>
  <c r="CR385" i="80" s="1"/>
  <c r="BT44" i="79"/>
  <c r="BT389" i="79" s="1"/>
  <c r="BL44" i="79"/>
  <c r="BL389" i="79" s="1"/>
  <c r="DP44" i="79"/>
  <c r="DP389" i="79" s="1"/>
  <c r="CB44" i="79"/>
  <c r="CB389" i="79" s="1"/>
  <c r="V1019" i="101"/>
  <c r="H389" i="79"/>
  <c r="AV44" i="79"/>
  <c r="AV389" i="79" s="1"/>
  <c r="CR44" i="79"/>
  <c r="EF44" i="79"/>
  <c r="EF389" i="79" s="1"/>
  <c r="CZ44" i="79"/>
  <c r="CZ389" i="79" s="1"/>
  <c r="X44" i="79"/>
  <c r="X389" i="79" s="1"/>
  <c r="FL44" i="79"/>
  <c r="FL389" i="79" s="1"/>
  <c r="P44" i="79"/>
  <c r="P389" i="79" s="1"/>
  <c r="CJ44" i="79"/>
  <c r="CJ389" i="79" s="1"/>
  <c r="EN44" i="79"/>
  <c r="EN389" i="79" s="1"/>
  <c r="AF44" i="79"/>
  <c r="AF389" i="79" s="1"/>
  <c r="EV44" i="79"/>
  <c r="EV389" i="79" s="1"/>
  <c r="AN44" i="79"/>
  <c r="AN389" i="79" s="1"/>
  <c r="BL40" i="79"/>
  <c r="BL385" i="79" s="1"/>
  <c r="W421" i="80"/>
  <c r="AA30" i="77"/>
  <c r="R82" i="35"/>
  <c r="BF452" i="79"/>
  <c r="BC421" i="79"/>
  <c r="FM116" i="80"/>
  <c r="H389" i="80"/>
  <c r="AN44" i="80"/>
  <c r="AN389" i="80" s="1"/>
  <c r="DW421" i="80"/>
  <c r="BS421" i="80"/>
  <c r="FK421" i="79"/>
  <c r="BD44" i="79"/>
  <c r="BD389" i="79" s="1"/>
  <c r="CQ421" i="80"/>
  <c r="CB44" i="80"/>
  <c r="CB389" i="80" s="1"/>
  <c r="J386" i="79"/>
  <c r="BD44" i="80"/>
  <c r="BF44" i="80" s="1"/>
  <c r="BF389" i="80" s="1"/>
  <c r="H385" i="80"/>
  <c r="AN40" i="80"/>
  <c r="AN385" i="80" s="1"/>
  <c r="DX44" i="80"/>
  <c r="DX389" i="80" s="1"/>
  <c r="CA421" i="79"/>
  <c r="H385" i="79"/>
  <c r="EN40" i="79"/>
  <c r="EN385" i="79" s="1"/>
  <c r="AF40" i="79"/>
  <c r="AF385" i="79" s="1"/>
  <c r="CZ40" i="79"/>
  <c r="CZ385" i="79" s="1"/>
  <c r="FL40" i="79"/>
  <c r="FL385" i="79" s="1"/>
  <c r="X40" i="79"/>
  <c r="X385" i="79" s="1"/>
  <c r="P40" i="79"/>
  <c r="P385" i="79" s="1"/>
  <c r="EF40" i="79"/>
  <c r="EF385" i="79" s="1"/>
  <c r="EV40" i="79"/>
  <c r="EV385" i="79" s="1"/>
  <c r="CJ40" i="79"/>
  <c r="CJ385" i="79" s="1"/>
  <c r="AV40" i="79"/>
  <c r="AV385" i="79" s="1"/>
  <c r="AN40" i="79"/>
  <c r="AN385" i="79" s="1"/>
  <c r="CR40" i="79"/>
  <c r="CR385" i="79" s="1"/>
  <c r="O90" i="98"/>
  <c r="DX40" i="80"/>
  <c r="DX385" i="80" s="1"/>
  <c r="AP452" i="80"/>
  <c r="AM421" i="80"/>
  <c r="CZ40" i="80"/>
  <c r="CZ308" i="80"/>
  <c r="CZ44" i="80"/>
  <c r="BN452" i="80"/>
  <c r="BK421" i="80"/>
  <c r="FN409" i="80"/>
  <c r="FN406" i="80"/>
  <c r="AF44" i="80"/>
  <c r="AF40" i="80"/>
  <c r="AF308" i="80"/>
  <c r="DG421" i="80"/>
  <c r="CQ421" i="79"/>
  <c r="CK409" i="79"/>
  <c r="CK406" i="79"/>
  <c r="O421" i="80"/>
  <c r="AE421" i="80"/>
  <c r="DH308" i="80"/>
  <c r="DH44" i="80"/>
  <c r="DH40" i="80"/>
  <c r="CD406" i="79"/>
  <c r="CD450" i="79" s="1"/>
  <c r="CD409" i="79"/>
  <c r="AW409" i="79"/>
  <c r="AW406" i="79"/>
  <c r="AW450" i="79" s="1"/>
  <c r="P308" i="80"/>
  <c r="P44" i="80"/>
  <c r="P40" i="80"/>
  <c r="CD40" i="80"/>
  <c r="CD385" i="80" s="1"/>
  <c r="FK421" i="80"/>
  <c r="BC421" i="80"/>
  <c r="EU406" i="80"/>
  <c r="CB110" i="80"/>
  <c r="AU421" i="80"/>
  <c r="EU421" i="80"/>
  <c r="EM421" i="80"/>
  <c r="BN452" i="79"/>
  <c r="BK421" i="79"/>
  <c r="X40" i="80"/>
  <c r="X308" i="80"/>
  <c r="X44" i="80"/>
  <c r="AV40" i="80"/>
  <c r="AV308" i="80"/>
  <c r="AV44" i="80"/>
  <c r="CI421" i="80"/>
  <c r="EV308" i="80"/>
  <c r="EV313" i="80" s="1"/>
  <c r="EV44" i="80"/>
  <c r="EV389" i="80" s="1"/>
  <c r="EV40" i="80"/>
  <c r="EV385" i="80" s="1"/>
  <c r="EO44" i="80"/>
  <c r="EO389" i="80" s="1"/>
  <c r="EO40" i="80"/>
  <c r="EO385" i="80" s="1"/>
  <c r="EO308" i="80"/>
  <c r="EO313" i="80" s="1"/>
  <c r="DP450" i="80"/>
  <c r="DO406" i="80"/>
  <c r="CJ44" i="80"/>
  <c r="CJ308" i="80"/>
  <c r="CJ40" i="80"/>
  <c r="DR452" i="80"/>
  <c r="DO421" i="80"/>
  <c r="CY421" i="80"/>
  <c r="FC421" i="80"/>
  <c r="EE421" i="80"/>
  <c r="DP110" i="79"/>
  <c r="Q40" i="79"/>
  <c r="Q44" i="79"/>
  <c r="Q308" i="79"/>
  <c r="EO40" i="79"/>
  <c r="EO44" i="79"/>
  <c r="EO308" i="79"/>
  <c r="FM409" i="79"/>
  <c r="FM406" i="79"/>
  <c r="FM450" i="79" s="1"/>
  <c r="DA409" i="79"/>
  <c r="DA406" i="79"/>
  <c r="AG409" i="79"/>
  <c r="AG406" i="79"/>
  <c r="AG450" i="79" s="1"/>
  <c r="AG110" i="79" s="1"/>
  <c r="AO308" i="79"/>
  <c r="AO40" i="79"/>
  <c r="AO44" i="79"/>
  <c r="CB450" i="79"/>
  <c r="EX409" i="79"/>
  <c r="EX406" i="79"/>
  <c r="EX450" i="79" s="1"/>
  <c r="EO409" i="79"/>
  <c r="EO406" i="79"/>
  <c r="BS406" i="80"/>
  <c r="Y44" i="79"/>
  <c r="Y308" i="79"/>
  <c r="Y40" i="79"/>
  <c r="EW44" i="79"/>
  <c r="EW40" i="79"/>
  <c r="EW308" i="79"/>
  <c r="EP409" i="79"/>
  <c r="EP406" i="79"/>
  <c r="EP450" i="79" s="1"/>
  <c r="BT110" i="79"/>
  <c r="FM308" i="79"/>
  <c r="FM44" i="79"/>
  <c r="FM40" i="79"/>
  <c r="EG308" i="79"/>
  <c r="EG40" i="79"/>
  <c r="EG44" i="79"/>
  <c r="EG409" i="79"/>
  <c r="EG406" i="79"/>
  <c r="H313" i="85"/>
  <c r="AG308" i="79"/>
  <c r="AG44" i="79"/>
  <c r="AG40" i="79"/>
  <c r="EW406" i="79"/>
  <c r="EW409" i="79"/>
  <c r="CK40" i="79"/>
  <c r="CK44" i="79"/>
  <c r="CK308" i="79"/>
  <c r="AW44" i="79"/>
  <c r="AW40" i="79"/>
  <c r="AW308" i="79"/>
  <c r="DB409" i="79"/>
  <c r="DB406" i="79"/>
  <c r="DB450" i="79" s="1"/>
  <c r="Q409" i="79"/>
  <c r="Q406" i="79"/>
  <c r="Q450" i="79" s="1"/>
  <c r="DH389" i="79"/>
  <c r="DJ44" i="79"/>
  <c r="DJ389" i="79" s="1"/>
  <c r="DA308" i="79"/>
  <c r="DA40" i="79"/>
  <c r="DA44" i="79"/>
  <c r="S54" i="96"/>
  <c r="S80" i="96"/>
  <c r="S112" i="96"/>
  <c r="S107" i="96"/>
  <c r="S55" i="96"/>
  <c r="S82" i="96"/>
  <c r="S97" i="96"/>
  <c r="S99" i="96"/>
  <c r="S601" i="96"/>
  <c r="S56" i="96"/>
  <c r="S81" i="96"/>
  <c r="S51" i="96"/>
  <c r="S114" i="96"/>
  <c r="S90" i="96"/>
  <c r="S110" i="96"/>
  <c r="S98" i="96"/>
  <c r="S71" i="96"/>
  <c r="S102" i="96"/>
  <c r="S47" i="96"/>
  <c r="S45" i="96"/>
  <c r="S62" i="96"/>
  <c r="S111" i="96"/>
  <c r="S106" i="96"/>
  <c r="S101" i="96"/>
  <c r="S92" i="96"/>
  <c r="S64" i="96"/>
  <c r="S57" i="96"/>
  <c r="H43" i="85"/>
  <c r="J17" i="90" s="1"/>
  <c r="E31" i="82"/>
  <c r="H43" i="80"/>
  <c r="CB43" i="80" s="1"/>
  <c r="H43" i="79"/>
  <c r="DH43" i="79" s="1"/>
  <c r="E31" i="35"/>
  <c r="L6" i="187"/>
  <c r="L7" i="187"/>
  <c r="L11" i="187"/>
  <c r="L9" i="187"/>
  <c r="L8" i="187"/>
  <c r="L4" i="187"/>
  <c r="L13" i="187"/>
  <c r="K205" i="187"/>
  <c r="L5" i="187"/>
  <c r="L10" i="187"/>
  <c r="L12" i="187"/>
  <c r="L14" i="187"/>
  <c r="L15" i="187"/>
  <c r="AW378" i="80"/>
  <c r="AW379" i="80" s="1"/>
  <c r="AW449" i="80" s="1"/>
  <c r="CS105" i="79"/>
  <c r="CS111" i="79"/>
  <c r="CS46" i="79"/>
  <c r="CS41" i="79"/>
  <c r="CS386" i="79" s="1"/>
  <c r="CS38" i="79"/>
  <c r="CS37" i="79"/>
  <c r="CS110" i="79"/>
  <c r="CS43" i="79"/>
  <c r="CS376" i="79"/>
  <c r="CS378" i="79" s="1"/>
  <c r="CS379" i="79" s="1"/>
  <c r="CS449" i="79" s="1"/>
  <c r="CS88" i="79"/>
  <c r="CS93" i="79" s="1"/>
  <c r="CS45" i="79"/>
  <c r="CS48" i="79"/>
  <c r="CS393" i="79" s="1"/>
  <c r="CS42" i="79"/>
  <c r="CS387" i="79" s="1"/>
  <c r="T937" i="101"/>
  <c r="T870" i="101"/>
  <c r="T866" i="101"/>
  <c r="T941" i="101"/>
  <c r="T865" i="101"/>
  <c r="T939" i="101"/>
  <c r="T913" i="101"/>
  <c r="T864" i="101"/>
  <c r="T86" i="101"/>
  <c r="L1016" i="101"/>
  <c r="T938" i="101"/>
  <c r="T912" i="101"/>
  <c r="T896" i="101"/>
  <c r="T942" i="101"/>
  <c r="T81" i="101"/>
  <c r="T874" i="101"/>
  <c r="T875" i="101"/>
  <c r="T47" i="101"/>
  <c r="T85" i="101"/>
  <c r="T84" i="101"/>
  <c r="T888" i="101"/>
  <c r="T940" i="101"/>
  <c r="T208" i="101"/>
  <c r="T871" i="101"/>
  <c r="H111" i="80"/>
  <c r="DH111" i="80" s="1"/>
  <c r="H111" i="85"/>
  <c r="J60" i="90" s="1"/>
  <c r="H111" i="79"/>
  <c r="DH111" i="79" s="1"/>
  <c r="DI382" i="80"/>
  <c r="BM391" i="79"/>
  <c r="BM437" i="79"/>
  <c r="CS105" i="80"/>
  <c r="CS43" i="80"/>
  <c r="CS388" i="80" s="1"/>
  <c r="CS111" i="80"/>
  <c r="CS41" i="80"/>
  <c r="CS386" i="80" s="1"/>
  <c r="CS38" i="80"/>
  <c r="CS383" i="80" s="1"/>
  <c r="CS434" i="80" s="1"/>
  <c r="CS376" i="80"/>
  <c r="CS110" i="80"/>
  <c r="CS48" i="80"/>
  <c r="CS393" i="80" s="1"/>
  <c r="CS88" i="80"/>
  <c r="CS93" i="80" s="1"/>
  <c r="CS37" i="80"/>
  <c r="CS46" i="80"/>
  <c r="CS391" i="80" s="1"/>
  <c r="CS437" i="80" s="1"/>
  <c r="CS42" i="80"/>
  <c r="CS387" i="80" s="1"/>
  <c r="CS45" i="80"/>
  <c r="CS390" i="80" s="1"/>
  <c r="CS436" i="80" s="1"/>
  <c r="Q41" i="80"/>
  <c r="Q386" i="80" s="1"/>
  <c r="Q43" i="80"/>
  <c r="Q388" i="80" s="1"/>
  <c r="Q46" i="80"/>
  <c r="Q391" i="80" s="1"/>
  <c r="Q437" i="80" s="1"/>
  <c r="Q105" i="80"/>
  <c r="Q376" i="80"/>
  <c r="Q88" i="80"/>
  <c r="Q93" i="80" s="1"/>
  <c r="Q37" i="80"/>
  <c r="Q111" i="80"/>
  <c r="Q48" i="80"/>
  <c r="Q393" i="80" s="1"/>
  <c r="Q38" i="80"/>
  <c r="Q383" i="80" s="1"/>
  <c r="Q434" i="80" s="1"/>
  <c r="Q45" i="80"/>
  <c r="Q390" i="80" s="1"/>
  <c r="Q436" i="80" s="1"/>
  <c r="Q42" i="80"/>
  <c r="Q387" i="80" s="1"/>
  <c r="Q110" i="80"/>
  <c r="H42" i="85"/>
  <c r="J16" i="90" s="1"/>
  <c r="E30" i="35"/>
  <c r="H42" i="80"/>
  <c r="CB42" i="80" s="1"/>
  <c r="E30" i="82"/>
  <c r="H42" i="79"/>
  <c r="BT42" i="79" s="1"/>
  <c r="BT387" i="79" s="1"/>
  <c r="H45" i="79"/>
  <c r="CJ45" i="79" s="1"/>
  <c r="E33" i="82"/>
  <c r="E71" i="82" s="1"/>
  <c r="H45" i="85"/>
  <c r="J19" i="90" s="1"/>
  <c r="H45" i="80"/>
  <c r="DH45" i="80" s="1"/>
  <c r="DH390" i="80" s="1"/>
  <c r="DH436" i="80" s="1"/>
  <c r="E33" i="35"/>
  <c r="E71" i="35" s="1"/>
  <c r="EW376" i="80"/>
  <c r="EW378" i="80" s="1"/>
  <c r="EW379" i="80" s="1"/>
  <c r="EW449" i="80" s="1"/>
  <c r="EW43" i="80"/>
  <c r="EW388" i="80" s="1"/>
  <c r="EW46" i="80"/>
  <c r="EW391" i="80" s="1"/>
  <c r="EW437" i="80" s="1"/>
  <c r="EW45" i="80"/>
  <c r="EW390" i="80" s="1"/>
  <c r="EW436" i="80" s="1"/>
  <c r="EW37" i="80"/>
  <c r="EW38" i="80"/>
  <c r="EW383" i="80" s="1"/>
  <c r="EW434" i="80" s="1"/>
  <c r="EW110" i="80"/>
  <c r="EW41" i="80"/>
  <c r="EW386" i="80" s="1"/>
  <c r="EW105" i="80"/>
  <c r="EW48" i="80"/>
  <c r="EW393" i="80" s="1"/>
  <c r="EW111" i="80"/>
  <c r="EW88" i="80"/>
  <c r="EW93" i="80" s="1"/>
  <c r="EW42" i="80"/>
  <c r="EG378" i="80"/>
  <c r="EG379" i="80" s="1"/>
  <c r="EG449" i="80" s="1"/>
  <c r="DI437" i="79"/>
  <c r="DI391" i="79"/>
  <c r="DI116" i="79"/>
  <c r="BU376" i="79"/>
  <c r="BU110" i="79"/>
  <c r="BU38" i="79"/>
  <c r="BU46" i="79"/>
  <c r="BU42" i="79"/>
  <c r="BU387" i="79" s="1"/>
  <c r="BU45" i="79"/>
  <c r="BU105" i="79"/>
  <c r="BU37" i="79"/>
  <c r="BU43" i="79"/>
  <c r="BU388" i="79" s="1"/>
  <c r="BU48" i="79"/>
  <c r="BU393" i="79" s="1"/>
  <c r="BU88" i="79"/>
  <c r="BU93" i="79" s="1"/>
  <c r="BU41" i="79"/>
  <c r="BU386" i="79" s="1"/>
  <c r="BU111" i="79"/>
  <c r="FE37" i="80"/>
  <c r="FE42" i="80"/>
  <c r="FE387" i="80" s="1"/>
  <c r="FE88" i="80"/>
  <c r="FE93" i="80" s="1"/>
  <c r="FE46" i="80"/>
  <c r="FE391" i="80" s="1"/>
  <c r="FE437" i="80" s="1"/>
  <c r="FE105" i="80"/>
  <c r="FE41" i="80"/>
  <c r="FE386" i="80" s="1"/>
  <c r="FE48" i="80"/>
  <c r="FE393" i="80" s="1"/>
  <c r="FE376" i="80"/>
  <c r="FE378" i="80" s="1"/>
  <c r="FE379" i="80" s="1"/>
  <c r="FE38" i="80"/>
  <c r="FE383" i="80" s="1"/>
  <c r="FE434" i="80" s="1"/>
  <c r="FE45" i="80"/>
  <c r="FE390" i="80" s="1"/>
  <c r="FE436" i="80" s="1"/>
  <c r="FE111" i="80"/>
  <c r="FE43" i="80"/>
  <c r="FE388" i="80" s="1"/>
  <c r="FE110" i="80"/>
  <c r="FF110" i="80" s="1"/>
  <c r="H110" i="80"/>
  <c r="H110" i="79"/>
  <c r="H110" i="85"/>
  <c r="J59" i="90" s="1"/>
  <c r="H38" i="79"/>
  <c r="CZ38" i="79" s="1"/>
  <c r="E26" i="35"/>
  <c r="E69" i="35" s="1"/>
  <c r="H38" i="80"/>
  <c r="CB38" i="80" s="1"/>
  <c r="E26" i="82"/>
  <c r="E69" i="82" s="1"/>
  <c r="H38" i="85"/>
  <c r="J12" i="90" s="1"/>
  <c r="E21" i="35"/>
  <c r="H376" i="79"/>
  <c r="FD376" i="79" s="1"/>
  <c r="FD378" i="79" s="1"/>
  <c r="FD379" i="79" s="1"/>
  <c r="FD449" i="79" s="1"/>
  <c r="H371" i="85"/>
  <c r="J182" i="90" s="1"/>
  <c r="H376" i="80"/>
  <c r="EF376" i="80" s="1"/>
  <c r="H41" i="85"/>
  <c r="J15" i="90" s="1"/>
  <c r="H41" i="80"/>
  <c r="DH41" i="80" s="1"/>
  <c r="DH386" i="80" s="1"/>
  <c r="E29" i="35"/>
  <c r="E29" i="82"/>
  <c r="H41" i="79"/>
  <c r="CZ41" i="79" s="1"/>
  <c r="K232" i="100"/>
  <c r="T158" i="100"/>
  <c r="T208" i="100"/>
  <c r="T145" i="100"/>
  <c r="T210" i="100"/>
  <c r="T159" i="100"/>
  <c r="T164" i="100"/>
  <c r="T130" i="100"/>
  <c r="T225" i="100" s="1"/>
  <c r="U62" i="94"/>
  <c r="U49" i="94"/>
  <c r="U53" i="94"/>
  <c r="U90" i="94"/>
  <c r="U45" i="94"/>
  <c r="U87" i="94"/>
  <c r="U76" i="94"/>
  <c r="U54" i="94"/>
  <c r="U52" i="94"/>
  <c r="T174" i="94"/>
  <c r="U91" i="94"/>
  <c r="U69" i="94"/>
  <c r="U92" i="94"/>
  <c r="U86" i="94"/>
  <c r="U55" i="94"/>
  <c r="U82" i="94"/>
  <c r="U94" i="94"/>
  <c r="U78" i="94"/>
  <c r="CZ110" i="79"/>
  <c r="EV110" i="79"/>
  <c r="H105" i="85"/>
  <c r="J54" i="90" s="1"/>
  <c r="H105" i="79"/>
  <c r="CJ105" i="79" s="1"/>
  <c r="H105" i="80"/>
  <c r="DH105" i="80" s="1"/>
  <c r="H37" i="85"/>
  <c r="J11" i="90" s="1"/>
  <c r="E25" i="82"/>
  <c r="E25" i="35"/>
  <c r="H37" i="79"/>
  <c r="AV37" i="79" s="1"/>
  <c r="H37" i="80"/>
  <c r="DH37" i="80" s="1"/>
  <c r="DJ37" i="80" s="1"/>
  <c r="CJ110" i="79"/>
  <c r="AH110" i="80"/>
  <c r="AV110" i="79"/>
  <c r="H48" i="80"/>
  <c r="DH48" i="80" s="1"/>
  <c r="H48" i="79"/>
  <c r="EV48" i="79" s="1"/>
  <c r="E36" i="35"/>
  <c r="E36" i="82"/>
  <c r="H48" i="85"/>
  <c r="J22" i="90" s="1"/>
  <c r="H46" i="85"/>
  <c r="J20" i="90" s="1"/>
  <c r="E34" i="82"/>
  <c r="E72" i="82" s="1"/>
  <c r="H46" i="79"/>
  <c r="CJ46" i="79" s="1"/>
  <c r="E34" i="35"/>
  <c r="E72" i="35" s="1"/>
  <c r="H46" i="80"/>
  <c r="H88" i="85"/>
  <c r="J43" i="90" s="1"/>
  <c r="H88" i="79"/>
  <c r="CZ88" i="79" s="1"/>
  <c r="H93" i="85"/>
  <c r="H88" i="80"/>
  <c r="CB88" i="80" s="1"/>
  <c r="DG406" i="80"/>
  <c r="BE45" i="80"/>
  <c r="BE105" i="80"/>
  <c r="BE41" i="80"/>
  <c r="BE111" i="80"/>
  <c r="BE376" i="80"/>
  <c r="BE378" i="80" s="1"/>
  <c r="BE379" i="80" s="1"/>
  <c r="BE449" i="80" s="1"/>
  <c r="BE38" i="80"/>
  <c r="BE110" i="80"/>
  <c r="BF110" i="80" s="1"/>
  <c r="BE42" i="80"/>
  <c r="BE37" i="80"/>
  <c r="BE48" i="80"/>
  <c r="BE46" i="80"/>
  <c r="BE43" i="80"/>
  <c r="BE388" i="80" s="1"/>
  <c r="BE88" i="80"/>
  <c r="M95" i="98"/>
  <c r="M40" i="98"/>
  <c r="M82" i="98" s="1"/>
  <c r="DH110" i="80"/>
  <c r="DJ110" i="80" s="1"/>
  <c r="BF450" i="79"/>
  <c r="BC406" i="79"/>
  <c r="DA38" i="80"/>
  <c r="DA383" i="80" s="1"/>
  <c r="DA434" i="80" s="1"/>
  <c r="DA42" i="80"/>
  <c r="DA387" i="80" s="1"/>
  <c r="DA376" i="80"/>
  <c r="DA378" i="80" s="1"/>
  <c r="DA379" i="80" s="1"/>
  <c r="DA449" i="80" s="1"/>
  <c r="DA110" i="80"/>
  <c r="DA37" i="80"/>
  <c r="DA46" i="80"/>
  <c r="DA391" i="80" s="1"/>
  <c r="DA437" i="80" s="1"/>
  <c r="DA105" i="80"/>
  <c r="DA41" i="80"/>
  <c r="DA386" i="80" s="1"/>
  <c r="DA111" i="80"/>
  <c r="DA43" i="80"/>
  <c r="DA388" i="80" s="1"/>
  <c r="DA45" i="80"/>
  <c r="DA390" i="80" s="1"/>
  <c r="DA436" i="80" s="1"/>
  <c r="DA48" i="80"/>
  <c r="DA88" i="80"/>
  <c r="DA93" i="80" s="1"/>
  <c r="S1021" i="101"/>
  <c r="S1026" i="101"/>
  <c r="R82" i="82" l="1"/>
  <c r="S82" i="82" s="1"/>
  <c r="AA30" i="83"/>
  <c r="AA31" i="83" s="1"/>
  <c r="DI434" i="79"/>
  <c r="FC406" i="80"/>
  <c r="BM390" i="79"/>
  <c r="S74" i="82"/>
  <c r="Q83" i="82"/>
  <c r="S83" i="82" s="1"/>
  <c r="Z450" i="80"/>
  <c r="BE390" i="79"/>
  <c r="BM383" i="79"/>
  <c r="DH313" i="79"/>
  <c r="U1022" i="101"/>
  <c r="U1026" i="101" s="1"/>
  <c r="U1023" i="101"/>
  <c r="U1027" i="101" s="1"/>
  <c r="M122" i="206" s="1"/>
  <c r="DO406" i="79"/>
  <c r="DZ308" i="80"/>
  <c r="DZ313" i="80" s="1"/>
  <c r="AU406" i="80"/>
  <c r="CD308" i="80"/>
  <c r="CD313" i="80" s="1"/>
  <c r="DI436" i="79"/>
  <c r="DQ390" i="79"/>
  <c r="CA406" i="80"/>
  <c r="CD110" i="80"/>
  <c r="O406" i="80"/>
  <c r="BK406" i="80"/>
  <c r="BE116" i="79"/>
  <c r="FE437" i="79"/>
  <c r="CY406" i="80"/>
  <c r="DI116" i="80"/>
  <c r="DY391" i="79"/>
  <c r="EH308" i="80"/>
  <c r="EH313" i="80" s="1"/>
  <c r="DR308" i="79"/>
  <c r="DR313" i="79" s="1"/>
  <c r="BF308" i="80"/>
  <c r="BF313" i="80" s="1"/>
  <c r="DG406" i="79"/>
  <c r="DX313" i="79"/>
  <c r="FD313" i="79"/>
  <c r="BV308" i="79"/>
  <c r="BV313" i="79" s="1"/>
  <c r="DW406" i="80"/>
  <c r="G84" i="35"/>
  <c r="J39" i="13" s="1"/>
  <c r="BM116" i="80"/>
  <c r="DZ110" i="80"/>
  <c r="CD308" i="79"/>
  <c r="CD313" i="79" s="1"/>
  <c r="FE434" i="79"/>
  <c r="V248" i="100"/>
  <c r="U1028" i="101"/>
  <c r="M122" i="207" s="1"/>
  <c r="I122" i="207" s="1"/>
  <c r="BV308" i="80"/>
  <c r="BV313" i="80" s="1"/>
  <c r="CT110" i="80"/>
  <c r="CQ406" i="80"/>
  <c r="DY116" i="79"/>
  <c r="DQ116" i="79"/>
  <c r="J148" i="203"/>
  <c r="N148" i="13"/>
  <c r="J148" i="13" s="1"/>
  <c r="FE436" i="79"/>
  <c r="CC437" i="79"/>
  <c r="BE383" i="79"/>
  <c r="FN44" i="80"/>
  <c r="FN389" i="80" s="1"/>
  <c r="H242" i="85"/>
  <c r="J136" i="90" s="1"/>
  <c r="H242" i="79"/>
  <c r="H242" i="80"/>
  <c r="EG116" i="80"/>
  <c r="DQ391" i="79"/>
  <c r="DJ111" i="80"/>
  <c r="FE116" i="79"/>
  <c r="DY436" i="79"/>
  <c r="CJ376" i="79"/>
  <c r="CJ378" i="79" s="1"/>
  <c r="CJ379" i="79" s="1"/>
  <c r="DQ383" i="79"/>
  <c r="AO116" i="80"/>
  <c r="BV44" i="80"/>
  <c r="BV389" i="80" s="1"/>
  <c r="CC116" i="80"/>
  <c r="EV376" i="79"/>
  <c r="EV378" i="79" s="1"/>
  <c r="EV379" i="79" s="1"/>
  <c r="AV376" i="79"/>
  <c r="AV378" i="79" s="1"/>
  <c r="AV379" i="79" s="1"/>
  <c r="AV449" i="79" s="1"/>
  <c r="CZ376" i="79"/>
  <c r="CZ378" i="79" s="1"/>
  <c r="CZ379" i="79" s="1"/>
  <c r="EV376" i="80"/>
  <c r="EV378" i="80" s="1"/>
  <c r="EV379" i="80" s="1"/>
  <c r="EV449" i="80" s="1"/>
  <c r="DH376" i="80"/>
  <c r="DH378" i="80" s="1"/>
  <c r="DH379" i="80" s="1"/>
  <c r="DH449" i="80" s="1"/>
  <c r="BT376" i="79"/>
  <c r="BT378" i="79" s="1"/>
  <c r="BT379" i="79" s="1"/>
  <c r="BT449" i="79" s="1"/>
  <c r="CB376" i="80"/>
  <c r="CB378" i="80" s="1"/>
  <c r="CB379" i="80" s="1"/>
  <c r="CB449" i="80" s="1"/>
  <c r="EF376" i="79"/>
  <c r="EF378" i="79" s="1"/>
  <c r="EF379" i="79" s="1"/>
  <c r="EF449" i="79" s="1"/>
  <c r="CZ376" i="80"/>
  <c r="CZ378" i="80" s="1"/>
  <c r="CZ379" i="80" s="1"/>
  <c r="CZ449" i="80" s="1"/>
  <c r="EF378" i="80"/>
  <c r="EF379" i="80" s="1"/>
  <c r="EF449" i="80" s="1"/>
  <c r="EH376" i="80"/>
  <c r="EH378" i="80" s="1"/>
  <c r="EH379" i="80" s="1"/>
  <c r="EH449" i="80" s="1"/>
  <c r="EN376" i="80"/>
  <c r="EP376" i="80" s="1"/>
  <c r="EP378" i="80" s="1"/>
  <c r="EP379" i="80" s="1"/>
  <c r="EP449" i="80" s="1"/>
  <c r="EN376" i="79"/>
  <c r="EN378" i="79" s="1"/>
  <c r="EN379" i="79" s="1"/>
  <c r="EN449" i="79" s="1"/>
  <c r="BN110" i="79"/>
  <c r="DX376" i="79"/>
  <c r="DX378" i="79" s="1"/>
  <c r="DX379" i="79" s="1"/>
  <c r="DX449" i="79" s="1"/>
  <c r="X376" i="80"/>
  <c r="X378" i="80" s="1"/>
  <c r="X379" i="80" s="1"/>
  <c r="X449" i="80" s="1"/>
  <c r="U248" i="100"/>
  <c r="P376" i="80"/>
  <c r="P378" i="80" s="1"/>
  <c r="P379" i="80" s="1"/>
  <c r="P449" i="80" s="1"/>
  <c r="AN376" i="80"/>
  <c r="AN378" i="80" s="1"/>
  <c r="AN379" i="80" s="1"/>
  <c r="AN449" i="80" s="1"/>
  <c r="AF376" i="80"/>
  <c r="FC406" i="79"/>
  <c r="H378" i="80"/>
  <c r="H379" i="80" s="1"/>
  <c r="G379" i="80" s="1"/>
  <c r="FD376" i="80"/>
  <c r="FD378" i="80" s="1"/>
  <c r="FD379" i="80" s="1"/>
  <c r="FD449" i="80" s="1"/>
  <c r="CR376" i="80"/>
  <c r="CR378" i="80" s="1"/>
  <c r="CR379" i="80" s="1"/>
  <c r="CR449" i="80" s="1"/>
  <c r="BT376" i="80"/>
  <c r="BT378" i="80" s="1"/>
  <c r="BT379" i="80" s="1"/>
  <c r="BT449" i="80" s="1"/>
  <c r="DX376" i="80"/>
  <c r="BL376" i="80"/>
  <c r="BL378" i="80" s="1"/>
  <c r="BL379" i="80" s="1"/>
  <c r="BL449" i="80" s="1"/>
  <c r="CJ376" i="80"/>
  <c r="FL376" i="80"/>
  <c r="FL378" i="80" s="1"/>
  <c r="FL379" i="80" s="1"/>
  <c r="FL449" i="80" s="1"/>
  <c r="BD376" i="80"/>
  <c r="BD378" i="80" s="1"/>
  <c r="BD379" i="80" s="1"/>
  <c r="BD449" i="80" s="1"/>
  <c r="FL376" i="79"/>
  <c r="FL378" i="79" s="1"/>
  <c r="FL379" i="79" s="1"/>
  <c r="FL449" i="79" s="1"/>
  <c r="AV376" i="80"/>
  <c r="H378" i="79"/>
  <c r="H379" i="79" s="1"/>
  <c r="H449" i="79" s="1"/>
  <c r="P376" i="79"/>
  <c r="P378" i="79" s="1"/>
  <c r="P379" i="79" s="1"/>
  <c r="P449" i="79" s="1"/>
  <c r="BD376" i="79"/>
  <c r="BD378" i="79" s="1"/>
  <c r="BD379" i="79" s="1"/>
  <c r="BD449" i="79" s="1"/>
  <c r="AF376" i="79"/>
  <c r="AF378" i="79" s="1"/>
  <c r="AF379" i="79" s="1"/>
  <c r="AF449" i="79" s="1"/>
  <c r="CR376" i="79"/>
  <c r="CR378" i="79" s="1"/>
  <c r="CR379" i="79" s="1"/>
  <c r="CR449" i="79" s="1"/>
  <c r="AN376" i="79"/>
  <c r="AN378" i="79" s="1"/>
  <c r="AN379" i="79" s="1"/>
  <c r="AN449" i="79" s="1"/>
  <c r="X376" i="79"/>
  <c r="X378" i="79" s="1"/>
  <c r="X379" i="79" s="1"/>
  <c r="X449" i="79" s="1"/>
  <c r="DH376" i="79"/>
  <c r="DJ376" i="79" s="1"/>
  <c r="DJ378" i="79" s="1"/>
  <c r="DJ379" i="79" s="1"/>
  <c r="DJ449" i="79" s="1"/>
  <c r="DP376" i="79"/>
  <c r="DP378" i="79" s="1"/>
  <c r="DP379" i="79" s="1"/>
  <c r="DP449" i="79" s="1"/>
  <c r="BL376" i="79"/>
  <c r="BL378" i="79" s="1"/>
  <c r="BL379" i="79" s="1"/>
  <c r="BL449" i="79" s="1"/>
  <c r="H373" i="85"/>
  <c r="E22" i="35"/>
  <c r="AE75" i="84"/>
  <c r="AE74" i="84"/>
  <c r="FE449" i="80"/>
  <c r="U605" i="96"/>
  <c r="I65" i="26"/>
  <c r="R68" i="186"/>
  <c r="O99" i="98"/>
  <c r="N1020" i="101"/>
  <c r="H23" i="31"/>
  <c r="M236" i="100"/>
  <c r="I39" i="206"/>
  <c r="I50" i="206" s="1"/>
  <c r="I39" i="13"/>
  <c r="I64" i="26"/>
  <c r="H17" i="31"/>
  <c r="I39" i="207"/>
  <c r="I50" i="207" s="1"/>
  <c r="V178" i="94"/>
  <c r="I61" i="26"/>
  <c r="I39" i="203"/>
  <c r="I50" i="203" s="1"/>
  <c r="M209" i="187"/>
  <c r="I60" i="26"/>
  <c r="I59" i="26"/>
  <c r="I62" i="26"/>
  <c r="F386" i="85"/>
  <c r="Q27" i="35"/>
  <c r="Q84" i="35"/>
  <c r="S84" i="35" s="1"/>
  <c r="Q70" i="35"/>
  <c r="AA31" i="77"/>
  <c r="N66" i="84"/>
  <c r="F66" i="84"/>
  <c r="M66" i="84"/>
  <c r="E66" i="84"/>
  <c r="G66" i="84"/>
  <c r="U66" i="84"/>
  <c r="L66" i="84"/>
  <c r="D66" i="84"/>
  <c r="S66" i="84"/>
  <c r="K66" i="84"/>
  <c r="C66" i="84"/>
  <c r="H66" i="84"/>
  <c r="R66" i="84"/>
  <c r="J66" i="84"/>
  <c r="O66" i="84"/>
  <c r="Q66" i="84"/>
  <c r="I66" i="84"/>
  <c r="P66" i="84"/>
  <c r="AA24" i="77"/>
  <c r="P59" i="84"/>
  <c r="P60" i="84" s="1"/>
  <c r="H59" i="84"/>
  <c r="H60" i="84" s="1"/>
  <c r="O59" i="84"/>
  <c r="O60" i="84" s="1"/>
  <c r="G59" i="84"/>
  <c r="G60" i="84" s="1"/>
  <c r="N59" i="84"/>
  <c r="N60" i="84" s="1"/>
  <c r="F59" i="84"/>
  <c r="F60" i="84" s="1"/>
  <c r="M59" i="84"/>
  <c r="M60" i="84" s="1"/>
  <c r="E59" i="84"/>
  <c r="I59" i="84"/>
  <c r="I60" i="84" s="1"/>
  <c r="U59" i="84"/>
  <c r="U60" i="84" s="1"/>
  <c r="L59" i="84"/>
  <c r="L60" i="84" s="1"/>
  <c r="D59" i="84"/>
  <c r="D60" i="84" s="1"/>
  <c r="R59" i="84"/>
  <c r="R60" i="84" s="1"/>
  <c r="J59" i="84"/>
  <c r="J60" i="84" s="1"/>
  <c r="S59" i="84"/>
  <c r="S60" i="84" s="1"/>
  <c r="K59" i="84"/>
  <c r="K60" i="84" s="1"/>
  <c r="C59" i="84"/>
  <c r="C60" i="84" s="1"/>
  <c r="Q59" i="84"/>
  <c r="Q60" i="84" s="1"/>
  <c r="AX110" i="80"/>
  <c r="CC116" i="79"/>
  <c r="AG48" i="79"/>
  <c r="AG393" i="79" s="1"/>
  <c r="N149" i="203"/>
  <c r="M148" i="203"/>
  <c r="I148" i="206"/>
  <c r="BV40" i="80"/>
  <c r="BV385" i="80" s="1"/>
  <c r="M149" i="203"/>
  <c r="AG88" i="79"/>
  <c r="AG93" i="79" s="1"/>
  <c r="AG46" i="79"/>
  <c r="AG437" i="79" s="1"/>
  <c r="AW116" i="80"/>
  <c r="CC434" i="79"/>
  <c r="CC383" i="79"/>
  <c r="DY116" i="80"/>
  <c r="V253" i="100"/>
  <c r="V254" i="100"/>
  <c r="N149" i="207" s="1"/>
  <c r="FF40" i="80"/>
  <c r="FF385" i="80" s="1"/>
  <c r="U1021" i="101"/>
  <c r="V1023" i="101"/>
  <c r="V1027" i="101" s="1"/>
  <c r="AM406" i="80"/>
  <c r="EO116" i="80"/>
  <c r="L201" i="187"/>
  <c r="L16" i="27" s="1"/>
  <c r="H16" i="27" s="1"/>
  <c r="I292" i="85"/>
  <c r="K162" i="90" s="1"/>
  <c r="I292" i="79"/>
  <c r="I292" i="80"/>
  <c r="I22" i="27"/>
  <c r="J292" i="85"/>
  <c r="L162" i="90" s="1"/>
  <c r="J22" i="27"/>
  <c r="J292" i="79"/>
  <c r="J298" i="79" s="1"/>
  <c r="J315" i="79" s="1"/>
  <c r="J331" i="79" s="1"/>
  <c r="J292" i="80"/>
  <c r="J298" i="80" s="1"/>
  <c r="J315" i="80" s="1"/>
  <c r="J331" i="80" s="1"/>
  <c r="FN308" i="80"/>
  <c r="FN313" i="80" s="1"/>
  <c r="DQ116" i="80"/>
  <c r="EH40" i="80"/>
  <c r="EH385" i="80" s="1"/>
  <c r="EX110" i="80"/>
  <c r="Y116" i="80"/>
  <c r="AG116" i="80"/>
  <c r="EM406" i="80"/>
  <c r="CT308" i="80"/>
  <c r="CT313" i="80" s="1"/>
  <c r="FD385" i="79"/>
  <c r="BD389" i="80"/>
  <c r="FL385" i="80"/>
  <c r="DY383" i="79"/>
  <c r="CK116" i="80"/>
  <c r="BS406" i="79"/>
  <c r="FF308" i="80"/>
  <c r="FF313" i="80" s="1"/>
  <c r="DB110" i="80"/>
  <c r="FF44" i="80"/>
  <c r="FF389" i="80" s="1"/>
  <c r="AG43" i="79"/>
  <c r="AG388" i="79" s="1"/>
  <c r="AO376" i="79"/>
  <c r="AO378" i="79" s="1"/>
  <c r="AO379" i="79" s="1"/>
  <c r="AO42" i="79"/>
  <c r="AO387" i="79" s="1"/>
  <c r="AO105" i="79"/>
  <c r="AO48" i="79"/>
  <c r="AO393" i="79" s="1"/>
  <c r="DZ40" i="79"/>
  <c r="DZ385" i="79" s="1"/>
  <c r="AO46" i="79"/>
  <c r="AO437" i="79" s="1"/>
  <c r="AO88" i="79"/>
  <c r="AO93" i="79" s="1"/>
  <c r="AO41" i="79"/>
  <c r="AO386" i="79" s="1"/>
  <c r="AO43" i="79"/>
  <c r="AO388" i="79" s="1"/>
  <c r="CC436" i="79"/>
  <c r="CC390" i="79"/>
  <c r="DW406" i="79"/>
  <c r="W406" i="79"/>
  <c r="U253" i="100"/>
  <c r="CT110" i="79"/>
  <c r="U254" i="100"/>
  <c r="M149" i="207" s="1"/>
  <c r="BU116" i="80"/>
  <c r="V1024" i="101"/>
  <c r="V1028" i="101" s="1"/>
  <c r="N122" i="207" s="1"/>
  <c r="R110" i="80"/>
  <c r="EF389" i="80"/>
  <c r="O406" i="79"/>
  <c r="CJ43" i="79"/>
  <c r="CJ388" i="79" s="1"/>
  <c r="CQ406" i="79"/>
  <c r="BN308" i="80"/>
  <c r="BN313" i="80" s="1"/>
  <c r="CZ43" i="79"/>
  <c r="CZ388" i="79" s="1"/>
  <c r="CT40" i="79"/>
  <c r="CT385" i="79" s="1"/>
  <c r="BE391" i="79"/>
  <c r="BN44" i="80"/>
  <c r="BN389" i="80" s="1"/>
  <c r="DR44" i="80"/>
  <c r="DR389" i="80" s="1"/>
  <c r="DH38" i="80"/>
  <c r="DH383" i="80" s="1"/>
  <c r="DH434" i="80" s="1"/>
  <c r="CJ42" i="79"/>
  <c r="CJ387" i="79" s="1"/>
  <c r="AM406" i="79"/>
  <c r="DJ40" i="79"/>
  <c r="DJ385" i="79" s="1"/>
  <c r="BV44" i="79"/>
  <c r="BV389" i="79" s="1"/>
  <c r="AO110" i="79"/>
  <c r="AP110" i="79" s="1"/>
  <c r="BK406" i="79"/>
  <c r="V1026" i="101"/>
  <c r="AG376" i="79"/>
  <c r="AG378" i="79" s="1"/>
  <c r="AG379" i="79" s="1"/>
  <c r="AV45" i="79"/>
  <c r="AV436" i="79" s="1"/>
  <c r="DR40" i="79"/>
  <c r="DR385" i="79" s="1"/>
  <c r="EV43" i="79"/>
  <c r="EV388" i="79" s="1"/>
  <c r="CT44" i="80"/>
  <c r="CT389" i="80" s="1"/>
  <c r="AH110" i="79"/>
  <c r="AV43" i="79"/>
  <c r="AV388" i="79" s="1"/>
  <c r="V1021" i="101"/>
  <c r="DX389" i="79"/>
  <c r="FK406" i="79"/>
  <c r="BV40" i="79"/>
  <c r="BV385" i="79" s="1"/>
  <c r="EP40" i="80"/>
  <c r="EP385" i="80" s="1"/>
  <c r="FD389" i="79"/>
  <c r="DR308" i="80"/>
  <c r="DR313" i="80" s="1"/>
  <c r="Y42" i="79"/>
  <c r="Y387" i="79" s="1"/>
  <c r="Y110" i="79"/>
  <c r="Z110" i="79" s="1"/>
  <c r="Y41" i="79"/>
  <c r="Y386" i="79" s="1"/>
  <c r="Y105" i="79"/>
  <c r="Y43" i="79"/>
  <c r="Y388" i="79" s="1"/>
  <c r="Y111" i="79"/>
  <c r="Y38" i="79"/>
  <c r="Y45" i="79"/>
  <c r="Y88" i="79"/>
  <c r="Y93" i="79" s="1"/>
  <c r="Y37" i="79"/>
  <c r="Y48" i="79"/>
  <c r="Y393" i="79" s="1"/>
  <c r="Y376" i="79"/>
  <c r="Y378" i="79" s="1"/>
  <c r="Y379" i="79" s="1"/>
  <c r="Y46" i="79"/>
  <c r="DH43" i="80"/>
  <c r="DH388" i="80" s="1"/>
  <c r="DR40" i="80"/>
  <c r="DR385" i="80" s="1"/>
  <c r="CD40" i="79"/>
  <c r="CD385" i="79" s="1"/>
  <c r="AV38" i="79"/>
  <c r="AV434" i="79" s="1"/>
  <c r="CJ38" i="79"/>
  <c r="CJ434" i="79" s="1"/>
  <c r="EP44" i="80"/>
  <c r="EP389" i="80" s="1"/>
  <c r="AG37" i="79"/>
  <c r="AG382" i="79" s="1"/>
  <c r="AG41" i="79"/>
  <c r="AG386" i="79" s="1"/>
  <c r="AV42" i="79"/>
  <c r="AV387" i="79" s="1"/>
  <c r="CZ45" i="79"/>
  <c r="CZ390" i="79" s="1"/>
  <c r="AG38" i="79"/>
  <c r="AG383" i="79" s="1"/>
  <c r="AG105" i="79"/>
  <c r="AE406" i="79"/>
  <c r="CJ88" i="79"/>
  <c r="CJ93" i="79" s="1"/>
  <c r="EV45" i="79"/>
  <c r="EV436" i="79" s="1"/>
  <c r="CZ111" i="79"/>
  <c r="BN40" i="80"/>
  <c r="BN385" i="80" s="1"/>
  <c r="AG111" i="79"/>
  <c r="CJ111" i="79"/>
  <c r="CJ116" i="79" s="1"/>
  <c r="CJ37" i="79"/>
  <c r="CJ382" i="79" s="1"/>
  <c r="CZ42" i="79"/>
  <c r="CZ387" i="79" s="1"/>
  <c r="CD44" i="79"/>
  <c r="CD389" i="79" s="1"/>
  <c r="AO38" i="79"/>
  <c r="AO45" i="79"/>
  <c r="AO111" i="79"/>
  <c r="AG45" i="79"/>
  <c r="AG390" i="79" s="1"/>
  <c r="AG42" i="79"/>
  <c r="AG387" i="79" s="1"/>
  <c r="EV38" i="79"/>
  <c r="EV383" i="79" s="1"/>
  <c r="CT40" i="80"/>
  <c r="CT385" i="80" s="1"/>
  <c r="AV111" i="79"/>
  <c r="EV111" i="79"/>
  <c r="BF40" i="80"/>
  <c r="BF385" i="80" s="1"/>
  <c r="DR44" i="79"/>
  <c r="DR389" i="79" s="1"/>
  <c r="AV88" i="79"/>
  <c r="AV93" i="79" s="1"/>
  <c r="EV42" i="79"/>
  <c r="EV387" i="79" s="1"/>
  <c r="AV105" i="79"/>
  <c r="DZ40" i="80"/>
  <c r="DZ385" i="80" s="1"/>
  <c r="CD44" i="80"/>
  <c r="CD389" i="80" s="1"/>
  <c r="DZ44" i="80"/>
  <c r="DZ389" i="80" s="1"/>
  <c r="EV105" i="79"/>
  <c r="CZ105" i="79"/>
  <c r="CB388" i="80"/>
  <c r="CD43" i="80"/>
  <c r="CD388" i="80" s="1"/>
  <c r="BT88" i="79"/>
  <c r="BT93" i="79" s="1"/>
  <c r="H17" i="85"/>
  <c r="J3" i="90" s="1"/>
  <c r="E55" i="35"/>
  <c r="H17" i="79"/>
  <c r="H17" i="80"/>
  <c r="E55" i="82"/>
  <c r="BT105" i="79"/>
  <c r="BV105" i="79" s="1"/>
  <c r="I17" i="79"/>
  <c r="I17" i="85"/>
  <c r="K3" i="90" s="1"/>
  <c r="F55" i="82"/>
  <c r="I17" i="80"/>
  <c r="F55" i="35"/>
  <c r="CR111" i="79"/>
  <c r="CT111" i="79" s="1"/>
  <c r="AF111" i="79"/>
  <c r="P111" i="79"/>
  <c r="BL111" i="79"/>
  <c r="BN111" i="79" s="1"/>
  <c r="AN111" i="79"/>
  <c r="EN111" i="79"/>
  <c r="BD111" i="79"/>
  <c r="BF111" i="79" s="1"/>
  <c r="X111" i="79"/>
  <c r="DX111" i="79"/>
  <c r="DZ111" i="79" s="1"/>
  <c r="FD111" i="79"/>
  <c r="FF111" i="79" s="1"/>
  <c r="EF111" i="79"/>
  <c r="DP111" i="79"/>
  <c r="DR111" i="79" s="1"/>
  <c r="FL111" i="79"/>
  <c r="H116" i="80"/>
  <c r="EV105" i="80"/>
  <c r="P105" i="80"/>
  <c r="AN105" i="80"/>
  <c r="AP105" i="80" s="1"/>
  <c r="X105" i="80"/>
  <c r="Z105" i="80" s="1"/>
  <c r="FL105" i="80"/>
  <c r="CZ105" i="80"/>
  <c r="BT105" i="80"/>
  <c r="DX105" i="80"/>
  <c r="CR105" i="80"/>
  <c r="CT105" i="80" s="1"/>
  <c r="AF105" i="80"/>
  <c r="FD105" i="80"/>
  <c r="FF105" i="80" s="1"/>
  <c r="EN105" i="80"/>
  <c r="BD105" i="80"/>
  <c r="BF105" i="80" s="1"/>
  <c r="EF105" i="80"/>
  <c r="BL105" i="80"/>
  <c r="CJ105" i="80"/>
  <c r="AV105" i="80"/>
  <c r="P111" i="80"/>
  <c r="R111" i="80" s="1"/>
  <c r="EV111" i="80"/>
  <c r="EX111" i="80" s="1"/>
  <c r="X111" i="80"/>
  <c r="Z111" i="80" s="1"/>
  <c r="FD111" i="80"/>
  <c r="BD111" i="80"/>
  <c r="BF111" i="80" s="1"/>
  <c r="AF111" i="80"/>
  <c r="AH111" i="80" s="1"/>
  <c r="FL111" i="80"/>
  <c r="CZ111" i="80"/>
  <c r="DB111" i="80" s="1"/>
  <c r="EF111" i="80"/>
  <c r="EH111" i="80" s="1"/>
  <c r="BL111" i="80"/>
  <c r="BN111" i="80" s="1"/>
  <c r="CR111" i="80"/>
  <c r="CT111" i="80" s="1"/>
  <c r="EN111" i="80"/>
  <c r="EP111" i="80" s="1"/>
  <c r="AN111" i="80"/>
  <c r="AP111" i="80" s="1"/>
  <c r="CJ111" i="80"/>
  <c r="CL111" i="80" s="1"/>
  <c r="BT111" i="80"/>
  <c r="BV111" i="80" s="1"/>
  <c r="DX111" i="80"/>
  <c r="DZ111" i="80" s="1"/>
  <c r="AV111" i="80"/>
  <c r="AX111" i="80" s="1"/>
  <c r="BT111" i="79"/>
  <c r="BV111" i="79" s="1"/>
  <c r="CB111" i="80"/>
  <c r="CD111" i="80" s="1"/>
  <c r="CB105" i="80"/>
  <c r="CD105" i="80" s="1"/>
  <c r="H116" i="79"/>
  <c r="AF105" i="79"/>
  <c r="CR105" i="79"/>
  <c r="EF105" i="79"/>
  <c r="AN105" i="79"/>
  <c r="BL105" i="79"/>
  <c r="X105" i="79"/>
  <c r="EN105" i="79"/>
  <c r="DH105" i="79"/>
  <c r="DJ105" i="79" s="1"/>
  <c r="FD105" i="79"/>
  <c r="FF105" i="79" s="1"/>
  <c r="BD105" i="79"/>
  <c r="BF105" i="79" s="1"/>
  <c r="DX105" i="79"/>
  <c r="FL105" i="79"/>
  <c r="P105" i="79"/>
  <c r="DP105" i="79"/>
  <c r="CB93" i="80"/>
  <c r="CD88" i="80"/>
  <c r="CD93" i="80" s="1"/>
  <c r="DH88" i="80"/>
  <c r="DH93" i="80" s="1"/>
  <c r="H93" i="79"/>
  <c r="CR88" i="79"/>
  <c r="CR93" i="79" s="1"/>
  <c r="AF88" i="79"/>
  <c r="AF93" i="79" s="1"/>
  <c r="EF88" i="79"/>
  <c r="EF93" i="79" s="1"/>
  <c r="EN88" i="79"/>
  <c r="EN93" i="79" s="1"/>
  <c r="FL88" i="79"/>
  <c r="FL93" i="79" s="1"/>
  <c r="DH88" i="79"/>
  <c r="AN88" i="79"/>
  <c r="BL88" i="79"/>
  <c r="BD88" i="79"/>
  <c r="BD93" i="79" s="1"/>
  <c r="FD88" i="79"/>
  <c r="FD93" i="79" s="1"/>
  <c r="X88" i="79"/>
  <c r="X93" i="79" s="1"/>
  <c r="DP88" i="79"/>
  <c r="DP93" i="79" s="1"/>
  <c r="P88" i="79"/>
  <c r="P93" i="79" s="1"/>
  <c r="DX88" i="79"/>
  <c r="DX93" i="79" s="1"/>
  <c r="EV88" i="79"/>
  <c r="EV93" i="79" s="1"/>
  <c r="H93" i="80"/>
  <c r="P88" i="80"/>
  <c r="EV88" i="80"/>
  <c r="EV93" i="80" s="1"/>
  <c r="FL88" i="80"/>
  <c r="FL93" i="80" s="1"/>
  <c r="AV88" i="80"/>
  <c r="EN88" i="80"/>
  <c r="BL88" i="80"/>
  <c r="BL93" i="80" s="1"/>
  <c r="CR88" i="80"/>
  <c r="CR93" i="80" s="1"/>
  <c r="BT88" i="80"/>
  <c r="CZ88" i="80"/>
  <c r="CZ93" i="80" s="1"/>
  <c r="AF88" i="80"/>
  <c r="CJ88" i="80"/>
  <c r="X88" i="80"/>
  <c r="X93" i="80" s="1"/>
  <c r="EF88" i="80"/>
  <c r="FD88" i="80"/>
  <c r="AN88" i="80"/>
  <c r="AN93" i="80" s="1"/>
  <c r="DX88" i="80"/>
  <c r="BD88" i="80"/>
  <c r="BD93" i="80" s="1"/>
  <c r="CB387" i="80"/>
  <c r="CD42" i="80"/>
  <c r="CD387" i="80" s="1"/>
  <c r="DH388" i="79"/>
  <c r="DJ43" i="79"/>
  <c r="DJ388" i="79" s="1"/>
  <c r="CB383" i="80"/>
  <c r="CB434" i="80" s="1"/>
  <c r="CD38" i="80"/>
  <c r="CD383" i="80" s="1"/>
  <c r="CD434" i="80" s="1"/>
  <c r="H393" i="80"/>
  <c r="P48" i="80"/>
  <c r="P393" i="80" s="1"/>
  <c r="EV48" i="80"/>
  <c r="EV393" i="80" s="1"/>
  <c r="FL48" i="80"/>
  <c r="FL393" i="80" s="1"/>
  <c r="BD48" i="80"/>
  <c r="BD393" i="80" s="1"/>
  <c r="EF48" i="80"/>
  <c r="CJ48" i="80"/>
  <c r="AN48" i="80"/>
  <c r="AN393" i="80" s="1"/>
  <c r="CR48" i="80"/>
  <c r="CR393" i="80" s="1"/>
  <c r="BT48" i="80"/>
  <c r="CZ48" i="80"/>
  <c r="CZ393" i="80" s="1"/>
  <c r="DX48" i="80"/>
  <c r="BL48" i="80"/>
  <c r="BL393" i="80" s="1"/>
  <c r="AV48" i="80"/>
  <c r="X48" i="80"/>
  <c r="X393" i="80" s="1"/>
  <c r="FD48" i="80"/>
  <c r="FD393" i="80" s="1"/>
  <c r="EN48" i="80"/>
  <c r="AF48" i="80"/>
  <c r="AV46" i="79"/>
  <c r="AV391" i="79" s="1"/>
  <c r="AF38" i="79"/>
  <c r="CR38" i="79"/>
  <c r="DX38" i="79"/>
  <c r="DZ38" i="79" s="1"/>
  <c r="AN38" i="79"/>
  <c r="DP38" i="79"/>
  <c r="EF38" i="79"/>
  <c r="BL38" i="79"/>
  <c r="FL38" i="79"/>
  <c r="X38" i="79"/>
  <c r="BD38" i="79"/>
  <c r="BF38" i="79" s="1"/>
  <c r="EN38" i="79"/>
  <c r="P38" i="79"/>
  <c r="FD38" i="79"/>
  <c r="BT41" i="79"/>
  <c r="CA406" i="79"/>
  <c r="DP48" i="79"/>
  <c r="DP393" i="79" s="1"/>
  <c r="DH37" i="79"/>
  <c r="DH38" i="79"/>
  <c r="H391" i="80"/>
  <c r="H437" i="80" s="1"/>
  <c r="FD46" i="80"/>
  <c r="P46" i="80"/>
  <c r="EV46" i="80"/>
  <c r="EV391" i="80" s="1"/>
  <c r="EV437" i="80" s="1"/>
  <c r="CR46" i="80"/>
  <c r="CR391" i="80" s="1"/>
  <c r="CR437" i="80" s="1"/>
  <c r="X46" i="80"/>
  <c r="X391" i="80" s="1"/>
  <c r="X437" i="80" s="1"/>
  <c r="BD46" i="80"/>
  <c r="BD391" i="80" s="1"/>
  <c r="BD437" i="80" s="1"/>
  <c r="FL46" i="80"/>
  <c r="FL391" i="80" s="1"/>
  <c r="FL437" i="80" s="1"/>
  <c r="AF46" i="80"/>
  <c r="CZ46" i="80"/>
  <c r="CZ391" i="80" s="1"/>
  <c r="CZ437" i="80" s="1"/>
  <c r="EN46" i="80"/>
  <c r="CJ46" i="80"/>
  <c r="EF46" i="80"/>
  <c r="DX46" i="80"/>
  <c r="AV46" i="80"/>
  <c r="AN46" i="80"/>
  <c r="AN391" i="80" s="1"/>
  <c r="AN437" i="80" s="1"/>
  <c r="BL46" i="80"/>
  <c r="BL391" i="80" s="1"/>
  <c r="BL437" i="80" s="1"/>
  <c r="BT46" i="80"/>
  <c r="CR46" i="79"/>
  <c r="CT46" i="79" s="1"/>
  <c r="CT437" i="79" s="1"/>
  <c r="AF46" i="79"/>
  <c r="P46" i="79"/>
  <c r="EN46" i="79"/>
  <c r="X46" i="79"/>
  <c r="DX46" i="79"/>
  <c r="DZ46" i="79" s="1"/>
  <c r="AN46" i="79"/>
  <c r="FD46" i="79"/>
  <c r="FF46" i="79" s="1"/>
  <c r="BD46" i="79"/>
  <c r="BF46" i="79" s="1"/>
  <c r="DP46" i="79"/>
  <c r="DR46" i="79" s="1"/>
  <c r="FL46" i="79"/>
  <c r="EF46" i="79"/>
  <c r="BL46" i="79"/>
  <c r="EV46" i="79"/>
  <c r="EV391" i="79" s="1"/>
  <c r="H390" i="80"/>
  <c r="H436" i="80" s="1"/>
  <c r="P45" i="80"/>
  <c r="EV45" i="80"/>
  <c r="EV390" i="80" s="1"/>
  <c r="EV436" i="80" s="1"/>
  <c r="EF45" i="80"/>
  <c r="FD45" i="80"/>
  <c r="BT45" i="80"/>
  <c r="BD45" i="80"/>
  <c r="BD390" i="80" s="1"/>
  <c r="BD436" i="80" s="1"/>
  <c r="DX45" i="80"/>
  <c r="CJ45" i="80"/>
  <c r="X45" i="80"/>
  <c r="X390" i="80" s="1"/>
  <c r="X436" i="80" s="1"/>
  <c r="FL45" i="80"/>
  <c r="FL390" i="80" s="1"/>
  <c r="FL436" i="80" s="1"/>
  <c r="AN45" i="80"/>
  <c r="AN390" i="80" s="1"/>
  <c r="AN436" i="80" s="1"/>
  <c r="CR45" i="80"/>
  <c r="CR390" i="80" s="1"/>
  <c r="CR436" i="80" s="1"/>
  <c r="EN45" i="80"/>
  <c r="CZ45" i="80"/>
  <c r="CZ390" i="80" s="1"/>
  <c r="CZ436" i="80" s="1"/>
  <c r="AV45" i="80"/>
  <c r="BL45" i="80"/>
  <c r="BL390" i="80" s="1"/>
  <c r="BL436" i="80" s="1"/>
  <c r="AF45" i="80"/>
  <c r="CB45" i="80"/>
  <c r="DH42" i="79"/>
  <c r="EV41" i="79"/>
  <c r="EV386" i="79" s="1"/>
  <c r="H386" i="80"/>
  <c r="EV41" i="80"/>
  <c r="EV386" i="80" s="1"/>
  <c r="P41" i="80"/>
  <c r="P386" i="80" s="1"/>
  <c r="FD41" i="80"/>
  <c r="X41" i="80"/>
  <c r="X386" i="80" s="1"/>
  <c r="CJ41" i="80"/>
  <c r="CZ41" i="80"/>
  <c r="CZ386" i="80" s="1"/>
  <c r="BT41" i="80"/>
  <c r="EN41" i="80"/>
  <c r="AN41" i="80"/>
  <c r="AN386" i="80" s="1"/>
  <c r="BD41" i="80"/>
  <c r="BD386" i="80" s="1"/>
  <c r="CR41" i="80"/>
  <c r="CR386" i="80" s="1"/>
  <c r="BL41" i="80"/>
  <c r="BL386" i="80" s="1"/>
  <c r="AF41" i="80"/>
  <c r="FL41" i="80"/>
  <c r="FL386" i="80" s="1"/>
  <c r="DX41" i="80"/>
  <c r="AV41" i="80"/>
  <c r="EF41" i="80"/>
  <c r="CR389" i="79"/>
  <c r="CT44" i="79"/>
  <c r="CT389" i="79" s="1"/>
  <c r="H393" i="79"/>
  <c r="AF48" i="79"/>
  <c r="AF393" i="79" s="1"/>
  <c r="CR48" i="79"/>
  <c r="FL48" i="79"/>
  <c r="FL393" i="79" s="1"/>
  <c r="FD48" i="79"/>
  <c r="FD393" i="79" s="1"/>
  <c r="BL48" i="79"/>
  <c r="DH48" i="79"/>
  <c r="EN48" i="79"/>
  <c r="EN393" i="79" s="1"/>
  <c r="AN48" i="79"/>
  <c r="X48" i="79"/>
  <c r="X393" i="79" s="1"/>
  <c r="DX48" i="79"/>
  <c r="DX393" i="79" s="1"/>
  <c r="EF48" i="79"/>
  <c r="EF393" i="79" s="1"/>
  <c r="BD48" i="79"/>
  <c r="BD393" i="79" s="1"/>
  <c r="P48" i="79"/>
  <c r="P393" i="79" s="1"/>
  <c r="H386" i="79"/>
  <c r="CR41" i="79"/>
  <c r="CR386" i="79" s="1"/>
  <c r="EF41" i="79"/>
  <c r="EF386" i="79" s="1"/>
  <c r="AF41" i="79"/>
  <c r="AF386" i="79" s="1"/>
  <c r="BD41" i="79"/>
  <c r="BD386" i="79" s="1"/>
  <c r="FL41" i="79"/>
  <c r="FL386" i="79" s="1"/>
  <c r="DH41" i="79"/>
  <c r="AN41" i="79"/>
  <c r="X41" i="79"/>
  <c r="X386" i="79" s="1"/>
  <c r="DP41" i="79"/>
  <c r="DP386" i="79" s="1"/>
  <c r="EN41" i="79"/>
  <c r="EN386" i="79" s="1"/>
  <c r="P41" i="79"/>
  <c r="P386" i="79" s="1"/>
  <c r="BL41" i="79"/>
  <c r="DX41" i="79"/>
  <c r="DX386" i="79" s="1"/>
  <c r="FD41" i="79"/>
  <c r="FD386" i="79" s="1"/>
  <c r="AV41" i="79"/>
  <c r="AV386" i="79" s="1"/>
  <c r="CR37" i="79"/>
  <c r="CR382" i="79" s="1"/>
  <c r="AF37" i="79"/>
  <c r="AF382" i="79" s="1"/>
  <c r="DP37" i="79"/>
  <c r="DP382" i="79" s="1"/>
  <c r="FD37" i="79"/>
  <c r="FD382" i="79" s="1"/>
  <c r="EF37" i="79"/>
  <c r="EF382" i="79" s="1"/>
  <c r="P37" i="79"/>
  <c r="P382" i="79" s="1"/>
  <c r="DX37" i="79"/>
  <c r="DX382" i="79" s="1"/>
  <c r="AN37" i="79"/>
  <c r="BL37" i="79"/>
  <c r="EN37" i="79"/>
  <c r="EN382" i="79" s="1"/>
  <c r="X37" i="79"/>
  <c r="X382" i="79" s="1"/>
  <c r="FL37" i="79"/>
  <c r="FL382" i="79" s="1"/>
  <c r="BD37" i="79"/>
  <c r="BD382" i="79" s="1"/>
  <c r="CZ37" i="79"/>
  <c r="CZ382" i="79" s="1"/>
  <c r="CZ48" i="79"/>
  <c r="CZ393" i="79" s="1"/>
  <c r="H388" i="79"/>
  <c r="AF43" i="79"/>
  <c r="AF388" i="79" s="1"/>
  <c r="CR43" i="79"/>
  <c r="CR388" i="79" s="1"/>
  <c r="EF43" i="79"/>
  <c r="EF388" i="79" s="1"/>
  <c r="BD43" i="79"/>
  <c r="BD388" i="79" s="1"/>
  <c r="DX43" i="79"/>
  <c r="DX388" i="79" s="1"/>
  <c r="BL43" i="79"/>
  <c r="DP43" i="79"/>
  <c r="DP388" i="79" s="1"/>
  <c r="FL43" i="79"/>
  <c r="FL388" i="79" s="1"/>
  <c r="FD43" i="79"/>
  <c r="FD388" i="79" s="1"/>
  <c r="X43" i="79"/>
  <c r="X388" i="79" s="1"/>
  <c r="EN43" i="79"/>
  <c r="EN388" i="79" s="1"/>
  <c r="AN43" i="79"/>
  <c r="P43" i="79"/>
  <c r="P388" i="79" s="1"/>
  <c r="BN40" i="79"/>
  <c r="BN385" i="79" s="1"/>
  <c r="BT38" i="79"/>
  <c r="BV38" i="79" s="1"/>
  <c r="BT43" i="79"/>
  <c r="BT388" i="79" s="1"/>
  <c r="BF44" i="79"/>
  <c r="BF389" i="79" s="1"/>
  <c r="CB46" i="80"/>
  <c r="BF40" i="79"/>
  <c r="BF385" i="79" s="1"/>
  <c r="BF308" i="79"/>
  <c r="BF313" i="79" s="1"/>
  <c r="H387" i="80"/>
  <c r="P42" i="80"/>
  <c r="EV42" i="80"/>
  <c r="EV387" i="80" s="1"/>
  <c r="FD42" i="80"/>
  <c r="BD42" i="80"/>
  <c r="BD387" i="80" s="1"/>
  <c r="EN42" i="80"/>
  <c r="AN42" i="80"/>
  <c r="AN387" i="80" s="1"/>
  <c r="DX42" i="80"/>
  <c r="AV42" i="80"/>
  <c r="EF42" i="80"/>
  <c r="X42" i="80"/>
  <c r="X387" i="80" s="1"/>
  <c r="CZ42" i="80"/>
  <c r="CZ387" i="80" s="1"/>
  <c r="BL42" i="80"/>
  <c r="BL387" i="80" s="1"/>
  <c r="BT42" i="80"/>
  <c r="FL42" i="80"/>
  <c r="FL387" i="80" s="1"/>
  <c r="CR42" i="80"/>
  <c r="CR387" i="80" s="1"/>
  <c r="AF42" i="80"/>
  <c r="CJ42" i="80"/>
  <c r="CJ48" i="79"/>
  <c r="CJ393" i="79" s="1"/>
  <c r="AF45" i="79"/>
  <c r="CR45" i="79"/>
  <c r="CT45" i="79" s="1"/>
  <c r="CT390" i="79" s="1"/>
  <c r="X45" i="79"/>
  <c r="DP45" i="79"/>
  <c r="DR45" i="79" s="1"/>
  <c r="FD45" i="79"/>
  <c r="FF45" i="79" s="1"/>
  <c r="AN45" i="79"/>
  <c r="FL45" i="79"/>
  <c r="EF45" i="79"/>
  <c r="P45" i="79"/>
  <c r="BD45" i="79"/>
  <c r="BF45" i="79" s="1"/>
  <c r="DH45" i="79"/>
  <c r="BL45" i="79"/>
  <c r="EN45" i="79"/>
  <c r="DX45" i="79"/>
  <c r="H388" i="80"/>
  <c r="EV43" i="80"/>
  <c r="EV388" i="80" s="1"/>
  <c r="P43" i="80"/>
  <c r="FL43" i="80"/>
  <c r="FL388" i="80" s="1"/>
  <c r="CZ43" i="80"/>
  <c r="CZ388" i="80" s="1"/>
  <c r="X43" i="80"/>
  <c r="X388" i="80" s="1"/>
  <c r="AF43" i="80"/>
  <c r="BT43" i="80"/>
  <c r="DX43" i="80"/>
  <c r="BD43" i="80"/>
  <c r="BD388" i="80" s="1"/>
  <c r="AV43" i="80"/>
  <c r="EF43" i="80"/>
  <c r="EN43" i="80"/>
  <c r="AN43" i="80"/>
  <c r="AN388" i="80" s="1"/>
  <c r="BL43" i="80"/>
  <c r="BL388" i="80" s="1"/>
  <c r="CJ43" i="80"/>
  <c r="FD43" i="80"/>
  <c r="CR43" i="80"/>
  <c r="CR388" i="80" s="1"/>
  <c r="BT45" i="79"/>
  <c r="BV45" i="79" s="1"/>
  <c r="BV390" i="79" s="1"/>
  <c r="FD37" i="80"/>
  <c r="P37" i="80"/>
  <c r="P382" i="80" s="1"/>
  <c r="EV37" i="80"/>
  <c r="EV382" i="80" s="1"/>
  <c r="AN37" i="80"/>
  <c r="AN382" i="80" s="1"/>
  <c r="CZ37" i="80"/>
  <c r="CZ382" i="80" s="1"/>
  <c r="EN37" i="80"/>
  <c r="AF37" i="80"/>
  <c r="FL37" i="80"/>
  <c r="FL382" i="80" s="1"/>
  <c r="BL37" i="80"/>
  <c r="BL382" i="80" s="1"/>
  <c r="X37" i="80"/>
  <c r="X382" i="80" s="1"/>
  <c r="CJ37" i="80"/>
  <c r="BD37" i="80"/>
  <c r="BD382" i="80" s="1"/>
  <c r="CB37" i="80"/>
  <c r="EF37" i="80"/>
  <c r="BT37" i="80"/>
  <c r="AV37" i="80"/>
  <c r="DX37" i="80"/>
  <c r="CR37" i="80"/>
  <c r="CR382" i="80" s="1"/>
  <c r="DH42" i="80"/>
  <c r="DH387" i="80" s="1"/>
  <c r="AV48" i="79"/>
  <c r="AV393" i="79" s="1"/>
  <c r="CZ46" i="79"/>
  <c r="CZ391" i="79" s="1"/>
  <c r="DJ111" i="79"/>
  <c r="H387" i="79"/>
  <c r="AF42" i="79"/>
  <c r="AF387" i="79" s="1"/>
  <c r="CR42" i="79"/>
  <c r="EF42" i="79"/>
  <c r="EF387" i="79" s="1"/>
  <c r="BL42" i="79"/>
  <c r="BD42" i="79"/>
  <c r="BD387" i="79" s="1"/>
  <c r="FL42" i="79"/>
  <c r="FL387" i="79" s="1"/>
  <c r="P42" i="79"/>
  <c r="P387" i="79" s="1"/>
  <c r="EN42" i="79"/>
  <c r="EN387" i="79" s="1"/>
  <c r="AN42" i="79"/>
  <c r="FD42" i="79"/>
  <c r="FD387" i="79" s="1"/>
  <c r="X42" i="79"/>
  <c r="X387" i="79" s="1"/>
  <c r="DP42" i="79"/>
  <c r="DP387" i="79" s="1"/>
  <c r="DX42" i="79"/>
  <c r="DX387" i="79" s="1"/>
  <c r="BT37" i="79"/>
  <c r="BT382" i="79" s="1"/>
  <c r="BT48" i="79"/>
  <c r="CB41" i="80"/>
  <c r="CB386" i="80" s="1"/>
  <c r="DH46" i="80"/>
  <c r="DH391" i="80" s="1"/>
  <c r="DH437" i="80" s="1"/>
  <c r="CJ41" i="79"/>
  <c r="CJ386" i="79" s="1"/>
  <c r="EV37" i="79"/>
  <c r="EV382" i="79" s="1"/>
  <c r="H383" i="80"/>
  <c r="H434" i="80" s="1"/>
  <c r="P38" i="80"/>
  <c r="EV38" i="80"/>
  <c r="EV383" i="80" s="1"/>
  <c r="EV434" i="80" s="1"/>
  <c r="BT38" i="80"/>
  <c r="FL38" i="80"/>
  <c r="FL383" i="80" s="1"/>
  <c r="FL434" i="80" s="1"/>
  <c r="BL38" i="80"/>
  <c r="BL383" i="80" s="1"/>
  <c r="BL434" i="80" s="1"/>
  <c r="CZ38" i="80"/>
  <c r="CZ383" i="80" s="1"/>
  <c r="CZ434" i="80" s="1"/>
  <c r="AN38" i="80"/>
  <c r="AN383" i="80" s="1"/>
  <c r="AN434" i="80" s="1"/>
  <c r="X38" i="80"/>
  <c r="X383" i="80" s="1"/>
  <c r="X434" i="80" s="1"/>
  <c r="CJ38" i="80"/>
  <c r="CR38" i="80"/>
  <c r="CR383" i="80" s="1"/>
  <c r="CR434" i="80" s="1"/>
  <c r="BD38" i="80"/>
  <c r="BD383" i="80" s="1"/>
  <c r="BD434" i="80" s="1"/>
  <c r="AV38" i="80"/>
  <c r="AF38" i="80"/>
  <c r="DX38" i="80"/>
  <c r="EN38" i="80"/>
  <c r="EF38" i="80"/>
  <c r="FD38" i="80"/>
  <c r="BT46" i="79"/>
  <c r="BT391" i="79" s="1"/>
  <c r="DH46" i="79"/>
  <c r="DH437" i="79" s="1"/>
  <c r="CB48" i="80"/>
  <c r="CJ313" i="80"/>
  <c r="CL308" i="80"/>
  <c r="CL313" i="80" s="1"/>
  <c r="X313" i="80"/>
  <c r="Z308" i="80"/>
  <c r="Z313" i="80" s="1"/>
  <c r="P389" i="80"/>
  <c r="R44" i="80"/>
  <c r="R389" i="80" s="1"/>
  <c r="AH40" i="80"/>
  <c r="AH385" i="80" s="1"/>
  <c r="AF385" i="80"/>
  <c r="CZ389" i="80"/>
  <c r="DB44" i="80"/>
  <c r="DB389" i="80" s="1"/>
  <c r="T226" i="100"/>
  <c r="T253" i="100" s="1"/>
  <c r="CJ389" i="80"/>
  <c r="CL44" i="80"/>
  <c r="CL389" i="80" s="1"/>
  <c r="X385" i="80"/>
  <c r="Z40" i="80"/>
  <c r="Z385" i="80" s="1"/>
  <c r="R308" i="80"/>
  <c r="R313" i="80" s="1"/>
  <c r="P313" i="80"/>
  <c r="AF389" i="80"/>
  <c r="AH44" i="80"/>
  <c r="AH389" i="80" s="1"/>
  <c r="DB308" i="80"/>
  <c r="DB313" i="80" s="1"/>
  <c r="CZ313" i="80"/>
  <c r="AW43" i="79"/>
  <c r="AW111" i="79"/>
  <c r="AW37" i="79"/>
  <c r="AX37" i="79" s="1"/>
  <c r="AW41" i="79"/>
  <c r="AW386" i="79" s="1"/>
  <c r="AW110" i="79"/>
  <c r="AX110" i="79" s="1"/>
  <c r="AW46" i="79"/>
  <c r="AW88" i="79"/>
  <c r="AW45" i="79"/>
  <c r="AW105" i="79"/>
  <c r="AW376" i="79"/>
  <c r="AW378" i="79" s="1"/>
  <c r="AW379" i="79" s="1"/>
  <c r="AW449" i="79" s="1"/>
  <c r="AW48" i="79"/>
  <c r="AW393" i="79" s="1"/>
  <c r="AW38" i="79"/>
  <c r="AW42" i="79"/>
  <c r="AW387" i="79" s="1"/>
  <c r="CK450" i="79"/>
  <c r="CI406" i="79"/>
  <c r="FN450" i="80"/>
  <c r="FK406" i="80"/>
  <c r="CZ385" i="80"/>
  <c r="DB40" i="80"/>
  <c r="DB385" i="80" s="1"/>
  <c r="AU406" i="79"/>
  <c r="BV110" i="79"/>
  <c r="BN44" i="79"/>
  <c r="BN389" i="79" s="1"/>
  <c r="BN308" i="79"/>
  <c r="BN313" i="79" s="1"/>
  <c r="AV389" i="80"/>
  <c r="AX44" i="80"/>
  <c r="AX389" i="80" s="1"/>
  <c r="EX40" i="80"/>
  <c r="EX385" i="80" s="1"/>
  <c r="AP308" i="80"/>
  <c r="AP313" i="80" s="1"/>
  <c r="AP44" i="80"/>
  <c r="AP389" i="80" s="1"/>
  <c r="AP40" i="80"/>
  <c r="AP385" i="80" s="1"/>
  <c r="AV313" i="80"/>
  <c r="AX308" i="80"/>
  <c r="AX313" i="80" s="1"/>
  <c r="DH385" i="80"/>
  <c r="DJ40" i="80"/>
  <c r="DJ385" i="80" s="1"/>
  <c r="EX44" i="80"/>
  <c r="EX389" i="80" s="1"/>
  <c r="DP38" i="80"/>
  <c r="DP88" i="80"/>
  <c r="DP46" i="80"/>
  <c r="DP41" i="80"/>
  <c r="DP45" i="80"/>
  <c r="DP42" i="80"/>
  <c r="DP48" i="80"/>
  <c r="DP111" i="80"/>
  <c r="DR111" i="80" s="1"/>
  <c r="DP43" i="80"/>
  <c r="DP376" i="80"/>
  <c r="DP105" i="80"/>
  <c r="DP37" i="80"/>
  <c r="DP110" i="80"/>
  <c r="DR110" i="80" s="1"/>
  <c r="AX40" i="80"/>
  <c r="AX385" i="80" s="1"/>
  <c r="AV385" i="80"/>
  <c r="DH389" i="80"/>
  <c r="DJ44" i="80"/>
  <c r="DJ389" i="80" s="1"/>
  <c r="EX308" i="80"/>
  <c r="EX313" i="80" s="1"/>
  <c r="EP308" i="80"/>
  <c r="EP313" i="80" s="1"/>
  <c r="CJ385" i="80"/>
  <c r="CL40" i="80"/>
  <c r="CL385" i="80" s="1"/>
  <c r="X389" i="80"/>
  <c r="Z44" i="80"/>
  <c r="Z389" i="80" s="1"/>
  <c r="P385" i="80"/>
  <c r="R40" i="80"/>
  <c r="R385" i="80" s="1"/>
  <c r="DH313" i="80"/>
  <c r="DJ308" i="80"/>
  <c r="DJ313" i="80" s="1"/>
  <c r="AH308" i="80"/>
  <c r="AH313" i="80" s="1"/>
  <c r="AF313" i="80"/>
  <c r="Q105" i="79"/>
  <c r="Q42" i="79"/>
  <c r="Q387" i="79" s="1"/>
  <c r="Q37" i="79"/>
  <c r="Q382" i="79" s="1"/>
  <c r="Q46" i="79"/>
  <c r="Q43" i="79"/>
  <c r="Q388" i="79" s="1"/>
  <c r="Q45" i="79"/>
  <c r="Q38" i="79"/>
  <c r="Q48" i="79"/>
  <c r="Q393" i="79" s="1"/>
  <c r="Q110" i="79"/>
  <c r="R110" i="79" s="1"/>
  <c r="Q376" i="79"/>
  <c r="Q41" i="79"/>
  <c r="Q386" i="79" s="1"/>
  <c r="Q88" i="79"/>
  <c r="Q93" i="79" s="1"/>
  <c r="Q111" i="79"/>
  <c r="EG450" i="79"/>
  <c r="EE406" i="79"/>
  <c r="EW385" i="79"/>
  <c r="EX40" i="79"/>
  <c r="EX385" i="79" s="1"/>
  <c r="AO313" i="79"/>
  <c r="AP308" i="79"/>
  <c r="AP313" i="79" s="1"/>
  <c r="FM385" i="79"/>
  <c r="FN40" i="79"/>
  <c r="FN385" i="79" s="1"/>
  <c r="EW389" i="79"/>
  <c r="EX44" i="79"/>
  <c r="EX389" i="79" s="1"/>
  <c r="EO313" i="79"/>
  <c r="EP308" i="79"/>
  <c r="EP313" i="79" s="1"/>
  <c r="Q116" i="80"/>
  <c r="T1018" i="101"/>
  <c r="T1024" i="101" s="1"/>
  <c r="EW450" i="79"/>
  <c r="EU406" i="79"/>
  <c r="FM389" i="79"/>
  <c r="FN44" i="79"/>
  <c r="FN389" i="79" s="1"/>
  <c r="EO389" i="79"/>
  <c r="EP44" i="79"/>
  <c r="EP389" i="79" s="1"/>
  <c r="AG385" i="79"/>
  <c r="AH40" i="79"/>
  <c r="AH385" i="79" s="1"/>
  <c r="FM313" i="79"/>
  <c r="FN308" i="79"/>
  <c r="FN313" i="79" s="1"/>
  <c r="EO385" i="79"/>
  <c r="EP40" i="79"/>
  <c r="EP385" i="79" s="1"/>
  <c r="DA389" i="79"/>
  <c r="DB44" i="79"/>
  <c r="DB389" i="79" s="1"/>
  <c r="CK313" i="79"/>
  <c r="CL308" i="79"/>
  <c r="CL313" i="79" s="1"/>
  <c r="AG389" i="79"/>
  <c r="AH44" i="79"/>
  <c r="AH389" i="79" s="1"/>
  <c r="Y385" i="79"/>
  <c r="Z40" i="79"/>
  <c r="Z385" i="79" s="1"/>
  <c r="FM376" i="79"/>
  <c r="FM378" i="79" s="1"/>
  <c r="FM379" i="79" s="1"/>
  <c r="FM105" i="79"/>
  <c r="FM88" i="79"/>
  <c r="FM93" i="79" s="1"/>
  <c r="FM37" i="79"/>
  <c r="FM382" i="79" s="1"/>
  <c r="FM46" i="79"/>
  <c r="FM111" i="79"/>
  <c r="FM42" i="79"/>
  <c r="FM387" i="79" s="1"/>
  <c r="FM48" i="79"/>
  <c r="FM393" i="79" s="1"/>
  <c r="FM45" i="79"/>
  <c r="FM41" i="79"/>
  <c r="FM386" i="79" s="1"/>
  <c r="FM43" i="79"/>
  <c r="FM388" i="79" s="1"/>
  <c r="FM38" i="79"/>
  <c r="FM110" i="79"/>
  <c r="FN110" i="79" s="1"/>
  <c r="Q313" i="79"/>
  <c r="R308" i="79"/>
  <c r="R313" i="79" s="1"/>
  <c r="DA385" i="79"/>
  <c r="DB40" i="79"/>
  <c r="DB385" i="79" s="1"/>
  <c r="AW313" i="79"/>
  <c r="AX308" i="79"/>
  <c r="AX313" i="79" s="1"/>
  <c r="CK389" i="79"/>
  <c r="CL44" i="79"/>
  <c r="CL389" i="79" s="1"/>
  <c r="AG313" i="79"/>
  <c r="AH308" i="79"/>
  <c r="AH313" i="79" s="1"/>
  <c r="EG389" i="79"/>
  <c r="EH44" i="79"/>
  <c r="EH389" i="79" s="1"/>
  <c r="Y313" i="79"/>
  <c r="Z308" i="79"/>
  <c r="Z313" i="79" s="1"/>
  <c r="EO450" i="79"/>
  <c r="EM406" i="79"/>
  <c r="CB45" i="79"/>
  <c r="CB42" i="79"/>
  <c r="CB376" i="79"/>
  <c r="CB43" i="79"/>
  <c r="CB105" i="79"/>
  <c r="CB88" i="79"/>
  <c r="CB46" i="79"/>
  <c r="CB37" i="79"/>
  <c r="CB110" i="79"/>
  <c r="CD110" i="79" s="1"/>
  <c r="CB41" i="79"/>
  <c r="CB38" i="79"/>
  <c r="CB48" i="79"/>
  <c r="CB111" i="79"/>
  <c r="CD111" i="79" s="1"/>
  <c r="DA450" i="79"/>
  <c r="CY406" i="79"/>
  <c r="Q389" i="79"/>
  <c r="R44" i="79"/>
  <c r="R389" i="79" s="1"/>
  <c r="T1019" i="101"/>
  <c r="DA313" i="79"/>
  <c r="DB308" i="79"/>
  <c r="DB313" i="79" s="1"/>
  <c r="AW385" i="79"/>
  <c r="AX40" i="79"/>
  <c r="AX385" i="79" s="1"/>
  <c r="CK385" i="79"/>
  <c r="CL40" i="79"/>
  <c r="CL385" i="79" s="1"/>
  <c r="EG385" i="79"/>
  <c r="EH40" i="79"/>
  <c r="EH385" i="79" s="1"/>
  <c r="Y389" i="79"/>
  <c r="Z44" i="79"/>
  <c r="Z389" i="79" s="1"/>
  <c r="AO389" i="79"/>
  <c r="AP44" i="79"/>
  <c r="AP389" i="79" s="1"/>
  <c r="Q385" i="79"/>
  <c r="R40" i="79"/>
  <c r="R385" i="79" s="1"/>
  <c r="CS116" i="80"/>
  <c r="AW389" i="79"/>
  <c r="AX44" i="79"/>
  <c r="AX389" i="79" s="1"/>
  <c r="EG313" i="79"/>
  <c r="EH308" i="79"/>
  <c r="EH313" i="79" s="1"/>
  <c r="EW313" i="79"/>
  <c r="EX308" i="79"/>
  <c r="EX313" i="79" s="1"/>
  <c r="AO385" i="79"/>
  <c r="AP40" i="79"/>
  <c r="AP385" i="79" s="1"/>
  <c r="DA393" i="80"/>
  <c r="BE387" i="80"/>
  <c r="DH393" i="80"/>
  <c r="DJ48" i="80"/>
  <c r="DJ393" i="80" s="1"/>
  <c r="CJ436" i="79"/>
  <c r="CJ390" i="79"/>
  <c r="DJ382" i="80"/>
  <c r="AV382" i="79"/>
  <c r="DA116" i="80"/>
  <c r="BE391" i="80"/>
  <c r="BE437" i="80" s="1"/>
  <c r="BE386" i="80"/>
  <c r="H382" i="79"/>
  <c r="AP110" i="80"/>
  <c r="Z110" i="80"/>
  <c r="FE116" i="80"/>
  <c r="BU437" i="79"/>
  <c r="BU391" i="79"/>
  <c r="Q382" i="80"/>
  <c r="CS116" i="79"/>
  <c r="BE393" i="80"/>
  <c r="BE116" i="80"/>
  <c r="FF376" i="79"/>
  <c r="FF378" i="79" s="1"/>
  <c r="FF379" i="79" s="1"/>
  <c r="CZ434" i="79"/>
  <c r="CZ383" i="79"/>
  <c r="BU383" i="79"/>
  <c r="BU434" i="79"/>
  <c r="CS388" i="79"/>
  <c r="DA382" i="80"/>
  <c r="BE382" i="80"/>
  <c r="BE390" i="80"/>
  <c r="BE436" i="80" s="1"/>
  <c r="DR110" i="79"/>
  <c r="EV393" i="79"/>
  <c r="DJ41" i="80"/>
  <c r="DJ386" i="80" s="1"/>
  <c r="H434" i="79"/>
  <c r="H383" i="79"/>
  <c r="EW387" i="80"/>
  <c r="EW382" i="80"/>
  <c r="Q378" i="80"/>
  <c r="Q379" i="80" s="1"/>
  <c r="Q449" i="80" s="1"/>
  <c r="CS382" i="80"/>
  <c r="DZ110" i="79"/>
  <c r="FF110" i="79"/>
  <c r="W225" i="100"/>
  <c r="X225" i="100" s="1"/>
  <c r="T245" i="100"/>
  <c r="T247" i="100"/>
  <c r="L148" i="207" s="1"/>
  <c r="T246" i="100"/>
  <c r="BU378" i="79"/>
  <c r="BU379" i="79" s="1"/>
  <c r="BU449" i="79" s="1"/>
  <c r="CS382" i="79"/>
  <c r="DH116" i="80"/>
  <c r="BN110" i="80"/>
  <c r="H391" i="79"/>
  <c r="H437" i="79"/>
  <c r="CZ93" i="79"/>
  <c r="Z376" i="80"/>
  <c r="Z378" i="80" s="1"/>
  <c r="Z379" i="80" s="1"/>
  <c r="Z449" i="80" s="1"/>
  <c r="FE382" i="80"/>
  <c r="BU382" i="79"/>
  <c r="T1017" i="101"/>
  <c r="CS434" i="79"/>
  <c r="CS383" i="79"/>
  <c r="DH382" i="80"/>
  <c r="BE383" i="80"/>
  <c r="BE434" i="80" s="1"/>
  <c r="CJ391" i="79"/>
  <c r="CJ437" i="79"/>
  <c r="CZ386" i="79"/>
  <c r="BV42" i="79"/>
  <c r="BV387" i="79" s="1"/>
  <c r="BU116" i="79"/>
  <c r="BE93" i="80"/>
  <c r="CJ449" i="79"/>
  <c r="DJ45" i="80"/>
  <c r="DJ390" i="80" s="1"/>
  <c r="DJ436" i="80" s="1"/>
  <c r="BU390" i="79"/>
  <c r="BU436" i="79"/>
  <c r="EW116" i="80"/>
  <c r="CS378" i="80"/>
  <c r="CS379" i="80" s="1"/>
  <c r="T1010" i="101"/>
  <c r="T1011" i="101" s="1"/>
  <c r="T1016" i="101" s="1"/>
  <c r="T1004" i="101"/>
  <c r="CS390" i="79"/>
  <c r="CS436" i="79"/>
  <c r="CS437" i="79"/>
  <c r="CS391" i="79"/>
  <c r="M89" i="98"/>
  <c r="M87" i="98"/>
  <c r="M88" i="98"/>
  <c r="P82" i="98"/>
  <c r="Q82" i="98" s="1"/>
  <c r="H382" i="80"/>
  <c r="BF110" i="79"/>
  <c r="DJ105" i="80"/>
  <c r="H390" i="79"/>
  <c r="H436" i="79"/>
  <c r="S1030" i="101"/>
  <c r="G122" i="196" s="1"/>
  <c r="G133" i="196" s="1"/>
  <c r="H122" i="196"/>
  <c r="EX376" i="80" l="1"/>
  <c r="EX378" i="80" s="1"/>
  <c r="EX379" i="80" s="1"/>
  <c r="EX449" i="80" s="1"/>
  <c r="H449" i="80"/>
  <c r="BV376" i="79"/>
  <c r="BV378" i="79" s="1"/>
  <c r="BV379" i="79" s="1"/>
  <c r="BV449" i="79" s="1"/>
  <c r="BF376" i="80"/>
  <c r="BF378" i="80" s="1"/>
  <c r="BF379" i="80" s="1"/>
  <c r="BF449" i="80" s="1"/>
  <c r="CT376" i="80"/>
  <c r="CT378" i="80" s="1"/>
  <c r="CT379" i="80" s="1"/>
  <c r="CT449" i="80" s="1"/>
  <c r="P99" i="98"/>
  <c r="CT41" i="80"/>
  <c r="CT386" i="80" s="1"/>
  <c r="J61" i="26"/>
  <c r="J221" i="80" s="1"/>
  <c r="G386" i="85"/>
  <c r="J65" i="26"/>
  <c r="J225" i="80" s="1"/>
  <c r="I23" i="31"/>
  <c r="J275" i="80" s="1"/>
  <c r="W178" i="94"/>
  <c r="W48" i="94" s="1"/>
  <c r="J64" i="26"/>
  <c r="J224" i="79" s="1"/>
  <c r="O1020" i="101"/>
  <c r="V605" i="96"/>
  <c r="U121" i="96" s="1"/>
  <c r="J39" i="206"/>
  <c r="J50" i="206" s="1"/>
  <c r="J39" i="207"/>
  <c r="J50" i="207" s="1"/>
  <c r="J60" i="26"/>
  <c r="J220" i="85" s="1"/>
  <c r="L121" i="90" s="1"/>
  <c r="J62" i="26"/>
  <c r="J222" i="80" s="1"/>
  <c r="S68" i="186"/>
  <c r="N209" i="187"/>
  <c r="J39" i="203"/>
  <c r="J50" i="203" s="1"/>
  <c r="I17" i="31"/>
  <c r="I19" i="31" s="1"/>
  <c r="J271" i="85" s="1"/>
  <c r="J59" i="26"/>
  <c r="J219" i="85" s="1"/>
  <c r="L120" i="90" s="1"/>
  <c r="N236" i="100"/>
  <c r="DH378" i="79"/>
  <c r="DH379" i="79" s="1"/>
  <c r="DG379" i="79" s="1"/>
  <c r="BN376" i="80"/>
  <c r="BN378" i="80" s="1"/>
  <c r="BN379" i="80" s="1"/>
  <c r="BN449" i="80" s="1"/>
  <c r="AP376" i="80"/>
  <c r="AP378" i="80" s="1"/>
  <c r="AP379" i="80" s="1"/>
  <c r="AP449" i="80" s="1"/>
  <c r="I148" i="203"/>
  <c r="M148" i="13"/>
  <c r="I148" i="13" s="1"/>
  <c r="I148" i="85" s="1"/>
  <c r="K86" i="90" s="1"/>
  <c r="J149" i="203"/>
  <c r="I149" i="203"/>
  <c r="Z45" i="80"/>
  <c r="Z390" i="80" s="1"/>
  <c r="Z436" i="80" s="1"/>
  <c r="Z46" i="80"/>
  <c r="Z391" i="80" s="1"/>
  <c r="Z437" i="80" s="1"/>
  <c r="DZ376" i="79"/>
  <c r="DZ378" i="79" s="1"/>
  <c r="DZ379" i="79" s="1"/>
  <c r="DZ449" i="79" s="1"/>
  <c r="Z376" i="79"/>
  <c r="Z378" i="79" s="1"/>
  <c r="Z379" i="79" s="1"/>
  <c r="Z449" i="79" s="1"/>
  <c r="FF376" i="80"/>
  <c r="FF378" i="80" s="1"/>
  <c r="FF379" i="80" s="1"/>
  <c r="FF449" i="80" s="1"/>
  <c r="CD376" i="80"/>
  <c r="CD378" i="80" s="1"/>
  <c r="CD379" i="80" s="1"/>
  <c r="CD449" i="80" s="1"/>
  <c r="EN378" i="80"/>
  <c r="EN379" i="80" s="1"/>
  <c r="EN449" i="80" s="1"/>
  <c r="DJ116" i="80"/>
  <c r="G379" i="79"/>
  <c r="DR376" i="79"/>
  <c r="DR378" i="79" s="1"/>
  <c r="DR379" i="79" s="1"/>
  <c r="DR449" i="79" s="1"/>
  <c r="FL242" i="80"/>
  <c r="FN242" i="80" s="1"/>
  <c r="P242" i="80"/>
  <c r="R242" i="80" s="1"/>
  <c r="AN242" i="80"/>
  <c r="AP242" i="80" s="1"/>
  <c r="EV242" i="80"/>
  <c r="EX242" i="80" s="1"/>
  <c r="AF242" i="80"/>
  <c r="AH242" i="80" s="1"/>
  <c r="CZ242" i="80"/>
  <c r="DB242" i="80" s="1"/>
  <c r="CR242" i="80"/>
  <c r="CT242" i="80" s="1"/>
  <c r="DP242" i="80"/>
  <c r="DR242" i="80" s="1"/>
  <c r="EN242" i="80"/>
  <c r="EP242" i="80" s="1"/>
  <c r="BD242" i="80"/>
  <c r="BF242" i="80" s="1"/>
  <c r="X242" i="80"/>
  <c r="Z242" i="80" s="1"/>
  <c r="BL242" i="80"/>
  <c r="BN242" i="80" s="1"/>
  <c r="FD242" i="80"/>
  <c r="FF242" i="80" s="1"/>
  <c r="CB242" i="80"/>
  <c r="CD242" i="80" s="1"/>
  <c r="DH242" i="80"/>
  <c r="DJ242" i="80" s="1"/>
  <c r="BT242" i="80"/>
  <c r="BV242" i="80" s="1"/>
  <c r="EF242" i="80"/>
  <c r="EH242" i="80" s="1"/>
  <c r="AV242" i="80"/>
  <c r="AX242" i="80" s="1"/>
  <c r="DX242" i="80"/>
  <c r="DZ242" i="80" s="1"/>
  <c r="CJ242" i="80"/>
  <c r="CL242" i="80" s="1"/>
  <c r="BF41" i="79"/>
  <c r="BF386" i="79" s="1"/>
  <c r="BV376" i="80"/>
  <c r="BV378" i="80" s="1"/>
  <c r="BV379" i="80" s="1"/>
  <c r="DJ376" i="80"/>
  <c r="DJ378" i="80" s="1"/>
  <c r="DJ379" i="80" s="1"/>
  <c r="DJ449" i="80" s="1"/>
  <c r="CT88" i="80"/>
  <c r="CT93" i="80" s="1"/>
  <c r="W1024" i="101"/>
  <c r="DZ43" i="79"/>
  <c r="DZ388" i="79" s="1"/>
  <c r="DX242" i="79"/>
  <c r="DZ242" i="79" s="1"/>
  <c r="CJ242" i="79"/>
  <c r="CL242" i="79" s="1"/>
  <c r="EV242" i="79"/>
  <c r="EX242" i="79" s="1"/>
  <c r="AF242" i="79"/>
  <c r="AH242" i="79" s="1"/>
  <c r="BT242" i="79"/>
  <c r="BV242" i="79" s="1"/>
  <c r="DH242" i="79"/>
  <c r="DJ242" i="79" s="1"/>
  <c r="AV242" i="79"/>
  <c r="AX242" i="79" s="1"/>
  <c r="CB242" i="79"/>
  <c r="CD242" i="79" s="1"/>
  <c r="X242" i="79"/>
  <c r="Z242" i="79" s="1"/>
  <c r="BL242" i="79"/>
  <c r="BN242" i="79" s="1"/>
  <c r="BD242" i="79"/>
  <c r="BF242" i="79" s="1"/>
  <c r="EN242" i="79"/>
  <c r="EP242" i="79" s="1"/>
  <c r="DP242" i="79"/>
  <c r="DR242" i="79" s="1"/>
  <c r="FL242" i="79"/>
  <c r="FN242" i="79" s="1"/>
  <c r="P242" i="79"/>
  <c r="R242" i="79" s="1"/>
  <c r="FD242" i="79"/>
  <c r="FF242" i="79" s="1"/>
  <c r="CZ242" i="79"/>
  <c r="DB242" i="79" s="1"/>
  <c r="EF242" i="79"/>
  <c r="EH242" i="79" s="1"/>
  <c r="AN242" i="79"/>
  <c r="AP242" i="79" s="1"/>
  <c r="CR242" i="79"/>
  <c r="CT242" i="79" s="1"/>
  <c r="DB376" i="80"/>
  <c r="DB378" i="80" s="1"/>
  <c r="DB379" i="80" s="1"/>
  <c r="DB449" i="80" s="1"/>
  <c r="EX46" i="80"/>
  <c r="EX391" i="80" s="1"/>
  <c r="EX437" i="80" s="1"/>
  <c r="CT88" i="79"/>
  <c r="CT93" i="79" s="1"/>
  <c r="DJ88" i="80"/>
  <c r="DJ93" i="80" s="1"/>
  <c r="BF88" i="80"/>
  <c r="BF93" i="80" s="1"/>
  <c r="Z105" i="79"/>
  <c r="AP88" i="80"/>
  <c r="AP93" i="80" s="1"/>
  <c r="BN376" i="79"/>
  <c r="BN378" i="79" s="1"/>
  <c r="BN379" i="79" s="1"/>
  <c r="BN449" i="79" s="1"/>
  <c r="R376" i="80"/>
  <c r="R378" i="80" s="1"/>
  <c r="R379" i="80" s="1"/>
  <c r="R449" i="80" s="1"/>
  <c r="DB42" i="80"/>
  <c r="DB387" i="80" s="1"/>
  <c r="EE379" i="80"/>
  <c r="Z38" i="79"/>
  <c r="CT376" i="79"/>
  <c r="CT378" i="79" s="1"/>
  <c r="CT379" i="79" s="1"/>
  <c r="CT449" i="79" s="1"/>
  <c r="AH46" i="79"/>
  <c r="AH437" i="79" s="1"/>
  <c r="Z45" i="79"/>
  <c r="Z390" i="79" s="1"/>
  <c r="CJ378" i="80"/>
  <c r="CJ379" i="80" s="1"/>
  <c r="CL376" i="80"/>
  <c r="CL378" i="80" s="1"/>
  <c r="CL379" i="80" s="1"/>
  <c r="CL449" i="80" s="1"/>
  <c r="BF376" i="79"/>
  <c r="BF378" i="79" s="1"/>
  <c r="BF379" i="79" s="1"/>
  <c r="AH376" i="80"/>
  <c r="AH378" i="80" s="1"/>
  <c r="AH379" i="80" s="1"/>
  <c r="AH449" i="80" s="1"/>
  <c r="AF378" i="80"/>
  <c r="AF379" i="80" s="1"/>
  <c r="BN48" i="80"/>
  <c r="BN393" i="80" s="1"/>
  <c r="DX378" i="80"/>
  <c r="DX379" i="80" s="1"/>
  <c r="DZ376" i="80"/>
  <c r="DZ378" i="80" s="1"/>
  <c r="DZ379" i="80" s="1"/>
  <c r="DZ449" i="80" s="1"/>
  <c r="BF48" i="80"/>
  <c r="BF393" i="80" s="1"/>
  <c r="AV378" i="80"/>
  <c r="AV379" i="80" s="1"/>
  <c r="AX376" i="80"/>
  <c r="AX378" i="80" s="1"/>
  <c r="AX379" i="80" s="1"/>
  <c r="AX449" i="80" s="1"/>
  <c r="AG449" i="79"/>
  <c r="EU379" i="80"/>
  <c r="I222" i="79"/>
  <c r="BU222" i="79" s="1"/>
  <c r="I222" i="80"/>
  <c r="Q222" i="80" s="1"/>
  <c r="I222" i="85"/>
  <c r="K123" i="90" s="1"/>
  <c r="I269" i="79"/>
  <c r="BU269" i="79" s="1"/>
  <c r="BU271" i="79" s="1"/>
  <c r="I269" i="85"/>
  <c r="K152" i="90" s="1"/>
  <c r="H19" i="31"/>
  <c r="I271" i="85" s="1"/>
  <c r="I269" i="80"/>
  <c r="FF449" i="79"/>
  <c r="FC379" i="79"/>
  <c r="Y449" i="79"/>
  <c r="W379" i="79"/>
  <c r="I219" i="79"/>
  <c r="I219" i="85"/>
  <c r="K120" i="90" s="1"/>
  <c r="I219" i="80"/>
  <c r="Q219" i="80" s="1"/>
  <c r="I224" i="80"/>
  <c r="Q224" i="80" s="1"/>
  <c r="I224" i="79"/>
  <c r="AW224" i="79" s="1"/>
  <c r="I224" i="85"/>
  <c r="K125" i="90" s="1"/>
  <c r="I225" i="79"/>
  <c r="AW225" i="79" s="1"/>
  <c r="I225" i="85"/>
  <c r="K126" i="90" s="1"/>
  <c r="I225" i="80"/>
  <c r="I220" i="80"/>
  <c r="Q220" i="80" s="1"/>
  <c r="I220" i="85"/>
  <c r="K121" i="90" s="1"/>
  <c r="I220" i="79"/>
  <c r="BU220" i="79" s="1"/>
  <c r="I39" i="79"/>
  <c r="AW39" i="79" s="1"/>
  <c r="AW50" i="79" s="1"/>
  <c r="F27" i="35"/>
  <c r="F27" i="82"/>
  <c r="I39" i="80"/>
  <c r="Q39" i="80" s="1"/>
  <c r="I39" i="85"/>
  <c r="K13" i="90" s="1"/>
  <c r="I50" i="13"/>
  <c r="T94" i="96"/>
  <c r="T115" i="96"/>
  <c r="T83" i="96"/>
  <c r="T50" i="96"/>
  <c r="T119" i="96"/>
  <c r="T120" i="96"/>
  <c r="T116" i="96"/>
  <c r="T78" i="96"/>
  <c r="T121" i="96"/>
  <c r="T117" i="96"/>
  <c r="T118" i="96"/>
  <c r="T60" i="96"/>
  <c r="S70" i="35"/>
  <c r="Q73" i="35"/>
  <c r="J39" i="85"/>
  <c r="L13" i="90" s="1"/>
  <c r="J39" i="79"/>
  <c r="G27" i="35"/>
  <c r="J39" i="80"/>
  <c r="G27" i="82"/>
  <c r="J50" i="13"/>
  <c r="H374" i="85"/>
  <c r="E84" i="35"/>
  <c r="FM449" i="79"/>
  <c r="AO449" i="79"/>
  <c r="I221" i="85"/>
  <c r="K122" i="90" s="1"/>
  <c r="I221" i="80"/>
  <c r="Q221" i="80" s="1"/>
  <c r="I221" i="79"/>
  <c r="I275" i="79"/>
  <c r="AW275" i="79" s="1"/>
  <c r="I275" i="85"/>
  <c r="K155" i="90" s="1"/>
  <c r="I275" i="80"/>
  <c r="Q275" i="80" s="1"/>
  <c r="CS449" i="80"/>
  <c r="CQ379" i="80"/>
  <c r="S27" i="35"/>
  <c r="Q37" i="35"/>
  <c r="V48" i="94"/>
  <c r="V71" i="94"/>
  <c r="W379" i="80"/>
  <c r="BF37" i="79"/>
  <c r="BF382" i="79" s="1"/>
  <c r="AG391" i="79"/>
  <c r="DZ48" i="79"/>
  <c r="DZ393" i="79" s="1"/>
  <c r="AE59" i="84"/>
  <c r="AE60" i="84" s="1"/>
  <c r="E60" i="84"/>
  <c r="AE66" i="84"/>
  <c r="AE67" i="84" s="1"/>
  <c r="DR48" i="79"/>
  <c r="DR393" i="79" s="1"/>
  <c r="CZ436" i="79"/>
  <c r="AP376" i="79"/>
  <c r="AP378" i="79" s="1"/>
  <c r="AP379" i="79" s="1"/>
  <c r="AP449" i="79" s="1"/>
  <c r="H148" i="207"/>
  <c r="L148" i="206"/>
  <c r="H148" i="206" s="1"/>
  <c r="N122" i="206"/>
  <c r="J122" i="206" s="1"/>
  <c r="J122" i="207"/>
  <c r="V255" i="100"/>
  <c r="N149" i="206"/>
  <c r="J149" i="206" s="1"/>
  <c r="J149" i="207"/>
  <c r="L149" i="206"/>
  <c r="M149" i="206"/>
  <c r="I149" i="206" s="1"/>
  <c r="I149" i="207"/>
  <c r="G133" i="206"/>
  <c r="G135" i="206" s="1"/>
  <c r="G122" i="203"/>
  <c r="N122" i="203"/>
  <c r="U1030" i="101"/>
  <c r="M122" i="203"/>
  <c r="I122" i="206"/>
  <c r="L148" i="203"/>
  <c r="AH42" i="79"/>
  <c r="AH387" i="79" s="1"/>
  <c r="EV434" i="79"/>
  <c r="BF42" i="79"/>
  <c r="BF387" i="79" s="1"/>
  <c r="BN42" i="80"/>
  <c r="BN387" i="80" s="1"/>
  <c r="DZ42" i="79"/>
  <c r="DZ387" i="79" s="1"/>
  <c r="DJ43" i="80"/>
  <c r="DJ388" i="80" s="1"/>
  <c r="AO292" i="79"/>
  <c r="AO298" i="79" s="1"/>
  <c r="AO315" i="79" s="1"/>
  <c r="AO331" i="79" s="1"/>
  <c r="DA292" i="79"/>
  <c r="DA298" i="79" s="1"/>
  <c r="DA315" i="79" s="1"/>
  <c r="DA331" i="79" s="1"/>
  <c r="EW292" i="79"/>
  <c r="EW298" i="79" s="1"/>
  <c r="EW315" i="79" s="1"/>
  <c r="EW331" i="79" s="1"/>
  <c r="FM292" i="79"/>
  <c r="FM298" i="79" s="1"/>
  <c r="FM315" i="79" s="1"/>
  <c r="FM331" i="79" s="1"/>
  <c r="BU292" i="79"/>
  <c r="BU298" i="79" s="1"/>
  <c r="BU315" i="79" s="1"/>
  <c r="BU331" i="79" s="1"/>
  <c r="Y292" i="79"/>
  <c r="Y298" i="79" s="1"/>
  <c r="Y315" i="79" s="1"/>
  <c r="Y331" i="79" s="1"/>
  <c r="DY292" i="79"/>
  <c r="DY298" i="79" s="1"/>
  <c r="DY315" i="79" s="1"/>
  <c r="DY331" i="79" s="1"/>
  <c r="AW292" i="79"/>
  <c r="AW298" i="79" s="1"/>
  <c r="AW315" i="79" s="1"/>
  <c r="AW331" i="79" s="1"/>
  <c r="AG292" i="79"/>
  <c r="AG298" i="79" s="1"/>
  <c r="AG315" i="79" s="1"/>
  <c r="AG331" i="79" s="1"/>
  <c r="FE292" i="79"/>
  <c r="FE298" i="79" s="1"/>
  <c r="FE315" i="79" s="1"/>
  <c r="FE331" i="79" s="1"/>
  <c r="CK292" i="79"/>
  <c r="CK298" i="79" s="1"/>
  <c r="CK315" i="79" s="1"/>
  <c r="CK331" i="79" s="1"/>
  <c r="CS292" i="79"/>
  <c r="CS298" i="79" s="1"/>
  <c r="CS315" i="79" s="1"/>
  <c r="CS331" i="79" s="1"/>
  <c r="CC292" i="79"/>
  <c r="CC298" i="79" s="1"/>
  <c r="CC315" i="79" s="1"/>
  <c r="CC331" i="79" s="1"/>
  <c r="Q292" i="79"/>
  <c r="Q298" i="79" s="1"/>
  <c r="Q315" i="79" s="1"/>
  <c r="Q331" i="79" s="1"/>
  <c r="EO292" i="79"/>
  <c r="EO298" i="79" s="1"/>
  <c r="EO315" i="79" s="1"/>
  <c r="EO331" i="79" s="1"/>
  <c r="EG292" i="79"/>
  <c r="EG298" i="79" s="1"/>
  <c r="EG315" i="79" s="1"/>
  <c r="EG331" i="79" s="1"/>
  <c r="DI292" i="79"/>
  <c r="DI298" i="79" s="1"/>
  <c r="DI315" i="79" s="1"/>
  <c r="DI331" i="79" s="1"/>
  <c r="BM292" i="79"/>
  <c r="BM298" i="79" s="1"/>
  <c r="BM315" i="79" s="1"/>
  <c r="BM331" i="79" s="1"/>
  <c r="DQ292" i="79"/>
  <c r="DQ298" i="79" s="1"/>
  <c r="DQ315" i="79" s="1"/>
  <c r="DQ331" i="79" s="1"/>
  <c r="BE292" i="79"/>
  <c r="BE298" i="79" s="1"/>
  <c r="BE315" i="79" s="1"/>
  <c r="BE331" i="79" s="1"/>
  <c r="I298" i="79"/>
  <c r="I315" i="79" s="1"/>
  <c r="I331" i="79" s="1"/>
  <c r="I298" i="85"/>
  <c r="I39" i="27"/>
  <c r="AW292" i="80"/>
  <c r="AW298" i="80" s="1"/>
  <c r="AW315" i="80" s="1"/>
  <c r="AW331" i="80" s="1"/>
  <c r="EG292" i="80"/>
  <c r="EG298" i="80" s="1"/>
  <c r="EG315" i="80" s="1"/>
  <c r="EG331" i="80" s="1"/>
  <c r="DQ292" i="80"/>
  <c r="DQ298" i="80" s="1"/>
  <c r="DQ315" i="80" s="1"/>
  <c r="DQ331" i="80" s="1"/>
  <c r="Q292" i="80"/>
  <c r="Q298" i="80" s="1"/>
  <c r="Q315" i="80" s="1"/>
  <c r="Q331" i="80" s="1"/>
  <c r="EO292" i="80"/>
  <c r="EO298" i="80" s="1"/>
  <c r="EO315" i="80" s="1"/>
  <c r="EO331" i="80" s="1"/>
  <c r="Y292" i="80"/>
  <c r="Y298" i="80" s="1"/>
  <c r="Y315" i="80" s="1"/>
  <c r="Y331" i="80" s="1"/>
  <c r="CS292" i="80"/>
  <c r="CS298" i="80" s="1"/>
  <c r="CS315" i="80" s="1"/>
  <c r="CS331" i="80" s="1"/>
  <c r="EW292" i="80"/>
  <c r="EW298" i="80" s="1"/>
  <c r="EW315" i="80" s="1"/>
  <c r="EW331" i="80" s="1"/>
  <c r="DA292" i="80"/>
  <c r="DA298" i="80" s="1"/>
  <c r="DA315" i="80" s="1"/>
  <c r="DA331" i="80" s="1"/>
  <c r="BU292" i="80"/>
  <c r="BU298" i="80" s="1"/>
  <c r="BU315" i="80" s="1"/>
  <c r="BU331" i="80" s="1"/>
  <c r="FE292" i="80"/>
  <c r="FE298" i="80" s="1"/>
  <c r="FE315" i="80" s="1"/>
  <c r="FE331" i="80" s="1"/>
  <c r="BM292" i="80"/>
  <c r="BM298" i="80" s="1"/>
  <c r="BM315" i="80" s="1"/>
  <c r="BM331" i="80" s="1"/>
  <c r="AG292" i="80"/>
  <c r="AG298" i="80" s="1"/>
  <c r="AG315" i="80" s="1"/>
  <c r="AG331" i="80" s="1"/>
  <c r="DY292" i="80"/>
  <c r="DY298" i="80" s="1"/>
  <c r="DY315" i="80" s="1"/>
  <c r="DY331" i="80" s="1"/>
  <c r="FM292" i="80"/>
  <c r="FM298" i="80" s="1"/>
  <c r="FM315" i="80" s="1"/>
  <c r="FM331" i="80" s="1"/>
  <c r="CC292" i="80"/>
  <c r="CC298" i="80" s="1"/>
  <c r="CC315" i="80" s="1"/>
  <c r="CC331" i="80" s="1"/>
  <c r="AO292" i="80"/>
  <c r="AO298" i="80" s="1"/>
  <c r="AO315" i="80" s="1"/>
  <c r="AO331" i="80" s="1"/>
  <c r="CK292" i="80"/>
  <c r="CK298" i="80" s="1"/>
  <c r="CK315" i="80" s="1"/>
  <c r="CK331" i="80" s="1"/>
  <c r="DI292" i="80"/>
  <c r="DI298" i="80" s="1"/>
  <c r="DI315" i="80" s="1"/>
  <c r="DI331" i="80" s="1"/>
  <c r="BE292" i="80"/>
  <c r="BE298" i="80" s="1"/>
  <c r="BE315" i="80" s="1"/>
  <c r="BE331" i="80" s="1"/>
  <c r="I298" i="80"/>
  <c r="I315" i="80" s="1"/>
  <c r="I331" i="80" s="1"/>
  <c r="H292" i="85"/>
  <c r="J162" i="90" s="1"/>
  <c r="H292" i="80"/>
  <c r="H292" i="79"/>
  <c r="H22" i="27"/>
  <c r="J298" i="85"/>
  <c r="J39" i="27"/>
  <c r="BF88" i="79"/>
  <c r="BF93" i="79" s="1"/>
  <c r="AP42" i="80"/>
  <c r="AP387" i="80" s="1"/>
  <c r="R111" i="79"/>
  <c r="AH105" i="79"/>
  <c r="CZ116" i="79"/>
  <c r="FF42" i="79"/>
  <c r="FF387" i="79" s="1"/>
  <c r="R43" i="79"/>
  <c r="R388" i="79" s="1"/>
  <c r="BN38" i="80"/>
  <c r="BN383" i="80" s="1"/>
  <c r="BN434" i="80" s="1"/>
  <c r="AP41" i="80"/>
  <c r="AP386" i="80" s="1"/>
  <c r="BT116" i="79"/>
  <c r="CJ383" i="79"/>
  <c r="AP46" i="80"/>
  <c r="AP391" i="80" s="1"/>
  <c r="AP437" i="80" s="1"/>
  <c r="DJ38" i="80"/>
  <c r="DJ383" i="80" s="1"/>
  <c r="DJ434" i="80" s="1"/>
  <c r="DZ37" i="79"/>
  <c r="DZ382" i="79" s="1"/>
  <c r="DR43" i="79"/>
  <c r="DR388" i="79" s="1"/>
  <c r="BT434" i="79"/>
  <c r="EX37" i="80"/>
  <c r="EX382" i="80" s="1"/>
  <c r="FF41" i="79"/>
  <c r="FF386" i="79" s="1"/>
  <c r="BT383" i="79"/>
  <c r="BF48" i="79"/>
  <c r="BF393" i="79" s="1"/>
  <c r="BN43" i="80"/>
  <c r="BN388" i="80" s="1"/>
  <c r="EV437" i="79"/>
  <c r="FF48" i="79"/>
  <c r="FF393" i="79" s="1"/>
  <c r="AH41" i="79"/>
  <c r="AH386" i="79" s="1"/>
  <c r="AX376" i="79"/>
  <c r="AX378" i="79" s="1"/>
  <c r="AX379" i="79" s="1"/>
  <c r="EX41" i="80"/>
  <c r="EX386" i="80" s="1"/>
  <c r="U255" i="100"/>
  <c r="AO391" i="79"/>
  <c r="DJ46" i="80"/>
  <c r="DJ391" i="80" s="1"/>
  <c r="DJ437" i="80" s="1"/>
  <c r="R105" i="79"/>
  <c r="R88" i="79"/>
  <c r="R93" i="79" s="1"/>
  <c r="DZ41" i="79"/>
  <c r="DZ386" i="79" s="1"/>
  <c r="AX38" i="79"/>
  <c r="AX383" i="79" s="1"/>
  <c r="AO116" i="79"/>
  <c r="AV383" i="79"/>
  <c r="BF46" i="80"/>
  <c r="BF391" i="80" s="1"/>
  <c r="BF437" i="80" s="1"/>
  <c r="Z37" i="80"/>
  <c r="Z382" i="80" s="1"/>
  <c r="CT37" i="79"/>
  <c r="CT382" i="79" s="1"/>
  <c r="R37" i="79"/>
  <c r="R382" i="79" s="1"/>
  <c r="AH376" i="79"/>
  <c r="AH378" i="79" s="1"/>
  <c r="AH379" i="79" s="1"/>
  <c r="AH449" i="79" s="1"/>
  <c r="Z88" i="79"/>
  <c r="Z93" i="79" s="1"/>
  <c r="R48" i="80"/>
  <c r="R393" i="80" s="1"/>
  <c r="FF43" i="79"/>
  <c r="FF388" i="79" s="1"/>
  <c r="Z38" i="80"/>
  <c r="Z383" i="80" s="1"/>
  <c r="Z434" i="80" s="1"/>
  <c r="EV390" i="79"/>
  <c r="BV436" i="79"/>
  <c r="AV390" i="79"/>
  <c r="AP45" i="80"/>
  <c r="AP390" i="80" s="1"/>
  <c r="AP436" i="80" s="1"/>
  <c r="CT42" i="80"/>
  <c r="CT387" i="80" s="1"/>
  <c r="EX42" i="80"/>
  <c r="EX387" i="80" s="1"/>
  <c r="BF45" i="80"/>
  <c r="BF390" i="80" s="1"/>
  <c r="BF436" i="80" s="1"/>
  <c r="T1021" i="101"/>
  <c r="AH43" i="79"/>
  <c r="AH388" i="79" s="1"/>
  <c r="DB45" i="80"/>
  <c r="DB390" i="80" s="1"/>
  <c r="DB436" i="80" s="1"/>
  <c r="FN88" i="79"/>
  <c r="FN93" i="79" s="1"/>
  <c r="AG116" i="79"/>
  <c r="Z111" i="79"/>
  <c r="Z46" i="79"/>
  <c r="Z437" i="79" s="1"/>
  <c r="Y116" i="79"/>
  <c r="EV116" i="79"/>
  <c r="AG436" i="79"/>
  <c r="BN41" i="80"/>
  <c r="BN386" i="80" s="1"/>
  <c r="BF37" i="80"/>
  <c r="BF382" i="80" s="1"/>
  <c r="Z41" i="80"/>
  <c r="Z386" i="80" s="1"/>
  <c r="AP37" i="80"/>
  <c r="AP382" i="80" s="1"/>
  <c r="DB38" i="80"/>
  <c r="DB383" i="80" s="1"/>
  <c r="DB434" i="80" s="1"/>
  <c r="FN37" i="79"/>
  <c r="FN382" i="79" s="1"/>
  <c r="AX48" i="79"/>
  <c r="AX393" i="79" s="1"/>
  <c r="Z43" i="79"/>
  <c r="Z388" i="79" s="1"/>
  <c r="DJ42" i="80"/>
  <c r="DJ387" i="80" s="1"/>
  <c r="Z42" i="79"/>
  <c r="Z387" i="79" s="1"/>
  <c r="EX45" i="80"/>
  <c r="EX390" i="80" s="1"/>
  <c r="EX436" i="80" s="1"/>
  <c r="CT43" i="79"/>
  <c r="CT388" i="79" s="1"/>
  <c r="AH45" i="79"/>
  <c r="AH436" i="79" s="1"/>
  <c r="AG434" i="79"/>
  <c r="AH38" i="79"/>
  <c r="AH434" i="79" s="1"/>
  <c r="CT48" i="80"/>
  <c r="CT393" i="80" s="1"/>
  <c r="DB37" i="80"/>
  <c r="DB382" i="80" s="1"/>
  <c r="DR41" i="79"/>
  <c r="DR386" i="79" s="1"/>
  <c r="BT390" i="79"/>
  <c r="EF116" i="79"/>
  <c r="CT41" i="79"/>
  <c r="CT386" i="79" s="1"/>
  <c r="R45" i="79"/>
  <c r="R390" i="79" s="1"/>
  <c r="R46" i="79"/>
  <c r="R437" i="79" s="1"/>
  <c r="W226" i="100"/>
  <c r="X226" i="100" s="1"/>
  <c r="AV437" i="79"/>
  <c r="FF88" i="79"/>
  <c r="FF93" i="79" s="1"/>
  <c r="DB41" i="80"/>
  <c r="DB386" i="80" s="1"/>
  <c r="FN38" i="79"/>
  <c r="FN434" i="79" s="1"/>
  <c r="EX88" i="80"/>
  <c r="EX93" i="80" s="1"/>
  <c r="T252" i="100"/>
  <c r="CT45" i="80"/>
  <c r="CT390" i="80" s="1"/>
  <c r="CT436" i="80" s="1"/>
  <c r="FF37" i="79"/>
  <c r="FF382" i="79" s="1"/>
  <c r="EX43" i="80"/>
  <c r="EX388" i="80" s="1"/>
  <c r="EX48" i="80"/>
  <c r="EX393" i="80" s="1"/>
  <c r="CT46" i="80"/>
  <c r="CT391" i="80" s="1"/>
  <c r="CT437" i="80" s="1"/>
  <c r="CT43" i="80"/>
  <c r="CT388" i="80" s="1"/>
  <c r="AH48" i="79"/>
  <c r="AH393" i="79" s="1"/>
  <c r="AP38" i="80"/>
  <c r="AP383" i="80" s="1"/>
  <c r="AP434" i="80" s="1"/>
  <c r="DB48" i="80"/>
  <c r="DB393" i="80" s="1"/>
  <c r="T254" i="100"/>
  <c r="L149" i="207" s="1"/>
  <c r="H149" i="207" s="1"/>
  <c r="BF43" i="79"/>
  <c r="BF388" i="79" s="1"/>
  <c r="R41" i="79"/>
  <c r="R386" i="79" s="1"/>
  <c r="BF43" i="80"/>
  <c r="BF388" i="80" s="1"/>
  <c r="FN46" i="79"/>
  <c r="FN437" i="79" s="1"/>
  <c r="V1030" i="101"/>
  <c r="CT391" i="79"/>
  <c r="BF41" i="80"/>
  <c r="BF386" i="80" s="1"/>
  <c r="Y382" i="79"/>
  <c r="BN45" i="80"/>
  <c r="BN390" i="80" s="1"/>
  <c r="BN436" i="80" s="1"/>
  <c r="Z48" i="79"/>
  <c r="Z393" i="79" s="1"/>
  <c r="AH111" i="79"/>
  <c r="Y436" i="79"/>
  <c r="Y390" i="79"/>
  <c r="Z48" i="80"/>
  <c r="Z393" i="80" s="1"/>
  <c r="Y383" i="79"/>
  <c r="Y434" i="79"/>
  <c r="BF38" i="80"/>
  <c r="BF383" i="80" s="1"/>
  <c r="BF434" i="80" s="1"/>
  <c r="Z41" i="79"/>
  <c r="Z386" i="79" s="1"/>
  <c r="BV88" i="79"/>
  <c r="BV93" i="79" s="1"/>
  <c r="AX111" i="79"/>
  <c r="Y437" i="79"/>
  <c r="Y391" i="79"/>
  <c r="Z43" i="80"/>
  <c r="Z388" i="80" s="1"/>
  <c r="BT436" i="79"/>
  <c r="BD116" i="79"/>
  <c r="CR116" i="79"/>
  <c r="DJ116" i="79"/>
  <c r="AX105" i="79"/>
  <c r="FN48" i="79"/>
  <c r="FN393" i="79" s="1"/>
  <c r="R48" i="79"/>
  <c r="R393" i="79" s="1"/>
  <c r="FN41" i="79"/>
  <c r="FN386" i="79" s="1"/>
  <c r="EX38" i="80"/>
  <c r="EX383" i="80" s="1"/>
  <c r="EX434" i="80" s="1"/>
  <c r="AO390" i="79"/>
  <c r="AO436" i="79"/>
  <c r="CT38" i="80"/>
  <c r="CT383" i="80" s="1"/>
  <c r="CT434" i="80" s="1"/>
  <c r="AV116" i="79"/>
  <c r="DP116" i="79"/>
  <c r="I65" i="79"/>
  <c r="I65" i="80"/>
  <c r="I65" i="85"/>
  <c r="K31" i="90" s="1"/>
  <c r="AO383" i="79"/>
  <c r="AO434" i="79"/>
  <c r="AN116" i="80"/>
  <c r="J148" i="80"/>
  <c r="J148" i="79"/>
  <c r="J148" i="85"/>
  <c r="L86" i="90" s="1"/>
  <c r="DZ88" i="79"/>
  <c r="DZ93" i="79" s="1"/>
  <c r="BV46" i="79"/>
  <c r="BV391" i="79" s="1"/>
  <c r="AX41" i="79"/>
  <c r="AX386" i="79" s="1"/>
  <c r="H65" i="85"/>
  <c r="J31" i="90" s="1"/>
  <c r="H65" i="79"/>
  <c r="H65" i="80"/>
  <c r="R42" i="79"/>
  <c r="R387" i="79" s="1"/>
  <c r="BN37" i="80"/>
  <c r="BN382" i="80" s="1"/>
  <c r="FN42" i="79"/>
  <c r="FN387" i="79" s="1"/>
  <c r="BT437" i="79"/>
  <c r="BN46" i="80"/>
  <c r="BN391" i="80" s="1"/>
  <c r="BN437" i="80" s="1"/>
  <c r="BN88" i="80"/>
  <c r="BN93" i="80" s="1"/>
  <c r="BV43" i="79"/>
  <c r="BV388" i="79" s="1"/>
  <c r="DB43" i="80"/>
  <c r="DB388" i="80" s="1"/>
  <c r="FN43" i="79"/>
  <c r="FN388" i="79" s="1"/>
  <c r="R41" i="80"/>
  <c r="R386" i="80" s="1"/>
  <c r="R38" i="79"/>
  <c r="R434" i="79" s="1"/>
  <c r="AH37" i="79"/>
  <c r="AH382" i="79" s="1"/>
  <c r="BL116" i="80"/>
  <c r="AP111" i="79"/>
  <c r="BV383" i="79"/>
  <c r="BV434" i="79"/>
  <c r="T1023" i="101"/>
  <c r="W1023" i="101" s="1"/>
  <c r="P116" i="79"/>
  <c r="T1022" i="101"/>
  <c r="W1022" i="101" s="1"/>
  <c r="CD41" i="80"/>
  <c r="CD386" i="80" s="1"/>
  <c r="T1028" i="101"/>
  <c r="L122" i="207" s="1"/>
  <c r="I411" i="80"/>
  <c r="Q17" i="80"/>
  <c r="EW17" i="80"/>
  <c r="EO17" i="80"/>
  <c r="EG17" i="80"/>
  <c r="CC17" i="80"/>
  <c r="DY17" i="80"/>
  <c r="FM17" i="80"/>
  <c r="Y17" i="80"/>
  <c r="FE17" i="80"/>
  <c r="AO17" i="80"/>
  <c r="AG17" i="80"/>
  <c r="DI17" i="80"/>
  <c r="BE17" i="80"/>
  <c r="AW17" i="80"/>
  <c r="BU17" i="80"/>
  <c r="BM17" i="80"/>
  <c r="DQ17" i="80"/>
  <c r="CS17" i="80"/>
  <c r="DA17" i="80"/>
  <c r="CK17" i="80"/>
  <c r="CR116" i="80"/>
  <c r="EV116" i="80"/>
  <c r="Q55" i="82"/>
  <c r="R55" i="82"/>
  <c r="BN105" i="80"/>
  <c r="BN116" i="80" s="1"/>
  <c r="H411" i="80"/>
  <c r="EV17" i="80"/>
  <c r="FL17" i="80"/>
  <c r="BT17" i="80"/>
  <c r="BD17" i="80"/>
  <c r="AN17" i="80"/>
  <c r="EN17" i="80"/>
  <c r="BL17" i="80"/>
  <c r="CZ17" i="80"/>
  <c r="P17" i="80"/>
  <c r="DP17" i="80"/>
  <c r="AV17" i="80"/>
  <c r="CJ17" i="80"/>
  <c r="FD17" i="80"/>
  <c r="AF17" i="80"/>
  <c r="DX17" i="80"/>
  <c r="EF17" i="80"/>
  <c r="X17" i="80"/>
  <c r="CR17" i="80"/>
  <c r="DH17" i="80"/>
  <c r="CB17" i="80"/>
  <c r="CT116" i="80"/>
  <c r="BV37" i="79"/>
  <c r="BV382" i="79" s="1"/>
  <c r="FN111" i="79"/>
  <c r="AP43" i="80"/>
  <c r="AP388" i="80" s="1"/>
  <c r="Z42" i="80"/>
  <c r="Z387" i="80" s="1"/>
  <c r="CZ116" i="80"/>
  <c r="I411" i="79"/>
  <c r="EW17" i="79"/>
  <c r="AO17" i="79"/>
  <c r="DA17" i="79"/>
  <c r="Y17" i="79"/>
  <c r="DQ17" i="79"/>
  <c r="FE17" i="79"/>
  <c r="BM17" i="79"/>
  <c r="CK17" i="79"/>
  <c r="EO17" i="79"/>
  <c r="FM17" i="79"/>
  <c r="EG17" i="79"/>
  <c r="CS17" i="79"/>
  <c r="BE17" i="79"/>
  <c r="CC17" i="79"/>
  <c r="AG17" i="79"/>
  <c r="DI17" i="79"/>
  <c r="Q17" i="79"/>
  <c r="DY17" i="79"/>
  <c r="AW17" i="79"/>
  <c r="BU17" i="79"/>
  <c r="X17" i="79"/>
  <c r="DH17" i="79"/>
  <c r="FL17" i="79"/>
  <c r="EN17" i="79"/>
  <c r="EF17" i="79"/>
  <c r="CJ17" i="79"/>
  <c r="CR17" i="79"/>
  <c r="BD17" i="79"/>
  <c r="H411" i="79"/>
  <c r="DP17" i="79"/>
  <c r="FD17" i="79"/>
  <c r="BL17" i="79"/>
  <c r="EV17" i="79"/>
  <c r="DX17" i="79"/>
  <c r="CB17" i="79"/>
  <c r="BT17" i="79"/>
  <c r="AF17" i="79"/>
  <c r="AN17" i="79"/>
  <c r="CZ17" i="79"/>
  <c r="P17" i="79"/>
  <c r="AV17" i="79"/>
  <c r="EN116" i="79"/>
  <c r="CD116" i="80"/>
  <c r="R55" i="35"/>
  <c r="Q55" i="35"/>
  <c r="FD116" i="80"/>
  <c r="FF111" i="80"/>
  <c r="FF116" i="80" s="1"/>
  <c r="EF116" i="80"/>
  <c r="EH105" i="80"/>
  <c r="EH116" i="80" s="1"/>
  <c r="CT105" i="79"/>
  <c r="CT116" i="79" s="1"/>
  <c r="BV116" i="79"/>
  <c r="DH116" i="79"/>
  <c r="X116" i="79"/>
  <c r="CB116" i="80"/>
  <c r="BD116" i="80"/>
  <c r="FL116" i="80"/>
  <c r="BN105" i="79"/>
  <c r="BN116" i="79" s="1"/>
  <c r="BL116" i="79"/>
  <c r="EP105" i="80"/>
  <c r="EP116" i="80" s="1"/>
  <c r="EN116" i="80"/>
  <c r="X116" i="80"/>
  <c r="FL116" i="79"/>
  <c r="AN116" i="79"/>
  <c r="AP105" i="79"/>
  <c r="DX116" i="79"/>
  <c r="DZ105" i="79"/>
  <c r="DZ116" i="79" s="1"/>
  <c r="EX105" i="80"/>
  <c r="EX116" i="80" s="1"/>
  <c r="AF116" i="80"/>
  <c r="AH105" i="80"/>
  <c r="AH116" i="80" s="1"/>
  <c r="P116" i="80"/>
  <c r="R105" i="80"/>
  <c r="R116" i="80" s="1"/>
  <c r="DB105" i="80"/>
  <c r="DB116" i="80" s="1"/>
  <c r="AV116" i="80"/>
  <c r="AX105" i="80"/>
  <c r="AX116" i="80" s="1"/>
  <c r="BF116" i="80"/>
  <c r="FD116" i="79"/>
  <c r="AF116" i="79"/>
  <c r="CJ116" i="80"/>
  <c r="CL105" i="80"/>
  <c r="CL116" i="80" s="1"/>
  <c r="DZ105" i="80"/>
  <c r="DZ116" i="80" s="1"/>
  <c r="DX116" i="80"/>
  <c r="Z116" i="80"/>
  <c r="BV105" i="80"/>
  <c r="BV116" i="80" s="1"/>
  <c r="BT116" i="80"/>
  <c r="DR105" i="79"/>
  <c r="DR116" i="79" s="1"/>
  <c r="CL88" i="80"/>
  <c r="CL93" i="80" s="1"/>
  <c r="CJ93" i="80"/>
  <c r="AF93" i="80"/>
  <c r="AH88" i="80"/>
  <c r="AH93" i="80" s="1"/>
  <c r="P93" i="80"/>
  <c r="R88" i="80"/>
  <c r="R93" i="80" s="1"/>
  <c r="AH88" i="79"/>
  <c r="AH93" i="79" s="1"/>
  <c r="DX93" i="80"/>
  <c r="DZ88" i="80"/>
  <c r="DZ93" i="80" s="1"/>
  <c r="BT93" i="80"/>
  <c r="BV88" i="80"/>
  <c r="BV93" i="80" s="1"/>
  <c r="BL93" i="79"/>
  <c r="BN88" i="79"/>
  <c r="BN93" i="79" s="1"/>
  <c r="AV93" i="80"/>
  <c r="AX88" i="80"/>
  <c r="AX93" i="80" s="1"/>
  <c r="AN93" i="79"/>
  <c r="AP88" i="79"/>
  <c r="AP93" i="79" s="1"/>
  <c r="DB88" i="80"/>
  <c r="DB93" i="80" s="1"/>
  <c r="FD93" i="80"/>
  <c r="FF88" i="80"/>
  <c r="FF93" i="80" s="1"/>
  <c r="DH93" i="79"/>
  <c r="DJ88" i="79"/>
  <c r="DJ93" i="79" s="1"/>
  <c r="Z88" i="80"/>
  <c r="Z93" i="80" s="1"/>
  <c r="DR88" i="79"/>
  <c r="DR93" i="79" s="1"/>
  <c r="EF93" i="80"/>
  <c r="EH88" i="80"/>
  <c r="EH93" i="80" s="1"/>
  <c r="EN93" i="80"/>
  <c r="EP88" i="80"/>
  <c r="EP93" i="80" s="1"/>
  <c r="CJ388" i="80"/>
  <c r="CL43" i="80"/>
  <c r="CL388" i="80" s="1"/>
  <c r="FL390" i="79"/>
  <c r="FL436" i="79"/>
  <c r="AN393" i="79"/>
  <c r="AP48" i="79"/>
  <c r="AP393" i="79" s="1"/>
  <c r="AV386" i="80"/>
  <c r="AX41" i="80"/>
  <c r="AX386" i="80" s="1"/>
  <c r="EN386" i="80"/>
  <c r="EP41" i="80"/>
  <c r="EP386" i="80" s="1"/>
  <c r="AV390" i="80"/>
  <c r="AV436" i="80" s="1"/>
  <c r="AX45" i="80"/>
  <c r="AX390" i="80" s="1"/>
  <c r="AX436" i="80" s="1"/>
  <c r="DX390" i="80"/>
  <c r="DX436" i="80" s="1"/>
  <c r="DZ45" i="80"/>
  <c r="DZ390" i="80" s="1"/>
  <c r="DZ436" i="80" s="1"/>
  <c r="FD391" i="80"/>
  <c r="FD437" i="80" s="1"/>
  <c r="FF46" i="80"/>
  <c r="FF391" i="80" s="1"/>
  <c r="FF437" i="80" s="1"/>
  <c r="FD383" i="79"/>
  <c r="FD434" i="79"/>
  <c r="DP383" i="79"/>
  <c r="DP434" i="79"/>
  <c r="FN45" i="79"/>
  <c r="FN390" i="79" s="1"/>
  <c r="CT436" i="79"/>
  <c r="DR37" i="79"/>
  <c r="DR382" i="79" s="1"/>
  <c r="CZ437" i="79"/>
  <c r="CB393" i="80"/>
  <c r="CD48" i="80"/>
  <c r="CD393" i="80" s="1"/>
  <c r="AH38" i="80"/>
  <c r="AH383" i="80" s="1"/>
  <c r="AH434" i="80" s="1"/>
  <c r="AF383" i="80"/>
  <c r="AF434" i="80" s="1"/>
  <c r="CD37" i="80"/>
  <c r="CD382" i="80" s="1"/>
  <c r="CB382" i="80"/>
  <c r="AF388" i="80"/>
  <c r="AH43" i="80"/>
  <c r="AH388" i="80" s="1"/>
  <c r="DX436" i="79"/>
  <c r="DX390" i="79"/>
  <c r="AN436" i="79"/>
  <c r="AP45" i="79"/>
  <c r="AN390" i="79"/>
  <c r="FD387" i="80"/>
  <c r="FF42" i="80"/>
  <c r="FF387" i="80" s="1"/>
  <c r="CB391" i="80"/>
  <c r="CB437" i="80" s="1"/>
  <c r="CD46" i="80"/>
  <c r="CD391" i="80" s="1"/>
  <c r="CD437" i="80" s="1"/>
  <c r="DX386" i="80"/>
  <c r="DZ41" i="80"/>
  <c r="DZ386" i="80" s="1"/>
  <c r="BT386" i="80"/>
  <c r="BV41" i="80"/>
  <c r="BV386" i="80" s="1"/>
  <c r="DZ45" i="79"/>
  <c r="AP46" i="79"/>
  <c r="AN437" i="79"/>
  <c r="AN391" i="79"/>
  <c r="AF391" i="80"/>
  <c r="AF437" i="80" s="1"/>
  <c r="AH46" i="80"/>
  <c r="AH391" i="80" s="1"/>
  <c r="AH437" i="80" s="1"/>
  <c r="P434" i="79"/>
  <c r="P383" i="79"/>
  <c r="AN383" i="79"/>
  <c r="AN434" i="79"/>
  <c r="AP38" i="79"/>
  <c r="CL48" i="80"/>
  <c r="CL393" i="80" s="1"/>
  <c r="CJ393" i="80"/>
  <c r="DX383" i="80"/>
  <c r="DX434" i="80" s="1"/>
  <c r="DZ38" i="80"/>
  <c r="DZ383" i="80" s="1"/>
  <c r="DZ434" i="80" s="1"/>
  <c r="EF382" i="80"/>
  <c r="EH37" i="80"/>
  <c r="EH382" i="80" s="1"/>
  <c r="BT388" i="80"/>
  <c r="BV43" i="80"/>
  <c r="BV388" i="80" s="1"/>
  <c r="BT391" i="80"/>
  <c r="BT437" i="80" s="1"/>
  <c r="BV46" i="80"/>
  <c r="BV391" i="80" s="1"/>
  <c r="BV437" i="80" s="1"/>
  <c r="DR38" i="79"/>
  <c r="DR434" i="79" s="1"/>
  <c r="FN376" i="79"/>
  <c r="FN378" i="79" s="1"/>
  <c r="FN379" i="79" s="1"/>
  <c r="FN449" i="79" s="1"/>
  <c r="DR42" i="79"/>
  <c r="DR387" i="79" s="1"/>
  <c r="FF38" i="79"/>
  <c r="FF383" i="79" s="1"/>
  <c r="DJ46" i="79"/>
  <c r="DH391" i="79"/>
  <c r="AV383" i="80"/>
  <c r="AV434" i="80" s="1"/>
  <c r="AX38" i="80"/>
  <c r="AX383" i="80" s="1"/>
  <c r="AX434" i="80" s="1"/>
  <c r="CR387" i="79"/>
  <c r="CT42" i="79"/>
  <c r="CT387" i="79" s="1"/>
  <c r="EN436" i="79"/>
  <c r="EN390" i="79"/>
  <c r="FD390" i="79"/>
  <c r="FD436" i="79"/>
  <c r="BN37" i="79"/>
  <c r="BN382" i="79" s="1"/>
  <c r="BL382" i="79"/>
  <c r="DH393" i="79"/>
  <c r="DJ48" i="79"/>
  <c r="DJ393" i="79" s="1"/>
  <c r="DH387" i="79"/>
  <c r="DJ42" i="79"/>
  <c r="DJ387" i="79" s="1"/>
  <c r="EN390" i="80"/>
  <c r="EN436" i="80" s="1"/>
  <c r="EP45" i="80"/>
  <c r="EP390" i="80" s="1"/>
  <c r="EP436" i="80" s="1"/>
  <c r="BT390" i="80"/>
  <c r="BT436" i="80" s="1"/>
  <c r="BV45" i="80"/>
  <c r="BV390" i="80" s="1"/>
  <c r="BV436" i="80" s="1"/>
  <c r="DX391" i="79"/>
  <c r="DX437" i="79"/>
  <c r="DH434" i="79"/>
  <c r="DH383" i="79"/>
  <c r="DJ38" i="79"/>
  <c r="EN383" i="79"/>
  <c r="EN434" i="79"/>
  <c r="DX434" i="79"/>
  <c r="DX383" i="79"/>
  <c r="AV393" i="80"/>
  <c r="AX48" i="80"/>
  <c r="AX393" i="80" s="1"/>
  <c r="EF393" i="80"/>
  <c r="EH48" i="80"/>
  <c r="EH393" i="80" s="1"/>
  <c r="BL387" i="79"/>
  <c r="BN42" i="79"/>
  <c r="BN387" i="79" s="1"/>
  <c r="EN382" i="80"/>
  <c r="EP37" i="80"/>
  <c r="EP382" i="80" s="1"/>
  <c r="FD437" i="79"/>
  <c r="FD391" i="79"/>
  <c r="FF48" i="80"/>
  <c r="FF393" i="80" s="1"/>
  <c r="BT383" i="80"/>
  <c r="BT434" i="80" s="1"/>
  <c r="BV38" i="80"/>
  <c r="BV383" i="80" s="1"/>
  <c r="BV434" i="80" s="1"/>
  <c r="AN387" i="79"/>
  <c r="AP42" i="79"/>
  <c r="AP387" i="79" s="1"/>
  <c r="CJ382" i="80"/>
  <c r="CL37" i="80"/>
  <c r="CL382" i="80" s="1"/>
  <c r="EN388" i="80"/>
  <c r="EP43" i="80"/>
  <c r="EP388" i="80" s="1"/>
  <c r="BN45" i="79"/>
  <c r="BL436" i="79"/>
  <c r="BL390" i="79"/>
  <c r="DP436" i="79"/>
  <c r="DP390" i="79"/>
  <c r="CL42" i="80"/>
  <c r="CL387" i="80" s="1"/>
  <c r="CJ387" i="80"/>
  <c r="EF387" i="80"/>
  <c r="EH42" i="80"/>
  <c r="EH387" i="80" s="1"/>
  <c r="P387" i="80"/>
  <c r="R42" i="80"/>
  <c r="R387" i="80" s="1"/>
  <c r="AN382" i="79"/>
  <c r="AP37" i="79"/>
  <c r="AP382" i="79" s="1"/>
  <c r="AN386" i="79"/>
  <c r="AP41" i="79"/>
  <c r="AP386" i="79" s="1"/>
  <c r="BL393" i="79"/>
  <c r="BN48" i="79"/>
  <c r="BN393" i="79" s="1"/>
  <c r="AF386" i="80"/>
  <c r="AH41" i="80"/>
  <c r="AH386" i="80" s="1"/>
  <c r="CJ386" i="80"/>
  <c r="CL41" i="80"/>
  <c r="CL386" i="80" s="1"/>
  <c r="CB390" i="80"/>
  <c r="CB436" i="80" s="1"/>
  <c r="CD45" i="80"/>
  <c r="CD390" i="80" s="1"/>
  <c r="CD436" i="80" s="1"/>
  <c r="FD390" i="80"/>
  <c r="FD436" i="80" s="1"/>
  <c r="FF45" i="80"/>
  <c r="FF390" i="80" s="1"/>
  <c r="FF436" i="80" s="1"/>
  <c r="BN46" i="79"/>
  <c r="BL437" i="79"/>
  <c r="BL391" i="79"/>
  <c r="X391" i="79"/>
  <c r="X437" i="79"/>
  <c r="AV391" i="80"/>
  <c r="AV437" i="80" s="1"/>
  <c r="AX46" i="80"/>
  <c r="AX391" i="80" s="1"/>
  <c r="AX437" i="80" s="1"/>
  <c r="DJ37" i="79"/>
  <c r="DJ382" i="79" s="1"/>
  <c r="DH382" i="79"/>
  <c r="BD434" i="79"/>
  <c r="BD383" i="79"/>
  <c r="CR434" i="79"/>
  <c r="CR383" i="79"/>
  <c r="CT38" i="79"/>
  <c r="AP48" i="80"/>
  <c r="AP393" i="80" s="1"/>
  <c r="AW116" i="79"/>
  <c r="EF388" i="80"/>
  <c r="EH43" i="80"/>
  <c r="EH388" i="80" s="1"/>
  <c r="DH436" i="79"/>
  <c r="DH390" i="79"/>
  <c r="DJ45" i="79"/>
  <c r="X436" i="79"/>
  <c r="X390" i="79"/>
  <c r="AF387" i="80"/>
  <c r="AH42" i="80"/>
  <c r="AH387" i="80" s="1"/>
  <c r="AV387" i="80"/>
  <c r="AX42" i="80"/>
  <c r="AX387" i="80" s="1"/>
  <c r="DH386" i="79"/>
  <c r="DJ41" i="79"/>
  <c r="DJ386" i="79" s="1"/>
  <c r="EF390" i="80"/>
  <c r="EF436" i="80" s="1"/>
  <c r="EH45" i="80"/>
  <c r="EH390" i="80" s="1"/>
  <c r="EH436" i="80" s="1"/>
  <c r="EF391" i="79"/>
  <c r="EF437" i="79"/>
  <c r="EN391" i="79"/>
  <c r="EN437" i="79"/>
  <c r="DX391" i="80"/>
  <c r="DX437" i="80" s="1"/>
  <c r="DZ46" i="80"/>
  <c r="DZ391" i="80" s="1"/>
  <c r="DZ437" i="80" s="1"/>
  <c r="X434" i="79"/>
  <c r="X383" i="79"/>
  <c r="AF434" i="79"/>
  <c r="AF383" i="79"/>
  <c r="DX393" i="80"/>
  <c r="DZ48" i="80"/>
  <c r="DZ393" i="80" s="1"/>
  <c r="BF42" i="80"/>
  <c r="BF387" i="80" s="1"/>
  <c r="AX42" i="79"/>
  <c r="AX387" i="79" s="1"/>
  <c r="FD383" i="80"/>
  <c r="FD434" i="80" s="1"/>
  <c r="FF38" i="80"/>
  <c r="FF383" i="80" s="1"/>
  <c r="FF434" i="80" s="1"/>
  <c r="CJ383" i="80"/>
  <c r="CJ434" i="80" s="1"/>
  <c r="CL38" i="80"/>
  <c r="CL383" i="80" s="1"/>
  <c r="CL434" i="80" s="1"/>
  <c r="P383" i="80"/>
  <c r="P434" i="80" s="1"/>
  <c r="R38" i="80"/>
  <c r="R383" i="80" s="1"/>
  <c r="R434" i="80" s="1"/>
  <c r="BT393" i="79"/>
  <c r="BV48" i="79"/>
  <c r="BV393" i="79" s="1"/>
  <c r="DX382" i="80"/>
  <c r="DZ37" i="80"/>
  <c r="DZ382" i="80" s="1"/>
  <c r="FD382" i="80"/>
  <c r="FF37" i="80"/>
  <c r="FF382" i="80" s="1"/>
  <c r="AV388" i="80"/>
  <c r="AX43" i="80"/>
  <c r="AX388" i="80" s="1"/>
  <c r="P388" i="80"/>
  <c r="R43" i="80"/>
  <c r="R388" i="80" s="1"/>
  <c r="BD436" i="79"/>
  <c r="BD390" i="79"/>
  <c r="CR436" i="79"/>
  <c r="CR390" i="79"/>
  <c r="DX387" i="80"/>
  <c r="DZ42" i="80"/>
  <c r="DZ387" i="80" s="1"/>
  <c r="BL388" i="79"/>
  <c r="BN43" i="79"/>
  <c r="BN388" i="79" s="1"/>
  <c r="FD386" i="80"/>
  <c r="FF41" i="80"/>
  <c r="FF386" i="80" s="1"/>
  <c r="CT37" i="80"/>
  <c r="CT382" i="80" s="1"/>
  <c r="FL437" i="79"/>
  <c r="FL391" i="79"/>
  <c r="P391" i="79"/>
  <c r="P437" i="79"/>
  <c r="EF391" i="80"/>
  <c r="EF437" i="80" s="1"/>
  <c r="EH46" i="80"/>
  <c r="EH391" i="80" s="1"/>
  <c r="EH437" i="80" s="1"/>
  <c r="FL434" i="79"/>
  <c r="FL383" i="79"/>
  <c r="EF383" i="80"/>
  <c r="EF434" i="80" s="1"/>
  <c r="EH38" i="80"/>
  <c r="EH383" i="80" s="1"/>
  <c r="EH434" i="80" s="1"/>
  <c r="AX37" i="80"/>
  <c r="AX382" i="80" s="1"/>
  <c r="AV382" i="80"/>
  <c r="P390" i="79"/>
  <c r="P436" i="79"/>
  <c r="AF390" i="79"/>
  <c r="AF436" i="79"/>
  <c r="BL386" i="79"/>
  <c r="BN41" i="79"/>
  <c r="BN386" i="79" s="1"/>
  <c r="CR393" i="79"/>
  <c r="CT48" i="79"/>
  <c r="CT393" i="79" s="1"/>
  <c r="R37" i="80"/>
  <c r="R382" i="80" s="1"/>
  <c r="AH45" i="80"/>
  <c r="AH390" i="80" s="1"/>
  <c r="AH436" i="80" s="1"/>
  <c r="AF390" i="80"/>
  <c r="AF436" i="80" s="1"/>
  <c r="P390" i="80"/>
  <c r="P436" i="80" s="1"/>
  <c r="R45" i="80"/>
  <c r="R390" i="80" s="1"/>
  <c r="R436" i="80" s="1"/>
  <c r="DP391" i="79"/>
  <c r="DP437" i="79"/>
  <c r="AF437" i="79"/>
  <c r="AF391" i="79"/>
  <c r="CJ391" i="80"/>
  <c r="CJ437" i="80" s="1"/>
  <c r="CL46" i="80"/>
  <c r="CL391" i="80" s="1"/>
  <c r="CL437" i="80" s="1"/>
  <c r="BT386" i="79"/>
  <c r="BV41" i="79"/>
  <c r="BV386" i="79" s="1"/>
  <c r="BN38" i="79"/>
  <c r="BL383" i="79"/>
  <c r="BL434" i="79"/>
  <c r="AF393" i="80"/>
  <c r="AH48" i="80"/>
  <c r="AH393" i="80" s="1"/>
  <c r="BT393" i="80"/>
  <c r="BV48" i="80"/>
  <c r="BV393" i="80" s="1"/>
  <c r="DB46" i="80"/>
  <c r="DB391" i="80" s="1"/>
  <c r="DB437" i="80" s="1"/>
  <c r="Z37" i="79"/>
  <c r="Z382" i="79" s="1"/>
  <c r="EN383" i="80"/>
  <c r="EN434" i="80" s="1"/>
  <c r="EP38" i="80"/>
  <c r="EP383" i="80" s="1"/>
  <c r="EP434" i="80" s="1"/>
  <c r="BT382" i="80"/>
  <c r="BV37" i="80"/>
  <c r="BV382" i="80" s="1"/>
  <c r="AF382" i="80"/>
  <c r="AH37" i="80"/>
  <c r="AH382" i="80" s="1"/>
  <c r="FD388" i="80"/>
  <c r="FF43" i="80"/>
  <c r="FF388" i="80" s="1"/>
  <c r="DX388" i="80"/>
  <c r="DZ43" i="80"/>
  <c r="DZ388" i="80" s="1"/>
  <c r="EF436" i="79"/>
  <c r="EF390" i="79"/>
  <c r="BT387" i="80"/>
  <c r="BV42" i="80"/>
  <c r="BV387" i="80" s="1"/>
  <c r="EN387" i="80"/>
  <c r="EP42" i="80"/>
  <c r="EP387" i="80" s="1"/>
  <c r="AN388" i="79"/>
  <c r="AP43" i="79"/>
  <c r="AP388" i="79" s="1"/>
  <c r="EF386" i="80"/>
  <c r="EH41" i="80"/>
  <c r="EH386" i="80" s="1"/>
  <c r="CJ390" i="80"/>
  <c r="CJ436" i="80" s="1"/>
  <c r="CL45" i="80"/>
  <c r="CL390" i="80" s="1"/>
  <c r="CL436" i="80" s="1"/>
  <c r="BD391" i="79"/>
  <c r="BD437" i="79"/>
  <c r="CR391" i="79"/>
  <c r="CR437" i="79"/>
  <c r="EN391" i="80"/>
  <c r="EN437" i="80" s="1"/>
  <c r="EP46" i="80"/>
  <c r="EP391" i="80" s="1"/>
  <c r="EP437" i="80" s="1"/>
  <c r="P391" i="80"/>
  <c r="P437" i="80" s="1"/>
  <c r="R46" i="80"/>
  <c r="R391" i="80" s="1"/>
  <c r="R437" i="80" s="1"/>
  <c r="EF383" i="79"/>
  <c r="EF434" i="79"/>
  <c r="EN393" i="80"/>
  <c r="EP48" i="80"/>
  <c r="EP393" i="80" s="1"/>
  <c r="DP378" i="80"/>
  <c r="DP379" i="80" s="1"/>
  <c r="DR376" i="80"/>
  <c r="DR378" i="80" s="1"/>
  <c r="DR379" i="80" s="1"/>
  <c r="DR449" i="80" s="1"/>
  <c r="DP93" i="80"/>
  <c r="DR88" i="80"/>
  <c r="DR93" i="80" s="1"/>
  <c r="AW93" i="79"/>
  <c r="AX88" i="79"/>
  <c r="AX93" i="79" s="1"/>
  <c r="DP391" i="80"/>
  <c r="DP437" i="80" s="1"/>
  <c r="DR46" i="80"/>
  <c r="DR391" i="80" s="1"/>
  <c r="DR437" i="80" s="1"/>
  <c r="AW390" i="79"/>
  <c r="AW436" i="79"/>
  <c r="DP388" i="80"/>
  <c r="DR43" i="80"/>
  <c r="DR388" i="80" s="1"/>
  <c r="DP383" i="80"/>
  <c r="DP434" i="80" s="1"/>
  <c r="DR38" i="80"/>
  <c r="DR383" i="80" s="1"/>
  <c r="DR434" i="80" s="1"/>
  <c r="CK45" i="79"/>
  <c r="CK42" i="79"/>
  <c r="CK111" i="79"/>
  <c r="CL111" i="79" s="1"/>
  <c r="CK376" i="79"/>
  <c r="CK48" i="79"/>
  <c r="CK43" i="79"/>
  <c r="CK37" i="79"/>
  <c r="CK88" i="79"/>
  <c r="CK110" i="79"/>
  <c r="CL110" i="79" s="1"/>
  <c r="CK105" i="79"/>
  <c r="CK38" i="79"/>
  <c r="CK41" i="79"/>
  <c r="CK46" i="79"/>
  <c r="AW437" i="79"/>
  <c r="AX46" i="79"/>
  <c r="AW391" i="79"/>
  <c r="DP116" i="80"/>
  <c r="DR105" i="80"/>
  <c r="DR116" i="80" s="1"/>
  <c r="FN376" i="80"/>
  <c r="FN378" i="80" s="1"/>
  <c r="FN379" i="80" s="1"/>
  <c r="FN48" i="80"/>
  <c r="FN393" i="80" s="1"/>
  <c r="FN43" i="80"/>
  <c r="FN388" i="80" s="1"/>
  <c r="FN41" i="80"/>
  <c r="FN386" i="80" s="1"/>
  <c r="FN37" i="80"/>
  <c r="FN382" i="80" s="1"/>
  <c r="FN46" i="80"/>
  <c r="FN391" i="80" s="1"/>
  <c r="FN437" i="80" s="1"/>
  <c r="FN105" i="80"/>
  <c r="FN38" i="80"/>
  <c r="FN383" i="80" s="1"/>
  <c r="FN434" i="80" s="1"/>
  <c r="FN88" i="80"/>
  <c r="FN93" i="80" s="1"/>
  <c r="FN110" i="80"/>
  <c r="FN111" i="80"/>
  <c r="FN42" i="80"/>
  <c r="FN387" i="80" s="1"/>
  <c r="FN45" i="80"/>
  <c r="FN390" i="80" s="1"/>
  <c r="FN436" i="80" s="1"/>
  <c r="DP393" i="80"/>
  <c r="DR48" i="80"/>
  <c r="DR393" i="80" s="1"/>
  <c r="AW383" i="79"/>
  <c r="AW434" i="79"/>
  <c r="DP387" i="80"/>
  <c r="DR42" i="80"/>
  <c r="DR387" i="80" s="1"/>
  <c r="AW382" i="79"/>
  <c r="DR45" i="80"/>
  <c r="DR390" i="80" s="1"/>
  <c r="DR436" i="80" s="1"/>
  <c r="DP390" i="80"/>
  <c r="DP436" i="80" s="1"/>
  <c r="DP382" i="80"/>
  <c r="DR37" i="80"/>
  <c r="DR382" i="80" s="1"/>
  <c r="DP386" i="80"/>
  <c r="DR41" i="80"/>
  <c r="DR386" i="80" s="1"/>
  <c r="AW388" i="79"/>
  <c r="AX43" i="79"/>
  <c r="AX388" i="79" s="1"/>
  <c r="AX45" i="79"/>
  <c r="CB386" i="79"/>
  <c r="CD41" i="79"/>
  <c r="CD386" i="79" s="1"/>
  <c r="CB387" i="79"/>
  <c r="CD42" i="79"/>
  <c r="CD387" i="79" s="1"/>
  <c r="FM116" i="79"/>
  <c r="FN105" i="79"/>
  <c r="Q378" i="79"/>
  <c r="Q379" i="79" s="1"/>
  <c r="R376" i="79"/>
  <c r="R378" i="79" s="1"/>
  <c r="R379" i="79" s="1"/>
  <c r="R449" i="79" s="1"/>
  <c r="CD45" i="79"/>
  <c r="CB390" i="79"/>
  <c r="CB436" i="79"/>
  <c r="FM390" i="79"/>
  <c r="FM436" i="79"/>
  <c r="Q116" i="79"/>
  <c r="CD37" i="79"/>
  <c r="CD382" i="79" s="1"/>
  <c r="CB382" i="79"/>
  <c r="EG105" i="79"/>
  <c r="EG376" i="79"/>
  <c r="EG38" i="79"/>
  <c r="EG37" i="79"/>
  <c r="EG41" i="79"/>
  <c r="EG46" i="79"/>
  <c r="EG48" i="79"/>
  <c r="EG43" i="79"/>
  <c r="EG42" i="79"/>
  <c r="EG45" i="79"/>
  <c r="EG110" i="79"/>
  <c r="EH110" i="79" s="1"/>
  <c r="EG88" i="79"/>
  <c r="EG111" i="79"/>
  <c r="EH111" i="79" s="1"/>
  <c r="CD46" i="79"/>
  <c r="CB391" i="79"/>
  <c r="CB437" i="79"/>
  <c r="EO46" i="79"/>
  <c r="EO105" i="79"/>
  <c r="EO88" i="79"/>
  <c r="EO45" i="79"/>
  <c r="EO43" i="79"/>
  <c r="EO38" i="79"/>
  <c r="EO48" i="79"/>
  <c r="EO42" i="79"/>
  <c r="EO111" i="79"/>
  <c r="EP111" i="79" s="1"/>
  <c r="EO37" i="79"/>
  <c r="EO110" i="79"/>
  <c r="EP110" i="79" s="1"/>
  <c r="EO376" i="79"/>
  <c r="EO41" i="79"/>
  <c r="Q383" i="79"/>
  <c r="Q434" i="79"/>
  <c r="DA110" i="79"/>
  <c r="DB110" i="79" s="1"/>
  <c r="DA105" i="79"/>
  <c r="DA111" i="79"/>
  <c r="DB111" i="79" s="1"/>
  <c r="DA38" i="79"/>
  <c r="DA88" i="79"/>
  <c r="DA41" i="79"/>
  <c r="DA43" i="79"/>
  <c r="DA37" i="79"/>
  <c r="DA376" i="79"/>
  <c r="DA42" i="79"/>
  <c r="DA48" i="79"/>
  <c r="DA46" i="79"/>
  <c r="DA45" i="79"/>
  <c r="CB93" i="79"/>
  <c r="CD88" i="79"/>
  <c r="CD93" i="79" s="1"/>
  <c r="Q390" i="79"/>
  <c r="Q436" i="79"/>
  <c r="CD105" i="79"/>
  <c r="CD116" i="79" s="1"/>
  <c r="CB116" i="79"/>
  <c r="FM437" i="79"/>
  <c r="FM391" i="79"/>
  <c r="CB393" i="79"/>
  <c r="CD48" i="79"/>
  <c r="CD393" i="79" s="1"/>
  <c r="CB388" i="79"/>
  <c r="CD43" i="79"/>
  <c r="CD388" i="79" s="1"/>
  <c r="FM434" i="79"/>
  <c r="FM383" i="79"/>
  <c r="EW43" i="79"/>
  <c r="EW105" i="79"/>
  <c r="EW46" i="79"/>
  <c r="EW37" i="79"/>
  <c r="EW88" i="79"/>
  <c r="EW38" i="79"/>
  <c r="EW41" i="79"/>
  <c r="EW111" i="79"/>
  <c r="EX111" i="79" s="1"/>
  <c r="EW45" i="79"/>
  <c r="EW110" i="79"/>
  <c r="EX110" i="79" s="1"/>
  <c r="EW48" i="79"/>
  <c r="EW376" i="79"/>
  <c r="EW42" i="79"/>
  <c r="Q391" i="79"/>
  <c r="Q437" i="79"/>
  <c r="CD38" i="79"/>
  <c r="CB383" i="79"/>
  <c r="CB434" i="79"/>
  <c r="CD376" i="79"/>
  <c r="CD378" i="79" s="1"/>
  <c r="CD379" i="79" s="1"/>
  <c r="CD449" i="79" s="1"/>
  <c r="CB378" i="79"/>
  <c r="CB379" i="79" s="1"/>
  <c r="CZ449" i="79"/>
  <c r="FF116" i="79"/>
  <c r="FF437" i="79"/>
  <c r="FF391" i="79"/>
  <c r="P87" i="98"/>
  <c r="M90" i="98"/>
  <c r="P89" i="98"/>
  <c r="BF437" i="79"/>
  <c r="BF391" i="79"/>
  <c r="DZ391" i="79"/>
  <c r="DZ437" i="79"/>
  <c r="BF383" i="79"/>
  <c r="BF434" i="79"/>
  <c r="DZ383" i="79"/>
  <c r="DZ434" i="79"/>
  <c r="DR437" i="79"/>
  <c r="DR391" i="79"/>
  <c r="P88" i="98"/>
  <c r="W253" i="100"/>
  <c r="BF116" i="79"/>
  <c r="BF436" i="79"/>
  <c r="BF390" i="79"/>
  <c r="W246" i="100"/>
  <c r="I148" i="196" s="1"/>
  <c r="AX382" i="79"/>
  <c r="W247" i="100"/>
  <c r="J148" i="196" s="1"/>
  <c r="G148" i="207" s="1"/>
  <c r="DR390" i="79"/>
  <c r="DR436" i="79"/>
  <c r="Z434" i="79"/>
  <c r="Z383" i="79"/>
  <c r="W245" i="100"/>
  <c r="T248" i="100"/>
  <c r="FF436" i="79"/>
  <c r="FF390" i="79"/>
  <c r="AP116" i="80"/>
  <c r="EV449" i="79"/>
  <c r="L122" i="196"/>
  <c r="K122" i="196" s="1"/>
  <c r="H133" i="196"/>
  <c r="K133" i="196"/>
  <c r="G135" i="196"/>
  <c r="J225" i="79" l="1"/>
  <c r="J225" i="85"/>
  <c r="L126" i="90" s="1"/>
  <c r="DH449" i="79"/>
  <c r="W71" i="94"/>
  <c r="J224" i="85"/>
  <c r="L125" i="90" s="1"/>
  <c r="J224" i="80"/>
  <c r="I148" i="79"/>
  <c r="BU224" i="79"/>
  <c r="BC379" i="80"/>
  <c r="BS379" i="79"/>
  <c r="U94" i="96"/>
  <c r="U117" i="96"/>
  <c r="U119" i="96"/>
  <c r="U60" i="96"/>
  <c r="U115" i="96"/>
  <c r="I148" i="80"/>
  <c r="CS219" i="80"/>
  <c r="BU39" i="79"/>
  <c r="BU384" i="79" s="1"/>
  <c r="BU394" i="79" s="1"/>
  <c r="Z116" i="79"/>
  <c r="U78" i="96"/>
  <c r="U118" i="96"/>
  <c r="U120" i="96"/>
  <c r="U50" i="96"/>
  <c r="U83" i="96"/>
  <c r="U116" i="96"/>
  <c r="AG224" i="79"/>
  <c r="BK379" i="80"/>
  <c r="CS221" i="80"/>
  <c r="J275" i="79"/>
  <c r="J275" i="85"/>
  <c r="L155" i="90" s="1"/>
  <c r="AM379" i="80"/>
  <c r="J221" i="79"/>
  <c r="J221" i="85"/>
  <c r="L122" i="90" s="1"/>
  <c r="AO224" i="79"/>
  <c r="Y224" i="79"/>
  <c r="J222" i="79"/>
  <c r="J222" i="85"/>
  <c r="L123" i="90" s="1"/>
  <c r="DW379" i="79"/>
  <c r="J220" i="79"/>
  <c r="J220" i="80"/>
  <c r="AG39" i="79"/>
  <c r="AG50" i="79" s="1"/>
  <c r="AG413" i="79" s="1"/>
  <c r="Y275" i="79"/>
  <c r="Z391" i="79"/>
  <c r="AG275" i="79"/>
  <c r="AG220" i="79"/>
  <c r="FC379" i="80"/>
  <c r="AW220" i="79"/>
  <c r="AG222" i="79"/>
  <c r="J219" i="80"/>
  <c r="J219" i="79"/>
  <c r="J269" i="79"/>
  <c r="J271" i="79" s="1"/>
  <c r="J269" i="80"/>
  <c r="J271" i="80" s="1"/>
  <c r="CA379" i="80"/>
  <c r="J269" i="85"/>
  <c r="L152" i="90" s="1"/>
  <c r="AH391" i="79"/>
  <c r="EM379" i="80"/>
  <c r="FM222" i="79"/>
  <c r="W156" i="94"/>
  <c r="W166" i="94" s="1"/>
  <c r="AW222" i="79"/>
  <c r="CS220" i="80"/>
  <c r="I122" i="203"/>
  <c r="M122" i="13"/>
  <c r="I122" i="13" s="1"/>
  <c r="I122" i="85" s="1"/>
  <c r="K68" i="90" s="1"/>
  <c r="M149" i="13"/>
  <c r="I149" i="13" s="1"/>
  <c r="I149" i="79" s="1"/>
  <c r="J122" i="203"/>
  <c r="N122" i="13"/>
  <c r="J122" i="13" s="1"/>
  <c r="J122" i="85" s="1"/>
  <c r="L68" i="90" s="1"/>
  <c r="N149" i="13"/>
  <c r="J149" i="13" s="1"/>
  <c r="J149" i="79" s="1"/>
  <c r="Z436" i="79"/>
  <c r="V156" i="94"/>
  <c r="V168" i="94" s="1"/>
  <c r="FM39" i="79"/>
  <c r="FM50" i="79" s="1"/>
  <c r="H148" i="203"/>
  <c r="L148" i="13"/>
  <c r="H148" i="13" s="1"/>
  <c r="DG379" i="80"/>
  <c r="BU275" i="79"/>
  <c r="AX434" i="79"/>
  <c r="Y39" i="79"/>
  <c r="Y435" i="79" s="1"/>
  <c r="Y438" i="79" s="1"/>
  <c r="Y439" i="79" s="1"/>
  <c r="Y448" i="79" s="1"/>
  <c r="BK379" i="79"/>
  <c r="DO379" i="79"/>
  <c r="O379" i="80"/>
  <c r="CY379" i="80"/>
  <c r="Y225" i="79"/>
  <c r="BU225" i="79"/>
  <c r="FM225" i="79"/>
  <c r="Y220" i="79"/>
  <c r="AG225" i="79"/>
  <c r="FM224" i="79"/>
  <c r="Y222" i="79"/>
  <c r="FM275" i="79"/>
  <c r="CS275" i="80"/>
  <c r="CS39" i="80"/>
  <c r="CS50" i="80" s="1"/>
  <c r="FM220" i="79"/>
  <c r="BV449" i="80"/>
  <c r="BS379" i="80"/>
  <c r="Y269" i="79"/>
  <c r="Y271" i="79" s="1"/>
  <c r="G133" i="203"/>
  <c r="G135" i="203" s="1"/>
  <c r="G122" i="13"/>
  <c r="G133" i="13" s="1"/>
  <c r="G135" i="13" s="1"/>
  <c r="AG39" i="80"/>
  <c r="FM39" i="80"/>
  <c r="AO39" i="80"/>
  <c r="EO39" i="80"/>
  <c r="DI39" i="80"/>
  <c r="BU39" i="80"/>
  <c r="EG39" i="80"/>
  <c r="BM39" i="80"/>
  <c r="Y39" i="80"/>
  <c r="EW39" i="80"/>
  <c r="DY39" i="80"/>
  <c r="CK39" i="80"/>
  <c r="DQ39" i="80"/>
  <c r="AW39" i="80"/>
  <c r="BE39" i="80"/>
  <c r="DA39" i="80"/>
  <c r="CC39" i="80"/>
  <c r="FE39" i="80"/>
  <c r="DI39" i="79"/>
  <c r="DQ39" i="79"/>
  <c r="BM39" i="79"/>
  <c r="FE39" i="79"/>
  <c r="DY39" i="79"/>
  <c r="CC39" i="79"/>
  <c r="BE39" i="79"/>
  <c r="CS39" i="79"/>
  <c r="CS224" i="80"/>
  <c r="AH383" i="79"/>
  <c r="R391" i="79"/>
  <c r="FM269" i="79"/>
  <c r="FM271" i="79" s="1"/>
  <c r="AW269" i="79"/>
  <c r="AW271" i="79" s="1"/>
  <c r="AG269" i="79"/>
  <c r="AG271" i="79" s="1"/>
  <c r="CS222" i="80"/>
  <c r="AO269" i="79"/>
  <c r="AO271" i="79" s="1"/>
  <c r="CQ379" i="79"/>
  <c r="AO275" i="79"/>
  <c r="AO222" i="79"/>
  <c r="AO225" i="79"/>
  <c r="AO220" i="79"/>
  <c r="AO39" i="79"/>
  <c r="AO221" i="79"/>
  <c r="CS225" i="80"/>
  <c r="Y219" i="79"/>
  <c r="CS269" i="80"/>
  <c r="CS271" i="80" s="1"/>
  <c r="CI379" i="80"/>
  <c r="CJ449" i="80"/>
  <c r="Q269" i="80"/>
  <c r="Q271" i="80" s="1"/>
  <c r="AG219" i="79"/>
  <c r="AU379" i="80"/>
  <c r="AV449" i="80"/>
  <c r="Q225" i="80"/>
  <c r="BU219" i="79"/>
  <c r="AW221" i="79"/>
  <c r="AO219" i="79"/>
  <c r="AE379" i="80"/>
  <c r="AF449" i="80"/>
  <c r="DX449" i="80"/>
  <c r="DW379" i="80"/>
  <c r="Y221" i="79"/>
  <c r="AM379" i="79"/>
  <c r="FM219" i="79"/>
  <c r="AW219" i="79"/>
  <c r="BU221" i="79"/>
  <c r="FM221" i="79"/>
  <c r="AG221" i="79"/>
  <c r="BF449" i="79"/>
  <c r="BC379" i="79"/>
  <c r="J384" i="79"/>
  <c r="J394" i="79" s="1"/>
  <c r="J435" i="79"/>
  <c r="J438" i="79" s="1"/>
  <c r="J439" i="79" s="1"/>
  <c r="J448" i="79" s="1"/>
  <c r="J50" i="79"/>
  <c r="J413" i="79" s="1"/>
  <c r="I435" i="79"/>
  <c r="I438" i="79" s="1"/>
  <c r="I439" i="79" s="1"/>
  <c r="I448" i="79" s="1"/>
  <c r="I384" i="79"/>
  <c r="I394" i="79" s="1"/>
  <c r="I50" i="79"/>
  <c r="I413" i="79" s="1"/>
  <c r="AE379" i="79"/>
  <c r="DI220" i="79"/>
  <c r="DQ220" i="79"/>
  <c r="BM220" i="79"/>
  <c r="CS220" i="79"/>
  <c r="BE220" i="79"/>
  <c r="FE220" i="79"/>
  <c r="CC220" i="79"/>
  <c r="DY220" i="79"/>
  <c r="BM225" i="79"/>
  <c r="DI225" i="79"/>
  <c r="DQ225" i="79"/>
  <c r="FE225" i="79"/>
  <c r="BE225" i="79"/>
  <c r="DY225" i="79"/>
  <c r="CC225" i="79"/>
  <c r="CS225" i="79"/>
  <c r="AO275" i="80"/>
  <c r="AG275" i="80"/>
  <c r="DI275" i="80"/>
  <c r="FM275" i="80"/>
  <c r="DY275" i="80"/>
  <c r="EO275" i="80"/>
  <c r="CC275" i="80"/>
  <c r="CK275" i="80"/>
  <c r="EG275" i="80"/>
  <c r="DA275" i="80"/>
  <c r="EW275" i="80"/>
  <c r="BU275" i="80"/>
  <c r="Y275" i="80"/>
  <c r="DQ275" i="80"/>
  <c r="FE275" i="80"/>
  <c r="AW275" i="80"/>
  <c r="BM275" i="80"/>
  <c r="BE275" i="80"/>
  <c r="G17" i="31"/>
  <c r="Q68" i="186"/>
  <c r="P68" i="186" s="1"/>
  <c r="H39" i="206"/>
  <c r="H50" i="206" s="1"/>
  <c r="H39" i="207"/>
  <c r="H50" i="207" s="1"/>
  <c r="H39" i="13"/>
  <c r="H39" i="203"/>
  <c r="H50" i="203" s="1"/>
  <c r="L209" i="187"/>
  <c r="K209" i="187" s="1"/>
  <c r="N99" i="98"/>
  <c r="M99" i="98" s="1"/>
  <c r="G23" i="31"/>
  <c r="H60" i="26"/>
  <c r="U178" i="94"/>
  <c r="H61" i="26"/>
  <c r="H64" i="26"/>
  <c r="H65" i="26"/>
  <c r="H62" i="26"/>
  <c r="E386" i="85"/>
  <c r="T605" i="96"/>
  <c r="M1020" i="101"/>
  <c r="L1020" i="101" s="1"/>
  <c r="H59" i="26"/>
  <c r="L236" i="100"/>
  <c r="K236" i="100" s="1"/>
  <c r="I271" i="79"/>
  <c r="DQ269" i="79"/>
  <c r="DQ271" i="79" s="1"/>
  <c r="BM269" i="79"/>
  <c r="BM271" i="79" s="1"/>
  <c r="DI269" i="79"/>
  <c r="DI271" i="79" s="1"/>
  <c r="DY269" i="79"/>
  <c r="DY271" i="79" s="1"/>
  <c r="BE269" i="79"/>
  <c r="BE271" i="79" s="1"/>
  <c r="FE269" i="79"/>
  <c r="FE271" i="79" s="1"/>
  <c r="CC269" i="79"/>
  <c r="CC271" i="79" s="1"/>
  <c r="CS269" i="79"/>
  <c r="CS271" i="79" s="1"/>
  <c r="I50" i="85"/>
  <c r="FM220" i="80"/>
  <c r="AG220" i="80"/>
  <c r="EO220" i="80"/>
  <c r="DI220" i="80"/>
  <c r="AO220" i="80"/>
  <c r="BM220" i="80"/>
  <c r="Y220" i="80"/>
  <c r="DQ220" i="80"/>
  <c r="DA220" i="80"/>
  <c r="BE220" i="80"/>
  <c r="DY220" i="80"/>
  <c r="AW220" i="80"/>
  <c r="FE220" i="80"/>
  <c r="CK220" i="80"/>
  <c r="EG220" i="80"/>
  <c r="EW220" i="80"/>
  <c r="CC220" i="80"/>
  <c r="BU220" i="80"/>
  <c r="BM224" i="79"/>
  <c r="DQ224" i="79"/>
  <c r="DI224" i="79"/>
  <c r="BE224" i="79"/>
  <c r="CS224" i="79"/>
  <c r="FE224" i="79"/>
  <c r="CC224" i="79"/>
  <c r="DY224" i="79"/>
  <c r="BM275" i="79"/>
  <c r="DQ275" i="79"/>
  <c r="DI275" i="79"/>
  <c r="CC275" i="79"/>
  <c r="FE275" i="79"/>
  <c r="DY275" i="79"/>
  <c r="CS275" i="79"/>
  <c r="BE275" i="79"/>
  <c r="FK379" i="79"/>
  <c r="J50" i="85"/>
  <c r="EO224" i="80"/>
  <c r="AG224" i="80"/>
  <c r="FM224" i="80"/>
  <c r="DI224" i="80"/>
  <c r="AO224" i="80"/>
  <c r="BE224" i="80"/>
  <c r="FE224" i="80"/>
  <c r="Y224" i="80"/>
  <c r="AW224" i="80"/>
  <c r="EW224" i="80"/>
  <c r="CK224" i="80"/>
  <c r="CC224" i="80"/>
  <c r="DY224" i="80"/>
  <c r="BU224" i="80"/>
  <c r="EG224" i="80"/>
  <c r="DA224" i="80"/>
  <c r="DQ224" i="80"/>
  <c r="BM224" i="80"/>
  <c r="FM222" i="80"/>
  <c r="EO222" i="80"/>
  <c r="AG222" i="80"/>
  <c r="AO222" i="80"/>
  <c r="DI222" i="80"/>
  <c r="AW222" i="80"/>
  <c r="FE222" i="80"/>
  <c r="DA222" i="80"/>
  <c r="BU222" i="80"/>
  <c r="CK222" i="80"/>
  <c r="DQ222" i="80"/>
  <c r="BM222" i="80"/>
  <c r="DY222" i="80"/>
  <c r="EG222" i="80"/>
  <c r="CC222" i="80"/>
  <c r="BE222" i="80"/>
  <c r="Y222" i="80"/>
  <c r="EW222" i="80"/>
  <c r="Q449" i="79"/>
  <c r="Q225" i="79" s="1"/>
  <c r="O379" i="79"/>
  <c r="Q38" i="35"/>
  <c r="S37" i="35"/>
  <c r="Q57" i="35"/>
  <c r="S57" i="35" s="1"/>
  <c r="DQ221" i="79"/>
  <c r="BM221" i="79"/>
  <c r="DI221" i="79"/>
  <c r="FE221" i="79"/>
  <c r="DY221" i="79"/>
  <c r="BE221" i="79"/>
  <c r="CS221" i="79"/>
  <c r="CC221" i="79"/>
  <c r="G70" i="82"/>
  <c r="G73" i="82" s="1"/>
  <c r="G74" i="82" s="1"/>
  <c r="G83" i="82" s="1"/>
  <c r="G37" i="82"/>
  <c r="Q74" i="35"/>
  <c r="S73" i="35"/>
  <c r="I384" i="80"/>
  <c r="I50" i="80"/>
  <c r="DI219" i="80"/>
  <c r="FM219" i="80"/>
  <c r="CC219" i="80"/>
  <c r="AO219" i="80"/>
  <c r="EO219" i="80"/>
  <c r="DY219" i="80"/>
  <c r="AG219" i="80"/>
  <c r="Y219" i="80"/>
  <c r="FE219" i="80"/>
  <c r="EW219" i="80"/>
  <c r="CK219" i="80"/>
  <c r="EG219" i="80"/>
  <c r="AW219" i="80"/>
  <c r="BM219" i="80"/>
  <c r="BE219" i="80"/>
  <c r="BU219" i="80"/>
  <c r="DA219" i="80"/>
  <c r="DQ219" i="80"/>
  <c r="DI222" i="79"/>
  <c r="FE222" i="79"/>
  <c r="BM222" i="79"/>
  <c r="DQ222" i="79"/>
  <c r="CS222" i="79"/>
  <c r="BE222" i="79"/>
  <c r="DY222" i="79"/>
  <c r="CC222" i="79"/>
  <c r="AO221" i="80"/>
  <c r="AG221" i="80"/>
  <c r="EO221" i="80"/>
  <c r="FM221" i="80"/>
  <c r="DI221" i="80"/>
  <c r="DQ221" i="80"/>
  <c r="EW221" i="80"/>
  <c r="AW221" i="80"/>
  <c r="BM221" i="80"/>
  <c r="CC221" i="80"/>
  <c r="BU221" i="80"/>
  <c r="CK221" i="80"/>
  <c r="Y221" i="80"/>
  <c r="DA221" i="80"/>
  <c r="DY221" i="80"/>
  <c r="EG221" i="80"/>
  <c r="FE221" i="80"/>
  <c r="BE221" i="80"/>
  <c r="J384" i="80"/>
  <c r="J50" i="80"/>
  <c r="F70" i="82"/>
  <c r="F73" i="82" s="1"/>
  <c r="F74" i="82" s="1"/>
  <c r="F83" i="82" s="1"/>
  <c r="F37" i="82"/>
  <c r="FN449" i="80"/>
  <c r="FK379" i="80"/>
  <c r="AX449" i="79"/>
  <c r="AU379" i="79"/>
  <c r="G70" i="35"/>
  <c r="G73" i="35" s="1"/>
  <c r="G37" i="35"/>
  <c r="T585" i="96"/>
  <c r="F70" i="35"/>
  <c r="F73" i="35" s="1"/>
  <c r="F83" i="35" s="1"/>
  <c r="F37" i="35"/>
  <c r="EO225" i="80"/>
  <c r="AO225" i="80"/>
  <c r="DI225" i="80"/>
  <c r="FM225" i="80"/>
  <c r="AG225" i="80"/>
  <c r="DA225" i="80"/>
  <c r="BM225" i="80"/>
  <c r="EW225" i="80"/>
  <c r="BE225" i="80"/>
  <c r="CK225" i="80"/>
  <c r="DY225" i="80"/>
  <c r="EG225" i="80"/>
  <c r="BU225" i="80"/>
  <c r="DQ225" i="80"/>
  <c r="Y225" i="80"/>
  <c r="CC225" i="80"/>
  <c r="AW225" i="80"/>
  <c r="FE225" i="80"/>
  <c r="BM219" i="79"/>
  <c r="DI219" i="79"/>
  <c r="DQ219" i="79"/>
  <c r="CC219" i="79"/>
  <c r="CS219" i="79"/>
  <c r="DY219" i="79"/>
  <c r="BE219" i="79"/>
  <c r="FE219" i="79"/>
  <c r="I271" i="80"/>
  <c r="EO269" i="80"/>
  <c r="EO271" i="80" s="1"/>
  <c r="FM269" i="80"/>
  <c r="FM271" i="80" s="1"/>
  <c r="AG269" i="80"/>
  <c r="AG271" i="80" s="1"/>
  <c r="DI269" i="80"/>
  <c r="DI271" i="80" s="1"/>
  <c r="AO269" i="80"/>
  <c r="AO271" i="80" s="1"/>
  <c r="CC269" i="80"/>
  <c r="CC271" i="80" s="1"/>
  <c r="Y269" i="80"/>
  <c r="Y271" i="80" s="1"/>
  <c r="BU269" i="80"/>
  <c r="BU271" i="80" s="1"/>
  <c r="EG269" i="80"/>
  <c r="EG271" i="80" s="1"/>
  <c r="BE269" i="80"/>
  <c r="BE271" i="80" s="1"/>
  <c r="AW269" i="80"/>
  <c r="AW271" i="80" s="1"/>
  <c r="DA269" i="80"/>
  <c r="DA271" i="80" s="1"/>
  <c r="BM269" i="80"/>
  <c r="BM271" i="80" s="1"/>
  <c r="EW269" i="80"/>
  <c r="EW271" i="80" s="1"/>
  <c r="DY269" i="80"/>
  <c r="DY271" i="80" s="1"/>
  <c r="DQ269" i="80"/>
  <c r="DQ271" i="80" s="1"/>
  <c r="FE269" i="80"/>
  <c r="FE271" i="80" s="1"/>
  <c r="CK269" i="80"/>
  <c r="CK271" i="80" s="1"/>
  <c r="AH390" i="79"/>
  <c r="M128" i="207"/>
  <c r="I128" i="207" s="1"/>
  <c r="N128" i="207"/>
  <c r="J128" i="207" s="1"/>
  <c r="L128" i="207"/>
  <c r="H128" i="207" s="1"/>
  <c r="M128" i="206"/>
  <c r="I128" i="206" s="1"/>
  <c r="N128" i="206"/>
  <c r="J128" i="206" s="1"/>
  <c r="G148" i="206"/>
  <c r="G156" i="207"/>
  <c r="G158" i="207" s="1"/>
  <c r="G161" i="207" s="1"/>
  <c r="B77" i="36" s="1"/>
  <c r="L128" i="206"/>
  <c r="H128" i="206" s="1"/>
  <c r="M128" i="203"/>
  <c r="N128" i="203"/>
  <c r="L149" i="203"/>
  <c r="H149" i="206"/>
  <c r="L128" i="203"/>
  <c r="FN436" i="79"/>
  <c r="T1027" i="101"/>
  <c r="DR383" i="79"/>
  <c r="R116" i="79"/>
  <c r="E22" i="7"/>
  <c r="I331" i="85" s="1"/>
  <c r="I315" i="85"/>
  <c r="H298" i="85"/>
  <c r="H39" i="27"/>
  <c r="EV292" i="79"/>
  <c r="AF292" i="79"/>
  <c r="FL292" i="79"/>
  <c r="BL292" i="79"/>
  <c r="P292" i="79"/>
  <c r="AN292" i="79"/>
  <c r="DP292" i="79"/>
  <c r="CR292" i="79"/>
  <c r="DH292" i="79"/>
  <c r="BD292" i="79"/>
  <c r="CJ292" i="79"/>
  <c r="CB292" i="79"/>
  <c r="BT292" i="79"/>
  <c r="FD292" i="79"/>
  <c r="CZ292" i="79"/>
  <c r="DX292" i="79"/>
  <c r="AV292" i="79"/>
  <c r="EN292" i="79"/>
  <c r="EF292" i="79"/>
  <c r="X292" i="79"/>
  <c r="H298" i="79"/>
  <c r="H315" i="79" s="1"/>
  <c r="H331" i="79" s="1"/>
  <c r="BD292" i="80"/>
  <c r="AV292" i="80"/>
  <c r="AF292" i="80"/>
  <c r="BT292" i="80"/>
  <c r="DP292" i="80"/>
  <c r="CB292" i="80"/>
  <c r="EN292" i="80"/>
  <c r="AN292" i="80"/>
  <c r="EF292" i="80"/>
  <c r="FL292" i="80"/>
  <c r="X292" i="80"/>
  <c r="EV292" i="80"/>
  <c r="DX292" i="80"/>
  <c r="CJ292" i="80"/>
  <c r="DH292" i="80"/>
  <c r="CR292" i="80"/>
  <c r="P292" i="80"/>
  <c r="BL292" i="80"/>
  <c r="CZ292" i="80"/>
  <c r="FD292" i="80"/>
  <c r="H298" i="80"/>
  <c r="H315" i="80" s="1"/>
  <c r="H331" i="80" s="1"/>
  <c r="F22" i="7"/>
  <c r="J331" i="85" s="1"/>
  <c r="J315" i="85"/>
  <c r="AH116" i="79"/>
  <c r="W252" i="100"/>
  <c r="AX116" i="79"/>
  <c r="FN391" i="79"/>
  <c r="FN383" i="79"/>
  <c r="BV437" i="79"/>
  <c r="R383" i="79"/>
  <c r="R436" i="79"/>
  <c r="T255" i="100"/>
  <c r="AP116" i="79"/>
  <c r="W254" i="100"/>
  <c r="FN116" i="79"/>
  <c r="T1026" i="101"/>
  <c r="FF434" i="79"/>
  <c r="FD65" i="79"/>
  <c r="BL65" i="79"/>
  <c r="CR65" i="79"/>
  <c r="FL65" i="79"/>
  <c r="DX65" i="79"/>
  <c r="CJ65" i="79"/>
  <c r="EV65" i="79"/>
  <c r="AV65" i="79"/>
  <c r="X65" i="79"/>
  <c r="CZ65" i="79"/>
  <c r="BD65" i="79"/>
  <c r="P65" i="79"/>
  <c r="EN65" i="79"/>
  <c r="AF65" i="79"/>
  <c r="DP65" i="79"/>
  <c r="AN65" i="79"/>
  <c r="DH65" i="79"/>
  <c r="CB65" i="79"/>
  <c r="BT65" i="79"/>
  <c r="EF65" i="79"/>
  <c r="AN65" i="80"/>
  <c r="CZ65" i="80"/>
  <c r="CJ65" i="80"/>
  <c r="DP65" i="80"/>
  <c r="EF65" i="80"/>
  <c r="BD65" i="80"/>
  <c r="CR65" i="80"/>
  <c r="BL65" i="80"/>
  <c r="X65" i="80"/>
  <c r="DX65" i="80"/>
  <c r="EV65" i="80"/>
  <c r="EN65" i="80"/>
  <c r="FD65" i="80"/>
  <c r="CB65" i="80"/>
  <c r="FL65" i="80"/>
  <c r="DH65" i="80"/>
  <c r="P65" i="80"/>
  <c r="AF65" i="80"/>
  <c r="BT65" i="80"/>
  <c r="AV65" i="80"/>
  <c r="AO65" i="80"/>
  <c r="AW65" i="80"/>
  <c r="Q65" i="80"/>
  <c r="BE65" i="80"/>
  <c r="CS65" i="80"/>
  <c r="BM65" i="80"/>
  <c r="EG65" i="80"/>
  <c r="DY65" i="80"/>
  <c r="EW65" i="80"/>
  <c r="FE65" i="80"/>
  <c r="Y65" i="80"/>
  <c r="EO65" i="80"/>
  <c r="AG65" i="80"/>
  <c r="BU65" i="80"/>
  <c r="CC65" i="80"/>
  <c r="FM65" i="80"/>
  <c r="DA65" i="80"/>
  <c r="DI65" i="80"/>
  <c r="CK65" i="80"/>
  <c r="DQ65" i="80"/>
  <c r="CK65" i="79"/>
  <c r="EO65" i="79"/>
  <c r="BU65" i="79"/>
  <c r="DA65" i="79"/>
  <c r="FE65" i="79"/>
  <c r="CS65" i="79"/>
  <c r="AG65" i="79"/>
  <c r="DY65" i="79"/>
  <c r="EG65" i="79"/>
  <c r="CC65" i="79"/>
  <c r="DQ65" i="79"/>
  <c r="FM65" i="79"/>
  <c r="AO65" i="79"/>
  <c r="AW65" i="79"/>
  <c r="BM65" i="79"/>
  <c r="Y65" i="79"/>
  <c r="DI65" i="79"/>
  <c r="BE65" i="79"/>
  <c r="EW65" i="79"/>
  <c r="Q65" i="79"/>
  <c r="S55" i="35"/>
  <c r="CB411" i="79"/>
  <c r="CD17" i="79"/>
  <c r="CR411" i="79"/>
  <c r="CT17" i="79"/>
  <c r="BU411" i="79"/>
  <c r="CS411" i="79"/>
  <c r="Y411" i="79"/>
  <c r="DH411" i="80"/>
  <c r="DJ17" i="80"/>
  <c r="AX17" i="80"/>
  <c r="AV411" i="80"/>
  <c r="BT411" i="80"/>
  <c r="BV17" i="80"/>
  <c r="AW411" i="80"/>
  <c r="DY411" i="80"/>
  <c r="DZ17" i="79"/>
  <c r="DX411" i="79"/>
  <c r="CJ411" i="79"/>
  <c r="CL17" i="79"/>
  <c r="AW411" i="79"/>
  <c r="EG411" i="79"/>
  <c r="DA411" i="79"/>
  <c r="CR411" i="80"/>
  <c r="CT17" i="80"/>
  <c r="DP411" i="80"/>
  <c r="DR17" i="80"/>
  <c r="FL411" i="80"/>
  <c r="FN17" i="80"/>
  <c r="S55" i="82"/>
  <c r="BE411" i="80"/>
  <c r="CC411" i="80"/>
  <c r="AV411" i="79"/>
  <c r="AX17" i="79"/>
  <c r="EV411" i="79"/>
  <c r="EX17" i="79"/>
  <c r="EF411" i="79"/>
  <c r="EH17" i="79"/>
  <c r="DY411" i="79"/>
  <c r="FM411" i="79"/>
  <c r="AO411" i="79"/>
  <c r="Z17" i="80"/>
  <c r="X411" i="80"/>
  <c r="R17" i="80"/>
  <c r="P411" i="80"/>
  <c r="EV411" i="80"/>
  <c r="EX17" i="80"/>
  <c r="CK411" i="80"/>
  <c r="DI411" i="80"/>
  <c r="EG411" i="80"/>
  <c r="R17" i="79"/>
  <c r="P411" i="79"/>
  <c r="BL411" i="79"/>
  <c r="BN17" i="79"/>
  <c r="EP17" i="79"/>
  <c r="EN411" i="79"/>
  <c r="Q411" i="79"/>
  <c r="EO411" i="79"/>
  <c r="EH17" i="80"/>
  <c r="EF411" i="80"/>
  <c r="CZ411" i="80"/>
  <c r="DB17" i="80"/>
  <c r="DA411" i="80"/>
  <c r="AG411" i="80"/>
  <c r="EO411" i="80"/>
  <c r="DB17" i="79"/>
  <c r="CZ411" i="79"/>
  <c r="FD411" i="79"/>
  <c r="FF17" i="79"/>
  <c r="DI411" i="79"/>
  <c r="CK411" i="79"/>
  <c r="EW411" i="79"/>
  <c r="DX411" i="80"/>
  <c r="DZ17" i="80"/>
  <c r="BL411" i="80"/>
  <c r="BN17" i="80"/>
  <c r="CS411" i="80"/>
  <c r="AO411" i="80"/>
  <c r="EW411" i="80"/>
  <c r="AP17" i="79"/>
  <c r="AN411" i="79"/>
  <c r="DR17" i="79"/>
  <c r="DP411" i="79"/>
  <c r="FN17" i="79"/>
  <c r="FL411" i="79"/>
  <c r="AG411" i="79"/>
  <c r="BM411" i="79"/>
  <c r="I427" i="79"/>
  <c r="G427" i="79"/>
  <c r="AH17" i="80"/>
  <c r="AF411" i="80"/>
  <c r="EN411" i="80"/>
  <c r="EP17" i="80"/>
  <c r="DQ411" i="80"/>
  <c r="FE411" i="80"/>
  <c r="Q411" i="80"/>
  <c r="AH17" i="79"/>
  <c r="AF411" i="79"/>
  <c r="DH411" i="79"/>
  <c r="DJ17" i="79"/>
  <c r="CC411" i="79"/>
  <c r="FE411" i="79"/>
  <c r="FF17" i="80"/>
  <c r="FD411" i="80"/>
  <c r="AN411" i="80"/>
  <c r="AP17" i="80"/>
  <c r="BM411" i="80"/>
  <c r="Y411" i="80"/>
  <c r="I427" i="80"/>
  <c r="G427" i="80"/>
  <c r="BV17" i="79"/>
  <c r="BT411" i="79"/>
  <c r="BF17" i="79"/>
  <c r="BD411" i="79"/>
  <c r="X411" i="79"/>
  <c r="Z17" i="79"/>
  <c r="BE411" i="79"/>
  <c r="DQ411" i="79"/>
  <c r="CB411" i="80"/>
  <c r="CD17" i="80"/>
  <c r="CJ411" i="80"/>
  <c r="CL17" i="80"/>
  <c r="BD411" i="80"/>
  <c r="BF17" i="80"/>
  <c r="BU411" i="80"/>
  <c r="FM411" i="80"/>
  <c r="AP383" i="79"/>
  <c r="AP434" i="79"/>
  <c r="CT383" i="79"/>
  <c r="CT434" i="79"/>
  <c r="AP437" i="79"/>
  <c r="AP391" i="79"/>
  <c r="DZ436" i="79"/>
  <c r="DZ390" i="79"/>
  <c r="AP390" i="79"/>
  <c r="AP436" i="79"/>
  <c r="BN383" i="79"/>
  <c r="BN434" i="79"/>
  <c r="DJ390" i="79"/>
  <c r="DJ436" i="79"/>
  <c r="DJ391" i="79"/>
  <c r="DJ437" i="79"/>
  <c r="BN436" i="79"/>
  <c r="BN390" i="79"/>
  <c r="BN437" i="79"/>
  <c r="BN391" i="79"/>
  <c r="DJ434" i="79"/>
  <c r="DJ383" i="79"/>
  <c r="AW384" i="79"/>
  <c r="AW394" i="79" s="1"/>
  <c r="AW435" i="79"/>
  <c r="AW438" i="79" s="1"/>
  <c r="AW439" i="79" s="1"/>
  <c r="AW448" i="79" s="1"/>
  <c r="CK388" i="79"/>
  <c r="CL43" i="79"/>
  <c r="CL388" i="79" s="1"/>
  <c r="AX390" i="79"/>
  <c r="AX436" i="79"/>
  <c r="CK437" i="79"/>
  <c r="CK391" i="79"/>
  <c r="CL46" i="79"/>
  <c r="CK393" i="79"/>
  <c r="CL48" i="79"/>
  <c r="CL393" i="79" s="1"/>
  <c r="CK386" i="79"/>
  <c r="CL41" i="79"/>
  <c r="CL386" i="79" s="1"/>
  <c r="CK378" i="79"/>
  <c r="CK379" i="79" s="1"/>
  <c r="CL376" i="79"/>
  <c r="CL378" i="79" s="1"/>
  <c r="CL379" i="79" s="1"/>
  <c r="CL449" i="79" s="1"/>
  <c r="CK434" i="79"/>
  <c r="CK383" i="79"/>
  <c r="CL38" i="79"/>
  <c r="CK116" i="79"/>
  <c r="CL105" i="79"/>
  <c r="CL116" i="79" s="1"/>
  <c r="CK387" i="79"/>
  <c r="CL42" i="79"/>
  <c r="CL387" i="79" s="1"/>
  <c r="DO379" i="80"/>
  <c r="DP449" i="80"/>
  <c r="AW413" i="79"/>
  <c r="CK390" i="79"/>
  <c r="CK436" i="79"/>
  <c r="CL45" i="79"/>
  <c r="CK93" i="79"/>
  <c r="CL88" i="79"/>
  <c r="CL93" i="79" s="1"/>
  <c r="FN116" i="80"/>
  <c r="AX437" i="79"/>
  <c r="AX391" i="79"/>
  <c r="CK382" i="79"/>
  <c r="CL37" i="79"/>
  <c r="CL382" i="79" s="1"/>
  <c r="DA388" i="79"/>
  <c r="DB43" i="79"/>
  <c r="DB388" i="79" s="1"/>
  <c r="CA379" i="79"/>
  <c r="CB449" i="79"/>
  <c r="EW387" i="79"/>
  <c r="EX42" i="79"/>
  <c r="EX387" i="79" s="1"/>
  <c r="EW93" i="79"/>
  <c r="EX88" i="79"/>
  <c r="EX93" i="79" s="1"/>
  <c r="DA386" i="79"/>
  <c r="DB41" i="79"/>
  <c r="DB386" i="79" s="1"/>
  <c r="EO393" i="79"/>
  <c r="EP48" i="79"/>
  <c r="EP393" i="79" s="1"/>
  <c r="EG390" i="79"/>
  <c r="EG436" i="79"/>
  <c r="EH45" i="79"/>
  <c r="EG378" i="79"/>
  <c r="EG379" i="79" s="1"/>
  <c r="EH376" i="79"/>
  <c r="EH378" i="79" s="1"/>
  <c r="EH379" i="79" s="1"/>
  <c r="EH449" i="79" s="1"/>
  <c r="CD436" i="79"/>
  <c r="CD390" i="79"/>
  <c r="EW378" i="79"/>
  <c r="EW379" i="79" s="1"/>
  <c r="EX376" i="79"/>
  <c r="EX378" i="79" s="1"/>
  <c r="EX379" i="79" s="1"/>
  <c r="EX449" i="79" s="1"/>
  <c r="EW382" i="79"/>
  <c r="EX37" i="79"/>
  <c r="EX382" i="79" s="1"/>
  <c r="DA436" i="79"/>
  <c r="DA390" i="79"/>
  <c r="DB45" i="79"/>
  <c r="DA93" i="79"/>
  <c r="DB88" i="79"/>
  <c r="DB93" i="79" s="1"/>
  <c r="EO383" i="79"/>
  <c r="EO434" i="79"/>
  <c r="EP38" i="79"/>
  <c r="CD437" i="79"/>
  <c r="CD391" i="79"/>
  <c r="EG387" i="79"/>
  <c r="EH42" i="79"/>
  <c r="EH387" i="79" s="1"/>
  <c r="EH105" i="79"/>
  <c r="EH116" i="79" s="1"/>
  <c r="EG116" i="79"/>
  <c r="EW393" i="79"/>
  <c r="EX48" i="79"/>
  <c r="EX393" i="79" s="1"/>
  <c r="EW391" i="79"/>
  <c r="EW437" i="79"/>
  <c r="EX46" i="79"/>
  <c r="DA391" i="79"/>
  <c r="DA437" i="79"/>
  <c r="DB46" i="79"/>
  <c r="DA383" i="79"/>
  <c r="DA434" i="79"/>
  <c r="DB38" i="79"/>
  <c r="EO386" i="79"/>
  <c r="EP41" i="79"/>
  <c r="EP386" i="79" s="1"/>
  <c r="EO388" i="79"/>
  <c r="EP43" i="79"/>
  <c r="EP388" i="79" s="1"/>
  <c r="EG388" i="79"/>
  <c r="EH43" i="79"/>
  <c r="EH388" i="79" s="1"/>
  <c r="EO387" i="79"/>
  <c r="EP42" i="79"/>
  <c r="EP387" i="79" s="1"/>
  <c r="EW116" i="79"/>
  <c r="EX105" i="79"/>
  <c r="EX116" i="79" s="1"/>
  <c r="DA393" i="79"/>
  <c r="DB48" i="79"/>
  <c r="DB393" i="79" s="1"/>
  <c r="EO378" i="79"/>
  <c r="EO379" i="79" s="1"/>
  <c r="EP376" i="79"/>
  <c r="EP378" i="79" s="1"/>
  <c r="EP379" i="79" s="1"/>
  <c r="EP449" i="79" s="1"/>
  <c r="EO436" i="79"/>
  <c r="EP45" i="79"/>
  <c r="EO390" i="79"/>
  <c r="EG393" i="79"/>
  <c r="EH48" i="79"/>
  <c r="EH393" i="79" s="1"/>
  <c r="CD383" i="79"/>
  <c r="CD434" i="79"/>
  <c r="EW390" i="79"/>
  <c r="EW436" i="79"/>
  <c r="EX45" i="79"/>
  <c r="EW388" i="79"/>
  <c r="EX43" i="79"/>
  <c r="EX388" i="79" s="1"/>
  <c r="DA387" i="79"/>
  <c r="DB42" i="79"/>
  <c r="DB387" i="79" s="1"/>
  <c r="DA116" i="79"/>
  <c r="DB105" i="79"/>
  <c r="DB116" i="79" s="1"/>
  <c r="EO93" i="79"/>
  <c r="EP88" i="79"/>
  <c r="EP93" i="79" s="1"/>
  <c r="EG437" i="79"/>
  <c r="EG391" i="79"/>
  <c r="EH46" i="79"/>
  <c r="DA378" i="79"/>
  <c r="DA379" i="79" s="1"/>
  <c r="DB376" i="79"/>
  <c r="DB378" i="79" s="1"/>
  <c r="DB379" i="79" s="1"/>
  <c r="DB449" i="79" s="1"/>
  <c r="EO382" i="79"/>
  <c r="EP37" i="79"/>
  <c r="EP382" i="79" s="1"/>
  <c r="EO116" i="79"/>
  <c r="EP105" i="79"/>
  <c r="EP116" i="79" s="1"/>
  <c r="EG386" i="79"/>
  <c r="EH41" i="79"/>
  <c r="EH386" i="79" s="1"/>
  <c r="EW434" i="79"/>
  <c r="EW383" i="79"/>
  <c r="EX38" i="79"/>
  <c r="EG434" i="79"/>
  <c r="EG383" i="79"/>
  <c r="EH38" i="79"/>
  <c r="EW386" i="79"/>
  <c r="EX41" i="79"/>
  <c r="EX386" i="79" s="1"/>
  <c r="DA382" i="79"/>
  <c r="DB37" i="79"/>
  <c r="DB382" i="79" s="1"/>
  <c r="EO391" i="79"/>
  <c r="EO437" i="79"/>
  <c r="EP46" i="79"/>
  <c r="EG93" i="79"/>
  <c r="EH88" i="79"/>
  <c r="EH93" i="79" s="1"/>
  <c r="EG382" i="79"/>
  <c r="EH37" i="79"/>
  <c r="EH382" i="79" s="1"/>
  <c r="W248" i="100"/>
  <c r="H148" i="196"/>
  <c r="BU435" i="79"/>
  <c r="BU438" i="79" s="1"/>
  <c r="BU439" i="79" s="1"/>
  <c r="BU448" i="79" s="1"/>
  <c r="BU50" i="79"/>
  <c r="J156" i="196"/>
  <c r="Q384" i="80"/>
  <c r="Q50" i="80"/>
  <c r="I156" i="196"/>
  <c r="P90" i="98"/>
  <c r="L133" i="196"/>
  <c r="H135" i="196"/>
  <c r="K135" i="196"/>
  <c r="G74" i="35" l="1"/>
  <c r="G83" i="35" s="1"/>
  <c r="G38" i="35"/>
  <c r="G82" i="35" s="1"/>
  <c r="Y50" i="79"/>
  <c r="Y413" i="79" s="1"/>
  <c r="Y384" i="79"/>
  <c r="Y394" i="79" s="1"/>
  <c r="J122" i="79"/>
  <c r="J149" i="85"/>
  <c r="L87" i="90" s="1"/>
  <c r="J149" i="80"/>
  <c r="U585" i="96"/>
  <c r="U596" i="96" s="1"/>
  <c r="AG435" i="79"/>
  <c r="AG438" i="79" s="1"/>
  <c r="AG439" i="79" s="1"/>
  <c r="AG448" i="79" s="1"/>
  <c r="I122" i="79"/>
  <c r="J122" i="80"/>
  <c r="I149" i="80"/>
  <c r="DA149" i="80" s="1"/>
  <c r="I149" i="85"/>
  <c r="K87" i="90" s="1"/>
  <c r="AG384" i="79"/>
  <c r="AG394" i="79" s="1"/>
  <c r="AG429" i="79" s="1"/>
  <c r="G122" i="80"/>
  <c r="AE122" i="80" s="1"/>
  <c r="CS384" i="80"/>
  <c r="CS435" i="80" s="1"/>
  <c r="CS438" i="80" s="1"/>
  <c r="CS439" i="80" s="1"/>
  <c r="CS448" i="80" s="1"/>
  <c r="I122" i="80"/>
  <c r="Q221" i="79"/>
  <c r="Q222" i="79"/>
  <c r="Q224" i="79"/>
  <c r="Q220" i="79"/>
  <c r="Q269" i="79"/>
  <c r="Q271" i="79" s="1"/>
  <c r="Q275" i="79"/>
  <c r="Q39" i="79"/>
  <c r="Q384" i="79" s="1"/>
  <c r="Q394" i="79" s="1"/>
  <c r="Q219" i="79"/>
  <c r="FM435" i="79"/>
  <c r="FM438" i="79" s="1"/>
  <c r="FM439" i="79" s="1"/>
  <c r="FM448" i="79" s="1"/>
  <c r="FM384" i="79"/>
  <c r="FM394" i="79" s="1"/>
  <c r="FM429" i="79" s="1"/>
  <c r="V166" i="94"/>
  <c r="V167" i="94"/>
  <c r="H128" i="203"/>
  <c r="L128" i="13"/>
  <c r="H128" i="13" s="1"/>
  <c r="H128" i="79" s="1"/>
  <c r="H149" i="203"/>
  <c r="L149" i="13"/>
  <c r="H149" i="13" s="1"/>
  <c r="H149" i="80" s="1"/>
  <c r="I128" i="203"/>
  <c r="M128" i="13"/>
  <c r="I128" i="13" s="1"/>
  <c r="J128" i="203"/>
  <c r="N128" i="13"/>
  <c r="J128" i="13" s="1"/>
  <c r="EG384" i="80"/>
  <c r="EG50" i="80"/>
  <c r="G122" i="79"/>
  <c r="AM122" i="79" s="1"/>
  <c r="DQ50" i="79"/>
  <c r="DQ413" i="79" s="1"/>
  <c r="DQ435" i="79"/>
  <c r="DQ438" i="79" s="1"/>
  <c r="DQ439" i="79" s="1"/>
  <c r="DQ448" i="79" s="1"/>
  <c r="DQ384" i="79"/>
  <c r="DQ394" i="79" s="1"/>
  <c r="AW384" i="80"/>
  <c r="AW50" i="80"/>
  <c r="BU384" i="80"/>
  <c r="BU50" i="80"/>
  <c r="G57" i="35"/>
  <c r="DI435" i="79"/>
  <c r="DI438" i="79" s="1"/>
  <c r="DI439" i="79" s="1"/>
  <c r="DI448" i="79" s="1"/>
  <c r="DI384" i="79"/>
  <c r="DI394" i="79" s="1"/>
  <c r="DI50" i="79"/>
  <c r="DI413" i="79" s="1"/>
  <c r="DQ384" i="80"/>
  <c r="DQ50" i="80"/>
  <c r="DI384" i="80"/>
  <c r="DI50" i="80"/>
  <c r="AO50" i="79"/>
  <c r="AO413" i="79" s="1"/>
  <c r="CS50" i="79"/>
  <c r="CS413" i="79" s="1"/>
  <c r="CS384" i="79"/>
  <c r="CS394" i="79" s="1"/>
  <c r="CS435" i="79"/>
  <c r="CS438" i="79" s="1"/>
  <c r="CS439" i="79" s="1"/>
  <c r="CS448" i="79" s="1"/>
  <c r="CK384" i="80"/>
  <c r="CK50" i="80"/>
  <c r="EO384" i="80"/>
  <c r="EO50" i="80"/>
  <c r="G57" i="82"/>
  <c r="G38" i="82"/>
  <c r="G82" i="82" s="1"/>
  <c r="BE384" i="79"/>
  <c r="BE394" i="79" s="1"/>
  <c r="BE435" i="79"/>
  <c r="BE438" i="79" s="1"/>
  <c r="BE439" i="79" s="1"/>
  <c r="BE448" i="79" s="1"/>
  <c r="BE50" i="79"/>
  <c r="BE413" i="79" s="1"/>
  <c r="DY384" i="80"/>
  <c r="DY50" i="80"/>
  <c r="AO384" i="80"/>
  <c r="AO50" i="80"/>
  <c r="BE384" i="80"/>
  <c r="BE50" i="80"/>
  <c r="CC50" i="79"/>
  <c r="CC413" i="79" s="1"/>
  <c r="CC435" i="79"/>
  <c r="CC438" i="79" s="1"/>
  <c r="CC439" i="79" s="1"/>
  <c r="CC448" i="79" s="1"/>
  <c r="CC384" i="79"/>
  <c r="CC394" i="79" s="1"/>
  <c r="FE384" i="80"/>
  <c r="FE50" i="80"/>
  <c r="EW384" i="80"/>
  <c r="EW50" i="80"/>
  <c r="FM384" i="80"/>
  <c r="FM50" i="80"/>
  <c r="F57" i="82"/>
  <c r="F38" i="82"/>
  <c r="F82" i="82" s="1"/>
  <c r="DY384" i="79"/>
  <c r="DY394" i="79" s="1"/>
  <c r="DY435" i="79"/>
  <c r="DY438" i="79" s="1"/>
  <c r="DY439" i="79" s="1"/>
  <c r="DY448" i="79" s="1"/>
  <c r="DY50" i="79"/>
  <c r="DY413" i="79" s="1"/>
  <c r="CC384" i="80"/>
  <c r="CC50" i="80"/>
  <c r="Y50" i="80"/>
  <c r="Y384" i="80"/>
  <c r="AG384" i="80"/>
  <c r="AG50" i="80"/>
  <c r="BM50" i="79"/>
  <c r="BM413" i="79" s="1"/>
  <c r="BM435" i="79"/>
  <c r="BM438" i="79" s="1"/>
  <c r="BM439" i="79" s="1"/>
  <c r="BM448" i="79" s="1"/>
  <c r="BM384" i="79"/>
  <c r="BM394" i="79" s="1"/>
  <c r="G122" i="85"/>
  <c r="I68" i="90" s="1"/>
  <c r="FE50" i="79"/>
  <c r="FE413" i="79" s="1"/>
  <c r="FE435" i="79"/>
  <c r="FE438" i="79" s="1"/>
  <c r="FE439" i="79" s="1"/>
  <c r="FE448" i="79" s="1"/>
  <c r="FE384" i="79"/>
  <c r="FE394" i="79" s="1"/>
  <c r="DA384" i="80"/>
  <c r="DA50" i="80"/>
  <c r="BM50" i="80"/>
  <c r="BM384" i="80"/>
  <c r="W168" i="94"/>
  <c r="W167" i="94"/>
  <c r="AO384" i="79"/>
  <c r="AO394" i="79" s="1"/>
  <c r="AO429" i="79" s="1"/>
  <c r="AO435" i="79"/>
  <c r="AO438" i="79" s="1"/>
  <c r="AO439" i="79" s="1"/>
  <c r="AO448" i="79" s="1"/>
  <c r="I74" i="26"/>
  <c r="F385" i="85"/>
  <c r="Q82" i="35"/>
  <c r="S82" i="35" s="1"/>
  <c r="S38" i="35"/>
  <c r="S74" i="35"/>
  <c r="Q83" i="35"/>
  <c r="S83" i="35" s="1"/>
  <c r="H39" i="85"/>
  <c r="J13" i="90" s="1"/>
  <c r="H39" i="79"/>
  <c r="CB39" i="79" s="1"/>
  <c r="E27" i="82"/>
  <c r="H39" i="80"/>
  <c r="AV39" i="80" s="1"/>
  <c r="E27" i="35"/>
  <c r="H50" i="13"/>
  <c r="H221" i="79"/>
  <c r="CB221" i="79" s="1"/>
  <c r="CD221" i="79" s="1"/>
  <c r="H221" i="80"/>
  <c r="DP221" i="80" s="1"/>
  <c r="DR221" i="80" s="1"/>
  <c r="H221" i="85"/>
  <c r="J122" i="90" s="1"/>
  <c r="J429" i="79"/>
  <c r="J395" i="79"/>
  <c r="J447" i="79" s="1"/>
  <c r="H219" i="85"/>
  <c r="J120" i="90" s="1"/>
  <c r="H219" i="79"/>
  <c r="CB219" i="79" s="1"/>
  <c r="CD219" i="79" s="1"/>
  <c r="H219" i="80"/>
  <c r="DP219" i="80" s="1"/>
  <c r="DR219" i="80" s="1"/>
  <c r="T178" i="94"/>
  <c r="U48" i="94"/>
  <c r="U71" i="94"/>
  <c r="EO449" i="79"/>
  <c r="EO219" i="79" s="1"/>
  <c r="EM379" i="79"/>
  <c r="EG449" i="79"/>
  <c r="EG222" i="79" s="1"/>
  <c r="EE379" i="79"/>
  <c r="H220" i="85"/>
  <c r="J121" i="90" s="1"/>
  <c r="H220" i="79"/>
  <c r="CB220" i="79" s="1"/>
  <c r="CD220" i="79" s="1"/>
  <c r="H220" i="80"/>
  <c r="DP220" i="80" s="1"/>
  <c r="DR220" i="80" s="1"/>
  <c r="CK449" i="79"/>
  <c r="CK224" i="79" s="1"/>
  <c r="CI379" i="79"/>
  <c r="J435" i="80"/>
  <c r="J438" i="80" s="1"/>
  <c r="J439" i="80" s="1"/>
  <c r="J448" i="80" s="1"/>
  <c r="J394" i="80"/>
  <c r="S605" i="96"/>
  <c r="S119" i="96"/>
  <c r="S120" i="96"/>
  <c r="S83" i="96"/>
  <c r="S78" i="96"/>
  <c r="S121" i="96"/>
  <c r="S116" i="96"/>
  <c r="S50" i="96"/>
  <c r="S115" i="96"/>
  <c r="S118" i="96"/>
  <c r="S117" i="96"/>
  <c r="S60" i="96"/>
  <c r="S94" i="96"/>
  <c r="H275" i="79"/>
  <c r="CB275" i="79" s="1"/>
  <c r="CD275" i="79" s="1"/>
  <c r="H275" i="80"/>
  <c r="DP275" i="80" s="1"/>
  <c r="DR275" i="80" s="1"/>
  <c r="H275" i="85"/>
  <c r="J155" i="90" s="1"/>
  <c r="H269" i="85"/>
  <c r="J152" i="90" s="1"/>
  <c r="H269" i="80"/>
  <c r="DP269" i="80" s="1"/>
  <c r="H269" i="79"/>
  <c r="G19" i="31"/>
  <c r="H271" i="85" s="1"/>
  <c r="I435" i="80"/>
  <c r="I438" i="80" s="1"/>
  <c r="I439" i="80" s="1"/>
  <c r="I448" i="80" s="1"/>
  <c r="I394" i="80"/>
  <c r="DA449" i="79"/>
  <c r="DA221" i="79" s="1"/>
  <c r="CY379" i="79"/>
  <c r="F82" i="35"/>
  <c r="F57" i="35"/>
  <c r="I429" i="79"/>
  <c r="I395" i="79"/>
  <c r="I447" i="79" s="1"/>
  <c r="G429" i="79"/>
  <c r="H224" i="85"/>
  <c r="J125" i="90" s="1"/>
  <c r="H224" i="80"/>
  <c r="DP224" i="80" s="1"/>
  <c r="DR224" i="80" s="1"/>
  <c r="H224" i="79"/>
  <c r="CB224" i="79" s="1"/>
  <c r="CD224" i="79" s="1"/>
  <c r="H222" i="79"/>
  <c r="CB222" i="79" s="1"/>
  <c r="CD222" i="79" s="1"/>
  <c r="H222" i="80"/>
  <c r="DP222" i="80" s="1"/>
  <c r="DR222" i="80" s="1"/>
  <c r="H222" i="85"/>
  <c r="J123" i="90" s="1"/>
  <c r="EW449" i="79"/>
  <c r="EW220" i="79" s="1"/>
  <c r="EU379" i="79"/>
  <c r="T596" i="96"/>
  <c r="T595" i="96"/>
  <c r="T594" i="96"/>
  <c r="H225" i="79"/>
  <c r="CB225" i="79" s="1"/>
  <c r="CD225" i="79" s="1"/>
  <c r="H225" i="80"/>
  <c r="DP225" i="80" s="1"/>
  <c r="DR225" i="80" s="1"/>
  <c r="H225" i="85"/>
  <c r="J126" i="90" s="1"/>
  <c r="L122" i="206"/>
  <c r="H122" i="206" s="1"/>
  <c r="H122" i="207"/>
  <c r="G156" i="206"/>
  <c r="G158" i="206" s="1"/>
  <c r="G161" i="206" s="1"/>
  <c r="B76" i="36" s="1"/>
  <c r="G148" i="203"/>
  <c r="L122" i="203"/>
  <c r="DB292" i="80"/>
  <c r="DB298" i="80" s="1"/>
  <c r="DB315" i="80" s="1"/>
  <c r="DB331" i="80" s="1"/>
  <c r="CZ298" i="80"/>
  <c r="CZ315" i="80" s="1"/>
  <c r="CZ331" i="80" s="1"/>
  <c r="Z292" i="80"/>
  <c r="Z298" i="80" s="1"/>
  <c r="Z315" i="80" s="1"/>
  <c r="Z331" i="80" s="1"/>
  <c r="X298" i="80"/>
  <c r="X315" i="80" s="1"/>
  <c r="X331" i="80" s="1"/>
  <c r="AH292" i="80"/>
  <c r="AH298" i="80" s="1"/>
  <c r="AH315" i="80" s="1"/>
  <c r="AH331" i="80" s="1"/>
  <c r="AF298" i="80"/>
  <c r="AF315" i="80" s="1"/>
  <c r="AF331" i="80" s="1"/>
  <c r="EH292" i="79"/>
  <c r="EH298" i="79" s="1"/>
  <c r="EH315" i="79" s="1"/>
  <c r="EH331" i="79" s="1"/>
  <c r="EF298" i="79"/>
  <c r="EF315" i="79" s="1"/>
  <c r="EF331" i="79" s="1"/>
  <c r="CL292" i="79"/>
  <c r="CL298" i="79" s="1"/>
  <c r="CL315" i="79" s="1"/>
  <c r="CL331" i="79" s="1"/>
  <c r="CJ298" i="79"/>
  <c r="CJ315" i="79" s="1"/>
  <c r="CJ331" i="79" s="1"/>
  <c r="FN292" i="79"/>
  <c r="FN298" i="79" s="1"/>
  <c r="FN315" i="79" s="1"/>
  <c r="FN331" i="79" s="1"/>
  <c r="FL298" i="79"/>
  <c r="FL315" i="79" s="1"/>
  <c r="FL331" i="79" s="1"/>
  <c r="BN292" i="80"/>
  <c r="BN298" i="80" s="1"/>
  <c r="BN315" i="80" s="1"/>
  <c r="BN331" i="80" s="1"/>
  <c r="BL298" i="80"/>
  <c r="BL315" i="80" s="1"/>
  <c r="BL331" i="80" s="1"/>
  <c r="FN292" i="80"/>
  <c r="FN298" i="80" s="1"/>
  <c r="FN315" i="80" s="1"/>
  <c r="FN331" i="80" s="1"/>
  <c r="FL298" i="80"/>
  <c r="FL315" i="80" s="1"/>
  <c r="FL331" i="80" s="1"/>
  <c r="AX292" i="80"/>
  <c r="AX298" i="80" s="1"/>
  <c r="AX315" i="80" s="1"/>
  <c r="AX331" i="80" s="1"/>
  <c r="AV298" i="80"/>
  <c r="AV315" i="80" s="1"/>
  <c r="AV331" i="80" s="1"/>
  <c r="EP292" i="79"/>
  <c r="EP298" i="79" s="1"/>
  <c r="EP315" i="79" s="1"/>
  <c r="EP331" i="79" s="1"/>
  <c r="EN298" i="79"/>
  <c r="EN315" i="79" s="1"/>
  <c r="EN331" i="79" s="1"/>
  <c r="BF292" i="79"/>
  <c r="BF298" i="79" s="1"/>
  <c r="BF315" i="79" s="1"/>
  <c r="BF331" i="79" s="1"/>
  <c r="BD298" i="79"/>
  <c r="BD315" i="79" s="1"/>
  <c r="BD331" i="79" s="1"/>
  <c r="AH292" i="79"/>
  <c r="AH298" i="79" s="1"/>
  <c r="AH315" i="79" s="1"/>
  <c r="AH331" i="79" s="1"/>
  <c r="AF298" i="79"/>
  <c r="AF315" i="79" s="1"/>
  <c r="AF331" i="79" s="1"/>
  <c r="R292" i="80"/>
  <c r="R298" i="80" s="1"/>
  <c r="R315" i="80" s="1"/>
  <c r="R331" i="80" s="1"/>
  <c r="P298" i="80"/>
  <c r="P315" i="80" s="1"/>
  <c r="P331" i="80" s="1"/>
  <c r="EH292" i="80"/>
  <c r="EH298" i="80" s="1"/>
  <c r="EH315" i="80" s="1"/>
  <c r="EH331" i="80" s="1"/>
  <c r="EF298" i="80"/>
  <c r="EF315" i="80" s="1"/>
  <c r="EF331" i="80" s="1"/>
  <c r="BF292" i="80"/>
  <c r="BF298" i="80" s="1"/>
  <c r="BF315" i="80" s="1"/>
  <c r="BF331" i="80" s="1"/>
  <c r="BD298" i="80"/>
  <c r="BD315" i="80" s="1"/>
  <c r="BD331" i="80" s="1"/>
  <c r="AX292" i="79"/>
  <c r="AX298" i="79" s="1"/>
  <c r="AX315" i="79" s="1"/>
  <c r="AX331" i="79" s="1"/>
  <c r="AV298" i="79"/>
  <c r="AV315" i="79" s="1"/>
  <c r="AV331" i="79" s="1"/>
  <c r="DJ292" i="79"/>
  <c r="DJ298" i="79" s="1"/>
  <c r="DJ315" i="79" s="1"/>
  <c r="DJ331" i="79" s="1"/>
  <c r="DH298" i="79"/>
  <c r="DH315" i="79" s="1"/>
  <c r="DH331" i="79" s="1"/>
  <c r="EX292" i="79"/>
  <c r="EX298" i="79" s="1"/>
  <c r="EX315" i="79" s="1"/>
  <c r="EX331" i="79" s="1"/>
  <c r="EV298" i="79"/>
  <c r="EV315" i="79" s="1"/>
  <c r="EV331" i="79" s="1"/>
  <c r="CT292" i="80"/>
  <c r="CT298" i="80" s="1"/>
  <c r="CT315" i="80" s="1"/>
  <c r="CT331" i="80" s="1"/>
  <c r="CR298" i="80"/>
  <c r="CR315" i="80" s="1"/>
  <c r="CR331" i="80" s="1"/>
  <c r="AP292" i="80"/>
  <c r="AP298" i="80" s="1"/>
  <c r="AP315" i="80" s="1"/>
  <c r="AP331" i="80" s="1"/>
  <c r="AN298" i="80"/>
  <c r="AN315" i="80" s="1"/>
  <c r="AN331" i="80" s="1"/>
  <c r="DZ292" i="79"/>
  <c r="DZ298" i="79" s="1"/>
  <c r="DZ315" i="79" s="1"/>
  <c r="DZ331" i="79" s="1"/>
  <c r="DX298" i="79"/>
  <c r="DX315" i="79" s="1"/>
  <c r="DX331" i="79" s="1"/>
  <c r="CT292" i="79"/>
  <c r="CT298" i="79" s="1"/>
  <c r="CT315" i="79" s="1"/>
  <c r="CT331" i="79" s="1"/>
  <c r="CR298" i="79"/>
  <c r="CR315" i="79" s="1"/>
  <c r="CR331" i="79" s="1"/>
  <c r="DJ292" i="80"/>
  <c r="DJ298" i="80" s="1"/>
  <c r="DJ315" i="80" s="1"/>
  <c r="DJ331" i="80" s="1"/>
  <c r="DH298" i="80"/>
  <c r="DH315" i="80" s="1"/>
  <c r="DH331" i="80" s="1"/>
  <c r="EP292" i="80"/>
  <c r="EP298" i="80" s="1"/>
  <c r="EP315" i="80" s="1"/>
  <c r="EP331" i="80" s="1"/>
  <c r="EN298" i="80"/>
  <c r="EN315" i="80" s="1"/>
  <c r="EN331" i="80" s="1"/>
  <c r="DB292" i="79"/>
  <c r="DB298" i="79" s="1"/>
  <c r="DB315" i="79" s="1"/>
  <c r="DB331" i="79" s="1"/>
  <c r="CZ298" i="79"/>
  <c r="CZ315" i="79" s="1"/>
  <c r="CZ331" i="79" s="1"/>
  <c r="DR292" i="79"/>
  <c r="DR298" i="79" s="1"/>
  <c r="DR315" i="79" s="1"/>
  <c r="DR331" i="79" s="1"/>
  <c r="DP298" i="79"/>
  <c r="DP315" i="79" s="1"/>
  <c r="DP331" i="79" s="1"/>
  <c r="CL292" i="80"/>
  <c r="CL298" i="80" s="1"/>
  <c r="CL315" i="80" s="1"/>
  <c r="CL331" i="80" s="1"/>
  <c r="CJ298" i="80"/>
  <c r="CJ315" i="80" s="1"/>
  <c r="CJ331" i="80" s="1"/>
  <c r="CD292" i="80"/>
  <c r="CD298" i="80" s="1"/>
  <c r="CD315" i="80" s="1"/>
  <c r="CD331" i="80" s="1"/>
  <c r="CB298" i="80"/>
  <c r="CB315" i="80" s="1"/>
  <c r="CB331" i="80" s="1"/>
  <c r="FF292" i="79"/>
  <c r="FF298" i="79" s="1"/>
  <c r="FF315" i="79" s="1"/>
  <c r="FF331" i="79" s="1"/>
  <c r="FD298" i="79"/>
  <c r="FD315" i="79" s="1"/>
  <c r="FD331" i="79" s="1"/>
  <c r="AP292" i="79"/>
  <c r="AP298" i="79" s="1"/>
  <c r="AP315" i="79" s="1"/>
  <c r="AP331" i="79" s="1"/>
  <c r="AN298" i="79"/>
  <c r="AN315" i="79" s="1"/>
  <c r="AN331" i="79" s="1"/>
  <c r="DZ292" i="80"/>
  <c r="DZ298" i="80" s="1"/>
  <c r="DZ315" i="80" s="1"/>
  <c r="DZ331" i="80" s="1"/>
  <c r="DX298" i="80"/>
  <c r="DX315" i="80" s="1"/>
  <c r="DX331" i="80" s="1"/>
  <c r="DR292" i="80"/>
  <c r="DR298" i="80" s="1"/>
  <c r="DR315" i="80" s="1"/>
  <c r="DR331" i="80" s="1"/>
  <c r="DP298" i="80"/>
  <c r="DP315" i="80" s="1"/>
  <c r="DP331" i="80" s="1"/>
  <c r="BV292" i="79"/>
  <c r="BV298" i="79" s="1"/>
  <c r="BV315" i="79" s="1"/>
  <c r="BV331" i="79" s="1"/>
  <c r="BT298" i="79"/>
  <c r="BT315" i="79" s="1"/>
  <c r="BT331" i="79" s="1"/>
  <c r="R292" i="79"/>
  <c r="R298" i="79" s="1"/>
  <c r="R315" i="79" s="1"/>
  <c r="R331" i="79" s="1"/>
  <c r="P298" i="79"/>
  <c r="P315" i="79" s="1"/>
  <c r="P331" i="79" s="1"/>
  <c r="FF292" i="80"/>
  <c r="FF298" i="80" s="1"/>
  <c r="FF315" i="80" s="1"/>
  <c r="FF331" i="80" s="1"/>
  <c r="FD298" i="80"/>
  <c r="FD315" i="80" s="1"/>
  <c r="FD331" i="80" s="1"/>
  <c r="EX292" i="80"/>
  <c r="EX298" i="80" s="1"/>
  <c r="EX315" i="80" s="1"/>
  <c r="EX331" i="80" s="1"/>
  <c r="EV298" i="80"/>
  <c r="EV315" i="80" s="1"/>
  <c r="EV331" i="80" s="1"/>
  <c r="BV292" i="80"/>
  <c r="BV298" i="80" s="1"/>
  <c r="BV315" i="80" s="1"/>
  <c r="BV331" i="80" s="1"/>
  <c r="BT298" i="80"/>
  <c r="BT315" i="80" s="1"/>
  <c r="BT331" i="80" s="1"/>
  <c r="Z292" i="79"/>
  <c r="Z298" i="79" s="1"/>
  <c r="Z315" i="79" s="1"/>
  <c r="Z331" i="79" s="1"/>
  <c r="X298" i="79"/>
  <c r="X315" i="79" s="1"/>
  <c r="X331" i="79" s="1"/>
  <c r="CD292" i="79"/>
  <c r="CD298" i="79" s="1"/>
  <c r="CD315" i="79" s="1"/>
  <c r="CD331" i="79" s="1"/>
  <c r="CB298" i="79"/>
  <c r="CB315" i="79" s="1"/>
  <c r="CB331" i="79" s="1"/>
  <c r="BN292" i="79"/>
  <c r="BN298" i="79" s="1"/>
  <c r="BN315" i="79" s="1"/>
  <c r="BN331" i="79" s="1"/>
  <c r="BL298" i="79"/>
  <c r="BL315" i="79" s="1"/>
  <c r="BL331" i="79" s="1"/>
  <c r="H315" i="85"/>
  <c r="D22" i="7"/>
  <c r="H331" i="85" s="1"/>
  <c r="W255" i="100"/>
  <c r="T1030" i="101"/>
  <c r="FN65" i="80"/>
  <c r="AH65" i="80"/>
  <c r="DZ65" i="80"/>
  <c r="FF65" i="79"/>
  <c r="Y395" i="79"/>
  <c r="Y447" i="79" s="1"/>
  <c r="Y429" i="79"/>
  <c r="DZ65" i="79"/>
  <c r="CL65" i="80"/>
  <c r="R65" i="79"/>
  <c r="FN65" i="79"/>
  <c r="DB65" i="80"/>
  <c r="DB65" i="79"/>
  <c r="Z65" i="79"/>
  <c r="CS149" i="79"/>
  <c r="BU149" i="79"/>
  <c r="AG149" i="79"/>
  <c r="CC149" i="79"/>
  <c r="AO149" i="79"/>
  <c r="EO149" i="79"/>
  <c r="DQ149" i="79"/>
  <c r="EG149" i="79"/>
  <c r="DA149" i="79"/>
  <c r="FE149" i="79"/>
  <c r="FM149" i="79"/>
  <c r="DI149" i="79"/>
  <c r="Y149" i="79"/>
  <c r="BM149" i="79"/>
  <c r="Q149" i="79"/>
  <c r="CK149" i="79"/>
  <c r="DY149" i="79"/>
  <c r="AW149" i="79"/>
  <c r="EW149" i="79"/>
  <c r="BE149" i="79"/>
  <c r="EH65" i="79"/>
  <c r="R65" i="80"/>
  <c r="Z65" i="80"/>
  <c r="AP65" i="80"/>
  <c r="BV65" i="79"/>
  <c r="BF65" i="79"/>
  <c r="CT65" i="79"/>
  <c r="DJ65" i="80"/>
  <c r="BN65" i="80"/>
  <c r="CD65" i="79"/>
  <c r="BN65" i="79"/>
  <c r="H148" i="80"/>
  <c r="H148" i="85"/>
  <c r="J86" i="90" s="1"/>
  <c r="H148" i="79"/>
  <c r="CT65" i="80"/>
  <c r="DJ65" i="79"/>
  <c r="CD65" i="80"/>
  <c r="BF65" i="80"/>
  <c r="AP65" i="79"/>
  <c r="AX65" i="79"/>
  <c r="FF65" i="80"/>
  <c r="EH65" i="80"/>
  <c r="DR65" i="79"/>
  <c r="EX65" i="79"/>
  <c r="Y149" i="80"/>
  <c r="EW149" i="80"/>
  <c r="AG149" i="80"/>
  <c r="BE149" i="80"/>
  <c r="Q149" i="80"/>
  <c r="CS149" i="80"/>
  <c r="AW149" i="80"/>
  <c r="BU149" i="80"/>
  <c r="FM149" i="80"/>
  <c r="DQ149" i="80"/>
  <c r="BM149" i="80"/>
  <c r="AO149" i="80"/>
  <c r="FE149" i="80"/>
  <c r="CC149" i="80"/>
  <c r="EG149" i="80"/>
  <c r="DI149" i="80"/>
  <c r="AX65" i="80"/>
  <c r="EP65" i="80"/>
  <c r="DR65" i="80"/>
  <c r="AH65" i="79"/>
  <c r="CL65" i="79"/>
  <c r="BV65" i="80"/>
  <c r="EX65" i="80"/>
  <c r="EP65" i="79"/>
  <c r="BF411" i="80"/>
  <c r="BF427" i="80" s="1"/>
  <c r="BF411" i="79"/>
  <c r="BF427" i="79" s="1"/>
  <c r="AP411" i="80"/>
  <c r="AP427" i="80" s="1"/>
  <c r="CC427" i="79"/>
  <c r="AH411" i="80"/>
  <c r="AH427" i="80" s="1"/>
  <c r="AG427" i="79"/>
  <c r="AP411" i="79"/>
  <c r="AP427" i="79" s="1"/>
  <c r="EW427" i="80"/>
  <c r="AG427" i="80"/>
  <c r="EH411" i="80"/>
  <c r="EH427" i="80" s="1"/>
  <c r="EG427" i="80"/>
  <c r="EX411" i="79"/>
  <c r="EX427" i="79" s="1"/>
  <c r="BU427" i="79"/>
  <c r="G133" i="85"/>
  <c r="DQ427" i="79"/>
  <c r="FE427" i="80"/>
  <c r="DZ411" i="80"/>
  <c r="DZ427" i="80" s="1"/>
  <c r="DI427" i="79"/>
  <c r="EO427" i="79"/>
  <c r="BN411" i="79"/>
  <c r="BN427" i="79" s="1"/>
  <c r="DI427" i="80"/>
  <c r="FM427" i="79"/>
  <c r="FN411" i="80"/>
  <c r="FN427" i="80" s="1"/>
  <c r="DJ411" i="80"/>
  <c r="DJ427" i="80" s="1"/>
  <c r="EE122" i="80"/>
  <c r="O122" i="80"/>
  <c r="DW122" i="80"/>
  <c r="CA122" i="80"/>
  <c r="BS122" i="80"/>
  <c r="AM122" i="80"/>
  <c r="EM122" i="80"/>
  <c r="BK122" i="80"/>
  <c r="W122" i="80"/>
  <c r="CL411" i="80"/>
  <c r="CL427" i="80" s="1"/>
  <c r="DQ427" i="80"/>
  <c r="FF411" i="79"/>
  <c r="FF427" i="79" s="1"/>
  <c r="DA427" i="80"/>
  <c r="R411" i="80"/>
  <c r="R427" i="80" s="1"/>
  <c r="AX411" i="79"/>
  <c r="AX427" i="79" s="1"/>
  <c r="CC427" i="80"/>
  <c r="DA427" i="79"/>
  <c r="BV411" i="80"/>
  <c r="BV427" i="80" s="1"/>
  <c r="CT411" i="79"/>
  <c r="CT427" i="79" s="1"/>
  <c r="BS122" i="79"/>
  <c r="BE427" i="79"/>
  <c r="DJ411" i="79"/>
  <c r="DJ427" i="79" s="1"/>
  <c r="FN411" i="79"/>
  <c r="FN427" i="79" s="1"/>
  <c r="AO427" i="80"/>
  <c r="CK427" i="80"/>
  <c r="DY427" i="79"/>
  <c r="DR411" i="80"/>
  <c r="DR427" i="80" s="1"/>
  <c r="FM427" i="80"/>
  <c r="BV411" i="79"/>
  <c r="BV427" i="79" s="1"/>
  <c r="DB411" i="80"/>
  <c r="DB427" i="80" s="1"/>
  <c r="Q427" i="79"/>
  <c r="EH411" i="79"/>
  <c r="EH427" i="79" s="1"/>
  <c r="BE427" i="80"/>
  <c r="EG427" i="79"/>
  <c r="DZ411" i="79"/>
  <c r="DZ427" i="79" s="1"/>
  <c r="Y427" i="79"/>
  <c r="CD411" i="79"/>
  <c r="Z411" i="79"/>
  <c r="Z427" i="79" s="1"/>
  <c r="Y427" i="80"/>
  <c r="FF411" i="80"/>
  <c r="FF427" i="80" s="1"/>
  <c r="EP411" i="80"/>
  <c r="EP427" i="80" s="1"/>
  <c r="CS427" i="80"/>
  <c r="EW427" i="79"/>
  <c r="R411" i="79"/>
  <c r="R427" i="79" s="1"/>
  <c r="EX411" i="80"/>
  <c r="EX427" i="80" s="1"/>
  <c r="Z411" i="80"/>
  <c r="Z427" i="80" s="1"/>
  <c r="BU427" i="80"/>
  <c r="CD411" i="80"/>
  <c r="CD427" i="80" s="1"/>
  <c r="BM427" i="80"/>
  <c r="FE427" i="79"/>
  <c r="Q427" i="80"/>
  <c r="BM427" i="79"/>
  <c r="DR411" i="79"/>
  <c r="DR427" i="79" s="1"/>
  <c r="BN411" i="80"/>
  <c r="BN427" i="80" s="1"/>
  <c r="CK427" i="79"/>
  <c r="DB411" i="79"/>
  <c r="DB427" i="79" s="1"/>
  <c r="EO427" i="80"/>
  <c r="EP411" i="79"/>
  <c r="EP427" i="79" s="1"/>
  <c r="AO427" i="79"/>
  <c r="AW427" i="79"/>
  <c r="DY427" i="80"/>
  <c r="CS427" i="79"/>
  <c r="AH411" i="79"/>
  <c r="AH427" i="79" s="1"/>
  <c r="CT411" i="80"/>
  <c r="CT427" i="80" s="1"/>
  <c r="CL411" i="79"/>
  <c r="CL427" i="79" s="1"/>
  <c r="AW427" i="80"/>
  <c r="AX411" i="80"/>
  <c r="AX427" i="80" s="1"/>
  <c r="CL434" i="79"/>
  <c r="CL383" i="79"/>
  <c r="CL390" i="79"/>
  <c r="CL436" i="79"/>
  <c r="CL391" i="79"/>
  <c r="CL437" i="79"/>
  <c r="AW395" i="79"/>
  <c r="AW447" i="79" s="1"/>
  <c r="AW429" i="79"/>
  <c r="EX434" i="79"/>
  <c r="EX383" i="79"/>
  <c r="DB390" i="79"/>
  <c r="DB436" i="79"/>
  <c r="EH391" i="79"/>
  <c r="EH437" i="79"/>
  <c r="DB383" i="79"/>
  <c r="DB434" i="79"/>
  <c r="EX390" i="79"/>
  <c r="EX436" i="79"/>
  <c r="DB437" i="79"/>
  <c r="DB391" i="79"/>
  <c r="EP391" i="79"/>
  <c r="EP437" i="79"/>
  <c r="Q435" i="79"/>
  <c r="Q438" i="79" s="1"/>
  <c r="Q439" i="79" s="1"/>
  <c r="Q448" i="79" s="1"/>
  <c r="Q50" i="79"/>
  <c r="EP436" i="79"/>
  <c r="EP390" i="79"/>
  <c r="EP383" i="79"/>
  <c r="EP434" i="79"/>
  <c r="EX437" i="79"/>
  <c r="EX391" i="79"/>
  <c r="FM413" i="79"/>
  <c r="EH390" i="79"/>
  <c r="EH436" i="79"/>
  <c r="EH383" i="79"/>
  <c r="EH434" i="79"/>
  <c r="Q435" i="80"/>
  <c r="Q438" i="80" s="1"/>
  <c r="Q439" i="80" s="1"/>
  <c r="Q448" i="80" s="1"/>
  <c r="Q394" i="80"/>
  <c r="H156" i="196"/>
  <c r="G148" i="196"/>
  <c r="G156" i="196" s="1"/>
  <c r="N156" i="196"/>
  <c r="J158" i="196"/>
  <c r="BU413" i="79"/>
  <c r="M156" i="196"/>
  <c r="I158" i="196"/>
  <c r="BU395" i="79"/>
  <c r="BU429" i="79"/>
  <c r="L135" i="196"/>
  <c r="G111" i="113"/>
  <c r="G114" i="113" s="1"/>
  <c r="F112" i="113"/>
  <c r="F109" i="113"/>
  <c r="F108" i="113"/>
  <c r="E113" i="113"/>
  <c r="E114" i="113" s="1"/>
  <c r="F110" i="113"/>
  <c r="I114" i="113"/>
  <c r="U595" i="96" l="1"/>
  <c r="J74" i="26"/>
  <c r="G385" i="85"/>
  <c r="U594" i="96"/>
  <c r="AU122" i="80"/>
  <c r="EO149" i="80"/>
  <c r="CS394" i="80"/>
  <c r="BC122" i="80"/>
  <c r="DY149" i="80"/>
  <c r="CQ122" i="80"/>
  <c r="CS122" i="80" s="1"/>
  <c r="DG122" i="80"/>
  <c r="DG133" i="80" s="1"/>
  <c r="DG135" i="80" s="1"/>
  <c r="G133" i="80"/>
  <c r="G135" i="80" s="1"/>
  <c r="CY122" i="80"/>
  <c r="CY133" i="80" s="1"/>
  <c r="CY135" i="80" s="1"/>
  <c r="EU122" i="80"/>
  <c r="EW122" i="80" s="1"/>
  <c r="CK149" i="80"/>
  <c r="FC122" i="80"/>
  <c r="FE122" i="80" s="1"/>
  <c r="FK122" i="80"/>
  <c r="FM122" i="80" s="1"/>
  <c r="CI122" i="80"/>
  <c r="CK122" i="80" s="1"/>
  <c r="DO122" i="80"/>
  <c r="DO133" i="80" s="1"/>
  <c r="DO135" i="80" s="1"/>
  <c r="FM395" i="79"/>
  <c r="FM447" i="79" s="1"/>
  <c r="AG395" i="79"/>
  <c r="AG447" i="79" s="1"/>
  <c r="EE122" i="79"/>
  <c r="EG122" i="79" s="1"/>
  <c r="BK122" i="79"/>
  <c r="AE122" i="79"/>
  <c r="EM122" i="79"/>
  <c r="CI122" i="79"/>
  <c r="CK122" i="79" s="1"/>
  <c r="CY122" i="79"/>
  <c r="CY133" i="79" s="1"/>
  <c r="CY135" i="79" s="1"/>
  <c r="EO222" i="79"/>
  <c r="V169" i="94"/>
  <c r="DA275" i="79"/>
  <c r="EG219" i="79"/>
  <c r="H128" i="85"/>
  <c r="J74" i="90" s="1"/>
  <c r="H128" i="80"/>
  <c r="P128" i="80" s="1"/>
  <c r="AO395" i="79"/>
  <c r="AO447" i="79" s="1"/>
  <c r="CK222" i="79"/>
  <c r="EW219" i="79"/>
  <c r="EW225" i="79"/>
  <c r="EW224" i="79"/>
  <c r="CK220" i="79"/>
  <c r="EW222" i="79"/>
  <c r="CK225" i="79"/>
  <c r="H149" i="85"/>
  <c r="J87" i="90" s="1"/>
  <c r="EW39" i="79"/>
  <c r="EW435" i="79" s="1"/>
  <c r="EW438" i="79" s="1"/>
  <c r="EW439" i="79" s="1"/>
  <c r="EW448" i="79" s="1"/>
  <c r="CK269" i="79"/>
  <c r="CK271" i="79" s="1"/>
  <c r="H149" i="79"/>
  <c r="P149" i="79" s="1"/>
  <c r="R149" i="79" s="1"/>
  <c r="EW221" i="79"/>
  <c r="EW269" i="79"/>
  <c r="EW271" i="79" s="1"/>
  <c r="CK219" i="79"/>
  <c r="CK221" i="79"/>
  <c r="EW275" i="79"/>
  <c r="CK275" i="79"/>
  <c r="CK39" i="79"/>
  <c r="CK50" i="79" s="1"/>
  <c r="U156" i="94"/>
  <c r="U166" i="94" s="1"/>
  <c r="DW122" i="79"/>
  <c r="DY122" i="79" s="1"/>
  <c r="DG122" i="79"/>
  <c r="DG133" i="79" s="1"/>
  <c r="DG135" i="79" s="1"/>
  <c r="AU122" i="79"/>
  <c r="AU133" i="79" s="1"/>
  <c r="AU135" i="79" s="1"/>
  <c r="CQ122" i="79"/>
  <c r="CS122" i="79" s="1"/>
  <c r="EU122" i="79"/>
  <c r="EW122" i="79" s="1"/>
  <c r="FK122" i="79"/>
  <c r="FM122" i="79" s="1"/>
  <c r="DO122" i="79"/>
  <c r="DO133" i="79" s="1"/>
  <c r="DO135" i="79" s="1"/>
  <c r="O122" i="79"/>
  <c r="Q122" i="79" s="1"/>
  <c r="W122" i="79"/>
  <c r="W133" i="79" s="1"/>
  <c r="W135" i="79" s="1"/>
  <c r="H122" i="203"/>
  <c r="L122" i="13"/>
  <c r="H122" i="13" s="1"/>
  <c r="H122" i="79" s="1"/>
  <c r="BC122" i="79"/>
  <c r="BC133" i="79" s="1"/>
  <c r="BC135" i="79" s="1"/>
  <c r="CA122" i="79"/>
  <c r="CC122" i="79" s="1"/>
  <c r="G133" i="79"/>
  <c r="G135" i="79" s="1"/>
  <c r="FC122" i="79"/>
  <c r="FE122" i="79" s="1"/>
  <c r="W169" i="94"/>
  <c r="EG220" i="79"/>
  <c r="AF39" i="80"/>
  <c r="AF50" i="80" s="1"/>
  <c r="EG39" i="79"/>
  <c r="EG50" i="79" s="1"/>
  <c r="EG224" i="79"/>
  <c r="EG269" i="79"/>
  <c r="EG271" i="79" s="1"/>
  <c r="DP39" i="80"/>
  <c r="DP384" i="80" s="1"/>
  <c r="EG275" i="79"/>
  <c r="EG221" i="79"/>
  <c r="EG225" i="79"/>
  <c r="DA225" i="79"/>
  <c r="DA219" i="79"/>
  <c r="DA222" i="79"/>
  <c r="DA39" i="79"/>
  <c r="DA50" i="79" s="1"/>
  <c r="DA220" i="79"/>
  <c r="DA224" i="79"/>
  <c r="DA269" i="79"/>
  <c r="DA271" i="79" s="1"/>
  <c r="AV384" i="80"/>
  <c r="AV50" i="80"/>
  <c r="AX39" i="80"/>
  <c r="Y394" i="80"/>
  <c r="Y435" i="80"/>
  <c r="Y438" i="80" s="1"/>
  <c r="Y439" i="80" s="1"/>
  <c r="Y448" i="80" s="1"/>
  <c r="CC395" i="79"/>
  <c r="CC447" i="79" s="1"/>
  <c r="CC429" i="79"/>
  <c r="DI395" i="79"/>
  <c r="DI447" i="79" s="1"/>
  <c r="DI429" i="79"/>
  <c r="AW435" i="80"/>
  <c r="AW438" i="80" s="1"/>
  <c r="AW439" i="80" s="1"/>
  <c r="AW448" i="80" s="1"/>
  <c r="AW394" i="80"/>
  <c r="BM394" i="80"/>
  <c r="BM435" i="80"/>
  <c r="BM438" i="80" s="1"/>
  <c r="BM439" i="80" s="1"/>
  <c r="BM448" i="80" s="1"/>
  <c r="AO435" i="80"/>
  <c r="AO438" i="80" s="1"/>
  <c r="AO439" i="80" s="1"/>
  <c r="AO448" i="80" s="1"/>
  <c r="AO394" i="80"/>
  <c r="DQ395" i="79"/>
  <c r="DQ447" i="79" s="1"/>
  <c r="DQ429" i="79"/>
  <c r="EO435" i="80"/>
  <c r="EO438" i="80" s="1"/>
  <c r="EO439" i="80" s="1"/>
  <c r="EO448" i="80" s="1"/>
  <c r="EO394" i="80"/>
  <c r="CJ39" i="80"/>
  <c r="BM429" i="79"/>
  <c r="BM395" i="79"/>
  <c r="BM447" i="79" s="1"/>
  <c r="CC435" i="80"/>
  <c r="CC438" i="80" s="1"/>
  <c r="CC439" i="80" s="1"/>
  <c r="CC448" i="80" s="1"/>
  <c r="CC394" i="80"/>
  <c r="FM435" i="80"/>
  <c r="FM438" i="80" s="1"/>
  <c r="FM439" i="80" s="1"/>
  <c r="FM448" i="80" s="1"/>
  <c r="FM394" i="80"/>
  <c r="DY435" i="80"/>
  <c r="DY438" i="80" s="1"/>
  <c r="DY439" i="80" s="1"/>
  <c r="DY448" i="80" s="1"/>
  <c r="DY394" i="80"/>
  <c r="S95" i="197"/>
  <c r="S84" i="197" s="1"/>
  <c r="S85" i="197" s="1"/>
  <c r="N95" i="26" s="1"/>
  <c r="J95" i="26" s="1"/>
  <c r="G384" i="85"/>
  <c r="J63" i="13"/>
  <c r="J91" i="26"/>
  <c r="J63" i="203"/>
  <c r="J63" i="206"/>
  <c r="J63" i="207"/>
  <c r="G156" i="203"/>
  <c r="G158" i="203" s="1"/>
  <c r="G161" i="203" s="1"/>
  <c r="B75" i="36" s="1"/>
  <c r="B78" i="36" s="1"/>
  <c r="F61" i="36" s="1"/>
  <c r="G148" i="13"/>
  <c r="G156" i="13" s="1"/>
  <c r="G158" i="13" s="1"/>
  <c r="G161" i="13" s="1"/>
  <c r="DA435" i="80"/>
  <c r="DA438" i="80" s="1"/>
  <c r="DA439" i="80" s="1"/>
  <c r="DA448" i="80" s="1"/>
  <c r="DA394" i="80"/>
  <c r="CK394" i="80"/>
  <c r="CK435" i="80"/>
  <c r="CK438" i="80" s="1"/>
  <c r="CK439" i="80" s="1"/>
  <c r="CK448" i="80" s="1"/>
  <c r="DI435" i="80"/>
  <c r="DI438" i="80" s="1"/>
  <c r="DI439" i="80" s="1"/>
  <c r="DI448" i="80" s="1"/>
  <c r="DI394" i="80"/>
  <c r="X39" i="80"/>
  <c r="BL39" i="80"/>
  <c r="AN39" i="80"/>
  <c r="CB39" i="80"/>
  <c r="BT39" i="80"/>
  <c r="BD39" i="80"/>
  <c r="EV39" i="80"/>
  <c r="CR39" i="80"/>
  <c r="FL39" i="80"/>
  <c r="EN39" i="80"/>
  <c r="P39" i="80"/>
  <c r="FD39" i="80"/>
  <c r="DH39" i="80"/>
  <c r="EF39" i="80"/>
  <c r="CZ39" i="80"/>
  <c r="FE395" i="79"/>
  <c r="FE447" i="79" s="1"/>
  <c r="FE429" i="79"/>
  <c r="EW435" i="80"/>
  <c r="EW438" i="80" s="1"/>
  <c r="EW439" i="80" s="1"/>
  <c r="EW448" i="80" s="1"/>
  <c r="EW394" i="80"/>
  <c r="BE435" i="80"/>
  <c r="BE438" i="80" s="1"/>
  <c r="BE439" i="80" s="1"/>
  <c r="BE448" i="80" s="1"/>
  <c r="BE394" i="80"/>
  <c r="DY429" i="79"/>
  <c r="DY395" i="79"/>
  <c r="DY447" i="79" s="1"/>
  <c r="BE429" i="79"/>
  <c r="BE395" i="79"/>
  <c r="BE447" i="79" s="1"/>
  <c r="CS429" i="79"/>
  <c r="CS395" i="79"/>
  <c r="CS447" i="79" s="1"/>
  <c r="DQ394" i="80"/>
  <c r="DQ435" i="80"/>
  <c r="DQ438" i="80" s="1"/>
  <c r="DQ439" i="80" s="1"/>
  <c r="DQ448" i="80" s="1"/>
  <c r="BU435" i="80"/>
  <c r="BU438" i="80" s="1"/>
  <c r="BU439" i="80" s="1"/>
  <c r="BU448" i="80" s="1"/>
  <c r="BU394" i="80"/>
  <c r="DP39" i="79"/>
  <c r="DX39" i="79"/>
  <c r="BD39" i="79"/>
  <c r="X39" i="79"/>
  <c r="FD39" i="79"/>
  <c r="CR39" i="79"/>
  <c r="AN39" i="79"/>
  <c r="FL39" i="79"/>
  <c r="EF39" i="79"/>
  <c r="BL39" i="79"/>
  <c r="BT39" i="79"/>
  <c r="EN39" i="79"/>
  <c r="P39" i="79"/>
  <c r="AF39" i="79"/>
  <c r="CJ39" i="79"/>
  <c r="AV39" i="79"/>
  <c r="CZ39" i="79"/>
  <c r="EV39" i="79"/>
  <c r="DH39" i="79"/>
  <c r="AG435" i="80"/>
  <c r="AG438" i="80" s="1"/>
  <c r="AG439" i="80" s="1"/>
  <c r="AG448" i="80" s="1"/>
  <c r="AG394" i="80"/>
  <c r="DX39" i="80"/>
  <c r="FE435" i="80"/>
  <c r="FE438" i="80" s="1"/>
  <c r="FE439" i="80" s="1"/>
  <c r="FE448" i="80" s="1"/>
  <c r="FE394" i="80"/>
  <c r="EG435" i="80"/>
  <c r="EG438" i="80" s="1"/>
  <c r="EG439" i="80" s="1"/>
  <c r="EG448" i="80" s="1"/>
  <c r="EG394" i="80"/>
  <c r="EO224" i="79"/>
  <c r="U597" i="96"/>
  <c r="I63" i="13"/>
  <c r="I63" i="206"/>
  <c r="I63" i="203"/>
  <c r="I63" i="207"/>
  <c r="R95" i="197"/>
  <c r="I91" i="26"/>
  <c r="F384" i="85"/>
  <c r="J234" i="79"/>
  <c r="J234" i="80"/>
  <c r="J234" i="85"/>
  <c r="L134" i="90" s="1"/>
  <c r="I234" i="79"/>
  <c r="I234" i="80"/>
  <c r="I234" i="85"/>
  <c r="K134" i="90" s="1"/>
  <c r="EO269" i="79"/>
  <c r="EO271" i="79" s="1"/>
  <c r="H271" i="80"/>
  <c r="CR269" i="80"/>
  <c r="FD269" i="80"/>
  <c r="EF269" i="80"/>
  <c r="CB269" i="80"/>
  <c r="AN269" i="80"/>
  <c r="X269" i="80"/>
  <c r="BL269" i="80"/>
  <c r="P269" i="80"/>
  <c r="AV269" i="80"/>
  <c r="CJ269" i="80"/>
  <c r="BT269" i="80"/>
  <c r="CZ269" i="80"/>
  <c r="EV269" i="80"/>
  <c r="AF269" i="80"/>
  <c r="DH269" i="80"/>
  <c r="EN269" i="80"/>
  <c r="DX269" i="80"/>
  <c r="BD269" i="80"/>
  <c r="FL269" i="80"/>
  <c r="E70" i="35"/>
  <c r="E73" i="35" s="1"/>
  <c r="E74" i="35" s="1"/>
  <c r="E83" i="35" s="1"/>
  <c r="E37" i="35"/>
  <c r="H271" i="79"/>
  <c r="AF269" i="79"/>
  <c r="AN269" i="79"/>
  <c r="P269" i="79"/>
  <c r="BD269" i="79"/>
  <c r="FD269" i="79"/>
  <c r="FL269" i="79"/>
  <c r="DX269" i="79"/>
  <c r="CR269" i="79"/>
  <c r="BT269" i="79"/>
  <c r="DP269" i="79"/>
  <c r="X269" i="79"/>
  <c r="BL269" i="79"/>
  <c r="EF269" i="79"/>
  <c r="EF271" i="79" s="1"/>
  <c r="EN269" i="79"/>
  <c r="EN271" i="79" s="1"/>
  <c r="CJ269" i="79"/>
  <c r="CJ271" i="79" s="1"/>
  <c r="AV269" i="79"/>
  <c r="EV269" i="79"/>
  <c r="EV271" i="79" s="1"/>
  <c r="DH269" i="79"/>
  <c r="CZ269" i="79"/>
  <c r="CZ271" i="79" s="1"/>
  <c r="H50" i="85"/>
  <c r="EO275" i="79"/>
  <c r="T597" i="96"/>
  <c r="CR221" i="80"/>
  <c r="CT221" i="80" s="1"/>
  <c r="FD221" i="80"/>
  <c r="FF221" i="80" s="1"/>
  <c r="EF221" i="80"/>
  <c r="EH221" i="80" s="1"/>
  <c r="X221" i="80"/>
  <c r="Z221" i="80" s="1"/>
  <c r="CJ221" i="80"/>
  <c r="CL221" i="80" s="1"/>
  <c r="AV221" i="80"/>
  <c r="AX221" i="80" s="1"/>
  <c r="P221" i="80"/>
  <c r="R221" i="80" s="1"/>
  <c r="CB221" i="80"/>
  <c r="CD221" i="80" s="1"/>
  <c r="AN221" i="80"/>
  <c r="AP221" i="80" s="1"/>
  <c r="BL221" i="80"/>
  <c r="BN221" i="80" s="1"/>
  <c r="DH221" i="80"/>
  <c r="DJ221" i="80" s="1"/>
  <c r="CZ221" i="80"/>
  <c r="DB221" i="80" s="1"/>
  <c r="BD221" i="80"/>
  <c r="BF221" i="80" s="1"/>
  <c r="EN221" i="80"/>
  <c r="EP221" i="80" s="1"/>
  <c r="FL221" i="80"/>
  <c r="FN221" i="80" s="1"/>
  <c r="EV221" i="80"/>
  <c r="EX221" i="80" s="1"/>
  <c r="DX221" i="80"/>
  <c r="DZ221" i="80" s="1"/>
  <c r="BT221" i="80"/>
  <c r="BV221" i="80" s="1"/>
  <c r="AF221" i="80"/>
  <c r="AH221" i="80" s="1"/>
  <c r="H384" i="80"/>
  <c r="H50" i="80"/>
  <c r="EO39" i="79"/>
  <c r="EO384" i="79" s="1"/>
  <c r="EO394" i="79" s="1"/>
  <c r="S585" i="96"/>
  <c r="AF221" i="79"/>
  <c r="AH221" i="79" s="1"/>
  <c r="BL221" i="79"/>
  <c r="BN221" i="79" s="1"/>
  <c r="X221" i="79"/>
  <c r="Z221" i="79" s="1"/>
  <c r="FL221" i="79"/>
  <c r="FN221" i="79" s="1"/>
  <c r="BD221" i="79"/>
  <c r="BF221" i="79" s="1"/>
  <c r="BT221" i="79"/>
  <c r="BV221" i="79" s="1"/>
  <c r="DX221" i="79"/>
  <c r="DZ221" i="79" s="1"/>
  <c r="AN221" i="79"/>
  <c r="AP221" i="79" s="1"/>
  <c r="CR221" i="79"/>
  <c r="CT221" i="79" s="1"/>
  <c r="P221" i="79"/>
  <c r="R221" i="79" s="1"/>
  <c r="FD221" i="79"/>
  <c r="FF221" i="79" s="1"/>
  <c r="DP221" i="79"/>
  <c r="DR221" i="79" s="1"/>
  <c r="EF221" i="79"/>
  <c r="AV221" i="79"/>
  <c r="AX221" i="79" s="1"/>
  <c r="CJ221" i="79"/>
  <c r="EN221" i="79"/>
  <c r="DH221" i="79"/>
  <c r="DJ221" i="79" s="1"/>
  <c r="EV221" i="79"/>
  <c r="CZ221" i="79"/>
  <c r="DB221" i="79" s="1"/>
  <c r="E70" i="82"/>
  <c r="E73" i="82" s="1"/>
  <c r="E74" i="82" s="1"/>
  <c r="E83" i="82" s="1"/>
  <c r="E37" i="82"/>
  <c r="AF219" i="79"/>
  <c r="AH219" i="79" s="1"/>
  <c r="FL219" i="79"/>
  <c r="FN219" i="79" s="1"/>
  <c r="AN219" i="79"/>
  <c r="AP219" i="79" s="1"/>
  <c r="P219" i="79"/>
  <c r="R219" i="79" s="1"/>
  <c r="BL219" i="79"/>
  <c r="BN219" i="79" s="1"/>
  <c r="CR219" i="79"/>
  <c r="CT219" i="79" s="1"/>
  <c r="FD219" i="79"/>
  <c r="FF219" i="79" s="1"/>
  <c r="DX219" i="79"/>
  <c r="DZ219" i="79" s="1"/>
  <c r="BD219" i="79"/>
  <c r="BF219" i="79" s="1"/>
  <c r="BT219" i="79"/>
  <c r="BV219" i="79" s="1"/>
  <c r="DP219" i="79"/>
  <c r="DR219" i="79" s="1"/>
  <c r="X219" i="79"/>
  <c r="Z219" i="79" s="1"/>
  <c r="CJ219" i="79"/>
  <c r="EF219" i="79"/>
  <c r="DH219" i="79"/>
  <c r="DJ219" i="79" s="1"/>
  <c r="AV219" i="79"/>
  <c r="AX219" i="79" s="1"/>
  <c r="EN219" i="79"/>
  <c r="EP219" i="79" s="1"/>
  <c r="EV219" i="79"/>
  <c r="EX219" i="79" s="1"/>
  <c r="CZ219" i="79"/>
  <c r="CB269" i="79"/>
  <c r="CB271" i="79" s="1"/>
  <c r="EO225" i="79"/>
  <c r="FD222" i="80"/>
  <c r="FF222" i="80" s="1"/>
  <c r="CR222" i="80"/>
  <c r="CT222" i="80" s="1"/>
  <c r="X222" i="80"/>
  <c r="Z222" i="80" s="1"/>
  <c r="BL222" i="80"/>
  <c r="BN222" i="80" s="1"/>
  <c r="AN222" i="80"/>
  <c r="AP222" i="80" s="1"/>
  <c r="EF222" i="80"/>
  <c r="EH222" i="80" s="1"/>
  <c r="CJ222" i="80"/>
  <c r="CL222" i="80" s="1"/>
  <c r="AV222" i="80"/>
  <c r="AX222" i="80" s="1"/>
  <c r="CB222" i="80"/>
  <c r="CD222" i="80" s="1"/>
  <c r="P222" i="80"/>
  <c r="R222" i="80" s="1"/>
  <c r="EN222" i="80"/>
  <c r="EP222" i="80" s="1"/>
  <c r="DH222" i="80"/>
  <c r="DJ222" i="80" s="1"/>
  <c r="EV222" i="80"/>
  <c r="EX222" i="80" s="1"/>
  <c r="AF222" i="80"/>
  <c r="AH222" i="80" s="1"/>
  <c r="FL222" i="80"/>
  <c r="FN222" i="80" s="1"/>
  <c r="BT222" i="80"/>
  <c r="BV222" i="80" s="1"/>
  <c r="BD222" i="80"/>
  <c r="BF222" i="80" s="1"/>
  <c r="CZ222" i="80"/>
  <c r="DB222" i="80" s="1"/>
  <c r="DX222" i="80"/>
  <c r="DZ222" i="80" s="1"/>
  <c r="I429" i="80"/>
  <c r="G429" i="80"/>
  <c r="I413" i="80"/>
  <c r="I395" i="80"/>
  <c r="I447" i="80" s="1"/>
  <c r="FD275" i="80"/>
  <c r="FF275" i="80" s="1"/>
  <c r="CR275" i="80"/>
  <c r="CT275" i="80" s="1"/>
  <c r="EF275" i="80"/>
  <c r="EH275" i="80" s="1"/>
  <c r="CJ275" i="80"/>
  <c r="CL275" i="80" s="1"/>
  <c r="AN275" i="80"/>
  <c r="AP275" i="80" s="1"/>
  <c r="CB275" i="80"/>
  <c r="CD275" i="80" s="1"/>
  <c r="P275" i="80"/>
  <c r="R275" i="80" s="1"/>
  <c r="X275" i="80"/>
  <c r="Z275" i="80" s="1"/>
  <c r="BL275" i="80"/>
  <c r="BN275" i="80" s="1"/>
  <c r="AV275" i="80"/>
  <c r="AX275" i="80" s="1"/>
  <c r="DX275" i="80"/>
  <c r="DZ275" i="80" s="1"/>
  <c r="BT275" i="80"/>
  <c r="BV275" i="80" s="1"/>
  <c r="DH275" i="80"/>
  <c r="DJ275" i="80" s="1"/>
  <c r="AF275" i="80"/>
  <c r="AH275" i="80" s="1"/>
  <c r="EN275" i="80"/>
  <c r="EP275" i="80" s="1"/>
  <c r="CZ275" i="80"/>
  <c r="DB275" i="80" s="1"/>
  <c r="FL275" i="80"/>
  <c r="FN275" i="80" s="1"/>
  <c r="BD275" i="80"/>
  <c r="BF275" i="80" s="1"/>
  <c r="EV275" i="80"/>
  <c r="EX275" i="80" s="1"/>
  <c r="H435" i="79"/>
  <c r="H438" i="79" s="1"/>
  <c r="H439" i="79" s="1"/>
  <c r="H384" i="79"/>
  <c r="H394" i="79" s="1"/>
  <c r="H395" i="79" s="1"/>
  <c r="H50" i="79"/>
  <c r="H413" i="79" s="1"/>
  <c r="EO220" i="79"/>
  <c r="AF222" i="79"/>
  <c r="AH222" i="79" s="1"/>
  <c r="DP222" i="79"/>
  <c r="DR222" i="79" s="1"/>
  <c r="CR222" i="79"/>
  <c r="CT222" i="79" s="1"/>
  <c r="X222" i="79"/>
  <c r="Z222" i="79" s="1"/>
  <c r="BT222" i="79"/>
  <c r="BV222" i="79" s="1"/>
  <c r="AN222" i="79"/>
  <c r="AP222" i="79" s="1"/>
  <c r="BL222" i="79"/>
  <c r="BN222" i="79" s="1"/>
  <c r="P222" i="79"/>
  <c r="R222" i="79" s="1"/>
  <c r="BD222" i="79"/>
  <c r="BF222" i="79" s="1"/>
  <c r="FD222" i="79"/>
  <c r="FF222" i="79" s="1"/>
  <c r="FL222" i="79"/>
  <c r="FN222" i="79" s="1"/>
  <c r="DX222" i="79"/>
  <c r="DZ222" i="79" s="1"/>
  <c r="EF222" i="79"/>
  <c r="EH222" i="79" s="1"/>
  <c r="EN222" i="79"/>
  <c r="EP222" i="79" s="1"/>
  <c r="CJ222" i="79"/>
  <c r="AV222" i="79"/>
  <c r="AX222" i="79" s="1"/>
  <c r="EV222" i="79"/>
  <c r="DH222" i="79"/>
  <c r="DJ222" i="79" s="1"/>
  <c r="CZ222" i="79"/>
  <c r="AF224" i="79"/>
  <c r="AH224" i="79" s="1"/>
  <c r="BT224" i="79"/>
  <c r="BV224" i="79" s="1"/>
  <c r="X224" i="79"/>
  <c r="Z224" i="79" s="1"/>
  <c r="CR224" i="79"/>
  <c r="CT224" i="79" s="1"/>
  <c r="AN224" i="79"/>
  <c r="AP224" i="79" s="1"/>
  <c r="DP224" i="79"/>
  <c r="DR224" i="79" s="1"/>
  <c r="FL224" i="79"/>
  <c r="FN224" i="79" s="1"/>
  <c r="BL224" i="79"/>
  <c r="BN224" i="79" s="1"/>
  <c r="BD224" i="79"/>
  <c r="BF224" i="79" s="1"/>
  <c r="FD224" i="79"/>
  <c r="FF224" i="79" s="1"/>
  <c r="DX224" i="79"/>
  <c r="DZ224" i="79" s="1"/>
  <c r="P224" i="79"/>
  <c r="R224" i="79" s="1"/>
  <c r="EN224" i="79"/>
  <c r="CJ224" i="79"/>
  <c r="CL224" i="79" s="1"/>
  <c r="AV224" i="79"/>
  <c r="AX224" i="79" s="1"/>
  <c r="EF224" i="79"/>
  <c r="CZ224" i="79"/>
  <c r="DH224" i="79"/>
  <c r="DJ224" i="79" s="1"/>
  <c r="EV224" i="79"/>
  <c r="AF275" i="79"/>
  <c r="AH275" i="79" s="1"/>
  <c r="FD275" i="79"/>
  <c r="FF275" i="79" s="1"/>
  <c r="DX275" i="79"/>
  <c r="DZ275" i="79" s="1"/>
  <c r="BD275" i="79"/>
  <c r="BF275" i="79" s="1"/>
  <c r="BT275" i="79"/>
  <c r="BV275" i="79" s="1"/>
  <c r="BL275" i="79"/>
  <c r="BN275" i="79" s="1"/>
  <c r="DP275" i="79"/>
  <c r="DR275" i="79" s="1"/>
  <c r="X275" i="79"/>
  <c r="Z275" i="79" s="1"/>
  <c r="P275" i="79"/>
  <c r="R275" i="79" s="1"/>
  <c r="AN275" i="79"/>
  <c r="AP275" i="79" s="1"/>
  <c r="FL275" i="79"/>
  <c r="FN275" i="79" s="1"/>
  <c r="CR275" i="79"/>
  <c r="CT275" i="79" s="1"/>
  <c r="EF275" i="79"/>
  <c r="CJ275" i="79"/>
  <c r="DH275" i="79"/>
  <c r="DJ275" i="79" s="1"/>
  <c r="AV275" i="79"/>
  <c r="AX275" i="79" s="1"/>
  <c r="EN275" i="79"/>
  <c r="CZ275" i="79"/>
  <c r="EV275" i="79"/>
  <c r="J413" i="80"/>
  <c r="J429" i="80"/>
  <c r="J395" i="80"/>
  <c r="J447" i="80" s="1"/>
  <c r="CR220" i="80"/>
  <c r="CT220" i="80" s="1"/>
  <c r="FD220" i="80"/>
  <c r="FF220" i="80" s="1"/>
  <c r="AV220" i="80"/>
  <c r="AX220" i="80" s="1"/>
  <c r="CJ220" i="80"/>
  <c r="CL220" i="80" s="1"/>
  <c r="X220" i="80"/>
  <c r="Z220" i="80" s="1"/>
  <c r="BL220" i="80"/>
  <c r="BN220" i="80" s="1"/>
  <c r="AN220" i="80"/>
  <c r="AP220" i="80" s="1"/>
  <c r="CB220" i="80"/>
  <c r="CD220" i="80" s="1"/>
  <c r="EF220" i="80"/>
  <c r="EH220" i="80" s="1"/>
  <c r="P220" i="80"/>
  <c r="R220" i="80" s="1"/>
  <c r="AF220" i="80"/>
  <c r="AH220" i="80" s="1"/>
  <c r="CZ220" i="80"/>
  <c r="DB220" i="80" s="1"/>
  <c r="FL220" i="80"/>
  <c r="FN220" i="80" s="1"/>
  <c r="DX220" i="80"/>
  <c r="DZ220" i="80" s="1"/>
  <c r="BD220" i="80"/>
  <c r="BF220" i="80" s="1"/>
  <c r="EV220" i="80"/>
  <c r="EX220" i="80" s="1"/>
  <c r="EN220" i="80"/>
  <c r="EP220" i="80" s="1"/>
  <c r="BT220" i="80"/>
  <c r="BV220" i="80" s="1"/>
  <c r="DH220" i="80"/>
  <c r="DJ220" i="80" s="1"/>
  <c r="AF225" i="79"/>
  <c r="AH225" i="79" s="1"/>
  <c r="DX225" i="79"/>
  <c r="DZ225" i="79" s="1"/>
  <c r="BD225" i="79"/>
  <c r="BF225" i="79" s="1"/>
  <c r="BT225" i="79"/>
  <c r="BV225" i="79" s="1"/>
  <c r="FL225" i="79"/>
  <c r="FN225" i="79" s="1"/>
  <c r="DP225" i="79"/>
  <c r="DR225" i="79" s="1"/>
  <c r="P225" i="79"/>
  <c r="R225" i="79" s="1"/>
  <c r="FD225" i="79"/>
  <c r="FF225" i="79" s="1"/>
  <c r="X225" i="79"/>
  <c r="Z225" i="79" s="1"/>
  <c r="BL225" i="79"/>
  <c r="BN225" i="79" s="1"/>
  <c r="CR225" i="79"/>
  <c r="CT225" i="79" s="1"/>
  <c r="AN225" i="79"/>
  <c r="AP225" i="79" s="1"/>
  <c r="EF225" i="79"/>
  <c r="EN225" i="79"/>
  <c r="CJ225" i="79"/>
  <c r="AV225" i="79"/>
  <c r="AX225" i="79" s="1"/>
  <c r="CZ225" i="79"/>
  <c r="DH225" i="79"/>
  <c r="DJ225" i="79" s="1"/>
  <c r="EV225" i="79"/>
  <c r="EO221" i="79"/>
  <c r="CR224" i="80"/>
  <c r="CT224" i="80" s="1"/>
  <c r="FD224" i="80"/>
  <c r="FF224" i="80" s="1"/>
  <c r="AN224" i="80"/>
  <c r="AP224" i="80" s="1"/>
  <c r="P224" i="80"/>
  <c r="R224" i="80" s="1"/>
  <c r="CJ224" i="80"/>
  <c r="CL224" i="80" s="1"/>
  <c r="AV224" i="80"/>
  <c r="AX224" i="80" s="1"/>
  <c r="X224" i="80"/>
  <c r="Z224" i="80" s="1"/>
  <c r="CB224" i="80"/>
  <c r="CD224" i="80" s="1"/>
  <c r="EF224" i="80"/>
  <c r="EH224" i="80" s="1"/>
  <c r="BL224" i="80"/>
  <c r="BN224" i="80" s="1"/>
  <c r="DX224" i="80"/>
  <c r="DZ224" i="80" s="1"/>
  <c r="BT224" i="80"/>
  <c r="BV224" i="80" s="1"/>
  <c r="FL224" i="80"/>
  <c r="FN224" i="80" s="1"/>
  <c r="AF224" i="80"/>
  <c r="AH224" i="80" s="1"/>
  <c r="CZ224" i="80"/>
  <c r="DB224" i="80" s="1"/>
  <c r="EV224" i="80"/>
  <c r="EX224" i="80" s="1"/>
  <c r="EN224" i="80"/>
  <c r="EP224" i="80" s="1"/>
  <c r="DH224" i="80"/>
  <c r="DJ224" i="80" s="1"/>
  <c r="BD224" i="80"/>
  <c r="BF224" i="80" s="1"/>
  <c r="AF220" i="79"/>
  <c r="AH220" i="79" s="1"/>
  <c r="DP220" i="79"/>
  <c r="DR220" i="79" s="1"/>
  <c r="BL220" i="79"/>
  <c r="BN220" i="79" s="1"/>
  <c r="FD220" i="79"/>
  <c r="FF220" i="79" s="1"/>
  <c r="BT220" i="79"/>
  <c r="BV220" i="79" s="1"/>
  <c r="P220" i="79"/>
  <c r="R220" i="79" s="1"/>
  <c r="AN220" i="79"/>
  <c r="AP220" i="79" s="1"/>
  <c r="FL220" i="79"/>
  <c r="FN220" i="79" s="1"/>
  <c r="CR220" i="79"/>
  <c r="CT220" i="79" s="1"/>
  <c r="BD220" i="79"/>
  <c r="BF220" i="79" s="1"/>
  <c r="DX220" i="79"/>
  <c r="DZ220" i="79" s="1"/>
  <c r="X220" i="79"/>
  <c r="Z220" i="79" s="1"/>
  <c r="EN220" i="79"/>
  <c r="CJ220" i="79"/>
  <c r="EF220" i="79"/>
  <c r="AV220" i="79"/>
  <c r="AX220" i="79" s="1"/>
  <c r="EV220" i="79"/>
  <c r="EX220" i="79" s="1"/>
  <c r="DH220" i="79"/>
  <c r="DJ220" i="79" s="1"/>
  <c r="CZ220" i="79"/>
  <c r="FD225" i="80"/>
  <c r="FF225" i="80" s="1"/>
  <c r="CR225" i="80"/>
  <c r="CT225" i="80" s="1"/>
  <c r="P225" i="80"/>
  <c r="R225" i="80" s="1"/>
  <c r="CB225" i="80"/>
  <c r="CD225" i="80" s="1"/>
  <c r="BL225" i="80"/>
  <c r="BN225" i="80" s="1"/>
  <c r="AV225" i="80"/>
  <c r="AX225" i="80" s="1"/>
  <c r="EF225" i="80"/>
  <c r="EH225" i="80" s="1"/>
  <c r="CJ225" i="80"/>
  <c r="CL225" i="80" s="1"/>
  <c r="AN225" i="80"/>
  <c r="AP225" i="80" s="1"/>
  <c r="X225" i="80"/>
  <c r="Z225" i="80" s="1"/>
  <c r="EN225" i="80"/>
  <c r="EP225" i="80" s="1"/>
  <c r="DH225" i="80"/>
  <c r="DJ225" i="80" s="1"/>
  <c r="BD225" i="80"/>
  <c r="BF225" i="80" s="1"/>
  <c r="BT225" i="80"/>
  <c r="BV225" i="80" s="1"/>
  <c r="AF225" i="80"/>
  <c r="AH225" i="80" s="1"/>
  <c r="EV225" i="80"/>
  <c r="EX225" i="80" s="1"/>
  <c r="DX225" i="80"/>
  <c r="DZ225" i="80" s="1"/>
  <c r="FL225" i="80"/>
  <c r="FN225" i="80" s="1"/>
  <c r="CZ225" i="80"/>
  <c r="DB225" i="80" s="1"/>
  <c r="CR219" i="80"/>
  <c r="CT219" i="80" s="1"/>
  <c r="FD219" i="80"/>
  <c r="FF219" i="80" s="1"/>
  <c r="BL219" i="80"/>
  <c r="BN219" i="80" s="1"/>
  <c r="CB219" i="80"/>
  <c r="CD219" i="80" s="1"/>
  <c r="X219" i="80"/>
  <c r="Z219" i="80" s="1"/>
  <c r="P219" i="80"/>
  <c r="R219" i="80" s="1"/>
  <c r="AN219" i="80"/>
  <c r="AP219" i="80" s="1"/>
  <c r="EF219" i="80"/>
  <c r="EH219" i="80" s="1"/>
  <c r="AV219" i="80"/>
  <c r="AX219" i="80" s="1"/>
  <c r="CJ219" i="80"/>
  <c r="CL219" i="80" s="1"/>
  <c r="DX219" i="80"/>
  <c r="DZ219" i="80" s="1"/>
  <c r="BD219" i="80"/>
  <c r="BF219" i="80" s="1"/>
  <c r="AF219" i="80"/>
  <c r="AH219" i="80" s="1"/>
  <c r="DH219" i="80"/>
  <c r="DJ219" i="80" s="1"/>
  <c r="EV219" i="80"/>
  <c r="EX219" i="80" s="1"/>
  <c r="EN219" i="80"/>
  <c r="EP219" i="80" s="1"/>
  <c r="FL219" i="80"/>
  <c r="FN219" i="80" s="1"/>
  <c r="BT219" i="80"/>
  <c r="BV219" i="80" s="1"/>
  <c r="CZ219" i="80"/>
  <c r="DB219" i="80" s="1"/>
  <c r="CQ427" i="79"/>
  <c r="FK427" i="80"/>
  <c r="EU427" i="79"/>
  <c r="DW427" i="80"/>
  <c r="BS427" i="80"/>
  <c r="AM427" i="79"/>
  <c r="EM427" i="79"/>
  <c r="AE427" i="80"/>
  <c r="AN128" i="80"/>
  <c r="J128" i="79"/>
  <c r="J128" i="80"/>
  <c r="J128" i="85"/>
  <c r="L74" i="90" s="1"/>
  <c r="FD128" i="79"/>
  <c r="AV128" i="79"/>
  <c r="P128" i="79"/>
  <c r="CR128" i="79"/>
  <c r="FL128" i="79"/>
  <c r="X128" i="79"/>
  <c r="DP128" i="79"/>
  <c r="EF128" i="79"/>
  <c r="CB128" i="79"/>
  <c r="CJ128" i="79"/>
  <c r="EN128" i="79"/>
  <c r="DX128" i="79"/>
  <c r="EV128" i="79"/>
  <c r="BL128" i="79"/>
  <c r="BD128" i="79"/>
  <c r="DH128" i="79"/>
  <c r="BT128" i="79"/>
  <c r="AF128" i="79"/>
  <c r="AN128" i="79"/>
  <c r="CZ128" i="79"/>
  <c r="W427" i="79"/>
  <c r="AM427" i="80"/>
  <c r="EE427" i="80"/>
  <c r="EN149" i="80"/>
  <c r="X149" i="80"/>
  <c r="Z149" i="80" s="1"/>
  <c r="CZ149" i="80"/>
  <c r="DB149" i="80" s="1"/>
  <c r="CR149" i="80"/>
  <c r="CT149" i="80" s="1"/>
  <c r="BD149" i="80"/>
  <c r="BF149" i="80" s="1"/>
  <c r="DP149" i="80"/>
  <c r="DR149" i="80" s="1"/>
  <c r="BL149" i="80"/>
  <c r="BN149" i="80" s="1"/>
  <c r="BT149" i="80"/>
  <c r="BV149" i="80" s="1"/>
  <c r="CB149" i="80"/>
  <c r="CD149" i="80" s="1"/>
  <c r="AV149" i="80"/>
  <c r="AX149" i="80" s="1"/>
  <c r="FD149" i="80"/>
  <c r="FF149" i="80" s="1"/>
  <c r="DX149" i="80"/>
  <c r="AN149" i="80"/>
  <c r="AP149" i="80" s="1"/>
  <c r="P149" i="80"/>
  <c r="R149" i="80" s="1"/>
  <c r="CJ149" i="80"/>
  <c r="FL149" i="80"/>
  <c r="FN149" i="80" s="1"/>
  <c r="AF149" i="80"/>
  <c r="AH149" i="80" s="1"/>
  <c r="EF149" i="80"/>
  <c r="EH149" i="80" s="1"/>
  <c r="EV149" i="80"/>
  <c r="EX149" i="80" s="1"/>
  <c r="DH149" i="80"/>
  <c r="DJ149" i="80" s="1"/>
  <c r="I128" i="79"/>
  <c r="I128" i="80"/>
  <c r="I128" i="85"/>
  <c r="K74" i="90" s="1"/>
  <c r="H122" i="85"/>
  <c r="J68" i="90" s="1"/>
  <c r="BC427" i="79"/>
  <c r="CY427" i="79"/>
  <c r="CI427" i="79"/>
  <c r="BK427" i="80"/>
  <c r="FC427" i="80"/>
  <c r="AU427" i="79"/>
  <c r="O427" i="80"/>
  <c r="W427" i="80"/>
  <c r="BC427" i="80"/>
  <c r="DG427" i="79"/>
  <c r="AU427" i="80"/>
  <c r="DW427" i="79"/>
  <c r="DO427" i="80"/>
  <c r="FK133" i="80"/>
  <c r="FK135" i="80" s="1"/>
  <c r="DY122" i="80"/>
  <c r="DW133" i="80"/>
  <c r="DW135" i="80" s="1"/>
  <c r="BS427" i="79"/>
  <c r="CQ427" i="80"/>
  <c r="DA122" i="79"/>
  <c r="BM122" i="79"/>
  <c r="BK133" i="79"/>
  <c r="BK135" i="79" s="1"/>
  <c r="DQ122" i="80"/>
  <c r="Q122" i="80"/>
  <c r="O133" i="80"/>
  <c r="O135" i="80" s="1"/>
  <c r="AG122" i="80"/>
  <c r="AE133" i="80"/>
  <c r="AE135" i="80" s="1"/>
  <c r="DG427" i="80"/>
  <c r="EM427" i="80"/>
  <c r="FC427" i="79"/>
  <c r="EE427" i="79"/>
  <c r="O427" i="79"/>
  <c r="CI427" i="80"/>
  <c r="AO122" i="79"/>
  <c r="AM133" i="79"/>
  <c r="AM135" i="79" s="1"/>
  <c r="Y122" i="80"/>
  <c r="W133" i="80"/>
  <c r="W135" i="80" s="1"/>
  <c r="AW122" i="80"/>
  <c r="AU133" i="80"/>
  <c r="AU135" i="80" s="1"/>
  <c r="EG122" i="80"/>
  <c r="EE133" i="80"/>
  <c r="EE135" i="80" s="1"/>
  <c r="CA427" i="79"/>
  <c r="CD427" i="79"/>
  <c r="AG122" i="79"/>
  <c r="AE133" i="79"/>
  <c r="AE135" i="79" s="1"/>
  <c r="BU122" i="79"/>
  <c r="BS133" i="79"/>
  <c r="BS135" i="79" s="1"/>
  <c r="EO122" i="79"/>
  <c r="EM133" i="79"/>
  <c r="EM135" i="79" s="1"/>
  <c r="BM122" i="80"/>
  <c r="BK133" i="80"/>
  <c r="BK135" i="80" s="1"/>
  <c r="EU427" i="80"/>
  <c r="DI122" i="79"/>
  <c r="CY427" i="80"/>
  <c r="EO122" i="80"/>
  <c r="EM133" i="80"/>
  <c r="EM135" i="80" s="1"/>
  <c r="DI122" i="80"/>
  <c r="BK427" i="79"/>
  <c r="AO122" i="80"/>
  <c r="AM133" i="80"/>
  <c r="AM135" i="80" s="1"/>
  <c r="CA427" i="80"/>
  <c r="BU122" i="80"/>
  <c r="BS133" i="80"/>
  <c r="BS135" i="80" s="1"/>
  <c r="BC133" i="80"/>
  <c r="BC135" i="80" s="1"/>
  <c r="BE122" i="80"/>
  <c r="DO427" i="79"/>
  <c r="G135" i="85"/>
  <c r="DA122" i="80"/>
  <c r="CC122" i="80"/>
  <c r="CA133" i="80"/>
  <c r="CA135" i="80" s="1"/>
  <c r="FK427" i="79"/>
  <c r="AE427" i="79"/>
  <c r="DP271" i="80"/>
  <c r="DR269" i="80"/>
  <c r="DR271" i="80" s="1"/>
  <c r="EW50" i="79"/>
  <c r="CB384" i="79"/>
  <c r="CB394" i="79" s="1"/>
  <c r="CB395" i="79" s="1"/>
  <c r="CB447" i="79" s="1"/>
  <c r="CB435" i="79"/>
  <c r="CB438" i="79" s="1"/>
  <c r="CB439" i="79" s="1"/>
  <c r="CD39" i="79"/>
  <c r="CB50" i="79"/>
  <c r="Q413" i="79"/>
  <c r="Q429" i="79"/>
  <c r="Q395" i="79"/>
  <c r="Q447" i="79" s="1"/>
  <c r="M158" i="196"/>
  <c r="I161" i="196"/>
  <c r="G158" i="196"/>
  <c r="K156" i="196"/>
  <c r="Q413" i="80"/>
  <c r="Q429" i="80"/>
  <c r="Q395" i="80"/>
  <c r="Q447" i="80" s="1"/>
  <c r="BU447" i="79"/>
  <c r="L156" i="196"/>
  <c r="H158" i="196"/>
  <c r="CS429" i="80"/>
  <c r="CS395" i="80"/>
  <c r="CS413" i="80"/>
  <c r="J161" i="196"/>
  <c r="N158" i="196"/>
  <c r="F114" i="113"/>
  <c r="D114" i="113"/>
  <c r="E115" i="113" s="1"/>
  <c r="U167" i="94" l="1"/>
  <c r="X167" i="94" s="1"/>
  <c r="EX225" i="79"/>
  <c r="CI133" i="79"/>
  <c r="CI135" i="79" s="1"/>
  <c r="CQ133" i="80"/>
  <c r="CQ135" i="80" s="1"/>
  <c r="DZ149" i="80"/>
  <c r="H122" i="80"/>
  <c r="AF122" i="80" s="1"/>
  <c r="FD128" i="80"/>
  <c r="EE133" i="79"/>
  <c r="EE135" i="79" s="1"/>
  <c r="EP149" i="80"/>
  <c r="AF128" i="80"/>
  <c r="FL128" i="80"/>
  <c r="BE122" i="79"/>
  <c r="BD128" i="80"/>
  <c r="EN128" i="80"/>
  <c r="CL219" i="79"/>
  <c r="EV128" i="80"/>
  <c r="BT128" i="80"/>
  <c r="EU133" i="80"/>
  <c r="EU135" i="80" s="1"/>
  <c r="DH128" i="80"/>
  <c r="X128" i="80"/>
  <c r="AV128" i="80"/>
  <c r="FC133" i="80"/>
  <c r="FC135" i="80" s="1"/>
  <c r="EF128" i="80"/>
  <c r="CB128" i="80"/>
  <c r="CI133" i="80"/>
  <c r="CI135" i="80" s="1"/>
  <c r="DP128" i="80"/>
  <c r="DX128" i="80"/>
  <c r="BL128" i="80"/>
  <c r="CR128" i="80"/>
  <c r="CJ128" i="80"/>
  <c r="DB219" i="79"/>
  <c r="CK384" i="79"/>
  <c r="CK394" i="79" s="1"/>
  <c r="CK435" i="79"/>
  <c r="CK438" i="79" s="1"/>
  <c r="CK439" i="79" s="1"/>
  <c r="CK448" i="79" s="1"/>
  <c r="CK234" i="79" s="1"/>
  <c r="EH219" i="79"/>
  <c r="DB224" i="79"/>
  <c r="CL149" i="80"/>
  <c r="DB275" i="79"/>
  <c r="CL222" i="79"/>
  <c r="DB220" i="79"/>
  <c r="CL275" i="79"/>
  <c r="CZ128" i="80"/>
  <c r="U168" i="94"/>
  <c r="X168" i="94" s="1"/>
  <c r="X156" i="94"/>
  <c r="Y156" i="94" s="1"/>
  <c r="DW133" i="79"/>
  <c r="DW135" i="79" s="1"/>
  <c r="Y122" i="79"/>
  <c r="EX221" i="79"/>
  <c r="AF149" i="79"/>
  <c r="AH149" i="79" s="1"/>
  <c r="DX149" i="79"/>
  <c r="DZ149" i="79" s="1"/>
  <c r="CJ149" i="79"/>
  <c r="CL149" i="79" s="1"/>
  <c r="CR149" i="79"/>
  <c r="CT149" i="79" s="1"/>
  <c r="DH149" i="79"/>
  <c r="DJ149" i="79" s="1"/>
  <c r="DP149" i="79"/>
  <c r="DR149" i="79" s="1"/>
  <c r="BL149" i="79"/>
  <c r="BN149" i="79" s="1"/>
  <c r="BD149" i="79"/>
  <c r="BF149" i="79" s="1"/>
  <c r="CZ149" i="79"/>
  <c r="DB149" i="79" s="1"/>
  <c r="X149" i="79"/>
  <c r="Z149" i="79" s="1"/>
  <c r="EF149" i="79"/>
  <c r="EH149" i="79" s="1"/>
  <c r="FD149" i="79"/>
  <c r="FF149" i="79" s="1"/>
  <c r="EV149" i="79"/>
  <c r="EX149" i="79" s="1"/>
  <c r="AN149" i="79"/>
  <c r="AP149" i="79" s="1"/>
  <c r="BT149" i="79"/>
  <c r="BV149" i="79" s="1"/>
  <c r="AV149" i="79"/>
  <c r="AX149" i="79" s="1"/>
  <c r="CB149" i="79"/>
  <c r="CD149" i="79" s="1"/>
  <c r="FL149" i="79"/>
  <c r="FN149" i="79" s="1"/>
  <c r="EN149" i="79"/>
  <c r="EP149" i="79" s="1"/>
  <c r="EO435" i="79"/>
  <c r="EO438" i="79" s="1"/>
  <c r="EO439" i="79" s="1"/>
  <c r="EO448" i="79" s="1"/>
  <c r="EO234" i="79" s="1"/>
  <c r="CL39" i="79"/>
  <c r="CL435" i="79" s="1"/>
  <c r="CL438" i="79" s="1"/>
  <c r="CL439" i="79" s="1"/>
  <c r="CL448" i="79" s="1"/>
  <c r="EH225" i="79"/>
  <c r="EW384" i="79"/>
  <c r="EW394" i="79" s="1"/>
  <c r="EW429" i="79" s="1"/>
  <c r="DQ122" i="79"/>
  <c r="DP50" i="80"/>
  <c r="FK133" i="79"/>
  <c r="FK135" i="79" s="1"/>
  <c r="DR39" i="80"/>
  <c r="DR50" i="80" s="1"/>
  <c r="EX39" i="79"/>
  <c r="EX435" i="79" s="1"/>
  <c r="EX438" i="79" s="1"/>
  <c r="EX439" i="79" s="1"/>
  <c r="EX448" i="79" s="1"/>
  <c r="EO50" i="79"/>
  <c r="EO413" i="79" s="1"/>
  <c r="CL220" i="79"/>
  <c r="EW234" i="79"/>
  <c r="AW122" i="79"/>
  <c r="EG384" i="79"/>
  <c r="EG394" i="79" s="1"/>
  <c r="EG429" i="79" s="1"/>
  <c r="EX224" i="79"/>
  <c r="EG435" i="79"/>
  <c r="EG438" i="79" s="1"/>
  <c r="EG439" i="79" s="1"/>
  <c r="EG448" i="79" s="1"/>
  <c r="EG234" i="79" s="1"/>
  <c r="EX222" i="79"/>
  <c r="EH220" i="79"/>
  <c r="EP221" i="79"/>
  <c r="DB225" i="79"/>
  <c r="EH224" i="79"/>
  <c r="DB222" i="79"/>
  <c r="CQ133" i="79"/>
  <c r="CQ135" i="79" s="1"/>
  <c r="CL225" i="79"/>
  <c r="CL221" i="79"/>
  <c r="AH39" i="80"/>
  <c r="AH50" i="80" s="1"/>
  <c r="AF384" i="80"/>
  <c r="AF435" i="80" s="1"/>
  <c r="AF438" i="80" s="1"/>
  <c r="AF439" i="80" s="1"/>
  <c r="EX275" i="79"/>
  <c r="EH269" i="79"/>
  <c r="EH271" i="79" s="1"/>
  <c r="DA384" i="79"/>
  <c r="DA394" i="79" s="1"/>
  <c r="DA429" i="79" s="1"/>
  <c r="CA133" i="79"/>
  <c r="CA135" i="79" s="1"/>
  <c r="CB122" i="79"/>
  <c r="CD122" i="79" s="1"/>
  <c r="DA435" i="79"/>
  <c r="DA438" i="79" s="1"/>
  <c r="DA439" i="79" s="1"/>
  <c r="DA448" i="79" s="1"/>
  <c r="DA234" i="79" s="1"/>
  <c r="EU133" i="79"/>
  <c r="EU135" i="79" s="1"/>
  <c r="DB39" i="79"/>
  <c r="DB50" i="79" s="1"/>
  <c r="DB413" i="79" s="1"/>
  <c r="D76" i="36"/>
  <c r="G63" i="36"/>
  <c r="G61" i="36"/>
  <c r="H61" i="36"/>
  <c r="H63" i="36"/>
  <c r="G62" i="36"/>
  <c r="H62" i="36"/>
  <c r="FC133" i="79"/>
  <c r="FC135" i="79" s="1"/>
  <c r="EH275" i="79"/>
  <c r="O133" i="79"/>
  <c r="O135" i="79" s="1"/>
  <c r="F53" i="36"/>
  <c r="F69" i="36"/>
  <c r="EX269" i="79"/>
  <c r="EX271" i="79" s="1"/>
  <c r="EP224" i="79"/>
  <c r="EH221" i="79"/>
  <c r="CD269" i="79"/>
  <c r="CD271" i="79" s="1"/>
  <c r="DB269" i="79"/>
  <c r="DB271" i="79" s="1"/>
  <c r="CJ435" i="79"/>
  <c r="CJ438" i="79" s="1"/>
  <c r="CJ439" i="79" s="1"/>
  <c r="CJ384" i="79"/>
  <c r="CJ394" i="79" s="1"/>
  <c r="CJ395" i="79" s="1"/>
  <c r="CJ447" i="79" s="1"/>
  <c r="CJ50" i="79"/>
  <c r="CJ413" i="79" s="1"/>
  <c r="AN435" i="79"/>
  <c r="AN438" i="79" s="1"/>
  <c r="AN439" i="79" s="1"/>
  <c r="AN50" i="79"/>
  <c r="AN413" i="79" s="1"/>
  <c r="AN384" i="79"/>
  <c r="AN394" i="79" s="1"/>
  <c r="AN395" i="79" s="1"/>
  <c r="AP39" i="79"/>
  <c r="EF50" i="80"/>
  <c r="EH39" i="80"/>
  <c r="EF384" i="80"/>
  <c r="BF39" i="80"/>
  <c r="BD50" i="80"/>
  <c r="BD384" i="80"/>
  <c r="CJ50" i="80"/>
  <c r="CL39" i="80"/>
  <c r="CJ384" i="80"/>
  <c r="BM429" i="80"/>
  <c r="BM395" i="80"/>
  <c r="BM447" i="80" s="1"/>
  <c r="BM413" i="80"/>
  <c r="Y413" i="80"/>
  <c r="Y429" i="80"/>
  <c r="Y395" i="80"/>
  <c r="Y447" i="80" s="1"/>
  <c r="AV384" i="79"/>
  <c r="AV394" i="79" s="1"/>
  <c r="AV395" i="79" s="1"/>
  <c r="AV447" i="79" s="1"/>
  <c r="AX39" i="79"/>
  <c r="AV435" i="79"/>
  <c r="AV438" i="79" s="1"/>
  <c r="AV439" i="79" s="1"/>
  <c r="AV50" i="79"/>
  <c r="AV413" i="79" s="1"/>
  <c r="BU395" i="80"/>
  <c r="BU447" i="80" s="1"/>
  <c r="BU429" i="80"/>
  <c r="BU413" i="80"/>
  <c r="DY413" i="80"/>
  <c r="DY395" i="80"/>
  <c r="DY447" i="80" s="1"/>
  <c r="DY429" i="80"/>
  <c r="DX50" i="80"/>
  <c r="DZ39" i="80"/>
  <c r="DX384" i="80"/>
  <c r="AF384" i="79"/>
  <c r="AF394" i="79" s="1"/>
  <c r="AF395" i="79" s="1"/>
  <c r="AF435" i="79"/>
  <c r="AF438" i="79" s="1"/>
  <c r="AF439" i="79" s="1"/>
  <c r="AF50" i="79"/>
  <c r="AF413" i="79" s="1"/>
  <c r="AH39" i="79"/>
  <c r="CR384" i="79"/>
  <c r="CR394" i="79" s="1"/>
  <c r="CR395" i="79" s="1"/>
  <c r="CR447" i="79" s="1"/>
  <c r="CR435" i="79"/>
  <c r="CR438" i="79" s="1"/>
  <c r="CR439" i="79" s="1"/>
  <c r="CR50" i="79"/>
  <c r="CR413" i="79" s="1"/>
  <c r="CT39" i="79"/>
  <c r="BE395" i="80"/>
  <c r="BE447" i="80" s="1"/>
  <c r="BE429" i="80"/>
  <c r="BE413" i="80"/>
  <c r="DJ39" i="80"/>
  <c r="DH384" i="80"/>
  <c r="DH50" i="80"/>
  <c r="BT384" i="80"/>
  <c r="BT50" i="80"/>
  <c r="BV39" i="80"/>
  <c r="FM429" i="80"/>
  <c r="FM413" i="80"/>
  <c r="FM395" i="80"/>
  <c r="FM447" i="80" s="1"/>
  <c r="EO429" i="80"/>
  <c r="EO413" i="80"/>
  <c r="EO395" i="80"/>
  <c r="EO447" i="80" s="1"/>
  <c r="AW395" i="80"/>
  <c r="AW447" i="80" s="1"/>
  <c r="AW429" i="80"/>
  <c r="AW413" i="80"/>
  <c r="E57" i="82"/>
  <c r="E38" i="82"/>
  <c r="E82" i="82" s="1"/>
  <c r="AG429" i="80"/>
  <c r="AG413" i="80"/>
  <c r="AG395" i="80"/>
  <c r="AG447" i="80" s="1"/>
  <c r="P435" i="79"/>
  <c r="P438" i="79" s="1"/>
  <c r="P439" i="79" s="1"/>
  <c r="P384" i="79"/>
  <c r="P394" i="79" s="1"/>
  <c r="P395" i="79" s="1"/>
  <c r="P447" i="79" s="1"/>
  <c r="P50" i="79"/>
  <c r="P413" i="79" s="1"/>
  <c r="R39" i="79"/>
  <c r="FF39" i="79"/>
  <c r="FD435" i="79"/>
  <c r="FD438" i="79" s="1"/>
  <c r="FD439" i="79" s="1"/>
  <c r="FD384" i="79"/>
  <c r="FD394" i="79" s="1"/>
  <c r="FD395" i="79" s="1"/>
  <c r="FD50" i="79"/>
  <c r="FD413" i="79" s="1"/>
  <c r="DQ429" i="80"/>
  <c r="DQ395" i="80"/>
  <c r="DQ447" i="80" s="1"/>
  <c r="DQ413" i="80"/>
  <c r="FD384" i="80"/>
  <c r="FD50" i="80"/>
  <c r="FF39" i="80"/>
  <c r="CD39" i="80"/>
  <c r="CB384" i="80"/>
  <c r="CB50" i="80"/>
  <c r="CK429" i="80"/>
  <c r="CK413" i="80"/>
  <c r="CK395" i="80"/>
  <c r="CK447" i="80" s="1"/>
  <c r="FE429" i="80"/>
  <c r="FE413" i="80"/>
  <c r="FE395" i="80"/>
  <c r="FE447" i="80" s="1"/>
  <c r="EN435" i="79"/>
  <c r="EN438" i="79" s="1"/>
  <c r="EN439" i="79" s="1"/>
  <c r="EN384" i="79"/>
  <c r="EN394" i="79" s="1"/>
  <c r="EN395" i="79" s="1"/>
  <c r="EN447" i="79" s="1"/>
  <c r="EN50" i="79"/>
  <c r="EN413" i="79" s="1"/>
  <c r="X384" i="79"/>
  <c r="X394" i="79" s="1"/>
  <c r="X395" i="79" s="1"/>
  <c r="X435" i="79"/>
  <c r="X438" i="79" s="1"/>
  <c r="X439" i="79" s="1"/>
  <c r="X50" i="79"/>
  <c r="X413" i="79" s="1"/>
  <c r="Z39" i="79"/>
  <c r="EW395" i="80"/>
  <c r="EW447" i="80" s="1"/>
  <c r="EW429" i="80"/>
  <c r="EW413" i="80"/>
  <c r="P50" i="80"/>
  <c r="P384" i="80"/>
  <c r="R39" i="80"/>
  <c r="AN384" i="80"/>
  <c r="AN50" i="80"/>
  <c r="AP39" i="80"/>
  <c r="DA429" i="80"/>
  <c r="DA413" i="80"/>
  <c r="DA395" i="80"/>
  <c r="DA447" i="80" s="1"/>
  <c r="J251" i="80"/>
  <c r="J251" i="79"/>
  <c r="J251" i="85"/>
  <c r="L145" i="90" s="1"/>
  <c r="CC413" i="80"/>
  <c r="CC395" i="80"/>
  <c r="CC447" i="80" s="1"/>
  <c r="CC429" i="80"/>
  <c r="FL384" i="79"/>
  <c r="FL394" i="79" s="1"/>
  <c r="FL395" i="79" s="1"/>
  <c r="FL435" i="79"/>
  <c r="FL438" i="79" s="1"/>
  <c r="FL439" i="79" s="1"/>
  <c r="FL50" i="79"/>
  <c r="FL413" i="79" s="1"/>
  <c r="FN39" i="79"/>
  <c r="DB39" i="80"/>
  <c r="CZ384" i="80"/>
  <c r="CZ50" i="80"/>
  <c r="DI429" i="80"/>
  <c r="DI413" i="80"/>
  <c r="DI395" i="80"/>
  <c r="DI447" i="80" s="1"/>
  <c r="DH435" i="79"/>
  <c r="DH438" i="79" s="1"/>
  <c r="DH439" i="79" s="1"/>
  <c r="DH50" i="79"/>
  <c r="DH413" i="79" s="1"/>
  <c r="DJ39" i="79"/>
  <c r="DH384" i="79"/>
  <c r="DH394" i="79" s="1"/>
  <c r="DH395" i="79" s="1"/>
  <c r="DH447" i="79" s="1"/>
  <c r="BT50" i="79"/>
  <c r="BT413" i="79" s="1"/>
  <c r="BT384" i="79"/>
  <c r="BT394" i="79" s="1"/>
  <c r="BT395" i="79" s="1"/>
  <c r="BT447" i="79" s="1"/>
  <c r="BT435" i="79"/>
  <c r="BT438" i="79" s="1"/>
  <c r="BT439" i="79" s="1"/>
  <c r="BV39" i="79"/>
  <c r="BD435" i="79"/>
  <c r="BD438" i="79" s="1"/>
  <c r="BD439" i="79" s="1"/>
  <c r="BD384" i="79"/>
  <c r="BD394" i="79" s="1"/>
  <c r="BD395" i="79" s="1"/>
  <c r="BD50" i="79"/>
  <c r="BD413" i="79" s="1"/>
  <c r="BF39" i="79"/>
  <c r="EP39" i="80"/>
  <c r="EN384" i="80"/>
  <c r="EN50" i="80"/>
  <c r="BN39" i="80"/>
  <c r="BL384" i="80"/>
  <c r="BL50" i="80"/>
  <c r="J63" i="79"/>
  <c r="J63" i="85"/>
  <c r="L29" i="90" s="1"/>
  <c r="J63" i="80"/>
  <c r="AX384" i="80"/>
  <c r="AX50" i="80"/>
  <c r="EV384" i="80"/>
  <c r="EX39" i="80"/>
  <c r="EV50" i="80"/>
  <c r="EG413" i="80"/>
  <c r="EG395" i="80"/>
  <c r="EG447" i="80" s="1"/>
  <c r="EG429" i="80"/>
  <c r="EV435" i="79"/>
  <c r="EV438" i="79" s="1"/>
  <c r="EV439" i="79" s="1"/>
  <c r="EV50" i="79"/>
  <c r="EV413" i="79" s="1"/>
  <c r="EV384" i="79"/>
  <c r="EV394" i="79" s="1"/>
  <c r="EV395" i="79" s="1"/>
  <c r="EV447" i="79" s="1"/>
  <c r="BL50" i="79"/>
  <c r="BL413" i="79" s="1"/>
  <c r="BL435" i="79"/>
  <c r="BL438" i="79" s="1"/>
  <c r="BL439" i="79" s="1"/>
  <c r="BL384" i="79"/>
  <c r="BL394" i="79" s="1"/>
  <c r="BL395" i="79" s="1"/>
  <c r="BN39" i="79"/>
  <c r="DX435" i="79"/>
  <c r="DX438" i="79" s="1"/>
  <c r="DX439" i="79" s="1"/>
  <c r="DZ39" i="79"/>
  <c r="DX384" i="79"/>
  <c r="DX394" i="79" s="1"/>
  <c r="DX395" i="79" s="1"/>
  <c r="DX50" i="79"/>
  <c r="DX413" i="79" s="1"/>
  <c r="FL384" i="80"/>
  <c r="FL50" i="80"/>
  <c r="FN39" i="80"/>
  <c r="Z39" i="80"/>
  <c r="X50" i="80"/>
  <c r="X384" i="80"/>
  <c r="AO413" i="80"/>
  <c r="AO429" i="80"/>
  <c r="AO395" i="80"/>
  <c r="AO447" i="80" s="1"/>
  <c r="E57" i="35"/>
  <c r="E38" i="35"/>
  <c r="E82" i="35" s="1"/>
  <c r="CZ435" i="79"/>
  <c r="CZ438" i="79" s="1"/>
  <c r="CZ439" i="79" s="1"/>
  <c r="CZ384" i="79"/>
  <c r="CZ394" i="79" s="1"/>
  <c r="CZ395" i="79" s="1"/>
  <c r="CZ447" i="79" s="1"/>
  <c r="CZ50" i="79"/>
  <c r="CZ413" i="79" s="1"/>
  <c r="EF50" i="79"/>
  <c r="EF413" i="79" s="1"/>
  <c r="EF435" i="79"/>
  <c r="EF438" i="79" s="1"/>
  <c r="EF439" i="79" s="1"/>
  <c r="EF384" i="79"/>
  <c r="EF394" i="79" s="1"/>
  <c r="EF395" i="79" s="1"/>
  <c r="EF447" i="79" s="1"/>
  <c r="DP435" i="79"/>
  <c r="DP438" i="79" s="1"/>
  <c r="DP439" i="79" s="1"/>
  <c r="DP384" i="79"/>
  <c r="DP394" i="79" s="1"/>
  <c r="DP395" i="79" s="1"/>
  <c r="DP50" i="79"/>
  <c r="DP413" i="79" s="1"/>
  <c r="DR39" i="79"/>
  <c r="CR384" i="80"/>
  <c r="CR50" i="80"/>
  <c r="CT39" i="80"/>
  <c r="EH39" i="79"/>
  <c r="J255" i="80"/>
  <c r="J255" i="85"/>
  <c r="L149" i="90" s="1"/>
  <c r="J255" i="79"/>
  <c r="AV435" i="80"/>
  <c r="AV438" i="80" s="1"/>
  <c r="AV439" i="80" s="1"/>
  <c r="AV394" i="80"/>
  <c r="EP220" i="79"/>
  <c r="EP269" i="79"/>
  <c r="EP271" i="79" s="1"/>
  <c r="E385" i="85"/>
  <c r="H74" i="26"/>
  <c r="EO234" i="80"/>
  <c r="DI234" i="80"/>
  <c r="FM234" i="80"/>
  <c r="AG234" i="80"/>
  <c r="AO234" i="80"/>
  <c r="FE234" i="80"/>
  <c r="DA234" i="80"/>
  <c r="EW234" i="80"/>
  <c r="BU234" i="80"/>
  <c r="CC234" i="80"/>
  <c r="DY234" i="80"/>
  <c r="BE234" i="80"/>
  <c r="BM234" i="80"/>
  <c r="CK234" i="80"/>
  <c r="Y234" i="80"/>
  <c r="DQ234" i="80"/>
  <c r="EG234" i="80"/>
  <c r="AW234" i="80"/>
  <c r="R84" i="197"/>
  <c r="BM234" i="79"/>
  <c r="DQ234" i="79"/>
  <c r="FE234" i="79"/>
  <c r="DI234" i="79"/>
  <c r="DY234" i="79"/>
  <c r="CC234" i="79"/>
  <c r="CS234" i="79"/>
  <c r="BE234" i="79"/>
  <c r="AO234" i="79"/>
  <c r="BU234" i="79"/>
  <c r="FM234" i="79"/>
  <c r="AW234" i="79"/>
  <c r="AG234" i="79"/>
  <c r="Y234" i="79"/>
  <c r="I251" i="79"/>
  <c r="Q251" i="79" s="1"/>
  <c r="I251" i="85"/>
  <c r="K145" i="90" s="1"/>
  <c r="I251" i="80"/>
  <c r="Q251" i="80" s="1"/>
  <c r="CS234" i="80"/>
  <c r="I63" i="79"/>
  <c r="CS63" i="79" s="1"/>
  <c r="I63" i="85"/>
  <c r="K29" i="90" s="1"/>
  <c r="I63" i="80"/>
  <c r="Q63" i="80" s="1"/>
  <c r="EP39" i="79"/>
  <c r="EP50" i="79" s="1"/>
  <c r="Q234" i="80"/>
  <c r="Q234" i="79"/>
  <c r="BL271" i="80"/>
  <c r="BN269" i="80"/>
  <c r="BN271" i="80" s="1"/>
  <c r="G439" i="79"/>
  <c r="H448" i="79"/>
  <c r="H435" i="80"/>
  <c r="H438" i="80" s="1"/>
  <c r="H439" i="80" s="1"/>
  <c r="H394" i="80"/>
  <c r="FL271" i="79"/>
  <c r="FN269" i="79"/>
  <c r="FN271" i="79" s="1"/>
  <c r="AH269" i="80"/>
  <c r="AH271" i="80" s="1"/>
  <c r="AF271" i="80"/>
  <c r="X271" i="80"/>
  <c r="Z269" i="80"/>
  <c r="Z271" i="80" s="1"/>
  <c r="FD271" i="79"/>
  <c r="FF269" i="79"/>
  <c r="FF271" i="79" s="1"/>
  <c r="EV271" i="80"/>
  <c r="EX269" i="80"/>
  <c r="EX271" i="80" s="1"/>
  <c r="AN271" i="80"/>
  <c r="AP269" i="80"/>
  <c r="AP271" i="80" s="1"/>
  <c r="S594" i="96"/>
  <c r="S595" i="96"/>
  <c r="S596" i="96"/>
  <c r="V585" i="96"/>
  <c r="W585" i="96" s="1"/>
  <c r="BL271" i="79"/>
  <c r="BN269" i="79"/>
  <c r="BN271" i="79" s="1"/>
  <c r="BD271" i="79"/>
  <c r="BF269" i="79"/>
  <c r="BF271" i="79" s="1"/>
  <c r="CZ271" i="80"/>
  <c r="DB269" i="80"/>
  <c r="DB271" i="80" s="1"/>
  <c r="CB271" i="80"/>
  <c r="CD269" i="80"/>
  <c r="CD271" i="80" s="1"/>
  <c r="X166" i="94"/>
  <c r="CL269" i="79"/>
  <c r="CL271" i="79" s="1"/>
  <c r="X271" i="79"/>
  <c r="Z269" i="79"/>
  <c r="Z271" i="79" s="1"/>
  <c r="P271" i="79"/>
  <c r="R269" i="79"/>
  <c r="R271" i="79" s="1"/>
  <c r="FL271" i="80"/>
  <c r="FN269" i="80"/>
  <c r="FN271" i="80" s="1"/>
  <c r="BT271" i="80"/>
  <c r="BV269" i="80"/>
  <c r="BV271" i="80" s="1"/>
  <c r="EF271" i="80"/>
  <c r="EH269" i="80"/>
  <c r="EH271" i="80" s="1"/>
  <c r="EP225" i="79"/>
  <c r="DJ269" i="79"/>
  <c r="DJ271" i="79" s="1"/>
  <c r="DH271" i="79"/>
  <c r="DP271" i="79"/>
  <c r="DR269" i="79"/>
  <c r="DR271" i="79" s="1"/>
  <c r="AN271" i="79"/>
  <c r="AP269" i="79"/>
  <c r="AP271" i="79" s="1"/>
  <c r="BD271" i="80"/>
  <c r="BF269" i="80"/>
  <c r="BF271" i="80" s="1"/>
  <c r="CJ271" i="80"/>
  <c r="CL269" i="80"/>
  <c r="CL271" i="80" s="1"/>
  <c r="FD271" i="80"/>
  <c r="FF269" i="80"/>
  <c r="FF271" i="80" s="1"/>
  <c r="H447" i="79"/>
  <c r="G395" i="79"/>
  <c r="DX271" i="79"/>
  <c r="DZ269" i="79"/>
  <c r="DZ271" i="79" s="1"/>
  <c r="BT271" i="79"/>
  <c r="BV269" i="79"/>
  <c r="BV271" i="79" s="1"/>
  <c r="AF271" i="79"/>
  <c r="AH269" i="79"/>
  <c r="AH271" i="79" s="1"/>
  <c r="DX271" i="80"/>
  <c r="DZ269" i="80"/>
  <c r="DZ271" i="80" s="1"/>
  <c r="AV271" i="80"/>
  <c r="AX269" i="80"/>
  <c r="AX271" i="80" s="1"/>
  <c r="CR271" i="80"/>
  <c r="CT269" i="80"/>
  <c r="CT271" i="80" s="1"/>
  <c r="DH271" i="80"/>
  <c r="DJ269" i="80"/>
  <c r="DJ271" i="80" s="1"/>
  <c r="EP275" i="79"/>
  <c r="AX269" i="79"/>
  <c r="AX271" i="79" s="1"/>
  <c r="AV271" i="79"/>
  <c r="CR271" i="79"/>
  <c r="CT269" i="79"/>
  <c r="CT271" i="79" s="1"/>
  <c r="EN271" i="80"/>
  <c r="EP269" i="80"/>
  <c r="EP271" i="80" s="1"/>
  <c r="P271" i="80"/>
  <c r="R269" i="80"/>
  <c r="R271" i="80" s="1"/>
  <c r="EV122" i="79"/>
  <c r="EX122" i="79" s="1"/>
  <c r="EN122" i="79"/>
  <c r="EP122" i="79" s="1"/>
  <c r="FD122" i="79"/>
  <c r="FF122" i="79" s="1"/>
  <c r="X122" i="79"/>
  <c r="AV122" i="79"/>
  <c r="AX122" i="79" s="1"/>
  <c r="BT122" i="79"/>
  <c r="BV122" i="79" s="1"/>
  <c r="DP122" i="79"/>
  <c r="DH122" i="79"/>
  <c r="DJ122" i="79" s="1"/>
  <c r="CZ122" i="79"/>
  <c r="DB122" i="79" s="1"/>
  <c r="BD122" i="79"/>
  <c r="AN122" i="79"/>
  <c r="AP122" i="79" s="1"/>
  <c r="EF122" i="79"/>
  <c r="EH122" i="79" s="1"/>
  <c r="P122" i="79"/>
  <c r="R122" i="79" s="1"/>
  <c r="CR122" i="79"/>
  <c r="CT122" i="79" s="1"/>
  <c r="CJ122" i="79"/>
  <c r="CL122" i="79" s="1"/>
  <c r="BT122" i="80"/>
  <c r="BV122" i="80" s="1"/>
  <c r="FL122" i="79"/>
  <c r="FN122" i="79" s="1"/>
  <c r="AN122" i="80"/>
  <c r="AP122" i="80" s="1"/>
  <c r="FL122" i="80"/>
  <c r="FN122" i="80" s="1"/>
  <c r="BL122" i="79"/>
  <c r="BN122" i="79" s="1"/>
  <c r="CJ122" i="80"/>
  <c r="CL122" i="80" s="1"/>
  <c r="CZ122" i="80"/>
  <c r="DB122" i="80" s="1"/>
  <c r="DX122" i="79"/>
  <c r="DZ122" i="79" s="1"/>
  <c r="BL122" i="80"/>
  <c r="BN122" i="80" s="1"/>
  <c r="AF122" i="79"/>
  <c r="AH122" i="79" s="1"/>
  <c r="AV122" i="80"/>
  <c r="AX122" i="80" s="1"/>
  <c r="P122" i="80"/>
  <c r="R122" i="80" s="1"/>
  <c r="FM128" i="80"/>
  <c r="EG128" i="80"/>
  <c r="BM128" i="80"/>
  <c r="EO128" i="80"/>
  <c r="EP128" i="80" s="1"/>
  <c r="Y128" i="80"/>
  <c r="Z128" i="80" s="1"/>
  <c r="AO128" i="80"/>
  <c r="AP128" i="80" s="1"/>
  <c r="BE128" i="80"/>
  <c r="BF128" i="80" s="1"/>
  <c r="CK128" i="80"/>
  <c r="CL128" i="80" s="1"/>
  <c r="FE128" i="80"/>
  <c r="FF128" i="80" s="1"/>
  <c r="DA128" i="80"/>
  <c r="DQ128" i="80"/>
  <c r="DR128" i="80" s="1"/>
  <c r="CC128" i="80"/>
  <c r="CD128" i="80" s="1"/>
  <c r="Q128" i="80"/>
  <c r="R128" i="80" s="1"/>
  <c r="CS128" i="80"/>
  <c r="CT128" i="80" s="1"/>
  <c r="DI128" i="80"/>
  <c r="AG128" i="80"/>
  <c r="DY128" i="80"/>
  <c r="EW128" i="80"/>
  <c r="EX128" i="80" s="1"/>
  <c r="BU128" i="80"/>
  <c r="BV128" i="80" s="1"/>
  <c r="AW128" i="80"/>
  <c r="AX128" i="80" s="1"/>
  <c r="EV122" i="80"/>
  <c r="EX122" i="80" s="1"/>
  <c r="X122" i="80"/>
  <c r="Z122" i="80" s="1"/>
  <c r="DX122" i="80"/>
  <c r="DZ122" i="80" s="1"/>
  <c r="EO128" i="79"/>
  <c r="EP128" i="79" s="1"/>
  <c r="DA128" i="79"/>
  <c r="DB128" i="79" s="1"/>
  <c r="EG128" i="79"/>
  <c r="EH128" i="79" s="1"/>
  <c r="Y128" i="79"/>
  <c r="Z128" i="79" s="1"/>
  <c r="FE128" i="79"/>
  <c r="FF128" i="79" s="1"/>
  <c r="Q128" i="79"/>
  <c r="R128" i="79" s="1"/>
  <c r="AO128" i="79"/>
  <c r="AP128" i="79" s="1"/>
  <c r="AG128" i="79"/>
  <c r="AH128" i="79" s="1"/>
  <c r="CC128" i="79"/>
  <c r="CD128" i="79" s="1"/>
  <c r="BE128" i="79"/>
  <c r="BF128" i="79" s="1"/>
  <c r="DY128" i="79"/>
  <c r="DZ128" i="79" s="1"/>
  <c r="BU128" i="79"/>
  <c r="BV128" i="79" s="1"/>
  <c r="DQ128" i="79"/>
  <c r="DR128" i="79" s="1"/>
  <c r="FM128" i="79"/>
  <c r="FN128" i="79" s="1"/>
  <c r="CS128" i="79"/>
  <c r="CT128" i="79" s="1"/>
  <c r="EW128" i="79"/>
  <c r="EX128" i="79" s="1"/>
  <c r="AW128" i="79"/>
  <c r="AX128" i="79" s="1"/>
  <c r="CK128" i="79"/>
  <c r="CL128" i="79" s="1"/>
  <c r="DI128" i="79"/>
  <c r="DJ128" i="79" s="1"/>
  <c r="BM128" i="79"/>
  <c r="BN128" i="79" s="1"/>
  <c r="BD122" i="80"/>
  <c r="BF122" i="80" s="1"/>
  <c r="FD122" i="80"/>
  <c r="FF122" i="80" s="1"/>
  <c r="DH122" i="80"/>
  <c r="DJ122" i="80" s="1"/>
  <c r="CR122" i="80"/>
  <c r="CT122" i="80" s="1"/>
  <c r="DP122" i="80"/>
  <c r="DR122" i="80" s="1"/>
  <c r="CB122" i="80"/>
  <c r="CD122" i="80" s="1"/>
  <c r="EN122" i="80"/>
  <c r="EP122" i="80" s="1"/>
  <c r="EF122" i="80"/>
  <c r="EH122" i="80" s="1"/>
  <c r="AH122" i="80"/>
  <c r="G148" i="79"/>
  <c r="G148" i="85"/>
  <c r="I86" i="90" s="1"/>
  <c r="G148" i="80"/>
  <c r="CK429" i="79"/>
  <c r="CK395" i="79"/>
  <c r="CK447" i="79" s="1"/>
  <c r="DP435" i="80"/>
  <c r="DP438" i="80" s="1"/>
  <c r="DP439" i="80" s="1"/>
  <c r="DP394" i="80"/>
  <c r="CK413" i="79"/>
  <c r="EO395" i="79"/>
  <c r="EO447" i="79" s="1"/>
  <c r="EO429" i="79"/>
  <c r="EG413" i="79"/>
  <c r="CB413" i="79"/>
  <c r="DA413" i="79"/>
  <c r="CD384" i="79"/>
  <c r="CD394" i="79" s="1"/>
  <c r="CD435" i="79"/>
  <c r="CD438" i="79" s="1"/>
  <c r="CD439" i="79" s="1"/>
  <c r="CD448" i="79" s="1"/>
  <c r="CD50" i="79"/>
  <c r="CB448" i="79"/>
  <c r="EW413" i="79"/>
  <c r="CS447" i="80"/>
  <c r="J166" i="196"/>
  <c r="N161" i="196"/>
  <c r="L158" i="196"/>
  <c r="H161" i="196"/>
  <c r="K158" i="196"/>
  <c r="G161" i="196"/>
  <c r="M161" i="196"/>
  <c r="I166" i="196"/>
  <c r="F115" i="113"/>
  <c r="G115" i="113"/>
  <c r="AH128" i="80" l="1"/>
  <c r="BF122" i="79"/>
  <c r="BN128" i="80"/>
  <c r="DZ128" i="80"/>
  <c r="FN128" i="80"/>
  <c r="DJ128" i="80"/>
  <c r="DB128" i="80"/>
  <c r="DR384" i="80"/>
  <c r="EW395" i="79"/>
  <c r="EW447" i="79" s="1"/>
  <c r="EH128" i="80"/>
  <c r="Z122" i="79"/>
  <c r="U169" i="94"/>
  <c r="X169" i="94"/>
  <c r="Y170" i="94" s="1"/>
  <c r="DR122" i="79"/>
  <c r="CL384" i="79"/>
  <c r="CL394" i="79" s="1"/>
  <c r="CL429" i="79" s="1"/>
  <c r="CL50" i="79"/>
  <c r="AH384" i="80"/>
  <c r="AH394" i="80" s="1"/>
  <c r="EG395" i="79"/>
  <c r="EG447" i="79" s="1"/>
  <c r="DA395" i="79"/>
  <c r="DA447" i="79" s="1"/>
  <c r="DA63" i="79" s="1"/>
  <c r="DB435" i="79"/>
  <c r="DB438" i="79" s="1"/>
  <c r="DB439" i="79" s="1"/>
  <c r="DB448" i="79" s="1"/>
  <c r="EX50" i="79"/>
  <c r="EX413" i="79" s="1"/>
  <c r="BU63" i="79"/>
  <c r="EX384" i="79"/>
  <c r="EX394" i="79" s="1"/>
  <c r="EX429" i="79" s="1"/>
  <c r="AF394" i="80"/>
  <c r="AF395" i="80" s="1"/>
  <c r="AF447" i="80" s="1"/>
  <c r="Q63" i="79"/>
  <c r="DB384" i="79"/>
  <c r="DB394" i="79" s="1"/>
  <c r="DB429" i="79" s="1"/>
  <c r="G70" i="36"/>
  <c r="D77" i="36"/>
  <c r="H71" i="36"/>
  <c r="G69" i="36"/>
  <c r="H69" i="36"/>
  <c r="H70" i="36"/>
  <c r="G71" i="36"/>
  <c r="H64" i="36"/>
  <c r="H54" i="36"/>
  <c r="H53" i="36"/>
  <c r="G53" i="36"/>
  <c r="F78" i="36"/>
  <c r="D75" i="36"/>
  <c r="H55" i="36"/>
  <c r="G55" i="36"/>
  <c r="G54" i="36"/>
  <c r="G64" i="36"/>
  <c r="G76" i="36" s="1"/>
  <c r="EP384" i="79"/>
  <c r="EP394" i="79" s="1"/>
  <c r="EP429" i="79" s="1"/>
  <c r="CZ448" i="79"/>
  <c r="AV395" i="80"/>
  <c r="AV413" i="80"/>
  <c r="EF448" i="79"/>
  <c r="AO63" i="80"/>
  <c r="BL447" i="79"/>
  <c r="DI63" i="79"/>
  <c r="BN384" i="80"/>
  <c r="BN50" i="80"/>
  <c r="BV384" i="79"/>
  <c r="BV394" i="79" s="1"/>
  <c r="BV435" i="79"/>
  <c r="BV438" i="79" s="1"/>
  <c r="BV439" i="79" s="1"/>
  <c r="BV448" i="79" s="1"/>
  <c r="BV50" i="79"/>
  <c r="BV413" i="79" s="1"/>
  <c r="FN435" i="79"/>
  <c r="FN438" i="79" s="1"/>
  <c r="FN439" i="79" s="1"/>
  <c r="FN448" i="79" s="1"/>
  <c r="FN50" i="79"/>
  <c r="FN413" i="79" s="1"/>
  <c r="FN384" i="79"/>
  <c r="FN394" i="79" s="1"/>
  <c r="CC63" i="80"/>
  <c r="AF448" i="80"/>
  <c r="FF384" i="80"/>
  <c r="FF50" i="80"/>
  <c r="FD448" i="79"/>
  <c r="CT435" i="79"/>
  <c r="CT438" i="79" s="1"/>
  <c r="CT439" i="79" s="1"/>
  <c r="CT448" i="79" s="1"/>
  <c r="CT384" i="79"/>
  <c r="CT394" i="79" s="1"/>
  <c r="CT50" i="79"/>
  <c r="CT413" i="79" s="1"/>
  <c r="DX435" i="80"/>
  <c r="DX438" i="80" s="1"/>
  <c r="DX439" i="80" s="1"/>
  <c r="DX394" i="80"/>
  <c r="CL384" i="80"/>
  <c r="CL50" i="80"/>
  <c r="AP50" i="79"/>
  <c r="AP413" i="79" s="1"/>
  <c r="AP435" i="79"/>
  <c r="AP438" i="79" s="1"/>
  <c r="AP439" i="79" s="1"/>
  <c r="AP448" i="79" s="1"/>
  <c r="AP384" i="79"/>
  <c r="AP394" i="79" s="1"/>
  <c r="X435" i="80"/>
  <c r="X438" i="80" s="1"/>
  <c r="X439" i="80" s="1"/>
  <c r="X394" i="80"/>
  <c r="BU251" i="79"/>
  <c r="AV448" i="80"/>
  <c r="CR435" i="80"/>
  <c r="CR438" i="80" s="1"/>
  <c r="CR439" i="80" s="1"/>
  <c r="CR394" i="80"/>
  <c r="FL435" i="80"/>
  <c r="FL438" i="80" s="1"/>
  <c r="FL439" i="80" s="1"/>
  <c r="FL394" i="80"/>
  <c r="BL448" i="79"/>
  <c r="DQ63" i="79"/>
  <c r="BT448" i="79"/>
  <c r="AP384" i="80"/>
  <c r="AP50" i="80"/>
  <c r="CK63" i="80"/>
  <c r="FF50" i="79"/>
  <c r="FF413" i="79" s="1"/>
  <c r="FF384" i="79"/>
  <c r="FF394" i="79" s="1"/>
  <c r="FF435" i="79"/>
  <c r="FF438" i="79" s="1"/>
  <c r="FF439" i="79" s="1"/>
  <c r="FF448" i="79" s="1"/>
  <c r="EO63" i="80"/>
  <c r="BT435" i="80"/>
  <c r="BT438" i="80" s="1"/>
  <c r="BT439" i="80" s="1"/>
  <c r="BT394" i="80"/>
  <c r="DZ50" i="80"/>
  <c r="DZ384" i="80"/>
  <c r="AN447" i="79"/>
  <c r="EX384" i="80"/>
  <c r="EX50" i="80"/>
  <c r="EP435" i="79"/>
  <c r="EP438" i="79" s="1"/>
  <c r="EP439" i="79" s="1"/>
  <c r="EP448" i="79" s="1"/>
  <c r="CC63" i="79"/>
  <c r="FE63" i="79"/>
  <c r="BE63" i="79"/>
  <c r="EN394" i="80"/>
  <c r="EN435" i="80"/>
  <c r="EN438" i="80" s="1"/>
  <c r="EN439" i="80" s="1"/>
  <c r="DI63" i="80"/>
  <c r="FL448" i="79"/>
  <c r="EW63" i="80"/>
  <c r="EN448" i="79"/>
  <c r="FD435" i="80"/>
  <c r="FD438" i="80" s="1"/>
  <c r="FD439" i="80" s="1"/>
  <c r="FD394" i="80"/>
  <c r="R50" i="79"/>
  <c r="R413" i="79" s="1"/>
  <c r="R384" i="79"/>
  <c r="R394" i="79" s="1"/>
  <c r="R435" i="79"/>
  <c r="R438" i="79" s="1"/>
  <c r="R439" i="79" s="1"/>
  <c r="R448" i="79" s="1"/>
  <c r="CR448" i="79"/>
  <c r="BU63" i="80"/>
  <c r="BD435" i="80"/>
  <c r="BD438" i="80" s="1"/>
  <c r="BD439" i="80" s="1"/>
  <c r="BD394" i="80"/>
  <c r="DX447" i="79"/>
  <c r="DR50" i="79"/>
  <c r="DR413" i="79" s="1"/>
  <c r="DR435" i="79"/>
  <c r="DR438" i="79" s="1"/>
  <c r="DR439" i="79" s="1"/>
  <c r="DR448" i="79" s="1"/>
  <c r="DR384" i="79"/>
  <c r="DR394" i="79" s="1"/>
  <c r="BM63" i="79"/>
  <c r="EP384" i="80"/>
  <c r="EP50" i="80"/>
  <c r="FL447" i="79"/>
  <c r="AN435" i="80"/>
  <c r="AN438" i="80" s="1"/>
  <c r="AN439" i="80" s="1"/>
  <c r="AN394" i="80"/>
  <c r="DH394" i="80"/>
  <c r="DH435" i="80"/>
  <c r="DH438" i="80" s="1"/>
  <c r="DH439" i="80" s="1"/>
  <c r="AN448" i="79"/>
  <c r="R384" i="80"/>
  <c r="R50" i="80"/>
  <c r="Z435" i="79"/>
  <c r="Z438" i="79" s="1"/>
  <c r="Z439" i="79" s="1"/>
  <c r="Z448" i="79" s="1"/>
  <c r="Z50" i="79"/>
  <c r="Z413" i="79" s="1"/>
  <c r="Z384" i="79"/>
  <c r="Z394" i="79" s="1"/>
  <c r="FE63" i="80"/>
  <c r="DQ63" i="80"/>
  <c r="FM63" i="80"/>
  <c r="DJ50" i="80"/>
  <c r="DJ384" i="80"/>
  <c r="AH435" i="79"/>
  <c r="AH438" i="79" s="1"/>
  <c r="AH439" i="79" s="1"/>
  <c r="AH448" i="79" s="1"/>
  <c r="AH50" i="79"/>
  <c r="AH413" i="79" s="1"/>
  <c r="AH384" i="79"/>
  <c r="AH394" i="79" s="1"/>
  <c r="AV448" i="79"/>
  <c r="BM63" i="80"/>
  <c r="BF50" i="80"/>
  <c r="BF384" i="80"/>
  <c r="DP447" i="79"/>
  <c r="H63" i="207"/>
  <c r="E384" i="85"/>
  <c r="H91" i="26"/>
  <c r="H63" i="206"/>
  <c r="H63" i="13"/>
  <c r="Q95" i="197"/>
  <c r="H63" i="203"/>
  <c r="DZ50" i="79"/>
  <c r="DZ413" i="79" s="1"/>
  <c r="DZ435" i="79"/>
  <c r="DZ438" i="79" s="1"/>
  <c r="DZ439" i="79" s="1"/>
  <c r="DZ448" i="79" s="1"/>
  <c r="DZ384" i="79"/>
  <c r="DZ394" i="79" s="1"/>
  <c r="EU439" i="79"/>
  <c r="EV448" i="79"/>
  <c r="EV394" i="80"/>
  <c r="EV435" i="80"/>
  <c r="EV438" i="80" s="1"/>
  <c r="EV439" i="80" s="1"/>
  <c r="DJ384" i="79"/>
  <c r="DJ394" i="79" s="1"/>
  <c r="DJ435" i="79"/>
  <c r="DJ438" i="79" s="1"/>
  <c r="DJ439" i="79" s="1"/>
  <c r="DJ448" i="79" s="1"/>
  <c r="DJ50" i="79"/>
  <c r="DJ413" i="79" s="1"/>
  <c r="P435" i="80"/>
  <c r="P438" i="80" s="1"/>
  <c r="P439" i="80" s="1"/>
  <c r="P394" i="80"/>
  <c r="P448" i="79"/>
  <c r="AX50" i="79"/>
  <c r="AX413" i="79" s="1"/>
  <c r="AX384" i="79"/>
  <c r="AX394" i="79" s="1"/>
  <c r="AX435" i="79"/>
  <c r="AX438" i="79" s="1"/>
  <c r="AX439" i="79" s="1"/>
  <c r="AX448" i="79" s="1"/>
  <c r="EF435" i="80"/>
  <c r="EF438" i="80" s="1"/>
  <c r="EF439" i="80" s="1"/>
  <c r="EF394" i="80"/>
  <c r="EH50" i="79"/>
  <c r="EH413" i="79" s="1"/>
  <c r="EH384" i="79"/>
  <c r="EH394" i="79" s="1"/>
  <c r="EH435" i="79"/>
  <c r="EH438" i="79" s="1"/>
  <c r="EH439" i="79" s="1"/>
  <c r="EH448" i="79" s="1"/>
  <c r="DP448" i="79"/>
  <c r="Z384" i="80"/>
  <c r="Z50" i="80"/>
  <c r="DX448" i="79"/>
  <c r="BD447" i="79"/>
  <c r="CZ435" i="80"/>
  <c r="CZ438" i="80" s="1"/>
  <c r="CZ439" i="80" s="1"/>
  <c r="CZ394" i="80"/>
  <c r="DA63" i="80"/>
  <c r="X448" i="79"/>
  <c r="CB394" i="80"/>
  <c r="CB435" i="80"/>
  <c r="CB438" i="80" s="1"/>
  <c r="CB439" i="80" s="1"/>
  <c r="AG63" i="80"/>
  <c r="AF448" i="79"/>
  <c r="DY63" i="80"/>
  <c r="EH384" i="80"/>
  <c r="EH50" i="80"/>
  <c r="CJ448" i="79"/>
  <c r="CI439" i="79"/>
  <c r="BF50" i="79"/>
  <c r="BF413" i="79" s="1"/>
  <c r="BF384" i="79"/>
  <c r="BF394" i="79" s="1"/>
  <c r="BF435" i="79"/>
  <c r="BF438" i="79" s="1"/>
  <c r="BF439" i="79" s="1"/>
  <c r="BF448" i="79" s="1"/>
  <c r="CA439" i="79"/>
  <c r="AW63" i="79"/>
  <c r="AO63" i="79"/>
  <c r="AG63" i="79"/>
  <c r="FM63" i="79"/>
  <c r="Y63" i="79"/>
  <c r="CT384" i="80"/>
  <c r="CT50" i="80"/>
  <c r="FN384" i="80"/>
  <c r="FN50" i="80"/>
  <c r="BN50" i="79"/>
  <c r="BN413" i="79" s="1"/>
  <c r="BN384" i="79"/>
  <c r="BN394" i="79" s="1"/>
  <c r="BN435" i="79"/>
  <c r="BN438" i="79" s="1"/>
  <c r="BN439" i="79" s="1"/>
  <c r="BN448" i="79" s="1"/>
  <c r="EG63" i="80"/>
  <c r="AX435" i="80"/>
  <c r="AX438" i="80" s="1"/>
  <c r="AX439" i="80" s="1"/>
  <c r="AX448" i="80" s="1"/>
  <c r="AX394" i="80"/>
  <c r="BL435" i="80"/>
  <c r="BL438" i="80" s="1"/>
  <c r="BL439" i="80" s="1"/>
  <c r="BL394" i="80"/>
  <c r="BD448" i="79"/>
  <c r="DH448" i="79"/>
  <c r="DB384" i="80"/>
  <c r="DB50" i="80"/>
  <c r="X447" i="79"/>
  <c r="CD384" i="80"/>
  <c r="CD50" i="80"/>
  <c r="FD447" i="79"/>
  <c r="AW63" i="80"/>
  <c r="BV50" i="80"/>
  <c r="BV384" i="80"/>
  <c r="BE63" i="80"/>
  <c r="AF447" i="79"/>
  <c r="Y63" i="80"/>
  <c r="CJ435" i="80"/>
  <c r="CJ438" i="80" s="1"/>
  <c r="CJ439" i="80" s="1"/>
  <c r="CJ394" i="80"/>
  <c r="DY63" i="79"/>
  <c r="R85" i="197"/>
  <c r="M95" i="26" s="1"/>
  <c r="I95" i="26" s="1"/>
  <c r="EO251" i="80"/>
  <c r="AG251" i="80"/>
  <c r="FM251" i="80"/>
  <c r="AO251" i="80"/>
  <c r="BU251" i="80"/>
  <c r="CC251" i="80"/>
  <c r="DY251" i="80"/>
  <c r="DI251" i="80"/>
  <c r="BE251" i="80"/>
  <c r="FE251" i="80"/>
  <c r="EW251" i="80"/>
  <c r="DA251" i="80"/>
  <c r="Y251" i="80"/>
  <c r="AW251" i="80"/>
  <c r="BM251" i="80"/>
  <c r="EG251" i="80"/>
  <c r="DQ251" i="80"/>
  <c r="CK251" i="80"/>
  <c r="H234" i="79"/>
  <c r="CB234" i="79" s="1"/>
  <c r="CD234" i="79" s="1"/>
  <c r="H234" i="80"/>
  <c r="H234" i="85"/>
  <c r="J134" i="90" s="1"/>
  <c r="BM251" i="79"/>
  <c r="DI251" i="79"/>
  <c r="DQ251" i="79"/>
  <c r="FE251" i="79"/>
  <c r="BE251" i="79"/>
  <c r="DY251" i="79"/>
  <c r="CS251" i="79"/>
  <c r="CC251" i="79"/>
  <c r="AO251" i="79"/>
  <c r="AG251" i="79"/>
  <c r="AW251" i="79"/>
  <c r="FM251" i="79"/>
  <c r="Y251" i="79"/>
  <c r="V594" i="96"/>
  <c r="L18" i="203" s="1"/>
  <c r="S597" i="96"/>
  <c r="H413" i="80"/>
  <c r="H395" i="80"/>
  <c r="H448" i="80"/>
  <c r="G439" i="80"/>
  <c r="V595" i="96"/>
  <c r="L18" i="206" s="1"/>
  <c r="H18" i="206" s="1"/>
  <c r="V596" i="96"/>
  <c r="L18" i="207" s="1"/>
  <c r="H18" i="207" s="1"/>
  <c r="G156" i="85"/>
  <c r="CA148" i="80"/>
  <c r="EE148" i="80"/>
  <c r="DW148" i="80"/>
  <c r="EM148" i="80"/>
  <c r="W148" i="80"/>
  <c r="O148" i="80"/>
  <c r="G156" i="80"/>
  <c r="G158" i="80" s="1"/>
  <c r="G161" i="80" s="1"/>
  <c r="AM148" i="80"/>
  <c r="CY148" i="80"/>
  <c r="EU148" i="80"/>
  <c r="CQ148" i="80"/>
  <c r="FK148" i="80"/>
  <c r="AE148" i="80"/>
  <c r="DG148" i="80"/>
  <c r="CI148" i="80"/>
  <c r="BK148" i="80"/>
  <c r="FC148" i="80"/>
  <c r="BC148" i="80"/>
  <c r="DO148" i="80"/>
  <c r="AU148" i="80"/>
  <c r="BS148" i="80"/>
  <c r="DW148" i="79"/>
  <c r="CY148" i="79"/>
  <c r="CA148" i="79"/>
  <c r="BC148" i="79"/>
  <c r="EM148" i="79"/>
  <c r="DG148" i="79"/>
  <c r="CQ148" i="79"/>
  <c r="BS148" i="79"/>
  <c r="BK148" i="79"/>
  <c r="CI148" i="79"/>
  <c r="G156" i="79"/>
  <c r="G158" i="79" s="1"/>
  <c r="G161" i="79" s="1"/>
  <c r="W148" i="79"/>
  <c r="AM148" i="79"/>
  <c r="FK148" i="79"/>
  <c r="FC148" i="79"/>
  <c r="AU148" i="79"/>
  <c r="DO148" i="79"/>
  <c r="O148" i="79"/>
  <c r="EE148" i="79"/>
  <c r="AE148" i="79"/>
  <c r="EU148" i="79"/>
  <c r="DP413" i="80"/>
  <c r="DP395" i="80"/>
  <c r="DP448" i="80"/>
  <c r="CL413" i="79"/>
  <c r="CK251" i="79"/>
  <c r="CK63" i="79"/>
  <c r="DR435" i="80"/>
  <c r="DR438" i="80" s="1"/>
  <c r="DR439" i="80" s="1"/>
  <c r="DR448" i="80" s="1"/>
  <c r="DR394" i="80"/>
  <c r="CD395" i="79"/>
  <c r="CD429" i="79"/>
  <c r="CA429" i="79"/>
  <c r="EW63" i="79"/>
  <c r="EW251" i="79"/>
  <c r="EO63" i="79"/>
  <c r="EO251" i="79"/>
  <c r="CD413" i="79"/>
  <c r="EP413" i="79"/>
  <c r="CS251" i="80"/>
  <c r="CS63" i="80"/>
  <c r="L161" i="196"/>
  <c r="H166" i="196"/>
  <c r="K161" i="196"/>
  <c r="G166" i="196"/>
  <c r="C328" i="143"/>
  <c r="C329" i="143" s="1"/>
  <c r="C333" i="143"/>
  <c r="C336" i="143" s="1"/>
  <c r="E9" i="188" s="1"/>
  <c r="E6" i="188"/>
  <c r="C335" i="143"/>
  <c r="C334" i="143"/>
  <c r="E7" i="188" s="1"/>
  <c r="CL395" i="79" l="1"/>
  <c r="CI429" i="79"/>
  <c r="DA251" i="79"/>
  <c r="AH435" i="80"/>
  <c r="AH438" i="80" s="1"/>
  <c r="AH439" i="80" s="1"/>
  <c r="AH448" i="80" s="1"/>
  <c r="EM429" i="79"/>
  <c r="CY439" i="79"/>
  <c r="CY429" i="79"/>
  <c r="AF413" i="80"/>
  <c r="EP395" i="79"/>
  <c r="EM395" i="79" s="1"/>
  <c r="EX395" i="79"/>
  <c r="EU429" i="79"/>
  <c r="DB395" i="79"/>
  <c r="CQ439" i="79"/>
  <c r="DG439" i="79"/>
  <c r="DP234" i="80"/>
  <c r="DR234" i="80" s="1"/>
  <c r="FK439" i="79"/>
  <c r="AM439" i="79"/>
  <c r="H72" i="36"/>
  <c r="G72" i="36"/>
  <c r="G77" i="36" s="1"/>
  <c r="G56" i="36"/>
  <c r="G75" i="36" s="1"/>
  <c r="H56" i="36"/>
  <c r="D78" i="36"/>
  <c r="DO439" i="79"/>
  <c r="EE439" i="79"/>
  <c r="AE439" i="79"/>
  <c r="O439" i="79"/>
  <c r="DO439" i="80"/>
  <c r="EM439" i="79"/>
  <c r="BC439" i="79"/>
  <c r="H18" i="203"/>
  <c r="L66" i="203" s="1"/>
  <c r="L18" i="13"/>
  <c r="H18" i="13" s="1"/>
  <c r="W439" i="79"/>
  <c r="CD435" i="80"/>
  <c r="CD438" i="80" s="1"/>
  <c r="CD439" i="80" s="1"/>
  <c r="CD448" i="80" s="1"/>
  <c r="CD394" i="80"/>
  <c r="CT435" i="80"/>
  <c r="CT438" i="80" s="1"/>
  <c r="CT439" i="80" s="1"/>
  <c r="CT448" i="80" s="1"/>
  <c r="CT394" i="80"/>
  <c r="BF429" i="79"/>
  <c r="BF395" i="79"/>
  <c r="BC429" i="79"/>
  <c r="Z435" i="80"/>
  <c r="Z438" i="80" s="1"/>
  <c r="Z439" i="80" s="1"/>
  <c r="Z448" i="80" s="1"/>
  <c r="Z394" i="80"/>
  <c r="EF395" i="80"/>
  <c r="EF413" i="80"/>
  <c r="P448" i="80"/>
  <c r="P234" i="80" s="1"/>
  <c r="EV395" i="80"/>
  <c r="EV413" i="80"/>
  <c r="H63" i="80"/>
  <c r="AF63" i="80" s="1"/>
  <c r="H63" i="79"/>
  <c r="DX63" i="79" s="1"/>
  <c r="H63" i="85"/>
  <c r="J29" i="90" s="1"/>
  <c r="O429" i="79"/>
  <c r="R429" i="79"/>
  <c r="R395" i="79"/>
  <c r="DZ435" i="80"/>
  <c r="DZ438" i="80" s="1"/>
  <c r="DZ439" i="80" s="1"/>
  <c r="DZ448" i="80" s="1"/>
  <c r="DZ394" i="80"/>
  <c r="DX395" i="80"/>
  <c r="DX413" i="80"/>
  <c r="FF435" i="80"/>
  <c r="FF438" i="80" s="1"/>
  <c r="FF439" i="80" s="1"/>
  <c r="FF448" i="80" s="1"/>
  <c r="FF394" i="80"/>
  <c r="BN395" i="79"/>
  <c r="BK429" i="79"/>
  <c r="BN429" i="79"/>
  <c r="CZ413" i="80"/>
  <c r="CZ395" i="80"/>
  <c r="EF448" i="80"/>
  <c r="EF234" i="80" s="1"/>
  <c r="Z429" i="79"/>
  <c r="Z395" i="79"/>
  <c r="W429" i="79"/>
  <c r="BK439" i="79"/>
  <c r="X413" i="80"/>
  <c r="X395" i="80"/>
  <c r="DX448" i="80"/>
  <c r="DX234" i="80" s="1"/>
  <c r="BS429" i="79"/>
  <c r="BV429" i="79"/>
  <c r="BV395" i="79"/>
  <c r="BV394" i="80"/>
  <c r="BV435" i="80"/>
  <c r="BV438" i="80" s="1"/>
  <c r="BV439" i="80" s="1"/>
  <c r="BV448" i="80" s="1"/>
  <c r="CZ448" i="80"/>
  <c r="CZ234" i="80" s="1"/>
  <c r="H251" i="79"/>
  <c r="AN251" i="79" s="1"/>
  <c r="H251" i="80"/>
  <c r="H251" i="85"/>
  <c r="J145" i="90" s="1"/>
  <c r="BF435" i="80"/>
  <c r="BF438" i="80" s="1"/>
  <c r="BF439" i="80" s="1"/>
  <c r="BF448" i="80" s="1"/>
  <c r="BF394" i="80"/>
  <c r="DJ435" i="80"/>
  <c r="DJ438" i="80" s="1"/>
  <c r="DJ439" i="80" s="1"/>
  <c r="DJ448" i="80" s="1"/>
  <c r="DJ394" i="80"/>
  <c r="DH448" i="80"/>
  <c r="DH234" i="80" s="1"/>
  <c r="EP435" i="80"/>
  <c r="EP438" i="80" s="1"/>
  <c r="EP439" i="80" s="1"/>
  <c r="EP448" i="80" s="1"/>
  <c r="EP394" i="80"/>
  <c r="BD395" i="80"/>
  <c r="BD413" i="80"/>
  <c r="FD413" i="80"/>
  <c r="FD395" i="80"/>
  <c r="BT395" i="80"/>
  <c r="BT413" i="80"/>
  <c r="FL413" i="80"/>
  <c r="FL395" i="80"/>
  <c r="X448" i="80"/>
  <c r="X234" i="80" s="1"/>
  <c r="BL395" i="80"/>
  <c r="BL413" i="80"/>
  <c r="AX429" i="79"/>
  <c r="AU429" i="79"/>
  <c r="AX395" i="79"/>
  <c r="AH413" i="80"/>
  <c r="AH429" i="80"/>
  <c r="AE429" i="80"/>
  <c r="AH395" i="80"/>
  <c r="DW429" i="79"/>
  <c r="DZ395" i="79"/>
  <c r="DZ429" i="79"/>
  <c r="DH413" i="80"/>
  <c r="DH395" i="80"/>
  <c r="BD448" i="80"/>
  <c r="BD234" i="80" s="1"/>
  <c r="FD448" i="80"/>
  <c r="FD234" i="80" s="1"/>
  <c r="EN448" i="80"/>
  <c r="EN234" i="80" s="1"/>
  <c r="BT448" i="80"/>
  <c r="BT234" i="80" s="1"/>
  <c r="FL448" i="80"/>
  <c r="FL234" i="80" s="1"/>
  <c r="AM429" i="79"/>
  <c r="AP395" i="79"/>
  <c r="AP429" i="79"/>
  <c r="CT429" i="79"/>
  <c r="CT395" i="79"/>
  <c r="CQ429" i="79"/>
  <c r="BN435" i="80"/>
  <c r="BN438" i="80" s="1"/>
  <c r="BN439" i="80" s="1"/>
  <c r="BN448" i="80" s="1"/>
  <c r="BN394" i="80"/>
  <c r="AV447" i="80"/>
  <c r="CJ413" i="80"/>
  <c r="CJ395" i="80"/>
  <c r="BL448" i="80"/>
  <c r="BL234" i="80" s="1"/>
  <c r="FN394" i="80"/>
  <c r="FN435" i="80"/>
  <c r="FN438" i="80" s="1"/>
  <c r="FN439" i="80" s="1"/>
  <c r="FN448" i="80" s="1"/>
  <c r="CB448" i="80"/>
  <c r="CB234" i="80" s="1"/>
  <c r="EH429" i="79"/>
  <c r="EE429" i="79"/>
  <c r="EH395" i="79"/>
  <c r="AN395" i="80"/>
  <c r="AN413" i="80"/>
  <c r="DR429" i="79"/>
  <c r="DR395" i="79"/>
  <c r="DO429" i="79"/>
  <c r="EN395" i="80"/>
  <c r="EN413" i="80"/>
  <c r="AP435" i="80"/>
  <c r="AP438" i="80" s="1"/>
  <c r="AP439" i="80" s="1"/>
  <c r="AP448" i="80" s="1"/>
  <c r="AP394" i="80"/>
  <c r="CR395" i="80"/>
  <c r="CR413" i="80"/>
  <c r="FN395" i="79"/>
  <c r="FK429" i="79"/>
  <c r="FN429" i="79"/>
  <c r="CJ448" i="80"/>
  <c r="CJ234" i="80" s="1"/>
  <c r="AX429" i="80"/>
  <c r="AX413" i="80"/>
  <c r="AX395" i="80"/>
  <c r="AX447" i="80" s="1"/>
  <c r="AU429" i="80"/>
  <c r="EH435" i="80"/>
  <c r="EH438" i="80" s="1"/>
  <c r="EH439" i="80" s="1"/>
  <c r="EH448" i="80" s="1"/>
  <c r="EH394" i="80"/>
  <c r="CB395" i="80"/>
  <c r="CB413" i="80"/>
  <c r="DW439" i="79"/>
  <c r="AU439" i="79"/>
  <c r="R435" i="80"/>
  <c r="R438" i="80" s="1"/>
  <c r="R439" i="80" s="1"/>
  <c r="R448" i="80" s="1"/>
  <c r="R394" i="80"/>
  <c r="AN448" i="80"/>
  <c r="AN234" i="80" s="1"/>
  <c r="EX435" i="80"/>
  <c r="EX438" i="80" s="1"/>
  <c r="EX439" i="80" s="1"/>
  <c r="EX448" i="80" s="1"/>
  <c r="EX394" i="80"/>
  <c r="BS439" i="79"/>
  <c r="CR448" i="80"/>
  <c r="CR234" i="80" s="1"/>
  <c r="FC439" i="79"/>
  <c r="DB435" i="80"/>
  <c r="DB438" i="80" s="1"/>
  <c r="DB439" i="80" s="1"/>
  <c r="DB448" i="80" s="1"/>
  <c r="DB394" i="80"/>
  <c r="DG429" i="79"/>
  <c r="DJ395" i="79"/>
  <c r="DJ429" i="79"/>
  <c r="FF395" i="79"/>
  <c r="FF429" i="79"/>
  <c r="FC429" i="79"/>
  <c r="AU439" i="80"/>
  <c r="P395" i="80"/>
  <c r="P413" i="80"/>
  <c r="EV448" i="80"/>
  <c r="EV234" i="80" s="1"/>
  <c r="Q84" i="197"/>
  <c r="T95" i="197"/>
  <c r="AH429" i="79"/>
  <c r="AE429" i="79"/>
  <c r="AH395" i="79"/>
  <c r="CL435" i="80"/>
  <c r="CL438" i="80" s="1"/>
  <c r="CL439" i="80" s="1"/>
  <c r="CL448" i="80" s="1"/>
  <c r="CL394" i="80"/>
  <c r="AV234" i="80"/>
  <c r="AX234" i="80" s="1"/>
  <c r="AF234" i="80"/>
  <c r="BD234" i="79"/>
  <c r="BF234" i="79" s="1"/>
  <c r="BL234" i="79"/>
  <c r="BN234" i="79" s="1"/>
  <c r="FD234" i="79"/>
  <c r="FF234" i="79" s="1"/>
  <c r="P234" i="79"/>
  <c r="R234" i="79" s="1"/>
  <c r="X234" i="79"/>
  <c r="Z234" i="79" s="1"/>
  <c r="AN234" i="79"/>
  <c r="AP234" i="79" s="1"/>
  <c r="DX234" i="79"/>
  <c r="DZ234" i="79" s="1"/>
  <c r="FL234" i="79"/>
  <c r="FN234" i="79" s="1"/>
  <c r="BT234" i="79"/>
  <c r="BV234" i="79" s="1"/>
  <c r="AF234" i="79"/>
  <c r="AH234" i="79" s="1"/>
  <c r="DP234" i="79"/>
  <c r="DR234" i="79" s="1"/>
  <c r="DH234" i="79"/>
  <c r="DJ234" i="79" s="1"/>
  <c r="CJ234" i="79"/>
  <c r="CL234" i="79" s="1"/>
  <c r="CR234" i="79"/>
  <c r="CT234" i="79" s="1"/>
  <c r="EF234" i="79"/>
  <c r="EH234" i="79" s="1"/>
  <c r="EN234" i="79"/>
  <c r="EP234" i="79" s="1"/>
  <c r="AV234" i="79"/>
  <c r="AX234" i="79" s="1"/>
  <c r="EV234" i="79"/>
  <c r="EX234" i="79" s="1"/>
  <c r="CZ234" i="79"/>
  <c r="DB234" i="79" s="1"/>
  <c r="I255" i="85"/>
  <c r="K149" i="90" s="1"/>
  <c r="I255" i="79"/>
  <c r="I255" i="80"/>
  <c r="H447" i="80"/>
  <c r="G395" i="80"/>
  <c r="L66" i="206"/>
  <c r="H66" i="206" s="1"/>
  <c r="H19" i="206"/>
  <c r="L66" i="207"/>
  <c r="H66" i="207" s="1"/>
  <c r="H19" i="207"/>
  <c r="N18" i="206"/>
  <c r="J18" i="206" s="1"/>
  <c r="M18" i="206"/>
  <c r="I18" i="206" s="1"/>
  <c r="N18" i="207"/>
  <c r="J18" i="207" s="1"/>
  <c r="M18" i="207"/>
  <c r="I18" i="207" s="1"/>
  <c r="V597" i="96"/>
  <c r="W598" i="96" s="1"/>
  <c r="M18" i="203"/>
  <c r="N18" i="203"/>
  <c r="EE156" i="79"/>
  <c r="EE158" i="79" s="1"/>
  <c r="EE161" i="79" s="1"/>
  <c r="EG148" i="79"/>
  <c r="EF148" i="79"/>
  <c r="CA156" i="79"/>
  <c r="CA158" i="79" s="1"/>
  <c r="CA161" i="79" s="1"/>
  <c r="CC148" i="79"/>
  <c r="CB148" i="79"/>
  <c r="CJ148" i="80"/>
  <c r="CI156" i="80"/>
  <c r="CI158" i="80" s="1"/>
  <c r="CI161" i="80" s="1"/>
  <c r="CK148" i="80"/>
  <c r="G158" i="85"/>
  <c r="O156" i="79"/>
  <c r="O158" i="79" s="1"/>
  <c r="O161" i="79" s="1"/>
  <c r="P148" i="79"/>
  <c r="Q148" i="79"/>
  <c r="CI156" i="79"/>
  <c r="CI158" i="79" s="1"/>
  <c r="CI161" i="79" s="1"/>
  <c r="CJ148" i="79"/>
  <c r="CK148" i="79"/>
  <c r="CY156" i="79"/>
  <c r="CY158" i="79" s="1"/>
  <c r="CY161" i="79" s="1"/>
  <c r="DA148" i="79"/>
  <c r="CZ148" i="79"/>
  <c r="DI148" i="80"/>
  <c r="DH148" i="80"/>
  <c r="DG156" i="80"/>
  <c r="DG158" i="80" s="1"/>
  <c r="DG161" i="80" s="1"/>
  <c r="Q148" i="80"/>
  <c r="P148" i="80"/>
  <c r="O156" i="80"/>
  <c r="O158" i="80" s="1"/>
  <c r="O161" i="80" s="1"/>
  <c r="DO156" i="79"/>
  <c r="DO158" i="79" s="1"/>
  <c r="DO161" i="79" s="1"/>
  <c r="DQ148" i="79"/>
  <c r="DP148" i="79"/>
  <c r="BK156" i="79"/>
  <c r="BK158" i="79" s="1"/>
  <c r="BK161" i="79" s="1"/>
  <c r="BM148" i="79"/>
  <c r="BL148" i="79"/>
  <c r="DW156" i="79"/>
  <c r="DW158" i="79" s="1"/>
  <c r="DW161" i="79" s="1"/>
  <c r="DX148" i="79"/>
  <c r="DY148" i="79"/>
  <c r="BU148" i="80"/>
  <c r="BT148" i="80"/>
  <c r="BS156" i="80"/>
  <c r="BS158" i="80" s="1"/>
  <c r="BS161" i="80" s="1"/>
  <c r="AF148" i="80"/>
  <c r="AG148" i="80"/>
  <c r="AE156" i="80"/>
  <c r="AE158" i="80" s="1"/>
  <c r="AE161" i="80" s="1"/>
  <c r="Y148" i="80"/>
  <c r="X148" i="80"/>
  <c r="W156" i="80"/>
  <c r="W158" i="80" s="1"/>
  <c r="W161" i="80" s="1"/>
  <c r="AU156" i="79"/>
  <c r="AU158" i="79" s="1"/>
  <c r="AU161" i="79" s="1"/>
  <c r="AW148" i="79"/>
  <c r="AV148" i="79"/>
  <c r="BS156" i="79"/>
  <c r="BS158" i="79" s="1"/>
  <c r="BS161" i="79" s="1"/>
  <c r="BU148" i="79"/>
  <c r="BT148" i="79"/>
  <c r="AV148" i="80"/>
  <c r="AW148" i="80"/>
  <c r="AU156" i="80"/>
  <c r="AU158" i="80" s="1"/>
  <c r="AU161" i="80" s="1"/>
  <c r="FK156" i="80"/>
  <c r="FK158" i="80" s="1"/>
  <c r="FK161" i="80" s="1"/>
  <c r="FL148" i="80"/>
  <c r="FM148" i="80"/>
  <c r="EN148" i="80"/>
  <c r="EO148" i="80"/>
  <c r="EM156" i="80"/>
  <c r="EM158" i="80" s="1"/>
  <c r="EM161" i="80" s="1"/>
  <c r="FC156" i="79"/>
  <c r="FC158" i="79" s="1"/>
  <c r="FC161" i="79" s="1"/>
  <c r="FD148" i="79"/>
  <c r="FE148" i="79"/>
  <c r="CQ156" i="79"/>
  <c r="CQ158" i="79" s="1"/>
  <c r="CQ161" i="79" s="1"/>
  <c r="CR148" i="79"/>
  <c r="CS148" i="79"/>
  <c r="DP148" i="80"/>
  <c r="DQ148" i="80"/>
  <c r="DO156" i="80"/>
  <c r="DO158" i="80" s="1"/>
  <c r="DO161" i="80" s="1"/>
  <c r="CS148" i="80"/>
  <c r="CR148" i="80"/>
  <c r="CQ156" i="80"/>
  <c r="CQ158" i="80" s="1"/>
  <c r="CQ161" i="80" s="1"/>
  <c r="DX148" i="80"/>
  <c r="DY148" i="80"/>
  <c r="DW156" i="80"/>
  <c r="DW158" i="80" s="1"/>
  <c r="DW161" i="80" s="1"/>
  <c r="FK156" i="79"/>
  <c r="FK158" i="79" s="1"/>
  <c r="FK161" i="79" s="1"/>
  <c r="FM148" i="79"/>
  <c r="FL148" i="79"/>
  <c r="DG156" i="79"/>
  <c r="DG158" i="79" s="1"/>
  <c r="DG161" i="79" s="1"/>
  <c r="DH148" i="79"/>
  <c r="DI148" i="79"/>
  <c r="BD148" i="80"/>
  <c r="BE148" i="80"/>
  <c r="BC156" i="80"/>
  <c r="BC158" i="80" s="1"/>
  <c r="BC161" i="80" s="1"/>
  <c r="EW148" i="80"/>
  <c r="EV148" i="80"/>
  <c r="EU156" i="80"/>
  <c r="EU158" i="80" s="1"/>
  <c r="EU161" i="80" s="1"/>
  <c r="EG148" i="80"/>
  <c r="EF148" i="80"/>
  <c r="EE156" i="80"/>
  <c r="EE158" i="80" s="1"/>
  <c r="EE161" i="80" s="1"/>
  <c r="EU156" i="79"/>
  <c r="EU158" i="79" s="1"/>
  <c r="EU161" i="79" s="1"/>
  <c r="EV148" i="79"/>
  <c r="EW148" i="79"/>
  <c r="AM156" i="79"/>
  <c r="AM158" i="79" s="1"/>
  <c r="AM161" i="79" s="1"/>
  <c r="AN148" i="79"/>
  <c r="AO148" i="79"/>
  <c r="EM156" i="79"/>
  <c r="EM158" i="79" s="1"/>
  <c r="EM161" i="79" s="1"/>
  <c r="EO148" i="79"/>
  <c r="EN148" i="79"/>
  <c r="FE148" i="80"/>
  <c r="FD148" i="80"/>
  <c r="FC156" i="80"/>
  <c r="FC158" i="80" s="1"/>
  <c r="FC161" i="80" s="1"/>
  <c r="DA148" i="80"/>
  <c r="CY156" i="80"/>
  <c r="CY158" i="80" s="1"/>
  <c r="CY161" i="80" s="1"/>
  <c r="CZ148" i="80"/>
  <c r="CC148" i="80"/>
  <c r="CB148" i="80"/>
  <c r="CA156" i="80"/>
  <c r="CA158" i="80" s="1"/>
  <c r="CA161" i="80" s="1"/>
  <c r="AE156" i="79"/>
  <c r="AE158" i="79" s="1"/>
  <c r="AE161" i="79" s="1"/>
  <c r="AF148" i="79"/>
  <c r="AG148" i="79"/>
  <c r="W156" i="79"/>
  <c r="W158" i="79" s="1"/>
  <c r="W161" i="79" s="1"/>
  <c r="Y148" i="79"/>
  <c r="X148" i="79"/>
  <c r="BC156" i="79"/>
  <c r="BC158" i="79" s="1"/>
  <c r="BC161" i="79" s="1"/>
  <c r="BD148" i="79"/>
  <c r="BE148" i="79"/>
  <c r="BM148" i="80"/>
  <c r="BK156" i="80"/>
  <c r="BK158" i="80" s="1"/>
  <c r="BK161" i="80" s="1"/>
  <c r="BL148" i="80"/>
  <c r="AN148" i="80"/>
  <c r="AM156" i="80"/>
  <c r="AM158" i="80" s="1"/>
  <c r="AM161" i="80" s="1"/>
  <c r="AO148" i="80"/>
  <c r="CL447" i="79"/>
  <c r="CI395" i="79"/>
  <c r="DP447" i="80"/>
  <c r="DO429" i="80"/>
  <c r="DR429" i="80"/>
  <c r="DR413" i="80"/>
  <c r="DR395" i="80"/>
  <c r="DR447" i="80" s="1"/>
  <c r="CD447" i="79"/>
  <c r="CA395" i="79"/>
  <c r="EG63" i="79"/>
  <c r="EG251" i="79"/>
  <c r="E8" i="188"/>
  <c r="E10" i="188" s="1"/>
  <c r="C16" i="188"/>
  <c r="C15" i="188"/>
  <c r="EP447" i="79" l="1"/>
  <c r="X63" i="79"/>
  <c r="AE439" i="80"/>
  <c r="AH234" i="80"/>
  <c r="G78" i="36"/>
  <c r="E87" i="36" s="1"/>
  <c r="E90" i="36" s="1"/>
  <c r="E12" i="36" s="1"/>
  <c r="E14" i="36" s="1"/>
  <c r="DZ234" i="80"/>
  <c r="CA439" i="80"/>
  <c r="CD234" i="80"/>
  <c r="CT234" i="80"/>
  <c r="DJ234" i="80"/>
  <c r="EX447" i="79"/>
  <c r="EU395" i="79"/>
  <c r="DB447" i="79"/>
  <c r="CY395" i="79"/>
  <c r="BL251" i="79"/>
  <c r="Z234" i="80"/>
  <c r="EH234" i="80"/>
  <c r="AP234" i="80"/>
  <c r="BL63" i="79"/>
  <c r="BD63" i="79"/>
  <c r="FD63" i="79"/>
  <c r="DP251" i="79"/>
  <c r="AN63" i="79"/>
  <c r="DP63" i="79"/>
  <c r="FD251" i="79"/>
  <c r="EP234" i="80"/>
  <c r="FL63" i="79"/>
  <c r="E75" i="36"/>
  <c r="E77" i="36"/>
  <c r="E76" i="36"/>
  <c r="H66" i="203"/>
  <c r="L66" i="13"/>
  <c r="H66" i="13" s="1"/>
  <c r="BV234" i="80"/>
  <c r="R234" i="80"/>
  <c r="BC439" i="80"/>
  <c r="W439" i="80"/>
  <c r="CQ439" i="80"/>
  <c r="BS439" i="80"/>
  <c r="DW439" i="80"/>
  <c r="BF234" i="80"/>
  <c r="FC439" i="80"/>
  <c r="DG439" i="80"/>
  <c r="FF234" i="80"/>
  <c r="J18" i="203"/>
  <c r="N66" i="203" s="1"/>
  <c r="N18" i="13"/>
  <c r="J18" i="13" s="1"/>
  <c r="BN234" i="80"/>
  <c r="I18" i="203"/>
  <c r="I19" i="203" s="1"/>
  <c r="M18" i="13"/>
  <c r="I18" i="13" s="1"/>
  <c r="H19" i="203"/>
  <c r="L72" i="203" s="1"/>
  <c r="AF63" i="79"/>
  <c r="CL234" i="80"/>
  <c r="EX234" i="80"/>
  <c r="FN234" i="80"/>
  <c r="L83" i="26"/>
  <c r="H83" i="26" s="1"/>
  <c r="H19" i="13"/>
  <c r="H18" i="85"/>
  <c r="J4" i="90" s="1"/>
  <c r="E56" i="35"/>
  <c r="H18" i="80"/>
  <c r="E56" i="82"/>
  <c r="H18" i="79"/>
  <c r="EU439" i="80"/>
  <c r="FN447" i="79"/>
  <c r="FK395" i="79"/>
  <c r="EH447" i="79"/>
  <c r="EE395" i="79"/>
  <c r="AV63" i="80"/>
  <c r="AV251" i="80"/>
  <c r="AP447" i="79"/>
  <c r="AM395" i="79"/>
  <c r="DZ447" i="79"/>
  <c r="DW395" i="79"/>
  <c r="EE439" i="80"/>
  <c r="EX413" i="80"/>
  <c r="EX429" i="80"/>
  <c r="EX395" i="80"/>
  <c r="EX447" i="80" s="1"/>
  <c r="EU429" i="80"/>
  <c r="FN413" i="80"/>
  <c r="FK429" i="80"/>
  <c r="FN395" i="80"/>
  <c r="FN447" i="80" s="1"/>
  <c r="FN429" i="80"/>
  <c r="BN413" i="80"/>
  <c r="BN395" i="80"/>
  <c r="BN447" i="80" s="1"/>
  <c r="BN429" i="80"/>
  <c r="BK429" i="80"/>
  <c r="AF251" i="80"/>
  <c r="DX447" i="80"/>
  <c r="EV447" i="80"/>
  <c r="CR447" i="80"/>
  <c r="DR447" i="79"/>
  <c r="DO395" i="79"/>
  <c r="AH447" i="80"/>
  <c r="AE395" i="80"/>
  <c r="BT447" i="80"/>
  <c r="X251" i="79"/>
  <c r="CZ251" i="79"/>
  <c r="EV251" i="79"/>
  <c r="CB251" i="79"/>
  <c r="CD251" i="79" s="1"/>
  <c r="P251" i="79"/>
  <c r="CJ251" i="79"/>
  <c r="CL251" i="79" s="1"/>
  <c r="AV251" i="79"/>
  <c r="EF251" i="79"/>
  <c r="EN251" i="79"/>
  <c r="EP251" i="79" s="1"/>
  <c r="BT251" i="79"/>
  <c r="DH251" i="79"/>
  <c r="CR251" i="79"/>
  <c r="BV447" i="79"/>
  <c r="BS395" i="79"/>
  <c r="CZ447" i="80"/>
  <c r="FL251" i="79"/>
  <c r="AF251" i="79"/>
  <c r="DB234" i="80"/>
  <c r="AH447" i="79"/>
  <c r="AE395" i="79"/>
  <c r="P447" i="80"/>
  <c r="CB447" i="80"/>
  <c r="AP413" i="80"/>
  <c r="AP429" i="80"/>
  <c r="AP395" i="80"/>
  <c r="AP447" i="80" s="1"/>
  <c r="AM429" i="80"/>
  <c r="BD251" i="79"/>
  <c r="BK439" i="80"/>
  <c r="FK439" i="80"/>
  <c r="FD447" i="80"/>
  <c r="DJ395" i="80"/>
  <c r="DJ447" i="80" s="1"/>
  <c r="DJ429" i="80"/>
  <c r="DJ413" i="80"/>
  <c r="DG429" i="80"/>
  <c r="CY439" i="80"/>
  <c r="O439" i="80"/>
  <c r="BF447" i="79"/>
  <c r="BC395" i="79"/>
  <c r="CL429" i="80"/>
  <c r="CL413" i="80"/>
  <c r="CL395" i="80"/>
  <c r="CL447" i="80" s="1"/>
  <c r="CI429" i="80"/>
  <c r="EH395" i="80"/>
  <c r="EH447" i="80" s="1"/>
  <c r="EH429" i="80"/>
  <c r="EH413" i="80"/>
  <c r="EE429" i="80"/>
  <c r="CI439" i="80"/>
  <c r="BL447" i="80"/>
  <c r="DX251" i="79"/>
  <c r="DZ395" i="80"/>
  <c r="DZ447" i="80" s="1"/>
  <c r="DW429" i="80"/>
  <c r="DZ413" i="80"/>
  <c r="DZ429" i="80"/>
  <c r="DJ447" i="79"/>
  <c r="DG395" i="79"/>
  <c r="AM439" i="80"/>
  <c r="AN447" i="80"/>
  <c r="CT447" i="79"/>
  <c r="CQ395" i="79"/>
  <c r="DH447" i="80"/>
  <c r="BC429" i="80"/>
  <c r="BF413" i="80"/>
  <c r="BF429" i="80"/>
  <c r="BF395" i="80"/>
  <c r="BF447" i="80" s="1"/>
  <c r="BT63" i="79"/>
  <c r="CB63" i="79"/>
  <c r="CD63" i="79" s="1"/>
  <c r="EV63" i="79"/>
  <c r="CZ63" i="79"/>
  <c r="CJ63" i="79"/>
  <c r="AV63" i="79"/>
  <c r="EF63" i="79"/>
  <c r="P63" i="79"/>
  <c r="EN63" i="79"/>
  <c r="EP63" i="79" s="1"/>
  <c r="CR63" i="79"/>
  <c r="DH63" i="79"/>
  <c r="EF447" i="80"/>
  <c r="CT395" i="80"/>
  <c r="CT413" i="80"/>
  <c r="CQ429" i="80"/>
  <c r="CT429" i="80"/>
  <c r="O429" i="80"/>
  <c r="R395" i="80"/>
  <c r="R447" i="80" s="1"/>
  <c r="R413" i="80"/>
  <c r="R429" i="80"/>
  <c r="CJ447" i="80"/>
  <c r="AX447" i="79"/>
  <c r="AU395" i="79"/>
  <c r="BD447" i="80"/>
  <c r="Z447" i="79"/>
  <c r="W395" i="79"/>
  <c r="FF429" i="80"/>
  <c r="FC429" i="80"/>
  <c r="FF395" i="80"/>
  <c r="FF447" i="80" s="1"/>
  <c r="FF413" i="80"/>
  <c r="R447" i="79"/>
  <c r="O395" i="79"/>
  <c r="Z429" i="80"/>
  <c r="Z413" i="80"/>
  <c r="Z395" i="80"/>
  <c r="Z447" i="80" s="1"/>
  <c r="W429" i="80"/>
  <c r="Q85" i="197"/>
  <c r="L95" i="26" s="1"/>
  <c r="H95" i="26" s="1"/>
  <c r="T84" i="197"/>
  <c r="T85" i="197" s="1"/>
  <c r="U85" i="197" s="1"/>
  <c r="FF447" i="79"/>
  <c r="FC395" i="79"/>
  <c r="DB395" i="80"/>
  <c r="DB447" i="80" s="1"/>
  <c r="DB429" i="80"/>
  <c r="DB413" i="80"/>
  <c r="CY429" i="80"/>
  <c r="EN447" i="80"/>
  <c r="AU395" i="80"/>
  <c r="EM439" i="80"/>
  <c r="FL447" i="80"/>
  <c r="EP395" i="80"/>
  <c r="EP447" i="80" s="1"/>
  <c r="EP413" i="80"/>
  <c r="EM429" i="80"/>
  <c r="EP429" i="80"/>
  <c r="BV395" i="80"/>
  <c r="BV413" i="80"/>
  <c r="BV429" i="80"/>
  <c r="BS429" i="80"/>
  <c r="X447" i="80"/>
  <c r="BN447" i="79"/>
  <c r="BK395" i="79"/>
  <c r="CD395" i="80"/>
  <c r="CD429" i="80"/>
  <c r="CD413" i="80"/>
  <c r="CA429" i="80"/>
  <c r="FE255" i="79"/>
  <c r="EO255" i="79"/>
  <c r="CC255" i="79"/>
  <c r="Y255" i="79"/>
  <c r="Q255" i="79"/>
  <c r="EW255" i="79"/>
  <c r="BU255" i="79"/>
  <c r="DQ255" i="79"/>
  <c r="DY255" i="79"/>
  <c r="BE255" i="79"/>
  <c r="AW255" i="79"/>
  <c r="AG255" i="79"/>
  <c r="AO255" i="79"/>
  <c r="DA255" i="79"/>
  <c r="BM255" i="79"/>
  <c r="EG255" i="79"/>
  <c r="CK255" i="79"/>
  <c r="DI255" i="79"/>
  <c r="FM255" i="79"/>
  <c r="CS255" i="79"/>
  <c r="DY255" i="80"/>
  <c r="AO255" i="80"/>
  <c r="EG255" i="80"/>
  <c r="EW255" i="80"/>
  <c r="EO255" i="80"/>
  <c r="FM255" i="80"/>
  <c r="Q255" i="80"/>
  <c r="BE255" i="80"/>
  <c r="Y255" i="80"/>
  <c r="BU255" i="80"/>
  <c r="AW255" i="80"/>
  <c r="BM255" i="80"/>
  <c r="FE255" i="80"/>
  <c r="DQ255" i="80"/>
  <c r="CC255" i="80"/>
  <c r="DA255" i="80"/>
  <c r="CK255" i="80"/>
  <c r="CS255" i="80"/>
  <c r="DI255" i="80"/>
  <c r="AG255" i="80"/>
  <c r="J19" i="206"/>
  <c r="N66" i="206"/>
  <c r="J66" i="206" s="1"/>
  <c r="H52" i="207"/>
  <c r="L72" i="207"/>
  <c r="H72" i="207" s="1"/>
  <c r="H77" i="207" s="1"/>
  <c r="H52" i="206"/>
  <c r="L72" i="206"/>
  <c r="H72" i="206" s="1"/>
  <c r="H77" i="206" s="1"/>
  <c r="M66" i="207"/>
  <c r="I66" i="207" s="1"/>
  <c r="I19" i="207"/>
  <c r="M66" i="206"/>
  <c r="I66" i="206" s="1"/>
  <c r="I19" i="206"/>
  <c r="N66" i="207"/>
  <c r="J66" i="207" s="1"/>
  <c r="J19" i="207"/>
  <c r="Z148" i="79"/>
  <c r="FF148" i="80"/>
  <c r="DZ148" i="80"/>
  <c r="CL148" i="80"/>
  <c r="BF148" i="80"/>
  <c r="BF148" i="79"/>
  <c r="EP148" i="80"/>
  <c r="BV148" i="79"/>
  <c r="DZ148" i="79"/>
  <c r="EX148" i="80"/>
  <c r="BV148" i="80"/>
  <c r="Z148" i="80"/>
  <c r="EH148" i="80"/>
  <c r="CT148" i="80"/>
  <c r="AX148" i="79"/>
  <c r="BN148" i="80"/>
  <c r="AH148" i="79"/>
  <c r="FN148" i="79"/>
  <c r="DR148" i="79"/>
  <c r="R148" i="80"/>
  <c r="AH148" i="80"/>
  <c r="EP148" i="79"/>
  <c r="DB148" i="79"/>
  <c r="CD148" i="79"/>
  <c r="CD148" i="80"/>
  <c r="AP148" i="79"/>
  <c r="DJ148" i="80"/>
  <c r="EX148" i="79"/>
  <c r="DJ148" i="79"/>
  <c r="FF148" i="79"/>
  <c r="FN148" i="80"/>
  <c r="DR148" i="80"/>
  <c r="CL148" i="79"/>
  <c r="E123" i="36"/>
  <c r="E125" i="36" s="1"/>
  <c r="E96" i="36"/>
  <c r="G161" i="85"/>
  <c r="E40" i="36"/>
  <c r="E42" i="36" s="1"/>
  <c r="DB148" i="80"/>
  <c r="EH148" i="79"/>
  <c r="AP148" i="80"/>
  <c r="CT148" i="79"/>
  <c r="AX148" i="80"/>
  <c r="BN148" i="79"/>
  <c r="R148" i="79"/>
  <c r="DO395" i="80"/>
  <c r="DP251" i="80"/>
  <c r="DP63" i="80"/>
  <c r="C18" i="188"/>
  <c r="E17" i="188" s="1"/>
  <c r="E16" i="188"/>
  <c r="G97" i="36" l="1"/>
  <c r="I165" i="85" s="1"/>
  <c r="K94" i="90" s="1"/>
  <c r="H97" i="36"/>
  <c r="J165" i="85" s="1"/>
  <c r="L94" i="90" s="1"/>
  <c r="E97" i="36"/>
  <c r="G165" i="85" s="1"/>
  <c r="I94" i="90" s="1"/>
  <c r="F97" i="36"/>
  <c r="H165" i="85" s="1"/>
  <c r="J94" i="90" s="1"/>
  <c r="M66" i="203"/>
  <c r="I66" i="203" s="1"/>
  <c r="J19" i="203"/>
  <c r="N72" i="203" s="1"/>
  <c r="BC395" i="80"/>
  <c r="FK395" i="80"/>
  <c r="EH251" i="79"/>
  <c r="DG395" i="80"/>
  <c r="EH63" i="79"/>
  <c r="BK395" i="80"/>
  <c r="B10" i="83"/>
  <c r="B10" i="77"/>
  <c r="G165" i="79"/>
  <c r="G165" i="80"/>
  <c r="W395" i="80"/>
  <c r="H66" i="85"/>
  <c r="J32" i="90" s="1"/>
  <c r="H66" i="79"/>
  <c r="H66" i="80"/>
  <c r="E78" i="36"/>
  <c r="J66" i="203"/>
  <c r="N66" i="13"/>
  <c r="J66" i="13" s="1"/>
  <c r="H72" i="203"/>
  <c r="H77" i="203" s="1"/>
  <c r="L72" i="13"/>
  <c r="H72" i="13" s="1"/>
  <c r="H77" i="13" s="1"/>
  <c r="CY395" i="80"/>
  <c r="EM395" i="80"/>
  <c r="H52" i="203"/>
  <c r="AM395" i="80"/>
  <c r="CD447" i="80"/>
  <c r="CA395" i="80"/>
  <c r="BV447" i="80"/>
  <c r="BS395" i="80"/>
  <c r="CT447" i="80"/>
  <c r="CQ395" i="80"/>
  <c r="CL63" i="79"/>
  <c r="H52" i="13"/>
  <c r="H19" i="85"/>
  <c r="H243" i="79"/>
  <c r="H243" i="80"/>
  <c r="H243" i="85"/>
  <c r="J137" i="90" s="1"/>
  <c r="EU395" i="80"/>
  <c r="FL18" i="79"/>
  <c r="EF18" i="79"/>
  <c r="DX18" i="79"/>
  <c r="EV18" i="79"/>
  <c r="AV18" i="79"/>
  <c r="BL18" i="79"/>
  <c r="CJ18" i="79"/>
  <c r="H412" i="79"/>
  <c r="H414" i="79" s="1"/>
  <c r="H415" i="79" s="1"/>
  <c r="FD18" i="79"/>
  <c r="X18" i="79"/>
  <c r="DP18" i="79"/>
  <c r="DH18" i="79"/>
  <c r="CB18" i="79"/>
  <c r="P18" i="79"/>
  <c r="BT18" i="79"/>
  <c r="AF18" i="79"/>
  <c r="AN18" i="79"/>
  <c r="CR18" i="79"/>
  <c r="EN18" i="79"/>
  <c r="CZ18" i="79"/>
  <c r="BD18" i="79"/>
  <c r="H19" i="79"/>
  <c r="H52" i="79" s="1"/>
  <c r="Q56" i="82"/>
  <c r="R56" i="82"/>
  <c r="R58" i="82" s="1"/>
  <c r="R59" i="82" s="1"/>
  <c r="E58" i="82"/>
  <c r="E59" i="82" s="1"/>
  <c r="E86" i="82" s="1"/>
  <c r="CI395" i="80"/>
  <c r="FL18" i="80"/>
  <c r="EN18" i="80"/>
  <c r="FD18" i="80"/>
  <c r="CR18" i="80"/>
  <c r="AN18" i="80"/>
  <c r="EV18" i="80"/>
  <c r="CZ18" i="80"/>
  <c r="BL18" i="80"/>
  <c r="H19" i="80"/>
  <c r="H52" i="80" s="1"/>
  <c r="BT18" i="80"/>
  <c r="CJ18" i="80"/>
  <c r="CB18" i="80"/>
  <c r="P18" i="80"/>
  <c r="AF18" i="80"/>
  <c r="EF18" i="80"/>
  <c r="DP18" i="80"/>
  <c r="AV18" i="80"/>
  <c r="H412" i="80"/>
  <c r="H414" i="80" s="1"/>
  <c r="H415" i="80" s="1"/>
  <c r="X18" i="80"/>
  <c r="DX18" i="80"/>
  <c r="DH18" i="80"/>
  <c r="BD18" i="80"/>
  <c r="I19" i="13"/>
  <c r="M83" i="26"/>
  <c r="I83" i="26" s="1"/>
  <c r="I18" i="80"/>
  <c r="F56" i="82"/>
  <c r="F58" i="82" s="1"/>
  <c r="F59" i="82" s="1"/>
  <c r="F86" i="82" s="1"/>
  <c r="I18" i="85"/>
  <c r="K4" i="90" s="1"/>
  <c r="I18" i="79"/>
  <c r="F56" i="35"/>
  <c r="F58" i="35" s="1"/>
  <c r="F86" i="35" s="1"/>
  <c r="N83" i="26"/>
  <c r="J83" i="26" s="1"/>
  <c r="J19" i="13"/>
  <c r="J18" i="79"/>
  <c r="J18" i="80"/>
  <c r="G56" i="35"/>
  <c r="G58" i="35" s="1"/>
  <c r="G56" i="82"/>
  <c r="G58" i="82" s="1"/>
  <c r="G59" i="82" s="1"/>
  <c r="G86" i="82" s="1"/>
  <c r="J18" i="85"/>
  <c r="L4" i="90" s="1"/>
  <c r="R56" i="35"/>
  <c r="R58" i="35" s="1"/>
  <c r="R59" i="35" s="1"/>
  <c r="Q56" i="35"/>
  <c r="E58" i="35"/>
  <c r="E59" i="35" s="1"/>
  <c r="E86" i="35" s="1"/>
  <c r="R63" i="79"/>
  <c r="R251" i="79"/>
  <c r="BD251" i="80"/>
  <c r="BF251" i="80" s="1"/>
  <c r="BD63" i="80"/>
  <c r="BF63" i="80" s="1"/>
  <c r="EX63" i="79"/>
  <c r="DR63" i="79"/>
  <c r="DR251" i="79"/>
  <c r="FN63" i="79"/>
  <c r="FN251" i="79"/>
  <c r="BN63" i="79"/>
  <c r="BN251" i="79"/>
  <c r="FF63" i="79"/>
  <c r="FF251" i="79"/>
  <c r="CB63" i="80"/>
  <c r="CB251" i="80"/>
  <c r="AH63" i="79"/>
  <c r="AH251" i="79"/>
  <c r="CZ251" i="80"/>
  <c r="DB251" i="80" s="1"/>
  <c r="CZ63" i="80"/>
  <c r="DB63" i="80" s="1"/>
  <c r="AP63" i="79"/>
  <c r="AP251" i="79"/>
  <c r="AX63" i="80"/>
  <c r="AX251" i="79"/>
  <c r="AX63" i="79"/>
  <c r="DH63" i="80"/>
  <c r="DH251" i="80"/>
  <c r="DJ251" i="80" s="1"/>
  <c r="BL251" i="80"/>
  <c r="BN251" i="80" s="1"/>
  <c r="BL63" i="80"/>
  <c r="CR251" i="80"/>
  <c r="CR63" i="80"/>
  <c r="AX251" i="80"/>
  <c r="X251" i="80"/>
  <c r="Z251" i="80" s="1"/>
  <c r="X63" i="80"/>
  <c r="Z63" i="80" s="1"/>
  <c r="EN251" i="80"/>
  <c r="EN63" i="80"/>
  <c r="H255" i="79"/>
  <c r="H255" i="80"/>
  <c r="H255" i="85"/>
  <c r="J149" i="90" s="1"/>
  <c r="H97" i="26"/>
  <c r="H257" i="85" s="1"/>
  <c r="BT251" i="80"/>
  <c r="BT63" i="80"/>
  <c r="CT63" i="79"/>
  <c r="CT251" i="79"/>
  <c r="DJ63" i="79"/>
  <c r="DJ251" i="79"/>
  <c r="BF63" i="79"/>
  <c r="BF251" i="79"/>
  <c r="BV63" i="79"/>
  <c r="BV251" i="79"/>
  <c r="EV251" i="80"/>
  <c r="EX251" i="80" s="1"/>
  <c r="EV63" i="80"/>
  <c r="FL63" i="80"/>
  <c r="FL251" i="80"/>
  <c r="CJ63" i="80"/>
  <c r="CJ251" i="80"/>
  <c r="CL251" i="80" s="1"/>
  <c r="Z63" i="79"/>
  <c r="Z251" i="79"/>
  <c r="EE395" i="80"/>
  <c r="FC395" i="80"/>
  <c r="O395" i="80"/>
  <c r="EX251" i="79"/>
  <c r="AH63" i="80"/>
  <c r="AH251" i="80"/>
  <c r="DW395" i="80"/>
  <c r="EF63" i="80"/>
  <c r="EF251" i="80"/>
  <c r="EH251" i="80" s="1"/>
  <c r="DB63" i="79"/>
  <c r="AN251" i="80"/>
  <c r="AP251" i="80" s="1"/>
  <c r="AN63" i="80"/>
  <c r="FD63" i="80"/>
  <c r="FD251" i="80"/>
  <c r="P63" i="80"/>
  <c r="P251" i="80"/>
  <c r="DB251" i="79"/>
  <c r="DX251" i="80"/>
  <c r="DX63" i="80"/>
  <c r="DZ63" i="79"/>
  <c r="DZ251" i="79"/>
  <c r="H79" i="207"/>
  <c r="I52" i="207"/>
  <c r="M72" i="207"/>
  <c r="I72" i="207" s="1"/>
  <c r="I77" i="207" s="1"/>
  <c r="M72" i="203"/>
  <c r="I52" i="203"/>
  <c r="M72" i="206"/>
  <c r="I72" i="206" s="1"/>
  <c r="I77" i="206" s="1"/>
  <c r="I52" i="206"/>
  <c r="H79" i="206"/>
  <c r="N72" i="206"/>
  <c r="J72" i="206" s="1"/>
  <c r="J77" i="206" s="1"/>
  <c r="J52" i="206"/>
  <c r="J52" i="207"/>
  <c r="N72" i="207"/>
  <c r="J72" i="207" s="1"/>
  <c r="J77" i="207" s="1"/>
  <c r="DR63" i="80"/>
  <c r="DR251" i="80"/>
  <c r="E15" i="188"/>
  <c r="E18" i="188" s="1"/>
  <c r="D328" i="143"/>
  <c r="D329" i="143" s="1"/>
  <c r="D334" i="143"/>
  <c r="D336" i="143" s="1"/>
  <c r="F9" i="188" s="1"/>
  <c r="D335" i="143"/>
  <c r="D16" i="188"/>
  <c r="D333" i="143"/>
  <c r="M66" i="13" l="1"/>
  <c r="I66" i="13" s="1"/>
  <c r="G59" i="35"/>
  <c r="G86" i="35" s="1"/>
  <c r="E98" i="36"/>
  <c r="J52" i="203"/>
  <c r="BV251" i="80"/>
  <c r="CD63" i="80"/>
  <c r="H79" i="203"/>
  <c r="CD251" i="80"/>
  <c r="J66" i="79"/>
  <c r="J66" i="85"/>
  <c r="L32" i="90" s="1"/>
  <c r="J66" i="80"/>
  <c r="J72" i="203"/>
  <c r="J77" i="203" s="1"/>
  <c r="J72" i="13"/>
  <c r="BN63" i="80"/>
  <c r="EG165" i="80"/>
  <c r="CL165" i="80"/>
  <c r="DG165" i="80"/>
  <c r="DG167" i="80" s="1"/>
  <c r="DG325" i="80" s="1"/>
  <c r="DG334" i="80" s="1"/>
  <c r="AN165" i="80"/>
  <c r="DZ165" i="80"/>
  <c r="DO165" i="80"/>
  <c r="DO167" i="80" s="1"/>
  <c r="DO325" i="80" s="1"/>
  <c r="DO334" i="80" s="1"/>
  <c r="CY165" i="80"/>
  <c r="CY167" i="80" s="1"/>
  <c r="CY325" i="80" s="1"/>
  <c r="CY334" i="80" s="1"/>
  <c r="AE165" i="80"/>
  <c r="AE167" i="80" s="1"/>
  <c r="AE325" i="80" s="1"/>
  <c r="AE334" i="80" s="1"/>
  <c r="CJ165" i="80"/>
  <c r="DX165" i="80"/>
  <c r="J165" i="80"/>
  <c r="BE165" i="80"/>
  <c r="BF165" i="80"/>
  <c r="P165" i="80"/>
  <c r="AF165" i="80"/>
  <c r="CR165" i="80"/>
  <c r="BL165" i="80"/>
  <c r="FF165" i="80"/>
  <c r="AX165" i="80"/>
  <c r="O165" i="80"/>
  <c r="O167" i="80" s="1"/>
  <c r="O325" i="80" s="1"/>
  <c r="O334" i="80" s="1"/>
  <c r="DR165" i="80"/>
  <c r="CK165" i="80"/>
  <c r="EO165" i="80"/>
  <c r="BV165" i="80"/>
  <c r="EF165" i="80"/>
  <c r="AO165" i="80"/>
  <c r="EE165" i="80"/>
  <c r="EE167" i="80" s="1"/>
  <c r="EE325" i="80" s="1"/>
  <c r="EE334" i="80" s="1"/>
  <c r="DY165" i="80"/>
  <c r="EV165" i="80"/>
  <c r="EW165" i="80"/>
  <c r="Y165" i="80"/>
  <c r="EM165" i="80"/>
  <c r="EM167" i="80" s="1"/>
  <c r="EM325" i="80" s="1"/>
  <c r="EM334" i="80" s="1"/>
  <c r="H165" i="80"/>
  <c r="EP165" i="80"/>
  <c r="Q165" i="80"/>
  <c r="DJ165" i="80"/>
  <c r="CS165" i="80"/>
  <c r="AV165" i="80"/>
  <c r="FK165" i="80"/>
  <c r="FK167" i="80" s="1"/>
  <c r="FK325" i="80" s="1"/>
  <c r="FK334" i="80" s="1"/>
  <c r="W165" i="80"/>
  <c r="W167" i="80" s="1"/>
  <c r="W325" i="80" s="1"/>
  <c r="W334" i="80" s="1"/>
  <c r="R165" i="80"/>
  <c r="I165" i="80"/>
  <c r="X165" i="80"/>
  <c r="CQ165" i="80"/>
  <c r="CQ167" i="80" s="1"/>
  <c r="CQ325" i="80" s="1"/>
  <c r="CQ334" i="80" s="1"/>
  <c r="DB165" i="80"/>
  <c r="EX165" i="80"/>
  <c r="CZ165" i="80"/>
  <c r="FE165" i="80"/>
  <c r="Z165" i="80"/>
  <c r="AU165" i="80"/>
  <c r="AU167" i="80" s="1"/>
  <c r="AU325" i="80" s="1"/>
  <c r="AU334" i="80" s="1"/>
  <c r="DP165" i="80"/>
  <c r="CI165" i="80"/>
  <c r="CI167" i="80" s="1"/>
  <c r="CI325" i="80" s="1"/>
  <c r="CI334" i="80" s="1"/>
  <c r="BU165" i="80"/>
  <c r="BT165" i="80"/>
  <c r="CC165" i="80"/>
  <c r="FC165" i="80"/>
  <c r="FC167" i="80" s="1"/>
  <c r="FC325" i="80" s="1"/>
  <c r="FC334" i="80" s="1"/>
  <c r="AG165" i="80"/>
  <c r="FN165" i="80"/>
  <c r="DW165" i="80"/>
  <c r="DW167" i="80" s="1"/>
  <c r="DW325" i="80" s="1"/>
  <c r="DW334" i="80" s="1"/>
  <c r="BS165" i="80"/>
  <c r="BS167" i="80" s="1"/>
  <c r="BS325" i="80" s="1"/>
  <c r="BS334" i="80" s="1"/>
  <c r="AM165" i="80"/>
  <c r="AM167" i="80" s="1"/>
  <c r="AM325" i="80" s="1"/>
  <c r="AM334" i="80" s="1"/>
  <c r="DH165" i="80"/>
  <c r="CD165" i="80"/>
  <c r="DI165" i="80"/>
  <c r="CA165" i="80"/>
  <c r="CA167" i="80" s="1"/>
  <c r="CA325" i="80" s="1"/>
  <c r="CA334" i="80" s="1"/>
  <c r="AH165" i="80"/>
  <c r="CB165" i="80"/>
  <c r="DA165" i="80"/>
  <c r="EN165" i="80"/>
  <c r="CT165" i="80"/>
  <c r="EH165" i="80"/>
  <c r="BK165" i="80"/>
  <c r="BK167" i="80" s="1"/>
  <c r="BK325" i="80" s="1"/>
  <c r="BK334" i="80" s="1"/>
  <c r="AW165" i="80"/>
  <c r="FM165" i="80"/>
  <c r="FD165" i="80"/>
  <c r="FL165" i="80"/>
  <c r="AP165" i="80"/>
  <c r="DQ165" i="80"/>
  <c r="BN165" i="80"/>
  <c r="EU165" i="80"/>
  <c r="EU167" i="80" s="1"/>
  <c r="EU325" i="80" s="1"/>
  <c r="EU334" i="80" s="1"/>
  <c r="BD165" i="80"/>
  <c r="BM165" i="80"/>
  <c r="BC165" i="80"/>
  <c r="BC167" i="80" s="1"/>
  <c r="BC325" i="80" s="1"/>
  <c r="BC334" i="80" s="1"/>
  <c r="G167" i="80"/>
  <c r="G325" i="80" s="1"/>
  <c r="G334" i="80" s="1"/>
  <c r="I66" i="79"/>
  <c r="I66" i="80"/>
  <c r="I66" i="85"/>
  <c r="K32" i="90" s="1"/>
  <c r="V25" i="83"/>
  <c r="V26" i="83" s="1"/>
  <c r="G25" i="83"/>
  <c r="G26" i="83" s="1"/>
  <c r="Y25" i="83"/>
  <c r="Y26" i="83" s="1"/>
  <c r="O25" i="83"/>
  <c r="O26" i="83" s="1"/>
  <c r="X25" i="83"/>
  <c r="X26" i="83" s="1"/>
  <c r="F25" i="83"/>
  <c r="F26" i="83" s="1"/>
  <c r="AA25" i="83"/>
  <c r="AA26" i="83" s="1"/>
  <c r="U25" i="83"/>
  <c r="U26" i="83" s="1"/>
  <c r="P25" i="83"/>
  <c r="P26" i="83" s="1"/>
  <c r="C25" i="83"/>
  <c r="C26" i="83" s="1"/>
  <c r="K25" i="83"/>
  <c r="K26" i="83" s="1"/>
  <c r="R25" i="83"/>
  <c r="R26" i="83" s="1"/>
  <c r="E25" i="83"/>
  <c r="E26" i="83" s="1"/>
  <c r="T25" i="83"/>
  <c r="T26" i="83" s="1"/>
  <c r="N25" i="83"/>
  <c r="N26" i="83" s="1"/>
  <c r="Z25" i="83"/>
  <c r="Z26" i="83" s="1"/>
  <c r="S25" i="83"/>
  <c r="S26" i="83" s="1"/>
  <c r="L25" i="83"/>
  <c r="L26" i="83" s="1"/>
  <c r="H25" i="83"/>
  <c r="H26" i="83" s="1"/>
  <c r="I25" i="83"/>
  <c r="I26" i="83" s="1"/>
  <c r="D25" i="83"/>
  <c r="D26" i="83" s="1"/>
  <c r="W25" i="83"/>
  <c r="W26" i="83" s="1"/>
  <c r="J25" i="83"/>
  <c r="J26" i="83" s="1"/>
  <c r="B25" i="83"/>
  <c r="B26" i="83" s="1"/>
  <c r="Q25" i="83"/>
  <c r="Q26" i="83" s="1"/>
  <c r="M25" i="83"/>
  <c r="M26" i="83" s="1"/>
  <c r="CL63" i="80"/>
  <c r="DX66" i="80"/>
  <c r="FD66" i="80"/>
  <c r="BD66" i="80"/>
  <c r="AV66" i="80"/>
  <c r="EV66" i="80"/>
  <c r="P66" i="80"/>
  <c r="CB66" i="80"/>
  <c r="AF66" i="80"/>
  <c r="EF66" i="80"/>
  <c r="X66" i="80"/>
  <c r="CJ66" i="80"/>
  <c r="AN66" i="80"/>
  <c r="CZ66" i="80"/>
  <c r="BL66" i="80"/>
  <c r="EN66" i="80"/>
  <c r="CR66" i="80"/>
  <c r="FL66" i="80"/>
  <c r="DH66" i="80"/>
  <c r="DP66" i="80"/>
  <c r="BT66" i="80"/>
  <c r="CJ165" i="79"/>
  <c r="EH165" i="79"/>
  <c r="AO165" i="79"/>
  <c r="Q165" i="79"/>
  <c r="FF165" i="79"/>
  <c r="AF165" i="79"/>
  <c r="BM165" i="79"/>
  <c r="J165" i="79"/>
  <c r="FM165" i="79"/>
  <c r="EV165" i="79"/>
  <c r="BE165" i="79"/>
  <c r="EM165" i="79"/>
  <c r="EM167" i="79" s="1"/>
  <c r="EM325" i="79" s="1"/>
  <c r="EM334" i="79" s="1"/>
  <c r="CL165" i="79"/>
  <c r="BS165" i="79"/>
  <c r="BS167" i="79" s="1"/>
  <c r="BS325" i="79" s="1"/>
  <c r="BS334" i="79" s="1"/>
  <c r="EE165" i="79"/>
  <c r="EE167" i="79" s="1"/>
  <c r="EE325" i="79" s="1"/>
  <c r="EE334" i="79" s="1"/>
  <c r="DX165" i="79"/>
  <c r="EX165" i="79"/>
  <c r="CR165" i="79"/>
  <c r="P165" i="79"/>
  <c r="CS165" i="79"/>
  <c r="DW165" i="79"/>
  <c r="DW167" i="79" s="1"/>
  <c r="DW325" i="79" s="1"/>
  <c r="DW334" i="79" s="1"/>
  <c r="AU165" i="79"/>
  <c r="AU167" i="79" s="1"/>
  <c r="AU325" i="79" s="1"/>
  <c r="AU334" i="79" s="1"/>
  <c r="CI165" i="79"/>
  <c r="CI167" i="79" s="1"/>
  <c r="CI325" i="79" s="1"/>
  <c r="CI334" i="79" s="1"/>
  <c r="DY165" i="79"/>
  <c r="CC165" i="79"/>
  <c r="DR165" i="79"/>
  <c r="O165" i="79"/>
  <c r="O167" i="79" s="1"/>
  <c r="O325" i="79" s="1"/>
  <c r="O334" i="79" s="1"/>
  <c r="Z165" i="79"/>
  <c r="DO165" i="79"/>
  <c r="DO167" i="79" s="1"/>
  <c r="DO325" i="79" s="1"/>
  <c r="DO334" i="79" s="1"/>
  <c r="BU165" i="79"/>
  <c r="FD165" i="79"/>
  <c r="DB165" i="79"/>
  <c r="BK165" i="79"/>
  <c r="BK167" i="79" s="1"/>
  <c r="BK325" i="79" s="1"/>
  <c r="BK334" i="79" s="1"/>
  <c r="EO165" i="79"/>
  <c r="W165" i="79"/>
  <c r="W167" i="79" s="1"/>
  <c r="W325" i="79" s="1"/>
  <c r="W334" i="79" s="1"/>
  <c r="CY165" i="79"/>
  <c r="CY167" i="79" s="1"/>
  <c r="CY325" i="79" s="1"/>
  <c r="CY334" i="79" s="1"/>
  <c r="EN165" i="79"/>
  <c r="BN165" i="79"/>
  <c r="AP165" i="79"/>
  <c r="EP165" i="79"/>
  <c r="AE165" i="79"/>
  <c r="AE167" i="79" s="1"/>
  <c r="AE325" i="79" s="1"/>
  <c r="AE334" i="79" s="1"/>
  <c r="BV165" i="79"/>
  <c r="EF165" i="79"/>
  <c r="BF165" i="79"/>
  <c r="AN165" i="79"/>
  <c r="H165" i="79"/>
  <c r="R165" i="79"/>
  <c r="AG165" i="79"/>
  <c r="DI165" i="79"/>
  <c r="FN165" i="79"/>
  <c r="CQ165" i="79"/>
  <c r="CQ167" i="79" s="1"/>
  <c r="CQ325" i="79" s="1"/>
  <c r="CQ334" i="79" s="1"/>
  <c r="BL165" i="79"/>
  <c r="CK165" i="79"/>
  <c r="CA165" i="79"/>
  <c r="CA167" i="79" s="1"/>
  <c r="CA325" i="79" s="1"/>
  <c r="CA334" i="79" s="1"/>
  <c r="FK165" i="79"/>
  <c r="FK167" i="79" s="1"/>
  <c r="FK325" i="79" s="1"/>
  <c r="FK334" i="79" s="1"/>
  <c r="DZ165" i="79"/>
  <c r="DQ165" i="79"/>
  <c r="BC165" i="79"/>
  <c r="BC167" i="79" s="1"/>
  <c r="BC325" i="79" s="1"/>
  <c r="BC334" i="79" s="1"/>
  <c r="CT165" i="79"/>
  <c r="BD165" i="79"/>
  <c r="FL165" i="79"/>
  <c r="FC165" i="79"/>
  <c r="FC167" i="79" s="1"/>
  <c r="FC325" i="79" s="1"/>
  <c r="FC334" i="79" s="1"/>
  <c r="EG165" i="79"/>
  <c r="CZ165" i="79"/>
  <c r="AW165" i="79"/>
  <c r="EU165" i="79"/>
  <c r="EU167" i="79" s="1"/>
  <c r="EU325" i="79" s="1"/>
  <c r="EU334" i="79" s="1"/>
  <c r="DJ165" i="79"/>
  <c r="EW165" i="79"/>
  <c r="BT165" i="79"/>
  <c r="AX165" i="79"/>
  <c r="AV165" i="79"/>
  <c r="I165" i="79"/>
  <c r="CB165" i="79"/>
  <c r="AM165" i="79"/>
  <c r="AM167" i="79" s="1"/>
  <c r="AM325" i="79" s="1"/>
  <c r="AM334" i="79" s="1"/>
  <c r="Y165" i="79"/>
  <c r="DG165" i="79"/>
  <c r="DG167" i="79" s="1"/>
  <c r="DG325" i="79" s="1"/>
  <c r="DG334" i="79" s="1"/>
  <c r="DH165" i="79"/>
  <c r="DA165" i="79"/>
  <c r="AH165" i="79"/>
  <c r="X165" i="79"/>
  <c r="DP165" i="79"/>
  <c r="CD165" i="79"/>
  <c r="FE165" i="79"/>
  <c r="G167" i="79"/>
  <c r="G325" i="79" s="1"/>
  <c r="G334" i="79" s="1"/>
  <c r="I72" i="203"/>
  <c r="I77" i="203" s="1"/>
  <c r="I79" i="203" s="1"/>
  <c r="I72" i="13"/>
  <c r="H72" i="79"/>
  <c r="H72" i="85"/>
  <c r="J38" i="90" s="1"/>
  <c r="H72" i="80"/>
  <c r="H77" i="80" s="1"/>
  <c r="H79" i="80" s="1"/>
  <c r="BT66" i="79"/>
  <c r="EV66" i="79"/>
  <c r="FD66" i="79"/>
  <c r="CZ66" i="79"/>
  <c r="EF66" i="79"/>
  <c r="AV66" i="79"/>
  <c r="EN66" i="79"/>
  <c r="CB66" i="79"/>
  <c r="FL66" i="79"/>
  <c r="BD66" i="79"/>
  <c r="AN66" i="79"/>
  <c r="DP66" i="79"/>
  <c r="CR66" i="79"/>
  <c r="DX66" i="79"/>
  <c r="X66" i="79"/>
  <c r="CJ66" i="79"/>
  <c r="BL66" i="79"/>
  <c r="AF66" i="79"/>
  <c r="DH66" i="79"/>
  <c r="P66" i="79"/>
  <c r="S25" i="77"/>
  <c r="S26" i="77" s="1"/>
  <c r="P25" i="77"/>
  <c r="P26" i="77" s="1"/>
  <c r="G25" i="77"/>
  <c r="G26" i="77" s="1"/>
  <c r="G42" i="77" s="1"/>
  <c r="G43" i="77" s="1"/>
  <c r="J25" i="77"/>
  <c r="J26" i="77" s="1"/>
  <c r="U25" i="77"/>
  <c r="U26" i="77" s="1"/>
  <c r="H25" i="77"/>
  <c r="H26" i="77" s="1"/>
  <c r="H42" i="77" s="1"/>
  <c r="H43" i="77" s="1"/>
  <c r="T25" i="77"/>
  <c r="T26" i="77" s="1"/>
  <c r="Y25" i="77"/>
  <c r="Y26" i="77" s="1"/>
  <c r="M25" i="77"/>
  <c r="M26" i="77" s="1"/>
  <c r="AA25" i="77"/>
  <c r="AA26" i="77" s="1"/>
  <c r="Z25" i="77"/>
  <c r="Z26" i="77" s="1"/>
  <c r="X25" i="77"/>
  <c r="X26" i="77" s="1"/>
  <c r="I25" i="77"/>
  <c r="I26" i="77" s="1"/>
  <c r="L25" i="77"/>
  <c r="L26" i="77" s="1"/>
  <c r="N25" i="77"/>
  <c r="N26" i="77" s="1"/>
  <c r="V25" i="77"/>
  <c r="V26" i="77" s="1"/>
  <c r="R25" i="77"/>
  <c r="R26" i="77" s="1"/>
  <c r="E25" i="77"/>
  <c r="E26" i="77" s="1"/>
  <c r="C25" i="77"/>
  <c r="C26" i="77" s="1"/>
  <c r="C42" i="77" s="1"/>
  <c r="C43" i="77" s="1"/>
  <c r="F25" i="77"/>
  <c r="F26" i="77" s="1"/>
  <c r="F42" i="77" s="1"/>
  <c r="F43" i="77" s="1"/>
  <c r="O25" i="77"/>
  <c r="O26" i="77" s="1"/>
  <c r="B25" i="77"/>
  <c r="B26" i="77" s="1"/>
  <c r="B42" i="77" s="1"/>
  <c r="B43" i="77" s="1"/>
  <c r="K25" i="77"/>
  <c r="K26" i="77" s="1"/>
  <c r="D25" i="77"/>
  <c r="D26" i="77" s="1"/>
  <c r="D42" i="77" s="1"/>
  <c r="D43" i="77" s="1"/>
  <c r="Q25" i="77"/>
  <c r="Q26" i="77" s="1"/>
  <c r="W25" i="77"/>
  <c r="W26" i="77" s="1"/>
  <c r="CT251" i="80"/>
  <c r="BV63" i="80"/>
  <c r="H52" i="85"/>
  <c r="H79" i="13"/>
  <c r="S56" i="35"/>
  <c r="Q58" i="35"/>
  <c r="J52" i="13"/>
  <c r="J19" i="85"/>
  <c r="I52" i="13"/>
  <c r="I19" i="85"/>
  <c r="EF412" i="80"/>
  <c r="EF414" i="80" s="1"/>
  <c r="EF415" i="80" s="1"/>
  <c r="EF451" i="80" s="1"/>
  <c r="EF19" i="80"/>
  <c r="EF52" i="80" s="1"/>
  <c r="CZ412" i="80"/>
  <c r="CZ414" i="80" s="1"/>
  <c r="CZ415" i="80" s="1"/>
  <c r="CZ19" i="80"/>
  <c r="CZ52" i="80" s="1"/>
  <c r="BT412" i="79"/>
  <c r="BT414" i="79" s="1"/>
  <c r="BT415" i="79" s="1"/>
  <c r="BT451" i="79" s="1"/>
  <c r="BT19" i="79"/>
  <c r="BT52" i="79" s="1"/>
  <c r="CJ19" i="79"/>
  <c r="CJ52" i="79" s="1"/>
  <c r="CJ412" i="79"/>
  <c r="CJ414" i="79" s="1"/>
  <c r="CJ415" i="79" s="1"/>
  <c r="CJ451" i="79" s="1"/>
  <c r="H131" i="203"/>
  <c r="H131" i="13"/>
  <c r="E388" i="85"/>
  <c r="H119" i="203"/>
  <c r="G22" i="31"/>
  <c r="H152" i="206"/>
  <c r="H156" i="206" s="1"/>
  <c r="H158" i="206" s="1"/>
  <c r="H152" i="203"/>
  <c r="H156" i="203" s="1"/>
  <c r="H158" i="203" s="1"/>
  <c r="H127" i="13"/>
  <c r="H127" i="203"/>
  <c r="H119" i="13"/>
  <c r="H152" i="207"/>
  <c r="H156" i="207" s="1"/>
  <c r="H158" i="207" s="1"/>
  <c r="H152" i="13"/>
  <c r="H131" i="207"/>
  <c r="H119" i="206"/>
  <c r="H63" i="26"/>
  <c r="H127" i="207"/>
  <c r="H127" i="206"/>
  <c r="H119" i="207"/>
  <c r="H131" i="206"/>
  <c r="H68" i="26"/>
  <c r="BL19" i="80"/>
  <c r="BL52" i="80" s="1"/>
  <c r="BL412" i="80"/>
  <c r="BL414" i="80" s="1"/>
  <c r="BL415" i="80" s="1"/>
  <c r="BL451" i="80" s="1"/>
  <c r="R86" i="35"/>
  <c r="AA40" i="77"/>
  <c r="AA36" i="77"/>
  <c r="J243" i="80"/>
  <c r="J257" i="80" s="1"/>
  <c r="J243" i="79"/>
  <c r="J257" i="79" s="1"/>
  <c r="J243" i="85"/>
  <c r="L137" i="90" s="1"/>
  <c r="J97" i="26"/>
  <c r="J257" i="85" s="1"/>
  <c r="BD412" i="80"/>
  <c r="BD414" i="80" s="1"/>
  <c r="BD415" i="80" s="1"/>
  <c r="BD19" i="80"/>
  <c r="BD52" i="80" s="1"/>
  <c r="AF412" i="80"/>
  <c r="AF414" i="80" s="1"/>
  <c r="AF415" i="80" s="1"/>
  <c r="AF451" i="80" s="1"/>
  <c r="AF19" i="80"/>
  <c r="AF52" i="80" s="1"/>
  <c r="EV412" i="80"/>
  <c r="EV414" i="80" s="1"/>
  <c r="EV415" i="80" s="1"/>
  <c r="EV19" i="80"/>
  <c r="EV52" i="80" s="1"/>
  <c r="P412" i="79"/>
  <c r="P414" i="79" s="1"/>
  <c r="P415" i="79" s="1"/>
  <c r="P19" i="79"/>
  <c r="P52" i="79" s="1"/>
  <c r="BL412" i="79"/>
  <c r="BL414" i="79" s="1"/>
  <c r="BL415" i="79" s="1"/>
  <c r="BL19" i="79"/>
  <c r="BL52" i="79" s="1"/>
  <c r="H451" i="79"/>
  <c r="DJ63" i="80"/>
  <c r="I131" i="207"/>
  <c r="I119" i="207"/>
  <c r="I152" i="207"/>
  <c r="I156" i="207" s="1"/>
  <c r="I158" i="207" s="1"/>
  <c r="I127" i="207"/>
  <c r="I127" i="206"/>
  <c r="I131" i="203"/>
  <c r="I131" i="13"/>
  <c r="H22" i="31"/>
  <c r="I152" i="206"/>
  <c r="I156" i="206" s="1"/>
  <c r="I158" i="206" s="1"/>
  <c r="I119" i="203"/>
  <c r="I119" i="13"/>
  <c r="I63" i="26"/>
  <c r="I152" i="203"/>
  <c r="I156" i="203" s="1"/>
  <c r="I158" i="203" s="1"/>
  <c r="I152" i="13"/>
  <c r="F388" i="85"/>
  <c r="I131" i="206"/>
  <c r="I127" i="203"/>
  <c r="I127" i="13"/>
  <c r="I68" i="26"/>
  <c r="I119" i="206"/>
  <c r="DH412" i="80"/>
  <c r="DH414" i="80" s="1"/>
  <c r="DH415" i="80" s="1"/>
  <c r="DH19" i="80"/>
  <c r="DH52" i="80" s="1"/>
  <c r="P412" i="80"/>
  <c r="P414" i="80" s="1"/>
  <c r="P415" i="80" s="1"/>
  <c r="P19" i="80"/>
  <c r="P52" i="80" s="1"/>
  <c r="AN412" i="80"/>
  <c r="AN414" i="80" s="1"/>
  <c r="AN415" i="80" s="1"/>
  <c r="AN19" i="80"/>
  <c r="AN52" i="80" s="1"/>
  <c r="BD412" i="79"/>
  <c r="BD414" i="79" s="1"/>
  <c r="BD415" i="79" s="1"/>
  <c r="BD19" i="79"/>
  <c r="BD52" i="79" s="1"/>
  <c r="CB412" i="79"/>
  <c r="CB414" i="79" s="1"/>
  <c r="CB415" i="79" s="1"/>
  <c r="CB19" i="79"/>
  <c r="CB52" i="79" s="1"/>
  <c r="AV412" i="79"/>
  <c r="AV414" i="79" s="1"/>
  <c r="AV415" i="79" s="1"/>
  <c r="AV451" i="79" s="1"/>
  <c r="AV19" i="79"/>
  <c r="AV52" i="79" s="1"/>
  <c r="DP412" i="80"/>
  <c r="DP414" i="80" s="1"/>
  <c r="DP415" i="80" s="1"/>
  <c r="DP19" i="80"/>
  <c r="DP52" i="80" s="1"/>
  <c r="FE18" i="79"/>
  <c r="FF18" i="79" s="1"/>
  <c r="EO18" i="79"/>
  <c r="I19" i="79"/>
  <c r="I52" i="79" s="1"/>
  <c r="BM18" i="79"/>
  <c r="Y18" i="79"/>
  <c r="EW18" i="79"/>
  <c r="I412" i="79"/>
  <c r="FM18" i="79"/>
  <c r="AG18" i="79"/>
  <c r="DI18" i="79"/>
  <c r="DJ18" i="79" s="1"/>
  <c r="CS18" i="79"/>
  <c r="AW18" i="79"/>
  <c r="AX18" i="79" s="1"/>
  <c r="EG18" i="79"/>
  <c r="EH18" i="79" s="1"/>
  <c r="BU18" i="79"/>
  <c r="CK18" i="79"/>
  <c r="CL18" i="79" s="1"/>
  <c r="BE18" i="79"/>
  <c r="Q18" i="79"/>
  <c r="DQ18" i="79"/>
  <c r="CC18" i="79"/>
  <c r="DA18" i="79"/>
  <c r="DB18" i="79" s="1"/>
  <c r="AO18" i="79"/>
  <c r="DY18" i="79"/>
  <c r="DX412" i="80"/>
  <c r="DX414" i="80" s="1"/>
  <c r="DX415" i="80" s="1"/>
  <c r="DX19" i="80"/>
  <c r="DX52" i="80" s="1"/>
  <c r="CB412" i="80"/>
  <c r="CB414" i="80" s="1"/>
  <c r="CB415" i="80" s="1"/>
  <c r="CB19" i="80"/>
  <c r="CB52" i="80" s="1"/>
  <c r="CR412" i="80"/>
  <c r="CR414" i="80" s="1"/>
  <c r="CR415" i="80" s="1"/>
  <c r="CR19" i="80"/>
  <c r="CR52" i="80" s="1"/>
  <c r="AA40" i="83"/>
  <c r="R86" i="82"/>
  <c r="AA36" i="83"/>
  <c r="CZ19" i="79"/>
  <c r="CZ52" i="79" s="1"/>
  <c r="CZ412" i="79"/>
  <c r="CZ414" i="79" s="1"/>
  <c r="CZ415" i="79" s="1"/>
  <c r="CZ451" i="79" s="1"/>
  <c r="DH412" i="79"/>
  <c r="DH414" i="79" s="1"/>
  <c r="DH415" i="79" s="1"/>
  <c r="DH19" i="79"/>
  <c r="DH52" i="79" s="1"/>
  <c r="EV412" i="79"/>
  <c r="EV414" i="79" s="1"/>
  <c r="EV415" i="79" s="1"/>
  <c r="EV19" i="79"/>
  <c r="EV52" i="79" s="1"/>
  <c r="BT243" i="80"/>
  <c r="EN243" i="80"/>
  <c r="DH243" i="80"/>
  <c r="CR243" i="80"/>
  <c r="CJ243" i="80"/>
  <c r="CZ243" i="80"/>
  <c r="EV243" i="80"/>
  <c r="DX243" i="80"/>
  <c r="FD243" i="80"/>
  <c r="BD243" i="80"/>
  <c r="EF243" i="80"/>
  <c r="BL243" i="80"/>
  <c r="DP243" i="80"/>
  <c r="P243" i="80"/>
  <c r="X243" i="80"/>
  <c r="AV243" i="80"/>
  <c r="AN243" i="80"/>
  <c r="FL243" i="80"/>
  <c r="AF243" i="80"/>
  <c r="CB243" i="80"/>
  <c r="AF412" i="79"/>
  <c r="AF414" i="79" s="1"/>
  <c r="AF415" i="79" s="1"/>
  <c r="AF19" i="79"/>
  <c r="AF52" i="79" s="1"/>
  <c r="X412" i="80"/>
  <c r="X414" i="80" s="1"/>
  <c r="X415" i="80" s="1"/>
  <c r="X19" i="80"/>
  <c r="X52" i="80" s="1"/>
  <c r="CJ412" i="80"/>
  <c r="CJ414" i="80" s="1"/>
  <c r="CJ415" i="80" s="1"/>
  <c r="CJ19" i="80"/>
  <c r="CJ52" i="80" s="1"/>
  <c r="FD412" i="80"/>
  <c r="FD414" i="80" s="1"/>
  <c r="FD415" i="80" s="1"/>
  <c r="FD19" i="80"/>
  <c r="FD52" i="80" s="1"/>
  <c r="S56" i="82"/>
  <c r="Q58" i="82"/>
  <c r="EN412" i="79"/>
  <c r="EN414" i="79" s="1"/>
  <c r="EN415" i="79" s="1"/>
  <c r="EN19" i="79"/>
  <c r="EN52" i="79" s="1"/>
  <c r="DP412" i="79"/>
  <c r="DP414" i="79" s="1"/>
  <c r="DP415" i="79" s="1"/>
  <c r="DP19" i="79"/>
  <c r="DP52" i="79" s="1"/>
  <c r="DX412" i="79"/>
  <c r="DX414" i="79" s="1"/>
  <c r="DX415" i="79" s="1"/>
  <c r="DX19" i="79"/>
  <c r="DX52" i="79" s="1"/>
  <c r="X243" i="79"/>
  <c r="AN243" i="79"/>
  <c r="DX243" i="79"/>
  <c r="P243" i="79"/>
  <c r="FL243" i="79"/>
  <c r="DH243" i="79"/>
  <c r="CJ243" i="79"/>
  <c r="EF243" i="79"/>
  <c r="CR243" i="79"/>
  <c r="FD243" i="79"/>
  <c r="CZ243" i="79"/>
  <c r="BT243" i="79"/>
  <c r="AV243" i="79"/>
  <c r="EN243" i="79"/>
  <c r="AF243" i="79"/>
  <c r="BD243" i="79"/>
  <c r="CB243" i="79"/>
  <c r="DP243" i="79"/>
  <c r="BL243" i="79"/>
  <c r="EV243" i="79"/>
  <c r="J412" i="79"/>
  <c r="J19" i="79"/>
  <c r="J52" i="79" s="1"/>
  <c r="CT63" i="80"/>
  <c r="H451" i="80"/>
  <c r="BT19" i="80"/>
  <c r="BT52" i="80" s="1"/>
  <c r="BT412" i="80"/>
  <c r="BT414" i="80" s="1"/>
  <c r="BT415" i="80" s="1"/>
  <c r="EN412" i="80"/>
  <c r="EN414" i="80" s="1"/>
  <c r="EN415" i="80" s="1"/>
  <c r="EN19" i="80"/>
  <c r="EN52" i="80" s="1"/>
  <c r="CR19" i="79"/>
  <c r="CR52" i="79" s="1"/>
  <c r="CR412" i="79"/>
  <c r="CR414" i="79" s="1"/>
  <c r="CR415" i="79" s="1"/>
  <c r="CR451" i="79" s="1"/>
  <c r="X412" i="79"/>
  <c r="X414" i="79" s="1"/>
  <c r="X415" i="79" s="1"/>
  <c r="X19" i="79"/>
  <c r="X52" i="79" s="1"/>
  <c r="EF19" i="79"/>
  <c r="EF52" i="79" s="1"/>
  <c r="EF412" i="79"/>
  <c r="EF414" i="79" s="1"/>
  <c r="EF415" i="79" s="1"/>
  <c r="I243" i="80"/>
  <c r="I243" i="85"/>
  <c r="K137" i="90" s="1"/>
  <c r="I243" i="79"/>
  <c r="I97" i="26"/>
  <c r="I257" i="85" s="1"/>
  <c r="J412" i="80"/>
  <c r="J19" i="80"/>
  <c r="J52" i="80" s="1"/>
  <c r="CK18" i="80"/>
  <c r="BU18" i="80"/>
  <c r="I19" i="80"/>
  <c r="I52" i="80" s="1"/>
  <c r="AW18" i="80"/>
  <c r="DQ18" i="80"/>
  <c r="EG18" i="80"/>
  <c r="AO18" i="80"/>
  <c r="EO18" i="80"/>
  <c r="CS18" i="80"/>
  <c r="EW18" i="80"/>
  <c r="Q18" i="80"/>
  <c r="DI18" i="80"/>
  <c r="CC18" i="80"/>
  <c r="DY18" i="80"/>
  <c r="BM18" i="80"/>
  <c r="BN18" i="80" s="1"/>
  <c r="Y18" i="80"/>
  <c r="AG18" i="80"/>
  <c r="AH18" i="80" s="1"/>
  <c r="DA18" i="80"/>
  <c r="BE18" i="80"/>
  <c r="I412" i="80"/>
  <c r="FM18" i="80"/>
  <c r="FE18" i="80"/>
  <c r="AV412" i="80"/>
  <c r="AV414" i="80" s="1"/>
  <c r="AV415" i="80" s="1"/>
  <c r="AV19" i="80"/>
  <c r="AV52" i="80" s="1"/>
  <c r="FL19" i="80"/>
  <c r="FL52" i="80" s="1"/>
  <c r="FL412" i="80"/>
  <c r="FL414" i="80" s="1"/>
  <c r="FL415" i="80" s="1"/>
  <c r="AN19" i="79"/>
  <c r="AN52" i="79" s="1"/>
  <c r="AN412" i="79"/>
  <c r="AN414" i="79" s="1"/>
  <c r="AN415" i="79" s="1"/>
  <c r="FD412" i="79"/>
  <c r="FD414" i="79" s="1"/>
  <c r="FD415" i="79" s="1"/>
  <c r="FD451" i="79" s="1"/>
  <c r="FD19" i="79"/>
  <c r="FD52" i="79" s="1"/>
  <c r="FL412" i="79"/>
  <c r="FL414" i="79" s="1"/>
  <c r="FL415" i="79" s="1"/>
  <c r="FL19" i="79"/>
  <c r="FL52" i="79" s="1"/>
  <c r="AP63" i="80"/>
  <c r="EP251" i="80"/>
  <c r="R251" i="80"/>
  <c r="EP63" i="80"/>
  <c r="R63" i="80"/>
  <c r="DZ251" i="80"/>
  <c r="DZ63" i="80"/>
  <c r="EX63" i="80"/>
  <c r="EH63" i="80"/>
  <c r="EN255" i="80"/>
  <c r="EP255" i="80" s="1"/>
  <c r="EV255" i="80"/>
  <c r="EX255" i="80" s="1"/>
  <c r="DX255" i="80"/>
  <c r="DZ255" i="80" s="1"/>
  <c r="AF255" i="80"/>
  <c r="CZ255" i="80"/>
  <c r="DB255" i="80" s="1"/>
  <c r="X255" i="80"/>
  <c r="Z255" i="80" s="1"/>
  <c r="CB255" i="80"/>
  <c r="CD255" i="80" s="1"/>
  <c r="EF255" i="80"/>
  <c r="EH255" i="80" s="1"/>
  <c r="P255" i="80"/>
  <c r="R255" i="80" s="1"/>
  <c r="CJ255" i="80"/>
  <c r="CL255" i="80" s="1"/>
  <c r="CR255" i="80"/>
  <c r="CT255" i="80" s="1"/>
  <c r="AN255" i="80"/>
  <c r="AP255" i="80" s="1"/>
  <c r="FD255" i="80"/>
  <c r="FF255" i="80" s="1"/>
  <c r="BD255" i="80"/>
  <c r="BF255" i="80" s="1"/>
  <c r="BL255" i="80"/>
  <c r="BN255" i="80" s="1"/>
  <c r="AV255" i="80"/>
  <c r="BT255" i="80"/>
  <c r="BV255" i="80" s="1"/>
  <c r="FL255" i="80"/>
  <c r="FN255" i="80" s="1"/>
  <c r="DP255" i="80"/>
  <c r="DH255" i="80"/>
  <c r="DJ255" i="80" s="1"/>
  <c r="H257" i="80"/>
  <c r="FF63" i="80"/>
  <c r="FN251" i="80"/>
  <c r="AN255" i="79"/>
  <c r="BT255" i="79"/>
  <c r="EV255" i="79"/>
  <c r="CB255" i="79"/>
  <c r="BD255" i="79"/>
  <c r="DP255" i="79"/>
  <c r="FL255" i="79"/>
  <c r="FD255" i="79"/>
  <c r="P255" i="79"/>
  <c r="DX255" i="79"/>
  <c r="BL255" i="79"/>
  <c r="EF255" i="79"/>
  <c r="CR255" i="79"/>
  <c r="CZ255" i="79"/>
  <c r="CJ255" i="79"/>
  <c r="DH255" i="79"/>
  <c r="AV255" i="79"/>
  <c r="EN255" i="79"/>
  <c r="AF255" i="79"/>
  <c r="X255" i="79"/>
  <c r="H257" i="79"/>
  <c r="FF251" i="80"/>
  <c r="FN63" i="80"/>
  <c r="J79" i="207"/>
  <c r="J79" i="206"/>
  <c r="I79" i="207"/>
  <c r="I79" i="206"/>
  <c r="D15" i="188"/>
  <c r="F6" i="188"/>
  <c r="F7" i="188"/>
  <c r="F8" i="188"/>
  <c r="I22" i="31" l="1"/>
  <c r="J152" i="203"/>
  <c r="J156" i="203" s="1"/>
  <c r="J158" i="203" s="1"/>
  <c r="G388" i="85"/>
  <c r="J68" i="26"/>
  <c r="J152" i="13"/>
  <c r="J131" i="207"/>
  <c r="J127" i="206"/>
  <c r="J119" i="203"/>
  <c r="J131" i="203"/>
  <c r="J63" i="26"/>
  <c r="J152" i="206"/>
  <c r="J156" i="206" s="1"/>
  <c r="J158" i="206" s="1"/>
  <c r="J131" i="206"/>
  <c r="J119" i="13"/>
  <c r="J152" i="207"/>
  <c r="J156" i="207" s="1"/>
  <c r="J158" i="207" s="1"/>
  <c r="J119" i="207"/>
  <c r="J133" i="207" s="1"/>
  <c r="J119" i="206"/>
  <c r="J127" i="203"/>
  <c r="J127" i="207"/>
  <c r="G167" i="85"/>
  <c r="I95" i="90" s="1"/>
  <c r="C16" i="7"/>
  <c r="J79" i="203"/>
  <c r="CB72" i="79"/>
  <c r="CB77" i="79" s="1"/>
  <c r="CB79" i="79" s="1"/>
  <c r="DH72" i="79"/>
  <c r="DH77" i="79" s="1"/>
  <c r="DH79" i="79" s="1"/>
  <c r="CJ72" i="79"/>
  <c r="CJ77" i="79" s="1"/>
  <c r="CJ79" i="79" s="1"/>
  <c r="EN72" i="79"/>
  <c r="EN77" i="79" s="1"/>
  <c r="EN79" i="79" s="1"/>
  <c r="CZ72" i="79"/>
  <c r="CZ77" i="79" s="1"/>
  <c r="CZ79" i="79" s="1"/>
  <c r="DP72" i="79"/>
  <c r="DP77" i="79" s="1"/>
  <c r="DP79" i="79" s="1"/>
  <c r="BD72" i="79"/>
  <c r="BD77" i="79" s="1"/>
  <c r="BD79" i="79" s="1"/>
  <c r="AV72" i="79"/>
  <c r="AV77" i="79" s="1"/>
  <c r="AV79" i="79" s="1"/>
  <c r="X72" i="79"/>
  <c r="X77" i="79" s="1"/>
  <c r="X79" i="79" s="1"/>
  <c r="BL72" i="79"/>
  <c r="BL77" i="79" s="1"/>
  <c r="BL79" i="79" s="1"/>
  <c r="DX72" i="79"/>
  <c r="DX77" i="79" s="1"/>
  <c r="DX79" i="79" s="1"/>
  <c r="AN72" i="79"/>
  <c r="AN77" i="79" s="1"/>
  <c r="AN79" i="79" s="1"/>
  <c r="EF72" i="79"/>
  <c r="EF77" i="79" s="1"/>
  <c r="EF79" i="79" s="1"/>
  <c r="EV72" i="79"/>
  <c r="EV77" i="79" s="1"/>
  <c r="EV79" i="79" s="1"/>
  <c r="AF72" i="79"/>
  <c r="AF77" i="79" s="1"/>
  <c r="AF79" i="79" s="1"/>
  <c r="CR72" i="79"/>
  <c r="CR77" i="79" s="1"/>
  <c r="CR79" i="79" s="1"/>
  <c r="P72" i="79"/>
  <c r="P77" i="79" s="1"/>
  <c r="P79" i="79" s="1"/>
  <c r="FD72" i="79"/>
  <c r="FD77" i="79" s="1"/>
  <c r="FD79" i="79" s="1"/>
  <c r="FL72" i="79"/>
  <c r="FL77" i="79" s="1"/>
  <c r="FL79" i="79" s="1"/>
  <c r="BT72" i="79"/>
  <c r="BT77" i="79" s="1"/>
  <c r="BT79" i="79" s="1"/>
  <c r="H77" i="79"/>
  <c r="H79" i="79" s="1"/>
  <c r="Q66" i="80"/>
  <c r="R66" i="80" s="1"/>
  <c r="BU66" i="80"/>
  <c r="FE66" i="80"/>
  <c r="AG66" i="80"/>
  <c r="CK66" i="80"/>
  <c r="DI66" i="80"/>
  <c r="DY66" i="80"/>
  <c r="DA66" i="80"/>
  <c r="BM66" i="80"/>
  <c r="FM66" i="80"/>
  <c r="CS66" i="80"/>
  <c r="DQ66" i="80"/>
  <c r="EW66" i="80"/>
  <c r="CC66" i="80"/>
  <c r="EO66" i="80"/>
  <c r="AW66" i="80"/>
  <c r="AO66" i="80"/>
  <c r="EG66" i="80"/>
  <c r="BE66" i="80"/>
  <c r="Y66" i="80"/>
  <c r="DQ66" i="79"/>
  <c r="CC66" i="79"/>
  <c r="Q66" i="79"/>
  <c r="R66" i="79" s="1"/>
  <c r="FM66" i="79"/>
  <c r="DI66" i="79"/>
  <c r="AG66" i="79"/>
  <c r="FE66" i="79"/>
  <c r="DY66" i="79"/>
  <c r="BM66" i="79"/>
  <c r="Y66" i="79"/>
  <c r="AW66" i="79"/>
  <c r="EO66" i="79"/>
  <c r="EW66" i="79"/>
  <c r="BE66" i="79"/>
  <c r="CK66" i="79"/>
  <c r="CS66" i="79"/>
  <c r="BU66" i="79"/>
  <c r="BV66" i="79" s="1"/>
  <c r="EG66" i="79"/>
  <c r="DA66" i="79"/>
  <c r="AO66" i="79"/>
  <c r="J72" i="80"/>
  <c r="J77" i="80" s="1"/>
  <c r="J79" i="80" s="1"/>
  <c r="J72" i="85"/>
  <c r="L38" i="90" s="1"/>
  <c r="J72" i="79"/>
  <c r="J77" i="79" s="1"/>
  <c r="J79" i="79" s="1"/>
  <c r="J77" i="13"/>
  <c r="J79" i="13" s="1"/>
  <c r="I72" i="79"/>
  <c r="I72" i="85"/>
  <c r="K38" i="90" s="1"/>
  <c r="I72" i="80"/>
  <c r="I77" i="13"/>
  <c r="I79" i="13" s="1"/>
  <c r="FL72" i="80"/>
  <c r="FL77" i="80" s="1"/>
  <c r="FL79" i="80" s="1"/>
  <c r="EF72" i="80"/>
  <c r="EF77" i="80" s="1"/>
  <c r="EF79" i="80" s="1"/>
  <c r="X72" i="80"/>
  <c r="X77" i="80" s="1"/>
  <c r="X79" i="80" s="1"/>
  <c r="EV72" i="80"/>
  <c r="EV77" i="80" s="1"/>
  <c r="EV79" i="80" s="1"/>
  <c r="CR72" i="80"/>
  <c r="BL72" i="80"/>
  <c r="BL77" i="80" s="1"/>
  <c r="BL79" i="80" s="1"/>
  <c r="DH72" i="80"/>
  <c r="DH77" i="80" s="1"/>
  <c r="DH79" i="80" s="1"/>
  <c r="CJ72" i="80"/>
  <c r="CJ77" i="80" s="1"/>
  <c r="CJ79" i="80" s="1"/>
  <c r="AF72" i="80"/>
  <c r="AF77" i="80" s="1"/>
  <c r="AF79" i="80" s="1"/>
  <c r="BT72" i="80"/>
  <c r="BT77" i="80" s="1"/>
  <c r="BT79" i="80" s="1"/>
  <c r="P72" i="80"/>
  <c r="P77" i="80" s="1"/>
  <c r="P79" i="80" s="1"/>
  <c r="BD72" i="80"/>
  <c r="BD77" i="80" s="1"/>
  <c r="BD79" i="80" s="1"/>
  <c r="DX72" i="80"/>
  <c r="DX77" i="80" s="1"/>
  <c r="DX79" i="80" s="1"/>
  <c r="DP72" i="80"/>
  <c r="DP77" i="80" s="1"/>
  <c r="DP79" i="80" s="1"/>
  <c r="AV72" i="80"/>
  <c r="AV77" i="80" s="1"/>
  <c r="AV79" i="80" s="1"/>
  <c r="AN72" i="80"/>
  <c r="AN77" i="80" s="1"/>
  <c r="AN79" i="80" s="1"/>
  <c r="CB72" i="80"/>
  <c r="CB77" i="80" s="1"/>
  <c r="CB79" i="80" s="1"/>
  <c r="FD72" i="80"/>
  <c r="FD77" i="80" s="1"/>
  <c r="FD79" i="80" s="1"/>
  <c r="CZ72" i="80"/>
  <c r="CZ77" i="80" s="1"/>
  <c r="CZ79" i="80" s="1"/>
  <c r="EN72" i="80"/>
  <c r="EN77" i="80" s="1"/>
  <c r="EN79" i="80" s="1"/>
  <c r="CZ257" i="80"/>
  <c r="FD257" i="80"/>
  <c r="BD451" i="80"/>
  <c r="DB412" i="79"/>
  <c r="DB19" i="79"/>
  <c r="DB52" i="79" s="1"/>
  <c r="J131" i="79"/>
  <c r="J131" i="80"/>
  <c r="J131" i="85"/>
  <c r="L77" i="90" s="1"/>
  <c r="J274" i="80"/>
  <c r="J281" i="80" s="1"/>
  <c r="J283" i="80" s="1"/>
  <c r="J328" i="80" s="1"/>
  <c r="J274" i="85"/>
  <c r="L154" i="90" s="1"/>
  <c r="J274" i="79"/>
  <c r="J281" i="79" s="1"/>
  <c r="J283" i="79" s="1"/>
  <c r="J328" i="79" s="1"/>
  <c r="I29" i="31"/>
  <c r="CR451" i="80"/>
  <c r="CD18" i="79"/>
  <c r="CC412" i="79"/>
  <c r="CC19" i="79"/>
  <c r="CC52" i="79" s="1"/>
  <c r="CS412" i="79"/>
  <c r="CS19" i="79"/>
  <c r="CS52" i="79" s="1"/>
  <c r="CT18" i="79"/>
  <c r="AH412" i="80"/>
  <c r="AH19" i="80"/>
  <c r="AH52" i="80" s="1"/>
  <c r="AX412" i="79"/>
  <c r="AX19" i="79"/>
  <c r="AX52" i="79" s="1"/>
  <c r="BN19" i="80"/>
  <c r="BN52" i="80" s="1"/>
  <c r="BN412" i="80"/>
  <c r="EN451" i="80"/>
  <c r="CB257" i="80"/>
  <c r="BL257" i="80"/>
  <c r="DH451" i="79"/>
  <c r="EG412" i="80"/>
  <c r="EG19" i="80"/>
  <c r="EG52" i="80" s="1"/>
  <c r="EH18" i="80"/>
  <c r="I131" i="79"/>
  <c r="I131" i="85"/>
  <c r="K77" i="90" s="1"/>
  <c r="I131" i="80"/>
  <c r="FD451" i="80"/>
  <c r="FE412" i="80"/>
  <c r="FE19" i="80"/>
  <c r="FE52" i="80" s="1"/>
  <c r="FF18" i="80"/>
  <c r="DZ18" i="80"/>
  <c r="DY412" i="80"/>
  <c r="DY19" i="80"/>
  <c r="DY52" i="80" s="1"/>
  <c r="P451" i="80"/>
  <c r="CL412" i="79"/>
  <c r="CL19" i="79"/>
  <c r="CL52" i="79" s="1"/>
  <c r="EF451" i="79"/>
  <c r="J428" i="79"/>
  <c r="J430" i="79" s="1"/>
  <c r="J414" i="79"/>
  <c r="J415" i="79" s="1"/>
  <c r="J451" i="79" s="1"/>
  <c r="J52" i="85"/>
  <c r="FD152" i="79"/>
  <c r="FD156" i="79" s="1"/>
  <c r="FD158" i="79" s="1"/>
  <c r="FN18" i="80"/>
  <c r="FM412" i="80"/>
  <c r="FM19" i="80"/>
  <c r="FM52" i="80" s="1"/>
  <c r="CD18" i="80"/>
  <c r="CC412" i="80"/>
  <c r="CC19" i="80"/>
  <c r="CC52" i="80" s="1"/>
  <c r="DR18" i="80"/>
  <c r="DQ412" i="80"/>
  <c r="DQ19" i="80"/>
  <c r="DQ52" i="80" s="1"/>
  <c r="BT451" i="80"/>
  <c r="DP451" i="79"/>
  <c r="DR18" i="79"/>
  <c r="DQ412" i="79"/>
  <c r="DQ19" i="79"/>
  <c r="DQ52" i="79" s="1"/>
  <c r="DI412" i="79"/>
  <c r="DI19" i="79"/>
  <c r="DI52" i="79" s="1"/>
  <c r="EP18" i="79"/>
  <c r="EO19" i="79"/>
  <c r="EO52" i="79" s="1"/>
  <c r="EO412" i="79"/>
  <c r="CB451" i="79"/>
  <c r="I156" i="13"/>
  <c r="I152" i="79"/>
  <c r="I156" i="79" s="1"/>
  <c r="I158" i="79" s="1"/>
  <c r="I152" i="85"/>
  <c r="K90" i="90" s="1"/>
  <c r="I152" i="80"/>
  <c r="I156" i="80" s="1"/>
  <c r="I158" i="80" s="1"/>
  <c r="P451" i="79"/>
  <c r="H127" i="79"/>
  <c r="CJ127" i="79" s="1"/>
  <c r="H127" i="80"/>
  <c r="EF127" i="80" s="1"/>
  <c r="H127" i="85"/>
  <c r="J73" i="90" s="1"/>
  <c r="CZ451" i="80"/>
  <c r="Q59" i="35"/>
  <c r="S58" i="35"/>
  <c r="AN451" i="79"/>
  <c r="G428" i="80"/>
  <c r="G430" i="80" s="1"/>
  <c r="H431" i="80" s="1"/>
  <c r="I428" i="80"/>
  <c r="I430" i="80" s="1"/>
  <c r="I414" i="80"/>
  <c r="I415" i="80" s="1"/>
  <c r="DJ18" i="80"/>
  <c r="DI19" i="80"/>
  <c r="DI52" i="80" s="1"/>
  <c r="DI412" i="80"/>
  <c r="AX18" i="80"/>
  <c r="AW412" i="80"/>
  <c r="AW19" i="80"/>
  <c r="AW52" i="80" s="1"/>
  <c r="J133" i="206"/>
  <c r="CJ451" i="80"/>
  <c r="CZ152" i="79"/>
  <c r="CZ156" i="79" s="1"/>
  <c r="CZ158" i="79" s="1"/>
  <c r="CB451" i="80"/>
  <c r="R18" i="79"/>
  <c r="Q19" i="79"/>
  <c r="Q52" i="79" s="1"/>
  <c r="Q412" i="79"/>
  <c r="AH18" i="79"/>
  <c r="AG19" i="79"/>
  <c r="AG52" i="79" s="1"/>
  <c r="AG412" i="79"/>
  <c r="FE412" i="79"/>
  <c r="FE19" i="79"/>
  <c r="FE52" i="79" s="1"/>
  <c r="DP451" i="80"/>
  <c r="DH451" i="80"/>
  <c r="H223" i="85"/>
  <c r="J124" i="90" s="1"/>
  <c r="H223" i="80"/>
  <c r="AF223" i="80" s="1"/>
  <c r="H75" i="26"/>
  <c r="H223" i="79"/>
  <c r="AV223" i="79" s="1"/>
  <c r="EV257" i="80"/>
  <c r="BF18" i="80"/>
  <c r="BE19" i="80"/>
  <c r="BE52" i="80" s="1"/>
  <c r="BE412" i="80"/>
  <c r="Q412" i="80"/>
  <c r="Q19" i="80"/>
  <c r="Q52" i="80" s="1"/>
  <c r="DA243" i="79"/>
  <c r="DA257" i="79" s="1"/>
  <c r="CK243" i="79"/>
  <c r="CK257" i="79" s="1"/>
  <c r="AO243" i="79"/>
  <c r="EG243" i="79"/>
  <c r="EG257" i="79" s="1"/>
  <c r="AW243" i="79"/>
  <c r="FE243" i="79"/>
  <c r="EO243" i="79"/>
  <c r="EO257" i="79" s="1"/>
  <c r="FM243" i="79"/>
  <c r="FM257" i="79" s="1"/>
  <c r="Y243" i="79"/>
  <c r="Y257" i="79" s="1"/>
  <c r="CS243" i="79"/>
  <c r="CS257" i="79" s="1"/>
  <c r="Q243" i="79"/>
  <c r="Q257" i="79" s="1"/>
  <c r="BE243" i="79"/>
  <c r="BE257" i="79" s="1"/>
  <c r="DY243" i="79"/>
  <c r="DQ243" i="79"/>
  <c r="AG243" i="79"/>
  <c r="AG257" i="79" s="1"/>
  <c r="DI243" i="79"/>
  <c r="DI257" i="79" s="1"/>
  <c r="EW243" i="79"/>
  <c r="EW257" i="79" s="1"/>
  <c r="BM243" i="79"/>
  <c r="BU243" i="79"/>
  <c r="CC243" i="79"/>
  <c r="I257" i="79"/>
  <c r="X451" i="79"/>
  <c r="J133" i="203"/>
  <c r="EN451" i="79"/>
  <c r="BF18" i="79"/>
  <c r="BE19" i="79"/>
  <c r="BE52" i="79" s="1"/>
  <c r="BE412" i="79"/>
  <c r="FN18" i="79"/>
  <c r="FM412" i="79"/>
  <c r="FM19" i="79"/>
  <c r="FM52" i="79" s="1"/>
  <c r="BD451" i="79"/>
  <c r="I133" i="206"/>
  <c r="I223" i="79"/>
  <c r="I75" i="26"/>
  <c r="I223" i="85"/>
  <c r="K124" i="90" s="1"/>
  <c r="I223" i="80"/>
  <c r="EV451" i="80"/>
  <c r="BL152" i="80"/>
  <c r="BL156" i="80" s="1"/>
  <c r="BL158" i="80" s="1"/>
  <c r="H133" i="206"/>
  <c r="CJ152" i="79"/>
  <c r="CJ156" i="79" s="1"/>
  <c r="CJ158" i="79" s="1"/>
  <c r="FL451" i="80"/>
  <c r="DB18" i="80"/>
  <c r="DA412" i="80"/>
  <c r="DA19" i="80"/>
  <c r="DA52" i="80" s="1"/>
  <c r="EX18" i="80"/>
  <c r="EW412" i="80"/>
  <c r="EW19" i="80"/>
  <c r="EW52" i="80" s="1"/>
  <c r="BV18" i="80"/>
  <c r="BU19" i="80"/>
  <c r="BU52" i="80" s="1"/>
  <c r="BU412" i="80"/>
  <c r="Q59" i="82"/>
  <c r="S58" i="82"/>
  <c r="X451" i="80"/>
  <c r="AA42" i="83"/>
  <c r="DX451" i="80"/>
  <c r="CK412" i="79"/>
  <c r="CK19" i="79"/>
  <c r="CK52" i="79" s="1"/>
  <c r="I428" i="79"/>
  <c r="I430" i="79" s="1"/>
  <c r="G428" i="79"/>
  <c r="G430" i="79" s="1"/>
  <c r="H431" i="79" s="1"/>
  <c r="I414" i="79"/>
  <c r="I415" i="79" s="1"/>
  <c r="I228" i="85"/>
  <c r="K129" i="90" s="1"/>
  <c r="I228" i="80"/>
  <c r="I228" i="79"/>
  <c r="I133" i="13"/>
  <c r="I119" i="80"/>
  <c r="I119" i="79"/>
  <c r="I119" i="85"/>
  <c r="K65" i="90" s="1"/>
  <c r="G29" i="31"/>
  <c r="H274" i="85"/>
  <c r="J154" i="90" s="1"/>
  <c r="H274" i="79"/>
  <c r="CZ274" i="79" s="1"/>
  <c r="CZ281" i="79" s="1"/>
  <c r="CZ283" i="79" s="1"/>
  <c r="CZ328" i="79" s="1"/>
  <c r="H274" i="80"/>
  <c r="EF152" i="80"/>
  <c r="EF156" i="80" s="1"/>
  <c r="EF158" i="80" s="1"/>
  <c r="AG412" i="80"/>
  <c r="AG19" i="80"/>
  <c r="AG52" i="80" s="1"/>
  <c r="CT18" i="80"/>
  <c r="CS19" i="80"/>
  <c r="CS52" i="80" s="1"/>
  <c r="CS412" i="80"/>
  <c r="CL18" i="80"/>
  <c r="CK412" i="80"/>
  <c r="CK19" i="80"/>
  <c r="CK52" i="80" s="1"/>
  <c r="CK243" i="80"/>
  <c r="FM243" i="80"/>
  <c r="FM257" i="80" s="1"/>
  <c r="DI243" i="80"/>
  <c r="DI257" i="80" s="1"/>
  <c r="Q243" i="80"/>
  <c r="Q257" i="80" s="1"/>
  <c r="EG243" i="80"/>
  <c r="EG257" i="80" s="1"/>
  <c r="AW243" i="80"/>
  <c r="AW257" i="80" s="1"/>
  <c r="BU243" i="80"/>
  <c r="BU257" i="80" s="1"/>
  <c r="DA243" i="80"/>
  <c r="DA257" i="80" s="1"/>
  <c r="DY243" i="80"/>
  <c r="DY257" i="80" s="1"/>
  <c r="BM243" i="80"/>
  <c r="BM257" i="80" s="1"/>
  <c r="CC243" i="80"/>
  <c r="CC257" i="80" s="1"/>
  <c r="CS243" i="80"/>
  <c r="CS257" i="80" s="1"/>
  <c r="EO243" i="80"/>
  <c r="EO257" i="80" s="1"/>
  <c r="FE243" i="80"/>
  <c r="FE257" i="80" s="1"/>
  <c r="EW243" i="80"/>
  <c r="EW257" i="80" s="1"/>
  <c r="Y243" i="80"/>
  <c r="Y257" i="80" s="1"/>
  <c r="AO243" i="80"/>
  <c r="AO257" i="80" s="1"/>
  <c r="BE243" i="80"/>
  <c r="BE257" i="80" s="1"/>
  <c r="DQ243" i="80"/>
  <c r="DQ257" i="80" s="1"/>
  <c r="AG243" i="80"/>
  <c r="AG257" i="80" s="1"/>
  <c r="I257" i="80"/>
  <c r="CR152" i="79"/>
  <c r="CR156" i="79" s="1"/>
  <c r="CR158" i="79" s="1"/>
  <c r="J133" i="13"/>
  <c r="J119" i="79"/>
  <c r="J119" i="85"/>
  <c r="L65" i="90" s="1"/>
  <c r="J119" i="80"/>
  <c r="J228" i="80"/>
  <c r="J228" i="85"/>
  <c r="L129" i="90" s="1"/>
  <c r="J228" i="79"/>
  <c r="AF451" i="79"/>
  <c r="EV451" i="79"/>
  <c r="DZ18" i="79"/>
  <c r="DY412" i="79"/>
  <c r="DY19" i="79"/>
  <c r="DY52" i="79" s="1"/>
  <c r="BU19" i="79"/>
  <c r="BU52" i="79" s="1"/>
  <c r="BU412" i="79"/>
  <c r="EX18" i="79"/>
  <c r="EW412" i="79"/>
  <c r="EW19" i="79"/>
  <c r="EW52" i="79" s="1"/>
  <c r="AN451" i="80"/>
  <c r="I127" i="79"/>
  <c r="I127" i="85"/>
  <c r="K73" i="90" s="1"/>
  <c r="I127" i="80"/>
  <c r="I133" i="203"/>
  <c r="I133" i="207"/>
  <c r="C72" i="84"/>
  <c r="F72" i="84"/>
  <c r="R72" i="84"/>
  <c r="O72" i="84"/>
  <c r="H72" i="84"/>
  <c r="J72" i="84"/>
  <c r="G72" i="84"/>
  <c r="U72" i="84"/>
  <c r="Q72" i="84"/>
  <c r="N72" i="84"/>
  <c r="K72" i="84"/>
  <c r="L72" i="84"/>
  <c r="I72" i="84"/>
  <c r="E72" i="84"/>
  <c r="AA42" i="77"/>
  <c r="D72" i="84"/>
  <c r="M72" i="84"/>
  <c r="S72" i="84"/>
  <c r="P72" i="84"/>
  <c r="H228" i="80"/>
  <c r="BL228" i="80" s="1"/>
  <c r="H228" i="79"/>
  <c r="H228" i="85"/>
  <c r="J129" i="90" s="1"/>
  <c r="H156" i="13"/>
  <c r="H152" i="79"/>
  <c r="H156" i="79" s="1"/>
  <c r="H158" i="79" s="1"/>
  <c r="H152" i="85"/>
  <c r="J90" i="90" s="1"/>
  <c r="H152" i="80"/>
  <c r="H156" i="80" s="1"/>
  <c r="H158" i="80" s="1"/>
  <c r="H133" i="203"/>
  <c r="BV18" i="79"/>
  <c r="FL451" i="79"/>
  <c r="Z18" i="80"/>
  <c r="Y412" i="80"/>
  <c r="Y19" i="80"/>
  <c r="Y52" i="80" s="1"/>
  <c r="EP18" i="80"/>
  <c r="EO412" i="80"/>
  <c r="EO19" i="80"/>
  <c r="EO52" i="80" s="1"/>
  <c r="J127" i="85"/>
  <c r="L73" i="90" s="1"/>
  <c r="J127" i="79"/>
  <c r="J127" i="80"/>
  <c r="J156" i="13"/>
  <c r="J152" i="79"/>
  <c r="J156" i="79" s="1"/>
  <c r="J158" i="79" s="1"/>
  <c r="J152" i="85"/>
  <c r="L90" i="90" s="1"/>
  <c r="J152" i="80"/>
  <c r="J156" i="80" s="1"/>
  <c r="J158" i="80" s="1"/>
  <c r="DJ412" i="79"/>
  <c r="DJ19" i="79"/>
  <c r="DJ52" i="79" s="1"/>
  <c r="AP18" i="79"/>
  <c r="AO412" i="79"/>
  <c r="AO19" i="79"/>
  <c r="AO52" i="79" s="1"/>
  <c r="EG412" i="79"/>
  <c r="EG19" i="79"/>
  <c r="EG52" i="79" s="1"/>
  <c r="Z18" i="79"/>
  <c r="Y412" i="79"/>
  <c r="Y19" i="79"/>
  <c r="Y52" i="79" s="1"/>
  <c r="R18" i="80"/>
  <c r="AF152" i="80"/>
  <c r="AF156" i="80" s="1"/>
  <c r="AF158" i="80" s="1"/>
  <c r="F76" i="84"/>
  <c r="C76" i="84"/>
  <c r="O76" i="84"/>
  <c r="M76" i="84"/>
  <c r="R76" i="84"/>
  <c r="E76" i="84"/>
  <c r="J76" i="84"/>
  <c r="U76" i="84"/>
  <c r="H76" i="84"/>
  <c r="L76" i="84"/>
  <c r="G76" i="84"/>
  <c r="K76" i="84"/>
  <c r="D76" i="84"/>
  <c r="Q76" i="84"/>
  <c r="P76" i="84"/>
  <c r="S76" i="84"/>
  <c r="I76" i="84"/>
  <c r="N76" i="84"/>
  <c r="I52" i="85"/>
  <c r="FF412" i="79"/>
  <c r="FF19" i="79"/>
  <c r="FF52" i="79" s="1"/>
  <c r="AV451" i="80"/>
  <c r="BM412" i="80"/>
  <c r="BM19" i="80"/>
  <c r="BM52" i="80" s="1"/>
  <c r="AP18" i="80"/>
  <c r="AO412" i="80"/>
  <c r="AO19" i="80"/>
  <c r="AO52" i="80" s="1"/>
  <c r="J428" i="80"/>
  <c r="J430" i="80" s="1"/>
  <c r="J414" i="80"/>
  <c r="J415" i="80" s="1"/>
  <c r="J451" i="80" s="1"/>
  <c r="EH19" i="79"/>
  <c r="EH52" i="79" s="1"/>
  <c r="EH412" i="79"/>
  <c r="J223" i="79"/>
  <c r="J223" i="80"/>
  <c r="J223" i="85"/>
  <c r="L124" i="90" s="1"/>
  <c r="J75" i="26"/>
  <c r="DX451" i="79"/>
  <c r="DA412" i="79"/>
  <c r="DA19" i="79"/>
  <c r="DA52" i="79" s="1"/>
  <c r="AW19" i="79"/>
  <c r="AW52" i="79" s="1"/>
  <c r="AW412" i="79"/>
  <c r="BN18" i="79"/>
  <c r="BM19" i="79"/>
  <c r="BM52" i="79" s="1"/>
  <c r="BM412" i="79"/>
  <c r="AV152" i="79"/>
  <c r="AV156" i="79" s="1"/>
  <c r="AV158" i="79" s="1"/>
  <c r="I274" i="80"/>
  <c r="I281" i="80" s="1"/>
  <c r="I283" i="80" s="1"/>
  <c r="I328" i="80" s="1"/>
  <c r="I274" i="79"/>
  <c r="I281" i="79" s="1"/>
  <c r="I283" i="79" s="1"/>
  <c r="I328" i="79" s="1"/>
  <c r="I274" i="85"/>
  <c r="K154" i="90" s="1"/>
  <c r="H29" i="31"/>
  <c r="BL451" i="79"/>
  <c r="H133" i="207"/>
  <c r="H119" i="79"/>
  <c r="FD119" i="79" s="1"/>
  <c r="H119" i="85"/>
  <c r="J65" i="90" s="1"/>
  <c r="H133" i="13"/>
  <c r="H119" i="80"/>
  <c r="AF119" i="80" s="1"/>
  <c r="H131" i="79"/>
  <c r="H131" i="85"/>
  <c r="J77" i="90" s="1"/>
  <c r="H131" i="80"/>
  <c r="EF131" i="80" s="1"/>
  <c r="BT152" i="79"/>
  <c r="BT156" i="79" s="1"/>
  <c r="BT158" i="79" s="1"/>
  <c r="DP257" i="80"/>
  <c r="DR255" i="80"/>
  <c r="DH257" i="79"/>
  <c r="DJ255" i="79"/>
  <c r="FD257" i="79"/>
  <c r="FF255" i="79"/>
  <c r="X257" i="80"/>
  <c r="CJ257" i="80"/>
  <c r="CJ257" i="79"/>
  <c r="CL255" i="79"/>
  <c r="FL257" i="79"/>
  <c r="FN255" i="79"/>
  <c r="CZ257" i="79"/>
  <c r="DB255" i="79"/>
  <c r="DP257" i="79"/>
  <c r="DR255" i="79"/>
  <c r="AX255" i="80"/>
  <c r="AV257" i="80"/>
  <c r="AN257" i="79"/>
  <c r="AP255" i="79"/>
  <c r="CT255" i="79"/>
  <c r="CR257" i="79"/>
  <c r="BD257" i="79"/>
  <c r="BF255" i="79"/>
  <c r="P257" i="80"/>
  <c r="AX255" i="79"/>
  <c r="AV257" i="79"/>
  <c r="Z255" i="79"/>
  <c r="X257" i="79"/>
  <c r="EH255" i="79"/>
  <c r="EF257" i="79"/>
  <c r="CB257" i="79"/>
  <c r="CD255" i="79"/>
  <c r="CR257" i="80"/>
  <c r="BD257" i="80"/>
  <c r="P257" i="79"/>
  <c r="R255" i="79"/>
  <c r="AF257" i="79"/>
  <c r="AH255" i="79"/>
  <c r="BL257" i="79"/>
  <c r="BN255" i="79"/>
  <c r="EX255" i="79"/>
  <c r="EV257" i="79"/>
  <c r="EF257" i="80"/>
  <c r="EN257" i="80"/>
  <c r="DH257" i="80"/>
  <c r="EN257" i="79"/>
  <c r="EP255" i="79"/>
  <c r="DZ255" i="79"/>
  <c r="DX257" i="79"/>
  <c r="BV255" i="79"/>
  <c r="BT257" i="79"/>
  <c r="AH255" i="80"/>
  <c r="AF257" i="80"/>
  <c r="DX257" i="80"/>
  <c r="FL257" i="80"/>
  <c r="AN257" i="80"/>
  <c r="BT257" i="80"/>
  <c r="F10" i="188"/>
  <c r="D18" i="188"/>
  <c r="F15" i="188"/>
  <c r="C25" i="7" l="1"/>
  <c r="G334" i="85" s="1"/>
  <c r="G325" i="85"/>
  <c r="AF127" i="80"/>
  <c r="BT127" i="79"/>
  <c r="BT223" i="79"/>
  <c r="EN228" i="79"/>
  <c r="BF243" i="79"/>
  <c r="BF257" i="79" s="1"/>
  <c r="EN131" i="79"/>
  <c r="CT243" i="79"/>
  <c r="CT257" i="79" s="1"/>
  <c r="CL243" i="79"/>
  <c r="CL257" i="79" s="1"/>
  <c r="EF223" i="80"/>
  <c r="BL223" i="80"/>
  <c r="BL235" i="80" s="1"/>
  <c r="R243" i="80"/>
  <c r="R257" i="80" s="1"/>
  <c r="J235" i="79"/>
  <c r="J237" i="79" s="1"/>
  <c r="J260" i="79" s="1"/>
  <c r="J322" i="79" s="1"/>
  <c r="AV127" i="79"/>
  <c r="AF228" i="80"/>
  <c r="AF235" i="80" s="1"/>
  <c r="BT274" i="79"/>
  <c r="BT281" i="79" s="1"/>
  <c r="BT283" i="79" s="1"/>
  <c r="BT328" i="79" s="1"/>
  <c r="AV274" i="79"/>
  <c r="AV281" i="79" s="1"/>
  <c r="AV283" i="79" s="1"/>
  <c r="AV328" i="79" s="1"/>
  <c r="CZ127" i="79"/>
  <c r="CR127" i="79"/>
  <c r="AH243" i="79"/>
  <c r="AH257" i="79" s="1"/>
  <c r="Z243" i="80"/>
  <c r="Z257" i="80" s="1"/>
  <c r="DB243" i="80"/>
  <c r="DB257" i="80" s="1"/>
  <c r="EH243" i="79"/>
  <c r="EH257" i="79" s="1"/>
  <c r="CR274" i="79"/>
  <c r="CR281" i="79" s="1"/>
  <c r="CR283" i="79" s="1"/>
  <c r="CR328" i="79" s="1"/>
  <c r="BL127" i="80"/>
  <c r="DR243" i="80"/>
  <c r="DR257" i="80" s="1"/>
  <c r="DB243" i="79"/>
  <c r="DB257" i="79" s="1"/>
  <c r="AV228" i="79"/>
  <c r="AV235" i="79" s="1"/>
  <c r="AV237" i="79" s="1"/>
  <c r="AV260" i="79" s="1"/>
  <c r="AV322" i="79" s="1"/>
  <c r="EX66" i="79"/>
  <c r="DJ66" i="79"/>
  <c r="EH66" i="80"/>
  <c r="FN66" i="80"/>
  <c r="BV66" i="80"/>
  <c r="AP66" i="79"/>
  <c r="EP66" i="79"/>
  <c r="FN66" i="79"/>
  <c r="AP66" i="80"/>
  <c r="BN66" i="80"/>
  <c r="DB66" i="79"/>
  <c r="AX66" i="79"/>
  <c r="AX66" i="80"/>
  <c r="DB66" i="80"/>
  <c r="DY72" i="80"/>
  <c r="DZ72" i="80" s="1"/>
  <c r="DA72" i="80"/>
  <c r="DB72" i="80" s="1"/>
  <c r="FM72" i="80"/>
  <c r="FN72" i="80" s="1"/>
  <c r="EW72" i="80"/>
  <c r="EX72" i="80" s="1"/>
  <c r="EG72" i="80"/>
  <c r="EH72" i="80" s="1"/>
  <c r="AG72" i="80"/>
  <c r="AH72" i="80" s="1"/>
  <c r="CK72" i="80"/>
  <c r="CL72" i="80" s="1"/>
  <c r="DI72" i="80"/>
  <c r="DJ72" i="80" s="1"/>
  <c r="BM72" i="80"/>
  <c r="BN72" i="80" s="1"/>
  <c r="BE72" i="80"/>
  <c r="BF72" i="80" s="1"/>
  <c r="AW72" i="80"/>
  <c r="AX72" i="80" s="1"/>
  <c r="AO72" i="80"/>
  <c r="AP72" i="80" s="1"/>
  <c r="BU72" i="80"/>
  <c r="BV72" i="80" s="1"/>
  <c r="CC72" i="80"/>
  <c r="CD72" i="80" s="1"/>
  <c r="EO72" i="80"/>
  <c r="EP72" i="80" s="1"/>
  <c r="CS72" i="80"/>
  <c r="CT72" i="80" s="1"/>
  <c r="DQ72" i="80"/>
  <c r="DR72" i="80" s="1"/>
  <c r="FE72" i="80"/>
  <c r="FF72" i="80" s="1"/>
  <c r="Y72" i="80"/>
  <c r="Z72" i="80" s="1"/>
  <c r="Q72" i="80"/>
  <c r="R72" i="80" s="1"/>
  <c r="R77" i="80" s="1"/>
  <c r="EH66" i="79"/>
  <c r="Z66" i="79"/>
  <c r="CD66" i="79"/>
  <c r="EP66" i="80"/>
  <c r="DZ66" i="80"/>
  <c r="BN66" i="79"/>
  <c r="DR66" i="79"/>
  <c r="CD66" i="80"/>
  <c r="DJ66" i="80"/>
  <c r="I77" i="79"/>
  <c r="I79" i="79" s="1"/>
  <c r="CK72" i="79"/>
  <c r="CL72" i="79" s="1"/>
  <c r="Y72" i="79"/>
  <c r="Z72" i="79" s="1"/>
  <c r="DA72" i="79"/>
  <c r="DB72" i="79" s="1"/>
  <c r="AG72" i="79"/>
  <c r="AH72" i="79" s="1"/>
  <c r="BE72" i="79"/>
  <c r="BF72" i="79" s="1"/>
  <c r="AO72" i="79"/>
  <c r="AP72" i="79" s="1"/>
  <c r="EO72" i="79"/>
  <c r="EP72" i="79" s="1"/>
  <c r="EW72" i="79"/>
  <c r="EX72" i="79" s="1"/>
  <c r="DY72" i="79"/>
  <c r="DZ72" i="79" s="1"/>
  <c r="FE72" i="79"/>
  <c r="FF72" i="79" s="1"/>
  <c r="BU72" i="79"/>
  <c r="BV72" i="79" s="1"/>
  <c r="BV77" i="79" s="1"/>
  <c r="BM72" i="79"/>
  <c r="BN72" i="79" s="1"/>
  <c r="CC72" i="79"/>
  <c r="CD72" i="79" s="1"/>
  <c r="DI72" i="79"/>
  <c r="DJ72" i="79" s="1"/>
  <c r="DQ72" i="79"/>
  <c r="DR72" i="79" s="1"/>
  <c r="AW72" i="79"/>
  <c r="AX72" i="79" s="1"/>
  <c r="FM72" i="79"/>
  <c r="FN72" i="79" s="1"/>
  <c r="EG72" i="79"/>
  <c r="EH72" i="79" s="1"/>
  <c r="CS72" i="79"/>
  <c r="CT72" i="79" s="1"/>
  <c r="Q72" i="79"/>
  <c r="R72" i="79" s="1"/>
  <c r="R77" i="79" s="1"/>
  <c r="DZ66" i="79"/>
  <c r="I77" i="80"/>
  <c r="I79" i="80" s="1"/>
  <c r="EX66" i="80"/>
  <c r="CL66" i="80"/>
  <c r="CT66" i="79"/>
  <c r="CL66" i="79"/>
  <c r="FF66" i="79"/>
  <c r="Z66" i="80"/>
  <c r="DR66" i="80"/>
  <c r="AH66" i="80"/>
  <c r="BF66" i="79"/>
  <c r="AH66" i="79"/>
  <c r="BF66" i="80"/>
  <c r="CT66" i="80"/>
  <c r="FF66" i="80"/>
  <c r="CR77" i="80"/>
  <c r="CR79" i="80" s="1"/>
  <c r="CR131" i="79"/>
  <c r="I431" i="79"/>
  <c r="CT243" i="80"/>
  <c r="CT257" i="80" s="1"/>
  <c r="AF131" i="80"/>
  <c r="K78" i="84"/>
  <c r="K79" i="84" s="1"/>
  <c r="N78" i="84"/>
  <c r="N79" i="84" s="1"/>
  <c r="F78" i="84"/>
  <c r="F79" i="84" s="1"/>
  <c r="FF243" i="80"/>
  <c r="FF257" i="80" s="1"/>
  <c r="BT119" i="79"/>
  <c r="BL131" i="80"/>
  <c r="P78" i="84"/>
  <c r="P79" i="84" s="1"/>
  <c r="FD131" i="79"/>
  <c r="BT131" i="79"/>
  <c r="EX243" i="80"/>
  <c r="EX257" i="80" s="1"/>
  <c r="EF228" i="80"/>
  <c r="CJ119" i="79"/>
  <c r="EP243" i="80"/>
  <c r="EP257" i="80" s="1"/>
  <c r="R78" i="84"/>
  <c r="R79" i="84" s="1"/>
  <c r="AV119" i="79"/>
  <c r="D78" i="84"/>
  <c r="D79" i="84" s="1"/>
  <c r="AH243" i="80"/>
  <c r="AH257" i="80" s="1"/>
  <c r="CD243" i="80"/>
  <c r="CD257" i="80" s="1"/>
  <c r="BT228" i="79"/>
  <c r="AV131" i="79"/>
  <c r="Z243" i="79"/>
  <c r="Z257" i="79" s="1"/>
  <c r="FN243" i="79"/>
  <c r="FN257" i="79" s="1"/>
  <c r="J431" i="79"/>
  <c r="DZ412" i="80"/>
  <c r="DW428" i="80" s="1"/>
  <c r="DW430" i="80" s="1"/>
  <c r="DX431" i="80" s="1"/>
  <c r="DZ19" i="80"/>
  <c r="DZ52" i="80" s="1"/>
  <c r="DQ414" i="80"/>
  <c r="DQ415" i="80" s="1"/>
  <c r="DQ428" i="80"/>
  <c r="DQ430" i="80" s="1"/>
  <c r="DX228" i="79"/>
  <c r="DX119" i="79"/>
  <c r="DX274" i="79"/>
  <c r="DX281" i="79" s="1"/>
  <c r="DX283" i="79" s="1"/>
  <c r="DX328" i="79" s="1"/>
  <c r="DX127" i="79"/>
  <c r="DX152" i="79"/>
  <c r="DX156" i="79" s="1"/>
  <c r="DX158" i="79" s="1"/>
  <c r="DX131" i="79"/>
  <c r="DX223" i="79"/>
  <c r="R412" i="80"/>
  <c r="R19" i="80"/>
  <c r="R52" i="80" s="1"/>
  <c r="AP412" i="79"/>
  <c r="AM428" i="79" s="1"/>
  <c r="AM430" i="79" s="1"/>
  <c r="AN431" i="79" s="1"/>
  <c r="AP19" i="79"/>
  <c r="AP52" i="79" s="1"/>
  <c r="EP412" i="80"/>
  <c r="EM428" i="80" s="1"/>
  <c r="EM430" i="80" s="1"/>
  <c r="EN431" i="80" s="1"/>
  <c r="EP19" i="80"/>
  <c r="EP52" i="80" s="1"/>
  <c r="DY428" i="79"/>
  <c r="DY430" i="79" s="1"/>
  <c r="DY414" i="79"/>
  <c r="DY415" i="79" s="1"/>
  <c r="BD228" i="79"/>
  <c r="BD223" i="79"/>
  <c r="BD127" i="79"/>
  <c r="BD119" i="79"/>
  <c r="BD274" i="79"/>
  <c r="BD281" i="79" s="1"/>
  <c r="BD283" i="79" s="1"/>
  <c r="BD328" i="79" s="1"/>
  <c r="BD152" i="79"/>
  <c r="BD156" i="79" s="1"/>
  <c r="BD158" i="79" s="1"/>
  <c r="BD131" i="79"/>
  <c r="AP243" i="80"/>
  <c r="AP257" i="80" s="1"/>
  <c r="I133" i="85"/>
  <c r="BU428" i="80"/>
  <c r="BU430" i="80" s="1"/>
  <c r="BU414" i="80"/>
  <c r="BU415" i="80" s="1"/>
  <c r="AW257" i="79"/>
  <c r="AX243" i="79"/>
  <c r="AX257" i="79" s="1"/>
  <c r="CK257" i="80"/>
  <c r="CL243" i="80"/>
  <c r="CL257" i="80" s="1"/>
  <c r="AG428" i="80"/>
  <c r="AG430" i="80" s="1"/>
  <c r="AG414" i="80"/>
  <c r="AG415" i="80" s="1"/>
  <c r="CZ274" i="80"/>
  <c r="CZ281" i="80" s="1"/>
  <c r="CZ283" i="80" s="1"/>
  <c r="CZ328" i="80" s="1"/>
  <c r="H281" i="80"/>
  <c r="H283" i="80" s="1"/>
  <c r="H328" i="80" s="1"/>
  <c r="BL274" i="80"/>
  <c r="BL281" i="80" s="1"/>
  <c r="BL283" i="80" s="1"/>
  <c r="BL328" i="80" s="1"/>
  <c r="I158" i="13"/>
  <c r="I158" i="85" s="1"/>
  <c r="I156" i="85"/>
  <c r="FD223" i="79"/>
  <c r="FF412" i="80"/>
  <c r="FC428" i="80" s="1"/>
  <c r="FC430" i="80" s="1"/>
  <c r="FD431" i="80" s="1"/>
  <c r="FF19" i="80"/>
  <c r="FF52" i="80" s="1"/>
  <c r="AV127" i="80"/>
  <c r="AV152" i="80"/>
  <c r="AV156" i="80" s="1"/>
  <c r="AV158" i="80" s="1"/>
  <c r="AV223" i="80"/>
  <c r="AV274" i="80"/>
  <c r="AV281" i="80" s="1"/>
  <c r="AV283" i="80" s="1"/>
  <c r="AV328" i="80" s="1"/>
  <c r="AV228" i="80"/>
  <c r="AV119" i="80"/>
  <c r="AV131" i="80"/>
  <c r="S78" i="84"/>
  <c r="S79" i="84" s="1"/>
  <c r="AN127" i="80"/>
  <c r="AN228" i="80"/>
  <c r="AN119" i="80"/>
  <c r="AN223" i="80"/>
  <c r="AN274" i="80"/>
  <c r="AN281" i="80" s="1"/>
  <c r="AN283" i="80" s="1"/>
  <c r="AN328" i="80" s="1"/>
  <c r="AN152" i="80"/>
  <c r="AN156" i="80" s="1"/>
  <c r="AN158" i="80" s="1"/>
  <c r="AN131" i="80"/>
  <c r="DZ19" i="79"/>
  <c r="DZ52" i="79" s="1"/>
  <c r="DZ412" i="79"/>
  <c r="DW428" i="79" s="1"/>
  <c r="DW430" i="79" s="1"/>
  <c r="DX431" i="79" s="1"/>
  <c r="BN243" i="79"/>
  <c r="BN257" i="79" s="1"/>
  <c r="BM257" i="79"/>
  <c r="I431" i="80"/>
  <c r="EH243" i="80"/>
  <c r="EH257" i="80" s="1"/>
  <c r="CL428" i="79"/>
  <c r="CL430" i="79" s="1"/>
  <c r="CL414" i="79"/>
  <c r="CL415" i="79" s="1"/>
  <c r="CL451" i="79" s="1"/>
  <c r="CC414" i="79"/>
  <c r="CC415" i="79" s="1"/>
  <c r="CC428" i="79"/>
  <c r="CC430" i="79" s="1"/>
  <c r="H133" i="80"/>
  <c r="EF119" i="80"/>
  <c r="EF133" i="80" s="1"/>
  <c r="BL119" i="80"/>
  <c r="J133" i="85"/>
  <c r="DZ243" i="79"/>
  <c r="DZ257" i="79" s="1"/>
  <c r="DY257" i="79"/>
  <c r="Q86" i="35"/>
  <c r="S86" i="35" s="1"/>
  <c r="S59" i="35"/>
  <c r="AW428" i="79"/>
  <c r="AW430" i="79" s="1"/>
  <c r="AW414" i="79"/>
  <c r="AW415" i="79" s="1"/>
  <c r="CS428" i="80"/>
  <c r="CS430" i="80" s="1"/>
  <c r="CS414" i="80"/>
  <c r="CS415" i="80" s="1"/>
  <c r="EF274" i="80"/>
  <c r="EF281" i="80" s="1"/>
  <c r="EF283" i="80" s="1"/>
  <c r="EF328" i="80" s="1"/>
  <c r="EX412" i="80"/>
  <c r="EX19" i="80"/>
  <c r="EX52" i="80" s="1"/>
  <c r="D19" i="32"/>
  <c r="D21" i="32" s="1"/>
  <c r="D24" i="32" s="1"/>
  <c r="H77" i="26"/>
  <c r="P119" i="79"/>
  <c r="P274" i="79"/>
  <c r="P281" i="79" s="1"/>
  <c r="P283" i="79" s="1"/>
  <c r="P328" i="79" s="1"/>
  <c r="P228" i="79"/>
  <c r="P131" i="79"/>
  <c r="P127" i="79"/>
  <c r="P152" i="79"/>
  <c r="P156" i="79" s="1"/>
  <c r="P158" i="79" s="1"/>
  <c r="P223" i="79"/>
  <c r="EP19" i="79"/>
  <c r="EP52" i="79" s="1"/>
  <c r="EP412" i="79"/>
  <c r="EM428" i="79" s="1"/>
  <c r="EM430" i="79" s="1"/>
  <c r="EN431" i="79" s="1"/>
  <c r="CR119" i="80"/>
  <c r="CR228" i="80"/>
  <c r="CR131" i="80"/>
  <c r="CR152" i="80"/>
  <c r="CR156" i="80" s="1"/>
  <c r="CR158" i="80" s="1"/>
  <c r="CR274" i="80"/>
  <c r="CR281" i="80" s="1"/>
  <c r="CR283" i="80" s="1"/>
  <c r="CR328" i="80" s="1"/>
  <c r="CR223" i="80"/>
  <c r="CR127" i="80"/>
  <c r="CK428" i="79"/>
  <c r="CK430" i="79" s="1"/>
  <c r="CK414" i="79"/>
  <c r="CK415" i="79" s="1"/>
  <c r="CI428" i="79"/>
  <c r="CI430" i="79" s="1"/>
  <c r="CJ431" i="79" s="1"/>
  <c r="BN412" i="79"/>
  <c r="BK428" i="79" s="1"/>
  <c r="BK430" i="79" s="1"/>
  <c r="BL431" i="79" s="1"/>
  <c r="BN19" i="79"/>
  <c r="BN52" i="79" s="1"/>
  <c r="I451" i="79"/>
  <c r="G415" i="79"/>
  <c r="DZ243" i="80"/>
  <c r="DZ257" i="80" s="1"/>
  <c r="EW414" i="80"/>
  <c r="EW415" i="80" s="1"/>
  <c r="EW428" i="80"/>
  <c r="EW430" i="80" s="1"/>
  <c r="EV152" i="80"/>
  <c r="EV156" i="80" s="1"/>
  <c r="EV158" i="80" s="1"/>
  <c r="EV223" i="80"/>
  <c r="EV131" i="80"/>
  <c r="EV228" i="80"/>
  <c r="EV274" i="80"/>
  <c r="EV281" i="80" s="1"/>
  <c r="EV283" i="80" s="1"/>
  <c r="EV328" i="80" s="1"/>
  <c r="EV127" i="80"/>
  <c r="EV119" i="80"/>
  <c r="EV223" i="79"/>
  <c r="H235" i="79"/>
  <c r="H237" i="79" s="1"/>
  <c r="H260" i="79" s="1"/>
  <c r="H322" i="79" s="1"/>
  <c r="CZ223" i="79"/>
  <c r="CJ223" i="79"/>
  <c r="CR223" i="79"/>
  <c r="FE428" i="79"/>
  <c r="FE430" i="79" s="1"/>
  <c r="FE414" i="79"/>
  <c r="FE415" i="79" s="1"/>
  <c r="FC428" i="79"/>
  <c r="FC430" i="79" s="1"/>
  <c r="FD431" i="79" s="1"/>
  <c r="CB223" i="80"/>
  <c r="CB274" i="80"/>
  <c r="CB281" i="80" s="1"/>
  <c r="CB283" i="80" s="1"/>
  <c r="CB328" i="80" s="1"/>
  <c r="CB152" i="80"/>
  <c r="CB156" i="80" s="1"/>
  <c r="CB158" i="80" s="1"/>
  <c r="CB127" i="80"/>
  <c r="CB228" i="80"/>
  <c r="CB119" i="80"/>
  <c r="CB131" i="80"/>
  <c r="AO414" i="80"/>
  <c r="AO415" i="80" s="1"/>
  <c r="AO428" i="80"/>
  <c r="AO430" i="80" s="1"/>
  <c r="H158" i="13"/>
  <c r="H158" i="85" s="1"/>
  <c r="H156" i="85"/>
  <c r="AA43" i="77"/>
  <c r="AA45" i="77"/>
  <c r="G78" i="84"/>
  <c r="G79" i="84" s="1"/>
  <c r="EX412" i="79"/>
  <c r="EU428" i="79" s="1"/>
  <c r="EU430" i="79" s="1"/>
  <c r="EV431" i="79" s="1"/>
  <c r="EX19" i="79"/>
  <c r="EX52" i="79" s="1"/>
  <c r="BE428" i="79"/>
  <c r="BE430" i="79" s="1"/>
  <c r="BE414" i="79"/>
  <c r="BE415" i="79" s="1"/>
  <c r="DA428" i="79"/>
  <c r="DA430" i="79" s="1"/>
  <c r="DA414" i="79"/>
  <c r="DA415" i="79" s="1"/>
  <c r="DB412" i="80"/>
  <c r="CY428" i="80" s="1"/>
  <c r="CY430" i="80" s="1"/>
  <c r="CZ431" i="80" s="1"/>
  <c r="DB19" i="80"/>
  <c r="DB52" i="80" s="1"/>
  <c r="FN412" i="80"/>
  <c r="FK428" i="80" s="1"/>
  <c r="FK430" i="80" s="1"/>
  <c r="FL431" i="80" s="1"/>
  <c r="FN19" i="80"/>
  <c r="FN52" i="80" s="1"/>
  <c r="H281" i="85"/>
  <c r="G31" i="31"/>
  <c r="CC428" i="80"/>
  <c r="CC430" i="80" s="1"/>
  <c r="CC414" i="80"/>
  <c r="CC415" i="80" s="1"/>
  <c r="AF274" i="80"/>
  <c r="AF281" i="80" s="1"/>
  <c r="AF283" i="80" s="1"/>
  <c r="AF328" i="80" s="1"/>
  <c r="EG414" i="79"/>
  <c r="EG415" i="79" s="1"/>
  <c r="EG428" i="79"/>
  <c r="EG430" i="79" s="1"/>
  <c r="FL228" i="79"/>
  <c r="FL223" i="79"/>
  <c r="FL131" i="79"/>
  <c r="FL127" i="79"/>
  <c r="FL119" i="79"/>
  <c r="FL152" i="79"/>
  <c r="FL156" i="79" s="1"/>
  <c r="FL158" i="79" s="1"/>
  <c r="FL274" i="79"/>
  <c r="FL281" i="79" s="1"/>
  <c r="FL283" i="79" s="1"/>
  <c r="FL328" i="79" s="1"/>
  <c r="S59" i="82"/>
  <c r="Q86" i="82"/>
  <c r="S86" i="82" s="1"/>
  <c r="E19" i="32"/>
  <c r="E21" i="32" s="1"/>
  <c r="E24" i="32" s="1"/>
  <c r="I77" i="26"/>
  <c r="X119" i="79"/>
  <c r="X274" i="79"/>
  <c r="X281" i="79" s="1"/>
  <c r="X283" i="79" s="1"/>
  <c r="X328" i="79" s="1"/>
  <c r="X228" i="79"/>
  <c r="X127" i="79"/>
  <c r="X223" i="79"/>
  <c r="X152" i="79"/>
  <c r="X156" i="79" s="1"/>
  <c r="X158" i="79" s="1"/>
  <c r="X131" i="79"/>
  <c r="DQ257" i="79"/>
  <c r="DR243" i="79"/>
  <c r="DR257" i="79" s="1"/>
  <c r="FE257" i="79"/>
  <c r="FF243" i="79"/>
  <c r="FF257" i="79" s="1"/>
  <c r="BE414" i="80"/>
  <c r="BE415" i="80" s="1"/>
  <c r="BE428" i="80"/>
  <c r="BE430" i="80" s="1"/>
  <c r="AH412" i="79"/>
  <c r="AE428" i="79" s="1"/>
  <c r="AE430" i="79" s="1"/>
  <c r="AF431" i="79" s="1"/>
  <c r="AH19" i="79"/>
  <c r="AH52" i="79" s="1"/>
  <c r="DI428" i="80"/>
  <c r="DI430" i="80" s="1"/>
  <c r="DI414" i="80"/>
  <c r="DI415" i="80" s="1"/>
  <c r="BL131" i="79"/>
  <c r="BL119" i="79"/>
  <c r="BL152" i="79"/>
  <c r="BL156" i="79" s="1"/>
  <c r="BL158" i="79" s="1"/>
  <c r="BL127" i="79"/>
  <c r="BL223" i="79"/>
  <c r="BL274" i="79"/>
  <c r="BL281" i="79" s="1"/>
  <c r="BL283" i="79" s="1"/>
  <c r="BL328" i="79" s="1"/>
  <c r="BL228" i="79"/>
  <c r="J431" i="80"/>
  <c r="AE76" i="84"/>
  <c r="M78" i="84"/>
  <c r="M79" i="84" s="1"/>
  <c r="Q78" i="84"/>
  <c r="Q79" i="84" s="1"/>
  <c r="C78" i="84"/>
  <c r="C79" i="84" s="1"/>
  <c r="AE72" i="84"/>
  <c r="CT412" i="80"/>
  <c r="CQ428" i="80" s="1"/>
  <c r="CQ430" i="80" s="1"/>
  <c r="CR431" i="80" s="1"/>
  <c r="CT19" i="80"/>
  <c r="CT52" i="80" s="1"/>
  <c r="EF274" i="79"/>
  <c r="EF281" i="79" s="1"/>
  <c r="EF283" i="79" s="1"/>
  <c r="EF328" i="79" s="1"/>
  <c r="H281" i="79"/>
  <c r="H283" i="79" s="1"/>
  <c r="H328" i="79" s="1"/>
  <c r="DX152" i="80"/>
  <c r="DX156" i="80" s="1"/>
  <c r="DX158" i="80" s="1"/>
  <c r="DX127" i="80"/>
  <c r="DX274" i="80"/>
  <c r="DX281" i="80" s="1"/>
  <c r="DX283" i="80" s="1"/>
  <c r="DX328" i="80" s="1"/>
  <c r="DX119" i="80"/>
  <c r="DX131" i="80"/>
  <c r="DX228" i="80"/>
  <c r="CJ274" i="79"/>
  <c r="CJ281" i="79" s="1"/>
  <c r="CJ283" i="79" s="1"/>
  <c r="CJ328" i="79" s="1"/>
  <c r="I235" i="80"/>
  <c r="I237" i="80" s="1"/>
  <c r="I260" i="80" s="1"/>
  <c r="I322" i="80" s="1"/>
  <c r="FM428" i="79"/>
  <c r="FM430" i="79" s="1"/>
  <c r="FM414" i="79"/>
  <c r="FM415" i="79" s="1"/>
  <c r="CD243" i="79"/>
  <c r="CD257" i="79" s="1"/>
  <c r="CC257" i="79"/>
  <c r="BF412" i="80"/>
  <c r="BC428" i="80" s="1"/>
  <c r="BC430" i="80" s="1"/>
  <c r="BD431" i="80" s="1"/>
  <c r="BF19" i="80"/>
  <c r="BF52" i="80" s="1"/>
  <c r="DX223" i="80"/>
  <c r="H235" i="80"/>
  <c r="H237" i="80" s="1"/>
  <c r="H260" i="80" s="1"/>
  <c r="H322" i="80" s="1"/>
  <c r="AG428" i="79"/>
  <c r="AG430" i="79" s="1"/>
  <c r="AG414" i="79"/>
  <c r="AG415" i="79" s="1"/>
  <c r="CZ131" i="79"/>
  <c r="BF243" i="80"/>
  <c r="BF257" i="80" s="1"/>
  <c r="AW428" i="80"/>
  <c r="AW430" i="80" s="1"/>
  <c r="AW414" i="80"/>
  <c r="AW415" i="80" s="1"/>
  <c r="DR412" i="80"/>
  <c r="DO428" i="80" s="1"/>
  <c r="DO430" i="80" s="1"/>
  <c r="DP431" i="80" s="1"/>
  <c r="DR19" i="80"/>
  <c r="DR52" i="80" s="1"/>
  <c r="DJ243" i="79"/>
  <c r="DJ257" i="79" s="1"/>
  <c r="BN243" i="80"/>
  <c r="BN257" i="80" s="1"/>
  <c r="AU428" i="79"/>
  <c r="AU430" i="79" s="1"/>
  <c r="AV431" i="79" s="1"/>
  <c r="AX428" i="79"/>
  <c r="AX430" i="79" s="1"/>
  <c r="AX414" i="79"/>
  <c r="AX415" i="79" s="1"/>
  <c r="AX451" i="79" s="1"/>
  <c r="CD412" i="79"/>
  <c r="CD19" i="79"/>
  <c r="CD52" i="79" s="1"/>
  <c r="I281" i="85"/>
  <c r="H31" i="31"/>
  <c r="F19" i="32"/>
  <c r="J77" i="26"/>
  <c r="FF428" i="79"/>
  <c r="FF430" i="79" s="1"/>
  <c r="FF414" i="79"/>
  <c r="FF415" i="79" s="1"/>
  <c r="FF451" i="79" s="1"/>
  <c r="AO414" i="79"/>
  <c r="AO415" i="79" s="1"/>
  <c r="AO428" i="79"/>
  <c r="AO430" i="79" s="1"/>
  <c r="EO414" i="80"/>
  <c r="EO415" i="80" s="1"/>
  <c r="EO428" i="80"/>
  <c r="EO430" i="80" s="1"/>
  <c r="U78" i="84"/>
  <c r="U79" i="84" s="1"/>
  <c r="EW414" i="79"/>
  <c r="EW415" i="79" s="1"/>
  <c r="EW428" i="79"/>
  <c r="EW430" i="79" s="1"/>
  <c r="EV152" i="79"/>
  <c r="EV156" i="79" s="1"/>
  <c r="EV158" i="79" s="1"/>
  <c r="EV131" i="79"/>
  <c r="EV228" i="79"/>
  <c r="EV119" i="79"/>
  <c r="EV274" i="79"/>
  <c r="EV281" i="79" s="1"/>
  <c r="EV283" i="79" s="1"/>
  <c r="EV328" i="79" s="1"/>
  <c r="EV127" i="79"/>
  <c r="AA43" i="83"/>
  <c r="AA45" i="83"/>
  <c r="DA414" i="80"/>
  <c r="DA415" i="80" s="1"/>
  <c r="DA428" i="80"/>
  <c r="DA430" i="80" s="1"/>
  <c r="FN412" i="79"/>
  <c r="FK428" i="79" s="1"/>
  <c r="FK430" i="79" s="1"/>
  <c r="FL431" i="79" s="1"/>
  <c r="FN19" i="79"/>
  <c r="FN52" i="79" s="1"/>
  <c r="EN152" i="79"/>
  <c r="EN156" i="79" s="1"/>
  <c r="EN158" i="79" s="1"/>
  <c r="EN274" i="79"/>
  <c r="EN281" i="79" s="1"/>
  <c r="EN283" i="79" s="1"/>
  <c r="EN328" i="79" s="1"/>
  <c r="EN223" i="79"/>
  <c r="EN235" i="79" s="1"/>
  <c r="EN127" i="79"/>
  <c r="BV243" i="79"/>
  <c r="BV257" i="79" s="1"/>
  <c r="BU257" i="79"/>
  <c r="AP243" i="79"/>
  <c r="AP257" i="79" s="1"/>
  <c r="AO257" i="79"/>
  <c r="FN243" i="80"/>
  <c r="FN257" i="80" s="1"/>
  <c r="AX19" i="80"/>
  <c r="AX52" i="80" s="1"/>
  <c r="AX412" i="80"/>
  <c r="AU428" i="80" s="1"/>
  <c r="AU430" i="80" s="1"/>
  <c r="AV431" i="80" s="1"/>
  <c r="AN119" i="79"/>
  <c r="AN223" i="79"/>
  <c r="AN152" i="79"/>
  <c r="AN156" i="79" s="1"/>
  <c r="AN158" i="79" s="1"/>
  <c r="AN127" i="79"/>
  <c r="AN274" i="79"/>
  <c r="AN281" i="79" s="1"/>
  <c r="AN283" i="79" s="1"/>
  <c r="AN328" i="79" s="1"/>
  <c r="AN228" i="79"/>
  <c r="AN131" i="79"/>
  <c r="CZ152" i="80"/>
  <c r="CZ156" i="80" s="1"/>
  <c r="CZ158" i="80" s="1"/>
  <c r="CZ223" i="80"/>
  <c r="CZ127" i="80"/>
  <c r="CZ119" i="80"/>
  <c r="CZ131" i="80"/>
  <c r="CZ228" i="80"/>
  <c r="DI414" i="79"/>
  <c r="DI415" i="79" s="1"/>
  <c r="DI428" i="79"/>
  <c r="DI430" i="79" s="1"/>
  <c r="DP223" i="79"/>
  <c r="DP228" i="79"/>
  <c r="DP131" i="79"/>
  <c r="DP152" i="79"/>
  <c r="DP156" i="79" s="1"/>
  <c r="DP158" i="79" s="1"/>
  <c r="DP274" i="79"/>
  <c r="DP281" i="79" s="1"/>
  <c r="DP283" i="79" s="1"/>
  <c r="DP328" i="79" s="1"/>
  <c r="DP127" i="79"/>
  <c r="DP119" i="79"/>
  <c r="FD228" i="79"/>
  <c r="EP243" i="79"/>
  <c r="EP257" i="79" s="1"/>
  <c r="FE428" i="80"/>
  <c r="FE430" i="80" s="1"/>
  <c r="FE414" i="80"/>
  <c r="FE415" i="80" s="1"/>
  <c r="EH19" i="80"/>
  <c r="EH52" i="80" s="1"/>
  <c r="EH412" i="80"/>
  <c r="EE428" i="80" s="1"/>
  <c r="EE430" i="80" s="1"/>
  <c r="EF431" i="80" s="1"/>
  <c r="AE428" i="80"/>
  <c r="AE430" i="80" s="1"/>
  <c r="AF431" i="80" s="1"/>
  <c r="AH428" i="80"/>
  <c r="AH430" i="80" s="1"/>
  <c r="AH414" i="80"/>
  <c r="AH415" i="80" s="1"/>
  <c r="AH451" i="80" s="1"/>
  <c r="H133" i="85"/>
  <c r="J235" i="80"/>
  <c r="J237" i="80" s="1"/>
  <c r="J260" i="80" s="1"/>
  <c r="J322" i="80" s="1"/>
  <c r="AP412" i="80"/>
  <c r="AP19" i="80"/>
  <c r="AP52" i="80" s="1"/>
  <c r="E78" i="84"/>
  <c r="E79" i="84" s="1"/>
  <c r="J78" i="84"/>
  <c r="J79" i="84" s="1"/>
  <c r="BU428" i="79"/>
  <c r="BU430" i="79" s="1"/>
  <c r="BU414" i="79"/>
  <c r="BU415" i="79" s="1"/>
  <c r="J133" i="80"/>
  <c r="CR119" i="79"/>
  <c r="AX243" i="80"/>
  <c r="AX257" i="80" s="1"/>
  <c r="CJ228" i="79"/>
  <c r="I235" i="79"/>
  <c r="I237" i="79" s="1"/>
  <c r="I260" i="79" s="1"/>
  <c r="I322" i="79" s="1"/>
  <c r="DH131" i="80"/>
  <c r="DH223" i="80"/>
  <c r="DH274" i="80"/>
  <c r="DH281" i="80" s="1"/>
  <c r="DH283" i="80" s="1"/>
  <c r="DH328" i="80" s="1"/>
  <c r="DH228" i="80"/>
  <c r="DH119" i="80"/>
  <c r="DH127" i="80"/>
  <c r="DH152" i="80"/>
  <c r="DH156" i="80" s="1"/>
  <c r="DH158" i="80" s="1"/>
  <c r="Q428" i="79"/>
  <c r="Q430" i="79" s="1"/>
  <c r="Q414" i="79"/>
  <c r="Q415" i="79" s="1"/>
  <c r="CZ119" i="79"/>
  <c r="CJ223" i="80"/>
  <c r="CJ127" i="80"/>
  <c r="CJ152" i="80"/>
  <c r="CJ156" i="80" s="1"/>
  <c r="CJ158" i="80" s="1"/>
  <c r="CJ119" i="80"/>
  <c r="CJ274" i="80"/>
  <c r="CJ281" i="80" s="1"/>
  <c r="CJ283" i="80" s="1"/>
  <c r="CJ328" i="80" s="1"/>
  <c r="CJ228" i="80"/>
  <c r="CJ131" i="80"/>
  <c r="DQ428" i="79"/>
  <c r="DQ430" i="79" s="1"/>
  <c r="DQ414" i="79"/>
  <c r="DQ415" i="79" s="1"/>
  <c r="CD19" i="80"/>
  <c r="CD52" i="80" s="1"/>
  <c r="CD412" i="80"/>
  <c r="CA428" i="80" s="1"/>
  <c r="CA430" i="80" s="1"/>
  <c r="CB431" i="80" s="1"/>
  <c r="P152" i="80"/>
  <c r="P156" i="80" s="1"/>
  <c r="P158" i="80" s="1"/>
  <c r="P274" i="80"/>
  <c r="P281" i="80" s="1"/>
  <c r="P283" i="80" s="1"/>
  <c r="P328" i="80" s="1"/>
  <c r="P131" i="80"/>
  <c r="P127" i="80"/>
  <c r="P228" i="80"/>
  <c r="P223" i="80"/>
  <c r="P119" i="80"/>
  <c r="FD131" i="80"/>
  <c r="FD223" i="80"/>
  <c r="FD119" i="80"/>
  <c r="FD152" i="80"/>
  <c r="FD156" i="80" s="1"/>
  <c r="FD158" i="80" s="1"/>
  <c r="FD274" i="80"/>
  <c r="FD281" i="80" s="1"/>
  <c r="FD283" i="80" s="1"/>
  <c r="FD328" i="80" s="1"/>
  <c r="FD127" i="80"/>
  <c r="FD228" i="80"/>
  <c r="EG428" i="80"/>
  <c r="EG430" i="80" s="1"/>
  <c r="EG414" i="80"/>
  <c r="EG415" i="80" s="1"/>
  <c r="CT412" i="79"/>
  <c r="CT19" i="79"/>
  <c r="CT52" i="79" s="1"/>
  <c r="J281" i="85"/>
  <c r="I31" i="31"/>
  <c r="CY428" i="79"/>
  <c r="CY430" i="79" s="1"/>
  <c r="CZ431" i="79" s="1"/>
  <c r="DB428" i="79"/>
  <c r="DB430" i="79" s="1"/>
  <c r="DB414" i="79"/>
  <c r="DB415" i="79" s="1"/>
  <c r="DB451" i="79" s="1"/>
  <c r="BM428" i="79"/>
  <c r="BM430" i="79" s="1"/>
  <c r="BM414" i="79"/>
  <c r="BM415" i="79" s="1"/>
  <c r="Y414" i="79"/>
  <c r="Y415" i="79" s="1"/>
  <c r="Y428" i="79"/>
  <c r="Y430" i="79" s="1"/>
  <c r="DG428" i="79"/>
  <c r="DG430" i="79" s="1"/>
  <c r="DH431" i="79" s="1"/>
  <c r="DJ428" i="79"/>
  <c r="DJ430" i="79" s="1"/>
  <c r="DJ414" i="79"/>
  <c r="DJ415" i="79" s="1"/>
  <c r="DJ451" i="79" s="1"/>
  <c r="J158" i="13"/>
  <c r="J158" i="85" s="1"/>
  <c r="J156" i="85"/>
  <c r="Y428" i="80"/>
  <c r="Y430" i="80" s="1"/>
  <c r="Y414" i="80"/>
  <c r="Y415" i="80" s="1"/>
  <c r="I78" i="84"/>
  <c r="I79" i="84" s="1"/>
  <c r="H78" i="84"/>
  <c r="H79" i="84" s="1"/>
  <c r="CR228" i="79"/>
  <c r="CK428" i="80"/>
  <c r="CK430" i="80" s="1"/>
  <c r="CK414" i="80"/>
  <c r="CK415" i="80" s="1"/>
  <c r="I133" i="79"/>
  <c r="BV412" i="80"/>
  <c r="BV19" i="80"/>
  <c r="BV52" i="80" s="1"/>
  <c r="FL152" i="80"/>
  <c r="FL156" i="80" s="1"/>
  <c r="FL158" i="80" s="1"/>
  <c r="FL228" i="80"/>
  <c r="FL131" i="80"/>
  <c r="FL223" i="80"/>
  <c r="FL119" i="80"/>
  <c r="FL274" i="80"/>
  <c r="FL281" i="80" s="1"/>
  <c r="FL283" i="80" s="1"/>
  <c r="FL328" i="80" s="1"/>
  <c r="FL127" i="80"/>
  <c r="CJ131" i="79"/>
  <c r="BF19" i="79"/>
  <c r="BF52" i="79" s="1"/>
  <c r="BF412" i="79"/>
  <c r="BC428" i="79" s="1"/>
  <c r="BC430" i="79" s="1"/>
  <c r="BD431" i="79" s="1"/>
  <c r="CZ228" i="79"/>
  <c r="R243" i="79"/>
  <c r="R257" i="79" s="1"/>
  <c r="DJ412" i="80"/>
  <c r="DJ19" i="80"/>
  <c r="DJ52" i="80" s="1"/>
  <c r="CB152" i="79"/>
  <c r="CB156" i="79" s="1"/>
  <c r="CB158" i="79" s="1"/>
  <c r="CB127" i="79"/>
  <c r="CB274" i="79"/>
  <c r="CB281" i="79" s="1"/>
  <c r="CB283" i="79" s="1"/>
  <c r="CB328" i="79" s="1"/>
  <c r="CB228" i="79"/>
  <c r="CB119" i="79"/>
  <c r="CB223" i="79"/>
  <c r="CB131" i="79"/>
  <c r="DR412" i="79"/>
  <c r="DR19" i="79"/>
  <c r="DR52" i="79" s="1"/>
  <c r="FD274" i="79"/>
  <c r="FD281" i="79" s="1"/>
  <c r="FD283" i="79" s="1"/>
  <c r="FD328" i="79" s="1"/>
  <c r="EN119" i="80"/>
  <c r="EN274" i="80"/>
  <c r="EN281" i="80" s="1"/>
  <c r="EN283" i="80" s="1"/>
  <c r="EN328" i="80" s="1"/>
  <c r="EN127" i="80"/>
  <c r="EN223" i="80"/>
  <c r="EN152" i="80"/>
  <c r="EN156" i="80" s="1"/>
  <c r="EN158" i="80" s="1"/>
  <c r="EN131" i="80"/>
  <c r="EN228" i="80"/>
  <c r="EN119" i="79"/>
  <c r="H133" i="79"/>
  <c r="EE428" i="79"/>
  <c r="EE430" i="79" s="1"/>
  <c r="EF431" i="79" s="1"/>
  <c r="EH428" i="79"/>
  <c r="EH430" i="79" s="1"/>
  <c r="EH414" i="79"/>
  <c r="EH415" i="79" s="1"/>
  <c r="EH451" i="79" s="1"/>
  <c r="BM428" i="80"/>
  <c r="BM430" i="80" s="1"/>
  <c r="BM414" i="80"/>
  <c r="BM415" i="80" s="1"/>
  <c r="Z412" i="79"/>
  <c r="Z19" i="79"/>
  <c r="Z52" i="79" s="1"/>
  <c r="Z412" i="80"/>
  <c r="Z19" i="80"/>
  <c r="Z52" i="80" s="1"/>
  <c r="BV19" i="79"/>
  <c r="BV52" i="79" s="1"/>
  <c r="BV412" i="79"/>
  <c r="L78" i="84"/>
  <c r="L79" i="84" s="1"/>
  <c r="O78" i="84"/>
  <c r="O79" i="84" s="1"/>
  <c r="AF127" i="79"/>
  <c r="AF119" i="79"/>
  <c r="AF223" i="79"/>
  <c r="AF228" i="79"/>
  <c r="AF152" i="79"/>
  <c r="AF156" i="79" s="1"/>
  <c r="AF158" i="79" s="1"/>
  <c r="AF131" i="79"/>
  <c r="AF274" i="79"/>
  <c r="AF281" i="79" s="1"/>
  <c r="AF283" i="79" s="1"/>
  <c r="AF328" i="79" s="1"/>
  <c r="J133" i="79"/>
  <c r="CL19" i="80"/>
  <c r="CL52" i="80" s="1"/>
  <c r="CL412" i="80"/>
  <c r="I133" i="80"/>
  <c r="X223" i="80"/>
  <c r="X127" i="80"/>
  <c r="X131" i="80"/>
  <c r="X274" i="80"/>
  <c r="X281" i="80" s="1"/>
  <c r="X283" i="80" s="1"/>
  <c r="X328" i="80" s="1"/>
  <c r="X152" i="80"/>
  <c r="X156" i="80" s="1"/>
  <c r="X158" i="80" s="1"/>
  <c r="X119" i="80"/>
  <c r="X228" i="80"/>
  <c r="BV243" i="80"/>
  <c r="BV257" i="80" s="1"/>
  <c r="Q428" i="80"/>
  <c r="Q430" i="80" s="1"/>
  <c r="Q414" i="80"/>
  <c r="Q415" i="80" s="1"/>
  <c r="DP223" i="80"/>
  <c r="DP127" i="80"/>
  <c r="DP274" i="80"/>
  <c r="DP281" i="80" s="1"/>
  <c r="DP283" i="80" s="1"/>
  <c r="DP328" i="80" s="1"/>
  <c r="DP228" i="80"/>
  <c r="DP119" i="80"/>
  <c r="DP131" i="80"/>
  <c r="DP152" i="80"/>
  <c r="DP156" i="80" s="1"/>
  <c r="DP158" i="80" s="1"/>
  <c r="R19" i="79"/>
  <c r="R52" i="79" s="1"/>
  <c r="R412" i="79"/>
  <c r="EX243" i="79"/>
  <c r="EX257" i="79" s="1"/>
  <c r="I451" i="80"/>
  <c r="G415" i="80"/>
  <c r="EO428" i="79"/>
  <c r="EO430" i="79" s="1"/>
  <c r="EO414" i="79"/>
  <c r="EO415" i="79" s="1"/>
  <c r="DJ243" i="80"/>
  <c r="DJ257" i="80" s="1"/>
  <c r="BT152" i="80"/>
  <c r="BT156" i="80" s="1"/>
  <c r="BT158" i="80" s="1"/>
  <c r="BT223" i="80"/>
  <c r="BT274" i="80"/>
  <c r="BT281" i="80" s="1"/>
  <c r="BT283" i="80" s="1"/>
  <c r="BT328" i="80" s="1"/>
  <c r="BT127" i="80"/>
  <c r="BT228" i="80"/>
  <c r="BT119" i="80"/>
  <c r="BT131" i="80"/>
  <c r="FM428" i="80"/>
  <c r="FM430" i="80" s="1"/>
  <c r="FM414" i="80"/>
  <c r="FM415" i="80" s="1"/>
  <c r="FD127" i="79"/>
  <c r="EF152" i="79"/>
  <c r="EF156" i="79" s="1"/>
  <c r="EF158" i="79" s="1"/>
  <c r="EF131" i="79"/>
  <c r="EF223" i="79"/>
  <c r="EF127" i="79"/>
  <c r="EF228" i="79"/>
  <c r="EF119" i="79"/>
  <c r="DY428" i="80"/>
  <c r="DY430" i="80" s="1"/>
  <c r="DY414" i="80"/>
  <c r="DY415" i="80" s="1"/>
  <c r="DH274" i="79"/>
  <c r="DH281" i="79" s="1"/>
  <c r="DH283" i="79" s="1"/>
  <c r="DH328" i="79" s="1"/>
  <c r="DH127" i="79"/>
  <c r="DH131" i="79"/>
  <c r="DH152" i="79"/>
  <c r="DH156" i="79" s="1"/>
  <c r="DH158" i="79" s="1"/>
  <c r="DH119" i="79"/>
  <c r="DH223" i="79"/>
  <c r="DH228" i="79"/>
  <c r="BK428" i="80"/>
  <c r="BK430" i="80" s="1"/>
  <c r="BL431" i="80" s="1"/>
  <c r="BN414" i="80"/>
  <c r="BN415" i="80" s="1"/>
  <c r="BN451" i="80" s="1"/>
  <c r="BN428" i="80"/>
  <c r="BN430" i="80" s="1"/>
  <c r="CS428" i="79"/>
  <c r="CS430" i="79" s="1"/>
  <c r="CS414" i="79"/>
  <c r="CS415" i="79" s="1"/>
  <c r="BD119" i="80"/>
  <c r="BD152" i="80"/>
  <c r="BD156" i="80" s="1"/>
  <c r="BD158" i="80" s="1"/>
  <c r="BD127" i="80"/>
  <c r="BD131" i="80"/>
  <c r="BD228" i="80"/>
  <c r="BD223" i="80"/>
  <c r="BD274" i="80"/>
  <c r="BD281" i="80" s="1"/>
  <c r="BD283" i="80" s="1"/>
  <c r="BD328" i="80" s="1"/>
  <c r="F17" i="188"/>
  <c r="F16" i="188"/>
  <c r="F18" i="188" s="1"/>
  <c r="G431" i="79" l="1"/>
  <c r="AF133" i="80"/>
  <c r="EF235" i="80"/>
  <c r="CJ133" i="79"/>
  <c r="BT235" i="79"/>
  <c r="BT84" i="79" s="1"/>
  <c r="AG77" i="79"/>
  <c r="AG79" i="79" s="1"/>
  <c r="CR133" i="79"/>
  <c r="BL133" i="80"/>
  <c r="F21" i="32"/>
  <c r="F24" i="32" s="1"/>
  <c r="BT133" i="79"/>
  <c r="CS77" i="80"/>
  <c r="CS79" i="80" s="1"/>
  <c r="EX77" i="80"/>
  <c r="EX79" i="80" s="1"/>
  <c r="DI77" i="80"/>
  <c r="DI79" i="80" s="1"/>
  <c r="DQ77" i="80"/>
  <c r="DQ79" i="80" s="1"/>
  <c r="AH77" i="79"/>
  <c r="AH79" i="79" s="1"/>
  <c r="DJ77" i="80"/>
  <c r="DJ79" i="80" s="1"/>
  <c r="Y77" i="80"/>
  <c r="Y79" i="80" s="1"/>
  <c r="Z77" i="80"/>
  <c r="Z79" i="80" s="1"/>
  <c r="G431" i="80"/>
  <c r="EV235" i="79"/>
  <c r="EV84" i="79" s="1"/>
  <c r="CT77" i="79"/>
  <c r="CT79" i="79" s="1"/>
  <c r="EW77" i="80"/>
  <c r="EW79" i="80" s="1"/>
  <c r="FE77" i="80"/>
  <c r="FE79" i="80" s="1"/>
  <c r="FF77" i="80"/>
  <c r="FF79" i="80" s="1"/>
  <c r="CS77" i="79"/>
  <c r="CS79" i="79" s="1"/>
  <c r="AG77" i="80"/>
  <c r="AG79" i="80" s="1"/>
  <c r="BE77" i="80"/>
  <c r="BE79" i="80" s="1"/>
  <c r="BF77" i="80"/>
  <c r="BF79" i="80" s="1"/>
  <c r="X235" i="80"/>
  <c r="X84" i="80" s="1"/>
  <c r="EO77" i="80"/>
  <c r="EO79" i="80" s="1"/>
  <c r="BN431" i="80"/>
  <c r="EP77" i="80"/>
  <c r="EP79" i="80" s="1"/>
  <c r="AH77" i="80"/>
  <c r="AH79" i="80" s="1"/>
  <c r="CD77" i="80"/>
  <c r="CD79" i="80" s="1"/>
  <c r="CK77" i="80"/>
  <c r="CK79" i="80" s="1"/>
  <c r="AN235" i="79"/>
  <c r="AN84" i="79" s="1"/>
  <c r="CL77" i="80"/>
  <c r="CL79" i="80" s="1"/>
  <c r="CC77" i="80"/>
  <c r="CC79" i="80" s="1"/>
  <c r="FD133" i="79"/>
  <c r="DY431" i="80"/>
  <c r="BE77" i="79"/>
  <c r="BE79" i="79" s="1"/>
  <c r="BL235" i="79"/>
  <c r="BL84" i="79" s="1"/>
  <c r="DY77" i="80"/>
  <c r="DY79" i="80" s="1"/>
  <c r="BF77" i="79"/>
  <c r="BF79" i="79" s="1"/>
  <c r="DZ77" i="80"/>
  <c r="DZ79" i="80" s="1"/>
  <c r="DA77" i="79"/>
  <c r="DA79" i="79" s="1"/>
  <c r="DB77" i="79"/>
  <c r="DB79" i="79" s="1"/>
  <c r="FM77" i="80"/>
  <c r="FM79" i="80" s="1"/>
  <c r="AE78" i="84"/>
  <c r="AE79" i="84" s="1"/>
  <c r="CC77" i="79"/>
  <c r="CC79" i="79" s="1"/>
  <c r="BN77" i="80"/>
  <c r="BN79" i="80" s="1"/>
  <c r="AH431" i="80"/>
  <c r="BN77" i="79"/>
  <c r="BN79" i="79" s="1"/>
  <c r="DA77" i="80"/>
  <c r="DA79" i="80" s="1"/>
  <c r="CT77" i="80"/>
  <c r="CT79" i="80" s="1"/>
  <c r="BU77" i="79"/>
  <c r="BU79" i="79" s="1"/>
  <c r="EG77" i="79"/>
  <c r="EG79" i="79" s="1"/>
  <c r="AX77" i="79"/>
  <c r="AX79" i="79" s="1"/>
  <c r="FN77" i="79"/>
  <c r="FN79" i="79" s="1"/>
  <c r="BV77" i="80"/>
  <c r="BV79" i="80" s="1"/>
  <c r="EW77" i="79"/>
  <c r="EW79" i="79" s="1"/>
  <c r="DH235" i="79"/>
  <c r="DH84" i="79" s="1"/>
  <c r="DR77" i="80"/>
  <c r="DR79" i="80" s="1"/>
  <c r="EH77" i="79"/>
  <c r="EH79" i="79" s="1"/>
  <c r="EO77" i="79"/>
  <c r="EO79" i="79" s="1"/>
  <c r="EX77" i="79"/>
  <c r="EX79" i="79" s="1"/>
  <c r="DH235" i="80"/>
  <c r="DH237" i="80" s="1"/>
  <c r="DH260" i="80" s="1"/>
  <c r="DH322" i="80" s="1"/>
  <c r="Q77" i="80"/>
  <c r="Q79" i="80" s="1"/>
  <c r="EP77" i="79"/>
  <c r="EP79" i="79" s="1"/>
  <c r="FN77" i="80"/>
  <c r="FN79" i="80" s="1"/>
  <c r="R79" i="79"/>
  <c r="BV79" i="79"/>
  <c r="DY77" i="79"/>
  <c r="DY79" i="79" s="1"/>
  <c r="DB77" i="80"/>
  <c r="DB79" i="80" s="1"/>
  <c r="BM77" i="80"/>
  <c r="BM79" i="80" s="1"/>
  <c r="AO77" i="79"/>
  <c r="AO79" i="79" s="1"/>
  <c r="EG77" i="80"/>
  <c r="EG79" i="80" s="1"/>
  <c r="FE77" i="79"/>
  <c r="FE79" i="79" s="1"/>
  <c r="DZ77" i="79"/>
  <c r="DZ79" i="79" s="1"/>
  <c r="AW77" i="80"/>
  <c r="AW79" i="80" s="1"/>
  <c r="AP77" i="79"/>
  <c r="AP79" i="79" s="1"/>
  <c r="EH77" i="80"/>
  <c r="EH79" i="80" s="1"/>
  <c r="BD235" i="80"/>
  <c r="BD84" i="80" s="1"/>
  <c r="AV235" i="80"/>
  <c r="AV84" i="80" s="1"/>
  <c r="FF77" i="79"/>
  <c r="FF79" i="79" s="1"/>
  <c r="DQ77" i="79"/>
  <c r="DQ79" i="79" s="1"/>
  <c r="CD77" i="79"/>
  <c r="CD79" i="79" s="1"/>
  <c r="AX77" i="80"/>
  <c r="AX79" i="80" s="1"/>
  <c r="AO77" i="80"/>
  <c r="AO79" i="80" s="1"/>
  <c r="CK77" i="79"/>
  <c r="CK79" i="79" s="1"/>
  <c r="DR77" i="79"/>
  <c r="DR79" i="79" s="1"/>
  <c r="Y77" i="79"/>
  <c r="Y79" i="79" s="1"/>
  <c r="Q77" i="79"/>
  <c r="Q79" i="79" s="1"/>
  <c r="AP77" i="80"/>
  <c r="AP79" i="80" s="1"/>
  <c r="DI77" i="79"/>
  <c r="DI79" i="79" s="1"/>
  <c r="BD235" i="79"/>
  <c r="BD237" i="79" s="1"/>
  <c r="BD260" i="79" s="1"/>
  <c r="BD322" i="79" s="1"/>
  <c r="R79" i="80"/>
  <c r="CL77" i="79"/>
  <c r="CL79" i="79" s="1"/>
  <c r="BM77" i="79"/>
  <c r="BM79" i="79" s="1"/>
  <c r="Z77" i="79"/>
  <c r="Z79" i="79" s="1"/>
  <c r="AW77" i="79"/>
  <c r="AW79" i="79" s="1"/>
  <c r="FM77" i="79"/>
  <c r="FM79" i="79" s="1"/>
  <c r="BU77" i="80"/>
  <c r="BU79" i="80" s="1"/>
  <c r="DJ77" i="79"/>
  <c r="DJ79" i="79" s="1"/>
  <c r="EH431" i="79"/>
  <c r="FL133" i="80"/>
  <c r="FL235" i="79"/>
  <c r="FL237" i="79" s="1"/>
  <c r="FL260" i="79" s="1"/>
  <c r="FL322" i="79" s="1"/>
  <c r="EN235" i="80"/>
  <c r="EN84" i="80" s="1"/>
  <c r="AV133" i="79"/>
  <c r="P235" i="80"/>
  <c r="P237" i="80" s="1"/>
  <c r="P260" i="80" s="1"/>
  <c r="P322" i="80" s="1"/>
  <c r="CZ133" i="80"/>
  <c r="X133" i="79"/>
  <c r="DX235" i="79"/>
  <c r="DX84" i="79" s="1"/>
  <c r="EN133" i="79"/>
  <c r="AO431" i="79"/>
  <c r="DP235" i="79"/>
  <c r="DP84" i="79" s="1"/>
  <c r="CJ235" i="80"/>
  <c r="CJ237" i="80" s="1"/>
  <c r="CJ260" i="80" s="1"/>
  <c r="CJ322" i="80" s="1"/>
  <c r="BD133" i="80"/>
  <c r="DP235" i="80"/>
  <c r="DP237" i="80" s="1"/>
  <c r="DP260" i="80" s="1"/>
  <c r="DP322" i="80" s="1"/>
  <c r="CZ133" i="79"/>
  <c r="AX431" i="79"/>
  <c r="AN235" i="80"/>
  <c r="AN237" i="80" s="1"/>
  <c r="AN260" i="80" s="1"/>
  <c r="AN322" i="80" s="1"/>
  <c r="EV133" i="80"/>
  <c r="EF235" i="79"/>
  <c r="EF237" i="79" s="1"/>
  <c r="EF260" i="79" s="1"/>
  <c r="EF322" i="79" s="1"/>
  <c r="BT133" i="80"/>
  <c r="DI431" i="79"/>
  <c r="FD235" i="80"/>
  <c r="FD237" i="80" s="1"/>
  <c r="FD260" i="80" s="1"/>
  <c r="FD322" i="80" s="1"/>
  <c r="CJ133" i="80"/>
  <c r="DH133" i="80"/>
  <c r="AV84" i="79"/>
  <c r="EN133" i="80"/>
  <c r="EV133" i="79"/>
  <c r="EO431" i="80"/>
  <c r="EV235" i="80"/>
  <c r="EV84" i="80" s="1"/>
  <c r="EO431" i="79"/>
  <c r="I100" i="26"/>
  <c r="I237" i="85"/>
  <c r="EX428" i="80"/>
  <c r="EX430" i="80" s="1"/>
  <c r="EX414" i="80"/>
  <c r="EX415" i="80" s="1"/>
  <c r="EX451" i="80" s="1"/>
  <c r="CL428" i="80"/>
  <c r="CL430" i="80" s="1"/>
  <c r="CL414" i="80"/>
  <c r="CL415" i="80" s="1"/>
  <c r="CL451" i="80" s="1"/>
  <c r="AF133" i="79"/>
  <c r="DJ431" i="79"/>
  <c r="DB431" i="79"/>
  <c r="EG431" i="80"/>
  <c r="P133" i="80"/>
  <c r="DP133" i="79"/>
  <c r="DI451" i="79"/>
  <c r="DG415" i="79"/>
  <c r="EW431" i="79"/>
  <c r="DR428" i="80"/>
  <c r="DR430" i="80" s="1"/>
  <c r="DR431" i="80" s="1"/>
  <c r="DR414" i="80"/>
  <c r="DR415" i="80" s="1"/>
  <c r="DR451" i="80" s="1"/>
  <c r="AG431" i="79"/>
  <c r="AH428" i="79"/>
  <c r="AH430" i="79" s="1"/>
  <c r="AH431" i="79" s="1"/>
  <c r="AH414" i="79"/>
  <c r="AH415" i="79" s="1"/>
  <c r="AH451" i="79" s="1"/>
  <c r="I84" i="207"/>
  <c r="I135" i="207" s="1"/>
  <c r="I161" i="207" s="1"/>
  <c r="I84" i="203"/>
  <c r="I135" i="203" s="1"/>
  <c r="I161" i="203" s="1"/>
  <c r="I84" i="206"/>
  <c r="I135" i="206" s="1"/>
  <c r="I161" i="206" s="1"/>
  <c r="CC451" i="80"/>
  <c r="FN428" i="80"/>
  <c r="FN430" i="80" s="1"/>
  <c r="FN431" i="80" s="1"/>
  <c r="FN414" i="80"/>
  <c r="FN415" i="80" s="1"/>
  <c r="FN451" i="80" s="1"/>
  <c r="BE451" i="79"/>
  <c r="CB133" i="80"/>
  <c r="FE431" i="79"/>
  <c r="CK451" i="79"/>
  <c r="CI415" i="79"/>
  <c r="CL431" i="79"/>
  <c r="AV133" i="80"/>
  <c r="BU451" i="80"/>
  <c r="DY431" i="79"/>
  <c r="DQ431" i="80"/>
  <c r="DP133" i="80"/>
  <c r="Z428" i="80"/>
  <c r="Z430" i="80" s="1"/>
  <c r="Z414" i="80"/>
  <c r="Z415" i="80" s="1"/>
  <c r="Z451" i="80" s="1"/>
  <c r="AO451" i="79"/>
  <c r="FE451" i="79"/>
  <c r="FC415" i="79"/>
  <c r="DY451" i="80"/>
  <c r="X133" i="80"/>
  <c r="Z428" i="79"/>
  <c r="Z430" i="79" s="1"/>
  <c r="Z414" i="79"/>
  <c r="Z415" i="79" s="1"/>
  <c r="Z451" i="79" s="1"/>
  <c r="BV428" i="80"/>
  <c r="BV430" i="80" s="1"/>
  <c r="BV414" i="80"/>
  <c r="BV415" i="80" s="1"/>
  <c r="BV451" i="80" s="1"/>
  <c r="DQ451" i="79"/>
  <c r="EH428" i="80"/>
  <c r="EH430" i="80" s="1"/>
  <c r="EH431" i="80" s="1"/>
  <c r="EH414" i="80"/>
  <c r="EH415" i="80" s="1"/>
  <c r="EH451" i="80" s="1"/>
  <c r="EW451" i="79"/>
  <c r="CD428" i="79"/>
  <c r="CD430" i="79" s="1"/>
  <c r="CD414" i="79"/>
  <c r="CD415" i="79" s="1"/>
  <c r="CD451" i="79" s="1"/>
  <c r="AW451" i="80"/>
  <c r="FM431" i="79"/>
  <c r="BE431" i="80"/>
  <c r="CR235" i="79"/>
  <c r="CK431" i="79"/>
  <c r="CR133" i="80"/>
  <c r="CS451" i="80"/>
  <c r="AG451" i="80"/>
  <c r="AE415" i="80"/>
  <c r="BS428" i="80"/>
  <c r="BS430" i="80" s="1"/>
  <c r="BT431" i="80" s="1"/>
  <c r="DQ451" i="80"/>
  <c r="CC451" i="79"/>
  <c r="DY451" i="79"/>
  <c r="DX133" i="80"/>
  <c r="EW451" i="80"/>
  <c r="FM451" i="80"/>
  <c r="BT235" i="80"/>
  <c r="AF237" i="80"/>
  <c r="AF260" i="80" s="1"/>
  <c r="AF322" i="80" s="1"/>
  <c r="AF84" i="80"/>
  <c r="AF135" i="80" s="1"/>
  <c r="AF161" i="80" s="1"/>
  <c r="AF167" i="80" s="1"/>
  <c r="AF325" i="80" s="1"/>
  <c r="DR428" i="79"/>
  <c r="DR430" i="79" s="1"/>
  <c r="DR414" i="79"/>
  <c r="DR415" i="79" s="1"/>
  <c r="DR451" i="79" s="1"/>
  <c r="Y451" i="80"/>
  <c r="F19" i="7"/>
  <c r="J328" i="85" s="1"/>
  <c r="J283" i="85"/>
  <c r="DO428" i="79"/>
  <c r="DO430" i="79" s="1"/>
  <c r="DP431" i="79" s="1"/>
  <c r="AP428" i="80"/>
  <c r="AP430" i="80" s="1"/>
  <c r="AP414" i="80"/>
  <c r="AP415" i="80" s="1"/>
  <c r="AP451" i="80" s="1"/>
  <c r="FF431" i="79"/>
  <c r="BL133" i="79"/>
  <c r="BE451" i="80"/>
  <c r="X235" i="79"/>
  <c r="EG431" i="79"/>
  <c r="CC431" i="80"/>
  <c r="DB428" i="80"/>
  <c r="DB430" i="80" s="1"/>
  <c r="DB431" i="80" s="1"/>
  <c r="DB414" i="80"/>
  <c r="DB415" i="80" s="1"/>
  <c r="DB451" i="80" s="1"/>
  <c r="BE431" i="79"/>
  <c r="AM428" i="80"/>
  <c r="AM430" i="80" s="1"/>
  <c r="AN431" i="80" s="1"/>
  <c r="CJ235" i="79"/>
  <c r="FF414" i="80"/>
  <c r="FF415" i="80" s="1"/>
  <c r="FF451" i="80" s="1"/>
  <c r="FF428" i="80"/>
  <c r="FF430" i="80" s="1"/>
  <c r="FF431" i="80" s="1"/>
  <c r="AG431" i="80"/>
  <c r="BD133" i="79"/>
  <c r="EP428" i="80"/>
  <c r="EP430" i="80" s="1"/>
  <c r="EP431" i="80" s="1"/>
  <c r="EP414" i="80"/>
  <c r="EP415" i="80" s="1"/>
  <c r="EP451" i="80" s="1"/>
  <c r="EF133" i="79"/>
  <c r="BM451" i="80"/>
  <c r="BK415" i="80"/>
  <c r="DJ428" i="80"/>
  <c r="DJ430" i="80" s="1"/>
  <c r="DJ414" i="80"/>
  <c r="DJ415" i="80" s="1"/>
  <c r="DJ451" i="80" s="1"/>
  <c r="EF237" i="80"/>
  <c r="EF260" i="80" s="1"/>
  <c r="EF322" i="80" s="1"/>
  <c r="EF84" i="80"/>
  <c r="EF135" i="80" s="1"/>
  <c r="EF161" i="80" s="1"/>
  <c r="EF167" i="80" s="1"/>
  <c r="EF325" i="80" s="1"/>
  <c r="W428" i="80"/>
  <c r="W430" i="80" s="1"/>
  <c r="X431" i="80" s="1"/>
  <c r="Y451" i="79"/>
  <c r="FN428" i="79"/>
  <c r="FN430" i="79" s="1"/>
  <c r="FN431" i="79" s="1"/>
  <c r="FN414" i="79"/>
  <c r="FN415" i="79" s="1"/>
  <c r="FN451" i="79" s="1"/>
  <c r="J100" i="26"/>
  <c r="J237" i="85"/>
  <c r="AW431" i="80"/>
  <c r="BL84" i="80"/>
  <c r="BL237" i="80"/>
  <c r="BL260" i="80" s="1"/>
  <c r="BL322" i="80" s="1"/>
  <c r="EG451" i="79"/>
  <c r="EE415" i="79"/>
  <c r="DA451" i="79"/>
  <c r="CY415" i="79"/>
  <c r="CZ235" i="79"/>
  <c r="EP428" i="79"/>
  <c r="EP430" i="79" s="1"/>
  <c r="EP431" i="79" s="1"/>
  <c r="EP414" i="79"/>
  <c r="EP415" i="79" s="1"/>
  <c r="EP451" i="79" s="1"/>
  <c r="P133" i="79"/>
  <c r="CS431" i="80"/>
  <c r="AN133" i="80"/>
  <c r="FD235" i="79"/>
  <c r="DZ428" i="80"/>
  <c r="DZ430" i="80" s="1"/>
  <c r="DZ431" i="80" s="1"/>
  <c r="DZ414" i="80"/>
  <c r="DZ415" i="80" s="1"/>
  <c r="DZ451" i="80" s="1"/>
  <c r="BF428" i="79"/>
  <c r="BF430" i="79" s="1"/>
  <c r="BF431" i="79" s="1"/>
  <c r="BF414" i="79"/>
  <c r="BF415" i="79" s="1"/>
  <c r="BF451" i="79" s="1"/>
  <c r="AX428" i="80"/>
  <c r="AX430" i="80" s="1"/>
  <c r="AX431" i="80" s="1"/>
  <c r="AX414" i="80"/>
  <c r="AX415" i="80" s="1"/>
  <c r="AX451" i="80" s="1"/>
  <c r="E19" i="7"/>
  <c r="I328" i="85" s="1"/>
  <c r="I283" i="85"/>
  <c r="AG451" i="79"/>
  <c r="CT428" i="80"/>
  <c r="CT430" i="80" s="1"/>
  <c r="CT431" i="80" s="1"/>
  <c r="CT414" i="80"/>
  <c r="CT415" i="80" s="1"/>
  <c r="CT451" i="80" s="1"/>
  <c r="R428" i="80"/>
  <c r="R430" i="80" s="1"/>
  <c r="R414" i="80"/>
  <c r="R415" i="80" s="1"/>
  <c r="R451" i="80" s="1"/>
  <c r="AF235" i="79"/>
  <c r="EG451" i="80"/>
  <c r="EN237" i="79"/>
  <c r="EN260" i="79" s="1"/>
  <c r="EN322" i="79" s="1"/>
  <c r="EN84" i="79"/>
  <c r="FM451" i="79"/>
  <c r="DH133" i="79"/>
  <c r="CS451" i="79"/>
  <c r="FM431" i="80"/>
  <c r="O428" i="80"/>
  <c r="O430" i="80" s="1"/>
  <c r="P431" i="80" s="1"/>
  <c r="BV428" i="79"/>
  <c r="BV430" i="79" s="1"/>
  <c r="BV414" i="79"/>
  <c r="BV415" i="79" s="1"/>
  <c r="BV451" i="79" s="1"/>
  <c r="BM431" i="80"/>
  <c r="CB235" i="79"/>
  <c r="FL235" i="80"/>
  <c r="CK451" i="80"/>
  <c r="W428" i="79"/>
  <c r="W430" i="79" s="1"/>
  <c r="X431" i="79" s="1"/>
  <c r="Q451" i="79"/>
  <c r="BS428" i="79"/>
  <c r="BS430" i="79" s="1"/>
  <c r="BT431" i="79" s="1"/>
  <c r="FE451" i="80"/>
  <c r="DA431" i="80"/>
  <c r="EO451" i="80"/>
  <c r="BF428" i="80"/>
  <c r="BF430" i="80" s="1"/>
  <c r="BF431" i="80" s="1"/>
  <c r="BF414" i="80"/>
  <c r="BF415" i="80" s="1"/>
  <c r="BF451" i="80" s="1"/>
  <c r="DI451" i="80"/>
  <c r="D19" i="7"/>
  <c r="H328" i="85" s="1"/>
  <c r="H283" i="85"/>
  <c r="DA431" i="79"/>
  <c r="EX414" i="79"/>
  <c r="EX415" i="79" s="1"/>
  <c r="EX451" i="79" s="1"/>
  <c r="EX428" i="79"/>
  <c r="EX430" i="79" s="1"/>
  <c r="EX431" i="79" s="1"/>
  <c r="AO451" i="80"/>
  <c r="BN428" i="79"/>
  <c r="BN430" i="79" s="1"/>
  <c r="BN431" i="79" s="1"/>
  <c r="BN414" i="79"/>
  <c r="BN415" i="79" s="1"/>
  <c r="BN451" i="79" s="1"/>
  <c r="CR235" i="80"/>
  <c r="H100" i="26"/>
  <c r="H237" i="85"/>
  <c r="AW451" i="79"/>
  <c r="AU415" i="79"/>
  <c r="AP428" i="79"/>
  <c r="AP430" i="79" s="1"/>
  <c r="AP431" i="79" s="1"/>
  <c r="AP414" i="79"/>
  <c r="AP415" i="79" s="1"/>
  <c r="AP451" i="79" s="1"/>
  <c r="DX133" i="79"/>
  <c r="BM431" i="79"/>
  <c r="CD428" i="80"/>
  <c r="CD430" i="80" s="1"/>
  <c r="CD431" i="80" s="1"/>
  <c r="CD414" i="80"/>
  <c r="CD415" i="80" s="1"/>
  <c r="CD451" i="80" s="1"/>
  <c r="R428" i="79"/>
  <c r="R430" i="79" s="1"/>
  <c r="R414" i="79"/>
  <c r="R415" i="79" s="1"/>
  <c r="R451" i="79" s="1"/>
  <c r="EO451" i="79"/>
  <c r="Q451" i="80"/>
  <c r="CB133" i="79"/>
  <c r="CI428" i="80"/>
  <c r="CI430" i="80" s="1"/>
  <c r="CJ431" i="80" s="1"/>
  <c r="BM451" i="79"/>
  <c r="CQ428" i="79"/>
  <c r="CQ430" i="79" s="1"/>
  <c r="CR431" i="79" s="1"/>
  <c r="CT428" i="79"/>
  <c r="CT430" i="79" s="1"/>
  <c r="CT414" i="79"/>
  <c r="CT415" i="79" s="1"/>
  <c r="CT451" i="79" s="1"/>
  <c r="FD133" i="80"/>
  <c r="O428" i="79"/>
  <c r="O430" i="79" s="1"/>
  <c r="P431" i="79" s="1"/>
  <c r="BU451" i="79"/>
  <c r="FE431" i="80"/>
  <c r="CZ235" i="80"/>
  <c r="AN133" i="79"/>
  <c r="DA451" i="80"/>
  <c r="DX235" i="80"/>
  <c r="DG428" i="80"/>
  <c r="DG430" i="80" s="1"/>
  <c r="DH431" i="80" s="1"/>
  <c r="FL133" i="79"/>
  <c r="CB235" i="80"/>
  <c r="EU428" i="80"/>
  <c r="EU430" i="80" s="1"/>
  <c r="EV431" i="80" s="1"/>
  <c r="P235" i="79"/>
  <c r="H84" i="207"/>
  <c r="H135" i="207" s="1"/>
  <c r="H161" i="207" s="1"/>
  <c r="H84" i="206"/>
  <c r="H135" i="206" s="1"/>
  <c r="H161" i="206" s="1"/>
  <c r="H84" i="203"/>
  <c r="H135" i="203" s="1"/>
  <c r="H161" i="203" s="1"/>
  <c r="AW431" i="79"/>
  <c r="CA428" i="79"/>
  <c r="CA430" i="79" s="1"/>
  <c r="CB431" i="79" s="1"/>
  <c r="DZ428" i="79"/>
  <c r="DZ430" i="79" s="1"/>
  <c r="DZ431" i="79" s="1"/>
  <c r="DZ414" i="79"/>
  <c r="DZ415" i="79" s="1"/>
  <c r="DZ451" i="79" s="1"/>
  <c r="BT237" i="79" l="1"/>
  <c r="BT260" i="79" s="1"/>
  <c r="BT322" i="79" s="1"/>
  <c r="BL135" i="80"/>
  <c r="BL161" i="80" s="1"/>
  <c r="BL167" i="80" s="1"/>
  <c r="BL325" i="80" s="1"/>
  <c r="X237" i="80"/>
  <c r="X260" i="80" s="1"/>
  <c r="X322" i="80" s="1"/>
  <c r="BL237" i="79"/>
  <c r="BL260" i="79" s="1"/>
  <c r="BL322" i="79" s="1"/>
  <c r="DP84" i="80"/>
  <c r="BD84" i="79"/>
  <c r="BD135" i="79" s="1"/>
  <c r="BD161" i="79" s="1"/>
  <c r="BD167" i="79" s="1"/>
  <c r="BD325" i="79" s="1"/>
  <c r="BD334" i="79" s="1"/>
  <c r="BD339" i="79" s="1"/>
  <c r="EE415" i="80"/>
  <c r="AM415" i="80"/>
  <c r="EV237" i="79"/>
  <c r="EV260" i="79" s="1"/>
  <c r="EV322" i="79" s="1"/>
  <c r="EN135" i="79"/>
  <c r="EN161" i="79" s="1"/>
  <c r="EN167" i="79" s="1"/>
  <c r="EN325" i="79" s="1"/>
  <c r="EN334" i="79" s="1"/>
  <c r="EN339" i="79" s="1"/>
  <c r="CI415" i="80"/>
  <c r="AV237" i="80"/>
  <c r="AV260" i="80" s="1"/>
  <c r="AV322" i="80" s="1"/>
  <c r="CY431" i="79"/>
  <c r="J84" i="207"/>
  <c r="J135" i="207" s="1"/>
  <c r="J161" i="207" s="1"/>
  <c r="J84" i="206"/>
  <c r="J135" i="206" s="1"/>
  <c r="J161" i="206" s="1"/>
  <c r="J84" i="203"/>
  <c r="J135" i="203" s="1"/>
  <c r="J161" i="203" s="1"/>
  <c r="AN237" i="79"/>
  <c r="AN260" i="79" s="1"/>
  <c r="AN322" i="79" s="1"/>
  <c r="FK415" i="79"/>
  <c r="AE431" i="80"/>
  <c r="BT135" i="79"/>
  <c r="BT161" i="79" s="1"/>
  <c r="BT167" i="79" s="1"/>
  <c r="BT325" i="79" s="1"/>
  <c r="BT334" i="79" s="1"/>
  <c r="BT339" i="79" s="1"/>
  <c r="EV237" i="80"/>
  <c r="EV260" i="80" s="1"/>
  <c r="EV322" i="80" s="1"/>
  <c r="EM431" i="80"/>
  <c r="DO415" i="80"/>
  <c r="EV135" i="79"/>
  <c r="EV161" i="79" s="1"/>
  <c r="EV167" i="79" s="1"/>
  <c r="EV325" i="79" s="1"/>
  <c r="AV135" i="79"/>
  <c r="AV161" i="79" s="1"/>
  <c r="AV167" i="79" s="1"/>
  <c r="AV325" i="79" s="1"/>
  <c r="AV334" i="79" s="1"/>
  <c r="AV339" i="79" s="1"/>
  <c r="DW431" i="79"/>
  <c r="EV135" i="80"/>
  <c r="EV161" i="80" s="1"/>
  <c r="EV167" i="80" s="1"/>
  <c r="EV325" i="80" s="1"/>
  <c r="EE431" i="80"/>
  <c r="BS415" i="79"/>
  <c r="P84" i="80"/>
  <c r="P135" i="80" s="1"/>
  <c r="P161" i="80" s="1"/>
  <c r="P167" i="80" s="1"/>
  <c r="P325" i="80" s="1"/>
  <c r="P334" i="80" s="1"/>
  <c r="P339" i="80" s="1"/>
  <c r="BK431" i="80"/>
  <c r="EU415" i="80"/>
  <c r="EN135" i="80"/>
  <c r="EN161" i="80" s="1"/>
  <c r="EN167" i="80" s="1"/>
  <c r="EN325" i="80" s="1"/>
  <c r="BK415" i="79"/>
  <c r="CY415" i="80"/>
  <c r="CJ84" i="80"/>
  <c r="CJ135" i="80" s="1"/>
  <c r="CJ161" i="80" s="1"/>
  <c r="CJ167" i="80" s="1"/>
  <c r="CJ325" i="80" s="1"/>
  <c r="CJ334" i="80" s="1"/>
  <c r="CJ339" i="80" s="1"/>
  <c r="CQ431" i="80"/>
  <c r="EM415" i="79"/>
  <c r="DW431" i="80"/>
  <c r="AE431" i="79"/>
  <c r="AM431" i="79"/>
  <c r="DH84" i="80"/>
  <c r="DH135" i="80" s="1"/>
  <c r="DH161" i="80" s="1"/>
  <c r="DH167" i="80" s="1"/>
  <c r="DH325" i="80" s="1"/>
  <c r="DH334" i="80" s="1"/>
  <c r="DH339" i="80" s="1"/>
  <c r="EN237" i="80"/>
  <c r="EN260" i="80" s="1"/>
  <c r="EN322" i="80" s="1"/>
  <c r="FL84" i="79"/>
  <c r="FL135" i="79" s="1"/>
  <c r="FL161" i="79" s="1"/>
  <c r="FL167" i="79" s="1"/>
  <c r="FL325" i="79" s="1"/>
  <c r="FL334" i="79" s="1"/>
  <c r="FL339" i="79" s="1"/>
  <c r="FC431" i="79"/>
  <c r="DG431" i="79"/>
  <c r="BC431" i="80"/>
  <c r="AU431" i="79"/>
  <c r="AN84" i="80"/>
  <c r="AN135" i="80" s="1"/>
  <c r="AN161" i="80" s="1"/>
  <c r="AN167" i="80" s="1"/>
  <c r="AN325" i="80" s="1"/>
  <c r="AN334" i="80" s="1"/>
  <c r="AN339" i="80" s="1"/>
  <c r="BD237" i="80"/>
  <c r="BD260" i="80" s="1"/>
  <c r="BD322" i="80" s="1"/>
  <c r="DH237" i="79"/>
  <c r="DH260" i="79" s="1"/>
  <c r="DH322" i="79" s="1"/>
  <c r="R431" i="80"/>
  <c r="W415" i="79"/>
  <c r="DX237" i="79"/>
  <c r="DX260" i="79" s="1"/>
  <c r="DX322" i="79" s="1"/>
  <c r="EE431" i="79"/>
  <c r="BD135" i="80"/>
  <c r="BD161" i="80" s="1"/>
  <c r="BD167" i="80" s="1"/>
  <c r="BD325" i="80" s="1"/>
  <c r="CT431" i="79"/>
  <c r="BV431" i="79"/>
  <c r="DR431" i="79"/>
  <c r="FK431" i="80"/>
  <c r="CA431" i="80"/>
  <c r="BL334" i="80"/>
  <c r="BL339" i="80" s="1"/>
  <c r="DG415" i="80"/>
  <c r="X135" i="80"/>
  <c r="X161" i="80" s="1"/>
  <c r="X167" i="80" s="1"/>
  <c r="X325" i="80" s="1"/>
  <c r="X334" i="80" s="1"/>
  <c r="X339" i="80" s="1"/>
  <c r="DP237" i="79"/>
  <c r="DP260" i="79" s="1"/>
  <c r="DP322" i="79" s="1"/>
  <c r="AU431" i="80"/>
  <c r="O415" i="79"/>
  <c r="CI431" i="79"/>
  <c r="EF84" i="79"/>
  <c r="EF135" i="79" s="1"/>
  <c r="EF161" i="79" s="1"/>
  <c r="EF167" i="79" s="1"/>
  <c r="EF325" i="79" s="1"/>
  <c r="EF334" i="79" s="1"/>
  <c r="EF339" i="79" s="1"/>
  <c r="Z431" i="80"/>
  <c r="AF334" i="80"/>
  <c r="AF339" i="80" s="1"/>
  <c r="CY431" i="80"/>
  <c r="EF334" i="80"/>
  <c r="EF339" i="80" s="1"/>
  <c r="CA415" i="79"/>
  <c r="FC431" i="80"/>
  <c r="FK431" i="79"/>
  <c r="DO431" i="80"/>
  <c r="EM415" i="80"/>
  <c r="BU431" i="80"/>
  <c r="BC431" i="79"/>
  <c r="W415" i="80"/>
  <c r="FD84" i="80"/>
  <c r="FD135" i="80" s="1"/>
  <c r="FD161" i="80" s="1"/>
  <c r="FD167" i="80" s="1"/>
  <c r="FD325" i="80" s="1"/>
  <c r="FD334" i="80" s="1"/>
  <c r="FD339" i="80" s="1"/>
  <c r="AU415" i="80"/>
  <c r="DW415" i="80"/>
  <c r="EU431" i="79"/>
  <c r="EM431" i="79"/>
  <c r="O415" i="80"/>
  <c r="BK431" i="79"/>
  <c r="CQ415" i="79"/>
  <c r="AE415" i="79"/>
  <c r="DQ431" i="79"/>
  <c r="CQ415" i="80"/>
  <c r="DA152" i="80"/>
  <c r="DA156" i="80" s="1"/>
  <c r="DA158" i="80" s="1"/>
  <c r="DA274" i="80"/>
  <c r="DA281" i="80" s="1"/>
  <c r="DA283" i="80" s="1"/>
  <c r="DA328" i="80" s="1"/>
  <c r="DA131" i="80"/>
  <c r="DB131" i="80" s="1"/>
  <c r="DA127" i="80"/>
  <c r="DB127" i="80" s="1"/>
  <c r="DA228" i="80"/>
  <c r="DB228" i="80" s="1"/>
  <c r="DA223" i="80"/>
  <c r="DA119" i="80"/>
  <c r="DB119" i="80" s="1"/>
  <c r="Q119" i="80"/>
  <c r="R119" i="80" s="1"/>
  <c r="Q131" i="80"/>
  <c r="R131" i="80" s="1"/>
  <c r="Q274" i="80"/>
  <c r="Q281" i="80" s="1"/>
  <c r="Q283" i="80" s="1"/>
  <c r="Q328" i="80" s="1"/>
  <c r="Q127" i="80"/>
  <c r="R127" i="80" s="1"/>
  <c r="Q228" i="80"/>
  <c r="R228" i="80" s="1"/>
  <c r="Q152" i="80"/>
  <c r="Q156" i="80" s="1"/>
  <c r="Q158" i="80" s="1"/>
  <c r="Q223" i="80"/>
  <c r="E13" i="7"/>
  <c r="I260" i="85"/>
  <c r="CB84" i="80"/>
  <c r="CB135" i="80" s="1"/>
  <c r="CB161" i="80" s="1"/>
  <c r="CB167" i="80" s="1"/>
  <c r="CB325" i="80" s="1"/>
  <c r="CB237" i="80"/>
  <c r="CB260" i="80" s="1"/>
  <c r="CB322" i="80" s="1"/>
  <c r="BU131" i="79"/>
  <c r="BV131" i="79" s="1"/>
  <c r="BU223" i="79"/>
  <c r="BU274" i="79"/>
  <c r="BU281" i="79" s="1"/>
  <c r="BU283" i="79" s="1"/>
  <c r="BU328" i="79" s="1"/>
  <c r="BU152" i="79"/>
  <c r="BU156" i="79" s="1"/>
  <c r="BU158" i="79" s="1"/>
  <c r="BU228" i="79"/>
  <c r="BV228" i="79" s="1"/>
  <c r="BU119" i="79"/>
  <c r="BV119" i="79" s="1"/>
  <c r="BU127" i="79"/>
  <c r="BV127" i="79" s="1"/>
  <c r="Q152" i="79"/>
  <c r="Q156" i="79" s="1"/>
  <c r="Q158" i="79" s="1"/>
  <c r="Q274" i="79"/>
  <c r="Q281" i="79" s="1"/>
  <c r="Q283" i="79" s="1"/>
  <c r="Q328" i="79" s="1"/>
  <c r="Q131" i="79"/>
  <c r="R131" i="79" s="1"/>
  <c r="Q119" i="79"/>
  <c r="R119" i="79" s="1"/>
  <c r="Q223" i="79"/>
  <c r="Q127" i="79"/>
  <c r="R127" i="79" s="1"/>
  <c r="Q228" i="79"/>
  <c r="R228" i="79" s="1"/>
  <c r="DP135" i="80"/>
  <c r="DP161" i="80" s="1"/>
  <c r="DP167" i="80" s="1"/>
  <c r="DP325" i="80" s="1"/>
  <c r="DP334" i="80" s="1"/>
  <c r="DP339" i="80" s="1"/>
  <c r="EG228" i="80"/>
  <c r="EH228" i="80" s="1"/>
  <c r="EG223" i="80"/>
  <c r="EG152" i="80"/>
  <c r="EG156" i="80" s="1"/>
  <c r="EG158" i="80" s="1"/>
  <c r="EG131" i="80"/>
  <c r="EH131" i="80" s="1"/>
  <c r="EG119" i="80"/>
  <c r="EH119" i="80" s="1"/>
  <c r="EG274" i="80"/>
  <c r="EG281" i="80" s="1"/>
  <c r="EG283" i="80" s="1"/>
  <c r="EG328" i="80" s="1"/>
  <c r="EG127" i="80"/>
  <c r="EH127" i="80" s="1"/>
  <c r="DI431" i="80"/>
  <c r="Y431" i="79"/>
  <c r="FK415" i="80"/>
  <c r="CS131" i="80"/>
  <c r="CT131" i="80" s="1"/>
  <c r="CS274" i="80"/>
  <c r="CS281" i="80" s="1"/>
  <c r="CS283" i="80" s="1"/>
  <c r="CS328" i="80" s="1"/>
  <c r="CS223" i="80"/>
  <c r="CS152" i="80"/>
  <c r="CS156" i="80" s="1"/>
  <c r="CS158" i="80" s="1"/>
  <c r="CS127" i="80"/>
  <c r="CT127" i="80" s="1"/>
  <c r="CS228" i="80"/>
  <c r="CT228" i="80" s="1"/>
  <c r="CS119" i="80"/>
  <c r="CT119" i="80" s="1"/>
  <c r="AW228" i="80"/>
  <c r="AX228" i="80" s="1"/>
  <c r="AW119" i="80"/>
  <c r="AX119" i="80" s="1"/>
  <c r="AW274" i="80"/>
  <c r="AW281" i="80" s="1"/>
  <c r="AW283" i="80" s="1"/>
  <c r="AW328" i="80" s="1"/>
  <c r="AW152" i="80"/>
  <c r="AW156" i="80" s="1"/>
  <c r="AW158" i="80" s="1"/>
  <c r="AW127" i="80"/>
  <c r="AX127" i="80" s="1"/>
  <c r="AW131" i="80"/>
  <c r="AX131" i="80" s="1"/>
  <c r="AW223" i="80"/>
  <c r="EW127" i="79"/>
  <c r="EX127" i="79" s="1"/>
  <c r="EW152" i="79"/>
  <c r="EW156" i="79" s="1"/>
  <c r="EW158" i="79" s="1"/>
  <c r="EW131" i="79"/>
  <c r="EX131" i="79" s="1"/>
  <c r="EW223" i="79"/>
  <c r="EW274" i="79"/>
  <c r="EW281" i="79" s="1"/>
  <c r="EW283" i="79" s="1"/>
  <c r="EW328" i="79" s="1"/>
  <c r="EW228" i="79"/>
  <c r="EX228" i="79" s="1"/>
  <c r="EW119" i="79"/>
  <c r="EX119" i="79" s="1"/>
  <c r="FE223" i="79"/>
  <c r="FE228" i="79"/>
  <c r="FF228" i="79" s="1"/>
  <c r="FE119" i="79"/>
  <c r="FE274" i="79"/>
  <c r="FE152" i="79"/>
  <c r="FE127" i="79"/>
  <c r="FF127" i="79" s="1"/>
  <c r="FE131" i="79"/>
  <c r="FF131" i="79" s="1"/>
  <c r="EW431" i="80"/>
  <c r="D13" i="7"/>
  <c r="H260" i="85"/>
  <c r="CB84" i="79"/>
  <c r="CB135" i="79" s="1"/>
  <c r="CB161" i="79" s="1"/>
  <c r="CB167" i="79" s="1"/>
  <c r="CB325" i="79" s="1"/>
  <c r="CB237" i="79"/>
  <c r="CB260" i="79" s="1"/>
  <c r="CB322" i="79" s="1"/>
  <c r="Y274" i="79"/>
  <c r="Y281" i="79" s="1"/>
  <c r="Y283" i="79" s="1"/>
  <c r="Y328" i="79" s="1"/>
  <c r="Y223" i="79"/>
  <c r="Y127" i="79"/>
  <c r="Z127" i="79" s="1"/>
  <c r="Y152" i="79"/>
  <c r="Y156" i="79" s="1"/>
  <c r="Y158" i="79" s="1"/>
  <c r="Y228" i="79"/>
  <c r="Z228" i="79" s="1"/>
  <c r="Y131" i="79"/>
  <c r="Z131" i="79" s="1"/>
  <c r="Y119" i="79"/>
  <c r="BM228" i="79"/>
  <c r="BN228" i="79" s="1"/>
  <c r="BM127" i="79"/>
  <c r="BN127" i="79" s="1"/>
  <c r="BM152" i="79"/>
  <c r="BM156" i="79" s="1"/>
  <c r="BM158" i="79" s="1"/>
  <c r="BM274" i="79"/>
  <c r="BM281" i="79" s="1"/>
  <c r="BM283" i="79" s="1"/>
  <c r="BM328" i="79" s="1"/>
  <c r="BM223" i="79"/>
  <c r="BM119" i="79"/>
  <c r="BM131" i="79"/>
  <c r="BN131" i="79" s="1"/>
  <c r="EU415" i="79"/>
  <c r="I84" i="80"/>
  <c r="I135" i="80" s="1"/>
  <c r="I161" i="80" s="1"/>
  <c r="I167" i="80" s="1"/>
  <c r="I325" i="80" s="1"/>
  <c r="I334" i="80" s="1"/>
  <c r="H340" i="80" s="1"/>
  <c r="I84" i="85"/>
  <c r="K40" i="90" s="1"/>
  <c r="I84" i="79"/>
  <c r="I135" i="79" s="1"/>
  <c r="I161" i="79" s="1"/>
  <c r="I167" i="79" s="1"/>
  <c r="I325" i="79" s="1"/>
  <c r="I334" i="79" s="1"/>
  <c r="H340" i="79" s="1"/>
  <c r="I135" i="13"/>
  <c r="CZ84" i="80"/>
  <c r="CZ135" i="80" s="1"/>
  <c r="CZ161" i="80" s="1"/>
  <c r="CZ167" i="80" s="1"/>
  <c r="CZ325" i="80" s="1"/>
  <c r="CZ237" i="80"/>
  <c r="CZ260" i="80" s="1"/>
  <c r="CZ322" i="80" s="1"/>
  <c r="EO274" i="79"/>
  <c r="EO281" i="79" s="1"/>
  <c r="EO283" i="79" s="1"/>
  <c r="EO328" i="79" s="1"/>
  <c r="EO131" i="79"/>
  <c r="EP131" i="79" s="1"/>
  <c r="EO223" i="79"/>
  <c r="EO127" i="79"/>
  <c r="EP127" i="79" s="1"/>
  <c r="EO119" i="79"/>
  <c r="EO152" i="79"/>
  <c r="EO156" i="79" s="1"/>
  <c r="EO158" i="79" s="1"/>
  <c r="EO228" i="79"/>
  <c r="EP228" i="79" s="1"/>
  <c r="J84" i="79"/>
  <c r="J135" i="79" s="1"/>
  <c r="J161" i="79" s="1"/>
  <c r="J167" i="79" s="1"/>
  <c r="J325" i="79" s="1"/>
  <c r="J334" i="79" s="1"/>
  <c r="J84" i="80"/>
  <c r="J135" i="80" s="1"/>
  <c r="J161" i="80" s="1"/>
  <c r="J167" i="80" s="1"/>
  <c r="J325" i="80" s="1"/>
  <c r="J334" i="80" s="1"/>
  <c r="J84" i="85"/>
  <c r="L40" i="90" s="1"/>
  <c r="J135" i="13"/>
  <c r="AN135" i="79"/>
  <c r="AN161" i="79" s="1"/>
  <c r="AN167" i="79" s="1"/>
  <c r="AN325" i="79" s="1"/>
  <c r="AF237" i="79"/>
  <c r="AF260" i="79" s="1"/>
  <c r="AF322" i="79" s="1"/>
  <c r="AF84" i="79"/>
  <c r="AF135" i="79" s="1"/>
  <c r="AF161" i="79" s="1"/>
  <c r="AF167" i="79" s="1"/>
  <c r="AF325" i="79" s="1"/>
  <c r="EG152" i="79"/>
  <c r="EG131" i="79"/>
  <c r="EH131" i="79" s="1"/>
  <c r="EG274" i="79"/>
  <c r="EG127" i="79"/>
  <c r="EH127" i="79" s="1"/>
  <c r="EG223" i="79"/>
  <c r="EG119" i="79"/>
  <c r="EG228" i="79"/>
  <c r="EH228" i="79" s="1"/>
  <c r="X237" i="79"/>
  <c r="X260" i="79" s="1"/>
  <c r="X322" i="79" s="1"/>
  <c r="X84" i="79"/>
  <c r="X135" i="79" s="1"/>
  <c r="X161" i="79" s="1"/>
  <c r="X167" i="79" s="1"/>
  <c r="X325" i="79" s="1"/>
  <c r="FM119" i="80"/>
  <c r="FN119" i="80" s="1"/>
  <c r="FM274" i="80"/>
  <c r="FM281" i="80" s="1"/>
  <c r="FM283" i="80" s="1"/>
  <c r="FM328" i="80" s="1"/>
  <c r="FM127" i="80"/>
  <c r="FN127" i="80" s="1"/>
  <c r="FM228" i="80"/>
  <c r="FN228" i="80" s="1"/>
  <c r="FM223" i="80"/>
  <c r="FM131" i="80"/>
  <c r="FN131" i="80" s="1"/>
  <c r="FM152" i="80"/>
  <c r="FM156" i="80" s="1"/>
  <c r="FM158" i="80" s="1"/>
  <c r="DW415" i="79"/>
  <c r="DX135" i="79"/>
  <c r="DX161" i="79" s="1"/>
  <c r="DX167" i="79" s="1"/>
  <c r="DX325" i="79" s="1"/>
  <c r="BL135" i="79"/>
  <c r="BL161" i="79" s="1"/>
  <c r="BL167" i="79" s="1"/>
  <c r="BL325" i="79" s="1"/>
  <c r="BL334" i="79" s="1"/>
  <c r="BL339" i="79" s="1"/>
  <c r="CA415" i="80"/>
  <c r="AG127" i="80"/>
  <c r="AH127" i="80" s="1"/>
  <c r="AG228" i="80"/>
  <c r="AH228" i="80" s="1"/>
  <c r="AG131" i="80"/>
  <c r="AH131" i="80" s="1"/>
  <c r="AG223" i="80"/>
  <c r="AG152" i="80"/>
  <c r="AG119" i="80"/>
  <c r="AG274" i="80"/>
  <c r="CR84" i="80"/>
  <c r="CR135" i="80" s="1"/>
  <c r="CR161" i="80" s="1"/>
  <c r="CR167" i="80" s="1"/>
  <c r="CR325" i="80" s="1"/>
  <c r="CR237" i="80"/>
  <c r="CR260" i="80" s="1"/>
  <c r="CR322" i="80" s="1"/>
  <c r="CS274" i="79"/>
  <c r="CS281" i="79" s="1"/>
  <c r="CS283" i="79" s="1"/>
  <c r="CS328" i="79" s="1"/>
  <c r="CS223" i="79"/>
  <c r="CS152" i="79"/>
  <c r="CS156" i="79" s="1"/>
  <c r="CS158" i="79" s="1"/>
  <c r="CS127" i="79"/>
  <c r="CT127" i="79" s="1"/>
  <c r="CS228" i="79"/>
  <c r="CT228" i="79" s="1"/>
  <c r="CS119" i="79"/>
  <c r="CT119" i="79" s="1"/>
  <c r="CS131" i="79"/>
  <c r="CT131" i="79" s="1"/>
  <c r="DA228" i="79"/>
  <c r="DB228" i="79" s="1"/>
  <c r="DA127" i="79"/>
  <c r="DB127" i="79" s="1"/>
  <c r="DA223" i="79"/>
  <c r="DA274" i="79"/>
  <c r="DA131" i="79"/>
  <c r="DB131" i="79" s="1"/>
  <c r="DA119" i="79"/>
  <c r="DA152" i="79"/>
  <c r="BT237" i="80"/>
  <c r="BT260" i="80" s="1"/>
  <c r="BT322" i="80" s="1"/>
  <c r="BT84" i="80"/>
  <c r="BT135" i="80" s="1"/>
  <c r="BT161" i="80" s="1"/>
  <c r="BT167" i="80" s="1"/>
  <c r="BT325" i="80" s="1"/>
  <c r="CS431" i="79"/>
  <c r="CQ431" i="79" s="1"/>
  <c r="BU431" i="79"/>
  <c r="CC431" i="79"/>
  <c r="FC415" i="80"/>
  <c r="Y431" i="80"/>
  <c r="FD237" i="79"/>
  <c r="FD260" i="79" s="1"/>
  <c r="FD322" i="79" s="1"/>
  <c r="FD84" i="79"/>
  <c r="FD135" i="79" s="1"/>
  <c r="FD161" i="79" s="1"/>
  <c r="FD167" i="79" s="1"/>
  <c r="FD325" i="79" s="1"/>
  <c r="CJ237" i="79"/>
  <c r="CJ260" i="79" s="1"/>
  <c r="CJ322" i="79" s="1"/>
  <c r="CJ84" i="79"/>
  <c r="CJ135" i="79" s="1"/>
  <c r="CJ161" i="79" s="1"/>
  <c r="CJ167" i="79" s="1"/>
  <c r="CJ325" i="79" s="1"/>
  <c r="BC415" i="80"/>
  <c r="AP431" i="80"/>
  <c r="Y119" i="80"/>
  <c r="Z119" i="80" s="1"/>
  <c r="Y274" i="80"/>
  <c r="Y281" i="80" s="1"/>
  <c r="Y283" i="80" s="1"/>
  <c r="Y328" i="80" s="1"/>
  <c r="Y131" i="80"/>
  <c r="Z131" i="80" s="1"/>
  <c r="Y223" i="80"/>
  <c r="Y228" i="80"/>
  <c r="Z228" i="80" s="1"/>
  <c r="Y127" i="80"/>
  <c r="Z127" i="80" s="1"/>
  <c r="Y152" i="80"/>
  <c r="Y156" i="80" s="1"/>
  <c r="Y158" i="80" s="1"/>
  <c r="DY228" i="79"/>
  <c r="DZ228" i="79" s="1"/>
  <c r="DY127" i="79"/>
  <c r="DZ127" i="79" s="1"/>
  <c r="DY119" i="79"/>
  <c r="DZ119" i="79" s="1"/>
  <c r="DY274" i="79"/>
  <c r="DY281" i="79" s="1"/>
  <c r="DY283" i="79" s="1"/>
  <c r="DY328" i="79" s="1"/>
  <c r="DY152" i="79"/>
  <c r="DY156" i="79" s="1"/>
  <c r="DY158" i="79" s="1"/>
  <c r="DY223" i="79"/>
  <c r="DY131" i="79"/>
  <c r="DZ131" i="79" s="1"/>
  <c r="CD431" i="79"/>
  <c r="BV431" i="80"/>
  <c r="CK119" i="79"/>
  <c r="CK228" i="79"/>
  <c r="CL228" i="79" s="1"/>
  <c r="CK131" i="79"/>
  <c r="CL131" i="79" s="1"/>
  <c r="CK127" i="79"/>
  <c r="CL127" i="79" s="1"/>
  <c r="CK274" i="79"/>
  <c r="CK152" i="79"/>
  <c r="CK223" i="79"/>
  <c r="CC223" i="80"/>
  <c r="CC274" i="80"/>
  <c r="CC281" i="80" s="1"/>
  <c r="CC283" i="80" s="1"/>
  <c r="CC328" i="80" s="1"/>
  <c r="CC119" i="80"/>
  <c r="CD119" i="80" s="1"/>
  <c r="CC228" i="80"/>
  <c r="CD228" i="80" s="1"/>
  <c r="CC127" i="80"/>
  <c r="CD127" i="80" s="1"/>
  <c r="CC131" i="80"/>
  <c r="CD131" i="80" s="1"/>
  <c r="CC152" i="80"/>
  <c r="CC156" i="80" s="1"/>
  <c r="CC158" i="80" s="1"/>
  <c r="EX431" i="80"/>
  <c r="DP135" i="79"/>
  <c r="DP161" i="79" s="1"/>
  <c r="DP167" i="79" s="1"/>
  <c r="DP325" i="79" s="1"/>
  <c r="P237" i="79"/>
  <c r="P260" i="79" s="1"/>
  <c r="P322" i="79" s="1"/>
  <c r="P84" i="79"/>
  <c r="P135" i="79" s="1"/>
  <c r="P161" i="79" s="1"/>
  <c r="P167" i="79" s="1"/>
  <c r="P325" i="79" s="1"/>
  <c r="DI119" i="80"/>
  <c r="DI228" i="80"/>
  <c r="DJ228" i="80" s="1"/>
  <c r="DI131" i="80"/>
  <c r="DJ131" i="80" s="1"/>
  <c r="DI274" i="80"/>
  <c r="DI281" i="80" s="1"/>
  <c r="DI283" i="80" s="1"/>
  <c r="DI328" i="80" s="1"/>
  <c r="DI127" i="80"/>
  <c r="DJ127" i="80" s="1"/>
  <c r="DI152" i="80"/>
  <c r="DI156" i="80" s="1"/>
  <c r="DI158" i="80" s="1"/>
  <c r="DI223" i="80"/>
  <c r="FE127" i="80"/>
  <c r="FF127" i="80" s="1"/>
  <c r="FE228" i="80"/>
  <c r="FF228" i="80" s="1"/>
  <c r="FE131" i="80"/>
  <c r="FF131" i="80" s="1"/>
  <c r="FE152" i="80"/>
  <c r="FE156" i="80" s="1"/>
  <c r="FE158" i="80" s="1"/>
  <c r="FE274" i="80"/>
  <c r="FE281" i="80" s="1"/>
  <c r="FE283" i="80" s="1"/>
  <c r="FE328" i="80" s="1"/>
  <c r="FE223" i="80"/>
  <c r="FE119" i="80"/>
  <c r="FF119" i="80" s="1"/>
  <c r="DJ431" i="80"/>
  <c r="BE131" i="80"/>
  <c r="BF131" i="80" s="1"/>
  <c r="BE119" i="80"/>
  <c r="BF119" i="80" s="1"/>
  <c r="BE127" i="80"/>
  <c r="BF127" i="80" s="1"/>
  <c r="BE223" i="80"/>
  <c r="BE274" i="80"/>
  <c r="BE281" i="80" s="1"/>
  <c r="BE283" i="80" s="1"/>
  <c r="BE328" i="80" s="1"/>
  <c r="BE228" i="80"/>
  <c r="BF228" i="80" s="1"/>
  <c r="BE152" i="80"/>
  <c r="BE156" i="80" s="1"/>
  <c r="BE158" i="80" s="1"/>
  <c r="DH135" i="79"/>
  <c r="DH161" i="79" s="1"/>
  <c r="DH167" i="79" s="1"/>
  <c r="DH325" i="79" s="1"/>
  <c r="DQ274" i="80"/>
  <c r="DQ281" i="80" s="1"/>
  <c r="DQ283" i="80" s="1"/>
  <c r="DQ328" i="80" s="1"/>
  <c r="DQ131" i="80"/>
  <c r="DR131" i="80" s="1"/>
  <c r="DQ152" i="80"/>
  <c r="DQ156" i="80" s="1"/>
  <c r="DQ158" i="80" s="1"/>
  <c r="DQ119" i="80"/>
  <c r="DQ127" i="80"/>
  <c r="DR127" i="80" s="1"/>
  <c r="DQ223" i="80"/>
  <c r="DQ228" i="80"/>
  <c r="DR228" i="80" s="1"/>
  <c r="CR237" i="79"/>
  <c r="CR260" i="79" s="1"/>
  <c r="CR322" i="79" s="1"/>
  <c r="CR84" i="79"/>
  <c r="CR135" i="79" s="1"/>
  <c r="CR161" i="79" s="1"/>
  <c r="CR167" i="79" s="1"/>
  <c r="CR325" i="79" s="1"/>
  <c r="DO415" i="79"/>
  <c r="AM415" i="79"/>
  <c r="EW119" i="80"/>
  <c r="EX119" i="80" s="1"/>
  <c r="EW152" i="80"/>
  <c r="EW156" i="80" s="1"/>
  <c r="EW158" i="80" s="1"/>
  <c r="EW223" i="80"/>
  <c r="EW131" i="80"/>
  <c r="EX131" i="80" s="1"/>
  <c r="EW127" i="80"/>
  <c r="EX127" i="80" s="1"/>
  <c r="EW274" i="80"/>
  <c r="EW281" i="80" s="1"/>
  <c r="EW283" i="80" s="1"/>
  <c r="EW328" i="80" s="1"/>
  <c r="EW228" i="80"/>
  <c r="EX228" i="80" s="1"/>
  <c r="BU223" i="80"/>
  <c r="BU127" i="80"/>
  <c r="BV127" i="80" s="1"/>
  <c r="BU274" i="80"/>
  <c r="BU281" i="80" s="1"/>
  <c r="BU283" i="80" s="1"/>
  <c r="BU328" i="80" s="1"/>
  <c r="BU152" i="80"/>
  <c r="BU156" i="80" s="1"/>
  <c r="BU158" i="80" s="1"/>
  <c r="BU131" i="80"/>
  <c r="BV131" i="80" s="1"/>
  <c r="BU228" i="80"/>
  <c r="BV228" i="80" s="1"/>
  <c r="BU119" i="80"/>
  <c r="BE152" i="79"/>
  <c r="BE156" i="79" s="1"/>
  <c r="BE158" i="79" s="1"/>
  <c r="BE274" i="79"/>
  <c r="BE281" i="79" s="1"/>
  <c r="BE283" i="79" s="1"/>
  <c r="BE328" i="79" s="1"/>
  <c r="BE223" i="79"/>
  <c r="BE131" i="79"/>
  <c r="BF131" i="79" s="1"/>
  <c r="BE119" i="79"/>
  <c r="BE228" i="79"/>
  <c r="BF228" i="79" s="1"/>
  <c r="BE127" i="79"/>
  <c r="BF127" i="79" s="1"/>
  <c r="AG152" i="79"/>
  <c r="AG156" i="79" s="1"/>
  <c r="AG158" i="79" s="1"/>
  <c r="AG223" i="79"/>
  <c r="AG274" i="79"/>
  <c r="AG281" i="79" s="1"/>
  <c r="AG283" i="79" s="1"/>
  <c r="AG328" i="79" s="1"/>
  <c r="AG228" i="79"/>
  <c r="AH228" i="79" s="1"/>
  <c r="AG127" i="79"/>
  <c r="AH127" i="79" s="1"/>
  <c r="AG119" i="79"/>
  <c r="AG131" i="79"/>
  <c r="AH131" i="79" s="1"/>
  <c r="DY127" i="80"/>
  <c r="DZ127" i="80" s="1"/>
  <c r="DY119" i="80"/>
  <c r="DZ119" i="80" s="1"/>
  <c r="DY228" i="80"/>
  <c r="DZ228" i="80" s="1"/>
  <c r="DY131" i="80"/>
  <c r="DZ131" i="80" s="1"/>
  <c r="DY223" i="80"/>
  <c r="DY152" i="80"/>
  <c r="DY156" i="80" s="1"/>
  <c r="DY158" i="80" s="1"/>
  <c r="DY274" i="80"/>
  <c r="DY281" i="80" s="1"/>
  <c r="DY283" i="80" s="1"/>
  <c r="DY328" i="80" s="1"/>
  <c r="H84" i="79"/>
  <c r="H135" i="79" s="1"/>
  <c r="H161" i="79" s="1"/>
  <c r="H167" i="79" s="1"/>
  <c r="H325" i="79" s="1"/>
  <c r="H334" i="79" s="1"/>
  <c r="H339" i="79" s="1"/>
  <c r="H84" i="80"/>
  <c r="H135" i="80" s="1"/>
  <c r="H161" i="80" s="1"/>
  <c r="H167" i="80" s="1"/>
  <c r="H325" i="80" s="1"/>
  <c r="H334" i="80" s="1"/>
  <c r="H339" i="80" s="1"/>
  <c r="H84" i="85"/>
  <c r="J40" i="90" s="1"/>
  <c r="H135" i="13"/>
  <c r="DX84" i="80"/>
  <c r="DX135" i="80" s="1"/>
  <c r="DX161" i="80" s="1"/>
  <c r="DX167" i="80" s="1"/>
  <c r="DX325" i="80" s="1"/>
  <c r="DX237" i="80"/>
  <c r="DX260" i="80" s="1"/>
  <c r="DX322" i="80" s="1"/>
  <c r="R431" i="79"/>
  <c r="AW131" i="79"/>
  <c r="AX131" i="79" s="1"/>
  <c r="AW119" i="79"/>
  <c r="AW127" i="79"/>
  <c r="AX127" i="79" s="1"/>
  <c r="AW274" i="79"/>
  <c r="AW152" i="79"/>
  <c r="AW228" i="79"/>
  <c r="AX228" i="79" s="1"/>
  <c r="AW223" i="79"/>
  <c r="AO228" i="80"/>
  <c r="AP228" i="80" s="1"/>
  <c r="AO152" i="80"/>
  <c r="AO156" i="80" s="1"/>
  <c r="AO158" i="80" s="1"/>
  <c r="AO119" i="80"/>
  <c r="AO223" i="80"/>
  <c r="AO131" i="80"/>
  <c r="AP131" i="80" s="1"/>
  <c r="AO127" i="80"/>
  <c r="AP127" i="80" s="1"/>
  <c r="AO274" i="80"/>
  <c r="AO281" i="80" s="1"/>
  <c r="AO283" i="80" s="1"/>
  <c r="AO328" i="80" s="1"/>
  <c r="EO223" i="80"/>
  <c r="EO127" i="80"/>
  <c r="EP127" i="80" s="1"/>
  <c r="EO119" i="80"/>
  <c r="EP119" i="80" s="1"/>
  <c r="EO274" i="80"/>
  <c r="EO281" i="80" s="1"/>
  <c r="EO283" i="80" s="1"/>
  <c r="EO328" i="80" s="1"/>
  <c r="EO152" i="80"/>
  <c r="EO156" i="80" s="1"/>
  <c r="EO158" i="80" s="1"/>
  <c r="EO228" i="80"/>
  <c r="EP228" i="80" s="1"/>
  <c r="EO131" i="80"/>
  <c r="EP131" i="80" s="1"/>
  <c r="CK228" i="80"/>
  <c r="CL228" i="80" s="1"/>
  <c r="CK223" i="80"/>
  <c r="CK119" i="80"/>
  <c r="CL119" i="80" s="1"/>
  <c r="CK274" i="80"/>
  <c r="CK281" i="80" s="1"/>
  <c r="CK283" i="80" s="1"/>
  <c r="CK328" i="80" s="1"/>
  <c r="CK152" i="80"/>
  <c r="CK156" i="80" s="1"/>
  <c r="CK158" i="80" s="1"/>
  <c r="CK127" i="80"/>
  <c r="CL127" i="80" s="1"/>
  <c r="CK131" i="80"/>
  <c r="CL131" i="80" s="1"/>
  <c r="FM223" i="79"/>
  <c r="FM119" i="79"/>
  <c r="FN119" i="79" s="1"/>
  <c r="FM131" i="79"/>
  <c r="FN131" i="79" s="1"/>
  <c r="FM127" i="79"/>
  <c r="FN127" i="79" s="1"/>
  <c r="FM228" i="79"/>
  <c r="FN228" i="79" s="1"/>
  <c r="FM152" i="79"/>
  <c r="FM156" i="79" s="1"/>
  <c r="FM158" i="79" s="1"/>
  <c r="FM274" i="79"/>
  <c r="FM281" i="79" s="1"/>
  <c r="FM283" i="79" s="1"/>
  <c r="FM328" i="79" s="1"/>
  <c r="AV135" i="80"/>
  <c r="AV161" i="80" s="1"/>
  <c r="AV167" i="80" s="1"/>
  <c r="AV325" i="80" s="1"/>
  <c r="CZ84" i="79"/>
  <c r="CZ135" i="79" s="1"/>
  <c r="CZ161" i="79" s="1"/>
  <c r="CZ167" i="79" s="1"/>
  <c r="CZ325" i="79" s="1"/>
  <c r="CZ237" i="79"/>
  <c r="CZ260" i="79" s="1"/>
  <c r="CZ322" i="79" s="1"/>
  <c r="CC223" i="79"/>
  <c r="CC152" i="79"/>
  <c r="CC156" i="79" s="1"/>
  <c r="CC158" i="79" s="1"/>
  <c r="CC274" i="79"/>
  <c r="CC281" i="79" s="1"/>
  <c r="CC283" i="79" s="1"/>
  <c r="CC328" i="79" s="1"/>
  <c r="CC228" i="79"/>
  <c r="CD228" i="79" s="1"/>
  <c r="CC127" i="79"/>
  <c r="CD127" i="79" s="1"/>
  <c r="CC131" i="79"/>
  <c r="CD131" i="79" s="1"/>
  <c r="CC119" i="79"/>
  <c r="CD119" i="79" s="1"/>
  <c r="DQ127" i="79"/>
  <c r="DR127" i="79" s="1"/>
  <c r="DQ152" i="79"/>
  <c r="DQ156" i="79" s="1"/>
  <c r="DQ158" i="79" s="1"/>
  <c r="DQ119" i="79"/>
  <c r="DR119" i="79" s="1"/>
  <c r="DQ131" i="79"/>
  <c r="DR131" i="79" s="1"/>
  <c r="DQ223" i="79"/>
  <c r="DQ228" i="79"/>
  <c r="DR228" i="79" s="1"/>
  <c r="DQ274" i="79"/>
  <c r="DQ281" i="79" s="1"/>
  <c r="DQ283" i="79" s="1"/>
  <c r="DQ328" i="79" s="1"/>
  <c r="Z431" i="79"/>
  <c r="AO274" i="79"/>
  <c r="AO281" i="79" s="1"/>
  <c r="AO283" i="79" s="1"/>
  <c r="AO328" i="79" s="1"/>
  <c r="AO223" i="79"/>
  <c r="AO152" i="79"/>
  <c r="AO156" i="79" s="1"/>
  <c r="AO158" i="79" s="1"/>
  <c r="AO119" i="79"/>
  <c r="AO228" i="79"/>
  <c r="AP228" i="79" s="1"/>
  <c r="AO127" i="79"/>
  <c r="AP127" i="79" s="1"/>
  <c r="AO131" i="79"/>
  <c r="AP131" i="79" s="1"/>
  <c r="CK431" i="80"/>
  <c r="F13" i="7"/>
  <c r="J260" i="85"/>
  <c r="FL237" i="80"/>
  <c r="FL260" i="80" s="1"/>
  <c r="FL322" i="80" s="1"/>
  <c r="FL84" i="80"/>
  <c r="FL135" i="80" s="1"/>
  <c r="FL161" i="80" s="1"/>
  <c r="FL167" i="80" s="1"/>
  <c r="FL325" i="80" s="1"/>
  <c r="AO431" i="80"/>
  <c r="BM228" i="80"/>
  <c r="BN228" i="80" s="1"/>
  <c r="BM274" i="80"/>
  <c r="BM119" i="80"/>
  <c r="BM223" i="80"/>
  <c r="BM152" i="80"/>
  <c r="BM131" i="80"/>
  <c r="BN131" i="80" s="1"/>
  <c r="BM127" i="80"/>
  <c r="BN127" i="80" s="1"/>
  <c r="Q431" i="79"/>
  <c r="BS415" i="80"/>
  <c r="BC415" i="79"/>
  <c r="DI131" i="79"/>
  <c r="DJ131" i="79" s="1"/>
  <c r="DI223" i="79"/>
  <c r="DI152" i="79"/>
  <c r="DI127" i="79"/>
  <c r="DJ127" i="79" s="1"/>
  <c r="DI274" i="79"/>
  <c r="DI228" i="79"/>
  <c r="DJ228" i="79" s="1"/>
  <c r="DI119" i="79"/>
  <c r="CL431" i="80"/>
  <c r="Q431" i="80"/>
  <c r="AV334" i="80" l="1"/>
  <c r="AV339" i="80" s="1"/>
  <c r="AN334" i="79"/>
  <c r="AN339" i="79" s="1"/>
  <c r="Z152" i="80"/>
  <c r="Z156" i="80" s="1"/>
  <c r="Z158" i="80" s="1"/>
  <c r="EV334" i="80"/>
  <c r="EV339" i="80" s="1"/>
  <c r="W431" i="79"/>
  <c r="CL152" i="80"/>
  <c r="CL156" i="80" s="1"/>
  <c r="CL158" i="80" s="1"/>
  <c r="DR152" i="80"/>
  <c r="DR156" i="80" s="1"/>
  <c r="DR158" i="80" s="1"/>
  <c r="EV334" i="79"/>
  <c r="EV339" i="79" s="1"/>
  <c r="O431" i="80"/>
  <c r="W431" i="80"/>
  <c r="CT152" i="79"/>
  <c r="CT156" i="79" s="1"/>
  <c r="CT158" i="79" s="1"/>
  <c r="DG431" i="80"/>
  <c r="BD334" i="80"/>
  <c r="BD339" i="80" s="1"/>
  <c r="DO431" i="79"/>
  <c r="Z274" i="79"/>
  <c r="Z281" i="79" s="1"/>
  <c r="Z283" i="79" s="1"/>
  <c r="Z328" i="79" s="1"/>
  <c r="EN334" i="80"/>
  <c r="EN339" i="80" s="1"/>
  <c r="EH274" i="80"/>
  <c r="EH281" i="80" s="1"/>
  <c r="EH283" i="80" s="1"/>
  <c r="EH328" i="80" s="1"/>
  <c r="CD152" i="80"/>
  <c r="CD156" i="80" s="1"/>
  <c r="CD158" i="80" s="1"/>
  <c r="FF152" i="80"/>
  <c r="FF156" i="80" s="1"/>
  <c r="FF158" i="80" s="1"/>
  <c r="BV152" i="79"/>
  <c r="BV156" i="79" s="1"/>
  <c r="BV158" i="79" s="1"/>
  <c r="CT152" i="80"/>
  <c r="CT156" i="80" s="1"/>
  <c r="CT158" i="80" s="1"/>
  <c r="DP334" i="79"/>
  <c r="DP339" i="79" s="1"/>
  <c r="BS431" i="80"/>
  <c r="DB152" i="80"/>
  <c r="DB156" i="80" s="1"/>
  <c r="DB158" i="80" s="1"/>
  <c r="Z274" i="80"/>
  <c r="Z281" i="80" s="1"/>
  <c r="Z283" i="80" s="1"/>
  <c r="Z328" i="80" s="1"/>
  <c r="CT133" i="80"/>
  <c r="DZ133" i="80"/>
  <c r="AX133" i="80"/>
  <c r="FF274" i="80"/>
  <c r="FF281" i="80" s="1"/>
  <c r="FF283" i="80" s="1"/>
  <c r="FF328" i="80" s="1"/>
  <c r="Z152" i="79"/>
  <c r="Z156" i="79" s="1"/>
  <c r="Z158" i="79" s="1"/>
  <c r="EU431" i="80"/>
  <c r="R152" i="79"/>
  <c r="R156" i="79" s="1"/>
  <c r="R158" i="79" s="1"/>
  <c r="DH334" i="79"/>
  <c r="DH339" i="79" s="1"/>
  <c r="BS431" i="79"/>
  <c r="AM431" i="80"/>
  <c r="CD274" i="80"/>
  <c r="CD281" i="80" s="1"/>
  <c r="CD283" i="80" s="1"/>
  <c r="CD328" i="80" s="1"/>
  <c r="BV274" i="79"/>
  <c r="BV281" i="79" s="1"/>
  <c r="BV283" i="79" s="1"/>
  <c r="BV328" i="79" s="1"/>
  <c r="R152" i="80"/>
  <c r="R156" i="80" s="1"/>
  <c r="R158" i="80" s="1"/>
  <c r="CT274" i="79"/>
  <c r="CT281" i="79" s="1"/>
  <c r="CT283" i="79" s="1"/>
  <c r="CT328" i="79" s="1"/>
  <c r="R133" i="80"/>
  <c r="DX334" i="79"/>
  <c r="DX339" i="79" s="1"/>
  <c r="BF152" i="80"/>
  <c r="BF156" i="80" s="1"/>
  <c r="BF158" i="80" s="1"/>
  <c r="AG133" i="79"/>
  <c r="EH133" i="80"/>
  <c r="AO133" i="79"/>
  <c r="CS133" i="80"/>
  <c r="CR334" i="79"/>
  <c r="CR339" i="79" s="1"/>
  <c r="AF334" i="79"/>
  <c r="AF339" i="79" s="1"/>
  <c r="CB334" i="80"/>
  <c r="CB339" i="80" s="1"/>
  <c r="CD133" i="79"/>
  <c r="AO133" i="80"/>
  <c r="CB334" i="79"/>
  <c r="CB339" i="79" s="1"/>
  <c r="AP152" i="79"/>
  <c r="AP156" i="79" s="1"/>
  <c r="AP158" i="79" s="1"/>
  <c r="Y133" i="79"/>
  <c r="EP152" i="79"/>
  <c r="EP156" i="79" s="1"/>
  <c r="EP158" i="79" s="1"/>
  <c r="DR152" i="79"/>
  <c r="DR156" i="79" s="1"/>
  <c r="DR158" i="79" s="1"/>
  <c r="DI133" i="80"/>
  <c r="R274" i="80"/>
  <c r="R281" i="80" s="1"/>
  <c r="R283" i="80" s="1"/>
  <c r="R328" i="80" s="1"/>
  <c r="CA431" i="79"/>
  <c r="AH152" i="79"/>
  <c r="AH156" i="79" s="1"/>
  <c r="AH158" i="79" s="1"/>
  <c r="EO133" i="79"/>
  <c r="O431" i="79"/>
  <c r="BE133" i="79"/>
  <c r="P334" i="79"/>
  <c r="P339" i="79" s="1"/>
  <c r="DJ152" i="80"/>
  <c r="DJ156" i="80" s="1"/>
  <c r="DJ158" i="80" s="1"/>
  <c r="CI431" i="80"/>
  <c r="DZ133" i="79"/>
  <c r="CD274" i="79"/>
  <c r="CD281" i="79" s="1"/>
  <c r="CD283" i="79" s="1"/>
  <c r="CD328" i="79" s="1"/>
  <c r="EX133" i="79"/>
  <c r="CL133" i="80"/>
  <c r="EP133" i="80"/>
  <c r="FF133" i="80"/>
  <c r="DB274" i="80"/>
  <c r="DB281" i="80" s="1"/>
  <c r="DB283" i="80" s="1"/>
  <c r="DB328" i="80" s="1"/>
  <c r="CR334" i="80"/>
  <c r="CR339" i="80" s="1"/>
  <c r="BV152" i="80"/>
  <c r="BV156" i="80" s="1"/>
  <c r="BV158" i="80" s="1"/>
  <c r="X334" i="79"/>
  <c r="X339" i="79" s="1"/>
  <c r="FN152" i="79"/>
  <c r="FN156" i="79" s="1"/>
  <c r="FN158" i="79" s="1"/>
  <c r="AG133" i="80"/>
  <c r="AH119" i="80"/>
  <c r="AH133" i="80" s="1"/>
  <c r="FE281" i="79"/>
  <c r="FE283" i="79" s="1"/>
  <c r="FE328" i="79" s="1"/>
  <c r="FF274" i="79"/>
  <c r="FF281" i="79" s="1"/>
  <c r="FF283" i="79" s="1"/>
  <c r="FF328" i="79" s="1"/>
  <c r="EX223" i="79"/>
  <c r="EX235" i="79" s="1"/>
  <c r="EW235" i="79"/>
  <c r="FN133" i="79"/>
  <c r="EH223" i="80"/>
  <c r="EH235" i="80" s="1"/>
  <c r="EG235" i="80"/>
  <c r="DI156" i="79"/>
  <c r="DI158" i="79" s="1"/>
  <c r="DJ152" i="79"/>
  <c r="DJ156" i="79" s="1"/>
  <c r="DJ158" i="79" s="1"/>
  <c r="Z133" i="80"/>
  <c r="BF152" i="79"/>
  <c r="BF156" i="79" s="1"/>
  <c r="BF158" i="79" s="1"/>
  <c r="CC133" i="79"/>
  <c r="CZ334" i="79"/>
  <c r="CZ339" i="79" s="1"/>
  <c r="BF133" i="80"/>
  <c r="BU133" i="80"/>
  <c r="DZ223" i="79"/>
  <c r="DZ235" i="79" s="1"/>
  <c r="DY235" i="79"/>
  <c r="FD334" i="79"/>
  <c r="FD339" i="79" s="1"/>
  <c r="DA281" i="79"/>
  <c r="DA283" i="79" s="1"/>
  <c r="DA328" i="79" s="1"/>
  <c r="DB274" i="79"/>
  <c r="DB281" i="79" s="1"/>
  <c r="DB283" i="79" s="1"/>
  <c r="DB328" i="79" s="1"/>
  <c r="AG156" i="80"/>
  <c r="AG158" i="80" s="1"/>
  <c r="AH152" i="80"/>
  <c r="AH156" i="80" s="1"/>
  <c r="AH158" i="80" s="1"/>
  <c r="AH119" i="79"/>
  <c r="AH133" i="79" s="1"/>
  <c r="BV274" i="80"/>
  <c r="BV281" i="80" s="1"/>
  <c r="BV283" i="80" s="1"/>
  <c r="BV328" i="80" s="1"/>
  <c r="CD152" i="79"/>
  <c r="CD156" i="79" s="1"/>
  <c r="CD158" i="79" s="1"/>
  <c r="FM133" i="80"/>
  <c r="EG281" i="79"/>
  <c r="EG283" i="79" s="1"/>
  <c r="EG328" i="79" s="1"/>
  <c r="EH274" i="79"/>
  <c r="EH281" i="79" s="1"/>
  <c r="EH283" i="79" s="1"/>
  <c r="EH328" i="79" s="1"/>
  <c r="J161" i="13"/>
  <c r="J135" i="85"/>
  <c r="EP223" i="79"/>
  <c r="EP235" i="79" s="1"/>
  <c r="EO235" i="79"/>
  <c r="BM133" i="79"/>
  <c r="FE133" i="79"/>
  <c r="FF119" i="79"/>
  <c r="FF133" i="79" s="1"/>
  <c r="AW133" i="80"/>
  <c r="FN274" i="79"/>
  <c r="FN281" i="79" s="1"/>
  <c r="FN283" i="79" s="1"/>
  <c r="FN328" i="79" s="1"/>
  <c r="DZ152" i="80"/>
  <c r="DZ156" i="80" s="1"/>
  <c r="DZ158" i="80" s="1"/>
  <c r="BU133" i="79"/>
  <c r="DZ274" i="79"/>
  <c r="DZ281" i="79" s="1"/>
  <c r="DZ283" i="79" s="1"/>
  <c r="DZ328" i="79" s="1"/>
  <c r="DI281" i="79"/>
  <c r="DI283" i="79" s="1"/>
  <c r="DI328" i="79" s="1"/>
  <c r="DJ274" i="79"/>
  <c r="DJ281" i="79" s="1"/>
  <c r="DJ283" i="79" s="1"/>
  <c r="DJ328" i="79" s="1"/>
  <c r="DR133" i="79"/>
  <c r="AP119" i="79"/>
  <c r="AP133" i="79" s="1"/>
  <c r="AH274" i="79"/>
  <c r="AH281" i="79" s="1"/>
  <c r="AH283" i="79" s="1"/>
  <c r="AH328" i="79" s="1"/>
  <c r="DJ223" i="79"/>
  <c r="DJ235" i="79" s="1"/>
  <c r="DI235" i="79"/>
  <c r="BF119" i="79"/>
  <c r="BF133" i="79" s="1"/>
  <c r="J322" i="85"/>
  <c r="CL274" i="80"/>
  <c r="CL281" i="80" s="1"/>
  <c r="CL283" i="80" s="1"/>
  <c r="CL328" i="80" s="1"/>
  <c r="BF274" i="80"/>
  <c r="BF281" i="80" s="1"/>
  <c r="BF283" i="80" s="1"/>
  <c r="BF328" i="80" s="1"/>
  <c r="AX223" i="79"/>
  <c r="AX235" i="79" s="1"/>
  <c r="AW235" i="79"/>
  <c r="DX334" i="80"/>
  <c r="DX339" i="80" s="1"/>
  <c r="DZ223" i="80"/>
  <c r="DZ235" i="80" s="1"/>
  <c r="DY235" i="80"/>
  <c r="DJ223" i="80"/>
  <c r="DJ235" i="80" s="1"/>
  <c r="DI235" i="80"/>
  <c r="R274" i="79"/>
  <c r="R281" i="79" s="1"/>
  <c r="R283" i="79" s="1"/>
  <c r="R328" i="79" s="1"/>
  <c r="CC133" i="80"/>
  <c r="CJ334" i="79"/>
  <c r="CJ339" i="79" s="1"/>
  <c r="DB223" i="79"/>
  <c r="DB235" i="79" s="1"/>
  <c r="DA235" i="79"/>
  <c r="CT223" i="79"/>
  <c r="CT235" i="79" s="1"/>
  <c r="CS235" i="79"/>
  <c r="AH223" i="80"/>
  <c r="AH235" i="80" s="1"/>
  <c r="AG235" i="80"/>
  <c r="EH152" i="80"/>
  <c r="EH156" i="80" s="1"/>
  <c r="EH158" i="80" s="1"/>
  <c r="AP119" i="80"/>
  <c r="AP133" i="80" s="1"/>
  <c r="EP152" i="80"/>
  <c r="EP156" i="80" s="1"/>
  <c r="EP158" i="80" s="1"/>
  <c r="BN223" i="79"/>
  <c r="BN235" i="79" s="1"/>
  <c r="BM235" i="79"/>
  <c r="H322" i="85"/>
  <c r="DZ274" i="80"/>
  <c r="DZ281" i="80" s="1"/>
  <c r="DZ283" i="80" s="1"/>
  <c r="DZ328" i="80" s="1"/>
  <c r="DZ152" i="79"/>
  <c r="DZ156" i="79" s="1"/>
  <c r="DZ158" i="79" s="1"/>
  <c r="CD223" i="79"/>
  <c r="CD235" i="79" s="1"/>
  <c r="CC235" i="79"/>
  <c r="I161" i="13"/>
  <c r="I135" i="85"/>
  <c r="CT223" i="80"/>
  <c r="CT235" i="80" s="1"/>
  <c r="CS235" i="80"/>
  <c r="DQ133" i="80"/>
  <c r="BM156" i="80"/>
  <c r="BM158" i="80" s="1"/>
  <c r="BN152" i="80"/>
  <c r="BN156" i="80" s="1"/>
  <c r="BN158" i="80" s="1"/>
  <c r="BF274" i="79"/>
  <c r="BF281" i="79" s="1"/>
  <c r="BF283" i="79" s="1"/>
  <c r="BF328" i="79" s="1"/>
  <c r="DR223" i="79"/>
  <c r="DR235" i="79" s="1"/>
  <c r="DQ235" i="79"/>
  <c r="FE133" i="80"/>
  <c r="CK133" i="79"/>
  <c r="CL119" i="79"/>
  <c r="CL133" i="79" s="1"/>
  <c r="Z223" i="80"/>
  <c r="Z235" i="80" s="1"/>
  <c r="Y235" i="80"/>
  <c r="AX274" i="80"/>
  <c r="AX281" i="80" s="1"/>
  <c r="AX283" i="80" s="1"/>
  <c r="AX328" i="80" s="1"/>
  <c r="EX133" i="80"/>
  <c r="AP274" i="80"/>
  <c r="AP281" i="80" s="1"/>
  <c r="AP283" i="80" s="1"/>
  <c r="AP328" i="80" s="1"/>
  <c r="EP274" i="80"/>
  <c r="EP281" i="80" s="1"/>
  <c r="EP283" i="80" s="1"/>
  <c r="EP328" i="80" s="1"/>
  <c r="EG156" i="79"/>
  <c r="EG158" i="79" s="1"/>
  <c r="EH152" i="79"/>
  <c r="EH156" i="79" s="1"/>
  <c r="EH158" i="79" s="1"/>
  <c r="FF223" i="79"/>
  <c r="FF235" i="79" s="1"/>
  <c r="FE235" i="79"/>
  <c r="I322" i="85"/>
  <c r="Q133" i="80"/>
  <c r="AH223" i="79"/>
  <c r="AH235" i="79" s="1"/>
  <c r="AG235" i="79"/>
  <c r="BN223" i="80"/>
  <c r="BN235" i="80" s="1"/>
  <c r="BM235" i="80"/>
  <c r="DR119" i="80"/>
  <c r="DR133" i="80" s="1"/>
  <c r="BF223" i="80"/>
  <c r="BF235" i="80" s="1"/>
  <c r="BE235" i="80"/>
  <c r="FN152" i="80"/>
  <c r="FN156" i="80" s="1"/>
  <c r="FN158" i="80" s="1"/>
  <c r="AX223" i="80"/>
  <c r="AX235" i="80" s="1"/>
  <c r="AW235" i="80"/>
  <c r="EP274" i="79"/>
  <c r="EP281" i="79" s="1"/>
  <c r="EP283" i="79" s="1"/>
  <c r="EP328" i="79" s="1"/>
  <c r="BN274" i="79"/>
  <c r="BN281" i="79" s="1"/>
  <c r="BN283" i="79" s="1"/>
  <c r="BN328" i="79" s="1"/>
  <c r="DA133" i="80"/>
  <c r="BV223" i="80"/>
  <c r="BV235" i="80" s="1"/>
  <c r="BU235" i="80"/>
  <c r="CK281" i="79"/>
  <c r="CK283" i="79" s="1"/>
  <c r="CK328" i="79" s="1"/>
  <c r="CL274" i="79"/>
  <c r="CL281" i="79" s="1"/>
  <c r="CL283" i="79" s="1"/>
  <c r="CL328" i="79" s="1"/>
  <c r="AG281" i="80"/>
  <c r="AG283" i="80" s="1"/>
  <c r="AG328" i="80" s="1"/>
  <c r="AH274" i="80"/>
  <c r="AH281" i="80" s="1"/>
  <c r="AH283" i="80" s="1"/>
  <c r="AH328" i="80" s="1"/>
  <c r="DB133" i="80"/>
  <c r="CK133" i="80"/>
  <c r="H135" i="85"/>
  <c r="H161" i="13"/>
  <c r="FF223" i="80"/>
  <c r="FF235" i="80" s="1"/>
  <c r="FE235" i="80"/>
  <c r="R133" i="79"/>
  <c r="CD223" i="80"/>
  <c r="CD235" i="80" s="1"/>
  <c r="CC235" i="80"/>
  <c r="BM133" i="80"/>
  <c r="BN119" i="80"/>
  <c r="BN133" i="80" s="1"/>
  <c r="CD133" i="80"/>
  <c r="FM133" i="79"/>
  <c r="CL223" i="80"/>
  <c r="CL235" i="80" s="1"/>
  <c r="CK235" i="80"/>
  <c r="AW281" i="79"/>
  <c r="AW283" i="79" s="1"/>
  <c r="AW328" i="79" s="1"/>
  <c r="AX274" i="79"/>
  <c r="AX281" i="79" s="1"/>
  <c r="AX283" i="79" s="1"/>
  <c r="AX328" i="79" s="1"/>
  <c r="DY133" i="80"/>
  <c r="CL223" i="79"/>
  <c r="CL235" i="79" s="1"/>
  <c r="CK235" i="79"/>
  <c r="DJ119" i="80"/>
  <c r="DJ133" i="80" s="1"/>
  <c r="AX152" i="80"/>
  <c r="AX156" i="80" s="1"/>
  <c r="AX158" i="80" s="1"/>
  <c r="BV133" i="79"/>
  <c r="BT334" i="80"/>
  <c r="BT339" i="80" s="1"/>
  <c r="EX152" i="80"/>
  <c r="EX156" i="80" s="1"/>
  <c r="EX158" i="80" s="1"/>
  <c r="FN223" i="80"/>
  <c r="FN235" i="80" s="1"/>
  <c r="FM235" i="80"/>
  <c r="AP152" i="80"/>
  <c r="AP156" i="80" s="1"/>
  <c r="AP158" i="80" s="1"/>
  <c r="FN133" i="80"/>
  <c r="Z223" i="79"/>
  <c r="Z235" i="79" s="1"/>
  <c r="Y235" i="79"/>
  <c r="EW133" i="79"/>
  <c r="EP119" i="79"/>
  <c r="EP133" i="79" s="1"/>
  <c r="EG133" i="80"/>
  <c r="R223" i="79"/>
  <c r="R235" i="79" s="1"/>
  <c r="Q235" i="79"/>
  <c r="BN119" i="79"/>
  <c r="BN133" i="79" s="1"/>
  <c r="BV223" i="79"/>
  <c r="BV235" i="79" s="1"/>
  <c r="BU235" i="79"/>
  <c r="R223" i="80"/>
  <c r="R235" i="80" s="1"/>
  <c r="Q235" i="80"/>
  <c r="DB223" i="80"/>
  <c r="DB235" i="80" s="1"/>
  <c r="DA235" i="80"/>
  <c r="EX152" i="79"/>
  <c r="EX156" i="79" s="1"/>
  <c r="EX158" i="79" s="1"/>
  <c r="AX119" i="79"/>
  <c r="AX133" i="79" s="1"/>
  <c r="AW133" i="79"/>
  <c r="DA133" i="79"/>
  <c r="DB119" i="79"/>
  <c r="DB133" i="79" s="1"/>
  <c r="EH223" i="79"/>
  <c r="EH235" i="79" s="1"/>
  <c r="EG235" i="79"/>
  <c r="FE156" i="79"/>
  <c r="FE158" i="79" s="1"/>
  <c r="FF152" i="79"/>
  <c r="FF156" i="79" s="1"/>
  <c r="FF158" i="79" s="1"/>
  <c r="EO133" i="80"/>
  <c r="AW156" i="79"/>
  <c r="AW158" i="79" s="1"/>
  <c r="AX152" i="79"/>
  <c r="AX156" i="79" s="1"/>
  <c r="AX158" i="79" s="1"/>
  <c r="EX223" i="80"/>
  <c r="EX235" i="80" s="1"/>
  <c r="EW235" i="80"/>
  <c r="DY133" i="79"/>
  <c r="DI133" i="79"/>
  <c r="DJ119" i="79"/>
  <c r="DJ133" i="79" s="1"/>
  <c r="DQ133" i="79"/>
  <c r="BM281" i="80"/>
  <c r="BM283" i="80" s="1"/>
  <c r="BM328" i="80" s="1"/>
  <c r="BN274" i="80"/>
  <c r="BN281" i="80" s="1"/>
  <c r="BN283" i="80" s="1"/>
  <c r="BN328" i="80" s="1"/>
  <c r="FL334" i="80"/>
  <c r="FL339" i="80" s="1"/>
  <c r="DR274" i="80"/>
  <c r="DR281" i="80" s="1"/>
  <c r="DR283" i="80" s="1"/>
  <c r="DR328" i="80" s="1"/>
  <c r="AP223" i="79"/>
  <c r="AP235" i="79" s="1"/>
  <c r="AO235" i="79"/>
  <c r="CT274" i="80"/>
  <c r="CT281" i="80" s="1"/>
  <c r="CT283" i="80" s="1"/>
  <c r="CT328" i="80" s="1"/>
  <c r="FN223" i="79"/>
  <c r="FN235" i="79" s="1"/>
  <c r="FM235" i="79"/>
  <c r="EP223" i="80"/>
  <c r="EP235" i="80" s="1"/>
  <c r="EO235" i="80"/>
  <c r="AP223" i="80"/>
  <c r="AP235" i="80" s="1"/>
  <c r="AO235" i="80"/>
  <c r="BF223" i="79"/>
  <c r="BF235" i="79" s="1"/>
  <c r="BE235" i="79"/>
  <c r="EW133" i="80"/>
  <c r="Z119" i="79"/>
  <c r="Z133" i="79" s="1"/>
  <c r="DR223" i="80"/>
  <c r="DR235" i="80" s="1"/>
  <c r="DQ235" i="80"/>
  <c r="DR274" i="79"/>
  <c r="DR281" i="79" s="1"/>
  <c r="DR283" i="79" s="1"/>
  <c r="DR328" i="79" s="1"/>
  <c r="BE133" i="80"/>
  <c r="CT133" i="79"/>
  <c r="CK156" i="79"/>
  <c r="CK158" i="79" s="1"/>
  <c r="CL152" i="79"/>
  <c r="CL156" i="79" s="1"/>
  <c r="CL158" i="79" s="1"/>
  <c r="Y133" i="80"/>
  <c r="DJ274" i="80"/>
  <c r="DJ281" i="80" s="1"/>
  <c r="DJ283" i="80" s="1"/>
  <c r="DJ328" i="80" s="1"/>
  <c r="DA156" i="79"/>
  <c r="DA158" i="79" s="1"/>
  <c r="DB152" i="79"/>
  <c r="DB156" i="79" s="1"/>
  <c r="DB158" i="79" s="1"/>
  <c r="CS133" i="79"/>
  <c r="AP274" i="79"/>
  <c r="AP281" i="79" s="1"/>
  <c r="AP283" i="79" s="1"/>
  <c r="AP328" i="79" s="1"/>
  <c r="EX274" i="80"/>
  <c r="EX281" i="80" s="1"/>
  <c r="EX283" i="80" s="1"/>
  <c r="EX328" i="80" s="1"/>
  <c r="BV119" i="80"/>
  <c r="BV133" i="80" s="1"/>
  <c r="EG133" i="79"/>
  <c r="EH119" i="79"/>
  <c r="EH133" i="79" s="1"/>
  <c r="CZ334" i="80"/>
  <c r="CZ339" i="80" s="1"/>
  <c r="FN274" i="80"/>
  <c r="FN281" i="80" s="1"/>
  <c r="FN283" i="80" s="1"/>
  <c r="FN328" i="80" s="1"/>
  <c r="Q133" i="79"/>
  <c r="BN152" i="79"/>
  <c r="BN156" i="79" s="1"/>
  <c r="BN158" i="79" s="1"/>
  <c r="EX274" i="79"/>
  <c r="EX281" i="79" s="1"/>
  <c r="EX283" i="79" s="1"/>
  <c r="EX328" i="79" s="1"/>
  <c r="DB84" i="80" l="1"/>
  <c r="DB135" i="80" s="1"/>
  <c r="DB161" i="80" s="1"/>
  <c r="DB167" i="80" s="1"/>
  <c r="DB325" i="80" s="1"/>
  <c r="DB237" i="80"/>
  <c r="DB260" i="80" s="1"/>
  <c r="DB322" i="80" s="1"/>
  <c r="DJ84" i="80"/>
  <c r="DJ135" i="80" s="1"/>
  <c r="DJ161" i="80" s="1"/>
  <c r="DJ167" i="80" s="1"/>
  <c r="DJ325" i="80" s="1"/>
  <c r="DJ237" i="80"/>
  <c r="DJ260" i="80" s="1"/>
  <c r="DJ322" i="80" s="1"/>
  <c r="EP84" i="80"/>
  <c r="EP135" i="80" s="1"/>
  <c r="EP161" i="80" s="1"/>
  <c r="EP167" i="80" s="1"/>
  <c r="EP325" i="80" s="1"/>
  <c r="EP237" i="80"/>
  <c r="EP260" i="80" s="1"/>
  <c r="EP322" i="80" s="1"/>
  <c r="R237" i="80"/>
  <c r="R260" i="80" s="1"/>
  <c r="R322" i="80" s="1"/>
  <c r="R84" i="80"/>
  <c r="R135" i="80" s="1"/>
  <c r="R161" i="80" s="1"/>
  <c r="R167" i="80" s="1"/>
  <c r="R325" i="80" s="1"/>
  <c r="BV84" i="80"/>
  <c r="BV135" i="80" s="1"/>
  <c r="BV161" i="80" s="1"/>
  <c r="BV167" i="80" s="1"/>
  <c r="BV325" i="80" s="1"/>
  <c r="BV237" i="80"/>
  <c r="BV260" i="80" s="1"/>
  <c r="BV322" i="80" s="1"/>
  <c r="BN237" i="79"/>
  <c r="BN260" i="79" s="1"/>
  <c r="BN322" i="79" s="1"/>
  <c r="BN84" i="79"/>
  <c r="BN135" i="79" s="1"/>
  <c r="BN161" i="79" s="1"/>
  <c r="BN167" i="79" s="1"/>
  <c r="BN325" i="79" s="1"/>
  <c r="DJ84" i="79"/>
  <c r="DJ135" i="79" s="1"/>
  <c r="DJ161" i="79" s="1"/>
  <c r="DJ167" i="79" s="1"/>
  <c r="DJ325" i="79" s="1"/>
  <c r="DJ237" i="79"/>
  <c r="DJ260" i="79" s="1"/>
  <c r="DJ322" i="79" s="1"/>
  <c r="EX237" i="80"/>
  <c r="EX260" i="80" s="1"/>
  <c r="EX322" i="80" s="1"/>
  <c r="EX84" i="80"/>
  <c r="EX135" i="80" s="1"/>
  <c r="EX161" i="80" s="1"/>
  <c r="EX167" i="80" s="1"/>
  <c r="EX325" i="80" s="1"/>
  <c r="FN84" i="79"/>
  <c r="FN135" i="79" s="1"/>
  <c r="FN161" i="79" s="1"/>
  <c r="FN167" i="79" s="1"/>
  <c r="FN325" i="79" s="1"/>
  <c r="FN237" i="79"/>
  <c r="FN260" i="79" s="1"/>
  <c r="FN322" i="79" s="1"/>
  <c r="BF84" i="80"/>
  <c r="BF135" i="80" s="1"/>
  <c r="BF161" i="80" s="1"/>
  <c r="BF167" i="80" s="1"/>
  <c r="BF325" i="80" s="1"/>
  <c r="BF237" i="80"/>
  <c r="BF260" i="80" s="1"/>
  <c r="BF322" i="80" s="1"/>
  <c r="DB84" i="79"/>
  <c r="DB135" i="79" s="1"/>
  <c r="DB161" i="79" s="1"/>
  <c r="DB167" i="79" s="1"/>
  <c r="DB325" i="79" s="1"/>
  <c r="DB237" i="79"/>
  <c r="DB260" i="79" s="1"/>
  <c r="DB322" i="79" s="1"/>
  <c r="CL84" i="79"/>
  <c r="CL135" i="79" s="1"/>
  <c r="CL161" i="79" s="1"/>
  <c r="CL167" i="79" s="1"/>
  <c r="CL325" i="79" s="1"/>
  <c r="CL237" i="79"/>
  <c r="CL260" i="79" s="1"/>
  <c r="CL322" i="79" s="1"/>
  <c r="CD84" i="79"/>
  <c r="CD135" i="79" s="1"/>
  <c r="CD161" i="79" s="1"/>
  <c r="CD167" i="79" s="1"/>
  <c r="CD325" i="79" s="1"/>
  <c r="CD237" i="79"/>
  <c r="CD260" i="79" s="1"/>
  <c r="CD322" i="79" s="1"/>
  <c r="BF84" i="79"/>
  <c r="BF135" i="79" s="1"/>
  <c r="BF161" i="79" s="1"/>
  <c r="BF167" i="79" s="1"/>
  <c r="BF325" i="79" s="1"/>
  <c r="BF237" i="79"/>
  <c r="BF260" i="79" s="1"/>
  <c r="BF322" i="79" s="1"/>
  <c r="CL237" i="80"/>
  <c r="CL260" i="80" s="1"/>
  <c r="CL322" i="80" s="1"/>
  <c r="CL84" i="80"/>
  <c r="CL135" i="80" s="1"/>
  <c r="CL161" i="80" s="1"/>
  <c r="CL167" i="80" s="1"/>
  <c r="CL325" i="80" s="1"/>
  <c r="EH237" i="80"/>
  <c r="EH260" i="80" s="1"/>
  <c r="EH322" i="80" s="1"/>
  <c r="EH84" i="80"/>
  <c r="EH135" i="80" s="1"/>
  <c r="EH161" i="80" s="1"/>
  <c r="EH167" i="80" s="1"/>
  <c r="EH325" i="80" s="1"/>
  <c r="CT237" i="80"/>
  <c r="CT260" i="80" s="1"/>
  <c r="CT322" i="80" s="1"/>
  <c r="CT84" i="80"/>
  <c r="CT135" i="80" s="1"/>
  <c r="CT161" i="80" s="1"/>
  <c r="CT167" i="80" s="1"/>
  <c r="CT325" i="80" s="1"/>
  <c r="AP237" i="79"/>
  <c r="AP260" i="79" s="1"/>
  <c r="AP322" i="79" s="1"/>
  <c r="AP84" i="79"/>
  <c r="AP135" i="79" s="1"/>
  <c r="AP161" i="79" s="1"/>
  <c r="AP167" i="79" s="1"/>
  <c r="AP325" i="79" s="1"/>
  <c r="FF237" i="79"/>
  <c r="FF260" i="79" s="1"/>
  <c r="FF322" i="79" s="1"/>
  <c r="FF84" i="79"/>
  <c r="FF135" i="79" s="1"/>
  <c r="FF161" i="79" s="1"/>
  <c r="FF167" i="79" s="1"/>
  <c r="FF325" i="79" s="1"/>
  <c r="DZ84" i="79"/>
  <c r="DZ135" i="79" s="1"/>
  <c r="DZ161" i="79" s="1"/>
  <c r="DZ167" i="79" s="1"/>
  <c r="DZ325" i="79" s="1"/>
  <c r="DZ237" i="79"/>
  <c r="DZ260" i="79" s="1"/>
  <c r="DZ322" i="79" s="1"/>
  <c r="DR237" i="79"/>
  <c r="DR260" i="79" s="1"/>
  <c r="DR322" i="79" s="1"/>
  <c r="DR84" i="79"/>
  <c r="DR135" i="79" s="1"/>
  <c r="DR161" i="79" s="1"/>
  <c r="DR167" i="79" s="1"/>
  <c r="DR325" i="79" s="1"/>
  <c r="AP84" i="80"/>
  <c r="AP135" i="80" s="1"/>
  <c r="AP161" i="80" s="1"/>
  <c r="AP167" i="80" s="1"/>
  <c r="AP325" i="80" s="1"/>
  <c r="AP237" i="80"/>
  <c r="AP260" i="80" s="1"/>
  <c r="AP322" i="80" s="1"/>
  <c r="R237" i="79"/>
  <c r="R260" i="79" s="1"/>
  <c r="R322" i="79" s="1"/>
  <c r="R84" i="79"/>
  <c r="R135" i="79" s="1"/>
  <c r="R161" i="79" s="1"/>
  <c r="R167" i="79" s="1"/>
  <c r="R325" i="79" s="1"/>
  <c r="FF237" i="80"/>
  <c r="FF260" i="80" s="1"/>
  <c r="FF322" i="80" s="1"/>
  <c r="FF84" i="80"/>
  <c r="FF135" i="80" s="1"/>
  <c r="FF161" i="80" s="1"/>
  <c r="FF167" i="80" s="1"/>
  <c r="FF325" i="80" s="1"/>
  <c r="AX84" i="80"/>
  <c r="AX135" i="80" s="1"/>
  <c r="AX161" i="80" s="1"/>
  <c r="AX167" i="80" s="1"/>
  <c r="AX325" i="80" s="1"/>
  <c r="AX237" i="80"/>
  <c r="AX260" i="80" s="1"/>
  <c r="AX322" i="80" s="1"/>
  <c r="DZ84" i="80"/>
  <c r="DZ135" i="80" s="1"/>
  <c r="DZ161" i="80" s="1"/>
  <c r="DZ167" i="80" s="1"/>
  <c r="DZ325" i="80" s="1"/>
  <c r="DZ237" i="80"/>
  <c r="DZ260" i="80" s="1"/>
  <c r="DZ322" i="80" s="1"/>
  <c r="EX84" i="79"/>
  <c r="EX135" i="79" s="1"/>
  <c r="EX161" i="79" s="1"/>
  <c r="EX167" i="79" s="1"/>
  <c r="EX325" i="79" s="1"/>
  <c r="EX237" i="79"/>
  <c r="EX260" i="79" s="1"/>
  <c r="EX322" i="79" s="1"/>
  <c r="DA237" i="79"/>
  <c r="DA260" i="79" s="1"/>
  <c r="DA322" i="79" s="1"/>
  <c r="DA84" i="79"/>
  <c r="DA135" i="79" s="1"/>
  <c r="DA161" i="79" s="1"/>
  <c r="DA167" i="79" s="1"/>
  <c r="DA325" i="79" s="1"/>
  <c r="EO84" i="79"/>
  <c r="EO135" i="79" s="1"/>
  <c r="EO161" i="79" s="1"/>
  <c r="EO167" i="79" s="1"/>
  <c r="EO325" i="79" s="1"/>
  <c r="EO237" i="79"/>
  <c r="EO260" i="79" s="1"/>
  <c r="EO322" i="79" s="1"/>
  <c r="BN84" i="80"/>
  <c r="BN135" i="80" s="1"/>
  <c r="BN161" i="80" s="1"/>
  <c r="BN167" i="80" s="1"/>
  <c r="BN325" i="80" s="1"/>
  <c r="BN237" i="80"/>
  <c r="BN260" i="80" s="1"/>
  <c r="BN322" i="80" s="1"/>
  <c r="AH84" i="79"/>
  <c r="AH135" i="79" s="1"/>
  <c r="AH161" i="79" s="1"/>
  <c r="AH167" i="79" s="1"/>
  <c r="AH325" i="79" s="1"/>
  <c r="AH237" i="79"/>
  <c r="AH260" i="79" s="1"/>
  <c r="AH322" i="79" s="1"/>
  <c r="EW84" i="80"/>
  <c r="EW135" i="80" s="1"/>
  <c r="EW161" i="80" s="1"/>
  <c r="EW167" i="80" s="1"/>
  <c r="EW325" i="80" s="1"/>
  <c r="EW237" i="80"/>
  <c r="EW260" i="80" s="1"/>
  <c r="EW322" i="80" s="1"/>
  <c r="EG84" i="79"/>
  <c r="EG135" i="79" s="1"/>
  <c r="EG161" i="79" s="1"/>
  <c r="EG167" i="79" s="1"/>
  <c r="EG325" i="79" s="1"/>
  <c r="EG237" i="79"/>
  <c r="EG260" i="79" s="1"/>
  <c r="EG322" i="79" s="1"/>
  <c r="DA84" i="80"/>
  <c r="DA135" i="80" s="1"/>
  <c r="DA161" i="80" s="1"/>
  <c r="DA167" i="80" s="1"/>
  <c r="DA325" i="80" s="1"/>
  <c r="DA237" i="80"/>
  <c r="DA260" i="80" s="1"/>
  <c r="DA322" i="80" s="1"/>
  <c r="CK84" i="79"/>
  <c r="CK135" i="79" s="1"/>
  <c r="CK161" i="79" s="1"/>
  <c r="CK167" i="79" s="1"/>
  <c r="CK325" i="79" s="1"/>
  <c r="CK237" i="79"/>
  <c r="CK260" i="79" s="1"/>
  <c r="CK322" i="79" s="1"/>
  <c r="AW237" i="80"/>
  <c r="AW260" i="80" s="1"/>
  <c r="AW322" i="80" s="1"/>
  <c r="AW84" i="80"/>
  <c r="AW135" i="80" s="1"/>
  <c r="AW161" i="80" s="1"/>
  <c r="AW167" i="80" s="1"/>
  <c r="AW325" i="80" s="1"/>
  <c r="DQ237" i="79"/>
  <c r="DQ260" i="79" s="1"/>
  <c r="DQ322" i="79" s="1"/>
  <c r="DQ84" i="79"/>
  <c r="DQ135" i="79" s="1"/>
  <c r="DQ161" i="79" s="1"/>
  <c r="DQ167" i="79" s="1"/>
  <c r="DQ325" i="79" s="1"/>
  <c r="CS237" i="80"/>
  <c r="CS260" i="80" s="1"/>
  <c r="CS322" i="80" s="1"/>
  <c r="CS84" i="80"/>
  <c r="CS135" i="80" s="1"/>
  <c r="CS161" i="80" s="1"/>
  <c r="CS167" i="80" s="1"/>
  <c r="CS325" i="80" s="1"/>
  <c r="EW237" i="79"/>
  <c r="EW260" i="79" s="1"/>
  <c r="EW322" i="79" s="1"/>
  <c r="EW84" i="79"/>
  <c r="EW135" i="79" s="1"/>
  <c r="EW161" i="79" s="1"/>
  <c r="EW167" i="79" s="1"/>
  <c r="EW325" i="79" s="1"/>
  <c r="CD237" i="80"/>
  <c r="CD260" i="80" s="1"/>
  <c r="CD322" i="80" s="1"/>
  <c r="CD84" i="80"/>
  <c r="CD135" i="80" s="1"/>
  <c r="CD161" i="80" s="1"/>
  <c r="CD167" i="80" s="1"/>
  <c r="CD325" i="80" s="1"/>
  <c r="AX84" i="79"/>
  <c r="AX135" i="79" s="1"/>
  <c r="AX161" i="79" s="1"/>
  <c r="AX167" i="79" s="1"/>
  <c r="AX325" i="79" s="1"/>
  <c r="AX237" i="79"/>
  <c r="AX260" i="79" s="1"/>
  <c r="AX322" i="79" s="1"/>
  <c r="FM84" i="79"/>
  <c r="FM135" i="79" s="1"/>
  <c r="FM161" i="79" s="1"/>
  <c r="FM167" i="79" s="1"/>
  <c r="FM325" i="79" s="1"/>
  <c r="FM237" i="79"/>
  <c r="FM260" i="79" s="1"/>
  <c r="FM322" i="79" s="1"/>
  <c r="FM237" i="80"/>
  <c r="FM260" i="80" s="1"/>
  <c r="FM322" i="80" s="1"/>
  <c r="FM84" i="80"/>
  <c r="FM135" i="80" s="1"/>
  <c r="FM161" i="80" s="1"/>
  <c r="FM167" i="80" s="1"/>
  <c r="FM325" i="80" s="1"/>
  <c r="BM237" i="80"/>
  <c r="BM260" i="80" s="1"/>
  <c r="BM322" i="80" s="1"/>
  <c r="BM84" i="80"/>
  <c r="BM135" i="80" s="1"/>
  <c r="BM161" i="80" s="1"/>
  <c r="BM167" i="80" s="1"/>
  <c r="BM325" i="80" s="1"/>
  <c r="H96" i="36"/>
  <c r="H98" i="36" s="1"/>
  <c r="J167" i="85" s="1"/>
  <c r="L95" i="90" s="1"/>
  <c r="H123" i="36"/>
  <c r="H125" i="36" s="1"/>
  <c r="H40" i="36"/>
  <c r="H42" i="36" s="1"/>
  <c r="J161" i="85"/>
  <c r="Z84" i="79"/>
  <c r="Z135" i="79" s="1"/>
  <c r="Z161" i="79" s="1"/>
  <c r="Z167" i="79" s="1"/>
  <c r="Z325" i="79" s="1"/>
  <c r="Z237" i="79"/>
  <c r="Z260" i="79" s="1"/>
  <c r="Z322" i="79" s="1"/>
  <c r="AW237" i="79"/>
  <c r="AW260" i="79" s="1"/>
  <c r="AW322" i="79" s="1"/>
  <c r="AW84" i="79"/>
  <c r="AW135" i="79" s="1"/>
  <c r="AW161" i="79" s="1"/>
  <c r="AW167" i="79" s="1"/>
  <c r="AW325" i="79" s="1"/>
  <c r="CT237" i="79"/>
  <c r="CT260" i="79" s="1"/>
  <c r="CT322" i="79" s="1"/>
  <c r="CT84" i="79"/>
  <c r="CT135" i="79" s="1"/>
  <c r="CT161" i="79" s="1"/>
  <c r="CT167" i="79" s="1"/>
  <c r="CT325" i="79" s="1"/>
  <c r="Q84" i="80"/>
  <c r="Q135" i="80" s="1"/>
  <c r="Q161" i="80" s="1"/>
  <c r="Q167" i="80" s="1"/>
  <c r="Q325" i="80" s="1"/>
  <c r="Q237" i="80"/>
  <c r="Q260" i="80" s="1"/>
  <c r="Q322" i="80" s="1"/>
  <c r="F123" i="36"/>
  <c r="F125" i="36" s="1"/>
  <c r="H161" i="85"/>
  <c r="F40" i="36"/>
  <c r="F42" i="36" s="1"/>
  <c r="F96" i="36"/>
  <c r="F98" i="36" s="1"/>
  <c r="H167" i="85" s="1"/>
  <c r="J95" i="90" s="1"/>
  <c r="AG237" i="80"/>
  <c r="AG260" i="80" s="1"/>
  <c r="AG322" i="80" s="1"/>
  <c r="AG84" i="80"/>
  <c r="AG135" i="80" s="1"/>
  <c r="AG161" i="80" s="1"/>
  <c r="AG167" i="80" s="1"/>
  <c r="AG325" i="80" s="1"/>
  <c r="Y84" i="80"/>
  <c r="Y135" i="80" s="1"/>
  <c r="Y161" i="80" s="1"/>
  <c r="Y167" i="80" s="1"/>
  <c r="Y325" i="80" s="1"/>
  <c r="Y237" i="80"/>
  <c r="Y260" i="80" s="1"/>
  <c r="Y322" i="80" s="1"/>
  <c r="FE237" i="80"/>
  <c r="FE260" i="80" s="1"/>
  <c r="FE322" i="80" s="1"/>
  <c r="FE84" i="80"/>
  <c r="FE135" i="80" s="1"/>
  <c r="FE161" i="80" s="1"/>
  <c r="FE167" i="80" s="1"/>
  <c r="FE325" i="80" s="1"/>
  <c r="BE84" i="79"/>
  <c r="BE135" i="79" s="1"/>
  <c r="BE161" i="79" s="1"/>
  <c r="BE167" i="79" s="1"/>
  <c r="BE325" i="79" s="1"/>
  <c r="BE237" i="79"/>
  <c r="BE260" i="79" s="1"/>
  <c r="BE322" i="79" s="1"/>
  <c r="BV237" i="79"/>
  <c r="BV260" i="79" s="1"/>
  <c r="BV322" i="79" s="1"/>
  <c r="BV84" i="79"/>
  <c r="BV135" i="79" s="1"/>
  <c r="BV161" i="79" s="1"/>
  <c r="BV167" i="79" s="1"/>
  <c r="BV325" i="79" s="1"/>
  <c r="BU84" i="80"/>
  <c r="BU135" i="80" s="1"/>
  <c r="BU161" i="80" s="1"/>
  <c r="BU167" i="80" s="1"/>
  <c r="BU325" i="80" s="1"/>
  <c r="BU237" i="80"/>
  <c r="BU260" i="80" s="1"/>
  <c r="BU322" i="80" s="1"/>
  <c r="AG84" i="79"/>
  <c r="AG135" i="79" s="1"/>
  <c r="AG161" i="79" s="1"/>
  <c r="AG167" i="79" s="1"/>
  <c r="AG325" i="79" s="1"/>
  <c r="AG237" i="79"/>
  <c r="AG260" i="79" s="1"/>
  <c r="AG322" i="79" s="1"/>
  <c r="G40" i="36"/>
  <c r="G42" i="36" s="1"/>
  <c r="G123" i="36"/>
  <c r="G125" i="36" s="1"/>
  <c r="I161" i="85"/>
  <c r="G96" i="36"/>
  <c r="G98" i="36" s="1"/>
  <c r="I167" i="85" s="1"/>
  <c r="K95" i="90" s="1"/>
  <c r="DR237" i="80"/>
  <c r="DR260" i="80" s="1"/>
  <c r="DR322" i="80" s="1"/>
  <c r="DR84" i="80"/>
  <c r="DR135" i="80" s="1"/>
  <c r="DR161" i="80" s="1"/>
  <c r="DR167" i="80" s="1"/>
  <c r="DR325" i="80" s="1"/>
  <c r="FN84" i="80"/>
  <c r="FN135" i="80" s="1"/>
  <c r="FN161" i="80" s="1"/>
  <c r="FN167" i="80" s="1"/>
  <c r="FN325" i="80" s="1"/>
  <c r="FN237" i="80"/>
  <c r="FN260" i="80" s="1"/>
  <c r="FN322" i="80" s="1"/>
  <c r="DI84" i="79"/>
  <c r="DI135" i="79" s="1"/>
  <c r="DI161" i="79" s="1"/>
  <c r="DI167" i="79" s="1"/>
  <c r="DI325" i="79" s="1"/>
  <c r="DI237" i="79"/>
  <c r="DI260" i="79" s="1"/>
  <c r="DI322" i="79" s="1"/>
  <c r="EP237" i="79"/>
  <c r="EP260" i="79" s="1"/>
  <c r="EP322" i="79" s="1"/>
  <c r="EP84" i="79"/>
  <c r="EP135" i="79" s="1"/>
  <c r="EP161" i="79" s="1"/>
  <c r="EP167" i="79" s="1"/>
  <c r="EP325" i="79" s="1"/>
  <c r="EO237" i="80"/>
  <c r="EO260" i="80" s="1"/>
  <c r="EO322" i="80" s="1"/>
  <c r="EO84" i="80"/>
  <c r="EO135" i="80" s="1"/>
  <c r="EO161" i="80" s="1"/>
  <c r="EO167" i="80" s="1"/>
  <c r="EO325" i="80" s="1"/>
  <c r="EH237" i="79"/>
  <c r="EH260" i="79" s="1"/>
  <c r="EH322" i="79" s="1"/>
  <c r="EH84" i="79"/>
  <c r="EH135" i="79" s="1"/>
  <c r="EH161" i="79" s="1"/>
  <c r="EH167" i="79" s="1"/>
  <c r="EH325" i="79" s="1"/>
  <c r="Z237" i="80"/>
  <c r="Z260" i="80" s="1"/>
  <c r="Z322" i="80" s="1"/>
  <c r="Z84" i="80"/>
  <c r="Z135" i="80" s="1"/>
  <c r="Z161" i="80" s="1"/>
  <c r="Z167" i="80" s="1"/>
  <c r="Z325" i="80" s="1"/>
  <c r="AO237" i="79"/>
  <c r="AO260" i="79" s="1"/>
  <c r="AO322" i="79" s="1"/>
  <c r="AO84" i="79"/>
  <c r="AO135" i="79" s="1"/>
  <c r="AO161" i="79" s="1"/>
  <c r="AO167" i="79" s="1"/>
  <c r="AO325" i="79" s="1"/>
  <c r="BU84" i="79"/>
  <c r="BU135" i="79" s="1"/>
  <c r="BU161" i="79" s="1"/>
  <c r="BU167" i="79" s="1"/>
  <c r="BU325" i="79" s="1"/>
  <c r="BU237" i="79"/>
  <c r="BU260" i="79" s="1"/>
  <c r="BU322" i="79" s="1"/>
  <c r="Y84" i="79"/>
  <c r="Y135" i="79" s="1"/>
  <c r="Y161" i="79" s="1"/>
  <c r="Y167" i="79" s="1"/>
  <c r="Y325" i="79" s="1"/>
  <c r="Y237" i="79"/>
  <c r="Y260" i="79" s="1"/>
  <c r="Y322" i="79" s="1"/>
  <c r="CC237" i="80"/>
  <c r="CC260" i="80" s="1"/>
  <c r="CC322" i="80" s="1"/>
  <c r="CC84" i="80"/>
  <c r="CC135" i="80" s="1"/>
  <c r="CC161" i="80" s="1"/>
  <c r="CC167" i="80" s="1"/>
  <c r="CC325" i="80" s="1"/>
  <c r="AH237" i="80"/>
  <c r="AH260" i="80" s="1"/>
  <c r="AH322" i="80" s="1"/>
  <c r="AH84" i="80"/>
  <c r="AH135" i="80" s="1"/>
  <c r="AH161" i="80" s="1"/>
  <c r="AH167" i="80" s="1"/>
  <c r="AH325" i="80" s="1"/>
  <c r="FE237" i="79"/>
  <c r="FE260" i="79" s="1"/>
  <c r="FE322" i="79" s="1"/>
  <c r="FE84" i="79"/>
  <c r="FE135" i="79" s="1"/>
  <c r="FE161" i="79" s="1"/>
  <c r="FE167" i="79" s="1"/>
  <c r="FE325" i="79" s="1"/>
  <c r="CS237" i="79"/>
  <c r="CS260" i="79" s="1"/>
  <c r="CS322" i="79" s="1"/>
  <c r="CS84" i="79"/>
  <c r="CS135" i="79" s="1"/>
  <c r="CS161" i="79" s="1"/>
  <c r="CS167" i="79" s="1"/>
  <c r="CS325" i="79" s="1"/>
  <c r="DY84" i="80"/>
  <c r="DY135" i="80" s="1"/>
  <c r="DY161" i="80" s="1"/>
  <c r="DY167" i="80" s="1"/>
  <c r="DY325" i="80" s="1"/>
  <c r="DY237" i="80"/>
  <c r="DY260" i="80" s="1"/>
  <c r="DY322" i="80" s="1"/>
  <c r="BE237" i="80"/>
  <c r="BE260" i="80" s="1"/>
  <c r="BE322" i="80" s="1"/>
  <c r="BE84" i="80"/>
  <c r="BE135" i="80" s="1"/>
  <c r="BE161" i="80" s="1"/>
  <c r="BE167" i="80" s="1"/>
  <c r="BE325" i="80" s="1"/>
  <c r="DQ237" i="80"/>
  <c r="DQ260" i="80" s="1"/>
  <c r="DQ322" i="80" s="1"/>
  <c r="DQ84" i="80"/>
  <c r="DQ135" i="80" s="1"/>
  <c r="DQ161" i="80" s="1"/>
  <c r="DQ167" i="80" s="1"/>
  <c r="DQ325" i="80" s="1"/>
  <c r="Q84" i="79"/>
  <c r="Q135" i="79" s="1"/>
  <c r="Q161" i="79" s="1"/>
  <c r="Q167" i="79" s="1"/>
  <c r="Q325" i="79" s="1"/>
  <c r="Q237" i="79"/>
  <c r="Q260" i="79" s="1"/>
  <c r="Q322" i="79" s="1"/>
  <c r="AO237" i="80"/>
  <c r="AO260" i="80" s="1"/>
  <c r="AO322" i="80" s="1"/>
  <c r="AO84" i="80"/>
  <c r="AO135" i="80" s="1"/>
  <c r="AO161" i="80" s="1"/>
  <c r="AO167" i="80" s="1"/>
  <c r="AO325" i="80" s="1"/>
  <c r="CK237" i="80"/>
  <c r="CK260" i="80" s="1"/>
  <c r="CK322" i="80" s="1"/>
  <c r="CK84" i="80"/>
  <c r="CK135" i="80" s="1"/>
  <c r="CK161" i="80" s="1"/>
  <c r="CK167" i="80" s="1"/>
  <c r="CK325" i="80" s="1"/>
  <c r="CC237" i="79"/>
  <c r="CC260" i="79" s="1"/>
  <c r="CC322" i="79" s="1"/>
  <c r="CC84" i="79"/>
  <c r="CC135" i="79" s="1"/>
  <c r="CC161" i="79" s="1"/>
  <c r="CC167" i="79" s="1"/>
  <c r="CC325" i="79" s="1"/>
  <c r="BM237" i="79"/>
  <c r="BM260" i="79" s="1"/>
  <c r="BM322" i="79" s="1"/>
  <c r="BM84" i="79"/>
  <c r="BM135" i="79" s="1"/>
  <c r="BM161" i="79" s="1"/>
  <c r="BM167" i="79" s="1"/>
  <c r="BM325" i="79" s="1"/>
  <c r="DI84" i="80"/>
  <c r="DI135" i="80" s="1"/>
  <c r="DI161" i="80" s="1"/>
  <c r="DI167" i="80" s="1"/>
  <c r="DI325" i="80" s="1"/>
  <c r="DI237" i="80"/>
  <c r="DI260" i="80" s="1"/>
  <c r="DI322" i="80" s="1"/>
  <c r="DY84" i="79"/>
  <c r="DY135" i="79" s="1"/>
  <c r="DY161" i="79" s="1"/>
  <c r="DY167" i="79" s="1"/>
  <c r="DY325" i="79" s="1"/>
  <c r="DY237" i="79"/>
  <c r="DY260" i="79" s="1"/>
  <c r="DY322" i="79" s="1"/>
  <c r="EG237" i="80"/>
  <c r="EG260" i="80" s="1"/>
  <c r="EG322" i="80" s="1"/>
  <c r="EG84" i="80"/>
  <c r="EG135" i="80" s="1"/>
  <c r="EG161" i="80" s="1"/>
  <c r="EG167" i="80" s="1"/>
  <c r="EG325" i="80" s="1"/>
  <c r="EH334" i="80" l="1"/>
  <c r="DZ334" i="79"/>
  <c r="CL334" i="79"/>
  <c r="AW334" i="79"/>
  <c r="AV340" i="79" s="1"/>
  <c r="BM334" i="80"/>
  <c r="BL340" i="80" s="1"/>
  <c r="EW334" i="80"/>
  <c r="EV340" i="80" s="1"/>
  <c r="DA334" i="79"/>
  <c r="CZ340" i="79" s="1"/>
  <c r="FF334" i="80"/>
  <c r="CT334" i="79"/>
  <c r="FF334" i="79"/>
  <c r="Y334" i="79"/>
  <c r="X340" i="79" s="1"/>
  <c r="FN334" i="80"/>
  <c r="AG334" i="79"/>
  <c r="AF340" i="79" s="1"/>
  <c r="FE334" i="80"/>
  <c r="FD340" i="80" s="1"/>
  <c r="AH334" i="79"/>
  <c r="FE334" i="79"/>
  <c r="FD340" i="79" s="1"/>
  <c r="Q334" i="79"/>
  <c r="P340" i="79" s="1"/>
  <c r="DQ334" i="79"/>
  <c r="DP340" i="79" s="1"/>
  <c r="CT334" i="80"/>
  <c r="EX334" i="79"/>
  <c r="CS334" i="80"/>
  <c r="CR340" i="80" s="1"/>
  <c r="F16" i="7"/>
  <c r="J325" i="85" s="1"/>
  <c r="BM334" i="79"/>
  <c r="BL340" i="79" s="1"/>
  <c r="DR334" i="79"/>
  <c r="DY334" i="79"/>
  <c r="DX340" i="79" s="1"/>
  <c r="DY334" i="80"/>
  <c r="DX340" i="80" s="1"/>
  <c r="E16" i="7"/>
  <c r="I325" i="85" s="1"/>
  <c r="CK334" i="79"/>
  <c r="CJ340" i="79" s="1"/>
  <c r="CS334" i="79"/>
  <c r="CR340" i="79" s="1"/>
  <c r="AH334" i="80"/>
  <c r="BU334" i="80"/>
  <c r="BT340" i="80" s="1"/>
  <c r="DJ334" i="80"/>
  <c r="AP334" i="79"/>
  <c r="BV334" i="79"/>
  <c r="CC334" i="80"/>
  <c r="CB340" i="80" s="1"/>
  <c r="CC334" i="79"/>
  <c r="CB340" i="79" s="1"/>
  <c r="D16" i="7"/>
  <c r="CD334" i="80"/>
  <c r="AW334" i="80"/>
  <c r="AV340" i="80" s="1"/>
  <c r="EX334" i="80"/>
  <c r="R334" i="80"/>
  <c r="DI334" i="80"/>
  <c r="DH340" i="80" s="1"/>
  <c r="BU334" i="79"/>
  <c r="BT340" i="79" s="1"/>
  <c r="EO334" i="80"/>
  <c r="EN340" i="80" s="1"/>
  <c r="Z334" i="79"/>
  <c r="DB334" i="79"/>
  <c r="DJ334" i="79"/>
  <c r="EP334" i="80"/>
  <c r="CK334" i="80"/>
  <c r="CJ340" i="80" s="1"/>
  <c r="EH334" i="79"/>
  <c r="FM334" i="80"/>
  <c r="FL340" i="80" s="1"/>
  <c r="EW334" i="79"/>
  <c r="EV340" i="79" s="1"/>
  <c r="R334" i="79"/>
  <c r="CL334" i="80"/>
  <c r="Z334" i="80"/>
  <c r="AO334" i="80"/>
  <c r="AN340" i="80" s="1"/>
  <c r="DQ334" i="80"/>
  <c r="DP340" i="80" s="1"/>
  <c r="AO334" i="79"/>
  <c r="AN340" i="79" s="1"/>
  <c r="EP334" i="79"/>
  <c r="DR334" i="80"/>
  <c r="Y334" i="80"/>
  <c r="X340" i="80" s="1"/>
  <c r="Q334" i="80"/>
  <c r="P340" i="80" s="1"/>
  <c r="FM334" i="79"/>
  <c r="FL340" i="79" s="1"/>
  <c r="DA334" i="80"/>
  <c r="CZ340" i="80" s="1"/>
  <c r="BN334" i="80"/>
  <c r="DZ334" i="80"/>
  <c r="AP334" i="80"/>
  <c r="BF334" i="79"/>
  <c r="BF334" i="80"/>
  <c r="BN334" i="79"/>
  <c r="AG334" i="80"/>
  <c r="AF340" i="80" s="1"/>
  <c r="AX334" i="79"/>
  <c r="EG334" i="79"/>
  <c r="EF340" i="79" s="1"/>
  <c r="EO334" i="79"/>
  <c r="EN340" i="79" s="1"/>
  <c r="AX334" i="80"/>
  <c r="CD334" i="79"/>
  <c r="FN334" i="79"/>
  <c r="BV334" i="80"/>
  <c r="DB334" i="80"/>
  <c r="DI334" i="79"/>
  <c r="DH340" i="79" s="1"/>
  <c r="BE334" i="80"/>
  <c r="BD340" i="80" s="1"/>
  <c r="EG334" i="80"/>
  <c r="EF340" i="80" s="1"/>
  <c r="BE334" i="79"/>
  <c r="BD340" i="79" s="1"/>
  <c r="F25" i="7" l="1"/>
  <c r="J334" i="85" s="1"/>
  <c r="E25" i="7"/>
  <c r="I33" i="7" s="1"/>
  <c r="H325" i="85"/>
  <c r="D25" i="7"/>
  <c r="H33" i="7" l="1"/>
  <c r="K33" i="7"/>
  <c r="I334" i="85"/>
  <c r="D33" i="7"/>
  <c r="J33" i="7"/>
  <c r="D32" i="7"/>
  <c r="H32" i="7"/>
  <c r="H334" i="85"/>
  <c r="I32" i="7"/>
  <c r="J32" i="7"/>
  <c r="K32" i="7"/>
  <c r="H36" i="7" l="1"/>
  <c r="H46" i="7" s="1"/>
  <c r="H340" i="85"/>
  <c r="AA46" i="77"/>
  <c r="AA46" i="83"/>
  <c r="H339" i="85"/>
  <c r="AA47" i="83" l="1"/>
  <c r="F35" i="7"/>
  <c r="AA47" i="77"/>
  <c r="F34" i="7"/>
  <c r="J35" i="7" l="1"/>
  <c r="J36" i="7" s="1"/>
  <c r="J46" i="7" s="1"/>
  <c r="D40" i="7" s="1"/>
  <c r="D34" i="7" s="1"/>
  <c r="K35" i="7"/>
  <c r="I34" i="7"/>
  <c r="I36" i="7" s="1"/>
  <c r="I46" i="7" s="1"/>
  <c r="D43" i="7" s="1"/>
  <c r="H350" i="85" s="1"/>
  <c r="K34" i="7"/>
  <c r="K36" i="7" l="1"/>
  <c r="K46" i="7" s="1"/>
  <c r="H341" i="85"/>
  <c r="D35" i="7"/>
  <c r="H342" i="85" s="1"/>
  <c r="D41" i="7"/>
  <c r="H347" i="85"/>
  <c r="H346" i="80"/>
  <c r="H346" i="79"/>
  <c r="H341" i="80" l="1"/>
  <c r="EV341" i="80" s="1"/>
  <c r="EV342" i="80" s="1"/>
  <c r="D36" i="7"/>
  <c r="H343" i="85" s="1"/>
  <c r="M183" i="90" s="1"/>
  <c r="D44" i="7"/>
  <c r="H348" i="85"/>
  <c r="BD346" i="80"/>
  <c r="BD347" i="80" s="1"/>
  <c r="BD349" i="80" s="1"/>
  <c r="FD346" i="80"/>
  <c r="FD347" i="80" s="1"/>
  <c r="FD349" i="80" s="1"/>
  <c r="FL346" i="80"/>
  <c r="FL347" i="80" s="1"/>
  <c r="FL349" i="80" s="1"/>
  <c r="EF346" i="80"/>
  <c r="EF347" i="80" s="1"/>
  <c r="EF349" i="80" s="1"/>
  <c r="H347" i="80"/>
  <c r="H349" i="80" s="1"/>
  <c r="CZ346" i="80"/>
  <c r="CZ347" i="80" s="1"/>
  <c r="CZ349" i="80" s="1"/>
  <c r="DH346" i="80"/>
  <c r="DH347" i="80" s="1"/>
  <c r="DH349" i="80" s="1"/>
  <c r="EV346" i="80"/>
  <c r="EV347" i="80" s="1"/>
  <c r="EV349" i="80" s="1"/>
  <c r="EV351" i="80" s="1"/>
  <c r="BL346" i="80"/>
  <c r="BL347" i="80" s="1"/>
  <c r="BL349" i="80" s="1"/>
  <c r="BT346" i="80"/>
  <c r="BT347" i="80" s="1"/>
  <c r="BT349" i="80" s="1"/>
  <c r="DP346" i="80"/>
  <c r="DP347" i="80" s="1"/>
  <c r="DP349" i="80" s="1"/>
  <c r="AV346" i="80"/>
  <c r="AV347" i="80" s="1"/>
  <c r="AV349" i="80" s="1"/>
  <c r="CJ346" i="80"/>
  <c r="CJ347" i="80" s="1"/>
  <c r="CJ349" i="80" s="1"/>
  <c r="P346" i="80"/>
  <c r="P347" i="80" s="1"/>
  <c r="P349" i="80" s="1"/>
  <c r="CB346" i="80"/>
  <c r="CB347" i="80" s="1"/>
  <c r="CB349" i="80" s="1"/>
  <c r="DX346" i="80"/>
  <c r="DX347" i="80" s="1"/>
  <c r="DX349" i="80" s="1"/>
  <c r="EN346" i="80"/>
  <c r="EN347" i="80" s="1"/>
  <c r="EN349" i="80" s="1"/>
  <c r="AN346" i="80"/>
  <c r="AN347" i="80" s="1"/>
  <c r="AN349" i="80" s="1"/>
  <c r="AF346" i="80"/>
  <c r="AF347" i="80" s="1"/>
  <c r="AF349" i="80" s="1"/>
  <c r="X346" i="80"/>
  <c r="X347" i="80" s="1"/>
  <c r="X349" i="80" s="1"/>
  <c r="CR346" i="80"/>
  <c r="CR347" i="80" s="1"/>
  <c r="CR349" i="80" s="1"/>
  <c r="EF341" i="80"/>
  <c r="EF342" i="80" s="1"/>
  <c r="EV346" i="79"/>
  <c r="EV347" i="79" s="1"/>
  <c r="EV349" i="79" s="1"/>
  <c r="CB346" i="79"/>
  <c r="CB347" i="79" s="1"/>
  <c r="CB349" i="79" s="1"/>
  <c r="X346" i="79"/>
  <c r="X347" i="79" s="1"/>
  <c r="X349" i="79" s="1"/>
  <c r="H347" i="79"/>
  <c r="H349" i="79" s="1"/>
  <c r="FL346" i="79"/>
  <c r="FL347" i="79" s="1"/>
  <c r="FL349" i="79" s="1"/>
  <c r="EF346" i="79"/>
  <c r="EF347" i="79" s="1"/>
  <c r="EF349" i="79" s="1"/>
  <c r="AN346" i="79"/>
  <c r="AN347" i="79" s="1"/>
  <c r="AN349" i="79" s="1"/>
  <c r="DP346" i="79"/>
  <c r="DP347" i="79" s="1"/>
  <c r="DP349" i="79" s="1"/>
  <c r="CR346" i="79"/>
  <c r="CR347" i="79" s="1"/>
  <c r="CR349" i="79" s="1"/>
  <c r="BT346" i="79"/>
  <c r="BT347" i="79" s="1"/>
  <c r="BT349" i="79" s="1"/>
  <c r="BL346" i="79"/>
  <c r="BL347" i="79" s="1"/>
  <c r="BL349" i="79" s="1"/>
  <c r="EN346" i="79"/>
  <c r="EN347" i="79" s="1"/>
  <c r="EN349" i="79" s="1"/>
  <c r="FD346" i="79"/>
  <c r="FD347" i="79" s="1"/>
  <c r="FD349" i="79" s="1"/>
  <c r="AF346" i="79"/>
  <c r="AF347" i="79" s="1"/>
  <c r="AF349" i="79" s="1"/>
  <c r="P346" i="79"/>
  <c r="P347" i="79" s="1"/>
  <c r="P349" i="79" s="1"/>
  <c r="CZ346" i="79"/>
  <c r="CZ347" i="79" s="1"/>
  <c r="CZ349" i="79" s="1"/>
  <c r="AV346" i="79"/>
  <c r="AV347" i="79" s="1"/>
  <c r="AV349" i="79" s="1"/>
  <c r="DX346" i="79"/>
  <c r="DX347" i="79" s="1"/>
  <c r="DX349" i="79" s="1"/>
  <c r="DH346" i="79"/>
  <c r="DH347" i="79" s="1"/>
  <c r="DH349" i="79" s="1"/>
  <c r="BD346" i="79"/>
  <c r="BD347" i="79" s="1"/>
  <c r="BD349" i="79" s="1"/>
  <c r="CJ346" i="79"/>
  <c r="CJ347" i="79" s="1"/>
  <c r="CJ349" i="79" s="1"/>
  <c r="H341" i="79"/>
  <c r="AV341" i="80" l="1"/>
  <c r="AV342" i="80" s="1"/>
  <c r="AV351" i="80" s="1"/>
  <c r="BT341" i="80"/>
  <c r="BT342" i="80" s="1"/>
  <c r="AF341" i="80"/>
  <c r="AF342" i="80" s="1"/>
  <c r="AF351" i="80" s="1"/>
  <c r="CB341" i="80"/>
  <c r="CB342" i="80" s="1"/>
  <c r="CB351" i="80" s="1"/>
  <c r="EN341" i="80"/>
  <c r="EN342" i="80" s="1"/>
  <c r="EN351" i="80" s="1"/>
  <c r="CR341" i="80"/>
  <c r="CR342" i="80" s="1"/>
  <c r="CR351" i="80" s="1"/>
  <c r="CZ341" i="80"/>
  <c r="CZ342" i="80" s="1"/>
  <c r="CZ351" i="80" s="1"/>
  <c r="BL341" i="80"/>
  <c r="BL342" i="80" s="1"/>
  <c r="BL351" i="80" s="1"/>
  <c r="DX341" i="80"/>
  <c r="DX342" i="80" s="1"/>
  <c r="DX351" i="80" s="1"/>
  <c r="BD341" i="80"/>
  <c r="BD342" i="80" s="1"/>
  <c r="BD351" i="80" s="1"/>
  <c r="DP341" i="80"/>
  <c r="DP342" i="80" s="1"/>
  <c r="DP351" i="80" s="1"/>
  <c r="CJ341" i="80"/>
  <c r="CJ342" i="80" s="1"/>
  <c r="CJ351" i="80" s="1"/>
  <c r="DH351" i="80"/>
  <c r="X341" i="80"/>
  <c r="X342" i="80" s="1"/>
  <c r="X351" i="80" s="1"/>
  <c r="H342" i="80"/>
  <c r="H351" i="80" s="1"/>
  <c r="P341" i="80"/>
  <c r="P342" i="80" s="1"/>
  <c r="P351" i="80" s="1"/>
  <c r="DH341" i="80"/>
  <c r="DH342" i="80" s="1"/>
  <c r="FD341" i="80"/>
  <c r="FD342" i="80" s="1"/>
  <c r="FD351" i="80" s="1"/>
  <c r="AN341" i="80"/>
  <c r="AN342" i="80" s="1"/>
  <c r="AN351" i="80" s="1"/>
  <c r="FL341" i="80"/>
  <c r="FL342" i="80" s="1"/>
  <c r="FL351" i="80" s="1"/>
  <c r="BT351" i="80"/>
  <c r="EF351" i="80"/>
  <c r="D46" i="7"/>
  <c r="H353" i="85" s="1"/>
  <c r="O185" i="90" s="1"/>
  <c r="H351" i="85"/>
  <c r="N184" i="90" s="1"/>
  <c r="DH341" i="79"/>
  <c r="DH342" i="79" s="1"/>
  <c r="DH351" i="79" s="1"/>
  <c r="AV341" i="79"/>
  <c r="AV342" i="79" s="1"/>
  <c r="AV351" i="79" s="1"/>
  <c r="X341" i="79"/>
  <c r="X342" i="79" s="1"/>
  <c r="X351" i="79" s="1"/>
  <c r="BT341" i="79"/>
  <c r="BT342" i="79" s="1"/>
  <c r="BT351" i="79" s="1"/>
  <c r="P341" i="79"/>
  <c r="P342" i="79" s="1"/>
  <c r="P351" i="79" s="1"/>
  <c r="EF341" i="79"/>
  <c r="EF342" i="79" s="1"/>
  <c r="EF351" i="79" s="1"/>
  <c r="FD341" i="79"/>
  <c r="FD342" i="79" s="1"/>
  <c r="FD351" i="79" s="1"/>
  <c r="DX341" i="79"/>
  <c r="DX342" i="79" s="1"/>
  <c r="DX351" i="79" s="1"/>
  <c r="EN341" i="79"/>
  <c r="EN342" i="79" s="1"/>
  <c r="EN351" i="79" s="1"/>
  <c r="EV341" i="79"/>
  <c r="EV342" i="79" s="1"/>
  <c r="EV351" i="79" s="1"/>
  <c r="H342" i="79"/>
  <c r="AF341" i="79"/>
  <c r="AF342" i="79" s="1"/>
  <c r="AF351" i="79" s="1"/>
  <c r="BL341" i="79"/>
  <c r="BL342" i="79" s="1"/>
  <c r="BL351" i="79" s="1"/>
  <c r="CJ341" i="79"/>
  <c r="CJ342" i="79" s="1"/>
  <c r="CJ351" i="79" s="1"/>
  <c r="BD341" i="79"/>
  <c r="BD342" i="79" s="1"/>
  <c r="BD351" i="79" s="1"/>
  <c r="CB341" i="79"/>
  <c r="CB342" i="79" s="1"/>
  <c r="CB351" i="79" s="1"/>
  <c r="AN341" i="79"/>
  <c r="AN342" i="79" s="1"/>
  <c r="AN351" i="79" s="1"/>
  <c r="CZ341" i="79"/>
  <c r="CZ342" i="79" s="1"/>
  <c r="CZ351" i="79" s="1"/>
  <c r="DP341" i="79"/>
  <c r="DP342" i="79" s="1"/>
  <c r="DP351" i="79" s="1"/>
  <c r="CR341" i="79"/>
  <c r="CR342" i="79" s="1"/>
  <c r="CR351" i="79" s="1"/>
  <c r="FL341" i="79"/>
  <c r="FL342" i="79" s="1"/>
  <c r="FL351" i="79" s="1"/>
  <c r="H351" i="79" l="1"/>
  <c r="FD352" i="79" s="1"/>
  <c r="FD354" i="79" s="1"/>
  <c r="DH352" i="80"/>
  <c r="DH354" i="80" s="1"/>
  <c r="DP352" i="79"/>
  <c r="DP354" i="79" s="1"/>
  <c r="CZ352" i="79"/>
  <c r="CZ354" i="79" s="1"/>
  <c r="EF352" i="79"/>
  <c r="EF354" i="79" s="1"/>
  <c r="BD352" i="79"/>
  <c r="BD354" i="79" s="1"/>
  <c r="CJ352" i="79"/>
  <c r="CJ354" i="79" s="1"/>
  <c r="FL352" i="79"/>
  <c r="FL354" i="79" s="1"/>
  <c r="P352" i="79"/>
  <c r="P354" i="79" s="1"/>
  <c r="BL352" i="79"/>
  <c r="BL354" i="79" s="1"/>
  <c r="CR352" i="79"/>
  <c r="CR354" i="79" s="1"/>
  <c r="AF352" i="79"/>
  <c r="AF354" i="79" s="1"/>
  <c r="BT352" i="79"/>
  <c r="BT354" i="79" s="1"/>
  <c r="CR352" i="80"/>
  <c r="CR354" i="80" s="1"/>
  <c r="DP352" i="80"/>
  <c r="DP354" i="80" s="1"/>
  <c r="BD352" i="80"/>
  <c r="BD354" i="80" s="1"/>
  <c r="EN352" i="80"/>
  <c r="EN354" i="80" s="1"/>
  <c r="DX352" i="80"/>
  <c r="DX354" i="80" s="1"/>
  <c r="AV352" i="80"/>
  <c r="AV354" i="80" s="1"/>
  <c r="X352" i="79"/>
  <c r="X354" i="79" s="1"/>
  <c r="CB352" i="80"/>
  <c r="CB354" i="80" s="1"/>
  <c r="EF352" i="80"/>
  <c r="EF354" i="80" s="1"/>
  <c r="AV352" i="79"/>
  <c r="AV354" i="79" s="1"/>
  <c r="BL352" i="80"/>
  <c r="BL354" i="80" s="1"/>
  <c r="AN352" i="80"/>
  <c r="AN354" i="80" s="1"/>
  <c r="EV352" i="79"/>
  <c r="EV354" i="79" s="1"/>
  <c r="EN352" i="79"/>
  <c r="EN354" i="79" s="1"/>
  <c r="DH352" i="79"/>
  <c r="DH354" i="79" s="1"/>
  <c r="AF352" i="80"/>
  <c r="AF354" i="80" s="1"/>
  <c r="EV352" i="80"/>
  <c r="EV354" i="80" s="1"/>
  <c r="AN352" i="79"/>
  <c r="AN354" i="79" s="1"/>
  <c r="FL352" i="80"/>
  <c r="FL354" i="80" s="1"/>
  <c r="CB352" i="79"/>
  <c r="CB354" i="79" s="1"/>
  <c r="DX352" i="79"/>
  <c r="DX354" i="79" s="1"/>
  <c r="CZ352" i="80"/>
  <c r="CZ354" i="80" s="1"/>
  <c r="X352" i="80"/>
  <c r="X354" i="80" s="1"/>
  <c r="BT352" i="80"/>
  <c r="BT354" i="80" s="1"/>
  <c r="P352" i="80"/>
  <c r="P354" i="80" s="1"/>
  <c r="CJ352" i="80"/>
  <c r="CJ354" i="80" s="1"/>
  <c r="FD352" i="80"/>
  <c r="FD354" i="80"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Edwards,Michael D (BPA) - PSRF-6</author>
  </authors>
  <commentList>
    <comment ref="H39" authorId="0" shapeId="0" xr:uid="{CAD7C89E-3FEC-470C-B880-08E201F7D420}">
      <text>
        <r>
          <rPr>
            <b/>
            <sz val="9"/>
            <color indexed="81"/>
            <rFont val="Tahoma"/>
            <family val="2"/>
          </rPr>
          <t>Edwards,Michael D (BPA) - PSRF-6:</t>
        </r>
        <r>
          <rPr>
            <sz val="9"/>
            <color indexed="81"/>
            <rFont val="Tahoma"/>
            <family val="2"/>
          </rPr>
          <t xml:space="preserve">
565 has been assigned to Production for this scenario, the other Transmission Expenses have been assigned to Distribution.</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Edwards,Michael D (BPA) - PSRF-6</author>
  </authors>
  <commentList>
    <comment ref="G87" authorId="0" shapeId="0" xr:uid="{9C540F9C-9BB4-4271-A804-5C7958884B2C}">
      <text>
        <r>
          <rPr>
            <b/>
            <sz val="9"/>
            <color indexed="81"/>
            <rFont val="Tahoma"/>
            <family val="2"/>
          </rPr>
          <t>Edwards,Michael D (BPA) - PSRF-6:</t>
        </r>
        <r>
          <rPr>
            <sz val="9"/>
            <color indexed="81"/>
            <rFont val="Tahoma"/>
            <family val="2"/>
          </rPr>
          <t xml:space="preserve">
Ratios assign transmission plant to distribution for the purpose of this scenario.</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Cheung, Sherona (PacifiCorp)</author>
    <author>Sutherland, Colin</author>
    <author>Russell</author>
  </authors>
  <commentList>
    <comment ref="E21" authorId="0" shapeId="0" xr:uid="{89CDA4E3-E2B8-4C78-A0EE-63C40E264707}">
      <text>
        <r>
          <rPr>
            <b/>
            <sz val="9"/>
            <color indexed="81"/>
            <rFont val="Tahoma"/>
            <family val="2"/>
          </rPr>
          <t>Cheung, Sherona (PacifiCorp):</t>
        </r>
        <r>
          <rPr>
            <sz val="9"/>
            <color indexed="81"/>
            <rFont val="Tahoma"/>
            <family val="2"/>
          </rPr>
          <t xml:space="preserve">
Total purchased power balances including CA GHG and deferrals</t>
        </r>
      </text>
    </comment>
    <comment ref="C24" authorId="1" shapeId="0" xr:uid="{00650711-B6EB-43AF-9045-4B2A1767F649}">
      <text>
        <r>
          <rPr>
            <b/>
            <sz val="9"/>
            <color indexed="81"/>
            <rFont val="Tahoma"/>
            <family val="2"/>
          </rPr>
          <t>Sutherland, Colin:</t>
        </r>
        <r>
          <rPr>
            <sz val="9"/>
            <color indexed="81"/>
            <rFont val="Tahoma"/>
            <family val="2"/>
          </rPr>
          <t xml:space="preserve">
BPA Credits now booked to FERC 407 and nets out to Revenues. No more credits posted to FERC 555</t>
        </r>
      </text>
    </comment>
    <comment ref="B42" authorId="2" shapeId="0" xr:uid="{E448801D-8B28-468A-9370-3B13299C46EE}">
      <text>
        <r>
          <rPr>
            <b/>
            <sz val="9"/>
            <color indexed="81"/>
            <rFont val="Tahoma"/>
            <family val="2"/>
          </rPr>
          <t xml:space="preserve">BPA: </t>
        </r>
        <r>
          <rPr>
            <sz val="9"/>
            <color indexed="81"/>
            <rFont val="Tahoma"/>
            <family val="2"/>
          </rPr>
          <t>Only conservation costs allowed as production</t>
        </r>
      </text>
    </comment>
    <comment ref="B43" authorId="2" shapeId="0" xr:uid="{2BD12D32-F99D-4AD8-A63E-DB52E73BADE3}">
      <text>
        <r>
          <rPr>
            <b/>
            <sz val="9"/>
            <color indexed="81"/>
            <rFont val="Tahoma"/>
            <family val="2"/>
          </rPr>
          <t xml:space="preserve">BPA: </t>
        </r>
        <r>
          <rPr>
            <sz val="9"/>
            <color indexed="81"/>
            <rFont val="Tahoma"/>
            <family val="2"/>
          </rPr>
          <t>Only conservation costs allowed as production</t>
        </r>
      </text>
    </comment>
    <comment ref="B59" authorId="2" shapeId="0" xr:uid="{E4AFCAA8-F03C-4287-B3E2-B91418C07E89}">
      <text>
        <r>
          <rPr>
            <b/>
            <sz val="9"/>
            <color indexed="81"/>
            <rFont val="Tahoma"/>
            <family val="2"/>
          </rPr>
          <t xml:space="preserve">BPA: </t>
        </r>
        <r>
          <rPr>
            <sz val="9"/>
            <color indexed="81"/>
            <rFont val="Tahoma"/>
            <family val="2"/>
          </rPr>
          <t>Only conservation costs allowed as production</t>
        </r>
      </text>
    </comment>
    <comment ref="B60" authorId="2" shapeId="0" xr:uid="{5D95E7F5-2332-456D-8BF1-250BE0BCEEA9}">
      <text>
        <r>
          <rPr>
            <b/>
            <sz val="9"/>
            <color indexed="81"/>
            <rFont val="Tahoma"/>
            <family val="2"/>
          </rPr>
          <t xml:space="preserve">BPA: </t>
        </r>
        <r>
          <rPr>
            <sz val="9"/>
            <color indexed="81"/>
            <rFont val="Tahoma"/>
            <family val="2"/>
          </rPr>
          <t>Only conservation costs allowed as production</t>
        </r>
      </text>
    </comment>
    <comment ref="O82" authorId="1" shapeId="0" xr:uid="{59F834F5-5DF1-46AA-B40C-E2831D9A137B}">
      <text>
        <r>
          <rPr>
            <b/>
            <sz val="9"/>
            <color indexed="81"/>
            <rFont val="Tahoma"/>
            <family val="2"/>
          </rPr>
          <t>Sutherland, Colin:</t>
        </r>
        <r>
          <rPr>
            <sz val="9"/>
            <color indexed="81"/>
            <rFont val="Tahoma"/>
            <family val="2"/>
          </rPr>
          <t xml:space="preserve">
This section functionalizes 404/406 balances for PNW</t>
        </r>
      </text>
    </comment>
    <comment ref="J95" authorId="1" shapeId="0" xr:uid="{B9CD7AED-17B1-4E07-8DA2-B9FE60AE4B8A}">
      <text>
        <r>
          <rPr>
            <b/>
            <sz val="9"/>
            <color indexed="81"/>
            <rFont val="Tahoma"/>
            <family val="2"/>
          </rPr>
          <t>Sutherland, Colin:</t>
        </r>
        <r>
          <rPr>
            <sz val="9"/>
            <color indexed="81"/>
            <rFont val="Tahoma"/>
            <family val="2"/>
          </rPr>
          <t xml:space="preserve">
This is hydro jurisdictional % for PNW</t>
        </r>
      </text>
    </comment>
    <comment ref="J96" authorId="1" shapeId="0" xr:uid="{11FCCCCD-B371-48AD-B16D-DDA48BF897F9}">
      <text>
        <r>
          <rPr>
            <b/>
            <sz val="9"/>
            <color indexed="81"/>
            <rFont val="Tahoma"/>
            <family val="2"/>
          </rPr>
          <t>Sutherland, Colin:</t>
        </r>
        <r>
          <rPr>
            <sz val="9"/>
            <color indexed="81"/>
            <rFont val="Tahoma"/>
            <family val="2"/>
          </rPr>
          <t xml:space="preserve">
This is General jurisdictional % for PNW</t>
        </r>
      </text>
    </comment>
    <comment ref="J97" authorId="0" shapeId="0" xr:uid="{BEDE1270-923C-4D58-B65B-8DE9662AF0FB}">
      <text>
        <r>
          <rPr>
            <b/>
            <sz val="9"/>
            <color indexed="81"/>
            <rFont val="Tahoma"/>
            <family val="2"/>
          </rPr>
          <t>Cheung, Sherona (PacifiCorp):</t>
        </r>
        <r>
          <rPr>
            <sz val="9"/>
            <color indexed="81"/>
            <rFont val="Tahoma"/>
            <family val="2"/>
          </rPr>
          <t xml:space="preserve">
This is "Other Production Plant" % for PNW</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Sutherland, Colin</author>
  </authors>
  <commentList>
    <comment ref="B10" authorId="0" shapeId="0" xr:uid="{1754461B-A37E-4F7F-9EC5-8F39B9993AB0}">
      <text>
        <r>
          <rPr>
            <b/>
            <sz val="9"/>
            <color indexed="81"/>
            <rFont val="Tahoma"/>
            <family val="2"/>
          </rPr>
          <t>Sutherland, Colin:</t>
        </r>
        <r>
          <rPr>
            <sz val="9"/>
            <color indexed="81"/>
            <rFont val="Tahoma"/>
            <family val="2"/>
          </rPr>
          <t xml:space="preserve">
The yellow highlighted B tabs don't actually contribute to any allocation in the filing. But Phil used to include them. Should we do the same. Or should we just provide information that is used going forward?</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Sutherland, Colin (PacifiCorp)</author>
  </authors>
  <commentList>
    <comment ref="K129" authorId="0" shapeId="0" xr:uid="{D24FEFCE-578E-4CDA-A22E-FF42120B1128}">
      <text>
        <r>
          <rPr>
            <b/>
            <sz val="9"/>
            <color indexed="81"/>
            <rFont val="Tahoma"/>
            <family val="2"/>
          </rPr>
          <t xml:space="preserve">Sutherland, Colin:
</t>
        </r>
        <r>
          <rPr>
            <sz val="9"/>
            <color indexed="81"/>
            <rFont val="Tahoma"/>
            <family val="2"/>
          </rPr>
          <t>Amount in 407.4 is jurisdictional allocated to CA &amp; UT so balance does not factor for ASC</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tc={925A492E-345B-4BC0-BE87-E145F5B8CF0D}</author>
  </authors>
  <commentList>
    <comment ref="R978" authorId="0" shapeId="0" xr:uid="{925A492E-345B-4BC0-BE87-E145F5B8CF0D}">
      <text>
        <t>[Threaded comment]
Your version of Excel allows you to read this threaded comment; however, any edits to it will get removed if the file is opened in a newer version of Excel. Learn more: https://go.microsoft.com/fwlink/?linkid=870924
Comment:
    As per DR09</t>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p75516</author>
    <author>Smith, Elizabeth</author>
    <author>Flaig, Kelly</author>
    <author>Flaig, Kelly (PacifiCorp)</author>
  </authors>
  <commentList>
    <comment ref="C5" authorId="0" shapeId="0" xr:uid="{59454C0C-4AF4-42EA-A7DB-9CBA116DBB15}">
      <text>
        <r>
          <rPr>
            <b/>
            <sz val="8"/>
            <color indexed="81"/>
            <rFont val="Tahoma"/>
            <family val="2"/>
          </rPr>
          <t>p75516:</t>
        </r>
        <r>
          <rPr>
            <sz val="8"/>
            <color indexed="81"/>
            <rFont val="Tahoma"/>
            <family val="2"/>
          </rPr>
          <t xml:space="preserve">
The directions for finding this amount are at the bottom of this page.</t>
        </r>
      </text>
    </comment>
    <comment ref="F106" authorId="0" shapeId="0" xr:uid="{531C5B8F-B91A-4032-B7B8-533B6DF39E7B}">
      <text>
        <r>
          <rPr>
            <b/>
            <sz val="8"/>
            <color indexed="81"/>
            <rFont val="Tahoma"/>
            <family val="2"/>
          </rPr>
          <t>p75516:</t>
        </r>
        <r>
          <rPr>
            <sz val="8"/>
            <color indexed="81"/>
            <rFont val="Tahoma"/>
            <family val="2"/>
          </rPr>
          <t xml:space="preserve">
Big dip due to $27,000,000 adjustment done in Regulatory Requirements.  The G/L has a higher revenue in it because of this adjustment.
</t>
        </r>
      </text>
    </comment>
    <comment ref="P148" authorId="0" shapeId="0" xr:uid="{656C5792-6C5E-4273-8115-AC096E6CADDE}">
      <text>
        <r>
          <rPr>
            <b/>
            <sz val="8"/>
            <color indexed="81"/>
            <rFont val="Tahoma"/>
            <family val="2"/>
          </rPr>
          <t>p75516:</t>
        </r>
        <r>
          <rPr>
            <sz val="8"/>
            <color indexed="81"/>
            <rFont val="Tahoma"/>
            <family val="2"/>
          </rPr>
          <t xml:space="preserve">
+ 56.7% of Billing - 18,636.69 for Self Directed Large Customer Credit.</t>
        </r>
      </text>
    </comment>
    <comment ref="Q148" authorId="0" shapeId="0" xr:uid="{77201CD9-662E-4BA4-AE91-593CD2312D62}">
      <text>
        <r>
          <rPr>
            <b/>
            <sz val="8"/>
            <color indexed="81"/>
            <rFont val="Tahoma"/>
            <family val="2"/>
          </rPr>
          <t>p75516:</t>
        </r>
        <r>
          <rPr>
            <sz val="8"/>
            <color indexed="81"/>
            <rFont val="Tahoma"/>
            <family val="2"/>
          </rPr>
          <t xml:space="preserve">
+ 17.1% of Billing - 28,658.07 for Self Directed Large Customer Credit.</t>
        </r>
      </text>
    </comment>
    <comment ref="P150" authorId="0" shapeId="0" xr:uid="{662B0A8D-960B-4D2B-A2FF-834D2FD7E022}">
      <text>
        <r>
          <rPr>
            <b/>
            <sz val="8"/>
            <color indexed="81"/>
            <rFont val="Tahoma"/>
            <family val="2"/>
          </rPr>
          <t>p75516:</t>
        </r>
        <r>
          <rPr>
            <sz val="8"/>
            <color indexed="81"/>
            <rFont val="Tahoma"/>
            <family val="2"/>
          </rPr>
          <t xml:space="preserve">
+ 56.7% of Billing - 9,231.26 for Self Directed Large Customer Credit.</t>
        </r>
      </text>
    </comment>
    <comment ref="Q150" authorId="0" shapeId="0" xr:uid="{8F2B71C8-3645-4059-84FA-E13501B90188}">
      <text>
        <r>
          <rPr>
            <b/>
            <sz val="8"/>
            <color indexed="81"/>
            <rFont val="Tahoma"/>
            <family val="2"/>
          </rPr>
          <t>p75516:</t>
        </r>
        <r>
          <rPr>
            <sz val="8"/>
            <color indexed="81"/>
            <rFont val="Tahoma"/>
            <family val="2"/>
          </rPr>
          <t xml:space="preserve">
+ 17.1% of Billing - 27,465.79 for Self Directed Large Customer Credit.</t>
        </r>
      </text>
    </comment>
    <comment ref="P151" authorId="0" shapeId="0" xr:uid="{EA3BB35A-E846-4AC1-B42F-2E47333623EA}">
      <text>
        <r>
          <rPr>
            <b/>
            <sz val="8"/>
            <color indexed="81"/>
            <rFont val="Tahoma"/>
            <family val="2"/>
          </rPr>
          <t>p75516:</t>
        </r>
        <r>
          <rPr>
            <sz val="8"/>
            <color indexed="81"/>
            <rFont val="Tahoma"/>
            <family val="2"/>
          </rPr>
          <t xml:space="preserve">
+ 56.7% of Billing - 10,255.71 for Self Directed Large Customer Credit.</t>
        </r>
      </text>
    </comment>
    <comment ref="Q151" authorId="0" shapeId="0" xr:uid="{FFAC2062-D088-45AE-AF69-B85C4F8CE65A}">
      <text>
        <r>
          <rPr>
            <b/>
            <sz val="8"/>
            <color indexed="81"/>
            <rFont val="Tahoma"/>
            <family val="2"/>
          </rPr>
          <t>p75516:</t>
        </r>
        <r>
          <rPr>
            <sz val="8"/>
            <color indexed="81"/>
            <rFont val="Tahoma"/>
            <family val="2"/>
          </rPr>
          <t xml:space="preserve">
+ 17.1% of Billing - 30,479.10 for Self Directed Large Customer Credit.</t>
        </r>
      </text>
    </comment>
    <comment ref="AB213" authorId="1" shapeId="0" xr:uid="{C66C5B50-293D-4451-8DE0-B8F924935C9B}">
      <text>
        <r>
          <rPr>
            <b/>
            <sz val="9"/>
            <color indexed="81"/>
            <rFont val="Tahoma"/>
            <family val="2"/>
          </rPr>
          <t>Smith, Elizabeth:</t>
        </r>
        <r>
          <rPr>
            <sz val="9"/>
            <color indexed="81"/>
            <rFont val="Tahoma"/>
            <family val="2"/>
          </rPr>
          <t xml:space="preserve">
Adjusted up $2.477.00 in October to $13,015.00.</t>
        </r>
      </text>
    </comment>
    <comment ref="AB214" authorId="1" shapeId="0" xr:uid="{E119736A-BB12-4180-A665-3CC0F8A324CE}">
      <text>
        <r>
          <rPr>
            <b/>
            <sz val="9"/>
            <color indexed="81"/>
            <rFont val="Tahoma"/>
            <family val="2"/>
          </rPr>
          <t xml:space="preserve">Smith, Elizabeth:
</t>
        </r>
        <r>
          <rPr>
            <sz val="9"/>
            <color indexed="81"/>
            <rFont val="Tahoma"/>
            <family val="2"/>
          </rPr>
          <t>Adjusted up $2.477.00 in October to $13,015.00.</t>
        </r>
      </text>
    </comment>
    <comment ref="AB215" authorId="1" shapeId="0" xr:uid="{192D05AD-2829-4F0F-A0A5-7AF6398548F7}">
      <text>
        <r>
          <rPr>
            <b/>
            <sz val="9"/>
            <color indexed="81"/>
            <rFont val="Tahoma"/>
            <family val="2"/>
          </rPr>
          <t>Smith, Elizabeth:</t>
        </r>
        <r>
          <rPr>
            <sz val="9"/>
            <color indexed="81"/>
            <rFont val="Tahoma"/>
            <family val="2"/>
          </rPr>
          <t xml:space="preserve">
Adjusted up $2.477.00 in October to $13,015.00.</t>
        </r>
      </text>
    </comment>
    <comment ref="AB216" authorId="1" shapeId="0" xr:uid="{306173BE-57C8-4146-9779-A457D7526E0A}">
      <text>
        <r>
          <rPr>
            <b/>
            <sz val="9"/>
            <color indexed="81"/>
            <rFont val="Tahoma"/>
            <family val="2"/>
          </rPr>
          <t>Smith, Elizabeth:</t>
        </r>
        <r>
          <rPr>
            <sz val="9"/>
            <color indexed="81"/>
            <rFont val="Tahoma"/>
            <family val="2"/>
          </rPr>
          <t xml:space="preserve">
Includes adjustment up of $2,477.00 for July, August, and September 2015.</t>
        </r>
      </text>
    </comment>
    <comment ref="H270" authorId="2" shapeId="0" xr:uid="{E930398F-5176-4FBD-89A8-BF7D9229E175}">
      <text>
        <r>
          <rPr>
            <b/>
            <sz val="9"/>
            <color indexed="81"/>
            <rFont val="Tahoma"/>
            <family val="2"/>
          </rPr>
          <t>Flaig, Kelly:</t>
        </r>
        <r>
          <rPr>
            <sz val="9"/>
            <color indexed="81"/>
            <rFont val="Tahoma"/>
            <family val="2"/>
          </rPr>
          <t xml:space="preserve">
includes subtraction of $7.055.92 for ODOE Legislation Costs
</t>
        </r>
      </text>
    </comment>
    <comment ref="AA270" authorId="2" shapeId="0" xr:uid="{5C297668-CA61-4EF9-A226-A1BB74A6A8CB}">
      <text>
        <r>
          <rPr>
            <b/>
            <sz val="9"/>
            <color indexed="81"/>
            <rFont val="Tahoma"/>
            <family val="2"/>
          </rPr>
          <t>Flaig, Kelly:</t>
        </r>
        <r>
          <rPr>
            <sz val="9"/>
            <color indexed="81"/>
            <rFont val="Tahoma"/>
            <family val="2"/>
          </rPr>
          <t xml:space="preserve">
Schools = $956.09;  ETO = $7,055.92;  OHCS = $1,548.86
</t>
        </r>
      </text>
    </comment>
    <comment ref="H302" authorId="3" shapeId="0" xr:uid="{9A1C5308-0815-4D2E-AB55-8C66CC82DBBF}">
      <text>
        <r>
          <rPr>
            <b/>
            <sz val="9"/>
            <color indexed="81"/>
            <rFont val="Tahoma"/>
            <family val="2"/>
          </rPr>
          <t>Flaig, Kelly (PacifiCorp):</t>
        </r>
        <r>
          <rPr>
            <sz val="9"/>
            <color indexed="81"/>
            <rFont val="Tahoma"/>
            <family val="2"/>
          </rPr>
          <t xml:space="preserve">
includes subtraction for Legislative Report Costs $(5,162.31)
</t>
        </r>
      </text>
    </comment>
    <comment ref="AA302" authorId="3" shapeId="0" xr:uid="{EB483548-D40F-4285-943E-271FCF784F5E}">
      <text>
        <r>
          <rPr>
            <b/>
            <sz val="9"/>
            <color indexed="81"/>
            <rFont val="Tahoma"/>
            <family val="2"/>
          </rPr>
          <t>Flaig, Kelly (PacifiCorp):</t>
        </r>
        <r>
          <rPr>
            <sz val="9"/>
            <color indexed="81"/>
            <rFont val="Tahoma"/>
            <family val="2"/>
          </rPr>
          <t xml:space="preserve">
Schools = $699.50; ETO = $5,162.31; OHCS$1,133.19</t>
        </r>
      </text>
    </comment>
    <comment ref="H303" authorId="3" shapeId="0" xr:uid="{7BD55E43-EE77-473B-8794-A459E31947DB}">
      <text>
        <r>
          <rPr>
            <b/>
            <sz val="9"/>
            <color indexed="81"/>
            <rFont val="Tahoma"/>
            <family val="2"/>
          </rPr>
          <t>Flaig, Kelly (PacifiCorp):</t>
        </r>
        <r>
          <rPr>
            <sz val="9"/>
            <color indexed="81"/>
            <rFont val="Tahoma"/>
            <family val="2"/>
          </rPr>
          <t xml:space="preserve">
includes subtraction for Q1-2021 OPUC Admin Costs = $(6,599.28)
</t>
        </r>
      </text>
    </comment>
    <comment ref="H304" authorId="3" shapeId="0" xr:uid="{2C811F14-DC8A-4B3D-B6B1-2188D1812842}">
      <text>
        <r>
          <rPr>
            <b/>
            <sz val="9"/>
            <color indexed="81"/>
            <rFont val="Tahoma"/>
            <family val="2"/>
          </rPr>
          <t>Flaig, Kelly (PacifiCorp):</t>
        </r>
        <r>
          <rPr>
            <sz val="9"/>
            <color indexed="81"/>
            <rFont val="Tahoma"/>
            <family val="2"/>
          </rPr>
          <t xml:space="preserve">
includes subtraction for Qtrly Q2-2021 Admin Costs = $(6,562.83)
</t>
        </r>
      </text>
    </comment>
    <comment ref="H307" authorId="3" shapeId="0" xr:uid="{8A8D099B-34E7-4931-AAC8-56E8175CF9C9}">
      <text>
        <r>
          <rPr>
            <b/>
            <sz val="9"/>
            <color indexed="81"/>
            <rFont val="Tahoma"/>
            <family val="2"/>
          </rPr>
          <t>Flaig, Kelly (PacifiCorp):</t>
        </r>
        <r>
          <rPr>
            <sz val="9"/>
            <color indexed="81"/>
            <rFont val="Tahoma"/>
            <family val="2"/>
          </rPr>
          <t xml:space="preserve">
includes subtraction for Q3-2021 Admin Costs = $(6,672.31)
</t>
        </r>
      </text>
    </comment>
    <comment ref="B316" authorId="3" shapeId="0" xr:uid="{212D41F9-B53F-4E27-80F2-BFE5848165BA}">
      <text>
        <r>
          <rPr>
            <b/>
            <sz val="9"/>
            <color indexed="81"/>
            <rFont val="Tahoma"/>
            <family val="2"/>
          </rPr>
          <t>Flaig, Kelly (PacifiCorp):</t>
        </r>
        <r>
          <rPr>
            <sz val="9"/>
            <color indexed="81"/>
            <rFont val="Tahoma"/>
            <family val="2"/>
          </rPr>
          <t xml:space="preserve">
2021 Energy Service Suppliers-One time pass-thru (Avangrid &amp; Constellation)
</t>
        </r>
      </text>
    </comment>
    <comment ref="P318" authorId="3" shapeId="0" xr:uid="{A7BE8AA8-09EC-452A-8E1B-1654549C0983}">
      <text>
        <r>
          <rPr>
            <b/>
            <sz val="9"/>
            <color indexed="81"/>
            <rFont val="Tahoma"/>
            <family val="2"/>
          </rPr>
          <t>Flaig, Kelly (PacifiCorp):</t>
        </r>
        <r>
          <rPr>
            <sz val="9"/>
            <color indexed="81"/>
            <rFont val="Tahoma"/>
            <family val="2"/>
          </rPr>
          <t xml:space="preserve">
Final true-up for conversion to HB 3141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<sst xmlns="http://schemas.openxmlformats.org/spreadsheetml/2006/main" count="49725" uniqueCount="12548">
  <si>
    <t>MWh</t>
  </si>
  <si>
    <t>Average PP</t>
  </si>
  <si>
    <t>Average SS</t>
  </si>
  <si>
    <t>1/2 difference</t>
  </si>
  <si>
    <t>Mid Point</t>
  </si>
  <si>
    <t>Percentage Spread</t>
  </si>
  <si>
    <t xml:space="preserve">Long-Term Portion of Derivative Assets </t>
  </si>
  <si>
    <t xml:space="preserve">Fuel Stock Expenses Undistributed </t>
  </si>
  <si>
    <t xml:space="preserve">Prepayments </t>
  </si>
  <si>
    <t xml:space="preserve">Derivative Instrument Assets </t>
  </si>
  <si>
    <t xml:space="preserve">Unamortized Debt Expenses </t>
  </si>
  <si>
    <t xml:space="preserve">Extraordinary Property Losses </t>
  </si>
  <si>
    <t xml:space="preserve">Unrecovered Plant and Regulatory Study Costs </t>
  </si>
  <si>
    <t xml:space="preserve">Other Regulatory Assets </t>
  </si>
  <si>
    <t xml:space="preserve">Preliminary Natural Gas Survey and Investigation Charges </t>
  </si>
  <si>
    <t xml:space="preserve">Clearing Accounts </t>
  </si>
  <si>
    <t xml:space="preserve">Temporary Facilities </t>
  </si>
  <si>
    <t xml:space="preserve">Miscellaneous Deferred Debits </t>
  </si>
  <si>
    <t xml:space="preserve">Deferred Losses from Disposition of Utility Plant </t>
  </si>
  <si>
    <t xml:space="preserve">Research, Development, and Demonstration Expenditures </t>
  </si>
  <si>
    <t xml:space="preserve">Unamortized Loss on Reacquired Debt </t>
  </si>
  <si>
    <t xml:space="preserve">Accumulated Deferred Income Taxes </t>
  </si>
  <si>
    <t xml:space="preserve">Customer Advances for Construction </t>
  </si>
  <si>
    <t xml:space="preserve">Accumulated Deferred Investment Tax Credits </t>
  </si>
  <si>
    <t xml:space="preserve">Deferred Gains from Disposition of Utility Plant </t>
  </si>
  <si>
    <t xml:space="preserve">Other Deferred Credits </t>
  </si>
  <si>
    <t xml:space="preserve">Other Regulatory Liabilities </t>
  </si>
  <si>
    <t xml:space="preserve">Unamortized Gain on Reacquired Debt </t>
  </si>
  <si>
    <t>Amortization of Plant Held for Future Use</t>
  </si>
  <si>
    <t xml:space="preserve">Capital Lease - Common Plant </t>
  </si>
  <si>
    <t>Amortization of Plant Acquisition Adjustments  (Electric)</t>
  </si>
  <si>
    <t>Accumulated Deferred Income Taxes-Accel. Amort.</t>
  </si>
  <si>
    <t xml:space="preserve">Accumulated Deferred Income Taxes-Property </t>
  </si>
  <si>
    <t xml:space="preserve">Accumulated Deferred Income Taxes-Other </t>
  </si>
  <si>
    <t>(Total Rate Base * Federal Income Tax Adjusted Weighted Cost of Capital)</t>
  </si>
  <si>
    <t>Income Tax (Included on Schedule 2)</t>
  </si>
  <si>
    <t>TOTAL STATE AND OTHER TAXES</t>
  </si>
  <si>
    <t>TOTAL FEDERAL</t>
  </si>
  <si>
    <t>STATE AND OTHER</t>
  </si>
  <si>
    <t>State and Other Taxes</t>
  </si>
  <si>
    <t>Depreciation and Amortization:</t>
  </si>
  <si>
    <t>Other Included Items:</t>
  </si>
  <si>
    <t>411.7</t>
  </si>
  <si>
    <t>Other Revenues:</t>
  </si>
  <si>
    <t>451</t>
  </si>
  <si>
    <t>453</t>
  </si>
  <si>
    <t>454</t>
  </si>
  <si>
    <t>456</t>
  </si>
  <si>
    <t>Total Other Revenues</t>
  </si>
  <si>
    <t>Total Other Included Items</t>
  </si>
  <si>
    <t>Total Operating Expenses</t>
  </si>
  <si>
    <t>Total Cost</t>
  </si>
  <si>
    <t>BPA REP Reversal</t>
  </si>
  <si>
    <t>Component</t>
  </si>
  <si>
    <t>BONNEVILLE POWER ADMINISTRATION</t>
  </si>
  <si>
    <t>Stores Expense Undistributed</t>
  </si>
  <si>
    <t>RESIDENTIAL PURCHASE AND SALE AGREEMENT</t>
  </si>
  <si>
    <t>Weighted</t>
  </si>
  <si>
    <t>Debt</t>
  </si>
  <si>
    <t>Preferred Equity</t>
  </si>
  <si>
    <t>Common Equity</t>
  </si>
  <si>
    <t>Step 2: Gross Up Equity Return for Federal Income Taxes</t>
  </si>
  <si>
    <t>Total Rate Base from Schedule 1</t>
  </si>
  <si>
    <t>Federal Income Tax Adjusted Weighted Cost of Capital</t>
  </si>
  <si>
    <t>Sales for Resale</t>
  </si>
  <si>
    <t>Total Sales for Resale</t>
  </si>
  <si>
    <t>Schedule 4: Average System Cost</t>
  </si>
  <si>
    <t>(Total Disposition of Plant + Total Sales for Resale + Total Other Revenue)</t>
  </si>
  <si>
    <t>(From Schedule 3)</t>
  </si>
  <si>
    <t>200-201</t>
  </si>
  <si>
    <t>204-207</t>
  </si>
  <si>
    <t>Acquisition Adjustments (Electric)</t>
  </si>
  <si>
    <t>320-323</t>
  </si>
  <si>
    <t>Total Liabilities and Other Credits</t>
  </si>
  <si>
    <t>Total Assets and Other Debits</t>
  </si>
  <si>
    <t xml:space="preserve">Liabilities and Other Credits (Comparative Balance Sheet) </t>
  </si>
  <si>
    <t>Assets and Other Debits (Comparative Balance Sheet)</t>
  </si>
  <si>
    <t>(Utility Plant) Completed Construction - Not Classified</t>
  </si>
  <si>
    <t>110-111</t>
  </si>
  <si>
    <t>Plant Materials and Operating Supplies</t>
  </si>
  <si>
    <t>Construction Work in Progress (CWIP)</t>
  </si>
  <si>
    <t>112-113</t>
  </si>
  <si>
    <t>Schedule 3: Expenses</t>
  </si>
  <si>
    <t>(Total Net Plant + Debits - Credits)</t>
  </si>
  <si>
    <t xml:space="preserve"> (Total Electric Plant In-Service) - (Total Depreciation &amp; Amortization)</t>
  </si>
  <si>
    <t>Nuclear - Fuel</t>
  </si>
  <si>
    <t>Hydraulic - Operation</t>
  </si>
  <si>
    <t>Hydraulic - Maintenance</t>
  </si>
  <si>
    <t>Steam Production Plant</t>
  </si>
  <si>
    <t>Nuclear Production Plant</t>
  </si>
  <si>
    <t>DIRECT</t>
  </si>
  <si>
    <t>GP</t>
  </si>
  <si>
    <t>General Plant</t>
  </si>
  <si>
    <t>GPM</t>
  </si>
  <si>
    <t>Maintenance of General Plant</t>
  </si>
  <si>
    <t>LABOR</t>
  </si>
  <si>
    <t>Account</t>
  </si>
  <si>
    <t xml:space="preserve"> </t>
  </si>
  <si>
    <t>Distribution/</t>
  </si>
  <si>
    <t>PTD</t>
  </si>
  <si>
    <t xml:space="preserve"> Account Description</t>
  </si>
  <si>
    <t>Prod.</t>
  </si>
  <si>
    <t>Trans.</t>
  </si>
  <si>
    <t>Dist.</t>
  </si>
  <si>
    <t>Total</t>
  </si>
  <si>
    <t>Production</t>
  </si>
  <si>
    <t>Transmission</t>
  </si>
  <si>
    <t>Other</t>
  </si>
  <si>
    <t>PTDG</t>
  </si>
  <si>
    <t>TD</t>
  </si>
  <si>
    <t>Production Plant:</t>
  </si>
  <si>
    <t>Steam Production</t>
  </si>
  <si>
    <t>310-316</t>
  </si>
  <si>
    <t xml:space="preserve">Nuclear Production </t>
  </si>
  <si>
    <t>320-325</t>
  </si>
  <si>
    <t xml:space="preserve">Hydraulic Production  </t>
  </si>
  <si>
    <t>330-336</t>
  </si>
  <si>
    <t>Other Production</t>
  </si>
  <si>
    <t>340-346</t>
  </si>
  <si>
    <t>Total Production Plant</t>
  </si>
  <si>
    <t>350-359</t>
  </si>
  <si>
    <t>Total Transmission Plant</t>
  </si>
  <si>
    <t xml:space="preserve">Total Distribution Plant  </t>
  </si>
  <si>
    <t>360-373</t>
  </si>
  <si>
    <t xml:space="preserve">General Plant:  </t>
  </si>
  <si>
    <t>Land and Land Rights</t>
  </si>
  <si>
    <t>Structures and Improvements</t>
  </si>
  <si>
    <t>Furniture and Equipment</t>
  </si>
  <si>
    <t>Transportation Equipment</t>
  </si>
  <si>
    <t>Stores Equipment</t>
  </si>
  <si>
    <t>Tools and Garage Equipment</t>
  </si>
  <si>
    <t>Laboratory Equipment</t>
  </si>
  <si>
    <t>Power Operated Equipment</t>
  </si>
  <si>
    <t>Communication Equipment</t>
  </si>
  <si>
    <t>Miscellaneous Equipment</t>
  </si>
  <si>
    <t>Total General Plant</t>
  </si>
  <si>
    <t>Total Electric Plant In-Service</t>
  </si>
  <si>
    <t>Other Production Plant</t>
  </si>
  <si>
    <t>Without NLSL</t>
  </si>
  <si>
    <t>With NLSL</t>
  </si>
  <si>
    <t xml:space="preserve">Distribution Plant  </t>
  </si>
  <si>
    <t>Federal Income Tax Adjusted Return on Rate Base</t>
  </si>
  <si>
    <t>Transmission Plant: (i)</t>
  </si>
  <si>
    <t>Transmission Plant (i)</t>
  </si>
  <si>
    <t>Cash Working Capital  (f)</t>
  </si>
  <si>
    <t xml:space="preserve">Intangible Plant - Organization  </t>
  </si>
  <si>
    <t xml:space="preserve">Intangible Plant - Franchises and Consents  </t>
  </si>
  <si>
    <t xml:space="preserve">Intangible Plant - Miscellaneous  </t>
  </si>
  <si>
    <t>Schedule 3A Items: Taxes (Including Income Taxes)</t>
  </si>
  <si>
    <t>FEDERAL</t>
  </si>
  <si>
    <t>Employment Tax</t>
  </si>
  <si>
    <t>Other Federal Taxes</t>
  </si>
  <si>
    <t>Unemployment</t>
  </si>
  <si>
    <t>Regulatory Commission</t>
  </si>
  <si>
    <t>Cash Working Capital Calculation:</t>
  </si>
  <si>
    <t>Total Production O&amp;M</t>
  </si>
  <si>
    <t>Total Administrative and General O&amp;M</t>
  </si>
  <si>
    <t>Allowable Functionalized Cash Working Capital</t>
  </si>
  <si>
    <t xml:space="preserve">Revised Total O&amp;M Expenses </t>
  </si>
  <si>
    <t xml:space="preserve">One-Eighth Revised Total O&amp;M Expenses </t>
  </si>
  <si>
    <t xml:space="preserve">Schedule 3B Other Included Items </t>
  </si>
  <si>
    <t>(From Schedule 3a)</t>
  </si>
  <si>
    <t>Leasehold Improvements</t>
  </si>
  <si>
    <t>Administration and General Salaries</t>
  </si>
  <si>
    <t>Office Supplies &amp; Expenses</t>
  </si>
  <si>
    <t>(Less) Administration Expenses Transferred - Credit</t>
  </si>
  <si>
    <t>Outside Services Employed</t>
  </si>
  <si>
    <t>Property Insurance</t>
  </si>
  <si>
    <t>(Less) Duplicate Charges - Credit</t>
  </si>
  <si>
    <t>General Advertising Expenses</t>
  </si>
  <si>
    <t>Distribution (Enter Total of lines 3 and 11)</t>
  </si>
  <si>
    <t>Customer Accounts (Transcribe from line 4)</t>
  </si>
  <si>
    <t>Customer Service and Information</t>
  </si>
  <si>
    <t>Customer Service and Information (Transcribe from line 5)</t>
  </si>
  <si>
    <t>Sales (Transcribe from line 6)</t>
  </si>
  <si>
    <t>Administrative and General (Enter Total of lines 7 and 12)</t>
  </si>
  <si>
    <t>Distribution Loss (f)  (See Distribution Loss Schedule)</t>
  </si>
  <si>
    <t>Current and Accrued Assets</t>
  </si>
  <si>
    <t>EPA Allowances Withheld</t>
  </si>
  <si>
    <t>Deferred Debits</t>
  </si>
  <si>
    <t>CONS</t>
  </si>
  <si>
    <t>Miscellaneous Nonoperating Income</t>
  </si>
  <si>
    <t xml:space="preserve">   Less Purchased Power, Public Purpose Charge, REP Reversal, Fuel Costs</t>
  </si>
  <si>
    <t xml:space="preserve">Preliminary Survey and Investigation Charges (Electric) </t>
  </si>
  <si>
    <r>
      <t>(Less)</t>
    </r>
    <r>
      <rPr>
        <sz val="10"/>
        <color indexed="12"/>
        <rFont val="Times New Roman"/>
        <family val="1"/>
      </rPr>
      <t xml:space="preserve"> Long-Term Portion of Derivative Assets </t>
    </r>
  </si>
  <si>
    <t>Settlement Total</t>
  </si>
  <si>
    <t>MWh Purchased</t>
  </si>
  <si>
    <t>RQ</t>
  </si>
  <si>
    <t>LF</t>
  </si>
  <si>
    <t>IF</t>
  </si>
  <si>
    <t>SF</t>
  </si>
  <si>
    <t>LU</t>
  </si>
  <si>
    <t>IU</t>
  </si>
  <si>
    <t>OS</t>
  </si>
  <si>
    <t>EX</t>
  </si>
  <si>
    <t>NA</t>
  </si>
  <si>
    <t>AD</t>
  </si>
  <si>
    <t>TOTAL</t>
  </si>
  <si>
    <t>310-311</t>
  </si>
  <si>
    <t>326-327</t>
  </si>
  <si>
    <t>Purchased Power</t>
  </si>
  <si>
    <t>Single-Jurisdiction Investor-Owned Utility Return Calculation:</t>
  </si>
  <si>
    <t>Return on Rate Base</t>
  </si>
  <si>
    <r>
      <t>SUMMARY</t>
    </r>
    <r>
      <rPr>
        <sz val="12"/>
        <color indexed="62"/>
        <rFont val="Times New Roman"/>
        <family val="1"/>
      </rPr>
      <t xml:space="preserve"> </t>
    </r>
    <r>
      <rPr>
        <i/>
        <sz val="12"/>
        <color indexed="62"/>
        <rFont val="Times New Roman"/>
        <family val="1"/>
      </rPr>
      <t>(for use by ASC Forecast Model)</t>
    </r>
  </si>
  <si>
    <t>Rate of Return :</t>
  </si>
  <si>
    <t>(Total O&amp;M + Total Depreciation &amp; Amortization)</t>
  </si>
  <si>
    <t>TOTAL Operation</t>
  </si>
  <si>
    <t>TOTAL Maintenance</t>
  </si>
  <si>
    <t>TOTAL Operation and Maintenance</t>
  </si>
  <si>
    <t>Funct.                  Method</t>
  </si>
  <si>
    <t>Depreciation and Amortization Reserve</t>
  </si>
  <si>
    <t>Depreciation and Amortization Reserve (Other)</t>
  </si>
  <si>
    <t>560-567.1</t>
  </si>
  <si>
    <t>568-574</t>
  </si>
  <si>
    <t>535-540.1</t>
  </si>
  <si>
    <t>541-545.1</t>
  </si>
  <si>
    <t>546-550.1</t>
  </si>
  <si>
    <t>551-554.1</t>
  </si>
  <si>
    <t>Purchased Power - Base Period Minus 1</t>
  </si>
  <si>
    <t>Purchased Power - Base Period Minus 2</t>
  </si>
  <si>
    <t>Sales for Resale - Base Period Minus 1</t>
  </si>
  <si>
    <t>Sales for Resale - Base Period Minus 2</t>
  </si>
  <si>
    <t>Purchased Power &amp; Sales for Resale</t>
  </si>
  <si>
    <t>Total Depreciation and Amortization Reserve</t>
  </si>
  <si>
    <t>Common Plant</t>
  </si>
  <si>
    <t>356 &amp; 356.1</t>
  </si>
  <si>
    <t xml:space="preserve">Consumer-Owned Utility Return Calculation </t>
  </si>
  <si>
    <t>Consumer-Owned Utility Return Calculation:</t>
  </si>
  <si>
    <t>RESIDENTIAL PURCHASE AND SALES AGREEMENT</t>
  </si>
  <si>
    <t>Calculation: Automatic Input from Sch 1A</t>
  </si>
  <si>
    <t>(Automatic Input from Schedule 3- Expenses)</t>
  </si>
  <si>
    <t>Description</t>
  </si>
  <si>
    <t>Operations Expense Less Fuel</t>
  </si>
  <si>
    <t>Maintenance Expense</t>
  </si>
  <si>
    <t>A &amp; G costs included in NLSL Resource costs will be calculated using NLSL Functionalization Ratios.</t>
  </si>
  <si>
    <t>Purchased Power Expense</t>
  </si>
  <si>
    <t>Federal Employment Taxes</t>
  </si>
  <si>
    <t>State Employment Taxes</t>
  </si>
  <si>
    <t>Federal Employment Taxes included in NLSL Resource costs will be calculated using NLSL Functionalization Ratios.</t>
  </si>
  <si>
    <t>State Employment Taxes included in NLSL Resource costs will be calculated using NLSL Functionalization Ratios.</t>
  </si>
  <si>
    <t>Property Taxes included in NLSL Resource costs will be calculated using NLSL Functionalization Ratios.</t>
  </si>
  <si>
    <t>Maintenance and Supplies costs included in NLSL Resource costs will be calculated using NLSL Functionalization Ratios.</t>
  </si>
  <si>
    <t>Non-NLSL</t>
  </si>
  <si>
    <t>NLSL</t>
  </si>
  <si>
    <t>NLSL Production Plant</t>
  </si>
  <si>
    <t>NLSL Production Plant percent of Total Prod. Plant</t>
  </si>
  <si>
    <t>Non-NLSL Production plant percent of Total Prod. Plant</t>
  </si>
  <si>
    <t>NLSL Production Plant O&amp;M</t>
  </si>
  <si>
    <t>Total Production Plant O&amp;M</t>
  </si>
  <si>
    <t>NLSL Production Plant O&amp;M percent of Total Prod. Plant O&amp;M</t>
  </si>
  <si>
    <t>Non-NLSL Production Plant O&amp;M percent of Total Prod. Plant O&amp;M</t>
  </si>
  <si>
    <t>(Total Operating Expenses + Return on Rate Base + State and Other Taxes  - Total Other Included Items)</t>
  </si>
  <si>
    <t>Numbers</t>
  </si>
  <si>
    <t>Mining Plant Depreciation</t>
  </si>
  <si>
    <t>(From Schedule 2)</t>
  </si>
  <si>
    <t>110-112</t>
  </si>
  <si>
    <t xml:space="preserve">Other Tangible Property </t>
  </si>
  <si>
    <t>120.1-120.6</t>
  </si>
  <si>
    <t>107 &amp; 120.1</t>
  </si>
  <si>
    <t>Steam Power - Fuel</t>
  </si>
  <si>
    <t>Steam Power - Operations  (Excluding 501 - Fuel)</t>
  </si>
  <si>
    <t>Steam Power - Maintenance</t>
  </si>
  <si>
    <t>510-515</t>
  </si>
  <si>
    <t>Other Power - Operations (Excluding 547 - Fuel)</t>
  </si>
  <si>
    <t>Nuclear - Operation ( Excluding 518 -  Fuel)</t>
  </si>
  <si>
    <t>Other Power - Maintenance</t>
  </si>
  <si>
    <t>Purchased Power (Excluding REP Reversal)</t>
  </si>
  <si>
    <t>Other Expenses</t>
  </si>
  <si>
    <t>320-324</t>
  </si>
  <si>
    <t>Transportation Expenses (Non Major)</t>
  </si>
  <si>
    <t>Federal Income Tax Factor</t>
  </si>
  <si>
    <t>Property Taxes</t>
  </si>
  <si>
    <t>Page</t>
  </si>
  <si>
    <t>Number</t>
  </si>
  <si>
    <t>Utility Plant</t>
  </si>
  <si>
    <t>Other Property and Investments</t>
  </si>
  <si>
    <t>FERC Form 1</t>
  </si>
  <si>
    <t>Weighted Cost of Capital</t>
  </si>
  <si>
    <t>Sales for Resale:</t>
  </si>
  <si>
    <t>Operation and Maintenance</t>
  </si>
  <si>
    <t>Production (Enter Total of lines 1 and 9)</t>
  </si>
  <si>
    <t>Transmission (Enter Total of lines 2 and 10)</t>
  </si>
  <si>
    <t>ROR w/ Taxes</t>
  </si>
  <si>
    <t>Year in Service</t>
  </si>
  <si>
    <t xml:space="preserve">Fuel </t>
  </si>
  <si>
    <t>May</t>
  </si>
  <si>
    <t xml:space="preserve">Total </t>
  </si>
  <si>
    <t>Purchased Power Contracts (From BPA)</t>
  </si>
  <si>
    <t>PF Purchase Cost ($)</t>
  </si>
  <si>
    <t>PF Purchased Power (MWh)</t>
  </si>
  <si>
    <t>Slice Purchase Cost ($)</t>
  </si>
  <si>
    <t>Slice Purchased Power (MWh)</t>
  </si>
  <si>
    <t>PF Generic #1 Purchase ($)</t>
  </si>
  <si>
    <t>PF Generic #1 Purchasd Power (MWh)</t>
  </si>
  <si>
    <t>PF Generic #2 Purchase ($)</t>
  </si>
  <si>
    <t>PF Generic #2 Purchasd Power (MWh)</t>
  </si>
  <si>
    <t>Contract Termination ($)</t>
  </si>
  <si>
    <t>Contract Termination (MWh)</t>
  </si>
  <si>
    <t>Purchased Power Contracts (Market)</t>
  </si>
  <si>
    <t>Purchased Power (MWh)</t>
  </si>
  <si>
    <t>Transmission Expenses</t>
  </si>
  <si>
    <t>Transmission of Electricity to Others (Wheeling)</t>
  </si>
  <si>
    <t>560-567</t>
  </si>
  <si>
    <t>568-573</t>
  </si>
  <si>
    <t>Property Taxes Transmission</t>
  </si>
  <si>
    <t>Total Transmission Property</t>
  </si>
  <si>
    <t>Totals</t>
  </si>
  <si>
    <t>Total Fuel Stock</t>
  </si>
  <si>
    <t>Total Plant Materials &amp; Operating Supplies</t>
  </si>
  <si>
    <t>Total EPA Allowances</t>
  </si>
  <si>
    <t>Total Property Insurance</t>
  </si>
  <si>
    <t>Total Property Taxes</t>
  </si>
  <si>
    <t>Steam O&amp;M</t>
  </si>
  <si>
    <t>Hydro O&amp;M</t>
  </si>
  <si>
    <t>Other O&amp;M</t>
  </si>
  <si>
    <t>Total Expected Annual Generation (MWh)</t>
  </si>
  <si>
    <t>Total Firm Sales for Resale (MWh)</t>
  </si>
  <si>
    <t>Total Firm Sales for Resale ($)</t>
  </si>
  <si>
    <t>Hydro Depreciation, Total ($)</t>
  </si>
  <si>
    <t xml:space="preserve">Production </t>
  </si>
  <si>
    <t>Total Retail Load</t>
  </si>
  <si>
    <t>(Less) New Large Single Load</t>
  </si>
  <si>
    <t>Average System Cost $/MWh</t>
  </si>
  <si>
    <t>Form 1</t>
  </si>
  <si>
    <t>Step 1: Weighted Cost of Capital from Most Recent State Commission Rate Order</t>
  </si>
  <si>
    <t xml:space="preserve">Schedule 1: Plant Investment / Rate Base </t>
  </si>
  <si>
    <t xml:space="preserve">Hydraulic Production Plant </t>
  </si>
  <si>
    <t>Forfeited Discounts</t>
  </si>
  <si>
    <t>Other Electric Revenues</t>
  </si>
  <si>
    <t>Interdepartmental Rents</t>
  </si>
  <si>
    <t>Distribution of Salaries and Wages (For Labor Ratio Calculation)</t>
  </si>
  <si>
    <t>354-355</t>
  </si>
  <si>
    <t xml:space="preserve">Derivative Instrument Liabilities </t>
  </si>
  <si>
    <t>Derivative Instrument Liabilities - Hedges</t>
  </si>
  <si>
    <t>Derivative Instrument Assets - Hedges</t>
  </si>
  <si>
    <t>Ratio Table</t>
  </si>
  <si>
    <t>Labor Ratio</t>
  </si>
  <si>
    <t>General Plant Ratio</t>
  </si>
  <si>
    <t>Production, Transmission, Distribution Ratio</t>
  </si>
  <si>
    <t>PTD Ratio</t>
  </si>
  <si>
    <t>Production, Transmission, Distribution and General Plant Ratio</t>
  </si>
  <si>
    <t>General Plant Total</t>
  </si>
  <si>
    <t>PTDG RATIO</t>
  </si>
  <si>
    <t>Transmission and Distribution Plant Ratio</t>
  </si>
  <si>
    <t>TD RATIO</t>
  </si>
  <si>
    <t>Maintenance of General Plant Ratio</t>
  </si>
  <si>
    <t>GPM RATIO</t>
  </si>
  <si>
    <t>SUMMARY RATIO TABLE</t>
  </si>
  <si>
    <t>112-114</t>
  </si>
  <si>
    <r>
      <t>(less)</t>
    </r>
    <r>
      <rPr>
        <sz val="10"/>
        <color indexed="12"/>
        <rFont val="Times New Roman"/>
        <family val="1"/>
      </rPr>
      <t xml:space="preserve"> Long-Term Portion of Derivative Instrument Liabilities - Hedges</t>
    </r>
  </si>
  <si>
    <r>
      <t>(less)</t>
    </r>
    <r>
      <rPr>
        <sz val="10"/>
        <color indexed="12"/>
        <rFont val="Times New Roman"/>
        <family val="1"/>
      </rPr>
      <t xml:space="preserve"> Long-Term Portion of Derivative Instrument Liabilities</t>
    </r>
  </si>
  <si>
    <t>Distribution/Other</t>
  </si>
  <si>
    <t>Default</t>
  </si>
  <si>
    <t>Optional</t>
  </si>
  <si>
    <t>Functionalization</t>
  </si>
  <si>
    <t>Merchandise (Major Only)</t>
  </si>
  <si>
    <t>Other Materials and Supplies (Major only)</t>
  </si>
  <si>
    <t>EPA Allowance Inventory</t>
  </si>
  <si>
    <t xml:space="preserve">Multi-Jurisdiction Investor-Owned Utility Return Calculation </t>
  </si>
  <si>
    <t xml:space="preserve">Single-Jurisdiction Investor-Owned Utility Return Calculation </t>
  </si>
  <si>
    <t xml:space="preserve">Step 1: </t>
  </si>
  <si>
    <t>Rate Base</t>
  </si>
  <si>
    <t>Weighted cost</t>
  </si>
  <si>
    <t>Weighted Return</t>
  </si>
  <si>
    <t>%</t>
  </si>
  <si>
    <r>
      <t xml:space="preserve">Multi-Jurisdiction Investor-Owned Utility Return Calculation </t>
    </r>
    <r>
      <rPr>
        <i/>
        <sz val="12"/>
        <color indexed="12"/>
        <rFont val="Times New Roman"/>
        <family val="1"/>
      </rPr>
      <t>(continued)</t>
    </r>
  </si>
  <si>
    <t>Jurisdiction</t>
  </si>
  <si>
    <t xml:space="preserve">Effective Cost - </t>
  </si>
  <si>
    <t>Allocation</t>
  </si>
  <si>
    <t>Weighted  State Allocation</t>
  </si>
  <si>
    <t>Amortization of Intangible Plant  - Account 301</t>
  </si>
  <si>
    <t>Amortization of Intangible Plant  - Account 302</t>
  </si>
  <si>
    <t xml:space="preserve">Long-Term Portion of Derivative Assets - Hedges </t>
  </si>
  <si>
    <t>112-115</t>
  </si>
  <si>
    <t>Long-Term Portion of Derivative Instrument Liabilities</t>
  </si>
  <si>
    <t>Long-Term Portion of Derivative Instrument Liabilities - Hedges</t>
  </si>
  <si>
    <t xml:space="preserve">    Note: Multi-jurisdictional utilities must begin on Page 2</t>
  </si>
  <si>
    <t xml:space="preserve">            Publicly-owned utilities must begin on Page 4</t>
  </si>
  <si>
    <t>Step 1: Weighted Cost of Debt</t>
  </si>
  <si>
    <t>Year</t>
  </si>
  <si>
    <t>Rate</t>
  </si>
  <si>
    <t>Debt Issue</t>
  </si>
  <si>
    <t>Issued</t>
  </si>
  <si>
    <t>Original</t>
  </si>
  <si>
    <t>Interest</t>
  </si>
  <si>
    <t xml:space="preserve">Interest </t>
  </si>
  <si>
    <t>Expense</t>
  </si>
  <si>
    <t>Due</t>
  </si>
  <si>
    <t>Weighted Cost of Debt</t>
  </si>
  <si>
    <t>Step 2: Calculate Return on Rate Base</t>
  </si>
  <si>
    <t>Gain from Disposition of Utility Plant</t>
  </si>
  <si>
    <t>Gain from Disposition of Allowances</t>
  </si>
  <si>
    <t>DIST</t>
  </si>
  <si>
    <t>TRANS</t>
  </si>
  <si>
    <t>PROD</t>
  </si>
  <si>
    <t>906-907</t>
  </si>
  <si>
    <t>Total Sales Expense</t>
  </si>
  <si>
    <t>911-917</t>
  </si>
  <si>
    <t>Transmission of Electricity by Others (Wheeling)</t>
  </si>
  <si>
    <t>Amortization of Intangible Plant  - Account 303</t>
  </si>
  <si>
    <t>In-Service: Depreciation of Common Plant  (a)</t>
  </si>
  <si>
    <t>Amortization of Other Utility Plant (a)</t>
  </si>
  <si>
    <t>Allocated General Plant - Net</t>
  </si>
  <si>
    <t>Annual Depreciation Expense</t>
  </si>
  <si>
    <t>General Plant costs included in NLSL Resource costs will be calculated using NLSL Functionalization Ratios.</t>
  </si>
  <si>
    <t>Production Plant</t>
  </si>
  <si>
    <t>General Plant Depreciation expense included in NLSL Resource costs will be calculated using NLSL Functionalization Ratios.</t>
  </si>
  <si>
    <t>Total Annual Depreciation Expense</t>
  </si>
  <si>
    <t>Low Density Discount - Percentage</t>
  </si>
  <si>
    <t>TOCA - Percentage</t>
  </si>
  <si>
    <t>Non-Slice TOCA - Percentage</t>
  </si>
  <si>
    <t>Slice Percentage</t>
  </si>
  <si>
    <t>Eligible Irrigation Load</t>
  </si>
  <si>
    <t>Tier 1 Percentage</t>
  </si>
  <si>
    <t>Load Shaping Bill Det.</t>
  </si>
  <si>
    <t xml:space="preserve">     HLH</t>
  </si>
  <si>
    <t>Oct</t>
  </si>
  <si>
    <t>Nov</t>
  </si>
  <si>
    <t>Dec</t>
  </si>
  <si>
    <t>Jan</t>
  </si>
  <si>
    <t>Feb</t>
  </si>
  <si>
    <t>Mar</t>
  </si>
  <si>
    <t>Apr</t>
  </si>
  <si>
    <t>Jun</t>
  </si>
  <si>
    <t>Jul</t>
  </si>
  <si>
    <t>Aug</t>
  </si>
  <si>
    <t>Sep</t>
  </si>
  <si>
    <t xml:space="preserve">     LLH</t>
  </si>
  <si>
    <t>Demand Bill Det.</t>
  </si>
  <si>
    <t>(Total Expenses: Production + Transmission + Distribution + Customer and Sales +Total Administration and General Expenses)</t>
  </si>
  <si>
    <t xml:space="preserve">Hydraulic Production Plant - Conventional </t>
  </si>
  <si>
    <t>Hydraulic Production Plant - Pumped Storage</t>
  </si>
  <si>
    <t>Common Plant - Electric</t>
  </si>
  <si>
    <t>(Utility Plant) Held For Future Use</t>
  </si>
  <si>
    <t>CURRENT AND ACCRUED LIABILITIES</t>
  </si>
  <si>
    <t>DEFERRED CREDITS</t>
  </si>
  <si>
    <t>Fuel Stock</t>
  </si>
  <si>
    <t>Operation</t>
  </si>
  <si>
    <t>Maintenance</t>
  </si>
  <si>
    <t>Total Intangible Plant</t>
  </si>
  <si>
    <t>(Total Intangible + Total Production + Total Transmission + Total Distribution + Total General)</t>
  </si>
  <si>
    <t>Amount</t>
  </si>
  <si>
    <t>Asset Retirement Costs for General Plant</t>
  </si>
  <si>
    <t>204-208</t>
  </si>
  <si>
    <t>Investment in Associated Companies</t>
  </si>
  <si>
    <t>Other Preliminary Survey and Investigation Charges</t>
  </si>
  <si>
    <t>GP Ratio</t>
  </si>
  <si>
    <t>PTDG Ratio</t>
  </si>
  <si>
    <t>TD Ratio</t>
  </si>
  <si>
    <t>GPM Ratio</t>
  </si>
  <si>
    <t>Method</t>
  </si>
  <si>
    <t>Other Power - Fuel</t>
  </si>
  <si>
    <t>500-509</t>
  </si>
  <si>
    <t>517-525</t>
  </si>
  <si>
    <t>Other Power Supply Expenses</t>
  </si>
  <si>
    <t>System Control and Load Dispatching</t>
  </si>
  <si>
    <t>Power Production Expenses:</t>
  </si>
  <si>
    <t>Steam Power Generation</t>
  </si>
  <si>
    <t>Nuclear Power Generation</t>
  </si>
  <si>
    <t>Hydraulic Power Generation</t>
  </si>
  <si>
    <t>Other Power Generation</t>
  </si>
  <si>
    <t>Total Operations less Wheeling</t>
  </si>
  <si>
    <t>Total Maintenance</t>
  </si>
  <si>
    <t>Total Operations</t>
  </si>
  <si>
    <t>Total Customer Accounts</t>
  </si>
  <si>
    <t>Injuries and Damages</t>
  </si>
  <si>
    <t>Employee Pensions &amp; Benefits</t>
  </si>
  <si>
    <t>Franchise Requirements</t>
  </si>
  <si>
    <t>Miscellaneous General Expenses</t>
  </si>
  <si>
    <t>Regulatory Commission Expenses</t>
  </si>
  <si>
    <t>Distribution Plant</t>
  </si>
  <si>
    <t>Total Depreciation and Amortization</t>
  </si>
  <si>
    <t>Distribution Plant:</t>
  </si>
  <si>
    <t>Intangible Plant:</t>
  </si>
  <si>
    <t>LESS:</t>
  </si>
  <si>
    <t>Total Net Plant</t>
  </si>
  <si>
    <t>Nuclear Fuel</t>
  </si>
  <si>
    <t>Other Investment</t>
  </si>
  <si>
    <t>Total Rate Base</t>
  </si>
  <si>
    <t>Nuclear - Maintenance</t>
  </si>
  <si>
    <t>528-532</t>
  </si>
  <si>
    <t>Total Production Expense</t>
  </si>
  <si>
    <t>565</t>
  </si>
  <si>
    <t>Total Transmission Expense</t>
  </si>
  <si>
    <t>Distribution Expense:</t>
  </si>
  <si>
    <t>580-589</t>
  </si>
  <si>
    <t>590-598</t>
  </si>
  <si>
    <t>Total Distribution Expense</t>
  </si>
  <si>
    <t>Customer and Sales Expenses:</t>
  </si>
  <si>
    <t>901-905</t>
  </si>
  <si>
    <t>Total Customer and Sales Expenses</t>
  </si>
  <si>
    <t>Administration and General Expense:</t>
  </si>
  <si>
    <t>Rents</t>
  </si>
  <si>
    <t>Total Administration and General Expenses</t>
  </si>
  <si>
    <t>Total Operations and Maintenance</t>
  </si>
  <si>
    <t>(Weighted Cost of Capital Plus Federal Income Tax Factor)</t>
  </si>
  <si>
    <t>Step 3: Calculate Return on Rate Base</t>
  </si>
  <si>
    <t xml:space="preserve">Transmission Plant  </t>
  </si>
  <si>
    <t>Schedule 1A: Cash Working Capital  (f)</t>
  </si>
  <si>
    <t>Total Transmission O&amp;M (i)</t>
  </si>
  <si>
    <t>Schedule 2: Capital Structure and Rate of Return (b)</t>
  </si>
  <si>
    <t>Transmission Expenses: (i)</t>
  </si>
  <si>
    <t>Public Purpose Charges (h)</t>
  </si>
  <si>
    <t>Revenues from Transmission of Electricity of Others (i)</t>
  </si>
  <si>
    <t>(From Schedule 3b)</t>
  </si>
  <si>
    <t>Contract System Cost</t>
  </si>
  <si>
    <t>Total Contract System Cost</t>
  </si>
  <si>
    <t>Contract System Load (MWh)</t>
  </si>
  <si>
    <t xml:space="preserve">Total Contract System Load </t>
  </si>
  <si>
    <t>(Less)  New Large Single Load Costs (d)</t>
  </si>
  <si>
    <t>Total Retail Load (Net of NLSL) (d)</t>
  </si>
  <si>
    <t>Electric</t>
  </si>
  <si>
    <t>Distribution</t>
  </si>
  <si>
    <t>Customer Accounts</t>
  </si>
  <si>
    <t>Customer Service and Informational</t>
  </si>
  <si>
    <t>Sales</t>
  </si>
  <si>
    <t>Administrative and General</t>
  </si>
  <si>
    <t>Labor Ratio Input:</t>
  </si>
  <si>
    <t>Administrative &amp; General</t>
  </si>
  <si>
    <t>Total Labor</t>
  </si>
  <si>
    <t>Total Distribution O&amp;M</t>
  </si>
  <si>
    <t>Ratio Used</t>
  </si>
  <si>
    <t>MWh Sold</t>
  </si>
  <si>
    <t xml:space="preserve">       TOTAL </t>
  </si>
  <si>
    <t>RATIO  (GP)</t>
  </si>
  <si>
    <t>Production, Transmission, Distribution</t>
  </si>
  <si>
    <t>Transmission Plant</t>
  </si>
  <si>
    <t xml:space="preserve">    PTD Total</t>
  </si>
  <si>
    <t>Intangible Plant - Organization</t>
  </si>
  <si>
    <t>Intangible Plant - Franchises and Consents</t>
  </si>
  <si>
    <t>Transmission, Distribution</t>
  </si>
  <si>
    <t>Labor Ratios</t>
  </si>
  <si>
    <t>Direct to Distribution</t>
  </si>
  <si>
    <t>Direct to Production</t>
  </si>
  <si>
    <t>Direct to Transmission</t>
  </si>
  <si>
    <t>Direct Allocation</t>
  </si>
  <si>
    <t>Production, Transmission, Distribution, General</t>
  </si>
  <si>
    <t>Embedded</t>
  </si>
  <si>
    <t>Effective Cost</t>
  </si>
  <si>
    <t>Capitalization Structure</t>
  </si>
  <si>
    <t>Percent</t>
  </si>
  <si>
    <t>{(ROR – (Embedded Cost of Debt * (Debt / (Total Capital))} * {(Federal Tax Rate / (1- Federal Tax Rate)}</t>
  </si>
  <si>
    <t>Total Customer &amp; Sales</t>
  </si>
  <si>
    <t>Intangible Plant - Miscellaneous</t>
  </si>
  <si>
    <t>Rent from Electric Property</t>
  </si>
  <si>
    <t>Sales of Water and Water Power</t>
  </si>
  <si>
    <t>Miscellaneous Service Revenues</t>
  </si>
  <si>
    <t>Amortization of Acquisition Adjustments</t>
  </si>
  <si>
    <t>Classification</t>
  </si>
  <si>
    <t>Statistical</t>
  </si>
  <si>
    <t>Jurisdictional</t>
  </si>
  <si>
    <t>Multi-Jurisdiction Investor-Owned Utility Return Calculation:</t>
  </si>
  <si>
    <t>Energy (kWh)</t>
  </si>
  <si>
    <t>Gross Plant in Service</t>
  </si>
  <si>
    <t xml:space="preserve"> Accumulated  Depreciation</t>
  </si>
  <si>
    <t xml:space="preserve"> Net Plant In Service</t>
  </si>
  <si>
    <t>Alloc. Plant Materials &amp; Supplies</t>
  </si>
  <si>
    <t>Total "Rate Base"</t>
  </si>
  <si>
    <t>Return on Capital</t>
  </si>
  <si>
    <t>Fuel</t>
  </si>
  <si>
    <t>Allocated A&amp;G</t>
  </si>
  <si>
    <t>Fully Allocated Cost ($)</t>
  </si>
  <si>
    <t>Fully Allocated Cost ($/MWh)</t>
  </si>
  <si>
    <t xml:space="preserve">ASC Transmission </t>
  </si>
  <si>
    <t>Depreciation Expense for Asset Retirement Costs</t>
  </si>
  <si>
    <t>Amortization of Limited Term Electric Plant</t>
  </si>
  <si>
    <t>Regulatory Credits</t>
  </si>
  <si>
    <t xml:space="preserve">Property </t>
  </si>
  <si>
    <t>State Income, B&amp;O, et.</t>
  </si>
  <si>
    <t>Franchise Fees</t>
  </si>
  <si>
    <t>City/Municipal</t>
  </si>
  <si>
    <t>TOTAL TAXES</t>
  </si>
  <si>
    <t>UTILITY NAME:</t>
  </si>
  <si>
    <r>
      <t>(Less)</t>
    </r>
    <r>
      <rPr>
        <sz val="10"/>
        <color indexed="12"/>
        <rFont val="Times New Roman"/>
        <family val="1"/>
      </rPr>
      <t xml:space="preserve"> Long-Term Portion of Derivative Assets - Hedges </t>
    </r>
  </si>
  <si>
    <t>End of Year Report Period:</t>
  </si>
  <si>
    <t>ASC Filing Date:</t>
  </si>
  <si>
    <r>
      <t>(Less)</t>
    </r>
    <r>
      <rPr>
        <sz val="10"/>
        <color indexed="12"/>
        <rFont val="Times New Roman"/>
        <family val="1"/>
      </rPr>
      <t xml:space="preserve"> Loss from Disposition of Allowances</t>
    </r>
  </si>
  <si>
    <r>
      <t>(Less)</t>
    </r>
    <r>
      <rPr>
        <b/>
        <sz val="10"/>
        <color indexed="12"/>
        <rFont val="Times New Roman"/>
        <family val="1"/>
      </rPr>
      <t xml:space="preserve"> </t>
    </r>
    <r>
      <rPr>
        <sz val="10"/>
        <color indexed="12"/>
        <rFont val="Times New Roman"/>
        <family val="1"/>
      </rPr>
      <t>Regulatory Debits</t>
    </r>
  </si>
  <si>
    <r>
      <t>(Less)</t>
    </r>
    <r>
      <rPr>
        <b/>
        <sz val="10"/>
        <color indexed="12"/>
        <rFont val="Times New Roman"/>
        <family val="1"/>
      </rPr>
      <t xml:space="preserve"> </t>
    </r>
    <r>
      <rPr>
        <sz val="10"/>
        <color indexed="12"/>
        <rFont val="Times New Roman"/>
        <family val="1"/>
      </rPr>
      <t>Loss from Disposition of Utility Plant</t>
    </r>
  </si>
  <si>
    <t>Customer Assistance Expenses (Major only)</t>
  </si>
  <si>
    <t>Distribution Loss Calculation</t>
  </si>
  <si>
    <t>FY</t>
  </si>
  <si>
    <t>Distribution Losses</t>
  </si>
  <si>
    <t>Contract System Load</t>
  </si>
  <si>
    <t>Annual Load Change</t>
  </si>
  <si>
    <t>Rate Period Mid-Point From ASC Tab</t>
  </si>
  <si>
    <t>Online Year</t>
  </si>
  <si>
    <t>Online Month</t>
  </si>
  <si>
    <t>New Resource Switch (Input in ASCs Tab, 1=On, 0=Off)</t>
  </si>
  <si>
    <t>Accnt #</t>
  </si>
  <si>
    <r>
      <t xml:space="preserve">Fuel </t>
    </r>
    <r>
      <rPr>
        <b/>
        <sz val="8"/>
        <color indexed="8"/>
        <rFont val="Tahoma"/>
        <family val="2"/>
      </rPr>
      <t>(Stock)</t>
    </r>
  </si>
  <si>
    <t>EPA Allowances</t>
  </si>
  <si>
    <t>158.1-158.2</t>
  </si>
  <si>
    <t>Steam Expense</t>
  </si>
  <si>
    <t>Steam Power - Op (Excluding 501 - Fuel)</t>
  </si>
  <si>
    <t>Depreciation</t>
  </si>
  <si>
    <t>OK</t>
  </si>
  <si>
    <t>Firm Sales for Resale ($)</t>
  </si>
  <si>
    <t>OSS &amp; PP</t>
  </si>
  <si>
    <t>Firm Sales for Resale (MWh)</t>
  </si>
  <si>
    <t>Expected Annual Generation (MWh)</t>
  </si>
  <si>
    <r>
      <t xml:space="preserve">Nuclear Fuel </t>
    </r>
    <r>
      <rPr>
        <b/>
        <sz val="8"/>
        <color indexed="8"/>
        <rFont val="Tahoma"/>
        <family val="2"/>
      </rPr>
      <t>(Stock)</t>
    </r>
  </si>
  <si>
    <t>Nuclear Expense</t>
  </si>
  <si>
    <r>
      <t xml:space="preserve">Nuclear - Fuel  </t>
    </r>
    <r>
      <rPr>
        <b/>
        <sz val="8"/>
        <color indexed="8"/>
        <rFont val="Tahoma"/>
        <family val="2"/>
      </rPr>
      <t>(Expense)</t>
    </r>
  </si>
  <si>
    <t>Hydraulic Production Plant</t>
  </si>
  <si>
    <t xml:space="preserve">Hydraulic Expense  </t>
  </si>
  <si>
    <t>535-540</t>
  </si>
  <si>
    <t>541-545</t>
  </si>
  <si>
    <r>
      <t xml:space="preserve">     Hydraulic Production Plant - </t>
    </r>
    <r>
      <rPr>
        <sz val="8"/>
        <color indexed="8"/>
        <rFont val="Tahoma"/>
        <family val="2"/>
      </rPr>
      <t xml:space="preserve">Conventional </t>
    </r>
  </si>
  <si>
    <r>
      <t xml:space="preserve">     Hydraulic Production Plant - </t>
    </r>
    <r>
      <rPr>
        <sz val="8"/>
        <color indexed="8"/>
        <rFont val="Tahoma"/>
        <family val="2"/>
      </rPr>
      <t>Pumped Storage</t>
    </r>
  </si>
  <si>
    <t>Other Expense</t>
  </si>
  <si>
    <t>546-550</t>
  </si>
  <si>
    <t>551-554</t>
  </si>
  <si>
    <t>Property Taxes Production</t>
  </si>
  <si>
    <t>Total Production Property</t>
  </si>
  <si>
    <t>NRSW</t>
  </si>
  <si>
    <t>NRCOL</t>
  </si>
  <si>
    <t>Date</t>
  </si>
  <si>
    <t>Functionalization/
Escalation</t>
  </si>
  <si>
    <t>Code</t>
  </si>
  <si>
    <t>Depreciation Reserve</t>
  </si>
  <si>
    <t>Calculation</t>
  </si>
  <si>
    <t xml:space="preserve">Less: Long-Term Portion of Derivative Assets </t>
  </si>
  <si>
    <t xml:space="preserve">Less: Long-Term Portion of Derivative Assets - Hedges </t>
  </si>
  <si>
    <t xml:space="preserve">Prelim. Survey and Investigation Charges (Electric) </t>
  </si>
  <si>
    <t>(less) Long-Term Portion of Derivative Instrument Liabilities</t>
  </si>
  <si>
    <t>(less) Long-Term Portion of Derivative Instrument Liabilities - Hedges</t>
  </si>
  <si>
    <t>Customer assistance expenses (Major only)</t>
  </si>
  <si>
    <t>Schedule 3B: Other Included Items</t>
  </si>
  <si>
    <t>(Less) Regulatory Debits</t>
  </si>
  <si>
    <t>(Less) Loss from Disposition of Utility Plant</t>
  </si>
  <si>
    <t>(Less) Loss from Disposition of Allowances</t>
  </si>
  <si>
    <t>Sale for Resale:</t>
  </si>
  <si>
    <t>NLSL MWh</t>
  </si>
  <si>
    <t>Distribution Loss (f)</t>
  </si>
  <si>
    <t>PTD Ratios</t>
  </si>
  <si>
    <t>PTDG Ratios</t>
  </si>
  <si>
    <t>TD Ratios</t>
  </si>
  <si>
    <t>TDG Ratios</t>
  </si>
  <si>
    <t>LABOR Ratios</t>
  </si>
  <si>
    <t>GP Ratios</t>
  </si>
  <si>
    <t>GPM Ratios</t>
  </si>
  <si>
    <t>Off-System Sales &amp; Power Purchase Calculation</t>
  </si>
  <si>
    <t>Base Data</t>
  </si>
  <si>
    <t>New Resource LT &amp; IT Purchases &amp; Contract Terminations</t>
  </si>
  <si>
    <t>Sales for</t>
  </si>
  <si>
    <t>Resale</t>
  </si>
  <si>
    <t>Currently same as 110000, nothing in 113000</t>
  </si>
  <si>
    <t xml:space="preserve"> LT &amp; IT Purchases ($)</t>
  </si>
  <si>
    <t>New Resources Purchases/Terminations (MWh)</t>
  </si>
  <si>
    <t>New Resource Plant Additions (MWh)</t>
  </si>
  <si>
    <t>New Resource Sales/Terminations (MWh)</t>
  </si>
  <si>
    <t>New Purchases and Resource Adds available to meet load</t>
  </si>
  <si>
    <t>Base ST Purchases (MWh)</t>
  </si>
  <si>
    <t>New resource vs ST Purchases Check</t>
  </si>
  <si>
    <t>Annual ST Purchases (MWh)</t>
  </si>
  <si>
    <t>ST Purchase Power Base Price (This FY, $/MWh)</t>
  </si>
  <si>
    <t>ST Purchased Power $</t>
  </si>
  <si>
    <t>Base ST Sales for Resale (MWh)</t>
  </si>
  <si>
    <t>ST Sales from New Resource Adds (MWh)</t>
  </si>
  <si>
    <t>Annual ST Sales (MWh)</t>
  </si>
  <si>
    <t>ST Sales for Resale ($)</t>
  </si>
  <si>
    <t>ST Sales Power Price ($/MWh)</t>
  </si>
  <si>
    <t>LT &amp; IT Sales for Resale ($)</t>
  </si>
  <si>
    <t>NR Switch</t>
  </si>
  <si>
    <t>NR Column</t>
  </si>
  <si>
    <t>New Resource</t>
  </si>
  <si>
    <t>Purchased Power ($)</t>
  </si>
  <si>
    <t>Total Sale for Resale Credit</t>
  </si>
  <si>
    <t>Steam</t>
  </si>
  <si>
    <t>Name Plate Capacity</t>
  </si>
  <si>
    <t>MW</t>
  </si>
  <si>
    <t>Heat Rate</t>
  </si>
  <si>
    <t>BTU/kWh</t>
  </si>
  <si>
    <t>Unit Cost</t>
  </si>
  <si>
    <t>$/mmBTU</t>
  </si>
  <si>
    <t>Capacity Factor</t>
  </si>
  <si>
    <t>fuel cost</t>
  </si>
  <si>
    <t>Nuclear</t>
  </si>
  <si>
    <t>Hydro</t>
  </si>
  <si>
    <t>Other - Natural Gas</t>
  </si>
  <si>
    <t>Other - Bio -Fuel</t>
  </si>
  <si>
    <t>Other (Wind, Tidal, solar, etc)</t>
  </si>
  <si>
    <t>%Change from Base Case</t>
  </si>
  <si>
    <t>Total Sales &amp; Terminations ($)</t>
  </si>
  <si>
    <t>Total Sales &amp; Terminations (MWh)</t>
  </si>
  <si>
    <t>Total Purchases &amp; Terminations ($)</t>
  </si>
  <si>
    <t>Total Purchases &amp; Terminations (MWh)</t>
  </si>
  <si>
    <t>New Resources Total Expected Annual Generation (MWh)</t>
  </si>
  <si>
    <t>Total Retail Sales @ Meter</t>
  </si>
  <si>
    <t>Purchases from BPA Included in Power Purchases Above</t>
  </si>
  <si>
    <t>Cost</t>
  </si>
  <si>
    <t>PF</t>
  </si>
  <si>
    <t>Slice</t>
  </si>
  <si>
    <t>Schedule 1 - Rate Base</t>
  </si>
  <si>
    <t>TOC</t>
  </si>
  <si>
    <t>é</t>
  </si>
  <si>
    <t>3-YEAR PP &amp; OSS Worksheet</t>
  </si>
  <si>
    <t>Schedule 1A - Cash Working Capital</t>
  </si>
  <si>
    <t>Schedule 2 -Rate of Return</t>
  </si>
  <si>
    <t>Schedule 3 - Expenses</t>
  </si>
  <si>
    <t>Schedule 3A - Taxes</t>
  </si>
  <si>
    <t>Schedule 3B - Other Items</t>
  </si>
  <si>
    <t>Schedule 4 - Average System Cost</t>
  </si>
  <si>
    <t>Load Forecast</t>
  </si>
  <si>
    <t>Distribution Loss Calc</t>
  </si>
  <si>
    <t>Salaries</t>
  </si>
  <si>
    <t>Ratios</t>
  </si>
  <si>
    <t>New Resources- Individual</t>
  </si>
  <si>
    <t>New Resources-Group</t>
  </si>
  <si>
    <t>Materiality - Individual</t>
  </si>
  <si>
    <t>Materiality - Group</t>
  </si>
  <si>
    <t>Tiered Rates</t>
  </si>
  <si>
    <t>NLSL Base New Calculation</t>
  </si>
  <si>
    <t>NLSL Fully Alloc. Cost ($/MWh)</t>
  </si>
  <si>
    <t>Distribution Losses (%)</t>
  </si>
  <si>
    <t>Utility Name</t>
  </si>
  <si>
    <t>BPA Reviews:</t>
  </si>
  <si>
    <t>Table of Contents</t>
  </si>
  <si>
    <t>2008 Average System Cost Methodology (ASCM) Appendix 1</t>
  </si>
  <si>
    <t>Fiscal Year Load Forecast</t>
  </si>
  <si>
    <t>2008 Average System Cost (ASCM) Appendix 1</t>
  </si>
  <si>
    <r>
      <t xml:space="preserve">                                                      </t>
    </r>
    <r>
      <rPr>
        <b/>
        <sz val="12"/>
        <color indexed="57"/>
        <rFont val="Times New Roman"/>
        <family val="1"/>
      </rPr>
      <t xml:space="preserve">   </t>
    </r>
    <r>
      <rPr>
        <sz val="12"/>
        <rFont val="Times New Roman"/>
        <family val="1"/>
      </rPr>
      <t xml:space="preserve">            </t>
    </r>
    <r>
      <rPr>
        <b/>
        <sz val="12"/>
        <color indexed="12"/>
        <rFont val="Times New Roman"/>
        <family val="1"/>
      </rPr>
      <t>2/19/2010</t>
    </r>
  </si>
  <si>
    <t>Utility:</t>
  </si>
  <si>
    <t/>
  </si>
  <si>
    <t>Distribution/           Other</t>
  </si>
  <si>
    <t>Distribution/  Other</t>
  </si>
  <si>
    <t>Distribution/      Other</t>
  </si>
  <si>
    <t>Distribution/   Other</t>
  </si>
  <si>
    <t>Distribution/          Other</t>
  </si>
  <si>
    <t>Distribution/            Other</t>
  </si>
  <si>
    <t>Lookback Share-Slice %</t>
  </si>
  <si>
    <t>Lookback Share-Non-Slice %</t>
  </si>
  <si>
    <t>Existing Resources (aMW)</t>
  </si>
  <si>
    <t>Above-RHWM Load (aMW)</t>
  </si>
  <si>
    <t>New Large Single Load (aMW)</t>
  </si>
  <si>
    <t>Total Retail Load (aMW)</t>
  </si>
  <si>
    <t>Fiscal Year MWh</t>
  </si>
  <si>
    <t>Above-RHWM Production Plant</t>
  </si>
  <si>
    <t>Above-RHWM Production Plant percent of Total Prod. Plant</t>
  </si>
  <si>
    <t>Above-RHWM Production Plant O&amp;M</t>
  </si>
  <si>
    <t>Above-RHWM Production Plant O&amp;M percent of Total Prod. Plant O&amp;M</t>
  </si>
  <si>
    <t>(Less)  Above-RHWM Load Costs (d)</t>
  </si>
  <si>
    <t>(Less) Above-RHWM Load</t>
  </si>
  <si>
    <t>With</t>
  </si>
  <si>
    <t>With NLSL and</t>
  </si>
  <si>
    <t>or Above-RHWM Load</t>
  </si>
  <si>
    <t>Above-RHWM Load</t>
  </si>
  <si>
    <t>Removed</t>
  </si>
  <si>
    <t>Above-RHWM</t>
  </si>
  <si>
    <t>NLSL MWH</t>
  </si>
  <si>
    <t>Above-RHWM Load MWh</t>
  </si>
  <si>
    <t>Account 557 Disallowed Amounts</t>
  </si>
  <si>
    <t>Load for Dist Plant Adds</t>
  </si>
  <si>
    <t>Base Period NLSL MWh</t>
  </si>
  <si>
    <t>New NLSL MWh</t>
  </si>
  <si>
    <t>Total NLSL MWh</t>
  </si>
  <si>
    <t>Average Cost of Post-2006 Resources</t>
  </si>
  <si>
    <t>Slice Surplus (aMW)</t>
  </si>
  <si>
    <t>Tier 1</t>
  </si>
  <si>
    <t>BPA Purch-Other</t>
  </si>
  <si>
    <t>Refund Amount</t>
  </si>
  <si>
    <t>A-RHWM Ratios</t>
  </si>
  <si>
    <t>Above-RHWM Base Calc</t>
  </si>
  <si>
    <t>Distribution Loss Percentage</t>
  </si>
  <si>
    <t>Wind Resource Reporting Form</t>
  </si>
  <si>
    <t>Plant Name</t>
  </si>
  <si>
    <t>Year In-Service</t>
  </si>
  <si>
    <t>Number of Turbines</t>
  </si>
  <si>
    <t>Capacity of individual turbine</t>
  </si>
  <si>
    <t>Year Originally Constructed</t>
  </si>
  <si>
    <t>Year Last Unit was Installed</t>
  </si>
  <si>
    <t xml:space="preserve">Total Installed Cap (Max Gen Name Plate Ratings-MW) </t>
  </si>
  <si>
    <t xml:space="preserve">Net Peak Demand on Plant - MW (60 minutes) </t>
  </si>
  <si>
    <t xml:space="preserve">Plant Hours Connected to Load </t>
  </si>
  <si>
    <t xml:space="preserve">Net Continuous Plant Capability (Megawatts) </t>
  </si>
  <si>
    <t>Average Number of Employees</t>
  </si>
  <si>
    <t>Net Generation, Exclusive of Plant Use - kWh</t>
  </si>
  <si>
    <t>Cost of Plant: Land and Land Rights</t>
  </si>
  <si>
    <t>Equipment Costs</t>
  </si>
  <si>
    <t>Asset Retirement Costs</t>
  </si>
  <si>
    <t xml:space="preserve">Total Cost </t>
  </si>
  <si>
    <t xml:space="preserve">Cost per KW of Installed Capacity (line 17/6) </t>
  </si>
  <si>
    <t>Production Expenses: Oper, Supv, &amp; Engr</t>
  </si>
  <si>
    <t>Electric Expenses</t>
  </si>
  <si>
    <t xml:space="preserve">Rents </t>
  </si>
  <si>
    <t>Allowances</t>
  </si>
  <si>
    <t>Maintenance Supervision and Engineering</t>
  </si>
  <si>
    <t>Maintenance of Structures</t>
  </si>
  <si>
    <t xml:space="preserve">Maintenance of Electric Plant </t>
  </si>
  <si>
    <t xml:space="preserve">Total Production Expenses </t>
  </si>
  <si>
    <t xml:space="preserve">Expenses per Net KWh </t>
  </si>
  <si>
    <t>Wind_Resources_Costs</t>
  </si>
  <si>
    <t>Maintenance and Supplies costs included in Above-RHWM Resource costs will be calculated using Above-RHWM Functionalization Ratios.</t>
  </si>
  <si>
    <t>General Plant costs included in Above-RHWM Resource costs will be calculated using Above-RHWM Functionalization Ratios.</t>
  </si>
  <si>
    <t>General Plant Depreciation expense included in Above-RHWM Resource costs will be calculated using Above-RHWM Functionalization Ratios.</t>
  </si>
  <si>
    <t>A &amp; G costs included in Above-RHWM Resource costs will be calculated using Above-RHWM Functionalization Ratios.</t>
  </si>
  <si>
    <t>Federal Employment Taxes included in Above-RHWM Resource costs will be calculated using Above-RHWM Functionalization Ratios.</t>
  </si>
  <si>
    <t>State Employment Taxes included in Above-RHWM Resource costs will be calculated using Above-RHWM Functionalization Ratios.</t>
  </si>
  <si>
    <t>Property Taxes included in Above-RHWM Resource costs will be calculated using Above-RHWM Functionalization Ratios.</t>
  </si>
  <si>
    <t>Annual Output</t>
  </si>
  <si>
    <t>Accumulated Depreciation</t>
  </si>
  <si>
    <t>Base Period MWh</t>
  </si>
  <si>
    <t>Forecast Fiscal Year MWh</t>
  </si>
  <si>
    <t>New Resource Group Number</t>
  </si>
  <si>
    <t>to</t>
  </si>
  <si>
    <t>New Resource Group</t>
  </si>
  <si>
    <t>General Plant-Tran &amp; Dist</t>
  </si>
  <si>
    <t>TDG RATIO</t>
  </si>
  <si>
    <t>Cell E6</t>
  </si>
  <si>
    <t>Change from:</t>
  </si>
  <si>
    <t>Cell E7</t>
  </si>
  <si>
    <t>Average Cost of Post-1979 Base Period Resources</t>
  </si>
  <si>
    <t>Change dates in Sch 1- Rate Base Tab</t>
  </si>
  <si>
    <t>Cell A47</t>
  </si>
  <si>
    <t>Change from</t>
  </si>
  <si>
    <t>Updated all Footers from</t>
  </si>
  <si>
    <t>TIER 1 Load (aMW)</t>
  </si>
  <si>
    <t>In New Resources-Individual and New Resources Group Tabs</t>
  </si>
  <si>
    <t>Cell B3</t>
  </si>
  <si>
    <t>In NLSL_Base_New_Calc Tab</t>
  </si>
  <si>
    <t>In Above-RHWM_Base_New_Calc Tab</t>
  </si>
  <si>
    <t>Federal Income Tax Rate   (21% during Base Period)</t>
  </si>
  <si>
    <t>Pre-slice surplus</t>
  </si>
  <si>
    <t>310-317</t>
  </si>
  <si>
    <t>320-326</t>
  </si>
  <si>
    <t>330-337</t>
  </si>
  <si>
    <t>350-359.1</t>
  </si>
  <si>
    <t>360-374</t>
  </si>
  <si>
    <t>2021 cost of serving NLSLs under Endnote d</t>
  </si>
  <si>
    <t>2021 cost of serving Above-RHWM Loads under Endnote d</t>
  </si>
  <si>
    <t>FY 2024-2025 ASC Filing</t>
  </si>
  <si>
    <t>262-263</t>
  </si>
  <si>
    <t>114-117</t>
  </si>
  <si>
    <t>FunctionalizationDefault</t>
  </si>
  <si>
    <t>FunctionalizationOption</t>
  </si>
  <si>
    <t>Distribution Plant (reserve)</t>
  </si>
  <si>
    <t>Customer Service and Information (906-907)</t>
  </si>
  <si>
    <t>Customer Service and Information (909-910)</t>
  </si>
  <si>
    <t>Amortization of Intangible Plant  - Account 301 (expense)</t>
  </si>
  <si>
    <t>Amortization of Intangible Plant  - Account 302 (expense)</t>
  </si>
  <si>
    <t>Amortization of Intangible Plant  - Account 303 (expense)</t>
  </si>
  <si>
    <t>Steam Production Plant (expense)</t>
  </si>
  <si>
    <t>Nuclear Production Plant (expense)</t>
  </si>
  <si>
    <t>Other Production Plant (expense)</t>
  </si>
  <si>
    <t>Transmission Plant (i) (expense)</t>
  </si>
  <si>
    <t>Distribution Plant (expense)</t>
  </si>
  <si>
    <t>General Plant (expense)</t>
  </si>
  <si>
    <t>Common Plant - Electric - Account 403</t>
  </si>
  <si>
    <t>Common Plant - Electric - Account 404</t>
  </si>
  <si>
    <t>(Less)  Above-RHWM Costs (d)</t>
  </si>
  <si>
    <t>Above-</t>
  </si>
  <si>
    <t>RHWM MWh</t>
  </si>
  <si>
    <t>Production (labor)</t>
  </si>
  <si>
    <t>Transmission (labor)</t>
  </si>
  <si>
    <t>Distribution (labor)</t>
  </si>
  <si>
    <t>Customer Accounts (labor)</t>
  </si>
  <si>
    <t>Customer Service and Informational (labor)</t>
  </si>
  <si>
    <t>Sales (labor)</t>
  </si>
  <si>
    <t>Administrative &amp; General (labor)</t>
  </si>
  <si>
    <t>AccountName</t>
  </si>
  <si>
    <t>Utility</t>
  </si>
  <si>
    <t>SystemCost</t>
  </si>
  <si>
    <t>SystemLoad</t>
  </si>
  <si>
    <t>ASC</t>
  </si>
  <si>
    <t>In Schedule 1 - Rate Base</t>
  </si>
  <si>
    <t xml:space="preserve">FY 2026-2028 ASC Appendix 1 </t>
  </si>
  <si>
    <t>2023 cost of serving NLSLs under Endnote d</t>
  </si>
  <si>
    <t>2023 cost of serving Above-RHWM Loads under Endnote d</t>
  </si>
  <si>
    <t>Midpoint is different because of the three year rate period</t>
  </si>
  <si>
    <t>340-348</t>
  </si>
  <si>
    <t>Check all account numbers</t>
  </si>
  <si>
    <t>PacifiCorp</t>
  </si>
  <si>
    <t>Electric Operations Revenue (Actuals)</t>
  </si>
  <si>
    <t>Sum of Range: 01/2023 - 12/2023</t>
  </si>
  <si>
    <t>Allocation Method - Factor 2020 Protocol</t>
  </si>
  <si>
    <t>(Allocated in Thousands)</t>
  </si>
  <si>
    <t>Logged On User</t>
  </si>
  <si>
    <t>P48032</t>
  </si>
  <si>
    <t>Query Last Refreshed At</t>
  </si>
  <si>
    <t>REVN</t>
  </si>
  <si>
    <t>Calendar Year/ Month (MM/YYYY)</t>
  </si>
  <si>
    <t>01/2023 - 12/2023</t>
  </si>
  <si>
    <t>Rates Month (Mandatory, Single Value)</t>
  </si>
  <si>
    <t>06/2011</t>
  </si>
  <si>
    <t>Allocation Factor (Optional, Selection Options)</t>
  </si>
  <si>
    <t>Allocation Method (Mandatory, Single Value)</t>
  </si>
  <si>
    <t>Factor 2020 Protocol</t>
  </si>
  <si>
    <t>Allocation Version (Mandatory, Single Value)</t>
  </si>
  <si>
    <t>Average</t>
  </si>
  <si>
    <t>Profit Center Hierarchy Nodes</t>
  </si>
  <si>
    <t>Company Code (Selection Options, Optional)</t>
  </si>
  <si>
    <t>1000 PacifiCorp; 2010 Interwest Mining Company; 2020 Pacific Minerals, Inc</t>
  </si>
  <si>
    <t>FERC Account (Selection Option, Optional)</t>
  </si>
  <si>
    <t>Primary Account</t>
  </si>
  <si>
    <t>Secondary Account</t>
  </si>
  <si>
    <t>Alloc</t>
  </si>
  <si>
    <t>Balance</t>
  </si>
  <si>
    <t>Oregon</t>
  </si>
  <si>
    <t>Wash</t>
  </si>
  <si>
    <t>Idaho</t>
  </si>
  <si>
    <t>FERC</t>
  </si>
  <si>
    <t>4118000</t>
  </si>
  <si>
    <t>GAINS-DISP OF ALLOW</t>
  </si>
  <si>
    <t>0</t>
  </si>
  <si>
    <t>SO2 ALLOWANCE</t>
  </si>
  <si>
    <t>SE</t>
  </si>
  <si>
    <t xml:space="preserve"> 4118000  Total</t>
  </si>
  <si>
    <t>4211000</t>
  </si>
  <si>
    <t>GAIN DISPOS PROP</t>
  </si>
  <si>
    <t>554000</t>
  </si>
  <si>
    <t>GAIN ON DISPOSITION OF PROPERTY</t>
  </si>
  <si>
    <t>OR</t>
  </si>
  <si>
    <t>SO</t>
  </si>
  <si>
    <t xml:space="preserve"> 4211000  Total</t>
  </si>
  <si>
    <t>4401000</t>
  </si>
  <si>
    <t>RESIDENTIAL SALES</t>
  </si>
  <si>
    <t>301100</t>
  </si>
  <si>
    <t>CA</t>
  </si>
  <si>
    <t>IDU</t>
  </si>
  <si>
    <t>UT</t>
  </si>
  <si>
    <t>WA</t>
  </si>
  <si>
    <t>WYP</t>
  </si>
  <si>
    <t>WYU</t>
  </si>
  <si>
    <t>301106</t>
  </si>
  <si>
    <t>Residential-Alt Revenue Program Adjs</t>
  </si>
  <si>
    <t>301107</t>
  </si>
  <si>
    <t>Residential Revenue Acctg Adjustments</t>
  </si>
  <si>
    <t>301108</t>
  </si>
  <si>
    <t>Residential Revenue Adj - Deferred NPC M</t>
  </si>
  <si>
    <t>301109</t>
  </si>
  <si>
    <t>UNBILLED REVENUE - RESIDENTIAL</t>
  </si>
  <si>
    <t>301110</t>
  </si>
  <si>
    <t>Residential - Income Tax Deferral Adjs</t>
  </si>
  <si>
    <t>301111</t>
  </si>
  <si>
    <t>Residential-OR Corp Act Tax Rev Adj</t>
  </si>
  <si>
    <t>OTHER</t>
  </si>
  <si>
    <t>301112</t>
  </si>
  <si>
    <t>Residential - Customer Bill Credits</t>
  </si>
  <si>
    <t>301165</t>
  </si>
  <si>
    <t>Solar Feed-In Revenue - Residential</t>
  </si>
  <si>
    <t>301168</t>
  </si>
  <si>
    <t>Community Solar Revenue-Residential</t>
  </si>
  <si>
    <t>301170</t>
  </si>
  <si>
    <t>DSM Revenue - Residential</t>
  </si>
  <si>
    <t>301171</t>
  </si>
  <si>
    <t>DSM Revenue - Residential Cat 2 Gen Svc</t>
  </si>
  <si>
    <t>301180</t>
  </si>
  <si>
    <t>Blue Sky Revenue Residential</t>
  </si>
  <si>
    <t>301190</t>
  </si>
  <si>
    <t>Other Cust Retail Revenue-Residential</t>
  </si>
  <si>
    <t xml:space="preserve"> 4401000  Total</t>
  </si>
  <si>
    <t>4421000</t>
  </si>
  <si>
    <t>COMMERCIAL SALES</t>
  </si>
  <si>
    <t>301200</t>
  </si>
  <si>
    <t>301206</t>
  </si>
  <si>
    <t>Commercial-Alt Revenue Program Adjs</t>
  </si>
  <si>
    <t>301207</t>
  </si>
  <si>
    <t>Commercial Revenue Acctg Adjustments</t>
  </si>
  <si>
    <t>301208</t>
  </si>
  <si>
    <t>Commercial Revenue Adj - Deferred NPC Me</t>
  </si>
  <si>
    <t>301209</t>
  </si>
  <si>
    <t>UNBILLED REVENUE - COMMERCIAL</t>
  </si>
  <si>
    <t>301210</t>
  </si>
  <si>
    <t>Commercial - Income Tax Deferral Adjs</t>
  </si>
  <si>
    <t>301211</t>
  </si>
  <si>
    <t>Commercial-OR Corp Act Tax Alt Rev Adj</t>
  </si>
  <si>
    <t>301212</t>
  </si>
  <si>
    <t>Commercial - Customer Bill Credits</t>
  </si>
  <si>
    <t>301265</t>
  </si>
  <si>
    <t>Solar Feed-In Revenue - Commercial</t>
  </si>
  <si>
    <t>301268</t>
  </si>
  <si>
    <t>Community Solar Revenue-Commercial</t>
  </si>
  <si>
    <t>301270</t>
  </si>
  <si>
    <t>DSM Revenue - Commercial</t>
  </si>
  <si>
    <t>301271</t>
  </si>
  <si>
    <t>DSM Revenue - Small Commercial</t>
  </si>
  <si>
    <t>301272</t>
  </si>
  <si>
    <t>DSM Revenue - Large Commercial</t>
  </si>
  <si>
    <t>301280</t>
  </si>
  <si>
    <t>Blue Sky Revenue - Commercial</t>
  </si>
  <si>
    <t>301290</t>
  </si>
  <si>
    <t>Other Cust Retail Revenue-Commercial</t>
  </si>
  <si>
    <t xml:space="preserve"> 4421000  Total</t>
  </si>
  <si>
    <t>4422000</t>
  </si>
  <si>
    <t>IND SLS/EXCL IRRIG</t>
  </si>
  <si>
    <t>301300</t>
  </si>
  <si>
    <t>INDUSTRIAL SALES (EXCLUDING IRRIGATION)</t>
  </si>
  <si>
    <t>301304</t>
  </si>
  <si>
    <t>SPECIAL CONTRACTS-SITUS</t>
  </si>
  <si>
    <t>301306</t>
  </si>
  <si>
    <t>Industrial-Alt Revenue Program Adjs</t>
  </si>
  <si>
    <t>301307</t>
  </si>
  <si>
    <t>Industrial Revenue Acctg Adjustments</t>
  </si>
  <si>
    <t>301308</t>
  </si>
  <si>
    <t>Industrial Revenue Adj - Deferred NPC Me</t>
  </si>
  <si>
    <t>301309</t>
  </si>
  <si>
    <t>UNBILLED REVENUE - INDUSTRIAL</t>
  </si>
  <si>
    <t>301310</t>
  </si>
  <si>
    <t>Industrial - Income Tax Deferral Adjs</t>
  </si>
  <si>
    <t>301311</t>
  </si>
  <si>
    <t>Industrial-OR Corp Act Tax Rev Adj</t>
  </si>
  <si>
    <t>301312</t>
  </si>
  <si>
    <t>Industrial - Customer Bill Credits</t>
  </si>
  <si>
    <t>301365</t>
  </si>
  <si>
    <t>Solar Feed-In Revenue - Industrial</t>
  </si>
  <si>
    <t>301368</t>
  </si>
  <si>
    <t>Community Solar Revenue-Industrial</t>
  </si>
  <si>
    <t>301370</t>
  </si>
  <si>
    <t>DSM Revenue - Industrial</t>
  </si>
  <si>
    <t>301371</t>
  </si>
  <si>
    <t>DSM Revenue - Small Industrial</t>
  </si>
  <si>
    <t>301372</t>
  </si>
  <si>
    <t>DSM Revenue - Large Industrial</t>
  </si>
  <si>
    <t>301380</t>
  </si>
  <si>
    <t>Blue Sky Revenue - Industrial</t>
  </si>
  <si>
    <t>301390</t>
  </si>
  <si>
    <t>Other Cust Retail Revenue-Industrial</t>
  </si>
  <si>
    <t xml:space="preserve"> 4422000  Total</t>
  </si>
  <si>
    <t>4423000</t>
  </si>
  <si>
    <t>INDUST SALES-IRRIG</t>
  </si>
  <si>
    <t>301450</t>
  </si>
  <si>
    <t>INDUSTRIAL SALES - IRRIGATION</t>
  </si>
  <si>
    <t>301453</t>
  </si>
  <si>
    <t>Irrigation - Customer Bill Credits</t>
  </si>
  <si>
    <t>301454</t>
  </si>
  <si>
    <t>Irrigation-OR Corp Act Tax Rev Adj</t>
  </si>
  <si>
    <t>301455</t>
  </si>
  <si>
    <t>Irrigation - Income Tax Deferral Adjs</t>
  </si>
  <si>
    <t>301456</t>
  </si>
  <si>
    <t>Irrigation-Alt Revenue Program Adjs</t>
  </si>
  <si>
    <t>301457</t>
  </si>
  <si>
    <t>Irrigation Revenue Acctg Adjustments</t>
  </si>
  <si>
    <t>301458</t>
  </si>
  <si>
    <t>Irrigation Revenue Adj - Deferred NPC Me</t>
  </si>
  <si>
    <t>301459</t>
  </si>
  <si>
    <t>UNBILLED REVENUE - IRRIGATION/FARM</t>
  </si>
  <si>
    <t>301465</t>
  </si>
  <si>
    <t>Solar Feed-In Revenue - Irrigation</t>
  </si>
  <si>
    <t>301468</t>
  </si>
  <si>
    <t>Community Solar Revenue-Irrigation</t>
  </si>
  <si>
    <t>301470</t>
  </si>
  <si>
    <t>DSM Revenue - Irrigation</t>
  </si>
  <si>
    <t>301480</t>
  </si>
  <si>
    <t>Blue Sky Revenue - Irrigation</t>
  </si>
  <si>
    <t>301490</t>
  </si>
  <si>
    <t>Other Cust Retail Revenue-Irrigation</t>
  </si>
  <si>
    <t xml:space="preserve"> 4423000  Total</t>
  </si>
  <si>
    <t>4441000</t>
  </si>
  <si>
    <t>PUB ST/HWY LIGHT</t>
  </si>
  <si>
    <t>301600</t>
  </si>
  <si>
    <t>PUBLIC STREET AND HIGHWAY LIGHTING</t>
  </si>
  <si>
    <t>301607</t>
  </si>
  <si>
    <t>Public St/Hwy Lights Rev Acctg Adjustmen</t>
  </si>
  <si>
    <t>301608</t>
  </si>
  <si>
    <t>Public St/Hwy Lgt Rev Adj-Def NPC Mech</t>
  </si>
  <si>
    <t>301609</t>
  </si>
  <si>
    <t>UNBILLED REV - PUBLIC ST/HWY LIGHTING</t>
  </si>
  <si>
    <t>301610</t>
  </si>
  <si>
    <t>St&amp;Hwy Light - Income Tax Deferral Adjs</t>
  </si>
  <si>
    <t>301611</t>
  </si>
  <si>
    <t>St&amp;Hwy Light-OR Corp Act Tax Rev Adj</t>
  </si>
  <si>
    <t>301612</t>
  </si>
  <si>
    <t>St&amp;Hwy Light - Customer Bill Credits</t>
  </si>
  <si>
    <t>301665</t>
  </si>
  <si>
    <t>Solar Feed-In Revenue - St/Hwy Lighting</t>
  </si>
  <si>
    <t>301668</t>
  </si>
  <si>
    <t>Community Solar Revenue-St/Hwy Lightg</t>
  </si>
  <si>
    <t>301670</t>
  </si>
  <si>
    <t>DSM Revenue - Street/Hwy Lighting</t>
  </si>
  <si>
    <t>301690</t>
  </si>
  <si>
    <t>Other Cust Retail Revenue-St/Hwy Lightg</t>
  </si>
  <si>
    <t xml:space="preserve"> 4441000  Total</t>
  </si>
  <si>
    <t>4471000</t>
  </si>
  <si>
    <t>ON-SYS WHOLE-FIRM</t>
  </si>
  <si>
    <t>301443</t>
  </si>
  <si>
    <t>ON SYS FIRM-UTAH FERC CUSTOMERS</t>
  </si>
  <si>
    <t>301445</t>
  </si>
  <si>
    <t>On Sys Firm-Utah W/S Customers-Deferral</t>
  </si>
  <si>
    <t xml:space="preserve"> 4471000  Total</t>
  </si>
  <si>
    <t>4471300</t>
  </si>
  <si>
    <t>POST MERGER FIRM</t>
  </si>
  <si>
    <t>301405</t>
  </si>
  <si>
    <t>SG</t>
  </si>
  <si>
    <t xml:space="preserve"> 4471300  Total</t>
  </si>
  <si>
    <t>4471400</t>
  </si>
  <si>
    <t>S/T FIRM WHOLESALE</t>
  </si>
  <si>
    <t>301406</t>
  </si>
  <si>
    <t>SHORT-TERM FIRM WHOLESALE SALES</t>
  </si>
  <si>
    <t>301409</t>
  </si>
  <si>
    <t>TRADING SALES NETTED-EST.</t>
  </si>
  <si>
    <t>301410</t>
  </si>
  <si>
    <t>TRADING SALES NETTED</t>
  </si>
  <si>
    <t>301411</t>
  </si>
  <si>
    <t>BOOKOUT SALES NETTED</t>
  </si>
  <si>
    <t>301412</t>
  </si>
  <si>
    <t>BOOKOUT SALES NETTED-ESTIMATE</t>
  </si>
  <si>
    <t>302751</t>
  </si>
  <si>
    <t>I/C S-T Firm Wholesale Sales-Sierra Pac</t>
  </si>
  <si>
    <t>302752</t>
  </si>
  <si>
    <t>I/C S-T Firm Wholesale Sales-Nevada Pwr</t>
  </si>
  <si>
    <t>303028</t>
  </si>
  <si>
    <t>LINE LOSS W/S TRADING REVENUES</t>
  </si>
  <si>
    <t xml:space="preserve"> 4471400  Total</t>
  </si>
  <si>
    <t>4472000</t>
  </si>
  <si>
    <t>SLS FOR RESL-SURP</t>
  </si>
  <si>
    <t>301419</t>
  </si>
  <si>
    <t>ESTIMATED SALES FOR RESALE REVENUE</t>
  </si>
  <si>
    <t>303198</t>
  </si>
  <si>
    <t>Non-ASC 606-WS NPC Rev-Derivativ (Disc)</t>
  </si>
  <si>
    <t>303199</t>
  </si>
  <si>
    <t>Non-ASC 606-WS NPC Rev-Derivativ (Recl)</t>
  </si>
  <si>
    <t xml:space="preserve"> 4472000  Total</t>
  </si>
  <si>
    <t>4475000</t>
  </si>
  <si>
    <t>OFF-SYS - NON FIRM</t>
  </si>
  <si>
    <t>301408</t>
  </si>
  <si>
    <t>OFF-SYSTEM WHOLESALE - NON FIRM</t>
  </si>
  <si>
    <t xml:space="preserve"> 4475000  Total</t>
  </si>
  <si>
    <t>4476100</t>
  </si>
  <si>
    <t>BOOKOUTS NETTED-GAIN</t>
  </si>
  <si>
    <t>304101</t>
  </si>
  <si>
    <t>304102</t>
  </si>
  <si>
    <t>BOOKOUTS NETTED-EST GAIN</t>
  </si>
  <si>
    <t xml:space="preserve"> 4476100  Total</t>
  </si>
  <si>
    <t>4476200</t>
  </si>
  <si>
    <t>TRADING NETTED-GAINS</t>
  </si>
  <si>
    <t>304201</t>
  </si>
  <si>
    <t xml:space="preserve"> 4476200  Total</t>
  </si>
  <si>
    <t>4479000</t>
  </si>
  <si>
    <t>TRANS SRVC</t>
  </si>
  <si>
    <t>301428</t>
  </si>
  <si>
    <t>TRANS SERV-UTAH FERC CUSTOMERS</t>
  </si>
  <si>
    <t xml:space="preserve"> 4479000  Total</t>
  </si>
  <si>
    <t>4501000</t>
  </si>
  <si>
    <t>FORF DISC/INT-RES</t>
  </si>
  <si>
    <t>301820</t>
  </si>
  <si>
    <t>FORFEITED DISCOUNT REVENUE-RESIDENTIAL</t>
  </si>
  <si>
    <t xml:space="preserve"> 4501000  Total</t>
  </si>
  <si>
    <t>4502000</t>
  </si>
  <si>
    <t>FORF DISC/INT-COMM</t>
  </si>
  <si>
    <t>301821</t>
  </si>
  <si>
    <t>FORFEITED DISCOUNT REVENUE-COMMERCIAL</t>
  </si>
  <si>
    <t xml:space="preserve"> 4502000  Total</t>
  </si>
  <si>
    <t>4503000</t>
  </si>
  <si>
    <t>FORF DISC/INT-IND</t>
  </si>
  <si>
    <t>301822</t>
  </si>
  <si>
    <t>FORFEITED DISCOUNT REVENUE-INDUSTRIAL</t>
  </si>
  <si>
    <t xml:space="preserve"> 4503000  Total</t>
  </si>
  <si>
    <t>4504000</t>
  </si>
  <si>
    <t>GOVT MUNI/ALL OTH</t>
  </si>
  <si>
    <t>301823</t>
  </si>
  <si>
    <t>FORFEITED DISCOUNT REVENUE-ALL OTHER</t>
  </si>
  <si>
    <t xml:space="preserve"> 4504000  Total</t>
  </si>
  <si>
    <t>4511000</t>
  </si>
  <si>
    <t>ACCOUNT SERV CHG</t>
  </si>
  <si>
    <t>301825</t>
  </si>
  <si>
    <t>MISC SERV REV-ACCT SERVICE CHARGE</t>
  </si>
  <si>
    <t>301855</t>
  </si>
  <si>
    <t>Misc Service Revenue - CSS (Non-FLT)</t>
  </si>
  <si>
    <t xml:space="preserve"> 4511000  Total</t>
  </si>
  <si>
    <t>4512000</t>
  </si>
  <si>
    <t>TAMPER/RECONNECT</t>
  </si>
  <si>
    <t>301826</t>
  </si>
  <si>
    <t>TAMPERING/UNAUTHORIZED RECONNECTION CHGS</t>
  </si>
  <si>
    <t xml:space="preserve"> 4512000  Total</t>
  </si>
  <si>
    <t>4513000</t>
  </si>
  <si>
    <t>301828</t>
  </si>
  <si>
    <t>301840</t>
  </si>
  <si>
    <t>Miscellaneous Service Revenue</t>
  </si>
  <si>
    <t xml:space="preserve"> 4513000  Total</t>
  </si>
  <si>
    <t>4541000</t>
  </si>
  <si>
    <t>RENTS - COMMON</t>
  </si>
  <si>
    <t>301860</t>
  </si>
  <si>
    <t>RENT FROM ELEC PROP</t>
  </si>
  <si>
    <t>301864</t>
  </si>
  <si>
    <t>REVENUE - JOINT USE OF POLES</t>
  </si>
  <si>
    <t>301866</t>
  </si>
  <si>
    <t>JOINT USE SANCTIONS &amp; FINES REVENUE</t>
  </si>
  <si>
    <t>301867</t>
  </si>
  <si>
    <t>JOINT USE PROGRAM REIMBURSE REVENUE</t>
  </si>
  <si>
    <t>301869</t>
  </si>
  <si>
    <t>UNCOLLECTIBLE REVENUE JOINT USE</t>
  </si>
  <si>
    <t>301870</t>
  </si>
  <si>
    <t>RENT REV - STEAM</t>
  </si>
  <si>
    <t>301872</t>
  </si>
  <si>
    <t>RENT REV - TRANS</t>
  </si>
  <si>
    <t>301873</t>
  </si>
  <si>
    <t>RENT REV - DIST</t>
  </si>
  <si>
    <t>301874</t>
  </si>
  <si>
    <t>RENT REV - GENERAL</t>
  </si>
  <si>
    <t>301878</t>
  </si>
  <si>
    <t>JOINT USE BACK RENT</t>
  </si>
  <si>
    <t>301879</t>
  </si>
  <si>
    <t>Joint Use Contracted Program Reimburseme</t>
  </si>
  <si>
    <t xml:space="preserve"> 4541000  Total</t>
  </si>
  <si>
    <t>4543000</t>
  </si>
  <si>
    <t>MCI FOGWIRE REVENUES</t>
  </si>
  <si>
    <t>301863</t>
  </si>
  <si>
    <t>MCI FIBER OPTIC GROUND WIRE REVENUES</t>
  </si>
  <si>
    <t xml:space="preserve"> 4543000  Total</t>
  </si>
  <si>
    <t>4545000</t>
  </si>
  <si>
    <t>VERT BRIDGE REVENUES</t>
  </si>
  <si>
    <t>367222</t>
  </si>
  <si>
    <t>Joint Use - Vertical Bridge Applic Fee</t>
  </si>
  <si>
    <t xml:space="preserve"> 4545000  Total</t>
  </si>
  <si>
    <t>4561100</t>
  </si>
  <si>
    <t>Other Wheeling Rev</t>
  </si>
  <si>
    <t>301953</t>
  </si>
  <si>
    <t>Ancillary Rev Sch 6-Supp (C&amp;T)</t>
  </si>
  <si>
    <t>301963</t>
  </si>
  <si>
    <t>Ancil Revenue Sch 2-Reactive (C&amp;T)</t>
  </si>
  <si>
    <t>301966</t>
  </si>
  <si>
    <t>Primary Delivery and Distribution Sub Ch</t>
  </si>
  <si>
    <t>301967</t>
  </si>
  <si>
    <t>Ancillary Revenue Sch 1 - Scheduling</t>
  </si>
  <si>
    <t>301969</t>
  </si>
  <si>
    <t>Ancillary Revenue Sch 3 - Reg&amp;Freq (C&amp;T)</t>
  </si>
  <si>
    <t>301973</t>
  </si>
  <si>
    <t>Ancillary Revenue Sch 5&amp;6-Spin&amp;Supp (C&amp;T</t>
  </si>
  <si>
    <t>301974</t>
  </si>
  <si>
    <t>Ancil Revenue Sch 3a-Regulation (C&amp;T)</t>
  </si>
  <si>
    <t>302082</t>
  </si>
  <si>
    <t>I/C Anc Rev Sch 1-Scheduling-Nevada Pwr</t>
  </si>
  <si>
    <t>302831</t>
  </si>
  <si>
    <t>I/C Other Wheeling Revenue-Sierra Pac</t>
  </si>
  <si>
    <t>302901</t>
  </si>
  <si>
    <t>USE OF FACILITY REVENUE</t>
  </si>
  <si>
    <t>302981</t>
  </si>
  <si>
    <t>Transmission Resales to Other Parties</t>
  </si>
  <si>
    <t>302982</t>
  </si>
  <si>
    <t>Transmission Rev-Unreserved Use Charges</t>
  </si>
  <si>
    <t>302983</t>
  </si>
  <si>
    <t>Transmission Revenue - Deferral Fees</t>
  </si>
  <si>
    <t xml:space="preserve"> 4561100  Total</t>
  </si>
  <si>
    <t>S/T FIRM WHEEL REV</t>
  </si>
  <si>
    <t>301926</t>
  </si>
  <si>
    <t>SHORT TERM FIRM WHEELING</t>
  </si>
  <si>
    <t>4561920</t>
  </si>
  <si>
    <t>L/T FIRM WHEEL REV</t>
  </si>
  <si>
    <t>301912</t>
  </si>
  <si>
    <t>POST-MERGER FIRM WHEELING</t>
  </si>
  <si>
    <t>301916</t>
  </si>
  <si>
    <t>PRE-MERGER FIRM WHEELING</t>
  </si>
  <si>
    <t>301917</t>
  </si>
  <si>
    <t>302961</t>
  </si>
  <si>
    <t>TRANSM CAPACITY RE-ASSIGNMENT REVENUE</t>
  </si>
  <si>
    <t>302962</t>
  </si>
  <si>
    <t>TRANSM CAPACITY RE-ASSIGNMENT CONTRA REV</t>
  </si>
  <si>
    <t>302980</t>
  </si>
  <si>
    <t>Transmisson Point-to-Point Revenue</t>
  </si>
  <si>
    <t xml:space="preserve"> 4561920  Total</t>
  </si>
  <si>
    <t>4561930</t>
  </si>
  <si>
    <t>NON-FIRM WHEEL REV</t>
  </si>
  <si>
    <t>301922</t>
  </si>
  <si>
    <t>NON-FIRM WHEELING REVENUE</t>
  </si>
  <si>
    <t>302822</t>
  </si>
  <si>
    <t>I/C Non-Firm Wheeling Revenue-Nevada Pwr</t>
  </si>
  <si>
    <t xml:space="preserve"> 4561930  Total</t>
  </si>
  <si>
    <t>4561990</t>
  </si>
  <si>
    <t>TRANSMN REV REFUND</t>
  </si>
  <si>
    <t>301913</t>
  </si>
  <si>
    <t>Transmission Tariff True-up</t>
  </si>
  <si>
    <t xml:space="preserve"> 4561990  Total</t>
  </si>
  <si>
    <t>4562100</t>
  </si>
  <si>
    <t>USE OF FACIL REV</t>
  </si>
  <si>
    <t>301911</t>
  </si>
  <si>
    <t>"INCOME FROM FISH, WILDLIFE"</t>
  </si>
  <si>
    <t xml:space="preserve"> 4562100  Total</t>
  </si>
  <si>
    <t>4562300</t>
  </si>
  <si>
    <t>MISC OTHER REV</t>
  </si>
  <si>
    <t>301868</t>
  </si>
  <si>
    <t>Joint Use Customer Accommodation Revenue</t>
  </si>
  <si>
    <t>301900</t>
  </si>
  <si>
    <t>ELECTRIC INCOME OTHER</t>
  </si>
  <si>
    <t>301915</t>
  </si>
  <si>
    <t>OTHER ELEC REV - MISC</t>
  </si>
  <si>
    <t>301939</t>
  </si>
  <si>
    <t>Estimated Other Electric Revenue</t>
  </si>
  <si>
    <t>301940</t>
  </si>
  <si>
    <t>FLYASH &amp; BY-PRODUCT SALES</t>
  </si>
  <si>
    <t>301949</t>
  </si>
  <si>
    <t>THIRD PARTY TRN O&amp;M REV</t>
  </si>
  <si>
    <t>301951</t>
  </si>
  <si>
    <t>NON-WHEELING SYS REV</t>
  </si>
  <si>
    <t>301955</t>
  </si>
  <si>
    <t>OTHER REV WY REG KENNECOTT</t>
  </si>
  <si>
    <t>301959</t>
  </si>
  <si>
    <t>Wind-based Ancillary Services/Revenue</t>
  </si>
  <si>
    <t>302071</t>
  </si>
  <si>
    <t>I/C Transmission O&amp;M Revenue-Sierra Pac</t>
  </si>
  <si>
    <t>361000</t>
  </si>
  <si>
    <t>STEAM SALES</t>
  </si>
  <si>
    <t>374400</t>
  </si>
  <si>
    <t>Timber Sales - Utility Property</t>
  </si>
  <si>
    <t xml:space="preserve"> 4562300  Total</t>
  </si>
  <si>
    <t>4562310</t>
  </si>
  <si>
    <t>EIM - MISCELLANEOUS</t>
  </si>
  <si>
    <t>308001</t>
  </si>
  <si>
    <t>EIM Rev-Forecasting Fee: Pac to TC</t>
  </si>
  <si>
    <t xml:space="preserve"> 4562310  Total</t>
  </si>
  <si>
    <t>4562400</t>
  </si>
  <si>
    <t>M&amp;S INVENTORY SALES</t>
  </si>
  <si>
    <t>362950</t>
  </si>
  <si>
    <t xml:space="preserve"> 4562400  Total</t>
  </si>
  <si>
    <t>4562500</t>
  </si>
  <si>
    <t>M&amp;S INV COST OF SALE</t>
  </si>
  <si>
    <t>514950</t>
  </si>
  <si>
    <t>M&amp;S INVENTORY COST OF SALES</t>
  </si>
  <si>
    <t xml:space="preserve"> 4562500  Total</t>
  </si>
  <si>
    <t>4562700</t>
  </si>
  <si>
    <t>RNW ENRGY CRDT SALES</t>
  </si>
  <si>
    <t>301943</t>
  </si>
  <si>
    <t>Renewable Energy Credit Sales-Deferral</t>
  </si>
  <si>
    <t>301944</t>
  </si>
  <si>
    <t>Renewable Energy Credit Sales-Estimate</t>
  </si>
  <si>
    <t>301945</t>
  </si>
  <si>
    <t>Renewable Energy Credit Sales</t>
  </si>
  <si>
    <t>352943</t>
  </si>
  <si>
    <t>Renwbl En Cr Sls-Amt</t>
  </si>
  <si>
    <t>352950</t>
  </si>
  <si>
    <t>REC Sales - Wind Wake Loss Indemnity</t>
  </si>
  <si>
    <t>354943</t>
  </si>
  <si>
    <t>REC Sales - Pryor Mtn - Deferral</t>
  </si>
  <si>
    <t>354945</t>
  </si>
  <si>
    <t>REC Sales - Blue Sky Program - Actual</t>
  </si>
  <si>
    <t xml:space="preserve"> 4562700  Total</t>
  </si>
  <si>
    <t>4562800</t>
  </si>
  <si>
    <t>CA GHG Emission Allo</t>
  </si>
  <si>
    <t>352001</t>
  </si>
  <si>
    <t>CA GHG Allowance Revenues</t>
  </si>
  <si>
    <t>352002</t>
  </si>
  <si>
    <t>CA GHG Allowance Revenues - Deferral</t>
  </si>
  <si>
    <t>352003</t>
  </si>
  <si>
    <t>CA GHG Allowance Revenues – Amortz</t>
  </si>
  <si>
    <t>352004</t>
  </si>
  <si>
    <t>CA GHG Allow Revenues - SOMAH Amortz</t>
  </si>
  <si>
    <t xml:space="preserve"> 4562800  Total</t>
  </si>
  <si>
    <t>4563500</t>
  </si>
  <si>
    <t>Oth Elec Rev-Def Trn</t>
  </si>
  <si>
    <t>305991</t>
  </si>
  <si>
    <t>FERC Transmission Refund-Amortz</t>
  </si>
  <si>
    <t xml:space="preserve"> 4563500  Total</t>
  </si>
  <si>
    <t>Grand Total</t>
  </si>
  <si>
    <t>SNP</t>
  </si>
  <si>
    <t>Operations &amp; Maintenance Expense (Actuals)</t>
  </si>
  <si>
    <t>OMEX</t>
  </si>
  <si>
    <t>1000 PacifiCorp; 2010 Interwest Mining Company</t>
  </si>
  <si>
    <t>Primary Account Name</t>
  </si>
  <si>
    <t>Secondary Group Code</t>
  </si>
  <si>
    <t>Secondary Group Code Name</t>
  </si>
  <si>
    <t>OPER SUPV &amp; ENG</t>
  </si>
  <si>
    <t>STEX</t>
  </si>
  <si>
    <t>Steam O&amp;M Expense</t>
  </si>
  <si>
    <t>5000000 Total</t>
  </si>
  <si>
    <t>5001000 Total</t>
  </si>
  <si>
    <t>FUEL CONSUMED</t>
  </si>
  <si>
    <t>NPCX</t>
  </si>
  <si>
    <t>Net Power Cost Expense</t>
  </si>
  <si>
    <t>5010000 Total</t>
  </si>
  <si>
    <t>FUEL CONSUMED-COAL</t>
  </si>
  <si>
    <t>5011000 Total</t>
  </si>
  <si>
    <t>FUEL - OVRBDN AMORT</t>
  </si>
  <si>
    <t>5011200 Total</t>
  </si>
  <si>
    <t>FUEL-COAL DC UMWA PE</t>
  </si>
  <si>
    <t>5011300 Total</t>
  </si>
  <si>
    <t>FUEL REG CST DFRL AM</t>
  </si>
  <si>
    <t>5011500 Total</t>
  </si>
  <si>
    <t>FUEL HAND-COAL</t>
  </si>
  <si>
    <t>5012000 Total</t>
  </si>
  <si>
    <t>START UP FUEL - GAS</t>
  </si>
  <si>
    <t>5013000 Total</t>
  </si>
  <si>
    <t>FUEL CONSUMED-GAS</t>
  </si>
  <si>
    <t>5013500 Total</t>
  </si>
  <si>
    <t>FUEL CONSUMED-DIESEL</t>
  </si>
  <si>
    <t>5014000 Total</t>
  </si>
  <si>
    <t>START UP FUEL-DIESEL</t>
  </si>
  <si>
    <t>5014500 Total</t>
  </si>
  <si>
    <t>FUEL CONS-RES DISP</t>
  </si>
  <si>
    <t>5015000 Total</t>
  </si>
  <si>
    <t>ASH &amp; ASH BYPRD SALE</t>
  </si>
  <si>
    <t>5015100 Total</t>
  </si>
  <si>
    <t>STEAM EXPENSES</t>
  </si>
  <si>
    <t>5020000 Total</t>
  </si>
  <si>
    <t>STM EXP - FLYASH</t>
  </si>
  <si>
    <t>5022000 Total</t>
  </si>
  <si>
    <t>STM EXP BOTTOM ASH</t>
  </si>
  <si>
    <t>5023000 Total</t>
  </si>
  <si>
    <t>STM EXP SCRUBBER</t>
  </si>
  <si>
    <t>5024000 Total</t>
  </si>
  <si>
    <t>STM EXP - OTHER</t>
  </si>
  <si>
    <t>5029000 Total</t>
  </si>
  <si>
    <t>STEAM FRM OTH SRCS</t>
  </si>
  <si>
    <t>5030000 Total</t>
  </si>
  <si>
    <t>ELECTRIC EXPENSES</t>
  </si>
  <si>
    <t>5050000 Total</t>
  </si>
  <si>
    <t>ELEC EXP GENERAL</t>
  </si>
  <si>
    <t>5051000 Total</t>
  </si>
  <si>
    <t>MISC STEAM PWR EXP</t>
  </si>
  <si>
    <t>5060000 Total</t>
  </si>
  <si>
    <t>MISC STM EXP - CON</t>
  </si>
  <si>
    <t>5061000 Total</t>
  </si>
  <si>
    <t>MISC STM EXP PLCLU</t>
  </si>
  <si>
    <t>5061100 Total</t>
  </si>
  <si>
    <t>MISC STM EXP UNMTG</t>
  </si>
  <si>
    <t>5061200 Total</t>
  </si>
  <si>
    <t>MISC STM EXP COMPT</t>
  </si>
  <si>
    <t>5061300 Total</t>
  </si>
  <si>
    <t>MISC STM EXP OFFIC</t>
  </si>
  <si>
    <t>5061400 Total</t>
  </si>
  <si>
    <t>MISC STM EXP COMM</t>
  </si>
  <si>
    <t>5061500 Total</t>
  </si>
  <si>
    <t>MISC STM EXP FIRE</t>
  </si>
  <si>
    <t>5061600 Total</t>
  </si>
  <si>
    <t>MISC STM - ENVRMNT</t>
  </si>
  <si>
    <t>5062000 Total</t>
  </si>
  <si>
    <t>MISC STEAM JVA CR</t>
  </si>
  <si>
    <t>5063000 Total</t>
  </si>
  <si>
    <t>MISC STM EXP RCRT</t>
  </si>
  <si>
    <t>5064000 Total</t>
  </si>
  <si>
    <t>MISC STM EXP - SEC</t>
  </si>
  <si>
    <t>5065000 Total</t>
  </si>
  <si>
    <t>MISC STM EXP -SFTY</t>
  </si>
  <si>
    <t>5066000 Total</t>
  </si>
  <si>
    <t>MISC STM EXP TRNNG</t>
  </si>
  <si>
    <t>5067000 Total</t>
  </si>
  <si>
    <t>MISC STM EXP WTSPY</t>
  </si>
  <si>
    <t>5069000 Total</t>
  </si>
  <si>
    <t>MISC STM EXP MISC</t>
  </si>
  <si>
    <t>5069900 Total</t>
  </si>
  <si>
    <t>RENTS (STEAM GEN)</t>
  </si>
  <si>
    <t>5070000 Total</t>
  </si>
  <si>
    <t>MNT SUPERV &amp; ENG</t>
  </si>
  <si>
    <t>5100000 Total</t>
  </si>
  <si>
    <t>MNTNCE SUPVSN &amp;ENG</t>
  </si>
  <si>
    <t>5101000 Total</t>
  </si>
  <si>
    <t>MNT OF STRUCTURES</t>
  </si>
  <si>
    <t>5110000 Total</t>
  </si>
  <si>
    <t>5111000 Total</t>
  </si>
  <si>
    <t>MNT STRCT PMP PLNT</t>
  </si>
  <si>
    <t>5111100 Total</t>
  </si>
  <si>
    <t>MNT STRCT WASTE WT</t>
  </si>
  <si>
    <t>5111200 Total</t>
  </si>
  <si>
    <t>STRUCTURAL SYSTEMS</t>
  </si>
  <si>
    <t>5112000 Total</t>
  </si>
  <si>
    <t>MNT OF STRCT CATH</t>
  </si>
  <si>
    <t>5114000 Total</t>
  </si>
  <si>
    <t>MNT STRCT DAM RIVR</t>
  </si>
  <si>
    <t>5116000 Total</t>
  </si>
  <si>
    <t>MNT STRCT FIRE PRT</t>
  </si>
  <si>
    <t>5117000 Total</t>
  </si>
  <si>
    <t>MNT STRCT-GROUNDS</t>
  </si>
  <si>
    <t>5118000 Total</t>
  </si>
  <si>
    <t>MNT OF STRCT-HVAC</t>
  </si>
  <si>
    <t>5119000 Total</t>
  </si>
  <si>
    <t>MNT OF STRCT-MISC</t>
  </si>
  <si>
    <t>5119900 Total</t>
  </si>
  <si>
    <t>MANT OF BOILR PLNT</t>
  </si>
  <si>
    <t>5120000 Total</t>
  </si>
  <si>
    <t>MNT BOILR-AIR HTR</t>
  </si>
  <si>
    <t>5121000 Total</t>
  </si>
  <si>
    <t>MNT BOILR-CHEM FD</t>
  </si>
  <si>
    <t>5121100 Total</t>
  </si>
  <si>
    <t>MNT BOILR-CL HANDL</t>
  </si>
  <si>
    <t>5121200 Total</t>
  </si>
  <si>
    <t>MNT BOIL-DEMINERLZ</t>
  </si>
  <si>
    <t>5121400 Total</t>
  </si>
  <si>
    <t>MNT BOIL-EXTRC STM</t>
  </si>
  <si>
    <t>5121500 Total</t>
  </si>
  <si>
    <t>MNT BOILR-FLYASH</t>
  </si>
  <si>
    <t>5121600 Total</t>
  </si>
  <si>
    <t>MNT BOIL-FUEL OIL</t>
  </si>
  <si>
    <t>5121700 Total</t>
  </si>
  <si>
    <t>MNT BOIL-FEEDWATR</t>
  </si>
  <si>
    <t>5121800 Total</t>
  </si>
  <si>
    <t>MNT BOIL-FRZ PRTEC</t>
  </si>
  <si>
    <t>5121900 Total</t>
  </si>
  <si>
    <t>MNT BOILR-AUX SYST</t>
  </si>
  <si>
    <t>5122000 Total</t>
  </si>
  <si>
    <t>MNT BOILR-MAIN STM</t>
  </si>
  <si>
    <t>5122100 Total</t>
  </si>
  <si>
    <t>MNT BOIL-PLVRZD CL</t>
  </si>
  <si>
    <t>5122200 Total</t>
  </si>
  <si>
    <t>MNT BOIL-PRECIP/BAG</t>
  </si>
  <si>
    <t>5122300 Total</t>
  </si>
  <si>
    <t>MNT BOIL-PRTRT WTR</t>
  </si>
  <si>
    <t>5122400 Total</t>
  </si>
  <si>
    <t>MNT BOIL-RV OSMSIS</t>
  </si>
  <si>
    <t>5122500 Total</t>
  </si>
  <si>
    <t>MNT BOIL-RHEAT ST</t>
  </si>
  <si>
    <t>5122600 Total</t>
  </si>
  <si>
    <t>MNT BOIL-SOOTBLWG</t>
  </si>
  <si>
    <t>5122800 Total</t>
  </si>
  <si>
    <t>MNT BOILR-SCRUBBER</t>
  </si>
  <si>
    <t>5122900 Total</t>
  </si>
  <si>
    <t>MNT BOILR-BOTM ASH</t>
  </si>
  <si>
    <t>5123000 Total</t>
  </si>
  <si>
    <t>MNT BOIL-WTR TRTMT</t>
  </si>
  <si>
    <t>5123100 Total</t>
  </si>
  <si>
    <t>MNT BOIL-CNTL SUPT</t>
  </si>
  <si>
    <t>5123200 Total</t>
  </si>
  <si>
    <t>MAINT GEO GATH SYS</t>
  </si>
  <si>
    <t>5123300 Total</t>
  </si>
  <si>
    <t>MAINT OF BOILERS</t>
  </si>
  <si>
    <t>5123400 Total</t>
  </si>
  <si>
    <t>MNT BOILR-CONTROLS</t>
  </si>
  <si>
    <t>5124000 Total</t>
  </si>
  <si>
    <t>MNT BOILER-DRAFT</t>
  </si>
  <si>
    <t>5125000 Total</t>
  </si>
  <si>
    <t>MNT BOILR-FIRESIDE</t>
  </si>
  <si>
    <t>5126000 Total</t>
  </si>
  <si>
    <t>MNT BLR-BEARNG WTR</t>
  </si>
  <si>
    <t>5127000 Total</t>
  </si>
  <si>
    <t>MNT BOILR WTR/STMD</t>
  </si>
  <si>
    <t>5128000 Total</t>
  </si>
  <si>
    <t>MNT BOIL-COMP AIR</t>
  </si>
  <si>
    <t>5129000 Total</t>
  </si>
  <si>
    <t>MAINT BOILER-MISC</t>
  </si>
  <si>
    <t>5129900 Total</t>
  </si>
  <si>
    <t>MAINT ELEC PLANT</t>
  </si>
  <si>
    <t>5130000 Total</t>
  </si>
  <si>
    <t>MAINT ELEC AC</t>
  </si>
  <si>
    <t>5131000 Total</t>
  </si>
  <si>
    <t>MAINT/LUBE-OIL SYS</t>
  </si>
  <si>
    <t>5131100 Total</t>
  </si>
  <si>
    <t>MAINT/PREVENT ROUT</t>
  </si>
  <si>
    <t>5131300 Total</t>
  </si>
  <si>
    <t>MAINT/MAIN TURBINE</t>
  </si>
  <si>
    <t>5131400 Total</t>
  </si>
  <si>
    <t>MAINT ALARMS/INFO</t>
  </si>
  <si>
    <t>5132000 Total</t>
  </si>
  <si>
    <t>MAINT/AIR-COOL-CON</t>
  </si>
  <si>
    <t>5133000 Total</t>
  </si>
  <si>
    <t>MAINT/COMPNT COOL</t>
  </si>
  <si>
    <t>5134000 Total</t>
  </si>
  <si>
    <t>MAINT/COMPNT AUXIL</t>
  </si>
  <si>
    <t>5135000 Total</t>
  </si>
  <si>
    <t>MAINT-COOLING TOWR</t>
  </si>
  <si>
    <t>5137000 Total</t>
  </si>
  <si>
    <t>MAINT-CIRCUL WATER</t>
  </si>
  <si>
    <t>5138000 Total</t>
  </si>
  <si>
    <t>MAINT-ELECT - DC</t>
  </si>
  <si>
    <t>5139000 Total</t>
  </si>
  <si>
    <t>MNT ELEC PLT-MISC</t>
  </si>
  <si>
    <t>5139900 Total</t>
  </si>
  <si>
    <t>MAINT MISC STM PLN</t>
  </si>
  <si>
    <t>5140000 Total</t>
  </si>
  <si>
    <t>MISC STM-COMP AIR</t>
  </si>
  <si>
    <t>5141000 Total</t>
  </si>
  <si>
    <t>MISC STM PLT-CONSU</t>
  </si>
  <si>
    <t>5142000 Total</t>
  </si>
  <si>
    <t>MISC STM PLNT-LAB</t>
  </si>
  <si>
    <t>5144000 Total</t>
  </si>
  <si>
    <t>MAINT MISC-SM TOOL</t>
  </si>
  <si>
    <t>5145000 Total</t>
  </si>
  <si>
    <t>MAINT/PAGING SYS</t>
  </si>
  <si>
    <t>5146000 Total</t>
  </si>
  <si>
    <t>MAINT/PLANT EQUIP</t>
  </si>
  <si>
    <t>5147000 Total</t>
  </si>
  <si>
    <t>MAINT/PLT-VEHICLES</t>
  </si>
  <si>
    <t>5148000 Total</t>
  </si>
  <si>
    <t>MAINT MISC-OTHER</t>
  </si>
  <si>
    <t>5149000 Total</t>
  </si>
  <si>
    <t>MAINT STM PLT-ENV AM</t>
  </si>
  <si>
    <t>5149500 Total</t>
  </si>
  <si>
    <t>OPER SUPERV &amp; ENG</t>
  </si>
  <si>
    <t>HYEX</t>
  </si>
  <si>
    <t>Hydro O&amp;M Expense</t>
  </si>
  <si>
    <t>SG-P</t>
  </si>
  <si>
    <t>SG-U</t>
  </si>
  <si>
    <t>5350000 Total</t>
  </si>
  <si>
    <t>WATER FOR POWER</t>
  </si>
  <si>
    <t>5360000 Total</t>
  </si>
  <si>
    <t>HYDRAULIC EXPENSES</t>
  </si>
  <si>
    <t>5370000 Total</t>
  </si>
  <si>
    <t>HYDRO/FISH &amp; WILD</t>
  </si>
  <si>
    <t>5371000 Total</t>
  </si>
  <si>
    <t>HYDRO/HATCHERY EXP</t>
  </si>
  <si>
    <t>5372000 Total</t>
  </si>
  <si>
    <t>HYDRO/OTH REC FAC</t>
  </si>
  <si>
    <t>5374000 Total</t>
  </si>
  <si>
    <t>HYDRO EXPENSE-OTH</t>
  </si>
  <si>
    <t>5379000 Total</t>
  </si>
  <si>
    <t>MSC HYD PWR GEN EX</t>
  </si>
  <si>
    <t>5390000 Total</t>
  </si>
  <si>
    <t>RENTS (HYDRO GEN)</t>
  </si>
  <si>
    <t>5400000 Total</t>
  </si>
  <si>
    <t>5410000 Total</t>
  </si>
  <si>
    <t>MAINT OF STRUCTURE</t>
  </si>
  <si>
    <t>5420000 Total</t>
  </si>
  <si>
    <t>MNT DAMS &amp; WTR SYS</t>
  </si>
  <si>
    <t>5430000 Total</t>
  </si>
  <si>
    <t>MAINT OF ELEC PLNT</t>
  </si>
  <si>
    <t>5440000 Total</t>
  </si>
  <si>
    <t>PRIME MOVERS &amp; GEN</t>
  </si>
  <si>
    <t>5441000 Total</t>
  </si>
  <si>
    <t>ACCESS ELEC EQUIP</t>
  </si>
  <si>
    <t>5442000 Total</t>
  </si>
  <si>
    <t>MNT MISC HYDRO PLT</t>
  </si>
  <si>
    <t>5450000 Total</t>
  </si>
  <si>
    <t>MNT-FISH/WILDLIFE</t>
  </si>
  <si>
    <t>5451000 Total</t>
  </si>
  <si>
    <t>MAINT-RDS/TRAIL/BR</t>
  </si>
  <si>
    <t>5455000 Total</t>
  </si>
  <si>
    <t>MAINT HYDRO-OTHER</t>
  </si>
  <si>
    <t>5459000 Total</t>
  </si>
  <si>
    <t>MAINT OF HYDRO PLT-E</t>
  </si>
  <si>
    <t>5459500 Total</t>
  </si>
  <si>
    <t>OPEX</t>
  </si>
  <si>
    <t>Other Production O&amp;M Expense</t>
  </si>
  <si>
    <t>5460000 Total</t>
  </si>
  <si>
    <t>NATURAL GAS</t>
  </si>
  <si>
    <t>5471000 Total</t>
  </si>
  <si>
    <t>GENERATION EXP</t>
  </si>
  <si>
    <t>5480000 Total</t>
  </si>
  <si>
    <t>MIS OTH PWR GEN EX</t>
  </si>
  <si>
    <t>5490000 Total</t>
  </si>
  <si>
    <t>RENTS (OTHER GEN)</t>
  </si>
  <si>
    <t>5500000 Total</t>
  </si>
  <si>
    <t>5520000 Total</t>
  </si>
  <si>
    <t>MNT GEN &amp; ELEC PLT</t>
  </si>
  <si>
    <t>5530000 Total</t>
  </si>
  <si>
    <t>MNT MSC OTH PWR GN</t>
  </si>
  <si>
    <t>5540000 Total</t>
  </si>
  <si>
    <t>MISC PLANT EQUIP</t>
  </si>
  <si>
    <t>5546000 Total</t>
  </si>
  <si>
    <t>MAINT OF OTH PWR PLT</t>
  </si>
  <si>
    <t>5549500 Total</t>
  </si>
  <si>
    <t>PURCHASED POWER</t>
  </si>
  <si>
    <t>PSEX</t>
  </si>
  <si>
    <t>Power Supply Expense</t>
  </si>
  <si>
    <t>5550000 Total</t>
  </si>
  <si>
    <t>RENEW ENRGY CR PURCH</t>
  </si>
  <si>
    <t>5552400 Total</t>
  </si>
  <si>
    <t>OTH/INT/REC/DEL</t>
  </si>
  <si>
    <t>5552500 Total</t>
  </si>
  <si>
    <t>PURCH POWER-UT SITUS</t>
  </si>
  <si>
    <t>5552700 Total</t>
  </si>
  <si>
    <t>PURCH POWER-OR SITUS</t>
  </si>
  <si>
    <t>5552800 Total</t>
  </si>
  <si>
    <t>PURCH POWER-CA SITUS</t>
  </si>
  <si>
    <t>5552900 Total</t>
  </si>
  <si>
    <t>NPC Deferral Mchnsm</t>
  </si>
  <si>
    <t>5555700 Total</t>
  </si>
  <si>
    <t>Short-Term Firm Whls</t>
  </si>
  <si>
    <t>5555900 Total</t>
  </si>
  <si>
    <t>TRADING NETTED-LOSS</t>
  </si>
  <si>
    <t>5556200 Total</t>
  </si>
  <si>
    <t>FIRM ENERGY PURCH</t>
  </si>
  <si>
    <t>5556300 Total</t>
  </si>
  <si>
    <t>FIRM DEMAND PURCH</t>
  </si>
  <si>
    <t>5556400 Total</t>
  </si>
  <si>
    <t>POST-MERG FIRM PUR</t>
  </si>
  <si>
    <t>5556700 Total</t>
  </si>
  <si>
    <t>EIM - FIRM PURCHASES</t>
  </si>
  <si>
    <t>5556710 Total</t>
  </si>
  <si>
    <t>SYS CTRL &amp; LD DISP</t>
  </si>
  <si>
    <t>5560000 Total</t>
  </si>
  <si>
    <t>OTHER EXPENSES</t>
  </si>
  <si>
    <t>5570000 Total</t>
  </si>
  <si>
    <t>OTH EXP-ST SITUS ACT</t>
  </si>
  <si>
    <t>5579000 Total</t>
  </si>
  <si>
    <t>OTH EXP-LIQ DAMAGE</t>
  </si>
  <si>
    <t>TNEX</t>
  </si>
  <si>
    <t>Transmission O&amp;M Expense</t>
  </si>
  <si>
    <t>5600000 Total</t>
  </si>
  <si>
    <t>LD - MONITOR &amp; OPER</t>
  </si>
  <si>
    <t>5612000 Total</t>
  </si>
  <si>
    <t>SCHED, SYS CTR &amp; DSP</t>
  </si>
  <si>
    <t>5614000 Total</t>
  </si>
  <si>
    <t>EIM - SCHEDULING,SYS</t>
  </si>
  <si>
    <t>5614010 Total</t>
  </si>
  <si>
    <t>REL PLAN &amp; STDS DEV</t>
  </si>
  <si>
    <t>5615000 Total</t>
  </si>
  <si>
    <t>TRANS SVC STUDIES</t>
  </si>
  <si>
    <t>5616000 Total</t>
  </si>
  <si>
    <t>GEN INTERCNCT STUD</t>
  </si>
  <si>
    <t>5617000 Total</t>
  </si>
  <si>
    <t>REL PLN &amp; STAND SVCS</t>
  </si>
  <si>
    <t>5618000 Total</t>
  </si>
  <si>
    <t>STATION EXP(TRANS)</t>
  </si>
  <si>
    <t>5620000 Total</t>
  </si>
  <si>
    <t>OVERHEAD LINE EXP</t>
  </si>
  <si>
    <t>5630000 Total</t>
  </si>
  <si>
    <t>TRNS ELEC BY OTHRS</t>
  </si>
  <si>
    <t>5650000 Total</t>
  </si>
  <si>
    <t>EIM - TRANSM OF ELEC</t>
  </si>
  <si>
    <t>5650010 Total</t>
  </si>
  <si>
    <t>S/T FIRM WHEELING</t>
  </si>
  <si>
    <t>5651000 Total</t>
  </si>
  <si>
    <t>NON-FIRM WHEEL EXP</t>
  </si>
  <si>
    <t>5652500 Total</t>
  </si>
  <si>
    <t>POST-MRG WHEEL EXP</t>
  </si>
  <si>
    <t>5654600 Total</t>
  </si>
  <si>
    <t>MISC TRANS EXPENSE</t>
  </si>
  <si>
    <t>5660000 Total</t>
  </si>
  <si>
    <t>5660010 Total</t>
  </si>
  <si>
    <t>RENTS-TRANSMISSION</t>
  </si>
  <si>
    <t>5670000 Total</t>
  </si>
  <si>
    <t>5680000 Total</t>
  </si>
  <si>
    <t>5690000 Total</t>
  </si>
  <si>
    <t>MAINT-COMP SW TRANS</t>
  </si>
  <si>
    <t>5692000 Total</t>
  </si>
  <si>
    <t>MAINT-COM EQP TRANS</t>
  </si>
  <si>
    <t>5693000 Total</t>
  </si>
  <si>
    <t>MAINT STATION EQIP</t>
  </si>
  <si>
    <t>5700000 Total</t>
  </si>
  <si>
    <t>MAINT OVHD LINES</t>
  </si>
  <si>
    <t>5710000 Total</t>
  </si>
  <si>
    <t>MNT UNDERGRD LINES</t>
  </si>
  <si>
    <t>5720000 Total</t>
  </si>
  <si>
    <t>MNT MSC TRANS PLNT</t>
  </si>
  <si>
    <t>5730000 Total</t>
  </si>
  <si>
    <t>DNEX</t>
  </si>
  <si>
    <t>Distribution O&amp;M Expense</t>
  </si>
  <si>
    <t>SNPD</t>
  </si>
  <si>
    <t>5800000 Total</t>
  </si>
  <si>
    <t>LOAD DISPATCHING</t>
  </si>
  <si>
    <t>5810000 Total</t>
  </si>
  <si>
    <t>STATION EXP(DIST)</t>
  </si>
  <si>
    <t>5820000 Total</t>
  </si>
  <si>
    <t>OVHD LINE EXPENSES</t>
  </si>
  <si>
    <t>5830000 Total</t>
  </si>
  <si>
    <t>STRT LGHT-SGNL SYS</t>
  </si>
  <si>
    <t>5850000 Total</t>
  </si>
  <si>
    <t>METER EXPENSES</t>
  </si>
  <si>
    <t>5860000 Total</t>
  </si>
  <si>
    <t>CUST INSTL EXPENSE</t>
  </si>
  <si>
    <t>5870000 Total</t>
  </si>
  <si>
    <t>MSC DISTR EXPENSES</t>
  </si>
  <si>
    <t>5880000 Total</t>
  </si>
  <si>
    <t>RENTS-DISTRIBUTION</t>
  </si>
  <si>
    <t>5890000 Total</t>
  </si>
  <si>
    <t>MAINT SUPERV &amp; ENG</t>
  </si>
  <si>
    <t>5900000 Total</t>
  </si>
  <si>
    <t>MAINT STAT EQUIP</t>
  </si>
  <si>
    <t>5920000 Total</t>
  </si>
  <si>
    <t>5930000 Total</t>
  </si>
  <si>
    <t>MAINT O/H LINES-LB P</t>
  </si>
  <si>
    <t>5931000 Total</t>
  </si>
  <si>
    <t>MAINT UDGRND LINES</t>
  </si>
  <si>
    <t>5940000 Total</t>
  </si>
  <si>
    <t>MAINT LINE TRNSFRM</t>
  </si>
  <si>
    <t>5950000 Total</t>
  </si>
  <si>
    <t>MNT STR LGHT-SIG S</t>
  </si>
  <si>
    <t>5960000 Total</t>
  </si>
  <si>
    <t>MNT OF METERS</t>
  </si>
  <si>
    <t>5970000 Total</t>
  </si>
  <si>
    <t>MNT MISC DIST PLNT</t>
  </si>
  <si>
    <t>5980000 Total</t>
  </si>
  <si>
    <t>MNT DIST PLNT-ENV AM</t>
  </si>
  <si>
    <t>5989500 Total</t>
  </si>
  <si>
    <t>SUPRV (CUST ACCT)</t>
  </si>
  <si>
    <t>CAEX</t>
  </si>
  <si>
    <t>Customer Accounting Expense</t>
  </si>
  <si>
    <t>CN</t>
  </si>
  <si>
    <t>9010000 Total</t>
  </si>
  <si>
    <t>METER READING EXP</t>
  </si>
  <si>
    <t>9020000 Total</t>
  </si>
  <si>
    <t>CUST RCRD/COLL EXP</t>
  </si>
  <si>
    <t>9030000 Total</t>
  </si>
  <si>
    <t>CUST RCRD/CUST SYS</t>
  </si>
  <si>
    <t>9031000 Total</t>
  </si>
  <si>
    <t>CUST ACCTG/BILL</t>
  </si>
  <si>
    <t>9032000 Total</t>
  </si>
  <si>
    <t>CUST ACCTG/COLL</t>
  </si>
  <si>
    <t>9033000 Total</t>
  </si>
  <si>
    <t>CUST ACCTG/REQ</t>
  </si>
  <si>
    <t>9035000 Total</t>
  </si>
  <si>
    <t>CUST ACCTG/COMMON</t>
  </si>
  <si>
    <t>9036000 Total</t>
  </si>
  <si>
    <t>UNCOLLECT ACCOUNTS</t>
  </si>
  <si>
    <t>9040000 Total</t>
  </si>
  <si>
    <t>UNCOLL ACCTS-JOINT U</t>
  </si>
  <si>
    <t>9042000 Total</t>
  </si>
  <si>
    <t>MISC CUST ACCT EXP</t>
  </si>
  <si>
    <t>9050000 Total</t>
  </si>
  <si>
    <t>CUST ASSIST EXP</t>
  </si>
  <si>
    <t>CSEX</t>
  </si>
  <si>
    <t>Customer Service Expense</t>
  </si>
  <si>
    <t>9080000 Total</t>
  </si>
  <si>
    <t>CUST ASST EXP-GENL</t>
  </si>
  <si>
    <t>9081000 Total</t>
  </si>
  <si>
    <t>DSM DIRECT</t>
  </si>
  <si>
    <t>9084000 Total</t>
  </si>
  <si>
    <t>DSM AMORT-SBC/ECC</t>
  </si>
  <si>
    <t>9085100 Total</t>
  </si>
  <si>
    <t>CUST SERV</t>
  </si>
  <si>
    <t>9086000 Total</t>
  </si>
  <si>
    <t>ENERGY STORAGE</t>
  </si>
  <si>
    <t>9089300 Total</t>
  </si>
  <si>
    <t>BLUE SKY EXPENSE</t>
  </si>
  <si>
    <t>9089500 Total</t>
  </si>
  <si>
    <t>SOLAR FEED-IN EXP</t>
  </si>
  <si>
    <t>9089600 Total</t>
  </si>
  <si>
    <t>SUBSCRIBER SOLAR</t>
  </si>
  <si>
    <t>9089700 Total</t>
  </si>
  <si>
    <t>COMMUNITY SOLAR</t>
  </si>
  <si>
    <t>9089800 Total</t>
  </si>
  <si>
    <t>INFOR/INSTRCT ADV</t>
  </si>
  <si>
    <t>9090000 Total</t>
  </si>
  <si>
    <t>MISC CUST SERV/INF</t>
  </si>
  <si>
    <t>ADMIN &amp; GEN SALARY</t>
  </si>
  <si>
    <t>AGEX</t>
  </si>
  <si>
    <t>Administrative &amp; General Expense</t>
  </si>
  <si>
    <t>9200000 Total</t>
  </si>
  <si>
    <t>OFFICE SUPPL &amp; EXP</t>
  </si>
  <si>
    <t>9210000 Total</t>
  </si>
  <si>
    <t>A&amp;G EXP TRANSF-CR</t>
  </si>
  <si>
    <t>9220000 Total</t>
  </si>
  <si>
    <t>OUTSIDE SERVICES</t>
  </si>
  <si>
    <t>9230000 Total</t>
  </si>
  <si>
    <t>AFFL SERV EMPLOYED</t>
  </si>
  <si>
    <t>9239990 Total</t>
  </si>
  <si>
    <t>PROP INS-ACCRL SITUS</t>
  </si>
  <si>
    <t>9241000 Total</t>
  </si>
  <si>
    <t>PROP INS-CLAIM SITUS</t>
  </si>
  <si>
    <t>9242000 Total</t>
  </si>
  <si>
    <t>PROP INS - PREMIUMS</t>
  </si>
  <si>
    <t>9243000 Total</t>
  </si>
  <si>
    <t>INJURIES &amp; DAMAGES</t>
  </si>
  <si>
    <t>9250000 Total</t>
  </si>
  <si>
    <t>9251000 Total</t>
  </si>
  <si>
    <t>PEN EXP-OTH NBC</t>
  </si>
  <si>
    <t>9261200 Total</t>
  </si>
  <si>
    <t>PEN EXP-STATE SITUS</t>
  </si>
  <si>
    <t>9261500 Total</t>
  </si>
  <si>
    <t>POSTRET EXP-OTH NBC</t>
  </si>
  <si>
    <t>9262200 Total</t>
  </si>
  <si>
    <t>POSTRET EXP-ST SITUS</t>
  </si>
  <si>
    <t>9262500 Total</t>
  </si>
  <si>
    <t>SERP EXP-OTH NBC</t>
  </si>
  <si>
    <t>9263200 Total</t>
  </si>
  <si>
    <t>GROSS-UP - PENSION</t>
  </si>
  <si>
    <t>GROSS-UP - POST-RETR</t>
  </si>
  <si>
    <t>9269200 Total</t>
  </si>
  <si>
    <t>GROSS-UP - MD/DN/V/L</t>
  </si>
  <si>
    <t>9269400 Total</t>
  </si>
  <si>
    <t>GROSS-UP - 401(K) EX</t>
  </si>
  <si>
    <t>9269500 Total</t>
  </si>
  <si>
    <t>GROSS-UP - POST-EMPL</t>
  </si>
  <si>
    <t>9269600 Total</t>
  </si>
  <si>
    <t>GROSS-UP - OTH BEN E</t>
  </si>
  <si>
    <t>9269700 Total</t>
  </si>
  <si>
    <t>REGULATORY COM EXP</t>
  </si>
  <si>
    <t>9280000 Total</t>
  </si>
  <si>
    <t>REG COMM EXPENSE</t>
  </si>
  <si>
    <t>9282000 Total</t>
  </si>
  <si>
    <t>FERC FILING FEE</t>
  </si>
  <si>
    <t>9283000 Total</t>
  </si>
  <si>
    <t>DUPLICATE CHRGS-CR</t>
  </si>
  <si>
    <t>9290000 Total</t>
  </si>
  <si>
    <t>DUP CHG CR - PENSION</t>
  </si>
  <si>
    <t>DUP CHG CR - POST-RT</t>
  </si>
  <si>
    <t>9299200 Total</t>
  </si>
  <si>
    <t>DUP CHG CR - M/D/V/L</t>
  </si>
  <si>
    <t>9299400 Total</t>
  </si>
  <si>
    <t>DUP CHRG CR - 401(K)</t>
  </si>
  <si>
    <t>9299500 Total</t>
  </si>
  <si>
    <t>DUP CHG CR - POST-EM</t>
  </si>
  <si>
    <t>9299600 Total</t>
  </si>
  <si>
    <t>DUP CHG CR - OTH BEN</t>
  </si>
  <si>
    <t>9299700 Total</t>
  </si>
  <si>
    <t>GEN ADVERTISNG EXP</t>
  </si>
  <si>
    <t>9301000 Total</t>
  </si>
  <si>
    <t>MISC GEN EXP-OTHER</t>
  </si>
  <si>
    <t>9302000 Total</t>
  </si>
  <si>
    <t>RENTS (A&amp;G)</t>
  </si>
  <si>
    <t>9310000 Total</t>
  </si>
  <si>
    <t>MAINT GENERAL PLNT</t>
  </si>
  <si>
    <t>9350000 Total</t>
  </si>
  <si>
    <t>MAINT GEN PLT-ENV AM</t>
  </si>
  <si>
    <t>9359500 Total</t>
  </si>
  <si>
    <t>Depreciation Expense (Actuals)</t>
  </si>
  <si>
    <t>DEPE</t>
  </si>
  <si>
    <t>Secondary Account Name</t>
  </si>
  <si>
    <t>4030000</t>
  </si>
  <si>
    <t>DEPN EXPENSE-ELECT</t>
  </si>
  <si>
    <t>3102000</t>
  </si>
  <si>
    <t>LAND RIGHTS</t>
  </si>
  <si>
    <t>3110000</t>
  </si>
  <si>
    <t>STRUCTURES AND IMPROVEMENTS</t>
  </si>
  <si>
    <t>3120000</t>
  </si>
  <si>
    <t>BOILER PLANT EQUIPMENT</t>
  </si>
  <si>
    <t>3140000</t>
  </si>
  <si>
    <t>TURBOGENERATOR UNITS</t>
  </si>
  <si>
    <t>3150000</t>
  </si>
  <si>
    <t>ACCESSORY ELECTRIC EQUIPMENT</t>
  </si>
  <si>
    <t>3157000</t>
  </si>
  <si>
    <t>ACCESSORY ELECTRIC EQUIP-SUPV &amp; ALARM</t>
  </si>
  <si>
    <t>3160000</t>
  </si>
  <si>
    <t>MISCELLANEOUS POWER PLANT EQUIPMENT</t>
  </si>
  <si>
    <t>3302000</t>
  </si>
  <si>
    <t>3303000</t>
  </si>
  <si>
    <t>WATER RIGHTS</t>
  </si>
  <si>
    <t>3304000</t>
  </si>
  <si>
    <t>FLOOD RIGHTS</t>
  </si>
  <si>
    <t>3305000</t>
  </si>
  <si>
    <t>LAND RIGHTS - FISH/WILDLIFE</t>
  </si>
  <si>
    <t>3310000</t>
  </si>
  <si>
    <t>STRUCTURES AND IMPROVE</t>
  </si>
  <si>
    <t>3311000</t>
  </si>
  <si>
    <t>STRUCTURES AND IMPROVE-PRODUCTION</t>
  </si>
  <si>
    <t>3312000</t>
  </si>
  <si>
    <t>STRUCTURES AND IMPROVE-FISH/WILDLIFE</t>
  </si>
  <si>
    <t>3313000</t>
  </si>
  <si>
    <t>STRUCTURES AND IMPROVE-RECREATION</t>
  </si>
  <si>
    <t>3320000</t>
  </si>
  <si>
    <t>"RESERVOIRS, DAMS &amp; WATERWAYS"</t>
  </si>
  <si>
    <t>3321000</t>
  </si>
  <si>
    <t>"RESERVOIRS, DAMS, &amp; WTRWYS-PRODUCTION"</t>
  </si>
  <si>
    <t>3322000</t>
  </si>
  <si>
    <t>"RESERVOIRS, DAMS, &amp; WTRWYS-FISH/WILDLIF</t>
  </si>
  <si>
    <t>3323000</t>
  </si>
  <si>
    <t>"RESERVOIRS, DAMS, &amp; WTRWYS-RECREATION"</t>
  </si>
  <si>
    <t>3330000</t>
  </si>
  <si>
    <t>"WATER WHEELS, TURB &amp; GENERATORS"</t>
  </si>
  <si>
    <t>3340000</t>
  </si>
  <si>
    <t>3347000</t>
  </si>
  <si>
    <t>ACCESSORY ELECT EQUIP - SUPV &amp; ALARM</t>
  </si>
  <si>
    <t>3350000</t>
  </si>
  <si>
    <t>MISC POWER PLANT EQUIP</t>
  </si>
  <si>
    <t>3351000</t>
  </si>
  <si>
    <t>MISC POWER PLANT EQUIP - PRODUCTION</t>
  </si>
  <si>
    <t>3360000</t>
  </si>
  <si>
    <t>"ROADS, RAILROADS &amp; BRIDGES"</t>
  </si>
  <si>
    <t>3402000</t>
  </si>
  <si>
    <t>3410000</t>
  </si>
  <si>
    <t>STRUCTURES &amp; IMPROVEMENTS</t>
  </si>
  <si>
    <t>3420000</t>
  </si>
  <si>
    <t>"FUEL HOLDERS,PRODUCERS, ACCES"</t>
  </si>
  <si>
    <t>3430000</t>
  </si>
  <si>
    <t>PRIME MOVERS</t>
  </si>
  <si>
    <t>3440000</t>
  </si>
  <si>
    <t>GENERATORS</t>
  </si>
  <si>
    <t>3450000</t>
  </si>
  <si>
    <t>3460000</t>
  </si>
  <si>
    <t>MISCELLANEOUS PWR PLANT EQUIP</t>
  </si>
  <si>
    <t>3502000</t>
  </si>
  <si>
    <t>3520000</t>
  </si>
  <si>
    <t>3530000</t>
  </si>
  <si>
    <t>STATION EQUIPMENT</t>
  </si>
  <si>
    <t>3534000</t>
  </si>
  <si>
    <t>STATION EQUIPMENT, STEP-UP TRANSFORMERS</t>
  </si>
  <si>
    <t>3537000</t>
  </si>
  <si>
    <t>STATION EQUIPMENT-SUPERVISORY &amp; ALARM</t>
  </si>
  <si>
    <t>3540000</t>
  </si>
  <si>
    <t>TOWERS AND FIXTURES</t>
  </si>
  <si>
    <t>3550000</t>
  </si>
  <si>
    <t>POLES AND FIXTURES</t>
  </si>
  <si>
    <t>3560000</t>
  </si>
  <si>
    <t>OVERHEAD CONDUCTORS &amp; DEVICES</t>
  </si>
  <si>
    <t>3570000</t>
  </si>
  <si>
    <t>UNDERGROUND CONDUIT</t>
  </si>
  <si>
    <t>3580000</t>
  </si>
  <si>
    <t>UNDERGROUND CONDUCTORS &amp; DEVICES</t>
  </si>
  <si>
    <t>3590000</t>
  </si>
  <si>
    <t>ROADS AND TRAILS</t>
  </si>
  <si>
    <t>3602000</t>
  </si>
  <si>
    <t>3610000</t>
  </si>
  <si>
    <t>3620000</t>
  </si>
  <si>
    <t>3627000</t>
  </si>
  <si>
    <t>3640000</t>
  </si>
  <si>
    <t>"POLES, TOWERS AND FIXTURES"</t>
  </si>
  <si>
    <t>3650000</t>
  </si>
  <si>
    <t>3660000</t>
  </si>
  <si>
    <t>3670000</t>
  </si>
  <si>
    <t>3680000</t>
  </si>
  <si>
    <t>LINE TRANSFORMERS</t>
  </si>
  <si>
    <t>SERVICES - OVERHEAD</t>
  </si>
  <si>
    <t>3692000</t>
  </si>
  <si>
    <t>SERVICES - UNDERGROUND</t>
  </si>
  <si>
    <t>3700000</t>
  </si>
  <si>
    <t>METERS</t>
  </si>
  <si>
    <t>3710000</t>
  </si>
  <si>
    <t>INSTALL ON CUSTOMERS PREMISES</t>
  </si>
  <si>
    <t>3730000</t>
  </si>
  <si>
    <t>STREET LIGHTING &amp; SIGNAL SYSTEMS</t>
  </si>
  <si>
    <t>3892000</t>
  </si>
  <si>
    <t>3900000</t>
  </si>
  <si>
    <t>OFFICE FURNITURE</t>
  </si>
  <si>
    <t>3912000</t>
  </si>
  <si>
    <t>COMPUTER EQUIPMENT - PERSONAL COMPUTERS</t>
  </si>
  <si>
    <t>3913000</t>
  </si>
  <si>
    <t>OFFICE EQUIPMENT</t>
  </si>
  <si>
    <t>3930000</t>
  </si>
  <si>
    <t>STORES EQUIPMENT</t>
  </si>
  <si>
    <t>3940000</t>
  </si>
  <si>
    <t>"TLS, SHOP, GAR EQUIPMENT"</t>
  </si>
  <si>
    <t>3950000</t>
  </si>
  <si>
    <t>LABORATORY EQUIPMENT</t>
  </si>
  <si>
    <t>3970000</t>
  </si>
  <si>
    <t>COMMUNICATION EQUIPMENT</t>
  </si>
  <si>
    <t>3972000</t>
  </si>
  <si>
    <t>MOBILE RADIO EQUIPMENT</t>
  </si>
  <si>
    <t>3980000</t>
  </si>
  <si>
    <t>MISCELLANEOUS EQUIPMENT</t>
  </si>
  <si>
    <t xml:space="preserve"> 4030000  Total</t>
  </si>
  <si>
    <t>4032000</t>
  </si>
  <si>
    <t>DEPR - STEAM</t>
  </si>
  <si>
    <t>565131</t>
  </si>
  <si>
    <t>DEPR - PROD STEAM NOT CLASSIFIED</t>
  </si>
  <si>
    <t>565247</t>
  </si>
  <si>
    <t>Depr - Prod Steam UT STEP</t>
  </si>
  <si>
    <t xml:space="preserve"> 4032000  Total</t>
  </si>
  <si>
    <t>4033000</t>
  </si>
  <si>
    <t>DEPR - HYDRO</t>
  </si>
  <si>
    <t>565133</t>
  </si>
  <si>
    <t>DEPR - PROD HYDRO NOT CLASSIFIED</t>
  </si>
  <si>
    <t xml:space="preserve"> 4033000  Total</t>
  </si>
  <si>
    <t>4034000</t>
  </si>
  <si>
    <t>DEPR - OTHER</t>
  </si>
  <si>
    <t>565134</t>
  </si>
  <si>
    <t>DEPR - PROD OTHER NOT CLASSIFIED</t>
  </si>
  <si>
    <t xml:space="preserve"> 4034000  Total</t>
  </si>
  <si>
    <t>4035000</t>
  </si>
  <si>
    <t>DEPR-TRANSMISSION</t>
  </si>
  <si>
    <t>565141</t>
  </si>
  <si>
    <t>DEPR - TRANS ASSETS NOT CLASSIFIED</t>
  </si>
  <si>
    <t xml:space="preserve"> 4035000  Total</t>
  </si>
  <si>
    <t>4036000</t>
  </si>
  <si>
    <t>DEPR-DISTRIBUTION</t>
  </si>
  <si>
    <t>565161</t>
  </si>
  <si>
    <t>DEPR - DIST ASSETS NOT CLASSIFIED</t>
  </si>
  <si>
    <t xml:space="preserve"> 4036000  Total</t>
  </si>
  <si>
    <t>4037000</t>
  </si>
  <si>
    <t>DEPR - GENERAL</t>
  </si>
  <si>
    <t>565201</t>
  </si>
  <si>
    <t>DEPR - GEN ASSETS NOT CLASSIFIED</t>
  </si>
  <si>
    <t xml:space="preserve"> 4037000  Total</t>
  </si>
  <si>
    <t>4039999</t>
  </si>
  <si>
    <t>DEPR EXP-ELEC, OTH</t>
  </si>
  <si>
    <t>565140</t>
  </si>
  <si>
    <t>Depreciation - Transmission Assets</t>
  </si>
  <si>
    <t>565160</t>
  </si>
  <si>
    <t>Depreciation - Distribution Assets</t>
  </si>
  <si>
    <t>565970</t>
  </si>
  <si>
    <t>DEPRECIATION-JOINT OWNER BILLED-CREDIT</t>
  </si>
  <si>
    <t xml:space="preserve"> 4039999  Total</t>
  </si>
  <si>
    <t>Amortization Expense (Actuals)</t>
  </si>
  <si>
    <t>AMTE</t>
  </si>
  <si>
    <t>4040000</t>
  </si>
  <si>
    <t>AMOR LTD TRM PLNT</t>
  </si>
  <si>
    <t>3020000</t>
  </si>
  <si>
    <t>FRANCHISES AND CONSENTS</t>
  </si>
  <si>
    <t>3031040</t>
  </si>
  <si>
    <t>INTANGIBLE PLANT</t>
  </si>
  <si>
    <t>3031050</t>
  </si>
  <si>
    <t>RWT - RCMS WORK TRACKING</t>
  </si>
  <si>
    <t>3031680</t>
  </si>
  <si>
    <t>CADOPS - COMPUTER-ASSISTED DISTRIBUTION</t>
  </si>
  <si>
    <t>3031830</t>
  </si>
  <si>
    <t>CUSTOMER SERVICE SYSTEM</t>
  </si>
  <si>
    <t>3032040</t>
  </si>
  <si>
    <t>SAP</t>
  </si>
  <si>
    <t>3032130</t>
  </si>
  <si>
    <t>NODAL PRICING SOFTWARE</t>
  </si>
  <si>
    <t>3032140</t>
  </si>
  <si>
    <t>ESM-IRP</t>
  </si>
  <si>
    <t>3032150</t>
  </si>
  <si>
    <t>CELONIS</t>
  </si>
  <si>
    <t>3032160</t>
  </si>
  <si>
    <t>ARCOS</t>
  </si>
  <si>
    <t>3032170</t>
  </si>
  <si>
    <t>AZURE B2C - IDENTITY MGT</t>
  </si>
  <si>
    <t>3032180</t>
  </si>
  <si>
    <t>IAM - SCHEDULING/TAGGING SYSTEM</t>
  </si>
  <si>
    <t>3032190</t>
  </si>
  <si>
    <t>4040000/3032190</t>
  </si>
  <si>
    <t>3032200</t>
  </si>
  <si>
    <t>ITOA</t>
  </si>
  <si>
    <t>3032210</t>
  </si>
  <si>
    <t>FACILITY INSPECTION REPORTING SYS</t>
  </si>
  <si>
    <t>3032450</t>
  </si>
  <si>
    <t>MID OFFICE IMPROVEMENT PROJECT</t>
  </si>
  <si>
    <t>3032530</t>
  </si>
  <si>
    <t>POLE ATTACHMENT MGMT SYSTEM</t>
  </si>
  <si>
    <t>3032600</t>
  </si>
  <si>
    <t>SINGLE PERSON SCHEDULING</t>
  </si>
  <si>
    <t>3032640</t>
  </si>
  <si>
    <t>TIBCO SOFTWARE</t>
  </si>
  <si>
    <t>3032690</t>
  </si>
  <si>
    <t>UTILITY INTERNATIONAL FORECASTING MODEL</t>
  </si>
  <si>
    <t>3032710</t>
  </si>
  <si>
    <t>ROUGE RIVER HYDRO INTANGIBLES</t>
  </si>
  <si>
    <t>3032740</t>
  </si>
  <si>
    <t>GADSBY INTANGIBLE ASSETS</t>
  </si>
  <si>
    <t>3032760</t>
  </si>
  <si>
    <t>SWIFT 2 IMPROVEMENTS</t>
  </si>
  <si>
    <t>3032770</t>
  </si>
  <si>
    <t>NORTH UMPQUA - SETTLEMENT AGREEMENT</t>
  </si>
  <si>
    <t>3032780</t>
  </si>
  <si>
    <t>BEAR RIVER-SETTLEMENT AGREEMENT</t>
  </si>
  <si>
    <t>3032860</t>
  </si>
  <si>
    <t>WEB SOFTWARE</t>
  </si>
  <si>
    <t>3032900</t>
  </si>
  <si>
    <t>IDAHO TRANSMISSION CUSTOMER-OWNED ASSETS</t>
  </si>
  <si>
    <t>3032990</t>
  </si>
  <si>
    <t>P8DM - FILENET P8 DOCUMENT MANAGEMENT (E</t>
  </si>
  <si>
    <t>3033090</t>
  </si>
  <si>
    <t>STEAM PLANT INTANGIBLE ASSETS</t>
  </si>
  <si>
    <t>3033220</t>
  </si>
  <si>
    <t>MONARCH EMS/SCADA</t>
  </si>
  <si>
    <t>3033240</t>
  </si>
  <si>
    <t>IEE - Itron Enterprise Addition</t>
  </si>
  <si>
    <t>3033250</t>
  </si>
  <si>
    <t>AMI Metering Software</t>
  </si>
  <si>
    <t>3033260</t>
  </si>
  <si>
    <t>Big Data &amp; Analytics</t>
  </si>
  <si>
    <t>3033270</t>
  </si>
  <si>
    <t>CES - Customer Experience System</t>
  </si>
  <si>
    <t>3033280</t>
  </si>
  <si>
    <t>MAPAPPS - Mapping Systems Application</t>
  </si>
  <si>
    <t>3033290</t>
  </si>
  <si>
    <t>CUSTOMER CONTACTS</t>
  </si>
  <si>
    <t>3033310</t>
  </si>
  <si>
    <t>C&amp;T - ENERGY TRADING SYSTEM</t>
  </si>
  <si>
    <t>3033320</t>
  </si>
  <si>
    <t>CAS - CONTROL AREA SCHEDULING (TRANSM)</t>
  </si>
  <si>
    <t>3033410</t>
  </si>
  <si>
    <t>M365</t>
  </si>
  <si>
    <t>3033420</t>
  </si>
  <si>
    <t>SUBSTATION RELIABILITY SOFTWARE</t>
  </si>
  <si>
    <t>3033430</t>
  </si>
  <si>
    <t>DEPLOY DISTRIBUTION MGMT SYSTEM</t>
  </si>
  <si>
    <t>3033440</t>
  </si>
  <si>
    <t>DISTRIBUTION ENGINEERING COSTS</t>
  </si>
  <si>
    <t>3033450</t>
  </si>
  <si>
    <t>MAXIMO</t>
  </si>
  <si>
    <t>3033460</t>
  </si>
  <si>
    <t>AURORA</t>
  </si>
  <si>
    <t>3033470</t>
  </si>
  <si>
    <t>AUGMENTED REALITY</t>
  </si>
  <si>
    <t>3033480</t>
  </si>
  <si>
    <t>CXP</t>
  </si>
  <si>
    <t>3033490</t>
  </si>
  <si>
    <t>VMWARE</t>
  </si>
  <si>
    <t>3033510</t>
  </si>
  <si>
    <t>APIM</t>
  </si>
  <si>
    <t>3033520</t>
  </si>
  <si>
    <t>EGIS</t>
  </si>
  <si>
    <t>3033530</t>
  </si>
  <si>
    <t>2000 OREGON CORP SMALL SOFTWARE PACKAGES</t>
  </si>
  <si>
    <t>3033540</t>
  </si>
  <si>
    <t>2000 UTAH CORP SMALL SOFTWARE PACKAGES</t>
  </si>
  <si>
    <t>3034900</t>
  </si>
  <si>
    <t>MISC - MISCELLANEOUS</t>
  </si>
  <si>
    <t>3035320</t>
  </si>
  <si>
    <t>HYDRO PLANT INTANGIBLES</t>
  </si>
  <si>
    <t>3035330</t>
  </si>
  <si>
    <t>OATI-OASIS INTERFACE</t>
  </si>
  <si>
    <t>3316000</t>
  </si>
  <si>
    <t>STRUCTURES - LEASE IMPROVEMENTS</t>
  </si>
  <si>
    <t>3456000</t>
  </si>
  <si>
    <t>Electric Equipment - Leasehold Improveme</t>
  </si>
  <si>
    <t>3901000</t>
  </si>
  <si>
    <t>LEASEHOLD IMPROVEMENTS-OFFICE STR</t>
  </si>
  <si>
    <t xml:space="preserve"> 4040000  Total</t>
  </si>
  <si>
    <t>4049000</t>
  </si>
  <si>
    <t>AMR LTD TRM PLNT-OTH</t>
  </si>
  <si>
    <t>566140</t>
  </si>
  <si>
    <t>AMORTIZATION SOFTWARE INTANGIBLE</t>
  </si>
  <si>
    <t>566205</t>
  </si>
  <si>
    <t>Amort Exp - Non-Rec</t>
  </si>
  <si>
    <t>566970</t>
  </si>
  <si>
    <t>AMORTIZATION JO BILL CREDIT</t>
  </si>
  <si>
    <t xml:space="preserve"> 4049000  Total</t>
  </si>
  <si>
    <t>4061000</t>
  </si>
  <si>
    <t>EL PLNT ACQ ADJ-CM</t>
  </si>
  <si>
    <t>566920</t>
  </si>
  <si>
    <t>AMORT ELEC PLANT ACQ ADJ</t>
  </si>
  <si>
    <t xml:space="preserve"> 4061000  Total</t>
  </si>
  <si>
    <t>4073000</t>
  </si>
  <si>
    <t>REGULATORY DEBITS</t>
  </si>
  <si>
    <t>566940</t>
  </si>
  <si>
    <t>AMORT OF REG ASSETS - DEBITS</t>
  </si>
  <si>
    <t>566982</t>
  </si>
  <si>
    <t>Amortz Reg A-Unrcvrd Plt/Decom Csts-ID</t>
  </si>
  <si>
    <t>566983</t>
  </si>
  <si>
    <t>Amortz Reg A-Unrcvrd Plt/Decom Csts-OR</t>
  </si>
  <si>
    <t>566984</t>
  </si>
  <si>
    <t>Amortz Reg A-Unrcvrd Plt/Decom Csts-UT</t>
  </si>
  <si>
    <t>566986</t>
  </si>
  <si>
    <t>Amortz Reg A-Unrcvrd Plt/Decom Csts-WY</t>
  </si>
  <si>
    <t>566992</t>
  </si>
  <si>
    <t>OR Meters Replaced by AMI Amortization</t>
  </si>
  <si>
    <t>586902</t>
  </si>
  <si>
    <t>Preferred Stock Repurchase Loss Amort</t>
  </si>
  <si>
    <t xml:space="preserve"> 4073000  Total</t>
  </si>
  <si>
    <t>4074000</t>
  </si>
  <si>
    <t>REGULATORY CREDITS</t>
  </si>
  <si>
    <t>566908</t>
  </si>
  <si>
    <t>Regulatory Credits O&amp;M - 407.4</t>
  </si>
  <si>
    <t>566990</t>
  </si>
  <si>
    <t>UT Wildland Fire Mitigation  - Deferral</t>
  </si>
  <si>
    <t xml:space="preserve"> 4074000  Total</t>
  </si>
  <si>
    <t>4074100</t>
  </si>
  <si>
    <t>Reg Credits-BPA Exch</t>
  </si>
  <si>
    <t>301101</t>
  </si>
  <si>
    <t>BPA Reg Bill Bal Acct - Residential</t>
  </si>
  <si>
    <t>301201</t>
  </si>
  <si>
    <t>BPA Reg Bill Bal Acct - Commercial</t>
  </si>
  <si>
    <t>301301</t>
  </si>
  <si>
    <t>BPA Reg Bill Bal Acct - Industrial</t>
  </si>
  <si>
    <t>301451</t>
  </si>
  <si>
    <t>BPA Reg Bill Bal Acct - Irrigation</t>
  </si>
  <si>
    <t xml:space="preserve"> 4074100  Total</t>
  </si>
  <si>
    <t>4074200</t>
  </si>
  <si>
    <t>505201</t>
  </si>
  <si>
    <t>Regional Bill Intchg Rec/Del-OR (PP)</t>
  </si>
  <si>
    <t>505202</t>
  </si>
  <si>
    <t>Regional Bill Intchg Rec/Del-WA (PP)</t>
  </si>
  <si>
    <t>505204</t>
  </si>
  <si>
    <t>Regional Bill Intchg Rec/Del-ID (RMP)</t>
  </si>
  <si>
    <t xml:space="preserve"> 4074200  Total</t>
  </si>
  <si>
    <t>Taxes Other Than Income (Actuals)</t>
  </si>
  <si>
    <t>TAXO</t>
  </si>
  <si>
    <t>4081000</t>
  </si>
  <si>
    <t>TAX OTH INC-U OP I</t>
  </si>
  <si>
    <t>584960</t>
  </si>
  <si>
    <t>Taxes Other Non-Income - Credit</t>
  </si>
  <si>
    <t xml:space="preserve"> 4081000  Total</t>
  </si>
  <si>
    <t>4081500</t>
  </si>
  <si>
    <t>PROPERTY TAXES</t>
  </si>
  <si>
    <t>579000</t>
  </si>
  <si>
    <t>PROPERTY TAX</t>
  </si>
  <si>
    <t>GPS</t>
  </si>
  <si>
    <t>579012</t>
  </si>
  <si>
    <t>Property Tax Exp - Reg Deferral/Amortz</t>
  </si>
  <si>
    <t xml:space="preserve"> 4081500  Total</t>
  </si>
  <si>
    <t>4081800</t>
  </si>
  <si>
    <t>FRANCHISE TAXES</t>
  </si>
  <si>
    <t>578000</t>
  </si>
  <si>
    <t>FRANCHISE &amp; OCCUPATION TAXES</t>
  </si>
  <si>
    <t xml:space="preserve"> 4081800  Total</t>
  </si>
  <si>
    <t>4081990</t>
  </si>
  <si>
    <t>MISC TAXES - OTHER</t>
  </si>
  <si>
    <t>583252</t>
  </si>
  <si>
    <t>Federal Excise Tax</t>
  </si>
  <si>
    <t>583260</t>
  </si>
  <si>
    <t>PUBLIC UTILITY TAX</t>
  </si>
  <si>
    <t>583261</t>
  </si>
  <si>
    <t>OREGON ENERGY RESOURCE SUPPLIER TAX</t>
  </si>
  <si>
    <t>583263</t>
  </si>
  <si>
    <t>MONTANA ENERGY TAX</t>
  </si>
  <si>
    <t>583265</t>
  </si>
  <si>
    <t>WASHINGTON GROSS REVENUE TAX - SERVICES</t>
  </si>
  <si>
    <t>583266</t>
  </si>
  <si>
    <t>IDAHO KILOWATT HOUR TAX</t>
  </si>
  <si>
    <t>583267</t>
  </si>
  <si>
    <t>WYOMING ANNUAL CORPORATION FEE (TAX)</t>
  </si>
  <si>
    <t>583269</t>
  </si>
  <si>
    <t>MONTANA WHOLESALE ENERGY TAX</t>
  </si>
  <si>
    <t>583273</t>
  </si>
  <si>
    <t>Wyoming Wind Generation Tax</t>
  </si>
  <si>
    <t>583274</t>
  </si>
  <si>
    <t>Nevada Commerce Tax</t>
  </si>
  <si>
    <t>584100</t>
  </si>
  <si>
    <t>GOVERNMENT ROYALTIES</t>
  </si>
  <si>
    <t xml:space="preserve"> 4081990  Total</t>
  </si>
  <si>
    <t>Electric Plant in Service (Actuals)</t>
  </si>
  <si>
    <t>Year End: 12/2023</t>
  </si>
  <si>
    <t>P40420</t>
  </si>
  <si>
    <t>4/10/2020  1:14: PM</t>
  </si>
  <si>
    <t>EPIS</t>
  </si>
  <si>
    <t>!NUTIL</t>
  </si>
  <si>
    <t>Factor 2017 Protocol</t>
  </si>
  <si>
    <t>1000 PacifiCorp; 2010 Interwest Mining Company; 2030 Glenrock Coal Company; 2040 Centralia Mining Company; 2050 Energy West Mining Comp; 2060 Fossil Rock Fuels, LLC</t>
  </si>
  <si>
    <t>1010000</t>
  </si>
  <si>
    <t>ELEC PLANT IN SERV</t>
  </si>
  <si>
    <t>TRANSMISSION INTANGIBLE ASSETS</t>
  </si>
  <si>
    <t>RCMS - REGION CONSTRUCTION MGMT SYSTEM</t>
  </si>
  <si>
    <t>3031080</t>
  </si>
  <si>
    <t>FUEL MANAGEMENT SYSTEM</t>
  </si>
  <si>
    <t>3031230</t>
  </si>
  <si>
    <t>AFPR - AUTOMATED FACILITY POINT RECORDS</t>
  </si>
  <si>
    <t>CUSTOMER SERVICE SYSTEM (CSS)</t>
  </si>
  <si>
    <t>S A P</t>
  </si>
  <si>
    <t>PCI GenTrader</t>
  </si>
  <si>
    <t>TSSA - TrueSight Server Automation</t>
  </si>
  <si>
    <t>3032270</t>
  </si>
  <si>
    <t>ENTERPRISE DATA WAREHOUSE</t>
  </si>
  <si>
    <t>3032330</t>
  </si>
  <si>
    <t>FIELDNET PRO METER READING SYST -HRP REP</t>
  </si>
  <si>
    <t>3032340</t>
  </si>
  <si>
    <t>FACILITY INSPECTION REPORTING SYSTEM</t>
  </si>
  <si>
    <t>3032360</t>
  </si>
  <si>
    <t>2002 GRID NET POWER COST MODELING</t>
  </si>
  <si>
    <t>3032510</t>
  </si>
  <si>
    <t>OPERATIONS MAPPING SYSTEM</t>
  </si>
  <si>
    <t>3032590</t>
  </si>
  <si>
    <t>SUBSTATION/CIRCUIT HISTORY OF OPERATIONS</t>
  </si>
  <si>
    <t>3032680</t>
  </si>
  <si>
    <t>TRANSMISSION WHOLESALE BILLING SYSTEM</t>
  </si>
  <si>
    <t>3032830</t>
  </si>
  <si>
    <t>VCPRO - XEROX CUST STMT FRMTR ENHANCE -</t>
  </si>
  <si>
    <t>WYOMING VHF (VPC) SPECTRUM</t>
  </si>
  <si>
    <t>3032920</t>
  </si>
  <si>
    <t>IDAHO VHF (VPC) SPECTRUM</t>
  </si>
  <si>
    <t>3032930</t>
  </si>
  <si>
    <t>UTAH VHF (VPC) SPECTRUM</t>
  </si>
  <si>
    <t>P8DM - FILENET P8</t>
  </si>
  <si>
    <t>3033190</t>
  </si>
  <si>
    <t>ITRON METER READING SOFTWARE</t>
  </si>
  <si>
    <t>3033210</t>
  </si>
  <si>
    <t>ArcFM Software</t>
  </si>
  <si>
    <t>3033300</t>
  </si>
  <si>
    <t>SECID - CUST SECURE WEB LOGIN</t>
  </si>
  <si>
    <t>C&amp;T - Energy Trading System</t>
  </si>
  <si>
    <t>3033330</t>
  </si>
  <si>
    <t>OR VHF (VPC) SPECTRUM</t>
  </si>
  <si>
    <t>3033340</t>
  </si>
  <si>
    <t>WA VHF (VPC) SPECTRUM</t>
  </si>
  <si>
    <t>3033350</t>
  </si>
  <si>
    <t>CA VHF (VPC) SPECTRUM</t>
  </si>
  <si>
    <t>3033380</t>
  </si>
  <si>
    <t>GAS PLANT INTANGIBLES</t>
  </si>
  <si>
    <t>3033390</t>
  </si>
  <si>
    <t>CYME GATEWAY</t>
  </si>
  <si>
    <t>3035322</t>
  </si>
  <si>
    <t>ACD–Call Center Automated Call Distribut</t>
  </si>
  <si>
    <t>3100000</t>
  </si>
  <si>
    <t>LAND &amp; LAND RIGHTS</t>
  </si>
  <si>
    <t>3101000</t>
  </si>
  <si>
    <t>LAND OWNED IN FEE</t>
  </si>
  <si>
    <t>3103000</t>
  </si>
  <si>
    <t>3108000</t>
  </si>
  <si>
    <t>FEE LAND - LEASED</t>
  </si>
  <si>
    <t>3300000</t>
  </si>
  <si>
    <t>LAND AND LAND RIGHTS</t>
  </si>
  <si>
    <t>3301000</t>
  </si>
  <si>
    <t>3401000</t>
  </si>
  <si>
    <t>3403000</t>
  </si>
  <si>
    <t>WATER RIGHTS - OTHER PRODUCTION</t>
  </si>
  <si>
    <t>3500000</t>
  </si>
  <si>
    <t>3501000</t>
  </si>
  <si>
    <t>3600000</t>
  </si>
  <si>
    <t>3601000</t>
  </si>
  <si>
    <t>3890000</t>
  </si>
  <si>
    <t>3920100</t>
  </si>
  <si>
    <t>1/4 TON MINI-PICKUPS AND VANS</t>
  </si>
  <si>
    <t>3920200</t>
  </si>
  <si>
    <t>MID AND FULL SIZE AUTOMOBILES</t>
  </si>
  <si>
    <t>3920400</t>
  </si>
  <si>
    <t>"1/2 &amp; 3/4 TON PICKUPS, VANS, SERV TRUCK</t>
  </si>
  <si>
    <t>3920500</t>
  </si>
  <si>
    <t>"1 TON AND ABOVE, TWO-AXLE TRUCKS"</t>
  </si>
  <si>
    <t>3920600</t>
  </si>
  <si>
    <t>DUMP TRUCKS</t>
  </si>
  <si>
    <t>3920900</t>
  </si>
  <si>
    <t>TRAILERS</t>
  </si>
  <si>
    <t>3921400</t>
  </si>
  <si>
    <t>"SNOWMOBILES, MOTORCYCLES (4-WHEELED ATV</t>
  </si>
  <si>
    <t>3921900</t>
  </si>
  <si>
    <t>OVER-THE-ROAD SEMI-TRACTORS</t>
  </si>
  <si>
    <t>3923000</t>
  </si>
  <si>
    <t>TRANSPORTATION EQUIPMENT</t>
  </si>
  <si>
    <t>3960300</t>
  </si>
  <si>
    <t>"AERIAL LIFT PB TRUCKS, 10000#-16000# GV</t>
  </si>
  <si>
    <t>3960700</t>
  </si>
  <si>
    <t>TWO-AXLE DIGGER/DERRICK LINE TRUCKS</t>
  </si>
  <si>
    <t>3960800</t>
  </si>
  <si>
    <t>"AERIAL LIFT P.B. TRUCKS, ABOVE 16000#GV</t>
  </si>
  <si>
    <t>3961000</t>
  </si>
  <si>
    <t>CRANES</t>
  </si>
  <si>
    <t>3961100</t>
  </si>
  <si>
    <t>HEAVY CONSTRUCTION EQUIP, PRODUCT DIGGER</t>
  </si>
  <si>
    <t>3961200</t>
  </si>
  <si>
    <t>THREE-AXLE DIGGER/DERRICK LINE TRUCKS</t>
  </si>
  <si>
    <t>3961300</t>
  </si>
  <si>
    <t>SNOWCATS, BACKHOES, TRENCHERS, SNOWBLOWR</t>
  </si>
  <si>
    <t>3992100</t>
  </si>
  <si>
    <t>1010000 Total</t>
  </si>
  <si>
    <t>1019000</t>
  </si>
  <si>
    <t>ELEC PLT IN SERV-OTH</t>
  </si>
  <si>
    <t>140129</t>
  </si>
  <si>
    <t>ELECTRIC PLANT IN SERVICE - OTHER</t>
  </si>
  <si>
    <t>140139</t>
  </si>
  <si>
    <t>PRODUCTION PLANT-NON-RECONCILED</t>
  </si>
  <si>
    <t>140149</t>
  </si>
  <si>
    <t>TRANS PLANT NON-RECONCILED</t>
  </si>
  <si>
    <t>140169</t>
  </si>
  <si>
    <t>DISTRIBN- NON-RECONCILED</t>
  </si>
  <si>
    <t>1019000 Total</t>
  </si>
  <si>
    <t>1020000</t>
  </si>
  <si>
    <t>ELEC PL PUR OR SLD</t>
  </si>
  <si>
    <t>ELECTRIC PLANT PURCHASED OR SOLD</t>
  </si>
  <si>
    <t>140708</t>
  </si>
  <si>
    <t>CONTRA ELEC PLANT PURCH OR SOLD - LOSS</t>
  </si>
  <si>
    <t>1020000 Total</t>
  </si>
  <si>
    <t>1061000</t>
  </si>
  <si>
    <t>DIST COMP CONST NOT</t>
  </si>
  <si>
    <t>DISTRIB COMPLETED CONSTRUCTN NOT CLASSIF</t>
  </si>
  <si>
    <t>1061000 Total</t>
  </si>
  <si>
    <t>1062000</t>
  </si>
  <si>
    <t>TRAN COMP CONST NOT</t>
  </si>
  <si>
    <t>TRANSM COMPLETED CONSTRUCTN NOT CLASSIFI</t>
  </si>
  <si>
    <t>1062000 Total</t>
  </si>
  <si>
    <t>1063000</t>
  </si>
  <si>
    <t>PROD COMP CONST NOT</t>
  </si>
  <si>
    <t>PROD COMPLETED CONSTRUCTN NOT CLASSIFIED</t>
  </si>
  <si>
    <t>1063000 Total</t>
  </si>
  <si>
    <t>1064000</t>
  </si>
  <si>
    <t>GEN COMP CONST NOT</t>
  </si>
  <si>
    <t>GENERAL COMPLETED CONSTRUCTN NOT CLASSIF</t>
  </si>
  <si>
    <t>1064000 Total</t>
  </si>
  <si>
    <t>Plant Held for Future Use (Actuals)</t>
  </si>
  <si>
    <t>PHFU</t>
  </si>
  <si>
    <t>1050000</t>
  </si>
  <si>
    <t>EL PLT HLD FTR USE</t>
  </si>
  <si>
    <t xml:space="preserve"> 1050000  Total</t>
  </si>
  <si>
    <t>Deferred Debits (Actuals)</t>
  </si>
  <si>
    <t>P49318</t>
  </si>
  <si>
    <t>DEFD</t>
  </si>
  <si>
    <t>1861000</t>
  </si>
  <si>
    <t>MS DEF DB-OTH WIP</t>
  </si>
  <si>
    <t>185016</t>
  </si>
  <si>
    <t>EMISSION REDUCTION CREDITS PURCHASED</t>
  </si>
  <si>
    <t>185017</t>
  </si>
  <si>
    <t>ERCs - Impairment Reserve</t>
  </si>
  <si>
    <t xml:space="preserve"> 1861000  Total</t>
  </si>
  <si>
    <t>1861200</t>
  </si>
  <si>
    <t>FINANCING COSTS DEFR</t>
  </si>
  <si>
    <t>185026</t>
  </si>
  <si>
    <t>DEFERRED - S-3 SHELF REGISTRATION COSTS</t>
  </si>
  <si>
    <t>185027</t>
  </si>
  <si>
    <t>UNAMORTIZED CREDIT AGREEMENT COSTS</t>
  </si>
  <si>
    <t>185029</t>
  </si>
  <si>
    <t>UNAMORTIZED PCRB MADE CONVERSION COSTS</t>
  </si>
  <si>
    <t>185030</t>
  </si>
  <si>
    <t>UNAMORTIZED '94 SERIES RESTRUCTURING COS</t>
  </si>
  <si>
    <t xml:space="preserve"> 1861200  Total</t>
  </si>
  <si>
    <t>1868000</t>
  </si>
  <si>
    <t>MISC DF DR-OTH-CST</t>
  </si>
  <si>
    <t>185336</t>
  </si>
  <si>
    <t>BOGUS CREEK</t>
  </si>
  <si>
    <t>185337</t>
  </si>
  <si>
    <t>POINT-TO-POINT TRANS RESERVATIONS</t>
  </si>
  <si>
    <t>185359</t>
  </si>
  <si>
    <t>LT Lake Side 2 Maint. Prepayment</t>
  </si>
  <si>
    <t>185360</t>
  </si>
  <si>
    <t>LT LAKE SIDE MAINT PREPAYMENT</t>
  </si>
  <si>
    <t>185361</t>
  </si>
  <si>
    <t>LT CHEHALIS CSA MAINT. PREPAYMENT</t>
  </si>
  <si>
    <t>185362</t>
  </si>
  <si>
    <t>LT Currant Creek CSA Maint Prepayment</t>
  </si>
  <si>
    <t>185371</t>
  </si>
  <si>
    <t>LT Chehalis CSA Prepaid O&amp;M</t>
  </si>
  <si>
    <t>185372</t>
  </si>
  <si>
    <t>LT Currant Creek CSA Prepaid O&amp;M</t>
  </si>
  <si>
    <t>185400</t>
  </si>
  <si>
    <t>Trans Readiness Security - Due to ESM</t>
  </si>
  <si>
    <t>185401</t>
  </si>
  <si>
    <t>Trans Readiness Security - ESM Rec</t>
  </si>
  <si>
    <t>185402</t>
  </si>
  <si>
    <t>Trans Sec - Site Control - Due to ESM</t>
  </si>
  <si>
    <t>185403</t>
  </si>
  <si>
    <t>Trans Sec - Site Control - ESM Rec</t>
  </si>
  <si>
    <t>185551</t>
  </si>
  <si>
    <t>LT Prepaid-FSA Capital - Dunlap</t>
  </si>
  <si>
    <t>185552</t>
  </si>
  <si>
    <t>LT Prepaid-FSA Capital - Ekola Flats</t>
  </si>
  <si>
    <t>185554</t>
  </si>
  <si>
    <t>LT Prepaid-FSA Capital - Foote Creek</t>
  </si>
  <si>
    <t>185557</t>
  </si>
  <si>
    <t>LT Prepaid-FSA Capital - Glenrock I</t>
  </si>
  <si>
    <t>185558</t>
  </si>
  <si>
    <t>LT Prepaid-FSA Capital - Glenrock III</t>
  </si>
  <si>
    <t>185561</t>
  </si>
  <si>
    <t>LT Prepaid-FSA Capital - Goodnoe Hills</t>
  </si>
  <si>
    <t>185564</t>
  </si>
  <si>
    <t>LT Prepaid-FSA Capital - High Plains</t>
  </si>
  <si>
    <t>185567</t>
  </si>
  <si>
    <t>LT Prepaid-FSA Capital - Leaning Juniper</t>
  </si>
  <si>
    <t>185570</t>
  </si>
  <si>
    <t>LT Prepaid-FSA Capital - Marengo I</t>
  </si>
  <si>
    <t>185571</t>
  </si>
  <si>
    <t>LT Prepaid-FSA Capital - Marengo II</t>
  </si>
  <si>
    <t>185574</t>
  </si>
  <si>
    <t>LT Prepaid-FSA Capital - McFadden Ridge</t>
  </si>
  <si>
    <t>185576</t>
  </si>
  <si>
    <t>LT Prepaid-FSA Capital - Pryor Mtn</t>
  </si>
  <si>
    <t>185577</t>
  </si>
  <si>
    <t>LT Prepaid-FSA Capital - Rolling Hills</t>
  </si>
  <si>
    <t>185580</t>
  </si>
  <si>
    <t>LT Prepaid-FSA Capital - Seven Mile I</t>
  </si>
  <si>
    <t>185581</t>
  </si>
  <si>
    <t>LT Prepaid-FSA Capital - Seven Mile II</t>
  </si>
  <si>
    <t>185584</t>
  </si>
  <si>
    <t>LT Prepaid-FSA Capital - TB Flats I</t>
  </si>
  <si>
    <t>185585</t>
  </si>
  <si>
    <t>LT Prepaid-FSA Capital - TB Flats II</t>
  </si>
  <si>
    <t xml:space="preserve"> 1868000  Total</t>
  </si>
  <si>
    <t>1869000</t>
  </si>
  <si>
    <t>MISC DF DR-OTH-NC</t>
  </si>
  <si>
    <t>185334</t>
  </si>
  <si>
    <t>HERMISTON SWAP</t>
  </si>
  <si>
    <t xml:space="preserve"> 1869000  Total</t>
  </si>
  <si>
    <t>Material &amp; Supplies (Actuals)</t>
  </si>
  <si>
    <t>MPCS</t>
  </si>
  <si>
    <t>1511120</t>
  </si>
  <si>
    <t>COAL INVNTRY-HUNTER</t>
  </si>
  <si>
    <t>COAL INVENTORY - HUNTER</t>
  </si>
  <si>
    <t>1511130</t>
  </si>
  <si>
    <t>COAL INVNTRY-HTG</t>
  </si>
  <si>
    <t>COAL INVENTORY - HUNTINGTON</t>
  </si>
  <si>
    <t>1511140</t>
  </si>
  <si>
    <t>COAL INVNTRY-JB</t>
  </si>
  <si>
    <t>COAL INVENTORY - JIM BRIDGER</t>
  </si>
  <si>
    <t>1511160</t>
  </si>
  <si>
    <t>COAL INVNTRY-NAU</t>
  </si>
  <si>
    <t>COAL INVENTORY - NAUGHTON</t>
  </si>
  <si>
    <t>1511300</t>
  </si>
  <si>
    <t>COAL INVNTRY-COLSTRI</t>
  </si>
  <si>
    <t>COAL INVENTORY - COLSTIP</t>
  </si>
  <si>
    <t>1511400</t>
  </si>
  <si>
    <t>COAL INVNTRY-CRAIG</t>
  </si>
  <si>
    <t>COAL INVENTORY - CRAIG</t>
  </si>
  <si>
    <t>1511600</t>
  </si>
  <si>
    <t>COAL INVNTRY-DJ</t>
  </si>
  <si>
    <t>COAL INVENTORY - DAVE JOHNSTON</t>
  </si>
  <si>
    <t>1511900</t>
  </si>
  <si>
    <t>COAL INVNTRY-HAYDEN</t>
  </si>
  <si>
    <t>COAL INVENTORY - HAYDEN</t>
  </si>
  <si>
    <t>1512180</t>
  </si>
  <si>
    <t>NATURAL GAS-CLAY BAS</t>
  </si>
  <si>
    <t>NATURAL GAS - CLAY BASIN</t>
  </si>
  <si>
    <t>1514000</t>
  </si>
  <si>
    <t>FUEL STK-FUEL OIL</t>
  </si>
  <si>
    <t>FUEL STOCK COAL MINE</t>
  </si>
  <si>
    <t>1514300</t>
  </si>
  <si>
    <t>OIL INVNTRY-COLSTRIP</t>
  </si>
  <si>
    <t>OIL INVENTORY - COLSTRIP</t>
  </si>
  <si>
    <t>1514400</t>
  </si>
  <si>
    <t>OIL INVENTORY-CRAIG</t>
  </si>
  <si>
    <t>OIL INVENTORY - CRAIG</t>
  </si>
  <si>
    <t>1514900</t>
  </si>
  <si>
    <t>OIL INVENTORY-HAYDEN</t>
  </si>
  <si>
    <t>OIL INVENTORY - HAYDEN</t>
  </si>
  <si>
    <t>1541000</t>
  </si>
  <si>
    <t>PLNT M&amp;S STK CNTRL</t>
  </si>
  <si>
    <t>MATERIAL CONTROL ADJUST</t>
  </si>
  <si>
    <t>1510</t>
  </si>
  <si>
    <t>JIM BRIDGER STORE ROOM</t>
  </si>
  <si>
    <t>1515</t>
  </si>
  <si>
    <t>DAVE JOHNSTON STORE ROOM</t>
  </si>
  <si>
    <t>1520</t>
  </si>
  <si>
    <t>WYODAK STORE ROOM</t>
  </si>
  <si>
    <t>1525</t>
  </si>
  <si>
    <t>GADSBY STORE ROOM</t>
  </si>
  <si>
    <t>1530</t>
  </si>
  <si>
    <t>CARBON STORE ROOM</t>
  </si>
  <si>
    <t>1535</t>
  </si>
  <si>
    <t>NAUGHTON STORE ROOM</t>
  </si>
  <si>
    <t>1540</t>
  </si>
  <si>
    <t>HUNTINGTON STORE ROOM</t>
  </si>
  <si>
    <t>1545</t>
  </si>
  <si>
    <t>HUNTER STORE ROOM</t>
  </si>
  <si>
    <t>1550</t>
  </si>
  <si>
    <t>BLUNDELL STORE ROOM</t>
  </si>
  <si>
    <t>1565</t>
  </si>
  <si>
    <t>CURRANT CREEK PLANT</t>
  </si>
  <si>
    <t>1570</t>
  </si>
  <si>
    <t>LAKESIDE PLANT</t>
  </si>
  <si>
    <t>1580</t>
  </si>
  <si>
    <t>CHEHALIS PLANT</t>
  </si>
  <si>
    <t>1675</t>
  </si>
  <si>
    <t>HYDRO EAST - UTAH</t>
  </si>
  <si>
    <t>1680</t>
  </si>
  <si>
    <t>HYDRO EAST - IDAHO</t>
  </si>
  <si>
    <t>1700</t>
  </si>
  <si>
    <t>LEANING JUNIPER STOREROOM</t>
  </si>
  <si>
    <t>1705</t>
  </si>
  <si>
    <t>GOODNOE HILLS WIND</t>
  </si>
  <si>
    <t>1715</t>
  </si>
  <si>
    <t>MARENGO WIND</t>
  </si>
  <si>
    <t>1720</t>
  </si>
  <si>
    <t>Foote Creek</t>
  </si>
  <si>
    <t>1725</t>
  </si>
  <si>
    <t>Glenrock/Rolling Hills</t>
  </si>
  <si>
    <t>1730</t>
  </si>
  <si>
    <t>Seven Mile Hill</t>
  </si>
  <si>
    <t>1735</t>
  </si>
  <si>
    <t>Ekola Flats</t>
  </si>
  <si>
    <t>1740</t>
  </si>
  <si>
    <t>High Plains/McFadden</t>
  </si>
  <si>
    <t>1745</t>
  </si>
  <si>
    <t>Dunlap Wind Project</t>
  </si>
  <si>
    <t>1750</t>
  </si>
  <si>
    <t>TB Flats 1 &amp; 2</t>
  </si>
  <si>
    <t>1760</t>
  </si>
  <si>
    <t>Cedar Springs II</t>
  </si>
  <si>
    <t>1765</t>
  </si>
  <si>
    <t>Pryor Mountain</t>
  </si>
  <si>
    <t>2005</t>
  </si>
  <si>
    <t>CASPER STORE ROOM</t>
  </si>
  <si>
    <t>2010</t>
  </si>
  <si>
    <t>BUFFALO STORE ROOM</t>
  </si>
  <si>
    <t>2015</t>
  </si>
  <si>
    <t>DOUGLAS STORE ROOM</t>
  </si>
  <si>
    <t>2020</t>
  </si>
  <si>
    <t>CODY STORE ROOM</t>
  </si>
  <si>
    <t>2030</t>
  </si>
  <si>
    <t>WORLAND STORE ROOM</t>
  </si>
  <si>
    <t>2035</t>
  </si>
  <si>
    <t>RIVERTON STORE ROOM</t>
  </si>
  <si>
    <t>2040</t>
  </si>
  <si>
    <t>EVANSTON STORE ROOM</t>
  </si>
  <si>
    <t>2045</t>
  </si>
  <si>
    <t>KEMMERER STORE ROOM</t>
  </si>
  <si>
    <t>2050</t>
  </si>
  <si>
    <t>PINEDALE STORE ROOM</t>
  </si>
  <si>
    <t>2060</t>
  </si>
  <si>
    <t>ROCK SPRINGS STORE ROOM</t>
  </si>
  <si>
    <t>2065</t>
  </si>
  <si>
    <t>RAWLINS STORE ROOM</t>
  </si>
  <si>
    <t>2070</t>
  </si>
  <si>
    <t>LARAMIE STORE ROOM</t>
  </si>
  <si>
    <t>2075</t>
  </si>
  <si>
    <t>REXBERG STORE ROOM</t>
  </si>
  <si>
    <t>2080</t>
  </si>
  <si>
    <t>MUDLAKE STORE ROOM</t>
  </si>
  <si>
    <t>2085</t>
  </si>
  <si>
    <t>SHELLY STORE ROOM</t>
  </si>
  <si>
    <t>2090</t>
  </si>
  <si>
    <t>PRESTON STORE ROOM</t>
  </si>
  <si>
    <t>2095</t>
  </si>
  <si>
    <t>LAVA HOT SPRINGS STORE ROOM</t>
  </si>
  <si>
    <t>2100</t>
  </si>
  <si>
    <t>MONTPELIER STORE ROOM</t>
  </si>
  <si>
    <t>2110</t>
  </si>
  <si>
    <t>BRIDGERLAND STORE ROOM</t>
  </si>
  <si>
    <t>2205</t>
  </si>
  <si>
    <t>TREMONTON STORE ROOM</t>
  </si>
  <si>
    <t>2210</t>
  </si>
  <si>
    <t>OGDEN STORE ROOM</t>
  </si>
  <si>
    <t>2215</t>
  </si>
  <si>
    <t>LAYTON STORE ROOM</t>
  </si>
  <si>
    <t>2220</t>
  </si>
  <si>
    <t>SALT LAKE METRO STORE ROOM</t>
  </si>
  <si>
    <t>2230</t>
  </si>
  <si>
    <t>JORDAN VALLEY STORE ROOM</t>
  </si>
  <si>
    <t>2235</t>
  </si>
  <si>
    <t>PARK CITY STORE ROOM</t>
  </si>
  <si>
    <t>2240</t>
  </si>
  <si>
    <t>TOOELE STORE ROOM</t>
  </si>
  <si>
    <t>2245</t>
  </si>
  <si>
    <t>WASATCH RESTORATION CENTER</t>
  </si>
  <si>
    <t>2400</t>
  </si>
  <si>
    <t>PLNT M&amp;S STK CNTRL EAGLE MOUNTAIN</t>
  </si>
  <si>
    <t>2405</t>
  </si>
  <si>
    <t>AMERICAN FORK STORE ROOM</t>
  </si>
  <si>
    <t>2410</t>
  </si>
  <si>
    <t>SANTAQUIN STORE ROOM</t>
  </si>
  <si>
    <t>2415</t>
  </si>
  <si>
    <t>DELTA STORE ROOM</t>
  </si>
  <si>
    <t>2420</t>
  </si>
  <si>
    <t>VERNAL STORE ROOM</t>
  </si>
  <si>
    <t>2425</t>
  </si>
  <si>
    <t>PRICE STORE ROOM</t>
  </si>
  <si>
    <t>2430</t>
  </si>
  <si>
    <t>MOAB STORE ROOM</t>
  </si>
  <si>
    <t>2435</t>
  </si>
  <si>
    <t>BLANDING STORE ROOM</t>
  </si>
  <si>
    <t>2445</t>
  </si>
  <si>
    <t>RICHFIELD STORE ROOM</t>
  </si>
  <si>
    <t>2450</t>
  </si>
  <si>
    <t>CEDAR CITY STORE ROOM</t>
  </si>
  <si>
    <t>2455</t>
  </si>
  <si>
    <t>MILFORD STORE ROOM</t>
  </si>
  <si>
    <t>2460</t>
  </si>
  <si>
    <t>WASHINGTON STORE ROOM</t>
  </si>
  <si>
    <t>2620</t>
  </si>
  <si>
    <t>WALLA WALLA STORE ROOM</t>
  </si>
  <si>
    <t>2630</t>
  </si>
  <si>
    <t>YAKIMA STORE ROOM</t>
  </si>
  <si>
    <t>2635</t>
  </si>
  <si>
    <t>ENTERPRISE STORE ROOM</t>
  </si>
  <si>
    <t>2640</t>
  </si>
  <si>
    <t>PENDLETON STORE ROOM</t>
  </si>
  <si>
    <t>2650</t>
  </si>
  <si>
    <t>HOOD RIVER STORE ROOM</t>
  </si>
  <si>
    <t>2655</t>
  </si>
  <si>
    <t>PORTLAND METRO - STORE ROOM</t>
  </si>
  <si>
    <t>2660</t>
  </si>
  <si>
    <t>ASTORIA STORE ROOM</t>
  </si>
  <si>
    <t>2665</t>
  </si>
  <si>
    <t>MADRAS STORE ROOM</t>
  </si>
  <si>
    <t>2670</t>
  </si>
  <si>
    <t>PRINEVILLE STORE ROOM</t>
  </si>
  <si>
    <t>2675</t>
  </si>
  <si>
    <t>BEND STORE ROOM</t>
  </si>
  <si>
    <t>2805</t>
  </si>
  <si>
    <t>ALBANY STORE ROOM</t>
  </si>
  <si>
    <t>2810</t>
  </si>
  <si>
    <t>LINCOLN CITY STORE ROOM</t>
  </si>
  <si>
    <t>2830</t>
  </si>
  <si>
    <t>ROSEBURG STORE ROOM</t>
  </si>
  <si>
    <t>2835</t>
  </si>
  <si>
    <t>COOS BAY STORE ROOM</t>
  </si>
  <si>
    <t>2840</t>
  </si>
  <si>
    <t>GRANTS PASS STORE ROOM</t>
  </si>
  <si>
    <t>2845</t>
  </si>
  <si>
    <t>MEDFORD STORE ROOM</t>
  </si>
  <si>
    <t>2850</t>
  </si>
  <si>
    <t>KLAMATH FALLS STORE ROOM</t>
  </si>
  <si>
    <t>2855</t>
  </si>
  <si>
    <t>LAKEVIEW STORE ROOM</t>
  </si>
  <si>
    <t>2860</t>
  </si>
  <si>
    <t>ALTURAS STORE ROOM</t>
  </si>
  <si>
    <t>2865</t>
  </si>
  <si>
    <t>MT SHASTA STORE ROOM</t>
  </si>
  <si>
    <t>2870</t>
  </si>
  <si>
    <t>YREKA STORE ROOM</t>
  </si>
  <si>
    <t>2875</t>
  </si>
  <si>
    <t>CRESENT CITY STORE ROOM</t>
  </si>
  <si>
    <t>5005</t>
  </si>
  <si>
    <t>5110</t>
  </si>
  <si>
    <t>MATERIAL PACKAGING CENTER - WEST</t>
  </si>
  <si>
    <t>5115</t>
  </si>
  <si>
    <t>DEMC - SLC</t>
  </si>
  <si>
    <t>5120</t>
  </si>
  <si>
    <t>DEMC - MEDFORD</t>
  </si>
  <si>
    <t>5125</t>
  </si>
  <si>
    <t>DEMC - OREGON</t>
  </si>
  <si>
    <t>5130</t>
  </si>
  <si>
    <t>MEDFORD HUB</t>
  </si>
  <si>
    <t>5135</t>
  </si>
  <si>
    <t>YAKIMA HUB</t>
  </si>
  <si>
    <t>5140</t>
  </si>
  <si>
    <t>PRESTON HUB</t>
  </si>
  <si>
    <t>5150</t>
  </si>
  <si>
    <t>RICHFIELD HUB</t>
  </si>
  <si>
    <t>5155</t>
  </si>
  <si>
    <t>CASPER HUB</t>
  </si>
  <si>
    <t>5160</t>
  </si>
  <si>
    <t>SALT LAKE METRO HUB</t>
  </si>
  <si>
    <t>5300</t>
  </si>
  <si>
    <t>METER TEST WAREHOUSE</t>
  </si>
  <si>
    <t>1541500</t>
  </si>
  <si>
    <t>OTHER M&amp;S</t>
  </si>
  <si>
    <t>M&amp;S GLENROCK COAL MINE</t>
  </si>
  <si>
    <t>120001</t>
  </si>
  <si>
    <t>OTHER MATERIAL &amp; SUPPLIES - GENERAL STOC</t>
  </si>
  <si>
    <t>1541900</t>
  </si>
  <si>
    <t>PLNT M&amp;S GEN JV CUT</t>
  </si>
  <si>
    <t>120005</t>
  </si>
  <si>
    <t>JV CUTBACK MATERIAL &amp; SUPPLIES INVENTORY</t>
  </si>
  <si>
    <t>120010</t>
  </si>
  <si>
    <t>Minority Owned Plant M&amp;S Inventory</t>
  </si>
  <si>
    <t>1549900</t>
  </si>
  <si>
    <t>CR-OBSOL&amp;SURPL INV</t>
  </si>
  <si>
    <t>102930</t>
  </si>
  <si>
    <t>SB Asset # 120930</t>
  </si>
  <si>
    <t>120930</t>
  </si>
  <si>
    <t>INVENTORY RESERVE POWER SUPPLY</t>
  </si>
  <si>
    <t>120932</t>
  </si>
  <si>
    <t>Inventory Reserve - RMP (T&amp;D)</t>
  </si>
  <si>
    <t>120933</t>
  </si>
  <si>
    <t>Inventory Reserve - PP (T&amp;D)</t>
  </si>
  <si>
    <t>Miscellaneous Rate Base (Actuals)</t>
  </si>
  <si>
    <t>MISC</t>
  </si>
  <si>
    <t>1140000</t>
  </si>
  <si>
    <t>EL PLT ACQUIST ADJ</t>
  </si>
  <si>
    <t>ELECTRIC PLANT ACQUISITION ADJUSTMENTS</t>
  </si>
  <si>
    <t>1140000 Total</t>
  </si>
  <si>
    <t>1150000</t>
  </si>
  <si>
    <t>Ac Prov El Pt Acq Ad</t>
  </si>
  <si>
    <t>ACCUM PROV ELECTRIC PLANT ACQUISITION AD</t>
  </si>
  <si>
    <t>1150000 Total</t>
  </si>
  <si>
    <t>1281000</t>
  </si>
  <si>
    <t>Oth Special Funds-Pn</t>
  </si>
  <si>
    <t>Other special funds - Pensions</t>
  </si>
  <si>
    <t>1281000 Total</t>
  </si>
  <si>
    <t>1651000</t>
  </si>
  <si>
    <t>PREPAY-INSURANCE</t>
  </si>
  <si>
    <t>132008</t>
  </si>
  <si>
    <t>PREPAID INSURANCE - PUBLIC LIABILITY &amp; P</t>
  </si>
  <si>
    <t>132012</t>
  </si>
  <si>
    <t>PREPAID INSURANCE - ALLPURPOSE INSURANCE</t>
  </si>
  <si>
    <t>132016</t>
  </si>
  <si>
    <t>PREPAID INS-MINORITY OWNED PLANTS</t>
  </si>
  <si>
    <t>132045</t>
  </si>
  <si>
    <t>PREPAID WORKERS COMPENSATION</t>
  </si>
  <si>
    <t>132055</t>
  </si>
  <si>
    <t>PREPAID EMPLOYEE BENEFIT COSTS</t>
  </si>
  <si>
    <t>1651000 Total</t>
  </si>
  <si>
    <t>1652000</t>
  </si>
  <si>
    <t>PREPAY-TAXES</t>
  </si>
  <si>
    <t>132101</t>
  </si>
  <si>
    <t>PREPAID PROPERTY TAX</t>
  </si>
  <si>
    <t>132200</t>
  </si>
  <si>
    <t>"Prepaid Taxes (Federal, State, Local)"</t>
  </si>
  <si>
    <t>132924</t>
  </si>
  <si>
    <t>OTH PREPAY-OREGON DOE FEE</t>
  </si>
  <si>
    <t>1652000 Total</t>
  </si>
  <si>
    <t>1652100</t>
  </si>
  <si>
    <t>PREPAY - OTHER</t>
  </si>
  <si>
    <t>132095</t>
  </si>
  <si>
    <t>PREPAID EMISSIONS PERMIT FEES (UT)</t>
  </si>
  <si>
    <t>132097</t>
  </si>
  <si>
    <t>Prepaid CA GHG Cap &amp; Trade Allowances</t>
  </si>
  <si>
    <t>132098</t>
  </si>
  <si>
    <t>Prepaid - CA GHG Wholesale</t>
  </si>
  <si>
    <t>132099</t>
  </si>
  <si>
    <t>Prepaid WA GHG Wholesale - Current</t>
  </si>
  <si>
    <t>132310</t>
  </si>
  <si>
    <t>PREPAID RATING AGNCY</t>
  </si>
  <si>
    <t>132551</t>
  </si>
  <si>
    <t>Prepaid-FSA O&amp;M - Dunlap</t>
  </si>
  <si>
    <t>132557</t>
  </si>
  <si>
    <t>Prepaid-FSA O&amp;M - Glenrock I</t>
  </si>
  <si>
    <t>132567</t>
  </si>
  <si>
    <t>Prepaid-FSA O&amp;M - Leaning Juniper</t>
  </si>
  <si>
    <t>132574</t>
  </si>
  <si>
    <t>Prepaid-FSA O&amp;M - McFadden Ridge</t>
  </si>
  <si>
    <t>132577</t>
  </si>
  <si>
    <t>Prepaid-FSA O&amp;M - Rolling Hills</t>
  </si>
  <si>
    <t>132580</t>
  </si>
  <si>
    <t>Prepaid-FSA O&amp;M - Seven Mile I</t>
  </si>
  <si>
    <t>132581</t>
  </si>
  <si>
    <t>Prepaid-FSA O&amp;M - Seven Mile II</t>
  </si>
  <si>
    <t>132620</t>
  </si>
  <si>
    <t>PREPAYMENTS - WATER RIGHTS LEASE</t>
  </si>
  <si>
    <t>132621</t>
  </si>
  <si>
    <t>Prepayments - Water Rights (Ferron Canal</t>
  </si>
  <si>
    <t>132650</t>
  </si>
  <si>
    <t>PREPAID DUES</t>
  </si>
  <si>
    <t>132705</t>
  </si>
  <si>
    <t>Prepaid Pole Contact</t>
  </si>
  <si>
    <t>132740</t>
  </si>
  <si>
    <t>PREPAID O&amp;M WIND</t>
  </si>
  <si>
    <t>132755</t>
  </si>
  <si>
    <t>Prepaid Aircraft Maintenance Costs</t>
  </si>
  <si>
    <t>132900</t>
  </si>
  <si>
    <t>PREPAYMENTS - OTHER</t>
  </si>
  <si>
    <t>132901</t>
  </si>
  <si>
    <t>PRE FEES - OREGON PUB UTIL COMMISSION</t>
  </si>
  <si>
    <t>132903</t>
  </si>
  <si>
    <t>PREP FEES-UTAH PUBLIC SERVICE COMMISSION</t>
  </si>
  <si>
    <t>132904</t>
  </si>
  <si>
    <t>PREP FEES-IDAHO PUB UTIL COMMISSION</t>
  </si>
  <si>
    <t>Prepayments - Hardware &amp; Software</t>
  </si>
  <si>
    <t>132999</t>
  </si>
  <si>
    <t>PREPAY - RECLASS TO LT</t>
  </si>
  <si>
    <t>134000</t>
  </si>
  <si>
    <t>L/T PREPAY RECLASS</t>
  </si>
  <si>
    <t>134100</t>
  </si>
  <si>
    <t>Prepaid CA GHG Retail - Non-Current</t>
  </si>
  <si>
    <t>134101</t>
  </si>
  <si>
    <t>Prepaid CA GHG Wholesale - Non-Current</t>
  </si>
  <si>
    <t>134102</t>
  </si>
  <si>
    <t>Prepaid WA GHG Wholesale - Non-Current</t>
  </si>
  <si>
    <t>185363</t>
  </si>
  <si>
    <t>LT Prepayments - Other</t>
  </si>
  <si>
    <t>1652100 Total</t>
  </si>
  <si>
    <t>2281000</t>
  </si>
  <si>
    <t>ACC PROV-PROP INS</t>
  </si>
  <si>
    <t>288711</t>
  </si>
  <si>
    <t>Reg Liab - CA Property Insurance Reserve</t>
  </si>
  <si>
    <t>288712</t>
  </si>
  <si>
    <t>Reg Liab - OR Property Insurance Reserve</t>
  </si>
  <si>
    <t>288713</t>
  </si>
  <si>
    <t>Reg Liab - WA Property Insurance Reserve</t>
  </si>
  <si>
    <t>288714</t>
  </si>
  <si>
    <t>Reg Liab - ID Property Insurance Reserve</t>
  </si>
  <si>
    <t>288715</t>
  </si>
  <si>
    <t>Reg Liab - UT Property Insurance Reserve</t>
  </si>
  <si>
    <t>288716</t>
  </si>
  <si>
    <t>Reg Liab - WY Property Insurance Reserve</t>
  </si>
  <si>
    <t>288746</t>
  </si>
  <si>
    <t>RegL - Insurance Reserves-Recl to Asst</t>
  </si>
  <si>
    <t>288747</t>
  </si>
  <si>
    <t>RegL-CA Insurance Reserves-Recl to Asst</t>
  </si>
  <si>
    <t>288748</t>
  </si>
  <si>
    <t>RegL-WA Insurance Reserves-Recl to Asst</t>
  </si>
  <si>
    <t>288749</t>
  </si>
  <si>
    <t>RegL - Insurance Reserves - Reclass</t>
  </si>
  <si>
    <t>2281000 Total</t>
  </si>
  <si>
    <t>2281200</t>
  </si>
  <si>
    <t>ACC PRV-INS-T&amp;D LN</t>
  </si>
  <si>
    <t>280299</t>
  </si>
  <si>
    <t>Accum Prov for Prop Ins - PP-Rec to Cur</t>
  </si>
  <si>
    <t>280307</t>
  </si>
  <si>
    <t>Accum Prov For Prop Ins - Pac Power T&amp;D</t>
  </si>
  <si>
    <t>2281200 Total</t>
  </si>
  <si>
    <t>2282100</t>
  </si>
  <si>
    <t>ACC PRV IN &amp; DAMAG</t>
  </si>
  <si>
    <t>280310</t>
  </si>
  <si>
    <t>Prov for Injuries &amp; Damages - General</t>
  </si>
  <si>
    <t>280311</t>
  </si>
  <si>
    <t>ACC. PROV. I &amp; D - EXCL. AUTO</t>
  </si>
  <si>
    <t>280314</t>
  </si>
  <si>
    <t>I &amp; D Provisions - Reclass to Current</t>
  </si>
  <si>
    <t>280420</t>
  </si>
  <si>
    <t>I&amp;D Prov Catastrophic WF Claims Rec Cur</t>
  </si>
  <si>
    <t>2282100 Total</t>
  </si>
  <si>
    <t>2282400</t>
  </si>
  <si>
    <t>ACCUM PRV FR I&amp;D-OR</t>
  </si>
  <si>
    <t>288700</t>
  </si>
  <si>
    <t>Reg Liab - OR Injuries &amp; Damages Reserve</t>
  </si>
  <si>
    <t>288701</t>
  </si>
  <si>
    <t>Contra Reg Liab - OR Injuries &amp; Damages</t>
  </si>
  <si>
    <t>2282400 Total</t>
  </si>
  <si>
    <t>2282500</t>
  </si>
  <si>
    <t>Acc Prov I&amp;D-Insur</t>
  </si>
  <si>
    <t>156909</t>
  </si>
  <si>
    <t>Insurance Reim Receivable (I&amp;D)-NonCurr</t>
  </si>
  <si>
    <t>156911</t>
  </si>
  <si>
    <t>Insurance Reim Rec-Reclass to Current</t>
  </si>
  <si>
    <t>2282500 Total</t>
  </si>
  <si>
    <t>2283000</t>
  </si>
  <si>
    <t>PEN/BENFT-SICK</t>
  </si>
  <si>
    <t>280349</t>
  </si>
  <si>
    <t>SUPPL. PENSION BENEFITS (RETIRE ALLOW)</t>
  </si>
  <si>
    <t>2283000 Total</t>
  </si>
  <si>
    <t>2283500</t>
  </si>
  <si>
    <t>PENSIONS</t>
  </si>
  <si>
    <t>280365</t>
  </si>
  <si>
    <t>FAS 158 Pension Liab-Rcls to Current</t>
  </si>
  <si>
    <t>2283500 Total</t>
  </si>
  <si>
    <t>2284100</t>
  </si>
  <si>
    <t>AC MIS OP PR-OTHER</t>
  </si>
  <si>
    <t>289320</t>
  </si>
  <si>
    <t>CHEHALIS WA EFSEC C02 MITIGATION OBLIG</t>
  </si>
  <si>
    <t>2284100 Total</t>
  </si>
  <si>
    <t>2300000</t>
  </si>
  <si>
    <t>ASSET RETIREMENT OBL</t>
  </si>
  <si>
    <t>284918</t>
  </si>
  <si>
    <t>ARO LIAB - TROJAN NUCLEAR PLANT</t>
  </si>
  <si>
    <t>TROJD</t>
  </si>
  <si>
    <t>2300000 Total</t>
  </si>
  <si>
    <t>2530000</t>
  </si>
  <si>
    <t>OTHER DEF CREDITS</t>
  </si>
  <si>
    <t>289005</t>
  </si>
  <si>
    <t>UNEARNED JOINT USE POLE CONTACT REVENUE</t>
  </si>
  <si>
    <t>2530000 Total</t>
  </si>
  <si>
    <t>2533500</t>
  </si>
  <si>
    <t>OTH DEF CR-PEN &amp; BEN</t>
  </si>
  <si>
    <t>280370</t>
  </si>
  <si>
    <t>PENSION LIAB-UMWA WITHDRAWAL OBLIG</t>
  </si>
  <si>
    <t>2533500 Total</t>
  </si>
  <si>
    <t>2539900</t>
  </si>
  <si>
    <t>OTH DEF CR - OTHER</t>
  </si>
  <si>
    <t>Fossil Rock Fuels Entries</t>
  </si>
  <si>
    <t>230155</t>
  </si>
  <si>
    <t>EMPLOYEE HOUSING SECURITY DEPOSITS</t>
  </si>
  <si>
    <t>284902</t>
  </si>
  <si>
    <t>IT Software Licenses</t>
  </si>
  <si>
    <t>289341</t>
  </si>
  <si>
    <t>Accrued Royalties-Reg Rcvry-Noncurrent</t>
  </si>
  <si>
    <t>289523</t>
  </si>
  <si>
    <t>Govt Coal Lease Bonus Payment Liability</t>
  </si>
  <si>
    <t>289913</t>
  </si>
  <si>
    <t>MCI - F.O.G. WIRE LEASE</t>
  </si>
  <si>
    <t>289914</t>
  </si>
  <si>
    <t>TRANSMISSION SERVICE DEPOSITS - THIRD PA</t>
  </si>
  <si>
    <t>289923</t>
  </si>
  <si>
    <t>Transmission Cluster Study Deposits</t>
  </si>
  <si>
    <t>289925</t>
  </si>
  <si>
    <t>TRANSM CONST SECURITY DEPOSITS</t>
  </si>
  <si>
    <t>289927</t>
  </si>
  <si>
    <t>Transm Deposit - Readiness Fin Security</t>
  </si>
  <si>
    <t>289928</t>
  </si>
  <si>
    <t>Transmission Deposits-Site Control</t>
  </si>
  <si>
    <t>289955</t>
  </si>
  <si>
    <t>Accrued Right-of-Way Obligations</t>
  </si>
  <si>
    <t>2539900 Total</t>
  </si>
  <si>
    <t>2540000</t>
  </si>
  <si>
    <t>REGULATORY LIAB</t>
  </si>
  <si>
    <t>231010</t>
  </si>
  <si>
    <t>Reg Liab Current - Blue Sky</t>
  </si>
  <si>
    <t>231020</t>
  </si>
  <si>
    <t>Reg Liab Current - DSM</t>
  </si>
  <si>
    <t>231080</t>
  </si>
  <si>
    <t>Reg Liab Current - REC Sales</t>
  </si>
  <si>
    <t>231095</t>
  </si>
  <si>
    <t>Reg Liab Current - Income Tax Related</t>
  </si>
  <si>
    <t>231100</t>
  </si>
  <si>
    <t>Reg Liab Current - Other</t>
  </si>
  <si>
    <t>288001</t>
  </si>
  <si>
    <t>Reg Liab - Excess Def Inc Taxes - CA</t>
  </si>
  <si>
    <t>288005</t>
  </si>
  <si>
    <t>Reg Liab - Excess Def Inc Taxes - WA</t>
  </si>
  <si>
    <t>288021</t>
  </si>
  <si>
    <t>Reg Liab-FAS 158 Post-Retirement</t>
  </si>
  <si>
    <t>288062</t>
  </si>
  <si>
    <t>Reg L-WA Decoupling Mech Jan22-Dec22</t>
  </si>
  <si>
    <t>288063</t>
  </si>
  <si>
    <t>Reg L-WA Decoupling Mech Jan23-Dec23</t>
  </si>
  <si>
    <t>288073</t>
  </si>
  <si>
    <t>Contra Reg A-WA Decoupling Jan23-Dec23</t>
  </si>
  <si>
    <t>288079</t>
  </si>
  <si>
    <t>RegL-WA Decoupling Mech - Recl to Curr</t>
  </si>
  <si>
    <t>288081</t>
  </si>
  <si>
    <t>Reg Liab - Cholla Decomm - CA</t>
  </si>
  <si>
    <t>288082</t>
  </si>
  <si>
    <t>Reg Liab - Cholla Decomm - ID</t>
  </si>
  <si>
    <t>288083</t>
  </si>
  <si>
    <t>Reg Liab - Cholla Decomm - OR</t>
  </si>
  <si>
    <t>288084</t>
  </si>
  <si>
    <t>Reg Liab - Cholla Decomm - UT</t>
  </si>
  <si>
    <t>288086</t>
  </si>
  <si>
    <t>Reg Liab - Cholla Decomm - WY</t>
  </si>
  <si>
    <t>288099</t>
  </si>
  <si>
    <t>RegL-Depr/Amortz Deferral-Bal Reclass</t>
  </si>
  <si>
    <t>288114</t>
  </si>
  <si>
    <t>REG LIABILITY - OR GAIN-SALE EPUD ASSETS</t>
  </si>
  <si>
    <t>288159</t>
  </si>
  <si>
    <t>RegL - Blue Sky - Recl to Curr</t>
  </si>
  <si>
    <t>288161</t>
  </si>
  <si>
    <t>RL-Energy Savings Assistance (ESA)-CA</t>
  </si>
  <si>
    <t>288162</t>
  </si>
  <si>
    <t>Reg Liab-CA Klamath River Dams Removal</t>
  </si>
  <si>
    <t>288165</t>
  </si>
  <si>
    <t>Reg Liab - OR Enrgy</t>
  </si>
  <si>
    <t>288174</t>
  </si>
  <si>
    <t>RegL - OR Asset Sale Gain-Balance Recl</t>
  </si>
  <si>
    <t>288191</t>
  </si>
  <si>
    <t>RegL - OR Pryor Mtn REC</t>
  </si>
  <si>
    <t>288211</t>
  </si>
  <si>
    <t>Reg Liab - Non-Prot PP&amp;E EDIT - CA</t>
  </si>
  <si>
    <t>288214</t>
  </si>
  <si>
    <t>Reg Liab - Non-Prot PP&amp;E EDIT - WA</t>
  </si>
  <si>
    <t>288215</t>
  </si>
  <si>
    <t>Reg Liab - Non-Prot PP&amp;E EDIT - WY</t>
  </si>
  <si>
    <t>288260</t>
  </si>
  <si>
    <t>Reg Liability - WA PCAM CY2021</t>
  </si>
  <si>
    <t>288262</t>
  </si>
  <si>
    <t>Reg Liability - WA PCAM CY2022</t>
  </si>
  <si>
    <t>288263</t>
  </si>
  <si>
    <t>Contra Reg Liability - WA PCAM CY2022</t>
  </si>
  <si>
    <t>288264</t>
  </si>
  <si>
    <t>Reg Liability - WA PCAM PTC CY2021</t>
  </si>
  <si>
    <t>288285</t>
  </si>
  <si>
    <t>Reg Liab-Excess Income Tax Deferral-WA</t>
  </si>
  <si>
    <t>288286</t>
  </si>
  <si>
    <t>Reg Liab-Excess Income Tax Deferral-WY</t>
  </si>
  <si>
    <t>288404</t>
  </si>
  <si>
    <t>Reg Liab - OR Fly Ash</t>
  </si>
  <si>
    <t>288405</t>
  </si>
  <si>
    <t>Reg Liab-OR Direct Access 5 yr Opt Out</t>
  </si>
  <si>
    <t>288406</t>
  </si>
  <si>
    <t>Reg L-OR-Bridger Mine Accel Depr&amp;Reclm</t>
  </si>
  <si>
    <t>288409</t>
  </si>
  <si>
    <t>Reg Liab-WA-Plant Closure Cost Deferral</t>
  </si>
  <si>
    <t>288410</t>
  </si>
  <si>
    <t>Reg Liab-WA-Bridger Mine Accel Depr</t>
  </si>
  <si>
    <t>288420</t>
  </si>
  <si>
    <t>Reg Liab - CA GHG Allowance Revenues</t>
  </si>
  <si>
    <t>288422</t>
  </si>
  <si>
    <t>Reg Liab - CA Solar (SOMAH)-GHG Funds</t>
  </si>
  <si>
    <t>288424</t>
  </si>
  <si>
    <t>RegL - CA GHG Allowances - Balance Recl</t>
  </si>
  <si>
    <t>288443</t>
  </si>
  <si>
    <t>RegL - OR RECs in Rates - Recl to Curr</t>
  </si>
  <si>
    <t>288444</t>
  </si>
  <si>
    <t>RegL - UT RECs in Rates - Recl to Curr</t>
  </si>
  <si>
    <t>288445</t>
  </si>
  <si>
    <t>RegL - WA RECs in Rates - Recl to Curr</t>
  </si>
  <si>
    <t>288446</t>
  </si>
  <si>
    <t>RegL - WY RECs in Rates - Recl to Curr</t>
  </si>
  <si>
    <t>288450</t>
  </si>
  <si>
    <t>Reg Liab - WA Fly Ash</t>
  </si>
  <si>
    <t>288451</t>
  </si>
  <si>
    <t>RegL - WA Pryor Mtn REC</t>
  </si>
  <si>
    <t>288454</t>
  </si>
  <si>
    <t>RegL - UT RECs in Rates - Balance Recl</t>
  </si>
  <si>
    <t>288456</t>
  </si>
  <si>
    <t>RegL - WY RECs in Rates - Balance Recl</t>
  </si>
  <si>
    <t>288459</t>
  </si>
  <si>
    <t>Reg Liab - Def RECs in Rates - Reclass</t>
  </si>
  <si>
    <t>288475</t>
  </si>
  <si>
    <t>RegL - WA Def Exc NPC - Balance Reclass</t>
  </si>
  <si>
    <t>288817</t>
  </si>
  <si>
    <t>RegL - DSM - CA - Reclass to Current</t>
  </si>
  <si>
    <t>288819</t>
  </si>
  <si>
    <t>Reg Liab - DSM - CA - Balance Reclass</t>
  </si>
  <si>
    <t>288857</t>
  </si>
  <si>
    <t>RegL - DSM - WA - Reclass to Current</t>
  </si>
  <si>
    <t>288859</t>
  </si>
  <si>
    <t>Reg Liab - DSM - WA - Balance Reclass</t>
  </si>
  <si>
    <t>288931</t>
  </si>
  <si>
    <t>Reg Liab - Protected PP&amp;E EDIT - CA</t>
  </si>
  <si>
    <t>288932</t>
  </si>
  <si>
    <t>Reg Liab - Protected PP&amp;E EDIT - ID</t>
  </si>
  <si>
    <t>288933</t>
  </si>
  <si>
    <t>Reg Liab - Protected PP&amp;E EDIT - OR</t>
  </si>
  <si>
    <t>288934</t>
  </si>
  <si>
    <t>Reg Liab - Protected PP&amp;E EDIT - WA</t>
  </si>
  <si>
    <t>288935</t>
  </si>
  <si>
    <t>Reg Liab - Protected PP&amp;E EDIT - WY</t>
  </si>
  <si>
    <t>288936</t>
  </si>
  <si>
    <t>Reg Liab - Protected PP&amp;E EDIT - UT</t>
  </si>
  <si>
    <t>288941</t>
  </si>
  <si>
    <t>Reg Liab - Protected PP&amp;E ARAM - CA</t>
  </si>
  <si>
    <t>288942</t>
  </si>
  <si>
    <t>Reg Liab - Protected PP&amp;E ARAM - ID</t>
  </si>
  <si>
    <t>288943</t>
  </si>
  <si>
    <t>Reg Liab - Protected PP&amp;E ARAM - OR</t>
  </si>
  <si>
    <t>288945</t>
  </si>
  <si>
    <t>Reg Liab - Protected PP&amp;E ARAM - WA</t>
  </si>
  <si>
    <t>288946</t>
  </si>
  <si>
    <t>Reg Liab - Protected PP&amp;E ARAM - WY</t>
  </si>
  <si>
    <t>288948</t>
  </si>
  <si>
    <t>RegL-Income Tax Related-Recl to Asset</t>
  </si>
  <si>
    <t>288949</t>
  </si>
  <si>
    <t>RegL - EDIT Deferral - Recl to Curr</t>
  </si>
  <si>
    <t>288995</t>
  </si>
  <si>
    <t>RegL - Other - Recl to Curr</t>
  </si>
  <si>
    <t>2540000 Total</t>
  </si>
  <si>
    <t>REGA</t>
  </si>
  <si>
    <t>1242000</t>
  </si>
  <si>
    <t>PAC PWR-INT FREE LN</t>
  </si>
  <si>
    <t>INT FREE-PPL</t>
  </si>
  <si>
    <t>1242000 Total</t>
  </si>
  <si>
    <t>1247100</t>
  </si>
  <si>
    <t>CSS/ELI SYSTEM LOANS</t>
  </si>
  <si>
    <t>CSS/ELI SYSTEM</t>
  </si>
  <si>
    <t>1247100 Total</t>
  </si>
  <si>
    <t>1249000</t>
  </si>
  <si>
    <t>RESV UNCOLL ESC&amp;WZ</t>
  </si>
  <si>
    <t>ESC - RESERVE</t>
  </si>
  <si>
    <t>1249000 Total</t>
  </si>
  <si>
    <t>1823000</t>
  </si>
  <si>
    <t>DSR REGULATORY ASSET</t>
  </si>
  <si>
    <t>DSR REGULATORY ASSETS</t>
  </si>
  <si>
    <t>1823000 Total</t>
  </si>
  <si>
    <t>1823700</t>
  </si>
  <si>
    <t>OTH REGA-ENERGY WEST</t>
  </si>
  <si>
    <t>186817</t>
  </si>
  <si>
    <t>Contra RA-DCM PP&amp;E-Amortz &amp; Oth Adjs</t>
  </si>
  <si>
    <t>186820</t>
  </si>
  <si>
    <t>Reg Asset-Deer Creek Mine ARO</t>
  </si>
  <si>
    <t>186825</t>
  </si>
  <si>
    <t>Reg Asset-Deer Creek Mine M&amp;S</t>
  </si>
  <si>
    <t>186826</t>
  </si>
  <si>
    <t>Reg Asset-Deer Creek-Prepaid Royalties</t>
  </si>
  <si>
    <t>186828</t>
  </si>
  <si>
    <t>Reg Asset-Deer Creek-Recovery Royalties</t>
  </si>
  <si>
    <t>186829</t>
  </si>
  <si>
    <t>Contra RA-DCM Closure-Royalties Amortz</t>
  </si>
  <si>
    <t>186830</t>
  </si>
  <si>
    <t>Reg Asset-Deer Creek-Union Suppl Ben</t>
  </si>
  <si>
    <t>186833</t>
  </si>
  <si>
    <t>Reg Asset-Deer Creek-Nonunion Severance</t>
  </si>
  <si>
    <t>186835</t>
  </si>
  <si>
    <t>Reg Asset-Deer Creek-Misc Closure Costs</t>
  </si>
  <si>
    <t>186836</t>
  </si>
  <si>
    <t>Contra RA-DCM Closure-To Joint Owners</t>
  </si>
  <si>
    <t>186837</t>
  </si>
  <si>
    <t>Contra RA-DCM Closure-Amortz &amp; Oth Adjs</t>
  </si>
  <si>
    <t>186839</t>
  </si>
  <si>
    <t>Reg Asset-Deer Creek-Tax Flow-Through</t>
  </si>
  <si>
    <t>186851</t>
  </si>
  <si>
    <t>Contra Reg Asset-Deer Creek Closure-CA</t>
  </si>
  <si>
    <t>186852</t>
  </si>
  <si>
    <t>CONTRA REG ASSET-DEER CREEK CLOSURE-ID</t>
  </si>
  <si>
    <t>186855</t>
  </si>
  <si>
    <t>Contra Reg Asset-Deer Creek Closure-WA</t>
  </si>
  <si>
    <t>186861</t>
  </si>
  <si>
    <t>RA-Deer Creek-ROR Offset-Fuel Inventory</t>
  </si>
  <si>
    <t>186863</t>
  </si>
  <si>
    <t>RA-Deer Creek-ROR Offset-Note Intrst-ID</t>
  </si>
  <si>
    <t>186871</t>
  </si>
  <si>
    <t>RA-DC ROR Offset-Fuel Inventory-Amortz</t>
  </si>
  <si>
    <t>186873</t>
  </si>
  <si>
    <t>RA-DC ROR Offset-Note Interest-Amortz</t>
  </si>
  <si>
    <t>186881</t>
  </si>
  <si>
    <t>Reg Asset-UMWA Pension Trust Oblig</t>
  </si>
  <si>
    <t>186886</t>
  </si>
  <si>
    <t>Contra RA-UMWA Pens W/D-To Joint Owners</t>
  </si>
  <si>
    <t>186895</t>
  </si>
  <si>
    <t>Contra Reg Asset-UMWA Pension Trust-WA</t>
  </si>
  <si>
    <t>1823700 Total</t>
  </si>
  <si>
    <t>1823750</t>
  </si>
  <si>
    <t>OTHER REG A-CHLA U4</t>
  </si>
  <si>
    <t>185831</t>
  </si>
  <si>
    <t>Reg Asset - Cholla Unrec Plant - CA</t>
  </si>
  <si>
    <t>185836</t>
  </si>
  <si>
    <t>Reg Asset - Cholla Unrec Plant - WY</t>
  </si>
  <si>
    <t>185864</t>
  </si>
  <si>
    <t>Reg Asset-Cholla U4-Property Taxes-OR</t>
  </si>
  <si>
    <t>185866</t>
  </si>
  <si>
    <t>Reg Asset-Cholla U4-Nonunion Severance</t>
  </si>
  <si>
    <t>185867</t>
  </si>
  <si>
    <t>Reg Asset-Cholla U4-Safe Harbor Lease</t>
  </si>
  <si>
    <t>185874</t>
  </si>
  <si>
    <t>Contra Reg Asset-Cholla U4 Closure-UT</t>
  </si>
  <si>
    <t>1823750 Total</t>
  </si>
  <si>
    <t>1823870</t>
  </si>
  <si>
    <t>DEFERRED PENSION</t>
  </si>
  <si>
    <t>187017</t>
  </si>
  <si>
    <t>FAS 158 Pen Liab Adj</t>
  </si>
  <si>
    <t>187608</t>
  </si>
  <si>
    <t>Reg Asset - Pension Settlement - CA</t>
  </si>
  <si>
    <t>187611</t>
  </si>
  <si>
    <t>Reg Asset - Pension Settlement - OR</t>
  </si>
  <si>
    <t>187612</t>
  </si>
  <si>
    <t>Reg Asset - Pension Settlement - UT</t>
  </si>
  <si>
    <t>187613</t>
  </si>
  <si>
    <t>Reg Asset - Pension Settlement - WY</t>
  </si>
  <si>
    <t>187621</t>
  </si>
  <si>
    <t>Reg Asset FAS - 158</t>
  </si>
  <si>
    <t>187629</t>
  </si>
  <si>
    <t>Reg Asset - Post-Ret - Settlement Loss</t>
  </si>
  <si>
    <t>187649</t>
  </si>
  <si>
    <t>Reg Asset-FAS 158 Post-Ret - Reclass</t>
  </si>
  <si>
    <t>1823870 Total</t>
  </si>
  <si>
    <t>ENVIR CST UNDR AMORT</t>
  </si>
  <si>
    <t>102465</t>
  </si>
  <si>
    <t>UTAH METALS CLEANUP</t>
  </si>
  <si>
    <t>103408</t>
  </si>
  <si>
    <t>D-SM RETAIL MINOR SITES</t>
  </si>
  <si>
    <t>103420</t>
  </si>
  <si>
    <t>ASTORIA YOUNGS BAY CLEANUP</t>
  </si>
  <si>
    <t>103426</t>
  </si>
  <si>
    <t>SILVER BELL MINE ENVIRONMENTAL REMED</t>
  </si>
  <si>
    <t>103440</t>
  </si>
  <si>
    <t>WASHINGTON NON-DEFERRED COSTS</t>
  </si>
  <si>
    <t>103445</t>
  </si>
  <si>
    <t>American Barrel (UT)</t>
  </si>
  <si>
    <t>103446</t>
  </si>
  <si>
    <t>Astoria/Unocal (Downtown)</t>
  </si>
  <si>
    <t>103447</t>
  </si>
  <si>
    <t>Big Fork Hydro Plant (MT)</t>
  </si>
  <si>
    <t>103448</t>
  </si>
  <si>
    <t>Bridger Coal Fuel Oil Spill</t>
  </si>
  <si>
    <t>103449</t>
  </si>
  <si>
    <t>Bridger FGD Pond 1 Closure</t>
  </si>
  <si>
    <t>103450</t>
  </si>
  <si>
    <t>Bridger Plant Oil Spills</t>
  </si>
  <si>
    <t>103451</t>
  </si>
  <si>
    <t>Cedar Stream Plant (UT)</t>
  </si>
  <si>
    <t>103452</t>
  </si>
  <si>
    <t>Dave Johnston Oil Spill</t>
  </si>
  <si>
    <t>103453</t>
  </si>
  <si>
    <t>Eugene MGP (50% PCRP)</t>
  </si>
  <si>
    <t>103454</t>
  </si>
  <si>
    <t>Everett MGP (2/3 PCRP)</t>
  </si>
  <si>
    <t>103455</t>
  </si>
  <si>
    <t>Hunter Fuel Oil Spills</t>
  </si>
  <si>
    <t>103456</t>
  </si>
  <si>
    <t>Huntington Ash Landfill</t>
  </si>
  <si>
    <t>103457</t>
  </si>
  <si>
    <t>Idaho Falls Pole Yard</t>
  </si>
  <si>
    <t>103458</t>
  </si>
  <si>
    <t>Jordan Plant Substation</t>
  </si>
  <si>
    <t>103459</t>
  </si>
  <si>
    <t>Little Mountain Gas Plant</t>
  </si>
  <si>
    <t>103460</t>
  </si>
  <si>
    <t>Montague Ranch (CA)</t>
  </si>
  <si>
    <t>103461</t>
  </si>
  <si>
    <t>Naughton FGD Pond Closure</t>
  </si>
  <si>
    <t>103462</t>
  </si>
  <si>
    <t>Ogden MGP</t>
  </si>
  <si>
    <t>103465</t>
  </si>
  <si>
    <t>Tacoma A St. (25% PCRP)</t>
  </si>
  <si>
    <t>103466</t>
  </si>
  <si>
    <t>Portland Harbor Service Ctr</t>
  </si>
  <si>
    <t>103467</t>
  </si>
  <si>
    <t>Wyodak Fuel Oil Spill</t>
  </si>
  <si>
    <t>103585</t>
  </si>
  <si>
    <t>CLINE FALLS-HYDRO</t>
  </si>
  <si>
    <t>103737</t>
  </si>
  <si>
    <t>Geneva Rock Bldg - Hunter Plant</t>
  </si>
  <si>
    <t>103851</t>
  </si>
  <si>
    <t>Alturas Service Center (CA)</t>
  </si>
  <si>
    <t>103852</t>
  </si>
  <si>
    <t>Pendleton Service Center  (OR)</t>
  </si>
  <si>
    <t>103853</t>
  </si>
  <si>
    <t>Sunnyside Service Center (WA)</t>
  </si>
  <si>
    <t>103942</t>
  </si>
  <si>
    <t>D-SM Retail Minor Sites - RMP - 2014</t>
  </si>
  <si>
    <t>103948</t>
  </si>
  <si>
    <t>WASHINGTON NON-DEFERRED COSTS-SPPC PACIF</t>
  </si>
  <si>
    <t>103949</t>
  </si>
  <si>
    <t>WASHINGTON NON-DEFERRED COSTS-SPPC ROCKY</t>
  </si>
  <si>
    <t>103950</t>
  </si>
  <si>
    <t>WASHINGTON NON-DEFERRED COSTS-REMEDIATIO</t>
  </si>
  <si>
    <t>103951</t>
  </si>
  <si>
    <t>103952</t>
  </si>
  <si>
    <t>103955</t>
  </si>
  <si>
    <t>Wash Non-Def Costs - SPPC - RMP - 2014</t>
  </si>
  <si>
    <t>103961</t>
  </si>
  <si>
    <t>D-SM RETAIL MINOR SITES - RMP</t>
  </si>
  <si>
    <t>104072</t>
  </si>
  <si>
    <t>FREEPORT SUBSTATION</t>
  </si>
  <si>
    <t>104108</t>
  </si>
  <si>
    <t>Bors Property  (OR) - 2016</t>
  </si>
  <si>
    <t>104112</t>
  </si>
  <si>
    <t>Carbon Ash Spill  (UT) - 2016</t>
  </si>
  <si>
    <t>104143</t>
  </si>
  <si>
    <t>Hunter Fuel Oil Spills - 2017</t>
  </si>
  <si>
    <t>104144</t>
  </si>
  <si>
    <t>Naughton Oil Spill</t>
  </si>
  <si>
    <t>104175</t>
  </si>
  <si>
    <t>Ririe Substation</t>
  </si>
  <si>
    <t>104197</t>
  </si>
  <si>
    <t>Bridger Plant - FGD Pond 1</t>
  </si>
  <si>
    <t>104198</t>
  </si>
  <si>
    <t>Bridger Plant - FGD Pond 2</t>
  </si>
  <si>
    <t>104199</t>
  </si>
  <si>
    <t>Naughton Plant - FGD Pond 1</t>
  </si>
  <si>
    <t>104200</t>
  </si>
  <si>
    <t>Naughton Plant - FGD Pond 2</t>
  </si>
  <si>
    <t>104201</t>
  </si>
  <si>
    <t>Huntington Plant Ash Landfill</t>
  </si>
  <si>
    <t>104202</t>
  </si>
  <si>
    <t>Dave Johnston Pond 4A &amp; 4B</t>
  </si>
  <si>
    <t>104203</t>
  </si>
  <si>
    <t>Colstrip Pond</t>
  </si>
  <si>
    <t>104204</t>
  </si>
  <si>
    <t>Cholla Ash-Flyash Pond</t>
  </si>
  <si>
    <t>104205</t>
  </si>
  <si>
    <t>Naughton North Ash Pond</t>
  </si>
  <si>
    <t>104206</t>
  </si>
  <si>
    <t>Naughton South Ash Pond</t>
  </si>
  <si>
    <t>104210</t>
  </si>
  <si>
    <t>American Barrel (UT)-WA</t>
  </si>
  <si>
    <t>104211</t>
  </si>
  <si>
    <t>Astoria/Unocal (Downtown)-WA</t>
  </si>
  <si>
    <t>104212</t>
  </si>
  <si>
    <t>ASTORIA YOUNGS BAY CLEANUP-WA</t>
  </si>
  <si>
    <t>104213</t>
  </si>
  <si>
    <t>Big Fork Hydro Plant (MT)-WA</t>
  </si>
  <si>
    <t>104214</t>
  </si>
  <si>
    <t>Bors Property  (OR) - WA</t>
  </si>
  <si>
    <t>104215</t>
  </si>
  <si>
    <t>Bridger Coal Fuel Oil Spill - WA</t>
  </si>
  <si>
    <t>104216</t>
  </si>
  <si>
    <t>Bridger FGD Pond 1 Closure-WA</t>
  </si>
  <si>
    <t>104218</t>
  </si>
  <si>
    <t>Bridger Plant - FGD Pond 1-WA</t>
  </si>
  <si>
    <t>104219</t>
  </si>
  <si>
    <t>Bridger Plant - FGD Pond 2-WA</t>
  </si>
  <si>
    <t>104220</t>
  </si>
  <si>
    <t>Bridger Plant Oil Spills-2018</t>
  </si>
  <si>
    <t>104221</t>
  </si>
  <si>
    <t>Carbon Ash Spill  (UT) - WA</t>
  </si>
  <si>
    <t>104222</t>
  </si>
  <si>
    <t>Cedar Steam - WA</t>
  </si>
  <si>
    <t>104223</t>
  </si>
  <si>
    <t>Colstrip Pond - WA</t>
  </si>
  <si>
    <t>104224</t>
  </si>
  <si>
    <t>Cholla Ash - WA</t>
  </si>
  <si>
    <t>104225</t>
  </si>
  <si>
    <t>DJ Oil Spill - WA</t>
  </si>
  <si>
    <t>104226</t>
  </si>
  <si>
    <t>DJ 4A&amp;4B - WA</t>
  </si>
  <si>
    <t>104227</t>
  </si>
  <si>
    <t>Eugene MGP (50%PCRP) - WA</t>
  </si>
  <si>
    <t>104228</t>
  </si>
  <si>
    <t>Everett MGP (2/3 PCRP) - WA</t>
  </si>
  <si>
    <t>104229</t>
  </si>
  <si>
    <t>Hunter Plant - WA</t>
  </si>
  <si>
    <t>104230</t>
  </si>
  <si>
    <t>Huntington Ash- WA</t>
  </si>
  <si>
    <t>104231</t>
  </si>
  <si>
    <t>Idaho Falls Pole Yard- WA</t>
  </si>
  <si>
    <t>104232</t>
  </si>
  <si>
    <t>Jordan Plant Substation- WA</t>
  </si>
  <si>
    <t>104233</t>
  </si>
  <si>
    <t>Montague Ranch - WA</t>
  </si>
  <si>
    <t>104234</t>
  </si>
  <si>
    <t>Naughton Plant FGDP 1 - WA</t>
  </si>
  <si>
    <t>104235</t>
  </si>
  <si>
    <t>Naughton Plant FGDP 2 - WA</t>
  </si>
  <si>
    <t>104236</t>
  </si>
  <si>
    <t>Naughton Plant FGDP Closure - WA</t>
  </si>
  <si>
    <t>104237</t>
  </si>
  <si>
    <t>Naughton Oil Spill - WA</t>
  </si>
  <si>
    <t>104238</t>
  </si>
  <si>
    <t>Naughton North Ash Pond - WA</t>
  </si>
  <si>
    <t>104239</t>
  </si>
  <si>
    <t>Naughton South Ash Pond - WA</t>
  </si>
  <si>
    <t>104240</t>
  </si>
  <si>
    <t>Ogden MGP - WA</t>
  </si>
  <si>
    <t>104241</t>
  </si>
  <si>
    <t>Olympia - WA</t>
  </si>
  <si>
    <t>104242</t>
  </si>
  <si>
    <t>Portland Harbor Srce Cntrl - WA</t>
  </si>
  <si>
    <t>104244</t>
  </si>
  <si>
    <t>Silver Bell/Telluride - WA</t>
  </si>
  <si>
    <t>104245</t>
  </si>
  <si>
    <t>Tacoma A St. (25% PCRP) - WA</t>
  </si>
  <si>
    <t>104246</t>
  </si>
  <si>
    <t>Utah Metal East - WA</t>
  </si>
  <si>
    <t>104247</t>
  </si>
  <si>
    <t>Wyodak Oil Spill - WA</t>
  </si>
  <si>
    <t>104248</t>
  </si>
  <si>
    <t>Hunter Fuel Oil Spill-WA</t>
  </si>
  <si>
    <t>104268</t>
  </si>
  <si>
    <t>Rocky Mountain - WA</t>
  </si>
  <si>
    <t>104269</t>
  </si>
  <si>
    <t>Pac Power - WA</t>
  </si>
  <si>
    <t>104275</t>
  </si>
  <si>
    <t>Hayden Ash Landfill - WA</t>
  </si>
  <si>
    <t>104296</t>
  </si>
  <si>
    <t>NTO Parking Lot-Asbestos 2018</t>
  </si>
  <si>
    <t>104297</t>
  </si>
  <si>
    <t>NTO Parking Lot Asbestos - WA 2018</t>
  </si>
  <si>
    <t>104394</t>
  </si>
  <si>
    <t>Klamath Falls</t>
  </si>
  <si>
    <t>104395</t>
  </si>
  <si>
    <t>Klamath Falls - WA 2021</t>
  </si>
  <si>
    <t>104399</t>
  </si>
  <si>
    <t>Portland Harbor Service  Insurance</t>
  </si>
  <si>
    <t>104404</t>
  </si>
  <si>
    <t>North Temple Office</t>
  </si>
  <si>
    <t>104405</t>
  </si>
  <si>
    <t>North Temple Office WA</t>
  </si>
  <si>
    <t>104408</t>
  </si>
  <si>
    <t>American Barrel (UT) - 2022</t>
  </si>
  <si>
    <t>104409</t>
  </si>
  <si>
    <t>American Barrel (UT)-WA 2022</t>
  </si>
  <si>
    <t>1823920</t>
  </si>
  <si>
    <t>DSR COSTS AMORTIZED</t>
  </si>
  <si>
    <t>DSR COST AMORT</t>
  </si>
  <si>
    <t>102030</t>
  </si>
  <si>
    <t>ENERGY FINANSWER - WASHINGTON</t>
  </si>
  <si>
    <t>102032</t>
  </si>
  <si>
    <t>INDUSTRIAL FINANSWER - WASHINGTON</t>
  </si>
  <si>
    <t>102033</t>
  </si>
  <si>
    <t>LOW INCOME - WASHINGTON</t>
  </si>
  <si>
    <t>102034</t>
  </si>
  <si>
    <t>SELF AUDIT - WASHINGTON</t>
  </si>
  <si>
    <t>102036</t>
  </si>
  <si>
    <t>COMMERCIAL SMALL RETROFIT - WASHINGTON</t>
  </si>
  <si>
    <t>102037</t>
  </si>
  <si>
    <t>INDUSTRIAL SMALL RETROFIT - WASHINGTON</t>
  </si>
  <si>
    <t>102038</t>
  </si>
  <si>
    <t>COMMERCIAL RETROFIT LIGHTING - WASHINGTO</t>
  </si>
  <si>
    <t>102039</t>
  </si>
  <si>
    <t>INDUSTRIAL RETROFIT LIGHTING-WA</t>
  </si>
  <si>
    <t>102040</t>
  </si>
  <si>
    <t>NEEA - WASHINGTON</t>
  </si>
  <si>
    <t>102043</t>
  </si>
  <si>
    <t>ENERGY CODE DEVELOPMENT</t>
  </si>
  <si>
    <t>102044</t>
  </si>
  <si>
    <t>HOME COMFORT - WASHINGTON</t>
  </si>
  <si>
    <t>102045</t>
  </si>
  <si>
    <t>WEATHERIZATION - WASHINGTON</t>
  </si>
  <si>
    <t>102046</t>
  </si>
  <si>
    <t>HASSLE FREE</t>
  </si>
  <si>
    <t>102072</t>
  </si>
  <si>
    <t>COMPACT FLUORESCENT LAMPS - WASHINGTON</t>
  </si>
  <si>
    <t>102127</t>
  </si>
  <si>
    <t>RESIDENTIAL PROGRAM RESEARCH - WA</t>
  </si>
  <si>
    <t>102128</t>
  </si>
  <si>
    <t>WA REVENUE RECOVERY - SBC OFFSET</t>
  </si>
  <si>
    <t>102131</t>
  </si>
  <si>
    <t>ENERGY FINANSWER - UTAH 2001/2002</t>
  </si>
  <si>
    <t>102133</t>
  </si>
  <si>
    <t>INDUSTRIAL FINANSWER - UTAH 2001/2002</t>
  </si>
  <si>
    <t>102138</t>
  </si>
  <si>
    <t>COMPACT FLUOR LAMPS (CFL) UT 2001/2002</t>
  </si>
  <si>
    <t>102147</t>
  </si>
  <si>
    <t>COMMERCIAL SMALL RETROFIT - UT 2001/2002</t>
  </si>
  <si>
    <t>102148</t>
  </si>
  <si>
    <t>INDUSTRIAL SMALL RETROFIT - UT 2002</t>
  </si>
  <si>
    <t>102149</t>
  </si>
  <si>
    <t>COMMERCIAL RETROFIT LIGHTING - UT 2001/2</t>
  </si>
  <si>
    <t>102150</t>
  </si>
  <si>
    <t>INDUSTRIAL RETROFIT LIGHTING - UT 2001/2</t>
  </si>
  <si>
    <t>102185</t>
  </si>
  <si>
    <t>WEB AUDIT PILOT - WA</t>
  </si>
  <si>
    <t>102186</t>
  </si>
  <si>
    <t>APPLIANCE REBATE - WA</t>
  </si>
  <si>
    <t>102195</t>
  </si>
  <si>
    <t>INDUSTRIAL RETROFIT LIGHTING - UT 2002</t>
  </si>
  <si>
    <t>102196</t>
  </si>
  <si>
    <t>POWER FORWARD UT 2002</t>
  </si>
  <si>
    <t>102205</t>
  </si>
  <si>
    <t>A/C LOAD CONTROL PGM - RESIDENTIAL - UT</t>
  </si>
  <si>
    <t>102206</t>
  </si>
  <si>
    <t>SCHOOL ENERGY EDUCATION - WA</t>
  </si>
  <si>
    <t>102209</t>
  </si>
  <si>
    <t>AIR CONDITIONING - UT 2002</t>
  </si>
  <si>
    <t>102213</t>
  </si>
  <si>
    <t>REFRIGERATOR RECYCLING PGM - UT 2003</t>
  </si>
  <si>
    <t>102214</t>
  </si>
  <si>
    <t>REFRIGERATOR RECYCLING PGM - WA</t>
  </si>
  <si>
    <t>102223</t>
  </si>
  <si>
    <t>A/C LOAD CONTROL - RESIDENTIAL UT 2003</t>
  </si>
  <si>
    <t>102225</t>
  </si>
  <si>
    <t>AIR CONDITIONING - UT 2003</t>
  </si>
  <si>
    <t>102226</t>
  </si>
  <si>
    <t>COMMERCIAL RETROFIT LIGHTING - UT 2003</t>
  </si>
  <si>
    <t>102227</t>
  </si>
  <si>
    <t>COMMERCIAL SMALL RETROFIT - UT 2003</t>
  </si>
  <si>
    <t>102228</t>
  </si>
  <si>
    <t>COMPACT FLOURESCENT LAMP (CFL) - UT 2002</t>
  </si>
  <si>
    <t>102229</t>
  </si>
  <si>
    <t>ENERGY FINANSWER - UT 2003</t>
  </si>
  <si>
    <t>102230</t>
  </si>
  <si>
    <t>INDUSTRIAL FINANSWER - UT 2003</t>
  </si>
  <si>
    <t>102231</t>
  </si>
  <si>
    <t>INDUSTRIAL RETROFIT LIGHTING - UT 2003</t>
  </si>
  <si>
    <t>102232</t>
  </si>
  <si>
    <t>INDUSTRIAL SMALL RETROFIT - UTAH - 2003</t>
  </si>
  <si>
    <t>102233</t>
  </si>
  <si>
    <t>POWER FORWARD - UT 2003</t>
  </si>
  <si>
    <t>102245</t>
  </si>
  <si>
    <t>CA REVENUE RECOVERY - BALANCING ACCT</t>
  </si>
  <si>
    <t>102327</t>
  </si>
  <si>
    <t>COMMERCIAL SELF-DIRECT UT 2003</t>
  </si>
  <si>
    <t>102328</t>
  </si>
  <si>
    <t>INDUSTRIAL SELF-DIRECT UT 2003</t>
  </si>
  <si>
    <t>102336</t>
  </si>
  <si>
    <t>LOW INCOME - UTAH - 2004</t>
  </si>
  <si>
    <t>102337</t>
  </si>
  <si>
    <t>REFRIGERATOR RECYCLING PGM - UT 2004</t>
  </si>
  <si>
    <t>102338</t>
  </si>
  <si>
    <t>AC LOAD CONTROL - RESIDENTIAL UT 2004</t>
  </si>
  <si>
    <t>102339</t>
  </si>
  <si>
    <t>AIR CONDITIONING - UT 2004</t>
  </si>
  <si>
    <t>102340</t>
  </si>
  <si>
    <t>COMMERCIAL RETROFIT LIGHTING - UT 2004</t>
  </si>
  <si>
    <t>102341</t>
  </si>
  <si>
    <t>COMMERCIAL SMALL RETROFIT - UT 2004</t>
  </si>
  <si>
    <t>102342</t>
  </si>
  <si>
    <t>COMPACT FLOURESCENT LAMPS (CFL) UT 2004</t>
  </si>
  <si>
    <t>102343</t>
  </si>
  <si>
    <t>ENERGY FINANSWER - UT 2004</t>
  </si>
  <si>
    <t>102344</t>
  </si>
  <si>
    <t>INDUSTRIAL FINANSWER - UT 2004</t>
  </si>
  <si>
    <t>102345</t>
  </si>
  <si>
    <t>INDUSTRIAL RETROFIT - UT 2004</t>
  </si>
  <si>
    <t>102346</t>
  </si>
  <si>
    <t>INDUSTRIAL SMALL RETROFIT - UT 2004</t>
  </si>
  <si>
    <t>102347</t>
  </si>
  <si>
    <t>POWER FORWARD - UT 2004</t>
  </si>
  <si>
    <t>102348</t>
  </si>
  <si>
    <t>COMMERCIAL SELF-DIRECT - UT 2004</t>
  </si>
  <si>
    <t>102349</t>
  </si>
  <si>
    <t>INDUSTRIAL SELF-DIRECT - UT 2004</t>
  </si>
  <si>
    <t>102443</t>
  </si>
  <si>
    <t>ESIDENTIAL NEW CONSTRUCTION - WASHINGTON</t>
  </si>
  <si>
    <t>102444</t>
  </si>
  <si>
    <t>RESIDENTIAL NEW CONSTRUCTION - UTAH - 20</t>
  </si>
  <si>
    <t>102458</t>
  </si>
  <si>
    <t>COMMERCIAL FINANSWER EXPRESS - WASHINGTO</t>
  </si>
  <si>
    <t>102459</t>
  </si>
  <si>
    <t>INDUSTRIAL FINANSWER EXPRESS - WASHINGTO</t>
  </si>
  <si>
    <t>102460</t>
  </si>
  <si>
    <t>COMMERCIAL FINANSWER EXPRESS - UTAH - 20</t>
  </si>
  <si>
    <t>102461</t>
  </si>
  <si>
    <t>INDUSTRIAL FINANSWER EXPRESS - UTAH - 20</t>
  </si>
  <si>
    <t>102462</t>
  </si>
  <si>
    <t>UTAH REVENUE RECOVERY - SBC OFFSET</t>
  </si>
  <si>
    <t>102502</t>
  </si>
  <si>
    <t>RETROFIT COMMISSIONING PROGRAM  - UTAH</t>
  </si>
  <si>
    <t>102503</t>
  </si>
  <si>
    <t>C&amp;I LIGHTING LOAD CONTROL  - UTAH - 2004</t>
  </si>
  <si>
    <t>102532</t>
  </si>
  <si>
    <t>LOW INCOME - UTAH - 2005</t>
  </si>
  <si>
    <t>102533</t>
  </si>
  <si>
    <t>REFRIGERATOR RECYCLING PGM- UTAH - 2005</t>
  </si>
  <si>
    <t>102534</t>
  </si>
  <si>
    <t>A/C LOAD CONTROL - RESIDENTIAL/UTAH - 20</t>
  </si>
  <si>
    <t>102535</t>
  </si>
  <si>
    <t>AIR CONDITIONING - UTAH - 2005</t>
  </si>
  <si>
    <t>102536</t>
  </si>
  <si>
    <t>COMMERCIAL RETROFIT LIGHTING - UTAH - 20</t>
  </si>
  <si>
    <t>102537</t>
  </si>
  <si>
    <t>COMMERCIAL SMALL RETROFIT - UTAH - 2005</t>
  </si>
  <si>
    <t>102539</t>
  </si>
  <si>
    <t>ENERGY FINANSWER - UTAH - 2005</t>
  </si>
  <si>
    <t>102540</t>
  </si>
  <si>
    <t>INDUSTRIAL FINANSWER - UTAH - 2005</t>
  </si>
  <si>
    <t>102541</t>
  </si>
  <si>
    <t>INDUSTRIAL RETROFIT LIGHTING - UTAH - 20</t>
  </si>
  <si>
    <t>102543</t>
  </si>
  <si>
    <t>POWER FORWARD - UTAH - 2005</t>
  </si>
  <si>
    <t>102544</t>
  </si>
  <si>
    <t>COMMERCIAL SELF-DIRECT - UTAH - 2005</t>
  </si>
  <si>
    <t>102545</t>
  </si>
  <si>
    <t>INDUSTRIAL SELF-DIRECT - UTAH - 2005</t>
  </si>
  <si>
    <t>102546</t>
  </si>
  <si>
    <t>102547</t>
  </si>
  <si>
    <t>102548</t>
  </si>
  <si>
    <t>102549</t>
  </si>
  <si>
    <t>RETROFIT COMMISSIONING PROGRAM  - UTAH -</t>
  </si>
  <si>
    <t>102550</t>
  </si>
  <si>
    <t>C&amp;I LIGHTING LOAD CONTROL  - UTAH - 2005</t>
  </si>
  <si>
    <t>102556</t>
  </si>
  <si>
    <t>1823920/102556</t>
  </si>
  <si>
    <t>102562</t>
  </si>
  <si>
    <t>APPLIANCE INCENTIVE - WASHWISE - WASHING</t>
  </si>
  <si>
    <t>102586</t>
  </si>
  <si>
    <t>IRRIGATION LOAD CONTROL - UTAH - 2005</t>
  </si>
  <si>
    <t>102706</t>
  </si>
  <si>
    <t>LOW INCOME-UTAH-2006</t>
  </si>
  <si>
    <t>102707</t>
  </si>
  <si>
    <t>REFRIGERATOR RECYCLING PGM-UTAH-2006</t>
  </si>
  <si>
    <t>102708</t>
  </si>
  <si>
    <t>A/C LOAD CONTROL-RESIDENTIAL/UTAH-2006</t>
  </si>
  <si>
    <t>102709</t>
  </si>
  <si>
    <t>AIR CONDITIONING-UTAH-2006</t>
  </si>
  <si>
    <t>102712</t>
  </si>
  <si>
    <t>ENERGY FINANSWER-UTAH-2006</t>
  </si>
  <si>
    <t>102713</t>
  </si>
  <si>
    <t>INDUSTRIAL FINANSWER-WYOMING-UTAH-2006</t>
  </si>
  <si>
    <t>102717</t>
  </si>
  <si>
    <t>COMMERCIAL SELF-DIRECT-UTAH-2006</t>
  </si>
  <si>
    <t>102718</t>
  </si>
  <si>
    <t>INDUSTRIAL SELF-DIRECT-UTAH-2006</t>
  </si>
  <si>
    <t>102719</t>
  </si>
  <si>
    <t>RESIDENTIAL NEW CONSTRUCTION-UTAH-2006</t>
  </si>
  <si>
    <t>102720</t>
  </si>
  <si>
    <t>COMMERCIAL FINANSWER EXPRESS-UTAH-2006</t>
  </si>
  <si>
    <t>102721</t>
  </si>
  <si>
    <t>INDUSTRIAL FINANSWER-UTAH-2006</t>
  </si>
  <si>
    <t>102722</t>
  </si>
  <si>
    <t>RETROFIT COMMISSIONING PROGRAM -UTAH-200</t>
  </si>
  <si>
    <t>102723</t>
  </si>
  <si>
    <t>C&amp;I LIGHTING LOAD CONTROL -UTAH-2006</t>
  </si>
  <si>
    <t>102725</t>
  </si>
  <si>
    <t>CALIFORNIA DSM EXPENSE-2006</t>
  </si>
  <si>
    <t>102759</t>
  </si>
  <si>
    <t>HOME ENERGY EFF INCENTIVE PROG-UTAH-2006</t>
  </si>
  <si>
    <t>102760</t>
  </si>
  <si>
    <t>HOME ENERGY EFF INCENTIVE PROG-WA-2006</t>
  </si>
  <si>
    <t>102767</t>
  </si>
  <si>
    <t>DSR COSTS BEING AMORTIZED</t>
  </si>
  <si>
    <t>102796</t>
  </si>
  <si>
    <t>102819</t>
  </si>
  <si>
    <t>102820</t>
  </si>
  <si>
    <t>AIR CONDITIONING - UTAH - 2007</t>
  </si>
  <si>
    <t>102821</t>
  </si>
  <si>
    <t>ENERGY FINANSWER - UTAH - 2007</t>
  </si>
  <si>
    <t>102822</t>
  </si>
  <si>
    <t>INDUSTRIAL FINANSWER - UTAH - 2007</t>
  </si>
  <si>
    <t>102823</t>
  </si>
  <si>
    <t>LOW INCOME - UTAH - 2007</t>
  </si>
  <si>
    <t>102824</t>
  </si>
  <si>
    <t>POWER FORWARD - UTAH - 2007</t>
  </si>
  <si>
    <t>102825</t>
  </si>
  <si>
    <t>REFRIGERATOR RECYCLING PGM- UTAH - 2007</t>
  </si>
  <si>
    <t>102826</t>
  </si>
  <si>
    <t>COMMERCIAL SELF-DIRECT - UTAH - 2007</t>
  </si>
  <si>
    <t>102827</t>
  </si>
  <si>
    <t>INDUSTRIAL SELF-DIRECT - UTAH - 2007</t>
  </si>
  <si>
    <t>102828</t>
  </si>
  <si>
    <t>102829</t>
  </si>
  <si>
    <t>102830</t>
  </si>
  <si>
    <t>102831</t>
  </si>
  <si>
    <t>RETROFIT COMMISSIONING PROGRAM - UTAH -</t>
  </si>
  <si>
    <t>102833</t>
  </si>
  <si>
    <t>IRRIGATION LOAD CONTROL  - UTAH - 2007</t>
  </si>
  <si>
    <t>102834</t>
  </si>
  <si>
    <t>HOME ENERGY EFF INCENTIVE PROG - UT 2007</t>
  </si>
  <si>
    <t>102883</t>
  </si>
  <si>
    <t>CALIFORNIA DSM EXPENSE - 2008</t>
  </si>
  <si>
    <t>102906</t>
  </si>
  <si>
    <t>AC LOAD CONTROL - RESIDENTIAL - UTAH 200</t>
  </si>
  <si>
    <t>102907</t>
  </si>
  <si>
    <t>AIR CONDITIONING - UTAH 2008</t>
  </si>
  <si>
    <t>102908</t>
  </si>
  <si>
    <t>ENERGY FINANSWER - UTAH - 2008</t>
  </si>
  <si>
    <t>102909</t>
  </si>
  <si>
    <t>INDUSTRIAL FINANSWER - UTAH - 2008</t>
  </si>
  <si>
    <t>LOW INCOME - UTAH 2008</t>
  </si>
  <si>
    <t>102911</t>
  </si>
  <si>
    <t>POWER FORWARD - UTAH - 2008</t>
  </si>
  <si>
    <t>102912</t>
  </si>
  <si>
    <t>REFRIGERATOR RECYCLING - UTAH - 2008</t>
  </si>
  <si>
    <t>102913</t>
  </si>
  <si>
    <t>COMMERCIAL SELF DIRECT - UTAH - 2008</t>
  </si>
  <si>
    <t>102914</t>
  </si>
  <si>
    <t>INDUSTRIAL SELF DIRECT - UTAH - 2008</t>
  </si>
  <si>
    <t>102915</t>
  </si>
  <si>
    <t>RESIDENTIAL NEW CONSTRUCTION - UTAH 2008</t>
  </si>
  <si>
    <t>102916</t>
  </si>
  <si>
    <t>COMMERCIAL FINANSWER EXPRESS - UTAH 2008</t>
  </si>
  <si>
    <t>102917</t>
  </si>
  <si>
    <t>INDUSTRIAL FINANSWER EXPRESS - UTAH 2008</t>
  </si>
  <si>
    <t>102918</t>
  </si>
  <si>
    <t>102919</t>
  </si>
  <si>
    <t>C&amp;I LIGHTING LOAD CONTROL  - UTAH - 2008</t>
  </si>
  <si>
    <t>102920</t>
  </si>
  <si>
    <t>IRRIGATION LOAD CONTROL - UTAH</t>
  </si>
  <si>
    <t>102921</t>
  </si>
  <si>
    <t>HOME ENERGY EFF INCENTIVE PROGRAM - UTAH</t>
  </si>
  <si>
    <t>102964</t>
  </si>
  <si>
    <t>CALIFORNIA DSM EXPENSE - 2009</t>
  </si>
  <si>
    <t>102976</t>
  </si>
  <si>
    <t>102977</t>
  </si>
  <si>
    <t>AIR CONDITIONING - UTAH - 2009</t>
  </si>
  <si>
    <t>102978</t>
  </si>
  <si>
    <t>ENERGY FINANSWER - UTAH - 2009</t>
  </si>
  <si>
    <t>102979</t>
  </si>
  <si>
    <t>INDUSTRIAL FINANSWER - UTAH - 2009</t>
  </si>
  <si>
    <t>102980</t>
  </si>
  <si>
    <t>LOW INCOME - UTAH - 2009</t>
  </si>
  <si>
    <t>102981</t>
  </si>
  <si>
    <t>POWER FORWARD - UTAH - 2009</t>
  </si>
  <si>
    <t>102982</t>
  </si>
  <si>
    <t>REFRIGERATOR RECYCLING PGM- UTAH - 2009</t>
  </si>
  <si>
    <t>102983</t>
  </si>
  <si>
    <t>COMMERCIAL SELF-DIRECT - UTAH - 2009</t>
  </si>
  <si>
    <t>102984</t>
  </si>
  <si>
    <t>INDUSTRIAL SELF-DIRECT - UTAH - 2009</t>
  </si>
  <si>
    <t>102985</t>
  </si>
  <si>
    <t>102986</t>
  </si>
  <si>
    <t>102987</t>
  </si>
  <si>
    <t>102988</t>
  </si>
  <si>
    <t>102990</t>
  </si>
  <si>
    <t>IRRIGATION LOAD CONTROL  - UTAH - 2009</t>
  </si>
  <si>
    <t>102991</t>
  </si>
  <si>
    <t>HOME ENERGY EFF INCENTIVE PROG - UT 2009</t>
  </si>
  <si>
    <t>102992</t>
  </si>
  <si>
    <t>ENERGY FINANSWER - WYOMING PPL - 2009</t>
  </si>
  <si>
    <t>102993</t>
  </si>
  <si>
    <t>INDUSTRIAL FINANSWER-WYOMING - PPL 2009</t>
  </si>
  <si>
    <t>102995</t>
  </si>
  <si>
    <t>REFRIGERATOR RECYCLING - PPL WYOMING - 2</t>
  </si>
  <si>
    <t>102996</t>
  </si>
  <si>
    <t>HOME ENERGY EFF INCENTIVE PRO - PPL WYOM</t>
  </si>
  <si>
    <t>102997</t>
  </si>
  <si>
    <t>LOW-INCOME WEATHERIZATION - WYOMING PPL</t>
  </si>
  <si>
    <t>102998</t>
  </si>
  <si>
    <t>COMMERCIAL FINANSWER EXPRESS - WY - 2009</t>
  </si>
  <si>
    <t>102999</t>
  </si>
  <si>
    <t>INDUSTRIAL FINANSWER EXPRESS - WY - 2009</t>
  </si>
  <si>
    <t>103000</t>
  </si>
  <si>
    <t>SELF DIRECT - COMMERCIAL - WY - 2009</t>
  </si>
  <si>
    <t>103001</t>
  </si>
  <si>
    <t>SELF DIRECT - INDUSTRIAL  - WY - 2009</t>
  </si>
  <si>
    <t>103003</t>
  </si>
  <si>
    <t>MAIN CHECK DISB-WIRES/ACH IN CLEAR ACCT</t>
  </si>
  <si>
    <t>103004</t>
  </si>
  <si>
    <t>MAIN CHECK DISB-WIRES/ACH OUT CLEAR ACCT</t>
  </si>
  <si>
    <t>103005</t>
  </si>
  <si>
    <t>COMMERCIAL FINANSWER EXPRESS Cat 2- WY -</t>
  </si>
  <si>
    <t>103006</t>
  </si>
  <si>
    <t>INDUSTRIAL FINANSWER EXPRESS Cat 2- WY -</t>
  </si>
  <si>
    <t>103007</t>
  </si>
  <si>
    <t>ENERGY FINANSWER Cat 2 - WY 2009</t>
  </si>
  <si>
    <t>103008</t>
  </si>
  <si>
    <t>INDUSTRIAL FINANSWER Cat 2 -WY 2009</t>
  </si>
  <si>
    <t>103012</t>
  </si>
  <si>
    <t>WYOMING REV RECOVERY - SBC OFFSET CAT 1</t>
  </si>
  <si>
    <t>103013</t>
  </si>
  <si>
    <t>WYOMING REV RECOVERY - SBC OFFSET CAT 2</t>
  </si>
  <si>
    <t>103014</t>
  </si>
  <si>
    <t>WYOMING REV RECOVERY - SBC OFFSET CAT 3</t>
  </si>
  <si>
    <t>103031</t>
  </si>
  <si>
    <t>OUTREACH and COMMUNICATIONS - UT 2009</t>
  </si>
  <si>
    <t>103059</t>
  </si>
  <si>
    <t>CALIFORNIA DSM EXPENSE - 2010</t>
  </si>
  <si>
    <t>103071</t>
  </si>
  <si>
    <t>103072</t>
  </si>
  <si>
    <t>AIR CONDITIONING - UTAH - 2010</t>
  </si>
  <si>
    <t>103073</t>
  </si>
  <si>
    <t>ENERGY FINANSWER - UTAH - 2010</t>
  </si>
  <si>
    <t>103074</t>
  </si>
  <si>
    <t>INDUSTRIAL FINANSWER - UTAH - 2010</t>
  </si>
  <si>
    <t>103075</t>
  </si>
  <si>
    <t>LOW INCOME - UTAH - 2010</t>
  </si>
  <si>
    <t>103076</t>
  </si>
  <si>
    <t>POWER FORWARD - UTAH # 2010</t>
  </si>
  <si>
    <t>103077</t>
  </si>
  <si>
    <t>REFRIGERATOR RECYCLING PGM- UTAH - 2010</t>
  </si>
  <si>
    <t>103078</t>
  </si>
  <si>
    <t>COMMERCIAL SELF-DIRECT - UTAH - 2010</t>
  </si>
  <si>
    <t>103079</t>
  </si>
  <si>
    <t>INDUSTRIAL SELF-DIRECT - UTAH - 2010</t>
  </si>
  <si>
    <t>103080</t>
  </si>
  <si>
    <t>103081</t>
  </si>
  <si>
    <t>103082</t>
  </si>
  <si>
    <t>103083</t>
  </si>
  <si>
    <t>103085</t>
  </si>
  <si>
    <t>IRRIGATION LOAD CONTROL  - UTAH - 2010</t>
  </si>
  <si>
    <t>103086</t>
  </si>
  <si>
    <t>HOME ENERGY EFF INCENTIVE PROG - UT 2010</t>
  </si>
  <si>
    <t>103087</t>
  </si>
  <si>
    <t>OUTREACH and COMMUNICATIONS - UT 2010</t>
  </si>
  <si>
    <t>103089</t>
  </si>
  <si>
    <t>ENERGY FINANSWER-WY-2010 CAT3</t>
  </si>
  <si>
    <t>103090</t>
  </si>
  <si>
    <t>INDUSTRIAL FINANSWER-WY-2010 CAT3</t>
  </si>
  <si>
    <t>103092</t>
  </si>
  <si>
    <t>REFRIGERATOR RECYCLING-WY -2010 CAT1</t>
  </si>
  <si>
    <t>103093</t>
  </si>
  <si>
    <t>HOME ENERGY EFF INCENT PROG Y-2010 CAT1</t>
  </si>
  <si>
    <t>103094</t>
  </si>
  <si>
    <t>LOW-INCOME WEATHERZTN - WY 2010 CAT1</t>
  </si>
  <si>
    <t>103095</t>
  </si>
  <si>
    <t>COMMERCIAL FINANSWER EXP WY-2010 CAT3</t>
  </si>
  <si>
    <t>103096</t>
  </si>
  <si>
    <t>INDUSTRIAL FINANSWER EXP WY-2010 CAT3</t>
  </si>
  <si>
    <t>103097</t>
  </si>
  <si>
    <t>SELF DIRECT - COMMERCIAL -WY-2010 CAT3</t>
  </si>
  <si>
    <t>103098</t>
  </si>
  <si>
    <t>SELF DIRECT -INDUSTRIAL -WY-2010 CAT3</t>
  </si>
  <si>
    <t>103099</t>
  </si>
  <si>
    <t>COMMERCIAL FINANSWER EXP- WY-2010 CAT2</t>
  </si>
  <si>
    <t>103100</t>
  </si>
  <si>
    <t>INDUSTRIAL FINAN EXPRESS WY-2010 CAT2</t>
  </si>
  <si>
    <t>103101</t>
  </si>
  <si>
    <t>ENERGY FINANSWER -WY 2010 CAT2</t>
  </si>
  <si>
    <t>103102</t>
  </si>
  <si>
    <t>INDUSTRIAL FINANSWER -WY 2010 CAT2</t>
  </si>
  <si>
    <t>103103</t>
  </si>
  <si>
    <t>Check Disb-Wires/ACH In Clearing - BT</t>
  </si>
  <si>
    <t>103104</t>
  </si>
  <si>
    <t>Check Disb-Wires/ACH Out Clearing - BT</t>
  </si>
  <si>
    <t>103137</t>
  </si>
  <si>
    <t>Company Initiatives DEI Study- Washingto</t>
  </si>
  <si>
    <t>103163</t>
  </si>
  <si>
    <t>Commercial Direct Install - Utah - 2011</t>
  </si>
  <si>
    <t>103164</t>
  </si>
  <si>
    <t>Commercial Curtailment - Utah - 2011</t>
  </si>
  <si>
    <t>103165</t>
  </si>
  <si>
    <t>Commercial Direct Install - Washington</t>
  </si>
  <si>
    <t>103168</t>
  </si>
  <si>
    <t>CALIFORNIA DSM EXPENSE - 2011</t>
  </si>
  <si>
    <t>103169</t>
  </si>
  <si>
    <t>Commercial Curtailment - Oregon</t>
  </si>
  <si>
    <t>103181</t>
  </si>
  <si>
    <t>103182</t>
  </si>
  <si>
    <t>AIR CONDITIONING - UTAH - 2011</t>
  </si>
  <si>
    <t>103183</t>
  </si>
  <si>
    <t>ENERGY FINANSWER - UTAH - 2011</t>
  </si>
  <si>
    <t>103184</t>
  </si>
  <si>
    <t>INDUSTRIAL FINANSWER - UTAH - 2011</t>
  </si>
  <si>
    <t>103185</t>
  </si>
  <si>
    <t>LOW INCOME - UTAH - 2011</t>
  </si>
  <si>
    <t>103186</t>
  </si>
  <si>
    <t>Power Forward - Utah - 2011</t>
  </si>
  <si>
    <t>103187</t>
  </si>
  <si>
    <t>REFRIGERATOR RECYCLING PGM- UTAH - 2011</t>
  </si>
  <si>
    <t>103188</t>
  </si>
  <si>
    <t>COMMERCIAL SELF-DIRECT - UTAH - 2011</t>
  </si>
  <si>
    <t>103189</t>
  </si>
  <si>
    <t>INDUSTRIAL SELF-DIRECT - UTAH - 2011</t>
  </si>
  <si>
    <t>103190</t>
  </si>
  <si>
    <t>103191</t>
  </si>
  <si>
    <t>103192</t>
  </si>
  <si>
    <t>103193</t>
  </si>
  <si>
    <t>103195</t>
  </si>
  <si>
    <t>IRRIGATION LOAD CONTROL  - UTAH - 2011</t>
  </si>
  <si>
    <t>103196</t>
  </si>
  <si>
    <t>HOME ENERGY EFF INCENTIVE PROG - UT 2011</t>
  </si>
  <si>
    <t>103197</t>
  </si>
  <si>
    <t>OUTREACH and COMMUNICATIONS - UT 2011</t>
  </si>
  <si>
    <t>103199</t>
  </si>
  <si>
    <t>ENERGY FINANSWER-WY-2011 CAT3</t>
  </si>
  <si>
    <t>103200</t>
  </si>
  <si>
    <t>INDUSTRIAL FINANSWER-WY-2011 CAT3</t>
  </si>
  <si>
    <t>103202</t>
  </si>
  <si>
    <t>REFRIGERATOR RECYCLING-WY -2011 CAT1</t>
  </si>
  <si>
    <t>103203</t>
  </si>
  <si>
    <t>HOME ENERGY EFF INCENT PROG Y-2011 CAT1</t>
  </si>
  <si>
    <t>103204</t>
  </si>
  <si>
    <t>Low-Income Weatherztn - Wy 2011 CAT1</t>
  </si>
  <si>
    <t>103205</t>
  </si>
  <si>
    <t>COMMERCIAL FINANSWER EXP WY-2011 CAT3</t>
  </si>
  <si>
    <t>103206</t>
  </si>
  <si>
    <t>INDUSTRIAL FINANSWER EXP WY-2011 CAT3</t>
  </si>
  <si>
    <t>103207</t>
  </si>
  <si>
    <t>Self Direct - Commercial -Wy-2011 CAT3</t>
  </si>
  <si>
    <t>103208</t>
  </si>
  <si>
    <t>Self Direct -Industrial -Wy-2011 CAT3</t>
  </si>
  <si>
    <t>103209</t>
  </si>
  <si>
    <t>COMMERCIAL FINANSWER EXP- WY-2011 CAT2</t>
  </si>
  <si>
    <t>103210</t>
  </si>
  <si>
    <t>INDUSTRIAL FINAN EXPRESS WY-2011 CAT2</t>
  </si>
  <si>
    <t>103211</t>
  </si>
  <si>
    <t>ENERGY FINANSWER -WY 2011 CAT2</t>
  </si>
  <si>
    <t>103212</t>
  </si>
  <si>
    <t>INDUSTRIAL FINANSWER -WY 2011 CAT2</t>
  </si>
  <si>
    <t>103213</t>
  </si>
  <si>
    <t>Self Direct - Commercial Wy-2011 CAT2</t>
  </si>
  <si>
    <t>103214</t>
  </si>
  <si>
    <t>Self Direct- Industrial Wy-2011 CAT2</t>
  </si>
  <si>
    <t>103277</t>
  </si>
  <si>
    <t>OUTREACH &amp; COMM- WATTSMART - EVALUATION</t>
  </si>
  <si>
    <t>103280</t>
  </si>
  <si>
    <t>COMPANY INITIATIVES -PRODUCTION EFFICIEN</t>
  </si>
  <si>
    <t>103291</t>
  </si>
  <si>
    <t>Portfolio -WY-2011   Cat4</t>
  </si>
  <si>
    <t>103292</t>
  </si>
  <si>
    <t>Portfolio - Washington</t>
  </si>
  <si>
    <t>103293</t>
  </si>
  <si>
    <t>Energy Storage Demonstration Project -UT</t>
  </si>
  <si>
    <t>103295</t>
  </si>
  <si>
    <t>Outreach And Communication-WY-2011</t>
  </si>
  <si>
    <t>103299</t>
  </si>
  <si>
    <t>AGRICULURAL FINANSWER EXPRESS - UTAH - 2</t>
  </si>
  <si>
    <t>103300</t>
  </si>
  <si>
    <t>AGRICULTURAL FINANSWER EXPRESS - WASHING</t>
  </si>
  <si>
    <t>103301</t>
  </si>
  <si>
    <t>PORTFOLIO -WY-2011   CAT2</t>
  </si>
  <si>
    <t>103302</t>
  </si>
  <si>
    <t>PORTFOLIO -WY-2011   CAT3</t>
  </si>
  <si>
    <t>103308</t>
  </si>
  <si>
    <t>Home Energy Reporting -OPower -WA 2011</t>
  </si>
  <si>
    <t>103311</t>
  </si>
  <si>
    <t>CALIFORNIA DSM EXPENSE - 2012</t>
  </si>
  <si>
    <t>103324</t>
  </si>
  <si>
    <t>103325</t>
  </si>
  <si>
    <t>AIR CONDITIONING - UTAH - 2012</t>
  </si>
  <si>
    <t>103326</t>
  </si>
  <si>
    <t>ENERGY FINANSWER - UTAH - 2012</t>
  </si>
  <si>
    <t>103327</t>
  </si>
  <si>
    <t>INDUSTRIAL FINANSWER - UTAH - 2012</t>
  </si>
  <si>
    <t>103328</t>
  </si>
  <si>
    <t>LOW INCOME - UTAH - 2012</t>
  </si>
  <si>
    <t>103330</t>
  </si>
  <si>
    <t>REFRIGERATOR RECYCLING PGM- UTAH - 2012</t>
  </si>
  <si>
    <t>103331</t>
  </si>
  <si>
    <t>COMMERCIAL SELF-DIRECT - UTAH - 2012</t>
  </si>
  <si>
    <t>103332</t>
  </si>
  <si>
    <t>INDUSTRIAL SELF-DIRECT - UTAH - 2012</t>
  </si>
  <si>
    <t>103333</t>
  </si>
  <si>
    <t>103334</t>
  </si>
  <si>
    <t>103335</t>
  </si>
  <si>
    <t>103336</t>
  </si>
  <si>
    <t>103337</t>
  </si>
  <si>
    <t>IRRIGATION LOAD CONTROL  - UTAH - 2012</t>
  </si>
  <si>
    <t>103338</t>
  </si>
  <si>
    <t>HOME ENERGY EFF INCENTIVE PROG - UT 2012</t>
  </si>
  <si>
    <t>103339</t>
  </si>
  <si>
    <t>OUTREACH and COMMUNICATIONS - UT 2012</t>
  </si>
  <si>
    <t>103340</t>
  </si>
  <si>
    <t>COMMERCIAL DIRECT INSTALL - UT 2012</t>
  </si>
  <si>
    <t>103341</t>
  </si>
  <si>
    <t>COMMERCIAL CURTAILMENT - UT 2012</t>
  </si>
  <si>
    <t>103342</t>
  </si>
  <si>
    <t>ENERGY STORAGE DEMO PROJECT - UT 2012</t>
  </si>
  <si>
    <t>103343</t>
  </si>
  <si>
    <t>AGRICULTURAL FINANSWER EXPRESS - UTAH -</t>
  </si>
  <si>
    <t>103346</t>
  </si>
  <si>
    <t>HOME ENERGY REPORTING - UT 2012</t>
  </si>
  <si>
    <t>103347</t>
  </si>
  <si>
    <t>ENERGY FINANSWER-WY-2012 CAT3</t>
  </si>
  <si>
    <t>103348</t>
  </si>
  <si>
    <t>INDUSTRIAL FINANSWER-WY-2012 CAT3</t>
  </si>
  <si>
    <t>103349</t>
  </si>
  <si>
    <t>REFRIGERATOR RECYCLING-WY -2012 CAT1</t>
  </si>
  <si>
    <t>103350</t>
  </si>
  <si>
    <t>HOME ENERGY EFF INCENT PROG Y-2012 CAT1</t>
  </si>
  <si>
    <t>103351</t>
  </si>
  <si>
    <t>LOW-INCOME WEATHERZTN - WY 2012 CAT1</t>
  </si>
  <si>
    <t>103352</t>
  </si>
  <si>
    <t>COMMERCIAL FINANSWER EXP WY-2012 CAT3</t>
  </si>
  <si>
    <t>103353</t>
  </si>
  <si>
    <t>INDUSTRIAL FINANSWER EXP WY-2012 CAT3</t>
  </si>
  <si>
    <t>103354</t>
  </si>
  <si>
    <t>SELF DIRECT - COMMERCIAL -WY-2012 CAT3</t>
  </si>
  <si>
    <t>103355</t>
  </si>
  <si>
    <t>SELF DIRECT -INDUSTRIAL -WY-2012 CAT3</t>
  </si>
  <si>
    <t>103356</t>
  </si>
  <si>
    <t>COMMERCIAL FINANSWER EXP- WY-2012 CAT2</t>
  </si>
  <si>
    <t>103357</t>
  </si>
  <si>
    <t>INDUSTRIAL FINAN EXPRESS WY-2012 CAT2</t>
  </si>
  <si>
    <t>103358</t>
  </si>
  <si>
    <t>ENERGY FINANSWER -WY 2012 CAT2</t>
  </si>
  <si>
    <t>103359</t>
  </si>
  <si>
    <t>INDUSTRIAL FINANSWER -WY 2012 CAT2</t>
  </si>
  <si>
    <t>103360</t>
  </si>
  <si>
    <t>SELF DIRECT - COMMERCIAL WY-2012 CAT2</t>
  </si>
  <si>
    <t>103361</t>
  </si>
  <si>
    <t>SELF DIRECT- INDUSTRIAL WY-2012 CAT2</t>
  </si>
  <si>
    <t>103363</t>
  </si>
  <si>
    <t>PORTFOLIO WY-2012 CAT1</t>
  </si>
  <si>
    <t>103364</t>
  </si>
  <si>
    <t>OUTREACH AND COMMUNICATION WATTSMT  WY-2</t>
  </si>
  <si>
    <t>103365</t>
  </si>
  <si>
    <t>AGRICULURAL FINANSWER EXP WY-2012 CAT2</t>
  </si>
  <si>
    <t>103366</t>
  </si>
  <si>
    <t>AGRICULURAL FINANSWER EXP WY-2012 CAT3</t>
  </si>
  <si>
    <t>103367</t>
  </si>
  <si>
    <t>PORTFOLIO WY-2012 CAT2</t>
  </si>
  <si>
    <t>103368</t>
  </si>
  <si>
    <t>PORTFOLIO WY-2012 CAT3</t>
  </si>
  <si>
    <t>103369</t>
  </si>
  <si>
    <t>COMMERCIAL CURTAILMENT - OR 2012</t>
  </si>
  <si>
    <t>103493</t>
  </si>
  <si>
    <t>U.of Utah Student Energy Sponsorship- UT</t>
  </si>
  <si>
    <t>103496</t>
  </si>
  <si>
    <t>PORTFOLIO - IDAHO</t>
  </si>
  <si>
    <t>103497</t>
  </si>
  <si>
    <t>PORTFOLIO - UTAH</t>
  </si>
  <si>
    <t>103623</t>
  </si>
  <si>
    <t>CALIFORNIA DSM EXPENSE - 2013</t>
  </si>
  <si>
    <t>103646</t>
  </si>
  <si>
    <t>PORTFOLIO - IDAHO 2013</t>
  </si>
  <si>
    <t>103647</t>
  </si>
  <si>
    <t>103648</t>
  </si>
  <si>
    <t>AIR CONDITIONING - UTAH - 2013</t>
  </si>
  <si>
    <t>103649</t>
  </si>
  <si>
    <t>ENERGY FINANSWER - UTAH - 2013</t>
  </si>
  <si>
    <t>103650</t>
  </si>
  <si>
    <t>INDUSTRIAL FINANSWER - UTAH - 2013</t>
  </si>
  <si>
    <t>103651</t>
  </si>
  <si>
    <t>LOW INCOME - UTAH - 2013</t>
  </si>
  <si>
    <t>103653</t>
  </si>
  <si>
    <t>REFRIGERATOR RECYCLING PGM- UTAH - 2013</t>
  </si>
  <si>
    <t>103654</t>
  </si>
  <si>
    <t>COMMERCIAL SELF-DIRECT - UTAH - 2013</t>
  </si>
  <si>
    <t>103655</t>
  </si>
  <si>
    <t>INDUSTRIAL SELF-DIRECT - UTAH - 2013</t>
  </si>
  <si>
    <t>103656</t>
  </si>
  <si>
    <t>103657</t>
  </si>
  <si>
    <t>103658</t>
  </si>
  <si>
    <t>103660</t>
  </si>
  <si>
    <t>IRRIGATION LOAD CONTROL  - UTAH - 2013</t>
  </si>
  <si>
    <t>103661</t>
  </si>
  <si>
    <t>HOME ENERGY EFF INCENTIVE PROG - UT 2013</t>
  </si>
  <si>
    <t>103662</t>
  </si>
  <si>
    <t>OUTREACH and COMMUNICATIONS - UT 2013</t>
  </si>
  <si>
    <t>103666</t>
  </si>
  <si>
    <t>103671</t>
  </si>
  <si>
    <t>HOME ENERGY REPORTING - UT 2013</t>
  </si>
  <si>
    <t>103673</t>
  </si>
  <si>
    <t>103675</t>
  </si>
  <si>
    <t>ENERGY FINANSWER-WY-2013 CAT3</t>
  </si>
  <si>
    <t>103676</t>
  </si>
  <si>
    <t>INDUSTRIAL FINANSWER-WY-2013 CAT3</t>
  </si>
  <si>
    <t>103677</t>
  </si>
  <si>
    <t>REFRIGERATOR RECYCLING-WY -2013 CAT1</t>
  </si>
  <si>
    <t>103678</t>
  </si>
  <si>
    <t>HOME ENERGY EFF INCENT PROG Y-2013 CAT1</t>
  </si>
  <si>
    <t>103679</t>
  </si>
  <si>
    <t>LOW-INCOME WEATHERZTN - WY 2013 CAT1</t>
  </si>
  <si>
    <t>103680</t>
  </si>
  <si>
    <t>COMMERCIAL FINANSWER EXP WY-2013 CAT3</t>
  </si>
  <si>
    <t>103681</t>
  </si>
  <si>
    <t>INDUSTRIAL FINANSWER EXP WY-2013 CAT3</t>
  </si>
  <si>
    <t>103682</t>
  </si>
  <si>
    <t>SELF DIRECT - COMMERCIAL -WY-2013 CAT3</t>
  </si>
  <si>
    <t>103683</t>
  </si>
  <si>
    <t>SELF DIRECT -INDUSTRIAL -WY-2013 CAT3</t>
  </si>
  <si>
    <t>103684</t>
  </si>
  <si>
    <t>COMMERCIAL FINANSWER EXP- WY-2013 CAT2</t>
  </si>
  <si>
    <t>103685</t>
  </si>
  <si>
    <t>INDUSTRIAL FINAN EXPRESS WY-2013 CAT2</t>
  </si>
  <si>
    <t>103686</t>
  </si>
  <si>
    <t>ENERGY FINANSWER -WY 2013 CAT2</t>
  </si>
  <si>
    <t>103687</t>
  </si>
  <si>
    <t>INDUSTRIAL FINANSWER -WY 2013 CAT2</t>
  </si>
  <si>
    <t>103688</t>
  </si>
  <si>
    <t>SELF DIRECT - COMMERCIAL WY-2013 CAT2</t>
  </si>
  <si>
    <t>103689</t>
  </si>
  <si>
    <t>SELF DIRECT- INDUSTRIAL WY-2013 CAT2</t>
  </si>
  <si>
    <t>103690</t>
  </si>
  <si>
    <t>PORTFOLIO WY-2013 CAT1</t>
  </si>
  <si>
    <t>103691</t>
  </si>
  <si>
    <t>103692</t>
  </si>
  <si>
    <t>AGRICULTURAL FINANSWER EXP WY-2013 CAT2</t>
  </si>
  <si>
    <t>103693</t>
  </si>
  <si>
    <t>AGRICULURAL FINANSWER EXP WY-2013 CAT3</t>
  </si>
  <si>
    <t>103694</t>
  </si>
  <si>
    <t>PORTFOLIO WY-2013 CAT2</t>
  </si>
  <si>
    <t>103695</t>
  </si>
  <si>
    <t>PORTFOLIO WY-2013 CAT3</t>
  </si>
  <si>
    <t>103700</t>
  </si>
  <si>
    <t>PORTFOLIO - UTAH 2013</t>
  </si>
  <si>
    <t>103701</t>
  </si>
  <si>
    <t>103732</t>
  </si>
  <si>
    <t>COMMERCIAL (WSB) WATTSMART BUSINESS - UT</t>
  </si>
  <si>
    <t>103734</t>
  </si>
  <si>
    <t>INDUSTRIAL (WSB) WATTSMART BUSINESS - UT</t>
  </si>
  <si>
    <t>103735</t>
  </si>
  <si>
    <t>WSB - WATTSMART BUSINESS - UT- 2013</t>
  </si>
  <si>
    <t>103740</t>
  </si>
  <si>
    <t>COMMERCIAL (WSB) WATTSMART BUSINESS - WA</t>
  </si>
  <si>
    <t>103741</t>
  </si>
  <si>
    <t>INDUSTRIAL WATTSMART BUSINESS - WA-2013</t>
  </si>
  <si>
    <t>103742</t>
  </si>
  <si>
    <t>WSB - WATTSMART BUSINESS - WA- 2013</t>
  </si>
  <si>
    <t>103743</t>
  </si>
  <si>
    <t>AGRICULTURAL (WSB) WATTSMART BUSINESS -</t>
  </si>
  <si>
    <t>103745</t>
  </si>
  <si>
    <t>CALIFORNIA DSM EXPENSE - 2014</t>
  </si>
  <si>
    <t>103754</t>
  </si>
  <si>
    <t>PORTFOLIO - IDAHO 2014</t>
  </si>
  <si>
    <t>103756</t>
  </si>
  <si>
    <t>103757</t>
  </si>
  <si>
    <t>103758</t>
  </si>
  <si>
    <t>AIR CONDITIONING - UTAH - 2014</t>
  </si>
  <si>
    <t>103759</t>
  </si>
  <si>
    <t>103760</t>
  </si>
  <si>
    <t>ENERGY FINANSWER - UTAH - 2014</t>
  </si>
  <si>
    <t>103761</t>
  </si>
  <si>
    <t>HOME ENERGY EFF INCENTIVE PROG - UT 2014</t>
  </si>
  <si>
    <t>103762</t>
  </si>
  <si>
    <t>HOME ENERGY REPORTING - UT 2014</t>
  </si>
  <si>
    <t>103763</t>
  </si>
  <si>
    <t>INDUSTRIAL FINANSWER - UTAH - 2014</t>
  </si>
  <si>
    <t>103764</t>
  </si>
  <si>
    <t>103765</t>
  </si>
  <si>
    <t>IRRIGATION LOAD CONTROL  - UTAH - 2014</t>
  </si>
  <si>
    <t>103766</t>
  </si>
  <si>
    <t>LOW INCOME - UTAH - 2014</t>
  </si>
  <si>
    <t>103767</t>
  </si>
  <si>
    <t>OUTREACH and COMMUNICATIONS - UT 2014</t>
  </si>
  <si>
    <t>103768</t>
  </si>
  <si>
    <t>PORTFOLIO - UTAH 2014</t>
  </si>
  <si>
    <t>103769</t>
  </si>
  <si>
    <t>REFRIGERATOR RECYCLING PGM- UTAH - 2014</t>
  </si>
  <si>
    <t>103770</t>
  </si>
  <si>
    <t>103771</t>
  </si>
  <si>
    <t>103772</t>
  </si>
  <si>
    <t>COMMERCIAL SELF-DIRECT - UTAH - 2014</t>
  </si>
  <si>
    <t>103773</t>
  </si>
  <si>
    <t>INDUSTRIAL SELF-DIRECT - UTAH - 2014</t>
  </si>
  <si>
    <t>103774</t>
  </si>
  <si>
    <t>COMMERCIAL (WSB) WATTSMART BUS - UT- 201</t>
  </si>
  <si>
    <t>103775</t>
  </si>
  <si>
    <t>INDUSTRIAL (WSB) WATTSMART BUS- UT- 2014</t>
  </si>
  <si>
    <t>103776</t>
  </si>
  <si>
    <t>WSB - WATTSMART BUS- UT- 2014</t>
  </si>
  <si>
    <t>103777</t>
  </si>
  <si>
    <t>AGRICULTURAL (WSB) WATTSMART BUS- UT- 20</t>
  </si>
  <si>
    <t>103778</t>
  </si>
  <si>
    <t>103779</t>
  </si>
  <si>
    <t>AGRICULURAL FINANSWER EXP WY-2014 CAT2</t>
  </si>
  <si>
    <t>103780</t>
  </si>
  <si>
    <t>AGRICULURAL FINANSWER EXP WY-2014 CAT3</t>
  </si>
  <si>
    <t>103781</t>
  </si>
  <si>
    <t>COMMERCIAL FINANSWER EXP- WY-2014 CAT2</t>
  </si>
  <si>
    <t>103782</t>
  </si>
  <si>
    <t>COMMERCIAL FINANSWER EXP WY-2014 CAT3</t>
  </si>
  <si>
    <t>103783</t>
  </si>
  <si>
    <t>ENERGY FINANSWER -WY 2014 CAT2</t>
  </si>
  <si>
    <t>103784</t>
  </si>
  <si>
    <t>ENERGY FINANSWER-WY-2014 CAT3</t>
  </si>
  <si>
    <t>103785</t>
  </si>
  <si>
    <t>HOME ENERGY EFF INCENT PROG Y-2014 CAT1</t>
  </si>
  <si>
    <t>103786</t>
  </si>
  <si>
    <t>INDUSTRIAL FINANSWER -WY 2014 CAT2</t>
  </si>
  <si>
    <t>103787</t>
  </si>
  <si>
    <t>INDUSTRIAL FINANSWER-WY-2014 CAT3</t>
  </si>
  <si>
    <t>103788</t>
  </si>
  <si>
    <t>INDUSTRIAL FINAN EXPRESS WY-2014 CAT2</t>
  </si>
  <si>
    <t>103789</t>
  </si>
  <si>
    <t>INDUSTRIAL FINANSWER EXP WY-2014 CAT3</t>
  </si>
  <si>
    <t>103790</t>
  </si>
  <si>
    <t>LOW-INCOME WEATHERZTN - WY 2014 CAT1</t>
  </si>
  <si>
    <t>103791</t>
  </si>
  <si>
    <t>103792</t>
  </si>
  <si>
    <t>PORTFOLIO WY-2014 CAT1</t>
  </si>
  <si>
    <t>103793</t>
  </si>
  <si>
    <t>PORTFOLIO WY-2014 CAT2</t>
  </si>
  <si>
    <t>103794</t>
  </si>
  <si>
    <t>PORTFOLIO WY-2014 CAT3</t>
  </si>
  <si>
    <t>103795</t>
  </si>
  <si>
    <t>REFRIGERATOR RECYCLING-WY -2014 CAT1</t>
  </si>
  <si>
    <t>103796</t>
  </si>
  <si>
    <t>SELF DIRECT - COMMERCIAL WY-2014 CAT2</t>
  </si>
  <si>
    <t>103797</t>
  </si>
  <si>
    <t>SELF DIRECT - COMMERCIAL -WY-2014 CAT3</t>
  </si>
  <si>
    <t>103798</t>
  </si>
  <si>
    <t>SELF DIRECT- INDUSTRIAL WY-2014 CAT2</t>
  </si>
  <si>
    <t>103799</t>
  </si>
  <si>
    <t>SELF DIRECT -INDUSTRIAL -WY-2014 CAT3</t>
  </si>
  <si>
    <t>103805</t>
  </si>
  <si>
    <t>WSB - WATTSMART BUSINESS - CA- 2014</t>
  </si>
  <si>
    <t>103808</t>
  </si>
  <si>
    <t>WSB - WATTSMART BUSINESS - ID- 2014</t>
  </si>
  <si>
    <t>103809</t>
  </si>
  <si>
    <t>WSB Small Business Comm - ID-2014</t>
  </si>
  <si>
    <t>103810</t>
  </si>
  <si>
    <t>WSB Small Business Ind - ID 2014</t>
  </si>
  <si>
    <t>103811</t>
  </si>
  <si>
    <t>WSB - Wattsmart Business - WY Cat 2- 201</t>
  </si>
  <si>
    <t>103812</t>
  </si>
  <si>
    <t>WSB - Small Business Comm - WY Cat2 -201</t>
  </si>
  <si>
    <t>103813</t>
  </si>
  <si>
    <t>WBS Small Business Ind - WY Cat2-2014</t>
  </si>
  <si>
    <t>103814</t>
  </si>
  <si>
    <t>WSB Small Business Comm- UT-2014</t>
  </si>
  <si>
    <t>103815</t>
  </si>
  <si>
    <t>WBS Small Business Ind- UT-2014</t>
  </si>
  <si>
    <t>103816</t>
  </si>
  <si>
    <t>WSB Small Business Comm- WA-2014</t>
  </si>
  <si>
    <t>103817</t>
  </si>
  <si>
    <t>WBS Small Business Ind- WA-2014</t>
  </si>
  <si>
    <t>103834</t>
  </si>
  <si>
    <t>HOME ENERGY REPORTING - ID 2014</t>
  </si>
  <si>
    <t>103835</t>
  </si>
  <si>
    <t>HOME ENERGY REPORTING - WY 2014</t>
  </si>
  <si>
    <t>103845</t>
  </si>
  <si>
    <t>REFRIGERATOR RECYCLING COMM - WASHINGTON</t>
  </si>
  <si>
    <t>103856</t>
  </si>
  <si>
    <t>WSB Wattsmart Business Agric - ID-2014</t>
  </si>
  <si>
    <t>103858</t>
  </si>
  <si>
    <t>WSB Wattsmart Business Comm- WY Cat3 -20</t>
  </si>
  <si>
    <t>103859</t>
  </si>
  <si>
    <t>WBS Wattsmart Business Ind- WY Cat2-2014</t>
  </si>
  <si>
    <t>103860</t>
  </si>
  <si>
    <t>WSB- Wattsmart Business- WY Cat 3- 2014</t>
  </si>
  <si>
    <t>103862</t>
  </si>
  <si>
    <t>OUTREACH AND COMMUNICATION  ID-2014</t>
  </si>
  <si>
    <t>103865</t>
  </si>
  <si>
    <t>CALIFORNIA DSM EXPENSE - 2015</t>
  </si>
  <si>
    <t>103874</t>
  </si>
  <si>
    <t>PORTFOLIO - IDAHO 2015</t>
  </si>
  <si>
    <t>103876</t>
  </si>
  <si>
    <t>WSB - WATTSMART BUSINESS - ID- 2015</t>
  </si>
  <si>
    <t>103877</t>
  </si>
  <si>
    <t>WSB Small Business Comm - ID-2015</t>
  </si>
  <si>
    <t>103878</t>
  </si>
  <si>
    <t>WSB Small Business Ind - ID 2015</t>
  </si>
  <si>
    <t>103879</t>
  </si>
  <si>
    <t>HOME ENERGY REPORTING - ID 2015</t>
  </si>
  <si>
    <t>103880</t>
  </si>
  <si>
    <t>WSB Wattsmart Business Agric - ID-2015</t>
  </si>
  <si>
    <t>103881</t>
  </si>
  <si>
    <t>OUTREACH AND COMMUNICATION  ID-2015</t>
  </si>
  <si>
    <t>103882</t>
  </si>
  <si>
    <t>103887</t>
  </si>
  <si>
    <t>HOME ENERGY EFF INCENTIVE PROG - UT 2015</t>
  </si>
  <si>
    <t>103888</t>
  </si>
  <si>
    <t>HOME ENERGY REPORTING - UT 2015</t>
  </si>
  <si>
    <t>103891</t>
  </si>
  <si>
    <t>IRRIGATION LOAD CONTROL  - UTAH - 2015</t>
  </si>
  <si>
    <t>103892</t>
  </si>
  <si>
    <t>LOW INCOME - UTAH - 2015</t>
  </si>
  <si>
    <t>103893</t>
  </si>
  <si>
    <t>OUTREACH and COMMUNICATIONS - UT 2015</t>
  </si>
  <si>
    <t>103894</t>
  </si>
  <si>
    <t>PORTFOLIO - UTAH 2015</t>
  </si>
  <si>
    <t>103895</t>
  </si>
  <si>
    <t>REFRIGERATOR RECYCLING PGM- UTAH - 2015</t>
  </si>
  <si>
    <t>103896</t>
  </si>
  <si>
    <t>103900</t>
  </si>
  <si>
    <t>103901</t>
  </si>
  <si>
    <t>INDUSTRIAL (WSB) WATTSMART BUS- UT- 2015</t>
  </si>
  <si>
    <t>103902</t>
  </si>
  <si>
    <t>WSB - WATTSMART BUS- UT- 2015</t>
  </si>
  <si>
    <t>103903</t>
  </si>
  <si>
    <t>103904</t>
  </si>
  <si>
    <t>103905</t>
  </si>
  <si>
    <t>WSB Small Business Comm- UT-2015</t>
  </si>
  <si>
    <t>103906</t>
  </si>
  <si>
    <t>WBS Small Business Ind- UT-2015</t>
  </si>
  <si>
    <t>103907</t>
  </si>
  <si>
    <t>AGRICULURAL FINANSWER EXP WY-2015 CAT2</t>
  </si>
  <si>
    <t>103909</t>
  </si>
  <si>
    <t>COMMERCIAL FINANSWER EXP- WY-2015 CAT2</t>
  </si>
  <si>
    <t>COMMERCIAL FINANSWER EXP WY-2015 CAT3</t>
  </si>
  <si>
    <t>103911</t>
  </si>
  <si>
    <t>ENERGY FINANSWER -WY 2015 CAT2</t>
  </si>
  <si>
    <t>103912</t>
  </si>
  <si>
    <t>ENERGY FINANSWER-WY-2015 CAT3</t>
  </si>
  <si>
    <t>103913</t>
  </si>
  <si>
    <t>HOME ENERGY EFF INCENT PROG Y-2015 CAT1</t>
  </si>
  <si>
    <t>103914</t>
  </si>
  <si>
    <t>INDUSTRIAL FINANSWER -WY 2015 CAT2</t>
  </si>
  <si>
    <t>103915</t>
  </si>
  <si>
    <t>INDUSTRIAL FINANSWER-WY-2015 CAT3</t>
  </si>
  <si>
    <t>103916</t>
  </si>
  <si>
    <t>INDUSTRIAL FINAN EXPRESS WY-2015 CAT2</t>
  </si>
  <si>
    <t>103917</t>
  </si>
  <si>
    <t>INDUSTRIAL FINANSWER EXP WY-2015 CAT3</t>
  </si>
  <si>
    <t>103918</t>
  </si>
  <si>
    <t>LOW-INCOME WEATHERZTN - WY 2015 CAT1</t>
  </si>
  <si>
    <t>103919</t>
  </si>
  <si>
    <t>103920</t>
  </si>
  <si>
    <t>PORTFOLIO WY-2015 CAT1</t>
  </si>
  <si>
    <t>103921</t>
  </si>
  <si>
    <t>PORTFOLIO WY-2015 CAT2</t>
  </si>
  <si>
    <t>103922</t>
  </si>
  <si>
    <t>PORTFOLIO WY-2015 CAT3</t>
  </si>
  <si>
    <t>103923</t>
  </si>
  <si>
    <t>REFRIGERATOR RECYCLING-WY -2015 CAT1</t>
  </si>
  <si>
    <t>103925</t>
  </si>
  <si>
    <t>SELF DIRECT - COMMERCIAL -WY-2015 CAT3</t>
  </si>
  <si>
    <t>103927</t>
  </si>
  <si>
    <t>SELF DIRECT -INDUSTRIAL -WY-2015 CAT3</t>
  </si>
  <si>
    <t>103928</t>
  </si>
  <si>
    <t>103929</t>
  </si>
  <si>
    <t>103930</t>
  </si>
  <si>
    <t>WBS- Wattsmart Business Ind -WY Cat2-201</t>
  </si>
  <si>
    <t>103931</t>
  </si>
  <si>
    <t>HOME ENERGY REPORTING - WY 2015</t>
  </si>
  <si>
    <t>103932</t>
  </si>
  <si>
    <t>WSB- Wattsmart Business- WY Cat 3- 2015</t>
  </si>
  <si>
    <t>103933</t>
  </si>
  <si>
    <t>REFRIG RECYCLE COMM -WY 2015 CAT2</t>
  </si>
  <si>
    <t>103934</t>
  </si>
  <si>
    <t>REFRIG RECYCLE COMM -WY 2015 CAT3</t>
  </si>
  <si>
    <t>103935</t>
  </si>
  <si>
    <t>103936</t>
  </si>
  <si>
    <t>WBS- Wattsmart Bus Ind- WY Cat3-2015</t>
  </si>
  <si>
    <t>103937</t>
  </si>
  <si>
    <t>WSB- Wattsmart Business Agric- WY Cat2 -</t>
  </si>
  <si>
    <t>103938</t>
  </si>
  <si>
    <t>WSB- Wattsmart Business Agric- WY Cat3 -</t>
  </si>
  <si>
    <t>103959</t>
  </si>
  <si>
    <t>COMMERCIAL ENERGY REPORTS-SMB -UT 2015</t>
  </si>
  <si>
    <t>103962</t>
  </si>
  <si>
    <t>Portfolio - EM&amp;V C&amp;I - ID- 2015</t>
  </si>
  <si>
    <t>103963</t>
  </si>
  <si>
    <t>Portfolio - EM&amp;V RES - ID- 2015</t>
  </si>
  <si>
    <t>104013</t>
  </si>
  <si>
    <t>CALIFORNIA DSM EXPENSE - 2016</t>
  </si>
  <si>
    <t>104015</t>
  </si>
  <si>
    <t>HOME ENERGY REPORTING - ID 2016</t>
  </si>
  <si>
    <t>104018</t>
  </si>
  <si>
    <t>OUTREACH AND COMMUNICATION  ID-2016</t>
  </si>
  <si>
    <t>104019</t>
  </si>
  <si>
    <t>PORTFOLIO - IDAHO 2016</t>
  </si>
  <si>
    <t>104020</t>
  </si>
  <si>
    <t>Portfolio - EM&amp;V C&amp;I - ID- 2016</t>
  </si>
  <si>
    <t>104021</t>
  </si>
  <si>
    <t>Portfolio - EM&amp;V RES - ID- 2016</t>
  </si>
  <si>
    <t>104023</t>
  </si>
  <si>
    <t>WSB Small Business Comm - ID-2016</t>
  </si>
  <si>
    <t>104024</t>
  </si>
  <si>
    <t>WSB Small Business Ind - ID 2016</t>
  </si>
  <si>
    <t>104025</t>
  </si>
  <si>
    <t>WSB - WATTSMART BUSINESS - ID- 2016</t>
  </si>
  <si>
    <t>104026</t>
  </si>
  <si>
    <t>WSB Wattsmart Business Agric - ID-2016</t>
  </si>
  <si>
    <t>104027</t>
  </si>
  <si>
    <t>104029</t>
  </si>
  <si>
    <t>HOME ENERGY EFF INCENTIVE PROG - UT 2016</t>
  </si>
  <si>
    <t>104030</t>
  </si>
  <si>
    <t>HOME ENERGY REPORTING - UT 2016</t>
  </si>
  <si>
    <t>104031</t>
  </si>
  <si>
    <t>IRRIGATION LOAD CONTROL  - UTAH - 2016</t>
  </si>
  <si>
    <t>104032</t>
  </si>
  <si>
    <t>LOW INCOME - UTAH - 2016</t>
  </si>
  <si>
    <t>104033</t>
  </si>
  <si>
    <t>OUTREACH and COMMUNICATIONS - UT 2016</t>
  </si>
  <si>
    <t>104034</t>
  </si>
  <si>
    <t>PORTFOLIO - UTAH 2016</t>
  </si>
  <si>
    <t>104035</t>
  </si>
  <si>
    <t>REFRIGERATOR RECYCLING PGM- UTAH - 2016</t>
  </si>
  <si>
    <t>104036</t>
  </si>
  <si>
    <t>104037</t>
  </si>
  <si>
    <t>104038</t>
  </si>
  <si>
    <t>INDUSTRIAL (WSB) WATTSMART BUS- UT- 2016</t>
  </si>
  <si>
    <t>104039</t>
  </si>
  <si>
    <t>WSB Small Business Comm- UT-2016</t>
  </si>
  <si>
    <t>104041</t>
  </si>
  <si>
    <t>WSB - WATTSMART BUS- UT- 2016</t>
  </si>
  <si>
    <t>104042</t>
  </si>
  <si>
    <t>104043</t>
  </si>
  <si>
    <t>104044</t>
  </si>
  <si>
    <t>HOME ENERGY REPORTING - WY 2016</t>
  </si>
  <si>
    <t>104045</t>
  </si>
  <si>
    <t>HOME ENERGY EFF INCENT PROG Y-2016 CAT1</t>
  </si>
  <si>
    <t>104046</t>
  </si>
  <si>
    <t>LOW-INCOME WEATHERZTN - WY 2016 CAT1</t>
  </si>
  <si>
    <t>104047</t>
  </si>
  <si>
    <t>104048</t>
  </si>
  <si>
    <t>PORTFOLIO WY-2016 CAT1</t>
  </si>
  <si>
    <t>104049</t>
  </si>
  <si>
    <t>PORTFOLIO WY-2016 CAT2</t>
  </si>
  <si>
    <t>104050</t>
  </si>
  <si>
    <t>PORTFOLIO WY-2016 CAT3</t>
  </si>
  <si>
    <t>104051</t>
  </si>
  <si>
    <t>REFRIGERATOR RECYCLING-WY -2016 CAT1</t>
  </si>
  <si>
    <t>104052</t>
  </si>
  <si>
    <t>REFRIG RECYCLE COMM -WY 2016 CAT2</t>
  </si>
  <si>
    <t>104053</t>
  </si>
  <si>
    <t>REFRIG RECYCLE COMM -WY 2016 CAT3</t>
  </si>
  <si>
    <t>104054</t>
  </si>
  <si>
    <t>WSB- Wattsmart Bus Comm- WY Cat2 -2016</t>
  </si>
  <si>
    <t>104055</t>
  </si>
  <si>
    <t>104056</t>
  </si>
  <si>
    <t>104057</t>
  </si>
  <si>
    <t>104058</t>
  </si>
  <si>
    <t>WBS- Wattsmart Bus Ind- WY Cat3-2016</t>
  </si>
  <si>
    <t>104059</t>
  </si>
  <si>
    <t>104060</t>
  </si>
  <si>
    <t>104061</t>
  </si>
  <si>
    <t>WSB- Wattsmart Business- WY Cat 3- 2016</t>
  </si>
  <si>
    <t>104080</t>
  </si>
  <si>
    <t>OUTREACH &amp; COMM WATTSMT WY-2016 CAT2</t>
  </si>
  <si>
    <t>104081</t>
  </si>
  <si>
    <t>OUTREACH &amp; COMM WATTSMT WY-2016 CAT3</t>
  </si>
  <si>
    <t>104109</t>
  </si>
  <si>
    <t>WA DSM - 186055 Clear Acct Balance</t>
  </si>
  <si>
    <t>104110</t>
  </si>
  <si>
    <t>ID DSM - 186025 Clear Acct Balance</t>
  </si>
  <si>
    <t>104111</t>
  </si>
  <si>
    <t>WY DSM - 186065 Clear Acct Balance</t>
  </si>
  <si>
    <t>1823920 Total</t>
  </si>
  <si>
    <t>1823930</t>
  </si>
  <si>
    <t>DSR COSTS NOT AMORT</t>
  </si>
  <si>
    <t>102573</t>
  </si>
  <si>
    <t>ENERGY FINANSWER ID/UT 2006</t>
  </si>
  <si>
    <t>102574</t>
  </si>
  <si>
    <t>INDUSTRIAL FINANSWER-ID-UT 2006</t>
  </si>
  <si>
    <t>102575</t>
  </si>
  <si>
    <t>LOW INCOME WZ -ID-UT 2006</t>
  </si>
  <si>
    <t>102576</t>
  </si>
  <si>
    <t>NEEA-IDAHO-UTAH 2006</t>
  </si>
  <si>
    <t>102577</t>
  </si>
  <si>
    <t>IRRIGATION INTERRUPTIBLE ID-UT 2006</t>
  </si>
  <si>
    <t>102578</t>
  </si>
  <si>
    <t>WEATHERIZATION LOANS-RESDL/ID-UT 2006</t>
  </si>
  <si>
    <t>102579</t>
  </si>
  <si>
    <t>REFRIGERATOR RECYCLING PGM-ID-UT 2006</t>
  </si>
  <si>
    <t>102580</t>
  </si>
  <si>
    <t>COMMERCIAL FINANSWER EXPR-ID-UT 2006</t>
  </si>
  <si>
    <t>102581</t>
  </si>
  <si>
    <t>INDUSTRIAL FINANSWER EXPR-ID-UT 2006</t>
  </si>
  <si>
    <t>102582</t>
  </si>
  <si>
    <t>IRRIGATION EFFICIENCY PRGRM-ID-UT 2006</t>
  </si>
  <si>
    <t>102758</t>
  </si>
  <si>
    <t>HOME ENERGY EFFICIENCY INCENTIVE PROGM-I</t>
  </si>
  <si>
    <t>102808</t>
  </si>
  <si>
    <t>WEATHERIZATION LOANS RESIDTL/ ID-UT 2007</t>
  </si>
  <si>
    <t>102809</t>
  </si>
  <si>
    <t>ENERGY FINANSWER IDU 2007</t>
  </si>
  <si>
    <t>102810</t>
  </si>
  <si>
    <t>Industrial Finanswer ID - 2007</t>
  </si>
  <si>
    <t>102811</t>
  </si>
  <si>
    <t>IRRIGATION INTERRUPTIBLE ID-UT 2007</t>
  </si>
  <si>
    <t>102812</t>
  </si>
  <si>
    <t>LOW INCOME WZ  - ID-UT 2007</t>
  </si>
  <si>
    <t>102813</t>
  </si>
  <si>
    <t>NEEA - IDAHO - UTAH 2007</t>
  </si>
  <si>
    <t>102814</t>
  </si>
  <si>
    <t>REFRIGERATOR RECYCLING PGM - ID-UT 2007</t>
  </si>
  <si>
    <t>102815</t>
  </si>
  <si>
    <t>COMMERCIAL FINANSWER EXPR - ID-UT 2007</t>
  </si>
  <si>
    <t>102816</t>
  </si>
  <si>
    <t>INDUSTRIAL FINANSWER EXPR - ID-UT 2007</t>
  </si>
  <si>
    <t>102817</t>
  </si>
  <si>
    <t>IRRIGATION EFFICIENCY PRGRM - ID-UT 2007</t>
  </si>
  <si>
    <t>102818</t>
  </si>
  <si>
    <t>HOME ENERGY EFFICIENCY INCENTIVE PROG  -</t>
  </si>
  <si>
    <t>102896</t>
  </si>
  <si>
    <t>ENERGY FINANSWER - ID/UT 2008</t>
  </si>
  <si>
    <t>102897</t>
  </si>
  <si>
    <t>INDUSTRIAL FINANSWER - ID-UT 2008</t>
  </si>
  <si>
    <t>102898</t>
  </si>
  <si>
    <t>IRRIGATION INTERRUPTIBLE - IDAHO - 2008</t>
  </si>
  <si>
    <t>102899</t>
  </si>
  <si>
    <t>LOW INCOME WEATHERIZATION - IDAHO 2008</t>
  </si>
  <si>
    <t>102900</t>
  </si>
  <si>
    <t>NEEA - IDAHO - 2008</t>
  </si>
  <si>
    <t>102901</t>
  </si>
  <si>
    <t>REFRIGERATOR RECYCLING PRGM - IDAHO 2008</t>
  </si>
  <si>
    <t>102902</t>
  </si>
  <si>
    <t>COMMERCIAL FINANSWER EXPRESS - IDAHO 200</t>
  </si>
  <si>
    <t>102903</t>
  </si>
  <si>
    <t>INDUSTRIAL FINANSWER - IDAHO - 2008</t>
  </si>
  <si>
    <t>102904</t>
  </si>
  <si>
    <t>IRRIGATION EFFICIENCY PRGM - IDAHO - 200</t>
  </si>
  <si>
    <t>102905</t>
  </si>
  <si>
    <t>HOME ENERGY EFF INCENTIVE PROGRAM - IDAH</t>
  </si>
  <si>
    <t>102957</t>
  </si>
  <si>
    <t>CATEGORY 1 - WYOMING - 2008</t>
  </si>
  <si>
    <t>102958</t>
  </si>
  <si>
    <t>CATEGORY 2 - WYOMING - 2008</t>
  </si>
  <si>
    <t>102959</t>
  </si>
  <si>
    <t>CATEGORY 3 - WYOMING - 2008</t>
  </si>
  <si>
    <t>102966</t>
  </si>
  <si>
    <t>ENERGY FINANSWER - ID/UT 2009</t>
  </si>
  <si>
    <t>102967</t>
  </si>
  <si>
    <t>INDUSTRIAL FINANSWER - ID-UT 2009</t>
  </si>
  <si>
    <t>102968</t>
  </si>
  <si>
    <t>IRRIGATION INTERRUPTIBLE ID-UT 2009</t>
  </si>
  <si>
    <t>102969</t>
  </si>
  <si>
    <t>LOW INCOME WZ  - ID-UT 2009</t>
  </si>
  <si>
    <t>102970</t>
  </si>
  <si>
    <t>NEEA - IDAHO - UTAH 2009</t>
  </si>
  <si>
    <t>102971</t>
  </si>
  <si>
    <t>REFRIGERATOR RECYCLING PGM - ID-UT 2009</t>
  </si>
  <si>
    <t>102972</t>
  </si>
  <si>
    <t>COMMERCIAL FINANSWER EXPR - ID-UT 2009</t>
  </si>
  <si>
    <t>102973</t>
  </si>
  <si>
    <t>INDUSTRIAL FINANSWER EXPR - ID-UT 2009</t>
  </si>
  <si>
    <t>102974</t>
  </si>
  <si>
    <t>IRRIGATION EFFICIENCY PRGRM - ID-UT 2009</t>
  </si>
  <si>
    <t>102975</t>
  </si>
  <si>
    <t>103061</t>
  </si>
  <si>
    <t>ENERGY FINANSWER - ID/UT 2010</t>
  </si>
  <si>
    <t>103062</t>
  </si>
  <si>
    <t>INDUSTRIAL FINANSWER - ID-UT 2010</t>
  </si>
  <si>
    <t>103063</t>
  </si>
  <si>
    <t>IRRIGATION INTERRUPTIBLE ID-UT 2010</t>
  </si>
  <si>
    <t>103064</t>
  </si>
  <si>
    <t>LOW INCOME WZ  - ID-UT 2010</t>
  </si>
  <si>
    <t>103065</t>
  </si>
  <si>
    <t>NEEA - IDAHO - UTAH 2010</t>
  </si>
  <si>
    <t>103066</t>
  </si>
  <si>
    <t>REFRIGERATOR RECYCLING PGM - ID-UT 2010</t>
  </si>
  <si>
    <t>103067</t>
  </si>
  <si>
    <t>COMMERCIAL FINANSWER EXPR - ID-UT 2010</t>
  </si>
  <si>
    <t>103068</t>
  </si>
  <si>
    <t>INDUSTRIAL FINANSWER EXPR - ID-UT 2010</t>
  </si>
  <si>
    <t>103069</t>
  </si>
  <si>
    <t>IRRIGATION EFFICIENCY PRGRM - ID-UT 2010</t>
  </si>
  <si>
    <t>103070</t>
  </si>
  <si>
    <t>103171</t>
  </si>
  <si>
    <t>ENERGY FINANSWER - ID/UT 2011</t>
  </si>
  <si>
    <t>103172</t>
  </si>
  <si>
    <t>INDUSTRIAL FINANSWER - ID-UT 2011</t>
  </si>
  <si>
    <t>103173</t>
  </si>
  <si>
    <t>IRRIGATION INTERRUPTIBLE ID-UT 2011</t>
  </si>
  <si>
    <t>103174</t>
  </si>
  <si>
    <t>LOW INCOME WZ  - ID-UT 2011</t>
  </si>
  <si>
    <t>103176</t>
  </si>
  <si>
    <t>REFRIGERATOR RECYCLING PGM - ID-UT 2011</t>
  </si>
  <si>
    <t>103177</t>
  </si>
  <si>
    <t>COMMERCIAL FINANSWER EXPR - ID-UT 2011</t>
  </si>
  <si>
    <t>103178</t>
  </si>
  <si>
    <t>INDUSTRIAL FINANSWER EXPR - ID-UT 2011</t>
  </si>
  <si>
    <t>103179</t>
  </si>
  <si>
    <t>IRRIGATION EFFICIENCY PRGRM - ID-UT 2011</t>
  </si>
  <si>
    <t>103180</t>
  </si>
  <si>
    <t>103312</t>
  </si>
  <si>
    <t>ENERGY FINANSWER - ID 2012</t>
  </si>
  <si>
    <t>103313</t>
  </si>
  <si>
    <t>INDUSTRIAL FINANSWER - ID 2012</t>
  </si>
  <si>
    <t>103314</t>
  </si>
  <si>
    <t>IRRIGATION INTERRUPTIBLE- ID 2012</t>
  </si>
  <si>
    <t>103315</t>
  </si>
  <si>
    <t>LOW INCOME WZ  - ID- 2012</t>
  </si>
  <si>
    <t>103317</t>
  </si>
  <si>
    <t>REFRIGERATOR RECYCLING PGM - ID 2012</t>
  </si>
  <si>
    <t>103318</t>
  </si>
  <si>
    <t>COMMERCIAL FINANSWER EXPR - ID 2012</t>
  </si>
  <si>
    <t>103319</t>
  </si>
  <si>
    <t>INDUSTRIAL FINANSWER EXPR - ID 2012</t>
  </si>
  <si>
    <t>103320</t>
  </si>
  <si>
    <t>IRRIGATION EFFICIENCY PRGRM - ID 2012</t>
  </si>
  <si>
    <t>103321</t>
  </si>
  <si>
    <t>103322</t>
  </si>
  <si>
    <t>COMMERCIAL DIRECT INSTALL - ID 2012</t>
  </si>
  <si>
    <t>103323</t>
  </si>
  <si>
    <t>AGRICULURAL FINANSWER EXPR - ID 2012</t>
  </si>
  <si>
    <t>103398</t>
  </si>
  <si>
    <t>RECOMMISSIONING INDUSTRIAL - UT 2012</t>
  </si>
  <si>
    <t>103634</t>
  </si>
  <si>
    <t>AGRICULURAL FINANSWER EXPR - ID 2013</t>
  </si>
  <si>
    <t>103635</t>
  </si>
  <si>
    <t>ENERGY FINANSWER - ID 2013</t>
  </si>
  <si>
    <t>103636</t>
  </si>
  <si>
    <t>INDUSTRIAL FINANSWER - ID 2013</t>
  </si>
  <si>
    <t>103638</t>
  </si>
  <si>
    <t>LOW INCOME WZ  - ID- 2013</t>
  </si>
  <si>
    <t>103640</t>
  </si>
  <si>
    <t>REFRIGERATOR RECYCLING PGM - ID 2013</t>
  </si>
  <si>
    <t>103641</t>
  </si>
  <si>
    <t>COMMERCIAL FINANSWER EXPR - ID 2013</t>
  </si>
  <si>
    <t>103642</t>
  </si>
  <si>
    <t>INDUSTRIAL FINANSWER EXPR - ID 2013</t>
  </si>
  <si>
    <t>103643</t>
  </si>
  <si>
    <t>IRRIGATION EFFICIENCY PRGRM - ID 2013</t>
  </si>
  <si>
    <t>103644</t>
  </si>
  <si>
    <t>103672</t>
  </si>
  <si>
    <t>RECOMMISSIONING INDUSTRIAL - UT 2013</t>
  </si>
  <si>
    <t>103746</t>
  </si>
  <si>
    <t>AGRICULURAL FINANSWER EXPR - ID 2014</t>
  </si>
  <si>
    <t>103747</t>
  </si>
  <si>
    <t>COMMERCIAL FINANSWER EXPR - ID 2014</t>
  </si>
  <si>
    <t>103748</t>
  </si>
  <si>
    <t>ENERGY FINANSWER - ID 2014</t>
  </si>
  <si>
    <t>103749</t>
  </si>
  <si>
    <t>103750</t>
  </si>
  <si>
    <t>INDUSTRIAL FINANSWER - ID 2014</t>
  </si>
  <si>
    <t>103751</t>
  </si>
  <si>
    <t>INDUSTRIAL FINANSWER EXPR - ID 2014</t>
  </si>
  <si>
    <t>103752</t>
  </si>
  <si>
    <t>IRRIGATION EFFICIENCY PRGRM - ID 2014</t>
  </si>
  <si>
    <t>103753</t>
  </si>
  <si>
    <t>LOW INCOME WZ  - ID- 2014</t>
  </si>
  <si>
    <t>103755</t>
  </si>
  <si>
    <t>REFRIGERATOR RECYCLING PGM - ID 2014</t>
  </si>
  <si>
    <t>103866</t>
  </si>
  <si>
    <t>AGRICULURAL FINANSWER EXPR - ID 2015</t>
  </si>
  <si>
    <t>103867</t>
  </si>
  <si>
    <t>COMMERCIAL FINANSWER EXPR - ID 2015</t>
  </si>
  <si>
    <t>103868</t>
  </si>
  <si>
    <t>ENERGY FINANSWER - ID 2015</t>
  </si>
  <si>
    <t>103869</t>
  </si>
  <si>
    <t>103870</t>
  </si>
  <si>
    <t>INDUSTRIAL FINANSWER - ID 2015</t>
  </si>
  <si>
    <t>103871</t>
  </si>
  <si>
    <t>INDUSTRIAL FINANSWER EXPR - ID 2015</t>
  </si>
  <si>
    <t>103872</t>
  </si>
  <si>
    <t>IRRIGATION EFFICIENCY PRGRM - ID 2015</t>
  </si>
  <si>
    <t>103873</t>
  </si>
  <si>
    <t>LOW INCOME WZ  - ID- 2015</t>
  </si>
  <si>
    <t>103875</t>
  </si>
  <si>
    <t>REFRIGERATOR RECYCLING PGM - ID 2015</t>
  </si>
  <si>
    <t>104014</t>
  </si>
  <si>
    <t>104016</t>
  </si>
  <si>
    <t>IRRIGATION EFFICIENCY PRGRM - ID 2016</t>
  </si>
  <si>
    <t>104017</t>
  </si>
  <si>
    <t>LOW INCOME WZ  - ID- 2016</t>
  </si>
  <si>
    <t>104022</t>
  </si>
  <si>
    <t>REFRIGERATOR RECYCLING PGM - ID 2016</t>
  </si>
  <si>
    <t>1823930 Total</t>
  </si>
  <si>
    <t>1823940</t>
  </si>
  <si>
    <t>DSR CARRYING CHARGES</t>
  </si>
  <si>
    <t>102146</t>
  </si>
  <si>
    <t>UT CARRYING CHARGE - 2001/2002</t>
  </si>
  <si>
    <t>102188</t>
  </si>
  <si>
    <t>WA REVENUE RECOVERY - CARRYING CHG PENAL</t>
  </si>
  <si>
    <t>102766</t>
  </si>
  <si>
    <t>103140</t>
  </si>
  <si>
    <t>Wy DSM - Cat1 - Carrying Charges</t>
  </si>
  <si>
    <t>103141</t>
  </si>
  <si>
    <t>Wy DSM - Cat2 - Carrying Charges</t>
  </si>
  <si>
    <t>103142</t>
  </si>
  <si>
    <t>Wy DSM - Cat3 - Carrying Charges</t>
  </si>
  <si>
    <t>1823940 Total</t>
  </si>
  <si>
    <t>1823990</t>
  </si>
  <si>
    <t>OTHR REG ASSET-N CST</t>
  </si>
  <si>
    <t>138015</t>
  </si>
  <si>
    <t>Reg Asset Current - Energy West Mining</t>
  </si>
  <si>
    <t>138020</t>
  </si>
  <si>
    <t>Reg Asset Current - DSM</t>
  </si>
  <si>
    <t>138042</t>
  </si>
  <si>
    <t>Reg Asset Current - Electric Transport</t>
  </si>
  <si>
    <t>138045</t>
  </si>
  <si>
    <t>Reg Asset Current - GHG Allowances</t>
  </si>
  <si>
    <t>138050</t>
  </si>
  <si>
    <t>Reg Asset Current - Def Net Power Costs</t>
  </si>
  <si>
    <t>138055</t>
  </si>
  <si>
    <t>Reg Asset Current - Def RECs in Rates</t>
  </si>
  <si>
    <t>138060</t>
  </si>
  <si>
    <t>Reg Asset Current - BPA Balancing Accts</t>
  </si>
  <si>
    <t>138075</t>
  </si>
  <si>
    <t>Reg Asset Current - Wildfire Mitigation</t>
  </si>
  <si>
    <t>138090</t>
  </si>
  <si>
    <t>Reg Asset Current - Solar Feed-In</t>
  </si>
  <si>
    <t>138190</t>
  </si>
  <si>
    <t>Reg Asset Current - Other</t>
  </si>
  <si>
    <t>186052</t>
  </si>
  <si>
    <t>DSM Dem Resp Reg Asset - WA</t>
  </si>
  <si>
    <t>186100</t>
  </si>
  <si>
    <t>Calif Alternative Rate for Energy (CARE)</t>
  </si>
  <si>
    <t>186119</t>
  </si>
  <si>
    <t>Reg Asset - DSM - CA - Balance Reclass</t>
  </si>
  <si>
    <t>186127</t>
  </si>
  <si>
    <t>RegA - DSM - ID - Reclass to Current</t>
  </si>
  <si>
    <t>186137</t>
  </si>
  <si>
    <t>RegA - DSM - OR - Reclass to Current</t>
  </si>
  <si>
    <t>186159</t>
  </si>
  <si>
    <t>Reg Asset - DSM - WA - Balance Reclass</t>
  </si>
  <si>
    <t>186792</t>
  </si>
  <si>
    <t>RegA - Deer Creek - ID - Recl to Curr</t>
  </si>
  <si>
    <t>187042</t>
  </si>
  <si>
    <t>Reg Asset - CA GHG Allowances</t>
  </si>
  <si>
    <t>187048</t>
  </si>
  <si>
    <t>RegA - CA GHG Allowances - Recl to Curr</t>
  </si>
  <si>
    <t>187049</t>
  </si>
  <si>
    <t>RegA - CA GHG Allowances - Balance Recl</t>
  </si>
  <si>
    <t>187230</t>
  </si>
  <si>
    <t>RegA - Oregon OCAT Expense Deferral</t>
  </si>
  <si>
    <t>187231</t>
  </si>
  <si>
    <t>Reg Asset - Oregon Metro BIT</t>
  </si>
  <si>
    <t>187239</t>
  </si>
  <si>
    <t>RegA-Income Tax Related-Recl to Liab</t>
  </si>
  <si>
    <t>187255</t>
  </si>
  <si>
    <t>RegA - BPA Balancing Accts - Recl to Cur</t>
  </si>
  <si>
    <t>187300</t>
  </si>
  <si>
    <t>CA - Jan 2010 Storm Costs</t>
  </si>
  <si>
    <t>187301</t>
  </si>
  <si>
    <t>Reg Asset - CA - CEMA Costs Deferral</t>
  </si>
  <si>
    <t>187302</t>
  </si>
  <si>
    <t>RegA-OR Low Income Bill Discount</t>
  </si>
  <si>
    <t>187303</t>
  </si>
  <si>
    <t>RegA-OR Low Income Bill Disc Admin Cost</t>
  </si>
  <si>
    <t>187304</t>
  </si>
  <si>
    <t>RegA-CA Emerg Svc Prgms-Battery Storage</t>
  </si>
  <si>
    <t>187308</t>
  </si>
  <si>
    <t>RegA - WY Low-Carbon Energy Standards</t>
  </si>
  <si>
    <t>187309</t>
  </si>
  <si>
    <t>RegA-OR Utility Community Advisory Group</t>
  </si>
  <si>
    <t>187320</t>
  </si>
  <si>
    <t>Reg Asset - Deprec Increase - ID</t>
  </si>
  <si>
    <t>187321</t>
  </si>
  <si>
    <t>Reg Asset - Deprec Increase - UT</t>
  </si>
  <si>
    <t>187322</t>
  </si>
  <si>
    <t>Reg Asset - Deprec Increase - WY</t>
  </si>
  <si>
    <t>187332</t>
  </si>
  <si>
    <t>Reg Asset - Carbon Unrec Plant - UT</t>
  </si>
  <si>
    <t>187338</t>
  </si>
  <si>
    <t>REG ASSET - CARBON PLT DECOM/INVENTORY</t>
  </si>
  <si>
    <t>187345</t>
  </si>
  <si>
    <t>Reg Asset - UT - Pref Stock Redemp Loss</t>
  </si>
  <si>
    <t>187346</t>
  </si>
  <si>
    <t>Reg Asset - WY - Pref Stock Redemp Loss</t>
  </si>
  <si>
    <t>187347</t>
  </si>
  <si>
    <t>Reg Asset - WA - Pref Stock Redemp Loss</t>
  </si>
  <si>
    <t>187350</t>
  </si>
  <si>
    <t>ID - Deferred Overburden Costs</t>
  </si>
  <si>
    <t>187351</t>
  </si>
  <si>
    <t>WY - Deferred Overburden Costs</t>
  </si>
  <si>
    <t>187353</t>
  </si>
  <si>
    <t>RegA-OR Distribution System Plan</t>
  </si>
  <si>
    <t>187354</t>
  </si>
  <si>
    <t>RegA-OR 2020 GRC-Meters Replcd by AMI</t>
  </si>
  <si>
    <t>187357</t>
  </si>
  <si>
    <t>CA Mobile Home Park Conversion (MHPCBA)</t>
  </si>
  <si>
    <t>187361</t>
  </si>
  <si>
    <t>Reg A-OR-COVID-19 Bill Assistance Prog</t>
  </si>
  <si>
    <t>187362</t>
  </si>
  <si>
    <t>Reg A-WA-COVID-19 Bill Assistance Prog</t>
  </si>
  <si>
    <t>187369</t>
  </si>
  <si>
    <t>RegA -WA Equity Advisory Group (CETA)</t>
  </si>
  <si>
    <t>187380</t>
  </si>
  <si>
    <t>Reg Asset - UT Solar Incentive Program</t>
  </si>
  <si>
    <t>187383</t>
  </si>
  <si>
    <t>RegA - OR Solar Feed-In - Recl to Curr</t>
  </si>
  <si>
    <t>187384</t>
  </si>
  <si>
    <t>RegA - UT Solar Feed-In - Recl to Curr</t>
  </si>
  <si>
    <t>187387</t>
  </si>
  <si>
    <t>Reg Asset-Utah STEP Pilot Prog Bal Acct</t>
  </si>
  <si>
    <t>187390</t>
  </si>
  <si>
    <t>UT-Klamath Hydro Relicensing Costs</t>
  </si>
  <si>
    <t>187392</t>
  </si>
  <si>
    <t>Reg Asset-OR Solar Feed-In Tariff 2022</t>
  </si>
  <si>
    <t>187395</t>
  </si>
  <si>
    <t>Reg Asset-OR Solar Feed-In Tariff 2023</t>
  </si>
  <si>
    <t>187396</t>
  </si>
  <si>
    <t>Reg Asset-OR Solar Feed-In Tariff 2024</t>
  </si>
  <si>
    <t>187415</t>
  </si>
  <si>
    <t>Reg Asset-UT Subscriber Solar Program</t>
  </si>
  <si>
    <t>187420</t>
  </si>
  <si>
    <t>RegA - OR Community Solar</t>
  </si>
  <si>
    <t>187495</t>
  </si>
  <si>
    <t>RegA - Other - Recl to Curr</t>
  </si>
  <si>
    <t>187648</t>
  </si>
  <si>
    <t>Reg A - Post-Retirement - Recl to Curr</t>
  </si>
  <si>
    <t>187651</t>
  </si>
  <si>
    <t>RegA-OR TB Flats</t>
  </si>
  <si>
    <t>187652</t>
  </si>
  <si>
    <t>RegA-OR Cedar Springs II</t>
  </si>
  <si>
    <t>187653</t>
  </si>
  <si>
    <t>CA 2023 GRC Memo Account</t>
  </si>
  <si>
    <t>187657</t>
  </si>
  <si>
    <t>RegA - Insurance Reserves-Recl to Liab</t>
  </si>
  <si>
    <t>187658</t>
  </si>
  <si>
    <t>RegA-WA Insurance Reserves-Recl to Liab</t>
  </si>
  <si>
    <t>187659</t>
  </si>
  <si>
    <t>RegA-CA Insurance Reserves-Recl to Liab</t>
  </si>
  <si>
    <t>187660</t>
  </si>
  <si>
    <t>RegA-OR Transp Electrification Pilot</t>
  </si>
  <si>
    <t>187661</t>
  </si>
  <si>
    <t>RegA-UT Elec Vehicle Charging Infrast</t>
  </si>
  <si>
    <t>187662</t>
  </si>
  <si>
    <t>RegA-CA Transp Electrification Pilot</t>
  </si>
  <si>
    <t>187664</t>
  </si>
  <si>
    <t>RegA-WA Transp Electrification Pilot</t>
  </si>
  <si>
    <t>187665</t>
  </si>
  <si>
    <t>RegA-OR Residential Charging Pilot</t>
  </si>
  <si>
    <t>187831</t>
  </si>
  <si>
    <t>Reg Asset - UT RBA CY2022</t>
  </si>
  <si>
    <t>187833</t>
  </si>
  <si>
    <t>Reg Asset - UT RBA CY2023</t>
  </si>
  <si>
    <t>187860</t>
  </si>
  <si>
    <t>Reg Asset - WY RRA CY2022</t>
  </si>
  <si>
    <t>187861</t>
  </si>
  <si>
    <t>Reg Asset - WY RRA CY2023</t>
  </si>
  <si>
    <t>187886</t>
  </si>
  <si>
    <t>Reg Asset-OR RPS Compliance Purchases</t>
  </si>
  <si>
    <t>187894</t>
  </si>
  <si>
    <t>RegA - OR RECs in Rates - Recl to Curr</t>
  </si>
  <si>
    <t>187896</t>
  </si>
  <si>
    <t>RegA - UT RECs in Rates - Recl to Curr</t>
  </si>
  <si>
    <t>187897</t>
  </si>
  <si>
    <t>RegA - UT RECs in Rates - Recl to Liab</t>
  </si>
  <si>
    <t>187898</t>
  </si>
  <si>
    <t>RegA - Def RECs in Rates - Recl to Curr</t>
  </si>
  <si>
    <t>187899</t>
  </si>
  <si>
    <t>RegA - WY RECs in Rates - Recl to Liab</t>
  </si>
  <si>
    <t>187911</t>
  </si>
  <si>
    <t>REG ASSET - LAKE SIDE LIQ. DAMAGES - WY</t>
  </si>
  <si>
    <t>187913</t>
  </si>
  <si>
    <t>Reg Asset - Goodnoe Hills Liq. Damages -</t>
  </si>
  <si>
    <t>187914</t>
  </si>
  <si>
    <t>"Reg Asset-UT-Liq. Damages JB4, N1&amp;2"</t>
  </si>
  <si>
    <t>187915</t>
  </si>
  <si>
    <t>Reg Asset-WY-Liq. Damages N2</t>
  </si>
  <si>
    <t>187916</t>
  </si>
  <si>
    <t>Reg Asset-WY Wind Test Energy Deferral</t>
  </si>
  <si>
    <t>187952</t>
  </si>
  <si>
    <t>DEFERRED INTERVENER</t>
  </si>
  <si>
    <t>187956</t>
  </si>
  <si>
    <t>CA DEFERRED INTERVENOR FUNDING</t>
  </si>
  <si>
    <t>187957</t>
  </si>
  <si>
    <t>DEFERRED OR INDEPENDENT EVALUATOR FEES</t>
  </si>
  <si>
    <t>187958</t>
  </si>
  <si>
    <t>ID Deferred Intervenor Funding</t>
  </si>
  <si>
    <t>187959</t>
  </si>
  <si>
    <t>WA Deferred Intervenor Funding</t>
  </si>
  <si>
    <t>187964</t>
  </si>
  <si>
    <t>RegA - Intervenor Fees - Recl to Liab</t>
  </si>
  <si>
    <t>187967</t>
  </si>
  <si>
    <t>RegA - OR Asset Sale Gain-Balance Recl</t>
  </si>
  <si>
    <t>187968</t>
  </si>
  <si>
    <t>Reg A - Insurance Reserves - Reclass</t>
  </si>
  <si>
    <t>187975</t>
  </si>
  <si>
    <t>Reg Asset - CA ECAC</t>
  </si>
  <si>
    <t>187989</t>
  </si>
  <si>
    <t>Reg Asset - OR PCAM FY2021</t>
  </si>
  <si>
    <t>189001</t>
  </si>
  <si>
    <t>RegA-CA Fire Risk Mitigation (FRMMA)</t>
  </si>
  <si>
    <t>189002</t>
  </si>
  <si>
    <t>RegA-CA Wildfire Mitigation Plan(WMPMA)</t>
  </si>
  <si>
    <t>189003</t>
  </si>
  <si>
    <t>Contra RegA-CA Fire/Wildlife Mitigation</t>
  </si>
  <si>
    <t>189004</t>
  </si>
  <si>
    <t>RegA-CA Fire Hazard Prevention (FHPMA)</t>
  </si>
  <si>
    <t>189005</t>
  </si>
  <si>
    <t>RegA-CA Wildfire/Natl Disaster (WNDRR)</t>
  </si>
  <si>
    <t>189006</t>
  </si>
  <si>
    <t>RegA-CA Emerg Cust Protections (ECPMA)</t>
  </si>
  <si>
    <t>189011</t>
  </si>
  <si>
    <t>Reg Asset-UT Wildland Fire Protection</t>
  </si>
  <si>
    <t>189015</t>
  </si>
  <si>
    <t>Contra RegA-UT Wildland Fire Prot</t>
  </si>
  <si>
    <t>189016</t>
  </si>
  <si>
    <t>Reg Asset-OR Wildfire Mitigation Acct</t>
  </si>
  <si>
    <t>189017</t>
  </si>
  <si>
    <t>RegA-OR Wildfire – Damaged Asset NBV</t>
  </si>
  <si>
    <t>189019</t>
  </si>
  <si>
    <t>RegA-OR Wildfire WMVM 2022</t>
  </si>
  <si>
    <t>189020</t>
  </si>
  <si>
    <t>Contra RegA-OR Wildfire Mitigation</t>
  </si>
  <si>
    <t>189021</t>
  </si>
  <si>
    <t>RegA-OR Wildfire WMVM 2023</t>
  </si>
  <si>
    <t>189029</t>
  </si>
  <si>
    <t>RegA-Wildfire Mitigation - Recl to Curr</t>
  </si>
  <si>
    <t>189030</t>
  </si>
  <si>
    <t>Klamath Unrecovered Plant and Transfer</t>
  </si>
  <si>
    <t>189508</t>
  </si>
  <si>
    <t>Reg Asset - CA ECAC CY2023</t>
  </si>
  <si>
    <t>189509</t>
  </si>
  <si>
    <t>Contra Reg Asset - CA ECAC CY2023</t>
  </si>
  <si>
    <t>189528</t>
  </si>
  <si>
    <t>RegA - CA Def Exc NPC - Recl to Curr</t>
  </si>
  <si>
    <t>189537</t>
  </si>
  <si>
    <t>Reg Asset-ID ECAM CY 2022</t>
  </si>
  <si>
    <t>189538</t>
  </si>
  <si>
    <t>Reg Asset-ID ECAM CY 2023</t>
  </si>
  <si>
    <t>189547</t>
  </si>
  <si>
    <t>Contra Reg Asset - ID ECAM CY 2022</t>
  </si>
  <si>
    <t>189548</t>
  </si>
  <si>
    <t>Contra Reg Asset - ID ECAM CY 2023</t>
  </si>
  <si>
    <t>189568</t>
  </si>
  <si>
    <t>RegA - ID Def Exc NPC - Recl to Curr</t>
  </si>
  <si>
    <t>189586</t>
  </si>
  <si>
    <t>Reg Asset - OR PCAM FY2022</t>
  </si>
  <si>
    <t>189588</t>
  </si>
  <si>
    <t>Reg Asset - OR PCAM CY2023</t>
  </si>
  <si>
    <t>189589</t>
  </si>
  <si>
    <t>Contra Reg Asset - OR PCAM CY2023</t>
  </si>
  <si>
    <t>189598</t>
  </si>
  <si>
    <t>RegA - OR Def Exc NPC - Recl to Curr</t>
  </si>
  <si>
    <t>189612</t>
  </si>
  <si>
    <t>Reg Asset - UT EBA CY2022</t>
  </si>
  <si>
    <t>189613</t>
  </si>
  <si>
    <t>Reg Asset - UT EBA CY2023</t>
  </si>
  <si>
    <t>189622</t>
  </si>
  <si>
    <t>Contra Reg Asset - UT EBA CY2022</t>
  </si>
  <si>
    <t>189623</t>
  </si>
  <si>
    <t>Contra Reg Asset - UT EBA CY2023</t>
  </si>
  <si>
    <t>189638</t>
  </si>
  <si>
    <t>RegA - UT Def Exc NPC - Recl to Curr</t>
  </si>
  <si>
    <t>189642</t>
  </si>
  <si>
    <t>Reg Asset-WA-Major Mtc Exp-Colstrip U4</t>
  </si>
  <si>
    <t>189644</t>
  </si>
  <si>
    <t>Reg Asset - WA PCAM PTC CY2023</t>
  </si>
  <si>
    <t>189645</t>
  </si>
  <si>
    <t>Reg Asset - WA PCAM CY2023</t>
  </si>
  <si>
    <t>189646</t>
  </si>
  <si>
    <t>Contra Reg Asset - WA PCAM CY2023</t>
  </si>
  <si>
    <t>189648</t>
  </si>
  <si>
    <t>RegA - WA Def Exc NPC - Recl to Curr</t>
  </si>
  <si>
    <t>189649</t>
  </si>
  <si>
    <t>RegA - WA Def Exc NPC - Recl to Liab</t>
  </si>
  <si>
    <t>189652</t>
  </si>
  <si>
    <t>Reg Asset - WY ECAM CY2022</t>
  </si>
  <si>
    <t>189653</t>
  </si>
  <si>
    <t>Reg Asset - WY ECAM CY2023</t>
  </si>
  <si>
    <t>189663</t>
  </si>
  <si>
    <t>Contra Reg Asset - WY ECAM CY2023</t>
  </si>
  <si>
    <t>189688</t>
  </si>
  <si>
    <t>RegA - WY Def Exc NPC - Recl to Curr</t>
  </si>
  <si>
    <t>1823990 Total</t>
  </si>
  <si>
    <t>1823999</t>
  </si>
  <si>
    <t>REGULATORY ASST-OTH</t>
  </si>
  <si>
    <t>186011</t>
  </si>
  <si>
    <t>DSM Reg Asset - Accruals - CA</t>
  </si>
  <si>
    <t>186015</t>
  </si>
  <si>
    <t>DSM Reg Asset - Balancing Acct - CA</t>
  </si>
  <si>
    <t>186021</t>
  </si>
  <si>
    <t>DSM Reg Asset - Accruals - ID</t>
  </si>
  <si>
    <t>186025</t>
  </si>
  <si>
    <t>DSM Reg Asset - Balancing Acct - ID</t>
  </si>
  <si>
    <t>186035</t>
  </si>
  <si>
    <t>DSM Reg Asset - Balancing Acct - OR</t>
  </si>
  <si>
    <t>186041</t>
  </si>
  <si>
    <t>DSM Reg Asset - Accruals - UT</t>
  </si>
  <si>
    <t>186045</t>
  </si>
  <si>
    <t>DSM Reg Asset - Balancing Acct - UT</t>
  </si>
  <si>
    <t>186051</t>
  </si>
  <si>
    <t>DSM Reg Asset - Accruals - WA</t>
  </si>
  <si>
    <t>186055</t>
  </si>
  <si>
    <t>DSM Reg Asset - Balancing Acct - WA</t>
  </si>
  <si>
    <t>186061</t>
  </si>
  <si>
    <t>DSM Reg Asset - Accruals - WY</t>
  </si>
  <si>
    <t>186065</t>
  </si>
  <si>
    <t>DSM Reg Asset - Balancing Acct - WY</t>
  </si>
  <si>
    <t>186071</t>
  </si>
  <si>
    <t>DSM Reg Asset - Accruals - WY Cat 1</t>
  </si>
  <si>
    <t>186075</t>
  </si>
  <si>
    <t>DSM Reg Asset-Balancing Acct-WY Cat 1</t>
  </si>
  <si>
    <t>186081</t>
  </si>
  <si>
    <t>DSM Reg Asset - Accruals - WY Cat 2</t>
  </si>
  <si>
    <t>186085</t>
  </si>
  <si>
    <t>DSM Reg Asset-Balancing Acct-WY Cat 2</t>
  </si>
  <si>
    <t>1823999 Total</t>
  </si>
  <si>
    <t>Depreciation Reserve (Actuals)</t>
  </si>
  <si>
    <t>DEPR</t>
  </si>
  <si>
    <t>1000 PacifiCorp; 2010 Interwest Mining Company; 2020 Pacific Minerals, Inc; 2030 Glenrock Coal Company; 2040 Centralia Mining Company; 2050 Energy West Mining Comp; 2060 Fossil Rock Fuels, LLC</t>
  </si>
  <si>
    <t>1080000</t>
  </si>
  <si>
    <t>AC PR DPR EL PL SR</t>
  </si>
  <si>
    <t>AERIAL LIFT PB TRUCKS, 10000#-16000# GVW</t>
  </si>
  <si>
    <t>1080000 Total</t>
  </si>
  <si>
    <t>1083000</t>
  </si>
  <si>
    <t>AC PR DPR-REMOVAL</t>
  </si>
  <si>
    <t>288351</t>
  </si>
  <si>
    <t>REG LIAB - STEAM DECOMM - ID</t>
  </si>
  <si>
    <t>288353</t>
  </si>
  <si>
    <t>REG LIAB - STEAM DECOMM - UT</t>
  </si>
  <si>
    <t>288355</t>
  </si>
  <si>
    <t>REG LIAB - STEAM DECOMM -  WY</t>
  </si>
  <si>
    <t>288361</t>
  </si>
  <si>
    <t>Reg Liab - Steam Decomm - CA</t>
  </si>
  <si>
    <t>288365</t>
  </si>
  <si>
    <t>Reg Liab - Steam Decomm - WA</t>
  </si>
  <si>
    <t>1083000 Total</t>
  </si>
  <si>
    <t>1085000</t>
  </si>
  <si>
    <t>AC PR DPR-ACCRUAL</t>
  </si>
  <si>
    <t>145129</t>
  </si>
  <si>
    <t>BUILDINGS - ACCUMULATED DEPRECIATION-NON</t>
  </si>
  <si>
    <t>145135</t>
  </si>
  <si>
    <t>ACCUM DEPR-HYDRO DECOMMISSIONING</t>
  </si>
  <si>
    <t>145139</t>
  </si>
  <si>
    <t>PRODUCTION PLANT-ACCUM DEPRECIATION</t>
  </si>
  <si>
    <t>145149</t>
  </si>
  <si>
    <t>TRANSMISSION PLANT ACCUMULATED DEPR NON-</t>
  </si>
  <si>
    <t>145169</t>
  </si>
  <si>
    <t>DISTRIBUTION - ACCUMULATED DEPRECIATION</t>
  </si>
  <si>
    <t>1085000 Total</t>
  </si>
  <si>
    <t>Amortization Reserve (Actuals)</t>
  </si>
  <si>
    <t>AMTR</t>
  </si>
  <si>
    <t>1110000</t>
  </si>
  <si>
    <t>AC PR AMR EL PT SR</t>
  </si>
  <si>
    <t>REGIONAL CONST MGMT SYS</t>
  </si>
  <si>
    <t>FUEL MGMT SYSTEM</t>
  </si>
  <si>
    <t>1110000/3032190</t>
  </si>
  <si>
    <t>VCPRO - VISUALCOMPUSETPRO XEROX CUST STM</t>
  </si>
  <si>
    <t>ARCFM SOFTWARE</t>
  </si>
  <si>
    <t>2000 OREGON CORP SMALL SOFTWARE PKGS</t>
  </si>
  <si>
    <t>2000 UTAH CORP SMALL SOFTWARE PKGS</t>
  </si>
  <si>
    <t>1110000 Total</t>
  </si>
  <si>
    <t>1119000</t>
  </si>
  <si>
    <t>AC PR AMR EL PT SR-O</t>
  </si>
  <si>
    <t>146149</t>
  </si>
  <si>
    <t>SOFTWARE DEVELOPMENT-NON-REC</t>
  </si>
  <si>
    <t>1119000 Total</t>
  </si>
  <si>
    <t>Investment Tax Credit Balance (Actuals)</t>
  </si>
  <si>
    <t>ITCB</t>
  </si>
  <si>
    <t>2551000</t>
  </si>
  <si>
    <t>ACC DEF ITC - FED</t>
  </si>
  <si>
    <t>285620</t>
  </si>
  <si>
    <t>Accum Def ITC - Solar Arrays - 2013</t>
  </si>
  <si>
    <t>285621</t>
  </si>
  <si>
    <t>Accum Def ITC - Solar Arrays - 2014</t>
  </si>
  <si>
    <t>285622</t>
  </si>
  <si>
    <t>Accum Def ITC - Solar Battery</t>
  </si>
  <si>
    <t>285623</t>
  </si>
  <si>
    <t>Accum Def ITC - Solar Facility</t>
  </si>
  <si>
    <t>2551000 Total</t>
  </si>
  <si>
    <t>2552000</t>
  </si>
  <si>
    <t>ACC DEF ITC-IDAHO</t>
  </si>
  <si>
    <t>285612</t>
  </si>
  <si>
    <t>Acc Def Idaho ITC-ID situs ATL</t>
  </si>
  <si>
    <t>2552000 Total</t>
  </si>
  <si>
    <t>Deferred Income Tax Balance (Actuals)</t>
  </si>
  <si>
    <t>DITB</t>
  </si>
  <si>
    <t>1900000</t>
  </si>
  <si>
    <t>ACM DEF INCM TAXES</t>
  </si>
  <si>
    <t>287061</t>
  </si>
  <si>
    <t>DTA 705.346 - CA - Protected PP&amp;E ARAM</t>
  </si>
  <si>
    <t>287062</t>
  </si>
  <si>
    <t>DTA 705.347 - ID - Protected PP&amp;E ARAM</t>
  </si>
  <si>
    <t>287063</t>
  </si>
  <si>
    <t>DTA 705.348 - OR - Protected PP&amp;E ARAM</t>
  </si>
  <si>
    <t>287065</t>
  </si>
  <si>
    <t>DTA 705.350 - WA - Protected PP&amp;E ARAM</t>
  </si>
  <si>
    <t>287066</t>
  </si>
  <si>
    <t>DTA 705.351 - WY - Protected PP&amp;E ARAM</t>
  </si>
  <si>
    <t>1900000 Total</t>
  </si>
  <si>
    <t>1901000</t>
  </si>
  <si>
    <t>ACCUM DEF INC TAX</t>
  </si>
  <si>
    <t>286945</t>
  </si>
  <si>
    <t>DTA 715.295 RL-OR Fly Ash</t>
  </si>
  <si>
    <t>286952</t>
  </si>
  <si>
    <t>DTA 715.296 RL - Fly Ash - WA</t>
  </si>
  <si>
    <t>287045</t>
  </si>
  <si>
    <t>DTA 610.155 RL - WA-Plant Closure Cost</t>
  </si>
  <si>
    <t>287047</t>
  </si>
  <si>
    <t>DTA 610.150 RL-Bridger Acc Dep&amp;Reclm-OR</t>
  </si>
  <si>
    <t>287048</t>
  </si>
  <si>
    <t>DTA 705.425 RL-Bridger Accel Depr- WA</t>
  </si>
  <si>
    <t>287049</t>
  </si>
  <si>
    <t>DTA 705.352 RL-Klamath Dams Removal-CA</t>
  </si>
  <si>
    <t>287055</t>
  </si>
  <si>
    <t>DTA 705.344 RL-Income Tax Deferral-WA</t>
  </si>
  <si>
    <t>287056</t>
  </si>
  <si>
    <t>DTA 705.345 RL-Income Tax Deferral-WY</t>
  </si>
  <si>
    <t>287080</t>
  </si>
  <si>
    <t>287111</t>
  </si>
  <si>
    <t>DTA 705.287 RL - Prot PP&amp;E EDIT - CA</t>
  </si>
  <si>
    <t>287112</t>
  </si>
  <si>
    <t>DTA 705.288 RL - Prot PP&amp;E EDIT - ID</t>
  </si>
  <si>
    <t>287113</t>
  </si>
  <si>
    <t>DTA 705.289 RL - Prot PP&amp;E EDIT - OR</t>
  </si>
  <si>
    <t>287114</t>
  </si>
  <si>
    <t>DTA 705.290 RL - Prot PP&amp;E EDIT - WA</t>
  </si>
  <si>
    <t>287115</t>
  </si>
  <si>
    <t>DTA 705.291 RL - Prot PP&amp;E EDIT - WY</t>
  </si>
  <si>
    <t>287116</t>
  </si>
  <si>
    <t>DTA 705.292 RL - Prot PP&amp;E EDIT - UT</t>
  </si>
  <si>
    <t>287121</t>
  </si>
  <si>
    <t>DTA 705.294 RL-NonProt PP&amp;E EDIT-CA</t>
  </si>
  <si>
    <t>287124</t>
  </si>
  <si>
    <t>DTA 705.296 RL-NonProt PP&amp;E EDIT-WA</t>
  </si>
  <si>
    <t>287125</t>
  </si>
  <si>
    <t>DTA 705.297 RL-NonProt PP&amp;E EDIT-WY</t>
  </si>
  <si>
    <t>287171</t>
  </si>
  <si>
    <t>DTA 415.940 RL-Steam Decomm-CA</t>
  </si>
  <si>
    <t>287173</t>
  </si>
  <si>
    <t>DTA 415.942 RL-Steam Decomm-WA</t>
  </si>
  <si>
    <t>287174</t>
  </si>
  <si>
    <t>DTA 705.410 RL-Cholla Decomm-CA</t>
  </si>
  <si>
    <t>287175</t>
  </si>
  <si>
    <t>DTA 705.411 RL-Cholla Decomm-ID</t>
  </si>
  <si>
    <t>287176</t>
  </si>
  <si>
    <t>DTA 705.412 RL-Cholla Decomm-OR</t>
  </si>
  <si>
    <t>287177</t>
  </si>
  <si>
    <t>DTA 705.413 RL-Cholla Decomm-UT</t>
  </si>
  <si>
    <t>287178</t>
  </si>
  <si>
    <t>DTA 705.414 RL-Cholla Decomm-WY</t>
  </si>
  <si>
    <t>287191</t>
  </si>
  <si>
    <t>DTA 705.280 RL Excess Def Inc Taxes CA</t>
  </si>
  <si>
    <t>287195</t>
  </si>
  <si>
    <t>DTA 705.284 RL Excess Def Inc Taxes WA</t>
  </si>
  <si>
    <t>287198</t>
  </si>
  <si>
    <t>DTA 320.279 FAS 158 Post-Retirement</t>
  </si>
  <si>
    <t>287199</t>
  </si>
  <si>
    <t>DTA 220.101 Bad Debt</t>
  </si>
  <si>
    <t>BADDEBT</t>
  </si>
  <si>
    <t>287200</t>
  </si>
  <si>
    <t>DTA 705.267 RL-WA Decoup Mech</t>
  </si>
  <si>
    <t>287209</t>
  </si>
  <si>
    <t>DTA 705.266 RL-Energy Savings Assist-CA</t>
  </si>
  <si>
    <t>287211</t>
  </si>
  <si>
    <t>DTA 425.226 - Deferred Revenue Other</t>
  </si>
  <si>
    <t>287212</t>
  </si>
  <si>
    <t>DTA 705.245-RL-OR Dir Acc 5 yr Opt Out</t>
  </si>
  <si>
    <t>287214</t>
  </si>
  <si>
    <t>287216</t>
  </si>
  <si>
    <t>DTA 605.715 Trapper Mine Contract Oblig</t>
  </si>
  <si>
    <t>287219</t>
  </si>
  <si>
    <t>DTA 715.810 Chehalis Mitigation Oblig</t>
  </si>
  <si>
    <t>287220</t>
  </si>
  <si>
    <t>DTA 720.560 Pension Liab UMWA Withdraw</t>
  </si>
  <si>
    <t>287225</t>
  </si>
  <si>
    <t>DTA 605.103 ARO/Reg Diff - Trojan - WA</t>
  </si>
  <si>
    <t>287233</t>
  </si>
  <si>
    <t>DTA 705.515 RL OR Def NPC - Noncurrent</t>
  </si>
  <si>
    <t>287237</t>
  </si>
  <si>
    <t>DTA 705.755 RL-NONCURRENT RECLASS-OTHER</t>
  </si>
  <si>
    <t>287238</t>
  </si>
  <si>
    <t>DTA 705.420 RL - CA GHG Allowance Rev</t>
  </si>
  <si>
    <t>287252</t>
  </si>
  <si>
    <t>DTA 705.263 Reg Lia - Sale of REC's-WA</t>
  </si>
  <si>
    <t>287253</t>
  </si>
  <si>
    <t>DTA 705.400 Reg Lia - OR Inj &amp; Dam Reser</t>
  </si>
  <si>
    <t>287254</t>
  </si>
  <si>
    <t>DTA 705.450 Reg Lia - CA Property Ins Re</t>
  </si>
  <si>
    <t>287256</t>
  </si>
  <si>
    <t>DTA 705.452 Reg Lia - WA Property Ins Re</t>
  </si>
  <si>
    <t>287257</t>
  </si>
  <si>
    <t>DTA 705.453 Reg Lia - ID Property Ins Re</t>
  </si>
  <si>
    <t>287258</t>
  </si>
  <si>
    <t>DTA 705.454 Reg Lia - UT Property Ins Re</t>
  </si>
  <si>
    <t>287259</t>
  </si>
  <si>
    <t>DTA 705.455 Reg Lia - WY Property Ins Re</t>
  </si>
  <si>
    <t>287270</t>
  </si>
  <si>
    <t>Valuation Allowance for DTA</t>
  </si>
  <si>
    <t>287271</t>
  </si>
  <si>
    <t>DTA 705.336 RL - Sale of RECs - UT</t>
  </si>
  <si>
    <t>287272</t>
  </si>
  <si>
    <t>DTA 705.337 RL - Sale of RECs - WY</t>
  </si>
  <si>
    <t>287274</t>
  </si>
  <si>
    <t>DTA 705.261 Reg Liab-Sale of RECs-OR</t>
  </si>
  <si>
    <t>287281</t>
  </si>
  <si>
    <t>DTA - CA AMT CREDIT</t>
  </si>
  <si>
    <t>287298</t>
  </si>
  <si>
    <t>DTA 205.210 ERC Impairment Reserve</t>
  </si>
  <si>
    <t>287299</t>
  </si>
  <si>
    <t>DTA 705.265 Reg Liab-OR Energy Conservat</t>
  </si>
  <si>
    <t>287302</t>
  </si>
  <si>
    <t>DTA-610.114 PMI EITF 04-06 PRE STRIPPING</t>
  </si>
  <si>
    <t>287304</t>
  </si>
  <si>
    <t>DTA 610.146 OR REG ASSET/LIAB CONS</t>
  </si>
  <si>
    <t>287324</t>
  </si>
  <si>
    <t>DTA 720.200 Deferred Comp. Accrual - Cas</t>
  </si>
  <si>
    <t>287326</t>
  </si>
  <si>
    <t>DTA 720.500 Severance  Accrual - Cash Ba</t>
  </si>
  <si>
    <t>287327</t>
  </si>
  <si>
    <t>DTA 720.300 Pension/Retirement Accrual -</t>
  </si>
  <si>
    <t>287332</t>
  </si>
  <si>
    <t>DTA 505.600 Vacation Accrual-Cash Basis</t>
  </si>
  <si>
    <t>287337</t>
  </si>
  <si>
    <t>DTA 715.105 MCI F.O.G. WIRE LEASE</t>
  </si>
  <si>
    <t>287338</t>
  </si>
  <si>
    <t>DTA415.110 Def Reg Asset-Transmission Sr</t>
  </si>
  <si>
    <t>287340</t>
  </si>
  <si>
    <t>DTA 220.100 Bad Debts Allowance - Cash B</t>
  </si>
  <si>
    <t>287341</t>
  </si>
  <si>
    <t>287370</t>
  </si>
  <si>
    <t>DTA 425.215 Unearned Joint Use Pole Cont</t>
  </si>
  <si>
    <t>287371</t>
  </si>
  <si>
    <t>DTA 930.100 Oregon BETC Credits</t>
  </si>
  <si>
    <t>287389</t>
  </si>
  <si>
    <t>DTA 610.145 RL - DSM</t>
  </si>
  <si>
    <t>287415</t>
  </si>
  <si>
    <t>DTA 205.200 M&amp;S INV</t>
  </si>
  <si>
    <t>287417</t>
  </si>
  <si>
    <t>DTA 605.710 ACCRUED FINAL RECLAMATION</t>
  </si>
  <si>
    <t>287430</t>
  </si>
  <si>
    <t>DTA 505.125 Accrued Royalties</t>
  </si>
  <si>
    <t>287437</t>
  </si>
  <si>
    <t>DTA Net Operating Loss Carryforwrd-State</t>
  </si>
  <si>
    <t>287441</t>
  </si>
  <si>
    <t>DTA 605.100 Trojan Decom Cost-Regulatory</t>
  </si>
  <si>
    <t>287449</t>
  </si>
  <si>
    <t>DTA Federal Detriment of State NOL</t>
  </si>
  <si>
    <t>287473</t>
  </si>
  <si>
    <t>DTA 705.270 Reg Liab</t>
  </si>
  <si>
    <t>287474</t>
  </si>
  <si>
    <t>DTA 705.271 Reg Liab</t>
  </si>
  <si>
    <t>287475</t>
  </si>
  <si>
    <t>DTA 705.272 Reg Liab</t>
  </si>
  <si>
    <t>287476</t>
  </si>
  <si>
    <t>DTA 705.273 Reg Liab</t>
  </si>
  <si>
    <t>287477</t>
  </si>
  <si>
    <t>DTA 705.274 Reg Liab</t>
  </si>
  <si>
    <t>287478</t>
  </si>
  <si>
    <t>DTA 705.275 Reg Liab</t>
  </si>
  <si>
    <t>287482</t>
  </si>
  <si>
    <t>DTA 205.025 PMI Fuel Cost Adjustment</t>
  </si>
  <si>
    <t>287486</t>
  </si>
  <si>
    <t>DTA 415.926 RL-Depreciation Decrease-OR</t>
  </si>
  <si>
    <t>287681</t>
  </si>
  <si>
    <t>DTL 920.110 BRIDGER EXTRACTION TAXES PAY</t>
  </si>
  <si>
    <t>287706</t>
  </si>
  <si>
    <t>DTL 610.100 COAL MINE DEVT PMI</t>
  </si>
  <si>
    <t>287720</t>
  </si>
  <si>
    <t>DTL 610.100 PMI DEV'T COST AMORT</t>
  </si>
  <si>
    <t>287722</t>
  </si>
  <si>
    <t>DTL 505.510 PMI VAC ACCRUAL</t>
  </si>
  <si>
    <t>287723</t>
  </si>
  <si>
    <t>DTL 205.411 PMI SEC. 263A</t>
  </si>
  <si>
    <t>287726</t>
  </si>
  <si>
    <t>DTL PMI PP&amp;E</t>
  </si>
  <si>
    <t>287735</t>
  </si>
  <si>
    <t>287840</t>
  </si>
  <si>
    <t>DTL 415.410 RA Energy West Mining</t>
  </si>
  <si>
    <t>287937</t>
  </si>
  <si>
    <t>DTA 505.601 PMI - Sick Leave Accrual</t>
  </si>
  <si>
    <t>287938</t>
  </si>
  <si>
    <t>DTA 205.205 Inventory Reserve - PMI</t>
  </si>
  <si>
    <t>287970</t>
  </si>
  <si>
    <t>DTL 415.815 Insurance Rec Accruals</t>
  </si>
  <si>
    <t>1901000 Total</t>
  </si>
  <si>
    <t>2811000</t>
  </si>
  <si>
    <t>AC DEF TAX-ACCL AM</t>
  </si>
  <si>
    <t>287960</t>
  </si>
  <si>
    <t>DTL 105.128 Accel Depr Pollution Cntrl F</t>
  </si>
  <si>
    <t>2811000 Total</t>
  </si>
  <si>
    <t>2820000</t>
  </si>
  <si>
    <t>AC DEF INCTX-PROPT</t>
  </si>
  <si>
    <t>287704</t>
  </si>
  <si>
    <t>DTL 105.143/165 Basis Diff - Intangibles</t>
  </si>
  <si>
    <t>2820000 Total</t>
  </si>
  <si>
    <t>2821000</t>
  </si>
  <si>
    <t>AC DEF TAX-UTILITY</t>
  </si>
  <si>
    <t>286605</t>
  </si>
  <si>
    <t>DTL 105.136 PP&amp;E</t>
  </si>
  <si>
    <t>DITBAL</t>
  </si>
  <si>
    <t>287071</t>
  </si>
  <si>
    <t>DTL 105.270 - Inc Tax Prop Flowthru-CA</t>
  </si>
  <si>
    <t>287072</t>
  </si>
  <si>
    <t>DTL 105.271 - Inc Tax Prop Flowthru-ID</t>
  </si>
  <si>
    <t>287073</t>
  </si>
  <si>
    <t>DTL 105.272 - Inc Tax Prop Flowthru-OR</t>
  </si>
  <si>
    <t>287074</t>
  </si>
  <si>
    <t>DTL 105.273 - Inc Tax Prop Flowthru-UT</t>
  </si>
  <si>
    <t>287075</t>
  </si>
  <si>
    <t>DTL 105.274 - Inc Tax Prop Flowthru-WA</t>
  </si>
  <si>
    <t>287076</t>
  </si>
  <si>
    <t>DTL 105.275 - Inc Tax Prop Flowthru-WY</t>
  </si>
  <si>
    <t>287221</t>
  </si>
  <si>
    <t>DTA 415.933 RL Contra-Carbon Decomm-ID</t>
  </si>
  <si>
    <t>287222</t>
  </si>
  <si>
    <t>DTA 415.934 RL Contra-Carbon Decomm-UT</t>
  </si>
  <si>
    <t>287223</t>
  </si>
  <si>
    <t>DTA 415.935 RL Contra-Carbon Decomm-WY</t>
  </si>
  <si>
    <t>287605</t>
  </si>
  <si>
    <t>DTL PP&amp;E Powertax</t>
  </si>
  <si>
    <t>287607</t>
  </si>
  <si>
    <t>287766</t>
  </si>
  <si>
    <t>DTL 610.100N Amort</t>
  </si>
  <si>
    <t>287771</t>
  </si>
  <si>
    <t>DTL 110.205 SRC tax depletion</t>
  </si>
  <si>
    <t>287928</t>
  </si>
  <si>
    <t>DTL 425.310 Hydro Relicensing Obligation</t>
  </si>
  <si>
    <t>2821000 Total</t>
  </si>
  <si>
    <t>2831000</t>
  </si>
  <si>
    <t>AC DEF IN TX UTIL</t>
  </si>
  <si>
    <t>286887</t>
  </si>
  <si>
    <t>DTL 320.286 RA-Pension Settlement-OR</t>
  </si>
  <si>
    <t>286888</t>
  </si>
  <si>
    <t>DTL 320.287 RA-Pension Settlement-UT</t>
  </si>
  <si>
    <t>286889</t>
  </si>
  <si>
    <t>DTL 320.288 RA-Pension Settlement-WY</t>
  </si>
  <si>
    <t>286890</t>
  </si>
  <si>
    <t>DTL 415.100 RA - Equity Adv Group - WA</t>
  </si>
  <si>
    <t>286891</t>
  </si>
  <si>
    <t>DTL 415.943-RA-COV19 Bill Assist Prg-OR</t>
  </si>
  <si>
    <t>286892</t>
  </si>
  <si>
    <t>DTL 415.944-RA-COV19 Bill Assist Prg-WA</t>
  </si>
  <si>
    <t>286893</t>
  </si>
  <si>
    <t>DTL 415.755 RA-WA-Maj Mtc Exp-Colstrip</t>
  </si>
  <si>
    <t>286894</t>
  </si>
  <si>
    <t>DTL 415.261 RA-Wildland Fire Protect–UT</t>
  </si>
  <si>
    <t>286895</t>
  </si>
  <si>
    <t>DTL 415.262 RA-Wildfire Mitigation-OR</t>
  </si>
  <si>
    <t>286896</t>
  </si>
  <si>
    <t>DTL 415.734 RA-Cholla Unrec Plant-CA</t>
  </si>
  <si>
    <t>286898</t>
  </si>
  <si>
    <t>DTL 415.736 RA-Cholla Unrec Plant-WY</t>
  </si>
  <si>
    <t>286901</t>
  </si>
  <si>
    <t>DTL 415.938 RA - Carbon Plt Dec/Inv-CA</t>
  </si>
  <si>
    <t>286908</t>
  </si>
  <si>
    <t>DTL 210.201 Property Tax</t>
  </si>
  <si>
    <t>286909</t>
  </si>
  <si>
    <t>DTL 720.815 Post-Retirement Asset</t>
  </si>
  <si>
    <t>DTL 415.200 RA-OR Transp Elect PilotPgm</t>
  </si>
  <si>
    <t>286911</t>
  </si>
  <si>
    <t>DTL 415.430 - RA-Transp Elect Pilot-CA</t>
  </si>
  <si>
    <t>286912</t>
  </si>
  <si>
    <t>DTL 415.431 - RA-Transp Elect Pilot-WA</t>
  </si>
  <si>
    <t>286913</t>
  </si>
  <si>
    <t>DTL 415.720 RA-OR Community Solar</t>
  </si>
  <si>
    <t>286917</t>
  </si>
  <si>
    <t>DTL 415.260 RA-Fire Risk Mitigation-CA</t>
  </si>
  <si>
    <t>286918</t>
  </si>
  <si>
    <t>DTL 210.175 - Prepaid - FSA O&amp;M - East</t>
  </si>
  <si>
    <t>286919</t>
  </si>
  <si>
    <t>DTL 210.170 - Prepaid - FSA O&amp;M - West</t>
  </si>
  <si>
    <t>286925</t>
  </si>
  <si>
    <t>DTL 415.728 Contra RA-Cholla U4-OR</t>
  </si>
  <si>
    <t>286926</t>
  </si>
  <si>
    <t>DTL 415.729 Contra RA-Cholla U4-UT</t>
  </si>
  <si>
    <t>286928</t>
  </si>
  <si>
    <t>DTL 415.833 RA-Pension Settlement-CA</t>
  </si>
  <si>
    <t>286929</t>
  </si>
  <si>
    <t>DTL 415.841 RA-Emerg Svc Prgms-BS-CA</t>
  </si>
  <si>
    <t>286930</t>
  </si>
  <si>
    <t>DTL 415.426-RA-2020 GRC-AMI Meter-OR</t>
  </si>
  <si>
    <t>286933</t>
  </si>
  <si>
    <t>DTL 415.645 RA-Oregon OCAT Expense Def</t>
  </si>
  <si>
    <t>286935</t>
  </si>
  <si>
    <t>DTL 415.251 RA-LowCarbon Enrgy Stnds-WY</t>
  </si>
  <si>
    <t>286936</t>
  </si>
  <si>
    <t>DTL 415.255 RA-Wind Test Enrgy Def - WY</t>
  </si>
  <si>
    <t>286937</t>
  </si>
  <si>
    <t>DTL 415.270 RA-ElectricVehChrg Infra-UT</t>
  </si>
  <si>
    <t>286938</t>
  </si>
  <si>
    <t>DTL 415.646 Reg Asset - OR Metro BIT</t>
  </si>
  <si>
    <t>286941</t>
  </si>
  <si>
    <t>DTL 415.440 RA-Low Income Bill Disc-OR</t>
  </si>
  <si>
    <t>286942</t>
  </si>
  <si>
    <t>DTL 415.441 RA-Utility Community AG-OR</t>
  </si>
  <si>
    <t>286943</t>
  </si>
  <si>
    <t>DTL 415.263 RA-Wildfire DamagedAsset-OR</t>
  </si>
  <si>
    <t>286944</t>
  </si>
  <si>
    <t>DTL 415.252-RA-Distrib System Plan - OR</t>
  </si>
  <si>
    <t>286946</t>
  </si>
  <si>
    <t>DTL 415.264 RA-OR TB Flats</t>
  </si>
  <si>
    <t>286948</t>
  </si>
  <si>
    <t>DTL 415.681 Def Intervenor Funding-WA</t>
  </si>
  <si>
    <t>286949</t>
  </si>
  <si>
    <t>DTL 415.305 RA-Cedar Springs II-OR</t>
  </si>
  <si>
    <t>286951</t>
  </si>
  <si>
    <t>DTL 415.533 RA-GRC Memo Account-CA</t>
  </si>
  <si>
    <t>287070</t>
  </si>
  <si>
    <t>DTL 415.445 RA-Klamath Unrec Plant</t>
  </si>
  <si>
    <t>287569</t>
  </si>
  <si>
    <t>DTL 720.800 FAS 158 Pension Liability</t>
  </si>
  <si>
    <t>287570</t>
  </si>
  <si>
    <t>DTL 415.701 CA Deferred Intervenor Fundi</t>
  </si>
  <si>
    <t>287571</t>
  </si>
  <si>
    <t>DTL 415.702 Reg Asset-Lake Side Liq. Dam</t>
  </si>
  <si>
    <t>287576</t>
  </si>
  <si>
    <t>DTL 430.110 REG ASSET RECLASS</t>
  </si>
  <si>
    <t>287590</t>
  </si>
  <si>
    <t>DTL 415.840 Reg Asset - Deferred OR Ind</t>
  </si>
  <si>
    <t>287591</t>
  </si>
  <si>
    <t>DTL 415.301 Environmental Clean-up Accrl</t>
  </si>
  <si>
    <t>287593</t>
  </si>
  <si>
    <t>DTL 415.874 Deferred Net Power Costs-WY</t>
  </si>
  <si>
    <t>287596</t>
  </si>
  <si>
    <t>DTL 415.892 Deferred Net Power Costs - I</t>
  </si>
  <si>
    <t>287597</t>
  </si>
  <si>
    <t>DTL 415.703 Goodnoe Hills Liquidation Da</t>
  </si>
  <si>
    <t>287601</t>
  </si>
  <si>
    <t>DTL 415.677 RA Pref Stock Redemption WA</t>
  </si>
  <si>
    <t>287614</t>
  </si>
  <si>
    <t>DTL 430.100 Weatherization</t>
  </si>
  <si>
    <t>287634</t>
  </si>
  <si>
    <t>DTL 415.300 Environmental Clean-up Accru</t>
  </si>
  <si>
    <t>287640</t>
  </si>
  <si>
    <t>DTL 415.680 Deferred Intervener Funding</t>
  </si>
  <si>
    <t>287647</t>
  </si>
  <si>
    <t>DTL 425.100 IDAHO DEFERRED REGULATORY EX</t>
  </si>
  <si>
    <t>287661</t>
  </si>
  <si>
    <t>DTL 425.360 Hermiston Swap</t>
  </si>
  <si>
    <t>287662</t>
  </si>
  <si>
    <t>DTL 210.100 Prepaid Taxes - OR PUC</t>
  </si>
  <si>
    <t>287664</t>
  </si>
  <si>
    <t>DTL 210.120 Prepaid Taxes - UT PUC</t>
  </si>
  <si>
    <t>287665</t>
  </si>
  <si>
    <t>DTL 210.130 Prepaid Taxes - ID PUC</t>
  </si>
  <si>
    <t>287669</t>
  </si>
  <si>
    <t>DTL 210.180 PRE MEM</t>
  </si>
  <si>
    <t>287675</t>
  </si>
  <si>
    <t>DTL 740.100 Post Merger Loss-Reacq Debt</t>
  </si>
  <si>
    <t>287685</t>
  </si>
  <si>
    <t>DTL 425.380 Idaho Customer Balancing Acc</t>
  </si>
  <si>
    <t>287708</t>
  </si>
  <si>
    <t>DTL 210.200 PREPAID PROPERTY TAXES</t>
  </si>
  <si>
    <t>287738</t>
  </si>
  <si>
    <t>DTL 320.270 Reg Asset FAS 158 Pension</t>
  </si>
  <si>
    <t>287747</t>
  </si>
  <si>
    <t>DTL 705.240 CA Energy Program</t>
  </si>
  <si>
    <t>287770</t>
  </si>
  <si>
    <t>DTL 120.205 TRAPPER MINE-EQUITY EARNINGS</t>
  </si>
  <si>
    <t>287781</t>
  </si>
  <si>
    <t>DTL 415.870 Def CA</t>
  </si>
  <si>
    <t>287841</t>
  </si>
  <si>
    <t>DTL 415.411 ContraRA DeerCreekAband CA</t>
  </si>
  <si>
    <t>287842</t>
  </si>
  <si>
    <t>DTL 415.412 ContraRA DeerCreekAband ID</t>
  </si>
  <si>
    <t>287843</t>
  </si>
  <si>
    <t>DTL 415.413 ContraRA DeerCreekAband OR</t>
  </si>
  <si>
    <t>287845</t>
  </si>
  <si>
    <t>DTL 415.415 ContraRA DeerCreekAband WA</t>
  </si>
  <si>
    <t>287846</t>
  </si>
  <si>
    <t>DTL 415.416 ContraRA DeerCreekAband WY</t>
  </si>
  <si>
    <t>287848</t>
  </si>
  <si>
    <t>DTL 320.281 RA Post-Ret Settlement Loss</t>
  </si>
  <si>
    <t>287849</t>
  </si>
  <si>
    <t>DTL 415.424 ContraRA DeerCreekAband</t>
  </si>
  <si>
    <t>287850</t>
  </si>
  <si>
    <t>DTL 415.425 Contra RA UMWA Pension</t>
  </si>
  <si>
    <t>287855</t>
  </si>
  <si>
    <t>DTL 415.421 Contra RA UMWA Pension WA</t>
  </si>
  <si>
    <t>287858</t>
  </si>
  <si>
    <t>DTL 415.676 RA Pref Stock Redemption-WY</t>
  </si>
  <si>
    <t>287860</t>
  </si>
  <si>
    <t>DTL 415.855 Reg Asset-CA-Jan10 Storm Cos</t>
  </si>
  <si>
    <t>287861</t>
  </si>
  <si>
    <t>DTL 415.857 Reg Asset-ID-Def Overburden</t>
  </si>
  <si>
    <t>287868</t>
  </si>
  <si>
    <t>DTL 415.858 Reg Asset-WY-Def Overburden</t>
  </si>
  <si>
    <t>287871</t>
  </si>
  <si>
    <t>DTL 415.866 Reg Asset-OR Solar Feed-In T</t>
  </si>
  <si>
    <t>287882</t>
  </si>
  <si>
    <t>DTL 415.876 Deferred Net Power Costs-OR</t>
  </si>
  <si>
    <t>287887</t>
  </si>
  <si>
    <t>DTL 415.881 Def of Excess RECs UT</t>
  </si>
  <si>
    <t>287888</t>
  </si>
  <si>
    <t>DTL 415.882 Def of Excess RECs WA</t>
  </si>
  <si>
    <t>287889</t>
  </si>
  <si>
    <t>DTL 415.883 Def of Excess RECs WY</t>
  </si>
  <si>
    <t>287896</t>
  </si>
  <si>
    <t>DTL 415.875 Def Net Power Cost - UT</t>
  </si>
  <si>
    <t>287899</t>
  </si>
  <si>
    <t>DTL 415.878 RA-UT Liq Damages</t>
  </si>
  <si>
    <t>287903</t>
  </si>
  <si>
    <t>DTL 415.879 RA-Liq Damages N2-WY</t>
  </si>
  <si>
    <t>287906</t>
  </si>
  <si>
    <t>DTL 415.863 RA-UT Subscriber Solar Prog</t>
  </si>
  <si>
    <t>287907</t>
  </si>
  <si>
    <t>DTL 210.185-Prepaid Aircraft Maint Cost</t>
  </si>
  <si>
    <t>287908</t>
  </si>
  <si>
    <t>DTL 210.190 - Prepaid Water Rights</t>
  </si>
  <si>
    <t>287917</t>
  </si>
  <si>
    <t>DTL 705.451 - RL - OR Property Ins Res</t>
  </si>
  <si>
    <t>287919</t>
  </si>
  <si>
    <t>DTL 425.105 RA-OR Asset Sale Gain GB-NC</t>
  </si>
  <si>
    <t>287935</t>
  </si>
  <si>
    <t>DTL 415.936 RA - Carbon Plt Decom/Inv</t>
  </si>
  <si>
    <t>287939</t>
  </si>
  <si>
    <t>DTL 415.115 RA-UT STEP Pilot Program</t>
  </si>
  <si>
    <t>287942</t>
  </si>
  <si>
    <t>DTL 430.112 Reg Asset - Other - Balance</t>
  </si>
  <si>
    <t>287971</t>
  </si>
  <si>
    <t>DTL 415.868 RA UT Solar Incentive Prog</t>
  </si>
  <si>
    <t>287975</t>
  </si>
  <si>
    <t>DTL 415.655 RA - CA GHG Allowances</t>
  </si>
  <si>
    <t>287977</t>
  </si>
  <si>
    <t>DTL 415.885 RA-NONCURRENT RECLASS-OTHER</t>
  </si>
  <si>
    <t>287978</t>
  </si>
  <si>
    <t>DTL 415.906 RA OR RECs in Rate - NC</t>
  </si>
  <si>
    <t>287981</t>
  </si>
  <si>
    <t>DTL 415.920 RA-Depreciation Increase-ID</t>
  </si>
  <si>
    <t>287982</t>
  </si>
  <si>
    <t>DTL 415.921 RA-Depreciation Increase-UT</t>
  </si>
  <si>
    <t>287983</t>
  </si>
  <si>
    <t>DTL 415.922 RA-Depreciation Increase-WY</t>
  </si>
  <si>
    <t>287985</t>
  </si>
  <si>
    <t>DTL 415.924 RA-Carbon Unrec Plant - UT</t>
  </si>
  <si>
    <t>287996</t>
  </si>
  <si>
    <t>DTL 415.675 RA Pref Stock Redemption-UT</t>
  </si>
  <si>
    <t>287997</t>
  </si>
  <si>
    <t>DTL 415.862 RA-CA Mobile Home Park Conv</t>
  </si>
  <si>
    <t>2831000 Total</t>
  </si>
  <si>
    <t>Customer Advances (Actuals)</t>
  </si>
  <si>
    <t>ADVN</t>
  </si>
  <si>
    <t>1000 PacifiCorp; 2010 Interwest Mining Company; 2030 Glenrock Coal Company; 2040 Centralia Mining Company; 2050 Energy West Mining Comp; 2060 Fossil Rock Fuels, LLC; 2020 Pacific Minerals, Inc</t>
  </si>
  <si>
    <t>2520000</t>
  </si>
  <si>
    <t>CUST ADV CONSTRUCT</t>
  </si>
  <si>
    <t>210550</t>
  </si>
  <si>
    <t>Payments Received Uncompleted Projects</t>
  </si>
  <si>
    <t>210553</t>
  </si>
  <si>
    <t>Transmission Payments Received - Capital</t>
  </si>
  <si>
    <t>210556</t>
  </si>
  <si>
    <t>NET METER FEES-REFUNDABLE</t>
  </si>
  <si>
    <t>285460</t>
  </si>
  <si>
    <t>Transm Intercon Deposits - w/3rd Party</t>
  </si>
  <si>
    <t>2520000 Total</t>
  </si>
  <si>
    <t> </t>
  </si>
  <si>
    <t>STATE ALLOCATION</t>
  </si>
  <si>
    <t>TOT</t>
  </si>
  <si>
    <t>ID</t>
  </si>
  <si>
    <t>PNW</t>
  </si>
  <si>
    <t>456.2-456.9</t>
  </si>
  <si>
    <t>INDICATOR CHECK</t>
  </si>
  <si>
    <t>908O</t>
  </si>
  <si>
    <t>908C</t>
  </si>
  <si>
    <t>This is assigned all to Other in the past, it should get assigned to States</t>
  </si>
  <si>
    <t>Summary by FERC Indicator</t>
  </si>
  <si>
    <t>500*</t>
  </si>
  <si>
    <t>501*</t>
  </si>
  <si>
    <t>502*</t>
  </si>
  <si>
    <t>503*</t>
  </si>
  <si>
    <t>504*</t>
  </si>
  <si>
    <t>505*</t>
  </si>
  <si>
    <t>506*</t>
  </si>
  <si>
    <t>507*</t>
  </si>
  <si>
    <t>508*</t>
  </si>
  <si>
    <t>509*</t>
  </si>
  <si>
    <t>510*</t>
  </si>
  <si>
    <t>511*</t>
  </si>
  <si>
    <t>512*</t>
  </si>
  <si>
    <t>513*</t>
  </si>
  <si>
    <t>514*</t>
  </si>
  <si>
    <t>535*</t>
  </si>
  <si>
    <t>536*</t>
  </si>
  <si>
    <t>537*</t>
  </si>
  <si>
    <t>538*</t>
  </si>
  <si>
    <t>539*</t>
  </si>
  <si>
    <t>540*</t>
  </si>
  <si>
    <t>541*</t>
  </si>
  <si>
    <t>542*</t>
  </si>
  <si>
    <t>543*</t>
  </si>
  <si>
    <t>544*</t>
  </si>
  <si>
    <t>545*</t>
  </si>
  <si>
    <t>546*</t>
  </si>
  <si>
    <t>547*</t>
  </si>
  <si>
    <t>548*</t>
  </si>
  <si>
    <t>549*</t>
  </si>
  <si>
    <t>550*</t>
  </si>
  <si>
    <t>551*</t>
  </si>
  <si>
    <t>552*</t>
  </si>
  <si>
    <t>553*</t>
  </si>
  <si>
    <t>554*</t>
  </si>
  <si>
    <t>555*</t>
  </si>
  <si>
    <t>PURCHASED PWR</t>
  </si>
  <si>
    <t>556*</t>
  </si>
  <si>
    <t>557*</t>
  </si>
  <si>
    <t>560*</t>
  </si>
  <si>
    <t>561*</t>
  </si>
  <si>
    <t>562*</t>
  </si>
  <si>
    <t>563*</t>
  </si>
  <si>
    <t>564*</t>
  </si>
  <si>
    <t>565*</t>
  </si>
  <si>
    <t>566*</t>
  </si>
  <si>
    <t>567*</t>
  </si>
  <si>
    <t>568*</t>
  </si>
  <si>
    <t>569*</t>
  </si>
  <si>
    <t>570*</t>
  </si>
  <si>
    <t>571*</t>
  </si>
  <si>
    <t>572*</t>
  </si>
  <si>
    <t>573*</t>
  </si>
  <si>
    <t>580*</t>
  </si>
  <si>
    <t>581*</t>
  </si>
  <si>
    <t>582*</t>
  </si>
  <si>
    <t>583*</t>
  </si>
  <si>
    <t>584*</t>
  </si>
  <si>
    <t>UDRGRND LINE EXP</t>
  </si>
  <si>
    <t>585*</t>
  </si>
  <si>
    <t>586*</t>
  </si>
  <si>
    <t>587*</t>
  </si>
  <si>
    <t>588*</t>
  </si>
  <si>
    <t>589*</t>
  </si>
  <si>
    <t>590*</t>
  </si>
  <si>
    <t>591*</t>
  </si>
  <si>
    <t>592*</t>
  </si>
  <si>
    <t>593*</t>
  </si>
  <si>
    <t>594*</t>
  </si>
  <si>
    <t>595*</t>
  </si>
  <si>
    <t>596*</t>
  </si>
  <si>
    <t>597*</t>
  </si>
  <si>
    <t>598*</t>
  </si>
  <si>
    <t>901*</t>
  </si>
  <si>
    <t>902*</t>
  </si>
  <si>
    <t>903*</t>
  </si>
  <si>
    <t>904*</t>
  </si>
  <si>
    <t>905*</t>
  </si>
  <si>
    <t>906*</t>
  </si>
  <si>
    <t>907*</t>
  </si>
  <si>
    <t>SUPRV (CUST SERV)</t>
  </si>
  <si>
    <t>CONSERVATION DIRECT ASSIGN</t>
  </si>
  <si>
    <t>CUST ASSIST OTHER</t>
  </si>
  <si>
    <t>TOTAL 908</t>
  </si>
  <si>
    <t>909*</t>
  </si>
  <si>
    <t>920*</t>
  </si>
  <si>
    <t>921*</t>
  </si>
  <si>
    <t>922*</t>
  </si>
  <si>
    <t>923*</t>
  </si>
  <si>
    <t>924*</t>
  </si>
  <si>
    <t>PROP INSURANCE - SYS</t>
  </si>
  <si>
    <t>925*</t>
  </si>
  <si>
    <t>926*</t>
  </si>
  <si>
    <t>927*</t>
  </si>
  <si>
    <t>928*</t>
  </si>
  <si>
    <t>929*</t>
  </si>
  <si>
    <t>9301*</t>
  </si>
  <si>
    <t>9302*</t>
  </si>
  <si>
    <t>MISC GENERAL EXP</t>
  </si>
  <si>
    <t>931*</t>
  </si>
  <si>
    <t>935*</t>
  </si>
  <si>
    <t>TOTAL STEAM PROD</t>
  </si>
  <si>
    <t>STEAM</t>
  </si>
  <si>
    <t>TOTAL HYDRO PROD</t>
  </si>
  <si>
    <t>HYDRO</t>
  </si>
  <si>
    <t>TOTAL OTHER PROD</t>
  </si>
  <si>
    <t xml:space="preserve">TOTAL TRANSMISSION </t>
  </si>
  <si>
    <t>TOTAL DISTRIBUTION</t>
  </si>
  <si>
    <t>TOTAL A&amp;G</t>
  </si>
  <si>
    <t>GEN</t>
  </si>
  <si>
    <t>DEPR-ASSETS NOT CLASSIFIED</t>
  </si>
  <si>
    <t>GRAND TOTAL</t>
  </si>
  <si>
    <t xml:space="preserve">Check </t>
  </si>
  <si>
    <t>FUNCTION</t>
  </si>
  <si>
    <t>PNW Total</t>
  </si>
  <si>
    <t>FACTOR</t>
  </si>
  <si>
    <t>TRAN</t>
  </si>
  <si>
    <t>New Account</t>
  </si>
  <si>
    <t>NOTES:</t>
  </si>
  <si>
    <t>Asset Performance &amp; Investment Mgmt</t>
  </si>
  <si>
    <t>Virtual infrastructure that will automate server deployment &amp; mgmt. Provides signiicant increase to server capacity and hardware fault tolerance and load balancing</t>
  </si>
  <si>
    <t>Enterprise Geographic Information System (GIS)</t>
  </si>
  <si>
    <t>Transmission settlement calculations and reporting</t>
  </si>
  <si>
    <t>Wildfire Data Mgmt Platform - PSPS Event Mgmt, EFR Program Mgmt, and Wildfire Safety Compliance Reporting.</t>
  </si>
  <si>
    <t>% LOOKUP</t>
  </si>
  <si>
    <t>JURISDICTIONAL %</t>
  </si>
  <si>
    <t>FUNCTIONAL ASSIGNMENT:</t>
  </si>
  <si>
    <t>check totals</t>
  </si>
  <si>
    <t>FRANCHISES &amp; CONSENTS-302</t>
  </si>
  <si>
    <t>MISC INTANGIBLE PLANT-303</t>
  </si>
  <si>
    <t>TOTAL INTANGIBLE PLANT</t>
  </si>
  <si>
    <t>AMORT OTHER</t>
  </si>
  <si>
    <t>302 - JURISDICTIONAL (PAC ONLY)</t>
  </si>
  <si>
    <t>TOTAL AMORT EXPENSE</t>
  </si>
  <si>
    <t>$</t>
  </si>
  <si>
    <t>Check</t>
  </si>
  <si>
    <t>TOT PNW</t>
  </si>
  <si>
    <t>Check to b-tabs =</t>
  </si>
  <si>
    <t>303 - JURISDICTIONAL (PAC ONLY)</t>
  </si>
  <si>
    <t xml:space="preserve"> PROD </t>
  </si>
  <si>
    <t xml:space="preserve"> TRANS </t>
  </si>
  <si>
    <t xml:space="preserve"> DIST </t>
  </si>
  <si>
    <t>P</t>
  </si>
  <si>
    <t>F</t>
  </si>
  <si>
    <t>Franchise Taxes</t>
  </si>
  <si>
    <t>R</t>
  </si>
  <si>
    <t>T</t>
  </si>
  <si>
    <t>TOTAL LESS PROPERTY &amp; FRANCHISE</t>
  </si>
  <si>
    <t>FUNC</t>
  </si>
  <si>
    <t>TOTAL STEAM PRODUCTION PLANT (310-317)</t>
  </si>
  <si>
    <t>31*</t>
  </si>
  <si>
    <t>TOTAL HYDRO PRODUCTION PLANT (330-337)</t>
  </si>
  <si>
    <t>33*</t>
  </si>
  <si>
    <t>TOTAL OTHER PRODUCTION PLANT (340-347)</t>
  </si>
  <si>
    <t>34*</t>
  </si>
  <si>
    <t>TOTAL TRANSMISSION PLANT (350-359)</t>
  </si>
  <si>
    <t>35*</t>
  </si>
  <si>
    <t>TOTAL DISTRIBUTION PLANT (360-373)</t>
  </si>
  <si>
    <t>36*</t>
  </si>
  <si>
    <t>GENERAL PLANT-ACCT 389</t>
  </si>
  <si>
    <t>38*</t>
  </si>
  <si>
    <t>GENERAL PLANT-ACCT 390</t>
  </si>
  <si>
    <t>GENERAL PLANT-ACCT 391</t>
  </si>
  <si>
    <t>GENERAL PLANT-ACCT 392</t>
  </si>
  <si>
    <t>GENERAL PLANT-ACCT 393</t>
  </si>
  <si>
    <t>GENERAL PLANT-ACCT 394</t>
  </si>
  <si>
    <t>GENERAL PLANT-ACCT 395</t>
  </si>
  <si>
    <t>GENERAL PLANT-ACCT 396</t>
  </si>
  <si>
    <t>GENERAL PLANT-ACCT 397</t>
  </si>
  <si>
    <t>GENERAL PLANT-ACCT 398</t>
  </si>
  <si>
    <t>GENERAL PLANT-ACCT 399</t>
  </si>
  <si>
    <t>TOTAL GENERAL PLANT-(ACCT 389-399)</t>
  </si>
  <si>
    <t>TOTAL OTHER PLANT</t>
  </si>
  <si>
    <t>TOTAL EPIS - 101000</t>
  </si>
  <si>
    <t>CHECK</t>
  </si>
  <si>
    <t xml:space="preserve"> TRAN </t>
  </si>
  <si>
    <t xml:space="preserve"> DIST/OTHER </t>
  </si>
  <si>
    <t xml:space="preserve"> JURISDICTIONAL % </t>
  </si>
  <si>
    <t>186 - JURISDICTIONAL (PAC ONLY)</t>
  </si>
  <si>
    <t>Registration costs for SEC Form S-3, raise capital as secondary offering</t>
  </si>
  <si>
    <t xml:space="preserve"> 1511120 Total</t>
  </si>
  <si>
    <t xml:space="preserve"> 1511130 Total</t>
  </si>
  <si>
    <t xml:space="preserve"> 1511140 Total</t>
  </si>
  <si>
    <t xml:space="preserve"> 1511160 Total</t>
  </si>
  <si>
    <t xml:space="preserve"> 1511300 Total</t>
  </si>
  <si>
    <t xml:space="preserve"> 1511400 Total</t>
  </si>
  <si>
    <t xml:space="preserve"> 1511600 Total</t>
  </si>
  <si>
    <t xml:space="preserve"> 1511900 Total</t>
  </si>
  <si>
    <t xml:space="preserve"> 1512180 Total</t>
  </si>
  <si>
    <t xml:space="preserve"> 1514000 Total</t>
  </si>
  <si>
    <t xml:space="preserve"> 1514300 Total</t>
  </si>
  <si>
    <t xml:space="preserve"> 1514400 Total</t>
  </si>
  <si>
    <t xml:space="preserve"> 1514900 Total</t>
  </si>
  <si>
    <t xml:space="preserve"> 1541000 Total</t>
  </si>
  <si>
    <t xml:space="preserve"> 1541500 Total</t>
  </si>
  <si>
    <t xml:space="preserve"> 1541900 Total</t>
  </si>
  <si>
    <t xml:space="preserve"> 1549900 Total</t>
  </si>
  <si>
    <t xml:space="preserve"> DIST/ OTHER </t>
  </si>
  <si>
    <t xml:space="preserve"> UT portion excluded from calculations </t>
  </si>
  <si>
    <t>TOTAL 114</t>
  </si>
  <si>
    <t>TOTAL 115</t>
  </si>
  <si>
    <t>TOTAL 165</t>
  </si>
  <si>
    <t>FERC 165 is not direct assigned - therefore no functionalization scratch work is shown here. FERC 228/230 not reported.  Also no calc here.</t>
  </si>
  <si>
    <t>TOTAL 228/230</t>
  </si>
  <si>
    <t>TOTAL 253</t>
  </si>
  <si>
    <t>TOTAL 254</t>
  </si>
  <si>
    <t>Check to b-tabs total</t>
  </si>
  <si>
    <t>114 - JURISDICTIONAL (PAC ONLY)</t>
  </si>
  <si>
    <t>115 - JURISDICTIONAL (PAC ONLY)</t>
  </si>
  <si>
    <t>253 - JURISDICTIONAL (PAC ONLY)</t>
  </si>
  <si>
    <t>254 - JURISDICTIONAL (PAC ONLY)</t>
  </si>
  <si>
    <t>Regulatory Assets (Actuals)</t>
  </si>
  <si>
    <t>KEY:</t>
  </si>
  <si>
    <t>include in RB - SG/SE allocated</t>
  </si>
  <si>
    <t>include in RB - Situs WA</t>
  </si>
  <si>
    <t>include in RB - Situs ID</t>
  </si>
  <si>
    <t>FUNCTIONALIZATION</t>
  </si>
  <si>
    <t>include in RB - Situs OR</t>
  </si>
  <si>
    <t>Note</t>
  </si>
  <si>
    <t>ALLOC</t>
  </si>
  <si>
    <t>not include in RB - not allocated or assigned to WA/ID/OR</t>
  </si>
  <si>
    <t>FERC 124 uses SG allocation across the board</t>
  </si>
  <si>
    <t>exclude per discussion with BPA</t>
  </si>
  <si>
    <t>WY</t>
  </si>
  <si>
    <t>net zero</t>
  </si>
  <si>
    <t>Nil</t>
  </si>
  <si>
    <t>FUNCTIONAL ASSIGNMENT - DIRECT</t>
  </si>
  <si>
    <t>TOTAL 124</t>
  </si>
  <si>
    <t>TOTAL 182.2</t>
  </si>
  <si>
    <t>TOTAL 182.3</t>
  </si>
  <si>
    <t xml:space="preserve"> Prod </t>
  </si>
  <si>
    <t xml:space="preserve"> Trans </t>
  </si>
  <si>
    <t xml:space="preserve"> Dist </t>
  </si>
  <si>
    <t>Situs-assigned</t>
  </si>
  <si>
    <t>System-allocated</t>
  </si>
  <si>
    <t>DIR-SG</t>
  </si>
  <si>
    <t>alloc check</t>
  </si>
  <si>
    <t>Regulatory Assets included in RB:</t>
  </si>
  <si>
    <t>to RATE BASE DATA tab</t>
  </si>
  <si>
    <t>TOTAL included in ASC Rate Base</t>
  </si>
  <si>
    <t>909-924</t>
  </si>
  <si>
    <t>4561924</t>
  </si>
  <si>
    <t xml:space="preserve"> 4561924  Total</t>
  </si>
  <si>
    <t>5579240 Total</t>
  </si>
  <si>
    <t>5924000 Total</t>
  </si>
  <si>
    <t>9240000 Total</t>
  </si>
  <si>
    <t>9269240 Total</t>
  </si>
  <si>
    <t>9299240 Total</t>
  </si>
  <si>
    <t>3692400</t>
  </si>
  <si>
    <t>3924000</t>
  </si>
  <si>
    <t>3032924</t>
  </si>
  <si>
    <t>3892400</t>
  </si>
  <si>
    <t>1823924</t>
  </si>
  <si>
    <t>1823924 Total</t>
  </si>
  <si>
    <t>102924</t>
  </si>
  <si>
    <t>103924</t>
  </si>
  <si>
    <t>DTA 924.241 PMI Legal Reserve</t>
  </si>
  <si>
    <t>DTA 924.245 - Contra Rec Joint Owners</t>
  </si>
  <si>
    <t>DTA 924.530 Injuries &amp; Damages Accrual -</t>
  </si>
  <si>
    <t>DTL 924.905 PMI COST DEPLETION</t>
  </si>
  <si>
    <t>286924</t>
  </si>
  <si>
    <t>For amortization reserve use plant Gross EPIS ratios.</t>
  </si>
  <si>
    <t xml:space="preserve">  STATE ALLOCATION</t>
  </si>
  <si>
    <t>TOTAL CARBON DECOMM Contra (28835*)</t>
  </si>
  <si>
    <t>TOTAL STEAM DECOMM Contra (28836*)</t>
  </si>
  <si>
    <t>Trans</t>
  </si>
  <si>
    <t>Dist</t>
  </si>
  <si>
    <t>TOTAL GENERAL PLANT (389-398)</t>
  </si>
  <si>
    <t>Gen</t>
  </si>
  <si>
    <t>TOTAL OTHER</t>
  </si>
  <si>
    <t>TOTAL DEPR - 108000</t>
  </si>
  <si>
    <t>AMORT-FRANCHISES AND CONSENTS</t>
  </si>
  <si>
    <t xml:space="preserve">AMORT-MISC INTANGIBLE </t>
  </si>
  <si>
    <t>302-303</t>
  </si>
  <si>
    <t xml:space="preserve">TOTAL INTANGIBLE </t>
  </si>
  <si>
    <t>330-37</t>
  </si>
  <si>
    <t>AMORT-HYDRO</t>
  </si>
  <si>
    <t xml:space="preserve">AMORT-LEASEHOLD IMPROVEMENTS </t>
  </si>
  <si>
    <t>Check Totals</t>
  </si>
  <si>
    <t>Pacificorp</t>
  </si>
  <si>
    <t>Gross Electric Revenue Billed in Oregon and Public Purpose Charge collected</t>
  </si>
  <si>
    <t>This is prepared to respond to OPUC data request 11 a b c and 12.</t>
  </si>
  <si>
    <t>Revised to include the allocation to the 5 funds and the administrative costs.</t>
  </si>
  <si>
    <t>Prepared by Kelly Flaig / Dominic Ferrari.  Source Monthly remittance statement.</t>
  </si>
  <si>
    <t>Gross Revenue Billed</t>
  </si>
  <si>
    <t>PPC collected                                      [a]</t>
  </si>
  <si>
    <t>% of Rev</t>
  </si>
  <si>
    <t>PPC Remitted to Energy Trust       [b]</t>
  </si>
  <si>
    <t>Quarterly PUC fees Applicable to all 5 Funds [c]</t>
  </si>
  <si>
    <t>Pacificorp Administrative costs       [d]</t>
  </si>
  <si>
    <t>Self Directed Large Customers</t>
  </si>
  <si>
    <t>Pacificorp Admin. Cost as % of PPC collection</t>
  </si>
  <si>
    <t>PPC allocated to School Conservation [e]</t>
  </si>
  <si>
    <t>PPC allocated to Local and Market Conservation [e]</t>
  </si>
  <si>
    <t>PPC allocated to Renewable Energy Resources [e]</t>
  </si>
  <si>
    <t>PPC allocated to Low Income Weatherization [e]</t>
  </si>
  <si>
    <t>PPC Allocated to Low Income Housing Rehabilitation [e]</t>
  </si>
  <si>
    <t>Check Processing</t>
  </si>
  <si>
    <t>Electronic Wire Cost</t>
  </si>
  <si>
    <t>Check processing /   EDI - ACH Cost</t>
  </si>
  <si>
    <t>Processing Costs as % of Collection</t>
  </si>
  <si>
    <t>OPUC Fees Specific to ETO</t>
  </si>
  <si>
    <t>Account Balance Adjustments Specific to School Districts</t>
  </si>
  <si>
    <t>ODOE Legislative Report Costs</t>
  </si>
  <si>
    <t>ODOE Monthly Admin. Fee Specific to School Districts</t>
  </si>
  <si>
    <t>[A]</t>
  </si>
  <si>
    <t>[B]</t>
  </si>
  <si>
    <t>[C=B/A]</t>
  </si>
  <si>
    <t>[D = I +J-N-Q]</t>
  </si>
  <si>
    <t>[E]</t>
  </si>
  <si>
    <t>[F]</t>
  </si>
  <si>
    <t>[Fa]</t>
  </si>
  <si>
    <t>[G=E+F/B+E+F+Fa]</t>
  </si>
  <si>
    <t>[H]</t>
  </si>
  <si>
    <t>[I]</t>
  </si>
  <si>
    <t>[J]</t>
  </si>
  <si>
    <t>[K]</t>
  </si>
  <si>
    <t>[L]</t>
  </si>
  <si>
    <t>[M]</t>
  </si>
  <si>
    <t>[N]</t>
  </si>
  <si>
    <t>[O]</t>
  </si>
  <si>
    <t>[P=M+N+O/B+E+F]</t>
  </si>
  <si>
    <t>[Q]</t>
  </si>
  <si>
    <t>Pacificorp  a/c 215430</t>
  </si>
  <si>
    <t>Pacificorp  a/c 215433</t>
  </si>
  <si>
    <t>Pacificorp  a/c 215434</t>
  </si>
  <si>
    <t>Pacificorp  a/c 215435</t>
  </si>
  <si>
    <t>Pacificorp  a/c 215436</t>
  </si>
  <si>
    <t>Pacificorp  a/c 215437</t>
  </si>
  <si>
    <t>FERC 232 Acct. Payable</t>
  </si>
  <si>
    <t>Total 2002</t>
  </si>
  <si>
    <t>Total 2003</t>
  </si>
  <si>
    <t>2005 -      
02/11 SDC True-Up</t>
  </si>
  <si>
    <t>Check from Energy Trust for Overpmt - Self Directed Large Customers</t>
  </si>
  <si>
    <t>(f)</t>
  </si>
  <si>
    <t>(a) Included amounts submitted by Self Directed Customers through January 2005 and net of OPUC quarterly fees[c] and PacifiCorp Administrative Costs [d].</t>
  </si>
  <si>
    <t xml:space="preserve">The PacifiCorp Admininstrative costs are comprised of staff hours in program administration and accounting.  The OPUC fees are comprised of two parts:  </t>
  </si>
  <si>
    <t>one for the general administration of the program and one specifically for work done for the Energy Trust.  Only the general portion is reflected in [c].</t>
  </si>
  <si>
    <t>(b) Reflected only amounts remitted to The Energy Trust of Oregon.  The remittance is net of the Oregon PUC Fees specifically applicable to the Energy Trust and the cost of electronic fund wiring.</t>
  </si>
  <si>
    <t xml:space="preserve">(c) This is the quarterly fees billed by the OPUC to PacifCorp to cover general expenses.  It is netted in (a) above. </t>
  </si>
  <si>
    <t>(d) This is the cost of administrative staff and accounting staff hours associated with the PPC collection and remittance processing.</t>
  </si>
  <si>
    <t xml:space="preserve">(e) The PPC collection is allocated to the 5 funds based on the ratios prescribed by the PUC.  These ratios are: </t>
  </si>
  <si>
    <t>[1]</t>
  </si>
  <si>
    <t xml:space="preserve">School Conservation - 10%  </t>
  </si>
  <si>
    <t>Remit to the 74 Education Service Districts, net of processing cost of $2.33 per check.</t>
  </si>
  <si>
    <t>[2]</t>
  </si>
  <si>
    <t>Local and Market Conservation - 56.7%.  Remit to The Energy Trust of Oregon (ETO), net of fund wiring costs $23.95, specific PUC fees, and Self Directed Large Customer Credits.</t>
  </si>
  <si>
    <t>[3]</t>
  </si>
  <si>
    <t>Renewable Energy Resouces - 17.1%.  Remit to the ETO, net of Self Directed Large Customer Credits.</t>
  </si>
  <si>
    <t>[4]</t>
  </si>
  <si>
    <t>Low Income Weatherization - 11.7%.  Remit to the Oregon Department of Housing and Community Development (ODHCD), net of EDI cost of $10.90.</t>
  </si>
  <si>
    <t>[5]</t>
  </si>
  <si>
    <t>Low Income Housing Rehabilitation - 4.5%.  Remit to ODHCD.</t>
  </si>
  <si>
    <t>(f) Allocation was calculated incorrectly from 2005 through 02/2011.  The Self Directed Large Customer Credits were deducted from all 5 public agencies - should have only been deducted from Energy Trust.  Energy Trust remitted to us a check in the amount</t>
  </si>
  <si>
    <t>Energy Trust remitted to us a check in the amount of $800,363.04.  This was distributed to OHCS and the various ESD's.</t>
  </si>
  <si>
    <t>[A]  Gross Revenue Billed  --  This amount comes from Business Objects.  Here is the path to follow.</t>
  </si>
  <si>
    <r>
      <t xml:space="preserve">[1]  </t>
    </r>
    <r>
      <rPr>
        <b/>
        <sz val="12"/>
        <rFont val="Arial"/>
        <family val="2"/>
      </rPr>
      <t xml:space="preserve">https://bireports.pacificorp.us/BOE/BI?startFolder=Abx4Qka59S5FgYmrdTurAUo&amp;isCat=false </t>
    </r>
    <r>
      <rPr>
        <sz val="12"/>
        <rFont val="Arial"/>
        <family val="2"/>
      </rPr>
      <t xml:space="preserve">  --&gt;  Total Energy Sales by State with Columns Excluding BPA and UB</t>
    </r>
  </si>
  <si>
    <t>[2]  Select the Period       e.g.   201912   for  YYYYMM</t>
  </si>
  <si>
    <t>[3]  Click on Finish</t>
  </si>
  <si>
    <t>[4]  Take the amount for State of Oregon -PPL  --  In the column:  Revenue $$ excluding BPA and UB</t>
  </si>
  <si>
    <t>[5]  Copy and paste this amount to this spreadsheet</t>
  </si>
  <si>
    <t>https://bireports.pacificorp.us/BOE/BI?startFolder=Abx4Qka59S5FgYmrdTurAUo&amp;isCat=false</t>
  </si>
  <si>
    <t>Rocky Mountain Power</t>
  </si>
  <si>
    <t>($000's)</t>
  </si>
  <si>
    <t>Bridger Total</t>
  </si>
  <si>
    <t>Actual</t>
  </si>
  <si>
    <t>Pro Forma</t>
  </si>
  <si>
    <t>Dec 23</t>
  </si>
  <si>
    <t>Jan 24</t>
  </si>
  <si>
    <t>Feb 24</t>
  </si>
  <si>
    <t>Mar 24</t>
  </si>
  <si>
    <t>Apr 24</t>
  </si>
  <si>
    <t>May 24</t>
  </si>
  <si>
    <t>June 24</t>
  </si>
  <si>
    <t>July 24</t>
  </si>
  <si>
    <t>Aug 24</t>
  </si>
  <si>
    <t>Sept 24</t>
  </si>
  <si>
    <t>Oct 24</t>
  </si>
  <si>
    <t>Nov 24</t>
  </si>
  <si>
    <t>Dec 24</t>
  </si>
  <si>
    <t>1 Structure, Equipment, Mine Dev.</t>
  </si>
  <si>
    <t>2 Materials &amp; Supplies</t>
  </si>
  <si>
    <t>4 Pit Inventory</t>
  </si>
  <si>
    <t>5 Deferred Long Wall Costs</t>
  </si>
  <si>
    <t>6 Reclamation Liability</t>
  </si>
  <si>
    <t>7 Accumulated Depreciation</t>
  </si>
  <si>
    <t>8 Bonus Bid / Lease Payable</t>
  </si>
  <si>
    <t>TOTAL RATE BASE</t>
  </si>
  <si>
    <t>PacifiCorp Share (66.67%)</t>
  </si>
  <si>
    <t>Ref. 8.3</t>
  </si>
  <si>
    <t>December 2023 Results of Operations</t>
  </si>
  <si>
    <t>Jim Bridger Mine Rate Base</t>
  </si>
  <si>
    <t>Trapper Mine Rate Base</t>
  </si>
  <si>
    <t>DESCRIPTION</t>
  </si>
  <si>
    <t>Forecast</t>
  </si>
  <si>
    <t>Property, Plant, and Equipment</t>
  </si>
  <si>
    <t xml:space="preserve">  Lands and Leases</t>
  </si>
  <si>
    <t xml:space="preserve">  Development Costs</t>
  </si>
  <si>
    <t xml:space="preserve">  Equipment and Facilities</t>
  </si>
  <si>
    <t>Total Property, Plant, and Equipment</t>
  </si>
  <si>
    <t xml:space="preserve">  Inventories</t>
  </si>
  <si>
    <t xml:space="preserve">  Prepaid Expenses</t>
  </si>
  <si>
    <t xml:space="preserve">  Restricted Funds: Self-bonding for Black Lung</t>
  </si>
  <si>
    <t xml:space="preserve">  Advanced Stripping Costs</t>
  </si>
  <si>
    <t xml:space="preserve">  Deferred GE Royalty Amount</t>
  </si>
  <si>
    <t xml:space="preserve">  Advance Royalty - State 206-13</t>
  </si>
  <si>
    <t>Total Other</t>
  </si>
  <si>
    <t>PacifiCorp Share</t>
  </si>
  <si>
    <t>Ref. 8.2</t>
  </si>
  <si>
    <t>Final Reclamation Liability</t>
  </si>
  <si>
    <t>Results of Operations - December 2023</t>
  </si>
  <si>
    <t>INDEX - FERC FORM 1 DATA TABS</t>
  </si>
  <si>
    <t>BTABS</t>
  </si>
  <si>
    <t>Pg 110 - Balance Sheet (Assets)</t>
  </si>
  <si>
    <t>Pg 274 - ADIT - Other Property</t>
  </si>
  <si>
    <t>Pg 112 - Balance Sheet (Liab &amp;</t>
  </si>
  <si>
    <t>Pg 276 - ADIT - Other</t>
  </si>
  <si>
    <t>Pg 114 - Income Statement</t>
  </si>
  <si>
    <t>Pg 278 Regulatory Liabilities</t>
  </si>
  <si>
    <t>Pg 118 - Retained Earnings</t>
  </si>
  <si>
    <t>Pg 300 - Electric Operating Rev</t>
  </si>
  <si>
    <t>Pg 120 - Statement of Cash Flow</t>
  </si>
  <si>
    <t>pg 304 Summary</t>
  </si>
  <si>
    <t>Pg 122ab - Statement of AOCI</t>
  </si>
  <si>
    <t>Pg 310 - Sales for Resale (21)</t>
  </si>
  <si>
    <t>Pg 200 - Utility Plant</t>
  </si>
  <si>
    <t>Pgs 320-323 - O&amp;M Expenses (For</t>
  </si>
  <si>
    <t>Pg 204 - Plant in Service (Form</t>
  </si>
  <si>
    <t>Pg 326 - Purchased Power (21)</t>
  </si>
  <si>
    <t>Pg 214 - Electric Plant Held fo</t>
  </si>
  <si>
    <t>Pg 328 - Transmission Revenue</t>
  </si>
  <si>
    <t>Pg 216 - Construction Work in P</t>
  </si>
  <si>
    <t>Pg 332 - Transmission Expense</t>
  </si>
  <si>
    <t>Pg 219 - Accumulated Provision</t>
  </si>
  <si>
    <t>Pg 335 - Miscellaneous General</t>
  </si>
  <si>
    <t>Pg 224 - Investments in Subsidi</t>
  </si>
  <si>
    <t>Pg 336 - Depreciation and Amort</t>
  </si>
  <si>
    <t>Pg 227 - Materials and Supplies</t>
  </si>
  <si>
    <t>Pg 337 - Depreciation and Amort</t>
  </si>
  <si>
    <t>Pg 228a  - Allowances SO2</t>
  </si>
  <si>
    <t>Pg 350 - Regulatory Commission</t>
  </si>
  <si>
    <t>Pg 231 - Interconnection Study</t>
  </si>
  <si>
    <t>Pg 352 - Research Development a</t>
  </si>
  <si>
    <t>Pg 232 Regulatory Assets</t>
  </si>
  <si>
    <t>Pg 354 - Distribution of Salari</t>
  </si>
  <si>
    <t>Pg 233 - Miscellaneous Deferred</t>
  </si>
  <si>
    <t>Pg 397 - Included in ISORTO Set</t>
  </si>
  <si>
    <t>Pg 234 - Accumulated Deferred I</t>
  </si>
  <si>
    <t>Pg 398 - PurchaseSale of Ancill</t>
  </si>
  <si>
    <t>Pg 250 - Capital Stocks</t>
  </si>
  <si>
    <t>Pg 401a - Electric Energy Accou</t>
  </si>
  <si>
    <t>Pg 253 - Other Paid-In Capital</t>
  </si>
  <si>
    <t>Pg 401b - Monthly Peaks and Out</t>
  </si>
  <si>
    <t>Pg 254b - Capital Stock Expense</t>
  </si>
  <si>
    <t>Pg 402 - Steam Plant Stats - Co</t>
  </si>
  <si>
    <t>Pg 256 - Long-Term Debt</t>
  </si>
  <si>
    <t>Pg. 406 - Large Hydro Plant Sta</t>
  </si>
  <si>
    <t>Pg 261 - Recon of Net Income wi</t>
  </si>
  <si>
    <t>Pg 410 - Generating Plant Stati'!A1</t>
  </si>
  <si>
    <t>Pg 262 - Taxes Accrued Prepaid</t>
  </si>
  <si>
    <t>Pg 422 - Transmission Line Stat</t>
  </si>
  <si>
    <t>Pg 266 - Accumulated Deferred I</t>
  </si>
  <si>
    <t>Pg 424 - Transmission Lines Add</t>
  </si>
  <si>
    <t>Pg 269 - Other Deferred Credits</t>
  </si>
  <si>
    <t>Pg 426 - Substations - CA</t>
  </si>
  <si>
    <t>Pg 272 - ADIT - Accelerated Amo</t>
  </si>
  <si>
    <t>Pg 429 - Transactions with Asso</t>
  </si>
  <si>
    <t>Indicates footnote attached.</t>
  </si>
  <si>
    <t>HISTORICAL DATA --&gt;</t>
  </si>
  <si>
    <t>PAGE 110</t>
  </si>
  <si>
    <t>COMPARATIVE BALANCE SHEET (ASSETS AND OTHER DEBITS)</t>
  </si>
  <si>
    <t>Line</t>
  </si>
  <si>
    <t>Ref.
Page No.</t>
  </si>
  <si>
    <t>Current Year
End
Balance</t>
  </si>
  <si>
    <t>Prior Year
End Balance
12/31</t>
  </si>
  <si>
    <t>Line 
No.</t>
  </si>
  <si>
    <t>No.</t>
  </si>
  <si>
    <t>Title of Account</t>
  </si>
  <si>
    <t>Ref.</t>
  </si>
  <si>
    <t>(a)</t>
  </si>
  <si>
    <t>(b)</t>
  </si>
  <si>
    <t>(c)</t>
  </si>
  <si>
    <t>(d)</t>
  </si>
  <si>
    <t>UTILITY PLANT</t>
  </si>
  <si>
    <t>Tie-out ref: 2.1</t>
  </si>
  <si>
    <t>Tie-out ref: PY</t>
  </si>
  <si>
    <t>Utility Plant (101-106, 114)</t>
  </si>
  <si>
    <t>2</t>
  </si>
  <si>
    <t>Construction Work in Progress (107)</t>
  </si>
  <si>
    <t>3</t>
  </si>
  <si>
    <t>TOTAL Utility Plant (Enter Total of lines 2 and 3)</t>
  </si>
  <si>
    <t>4</t>
  </si>
  <si>
    <t>(Less) Accum. Prov. for Depr. Amort. Depl. (108, 110, 111, 115)</t>
  </si>
  <si>
    <t>5</t>
  </si>
  <si>
    <t>Net Utility Plant (Enter Total of line 4 less 5)</t>
  </si>
  <si>
    <t>6</t>
  </si>
  <si>
    <t>Nuclear Fuel in Process of Ref., Conv.,Enrich., and Fab. (120.1)</t>
  </si>
  <si>
    <t>202-203</t>
  </si>
  <si>
    <t>7</t>
  </si>
  <si>
    <t>Nuclear Fuel Materials and Assemblies-Stock Account (120.2)</t>
  </si>
  <si>
    <t>8</t>
  </si>
  <si>
    <t>Nuclear Fuel Assemblies in Reactor (120.3)</t>
  </si>
  <si>
    <t>9</t>
  </si>
  <si>
    <t>Spent Nuclear Fuel (120.4)</t>
  </si>
  <si>
    <t>10</t>
  </si>
  <si>
    <t>Nuclear Fuel Under Capital Leases (120.6)</t>
  </si>
  <si>
    <t>11</t>
  </si>
  <si>
    <t>(Less) Accum. Prov. for Amort. of Nucl. Fuel Assemblies (120.5)</t>
  </si>
  <si>
    <t>12</t>
  </si>
  <si>
    <t>Net Nuclear Fuel (Enter Total of lines 7-11 less 12)</t>
  </si>
  <si>
    <t>13</t>
  </si>
  <si>
    <t>Net Utility Plant (Enter Total of lines 6 and 13)</t>
  </si>
  <si>
    <t>14</t>
  </si>
  <si>
    <t>Utility Plant Adjustments (116)</t>
  </si>
  <si>
    <t>15</t>
  </si>
  <si>
    <t>Gas Stored Underground - Noncurrent (117)</t>
  </si>
  <si>
    <t>16</t>
  </si>
  <si>
    <t>OTHER PROPERTY AND INVESTMENTS</t>
  </si>
  <si>
    <t>17</t>
  </si>
  <si>
    <t>Nonutility Property (121)</t>
  </si>
  <si>
    <t>18</t>
  </si>
  <si>
    <t>(Less) Accum. Prov. for Depr. and Amort. (122)</t>
  </si>
  <si>
    <t>19</t>
  </si>
  <si>
    <t>Investments in Associated Companies (123)</t>
  </si>
  <si>
    <t>20</t>
  </si>
  <si>
    <t>Investment in Subsidiary Companies (123.1)</t>
  </si>
  <si>
    <t>224-225</t>
  </si>
  <si>
    <t>21</t>
  </si>
  <si>
    <t>(For Cost of Account 123.1, See Footnote Page 224, line 42)</t>
  </si>
  <si>
    <t>22</t>
  </si>
  <si>
    <t>Noncurrent Portion of Allowances</t>
  </si>
  <si>
    <t>228-229</t>
  </si>
  <si>
    <t>23</t>
  </si>
  <si>
    <t>Other Investments (124)</t>
  </si>
  <si>
    <t>24</t>
  </si>
  <si>
    <t>Sinking Funds (125)</t>
  </si>
  <si>
    <t>25</t>
  </si>
  <si>
    <t>Depreciation Fund (126)</t>
  </si>
  <si>
    <t>26</t>
  </si>
  <si>
    <t>Amortization Fund - Federal (127)</t>
  </si>
  <si>
    <t>27</t>
  </si>
  <si>
    <t>Other Special Funds (128)</t>
  </si>
  <si>
    <t>28</t>
  </si>
  <si>
    <t>Special Funds (Non Major Only) (129)</t>
  </si>
  <si>
    <t>29</t>
  </si>
  <si>
    <t>Long-Term Portion of Derivative Assets (175)</t>
  </si>
  <si>
    <t>30</t>
  </si>
  <si>
    <t>Long-Term Portion of Derivative Assets – Hedges (176)</t>
  </si>
  <si>
    <t>31</t>
  </si>
  <si>
    <t>TOTAL Other Property and Investments (Lines 18-21 and 23-31)</t>
  </si>
  <si>
    <t>32</t>
  </si>
  <si>
    <t>CURRENT AND ACCRUED ASSETS</t>
  </si>
  <si>
    <t>33</t>
  </si>
  <si>
    <t>Cash and Working Funds (Non-major Only) (130)</t>
  </si>
  <si>
    <t>34</t>
  </si>
  <si>
    <t>Cash (131)</t>
  </si>
  <si>
    <t>35</t>
  </si>
  <si>
    <t>Special Deposits (132-134)</t>
  </si>
  <si>
    <t>36</t>
  </si>
  <si>
    <t>Working Fund (135)</t>
  </si>
  <si>
    <t>37</t>
  </si>
  <si>
    <t>Temporary Cash Investments (136)</t>
  </si>
  <si>
    <t>38</t>
  </si>
  <si>
    <t>Notes Receivable (141)</t>
  </si>
  <si>
    <t>39</t>
  </si>
  <si>
    <t>Customer Accounts Receivable (142)</t>
  </si>
  <si>
    <t>40</t>
  </si>
  <si>
    <t>Other Accounts Receivable (143)</t>
  </si>
  <si>
    <t>41</t>
  </si>
  <si>
    <t>(Less) Accum. Prov. for Uncollectible Acct.-Credit (144)</t>
  </si>
  <si>
    <t>42</t>
  </si>
  <si>
    <t>Notes Receivable from Associated Companies (145)</t>
  </si>
  <si>
    <t>43</t>
  </si>
  <si>
    <t>Accounts Receivable from Assoc. Companies (146)</t>
  </si>
  <si>
    <t>44</t>
  </si>
  <si>
    <t>Fuel Stock (151)</t>
  </si>
  <si>
    <t>45</t>
  </si>
  <si>
    <t>Fuel Stock Expenses Undistributed (152)</t>
  </si>
  <si>
    <t>46</t>
  </si>
  <si>
    <t>Residuals (Elec) and Extracted Products (153)</t>
  </si>
  <si>
    <t>47</t>
  </si>
  <si>
    <t>Plant Materials and Operating Supplies (154)</t>
  </si>
  <si>
    <t>48</t>
  </si>
  <si>
    <t>Merchandise (155)</t>
  </si>
  <si>
    <t>49</t>
  </si>
  <si>
    <t>Other Materials and Supplies (156)</t>
  </si>
  <si>
    <t>50</t>
  </si>
  <si>
    <t>Nuclear Materials Held for Sale (157)</t>
  </si>
  <si>
    <t>202-203/227</t>
  </si>
  <si>
    <t>51</t>
  </si>
  <si>
    <t>Allowances (158.1 and 158.2)</t>
  </si>
  <si>
    <t>52</t>
  </si>
  <si>
    <t>(Less) Noncurrent Portion of Allowances</t>
  </si>
  <si>
    <t>53</t>
  </si>
  <si>
    <t>Stores Expense Undistributed (163)</t>
  </si>
  <si>
    <t>54</t>
  </si>
  <si>
    <t>Gas Stored Underground - Current (164.1)</t>
  </si>
  <si>
    <t>55</t>
  </si>
  <si>
    <t>Liquefied Natural Gas Stored and Held for Processing (164.2-164.3)</t>
  </si>
  <si>
    <t>56</t>
  </si>
  <si>
    <t>Prepayments (165)</t>
  </si>
  <si>
    <t>57</t>
  </si>
  <si>
    <t>Advances for Gas (166-167)</t>
  </si>
  <si>
    <t>58</t>
  </si>
  <si>
    <t>Interest and Dividends Receivable (171)</t>
  </si>
  <si>
    <t>59</t>
  </si>
  <si>
    <t>Rents Receivable (172)</t>
  </si>
  <si>
    <t>60</t>
  </si>
  <si>
    <t>Accrued Utility Revenues (173)</t>
  </si>
  <si>
    <t>61</t>
  </si>
  <si>
    <t>Miscellaneous Current and Accrued Assets (174)</t>
  </si>
  <si>
    <t>62</t>
  </si>
  <si>
    <t>Derivative Instrument Assets (175)</t>
  </si>
  <si>
    <t>63</t>
  </si>
  <si>
    <t>(Less) Long-Term Portion of Derivative Instrument Assets (175)</t>
  </si>
  <si>
    <t>64</t>
  </si>
  <si>
    <t>Derivative Instrument Assets - Hedges (176)</t>
  </si>
  <si>
    <t>65</t>
  </si>
  <si>
    <t>(Less) Long-Term Portion of Derivative Instrument Assets - Hedges (176</t>
  </si>
  <si>
    <t>66</t>
  </si>
  <si>
    <t>Total Current and Accrued Assets (Lines 34 through 66)</t>
  </si>
  <si>
    <t>67</t>
  </si>
  <si>
    <t>DEFERRED DEBITS</t>
  </si>
  <si>
    <t>68</t>
  </si>
  <si>
    <t>Unamortized Debt Expenses (181)</t>
  </si>
  <si>
    <t>69</t>
  </si>
  <si>
    <t>Extraordinary Property Losses (182.1)</t>
  </si>
  <si>
    <t>230a</t>
  </si>
  <si>
    <t>70</t>
  </si>
  <si>
    <t>Unrecovered Plant and Regulatory Study Costs (182.2)</t>
  </si>
  <si>
    <t>230b</t>
  </si>
  <si>
    <t>71</t>
  </si>
  <si>
    <t>Other Regulatory Assets (182.3)</t>
  </si>
  <si>
    <t>72</t>
  </si>
  <si>
    <t>Prelim. Survey and Investigation Charges (Electric) (183)</t>
  </si>
  <si>
    <t>73</t>
  </si>
  <si>
    <t>Preliminary Natural Gas Survey and Investigation Charges 183.1)</t>
  </si>
  <si>
    <t>74</t>
  </si>
  <si>
    <t>Other Preliminary Survey and Investigation Charges (183.2)</t>
  </si>
  <si>
    <t>75</t>
  </si>
  <si>
    <t>Clearing Accounts (184)</t>
  </si>
  <si>
    <t>76</t>
  </si>
  <si>
    <t>Temporary Facilities (185)</t>
  </si>
  <si>
    <t>77</t>
  </si>
  <si>
    <t>Miscellaneous Deferred Debits (186)</t>
  </si>
  <si>
    <t>78</t>
  </si>
  <si>
    <t>Def. Losses from Disposition of Utility Plt. (187)</t>
  </si>
  <si>
    <t>79</t>
  </si>
  <si>
    <t>Research, Devel. and Demonstration Expend. (188)</t>
  </si>
  <si>
    <t>352-353</t>
  </si>
  <si>
    <t>80</t>
  </si>
  <si>
    <t>Unamortized Loss on Reaquired Debt (189)</t>
  </si>
  <si>
    <t>81</t>
  </si>
  <si>
    <t>Accumulated Deferred Income Taxes (190)</t>
  </si>
  <si>
    <t>82</t>
  </si>
  <si>
    <t>Unrecovered Purchased Gas Costs (191)</t>
  </si>
  <si>
    <t>83</t>
  </si>
  <si>
    <t>Total Deferred Debits (lines 69 through 83)</t>
  </si>
  <si>
    <t>84</t>
  </si>
  <si>
    <t>TOTAL ASSETS (lines 14-16, 32, 67, and 84)</t>
  </si>
  <si>
    <t>85</t>
  </si>
  <si>
    <t>PAGE 112</t>
  </si>
  <si>
    <t>COMPARATIVE BALANCE SHEET (LIABILITIES AND OTHER CREDITS)</t>
  </si>
  <si>
    <t>Line No.</t>
  </si>
  <si>
    <t>Ref. Page No.</t>
  </si>
  <si>
    <t>Current Year End of Quarter/Year Balance</t>
  </si>
  <si>
    <t>Prior Year End Balance 12/31</t>
  </si>
  <si>
    <t>PROPRIETARY CAPITAL</t>
  </si>
  <si>
    <t>Tie-out ref: 2.2</t>
  </si>
  <si>
    <t>1</t>
  </si>
  <si>
    <t>Common Stock Issued (201)</t>
  </si>
  <si>
    <t>250-251</t>
  </si>
  <si>
    <t>Preferred Stock Issued (204)</t>
  </si>
  <si>
    <t>Capital Stock Subscribed (202, 205)</t>
  </si>
  <si>
    <t>Stock Liability for Conversion (203, 206)</t>
  </si>
  <si>
    <t>Premium on Capital Stock (207)</t>
  </si>
  <si>
    <t>Other Paid-In Capital (208-211)</t>
  </si>
  <si>
    <t>Installments Received on Capital Stock (212)</t>
  </si>
  <si>
    <t>(Less) Discount on Capital Stock (213)</t>
  </si>
  <si>
    <t>(Less) Capital Stock Expense (214)</t>
  </si>
  <si>
    <t>254b</t>
  </si>
  <si>
    <t>Retained Earnings (215, 215.1, 216)</t>
  </si>
  <si>
    <t>118-119</t>
  </si>
  <si>
    <t>Unappropriated Undistributed Subsidiary Earnings (216.1)</t>
  </si>
  <si>
    <t>(Less) Reaquired Capital Stock (217)</t>
  </si>
  <si>
    <t>Noncorporate Proprietorship (Non-major only) (218)</t>
  </si>
  <si>
    <t>Accumulated Other Comprehensive Income (219)</t>
  </si>
  <si>
    <t>122(a)(b)</t>
  </si>
  <si>
    <t>Total Proprietary Capital (lines 2 through 15)</t>
  </si>
  <si>
    <t>LONG-TERM DEBT</t>
  </si>
  <si>
    <t>Bonds (221)</t>
  </si>
  <si>
    <t>256-257</t>
  </si>
  <si>
    <t>(Less) Reaquired Bonds (222)</t>
  </si>
  <si>
    <t>Advances from Associated Companies (223)</t>
  </si>
  <si>
    <t>Other Long-Term Debt (224)</t>
  </si>
  <si>
    <t>Unamortized Premium on Long-Term Debt (225)</t>
  </si>
  <si>
    <t>(Less) Unamortized Discount on Long-Term Debt-Debit (226)</t>
  </si>
  <si>
    <t>Total Long-Term Debt (lines 18 through 23)</t>
  </si>
  <si>
    <t>OTHER NONCURRENT LIABILITIES</t>
  </si>
  <si>
    <t>Obligations Under Capital Leases - Noncurrent (227)</t>
  </si>
  <si>
    <t>Accumulated Provision for Property Insurance (228.1)</t>
  </si>
  <si>
    <t>Accumulated Provision for Injuries and Damages (228.2)</t>
  </si>
  <si>
    <t>Accumulated Provision for Pensions and Benefits (228.3)</t>
  </si>
  <si>
    <t>Accumulated Miscellaneous Operating Provisions (228.4)</t>
  </si>
  <si>
    <t>Accumulated Provision for Rate Refunds (229)</t>
  </si>
  <si>
    <t>Asset Retirement Obligations (230)</t>
  </si>
  <si>
    <t>Total Other Noncurrent Liabilities (lines 26 through 34)</t>
  </si>
  <si>
    <t>Notes Payable (231)</t>
  </si>
  <si>
    <t>Accounts Payable (232)</t>
  </si>
  <si>
    <t>Notes Payable to Associated Companies (233)</t>
  </si>
  <si>
    <t>Accounts Payable to Associated Companies (234)</t>
  </si>
  <si>
    <t>Customer Deposits (235)</t>
  </si>
  <si>
    <t>Taxes Accrued (236)</t>
  </si>
  <si>
    <t>Interest Accrued (237)</t>
  </si>
  <si>
    <t>Dividends Declared (238)</t>
  </si>
  <si>
    <t>Matured Long-Term Debt (239)</t>
  </si>
  <si>
    <t>Matured Interest (240)</t>
  </si>
  <si>
    <t>Tax Collections Payable (241)</t>
  </si>
  <si>
    <t>Miscellaneous Current and Accrued Liabilities (242)</t>
  </si>
  <si>
    <t>Obligations Under Capital Leases-Current (243)</t>
  </si>
  <si>
    <t>Derivative Instrument Liabilities (244)</t>
  </si>
  <si>
    <t>(Less) Long-Term Portion of Derivative Instrument Liabilities</t>
  </si>
  <si>
    <t>Derivative Instrument Liabilities - Hedges (245)</t>
  </si>
  <si>
    <t>(Less) Long-Term Portion of Derivative Instrument Liabilities-Hedges</t>
  </si>
  <si>
    <t>Total Current and Accrued Liabilities (lines 37 through 53)</t>
  </si>
  <si>
    <t>Customer Advances for Construction (252)</t>
  </si>
  <si>
    <t>Accumulated Deferred Investment Tax Credits (255)</t>
  </si>
  <si>
    <t>266-267</t>
  </si>
  <si>
    <t>Deferred Gains from Disposition of Utility Plant (256)</t>
  </si>
  <si>
    <t>Other Deferred Credits (253)</t>
  </si>
  <si>
    <t>Other Regulatory Liabilities (254)</t>
  </si>
  <si>
    <t>Unamortized Gain on Reaquired Debt (257)</t>
  </si>
  <si>
    <t>Accum. Deferred Income Taxes-Accel. Amort.(281)</t>
  </si>
  <si>
    <t>272-277</t>
  </si>
  <si>
    <t>Accum. Deferred Income Taxes-Other Property (282)</t>
  </si>
  <si>
    <t>Accum. Deferred Income Taxes-Other (283)</t>
  </si>
  <si>
    <t>Total Deferred Credits (lines 56 through 64)</t>
  </si>
  <si>
    <t>TOTAL LIABILITIES AND STOCKHOLDER EQUITY (lines 16, 24, 35, 54 and 65)</t>
  </si>
  <si>
    <t>PAGE 114</t>
  </si>
  <si>
    <t>STATEMENT OF INCOME</t>
  </si>
  <si>
    <t>STATEMENT OF INCOME FOR THE YEAR (Continued)</t>
  </si>
  <si>
    <t>Quarterly
1. Report in column (c) the current year to date balance. Column (c) equals the total of adding the data in column (g) plus the data in column (i) plus the data in column (k). Report in column (d) similar data for the previous year. this information is reported in the annual filing only.
2. Enter in column (e) the balance for the reporting quarter and in column (f) the balance for the same three month period for the prior year.
3. Report in column (g) the quarter to date amounts for electric utility function; in column (i) the quarter to date amounts for gas utility, and in column (k) the quarter to date amounts for other utility function for the current year quarter.
4. Report in column (h) the quarter to date amounts for electric utility function; in column (j) the quarter to date amounts for gas utility, and in column (l) the quarter to date amounts for other utility function for the prior year quarter.
5. If additional columns are needed place them in a footnote.
Annual or Quarterly if applicable 
6. Do not report fourth quarter data in columns (e) and (f). 
7. Report amounts for accounts 412 and 413, Revenues and Expenses from Utility Plant Leases to Others, in another utility column in a similar manner to a utility department. Spread the amount(s) over lines 2 thru 26 as appropriate. Include these amounts in columns (c) and (d) totals. 
8. Report amounts in account 414, Other Utility Operating Income, in the same manner as accounts 412 and 413 above.</t>
  </si>
  <si>
    <t>9. Use page 122 for important notes regarding the statement of income for any account thereof.
10. Give concise explanations concerning unsettled rate proceedings where a contingency exists such that refunds of a material amount may need to be made to the utility's customers or which may result in material refund to the utility with respect to power or gas purchases.  State for each year effected the gross revenues or costs to which the contingency relates and the tax effects together with an explanation of the major factors which affect the rights of the utility to retain such revenues or recover amounts paid with respect to power or gas purchases.
11 Give concise explanations concerning significant amounts of any refunds made or received during the year resulting from settlement of any rate proceeding affecting revenues received or costs incurred for power or gas purches, and a summary of the adjustments made to balance sheet, income, and expense accounts.
12. If any notes appearing in the report to stokholders are applicable to the Statement of Income, such notes may be included at page 122.
13. Enter on page 122 a concise explanation of only those changes in accounting methods made during the year which had an effect on net income, including the basis of allocations and apportionments from those used in the preceding year. Also, give the appropriate dollar effect of such changes.
14. Explain in a footnote if the previous year's/quarter's figures are different from that reported in prior reports.
15. If the columns are insufficient for reporting additional utility departments, supply the appropriate account titles report the information in a footnote to this schedule.</t>
  </si>
  <si>
    <t>(Ref.)
Page No.</t>
  </si>
  <si>
    <t>Total
Current Year to
Date Balance for
Quarter/Year</t>
  </si>
  <si>
    <t>Total
Prior Year to
Date Balance for
Quarter/Year</t>
  </si>
  <si>
    <t>Current 3 Months
Ended
Quarterly Only
No 4th Quarter</t>
  </si>
  <si>
    <t>Prior 3 Months
Ended
Quarterly Only
No 4th Quarter</t>
  </si>
  <si>
    <t>ELECTRIC UTILITY</t>
  </si>
  <si>
    <t>GAS UTILITY</t>
  </si>
  <si>
    <t>OTHER UTILITY</t>
  </si>
  <si>
    <t>Current Year to Date
(in dollars)</t>
  </si>
  <si>
    <t>Previous Year to Date
(in dollars)</t>
  </si>
  <si>
    <t>2023/Q4</t>
  </si>
  <si>
    <t>2022/Q4</t>
  </si>
  <si>
    <t>YTD</t>
  </si>
  <si>
    <t>( c )</t>
  </si>
  <si>
    <t>(e)</t>
  </si>
  <si>
    <t>(g)</t>
  </si>
  <si>
    <t>(h)</t>
  </si>
  <si>
    <t>(i)</t>
  </si>
  <si>
    <t>(j)</t>
  </si>
  <si>
    <t>(k)</t>
  </si>
  <si>
    <t>(l)</t>
  </si>
  <si>
    <t>UTILITY OPERATING INCOME</t>
  </si>
  <si>
    <t>Tie-out ref: 2.3</t>
  </si>
  <si>
    <t xml:space="preserve">  </t>
  </si>
  <si>
    <t>Operating Revenues (400)</t>
  </si>
  <si>
    <t>300-301</t>
  </si>
  <si>
    <t>Operating Expenses</t>
  </si>
  <si>
    <t xml:space="preserve">     </t>
  </si>
  <si>
    <t>Operation Expenses (401)</t>
  </si>
  <si>
    <t>Maintenance Expenses (402)</t>
  </si>
  <si>
    <t>Depreciation Expense (403)</t>
  </si>
  <si>
    <t>336-337</t>
  </si>
  <si>
    <t>Depreciation Expense for Asset Retirement Costs (403.1)</t>
  </si>
  <si>
    <t>Amort. &amp; Depl. of Utility Plant (404-405)</t>
  </si>
  <si>
    <t>Amort. of Utility Plant Acq. Adj. (406)</t>
  </si>
  <si>
    <t>Amort. Property Losses, Unrecov Plant and Regulatory Study Costs (407)</t>
  </si>
  <si>
    <t>Amort. of Conversion Expenses (407)</t>
  </si>
  <si>
    <t>Regulatory Debits (407.3)</t>
  </si>
  <si>
    <t>(Less) Regulatory Credits (407.4)</t>
  </si>
  <si>
    <t>Taxes Other Than Income Taxes (408.1)</t>
  </si>
  <si>
    <t>Income Taxes - Federal (409.1)</t>
  </si>
  <si>
    <t>- Other (409.1)</t>
  </si>
  <si>
    <t>Provision for Deferred Income Taxes (410.1)</t>
  </si>
  <si>
    <t>234, 272-277</t>
  </si>
  <si>
    <t>(Less) Provision for Deferred Income Taxes-Cr. (411.1)</t>
  </si>
  <si>
    <t>Investment Tax Credit Adj. - Net (411.4)</t>
  </si>
  <si>
    <t>(Less) Gains from Disp. of Utility Plant (411.6)</t>
  </si>
  <si>
    <t>Losses from Disp. of Utility Plant (411.7)</t>
  </si>
  <si>
    <t>(Less) Gains from Disposition of Allowances (411.8)</t>
  </si>
  <si>
    <t>Losses from Disposition of Allowances (411.9)</t>
  </si>
  <si>
    <t>Accretion Expense (411.10)</t>
  </si>
  <si>
    <t>TOTAL Utility Operating Expenses (Enter Total of lines 4 thru 24)</t>
  </si>
  <si>
    <t>Net Util Oper Inc (Enter Tot line 2 less 25) Carry to Pg117,line 27</t>
  </si>
  <si>
    <t>Net Utility Operating Income (Carried forward from page 114)</t>
  </si>
  <si>
    <t>Other Income and Deductions</t>
  </si>
  <si>
    <t>Other Income</t>
  </si>
  <si>
    <t>Nonutilty Operating Income</t>
  </si>
  <si>
    <t>Revenues From Merchandising, Jobbing and Contract Work (415)</t>
  </si>
  <si>
    <t>(Less) Costs and Exp. of Merchandising, Job. &amp; Contract Work (416)</t>
  </si>
  <si>
    <t>Revenues From Nonutility Operations (417)</t>
  </si>
  <si>
    <t>(Less) Expenses of Nonutility Operations (417.1)</t>
  </si>
  <si>
    <t>Nonoperating Rental Income (418)</t>
  </si>
  <si>
    <t>Equity in Earnings of Subsidiary Companies (418.1)</t>
  </si>
  <si>
    <t>Interest and Dividend Income (419)</t>
  </si>
  <si>
    <t>Allowance for Other Funds Used During Construction (419.1)</t>
  </si>
  <si>
    <t>Miscellaneous Nonoperating Income (421)</t>
  </si>
  <si>
    <t>Gain on Disposition of Property (421.1)</t>
  </si>
  <si>
    <t>TOTAL Other Income (Enter Total of lines 31 thru 40)</t>
  </si>
  <si>
    <t>Other Income Deductions</t>
  </si>
  <si>
    <t>Loss on Disposition of Property (421.2)</t>
  </si>
  <si>
    <t>Miscellaneous Amortization (425)</t>
  </si>
  <si>
    <t>Donations (426.1)</t>
  </si>
  <si>
    <t>Life Insurance (426.2)</t>
  </si>
  <si>
    <t>Penalties (426.3)</t>
  </si>
  <si>
    <t>Exp. for Certain Civic, Political &amp; Related Activities (426.4)</t>
  </si>
  <si>
    <t>Other Deductions (426.5)</t>
  </si>
  <si>
    <t>TOTAL Other Income Deductions (Total of lines 43 thru 49)</t>
  </si>
  <si>
    <t>Taxes Applic. to Other Income and Deductions</t>
  </si>
  <si>
    <t>Taxes Other Than Income Taxes (408.2)</t>
  </si>
  <si>
    <t>Income Taxes-Federal (409.2)</t>
  </si>
  <si>
    <t>Income Taxes-Other (409.2)</t>
  </si>
  <si>
    <t>Provision for Deferred Inc. Taxes (410.2)</t>
  </si>
  <si>
    <t>(Less) Provision for Deferred Income Taxes-Cr. (411.2)</t>
  </si>
  <si>
    <t>Investment Tax Credit Adj.-Net (411.5)</t>
  </si>
  <si>
    <t>(Less) Investment Tax Credits (420)</t>
  </si>
  <si>
    <t>TOTAL Taxes on Other Income and Deductions (Total of lines 52-58)</t>
  </si>
  <si>
    <t>Net Other Income and Deductions (Total of lines 41, 50, 59)</t>
  </si>
  <si>
    <t>Interest Charges</t>
  </si>
  <si>
    <t>Interest on Long-Term Debt (427)</t>
  </si>
  <si>
    <t>Amort. of Debt Disc. and Expense (428)</t>
  </si>
  <si>
    <t>Amortization of Loss on Reaquired Debt (428.1)</t>
  </si>
  <si>
    <t>(Less) Amort. of Premium on Debt-Credit (429)</t>
  </si>
  <si>
    <t>(Less) Amortization of Gain on Reaquired Debt-Credit (429.1)</t>
  </si>
  <si>
    <t>Interest on Debt to Assoc. Companies (430)</t>
  </si>
  <si>
    <t>Other Interest Expense (431)</t>
  </si>
  <si>
    <t>(Less) Allowance for Borrowed Funds Used During Construction-Cr. (432)</t>
  </si>
  <si>
    <t>Net Interest Charges (Total of lines 62 thru 69)</t>
  </si>
  <si>
    <t>Income Before Extraordinary Items (Total of lines 27, 60 and 70)</t>
  </si>
  <si>
    <t>Extraordinary Items</t>
  </si>
  <si>
    <t>Extraordinary Income (434)</t>
  </si>
  <si>
    <t>(Less) Extraordinary Deductions (435)</t>
  </si>
  <si>
    <t>Net Extraordinary Items (Total of line 73 less line 74)</t>
  </si>
  <si>
    <t>Income Taxes-Federal and Other (409.3)</t>
  </si>
  <si>
    <t>Extraordinary Items After Taxes (line 75 less line 76)</t>
  </si>
  <si>
    <t>Net Income (Total of line 71 and 77)</t>
  </si>
  <si>
    <t>STATEMENT OF RETAINED EARNINGS</t>
  </si>
  <si>
    <r>
      <rPr>
        <sz val="8"/>
        <color rgb="FF000000"/>
        <rFont val="Arial"/>
        <family val="2"/>
      </rPr>
      <t>1.  Do not report Lines 49-53 on the quarterly version.</t>
    </r>
    <r>
      <rPr>
        <sz val="8"/>
        <color rgb="FF000000"/>
        <rFont val="Arial"/>
        <family val="2"/>
      </rPr>
      <t> </t>
    </r>
    <r>
      <rPr>
        <sz val="8"/>
        <color rgb="FF000000"/>
        <rFont val="Arial"/>
        <family val="2"/>
      </rPr>
      <t xml:space="preserve">2.  Report all changes in appropriated retained earnings, unappropriated retained earnings, year to date, and unappropriated undistributed subsidiary earnings for the year. </t>
    </r>
    <r>
      <rPr>
        <sz val="8"/>
        <color rgb="FF000000"/>
        <rFont val="Arial"/>
        <family val="2"/>
      </rPr>
      <t> </t>
    </r>
    <r>
      <rPr>
        <sz val="8"/>
        <color rgb="FF000000"/>
        <rFont val="Arial"/>
        <family val="2"/>
      </rPr>
      <t>3.  Each credit and debit during the year should be identified as to the retained earnings account in which recorded (Accounts 433, 436-439 inclusive).  Show the contra primary account affected in column (b)</t>
    </r>
    <r>
      <rPr>
        <sz val="8"/>
        <color rgb="FF000000"/>
        <rFont val="Arial"/>
        <family val="2"/>
      </rPr>
      <t> </t>
    </r>
    <r>
      <rPr>
        <sz val="8"/>
        <color rgb="FF000000"/>
        <rFont val="Arial"/>
        <family val="2"/>
      </rPr>
      <t>4.  State the purpose and amount of each reservation or appropriation of retained earnings.</t>
    </r>
    <r>
      <rPr>
        <sz val="8"/>
        <color rgb="FF000000"/>
        <rFont val="Arial"/>
        <family val="2"/>
      </rPr>
      <t> </t>
    </r>
    <r>
      <rPr>
        <sz val="8"/>
        <color rgb="FF000000"/>
        <rFont val="Arial"/>
        <family val="2"/>
      </rPr>
      <t>5.  List first account 439, Adjustments to Retained Earnings, reflecting adjustments to the opening balance of retained earnings.  Follow by credit, the debit items in that order.</t>
    </r>
    <r>
      <rPr>
        <sz val="8"/>
        <color rgb="FF000000"/>
        <rFont val="Arial"/>
        <family val="2"/>
      </rPr>
      <t> </t>
    </r>
    <r>
      <rPr>
        <sz val="8"/>
        <color rgb="FF000000"/>
        <rFont val="Arial"/>
        <family val="2"/>
      </rPr>
      <t>6.  Show dividends for each class and series of capital stock.</t>
    </r>
    <r>
      <rPr>
        <sz val="8"/>
        <color rgb="FF000000"/>
        <rFont val="Arial"/>
        <family val="2"/>
      </rPr>
      <t> </t>
    </r>
    <r>
      <rPr>
        <sz val="8"/>
        <color rgb="FF000000"/>
        <rFont val="Arial"/>
        <family val="2"/>
      </rPr>
      <t>7.  Show separately the State and Federal income tax effect of items shown in account 439, Adjustments to Retained Earnings.</t>
    </r>
    <r>
      <rPr>
        <sz val="8"/>
        <color rgb="FF000000"/>
        <rFont val="Arial"/>
        <family val="2"/>
      </rPr>
      <t> </t>
    </r>
    <r>
      <rPr>
        <sz val="8"/>
        <color rgb="FF000000"/>
        <rFont val="Arial"/>
        <family val="2"/>
      </rPr>
      <t>8.  Explain in a footnote the basis for determining the amount reserved or appropriated.  If such reservation or appropriation is to be recurrent, state the number and annual amounts to be reserved or appropriated as well as the totals eventually to be accumulated.</t>
    </r>
    <r>
      <rPr>
        <sz val="8"/>
        <color rgb="FF000000"/>
        <rFont val="Arial"/>
        <family val="2"/>
      </rPr>
      <t> </t>
    </r>
    <r>
      <rPr>
        <sz val="8"/>
        <color rgb="FF000000"/>
        <rFont val="Arial"/>
        <family val="2"/>
      </rPr>
      <t xml:space="preserve">9.  If any notes appearing in the report to stockholders are applicable to this statement, include them on pages 122-123.
</t>
    </r>
    <r>
      <rPr>
        <sz val="8"/>
        <color rgb="FF000000"/>
        <rFont val="Arial"/>
        <family val="2"/>
      </rPr>
      <t/>
    </r>
  </si>
  <si>
    <t>Insert Columns to the right here-&gt;</t>
  </si>
  <si>
    <t>Contra Primary Account Affected</t>
  </si>
  <si>
    <t>Current Quarter/
Year to Date
Balance</t>
  </si>
  <si>
    <t>Previous Quarter/
Year to Date
Balance</t>
  </si>
  <si>
    <t>Typed Dimension</t>
  </si>
  <si>
    <t>UNAPPROPRIATED RETAINED EARNINGS (Account 216)</t>
  </si>
  <si>
    <t>LIne No.</t>
  </si>
  <si>
    <t>Balance-Beginning of Period</t>
  </si>
  <si>
    <t>Changes</t>
  </si>
  <si>
    <t>Adjustments to Retained Earnings (Account 439)</t>
  </si>
  <si>
    <t>TOTAL Credits to Retained Earnings (Acct. 439)</t>
  </si>
  <si>
    <t>TOTAL Debits to Retained Earnings (Acct. 439)</t>
  </si>
  <si>
    <t>Balance Transferred from Income (Account 433 less Account 418.1)</t>
  </si>
  <si>
    <t>Appropriations of Retained Earnings (Acct. 436)</t>
  </si>
  <si>
    <t>Unappropriation of excess earnings related to Lower Klamath Hydroelectric Project</t>
  </si>
  <si>
    <t>Appropriation of excess earnings at certain hydroelectric generating facilities</t>
  </si>
  <si>
    <t>Total Appropriations of Retained Earnings (Acct. 436)</t>
  </si>
  <si>
    <t>Dividends Declared-Preferred Stock (Account 437)</t>
  </si>
  <si>
    <t>Preferred Stock, various series and rates</t>
  </si>
  <si>
    <t>TOTAL Dividends Declared-Preferred Stock (Account 437)</t>
  </si>
  <si>
    <t>Dividends Declared-Common Stock (Account 438)</t>
  </si>
  <si>
    <t>Common Stock</t>
  </si>
  <si>
    <t>TOTAL Dividends Declared-Common Stock (Account 438)</t>
  </si>
  <si>
    <t>Transfers from Acct 216.1, Unapprop. Undistrib. Subsidiary Earnings</t>
  </si>
  <si>
    <t>Balance - End of Period (Total 1,9,15,16,22,29,36,37)</t>
  </si>
  <si>
    <t>APPROPRIATED RETAINED EARNINGS (Account 215)</t>
  </si>
  <si>
    <t>TOTAL Appropriated Retained Earnings (Account 215)</t>
  </si>
  <si>
    <t>APPROP. RETAINED EARNINGS - AMORT. Reserve, Federal (Account 215.1)</t>
  </si>
  <si>
    <t>TOTAL Approp. Retained Earnings-Amort. Reserve, Federal (Account 215.1)</t>
  </si>
  <si>
    <t>TOTAL Approp. Retained Earnings (Acct 215, 215.1) (Total 45, 46)</t>
  </si>
  <si>
    <t>TOTAL Retained Earnings (Acct. 215, 215.1, 216) (Total 38, 47) (216.1)</t>
  </si>
  <si>
    <t>UNAPPROPRIATED UNDISTRIBUTED SUBSIDIARY EARNINGS (Account</t>
  </si>
  <si>
    <t>Report only on an Annual Basis, no Quarterly</t>
  </si>
  <si>
    <t>Balance-Beginning of Year (Debit or Credit)</t>
  </si>
  <si>
    <t>Equity in Earnings for Year (Credit) (Account 418.1)</t>
  </si>
  <si>
    <t>(Less) Dividends Received (Debit)</t>
  </si>
  <si>
    <t>Transfers to/from Unappropriated Retained Earnings (Account 216)</t>
  </si>
  <si>
    <t>Balance-End of Year (Total lines 49 thru 52)</t>
  </si>
  <si>
    <t>STATEMENT OF CASH FLOWS</t>
  </si>
  <si>
    <t>(1) Codes to be used: (a) Net Proceeds or Payments; (b) Bonds, debentures and other long-term debt; (c ) Include commercial paper; and (d) Identify separately such items as investments, fixed assets, intangibles, etc. 
(2) Information about noncash investing and financing activities must be provided in the Notes to the Financial statements.  Also provide a reconciliation between "Cash and Cash Equivalents at End of Period" with related amounts on the Balance Sheet. 
(3) Operating Activities - Other: Include gains and losses pertaining to operating activities only. Gains and losses pertaining to investing and financing activities should be reported in those activities. Show in the Notes to the Financials the amounts of interest paid (net of  amount capitalized) and income taxes paid. 
(4) Investing Activities:  Include at Other (line 31) net cash outflow to acquire other companies. Provide a reconciliation of assets acquired with liabilities assumed in the Notes to the Financial Statements.  Do not include on this statement the dollar amount of leases capitalized per the USofA General Instruction 20; instead provide a reconciliation of the dollar amount of leases capitalized with the plant cost.</t>
  </si>
  <si>
    <t>Line
No.</t>
  </si>
  <si>
    <t>Description (See Instruction No. 1 for Explanation of Codes)</t>
  </si>
  <si>
    <t>Current Year to Date
Quarter/Year</t>
  </si>
  <si>
    <t>Previous Year to Date
Quarter/Year</t>
  </si>
  <si>
    <t>September 30, 2023</t>
  </si>
  <si>
    <t>June 30, 2023</t>
  </si>
  <si>
    <t>March 31, 2023</t>
  </si>
  <si>
    <t>December 31, 2022</t>
  </si>
  <si>
    <t>September 30, 2022</t>
  </si>
  <si>
    <t>June 30, 2022</t>
  </si>
  <si>
    <t>March 31, 2022</t>
  </si>
  <si>
    <t>Net Cash Flow from Operating Activities:</t>
  </si>
  <si>
    <t>Net Income (Line 78(c) on page 117)</t>
  </si>
  <si>
    <t>Noncash Charges (Credits) to Income:</t>
  </si>
  <si>
    <t>Depreciation and Depletion</t>
  </si>
  <si>
    <t>Amortization:</t>
  </si>
  <si>
    <t xml:space="preserve">  Amortization of software and other intangibles</t>
  </si>
  <si>
    <t>5.1</t>
  </si>
  <si>
    <t xml:space="preserve">  Amortization of electric plant acquisition adjustment</t>
  </si>
  <si>
    <t>5.2</t>
  </si>
  <si>
    <t xml:space="preserve">  Amortization of regulatory assets</t>
  </si>
  <si>
    <t>5.3</t>
  </si>
  <si>
    <t>Deferred Income Taxes (Net)</t>
  </si>
  <si>
    <t>Investment Tax Credit Adjustment (Net)</t>
  </si>
  <si>
    <t>Net (Increase) Decrease in Receivables</t>
  </si>
  <si>
    <t>Net (Increase) Decrease in Inventory</t>
  </si>
  <si>
    <t>Net (Increase) Decrease in Allowances Inventory</t>
  </si>
  <si>
    <t>Net Increase (Decrease) in Payables and Accrued Expenses</t>
  </si>
  <si>
    <t>Net (Increase) Decrease in Other Regulatory Assets</t>
  </si>
  <si>
    <t>Net Increase (Decrease) in Other Regulatory Liabilities</t>
  </si>
  <si>
    <t>(Less) Allowance for Other Funds Used During Construction</t>
  </si>
  <si>
    <t>(Less) Undistributed Earnings from Subsidiary Companies</t>
  </si>
  <si>
    <t>Other Operating Activities:</t>
  </si>
  <si>
    <t>Amounts Due To/From Affiliates, Net</t>
  </si>
  <si>
    <t>Derivative Collateral (Net)</t>
  </si>
  <si>
    <t>Prepayments</t>
  </si>
  <si>
    <t>Other Assets</t>
  </si>
  <si>
    <t>Depreciation and depletion included in cost of fuel</t>
  </si>
  <si>
    <t>Net (gain) / loss on sale of property</t>
  </si>
  <si>
    <t>Write-off of assets under construction</t>
  </si>
  <si>
    <t>Change in corporate owned life insurance cash surrender value</t>
  </si>
  <si>
    <t>Amortization of debt issuance expenses and bond discount/premium</t>
  </si>
  <si>
    <t>Net (gain) / loss on long-term incentive plan and deferred compensation securities</t>
  </si>
  <si>
    <t>9.30.2021 - see 4.2 in 9.30.2022 folders</t>
  </si>
  <si>
    <t>Net Cash Provided by (Used in) Operating Activities (Total 2 thru 21)</t>
  </si>
  <si>
    <t>Cash Flows from Investment Activities:</t>
  </si>
  <si>
    <t>Construction and Acquisition of Plant (including land):</t>
  </si>
  <si>
    <t>Gross Additions to Utility Plant (less nuclear fuel)</t>
  </si>
  <si>
    <t>Gross Additions to Nuclear Fuel</t>
  </si>
  <si>
    <t>Gross Additions to Common Utility Plant</t>
  </si>
  <si>
    <t>Gross Additions to Nonutility Plant</t>
  </si>
  <si>
    <t>Cash Outflows for Plant (Total of lines 26 thru 33)</t>
  </si>
  <si>
    <t>Acquisition of Other Noncurrent Assets (d)</t>
  </si>
  <si>
    <t>Proceeds from Disposal of Noncurrent Assets (d)</t>
  </si>
  <si>
    <t>Investments in and Advances to Assoc. and Subsidiary Companies</t>
  </si>
  <si>
    <t>Contributions and Advances from Assoc. and Subsidiary Companies</t>
  </si>
  <si>
    <t>Disposition of Investments in (and Advances to)</t>
  </si>
  <si>
    <t>Associated and Subsidiary Companies</t>
  </si>
  <si>
    <t>Purchase of Investment Securities (a)</t>
  </si>
  <si>
    <t>Proceeds from Sales of Investment Securities (a)</t>
  </si>
  <si>
    <t>Loans Made or Purchased</t>
  </si>
  <si>
    <t>Collections on Loans</t>
  </si>
  <si>
    <t>Net (Increase ) Decrease in Inventory</t>
  </si>
  <si>
    <t>Net (Increase) Decrease in Allowances Held for Speculation</t>
  </si>
  <si>
    <t>Other Investing Activities:</t>
  </si>
  <si>
    <t>Other investments / special funds</t>
  </si>
  <si>
    <t>53.1</t>
  </si>
  <si>
    <t>Net proceeds from (purchases of) long-term incentive plan and deferred compensation securities</t>
  </si>
  <si>
    <t>53.2</t>
  </si>
  <si>
    <t>Net proceeds from (purchases of) company owned life insurance policies</t>
  </si>
  <si>
    <t>53.3</t>
  </si>
  <si>
    <t>Net Cash Provided by (Used in) Investing Activities</t>
  </si>
  <si>
    <t>Total of lines 34 thru 55)</t>
  </si>
  <si>
    <t>Cash Flows from Financing Activities:</t>
  </si>
  <si>
    <t>Proceeds from Issuance of:</t>
  </si>
  <si>
    <t>Long-Term Debt (b)</t>
  </si>
  <si>
    <t>Preferred Stock</t>
  </si>
  <si>
    <t>Net Increase in Short-Term Debt (c)</t>
  </si>
  <si>
    <t>Net borrowings from subsidiary company, Pacific Minerals, Inc.</t>
  </si>
  <si>
    <t>Cash Provided by Outside Sources (Total 61 thru 69)</t>
  </si>
  <si>
    <t>Payments for Retirement of:</t>
  </si>
  <si>
    <t>Long-term Debt (b)</t>
  </si>
  <si>
    <t xml:space="preserve">  Other deferred financing costs</t>
  </si>
  <si>
    <t>76.1</t>
  </si>
  <si>
    <t xml:space="preserve">  Repayment of Finance Lease Obligations</t>
  </si>
  <si>
    <t>76.2</t>
  </si>
  <si>
    <t xml:space="preserve">  Other</t>
  </si>
  <si>
    <t>76.3</t>
  </si>
  <si>
    <t>Net Decrease in Short-Term Debt (c)</t>
  </si>
  <si>
    <t>Dividends on Preferred Stock</t>
  </si>
  <si>
    <t>Dividends on Common Stock</t>
  </si>
  <si>
    <t>Net Cash Provided by (Used in) Financing Activities</t>
  </si>
  <si>
    <t>(Total of lines 70 thru 81)</t>
  </si>
  <si>
    <t>Net Increase (Decrease) in Cash and Cash Equivalents</t>
  </si>
  <si>
    <t>(Total of lines 22,57 and 83)</t>
  </si>
  <si>
    <t>86</t>
  </si>
  <si>
    <t>87</t>
  </si>
  <si>
    <t>Cash and Cash Equivalents at Beginning of Period</t>
  </si>
  <si>
    <t>88</t>
  </si>
  <si>
    <t>89</t>
  </si>
  <si>
    <t>Cash and Cash Equivalents at End of period</t>
  </si>
  <si>
    <t>90</t>
  </si>
  <si>
    <t>PAGE 122a</t>
  </si>
  <si>
    <t>PAGE 122b</t>
  </si>
  <si>
    <t>STATEMENTS OF ACCUMULATED COMPREHENSIVE INCOME, COMPREHENSIVE INCOME, AND HEDGING ACTIVITIES</t>
  </si>
  <si>
    <t>1.  Report in columns (b), (c), (d) and (e) the amounts of accumulated other comprehensive income items, on a net-of-tax-basis, where appropriate.
2.  Report in columns (f) and (g) the amounts of other categories of other cash flow hedges.
3.  For each category of hedges that have been accounted for as "fair value hedges", report the accounts affected and the related amounts in a footnote.
4.  Report data on a year-to-date basis.</t>
  </si>
  <si>
    <t xml:space="preserve">
Line
No.</t>
  </si>
  <si>
    <t>Item</t>
  </si>
  <si>
    <t>Unrealized Gains and Losses on Available-for-sale Securities</t>
  </si>
  <si>
    <t>Minimum Pension Liability Adjustment (net amount)</t>
  </si>
  <si>
    <t>Foreign Currency Hedges</t>
  </si>
  <si>
    <t>Other Adjustments</t>
  </si>
  <si>
    <t>Other Cash Flow  Hedges Interest Rate Swaps</t>
  </si>
  <si>
    <t>Other Cash Flow  Hedges  [Specify]</t>
  </si>
  <si>
    <t>Totals for each  category of items recorded in  Account 219</t>
  </si>
  <si>
    <t>Net Income (Carried forward from Page 117, Line 78)</t>
  </si>
  <si>
    <t>Total  Comprehensive  Income</t>
  </si>
  <si>
    <t>Balance of Account 219 at Beginning of Preceding Year</t>
  </si>
  <si>
    <t>Bal in Acct 219
PG 112, Ln 15</t>
  </si>
  <si>
    <t>Preceding Qtr/Yr to Date Reclassifications from Acct 219 to Net Income</t>
  </si>
  <si>
    <t>December 31, 2018</t>
  </si>
  <si>
    <t>Preceding Quarter/Year to Date Changes in Fair Value</t>
  </si>
  <si>
    <t>December 31, 2019</t>
  </si>
  <si>
    <t>Total (lines 2 and 3)</t>
  </si>
  <si>
    <t>December 31, 2020</t>
  </si>
  <si>
    <t>Balance of Account 219 at End of Preceding Quarter/Year</t>
  </si>
  <si>
    <t>December 31, 2021</t>
  </si>
  <si>
    <t>Balance of Account 219 at Beginning of Current Year</t>
  </si>
  <si>
    <t>Current Qtr/Yr to Date Reclassifications from Acct 219 to Net Income</t>
  </si>
  <si>
    <t>Current Quarter/Year to Date Changes in Fair Value</t>
  </si>
  <si>
    <t>Total (lines 7 and 8)</t>
  </si>
  <si>
    <t>Balance of Account 219 at End of Current Quarter/Year</t>
  </si>
  <si>
    <t>PAGE 200</t>
  </si>
  <si>
    <t>PAGE 201</t>
  </si>
  <si>
    <t>SUMMARY OF UTILITY PLANT AND ACCUMULATED PROVISIONS 
FOR DEPRECIATION, AMORTIZATION AND DEPLETION</t>
  </si>
  <si>
    <t>SUMMARY OF UTILITY PLANT AND ACCUMULATED PROVISIONS  FOR DEPRECIATION, AMORTIZATION AND DEPLETION</t>
  </si>
  <si>
    <t>Report in Column (c) the amount for electric function, in column (d) the amount for gas function, in column (e), (f), and (g) report other (specify) and in column (h) common function.</t>
  </si>
  <si>
    <t xml:space="preserve">Total Company for the Current Year/Quarter Ended </t>
  </si>
  <si>
    <t>Gas</t>
  </si>
  <si>
    <t>Other (Specify)</t>
  </si>
  <si>
    <t>Common</t>
  </si>
  <si>
    <t>In Service</t>
  </si>
  <si>
    <t>Plant in Service (Classified)</t>
  </si>
  <si>
    <t>Property Under Capital Leases</t>
  </si>
  <si>
    <t>Plant Purchased or Sold</t>
  </si>
  <si>
    <t>Completed Construction not Classified</t>
  </si>
  <si>
    <t>Experimental Plant Unclassified</t>
  </si>
  <si>
    <t>Total (3 thru 7)</t>
  </si>
  <si>
    <t>Leased to Others</t>
  </si>
  <si>
    <t>Held for Future Use</t>
  </si>
  <si>
    <t>Construction Work in Progress</t>
  </si>
  <si>
    <t>Acquisition Adjustments</t>
  </si>
  <si>
    <t>Total Utility Plant (8 thru 12)</t>
  </si>
  <si>
    <t>Accum Prov for Depr, Amort, &amp; Depl</t>
  </si>
  <si>
    <t>Net Utility Plant (13 less 14)</t>
  </si>
  <si>
    <t>Detail of Accum Prov for Depr, Amort &amp; Depl</t>
  </si>
  <si>
    <t>In Service:</t>
  </si>
  <si>
    <t>Amort &amp; Depl of Producing Nat Gas Land/Land Right</t>
  </si>
  <si>
    <t>Amort of Underground Storage Land/Land Rights</t>
  </si>
  <si>
    <t>Amort of Other Utility Plant</t>
  </si>
  <si>
    <t>Total In Service (18 thru 21)</t>
  </si>
  <si>
    <t>Amortization and Depletion</t>
  </si>
  <si>
    <t>Total Leased to Others (24 &amp; 25)</t>
  </si>
  <si>
    <t>Amortization</t>
  </si>
  <si>
    <t>Total Held for Future Use (28 &amp; 29)</t>
  </si>
  <si>
    <t>Abandonment of Leases (Natural Gas)</t>
  </si>
  <si>
    <t>Amort of Plant Acquisition Adj</t>
  </si>
  <si>
    <t>Total Accum Prov (equals 14) (22,26,30,31,32)</t>
  </si>
  <si>
    <t>PAGE 204</t>
  </si>
  <si>
    <t>ELECTRIC PLANT IN SERVICE (Account 101. 102, 103 and 106)</t>
  </si>
  <si>
    <t>ELECTRIC PLANT IN SERVICE (Account 101, 102, 103 and 106) (Continued)</t>
  </si>
  <si>
    <t>1.  Report below the original cost of electric plant in service according to the prescribed accounts.
2.  In addition to Account 101, Electric Plant in Service (Classified), this page and the next include Account 102, Electric Plant Purchased or Sold;Account 103, Experimental Electric Plant Unclassified; and Account 106, Completed Construction Not Classified-Electric.3. 
3.  Include in column (c) or (d), as appropriate, corrections of additions and retirements for the current or preceding year.
4.  For revisions to the amount of initial asset retirement costs capitalized, included by primary plant account, increases in column (c) additions and reductions in column (e) adjustments.
5.  Enclose in parentheses credit adjustments of plant accounts to indicate the negative effect of such accounts.
6.  Classify Account 106 according to prescribed accounts, on an estimated basis if necessary, and include the entries in column (c). Also to be included in column (c) are entries for reversals of tentative distributions of prior year reported in column (b). Likewise, if the respondent has a significant amount of plant retirements which have not been classified to primary accounts at the end of the year, include in column (d) a tentative distribution of such retirements, on an estimated basis, with appropriate contra entry to the account for accumulated depreciation provision. Include also in column (d)</t>
  </si>
  <si>
    <t>distributions of these tentative classifications in columns (c) and (d), including the reversals of the prior years tentative account distributions of these amounts. Careful observance of the above instructions and the texts of Accounts 101 and 106 will avoid serious omissions of the reported amount of respondent's plant actually in service at end of year.
7. Show in column (f) reclassifications or transfers within utility plant accounts. Include also in column (f) the additions or reductions of primary account classifications arising from distribution of amounts initially recorded in Account 102, include in column (e) the amounts with respect to accumulated provision for depreciation, acquisition adjustments, etc., and show in column (f) only the offset to the debits or credits distributed in column (f) to primary account classifications.
8. For Account 399, state the nature and use of plant included in this accotnt and if substantial in amount submit a supplementary statement showing subaccount classification of such plant conforming to the requirement of these pages.
9. For each amount comprising the reported balance and changes in Account 102, state the property purchased or sold, name of vendor or purchase,and date of transaction. If proposed journal entries have been filed with the Commission as required by the Uniform System of Accounts, give also date</t>
  </si>
  <si>
    <t>Balance
Beginning of Year</t>
  </si>
  <si>
    <t>Additions</t>
  </si>
  <si>
    <t>Retirements</t>
  </si>
  <si>
    <t>Adjustments</t>
  </si>
  <si>
    <t>Transfers</t>
  </si>
  <si>
    <t>Balance at
End of Year</t>
  </si>
  <si>
    <t>Decmeber 31, 2020</t>
  </si>
  <si>
    <t>Decmeber 31, 2019</t>
  </si>
  <si>
    <t>1. INTANGIBLE PLANT</t>
  </si>
  <si>
    <t>(301) Organization</t>
  </si>
  <si>
    <t>(302) Franchises and Consents</t>
  </si>
  <si>
    <t>(303) Miscellaneous Intangible Plant</t>
  </si>
  <si>
    <t>TOTAL Intangible Plant (Enter Total of lines 2, 3, and 4)</t>
  </si>
  <si>
    <t>2. PRODUCTION PLANT</t>
  </si>
  <si>
    <t>A. Steam Production Plant</t>
  </si>
  <si>
    <t>(310) Land and Land Rights</t>
  </si>
  <si>
    <t>(311) Structures and Improvements</t>
  </si>
  <si>
    <t>(312) Boiler Plant Equipment</t>
  </si>
  <si>
    <t>(313) Engines and Engine-Driven Generators</t>
  </si>
  <si>
    <t>(314) Turbogenerator Units</t>
  </si>
  <si>
    <t>(315) Accessory Electric Equipment</t>
  </si>
  <si>
    <t>(316) Misc. Power Plant Equipment</t>
  </si>
  <si>
    <t>(317) Asset Retirement Costs for Steam Production</t>
  </si>
  <si>
    <t>TOTAL Steam Production Plant (Enter Total of lines 8 thru 15)</t>
  </si>
  <si>
    <t>B. Nuclear Production Plant</t>
  </si>
  <si>
    <t>(320) Land and Land Rights</t>
  </si>
  <si>
    <t>(321) Structures and Improvements</t>
  </si>
  <si>
    <t>(322) Reactor Plant Equipment</t>
  </si>
  <si>
    <t>(323) Turbogenerator Units</t>
  </si>
  <si>
    <t>(324) Accessory Electric Equipment</t>
  </si>
  <si>
    <t>(325) Misc. Power Plant Equipment</t>
  </si>
  <si>
    <t>(326) Asset Retirement Costs for Nuclear Production</t>
  </si>
  <si>
    <t>TOTAL Nuclear Production Plant (Enter Total of lines 18 thru 24)</t>
  </si>
  <si>
    <t>C. Hydraulic Production Plant</t>
  </si>
  <si>
    <t>(330) Land and Land Rights</t>
  </si>
  <si>
    <t>(331) Structures and Improvements</t>
  </si>
  <si>
    <t>(332) Reservoirs, Dams, and Waterways</t>
  </si>
  <si>
    <t>(333) Water Wheels, Turbines, and Generators</t>
  </si>
  <si>
    <t>(334) Accessory Electric Equipment</t>
  </si>
  <si>
    <t>(335) Misc. Power PLant Equipment</t>
  </si>
  <si>
    <t>(336) Roads, Railroads, and Bridges</t>
  </si>
  <si>
    <t>(337) Asset Retirement Costs for Hydraulic Production</t>
  </si>
  <si>
    <t>TOTAL Hydraulic Production Plant (Enter Total of lines 27 thru 34)</t>
  </si>
  <si>
    <t>D. Other Production Plant</t>
  </si>
  <si>
    <t>(340) Land and Land Rights</t>
  </si>
  <si>
    <t>(341) Structures and Improvements</t>
  </si>
  <si>
    <t>(342) Fuel Holders, Products, and Accessories</t>
  </si>
  <si>
    <t>(343) Prime Movers</t>
  </si>
  <si>
    <t>(344) Generators</t>
  </si>
  <si>
    <t>(345) Accessory Electric Equipment</t>
  </si>
  <si>
    <t>(346) Misc. Power Plant Equipment</t>
  </si>
  <si>
    <t>(347) Asset Retirement Costs for Other Production</t>
  </si>
  <si>
    <t>44.1</t>
  </si>
  <si>
    <t>(348) Energy Storage Equipment - Production</t>
  </si>
  <si>
    <t>TOTAL Other Production Plant (Enter Total of lines 37 thru 45)</t>
  </si>
  <si>
    <t>TOTAL Production Plant (Enter Total of lines 16, 25, 35, and 46)</t>
  </si>
  <si>
    <t>3. TRANSMISSION PLANT</t>
  </si>
  <si>
    <t>(350) Land and Land Rights</t>
  </si>
  <si>
    <t>48.1</t>
  </si>
  <si>
    <t>(351) Energy Storage Equipment - Transmission</t>
  </si>
  <si>
    <t>(352) Structures and Improvements</t>
  </si>
  <si>
    <t>(353) Station Equipment</t>
  </si>
  <si>
    <t>(354) Towers and Fixtures</t>
  </si>
  <si>
    <t>(355) Poles and Fixtures</t>
  </si>
  <si>
    <t>(356) Overhead Conductors and Devices</t>
  </si>
  <si>
    <t>(357) Underground Conduit</t>
  </si>
  <si>
    <t>(358) Underground Conductors and Devices</t>
  </si>
  <si>
    <t>(359) Roads and Trails</t>
  </si>
  <si>
    <t>(359.1) Asset Retirement Costs for Transmission Plant</t>
  </si>
  <si>
    <t>TOTAL Transmission Plant (Enter Total of lines 49 thru 59)</t>
  </si>
  <si>
    <t>4. DISTRIBUTION PLANT</t>
  </si>
  <si>
    <t>(360) Land and Land Rights</t>
  </si>
  <si>
    <t>(361) Structures and Improvements</t>
  </si>
  <si>
    <t>(362) Station Equipment</t>
  </si>
  <si>
    <t>(363) Energy Storage Equipment - Distribution</t>
  </si>
  <si>
    <t>(364) Poles, Towers, and Fixtures</t>
  </si>
  <si>
    <t>(365) Overhead Conductors and Devices</t>
  </si>
  <si>
    <t>(366) Underground Conduit</t>
  </si>
  <si>
    <t>(367) Underground Conductors and Devices</t>
  </si>
  <si>
    <t>(368) Line Transformers</t>
  </si>
  <si>
    <t>(369) Services</t>
  </si>
  <si>
    <t>(370) Meters</t>
  </si>
  <si>
    <t>(371) Installations on Customer Premises</t>
  </si>
  <si>
    <t>(372) Leased Property on Customer Premises</t>
  </si>
  <si>
    <t>(373) Street Lighting and Signal Systems</t>
  </si>
  <si>
    <t>(374) Asset Retirement Costs for Distribution Plant</t>
  </si>
  <si>
    <t>TOTAL Distribution Plant (Enter Total of lines 62 thru 76)</t>
  </si>
  <si>
    <t>5. REGIONAL TRANSMISSION AND MARKET OPERATION PLANT</t>
  </si>
  <si>
    <t>(380) Land and Land Rights</t>
  </si>
  <si>
    <t>(381) Structures and Improvements</t>
  </si>
  <si>
    <t>(382) Computer Hardware</t>
  </si>
  <si>
    <t>(383) Computer Software</t>
  </si>
  <si>
    <t>(384) Communication Equipment</t>
  </si>
  <si>
    <t>(385) Miscellaneous Regional Transmission and Market Operation Plant</t>
  </si>
  <si>
    <t>(386) Asset Retirement Costs for Regional Transmission and Market Opereration Plant</t>
  </si>
  <si>
    <t>TOTAL Transmission and Market Operation Plant (Total lines 79 thru 85)</t>
  </si>
  <si>
    <t>6. GENERAL PLANT</t>
  </si>
  <si>
    <t>(389) Land and Land Rights</t>
  </si>
  <si>
    <t>(390) Structures and Improvements</t>
  </si>
  <si>
    <t>(391) Office Furniture and Equipment</t>
  </si>
  <si>
    <t>(392) Transportation Equipment</t>
  </si>
  <si>
    <t>(393) Stores Equipment</t>
  </si>
  <si>
    <t>91</t>
  </si>
  <si>
    <t>(394) Tools, Shop and Garage Equipment</t>
  </si>
  <si>
    <t>92</t>
  </si>
  <si>
    <t>(395) Laboratory Equipment</t>
  </si>
  <si>
    <t>93</t>
  </si>
  <si>
    <t>(396) Power Operated Equipment</t>
  </si>
  <si>
    <t>94</t>
  </si>
  <si>
    <t>(397) Communication Equipment</t>
  </si>
  <si>
    <t>95</t>
  </si>
  <si>
    <t>(398) Miscellaneous Equipment</t>
  </si>
  <si>
    <t>96</t>
  </si>
  <si>
    <t>SUBTOTAL (Enter Total of lines 88 thru 97)</t>
  </si>
  <si>
    <t>97</t>
  </si>
  <si>
    <t>(399) Other Tangible Property</t>
  </si>
  <si>
    <t>98</t>
  </si>
  <si>
    <t>(399.1) Asset Retirement Costs for General Plant</t>
  </si>
  <si>
    <t>99</t>
  </si>
  <si>
    <t>TOTAL General Plant (Enter Total of lines 98, 99 and 100)</t>
  </si>
  <si>
    <t>100</t>
  </si>
  <si>
    <t>TOTAL (Accounts 101 and 106)</t>
  </si>
  <si>
    <t>101</t>
  </si>
  <si>
    <t>(102) Electric Plant Purchased (See Instr. 8)</t>
  </si>
  <si>
    <t>102</t>
  </si>
  <si>
    <t>(Less) (102) Electric Plant Sold (See Instr. 8)</t>
  </si>
  <si>
    <t>103</t>
  </si>
  <si>
    <t>(103) Experimental Plant Unclassified</t>
  </si>
  <si>
    <t>104</t>
  </si>
  <si>
    <t>TOTAL Electric Plant in Service (Enter Total of lines 102 thru 105)</t>
  </si>
  <si>
    <t>105</t>
  </si>
  <si>
    <t>ELECTRIC PLANT HELD FOR FUTURE USE (Account 105)</t>
  </si>
  <si>
    <t>1.  Report separately each property held for future use at end of the year having an original cost of $250,000 or more. Group other items of property held for future use.
2.  For Property having an original cost $250,00 or more previously used in utility operations, now held for future use, give in column (a), in addition to other required information, the date that utility use of such property was discontinued, and the date the original cost transferred to Account 105.</t>
  </si>
  <si>
    <t>Description and Location
of Property</t>
  </si>
  <si>
    <t>Date originally Included in This Account</t>
  </si>
  <si>
    <t>Date Expected to be used in utility Service</t>
  </si>
  <si>
    <t>Land and Rights:</t>
  </si>
  <si>
    <t>Barnes Butte Substation</t>
  </si>
  <si>
    <t>Jumbers Point Substation</t>
  </si>
  <si>
    <t>Mountain Green Substation</t>
  </si>
  <si>
    <t>Hoggard Substation</t>
  </si>
  <si>
    <t>Oquirrh-Terminal 345kV Transmission Line</t>
  </si>
  <si>
    <t>Bend Service Center</t>
  </si>
  <si>
    <t>Populus Substation</t>
  </si>
  <si>
    <t>Old Mill Substation</t>
  </si>
  <si>
    <t>Chimney Butte-Paradise 230kV Transmission Line</t>
  </si>
  <si>
    <t>Fiddlers Canyon Substation</t>
  </si>
  <si>
    <t>Banfield Substation</t>
  </si>
  <si>
    <t>Ochoco Substation</t>
  </si>
  <si>
    <t>Miscellaneous, each under $250,000:</t>
  </si>
  <si>
    <t>Other Property:</t>
  </si>
  <si>
    <t>CONSTRUCTION WORK IN PROGRESS-ELECTRIC (Account 107)</t>
  </si>
  <si>
    <t>1.  Report below descriptions and balances at end of year of projects in process of construction (107)
2.  Show iteams relating to "research, development, and demonstration" projects last, under a caption Research, Development, and Demonstrating (see Account 107 of the Uniform System of Accounts)
3.  Minor Projects (5% of Balance End of the Year for Account 107 or $1,000,000, whichever is less) may be grouped.</t>
  </si>
  <si>
    <t>Description of Project</t>
  </si>
  <si>
    <t>Construction work in progress-
Electric (Account 107)</t>
  </si>
  <si>
    <t>Intangible:</t>
  </si>
  <si>
    <t>Oracle Systems Software</t>
  </si>
  <si>
    <t>Field Ai-Field Asset Intelligence and Related Software Implementations</t>
  </si>
  <si>
    <t>UII Software Upgrade</t>
  </si>
  <si>
    <t>Palantir Foundry</t>
  </si>
  <si>
    <t>Mobile GIS Software</t>
  </si>
  <si>
    <t>Cutler Hydro Relicensing</t>
  </si>
  <si>
    <t>PacifiCorp Public Safety Partner Portal Software</t>
  </si>
  <si>
    <t>Advanced Weather Forecasting &amp; Analytics Software</t>
  </si>
  <si>
    <t>APIM-Asset Performance and Investment Management Software</t>
  </si>
  <si>
    <t>Customer Mobile Apps Software</t>
  </si>
  <si>
    <t>Endur Software Upgrade</t>
  </si>
  <si>
    <t>Maximo Generation</t>
  </si>
  <si>
    <t>PAC SolarWinds</t>
  </si>
  <si>
    <t>Vertex for Oracle</t>
  </si>
  <si>
    <t>Ambient Ai- Video Security</t>
  </si>
  <si>
    <t>OpenMethods for Oracle</t>
  </si>
  <si>
    <t>Production:</t>
  </si>
  <si>
    <t>Rock Creek Wind II</t>
  </si>
  <si>
    <t>Rock Creek Wind I</t>
  </si>
  <si>
    <t>Rock River Wind</t>
  </si>
  <si>
    <t>Fall Creek Hatchery</t>
  </si>
  <si>
    <t>Lewis River System Relicensing Implementation</t>
  </si>
  <si>
    <t>Jim Bridger U2 Conversion to Natural Gas</t>
  </si>
  <si>
    <t>Jim Bridger U1 Conversion to Natural Gas</t>
  </si>
  <si>
    <t>Yale Saddle Dam Seismic Remediation</t>
  </si>
  <si>
    <t>Grace Hydro Unit 3 Overhaul</t>
  </si>
  <si>
    <t>Toketee Dam Rehabilitation Evaluation</t>
  </si>
  <si>
    <t>Viva Naughton FERC Production Compliance</t>
  </si>
  <si>
    <t>Swift 1 Hydro Spillway Gate Bulkhead</t>
  </si>
  <si>
    <t>Toketee 2 Turbine Refurbishment</t>
  </si>
  <si>
    <t>Yale Main Dam In-Situ Instrumentation</t>
  </si>
  <si>
    <t>ILR 4.5 Yale Downstream Fish Passage</t>
  </si>
  <si>
    <t>Swift 1 Hydro Spillway Improvements</t>
  </si>
  <si>
    <t>Swift 1 Hydro Spillway Gate Retrofit</t>
  </si>
  <si>
    <t>Yale Dam Spillway Upgrades Evaluation</t>
  </si>
  <si>
    <t>Cutler Hydro Surge Tank Anchor Upgrades</t>
  </si>
  <si>
    <t>Prospect 3 Hydro - South Fork Flowline Repairs</t>
  </si>
  <si>
    <t>North Fork Dam Upgrade</t>
  </si>
  <si>
    <t>Huntington RO Softener to Thickener Piping</t>
  </si>
  <si>
    <t>Weber Dam Improvements Evaluation</t>
  </si>
  <si>
    <t>Hunter U3 Baghouse Bags</t>
  </si>
  <si>
    <t>Bear River Hydro Flood and Structural Assessment Project</t>
  </si>
  <si>
    <t>Hunter U3 ID Fans Variable Frequency Drives</t>
  </si>
  <si>
    <t>Lemolo 1 Spillway Improvements</t>
  </si>
  <si>
    <t>Oneida Switchgear</t>
  </si>
  <si>
    <t>Grace Unit #3 Pivot Valve</t>
  </si>
  <si>
    <t>Ashton Hydro Trash Rake</t>
  </si>
  <si>
    <t>Hunter Recovery Basin Lining</t>
  </si>
  <si>
    <t>Hunter U3 3-7 Feedwater Heater Replacement</t>
  </si>
  <si>
    <t>Cutler Dam Upgrades</t>
  </si>
  <si>
    <t>Hunter U3 Air Preheater Basket Replacement</t>
  </si>
  <si>
    <t>Lake Side Gas Continuous Emission Monitors Change Out &amp; ESC Programming</t>
  </si>
  <si>
    <t>Jim Bridger Southend Building Heating</t>
  </si>
  <si>
    <t>Toketee Unit 2 Turbine Isolation Valve Replacement</t>
  </si>
  <si>
    <t>Clearwater 1 Forebay Trash Rake</t>
  </si>
  <si>
    <t>Transmission:</t>
  </si>
  <si>
    <t>Aeolus - Mona 500kV Line</t>
  </si>
  <si>
    <t>Windstar - Shirley Basin 230kV Line</t>
  </si>
  <si>
    <t>Boardman - Hemingway 500kV Line</t>
  </si>
  <si>
    <t>Anticline 345 kV Phase Shifting Transformers</t>
  </si>
  <si>
    <t>Populus - Hemingway 500kV Line</t>
  </si>
  <si>
    <t>Anticline - Populus 500kV Line</t>
  </si>
  <si>
    <t>Oquirrh - Terminal 345kV Line</t>
  </si>
  <si>
    <t>Project Specialized, 242 MW Load</t>
  </si>
  <si>
    <t>Path C Transmission Improvements</t>
  </si>
  <si>
    <t>Sams Valley New 500-230kV Substation</t>
  </si>
  <si>
    <t>Q2913 Powerex Corp Transmission Service Request</t>
  </si>
  <si>
    <t>Q0835 Rock Creek Wind LLC–Rock Creek Wind I</t>
  </si>
  <si>
    <t>Gateway Central-Limber Area Reinforcements Segment C</t>
  </si>
  <si>
    <t>Project Litespeed</t>
  </si>
  <si>
    <t>Enhanced Substation Security - Rocky Mountain Power</t>
  </si>
  <si>
    <t>Aligned Energy Data Ctrs Propco, 200 MW</t>
  </si>
  <si>
    <t>Walla Walla 69 kV Loop Reconfigure and Reconductor</t>
  </si>
  <si>
    <t>Columbia - Coal Creek Wildfire Mitigation and Restoration</t>
  </si>
  <si>
    <t>Cottonwood-Snyderville 138kV Rebuild for Wildfire</t>
  </si>
  <si>
    <t>Grantsville Convert to 138 kV</t>
  </si>
  <si>
    <t>Tucker 69 kV Tie Line</t>
  </si>
  <si>
    <t>Magna Cap and Tooele-Pine Canyon Rebuild</t>
  </si>
  <si>
    <t>Aeolus Substation Transformer</t>
  </si>
  <si>
    <t>Replace Sigurd #6 Trf 345-230kV 450MVA</t>
  </si>
  <si>
    <t>El Monte-Eden 46kV Rebuild for Wildfire</t>
  </si>
  <si>
    <t>Snyderville-Park Cty 46kV Rebuild for Wildfire</t>
  </si>
  <si>
    <t>TCS-48 Dominguez Storage 1</t>
  </si>
  <si>
    <t>Malin-Casebeer New 69 kV Line</t>
  </si>
  <si>
    <t>Midpoint 500kV Series Cap Bank Replacement (IDP)</t>
  </si>
  <si>
    <t>Q0777 Hornshadow Solar</t>
  </si>
  <si>
    <t>Houston Lake-Ponderosa Add Second 115kV Line</t>
  </si>
  <si>
    <t>Lines 30 &amp; 65 Convert to 115 kV, Construct New 230-69kV Substation</t>
  </si>
  <si>
    <t>Q805 Glen Canyon Solar A, LLC</t>
  </si>
  <si>
    <t>St. Johns (BPA) to Knott 115 kV Line Conversion</t>
  </si>
  <si>
    <t>Burns 500 kV Series Capacitor Bank Replacement</t>
  </si>
  <si>
    <t>Loop 90 S-Terminal into MidValley 345kV Line</t>
  </si>
  <si>
    <t>Q0838 Faraday Solar</t>
  </si>
  <si>
    <t>Hurricane Sub Spare 230-69 kV-25 MVA Transformer</t>
  </si>
  <si>
    <t>Park City - Judge 46kV Line Rebuild for Wildfire</t>
  </si>
  <si>
    <t>North Bench-Northeast 46kV Line Rebuild for Wildfire</t>
  </si>
  <si>
    <t>Weirich to BPA Lebanon 115kV Tie Line</t>
  </si>
  <si>
    <t>Gateway South Support Project - Shunt Capacitor Banks</t>
  </si>
  <si>
    <t>Q2599 PAC ESM Swift-Troutdale 230kV Line Transmission Service Request</t>
  </si>
  <si>
    <t>Shirley Basin-Anticline 500kV Line D2.2</t>
  </si>
  <si>
    <t>Dixonville Sub Replace Transformer T-3112</t>
  </si>
  <si>
    <t>Alturas Replace 115-69kV Transformer Bank</t>
  </si>
  <si>
    <t>N Umpqua Pump Storage Project - Dixonville Transformer T3843</t>
  </si>
  <si>
    <t>OTP Q0196 Nephi 2nd Point of Delivery UMPA</t>
  </si>
  <si>
    <t>Construct Jackalope-Bixby 115kV Line</t>
  </si>
  <si>
    <t>Lyons Loop into Santiam - New Tie Line</t>
  </si>
  <si>
    <t>Lone Pine - Whetstone 230 kV Line</t>
  </si>
  <si>
    <t>Pilot Butte Sub Replace 3 CTs</t>
  </si>
  <si>
    <t>Dumas-Dimple Dell 138kV Underground Failure</t>
  </si>
  <si>
    <t>Camp Williams 345-138kV Transformer and 138kV Yard Addition</t>
  </si>
  <si>
    <t>WP West Acquisitions-ACC Burial on 100 S in downtown SLC</t>
  </si>
  <si>
    <t>Amps Substation Replace Control Building</t>
  </si>
  <si>
    <t>Hunter U1 Spare Generator Step-Up Transformer Replacement</t>
  </si>
  <si>
    <t>Jim Bridger - Goshen 345kV Line Structures Replacement</t>
  </si>
  <si>
    <t>St. George - Purgatory Flat Line Upgrade</t>
  </si>
  <si>
    <t>Capitol-North Bench 138kV Line Rebuild for Wildfire</t>
  </si>
  <si>
    <t>Ben Lomond-Naughton #1 230kV Line Replace Structures</t>
  </si>
  <si>
    <t>PDX 50 MVA Mobile Transf T3510 Rebuild</t>
  </si>
  <si>
    <t>Judge - Midway 46kV Rebuild for Wildfire</t>
  </si>
  <si>
    <t>RMP New Spare 138-46kV (150MVA) Transformer</t>
  </si>
  <si>
    <t>Pomona Heights Sub 230-115 kV Transformer Replacements TPL</t>
  </si>
  <si>
    <t>Moab-Pinto 138 kV Line - Install Auto Rollover</t>
  </si>
  <si>
    <t>Midpoint Sub T501 Transformer Damage (Idaho Power)</t>
  </si>
  <si>
    <t>CA–Wildfire Mitigation Current Differential Lines 38 44 South</t>
  </si>
  <si>
    <t>Bluffdale 138 kV Conversion</t>
  </si>
  <si>
    <t>Distribution:</t>
  </si>
  <si>
    <t>Portland Willamette River Crossing Project</t>
  </si>
  <si>
    <t>Fire High Consequence Area (FHCA) - Rebuild Brighton 12</t>
  </si>
  <si>
    <t>OR Fire Mitigation Distribution Sub Relay Replacement Phase 1</t>
  </si>
  <si>
    <t>Fire High Consequence Area (FHCA) - Rebuild Columbia 11</t>
  </si>
  <si>
    <t>Aligned Energy Data Centers SLC, 20 MW</t>
  </si>
  <si>
    <t>Skypark Sub 2nd 138-12kV Transformer</t>
  </si>
  <si>
    <t>Utah Transit Authority, 10.24 MW Load</t>
  </si>
  <si>
    <t>Nutglade Distribution Spacer Cable Install</t>
  </si>
  <si>
    <t>Conser Road - Constuct New 115kV to 20.8 kV Substation</t>
  </si>
  <si>
    <t>Olympia Development LLC, 35.92 MW Load</t>
  </si>
  <si>
    <t>Fire High Consequence Area (FHCA) - Rebuild Quarry 15</t>
  </si>
  <si>
    <t>Fire High Consequence Area (FHCA) - Rebuild Quarry 12</t>
  </si>
  <si>
    <t>North Logan Area Greenfld 138-12.5kV Sub</t>
  </si>
  <si>
    <t>RG Lakeview, 50.47 MW Load</t>
  </si>
  <si>
    <t>Nibley - Constuct new 25Kv Circuit</t>
  </si>
  <si>
    <t>Washington Distribution Spacer Cable Install</t>
  </si>
  <si>
    <t>Apple Valley: New 69-12.47 kV Substation</t>
  </si>
  <si>
    <t>Enlaw LLC, 15.93 MW Load</t>
  </si>
  <si>
    <t>Oregon Distribution Spacer Cable Installation</t>
  </si>
  <si>
    <t>BDO Sub: Install 2nd 138-12kV Transformer</t>
  </si>
  <si>
    <t>Syracuse 138-13.2 kV Transformer</t>
  </si>
  <si>
    <t>Mt Shasta Taps Distribution Spacer Cable Install - 5G76/5G79</t>
  </si>
  <si>
    <t>Flint Substation - Construct New 115-12.5kV Substation</t>
  </si>
  <si>
    <t>Timp Sub 2nd 138-12.5 kV 30 MVA Transformer</t>
  </si>
  <si>
    <t>Utah Underground Cable Replacement</t>
  </si>
  <si>
    <t>Copper Hills Install Second Transformer</t>
  </si>
  <si>
    <t>Robertson Bridge Road Distribution Spacer Cable Install</t>
  </si>
  <si>
    <t>Downtown SLC Development - Snarr Substation Conversion</t>
  </si>
  <si>
    <t>West Valley Install Second Transformer</t>
  </si>
  <si>
    <t>Fire High Consequence Area (FHCA) - Rebuild Butlerville 16</t>
  </si>
  <si>
    <t>Utah-Distribution Mandated Wildfire Mitigation</t>
  </si>
  <si>
    <t>Cross Hollow Add Distribution Capacity</t>
  </si>
  <si>
    <t>West Weed/Edgewood Distribution Spacer Cable Install</t>
  </si>
  <si>
    <t>Medford Road Widening/Lone Pine and Foothills Substations</t>
  </si>
  <si>
    <t>EX Utah Development, 19.03 MW Load</t>
  </si>
  <si>
    <t>Oregon Energy Storage Project</t>
  </si>
  <si>
    <t>Seiad East &amp; West Distribution Spacer Cable Install</t>
  </si>
  <si>
    <t>118th South 6400 West</t>
  </si>
  <si>
    <t>CA Fire Mitigation Distribution Sub Relay Replacement</t>
  </si>
  <si>
    <t>CA Distribution Spacer Cable Install - 5G76</t>
  </si>
  <si>
    <t>Oregon Expulsion Fuse Replacement - Grants Pass</t>
  </si>
  <si>
    <t>Fire High Consequence Area (FHCA) - Rebuild Mountain Dell 11</t>
  </si>
  <si>
    <t>Covered Conductor Sub to 0143300 - 5G40</t>
  </si>
  <si>
    <t>Pony Express Mobile Connection, Load Transfer</t>
  </si>
  <si>
    <t>Campbell Soup Supply Company, 1.5 MW</t>
  </si>
  <si>
    <t>Arches Substation (Disappearing Angel)</t>
  </si>
  <si>
    <t>S Old Stage Road Distribution Spacer Cable Install</t>
  </si>
  <si>
    <t>Northwest Quadrant Development - Lee Creek #2</t>
  </si>
  <si>
    <t>Fire High Consequence Area (FHCA) - Rebuild New Harmony 11</t>
  </si>
  <si>
    <t>Fire High Consequence Area (FHCA) - Rebuild Coleman 15</t>
  </si>
  <si>
    <t>Hiouchi Hill - 5R165</t>
  </si>
  <si>
    <t>Undergrould Line Rebuild Old Edgewood 4 - 5G83</t>
  </si>
  <si>
    <t>Hood River Mosier Tie Distribution Spacer Cable Install - 5K70</t>
  </si>
  <si>
    <t>Selma Thompson Creek Distribution Spacer Cable Install - 5R65</t>
  </si>
  <si>
    <t>Taylor Sub: 46-12kV Transformer Replacement</t>
  </si>
  <si>
    <t>Jumbers Point - New Substation</t>
  </si>
  <si>
    <t>Fire Mitigation Distribution Sub Relay Replacement Phase 2</t>
  </si>
  <si>
    <t>Salt Lake Dept of Airports - 14.7 MW Load</t>
  </si>
  <si>
    <t>Russellville Distribution Automation Project - FLISR</t>
  </si>
  <si>
    <t>Dodd Road Substation - Replace Transformer Bank 1</t>
  </si>
  <si>
    <t>T&amp;D Field Operations Training Modules</t>
  </si>
  <si>
    <t>Mill City - New Substation</t>
  </si>
  <si>
    <t>Fire High Consequence Area (FHCA) - Rebuild Olympus 13</t>
  </si>
  <si>
    <t>Elk Horn Sub - Install 2nd 30MVA Transformer</t>
  </si>
  <si>
    <t>Hwy 96 and Beaver Creek Line Rebuild - 5G40</t>
  </si>
  <si>
    <t>Ruby Sub 69-12.5kV 14MVA Transformer Replacement</t>
  </si>
  <si>
    <t>90th South Sub Install 30 MVA Transformer</t>
  </si>
  <si>
    <t>Fire High Consequence Area (FHCA) - Rebuild Eden 11</t>
  </si>
  <si>
    <t>Moab City Sub Upgrade Transformer</t>
  </si>
  <si>
    <t>Pine Creek RNG LLC, 1,700 kW Load</t>
  </si>
  <si>
    <t>TDW1401 / 3rd West Sub to LDS Data and Conference Center</t>
  </si>
  <si>
    <t>Boise Cascade Sub Install Parallel Voltage Regulator</t>
  </si>
  <si>
    <t>Seiad Creek Road CA Distribution Spacer Cable Install</t>
  </si>
  <si>
    <t>Camp Williams Bank #1 Replacement for STASTA, LLC</t>
  </si>
  <si>
    <t>Gordon Hollow - New Substation</t>
  </si>
  <si>
    <t>Deer Creek Sub - New 69/13.2kV 25MVA Substation</t>
  </si>
  <si>
    <t>Tata Chemicals Soda Ash Partners, 9MW Load</t>
  </si>
  <si>
    <t>Enoch Sub Upgrade Transformer</t>
  </si>
  <si>
    <t>Scott River Road Line Rebuild - 5G40</t>
  </si>
  <si>
    <t>Redmond Sub - Replace 13 ABB DPU &amp; 2TPU Relays</t>
  </si>
  <si>
    <t>Yakima EV Charging Station</t>
  </si>
  <si>
    <t>California Expulsion Fuse Replacement - Yreka</t>
  </si>
  <si>
    <t>Rigby 161-12 kV Transformer Addition</t>
  </si>
  <si>
    <t>Siskiyou Lake Distribution Spacer Cable Install</t>
  </si>
  <si>
    <t>Garden City Sub Transformer Upgrade</t>
  </si>
  <si>
    <t>Tap Lines Rebuild - 5G40</t>
  </si>
  <si>
    <t>Weed City Taps 2023 CA Distribution Spacer Cable Install - 5G83</t>
  </si>
  <si>
    <t>North Salt Lake Development - Cudahy #2</t>
  </si>
  <si>
    <t>Mt Shasta City 4kV CA Distribution Spacer Cable Install - 7G81/7G82</t>
  </si>
  <si>
    <t>Medford Distribution Automation Project - FLISR</t>
  </si>
  <si>
    <t>Idaho-Distribution Mandated Wildfire Mitigation</t>
  </si>
  <si>
    <t>Fire High Consequence Area (FHCA) - Rebuild Summit Park 11</t>
  </si>
  <si>
    <t>WA Fire Mitigation Distribution Sub Relay Replacement</t>
  </si>
  <si>
    <t>Fire High Consequence Area (FHCA) - Oregon Communicating Fault Circuit Indicators</t>
  </si>
  <si>
    <t>Fire High Consequence Area (FHCA) - Rebuild Coalville 13</t>
  </si>
  <si>
    <t>Amazon.com Services LLC, 6.24 MW Load</t>
  </si>
  <si>
    <t>Riverbend Management Inc, 1.81 MW Load</t>
  </si>
  <si>
    <t>Oregon Expulsion Fuse Replacement - Roseburg</t>
  </si>
  <si>
    <t>SRC Land Holdings, 12.067 MW Load</t>
  </si>
  <si>
    <t>Morrison Creek Sub Wildfire Mitigation Upgrades</t>
  </si>
  <si>
    <t>Distribution Reconductor - 4M16</t>
  </si>
  <si>
    <t>Clu12/Clu11 Reconductor</t>
  </si>
  <si>
    <t>General:</t>
  </si>
  <si>
    <t>Bend Juniper Ridge Service Center</t>
  </si>
  <si>
    <t>North Temple Campus Redevelopment</t>
  </si>
  <si>
    <t>Physical Access Control System FIPS 201</t>
  </si>
  <si>
    <t>Calapooya to Mckenzie Fiber Install</t>
  </si>
  <si>
    <t>Bend - T&amp;D Training Facility</t>
  </si>
  <si>
    <t>Cutler to Rabbit Mountain Microwave Replacement</t>
  </si>
  <si>
    <t>New Salt Lake City Data Center</t>
  </si>
  <si>
    <t>Miscellaneous Projects each under $1,000,000</t>
  </si>
  <si>
    <t>ACCUMULATED PROVISION FOR DEPRECIATION OF ELECTRIC UTILITY PLANT (Account 108)</t>
  </si>
  <si>
    <t xml:space="preserve">1. Explain in a footnote any important adjustments during year.
2.  Explain in a footnote any difference between the amount for book cost of plant retired, Line 11, column (c), and that reported for electric plant in service, pages 204-207, column 9d), excluding retirements of non-depreciable property.
3.  The provisions of Account 108 in the Uniform System of accounts require that retirements of depreciable plant be recorded when such plant is removed from service.  If the respondent has a significant amount of plant retired at year end which has not been recorded and/or classified to the various reserve functional classifications, make preliminary closing entries to tentatively functionalize the book cost of the plant retired.  In addition, include all costs included in retirement work in progress at year end in the appropriate functional classifications.
4.  Show separately interest credits under a sinking fund or similar method of depreciation accounting
</t>
  </si>
  <si>
    <t>Section A. Balances and Changes During Year</t>
  </si>
  <si>
    <t xml:space="preserve">Item </t>
  </si>
  <si>
    <t xml:space="preserve">Total 
(c+d+e)
</t>
  </si>
  <si>
    <t xml:space="preserve">Electric Plant in
Service
</t>
  </si>
  <si>
    <t xml:space="preserve">Electric Plant Held for Future use </t>
  </si>
  <si>
    <t xml:space="preserve">Electric Plant
Leased to Others 
</t>
  </si>
  <si>
    <t>Balance Beginning of Year</t>
  </si>
  <si>
    <t>Depreciation Provisions for Year, Charged to</t>
  </si>
  <si>
    <t>(403) Depreciation Expense</t>
  </si>
  <si>
    <t>(403.1) Depreciation Expense for Asset Retirement Costs</t>
  </si>
  <si>
    <t>(413) Exp. of Elec. Plt. Leas. to Others</t>
  </si>
  <si>
    <t>Transportation Expenses-Clearing</t>
  </si>
  <si>
    <t>Other Clearing Accounts</t>
  </si>
  <si>
    <t>Other Accounts (Specify, details in footnote):</t>
  </si>
  <si>
    <t>Account 143, Other accounts receivable: depreciation expense billed to joint owners</t>
  </si>
  <si>
    <t>Account 182.3, Other Regulatory Assets: asset retirement obligations asset depreciation</t>
  </si>
  <si>
    <t>Account 182.3, Other Regulatory Assets: depreciation deferrals</t>
  </si>
  <si>
    <t>Transportation depreciation allocated to operations and maintenance expense based on usage activity</t>
  </si>
  <si>
    <t>Account 503, Steam from other sources: Blundell depreciation</t>
  </si>
  <si>
    <t>TOTAL Deprec. Prov for Year (Enter Total of lines 3 thru 9)</t>
  </si>
  <si>
    <t>Net Charges for Plant Retired:</t>
  </si>
  <si>
    <t>Book Cost of Plant Retired</t>
  </si>
  <si>
    <t>Cost of Removal</t>
  </si>
  <si>
    <t>Salvage (Credit)</t>
  </si>
  <si>
    <t>TOTAL Net Chrgs. for Plant Ret. (Enter Total of lines 12 thru 14)</t>
  </si>
  <si>
    <t>Other Debit or Cr. Items (Describe, details in footnote):</t>
  </si>
  <si>
    <t>Close out of cost of removal activities associated with asset retirement obligations</t>
  </si>
  <si>
    <t>Other items include:</t>
  </si>
  <si>
    <t xml:space="preserve">     Recovery from third parties for asset relocations and damaged property</t>
  </si>
  <si>
    <t xml:space="preserve">     Insurance recoveries</t>
  </si>
  <si>
    <t xml:space="preserve">     Adjustments of reserve related to electric plant sold and/or purchased</t>
  </si>
  <si>
    <t xml:space="preserve">     Reclassifications from electric plant</t>
  </si>
  <si>
    <t>Book Cost or Asset Retirement Costs Retired</t>
  </si>
  <si>
    <t>Balance End of Year (Enter Totals of lines 1, 10, 15, 16, and 18)</t>
  </si>
  <si>
    <t>Section B. Balances at End of Year According to Functional Classification</t>
  </si>
  <si>
    <t>Nuclear Production</t>
  </si>
  <si>
    <t>Hydraulic Production-Conventional</t>
  </si>
  <si>
    <t>Hydraulic Production-Pumped Storage</t>
  </si>
  <si>
    <t>Regional Transmission and Market Operation</t>
  </si>
  <si>
    <t>General</t>
  </si>
  <si>
    <t>TOTAL (Enter Total of lines 20 thru 28)</t>
  </si>
  <si>
    <t>Indicates footnote is attached.</t>
  </si>
  <si>
    <t>PAGE 224</t>
  </si>
  <si>
    <t>Investments in Subsidiary Companies (Account 123.1)</t>
  </si>
  <si>
    <t>1.  Report below investments in Accounts 123.1, investments in Subsidiary Companies.
2.  Provide a subheading for each company and List there under the information called for below.  Sub - TOTAL by company and give a TOTAL in columns (e),(f),(g) and (h)
(a) Investment in Securities - List and describe each security owned.  For bonds give also principal amount, date of issue, maturity and interest rate.
(b) Investment Advances - Report separately the amounts of loans or investment advances which are subject to repayment, but which are not subject to current settlement.  With respect to each advance show whether the advance is a note or open account.  List each note giving date of issuance, maturity date, and specifying whether note is a renewal.
3.  Report separately the equity in undistributed subsidiary earnings since acquisition.  The TOTAL in column (e) should equal the amount entered for Account 418.1.</t>
  </si>
  <si>
    <t>4.  For any securities, notes, or accounts that were pledged designate such securities, notes, or accounts in a footnote, and state the name of pledgee and purpose of the pledge.
5.  If Commission approval was required for any advance made or security acquired, designate such fact in a footnote and give name of Commission, date of authorization, and case or docket number.
6.  Report column (f) interest and dividend revenues form investments, including such revenues form securities disposed of during the year.
7.  In column (h) report for each investment disposed of during the year, the gain or loss represented by the difference between cost of the investment (or the other amount at which carried in the books of account if difference from cost) and the selling price thereof, not including interest adjustment includible in column (f).
8.  Report on Line 42, column (a) the TOTAL cost of Account 123.1</t>
  </si>
  <si>
    <t>Historical</t>
  </si>
  <si>
    <t>Description of Investment
(Default Formula combines the Subsidiary and Type of Investment, but can be overwritten as desired)</t>
  </si>
  <si>
    <t>Name of Subsidiary
(For Lines 1-41, enter the name of the pertinent subsidiary, for line 42, report the Total Cost of Account 123.1)</t>
  </si>
  <si>
    <t>Type of Investment
(XBRL ONLY: Select the nature of the investment, or choose an "Unspecified Investment" from the list below)</t>
  </si>
  <si>
    <t>Date Acquired</t>
  </si>
  <si>
    <t>Date of Maturity</t>
  </si>
  <si>
    <t>Amount of Investment at
Beginning of Year</t>
  </si>
  <si>
    <t>Equity in Subsidiary
Earnings of Year</t>
  </si>
  <si>
    <t>Revenues for Year</t>
  </si>
  <si>
    <t>Amount of Investment at
End of Year</t>
  </si>
  <si>
    <t>Gain or Loss from Investment 
Disposed of</t>
  </si>
  <si>
    <t>Row Number</t>
  </si>
  <si>
    <t>(a1)</t>
  </si>
  <si>
    <t>(a2)</t>
  </si>
  <si>
    <t>SubsidiaryCompanyAxis</t>
  </si>
  <si>
    <t>InvestmentsInSubsidiaryCompaniesAxis</t>
  </si>
  <si>
    <t>Pacific Minerals, Inc. - Common Stock</t>
  </si>
  <si>
    <t>Pacific Minerals, Inc.</t>
  </si>
  <si>
    <t>Pacific Minerals, Inc. - Paid-In-Capital</t>
  </si>
  <si>
    <t>Paid-In-Capital</t>
  </si>
  <si>
    <t>Pacific Minerals, Inc. - Unappropriated Undistributed Subsidiary Earnings</t>
  </si>
  <si>
    <t>Unappropriated Undistributed Subsidiary Earnings</t>
  </si>
  <si>
    <t>Energy West Mining Company - Common Stock</t>
  </si>
  <si>
    <t>Energy West Mining Company</t>
  </si>
  <si>
    <t>Trapper Mining Inc. - Equity Contribution</t>
  </si>
  <si>
    <t>Trapper Mining Inc.</t>
  </si>
  <si>
    <t>Equity Contribution</t>
  </si>
  <si>
    <t>Trapper Mining Inc. - Unappropriated Undistributed Subsidiary Earnings</t>
  </si>
  <si>
    <t>Total Cost of Account 123.1</t>
  </si>
  <si>
    <t>MATERIALS AND SUPPLIES</t>
  </si>
  <si>
    <t>For Account 154, report the amount of plant materials and operating supplies under the primary functional classifications as indicated in column (a); estimates of amounts by function are acceptable. In column (d), designate the department or departments which use the class of material.
Give an explanation of important inventory adjustments during the year (in a footnote) showing general classes of material and supplies and the various accounts (operating expenses, clearing accounts, plant, etc.) affected debited or credited. Show separately debit or credits to stores expense clearing, if applicable.</t>
  </si>
  <si>
    <t>Balance
 Beginning of Year</t>
  </si>
  <si>
    <t>Balance
End of Year</t>
  </si>
  <si>
    <t>Department or
Departments which 
Use Material</t>
  </si>
  <si>
    <t>Balance
 Beginning of Year
(b)</t>
  </si>
  <si>
    <t>Fuel Stock (Account 151)</t>
  </si>
  <si>
    <t>Fuel Stock Expenses Undistributed (Account 152)</t>
  </si>
  <si>
    <t>Residuals and Extracted Products (Account 153)</t>
  </si>
  <si>
    <t>Plant Materials and Operating Supplies (Account 154)</t>
  </si>
  <si>
    <t>Assigned to - Construction (Estimated)</t>
  </si>
  <si>
    <t>Assigned to - Operations and Maintenance</t>
  </si>
  <si>
    <t>Production Plant (Estimated)</t>
  </si>
  <si>
    <t>Transmission Plant (Estimated)</t>
  </si>
  <si>
    <t>Distribution Plant (Estimated)</t>
  </si>
  <si>
    <t>Regional Transmission and Market Operation Plant (Estimated)</t>
  </si>
  <si>
    <t>Assigned to - Other (provide details in footnote)</t>
  </si>
  <si>
    <t>TOTAL Account 154 (Enter Total of lines 5 thru 11)</t>
  </si>
  <si>
    <t>Merchandise (Account 155)</t>
  </si>
  <si>
    <t>Other Materials and Supplies (Account 156)</t>
  </si>
  <si>
    <t>Nuclear Materials Held for Sale (Account 157) (Not applic to Gas Util)</t>
  </si>
  <si>
    <t>Stores Expense Undistributed (Account 163)</t>
  </si>
  <si>
    <t xml:space="preserve">TOTAL Materials and Supplies (Per Balance Sheet)
</t>
  </si>
  <si>
    <t>PAGE 228a</t>
  </si>
  <si>
    <t>Allowances (Acounts 158. and 158.2)</t>
  </si>
  <si>
    <t>Allowances (Accounts 158.1 and 158.2) (Continued)</t>
  </si>
  <si>
    <t>1.  Report below the particulars (details) called for concerning allowances.
2.  Report all acquisitions of allowances at cost.
3.  Report allowances in accordance with a weighted average cost allocation method and other accounting as prescribed by General
Instruction No. 21 in the Uniform System of Accounts.
4.  Report the allowances transactions by the period they are first eligible for use:  the current year’s allowances in columns (b)-(c), allowances for the three succeeding years in columns (d)-(i), starting with the following year, and allowances for the remaining succeeding years in columns (j)-(k).
5.  Report on line 4 the Environmental Protection Agency (EPA) issued allowances.  Report withheld portions Lines 36-40.</t>
  </si>
  <si>
    <t>6.  Report on Lines 5 allowances returned by the EPA.  Report on Line 39 the EPA’s sales of the withheld allowances.  Report on Lines
43-46 the net sales proceeds and gains/losses resulting from the EPA’s sale or auction of the withheld allowances.
7.  Report on Lines 8-14 the names of vendors/transferors of allowances acquire and identify associated companies (See "associated company" under "Definitions" in the Uniform System of Accounts).
8.  Report on Lines 22 - 27 the name of purchasers/ transferees of allowances disposed of an identify associated companies.
9.  Report the net costs and benefits of hedging transactions on a separate line under purchases/transfers and sales/transfers.
10.  Report on Lines 32-35 and 43-46 the net sales proceeds and gains or losses from allowance sales.</t>
  </si>
  <si>
    <t>SO2 Allowances Inventory
(account 158.1)</t>
  </si>
  <si>
    <t>Current Year</t>
  </si>
  <si>
    <t>Future Years</t>
  </si>
  <si>
    <t>Amt.</t>
  </si>
  <si>
    <t>(m)</t>
  </si>
  <si>
    <t>Balance-Beginning of Year</t>
  </si>
  <si>
    <t>Acquired During Year</t>
  </si>
  <si>
    <t>Issued (Less Withheld Allow)</t>
  </si>
  <si>
    <t>Returned by EPA</t>
  </si>
  <si>
    <t>Purchases/Transfers:</t>
  </si>
  <si>
    <t>Relinquished During Year:</t>
  </si>
  <si>
    <t>Charges to Account 509</t>
  </si>
  <si>
    <t>Other:</t>
  </si>
  <si>
    <t>Allowances Used</t>
  </si>
  <si>
    <t>Prior period adjustment</t>
  </si>
  <si>
    <t>Cost of Sales/Transfers:</t>
  </si>
  <si>
    <t>Balance-End of Year</t>
  </si>
  <si>
    <t>Sales:</t>
  </si>
  <si>
    <t>Net Sales Proceeds(Assoc. Co.)</t>
  </si>
  <si>
    <t>Net Sales Proceeds (Other)</t>
  </si>
  <si>
    <t>Gains</t>
  </si>
  <si>
    <t>Losses</t>
  </si>
  <si>
    <t>Allowances Withheld (Acct 158.2)</t>
  </si>
  <si>
    <t>Add: Withheld by EPA</t>
  </si>
  <si>
    <t>Deduct: Returned by EPA</t>
  </si>
  <si>
    <t>Cost of Sales</t>
  </si>
  <si>
    <t>Net Sales Proceeds (Assoc. Co.)</t>
  </si>
  <si>
    <t>Indicates foonote attached.</t>
  </si>
  <si>
    <t>Transmission Service and Generation Interconnection Study Costs</t>
  </si>
  <si>
    <r>
      <rPr>
        <sz val="8"/>
        <color rgb="FF000000"/>
        <rFont val="Arial"/>
        <family val="2"/>
      </rPr>
      <t xml:space="preserve">1. Report the particulars (details) called for concerning the costs incurred and the reimbursements received for performing transmission service and
</t>
    </r>
    <r>
      <rPr>
        <sz val="8"/>
        <color rgb="FF000000"/>
        <rFont val="Arial"/>
        <family val="2"/>
      </rPr>
      <t xml:space="preserve">generator interconnection studies.
</t>
    </r>
    <r>
      <rPr>
        <sz val="8"/>
        <color rgb="FF000000"/>
        <rFont val="Arial"/>
        <family val="2"/>
      </rPr>
      <t xml:space="preserve">2. List each study separately.
</t>
    </r>
    <r>
      <rPr>
        <sz val="8"/>
        <color rgb="FF000000"/>
        <rFont val="Arial"/>
        <family val="2"/>
      </rPr>
      <t xml:space="preserve">3. In column a provide the name of the study.
</t>
    </r>
    <r>
      <rPr>
        <sz val="8"/>
        <color rgb="FF000000"/>
        <rFont val="Arial"/>
        <family val="2"/>
      </rPr>
      <t xml:space="preserve">4. In column (b) report the cost incurred to perform the study at the end of period.
</t>
    </r>
    <r>
      <rPr>
        <sz val="8"/>
        <color rgb="FF000000"/>
        <rFont val="Arial"/>
        <family val="2"/>
      </rPr>
      <t xml:space="preserve">5. In column (c) report the account charged with the cost of the study.
</t>
    </r>
    <r>
      <rPr>
        <sz val="8"/>
        <color rgb="FF000000"/>
        <rFont val="Arial"/>
        <family val="2"/>
      </rPr>
      <t xml:space="preserve">6. In column (d) report the amounts received for reimbursement of the study costs at end of period.
</t>
    </r>
    <r>
      <rPr>
        <sz val="8"/>
        <color rgb="FF000000"/>
        <rFont val="Arial"/>
        <family val="2"/>
      </rPr>
      <t>7. In column (e) report the account credited with the reimbursement received for performing the study.</t>
    </r>
  </si>
  <si>
    <t>Costs Incurred During
Period</t>
  </si>
  <si>
    <t>Account Charged</t>
  </si>
  <si>
    <t>Reimbursements
Received During
the Period</t>
  </si>
  <si>
    <t>Account Credited
With Reimbursement</t>
  </si>
  <si>
    <t>Transmission Studies</t>
  </si>
  <si>
    <t>Q3134-A</t>
  </si>
  <si>
    <t>Q3088-A</t>
  </si>
  <si>
    <t>Q3170</t>
  </si>
  <si>
    <t>Q3165-A</t>
  </si>
  <si>
    <t>Q3049</t>
  </si>
  <si>
    <t>Q3116</t>
  </si>
  <si>
    <t>Q3204</t>
  </si>
  <si>
    <t>Q3134-B</t>
  </si>
  <si>
    <t>Q3217</t>
  </si>
  <si>
    <t>Q3222</t>
  </si>
  <si>
    <t>Q3223</t>
  </si>
  <si>
    <t>Q3245</t>
  </si>
  <si>
    <t>Q3246</t>
  </si>
  <si>
    <t>Q3247</t>
  </si>
  <si>
    <t>Q3218-A</t>
  </si>
  <si>
    <t>Q3248-A</t>
  </si>
  <si>
    <t>Q3221</t>
  </si>
  <si>
    <t>Q3218-B</t>
  </si>
  <si>
    <t>Q3249</t>
  </si>
  <si>
    <t>Q3252</t>
  </si>
  <si>
    <t>Q3265</t>
  </si>
  <si>
    <t>Q3088-B</t>
  </si>
  <si>
    <t>Q3089</t>
  </si>
  <si>
    <t>Q3270-A</t>
  </si>
  <si>
    <t>Q3271</t>
  </si>
  <si>
    <t>Q3272</t>
  </si>
  <si>
    <t>Q3248-B</t>
  </si>
  <si>
    <t>Q3283</t>
  </si>
  <si>
    <t>Q3284</t>
  </si>
  <si>
    <t>Q3281-A</t>
  </si>
  <si>
    <t>Q3143-A</t>
  </si>
  <si>
    <t>Q3090</t>
  </si>
  <si>
    <t>Q3290</t>
  </si>
  <si>
    <t>Q3278</t>
  </si>
  <si>
    <t>Q3279</t>
  </si>
  <si>
    <t>Q3292</t>
  </si>
  <si>
    <t>Q3293</t>
  </si>
  <si>
    <t>Q3320-A</t>
  </si>
  <si>
    <t>Q3319</t>
  </si>
  <si>
    <t>Q3321</t>
  </si>
  <si>
    <t>Q3301</t>
  </si>
  <si>
    <t>Q3300</t>
  </si>
  <si>
    <t>Q3314</t>
  </si>
  <si>
    <t>Q3331</t>
  </si>
  <si>
    <t>Q3270-B</t>
  </si>
  <si>
    <t>Q3325</t>
  </si>
  <si>
    <t>Q3281-B</t>
  </si>
  <si>
    <t>Q3334</t>
  </si>
  <si>
    <t>Q3143-B</t>
  </si>
  <si>
    <t>Q3332-A</t>
  </si>
  <si>
    <t>Q3335</t>
  </si>
  <si>
    <t>Q3344</t>
  </si>
  <si>
    <t>Q3320-B</t>
  </si>
  <si>
    <t>Q3357</t>
  </si>
  <si>
    <t>Q3332-B</t>
  </si>
  <si>
    <t>Q3368</t>
  </si>
  <si>
    <t>Q3376</t>
  </si>
  <si>
    <t>Q3375</t>
  </si>
  <si>
    <t>Q3373</t>
  </si>
  <si>
    <t>Q3374</t>
  </si>
  <si>
    <t>Q3165-B</t>
  </si>
  <si>
    <t>Transmission Studies Total</t>
  </si>
  <si>
    <t>Generation Studies</t>
  </si>
  <si>
    <t>GIQ0847</t>
  </si>
  <si>
    <t>GIQ1066</t>
  </si>
  <si>
    <t>GIQ1067</t>
  </si>
  <si>
    <t>GIQ1115</t>
  </si>
  <si>
    <t>GIQ1122</t>
  </si>
  <si>
    <t>GIQ1141</t>
  </si>
  <si>
    <t>GIQ1142</t>
  </si>
  <si>
    <t>GIQ1149</t>
  </si>
  <si>
    <t>GIQ1150</t>
  </si>
  <si>
    <t>GIQ1151</t>
  </si>
  <si>
    <t>GIQ0907</t>
  </si>
  <si>
    <t>GIQ0985</t>
  </si>
  <si>
    <t>GIQ0558</t>
  </si>
  <si>
    <t>ISGIQ0012</t>
  </si>
  <si>
    <t>LGIQ0838</t>
  </si>
  <si>
    <t>LGIQ0836</t>
  </si>
  <si>
    <t>LGIQ0906</t>
  </si>
  <si>
    <t>LGIQ1065</t>
  </si>
  <si>
    <t>LGIQ1159</t>
  </si>
  <si>
    <t>LGIQ0787</t>
  </si>
  <si>
    <t>LGIQ0016</t>
  </si>
  <si>
    <t>LGIQ1161</t>
  </si>
  <si>
    <t>LGIQ1162</t>
  </si>
  <si>
    <t>LGIQ1163</t>
  </si>
  <si>
    <t>OCSGIQ0048</t>
  </si>
  <si>
    <t>OCSGIQ0062</t>
  </si>
  <si>
    <t>OCSGIQ0063</t>
  </si>
  <si>
    <t>OCSGIQ0080</t>
  </si>
  <si>
    <t>OCSGIQ0081</t>
  </si>
  <si>
    <t>OCSGIQ0082</t>
  </si>
  <si>
    <t>OGIQ1214</t>
  </si>
  <si>
    <t>OCS0081</t>
  </si>
  <si>
    <t>OCS0088</t>
  </si>
  <si>
    <t>OCS0089</t>
  </si>
  <si>
    <t>OCS0090</t>
  </si>
  <si>
    <t>OCS0086</t>
  </si>
  <si>
    <t>OCS0091</t>
  </si>
  <si>
    <t>OCS0087</t>
  </si>
  <si>
    <t>OCS0084</t>
  </si>
  <si>
    <t>OCS0085</t>
  </si>
  <si>
    <t>PIS029</t>
  </si>
  <si>
    <t>PIS005</t>
  </si>
  <si>
    <t>PIS009</t>
  </si>
  <si>
    <t>PIS011</t>
  </si>
  <si>
    <t>PIS012</t>
  </si>
  <si>
    <t>PIS019</t>
  </si>
  <si>
    <t>PIS0022</t>
  </si>
  <si>
    <t>PIS0023</t>
  </si>
  <si>
    <t>PIS0024</t>
  </si>
  <si>
    <t>PIS0025</t>
  </si>
  <si>
    <t>PIS0026</t>
  </si>
  <si>
    <t>PIS0027</t>
  </si>
  <si>
    <t>SGIQ1205</t>
  </si>
  <si>
    <t>SGIQ1206</t>
  </si>
  <si>
    <t>SIS002</t>
  </si>
  <si>
    <t>SIS003</t>
  </si>
  <si>
    <t>SIS004</t>
  </si>
  <si>
    <t>SIS005</t>
  </si>
  <si>
    <t>SIS006</t>
  </si>
  <si>
    <t>SIS0007</t>
  </si>
  <si>
    <t>SIS0008</t>
  </si>
  <si>
    <t>SIS0009</t>
  </si>
  <si>
    <t>SIS0010</t>
  </si>
  <si>
    <t>SIS0011</t>
  </si>
  <si>
    <t>SIS0012</t>
  </si>
  <si>
    <t>SIS0013</t>
  </si>
  <si>
    <t>SIS0014</t>
  </si>
  <si>
    <t>SIS0015</t>
  </si>
  <si>
    <t>SIS0016</t>
  </si>
  <si>
    <t>SIS0017</t>
  </si>
  <si>
    <t>SIS0018</t>
  </si>
  <si>
    <t>SIS0019</t>
  </si>
  <si>
    <t>SIS0020</t>
  </si>
  <si>
    <t>SIS0021</t>
  </si>
  <si>
    <t>S0022</t>
  </si>
  <si>
    <t>S0023</t>
  </si>
  <si>
    <t>S0024</t>
  </si>
  <si>
    <t>C0012</t>
  </si>
  <si>
    <t>C0011</t>
  </si>
  <si>
    <t>C0013</t>
  </si>
  <si>
    <t>C0014</t>
  </si>
  <si>
    <t>C0015</t>
  </si>
  <si>
    <t>C0016</t>
  </si>
  <si>
    <t>C0020</t>
  </si>
  <si>
    <t>C1-04</t>
  </si>
  <si>
    <t>C1-10</t>
  </si>
  <si>
    <t>C1-11</t>
  </si>
  <si>
    <t>C1-13</t>
  </si>
  <si>
    <t>C1-14</t>
  </si>
  <si>
    <t>C1-16</t>
  </si>
  <si>
    <t>C1-20</t>
  </si>
  <si>
    <t>C1-23</t>
  </si>
  <si>
    <t>C1-26</t>
  </si>
  <si>
    <t>C1-27</t>
  </si>
  <si>
    <t>C1-34</t>
  </si>
  <si>
    <t>C1-35</t>
  </si>
  <si>
    <t>C1-37</t>
  </si>
  <si>
    <t>C1-39</t>
  </si>
  <si>
    <t>C1-40</t>
  </si>
  <si>
    <t>C1-43 -A</t>
  </si>
  <si>
    <t>C1-43 -B</t>
  </si>
  <si>
    <t>C1-44</t>
  </si>
  <si>
    <t>C1-46</t>
  </si>
  <si>
    <t>C1-50</t>
  </si>
  <si>
    <t>C1-51</t>
  </si>
  <si>
    <t>C1-54</t>
  </si>
  <si>
    <t>C1-58</t>
  </si>
  <si>
    <t>C2-10 -A</t>
  </si>
  <si>
    <t>C2-10 -B</t>
  </si>
  <si>
    <t>C2-11</t>
  </si>
  <si>
    <t>C2-28</t>
  </si>
  <si>
    <t>C2-31</t>
  </si>
  <si>
    <t>C2-45</t>
  </si>
  <si>
    <t>C2-54</t>
  </si>
  <si>
    <t>C2-65</t>
  </si>
  <si>
    <t>C2-79</t>
  </si>
  <si>
    <t>C2-83</t>
  </si>
  <si>
    <t>C2-86</t>
  </si>
  <si>
    <t>C2-88</t>
  </si>
  <si>
    <t>C2-91</t>
  </si>
  <si>
    <t>C2-92</t>
  </si>
  <si>
    <t>C2-101</t>
  </si>
  <si>
    <t>C2-120</t>
  </si>
  <si>
    <t>C2-138</t>
  </si>
  <si>
    <t>C2-144 -A</t>
  </si>
  <si>
    <t>C2-144 -B</t>
  </si>
  <si>
    <t>C2-145</t>
  </si>
  <si>
    <t>C2-156</t>
  </si>
  <si>
    <t>C2-164</t>
  </si>
  <si>
    <t>C2-169</t>
  </si>
  <si>
    <t>C2-170</t>
  </si>
  <si>
    <t>C2-171</t>
  </si>
  <si>
    <t>C2-173</t>
  </si>
  <si>
    <t>C2-179</t>
  </si>
  <si>
    <t>C2-180</t>
  </si>
  <si>
    <t>C2-181</t>
  </si>
  <si>
    <t>C2-182</t>
  </si>
  <si>
    <t>C2-187</t>
  </si>
  <si>
    <t>C2-208</t>
  </si>
  <si>
    <t>C2-209</t>
  </si>
  <si>
    <t>C2-210</t>
  </si>
  <si>
    <t>FT002</t>
  </si>
  <si>
    <t>FT003</t>
  </si>
  <si>
    <t>FT004</t>
  </si>
  <si>
    <t>FT005</t>
  </si>
  <si>
    <t>FT007</t>
  </si>
  <si>
    <t>OATT Cluster Study 2021 -A</t>
  </si>
  <si>
    <t>OATT Cluster Study 2021 -B</t>
  </si>
  <si>
    <t>OATT Cluster Study CY2022</t>
  </si>
  <si>
    <t>Cluster 2021 - Cluster Area 7 Restudy</t>
  </si>
  <si>
    <t>2022 Cluster Study Report Production</t>
  </si>
  <si>
    <t>2023 Cluster Study Applications C3APPS</t>
  </si>
  <si>
    <t>Cluster 1 Restudy Area 6</t>
  </si>
  <si>
    <t>Cluster 2 Cluster Area 1 Restudy C2REA1</t>
  </si>
  <si>
    <t>Cluster 2 Cluster Area 2 Restudy C2REA2</t>
  </si>
  <si>
    <t>Cluster 2 Cluster Area 4 Restudy C2REA4</t>
  </si>
  <si>
    <t>Cluster 2 Cluster Area 6 Restudy C2REA6</t>
  </si>
  <si>
    <t>Cluster 2 Cluster Area 7 Restudy C2REA7</t>
  </si>
  <si>
    <t>Cluster 2 Cluster Area 9 Restudy C2REA9</t>
  </si>
  <si>
    <t>Cluster2 Cluster Area 12 Restudy C2REA12</t>
  </si>
  <si>
    <t>Cluster2 Cluster Area 13 Restudy C2REA13</t>
  </si>
  <si>
    <t>Cluster2 Cluster Area 14 Restudy C2REA14</t>
  </si>
  <si>
    <t>Cluster2 Cluster Area 15 Restudy C2REA15</t>
  </si>
  <si>
    <t>Cluster2 Cluster Area 16 Restudy C2REA16</t>
  </si>
  <si>
    <t>Cluster2 Cluster Area 18 Restudy C2REA18</t>
  </si>
  <si>
    <t>Cluster2 Cluster Area 19 Restudy C2REA19</t>
  </si>
  <si>
    <t>Cluster2 Cluster Area 20 Restudy C2REA20</t>
  </si>
  <si>
    <t>Cluster2 Cluster Area 24 Restudy C2REA24</t>
  </si>
  <si>
    <t>C2 Cluster Area 7 Restudy 2 C2REA7.2</t>
  </si>
  <si>
    <t>C2 Cluster Area 8 Restudy C2REA8</t>
  </si>
  <si>
    <t>C2 Cluster Area 9 Restudy 2 C2REA9.2</t>
  </si>
  <si>
    <t>C2 Cluster Area 14 Restudy 2 C2REA14.2</t>
  </si>
  <si>
    <t>C2 Cluster Area 16 Restudy 2 C2REA16.2</t>
  </si>
  <si>
    <t>Cluster 3 Study Report Production C3RP -A</t>
  </si>
  <si>
    <t>Cluster 3 Study Report Production C3RP -B</t>
  </si>
  <si>
    <t>ESM Cluster 1 Study Costs</t>
  </si>
  <si>
    <t>ESM Cluster Study 2 -A</t>
  </si>
  <si>
    <t>ESM Cluster Study 2 -B</t>
  </si>
  <si>
    <t>ESM Gen Clearing Order</t>
  </si>
  <si>
    <t>Pre-Application Studies - East</t>
  </si>
  <si>
    <t>Pre-Application Studies - West</t>
  </si>
  <si>
    <t>Adjustment</t>
  </si>
  <si>
    <t>Generation Studies Total</t>
  </si>
  <si>
    <t>OTHER REGULATORY ASSETS (Account 182.3)</t>
  </si>
  <si>
    <t xml:space="preserve">1. Report below the particulars (details) called for concerning other regulatory assets, including rater order docket number, if applicable.
2. Minor items (5% of the Balance in Account 182.3 at end of period, or amounts less than $100,00 whichever is less), may be grouped by classes.
3. For Regulatory Assets being amortized, show period of amortization.
</t>
  </si>
  <si>
    <t>Description and Purpose of
Other Regulatory Assets</t>
  </si>
  <si>
    <t>Balance at
Beginning of
Current
Quarter/Year</t>
  </si>
  <si>
    <t>Debits</t>
  </si>
  <si>
    <t>Credits</t>
  </si>
  <si>
    <t>Balance at End of
Current Quarter/Year</t>
  </si>
  <si>
    <t>Written off During
the Quarter/Year Account Charged</t>
  </si>
  <si>
    <t>Written off During the Period Amount</t>
  </si>
  <si>
    <t>March 31, 2021</t>
  </si>
  <si>
    <r>
      <rPr>
        <sz val="8"/>
        <color rgb="FF000000"/>
        <rFont val="Arial"/>
        <family val="2"/>
      </rPr>
      <t>DSM Balancing Account - CA</t>
    </r>
  </si>
  <si>
    <t>DSM Balancing Account - ID</t>
  </si>
  <si>
    <r>
      <rPr>
        <sz val="8"/>
        <color rgb="FF000000"/>
        <rFont val="Arial"/>
        <family val="2"/>
      </rPr>
      <t>DSM Balancing Account - ID</t>
    </r>
  </si>
  <si>
    <t>908, 431</t>
  </si>
  <si>
    <t>DSM Balancing Account - UT</t>
  </si>
  <si>
    <t>DSM Balancing Account - WY</t>
  </si>
  <si>
    <t>Irrigation Load Control - OR</t>
  </si>
  <si>
    <t>DSM Balancing Account - OR</t>
  </si>
  <si>
    <t>Deferred Excess Net Power Costs - CA</t>
  </si>
  <si>
    <t>Deferred Excess Net Power Costs - ID</t>
  </si>
  <si>
    <t>Deferred Excess Net Power Costs - OR (1)</t>
  </si>
  <si>
    <t>Deferred Excess Net Power Costs - OR</t>
  </si>
  <si>
    <t>Deferred Excess Net Power Costs - UT</t>
  </si>
  <si>
    <t>Deferred Excess Net Power Costs - WY</t>
  </si>
  <si>
    <t>Deferred Excess Net Power Costs - WA</t>
  </si>
  <si>
    <t>Decoupling Mechanism - WA</t>
  </si>
  <si>
    <t>Solar ITC Basis Adjustment Regulatory Asset</t>
  </si>
  <si>
    <r>
      <rPr>
        <sz val="8"/>
        <color rgb="FF000000"/>
        <rFont val="Arial"/>
        <family val="2"/>
      </rPr>
      <t>Deferred Excess RECs in Rates - WY</t>
    </r>
  </si>
  <si>
    <t>Corporate Activity Tax Reg. Asset - OR</t>
  </si>
  <si>
    <r>
      <rPr>
        <sz val="8"/>
        <color rgb="FF000000"/>
        <rFont val="Arial"/>
        <family val="2"/>
      </rPr>
      <t>Deferred Excess RECs in Rates - UT</t>
    </r>
  </si>
  <si>
    <t>Pension</t>
  </si>
  <si>
    <t>254, 440, 442</t>
  </si>
  <si>
    <t>Other Postretirement</t>
  </si>
  <si>
    <t>Solar Investment Tax Credit Basis Adjustment</t>
  </si>
  <si>
    <t>282, 283</t>
  </si>
  <si>
    <t>Metro Business Income Tax - OR</t>
  </si>
  <si>
    <t>Powerdale Decommissioning - ID (10)</t>
  </si>
  <si>
    <t>Deferred Steam Accel. Depreciation - UT</t>
  </si>
  <si>
    <t>Colstrip Unit No. 4 Deferred Maint. Costs - WA</t>
  </si>
  <si>
    <t>Deferred Steam Depreciation - UT</t>
  </si>
  <si>
    <t>Carbon Plant Inventory Regulatory Asset (5)</t>
  </si>
  <si>
    <t>Colstrip Unit No. 4 Deferred Maintenance Costs - WA</t>
  </si>
  <si>
    <t>Carbon Plant Inventory Regulatory Asset - CA (3)</t>
  </si>
  <si>
    <t>Carbon Plant Inventory</t>
  </si>
  <si>
    <t>Cholla Unit No. 4 Closure &amp; Decommission Costs</t>
  </si>
  <si>
    <r>
      <rPr>
        <sz val="8"/>
        <color rgb="FF000000"/>
        <rFont val="Arial"/>
        <family val="2"/>
      </rPr>
      <t>Carbon Plant Inventory - CA (Amortization period: 3 years, starting 02/2020)</t>
    </r>
  </si>
  <si>
    <t>Depreciation Study Deferral - ID</t>
  </si>
  <si>
    <t>Cholla Unit No. 4 Closure Costs - CA</t>
  </si>
  <si>
    <t>440, 442, 444</t>
  </si>
  <si>
    <t>Depreciation Study Deferral - UT (17)</t>
  </si>
  <si>
    <t>Cholla Unit No. 4 Closure Costs - ID</t>
  </si>
  <si>
    <r>
      <rPr>
        <sz val="8"/>
        <color rgb="FF000000"/>
        <rFont val="Arial"/>
        <family val="2"/>
      </rPr>
      <t xml:space="preserve">Cholla Unit No. 4 Closure Costs - OR </t>
    </r>
  </si>
  <si>
    <t>920, 931, 408.1</t>
  </si>
  <si>
    <t>Cholla Unit No. 4 Closure Costs - UT 
(Amortization period: 4.4 years, starting 01/2021)</t>
  </si>
  <si>
    <t>Cholla Unit No. 4 Closure Costs - WY 
(Amortization period: 11 years, starting 07/2021)</t>
  </si>
  <si>
    <t>Cholla Unit No. 4 Decommissioning Costs - CA</t>
  </si>
  <si>
    <t>182.3, 426.5</t>
  </si>
  <si>
    <t>Depreciation Study Deferral - ID 
(Amortization period: 4 years, starting 01/2022)</t>
  </si>
  <si>
    <t>Depreciation Study Deferral - UT 
(Amortization period: 17 years, starting 09/2014)</t>
  </si>
  <si>
    <t>Depreciation Study Deferral - WY 
(Amortization period: 18 years, starting 01/2014)</t>
  </si>
  <si>
    <t>Depreciation Study Deferral - WY (17)</t>
  </si>
  <si>
    <t>Generating Plant Liquidated Damages - UT 
(Amortization period: 20 years, starting 01/2014)</t>
  </si>
  <si>
    <t>Generating Plant Liquidated Damages - UT</t>
  </si>
  <si>
    <t>Generating Plant Liquidated Damages - WY</t>
  </si>
  <si>
    <t>Wind Test Energy Deferral - WY 
(Amortization period: 30 years, starting 12/2020)</t>
  </si>
  <si>
    <t>Klamath Hydroelectric Relicensing Costs - UT (10)</t>
  </si>
  <si>
    <t>Washington Colstrip Unit No. 3 (22)</t>
  </si>
  <si>
    <t>Environmental Costs</t>
  </si>
  <si>
    <t>514, 545, 554, 598, 935</t>
  </si>
  <si>
    <t>Asset Retirement Obligations Regulatory Difference</t>
  </si>
  <si>
    <t>230, 426.5</t>
  </si>
  <si>
    <t>Environmental Costs (10)</t>
  </si>
  <si>
    <t>Unamortized Contract Values</t>
  </si>
  <si>
    <t>242, 253</t>
  </si>
  <si>
    <r>
      <rPr>
        <sz val="8"/>
        <color rgb="FF000000"/>
        <rFont val="Arial"/>
        <family val="2"/>
      </rPr>
      <t>Unrealized Loss on Derivative Contracts</t>
    </r>
  </si>
  <si>
    <r>
      <rPr>
        <sz val="8"/>
        <color rgb="FF000000"/>
        <rFont val="Arial"/>
        <family val="2"/>
      </rPr>
      <t>Greenhouse Gas Allowance Revenues - CA</t>
    </r>
  </si>
  <si>
    <t>Greenhouse Gas Allowance Compliance - CA</t>
  </si>
  <si>
    <t>Greenhouse Gas Allowance Compliance Costs - CA</t>
  </si>
  <si>
    <t>419, 555</t>
  </si>
  <si>
    <t>Solar Feed-In Tariff Deferral - OR (1)</t>
  </si>
  <si>
    <t>Emergency Service Resiliency Program - CA</t>
  </si>
  <si>
    <t>Oregon Community Solar Program</t>
  </si>
  <si>
    <t>Solar Feed-In Tariff Deferral - OR</t>
  </si>
  <si>
    <t>555, 908</t>
  </si>
  <si>
    <t>Solar Incentive Subscriber Program - UT</t>
  </si>
  <si>
    <t>Renewable Portfolio Standards Compliance - OR</t>
  </si>
  <si>
    <t>Renewable Portfolio Standards Compliance - WA (1)</t>
  </si>
  <si>
    <t>Solar Incentive Program - UT</t>
  </si>
  <si>
    <t>440, 442, 444, 431</t>
  </si>
  <si>
    <t>Protocol - MSP Deferral - ID</t>
  </si>
  <si>
    <r>
      <rPr>
        <sz val="8"/>
        <color rgb="FF000000"/>
        <rFont val="Arial"/>
        <family val="2"/>
      </rPr>
      <t>STEP Pilot Program - UT</t>
    </r>
  </si>
  <si>
    <t>447, 451, 598</t>
  </si>
  <si>
    <t>Protocol - MSP Deferral - WY</t>
  </si>
  <si>
    <r>
      <rPr>
        <sz val="8"/>
        <color rgb="FF000000"/>
        <rFont val="Arial"/>
        <family val="2"/>
      </rPr>
      <t>Renewable Portfolio Standards Compliance - WA</t>
    </r>
  </si>
  <si>
    <t>Deferred Intervenor Funding Grants - CA</t>
  </si>
  <si>
    <t>Deferred Intervenor Funding Grants - ID</t>
  </si>
  <si>
    <t>Deferred Intervenor Funding Grants - OR</t>
  </si>
  <si>
    <t>Deferred Intervenor Funding Grants - OR 
(Amortization period: 1 year, starting 07/2023)</t>
  </si>
  <si>
    <t>43.01</t>
  </si>
  <si>
    <t>Deferred Independent Evaluator Costs - OR</t>
  </si>
  <si>
    <r>
      <rPr>
        <sz val="8"/>
        <color rgb="FF000000"/>
        <rFont val="Arial"/>
        <family val="2"/>
      </rPr>
      <t>Deferred Intervenor Funding Grants - WA</t>
    </r>
  </si>
  <si>
    <t>43.02</t>
  </si>
  <si>
    <t>43.03</t>
  </si>
  <si>
    <r>
      <rPr>
        <sz val="8"/>
        <color rgb="FF000000"/>
        <rFont val="Arial"/>
        <family val="2"/>
      </rPr>
      <t>Deferred Independent Evaluator Costs - UT</t>
    </r>
  </si>
  <si>
    <t>43.04</t>
  </si>
  <si>
    <t>Catastrophic Event - CA</t>
  </si>
  <si>
    <t>228.1, 924</t>
  </si>
  <si>
    <t>43.05</t>
  </si>
  <si>
    <t>Low Income Program - WA</t>
  </si>
  <si>
    <t>43.06</t>
  </si>
  <si>
    <t>Deferred Overburden Cost - ID</t>
  </si>
  <si>
    <t>43.07</t>
  </si>
  <si>
    <t>Deferred Overburden Cost - WY</t>
  </si>
  <si>
    <t>43.08</t>
  </si>
  <si>
    <t>BPA Balancing Account - WA</t>
  </si>
  <si>
    <t>43.09</t>
  </si>
  <si>
    <t>BPA Balancing Account - OR</t>
  </si>
  <si>
    <t>43.1</t>
  </si>
  <si>
    <t>BPA Balancing Account - ID</t>
  </si>
  <si>
    <t>43.11</t>
  </si>
  <si>
    <r>
      <rPr>
        <sz val="8"/>
        <color rgb="FF000000"/>
        <rFont val="Arial"/>
        <family val="2"/>
      </rPr>
      <t xml:space="preserve">Property Sales Balancing Account - OR 
</t>
    </r>
    <r>
      <rPr>
        <sz val="8"/>
        <color rgb="FF000000"/>
        <rFont val="Arial"/>
        <family val="2"/>
      </rPr>
      <t>(Amortization period: 1 year, starting 07/2023)</t>
    </r>
  </si>
  <si>
    <t>421.1, 440, 442, 444</t>
  </si>
  <si>
    <t>43.12</t>
  </si>
  <si>
    <t>Property Damage - OR</t>
  </si>
  <si>
    <t>43.13</t>
  </si>
  <si>
    <t>Property Damage - WA</t>
  </si>
  <si>
    <t>43.14</t>
  </si>
  <si>
    <t>Property Damage - CA</t>
  </si>
  <si>
    <t>43.15</t>
  </si>
  <si>
    <t>Property Damage - UT</t>
  </si>
  <si>
    <t>43.16</t>
  </si>
  <si>
    <r>
      <rPr>
        <sz val="8"/>
        <color rgb="FF000000"/>
        <rFont val="Arial"/>
        <family val="2"/>
      </rPr>
      <t>Property Damage - WY</t>
    </r>
  </si>
  <si>
    <t>43.17</t>
  </si>
  <si>
    <t>Miscellaneous Regulatory Assets and Liabilities - OR</t>
  </si>
  <si>
    <t>43.18</t>
  </si>
  <si>
    <t>Utah Mine Disposition</t>
  </si>
  <si>
    <t>234, 506</t>
  </si>
  <si>
    <t>43.19</t>
  </si>
  <si>
    <t>Preferred Stock Redemption Loss - UT 
(Amortization period: 10 years, starting 03/2014)</t>
  </si>
  <si>
    <t>43.20</t>
  </si>
  <si>
    <t>Preferred Stock Redemption Loss - WA 
(Amortization period: 10 years, starting 03/2014)</t>
  </si>
  <si>
    <t>Preferred Stock Redemption Loss - WY 
(Amortization period: 10 years, starting 03/2014)</t>
  </si>
  <si>
    <t>Mobile Home Park Conversion - CA 
(Amortization period: 10 years, starting 05/2020)</t>
  </si>
  <si>
    <t>Transportation Electrification Program - OR 
(Amortization period: 3 years, starting 04/2023)</t>
  </si>
  <si>
    <t>Transportation Electrification Program - WA</t>
  </si>
  <si>
    <t>Fire Hazard and Wildfire Mitigation Plan - CA</t>
  </si>
  <si>
    <t>Wildfire Mitigation and Vegetation Management Plans - OR</t>
  </si>
  <si>
    <t>Wildfire Damaged Plant Net Book Value - OR</t>
  </si>
  <si>
    <t>Wildfire Natural Disaster Plan - CA</t>
  </si>
  <si>
    <r>
      <rPr>
        <sz val="8"/>
        <color rgb="FF000000"/>
        <rFont val="Arial"/>
        <family val="2"/>
      </rPr>
      <t>Wildland Fire Mitigation Balancing Account - UT</t>
    </r>
  </si>
  <si>
    <t>AMI Replaced Meters - OR 
(Amortization period: 5 years, starting 01/2021)</t>
  </si>
  <si>
    <t>COVID-19 Bill Assistance Program - OR 
(Amortization period: 4 years, starting 04/2023)</t>
  </si>
  <si>
    <t>COVID-19 Bill Assistance Program - WA</t>
  </si>
  <si>
    <t>Equity Advisory Group for Clean Energy Implementation Plan  - WA</t>
  </si>
  <si>
    <t>Low-Carbon Energy Standards - WY</t>
  </si>
  <si>
    <t>Low Income Bill Discount Admin Cost - OR</t>
  </si>
  <si>
    <t>Utility Community Advisory Group - OR</t>
  </si>
  <si>
    <t>Distribution System Plan - OR</t>
  </si>
  <si>
    <t>TB Flats - OR 
(Amortization period: 3 years, starting 04/2023)</t>
  </si>
  <si>
    <t>403, 431</t>
  </si>
  <si>
    <r>
      <rPr>
        <sz val="8"/>
        <color rgb="FF000000"/>
        <rFont val="Arial"/>
        <family val="2"/>
      </rPr>
      <t>Arrearage Payment Program - CA</t>
    </r>
  </si>
  <si>
    <t>Klamath Unrecovered Plant Net Book Value 
(Amortization period: 5 years, starting 12/2022)</t>
  </si>
  <si>
    <r>
      <rPr>
        <sz val="8"/>
        <color rgb="FF000000"/>
        <rFont val="Arial"/>
        <family val="2"/>
      </rPr>
      <t>Alternative Rate For Energy (CARE) - CA</t>
    </r>
  </si>
  <si>
    <r>
      <rPr>
        <sz val="8"/>
        <color rgb="FF000000"/>
        <rFont val="Arial"/>
        <family val="2"/>
      </rPr>
      <t>Utility Bill Assistance - UT</t>
    </r>
  </si>
  <si>
    <r>
      <rPr>
        <sz val="8"/>
        <color rgb="FF000000"/>
        <rFont val="Arial"/>
        <family val="2"/>
      </rPr>
      <t>142, 232, 440, 442, 444</t>
    </r>
  </si>
  <si>
    <r>
      <rPr>
        <sz val="8"/>
        <color rgb="FF000000"/>
        <rFont val="Arial"/>
        <family val="2"/>
      </rPr>
      <t>2023 GRC Memo Account - CA</t>
    </r>
  </si>
  <si>
    <t>OTHER REGULATORY LIABILITIES (Account 254)</t>
  </si>
  <si>
    <t>1.  Report the particulars (details) called for concerning other regulatory assets, including rate order docket number, if applicable.
2.  Minor items (5% of the Balance in Account 182.3 at end of period, or amounts less than $100,000 which ever is less) may be grouped by classes.
3.  For Regulatory Assets being amortized, show period of amortization.</t>
  </si>
  <si>
    <t>Description and Purpose of
Other Regulatory Liabilities</t>
  </si>
  <si>
    <t>Balance at Beginning
of Current
Quarter/Year</t>
  </si>
  <si>
    <t>DEBITS</t>
  </si>
  <si>
    <t>Balance at End
of Current Quarter/Year</t>
  </si>
  <si>
    <t>Account Credited</t>
  </si>
  <si>
    <t>Line. No.</t>
  </si>
  <si>
    <t>3/31/2021</t>
  </si>
  <si>
    <t>DSM Balancing Account - CA</t>
  </si>
  <si>
    <t>DSM Balancing Account - WA</t>
  </si>
  <si>
    <t>Oregon Energy Conservation Charge</t>
  </si>
  <si>
    <t>Deferred Excess RECs in Rates - UT</t>
  </si>
  <si>
    <t>Deferred Excess RECs in Rates - WY</t>
  </si>
  <si>
    <t>440, 442</t>
  </si>
  <si>
    <t>Investment Tax Credit</t>
  </si>
  <si>
    <t>Income Tax Reg. Liability - Flow Through - WA</t>
  </si>
  <si>
    <t>Deferred Income Tax Electric</t>
  </si>
  <si>
    <t>190, 282, 411.1</t>
  </si>
  <si>
    <t>Investment Tax Credit Regulatory Liability</t>
  </si>
  <si>
    <t>Corporate Activity Tax - OR</t>
  </si>
  <si>
    <t>Excess Income Tax Deferral</t>
  </si>
  <si>
    <t>Tax on Bonus Depreciation</t>
  </si>
  <si>
    <t>431, 440, 442, 444</t>
  </si>
  <si>
    <t>Tax on Bonus Depreciation - WY (1)</t>
  </si>
  <si>
    <t>Postemployment Costs</t>
  </si>
  <si>
    <t>Revenues Subject to Refund - WA</t>
  </si>
  <si>
    <t>Excess Capital Additions in Rates - WA</t>
  </si>
  <si>
    <t>Bridger Mine Depreciation and Reclamation - OR</t>
  </si>
  <si>
    <t>Def Bridger Mine Depr &amp; Reclam in Rates - OR</t>
  </si>
  <si>
    <t>Bridger Mine Depreciation and Reclamation - WA</t>
  </si>
  <si>
    <t>Def Bridger Mine Depr &amp; Reclam in Rates - WA</t>
  </si>
  <si>
    <t>Cholla Unit No. 4 Closure and Decommissioning Costs - ID</t>
  </si>
  <si>
    <t>Cholla Plant Unit No. 4 Decommission - OR</t>
  </si>
  <si>
    <t>Cholla Plant Unit No. 4 Decommissioning Costs - OR</t>
  </si>
  <si>
    <t>Cholla Plant Unit No. 4 Decommission - UT</t>
  </si>
  <si>
    <t>Cholla Plant Unit No. 4 Decommissioning Costs - UT</t>
  </si>
  <si>
    <t>Cholla Plant Unit No. 4 Decommissioning Costs - WY</t>
  </si>
  <si>
    <t>Deferral of Coal Plant Closure Costs in Rates - WA</t>
  </si>
  <si>
    <t>Deferral of Coal Plant Closure Costs - WA</t>
  </si>
  <si>
    <t>Depreciation Study Deferral - ID (1)</t>
  </si>
  <si>
    <t>Klamath Hydro Dam Removal - CA</t>
  </si>
  <si>
    <t>Unrealized Gain on Derivative Contracts</t>
  </si>
  <si>
    <t>175, 244</t>
  </si>
  <si>
    <t>Solar on Multifamily Affordable Housing - CA</t>
  </si>
  <si>
    <t>456, 908</t>
  </si>
  <si>
    <t>Solar Incentive Program - UT 
(Amortization period: 1 year, starting 01/2023)</t>
  </si>
  <si>
    <t>440, 442, 444, 908</t>
  </si>
  <si>
    <t>STEP Pilot Program - UT</t>
  </si>
  <si>
    <t>STEP Pilot Program - UT 
(Amortization period: 1 year, starting 01/2023)</t>
  </si>
  <si>
    <t>Renewable Portfolio Standards Compliance - OR (1)</t>
  </si>
  <si>
    <t>Deferred Independent Evaluator Costs - UT</t>
  </si>
  <si>
    <t>Alternative Rate for Energy (CARE) - CA</t>
  </si>
  <si>
    <t>Deferred Gains</t>
  </si>
  <si>
    <t>Utah Home Energy Lifeline</t>
  </si>
  <si>
    <t>142, 232, 440, 442, 444</t>
  </si>
  <si>
    <t>California Energy Savings Assistance Program</t>
  </si>
  <si>
    <t>908, 909, 929</t>
  </si>
  <si>
    <t>FERC Rate True-up - OR (3)</t>
  </si>
  <si>
    <t>FERC Rate True-up - OR 
(Amortization period: 3 years, starting 01/2021)</t>
  </si>
  <si>
    <t>Blue Sky - CA</t>
  </si>
  <si>
    <t>Blue Sky - OR</t>
  </si>
  <si>
    <t>440, 442, 555</t>
  </si>
  <si>
    <t>Blue Sky - ID</t>
  </si>
  <si>
    <t>Blue Sky - UT</t>
  </si>
  <si>
    <t>Blue Sky - WA</t>
  </si>
  <si>
    <t>Transportation Electrification Program - CA</t>
  </si>
  <si>
    <t>Blue Sky - WY</t>
  </si>
  <si>
    <t>Oregon Clean Fuels Program</t>
  </si>
  <si>
    <t>Depreciation Study Deferral - OR 
(Amortization period: 3 years, starting 01/2021)</t>
  </si>
  <si>
    <t>Deferred Steam Accelerated Depreciation - WA (Amortization period: 3 years, starting 01/2021)</t>
  </si>
  <si>
    <t>Direct Access 5-Year Opt Out - OR 
(Amortization period: 10 years, starting 02/2016)</t>
  </si>
  <si>
    <t>Transportation Electrification Program - OR</t>
  </si>
  <si>
    <t>440, 442, 908, 909</t>
  </si>
  <si>
    <t>Transportation Electrification Pilot - UT 
(Amortization period: 5 years, starting 07/2022)</t>
  </si>
  <si>
    <t>908, 909</t>
  </si>
  <si>
    <t>Pryor Mountain - OR 
(Amortization period: 3 years, starting 04/2023)</t>
  </si>
  <si>
    <t>Pryor Mountain - WA</t>
  </si>
  <si>
    <t>Fly Ash Sales - OR 
(Amortization period: 1 year, starting 04/2023)</t>
  </si>
  <si>
    <t>Fly Ash Sales - WA</t>
  </si>
  <si>
    <t>Alternative Rate For Energy (CARE) - CA</t>
  </si>
  <si>
    <t>921, 922, 923, 909</t>
  </si>
  <si>
    <t>Arrearage Payments Program - WA</t>
  </si>
  <si>
    <t>182.3, 232</t>
  </si>
  <si>
    <t>Indicated footnote attached.</t>
  </si>
  <si>
    <t>MISCELLANEOUS DEFERRED DEBITS (Account 186)</t>
  </si>
  <si>
    <t>1. Report below the particulars (details) called for concerning miscellaneous deferred debits.
3. For Regulatory Assets being amortized, show period of amortization in column (a)
2. Minor items (1% of the Balance in Account 186 at end of period, or amounts less than $100,00 whichever is less), may be grouped by classes.</t>
  </si>
  <si>
    <t>Description of Miscellaneous Deferred Debits</t>
  </si>
  <si>
    <t>Balance at Beginning of Year</t>
  </si>
  <si>
    <t>Balance at End of Year</t>
  </si>
  <si>
    <t>December 31, 2023</t>
  </si>
  <si>
    <t>Bogus Creek (41)</t>
  </si>
  <si>
    <t>Point-to-Point Transmission Reservation Deposits</t>
  </si>
  <si>
    <t>Hermiston Swap (40)</t>
  </si>
  <si>
    <t>Long-Term Lease Commissions Prepaids</t>
  </si>
  <si>
    <t>Lake Side Maintenance Prepaid</t>
  </si>
  <si>
    <t>Lake Side 2 Maintenance Prepaid</t>
  </si>
  <si>
    <t>Chehalis Maintenance Prepaid</t>
  </si>
  <si>
    <t>Currant Creek Maint. Prepaid</t>
  </si>
  <si>
    <t>Seven Mile Hill Maintenance Prepaid</t>
  </si>
  <si>
    <t>Seven Mile Hill II Maintenance Prepaid</t>
  </si>
  <si>
    <t>Dunlap Ranch I Maintenance Prepaid</t>
  </si>
  <si>
    <t>Ekola Flats Maintenance Prepaid</t>
  </si>
  <si>
    <t>Foote Creek Maintenance Prepaid</t>
  </si>
  <si>
    <t>Glenrock I Maintenance Prepaid</t>
  </si>
  <si>
    <t>Glenrock III Maintenance Prepaid</t>
  </si>
  <si>
    <t>Goodnoe Hills Maintenance Prepaid</t>
  </si>
  <si>
    <t>High Plains Maintenance Prepaid</t>
  </si>
  <si>
    <t>Leaning Juniper Maintenance Prepaid</t>
  </si>
  <si>
    <t>Marengo Maintenance Prepaid</t>
  </si>
  <si>
    <t>Marengo II Maintenance Prepaid</t>
  </si>
  <si>
    <t>McFadden Ridge I Maintenance Prepaid</t>
  </si>
  <si>
    <t>Pryor Mountain Maintenance Prepaid</t>
  </si>
  <si>
    <t>Rolling Hills Maintenance Prepaid</t>
  </si>
  <si>
    <t>TB Flats Maintenance Prepaid</t>
  </si>
  <si>
    <t>Credit Agreement Costs</t>
  </si>
  <si>
    <t xml:space="preserve"> 427, 431 </t>
  </si>
  <si>
    <t>PCRB Mode Conversion Costs</t>
  </si>
  <si>
    <t>1994 Series Restructuring Costs (16)</t>
  </si>
  <si>
    <t>Deferred S-3 Shelf Registration Costs</t>
  </si>
  <si>
    <t>Emission Reduction Credits</t>
  </si>
  <si>
    <t>Sales of Electric Utility Facilities and Properties</t>
  </si>
  <si>
    <t>IT Licenses and Maintenance Prepaid</t>
  </si>
  <si>
    <t>Other Deferred Charges</t>
  </si>
  <si>
    <t>Misc. Work in Progress</t>
  </si>
  <si>
    <t>Deferred Regulatory Comm. Expenses (See pages 350-351)</t>
  </si>
  <si>
    <t>Non-XBRL Total for Validation Only</t>
  </si>
  <si>
    <t>Page 269</t>
  </si>
  <si>
    <t>OTHER DEFERRED CREDITS (Account 253)</t>
  </si>
  <si>
    <t>1. Report below the particulars (details) called for concerning other deferred credits.
2. For any deferred credit being amortized, show the period of amortization.
3. Minor items (5% of the Balance End of Year for Account 253 or amounts less than $100, 000, whichever is greater) may be grouped by classes</t>
  </si>
  <si>
    <t>Description and Other Deferred Credits</t>
  </si>
  <si>
    <t>Contra Account</t>
  </si>
  <si>
    <t>Working Capital Deposits</t>
  </si>
  <si>
    <t>131, 242</t>
  </si>
  <si>
    <t>Reclamation Costs - Trapper Mine</t>
  </si>
  <si>
    <t>Western Coal Carriers Benefits Obligation</t>
  </si>
  <si>
    <t>131, 557</t>
  </si>
  <si>
    <t>Deferred Compensation Plans</t>
  </si>
  <si>
    <t>Long-Term Incentive Plan</t>
  </si>
  <si>
    <t>Regulated Environmental Liabilities</t>
  </si>
  <si>
    <t>131, 182.3</t>
  </si>
  <si>
    <t>Non-Regulated Environmental Liabilities</t>
  </si>
  <si>
    <t>131, 426.5</t>
  </si>
  <si>
    <t>Unearned Joint Use Pole Contact Revenue</t>
  </si>
  <si>
    <t>Miscellaneous Security Deposits</t>
  </si>
  <si>
    <t>Lease Incentives</t>
  </si>
  <si>
    <t>Cowlitz/Lewis River Operations and Maintenance (1)</t>
  </si>
  <si>
    <t>242, 539</t>
  </si>
  <si>
    <t>Employee Housing Security Deposits</t>
  </si>
  <si>
    <t>Cogeneration Bonds - Sunnyside</t>
  </si>
  <si>
    <t>MCI F.O.G. Wire Lease (1)</t>
  </si>
  <si>
    <t>Facility Use Fee</t>
  </si>
  <si>
    <t>451, 456</t>
  </si>
  <si>
    <t>107, 131</t>
  </si>
  <si>
    <t>Deer Creek Accrued Royalties</t>
  </si>
  <si>
    <t>Deferred Revenue - Other</t>
  </si>
  <si>
    <t>Transmission Security Deposits</t>
  </si>
  <si>
    <t>Transmission Service Deposits</t>
  </si>
  <si>
    <t>131, 235, 456</t>
  </si>
  <si>
    <t>Transmission Study Deposits for Financial Security</t>
  </si>
  <si>
    <t>Transmission Study Deposits for Site Control</t>
  </si>
  <si>
    <t>Transmission Deposits for Cluster Studies</t>
  </si>
  <si>
    <t>131, 235, 242</t>
  </si>
  <si>
    <t>Vendor Retention</t>
  </si>
  <si>
    <t>Project Development Security Deposits</t>
  </si>
  <si>
    <t>ACCUMULATED DEFERRED INCOME TAXES (Account 190)</t>
  </si>
  <si>
    <t>Report the information called for below concerning the respondent's accounting for deferred for deferred income taxes
At Other (Specify), include deferrals relating to other income and deductions.</t>
  </si>
  <si>
    <t>Description and Location</t>
  </si>
  <si>
    <t>Employee Benefits</t>
  </si>
  <si>
    <t>State Carryfowards</t>
  </si>
  <si>
    <t>Asset Retirement Obligations</t>
  </si>
  <si>
    <t>Regulatory Liabilities</t>
  </si>
  <si>
    <t>Loss Contingencies</t>
  </si>
  <si>
    <t>Other Electric</t>
  </si>
  <si>
    <t>Valuation Allowances</t>
  </si>
  <si>
    <t>TOTAL Electric (Enter Total of lines 2 thru 7)</t>
  </si>
  <si>
    <t>TOTAL Gas (Enter Total of lines 10 thru 15</t>
  </si>
  <si>
    <t>TOTAL (Acct 190) (Total of lines 8, 16 and 17)</t>
  </si>
  <si>
    <t>PAGE 250</t>
  </si>
  <si>
    <t>PAGE 251</t>
  </si>
  <si>
    <t>CAPITAL STOCKS (Account 201 and 204)</t>
  </si>
  <si>
    <t>CAPITAL STOCKS (Account 201 and 204) (Continued)</t>
  </si>
  <si>
    <t>1. Report below the particulars (details) called for concerning common and preferred stock at end of year, distinguishing separate series of any general class. Show separate totals for common and preferred stock. If information to meet the stock exchange reporting requirement outlined in column (a) is available from the SEC 10-K Report Form filing, a specific reference to report form (i.e., year and company title) may be reported in column (a) provided the fiscal years for both the 10-K report and this report are compatible.
2. Entries in column (b) should represent the number of shares authorized by the articles of incorporation as amended to end of year.</t>
  </si>
  <si>
    <t>3. Give particulars (details) concerning sh ares of any class and series of stock authorized to be issued by a regulatory commission which have not yet been issued.
4. The identification of each class of preferred stock should sh ow the dividend rate and whether the dividends are cumulative or non-cumulative.
5. State in a footnote if any capital stock which has been nominally issued is nominally outstanding at end of year.Give particulars (details) in column (a) of any nominally issued capital stock, reacquired stock, or stock in sinking and other funds which is pledged, stating name of pledgee and purposes of pledge</t>
  </si>
  <si>
    <t>Class and Series of Stock and Name of Stock Series</t>
  </si>
  <si>
    <t>Number of Shares Authorized by Charter</t>
  </si>
  <si>
    <t>Par or Stated
Value per share</t>
  </si>
  <si>
    <t>Call Price at
End of Year</t>
  </si>
  <si>
    <t>Outstanding per Bal. Sheet (Total amount outstanding without reduction for amounts held by respondent) Shares</t>
  </si>
  <si>
    <t>Outstanding per Bal. Sheet (Total amount outstanding without reduction for amounts held by respondent) Amount</t>
  </si>
  <si>
    <t>Held by Respondent As Reacquired Stock (Acct 217) 
Shares</t>
  </si>
  <si>
    <t>Held by Respondent As Reacquired Stock (Acct 217) 
Cost</t>
  </si>
  <si>
    <t>Held by Respondent In Sinking and Other Funds 
Shares</t>
  </si>
  <si>
    <t>Held by Respondent In Sinking and Other Funds 
Amount</t>
  </si>
  <si>
    <t>Common Stock (Account 201)</t>
  </si>
  <si>
    <t>Common Stock issued</t>
  </si>
  <si>
    <t>TOTAL COMMON STOCK</t>
  </si>
  <si>
    <t>Preferred Stock (Account 204)</t>
  </si>
  <si>
    <t>5% Cumulative Preferred</t>
  </si>
  <si>
    <t>Serial Preferred, Cumulative:</t>
  </si>
  <si>
    <t>6.00% Series</t>
  </si>
  <si>
    <t>7.00% Series</t>
  </si>
  <si>
    <t>No Par Serial Preferred</t>
  </si>
  <si>
    <t>TOTAL PREFERRED STOCK</t>
  </si>
  <si>
    <t>Capital Stock (Accounts 201 and 204) - Data Conversion</t>
  </si>
  <si>
    <t>Authorized and Unissued Capital Stock</t>
  </si>
  <si>
    <t>Page 253</t>
  </si>
  <si>
    <t>OTHER PAID-IN-CAPITAL (Accounts 208-211, inc.)</t>
  </si>
  <si>
    <t>Report below the balance at the end of the year and the information specified below for the respective other paid-in capital accounts. Provide a subheading for each account and show a total for the account, as well as total of all accounts for reconciliation with balance sheet, Page 112. Add more columns for any account if deemed necessary. Explain changes made in any account during the year and give the accounting entries effecting such change.
(a) Donations Received from Stockholders (Account 208)-State amount and give brief explanation of the origin and purpose of each donation.
(b) Reduction in Par or Stated value of Capital Stock (Account 209): State amount and give brief explanation of the capital change which gave rise to amounts reported under this caption including identification with the class and series of stock to which related.
(c) Gain on Resale or Cancellation of Reacquired Capital Stock (Account 210): Report balance at beginning of year, credits, debits, and balance at end of year with a designation of the nature of each credit and debit identified by the class and series of stock to which related.
(d) Miscellaneous Paid-in Capital (Account 211)-Classify amounts included in this account according to captions which, together with brief explanations, disclose the general nature of the transactions which gave rise to the reported amounts</t>
  </si>
  <si>
    <t>Donations Received from Stockholders (Account 208)</t>
  </si>
  <si>
    <t>Beginning Balance Amount</t>
  </si>
  <si>
    <t>Increases (Decreases) from Sales of Donations Received from Stockholders</t>
  </si>
  <si>
    <t>3.1</t>
  </si>
  <si>
    <t>Ending Balance Amount</t>
  </si>
  <si>
    <t>Reduction in Par or Stated Value of Capital Stock (Account 209)</t>
  </si>
  <si>
    <t>Increases (Decreases) Due to Reductions in Par or Stated Value of Capital Stock</t>
  </si>
  <si>
    <t>7.1</t>
  </si>
  <si>
    <t>Gain or Resale or Cancellation of Reacquired Capital Stock (Account 210)</t>
  </si>
  <si>
    <t>Increases (Decreases) from Gain or Resale or Cancellation of Reacquired Capital Stock</t>
  </si>
  <si>
    <t>11.1</t>
  </si>
  <si>
    <t>Miscellaneous Paid-In Capital (Account 211)</t>
  </si>
  <si>
    <t>Historical Data - Other Paid in Capital</t>
  </si>
  <si>
    <t>Increases (Decreases) in Other Paid-In Capital</t>
  </si>
  <si>
    <t>19.1</t>
  </si>
  <si>
    <t>CAPITAL STOCK EXPENSE (Account 214)</t>
  </si>
  <si>
    <t>Report the balance at end of the year of discount on capital stock for each class and series of capital stock
If any change occurred during the year in the balance in respect to any class or series of stock, attach a statement giving particulars (details) of the change. State the reason for any charge-off of capital stock expense and specify the account changed.</t>
  </si>
  <si>
    <t>Class and Series of Stock</t>
  </si>
  <si>
    <t>Disclosure of changes during the period in capital stock expense</t>
  </si>
  <si>
    <t>PAGE 256</t>
  </si>
  <si>
    <t>PAGE 257</t>
  </si>
  <si>
    <t>LONG-TERM DEBT (Account 221, 222, 223 and 224)</t>
  </si>
  <si>
    <t>LONG-TERM DEBT (Account 221, 222, 223 and 224) (Continued)</t>
  </si>
  <si>
    <t>1. Report by Balance Sheet Account the details concerning long-term debt included in Accounts 221, Bonds, 222, Reacquired Bonds, 223, Advances from Associated Companies, and 224, Other long-Term Debt.
2. For bonds assumed by the respondent, include in column (a) the name of the issuing company as well as a description of the bonds, and in column (b) include the related account number.
3. For advances from Associated Companies, report separately advances on notes and advances on open accounts. Designate demand notes as such. Include in column (a) names of associated companies from which advances were received, and in column (b) include the related account number.
4. For receivers' certificates, show in column (a) the name of the court and date of court order under which such certificates were issued, and in columv (b) include the related account number.
5. In a supplemental statement, give explanatory details for Accounts 223 and 224 of net changes during the year. With respect to long-term advances, show for each company: (a) principal advance during year (b) interest added to principal amount, and (c) principal repaid during year. Give Commission authorization numbers and details.
6. If the respondent has pledged any of its long-term debt securities give particulars (details) in a footnote including name of pledgee and purpose of the pledge.
7. If the respondent has any long-term debt securities which have been nominally issued and are nominally outstanding at end of year, describe such securities in a footnote.
8. If interest expense was incurred during the year on any obligations retired or reacquired before end of year, include such interest expense in column (m). Explain in a footnote any difference between the total of column (m) and the total of Account 427, interest on Long-Term Debt and Account 430, Interest on Debt to Associated Companies.
9. Give details concerning any long-term debt authorized by a regulatory commission but not yet issued.</t>
  </si>
  <si>
    <t>Class and Series of Obligation, Coupon Rate
(For new issue, give commission Authorization numbers and dates)</t>
  </si>
  <si>
    <t>Related Account Number</t>
  </si>
  <si>
    <t>Principal Amount of Debt Issued</t>
  </si>
  <si>
    <t>Total Expense, Premium or Discount</t>
  </si>
  <si>
    <t>Total Expense</t>
  </si>
  <si>
    <t>Total Premium</t>
  </si>
  <si>
    <t>Total Discount</t>
  </si>
  <si>
    <t>Nominal Date of Issue</t>
  </si>
  <si>
    <t>AMORTIZATION PERIOD
Date From</t>
  </si>
  <si>
    <t>AMORTIZATION PERIOD
Date To</t>
  </si>
  <si>
    <t>Outstanding
(Total amount outstanding without reduction
for amounts held by respondent)</t>
  </si>
  <si>
    <t>Interest for Year Amount</t>
  </si>
  <si>
    <t>Bonds (Account 221)</t>
  </si>
  <si>
    <t>First Mortgage Bonds:</t>
  </si>
  <si>
    <t>First Mortgage Bonds: 2.95% Series due 2023</t>
  </si>
  <si>
    <t>First Mortgage Bonds: 3.60% Series due 2024</t>
  </si>
  <si>
    <t>First Mortgage Bonds: 3.35% Series due 2025</t>
  </si>
  <si>
    <t>First Mortgage Bonds: 3.50% Series due 2029</t>
  </si>
  <si>
    <t>First Mortgage Bonds: 2.70% Series due 2030</t>
  </si>
  <si>
    <t>First Mortgage Bonds: 7.70% Series due 2031</t>
  </si>
  <si>
    <t>First Mortgage Bonds: 5.90% Series due 2034</t>
  </si>
  <si>
    <t>First Mortgage Bonds: 5.25% Series due 2035</t>
  </si>
  <si>
    <t>First Mortgage Bonds: 6.10% Series due 2036</t>
  </si>
  <si>
    <t>First Mortgage Bonds: 5.75% Series due 2037</t>
  </si>
  <si>
    <t>First Mortgage Bonds: 6.25% Series due 2037</t>
  </si>
  <si>
    <t>First Mortgage Bonds: 6.35% Series due 2038</t>
  </si>
  <si>
    <t>First Mortgage Bonds: 6.00% Series due 2039</t>
  </si>
  <si>
    <t>First Mortgage Bonds: 4.10% Series due 2042</t>
  </si>
  <si>
    <t>First Mortgage Bonds: 4.125% Series due 2049</t>
  </si>
  <si>
    <t>First Mortgage Bonds: 4.15% Series due 2050</t>
  </si>
  <si>
    <t>First Mortgage Bonds: 3.30% Series due 2051</t>
  </si>
  <si>
    <t>First Mortgage Bonds: 2.90% Series due 2052</t>
  </si>
  <si>
    <t>First Mortgage Bonds: 5.35% Series due 2053</t>
  </si>
  <si>
    <t>First Mortgage Bonds: 5.50% Series due 2054</t>
  </si>
  <si>
    <t>Subtotal First Mortgage Bonds</t>
  </si>
  <si>
    <t>Secured Medium-Term Notes:</t>
  </si>
  <si>
    <t>Secured Medium-Term Notes: 8.23% Series E due 2023 - A</t>
  </si>
  <si>
    <t>Secured Medium-Term Notes: 8.23% Series E due 2023 - B</t>
  </si>
  <si>
    <t>Secured Medium-Term Notes: 7.26% Series F due 2023 - A</t>
  </si>
  <si>
    <t>Secured Medium-Term Notes: 7.26% Series F due 2023 - B</t>
  </si>
  <si>
    <t>Secured Medium-Term Notes: 7.23% Series F due 2023</t>
  </si>
  <si>
    <t>Secured Medium-Term Notes: 7.24% Series F due 2023</t>
  </si>
  <si>
    <t>Secured Medium-Term Notes: 6.75% Series F due 2023 - A</t>
  </si>
  <si>
    <t>Secured Medium-Term Notes: 6.75% Series F due 2023 - B</t>
  </si>
  <si>
    <t xml:space="preserve">Secured Medium-Term Notes: 6.72% Series F due 2023 </t>
  </si>
  <si>
    <t>Secured Medium-Term Notes: 6.75% Series F due 2023 - C</t>
  </si>
  <si>
    <t>Secured Medium-Term Notes: 6.75% Series F due 2023 - D</t>
  </si>
  <si>
    <t>Secured Medium-Term Notes: 6.75% Series F due 2023 - E</t>
  </si>
  <si>
    <t>Secured Medium-Term Notes: 6.71% Series G due 2026</t>
  </si>
  <si>
    <t>Subtotal Secured Medium-Term Notes</t>
  </si>
  <si>
    <t>Pollution Control Obligations - Secured:</t>
  </si>
  <si>
    <t>Pollution Control Revenue Refunding Bonds - Secured: Sweetwater County, WY, Series 1994</t>
  </si>
  <si>
    <t>Pollution Control Revenue Refunding Bonds - Secured: Converse County, WY, Series 1994</t>
  </si>
  <si>
    <t>Pollution Control Revenue Refunding Bonds - Secured: Emery County, UT, Series 1994</t>
  </si>
  <si>
    <t>Pollution Control Revenue Refunding Bonds - Secured: Lincoln County, WY, Series 1994</t>
  </si>
  <si>
    <t>Environment Improvement Revenue Bonds - Secured: Converse County, WY, Series 1995</t>
  </si>
  <si>
    <t>Environment Improvement Revenue Bonds - Secured: Lincoln County, WY, Series 1995</t>
  </si>
  <si>
    <t>Subtotal Pollution Control Obligations - Secured:</t>
  </si>
  <si>
    <t>Pollution Control Obligations - Unsecured:</t>
  </si>
  <si>
    <t>Environment Improvement Revenue Bonds - Unsecured: Sweetwater County, WY, Series 1995</t>
  </si>
  <si>
    <t>Subtotal Pollution Control Obligations - Unsecured:</t>
  </si>
  <si>
    <t>Subtotal</t>
  </si>
  <si>
    <t>Reacquired Bonds (Account 222)</t>
  </si>
  <si>
    <t>Advances from Associated Companies (Account 223)</t>
  </si>
  <si>
    <t>Other Long Term Debt (Account 224)</t>
  </si>
  <si>
    <t xml:space="preserve">  Long-term debt authorized but unissued</t>
  </si>
  <si>
    <t>RECONCILIATION OF REPORTED NET INCOME WITH TAXABLE INCOME FOR FEDERAL INCOME TAXES</t>
  </si>
  <si>
    <t>1. Report the reconciliation of reported net income for the year with taxable income used in computing Federal income tax accruals and show computation of such tax accruals. Include in the reconciliation, as far as practicable, the same detail as furnished on Schedule M-1 of the tax return for the year. Submit a reconciliation even though there is no taxable income for the year. Indicate clearly the nature of each reconciling amount.
2. If the utility is a member of a group which files a consolidated Federal tax return, reconcile reported net income with taxable net income as if a separate return were to be field, indicating, however, inter company amounts to be eliminated in such a consolidated return. State names of group member, tax assigned to each group member, and basis of allocation, assignment, or sharing of the consolidated tax among the group members.
3. A substitute page, designed to meet a particular need of a company, may be used as Long as the data is consistent and meets the requirements of the above instructions. For electronic reporting purposes complete Line 27 and provide the substitute Page in the context of a footnote.</t>
  </si>
  <si>
    <t>Particulars (Details)</t>
  </si>
  <si>
    <t>Net Income for the Year (Page 117)</t>
  </si>
  <si>
    <t>Reconciling Items for the Year</t>
  </si>
  <si>
    <t>Taxable Income Not Reported on Books</t>
  </si>
  <si>
    <t>Allowance for Accounts Receivable</t>
  </si>
  <si>
    <t>Contribution in Aid of Construction</t>
  </si>
  <si>
    <t>Regulatory Asset - BPA Balancing Account - OR</t>
  </si>
  <si>
    <t>Regulatory Asset - WA Decoupling Mechanism</t>
  </si>
  <si>
    <t>Regulatory Liability - Bridger Accelerated Depreciation - OR</t>
  </si>
  <si>
    <t>Regulatory Liability - Bridger Accelerated Depreciation - WA</t>
  </si>
  <si>
    <t>Regulatory Liability - California Greenhouse Gas Allowance Compliance</t>
  </si>
  <si>
    <t>Regulatory Liability - Deferred Excess RECs in Rates - UT</t>
  </si>
  <si>
    <t>Regulatory Liability - Sale of REC - WA</t>
  </si>
  <si>
    <t>Regulatory Liability - Utah Home Energy Lifeline</t>
  </si>
  <si>
    <t>Regulatory Liability - WA Decoupling Mechanism</t>
  </si>
  <si>
    <t>Transmission Service Deposit</t>
  </si>
  <si>
    <t>Trapper Mining Stock Basis</t>
  </si>
  <si>
    <t>Intercompany Adjustment</t>
  </si>
  <si>
    <t>Deductions Recorded on Books Not Deducted for Return</t>
  </si>
  <si>
    <t xml:space="preserve"> Fed/State Tax Expense-Interest </t>
  </si>
  <si>
    <t xml:space="preserve"> Accrued Royalties</t>
  </si>
  <si>
    <t xml:space="preserve"> Accrued Vacation </t>
  </si>
  <si>
    <t xml:space="preserve"> Avoided Costs  </t>
  </si>
  <si>
    <t xml:space="preserve"> Book Depreciation </t>
  </si>
  <si>
    <t xml:space="preserve"> Book Depreciation Allocated to Medicare and M&amp;E </t>
  </si>
  <si>
    <t xml:space="preserve"> Capitalization of Test Energy </t>
  </si>
  <si>
    <t xml:space="preserve"> Capitalized labor and benefit costs  </t>
  </si>
  <si>
    <t xml:space="preserve"> Company Plane </t>
  </si>
  <si>
    <t xml:space="preserve"> Contra Receivable from Joint Owners </t>
  </si>
  <si>
    <t xml:space="preserve"> Deferred Compensation </t>
  </si>
  <si>
    <t xml:space="preserve"> Deferred Revenue - Other </t>
  </si>
  <si>
    <t xml:space="preserve"> Employee Remuneration - Section 162(m) Limitation </t>
  </si>
  <si>
    <t xml:space="preserve"> Environmental Liability - Regulated </t>
  </si>
  <si>
    <t xml:space="preserve"> FAS 112 Book Reserve - Postemployment Benefits </t>
  </si>
  <si>
    <t xml:space="preserve"> Fuel Cost Adjustment </t>
  </si>
  <si>
    <t xml:space="preserve"> Hermiston Swap </t>
  </si>
  <si>
    <t xml:space="preserve"> Hydro Relicensing Obligation </t>
  </si>
  <si>
    <t xml:space="preserve"> Idaho Disallowed Loss </t>
  </si>
  <si>
    <t xml:space="preserve"> Income Tax Interest </t>
  </si>
  <si>
    <t xml:space="preserve"> Injuries and Damages Accrual, net of Insurance Reserves </t>
  </si>
  <si>
    <t xml:space="preserve"> Inventory Reserve </t>
  </si>
  <si>
    <t xml:space="preserve"> Lobbying Expenses </t>
  </si>
  <si>
    <t xml:space="preserve"> Meals and Entertainment </t>
  </si>
  <si>
    <t xml:space="preserve"> Nondeductible Fringe Benefits </t>
  </si>
  <si>
    <t xml:space="preserve"> Nondeductible Parking Costs </t>
  </si>
  <si>
    <t xml:space="preserve"> Operating Leases (Liability) </t>
  </si>
  <si>
    <t xml:space="preserve"> Penalties </t>
  </si>
  <si>
    <t xml:space="preserve"> Prepaid - FSA O&amp; M - East </t>
  </si>
  <si>
    <t xml:space="preserve"> Property Insurance Reserve - OR </t>
  </si>
  <si>
    <t xml:space="preserve"> Regulatory Asset - Arrearage Payments Program - CA </t>
  </si>
  <si>
    <t xml:space="preserve"> Regulatory Asset - Carbon Decommissioning - CA </t>
  </si>
  <si>
    <t xml:space="preserve"> Regulatory Asset - Carbon Plant Decom/Inventory </t>
  </si>
  <si>
    <t xml:space="preserve"> Regulatory Asset - Cedar Springs II - OR </t>
  </si>
  <si>
    <t xml:space="preserve"> Regulatory Asset - Cholla U4 Closure </t>
  </si>
  <si>
    <t xml:space="preserve"> Regulatory Asset - Covid-19 Bill Assist Program - OR </t>
  </si>
  <si>
    <t xml:space="preserve"> Regulatory Asset - Independent Evaluator Costs - UT </t>
  </si>
  <si>
    <t xml:space="preserve"> Regulatory Asset - Deferred Intervenor Funding Grants - OR </t>
  </si>
  <si>
    <t xml:space="preserve"> Regulatory Asset - Deferred Overburden Costs - ID </t>
  </si>
  <si>
    <t xml:space="preserve"> Regulatory Asset - Deferred Overburden Costs - WY </t>
  </si>
  <si>
    <t xml:space="preserve"> Regulatory Asset - Depreciation Increase - ID </t>
  </si>
  <si>
    <t xml:space="preserve"> Regulatory Asset - Depreciation Increase - UT </t>
  </si>
  <si>
    <t xml:space="preserve"> Regulatory Asset - Depreciation Increase - WY </t>
  </si>
  <si>
    <t xml:space="preserve"> Regulatory Asset - Environmental Costs - WA </t>
  </si>
  <si>
    <t xml:space="preserve"> Regulatory Asset - FAS 158 Pension Liability </t>
  </si>
  <si>
    <t xml:space="preserve"> Regulatory Asset - Generating Plant Liquidated Damages - UT </t>
  </si>
  <si>
    <t xml:space="preserve"> Regulatory Asset - Generating Plant Liquidation Damages - WY </t>
  </si>
  <si>
    <t xml:space="preserve"> Regulatory Asset - Goodnoe Hills Settlement - WY </t>
  </si>
  <si>
    <t xml:space="preserve"> Regulatory Asset - Klamath Unrecovered Plant </t>
  </si>
  <si>
    <t xml:space="preserve"> Regulatory Asset - Lake Side Settlement - WY </t>
  </si>
  <si>
    <t xml:space="preserve"> Regulatory Asset - Low-Carbon Energy Standards - WY </t>
  </si>
  <si>
    <t xml:space="preserve"> Regulatory Asset - Meters Replaced by AMI - OR </t>
  </si>
  <si>
    <t xml:space="preserve"> Regulatory Asset - Mobile Home Park Conversion - CA </t>
  </si>
  <si>
    <t xml:space="preserve"> Regulatory Asset - Pension Settlement - CA </t>
  </si>
  <si>
    <t xml:space="preserve"> Regulatory Asset - Pension Settlement - OR </t>
  </si>
  <si>
    <t xml:space="preserve"> Regulatory Asset - Pension Settlement - UT </t>
  </si>
  <si>
    <t xml:space="preserve"> Regulatory Asset - Pension Settlement - WA </t>
  </si>
  <si>
    <t xml:space="preserve"> Regulatory Asset - Pension Settlement - WY </t>
  </si>
  <si>
    <t xml:space="preserve"> Regulatory Asset - Post Merger Loss - Reacquired Debt </t>
  </si>
  <si>
    <t xml:space="preserve"> Regulatory Asset - Post-Retirement Settlement Loss </t>
  </si>
  <si>
    <t xml:space="preserve"> Regulatory Asset - Preferred Stock Redemption Loss - UT </t>
  </si>
  <si>
    <t xml:space="preserve"> Regulatory Asset - Preferred Stock Redemption Loss - WA </t>
  </si>
  <si>
    <t xml:space="preserve"> Regulatory Asset - Preferred Stock Redemption Loss - WY </t>
  </si>
  <si>
    <t xml:space="preserve"> Regulatory Asset - Property Sales Balancing Account - OR </t>
  </si>
  <si>
    <t xml:space="preserve"> Regulatory Asset - Renewable Portfolio Standards Compliance - WA </t>
  </si>
  <si>
    <t xml:space="preserve"> Regulatory Asset - Solar Feed-In Tariff Deferral - OR </t>
  </si>
  <si>
    <t xml:space="preserve"> Regulatory Asset - Solar Incentive Program - UT </t>
  </si>
  <si>
    <t xml:space="preserve"> Regulatory Asset - Subscriber Solar Program - Utah </t>
  </si>
  <si>
    <t xml:space="preserve"> Regulatory Asset - TB Flats - OR </t>
  </si>
  <si>
    <t xml:space="preserve"> Regulatory Asset - Transportation Electrification Pilot - CA </t>
  </si>
  <si>
    <t xml:space="preserve"> Regulatory Asset - Transportation Electrification Pilot - OR </t>
  </si>
  <si>
    <t xml:space="preserve"> Regulatory Asset - Utah Mine Disposition </t>
  </si>
  <si>
    <t xml:space="preserve"> Regulatory Asset - Utility Community Advisory Group - OR </t>
  </si>
  <si>
    <t xml:space="preserve"> Regulatory Asset - Wildfire Damaged Asset - OR </t>
  </si>
  <si>
    <t xml:space="preserve"> Regulatory Asset - Wildfire Mitigation - OR </t>
  </si>
  <si>
    <t xml:space="preserve"> Regulatory Asset - Wildland Fire Protection - UT </t>
  </si>
  <si>
    <t xml:space="preserve"> Regulatory Asset - Wind Test Energy Deferral - WY </t>
  </si>
  <si>
    <t xml:space="preserve"> Regulatory Liability - ARO/Reg Diff - Trojan - WA Portion </t>
  </si>
  <si>
    <t xml:space="preserve"> Regulatory Liability - Blue Sky - CA </t>
  </si>
  <si>
    <t xml:space="preserve"> Regulatory Liability - Blue Sky - ID </t>
  </si>
  <si>
    <t xml:space="preserve"> Regulatory Liability - Blue Sky - OR </t>
  </si>
  <si>
    <t xml:space="preserve"> Regulatory Liability - Blue Sky - UT </t>
  </si>
  <si>
    <t xml:space="preserve"> Regulatory Liability - California Energy Savings Assistance </t>
  </si>
  <si>
    <t xml:space="preserve"> Regulatory Liability - Cholla Decommissioning - CA </t>
  </si>
  <si>
    <t xml:space="preserve"> Regulatory Liability - Deferred Gains - TerraPower </t>
  </si>
  <si>
    <t xml:space="preserve"> Regulatory Liability - FAS 158 Post Retirement </t>
  </si>
  <si>
    <t xml:space="preserve"> Regulatory Liability - Fly Ash - WA </t>
  </si>
  <si>
    <t xml:space="preserve"> Regulatory Liability - Klamath River Dams Removal </t>
  </si>
  <si>
    <t xml:space="preserve"> Regulatory Liability - Plant Closure Cost - WA </t>
  </si>
  <si>
    <t xml:space="preserve"> Regulatory Liability - Property Insurance Reserve - WA </t>
  </si>
  <si>
    <t xml:space="preserve"> Regulatory Liability - Steam Decommissioning - CA </t>
  </si>
  <si>
    <t xml:space="preserve"> Regulatory Liability - Steam Decommissioning - WA </t>
  </si>
  <si>
    <t xml:space="preserve"> Regulatory Liability - Steam Decommmissioning - ID </t>
  </si>
  <si>
    <t xml:space="preserve"> Regulatory Liability - Steam Decommmissioning - UT </t>
  </si>
  <si>
    <t xml:space="preserve"> Regulatory Liability - Steam Decommmissioning - WY </t>
  </si>
  <si>
    <t xml:space="preserve"> Reimbursements </t>
  </si>
  <si>
    <t xml:space="preserve"> Reserve for Bad Debts </t>
  </si>
  <si>
    <t xml:space="preserve"> Utah Klamath Relicensing Costs </t>
  </si>
  <si>
    <t>Income Recorded on Books Not Included in Return</t>
  </si>
  <si>
    <t xml:space="preserve"> Book Fixed Asset Gain/Loss </t>
  </si>
  <si>
    <t xml:space="preserve"> Dividend Received Deduction - Deferred Compensation </t>
  </si>
  <si>
    <t>Equity AFUDC</t>
  </si>
  <si>
    <t>MCI F.O.G. Wire Lease</t>
  </si>
  <si>
    <t>Officer's Life Insurance</t>
  </si>
  <si>
    <t>Regulatory Asset - Alt Rate for Energy Program (CARE) - CA</t>
  </si>
  <si>
    <t>Regulatory Asset - BPA Balancing Account - ID</t>
  </si>
  <si>
    <t>Regulatory Asset - BPA Balancing Account - WA</t>
  </si>
  <si>
    <t>Regulatory Asset - Deferred Excess RECs in Rates - WY</t>
  </si>
  <si>
    <t>Regulatory Asset - REC Sales Deferral - OR - Noncurrent</t>
  </si>
  <si>
    <t>Regulatory Asset - REC Sales Deferral - UT - Noncurrent</t>
  </si>
  <si>
    <t>Regulatory Liability - Alt Rate for Energy Program (CARE) - CA</t>
  </si>
  <si>
    <t>Regulatory Liability - Deferred Excess NPC - OR</t>
  </si>
  <si>
    <t>Regulatory Liability - Deferred Excess RECs in Rates - WY</t>
  </si>
  <si>
    <t>Regulatory Liability - Depreciation Deferral - OR</t>
  </si>
  <si>
    <t>Regulatory Liability - Excess Income Tax Deferral-CA</t>
  </si>
  <si>
    <t>Regulatory Liability - Excess Income Tax Deferral-WA</t>
  </si>
  <si>
    <t>Regulatory Liability - Excess Income Tax Deferral-WY</t>
  </si>
  <si>
    <t>Regulatory Liability - Fly Ash - OR</t>
  </si>
  <si>
    <t>Regulatory Liability - OR Direct Access 5 Year Opt Out</t>
  </si>
  <si>
    <t>Regulatory Liability - Renewable Portfolio Standards Compliance - OR</t>
  </si>
  <si>
    <t>Regulatory Liability - WA Deferred Steam Depreciation</t>
  </si>
  <si>
    <t>Regulatory Liability - WA Low Energy Program</t>
  </si>
  <si>
    <t>Regulatory Liability - WA Rate Refunds</t>
  </si>
  <si>
    <t>Equity Earnings in Subsidiaries</t>
  </si>
  <si>
    <t>Deductions on Return Not Recorded on Books:</t>
  </si>
  <si>
    <t xml:space="preserve"> Accrued Bonus </t>
  </si>
  <si>
    <t xml:space="preserve"> Accrued Final Reclamation </t>
  </si>
  <si>
    <t xml:space="preserve"> Accrued Retention </t>
  </si>
  <si>
    <t xml:space="preserve"> Accrued Severance </t>
  </si>
  <si>
    <t xml:space="preserve"> Amortization NOPAs 99-00 RAR </t>
  </si>
  <si>
    <t xml:space="preserve"> Basis Intangible Difference </t>
  </si>
  <si>
    <t xml:space="preserve"> Bear River Settlement Agreement </t>
  </si>
  <si>
    <t xml:space="preserve"> Capitalized Depreciation </t>
  </si>
  <si>
    <t xml:space="preserve"> Cost of Removal </t>
  </si>
  <si>
    <t xml:space="preserve"> CWIP Reserve </t>
  </si>
  <si>
    <t xml:space="preserve"> Debt AFUDC </t>
  </si>
  <si>
    <t xml:space="preserve"> Deferred Compensation Mark to Market Gain / Loss </t>
  </si>
  <si>
    <t xml:space="preserve"> Deferred Revenue - Lease Incentives </t>
  </si>
  <si>
    <t xml:space="preserve"> Dividend Deduction at 50% </t>
  </si>
  <si>
    <t xml:space="preserve"> Environmental Liability - Non-regulated </t>
  </si>
  <si>
    <t xml:space="preserve"> FAS 158 Pension Asset </t>
  </si>
  <si>
    <t xml:space="preserve"> FAS 158 Post-retirement Asset </t>
  </si>
  <si>
    <t xml:space="preserve"> FAS 158 SERP Liability </t>
  </si>
  <si>
    <t xml:space="preserve"> Federal Tax Depreciation </t>
  </si>
  <si>
    <t xml:space="preserve"> Federal Tax Fixed Asset Gain/Loss </t>
  </si>
  <si>
    <t xml:space="preserve"> Lease Depreciation - Timing Difference </t>
  </si>
  <si>
    <t xml:space="preserve"> Lewis River Settlement Agreement </t>
  </si>
  <si>
    <t xml:space="preserve"> Long Term Incentive Plan </t>
  </si>
  <si>
    <t xml:space="preserve"> Long Term Incentive Plan Mark to Market Gain/Loss </t>
  </si>
  <si>
    <t xml:space="preserve"> Miscellaneous Current and Accrued Liability </t>
  </si>
  <si>
    <t xml:space="preserve"> N Umpqua Settlement Agreement </t>
  </si>
  <si>
    <t xml:space="preserve"> Oregon Regulatory Asset/Regulatory Liability Consolidation </t>
  </si>
  <si>
    <t xml:space="preserve"> Pension/Retirement Accrual </t>
  </si>
  <si>
    <t xml:space="preserve"> Pre-1943 Preferred Stock Dividend - Deduction </t>
  </si>
  <si>
    <t xml:space="preserve"> Prepaid Aircraft Maintenance </t>
  </si>
  <si>
    <t xml:space="preserve"> Prepaid Membership Fees </t>
  </si>
  <si>
    <t xml:space="preserve"> Prepaid Taxes - ID PUC </t>
  </si>
  <si>
    <t xml:space="preserve"> Prepaid Taxes - OR PUC </t>
  </si>
  <si>
    <t xml:space="preserve"> Prepaid Taxes - Property Taxes  </t>
  </si>
  <si>
    <t xml:space="preserve"> Prepaid Taxes - UT PUC </t>
  </si>
  <si>
    <t xml:space="preserve"> Property Insurance Reserve - CA </t>
  </si>
  <si>
    <t xml:space="preserve"> Property Insurance Reserve - ID </t>
  </si>
  <si>
    <t xml:space="preserve"> Property Insurance Reserve - UT </t>
  </si>
  <si>
    <t xml:space="preserve"> Property Insurance Reserve - WY </t>
  </si>
  <si>
    <t xml:space="preserve"> Regulatory Asset - Arrearage Payment Program - WA </t>
  </si>
  <si>
    <t xml:space="preserve"> Regulatory Asset - CA Greenhouse Gas Allowance Compliance </t>
  </si>
  <si>
    <t xml:space="preserve"> Regulatory Asset - Carbon Plant Decomm/Inventory-CA RA </t>
  </si>
  <si>
    <t xml:space="preserve"> Regulatory Asset - Carbon Plant Decomm/Inventory-WA RA </t>
  </si>
  <si>
    <t xml:space="preserve"> Regulatory Asset - Carbon Plant Deferred Depreciation - UT </t>
  </si>
  <si>
    <t xml:space="preserve"> Regulatory Asset - Catastrophic Event Deferral - CA </t>
  </si>
  <si>
    <t xml:space="preserve"> Regulatory Asset - Community Solar - OR </t>
  </si>
  <si>
    <t xml:space="preserve"> Regulatory Asset - Deferred Excess NPC - CA </t>
  </si>
  <si>
    <t xml:space="preserve"> Regulatory Asset - Deferred Excess NPC - ID </t>
  </si>
  <si>
    <t xml:space="preserve"> Regulatory Asset - Deferred Excess NPC - OR </t>
  </si>
  <si>
    <t xml:space="preserve"> Regulatory Asset - Deferred Excess NPC - UT </t>
  </si>
  <si>
    <t xml:space="preserve"> Regulatory Asset - Deferred Excess NPC - WA </t>
  </si>
  <si>
    <t xml:space="preserve"> Regulatory Asset - Deferred Excess NPC - WY </t>
  </si>
  <si>
    <t xml:space="preserve"> Regulatory Asset - Deferred Independent Evaluator Fees - OR </t>
  </si>
  <si>
    <t xml:space="preserve"> Regulatory Asset - Deferred Intervenor Funding - WA </t>
  </si>
  <si>
    <t xml:space="preserve"> Regulatory Asset - Deferred Intervenor Funding Grants - CA </t>
  </si>
  <si>
    <t xml:space="preserve"> Regulatory Asset - Distribution System Plan - OR </t>
  </si>
  <si>
    <t xml:space="preserve"> Regulatory Asset - Electric Vehicle Charging Infrastructure - UT </t>
  </si>
  <si>
    <t xml:space="preserve"> Regulatory Asset - Emergency Service Program-Battery Storage-CA </t>
  </si>
  <si>
    <t xml:space="preserve"> Regulatory Asset - Environmental Costs </t>
  </si>
  <si>
    <t xml:space="preserve"> Regulatory Asset - Equity Advisory Group - WA </t>
  </si>
  <si>
    <t xml:space="preserve"> Regulatory Asset - FAS 158 Post Retirement Liability </t>
  </si>
  <si>
    <t xml:space="preserve"> Regulatory Asset - Fire Risk Mitigation - CA </t>
  </si>
  <si>
    <t xml:space="preserve"> Regulatory Asset - GRC Memo Account - CA </t>
  </si>
  <si>
    <t xml:space="preserve"> Regulatory Asset - Low Income Bill Discount - OR </t>
  </si>
  <si>
    <t xml:space="preserve"> Regulatory Asset - Post Employment Costs </t>
  </si>
  <si>
    <t xml:space="preserve"> Regulatory Asset - STEP Pilot Program Balance Account - Utah </t>
  </si>
  <si>
    <t xml:space="preserve"> Regulatory Asset - Transportation Electrification Pilot - WA </t>
  </si>
  <si>
    <t xml:space="preserve"> Regulatory Asset/Liability - Demand Side Management </t>
  </si>
  <si>
    <t xml:space="preserve"> Regulatory Liability - 50% Bonus Tax Depr - WY </t>
  </si>
  <si>
    <t xml:space="preserve"> Regulatory Liability - Blue Sky - WA </t>
  </si>
  <si>
    <t xml:space="preserve"> Regulatory Liability - Blue Sky - WY </t>
  </si>
  <si>
    <t xml:space="preserve"> Regulatory Liability - Cholla Decommissioning - ID </t>
  </si>
  <si>
    <t xml:space="preserve"> Regulatory Liability - Cholla Decommissioning - WY </t>
  </si>
  <si>
    <t xml:space="preserve"> Regulatory Liability - Cholla Plant Unit No. 4 Decommissioning - OR </t>
  </si>
  <si>
    <t xml:space="preserve"> Regulatory Liability - Cholla Plant Unit No. 4 Decommissioning - UT </t>
  </si>
  <si>
    <t xml:space="preserve"> Regulatory Liability - Clean Fuels Program - OR </t>
  </si>
  <si>
    <t xml:space="preserve"> Regulatory Liability - Deferred Excess NPC - CA </t>
  </si>
  <si>
    <t xml:space="preserve"> Regulatory Liability - Injuries &amp; Damages Reserve - OR </t>
  </si>
  <si>
    <t xml:space="preserve"> Regulatory Liability - OR Energy Conservation Charge </t>
  </si>
  <si>
    <t xml:space="preserve"> Regulatory Liability - UT Solar Incentive Subscriber Program </t>
  </si>
  <si>
    <t xml:space="preserve"> Regulatory Liability - Utility Bill Assistance - UT </t>
  </si>
  <si>
    <t xml:space="preserve"> Repairs Deduction </t>
  </si>
  <si>
    <t xml:space="preserve"> Rogue River - Habitat Enhancement Liability </t>
  </si>
  <si>
    <t xml:space="preserve"> ROU Asset (Operating Leases) </t>
  </si>
  <si>
    <t xml:space="preserve"> Sales &amp; Use Tax Audit Exposure </t>
  </si>
  <si>
    <t xml:space="preserve"> Tax Depletion-SRC </t>
  </si>
  <si>
    <t xml:space="preserve"> Tax Percentage Depletion - Blundell Steam Field  </t>
  </si>
  <si>
    <t xml:space="preserve"> Trapper Mine Contract Obligation </t>
  </si>
  <si>
    <t xml:space="preserve"> Trojan Decommissioning </t>
  </si>
  <si>
    <t xml:space="preserve"> Wasatch Workers Comp Reserve </t>
  </si>
  <si>
    <t xml:space="preserve"> Western Coal Carrier Retiree Medical Accrual </t>
  </si>
  <si>
    <t>State Tax Deductions</t>
  </si>
  <si>
    <t>Federal Tax Net Income</t>
  </si>
  <si>
    <t>Show Computation of Tax:</t>
  </si>
  <si>
    <t xml:space="preserve">Federal Income Tax at 21.00%   </t>
  </si>
  <si>
    <t>Provision to Return Adjustment</t>
  </si>
  <si>
    <t>Tax Reserve Changes</t>
  </si>
  <si>
    <t>Renewable Energy Production Tax Credits</t>
  </si>
  <si>
    <t xml:space="preserve"> Other Federal Tax Credits </t>
  </si>
  <si>
    <t>Federal Income Tax Accrual</t>
  </si>
  <si>
    <t>PAGE 262</t>
  </si>
  <si>
    <t>PAGE 263</t>
  </si>
  <si>
    <t>TAXES ACCRUED, PREPAID AND CHARGED DURING YEAR</t>
  </si>
  <si>
    <t>TAXES ACCRUED, PREPAID AND CHARGED DURING YEAR (Continued)</t>
  </si>
  <si>
    <t>Give particulars (details) of the combined prepaid and accrued tax accounts and show the total taxes charged to operations and other accounts during the year. Do not include gasoline and other sales taxes which have been charged to the accounts to which the taxed material was charged. If the actual, or estimated amounts of such taxes are know, show the amounts in a footnote and designate whether estimated or actual amounts.
Include on this page, taxes paid during the year and charged direct to final accounts, (not charged to prepaid or accrued taxes.) Enter the amounts in both columns (g) and (h). The balancing of this page is not affected by the inclusion of these taxes.
Include in column (g) taxes charged during the year, taxes charged to operations and other accounts through (a) accruals credited to taxes accrued, (b)amounts credited to proportions of prepaid taxes chargeable to current year, and (c) taxes paid and charged direct to operations or accounts other than accrued and prepaid tax accounts.
List the aggregate of each kind of tax in such manner that the total tax for each State and subdivision can readily be ascertained.</t>
  </si>
  <si>
    <t>If any tax (exclude Federal and State income taxes)- covers more then one year, show the required information separately for each tax year, identifying the year in column (d).
Enter all adjustments of the accrued and prepaid tax accounts in column (i) and explain each adjustment in a foot- note. Designate debit adjustments by parentheses.
Do not include on this page entries with respect to deferred income taxes or taxes collected through payroll deductions or otherwise pending transmittal of such taxes to the taxing authority.
Report in columns (l) through (o) how the taxes were distributed. Report in column (o) only the amounts charged to Accounts 408.1 and 409.1 pertaining to electric operations. Report in column (o) the amounts charged to Accounts 408.1 and 409.1 pertaining to other utility departments and amounts charged to Accounts 408.2 and 409.2. Also shown in column (o) the taxes charged to utility plant or other balance sheet accounts.
For any tax apportioned to more than one utility department or account, state in a footnote the basis (necessity) of apportioning such tax.</t>
  </si>
  <si>
    <t>Kind of Tax
(See instruction 5)</t>
  </si>
  <si>
    <t>Type of Tax</t>
  </si>
  <si>
    <t>State</t>
  </si>
  <si>
    <t>Tax Year</t>
  </si>
  <si>
    <t>BALANCE AT BEGINNING OF YEAR</t>
  </si>
  <si>
    <t>Taxes
Charged
During
Year</t>
  </si>
  <si>
    <t>Taxes
Paid
During
Year</t>
  </si>
  <si>
    <t>BALANCE AT END OF YEAR</t>
  </si>
  <si>
    <t>DISTRIBUTION OF TAXES CHARGED</t>
  </si>
  <si>
    <t>Taxes Accrued
(Account 236)</t>
  </si>
  <si>
    <t>Prepaid Taxes
(Include in Account 165)</t>
  </si>
  <si>
    <t>Prepaid Taxes (Include in Account 165)</t>
  </si>
  <si>
    <t>Electric (Account 408.1, 409.1)</t>
  </si>
  <si>
    <t>Extraordinary Items
(Account 409.3)</t>
  </si>
  <si>
    <t>Adjustments to Ret. Earnings (Account 439)</t>
  </si>
  <si>
    <t>Taxes Accured
(Account 236)</t>
  </si>
  <si>
    <t>(n)</t>
  </si>
  <si>
    <t>(o)</t>
  </si>
  <si>
    <t>KindOfTaxAxis</t>
  </si>
  <si>
    <t>1.1</t>
  </si>
  <si>
    <t>1.2</t>
  </si>
  <si>
    <t>Total Federal Tax</t>
  </si>
  <si>
    <t>FederalTaxMember</t>
  </si>
  <si>
    <t>3.2</t>
  </si>
  <si>
    <t>Total State Tax</t>
  </si>
  <si>
    <t>StateTaxMember</t>
  </si>
  <si>
    <t>Total Local Tax</t>
  </si>
  <si>
    <t>LocalTaxMember</t>
  </si>
  <si>
    <t>7.2</t>
  </si>
  <si>
    <t>Total Other Tax</t>
  </si>
  <si>
    <t>OtherTaxMember</t>
  </si>
  <si>
    <t>9.1</t>
  </si>
  <si>
    <t>Property Tax</t>
  </si>
  <si>
    <t>Arizona</t>
  </si>
  <si>
    <t>California</t>
  </si>
  <si>
    <t>Colorado</t>
  </si>
  <si>
    <t>Montana</t>
  </si>
  <si>
    <t>New Mexico</t>
  </si>
  <si>
    <t>Utah</t>
  </si>
  <si>
    <t>Washington</t>
  </si>
  <si>
    <t>Wyoming</t>
  </si>
  <si>
    <t>Goshute Possessory Interest</t>
  </si>
  <si>
    <t>Sho-Ban Possessory Interest</t>
  </si>
  <si>
    <t>Navajo Possessory Interest</t>
  </si>
  <si>
    <t>Ute Possessory Interest</t>
  </si>
  <si>
    <t>Crow Possessory Tax</t>
  </si>
  <si>
    <t>Umatilla Possessory Interest</t>
  </si>
  <si>
    <t>Total Property Tax</t>
  </si>
  <si>
    <t>PropertyTaxMember</t>
  </si>
  <si>
    <t>11.2</t>
  </si>
  <si>
    <t>Total Real Estate Tax</t>
  </si>
  <si>
    <t>RealEstateTaxMember</t>
  </si>
  <si>
    <t>13.1</t>
  </si>
  <si>
    <t>Federal Unemployment Tax</t>
  </si>
  <si>
    <t>Unemployment Tax</t>
  </si>
  <si>
    <t>Florida</t>
  </si>
  <si>
    <t>Nevada</t>
  </si>
  <si>
    <t>Texas</t>
  </si>
  <si>
    <t>Minnesota</t>
  </si>
  <si>
    <t>Missouri</t>
  </si>
  <si>
    <t>South Carolina</t>
  </si>
  <si>
    <t>Illinois</t>
  </si>
  <si>
    <t>Indiana</t>
  </si>
  <si>
    <t>Maryland</t>
  </si>
  <si>
    <t>North Carolina</t>
  </si>
  <si>
    <t>New Hampshire</t>
  </si>
  <si>
    <t>New York</t>
  </si>
  <si>
    <t>Pennsylvania</t>
  </si>
  <si>
    <t>Wisconsin</t>
  </si>
  <si>
    <t>Total Unemployment Tax</t>
  </si>
  <si>
    <t>UnemploymentTaxMember</t>
  </si>
  <si>
    <t>15.10</t>
  </si>
  <si>
    <t>Use Tax</t>
  </si>
  <si>
    <t>Sales And Use Tax</t>
  </si>
  <si>
    <t>15.20</t>
  </si>
  <si>
    <t>15.30</t>
  </si>
  <si>
    <t>Use Tax A</t>
  </si>
  <si>
    <t>15.40</t>
  </si>
  <si>
    <t>Use Tax B</t>
  </si>
  <si>
    <t>15.50</t>
  </si>
  <si>
    <t>15.60</t>
  </si>
  <si>
    <t>Total Sales and Use Tax</t>
  </si>
  <si>
    <t>SalesAndUseTaxMember</t>
  </si>
  <si>
    <t>17.01</t>
  </si>
  <si>
    <t>Federal Income Tax</t>
  </si>
  <si>
    <t>Income Tax</t>
  </si>
  <si>
    <t>Franchise - Income Tax</t>
  </si>
  <si>
    <t>Corporate License - Income Tax</t>
  </si>
  <si>
    <t>Excise - Income Tax</t>
  </si>
  <si>
    <t>City of Portland - Income Tax</t>
  </si>
  <si>
    <t xml:space="preserve">Corporate Activity Tax </t>
  </si>
  <si>
    <t xml:space="preserve">Metro Business Income Tax </t>
  </si>
  <si>
    <t>Public Utility Tax</t>
  </si>
  <si>
    <t>Total Income Tax</t>
  </si>
  <si>
    <t>IncomeTaxMember</t>
  </si>
  <si>
    <t>Natural Gas Use Tax</t>
  </si>
  <si>
    <t>Excise Tax</t>
  </si>
  <si>
    <t>19.2</t>
  </si>
  <si>
    <t>Forest Excise Tax</t>
  </si>
  <si>
    <t>Total Excise Tax</t>
  </si>
  <si>
    <t>ExciseTaxMember</t>
  </si>
  <si>
    <t>21.1</t>
  </si>
  <si>
    <t>21.2</t>
  </si>
  <si>
    <t>Total Fuel Tax</t>
  </si>
  <si>
    <t>FuelTaxMember</t>
  </si>
  <si>
    <t>23.1</t>
  </si>
  <si>
    <t>Foreign Insurance Premiums</t>
  </si>
  <si>
    <t>Federal Insurance Tax</t>
  </si>
  <si>
    <t>23.2</t>
  </si>
  <si>
    <t>Total Federal Insurance Tax</t>
  </si>
  <si>
    <t>FederalInsuranceTaxMember</t>
  </si>
  <si>
    <t>25.1</t>
  </si>
  <si>
    <t>Local Franchise Tax</t>
  </si>
  <si>
    <t>Franchise Tax</t>
  </si>
  <si>
    <t>25.2</t>
  </si>
  <si>
    <t>25.3</t>
  </si>
  <si>
    <t>25.4</t>
  </si>
  <si>
    <t>25.5</t>
  </si>
  <si>
    <t>Total Franchise Tax</t>
  </si>
  <si>
    <t>FranchiseTaxMember</t>
  </si>
  <si>
    <t>27.1</t>
  </si>
  <si>
    <t>27.2</t>
  </si>
  <si>
    <t>Total Miscellaneous Other Tax</t>
  </si>
  <si>
    <t>MiscellaneousOtherTaxMember</t>
  </si>
  <si>
    <t>29.1</t>
  </si>
  <si>
    <t>29.2</t>
  </si>
  <si>
    <t>Total Other Federal Tax</t>
  </si>
  <si>
    <t>OtherFederalTaxMember</t>
  </si>
  <si>
    <t>31.1</t>
  </si>
  <si>
    <t>KWh</t>
  </si>
  <si>
    <t>Other State Tax</t>
  </si>
  <si>
    <t>Wholesale Energy</t>
  </si>
  <si>
    <t>Energy License</t>
  </si>
  <si>
    <t>Commerce Tax</t>
  </si>
  <si>
    <t>Department of Energy</t>
  </si>
  <si>
    <t>Business and Occupation Tax</t>
  </si>
  <si>
    <t>Wind Generation Tax</t>
  </si>
  <si>
    <t>Annual Report</t>
  </si>
  <si>
    <t>Total Other State Tax</t>
  </si>
  <si>
    <t>OtherStateTaxMember</t>
  </si>
  <si>
    <t>33.1</t>
  </si>
  <si>
    <t>33.2</t>
  </si>
  <si>
    <t>Total Other Property Tax</t>
  </si>
  <si>
    <t>OtherPropertyTaxMember</t>
  </si>
  <si>
    <t>35.1</t>
  </si>
  <si>
    <t>35.2</t>
  </si>
  <si>
    <t>Total Other Use Tax</t>
  </si>
  <si>
    <t>OtherUseTaxMember</t>
  </si>
  <si>
    <t>37.1</t>
  </si>
  <si>
    <t>37.2</t>
  </si>
  <si>
    <t>Total Other Advalorem Tax</t>
  </si>
  <si>
    <t>OtherAdValoremTaxMember</t>
  </si>
  <si>
    <t>39.1</t>
  </si>
  <si>
    <t>39.2</t>
  </si>
  <si>
    <t>Total Other License and Fees Tax</t>
  </si>
  <si>
    <t>OtherLicenseAndFeesTaxMember</t>
  </si>
  <si>
    <t>41.1</t>
  </si>
  <si>
    <t>Federal FICA Tax</t>
  </si>
  <si>
    <t>Payroll Tax</t>
  </si>
  <si>
    <t>41.2</t>
  </si>
  <si>
    <t>Tri-Met Transit Tax</t>
  </si>
  <si>
    <t>41.3</t>
  </si>
  <si>
    <t>Lane Transit Tax</t>
  </si>
  <si>
    <r>
      <rPr>
        <sz val="8"/>
        <color rgb="FF000000"/>
        <rFont val="Arial"/>
        <family val="2"/>
      </rPr>
      <t>41.</t>
    </r>
    <r>
      <rPr>
        <sz val="8"/>
        <color rgb="FF000000"/>
        <rFont val="Arial"/>
        <family val="2"/>
      </rPr>
      <t>4</t>
    </r>
  </si>
  <si>
    <t>Family and Medical Leave</t>
  </si>
  <si>
    <r>
      <rPr>
        <sz val="8"/>
        <color rgb="FF000000"/>
        <rFont val="Arial"/>
        <family val="2"/>
      </rPr>
      <t>41.</t>
    </r>
    <r>
      <rPr>
        <sz val="8"/>
        <color rgb="FF000000"/>
        <rFont val="Arial"/>
        <family val="2"/>
      </rPr>
      <t>5</t>
    </r>
  </si>
  <si>
    <r>
      <rPr>
        <sz val="8"/>
        <color rgb="FF000000"/>
        <rFont val="Arial"/>
        <family val="2"/>
      </rPr>
      <t>41.</t>
    </r>
    <r>
      <rPr>
        <sz val="8"/>
        <color rgb="FF000000"/>
        <rFont val="Arial"/>
        <family val="2"/>
      </rPr>
      <t>6</t>
    </r>
  </si>
  <si>
    <r>
      <rPr>
        <sz val="8"/>
        <color rgb="FF000000"/>
        <rFont val="Arial"/>
        <family val="2"/>
      </rPr>
      <t>4</t>
    </r>
    <r>
      <rPr>
        <sz val="8"/>
        <color rgb="FF000000"/>
        <rFont val="Arial"/>
        <family val="2"/>
      </rPr>
      <t>1.7</t>
    </r>
  </si>
  <si>
    <t>Workers Benefit Fund EE</t>
  </si>
  <si>
    <r>
      <rPr>
        <sz val="8"/>
        <color rgb="FF000000"/>
        <rFont val="Arial"/>
        <family val="2"/>
      </rPr>
      <t>4</t>
    </r>
    <r>
      <rPr>
        <sz val="8"/>
        <color rgb="FF000000"/>
        <rFont val="Arial"/>
        <family val="2"/>
      </rPr>
      <t>1.8</t>
    </r>
  </si>
  <si>
    <t>Workers Benefit Fund ER</t>
  </si>
  <si>
    <r>
      <rPr>
        <sz val="8"/>
        <color rgb="FF000000"/>
        <rFont val="Arial"/>
        <family val="2"/>
      </rPr>
      <t>4</t>
    </r>
    <r>
      <rPr>
        <sz val="8"/>
        <color rgb="FF000000"/>
        <rFont val="Arial"/>
        <family val="2"/>
      </rPr>
      <t>1.9</t>
    </r>
  </si>
  <si>
    <t>Long Term Care EE</t>
  </si>
  <si>
    <t>Total Payroll Tax</t>
  </si>
  <si>
    <t>PayrollTaxMember</t>
  </si>
  <si>
    <t>43.2</t>
  </si>
  <si>
    <t>Total Advalorem Tax</t>
  </si>
  <si>
    <t>AdValoremTaxMember</t>
  </si>
  <si>
    <t>45.1</t>
  </si>
  <si>
    <t>45.2</t>
  </si>
  <si>
    <t>Total Other Allocated Tax</t>
  </si>
  <si>
    <t>OtherAllocatedTaxMember</t>
  </si>
  <si>
    <t>47.1</t>
  </si>
  <si>
    <t>47.2</t>
  </si>
  <si>
    <t>Total Severance Tax</t>
  </si>
  <si>
    <t>SeveranceTaxMember</t>
  </si>
  <si>
    <t>49.1</t>
  </si>
  <si>
    <t>49.2</t>
  </si>
  <si>
    <t>Total Penalty Tax</t>
  </si>
  <si>
    <t>PenaltyTaxMember</t>
  </si>
  <si>
    <t>51.1</t>
  </si>
  <si>
    <t>51.2</t>
  </si>
  <si>
    <t>Total Other Taxes and Fees</t>
  </si>
  <si>
    <t>OtherTaxesAndFeesMember</t>
  </si>
  <si>
    <t>PAGE 266</t>
  </si>
  <si>
    <t>ACCUMULATED DEFERRED INVESTMENT TAX CREDITS (Account 255)</t>
  </si>
  <si>
    <t>Report below information applicable to Account 255. Where appropriate, segregate the balances and transactions by utility andnonutility operations. Explain by footnote any correction adjustments to the account balance shown in column (g).Include in column (i)the average period over which the tax credits are amortized.</t>
  </si>
  <si>
    <t>Account Subdivisions</t>
  </si>
  <si>
    <t>Balance to Beginning of Year</t>
  </si>
  <si>
    <t>Deferred for Year</t>
  </si>
  <si>
    <t>Allocations to Current Year's Income</t>
  </si>
  <si>
    <t>Average Period of Allocation to Income</t>
  </si>
  <si>
    <t>ADJUSTMENT EXPLANATION</t>
  </si>
  <si>
    <t>Account No.</t>
  </si>
  <si>
    <t>Electric Utility</t>
  </si>
  <si>
    <t>3%</t>
  </si>
  <si>
    <t>4%</t>
  </si>
  <si>
    <t>7%</t>
  </si>
  <si>
    <t>10%</t>
  </si>
  <si>
    <t>P39Y3M18D</t>
  </si>
  <si>
    <t>P24Y</t>
  </si>
  <si>
    <t>Idaho (Pre-2013)</t>
  </si>
  <si>
    <t>P30Y</t>
  </si>
  <si>
    <t>TOTAL Electric (Enter Total of Lines 2 thru 7)</t>
  </si>
  <si>
    <t>Other (List separately and show 3%, 4%, 7% 10% and TOTAL)</t>
  </si>
  <si>
    <t>Idaho (nonutility)</t>
  </si>
  <si>
    <t>`</t>
  </si>
  <si>
    <t>OTHER TOTAL</t>
  </si>
  <si>
    <t>PAGE 272</t>
  </si>
  <si>
    <t>ACCUMULATED DEFERRED INCOME TAXES-ACCELERATED AMORTIZATION PROPERTY (Account 281)</t>
  </si>
  <si>
    <t>1. Report the information called for below concerning the respondent's accounting for deferred income taxes rating to amortizable property.
2. For other (Specify), include deferrals relating to other income and deductions.</t>
  </si>
  <si>
    <t>3. Use footnotes as required</t>
  </si>
  <si>
    <t>Balance at
Beginning of Year</t>
  </si>
  <si>
    <t>CHANGES DURING YEAR</t>
  </si>
  <si>
    <t>ADJUSTMENTS</t>
  </si>
  <si>
    <t>Amounts Debited
to Account 410.1</t>
  </si>
  <si>
    <t>Amounts Credited
to Account 411.1</t>
  </si>
  <si>
    <t>Amounts Debited to Account 410.2</t>
  </si>
  <si>
    <t>Amounts Credited to Account 411.2</t>
  </si>
  <si>
    <t>Account
Credited</t>
  </si>
  <si>
    <t>Account Debited</t>
  </si>
  <si>
    <t>Accelerated Amortization (Account 281)</t>
  </si>
  <si>
    <t>Defense Facilities</t>
  </si>
  <si>
    <t>Pollution Control Facilities</t>
  </si>
  <si>
    <t>180,339,430</t>
  </si>
  <si>
    <t>TOTAL Electric (Enter Total of lines 3 thru 7)</t>
  </si>
  <si>
    <t>TOTAL Gas (Enter Total of lines 10 thru 14)</t>
  </si>
  <si>
    <t>TOTAL (Acct 281) (Total of 8, 15 and 16)</t>
  </si>
  <si>
    <t>Classification of TOTAL</t>
  </si>
  <si>
    <t>147,039,137</t>
  </si>
  <si>
    <t>State Income Tax</t>
  </si>
  <si>
    <t>33,300,293</t>
  </si>
  <si>
    <t>Local Income Tax</t>
  </si>
  <si>
    <t>PAGE 274</t>
  </si>
  <si>
    <t>ACCUMULATED DEFERRED INCOME TAXES-OTHER PROPERTY (Account 282)</t>
  </si>
  <si>
    <t>1. Report the information called for below concerning the respondent's accounting for deferred income taxes rating to property not subject to accelerated amortization
2. For other (Specify), include deferrals relating to other income and deductions</t>
  </si>
  <si>
    <t>3. Use footnotes as required.</t>
  </si>
  <si>
    <t>Debits
Account Credited</t>
  </si>
  <si>
    <t>Debits
Amount</t>
  </si>
  <si>
    <t>Credits
Account Debited</t>
  </si>
  <si>
    <t>Credits
Amount</t>
  </si>
  <si>
    <t>Account 282:</t>
  </si>
  <si>
    <t>182.3, 254</t>
  </si>
  <si>
    <t>TOTAL (Total of lines 2 thru 4)</t>
  </si>
  <si>
    <t>TOTAL Account 282 (Total of lines 5 thru 8)</t>
  </si>
  <si>
    <t>PAGE 276</t>
  </si>
  <si>
    <t>PAGE 277</t>
  </si>
  <si>
    <t>ACCUMULATED DEFERRED INCOME TAXES - OTHER (Account 283)</t>
  </si>
  <si>
    <t>ACCUMULATED DEFERRED INCOME TAXES - OTHER (Account 283) (Continued)</t>
  </si>
  <si>
    <t>1. Report the information called for below concerning the respondent\u2019s accounting for deferred income taxes relating to amounts recorded in Account 283.
2. For other (Specify), include deferrals relating to other income and deductions</t>
  </si>
  <si>
    <t>3. Provide in the space below explanations for Page 276 and 277. Include amounts relating to insignificant items listed under Other.
4. Use footnotes as required</t>
  </si>
  <si>
    <t>Account 
Credited</t>
  </si>
  <si>
    <t>Account
Debited</t>
  </si>
  <si>
    <t>Account 283:</t>
  </si>
  <si>
    <t>Electric:</t>
  </si>
  <si>
    <t xml:space="preserve">  Regulatory Assets</t>
  </si>
  <si>
    <t>182.3, 190, 283</t>
  </si>
  <si>
    <t>273,373,737</t>
  </si>
  <si>
    <t>190, 283</t>
  </si>
  <si>
    <t>12,415,773</t>
  </si>
  <si>
    <t>TOTAL Electric (Total of lines 3 thru 8)</t>
  </si>
  <si>
    <t>285,789,510</t>
  </si>
  <si>
    <t>Gas:</t>
  </si>
  <si>
    <t>TOTAL Gas (Total of lines 11 thru 16)</t>
  </si>
  <si>
    <t>TOTAL Other</t>
  </si>
  <si>
    <t>TOTAL (Acct 283) (Enter Total of lines 9, 17 and 18)</t>
  </si>
  <si>
    <t>233,251,811</t>
  </si>
  <si>
    <t>52,537,699</t>
  </si>
  <si>
    <t>Page 300</t>
  </si>
  <si>
    <t>Page 301</t>
  </si>
  <si>
    <t>ELECTRIC OPERATING REVENUES (Account 400)</t>
  </si>
  <si>
    <t>1. The following instructions generally apply to the annual version of these pages. Do not report quarterly data in columns (c), (e), (f), and (g). Unbilled revenues and MWH related to unbilled revenues need not be reported separately as required in the annual version of these pages. 
2. Report below operating revenues for each prescribed account, and manufactured gas revenues in total. 
3. Report number of customers, columns (f) and (g), on the basis of meters, in addition to the number of flat rate accounts; except that where separate meter readings are added for billing purposes, one customer should be counted for each group of meters added. The -average number of customers means the average of twelve figures at the close of each month. 
4. If increases or decreases from previous period (columns (c),(e), and (g)), are not derived from previously reported figures, explain any inconsistencies in a footnote. 
5. Disclose amounts of $250,000 or greater in a footnote for accounts 451, 456, and 457.2.</t>
  </si>
  <si>
    <t>6. Commercial and industrial Sales, Account 442, may be classified according to the basis of classification (Small or Commercial, and Large or Industrial) regularly used by the respondent if such basis of classification is not generally greater than 1000 Kw of demand. (See Account 442 of the Uniform System of Accounts. Explain basis of classification in a footnote.) 
7. See pages 108-109, Important Changes During Period, for important new territory added and important rate increase or decreases. 
8. For Lines 2,4,5,and 6, see Page 304 for amounts relating to unbilled revenue by accounts. 
9. Include unmetered sales. Provide details of such Sales in a footnote.</t>
  </si>
  <si>
    <t xml:space="preserve">
Line No.</t>
  </si>
  <si>
    <t>Operating Revenues Year
to Date Quarterly/Annual</t>
  </si>
  <si>
    <t>Operating Revenues Previous year (no Quarterly)</t>
  </si>
  <si>
    <t>MEGAWATT HOURS SOLD</t>
  </si>
  <si>
    <t>AVG.NO. CUSTOMERS PER MONTH</t>
  </si>
  <si>
    <t>Year to Date Quarterly/Annual</t>
  </si>
  <si>
    <t>Amount Previous year (no Quarterly)</t>
  </si>
  <si>
    <t>Current Year (no Quarterly)</t>
  </si>
  <si>
    <t>Previous Year (no Quarterly)</t>
  </si>
  <si>
    <t>Sales of Electricity</t>
  </si>
  <si>
    <t>(440) Residential Sales</t>
  </si>
  <si>
    <t>(442) Commercial and Industrial Sales</t>
  </si>
  <si>
    <t>Small (or Comm.) (See Instr. 4)</t>
  </si>
  <si>
    <t>Large (or Ind.) (See Instr. 4)</t>
  </si>
  <si>
    <t>(444) Public Street and Highway Lighting</t>
  </si>
  <si>
    <t>(445) Other Sales to Public Authorities</t>
  </si>
  <si>
    <t>(446) Sales to Railroads and Railways</t>
  </si>
  <si>
    <t>(448) Interdepartmental Sales</t>
  </si>
  <si>
    <t>TOTAL Sales to Ultimate Consumers</t>
  </si>
  <si>
    <t>(447) Sales for Resale</t>
  </si>
  <si>
    <t>TOTAL Sales of Electricity</t>
  </si>
  <si>
    <t>(Less) (449.1) Provision for Rate Refunds</t>
  </si>
  <si>
    <t>TOTAL Revenues Net of Prov. for Refunds</t>
  </si>
  <si>
    <t>Other Operating Revenues</t>
  </si>
  <si>
    <t>Line 12, column (b) includes</t>
  </si>
  <si>
    <t>of unbilled revenues.</t>
  </si>
  <si>
    <t>(450) Forfeited Discounts</t>
  </si>
  <si>
    <t>Line 12, column (d) includes</t>
  </si>
  <si>
    <t>MWH relating to unbilled revenues</t>
  </si>
  <si>
    <t>(451) Miscellaneous Service Revenues</t>
  </si>
  <si>
    <t>(453) Sales of Water and Water Power</t>
  </si>
  <si>
    <t>(454) Rent from Electric Property</t>
  </si>
  <si>
    <t>(455) Interdepartmental Rents</t>
  </si>
  <si>
    <t>(456) Other Electric Revenues</t>
  </si>
  <si>
    <t>(456.1) Revenues from Transmission of Electricity of Others</t>
  </si>
  <si>
    <t>(457.1) Regional Control Service Revenues</t>
  </si>
  <si>
    <t>(457.2) Miscellaneous Revenues</t>
  </si>
  <si>
    <t>TOTAL Other Operating Revenues</t>
  </si>
  <si>
    <t>TOTAL Electric Operating Revenues</t>
  </si>
  <si>
    <t>Green = Rounded</t>
  </si>
  <si>
    <t>SALES OF ELECTRICITY BY RATE SCHEDULES</t>
  </si>
  <si>
    <t>1.  Report below for each rates schedule in effect during the year the MWH of electricity sold, revenue, average number of customer, average Kwh per customer, and average revenue per Kwh, excluding date for Sales for Resale which is reported on Pages 310-311.
2.  Provide a subheading and total for each prescribed operating revenue account in the sequence followed in "Electric Operating Revenues," Page 300-301 If the sales under any rate schedule are classified in more than one revenue account, List the rate schedule and sales data under applicable revenue account subheading. 
3.  Where the same customers are served under more than one rate schedule in the same revenue account classification (such as a general residential schedule and an off peak water heating schedule), the entries in the column (d) for the special schedule should denote the duplication in number of reported customers.
4.  The average number of customers should be the number of bills rendered during the year divided by the number of billing periods during the year (12 if all billings are made monthly).
5.  For any rate schedule having a fuel adjustment clause state in a footnote the estimated additional revenue billed pursuant thereto.
6.  Report amount of unbilled revenue as of end of year for each applicable revenue account subheading.</t>
  </si>
  <si>
    <t>Number and Title of Rate Schedule</t>
  </si>
  <si>
    <t>MWh sold</t>
  </si>
  <si>
    <t>Revenue</t>
  </si>
  <si>
    <t>Average Number
 of Customers</t>
  </si>
  <si>
    <t>KWh of Sales 
Per Customer</t>
  </si>
  <si>
    <t>Revenue Per
KWh Sold</t>
  </si>
  <si>
    <t>"=SUM('304.1 - Sales of Electricity by Rate Schedules'!F10:F50)"</t>
  </si>
  <si>
    <t>Residential Sales</t>
  </si>
  <si>
    <t xml:space="preserve">CALIFORNIA </t>
  </si>
  <si>
    <t>f10</t>
  </si>
  <si>
    <t>304 - Sales of Electricity by Rate Schedules</t>
  </si>
  <si>
    <t>CALIFORNIA - 06BLSKY01R - BLUESKY ENERGY</t>
  </si>
  <si>
    <t>304.1 - Sales of Electricity by Rate Schedules</t>
  </si>
  <si>
    <t xml:space="preserve">CALIFORNIA - 06CHCK000R-CA RES CHECK M               </t>
  </si>
  <si>
    <t>CALIFORNIA - 06LNX00311 - LINE EXT 80% GUARANTEE</t>
  </si>
  <si>
    <t>CALIFORNIA - 06NBDDL136-NET BL LOW INC RES DEL NORTE</t>
  </si>
  <si>
    <t>CALIFORNIA - 06NBLDL136-NET BILLING LOW INC-RES</t>
  </si>
  <si>
    <t>CALIFORNIA - 06NBLDN136-NET BLNG LOW INC-RES DELNORTE</t>
  </si>
  <si>
    <t>CALIFORNIA - 06NETBL136-CALIFORNIA NET BILLING RES</t>
  </si>
  <si>
    <t>CALIFORNIA - 06NETMT135 - CA RES NET METERING</t>
  </si>
  <si>
    <t xml:space="preserve">CALIFORNIA - 06OALT015R-OUTD AR LGT SR               </t>
  </si>
  <si>
    <t xml:space="preserve">CALIFORNIA - 06RESD000D-RES SRVC                     </t>
  </si>
  <si>
    <t xml:space="preserve">CALIFORNIA - 06RESDDL06-CA LOW INCOME                </t>
  </si>
  <si>
    <t>CALIFORNIA - 06RGNSV025-CA SMALL GENERAL SVC-RES</t>
  </si>
  <si>
    <t>CALIFORNIA - 06RNB25136-CA RES NET BILL GEN SVC&lt;20 KW</t>
  </si>
  <si>
    <t>CALIFORNIA - 06RNM25135 - CA NET MTR, GEN SVC-RES</t>
  </si>
  <si>
    <t>CALIFORNIA - 06RESD0DM9 - MULTI FAMILY</t>
  </si>
  <si>
    <t>CALIFORNIA - 06RESD0DS8-MULT FAM SBMET</t>
  </si>
  <si>
    <t>CALIFORNIA - INCOME TAX DEFERRAL ADJUSTMENTS</t>
  </si>
  <si>
    <t>CALIFORNIA - REVENUE_ACCOUNTING ADJUSTMENTS</t>
  </si>
  <si>
    <t>CALIFORNIA - REVENUE ADJUSTMENT - DEFERRED NPC</t>
  </si>
  <si>
    <t>CALIFORNIA - 06RESD00DN - CA RES SRVC - DEL NORTE CTY</t>
  </si>
  <si>
    <t>CALIFORNIA - DSM REVENUE-RESIDENTIAL</t>
  </si>
  <si>
    <t>CALIFORNIA - BLUE SKY REVENUE-RESIDENTIAL</t>
  </si>
  <si>
    <t>CALIFORNIA - OTHER CUSTOMER RETAIL REVENUE</t>
  </si>
  <si>
    <t>IDAHO</t>
  </si>
  <si>
    <t xml:space="preserve">IDAHO - 07BLSKY01R-BLUESKY ENERGY               </t>
  </si>
  <si>
    <t xml:space="preserve">IDAHO - 07LNX00010-MNTHLY 80%GUAR               </t>
  </si>
  <si>
    <t>IDAHO - 07NBL36136-ID TOU RES NET BILLING</t>
  </si>
  <si>
    <t>IDAHO - 07NETBL136-ID RES NET BILLING</t>
  </si>
  <si>
    <t>IDAHO - 07NETMT135 - ID RESIDENTIAL NET METERING</t>
  </si>
  <si>
    <t>IDAHO - 07NMT36135-IDAHO TIME-OF-DAY RES NET MTR</t>
  </si>
  <si>
    <t xml:space="preserve">IDAHO - 07OALT07AR-SECURITY AR LG               </t>
  </si>
  <si>
    <t xml:space="preserve">IDAHO - 07RESD0001-RES SRVC                     </t>
  </si>
  <si>
    <t xml:space="preserve">IDAHO - 07RESD0036-RES SRVC-OPTIO               </t>
  </si>
  <si>
    <t>IDAHO - 07RGNSV06A-ID LRG GENERAL SVC-RES</t>
  </si>
  <si>
    <t>IDAHO - 07RGNSV23A-ID SMALL GENERAL SVC-RES</t>
  </si>
  <si>
    <t>IDAHO - 07RN23A136-RES NET BILLING SMALL GEN SVC</t>
  </si>
  <si>
    <t>IDAHO - 07RNM23135-RES USE NET MTR SMALL GEN SVC</t>
  </si>
  <si>
    <t xml:space="preserve">IDAHO - 07UPPL000R-BASE SCH FALL                </t>
  </si>
  <si>
    <t>IDAHO - DSM REVENUE-RESIDENTIAL</t>
  </si>
  <si>
    <t>IDAHO - BLUE SKY REVENUE-RESIDENTIAL</t>
  </si>
  <si>
    <t>IDAHO - REVENUE_ACCOUNTING ADJUSTMENTS</t>
  </si>
  <si>
    <t>OREGON</t>
  </si>
  <si>
    <t xml:space="preserve">OREGON - 01CHCK000R-RES CHECK MTR                </t>
  </si>
  <si>
    <t>OREGON - 01COST0004 - 01RESD0004</t>
  </si>
  <si>
    <t>OREGON - 01COST0006 - 01RESD0006</t>
  </si>
  <si>
    <t>OREGON - 01COSTR023, OR RES GEN SRV, COST BASED</t>
  </si>
  <si>
    <t>OREGON - 01COSTR028, OR RES GEN SVC&gt;30KW CST BSD</t>
  </si>
  <si>
    <t>OREGON - 01FXRENEWR - Fixed Renewable Blue Sky</t>
  </si>
  <si>
    <t>OREGON - 01HABIT004 - 01RESD0004</t>
  </si>
  <si>
    <t xml:space="preserve">OREGON - 01HABTR023-RES GEN SVC HABITAT BLND </t>
  </si>
  <si>
    <t xml:space="preserve">OREGON - 01LNX00102-LINE EXT 80% G               </t>
  </si>
  <si>
    <t xml:space="preserve">OREGON - 01LNX00109-REF/NREF ADV +               </t>
  </si>
  <si>
    <t xml:space="preserve">OREGON - 01NETMT135-NET METERING                 </t>
  </si>
  <si>
    <t>OREGON - 01NMT06135-RES TOU PILOT NET METERING</t>
  </si>
  <si>
    <t>OREGON - 01NMT07135-OR RES NET METERING LOW INC</t>
  </si>
  <si>
    <t>OREGON - 01NMTOU135-TOU NET METERING</t>
  </si>
  <si>
    <t>OREGON - 01OALTB15R-OR OUTD AR LGT RES</t>
  </si>
  <si>
    <t>OREGON - 01PTOU0004 - 01RESD0004</t>
  </si>
  <si>
    <t>OREGON - 01PTOURB23-RES GEN SVC; TOU SUPPLY SVC</t>
  </si>
  <si>
    <t>OREGON - 01RENEW004 - 01RESD0004</t>
  </si>
  <si>
    <t>OREGON - 01RENWR023-RENEW USAGE SPLY SVC-GEN SVC</t>
  </si>
  <si>
    <t xml:space="preserve">OREGON - 01RESD0004-RES SRVC                     </t>
  </si>
  <si>
    <t xml:space="preserve">OREGON - 01RESD0006-RES TIME-OF-DA               </t>
  </si>
  <si>
    <t>OREGON - 01RESD0007-OR RESIDENTIAL LOW INCOME</t>
  </si>
  <si>
    <t>OREGON - 01RESD004T - RES Time Option</t>
  </si>
  <si>
    <t>OREGON - 01RESD007T-OR TOU RESIDENTIAL LOW INCOME</t>
  </si>
  <si>
    <t>OREGON - 01RESD0607-OR RES TOU PILOT LOW INC</t>
  </si>
  <si>
    <t>OREGON - 01RGNS2807-RES GEN SVC &gt; 30 KW LOW INC</t>
  </si>
  <si>
    <t>OREGON - 01RGNSB023-SMALL GENERAL SVC-RES</t>
  </si>
  <si>
    <t>OREGON - 01RGNSB028 - GENERAL SVC &gt; 30 KW - RES</t>
  </si>
  <si>
    <t>OREGON - 01RGNSB029-OR RES GEN SVC TOU PILOT</t>
  </si>
  <si>
    <t>OREGON - 01RGNSB23T-RES GEN SVC TOU PORTFOLIO</t>
  </si>
  <si>
    <t>OREGON - 01RNETM023-NET METER RESIDENTIAL GEN SVC</t>
  </si>
  <si>
    <t>OREGON - 01RNETM028-NET METER RESIDENTIAL GEN SVC</t>
  </si>
  <si>
    <t xml:space="preserve">OREGON - 01UPPL000R-BASE SCH FALL                </t>
  </si>
  <si>
    <t>OREGON - 01VIR04136-OR RES VOLUME INCENTIVE</t>
  </si>
  <si>
    <t>OREGON - 01VIR06136-OR RES VOLUME INCENTIVE</t>
  </si>
  <si>
    <t>OREGON - 01VIR07136-OR RES VOLUME INCNTV LOW INC</t>
  </si>
  <si>
    <t>OREGON - REVENUE_ACCOUNTING ADJUSTMENTS</t>
  </si>
  <si>
    <t>OREGON - SOLAR FEED-IN REVENUE</t>
  </si>
  <si>
    <t>OREGON - OTHER CUSTOMER RETAIL REVENUE</t>
  </si>
  <si>
    <t>OREGON - COMMUNITY SOLAR REVENUE</t>
  </si>
  <si>
    <t>OREGON - DSM REVENUE-RESIDENTIAL</t>
  </si>
  <si>
    <t>OREGON - BLUE SKY REVENUE-RESIDENTIAL</t>
  </si>
  <si>
    <t>UTAH</t>
  </si>
  <si>
    <t xml:space="preserve">UTAH - 08BLSKY01R-BLUESKY ENERGY               </t>
  </si>
  <si>
    <t xml:space="preserve">UTAH - 08CFR00001-MTH FACILITY S               </t>
  </si>
  <si>
    <t>UTAH - 08CGENR136-UT RES TRANSITION GENERATION</t>
  </si>
  <si>
    <t>UTAH - 08CGNSL136-UT RES TRANSITION GEN-SOLEIL</t>
  </si>
  <si>
    <t>UTAH - 08CGR01136-UTAH RESIDENTIAL TRANS GEN</t>
  </si>
  <si>
    <t>UTAH - 08CGR01137-UT RES CUST GENERATION 137</t>
  </si>
  <si>
    <t>UTAH - 08CGR02136-UT RES TOU TRANSITION GEN</t>
  </si>
  <si>
    <t>UTAH - 08CGR02137-UT RES TOU CUST GEN 137</t>
  </si>
  <si>
    <t>UTAH - 08CGR03136-UTAH LOW INC RES TRANS GEN</t>
  </si>
  <si>
    <t>UTAH - 08CGR03137-UT LOW INC RES CUST GEN 137</t>
  </si>
  <si>
    <t>UTAH - 08CGR06136-RES USE, GEN SVC RATE, MANUAL</t>
  </si>
  <si>
    <t>UTAH - 08CGR23136-RESIDENTIAL SMALL GEN SVC</t>
  </si>
  <si>
    <t>UTAH - 08CGR23137-RES SM GEN SVC - CUST GEN 137</t>
  </si>
  <si>
    <t>UTAH - 08CGR2E136-UT RES EV TOU PILOT-TRAN GEN</t>
  </si>
  <si>
    <t>UTAH - 08CGR2E137-UT RES EV TOU PILOT CUST GEN</t>
  </si>
  <si>
    <t>UTAH - 08CGRA1137-UT RES CUST GEN AGGEGATED</t>
  </si>
  <si>
    <t>UTAH - 08CGRW1136-UT RES TRANS GEN-WATTSMART</t>
  </si>
  <si>
    <t>UTAH - 08CGRW1137-UT RES CUST GEN 137-WATTSMART</t>
  </si>
  <si>
    <t>UTAH - 08CGS23136-RES SMALL GEN SVC MANUAL</t>
  </si>
  <si>
    <t>UTAH - 08CGW2E137-RES EV TOU PILOT-CUST GEN 137</t>
  </si>
  <si>
    <t xml:space="preserve">UTAH - 08CHCK000R-UT RES CHECK M               </t>
  </si>
  <si>
    <t>UTAH - 08COOLKPRR - Utah Cool Keeper Program</t>
  </si>
  <si>
    <t>UTAH - 08CRA23137-UT RES SML GEN SVC 137 AGGREG</t>
  </si>
  <si>
    <t xml:space="preserve">UTAH - 08LNX00001-MTHLY 80% GUAR               </t>
  </si>
  <si>
    <t xml:space="preserve">UTAH - 08LNX00013-80% MNTHLY MIN               </t>
  </si>
  <si>
    <t xml:space="preserve">UTAH - 08LNX00108-ANN COST MTHLY               </t>
  </si>
  <si>
    <t>UTAH - 08MHTP0006-MOBILE HOME &amp; TRAILER</t>
  </si>
  <si>
    <t>UTAH - 08MHTP0023-MOBILE HOME &amp; TRAILER</t>
  </si>
  <si>
    <t>UTAH - 08NETAGFEE-&gt; 6 NET METER AGGREGATION FEE</t>
  </si>
  <si>
    <t>UTAH - 08NETMT135 - Net Metering</t>
  </si>
  <si>
    <t>UTAH - 08NETMW135-UT RES NET METER-WATTSMART</t>
  </si>
  <si>
    <t>UTAH - 08NMT03135-LOW INCOME RES NET METERING</t>
  </si>
  <si>
    <t xml:space="preserve">UTAH - 08OALT007R-SECURITY AR LG               </t>
  </si>
  <si>
    <t xml:space="preserve">UTAH - 08PTLD000R-POST TOP LIGHT               </t>
  </si>
  <si>
    <t>UTAH - 08RCG23136-RES NET METER, SMALL GEN SVC</t>
  </si>
  <si>
    <t xml:space="preserve">UTAH - 08RESD0001-RES SRVC                     </t>
  </si>
  <si>
    <t xml:space="preserve">UTAH - 08RESD0002-RES SRVC-OPTIO               </t>
  </si>
  <si>
    <t xml:space="preserve">UTAH - 08RESD0003-LIFELINE PRGRM               </t>
  </si>
  <si>
    <t>UTAH - 08RESD002E-RES ELCTRC VEHICLE TOU PILOT</t>
  </si>
  <si>
    <t>UTAH - 08RESD003E-UT RES LOW INC ELEC V TOU PLT</t>
  </si>
  <si>
    <t>UTAH - 08RGNSV006-GEN SRVC-RES</t>
  </si>
  <si>
    <t>UTAH - 08RGNSV008-UT RESIDENTIAL GENERAL SVC</t>
  </si>
  <si>
    <t>UTAH - 08RGNSV023-GEN SRVC-RES</t>
  </si>
  <si>
    <t>UTAH - 08RGNSV06A-UT SMALL GENERAL SVC-RES-TOU</t>
  </si>
  <si>
    <t>UTAH - 08RNM06135 - UT NET MTR, GEN SVC-RES</t>
  </si>
  <si>
    <t>UTAH - 08RNM23135 - UT NET MTR, GEN SVC-RES</t>
  </si>
  <si>
    <t>UTAH - 08RNM6A135-RES GEN SVC NET METERING</t>
  </si>
  <si>
    <t>UTAH - 08RTCVLNGA-TCV LNX GAR</t>
  </si>
  <si>
    <t>UTAH - 08SSLR0001 - RESIDENTIAL SUBSCRB SOLAR</t>
  </si>
  <si>
    <t>UTAH - 08SSLR0003-RES LOW INC SUBSCR SOLAR</t>
  </si>
  <si>
    <t>UTAH - 08SSLRRG23-RES SMALL GEN SV SUBSCR SOLAR</t>
  </si>
  <si>
    <t xml:space="preserve">UTAH - 08UPPL000R-BASE SCH FALL                </t>
  </si>
  <si>
    <t>UTAH - REVENUE_ACCOUNTING ADJUSTMENTS</t>
  </si>
  <si>
    <t>UTAH - REVENUE ADJUSTMENT - DEFERRED NPC</t>
  </si>
  <si>
    <t>UTAH - SOLAR FEED-IN REVENUE</t>
  </si>
  <si>
    <t>UTAH - OTHER CUSTOMER RETAIL REVENUE</t>
  </si>
  <si>
    <t>UTAH - DSM REVENUE-RESIDENTIAL</t>
  </si>
  <si>
    <t>UTAH - BLUE SKY REVENUE-RESIDENTIAL</t>
  </si>
  <si>
    <t>WASHINGTON</t>
  </si>
  <si>
    <t xml:space="preserve">WASHINGTON - 02BLSKY01R-BLUESKY ENERGY               </t>
  </si>
  <si>
    <t xml:space="preserve">WASHINGTON - 02CHCK000R-WA RES CHECK M               </t>
  </si>
  <si>
    <t xml:space="preserve">WASHINGTON - 02LNX00109-REF/NREF ADV +               </t>
  </si>
  <si>
    <t>WASHINGTON - 02NETMT135 - WA RES NET METERING</t>
  </si>
  <si>
    <t>WASHINGTON - 02NMT17135-WA RES BILL ASSIST NET MTR</t>
  </si>
  <si>
    <t>WASHINGTON - 02NMT18135-WA 3 PHASE RES NET MTR</t>
  </si>
  <si>
    <t>WASHINGTON - 02NMT19135-RES TOU PILOT NET METERING</t>
  </si>
  <si>
    <t>WASHINGTON - 02OALTB15R-WA OUTD AR LGT RES</t>
  </si>
  <si>
    <t xml:space="preserve">WASHINGTON - 02RESD0016-WA RES SRVC                  </t>
  </si>
  <si>
    <t xml:space="preserve">WASHINGTON - 02RESD0017-BILL ASSISTANC               </t>
  </si>
  <si>
    <t xml:space="preserve">WASHINGTON - 02RESD0018-WA 3 PHASE RES               </t>
  </si>
  <si>
    <t xml:space="preserve">WASHINGTON - 02RESD018X-WA 3 PHASE RES               </t>
  </si>
  <si>
    <t>WASHINGTON - 02RESD019T-WA RESIDENTIAL TOU PILOT</t>
  </si>
  <si>
    <t>WASHINGTON - 02RGNSB024-WA SMALL GENERAL SVC-RES</t>
  </si>
  <si>
    <t>WASHINGTON - 02RGNSB029-RES GEN SVC TOU PILOT</t>
  </si>
  <si>
    <t>WASHINGTON - 02RGNSB036-RES LRG GEN SVC &lt; 1000 KW</t>
  </si>
  <si>
    <t>WASHINGTON - 02RNM24135-RES NET METER SMALL GEN SVC</t>
  </si>
  <si>
    <t>WASHINGTON - RESIDENTIAL CUSTOMER BILL CREDITS</t>
  </si>
  <si>
    <t>WASHINGTON - INCOME TAX DEFERRAL ADJUSTMENTS</t>
  </si>
  <si>
    <t>WASHINGTON - REVENUE ADJUSTMENT - DEFERRED NPC</t>
  </si>
  <si>
    <t>WASHINGTON - REVENUE_ACCOUNTING ADJUSTMENTS</t>
  </si>
  <si>
    <t>WASHINGTON - DSM REVENUE-RESIDENTIAL</t>
  </si>
  <si>
    <t>WASHINGTON - BLUE SKY REVENUE-RESIDENTIAL</t>
  </si>
  <si>
    <t>WASHINGTON - ALT REVENUE PROGRAM ADJUSTMENTS</t>
  </si>
  <si>
    <t>WYOMING</t>
  </si>
  <si>
    <t xml:space="preserve">WYOMING - 05LNX00102-LINE EXT 80% G               </t>
  </si>
  <si>
    <t>WYOMING - 05LNX00109-REF/NREF ADV +  -A</t>
  </si>
  <si>
    <t>WYOMING - 05NETMT135 - EXPERIMENTAL PARTIAL REQ -A</t>
  </si>
  <si>
    <t>WYOMING - 05NMT19135-RES NET METER TOU PILOT</t>
  </si>
  <si>
    <t xml:space="preserve">WYOMING - 05OALT015R-OUTD AR LGT SR -A              </t>
  </si>
  <si>
    <t xml:space="preserve">WYOMING - 05RESD0002-WY RES SRVC -A                </t>
  </si>
  <si>
    <t>WYOMING - 05RESD0019-WY RES TOU PILOT -A</t>
  </si>
  <si>
    <t>WYOMING - 05RGNSV025-WY SMALL GENERAL SVC-RES -A</t>
  </si>
  <si>
    <t>WYOMING - 05RNM25135-WY RES SMALL GEN SVC NET MTR</t>
  </si>
  <si>
    <t>WYOMING - INCOME TAX DEFERRAL ADJUSTMENTS</t>
  </si>
  <si>
    <t>WYOMING - REVENUE ADJUSTMENT - DEFERRED NPC</t>
  </si>
  <si>
    <t>WYOMING - REVENUE_ACCOUNTING ADJUSTMENTS</t>
  </si>
  <si>
    <t>WYOMING - DSM REVENUE-RESIDENTIAL -A</t>
  </si>
  <si>
    <t>WYOMING - DSM REVENUE-RESIDENTIAL GEN SVC -A</t>
  </si>
  <si>
    <t>WYOMING - BLUE SKY REVENUE-RESIDENTIAL -A</t>
  </si>
  <si>
    <t>WYOMING - OTHER CUSTOMER RETAIL REVENUE</t>
  </si>
  <si>
    <t xml:space="preserve">WYOMING - 05RESD0002-WY RES SRVC -B                 </t>
  </si>
  <si>
    <t>WYOMING - 05RESD0019-WY RES TOU PILOT -B</t>
  </si>
  <si>
    <t>WYOMING - 05RGNSV025-WY SMALL GENERAL SVC-RES -B</t>
  </si>
  <si>
    <t xml:space="preserve">WYOMING - 05LNX00109-REF/NREF ADV +  -B        </t>
  </si>
  <si>
    <t>WYOMING - 05NETMT135 - EXPERIMENTAL PARTIAL REQ -B</t>
  </si>
  <si>
    <t xml:space="preserve">WYOMING - 05OALT015R-OUTD AR LGT SR -B               </t>
  </si>
  <si>
    <t>WYOMING - 09RES00002</t>
  </si>
  <si>
    <t>WYOMING - 09RESD0002</t>
  </si>
  <si>
    <t>WYOMING - DSM REVENUE-RESIDENTIAL -B</t>
  </si>
  <si>
    <t>WYOMING - DSM REVENUE-RESIDENTIAL GEN SVC -B</t>
  </si>
  <si>
    <t>WYOMING - BLUE SKY REVENUE-RESIDENTIAL -B</t>
  </si>
  <si>
    <t>LESS MULTIPLE BILLINGS</t>
  </si>
  <si>
    <t>TOTAL RESIDENTIAL SALES BILLED</t>
  </si>
  <si>
    <t>304.2 - Sales of Electricity by Rate Schedules</t>
  </si>
  <si>
    <t>CALIFORNIA</t>
  </si>
  <si>
    <t xml:space="preserve">CALIFORNIA - UNBILLED REVENUE                        </t>
  </si>
  <si>
    <t xml:space="preserve">IDAHO - UNBILLED REVENUE                        </t>
  </si>
  <si>
    <t xml:space="preserve">OREGON - UNBILLED REVENUE                        </t>
  </si>
  <si>
    <t xml:space="preserve">UTAH - UNBILLED REVENUE                        </t>
  </si>
  <si>
    <t xml:space="preserve">WASHINGTON - UNBILLED REVENUE                        </t>
  </si>
  <si>
    <t xml:space="preserve">WYOMING - UNBILLED REVENUE - A                        </t>
  </si>
  <si>
    <t xml:space="preserve">WYOMING - UNBILLED REVENUE - B                        </t>
  </si>
  <si>
    <t>RESIDENTIAL SALES UNBILLED</t>
  </si>
  <si>
    <t>304.3 - Sales of Electricity by Rate Schedules</t>
  </si>
  <si>
    <t>RESIDENTIAL SALES TOTAL</t>
  </si>
  <si>
    <t>304.4 - Sales of Electricity by Rate Schedules</t>
  </si>
  <si>
    <t>Total Sales (all sheets)</t>
  </si>
  <si>
    <t>TOTAL Billed</t>
  </si>
  <si>
    <t>Total Unbilled Rev.(See Instr. 6)</t>
  </si>
  <si>
    <t xml:space="preserve">Checks:  </t>
  </si>
  <si>
    <t>Pg 300, Line 10, (e)</t>
  </si>
  <si>
    <t>PG 304 support - 5.1 See Rows 1535 through 1566 Reconciliation to PG 300</t>
  </si>
  <si>
    <t>Unbilled</t>
  </si>
  <si>
    <t>Pg 300, Lines 15 and 16 (e)</t>
  </si>
  <si>
    <t>Manual Input from PY</t>
  </si>
  <si>
    <t>Rounding</t>
  </si>
  <si>
    <t>Commercial Sales</t>
  </si>
  <si>
    <t>304.5 - Sales of Electricity by Rate Schedules</t>
  </si>
  <si>
    <t>304.6 - Sales of Electricity by Rate Schedules</t>
  </si>
  <si>
    <t xml:space="preserve">CALIFORNIA - 06GNSV0025-CA GEN SRVC                  </t>
  </si>
  <si>
    <t>304.7 - Sales of Electricity by Rate Schedules</t>
  </si>
  <si>
    <t xml:space="preserve">CALIFORNIA - 06GNSV025F-GEN SRVC-&lt; 20                </t>
  </si>
  <si>
    <t xml:space="preserve">CALIFORNIA - 06GNSV0A32-GEN SRVC-20 KW               </t>
  </si>
  <si>
    <t xml:space="preserve">CALIFORNIA - 06LGSV048T-LRG GEN SERV                 </t>
  </si>
  <si>
    <t>CALIFORNIA - 06NMT48135-CA GEN SVC NET MTR-&gt;500 KW</t>
  </si>
  <si>
    <t xml:space="preserve">CALIFORNIA - 06LGSV0A36-LRG GEN SRVC-O               </t>
  </si>
  <si>
    <t xml:space="preserve">CALIFORNIA - 06LNX00102-LINE EXT 80% G               </t>
  </si>
  <si>
    <t xml:space="preserve">CALIFORNIA - 06LNX00109-REF/NREF ADV +               </t>
  </si>
  <si>
    <t xml:space="preserve">CALIFORNIA - 06LNX00110-REF/NREF ADV +               </t>
  </si>
  <si>
    <t>CALIFORNIA - 06LNX00300 - 80% MONTHLY MIN GUAR + 80%</t>
  </si>
  <si>
    <t>CALIFORNIA - 06NBL25136-CA NET BILL GEN SVC &lt; 20 KW</t>
  </si>
  <si>
    <t>CALIFORNIA - 06NBL32136-CA NET BILL GEN SVC &gt;= 20 KW</t>
  </si>
  <si>
    <t>CALIFORNIA - 06NMT36135-CA GEN SVC NET MTR-&gt;100 KW</t>
  </si>
  <si>
    <t xml:space="preserve">CALIFORNIA - 06OALT015N-OUTD AR LGT SR               </t>
  </si>
  <si>
    <t xml:space="preserve">CALIFORNIA - 06RCFL0042-AIRWAY &amp; ATHLE               </t>
  </si>
  <si>
    <t>CALIFORNIA - 06NMT25135-CA GEN SVC NET MTR&lt;20KW</t>
  </si>
  <si>
    <t>CALIFORNIA - 06NMT32135-CA GEN SVC NET MTR&gt;20KW</t>
  </si>
  <si>
    <t>CALIFORNIA - DSM REVENUE-COMMERCIAL</t>
  </si>
  <si>
    <t>CALIFORNIA - BLUE SKY REVENUE-COMMERCIAL</t>
  </si>
  <si>
    <t xml:space="preserve">IDAHO - 07GNSV0006-GEN SRVC-LRG P               </t>
  </si>
  <si>
    <t xml:space="preserve">IDAHO - 07GNSV0009-GEN SRVC-HI VO               </t>
  </si>
  <si>
    <t xml:space="preserve">IDAHO - 07GNSV0023-GEN SRVC-SML P               </t>
  </si>
  <si>
    <t xml:space="preserve">IDAHO - 07GNSV0035-GEN SRVCOPTION               </t>
  </si>
  <si>
    <t xml:space="preserve">IDAHO - 07GNSV006A-GEN SRVC-LRG P               </t>
  </si>
  <si>
    <t xml:space="preserve">IDAHO - 07GNSV023A-GEN SRVC-SML P               </t>
  </si>
  <si>
    <t xml:space="preserve">IDAHO - 07GNSV023F-GEN SRVC SML P               </t>
  </si>
  <si>
    <t xml:space="preserve">IDAHO - 07GNSV035A-GEN SRVCOPTION               </t>
  </si>
  <si>
    <t xml:space="preserve">IDAHO - 07LNX00035-ADV 80%MO GUAR               </t>
  </si>
  <si>
    <t xml:space="preserve">IDAHO - 07LNX00040-ADV+REFCHG+80%               </t>
  </si>
  <si>
    <t xml:space="preserve">IDAHO - 07OALT007N-SECURITY AR LG               </t>
  </si>
  <si>
    <t xml:space="preserve">IDAHO - 07OALT07AN-SECURITY AR LG               </t>
  </si>
  <si>
    <t>IDAHO - 07TCVLNAGN-TCV LNX ANNUAL GAR-NON RES</t>
  </si>
  <si>
    <t>IDAHO - 07TCVLNXGN-TCV LNX - 80% GAR - NON RES</t>
  </si>
  <si>
    <t>IDAHO - 07LNX00312 - ID LINE EXT</t>
  </si>
  <si>
    <t>IDAHO - 07NBL23136-ID NET BILLING SML GEN SVC</t>
  </si>
  <si>
    <t>IDAHO - 07NBL6A136-ID NET BILLING LRG GEN SVC</t>
  </si>
  <si>
    <t>IDAHO - 07NMT06135 - ID NET MTR - LARGE GEN SVC</t>
  </si>
  <si>
    <t>IDAHO - 07NMT23135 - ID NET MTR - SMALL GEN SVC</t>
  </si>
  <si>
    <t>IDAHO - 07NMT6A135-NET METERING LARGE GEN SVC</t>
  </si>
  <si>
    <t xml:space="preserve">IDAHO - 07LNX00015-ANNUAL 80%GUAR               </t>
  </si>
  <si>
    <t>IDAHO - 07LNX00311 - LINE EXT 80% GUARANTEE</t>
  </si>
  <si>
    <t>IDAHO - 07LNX00300 - 80% MONTHLY MIN GUAR + 80%</t>
  </si>
  <si>
    <t>IDAHO - 07LNX00310 80% ANNUAL GUARANTEE</t>
  </si>
  <si>
    <t>IDAHO - DSM REVENUE-COMMERCIAL</t>
  </si>
  <si>
    <t>IDAHO - BLUE SKY REVENUE-COMMERCIAL</t>
  </si>
  <si>
    <t>OREGON - 01COST0023, OR GEN SRV, COST BASED</t>
  </si>
  <si>
    <t>OREGON - 01COST0048 - 01LGSV0048</t>
  </si>
  <si>
    <t>OREGON - 01COST023F - OR GEN SRV - COST-BASED</t>
  </si>
  <si>
    <t>OREGON - 01COST23MT-OR GEN SVC COST TOU MTR</t>
  </si>
  <si>
    <t>OREGON - 01COST28MT-OR GEN SVC&gt;30KW COST TOU MTR</t>
  </si>
  <si>
    <t>OREGON - 01COST30MT-LG GEN SVC&gt;200KW COST TOU MTR</t>
  </si>
  <si>
    <t>OREGON - 01COSTB023 - OR GEN SRV, CST-BSD SPLY</t>
  </si>
  <si>
    <t>OREGON - 01COSTEV45-ELECT VEHICLE DC FAST CHG SVC</t>
  </si>
  <si>
    <t>OREGON - 01COSTL030 - OR LRG GEN SRV, CST &gt;200 kW</t>
  </si>
  <si>
    <t>OREGON - 01COSTS028, OR GEN SERV, COST &gt; 30kW</t>
  </si>
  <si>
    <t>OREGON - 01COSTS029-OR GEN SVC TOU PILOT COS&gt;30KW</t>
  </si>
  <si>
    <t>OREGON - 01FXRENEWN - Fixed Renewable Blue Sky</t>
  </si>
  <si>
    <t>OREGON - 01GNCEL23F-OR SMALL CELL FLAT RATE</t>
  </si>
  <si>
    <t>OREGON - 01GNSB0023, OR GEN SRV, BPA, &lt; 30 kW</t>
  </si>
  <si>
    <t>OREGON - 01GNSB0028, OR GEN SRV, BPA, &gt; 30 kW</t>
  </si>
  <si>
    <t>OREGON - 01GNSB023T - OR GEN SRV - TOU - BPA</t>
  </si>
  <si>
    <t>OREGON - 01GNSEV45T-ELECT VEHICLE DC FAST CHG&lt;1MW</t>
  </si>
  <si>
    <t>OREGON - 01GNSV0023, OR GEN SRV, &lt; 30 KW</t>
  </si>
  <si>
    <t>OREGON - 01GNSV0028, OR GEN SRV &gt; 30 kW</t>
  </si>
  <si>
    <t>OREGON - 01GNSV0029-OR GEN SVC TOU PILOT &gt; 30 KW</t>
  </si>
  <si>
    <t>OREGON - 01GNSV023F - OR GEN SRV - FLAT RATE</t>
  </si>
  <si>
    <t>OREGON - 01GNSV023M - OR GEN SRV, MANUAL BILL</t>
  </si>
  <si>
    <t>OREGON - 01GNSV023T, OR GEN SRV, TOU Option</t>
  </si>
  <si>
    <t>OREGON - 01HABT0023, OR HABITAT BLENDED SPLY SRV</t>
  </si>
  <si>
    <t>OREGON - 01HABTB023 - OR HABITAT BLENDED</t>
  </si>
  <si>
    <t>OREGON - 01LGSB0030, GEN DEL SRV, &gt; 200 kW(R)</t>
  </si>
  <si>
    <t>OREGON - 01LGSV0030 - OR LRG GEN SRV, &gt; 1000 kW</t>
  </si>
  <si>
    <t xml:space="preserve">OREGON - 01LGSV0048-1000KW AND OVR               </t>
  </si>
  <si>
    <t xml:space="preserve">OREGON - 01LGSV048M-LRG GEN SRVC 1               </t>
  </si>
  <si>
    <t>OREGON - 01LGSVT030-OR LG GEN SVC&gt;200KW TOU MTR</t>
  </si>
  <si>
    <t xml:space="preserve">OREGON - 01LNX00100-LINE EXT 60% G               </t>
  </si>
  <si>
    <t xml:space="preserve">OREGON - 01LNX00103-LINE EXT 80% G               </t>
  </si>
  <si>
    <t xml:space="preserve">OREGON - 01LNX00105-CNTRCT $ MIN G               </t>
  </si>
  <si>
    <t xml:space="preserve">OREGON - 01LNX00110-REF/NREF ADV +               </t>
  </si>
  <si>
    <t>OREGON - 01LNX00311 - LINE EXT 80% G</t>
  </si>
  <si>
    <t>OREGON - 01LNX00312 - OR IRG LINE EXT</t>
  </si>
  <si>
    <t>OREGON - 01LNX00120 - Line Extension 60% Gar</t>
  </si>
  <si>
    <t>OREGON - 01LNX00300 - LINE EXT 80% GUARANTEE</t>
  </si>
  <si>
    <t>OREGON - 01LNX00310-LINE EXTENSION CONTRACT</t>
  </si>
  <si>
    <t xml:space="preserve">OREGON - 01LPRS047M-PART REQ SRVC                </t>
  </si>
  <si>
    <t>OREGON - 01NM23T135-OR NET MTR TOU GEN SVC&lt;30 KW</t>
  </si>
  <si>
    <t>OREGON - 01NMB23135-OR NET MTR GEN SVC &lt;= 30 KW</t>
  </si>
  <si>
    <t>OREGON - 01NMB28135-OR NET MTR GEN SVC &gt; 30 KW</t>
  </si>
  <si>
    <t>OREGON - 01NMT23135 - OR NET MTR, GEN, &lt; 30 kW</t>
  </si>
  <si>
    <t>OREGON - 01NMT28135 - OR NET MTR, GEN, &gt; 30 kW</t>
  </si>
  <si>
    <t>OREGON - 01NMT30135 - OR NET MTR, GEN, &gt; 200 kW</t>
  </si>
  <si>
    <t>OREGON - 01NMT48135-NET METERING GEN SVC =&gt; 1000</t>
  </si>
  <si>
    <t xml:space="preserve">OREGON - 01OALT015N-OUTD AR LGT NR               </t>
  </si>
  <si>
    <t>OREGON - 01OALTB15N-OR OUTD AR LGT NR</t>
  </si>
  <si>
    <t>OREGON - 01PTOU0023, OR GEN SRV, TOU ENG SPLY SRV</t>
  </si>
  <si>
    <t>OREGON - 01PTOUB023, OR GEN SRV, TOU SPLY SRV</t>
  </si>
  <si>
    <t xml:space="preserve">OREGON - 01RCFL0054-REC FIELD LGT                </t>
  </si>
  <si>
    <t>OREGON - 01RENW0023, OR RENW USAGE SPLY SRV</t>
  </si>
  <si>
    <t>OREGON - 01RENWB023 - OR RENEWABLE USAGE</t>
  </si>
  <si>
    <t>OREGON - 01STDAY023 - OR DAY STD OFR, SCH 23</t>
  </si>
  <si>
    <t>OREGON - 01STDAY028 - OR DAY STD OFF, SCH 28</t>
  </si>
  <si>
    <t>OREGON - 01STDAY030 - OR STD DAY OFF, SCH 27</t>
  </si>
  <si>
    <t>OREGON - 01VIR23136-OR VOLUME INCENTIVE &lt;= 30 KW</t>
  </si>
  <si>
    <t>OREGON - 01VIR28136-OR VOLUME INCENTIVE &gt; 30 KW</t>
  </si>
  <si>
    <t>OREGON - 01VIR30136-OR VOLUME INCENTIVE &gt; 200 kW</t>
  </si>
  <si>
    <t>OREGON - 01VIR48136-OR VOLUME INCENTIVE &gt; 1000 KW</t>
  </si>
  <si>
    <t>OREGON - 01LGSB0048 - LG GEN SVC &gt; 1000KW (R)</t>
  </si>
  <si>
    <t>OREGON - 01LGSV028M - OR LGSV, &lt;1000 kW, Manual</t>
  </si>
  <si>
    <t>OREGON - 01GNSV0728 - OR GEN SVC DIR ACCESS &gt;30KW</t>
  </si>
  <si>
    <t>OREGON - 01GNSV0730 -OR GEN SVC DIR ACCESS &gt;200KW</t>
  </si>
  <si>
    <t>OREGON - 01GNSV0748 LG GEN SVC DIR ACCESS 1000KW+</t>
  </si>
  <si>
    <t>OREGON - 01GNSV0848-LG GEN SVC &gt; 1000 DA DEL</t>
  </si>
  <si>
    <t>OREGON - 01GNSVT023-OR GEN SVC &lt;=30 KW TOU MTR</t>
  </si>
  <si>
    <t>OREGON - 01GNSVT028-OR GEN SVC&gt;30KW TOU MTR</t>
  </si>
  <si>
    <t>OREGON - DSM REVENUE-COMMERCIAL</t>
  </si>
  <si>
    <t>OREGON - BLUE SKY REVENUE-COMMERCIAL</t>
  </si>
  <si>
    <t>UTAH - 08ABL-NRES - APPLICANT BUILT LINE</t>
  </si>
  <si>
    <t>UTAH - 08ABTCLXGN-LINE EXT 80% CONTRACT MIN</t>
  </si>
  <si>
    <t xml:space="preserve">UTAH - 08CFR00051-MTH FAC SRVCHG               </t>
  </si>
  <si>
    <t xml:space="preserve">UTAH - 08CFR00052-ANN FAC SVCCHG               </t>
  </si>
  <si>
    <t>UTAH - 08CGA06137-UT GEN SVC CUST GEN 137</t>
  </si>
  <si>
    <t>UTAH - 08CGA23137-UT NET MTR SMALL GEN SVC</t>
  </si>
  <si>
    <t>UTAH - 08CGM06136-UT NET METERING GENERAL SVC</t>
  </si>
  <si>
    <t>UTAH - 08CGM23136-UTAH NET METER SM GEN SVC</t>
  </si>
  <si>
    <t>UTAH - 08CGM6A136-UTAH GEN SVC TRANS GEN TOU</t>
  </si>
  <si>
    <t>UTAH - 08CGM6A137-UT GEN SVC TRANS TOU MAN 137</t>
  </si>
  <si>
    <t>UTAH - 08CGN08136-UT NET MTR GEN SVC &gt; 1000 KW</t>
  </si>
  <si>
    <t>UTAH - 08CGN06136-UT GEN SVC TRANSITION GEN</t>
  </si>
  <si>
    <t>UTAH - 08CGN06137-UT GEN SVC CUST GEN 137</t>
  </si>
  <si>
    <t>UTAH - 08CGN23136-UTAH NET METER SMALL GEN SVC</t>
  </si>
  <si>
    <t>UTAH - 08CGN23137-UT NET MTR SMALL GEN SVC</t>
  </si>
  <si>
    <t xml:space="preserve">UTAH - 08GNSV0006-GEN SRVC-DISTR               </t>
  </si>
  <si>
    <t xml:space="preserve">UTAH - 08GNSV0009-GEN SRVC-HI VO               </t>
  </si>
  <si>
    <t xml:space="preserve">UTAH - 08GNSV0023-GEN SRVC-DISTR               </t>
  </si>
  <si>
    <t xml:space="preserve">UTAH - 08GNSV006A-GEN SRVC-ENERG               </t>
  </si>
  <si>
    <t xml:space="preserve">UTAH - 08GNSV006M-MNL DIST VOLTG               </t>
  </si>
  <si>
    <t xml:space="preserve">UTAH - 08GNSV009A-GEN SRVC HI VO               </t>
  </si>
  <si>
    <t xml:space="preserve">UTAH - 08GNSV009M-MANL HIGH VOLT               </t>
  </si>
  <si>
    <t xml:space="preserve">UTAH - 08GNSV023F-GEN SRVC FIXED               </t>
  </si>
  <si>
    <t xml:space="preserve">UTAH - 08GNSV06AM-MNL ENERGY TOD               </t>
  </si>
  <si>
    <t xml:space="preserve">UTAH - 08GNSV06MN-GNSV DIST VOLT               </t>
  </si>
  <si>
    <t>UTAH - 08GNSVDWY6-UT GEN SVC W WYO DEDUCT MTR</t>
  </si>
  <si>
    <t xml:space="preserve">UTAH - 08LNX00002-MTHLY 80% GUAR               </t>
  </si>
  <si>
    <t xml:space="preserve">UTAH - 08LNX00004-ANNUAL 80%GUAR               </t>
  </si>
  <si>
    <t xml:space="preserve">UTAH - 08LNX00006-FIXD MTHLY MIN               </t>
  </si>
  <si>
    <t xml:space="preserve">UTAH - 08LNX00014-80% MIN MNTHLY               </t>
  </si>
  <si>
    <t xml:space="preserve">UTAH - 08LNX00017-ADV/REF&amp;80%ANN               </t>
  </si>
  <si>
    <t xml:space="preserve">UTAH - 08LNX00158-ANNUALCOST MTH               </t>
  </si>
  <si>
    <t>UTAH - 08LNX00300 - LINE EXT 80% PLUS MONTHLY</t>
  </si>
  <si>
    <t>UTAH - 08LNX00310 - IRR, 80% ANNUAL MIN + 80% ?</t>
  </si>
  <si>
    <t>UTAH - 08LNX00312 UT IRG LINE EXT</t>
  </si>
  <si>
    <t>UTAH - 08NMT06135-UT NET METERING GEN SVC</t>
  </si>
  <si>
    <t>UTAH - 08NMT08135 - NET METERING GEN SVC</t>
  </si>
  <si>
    <t>UTAH - 08NMT23135 - UT NET MTR, GEN, &lt; 25 KW</t>
  </si>
  <si>
    <t>UTAH - 08NMT6A135-NET METERING GEN SVC TOU</t>
  </si>
  <si>
    <t>UTAH - 08NMT8135M - NET METERING GEN SVC MANUAL</t>
  </si>
  <si>
    <t xml:space="preserve">UTAH - 08OALT007N-SECURITY AR LG               </t>
  </si>
  <si>
    <t xml:space="preserve">UTAH - 08PRSV031M-BKUP MNT&amp;SUPPL               </t>
  </si>
  <si>
    <t xml:space="preserve">UTAH - 08PTLD000N-POST TOP LIGHT               </t>
  </si>
  <si>
    <t>UTAH - 08REFP034M-RENEWABLE QUAL CUST &gt; 5000 KW</t>
  </si>
  <si>
    <t>UTAH - 08REFS032M-UT RENEWABLE FAC &amp; SUPP PWR</t>
  </si>
  <si>
    <t>UTAH - 08SSLR0006-GENERAL SVC SUBSCR SOLAR</t>
  </si>
  <si>
    <t>UTAH - 08SSLR0023-SMALL GEN SVC SUBSCR SOLAR</t>
  </si>
  <si>
    <t>UTAH - 08SSLR06AM-GEN SVC TOU SOLAR SUBSCR MAN</t>
  </si>
  <si>
    <t>UTAH - 08TCVLNAGN-UTAH LNX ANNUAL GAR NON RES</t>
  </si>
  <si>
    <t>UTAH - 08TCVLNXGN-TCV LNX - 80% GAR - NON RES</t>
  </si>
  <si>
    <t>UTAH - 08TCVLXACN-GAR ADDED CAPACITY NON RES</t>
  </si>
  <si>
    <t>UTAH - 08TOSS015F-TRAFFIC SIG NM</t>
  </si>
  <si>
    <t>UTAH - 08TOSS0015-TRAF &amp; OTHER S</t>
  </si>
  <si>
    <t>UTAH - 08MONL0015-MTR OUTDONIGHT</t>
  </si>
  <si>
    <t>UTAH - 08LNX00311 - LINE EXT 80% GUARANTEE</t>
  </si>
  <si>
    <t>UTAH - 08GNSV0008 - UT GEN SVC TOU &gt; 1000KW</t>
  </si>
  <si>
    <t>UTAH - 08GNSV008M - UT GEN SVC TOU &gt; 1000KW</t>
  </si>
  <si>
    <t>UTAH - DSM REVENUE-COMMERCIAL</t>
  </si>
  <si>
    <t>UTAH - BLUE SKY REVENUE-COMMERCIAL</t>
  </si>
  <si>
    <t xml:space="preserve">WASHINGTON - 02BLSKY01N-BLUESKY ENERGY               </t>
  </si>
  <si>
    <t>WASHINGTON - 02GN24EV45-WA ELECTRIC VEHICLE FAST CHG</t>
  </si>
  <si>
    <t>WASHINGTON - 02GNSB0024-WA GEN SRVC DO</t>
  </si>
  <si>
    <t>WASHINGTON - 02GNSB0029-WA NON RES TOU PILOT</t>
  </si>
  <si>
    <t>WASHINGTON - 02GNSB024F-GEN SRVC DOM/F</t>
  </si>
  <si>
    <t>WASHINGTON - 02GNSB24FP-WA GEN SVC SEASONAL</t>
  </si>
  <si>
    <t xml:space="preserve">WASHINGTON - 02GNSV0024-WA GEN SRVC                  </t>
  </si>
  <si>
    <t>WASHINGTON - 02GNSV0029-WA NON RES TOU PILOT</t>
  </si>
  <si>
    <t xml:space="preserve">WASHINGTON - 02GNSV024F-WA GEN SRVC-FL               </t>
  </si>
  <si>
    <t>WASHINGTON - 02LGSB0036-LRG GEN SVC IRG</t>
  </si>
  <si>
    <t xml:space="preserve">WASHINGTON - 02LGSV0036-WA LRG GEN SRV               </t>
  </si>
  <si>
    <t xml:space="preserve">WASHINGTON - 02LGSV048T-LRG GEN SRVC 1               </t>
  </si>
  <si>
    <t xml:space="preserve">WASHINGTON - 02LNX00102-LINE EXT 80% G               </t>
  </si>
  <si>
    <t xml:space="preserve">WASHINGTON - 02LNX00103-LINE EXT 80% G               </t>
  </si>
  <si>
    <t xml:space="preserve">WASHINGTON - 02LNX00105-CNTRCT $ MIN G               </t>
  </si>
  <si>
    <t xml:space="preserve">WASHINGTON - 02LNX00110-REF/NREF ADV +               </t>
  </si>
  <si>
    <t xml:space="preserve">WASHINGTON - 02LNX00112-YR INCURRED CH               </t>
  </si>
  <si>
    <t>WASHINGTON - 02LNX00300-LINE EXT 80% G</t>
  </si>
  <si>
    <t>WASHINGTON - 02LNX00310 - IRG, 80% ANNUAL MIN + 80%</t>
  </si>
  <si>
    <t>WASHINGTON - 02LNX00311 - LINE EXT 80% GUARANTEE</t>
  </si>
  <si>
    <t>WASHINGTON - 02LNX00312 - WA IRG LINE EXT</t>
  </si>
  <si>
    <t>WASHINGTON - 02NMB24135-WA NET METERING</t>
  </si>
  <si>
    <t xml:space="preserve">WASHINGTON - 02OALT015N-WA OUTD AR LGT               </t>
  </si>
  <si>
    <t>WASHINGTON - 02OALTB15N-WA OUTD AR LGT NR</t>
  </si>
  <si>
    <t xml:space="preserve">WASHINGTON - 02RCFL0054-WA REC FIELD L               </t>
  </si>
  <si>
    <t>WASHINGTON - 02NMT24135, Net metering, WA</t>
  </si>
  <si>
    <t>WASHINGTON - 02NMT36135-WA NET METER LRG SVC &lt; 1000KW</t>
  </si>
  <si>
    <t>WASHINGTON - 02NMT48135-WA LG SVC NET METER=&gt;1000 KW</t>
  </si>
  <si>
    <t>WASHINGTON - DSM REVENUE-COMMERCIAL</t>
  </si>
  <si>
    <t>WASHINGTON - BLUE SKY REVENUE-COMMERCIAL</t>
  </si>
  <si>
    <t xml:space="preserve">WYOMING - 05CHCK000N-WY NRES CHECK                </t>
  </si>
  <si>
    <t>WYOMING - 05GNCEL25F-WYOMING SMALL CELL FLAT RATE</t>
  </si>
  <si>
    <t xml:space="preserve">WYOMING - 05GNSV0025-WY GEN SRVC -A                  </t>
  </si>
  <si>
    <t>WYOMING - 05GNSV0028-GEN SVC &gt; 15 KW -A</t>
  </si>
  <si>
    <t>WYOMING - 05GNSV0029-WY GEN SVC TOU PILOT -A</t>
  </si>
  <si>
    <t xml:space="preserve">WYOMING - 05GNSV025F-GEN SRVC-FL RA -A         </t>
  </si>
  <si>
    <t xml:space="preserve">WYOMING - 05LGSV0046-WY LRG GEN SRV               </t>
  </si>
  <si>
    <t xml:space="preserve">WYOMING - 05LGSV048T-LRG GENSRV TIM               </t>
  </si>
  <si>
    <t xml:space="preserve">WYOMING - 05LNX00100-LINE EXT 60% G               </t>
  </si>
  <si>
    <t xml:space="preserve">WYOMING - 05LNX00102-LINE EXT 80% G  -A            </t>
  </si>
  <si>
    <t xml:space="preserve">WYOMING - 05LNX00105-CNTRCT $ MIN G               </t>
  </si>
  <si>
    <t xml:space="preserve">WYOMING - 05LNX00109-REF/NREF ADV +  -A              </t>
  </si>
  <si>
    <t xml:space="preserve">WYOMING - 05LNX00110-REF/NREF ADV + -A             </t>
  </si>
  <si>
    <t xml:space="preserve">WYOMING - 05LNX00114-TEMP SVC 12MO&gt;               </t>
  </si>
  <si>
    <t>WYOMING - 05NMT25135 - WY NET MTR, GEN, &lt; 25 KW -A</t>
  </si>
  <si>
    <t>WYOMING - 05NMT28135-NET MTR SMALL GEN SVC &gt; 15 KW -A</t>
  </si>
  <si>
    <t xml:space="preserve">WYOMING - 05OALT015N-OUTD AR LGT SR -A               </t>
  </si>
  <si>
    <t xml:space="preserve">WYOMING - 05RCFL0054-WY REC FIELD L -A               </t>
  </si>
  <si>
    <t>WYOMING - 05LNX00300 - LINE EXT 80% GUARANTEE</t>
  </si>
  <si>
    <t>WYOMING - 05LNX00311 - LINE EXT 80% GUARANTEE -A</t>
  </si>
  <si>
    <t>WYOMING - DSM REVENUE-SMALL COMMERCIAL -A</t>
  </si>
  <si>
    <t>WYOMING - DSM REVENUE-LARGE COMMERCIAL</t>
  </si>
  <si>
    <t>WYOMING - BLUE SKY REVENUE-COMMERCIAL -A</t>
  </si>
  <si>
    <t xml:space="preserve">WYOMING - 05GNSV0025-WY GEN SRVC -B                  </t>
  </si>
  <si>
    <t>WYOMING - 05GNSV0028-GEN SVC &gt; 15 KW -B</t>
  </si>
  <si>
    <t>WYOMING - 05GNSV0029-WY GEN SVC TOU PILOT -B</t>
  </si>
  <si>
    <t xml:space="preserve">WYOMING - 05GNSV025F-GEN SRVC-FL RA  -B              </t>
  </si>
  <si>
    <t xml:space="preserve">WYOMING - 05LNX00102-LINE EXT 80% G -B              </t>
  </si>
  <si>
    <t xml:space="preserve">WYOMING - 05LNX00103-LINE EXT 80% G               </t>
  </si>
  <si>
    <t xml:space="preserve">WYOMING - 05LNX00109-REF/NREF ADV +  -B             </t>
  </si>
  <si>
    <t xml:space="preserve">WYOMING - 05LNX00110-REF/NREF ADV + -B               </t>
  </si>
  <si>
    <t>WYOMING - 05NMT25135 - WY NET MTR, GEN, &lt; 25 KW -B</t>
  </si>
  <si>
    <t>WYOMING - 05NMT28135-NET MTR SMALL GEN SVC &gt; 15 KW -B</t>
  </si>
  <si>
    <t xml:space="preserve">WYOMING - 05OALT015N-OUTD AR LGT SR -B               </t>
  </si>
  <si>
    <t xml:space="preserve">WYOMING - 05RCFL0054-WY REC FIELD L -B              </t>
  </si>
  <si>
    <t>WYOMING - 05LNX00311 - LINE EXT 80% GUARANTEE -B</t>
  </si>
  <si>
    <t>WYOMING - DSM REVENUE-SMALL COMMERCIAL -B</t>
  </si>
  <si>
    <t>WYOMING - BLUE SKY REVENUE-COMMERCIAL -B</t>
  </si>
  <si>
    <t>COMMERCIAL SALES BILLED</t>
  </si>
  <si>
    <t>304.8 - Sales of Electricity by Rate Schedules</t>
  </si>
  <si>
    <t xml:space="preserve">WYOMING - UNBILLED REVENUE - A                      </t>
  </si>
  <si>
    <t>COMMERCIAL SALES UNBILLED</t>
  </si>
  <si>
    <t>304.9 - Sales of Electricity by Rate Schedules</t>
  </si>
  <si>
    <t>COMMERCIAL SALES TOTAL</t>
  </si>
  <si>
    <t>304.10 - Sales of Electricity by Rate Schedules</t>
  </si>
  <si>
    <t>Industrial Sales</t>
  </si>
  <si>
    <t>CALIFORNIA - DSM REVENUE-INDUSTRIAL</t>
  </si>
  <si>
    <t>CALIFORNIA - BLUE SKY REVENUE-INDUSTRIAL</t>
  </si>
  <si>
    <t xml:space="preserve">IDAHO - 07CFR00001-MTH FACILITY S               </t>
  </si>
  <si>
    <t xml:space="preserve">IDAHO - 07GNSV009M-MANL HIGH VOLT               </t>
  </si>
  <si>
    <t>IDAHO - 07GNSV023S-IDAHO TRAFFIC SIGNALS</t>
  </si>
  <si>
    <t xml:space="preserve">IDAHO - 07LNX00108-ANN COST MTHLY               </t>
  </si>
  <si>
    <t xml:space="preserve">IDAHO - 07SPCL0001                              </t>
  </si>
  <si>
    <t>IDAHO - DSM REVENUE-INDUSTRIAL</t>
  </si>
  <si>
    <t>IDAHO - BLUE SKY REVENUE-INDUSTRIAL</t>
  </si>
  <si>
    <t>OREGON - 01LGSV30MN-OR LG GEN SVC&gt;200 KW NO AUTO</t>
  </si>
  <si>
    <t>OREGON - DSM REVENUE-INDUSTRIAL</t>
  </si>
  <si>
    <t>OREGON - BLUE SKY REVENUE-INDUSTRIAL</t>
  </si>
  <si>
    <t xml:space="preserve">UTAH - 08SPCL0001                              </t>
  </si>
  <si>
    <t xml:space="preserve">UTAH - 08SPCL0002                              </t>
  </si>
  <si>
    <t xml:space="preserve">UTAH - 08SPCL0003                              </t>
  </si>
  <si>
    <t>UTAH - DSM REVENUE-INDUSTRIAL</t>
  </si>
  <si>
    <t>UTAH - BLUE SKY REVENUE-INDUSTRIAL</t>
  </si>
  <si>
    <t xml:space="preserve">WASHINGTON - 02LGSV048M-WA LRG GEN SRV               </t>
  </si>
  <si>
    <t xml:space="preserve">WASHINGTON - 02PRSV47TM-LRG PART REQMT               </t>
  </si>
  <si>
    <t>WASHINGTON - BLUE SKY REVENUE-INDUSTRIAL</t>
  </si>
  <si>
    <t>WASHINGTON - DSM REVENUE-INDUSTRIAL</t>
  </si>
  <si>
    <t>WYOMING - 05GNSV0029-WY GEN SVC TOU PILOT</t>
  </si>
  <si>
    <t xml:space="preserve">WYOMING - 05GNSV025F-GEN SRVC-FL RA               </t>
  </si>
  <si>
    <t xml:space="preserve">WYOMING - 05LGSV0046-WY LRG GEN SRV -A              </t>
  </si>
  <si>
    <t xml:space="preserve">WYOMING - 05LGSV046M-WY LRG GEN SRV               </t>
  </si>
  <si>
    <t xml:space="preserve">WYOMING - 05LGSV048M-TOU&gt;1000KW MAN -A              </t>
  </si>
  <si>
    <t xml:space="preserve">WYOMING - 05LGSV048T-LRG GENSRV TIM -A              </t>
  </si>
  <si>
    <t xml:space="preserve">WYOMING - 05LNX00102-LINE EXT 80% G -A              </t>
  </si>
  <si>
    <t xml:space="preserve">WYOMING - 05LNX00109-REF/NREF ADV +  -A               </t>
  </si>
  <si>
    <t>WYOMING - 05LNX00311 - LINE EXT 80% GUARANTEE</t>
  </si>
  <si>
    <t xml:space="preserve">WYOMING - 05PRSV033M-PART SERV REQ  -A               </t>
  </si>
  <si>
    <t>WYOMING - DSM REVENUE-SMALL INDUSTRIAL -A</t>
  </si>
  <si>
    <t>WYOMING - DSM REVENUE-LARGE INDUSTRIAL -A</t>
  </si>
  <si>
    <t>WYOMING - BLUE SKY REVENUE-INDUSTRIAL -A</t>
  </si>
  <si>
    <t xml:space="preserve">WYOMING - 05GNSV0025-WY GEN SRVC -B               </t>
  </si>
  <si>
    <t>WYOMING - 05GNSV028M-GEN SVC &gt; 15 KW MANUAL BILL</t>
  </si>
  <si>
    <t xml:space="preserve">WYOMING - 05LGSV0046-WY LRG GEN SRV -B               </t>
  </si>
  <si>
    <t xml:space="preserve">WYOMING - 05LGSV048M-TOU&gt;1000KW MAN -B               </t>
  </si>
  <si>
    <t xml:space="preserve">WYOMING - 05LGSV048T-LRG GENSRV TIM -B               </t>
  </si>
  <si>
    <t xml:space="preserve">WYOMING - 05LNX00109-REF/NREF ADV +  -B              </t>
  </si>
  <si>
    <t>WYOMING - 05NMT25135 - WY NET MTR, GEN, &lt; 25 KW</t>
  </si>
  <si>
    <t xml:space="preserve">WYOMING - 05PRSV033M-PART SERV REQ -B               </t>
  </si>
  <si>
    <t>WYOMING - DSM REVENUE-SMALL INDUSTRIAL -B</t>
  </si>
  <si>
    <t>WYOMING - DSM REVENUE-LARGE INDUSTRIAL -B</t>
  </si>
  <si>
    <t xml:space="preserve">WYOMING - BLUE SKY REVENUE-INDUSTRIAL -B </t>
  </si>
  <si>
    <t>Irrigation Sales</t>
  </si>
  <si>
    <t xml:space="preserve">CALIFORNIA - 06APSV0020-AG PMP SRVC                  </t>
  </si>
  <si>
    <t>CALIFORNIA - 06APSV0115-CA AGRI PUMP TOU PILOT,GHG CR</t>
  </si>
  <si>
    <t>CALIFORNIA - 06APSV020L-AG PMP SRVC-NO GHG CREDIT</t>
  </si>
  <si>
    <t>CALIFORNIA - 06APSV115L-CA AGRI PUMP TOU, NO GHG CR</t>
  </si>
  <si>
    <t xml:space="preserve">CALIFORNIA - 06LNX00103-LINE EXT 80% G               </t>
  </si>
  <si>
    <t>CALIFORNIA - 06LNX00310 - IRG, 80% ANNUAL MIN + 80%</t>
  </si>
  <si>
    <t>CALIFORNIA - 06LNX00312 - CA IRG LINE EXT</t>
  </si>
  <si>
    <t>CALIFORNIA - 06NB20L136-CA IRG NET BILL NO GHG CR</t>
  </si>
  <si>
    <t>CALIFORNIA - 06NBL20136-CA IRG NET BILLING</t>
  </si>
  <si>
    <t>CALIFORNIA - 06NML20135-AGRI PUMP-NET MTR NO GHG CR</t>
  </si>
  <si>
    <t>CALIFORNIA - 06NMT20135-AGRICULTURAL PUMP-NET METER</t>
  </si>
  <si>
    <t>CALIFORNIA - 06USBR0020-KLAM IRG ONPRJ</t>
  </si>
  <si>
    <t>CALIFORNIA - 06USBR0115-CA AGR PMP TOU PLT USBR GHG</t>
  </si>
  <si>
    <t>CALIFORNIA - 06USBR020L-KLAM IRG ONPRJ-NO CHG CREDIT</t>
  </si>
  <si>
    <t>CALIFORNIA - 06USBR115L-CA AGR PMP TOU PLT USBR NOGHG</t>
  </si>
  <si>
    <t>CALIFORNIA - DSM REVENUE-IRRIGATION</t>
  </si>
  <si>
    <t>CALIFORNIA - BLUE SKY REVENUE-IRRIGATION</t>
  </si>
  <si>
    <t>IDAHO - 07APSA010L - IRG &amp; Pump Large Load</t>
  </si>
  <si>
    <t>IDAHO - 07APSA010S - IRG &amp; Pump Small Load</t>
  </si>
  <si>
    <t>IDAHO - 07APSAL10X - IRG &amp; PUMP - Large load</t>
  </si>
  <si>
    <t>IDAHO - 07APSAS10X - IRG &amp; PUMP - Small load</t>
  </si>
  <si>
    <t>IDAHO - 07APSV006A-LRG POWER OPTIONAL SVC - IRG</t>
  </si>
  <si>
    <t>IDAHO - 07APSV023A-SMALL POWER OPTIONAL SVC-IRG</t>
  </si>
  <si>
    <t xml:space="preserve">IDAHO - 07APSVCNLL-LRG LOAD CANAL               </t>
  </si>
  <si>
    <t xml:space="preserve">IDAHO - 07APSVCNLS-SML LOAD CANAL               </t>
  </si>
  <si>
    <t>IDAHO - 07NB10X136-NON BPA ID PUMP LRG NET BILL</t>
  </si>
  <si>
    <t>IDAHO - 07NBL10136-ID IRG LRG LOAD NET BILLING</t>
  </si>
  <si>
    <t>IDAHO - 07NM10X135-ID NET METERING - IRG</t>
  </si>
  <si>
    <t>IDAHO - 07APSN010L - ID LG IRR &amp; PUMP</t>
  </si>
  <si>
    <t>IDAHO - 07APSN010S - IRRIGATION, SMALL, 3 PH</t>
  </si>
  <si>
    <t>IDAHO - 07APSNS10X - IRRIGATION, SMALL, 3 PHASE</t>
  </si>
  <si>
    <t>IDAHO - DSM REVENUE-IRRIGATION</t>
  </si>
  <si>
    <t>IDAHO - BLUE SKY REVENUE-IRRIGATION</t>
  </si>
  <si>
    <t>OREGON - 01APSBA41T-OR IRR TOU OPT A - 2PM-6PM</t>
  </si>
  <si>
    <t>OREGON - 01APSBB41T-OR IRR TOU OPT B - 6PM-10PM</t>
  </si>
  <si>
    <t>OREGON - 01APSBT041-OR IRG TOU METER</t>
  </si>
  <si>
    <t xml:space="preserve">OREGON - 01APSV0041-AG PMP SRVC BP               </t>
  </si>
  <si>
    <t>OREGON - 01APSV041L-OR Pumping Serv &gt;30KW</t>
  </si>
  <si>
    <t>OREGON - 01APSV041T - AGR PUMP SRV-TOU OPTION</t>
  </si>
  <si>
    <t xml:space="preserve">OREGON - 01APSV041X-AG PMP SRVC&lt;30 kW        </t>
  </si>
  <si>
    <t>OREGON - 01APSV41TA-OR IRG PUMPING TOU OPT-A</t>
  </si>
  <si>
    <t>OREGON - 01APSV41TB-OR IRG PUMPING TOU OPT-B</t>
  </si>
  <si>
    <t>OREGON - 01APSV41XL-OR Pumping Serv no BPA &gt;30KW</t>
  </si>
  <si>
    <t>OREGON - 01APSVT041-OR IRG TOU METER</t>
  </si>
  <si>
    <t>OREGON - 01APSVT41L-OR AGRICULTUARL PUMPING&gt;30 KW</t>
  </si>
  <si>
    <t>OREGON - 01COST0041 -01APSV0041-01APSV041X AG PMP</t>
  </si>
  <si>
    <t>OREGON - 01COST041T- AG IRG TOU ENERGY SUPPLY SVC</t>
  </si>
  <si>
    <t>OREGON - 01COST41MT-OR IRG COST SUPPLY TOU MTR</t>
  </si>
  <si>
    <t>OREGON - 01CSTU41MT-USBR IRG COST SUPPLY SVC TOU</t>
  </si>
  <si>
    <t>OREGON - 01CSTUSB41-USBR IRRIGATION CONTRACTS CSS</t>
  </si>
  <si>
    <t>OREGON - 01HABIT041 - 01APSV0041 AG PMP SRVC</t>
  </si>
  <si>
    <t>OREGON - 01PTOU0041 - 01APSV0041 AG PMP SRVC</t>
  </si>
  <si>
    <t>OREGON - 01RENEW041 - 01APSV0041 AG PMP SRVC</t>
  </si>
  <si>
    <t>OREGON - 01STDAY041 - Daily Standard Offer Sch 25</t>
  </si>
  <si>
    <t>OREGON - 01USBOFT41-OR USBR IRG OFF PRJCT LND TOU</t>
  </si>
  <si>
    <t>OREGON - 01USBONT41-USBR IRG CONTR-PRJCT LND TOU</t>
  </si>
  <si>
    <t>OREGON - 01USBRGV41-IRG TOU W/O BPA</t>
  </si>
  <si>
    <t>OREGON - 01USBROF41-KLAMATH BASIN IRG OFF PRJ LND</t>
  </si>
  <si>
    <t>OREGON - 01USBRON41-KLAMATH BASIN IRG ON PJT LND</t>
  </si>
  <si>
    <t>OREGON - 01VIR41136-OR VOLUME INCENTIVE-AGRI PUMP</t>
  </si>
  <si>
    <t>OREGON - 01VRU41136-OR VOL INCENTIVE USB CONTRACT</t>
  </si>
  <si>
    <t>OREGON - DSM REVENUE-IRRIGATION</t>
  </si>
  <si>
    <t>OREGON - BLUE SKY REVENUE-IRRIGATION</t>
  </si>
  <si>
    <t>OREGON - 01LNX00316-LINE EXTENTION</t>
  </si>
  <si>
    <t>OREGON - 01NB41A135-NET MTR IRG TOU OPT A 2-6</t>
  </si>
  <si>
    <t>OREGON - 01NMB41135-OREGON NET METER IRRIGATION</t>
  </si>
  <si>
    <t>OREGON - 01NMO41135-OR USBR IRG NT MTR OFF PJ LND</t>
  </si>
  <si>
    <t>OREGON - 01NMT41135 - NETMTR AG PMP SVC</t>
  </si>
  <si>
    <t>OREGON - 01NMU41135 - OR NET MTR - PROJECT LAND</t>
  </si>
  <si>
    <t xml:space="preserve">UTAH - 08APSV0010-IRR &amp; SOIL DRA               </t>
  </si>
  <si>
    <t>UTAH - 08APSV10NS- Irg Soil Drain Pump Non Seas</t>
  </si>
  <si>
    <t>UTAH - 08CGM10136-UT IRG NET METER MANUAL</t>
  </si>
  <si>
    <t>UTAH - 08CGN10136-UT IRG AND SOIL DRAIN NET MTR</t>
  </si>
  <si>
    <t>UTAH - 08CGN10137-UT IRRIGATION - NET METER 137</t>
  </si>
  <si>
    <t>UTAH - 08CNS10137-UT IRG NON-SEASONAL NET MTR</t>
  </si>
  <si>
    <t>UTAH - 08NMT010NS-IRR &amp; SOIL DRAIN NON SEASONAL</t>
  </si>
  <si>
    <t>UTAH - 08NMT10135-UT IRR_SOIL DRNG NET MTR SVC</t>
  </si>
  <si>
    <t>UTAH - 08TCVLAACN-UTAH TCV LNX ANNUAL GAR</t>
  </si>
  <si>
    <t>UTAH - DSM REVENUE-IRRIGATION</t>
  </si>
  <si>
    <t>UTAH - BLUE SKY REVENUE-IRRIGATION</t>
  </si>
  <si>
    <t xml:space="preserve">WASHINGTON - 02APSV0040-WA AG PMP SRVC               </t>
  </si>
  <si>
    <t xml:space="preserve">WASHINGTON - 02APSV040X-WA AG PMP SRVC               </t>
  </si>
  <si>
    <t>WASHINGTON - 02NMT40135-WA NET METERING-IRG</t>
  </si>
  <si>
    <t>WASHINGTON - 02NMX40135-WA NET METERING-IRG</t>
  </si>
  <si>
    <t>WASHINGTON - DSM REVENUE-IRRIGATION</t>
  </si>
  <si>
    <t>WASHINGTON - BLUE SKY REVENUE-IRRIGATION</t>
  </si>
  <si>
    <t xml:space="preserve">WYOMING - 05APS00040-AG PUMPING SVC -A            </t>
  </si>
  <si>
    <t>WYOMING - 05APS0040T-WY IRG TOU PILOT</t>
  </si>
  <si>
    <t>WYOMING - 05APSNS040-AG PUMPING SVC - NON SEASON</t>
  </si>
  <si>
    <t xml:space="preserve">WYOMING - 05LNX00109-REF/NREF ADV +  -A             </t>
  </si>
  <si>
    <t xml:space="preserve">WYOMING - 05LNX00110-REF/NREF ADV +   -A             </t>
  </si>
  <si>
    <t>WYOMING - 05LNX00312 - WY IRG LINE EXT -A</t>
  </si>
  <si>
    <t>WYOMING - 09APSNS210-IRR &amp; SOIL DRA - NON SEASON -A</t>
  </si>
  <si>
    <t>WYOMING - DSM REVENUE-IRRIGATION -A</t>
  </si>
  <si>
    <t>WYOMING - BLUE SKY REVENUE-IRRIGATION -A</t>
  </si>
  <si>
    <t xml:space="preserve">WYOMING - 05APS00040-AG PUMPING SVC -B               </t>
  </si>
  <si>
    <t xml:space="preserve">WYOMING - 05LNX00110-REF/NREF ADV +  -B             </t>
  </si>
  <si>
    <t>WYOMING - 05LNX00312 - WY IRG LINE EXT -B</t>
  </si>
  <si>
    <t>WYOMING - 09APSNS210-IRR &amp; SOIL DRA - NON SEASON -B</t>
  </si>
  <si>
    <t xml:space="preserve">WYOMING - 09APSV0210-IRR &amp; SOIL DRA               </t>
  </si>
  <si>
    <t>WYOMING - DSM REVENUE-IRRIGATION -B</t>
  </si>
  <si>
    <t>WYOMING - BLUE SKY REVENUE-IRRIGATION -B</t>
  </si>
  <si>
    <t>LESS MULTIPLE BILLINGS IRRIGATION</t>
  </si>
  <si>
    <t>INDUSTRIAL &amp; IRRIGATION SALES BILLED</t>
  </si>
  <si>
    <t xml:space="preserve">CALIFORNIA - INDUSTRIAL UNBILLED REVENUE                        </t>
  </si>
  <si>
    <t xml:space="preserve">IDAHO -  INDUSTRIAL UNBILLED REVENUE                        </t>
  </si>
  <si>
    <t xml:space="preserve">OREGON -  INDUSTRIAL UNBILLED REVENUE                        </t>
  </si>
  <si>
    <t xml:space="preserve">UTAH - INDUSTRIAL UNBILLED REVENUE                        </t>
  </si>
  <si>
    <t xml:space="preserve">WASHINGTON - INDUSTRIAL UNBILLED REVENUE                        </t>
  </si>
  <si>
    <t xml:space="preserve">WYOMING - INDUSTRIAL UNBILLED REVENUE-A                        </t>
  </si>
  <si>
    <t xml:space="preserve">WYOMING - INDUSTRIAL UNBILLED REVENUE-B                        </t>
  </si>
  <si>
    <t xml:space="preserve">CALIFORNIA - IRRIGATION UNBILLED                     </t>
  </si>
  <si>
    <t xml:space="preserve">IDAHO - UNBILLED REV - IRRIGATION               </t>
  </si>
  <si>
    <t xml:space="preserve">OREGON - IRRIGATION UNBILLED                     </t>
  </si>
  <si>
    <t xml:space="preserve">UTAH - UNBILLED REV - IRRIGATION               </t>
  </si>
  <si>
    <t xml:space="preserve">WASHINGTON - IRRIGATION UNBILLED                     </t>
  </si>
  <si>
    <t>WYOMING - IRRIGATION UNBILLED</t>
  </si>
  <si>
    <t>WYOMING - UNBILLED REV - IRRIGATION</t>
  </si>
  <si>
    <t>INDUSTRIAL AND  IRRIGATION SALES UNBILLED</t>
  </si>
  <si>
    <t>INDUSTRIAL AND IRRIGATION SALES TOTAL</t>
  </si>
  <si>
    <t>Total Commercial and Industrial Sales</t>
  </si>
  <si>
    <t>COMMERCIAL AND INDUSTRIAL SALES BILLED</t>
  </si>
  <si>
    <t>COMMERCIAL AND INDUSTRIAL SALES UNBILLED</t>
  </si>
  <si>
    <t>COMMERCIAL AND INDUSTRIAL SALES TOTAL</t>
  </si>
  <si>
    <t>Public Street and Highway Lighting Sales</t>
  </si>
  <si>
    <t xml:space="preserve">CALIFORNIA - 06CUSL053E-SPECIAL CUST O               </t>
  </si>
  <si>
    <t xml:space="preserve">CALIFORNIA - 06CUSL058F-CUST OWND STR                </t>
  </si>
  <si>
    <t>CALIFORNIA - 06SLCO0051-COMPANY OWNED STREET LIGHTING</t>
  </si>
  <si>
    <t>CALIFORNIA - DSM REVENUE-PSHL</t>
  </si>
  <si>
    <t xml:space="preserve">IDAHO - 07SLCO0011-STR LGT CO-OWN               </t>
  </si>
  <si>
    <t>IDAHO - 07SLCU012E-ENGY STR LGT-CUST OWN</t>
  </si>
  <si>
    <t>IDAHO - 07SLCU012F-FULL MNT STR LGT-CUST OWN</t>
  </si>
  <si>
    <t>IDAHO - 07SLCU012P-PART MNT STR LGT CUST OWN</t>
  </si>
  <si>
    <t>IDAHO - DSM REVENUE-PSHL</t>
  </si>
  <si>
    <t xml:space="preserve">OREGON - 01CUSL0053-CUS-OWNED MTRD               </t>
  </si>
  <si>
    <t>OREGON - 01CUSL053E-STR LGT SVC</t>
  </si>
  <si>
    <t xml:space="preserve">OREGON - 01CUSL053F-STR LGT SRVC C               </t>
  </si>
  <si>
    <t>OREGON - 01CUSL53E2-STR LGT SVC</t>
  </si>
  <si>
    <t xml:space="preserve">OREGON - 01HPSV0051-HI PRESSURE SO               </t>
  </si>
  <si>
    <t>OREGON - 01SLCO0051-OR COMPANY OWNED STREET LIGHT</t>
  </si>
  <si>
    <t>OREGON - DSM REVENUE-PSHL</t>
  </si>
  <si>
    <t xml:space="preserve">UTAH - 08CFR00012-STR LGTS (CONV               </t>
  </si>
  <si>
    <t xml:space="preserve">UTAH - 08CFR00062-STREET LIGHTS                </t>
  </si>
  <si>
    <t xml:space="preserve">UTAH - 08SLCO0011-STR LGT CO-OWN               </t>
  </si>
  <si>
    <t>UTAH - 08SLCU012P-STR LGT CUST-O</t>
  </si>
  <si>
    <t>UTAH - 08SLCU012F-STR LGT CUST-O</t>
  </si>
  <si>
    <t>UTAH - 08SLCU012E-DECOR CUST-OWN</t>
  </si>
  <si>
    <t>UTAH - DSM REVENUE-PSHL</t>
  </si>
  <si>
    <t xml:space="preserve">WASHINGTON - 02CFR00012-STR LGTS (CONV               </t>
  </si>
  <si>
    <t xml:space="preserve">WASHINGTON - 02CUSL053F-WA STR LGT SRV               </t>
  </si>
  <si>
    <t xml:space="preserve">WASHINGTON - 02CUSL053M-WA STR LGT SRV               </t>
  </si>
  <si>
    <t>WASHINGTON - 02SLCO0051-WA COMPANY STREET LIGHTING</t>
  </si>
  <si>
    <t>WASHINGTON - SM REVENUE-PSHL</t>
  </si>
  <si>
    <t xml:space="preserve">WYOMING - 05CUSL0058-CUST OWND STR                </t>
  </si>
  <si>
    <t>WYOMING - 05CUSL0E58-WY CUST OWNED STREET LIGHT</t>
  </si>
  <si>
    <t>WYOMING - 05CUSL0M58-CUST OWNED STREET LT W/MAIT -A</t>
  </si>
  <si>
    <t>WYOMING - 05SLCO0051-WY STREET LIGHT COMPANY OWNED -A</t>
  </si>
  <si>
    <t>WYOMING - DSM REVENUE-PSHL -A</t>
  </si>
  <si>
    <t>WYOMING - 05CUSL0M58-CUST OWNED STREET LT W/MAIT -B</t>
  </si>
  <si>
    <t xml:space="preserve">WYOMING - 05RCFL0054-WY REC FIELD L               </t>
  </si>
  <si>
    <t>WYOMING - 05SLCO0051-WY STREET LIGHT COMPANY OWNED -B</t>
  </si>
  <si>
    <t>WYOMING - DSM REVENUE-PSHL -B</t>
  </si>
  <si>
    <t>PUBLIC STREET AND HIGHWAY LIGHTING SALES BILLED</t>
  </si>
  <si>
    <t xml:space="preserve">WYOMING - UNBILLED REVENUE-A                       </t>
  </si>
  <si>
    <t xml:space="preserve">WYOMING - UNBILLED REVENUE-B                        </t>
  </si>
  <si>
    <t>PUBLIC STREET AND HIGHWAY LIGHTING SALES UNBILLED</t>
  </si>
  <si>
    <t>PUBLIC STREET AND HIGHWAY LIGHTING SALES TOTAL</t>
  </si>
  <si>
    <t>PAGE 310</t>
  </si>
  <si>
    <t>SALES FOR RESALE (Account 447)</t>
  </si>
  <si>
    <t xml:space="preserve">1. Report all sales for resale (i.e., sales to purchasers other than ultimate consumers) transacted on a settlement basis other than power exchanges during the year. Do not report exchanges of electricity )i.e., transactions involving a balancing of debits and credits for energy, capacity, ect.) and any settlements for imbalanced exchanges on this schedule. Power exchanges must be reported on the Purchased Power schedule (Page 326-327).
2.  Enter the name of the purchaser in column (a). Do note abbreviate or truncate the name or use acronyms. Explain in a footnote any ownership interest or affiliation the respondent has with the purchaser.
3.  In column (b), enter a Statistical Classification Code based on the original contractual terms and conditions of the service as follows: 
RQ - for requirements service. Requirements service is a service which the supplier plans to provide on an ongoing basis (i.e., the supplier includes projected load for this service in its system resource planning). In addition, the reliability of requirements service must be the same as, or second only to, the supplier's service to its own ultimate consumers.
LF - for tong-term service. "Long-term" means five years or Longer and "firm" means that service cannot be interrupted for economic reasons and is intended to remain reliable even under adverse conditions (e.g., the supplier must attempt to buy emergency energy from third parties to maintain deliveries of LF service). This category should not be used for Long-term firm service which meets the definition of RQ service. For all transactions identified as LF, provide in a footnote the termination date of the contract defined as the earliest date that either buyer or setter can unilaterally get out the contract.
IF - for intermediate-term firm service. The same as LF service except that "intermediate-term" means longer than one year but Less than five years. 
SF - for short-term firm service. Use this category for all firm services where the duration of each period of commitment for service is one year or less. 
LU - for Long-term service from a designated generating unit. "Long-term" means five years or Longer. The availability and reliability of service, aside from transmission constraints, must match the availability and reliability of designated unit. 
IU - for intermediate-term service from a designated generating unit. The same as LU service except that "intermediate-term" means Longer than one year but Less than five years. </t>
  </si>
  <si>
    <t>OS - for other service. use this category only for those services which cannot be placed in the above-defined categories, such as all non-firm service regardless of the Length of the contract and service from designated units of Less than one year. Describe the nature of the service in a footnote. 
AD - for Out-of-period adjustment. Use this code for any accounting adjustments or "true-ups" for service provided in prior reporting years. Provide an explanation in a footnote for each adjustment. 
4. Group requirements RQ sales together and report them starting at line number one. After listing all RQ sales, enter "Subtotal - RQ" in column (a). The remaining sales may then be listed in any order. Enter "Subtotal-Non-RQ" in column (a) after this Listing. Enter "Total'' in column (a) as the Last Line of the schedule. Report subtotals and total for columns (9) through (k) 
5. In Column (c), identify the FERC Rate Schedule or Tariff Number. On separate Lines, List all FERC rate schedules or tariffs under which service, as identified in column (b), is provided. 
6. For requirements RQ sales and any type of-service involving demand charges imposed on a monthly (or Longer) basis, enter the average monthly billing demand in column (d), the average monthly non-coincident peak (NCP) demand in column (e), and the average monthly coincident peak (CP) demand in column (f). For all other types of service, enter NA in columns (d), (e) and (f). Monthly NCP demand is the maximum metered hourly (60-minute integration) demand in a month. Monthly CP demand is the metered demand during the hour (60-minute integration) in which the supplier's system reaches its monthly peak. Demand reported in columns (e) and (f) must be in megawatts. Footnote any demand not stated on a megawatt basis and explain. 
7. Report in column (g) the megawatt hours shown on bills rendered to the purchaser. 
8. Report demand charges in column (h), energy charges in column (i), and the total of any other types of charges, including out-of-period adjustments, in column (j). Explain in a footnote all components of the amount shown in column (j). Report in column (k) the total charge shown on bills rendered to the purchaser. 
9. The data in column (g) through (k) must be subtotaled based on the RQ/Non-RQ grouping (see instruction 4), and then totaled on the Last -line of the schedule. The "Subtotal - RQ" amount in column (g) must be reported as Requirements Sales For Resale on Page 401, line 23. The "Subtotal - Non-RQ" amount in column (g) must be reported as Non-Requirements Sales For Resale on Page 401,iine 24. 
10. Footnote entries as required and provide explanations following all required data.</t>
  </si>
  <si>
    <t>Name of Company or Public Authority
(Footnote Affiliations)</t>
  </si>
  <si>
    <t>Statistical
Classifi-
cation</t>
  </si>
  <si>
    <t>FERC Rate
Schedule or
Tariff Number</t>
  </si>
  <si>
    <t>Average
Monthly Billing
Demand (MW)</t>
  </si>
  <si>
    <t>Actual Demand (MW)</t>
  </si>
  <si>
    <t>Mega Watt Hours
Sold</t>
  </si>
  <si>
    <t>REVENUE</t>
  </si>
  <si>
    <t>Total ($)
(h+i+j)</t>
  </si>
  <si>
    <t>Average
Monthly NCP Demand</t>
  </si>
  <si>
    <t>Average
Monthly CP Demand</t>
  </si>
  <si>
    <t>Demand Charges
($)</t>
  </si>
  <si>
    <t>Energy Charges
($)</t>
  </si>
  <si>
    <t>Other Charges
($)</t>
  </si>
  <si>
    <t>Requirement Sales:</t>
  </si>
  <si>
    <t>Helper City</t>
  </si>
  <si>
    <t>T-6</t>
  </si>
  <si>
    <t>Helper City Annex</t>
  </si>
  <si>
    <t>Navajo Tribal Utility Authority</t>
  </si>
  <si>
    <t>T-12</t>
  </si>
  <si>
    <t>Navajo Tribal Utility Authority (Mexican Hat)</t>
  </si>
  <si>
    <t>Navajo Tribal Utility Authority (Red Mesa)</t>
  </si>
  <si>
    <t>Accrual</t>
  </si>
  <si>
    <t>Non-Requirement Sales:</t>
  </si>
  <si>
    <t>Altop Energy Trading, LLC</t>
  </si>
  <si>
    <t>Arizona Electric Power Cooperative, Inc.</t>
  </si>
  <si>
    <t>Arizona Public Service Company</t>
  </si>
  <si>
    <t>Avangrid Renewables, LLC</t>
  </si>
  <si>
    <t>T-13</t>
  </si>
  <si>
    <t>WSPP-Q</t>
  </si>
  <si>
    <t>Avista Corporation</t>
  </si>
  <si>
    <t>Basin Electric Power Cooperative</t>
  </si>
  <si>
    <t>Black Hills Power, Inc.</t>
  </si>
  <si>
    <t>Bonneville Power Administration</t>
  </si>
  <si>
    <t>BP Energy Company</t>
  </si>
  <si>
    <t>British Columbia Hydro and Power Authority</t>
  </si>
  <si>
    <t>Brookfield Renewable Trading and Marketing LP</t>
  </si>
  <si>
    <t>Calpine Energy Services, L.P.</t>
  </si>
  <si>
    <t>Citigroup Energy Inc.</t>
  </si>
  <si>
    <t>City of Burbank</t>
  </si>
  <si>
    <t>City of Glendale</t>
  </si>
  <si>
    <t>City of Hurricane</t>
  </si>
  <si>
    <t>City of Roseville</t>
  </si>
  <si>
    <t>City of St. George, Utah</t>
  </si>
  <si>
    <t>Clatskanie People's Utility District</t>
  </si>
  <si>
    <t>ConocoPhillips Company</t>
  </si>
  <si>
    <t>Constellation Energy Generation, LLC</t>
  </si>
  <si>
    <t>CP Energy Marketing (US) Inc.</t>
  </si>
  <si>
    <t>Dynasty Power Inc.</t>
  </si>
  <si>
    <t>EDF Trading North America, LLC</t>
  </si>
  <si>
    <t>El Paso Electric Company</t>
  </si>
  <si>
    <t>Energy Keepers, Inc.</t>
  </si>
  <si>
    <t>Eugene Water &amp; Electric Board</t>
  </si>
  <si>
    <t>Gridforce Energy Management, LLC</t>
  </si>
  <si>
    <t>Guzman Energy, LLC</t>
  </si>
  <si>
    <t>Idaho Power Company</t>
  </si>
  <si>
    <t>Macquarie Energy LLC</t>
  </si>
  <si>
    <t>Mag Energy Solutions Inc</t>
  </si>
  <si>
    <t>Mercuria Energy America, LLC</t>
  </si>
  <si>
    <t>Modesto Irrigation District</t>
  </si>
  <si>
    <t>Morgan Stanley Capital Group Inc.</t>
  </si>
  <si>
    <t>NaturEner Power Watch, LLC</t>
  </si>
  <si>
    <t>Nevada Power Company</t>
  </si>
  <si>
    <t>NorthWestern Energy</t>
  </si>
  <si>
    <t>Phillips 66 Energy Trading, LLC</t>
  </si>
  <si>
    <t>Portland General Electric Company</t>
  </si>
  <si>
    <t>Powerex Corporation</t>
  </si>
  <si>
    <t>Public Service Company of Colorado</t>
  </si>
  <si>
    <t>Public Service Company of New Mexico</t>
  </si>
  <si>
    <t>Public Utility District No. 1 of Chelan County</t>
  </si>
  <si>
    <t>Public Utility District No. 1 of Snohomish County</t>
  </si>
  <si>
    <t>Public Utility District No. 2 of Grant County</t>
  </si>
  <si>
    <t>Puget Sound Energy, Inc.</t>
  </si>
  <si>
    <t>Rainbow Energy Marketing Corporation</t>
  </si>
  <si>
    <t>Sacramento Municipal Utility District</t>
  </si>
  <si>
    <t>Salt River Project</t>
  </si>
  <si>
    <t>Seattle City Light</t>
  </si>
  <si>
    <t>Shell Energy North America (US), L.P.</t>
  </si>
  <si>
    <t>Sierra Pacific Power Company</t>
  </si>
  <si>
    <t>Tacoma Power</t>
  </si>
  <si>
    <t>Tenaska Power Services Co.</t>
  </si>
  <si>
    <t>The Energy Authority, Inc.</t>
  </si>
  <si>
    <t>TransAlta Energy Marketing (U.S.) Inc.</t>
  </si>
  <si>
    <t>Tri-State Generation and Transmission Association, Inc.</t>
  </si>
  <si>
    <t>Tucson Electric Power Company</t>
  </si>
  <si>
    <t>Turlock Irrigation District</t>
  </si>
  <si>
    <t>Uniper Global Commodities North America LLC</t>
  </si>
  <si>
    <t>UNS Electric, Inc.</t>
  </si>
  <si>
    <t>Utah Associated Municipal Power Systems</t>
  </si>
  <si>
    <t>Utah Municipal Power Agency</t>
  </si>
  <si>
    <t>Vitol Inc.</t>
  </si>
  <si>
    <t>Western Area Power Administration - Colorado Missouri</t>
  </si>
  <si>
    <t>Western Area Power Administration - Sierra Nevada</t>
  </si>
  <si>
    <t>Western Area Power Administration - Upper Colorado</t>
  </si>
  <si>
    <t>Test Generation</t>
  </si>
  <si>
    <t>Transmission Loss Sales Revenue</t>
  </si>
  <si>
    <t>T-11</t>
  </si>
  <si>
    <t>Netting-Bookouts</t>
  </si>
  <si>
    <t>Netting-Trading</t>
  </si>
  <si>
    <t>Subtotal RQ</t>
  </si>
  <si>
    <t>Subtotal non-RQ</t>
  </si>
  <si>
    <t>PAGE 320</t>
  </si>
  <si>
    <t>ELECTRIC OPERATION AND MAINTENANCE EXPENSES</t>
  </si>
  <si>
    <t>If the amount for previous year is not derived from previously reported figures, explain in footnote.</t>
  </si>
  <si>
    <t xml:space="preserve">Amount for
Current Year </t>
  </si>
  <si>
    <t>Amount for
Previous Year</t>
  </si>
  <si>
    <t>1. POWER PRODUCTION EXPENSES</t>
  </si>
  <si>
    <t>A. Steam Power Generation</t>
  </si>
  <si>
    <t>(500) Operation Supervision and Engineering</t>
  </si>
  <si>
    <t>(501) Fuel</t>
  </si>
  <si>
    <t>(502) Steam Expenses</t>
  </si>
  <si>
    <t>(503) Steam from Other Sources</t>
  </si>
  <si>
    <t>(Less) (504) Steam Transferred</t>
  </si>
  <si>
    <t>(505) Electric Expenses</t>
  </si>
  <si>
    <t>(506) Miscellaneous Steam Power Expenses</t>
  </si>
  <si>
    <t>(507) Rents</t>
  </si>
  <si>
    <t>(509) Allowances</t>
  </si>
  <si>
    <t>TOTAL Operation (Enter Total of Lines 4 thru 12)</t>
  </si>
  <si>
    <t>(510) Maintenance Supervision and Engineering</t>
  </si>
  <si>
    <t>(511) Maintenance of Structures</t>
  </si>
  <si>
    <t>(512) Maintenance of Boiler Plant</t>
  </si>
  <si>
    <t>(513) Maintenance of Electric Plant</t>
  </si>
  <si>
    <t>(514) Maintenance of Miscellaneous Steam Plant</t>
  </si>
  <si>
    <t>TOTAL Maintenance (Enter Total of Lines 15 thru 19)</t>
  </si>
  <si>
    <t>TOTAL Power Production Expenses-Steam Power (Enter Total lines 13 &amp; 20)</t>
  </si>
  <si>
    <t>B. Nuclear Power Generation</t>
  </si>
  <si>
    <t>(517) Operation Supervision and Engineering</t>
  </si>
  <si>
    <t>(518) Fuel</t>
  </si>
  <si>
    <t>(519) Coolants and Water</t>
  </si>
  <si>
    <t>(520) Steam Expenses</t>
  </si>
  <si>
    <t>(521) Steam from Other Sources</t>
  </si>
  <si>
    <t>(Less) (522) Steam Transferred- Cr.</t>
  </si>
  <si>
    <t>(523) Electric Expenses</t>
  </si>
  <si>
    <t>(524) Miscellaneous Nuclear Power Expenses</t>
  </si>
  <si>
    <t>(525) Rents</t>
  </si>
  <si>
    <t>TOTAL Operation (Enter Total of lines 24 thru 32)</t>
  </si>
  <si>
    <t>(528) Maintenance Supervision and Engineering</t>
  </si>
  <si>
    <t>(529) Maintenance of Structures</t>
  </si>
  <si>
    <t>(530) Maintenance of Reactor Plant Equipment</t>
  </si>
  <si>
    <t>(531) Maintenance of Electric Plant</t>
  </si>
  <si>
    <t>(532) Maintenance of Miscellaneous Plant</t>
  </si>
  <si>
    <t>TOTAL Maintenance (Enter Total of lines 35 thru 39)</t>
  </si>
  <si>
    <t>TOTAL Power Production Expenses-Nuclear Power (Enter Total of lines 33 &amp; 40)</t>
  </si>
  <si>
    <t>C. Hydraulic Power Generation</t>
  </si>
  <si>
    <t>(535) Operation Supervision and Engineering</t>
  </si>
  <si>
    <t>(536) Water for Power</t>
  </si>
  <si>
    <t>(537) Hydraulic Expenses</t>
  </si>
  <si>
    <t>(538) Electric Expenses</t>
  </si>
  <si>
    <t>(539) Miscellaneous Hydraulic Power Generation Expenses</t>
  </si>
  <si>
    <t>(540) Rents</t>
  </si>
  <si>
    <t>TOTAL Operation (Enter Total of Lines 44 thru 49)</t>
  </si>
  <si>
    <t>C. Hydraulic Power Generation (Continued)</t>
  </si>
  <si>
    <t>(541) Maintenance Supervision and Engineering</t>
  </si>
  <si>
    <t>(542) Maintenance of Structures</t>
  </si>
  <si>
    <t>(543) Maintenance of Reservoirs, Dams, and Waterways</t>
  </si>
  <si>
    <t>(544) Maintenance of Electric Plant</t>
  </si>
  <si>
    <t>(545) Maintenance of Miscellaneous Hydraulic Plant</t>
  </si>
  <si>
    <t>TOTAL Maintenance (Enter Total of lines 53 thru 57)</t>
  </si>
  <si>
    <t>TOTAL Power Production Expenses-Hydraulic Power (Total of Lines 50 and 58)</t>
  </si>
  <si>
    <t>D. Other Power Generation</t>
  </si>
  <si>
    <t>(546) Operation Supervision and Engineering</t>
  </si>
  <si>
    <t>(547) Fuel</t>
  </si>
  <si>
    <t>(548) Generation Expenses</t>
  </si>
  <si>
    <t>64.1</t>
  </si>
  <si>
    <t>(548.1) Operation of Energy Storage Equipment</t>
  </si>
  <si>
    <t>(549) Miscellaneous Other Power Generation Expenses</t>
  </si>
  <si>
    <t>(550) Rents</t>
  </si>
  <si>
    <t>TOTAL Operation (Enter Total of lines 62 thru 66)</t>
  </si>
  <si>
    <t>(551) Maintenance Supervision and Engineering</t>
  </si>
  <si>
    <t>(552) Maintenance of Structures</t>
  </si>
  <si>
    <t>(553) Maintenance of Generating and Electric Plant</t>
  </si>
  <si>
    <t>71.1</t>
  </si>
  <si>
    <t>(553.1) Maintenance of Energy Storage Equipment</t>
  </si>
  <si>
    <t>(554) Maint of Misc Other Power Generation Plant</t>
  </si>
  <si>
    <t>TOTAL Maintenance (Enter Total of lines 69 thru 72)</t>
  </si>
  <si>
    <t>TOTAL Power Production Expenses-Other Power (Enter Tot of 67 &amp; 73)</t>
  </si>
  <si>
    <t>E. Other Power Supply Expenses</t>
  </si>
  <si>
    <t>(555) Purchased Power</t>
  </si>
  <si>
    <t>(555.1) Purchased Power for Storage Operations</t>
  </si>
  <si>
    <t>(556) System Control and Load Dispatching</t>
  </si>
  <si>
    <t>(557) Other Expenses</t>
  </si>
  <si>
    <t>TOTAL Other Power Supply Exp (Enter Total of lines 76 thru 78)</t>
  </si>
  <si>
    <t>TOTAL Power Production Expenses (Total of lines 21, 41, 59, 74 &amp; 79)</t>
  </si>
  <si>
    <t>2. TRANSMISSION EXPENSES</t>
  </si>
  <si>
    <t>(560) Operation Supervision and Engineering</t>
  </si>
  <si>
    <t>(561.1) Load Dispatch-Reliability</t>
  </si>
  <si>
    <t>(561.2) Load Dispatch-Monitor and Operate Trans System</t>
  </si>
  <si>
    <t>(561.3) Load Dispatch-Transmission Service and Scheduling</t>
  </si>
  <si>
    <t>(561.4) Scheduling, System Control and Dispatch Services</t>
  </si>
  <si>
    <t>(561.5) Reliability, Planning and Standards Development</t>
  </si>
  <si>
    <t>(561.6) Transmission Service Studies</t>
  </si>
  <si>
    <t>(561.7) Generation Interconnection Studies</t>
  </si>
  <si>
    <t>(561.8) Reliability, Planning and Standards Develop Srvs</t>
  </si>
  <si>
    <t>(562) Station Expenses</t>
  </si>
  <si>
    <t>93.1</t>
  </si>
  <si>
    <t>(562.1) Operation of Energy Storage Equipment</t>
  </si>
  <si>
    <t>(563) Overhead Lines Expenses</t>
  </si>
  <si>
    <t>(564) Underground Lines Expenses</t>
  </si>
  <si>
    <t>(565) Transmission of Electricity by Others</t>
  </si>
  <si>
    <t>(566) Miscellaneous Transmission Expenses</t>
  </si>
  <si>
    <t>(567) Rents</t>
  </si>
  <si>
    <t>TOTAL Operation (Enter Total  of lines 83 thru 98)</t>
  </si>
  <si>
    <t>(568) Maintenance Supervision and Engineering</t>
  </si>
  <si>
    <t>(569) Maintenance of Structures</t>
  </si>
  <si>
    <t>(569.1) Maintenance of Computer Hardware</t>
  </si>
  <si>
    <t>(569.2) Maintenance of Computer Software</t>
  </si>
  <si>
    <t>(569.3) Maintenance of Communication Equipment</t>
  </si>
  <si>
    <t>106</t>
  </si>
  <si>
    <t>(569.4) Maintenance of Misc Regional Trans Plant</t>
  </si>
  <si>
    <t>107</t>
  </si>
  <si>
    <t>(570) Maintenance of Station Equipment</t>
  </si>
  <si>
    <t>107.1</t>
  </si>
  <si>
    <t>(570.1) Maintenance of Energy Storage Equipment</t>
  </si>
  <si>
    <t>(571) Maintenance of Overhead Lines</t>
  </si>
  <si>
    <t>(572) Maintenance of Underground Lines</t>
  </si>
  <si>
    <t>(573) Maintenance of Miscellaneous Transmission Plant</t>
  </si>
  <si>
    <t>TOTAL Maintenance (Enter Total of lines 101 thru 110)</t>
  </si>
  <si>
    <t>TOTAL Transmission Expenses (Enter Total of lines 99 and 111)</t>
  </si>
  <si>
    <t>3. REGIONAL MARKET EXPENSES</t>
  </si>
  <si>
    <t>(575.1) Operation Supervision</t>
  </si>
  <si>
    <t>(575.2) Day-Ahead and Real-Time Market Facilitation</t>
  </si>
  <si>
    <t>(575.3) Transmission Rights Market Facilitation</t>
  </si>
  <si>
    <t>(575.4) Capacity Market Facilitation</t>
  </si>
  <si>
    <t>(575.5) Ancillary Services Market Facilitation</t>
  </si>
  <si>
    <t>(575.6) Market Monitoring and Compliance</t>
  </si>
  <si>
    <t>(575.7) Market Facilitate, Monitor &amp; Compliance Services</t>
  </si>
  <si>
    <t>(575.8) Rents</t>
  </si>
  <si>
    <t>Total Operation (Lines 115 thru 122)</t>
  </si>
  <si>
    <t>(576.1) Maintenance of Structures and Improvements</t>
  </si>
  <si>
    <t>(576.2) Maintenance of Computer Hardware</t>
  </si>
  <si>
    <t>(576.3) Maintenance of Computer Software</t>
  </si>
  <si>
    <t>(576.4) Maintenance of Communication Equipment</t>
  </si>
  <si>
    <t>(576.5) Maintenance of Miscellaneous Market Operation Plant</t>
  </si>
  <si>
    <t>Total Maintenance (Lines 125 thru 129)</t>
  </si>
  <si>
    <t>TOTAL Regional Transmission and Market Operation Expenses (Enter Total of lines 123 and 130)</t>
  </si>
  <si>
    <t>4. DISTRIBUTION EXPENSES</t>
  </si>
  <si>
    <t>(580) Operation Supervision and Engineering</t>
  </si>
  <si>
    <t>(581) Load Dispatching</t>
  </si>
  <si>
    <t>(582) Station Expenses</t>
  </si>
  <si>
    <t>(583) Overhead Line Expenses</t>
  </si>
  <si>
    <t>138</t>
  </si>
  <si>
    <t>(584) Underground Line Expenses</t>
  </si>
  <si>
    <t>138.1</t>
  </si>
  <si>
    <t>(584.1) Operation of Energy Storage Equipment</t>
  </si>
  <si>
    <t>139</t>
  </si>
  <si>
    <t>(585) Street Lighting and Signal System Expenses</t>
  </si>
  <si>
    <t>140</t>
  </si>
  <si>
    <t>(586) Meter Expenses</t>
  </si>
  <si>
    <t>141</t>
  </si>
  <si>
    <t>(587) Customer Installation Expenses</t>
  </si>
  <si>
    <t>142</t>
  </si>
  <si>
    <t>(588) Miscellaneous Expenses</t>
  </si>
  <si>
    <t>143</t>
  </si>
  <si>
    <t>(589) Rents</t>
  </si>
  <si>
    <t>144</t>
  </si>
  <si>
    <t>TOTAL Operation (Enter Total of lines 134 thru 143)</t>
  </si>
  <si>
    <t>145</t>
  </si>
  <si>
    <t>146</t>
  </si>
  <si>
    <t>(590) Maintenance Supervision and Engineering</t>
  </si>
  <si>
    <t>147</t>
  </si>
  <si>
    <t>(591) Maintenance of Structures</t>
  </si>
  <si>
    <t>148</t>
  </si>
  <si>
    <t>(592) Maintenance of Station Equipment</t>
  </si>
  <si>
    <t>148.1</t>
  </si>
  <si>
    <t>(592.1) Main of Structures and Equipment (Nonmajor Only)</t>
  </si>
  <si>
    <t>148.2</t>
  </si>
  <si>
    <t>(592.2) Maintenance of Energy Storage Equipment</t>
  </si>
  <si>
    <t>(593) Maintenance of Overhead Lines</t>
  </si>
  <si>
    <t>(594) Maintenance of Underground Lines</t>
  </si>
  <si>
    <t>(595) Maintenance of Line Transformers</t>
  </si>
  <si>
    <t>(596) Maintenance of Street Lighting and Signal Systems</t>
  </si>
  <si>
    <t>(597) Maintenance of Meters</t>
  </si>
  <si>
    <t>(598) Maintenance of Miscellaneous Distribution Plant</t>
  </si>
  <si>
    <t>TOTAL Maintenance (Enter Total of lines 146 thru 154)</t>
  </si>
  <si>
    <t>TOTAL Distribution Expenses (Enter Total of lines 144 and 155)</t>
  </si>
  <si>
    <t>5. CUSTOMER ACCOUNTS EXPENSES</t>
  </si>
  <si>
    <t>(901) Supervision</t>
  </si>
  <si>
    <t>(902) Meter Reading Expenses</t>
  </si>
  <si>
    <t>(903) Customer Records and Collection Expenses</t>
  </si>
  <si>
    <t>(904) Uncollectible Accounts</t>
  </si>
  <si>
    <t>(905) Miscellaneous Customer Accounts Expenses</t>
  </si>
  <si>
    <t>TOTAL Customer Accounts Expenses (Total of lines 159 thru 163)</t>
  </si>
  <si>
    <t>6. CUSTOMER SERVICE AND INFORMATIONAL EXPENSES</t>
  </si>
  <si>
    <t>(907) Supervision</t>
  </si>
  <si>
    <t>(908) Customer Assistance Expenses</t>
  </si>
  <si>
    <t>(909) Informational and Instructional Expenses</t>
  </si>
  <si>
    <t>(910) Misc Customer Service and Informational Expenses</t>
  </si>
  <si>
    <t>TOTAL Customer Service and Information Expenses (Total 167 thru 170)</t>
  </si>
  <si>
    <t>7. SALES EXPENSES</t>
  </si>
  <si>
    <t>(911) Supervision</t>
  </si>
  <si>
    <t>(912) Demonstrating and Selling Expenses</t>
  </si>
  <si>
    <t>(913) Advertising Expenses</t>
  </si>
  <si>
    <t>(916) Miscellaneous Sales Expenses</t>
  </si>
  <si>
    <t>TOTAL Sales Expenses (Enter Total of lines 174 thru 177)</t>
  </si>
  <si>
    <t>8. ADMINISTRATIVE AND GENERAL EXPENSES</t>
  </si>
  <si>
    <t>(920) Administrative and General Salaries</t>
  </si>
  <si>
    <t>(921) Office Supplies and Expenses</t>
  </si>
  <si>
    <t>(Less) (922) Administrative Expenses Transferred-Credit</t>
  </si>
  <si>
    <t>(923) Outside Services Employed</t>
  </si>
  <si>
    <t>(924) Property Insurance</t>
  </si>
  <si>
    <t>(925) Injuries and Damages</t>
  </si>
  <si>
    <t>(926) Employee Pensions and Benefits</t>
  </si>
  <si>
    <t>(927) Franchise Requirements</t>
  </si>
  <si>
    <t>(928) Regulatory Commission Expenses</t>
  </si>
  <si>
    <t>(Less) (929) Duplicate Charges - Cr.</t>
  </si>
  <si>
    <t>(930.1) General Advertising Expenses</t>
  </si>
  <si>
    <t>(930.2) Miscellaneous General Expenses</t>
  </si>
  <si>
    <t>(931) Rents</t>
  </si>
  <si>
    <t>TOTAL Operation (Enter Total of lines 181 thru 193)</t>
  </si>
  <si>
    <t>(935) Maintenance of General Plant</t>
  </si>
  <si>
    <t>TOTAL Administrative &amp; General Expenses (Total of lines 194 and 196)</t>
  </si>
  <si>
    <t>TOTAL Electric Operation and Maintenance Expenses (Total 80,112,131,156,164,171,178, and 197)</t>
  </si>
  <si>
    <t>PURCHASED POWER (Account 555)
 (Including power exchanges)</t>
  </si>
  <si>
    <t>1.  Report all power purchases made during the year.  Also report exchanges of electricity (i.e., transactions involving a balancing of debits and credits for energy, capacity, etc.) and any settlements for imbalanced exchanges.
2.  Enter the name of the seller or other party in an exchange transaction in column (a).  Do not abbreviate or truncate the name or use acronyms.  Explain in a footnote any ownership interest or affiliation the respondent has with the seller.
3.  In column (b), enter a Statistical Classification Code based on the original contractual terms and conditions of the service as follows:
RQ - for requirements service.  Requirements service is service which the supplier plans to provide on an ongoing basis (i.e., the supplier includes projects load for this service in its system resource planning).  In addition, the reliability of requirement service must be the same as, or second only to, the supplier’s service to its own ultimate consumers.
LF - for long-term firm service.  "Long-term" means five years or longer and "firm" means that service cannot be interrupted for economic reasons and is intended to remain reliable even under adverse conditions (e.g., the supplier must attempt to buy emergency energy from third parties to maintain deliveries of LF service).  This category should not be used for long-term firm service firm service which meets the definition of RQ service.  For all transaction identified as LF, provide in a footnote the termination date of the contract defined as the earliest date that either buyer or seller can unilaterally get out of the contract.
IF - for intermediate-term firm service.  The same as LF service expect that "intermediate-term" means longer than one year but less than five years.
SF - for short-term service.  Use this category for all firm services, where the duration of each period of commitment for service is one year or less.
LU - for long-term service from a designated generating unit.  "Long-term" means five years or longer.  The availability and reliability of service, aside from transmission constraints, must match the availability and reliability of the designated unit.
IU - for intermediate-term service from a designated generating unit.  The same as LU service expect that "intermediate-term" means longer than one year but less than five years.
EX - For exchanges of electricity.  Use this category for transactions involving a balancing of debits and credits for energy, capacity, etc. and any settlements for imbalanced exchanges.
OS - for other service.  Use this category only for those services which cannot be placed in the above-defined categories, such as all non-firm service regardless of the Length of the contract and service from designated units of Less than one year.  Describe the nature of the service in a footnote for each adjustment.</t>
  </si>
  <si>
    <t>AD - for out-of-period adjustment. Use this code for any accounting adjustments or "true-ups" for service provided in prior reporting years. Provide an explanation in a footnote for each adjustment. 
4. In column (c), identify the FERC Rate Schedule Number or Tariff, or, for non-FERC jurisdictional sellers, include an appropriate designation for the contract. On separate lines, list all FERC rate schedules, tariffs or contract designations under which service, as identified in column (b), is provided. 
5. For requirements RQ purchases and any type of service involving demand charges imposed on a monnthly (or longer) basis, enter the monthly average billing demand in column (d), the average monthly non-coincident peak (NCP) demand in column (e), and the average monthly coincident peak (CP) demand in column (f). For all other types of service, enter NA in columns (d), (e) and (f). Monthly NCP demand is the maximum metered hourly (60-minute integration) demand in a month. Monthly CP demand is the metered demand during the hour (60-minute integration) in which the supplier's system reaches its monthly peak. Demand reported in columns (e) and (f) must be in megawatts. Footnote any demand not stated on a megawatt basis and explain. 
6. Report in column (g) the megawatthours shown on bills rendered to the respondent. Report in columns (h) and (i) the megawatthours of power exchanges received and delivered, used as the basis for settlement. Do not report net exchange. 
7. Report demand charges in column (j), energy charges in column (k), and the total of any other types of charges, including out-of-period adjustments, in column (l). Explain in a footnote all components of the amount shown in column (l). Report in column (m) the total charge shown on bills received as settlement by the respondent. For power exchanges, report in column (m) the settlement amount for the net receipt of energy. If more energy was delivered than received, enter a negative amount. If the settlement amount (l) include credits or charges other than incremental generation expenses, or (2) excludes certain credits or charges covered by the agreement, provide an explanatory footnote. 
8. The data in column (g) through (m) must be totalled on the last line of the schedule. The total amount in column (g) must be reported as Purchases on Page 401, line 10. The total amount in column (h) must be reported as Exchange Received on Page 401, line 12. The total amount in column (i) must be reported as Exchange Delivered on Page 401, line 13. 
9. Footnote entries as required and provide explanations following all required data.</t>
  </si>
  <si>
    <t>Statistical 
Classifi- 
cation</t>
  </si>
  <si>
    <t>FERC Rate
 Schedule or 
Tariff Number</t>
  </si>
  <si>
    <t>Average 
Monthly Billing 
Demand (MW)</t>
  </si>
  <si>
    <t>MegaWatt Hours
Purchased (Excluding for Energy Storage)</t>
  </si>
  <si>
    <t>MegaWatt Hours
Purchased for Energy Storage</t>
  </si>
  <si>
    <t>POWER EXCHANGES</t>
  </si>
  <si>
    <t>COST/SETTLEMENT OF POWER</t>
  </si>
  <si>
    <t>MegaWatt Hours
Received</t>
  </si>
  <si>
    <t>MegaWatt Hours
Delivered</t>
  </si>
  <si>
    <t>Total   (k+l+m)
of Settlement ($)</t>
  </si>
  <si>
    <t>Adams Solar Center, LLC</t>
  </si>
  <si>
    <t>Airport Solar, LLC</t>
  </si>
  <si>
    <t>Amor IX LLC</t>
  </si>
  <si>
    <t>Appaloosa Solar I, LLC</t>
  </si>
  <si>
    <t>Apple, Inc.</t>
  </si>
  <si>
    <t>Basin Electric Power Cooperative, Inc.</t>
  </si>
  <si>
    <t>BC Solar, LLC</t>
  </si>
  <si>
    <t>Bear Creek Solar Center, LLC</t>
  </si>
  <si>
    <t>Beaver City Corporation</t>
  </si>
  <si>
    <t>Bell Mountain Hydro, LLC</t>
  </si>
  <si>
    <t>Beryl Solar, LLC</t>
  </si>
  <si>
    <t>Big Top, LLC</t>
  </si>
  <si>
    <t>Biomass One, L.P.</t>
  </si>
  <si>
    <t>Birch Power Company, Inc.</t>
  </si>
  <si>
    <t>Black Cap Solar, LLC</t>
  </si>
  <si>
    <t>Bly Solar Center, LLC</t>
  </si>
  <si>
    <t>Bourdet, Peter M</t>
  </si>
  <si>
    <t>Box Canyon Limited Partnership</t>
  </si>
  <si>
    <t>Brigham Young University - Idaho</t>
  </si>
  <si>
    <t>Buckhorn Solar, LLC</t>
  </si>
  <si>
    <t>Butter Creek Power, LLC</t>
  </si>
  <si>
    <t>C Drop Hydro, LLC</t>
  </si>
  <si>
    <t>California schedule 136 Solar Customers</t>
  </si>
  <si>
    <t>California Independent System Operator Corporation</t>
  </si>
  <si>
    <t>Carbon Solutions, LLC</t>
  </si>
  <si>
    <t>Cedar Springs III, LLC</t>
  </si>
  <si>
    <t>Cedar Springs Wind, LLC</t>
  </si>
  <si>
    <t>Cedar Valley Solar, LLC</t>
  </si>
  <si>
    <t>Central Oregon Irrigation District</t>
  </si>
  <si>
    <t>Central Rivers Power US, LLC</t>
  </si>
  <si>
    <t>Cherry Creek Solar, LLC</t>
  </si>
  <si>
    <t>Chiloquin Solar LLC</t>
  </si>
  <si>
    <t>Chopin Wind, LLC</t>
  </si>
  <si>
    <t>City of Albany</t>
  </si>
  <si>
    <t>City of Astoria</t>
  </si>
  <si>
    <t>City of Idaho Falls, Idaho</t>
  </si>
  <si>
    <t>City of Portland, Portland Water Bureau</t>
  </si>
  <si>
    <t>City of Preston Idaho</t>
  </si>
  <si>
    <t>Commercial Energy Management Inc.</t>
  </si>
  <si>
    <t>Confederate Tribes of Warm Springs</t>
  </si>
  <si>
    <t>Consolidated Irrigation Company</t>
  </si>
  <si>
    <t>Cottonwood Hydro, LLC</t>
  </si>
  <si>
    <t>Cove Mountain Solar 2, LLC</t>
  </si>
  <si>
    <t>Cove Mountain Solar, LLC</t>
  </si>
  <si>
    <t>Crook County Solar 1, LLC</t>
  </si>
  <si>
    <t>Deschutes Valley Water District</t>
  </si>
  <si>
    <t>Deseret Generation &amp; Transmission Cooperative</t>
  </si>
  <si>
    <t>Dorena Hydro, LLC</t>
  </si>
  <si>
    <t>Douglas Co., Inc. dba Douglas Co. Forest Products</t>
  </si>
  <si>
    <t>Draper Irrigation Company</t>
  </si>
  <si>
    <t>eBay Inc.</t>
  </si>
  <si>
    <t>Elbe Solar Center, LLC</t>
  </si>
  <si>
    <t>Enterprise Solar, LLC</t>
  </si>
  <si>
    <t>Escalante Solar I, LLC</t>
  </si>
  <si>
    <t>Escalante Solar II, LLC</t>
  </si>
  <si>
    <t>Escalante Solar III, LLC</t>
  </si>
  <si>
    <t>Eurus Combine Hills I, LLC</t>
  </si>
  <si>
    <t>ExxonMobil Production Company</t>
  </si>
  <si>
    <t>Fall River Rural Electric Cooperative, Inc.</t>
  </si>
  <si>
    <t>Farm Power Misty Meadow, LLC</t>
  </si>
  <si>
    <t>Farmers Irrigation District</t>
  </si>
  <si>
    <t>Fillmore City Corporation</t>
  </si>
  <si>
    <t>Flathead Electric Cooperative, Inc.</t>
  </si>
  <si>
    <t>Four Corners Windfarm, LLC</t>
  </si>
  <si>
    <t>Four Mile Canyon Windfarm, LLC</t>
  </si>
  <si>
    <t>Georgetown Irrigation Company</t>
  </si>
  <si>
    <t>Grand Valley Power</t>
  </si>
  <si>
    <t>Granite Mountain Solar East, LLC</t>
  </si>
  <si>
    <t>Granite Mountain Solar West, LLC</t>
  </si>
  <si>
    <t>Granite Peak Solar, LLC</t>
  </si>
  <si>
    <t>Graphite Solar I, LLC</t>
  </si>
  <si>
    <t>Greenville Solar, LLC</t>
  </si>
  <si>
    <t>Hammerich 1&amp;2</t>
  </si>
  <si>
    <t>Hay Creek Community Solar</t>
  </si>
  <si>
    <t>Hayward Paul Luckey and Joanne Luckey Revocable Trust of 2005</t>
  </si>
  <si>
    <t>Hunter Solar LLC</t>
  </si>
  <si>
    <t>Iron Springs Solar, LLC</t>
  </si>
  <si>
    <t>J Bar 9 Ranch, Inc.</t>
  </si>
  <si>
    <t>J . Aron &amp; Company</t>
  </si>
  <si>
    <t>Jake Amy</t>
  </si>
  <si>
    <t>Joseph Community Solar, LLC</t>
  </si>
  <si>
    <t>Keeton 1 &amp; 2</t>
  </si>
  <si>
    <t>Klamath Falls Solar 1, LLC</t>
  </si>
  <si>
    <t>Klamath Falls Solar 2, LLC</t>
  </si>
  <si>
    <t>Lacomb Irrigation District</t>
  </si>
  <si>
    <t>Laho Solar, LLC</t>
  </si>
  <si>
    <t>Latigo Wind Park, LLC</t>
  </si>
  <si>
    <t>Los Angeles Department of Water and Power</t>
  </si>
  <si>
    <t>Loyd Fery</t>
  </si>
  <si>
    <t>Mag Energy Solutions</t>
  </si>
  <si>
    <t>Marsh Valley Hydro Electric Company</t>
  </si>
  <si>
    <t>Meadow Creek Project Company LLC</t>
  </si>
  <si>
    <t>Middle Fork Irrigation District</t>
  </si>
  <si>
    <t>Milford Flat Solar, LLC</t>
  </si>
  <si>
    <t>Milford Solar I, LLC</t>
  </si>
  <si>
    <t>Millican Solar Energy LLC</t>
  </si>
  <si>
    <t>Mink Creek Hydro LLC</t>
  </si>
  <si>
    <t>Monroe Hydro, LLC</t>
  </si>
  <si>
    <t>Morgan City Corporation</t>
  </si>
  <si>
    <t>Mountain Wind Power II, LLC</t>
  </si>
  <si>
    <t>Mountain Wind Power, LLC</t>
  </si>
  <si>
    <t>Myron Jones, Nola Jones, Larry Oja and Christie Oja</t>
  </si>
  <si>
    <t>Nichols Gap Limited Partnership</t>
  </si>
  <si>
    <t>NorWest Energy 2, LLC</t>
  </si>
  <si>
    <t>NorWest Energy 4, LLC</t>
  </si>
  <si>
    <t>NorWest Energy 7, LLC</t>
  </si>
  <si>
    <t>NorWest Energy 9, LLC</t>
  </si>
  <si>
    <t>Nucor Corporation</t>
  </si>
  <si>
    <t>Oak Lea Digester LLC</t>
  </si>
  <si>
    <t>Obsidian Finance Group, LLC</t>
  </si>
  <si>
    <t>OneEnergy, Inc.</t>
  </si>
  <si>
    <t>Old Mill Solar, LLC</t>
  </si>
  <si>
    <t>OR Solar 2, LLC</t>
  </si>
  <si>
    <t>OR Solar 3, LLC</t>
  </si>
  <si>
    <t>OR Solar 5, LLC</t>
  </si>
  <si>
    <t>OR Solar 6, LLC</t>
  </si>
  <si>
    <t>OR Solar 8, LLC</t>
  </si>
  <si>
    <t>Orchard Windfarm 1, LLC</t>
  </si>
  <si>
    <t>Orchard Windfarm 2, LLC</t>
  </si>
  <si>
    <t>Orchard Windfarm 3, LLC</t>
  </si>
  <si>
    <t>Orchard Windfarm 4, LLC</t>
  </si>
  <si>
    <t>Oregon Environmental Industries, LLC</t>
  </si>
  <si>
    <t>Oregon Solar Incentive</t>
  </si>
  <si>
    <t>Oregon Trail Windfarm, LLC</t>
  </si>
  <si>
    <t>OSLH, LLC</t>
  </si>
  <si>
    <t>P4 Production, LLC</t>
  </si>
  <si>
    <t>Pacific Canyon Windfarm, LLC</t>
  </si>
  <si>
    <t>Pavant Solar II LLC</t>
  </si>
  <si>
    <t>Pavant Solar III LLC</t>
  </si>
  <si>
    <t>Pavant Solar LLC</t>
  </si>
  <si>
    <t>Pioneer Wind Park I, LLC</t>
  </si>
  <si>
    <t>Platte River Power Authority</t>
  </si>
  <si>
    <t>Power County Wind Park North, LLC</t>
  </si>
  <si>
    <t>Power County Wind Park South, LLC</t>
  </si>
  <si>
    <t>Prineville Solar Energy LLC</t>
  </si>
  <si>
    <t>Provo City Corporation</t>
  </si>
  <si>
    <t>Public Utility District No. 1 of Cowlitz County</t>
  </si>
  <si>
    <t>Quichapa 1, LLC</t>
  </si>
  <si>
    <t>Quichapa 2, LLC</t>
  </si>
  <si>
    <t>Quichapa 3, LLC</t>
  </si>
  <si>
    <t>Rocket Solar I, LLC</t>
  </si>
  <si>
    <t>Roseburg Forest Products Company</t>
  </si>
  <si>
    <t>Roseburg LFG Energy, LLC</t>
  </si>
  <si>
    <t>Sage Solar I LLC</t>
  </si>
  <si>
    <t>Sage Solar II LLC</t>
  </si>
  <si>
    <t>Sage Solar III LLC</t>
  </si>
  <si>
    <t>Sand Ranch Windfarm, LLC</t>
  </si>
  <si>
    <t>Sigurd Solar LLC</t>
  </si>
  <si>
    <t>Simplot Phosphates LLC</t>
  </si>
  <si>
    <t>Skysol Solar, LLC</t>
  </si>
  <si>
    <t>Solarize Rogue LLC</t>
  </si>
  <si>
    <t>Solwatt, LLC</t>
  </si>
  <si>
    <t>Spanish Fork Wind Park 2, LLC</t>
  </si>
  <si>
    <t>Sprague Hydro LLC</t>
  </si>
  <si>
    <t>St. Anthony Hydro, LLC</t>
  </si>
  <si>
    <t>Stahlbush Island Farms, Inc.</t>
  </si>
  <si>
    <t>Strawberry Electric Service District</t>
  </si>
  <si>
    <t>STX Commodities B.V.</t>
  </si>
  <si>
    <t>SunE DB18, LLC</t>
  </si>
  <si>
    <t>SunE DB24, LLC</t>
  </si>
  <si>
    <t>SunE Solar XVII Project1, LLC</t>
  </si>
  <si>
    <t>SunE Solar XVII Project2, LLC</t>
  </si>
  <si>
    <t>SunE Solar XVII Project3, LLC</t>
  </si>
  <si>
    <t>Sunny Bar Ranch LLLP</t>
  </si>
  <si>
    <t>Sunnyside Cogeneration Associates</t>
  </si>
  <si>
    <t>Swalley Irrigation District</t>
  </si>
  <si>
    <t>Sweetwater Solar LLC</t>
  </si>
  <si>
    <t>Tata Chemicals (Soda Ash) Partners</t>
  </si>
  <si>
    <t>Tesoro Refining &amp; Marketing Company, LLC</t>
  </si>
  <si>
    <t>Thayn Hydro LLC</t>
  </si>
  <si>
    <t>Three Buttes Windpower, LLC</t>
  </si>
  <si>
    <t>Three Peaks Power, LLC</t>
  </si>
  <si>
    <t>Three Sisters Irrigation District</t>
  </si>
  <si>
    <t>Threemile Canyon Wind I, LLC</t>
  </si>
  <si>
    <t>TMF Biofuels, LLC</t>
  </si>
  <si>
    <t>Tooele Army Depot</t>
  </si>
  <si>
    <t>Top of the World Wind Energy LLC</t>
  </si>
  <si>
    <t>TransCanada Energy Sales Ltd.</t>
  </si>
  <si>
    <t>Tumbleweed Solar LLC</t>
  </si>
  <si>
    <t>U.S. Department of the Interior - Bureau of Land Management</t>
  </si>
  <si>
    <t>Uniper Global Commodities</t>
  </si>
  <si>
    <t>United States Air Force at Hill Air Force Base</t>
  </si>
  <si>
    <t>US Magnesium LLC</t>
  </si>
  <si>
    <t>Utah Red Hills Renewable Park, LLC</t>
  </si>
  <si>
    <t>Utah schedule 136 / 137 Solar Customers</t>
  </si>
  <si>
    <t>Wagon Trail, LLC</t>
  </si>
  <si>
    <t>Wallowa County Community Solar</t>
  </si>
  <si>
    <t>Ward Butte Windfarm, LLC</t>
  </si>
  <si>
    <t>Weber County</t>
  </si>
  <si>
    <t>Western Area Power Administration</t>
  </si>
  <si>
    <t>Whisky Creek Community Solar</t>
  </si>
  <si>
    <t>Wocus Marsh Community Solar</t>
  </si>
  <si>
    <t>Wolverine Creek Energy, LLC</t>
  </si>
  <si>
    <t>Woodline Solar, LLC</t>
  </si>
  <si>
    <t>Yakima-Tieton Irrigation District</t>
  </si>
  <si>
    <t>Liquidated Damages</t>
  </si>
  <si>
    <t>California GHG Allowance Purchases - Wholesale Program</t>
  </si>
  <si>
    <t>California GHG Allowance Purchases - Retail Program</t>
  </si>
  <si>
    <t>Washington GHG Allowance Purchases – Wholesale Program</t>
  </si>
  <si>
    <t>Net Power Cost Deferrals</t>
  </si>
  <si>
    <t>Netting - Bookouts</t>
  </si>
  <si>
    <t>Netting - Trading</t>
  </si>
  <si>
    <t>System Deviation</t>
  </si>
  <si>
    <t>Power Exchanges:</t>
  </si>
  <si>
    <t>T- BPA</t>
  </si>
  <si>
    <t>California Independent System Operator</t>
  </si>
  <si>
    <t>Emerald People's Utility District</t>
  </si>
  <si>
    <t>OV1</t>
  </si>
  <si>
    <t>Milford Wind Corridor Phase I, LLC</t>
  </si>
  <si>
    <t>Milford Wind Corridor Phase II, LLC</t>
  </si>
  <si>
    <t>NorthWestern Corporation</t>
  </si>
  <si>
    <t>160</t>
  </si>
  <si>
    <t>T-8</t>
  </si>
  <si>
    <t>LAS-4</t>
  </si>
  <si>
    <t>Imbalance Energy Accrual</t>
  </si>
  <si>
    <t>Page 328</t>
  </si>
  <si>
    <t>Page 329</t>
  </si>
  <si>
    <t>Page 330</t>
  </si>
  <si>
    <t>TRANSMISSION OF ELECTRICITY FOR OTHERS (Account 456.1)
(including transactions referred to as 'wheeling')</t>
  </si>
  <si>
    <t>TRANSMISSION OF ELECTRICITY FOR OTHERS (Account 456.1) (continued)
(including transactions referred to as 'wheeling')</t>
  </si>
  <si>
    <t>1. Report all transmission of electricity, i.e., wheeling, provided for other electric utilities, cooperatives, other public authorities, qualifying facilities, non-traditional utility suppliers and ultimate customers for the quarter.
2. Use a separate line of data for each distinct type of transmission service involving the entities listed in column (a), (b) and (c).
3. Report in column (a) the company or public authority that paid for the transmission service. Report in column (b) the company or public authority that the energy was received from and in column (c) the company or public authority that the energy was delivered to. Provide the full name of each company or public authority. Do not abbreviate or truncate name or use acronyms. Explain in a footnote any ownership interest in or affiliation the respondent has with the entities listed in columns (a), (b) or (c) 
4. In column (d) enter a Statistical Classification code based on the original contractual terms and conditions of the service as follows: FNO - Firm Network Service for Others, FNS - Firm Network Transmission Service for Self, LFP - "Long-Term Firm Point to Point Transmission Service, OLF - Other Long-Term Firm Transmission Service, SFP - Short-Term Firm Point to Point Transmission Reservation, NF - non-firm transmission service, OS - Other Transmission Service and AD - Out-of-Period Adjustments. Use this code for any accounting adjustments or "true-ups" for service provided in prior reporting periods. Provide an explanation in a footnote for each adjustment. See General Instruction for definitions of codes.</t>
  </si>
  <si>
    <t>5. In column (e), identify the FERC Rate Schedule or Tariff Number, On separate lines, list all FERC rate schedules or contract designations under which service, as identified in column (d), is provided.
6. Report receipt and delivery locations for all single contract path, "point to point" transmission service. In column (f), report the designation for the substation, or other appropriate identification for where energy was received as specified in the contract. In column (g) report the designation for the substation, or other appropriate identification for where energy was delivered as specified in the contract.
7. Report in column (h) the number of megawatts of billing demand that is specified in the firm transmission service contract. Demand reported in column (h) must be in megawatts. Footnote any demand not stated on a megawatts basis and explain.
8. Report in column (i) and (j) the total megawatthours received and delivered.</t>
  </si>
  <si>
    <t>9. In column (k) through (n), report the revenue amounts as shown on bills or vouchers. In column (k), provide revenues from demand charges related to the billing demand reported in column (h). In column (I), provide revenues from energy charges related to the amount of energy transferred. In column (m), provide the total revenues from all other charges on bills or vouchers rendered, including out of period adjustments. Explain in a footnote all components of the amount shown in column (m). Report in column (n) the total charge shown on bills rendered to the entity Listed in column (a). If no monetary settlement was made, enter zero (11011) in column (n). Provide a footnote explaining the nature of the non-monetary settlement, including the amount and type of energy or service rendered.
10. The total amounts in columns (i) and (j) must be reported as Transmission Received and Transmission Delivered for annual report purposes only on Page 401, Lines 16 and 17, respectively.
11. Footnote entries and provide explanations following all required data.</t>
  </si>
  <si>
    <t>Payment By
(Company of Public Authority)
(Footnote Affiliation)</t>
  </si>
  <si>
    <t>Energy Received From
(Company of Public Authority)
(Footnote Affiliation)</t>
  </si>
  <si>
    <t>Energy Delivered To
(Company of Public Authority)
(Footnote Affiliation)</t>
  </si>
  <si>
    <r>
      <rPr>
        <sz val="8"/>
        <color rgb="FF000000"/>
        <rFont val="Arial"/>
        <family val="2"/>
      </rPr>
      <t xml:space="preserve">Statistical
</t>
    </r>
    <r>
      <rPr>
        <sz val="8"/>
        <color rgb="FF000000"/>
        <rFont val="Arial"/>
        <family val="2"/>
      </rPr>
      <t>Classification</t>
    </r>
  </si>
  <si>
    <t>FERC Rate
Schedule of
Tariff Number</t>
  </si>
  <si>
    <t>Point of Receipt (Substation or Other Designation)</t>
  </si>
  <si>
    <t>Point of Delivery
(Substation or Other Designation)</t>
  </si>
  <si>
    <t>Billing
Demand
(MW)</t>
  </si>
  <si>
    <r>
      <rPr>
        <sz val="8"/>
        <color rgb="FF000000"/>
        <rFont val="Arial"/>
        <family val="2"/>
      </rPr>
      <t>TRANSFER OF ENERGY</t>
    </r>
  </si>
  <si>
    <r>
      <rPr>
        <sz val="8"/>
        <color rgb="FF000000"/>
        <rFont val="Arial"/>
        <family val="2"/>
      </rPr>
      <t>EXPENSES FOR TRANSMISSION OF ELECTRICITY BY OTHERS</t>
    </r>
  </si>
  <si>
    <t>Magawatt- hours Received</t>
  </si>
  <si>
    <t>Magawatt- hours Delivered</t>
  </si>
  <si>
    <r>
      <rPr>
        <sz val="8"/>
        <color rgb="FF000000"/>
        <rFont val="Arial"/>
        <family val="2"/>
      </rPr>
      <t xml:space="preserve">Demand Charges 
</t>
    </r>
    <r>
      <rPr>
        <sz val="8"/>
        <color rgb="FF000000"/>
        <rFont val="Arial"/>
        <family val="2"/>
      </rPr>
      <t>($)</t>
    </r>
  </si>
  <si>
    <r>
      <rPr>
        <sz val="8"/>
        <color rgb="FF000000"/>
        <rFont val="Arial"/>
        <family val="2"/>
      </rPr>
      <t xml:space="preserve">Energy Charges 
</t>
    </r>
    <r>
      <rPr>
        <sz val="8"/>
        <color rgb="FF000000"/>
        <rFont val="Arial"/>
        <family val="2"/>
      </rPr>
      <t>($)</t>
    </r>
  </si>
  <si>
    <r>
      <rPr>
        <sz val="8"/>
        <color rgb="FF000000"/>
        <rFont val="Arial"/>
        <family val="2"/>
      </rPr>
      <t xml:space="preserve">Other Charges 
</t>
    </r>
    <r>
      <rPr>
        <sz val="8"/>
        <color rgb="FF000000"/>
        <rFont val="Arial"/>
        <family val="2"/>
      </rPr>
      <t>($)</t>
    </r>
  </si>
  <si>
    <t>Total Revenues ($)
(k+l+m)</t>
  </si>
  <si>
    <t>Airport Solar LLC</t>
  </si>
  <si>
    <t>LFP</t>
  </si>
  <si>
    <t>SA 965</t>
  </si>
  <si>
    <t>Trona Substation</t>
  </si>
  <si>
    <t>Red Butte/Mona Sub</t>
  </si>
  <si>
    <t>Altop Energy Trading LLC</t>
  </si>
  <si>
    <t>various signatories</t>
  </si>
  <si>
    <t>NF</t>
  </si>
  <si>
    <t>SA 1059</t>
  </si>
  <si>
    <t>various</t>
  </si>
  <si>
    <t>SFP</t>
  </si>
  <si>
    <t>SA 1010</t>
  </si>
  <si>
    <t>SA 042</t>
  </si>
  <si>
    <t>SA 121</t>
  </si>
  <si>
    <t>SA 122</t>
  </si>
  <si>
    <t>Avangrid Renewables, LLC and Utah Associated Municipal Power Systems</t>
  </si>
  <si>
    <t>SA 476</t>
  </si>
  <si>
    <t>Long Hollow, WY switching station</t>
  </si>
  <si>
    <t>Exxon Mobil</t>
  </si>
  <si>
    <t>SA 895</t>
  </si>
  <si>
    <t>Oregon Direct Access</t>
  </si>
  <si>
    <t>FNO</t>
  </si>
  <si>
    <t>SA 742</t>
  </si>
  <si>
    <t>Ponderosa Substation</t>
  </si>
  <si>
    <t>SA 887</t>
  </si>
  <si>
    <t>Powder River Energy Corporation</t>
  </si>
  <si>
    <t>SA 505</t>
  </si>
  <si>
    <t>Yellowtail Sub</t>
  </si>
  <si>
    <t>Sheridan Substation</t>
  </si>
  <si>
    <t>SA 607</t>
  </si>
  <si>
    <t>SA 606</t>
  </si>
  <si>
    <t>Black Hills/Colorado Electric Utility Company, L.P.</t>
  </si>
  <si>
    <t>SA 563</t>
  </si>
  <si>
    <t>SA 562</t>
  </si>
  <si>
    <t>Black Hills Corporation</t>
  </si>
  <si>
    <t>Montana-Dakota Utilities</t>
  </si>
  <si>
    <t xml:space="preserve">SA 347 </t>
  </si>
  <si>
    <t xml:space="preserve">SA 67 </t>
  </si>
  <si>
    <t>Wyodak Substation</t>
  </si>
  <si>
    <t>SA 768</t>
  </si>
  <si>
    <t>Black Hills Power Marketing</t>
  </si>
  <si>
    <t>SA 43</t>
  </si>
  <si>
    <t>SA 112</t>
  </si>
  <si>
    <t>SA 111</t>
  </si>
  <si>
    <t>Capacity exchanged and operated by each transmission provider with no receipt or delivery of energy.</t>
  </si>
  <si>
    <t>RS 369</t>
  </si>
  <si>
    <t>Midpoint Substation</t>
  </si>
  <si>
    <t>Summer Lake Sub</t>
  </si>
  <si>
    <t>RS 237</t>
  </si>
  <si>
    <t xml:space="preserve">SA 656 </t>
  </si>
  <si>
    <t>Lost Creek Hydro Plt</t>
  </si>
  <si>
    <t>Alvey Substation</t>
  </si>
  <si>
    <t>Umpqua Indian Utility Cooperative</t>
  </si>
  <si>
    <t>SA 229</t>
  </si>
  <si>
    <t>Gazley Substation</t>
  </si>
  <si>
    <t>Benton Rural Electric Association</t>
  </si>
  <si>
    <t xml:space="preserve">SA 539 </t>
  </si>
  <si>
    <t>Tieton Substation</t>
  </si>
  <si>
    <t>Umatilla Electric Cooperative Association and Columbia Basin Electric Cooperative, Inc.</t>
  </si>
  <si>
    <t xml:space="preserve">SA 538 </t>
  </si>
  <si>
    <t>McNary Substation</t>
  </si>
  <si>
    <t>Hinkle Substation</t>
  </si>
  <si>
    <t>United States Department of Interior, Bureau of Reclamation</t>
  </si>
  <si>
    <t>USBR Green Springs</t>
  </si>
  <si>
    <t>Bonneville Power Adm</t>
  </si>
  <si>
    <t>RS 368</t>
  </si>
  <si>
    <t>Malin Substation</t>
  </si>
  <si>
    <t>Yakama Power</t>
  </si>
  <si>
    <t>SA 328</t>
  </si>
  <si>
    <t>White Swan/Toppenish Substations</t>
  </si>
  <si>
    <t>SA 827</t>
  </si>
  <si>
    <t>Neff Substation</t>
  </si>
  <si>
    <t>SA 746</t>
  </si>
  <si>
    <t>Goshen Substation</t>
  </si>
  <si>
    <t>SA 44</t>
  </si>
  <si>
    <t>SA 747</t>
  </si>
  <si>
    <t>Public Utility District No. 1 of Clark County</t>
  </si>
  <si>
    <t>SA 735</t>
  </si>
  <si>
    <t>Cardwell-Merwin</t>
  </si>
  <si>
    <t>Chelatchie/View 115kV</t>
  </si>
  <si>
    <t>SA 865</t>
  </si>
  <si>
    <t>SA 975</t>
  </si>
  <si>
    <t>SA 1083</t>
  </si>
  <si>
    <t>SA 1084</t>
  </si>
  <si>
    <t>SA 941</t>
  </si>
  <si>
    <t>SA 940</t>
  </si>
  <si>
    <t>Calpine Energy Solutions, LLC</t>
  </si>
  <si>
    <t xml:space="preserve">SA 299 </t>
  </si>
  <si>
    <t>SA 881</t>
  </si>
  <si>
    <t>Malin 500 Substation</t>
  </si>
  <si>
    <t>Round Mountain Sub</t>
  </si>
  <si>
    <t>SA 899</t>
  </si>
  <si>
    <t>Troutdale Substation</t>
  </si>
  <si>
    <t>SA 901</t>
  </si>
  <si>
    <t>ConocoPhillps Company</t>
  </si>
  <si>
    <t>SA 280</t>
  </si>
  <si>
    <t>SA 968</t>
  </si>
  <si>
    <t>SA 967</t>
  </si>
  <si>
    <t>Deseret Generation and Transmission Co-operative</t>
  </si>
  <si>
    <t>RS 280</t>
  </si>
  <si>
    <t>SA 156</t>
  </si>
  <si>
    <t>SA 1014</t>
  </si>
  <si>
    <t>SA 1013</t>
  </si>
  <si>
    <t>SA 814</t>
  </si>
  <si>
    <t>SA 815</t>
  </si>
  <si>
    <t>Evergreen Biopower LLC</t>
  </si>
  <si>
    <t>NextEra Energy Resources, LLC</t>
  </si>
  <si>
    <t>SA 874</t>
  </si>
  <si>
    <t>Exelon Generation Company, LLC</t>
  </si>
  <si>
    <t>SA 943</t>
  </si>
  <si>
    <t>SA 759</t>
  </si>
  <si>
    <t>SA 760</t>
  </si>
  <si>
    <t>Marysville Hydro Partners</t>
  </si>
  <si>
    <t>RS 322</t>
  </si>
  <si>
    <t>Targhee Substation</t>
  </si>
  <si>
    <t>Falls Creek H.P. Limited Partnership</t>
  </si>
  <si>
    <t>Lakeview Airport 10</t>
  </si>
  <si>
    <t>Portland General Electric</t>
  </si>
  <si>
    <t>SA 868</t>
  </si>
  <si>
    <t xml:space="preserve">Garrett Solar LLC </t>
  </si>
  <si>
    <t>SA 966</t>
  </si>
  <si>
    <t>Wallula Substation</t>
  </si>
  <si>
    <t>Wala-MIDC path</t>
  </si>
  <si>
    <t>Garrett Solar LLC</t>
  </si>
  <si>
    <t>Guzman Energy LLC</t>
  </si>
  <si>
    <t>SA 786</t>
  </si>
  <si>
    <t>SA 785</t>
  </si>
  <si>
    <t xml:space="preserve">SA 212 </t>
  </si>
  <si>
    <t>SA 1023</t>
  </si>
  <si>
    <t>SA 14</t>
  </si>
  <si>
    <t>Idaho Power Marketing Operations</t>
  </si>
  <si>
    <t>SA 725</t>
  </si>
  <si>
    <t>Los Angeles Department of Water &amp; Power</t>
  </si>
  <si>
    <t xml:space="preserve">SA 143 </t>
  </si>
  <si>
    <t>SA 755</t>
  </si>
  <si>
    <t>SA 754</t>
  </si>
  <si>
    <t>MAG Energy Solutions, Inc.</t>
  </si>
  <si>
    <t>SA 903</t>
  </si>
  <si>
    <t>SA 902</t>
  </si>
  <si>
    <t>Mercuria Energy America LLC</t>
  </si>
  <si>
    <t>SA 998</t>
  </si>
  <si>
    <t>SA 997</t>
  </si>
  <si>
    <t>Moon Lake Electric Association Inc.</t>
  </si>
  <si>
    <t>Moon Lake Electric Association</t>
  </si>
  <si>
    <t>RS 302</t>
  </si>
  <si>
    <t>Duchesne</t>
  </si>
  <si>
    <t>Morgan Stanley Capital Group, Inc.</t>
  </si>
  <si>
    <t>SA 157</t>
  </si>
  <si>
    <t>SA 160</t>
  </si>
  <si>
    <t>SA 894</t>
  </si>
  <si>
    <t>Four Corners</t>
  </si>
  <si>
    <t>Pinto-Four Corners</t>
  </si>
  <si>
    <t>SA 455</t>
  </si>
  <si>
    <t>SA 454</t>
  </si>
  <si>
    <t>SA 733</t>
  </si>
  <si>
    <t>Pacific Gas &amp; Electric Company</t>
  </si>
  <si>
    <t>SA 338</t>
  </si>
  <si>
    <t>Phillips 66 Energy Trading</t>
  </si>
  <si>
    <t>SA 1081</t>
  </si>
  <si>
    <t>SA 1080</t>
  </si>
  <si>
    <t>Operation, maintenance or facility lease services with no receipt or delivery of energy.</t>
  </si>
  <si>
    <t>RS 137</t>
  </si>
  <si>
    <t>SA 8</t>
  </si>
  <si>
    <t>SA 169</t>
  </si>
  <si>
    <t>CRAG View Substation</t>
  </si>
  <si>
    <t>SA 1016</t>
  </si>
  <si>
    <t>Borah</t>
  </si>
  <si>
    <t>SA 1017</t>
  </si>
  <si>
    <t>SA 1040</t>
  </si>
  <si>
    <t>SA 700</t>
  </si>
  <si>
    <t>SA 701</t>
  </si>
  <si>
    <t>SA 702</t>
  </si>
  <si>
    <t xml:space="preserve">SA 748 </t>
  </si>
  <si>
    <t>SA 749</t>
  </si>
  <si>
    <t>SA 995</t>
  </si>
  <si>
    <t>SA 996</t>
  </si>
  <si>
    <t>SA 47</t>
  </si>
  <si>
    <t>SA 151</t>
  </si>
  <si>
    <t>Public Service Co of Co</t>
  </si>
  <si>
    <t>Various signatories to the Volume 11 Point-to-Point Transmission Tariff.</t>
  </si>
  <si>
    <t>SA 665</t>
  </si>
  <si>
    <t>Various</t>
  </si>
  <si>
    <t>Public Service of New Mexico</t>
  </si>
  <si>
    <t>RS 234</t>
  </si>
  <si>
    <t>Swift Unit No. 2</t>
  </si>
  <si>
    <t>Woodland Substation</t>
  </si>
  <si>
    <t>Puget Sound Energy</t>
  </si>
  <si>
    <t>SA 693</t>
  </si>
  <si>
    <t>SA 694</t>
  </si>
  <si>
    <t>SA 316</t>
  </si>
  <si>
    <t>SA 261</t>
  </si>
  <si>
    <t>SA 863</t>
  </si>
  <si>
    <t>Salt River Project Agricultural Improvement and Power District</t>
  </si>
  <si>
    <t>SA 809</t>
  </si>
  <si>
    <t>Enel Cove Fort</t>
  </si>
  <si>
    <t>Red Butte Substation</t>
  </si>
  <si>
    <t>SA 556</t>
  </si>
  <si>
    <t>SA 791</t>
  </si>
  <si>
    <t>SA 23</t>
  </si>
  <si>
    <t>SA 162</t>
  </si>
  <si>
    <t>RS 674</t>
  </si>
  <si>
    <t>Sigurd Substation</t>
  </si>
  <si>
    <t>Utah-Nevada Border</t>
  </si>
  <si>
    <t>Southern California Edison Company</t>
  </si>
  <si>
    <t>SA 642</t>
  </si>
  <si>
    <t>SA 643</t>
  </si>
  <si>
    <t>Southern California Public Power Authority</t>
  </si>
  <si>
    <t>SA 629</t>
  </si>
  <si>
    <t>State of South Dakota</t>
  </si>
  <si>
    <t>SA 779</t>
  </si>
  <si>
    <t>TEC Energy Inc.</t>
  </si>
  <si>
    <t>SA 1001</t>
  </si>
  <si>
    <t>SA 125</t>
  </si>
  <si>
    <t>SA 126</t>
  </si>
  <si>
    <t>SA 310</t>
  </si>
  <si>
    <t>SA 311</t>
  </si>
  <si>
    <t>Thermo No. 1 BE-01, LLC</t>
  </si>
  <si>
    <t>Thermo Geothermal Project</t>
  </si>
  <si>
    <t>SA 568</t>
  </si>
  <si>
    <t>South Milford Sub</t>
  </si>
  <si>
    <t>Mona Substation</t>
  </si>
  <si>
    <t>SA 127</t>
  </si>
  <si>
    <t>SA 128</t>
  </si>
  <si>
    <t>Tri-State Generation and Transmission Association, Inc.  </t>
  </si>
  <si>
    <t>SA 628</t>
  </si>
  <si>
    <t>Dave Johnston Sub</t>
  </si>
  <si>
    <t>Thermopolis Sub</t>
  </si>
  <si>
    <t>SA 33</t>
  </si>
  <si>
    <t>Uniper Global Commodoties</t>
  </si>
  <si>
    <t>SA 992</t>
  </si>
  <si>
    <t>SA 991</t>
  </si>
  <si>
    <t>U.S. Bureau of Reclamation</t>
  </si>
  <si>
    <t>SA 506</t>
  </si>
  <si>
    <t>Walla Walla Sub</t>
  </si>
  <si>
    <t>Burbank Pumps</t>
  </si>
  <si>
    <t>Weber Basin Water Conservancy District</t>
  </si>
  <si>
    <t>RS 286</t>
  </si>
  <si>
    <t>Crooked River Irrigation District</t>
  </si>
  <si>
    <t>RS 67</t>
  </si>
  <si>
    <t>Redmond Substation</t>
  </si>
  <si>
    <t>Crooked River Pumps</t>
  </si>
  <si>
    <t>RS 297</t>
  </si>
  <si>
    <t>SA 009</t>
  </si>
  <si>
    <t>RS 637</t>
  </si>
  <si>
    <t>SA 20</t>
  </si>
  <si>
    <t>SA 135</t>
  </si>
  <si>
    <t>Vitol, Inc</t>
  </si>
  <si>
    <t>SA 1027</t>
  </si>
  <si>
    <t>SA 1026</t>
  </si>
  <si>
    <t>Warm Springs Power Enterprises</t>
  </si>
  <si>
    <t>RS 591</t>
  </si>
  <si>
    <t>Pelton Reregulating</t>
  </si>
  <si>
    <t>Round Butte Sub</t>
  </si>
  <si>
    <t>Various Western Area Power Administration customers in PacifiCorp's control area.</t>
  </si>
  <si>
    <t>RS 262</t>
  </si>
  <si>
    <t>RS 263</t>
  </si>
  <si>
    <t>RS 684</t>
  </si>
  <si>
    <t>SA 175</t>
  </si>
  <si>
    <t>Wyoming Distribution</t>
  </si>
  <si>
    <t>Western Area Power Administration Colorado River Storage Project</t>
  </si>
  <si>
    <t>SA 137</t>
  </si>
  <si>
    <t>SA 132</t>
  </si>
  <si>
    <t>Western Area Power Administration Colorado Missouri</t>
  </si>
  <si>
    <t>SA 724</t>
  </si>
  <si>
    <t>TRANSMISSION OF ELECTRICITY BY OTHERS (Account 565) 
(including transactions referred to as 'wheeling')</t>
  </si>
  <si>
    <t>1. Report all transmission, i.e. wheeling or electricity provided by other electric utilities, cooperatives, municipalities, other public authorities, qualifying facilities, and others for the quarter.
2. In column (a) report each company or public authority that provided transmission service. Provide the full name of the company, abbreviate if necessary, but do not truncate name or use acronyms. Explain in a footnote any ownership interest in or affiliation with the transmission service provider. Use additional columns as necessary to report all companies or public authorities that provided transmission service for the quarter reported.
3. In column (b) enter a Statistical Classification code based on the original contractual terms and conditions of the service as follows: FNS - Firm Network Transmission Service for Self, LFP - Long-Term Firm Point-to-Point Transmission Reservations. OLF - Other Long-Term Firm Transmission Service, SFP - Short-Term Firm Point-to- Point Transmission Reservations, NF - Non-Firm Transmission Service, and OS - Other Transmission Service. See General Instructions for definitions of statistical classifications.
4. Report in column (c) and (d) the total megawatt hours received and delivered by the provider of the transmission service.
5. Report in column (e), (f) and (g) expenses as shown on bills or vouchers rendered to the respondent. In column (e) report the demand charges and in column (f) energy charges related to the amount of energy transferred. On column (g) report the total of all other charges on bills or vouchers rendered to the respondent, including any out of period adjustments. Explain in a footnote all components of the amount shown in column (g). Report in column (h) the total charge shown on bills rendered to the respondent. If no monetary settlement was made, enter zero in column (h). Provide a footnote explaining the nature of the non-monetary settlement, including the amount and type of energy or service rendered. 
6. Enter "TOTAL" in column (a) as the last line.
7. Footnote entries and provide explanations following all required data</t>
  </si>
  <si>
    <t>Name of Company or Public
Authority (Footnote Affiliations)</t>
  </si>
  <si>
    <t>Statistical
Classification</t>
  </si>
  <si>
    <r>
      <rPr>
        <b/>
        <sz val="8"/>
        <color rgb="FF000000"/>
        <rFont val="Arial"/>
        <family val="2"/>
      </rPr>
      <t>TRANSFER OF ENERGY</t>
    </r>
  </si>
  <si>
    <r>
      <rPr>
        <b/>
        <sz val="8"/>
        <color rgb="FF000000"/>
        <rFont val="Arial"/>
        <family val="2"/>
      </rPr>
      <t>EXPENSES FOR TRANSMISSION OF ELECTRICITY BY OTHERS</t>
    </r>
  </si>
  <si>
    <t>Demand Charges 
($)</t>
  </si>
  <si>
    <t>Energy Charges 
($)</t>
  </si>
  <si>
    <t>Other Charges 
($)</t>
  </si>
  <si>
    <t>Total Cost of Transmission ($)</t>
  </si>
  <si>
    <t>American Gilsonite Company</t>
  </si>
  <si>
    <t>Ashland, City of</t>
  </si>
  <si>
    <t>FNS</t>
  </si>
  <si>
    <t>Big Horn Rural Electric Company</t>
  </si>
  <si>
    <t>OLF</t>
  </si>
  <si>
    <t>Caerus Uinta LLC</t>
  </si>
  <si>
    <t>Chipeta Gas Processing LLC</t>
  </si>
  <si>
    <t>Hermiston Generating Company, L.P.</t>
  </si>
  <si>
    <t>Moon Lake Electric Association, Inc.</t>
  </si>
  <si>
    <t>Surprise Valley Electrification Corp.</t>
  </si>
  <si>
    <t>Westport Field Services, LLC</t>
  </si>
  <si>
    <r>
      <rPr>
        <sz val="8"/>
        <color rgb="FF000000"/>
        <rFont val="Arial"/>
        <family val="2"/>
      </rPr>
      <t>Accrual</t>
    </r>
  </si>
  <si>
    <t>PAGE 335</t>
  </si>
  <si>
    <t>MISCELLANEOUS GENERAL EXPENSES (Account 930.2) (ELECTRIC)</t>
  </si>
  <si>
    <t>Industry Association Dues</t>
  </si>
  <si>
    <t>Nuclear Power Research Expenses</t>
  </si>
  <si>
    <t>Other Experimental and General Research Expenses</t>
  </si>
  <si>
    <t>Pub &amp; Dist Info to Stkhldrs...expn servicing outstanding Securities</t>
  </si>
  <si>
    <t>Oth Expn &gt;=5,000 show purpose, recipient, amount. Group if &lt; $5,000</t>
  </si>
  <si>
    <t>Business &amp; Economic Development and Corporate Memberships &amp; Subscriptions:</t>
  </si>
  <si>
    <t>American Fork Chamber of Commerce</t>
  </si>
  <si>
    <t>Arlington Club</t>
  </si>
  <si>
    <t>Carbon County Economic Development Corporation</t>
  </si>
  <si>
    <t>ChamberWest</t>
  </si>
  <si>
    <t>Clatsop Economic Development Resources</t>
  </si>
  <si>
    <t>Economic Development for Central Oregon</t>
  </si>
  <si>
    <t>Greater Portland, Inc.</t>
  </si>
  <si>
    <t>Greater Yakima Chamber of Commerce</t>
  </si>
  <si>
    <t>Jordan River Commission</t>
  </si>
  <si>
    <t>Klamath County Economic Development Association</t>
  </si>
  <si>
    <t>Lander Chamber of Commerce</t>
  </si>
  <si>
    <t>Ogden-Weber Chamber of Commerce</t>
  </si>
  <si>
    <t>Oregon Business Council</t>
  </si>
  <si>
    <t>Oregon Economic Development Association</t>
  </si>
  <si>
    <t>Oregon State University, Utility Pole Research Cooperative</t>
  </si>
  <si>
    <t>Portland Business Alliance</t>
  </si>
  <si>
    <t>Portland Metro Chamber</t>
  </si>
  <si>
    <t>Redmond Economic Development, Inc.</t>
  </si>
  <si>
    <t>Salt Lake Chamber</t>
  </si>
  <si>
    <t>South Coast Development Council, Inc</t>
  </si>
  <si>
    <t>South Valley Chamber</t>
  </si>
  <si>
    <t>Sport Oregon</t>
  </si>
  <si>
    <t>Stayton-Sublimity Chamber of Commerce</t>
  </si>
  <si>
    <t>Utah Taxpayers Association</t>
  </si>
  <si>
    <t>Utah Valley Chamber of Commerce</t>
  </si>
  <si>
    <t>Walla Walla Valley Chamber of Commerce</t>
  </si>
  <si>
    <t>Wyoming Construction Coalition, Inc.</t>
  </si>
  <si>
    <t>Yakima County Development Association</t>
  </si>
  <si>
    <t>Other (Individually &lt; $5,000)</t>
  </si>
  <si>
    <t>Rating Agency and Trustee Fees:</t>
  </si>
  <si>
    <t>Computershare Shareowner Services, LLC</t>
  </si>
  <si>
    <t>Moody's Investors Service</t>
  </si>
  <si>
    <t>Standard and Poor's Financial Services, LLC</t>
  </si>
  <si>
    <t>The Bank of New York Mellon</t>
  </si>
  <si>
    <t>U.S. Bank National Association</t>
  </si>
  <si>
    <t>PAGE 336</t>
  </si>
  <si>
    <t>DEPRECIATION AND AMORTIZATION OF ELECTRIC PLANT (Account 403, 404, 405)
(Except amortization of acquisition adjustments)</t>
  </si>
  <si>
    <t>1. Report in section A for the year the amounts for : (b) Depreciation Expense (Account 403; (c) Depreciation Expense for Asset Retirement Costs (Account 403.1; (d) Amortization of Limited-Term Electric Plant (Account 404); and (e) Amortization of Other Electric Plant (Account 405).
2. Report in Section 8 the rates used to compute amortization charges for electric plant (Accounts 404 and 405). State the basis used tocompute charges and whether any changes have been made in the basis or rates used from the preceding report year.
3. Report all available information called for in Section C every fifth year beginning with report year 1971, reporting annually only changes to columns (c) through (g) from the complete report of the preceding year. Unless composite depreciation accounting for total depreciable plant is followed, list numerically in column (a) each plant subaccount, account or functional classification, as appropriate, to which a rate is applied. Identify at the bottom of Section C the type of plant included in any sub-account used. In column (b) report all depreciable plant balances to which rates are applied showing subtotals by functional Classifications and showing composite total. Indicate at the bottom of section C the manner in which column balances are obtained. If average balances, state the method of averaging used. For columns (c), (d), and (e) report available information for each plant subaccount, account or functional classification Listed in column (a). If plant mortality studies are prepared to assist in estimating average service Lives, show in column (f) the type mortality curve selected as most appropriate for the account and in column (g), if available, the weighted average remaining life of surviving plant. If composite depreciation accounting is used, report available information called for in columns (b) through (g) on this basis.
4. If provisions for depreciation were made during the year in addition to depreciation provided by application of reported rates, state at
the bottom of section C the amounts and nature of the provisions and the plant items to which related.</t>
  </si>
  <si>
    <t>A. Summary of Depreciation and Amortization Charges</t>
  </si>
  <si>
    <t>Functional Classification</t>
  </si>
  <si>
    <t>Depreciation
Expense
(Account 403)</t>
  </si>
  <si>
    <t>Depreciation
Expense for Asset Retirement Costs (Account 403.1)</t>
  </si>
  <si>
    <t>Amortization of Limited Term
Electric Plant (Account 404)</t>
  </si>
  <si>
    <t>Amortization of
Other Electric
Plant (Acc 405)</t>
  </si>
  <si>
    <t>Intangible Plant</t>
  </si>
  <si>
    <t>Hydraulic Production Plant-Conventional</t>
  </si>
  <si>
    <t>Hydraulic Production Plant-Pumped Storage</t>
  </si>
  <si>
    <t>B.  Basis for Amortization Charges</t>
  </si>
  <si>
    <t>The Amortization of Limited-Term Electric Plant is based on straight-line amortization over the life of the asset.</t>
  </si>
  <si>
    <t>PAGE 337</t>
  </si>
  <si>
    <t>1. Report in section A for the year the amounts for : (b) Depreciation Expense (Account 403; (c) Depreciation Expense for Asset Retirement Costs (Account 403.1; (d) Amortization of Limited-Term Electric Plant (Account 404); and (e) Amortization of Other Electric Plant (Account 405).
2. Report in Section 8 the rates used to compute amortization charges for electric plant (Accounts 404 and 405). State the basis used to compute charges and whether any changes have been made in the basis or rates used from the preceding report year.
3. Report all available information called for in Section C every fifth year beginning with report year 1971, reporting annually only changes to columns (c) through (g) from the complete report of the preceding year. Unless composite depreciation accounting for total depreciable plant is followed, list numerically in column (a) each plant subaccount, account or functional classification, as appropriate, to which a rate is applied. Identify at the bottom of Section C the type of plant included in any sub-account used. In column (b) report all depreciable plant balances to which rates are applied showing subtotals by functional Classifications and showing composite total. Indicate at the bottom of section C the manner in which column balances are obtained. If average balances, state the method of averaging used. For columns (c), (d), and (e) report available information for each plant subaccount, account or functional classification Listed in column (a). If plant mortality studies are prepared to assist in estimating average service Lives, show in column (f) the type mortality curve selected as most appropriate for the account and in column (g), if available, the weighted average remaining life of surviving plant. If composite depreciation accounting is used, report available information called for in columns (b) through (g) on this basis.
4. If provisions for depreciation were made during the year in addition to depreciation provided by application of reported rates, state at the bottom of section C the amounts and nature of the provisions and the plant items to which related.</t>
  </si>
  <si>
    <t>C. Factors Used in Estimating Depreciation Charges</t>
  </si>
  <si>
    <t>Depreciable Plant Base
(In Thousands)</t>
  </si>
  <si>
    <t>Estimated Avg. Service Life</t>
  </si>
  <si>
    <t>Net
Salvage
(Percent)</t>
  </si>
  <si>
    <t>Applied
Depr. rates
(percent)</t>
  </si>
  <si>
    <t>Mortality
Curve
Type</t>
  </si>
  <si>
    <t>Average Remaining
Life</t>
  </si>
  <si>
    <t>OTHER PRODUCTION PLANT: FOOTE CREEK III-IV / Common - WIND: 340.20</t>
  </si>
  <si>
    <t>OTHER PRODUCTION PLANT: FOOTE CREEK III-IV / Common - WIND: 341.00</t>
  </si>
  <si>
    <t>rows hidden here</t>
  </si>
  <si>
    <t>OTHER PRODUCTION PLANT: FOOTE CREEK III-IV / Common - WIND: 343.00</t>
  </si>
  <si>
    <t>OTHER PRODUCTION PLANT: FOOTE CREEK III-IV / Common - WIND: 344.00</t>
  </si>
  <si>
    <t>OTHER PRODUCTION PLANT: FOOTE CREEK III-IV / Common - WIND: 345.00</t>
  </si>
  <si>
    <t>OTHER PRODUCTION PLANT: FOOTE CREEK III-IV / Common - WIND: 346.00</t>
  </si>
  <si>
    <t>DISTRIBUTION PLANT: CALIFORNIA - DISTRIBUTION: 360.20</t>
  </si>
  <si>
    <t>P65Y0M0D</t>
  </si>
  <si>
    <t>R4</t>
  </si>
  <si>
    <t>P33Y2M12D</t>
  </si>
  <si>
    <t>DISTRIBUTION PLANT: CALIFORNIA - DISTRIBUTION: 361.00</t>
  </si>
  <si>
    <t>P55Y0M0D</t>
  </si>
  <si>
    <t>R2.5</t>
  </si>
  <si>
    <t>P41Y2M12D</t>
  </si>
  <si>
    <t>DISTRIBUTION PLANT: CALIFORNIA - DISTRIBUTION: 362.00</t>
  </si>
  <si>
    <t>P50Y0M0D</t>
  </si>
  <si>
    <t>R1</t>
  </si>
  <si>
    <t>P39Y1M6D</t>
  </si>
  <si>
    <t>DISTRIBUTION PLANT: CALIFORNIA - DISTRIBUTION: 364.00</t>
  </si>
  <si>
    <t>R1.5</t>
  </si>
  <si>
    <t>P40Y2M12D</t>
  </si>
  <si>
    <t>DISTRIBUTION PLANT: CALIFORNIA - DISTRIBUTION: 365.00</t>
  </si>
  <si>
    <t>P44Y10M24D</t>
  </si>
  <si>
    <t>DISTRIBUTION PLANT: CALIFORNIA - DISTRIBUTION: 366.00</t>
  </si>
  <si>
    <t>P60Y0M0D</t>
  </si>
  <si>
    <t>P37Y8M12D</t>
  </si>
  <si>
    <t>DISTRIBUTION PLANT: CALIFORNIA - DISTRIBUTION: 367.00</t>
  </si>
  <si>
    <t>R3</t>
  </si>
  <si>
    <t>P35Y0M0D</t>
  </si>
  <si>
    <t>DISTRIBUTION PLANT: CALIFORNIA - DISTRIBUTION: 368.00</t>
  </si>
  <si>
    <t>R2</t>
  </si>
  <si>
    <t>P37Y3M18D</t>
  </si>
  <si>
    <t>DISTRIBUTION PLANT: CALIFORNIA - DISTRIBUTION: 369.10</t>
  </si>
  <si>
    <t>DISTRIBUTION PLANT: CALIFORNIA - DISTRIBUTION: 369.20</t>
  </si>
  <si>
    <t>P41Y1M6D</t>
  </si>
  <si>
    <t>DISTRIBUTION PLANT: CALIFORNIA - DISTRIBUTION: 370.00</t>
  </si>
  <si>
    <t>P20Y0M0D</t>
  </si>
  <si>
    <t>S3</t>
  </si>
  <si>
    <t>P12Y9M18D</t>
  </si>
  <si>
    <t>DISTRIBUTION PLANT: CALIFORNIA - DISTRIBUTION: 371.00</t>
  </si>
  <si>
    <t>P26Y0M0D</t>
  </si>
  <si>
    <t>L0</t>
  </si>
  <si>
    <t>P13Y8M12D</t>
  </si>
  <si>
    <t>DISTRIBUTION PLANT: CALIFORNIA - DISTRIBUTION: 373.00</t>
  </si>
  <si>
    <t>O1</t>
  </si>
  <si>
    <t>P23Y7M6D</t>
  </si>
  <si>
    <t>STEAM PRODUCTION PLANT</t>
  </si>
  <si>
    <t>FERC Sub-Accounts</t>
  </si>
  <si>
    <t>Account 403 - Provisions</t>
  </si>
  <si>
    <t>PAGE 350</t>
  </si>
  <si>
    <t>REGULATORY COMMISSION EXPENSES</t>
  </si>
  <si>
    <t>1. Report particulars (details) of regulatory commission expenses incurred during the current year (or incurred in previous years, if being amortized) relating to format cases before a regulatory body, or cases in which such a body was a party.
2. Report in columns (b) and (c), only the current year\'s expenses that are not deferred and the current year's amortization of amounts deferred in previous years.</t>
  </si>
  <si>
    <t>3. Show in column (k) any expenses incurred in prior years which are being amortized. List in column (a) the period of amortization.
4. List in column (f), (g), and (h) expenses incurred during year which were charged currently to income, plant, or other accounts.
5. Minor items (less than $25, 000) may be grouped</t>
  </si>
  <si>
    <t>Description
(Furnish name of regulatory commission or body the docket or case number and a description of the case)</t>
  </si>
  <si>
    <t>Assessed by Regulatory Commission</t>
  </si>
  <si>
    <t>Expenses
of
Utility</t>
  </si>
  <si>
    <t>Total
Expense for
Current Year
(b) +(c)</t>
  </si>
  <si>
    <t>Deferred
in Account
182.3 at 
Beginning of Year</t>
  </si>
  <si>
    <t>EXPENSES INCURRED DURING YEAR</t>
  </si>
  <si>
    <t>AMORTIZED DURING YEAR</t>
  </si>
  <si>
    <t>CURRENTLY CHARGED TO</t>
  </si>
  <si>
    <t>Deferred to Account 182.3</t>
  </si>
  <si>
    <t>Contra
Account</t>
  </si>
  <si>
    <t>Deferred in
Account 182.3
End of Year</t>
  </si>
  <si>
    <t>Department</t>
  </si>
  <si>
    <t>Account
No.</t>
  </si>
  <si>
    <t>Utah Public Service Commission: Annual Fee</t>
  </si>
  <si>
    <t>Utah Public Service Commission: Rate Cases and Proceedings</t>
  </si>
  <si>
    <t>Oregon Public Utility Commission: Annual Fee</t>
  </si>
  <si>
    <t>Oregon Public Utility Commission: Rate Cases and Proceedings</t>
  </si>
  <si>
    <t>Oregon Public Utility Commission: Deferred Intervenor Funding Grants</t>
  </si>
  <si>
    <t>Wyoming Public Service Commission: Annual Fee</t>
  </si>
  <si>
    <t>Wyoming Public Service Commission: Rate Cases and Proceedings</t>
  </si>
  <si>
    <t>Washington Utilities and Transportation Commission: Annual Fee</t>
  </si>
  <si>
    <t>Washington Utilities and Transportation Commission: Rate Cases and Proceedings</t>
  </si>
  <si>
    <t>Washington Utilities and Transportation Commission: Deferred Intervenor Funding Grants</t>
  </si>
  <si>
    <t>Idaho Public Utilities Commission: Annual Fee</t>
  </si>
  <si>
    <t>Idaho Public Utilities Commission: Rate Cases and Proceedings</t>
  </si>
  <si>
    <t>Idaho Public Utilities Commission: Deferred Intervenor Funding Grants</t>
  </si>
  <si>
    <t>California Public Utilities Commission: Annual Fee</t>
  </si>
  <si>
    <t>California Public Utilities Commission: Rate Cases and Proceedings</t>
  </si>
  <si>
    <t>California Public Utilities Commission: Deferred Intervenor Funding Grants</t>
  </si>
  <si>
    <t>California Environmental Protection Agency: Industry Compliance Fee</t>
  </si>
  <si>
    <t>Multi-State: Rate Cases and Proceedings</t>
  </si>
  <si>
    <t>Multi-State: Other Regulatory</t>
  </si>
  <si>
    <t>Federal Energy Regulatory Commission: Annual Fee</t>
  </si>
  <si>
    <t>Federal Energy Regulatory Commission: Annual Fee - Hydroelectric Plants</t>
  </si>
  <si>
    <t>Federal Energy Regulatory Commission: Transmission Rate Cases</t>
  </si>
  <si>
    <t>Federal Energy Regulatory Commission: Other Regulatory</t>
  </si>
  <si>
    <t>PAGE 352</t>
  </si>
  <si>
    <t>PAGE 353</t>
  </si>
  <si>
    <t>RESEARCH, DEVELOPMENT, AND DEMONSTRATION ACTIVITIES</t>
  </si>
  <si>
    <t>Cost Incurred Internally Current Year</t>
  </si>
  <si>
    <t>Costs Incurred Externally Current Year</t>
  </si>
  <si>
    <t>AMOUNTS CHARGED IN CURRENT YEAR</t>
  </si>
  <si>
    <t>Unamortized
Accumulation</t>
  </si>
  <si>
    <t>A. Electric R, D &amp; D Performed Internally:</t>
  </si>
  <si>
    <t>PAGE 354</t>
  </si>
  <si>
    <t>DISTRIBUTION OF SALARIES AND WAGES</t>
  </si>
  <si>
    <t>Report below the distribution of total salaries and wages for the year. Segregate amounts originally charged to clearing accounts to Utility Departments, Construction, Plant Removals, and Other Accounts, and enter such amounts in the appropriate lines and columns provided. In determining this segregation of salaries and wages originally charged to clearing accounts, a method of approximation giving substantially correct results may be used.</t>
  </si>
  <si>
    <t>Direct Payroll
Distribution</t>
  </si>
  <si>
    <t>Allocation of Payroll charged for Clearing Accounts</t>
  </si>
  <si>
    <t>Regional Market</t>
  </si>
  <si>
    <t>TOTAL Operation (Enter Total of lines 3 thru 10)</t>
  </si>
  <si>
    <t>TOTAL Maintenance (Total of lines 13 thru 17)</t>
  </si>
  <si>
    <t>Total Operation and Maintenance</t>
  </si>
  <si>
    <t>Production (Enter Total of lines 3 and 13)</t>
  </si>
  <si>
    <t>Transmission (Enter Total of lines 4 and 14)</t>
  </si>
  <si>
    <t>Regional Market (Enter Total of Lines 5 and 15)</t>
  </si>
  <si>
    <t>Distribution (Enter Total of lines 6 and 16)</t>
  </si>
  <si>
    <t>Customer Accounts (Transcribe from line 7)</t>
  </si>
  <si>
    <t>Customer Service and Informational (Transcribe from line 8)</t>
  </si>
  <si>
    <t>Sales (Transcribe from line 9)</t>
  </si>
  <si>
    <t>Administrative and General (Enter Total of lines 10 and 17)</t>
  </si>
  <si>
    <t>TOTAL Oper. and Maint. (Total of lines 20 thru 27)</t>
  </si>
  <si>
    <t>Production-Manufactured Gas</t>
  </si>
  <si>
    <t>Production-Nat. Gas (Including Expl. and Dev.)</t>
  </si>
  <si>
    <t>Other Gas Supply</t>
  </si>
  <si>
    <t>Storage, LNG Terminaling and Processing</t>
  </si>
  <si>
    <t>TOTAL Operation (Enter Total of lines 31 thru 40)</t>
  </si>
  <si>
    <t>Production-Natural Gas (Including Exploration and Development)</t>
  </si>
  <si>
    <t>TOTAL Maint. (Enter Total of lines 43 thru 49)</t>
  </si>
  <si>
    <t>Production-Manufactured Gas (Enter Total of lines 31 and 43)</t>
  </si>
  <si>
    <t>Production-Natural Gas (Including Expl. and Dev.) (Total lines 32,</t>
  </si>
  <si>
    <t>Other Gas Supply (Enter Total of lines 33 and 45)</t>
  </si>
  <si>
    <t>Storage, LNG Terminaling and Processing (Total of lines 31 thru 47)</t>
  </si>
  <si>
    <t>Transmission (Lines 35 and 47)</t>
  </si>
  <si>
    <t>Distribution (Lines 36 and 48)</t>
  </si>
  <si>
    <t>Customer Accounts (Line 37)</t>
  </si>
  <si>
    <t>Customer Service and Informational (Line 38)</t>
  </si>
  <si>
    <t>Sales (Line 39)</t>
  </si>
  <si>
    <t>Administrative and General (Lines 40 and 49)</t>
  </si>
  <si>
    <t>TOTAL Operation and Maint. (Total of lines 52 thru 61)</t>
  </si>
  <si>
    <t>Other Utility Departments</t>
  </si>
  <si>
    <t>TOTAL All Utility Dept. (Total of lines 28, 62, and 64)</t>
  </si>
  <si>
    <t>Construction (By Utility Departments)</t>
  </si>
  <si>
    <t>Electric Plant</t>
  </si>
  <si>
    <t>Gas Plant</t>
  </si>
  <si>
    <t>Other (provide details in footnote):</t>
  </si>
  <si>
    <t>TOTAL Construction (Total of lines 68 thru 70)</t>
  </si>
  <si>
    <t>Plant Removal (By Utility Departments)</t>
  </si>
  <si>
    <t>TOTAL Plant Removal (Total of lines 73 thru 75)</t>
  </si>
  <si>
    <t>Other Accounts (Specify, provide details in footnote):</t>
  </si>
  <si>
    <t>Miscellaneous Other Income Deductions</t>
  </si>
  <si>
    <t>Miscellaneous Non-Operating and Non-Utility</t>
  </si>
  <si>
    <t>Charges to Affiliates</t>
  </si>
  <si>
    <t>TOTAL Other Accounts</t>
  </si>
  <si>
    <t>TOTAL SALARIES AND WAGES</t>
  </si>
  <si>
    <t>AMOUNTS INCLUDED IN ISO/RTO SETTLEMENT STATEMENTS</t>
  </si>
  <si>
    <t xml:space="preserve">1.The respondent shall report below the details called for concerning amounts it recorded in Account 555, Purchase Power, and Account 447, Sales for Resale, for items shown on ISO/RTO Settlement Statements. Transactions should be separately netted for each ISO/RTO administered energy market for purposes of determining whether an entity is a net seller or purchaser in a given hour. Net megawatt hours are to be used as the basis for determining whether a net purchase or sale has occurred. In each monthly reporting period, the hourly sale and purchase net amounts are to be aggregated and separately reported in Account 447, Sales for Resale, or Account 555, Purchased Power, respectively.				</t>
  </si>
  <si>
    <t>Description of Item(s)</t>
  </si>
  <si>
    <t>Balance at End of Quarter 1</t>
  </si>
  <si>
    <t>Balance at End of Quarter 2</t>
  </si>
  <si>
    <t>Balance at End of Quarter 3</t>
  </si>
  <si>
    <t>Balance at End of Quarter 4</t>
  </si>
  <si>
    <t>Energy</t>
  </si>
  <si>
    <t xml:space="preserve">   Net Purchases (Account 555)</t>
  </si>
  <si>
    <t>2.1</t>
  </si>
  <si>
    <t xml:space="preserve">   Power Purchased for Storage Operations (Account 555.1)</t>
  </si>
  <si>
    <t xml:space="preserve">   Net Sales (Account 447)</t>
  </si>
  <si>
    <t>Transmission Rights</t>
  </si>
  <si>
    <t>Ancillary Services</t>
  </si>
  <si>
    <t>Other Items (list separately)</t>
  </si>
  <si>
    <t>Energy Imbalance Market (Account 555)</t>
  </si>
  <si>
    <t>PAGE 398</t>
  </si>
  <si>
    <t>PURCHASES AND SALES OF ANCILLARY SERVICES</t>
  </si>
  <si>
    <t>Report the amounts for each type of ancillary service shown in column (a) for the year as specified in Order No. 888 and defined in the respondents Open Access Transmission Tariff.
In columns for usage, report usage-related billing determinant and the unit of measure.
(1) On line 1 columns (b), (c), (d), (e), (f) and (g) report the amount of ancillary services purchased and sold during the year.
(2) On line 2 columns (b) (c), (d), (e), (f), and (g) report the amount of reactive supply and voltage control services purchased and sold during the year.
(3) On line 3 columns (b) (c), (d), (e), (f), and (g) report the amount of regulation and frequency response services purchased and sold during the year.
(4) On line 4 columns (b), (c), (d), (e), (f), and (g) report the amount of energy imbalance services purchased and sold during the year.
(5) On lines 5 and 6, columns (b), (c), (d), (e), (f), and (g) report the amount of operating reserve spinning and supplement services purchased and sold during the period.
(6) On line 7 columns (b), (c), (d), (e), (f), and (g) report the total amount of all other types ancillary services purchased or sold during the year. Include in a footnote and specify the amount for each type of other ancillary service provided.</t>
  </si>
  <si>
    <t>Amount Purchased for the Year</t>
  </si>
  <si>
    <t>Amount Sold for the Year</t>
  </si>
  <si>
    <t>Usage-Related Billing Determinant</t>
  </si>
  <si>
    <t>Type of Ancillary Service</t>
  </si>
  <si>
    <t>Number of Units</t>
  </si>
  <si>
    <t>Unit of Measure</t>
  </si>
  <si>
    <t>Dollars</t>
  </si>
  <si>
    <t>Scheduling, System Control and Dispatch</t>
  </si>
  <si>
    <t>Reactive Supply and Voltage</t>
  </si>
  <si>
    <t>Regulation and Frequency Response</t>
  </si>
  <si>
    <t>Energy Imbalance</t>
  </si>
  <si>
    <t>Operating Reserve - Spinning</t>
  </si>
  <si>
    <t>Operating Reserve - Supplement</t>
  </si>
  <si>
    <t>Total (Lines 1 thru 7)</t>
  </si>
  <si>
    <t>MONTHLY TRANSMISSION SYSTEM PEAK LOAD</t>
  </si>
  <si>
    <t>(1) Report the monthly peak load on the respondent's transmission system.  If the respondent has two or more power systems which are not physically integrated, furnish the required information for each non-integrated system.
(2) Report on Column (b) by month the transmission system's peak load.
(3) Report on Columns (c) and (d) the specified information for each monthly transmission - system peak load reported in Column (b).
(4) Report on Columns (e) through (j) by month the system's monthly maximum megawatt load by statistical classifications.  See General Instruction for the definition of each statistical classification.</t>
  </si>
  <si>
    <t>Month</t>
  </si>
  <si>
    <t>Monthly Peak MW - Total</t>
  </si>
  <si>
    <t>Day of Monthly Peak</t>
  </si>
  <si>
    <t>Hour of Monthly Peak</t>
  </si>
  <si>
    <t>Firm Network Service for Self</t>
  </si>
  <si>
    <t>Firm Network Service for Others</t>
  </si>
  <si>
    <t>Long-Term Firm Point-to-point Reservations</t>
  </si>
  <si>
    <t>Other Long-Term Firm Service</t>
  </si>
  <si>
    <t>Short-Term Firm Point-to-point Reservation</t>
  </si>
  <si>
    <t>Other Service</t>
  </si>
  <si>
    <t>NAME OF SYSTEM:</t>
  </si>
  <si>
    <t>January</t>
  </si>
  <si>
    <t>February</t>
  </si>
  <si>
    <t>March</t>
  </si>
  <si>
    <t>Total for Quarter 1</t>
  </si>
  <si>
    <t>April</t>
  </si>
  <si>
    <t>June</t>
  </si>
  <si>
    <t>Total for Quarter 2</t>
  </si>
  <si>
    <t>July</t>
  </si>
  <si>
    <t>August</t>
  </si>
  <si>
    <t>September</t>
  </si>
  <si>
    <t>Total for Quarter 3</t>
  </si>
  <si>
    <t>October</t>
  </si>
  <si>
    <t>November</t>
  </si>
  <si>
    <t>December</t>
  </si>
  <si>
    <t>Total for Quarter 4</t>
  </si>
  <si>
    <t>Total Year to 
Date/Year</t>
  </si>
  <si>
    <t>PAGE 401 a</t>
  </si>
  <si>
    <t>Report below the information called for concerning the disposition of electric energy generated, purchased, exchanged and wheeled during the year.</t>
  </si>
  <si>
    <t>MegaWatt Hours</t>
  </si>
  <si>
    <t>SOURCES OF ENERGY</t>
  </si>
  <si>
    <t>Generation (Excluding Station Use):</t>
  </si>
  <si>
    <t>Hydro-Conventional</t>
  </si>
  <si>
    <t>Hydro-Pumped Storage</t>
  </si>
  <si>
    <t>Less Energy for Pumping</t>
  </si>
  <si>
    <t>Net Generation (Enter Total of lines 3 through 8)</t>
  </si>
  <si>
    <t>Purchases (other than for Energy Storage)</t>
  </si>
  <si>
    <t>Purchases for Energy Storage</t>
  </si>
  <si>
    <t>Received</t>
  </si>
  <si>
    <t>Delivered</t>
  </si>
  <si>
    <t>Net Exchanges (Line 12 minus line 13)</t>
  </si>
  <si>
    <t>Transmission For Other (Wheeling)</t>
  </si>
  <si>
    <t>Net Transmission for Other (Line 16 minus line 17)</t>
  </si>
  <si>
    <t>Transmission By Others Losses</t>
  </si>
  <si>
    <t>TOTAL (Enter Total of Lines 9, 10, 10.1, 14, 18 and 19)</t>
  </si>
  <si>
    <t>DISPOSITION OF ENERGY</t>
  </si>
  <si>
    <t>Sales to Ultimate Consumers (Including Interdepartmental Sales)</t>
  </si>
  <si>
    <t>Requirements Sales for Resale (See instruction 4, page 311.)</t>
  </si>
  <si>
    <t>Non-Requirements Sales for Resale (See instruction 4, page 311.)</t>
  </si>
  <si>
    <t>Energy Furnished Without Charge</t>
  </si>
  <si>
    <t>Energy Used by the Company (Electric Dept Only, Excluding Station Use)</t>
  </si>
  <si>
    <t>Total Energy Losses</t>
  </si>
  <si>
    <t>Total Energy Stored</t>
  </si>
  <si>
    <t>TOTAL (Enter Total of Lines 22 Through 27) (MUST EQUAL LINE 20)</t>
  </si>
  <si>
    <t>PAGE 401b</t>
  </si>
  <si>
    <t>1. Report the monthly peak load and energy output. If the respondent has two or more power which are not physically integrated, furnish the required information for each non- integrated system. 
2. Report in column (b) by month the system’s output in Megawatt hours for each month. 
3. Report in column (c) by month the non-requirements sales for resale. Include in the monthly amounts any energy losses associated with the sales. 
4. Report in column (d) by month the system’s monthly maximum megawatt load (60 minute integration) associated with the system. 
5. Report in column (e) and (f) the specified information for each monthly peak load reported in column (d).</t>
  </si>
  <si>
    <t>MONTHLY PEAKS AND OUTPUT</t>
  </si>
  <si>
    <t>Total Monthly Energy (MWH)</t>
  </si>
  <si>
    <t>Monthly Non-Requirements Sales for Resale &amp; Associated Losses</t>
  </si>
  <si>
    <t>MONTHLY PEAK</t>
  </si>
  <si>
    <t>Megawatts (See Instr. 4)</t>
  </si>
  <si>
    <t>Day of Month</t>
  </si>
  <si>
    <t>Hour</t>
  </si>
  <si>
    <t>This sheet includes only Colstrip, Craig, Dave Johnston, Hayden and Hunter 1. See subsequent sheets for additional plants.</t>
  </si>
  <si>
    <t>PAGE 402</t>
  </si>
  <si>
    <t>1. Report data for plant in Service only.   2. Large plants are steam plants with installed capacity (name plate rating) of 25,000 Kw or more. Report in this page gas-turbine and internal combustion plants of 10,000 Kw or more, and nuclear plants.   3. Indicate by a footnote any plant leased or operated as a joint facility.   4. If net peak demand for 60 minutes is not available, give data which is available, specifying period.   5. If any employees attend more than one plant, report on line 11 the approximate average number of employees assignable to each plant.   6. If gas is used and purchased on a therm basis report the Btu content or the gas and the quantity of fuel burned converted to Mct.   7. Quantities of fuel burned (Line 38) and average cost per unit of fuel burned (Line 41) must be consistent with charges to expense accounts 501 and 547 (Line 42) as show on Line 20.   8. If more than one fuel is burned in a plant furnish only the composite heat rate for all fuels burned. 9.  Items under Cost of Plant are based on U. S. of A. Accounts.  Production expenses do not include Purchased Power, System Control and Load Dispatching, and Other Expenses Classified as Other Power Supply Expenses.    10.  For IC and GT plants, report Operating Expenses, Account Nos. 547 and 549 on Line 25 "Electric Expenses," and Maintenance Account Nos. 553 and 554 on Line 32, "Maintenance of Electric Plant." Indicate plants designed for peak load service.  Designate automatically operated plants.    11.  For a plant equipped with combinations of fossil fuel steam, nuclear steam, hydro, internal combustion or gas-turbine equipment, report each as a separate plant.  However, if a gas-turbine unit functions in a combined cycle operation with a conventional steam unit, include the gas-turbine with the steam plant.    12.  If a nuclear power generating plant, briefly explain by footnote (a) accounting method for cost of power generated including any excess costs attributed to research and development; (b) types of cost units used for the various components of fuel cost; and (c) any other informative data concerning plant type fuel used, fuel enrichment type and quantity for the report period and other physical and operating characteristics of plant.</t>
  </si>
  <si>
    <t>STEAM-ELECTRIC GENERATING PLANT STATISTICS (Large Plants)</t>
  </si>
  <si>
    <t xml:space="preserve">Plant
Name:  </t>
  </si>
  <si>
    <t>Colstrip</t>
  </si>
  <si>
    <t xml:space="preserve">Plant
Name: </t>
  </si>
  <si>
    <t>Craig</t>
  </si>
  <si>
    <t>Dave Johnston</t>
  </si>
  <si>
    <t>Hayden</t>
  </si>
  <si>
    <t>Plant
Name:</t>
  </si>
  <si>
    <t>Hunter Unit No. 1</t>
  </si>
  <si>
    <t>Kind of Plant (Internal Comb, Gas Turb, Nuclear</t>
  </si>
  <si>
    <t>Type of Constr (Conventional, Outdoor, Boiler, etc)</t>
  </si>
  <si>
    <t>Conventional</t>
  </si>
  <si>
    <t>Outdoor Boiler</t>
  </si>
  <si>
    <t>Semi-Outdoor</t>
  </si>
  <si>
    <t>1984</t>
  </si>
  <si>
    <t>1979</t>
  </si>
  <si>
    <t>1959</t>
  </si>
  <si>
    <t>1965</t>
  </si>
  <si>
    <t>1978</t>
  </si>
  <si>
    <t>1986</t>
  </si>
  <si>
    <t>1980</t>
  </si>
  <si>
    <t>1972</t>
  </si>
  <si>
    <t>1976</t>
  </si>
  <si>
    <t>Total Installed Cap (Max Gen Name Plate Ratings-MW)</t>
  </si>
  <si>
    <t>Net Peak Demand on Plant - MW (60 minutes)</t>
  </si>
  <si>
    <t>Plant Hours Connected to Load</t>
  </si>
  <si>
    <t>Net Continuous Plant Capability (Megawatts)</t>
  </si>
  <si>
    <t>When Not Limited by Condenser Water</t>
  </si>
  <si>
    <t>When Limited by Condenser Water</t>
  </si>
  <si>
    <t>Net Generation, Exclusive of Plant Use - KWh</t>
  </si>
  <si>
    <t>Cost per KW of Installed Capacity (line 17/5) Including</t>
  </si>
  <si>
    <t>Coolants and Water (Nuclear Plants Only)</t>
  </si>
  <si>
    <t>Steam Expenses</t>
  </si>
  <si>
    <t>Steam From Other Sources</t>
  </si>
  <si>
    <t>Steam Transferred (Cr)</t>
  </si>
  <si>
    <t>Misc Steam (or Nuclear) Power Expenses</t>
  </si>
  <si>
    <t>Maintenance of Boiler (or reactor) Plant</t>
  </si>
  <si>
    <t>Maintenance of Electric Plant</t>
  </si>
  <si>
    <t>Maintenance of Misc Steam (or Nuclear) Plant</t>
  </si>
  <si>
    <t>Total Production Expenses</t>
  </si>
  <si>
    <t>Expenses per Net KWh</t>
  </si>
  <si>
    <t>Fuel: Kind (Coal, Gas, Oil, or Nuclear)</t>
  </si>
  <si>
    <t>Coal</t>
  </si>
  <si>
    <t>Oil</t>
  </si>
  <si>
    <t>Unit (Coal-tons/Oil-barrel/Gas-mcf/Nuclear-indicate)</t>
  </si>
  <si>
    <t>Boe</t>
  </si>
  <si>
    <t>Quantity (Units) of Fuel Burned (from the Unit Type Registry)</t>
  </si>
  <si>
    <t>Avg Heat Cont - Fuel Burned (btu/indicate if nuclear)</t>
  </si>
  <si>
    <t>Avg Cost of Fuel/unit, as Delvd f.o.b. during year</t>
  </si>
  <si>
    <t>Average Cost of Fuel per Unit Burned</t>
  </si>
  <si>
    <t>Average Cost of Fuel Burned per Million BTU</t>
  </si>
  <si>
    <t>Average Cost of Fuel Burned per KWh Net Gen</t>
  </si>
  <si>
    <t>Average BTU per KWh Net Generation</t>
  </si>
  <si>
    <t>This sheet includes only Hunter 2, Hunter 3, Hunter Total, Huntington and Jim Bridger. See subsequent sheets for additional plants.</t>
  </si>
  <si>
    <t>Hunter Unit No. 2</t>
  </si>
  <si>
    <t>Hunter Unit No. 3</t>
  </si>
  <si>
    <t>Hunter - Total Plant</t>
  </si>
  <si>
    <t>Huntington</t>
  </si>
  <si>
    <t>Jim Bridger</t>
  </si>
  <si>
    <t>1974</t>
  </si>
  <si>
    <t>This sheet includes only Naughton, Wyodak, Gadsby Steam, Hermiston and Blundell. See subsequent sheets for additional plants.</t>
  </si>
  <si>
    <t>STEAM-ELECTRIC GENERATING PLANT STATISTICS (Large Plants) (Continued)</t>
  </si>
  <si>
    <t>Naughton</t>
  </si>
  <si>
    <t>Wyodak</t>
  </si>
  <si>
    <t>Gadsby Steam</t>
  </si>
  <si>
    <t>Hermiston</t>
  </si>
  <si>
    <t>Blundell</t>
  </si>
  <si>
    <t>Combined Cycle</t>
  </si>
  <si>
    <t>Steam - Geothermal</t>
  </si>
  <si>
    <t>Outdoor</t>
  </si>
  <si>
    <t>Indoor</t>
  </si>
  <si>
    <t>1963</t>
  </si>
  <si>
    <t>1951</t>
  </si>
  <si>
    <t>1996</t>
  </si>
  <si>
    <t>1971</t>
  </si>
  <si>
    <t>1955</t>
  </si>
  <si>
    <t>2007</t>
  </si>
  <si>
    <t>Mcf</t>
  </si>
  <si>
    <t>This sheet includes only Chehalis, Gadsby Peakers, Currant Creek, Lake Side and Lake Side 2. See subsequent sheets for additional plants.</t>
  </si>
  <si>
    <t>Chehalis</t>
  </si>
  <si>
    <t>Gadsby Peakers</t>
  </si>
  <si>
    <t>Currant Creek</t>
  </si>
  <si>
    <t>Lake Side</t>
  </si>
  <si>
    <t>Lake Side 2</t>
  </si>
  <si>
    <t>Gas Turbine</t>
  </si>
  <si>
    <t>This sheet includes only Copco 1, Copco2, Clearwater 1, Clearwater 2 and Cutler. See subsequent sheets for additional plants.</t>
  </si>
  <si>
    <t>HYDROELECTRIC GENERATING PLANT STATISTICS (Large Plants)</t>
  </si>
  <si>
    <t>1.  Large plants are hydro plants of 10,000 Kw or more of installed capacity (name plate ratings)
2.  If any plant is leased, operated under a license from the Federal Energy Regulatory Commission, or operated as a joint facility, indicate such facts in a footnote.  If licensed project, give project number.
3.  If net peak demand for 60 minutes is not available, give that which is available specifying period.
4.  If a group of employees attends more than one generating plant, report on line 11 the approximate average number of employees assignable to each plant. 5.  The items under Cost of Plant represent accounts or combinations of accounts prescribed by the Uniform System of Accounts.  Production Expenses do not include Purchased Power, System control and Load Dispatching, and Other Expenses classified as "Other Power Supply Expenses."
6.  Report as a separate plant any plant equipped with combinations of steam, hydro, internal combustion engine, or gas turbine equipment.</t>
  </si>
  <si>
    <t>FERC Licensed Project No.</t>
  </si>
  <si>
    <t>Plant Name:</t>
  </si>
  <si>
    <t>Copco No. 1</t>
  </si>
  <si>
    <t>Copco No. 2</t>
  </si>
  <si>
    <t>Clearwater No. 1</t>
  </si>
  <si>
    <t>Clearwater No. 2</t>
  </si>
  <si>
    <t>Cutler</t>
  </si>
  <si>
    <t>0.5</t>
  </si>
  <si>
    <t>0.9</t>
  </si>
  <si>
    <t>Kind of Plant (Run-of-River or Storage)</t>
  </si>
  <si>
    <t>Storage</t>
  </si>
  <si>
    <t>Run-of-River</t>
  </si>
  <si>
    <t>Plant Construction type (Conventional or Outdoor)</t>
  </si>
  <si>
    <t>Total installed cap (Gen name plate Rating in MW)</t>
  </si>
  <si>
    <t>Net Peak Demand on Plant-Megawatts (60 minutes)</t>
  </si>
  <si>
    <t>Plant Hours Connect to Load</t>
  </si>
  <si>
    <t>Net Plant Capability (in megawatts)</t>
  </si>
  <si>
    <t>(a) Under Most Favorable Oper Conditions</t>
  </si>
  <si>
    <t>(b) Under the Most Adverse Oper Conditions</t>
  </si>
  <si>
    <t>Net Generation, Exclusive of Plant Use - Kwh</t>
  </si>
  <si>
    <t>Cost of Plant</t>
  </si>
  <si>
    <t>Reservoirs, Dams, and Waterways</t>
  </si>
  <si>
    <t>Roads, Railroads, and Bridges</t>
  </si>
  <si>
    <t>TOTAL cost (Total of 14 thru 19)</t>
  </si>
  <si>
    <t>Cost per KW of Installed Capacity (line 20 / 5)</t>
  </si>
  <si>
    <t>Production Expenses</t>
  </si>
  <si>
    <t>Operation Supervision and Engineering</t>
  </si>
  <si>
    <t>Water for Power</t>
  </si>
  <si>
    <t>Hydraulic Expenses</t>
  </si>
  <si>
    <t>Misc Hydraulic Power Generation Expenses</t>
  </si>
  <si>
    <t>Maintenance of Reservoirs, Dams, and Waterways</t>
  </si>
  <si>
    <t>Maintenance of Misc Hydraulic Plant</t>
  </si>
  <si>
    <t>Total Production Expenses (total 23 thru 33)</t>
  </si>
  <si>
    <t>Expenses per net KWh</t>
  </si>
  <si>
    <t>This sheet includes only Fish Creek, Grace, Iron Gate, JC Boyle and Lemolo 1. See subsequent sheets for additional plants.</t>
  </si>
  <si>
    <t>Fish Creek</t>
  </si>
  <si>
    <t>Grace</t>
  </si>
  <si>
    <t>Iron Gate</t>
  </si>
  <si>
    <t>JC Boyle</t>
  </si>
  <si>
    <t>Lemolo No. 1</t>
  </si>
  <si>
    <t>1952</t>
  </si>
  <si>
    <t>1908</t>
  </si>
  <si>
    <t>1962</t>
  </si>
  <si>
    <t>1958</t>
  </si>
  <si>
    <t>1923</t>
  </si>
  <si>
    <t>This sheet includes only Lemolo 2, Merwin, Toketee, Oneida and Prospect 2. See subsequent sheets for additional plants.</t>
  </si>
  <si>
    <t>Lemolo No. 2</t>
  </si>
  <si>
    <t>Merwin</t>
  </si>
  <si>
    <t>Toketee</t>
  </si>
  <si>
    <t>Oneida</t>
  </si>
  <si>
    <t>Prospect No. 2</t>
  </si>
  <si>
    <t>Storage (Re-Reg)</t>
  </si>
  <si>
    <t>1956</t>
  </si>
  <si>
    <t>1931</t>
  </si>
  <si>
    <t>1949</t>
  </si>
  <si>
    <t>1915</t>
  </si>
  <si>
    <t>1928</t>
  </si>
  <si>
    <t>1950</t>
  </si>
  <si>
    <t>1920</t>
  </si>
  <si>
    <t>This sheet includes only Slide Creek, Soda, Soda Springs, Swift 1 and Yale. See subsequent sheets for additional plants.</t>
  </si>
  <si>
    <t>Slide Creek</t>
  </si>
  <si>
    <t>Soda</t>
  </si>
  <si>
    <t>Soda Springs</t>
  </si>
  <si>
    <t>Swift No. 1</t>
  </si>
  <si>
    <t>Yale</t>
  </si>
  <si>
    <t>1924</t>
  </si>
  <si>
    <t>1953</t>
  </si>
  <si>
    <t>PAGE 410</t>
  </si>
  <si>
    <t>GENERATING PLANT STATISTICS (Small Plants)</t>
  </si>
  <si>
    <t>1. Small generating plants are steam plants of, less than 25,000 Kw; internal combustion and gas turbine-plants, conventional hydro plants and pumped storage plants of less than 10,000 Kw installed capacity (name plate rating).
2. Designate any plant leased from others, operated under a license from the Federal Energy Regulatory Commission, or operated as a joint facility, and give a concise statement of the facts in a footnote. If licensed project, give project number in footnote. 3.  List plants appropriately under subheadings for steam, hydro, nuclear, internal combustion and gas turbine plants.  For nuclear, see instruction 11, Page 403.     
4.  If net peak demand for 60 minutes is not available, give the which is available, specifying period.     
5.  If any plant is equipped with combinations of steam, hydro internal combustion or gas turbine equipment, report each as a separate plant.  However, if the exhaust heat from the gas turbine is utilized in a steam turbine regenerative feed water cycle, or for preheated combustion air in a boiler, report as one plant.</t>
  </si>
  <si>
    <t>Name of Plant</t>
  </si>
  <si>
    <t>Year
Orig. Const.</t>
  </si>
  <si>
    <t>Installed Capacity Name Plate Rating
(In MW)</t>
  </si>
  <si>
    <t>Net Peak
Demand 
MW
(60 min.)</t>
  </si>
  <si>
    <t>Net Generation Excluding
Plant Use</t>
  </si>
  <si>
    <t>Plant Cost (Incl Asset
Retire. Costs) Per MW</t>
  </si>
  <si>
    <t>Operation
Exc'l. Fuel</t>
  </si>
  <si>
    <t>Kind of Fuel</t>
  </si>
  <si>
    <t>Fuel Costs (in cents
(per Million Btu)</t>
  </si>
  <si>
    <t>Generation Type</t>
  </si>
  <si>
    <t>Ashton  (Licensed Project No. 2381)</t>
  </si>
  <si>
    <t>1917</t>
  </si>
  <si>
    <t>Water</t>
  </si>
  <si>
    <t>Bend</t>
  </si>
  <si>
    <t>1913</t>
  </si>
  <si>
    <t>Big Fork  (Licensed Project No. 2652)</t>
  </si>
  <si>
    <t>1910</t>
  </si>
  <si>
    <t>Eagle Point</t>
  </si>
  <si>
    <t>1957</t>
  </si>
  <si>
    <t>East Side  (Licensed Project No. 2082)</t>
  </si>
  <si>
    <t>Fall Creek  (Licensed Project No. 2082)</t>
  </si>
  <si>
    <t>1903</t>
  </si>
  <si>
    <t>Granite</t>
  </si>
  <si>
    <t>1896</t>
  </si>
  <si>
    <t>Gunlock</t>
  </si>
  <si>
    <t>Last Chance</t>
  </si>
  <si>
    <t>1983</t>
  </si>
  <si>
    <t>Paris  (Licensed Project No. 703)</t>
  </si>
  <si>
    <t>Pioneer  (Licensed Project No. 2722)</t>
  </si>
  <si>
    <t>1897</t>
  </si>
  <si>
    <t>Prospect No. 1  (Licensed Project No. 2630)</t>
  </si>
  <si>
    <t>1912</t>
  </si>
  <si>
    <t>Prospect No. 3  (Licensed Project No. 2337)</t>
  </si>
  <si>
    <t>1932</t>
  </si>
  <si>
    <t>Prospect No. 4  (Licensed Project No. 2630)</t>
  </si>
  <si>
    <t>1944</t>
  </si>
  <si>
    <t>Sand Cove</t>
  </si>
  <si>
    <t>1926</t>
  </si>
  <si>
    <t>Stairs  (Licensed Project No. 597)</t>
  </si>
  <si>
    <t>1895</t>
  </si>
  <si>
    <t>Veyo</t>
  </si>
  <si>
    <t>Viva Naughton</t>
  </si>
  <si>
    <t>Wallowa Falls  (Licensed Project No. 308)</t>
  </si>
  <si>
    <t>1921</t>
  </si>
  <si>
    <t>Weber  (Licensed Project No. 1744)</t>
  </si>
  <si>
    <t>1911</t>
  </si>
  <si>
    <t>West Side  (Licensed Project No. 2082)</t>
  </si>
  <si>
    <t>Keno Regulating Dam  (Licensed Project No. 2082)</t>
  </si>
  <si>
    <t>Upper Klamath Lake  (Licensed Project No. 2082)</t>
  </si>
  <si>
    <t>North Umpqua  (Licensed Project No. 1927)</t>
  </si>
  <si>
    <t>Lifton Pumping Plant</t>
  </si>
  <si>
    <t>Wind</t>
  </si>
  <si>
    <t>Dunlap Ranch 1</t>
  </si>
  <si>
    <t>Foote Creek I</t>
  </si>
  <si>
    <t>1999</t>
  </si>
  <si>
    <r>
      <rPr>
        <sz val="8"/>
        <color rgb="FF000000"/>
        <rFont val="Arial"/>
        <family val="2"/>
      </rPr>
      <t>Foote Creek III</t>
    </r>
  </si>
  <si>
    <t>2023</t>
  </si>
  <si>
    <r>
      <rPr>
        <sz val="8"/>
        <color rgb="FF000000"/>
        <rFont val="Arial"/>
        <family val="2"/>
      </rPr>
      <t>Foote Creek IV</t>
    </r>
  </si>
  <si>
    <t>Glenrock</t>
  </si>
  <si>
    <t>2008</t>
  </si>
  <si>
    <t>Glenrock III</t>
  </si>
  <si>
    <t>2009</t>
  </si>
  <si>
    <t>Goodnoe Hills</t>
  </si>
  <si>
    <t>High Plains</t>
  </si>
  <si>
    <t>Leaning Juniper 1</t>
  </si>
  <si>
    <t>2006</t>
  </si>
  <si>
    <t>Marengo</t>
  </si>
  <si>
    <t>Marengo II</t>
  </si>
  <si>
    <t>McFadden Ridge I</t>
  </si>
  <si>
    <t>Rolling Hills</t>
  </si>
  <si>
    <t>Seven Mile Hill II</t>
  </si>
  <si>
    <t>TB Flats</t>
  </si>
  <si>
    <t>Black Cap</t>
  </si>
  <si>
    <t>2012</t>
  </si>
  <si>
    <t>Solar</t>
  </si>
  <si>
    <r>
      <rPr>
        <sz val="8"/>
        <color rgb="FF000000"/>
        <rFont val="Arial"/>
        <family val="2"/>
      </rPr>
      <t xml:space="preserve">Information below to be provided by Jim Etheridge 
</t>
    </r>
    <r>
      <rPr>
        <sz val="8"/>
        <color rgb="FF000000"/>
        <rFont val="Arial"/>
        <family val="2"/>
      </rPr>
      <t>(</t>
    </r>
    <r>
      <rPr>
        <sz val="8"/>
        <color rgb="FFEE2724"/>
        <rFont val="Arial"/>
        <family val="2"/>
      </rPr>
      <t>6.1</t>
    </r>
    <r>
      <rPr>
        <sz val="8"/>
        <color rgb="FFEE2724"/>
        <rFont val="Arial"/>
        <family val="2"/>
      </rPr>
      <t xml:space="preserve"> Certified</t>
    </r>
    <r>
      <rPr>
        <sz val="8"/>
        <color rgb="FFEE2724"/>
        <rFont val="Arial"/>
        <family val="2"/>
      </rPr>
      <t>_</t>
    </r>
    <r>
      <rPr>
        <sz val="8"/>
        <color rgb="FFEE2724"/>
        <rFont val="Arial"/>
        <family val="2"/>
      </rPr>
      <t>402-411 Generation 202</t>
    </r>
    <r>
      <rPr>
        <sz val="8"/>
        <color rgb="FFEE2724"/>
        <rFont val="Arial"/>
        <family val="2"/>
      </rPr>
      <t>3</t>
    </r>
    <r>
      <rPr>
        <sz val="8"/>
        <color rgb="FFEE2724"/>
        <rFont val="Arial"/>
        <family val="2"/>
      </rPr>
      <t>.xlsx, Tab: 410-411-Small)</t>
    </r>
    <r>
      <rPr>
        <sz val="8"/>
        <color rgb="FF000000"/>
        <rFont val="Arial"/>
        <family val="2"/>
      </rPr>
      <t>.</t>
    </r>
  </si>
  <si>
    <t>Ashton</t>
  </si>
  <si>
    <t>Big Fork</t>
  </si>
  <si>
    <t>East Side</t>
  </si>
  <si>
    <t>Fall Creek</t>
  </si>
  <si>
    <t>Paris</t>
  </si>
  <si>
    <t>Pioneer</t>
  </si>
  <si>
    <t>Prospect No. 1</t>
  </si>
  <si>
    <t>Prospect No. 3</t>
  </si>
  <si>
    <t>Prospect No. 4</t>
  </si>
  <si>
    <t>Stairs</t>
  </si>
  <si>
    <t>Wallowa Falls</t>
  </si>
  <si>
    <t>Weber</t>
  </si>
  <si>
    <t>West Side</t>
  </si>
  <si>
    <t>Keno Regulating Dam</t>
  </si>
  <si>
    <t>Upper Klamath Lake</t>
  </si>
  <si>
    <t>North Umpqua</t>
  </si>
  <si>
    <r>
      <rPr>
        <sz val="8"/>
        <color rgb="FF000000"/>
        <rFont val="Arial"/>
        <family val="2"/>
      </rPr>
      <t xml:space="preserve">Total Hydro per </t>
    </r>
    <r>
      <rPr>
        <b/>
        <sz val="8"/>
        <color rgb="FFEE2724"/>
        <rFont val="Arial"/>
        <family val="2"/>
      </rPr>
      <t>6.1</t>
    </r>
    <r>
      <rPr>
        <sz val="8"/>
        <color rgb="FF000000"/>
        <rFont val="Arial"/>
        <family val="2"/>
      </rPr>
      <t xml:space="preserve"> support</t>
    </r>
  </si>
  <si>
    <t>Total Column (f) per Pg 410 main sheet</t>
  </si>
  <si>
    <t>Lifton</t>
  </si>
  <si>
    <t>Foote Creek III</t>
  </si>
  <si>
    <t>Foote Creek IV</t>
  </si>
  <si>
    <r>
      <rPr>
        <sz val="8"/>
        <color rgb="FF000000"/>
        <rFont val="Arial"/>
        <family val="2"/>
      </rPr>
      <t xml:space="preserve">Total Wind per </t>
    </r>
    <r>
      <rPr>
        <b/>
        <sz val="8"/>
        <color rgb="FFEE2724"/>
        <rFont val="Arial"/>
        <family val="2"/>
      </rPr>
      <t>6.1</t>
    </r>
    <r>
      <rPr>
        <sz val="8"/>
        <color rgb="FF000000"/>
        <rFont val="Arial"/>
        <family val="2"/>
      </rPr>
      <t xml:space="preserve"> support</t>
    </r>
  </si>
  <si>
    <r>
      <rPr>
        <sz val="8"/>
        <color rgb="FF000000"/>
        <rFont val="Arial"/>
        <family val="2"/>
      </rPr>
      <t xml:space="preserve">Grand Total per </t>
    </r>
    <r>
      <rPr>
        <b/>
        <sz val="8"/>
        <color rgb="FFEE2724"/>
        <rFont val="Arial"/>
        <family val="2"/>
      </rPr>
      <t>6.1</t>
    </r>
    <r>
      <rPr>
        <sz val="8"/>
        <color rgb="FF000000"/>
        <rFont val="Arial"/>
        <family val="2"/>
      </rPr>
      <t xml:space="preserve"> support</t>
    </r>
  </si>
  <si>
    <r>
      <rPr>
        <sz val="8"/>
        <color rgb="FF000000"/>
        <rFont val="Arial"/>
        <family val="2"/>
      </rPr>
      <t xml:space="preserve">Columns (a) to (i) below are provided by </t>
    </r>
    <r>
      <rPr>
        <sz val="8"/>
        <color rgb="FF000000"/>
        <rFont val="Arial"/>
        <family val="2"/>
      </rPr>
      <t xml:space="preserve">Kyle Williamson </t>
    </r>
    <r>
      <rPr>
        <sz val="8"/>
        <color rgb="FF000000"/>
        <rFont val="Arial"/>
        <family val="2"/>
      </rPr>
      <t>(</t>
    </r>
    <r>
      <rPr>
        <b/>
        <sz val="8"/>
        <color rgb="FFEE2724"/>
        <rFont val="Arial"/>
        <family val="2"/>
      </rPr>
      <t>3.1</t>
    </r>
    <r>
      <rPr>
        <b/>
        <sz val="8"/>
        <color rgb="FFEE2724"/>
        <rFont val="Arial"/>
        <family val="2"/>
      </rPr>
      <t>a_Rev</t>
    </r>
    <r>
      <rPr>
        <b/>
        <sz val="8"/>
        <color rgb="FFEE2724"/>
        <rFont val="Arial"/>
        <family val="2"/>
      </rPr>
      <t>ised_2023 FERC Form 1 Pg 422</t>
    </r>
    <r>
      <rPr>
        <sz val="8"/>
        <color rgb="FF000000"/>
        <rFont val="Arial"/>
        <family val="2"/>
      </rPr>
      <t>) and is only for 500kV voltage. See other sheets for other voltages.</t>
    </r>
  </si>
  <si>
    <r>
      <rPr>
        <sz val="8"/>
        <color rgb="FF000000"/>
        <rFont val="Arial"/>
        <family val="2"/>
      </rPr>
      <t>Columns (j) to (l) below are provided by Rob Schroeder (</t>
    </r>
    <r>
      <rPr>
        <b/>
        <sz val="8"/>
        <color rgb="FFEE2724"/>
        <rFont val="Arial"/>
        <family val="2"/>
      </rPr>
      <t>4.1</t>
    </r>
    <r>
      <rPr>
        <b/>
        <sz val="8"/>
        <color rgb="FFEE2724"/>
        <rFont val="Arial"/>
        <family val="2"/>
      </rPr>
      <t xml:space="preserve">_FERC Form </t>
    </r>
    <r>
      <rPr>
        <b/>
        <sz val="8"/>
        <color rgb="FFEE2724"/>
        <rFont val="Arial"/>
        <family val="2"/>
      </rPr>
      <t>One (pgs 422 423) - year 2023</t>
    </r>
    <r>
      <rPr>
        <sz val="8"/>
        <color rgb="FF000000"/>
        <rFont val="Arial"/>
        <family val="2"/>
      </rPr>
      <t>).</t>
    </r>
  </si>
  <si>
    <r>
      <rPr>
        <sz val="8"/>
        <color rgb="FF000000"/>
        <rFont val="Arial"/>
        <family val="2"/>
      </rPr>
      <t>Columns (m) to (p) below are provided by Roslyn Hood (</t>
    </r>
    <r>
      <rPr>
        <b/>
        <sz val="8"/>
        <color rgb="FFEE2724"/>
        <rFont val="Arial"/>
        <family val="2"/>
      </rPr>
      <t>4.2</t>
    </r>
    <r>
      <rPr>
        <b/>
        <sz val="8"/>
        <color rgb="FFEE2724"/>
        <rFont val="Arial"/>
        <family val="2"/>
      </rPr>
      <t>_CY23 FERC Accts 563_567_571_572 (R. Hood)</t>
    </r>
    <r>
      <rPr>
        <sz val="8"/>
        <color rgb="FF000000"/>
        <rFont val="Arial"/>
        <family val="2"/>
      </rPr>
      <t>).</t>
    </r>
  </si>
  <si>
    <t>PAGE 422</t>
  </si>
  <si>
    <t>TRANSMISSION LINE STATISTICS</t>
  </si>
  <si>
    <t>1.  Report information concerning transmission lines, cost of lines, and expenses for year.  List each transmission line having nominal voltage of 132 kilovolts or greater.  Report transmission lines below these voltages in group totals only for each voltage.
2.  Transmission lines include all lines covered by the definition of transmission system plant as given in the Uniform System of Accounts.  Do not report substation costs and expenses on this page.
3.  Report data by individual lines for all voltages if so required by a State commission.
4.  Exclude from this page any transmission lines for which plant costs are included in Account 121, Nonutility Property.
5.  Indicate whether the type of supporting structure reported in column (e) is:  (1) single pole wood or steel; (2) H-frame wood, or steel poles; (3) tower; or (4) underground construction If a transmission line has more than one type of supporting structure, indicate the mileage of each type of construction by the use of brackets and extra lines.  Minor portions of a transmission line of a different type of construction need not be distinguished from the remainder of the line.
6.  Report in columns (f) and (g) the total pole miles of each transmission line.  Show in column (f) the pole miles of line on structures the cost of which is reported for the line designated; conversely, show in column (g) the pole miles of line on structures the cost of which is reported for another line.  Report pole miles of line on leased or partly owned structures in column (g).  In a footnote, explain the basis of such occupancy and state whether expenses with respect to such structures are included in the expenses reported for the line designated.</t>
  </si>
  <si>
    <t>7.  Do not report the same transmission line structure twice.  Report Lower voltage Lines and higher voltage lines as one line.  Designate in a footnote if you do not include Lower voltage lines with higher voltage lines.  If two or more transmission line structures support lines of the same voltage, report the pole miles of the primary structure in column (f) and the pole miles of the other line(s) in column (g)
8.  Designate any transmission line or portion thereof for which the respondent is not the sole owner.  If such property is leased from another company, give name of lessor, date and terms of Lease, and amount of rent for year.  For any transmission line other than a leased line, or portion thereof, for which the respondent is not the sole owner but which the respondent operates or shares in the operation of, furnish a succinct statement explaining the arrangement and giving particulars (details) of such matters as percent ownership by respondent in the line, name of co-owner, basis of sharing expenses of the Line, and how the expenses borne by the respondent are accounted for, and accounts affected.  Specify whether lessor, co-owner, or other party is an associated company.
9.  Designate any transmission line leased to another company and give name of Lessee, date and terms of lease, annual rent for year, and how determined.  Specify whether lessee is an associated company.
10.  Base the plant cost figures called for in columns (j) to (l) on the book cost at end of year.</t>
  </si>
  <si>
    <t>DESIGNATION</t>
  </si>
  <si>
    <t>VOLTAGE (KV)
(Indicate where
other than
60 cycle, 3 phase)</t>
  </si>
  <si>
    <t>Type of
Supporting
Structure</t>
  </si>
  <si>
    <t>LENGTH (Pole miles)
(In the case of
underground lines
report circuit miles)</t>
  </si>
  <si>
    <t>Number
Of
Circuits</t>
  </si>
  <si>
    <t>Size of
Conductor
and Material</t>
  </si>
  <si>
    <t>COST OF LINE (Include in Column (j) Land,
Land rights, and clearing right-of-way)</t>
  </si>
  <si>
    <t>EXPENSES, EXCEPT DEPRECIATION AND TAXES</t>
  </si>
  <si>
    <t>From</t>
  </si>
  <si>
    <t>To</t>
  </si>
  <si>
    <t>Operating</t>
  </si>
  <si>
    <t>Designed</t>
  </si>
  <si>
    <t>On Structure
of Line Designated</t>
  </si>
  <si>
    <t>On Structures of Another
Line</t>
  </si>
  <si>
    <t>Land</t>
  </si>
  <si>
    <t>Construction and
Other Costs</t>
  </si>
  <si>
    <t>Operation Expenses</t>
  </si>
  <si>
    <t>Maintenance Expenses</t>
  </si>
  <si>
    <t>Total
Expenses</t>
  </si>
  <si>
    <t>(p)</t>
  </si>
  <si>
    <t>See footnote</t>
  </si>
  <si>
    <t>AEOLUS, WY</t>
  </si>
  <si>
    <t>ANTICLINE, WY</t>
  </si>
  <si>
    <t>Steel Tower</t>
  </si>
  <si>
    <t>3-1272 ACSR 45/7</t>
  </si>
  <si>
    <t>ALVEY, OR</t>
  </si>
  <si>
    <t>DIXONVILLE 500KV, OR</t>
  </si>
  <si>
    <t>1272 ACSR 54/19</t>
  </si>
  <si>
    <t>BROADVIEW, MT</t>
  </si>
  <si>
    <t>COLSTRIP A, MT</t>
  </si>
  <si>
    <t>795 ACSR 26/7</t>
  </si>
  <si>
    <t>COLSTRIP B, MT</t>
  </si>
  <si>
    <t>TOWNSEND A, MT</t>
  </si>
  <si>
    <t>TOWNSEND B, MT</t>
  </si>
  <si>
    <t>CAPTAIN JACK, OR</t>
  </si>
  <si>
    <t>MALIN, OR</t>
  </si>
  <si>
    <t>3-1272 ACSR 36/1</t>
  </si>
  <si>
    <t>MERIDIAN, OR</t>
  </si>
  <si>
    <t>HEMINGWAY, ID</t>
  </si>
  <si>
    <t>SUMMER LAKE, OR</t>
  </si>
  <si>
    <t>KLAMATH COGEN, OR</t>
  </si>
  <si>
    <t>SNOW GOOSE, OR</t>
  </si>
  <si>
    <t>1272 ACSR 36/1</t>
  </si>
  <si>
    <t>INDIAN SPRINGS, CA</t>
  </si>
  <si>
    <t>3-1852 ACSR 51/27</t>
  </si>
  <si>
    <t>MIDPOINT, ID</t>
  </si>
  <si>
    <t>500kV Costs and Expenses</t>
  </si>
  <si>
    <t>SUBTOTAL 500kV</t>
  </si>
  <si>
    <t>Column J - L, 4.1_R. Schroeder</t>
  </si>
  <si>
    <t>Column M - P, 4.2_R. Hood</t>
  </si>
  <si>
    <t>PG 320, LN 94</t>
  </si>
  <si>
    <t>PG 320,
 LN 108+109</t>
  </si>
  <si>
    <t>PG 320, LN 98</t>
  </si>
  <si>
    <r>
      <rPr>
        <sz val="8"/>
        <color rgb="FF000000"/>
        <rFont val="Arial"/>
        <family val="2"/>
      </rPr>
      <t>Columns (a) to (i) below are provided by Alex Vaz (</t>
    </r>
    <r>
      <rPr>
        <b/>
        <sz val="8"/>
        <color rgb="FFEE2724"/>
        <rFont val="Arial"/>
        <family val="2"/>
      </rPr>
      <t>3.1</t>
    </r>
    <r>
      <rPr>
        <sz val="8"/>
        <color rgb="FF000000"/>
        <rFont val="Arial"/>
        <family val="2"/>
      </rPr>
      <t>) and is only for 345kV voltage. See other sheets for other voltages.</t>
    </r>
  </si>
  <si>
    <r>
      <rPr>
        <sz val="8"/>
        <color rgb="FF000000"/>
        <rFont val="Arial"/>
        <family val="2"/>
      </rPr>
      <t>Columns (j) to (l) below are provided by Rob Schroeder (</t>
    </r>
    <r>
      <rPr>
        <b/>
        <sz val="8"/>
        <color rgb="FFEE2724"/>
        <rFont val="Arial"/>
        <family val="2"/>
      </rPr>
      <t>4.1</t>
    </r>
    <r>
      <rPr>
        <sz val="8"/>
        <color rgb="FF000000"/>
        <rFont val="Arial"/>
        <family val="2"/>
      </rPr>
      <t>).</t>
    </r>
  </si>
  <si>
    <r>
      <rPr>
        <sz val="8"/>
        <color rgb="FF000000"/>
        <rFont val="Arial"/>
        <family val="2"/>
      </rPr>
      <t>Columns (m) to (p) below are provided by Roslyn Hood (</t>
    </r>
    <r>
      <rPr>
        <b/>
        <sz val="8"/>
        <color rgb="FFEE2724"/>
        <rFont val="Arial"/>
        <family val="2"/>
      </rPr>
      <t>4.2</t>
    </r>
    <r>
      <rPr>
        <sz val="8"/>
        <color rgb="FF000000"/>
        <rFont val="Arial"/>
        <family val="2"/>
      </rPr>
      <t>).</t>
    </r>
  </si>
  <si>
    <t>PAGE 423</t>
  </si>
  <si>
    <t>TRANSMISSION LINE STATISTICS (Continued)</t>
  </si>
  <si>
    <t>90TH SOUTH, UT</t>
  </si>
  <si>
    <t>CAMP WILLIAMS #3, UT</t>
  </si>
  <si>
    <t>Steel - SP</t>
  </si>
  <si>
    <t>1557.4 ACSR/TW 36/7</t>
  </si>
  <si>
    <t>CAMP WILLIAMS #4, UT</t>
  </si>
  <si>
    <t>CAMP WILLIAMS #1, UT</t>
  </si>
  <si>
    <t>1272 ACSR 45/7</t>
  </si>
  <si>
    <t>TERMINAL, UT</t>
  </si>
  <si>
    <t>JIM BRIDGER, WY</t>
  </si>
  <si>
    <t>Steel - H</t>
  </si>
  <si>
    <t>BEN LOMOND, UT</t>
  </si>
  <si>
    <t>POPULUS #1, ID</t>
  </si>
  <si>
    <t>POPULUS #2, ID</t>
  </si>
  <si>
    <t>CAMP WILLIAMS, UT</t>
  </si>
  <si>
    <t>TERMINAL #2, UT</t>
  </si>
  <si>
    <t>TERMINAL #1, UT</t>
  </si>
  <si>
    <t>BORAH, ID</t>
  </si>
  <si>
    <t>MIDPOINT #1, ID</t>
  </si>
  <si>
    <t>Wood - H</t>
  </si>
  <si>
    <t>MIDPOINT #2, ID</t>
  </si>
  <si>
    <t>CLOVER, UT</t>
  </si>
  <si>
    <t>954 ACSR 45/7</t>
  </si>
  <si>
    <t>MONA #1, UT</t>
  </si>
  <si>
    <t>MONA #2, UT</t>
  </si>
  <si>
    <t>954 ACSR 54/7</t>
  </si>
  <si>
    <t>MONA #4 UT</t>
  </si>
  <si>
    <t>OQUIRRH, UT</t>
  </si>
  <si>
    <t>1949 ACSR 45/7</t>
  </si>
  <si>
    <t>CURRANT CREEK, UT</t>
  </si>
  <si>
    <t>MONA, UT</t>
  </si>
  <si>
    <t>EMERY, UT</t>
  </si>
  <si>
    <t>HUNTINGTON, UT</t>
  </si>
  <si>
    <t>SIGURD #1, UT</t>
  </si>
  <si>
    <t>SIGURD #2, UT</t>
  </si>
  <si>
    <t>FOUR CORNERS, NM</t>
  </si>
  <si>
    <t>PINTO, UT</t>
  </si>
  <si>
    <t>795 ACSR 45/7</t>
  </si>
  <si>
    <t>GOSHEN, ID</t>
  </si>
  <si>
    <t>KINPORT, ID</t>
  </si>
  <si>
    <t>795 ACSR/SD 22/7</t>
  </si>
  <si>
    <t>HUNT PLANT 1, UT</t>
  </si>
  <si>
    <t>2156 ACSR 8419</t>
  </si>
  <si>
    <t>HUNT PLANT 2, UT</t>
  </si>
  <si>
    <t>SPANISH FORK, UT</t>
  </si>
  <si>
    <t>RED BUTTE, UT</t>
  </si>
  <si>
    <t>SIGURD, UT</t>
  </si>
  <si>
    <t>UT/NV STATE LINE</t>
  </si>
  <si>
    <t>954 ACSR/SD 13/8/7</t>
  </si>
  <si>
    <t>2-954 ACSR 45/7</t>
  </si>
  <si>
    <t>2-1272 ACSR 45/7</t>
  </si>
  <si>
    <t>CAMP WILLIAMS #2, UT</t>
  </si>
  <si>
    <t>345 kV Costs and Expenses</t>
  </si>
  <si>
    <t>SUBTOTAL 345kV</t>
  </si>
  <si>
    <r>
      <rPr>
        <sz val="8"/>
        <color rgb="FF000000"/>
        <rFont val="Arial"/>
        <family val="2"/>
      </rPr>
      <t>Columns (a) to (i) below are provided by Alex Vaz (</t>
    </r>
    <r>
      <rPr>
        <b/>
        <sz val="8"/>
        <color rgb="FFEE2724"/>
        <rFont val="Arial"/>
        <family val="2"/>
      </rPr>
      <t>3.1</t>
    </r>
    <r>
      <rPr>
        <sz val="8"/>
        <color rgb="FF000000"/>
        <rFont val="Arial"/>
        <family val="2"/>
      </rPr>
      <t>) and is only for 230kV voltage. See other sheets for other voltages.</t>
    </r>
  </si>
  <si>
    <t>EKOLA FLATS, WY</t>
  </si>
  <si>
    <t>FREEZEOUT, WY</t>
  </si>
  <si>
    <t>SHIRLEY BASIN #1, WY</t>
  </si>
  <si>
    <t>1158.4 ACSS 25/7</t>
  </si>
  <si>
    <t>SHIRLEY BASIN #2, WY</t>
  </si>
  <si>
    <t>DIXONVILLE, OR</t>
  </si>
  <si>
    <t>ANTELOPE, ID</t>
  </si>
  <si>
    <t>ANACONDA, MT</t>
  </si>
  <si>
    <t>LOST RIVER, ID</t>
  </si>
  <si>
    <t>ARROWHEAD, WY</t>
  </si>
  <si>
    <t>FIREHOLE, WY</t>
  </si>
  <si>
    <t>ATLANTIC CITY, WY</t>
  </si>
  <si>
    <t>COLUMBIA GENEVA, WY</t>
  </si>
  <si>
    <t>NAUGHTON #1, WY</t>
  </si>
  <si>
    <t>NAUGHTON #2, WY</t>
  </si>
  <si>
    <t>BIRCH CREEK, UT</t>
  </si>
  <si>
    <t>RAILROAD, WY</t>
  </si>
  <si>
    <t>BITTER CREEK, WY</t>
  </si>
  <si>
    <t>MONELL, WY</t>
  </si>
  <si>
    <t>BRIDGER PUMP, WY</t>
  </si>
  <si>
    <t>MANS FACE, WY</t>
  </si>
  <si>
    <t>BUFFALO, WY</t>
  </si>
  <si>
    <t>CASPER, WY</t>
  </si>
  <si>
    <t>DAVE JOHNSTON, WY</t>
  </si>
  <si>
    <t>1557.4 ACSR/TW 45/7</t>
  </si>
  <si>
    <t>RIVERTON, WY</t>
  </si>
  <si>
    <t>CHAPPEL CREEK, WY</t>
  </si>
  <si>
    <t>CRAVEN CREEK, WY</t>
  </si>
  <si>
    <t>JONAH GAS, WY</t>
  </si>
  <si>
    <t>RILEY RIDGE, WY</t>
  </si>
  <si>
    <t>CORRAL, OR</t>
  </si>
  <si>
    <t>OCHOCO #1, OR</t>
  </si>
  <si>
    <t>OCHOCO #2, OR</t>
  </si>
  <si>
    <t>PIONEER, WY</t>
  </si>
  <si>
    <t>SPENCE, WY</t>
  </si>
  <si>
    <t>1557 ACSS/TW 45/7</t>
  </si>
  <si>
    <t>WYODAK, WY</t>
  </si>
  <si>
    <t>DIXONVILLE 500kV, OR</t>
  </si>
  <si>
    <t>DIXONVILLE 230kV, OR</t>
  </si>
  <si>
    <t>1158 ACSS /25</t>
  </si>
  <si>
    <t>RESTON (BPA), OR</t>
  </si>
  <si>
    <t>FAIRVIEW (BPA), OR</t>
  </si>
  <si>
    <t>ISTHMUS, OR</t>
  </si>
  <si>
    <t>MONUMENT, WY</t>
  </si>
  <si>
    <t>FRIEND, OR</t>
  </si>
  <si>
    <t>FRY, OR</t>
  </si>
  <si>
    <t>BETHEL, OR</t>
  </si>
  <si>
    <t>GLEN CANYON, AZ</t>
  </si>
  <si>
    <t>GONDER,  UT - NV STATE</t>
  </si>
  <si>
    <t>PAVANT, UT</t>
  </si>
  <si>
    <t>GRANTS PASS, OR</t>
  </si>
  <si>
    <t>HIGH PLAINS, WY</t>
  </si>
  <si>
    <t>STANDPIPE, WY</t>
  </si>
  <si>
    <t>HURRICANE, OR</t>
  </si>
  <si>
    <t>WALLA WALLA, WA</t>
  </si>
  <si>
    <t>ROCK SPRINGS, WY</t>
  </si>
  <si>
    <t>KLAMATH FALLS, OR</t>
  </si>
  <si>
    <t>1511 ACCC 36/1</t>
  </si>
  <si>
    <t>LIMA, WY</t>
  </si>
  <si>
    <t>ROBERSON, WY</t>
  </si>
  <si>
    <t>LONE PINE, OR</t>
  </si>
  <si>
    <t>MERIDIAN #1, OR</t>
  </si>
  <si>
    <t>MERIDIAN #2, OR</t>
  </si>
  <si>
    <t>MCNARY (BPA), OR</t>
  </si>
  <si>
    <t>WALLULA, WA</t>
  </si>
  <si>
    <t>1158.4 ACSS/TW 25/7</t>
  </si>
  <si>
    <t>EXXON, WY</t>
  </si>
  <si>
    <t>NAUGHTON, WY</t>
  </si>
  <si>
    <t>TREASURETON, ID</t>
  </si>
  <si>
    <t>PALISADES SS, WY</t>
  </si>
  <si>
    <t>BLUE RIM, WY</t>
  </si>
  <si>
    <t>PAROWAN VALLEY, UT</t>
  </si>
  <si>
    <t>WEST CEDAR, UT</t>
  </si>
  <si>
    <t>POINT OF ROCKS, WY</t>
  </si>
  <si>
    <t>POMONA, WA</t>
  </si>
  <si>
    <t>VANTAGE, WA</t>
  </si>
  <si>
    <t>PONDEROSA (BPA), OR</t>
  </si>
  <si>
    <t>UNION GAP, WA</t>
  </si>
  <si>
    <t>THERMOPOLIS, WY</t>
  </si>
  <si>
    <t>FLAMING GORGE, UT</t>
  </si>
  <si>
    <t>SHERIDAN (MDU), WY</t>
  </si>
  <si>
    <t>YELLOWTAIL, MT</t>
  </si>
  <si>
    <t>SHIRLEY BASIN, WY</t>
  </si>
  <si>
    <t>DUNLAP RANCH, WY</t>
  </si>
  <si>
    <t>SWIFT No. 1, WA</t>
  </si>
  <si>
    <t>SWIFT No. 2, WA</t>
  </si>
  <si>
    <t>WOODLAND (BPA) SS, WA</t>
  </si>
  <si>
    <t>TALBOT, WA</t>
  </si>
  <si>
    <t>MARENGO II, WA</t>
  </si>
  <si>
    <t>TAP TO HANNA, OR</t>
  </si>
  <si>
    <t>NICKEL MOUNTAIN, OR</t>
  </si>
  <si>
    <t>BRADY, ID</t>
  </si>
  <si>
    <t>TROUTDALE (BPA), OR</t>
  </si>
  <si>
    <t>GRESHAM (PGE), OR</t>
  </si>
  <si>
    <t>LINNEMAN (PGE), OR</t>
  </si>
  <si>
    <t>900 ACSR 54/7</t>
  </si>
  <si>
    <t>MIDWAY (BPA), WA</t>
  </si>
  <si>
    <t>LEWISTON (AVISTA), ID</t>
  </si>
  <si>
    <t>WANAPUM (GPUD), WA</t>
  </si>
  <si>
    <t>WINDSTAR, WY</t>
  </si>
  <si>
    <t>GLENROCK, WY</t>
  </si>
  <si>
    <t>YAMSAY (BPA), OR</t>
  </si>
  <si>
    <t>230kV Costs and Expenses</t>
  </si>
  <si>
    <t>SUBTOTAL 230kV</t>
  </si>
  <si>
    <r>
      <rPr>
        <sz val="8"/>
        <color rgb="FF000000"/>
        <rFont val="Arial"/>
        <family val="2"/>
      </rPr>
      <t>Columns (a) to (i) below are provided by Alex Vaz (</t>
    </r>
    <r>
      <rPr>
        <b/>
        <sz val="8"/>
        <color rgb="FFEE2724"/>
        <rFont val="Arial"/>
        <family val="2"/>
      </rPr>
      <t>3.1</t>
    </r>
    <r>
      <rPr>
        <sz val="8"/>
        <color rgb="FF000000"/>
        <rFont val="Arial"/>
        <family val="2"/>
      </rPr>
      <t>) and is only for 161kV voltage. See other sheets for other voltages.</t>
    </r>
  </si>
  <si>
    <t>397.5 ACSR 26/7</t>
  </si>
  <si>
    <t>BIG GRASSY, ID</t>
  </si>
  <si>
    <t>JEFFERSON, ID</t>
  </si>
  <si>
    <t>250HH CU /7</t>
  </si>
  <si>
    <t>BONNEVILLE, ID</t>
  </si>
  <si>
    <t>EAGLEROCK, ID</t>
  </si>
  <si>
    <t>Wood - SP</t>
  </si>
  <si>
    <t>GRACE, ID</t>
  </si>
  <si>
    <t>RIGBY, ID</t>
  </si>
  <si>
    <t>SUGARMILL, ID</t>
  </si>
  <si>
    <t>477 ACSS 26/7</t>
  </si>
  <si>
    <t>REXBURG, ID</t>
  </si>
  <si>
    <t>1272 ACSR</t>
  </si>
  <si>
    <t>1557.4 ACSR/TW</t>
  </si>
  <si>
    <t>TAP TO PAYNE, ID</t>
  </si>
  <si>
    <t>PAYNE, ID</t>
  </si>
  <si>
    <t>RIMROCK, MT</t>
  </si>
  <si>
    <t>556.5 ACSR 26/7</t>
  </si>
  <si>
    <t>161 kV Costs and Expenses</t>
  </si>
  <si>
    <t>SUBTOTAL 161 kV</t>
  </si>
  <si>
    <r>
      <rPr>
        <sz val="8"/>
        <color rgb="FF000000"/>
        <rFont val="Arial"/>
        <family val="2"/>
      </rPr>
      <t>Columns (a) to (i) below are provided by Alex Vaz (</t>
    </r>
    <r>
      <rPr>
        <b/>
        <sz val="8"/>
        <color rgb="FFEE2724"/>
        <rFont val="Arial"/>
        <family val="2"/>
      </rPr>
      <t>3.1</t>
    </r>
    <r>
      <rPr>
        <sz val="8"/>
        <color rgb="FF000000"/>
        <rFont val="Arial"/>
        <family val="2"/>
      </rPr>
      <t>) and is only for 138kV and lower voltages. See other sheets for other voltages.</t>
    </r>
  </si>
  <si>
    <t>DUMAS #1, UT</t>
  </si>
  <si>
    <t>795 AAC /37</t>
  </si>
  <si>
    <t>DUMAS #2, UT</t>
  </si>
  <si>
    <t>1020 ACCC/TW  BARE</t>
  </si>
  <si>
    <t>SANDY, UT</t>
  </si>
  <si>
    <t>ABAJO, UT</t>
  </si>
  <si>
    <t>SAN JUAN, UT</t>
  </si>
  <si>
    <t>AGRIUM, UT</t>
  </si>
  <si>
    <t>THREEMILE KNOLL, ID</t>
  </si>
  <si>
    <t>ANSCHTZ CO-GEN, WY</t>
  </si>
  <si>
    <t>EVANSTON, WY</t>
  </si>
  <si>
    <t>SCOVILLE #1, ID</t>
  </si>
  <si>
    <t>SCOVILLE #2, ID</t>
  </si>
  <si>
    <t>ASHGROVE, UT</t>
  </si>
  <si>
    <t>ASHLEY, UT</t>
  </si>
  <si>
    <t>CARBON, UT</t>
  </si>
  <si>
    <t>VERNAL, UT</t>
  </si>
  <si>
    <t>ANGEL, UT</t>
  </si>
  <si>
    <t>250 CUHD /12</t>
  </si>
  <si>
    <t>BRIGHAM CITY, UT</t>
  </si>
  <si>
    <t>BEN LOMOND #1, UT</t>
  </si>
  <si>
    <t>EL MONTE, UT</t>
  </si>
  <si>
    <t>BEN LOMOND #2, UT</t>
  </si>
  <si>
    <t>HONEYVILLE, UT</t>
  </si>
  <si>
    <t>SYRACUSE #2, UT</t>
  </si>
  <si>
    <t>SYRACUSE, UT</t>
  </si>
  <si>
    <t>W ZIRCONIUM, UT</t>
  </si>
  <si>
    <t>WHEELON, UT</t>
  </si>
  <si>
    <t>BONANZA, UT</t>
  </si>
  <si>
    <t>CHAPITA, UT</t>
  </si>
  <si>
    <t>BRIDGERLAND, UT</t>
  </si>
  <si>
    <t>GREEN CANYON, UT</t>
  </si>
  <si>
    <t>BUTLERVILLE, UT</t>
  </si>
  <si>
    <t>CAMERON, UT</t>
  </si>
  <si>
    <t>MILFORD, UT</t>
  </si>
  <si>
    <t>PAROWAN, UT</t>
  </si>
  <si>
    <t>CANYON COMP, WY</t>
  </si>
  <si>
    <t>STR 204, WY</t>
  </si>
  <si>
    <t>HELPER #2, UT</t>
  </si>
  <si>
    <t>MOAB, UT</t>
  </si>
  <si>
    <t>SPANISH FORK #1, UT</t>
  </si>
  <si>
    <t>4/0 COMP /19</t>
  </si>
  <si>
    <t>SPANISH FORK #2, UT</t>
  </si>
  <si>
    <t>CENTRAL (UAMPS) #2, UT</t>
  </si>
  <si>
    <t>SAINT GEORGE, UT</t>
  </si>
  <si>
    <t>CENTRAL (UAMPS) #3, UT</t>
  </si>
  <si>
    <t>CLEAR CREEK, WY</t>
  </si>
  <si>
    <t>PAINTER, UT</t>
  </si>
  <si>
    <t>BURRASTON PONDS</t>
  </si>
  <si>
    <t>NEBO, UT</t>
  </si>
  <si>
    <t>COLUMBIA, UT</t>
  </si>
  <si>
    <t>SUNNYSIDE, UT</t>
  </si>
  <si>
    <t>COTTONWOOD, UT</t>
  </si>
  <si>
    <t>HAMMER, UT</t>
  </si>
  <si>
    <t>MCCLELLAND, UT</t>
  </si>
  <si>
    <t>SILVER CREEK, UT</t>
  </si>
  <si>
    <t>CUTLER, UT</t>
  </si>
  <si>
    <t>DANIEL, UT</t>
  </si>
  <si>
    <t>MIDWAY, UT</t>
  </si>
  <si>
    <t>DRY CREEK, UT</t>
  </si>
  <si>
    <t>DUMAS, UT</t>
  </si>
  <si>
    <t>WESTFIELD, UT</t>
  </si>
  <si>
    <t>DYNAMO, UT</t>
  </si>
  <si>
    <t>TRI-CITY #1, UT</t>
  </si>
  <si>
    <t>TRI-CITY #2, UT</t>
  </si>
  <si>
    <t>EAGLE MOUNTAIN, UT</t>
  </si>
  <si>
    <t>PONY EXPRESS, UT</t>
  </si>
  <si>
    <t>EAST LAYTON, UT</t>
  </si>
  <si>
    <t>105 TAP, UT</t>
  </si>
  <si>
    <t>EBAY TAP, UT</t>
  </si>
  <si>
    <t>PIONEER, UT</t>
  </si>
  <si>
    <t>STR30B, UT</t>
  </si>
  <si>
    <t>CLAWSON, UT</t>
  </si>
  <si>
    <t>RAILROAD, UT</t>
  </si>
  <si>
    <t>FORT DOUGLAS, UT</t>
  </si>
  <si>
    <t>FRANKLIN, ID</t>
  </si>
  <si>
    <t>GADSBY, UT</t>
  </si>
  <si>
    <t>JORDAN, UT</t>
  </si>
  <si>
    <t>1272 AAC /61</t>
  </si>
  <si>
    <t>THIRD WEST, UT</t>
  </si>
  <si>
    <t>GRAPHITE, UT</t>
  </si>
  <si>
    <t>MOUNTAIN VIEW, UT</t>
  </si>
  <si>
    <t>NIBLEY, UT</t>
  </si>
  <si>
    <t>GRINDING, UT</t>
  </si>
  <si>
    <t>TOOELE, UT</t>
  </si>
  <si>
    <t>HALE, UT</t>
  </si>
  <si>
    <t>TANNER, UT</t>
  </si>
  <si>
    <t>HIGHLAND, UT</t>
  </si>
  <si>
    <t>BULL RIVER (LEHI #5), UT</t>
  </si>
  <si>
    <t>LAMPO, UT</t>
  </si>
  <si>
    <t>MCFADDEN, UT</t>
  </si>
  <si>
    <t>JERUSALEM, UT</t>
  </si>
  <si>
    <t>KEARNS, UT</t>
  </si>
  <si>
    <t>TAYLORSVILLE, UT</t>
  </si>
  <si>
    <t>WEST VALLEY, UT</t>
  </si>
  <si>
    <t>LONE PEAK, UT</t>
  </si>
  <si>
    <t>MIDVALLEY, UT</t>
  </si>
  <si>
    <t>BLACKHAWK, UT</t>
  </si>
  <si>
    <t>MID VALLEY, UT</t>
  </si>
  <si>
    <t>MID VALLEY #2, UT</t>
  </si>
  <si>
    <t>MID VALLEY #1, UT</t>
  </si>
  <si>
    <t>MIDDLETON, UT</t>
  </si>
  <si>
    <t>ST. GEORGE, UT</t>
  </si>
  <si>
    <t>PAINTER, WY</t>
  </si>
  <si>
    <t>NUCOR STEEL, UT</t>
  </si>
  <si>
    <t>ONEIDA, ID</t>
  </si>
  <si>
    <t>OVID, UT</t>
  </si>
  <si>
    <t>336.4 ACSR 26/7</t>
  </si>
  <si>
    <t>ONIEDA, ID</t>
  </si>
  <si>
    <t>BARNEY, UT</t>
  </si>
  <si>
    <t>BINGHAM CANYON, UT</t>
  </si>
  <si>
    <t>WILDFLOWER TAP, UT</t>
  </si>
  <si>
    <t>1557.4 ACSR/TW  36/7</t>
  </si>
  <si>
    <t>WILDFLOWER, UT</t>
  </si>
  <si>
    <t>PARRISH #105, UT</t>
  </si>
  <si>
    <t>TAP TO N. SALT LAKE, UT</t>
  </si>
  <si>
    <t>PARRISH, UT</t>
  </si>
  <si>
    <t>ST GEORGE, UT</t>
  </si>
  <si>
    <t>PURGATORY FLAT, UT</t>
  </si>
  <si>
    <t>RIVERDALE, UT</t>
  </si>
  <si>
    <t>SHICK, UT</t>
  </si>
  <si>
    <t>959.6 ACSS/TW</t>
  </si>
  <si>
    <t>SUNRISE, UT</t>
  </si>
  <si>
    <t>ANGEL #1, UT</t>
  </si>
  <si>
    <t>CLEARFIELD SOUTH, UT</t>
  </si>
  <si>
    <t>TAP TO ANGEL NORTH, UT</t>
  </si>
  <si>
    <t>TAP TO PARRISH, UT</t>
  </si>
  <si>
    <t>KENNECOTT, UT</t>
  </si>
  <si>
    <t>MIDVALLEY #1, UT</t>
  </si>
  <si>
    <t>MIDVALLEY #2, UT</t>
  </si>
  <si>
    <t>ROWLEY, UT</t>
  </si>
  <si>
    <t>GRACE #1, ID</t>
  </si>
  <si>
    <t>GRACE #2, ID</t>
  </si>
  <si>
    <t>MONSANTO #1, ID</t>
  </si>
  <si>
    <t>MONSANTO #2, ID</t>
  </si>
  <si>
    <t>TIMP #1, UT</t>
  </si>
  <si>
    <t>TIMP #2, UT</t>
  </si>
  <si>
    <t>TIMP, UT</t>
  </si>
  <si>
    <t>VINEYARD, UT</t>
  </si>
  <si>
    <t>TRI-CITY, UT</t>
  </si>
  <si>
    <t>SUNRISE, ID</t>
  </si>
  <si>
    <t>VERNAL (WAPA), UT</t>
  </si>
  <si>
    <t>NAPLES, UT</t>
  </si>
  <si>
    <t>THREE PEAKS, UT</t>
  </si>
  <si>
    <t>AMERICAN FALLS, ID</t>
  </si>
  <si>
    <t>WHEELON #1, UT</t>
  </si>
  <si>
    <t>WHEELON #2, UT</t>
  </si>
  <si>
    <t>WHEELON #3, UT</t>
  </si>
  <si>
    <t>138 kV Costs and Expenses</t>
  </si>
  <si>
    <t>SUBTOTAL 138 kV</t>
  </si>
  <si>
    <t>All 115kV Lines</t>
  </si>
  <si>
    <t>All 69kV Lines</t>
  </si>
  <si>
    <t>All 57kV Lines</t>
  </si>
  <si>
    <t>All 46kV Lines</t>
  </si>
  <si>
    <t>PAGE 424</t>
  </si>
  <si>
    <t>TRANSMISSION LINES ADDED DURING YEAR</t>
  </si>
  <si>
    <r>
      <rPr>
        <sz val="8"/>
        <color rgb="FF000000"/>
        <rFont val="Arial"/>
        <family val="2"/>
      </rPr>
      <t xml:space="preserve">1.  Report below the information called for concerning Transmission lines added or altered during the year.  It is not necessary to report minor revisions of lines.
</t>
    </r>
    <r>
      <rPr>
        <sz val="8"/>
        <color rgb="FF000000"/>
        <rFont val="Arial"/>
        <family val="2"/>
      </rPr>
      <t>2.  Provide separate subheadings for overhead and under- ground construction and show each transmission line separately.  If actual costs of competed construction are not readily available for reporting columns (l) to (o), it is permissible to report in these columns the</t>
    </r>
  </si>
  <si>
    <t>costs.  Designate, however, if estimated amounts are reported.  Include costs of Clearing Land and Rights-of-Way, and Roads and
Trails, in column (l) with appropriate footnote, and costs of Underground Conduit in column (m).
3.  If design voltage differs from operating voltage, indicate such fact by footnote; also where line is other than 60 cycle, 3 phase, indicate such other characteristic.</t>
  </si>
  <si>
    <t>LINE DESIGNATION</t>
  </si>
  <si>
    <t>Line
Length
in
Miles</t>
  </si>
  <si>
    <t>SUPPORTING STRUCTURE</t>
  </si>
  <si>
    <t>CIRCUITS PER STRUCTURE</t>
  </si>
  <si>
    <t>CONDUCTORS</t>
  </si>
  <si>
    <t>Voltage
KV (Operating)</t>
  </si>
  <si>
    <t>LINE COST</t>
  </si>
  <si>
    <t>Construction</t>
  </si>
  <si>
    <t>Type</t>
  </si>
  <si>
    <t>Average
Number per
Miles</t>
  </si>
  <si>
    <t>Present</t>
  </si>
  <si>
    <t>Ultimate</t>
  </si>
  <si>
    <t>Size</t>
  </si>
  <si>
    <t>Specification</t>
  </si>
  <si>
    <t>Configuration
and Spacing</t>
  </si>
  <si>
    <t>Poles, Towers and Fixtures</t>
  </si>
  <si>
    <t>Conductors and Devices</t>
  </si>
  <si>
    <t>Asset
Retire. Costs</t>
  </si>
  <si>
    <t>(q)</t>
  </si>
  <si>
    <t>PUNKIN CENTER, WA</t>
  </si>
  <si>
    <t>FLINT, WA</t>
  </si>
  <si>
    <t>ACSR 26/7</t>
  </si>
  <si>
    <t xml:space="preserve">Vertical 10' </t>
  </si>
  <si>
    <t>Overground</t>
  </si>
  <si>
    <t>SNOW GOOSE #2, OR</t>
  </si>
  <si>
    <t>Steel/Wood - SP</t>
  </si>
  <si>
    <t>ACCC 36/1</t>
  </si>
  <si>
    <t>Vertical 18'</t>
  </si>
  <si>
    <r>
      <rPr>
        <sz val="8"/>
        <color rgb="FF000000"/>
        <rFont val="Arial"/>
        <family val="2"/>
      </rPr>
      <t>Information below is provided by Sheila Andreatta and Johnathan Connelly (</t>
    </r>
    <r>
      <rPr>
        <sz val="8"/>
        <color rgb="FFEE2724"/>
        <rFont val="Arial"/>
        <family val="2"/>
      </rPr>
      <t>2.1_FERC FORM 1 CY2023 p.426 Submittal (FERC Reporting)</t>
    </r>
    <r>
      <rPr>
        <sz val="8"/>
        <color rgb="FFEE2724"/>
        <rFont val="Arial"/>
        <family val="2"/>
      </rPr>
      <t>.xlsx</t>
    </r>
    <r>
      <rPr>
        <sz val="8"/>
        <color rgb="FF000000"/>
        <rFont val="Arial"/>
        <family val="2"/>
      </rPr>
      <t>).</t>
    </r>
  </si>
  <si>
    <t>California Count of Substations</t>
  </si>
  <si>
    <t>All States Total Count</t>
  </si>
  <si>
    <t>PAGE 426</t>
  </si>
  <si>
    <t>1. Report below the information called for concerning substations of the respondent as of the end of the year. 
2. Substations which serve only one industrial or street railway customer should not be listed below. 
3. Substations with capacities of Less than 10 MVa except those serving customers with energy for resale, may be grouped according to functional character, but the number of such substations must be shown. 
4. Indicate in column (b) the functional character of each substation, designating whether transmission or distribution and whether attended or unattended. At the end of the page, summarize according to function the capacities reported for the individual stations in column (f).</t>
  </si>
  <si>
    <t>5.  Show in columns (I), (j), and (k) special equipment such as rotary converters, rectifiers, condensers, etc.  and auxiliary equipment for increasing capacity.
6.  Designate substations or major items of equipment leased from others, jointly owned with others, or operated otherwise than by reason of sole ownership by the respondent.  For any substation or equipment operated under lease, give name of lessor, date and period of lease, and annual rent.  For any substation or equipment operated other than by reason of sole ownership or lease, give name of co-owner or other party, explain basis of sharing expenses or other accounting between the parties, and state amounts and accounts affected in respondent's books of account.  Specify in each case whether lessor, co-owner, or other party is an associated company.</t>
  </si>
  <si>
    <t>SUBSTATIONS</t>
  </si>
  <si>
    <t>SUBSTATIONS (Continued)</t>
  </si>
  <si>
    <t>Name and Location of Substation</t>
  </si>
  <si>
    <t>Character of Substation</t>
  </si>
  <si>
    <t>VOLTAGE (in MVa)</t>
  </si>
  <si>
    <t>Capacity of Substation
(In Service)   (In MVa)</t>
  </si>
  <si>
    <t>Number of
Transformers
In Service</t>
  </si>
  <si>
    <t>Number of
Spare
Transformers</t>
  </si>
  <si>
    <t>CONVERSION APPARATUS AND SPECIAL EQUIPMENT</t>
  </si>
  <si>
    <t>Transmission or Distribution</t>
  </si>
  <si>
    <t>Attended or Unattended</t>
  </si>
  <si>
    <t>Primary</t>
  </si>
  <si>
    <t>Secondary</t>
  </si>
  <si>
    <t>Tertiary</t>
  </si>
  <si>
    <t>Type of Equipment</t>
  </si>
  <si>
    <t>Total Capacity
(In MVa)</t>
  </si>
  <si>
    <t>(b-1)</t>
  </si>
  <si>
    <t>SubstationByFunctionalCharacterAxis</t>
  </si>
  <si>
    <t>BELMONT, CA</t>
  </si>
  <si>
    <t>Unattended</t>
  </si>
  <si>
    <t>BIG SPRINGS, CA</t>
  </si>
  <si>
    <t>CASTELLA, CA</t>
  </si>
  <si>
    <t>CLEAR LAKE, CA</t>
  </si>
  <si>
    <t>DOG CREEK, CA</t>
  </si>
  <si>
    <t>DORRIS, CA</t>
  </si>
  <si>
    <t>FORT JONES, CA</t>
  </si>
  <si>
    <t>GASQUET, CA</t>
  </si>
  <si>
    <t>GREENHORN, CA</t>
  </si>
  <si>
    <t>HAMBURG, CA</t>
  </si>
  <si>
    <t>HAPPY CAMP, CA</t>
  </si>
  <si>
    <t>HORNBROOK, CA</t>
  </si>
  <si>
    <t>INTERNATIONAL PAPER, CA</t>
  </si>
  <si>
    <t>LAKE EARL, CA</t>
  </si>
  <si>
    <t>LASSEN, CA</t>
  </si>
  <si>
    <t>LITTLE SHASTA, CA</t>
  </si>
  <si>
    <t>LUCERNE, CA</t>
  </si>
  <si>
    <t>MACDOEL, CA</t>
  </si>
  <si>
    <t>MCCLOUD, CA</t>
  </si>
  <si>
    <t>MILLER REDWOOD, CA</t>
  </si>
  <si>
    <t>MONTAGUE, CA</t>
  </si>
  <si>
    <t>MORRISON CREEK, CA</t>
  </si>
  <si>
    <t>MOUNT SHASTA, CA</t>
  </si>
  <si>
    <t>NEWELL, CA</t>
  </si>
  <si>
    <t>NORTH DUNSMUIR, CA</t>
  </si>
  <si>
    <t>NORTHCREST, CA</t>
  </si>
  <si>
    <t>NUTGLADE, CA</t>
  </si>
  <si>
    <t>PATRICKS CREEK, CA</t>
  </si>
  <si>
    <t>PEREZ, CA</t>
  </si>
  <si>
    <t>REDWOOD, CA</t>
  </si>
  <si>
    <t>SCOTT BAR, CA</t>
  </si>
  <si>
    <t>SEIAD, CA</t>
  </si>
  <si>
    <t>SHASTINA, CA</t>
  </si>
  <si>
    <t>SHOTGUN CREEK, CA</t>
  </si>
  <si>
    <t>SMITH RIVER, CA</t>
  </si>
  <si>
    <t>SNOW BRUSH, CA</t>
  </si>
  <si>
    <t>SOUTH DUNSMUIR, CA</t>
  </si>
  <si>
    <t>TULELAKE, CA</t>
  </si>
  <si>
    <t>TUNNEL, CA</t>
  </si>
  <si>
    <t>WALKER BRYAN, CA</t>
  </si>
  <si>
    <t>WEED, CA</t>
  </si>
  <si>
    <t>YUBA, CA</t>
  </si>
  <si>
    <t>YUROK, CA</t>
  </si>
  <si>
    <t>COPCO #2, CA</t>
  </si>
  <si>
    <t>Attended</t>
  </si>
  <si>
    <t>COPCO #2 230KV, CA</t>
  </si>
  <si>
    <t>AGER, CA</t>
  </si>
  <si>
    <t>ALTURAS, CA</t>
  </si>
  <si>
    <t>CRAG VIEW, CA</t>
  </si>
  <si>
    <t>DEL NORTE, CA</t>
  </si>
  <si>
    <t>YREKA, CA</t>
  </si>
  <si>
    <t>Total California</t>
  </si>
  <si>
    <r>
      <rPr>
        <sz val="8"/>
        <color rgb="FF000000"/>
        <rFont val="Arial"/>
        <family val="2"/>
      </rPr>
      <t>Information below is provided by Sheila Andreatta and Johnathan Connelly (</t>
    </r>
    <r>
      <rPr>
        <sz val="8"/>
        <color rgb="FFEE2724"/>
        <rFont val="Arial"/>
        <family val="2"/>
      </rPr>
      <t>2.1_FERC FORM 1 CY2023 p.426 Submittal (FERC Reporting).xlsx</t>
    </r>
    <r>
      <rPr>
        <sz val="8"/>
        <color rgb="FF000000"/>
        <rFont val="Arial"/>
        <family val="2"/>
      </rPr>
      <t>).</t>
    </r>
  </si>
  <si>
    <t>Idaho Count of Substations</t>
  </si>
  <si>
    <t>ASHTON, ID</t>
  </si>
  <si>
    <t>TANNER, ID</t>
  </si>
  <si>
    <t>ALEXANDER, ID</t>
  </si>
  <si>
    <t>AMMON, ID</t>
  </si>
  <si>
    <t>AMPS, ID</t>
  </si>
  <si>
    <t>ANDERSON, ID</t>
  </si>
  <si>
    <t>ARCO, ID</t>
  </si>
  <si>
    <t>ARIMO, ID</t>
  </si>
  <si>
    <t>BANCROFT, ID</t>
  </si>
  <si>
    <t>BELSON, ID</t>
  </si>
  <si>
    <t>BERENICE, ID</t>
  </si>
  <si>
    <t>CAMAS, ID</t>
  </si>
  <si>
    <t>CANYON CREEK, ID</t>
  </si>
  <si>
    <t>CHESTERFIELD, ID</t>
  </si>
  <si>
    <t>CINDER BUTTE, ID</t>
  </si>
  <si>
    <t>CLEMENTS, ID</t>
  </si>
  <si>
    <t>CLIFTON, ID</t>
  </si>
  <si>
    <t>COVE, ID</t>
  </si>
  <si>
    <t>DOWNEY, ID</t>
  </si>
  <si>
    <t>DUBOIS, ID</t>
  </si>
  <si>
    <t>EASTMONT, ID</t>
  </si>
  <si>
    <t>EGIN, ID</t>
  </si>
  <si>
    <t>EIGHT MILE, ID</t>
  </si>
  <si>
    <t>GEORGETOWN, ID</t>
  </si>
  <si>
    <t>GRACE CITY, ID</t>
  </si>
  <si>
    <t>HAMER, ID</t>
  </si>
  <si>
    <t>HAYES, ID</t>
  </si>
  <si>
    <t>HENRY, ID</t>
  </si>
  <si>
    <t>HOLBROOK, ID</t>
  </si>
  <si>
    <t>HOOPES, ID</t>
  </si>
  <si>
    <t>HORSLEY, ID</t>
  </si>
  <si>
    <t>IDAHO FALLS, ID</t>
  </si>
  <si>
    <t>INDIAN CREEK, ID</t>
  </si>
  <si>
    <t>JEFFCO, ID</t>
  </si>
  <si>
    <t>KETTLE, ID</t>
  </si>
  <si>
    <t>LAVA, ID</t>
  </si>
  <si>
    <t>LUND, ID</t>
  </si>
  <si>
    <t>MCCAMMON, ID</t>
  </si>
  <si>
    <t>MENAN, ID</t>
  </si>
  <si>
    <t>MERRILL, ID</t>
  </si>
  <si>
    <t>MILLER, ID</t>
  </si>
  <si>
    <t>MONTPELIER, ID</t>
  </si>
  <si>
    <t>MOODY, ID</t>
  </si>
  <si>
    <t>MUD LAKE, ID</t>
  </si>
  <si>
    <t>NEWDALE, ID</t>
  </si>
  <si>
    <t>OSGOOD, ID</t>
  </si>
  <si>
    <t>PRESTON, ID</t>
  </si>
  <si>
    <t>RAYMOND, ID</t>
  </si>
  <si>
    <t>RENO, ID</t>
  </si>
  <si>
    <t>ROBERTS, ID</t>
  </si>
  <si>
    <t>RUBY, ID</t>
  </si>
  <si>
    <t>SAINT ANTHONY, ID</t>
  </si>
  <si>
    <t>SAND CREEK, ID</t>
  </si>
  <si>
    <t>SANDUNE, ID</t>
  </si>
  <si>
    <t>SHELLEY, ID</t>
  </si>
  <si>
    <t>SMITH, ID</t>
  </si>
  <si>
    <t>SOUTH FORK, ID</t>
  </si>
  <si>
    <t>SPUD, ID</t>
  </si>
  <si>
    <t>ST CHARLES, ID</t>
  </si>
  <si>
    <t>SUGAR CITY, ID</t>
  </si>
  <si>
    <t>SUNNYDELL, ID</t>
  </si>
  <si>
    <t>TARGHEE, ID</t>
  </si>
  <si>
    <t>THORNTON, ID</t>
  </si>
  <si>
    <t>UCON, ID</t>
  </si>
  <si>
    <t>WATKINS, ID</t>
  </si>
  <si>
    <t>WEBSTER, ID</t>
  </si>
  <si>
    <t>WESTON, ID</t>
  </si>
  <si>
    <t>WESTWOOD, ID</t>
  </si>
  <si>
    <t>WINSPER, ID</t>
  </si>
  <si>
    <t>CONDA, ID</t>
  </si>
  <si>
    <t>FISHCREEK, ID</t>
  </si>
  <si>
    <t>MALAD, ID</t>
  </si>
  <si>
    <t>OVID, ID</t>
  </si>
  <si>
    <t>SCOVILLE, ID</t>
  </si>
  <si>
    <t>Total Idaho</t>
  </si>
  <si>
    <t>Montana Count of Substations</t>
  </si>
  <si>
    <t>COLSTRIP, MT</t>
  </si>
  <si>
    <t>Total Montana</t>
  </si>
  <si>
    <t>Oregon Count of Substations</t>
  </si>
  <si>
    <t>BEND, OR</t>
  </si>
  <si>
    <t>WESTSIDE, OR</t>
  </si>
  <si>
    <t>26TH STREET, OR</t>
  </si>
  <si>
    <t>35TH STREET, OR</t>
  </si>
  <si>
    <t>AGNESS AVE, OR</t>
  </si>
  <si>
    <t>ALBINA, OR</t>
  </si>
  <si>
    <t>ALDERWOOD, OR</t>
  </si>
  <si>
    <t>ARLINGTON, OR</t>
  </si>
  <si>
    <t>ASHLAND, OR</t>
  </si>
  <si>
    <t>ATHENA, OR</t>
  </si>
  <si>
    <t>BANDON TIE, OR</t>
  </si>
  <si>
    <t>BEACON, OR</t>
  </si>
  <si>
    <t>BEALL LANE, OR</t>
  </si>
  <si>
    <t>BEATTY, OR</t>
  </si>
  <si>
    <t>BELKNAP, OR</t>
  </si>
  <si>
    <t>BLALOCK, OR</t>
  </si>
  <si>
    <t>BLOSS, OR</t>
  </si>
  <si>
    <t>BLY, OR</t>
  </si>
  <si>
    <t>BOISE CASCADE, OR</t>
  </si>
  <si>
    <t>BONANZA, OR</t>
  </si>
  <si>
    <t>BOND, OR</t>
  </si>
  <si>
    <t>BROOKHURST, OR</t>
  </si>
  <si>
    <t>BROWNSVILLE, OR</t>
  </si>
  <si>
    <t>BRYANT, OR</t>
  </si>
  <si>
    <t>BUCHANAN, OR</t>
  </si>
  <si>
    <t>BUCKAROO, OR</t>
  </si>
  <si>
    <t>CAMPBELL, OR</t>
  </si>
  <si>
    <t>CANNON BEACH, OR</t>
  </si>
  <si>
    <t>CANYONVILLE, OR</t>
  </si>
  <si>
    <t>CARNES, OR</t>
  </si>
  <si>
    <t>CASEBEER, OR</t>
  </si>
  <si>
    <t>CAVEMAN, OR</t>
  </si>
  <si>
    <t>CHERRY LANE, OR</t>
  </si>
  <si>
    <t>CHILOQUIN MARKET, OR</t>
  </si>
  <si>
    <t>CHINA HAT, OR</t>
  </si>
  <si>
    <t>CIRCLE BLVD, OR</t>
  </si>
  <si>
    <t>CLEVELAND AVE, OR</t>
  </si>
  <si>
    <t>CLOAKE, OR</t>
  </si>
  <si>
    <t>COBURG, OR</t>
  </si>
  <si>
    <t>COLISEUM, OR</t>
  </si>
  <si>
    <t>COLUMBIA, OR</t>
  </si>
  <si>
    <t>CONSER ROAD, OR</t>
  </si>
  <si>
    <t>COOS RIVER, OR</t>
  </si>
  <si>
    <t>COQUILLE, OR</t>
  </si>
  <si>
    <t>CREEK, OR</t>
  </si>
  <si>
    <t>CROOKED RIVER RANCH, OR</t>
  </si>
  <si>
    <t>CROWFOOT, OR</t>
  </si>
  <si>
    <t>CULLY, OR</t>
  </si>
  <si>
    <t>CULVER, OR</t>
  </si>
  <si>
    <t>DAIRY, OR</t>
  </si>
  <si>
    <t>DALLAS, OR</t>
  </si>
  <si>
    <t>DALREED, OR</t>
  </si>
  <si>
    <t>DEVILS LAKE, OR</t>
  </si>
  <si>
    <t>DIXON, OR</t>
  </si>
  <si>
    <t>DODGE BRIDGE, OR</t>
  </si>
  <si>
    <t>DOWELL, OR</t>
  </si>
  <si>
    <t>EASY VALLEY, OR</t>
  </si>
  <si>
    <t>EMPIRE, OR</t>
  </si>
  <si>
    <t>ENTERPRISE, OR</t>
  </si>
  <si>
    <t>FERN HILL, OR</t>
  </si>
  <si>
    <t>FIELDER CREEK, OR</t>
  </si>
  <si>
    <t>FISH HOLE, OR</t>
  </si>
  <si>
    <t>FOOTHILLS, OR</t>
  </si>
  <si>
    <t>FRALEY, OR</t>
  </si>
  <si>
    <t>GARDEN VALLEY, OR</t>
  </si>
  <si>
    <t>GLENDALE, OR</t>
  </si>
  <si>
    <t>GLENEDEN, OR</t>
  </si>
  <si>
    <t>GLIDE, OR</t>
  </si>
  <si>
    <t>GOLD HILL, OR</t>
  </si>
  <si>
    <t>GORDON HOLLOW, OR</t>
  </si>
  <si>
    <t>GOSHEN, OR</t>
  </si>
  <si>
    <t>GRANT STREET, OR</t>
  </si>
  <si>
    <t>GREEN, OR</t>
  </si>
  <si>
    <t>GRIFFIN CREEK, OR</t>
  </si>
  <si>
    <t>HAMAKER, OR</t>
  </si>
  <si>
    <t>HARRISBURG, OR</t>
  </si>
  <si>
    <t>HENLEY, OR</t>
  </si>
  <si>
    <t>HERMISTON, OR</t>
  </si>
  <si>
    <t>HILLVIEW, OR</t>
  </si>
  <si>
    <t>HINKLE, OR</t>
  </si>
  <si>
    <t>HOLLADAY, OR</t>
  </si>
  <si>
    <t>HOLLYWOOD, OR</t>
  </si>
  <si>
    <t>HOOD RIVER, OR</t>
  </si>
  <si>
    <t>HORNET, OR</t>
  </si>
  <si>
    <t>HUMBUG, OR</t>
  </si>
  <si>
    <t>HUNTERS CIRCLE, OR</t>
  </si>
  <si>
    <t>ILLAHEE FLATS, OR</t>
  </si>
  <si>
    <t>INDEPENDENCE, OR</t>
  </si>
  <si>
    <t>JACKSONVILLE, OR</t>
  </si>
  <si>
    <t>JEFFERSON, OR</t>
  </si>
  <si>
    <t>JEROME PRAIRIE, OR</t>
  </si>
  <si>
    <t>JORDAN POINT, OR</t>
  </si>
  <si>
    <t>JOSEPH, OR</t>
  </si>
  <si>
    <t>JUNCTION CITY, OR</t>
  </si>
  <si>
    <t>KENNEDY, OR</t>
  </si>
  <si>
    <t>KENWOOD, OR</t>
  </si>
  <si>
    <t>KILLINGSWORTH, OR</t>
  </si>
  <si>
    <t>KNAPPA SVENSEN, OR</t>
  </si>
  <si>
    <t>KNOTT, OR</t>
  </si>
  <si>
    <t>LAKEPORT, OR</t>
  </si>
  <si>
    <t>LANCASTER, OR</t>
  </si>
  <si>
    <t>LEBANON, OR</t>
  </si>
  <si>
    <t>LINCOLN, OR</t>
  </si>
  <si>
    <t>LOCKHART STREET, OR</t>
  </si>
  <si>
    <t>LYONS, OR</t>
  </si>
  <si>
    <t>MADRAS, OR</t>
  </si>
  <si>
    <t>MALLORY, OR</t>
  </si>
  <si>
    <t>MARYS RIVER, OR</t>
  </si>
  <si>
    <t>MCKAY SW, OR</t>
  </si>
  <si>
    <t>MEDCO, OR</t>
  </si>
  <si>
    <t>MEDFORD, OR</t>
  </si>
  <si>
    <t>MERLIN, OR</t>
  </si>
  <si>
    <t>MERRILL, OR</t>
  </si>
  <si>
    <t>MINAM, OR</t>
  </si>
  <si>
    <t>MODOC, OR</t>
  </si>
  <si>
    <t>MONPAC, OR</t>
  </si>
  <si>
    <t>MURDER CREEK, OR</t>
  </si>
  <si>
    <t>MYRTLE CREEK, OR</t>
  </si>
  <si>
    <t>MYRTLE POINT, OR</t>
  </si>
  <si>
    <t>NEW DESCHUTES, OR</t>
  </si>
  <si>
    <t>NEW O'BRIEN, OR</t>
  </si>
  <si>
    <t>OAK KNOLL, OR</t>
  </si>
  <si>
    <t>OAKLAND, OR</t>
  </si>
  <si>
    <t>OREMET, OR</t>
  </si>
  <si>
    <t>OVERPASS, OR</t>
  </si>
  <si>
    <t>PALLETTE, OR</t>
  </si>
  <si>
    <t>PARK STREET, OR</t>
  </si>
  <si>
    <t>PARKROSE, OR</t>
  </si>
  <si>
    <t>PENDLETON, OR</t>
  </si>
  <si>
    <t>PILOT ROCK, OR</t>
  </si>
  <si>
    <t>POWELL BUTTE, OR</t>
  </si>
  <si>
    <t>PRINEVILLE, OR</t>
  </si>
  <si>
    <t>PROVOLT, OR</t>
  </si>
  <si>
    <t>QUEEN AVE, OR</t>
  </si>
  <si>
    <t>RED BLANKET, OR</t>
  </si>
  <si>
    <t>REDMOND, OR</t>
  </si>
  <si>
    <t>RIDDLE, OR</t>
  </si>
  <si>
    <t>RIDDLE VENEER, OR</t>
  </si>
  <si>
    <t>ROBERTS CREEK, OR</t>
  </si>
  <si>
    <t>ROGUE RIVER, OR</t>
  </si>
  <si>
    <t>ROSEBURG, OR</t>
  </si>
  <si>
    <t>ROSS AVENUE, OR</t>
  </si>
  <si>
    <t>ROXY ANN, OR</t>
  </si>
  <si>
    <t>RUCH, OR</t>
  </si>
  <si>
    <t>RUNNING Y, OR</t>
  </si>
  <si>
    <t>RUSSELLVILLE, OR</t>
  </si>
  <si>
    <t>SAGE ROAD, OR</t>
  </si>
  <si>
    <t>SCENIC, OR</t>
  </si>
  <si>
    <t>SCIO, OR</t>
  </si>
  <si>
    <t>SEASIDE, OR</t>
  </si>
  <si>
    <t>SELMA, OR</t>
  </si>
  <si>
    <t>SHASTA WAY, OR</t>
  </si>
  <si>
    <t>SHEVLIN PARK, OR</t>
  </si>
  <si>
    <t>SIMTAG BOOSTER PUMP, OR</t>
  </si>
  <si>
    <t>SOUTH DUNES, OR</t>
  </si>
  <si>
    <t>SOUTHGATE, OR</t>
  </si>
  <si>
    <t>SPRAGUE RIVER, OR</t>
  </si>
  <si>
    <t>STATE STREET, OR</t>
  </si>
  <si>
    <t>STAYTON, OR</t>
  </si>
  <si>
    <t>STEAMBOAT, OR</t>
  </si>
  <si>
    <t>STEVENS ROAD, OR</t>
  </si>
  <si>
    <t>SUTHERLIN, OR</t>
  </si>
  <si>
    <t>SWEET HOME, OR</t>
  </si>
  <si>
    <t>TAKELMA, OR</t>
  </si>
  <si>
    <t>TALENT, OR</t>
  </si>
  <si>
    <t>TEXUM, OR</t>
  </si>
  <si>
    <t>TILLER, OR</t>
  </si>
  <si>
    <t>TOLO, OR</t>
  </si>
  <si>
    <t>TURKEY HILL, OR</t>
  </si>
  <si>
    <t>UMAPINE, OR</t>
  </si>
  <si>
    <t>UMATILLA, OR</t>
  </si>
  <si>
    <t>VERNON, OR</t>
  </si>
  <si>
    <t>VILAS, OR</t>
  </si>
  <si>
    <t>VILLAGE GREEN, OR</t>
  </si>
  <si>
    <t>VINE STREET, OR</t>
  </si>
  <si>
    <t>WALLOWA, OR</t>
  </si>
  <si>
    <t>WARM SPRINGS, OR</t>
  </si>
  <si>
    <t>WARRENTON, OR</t>
  </si>
  <si>
    <t>WASCO, OR</t>
  </si>
  <si>
    <t>WECOMA BEACH, OR</t>
  </si>
  <si>
    <t>WESTON, OR</t>
  </si>
  <si>
    <t>WEYERHAEUSER, OR</t>
  </si>
  <si>
    <t>WHITE CITY, OR</t>
  </si>
  <si>
    <t>WILLOW COVE, OR</t>
  </si>
  <si>
    <t>WINCHESTER, OR</t>
  </si>
  <si>
    <t>WINSTON, OR</t>
  </si>
  <si>
    <t>YEW AVENUE, OR</t>
  </si>
  <si>
    <t>YOUNGS BAY, OR</t>
  </si>
  <si>
    <t>LEMOLO 1, OR</t>
  </si>
  <si>
    <t>PARRISH GAP, OR</t>
  </si>
  <si>
    <t>APPLEGATE, OR</t>
  </si>
  <si>
    <t>CALAPOOYA, OR</t>
  </si>
  <si>
    <t>CAVE JUNCTION, OR</t>
  </si>
  <si>
    <t>CHILOQUIN, OR</t>
  </si>
  <si>
    <t>COLD SPRINGS, OR</t>
  </si>
  <si>
    <t>COVE, OR</t>
  </si>
  <si>
    <t>DIAMOND HILL, OR</t>
  </si>
  <si>
    <t>DIXONVILLE 230, OR</t>
  </si>
  <si>
    <t>DIXONVILLE 500, OR</t>
  </si>
  <si>
    <t>HAZELWOOD, OR</t>
  </si>
  <si>
    <t>MILE HI, OR</t>
  </si>
  <si>
    <t>PILOT BUTTE, OR</t>
  </si>
  <si>
    <t>PONDEROSA, OR</t>
  </si>
  <si>
    <t>PROSPECT CENTRAL, OR</t>
  </si>
  <si>
    <t>ROUNDUP SUB, OR</t>
  </si>
  <si>
    <t>SANTIAM TIE, OR</t>
  </si>
  <si>
    <t>TROUTDALE, OR</t>
  </si>
  <si>
    <t>TUCKER, OR</t>
  </si>
  <si>
    <t>WHETSTONE, OR</t>
  </si>
  <si>
    <t>Total Oregon</t>
  </si>
  <si>
    <t>Utah Count of Substations</t>
  </si>
  <si>
    <t>PIONEER PLANT, UT</t>
  </si>
  <si>
    <t>106TH SOUTH, UT</t>
  </si>
  <si>
    <t>118TH SOUTH, UT</t>
  </si>
  <si>
    <t>126TH SOUTH, UT</t>
  </si>
  <si>
    <t>23RD STREET, UT</t>
  </si>
  <si>
    <t>70TH SOUTH, UT</t>
  </si>
  <si>
    <t>ALTAVIEW, UT</t>
  </si>
  <si>
    <t>AMALGA, UT</t>
  </si>
  <si>
    <t>AMERICAN FORK, UT</t>
  </si>
  <si>
    <t>ARAGONITE, UT</t>
  </si>
  <si>
    <t>AURORA, UT</t>
  </si>
  <si>
    <t>BANGERTER, UT</t>
  </si>
  <si>
    <t>BDO, UT</t>
  </si>
  <si>
    <t>BEAR RIVER, UT</t>
  </si>
  <si>
    <t>BENJAMIN, UT</t>
  </si>
  <si>
    <t>BINGHAM, UT</t>
  </si>
  <si>
    <t>BLACK MOUNTAIN, UT</t>
  </si>
  <si>
    <t>BLUE CREEK, UT</t>
  </si>
  <si>
    <t>BLUFF, UT</t>
  </si>
  <si>
    <t>BLUFFDALE, UT</t>
  </si>
  <si>
    <t>BOTHWELL, UT</t>
  </si>
  <si>
    <t>BRIAN HEAD, UT</t>
  </si>
  <si>
    <t>BRIGHTON, UT</t>
  </si>
  <si>
    <t>BROOKLAWN, UT</t>
  </si>
  <si>
    <t>BRUNSWICK, UT</t>
  </si>
  <si>
    <t>BURTON, UT</t>
  </si>
  <si>
    <t>BUSH, UT</t>
  </si>
  <si>
    <t>CANNON, UT</t>
  </si>
  <si>
    <t>CANYONLANDS, UT</t>
  </si>
  <si>
    <t>CAPITOL, UT</t>
  </si>
  <si>
    <t>CARBIDE, UT</t>
  </si>
  <si>
    <t>CARBONVILLE, UT</t>
  </si>
  <si>
    <t>CARLISLE, UT</t>
  </si>
  <si>
    <t>CASTO, UT</t>
  </si>
  <si>
    <t>CENTENNIAL, UT</t>
  </si>
  <si>
    <t>CENTERVILLE, UT</t>
  </si>
  <si>
    <t>CENTRAL, UT</t>
  </si>
  <si>
    <t>CHAPEL HILL, UT</t>
  </si>
  <si>
    <t>CHERRYWOOD, UT</t>
  </si>
  <si>
    <t>CIRCLEVILLE, UT</t>
  </si>
  <si>
    <t>CLEAR CREEK, UT</t>
  </si>
  <si>
    <t>CLEAR LAKE, UT</t>
  </si>
  <si>
    <t>CLINTON, UT</t>
  </si>
  <si>
    <t>CLIVE, UT</t>
  </si>
  <si>
    <t>COALVILLE, UT</t>
  </si>
  <si>
    <t>COLD WATER CANYON, UT</t>
  </si>
  <si>
    <t>COLEMAN, UT</t>
  </si>
  <si>
    <t>COLTON WELL, UT</t>
  </si>
  <si>
    <t>COMMERCE, UT</t>
  </si>
  <si>
    <t>COPPER HILLS, UT</t>
  </si>
  <si>
    <t>CORRINE, UT</t>
  </si>
  <si>
    <t>COVE FORT, UT</t>
  </si>
  <si>
    <t>COZYDALE, UT</t>
  </si>
  <si>
    <t>CRANER FLAT, UT</t>
  </si>
  <si>
    <t>CROSS HOLLOW, UT</t>
  </si>
  <si>
    <t>CROYDON, UT</t>
  </si>
  <si>
    <t>CUDAHY, UT</t>
  </si>
  <si>
    <t>DAMMERON VALLEY, UT</t>
  </si>
  <si>
    <t>DECADE, UT</t>
  </si>
  <si>
    <t>DECKER LAKE, UT</t>
  </si>
  <si>
    <t>DELLE, UT</t>
  </si>
  <si>
    <t>DELTA, UT</t>
  </si>
  <si>
    <t>DEWEYVILLE, UT</t>
  </si>
  <si>
    <t>DIMPLE DELL, UT</t>
  </si>
  <si>
    <t>DRAPER, UT</t>
  </si>
  <si>
    <t>EAST BENCH, UT</t>
  </si>
  <si>
    <t>EAST HYRUM, UT</t>
  </si>
  <si>
    <t>EAST MILLCREEK, UT</t>
  </si>
  <si>
    <t>EDEN, UT</t>
  </si>
  <si>
    <t>ELBERTA, UT</t>
  </si>
  <si>
    <t>ELK MEADOWS, UT</t>
  </si>
  <si>
    <t>ELSINORE, UT</t>
  </si>
  <si>
    <t>EMERY CITY, UT</t>
  </si>
  <si>
    <t>EMIGRATION, UT</t>
  </si>
  <si>
    <t>ENOCH, UT</t>
  </si>
  <si>
    <t>ENTERPRISE VALLEY, UT</t>
  </si>
  <si>
    <t>EUREKA, UT</t>
  </si>
  <si>
    <t>FARMINGTON, UT</t>
  </si>
  <si>
    <t>FAYETTE, UT</t>
  </si>
  <si>
    <t>FERRON, UT</t>
  </si>
  <si>
    <t>FIELDING, UT</t>
  </si>
  <si>
    <t>FIFTH WEST, UT</t>
  </si>
  <si>
    <t>FLUX, UT</t>
  </si>
  <si>
    <t>FOOL CREEK, UT</t>
  </si>
  <si>
    <t>FOUNTAIN GREEN, UT</t>
  </si>
  <si>
    <t>FREEDOM, UT</t>
  </si>
  <si>
    <t>FRUIT HEIGHTS, UT</t>
  </si>
  <si>
    <t>GARDEN CITY, UT</t>
  </si>
  <si>
    <t>GATEWAY, UT</t>
  </si>
  <si>
    <t>GOLD RUSH, UT</t>
  </si>
  <si>
    <t>GORDON AVENUE, UT</t>
  </si>
  <si>
    <t>GOSHEN UTAH, UT</t>
  </si>
  <si>
    <t>GRANGER, UT</t>
  </si>
  <si>
    <t>GRANTSVILLE, UT</t>
  </si>
  <si>
    <t>GRAVEL PIT, UT</t>
  </si>
  <si>
    <t>GROW, UT</t>
  </si>
  <si>
    <t>GUNNISON, UT</t>
  </si>
  <si>
    <t>HAVASU, UT</t>
  </si>
  <si>
    <t>HELPER CITY, UT</t>
  </si>
  <si>
    <t>HERRIMAN, UT</t>
  </si>
  <si>
    <t>HIGHLAND DISTRIBUTION, UT</t>
  </si>
  <si>
    <t>HOGGARD, UT</t>
  </si>
  <si>
    <t>HOLDEN, UT</t>
  </si>
  <si>
    <t>HOLLADAY, UT</t>
  </si>
  <si>
    <t>HUNTER, UT</t>
  </si>
  <si>
    <t>HUNTINGTON CITY, UT</t>
  </si>
  <si>
    <t>IRON MOUNTAIN, UT</t>
  </si>
  <si>
    <t>IRONTON, UT</t>
  </si>
  <si>
    <t>IVINS, UT</t>
  </si>
  <si>
    <t>JORDAN NARROWS, UT</t>
  </si>
  <si>
    <t>JORDAN PARK, UT</t>
  </si>
  <si>
    <t>JORDANELLE, UT</t>
  </si>
  <si>
    <t>JUAB, UT</t>
  </si>
  <si>
    <t>JUDGE, UT</t>
  </si>
  <si>
    <t>JUNCTION, UT</t>
  </si>
  <si>
    <t>KAIBAB, UT</t>
  </si>
  <si>
    <t>KAMAS, UT</t>
  </si>
  <si>
    <t>KENSINGTON, UT</t>
  </si>
  <si>
    <t>KYUNE, UT</t>
  </si>
  <si>
    <t>LAKE PARK, UT</t>
  </si>
  <si>
    <t>LAYTON, UT</t>
  </si>
  <si>
    <t>LEE CREEK, UT</t>
  </si>
  <si>
    <t>LEGRANDE, UT</t>
  </si>
  <si>
    <t>LEWISTON, UT</t>
  </si>
  <si>
    <t>LINCOLN, UT</t>
  </si>
  <si>
    <t>LINDON, UT</t>
  </si>
  <si>
    <t>LISBON, UT</t>
  </si>
  <si>
    <t>LOAFER, UT</t>
  </si>
  <si>
    <t>LOGAN CANYON, UT</t>
  </si>
  <si>
    <t>LONE TREE, UT</t>
  </si>
  <si>
    <t>LOWER BEAVER, UT</t>
  </si>
  <si>
    <t>LYNNDYL, UT</t>
  </si>
  <si>
    <t>MAESER, UT</t>
  </si>
  <si>
    <t>MAGNA, UT</t>
  </si>
  <si>
    <t>MANILA, UT</t>
  </si>
  <si>
    <t>MANTUA, UT</t>
  </si>
  <si>
    <t>MAPLETON, UT</t>
  </si>
  <si>
    <t>MARRIOTT, UT</t>
  </si>
  <si>
    <t>MARYSVALE, UT</t>
  </si>
  <si>
    <t>MATHIS, UT</t>
  </si>
  <si>
    <t>MAYFLOWER, UT</t>
  </si>
  <si>
    <t>MCCORNICK, UT</t>
  </si>
  <si>
    <t>MCKAY, UT</t>
  </si>
  <si>
    <t>MEADOWBROOK, UT</t>
  </si>
  <si>
    <t>MEDICAL, UT</t>
  </si>
  <si>
    <t>MIDLAND, UT</t>
  </si>
  <si>
    <t>MIDVALE, UT</t>
  </si>
  <si>
    <t>MILFORD TV, UT</t>
  </si>
  <si>
    <t>MINERSVILLE, UT</t>
  </si>
  <si>
    <t>MOAB CITY, UT</t>
  </si>
  <si>
    <t>MOORE, UT</t>
  </si>
  <si>
    <t>MORGAN, UT</t>
  </si>
  <si>
    <t>MORONI, UT</t>
  </si>
  <si>
    <t>MORTON COURT, UT</t>
  </si>
  <si>
    <t>MOUNTAIN DELL, UT</t>
  </si>
  <si>
    <t>MOUNTAIN GREEN, UT</t>
  </si>
  <si>
    <t>MYTON, UT</t>
  </si>
  <si>
    <t>NEW HARMONY, UT</t>
  </si>
  <si>
    <t>NEWGATE, UT</t>
  </si>
  <si>
    <t>NEWTON, UT</t>
  </si>
  <si>
    <t>NORTH BENCH, UT</t>
  </si>
  <si>
    <t>NORTH FIELDS, UT</t>
  </si>
  <si>
    <t>NORTH LOGAN, UT</t>
  </si>
  <si>
    <t>NORTH OGDEN, UT</t>
  </si>
  <si>
    <t>NORTH SALT LAKE, UT</t>
  </si>
  <si>
    <t>NORTHEAST, UT</t>
  </si>
  <si>
    <t>NORTHRIDGE, UT</t>
  </si>
  <si>
    <t>OAKLAND AVENUE, UT</t>
  </si>
  <si>
    <t>OAKLEY, UT</t>
  </si>
  <si>
    <t>OLYMPUS, UT</t>
  </si>
  <si>
    <t>OPHIR, UT</t>
  </si>
  <si>
    <t>ORANGE, UT</t>
  </si>
  <si>
    <t>ORANGEVILLE, UT</t>
  </si>
  <si>
    <t>OREM, UT</t>
  </si>
  <si>
    <t>PANGUITCH, UT</t>
  </si>
  <si>
    <t>PARIETTE, UT</t>
  </si>
  <si>
    <t>PARK CITY, UT</t>
  </si>
  <si>
    <t>PARKSIDE, UT</t>
  </si>
  <si>
    <t>PARKWAY, UT</t>
  </si>
  <si>
    <t>PARLEYS, UT</t>
  </si>
  <si>
    <t>PELICAN POINT, UT</t>
  </si>
  <si>
    <t>PETERSON, UT</t>
  </si>
  <si>
    <t>PINE CANYON, UT</t>
  </si>
  <si>
    <t>PINE CREEK, UT</t>
  </si>
  <si>
    <t>PINNACLE, UT</t>
  </si>
  <si>
    <t>PLAIN CITY, UT</t>
  </si>
  <si>
    <t>PLEASANT GROVE, UT</t>
  </si>
  <si>
    <t>PLEASANT VIEW, UT</t>
  </si>
  <si>
    <t>PORTER ROCKWELL, UT</t>
  </si>
  <si>
    <t>PROMONTORY, UT</t>
  </si>
  <si>
    <t>QUAIL CREEK, UT</t>
  </si>
  <si>
    <t>QUARRY, UT</t>
  </si>
  <si>
    <t>QUICHAPA, UT</t>
  </si>
  <si>
    <t>RAINS, UT</t>
  </si>
  <si>
    <t>RANDOLPH, UT</t>
  </si>
  <si>
    <t>RASMUSON, UT</t>
  </si>
  <si>
    <t>RATTLESNAKE, UT</t>
  </si>
  <si>
    <t>REDWOOD, UT</t>
  </si>
  <si>
    <t>RESEARCH PARK, UT</t>
  </si>
  <si>
    <t>RICH, UT</t>
  </si>
  <si>
    <t>RICHFIELD, UT</t>
  </si>
  <si>
    <t>RICHMOND, UT</t>
  </si>
  <si>
    <t>RIDGELAND, UT</t>
  </si>
  <si>
    <t>RITER, UT</t>
  </si>
  <si>
    <t>ROCK CANYON, UT</t>
  </si>
  <si>
    <t>ROCKVILLE, UT</t>
  </si>
  <si>
    <t>ROCKY POINT, UT</t>
  </si>
  <si>
    <t>ROSE PARK, UT</t>
  </si>
  <si>
    <t>ROYAL, UT</t>
  </si>
  <si>
    <t>SALINA, UT</t>
  </si>
  <si>
    <t>SARATOGA, UT</t>
  </si>
  <si>
    <t>SCHOO MINE, UT</t>
  </si>
  <si>
    <t>SCOFIELD, UT</t>
  </si>
  <si>
    <t>SCOFIELD RESERVOIR, UT</t>
  </si>
  <si>
    <t>SEGO CANYON, UT</t>
  </si>
  <si>
    <t>SEVEN MILE, UT</t>
  </si>
  <si>
    <t>SHARON, UT</t>
  </si>
  <si>
    <t>SHORELINE, UT</t>
  </si>
  <si>
    <t>SIXTH SOUTH, UT</t>
  </si>
  <si>
    <t>SKULL VALLEY, UT</t>
  </si>
  <si>
    <t>SKYPARK, UT</t>
  </si>
  <si>
    <t>SMITHFIELD, UT</t>
  </si>
  <si>
    <t>SNARR, UT</t>
  </si>
  <si>
    <t>SNOWVILLE, UT</t>
  </si>
  <si>
    <t>SNYDERVILLE, UT</t>
  </si>
  <si>
    <t>SOLDIER SUMMIT, UT</t>
  </si>
  <si>
    <t>SOUTH JORDAN, UT</t>
  </si>
  <si>
    <t>SOUTH MILFORD, UT</t>
  </si>
  <si>
    <t>SOUTH MOUNTAIN, UT</t>
  </si>
  <si>
    <t>SOUTH OGDEN, UT</t>
  </si>
  <si>
    <t>SOUTH PARK, UT</t>
  </si>
  <si>
    <t>SOUTH WEBER, UT</t>
  </si>
  <si>
    <t>SOUTHEAST, UT</t>
  </si>
  <si>
    <t>SOUTHWEST, UT</t>
  </si>
  <si>
    <t>SPANISH VALLEY, UT</t>
  </si>
  <si>
    <t>SPRINGDALE, UT</t>
  </si>
  <si>
    <t>ST JOHN, UT</t>
  </si>
  <si>
    <t>STANSBURY, UT</t>
  </si>
  <si>
    <t>SUMMIT CREEK, UT</t>
  </si>
  <si>
    <t>SUMMIT PARK, UT</t>
  </si>
  <si>
    <t>SUTHERLAND, UT</t>
  </si>
  <si>
    <t>TAMARISK, UT</t>
  </si>
  <si>
    <t>TAYLOR, UT</t>
  </si>
  <si>
    <t>THIEF CREEK, UT</t>
  </si>
  <si>
    <t>THIRTEENTH SOUTH, UT</t>
  </si>
  <si>
    <t>TOOELE DEPOT, UT</t>
  </si>
  <si>
    <t>TOQUERVILLE, UT</t>
  </si>
  <si>
    <t>UINTAH, UT</t>
  </si>
  <si>
    <t>UNION, UT</t>
  </si>
  <si>
    <t>VALLEY CENTER, UT</t>
  </si>
  <si>
    <t>VERMILLION, UT</t>
  </si>
  <si>
    <t>VICKERS, UT</t>
  </si>
  <si>
    <t>WALLSBURG, UT</t>
  </si>
  <si>
    <t>WALNUT GROVE, UT</t>
  </si>
  <si>
    <t>WARREN, UT</t>
  </si>
  <si>
    <t>WASATCH STATE PARK, UT</t>
  </si>
  <si>
    <t>WASHAKIE, UT</t>
  </si>
  <si>
    <t>WELBY, UT</t>
  </si>
  <si>
    <t>WELFARE, UT</t>
  </si>
  <si>
    <t>WEST COMMERCIAL, UT</t>
  </si>
  <si>
    <t>WEST JORDAN, UT</t>
  </si>
  <si>
    <t>WEST OGDEN, UT</t>
  </si>
  <si>
    <t>WEST POINT, UT</t>
  </si>
  <si>
    <t>WEST ROY, UT</t>
  </si>
  <si>
    <t>WEST TEMPLE, UT</t>
  </si>
  <si>
    <t>WESTWATER, UT</t>
  </si>
  <si>
    <t>WHITE ROCK, UT</t>
  </si>
  <si>
    <t>WILLOWCREEK, UT</t>
  </si>
  <si>
    <t>WILLOWRIDGE, UT</t>
  </si>
  <si>
    <t>WINCHESTER HILLS, UT</t>
  </si>
  <si>
    <t>WINKLEMAN, UT</t>
  </si>
  <si>
    <t>WOLF CREEK, UT</t>
  </si>
  <si>
    <t>WOODRUFF, UT</t>
  </si>
  <si>
    <t>WOODS CROSS, UT</t>
  </si>
  <si>
    <t>BLACK ROCK, UT</t>
  </si>
  <si>
    <t>EMMA PARK, UT</t>
  </si>
  <si>
    <t>GARKANE, UT</t>
  </si>
  <si>
    <t>HELPER, UT</t>
  </si>
  <si>
    <t>HORSESHOE, UT</t>
  </si>
  <si>
    <t>MATHINGTON, UT</t>
  </si>
  <si>
    <t>MIDWAY CITY, UT</t>
  </si>
  <si>
    <t>MINERAL PRODUCTS, UT</t>
  </si>
  <si>
    <t>SCIPIO, UT</t>
  </si>
  <si>
    <t>SEVIER, UT</t>
  </si>
  <si>
    <t>Total Utah</t>
  </si>
  <si>
    <t>Washington Count of Substations</t>
  </si>
  <si>
    <t>ATTALIA, WA</t>
  </si>
  <si>
    <t>BOWMAN, WA</t>
  </si>
  <si>
    <t>CASCADE KRAFT, WA</t>
  </si>
  <si>
    <t>CENTRAL, WA</t>
  </si>
  <si>
    <t>CLINTON, WA</t>
  </si>
  <si>
    <t>DAYTON, WA</t>
  </si>
  <si>
    <t>DODD ROAD, WA</t>
  </si>
  <si>
    <t>FLINT SUBSTATION, WA</t>
  </si>
  <si>
    <t>GRANDVIEW, WA</t>
  </si>
  <si>
    <t>GROMORE, WA</t>
  </si>
  <si>
    <t>HOPLAND, WA</t>
  </si>
  <si>
    <t>MILL CREEK, WA</t>
  </si>
  <si>
    <t>NACHES, WA</t>
  </si>
  <si>
    <t>NOB HILL, WA</t>
  </si>
  <si>
    <t>NORTH PARK, WA</t>
  </si>
  <si>
    <t>ORCHARD, WA</t>
  </si>
  <si>
    <t>PACIFIC, WA</t>
  </si>
  <si>
    <t>POMEROY, WA</t>
  </si>
  <si>
    <t>POMONA HEIGHTS, WA</t>
  </si>
  <si>
    <t>PROSPECT POINT, WA</t>
  </si>
  <si>
    <t>RIVER ROAD, WA</t>
  </si>
  <si>
    <t>SELAH, WA</t>
  </si>
  <si>
    <t>SULPHUR CREEK, WA</t>
  </si>
  <si>
    <t>SUNNYSIDE, WA</t>
  </si>
  <si>
    <t>TIETON, WA</t>
  </si>
  <si>
    <t>TOPPENISH, WA</t>
  </si>
  <si>
    <t>TOUCHET, WA</t>
  </si>
  <si>
    <t>VOELKER, WA</t>
  </si>
  <si>
    <t>WAITSBURG, WA</t>
  </si>
  <si>
    <t>WAPATO, WA</t>
  </si>
  <si>
    <t>WENAS, WA</t>
  </si>
  <si>
    <t>WHITE SWAN, WA</t>
  </si>
  <si>
    <t>WILEY, WA</t>
  </si>
  <si>
    <t>DRY GULCH, WA</t>
  </si>
  <si>
    <t>OUTLOOK, WA</t>
  </si>
  <si>
    <t>PASCO, WA</t>
  </si>
  <si>
    <t>WINE COUNTRY, WA</t>
  </si>
  <si>
    <t>Total Washington</t>
  </si>
  <si>
    <t>Wyoming Count of Substations</t>
  </si>
  <si>
    <t>ANTELOPE MINE, WY</t>
  </si>
  <si>
    <t>ASTLE STREET, WY</t>
  </si>
  <si>
    <t>BAILEY DOME, WY</t>
  </si>
  <si>
    <t>BAIROIL, WY</t>
  </si>
  <si>
    <t>BAR X, WY</t>
  </si>
  <si>
    <t>BARR NUNN, WY</t>
  </si>
  <si>
    <t>BATTLE SPRINGS, WY</t>
  </si>
  <si>
    <t>BELLAMY 2, WY</t>
  </si>
  <si>
    <t>BIG MUDDY, WY</t>
  </si>
  <si>
    <t>BIG PINEY, WY</t>
  </si>
  <si>
    <t>BLACKS FORK, WY</t>
  </si>
  <si>
    <t>BRYAN, WY</t>
  </si>
  <si>
    <t>BYRON, WY</t>
  </si>
  <si>
    <t>CASSA, WY</t>
  </si>
  <si>
    <t>CENTER STREET, WY</t>
  </si>
  <si>
    <t>CHAPMAN, WY</t>
  </si>
  <si>
    <t>CHUKAR, WY</t>
  </si>
  <si>
    <t>COKEVILLE, WY</t>
  </si>
  <si>
    <t>COMMUNITY PARK, WY</t>
  </si>
  <si>
    <t>CROOKS GAP, WY</t>
  </si>
  <si>
    <t>DEAVER, WY</t>
  </si>
  <si>
    <t>DEER CREEK, WY</t>
  </si>
  <si>
    <t>DJ COAL MINE, WY</t>
  </si>
  <si>
    <t>DRY FORK, WY</t>
  </si>
  <si>
    <t>ELK BASIN, WY</t>
  </si>
  <si>
    <t>ELK HORN, WY</t>
  </si>
  <si>
    <t>EMIGRANT, WY</t>
  </si>
  <si>
    <t>EVANS, WY</t>
  </si>
  <si>
    <t>FORT CASPER, WY</t>
  </si>
  <si>
    <t>FORT SANDERS, WY</t>
  </si>
  <si>
    <t>FRANNIE, WY</t>
  </si>
  <si>
    <t>FRONTIER, WY</t>
  </si>
  <si>
    <t>GARLAND, WY</t>
  </si>
  <si>
    <t>GRASS CREEK, WY</t>
  </si>
  <si>
    <t>GREAT DIVIDE, WY</t>
  </si>
  <si>
    <t>GREEN MOUNTAIN, WY</t>
  </si>
  <si>
    <t>GREYBULL, WY</t>
  </si>
  <si>
    <t>HANNA, WY</t>
  </si>
  <si>
    <t>HILLTOP, WY</t>
  </si>
  <si>
    <t>HOLLY SUGAR, WY</t>
  </si>
  <si>
    <t>JACKALOPE, WY</t>
  </si>
  <si>
    <t>KEMMERER, WY</t>
  </si>
  <si>
    <t>KIRBY CREEK, WY</t>
  </si>
  <si>
    <t>KIRBY CREEK PUMPING, WY</t>
  </si>
  <si>
    <t>LABARGE, WY</t>
  </si>
  <si>
    <t>LANDER, WY</t>
  </si>
  <si>
    <t>LARAMIE, WY</t>
  </si>
  <si>
    <t>LATHAM, WY</t>
  </si>
  <si>
    <t>LINCH, WY</t>
  </si>
  <si>
    <t>LITTLE MOUNTAIN, WY</t>
  </si>
  <si>
    <t>LOVELL, WY</t>
  </si>
  <si>
    <t>MANSFACE, WY</t>
  </si>
  <si>
    <t>MILL IRON, WY</t>
  </si>
  <si>
    <t>MILLS, WY</t>
  </si>
  <si>
    <t>MINERS, WY</t>
  </si>
  <si>
    <t>MOUNTAIN GAS, WY</t>
  </si>
  <si>
    <t>MURPHY DOME, WY</t>
  </si>
  <si>
    <t>NAUGHTON CONSTRUCTION, WY</t>
  </si>
  <si>
    <t>NUGGETT, WY</t>
  </si>
  <si>
    <t>OPAL, WY</t>
  </si>
  <si>
    <t>OREGON BASIN, WY</t>
  </si>
  <si>
    <t>ORIN, WY</t>
  </si>
  <si>
    <t>OWL CREEK PUMP #1, WY</t>
  </si>
  <si>
    <t>PARADISE, WY</t>
  </si>
  <si>
    <t>PARCO, WY</t>
  </si>
  <si>
    <t>PHILLIPS GAS PLANT PIPELINE, WY</t>
  </si>
  <si>
    <t>PINEDALE, WY</t>
  </si>
  <si>
    <t>PITCHFORK, WY</t>
  </si>
  <si>
    <t>PLATTE, WY</t>
  </si>
  <si>
    <t>PLATTE PIPE BYRON, WY</t>
  </si>
  <si>
    <t>PLATTE PIPE OREGON BASIN, WY</t>
  </si>
  <si>
    <t>PLATTE RIVER DJ, WY</t>
  </si>
  <si>
    <t>POISON SPIDER, WY</t>
  </si>
  <si>
    <t>RAINBOW, WY</t>
  </si>
  <si>
    <t>RAVEN, WY</t>
  </si>
  <si>
    <t>RED BUTTE, WY</t>
  </si>
  <si>
    <t>REFINERY, WY</t>
  </si>
  <si>
    <t>ROCK SPRINGS 230, WY</t>
  </si>
  <si>
    <t>SAGE HILL, WY</t>
  </si>
  <si>
    <t>SHOSHONI, WY</t>
  </si>
  <si>
    <t>SINCLAIR PIPELINE, WY</t>
  </si>
  <si>
    <t>SLATE CREEK, WY</t>
  </si>
  <si>
    <t>SOUTH CODY, WY</t>
  </si>
  <si>
    <t>SOUTH ELK BASIN, WY</t>
  </si>
  <si>
    <t>SOUTH TRONA, WY</t>
  </si>
  <si>
    <t>SPRING CREEK, WY</t>
  </si>
  <si>
    <t>SVILAR, WY</t>
  </si>
  <si>
    <t>TEN MILE, WY</t>
  </si>
  <si>
    <t>THERMOPOLIS TOWN, WY</t>
  </si>
  <si>
    <t>THERMOPOLIS(WAPA), WY</t>
  </si>
  <si>
    <t>THUNDER CREEK, WY</t>
  </si>
  <si>
    <t>VETERANS, WY</t>
  </si>
  <si>
    <t>WAMSUTTER AMOCO, WY</t>
  </si>
  <si>
    <t>WARM SPRINGS SPL, WY</t>
  </si>
  <si>
    <t>WERTZ SINCLAIR, WY</t>
  </si>
  <si>
    <t>WEST ADAMS, WY</t>
  </si>
  <si>
    <t>WESTVACO, WY</t>
  </si>
  <si>
    <t>WHISKEY GULCH, WY</t>
  </si>
  <si>
    <t>WORLAND TOWN, WY</t>
  </si>
  <si>
    <t>WYCO BEAR CREEK, WY</t>
  </si>
  <si>
    <t>WYCO STROUD, WY</t>
  </si>
  <si>
    <t>WYOPO, WY</t>
  </si>
  <si>
    <t>YELLOWCAKE, WY</t>
  </si>
  <si>
    <t>CHIMNEY BUTTE, WY</t>
  </si>
  <si>
    <t>FOOTE CREEK, WY</t>
  </si>
  <si>
    <t>GLENDO AUTO, WY</t>
  </si>
  <si>
    <t>MIDWEST, WY</t>
  </si>
  <si>
    <t>MUSTANG, WY</t>
  </si>
  <si>
    <t>SAGE, WY</t>
  </si>
  <si>
    <t>Total Wyoming</t>
  </si>
  <si>
    <t>All States Grand Total</t>
  </si>
  <si>
    <t>DistributionSubstationAttendedMember</t>
  </si>
  <si>
    <t>DistributionSubstationUnttendedMember</t>
  </si>
  <si>
    <t>TransmissionSubstationAttendedMember</t>
  </si>
  <si>
    <t>TransmissionSubstationUnattendedMember</t>
  </si>
  <si>
    <t>PAGE 429</t>
  </si>
  <si>
    <t>TRANSACTIONS WITH ASSOCIATED (AFFILIATED) COMPANIES</t>
  </si>
  <si>
    <t>Description of the Non-Power Good or Service</t>
  </si>
  <si>
    <t>Name of 
Associated/Affiliated 
Company</t>
  </si>
  <si>
    <t>Account 
Charged or 
Credited</t>
  </si>
  <si>
    <t>Amount 
Charged or 
Credited</t>
  </si>
  <si>
    <t>Non-power Goods or Services Provided by Affiliated</t>
  </si>
  <si>
    <t>Coal purchases</t>
  </si>
  <si>
    <t>Bridger Coal Company</t>
  </si>
  <si>
    <t>151, 501</t>
  </si>
  <si>
    <t>Interest expense</t>
  </si>
  <si>
    <t>430</t>
  </si>
  <si>
    <t>Administrative services under the IASA</t>
  </si>
  <si>
    <t>Berkshire Hathaway Energy Company</t>
  </si>
  <si>
    <t>107, 165, 184, 426.4, 426.5, 903, 920, 921, 923, 924, 925, 930.2, 935</t>
  </si>
  <si>
    <t>Employee relocation services</t>
  </si>
  <si>
    <t>HomeServices of America, Inc.</t>
  </si>
  <si>
    <t>501, 506, 539, 549, 557, 561.2, 580, 590, 592, 593, 921</t>
  </si>
  <si>
    <t>Kern River Gas Transmission Company</t>
  </si>
  <si>
    <t>107, 923</t>
  </si>
  <si>
    <t>Gas transportation services</t>
  </si>
  <si>
    <t xml:space="preserve"> 547 </t>
  </si>
  <si>
    <t>MidAmerican Energy Company</t>
  </si>
  <si>
    <t>107, 165, 426.4, 426.5, 557, 920, 921, 923, 925, 930.2, 935</t>
  </si>
  <si>
    <t>Equipment purchase</t>
  </si>
  <si>
    <t>394</t>
  </si>
  <si>
    <t>Operational support services</t>
  </si>
  <si>
    <t xml:space="preserve"> 570, 107 </t>
  </si>
  <si>
    <t>Northern Natural Gas</t>
  </si>
  <si>
    <t>Banking services</t>
  </si>
  <si>
    <t>Bank of America Corporation</t>
  </si>
  <si>
    <t>427, 431, 557</t>
  </si>
  <si>
    <t>Underwriting services</t>
  </si>
  <si>
    <t>BofA Securities, Inc.</t>
  </si>
  <si>
    <t>181</t>
  </si>
  <si>
    <t>Rail services and right-of-way fees</t>
  </si>
  <si>
    <t>BNSF Railway Company</t>
  </si>
  <si>
    <t xml:space="preserve"> 151, 501, 507, 567, 571, 589, 593 </t>
  </si>
  <si>
    <t>Materials and supplies</t>
  </si>
  <si>
    <t>Marmon Utility LLC</t>
  </si>
  <si>
    <t xml:space="preserve"> 107 </t>
  </si>
  <si>
    <t xml:space="preserve">Rating agency fees </t>
  </si>
  <si>
    <t>Moody's Investors Service, Inc.</t>
  </si>
  <si>
    <t>186</t>
  </si>
  <si>
    <t>Travel services</t>
  </si>
  <si>
    <t>NetJets, Inc.</t>
  </si>
  <si>
    <t>426.5, 923</t>
  </si>
  <si>
    <t>Non-power Goods or Services Provided for Affiliate</t>
  </si>
  <si>
    <t>Information technology and administrative support services</t>
  </si>
  <si>
    <t xml:space="preserve"> 501, 557, 925, 931 </t>
  </si>
  <si>
    <t>506, 535, 557, 560, 580, 588, 590, 597, 901, 903, 908, 922, 923, 929</t>
  </si>
  <si>
    <t>BHE AltaLink Ltd.</t>
  </si>
  <si>
    <t>557, 580, 922, 929</t>
  </si>
  <si>
    <t>BHE Renewables, LLC</t>
  </si>
  <si>
    <t>535, 557, 560, 580, 922, 923, 929</t>
  </si>
  <si>
    <t>BHE GT&amp;S, LLC</t>
  </si>
  <si>
    <t>556, 557, 580, 922, 923, 929</t>
  </si>
  <si>
    <t>557, 560, 580, 922, 923, 929, 930</t>
  </si>
  <si>
    <t>Northern Natural Gas Company</t>
  </si>
  <si>
    <t>557, 580, 922, 923, 929</t>
  </si>
  <si>
    <t>BHE Turbo Machinery, LLC</t>
  </si>
  <si>
    <t>426.5, 535, 539, 922, 929</t>
  </si>
  <si>
    <t>557, 580, 903, 922, 923, 929</t>
  </si>
  <si>
    <t>Northern Powergrid Holdings Company</t>
  </si>
  <si>
    <t>NV Energy, Inc.</t>
  </si>
  <si>
    <t>557, 580, 903, 922, 923, 929, 935</t>
  </si>
  <si>
    <t>Mutual assistance</t>
  </si>
  <si>
    <t xml:space="preserve"> PNW (SG) </t>
  </si>
  <si>
    <t>PNW Balance</t>
  </si>
  <si>
    <t>PNW:</t>
  </si>
  <si>
    <t>Schedule Page: 300 Line No.: 21 Column: b</t>
  </si>
  <si>
    <t xml:space="preserve">Transmisssion </t>
  </si>
  <si>
    <t>(456) Other Electric Revenues include the following items that are $250,000 or greater:</t>
  </si>
  <si>
    <t>Amortization of CA GHG Allowance Revenues</t>
  </si>
  <si>
    <t>Ancillary services</t>
  </si>
  <si>
    <t>Flyash/by-product sales</t>
  </si>
  <si>
    <t>Renewable energy credit sales</t>
  </si>
  <si>
    <t>Timber sales</t>
  </si>
  <si>
    <t>Steam sales</t>
  </si>
  <si>
    <t>Maintenance charges for work on transmission facilities</t>
  </si>
  <si>
    <t>Revenue from generation interconnection and transmission service request studies</t>
  </si>
  <si>
    <t>Phase shifting equipment fee from WECC</t>
  </si>
  <si>
    <t>Deferral of OR retail customers' allocated share of incremental OATT revenues</t>
  </si>
  <si>
    <t>Amortization of Oregon clean fuels program credits</t>
  </si>
  <si>
    <t xml:space="preserve"> FF1 Balance (2023) </t>
  </si>
  <si>
    <t>See "407.3 - Reg Debits_2023" tab</t>
  </si>
  <si>
    <t>Contract Assignment Revenues</t>
  </si>
  <si>
    <t xml:space="preserve"> (a) The 2023 amount is less than $250,000. </t>
  </si>
  <si>
    <t xml:space="preserve"> Year</t>
  </si>
  <si>
    <t>Period</t>
  </si>
  <si>
    <t>CoCd</t>
  </si>
  <si>
    <t>Profit Ctr</t>
  </si>
  <si>
    <t xml:space="preserve">Acc.Text            </t>
  </si>
  <si>
    <t xml:space="preserve">         In TC</t>
  </si>
  <si>
    <t xml:space="preserve">Text                                              </t>
  </si>
  <si>
    <t>FERC Acct</t>
  </si>
  <si>
    <t>Locatn</t>
  </si>
  <si>
    <t>PNW %</t>
  </si>
  <si>
    <t>PNW Amount</t>
  </si>
  <si>
    <t>Sub Account</t>
  </si>
  <si>
    <t>DIST/Other</t>
  </si>
  <si>
    <t xml:space="preserve">Gain on Sale of Inv </t>
  </si>
  <si>
    <t xml:space="preserve">Misc Non Op Inc/Exp </t>
  </si>
  <si>
    <t xml:space="preserve">Misc Non-Op Income  </t>
  </si>
  <si>
    <t>Gain - Sale of Asset</t>
  </si>
  <si>
    <t>Asset Sale Proc-Clrn</t>
  </si>
  <si>
    <t>Inv Inc/Loss-Def Cmp</t>
  </si>
  <si>
    <t>check to FF1</t>
  </si>
  <si>
    <t xml:space="preserve">Text                                            </t>
  </si>
  <si>
    <t>187347-WA Pref Stock Redemption amortiztion</t>
  </si>
  <si>
    <t>Y</t>
  </si>
  <si>
    <t>ID 187338 Carbon Amort - ID Portion</t>
  </si>
  <si>
    <t>OR 187338 Carbon Amort - OR Portion</t>
  </si>
  <si>
    <t>OR Meters Replaced by AMI - Amortization</t>
  </si>
  <si>
    <t>CA 187337 Carbon Decom Amort - CA</t>
  </si>
  <si>
    <t>N</t>
  </si>
  <si>
    <t>CA MHPCBA - Amortization</t>
  </si>
  <si>
    <t>Cholla Closure CWIP RA Amort - UT</t>
  </si>
  <si>
    <t>Cholla Closure CWIP RA Amort - WY</t>
  </si>
  <si>
    <t>Cholla Closure Decommissioning Amort - WY</t>
  </si>
  <si>
    <t>Cholla Closure LD Payments RA Amort - UT</t>
  </si>
  <si>
    <t>Cholla Closure LD Payments RA Amort - WY</t>
  </si>
  <si>
    <t>Cholla Closure M&amp;S RA Amort - UT</t>
  </si>
  <si>
    <t>Cholla Closure M&amp;S RA Amort - WY</t>
  </si>
  <si>
    <t>Cholla Closure Unrecovered Plant RA Amort - WY</t>
  </si>
  <si>
    <t>UT 187345-Pref Stock Redemption amort</t>
  </si>
  <si>
    <t>WY 187338 Carbon Amort - WY Portion</t>
  </si>
  <si>
    <t>WY 187346-Pref Stock Redemption amort</t>
  </si>
  <si>
    <t>PNW TOTAL</t>
  </si>
  <si>
    <t>Check to FF1</t>
  </si>
  <si>
    <t>Unrealized gain/loss Def Comp Assets Jan 23</t>
  </si>
  <si>
    <t>Other realized gain LTIP assets Jan 2023</t>
  </si>
  <si>
    <t>Unrealized gain/loss LTIP Main Jan 23</t>
  </si>
  <si>
    <t>Unrealized gain/loss LTIP Dfrd Jan 23</t>
  </si>
  <si>
    <t>Unrealized gain/loss Def Comp Assets Feb 23</t>
  </si>
  <si>
    <t>Unrealized gain/loss LTIP Main Feb 23</t>
  </si>
  <si>
    <t>Unrealized gain/loss LTIP Dfrd Feb 23</t>
  </si>
  <si>
    <t>Unrealized gain/loss Def Comp Assets Mar 23</t>
  </si>
  <si>
    <t>Unrealized gain/loss LTIP Main Mar 23</t>
  </si>
  <si>
    <t>Unrealized gain/loss LTIP Dfrd Mar 23</t>
  </si>
  <si>
    <t>Unrealized gain/loss Def Comp Assets Apr 23</t>
  </si>
  <si>
    <t>Unrealized gain/loss LTIP Main Apr 23</t>
  </si>
  <si>
    <t>Unrealized gain/loss LTIP Dfrd Apr 23</t>
  </si>
  <si>
    <t>Klamath Tulana Farm Restor-Yr 2022</t>
  </si>
  <si>
    <t>Unrealized gain/loss Def Comp Assets May 23</t>
  </si>
  <si>
    <t>Unrealized gain/loss LTIP Main May 23</t>
  </si>
  <si>
    <t>Unrealized gain/loss LTIP Dfrd May 23</t>
  </si>
  <si>
    <t>Unrealized gain/loss Def Comp Assets Jun 23</t>
  </si>
  <si>
    <t>Unrealized gain/loss LTIP Main Jun 23</t>
  </si>
  <si>
    <t>Unrealized gain/loss LTIP Dfrd Jun 23</t>
  </si>
  <si>
    <t>WYLY-0001 SALE NAUGHTON NO 4 NU TO US SFR OWNER</t>
  </si>
  <si>
    <t>WYLY-0001 SALE ON NAUGHTON NO 4 NU TO US SFR OWNER</t>
  </si>
  <si>
    <t>Unrealized gain/loss LTIP Main July 23</t>
  </si>
  <si>
    <t>Unrealized gain/loss LTIP Dfrd July 23</t>
  </si>
  <si>
    <t>Unrealized gain/loss Def Comp Assets Jul 23</t>
  </si>
  <si>
    <t>UTWN-0068 EASE ON GATEWAY SUB DIST LAND TO NGS</t>
  </si>
  <si>
    <t>UTSL-0257 SALE ON NINETY S. SUB TRANS LAND TO UDOT</t>
  </si>
  <si>
    <t>UTSL-0257 SALE ON NINETY S. SUB TRANS TO UDOT OBA</t>
  </si>
  <si>
    <t>Unrealized gain/loss Def Comp Assets Aug 23</t>
  </si>
  <si>
    <t>Unrealized gain/loss LTIP Main Aug 23</t>
  </si>
  <si>
    <t>Unrealized gain/loss LTIP Dfrd Aug 23</t>
  </si>
  <si>
    <t>Unrealized gain/loss LTIP Main Sept  23</t>
  </si>
  <si>
    <t>Unrealized gain/loss LTIP Dfrd Sept  23</t>
  </si>
  <si>
    <t>Unrealized gain/loss Def Comp Assets Sept 23</t>
  </si>
  <si>
    <t>Unrealized gain/loss LTIP Main Oct  23</t>
  </si>
  <si>
    <t>Unrealized gain/loss LTIP Dfrd Oct  23</t>
  </si>
  <si>
    <t>Unrealized gain/loss Def Comp Assets Oct 23</t>
  </si>
  <si>
    <t>Unrealized gain/loss LTIP Main Nov  23</t>
  </si>
  <si>
    <t>Unrealized gain/loss LTIP Dfrd Nov  23</t>
  </si>
  <si>
    <t>Unrealized gain/loss Def Comp Assets Nov 23</t>
  </si>
  <si>
    <t>UTWN-0022 SALE ON SAND COVE NU TO MATTHEW LOWE</t>
  </si>
  <si>
    <t>UTWN-0046 SALE ON SAND COVE NU TO MATTHEW LOWE</t>
  </si>
  <si>
    <t>Other realized gain LTIP assets Dec 2023</t>
  </si>
  <si>
    <t>Unrealized gain/loss LTIP Main Dec 2023</t>
  </si>
  <si>
    <t>Unrealized gain/loss Def Comp Assets Dec 23</t>
  </si>
  <si>
    <t>Recl Klamath depr exp from FERC 404 to FERC 407.3</t>
  </si>
  <si>
    <t>Rvsl Rcl Klamath depr exp fr FERC 404 to 407.3 Doc</t>
  </si>
  <si>
    <t>TO RECORD DEC 2022-APR 2023 AMORT</t>
  </si>
  <si>
    <t>Klamath Unrecovered Plant Amortization</t>
  </si>
  <si>
    <t>WA 187347-Pref Stock Redemption amort</t>
  </si>
  <si>
    <t>PNW SG ALLOC</t>
  </si>
  <si>
    <t>Year to Date</t>
  </si>
  <si>
    <t>FERC Account</t>
  </si>
  <si>
    <t>Account Number</t>
  </si>
  <si>
    <t>A/Amort-Soft Dev</t>
  </si>
  <si>
    <t>A/Amort-Oth Intang</t>
  </si>
  <si>
    <t>A/Amort-Oth Lic/Hydr</t>
  </si>
  <si>
    <t>A/Amort-LsHld Imprmt</t>
  </si>
  <si>
    <t>A/Amort-Capital Leas</t>
  </si>
  <si>
    <t>Result</t>
  </si>
  <si>
    <t>A/Amrt-Hyd- Klmth</t>
  </si>
  <si>
    <t>See Account 111 Asset Class Breakdown from Kariely</t>
  </si>
  <si>
    <t xml:space="preserve">other </t>
  </si>
  <si>
    <t xml:space="preserve"> Mining Equipment Depreciation Reserve </t>
  </si>
  <si>
    <t xml:space="preserve"> Net Steam Depreciation Reserve </t>
  </si>
  <si>
    <t xml:space="preserve"> Taxes Summary </t>
  </si>
  <si>
    <t>PNW Alloc.</t>
  </si>
  <si>
    <t>FEDERAL - Emp.</t>
  </si>
  <si>
    <t>FEDERAL - Other</t>
  </si>
  <si>
    <t>U</t>
  </si>
  <si>
    <t>I</t>
  </si>
  <si>
    <t>M</t>
  </si>
  <si>
    <t>O</t>
  </si>
  <si>
    <t>Federal Income tax</t>
  </si>
  <si>
    <t>check</t>
  </si>
  <si>
    <t>PNW Share %</t>
  </si>
  <si>
    <t>FERC A/C</t>
  </si>
  <si>
    <t>STATE - RETAIL</t>
  </si>
  <si>
    <t>STATE SUMMARY:</t>
  </si>
  <si>
    <t>mwh_sold</t>
  </si>
  <si>
    <t>revenue</t>
  </si>
  <si>
    <t>mwg_sold -%</t>
  </si>
  <si>
    <t>revenue -$</t>
  </si>
  <si>
    <t>STATE RETAIL REVENUES</t>
  </si>
  <si>
    <t>PNW STATE - RETAIL</t>
  </si>
  <si>
    <t>TOTAL PNW</t>
  </si>
  <si>
    <t>STATE - RETAIL Residential</t>
  </si>
  <si>
    <t>STATE - RETAIL Commercial</t>
  </si>
  <si>
    <t>STATE - RETAIL Industrial &amp; Irrigation</t>
  </si>
  <si>
    <t>STATE - RETAIL Public St &amp; Hwy Lighting</t>
  </si>
  <si>
    <t>City of Redding</t>
  </si>
  <si>
    <t>City of Santa Clara</t>
  </si>
  <si>
    <t>Imperial Irrigation District</t>
  </si>
  <si>
    <t>NextEra Energy Marketing, LLC</t>
  </si>
  <si>
    <t>Northern California Power Agency</t>
  </si>
  <si>
    <t>Western Area Power Administration - SW Region</t>
  </si>
  <si>
    <t>Western Area Power Administration - Lower Colorado</t>
  </si>
  <si>
    <t xml:space="preserve">Requirement Sales:, , </t>
  </si>
  <si>
    <t>Helper City, RQ, T-6</t>
  </si>
  <si>
    <t>Helper City Annex, RQ, T-6</t>
  </si>
  <si>
    <t>Navajo Tribal Utility Authority, RQ, T-12</t>
  </si>
  <si>
    <t>Navajo Tribal Utility Authority (Mexican Hat), RQ, T-6</t>
  </si>
  <si>
    <t>Navajo Tribal Utility Authority (Red Mesa), RQ, T-6</t>
  </si>
  <si>
    <t xml:space="preserve">Accrual, RQ, </t>
  </si>
  <si>
    <t xml:space="preserve">, , </t>
  </si>
  <si>
    <t xml:space="preserve">Non-Requirement Sales:, , </t>
  </si>
  <si>
    <t>Arizona Electric Power Cooperative, Inc., SF, T-12</t>
  </si>
  <si>
    <t>Arizona Public Service Company, SF, T-12</t>
  </si>
  <si>
    <t>Avangrid Renewables, LLC, AD, T-12</t>
  </si>
  <si>
    <t>Avangrid Renewables, LLC, SF, T-12</t>
  </si>
  <si>
    <t>Avangrid Renewables, LLC, SF, T-13</t>
  </si>
  <si>
    <t>Avista Corporation, SF, T-12</t>
  </si>
  <si>
    <t>Avista Corporation, SF, T-13</t>
  </si>
  <si>
    <t>Basin Electric Power Cooperative, SF, T-12</t>
  </si>
  <si>
    <t>Black Hills Power, Inc., LF, 441</t>
  </si>
  <si>
    <t>Black Hills Power, Inc., SF, T-12</t>
  </si>
  <si>
    <t>Bonneville Power Administration, SF, T-12</t>
  </si>
  <si>
    <t>Bonneville Power Administration, SF, T-13</t>
  </si>
  <si>
    <t>Bonneville Power Administration, SF, WSPP-Q</t>
  </si>
  <si>
    <t>BP Energy Company, SF, T-12</t>
  </si>
  <si>
    <t>British Columbia Hydro and Power Authority, SF, T-13</t>
  </si>
  <si>
    <t>Brookfield Renewable Trading and Marketing LP, SF, T-12</t>
  </si>
  <si>
    <t>California Independent System Operator Corporation, SF, T-12</t>
  </si>
  <si>
    <t>Calpine Energy Services, L.P., SF, T-12</t>
  </si>
  <si>
    <t>Citigroup Energy Inc., AD, T-12</t>
  </si>
  <si>
    <t>Citigroup Energy Inc., SF, T-12</t>
  </si>
  <si>
    <t>City of Burbank, SF, T-12</t>
  </si>
  <si>
    <t>City of Burbank, SF, WSPP-Q</t>
  </si>
  <si>
    <t>City of Glendale, SF, T-12</t>
  </si>
  <si>
    <t>City of Hurricane, IF, 560</t>
  </si>
  <si>
    <t>City of Idaho Falls</t>
  </si>
  <si>
    <t>City of Idaho Falls, SF, WSPP-Q</t>
  </si>
  <si>
    <t>City of Redding, SF, T-12</t>
  </si>
  <si>
    <t>City of Roseville, SF, T-12</t>
  </si>
  <si>
    <t>City of St. George, Utah, SF, T-12</t>
  </si>
  <si>
    <t>Clatskanie People's Utility District, SF, T-12</t>
  </si>
  <si>
    <t>ConocoPhillips Company, SF, T-12</t>
  </si>
  <si>
    <t>CP Energy Marketing (US) Inc., SF, T-12</t>
  </si>
  <si>
    <t>DTE Energy Trading, Inc.</t>
  </si>
  <si>
    <t>DTE Energy Trading, Inc., SF, T-12</t>
  </si>
  <si>
    <t>Dynasty Power Inc., SF, T-12</t>
  </si>
  <si>
    <t>EDF Trading North America, LLC, SF, T-12</t>
  </si>
  <si>
    <t>El Paso Electric Company, SF, T-12</t>
  </si>
  <si>
    <t>Energy Keepers, Inc., SF, T-12</t>
  </si>
  <si>
    <t>Eugene Water &amp; Electric Board, SF, T-12</t>
  </si>
  <si>
    <t>Exelon Generation Company, LLC, SF, T-12</t>
  </si>
  <si>
    <t>Exelon Generation Company, LLC, SF, WSPP-Q</t>
  </si>
  <si>
    <t>Gridforce Energy Management, LLC, SF, T-13</t>
  </si>
  <si>
    <t>Guzman Energy, LLC, SF, T-12</t>
  </si>
  <si>
    <t>Idaho Power Company, SF, T-12</t>
  </si>
  <si>
    <t>Idaho Power Company, SF, T-13</t>
  </si>
  <si>
    <t>Idaho Power Company, SF, WSPP-Q</t>
  </si>
  <si>
    <t>Los Angeles Department of Water and Power, SF, T-12</t>
  </si>
  <si>
    <t>Macquarie Energy LLC, SF, T-12</t>
  </si>
  <si>
    <t>Macquarie Energy LLC, SF, WSPP-Q</t>
  </si>
  <si>
    <t>Metropolitan Water District Of Southern California</t>
  </si>
  <si>
    <t>Metropolitan Water District Of Southern California, SF, T-12</t>
  </si>
  <si>
    <t>Modesto Irrigation District, SF, T-12</t>
  </si>
  <si>
    <t>Morgan Stanley Capital Group Inc., AD, T-12</t>
  </si>
  <si>
    <t>Morgan Stanley Capital Group Inc., SF, T-12</t>
  </si>
  <si>
    <t>Morgan Stanley Capital Group Inc., SF, WSPP-Q</t>
  </si>
  <si>
    <t>NaturEner Power Watch, LLC, SF, T-13</t>
  </si>
  <si>
    <t>Nevada Power Company, SF, WSPP-Q</t>
  </si>
  <si>
    <t>NextEra Energy Marketing, LLC, SF, T-12</t>
  </si>
  <si>
    <t>Northern California Power Agency, SF, T-12</t>
  </si>
  <si>
    <t>NorthWestern Energy, SF, T-13</t>
  </si>
  <si>
    <t>NorthWestern Energy, SF, WSPP-Q</t>
  </si>
  <si>
    <t>Portland General Electric Company, SF, T-12</t>
  </si>
  <si>
    <t>Portland General Electric Company, SF, T-13</t>
  </si>
  <si>
    <t>Powerex Corporation, SF, T-12</t>
  </si>
  <si>
    <t>Powerex Corporation, SF, WSPP-Q</t>
  </si>
  <si>
    <t>Public Service Company of Colorado, SF, T-12</t>
  </si>
  <si>
    <t>Public Service Company of Colorado, SF, T-13</t>
  </si>
  <si>
    <t>Public Service Company of New Mexico, SF, T-12</t>
  </si>
  <si>
    <t>Public Utility District No. 1 of Chelan County, SF, T-13</t>
  </si>
  <si>
    <t>Public Utility District No. 1 of Snohomish County, SF, T-12</t>
  </si>
  <si>
    <t>Public Utility District No. 2 of Grant County, SF, T-13</t>
  </si>
  <si>
    <t>Puget Sound Energy, Inc., SF, T-12</t>
  </si>
  <si>
    <t>Puget Sound Energy, Inc., SF, T-13</t>
  </si>
  <si>
    <t>Rainbow Energy Marketing Corporation, SF, T-12</t>
  </si>
  <si>
    <t>Sacramento Municipal Utility District, SF, T-12</t>
  </si>
  <si>
    <t>Sacramento Municipal Utility District, SF, T-13</t>
  </si>
  <si>
    <t>Salt River Project, SF, T-12</t>
  </si>
  <si>
    <t>Seattle City Light, SF, T-12</t>
  </si>
  <si>
    <t>Seattle City Light, SF, T-13</t>
  </si>
  <si>
    <t>Shell Energy North America (US), L.P., SF, T-12</t>
  </si>
  <si>
    <t>Shell Energy North America (US), L.P., SF, WSPP-Q</t>
  </si>
  <si>
    <t>Sierra Pacific Power Company, SF, T-13</t>
  </si>
  <si>
    <t>Tacoma Power, SF, T-12</t>
  </si>
  <si>
    <t>Tenaska Power Services Co., SF, T-12</t>
  </si>
  <si>
    <t>Tenaska Power Services Co., SF, WSPP-Q</t>
  </si>
  <si>
    <t>The Energy Authority, Inc., SF, T-12</t>
  </si>
  <si>
    <t>TransAlta Energy Marketing (U.S.) Inc., SF, T-12</t>
  </si>
  <si>
    <t>TransAlta Energy Marketing (U.S.) Inc., SF, WSPP-Q</t>
  </si>
  <si>
    <t>Tri-State Generation and Transmission Association, Inc., SF, T-12</t>
  </si>
  <si>
    <t>Tucson Electric Power Company, SF, T-12</t>
  </si>
  <si>
    <t>Turlock Irrigation District, SF, T-12</t>
  </si>
  <si>
    <t>Turlock Irrigation District, SF, T-13</t>
  </si>
  <si>
    <t>Uniper Global Commodities North America LLC, SF, T-12</t>
  </si>
  <si>
    <t>UNS Electric, Inc., SF, T-12</t>
  </si>
  <si>
    <t>Utah Associated Municipal Power Systems, SF, WSPP-Q</t>
  </si>
  <si>
    <t>Utah Municipal Power Agency, SF, WSPP-Q</t>
  </si>
  <si>
    <t>Vitol Inc., SF, T-12</t>
  </si>
  <si>
    <t>Western Area Power Administration-Colorado Missouri</t>
  </si>
  <si>
    <t>Western Area Power Administration-Colorado Missouri, SF, T-12</t>
  </si>
  <si>
    <t>Western Area Power Administration-Colorado Missouri, SF, T-13</t>
  </si>
  <si>
    <t>Western Area Power Administration-Lower Colorado</t>
  </si>
  <si>
    <t>Western Area Power Administration-Lower Colorado, SF, T-12</t>
  </si>
  <si>
    <t>Western Area Power Administration-Sierra Nevada</t>
  </si>
  <si>
    <t>Western Area Power Administration-Sierra Nevada, SF, T-12</t>
  </si>
  <si>
    <t>Western Area Power Administration-Upper Colorado</t>
  </si>
  <si>
    <t>Western Area Power Administration-Upper Colorado, SF, T-12</t>
  </si>
  <si>
    <t xml:space="preserve">Test Generation, AD, </t>
  </si>
  <si>
    <t xml:space="preserve">Test Generation, OS, </t>
  </si>
  <si>
    <t>Transmission Loss Sales Revenue, AD, T-11</t>
  </si>
  <si>
    <t>Transmission Loss Sales Revenue, OS, T-11</t>
  </si>
  <si>
    <t xml:space="preserve">Netting-Bookouts, , </t>
  </si>
  <si>
    <t xml:space="preserve">Netting-Trading, , </t>
  </si>
  <si>
    <t xml:space="preserve">Accrual, , </t>
  </si>
  <si>
    <t xml:space="preserve">Subtotal RQ, , </t>
  </si>
  <si>
    <t xml:space="preserve">Subtotal non-RQ, , </t>
  </si>
  <si>
    <t xml:space="preserve">Total, , </t>
  </si>
  <si>
    <t>Less:</t>
  </si>
  <si>
    <t>Public Purpose Charge</t>
  </si>
  <si>
    <t>REP Reversal</t>
  </si>
  <si>
    <t>Fuel Costs</t>
  </si>
  <si>
    <t>Total Revised O&amp;M</t>
  </si>
  <si>
    <t>Estimated Working Capital (1/8 x O&amp;M)</t>
  </si>
  <si>
    <t>Central Rivers Power, LLC</t>
  </si>
  <si>
    <t>City of Anaheim</t>
  </si>
  <si>
    <t>Dry Creek, LLC</t>
  </si>
  <si>
    <t>Finley BioEnergy, LLC</t>
  </si>
  <si>
    <t>Monsanto Company</t>
  </si>
  <si>
    <t>Oregon State University</t>
  </si>
  <si>
    <t>Public Utility District No. 1 of Douglas County</t>
  </si>
  <si>
    <t>Sempra Gas &amp; Power Marketing, LLC</t>
  </si>
  <si>
    <t>University of Utah</t>
  </si>
  <si>
    <t>Utah Retail Solar customers</t>
  </si>
  <si>
    <t>CA Greenhouse Gas Allowances Purchases - Wholesale Program</t>
  </si>
  <si>
    <t>CA Greenhouse Gas Allowances Purchases - Retail Program</t>
  </si>
  <si>
    <t>Legal Contingencies</t>
  </si>
  <si>
    <t>OV-1</t>
  </si>
  <si>
    <t>554</t>
  </si>
  <si>
    <t>3Degrees Group, Inc.</t>
  </si>
  <si>
    <t>1, 3Degrees Group, Inc., AD</t>
  </si>
  <si>
    <t>1.01, Adams Solar Center, LLC, AD</t>
  </si>
  <si>
    <t>1.02, Adams Solar Center, LLC, LU</t>
  </si>
  <si>
    <t>1.03, Airport Solar, LLC, OS</t>
  </si>
  <si>
    <t>1.04, Airport Solar, LLC, AD</t>
  </si>
  <si>
    <t>1.05, Amor IX LLC, LU</t>
  </si>
  <si>
    <t>1.06, Apple, Inc., LU</t>
  </si>
  <si>
    <t>1.07, Arizona Electric Power Cooperative, Inc., SF</t>
  </si>
  <si>
    <t>1.08, Arizona Public Service Company, SF</t>
  </si>
  <si>
    <t>1.09, Arizona Public Service Company, AD</t>
  </si>
  <si>
    <t>1.1, Avangrid Renewables, LLC, SF</t>
  </si>
  <si>
    <t>1.11, Avangrid Renewables, LLC, AD</t>
  </si>
  <si>
    <t>1.12, Avista Corporation, SF</t>
  </si>
  <si>
    <t>1.13, Basin Electric Power Cooperative, Inc., SF</t>
  </si>
  <si>
    <t>1.14, BC Solar, LLC, LU</t>
  </si>
  <si>
    <t>1.15, Bear Creek Solar Center, LLC, AD</t>
  </si>
  <si>
    <t>1.16, Bear Creek Solar Center, LLC, LU</t>
  </si>
  <si>
    <t>1.17, Beaver City Corporation, LF</t>
  </si>
  <si>
    <t>1.18, Bell Mountain Hydro, LLC, LU</t>
  </si>
  <si>
    <t>1.19, Beryl Solar, LLC, LU</t>
  </si>
  <si>
    <t>1.2, Big Top, LLC, LU</t>
  </si>
  <si>
    <t>1.21, Biomass One, L.P., LU</t>
  </si>
  <si>
    <t>1.22, Birch Power Company, Inc., LU</t>
  </si>
  <si>
    <t>1.23, Black Cap Solar, LLC, LU</t>
  </si>
  <si>
    <t>1.24, Black Hills Power, Inc., SF</t>
  </si>
  <si>
    <t>1.25, Bly Solar Center, LLC, AD</t>
  </si>
  <si>
    <t>1.26, Bly Solar Center, LLC, LU</t>
  </si>
  <si>
    <t>1.27, Bonneville Power Administration, LF</t>
  </si>
  <si>
    <t>1.28, Bonneville Power Administration, SF</t>
  </si>
  <si>
    <t>1.29, Bourdet, Peter M, LU</t>
  </si>
  <si>
    <t>1.3, Box Canyon Limited Partnership, LU</t>
  </si>
  <si>
    <t>1.31, BP Energy Company, SF</t>
  </si>
  <si>
    <t>1.32, Brigham Young University - Idaho, IU</t>
  </si>
  <si>
    <t>1.33, Brookfield Renewable Trading and Marketing LP, SF</t>
  </si>
  <si>
    <t>1.34, Buckhorn Solar, LLC, LU</t>
  </si>
  <si>
    <t>1.35, Butter Creek Power, LLC, LU</t>
  </si>
  <si>
    <t>1.36, California Independent System Operator Corporation, SF</t>
  </si>
  <si>
    <t>1.37, Calpine Energy Services, L.P., SF</t>
  </si>
  <si>
    <t>1.38, Cedar Springs III, LLC, LU</t>
  </si>
  <si>
    <t>1.39, Cedar Springs Wind, LLC, LU</t>
  </si>
  <si>
    <t>1.4, Cedar Valley Solar, LLC, LU</t>
  </si>
  <si>
    <t>1.41, Central Oregon Irrigation District, LU</t>
  </si>
  <si>
    <t>1.42, Central Rivers Power, LLC, LU</t>
  </si>
  <si>
    <t>1.43, Chiloquin Solar LLC, LU</t>
  </si>
  <si>
    <t>1.44, Chopin Wind, LLC, LU</t>
  </si>
  <si>
    <t>1.45, Citigroup Energy Inc., SF</t>
  </si>
  <si>
    <t>1.46, Citigroup Energy Inc., AD</t>
  </si>
  <si>
    <t>1.47, City of Albany, LU</t>
  </si>
  <si>
    <t>1.48, City of Anaheim, SF</t>
  </si>
  <si>
    <t>1.49, City of Burbank, SF</t>
  </si>
  <si>
    <t>1.5, City of Glendale, SF</t>
  </si>
  <si>
    <t>1.51, City of Hurricane, LF</t>
  </si>
  <si>
    <t>1.52, City of Idaho Falls, Idaho, LU</t>
  </si>
  <si>
    <t>1.53, City of Idaho Falls, Idaho, AD</t>
  </si>
  <si>
    <t>1.54, City of Idaho Falls, Idaho, SF</t>
  </si>
  <si>
    <t>1.55, City of Portland, Portland Water Bureau, LU</t>
  </si>
  <si>
    <t>1.56, City of Preston Idaho, LU</t>
  </si>
  <si>
    <t>1.57, Clatskanie People's Utility District, SF</t>
  </si>
  <si>
    <t>Commercial Energy Magement Inc.</t>
  </si>
  <si>
    <t>1.58, Commercial Energy Magement Inc., LU</t>
  </si>
  <si>
    <t>1.59, Confederate Tribes of Warm Springs, LU</t>
  </si>
  <si>
    <t>1.6, ConocoPhillips Company, SF</t>
  </si>
  <si>
    <t>1.61, Consolidated Irrigation Company, LU</t>
  </si>
  <si>
    <t>1.62, Cottonwood Hydro, LLC, IU</t>
  </si>
  <si>
    <t>1.63, Cove Mountain Solar 2, LLC, LU</t>
  </si>
  <si>
    <t>1.64, Cove Mountain Solar, LLC, LU</t>
  </si>
  <si>
    <t>1.65, Cove Mountain Solar, LLC, AD</t>
  </si>
  <si>
    <t>1.66, CP Energy Marketing (US) Inc., SF</t>
  </si>
  <si>
    <t>1.67, Crook County Solar 1, LLC, LU</t>
  </si>
  <si>
    <t>1.68, Deschutes Valley Water District, LU</t>
  </si>
  <si>
    <t>1.69, Deschutes Valley Water District, AD</t>
  </si>
  <si>
    <t>1.7, Deseret Generation &amp; Transmission Cooperative, LF</t>
  </si>
  <si>
    <t>1.71, Dorena Hydro, LLC, LU</t>
  </si>
  <si>
    <t>1.72, Douglas Co., Inc. dba Douglas Co. Forest Products, LU</t>
  </si>
  <si>
    <t>Douglas County</t>
  </si>
  <si>
    <t>1.73, Douglas County, LU</t>
  </si>
  <si>
    <t>1.74, Draper Irrigation Company, IU</t>
  </si>
  <si>
    <t>Dry Creek LLC</t>
  </si>
  <si>
    <t>1.75, Dry Creek LLC, LU</t>
  </si>
  <si>
    <t>1.76, Dry Creek LLC, AD</t>
  </si>
  <si>
    <t>1.77, DTE Energy Trading, Inc., SF</t>
  </si>
  <si>
    <t>1.78, Dynasty Power Inc., SF</t>
  </si>
  <si>
    <t>1.79, EDF Trading North America, LLC, SF</t>
  </si>
  <si>
    <t>1.8, El Paso Electric Company, SF</t>
  </si>
  <si>
    <t>1.81, Elbe Solar Center, LLC, AD</t>
  </si>
  <si>
    <t>1.82, Elbe Solar Center, LLC, LU</t>
  </si>
  <si>
    <t>1.83, Energy Keepers, Inc., SF</t>
  </si>
  <si>
    <t>1.84, Enterprise Solar, LLC, AD</t>
  </si>
  <si>
    <t>1.85, Enterprise Solar, LLC, LU</t>
  </si>
  <si>
    <t>1.86, Escalante Solar I, LLC, LU</t>
  </si>
  <si>
    <t>1.87, Escalante Solar II, LLC, LU</t>
  </si>
  <si>
    <t>1.88, Escalante Solar III, LLC, LU</t>
  </si>
  <si>
    <t>1.89, Eugene Water &amp; Electric Board, SF</t>
  </si>
  <si>
    <t>1.9, Eurus Combine Hills I, LLC, LU</t>
  </si>
  <si>
    <t>1.91, Exelon Generation Company, LLC, SF</t>
  </si>
  <si>
    <t>1.92, ExxonMobil Production Company, LU</t>
  </si>
  <si>
    <t>1.93, Fall River Rural Electric Cooperative, Inc., LU</t>
  </si>
  <si>
    <t>1.94, Farm Power Misty Meadow, LLC, LU</t>
  </si>
  <si>
    <t>1.95, Farmers Irrigation District, LU</t>
  </si>
  <si>
    <t>1.96, Fillmore City Corporation, LF</t>
  </si>
  <si>
    <t>1.97, Finley BioEnergy, LLC, LU</t>
  </si>
  <si>
    <t>1.98, Flathead Electric Cooperative, Inc., LF</t>
  </si>
  <si>
    <t>1.99, Four Corners Windfarm, LLC, LU</t>
  </si>
  <si>
    <t>2, Four Mile Canyon Windfarm, LLC, LU</t>
  </si>
  <si>
    <t>2.01, Georgetown Irrigation Company, LU</t>
  </si>
  <si>
    <t>2.02, Grand Valley Power, LF</t>
  </si>
  <si>
    <t>2.03, Granite Mountain Solar East, LLC, LU</t>
  </si>
  <si>
    <t>2.04, Granite Mountain Solar West, LLC, LU</t>
  </si>
  <si>
    <t>2.05, Granite Peak Solar, LLC, LU</t>
  </si>
  <si>
    <t>2.06, Greenville Solar, LLC, LU</t>
  </si>
  <si>
    <t>Gridforce Energy Magement, LLC</t>
  </si>
  <si>
    <t>2.07, Gridforce Energy Magement, LLC, SF</t>
  </si>
  <si>
    <t>2.08, Guzman Energy, LLC, SF</t>
  </si>
  <si>
    <t>Hammerich 1 &amp; 2</t>
  </si>
  <si>
    <t>2.09, Hammerich 1 &amp; 2, LU</t>
  </si>
  <si>
    <t>2.1, Hayward Paul Luckey and Joanne Luckey Revocable Trust of 2005, LU</t>
  </si>
  <si>
    <t>2.11, Hunter Solar LLC, LU</t>
  </si>
  <si>
    <t>2.12, Hunter Solar LLC, AD</t>
  </si>
  <si>
    <t>2.13, Idaho Power Company, SF</t>
  </si>
  <si>
    <t>2.14, Idaho Power Company, AD</t>
  </si>
  <si>
    <t>2.15, Iron Springs Solar, LLC, LU</t>
  </si>
  <si>
    <t>2.16, J Bar 9 Ranch, Inc., LU</t>
  </si>
  <si>
    <t>2.17, Jake Amy, LU</t>
  </si>
  <si>
    <t>2.18, Joseph Community Solar, LLC, LU</t>
  </si>
  <si>
    <t>2.19, Keeton 1 &amp; 2, LU</t>
  </si>
  <si>
    <t>Kettle Butte Digester LLC</t>
  </si>
  <si>
    <t>2.2, Kettle Butte Digester LLC, LU</t>
  </si>
  <si>
    <t>2.21, Klamath Falls Solar 1, LLC, LU</t>
  </si>
  <si>
    <t>2.22, Klamath Falls Solar 2, LLC, IU</t>
  </si>
  <si>
    <t>2.23, Lacomb Irrigation District, LU</t>
  </si>
  <si>
    <t>2.24, Laho Solar, LLC, LU</t>
  </si>
  <si>
    <t>2.25, Latigo Wind Park, LLC, LU</t>
  </si>
  <si>
    <t>2.26, Los Angeles Department of Water and Power, SF</t>
  </si>
  <si>
    <t>2.27, Loyd Fery, LU</t>
  </si>
  <si>
    <t>2.28, Loyd Fery, AD</t>
  </si>
  <si>
    <t>2.29, Macquarie Energy LLC, SF</t>
  </si>
  <si>
    <t>2.3, Marsh Valley Hydro Electric Company, LU</t>
  </si>
  <si>
    <t>2.31, Meadow Creek Project Company LLC, LU</t>
  </si>
  <si>
    <t>2.32, Meadow Creek Project Company LLC, AD</t>
  </si>
  <si>
    <t>2.33, Middle Fork Irrigation District, LU</t>
  </si>
  <si>
    <t>2.34, Milford Flat Solar, LLC, LU</t>
  </si>
  <si>
    <t>2.35, Milford Solar I, LLC, LU</t>
  </si>
  <si>
    <t>2.36, Milford Solar I, LLC, AD</t>
  </si>
  <si>
    <t>2.37, Millican Solar Energy LLC, LU</t>
  </si>
  <si>
    <t>2.38, Mink Creek Hydro LLC, LU</t>
  </si>
  <si>
    <t>2.39, Monroe Hydro, LLC, LU</t>
  </si>
  <si>
    <t>2.4, Monsanto Company, IU</t>
  </si>
  <si>
    <t>2.41, Monsanto Company, AD</t>
  </si>
  <si>
    <t>2.42, Morgan City Corporation, LF</t>
  </si>
  <si>
    <t>2.43, Morgan Stanley Capital Group Inc., SF</t>
  </si>
  <si>
    <t>2.44, Mountain Wind Power II, LLC, LU</t>
  </si>
  <si>
    <t>2.45, Mountain Wind Power, LLC, LU</t>
  </si>
  <si>
    <t>2.46, Myron Jones, Nola Jones, Larry Oja and Christie Oja, LU</t>
  </si>
  <si>
    <t>2.47, Nevada Power Company, SF</t>
  </si>
  <si>
    <t>2.48, NextEra Energy Marketing, LLC, SF</t>
  </si>
  <si>
    <t>2.49, Nichols Gap Limited Partnership, LU</t>
  </si>
  <si>
    <t>NorthWestern Corporation dba NorthWestern Energy</t>
  </si>
  <si>
    <t>2.5, NorthWestern Corporation dba NorthWestern Energy, SF</t>
  </si>
  <si>
    <t>2.51, NorthWestern Corporation dba NorthWestern Energy, AD</t>
  </si>
  <si>
    <t>2.52, NorWest Energy 2, LLC, IU</t>
  </si>
  <si>
    <t>2.53, NorWest Energy 4, LLC, IU</t>
  </si>
  <si>
    <t>2.54, NorWest Energy 7, LLC, IU</t>
  </si>
  <si>
    <t>2.55, NorWest Energy 9, LLC, IU</t>
  </si>
  <si>
    <t>2.56, Nucor Corporation, IU</t>
  </si>
  <si>
    <t>2.57, Oak Lea Digester LLC, LU</t>
  </si>
  <si>
    <t>Obsidian Fince Group, LLC</t>
  </si>
  <si>
    <t>2.58, Obsidian Fince Group, LLC, LU</t>
  </si>
  <si>
    <t>2.59, Old Mill Solar, LLC, LU</t>
  </si>
  <si>
    <t>2.6, OR Solar 2, LLC, LU</t>
  </si>
  <si>
    <t>2.61, OR Solar 2, LLC, AD</t>
  </si>
  <si>
    <t>2.62, OR Solar 3, LLC, LU</t>
  </si>
  <si>
    <t>2.63, OR Solar 5, LLC, LU</t>
  </si>
  <si>
    <t>2.64, OR Solar 6, LLC, LU</t>
  </si>
  <si>
    <t>2.65, OR Solar 8, LLC, LU</t>
  </si>
  <si>
    <t>2.66, Orchard Windfarm 1, LLC, LU</t>
  </si>
  <si>
    <t>2.67, Orchard Windfarm 2, LLC, LU</t>
  </si>
  <si>
    <t>2.68, Orchard Windfarm 3, LLC, LU</t>
  </si>
  <si>
    <t>2.69, Orchard Windfarm 4, LLC, LU</t>
  </si>
  <si>
    <t>2.7, Oregon Environmental Industries, LLC, LU</t>
  </si>
  <si>
    <t>2.71, Oregon Solar Incentive, LU</t>
  </si>
  <si>
    <t>2.72, Oregon State University, LU</t>
  </si>
  <si>
    <t>2.73, Oregon Trail Windfarm, LLC, LU</t>
  </si>
  <si>
    <t>2.74, OSLH, LLC, IU</t>
  </si>
  <si>
    <t>2.75, Pacific Canyon Windfarm, LLC, LU</t>
  </si>
  <si>
    <t>2.76, Pavant Solar II LLC, LU</t>
  </si>
  <si>
    <t>2.77, Pavant Solar III LLC, LU</t>
  </si>
  <si>
    <t>2.78, Pavant Solar LLC, LU</t>
  </si>
  <si>
    <t>2.79, Pioneer Wind Park I, LLC, LU</t>
  </si>
  <si>
    <t>2.8, Pioneer Wind Park I, LLC, AD</t>
  </si>
  <si>
    <t>2.81, Platte River Power Authority, SF</t>
  </si>
  <si>
    <t>2.82, Portland General Electric Company, LF</t>
  </si>
  <si>
    <t>2.83, Portland General Electric Company, AD</t>
  </si>
  <si>
    <t>2.84, Portland General Electric Company, SF</t>
  </si>
  <si>
    <t>2.85, Power County Wind Park North, LLC, LU</t>
  </si>
  <si>
    <t>2.86, Power County Wind Park South, LLC, LU</t>
  </si>
  <si>
    <t>2.87, Powerex Corporation, SF</t>
  </si>
  <si>
    <t>2.88, Prineville Solar Energy LLC, LU</t>
  </si>
  <si>
    <t>2.89, Prineville Solar Energy LLC, AD</t>
  </si>
  <si>
    <t>2.9, Provo City Corporation, LF</t>
  </si>
  <si>
    <t>2.91, Provo City Corporation, AD</t>
  </si>
  <si>
    <t>2.92, Public Service Company of Colorado, SF</t>
  </si>
  <si>
    <t>2.93, Public Service Company of New Mexico, SF</t>
  </si>
  <si>
    <t>2.94, Public Utility District No. 1 of Chelan County, SF</t>
  </si>
  <si>
    <t>2.95, Public Utility District No. 1 of Douglas County, SF</t>
  </si>
  <si>
    <t>2.96, Public Utility District No. 1 of Snohomish County, SF</t>
  </si>
  <si>
    <t>2.97, Public Utility District No. 2 of Grant County, LU</t>
  </si>
  <si>
    <t>2.98, Public Utility District No. 2 of Grant County, AD</t>
  </si>
  <si>
    <t>2.99, Public Utility District No. 2 of Grant County, SF</t>
  </si>
  <si>
    <t>3, Public Utility District No. 2 of Grant County, SF</t>
  </si>
  <si>
    <t>3.01, Puget Sound Energy, Inc., SF</t>
  </si>
  <si>
    <t>3.02, Quichapa 1, LLC, LU</t>
  </si>
  <si>
    <t>3.03, Quichapa 2, LLC, LU</t>
  </si>
  <si>
    <t>3.04, Quichapa 3, LLC, LU</t>
  </si>
  <si>
    <t>3.05, Rainbow Energy Marketing Corporation, SF</t>
  </si>
  <si>
    <t>Rock River I, LLC</t>
  </si>
  <si>
    <t>3.06, Rock River I, LLC, LU</t>
  </si>
  <si>
    <t>3.07, Roseburg Forest Products Company, LU</t>
  </si>
  <si>
    <t>3.08, Roseburg LFG Energy, LLC, LU</t>
  </si>
  <si>
    <t>3.09, Sacramento Municipal Utility District, SF</t>
  </si>
  <si>
    <t>3.1, Sage Solar I LLC, LU</t>
  </si>
  <si>
    <t>3.11, Sage Solar II LLC, LU</t>
  </si>
  <si>
    <t>3.12, Sage Solar III LLC, LU</t>
  </si>
  <si>
    <t>3.13, Salt River Project, SF</t>
  </si>
  <si>
    <t>3.14, Salt River Project, AD</t>
  </si>
  <si>
    <t>3.15, Sand Ranch Windfarm, LLC, LU</t>
  </si>
  <si>
    <t>3.16, Seattle City Light, SF</t>
  </si>
  <si>
    <t>3.17, Shell Energy North America (US), L.P., SF</t>
  </si>
  <si>
    <t>Shiloh Warm Springs Ranch, LLC</t>
  </si>
  <si>
    <t>3.18, Shiloh Warm Springs Ranch, LLC, LU</t>
  </si>
  <si>
    <t>3.19, Sierra Pacific Power Company, SF</t>
  </si>
  <si>
    <t>3.2, Sigurd Solar LLC, LU</t>
  </si>
  <si>
    <t>3.21, Simplot Phosphates LLC, LU</t>
  </si>
  <si>
    <t>3.22, Solwatt, LLC, LU</t>
  </si>
  <si>
    <t>3.23, Southern California Edison Company, SF</t>
  </si>
  <si>
    <t>3.24, Spanish Fork Wind Park 2, LLC, LU</t>
  </si>
  <si>
    <t>3.25, Sprague Hydro LLC, LU</t>
  </si>
  <si>
    <t>3.26, St. Anthony Hydro, LLC, LU</t>
  </si>
  <si>
    <t>3.27, St. Anthony Hydro, LLC, AD</t>
  </si>
  <si>
    <t>3.28, Stahlbush Island Farms, Inc., IU</t>
  </si>
  <si>
    <t>3.29, SunE DB18, LLC, LU</t>
  </si>
  <si>
    <t>3.3, SunE DB24, LLC, LU</t>
  </si>
  <si>
    <t>3.31, SunE Solar XVII Project1, LLC, LU</t>
  </si>
  <si>
    <t>3.32, SunE Solar XVII Project2, LLC, LU</t>
  </si>
  <si>
    <t>3.33, SunE Solar XVII Project3, LLC, LU</t>
  </si>
  <si>
    <t>3.34, Sunny Bar Ranch LLLP, LU</t>
  </si>
  <si>
    <t>3.35, Sunnyside Cogeneration Associates, LU</t>
  </si>
  <si>
    <t>Surprise Valley Electrification Corp</t>
  </si>
  <si>
    <t>3.36, Surprise Valley Electrification Corp, AD</t>
  </si>
  <si>
    <t>3.37, Swalley Irrigation District, LU</t>
  </si>
  <si>
    <t>3.38, Sweetwater Solar LLC, LU</t>
  </si>
  <si>
    <t>3.39, Tacoma Power, SF</t>
  </si>
  <si>
    <t>3.4, Tacoma Power, SF</t>
  </si>
  <si>
    <t>3.41, Tata Chemicals (Soda Ash) Partners, LU</t>
  </si>
  <si>
    <t>3.42, Tenaska Power Services Co., SF</t>
  </si>
  <si>
    <t>3.43, Tesoro Refining &amp; Marketing Company, LLC, LU</t>
  </si>
  <si>
    <t>3.44, Thayn Hydro LLC, LU</t>
  </si>
  <si>
    <t>3.45, The Energy Authority, Inc., SF</t>
  </si>
  <si>
    <t>3.46, Three Buttes Windpower, LLC, LU</t>
  </si>
  <si>
    <t>3.47, Three Peaks Power, LLC, LU</t>
  </si>
  <si>
    <t>3.48, Three Sisters Irrigation District, LU</t>
  </si>
  <si>
    <t>3.49, Threemile Canyon Wind I, LLC, LU</t>
  </si>
  <si>
    <t>3.5, TMF Biofuels, LLC, LU</t>
  </si>
  <si>
    <t>3.51, Tooele Army Depot, LU</t>
  </si>
  <si>
    <t>3.52, Top of the World Wind Energy LLC, LU</t>
  </si>
  <si>
    <t>3.53, Top of the World Wind Energy LLC, AD</t>
  </si>
  <si>
    <t>3.54, TransAlta Energy Marketing (U.S.) Inc., SF</t>
  </si>
  <si>
    <t>TransCada Energy Sales Ltd.</t>
  </si>
  <si>
    <t>3.55, TransCada Energy Sales Ltd., SF</t>
  </si>
  <si>
    <t>3.56, Tri-State Generation and Transmission Association, Inc., SF</t>
  </si>
  <si>
    <t>3.57, Tucson Electric Power Company, SF</t>
  </si>
  <si>
    <t>3.58, Tumbleweed Solar LLC, LU</t>
  </si>
  <si>
    <t>3.59, Turlock Irrigation District, SF</t>
  </si>
  <si>
    <t>U.S. Department of the Interior - Bureau of Land Magement</t>
  </si>
  <si>
    <t>3.6, U.S. Department of the Interior - Bureau of Land Magement, LU</t>
  </si>
  <si>
    <t>3.61, Uniper Global Commodities, SF</t>
  </si>
  <si>
    <t>3.62, United States Air Force at Hill Air Force Base, LU</t>
  </si>
  <si>
    <t>3.63, UNS Electric, Inc., SF</t>
  </si>
  <si>
    <t>3.64, US Magnesium LLC, LU</t>
  </si>
  <si>
    <t>3.65, Utah Associated Municipal Power Systems, LF</t>
  </si>
  <si>
    <t>3.66, Utah Associated Municipal Power Systems, SF</t>
  </si>
  <si>
    <t>3.67, Utah Municipal Power Agency, SF</t>
  </si>
  <si>
    <t>3.68, Utah Red Hills Renewable Park, LLC, LU</t>
  </si>
  <si>
    <t>3.69, Utah Retail Solar customers, LU</t>
  </si>
  <si>
    <t>3.7, Utah Retail Solar customers, AD</t>
  </si>
  <si>
    <t>3.71, Vitol Inc., SF</t>
  </si>
  <si>
    <t>3.72, Wagon Trail, LLC, LU</t>
  </si>
  <si>
    <t>3.73, Ward Butte Windfarm, LLC, LU</t>
  </si>
  <si>
    <t>3.74, Weber County, LU</t>
  </si>
  <si>
    <t>3.75, Wolverine Creek Energy, LLC, LU</t>
  </si>
  <si>
    <t>3.76, Woodline Solar, LLC, IU</t>
  </si>
  <si>
    <t>3.77, Yakima-Tieton Irrigation District, LU</t>
  </si>
  <si>
    <t>3.78, Western Area Power Administration, SF</t>
  </si>
  <si>
    <t>3.79, Western Area Power Administration, LF</t>
  </si>
  <si>
    <t>3.8, Liquidated Damages, OS</t>
  </si>
  <si>
    <t>CA Greenhouse Gas Allowances Purchases</t>
  </si>
  <si>
    <t xml:space="preserve">3.81, CA Greenhouse Gas Allowances Purchases, </t>
  </si>
  <si>
    <t xml:space="preserve">3.82, Net Power Cost Deferrals, </t>
  </si>
  <si>
    <t xml:space="preserve">3.83, Netting - Bookouts, </t>
  </si>
  <si>
    <t xml:space="preserve">3.84, Netting - Trading, </t>
  </si>
  <si>
    <t xml:space="preserve">3.85, System Deviation, </t>
  </si>
  <si>
    <t xml:space="preserve">3.86, Accrual, </t>
  </si>
  <si>
    <t xml:space="preserve">3.87, , </t>
  </si>
  <si>
    <t xml:space="preserve">3.88, Power Exchanges:, </t>
  </si>
  <si>
    <t>3.89, Arizona Public Service Company, EX</t>
  </si>
  <si>
    <t>3.9, Avista Corporation, EX</t>
  </si>
  <si>
    <t>3.91, Bonneville Power Administration, EX</t>
  </si>
  <si>
    <t>3.92, Bonneville Power Administration, EX</t>
  </si>
  <si>
    <t>3.93, California Independent System Operator Corporation, EX</t>
  </si>
  <si>
    <t>3.94, California Independent System Operator Corporation, AD</t>
  </si>
  <si>
    <t>3.95, California Independent System Operator Corporation, EX</t>
  </si>
  <si>
    <t>3.96, California Independent System Operator Corporation, AD</t>
  </si>
  <si>
    <t>3.97, Emerald People's Utility District, EX</t>
  </si>
  <si>
    <t>3.98, Idaho Power Company, EX</t>
  </si>
  <si>
    <t>3.99, Idaho Power Company, EX</t>
  </si>
  <si>
    <t>4, Los Angeles Department of Water and Power, EX</t>
  </si>
  <si>
    <t>4.01, Los Angeles Department of Water and Power, AD</t>
  </si>
  <si>
    <t>4.02, Milford Wind Corridor Phase I, LLC, EX</t>
  </si>
  <si>
    <t>4.03, Milford Wind Corridor Phase I, LLC, AD</t>
  </si>
  <si>
    <t>4.04, Milford Wind Corridor Phase II, LLC, EX</t>
  </si>
  <si>
    <t>4.05, Milford Wind Corridor Phase II, LLC, AD</t>
  </si>
  <si>
    <t>4.06, NorthWestern Corporation, EX</t>
  </si>
  <si>
    <t>4.07, Portland General Electric Company, EX</t>
  </si>
  <si>
    <t>334</t>
  </si>
  <si>
    <t>4.08, Public Service Company of Colorado, EX</t>
  </si>
  <si>
    <t>4.09, Public Service Company of Colorado, AD</t>
  </si>
  <si>
    <t>4.1, Public Utility District No. 1 of Cowlitz County, EX</t>
  </si>
  <si>
    <t>4.11, Seattle City Light, EX</t>
  </si>
  <si>
    <t>4.12, Western Area Power Administration, EX</t>
  </si>
  <si>
    <t>4.13, Western Area Power Administration, AD</t>
  </si>
  <si>
    <t>4.14, Imbalance Energy Accrual, EX</t>
  </si>
  <si>
    <t>4.15, Imbalance Energy Accrual, AD</t>
  </si>
  <si>
    <t xml:space="preserve">4.16, , </t>
  </si>
  <si>
    <t xml:space="preserve">4.17, , </t>
  </si>
  <si>
    <t xml:space="preserve">4.18, , </t>
  </si>
  <si>
    <t xml:space="preserve">4.19, , </t>
  </si>
  <si>
    <t xml:space="preserve">4.2, , </t>
  </si>
  <si>
    <t xml:space="preserve">4.21, , </t>
  </si>
  <si>
    <t xml:space="preserve">4.22, , </t>
  </si>
  <si>
    <t xml:space="preserve">4.23, , </t>
  </si>
  <si>
    <t xml:space="preserve">4.24, , </t>
  </si>
  <si>
    <t xml:space="preserve">4.25, , </t>
  </si>
  <si>
    <t xml:space="preserve">4.26, , </t>
  </si>
  <si>
    <t xml:space="preserve">4.27, , </t>
  </si>
  <si>
    <t xml:space="preserve">4.28, , </t>
  </si>
  <si>
    <t xml:space="preserve">4.29, , </t>
  </si>
  <si>
    <t xml:space="preserve">4.3, , </t>
  </si>
  <si>
    <t xml:space="preserve">4.31, , </t>
  </si>
  <si>
    <t xml:space="preserve">4.32, , </t>
  </si>
  <si>
    <t>REF</t>
  </si>
  <si>
    <t>SUMMARY FACTORS</t>
  </si>
  <si>
    <t>TOT SALES</t>
  </si>
  <si>
    <t>Allocated Amounts</t>
  </si>
  <si>
    <t>Allocated Factors</t>
  </si>
  <si>
    <t>FF1</t>
  </si>
  <si>
    <t>32*</t>
  </si>
  <si>
    <t>Estimated Cash Working Capital Not Included Above</t>
  </si>
  <si>
    <t>Total + Estimated Cash Working Capital</t>
  </si>
  <si>
    <t>Jurisdictional Amounts</t>
  </si>
  <si>
    <t>Allocation Factors</t>
  </si>
  <si>
    <t>WKSHT INPUT</t>
  </si>
  <si>
    <t>909-910</t>
  </si>
  <si>
    <t>AMORT EXP JURISDICTION SPLITS NOT USED - INTANGIBLE PLANT</t>
  </si>
  <si>
    <t>RATIOS USED FOR STATE ALLOCATION AND FUNCTIONALIZATION</t>
  </si>
  <si>
    <t>Limited Term Electric Plant Amortization Expense Details:</t>
  </si>
  <si>
    <t>Hydraulic Plant-Conventional - LimTerm</t>
  </si>
  <si>
    <t>General Plant - Lim Term</t>
  </si>
  <si>
    <t>Other Production Plant - Lim Term</t>
  </si>
  <si>
    <t>Total to Row 85 above</t>
  </si>
  <si>
    <t>B-TABS INDEX</t>
  </si>
  <si>
    <t>B-tabs are total system year end financial data by state regulatory jurisdiction</t>
  </si>
  <si>
    <t>Used for allocating FORM 1 data to the three PNW states.</t>
  </si>
  <si>
    <t>B1-Revenues</t>
  </si>
  <si>
    <t>B2-O&amp;M</t>
  </si>
  <si>
    <t>B3-Depreciation Exp</t>
  </si>
  <si>
    <t>B4-Amortization Exp</t>
  </si>
  <si>
    <t>B5-Taxes Other</t>
  </si>
  <si>
    <t>B6-Interest &amp; RETC</t>
  </si>
  <si>
    <t>B6a-Schd Ms</t>
  </si>
  <si>
    <t>B7-Deferred Income Taxes</t>
  </si>
  <si>
    <t>B8-Electric Plant in Service</t>
  </si>
  <si>
    <t>B9-Capital Leases</t>
  </si>
  <si>
    <t>B10-PHFU</t>
  </si>
  <si>
    <t>B11-Deferred Debits</t>
  </si>
  <si>
    <t>B13-Materials &amp; Supplies</t>
  </si>
  <si>
    <t>B14-CWC</t>
  </si>
  <si>
    <t>B15-Misc Rate Base</t>
  </si>
  <si>
    <t>B16-Reg Assets</t>
  </si>
  <si>
    <t>B17-Depreciation Reserve</t>
  </si>
  <si>
    <t>B18-Amortization Reserve</t>
  </si>
  <si>
    <t>B19-Def Income Tax Bal</t>
  </si>
  <si>
    <t>B19a-ITC Balance</t>
  </si>
  <si>
    <t>B20-Customer Advn</t>
  </si>
  <si>
    <t>Q4 CY 2023 DEPR ADJ DUE TO LATE SETTLEMENTS; Account gets zero'd out in Jan 2024</t>
  </si>
  <si>
    <t>PNW Jurisdictional %</t>
  </si>
  <si>
    <t>Natural Gas</t>
  </si>
  <si>
    <t>Geo-Therm</t>
  </si>
  <si>
    <t>Form 1 LF</t>
  </si>
  <si>
    <t>Form 1 SF</t>
  </si>
  <si>
    <t>NG</t>
  </si>
  <si>
    <t>GT</t>
  </si>
  <si>
    <t>COAL</t>
  </si>
  <si>
    <t>Hermiston, Gadsby, Currant, Lake Side &amp; Chehalis</t>
  </si>
  <si>
    <t>Cholla, Colstrip, Craig &amp; Hunter 2&amp;3</t>
  </si>
  <si>
    <t>Hunter No. 2</t>
  </si>
  <si>
    <t>Hunter No. 3</t>
  </si>
  <si>
    <t>Lake Side No. 2</t>
  </si>
  <si>
    <t xml:space="preserve"> When Not Limited by Condenser Water</t>
  </si>
  <si>
    <t xml:space="preserve"> When Limited by Condenser Water</t>
  </si>
  <si>
    <t xml:space="preserve"> Structures and Improvements</t>
  </si>
  <si>
    <t xml:space="preserve"> Equipment Costs</t>
  </si>
  <si>
    <t xml:space="preserve">  Asset Retirement Costs</t>
  </si>
  <si>
    <t xml:space="preserve">  Total Cost</t>
  </si>
  <si>
    <t xml:space="preserve"> Fuel</t>
  </si>
  <si>
    <t xml:space="preserve"> Coolants and Water (Nuclear Plants Only)</t>
  </si>
  <si>
    <t xml:space="preserve"> Steam Expenses</t>
  </si>
  <si>
    <t xml:space="preserve"> Steam From Other Sources</t>
  </si>
  <si>
    <t xml:space="preserve"> Steam Transferred (Cr)</t>
  </si>
  <si>
    <t xml:space="preserve"> Electric Expenses</t>
  </si>
  <si>
    <t xml:space="preserve"> Misc Steam (or Nuclear) Power Expenses</t>
  </si>
  <si>
    <t xml:space="preserve"> Rents</t>
  </si>
  <si>
    <t xml:space="preserve"> Allowances</t>
  </si>
  <si>
    <t xml:space="preserve"> Maintenance Supervision and Engineering</t>
  </si>
  <si>
    <t xml:space="preserve"> Maintenance of Structures</t>
  </si>
  <si>
    <t xml:space="preserve"> Maintenance of Boiler (or reactor) Plant</t>
  </si>
  <si>
    <t xml:space="preserve"> Maintenance of Electric Plant</t>
  </si>
  <si>
    <t xml:space="preserve"> Maintenance of Misc Steam (or Nuclear) Plant</t>
  </si>
  <si>
    <t xml:space="preserve">  Total Production Expenses</t>
  </si>
  <si>
    <t xml:space="preserve">  Expenses per Net KWh</t>
  </si>
  <si>
    <t>Total Gross Plant In Service</t>
  </si>
  <si>
    <t>Total Acc. Depreciation</t>
  </si>
  <si>
    <t>Net Plant In Service</t>
  </si>
  <si>
    <t>Total O&amp;M Expense</t>
  </si>
  <si>
    <t>Hunter No.2</t>
  </si>
  <si>
    <t>Hunter No.3</t>
  </si>
  <si>
    <t>Note:  Depreciation based on 30 year schedule per PacifiCorp's 2018 Depreciation Study.</t>
  </si>
  <si>
    <t>(Base Year -  Year In-Service) / 30 = -Percent Depreciated * Gross Plant In-Service</t>
  </si>
  <si>
    <t>All Maintenance Expense entered in Maintenance of Electric Plant</t>
  </si>
  <si>
    <t>PacifiCorp 2018 Line Loss Study</t>
  </si>
  <si>
    <t>Voltage</t>
  </si>
  <si>
    <t>Demand (kW)</t>
  </si>
  <si>
    <t>PNW Distribution Loss</t>
  </si>
  <si>
    <t>Total BPA Eligible Retail Load @ Meter</t>
  </si>
  <si>
    <t>Total Retail Load (OR,WA, ID) at meter</t>
  </si>
  <si>
    <t>BPA Eligible Retail Load by Month</t>
  </si>
  <si>
    <t>Pro-ration: Oct to Dec</t>
  </si>
  <si>
    <t>Pro-ration: Jan to Sep</t>
  </si>
  <si>
    <t xml:space="preserve"> Weighted Cost of Capital from Most Recent State Commission Rate Order in OREGON (UE-399, ORDER NO 22-491):</t>
  </si>
  <si>
    <t xml:space="preserve"> Weighted Cost of Capital from Most Recent State Commission Rate Order in WASHINGTON (UE-191024; ORDER 09 / 07 / 12):</t>
  </si>
  <si>
    <t xml:space="preserve"> Weighted Cost of Capital from Most Recent State Commission Rate Order in IDAHO (PAC-E-21-07; ORDER NO 35277):</t>
  </si>
  <si>
    <t>Amount in 407.4 is jurisdictional allocated to CA &amp; UT so balance does not factor for ASC</t>
  </si>
  <si>
    <t>direct</t>
  </si>
  <si>
    <t>prod</t>
  </si>
  <si>
    <t>Labor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</si>
</sst>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6">
    <numFmt numFmtId="5" formatCode="&quot;$&quot;#,##0_);\(&quot;$&quot;#,##0\)"/>
    <numFmt numFmtId="6" formatCode="&quot;$&quot;#,##0_);[Red]\(&quot;$&quot;#,##0\)"/>
    <numFmt numFmtId="8" formatCode="&quot;$&quot;#,##0.00_);[Red]\(&quot;$&quot;#,##0.0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0;[Red]\(#,##0\)"/>
    <numFmt numFmtId="165" formatCode="_(* #,##0_);_(* \(#,##0\);_(* &quot;-&quot;??_);_(@_)"/>
    <numFmt numFmtId="166" formatCode="0.0%"/>
    <numFmt numFmtId="167" formatCode="_(* #,##0.0_);_(* \(#,##0.0\);_(* &quot;-&quot;??_);_(@_)"/>
    <numFmt numFmtId="168" formatCode="0.000%"/>
    <numFmt numFmtId="169" formatCode="_(&quot;$&quot;* #,##0.0_);_(&quot;$&quot;* \(#,##0.0\);_(&quot;$&quot;* &quot;-&quot;??_);_(@_)"/>
    <numFmt numFmtId="170" formatCode="_(&quot;$&quot;* #,##0_);_(&quot;$&quot;* \(#,##0\);_(&quot;$&quot;* &quot;-&quot;??_);_(@_)"/>
    <numFmt numFmtId="171" formatCode="0.0"/>
    <numFmt numFmtId="172" formatCode="&quot;$&quot;#,##0"/>
    <numFmt numFmtId="173" formatCode="_(* #,##0.00000_);_(* \(#,##0.00000\);_(* &quot;-&quot;?????_);_(@_)"/>
    <numFmt numFmtId="174" formatCode="#,##0.00000_);[Red]\(#,##0.00000\)"/>
    <numFmt numFmtId="175" formatCode="0_);[Red]\(0\)"/>
    <numFmt numFmtId="176" formatCode="mm/dd/yy;@"/>
    <numFmt numFmtId="177" formatCode="&quot;$&quot;#,##0.0000_);[Red]\(&quot;$&quot;#,##0.0000\)"/>
    <numFmt numFmtId="178" formatCode="&quot;$&quot;#,##0.00000000000_);[Red]\(&quot;$&quot;#,##0.00000000000\)"/>
    <numFmt numFmtId="179" formatCode="m/d/yyyy;@"/>
    <numFmt numFmtId="180" formatCode="0.0000%"/>
    <numFmt numFmtId="181" formatCode="0.00000%"/>
    <numFmt numFmtId="182" formatCode="0.00000"/>
    <numFmt numFmtId="183" formatCode="#,##0.00000000_);[Red]\(#,##0.00000000\)"/>
    <numFmt numFmtId="184" formatCode="_(&quot;$&quot;* #,##0.000_);_(&quot;$&quot;* \(#,##0.000\);_(&quot;$&quot;* &quot;-&quot;??_);_(@_)"/>
    <numFmt numFmtId="185" formatCode="#,##0.0_);[Red]\(#,##0.0\)"/>
    <numFmt numFmtId="186" formatCode="dddd\,\ mmmm\ dd\,\ yyyy\ h:mm:ss\ AM/PM"/>
    <numFmt numFmtId="187" formatCode="&quot;$ &quot;#,##0.00;&quot;$ &quot;\(#,##0.00\);&quot;$ &quot;#,##0.00"/>
    <numFmt numFmtId="188" formatCode="###,000"/>
    <numFmt numFmtId="189" formatCode="#,##0;\(#,##0\);#,##0"/>
    <numFmt numFmtId="190" formatCode="0.0000"/>
    <numFmt numFmtId="191" formatCode="_([$$-409]* #,##0.0_);_([$$-409]* \(#,##0.0\);_([$$-409]* &quot;-&quot;??_);_(@_)"/>
    <numFmt numFmtId="192" formatCode="[$-409]mmm\-yy;@"/>
    <numFmt numFmtId="193" formatCode="mmmm\ d\,\ yyyy"/>
    <numFmt numFmtId="194" formatCode="#,##0;&quot;-&quot;#,##0;#,##0;_(@_)"/>
    <numFmt numFmtId="195" formatCode="* #,##0;* \(#,##0\);* &quot;—&quot;;_(@_)"/>
    <numFmt numFmtId="196" formatCode="* #,##0;* \(#,##0\);* &quot;-&quot;;_(@_)"/>
    <numFmt numFmtId="197" formatCode="###0;&quot;-&quot;###0;###0;_(@_)"/>
    <numFmt numFmtId="198" formatCode="* ###0;* \(###0\);* &quot;—&quot;;_(@_)"/>
    <numFmt numFmtId="199" formatCode="yyyy\-mm\-dd"/>
    <numFmt numFmtId="200" formatCode="* #,##0.00;* \(#,##0.00\);* &quot;—&quot;;_(@_)"/>
    <numFmt numFmtId="201" formatCode="#0;&quot;-&quot;#0;#0;_(@_)"/>
    <numFmt numFmtId="202" formatCode="#,##0.0;&quot;-&quot;#,##0.0;#,##0.0;_(@_)"/>
    <numFmt numFmtId="203" formatCode="* #,##0.0;* \(#,##0.0\);* &quot;—&quot;;_(@_)"/>
    <numFmt numFmtId="204" formatCode="###0;\(###0\);&quot;—&quot;;_(@_)"/>
    <numFmt numFmtId="205" formatCode="#0.#######################;&quot;-&quot;#0.#######################;#0.#######################;_(@_)"/>
    <numFmt numFmtId="206" formatCode="###0.#######################;&quot;-&quot;###0.#######################;###0.#######################;_(@_)"/>
    <numFmt numFmtId="207" formatCode="#0.0;&quot;-&quot;#0.0;#0.0;_(@_)"/>
    <numFmt numFmtId="208" formatCode="mm/dd/yyyy"/>
    <numFmt numFmtId="209" formatCode="mmm\ yyyy"/>
    <numFmt numFmtId="210" formatCode="###0.000;&quot;-&quot;###0.000;###0.000;_(@_)"/>
    <numFmt numFmtId="211" formatCode="* #,##0;* \(#,##0\);* #,##0;_(@_)"/>
    <numFmt numFmtId="212" formatCode="#,##0;\(#,##0\);&quot;—&quot;;_(@_)"/>
    <numFmt numFmtId="213" formatCode="###0.0;&quot;-&quot;###0.0;###0.0;_(@_)"/>
    <numFmt numFmtId="214" formatCode="&quot;$&quot;* #,##0_);&quot;$&quot;* \(#,##0\);&quot;$&quot;* &quot;—&quot;_);_(@_)"/>
    <numFmt numFmtId="215" formatCode="* #0;* \(#0\);* &quot;—&quot;;_(@_)"/>
    <numFmt numFmtId="216" formatCode="#,##0.000;&quot;-&quot;#,##0.000;#,##0.000;_(@_)"/>
    <numFmt numFmtId="217" formatCode="* #,##0.#######################;* \(#,##0.#######################\);* &quot;—&quot;;_(@_)"/>
    <numFmt numFmtId="218" formatCode="###0.00;&quot;-&quot;###0.00;###0.00;_(@_)"/>
    <numFmt numFmtId="219" formatCode="#,##0;&quot;-&quot;#,##0;&quot;—&quot;;_(@_)"/>
    <numFmt numFmtId="220" formatCode="#0.00;&quot;-&quot;#0.00;#0.00;_(@_)"/>
    <numFmt numFmtId="221" formatCode="* ###0;* \(###0\);* ###0;_(@_)"/>
    <numFmt numFmtId="222" formatCode="* #,##0;* &quot;-&quot;#,##0;* #,##0;_(@_)"/>
    <numFmt numFmtId="223" formatCode="#0_)%;\(#0\)%;&quot;—&quot;_)\%;_(@_)"/>
    <numFmt numFmtId="224" formatCode="#0;\(#0\);&quot;—&quot;;_(@_)"/>
    <numFmt numFmtId="225" formatCode="#,##0.0000;&quot;-&quot;#,##0.0000;#,##0.0000;_(@_)"/>
    <numFmt numFmtId="226" formatCode="#,##0.0000;\(#,##0.0000\);#,##0.0000;_(@_)"/>
    <numFmt numFmtId="227" formatCode="* #,##0.0000;* \(#,##0.0000\);* &quot;—&quot;;_(@_)"/>
    <numFmt numFmtId="228" formatCode="* #0;* \(#0\);* &quot;-&quot;;_(@_)"/>
    <numFmt numFmtId="229" formatCode="#0.000;&quot;-&quot;#0.000;#0.000;_(@_)"/>
    <numFmt numFmtId="230" formatCode="#,##0;\(#,##0\);#,##0;_(@_)"/>
    <numFmt numFmtId="231" formatCode="#,##0.00;&quot;-&quot;#,##0.00;#,##0.00;_(@_)"/>
    <numFmt numFmtId="232" formatCode="#0.00_)%;\(#0.00\)%;&quot;—&quot;_)\%;_(@_)"/>
    <numFmt numFmtId="233" formatCode="#,##0.#######################;&quot;-&quot;#,##0.#######################;#,##0.#######################;_(@_)"/>
    <numFmt numFmtId="234" formatCode="#,##0.000;\(#,##0.000\);&quot;—&quot;;_(@_)"/>
    <numFmt numFmtId="235" formatCode="* ###0;* \(###0\);* &quot;-&quot;;_(@_)"/>
    <numFmt numFmtId="236" formatCode="* ###0.000;* \(###0.000\);* &quot;—&quot;;_(@_)"/>
    <numFmt numFmtId="237" formatCode="* ###0.000;* \(###0.000\);* &quot;-&quot;;_(@_)"/>
    <numFmt numFmtId="238" formatCode="* #,##0.000;* \(#,##0.000\);* &quot;—&quot;;_(@_)"/>
    <numFmt numFmtId="239" formatCode="#0;&quot;-&quot;#0;&quot;—&quot;;_(@_)"/>
    <numFmt numFmtId="240" formatCode="#,##0;\(#,##0\);&quot;-&quot;;_(@_)"/>
    <numFmt numFmtId="241" formatCode="#,##0.0000_);[Red]\(#,##0.0000\)"/>
    <numFmt numFmtId="242" formatCode="0.000"/>
  </numFmts>
  <fonts count="289" x14ac:knownFonts="1">
    <font>
      <sz val="12"/>
      <name val="Times New Roman"/>
    </font>
    <font>
      <sz val="12"/>
      <name val="Times New Roman"/>
      <family val="1"/>
    </font>
    <font>
      <sz val="10"/>
      <name val="Helv"/>
    </font>
    <font>
      <sz val="10"/>
      <name val="Arial"/>
      <family val="2"/>
    </font>
    <font>
      <sz val="12"/>
      <name val="Times New Roman"/>
      <family val="1"/>
    </font>
    <font>
      <sz val="10"/>
      <name val="Times New Roman"/>
      <family val="1"/>
    </font>
    <font>
      <b/>
      <sz val="12"/>
      <name val="Times New Roman"/>
      <family val="1"/>
    </font>
    <font>
      <b/>
      <sz val="12"/>
      <color indexed="12"/>
      <name val="Times New Roman"/>
      <family val="1"/>
    </font>
    <font>
      <b/>
      <i/>
      <u/>
      <sz val="12"/>
      <name val="Times New Roman"/>
      <family val="1"/>
    </font>
    <font>
      <b/>
      <i/>
      <u/>
      <sz val="12"/>
      <color indexed="10"/>
      <name val="Times New Roman"/>
      <family val="1"/>
    </font>
    <font>
      <sz val="8"/>
      <name val="Times New Roman"/>
      <family val="1"/>
    </font>
    <font>
      <sz val="10"/>
      <color indexed="12"/>
      <name val="Times New Roman"/>
      <family val="1"/>
    </font>
    <font>
      <sz val="8"/>
      <color indexed="12"/>
      <name val="Times New Roman"/>
      <family val="1"/>
    </font>
    <font>
      <sz val="12"/>
      <color indexed="12"/>
      <name val="Times New Roman"/>
      <family val="1"/>
    </font>
    <font>
      <b/>
      <sz val="14"/>
      <name val="Times New Roman"/>
      <family val="1"/>
    </font>
    <font>
      <sz val="10"/>
      <color indexed="8"/>
      <name val="Times New Roman"/>
      <family val="1"/>
    </font>
    <font>
      <sz val="8"/>
      <color indexed="8"/>
      <name val="Times New Roman"/>
      <family val="1"/>
    </font>
    <font>
      <b/>
      <sz val="8"/>
      <color indexed="8"/>
      <name val="Times New Roman"/>
      <family val="1"/>
    </font>
    <font>
      <b/>
      <sz val="8"/>
      <color indexed="12"/>
      <name val="Times New Roman"/>
      <family val="1"/>
    </font>
    <font>
      <sz val="8"/>
      <color indexed="10"/>
      <name val="Times New Roman"/>
      <family val="1"/>
    </font>
    <font>
      <sz val="12"/>
      <color indexed="8"/>
      <name val="Times New Roman"/>
      <family val="1"/>
    </font>
    <font>
      <b/>
      <sz val="10"/>
      <color indexed="12"/>
      <name val="Times New Roman"/>
      <family val="1"/>
    </font>
    <font>
      <sz val="10"/>
      <name val="Garamond"/>
      <family val="1"/>
    </font>
    <font>
      <sz val="10"/>
      <color indexed="48"/>
      <name val="Times New Roman"/>
      <family val="1"/>
    </font>
    <font>
      <b/>
      <i/>
      <u/>
      <sz val="10"/>
      <color indexed="48"/>
      <name val="Times New Roman"/>
      <family val="1"/>
    </font>
    <font>
      <b/>
      <sz val="10"/>
      <name val="Garamond"/>
      <family val="1"/>
    </font>
    <font>
      <b/>
      <i/>
      <u/>
      <sz val="14"/>
      <color indexed="10"/>
      <name val="Times New Roman"/>
      <family val="1"/>
    </font>
    <font>
      <sz val="11"/>
      <color indexed="12"/>
      <name val="Times New Roman"/>
      <family val="1"/>
    </font>
    <font>
      <b/>
      <sz val="11"/>
      <color indexed="12"/>
      <name val="Times New Roman"/>
      <family val="1"/>
    </font>
    <font>
      <b/>
      <u/>
      <sz val="12"/>
      <color indexed="12"/>
      <name val="Times New Roman"/>
      <family val="1"/>
    </font>
    <font>
      <b/>
      <u/>
      <sz val="8"/>
      <color indexed="12"/>
      <name val="Times New Roman"/>
      <family val="1"/>
    </font>
    <font>
      <b/>
      <u/>
      <sz val="10"/>
      <color indexed="12"/>
      <name val="Times New Roman"/>
      <family val="1"/>
    </font>
    <font>
      <i/>
      <sz val="10"/>
      <color indexed="12"/>
      <name val="Times New Roman"/>
      <family val="1"/>
    </font>
    <font>
      <b/>
      <sz val="14"/>
      <color indexed="12"/>
      <name val="Times New Roman"/>
      <family val="1"/>
    </font>
    <font>
      <b/>
      <i/>
      <sz val="12"/>
      <color indexed="12"/>
      <name val="Times New Roman"/>
      <family val="1"/>
    </font>
    <font>
      <b/>
      <i/>
      <u/>
      <sz val="12"/>
      <color indexed="12"/>
      <name val="Times New Roman"/>
      <family val="1"/>
    </font>
    <font>
      <i/>
      <sz val="8"/>
      <color indexed="12"/>
      <name val="Times New Roman"/>
      <family val="1"/>
    </font>
    <font>
      <sz val="14"/>
      <name val="Times New Roman"/>
      <family val="1"/>
    </font>
    <font>
      <b/>
      <i/>
      <sz val="10"/>
      <color indexed="12"/>
      <name val="Times New Roman"/>
      <family val="1"/>
    </font>
    <font>
      <b/>
      <i/>
      <u/>
      <sz val="8"/>
      <color indexed="12"/>
      <name val="Times New Roman"/>
      <family val="1"/>
    </font>
    <font>
      <i/>
      <sz val="12"/>
      <color indexed="12"/>
      <name val="Times New Roman"/>
      <family val="1"/>
    </font>
    <font>
      <sz val="12"/>
      <color indexed="12"/>
      <name val="Times New Roman"/>
      <family val="1"/>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sz val="12"/>
      <color indexed="10"/>
      <name val="Times New Roman"/>
      <family val="1"/>
    </font>
    <font>
      <sz val="10"/>
      <color indexed="56"/>
      <name val="Times New Roman"/>
      <family val="1"/>
    </font>
    <font>
      <b/>
      <sz val="10"/>
      <color indexed="10"/>
      <name val="Times New Roman"/>
      <family val="1"/>
    </font>
    <font>
      <b/>
      <sz val="12"/>
      <color indexed="62"/>
      <name val="Times New Roman"/>
      <family val="1"/>
    </font>
    <font>
      <sz val="12"/>
      <color indexed="62"/>
      <name val="Times New Roman"/>
      <family val="1"/>
    </font>
    <font>
      <b/>
      <i/>
      <u/>
      <sz val="12"/>
      <color indexed="62"/>
      <name val="Times New Roman"/>
      <family val="1"/>
    </font>
    <font>
      <b/>
      <sz val="14"/>
      <color indexed="62"/>
      <name val="Times New Roman"/>
      <family val="1"/>
    </font>
    <font>
      <i/>
      <sz val="12"/>
      <color indexed="62"/>
      <name val="Times New Roman"/>
      <family val="1"/>
    </font>
    <font>
      <b/>
      <sz val="11"/>
      <color indexed="10"/>
      <name val="Times New Roman"/>
      <family val="1"/>
    </font>
    <font>
      <sz val="11"/>
      <color indexed="62"/>
      <name val="Times New Roman"/>
      <family val="1"/>
    </font>
    <font>
      <b/>
      <sz val="11"/>
      <color indexed="62"/>
      <name val="Times New Roman"/>
      <family val="1"/>
    </font>
    <font>
      <sz val="10"/>
      <color indexed="62"/>
      <name val="Times New Roman"/>
      <family val="1"/>
    </font>
    <font>
      <b/>
      <sz val="11"/>
      <color indexed="57"/>
      <name val="Arial"/>
      <family val="2"/>
    </font>
    <font>
      <sz val="12"/>
      <color indexed="10"/>
      <name val="Times New Roman"/>
      <family val="1"/>
    </font>
    <font>
      <sz val="10"/>
      <name val="Arial"/>
      <family val="2"/>
    </font>
    <font>
      <sz val="8"/>
      <name val="Arial"/>
      <family val="2"/>
    </font>
    <font>
      <b/>
      <sz val="10"/>
      <name val="Arial"/>
      <family val="2"/>
    </font>
    <font>
      <b/>
      <sz val="12"/>
      <color indexed="57"/>
      <name val="Times New Roman"/>
      <family val="1"/>
    </font>
    <font>
      <b/>
      <sz val="10"/>
      <name val="Tahoma"/>
      <family val="2"/>
    </font>
    <font>
      <b/>
      <sz val="10"/>
      <color indexed="14"/>
      <name val="Tahoma"/>
      <family val="2"/>
    </font>
    <font>
      <sz val="10"/>
      <name val="Tahoma"/>
      <family val="2"/>
    </font>
    <font>
      <sz val="8"/>
      <color indexed="10"/>
      <name val="Tahoma"/>
      <family val="2"/>
    </font>
    <font>
      <sz val="10"/>
      <color indexed="10"/>
      <name val="Tahoma"/>
      <family val="2"/>
    </font>
    <font>
      <b/>
      <sz val="10"/>
      <color indexed="8"/>
      <name val="Tahoma"/>
      <family val="2"/>
    </font>
    <font>
      <sz val="8"/>
      <color indexed="8"/>
      <name val="Tahoma"/>
      <family val="2"/>
    </font>
    <font>
      <b/>
      <sz val="8"/>
      <color indexed="8"/>
      <name val="Tahoma"/>
      <family val="2"/>
    </font>
    <font>
      <b/>
      <sz val="9"/>
      <name val="Tahoma"/>
      <family val="2"/>
    </font>
    <font>
      <sz val="8"/>
      <name val="Tahoma"/>
      <family val="2"/>
    </font>
    <font>
      <sz val="8"/>
      <color indexed="12"/>
      <name val="Tahoma"/>
      <family val="2"/>
    </font>
    <font>
      <sz val="8"/>
      <color indexed="10"/>
      <name val="Garamond"/>
      <family val="1"/>
    </font>
    <font>
      <sz val="10"/>
      <color indexed="12"/>
      <name val="Tahoma"/>
      <family val="2"/>
    </font>
    <font>
      <sz val="10"/>
      <name val="Garamond"/>
      <family val="1"/>
    </font>
    <font>
      <sz val="10"/>
      <color indexed="8"/>
      <name val="Tahoma"/>
      <family val="2"/>
    </font>
    <font>
      <sz val="10"/>
      <color indexed="9"/>
      <name val="Tahoma"/>
      <family val="2"/>
    </font>
    <font>
      <b/>
      <sz val="9"/>
      <color indexed="8"/>
      <name val="Tahoma"/>
      <family val="2"/>
    </font>
    <font>
      <b/>
      <sz val="10"/>
      <color indexed="62"/>
      <name val="Times New Roman"/>
      <family val="1"/>
    </font>
    <font>
      <b/>
      <sz val="12"/>
      <color indexed="14"/>
      <name val="Times New Roman"/>
      <family val="1"/>
    </font>
    <font>
      <sz val="12"/>
      <color indexed="14"/>
      <name val="Times New Roman"/>
      <family val="1"/>
    </font>
    <font>
      <sz val="14"/>
      <color indexed="62"/>
      <name val="Times New Roman"/>
      <family val="1"/>
    </font>
    <font>
      <sz val="12"/>
      <color indexed="18"/>
      <name val="Times New Roman"/>
      <family val="1"/>
    </font>
    <font>
      <sz val="12"/>
      <name val="Arial"/>
      <family val="2"/>
    </font>
    <font>
      <sz val="10"/>
      <color indexed="62"/>
      <name val="Arial"/>
      <family val="2"/>
    </font>
    <font>
      <sz val="12"/>
      <color indexed="62"/>
      <name val="Arial"/>
      <family val="2"/>
    </font>
    <font>
      <b/>
      <sz val="16"/>
      <color indexed="10"/>
      <name val="Times New Roman"/>
      <family val="1"/>
    </font>
    <font>
      <sz val="16"/>
      <color indexed="10"/>
      <name val="Arial"/>
      <family val="2"/>
    </font>
    <font>
      <b/>
      <u val="double"/>
      <sz val="16"/>
      <color indexed="10"/>
      <name val="Times New Roman"/>
      <family val="1"/>
    </font>
    <font>
      <b/>
      <sz val="9"/>
      <color indexed="12"/>
      <name val="Times New Roman"/>
      <family val="1"/>
    </font>
    <font>
      <b/>
      <sz val="12"/>
      <color indexed="12"/>
      <name val="Times New Roman"/>
      <family val="1"/>
    </font>
    <font>
      <b/>
      <sz val="11"/>
      <color indexed="12"/>
      <name val="Times New Roman"/>
      <family val="1"/>
    </font>
    <font>
      <sz val="11"/>
      <color indexed="12"/>
      <name val="Times New Roman"/>
      <family val="1"/>
    </font>
    <font>
      <b/>
      <sz val="18"/>
      <color indexed="12"/>
      <name val="Times New Roman"/>
      <family val="1"/>
    </font>
    <font>
      <b/>
      <sz val="10"/>
      <color indexed="61"/>
      <name val="Times New Roman"/>
      <family val="1"/>
    </font>
    <font>
      <sz val="10"/>
      <color indexed="61"/>
      <name val="Arial"/>
      <family val="2"/>
    </font>
    <font>
      <sz val="10"/>
      <color indexed="61"/>
      <name val="Times New Roman"/>
      <family val="1"/>
    </font>
    <font>
      <sz val="12"/>
      <name val="Tahoma"/>
      <family val="2"/>
    </font>
    <font>
      <b/>
      <sz val="10"/>
      <color indexed="14"/>
      <name val="Arial"/>
      <family val="2"/>
    </font>
    <font>
      <b/>
      <sz val="12"/>
      <name val="Tahoma"/>
      <family val="2"/>
    </font>
    <font>
      <b/>
      <i/>
      <u/>
      <sz val="12"/>
      <color indexed="10"/>
      <name val="Tahoma"/>
      <family val="2"/>
    </font>
    <font>
      <sz val="12"/>
      <color indexed="12"/>
      <name val="Tahoma"/>
      <family val="2"/>
    </font>
    <font>
      <b/>
      <i/>
      <u/>
      <sz val="12"/>
      <name val="Tahoma"/>
      <family val="2"/>
    </font>
    <font>
      <sz val="12"/>
      <name val="Garamond"/>
      <family val="1"/>
    </font>
    <font>
      <b/>
      <sz val="12"/>
      <name val="Garamond"/>
      <family val="1"/>
    </font>
    <font>
      <b/>
      <u/>
      <sz val="12"/>
      <name val="Tahoma"/>
      <family val="2"/>
    </font>
    <font>
      <sz val="12"/>
      <color indexed="8"/>
      <name val="Tahoma"/>
      <family val="2"/>
    </font>
    <font>
      <b/>
      <u/>
      <sz val="12"/>
      <name val="Times New Roman"/>
      <family val="1"/>
    </font>
    <font>
      <sz val="10"/>
      <color indexed="12"/>
      <name val="Garamond"/>
      <family val="1"/>
    </font>
    <font>
      <b/>
      <i/>
      <u/>
      <sz val="12"/>
      <color indexed="48"/>
      <name val="Times New Roman"/>
      <family val="1"/>
    </font>
    <font>
      <sz val="12"/>
      <color indexed="48"/>
      <name val="Times New Roman"/>
      <family val="1"/>
    </font>
    <font>
      <i/>
      <sz val="12"/>
      <name val="Times New Roman"/>
      <family val="1"/>
    </font>
    <font>
      <sz val="10"/>
      <color indexed="12"/>
      <name val="Arial Narrow"/>
      <family val="2"/>
    </font>
    <font>
      <b/>
      <i/>
      <sz val="10"/>
      <color indexed="12"/>
      <name val="Arial Narrow"/>
      <family val="2"/>
    </font>
    <font>
      <b/>
      <sz val="12"/>
      <color indexed="8"/>
      <name val="Times New Roman"/>
      <family val="1"/>
    </font>
    <font>
      <b/>
      <sz val="10"/>
      <name val="Times New Roman"/>
      <family val="1"/>
    </font>
    <font>
      <b/>
      <sz val="10"/>
      <color indexed="17"/>
      <name val="Times New Roman"/>
      <family val="1"/>
    </font>
    <font>
      <b/>
      <sz val="12"/>
      <color indexed="12"/>
      <name val="Tahoma"/>
      <family val="2"/>
    </font>
    <font>
      <b/>
      <sz val="12"/>
      <color indexed="14"/>
      <name val="Tahoma"/>
      <family val="2"/>
    </font>
    <font>
      <b/>
      <sz val="8"/>
      <color indexed="10"/>
      <name val="Tahoma"/>
      <family val="2"/>
    </font>
    <font>
      <sz val="12"/>
      <color indexed="48"/>
      <name val="Tahoma"/>
      <family val="2"/>
    </font>
    <font>
      <sz val="11"/>
      <name val="Tahoma"/>
      <family val="2"/>
    </font>
    <font>
      <sz val="10"/>
      <color indexed="14"/>
      <name val="Tahoma"/>
      <family val="2"/>
    </font>
    <font>
      <sz val="12"/>
      <color indexed="10"/>
      <name val="Tahoma"/>
      <family val="2"/>
    </font>
    <font>
      <sz val="11"/>
      <name val="Times New Roman"/>
      <family val="1"/>
    </font>
    <font>
      <b/>
      <sz val="11"/>
      <name val="Times New Roman"/>
      <family val="1"/>
    </font>
    <font>
      <b/>
      <sz val="11"/>
      <color indexed="18"/>
      <name val="Times New Roman"/>
      <family val="1"/>
    </font>
    <font>
      <b/>
      <u/>
      <sz val="11"/>
      <color indexed="12"/>
      <name val="Wingdings"/>
      <charset val="2"/>
    </font>
    <font>
      <sz val="8"/>
      <name val="Times New Roman"/>
      <family val="1"/>
    </font>
    <font>
      <b/>
      <u/>
      <sz val="14"/>
      <color indexed="61"/>
      <name val="Rockwell"/>
      <family val="1"/>
    </font>
    <font>
      <b/>
      <sz val="14"/>
      <color indexed="61"/>
      <name val="Rockwell"/>
      <family val="1"/>
    </font>
    <font>
      <b/>
      <sz val="12"/>
      <color indexed="61"/>
      <name val="Times New Roman"/>
      <family val="1"/>
    </font>
    <font>
      <b/>
      <sz val="12"/>
      <color indexed="12"/>
      <name val="System"/>
      <family val="2"/>
    </font>
    <font>
      <sz val="12"/>
      <color indexed="9"/>
      <name val="Times New Roman"/>
      <family val="1"/>
    </font>
    <font>
      <u/>
      <sz val="10"/>
      <name val="Arial"/>
      <family val="2"/>
    </font>
    <font>
      <sz val="12"/>
      <name val="Times New Roman"/>
      <family val="1"/>
    </font>
    <font>
      <sz val="10"/>
      <color indexed="10"/>
      <name val="Times New Roman"/>
      <family val="1"/>
    </font>
    <font>
      <b/>
      <u/>
      <sz val="12"/>
      <color indexed="12"/>
      <name val="Wingdings"/>
      <charset val="2"/>
    </font>
    <font>
      <b/>
      <sz val="12"/>
      <color indexed="12"/>
      <name val="Arial"/>
      <family val="2"/>
    </font>
    <font>
      <b/>
      <u/>
      <sz val="14"/>
      <color indexed="61"/>
      <name val="Arial"/>
      <family val="2"/>
    </font>
    <font>
      <b/>
      <u/>
      <sz val="12"/>
      <color indexed="61"/>
      <name val="Arial"/>
      <family val="2"/>
    </font>
    <font>
      <sz val="14"/>
      <name val="Times New Roman"/>
      <family val="1"/>
    </font>
    <font>
      <b/>
      <u/>
      <sz val="12"/>
      <color indexed="9"/>
      <name val="Arial"/>
      <family val="2"/>
    </font>
    <font>
      <sz val="8"/>
      <color indexed="81"/>
      <name val="Tahoma"/>
      <family val="2"/>
    </font>
    <font>
      <b/>
      <sz val="8"/>
      <color indexed="81"/>
      <name val="Tahoma"/>
      <family val="2"/>
    </font>
    <font>
      <sz val="10"/>
      <name val="Times New Roman"/>
      <family val="1"/>
    </font>
    <font>
      <b/>
      <sz val="9"/>
      <color indexed="81"/>
      <name val="Tahoma"/>
      <family val="2"/>
    </font>
    <font>
      <sz val="9"/>
      <color indexed="81"/>
      <name val="Tahoma"/>
      <family val="2"/>
    </font>
    <font>
      <sz val="12"/>
      <color rgb="FF0000FF"/>
      <name val="Times New Roman"/>
      <family val="1"/>
    </font>
    <font>
      <sz val="10"/>
      <color rgb="FF0000FF"/>
      <name val="Arial"/>
      <family val="2"/>
    </font>
    <font>
      <b/>
      <sz val="16"/>
      <color indexed="62"/>
      <name val="Times New Roman"/>
      <family val="1"/>
    </font>
    <font>
      <sz val="12"/>
      <color rgb="FF333399"/>
      <name val="Times New Roman"/>
      <family val="1"/>
    </font>
    <font>
      <sz val="10"/>
      <color rgb="FFFF0000"/>
      <name val="Times New Roman"/>
      <family val="1"/>
    </font>
    <font>
      <sz val="12"/>
      <color rgb="FFFF0000"/>
      <name val="Times New Roman"/>
      <family val="1"/>
    </font>
    <font>
      <b/>
      <sz val="14"/>
      <color rgb="FFFF0000"/>
      <name val="Times New Roman"/>
      <family val="1"/>
    </font>
    <font>
      <u/>
      <sz val="12"/>
      <color theme="11"/>
      <name val="Times New Roman"/>
      <family val="1"/>
    </font>
    <font>
      <sz val="11"/>
      <name val="Calibri"/>
      <family val="2"/>
      <scheme val="minor"/>
    </font>
    <font>
      <u/>
      <sz val="12"/>
      <color theme="10"/>
      <name val="Times New Roman"/>
      <family val="1"/>
    </font>
    <font>
      <b/>
      <sz val="12"/>
      <color theme="1"/>
      <name val="Times New Roman"/>
      <family val="1"/>
    </font>
    <font>
      <b/>
      <sz val="14"/>
      <name val="Arial"/>
      <family val="2"/>
    </font>
    <font>
      <b/>
      <sz val="8"/>
      <color rgb="FF1F497D"/>
      <name val="Verdana"/>
      <family val="2"/>
    </font>
    <font>
      <b/>
      <sz val="8"/>
      <name val="Verdana"/>
      <family val="2"/>
    </font>
    <font>
      <sz val="8"/>
      <color rgb="FF1F497D"/>
      <name val="Verdana"/>
      <family val="2"/>
    </font>
    <font>
      <sz val="8"/>
      <name val="Verdana"/>
      <family val="2"/>
    </font>
    <font>
      <sz val="10"/>
      <color rgb="FFFF0000"/>
      <name val="Arial"/>
      <family val="2"/>
    </font>
    <font>
      <b/>
      <sz val="10"/>
      <name val="Arial Narrow"/>
      <family val="2"/>
    </font>
    <font>
      <b/>
      <u/>
      <sz val="10"/>
      <color rgb="FF000000"/>
      <name val="Arial Narrow"/>
      <family val="2"/>
    </font>
    <font>
      <b/>
      <sz val="11"/>
      <name val="Arial Narrow"/>
      <family val="2"/>
    </font>
    <font>
      <b/>
      <sz val="8"/>
      <name val="Arial"/>
      <family val="2"/>
    </font>
    <font>
      <b/>
      <sz val="10"/>
      <color rgb="FF000000"/>
      <name val="Arial"/>
      <family val="2"/>
    </font>
    <font>
      <sz val="10"/>
      <color rgb="FF000000"/>
      <name val="Arial Narrow"/>
      <family val="2"/>
    </font>
    <font>
      <b/>
      <sz val="10"/>
      <color rgb="FF000000"/>
      <name val="Arial Narrow"/>
      <family val="2"/>
    </font>
    <font>
      <sz val="10"/>
      <name val="Arial Narrow"/>
      <family val="2"/>
    </font>
    <font>
      <b/>
      <u/>
      <sz val="10"/>
      <name val="Arial Narrow"/>
      <family val="2"/>
    </font>
    <font>
      <b/>
      <sz val="10"/>
      <color rgb="FF0000FF"/>
      <name val="Arial"/>
      <family val="2"/>
    </font>
    <font>
      <sz val="8"/>
      <color rgb="FF0000FF"/>
      <name val="Arial Narrow"/>
      <family val="2"/>
    </font>
    <font>
      <b/>
      <u/>
      <sz val="9"/>
      <name val="Arial Narrow"/>
      <family val="2"/>
    </font>
    <font>
      <sz val="8"/>
      <color rgb="FF7030A0"/>
      <name val="Arial"/>
      <family val="2"/>
    </font>
    <font>
      <b/>
      <sz val="9"/>
      <name val="Arial Narrow"/>
      <family val="2"/>
    </font>
    <font>
      <sz val="9"/>
      <color rgb="FF0000FF"/>
      <name val="Arial Narrow"/>
      <family val="2"/>
    </font>
    <font>
      <b/>
      <sz val="8"/>
      <name val="Arial Narrow"/>
      <family val="2"/>
    </font>
    <font>
      <sz val="9"/>
      <name val="Arial Narrow"/>
      <family val="2"/>
    </font>
    <font>
      <b/>
      <sz val="12"/>
      <name val="Arial Narrow"/>
      <family val="2"/>
    </font>
    <font>
      <sz val="12"/>
      <name val="Arial Narrow"/>
      <family val="2"/>
    </font>
    <font>
      <b/>
      <sz val="8"/>
      <color rgb="FF0000FF"/>
      <name val="Verdana"/>
      <family val="2"/>
    </font>
    <font>
      <sz val="12"/>
      <color rgb="FF7030A0"/>
      <name val="Times New Roman"/>
      <family val="1"/>
    </font>
    <font>
      <sz val="10"/>
      <color rgb="FF0000FF"/>
      <name val="Arial Narrow"/>
      <family val="2"/>
    </font>
    <font>
      <b/>
      <sz val="10"/>
      <color rgb="FF7030A0"/>
      <name val="Arial Narrow"/>
      <family val="2"/>
    </font>
    <font>
      <sz val="10"/>
      <color rgb="FF7030A0"/>
      <name val="Arial"/>
      <family val="2"/>
    </font>
    <font>
      <b/>
      <u/>
      <sz val="8"/>
      <name val="Arial Narrow"/>
      <family val="2"/>
    </font>
    <font>
      <b/>
      <sz val="10"/>
      <color rgb="FF0000FF"/>
      <name val="Times New Roman"/>
      <family val="1"/>
    </font>
    <font>
      <sz val="8"/>
      <color rgb="FF7030A0"/>
      <name val="Arial Narrow"/>
      <family val="2"/>
    </font>
    <font>
      <b/>
      <u/>
      <sz val="10"/>
      <name val="Arial"/>
      <family val="2"/>
    </font>
    <font>
      <sz val="9"/>
      <name val="Times New Roman"/>
      <family val="1"/>
    </font>
    <font>
      <b/>
      <sz val="9"/>
      <name val="Arial"/>
      <family val="2"/>
    </font>
    <font>
      <sz val="10"/>
      <color rgb="FF7030A0"/>
      <name val="Times New Roman"/>
      <family val="1"/>
    </font>
    <font>
      <b/>
      <u/>
      <sz val="9"/>
      <name val="Arial"/>
      <family val="2"/>
    </font>
    <font>
      <sz val="8"/>
      <color rgb="FFFF0000"/>
      <name val="Arial"/>
      <family val="2"/>
    </font>
    <font>
      <sz val="9"/>
      <color rgb="FFFF0000"/>
      <name val="Arial Narrow"/>
      <family val="2"/>
    </font>
    <font>
      <b/>
      <u/>
      <sz val="8"/>
      <color rgb="FF000000"/>
      <name val="Arial Narrow"/>
      <family val="2"/>
    </font>
    <font>
      <sz val="9"/>
      <name val="Arial"/>
      <family val="2"/>
    </font>
    <font>
      <u/>
      <sz val="9"/>
      <name val="Arial"/>
      <family val="2"/>
    </font>
    <font>
      <sz val="9"/>
      <color rgb="FFFF0000"/>
      <name val="Arial"/>
      <family val="2"/>
    </font>
    <font>
      <b/>
      <sz val="10"/>
      <color rgb="FFFF0000"/>
      <name val="Arial Narrow"/>
      <family val="2"/>
    </font>
    <font>
      <b/>
      <sz val="12"/>
      <name val="Arial"/>
      <family val="2"/>
    </font>
    <font>
      <sz val="10"/>
      <color indexed="10"/>
      <name val="Arial"/>
      <family val="2"/>
    </font>
    <font>
      <b/>
      <sz val="10"/>
      <color indexed="12"/>
      <name val="Arial"/>
      <family val="2"/>
    </font>
    <font>
      <b/>
      <sz val="10"/>
      <color indexed="10"/>
      <name val="Arial"/>
      <family val="2"/>
    </font>
    <font>
      <b/>
      <u val="singleAccounting"/>
      <sz val="10"/>
      <name val="Arial"/>
      <family val="2"/>
    </font>
    <font>
      <b/>
      <u val="singleAccounting"/>
      <sz val="9"/>
      <name val="Arial"/>
      <family val="2"/>
    </font>
    <font>
      <sz val="10"/>
      <color theme="1"/>
      <name val="Arial"/>
      <family val="2"/>
    </font>
    <font>
      <u/>
      <sz val="10"/>
      <color theme="10"/>
      <name val="Arial"/>
      <family val="2"/>
    </font>
    <font>
      <sz val="10"/>
      <color rgb="FF1F497D"/>
      <name val="Arial"/>
      <family val="2"/>
    </font>
    <font>
      <u/>
      <sz val="10"/>
      <color rgb="FF0000FF"/>
      <name val="Arial"/>
      <family val="2"/>
    </font>
    <font>
      <sz val="12"/>
      <color theme="0"/>
      <name val="Arial Narrow"/>
      <family val="2"/>
    </font>
    <font>
      <sz val="8"/>
      <color rgb="FF000000"/>
      <name val="Arial"/>
      <family val="2"/>
    </font>
    <font>
      <b/>
      <sz val="8"/>
      <color rgb="FFFFFFFF"/>
      <name val="Arial"/>
      <family val="2"/>
    </font>
    <font>
      <b/>
      <sz val="7"/>
      <color rgb="FF000000"/>
      <name val="Arial"/>
      <family val="2"/>
    </font>
    <font>
      <b/>
      <sz val="8"/>
      <color rgb="FF000000"/>
      <name val="Arial"/>
      <family val="2"/>
    </font>
    <font>
      <b/>
      <sz val="8"/>
      <color rgb="FFEE2724"/>
      <name val="Arial"/>
      <family val="2"/>
    </font>
    <font>
      <sz val="7"/>
      <color rgb="FF000000"/>
      <name val="Arial"/>
      <family val="2"/>
    </font>
    <font>
      <sz val="8"/>
      <color rgb="FFEE2724"/>
      <name val="Arial"/>
      <family val="2"/>
    </font>
    <font>
      <sz val="8"/>
      <color rgb="FFFFFFFF"/>
      <name val="Arial"/>
      <family val="2"/>
    </font>
    <font>
      <sz val="10"/>
      <color rgb="FF000000"/>
      <name val="Arial"/>
      <family val="2"/>
    </font>
    <font>
      <sz val="8"/>
      <color rgb="FF66CC00"/>
      <name val="Arial"/>
      <family val="2"/>
    </font>
    <font>
      <sz val="8"/>
      <color rgb="FF0E32E1"/>
      <name val="Arial"/>
      <family val="2"/>
    </font>
    <font>
      <b/>
      <sz val="8"/>
      <color rgb="FF66CC00"/>
      <name val="Arial"/>
      <family val="2"/>
    </font>
    <font>
      <b/>
      <sz val="8"/>
      <color rgb="FF0E32E1"/>
      <name val="Arial"/>
      <family val="2"/>
    </font>
    <font>
      <strike/>
      <sz val="8"/>
      <color rgb="FF000000"/>
      <name val="Arial"/>
      <family val="2"/>
    </font>
    <font>
      <b/>
      <sz val="8"/>
      <color rgb="FF3051F2"/>
      <name val="Arial"/>
      <family val="2"/>
    </font>
    <font>
      <b/>
      <sz val="10"/>
      <color rgb="FFFFFFFF"/>
      <name val="Arial"/>
      <family val="2"/>
    </font>
    <font>
      <b/>
      <sz val="8"/>
      <color rgb="FF026DCE"/>
      <name val="Arial"/>
      <family val="2"/>
    </font>
    <font>
      <b/>
      <sz val="8"/>
      <color rgb="FF60C265"/>
      <name val="Arial"/>
      <family val="2"/>
    </font>
    <font>
      <sz val="11"/>
      <color rgb="FF000000"/>
      <name val="Calibri"/>
      <family val="2"/>
    </font>
    <font>
      <sz val="12"/>
      <color rgb="FF7B44B3"/>
      <name val="Times New Roman"/>
      <family val="1"/>
    </font>
    <font>
      <b/>
      <sz val="12"/>
      <color rgb="FF2B00FF"/>
      <name val="Times New Roman"/>
      <family val="1"/>
    </font>
    <font>
      <sz val="9"/>
      <color rgb="FF000000"/>
      <name val="Arial Narrow"/>
      <family val="2"/>
    </font>
    <font>
      <b/>
      <sz val="10"/>
      <color rgb="FF1F497D"/>
      <name val="Arial"/>
      <family val="2"/>
    </font>
    <font>
      <sz val="11"/>
      <color rgb="FF0000FF"/>
      <name val="Times New Roman"/>
      <family val="1"/>
    </font>
    <font>
      <sz val="10"/>
      <color rgb="FF0000FF"/>
      <name val="Times New Roman"/>
      <family val="1"/>
    </font>
    <font>
      <sz val="8"/>
      <color rgb="FF2B00FF"/>
      <name val="Arial"/>
      <family val="2"/>
    </font>
    <font>
      <sz val="10"/>
      <color rgb="FF2B00FF"/>
      <name val="Arial"/>
      <family val="2"/>
    </font>
    <font>
      <b/>
      <sz val="8"/>
      <color rgb="FF000000"/>
      <name val="Arial Narrow"/>
      <family val="2"/>
    </font>
    <font>
      <u/>
      <sz val="10"/>
      <color rgb="FF000000"/>
      <name val="Arial Narrow"/>
      <family val="2"/>
    </font>
    <font>
      <sz val="8"/>
      <color rgb="FFFFFF99"/>
      <name val="Times New Roman"/>
      <family val="1"/>
    </font>
    <font>
      <b/>
      <u/>
      <sz val="8"/>
      <name val="Arial"/>
      <family val="2"/>
    </font>
    <font>
      <b/>
      <sz val="9"/>
      <color rgb="FF0000FF"/>
      <name val="Arial Narrow"/>
      <family val="2"/>
    </font>
    <font>
      <b/>
      <sz val="12"/>
      <color rgb="FF0000FF"/>
      <name val="Times New Roman"/>
      <family val="1"/>
    </font>
    <font>
      <u/>
      <sz val="12"/>
      <color rgb="FF0000FF"/>
      <name val="Times New Roman"/>
      <family val="1"/>
    </font>
    <font>
      <b/>
      <sz val="8"/>
      <color rgb="FF0000FF"/>
      <name val="Times New Roman"/>
      <family val="1"/>
    </font>
    <font>
      <u/>
      <sz val="10"/>
      <color indexed="12"/>
      <name val="Arial Narrow"/>
      <family val="2"/>
    </font>
    <font>
      <b/>
      <sz val="10"/>
      <color rgb="FF00B050"/>
      <name val="Arial Narrow"/>
      <family val="2"/>
    </font>
    <font>
      <sz val="10"/>
      <color rgb="FF7030A0"/>
      <name val="Arial Narrow"/>
      <family val="2"/>
    </font>
    <font>
      <sz val="10"/>
      <color rgb="FFFF0000"/>
      <name val="Arial Narrow"/>
      <family val="2"/>
    </font>
    <font>
      <sz val="8"/>
      <color indexed="12"/>
      <name val="Arial Narrow"/>
      <family val="2"/>
    </font>
    <font>
      <sz val="8"/>
      <name val="Arial Narrow"/>
      <family val="2"/>
    </font>
    <font>
      <sz val="14"/>
      <name val="Arial Narrow"/>
      <family val="2"/>
    </font>
    <font>
      <sz val="10"/>
      <color rgb="FF0070C0"/>
      <name val="Arial Narrow"/>
      <family val="2"/>
    </font>
    <font>
      <b/>
      <sz val="12"/>
      <color rgb="FFFF0000"/>
      <name val="Arial Narrow"/>
      <family val="2"/>
    </font>
    <font>
      <b/>
      <sz val="14"/>
      <color theme="0"/>
      <name val="Times New Roman"/>
      <family val="1"/>
    </font>
    <font>
      <b/>
      <sz val="12"/>
      <color theme="0"/>
      <name val="Times New Roman"/>
      <family val="1"/>
    </font>
    <font>
      <sz val="12"/>
      <color theme="0"/>
      <name val="Times New Roman"/>
      <family val="1"/>
    </font>
    <font>
      <b/>
      <sz val="12"/>
      <color rgb="FF333399"/>
      <name val="Times New Roman"/>
      <family val="1"/>
    </font>
    <font>
      <sz val="10"/>
      <color rgb="FF333399"/>
      <name val="Times New Roman"/>
      <family val="1"/>
    </font>
    <font>
      <b/>
      <sz val="10"/>
      <color rgb="FFFF0000"/>
      <name val="Times New Roman"/>
      <family val="1"/>
    </font>
    <font>
      <b/>
      <sz val="10"/>
      <color rgb="FF333399"/>
      <name val="Times New Roman"/>
      <family val="1"/>
    </font>
    <font>
      <sz val="10"/>
      <color rgb="FF333399"/>
      <name val="Arial"/>
      <family val="2"/>
    </font>
    <font>
      <b/>
      <sz val="12"/>
      <color rgb="FF000000"/>
      <name val="Times New Roman"/>
      <family val="1"/>
    </font>
    <font>
      <sz val="12"/>
      <color rgb="FF000000"/>
      <name val="Times New Roman"/>
      <family val="1"/>
    </font>
    <font>
      <u/>
      <sz val="10"/>
      <color rgb="FF000000"/>
      <name val="Times New Roman"/>
      <family val="1"/>
    </font>
    <font>
      <u/>
      <sz val="12"/>
      <color rgb="FF000000"/>
      <name val="Times New Roman"/>
      <family val="1"/>
    </font>
    <font>
      <sz val="10"/>
      <color rgb="FF000000"/>
      <name val="Times New Roman"/>
      <family val="1"/>
    </font>
    <font>
      <u/>
      <sz val="10"/>
      <name val="Times New Roman"/>
      <family val="1"/>
    </font>
  </fonts>
  <fills count="13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43"/>
        <bgColor indexed="64"/>
      </patternFill>
    </fill>
    <fill>
      <patternFill patternType="solid">
        <fgColor indexed="42"/>
        <bgColor indexed="64"/>
      </patternFill>
    </fill>
    <fill>
      <patternFill patternType="solid">
        <fgColor indexed="9"/>
        <bgColor indexed="64"/>
      </patternFill>
    </fill>
    <fill>
      <patternFill patternType="solid">
        <fgColor indexed="47"/>
        <bgColor indexed="64"/>
      </patternFill>
    </fill>
    <fill>
      <patternFill patternType="solid">
        <fgColor indexed="13"/>
        <bgColor indexed="64"/>
      </patternFill>
    </fill>
    <fill>
      <patternFill patternType="solid">
        <fgColor indexed="44"/>
        <bgColor indexed="64"/>
      </patternFill>
    </fill>
    <fill>
      <patternFill patternType="mediumGray">
        <fgColor indexed="9"/>
        <bgColor indexed="22"/>
      </patternFill>
    </fill>
    <fill>
      <patternFill patternType="solid">
        <fgColor indexed="41"/>
        <bgColor indexed="64"/>
      </patternFill>
    </fill>
    <fill>
      <patternFill patternType="solid">
        <fgColor indexed="65"/>
        <bgColor indexed="64"/>
      </patternFill>
    </fill>
    <fill>
      <patternFill patternType="solid">
        <fgColor indexed="22"/>
        <bgColor indexed="64"/>
      </patternFill>
    </fill>
    <fill>
      <patternFill patternType="solid">
        <fgColor indexed="26"/>
        <bgColor indexed="64"/>
      </patternFill>
    </fill>
    <fill>
      <patternFill patternType="mediumGray">
        <fgColor indexed="9"/>
        <bgColor indexed="45"/>
      </patternFill>
    </fill>
    <fill>
      <patternFill patternType="solid">
        <fgColor indexed="15"/>
        <bgColor indexed="64"/>
      </patternFill>
    </fill>
    <fill>
      <patternFill patternType="solid">
        <fgColor indexed="11"/>
        <bgColor indexed="64"/>
      </patternFill>
    </fill>
    <fill>
      <patternFill patternType="solid">
        <fgColor indexed="46"/>
        <bgColor indexed="64"/>
      </patternFill>
    </fill>
    <fill>
      <patternFill patternType="solid">
        <fgColor indexed="40"/>
        <bgColor indexed="64"/>
      </patternFill>
    </fill>
    <fill>
      <patternFill patternType="solid">
        <fgColor indexed="48"/>
        <bgColor indexed="64"/>
      </patternFill>
    </fill>
    <fill>
      <patternFill patternType="solid">
        <fgColor indexed="14"/>
        <bgColor indexed="64"/>
      </patternFill>
    </fill>
    <fill>
      <patternFill patternType="mediumGray">
        <fgColor indexed="9"/>
        <bgColor indexed="47"/>
      </patternFill>
    </fill>
    <fill>
      <patternFill patternType="solid">
        <fgColor indexed="29"/>
        <bgColor indexed="64"/>
      </patternFill>
    </fill>
    <fill>
      <patternFill patternType="solid">
        <fgColor indexed="56"/>
        <bgColor indexed="64"/>
      </patternFill>
    </fill>
    <fill>
      <patternFill patternType="solid">
        <fgColor indexed="60"/>
        <bgColor indexed="64"/>
      </patternFill>
    </fill>
    <fill>
      <patternFill patternType="solid">
        <fgColor indexed="57"/>
        <bgColor indexed="64"/>
      </patternFill>
    </fill>
    <fill>
      <patternFill patternType="solid">
        <fgColor indexed="50"/>
        <bgColor indexed="64"/>
      </patternFill>
    </fill>
    <fill>
      <patternFill patternType="solid">
        <fgColor indexed="10"/>
        <bgColor indexed="64"/>
      </patternFill>
    </fill>
    <fill>
      <patternFill patternType="solid">
        <fgColor indexed="19"/>
        <bgColor indexed="64"/>
      </patternFill>
    </fill>
    <fill>
      <patternFill patternType="solid">
        <fgColor theme="6" tint="0.39997558519241921"/>
        <bgColor indexed="64"/>
      </patternFill>
    </fill>
    <fill>
      <patternFill patternType="solid">
        <fgColor theme="6" tint="0.59999389629810485"/>
        <bgColor indexed="64"/>
      </patternFill>
    </fill>
    <fill>
      <patternFill patternType="solid">
        <fgColor rgb="FFCCFF99"/>
        <bgColor indexed="64"/>
      </patternFill>
    </fill>
    <fill>
      <patternFill patternType="solid">
        <fgColor rgb="FFFFFF99"/>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indexed="9"/>
        <bgColor indexed="41"/>
      </patternFill>
    </fill>
    <fill>
      <patternFill patternType="solid">
        <fgColor rgb="FFDBE5F1"/>
        <bgColor rgb="FF000000"/>
      </patternFill>
    </fill>
    <fill>
      <patternFill patternType="solid">
        <fgColor rgb="FFDBE5F1"/>
        <bgColor rgb="FFFFFFFF"/>
      </patternFill>
    </fill>
    <fill>
      <patternFill patternType="solid">
        <fgColor rgb="FFFFFFFF"/>
        <bgColor rgb="FF000000"/>
      </patternFill>
    </fill>
    <fill>
      <patternFill patternType="solid">
        <fgColor rgb="FFCC9CCC"/>
        <bgColor rgb="FF000000"/>
      </patternFill>
    </fill>
    <fill>
      <patternFill patternType="solid">
        <fgColor rgb="FFFFFF00"/>
        <bgColor rgb="FF000000"/>
      </patternFill>
    </fill>
    <fill>
      <patternFill patternType="solid">
        <fgColor rgb="FFC4D79B"/>
        <bgColor rgb="FFFFFFFF"/>
      </patternFill>
    </fill>
    <fill>
      <patternFill patternType="solid">
        <fgColor rgb="FFC4D79B"/>
        <bgColor indexed="64"/>
      </patternFill>
    </fill>
    <fill>
      <patternFill patternType="solid">
        <fgColor rgb="FFB8CCE4"/>
        <bgColor rgb="FFFFFFFF"/>
      </patternFill>
    </fill>
    <fill>
      <patternFill patternType="solid">
        <fgColor rgb="FFB8CCE4"/>
        <bgColor indexed="64"/>
      </patternFill>
    </fill>
    <fill>
      <patternFill patternType="solid">
        <fgColor rgb="FFFFC000"/>
        <bgColor indexed="64"/>
      </patternFill>
    </fill>
    <fill>
      <patternFill patternType="solid">
        <fgColor rgb="FFEBF1DE"/>
        <bgColor rgb="FF000000"/>
      </patternFill>
    </fill>
    <fill>
      <patternFill patternType="solid">
        <fgColor rgb="FFEEECE1"/>
        <bgColor rgb="FF000000"/>
      </patternFill>
    </fill>
    <fill>
      <patternFill patternType="solid">
        <fgColor rgb="FFB8CCE4"/>
        <bgColor rgb="FF000000"/>
      </patternFill>
    </fill>
    <fill>
      <patternFill patternType="solid">
        <fgColor rgb="FFC4D79B"/>
        <bgColor rgb="FF000000"/>
      </patternFill>
    </fill>
    <fill>
      <patternFill patternType="solid">
        <fgColor rgb="FFFF8080"/>
        <bgColor rgb="FF000000"/>
      </patternFill>
    </fill>
    <fill>
      <patternFill patternType="solid">
        <fgColor rgb="FFFFFF99"/>
        <bgColor rgb="FF000000"/>
      </patternFill>
    </fill>
    <fill>
      <patternFill patternType="solid">
        <fgColor rgb="FFFFFF00"/>
        <bgColor indexed="64"/>
      </patternFill>
    </fill>
    <fill>
      <patternFill patternType="solid">
        <fgColor rgb="FFFF66FF"/>
        <bgColor rgb="FF000000"/>
      </patternFill>
    </fill>
    <fill>
      <patternFill patternType="solid">
        <fgColor rgb="FFFCD5B4"/>
        <bgColor rgb="FF000000"/>
      </patternFill>
    </fill>
    <fill>
      <patternFill patternType="solid">
        <fgColor rgb="FFFFFFFF"/>
        <bgColor indexed="64"/>
      </patternFill>
    </fill>
    <fill>
      <patternFill patternType="solid">
        <fgColor rgb="FFFF6699"/>
        <bgColor indexed="64"/>
      </patternFill>
    </fill>
    <fill>
      <patternFill patternType="solid">
        <fgColor rgb="FFD8E4BC"/>
        <bgColor indexed="64"/>
      </patternFill>
    </fill>
    <fill>
      <patternFill patternType="solid">
        <fgColor rgb="FFCCC0DA"/>
        <bgColor indexed="64"/>
      </patternFill>
    </fill>
    <fill>
      <patternFill patternType="solid">
        <fgColor rgb="FFD8E4BC"/>
        <bgColor rgb="FFFFFFFF"/>
      </patternFill>
    </fill>
    <fill>
      <patternFill patternType="solid">
        <fgColor rgb="FFFF6699"/>
        <bgColor rgb="FFFFFFFF"/>
      </patternFill>
    </fill>
    <fill>
      <patternFill patternType="solid">
        <fgColor rgb="FFFFC000"/>
        <bgColor rgb="FF000000"/>
      </patternFill>
    </fill>
    <fill>
      <patternFill patternType="solid">
        <fgColor rgb="FFCCC0DA"/>
        <bgColor rgb="FFFFFFFF"/>
      </patternFill>
    </fill>
    <fill>
      <patternFill patternType="solid">
        <fgColor theme="0"/>
        <bgColor indexed="64"/>
      </patternFill>
    </fill>
    <fill>
      <patternFill patternType="solid">
        <fgColor theme="6" tint="0.79998168889431442"/>
        <bgColor indexed="64"/>
      </patternFill>
    </fill>
    <fill>
      <patternFill patternType="solid">
        <fgColor theme="7" tint="-0.249977111117893"/>
        <bgColor indexed="64"/>
      </patternFill>
    </fill>
    <fill>
      <patternFill patternType="solid">
        <fgColor rgb="FFDEF3C0"/>
        <bgColor indexed="64"/>
      </patternFill>
    </fill>
    <fill>
      <patternFill patternType="solid">
        <fgColor rgb="FF494949"/>
        <bgColor indexed="64"/>
      </patternFill>
    </fill>
    <fill>
      <patternFill patternType="solid">
        <fgColor rgb="FFDBDBDB"/>
        <bgColor indexed="64"/>
      </patternFill>
    </fill>
    <fill>
      <patternFill patternType="solid">
        <fgColor rgb="FFB6B6B6"/>
        <bgColor indexed="64"/>
      </patternFill>
    </fill>
    <fill>
      <patternFill patternType="solid">
        <fgColor rgb="FFACACAC"/>
        <bgColor indexed="64"/>
      </patternFill>
    </fill>
    <fill>
      <patternFill patternType="solid">
        <fgColor rgb="FF242424"/>
        <bgColor indexed="64"/>
      </patternFill>
    </fill>
    <fill>
      <patternFill patternType="solid">
        <fgColor rgb="FFCCEEFF"/>
        <bgColor indexed="64"/>
      </patternFill>
    </fill>
    <fill>
      <patternFill patternType="solid">
        <fgColor rgb="FFB3B3B3"/>
        <bgColor indexed="64"/>
      </patternFill>
    </fill>
    <fill>
      <patternFill patternType="solid">
        <fgColor rgb="FFFFF7C3"/>
        <bgColor indexed="64"/>
      </patternFill>
    </fill>
    <fill>
      <patternFill patternType="solid">
        <fgColor rgb="FF6D6D6D"/>
        <bgColor indexed="64"/>
      </patternFill>
    </fill>
    <fill>
      <patternFill patternType="solid">
        <fgColor rgb="FF828282"/>
        <bgColor indexed="64"/>
      </patternFill>
    </fill>
    <fill>
      <patternFill patternType="solid">
        <fgColor rgb="FF8A8A8A"/>
        <bgColor indexed="64"/>
      </patternFill>
    </fill>
    <fill>
      <patternFill patternType="solid">
        <fgColor rgb="FF929292"/>
        <bgColor indexed="64"/>
      </patternFill>
    </fill>
    <fill>
      <patternFill patternType="solid">
        <fgColor rgb="FFBFE4FF"/>
        <bgColor indexed="64"/>
      </patternFill>
    </fill>
    <fill>
      <patternFill patternType="solid">
        <fgColor rgb="FFFF968E"/>
        <bgColor indexed="64"/>
      </patternFill>
    </fill>
    <fill>
      <patternFill patternType="solid">
        <fgColor rgb="FF80C9FF"/>
        <bgColor indexed="64"/>
      </patternFill>
    </fill>
    <fill>
      <patternFill patternType="solid">
        <fgColor rgb="FF616161"/>
        <bgColor indexed="64"/>
      </patternFill>
    </fill>
    <fill>
      <patternFill patternType="solid">
        <fgColor rgb="FFAADEAD"/>
        <bgColor indexed="64"/>
      </patternFill>
    </fill>
    <fill>
      <patternFill patternType="solid">
        <fgColor rgb="FF808080"/>
        <bgColor indexed="64"/>
      </patternFill>
    </fill>
    <fill>
      <patternFill patternType="solid">
        <fgColor rgb="FF66CC00"/>
        <bgColor indexed="64"/>
      </patternFill>
    </fill>
    <fill>
      <patternFill patternType="solid">
        <fgColor rgb="FF60C265"/>
        <bgColor indexed="64"/>
      </patternFill>
    </fill>
    <fill>
      <patternFill patternType="solid">
        <fgColor rgb="FFB38EF4"/>
        <bgColor indexed="64"/>
      </patternFill>
    </fill>
    <fill>
      <patternFill patternType="solid">
        <fgColor rgb="FFFDD68B"/>
        <bgColor indexed="64"/>
      </patternFill>
    </fill>
    <fill>
      <patternFill patternType="solid">
        <fgColor rgb="FF00FFFF"/>
        <bgColor indexed="64"/>
      </patternFill>
    </fill>
    <fill>
      <patternFill patternType="solid">
        <fgColor rgb="FF9BDA44"/>
        <bgColor indexed="64"/>
      </patternFill>
    </fill>
    <fill>
      <patternFill patternType="solid">
        <fgColor rgb="FF000000"/>
        <bgColor indexed="64"/>
      </patternFill>
    </fill>
    <fill>
      <patternFill patternType="solid">
        <fgColor rgb="FFFBC150"/>
        <bgColor indexed="64"/>
      </patternFill>
    </fill>
    <fill>
      <patternFill patternType="solid">
        <fgColor rgb="FFEE2724"/>
        <bgColor indexed="64"/>
      </patternFill>
    </fill>
    <fill>
      <patternFill patternType="solid">
        <fgColor rgb="FF00FF00"/>
        <bgColor indexed="64"/>
      </patternFill>
    </fill>
    <fill>
      <patternFill patternType="solid">
        <fgColor rgb="FF546FF5"/>
        <bgColor indexed="64"/>
      </patternFill>
    </fill>
    <fill>
      <patternFill patternType="solid">
        <fgColor rgb="FFFFEF87"/>
        <bgColor indexed="64"/>
      </patternFill>
    </fill>
    <fill>
      <patternFill patternType="solid">
        <fgColor rgb="FF85D089"/>
        <bgColor indexed="64"/>
      </patternFill>
    </fill>
    <fill>
      <patternFill patternType="solid">
        <fgColor rgb="FF7F7F7F"/>
        <bgColor indexed="64"/>
      </patternFill>
    </fill>
    <fill>
      <patternFill patternType="solid">
        <fgColor rgb="FFBDE782"/>
        <bgColor indexed="64"/>
      </patternFill>
    </fill>
    <fill>
      <patternFill patternType="solid">
        <fgColor rgb="FF99FF99"/>
        <bgColor indexed="64"/>
      </patternFill>
    </fill>
    <fill>
      <patternFill patternType="solid">
        <fgColor rgb="FFFFCAC6"/>
        <bgColor indexed="64"/>
      </patternFill>
    </fill>
    <fill>
      <patternFill patternType="solid">
        <fgColor rgb="FFDCE6F1"/>
        <bgColor rgb="FF000000"/>
      </patternFill>
    </fill>
    <fill>
      <patternFill patternType="solid">
        <fgColor rgb="FFFF6699"/>
        <bgColor rgb="FF000000"/>
      </patternFill>
    </fill>
    <fill>
      <patternFill patternType="solid">
        <fgColor rgb="FFA6A6A6"/>
        <bgColor indexed="64"/>
      </patternFill>
    </fill>
    <fill>
      <patternFill patternType="solid">
        <fgColor rgb="FFFFF2CC"/>
        <bgColor indexed="64"/>
      </patternFill>
    </fill>
    <fill>
      <patternFill patternType="solid">
        <fgColor rgb="FFFDE9D9"/>
        <bgColor rgb="FF000000"/>
      </patternFill>
    </fill>
    <fill>
      <patternFill patternType="solid">
        <fgColor theme="2" tint="-0.499984740745262"/>
        <bgColor indexed="64"/>
      </patternFill>
    </fill>
    <fill>
      <patternFill patternType="solid">
        <fgColor theme="0" tint="-9.9978637043366805E-2"/>
        <bgColor indexed="64"/>
      </patternFill>
    </fill>
    <fill>
      <patternFill patternType="solid">
        <fgColor rgb="FFEBF1DE"/>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rgb="FFF2DCDB"/>
        <bgColor indexed="64"/>
      </patternFill>
    </fill>
    <fill>
      <patternFill patternType="solid">
        <fgColor indexed="9"/>
        <bgColor indexed="15"/>
      </patternFill>
    </fill>
    <fill>
      <patternFill patternType="solid">
        <fgColor rgb="FFC5D9F1"/>
        <bgColor rgb="FF000000"/>
      </patternFill>
    </fill>
    <fill>
      <patternFill patternType="solid">
        <fgColor rgb="FFE3E3E3"/>
        <bgColor rgb="FF000000"/>
      </patternFill>
    </fill>
    <fill>
      <patternFill patternType="solid">
        <fgColor theme="9" tint="0.59999389629810485"/>
        <bgColor indexed="64"/>
      </patternFill>
    </fill>
  </fills>
  <borders count="535">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bottom style="thin">
        <color indexed="64"/>
      </bottom>
      <diagonal/>
    </border>
    <border>
      <left style="thin">
        <color indexed="64"/>
      </left>
      <right/>
      <top/>
      <bottom/>
      <diagonal/>
    </border>
    <border>
      <left style="thick">
        <color indexed="18"/>
      </left>
      <right/>
      <top style="thick">
        <color indexed="18"/>
      </top>
      <bottom/>
      <diagonal/>
    </border>
    <border>
      <left/>
      <right/>
      <top style="thick">
        <color indexed="18"/>
      </top>
      <bottom/>
      <diagonal/>
    </border>
    <border>
      <left style="thick">
        <color indexed="18"/>
      </left>
      <right/>
      <top/>
      <bottom/>
      <diagonal/>
    </border>
    <border>
      <left/>
      <right style="thick">
        <color indexed="18"/>
      </right>
      <top/>
      <bottom/>
      <diagonal/>
    </border>
    <border>
      <left style="thick">
        <color indexed="18"/>
      </left>
      <right/>
      <top/>
      <bottom style="thick">
        <color indexed="18"/>
      </bottom>
      <diagonal/>
    </border>
    <border>
      <left/>
      <right/>
      <top/>
      <bottom style="thick">
        <color indexed="18"/>
      </bottom>
      <diagonal/>
    </border>
    <border>
      <left/>
      <right style="thick">
        <color indexed="18"/>
      </right>
      <top/>
      <bottom style="thick">
        <color indexed="18"/>
      </bottom>
      <diagonal/>
    </border>
    <border>
      <left/>
      <right style="thick">
        <color indexed="18"/>
      </right>
      <top style="thick">
        <color indexed="18"/>
      </top>
      <bottom/>
      <diagonal/>
    </border>
    <border>
      <left style="thin">
        <color indexed="18"/>
      </left>
      <right style="thin">
        <color indexed="18"/>
      </right>
      <top style="thin">
        <color indexed="18"/>
      </top>
      <bottom style="thin">
        <color indexed="18"/>
      </bottom>
      <diagonal/>
    </border>
    <border>
      <left style="thin">
        <color indexed="18"/>
      </left>
      <right style="thick">
        <color indexed="18"/>
      </right>
      <top style="thin">
        <color indexed="18"/>
      </top>
      <bottom style="thin">
        <color indexed="18"/>
      </bottom>
      <diagonal/>
    </border>
    <border>
      <left/>
      <right style="thin">
        <color indexed="18"/>
      </right>
      <top/>
      <bottom/>
      <diagonal/>
    </border>
    <border>
      <left style="thick">
        <color indexed="18"/>
      </left>
      <right/>
      <top/>
      <bottom style="medium">
        <color indexed="18"/>
      </bottom>
      <diagonal/>
    </border>
    <border>
      <left/>
      <right/>
      <top/>
      <bottom style="medium">
        <color indexed="18"/>
      </bottom>
      <diagonal/>
    </border>
    <border>
      <left/>
      <right style="thick">
        <color indexed="18"/>
      </right>
      <top/>
      <bottom style="medium">
        <color indexed="18"/>
      </bottom>
      <diagonal/>
    </border>
    <border>
      <left/>
      <right/>
      <top style="thin">
        <color indexed="18"/>
      </top>
      <bottom style="thick">
        <color indexed="18"/>
      </bottom>
      <diagonal/>
    </border>
    <border>
      <left/>
      <right style="thick">
        <color indexed="18"/>
      </right>
      <top style="thin">
        <color indexed="18"/>
      </top>
      <bottom style="thick">
        <color indexed="18"/>
      </bottom>
      <diagonal/>
    </border>
    <border>
      <left style="thick">
        <color indexed="62"/>
      </left>
      <right/>
      <top/>
      <bottom/>
      <diagonal/>
    </border>
    <border>
      <left/>
      <right style="thick">
        <color indexed="62"/>
      </right>
      <top/>
      <bottom/>
      <diagonal/>
    </border>
    <border>
      <left style="thick">
        <color indexed="62"/>
      </left>
      <right/>
      <top/>
      <bottom style="thick">
        <color indexed="62"/>
      </bottom>
      <diagonal/>
    </border>
    <border>
      <left/>
      <right style="thick">
        <color indexed="62"/>
      </right>
      <top/>
      <bottom style="thick">
        <color indexed="62"/>
      </bottom>
      <diagonal/>
    </border>
    <border>
      <left style="thin">
        <color indexed="62"/>
      </left>
      <right style="thin">
        <color indexed="62"/>
      </right>
      <top style="thin">
        <color indexed="62"/>
      </top>
      <bottom style="thin">
        <color indexed="62"/>
      </bottom>
      <diagonal/>
    </border>
    <border>
      <left style="thin">
        <color indexed="62"/>
      </left>
      <right style="thick">
        <color indexed="62"/>
      </right>
      <top style="thin">
        <color indexed="62"/>
      </top>
      <bottom style="thin">
        <color indexed="62"/>
      </bottom>
      <diagonal/>
    </border>
    <border>
      <left style="medium">
        <color indexed="62"/>
      </left>
      <right style="medium">
        <color indexed="62"/>
      </right>
      <top/>
      <bottom/>
      <diagonal/>
    </border>
    <border>
      <left style="medium">
        <color indexed="62"/>
      </left>
      <right style="medium">
        <color indexed="62"/>
      </right>
      <top style="thin">
        <color indexed="62"/>
      </top>
      <bottom style="thin">
        <color indexed="62"/>
      </bottom>
      <diagonal/>
    </border>
    <border>
      <left style="medium">
        <color indexed="62"/>
      </left>
      <right style="medium">
        <color indexed="62"/>
      </right>
      <top style="medium">
        <color indexed="62"/>
      </top>
      <bottom style="thin">
        <color indexed="62"/>
      </bottom>
      <diagonal/>
    </border>
    <border>
      <left style="medium">
        <color indexed="62"/>
      </left>
      <right style="medium">
        <color indexed="62"/>
      </right>
      <top style="thin">
        <color indexed="62"/>
      </top>
      <bottom style="medium">
        <color indexed="62"/>
      </bottom>
      <diagonal/>
    </border>
    <border>
      <left style="thick">
        <color indexed="62"/>
      </left>
      <right/>
      <top style="thick">
        <color indexed="62"/>
      </top>
      <bottom/>
      <diagonal/>
    </border>
    <border>
      <left/>
      <right/>
      <top style="thick">
        <color indexed="62"/>
      </top>
      <bottom/>
      <diagonal/>
    </border>
    <border>
      <left/>
      <right style="thick">
        <color indexed="62"/>
      </right>
      <top style="thick">
        <color indexed="62"/>
      </top>
      <bottom/>
      <diagonal/>
    </border>
    <border>
      <left/>
      <right/>
      <top/>
      <bottom style="medium">
        <color indexed="62"/>
      </bottom>
      <diagonal/>
    </border>
    <border>
      <left/>
      <right style="thick">
        <color indexed="62"/>
      </right>
      <top/>
      <bottom style="medium">
        <color indexed="62"/>
      </bottom>
      <diagonal/>
    </border>
    <border>
      <left style="medium">
        <color indexed="62"/>
      </left>
      <right style="medium">
        <color indexed="62"/>
      </right>
      <top style="medium">
        <color indexed="62"/>
      </top>
      <bottom/>
      <diagonal/>
    </border>
    <border>
      <left style="medium">
        <color indexed="62"/>
      </left>
      <right style="medium">
        <color indexed="62"/>
      </right>
      <top/>
      <bottom style="medium">
        <color indexed="62"/>
      </bottom>
      <diagonal/>
    </border>
    <border>
      <left style="thin">
        <color indexed="64"/>
      </left>
      <right style="thin">
        <color indexed="62"/>
      </right>
      <top style="thin">
        <color indexed="62"/>
      </top>
      <bottom style="thin">
        <color indexed="62"/>
      </bottom>
      <diagonal/>
    </border>
    <border>
      <left/>
      <right/>
      <top style="medium">
        <color indexed="62"/>
      </top>
      <bottom style="medium">
        <color indexed="62"/>
      </bottom>
      <diagonal/>
    </border>
    <border>
      <left/>
      <right style="medium">
        <color indexed="62"/>
      </right>
      <top style="medium">
        <color indexed="62"/>
      </top>
      <bottom style="medium">
        <color indexed="62"/>
      </bottom>
      <diagonal/>
    </border>
    <border>
      <left style="thin">
        <color indexed="62"/>
      </left>
      <right style="thin">
        <color indexed="62"/>
      </right>
      <top style="medium">
        <color indexed="62"/>
      </top>
      <bottom style="thin">
        <color indexed="62"/>
      </bottom>
      <diagonal/>
    </border>
    <border>
      <left style="medium">
        <color indexed="62"/>
      </left>
      <right style="thin">
        <color indexed="62"/>
      </right>
      <top style="medium">
        <color indexed="62"/>
      </top>
      <bottom style="thin">
        <color indexed="62"/>
      </bottom>
      <diagonal/>
    </border>
    <border>
      <left style="thick">
        <color indexed="62"/>
      </left>
      <right style="thin">
        <color indexed="62"/>
      </right>
      <top style="medium">
        <color indexed="62"/>
      </top>
      <bottom style="thin">
        <color indexed="62"/>
      </bottom>
      <diagonal/>
    </border>
    <border>
      <left style="thick">
        <color indexed="62"/>
      </left>
      <right style="thin">
        <color indexed="62"/>
      </right>
      <top style="thin">
        <color indexed="62"/>
      </top>
      <bottom style="thin">
        <color indexed="62"/>
      </bottom>
      <diagonal/>
    </border>
    <border>
      <left style="thick">
        <color indexed="62"/>
      </left>
      <right style="thin">
        <color indexed="62"/>
      </right>
      <top style="thin">
        <color indexed="62"/>
      </top>
      <bottom style="medium">
        <color indexed="62"/>
      </bottom>
      <diagonal/>
    </border>
    <border>
      <left style="thin">
        <color indexed="62"/>
      </left>
      <right style="thick">
        <color indexed="62"/>
      </right>
      <top style="medium">
        <color indexed="62"/>
      </top>
      <bottom style="thin">
        <color indexed="62"/>
      </bottom>
      <diagonal/>
    </border>
    <border>
      <left/>
      <right style="medium">
        <color indexed="62"/>
      </right>
      <top style="medium">
        <color indexed="62"/>
      </top>
      <bottom style="thin">
        <color indexed="62"/>
      </bottom>
      <diagonal/>
    </border>
    <border>
      <left style="thick">
        <color indexed="62"/>
      </left>
      <right style="thin">
        <color indexed="62"/>
      </right>
      <top/>
      <bottom style="thin">
        <color indexed="62"/>
      </bottom>
      <diagonal/>
    </border>
    <border>
      <left style="thin">
        <color indexed="62"/>
      </left>
      <right style="thin">
        <color indexed="62"/>
      </right>
      <top style="thin">
        <color indexed="62"/>
      </top>
      <bottom style="medium">
        <color indexed="62"/>
      </bottom>
      <diagonal/>
    </border>
    <border>
      <left/>
      <right style="medium">
        <color indexed="62"/>
      </right>
      <top style="thin">
        <color indexed="62"/>
      </top>
      <bottom style="medium">
        <color indexed="62"/>
      </bottom>
      <diagonal/>
    </border>
    <border>
      <left style="thin">
        <color indexed="62"/>
      </left>
      <right style="medium">
        <color indexed="62"/>
      </right>
      <top style="thin">
        <color indexed="62"/>
      </top>
      <bottom style="medium">
        <color indexed="62"/>
      </bottom>
      <diagonal/>
    </border>
    <border>
      <left style="thick">
        <color indexed="62"/>
      </left>
      <right style="thin">
        <color indexed="62"/>
      </right>
      <top style="medium">
        <color indexed="62"/>
      </top>
      <bottom style="medium">
        <color indexed="62"/>
      </bottom>
      <diagonal/>
    </border>
    <border>
      <left style="thin">
        <color indexed="62"/>
      </left>
      <right style="thin">
        <color indexed="62"/>
      </right>
      <top style="medium">
        <color indexed="62"/>
      </top>
      <bottom style="medium">
        <color indexed="62"/>
      </bottom>
      <diagonal/>
    </border>
    <border>
      <left style="thin">
        <color indexed="62"/>
      </left>
      <right style="medium">
        <color indexed="62"/>
      </right>
      <top style="medium">
        <color indexed="62"/>
      </top>
      <bottom style="medium">
        <color indexed="62"/>
      </bottom>
      <diagonal/>
    </border>
    <border>
      <left style="medium">
        <color indexed="62"/>
      </left>
      <right style="medium">
        <color indexed="62"/>
      </right>
      <top style="medium">
        <color indexed="62"/>
      </top>
      <bottom style="medium">
        <color indexed="62"/>
      </bottom>
      <diagonal/>
    </border>
    <border>
      <left style="medium">
        <color indexed="62"/>
      </left>
      <right style="thick">
        <color indexed="62"/>
      </right>
      <top style="medium">
        <color indexed="62"/>
      </top>
      <bottom style="medium">
        <color indexed="62"/>
      </bottom>
      <diagonal/>
    </border>
    <border>
      <left style="medium">
        <color indexed="62"/>
      </left>
      <right style="thick">
        <color indexed="62"/>
      </right>
      <top style="medium">
        <color indexed="62"/>
      </top>
      <bottom/>
      <diagonal/>
    </border>
    <border>
      <left/>
      <right style="medium">
        <color indexed="62"/>
      </right>
      <top/>
      <bottom/>
      <diagonal/>
    </border>
    <border>
      <left style="medium">
        <color indexed="62"/>
      </left>
      <right style="thick">
        <color indexed="62"/>
      </right>
      <top/>
      <bottom/>
      <diagonal/>
    </border>
    <border>
      <left style="medium">
        <color indexed="62"/>
      </left>
      <right style="medium">
        <color indexed="62"/>
      </right>
      <top/>
      <bottom style="thick">
        <color indexed="62"/>
      </bottom>
      <diagonal/>
    </border>
    <border>
      <left/>
      <right style="medium">
        <color indexed="62"/>
      </right>
      <top/>
      <bottom style="thick">
        <color indexed="62"/>
      </bottom>
      <diagonal/>
    </border>
    <border>
      <left style="medium">
        <color indexed="62"/>
      </left>
      <right style="medium">
        <color indexed="62"/>
      </right>
      <top style="medium">
        <color indexed="62"/>
      </top>
      <bottom style="thick">
        <color indexed="62"/>
      </bottom>
      <diagonal/>
    </border>
    <border>
      <left style="medium">
        <color indexed="62"/>
      </left>
      <right style="thick">
        <color indexed="62"/>
      </right>
      <top/>
      <bottom style="thick">
        <color indexed="62"/>
      </bottom>
      <diagonal/>
    </border>
    <border>
      <left style="medium">
        <color indexed="62"/>
      </left>
      <right/>
      <top style="medium">
        <color indexed="62"/>
      </top>
      <bottom style="medium">
        <color indexed="62"/>
      </bottom>
      <diagonal/>
    </border>
    <border>
      <left style="medium">
        <color indexed="62"/>
      </left>
      <right/>
      <top style="medium">
        <color indexed="62"/>
      </top>
      <bottom/>
      <diagonal/>
    </border>
    <border>
      <left/>
      <right style="medium">
        <color indexed="62"/>
      </right>
      <top style="medium">
        <color indexed="62"/>
      </top>
      <bottom/>
      <diagonal/>
    </border>
    <border>
      <left style="medium">
        <color indexed="62"/>
      </left>
      <right/>
      <top/>
      <bottom style="medium">
        <color indexed="62"/>
      </bottom>
      <diagonal/>
    </border>
    <border>
      <left/>
      <right style="medium">
        <color indexed="62"/>
      </right>
      <top/>
      <bottom style="medium">
        <color indexed="62"/>
      </bottom>
      <diagonal/>
    </border>
    <border>
      <left style="medium">
        <color indexed="62"/>
      </left>
      <right style="thick">
        <color indexed="62"/>
      </right>
      <top/>
      <bottom style="medium">
        <color indexed="62"/>
      </bottom>
      <diagonal/>
    </border>
    <border>
      <left style="medium">
        <color indexed="62"/>
      </left>
      <right style="medium">
        <color indexed="62"/>
      </right>
      <top style="thick">
        <color indexed="62"/>
      </top>
      <bottom style="medium">
        <color indexed="62"/>
      </bottom>
      <diagonal/>
    </border>
    <border>
      <left style="medium">
        <color indexed="62"/>
      </left>
      <right style="thick">
        <color indexed="62"/>
      </right>
      <top style="thick">
        <color indexed="62"/>
      </top>
      <bottom/>
      <diagonal/>
    </border>
    <border>
      <left style="thick">
        <color indexed="62"/>
      </left>
      <right/>
      <top style="medium">
        <color indexed="62"/>
      </top>
      <bottom style="medium">
        <color indexed="62"/>
      </bottom>
      <diagonal/>
    </border>
    <border>
      <left style="thick">
        <color indexed="62"/>
      </left>
      <right/>
      <top style="medium">
        <color indexed="62"/>
      </top>
      <bottom/>
      <diagonal/>
    </border>
    <border>
      <left style="thick">
        <color indexed="62"/>
      </left>
      <right/>
      <top/>
      <bottom style="medium">
        <color indexed="62"/>
      </bottom>
      <diagonal/>
    </border>
    <border>
      <left/>
      <right/>
      <top style="medium">
        <color indexed="62"/>
      </top>
      <bottom/>
      <diagonal/>
    </border>
    <border>
      <left/>
      <right style="thick">
        <color indexed="62"/>
      </right>
      <top style="medium">
        <color indexed="62"/>
      </top>
      <bottom/>
      <diagonal/>
    </border>
    <border>
      <left style="medium">
        <color indexed="62"/>
      </left>
      <right/>
      <top style="thick">
        <color indexed="62"/>
      </top>
      <bottom/>
      <diagonal/>
    </border>
    <border>
      <left/>
      <right style="medium">
        <color indexed="62"/>
      </right>
      <top style="thick">
        <color indexed="62"/>
      </top>
      <bottom/>
      <diagonal/>
    </border>
    <border>
      <left style="thin">
        <color indexed="62"/>
      </left>
      <right style="thin">
        <color indexed="62"/>
      </right>
      <top/>
      <bottom style="thin">
        <color indexed="62"/>
      </bottom>
      <diagonal/>
    </border>
    <border>
      <left style="thin">
        <color indexed="62"/>
      </left>
      <right style="medium">
        <color indexed="62"/>
      </right>
      <top/>
      <bottom style="thin">
        <color indexed="62"/>
      </bottom>
      <diagonal/>
    </border>
    <border>
      <left style="thin">
        <color indexed="62"/>
      </left>
      <right style="medium">
        <color indexed="62"/>
      </right>
      <top style="thin">
        <color indexed="62"/>
      </top>
      <bottom style="thin">
        <color indexed="62"/>
      </bottom>
      <diagonal/>
    </border>
    <border>
      <left style="medium">
        <color indexed="62"/>
      </left>
      <right style="thin">
        <color indexed="62"/>
      </right>
      <top style="thin">
        <color indexed="64"/>
      </top>
      <bottom style="thin">
        <color indexed="62"/>
      </bottom>
      <diagonal/>
    </border>
    <border>
      <left style="thin">
        <color indexed="62"/>
      </left>
      <right style="thin">
        <color indexed="62"/>
      </right>
      <top style="thin">
        <color indexed="64"/>
      </top>
      <bottom style="thin">
        <color indexed="62"/>
      </bottom>
      <diagonal/>
    </border>
    <border>
      <left style="thin">
        <color indexed="62"/>
      </left>
      <right style="thick">
        <color indexed="62"/>
      </right>
      <top style="thin">
        <color indexed="64"/>
      </top>
      <bottom style="thin">
        <color indexed="62"/>
      </bottom>
      <diagonal/>
    </border>
    <border>
      <left style="medium">
        <color indexed="62"/>
      </left>
      <right style="thin">
        <color indexed="62"/>
      </right>
      <top style="thin">
        <color indexed="62"/>
      </top>
      <bottom style="thin">
        <color indexed="62"/>
      </bottom>
      <diagonal/>
    </border>
    <border>
      <left style="medium">
        <color indexed="64"/>
      </left>
      <right style="medium">
        <color indexed="64"/>
      </right>
      <top style="medium">
        <color indexed="64"/>
      </top>
      <bottom style="medium">
        <color indexed="64"/>
      </bottom>
      <diagonal/>
    </border>
    <border>
      <left style="medium">
        <color indexed="62"/>
      </left>
      <right style="thin">
        <color indexed="62"/>
      </right>
      <top style="thin">
        <color indexed="62"/>
      </top>
      <bottom style="medium">
        <color indexed="62"/>
      </bottom>
      <diagonal/>
    </border>
    <border>
      <left style="thin">
        <color indexed="62"/>
      </left>
      <right style="thick">
        <color indexed="62"/>
      </right>
      <top style="thin">
        <color indexed="62"/>
      </top>
      <bottom style="medium">
        <color indexed="62"/>
      </bottom>
      <diagonal/>
    </border>
    <border>
      <left style="thick">
        <color indexed="62"/>
      </left>
      <right/>
      <top/>
      <bottom style="thin">
        <color indexed="62"/>
      </bottom>
      <diagonal/>
    </border>
    <border>
      <left style="thick">
        <color indexed="62"/>
      </left>
      <right/>
      <top style="thin">
        <color indexed="62"/>
      </top>
      <bottom style="thin">
        <color indexed="62"/>
      </bottom>
      <diagonal/>
    </border>
    <border>
      <left style="thick">
        <color indexed="62"/>
      </left>
      <right/>
      <top style="thin">
        <color indexed="62"/>
      </top>
      <bottom style="medium">
        <color indexed="62"/>
      </bottom>
      <diagonal/>
    </border>
    <border>
      <left style="thin">
        <color indexed="62"/>
      </left>
      <right style="medium">
        <color indexed="62"/>
      </right>
      <top style="medium">
        <color indexed="62"/>
      </top>
      <bottom style="thin">
        <color indexed="62"/>
      </bottom>
      <diagonal/>
    </border>
    <border>
      <left style="medium">
        <color indexed="62"/>
      </left>
      <right/>
      <top style="thin">
        <color indexed="62"/>
      </top>
      <bottom style="thin">
        <color indexed="62"/>
      </bottom>
      <diagonal/>
    </border>
    <border>
      <left/>
      <right/>
      <top style="thin">
        <color indexed="62"/>
      </top>
      <bottom style="thin">
        <color indexed="62"/>
      </bottom>
      <diagonal/>
    </border>
    <border>
      <left/>
      <right style="thick">
        <color indexed="62"/>
      </right>
      <top style="thin">
        <color indexed="62"/>
      </top>
      <bottom style="thin">
        <color indexed="62"/>
      </bottom>
      <diagonal/>
    </border>
    <border>
      <left style="thin">
        <color indexed="62"/>
      </left>
      <right style="medium">
        <color indexed="62"/>
      </right>
      <top style="thin">
        <color indexed="62"/>
      </top>
      <bottom style="medium">
        <color indexed="64"/>
      </bottom>
      <diagonal/>
    </border>
    <border>
      <left style="medium">
        <color indexed="62"/>
      </left>
      <right/>
      <top/>
      <bottom/>
      <diagonal/>
    </border>
    <border>
      <left/>
      <right style="medium">
        <color indexed="62"/>
      </right>
      <top/>
      <bottom style="thin">
        <color indexed="62"/>
      </bottom>
      <diagonal/>
    </border>
    <border>
      <left style="medium">
        <color indexed="62"/>
      </left>
      <right/>
      <top style="thin">
        <color indexed="64"/>
      </top>
      <bottom style="thin">
        <color indexed="62"/>
      </bottom>
      <diagonal/>
    </border>
    <border>
      <left/>
      <right style="thin">
        <color indexed="62"/>
      </right>
      <top style="thin">
        <color indexed="64"/>
      </top>
      <bottom style="thin">
        <color indexed="62"/>
      </bottom>
      <diagonal/>
    </border>
    <border>
      <left/>
      <right/>
      <top/>
      <bottom style="thin">
        <color indexed="62"/>
      </bottom>
      <diagonal/>
    </border>
    <border>
      <left style="thin">
        <color indexed="64"/>
      </left>
      <right/>
      <top style="thin">
        <color indexed="62"/>
      </top>
      <bottom style="thin">
        <color indexed="62"/>
      </bottom>
      <diagonal/>
    </border>
    <border>
      <left/>
      <right style="thin">
        <color indexed="62"/>
      </right>
      <top style="thin">
        <color indexed="62"/>
      </top>
      <bottom style="thin">
        <color indexed="62"/>
      </bottom>
      <diagonal/>
    </border>
    <border>
      <left style="thin">
        <color indexed="62"/>
      </left>
      <right style="thick">
        <color indexed="62"/>
      </right>
      <top/>
      <bottom style="thin">
        <color indexed="62"/>
      </bottom>
      <diagonal/>
    </border>
    <border>
      <left style="thin">
        <color indexed="62"/>
      </left>
      <right/>
      <top style="thin">
        <color indexed="62"/>
      </top>
      <bottom style="thin">
        <color indexed="6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18"/>
      </right>
      <top style="thin">
        <color indexed="62"/>
      </top>
      <bottom style="thin">
        <color indexed="62"/>
      </bottom>
      <diagonal/>
    </border>
    <border>
      <left style="thin">
        <color indexed="62"/>
      </left>
      <right style="thin">
        <color indexed="18"/>
      </right>
      <top style="thin">
        <color indexed="18"/>
      </top>
      <bottom style="thin">
        <color indexed="18"/>
      </bottom>
      <diagonal/>
    </border>
    <border>
      <left style="thick">
        <color indexed="62"/>
      </left>
      <right style="medium">
        <color indexed="62"/>
      </right>
      <top style="medium">
        <color indexed="62"/>
      </top>
      <bottom style="medium">
        <color indexed="62"/>
      </bottom>
      <diagonal/>
    </border>
    <border>
      <left style="thin">
        <color indexed="18"/>
      </left>
      <right style="thin">
        <color indexed="64"/>
      </right>
      <top style="thin">
        <color indexed="18"/>
      </top>
      <bottom style="thin">
        <color indexed="18"/>
      </bottom>
      <diagonal/>
    </border>
    <border>
      <left style="thin">
        <color indexed="64"/>
      </left>
      <right style="thick">
        <color indexed="18"/>
      </right>
      <top style="thin">
        <color indexed="64"/>
      </top>
      <bottom style="thin">
        <color indexed="64"/>
      </bottom>
      <diagonal/>
    </border>
    <border>
      <left/>
      <right/>
      <top style="thin">
        <color indexed="18"/>
      </top>
      <bottom style="thin">
        <color indexed="18"/>
      </bottom>
      <diagonal/>
    </border>
    <border>
      <left style="medium">
        <color indexed="18"/>
      </left>
      <right style="thin">
        <color indexed="18"/>
      </right>
      <top style="medium">
        <color indexed="18"/>
      </top>
      <bottom style="thin">
        <color indexed="18"/>
      </bottom>
      <diagonal/>
    </border>
    <border>
      <left style="medium">
        <color indexed="18"/>
      </left>
      <right style="thin">
        <color indexed="18"/>
      </right>
      <top style="thin">
        <color indexed="18"/>
      </top>
      <bottom style="thin">
        <color indexed="18"/>
      </bottom>
      <diagonal/>
    </border>
    <border>
      <left style="medium">
        <color indexed="18"/>
      </left>
      <right style="thin">
        <color indexed="18"/>
      </right>
      <top style="thin">
        <color indexed="18"/>
      </top>
      <bottom style="medium">
        <color indexed="18"/>
      </bottom>
      <diagonal/>
    </border>
    <border>
      <left style="thin">
        <color indexed="18"/>
      </left>
      <right style="thin">
        <color indexed="18"/>
      </right>
      <top style="thin">
        <color indexed="18"/>
      </top>
      <bottom style="medium">
        <color indexed="18"/>
      </bottom>
      <diagonal/>
    </border>
    <border>
      <left style="thin">
        <color indexed="18"/>
      </left>
      <right style="thick">
        <color indexed="18"/>
      </right>
      <top style="thin">
        <color indexed="18"/>
      </top>
      <bottom style="medium">
        <color indexed="18"/>
      </bottom>
      <diagonal/>
    </border>
    <border>
      <left style="thin">
        <color indexed="64"/>
      </left>
      <right/>
      <top style="thin">
        <color indexed="62"/>
      </top>
      <bottom style="thick">
        <color indexed="62"/>
      </bottom>
      <diagonal/>
    </border>
    <border>
      <left/>
      <right/>
      <top style="thin">
        <color indexed="62"/>
      </top>
      <bottom style="thick">
        <color indexed="62"/>
      </bottom>
      <diagonal/>
    </border>
    <border>
      <left/>
      <right style="thin">
        <color indexed="62"/>
      </right>
      <top style="thin">
        <color indexed="62"/>
      </top>
      <bottom style="thick">
        <color indexed="62"/>
      </bottom>
      <diagonal/>
    </border>
    <border>
      <left style="thin">
        <color indexed="62"/>
      </left>
      <right style="thin">
        <color indexed="62"/>
      </right>
      <top style="thin">
        <color indexed="62"/>
      </top>
      <bottom style="thick">
        <color indexed="62"/>
      </bottom>
      <diagonal/>
    </border>
    <border>
      <left style="thin">
        <color indexed="18"/>
      </left>
      <right/>
      <top style="thin">
        <color indexed="18"/>
      </top>
      <bottom style="thin">
        <color indexed="18"/>
      </bottom>
      <diagonal/>
    </border>
    <border>
      <left/>
      <right style="thick">
        <color indexed="18"/>
      </right>
      <top style="thin">
        <color indexed="18"/>
      </top>
      <bottom style="thin">
        <color indexed="18"/>
      </bottom>
      <diagonal/>
    </border>
    <border>
      <left style="thin">
        <color indexed="62"/>
      </left>
      <right style="thin">
        <color indexed="62"/>
      </right>
      <top/>
      <bottom/>
      <diagonal/>
    </border>
    <border>
      <left style="thin">
        <color indexed="17"/>
      </left>
      <right style="thin">
        <color indexed="17"/>
      </right>
      <top style="thin">
        <color indexed="17"/>
      </top>
      <bottom style="thin">
        <color indexed="17"/>
      </bottom>
      <diagonal/>
    </border>
    <border>
      <left/>
      <right/>
      <top style="double">
        <color indexed="12"/>
      </top>
      <bottom style="thin">
        <color indexed="12"/>
      </bottom>
      <diagonal/>
    </border>
    <border>
      <left style="thin">
        <color indexed="44"/>
      </left>
      <right style="thin">
        <color indexed="44"/>
      </right>
      <top style="thin">
        <color indexed="12"/>
      </top>
      <bottom style="thin">
        <color indexed="44"/>
      </bottom>
      <diagonal/>
    </border>
    <border>
      <left style="thin">
        <color indexed="44"/>
      </left>
      <right/>
      <top style="thin">
        <color indexed="12"/>
      </top>
      <bottom style="thin">
        <color indexed="44"/>
      </bottom>
      <diagonal/>
    </border>
    <border>
      <left style="thin">
        <color indexed="44"/>
      </left>
      <right style="thin">
        <color indexed="44"/>
      </right>
      <top style="thin">
        <color indexed="44"/>
      </top>
      <bottom style="thin">
        <color indexed="44"/>
      </bottom>
      <diagonal/>
    </border>
    <border>
      <left style="thin">
        <color indexed="44"/>
      </left>
      <right style="medium">
        <color indexed="12"/>
      </right>
      <top style="thin">
        <color indexed="44"/>
      </top>
      <bottom style="thin">
        <color indexed="44"/>
      </bottom>
      <diagonal/>
    </border>
    <border>
      <left/>
      <right/>
      <top style="thin">
        <color indexed="44"/>
      </top>
      <bottom style="thin">
        <color indexed="44"/>
      </bottom>
      <diagonal/>
    </border>
    <border>
      <left/>
      <right style="medium">
        <color indexed="12"/>
      </right>
      <top style="thin">
        <color indexed="44"/>
      </top>
      <bottom style="thin">
        <color indexed="44"/>
      </bottom>
      <diagonal/>
    </border>
    <border>
      <left style="thin">
        <color indexed="44"/>
      </left>
      <right style="thin">
        <color indexed="44"/>
      </right>
      <top style="thin">
        <color indexed="44"/>
      </top>
      <bottom style="thin">
        <color indexed="12"/>
      </bottom>
      <diagonal/>
    </border>
    <border>
      <left style="thin">
        <color indexed="44"/>
      </left>
      <right style="medium">
        <color indexed="12"/>
      </right>
      <top style="thin">
        <color indexed="44"/>
      </top>
      <bottom style="thin">
        <color indexed="12"/>
      </bottom>
      <diagonal/>
    </border>
    <border>
      <left style="thin">
        <color indexed="12"/>
      </left>
      <right style="thin">
        <color indexed="12"/>
      </right>
      <top style="thin">
        <color indexed="12"/>
      </top>
      <bottom style="thin">
        <color indexed="17"/>
      </bottom>
      <diagonal/>
    </border>
    <border>
      <left style="thin">
        <color indexed="17"/>
      </left>
      <right/>
      <top style="thin">
        <color indexed="17"/>
      </top>
      <bottom style="thin">
        <color indexed="17"/>
      </bottom>
      <diagonal/>
    </border>
    <border>
      <left/>
      <right/>
      <top style="thin">
        <color indexed="12"/>
      </top>
      <bottom style="thin">
        <color indexed="48"/>
      </bottom>
      <diagonal/>
    </border>
    <border>
      <left/>
      <right style="thin">
        <color indexed="12"/>
      </right>
      <top style="thin">
        <color indexed="12"/>
      </top>
      <bottom style="thin">
        <color indexed="48"/>
      </bottom>
      <diagonal/>
    </border>
    <border>
      <left/>
      <right style="thin">
        <color indexed="48"/>
      </right>
      <top style="thin">
        <color indexed="48"/>
      </top>
      <bottom style="thin">
        <color indexed="48"/>
      </bottom>
      <diagonal/>
    </border>
    <border>
      <left style="thin">
        <color indexed="48"/>
      </left>
      <right style="thin">
        <color indexed="48"/>
      </right>
      <top style="thin">
        <color indexed="48"/>
      </top>
      <bottom style="thin">
        <color indexed="48"/>
      </bottom>
      <diagonal/>
    </border>
    <border>
      <left style="thin">
        <color indexed="48"/>
      </left>
      <right style="thin">
        <color indexed="12"/>
      </right>
      <top style="thin">
        <color indexed="48"/>
      </top>
      <bottom style="thin">
        <color indexed="48"/>
      </bottom>
      <diagonal/>
    </border>
    <border>
      <left/>
      <right/>
      <top style="thin">
        <color indexed="48"/>
      </top>
      <bottom style="thin">
        <color indexed="48"/>
      </bottom>
      <diagonal/>
    </border>
    <border>
      <left/>
      <right style="thin">
        <color indexed="12"/>
      </right>
      <top style="thin">
        <color indexed="48"/>
      </top>
      <bottom style="thin">
        <color indexed="48"/>
      </bottom>
      <diagonal/>
    </border>
    <border>
      <left/>
      <right style="thin">
        <color indexed="48"/>
      </right>
      <top style="thin">
        <color indexed="48"/>
      </top>
      <bottom style="thin">
        <color indexed="12"/>
      </bottom>
      <diagonal/>
    </border>
    <border>
      <left style="thin">
        <color indexed="48"/>
      </left>
      <right style="thin">
        <color indexed="48"/>
      </right>
      <top style="thin">
        <color indexed="48"/>
      </top>
      <bottom style="thin">
        <color indexed="12"/>
      </bottom>
      <diagonal/>
    </border>
    <border>
      <left style="thin">
        <color indexed="48"/>
      </left>
      <right style="thin">
        <color indexed="12"/>
      </right>
      <top style="thin">
        <color indexed="48"/>
      </top>
      <bottom style="thin">
        <color indexed="12"/>
      </bottom>
      <diagonal/>
    </border>
    <border>
      <left style="thick">
        <color indexed="18"/>
      </left>
      <right style="medium">
        <color indexed="62"/>
      </right>
      <top style="medium">
        <color indexed="18"/>
      </top>
      <bottom/>
      <diagonal/>
    </border>
    <border>
      <left style="medium">
        <color indexed="62"/>
      </left>
      <right style="medium">
        <color indexed="62"/>
      </right>
      <top/>
      <bottom style="medium">
        <color indexed="18"/>
      </bottom>
      <diagonal/>
    </border>
    <border>
      <left style="medium">
        <color indexed="18"/>
      </left>
      <right style="medium">
        <color indexed="18"/>
      </right>
      <top/>
      <bottom style="medium">
        <color indexed="18"/>
      </bottom>
      <diagonal/>
    </border>
    <border>
      <left style="thick">
        <color indexed="18"/>
      </left>
      <right style="thin">
        <color indexed="18"/>
      </right>
      <top style="medium">
        <color indexed="18"/>
      </top>
      <bottom/>
      <diagonal/>
    </border>
    <border>
      <left style="medium">
        <color indexed="18"/>
      </left>
      <right style="medium">
        <color indexed="18"/>
      </right>
      <top style="medium">
        <color indexed="18"/>
      </top>
      <bottom style="medium">
        <color indexed="18"/>
      </bottom>
      <diagonal/>
    </border>
    <border>
      <left style="thin">
        <color indexed="18"/>
      </left>
      <right style="thick">
        <color indexed="18"/>
      </right>
      <top style="medium">
        <color indexed="18"/>
      </top>
      <bottom/>
      <diagonal/>
    </border>
    <border>
      <left style="thick">
        <color indexed="18"/>
      </left>
      <right/>
      <top style="medium">
        <color indexed="18"/>
      </top>
      <bottom style="medium">
        <color indexed="18"/>
      </bottom>
      <diagonal/>
    </border>
    <border>
      <left style="thin">
        <color indexed="18"/>
      </left>
      <right style="thick">
        <color indexed="18"/>
      </right>
      <top style="medium">
        <color indexed="18"/>
      </top>
      <bottom style="medium">
        <color indexed="18"/>
      </bottom>
      <diagonal/>
    </border>
    <border>
      <left style="thick">
        <color indexed="18"/>
      </left>
      <right/>
      <top style="medium">
        <color indexed="18"/>
      </top>
      <bottom/>
      <diagonal/>
    </border>
    <border>
      <left style="thin">
        <color indexed="18"/>
      </left>
      <right style="thin">
        <color indexed="18"/>
      </right>
      <top style="medium">
        <color indexed="18"/>
      </top>
      <bottom/>
      <diagonal/>
    </border>
    <border>
      <left style="thin">
        <color indexed="54"/>
      </left>
      <right style="thick">
        <color indexed="18"/>
      </right>
      <top style="medium">
        <color indexed="18"/>
      </top>
      <bottom/>
      <diagonal/>
    </border>
    <border>
      <left style="thin">
        <color indexed="18"/>
      </left>
      <right style="thin">
        <color indexed="18"/>
      </right>
      <top/>
      <bottom style="medium">
        <color indexed="18"/>
      </bottom>
      <diagonal/>
    </border>
    <border>
      <left style="thin">
        <color indexed="54"/>
      </left>
      <right style="thick">
        <color indexed="18"/>
      </right>
      <top/>
      <bottom style="medium">
        <color indexed="18"/>
      </bottom>
      <diagonal/>
    </border>
    <border>
      <left style="thick">
        <color indexed="18"/>
      </left>
      <right style="thin">
        <color indexed="18"/>
      </right>
      <top/>
      <bottom/>
      <diagonal/>
    </border>
    <border>
      <left style="thin">
        <color indexed="18"/>
      </left>
      <right style="thin">
        <color indexed="18"/>
      </right>
      <top/>
      <bottom/>
      <diagonal/>
    </border>
    <border>
      <left style="thin">
        <color indexed="18"/>
      </left>
      <right/>
      <top/>
      <bottom/>
      <diagonal/>
    </border>
    <border>
      <left style="thin">
        <color indexed="18"/>
      </left>
      <right style="thick">
        <color indexed="18"/>
      </right>
      <top/>
      <bottom/>
      <diagonal/>
    </border>
    <border>
      <left style="thin">
        <color indexed="18"/>
      </left>
      <right/>
      <top/>
      <bottom style="thin">
        <color indexed="22"/>
      </bottom>
      <diagonal/>
    </border>
    <border>
      <left style="thin">
        <color indexed="64"/>
      </left>
      <right style="thin">
        <color indexed="64"/>
      </right>
      <top style="thin">
        <color indexed="22"/>
      </top>
      <bottom style="thin">
        <color indexed="22"/>
      </bottom>
      <diagonal/>
    </border>
    <border>
      <left style="thick">
        <color indexed="18"/>
      </left>
      <right style="thin">
        <color indexed="18"/>
      </right>
      <top/>
      <bottom style="medium">
        <color indexed="18"/>
      </bottom>
      <diagonal/>
    </border>
    <border>
      <left style="thin">
        <color indexed="18"/>
      </left>
      <right style="thick">
        <color indexed="18"/>
      </right>
      <top/>
      <bottom style="medium">
        <color indexed="18"/>
      </bottom>
      <diagonal/>
    </border>
    <border>
      <left/>
      <right/>
      <top style="medium">
        <color indexed="18"/>
      </top>
      <bottom/>
      <diagonal/>
    </border>
    <border>
      <left style="thin">
        <color indexed="62"/>
      </left>
      <right style="thin">
        <color indexed="62"/>
      </right>
      <top/>
      <bottom style="thick">
        <color indexed="62"/>
      </bottom>
      <diagonal/>
    </border>
    <border>
      <left/>
      <right style="thin">
        <color indexed="17"/>
      </right>
      <top style="thin">
        <color indexed="17"/>
      </top>
      <bottom style="thin">
        <color indexed="17"/>
      </bottom>
      <diagonal/>
    </border>
    <border>
      <left style="thin">
        <color indexed="17"/>
      </left>
      <right style="thin">
        <color indexed="17"/>
      </right>
      <top style="thin">
        <color indexed="17"/>
      </top>
      <bottom/>
      <diagonal/>
    </border>
    <border>
      <left style="thick">
        <color indexed="62"/>
      </left>
      <right/>
      <top style="double">
        <color indexed="12"/>
      </top>
      <bottom style="thin">
        <color indexed="12"/>
      </bottom>
      <diagonal/>
    </border>
    <border>
      <left style="thick">
        <color indexed="62"/>
      </left>
      <right/>
      <top style="thin">
        <color indexed="12"/>
      </top>
      <bottom style="thin">
        <color indexed="44"/>
      </bottom>
      <diagonal/>
    </border>
    <border>
      <left style="thick">
        <color indexed="62"/>
      </left>
      <right style="thin">
        <color indexed="44"/>
      </right>
      <top style="thin">
        <color indexed="44"/>
      </top>
      <bottom style="thin">
        <color indexed="44"/>
      </bottom>
      <diagonal/>
    </border>
    <border>
      <left style="thin">
        <color indexed="48"/>
      </left>
      <right style="thick">
        <color indexed="62"/>
      </right>
      <top style="thin">
        <color indexed="48"/>
      </top>
      <bottom style="thin">
        <color indexed="48"/>
      </bottom>
      <diagonal/>
    </border>
    <border>
      <left style="thick">
        <color indexed="62"/>
      </left>
      <right/>
      <top style="thin">
        <color indexed="44"/>
      </top>
      <bottom style="thin">
        <color indexed="44"/>
      </bottom>
      <diagonal/>
    </border>
    <border>
      <left/>
      <right style="thick">
        <color indexed="62"/>
      </right>
      <top style="thin">
        <color indexed="48"/>
      </top>
      <bottom style="thin">
        <color indexed="48"/>
      </bottom>
      <diagonal/>
    </border>
    <border>
      <left style="thick">
        <color indexed="62"/>
      </left>
      <right style="thin">
        <color indexed="44"/>
      </right>
      <top style="thin">
        <color indexed="44"/>
      </top>
      <bottom style="thin">
        <color indexed="12"/>
      </bottom>
      <diagonal/>
    </border>
    <border>
      <left style="thin">
        <color indexed="48"/>
      </left>
      <right style="thick">
        <color indexed="62"/>
      </right>
      <top style="thin">
        <color indexed="48"/>
      </top>
      <bottom style="thin">
        <color indexed="12"/>
      </bottom>
      <diagonal/>
    </border>
    <border>
      <left style="thick">
        <color indexed="62"/>
      </left>
      <right style="thin">
        <color indexed="44"/>
      </right>
      <top style="thin">
        <color indexed="44"/>
      </top>
      <bottom style="thick">
        <color indexed="62"/>
      </bottom>
      <diagonal/>
    </border>
    <border>
      <left style="thin">
        <color indexed="44"/>
      </left>
      <right style="thin">
        <color indexed="44"/>
      </right>
      <top style="thin">
        <color indexed="44"/>
      </top>
      <bottom style="thick">
        <color indexed="62"/>
      </bottom>
      <diagonal/>
    </border>
    <border>
      <left style="thin">
        <color indexed="44"/>
      </left>
      <right style="medium">
        <color indexed="12"/>
      </right>
      <top style="thin">
        <color indexed="44"/>
      </top>
      <bottom style="thick">
        <color indexed="62"/>
      </bottom>
      <diagonal/>
    </border>
    <border>
      <left/>
      <right style="thin">
        <color indexed="48"/>
      </right>
      <top style="thin">
        <color indexed="48"/>
      </top>
      <bottom style="thick">
        <color indexed="62"/>
      </bottom>
      <diagonal/>
    </border>
    <border>
      <left style="thin">
        <color indexed="48"/>
      </left>
      <right style="thin">
        <color indexed="48"/>
      </right>
      <top style="thin">
        <color indexed="48"/>
      </top>
      <bottom style="thick">
        <color indexed="62"/>
      </bottom>
      <diagonal/>
    </border>
    <border>
      <left style="thin">
        <color indexed="48"/>
      </left>
      <right style="thick">
        <color indexed="62"/>
      </right>
      <top style="thin">
        <color indexed="48"/>
      </top>
      <bottom style="thick">
        <color indexed="62"/>
      </bottom>
      <diagonal/>
    </border>
    <border>
      <left style="thin">
        <color indexed="17"/>
      </left>
      <right style="thin">
        <color indexed="17"/>
      </right>
      <top/>
      <bottom style="thin">
        <color indexed="17"/>
      </bottom>
      <diagonal/>
    </border>
    <border>
      <left style="thin">
        <color indexed="12"/>
      </left>
      <right style="thin">
        <color indexed="12"/>
      </right>
      <top style="thick">
        <color indexed="62"/>
      </top>
      <bottom style="thin">
        <color indexed="17"/>
      </bottom>
      <diagonal/>
    </border>
    <border>
      <left/>
      <right style="thin">
        <color indexed="48"/>
      </right>
      <top/>
      <bottom style="thin">
        <color indexed="48"/>
      </bottom>
      <diagonal/>
    </border>
    <border>
      <left style="thin">
        <color indexed="48"/>
      </left>
      <right style="thin">
        <color indexed="48"/>
      </right>
      <top/>
      <bottom style="thin">
        <color indexed="48"/>
      </bottom>
      <diagonal/>
    </border>
    <border>
      <left/>
      <right/>
      <top style="thin">
        <color indexed="12"/>
      </top>
      <bottom/>
      <diagonal/>
    </border>
    <border>
      <left/>
      <right style="thin">
        <color indexed="48"/>
      </right>
      <top style="double">
        <color indexed="12"/>
      </top>
      <bottom style="thin">
        <color indexed="12"/>
      </bottom>
      <diagonal/>
    </border>
    <border>
      <left style="thin">
        <color indexed="48"/>
      </left>
      <right style="thin">
        <color indexed="48"/>
      </right>
      <top style="double">
        <color indexed="12"/>
      </top>
      <bottom style="thin">
        <color indexed="12"/>
      </bottom>
      <diagonal/>
    </border>
    <border>
      <left style="thin">
        <color indexed="48"/>
      </left>
      <right/>
      <top style="double">
        <color indexed="12"/>
      </top>
      <bottom style="thin">
        <color indexed="12"/>
      </bottom>
      <diagonal/>
    </border>
    <border>
      <left/>
      <right style="thin">
        <color indexed="18"/>
      </right>
      <top style="medium">
        <color indexed="18"/>
      </top>
      <bottom style="thin">
        <color indexed="18"/>
      </bottom>
      <diagonal/>
    </border>
    <border>
      <left/>
      <right style="thin">
        <color indexed="18"/>
      </right>
      <top style="thin">
        <color indexed="18"/>
      </top>
      <bottom style="thin">
        <color indexed="18"/>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2"/>
      </right>
      <top style="thin">
        <color indexed="62"/>
      </top>
      <bottom/>
      <diagonal/>
    </border>
    <border>
      <left style="thin">
        <color indexed="62"/>
      </left>
      <right style="thin">
        <color indexed="62"/>
      </right>
      <top style="thin">
        <color indexed="62"/>
      </top>
      <bottom/>
      <diagonal/>
    </border>
    <border>
      <left/>
      <right style="thin">
        <color indexed="62"/>
      </right>
      <top style="thin">
        <color indexed="18"/>
      </top>
      <bottom style="thin">
        <color indexed="18"/>
      </bottom>
      <diagonal/>
    </border>
    <border>
      <left style="thin">
        <color indexed="64"/>
      </left>
      <right style="thick">
        <color indexed="62"/>
      </right>
      <top style="thin">
        <color indexed="64"/>
      </top>
      <bottom style="thin">
        <color indexed="64"/>
      </bottom>
      <diagonal/>
    </border>
    <border>
      <left/>
      <right style="thick">
        <color indexed="62"/>
      </right>
      <top style="thin">
        <color indexed="62"/>
      </top>
      <bottom/>
      <diagonal/>
    </border>
    <border>
      <left/>
      <right/>
      <top style="thick">
        <color indexed="62"/>
      </top>
      <bottom style="medium">
        <color indexed="62"/>
      </bottom>
      <diagonal/>
    </border>
    <border>
      <left/>
      <right style="thick">
        <color indexed="62"/>
      </right>
      <top style="thick">
        <color indexed="62"/>
      </top>
      <bottom style="medium">
        <color indexed="62"/>
      </bottom>
      <diagonal/>
    </border>
    <border>
      <left style="medium">
        <color indexed="64"/>
      </left>
      <right/>
      <top/>
      <bottom/>
      <diagonal/>
    </border>
    <border>
      <left style="thick">
        <color indexed="62"/>
      </left>
      <right/>
      <top style="thick">
        <color indexed="62"/>
      </top>
      <bottom style="thick">
        <color indexed="62"/>
      </bottom>
      <diagonal/>
    </border>
    <border>
      <left/>
      <right style="thick">
        <color indexed="62"/>
      </right>
      <top style="thick">
        <color indexed="62"/>
      </top>
      <bottom style="thick">
        <color indexed="62"/>
      </bottom>
      <diagonal/>
    </border>
    <border>
      <left/>
      <right style="thin">
        <color indexed="30"/>
      </right>
      <top style="thin">
        <color indexed="30"/>
      </top>
      <bottom style="thin">
        <color indexed="30"/>
      </bottom>
      <diagonal/>
    </border>
    <border>
      <left style="thin">
        <color indexed="30"/>
      </left>
      <right style="thin">
        <color indexed="30"/>
      </right>
      <top style="thin">
        <color indexed="30"/>
      </top>
      <bottom style="thin">
        <color indexed="30"/>
      </bottom>
      <diagonal/>
    </border>
    <border>
      <left style="thin">
        <color indexed="18"/>
      </left>
      <right style="thin">
        <color indexed="18"/>
      </right>
      <top style="medium">
        <color indexed="18"/>
      </top>
      <bottom style="thin">
        <color indexed="18"/>
      </bottom>
      <diagonal/>
    </border>
    <border>
      <left style="thin">
        <color indexed="18"/>
      </left>
      <right style="thick">
        <color indexed="18"/>
      </right>
      <top style="medium">
        <color indexed="18"/>
      </top>
      <bottom style="thin">
        <color indexed="18"/>
      </bottom>
      <diagonal/>
    </border>
    <border>
      <left style="thick">
        <color indexed="18"/>
      </left>
      <right style="thin">
        <color indexed="18"/>
      </right>
      <top/>
      <bottom style="thin">
        <color indexed="55"/>
      </bottom>
      <diagonal/>
    </border>
    <border>
      <left style="thin">
        <color indexed="18"/>
      </left>
      <right style="thin">
        <color indexed="18"/>
      </right>
      <top/>
      <bottom style="thick">
        <color indexed="18"/>
      </bottom>
      <diagonal/>
    </border>
    <border>
      <left style="thin">
        <color indexed="18"/>
      </left>
      <right style="thick">
        <color indexed="18"/>
      </right>
      <top/>
      <bottom style="thick">
        <color indexed="18"/>
      </bottom>
      <diagonal/>
    </border>
    <border>
      <left style="medium">
        <color indexed="64"/>
      </left>
      <right style="thin">
        <color indexed="64"/>
      </right>
      <top style="medium">
        <color indexed="64"/>
      </top>
      <bottom style="medium">
        <color indexed="64"/>
      </bottom>
      <diagonal/>
    </border>
    <border>
      <left/>
      <right/>
      <top style="thin">
        <color indexed="64"/>
      </top>
      <bottom style="double">
        <color indexed="64"/>
      </bottom>
      <diagonal/>
    </border>
    <border>
      <left style="thin">
        <color indexed="62"/>
      </left>
      <right/>
      <top style="medium">
        <color indexed="62"/>
      </top>
      <bottom style="thin">
        <color indexed="62"/>
      </bottom>
      <diagonal/>
    </border>
    <border>
      <left style="medium">
        <color indexed="64"/>
      </left>
      <right style="medium">
        <color indexed="62"/>
      </right>
      <top style="medium">
        <color indexed="62"/>
      </top>
      <bottom style="medium">
        <color indexed="62"/>
      </bottom>
      <diagonal/>
    </border>
    <border>
      <left style="medium">
        <color indexed="64"/>
      </left>
      <right style="thin">
        <color indexed="62"/>
      </right>
      <top style="thin">
        <color indexed="62"/>
      </top>
      <bottom style="thin">
        <color indexed="62"/>
      </bottom>
      <diagonal/>
    </border>
    <border>
      <left/>
      <right/>
      <top/>
      <bottom style="medium">
        <color indexed="64"/>
      </bottom>
      <diagonal/>
    </border>
    <border>
      <left/>
      <right style="thick">
        <color indexed="62"/>
      </right>
      <top/>
      <bottom style="medium">
        <color indexed="64"/>
      </bottom>
      <diagonal/>
    </border>
    <border>
      <left style="thick">
        <color indexed="12"/>
      </left>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ck">
        <color indexed="64"/>
      </left>
      <right/>
      <top/>
      <bottom/>
      <diagonal/>
    </border>
    <border>
      <left style="thin">
        <color indexed="62"/>
      </left>
      <right style="medium">
        <color indexed="62"/>
      </right>
      <top style="thin">
        <color indexed="62"/>
      </top>
      <bottom style="thick">
        <color indexed="62"/>
      </bottom>
      <diagonal/>
    </border>
    <border>
      <left style="medium">
        <color indexed="62"/>
      </left>
      <right style="thin">
        <color indexed="62"/>
      </right>
      <top style="thin">
        <color indexed="62"/>
      </top>
      <bottom style="thick">
        <color indexed="62"/>
      </bottom>
      <diagonal/>
    </border>
    <border>
      <left style="thin">
        <color indexed="62"/>
      </left>
      <right style="thick">
        <color indexed="62"/>
      </right>
      <top style="thin">
        <color indexed="62"/>
      </top>
      <bottom style="thick">
        <color indexed="62"/>
      </bottom>
      <diagonal/>
    </border>
    <border>
      <left style="thick">
        <color indexed="62"/>
      </left>
      <right style="thick">
        <color indexed="62"/>
      </right>
      <top style="thick">
        <color indexed="62"/>
      </top>
      <bottom style="thick">
        <color indexed="62"/>
      </bottom>
      <diagonal/>
    </border>
    <border>
      <left style="thin">
        <color indexed="18"/>
      </left>
      <right style="thick">
        <color indexed="62"/>
      </right>
      <top style="thin">
        <color indexed="18"/>
      </top>
      <bottom style="thin">
        <color indexed="18"/>
      </bottom>
      <diagonal/>
    </border>
    <border>
      <left style="thin">
        <color indexed="64"/>
      </left>
      <right style="thin">
        <color indexed="64"/>
      </right>
      <top style="thin">
        <color indexed="64"/>
      </top>
      <bottom style="thin">
        <color indexed="18"/>
      </bottom>
      <diagonal/>
    </border>
    <border>
      <left style="thin">
        <color indexed="64"/>
      </left>
      <right style="thin">
        <color indexed="64"/>
      </right>
      <top style="thin">
        <color indexed="18"/>
      </top>
      <bottom style="thin">
        <color indexed="18"/>
      </bottom>
      <diagonal/>
    </border>
    <border>
      <left style="thin">
        <color indexed="64"/>
      </left>
      <right style="thin">
        <color indexed="64"/>
      </right>
      <top style="thin">
        <color indexed="18"/>
      </top>
      <bottom style="thin">
        <color indexed="64"/>
      </bottom>
      <diagonal/>
    </border>
    <border>
      <left style="thin">
        <color indexed="62"/>
      </left>
      <right style="thin">
        <color indexed="48"/>
      </right>
      <top style="thin">
        <color indexed="48"/>
      </top>
      <bottom style="thick">
        <color indexed="62"/>
      </bottom>
      <diagonal/>
    </border>
    <border>
      <left/>
      <right style="thin">
        <color indexed="12"/>
      </right>
      <top style="thick">
        <color indexed="62"/>
      </top>
      <bottom style="thin">
        <color indexed="17"/>
      </bottom>
      <diagonal/>
    </border>
    <border>
      <left style="thin">
        <color indexed="12"/>
      </left>
      <right style="thick">
        <color indexed="62"/>
      </right>
      <top style="thick">
        <color indexed="62"/>
      </top>
      <bottom style="thin">
        <color indexed="17"/>
      </bottom>
      <diagonal/>
    </border>
    <border>
      <left style="thin">
        <color indexed="17"/>
      </left>
      <right style="thick">
        <color indexed="62"/>
      </right>
      <top style="thin">
        <color indexed="17"/>
      </top>
      <bottom style="thin">
        <color indexed="17"/>
      </bottom>
      <diagonal/>
    </border>
    <border>
      <left/>
      <right style="thick">
        <color indexed="62"/>
      </right>
      <top style="thin">
        <color indexed="12"/>
      </top>
      <bottom/>
      <diagonal/>
    </border>
    <border>
      <left style="thin">
        <color indexed="48"/>
      </left>
      <right style="thick">
        <color indexed="62"/>
      </right>
      <top/>
      <bottom style="thin">
        <color indexed="48"/>
      </bottom>
      <diagonal/>
    </border>
    <border>
      <left style="medium">
        <color indexed="12"/>
      </left>
      <right style="thin">
        <color indexed="48"/>
      </right>
      <top style="thin">
        <color indexed="48"/>
      </top>
      <bottom style="thick">
        <color indexed="62"/>
      </bottom>
      <diagonal/>
    </border>
    <border>
      <left style="thin">
        <color indexed="48"/>
      </left>
      <right/>
      <top style="thin">
        <color indexed="48"/>
      </top>
      <bottom style="thin">
        <color indexed="48"/>
      </bottom>
      <diagonal/>
    </border>
    <border>
      <left style="thin">
        <color indexed="48"/>
      </left>
      <right style="thin">
        <color indexed="48"/>
      </right>
      <top style="double">
        <color indexed="48"/>
      </top>
      <bottom style="thin">
        <color indexed="12"/>
      </bottom>
      <diagonal/>
    </border>
    <border>
      <left style="thin">
        <color indexed="48"/>
      </left>
      <right style="thick">
        <color indexed="62"/>
      </right>
      <top style="double">
        <color indexed="48"/>
      </top>
      <bottom style="thin">
        <color indexed="12"/>
      </bottom>
      <diagonal/>
    </border>
    <border>
      <left/>
      <right/>
      <top/>
      <bottom style="thin">
        <color indexed="44"/>
      </bottom>
      <diagonal/>
    </border>
    <border>
      <left/>
      <right style="thick">
        <color indexed="62"/>
      </right>
      <top/>
      <bottom style="thin">
        <color indexed="48"/>
      </bottom>
      <diagonal/>
    </border>
    <border>
      <left style="medium">
        <color indexed="12"/>
      </left>
      <right style="thin">
        <color indexed="12"/>
      </right>
      <top style="thin">
        <color indexed="48"/>
      </top>
      <bottom style="thin">
        <color indexed="12"/>
      </bottom>
      <diagonal/>
    </border>
    <border>
      <left style="thin">
        <color indexed="12"/>
      </left>
      <right style="thin">
        <color indexed="12"/>
      </right>
      <top style="thin">
        <color indexed="48"/>
      </top>
      <bottom style="thin">
        <color indexed="12"/>
      </bottom>
      <diagonal/>
    </border>
    <border>
      <left style="thin">
        <color indexed="12"/>
      </left>
      <right style="thick">
        <color indexed="62"/>
      </right>
      <top style="thin">
        <color indexed="48"/>
      </top>
      <bottom style="thin">
        <color indexed="12"/>
      </bottom>
      <diagonal/>
    </border>
    <border>
      <left/>
      <right style="thin">
        <color indexed="12"/>
      </right>
      <top style="thin">
        <color indexed="12"/>
      </top>
      <bottom style="thin">
        <color indexed="12"/>
      </bottom>
      <diagonal/>
    </border>
    <border>
      <left style="thin">
        <color indexed="12"/>
      </left>
      <right/>
      <top style="thin">
        <color indexed="12"/>
      </top>
      <bottom style="thin">
        <color indexed="12"/>
      </bottom>
      <diagonal/>
    </border>
    <border>
      <left/>
      <right style="thin">
        <color indexed="62"/>
      </right>
      <top style="thin">
        <color indexed="48"/>
      </top>
      <bottom style="thick">
        <color indexed="62"/>
      </bottom>
      <diagonal/>
    </border>
    <border>
      <left style="thin">
        <color indexed="62"/>
      </left>
      <right style="thin">
        <color indexed="64"/>
      </right>
      <top style="thin">
        <color indexed="62"/>
      </top>
      <bottom style="thin">
        <color indexed="62"/>
      </bottom>
      <diagonal/>
    </border>
    <border>
      <left style="thin">
        <color indexed="62"/>
      </left>
      <right style="thin">
        <color indexed="62"/>
      </right>
      <top style="medium">
        <color indexed="62"/>
      </top>
      <bottom/>
      <diagonal/>
    </border>
    <border>
      <left style="medium">
        <color indexed="64"/>
      </left>
      <right style="thick">
        <color indexed="62"/>
      </right>
      <top style="medium">
        <color indexed="64"/>
      </top>
      <bottom style="thin">
        <color indexed="64"/>
      </bottom>
      <diagonal/>
    </border>
    <border>
      <left style="medium">
        <color indexed="64"/>
      </left>
      <right style="thick">
        <color indexed="62"/>
      </right>
      <top style="thin">
        <color indexed="64"/>
      </top>
      <bottom style="thin">
        <color indexed="64"/>
      </bottom>
      <diagonal/>
    </border>
    <border>
      <left style="medium">
        <color indexed="64"/>
      </left>
      <right style="thick">
        <color indexed="62"/>
      </right>
      <top style="thin">
        <color indexed="64"/>
      </top>
      <bottom style="medium">
        <color indexed="64"/>
      </bottom>
      <diagonal/>
    </border>
    <border>
      <left style="thick">
        <color indexed="62"/>
      </left>
      <right/>
      <top/>
      <bottom style="medium">
        <color indexed="64"/>
      </bottom>
      <diagonal/>
    </border>
    <border>
      <left style="medium">
        <color indexed="62"/>
      </left>
      <right style="thick">
        <color indexed="18"/>
      </right>
      <top/>
      <bottom/>
      <diagonal/>
    </border>
    <border>
      <left style="thin">
        <color indexed="62"/>
      </left>
      <right style="thick">
        <color indexed="18"/>
      </right>
      <top style="thin">
        <color indexed="62"/>
      </top>
      <bottom style="thin">
        <color indexed="62"/>
      </bottom>
      <diagonal/>
    </border>
    <border>
      <left style="thick">
        <color indexed="18"/>
      </left>
      <right/>
      <top/>
      <bottom style="thick">
        <color indexed="62"/>
      </bottom>
      <diagonal/>
    </border>
    <border>
      <left style="thin">
        <color indexed="62"/>
      </left>
      <right style="thick">
        <color indexed="18"/>
      </right>
      <top style="thin">
        <color indexed="62"/>
      </top>
      <bottom style="thick">
        <color indexed="62"/>
      </bottom>
      <diagonal/>
    </border>
    <border>
      <left/>
      <right style="thick">
        <color indexed="18"/>
      </right>
      <top/>
      <bottom style="thick">
        <color indexed="62"/>
      </bottom>
      <diagonal/>
    </border>
    <border>
      <left style="thick">
        <color indexed="62"/>
      </left>
      <right/>
      <top/>
      <bottom style="double">
        <color indexed="12"/>
      </bottom>
      <diagonal/>
    </border>
    <border>
      <left style="thin">
        <color indexed="62"/>
      </left>
      <right style="thick">
        <color indexed="62"/>
      </right>
      <top style="thin">
        <color indexed="18"/>
      </top>
      <bottom style="thin">
        <color indexed="18"/>
      </bottom>
      <diagonal/>
    </border>
    <border>
      <left style="thick">
        <color indexed="18"/>
      </left>
      <right/>
      <top style="medium">
        <color indexed="62"/>
      </top>
      <bottom/>
      <diagonal/>
    </border>
    <border>
      <left style="thin">
        <color indexed="62"/>
      </left>
      <right style="thick">
        <color indexed="18"/>
      </right>
      <top style="medium">
        <color indexed="62"/>
      </top>
      <bottom/>
      <diagonal/>
    </border>
    <border>
      <left style="thin">
        <color indexed="62"/>
      </left>
      <right style="thick">
        <color indexed="18"/>
      </right>
      <top/>
      <bottom/>
      <diagonal/>
    </border>
    <border>
      <left style="thick">
        <color indexed="18"/>
      </left>
      <right/>
      <top/>
      <bottom style="medium">
        <color indexed="62"/>
      </bottom>
      <diagonal/>
    </border>
    <border>
      <left style="thin">
        <color indexed="62"/>
      </left>
      <right style="thick">
        <color indexed="18"/>
      </right>
      <top/>
      <bottom style="medium">
        <color indexed="62"/>
      </bottom>
      <diagonal/>
    </border>
    <border>
      <left style="thin">
        <color indexed="62"/>
      </left>
      <right style="thick">
        <color indexed="18"/>
      </right>
      <top style="thin">
        <color indexed="18"/>
      </top>
      <bottom style="thin">
        <color indexed="18"/>
      </bottom>
      <diagonal/>
    </border>
    <border>
      <left style="thick">
        <color indexed="18"/>
      </left>
      <right/>
      <top style="thick">
        <color indexed="62"/>
      </top>
      <bottom/>
      <diagonal/>
    </border>
    <border>
      <left/>
      <right style="thick">
        <color indexed="18"/>
      </right>
      <top style="thick">
        <color indexed="62"/>
      </top>
      <bottom/>
      <diagonal/>
    </border>
    <border>
      <left style="medium">
        <color indexed="62"/>
      </left>
      <right style="thick">
        <color indexed="18"/>
      </right>
      <top style="thick">
        <color indexed="62"/>
      </top>
      <bottom/>
      <diagonal/>
    </border>
    <border>
      <left style="medium">
        <color indexed="62"/>
      </left>
      <right style="thick">
        <color indexed="18"/>
      </right>
      <top/>
      <bottom style="thick">
        <color indexed="62"/>
      </bottom>
      <diagonal/>
    </border>
    <border>
      <left/>
      <right style="thick">
        <color indexed="18"/>
      </right>
      <top style="thin">
        <color indexed="62"/>
      </top>
      <bottom/>
      <diagonal/>
    </border>
    <border>
      <left style="thick">
        <color indexed="18"/>
      </left>
      <right/>
      <top style="thick">
        <color indexed="62"/>
      </top>
      <bottom style="medium">
        <color indexed="62"/>
      </bottom>
      <diagonal/>
    </border>
    <border>
      <left/>
      <right style="thick">
        <color indexed="18"/>
      </right>
      <top style="thick">
        <color indexed="62"/>
      </top>
      <bottom style="medium">
        <color indexed="62"/>
      </bottom>
      <diagonal/>
    </border>
    <border>
      <left/>
      <right style="thick">
        <color indexed="18"/>
      </right>
      <top style="medium">
        <color indexed="62"/>
      </top>
      <bottom/>
      <diagonal/>
    </border>
    <border>
      <left style="medium">
        <color indexed="62"/>
      </left>
      <right style="thick">
        <color indexed="18"/>
      </right>
      <top style="medium">
        <color indexed="62"/>
      </top>
      <bottom style="medium">
        <color indexed="62"/>
      </bottom>
      <diagonal/>
    </border>
    <border>
      <left/>
      <right style="thick">
        <color indexed="18"/>
      </right>
      <top/>
      <bottom style="medium">
        <color indexed="62"/>
      </bottom>
      <diagonal/>
    </border>
    <border>
      <left style="thick">
        <color indexed="18"/>
      </left>
      <right/>
      <top style="thick">
        <color indexed="62"/>
      </top>
      <bottom style="thick">
        <color indexed="62"/>
      </bottom>
      <diagonal/>
    </border>
    <border>
      <left style="thin">
        <color indexed="62"/>
      </left>
      <right/>
      <top style="thin">
        <color indexed="62"/>
      </top>
      <bottom/>
      <diagonal/>
    </border>
    <border>
      <left/>
      <right/>
      <top style="thin">
        <color indexed="62"/>
      </top>
      <bottom/>
      <diagonal/>
    </border>
    <border>
      <left/>
      <right style="thin">
        <color indexed="62"/>
      </right>
      <top style="thin">
        <color indexed="62"/>
      </top>
      <bottom/>
      <diagonal/>
    </border>
    <border>
      <left style="thin">
        <color indexed="62"/>
      </left>
      <right style="thick">
        <color indexed="18"/>
      </right>
      <top style="thin">
        <color indexed="62"/>
      </top>
      <bottom/>
      <diagonal/>
    </border>
    <border>
      <left style="medium">
        <color indexed="18"/>
      </left>
      <right style="thin">
        <color indexed="18"/>
      </right>
      <top/>
      <bottom style="thin">
        <color indexed="18"/>
      </bottom>
      <diagonal/>
    </border>
    <border>
      <left style="thin">
        <color indexed="18"/>
      </left>
      <right style="thin">
        <color indexed="18"/>
      </right>
      <top/>
      <bottom style="thin">
        <color indexed="18"/>
      </bottom>
      <diagonal/>
    </border>
    <border>
      <left style="thin">
        <color indexed="18"/>
      </left>
      <right style="thick">
        <color indexed="18"/>
      </right>
      <top/>
      <bottom style="thin">
        <color indexed="18"/>
      </bottom>
      <diagonal/>
    </border>
    <border>
      <left style="medium">
        <color indexed="62"/>
      </left>
      <right style="thick">
        <color indexed="18"/>
      </right>
      <top style="medium">
        <color indexed="62"/>
      </top>
      <bottom/>
      <diagonal/>
    </border>
    <border>
      <left style="medium">
        <color indexed="62"/>
      </left>
      <right style="thick">
        <color indexed="18"/>
      </right>
      <top/>
      <bottom style="thick">
        <color indexed="18"/>
      </bottom>
      <diagonal/>
    </border>
    <border>
      <left style="medium">
        <color indexed="62"/>
      </left>
      <right style="medium">
        <color indexed="62"/>
      </right>
      <top style="thick">
        <color indexed="62"/>
      </top>
      <bottom/>
      <diagonal/>
    </border>
    <border>
      <left/>
      <right style="medium">
        <color indexed="62"/>
      </right>
      <top style="medium">
        <color indexed="64"/>
      </top>
      <bottom/>
      <diagonal/>
    </border>
    <border>
      <left style="medium">
        <color indexed="62"/>
      </left>
      <right/>
      <top style="medium">
        <color indexed="64"/>
      </top>
      <bottom/>
      <diagonal/>
    </border>
    <border>
      <left/>
      <right style="thick">
        <color indexed="62"/>
      </right>
      <top style="medium">
        <color indexed="64"/>
      </top>
      <bottom/>
      <diagonal/>
    </border>
    <border>
      <left style="thin">
        <color indexed="62"/>
      </left>
      <right/>
      <top style="thin">
        <color indexed="62"/>
      </top>
      <bottom style="thick">
        <color indexed="62"/>
      </bottom>
      <diagonal/>
    </border>
    <border>
      <left style="medium">
        <color indexed="64"/>
      </left>
      <right/>
      <top style="medium">
        <color indexed="62"/>
      </top>
      <bottom/>
      <diagonal/>
    </border>
    <border>
      <left style="medium">
        <color indexed="64"/>
      </left>
      <right/>
      <top/>
      <bottom style="medium">
        <color indexed="62"/>
      </bottom>
      <diagonal/>
    </border>
    <border>
      <left style="medium">
        <color indexed="64"/>
      </left>
      <right/>
      <top style="medium">
        <color indexed="64"/>
      </top>
      <bottom/>
      <diagonal/>
    </border>
    <border>
      <left/>
      <right/>
      <top/>
      <bottom style="thin">
        <color indexed="18"/>
      </bottom>
      <diagonal/>
    </border>
    <border>
      <left style="thin">
        <color indexed="18"/>
      </left>
      <right/>
      <top style="medium">
        <color indexed="18"/>
      </top>
      <bottom style="thin">
        <color indexed="18"/>
      </bottom>
      <diagonal/>
    </border>
    <border>
      <left style="thin">
        <color indexed="62"/>
      </left>
      <right style="medium">
        <color indexed="62"/>
      </right>
      <top style="thick">
        <color indexed="62"/>
      </top>
      <bottom/>
      <diagonal/>
    </border>
    <border>
      <left style="thin">
        <color indexed="62"/>
      </left>
      <right style="medium">
        <color indexed="62"/>
      </right>
      <top/>
      <bottom/>
      <diagonal/>
    </border>
    <border>
      <left style="thin">
        <color indexed="62"/>
      </left>
      <right style="medium">
        <color indexed="62"/>
      </right>
      <top/>
      <bottom style="thick">
        <color indexed="62"/>
      </bottom>
      <diagonal/>
    </border>
    <border>
      <left style="medium">
        <color indexed="62"/>
      </left>
      <right style="thin">
        <color indexed="62"/>
      </right>
      <top style="thick">
        <color indexed="62"/>
      </top>
      <bottom/>
      <diagonal/>
    </border>
    <border>
      <left style="medium">
        <color indexed="62"/>
      </left>
      <right style="thin">
        <color indexed="62"/>
      </right>
      <top/>
      <bottom/>
      <diagonal/>
    </border>
    <border>
      <left style="medium">
        <color indexed="62"/>
      </left>
      <right style="thin">
        <color indexed="62"/>
      </right>
      <top/>
      <bottom style="thick">
        <color indexed="62"/>
      </bottom>
      <diagonal/>
    </border>
    <border>
      <left style="thin">
        <color indexed="62"/>
      </left>
      <right style="thin">
        <color indexed="62"/>
      </right>
      <top style="thick">
        <color indexed="62"/>
      </top>
      <bottom/>
      <diagonal/>
    </border>
    <border>
      <left style="thin">
        <color indexed="62"/>
      </left>
      <right/>
      <top/>
      <bottom/>
      <diagonal/>
    </border>
    <border>
      <left style="thin">
        <color indexed="62"/>
      </left>
      <right style="medium">
        <color indexed="62"/>
      </right>
      <top/>
      <bottom style="medium">
        <color indexed="62"/>
      </bottom>
      <diagonal/>
    </border>
    <border>
      <left style="medium">
        <color indexed="62"/>
      </left>
      <right style="thin">
        <color indexed="62"/>
      </right>
      <top style="medium">
        <color indexed="62"/>
      </top>
      <bottom/>
      <diagonal/>
    </border>
    <border>
      <left style="thin">
        <color indexed="62"/>
      </left>
      <right style="medium">
        <color indexed="62"/>
      </right>
      <top style="medium">
        <color indexed="62"/>
      </top>
      <bottom/>
      <diagonal/>
    </border>
    <border>
      <left style="medium">
        <color indexed="62"/>
      </left>
      <right style="thin">
        <color indexed="62"/>
      </right>
      <top/>
      <bottom style="medium">
        <color indexed="62"/>
      </bottom>
      <diagonal/>
    </border>
    <border>
      <left style="thin">
        <color indexed="62"/>
      </left>
      <right style="thin">
        <color indexed="62"/>
      </right>
      <top/>
      <bottom style="medium">
        <color indexed="62"/>
      </bottom>
      <diagonal/>
    </border>
    <border>
      <left style="thin">
        <color indexed="62"/>
      </left>
      <right/>
      <top style="medium">
        <color indexed="62"/>
      </top>
      <bottom/>
      <diagonal/>
    </border>
    <border>
      <left style="thin">
        <color indexed="62"/>
      </left>
      <right/>
      <top/>
      <bottom style="medium">
        <color indexed="62"/>
      </bottom>
      <diagonal/>
    </border>
    <border>
      <left style="medium">
        <color indexed="62"/>
      </left>
      <right style="medium">
        <color indexed="62"/>
      </right>
      <top style="thin">
        <color indexed="62"/>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ck">
        <color indexed="18"/>
      </left>
      <right/>
      <top style="thick">
        <color indexed="18"/>
      </top>
      <bottom style="thick">
        <color indexed="18"/>
      </bottom>
      <diagonal/>
    </border>
    <border>
      <left style="medium">
        <color indexed="18"/>
      </left>
      <right style="medium">
        <color indexed="18"/>
      </right>
      <top style="thick">
        <color indexed="18"/>
      </top>
      <bottom style="thick">
        <color indexed="18"/>
      </bottom>
      <diagonal/>
    </border>
    <border>
      <left style="medium">
        <color indexed="18"/>
      </left>
      <right style="thick">
        <color indexed="18"/>
      </right>
      <top style="thick">
        <color indexed="18"/>
      </top>
      <bottom style="thick">
        <color indexed="18"/>
      </bottom>
      <diagonal/>
    </border>
    <border>
      <left style="thick">
        <color indexed="18"/>
      </left>
      <right style="thin">
        <color indexed="18"/>
      </right>
      <top style="thick">
        <color indexed="18"/>
      </top>
      <bottom/>
      <diagonal/>
    </border>
    <border>
      <left style="thin">
        <color indexed="18"/>
      </left>
      <right style="thin">
        <color indexed="18"/>
      </right>
      <top style="thick">
        <color indexed="18"/>
      </top>
      <bottom/>
      <diagonal/>
    </border>
    <border>
      <left style="thick">
        <color indexed="18"/>
      </left>
      <right style="thin">
        <color indexed="18"/>
      </right>
      <top/>
      <bottom style="thick">
        <color indexed="18"/>
      </bottom>
      <diagonal/>
    </border>
    <border>
      <left/>
      <right style="thin">
        <color indexed="62"/>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ck">
        <color indexed="56"/>
      </left>
      <right/>
      <top/>
      <bottom/>
      <diagonal/>
    </border>
    <border>
      <left/>
      <right style="thick">
        <color indexed="56"/>
      </right>
      <top/>
      <bottom/>
      <diagonal/>
    </border>
    <border>
      <left style="medium">
        <color indexed="18"/>
      </left>
      <right style="thin">
        <color indexed="18"/>
      </right>
      <top style="thin">
        <color indexed="18"/>
      </top>
      <bottom style="thick">
        <color indexed="18"/>
      </bottom>
      <diagonal/>
    </border>
    <border>
      <left/>
      <right style="thin">
        <color indexed="62"/>
      </right>
      <top style="medium">
        <color indexed="64"/>
      </top>
      <bottom/>
      <diagonal/>
    </border>
    <border>
      <left style="thin">
        <color indexed="62"/>
      </left>
      <right style="thin">
        <color indexed="62"/>
      </right>
      <top style="medium">
        <color indexed="64"/>
      </top>
      <bottom/>
      <diagonal/>
    </border>
    <border>
      <left style="thin">
        <color indexed="62"/>
      </left>
      <right style="medium">
        <color indexed="64"/>
      </right>
      <top style="medium">
        <color indexed="64"/>
      </top>
      <bottom/>
      <diagonal/>
    </border>
    <border>
      <left style="thin">
        <color indexed="62"/>
      </left>
      <right style="medium">
        <color indexed="64"/>
      </right>
      <top/>
      <bottom/>
      <diagonal/>
    </border>
    <border>
      <left style="medium">
        <color indexed="64"/>
      </left>
      <right style="thin">
        <color indexed="62"/>
      </right>
      <top/>
      <bottom/>
      <diagonal/>
    </border>
    <border>
      <left style="medium">
        <color indexed="64"/>
      </left>
      <right style="thin">
        <color indexed="62"/>
      </right>
      <top/>
      <bottom style="thin">
        <color indexed="62"/>
      </bottom>
      <diagonal/>
    </border>
    <border>
      <left style="thin">
        <color indexed="62"/>
      </left>
      <right style="medium">
        <color indexed="64"/>
      </right>
      <top/>
      <bottom style="thin">
        <color indexed="62"/>
      </bottom>
      <diagonal/>
    </border>
    <border>
      <left style="medium">
        <color indexed="64"/>
      </left>
      <right style="thin">
        <color indexed="62"/>
      </right>
      <top/>
      <bottom style="medium">
        <color indexed="64"/>
      </bottom>
      <diagonal/>
    </border>
    <border>
      <left style="thin">
        <color indexed="62"/>
      </left>
      <right style="thin">
        <color indexed="62"/>
      </right>
      <top/>
      <bottom style="medium">
        <color indexed="64"/>
      </bottom>
      <diagonal/>
    </border>
    <border>
      <left style="thin">
        <color indexed="62"/>
      </left>
      <right/>
      <top/>
      <bottom style="medium">
        <color indexed="64"/>
      </bottom>
      <diagonal/>
    </border>
    <border>
      <left style="thin">
        <color indexed="62"/>
      </left>
      <right style="medium">
        <color indexed="64"/>
      </right>
      <top/>
      <bottom style="medium">
        <color indexed="64"/>
      </bottom>
      <diagonal/>
    </border>
    <border>
      <left style="thick">
        <color indexed="62"/>
      </left>
      <right style="medium">
        <color indexed="62"/>
      </right>
      <top style="medium">
        <color indexed="62"/>
      </top>
      <bottom/>
      <diagonal/>
    </border>
    <border>
      <left style="medium">
        <color indexed="62"/>
      </left>
      <right style="medium">
        <color indexed="62"/>
      </right>
      <top style="medium">
        <color indexed="64"/>
      </top>
      <bottom style="medium">
        <color indexed="64"/>
      </bottom>
      <diagonal/>
    </border>
    <border>
      <left/>
      <right style="thin">
        <color indexed="62"/>
      </right>
      <top style="medium">
        <color indexed="64"/>
      </top>
      <bottom style="medium">
        <color indexed="64"/>
      </bottom>
      <diagonal/>
    </border>
    <border>
      <left style="thin">
        <color indexed="62"/>
      </left>
      <right style="thin">
        <color indexed="62"/>
      </right>
      <top style="medium">
        <color indexed="64"/>
      </top>
      <bottom style="medium">
        <color indexed="64"/>
      </bottom>
      <diagonal/>
    </border>
    <border>
      <left style="thin">
        <color indexed="62"/>
      </left>
      <right style="medium">
        <color indexed="64"/>
      </right>
      <top style="medium">
        <color indexed="64"/>
      </top>
      <bottom style="medium">
        <color indexed="64"/>
      </bottom>
      <diagonal/>
    </border>
    <border>
      <left/>
      <right/>
      <top style="thin">
        <color indexed="64"/>
      </top>
      <bottom/>
      <diagonal/>
    </border>
    <border>
      <left/>
      <right style="medium">
        <color indexed="64"/>
      </right>
      <top/>
      <bottom style="medium">
        <color indexed="64"/>
      </bottom>
      <diagonal/>
    </border>
    <border>
      <left style="medium">
        <color indexed="64"/>
      </left>
      <right/>
      <top/>
      <bottom style="medium">
        <color indexed="64"/>
      </bottom>
      <diagonal/>
    </border>
    <border>
      <left/>
      <right style="medium">
        <color indexed="64"/>
      </right>
      <top style="medium">
        <color indexed="64"/>
      </top>
      <bottom/>
      <diagonal/>
    </border>
    <border>
      <left/>
      <right style="medium">
        <color indexed="64"/>
      </right>
      <top/>
      <bottom/>
      <diagonal/>
    </border>
    <border>
      <left style="thin">
        <color indexed="64"/>
      </left>
      <right/>
      <top style="medium">
        <color indexed="64"/>
      </top>
      <bottom/>
      <diagonal/>
    </border>
    <border>
      <left style="thin">
        <color indexed="64"/>
      </left>
      <right/>
      <top/>
      <bottom style="medium">
        <color indexed="64"/>
      </bottom>
      <diagonal/>
    </border>
    <border>
      <left/>
      <right/>
      <top style="medium">
        <color indexed="64"/>
      </top>
      <bottom/>
      <diagonal/>
    </border>
    <border>
      <left style="thin">
        <color indexed="64"/>
      </left>
      <right style="thin">
        <color indexed="62"/>
      </right>
      <top style="thin">
        <color indexed="62"/>
      </top>
      <bottom style="thin">
        <color indexed="64"/>
      </bottom>
      <diagonal/>
    </border>
    <border>
      <left style="thin">
        <color indexed="64"/>
      </left>
      <right/>
      <top/>
      <bottom style="thin">
        <color indexed="62"/>
      </bottom>
      <diagonal/>
    </border>
    <border>
      <left style="thin">
        <color indexed="62"/>
      </left>
      <right style="thin">
        <color indexed="62"/>
      </right>
      <top style="thin">
        <color indexed="62"/>
      </top>
      <bottom style="thin">
        <color indexed="64"/>
      </bottom>
      <diagonal/>
    </border>
    <border>
      <left style="thin">
        <color theme="3" tint="-0.24994659260841701"/>
      </left>
      <right style="thin">
        <color theme="3" tint="-0.24994659260841701"/>
      </right>
      <top style="thin">
        <color theme="3" tint="-0.24994659260841701"/>
      </top>
      <bottom style="thin">
        <color theme="3" tint="-0.24994659260841701"/>
      </bottom>
      <diagonal/>
    </border>
    <border>
      <left style="thin">
        <color theme="3" tint="0.59996337778862885"/>
      </left>
      <right style="thin">
        <color theme="3" tint="0.59996337778862885"/>
      </right>
      <top style="thin">
        <color theme="3" tint="0.59996337778862885"/>
      </top>
      <bottom style="thin">
        <color theme="3" tint="0.59996337778862885"/>
      </bottom>
      <diagonal/>
    </border>
    <border>
      <left style="thin">
        <color theme="3" tint="-0.24994659260841701"/>
      </left>
      <right style="thin">
        <color theme="3" tint="-0.24994659260841701"/>
      </right>
      <top/>
      <bottom style="medium">
        <color indexed="64"/>
      </bottom>
      <diagonal/>
    </border>
    <border>
      <left style="thin">
        <color theme="3" tint="-0.24994659260841701"/>
      </left>
      <right style="thin">
        <color theme="3" tint="-0.24994659260841701"/>
      </right>
      <top style="thin">
        <color theme="3" tint="-0.24994659260841701"/>
      </top>
      <bottom style="medium">
        <color indexed="64"/>
      </bottom>
      <diagonal/>
    </border>
    <border>
      <left style="thin">
        <color theme="3" tint="0.59996337778862885"/>
      </left>
      <right style="thin">
        <color theme="3" tint="0.59996337778862885"/>
      </right>
      <top style="thin">
        <color theme="3" tint="0.59996337778862885"/>
      </top>
      <bottom style="medium">
        <color indexed="64"/>
      </bottom>
      <diagonal/>
    </border>
    <border>
      <left style="thin">
        <color theme="3" tint="0.59996337778862885"/>
      </left>
      <right style="thin">
        <color theme="3" tint="-0.24994659260841701"/>
      </right>
      <top/>
      <bottom style="medium">
        <color indexed="64"/>
      </bottom>
      <diagonal/>
    </border>
    <border>
      <left style="thin">
        <color theme="3" tint="-0.24994659260841701"/>
      </left>
      <right style="thin">
        <color theme="3" tint="-0.24994659260841701"/>
      </right>
      <top/>
      <bottom style="thin">
        <color theme="3" tint="-0.24994659260841701"/>
      </bottom>
      <diagonal/>
    </border>
    <border>
      <left style="thin">
        <color theme="3" tint="0.59996337778862885"/>
      </left>
      <right style="thin">
        <color theme="3" tint="0.59996337778862885"/>
      </right>
      <top/>
      <bottom style="thin">
        <color theme="3" tint="0.59996337778862885"/>
      </bottom>
      <diagonal/>
    </border>
    <border>
      <left style="thin">
        <color theme="3" tint="0.59996337778862885"/>
      </left>
      <right style="thin">
        <color theme="3" tint="-0.24994659260841701"/>
      </right>
      <top/>
      <bottom style="thin">
        <color theme="3" tint="0.59996337778862885"/>
      </bottom>
      <diagonal/>
    </border>
    <border>
      <left style="thin">
        <color theme="3" tint="0.59996337778862885"/>
      </left>
      <right style="thin">
        <color theme="3" tint="0.59996337778862885"/>
      </right>
      <top/>
      <bottom style="medium">
        <color indexed="64"/>
      </bottom>
      <diagonal/>
    </border>
    <border>
      <left style="thin">
        <color theme="3" tint="0.59996337778862885"/>
      </left>
      <right/>
      <top/>
      <bottom style="medium">
        <color indexed="64"/>
      </bottom>
      <diagonal/>
    </border>
    <border>
      <left style="thin">
        <color theme="3" tint="-0.24994659260841701"/>
      </left>
      <right style="thin">
        <color theme="3" tint="-0.24994659260841701"/>
      </right>
      <top style="thin">
        <color theme="3" tint="0.59996337778862885"/>
      </top>
      <bottom style="medium">
        <color indexed="64"/>
      </bottom>
      <diagonal/>
    </border>
    <border>
      <left style="thin">
        <color theme="3" tint="0.59996337778862885"/>
      </left>
      <right style="thin">
        <color theme="3" tint="0.59996337778862885"/>
      </right>
      <top style="thin">
        <color theme="3" tint="0.59996337778862885"/>
      </top>
      <bottom style="thin">
        <color theme="3" tint="-0.24994659260841701"/>
      </bottom>
      <diagonal/>
    </border>
    <border>
      <left/>
      <right style="thin">
        <color indexed="64"/>
      </right>
      <top style="thin">
        <color theme="3" tint="-0.24994659260841701"/>
      </top>
      <bottom style="medium">
        <color indexed="64"/>
      </bottom>
      <diagonal/>
    </border>
    <border>
      <left/>
      <right style="thin">
        <color indexed="64"/>
      </right>
      <top/>
      <bottom style="medium">
        <color indexed="64"/>
      </bottom>
      <diagonal/>
    </border>
    <border>
      <left/>
      <right/>
      <top style="thin">
        <color theme="3" tint="-0.24994659260841701"/>
      </top>
      <bottom style="medium">
        <color indexed="64"/>
      </bottom>
      <diagonal/>
    </border>
    <border>
      <left style="thin">
        <color theme="3" tint="-0.24994659260841701"/>
      </left>
      <right style="thin">
        <color theme="3" tint="0.59996337778862885"/>
      </right>
      <top style="thin">
        <color theme="3" tint="0.59996337778862885"/>
      </top>
      <bottom/>
      <diagonal/>
    </border>
    <border>
      <left style="thin">
        <color theme="3" tint="-0.24994659260841701"/>
      </left>
      <right style="thin">
        <color indexed="64"/>
      </right>
      <top style="thin">
        <color theme="3" tint="-0.24994659260841701"/>
      </top>
      <bottom style="thin">
        <color theme="3" tint="-0.24994659260841701"/>
      </bottom>
      <diagonal/>
    </border>
    <border>
      <left/>
      <right style="thin">
        <color theme="3" tint="0.59996337778862885"/>
      </right>
      <top style="thin">
        <color theme="3" tint="0.59996337778862885"/>
      </top>
      <bottom style="thin">
        <color theme="3" tint="-0.24994659260841701"/>
      </bottom>
      <diagonal/>
    </border>
    <border>
      <left style="thin">
        <color theme="3" tint="0.59996337778862885"/>
      </left>
      <right style="thin">
        <color theme="3" tint="0.59996337778862885"/>
      </right>
      <top/>
      <bottom style="thin">
        <color theme="3" tint="-0.24994659260841701"/>
      </bottom>
      <diagonal/>
    </border>
    <border>
      <left/>
      <right style="thin">
        <color rgb="FF000000"/>
      </right>
      <top style="thin">
        <color indexed="64"/>
      </top>
      <bottom/>
      <diagonal/>
    </border>
    <border>
      <left style="thin">
        <color rgb="FF16365C"/>
      </left>
      <right style="thin">
        <color rgb="FF16365C"/>
      </right>
      <top style="thin">
        <color rgb="FF16365C"/>
      </top>
      <bottom style="thin">
        <color rgb="FF16365C"/>
      </bottom>
      <diagonal/>
    </border>
    <border>
      <left/>
      <right style="thin">
        <color rgb="FF16365C"/>
      </right>
      <top style="thin">
        <color rgb="FF16365C"/>
      </top>
      <bottom style="thin">
        <color rgb="FF16365C"/>
      </bottom>
      <diagonal/>
    </border>
    <border>
      <left style="thin">
        <color indexed="64"/>
      </left>
      <right style="thin">
        <color rgb="FF3366FF"/>
      </right>
      <top style="thin">
        <color rgb="FF3366FF"/>
      </top>
      <bottom style="thin">
        <color indexed="64"/>
      </bottom>
      <diagonal/>
    </border>
    <border>
      <left/>
      <right style="thin">
        <color rgb="FF3366FF"/>
      </right>
      <top style="thin">
        <color rgb="FF3366FF"/>
      </top>
      <bottom style="thin">
        <color indexed="64"/>
      </bottom>
      <diagonal/>
    </border>
    <border>
      <left/>
      <right style="thin">
        <color indexed="64"/>
      </right>
      <top style="thin">
        <color rgb="FF3366FF"/>
      </top>
      <bottom style="thin">
        <color indexed="64"/>
      </bottom>
      <diagonal/>
    </border>
    <border>
      <left style="thin">
        <color rgb="FF3366FF"/>
      </left>
      <right style="thin">
        <color indexed="64"/>
      </right>
      <top style="thin">
        <color rgb="FF3366FF"/>
      </top>
      <bottom style="thin">
        <color indexed="64"/>
      </bottom>
      <diagonal/>
    </border>
    <border>
      <left style="thin">
        <color rgb="FF3366FF"/>
      </left>
      <right style="thin">
        <color rgb="FF3366FF"/>
      </right>
      <top style="thin">
        <color rgb="FF3366FF"/>
      </top>
      <bottom style="thin">
        <color rgb="FF3366FF"/>
      </bottom>
      <diagonal/>
    </border>
    <border>
      <left style="thin">
        <color rgb="FF3366FF"/>
      </left>
      <right style="thin">
        <color rgb="FF3366FF"/>
      </right>
      <top/>
      <bottom style="thin">
        <color rgb="FF3366FF"/>
      </bottom>
      <diagonal/>
    </border>
    <border>
      <left style="thin">
        <color rgb="FF3366FF"/>
      </left>
      <right style="thin">
        <color rgb="FF3366FF"/>
      </right>
      <top style="thin">
        <color indexed="64"/>
      </top>
      <bottom style="medium">
        <color indexed="64"/>
      </bottom>
      <diagonal/>
    </border>
    <border>
      <left/>
      <right style="thin">
        <color rgb="FF3366FF"/>
      </right>
      <top style="thin">
        <color indexed="64"/>
      </top>
      <bottom style="medium">
        <color indexed="64"/>
      </bottom>
      <diagonal/>
    </border>
    <border>
      <left/>
      <right style="medium">
        <color rgb="FF000000"/>
      </right>
      <top style="medium">
        <color indexed="64"/>
      </top>
      <bottom/>
      <diagonal/>
    </border>
    <border>
      <left style="medium">
        <color indexed="64"/>
      </left>
      <right style="thin">
        <color rgb="FF3366FF"/>
      </right>
      <top style="thin">
        <color rgb="FF3366FF"/>
      </top>
      <bottom style="medium">
        <color indexed="64"/>
      </bottom>
      <diagonal/>
    </border>
    <border>
      <left style="thin">
        <color indexed="64"/>
      </left>
      <right style="thin">
        <color rgb="FF3366FF"/>
      </right>
      <top style="thin">
        <color rgb="FF3366FF"/>
      </top>
      <bottom style="medium">
        <color indexed="64"/>
      </bottom>
      <diagonal/>
    </border>
    <border>
      <left/>
      <right style="thin">
        <color rgb="FF3366FF"/>
      </right>
      <top style="thin">
        <color rgb="FF3366FF"/>
      </top>
      <bottom style="medium">
        <color indexed="64"/>
      </bottom>
      <diagonal/>
    </border>
    <border>
      <left/>
      <right style="thin">
        <color indexed="64"/>
      </right>
      <top style="thin">
        <color rgb="FF3366FF"/>
      </top>
      <bottom style="medium">
        <color indexed="64"/>
      </bottom>
      <diagonal/>
    </border>
    <border>
      <left style="thin">
        <color rgb="FF3366FF"/>
      </left>
      <right style="medium">
        <color indexed="64"/>
      </right>
      <top style="thin">
        <color rgb="FF3366FF"/>
      </top>
      <bottom style="medium">
        <color indexed="64"/>
      </bottom>
      <diagonal/>
    </border>
    <border>
      <left/>
      <right style="thin">
        <color indexed="64"/>
      </right>
      <top/>
      <bottom/>
      <diagonal/>
    </border>
    <border>
      <left style="medium">
        <color indexed="64"/>
      </left>
      <right style="thin">
        <color rgb="FF333399"/>
      </right>
      <top style="thin">
        <color rgb="FF333399"/>
      </top>
      <bottom style="thin">
        <color indexed="64"/>
      </bottom>
      <diagonal/>
    </border>
    <border>
      <left/>
      <right style="thin">
        <color rgb="FF3366FF"/>
      </right>
      <top style="thin">
        <color rgb="FF3366FF"/>
      </top>
      <bottom style="thin">
        <color rgb="FF3366FF"/>
      </bottom>
      <diagonal/>
    </border>
    <border>
      <left style="thin">
        <color rgb="FF333399"/>
      </left>
      <right style="thin">
        <color rgb="FF333399"/>
      </right>
      <top style="thin">
        <color rgb="FF333399"/>
      </top>
      <bottom style="thin">
        <color rgb="FF333399"/>
      </bottom>
      <diagonal/>
    </border>
    <border>
      <left/>
      <right style="thin">
        <color rgb="FF333399"/>
      </right>
      <top style="thin">
        <color rgb="FF333399"/>
      </top>
      <bottom style="thin">
        <color rgb="FF333399"/>
      </bottom>
      <diagonal/>
    </border>
    <border>
      <left/>
      <right style="thin">
        <color rgb="FF3366FF"/>
      </right>
      <top/>
      <bottom style="thin">
        <color rgb="FF3366FF"/>
      </bottom>
      <diagonal/>
    </border>
    <border>
      <left style="medium">
        <color indexed="64"/>
      </left>
      <right/>
      <top style="thin">
        <color rgb="FF333399"/>
      </top>
      <bottom style="thin">
        <color indexed="64"/>
      </bottom>
      <diagonal/>
    </border>
    <border>
      <left style="thin">
        <color rgb="FF16365C"/>
      </left>
      <right style="thin">
        <color rgb="FF16365C"/>
      </right>
      <top style="thin">
        <color rgb="FF16365C"/>
      </top>
      <bottom style="medium">
        <color indexed="64"/>
      </bottom>
      <diagonal/>
    </border>
    <border>
      <left style="thin">
        <color indexed="64"/>
      </left>
      <right style="thin">
        <color rgb="FF3366FF"/>
      </right>
      <top style="thin">
        <color rgb="FF3366FF"/>
      </top>
      <bottom/>
      <diagonal/>
    </border>
    <border>
      <left/>
      <right style="thin">
        <color rgb="FF3366FF"/>
      </right>
      <top style="thin">
        <color rgb="FF3366FF"/>
      </top>
      <bottom/>
      <diagonal/>
    </border>
    <border>
      <left/>
      <right style="thin">
        <color indexed="64"/>
      </right>
      <top style="thin">
        <color rgb="FF3366FF"/>
      </top>
      <bottom/>
      <diagonal/>
    </border>
    <border>
      <left style="thin">
        <color rgb="FF3366FF"/>
      </left>
      <right style="thin">
        <color indexed="64"/>
      </right>
      <top style="thin">
        <color rgb="FF3366FF"/>
      </top>
      <bottom/>
      <diagonal/>
    </border>
    <border>
      <left style="thin">
        <color rgb="FF333399"/>
      </left>
      <right/>
      <top style="thin">
        <color rgb="FF333399"/>
      </top>
      <bottom style="thin">
        <color rgb="FF333399"/>
      </bottom>
      <diagonal/>
    </border>
    <border>
      <left style="thin">
        <color rgb="FF000000"/>
      </left>
      <right style="thin">
        <color rgb="FF000000"/>
      </right>
      <top style="thin">
        <color rgb="FF000000"/>
      </top>
      <bottom style="thin">
        <color rgb="FF000000"/>
      </bottom>
      <diagonal/>
    </border>
    <border>
      <left/>
      <right style="thin">
        <color rgb="FF333399"/>
      </right>
      <top/>
      <bottom style="thin">
        <color rgb="FF333399"/>
      </bottom>
      <diagonal/>
    </border>
    <border>
      <left style="thin">
        <color rgb="FF3366FF"/>
      </left>
      <right style="thin">
        <color rgb="FF3366FF"/>
      </right>
      <top/>
      <bottom/>
      <diagonal/>
    </border>
    <border>
      <left style="medium">
        <color indexed="64"/>
      </left>
      <right style="thin">
        <color rgb="FF3366FF"/>
      </right>
      <top style="medium">
        <color indexed="64"/>
      </top>
      <bottom style="medium">
        <color indexed="64"/>
      </bottom>
      <diagonal/>
    </border>
    <border>
      <left style="thin">
        <color rgb="FF3366FF"/>
      </left>
      <right style="thin">
        <color rgb="FF3366FF"/>
      </right>
      <top style="medium">
        <color indexed="64"/>
      </top>
      <bottom style="medium">
        <color indexed="64"/>
      </bottom>
      <diagonal/>
    </border>
    <border>
      <left style="thin">
        <color indexed="64"/>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333399"/>
      </left>
      <right style="thin">
        <color rgb="FF333399"/>
      </right>
      <top/>
      <bottom style="thin">
        <color rgb="FF333399"/>
      </bottom>
      <diagonal/>
    </border>
    <border>
      <left/>
      <right style="medium">
        <color rgb="FF000000"/>
      </right>
      <top/>
      <bottom/>
      <diagonal/>
    </border>
    <border>
      <left style="thin">
        <color indexed="64"/>
      </left>
      <right style="thin">
        <color rgb="FF3366FF"/>
      </right>
      <top style="thin">
        <color rgb="FF3366FF"/>
      </top>
      <bottom style="thin">
        <color rgb="FF3366FF"/>
      </bottom>
      <diagonal/>
    </border>
    <border>
      <left style="thin">
        <color rgb="FF3366FF"/>
      </left>
      <right/>
      <top style="thin">
        <color rgb="FF3366FF"/>
      </top>
      <bottom style="thin">
        <color indexed="64"/>
      </bottom>
      <diagonal/>
    </border>
    <border>
      <left style="thin">
        <color indexed="64"/>
      </left>
      <right style="thin">
        <color indexed="64"/>
      </right>
      <top style="thin">
        <color indexed="64"/>
      </top>
      <bottom style="medium">
        <color indexed="64"/>
      </bottom>
      <diagonal/>
    </border>
    <border>
      <left/>
      <right style="medium">
        <color rgb="FF000000"/>
      </right>
      <top/>
      <bottom style="medium">
        <color indexed="64"/>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thin">
        <color indexed="64"/>
      </left>
      <right style="medium">
        <color indexed="64"/>
      </right>
      <top style="medium">
        <color indexed="64"/>
      </top>
      <bottom/>
      <diagonal/>
    </border>
    <border>
      <left style="thin">
        <color indexed="64"/>
      </left>
      <right style="thin">
        <color indexed="64"/>
      </right>
      <top/>
      <bottom/>
      <diagonal/>
    </border>
    <border>
      <left style="medium">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top style="double">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rgb="FF000000"/>
      </left>
      <right/>
      <top/>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right style="thin">
        <color rgb="FF000000"/>
      </right>
      <top/>
      <bottom/>
      <diagonal/>
    </border>
    <border>
      <left style="thin">
        <color rgb="FF000000"/>
      </left>
      <right style="thin">
        <color rgb="FF000000"/>
      </right>
      <top style="thin">
        <color rgb="FF000000"/>
      </top>
      <bottom style="medium">
        <color rgb="FF000000"/>
      </bottom>
      <diagonal/>
    </border>
    <border>
      <left style="thin">
        <color rgb="FF000000"/>
      </left>
      <right style="thin">
        <color rgb="FF000000"/>
      </right>
      <top style="medium">
        <color rgb="FF000000"/>
      </top>
      <bottom style="thin">
        <color rgb="FF000000"/>
      </bottom>
      <diagonal/>
    </border>
    <border>
      <left style="thin">
        <color rgb="FF000000"/>
      </left>
      <right/>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style="thin">
        <color rgb="FF000000"/>
      </left>
      <right style="thin">
        <color rgb="FF000000"/>
      </right>
      <top style="medium">
        <color rgb="FF000000"/>
      </top>
      <bottom style="medium">
        <color rgb="FF000000"/>
      </bottom>
      <diagonal/>
    </border>
    <border>
      <left style="thin">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medium">
        <color indexed="64"/>
      </left>
      <right style="thin">
        <color rgb="FF333399"/>
      </right>
      <top style="thin">
        <color rgb="FF333399"/>
      </top>
      <bottom style="thin">
        <color rgb="FF333399"/>
      </bottom>
      <diagonal/>
    </border>
    <border>
      <left style="medium">
        <color indexed="64"/>
      </left>
      <right style="thin">
        <color rgb="FF333399"/>
      </right>
      <top/>
      <bottom style="thin">
        <color rgb="FF333399"/>
      </bottom>
      <diagonal/>
    </border>
    <border>
      <left/>
      <right/>
      <top style="medium">
        <color indexed="64"/>
      </top>
      <bottom style="double">
        <color indexed="64"/>
      </bottom>
      <diagonal/>
    </border>
    <border>
      <left style="thin">
        <color rgb="FF16365C"/>
      </left>
      <right style="thin">
        <color rgb="FF16365C"/>
      </right>
      <top/>
      <bottom style="thin">
        <color rgb="FF16365C"/>
      </bottom>
      <diagonal/>
    </border>
    <border>
      <left/>
      <right style="thin">
        <color rgb="FF16365C"/>
      </right>
      <top/>
      <bottom style="thin">
        <color rgb="FF16365C"/>
      </bottom>
      <diagonal/>
    </border>
    <border>
      <left style="thin">
        <color rgb="FF8DB4E2"/>
      </left>
      <right style="thin">
        <color rgb="FF16365C"/>
      </right>
      <top style="thin">
        <color rgb="FF8DB4E2"/>
      </top>
      <bottom style="thin">
        <color rgb="FF8DB4E2"/>
      </bottom>
      <diagonal/>
    </border>
    <border>
      <left style="thin">
        <color rgb="FF8DB4E2"/>
      </left>
      <right style="thin">
        <color rgb="FF16365C"/>
      </right>
      <top/>
      <bottom style="thin">
        <color rgb="FF8DB4E2"/>
      </bottom>
      <diagonal/>
    </border>
    <border>
      <left style="thin">
        <color rgb="FF808080"/>
      </left>
      <right style="thin">
        <color rgb="FF808080"/>
      </right>
      <top style="thin">
        <color rgb="FF808080"/>
      </top>
      <bottom style="thin">
        <color rgb="FF808080"/>
      </bottom>
      <diagonal/>
    </border>
    <border>
      <left/>
      <right style="thin">
        <color rgb="FF16365C"/>
      </right>
      <top style="thin">
        <color rgb="FF808080"/>
      </top>
      <bottom style="thin">
        <color rgb="FF808080"/>
      </bottom>
      <diagonal/>
    </border>
    <border>
      <left style="thin">
        <color rgb="FF808080"/>
      </left>
      <right style="thin">
        <color rgb="FF16365C"/>
      </right>
      <top style="thin">
        <color rgb="FF808080"/>
      </top>
      <bottom style="thin">
        <color rgb="FF808080"/>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2"/>
      </right>
      <top style="medium">
        <color indexed="64"/>
      </top>
      <bottom style="medium">
        <color indexed="62"/>
      </bottom>
      <diagonal/>
    </border>
    <border>
      <left style="medium">
        <color indexed="62"/>
      </left>
      <right style="medium">
        <color indexed="64"/>
      </right>
      <top style="medium">
        <color indexed="64"/>
      </top>
      <bottom style="medium">
        <color indexed="62"/>
      </bottom>
      <diagonal/>
    </border>
    <border>
      <left style="medium">
        <color indexed="64"/>
      </left>
      <right style="medium">
        <color indexed="62"/>
      </right>
      <top style="medium">
        <color indexed="62"/>
      </top>
      <bottom/>
      <diagonal/>
    </border>
    <border>
      <left style="medium">
        <color indexed="62"/>
      </left>
      <right style="medium">
        <color indexed="64"/>
      </right>
      <top style="medium">
        <color indexed="62"/>
      </top>
      <bottom/>
      <diagonal/>
    </border>
    <border>
      <left style="medium">
        <color indexed="64"/>
      </left>
      <right style="medium">
        <color indexed="62"/>
      </right>
      <top/>
      <bottom style="medium">
        <color indexed="64"/>
      </bottom>
      <diagonal/>
    </border>
    <border>
      <left style="medium">
        <color indexed="62"/>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bottom/>
      <diagonal/>
    </border>
    <border>
      <left style="medium">
        <color indexed="64"/>
      </left>
      <right style="medium">
        <color indexed="64"/>
      </right>
      <top style="thin">
        <color indexed="62"/>
      </top>
      <bottom style="thin">
        <color indexed="62"/>
      </bottom>
      <diagonal/>
    </border>
    <border>
      <left style="medium">
        <color indexed="64"/>
      </left>
      <right style="thin">
        <color indexed="64"/>
      </right>
      <top style="thin">
        <color indexed="62"/>
      </top>
      <bottom style="thin">
        <color indexed="62"/>
      </bottom>
      <diagonal/>
    </border>
    <border>
      <left style="thin">
        <color indexed="64"/>
      </left>
      <right style="thin">
        <color indexed="64"/>
      </right>
      <top style="thin">
        <color indexed="62"/>
      </top>
      <bottom style="thin">
        <color indexed="62"/>
      </bottom>
      <diagonal/>
    </border>
    <border>
      <left style="thin">
        <color indexed="64"/>
      </left>
      <right style="medium">
        <color indexed="64"/>
      </right>
      <top style="thin">
        <color indexed="62"/>
      </top>
      <bottom style="thin">
        <color indexed="62"/>
      </bottom>
      <diagonal/>
    </border>
    <border>
      <left/>
      <right style="medium">
        <color indexed="64"/>
      </right>
      <top style="thin">
        <color indexed="62"/>
      </top>
      <bottom style="thin">
        <color indexed="62"/>
      </bottom>
      <diagonal/>
    </border>
    <border>
      <left style="medium">
        <color indexed="64"/>
      </left>
      <right style="medium">
        <color indexed="64"/>
      </right>
      <top/>
      <bottom style="thick">
        <color indexed="62"/>
      </bottom>
      <diagonal/>
    </border>
    <border>
      <left style="medium">
        <color indexed="64"/>
      </left>
      <right style="thin">
        <color indexed="64"/>
      </right>
      <top/>
      <bottom style="thick">
        <color indexed="62"/>
      </bottom>
      <diagonal/>
    </border>
    <border>
      <left style="thin">
        <color indexed="64"/>
      </left>
      <right style="thin">
        <color indexed="64"/>
      </right>
      <top/>
      <bottom style="thick">
        <color indexed="62"/>
      </bottom>
      <diagonal/>
    </border>
    <border>
      <left/>
      <right style="medium">
        <color indexed="64"/>
      </right>
      <top/>
      <bottom style="thick">
        <color indexed="62"/>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bottom style="thick">
        <color indexed="62"/>
      </bottom>
      <diagonal/>
    </border>
    <border>
      <left style="medium">
        <color indexed="64"/>
      </left>
      <right style="medium">
        <color indexed="64"/>
      </right>
      <top/>
      <bottom style="thin">
        <color indexed="62"/>
      </bottom>
      <diagonal/>
    </border>
    <border>
      <left style="medium">
        <color indexed="64"/>
      </left>
      <right style="thin">
        <color indexed="64"/>
      </right>
      <top/>
      <bottom style="thin">
        <color indexed="62"/>
      </bottom>
      <diagonal/>
    </border>
    <border>
      <left style="thin">
        <color indexed="64"/>
      </left>
      <right style="thin">
        <color indexed="64"/>
      </right>
      <top/>
      <bottom style="thin">
        <color indexed="62"/>
      </bottom>
      <diagonal/>
    </border>
    <border>
      <left/>
      <right style="medium">
        <color indexed="64"/>
      </right>
      <top/>
      <bottom style="thin">
        <color indexed="62"/>
      </bottom>
      <diagonal/>
    </border>
    <border>
      <left style="medium">
        <color indexed="64"/>
      </left>
      <right/>
      <top style="thin">
        <color indexed="62"/>
      </top>
      <bottom/>
      <diagonal/>
    </border>
    <border>
      <left/>
      <right style="medium">
        <color indexed="64"/>
      </right>
      <top style="thin">
        <color indexed="62"/>
      </top>
      <bottom/>
      <diagonal/>
    </border>
    <border>
      <left/>
      <right style="medium">
        <color indexed="64"/>
      </right>
      <top/>
      <bottom style="thin">
        <color indexed="64"/>
      </bottom>
      <diagonal/>
    </border>
    <border>
      <left style="thin">
        <color indexed="64"/>
      </left>
      <right style="medium">
        <color indexed="64"/>
      </right>
      <top/>
      <bottom style="thin">
        <color indexed="62"/>
      </bottom>
      <diagonal/>
    </border>
    <border>
      <left/>
      <right style="thin">
        <color indexed="64"/>
      </right>
      <top style="thin">
        <color indexed="64"/>
      </top>
      <bottom style="medium">
        <color indexed="64"/>
      </bottom>
      <diagonal/>
    </border>
    <border>
      <left style="thin">
        <color indexed="18"/>
      </left>
      <right style="thin">
        <color indexed="18"/>
      </right>
      <top/>
      <bottom style="medium">
        <color rgb="FF000000"/>
      </bottom>
      <diagonal/>
    </border>
    <border>
      <left style="medium">
        <color indexed="64"/>
      </left>
      <right style="thin">
        <color rgb="FF000080"/>
      </right>
      <top style="medium">
        <color indexed="64"/>
      </top>
      <bottom/>
      <diagonal/>
    </border>
    <border>
      <left/>
      <right style="thin">
        <color rgb="FF000080"/>
      </right>
      <top/>
      <bottom/>
      <diagonal/>
    </border>
    <border>
      <left style="thin">
        <color rgb="FF000080"/>
      </left>
      <right style="thin">
        <color rgb="FF000080"/>
      </right>
      <top/>
      <bottom/>
      <diagonal/>
    </border>
    <border>
      <left style="medium">
        <color indexed="64"/>
      </left>
      <right style="thin">
        <color rgb="FF000080"/>
      </right>
      <top/>
      <bottom/>
      <diagonal/>
    </border>
    <border>
      <left style="medium">
        <color indexed="64"/>
      </left>
      <right style="thin">
        <color rgb="FF000080"/>
      </right>
      <top/>
      <bottom style="medium">
        <color indexed="64"/>
      </bottom>
      <diagonal/>
    </border>
    <border>
      <left/>
      <right style="thin">
        <color rgb="FF000080"/>
      </right>
      <top/>
      <bottom style="medium">
        <color indexed="64"/>
      </bottom>
      <diagonal/>
    </border>
    <border>
      <left style="thin">
        <color rgb="FF000080"/>
      </left>
      <right style="thin">
        <color rgb="FF000080"/>
      </right>
      <top/>
      <bottom style="medium">
        <color indexed="64"/>
      </bottom>
      <diagonal/>
    </border>
    <border>
      <left/>
      <right style="thin">
        <color rgb="FF000080"/>
      </right>
      <top/>
      <bottom style="medium">
        <color rgb="FF000080"/>
      </bottom>
      <diagonal/>
    </border>
    <border>
      <left style="medium">
        <color rgb="FF333399"/>
      </left>
      <right/>
      <top/>
      <bottom/>
      <diagonal/>
    </border>
    <border>
      <left style="medium">
        <color rgb="FF000000"/>
      </left>
      <right style="medium">
        <color rgb="FF000000"/>
      </right>
      <top style="medium">
        <color rgb="FF000000"/>
      </top>
      <bottom style="medium">
        <color rgb="FF000000"/>
      </bottom>
      <diagonal/>
    </border>
  </borders>
  <cellStyleXfs count="84">
    <xf numFmtId="0" fontId="0" fillId="0" borderId="0"/>
    <xf numFmtId="0" fontId="42" fillId="2" borderId="0" applyNumberFormat="0" applyBorder="0" applyAlignment="0" applyProtection="0"/>
    <xf numFmtId="0" fontId="42" fillId="3" borderId="0" applyNumberFormat="0" applyBorder="0" applyAlignment="0" applyProtection="0"/>
    <xf numFmtId="0" fontId="42" fillId="4" borderId="0" applyNumberFormat="0" applyBorder="0" applyAlignment="0" applyProtection="0"/>
    <xf numFmtId="0" fontId="42" fillId="5" borderId="0" applyNumberFormat="0" applyBorder="0" applyAlignment="0" applyProtection="0"/>
    <xf numFmtId="0" fontId="42" fillId="6" borderId="0" applyNumberFormat="0" applyBorder="0" applyAlignment="0" applyProtection="0"/>
    <xf numFmtId="0" fontId="42" fillId="7" borderId="0" applyNumberFormat="0" applyBorder="0" applyAlignment="0" applyProtection="0"/>
    <xf numFmtId="0" fontId="42" fillId="8" borderId="0" applyNumberFormat="0" applyBorder="0" applyAlignment="0" applyProtection="0"/>
    <xf numFmtId="0" fontId="42" fillId="9" borderId="0" applyNumberFormat="0" applyBorder="0" applyAlignment="0" applyProtection="0"/>
    <xf numFmtId="0" fontId="42" fillId="10" borderId="0" applyNumberFormat="0" applyBorder="0" applyAlignment="0" applyProtection="0"/>
    <xf numFmtId="0" fontId="42" fillId="5" borderId="0" applyNumberFormat="0" applyBorder="0" applyAlignment="0" applyProtection="0"/>
    <xf numFmtId="0" fontId="42" fillId="8" borderId="0" applyNumberFormat="0" applyBorder="0" applyAlignment="0" applyProtection="0"/>
    <xf numFmtId="0" fontId="42" fillId="11" borderId="0" applyNumberFormat="0" applyBorder="0" applyAlignment="0" applyProtection="0"/>
    <xf numFmtId="0" fontId="43" fillId="12" borderId="0" applyNumberFormat="0" applyBorder="0" applyAlignment="0" applyProtection="0"/>
    <xf numFmtId="0" fontId="43" fillId="9" borderId="0" applyNumberFormat="0" applyBorder="0" applyAlignment="0" applyProtection="0"/>
    <xf numFmtId="0" fontId="43" fillId="10" borderId="0" applyNumberFormat="0" applyBorder="0" applyAlignment="0" applyProtection="0"/>
    <xf numFmtId="0" fontId="43" fillId="13" borderId="0" applyNumberFormat="0" applyBorder="0" applyAlignment="0" applyProtection="0"/>
    <xf numFmtId="0" fontId="43" fillId="14" borderId="0" applyNumberFormat="0" applyBorder="0" applyAlignment="0" applyProtection="0"/>
    <xf numFmtId="0" fontId="43" fillId="15" borderId="0" applyNumberFormat="0" applyBorder="0" applyAlignment="0" applyProtection="0"/>
    <xf numFmtId="0" fontId="43" fillId="16" borderId="0" applyNumberFormat="0" applyBorder="0" applyAlignment="0" applyProtection="0"/>
    <xf numFmtId="0" fontId="43" fillId="17" borderId="0" applyNumberFormat="0" applyBorder="0" applyAlignment="0" applyProtection="0"/>
    <xf numFmtId="0" fontId="43" fillId="18" borderId="0" applyNumberFormat="0" applyBorder="0" applyAlignment="0" applyProtection="0"/>
    <xf numFmtId="0" fontId="43" fillId="13" borderId="0" applyNumberFormat="0" applyBorder="0" applyAlignment="0" applyProtection="0"/>
    <xf numFmtId="0" fontId="43" fillId="14" borderId="0" applyNumberFormat="0" applyBorder="0" applyAlignment="0" applyProtection="0"/>
    <xf numFmtId="0" fontId="43" fillId="19" borderId="0" applyNumberFormat="0" applyBorder="0" applyAlignment="0" applyProtection="0"/>
    <xf numFmtId="0" fontId="44" fillId="3" borderId="0" applyNumberFormat="0" applyBorder="0" applyAlignment="0" applyProtection="0"/>
    <xf numFmtId="0" fontId="45" fillId="20" borderId="1" applyNumberFormat="0" applyAlignment="0" applyProtection="0"/>
    <xf numFmtId="0" fontId="46" fillId="21" borderId="2" applyNumberFormat="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0" fontId="47" fillId="0" borderId="0" applyNumberFormat="0" applyFill="0" applyBorder="0" applyAlignment="0" applyProtection="0"/>
    <xf numFmtId="0" fontId="48" fillId="4" borderId="0" applyNumberFormat="0" applyBorder="0" applyAlignment="0" applyProtection="0"/>
    <xf numFmtId="0" fontId="49" fillId="0" borderId="3" applyNumberFormat="0" applyFill="0" applyAlignment="0" applyProtection="0"/>
    <xf numFmtId="0" fontId="50" fillId="0" borderId="4" applyNumberFormat="0" applyFill="0" applyAlignment="0" applyProtection="0"/>
    <xf numFmtId="0" fontId="51" fillId="0" borderId="5" applyNumberFormat="0" applyFill="0" applyAlignment="0" applyProtection="0"/>
    <xf numFmtId="0" fontId="51" fillId="0" borderId="0" applyNumberFormat="0" applyFill="0" applyBorder="0" applyAlignment="0" applyProtection="0"/>
    <xf numFmtId="0" fontId="6" fillId="0" borderId="0" applyNumberFormat="0" applyFill="0" applyBorder="0" applyAlignment="0" applyProtection="0">
      <alignment vertical="top"/>
      <protection locked="0"/>
    </xf>
    <xf numFmtId="0" fontId="52" fillId="7" borderId="1" applyNumberFormat="0" applyAlignment="0" applyProtection="0"/>
    <xf numFmtId="0" fontId="53" fillId="0" borderId="6" applyNumberFormat="0" applyFill="0" applyAlignment="0" applyProtection="0"/>
    <xf numFmtId="0" fontId="54" fillId="22" borderId="0" applyNumberFormat="0" applyBorder="0" applyAlignment="0" applyProtection="0"/>
    <xf numFmtId="0" fontId="73" fillId="0" borderId="0"/>
    <xf numFmtId="0" fontId="4" fillId="0" borderId="0"/>
    <xf numFmtId="0" fontId="4" fillId="0" borderId="0"/>
    <xf numFmtId="0" fontId="90" fillId="0" borderId="0"/>
    <xf numFmtId="0" fontId="3" fillId="0" borderId="0"/>
    <xf numFmtId="0" fontId="90" fillId="0" borderId="0"/>
    <xf numFmtId="0" fontId="2" fillId="0" borderId="0"/>
    <xf numFmtId="0" fontId="3" fillId="0" borderId="0"/>
    <xf numFmtId="0" fontId="1" fillId="0" borderId="0"/>
    <xf numFmtId="0" fontId="3" fillId="0" borderId="0"/>
    <xf numFmtId="0" fontId="3" fillId="0" borderId="0"/>
    <xf numFmtId="0" fontId="1" fillId="23" borderId="7" applyNumberFormat="0" applyFont="0" applyAlignment="0" applyProtection="0"/>
    <xf numFmtId="0" fontId="55" fillId="20" borderId="8" applyNumberFormat="0" applyAlignment="0" applyProtection="0"/>
    <xf numFmtId="9" fontId="1" fillId="0" borderId="0" applyFont="0" applyFill="0" applyBorder="0" applyAlignment="0" applyProtection="0"/>
    <xf numFmtId="9" fontId="1" fillId="0" borderId="0" applyFont="0" applyFill="0" applyBorder="0" applyAlignment="0" applyProtection="0"/>
    <xf numFmtId="0" fontId="56" fillId="0" borderId="0" applyNumberFormat="0" applyFill="0" applyBorder="0" applyAlignment="0" applyProtection="0"/>
    <xf numFmtId="0" fontId="57" fillId="0" borderId="9" applyNumberFormat="0" applyFill="0" applyAlignment="0" applyProtection="0"/>
    <xf numFmtId="0" fontId="58" fillId="0" borderId="0" applyNumberFormat="0" applyFill="0" applyBorder="0" applyAlignment="0" applyProtection="0"/>
    <xf numFmtId="9" fontId="73" fillId="0" borderId="0" applyFont="0" applyFill="0" applyBorder="0" applyAlignment="0" applyProtection="0"/>
    <xf numFmtId="43" fontId="73" fillId="0" borderId="0" applyFont="0" applyFill="0" applyBorder="0" applyAlignment="0" applyProtection="0"/>
    <xf numFmtId="43" fontId="3" fillId="0" borderId="0" applyFont="0" applyFill="0" applyBorder="0" applyAlignment="0" applyProtection="0"/>
    <xf numFmtId="0" fontId="3" fillId="0" borderId="0"/>
    <xf numFmtId="9" fontId="3" fillId="0" borderId="0" applyFont="0" applyFill="0" applyBorder="0" applyAlignment="0" applyProtection="0"/>
    <xf numFmtId="43" fontId="3" fillId="0" borderId="0" applyFont="0" applyFill="0" applyBorder="0" applyAlignment="0" applyProtection="0"/>
    <xf numFmtId="0" fontId="171" fillId="0" borderId="0" applyNumberFormat="0" applyFill="0" applyBorder="0" applyAlignment="0" applyProtection="0"/>
    <xf numFmtId="0" fontId="1" fillId="0" borderId="0"/>
    <xf numFmtId="0" fontId="176" fillId="57" borderId="383" applyNumberFormat="0" applyAlignment="0" applyProtection="0">
      <alignment horizontal="left" vertical="center" indent="1"/>
    </xf>
    <xf numFmtId="188" fontId="178" fillId="58" borderId="383" applyNumberFormat="0" applyAlignment="0" applyProtection="0">
      <alignment horizontal="left" vertical="center" indent="1"/>
    </xf>
    <xf numFmtId="188" fontId="178" fillId="0" borderId="384" applyNumberFormat="0" applyProtection="0">
      <alignment horizontal="right" vertical="center"/>
    </xf>
    <xf numFmtId="44" fontId="3" fillId="0" borderId="0" applyFont="0" applyFill="0" applyBorder="0" applyAlignment="0" applyProtection="0"/>
    <xf numFmtId="0" fontId="227" fillId="0" borderId="0" applyNumberFormat="0" applyFill="0" applyBorder="0" applyAlignment="0" applyProtection="0"/>
    <xf numFmtId="0" fontId="3" fillId="0" borderId="0"/>
    <xf numFmtId="0" fontId="3" fillId="0" borderId="0"/>
    <xf numFmtId="44" fontId="1" fillId="0" borderId="0" applyFont="0" applyFill="0" applyBorder="0" applyAlignment="0" applyProtection="0"/>
    <xf numFmtId="0" fontId="173" fillId="0" borderId="0" applyNumberFormat="0" applyFill="0" applyBorder="0" applyAlignment="0" applyProtection="0">
      <alignment vertical="top"/>
      <protection locked="0"/>
    </xf>
    <xf numFmtId="0" fontId="1" fillId="0" borderId="0"/>
    <xf numFmtId="0" fontId="1" fillId="0" borderId="0"/>
    <xf numFmtId="0" fontId="239" fillId="0" borderId="0" applyBorder="0">
      <alignment wrapText="1"/>
    </xf>
    <xf numFmtId="43" fontId="1" fillId="0" borderId="0" applyFont="0" applyFill="0" applyBorder="0" applyAlignment="0" applyProtection="0"/>
    <xf numFmtId="44" fontId="1" fillId="0" borderId="0" applyFont="0" applyFill="0" applyBorder="0" applyAlignment="0" applyProtection="0"/>
    <xf numFmtId="0" fontId="1" fillId="0" borderId="0"/>
    <xf numFmtId="4" fontId="175" fillId="134" borderId="0" applyNumberFormat="0" applyProtection="0">
      <alignment horizontal="left"/>
    </xf>
  </cellStyleXfs>
  <cellXfs count="4192">
    <xf numFmtId="0" fontId="0" fillId="0" borderId="0" xfId="0"/>
    <xf numFmtId="0" fontId="4" fillId="0" borderId="0" xfId="0" applyFont="1"/>
    <xf numFmtId="0" fontId="6" fillId="0" borderId="0" xfId="48" applyFont="1" applyAlignment="1">
      <alignment horizontal="centerContinuous"/>
    </xf>
    <xf numFmtId="0" fontId="7" fillId="0" borderId="0" xfId="48" applyFont="1" applyAlignment="1">
      <alignment horizontal="centerContinuous"/>
    </xf>
    <xf numFmtId="38" fontId="8" fillId="0" borderId="0" xfId="48" applyNumberFormat="1" applyFont="1" applyAlignment="1">
      <alignment horizontal="centerContinuous"/>
    </xf>
    <xf numFmtId="38" fontId="6" fillId="0" borderId="0" xfId="48" applyNumberFormat="1" applyFont="1" applyAlignment="1">
      <alignment horizontal="centerContinuous"/>
    </xf>
    <xf numFmtId="0" fontId="11" fillId="0" borderId="0" xfId="48" applyFont="1" applyAlignment="1">
      <alignment horizontal="centerContinuous"/>
    </xf>
    <xf numFmtId="38" fontId="5" fillId="0" borderId="0" xfId="48" applyNumberFormat="1" applyFont="1" applyAlignment="1">
      <alignment horizontal="centerContinuous"/>
    </xf>
    <xf numFmtId="0" fontId="12" fillId="0" borderId="0" xfId="48" applyFont="1" applyAlignment="1">
      <alignment horizontal="center"/>
    </xf>
    <xf numFmtId="38" fontId="12" fillId="0" borderId="0" xfId="48" applyNumberFormat="1" applyFont="1" applyAlignment="1">
      <alignment horizontal="right"/>
    </xf>
    <xf numFmtId="0" fontId="13" fillId="0" borderId="0" xfId="48" applyFont="1" applyProtection="1">
      <protection locked="0"/>
    </xf>
    <xf numFmtId="0" fontId="5" fillId="0" borderId="0" xfId="48" applyFont="1"/>
    <xf numFmtId="0" fontId="14" fillId="0" borderId="0" xfId="0" applyFont="1" applyAlignment="1">
      <alignment horizontal="center"/>
    </xf>
    <xf numFmtId="0" fontId="15" fillId="0" borderId="0" xfId="48" applyFont="1" applyAlignment="1">
      <alignment horizontal="right"/>
    </xf>
    <xf numFmtId="0" fontId="15" fillId="0" borderId="0" xfId="48" applyFont="1" applyAlignment="1">
      <alignment horizontal="left"/>
    </xf>
    <xf numFmtId="0" fontId="6" fillId="0" borderId="0" xfId="0" applyFont="1" applyAlignment="1">
      <alignment horizontal="center"/>
    </xf>
    <xf numFmtId="38" fontId="7" fillId="0" borderId="0" xfId="48" applyNumberFormat="1" applyFont="1" applyAlignment="1">
      <alignment horizontal="centerContinuous"/>
    </xf>
    <xf numFmtId="38" fontId="11" fillId="0" borderId="0" xfId="48" applyNumberFormat="1" applyFont="1" applyAlignment="1">
      <alignment horizontal="centerContinuous"/>
    </xf>
    <xf numFmtId="0" fontId="10" fillId="0" borderId="0" xfId="48" applyFont="1" applyAlignment="1">
      <alignment horizontal="center"/>
    </xf>
    <xf numFmtId="38" fontId="16" fillId="0" borderId="0" xfId="48" applyNumberFormat="1" applyFont="1" applyAlignment="1">
      <alignment horizontal="center"/>
    </xf>
    <xf numFmtId="0" fontId="16" fillId="0" borderId="0" xfId="48" applyFont="1" applyAlignment="1">
      <alignment horizontal="right"/>
    </xf>
    <xf numFmtId="0" fontId="17" fillId="0" borderId="0" xfId="48" applyFont="1" applyAlignment="1">
      <alignment horizontal="right"/>
    </xf>
    <xf numFmtId="0" fontId="17" fillId="0" borderId="0" xfId="48" applyFont="1" applyAlignment="1">
      <alignment horizontal="left"/>
    </xf>
    <xf numFmtId="38" fontId="10" fillId="0" borderId="0" xfId="48" applyNumberFormat="1" applyFont="1"/>
    <xf numFmtId="164" fontId="16" fillId="0" borderId="0" xfId="48" applyNumberFormat="1" applyFont="1" applyAlignment="1">
      <alignment horizontal="right"/>
    </xf>
    <xf numFmtId="164" fontId="16" fillId="0" borderId="0" xfId="48" applyNumberFormat="1" applyFont="1" applyAlignment="1">
      <alignment horizontal="left"/>
    </xf>
    <xf numFmtId="164" fontId="10" fillId="0" borderId="0" xfId="0" applyNumberFormat="1" applyFont="1"/>
    <xf numFmtId="0" fontId="10" fillId="0" borderId="0" xfId="48" applyFont="1" applyAlignment="1" applyProtection="1">
      <alignment horizontal="center"/>
      <protection locked="0"/>
    </xf>
    <xf numFmtId="38" fontId="10" fillId="0" borderId="0" xfId="0" applyNumberFormat="1" applyFont="1"/>
    <xf numFmtId="0" fontId="10" fillId="0" borderId="0" xfId="48" applyFont="1"/>
    <xf numFmtId="38" fontId="16" fillId="0" borderId="0" xfId="48" applyNumberFormat="1" applyFont="1" applyAlignment="1">
      <alignment horizontal="right"/>
    </xf>
    <xf numFmtId="0" fontId="12" fillId="0" borderId="0" xfId="48" applyFont="1" applyProtection="1">
      <protection locked="0"/>
    </xf>
    <xf numFmtId="0" fontId="12" fillId="0" borderId="0" xfId="48" applyFont="1"/>
    <xf numFmtId="0" fontId="11" fillId="0" borderId="0" xfId="48" applyFont="1"/>
    <xf numFmtId="0" fontId="12" fillId="0" borderId="0" xfId="48" applyFont="1" applyAlignment="1" applyProtection="1">
      <alignment horizontal="center"/>
      <protection locked="0"/>
    </xf>
    <xf numFmtId="38" fontId="12" fillId="0" borderId="0" xfId="48" applyNumberFormat="1" applyFont="1"/>
    <xf numFmtId="0" fontId="10" fillId="0" borderId="0" xfId="0" applyFont="1" applyAlignment="1">
      <alignment horizontal="center"/>
    </xf>
    <xf numFmtId="0" fontId="4" fillId="0" borderId="0" xfId="0" applyFont="1" applyAlignment="1">
      <alignment horizontal="right"/>
    </xf>
    <xf numFmtId="0" fontId="10" fillId="0" borderId="0" xfId="0" applyFont="1"/>
    <xf numFmtId="38" fontId="4" fillId="0" borderId="0" xfId="0" applyNumberFormat="1" applyFont="1"/>
    <xf numFmtId="164" fontId="16" fillId="0" borderId="0" xfId="0" applyNumberFormat="1" applyFont="1" applyAlignment="1">
      <alignment horizontal="right"/>
    </xf>
    <xf numFmtId="10" fontId="16" fillId="0" borderId="0" xfId="55" applyNumberFormat="1" applyFont="1" applyFill="1" applyBorder="1" applyAlignment="1" applyProtection="1">
      <alignment horizontal="right"/>
    </xf>
    <xf numFmtId="3" fontId="16" fillId="0" borderId="0" xfId="48" applyNumberFormat="1" applyFont="1" applyAlignment="1">
      <alignment horizontal="right"/>
    </xf>
    <xf numFmtId="0" fontId="10" fillId="0" borderId="0" xfId="48" applyFont="1" applyAlignment="1">
      <alignment horizontal="right"/>
    </xf>
    <xf numFmtId="0" fontId="5" fillId="0" borderId="0" xfId="48" applyFont="1" applyAlignment="1">
      <alignment horizontal="right"/>
    </xf>
    <xf numFmtId="0" fontId="10" fillId="0" borderId="0" xfId="0" applyFont="1" applyAlignment="1">
      <alignment horizontal="right"/>
    </xf>
    <xf numFmtId="0" fontId="11" fillId="0" borderId="0" xfId="48" applyFont="1" applyProtection="1">
      <protection locked="0"/>
    </xf>
    <xf numFmtId="0" fontId="11" fillId="0" borderId="0" xfId="48" applyFont="1" applyAlignment="1">
      <alignment horizontal="left"/>
    </xf>
    <xf numFmtId="0" fontId="11" fillId="0" borderId="0" xfId="48" applyFont="1" applyAlignment="1" applyProtection="1">
      <alignment horizontal="center"/>
      <protection locked="0"/>
    </xf>
    <xf numFmtId="0" fontId="11" fillId="0" borderId="0" xfId="48" applyFont="1" applyAlignment="1" applyProtection="1">
      <alignment horizontal="left"/>
      <protection locked="0"/>
    </xf>
    <xf numFmtId="0" fontId="11" fillId="0" borderId="0" xfId="48" applyFont="1" applyAlignment="1">
      <alignment horizontal="center"/>
    </xf>
    <xf numFmtId="0" fontId="4" fillId="0" borderId="0" xfId="48" applyFont="1" applyAlignment="1">
      <alignment horizontal="center"/>
    </xf>
    <xf numFmtId="38" fontId="20" fillId="0" borderId="0" xfId="48" applyNumberFormat="1" applyFont="1" applyAlignment="1">
      <alignment horizontal="center"/>
    </xf>
    <xf numFmtId="0" fontId="21" fillId="0" borderId="0" xfId="0" applyFont="1" applyAlignment="1">
      <alignment horizontal="center"/>
    </xf>
    <xf numFmtId="0" fontId="11" fillId="0" borderId="0" xfId="0" applyFont="1"/>
    <xf numFmtId="0" fontId="13" fillId="0" borderId="0" xfId="48" applyFont="1" applyAlignment="1">
      <alignment horizontal="center"/>
    </xf>
    <xf numFmtId="38" fontId="20" fillId="0" borderId="0" xfId="48" applyNumberFormat="1" applyFont="1" applyAlignment="1">
      <alignment horizontal="right"/>
    </xf>
    <xf numFmtId="0" fontId="5" fillId="0" borderId="0" xfId="0" applyFont="1"/>
    <xf numFmtId="0" fontId="7" fillId="0" borderId="0" xfId="52" applyFont="1"/>
    <xf numFmtId="0" fontId="12" fillId="0" borderId="0" xfId="48" applyFont="1" applyAlignment="1">
      <alignment horizontal="left"/>
    </xf>
    <xf numFmtId="0" fontId="21" fillId="0" borderId="0" xfId="48" applyFont="1" applyAlignment="1" applyProtection="1">
      <alignment horizontal="left"/>
      <protection locked="0"/>
    </xf>
    <xf numFmtId="0" fontId="18" fillId="0" borderId="0" xfId="48" applyFont="1" applyProtection="1">
      <protection locked="0"/>
    </xf>
    <xf numFmtId="0" fontId="12" fillId="0" borderId="0" xfId="0" applyFont="1"/>
    <xf numFmtId="0" fontId="13" fillId="0" borderId="0" xfId="52" applyFont="1"/>
    <xf numFmtId="0" fontId="13" fillId="0" borderId="0" xfId="48" applyFont="1"/>
    <xf numFmtId="0" fontId="22" fillId="0" borderId="0" xfId="46" applyFont="1"/>
    <xf numFmtId="170" fontId="22" fillId="0" borderId="0" xfId="30" applyNumberFormat="1" applyFont="1"/>
    <xf numFmtId="38" fontId="11" fillId="0" borderId="0" xfId="48" applyNumberFormat="1" applyFont="1" applyAlignment="1">
      <alignment horizontal="right"/>
    </xf>
    <xf numFmtId="0" fontId="23" fillId="0" borderId="0" xfId="0" applyFont="1"/>
    <xf numFmtId="38" fontId="24" fillId="0" borderId="0" xfId="48" applyNumberFormat="1" applyFont="1" applyAlignment="1">
      <alignment horizontal="centerContinuous"/>
    </xf>
    <xf numFmtId="0" fontId="25" fillId="0" borderId="0" xfId="46" applyFont="1"/>
    <xf numFmtId="43" fontId="5" fillId="0" borderId="0" xfId="28" applyFont="1"/>
    <xf numFmtId="38" fontId="11" fillId="0" borderId="0" xfId="48" applyNumberFormat="1" applyFont="1" applyAlignment="1">
      <alignment horizontal="center"/>
    </xf>
    <xf numFmtId="0" fontId="28" fillId="0" borderId="0" xfId="48" applyFont="1" applyAlignment="1">
      <alignment horizontal="center"/>
    </xf>
    <xf numFmtId="0" fontId="28" fillId="0" borderId="0" xfId="48" applyFont="1" applyAlignment="1" applyProtection="1">
      <alignment horizontal="center"/>
      <protection locked="0"/>
    </xf>
    <xf numFmtId="0" fontId="11" fillId="0" borderId="0" xfId="0" applyFont="1" applyAlignment="1">
      <alignment horizontal="center"/>
    </xf>
    <xf numFmtId="0" fontId="28" fillId="0" borderId="0" xfId="0" applyFont="1" applyAlignment="1">
      <alignment horizontal="center"/>
    </xf>
    <xf numFmtId="0" fontId="21" fillId="0" borderId="0" xfId="48" applyFont="1" applyProtection="1">
      <protection locked="0"/>
    </xf>
    <xf numFmtId="0" fontId="21" fillId="0" borderId="0" xfId="48" applyFont="1" applyAlignment="1">
      <alignment horizontal="left"/>
    </xf>
    <xf numFmtId="0" fontId="13" fillId="0" borderId="0" xfId="0" applyFont="1"/>
    <xf numFmtId="3" fontId="11" fillId="0" borderId="0" xfId="48" applyNumberFormat="1" applyFont="1" applyAlignment="1" applyProtection="1">
      <alignment horizontal="center"/>
      <protection locked="0"/>
    </xf>
    <xf numFmtId="3" fontId="12" fillId="0" borderId="0" xfId="48" applyNumberFormat="1" applyFont="1" applyAlignment="1" applyProtection="1">
      <alignment horizontal="center"/>
      <protection locked="0"/>
    </xf>
    <xf numFmtId="0" fontId="12" fillId="0" borderId="0" xfId="0" applyFont="1" applyAlignment="1">
      <alignment horizontal="center"/>
    </xf>
    <xf numFmtId="0" fontId="7" fillId="0" borderId="0" xfId="0" applyFont="1" applyAlignment="1">
      <alignment horizontal="centerContinuous"/>
    </xf>
    <xf numFmtId="0" fontId="32" fillId="0" borderId="0" xfId="48" applyFont="1" applyAlignment="1">
      <alignment horizontal="left" vertical="center"/>
    </xf>
    <xf numFmtId="0" fontId="13" fillId="0" borderId="0" xfId="0" applyFont="1" applyAlignment="1">
      <alignment horizontal="left" vertical="center"/>
    </xf>
    <xf numFmtId="0" fontId="12" fillId="0" borderId="0" xfId="48" applyFont="1" applyAlignment="1" applyProtection="1">
      <alignment horizontal="left"/>
      <protection locked="0"/>
    </xf>
    <xf numFmtId="0" fontId="13" fillId="0" borderId="0" xfId="0" applyFont="1" applyAlignment="1">
      <alignment horizontal="left" vertical="center" wrapText="1"/>
    </xf>
    <xf numFmtId="0" fontId="13" fillId="0" borderId="0" xfId="0" applyFont="1" applyAlignment="1">
      <alignment vertical="center" wrapText="1"/>
    </xf>
    <xf numFmtId="0" fontId="11" fillId="0" borderId="10" xfId="48" applyFont="1" applyBorder="1" applyAlignment="1">
      <alignment horizontal="center"/>
    </xf>
    <xf numFmtId="0" fontId="0" fillId="0" borderId="0" xfId="0" applyAlignment="1">
      <alignment horizontal="centerContinuous"/>
    </xf>
    <xf numFmtId="9" fontId="7" fillId="0" borderId="0" xfId="52" applyNumberFormat="1" applyFont="1" applyAlignment="1">
      <alignment horizontal="center"/>
    </xf>
    <xf numFmtId="38" fontId="7" fillId="0" borderId="0" xfId="48" applyNumberFormat="1" applyFont="1" applyAlignment="1">
      <alignment horizontal="center"/>
    </xf>
    <xf numFmtId="0" fontId="37" fillId="0" borderId="0" xfId="48" applyFont="1" applyAlignment="1">
      <alignment horizontal="center"/>
    </xf>
    <xf numFmtId="0" fontId="5" fillId="0" borderId="0" xfId="0" applyFont="1" applyAlignment="1">
      <alignment horizontal="centerContinuous"/>
    </xf>
    <xf numFmtId="0" fontId="7" fillId="0" borderId="0" xfId="51" applyFont="1"/>
    <xf numFmtId="0" fontId="13" fillId="0" borderId="0" xfId="51" applyFont="1"/>
    <xf numFmtId="43" fontId="5" fillId="0" borderId="0" xfId="28" applyFont="1" applyBorder="1" applyAlignment="1">
      <alignment horizontal="centerContinuous"/>
    </xf>
    <xf numFmtId="38" fontId="11" fillId="0" borderId="11" xfId="48" applyNumberFormat="1" applyFont="1" applyBorder="1" applyAlignment="1">
      <alignment horizontal="right"/>
    </xf>
    <xf numFmtId="43" fontId="11" fillId="0" borderId="11" xfId="28" applyFont="1" applyFill="1" applyBorder="1"/>
    <xf numFmtId="0" fontId="33" fillId="0" borderId="12" xfId="0" applyFont="1" applyBorder="1" applyAlignment="1">
      <alignment horizontal="centerContinuous"/>
    </xf>
    <xf numFmtId="0" fontId="33" fillId="0" borderId="13" xfId="0" applyFont="1" applyBorder="1" applyAlignment="1">
      <alignment horizontal="centerContinuous"/>
    </xf>
    <xf numFmtId="0" fontId="5" fillId="0" borderId="13" xfId="0" applyFont="1" applyBorder="1" applyAlignment="1">
      <alignment horizontal="centerContinuous"/>
    </xf>
    <xf numFmtId="43" fontId="5" fillId="0" borderId="13" xfId="28" applyFont="1" applyBorder="1" applyAlignment="1">
      <alignment horizontal="centerContinuous"/>
    </xf>
    <xf numFmtId="0" fontId="7" fillId="0" borderId="14" xfId="0" applyFont="1" applyBorder="1" applyAlignment="1">
      <alignment horizontal="centerContinuous"/>
    </xf>
    <xf numFmtId="0" fontId="7" fillId="0" borderId="14" xfId="48" applyFont="1" applyBorder="1" applyAlignment="1">
      <alignment horizontal="centerContinuous"/>
    </xf>
    <xf numFmtId="165" fontId="5" fillId="0" borderId="0" xfId="28" applyNumberFormat="1" applyFont="1" applyFill="1" applyBorder="1"/>
    <xf numFmtId="0" fontId="7" fillId="0" borderId="14" xfId="46" applyFont="1" applyBorder="1"/>
    <xf numFmtId="0" fontId="13" fillId="0" borderId="0" xfId="46" applyFont="1"/>
    <xf numFmtId="165" fontId="13" fillId="0" borderId="0" xfId="28" applyNumberFormat="1" applyFont="1" applyFill="1" applyBorder="1"/>
    <xf numFmtId="165" fontId="13" fillId="0" borderId="15" xfId="28" applyNumberFormat="1" applyFont="1" applyFill="1" applyBorder="1"/>
    <xf numFmtId="170" fontId="13" fillId="0" borderId="0" xfId="30" applyNumberFormat="1" applyFont="1" applyBorder="1"/>
    <xf numFmtId="170" fontId="13" fillId="0" borderId="15" xfId="30" applyNumberFormat="1" applyFont="1" applyBorder="1"/>
    <xf numFmtId="0" fontId="7" fillId="0" borderId="0" xfId="46" applyFont="1"/>
    <xf numFmtId="0" fontId="7" fillId="0" borderId="16" xfId="46" applyFont="1" applyBorder="1"/>
    <xf numFmtId="0" fontId="13" fillId="0" borderId="17" xfId="46" applyFont="1" applyBorder="1"/>
    <xf numFmtId="170" fontId="13" fillId="0" borderId="17" xfId="30" applyNumberFormat="1" applyFont="1" applyBorder="1"/>
    <xf numFmtId="170" fontId="13" fillId="0" borderId="18" xfId="30" applyNumberFormat="1" applyFont="1" applyBorder="1"/>
    <xf numFmtId="170" fontId="22" fillId="0" borderId="13" xfId="30" applyNumberFormat="1" applyFont="1" applyBorder="1" applyAlignment="1">
      <alignment horizontal="centerContinuous"/>
    </xf>
    <xf numFmtId="170" fontId="22" fillId="0" borderId="19" xfId="30" applyNumberFormat="1" applyFont="1" applyBorder="1" applyAlignment="1">
      <alignment horizontal="centerContinuous"/>
    </xf>
    <xf numFmtId="170" fontId="22" fillId="0" borderId="0" xfId="30" applyNumberFormat="1" applyFont="1" applyBorder="1" applyAlignment="1">
      <alignment horizontal="centerContinuous"/>
    </xf>
    <xf numFmtId="170" fontId="22" fillId="0" borderId="15" xfId="30" applyNumberFormat="1" applyFont="1" applyBorder="1" applyAlignment="1">
      <alignment horizontal="centerContinuous"/>
    </xf>
    <xf numFmtId="0" fontId="33" fillId="0" borderId="14" xfId="46" applyFont="1" applyBorder="1"/>
    <xf numFmtId="0" fontId="7" fillId="0" borderId="0" xfId="46" applyFont="1" applyAlignment="1">
      <alignment horizontal="center"/>
    </xf>
    <xf numFmtId="0" fontId="13" fillId="0" borderId="20" xfId="46" applyFont="1" applyBorder="1"/>
    <xf numFmtId="170" fontId="13" fillId="24" borderId="20" xfId="30" applyNumberFormat="1" applyFont="1" applyFill="1" applyBorder="1"/>
    <xf numFmtId="165" fontId="13" fillId="24" borderId="20" xfId="28" applyNumberFormat="1" applyFont="1" applyFill="1" applyBorder="1"/>
    <xf numFmtId="165" fontId="13" fillId="24" borderId="21" xfId="28" applyNumberFormat="1" applyFont="1" applyFill="1" applyBorder="1"/>
    <xf numFmtId="0" fontId="13" fillId="0" borderId="22" xfId="46" applyFont="1" applyBorder="1"/>
    <xf numFmtId="0" fontId="7" fillId="0" borderId="22" xfId="46" applyFont="1" applyBorder="1"/>
    <xf numFmtId="170" fontId="13" fillId="24" borderId="21" xfId="30" applyNumberFormat="1" applyFont="1" applyFill="1" applyBorder="1"/>
    <xf numFmtId="9" fontId="7" fillId="0" borderId="0" xfId="55" applyFont="1" applyFill="1" applyBorder="1"/>
    <xf numFmtId="9" fontId="7" fillId="0" borderId="15" xfId="55" applyFont="1" applyFill="1" applyBorder="1"/>
    <xf numFmtId="0" fontId="26" fillId="0" borderId="23" xfId="0" applyFont="1" applyBorder="1" applyAlignment="1">
      <alignment horizontal="centerContinuous"/>
    </xf>
    <xf numFmtId="0" fontId="26" fillId="0" borderId="24" xfId="0" applyFont="1" applyBorder="1" applyAlignment="1">
      <alignment horizontal="centerContinuous"/>
    </xf>
    <xf numFmtId="0" fontId="5" fillId="0" borderId="24" xfId="0" applyFont="1" applyBorder="1" applyAlignment="1">
      <alignment horizontal="centerContinuous"/>
    </xf>
    <xf numFmtId="43" fontId="5" fillId="0" borderId="24" xfId="28" applyFont="1" applyBorder="1" applyAlignment="1">
      <alignment horizontal="centerContinuous"/>
    </xf>
    <xf numFmtId="170" fontId="22" fillId="0" borderId="24" xfId="30" applyNumberFormat="1" applyFont="1" applyBorder="1" applyAlignment="1">
      <alignment horizontal="centerContinuous"/>
    </xf>
    <xf numFmtId="170" fontId="22" fillId="0" borderId="25" xfId="30" applyNumberFormat="1" applyFont="1" applyBorder="1" applyAlignment="1">
      <alignment horizontal="centerContinuous"/>
    </xf>
    <xf numFmtId="170" fontId="13" fillId="0" borderId="26" xfId="30" applyNumberFormat="1" applyFont="1" applyBorder="1"/>
    <xf numFmtId="170" fontId="13" fillId="0" borderId="27" xfId="30" applyNumberFormat="1" applyFont="1" applyBorder="1"/>
    <xf numFmtId="38" fontId="35" fillId="0" borderId="0" xfId="48" applyNumberFormat="1" applyFont="1" applyAlignment="1">
      <alignment horizontal="centerContinuous"/>
    </xf>
    <xf numFmtId="38" fontId="11" fillId="0" borderId="0" xfId="48" applyNumberFormat="1" applyFont="1"/>
    <xf numFmtId="0" fontId="38" fillId="0" borderId="0" xfId="0" applyFont="1"/>
    <xf numFmtId="0" fontId="13" fillId="0" borderId="0" xfId="0" applyFont="1" applyAlignment="1">
      <alignment horizontal="centerContinuous"/>
    </xf>
    <xf numFmtId="0" fontId="7" fillId="0" borderId="0" xfId="0" applyFont="1"/>
    <xf numFmtId="0" fontId="35" fillId="0" borderId="0" xfId="48" applyFont="1" applyAlignment="1">
      <alignment horizontal="centerContinuous"/>
    </xf>
    <xf numFmtId="0" fontId="13" fillId="0" borderId="0" xfId="48" applyFont="1" applyAlignment="1">
      <alignment horizontal="centerContinuous"/>
    </xf>
    <xf numFmtId="0" fontId="12" fillId="0" borderId="0" xfId="48" applyFont="1" applyAlignment="1">
      <alignment horizontal="centerContinuous"/>
    </xf>
    <xf numFmtId="0" fontId="11" fillId="0" borderId="0" xfId="52" quotePrefix="1" applyFont="1" applyAlignment="1">
      <alignment horizontal="center"/>
    </xf>
    <xf numFmtId="0" fontId="13" fillId="0" borderId="0" xfId="52" applyFont="1" applyAlignment="1">
      <alignment horizontal="center"/>
    </xf>
    <xf numFmtId="172" fontId="13" fillId="0" borderId="0" xfId="0" applyNumberFormat="1" applyFont="1"/>
    <xf numFmtId="0" fontId="11" fillId="0" borderId="0" xfId="52" applyFont="1" applyAlignment="1">
      <alignment horizontal="center"/>
    </xf>
    <xf numFmtId="168" fontId="13" fillId="0" borderId="0" xfId="55" applyNumberFormat="1" applyFont="1" applyBorder="1"/>
    <xf numFmtId="0" fontId="13" fillId="0" borderId="0" xfId="0" applyFont="1" applyAlignment="1">
      <alignment wrapText="1"/>
    </xf>
    <xf numFmtId="0" fontId="11" fillId="0" borderId="0" xfId="52" quotePrefix="1" applyFont="1" applyAlignment="1">
      <alignment horizontal="center" wrapText="1"/>
    </xf>
    <xf numFmtId="0" fontId="40" fillId="0" borderId="0" xfId="0" applyFont="1"/>
    <xf numFmtId="0" fontId="7" fillId="0" borderId="0" xfId="48" applyFont="1" applyAlignment="1">
      <alignment horizontal="left"/>
    </xf>
    <xf numFmtId="0" fontId="7" fillId="0" borderId="28" xfId="48" applyFont="1" applyBorder="1" applyAlignment="1">
      <alignment horizontal="centerContinuous"/>
    </xf>
    <xf numFmtId="38" fontId="7" fillId="0" borderId="29" xfId="48" applyNumberFormat="1" applyFont="1" applyBorder="1" applyAlignment="1">
      <alignment horizontal="centerContinuous"/>
    </xf>
    <xf numFmtId="0" fontId="7" fillId="0" borderId="28" xfId="48" applyFont="1" applyBorder="1"/>
    <xf numFmtId="0" fontId="11" fillId="0" borderId="28" xfId="48" applyFont="1" applyBorder="1" applyAlignment="1">
      <alignment horizontal="center"/>
    </xf>
    <xf numFmtId="0" fontId="12" fillId="0" borderId="28" xfId="48" applyFont="1" applyBorder="1" applyAlignment="1">
      <alignment horizontal="center"/>
    </xf>
    <xf numFmtId="0" fontId="29" fillId="0" borderId="28" xfId="48" applyFont="1" applyBorder="1"/>
    <xf numFmtId="0" fontId="11" fillId="0" borderId="28" xfId="48" applyFont="1" applyBorder="1"/>
    <xf numFmtId="0" fontId="12" fillId="0" borderId="28" xfId="48" applyFont="1" applyBorder="1"/>
    <xf numFmtId="0" fontId="21" fillId="0" borderId="28" xfId="48" applyFont="1" applyBorder="1"/>
    <xf numFmtId="0" fontId="32" fillId="0" borderId="28" xfId="48" applyFont="1" applyBorder="1" applyAlignment="1">
      <alignment horizontal="left" vertical="center"/>
    </xf>
    <xf numFmtId="0" fontId="13" fillId="0" borderId="28" xfId="0" applyFont="1" applyBorder="1" applyAlignment="1">
      <alignment horizontal="left" vertical="center" wrapText="1"/>
    </xf>
    <xf numFmtId="0" fontId="30" fillId="0" borderId="28" xfId="48" applyFont="1" applyBorder="1"/>
    <xf numFmtId="0" fontId="13" fillId="0" borderId="28" xfId="0" applyFont="1" applyBorder="1"/>
    <xf numFmtId="0" fontId="4" fillId="0" borderId="29" xfId="0" applyFont="1" applyBorder="1"/>
    <xf numFmtId="0" fontId="32" fillId="0" borderId="30" xfId="48" applyFont="1" applyBorder="1"/>
    <xf numFmtId="0" fontId="12" fillId="0" borderId="3" xfId="48" applyFont="1" applyBorder="1"/>
    <xf numFmtId="0" fontId="12" fillId="0" borderId="3" xfId="48" applyFont="1" applyBorder="1" applyAlignment="1">
      <alignment horizontal="center"/>
    </xf>
    <xf numFmtId="38" fontId="12" fillId="0" borderId="3" xfId="48" applyNumberFormat="1" applyFont="1" applyBorder="1" applyAlignment="1">
      <alignment horizontal="right"/>
    </xf>
    <xf numFmtId="38" fontId="12" fillId="0" borderId="31" xfId="48" applyNumberFormat="1" applyFont="1" applyBorder="1" applyAlignment="1">
      <alignment horizontal="right"/>
    </xf>
    <xf numFmtId="0" fontId="26" fillId="0" borderId="28" xfId="48" applyFont="1" applyBorder="1" applyAlignment="1">
      <alignment horizontal="centerContinuous"/>
    </xf>
    <xf numFmtId="38" fontId="23" fillId="0" borderId="0" xfId="48" applyNumberFormat="1" applyFont="1"/>
    <xf numFmtId="38" fontId="10" fillId="0" borderId="29" xfId="48" applyNumberFormat="1" applyFont="1" applyBorder="1"/>
    <xf numFmtId="0" fontId="7" fillId="0" borderId="0" xfId="48" applyFont="1" applyAlignment="1">
      <alignment horizontal="center"/>
    </xf>
    <xf numFmtId="0" fontId="11" fillId="0" borderId="32" xfId="48" applyFont="1" applyBorder="1" applyAlignment="1">
      <alignment horizontal="center"/>
    </xf>
    <xf numFmtId="170" fontId="11" fillId="24" borderId="32" xfId="30" applyNumberFormat="1" applyFont="1" applyFill="1" applyBorder="1"/>
    <xf numFmtId="170" fontId="11" fillId="24" borderId="33" xfId="30" applyNumberFormat="1" applyFont="1" applyFill="1" applyBorder="1"/>
    <xf numFmtId="0" fontId="11" fillId="0" borderId="32" xfId="48" applyFont="1" applyBorder="1" applyAlignment="1" applyProtection="1">
      <alignment horizontal="center"/>
      <protection locked="0"/>
    </xf>
    <xf numFmtId="38" fontId="12" fillId="0" borderId="29" xfId="48" applyNumberFormat="1" applyFont="1" applyBorder="1" applyAlignment="1">
      <alignment horizontal="right"/>
    </xf>
    <xf numFmtId="1" fontId="11" fillId="0" borderId="32" xfId="48" applyNumberFormat="1" applyFont="1" applyBorder="1" applyAlignment="1">
      <alignment horizontal="center"/>
    </xf>
    <xf numFmtId="0" fontId="12" fillId="0" borderId="30" xfId="48" applyFont="1" applyBorder="1"/>
    <xf numFmtId="0" fontId="11" fillId="0" borderId="3" xfId="48" applyFont="1" applyBorder="1" applyProtection="1">
      <protection locked="0"/>
    </xf>
    <xf numFmtId="0" fontId="11" fillId="0" borderId="3" xfId="48" applyFont="1" applyBorder="1" applyAlignment="1">
      <alignment horizontal="center"/>
    </xf>
    <xf numFmtId="0" fontId="11" fillId="0" borderId="3" xfId="48" applyFont="1" applyBorder="1"/>
    <xf numFmtId="0" fontId="13" fillId="0" borderId="30" xfId="0" applyFont="1" applyBorder="1"/>
    <xf numFmtId="0" fontId="12" fillId="0" borderId="3" xfId="48" applyFont="1" applyBorder="1" applyProtection="1">
      <protection locked="0"/>
    </xf>
    <xf numFmtId="0" fontId="12" fillId="0" borderId="3" xfId="48" applyFont="1" applyBorder="1" applyAlignment="1" applyProtection="1">
      <alignment horizontal="center"/>
      <protection locked="0"/>
    </xf>
    <xf numFmtId="0" fontId="41" fillId="0" borderId="0" xfId="0" applyFont="1"/>
    <xf numFmtId="0" fontId="13" fillId="0" borderId="0" xfId="52" quotePrefix="1" applyFont="1" applyAlignment="1">
      <alignment horizontal="center"/>
    </xf>
    <xf numFmtId="0" fontId="13" fillId="0" borderId="0" xfId="48" applyFont="1" applyAlignment="1" applyProtection="1">
      <alignment horizontal="center"/>
      <protection locked="0"/>
    </xf>
    <xf numFmtId="38" fontId="13" fillId="0" borderId="0" xfId="52" applyNumberFormat="1" applyFont="1"/>
    <xf numFmtId="38" fontId="13" fillId="0" borderId="0" xfId="0" applyNumberFormat="1" applyFont="1" applyAlignment="1">
      <alignment horizontal="right"/>
    </xf>
    <xf numFmtId="0" fontId="7" fillId="0" borderId="28" xfId="48" applyFont="1" applyBorder="1" applyAlignment="1">
      <alignment horizontal="left"/>
    </xf>
    <xf numFmtId="38" fontId="13" fillId="0" borderId="29" xfId="0" applyNumberFormat="1" applyFont="1" applyBorder="1" applyAlignment="1">
      <alignment horizontal="right"/>
    </xf>
    <xf numFmtId="0" fontId="7" fillId="0" borderId="28" xfId="52" applyFont="1" applyBorder="1"/>
    <xf numFmtId="0" fontId="7" fillId="0" borderId="28" xfId="0" applyFont="1" applyBorder="1"/>
    <xf numFmtId="0" fontId="13" fillId="0" borderId="3" xfId="0" applyFont="1" applyBorder="1"/>
    <xf numFmtId="0" fontId="13" fillId="0" borderId="31" xfId="0" applyFont="1" applyBorder="1"/>
    <xf numFmtId="0" fontId="13" fillId="0" borderId="3" xfId="52" applyFont="1" applyBorder="1"/>
    <xf numFmtId="0" fontId="13" fillId="0" borderId="3" xfId="52" applyFont="1" applyBorder="1" applyAlignment="1">
      <alignment horizontal="center"/>
    </xf>
    <xf numFmtId="0" fontId="11" fillId="0" borderId="28" xfId="0" applyFont="1" applyBorder="1"/>
    <xf numFmtId="38" fontId="7" fillId="0" borderId="29" xfId="48" applyNumberFormat="1" applyFont="1" applyBorder="1" applyAlignment="1">
      <alignment horizontal="center"/>
    </xf>
    <xf numFmtId="0" fontId="29" fillId="0" borderId="28" xfId="48" applyFont="1" applyBorder="1" applyAlignment="1">
      <alignment horizontal="left"/>
    </xf>
    <xf numFmtId="0" fontId="11" fillId="0" borderId="28" xfId="48" applyFont="1" applyBorder="1" applyAlignment="1">
      <alignment horizontal="left"/>
    </xf>
    <xf numFmtId="0" fontId="21" fillId="0" borderId="28" xfId="48" applyFont="1" applyBorder="1" applyAlignment="1">
      <alignment horizontal="left"/>
    </xf>
    <xf numFmtId="0" fontId="31" fillId="0" borderId="28" xfId="48" applyFont="1" applyBorder="1"/>
    <xf numFmtId="0" fontId="32" fillId="0" borderId="28" xfId="48" applyFont="1" applyBorder="1"/>
    <xf numFmtId="0" fontId="4" fillId="0" borderId="28" xfId="0" applyFont="1" applyBorder="1"/>
    <xf numFmtId="0" fontId="4" fillId="0" borderId="30" xfId="0" applyFont="1" applyBorder="1"/>
    <xf numFmtId="0" fontId="4" fillId="0" borderId="3" xfId="0" applyFont="1" applyBorder="1"/>
    <xf numFmtId="0" fontId="4" fillId="0" borderId="31" xfId="0" applyFont="1" applyBorder="1"/>
    <xf numFmtId="0" fontId="7" fillId="0" borderId="34" xfId="48" applyFont="1" applyBorder="1" applyAlignment="1">
      <alignment horizontal="center"/>
    </xf>
    <xf numFmtId="0" fontId="13" fillId="0" borderId="29" xfId="0" applyFont="1" applyBorder="1"/>
    <xf numFmtId="0" fontId="13" fillId="0" borderId="0" xfId="48" applyFont="1" applyAlignment="1">
      <alignment horizontal="left"/>
    </xf>
    <xf numFmtId="38" fontId="13" fillId="0" borderId="0" xfId="48" applyNumberFormat="1" applyFont="1" applyAlignment="1">
      <alignment horizontal="right"/>
    </xf>
    <xf numFmtId="38" fontId="13" fillId="0" borderId="29" xfId="48" applyNumberFormat="1" applyFont="1" applyBorder="1" applyAlignment="1">
      <alignment horizontal="right"/>
    </xf>
    <xf numFmtId="0" fontId="0" fillId="0" borderId="29" xfId="0" applyBorder="1" applyAlignment="1">
      <alignment horizontal="centerContinuous"/>
    </xf>
    <xf numFmtId="0" fontId="34" fillId="0" borderId="28" xfId="0" applyFont="1" applyBorder="1" applyAlignment="1">
      <alignment horizontal="centerContinuous"/>
    </xf>
    <xf numFmtId="0" fontId="35" fillId="0" borderId="28" xfId="48" applyFont="1" applyBorder="1" applyAlignment="1">
      <alignment horizontal="centerContinuous"/>
    </xf>
    <xf numFmtId="38" fontId="11" fillId="0" borderId="29" xfId="48" applyNumberFormat="1" applyFont="1" applyBorder="1" applyAlignment="1">
      <alignment horizontal="right"/>
    </xf>
    <xf numFmtId="0" fontId="36" fillId="0" borderId="28" xfId="48" applyFont="1" applyBorder="1"/>
    <xf numFmtId="0" fontId="13" fillId="0" borderId="28" xfId="48" applyFont="1" applyBorder="1"/>
    <xf numFmtId="38" fontId="13" fillId="24" borderId="35" xfId="48" applyNumberFormat="1" applyFont="1" applyFill="1" applyBorder="1" applyAlignment="1">
      <alignment horizontal="right"/>
    </xf>
    <xf numFmtId="38" fontId="13" fillId="24" borderId="36" xfId="48" applyNumberFormat="1" applyFont="1" applyFill="1" applyBorder="1" applyAlignment="1">
      <alignment horizontal="right"/>
    </xf>
    <xf numFmtId="38" fontId="13" fillId="24" borderId="37" xfId="48" applyNumberFormat="1" applyFont="1" applyFill="1" applyBorder="1" applyAlignment="1">
      <alignment horizontal="right"/>
    </xf>
    <xf numFmtId="0" fontId="13" fillId="0" borderId="38" xfId="0" applyFont="1" applyBorder="1"/>
    <xf numFmtId="0" fontId="4" fillId="0" borderId="39" xfId="0" applyFont="1" applyBorder="1"/>
    <xf numFmtId="0" fontId="4" fillId="0" borderId="40" xfId="0" applyFont="1" applyBorder="1"/>
    <xf numFmtId="0" fontId="0" fillId="0" borderId="41" xfId="0" applyBorder="1" applyAlignment="1">
      <alignment horizontal="centerContinuous"/>
    </xf>
    <xf numFmtId="0" fontId="0" fillId="0" borderId="42" xfId="0" applyBorder="1" applyAlignment="1">
      <alignment horizontal="centerContinuous"/>
    </xf>
    <xf numFmtId="0" fontId="7" fillId="0" borderId="29" xfId="48" applyFont="1" applyBorder="1" applyAlignment="1">
      <alignment horizontal="center"/>
    </xf>
    <xf numFmtId="0" fontId="5" fillId="0" borderId="29" xfId="0" applyFont="1" applyBorder="1"/>
    <xf numFmtId="0" fontId="5" fillId="0" borderId="3" xfId="0" applyFont="1" applyBorder="1"/>
    <xf numFmtId="43" fontId="23" fillId="0" borderId="3" xfId="28" applyFont="1" applyFill="1" applyBorder="1"/>
    <xf numFmtId="0" fontId="5" fillId="0" borderId="31" xfId="0" applyFont="1" applyBorder="1"/>
    <xf numFmtId="0" fontId="7" fillId="0" borderId="43" xfId="48" applyFont="1" applyBorder="1" applyAlignment="1">
      <alignment horizontal="centerContinuous"/>
    </xf>
    <xf numFmtId="0" fontId="7" fillId="0" borderId="44" xfId="48" applyFont="1" applyBorder="1" applyAlignment="1">
      <alignment horizontal="center"/>
    </xf>
    <xf numFmtId="0" fontId="11" fillId="0" borderId="29" xfId="0" applyFont="1" applyBorder="1"/>
    <xf numFmtId="43" fontId="5" fillId="0" borderId="0" xfId="28" applyFont="1" applyFill="1" applyBorder="1"/>
    <xf numFmtId="165" fontId="11" fillId="0" borderId="32" xfId="28" applyNumberFormat="1" applyFont="1" applyFill="1" applyBorder="1" applyAlignment="1">
      <alignment horizontal="center"/>
    </xf>
    <xf numFmtId="3" fontId="11" fillId="24" borderId="33" xfId="0" applyNumberFormat="1" applyFont="1" applyFill="1" applyBorder="1"/>
    <xf numFmtId="0" fontId="11" fillId="0" borderId="45" xfId="48" applyFont="1" applyBorder="1" applyAlignment="1">
      <alignment horizontal="center"/>
    </xf>
    <xf numFmtId="165" fontId="11" fillId="24" borderId="32" xfId="28" applyNumberFormat="1" applyFont="1" applyFill="1" applyBorder="1"/>
    <xf numFmtId="0" fontId="11" fillId="0" borderId="10" xfId="48" applyFont="1" applyBorder="1" applyAlignment="1" applyProtection="1">
      <alignment horizontal="center"/>
      <protection locked="0"/>
    </xf>
    <xf numFmtId="38" fontId="12" fillId="0" borderId="29" xfId="48" applyNumberFormat="1" applyFont="1" applyBorder="1"/>
    <xf numFmtId="38" fontId="11" fillId="0" borderId="29" xfId="48" applyNumberFormat="1" applyFont="1" applyBorder="1"/>
    <xf numFmtId="0" fontId="13" fillId="0" borderId="29" xfId="0" applyFont="1" applyBorder="1" applyAlignment="1">
      <alignment horizontal="centerContinuous"/>
    </xf>
    <xf numFmtId="38" fontId="39" fillId="0" borderId="29" xfId="48" applyNumberFormat="1" applyFont="1" applyBorder="1"/>
    <xf numFmtId="38" fontId="39" fillId="0" borderId="29" xfId="48" applyNumberFormat="1" applyFont="1" applyBorder="1" applyAlignment="1">
      <alignment horizontal="centerContinuous"/>
    </xf>
    <xf numFmtId="0" fontId="40" fillId="0" borderId="28" xfId="0" applyFont="1" applyBorder="1" applyAlignment="1">
      <alignment wrapText="1"/>
    </xf>
    <xf numFmtId="0" fontId="40" fillId="0" borderId="28" xfId="0" applyFont="1" applyBorder="1"/>
    <xf numFmtId="0" fontId="13" fillId="0" borderId="30" xfId="0" applyFont="1" applyBorder="1" applyAlignment="1">
      <alignment horizontal="left"/>
    </xf>
    <xf numFmtId="0" fontId="7" fillId="25" borderId="46" xfId="0" applyFont="1" applyFill="1" applyBorder="1" applyAlignment="1">
      <alignment horizontal="centerContinuous"/>
    </xf>
    <xf numFmtId="0" fontId="35" fillId="25" borderId="46" xfId="48" applyFont="1" applyFill="1" applyBorder="1" applyAlignment="1">
      <alignment horizontal="centerContinuous"/>
    </xf>
    <xf numFmtId="0" fontId="13" fillId="25" borderId="46" xfId="48" applyFont="1" applyFill="1" applyBorder="1" applyAlignment="1">
      <alignment horizontal="centerContinuous"/>
    </xf>
    <xf numFmtId="0" fontId="13" fillId="25" borderId="47" xfId="48" applyFont="1" applyFill="1" applyBorder="1" applyAlignment="1">
      <alignment horizontal="centerContinuous"/>
    </xf>
    <xf numFmtId="0" fontId="7" fillId="0" borderId="48" xfId="0" applyFont="1" applyBorder="1" applyAlignment="1">
      <alignment horizontal="center"/>
    </xf>
    <xf numFmtId="38" fontId="7" fillId="0" borderId="49" xfId="48" applyNumberFormat="1" applyFont="1" applyBorder="1" applyAlignment="1">
      <alignment horizontal="center"/>
    </xf>
    <xf numFmtId="38" fontId="7" fillId="0" borderId="48" xfId="48" applyNumberFormat="1" applyFont="1" applyBorder="1" applyAlignment="1">
      <alignment horizontal="center"/>
    </xf>
    <xf numFmtId="165" fontId="11" fillId="24" borderId="33" xfId="28" applyNumberFormat="1" applyFont="1" applyFill="1" applyBorder="1"/>
    <xf numFmtId="0" fontId="7" fillId="0" borderId="28" xfId="48" applyFont="1" applyBorder="1" applyProtection="1">
      <protection locked="0"/>
    </xf>
    <xf numFmtId="0" fontId="7" fillId="0" borderId="28" xfId="0" applyFont="1" applyBorder="1" applyAlignment="1">
      <alignment horizontal="left"/>
    </xf>
    <xf numFmtId="0" fontId="7" fillId="0" borderId="28" xfId="48" applyFont="1" applyBorder="1" applyAlignment="1" applyProtection="1">
      <alignment horizontal="left"/>
      <protection locked="0"/>
    </xf>
    <xf numFmtId="38" fontId="4" fillId="0" borderId="29" xfId="0" applyNumberFormat="1" applyFont="1" applyBorder="1" applyAlignment="1">
      <alignment horizontal="right"/>
    </xf>
    <xf numFmtId="38" fontId="10" fillId="0" borderId="3" xfId="48" applyNumberFormat="1" applyFont="1" applyBorder="1"/>
    <xf numFmtId="38" fontId="16" fillId="0" borderId="3" xfId="48" applyNumberFormat="1" applyFont="1" applyBorder="1" applyAlignment="1">
      <alignment horizontal="right"/>
    </xf>
    <xf numFmtId="38" fontId="4" fillId="0" borderId="31" xfId="0" applyNumberFormat="1" applyFont="1" applyBorder="1" applyAlignment="1">
      <alignment horizontal="right"/>
    </xf>
    <xf numFmtId="0" fontId="11" fillId="0" borderId="3" xfId="52" quotePrefix="1" applyFont="1" applyBorder="1" applyAlignment="1">
      <alignment horizontal="center"/>
    </xf>
    <xf numFmtId="172" fontId="13" fillId="0" borderId="3" xfId="0" applyNumberFormat="1" applyFont="1" applyBorder="1"/>
    <xf numFmtId="0" fontId="7" fillId="0" borderId="50" xfId="0" applyFont="1" applyBorder="1"/>
    <xf numFmtId="0" fontId="13" fillId="0" borderId="51" xfId="0" applyFont="1" applyBorder="1"/>
    <xf numFmtId="0" fontId="7" fillId="0" borderId="52" xfId="0" applyFont="1" applyBorder="1" applyAlignment="1">
      <alignment horizontal="center"/>
    </xf>
    <xf numFmtId="38" fontId="7" fillId="0" borderId="53" xfId="48" applyNumberFormat="1" applyFont="1" applyBorder="1" applyAlignment="1">
      <alignment horizontal="center"/>
    </xf>
    <xf numFmtId="0" fontId="7" fillId="0" borderId="51" xfId="0" applyFont="1" applyBorder="1"/>
    <xf numFmtId="0" fontId="59" fillId="0" borderId="29" xfId="0" applyFont="1" applyBorder="1"/>
    <xf numFmtId="10" fontId="59" fillId="0" borderId="0" xfId="0" applyNumberFormat="1" applyFont="1"/>
    <xf numFmtId="0" fontId="7" fillId="0" borderId="48" xfId="48" applyFont="1" applyBorder="1" applyAlignment="1">
      <alignment horizontal="center"/>
    </xf>
    <xf numFmtId="6" fontId="13" fillId="0" borderId="0" xfId="52" applyNumberFormat="1" applyFont="1"/>
    <xf numFmtId="6" fontId="13" fillId="0" borderId="29" xfId="52" applyNumberFormat="1" applyFont="1" applyBorder="1"/>
    <xf numFmtId="49" fontId="11" fillId="0" borderId="32" xfId="48" applyNumberFormat="1" applyFont="1" applyBorder="1" applyAlignment="1" applyProtection="1">
      <alignment horizontal="center"/>
      <protection locked="0"/>
    </xf>
    <xf numFmtId="0" fontId="7" fillId="0" borderId="54" xfId="48" applyFont="1" applyBorder="1" applyAlignment="1">
      <alignment horizontal="center"/>
    </xf>
    <xf numFmtId="0" fontId="13" fillId="0" borderId="55" xfId="0" applyFont="1" applyBorder="1"/>
    <xf numFmtId="0" fontId="7" fillId="0" borderId="56" xfId="0" applyFont="1" applyBorder="1" applyAlignment="1">
      <alignment horizontal="center"/>
    </xf>
    <xf numFmtId="0" fontId="7" fillId="0" borderId="56" xfId="52" applyFont="1" applyBorder="1" applyAlignment="1">
      <alignment horizontal="center"/>
    </xf>
    <xf numFmtId="0" fontId="7" fillId="0" borderId="57" xfId="52" applyFont="1" applyBorder="1" applyAlignment="1">
      <alignment horizontal="center"/>
    </xf>
    <xf numFmtId="0" fontId="7" fillId="0" borderId="55" xfId="0" applyFont="1" applyBorder="1"/>
    <xf numFmtId="0" fontId="7" fillId="0" borderId="52" xfId="0" applyFont="1" applyBorder="1"/>
    <xf numFmtId="0" fontId="7" fillId="0" borderId="58" xfId="52" applyFont="1" applyBorder="1" applyAlignment="1">
      <alignment horizontal="center"/>
    </xf>
    <xf numFmtId="0" fontId="7" fillId="0" borderId="59" xfId="0" applyFont="1" applyBorder="1"/>
    <xf numFmtId="0" fontId="7" fillId="0" borderId="60" xfId="0" applyFont="1" applyBorder="1" applyAlignment="1">
      <alignment horizontal="center"/>
    </xf>
    <xf numFmtId="0" fontId="7" fillId="0" borderId="60" xfId="52" applyFont="1" applyBorder="1" applyAlignment="1">
      <alignment horizontal="center"/>
    </xf>
    <xf numFmtId="0" fontId="7" fillId="0" borderId="61" xfId="52" applyFont="1" applyBorder="1" applyAlignment="1">
      <alignment horizontal="center"/>
    </xf>
    <xf numFmtId="0" fontId="7" fillId="0" borderId="59" xfId="0" applyFont="1" applyBorder="1" applyAlignment="1">
      <alignment horizontal="center"/>
    </xf>
    <xf numFmtId="0" fontId="60" fillId="0" borderId="32" xfId="48" applyFont="1" applyBorder="1" applyAlignment="1" applyProtection="1">
      <alignment horizontal="center"/>
      <protection locked="0"/>
    </xf>
    <xf numFmtId="0" fontId="59" fillId="0" borderId="0" xfId="52" applyFont="1" applyAlignment="1">
      <alignment horizontal="center"/>
    </xf>
    <xf numFmtId="0" fontId="7" fillId="0" borderId="20" xfId="46" applyFont="1" applyBorder="1" applyAlignment="1">
      <alignment horizontal="center" vertical="center"/>
    </xf>
    <xf numFmtId="170" fontId="7" fillId="0" borderId="20" xfId="30" applyNumberFormat="1" applyFont="1" applyBorder="1" applyAlignment="1">
      <alignment horizontal="center" vertical="center"/>
    </xf>
    <xf numFmtId="170" fontId="7" fillId="0" borderId="21" xfId="30" applyNumberFormat="1" applyFont="1" applyBorder="1" applyAlignment="1">
      <alignment horizontal="center" vertical="center"/>
    </xf>
    <xf numFmtId="38" fontId="7" fillId="0" borderId="62" xfId="48" applyNumberFormat="1" applyFont="1" applyBorder="1" applyAlignment="1">
      <alignment horizontal="center" vertical="center"/>
    </xf>
    <xf numFmtId="38" fontId="7" fillId="0" borderId="63" xfId="48" applyNumberFormat="1" applyFont="1" applyBorder="1" applyAlignment="1">
      <alignment horizontal="center" vertical="center"/>
    </xf>
    <xf numFmtId="38" fontId="16" fillId="0" borderId="64" xfId="48" applyNumberFormat="1" applyFont="1" applyBorder="1" applyAlignment="1">
      <alignment horizontal="center" vertical="center"/>
    </xf>
    <xf numFmtId="0" fontId="7" fillId="0" borderId="34" xfId="48" applyFont="1" applyBorder="1" applyAlignment="1">
      <alignment horizontal="center" vertical="center"/>
    </xf>
    <xf numFmtId="0" fontId="7" fillId="0" borderId="65" xfId="48" applyFont="1" applyBorder="1" applyAlignment="1">
      <alignment horizontal="center" vertical="center"/>
    </xf>
    <xf numFmtId="38" fontId="7" fillId="0" borderId="66" xfId="48" applyNumberFormat="1" applyFont="1" applyBorder="1" applyAlignment="1">
      <alignment horizontal="center" vertical="center"/>
    </xf>
    <xf numFmtId="0" fontId="7" fillId="0" borderId="67" xfId="48" applyFont="1" applyBorder="1" applyAlignment="1">
      <alignment horizontal="center" vertical="center"/>
    </xf>
    <xf numFmtId="0" fontId="7" fillId="0" borderId="68" xfId="48" applyFont="1" applyBorder="1" applyAlignment="1">
      <alignment horizontal="center" vertical="center"/>
    </xf>
    <xf numFmtId="0" fontId="7" fillId="0" borderId="69" xfId="48" applyFont="1" applyBorder="1" applyAlignment="1">
      <alignment horizontal="center" vertical="center"/>
    </xf>
    <xf numFmtId="38" fontId="7" fillId="0" borderId="70" xfId="48" applyNumberFormat="1" applyFont="1" applyBorder="1" applyAlignment="1">
      <alignment horizontal="center" vertical="center"/>
    </xf>
    <xf numFmtId="0" fontId="7" fillId="0" borderId="71" xfId="48" applyFont="1" applyBorder="1" applyAlignment="1">
      <alignment horizontal="centerContinuous" vertical="center"/>
    </xf>
    <xf numFmtId="0" fontId="12" fillId="0" borderId="47" xfId="48" applyFont="1" applyBorder="1" applyAlignment="1">
      <alignment horizontal="centerContinuous" vertical="center"/>
    </xf>
    <xf numFmtId="0" fontId="7" fillId="0" borderId="72" xfId="48" applyFont="1" applyBorder="1" applyAlignment="1">
      <alignment horizontal="centerContinuous" vertical="center"/>
    </xf>
    <xf numFmtId="0" fontId="7" fillId="0" borderId="73" xfId="48" applyFont="1" applyBorder="1" applyAlignment="1">
      <alignment horizontal="centerContinuous" vertical="center"/>
    </xf>
    <xf numFmtId="0" fontId="7" fillId="0" borderId="74" xfId="48" applyFont="1" applyBorder="1" applyAlignment="1">
      <alignment horizontal="centerContinuous" vertical="center"/>
    </xf>
    <xf numFmtId="0" fontId="7" fillId="0" borderId="75" xfId="48" applyFont="1" applyBorder="1" applyAlignment="1">
      <alignment horizontal="centerContinuous" vertical="center"/>
    </xf>
    <xf numFmtId="0" fontId="7" fillId="0" borderId="44" xfId="48" applyFont="1" applyBorder="1" applyAlignment="1">
      <alignment horizontal="centerContinuous" vertical="center"/>
    </xf>
    <xf numFmtId="0" fontId="7" fillId="0" borderId="43" xfId="48" applyFont="1" applyBorder="1" applyAlignment="1">
      <alignment horizontal="center" vertical="center"/>
    </xf>
    <xf numFmtId="0" fontId="7" fillId="0" borderId="44" xfId="48" applyFont="1" applyBorder="1" applyAlignment="1">
      <alignment horizontal="center" vertical="center"/>
    </xf>
    <xf numFmtId="38" fontId="7" fillId="0" borderId="76" xfId="48" applyNumberFormat="1" applyFont="1" applyBorder="1" applyAlignment="1">
      <alignment horizontal="center" vertical="center"/>
    </xf>
    <xf numFmtId="0" fontId="7" fillId="0" borderId="77" xfId="48" applyFont="1" applyBorder="1" applyAlignment="1">
      <alignment horizontal="centerContinuous" vertical="center"/>
    </xf>
    <xf numFmtId="38" fontId="7" fillId="0" borderId="78" xfId="48" applyNumberFormat="1" applyFont="1" applyBorder="1" applyAlignment="1">
      <alignment horizontal="center" vertical="center"/>
    </xf>
    <xf numFmtId="0" fontId="7" fillId="0" borderId="62" xfId="48" applyFont="1" applyBorder="1" applyAlignment="1">
      <alignment horizontal="centerContinuous" vertical="center"/>
    </xf>
    <xf numFmtId="0" fontId="12" fillId="0" borderId="62" xfId="48" applyFont="1" applyBorder="1" applyAlignment="1">
      <alignment horizontal="centerContinuous" vertical="center"/>
    </xf>
    <xf numFmtId="38" fontId="35" fillId="0" borderId="29" xfId="48" applyNumberFormat="1" applyFont="1" applyBorder="1" applyAlignment="1">
      <alignment horizontal="centerContinuous"/>
    </xf>
    <xf numFmtId="0" fontId="59" fillId="0" borderId="0" xfId="52" quotePrefix="1" applyFont="1" applyAlignment="1">
      <alignment horizontal="center"/>
    </xf>
    <xf numFmtId="0" fontId="7" fillId="25" borderId="79" xfId="0" applyFont="1" applyFill="1" applyBorder="1" applyAlignment="1">
      <alignment horizontal="centerContinuous" vertical="center"/>
    </xf>
    <xf numFmtId="0" fontId="9" fillId="0" borderId="28" xfId="48" applyFont="1" applyBorder="1" applyAlignment="1">
      <alignment horizontal="centerContinuous"/>
    </xf>
    <xf numFmtId="38" fontId="11" fillId="24" borderId="32" xfId="28" applyNumberFormat="1" applyFont="1" applyFill="1" applyBorder="1" applyProtection="1"/>
    <xf numFmtId="38" fontId="21" fillId="0" borderId="0" xfId="48" applyNumberFormat="1" applyFont="1"/>
    <xf numFmtId="38" fontId="11" fillId="0" borderId="0" xfId="28" applyNumberFormat="1" applyFont="1" applyFill="1" applyBorder="1" applyAlignment="1" applyProtection="1">
      <alignment horizontal="right"/>
      <protection locked="0"/>
    </xf>
    <xf numFmtId="38" fontId="11" fillId="0" borderId="0" xfId="28" applyNumberFormat="1" applyFont="1" applyBorder="1"/>
    <xf numFmtId="38" fontId="11" fillId="0" borderId="0" xfId="0" applyNumberFormat="1" applyFont="1" applyAlignment="1">
      <alignment horizontal="right"/>
    </xf>
    <xf numFmtId="38" fontId="11" fillId="0" borderId="0" xfId="0" applyNumberFormat="1" applyFont="1"/>
    <xf numFmtId="38" fontId="11" fillId="0" borderId="29" xfId="0" applyNumberFormat="1" applyFont="1" applyBorder="1"/>
    <xf numFmtId="0" fontId="0" fillId="0" borderId="28" xfId="0" applyBorder="1"/>
    <xf numFmtId="0" fontId="0" fillId="0" borderId="30" xfId="0" applyBorder="1"/>
    <xf numFmtId="0" fontId="0" fillId="0" borderId="80" xfId="0" applyBorder="1"/>
    <xf numFmtId="0" fontId="0" fillId="0" borderId="81" xfId="0" applyBorder="1"/>
    <xf numFmtId="0" fontId="7" fillId="0" borderId="74" xfId="48" applyFont="1" applyBorder="1" applyAlignment="1">
      <alignment horizontal="center" vertical="center"/>
    </xf>
    <xf numFmtId="0" fontId="7" fillId="0" borderId="62" xfId="48" applyFont="1" applyBorder="1" applyAlignment="1">
      <alignment horizontal="center" vertical="center"/>
    </xf>
    <xf numFmtId="0" fontId="59" fillId="0" borderId="82" xfId="52" applyFont="1" applyBorder="1" applyAlignment="1">
      <alignment horizontal="centerContinuous"/>
    </xf>
    <xf numFmtId="0" fontId="59" fillId="0" borderId="83" xfId="0" applyFont="1" applyBorder="1" applyAlignment="1">
      <alignment horizontal="centerContinuous"/>
    </xf>
    <xf numFmtId="0" fontId="59" fillId="0" borderId="41" xfId="0" applyFont="1" applyBorder="1" applyAlignment="1">
      <alignment horizontal="centerContinuous"/>
    </xf>
    <xf numFmtId="0" fontId="59" fillId="0" borderId="42" xfId="0" applyFont="1" applyBorder="1" applyAlignment="1">
      <alignment horizontal="centerContinuous"/>
    </xf>
    <xf numFmtId="0" fontId="59" fillId="0" borderId="43" xfId="52" applyFont="1" applyBorder="1" applyAlignment="1">
      <alignment horizontal="center"/>
    </xf>
    <xf numFmtId="0" fontId="59" fillId="0" borderId="44" xfId="52" applyFont="1" applyBorder="1" applyAlignment="1">
      <alignment horizontal="center"/>
    </xf>
    <xf numFmtId="168" fontId="13" fillId="0" borderId="0" xfId="0" applyNumberFormat="1" applyFont="1"/>
    <xf numFmtId="0" fontId="9" fillId="0" borderId="0" xfId="48" applyFont="1"/>
    <xf numFmtId="0" fontId="9" fillId="0" borderId="29" xfId="48" applyFont="1" applyBorder="1"/>
    <xf numFmtId="0" fontId="0" fillId="0" borderId="29" xfId="0" applyBorder="1"/>
    <xf numFmtId="44" fontId="0" fillId="0" borderId="0" xfId="30" applyFont="1" applyBorder="1" applyAlignment="1">
      <alignment horizontal="right"/>
    </xf>
    <xf numFmtId="44" fontId="0" fillId="0" borderId="29" xfId="30" applyFont="1" applyBorder="1" applyAlignment="1">
      <alignment horizontal="right"/>
    </xf>
    <xf numFmtId="168" fontId="11" fillId="0" borderId="0" xfId="55" quotePrefix="1" applyNumberFormat="1" applyFont="1" applyBorder="1" applyAlignment="1">
      <alignment horizontal="center"/>
    </xf>
    <xf numFmtId="0" fontId="63" fillId="0" borderId="0" xfId="0" applyFont="1"/>
    <xf numFmtId="0" fontId="64" fillId="0" borderId="0" xfId="48" applyFont="1"/>
    <xf numFmtId="0" fontId="64" fillId="0" borderId="28" xfId="48" applyFont="1" applyBorder="1" applyAlignment="1">
      <alignment horizontal="centerContinuous"/>
    </xf>
    <xf numFmtId="0" fontId="62" fillId="0" borderId="28" xfId="48" applyFont="1" applyBorder="1" applyAlignment="1">
      <alignment horizontal="right"/>
    </xf>
    <xf numFmtId="0" fontId="62" fillId="0" borderId="0" xfId="0" applyFont="1" applyAlignment="1">
      <alignment horizontal="right"/>
    </xf>
    <xf numFmtId="0" fontId="63" fillId="0" borderId="0" xfId="0" applyFont="1" applyAlignment="1">
      <alignment horizontal="centerContinuous"/>
    </xf>
    <xf numFmtId="0" fontId="65" fillId="0" borderId="0" xfId="48" applyFont="1" applyAlignment="1">
      <alignment horizontal="right"/>
    </xf>
    <xf numFmtId="0" fontId="9" fillId="0" borderId="41" xfId="48" applyFont="1" applyBorder="1" applyAlignment="1">
      <alignment horizontal="center"/>
    </xf>
    <xf numFmtId="0" fontId="7" fillId="0" borderId="28" xfId="48" applyFont="1" applyBorder="1" applyAlignment="1">
      <alignment horizontal="center"/>
    </xf>
    <xf numFmtId="0" fontId="9" fillId="0" borderId="81" xfId="0" applyFont="1" applyBorder="1" applyAlignment="1">
      <alignment horizontal="center"/>
    </xf>
    <xf numFmtId="0" fontId="9" fillId="0" borderId="41" xfId="0" applyFont="1" applyBorder="1" applyAlignment="1">
      <alignment horizontal="center"/>
    </xf>
    <xf numFmtId="0" fontId="9" fillId="0" borderId="42" xfId="0" applyFont="1" applyBorder="1" applyAlignment="1">
      <alignment horizontal="center"/>
    </xf>
    <xf numFmtId="0" fontId="7" fillId="0" borderId="84" xfId="48" applyFont="1" applyBorder="1" applyAlignment="1">
      <alignment horizontal="centerContinuous" vertical="center"/>
    </xf>
    <xf numFmtId="0" fontId="7" fillId="0" borderId="85" xfId="48" applyFont="1" applyBorder="1" applyAlignment="1">
      <alignment horizontal="centerContinuous" vertical="center"/>
    </xf>
    <xf numFmtId="0" fontId="7" fillId="0" borderId="28" xfId="51" applyFont="1" applyBorder="1"/>
    <xf numFmtId="0" fontId="11" fillId="0" borderId="28" xfId="51" applyFont="1" applyBorder="1"/>
    <xf numFmtId="0" fontId="5" fillId="0" borderId="30" xfId="0" applyFont="1" applyBorder="1"/>
    <xf numFmtId="0" fontId="9" fillId="0" borderId="0" xfId="48" applyFont="1" applyAlignment="1">
      <alignment horizontal="center"/>
    </xf>
    <xf numFmtId="38" fontId="11" fillId="0" borderId="0" xfId="48" applyNumberFormat="1" applyFont="1" applyProtection="1">
      <protection locked="0"/>
    </xf>
    <xf numFmtId="38" fontId="11" fillId="0" borderId="0" xfId="28" applyNumberFormat="1" applyFont="1" applyFill="1" applyBorder="1" applyProtection="1">
      <protection locked="0"/>
    </xf>
    <xf numFmtId="38" fontId="11" fillId="0" borderId="0" xfId="28" applyNumberFormat="1" applyFont="1" applyBorder="1" applyProtection="1">
      <protection locked="0"/>
    </xf>
    <xf numFmtId="38" fontId="11" fillId="0" borderId="3" xfId="48" applyNumberFormat="1" applyFont="1" applyBorder="1"/>
    <xf numFmtId="38" fontId="11" fillId="0" borderId="0" xfId="28" applyNumberFormat="1" applyFont="1" applyFill="1" applyBorder="1" applyProtection="1"/>
    <xf numFmtId="38" fontId="11" fillId="0" borderId="0" xfId="28" applyNumberFormat="1" applyFont="1" applyFill="1" applyBorder="1"/>
    <xf numFmtId="38" fontId="11" fillId="0" borderId="3" xfId="28" applyNumberFormat="1" applyFont="1" applyFill="1" applyBorder="1" applyAlignment="1" applyProtection="1">
      <alignment horizontal="right"/>
    </xf>
    <xf numFmtId="170" fontId="11" fillId="0" borderId="0" xfId="28" applyNumberFormat="1" applyFont="1" applyFill="1" applyBorder="1" applyAlignment="1" applyProtection="1">
      <alignment horizontal="right"/>
      <protection locked="0"/>
    </xf>
    <xf numFmtId="170" fontId="11" fillId="0" borderId="0" xfId="0" applyNumberFormat="1" applyFont="1" applyAlignment="1">
      <alignment horizontal="right"/>
    </xf>
    <xf numFmtId="0" fontId="11" fillId="0" borderId="55" xfId="0" applyFont="1" applyBorder="1"/>
    <xf numFmtId="169" fontId="11" fillId="24" borderId="32" xfId="30" applyNumberFormat="1" applyFont="1" applyFill="1" applyBorder="1" applyAlignment="1">
      <alignment horizontal="center"/>
    </xf>
    <xf numFmtId="166" fontId="11" fillId="24" borderId="86" xfId="55" applyNumberFormat="1" applyFont="1" applyFill="1" applyBorder="1" applyAlignment="1">
      <alignment horizontal="center"/>
    </xf>
    <xf numFmtId="10" fontId="11" fillId="24" borderId="86" xfId="55" applyNumberFormat="1" applyFont="1" applyFill="1" applyBorder="1" applyAlignment="1">
      <alignment horizontal="center"/>
    </xf>
    <xf numFmtId="168" fontId="11" fillId="24" borderId="87" xfId="55" applyNumberFormat="1" applyFont="1" applyFill="1" applyBorder="1" applyAlignment="1">
      <alignment horizontal="center"/>
    </xf>
    <xf numFmtId="168" fontId="11" fillId="0" borderId="0" xfId="0" applyNumberFormat="1" applyFont="1"/>
    <xf numFmtId="0" fontId="11" fillId="0" borderId="51" xfId="0" applyFont="1" applyBorder="1"/>
    <xf numFmtId="166" fontId="11" fillId="24" borderId="32" xfId="55" applyNumberFormat="1" applyFont="1" applyFill="1" applyBorder="1" applyAlignment="1">
      <alignment horizontal="center"/>
    </xf>
    <xf numFmtId="10" fontId="11" fillId="24" borderId="32" xfId="55" applyNumberFormat="1" applyFont="1" applyFill="1" applyBorder="1" applyAlignment="1">
      <alignment horizontal="center"/>
    </xf>
    <xf numFmtId="168" fontId="11" fillId="24" borderId="88" xfId="55" applyNumberFormat="1" applyFont="1" applyFill="1" applyBorder="1" applyAlignment="1">
      <alignment horizontal="center"/>
    </xf>
    <xf numFmtId="170" fontId="11" fillId="24" borderId="89" xfId="30" applyNumberFormat="1" applyFont="1" applyFill="1" applyBorder="1"/>
    <xf numFmtId="170" fontId="11" fillId="24" borderId="90" xfId="30" applyNumberFormat="1" applyFont="1" applyFill="1" applyBorder="1"/>
    <xf numFmtId="170" fontId="11" fillId="24" borderId="91" xfId="30" applyNumberFormat="1" applyFont="1" applyFill="1" applyBorder="1"/>
    <xf numFmtId="168" fontId="11" fillId="24" borderId="92" xfId="0" applyNumberFormat="1" applyFont="1" applyFill="1" applyBorder="1"/>
    <xf numFmtId="168" fontId="11" fillId="24" borderId="32" xfId="0" applyNumberFormat="1" applyFont="1" applyFill="1" applyBorder="1"/>
    <xf numFmtId="168" fontId="11" fillId="24" borderId="33" xfId="0" applyNumberFormat="1" applyFont="1" applyFill="1" applyBorder="1"/>
    <xf numFmtId="0" fontId="11" fillId="0" borderId="0" xfId="52" applyFont="1"/>
    <xf numFmtId="169" fontId="21" fillId="27" borderId="56" xfId="30" applyNumberFormat="1" applyFont="1" applyFill="1" applyBorder="1" applyAlignment="1">
      <alignment horizontal="center"/>
    </xf>
    <xf numFmtId="168" fontId="21" fillId="27" borderId="56" xfId="55" applyNumberFormat="1" applyFont="1" applyFill="1" applyBorder="1" applyAlignment="1">
      <alignment horizontal="center"/>
    </xf>
    <xf numFmtId="0" fontId="21" fillId="27" borderId="56" xfId="0" applyFont="1" applyFill="1" applyBorder="1" applyAlignment="1">
      <alignment horizontal="center"/>
    </xf>
    <xf numFmtId="168" fontId="21" fillId="27" borderId="58" xfId="55" applyNumberFormat="1" applyFont="1" applyFill="1" applyBorder="1" applyAlignment="1">
      <alignment horizontal="center"/>
    </xf>
    <xf numFmtId="168" fontId="61" fillId="27" borderId="93" xfId="55" applyNumberFormat="1" applyFont="1" applyFill="1" applyBorder="1" applyAlignment="1">
      <alignment horizontal="center"/>
    </xf>
    <xf numFmtId="172" fontId="21" fillId="27" borderId="94" xfId="0" applyNumberFormat="1" applyFont="1" applyFill="1" applyBorder="1"/>
    <xf numFmtId="172" fontId="21" fillId="27" borderId="56" xfId="0" applyNumberFormat="1" applyFont="1" applyFill="1" applyBorder="1"/>
    <xf numFmtId="172" fontId="21" fillId="27" borderId="95" xfId="0" applyNumberFormat="1" applyFont="1" applyFill="1" applyBorder="1"/>
    <xf numFmtId="0" fontId="13" fillId="0" borderId="96" xfId="0" applyFont="1" applyBorder="1"/>
    <xf numFmtId="0" fontId="13" fillId="0" borderId="97" xfId="0" applyFont="1" applyBorder="1"/>
    <xf numFmtId="0" fontId="7" fillId="0" borderId="98" xfId="0" applyFont="1" applyBorder="1" applyAlignment="1">
      <alignment horizontal="center"/>
    </xf>
    <xf numFmtId="166" fontId="11" fillId="24" borderId="48" xfId="55" applyNumberFormat="1" applyFont="1" applyFill="1" applyBorder="1" applyAlignment="1">
      <alignment horizontal="center"/>
    </xf>
    <xf numFmtId="10" fontId="11" fillId="24" borderId="48" xfId="55" applyNumberFormat="1" applyFont="1" applyFill="1" applyBorder="1" applyAlignment="1">
      <alignment horizontal="center"/>
    </xf>
    <xf numFmtId="168" fontId="11" fillId="24" borderId="99" xfId="55" applyNumberFormat="1" applyFont="1" applyFill="1" applyBorder="1" applyAlignment="1">
      <alignment horizontal="center"/>
    </xf>
    <xf numFmtId="168" fontId="13" fillId="0" borderId="29" xfId="55" applyNumberFormat="1" applyFont="1" applyFill="1" applyBorder="1" applyAlignment="1">
      <alignment horizontal="center"/>
    </xf>
    <xf numFmtId="10" fontId="13" fillId="0" borderId="29" xfId="55" applyNumberFormat="1" applyFont="1" applyFill="1" applyBorder="1" applyAlignment="1">
      <alignment horizontal="center"/>
    </xf>
    <xf numFmtId="0" fontId="13" fillId="0" borderId="100" xfId="0" applyFont="1" applyBorder="1"/>
    <xf numFmtId="0" fontId="13" fillId="0" borderId="101" xfId="0" applyFont="1" applyBorder="1"/>
    <xf numFmtId="0" fontId="13" fillId="0" borderId="102" xfId="0" applyFont="1" applyBorder="1"/>
    <xf numFmtId="170" fontId="11" fillId="24" borderId="92" xfId="30" applyNumberFormat="1" applyFont="1" applyFill="1" applyBorder="1"/>
    <xf numFmtId="6" fontId="21" fillId="27" borderId="56" xfId="0" applyNumberFormat="1" applyFont="1" applyFill="1" applyBorder="1"/>
    <xf numFmtId="0" fontId="21" fillId="27" borderId="56" xfId="0" applyFont="1" applyFill="1" applyBorder="1"/>
    <xf numFmtId="10" fontId="21" fillId="27" borderId="56" xfId="52" applyNumberFormat="1" applyFont="1" applyFill="1" applyBorder="1"/>
    <xf numFmtId="6" fontId="21" fillId="27" borderId="58" xfId="52" applyNumberFormat="1" applyFont="1" applyFill="1" applyBorder="1" applyAlignment="1">
      <alignment horizontal="right"/>
    </xf>
    <xf numFmtId="10" fontId="21" fillId="27" borderId="62" xfId="52" quotePrefix="1" applyNumberFormat="1" applyFont="1" applyFill="1" applyBorder="1" applyAlignment="1">
      <alignment horizontal="center"/>
    </xf>
    <xf numFmtId="10" fontId="21" fillId="27" borderId="37" xfId="55" applyNumberFormat="1" applyFont="1" applyFill="1" applyBorder="1" applyAlignment="1">
      <alignment horizontal="center"/>
    </xf>
    <xf numFmtId="10" fontId="11" fillId="24" borderId="62" xfId="55" applyNumberFormat="1" applyFont="1" applyFill="1" applyBorder="1" applyAlignment="1">
      <alignment horizontal="center"/>
    </xf>
    <xf numFmtId="10" fontId="11" fillId="24" borderId="49" xfId="55" applyNumberFormat="1" applyFont="1" applyFill="1" applyBorder="1" applyAlignment="1">
      <alignment horizontal="center"/>
    </xf>
    <xf numFmtId="168" fontId="11" fillId="24" borderId="53" xfId="55" applyNumberFormat="1" applyFont="1" applyFill="1" applyBorder="1" applyAlignment="1">
      <alignment horizontal="center"/>
    </xf>
    <xf numFmtId="10" fontId="11" fillId="24" borderId="92" xfId="55" applyNumberFormat="1" applyFont="1" applyFill="1" applyBorder="1" applyAlignment="1">
      <alignment horizontal="center"/>
    </xf>
    <xf numFmtId="10" fontId="11" fillId="24" borderId="33" xfId="55" applyNumberFormat="1" applyFont="1" applyFill="1" applyBorder="1" applyAlignment="1">
      <alignment horizontal="center"/>
    </xf>
    <xf numFmtId="168" fontId="21" fillId="27" borderId="103" xfId="55" applyNumberFormat="1" applyFont="1" applyFill="1" applyBorder="1" applyAlignment="1">
      <alignment horizontal="center"/>
    </xf>
    <xf numFmtId="10" fontId="61" fillId="0" borderId="0" xfId="52" quotePrefix="1" applyNumberFormat="1" applyFont="1" applyAlignment="1">
      <alignment horizontal="center"/>
    </xf>
    <xf numFmtId="10" fontId="11" fillId="27" borderId="94" xfId="55" applyNumberFormat="1" applyFont="1" applyFill="1" applyBorder="1" applyAlignment="1">
      <alignment horizontal="center"/>
    </xf>
    <xf numFmtId="10" fontId="11" fillId="27" borderId="95" xfId="55" applyNumberFormat="1" applyFont="1" applyFill="1" applyBorder="1" applyAlignment="1">
      <alignment horizontal="center"/>
    </xf>
    <xf numFmtId="6" fontId="11" fillId="24" borderId="86" xfId="0" applyNumberFormat="1" applyFont="1" applyFill="1" applyBorder="1"/>
    <xf numFmtId="10" fontId="11" fillId="24" borderId="86" xfId="55" applyNumberFormat="1" applyFont="1" applyFill="1" applyBorder="1"/>
    <xf numFmtId="6" fontId="11" fillId="24" borderId="87" xfId="52" applyNumberFormat="1" applyFont="1" applyFill="1" applyBorder="1" applyAlignment="1">
      <alignment horizontal="right"/>
    </xf>
    <xf numFmtId="10" fontId="11" fillId="0" borderId="104" xfId="55" applyNumberFormat="1" applyFont="1" applyFill="1" applyBorder="1" applyAlignment="1">
      <alignment horizontal="center"/>
    </xf>
    <xf numFmtId="10" fontId="11" fillId="24" borderId="36" xfId="55" applyNumberFormat="1" applyFont="1" applyFill="1" applyBorder="1" applyAlignment="1">
      <alignment horizontal="center"/>
    </xf>
    <xf numFmtId="38" fontId="11" fillId="24" borderId="32" xfId="0" applyNumberFormat="1" applyFont="1" applyFill="1" applyBorder="1"/>
    <xf numFmtId="38" fontId="11" fillId="24" borderId="88" xfId="52" applyNumberFormat="1" applyFont="1" applyFill="1" applyBorder="1" applyAlignment="1">
      <alignment horizontal="right"/>
    </xf>
    <xf numFmtId="10" fontId="11" fillId="24" borderId="35" xfId="55" applyNumberFormat="1" applyFont="1" applyFill="1" applyBorder="1" applyAlignment="1">
      <alignment horizontal="center"/>
    </xf>
    <xf numFmtId="10" fontId="27" fillId="24" borderId="86" xfId="55" applyNumberFormat="1" applyFont="1" applyFill="1" applyBorder="1" applyAlignment="1">
      <alignment horizontal="center"/>
    </xf>
    <xf numFmtId="168" fontId="27" fillId="24" borderId="87" xfId="55" applyNumberFormat="1" applyFont="1" applyFill="1" applyBorder="1" applyAlignment="1">
      <alignment horizontal="center"/>
    </xf>
    <xf numFmtId="10" fontId="27" fillId="24" borderId="62" xfId="55" applyNumberFormat="1" applyFont="1" applyFill="1" applyBorder="1" applyAlignment="1">
      <alignment horizontal="center"/>
    </xf>
    <xf numFmtId="10" fontId="27" fillId="24" borderId="49" xfId="55" applyNumberFormat="1" applyFont="1" applyFill="1" applyBorder="1" applyAlignment="1">
      <alignment horizontal="center"/>
    </xf>
    <xf numFmtId="168" fontId="27" fillId="24" borderId="53" xfId="55" applyNumberFormat="1" applyFont="1" applyFill="1" applyBorder="1" applyAlignment="1">
      <alignment horizontal="center"/>
    </xf>
    <xf numFmtId="10" fontId="27" fillId="24" borderId="32" xfId="55" applyNumberFormat="1" applyFont="1" applyFill="1" applyBorder="1" applyAlignment="1">
      <alignment horizontal="center"/>
    </xf>
    <xf numFmtId="168" fontId="27" fillId="24" borderId="88" xfId="55" applyNumberFormat="1" applyFont="1" applyFill="1" applyBorder="1" applyAlignment="1">
      <alignment horizontal="center"/>
    </xf>
    <xf numFmtId="10" fontId="27" fillId="24" borderId="92" xfId="55" applyNumberFormat="1" applyFont="1" applyFill="1" applyBorder="1" applyAlignment="1">
      <alignment horizontal="center"/>
    </xf>
    <xf numFmtId="168" fontId="27" fillId="24" borderId="33" xfId="55" applyNumberFormat="1" applyFont="1" applyFill="1" applyBorder="1" applyAlignment="1">
      <alignment horizontal="center"/>
    </xf>
    <xf numFmtId="0" fontId="28" fillId="27" borderId="56" xfId="0" applyFont="1" applyFill="1" applyBorder="1" applyAlignment="1">
      <alignment horizontal="center"/>
    </xf>
    <xf numFmtId="168" fontId="28" fillId="27" borderId="58" xfId="55" applyNumberFormat="1" applyFont="1" applyFill="1" applyBorder="1" applyAlignment="1">
      <alignment horizontal="center"/>
    </xf>
    <xf numFmtId="10" fontId="67" fillId="0" borderId="0" xfId="52" quotePrefix="1" applyNumberFormat="1" applyFont="1" applyAlignment="1">
      <alignment horizontal="center"/>
    </xf>
    <xf numFmtId="10" fontId="27" fillId="27" borderId="94" xfId="55" applyNumberFormat="1" applyFont="1" applyFill="1" applyBorder="1" applyAlignment="1">
      <alignment horizontal="center"/>
    </xf>
    <xf numFmtId="10" fontId="27" fillId="27" borderId="95" xfId="55" applyNumberFormat="1" applyFont="1" applyFill="1" applyBorder="1" applyAlignment="1">
      <alignment horizontal="center"/>
    </xf>
    <xf numFmtId="170" fontId="11" fillId="24" borderId="86" xfId="30" applyNumberFormat="1" applyFont="1" applyFill="1" applyBorder="1" applyAlignment="1">
      <alignment horizontal="center"/>
    </xf>
    <xf numFmtId="1" fontId="11" fillId="24" borderId="86" xfId="55" applyNumberFormat="1" applyFont="1" applyFill="1" applyBorder="1" applyAlignment="1">
      <alignment horizontal="center"/>
    </xf>
    <xf numFmtId="170" fontId="11" fillId="24" borderId="105" xfId="30" applyNumberFormat="1" applyFont="1" applyFill="1" applyBorder="1" applyAlignment="1">
      <alignment horizontal="center"/>
    </xf>
    <xf numFmtId="170" fontId="11" fillId="24" borderId="32" xfId="30" applyNumberFormat="1" applyFont="1" applyFill="1" applyBorder="1" applyAlignment="1">
      <alignment horizontal="center"/>
    </xf>
    <xf numFmtId="170" fontId="11" fillId="24" borderId="106" xfId="30" applyNumberFormat="1" applyFont="1" applyFill="1" applyBorder="1"/>
    <xf numFmtId="170" fontId="11" fillId="24" borderId="107" xfId="30" applyNumberFormat="1" applyFont="1" applyFill="1" applyBorder="1"/>
    <xf numFmtId="9" fontId="11" fillId="24" borderId="92" xfId="55" applyFont="1" applyFill="1" applyBorder="1"/>
    <xf numFmtId="9" fontId="11" fillId="24" borderId="32" xfId="55" applyFont="1" applyFill="1" applyBorder="1"/>
    <xf numFmtId="9" fontId="11" fillId="24" borderId="33" xfId="55" applyFont="1" applyFill="1" applyBorder="1"/>
    <xf numFmtId="168" fontId="68" fillId="0" borderId="0" xfId="48" applyNumberFormat="1" applyFont="1"/>
    <xf numFmtId="9" fontId="68" fillId="0" borderId="0" xfId="55" applyFont="1" applyBorder="1" applyAlignment="1"/>
    <xf numFmtId="168" fontId="70" fillId="0" borderId="0" xfId="0" applyNumberFormat="1" applyFont="1" applyAlignment="1">
      <alignment horizontal="right"/>
    </xf>
    <xf numFmtId="0" fontId="32" fillId="0" borderId="28" xfId="0" applyFont="1" applyBorder="1"/>
    <xf numFmtId="0" fontId="32" fillId="0" borderId="28" xfId="0" applyFont="1" applyBorder="1" applyAlignment="1">
      <alignment horizontal="left"/>
    </xf>
    <xf numFmtId="38" fontId="11" fillId="0" borderId="31" xfId="48" applyNumberFormat="1" applyFont="1" applyBorder="1"/>
    <xf numFmtId="0" fontId="28" fillId="27" borderId="32" xfId="48" applyFont="1" applyFill="1" applyBorder="1" applyAlignment="1">
      <alignment horizontal="center"/>
    </xf>
    <xf numFmtId="170" fontId="21" fillId="27" borderId="32" xfId="30" applyNumberFormat="1" applyFont="1" applyFill="1" applyBorder="1"/>
    <xf numFmtId="170" fontId="21" fillId="27" borderId="33" xfId="30" applyNumberFormat="1" applyFont="1" applyFill="1" applyBorder="1"/>
    <xf numFmtId="3" fontId="11" fillId="0" borderId="0" xfId="0" applyNumberFormat="1" applyFont="1" applyAlignment="1">
      <alignment horizontal="right"/>
    </xf>
    <xf numFmtId="3" fontId="11" fillId="0" borderId="29" xfId="0" applyNumberFormat="1" applyFont="1" applyBorder="1" applyAlignment="1">
      <alignment horizontal="right"/>
    </xf>
    <xf numFmtId="3" fontId="11" fillId="0" borderId="3" xfId="48" applyNumberFormat="1" applyFont="1" applyBorder="1" applyAlignment="1">
      <alignment horizontal="right"/>
    </xf>
    <xf numFmtId="3" fontId="11" fillId="0" borderId="31" xfId="48" applyNumberFormat="1" applyFont="1" applyBorder="1" applyAlignment="1">
      <alignment horizontal="right"/>
    </xf>
    <xf numFmtId="3" fontId="11" fillId="0" borderId="0" xfId="48" applyNumberFormat="1" applyFont="1"/>
    <xf numFmtId="3" fontId="11" fillId="0" borderId="29" xfId="48" applyNumberFormat="1" applyFont="1" applyBorder="1"/>
    <xf numFmtId="44" fontId="21" fillId="27" borderId="32" xfId="30" applyFont="1" applyFill="1" applyBorder="1"/>
    <xf numFmtId="0" fontId="28" fillId="27" borderId="86" xfId="48" applyFont="1" applyFill="1" applyBorder="1" applyAlignment="1">
      <alignment horizontal="center"/>
    </xf>
    <xf numFmtId="0" fontId="28" fillId="27" borderId="109" xfId="48" applyFont="1" applyFill="1" applyBorder="1" applyAlignment="1">
      <alignment horizontal="center"/>
    </xf>
    <xf numFmtId="0" fontId="28" fillId="27" borderId="101" xfId="48" applyFont="1" applyFill="1" applyBorder="1" applyAlignment="1">
      <alignment horizontal="center"/>
    </xf>
    <xf numFmtId="0" fontId="28" fillId="27" borderId="110" xfId="48" applyFont="1" applyFill="1" applyBorder="1" applyAlignment="1">
      <alignment horizontal="center"/>
    </xf>
    <xf numFmtId="170" fontId="21" fillId="27" borderId="86" xfId="30" applyNumberFormat="1" applyFont="1" applyFill="1" applyBorder="1"/>
    <xf numFmtId="170" fontId="21" fillId="27" borderId="111" xfId="30" applyNumberFormat="1" applyFont="1" applyFill="1" applyBorder="1"/>
    <xf numFmtId="170" fontId="28" fillId="27" borderId="32" xfId="30" applyNumberFormat="1" applyFont="1" applyFill="1" applyBorder="1" applyAlignment="1" applyProtection="1">
      <alignment horizontal="center"/>
    </xf>
    <xf numFmtId="0" fontId="11" fillId="0" borderId="48" xfId="51" applyFont="1" applyBorder="1"/>
    <xf numFmtId="0" fontId="11" fillId="0" borderId="32" xfId="51" applyFont="1" applyBorder="1"/>
    <xf numFmtId="0" fontId="28" fillId="27" borderId="112" xfId="48" applyFont="1" applyFill="1" applyBorder="1" applyAlignment="1">
      <alignment horizontal="center"/>
    </xf>
    <xf numFmtId="170" fontId="21" fillId="27" borderId="32" xfId="30" applyNumberFormat="1" applyFont="1" applyFill="1" applyBorder="1" applyProtection="1"/>
    <xf numFmtId="0" fontId="28" fillId="27" borderId="113" xfId="48" applyFont="1" applyFill="1" applyBorder="1" applyAlignment="1">
      <alignment horizontal="center"/>
    </xf>
    <xf numFmtId="0" fontId="28" fillId="27" borderId="114" xfId="48" applyFont="1" applyFill="1" applyBorder="1" applyAlignment="1">
      <alignment horizontal="center"/>
    </xf>
    <xf numFmtId="0" fontId="28" fillId="27" borderId="115" xfId="48" applyFont="1" applyFill="1" applyBorder="1" applyAlignment="1">
      <alignment horizontal="center"/>
    </xf>
    <xf numFmtId="170" fontId="21" fillId="27" borderId="116" xfId="48" applyNumberFormat="1" applyFont="1" applyFill="1" applyBorder="1"/>
    <xf numFmtId="170" fontId="21" fillId="27" borderId="56" xfId="30" applyNumberFormat="1" applyFont="1" applyFill="1" applyBorder="1" applyAlignment="1">
      <alignment horizontal="right"/>
    </xf>
    <xf numFmtId="170" fontId="11" fillId="24" borderId="48" xfId="30" applyNumberFormat="1" applyFont="1" applyFill="1" applyBorder="1" applyAlignment="1">
      <alignment horizontal="center"/>
    </xf>
    <xf numFmtId="170" fontId="11" fillId="24" borderId="86" xfId="30" applyNumberFormat="1" applyFont="1" applyFill="1" applyBorder="1" applyAlignment="1">
      <alignment horizontal="right"/>
    </xf>
    <xf numFmtId="170" fontId="11" fillId="24" borderId="32" xfId="30" applyNumberFormat="1" applyFont="1" applyFill="1" applyBorder="1" applyAlignment="1">
      <alignment horizontal="right"/>
    </xf>
    <xf numFmtId="10" fontId="21" fillId="27" borderId="56" xfId="0" applyNumberFormat="1" applyFont="1" applyFill="1" applyBorder="1" applyAlignment="1">
      <alignment horizontal="center"/>
    </xf>
    <xf numFmtId="0" fontId="71" fillId="0" borderId="0" xfId="48" applyFont="1" applyAlignment="1">
      <alignment horizontal="right"/>
    </xf>
    <xf numFmtId="0" fontId="20" fillId="0" borderId="0" xfId="48" applyFont="1" applyAlignment="1">
      <alignment horizontal="right"/>
    </xf>
    <xf numFmtId="0" fontId="20" fillId="0" borderId="0" xfId="48" applyFont="1" applyAlignment="1">
      <alignment horizontal="left"/>
    </xf>
    <xf numFmtId="0" fontId="13" fillId="0" borderId="39" xfId="0" applyFont="1" applyBorder="1"/>
    <xf numFmtId="0" fontId="13" fillId="0" borderId="39" xfId="52" applyFont="1" applyBorder="1"/>
    <xf numFmtId="0" fontId="13" fillId="0" borderId="39" xfId="52" applyFont="1" applyBorder="1" applyAlignment="1">
      <alignment horizontal="center"/>
    </xf>
    <xf numFmtId="0" fontId="11" fillId="0" borderId="39" xfId="52" quotePrefix="1" applyFont="1" applyBorder="1" applyAlignment="1">
      <alignment horizontal="center"/>
    </xf>
    <xf numFmtId="172" fontId="13" fillId="0" borderId="39" xfId="0" applyNumberFormat="1" applyFont="1" applyBorder="1"/>
    <xf numFmtId="0" fontId="13" fillId="0" borderId="40" xfId="0" applyFont="1" applyBorder="1"/>
    <xf numFmtId="0" fontId="32" fillId="0" borderId="30" xfId="0" applyFont="1" applyBorder="1" applyAlignment="1">
      <alignment horizontal="left"/>
    </xf>
    <xf numFmtId="3" fontId="11" fillId="0" borderId="0" xfId="48" applyNumberFormat="1" applyFont="1" applyAlignment="1">
      <alignment horizontal="left"/>
    </xf>
    <xf numFmtId="3" fontId="11" fillId="0" borderId="29" xfId="48" applyNumberFormat="1" applyFont="1" applyBorder="1" applyAlignment="1">
      <alignment horizontal="left"/>
    </xf>
    <xf numFmtId="0" fontId="9" fillId="0" borderId="28" xfId="48" applyFont="1" applyBorder="1" applyAlignment="1">
      <alignment horizontal="center"/>
    </xf>
    <xf numFmtId="0" fontId="9" fillId="0" borderId="29" xfId="48" applyFont="1" applyBorder="1" applyAlignment="1">
      <alignment horizontal="center"/>
    </xf>
    <xf numFmtId="0" fontId="11" fillId="0" borderId="32" xfId="52" applyFont="1" applyBorder="1" applyAlignment="1">
      <alignment horizontal="center"/>
    </xf>
    <xf numFmtId="0" fontId="11" fillId="0" borderId="32" xfId="52" quotePrefix="1" applyFont="1" applyBorder="1" applyAlignment="1">
      <alignment horizontal="center"/>
    </xf>
    <xf numFmtId="38" fontId="11" fillId="0" borderId="0" xfId="52" applyNumberFormat="1" applyFont="1"/>
    <xf numFmtId="38" fontId="11" fillId="0" borderId="29" xfId="52" applyNumberFormat="1" applyFont="1" applyBorder="1"/>
    <xf numFmtId="6" fontId="11" fillId="0" borderId="0" xfId="52" applyNumberFormat="1" applyFont="1"/>
    <xf numFmtId="6" fontId="11" fillId="0" borderId="29" xfId="52" applyNumberFormat="1" applyFont="1" applyBorder="1"/>
    <xf numFmtId="170" fontId="0" fillId="0" borderId="0" xfId="30" applyNumberFormat="1" applyFont="1"/>
    <xf numFmtId="165" fontId="11" fillId="24" borderId="20" xfId="28" applyNumberFormat="1" applyFont="1" applyFill="1" applyBorder="1"/>
    <xf numFmtId="0" fontId="13" fillId="27" borderId="117" xfId="48" applyFont="1" applyFill="1" applyBorder="1" applyAlignment="1">
      <alignment horizontal="center"/>
    </xf>
    <xf numFmtId="0" fontId="13" fillId="27" borderId="118" xfId="48" applyFont="1" applyFill="1" applyBorder="1" applyAlignment="1">
      <alignment horizontal="center"/>
    </xf>
    <xf numFmtId="170" fontId="21" fillId="27" borderId="20" xfId="30" applyNumberFormat="1" applyFont="1" applyFill="1" applyBorder="1"/>
    <xf numFmtId="0" fontId="13" fillId="27" borderId="112" xfId="48" applyFont="1" applyFill="1" applyBorder="1" applyAlignment="1">
      <alignment horizontal="center"/>
    </xf>
    <xf numFmtId="0" fontId="13" fillId="27" borderId="101" xfId="48" applyFont="1" applyFill="1" applyBorder="1" applyAlignment="1">
      <alignment horizontal="center"/>
    </xf>
    <xf numFmtId="0" fontId="38" fillId="0" borderId="0" xfId="48" applyFont="1" applyProtection="1">
      <protection locked="0"/>
    </xf>
    <xf numFmtId="0" fontId="38" fillId="0" borderId="0" xfId="48" applyFont="1" applyAlignment="1" applyProtection="1">
      <alignment horizontal="left"/>
      <protection locked="0"/>
    </xf>
    <xf numFmtId="170" fontId="13" fillId="24" borderId="36" xfId="30" applyNumberFormat="1" applyFont="1" applyFill="1" applyBorder="1" applyAlignment="1" applyProtection="1">
      <alignment horizontal="right"/>
    </xf>
    <xf numFmtId="170" fontId="13" fillId="24" borderId="35" xfId="30" applyNumberFormat="1" applyFont="1" applyFill="1" applyBorder="1" applyAlignment="1" applyProtection="1">
      <alignment horizontal="right"/>
    </xf>
    <xf numFmtId="170" fontId="13" fillId="24" borderId="37" xfId="30" applyNumberFormat="1" applyFont="1" applyFill="1" applyBorder="1" applyAlignment="1" applyProtection="1">
      <alignment horizontal="center"/>
    </xf>
    <xf numFmtId="0" fontId="11" fillId="0" borderId="0" xfId="51" applyFont="1"/>
    <xf numFmtId="38" fontId="11" fillId="27" borderId="112" xfId="48" applyNumberFormat="1" applyFont="1" applyFill="1" applyBorder="1" applyAlignment="1">
      <alignment horizontal="right"/>
    </xf>
    <xf numFmtId="172" fontId="21" fillId="27" borderId="102" xfId="0" applyNumberFormat="1" applyFont="1" applyFill="1" applyBorder="1"/>
    <xf numFmtId="0" fontId="26" fillId="0" borderId="0" xfId="0" applyFont="1" applyAlignment="1">
      <alignment horizontal="centerContinuous"/>
    </xf>
    <xf numFmtId="0" fontId="9" fillId="0" borderId="14" xfId="0" applyFont="1" applyBorder="1" applyAlignment="1">
      <alignment horizontal="centerContinuous"/>
    </xf>
    <xf numFmtId="165" fontId="11" fillId="0" borderId="32" xfId="28" applyNumberFormat="1" applyFont="1" applyFill="1" applyBorder="1"/>
    <xf numFmtId="165" fontId="11" fillId="0" borderId="33" xfId="28" applyNumberFormat="1" applyFont="1" applyFill="1" applyBorder="1"/>
    <xf numFmtId="170" fontId="21" fillId="27" borderId="56" xfId="30" applyNumberFormat="1" applyFont="1" applyFill="1" applyBorder="1" applyAlignment="1">
      <alignment horizontal="center"/>
    </xf>
    <xf numFmtId="1" fontId="21" fillId="27" borderId="56" xfId="55" applyNumberFormat="1" applyFont="1" applyFill="1" applyBorder="1" applyAlignment="1">
      <alignment horizontal="center"/>
    </xf>
    <xf numFmtId="10" fontId="21" fillId="27" borderId="56" xfId="55" applyNumberFormat="1" applyFont="1" applyFill="1" applyBorder="1" applyAlignment="1">
      <alignment horizontal="center"/>
    </xf>
    <xf numFmtId="170" fontId="21" fillId="27" borderId="57" xfId="30" applyNumberFormat="1" applyFont="1" applyFill="1" applyBorder="1" applyAlignment="1">
      <alignment horizontal="center"/>
    </xf>
    <xf numFmtId="168" fontId="21" fillId="27" borderId="62" xfId="55" applyNumberFormat="1" applyFont="1" applyFill="1" applyBorder="1" applyAlignment="1">
      <alignment horizontal="center"/>
    </xf>
    <xf numFmtId="168" fontId="69" fillId="28" borderId="93" xfId="30" applyNumberFormat="1" applyFont="1" applyFill="1" applyBorder="1" applyAlignment="1">
      <alignment horizontal="right"/>
    </xf>
    <xf numFmtId="0" fontId="13" fillId="27" borderId="112" xfId="52" applyFont="1" applyFill="1" applyBorder="1" applyAlignment="1">
      <alignment horizontal="center"/>
    </xf>
    <xf numFmtId="0" fontId="13" fillId="27" borderId="101" xfId="52" quotePrefix="1" applyFont="1" applyFill="1" applyBorder="1" applyAlignment="1">
      <alignment horizontal="center"/>
    </xf>
    <xf numFmtId="0" fontId="13" fillId="27" borderId="110" xfId="48" applyFont="1" applyFill="1" applyBorder="1" applyAlignment="1" applyProtection="1">
      <alignment horizontal="center"/>
      <protection locked="0"/>
    </xf>
    <xf numFmtId="170" fontId="13" fillId="29" borderId="62" xfId="30" applyNumberFormat="1" applyFont="1" applyFill="1" applyBorder="1" applyAlignment="1" applyProtection="1">
      <alignment horizontal="right"/>
    </xf>
    <xf numFmtId="170" fontId="13" fillId="29" borderId="63" xfId="30" applyNumberFormat="1" applyFont="1" applyFill="1" applyBorder="1" applyAlignment="1" applyProtection="1">
      <alignment horizontal="right"/>
    </xf>
    <xf numFmtId="170" fontId="7" fillId="29" borderId="62" xfId="30" applyNumberFormat="1" applyFont="1" applyFill="1" applyBorder="1" applyAlignment="1" applyProtection="1">
      <alignment horizontal="right"/>
    </xf>
    <xf numFmtId="170" fontId="7" fillId="29" borderId="63" xfId="30" applyNumberFormat="1" applyFont="1" applyFill="1" applyBorder="1" applyAlignment="1" applyProtection="1">
      <alignment horizontal="right"/>
    </xf>
    <xf numFmtId="0" fontId="7" fillId="29" borderId="121" xfId="48" applyFont="1" applyFill="1" applyBorder="1"/>
    <xf numFmtId="0" fontId="33" fillId="29" borderId="121" xfId="48" applyFont="1" applyFill="1" applyBorder="1"/>
    <xf numFmtId="38" fontId="7" fillId="29" borderId="62" xfId="48" applyNumberFormat="1" applyFont="1" applyFill="1" applyBorder="1" applyAlignment="1">
      <alignment horizontal="right"/>
    </xf>
    <xf numFmtId="0" fontId="13" fillId="27" borderId="122" xfId="46" applyFont="1" applyFill="1" applyBorder="1"/>
    <xf numFmtId="170" fontId="13" fillId="27" borderId="116" xfId="30" applyNumberFormat="1" applyFont="1" applyFill="1" applyBorder="1"/>
    <xf numFmtId="170" fontId="13" fillId="27" borderId="123" xfId="30" applyNumberFormat="1" applyFont="1" applyFill="1" applyBorder="1"/>
    <xf numFmtId="9" fontId="7" fillId="27" borderId="116" xfId="55" applyFont="1" applyFill="1" applyBorder="1"/>
    <xf numFmtId="0" fontId="13" fillId="27" borderId="20" xfId="46" applyFont="1" applyFill="1" applyBorder="1"/>
    <xf numFmtId="170" fontId="13" fillId="27" borderId="20" xfId="30" applyNumberFormat="1" applyFont="1" applyFill="1" applyBorder="1"/>
    <xf numFmtId="170" fontId="13" fillId="27" borderId="21" xfId="30" applyNumberFormat="1" applyFont="1" applyFill="1" applyBorder="1"/>
    <xf numFmtId="9" fontId="7" fillId="27" borderId="20" xfId="55" applyFont="1" applyFill="1" applyBorder="1"/>
    <xf numFmtId="9" fontId="7" fillId="27" borderId="124" xfId="55" applyFont="1" applyFill="1" applyBorder="1"/>
    <xf numFmtId="10" fontId="7" fillId="27" borderId="125" xfId="55" applyNumberFormat="1" applyFont="1" applyFill="1" applyBorder="1"/>
    <xf numFmtId="10" fontId="7" fillId="27" borderId="126" xfId="55" applyNumberFormat="1" applyFont="1" applyFill="1" applyBorder="1"/>
    <xf numFmtId="10" fontId="7" fillId="27" borderId="20" xfId="55" applyNumberFormat="1" applyFont="1" applyFill="1" applyBorder="1"/>
    <xf numFmtId="10" fontId="7" fillId="27" borderId="21" xfId="55" applyNumberFormat="1" applyFont="1" applyFill="1" applyBorder="1"/>
    <xf numFmtId="10" fontId="7" fillId="27" borderId="127" xfId="55" applyNumberFormat="1" applyFont="1" applyFill="1" applyBorder="1"/>
    <xf numFmtId="10" fontId="7" fillId="27" borderId="128" xfId="55" applyNumberFormat="1" applyFont="1" applyFill="1" applyBorder="1"/>
    <xf numFmtId="10" fontId="7" fillId="27" borderId="129" xfId="55" applyNumberFormat="1" applyFont="1" applyFill="1" applyBorder="1"/>
    <xf numFmtId="170" fontId="13" fillId="0" borderId="0" xfId="30" applyNumberFormat="1" applyFont="1" applyFill="1" applyBorder="1"/>
    <xf numFmtId="170" fontId="13" fillId="0" borderId="15" xfId="30" applyNumberFormat="1" applyFont="1" applyFill="1" applyBorder="1"/>
    <xf numFmtId="165" fontId="5" fillId="0" borderId="0" xfId="48" applyNumberFormat="1" applyFont="1"/>
    <xf numFmtId="43" fontId="13" fillId="0" borderId="0" xfId="48" applyNumberFormat="1" applyFont="1" applyAlignment="1">
      <alignment horizontal="center"/>
    </xf>
    <xf numFmtId="43" fontId="4" fillId="0" borderId="0" xfId="0" applyNumberFormat="1" applyFont="1"/>
    <xf numFmtId="0" fontId="4" fillId="0" borderId="29" xfId="0" quotePrefix="1" applyFont="1" applyBorder="1"/>
    <xf numFmtId="173" fontId="4" fillId="0" borderId="0" xfId="0" applyNumberFormat="1" applyFont="1"/>
    <xf numFmtId="3" fontId="4" fillId="0" borderId="0" xfId="48" applyNumberFormat="1" applyFont="1" applyAlignment="1">
      <alignment horizontal="center"/>
    </xf>
    <xf numFmtId="42" fontId="21" fillId="27" borderId="32" xfId="30" applyNumberFormat="1" applyFont="1" applyFill="1" applyBorder="1"/>
    <xf numFmtId="0" fontId="33" fillId="0" borderId="28" xfId="48" applyFont="1" applyBorder="1"/>
    <xf numFmtId="2" fontId="33" fillId="0" borderId="0" xfId="30" applyNumberFormat="1" applyFont="1" applyFill="1" applyBorder="1" applyAlignment="1" applyProtection="1">
      <alignment horizontal="right"/>
    </xf>
    <xf numFmtId="3" fontId="33" fillId="0" borderId="0" xfId="30" applyNumberFormat="1" applyFont="1" applyFill="1" applyBorder="1" applyAlignment="1" applyProtection="1">
      <alignment horizontal="right"/>
    </xf>
    <xf numFmtId="6" fontId="0" fillId="0" borderId="0" xfId="0" applyNumberFormat="1"/>
    <xf numFmtId="3" fontId="7" fillId="0" borderId="0" xfId="30" applyNumberFormat="1" applyFont="1" applyFill="1" applyBorder="1" applyAlignment="1" applyProtection="1">
      <alignment horizontal="right"/>
    </xf>
    <xf numFmtId="38" fontId="33" fillId="0" borderId="0" xfId="30" applyNumberFormat="1" applyFont="1" applyFill="1" applyBorder="1" applyAlignment="1" applyProtection="1">
      <alignment horizontal="right"/>
    </xf>
    <xf numFmtId="0" fontId="7" fillId="0" borderId="30" xfId="48" applyFont="1" applyBorder="1"/>
    <xf numFmtId="0" fontId="37" fillId="0" borderId="3" xfId="48" applyFont="1" applyBorder="1" applyAlignment="1">
      <alignment horizontal="center"/>
    </xf>
    <xf numFmtId="3" fontId="33" fillId="0" borderId="3" xfId="30" applyNumberFormat="1" applyFont="1" applyFill="1" applyBorder="1" applyAlignment="1" applyProtection="1">
      <alignment horizontal="right"/>
    </xf>
    <xf numFmtId="38" fontId="13" fillId="0" borderId="0" xfId="48" applyNumberFormat="1" applyFont="1" applyAlignment="1" applyProtection="1">
      <alignment horizontal="right"/>
      <protection locked="0"/>
    </xf>
    <xf numFmtId="38" fontId="13" fillId="0" borderId="0" xfId="48" applyNumberFormat="1" applyFont="1" applyAlignment="1">
      <alignment horizontal="center"/>
    </xf>
    <xf numFmtId="0" fontId="71" fillId="0" borderId="0" xfId="48" applyFont="1" applyAlignment="1">
      <alignment horizontal="centerContinuous"/>
    </xf>
    <xf numFmtId="0" fontId="9" fillId="0" borderId="28" xfId="0" applyFont="1" applyBorder="1" applyAlignment="1">
      <alignment horizontal="centerContinuous"/>
    </xf>
    <xf numFmtId="0" fontId="9" fillId="0" borderId="0" xfId="0" applyFont="1" applyAlignment="1">
      <alignment horizontal="centerContinuous"/>
    </xf>
    <xf numFmtId="0" fontId="0" fillId="0" borderId="3" xfId="0" applyBorder="1"/>
    <xf numFmtId="0" fontId="0" fillId="0" borderId="31" xfId="0" applyBorder="1"/>
    <xf numFmtId="0" fontId="9" fillId="0" borderId="81" xfId="0" applyFont="1" applyBorder="1" applyAlignment="1">
      <alignment horizontal="centerContinuous"/>
    </xf>
    <xf numFmtId="0" fontId="9" fillId="0" borderId="41" xfId="0" applyFont="1" applyBorder="1" applyAlignment="1">
      <alignment horizontal="centerContinuous"/>
    </xf>
    <xf numFmtId="0" fontId="7" fillId="0" borderId="0" xfId="48" applyFont="1"/>
    <xf numFmtId="0" fontId="33" fillId="0" borderId="0" xfId="48" applyFont="1"/>
    <xf numFmtId="9" fontId="20" fillId="0" borderId="3" xfId="48" applyNumberFormat="1" applyFont="1" applyBorder="1" applyAlignment="1">
      <alignment horizontal="center"/>
    </xf>
    <xf numFmtId="171" fontId="11" fillId="0" borderId="32" xfId="48" applyNumberFormat="1" applyFont="1" applyBorder="1" applyAlignment="1">
      <alignment horizontal="center"/>
    </xf>
    <xf numFmtId="170" fontId="11" fillId="24" borderId="49" xfId="30" applyNumberFormat="1" applyFont="1" applyFill="1" applyBorder="1"/>
    <xf numFmtId="0" fontId="13" fillId="0" borderId="104" xfId="0" applyFont="1" applyBorder="1"/>
    <xf numFmtId="0" fontId="13" fillId="0" borderId="65" xfId="0" applyFont="1" applyBorder="1"/>
    <xf numFmtId="6" fontId="11" fillId="24" borderId="48" xfId="30" applyNumberFormat="1" applyFont="1" applyFill="1" applyBorder="1"/>
    <xf numFmtId="0" fontId="0" fillId="0" borderId="65" xfId="0" applyBorder="1"/>
    <xf numFmtId="38" fontId="21" fillId="27" borderId="88" xfId="28" applyNumberFormat="1" applyFont="1" applyFill="1" applyBorder="1"/>
    <xf numFmtId="40" fontId="7" fillId="0" borderId="0" xfId="48" applyNumberFormat="1" applyFont="1" applyAlignment="1" applyProtection="1">
      <alignment horizontal="right"/>
      <protection locked="0"/>
    </xf>
    <xf numFmtId="40" fontId="20" fillId="0" borderId="0" xfId="48" applyNumberFormat="1" applyFont="1" applyAlignment="1">
      <alignment horizontal="center"/>
    </xf>
    <xf numFmtId="170" fontId="21" fillId="30" borderId="32" xfId="30" applyNumberFormat="1" applyFont="1" applyFill="1" applyBorder="1"/>
    <xf numFmtId="170" fontId="21" fillId="27" borderId="133" xfId="30" applyNumberFormat="1" applyFont="1" applyFill="1" applyBorder="1"/>
    <xf numFmtId="0" fontId="13" fillId="27" borderId="134" xfId="46" applyFont="1" applyFill="1" applyBorder="1"/>
    <xf numFmtId="0" fontId="13" fillId="0" borderId="26" xfId="46" applyFont="1" applyBorder="1"/>
    <xf numFmtId="10" fontId="7" fillId="27" borderId="116" xfId="55" applyNumberFormat="1" applyFont="1" applyFill="1" applyBorder="1"/>
    <xf numFmtId="10" fontId="7" fillId="27" borderId="123" xfId="55" applyNumberFormat="1" applyFont="1" applyFill="1" applyBorder="1"/>
    <xf numFmtId="10" fontId="7" fillId="27" borderId="124" xfId="55" applyNumberFormat="1" applyFont="1" applyFill="1" applyBorder="1"/>
    <xf numFmtId="10" fontId="7" fillId="27" borderId="135" xfId="55" applyNumberFormat="1" applyFont="1" applyFill="1" applyBorder="1"/>
    <xf numFmtId="0" fontId="0" fillId="0" borderId="0" xfId="0" applyAlignment="1">
      <alignment horizontal="center"/>
    </xf>
    <xf numFmtId="0" fontId="0" fillId="0" borderId="0" xfId="0" applyAlignment="1">
      <alignment horizontal="left"/>
    </xf>
    <xf numFmtId="0" fontId="59" fillId="0" borderId="0" xfId="48" applyFont="1" applyAlignment="1">
      <alignment horizontal="left"/>
    </xf>
    <xf numFmtId="14" fontId="7" fillId="0" borderId="0" xfId="48" applyNumberFormat="1" applyFont="1" applyAlignment="1">
      <alignment horizontal="center"/>
    </xf>
    <xf numFmtId="165" fontId="13" fillId="24" borderId="20" xfId="28" applyNumberFormat="1" applyFont="1" applyFill="1" applyBorder="1" applyAlignment="1">
      <alignment horizontal="center"/>
    </xf>
    <xf numFmtId="0" fontId="0" fillId="0" borderId="29" xfId="0" applyBorder="1" applyAlignment="1">
      <alignment horizontal="left"/>
    </xf>
    <xf numFmtId="0" fontId="0" fillId="0" borderId="28" xfId="0" applyBorder="1" applyAlignment="1">
      <alignment horizontal="left"/>
    </xf>
    <xf numFmtId="0" fontId="72" fillId="0" borderId="65" xfId="0" applyFont="1" applyBorder="1"/>
    <xf numFmtId="0" fontId="72" fillId="0" borderId="0" xfId="0" applyFont="1"/>
    <xf numFmtId="0" fontId="79" fillId="0" borderId="0" xfId="0" applyFont="1"/>
    <xf numFmtId="0" fontId="80" fillId="0" borderId="0" xfId="0" applyFont="1"/>
    <xf numFmtId="0" fontId="77" fillId="26" borderId="137" xfId="0" applyFont="1" applyFill="1" applyBorder="1" applyAlignment="1">
      <alignment horizontal="right"/>
    </xf>
    <xf numFmtId="0" fontId="80" fillId="26" borderId="0" xfId="0" applyFont="1" applyFill="1" applyProtection="1">
      <protection hidden="1"/>
    </xf>
    <xf numFmtId="0" fontId="81" fillId="26" borderId="0" xfId="0" applyFont="1" applyFill="1" applyProtection="1">
      <protection hidden="1"/>
    </xf>
    <xf numFmtId="0" fontId="80" fillId="0" borderId="0" xfId="0" applyFont="1" applyAlignment="1">
      <alignment vertical="center"/>
    </xf>
    <xf numFmtId="0" fontId="83" fillId="0" borderId="138" xfId="48" applyFont="1" applyBorder="1" applyAlignment="1">
      <alignment horizontal="center" vertical="center"/>
    </xf>
    <xf numFmtId="0" fontId="84" fillId="0" borderId="138" xfId="0" applyFont="1" applyBorder="1" applyAlignment="1">
      <alignment horizontal="right" vertical="center"/>
    </xf>
    <xf numFmtId="0" fontId="85" fillId="0" borderId="138" xfId="0" applyFont="1" applyBorder="1" applyAlignment="1">
      <alignment vertical="center"/>
    </xf>
    <xf numFmtId="0" fontId="80" fillId="0" borderId="0" xfId="0" applyFont="1" applyAlignment="1">
      <alignment horizontal="right" indent="1"/>
    </xf>
    <xf numFmtId="0" fontId="86" fillId="26" borderId="139" xfId="48" applyFont="1" applyFill="1" applyBorder="1" applyAlignment="1">
      <alignment horizontal="center"/>
    </xf>
    <xf numFmtId="0" fontId="87" fillId="26" borderId="140" xfId="48" applyFont="1" applyFill="1" applyBorder="1" applyAlignment="1">
      <alignment horizontal="center"/>
    </xf>
    <xf numFmtId="0" fontId="86" fillId="0" borderId="141" xfId="48" applyFont="1" applyBorder="1" applyAlignment="1">
      <alignment horizontal="center"/>
    </xf>
    <xf numFmtId="0" fontId="87" fillId="26" borderId="142" xfId="48" applyFont="1" applyFill="1" applyBorder="1" applyAlignment="1">
      <alignment horizontal="center"/>
    </xf>
    <xf numFmtId="0" fontId="86" fillId="26" borderId="141" xfId="48" applyFont="1" applyFill="1" applyBorder="1" applyAlignment="1">
      <alignment horizontal="center"/>
    </xf>
    <xf numFmtId="0" fontId="86" fillId="26" borderId="143" xfId="48" applyFont="1" applyFill="1" applyBorder="1" applyAlignment="1">
      <alignment horizontal="center"/>
    </xf>
    <xf numFmtId="0" fontId="87" fillId="26" borderId="143" xfId="48" applyFont="1" applyFill="1" applyBorder="1" applyAlignment="1">
      <alignment horizontal="center"/>
    </xf>
    <xf numFmtId="0" fontId="86" fillId="0" borderId="143" xfId="48" applyFont="1" applyBorder="1" applyAlignment="1">
      <alignment horizontal="center"/>
    </xf>
    <xf numFmtId="0" fontId="87" fillId="26" borderId="144" xfId="48" applyFont="1" applyFill="1" applyBorder="1" applyAlignment="1">
      <alignment horizontal="center"/>
    </xf>
    <xf numFmtId="0" fontId="86" fillId="0" borderId="145" xfId="48" applyFont="1" applyBorder="1" applyAlignment="1">
      <alignment horizontal="center"/>
    </xf>
    <xf numFmtId="0" fontId="87" fillId="26" borderId="146" xfId="48" applyFont="1" applyFill="1" applyBorder="1" applyAlignment="1">
      <alignment horizontal="center"/>
    </xf>
    <xf numFmtId="0" fontId="88" fillId="0" borderId="0" xfId="0" applyFont="1"/>
    <xf numFmtId="0" fontId="79" fillId="0" borderId="147" xfId="0" applyFont="1" applyBorder="1" applyAlignment="1">
      <alignment horizontal="center" vertical="center"/>
    </xf>
    <xf numFmtId="0" fontId="79" fillId="0" borderId="0" xfId="0" applyFont="1" applyAlignment="1">
      <alignment horizontal="center" vertical="center"/>
    </xf>
    <xf numFmtId="0" fontId="79" fillId="0" borderId="0" xfId="0" applyFont="1" applyAlignment="1" applyProtection="1">
      <alignment horizontal="center" vertical="center"/>
      <protection hidden="1"/>
    </xf>
    <xf numFmtId="0" fontId="89" fillId="0" borderId="148" xfId="45" applyFont="1" applyBorder="1" applyAlignment="1" applyProtection="1">
      <alignment horizontal="center"/>
      <protection locked="0"/>
    </xf>
    <xf numFmtId="0" fontId="74" fillId="0" borderId="0" xfId="28" applyNumberFormat="1" applyFont="1" applyFill="1" applyBorder="1" applyAlignment="1">
      <alignment horizontal="center" wrapText="1"/>
    </xf>
    <xf numFmtId="0" fontId="79" fillId="0" borderId="0" xfId="0" applyFont="1" applyProtection="1">
      <protection hidden="1"/>
    </xf>
    <xf numFmtId="0" fontId="89" fillId="0" borderId="137" xfId="45" applyFont="1" applyBorder="1" applyAlignment="1" applyProtection="1">
      <alignment horizontal="center"/>
      <protection locked="0"/>
    </xf>
    <xf numFmtId="0" fontId="91" fillId="0" borderId="0" xfId="0" applyFont="1" applyProtection="1">
      <protection hidden="1"/>
    </xf>
    <xf numFmtId="176" fontId="79" fillId="0" borderId="137" xfId="0" applyNumberFormat="1" applyFont="1" applyBorder="1" applyAlignment="1" applyProtection="1">
      <alignment horizontal="center"/>
      <protection hidden="1"/>
    </xf>
    <xf numFmtId="0" fontId="92" fillId="0" borderId="0" xfId="0" applyFont="1"/>
    <xf numFmtId="0" fontId="81" fillId="0" borderId="0" xfId="0" applyFont="1" applyProtection="1">
      <protection hidden="1"/>
    </xf>
    <xf numFmtId="0" fontId="79" fillId="0" borderId="0" xfId="0" applyFont="1" applyAlignment="1">
      <alignment vertical="center"/>
    </xf>
    <xf numFmtId="0" fontId="79" fillId="0" borderId="0" xfId="0" applyFont="1" applyAlignment="1" applyProtection="1">
      <alignment vertical="center"/>
      <protection hidden="1"/>
    </xf>
    <xf numFmtId="0" fontId="79" fillId="26" borderId="149" xfId="0" applyFont="1" applyFill="1" applyBorder="1"/>
    <xf numFmtId="0" fontId="79" fillId="26" borderId="150" xfId="0" applyFont="1" applyFill="1" applyBorder="1"/>
    <xf numFmtId="38" fontId="79" fillId="0" borderId="151" xfId="0" applyNumberFormat="1" applyFont="1" applyBorder="1" applyProtection="1">
      <protection locked="0"/>
    </xf>
    <xf numFmtId="38" fontId="79" fillId="0" borderId="152" xfId="0" applyNumberFormat="1" applyFont="1" applyBorder="1" applyProtection="1">
      <protection locked="0"/>
    </xf>
    <xf numFmtId="38" fontId="79" fillId="0" borderId="153" xfId="0" applyNumberFormat="1" applyFont="1" applyBorder="1" applyProtection="1">
      <protection locked="0"/>
    </xf>
    <xf numFmtId="38" fontId="79" fillId="26" borderId="154" xfId="0" applyNumberFormat="1" applyFont="1" applyFill="1" applyBorder="1"/>
    <xf numFmtId="38" fontId="79" fillId="26" borderId="155" xfId="0" applyNumberFormat="1" applyFont="1" applyFill="1" applyBorder="1"/>
    <xf numFmtId="38" fontId="79" fillId="0" borderId="154" xfId="0" applyNumberFormat="1" applyFont="1" applyBorder="1"/>
    <xf numFmtId="165" fontId="74" fillId="0" borderId="0" xfId="29" applyNumberFormat="1" applyFont="1" applyFill="1" applyBorder="1" applyAlignment="1">
      <alignment wrapText="1"/>
    </xf>
    <xf numFmtId="38" fontId="79" fillId="0" borderId="156" xfId="0" applyNumberFormat="1" applyFont="1" applyBorder="1" applyProtection="1">
      <protection locked="0"/>
    </xf>
    <xf numFmtId="38" fontId="79" fillId="0" borderId="157" xfId="0" applyNumberFormat="1" applyFont="1" applyBorder="1" applyProtection="1">
      <protection locked="0"/>
    </xf>
    <xf numFmtId="38" fontId="79" fillId="0" borderId="158" xfId="0" applyNumberFormat="1" applyFont="1" applyBorder="1" applyProtection="1">
      <protection locked="0"/>
    </xf>
    <xf numFmtId="38" fontId="79" fillId="0" borderId="151" xfId="0" applyNumberFormat="1" applyFont="1" applyBorder="1"/>
    <xf numFmtId="38" fontId="79" fillId="0" borderId="152" xfId="0" applyNumberFormat="1" applyFont="1" applyBorder="1"/>
    <xf numFmtId="38" fontId="79" fillId="0" borderId="153" xfId="0" applyNumberFormat="1" applyFont="1" applyBorder="1"/>
    <xf numFmtId="38" fontId="79" fillId="0" borderId="156" xfId="0" applyNumberFormat="1" applyFont="1" applyBorder="1"/>
    <xf numFmtId="38" fontId="79" fillId="0" borderId="157" xfId="0" applyNumberFormat="1" applyFont="1" applyBorder="1"/>
    <xf numFmtId="38" fontId="79" fillId="0" borderId="158" xfId="0" applyNumberFormat="1" applyFont="1" applyBorder="1"/>
    <xf numFmtId="0" fontId="62" fillId="0" borderId="159" xfId="49" applyFont="1" applyBorder="1" applyAlignment="1">
      <alignment horizontal="center" vertical="top"/>
    </xf>
    <xf numFmtId="0" fontId="62" fillId="0" borderId="34" xfId="49" applyFont="1" applyBorder="1" applyAlignment="1">
      <alignment horizontal="center" vertical="top"/>
    </xf>
    <xf numFmtId="38" fontId="94" fillId="0" borderId="104" xfId="49" applyNumberFormat="1" applyFont="1" applyBorder="1"/>
    <xf numFmtId="0" fontId="94" fillId="0" borderId="0" xfId="49" applyFont="1"/>
    <xf numFmtId="0" fontId="3" fillId="0" borderId="0" xfId="49"/>
    <xf numFmtId="0" fontId="95" fillId="0" borderId="160" xfId="49" applyFont="1" applyBorder="1" applyAlignment="1">
      <alignment horizontal="center" vertical="top"/>
    </xf>
    <xf numFmtId="0" fontId="62" fillId="0" borderId="14" xfId="49" applyFont="1" applyBorder="1"/>
    <xf numFmtId="6" fontId="96" fillId="0" borderId="34" xfId="49" applyNumberFormat="1" applyFont="1" applyBorder="1"/>
    <xf numFmtId="10" fontId="62" fillId="0" borderId="161" xfId="55" applyNumberFormat="1" applyFont="1" applyFill="1" applyBorder="1"/>
    <xf numFmtId="0" fontId="62" fillId="0" borderId="162" xfId="49" applyFont="1" applyBorder="1"/>
    <xf numFmtId="0" fontId="62" fillId="28" borderId="163" xfId="0" applyFont="1" applyFill="1" applyBorder="1" applyAlignment="1">
      <alignment horizontal="center"/>
    </xf>
    <xf numFmtId="3" fontId="62" fillId="28" borderId="163" xfId="0" applyNumberFormat="1" applyFont="1" applyFill="1" applyBorder="1" applyAlignment="1">
      <alignment horizontal="center"/>
    </xf>
    <xf numFmtId="0" fontId="6" fillId="28" borderId="163" xfId="0" applyFont="1" applyFill="1" applyBorder="1" applyAlignment="1">
      <alignment horizontal="center"/>
    </xf>
    <xf numFmtId="0" fontId="97" fillId="0" borderId="164" xfId="49" applyFont="1" applyBorder="1"/>
    <xf numFmtId="0" fontId="70" fillId="0" borderId="165" xfId="49" applyFont="1" applyBorder="1"/>
    <xf numFmtId="0" fontId="65" fillId="0" borderId="161" xfId="0" applyFont="1" applyBorder="1" applyAlignment="1">
      <alignment horizontal="center"/>
    </xf>
    <xf numFmtId="0" fontId="65" fillId="0" borderId="166" xfId="0" applyFont="1" applyBorder="1" applyAlignment="1">
      <alignment horizontal="center"/>
    </xf>
    <xf numFmtId="0" fontId="62" fillId="0" borderId="167" xfId="49" applyFont="1" applyBorder="1" applyAlignment="1">
      <alignment horizontal="center" vertical="top"/>
    </xf>
    <xf numFmtId="175" fontId="62" fillId="0" borderId="168" xfId="0" applyNumberFormat="1" applyFont="1" applyBorder="1" applyAlignment="1">
      <alignment horizontal="center"/>
    </xf>
    <xf numFmtId="0" fontId="62" fillId="0" borderId="169" xfId="0" applyFont="1" applyBorder="1" applyAlignment="1">
      <alignment horizontal="center"/>
    </xf>
    <xf numFmtId="0" fontId="62" fillId="0" borderId="23" xfId="49" applyFont="1" applyBorder="1" applyAlignment="1">
      <alignment horizontal="center" vertical="top"/>
    </xf>
    <xf numFmtId="175" fontId="62" fillId="0" borderId="170" xfId="0" applyNumberFormat="1" applyFont="1" applyBorder="1" applyAlignment="1">
      <alignment horizontal="center"/>
    </xf>
    <xf numFmtId="175" fontId="63" fillId="0" borderId="171" xfId="49" applyNumberFormat="1" applyFont="1" applyBorder="1"/>
    <xf numFmtId="0" fontId="62" fillId="0" borderId="172" xfId="49" applyFont="1" applyBorder="1" applyAlignment="1">
      <alignment horizontal="center" vertical="top"/>
    </xf>
    <xf numFmtId="38" fontId="63" fillId="0" borderId="173" xfId="0" applyNumberFormat="1" applyFont="1" applyBorder="1"/>
    <xf numFmtId="38" fontId="63" fillId="0" borderId="174" xfId="0" applyNumberFormat="1" applyFont="1" applyBorder="1"/>
    <xf numFmtId="38" fontId="63" fillId="31" borderId="173" xfId="0" applyNumberFormat="1" applyFont="1" applyFill="1" applyBorder="1"/>
    <xf numFmtId="38" fontId="63" fillId="31" borderId="173" xfId="49" applyNumberFormat="1" applyFont="1" applyFill="1" applyBorder="1"/>
    <xf numFmtId="38" fontId="63" fillId="0" borderId="175" xfId="49" applyNumberFormat="1" applyFont="1" applyBorder="1"/>
    <xf numFmtId="6" fontId="63" fillId="0" borderId="173" xfId="0" applyNumberFormat="1" applyFont="1" applyBorder="1"/>
    <xf numFmtId="6" fontId="63" fillId="0" borderId="174" xfId="0" applyNumberFormat="1" applyFont="1" applyBorder="1"/>
    <xf numFmtId="6" fontId="63" fillId="31" borderId="173" xfId="0" applyNumberFormat="1" applyFont="1" applyFill="1" applyBorder="1"/>
    <xf numFmtId="6" fontId="62" fillId="31" borderId="173" xfId="0" applyNumberFormat="1" applyFont="1" applyFill="1" applyBorder="1"/>
    <xf numFmtId="6" fontId="63" fillId="31" borderId="173" xfId="49" applyNumberFormat="1" applyFont="1" applyFill="1" applyBorder="1"/>
    <xf numFmtId="6" fontId="72" fillId="0" borderId="173" xfId="0" applyNumberFormat="1" applyFont="1" applyBorder="1"/>
    <xf numFmtId="6" fontId="72" fillId="0" borderId="174" xfId="0" applyNumberFormat="1" applyFont="1" applyBorder="1"/>
    <xf numFmtId="170" fontId="4" fillId="31" borderId="173" xfId="30" applyNumberFormat="1" applyFont="1" applyFill="1" applyBorder="1"/>
    <xf numFmtId="170" fontId="4" fillId="0" borderId="175" xfId="30" applyNumberFormat="1" applyFont="1" applyFill="1" applyBorder="1"/>
    <xf numFmtId="10" fontId="59" fillId="0" borderId="173" xfId="0" applyNumberFormat="1" applyFont="1" applyBorder="1"/>
    <xf numFmtId="10" fontId="62" fillId="0" borderId="173" xfId="0" applyNumberFormat="1" applyFont="1" applyBorder="1"/>
    <xf numFmtId="10" fontId="59" fillId="0" borderId="173" xfId="49" applyNumberFormat="1" applyFont="1" applyBorder="1"/>
    <xf numFmtId="6" fontId="4" fillId="0" borderId="175" xfId="49" applyNumberFormat="1" applyFont="1" applyBorder="1"/>
    <xf numFmtId="43" fontId="63" fillId="0" borderId="173" xfId="28" applyFont="1" applyFill="1" applyBorder="1"/>
    <xf numFmtId="170" fontId="4" fillId="24" borderId="173" xfId="30" applyNumberFormat="1" applyFont="1" applyFill="1" applyBorder="1"/>
    <xf numFmtId="10" fontId="62" fillId="0" borderId="172" xfId="49" applyNumberFormat="1" applyFont="1" applyBorder="1" applyAlignment="1">
      <alignment horizontal="center" vertical="top"/>
    </xf>
    <xf numFmtId="3" fontId="63" fillId="31" borderId="173" xfId="0" applyNumberFormat="1" applyFont="1" applyFill="1" applyBorder="1"/>
    <xf numFmtId="6" fontId="63" fillId="0" borderId="176" xfId="0" applyNumberFormat="1" applyFont="1" applyBorder="1"/>
    <xf numFmtId="5" fontId="98" fillId="32" borderId="177" xfId="0" applyNumberFormat="1" applyFont="1" applyFill="1" applyBorder="1" applyProtection="1">
      <protection locked="0"/>
    </xf>
    <xf numFmtId="6" fontId="63" fillId="24" borderId="173" xfId="0" applyNumberFormat="1" applyFont="1" applyFill="1" applyBorder="1"/>
    <xf numFmtId="6" fontId="63" fillId="24" borderId="173" xfId="49" applyNumberFormat="1" applyFont="1" applyFill="1" applyBorder="1"/>
    <xf numFmtId="6" fontId="0" fillId="24" borderId="173" xfId="0" applyNumberFormat="1" applyFill="1" applyBorder="1"/>
    <xf numFmtId="6" fontId="99" fillId="24" borderId="173" xfId="0" applyNumberFormat="1" applyFont="1" applyFill="1" applyBorder="1"/>
    <xf numFmtId="0" fontId="99" fillId="24" borderId="173" xfId="0" applyFont="1" applyFill="1" applyBorder="1"/>
    <xf numFmtId="6" fontId="99" fillId="24" borderId="173" xfId="49" applyNumberFormat="1" applyFont="1" applyFill="1" applyBorder="1"/>
    <xf numFmtId="0" fontId="100" fillId="0" borderId="172" xfId="49" applyFont="1" applyBorder="1"/>
    <xf numFmtId="0" fontId="100" fillId="0" borderId="173" xfId="0" applyFont="1" applyBorder="1"/>
    <xf numFmtId="0" fontId="0" fillId="0" borderId="173" xfId="0" applyBorder="1"/>
    <xf numFmtId="0" fontId="99" fillId="0" borderId="173" xfId="0" applyFont="1" applyBorder="1"/>
    <xf numFmtId="0" fontId="99" fillId="0" borderId="173" xfId="49" applyFont="1" applyBorder="1"/>
    <xf numFmtId="0" fontId="101" fillId="0" borderId="175" xfId="49" applyFont="1" applyBorder="1"/>
    <xf numFmtId="6" fontId="62" fillId="0" borderId="173" xfId="0" applyNumberFormat="1" applyFont="1" applyBorder="1"/>
    <xf numFmtId="6" fontId="62" fillId="0" borderId="173" xfId="49" applyNumberFormat="1" applyFont="1" applyBorder="1"/>
    <xf numFmtId="0" fontId="62" fillId="0" borderId="178" xfId="49" applyFont="1" applyBorder="1" applyAlignment="1">
      <alignment horizontal="center" vertical="top"/>
    </xf>
    <xf numFmtId="8" fontId="62" fillId="0" borderId="170" xfId="0" applyNumberFormat="1" applyFont="1" applyBorder="1"/>
    <xf numFmtId="8" fontId="62" fillId="0" borderId="170" xfId="49" applyNumberFormat="1" applyFont="1" applyBorder="1"/>
    <xf numFmtId="8" fontId="62" fillId="0" borderId="179" xfId="49" applyNumberFormat="1" applyFont="1" applyBorder="1"/>
    <xf numFmtId="0" fontId="62" fillId="0" borderId="14" xfId="49" applyFont="1" applyBorder="1" applyAlignment="1">
      <alignment horizontal="center" vertical="top"/>
    </xf>
    <xf numFmtId="0" fontId="101" fillId="0" borderId="0" xfId="49" applyFont="1"/>
    <xf numFmtId="0" fontId="3" fillId="0" borderId="180" xfId="49" applyBorder="1"/>
    <xf numFmtId="0" fontId="101" fillId="0" borderId="15" xfId="49" applyFont="1" applyBorder="1"/>
    <xf numFmtId="0" fontId="62" fillId="0" borderId="14" xfId="49" applyFont="1" applyBorder="1" applyAlignment="1">
      <alignment horizontal="left" vertical="top"/>
    </xf>
    <xf numFmtId="8" fontId="62" fillId="0" borderId="0" xfId="49" applyNumberFormat="1" applyFont="1"/>
    <xf numFmtId="8" fontId="62" fillId="0" borderId="15" xfId="49" applyNumberFormat="1" applyFont="1" applyBorder="1"/>
    <xf numFmtId="0" fontId="102" fillId="28" borderId="14" xfId="49" applyFont="1" applyFill="1" applyBorder="1" applyAlignment="1">
      <alignment horizontal="left" vertical="center"/>
    </xf>
    <xf numFmtId="0" fontId="103" fillId="28" borderId="0" xfId="49" applyFont="1" applyFill="1" applyAlignment="1">
      <alignment vertical="center"/>
    </xf>
    <xf numFmtId="8" fontId="104" fillId="28" borderId="0" xfId="49" applyNumberFormat="1" applyFont="1" applyFill="1" applyAlignment="1">
      <alignment vertical="center"/>
    </xf>
    <xf numFmtId="0" fontId="3" fillId="28" borderId="0" xfId="49" applyFill="1"/>
    <xf numFmtId="8" fontId="104" fillId="28" borderId="15" xfId="49" applyNumberFormat="1" applyFont="1" applyFill="1" applyBorder="1" applyAlignment="1">
      <alignment vertical="center"/>
    </xf>
    <xf numFmtId="0" fontId="6" fillId="0" borderId="14" xfId="49" applyFont="1" applyBorder="1" applyAlignment="1">
      <alignment horizontal="left" vertical="top"/>
    </xf>
    <xf numFmtId="0" fontId="99" fillId="0" borderId="0" xfId="49" applyFont="1"/>
    <xf numFmtId="8" fontId="6" fillId="0" borderId="0" xfId="49" applyNumberFormat="1" applyFont="1"/>
    <xf numFmtId="8" fontId="6" fillId="0" borderId="15" xfId="49" applyNumberFormat="1" applyFont="1" applyBorder="1"/>
    <xf numFmtId="0" fontId="14" fillId="0" borderId="14" xfId="49" applyFont="1" applyBorder="1" applyAlignment="1">
      <alignment horizontal="left" vertical="top"/>
    </xf>
    <xf numFmtId="8" fontId="14" fillId="0" borderId="0" xfId="49" applyNumberFormat="1" applyFont="1"/>
    <xf numFmtId="8" fontId="14" fillId="0" borderId="15" xfId="49" applyNumberFormat="1" applyFont="1" applyBorder="1"/>
    <xf numFmtId="0" fontId="3" fillId="0" borderId="16" xfId="49" applyBorder="1"/>
    <xf numFmtId="0" fontId="3" fillId="0" borderId="17" xfId="49" applyBorder="1"/>
    <xf numFmtId="8" fontId="14" fillId="0" borderId="18" xfId="49" applyNumberFormat="1" applyFont="1" applyBorder="1"/>
    <xf numFmtId="166" fontId="105" fillId="0" borderId="0" xfId="55" applyNumberFormat="1" applyFont="1" applyFill="1" applyBorder="1" applyAlignment="1" applyProtection="1">
      <alignment vertical="center"/>
      <protection locked="0"/>
    </xf>
    <xf numFmtId="44" fontId="105" fillId="0" borderId="0" xfId="30" applyFont="1" applyFill="1" applyBorder="1" applyAlignment="1" applyProtection="1">
      <alignment vertical="center"/>
      <protection locked="0"/>
    </xf>
    <xf numFmtId="165" fontId="105" fillId="0" borderId="0" xfId="28" applyNumberFormat="1" applyFont="1" applyFill="1" applyBorder="1" applyAlignment="1" applyProtection="1">
      <alignment vertical="center"/>
      <protection locked="0"/>
    </xf>
    <xf numFmtId="170" fontId="105" fillId="0" borderId="0" xfId="30" applyNumberFormat="1" applyFont="1" applyFill="1" applyBorder="1" applyAlignment="1" applyProtection="1">
      <alignment vertical="center"/>
      <protection locked="0"/>
    </xf>
    <xf numFmtId="0" fontId="41" fillId="0" borderId="0" xfId="0" applyFont="1" applyAlignment="1">
      <alignment horizontal="centerContinuous"/>
    </xf>
    <xf numFmtId="0" fontId="0" fillId="0" borderId="38" xfId="0" applyBorder="1"/>
    <xf numFmtId="0" fontId="0" fillId="0" borderId="39" xfId="0" applyBorder="1"/>
    <xf numFmtId="0" fontId="77" fillId="0" borderId="28" xfId="0" applyFont="1" applyBorder="1" applyAlignment="1">
      <alignment horizontal="center"/>
    </xf>
    <xf numFmtId="0" fontId="79" fillId="0" borderId="28" xfId="0" applyFont="1" applyBorder="1"/>
    <xf numFmtId="3" fontId="13" fillId="0" borderId="136" xfId="28" applyNumberFormat="1" applyFont="1" applyBorder="1"/>
    <xf numFmtId="165" fontId="13" fillId="0" borderId="136" xfId="28" applyNumberFormat="1" applyFont="1" applyBorder="1"/>
    <xf numFmtId="0" fontId="13" fillId="0" borderId="136" xfId="0" applyFont="1" applyBorder="1"/>
    <xf numFmtId="176" fontId="79" fillId="0" borderId="182" xfId="0" applyNumberFormat="1" applyFont="1" applyBorder="1" applyAlignment="1" applyProtection="1">
      <alignment horizontal="center"/>
      <protection hidden="1"/>
    </xf>
    <xf numFmtId="0" fontId="77" fillId="0" borderId="183" xfId="0" applyFont="1" applyBorder="1" applyAlignment="1">
      <alignment horizontal="right"/>
    </xf>
    <xf numFmtId="0" fontId="81" fillId="26" borderId="28" xfId="0" applyFont="1" applyFill="1" applyBorder="1" applyProtection="1">
      <protection hidden="1"/>
    </xf>
    <xf numFmtId="0" fontId="82" fillId="0" borderId="184" xfId="0" applyFont="1" applyBorder="1" applyAlignment="1">
      <alignment horizontal="right" vertical="center" indent="1"/>
    </xf>
    <xf numFmtId="0" fontId="84" fillId="26" borderId="185" xfId="48" applyFont="1" applyFill="1" applyBorder="1" applyAlignment="1">
      <alignment horizontal="left" indent="1"/>
    </xf>
    <xf numFmtId="0" fontId="87" fillId="26" borderId="186" xfId="48" applyFont="1" applyFill="1" applyBorder="1" applyAlignment="1">
      <alignment horizontal="right" indent="1"/>
    </xf>
    <xf numFmtId="38" fontId="79" fillId="0" borderId="187" xfId="0" applyNumberFormat="1" applyFont="1" applyBorder="1" applyProtection="1">
      <protection locked="0"/>
    </xf>
    <xf numFmtId="0" fontId="87" fillId="0" borderId="186" xfId="48" applyFont="1" applyBorder="1" applyAlignment="1">
      <alignment horizontal="right" indent="1"/>
    </xf>
    <xf numFmtId="0" fontId="84" fillId="26" borderId="188" xfId="48" applyFont="1" applyFill="1" applyBorder="1" applyAlignment="1">
      <alignment horizontal="left" indent="1"/>
    </xf>
    <xf numFmtId="38" fontId="79" fillId="26" borderId="189" xfId="0" applyNumberFormat="1" applyFont="1" applyFill="1" applyBorder="1"/>
    <xf numFmtId="0" fontId="87" fillId="0" borderId="188" xfId="48" applyFont="1" applyBorder="1" applyAlignment="1">
      <alignment horizontal="right" indent="1"/>
    </xf>
    <xf numFmtId="0" fontId="87" fillId="26" borderId="188" xfId="48" applyFont="1" applyFill="1" applyBorder="1" applyAlignment="1">
      <alignment horizontal="right" indent="1"/>
    </xf>
    <xf numFmtId="0" fontId="84" fillId="26" borderId="188" xfId="48" applyFont="1" applyFill="1" applyBorder="1" applyAlignment="1">
      <alignment horizontal="center"/>
    </xf>
    <xf numFmtId="38" fontId="79" fillId="0" borderId="189" xfId="0" applyNumberFormat="1" applyFont="1" applyBorder="1"/>
    <xf numFmtId="0" fontId="87" fillId="0" borderId="190" xfId="48" applyFont="1" applyBorder="1" applyAlignment="1">
      <alignment horizontal="right" indent="1"/>
    </xf>
    <xf numFmtId="38" fontId="79" fillId="0" borderId="191" xfId="0" applyNumberFormat="1" applyFont="1" applyBorder="1" applyProtection="1">
      <protection locked="0"/>
    </xf>
    <xf numFmtId="38" fontId="79" fillId="0" borderId="187" xfId="0" applyNumberFormat="1" applyFont="1" applyBorder="1"/>
    <xf numFmtId="0" fontId="87" fillId="0" borderId="192" xfId="48" applyFont="1" applyBorder="1" applyAlignment="1">
      <alignment horizontal="right" indent="1"/>
    </xf>
    <xf numFmtId="0" fontId="86" fillId="0" borderId="193" xfId="48" applyFont="1" applyBorder="1" applyAlignment="1">
      <alignment horizontal="center"/>
    </xf>
    <xf numFmtId="0" fontId="87" fillId="26" borderId="194" xfId="48" applyFont="1" applyFill="1" applyBorder="1" applyAlignment="1">
      <alignment horizontal="center"/>
    </xf>
    <xf numFmtId="38" fontId="79" fillId="0" borderId="195" xfId="0" applyNumberFormat="1" applyFont="1" applyBorder="1"/>
    <xf numFmtId="38" fontId="79" fillId="0" borderId="196" xfId="0" applyNumberFormat="1" applyFont="1" applyBorder="1"/>
    <xf numFmtId="38" fontId="79" fillId="0" borderId="197" xfId="0" applyNumberFormat="1" applyFont="1" applyBorder="1"/>
    <xf numFmtId="0" fontId="79" fillId="0" borderId="0" xfId="0" applyFont="1" applyAlignment="1">
      <alignment horizontal="center"/>
    </xf>
    <xf numFmtId="176" fontId="77" fillId="26" borderId="198" xfId="0" applyNumberFormat="1" applyFont="1" applyFill="1" applyBorder="1" applyAlignment="1">
      <alignment horizontal="right" indent="1"/>
    </xf>
    <xf numFmtId="176" fontId="79" fillId="0" borderId="198" xfId="0" applyNumberFormat="1" applyFont="1" applyBorder="1" applyAlignment="1" applyProtection="1">
      <alignment horizontal="center"/>
      <protection hidden="1"/>
    </xf>
    <xf numFmtId="0" fontId="79" fillId="0" borderId="199" xfId="0" applyFont="1" applyBorder="1" applyAlignment="1">
      <alignment horizontal="center" vertical="center" wrapText="1"/>
    </xf>
    <xf numFmtId="14" fontId="78" fillId="0" borderId="28" xfId="0" applyNumberFormat="1" applyFont="1" applyBorder="1" applyAlignment="1">
      <alignment horizontal="center"/>
    </xf>
    <xf numFmtId="43" fontId="33" fillId="29" borderId="62" xfId="28" applyFont="1" applyFill="1" applyBorder="1" applyAlignment="1" applyProtection="1">
      <alignment horizontal="right"/>
    </xf>
    <xf numFmtId="178" fontId="33" fillId="0" borderId="0" xfId="48" applyNumberFormat="1" applyFont="1" applyAlignment="1">
      <alignment horizontal="right"/>
    </xf>
    <xf numFmtId="38" fontId="77" fillId="0" borderId="151" xfId="0" applyNumberFormat="1" applyFont="1" applyBorder="1" applyProtection="1">
      <protection locked="0"/>
    </xf>
    <xf numFmtId="38" fontId="79" fillId="0" borderId="200" xfId="0" applyNumberFormat="1" applyFont="1" applyBorder="1" applyProtection="1">
      <protection locked="0"/>
    </xf>
    <xf numFmtId="38" fontId="79" fillId="0" borderId="201" xfId="0" applyNumberFormat="1" applyFont="1" applyBorder="1" applyProtection="1">
      <protection locked="0"/>
    </xf>
    <xf numFmtId="0" fontId="79" fillId="26" borderId="202" xfId="0" applyFont="1" applyFill="1" applyBorder="1"/>
    <xf numFmtId="0" fontId="79" fillId="0" borderId="148" xfId="45" applyFont="1" applyBorder="1" applyAlignment="1" applyProtection="1">
      <alignment horizontal="center"/>
      <protection locked="0"/>
    </xf>
    <xf numFmtId="0" fontId="79" fillId="0" borderId="137" xfId="45" applyFont="1" applyBorder="1" applyAlignment="1" applyProtection="1">
      <alignment horizontal="center"/>
      <protection locked="0"/>
    </xf>
    <xf numFmtId="0" fontId="85" fillId="0" borderId="203" xfId="0" applyFont="1" applyBorder="1" applyAlignment="1">
      <alignment vertical="center"/>
    </xf>
    <xf numFmtId="0" fontId="85" fillId="0" borderId="204" xfId="0" applyFont="1" applyBorder="1" applyAlignment="1">
      <alignment vertical="center"/>
    </xf>
    <xf numFmtId="0" fontId="85" fillId="0" borderId="205" xfId="0" applyFont="1" applyBorder="1" applyAlignment="1">
      <alignment vertical="center"/>
    </xf>
    <xf numFmtId="0" fontId="110" fillId="0" borderId="0" xfId="49" applyFont="1"/>
    <xf numFmtId="38" fontId="110" fillId="0" borderId="0" xfId="49" applyNumberFormat="1" applyFont="1"/>
    <xf numFmtId="0" fontId="110" fillId="0" borderId="0" xfId="0" applyFont="1"/>
    <xf numFmtId="38" fontId="110" fillId="0" borderId="0" xfId="0" applyNumberFormat="1" applyFont="1"/>
    <xf numFmtId="0" fontId="111" fillId="0" borderId="0" xfId="49" applyFont="1"/>
    <xf numFmtId="0" fontId="111" fillId="0" borderId="15" xfId="49" applyFont="1" applyBorder="1"/>
    <xf numFmtId="0" fontId="112" fillId="0" borderId="15" xfId="49" applyFont="1" applyBorder="1"/>
    <xf numFmtId="0" fontId="112" fillId="0" borderId="0" xfId="49" applyFont="1"/>
    <xf numFmtId="0" fontId="62" fillId="24" borderId="172" xfId="49" applyFont="1" applyFill="1" applyBorder="1" applyAlignment="1">
      <alignment horizontal="center" vertical="top"/>
    </xf>
    <xf numFmtId="6" fontId="63" fillId="24" borderId="173" xfId="0" applyNumberFormat="1" applyFont="1" applyFill="1" applyBorder="1" applyAlignment="1">
      <alignment horizontal="left"/>
    </xf>
    <xf numFmtId="6" fontId="63" fillId="24" borderId="174" xfId="0" applyNumberFormat="1" applyFont="1" applyFill="1" applyBorder="1"/>
    <xf numFmtId="170" fontId="7" fillId="0" borderId="20" xfId="30" applyNumberFormat="1" applyFont="1" applyFill="1" applyBorder="1" applyAlignment="1">
      <alignment horizontal="center" vertical="center"/>
    </xf>
    <xf numFmtId="170" fontId="13" fillId="0" borderId="20" xfId="30" applyNumberFormat="1" applyFont="1" applyFill="1" applyBorder="1"/>
    <xf numFmtId="10" fontId="7" fillId="0" borderId="116" xfId="55" applyNumberFormat="1" applyFont="1" applyFill="1" applyBorder="1"/>
    <xf numFmtId="170" fontId="7" fillId="26" borderId="20" xfId="30" applyNumberFormat="1" applyFont="1" applyFill="1" applyBorder="1" applyAlignment="1">
      <alignment horizontal="center" vertical="center"/>
    </xf>
    <xf numFmtId="0" fontId="113" fillId="0" borderId="0" xfId="46" applyFont="1"/>
    <xf numFmtId="170" fontId="113" fillId="0" borderId="0" xfId="30" applyNumberFormat="1" applyFont="1"/>
    <xf numFmtId="10" fontId="113" fillId="0" borderId="0" xfId="55" applyNumberFormat="1" applyFont="1"/>
    <xf numFmtId="1" fontId="13" fillId="0" borderId="20" xfId="28" applyNumberFormat="1" applyFont="1" applyFill="1" applyBorder="1"/>
    <xf numFmtId="1" fontId="13" fillId="24" borderId="20" xfId="30" applyNumberFormat="1" applyFont="1" applyFill="1" applyBorder="1"/>
    <xf numFmtId="10" fontId="7" fillId="27" borderId="206" xfId="55" applyNumberFormat="1" applyFont="1" applyFill="1" applyBorder="1" applyAlignment="1"/>
    <xf numFmtId="10" fontId="7" fillId="27" borderId="207" xfId="55" applyNumberFormat="1" applyFont="1" applyFill="1" applyBorder="1" applyAlignment="1"/>
    <xf numFmtId="1" fontId="13" fillId="24" borderId="20" xfId="28" applyNumberFormat="1" applyFont="1" applyFill="1" applyBorder="1"/>
    <xf numFmtId="38" fontId="63" fillId="24" borderId="175" xfId="49" applyNumberFormat="1" applyFont="1" applyFill="1" applyBorder="1"/>
    <xf numFmtId="0" fontId="7" fillId="0" borderId="0" xfId="0" applyFont="1" applyAlignment="1">
      <alignment horizontal="center"/>
    </xf>
    <xf numFmtId="0" fontId="75" fillId="0" borderId="0" xfId="0" applyFont="1" applyAlignment="1">
      <alignment horizontal="center"/>
    </xf>
    <xf numFmtId="0" fontId="75" fillId="0" borderId="0" xfId="0" applyFont="1"/>
    <xf numFmtId="0" fontId="0" fillId="0" borderId="208" xfId="0" applyBorder="1"/>
    <xf numFmtId="0" fontId="0" fillId="0" borderId="209" xfId="0" applyBorder="1"/>
    <xf numFmtId="0" fontId="75" fillId="0" borderId="0" xfId="0" applyFont="1" applyAlignment="1">
      <alignment horizontal="left"/>
    </xf>
    <xf numFmtId="1" fontId="75" fillId="0" borderId="0" xfId="0" applyNumberFormat="1" applyFont="1" applyAlignment="1">
      <alignment horizontal="center"/>
    </xf>
    <xf numFmtId="0" fontId="75" fillId="0" borderId="0" xfId="0" applyFont="1" applyAlignment="1">
      <alignment horizontal="right"/>
    </xf>
    <xf numFmtId="14" fontId="114" fillId="0" borderId="0" xfId="0" applyNumberFormat="1" applyFont="1" applyAlignment="1">
      <alignment horizontal="center"/>
    </xf>
    <xf numFmtId="10" fontId="13" fillId="0" borderId="0" xfId="55" applyNumberFormat="1" applyFont="1" applyBorder="1" applyAlignment="1" applyProtection="1">
      <alignment horizontal="right"/>
      <protection locked="0"/>
    </xf>
    <xf numFmtId="2" fontId="33" fillId="29" borderId="62" xfId="30" applyNumberFormat="1" applyFont="1" applyFill="1" applyBorder="1" applyAlignment="1" applyProtection="1">
      <alignment horizontal="right"/>
    </xf>
    <xf numFmtId="0" fontId="75" fillId="0" borderId="0" xfId="0" applyFont="1" applyAlignment="1">
      <alignment vertical="center"/>
    </xf>
    <xf numFmtId="0" fontId="0" fillId="0" borderId="210" xfId="0" applyBorder="1" applyAlignment="1">
      <alignment vertical="center"/>
    </xf>
    <xf numFmtId="0" fontId="0" fillId="0" borderId="0" xfId="0" applyAlignment="1">
      <alignment vertical="center"/>
    </xf>
    <xf numFmtId="181" fontId="0" fillId="0" borderId="210" xfId="55" applyNumberFormat="1" applyFont="1" applyFill="1" applyBorder="1" applyAlignment="1">
      <alignment vertical="center"/>
    </xf>
    <xf numFmtId="181" fontId="0" fillId="0" borderId="0" xfId="55" applyNumberFormat="1" applyFont="1" applyFill="1" applyAlignment="1">
      <alignment vertical="center"/>
    </xf>
    <xf numFmtId="0" fontId="75" fillId="0" borderId="0" xfId="0" applyFont="1" applyAlignment="1">
      <alignment horizontal="center" vertical="center"/>
    </xf>
    <xf numFmtId="0" fontId="7" fillId="0" borderId="28" xfId="48" applyFont="1" applyBorder="1" applyAlignment="1">
      <alignment horizontal="center" vertical="center"/>
    </xf>
    <xf numFmtId="0" fontId="113" fillId="0" borderId="0" xfId="0" applyFont="1"/>
    <xf numFmtId="0" fontId="113" fillId="27" borderId="0" xfId="0" applyFont="1" applyFill="1" applyAlignment="1">
      <alignment horizontal="center"/>
    </xf>
    <xf numFmtId="0" fontId="113" fillId="0" borderId="0" xfId="0" applyFont="1" applyAlignment="1">
      <alignment horizontal="center"/>
    </xf>
    <xf numFmtId="0" fontId="7" fillId="30" borderId="211" xfId="48" applyFont="1" applyFill="1" applyBorder="1" applyAlignment="1">
      <alignment horizontal="centerContinuous" vertical="center"/>
    </xf>
    <xf numFmtId="0" fontId="7" fillId="30" borderId="212" xfId="48" applyFont="1" applyFill="1" applyBorder="1" applyAlignment="1">
      <alignment horizontal="centerContinuous" vertical="center"/>
    </xf>
    <xf numFmtId="0" fontId="7" fillId="30" borderId="213" xfId="48" applyFont="1" applyFill="1" applyBorder="1" applyAlignment="1">
      <alignment horizontal="centerContinuous" vertical="center"/>
    </xf>
    <xf numFmtId="14" fontId="115" fillId="0" borderId="0" xfId="0" applyNumberFormat="1" applyFont="1"/>
    <xf numFmtId="0" fontId="7" fillId="30" borderId="214" xfId="48" applyFont="1" applyFill="1" applyBorder="1" applyAlignment="1">
      <alignment horizontal="centerContinuous" vertical="center"/>
    </xf>
    <xf numFmtId="0" fontId="7" fillId="30" borderId="114" xfId="48" applyFont="1" applyFill="1" applyBorder="1" applyAlignment="1">
      <alignment horizontal="centerContinuous" vertical="center"/>
    </xf>
    <xf numFmtId="0" fontId="7" fillId="30" borderId="215" xfId="48" applyFont="1" applyFill="1" applyBorder="1" applyAlignment="1">
      <alignment horizontal="centerContinuous" vertical="center"/>
    </xf>
    <xf numFmtId="14" fontId="7" fillId="30" borderId="216" xfId="48" applyNumberFormat="1" applyFont="1" applyFill="1" applyBorder="1" applyAlignment="1">
      <alignment horizontal="centerContinuous" vertical="center"/>
    </xf>
    <xf numFmtId="0" fontId="7" fillId="30" borderId="217" xfId="48" applyFont="1" applyFill="1" applyBorder="1" applyAlignment="1">
      <alignment horizontal="centerContinuous" vertical="center"/>
    </xf>
    <xf numFmtId="0" fontId="7" fillId="30" borderId="218" xfId="48" applyFont="1" applyFill="1" applyBorder="1" applyAlignment="1">
      <alignment horizontal="centerContinuous" vertical="center"/>
    </xf>
    <xf numFmtId="0" fontId="116" fillId="0" borderId="0" xfId="48" applyFont="1" applyAlignment="1">
      <alignment horizontal="centerContinuous" vertical="center"/>
    </xf>
    <xf numFmtId="0" fontId="113" fillId="0" borderId="0" xfId="48" applyFont="1" applyAlignment="1">
      <alignment horizontal="centerContinuous" vertical="center"/>
    </xf>
    <xf numFmtId="0" fontId="117" fillId="0" borderId="0" xfId="48" applyFont="1" applyAlignment="1">
      <alignment horizontal="centerContinuous" vertical="center"/>
    </xf>
    <xf numFmtId="38" fontId="118" fillId="0" borderId="0" xfId="48" applyNumberFormat="1" applyFont="1" applyAlignment="1">
      <alignment horizontal="centerContinuous" vertical="center"/>
    </xf>
    <xf numFmtId="0" fontId="13" fillId="0" borderId="62" xfId="48" applyFont="1" applyBorder="1" applyAlignment="1">
      <alignment horizontal="centerContinuous" vertical="center"/>
    </xf>
    <xf numFmtId="0" fontId="13" fillId="0" borderId="28" xfId="48" applyFont="1" applyBorder="1" applyAlignment="1">
      <alignment horizontal="center" vertical="center"/>
    </xf>
    <xf numFmtId="0" fontId="13" fillId="0" borderId="81" xfId="0" applyFont="1" applyBorder="1" applyAlignment="1">
      <alignment vertical="center"/>
    </xf>
    <xf numFmtId="38" fontId="4" fillId="0" borderId="0" xfId="48" applyNumberFormat="1" applyFont="1"/>
    <xf numFmtId="0" fontId="13" fillId="0" borderId="28" xfId="0" applyFont="1" applyBorder="1" applyAlignment="1">
      <alignment horizontal="center"/>
    </xf>
    <xf numFmtId="0" fontId="13" fillId="0" borderId="45" xfId="48" applyFont="1" applyBorder="1" applyAlignment="1">
      <alignment horizontal="center"/>
    </xf>
    <xf numFmtId="0" fontId="13" fillId="0" borderId="32" xfId="48" applyFont="1" applyBorder="1" applyAlignment="1">
      <alignment horizontal="center"/>
    </xf>
    <xf numFmtId="0" fontId="13" fillId="0" borderId="32" xfId="48" applyFont="1" applyBorder="1" applyAlignment="1" applyProtection="1">
      <alignment horizontal="center"/>
      <protection locked="0"/>
    </xf>
    <xf numFmtId="170" fontId="13" fillId="24" borderId="32" xfId="30" applyNumberFormat="1" applyFont="1" applyFill="1" applyBorder="1"/>
    <xf numFmtId="0" fontId="13" fillId="0" borderId="219" xfId="48" applyFont="1" applyBorder="1" applyAlignment="1">
      <alignment horizontal="center"/>
    </xf>
    <xf numFmtId="0" fontId="13" fillId="0" borderId="220" xfId="48" applyFont="1" applyBorder="1" applyAlignment="1">
      <alignment horizontal="center"/>
    </xf>
    <xf numFmtId="0" fontId="13" fillId="0" borderId="220" xfId="48" applyFont="1" applyBorder="1" applyAlignment="1" applyProtection="1">
      <alignment horizontal="center"/>
      <protection locked="0"/>
    </xf>
    <xf numFmtId="0" fontId="7" fillId="30" borderId="134" xfId="48" applyFont="1" applyFill="1" applyBorder="1" applyAlignment="1">
      <alignment horizontal="center"/>
    </xf>
    <xf numFmtId="0" fontId="7" fillId="30" borderId="124" xfId="48" applyFont="1" applyFill="1" applyBorder="1" applyAlignment="1">
      <alignment horizontal="center"/>
    </xf>
    <xf numFmtId="0" fontId="7" fillId="30" borderId="221" xfId="48" applyFont="1" applyFill="1" applyBorder="1" applyAlignment="1">
      <alignment horizontal="center"/>
    </xf>
    <xf numFmtId="0" fontId="113" fillId="0" borderId="0" xfId="48" applyFont="1"/>
    <xf numFmtId="0" fontId="113" fillId="0" borderId="0" xfId="48" applyFont="1" applyAlignment="1">
      <alignment horizontal="center"/>
    </xf>
    <xf numFmtId="0" fontId="122" fillId="0" borderId="0" xfId="48" applyFont="1" applyAlignment="1">
      <alignment horizontal="center"/>
    </xf>
    <xf numFmtId="38" fontId="122" fillId="0" borderId="0" xfId="48" applyNumberFormat="1" applyFont="1"/>
    <xf numFmtId="0" fontId="115" fillId="0" borderId="0" xfId="48" applyFont="1" applyAlignment="1">
      <alignment horizontal="left"/>
    </xf>
    <xf numFmtId="38" fontId="113" fillId="0" borderId="0" xfId="48" applyNumberFormat="1" applyFont="1"/>
    <xf numFmtId="0" fontId="0" fillId="33" borderId="0" xfId="0" applyFill="1"/>
    <xf numFmtId="0" fontId="13" fillId="24" borderId="32" xfId="48" applyFont="1" applyFill="1" applyBorder="1" applyAlignment="1" applyProtection="1">
      <alignment horizontal="center"/>
      <protection locked="0"/>
    </xf>
    <xf numFmtId="170" fontId="4" fillId="30" borderId="120" xfId="28" applyNumberFormat="1" applyFont="1" applyFill="1" applyBorder="1"/>
    <xf numFmtId="0" fontId="123" fillId="0" borderId="28" xfId="48" applyFont="1" applyBorder="1"/>
    <xf numFmtId="0" fontId="4" fillId="0" borderId="0" xfId="48" applyFont="1"/>
    <xf numFmtId="0" fontId="20" fillId="0" borderId="0" xfId="48" applyFont="1" applyAlignment="1">
      <alignment horizontal="center"/>
    </xf>
    <xf numFmtId="38" fontId="4" fillId="0" borderId="29" xfId="0" applyNumberFormat="1" applyFont="1" applyBorder="1"/>
    <xf numFmtId="38" fontId="13" fillId="0" borderId="0" xfId="48" applyNumberFormat="1" applyFont="1"/>
    <xf numFmtId="38" fontId="13" fillId="0" borderId="29" xfId="48" applyNumberFormat="1" applyFont="1" applyBorder="1"/>
    <xf numFmtId="0" fontId="13" fillId="0" borderId="28" xfId="48" applyFont="1" applyBorder="1" applyAlignment="1">
      <alignment horizontal="center"/>
    </xf>
    <xf numFmtId="0" fontId="13" fillId="0" borderId="0" xfId="48" applyFont="1" applyAlignment="1" applyProtection="1">
      <alignment horizontal="left"/>
      <protection locked="0"/>
    </xf>
    <xf numFmtId="0" fontId="7" fillId="30" borderId="109" xfId="48" applyFont="1" applyFill="1" applyBorder="1" applyAlignment="1">
      <alignment horizontal="center"/>
    </xf>
    <xf numFmtId="0" fontId="7" fillId="30" borderId="101" xfId="48" applyFont="1" applyFill="1" applyBorder="1" applyAlignment="1">
      <alignment horizontal="center"/>
    </xf>
    <xf numFmtId="0" fontId="7" fillId="30" borderId="110" xfId="48" applyFont="1" applyFill="1" applyBorder="1" applyAlignment="1">
      <alignment horizontal="center"/>
    </xf>
    <xf numFmtId="38" fontId="13" fillId="0" borderId="0" xfId="48" applyNumberFormat="1" applyFont="1" applyProtection="1">
      <protection locked="0"/>
    </xf>
    <xf numFmtId="38" fontId="13" fillId="0" borderId="29" xfId="48" applyNumberFormat="1" applyFont="1" applyBorder="1" applyProtection="1">
      <protection locked="0"/>
    </xf>
    <xf numFmtId="38" fontId="13" fillId="0" borderId="0" xfId="28" applyNumberFormat="1" applyFont="1" applyFill="1" applyBorder="1" applyProtection="1">
      <protection locked="0"/>
    </xf>
    <xf numFmtId="38" fontId="13" fillId="0" borderId="29" xfId="28" applyNumberFormat="1" applyFont="1" applyFill="1" applyBorder="1" applyProtection="1">
      <protection locked="0"/>
    </xf>
    <xf numFmtId="38" fontId="13" fillId="0" borderId="0" xfId="28" applyNumberFormat="1" applyFont="1" applyBorder="1"/>
    <xf numFmtId="0" fontId="40" fillId="0" borderId="28" xfId="48" applyFont="1" applyBorder="1"/>
    <xf numFmtId="170" fontId="6" fillId="30" borderId="120" xfId="28" applyNumberFormat="1" applyFont="1" applyFill="1" applyBorder="1"/>
    <xf numFmtId="38" fontId="13" fillId="0" borderId="0" xfId="28" applyNumberFormat="1" applyFont="1" applyBorder="1" applyProtection="1">
      <protection locked="0"/>
    </xf>
    <xf numFmtId="0" fontId="13" fillId="0" borderId="28" xfId="48" applyFont="1" applyBorder="1" applyAlignment="1">
      <alignment horizontal="left"/>
    </xf>
    <xf numFmtId="0" fontId="7" fillId="0" borderId="0" xfId="48" applyFont="1" applyAlignment="1" applyProtection="1">
      <alignment horizontal="left"/>
      <protection locked="0"/>
    </xf>
    <xf numFmtId="38" fontId="21" fillId="0" borderId="0" xfId="48" applyNumberFormat="1" applyFont="1" applyProtection="1">
      <protection locked="0"/>
    </xf>
    <xf numFmtId="38" fontId="21" fillId="0" borderId="29" xfId="48" applyNumberFormat="1" applyFont="1" applyBorder="1" applyProtection="1">
      <protection locked="0"/>
    </xf>
    <xf numFmtId="164" fontId="13" fillId="0" borderId="0" xfId="48" applyNumberFormat="1" applyFont="1"/>
    <xf numFmtId="0" fontId="40" fillId="0" borderId="30" xfId="48" applyFont="1" applyBorder="1"/>
    <xf numFmtId="0" fontId="13" fillId="0" borderId="3" xfId="48" applyFont="1" applyBorder="1"/>
    <xf numFmtId="0" fontId="13" fillId="0" borderId="3" xfId="48" applyFont="1" applyBorder="1" applyAlignment="1">
      <alignment horizontal="center"/>
    </xf>
    <xf numFmtId="164" fontId="13" fillId="0" borderId="3" xfId="48" applyNumberFormat="1" applyFont="1" applyBorder="1"/>
    <xf numFmtId="38" fontId="13" fillId="0" borderId="3" xfId="48" applyNumberFormat="1" applyFont="1" applyBorder="1"/>
    <xf numFmtId="38" fontId="13" fillId="0" borderId="31" xfId="48" applyNumberFormat="1" applyFont="1" applyBorder="1" applyAlignment="1">
      <alignment horizontal="right"/>
    </xf>
    <xf numFmtId="38" fontId="4" fillId="0" borderId="29" xfId="48" applyNumberFormat="1" applyFont="1" applyBorder="1"/>
    <xf numFmtId="0" fontId="7" fillId="0" borderId="0" xfId="48" applyFont="1" applyProtection="1">
      <protection locked="0"/>
    </xf>
    <xf numFmtId="165" fontId="124" fillId="0" borderId="0" xfId="28" applyNumberFormat="1" applyFont="1" applyFill="1" applyBorder="1"/>
    <xf numFmtId="165" fontId="124" fillId="0" borderId="29" xfId="28" applyNumberFormat="1" applyFont="1" applyFill="1" applyBorder="1"/>
    <xf numFmtId="3" fontId="13" fillId="0" borderId="0" xfId="48" applyNumberFormat="1" applyFont="1" applyAlignment="1" applyProtection="1">
      <alignment horizontal="center"/>
      <protection locked="0"/>
    </xf>
    <xf numFmtId="38" fontId="12" fillId="0" borderId="0" xfId="28" applyNumberFormat="1" applyFont="1" applyBorder="1"/>
    <xf numFmtId="38" fontId="12" fillId="0" borderId="0" xfId="0" applyNumberFormat="1" applyFont="1" applyAlignment="1">
      <alignment horizontal="right"/>
    </xf>
    <xf numFmtId="38" fontId="12" fillId="0" borderId="29" xfId="0" applyNumberFormat="1" applyFont="1" applyBorder="1" applyAlignment="1">
      <alignment horizontal="right"/>
    </xf>
    <xf numFmtId="0" fontId="4" fillId="0" borderId="28" xfId="48" applyFont="1" applyBorder="1" applyAlignment="1">
      <alignment horizontal="center"/>
    </xf>
    <xf numFmtId="3" fontId="4" fillId="0" borderId="0" xfId="48" applyNumberFormat="1" applyFont="1" applyAlignment="1" applyProtection="1">
      <alignment horizontal="center"/>
      <protection locked="0"/>
    </xf>
    <xf numFmtId="0" fontId="4" fillId="0" borderId="0" xfId="48" applyFont="1" applyAlignment="1" applyProtection="1">
      <alignment horizontal="center"/>
      <protection locked="0"/>
    </xf>
    <xf numFmtId="0" fontId="119" fillId="0" borderId="0" xfId="0" applyFont="1"/>
    <xf numFmtId="0" fontId="119" fillId="0" borderId="29" xfId="0" applyFont="1" applyBorder="1"/>
    <xf numFmtId="38" fontId="13" fillId="0" borderId="0" xfId="28" applyNumberFormat="1" applyFont="1" applyFill="1" applyBorder="1" applyAlignment="1" applyProtection="1">
      <alignment horizontal="right"/>
      <protection locked="0"/>
    </xf>
    <xf numFmtId="38" fontId="13" fillId="0" borderId="29" xfId="28" applyNumberFormat="1" applyFont="1" applyFill="1" applyBorder="1" applyAlignment="1" applyProtection="1">
      <alignment horizontal="right"/>
      <protection locked="0"/>
    </xf>
    <xf numFmtId="0" fontId="119" fillId="0" borderId="28" xfId="0" applyFont="1" applyBorder="1"/>
    <xf numFmtId="38" fontId="13" fillId="0" borderId="0" xfId="28" applyNumberFormat="1" applyFont="1" applyFill="1" applyBorder="1"/>
    <xf numFmtId="38" fontId="13" fillId="0" borderId="29" xfId="28" applyNumberFormat="1" applyFont="1" applyFill="1" applyBorder="1"/>
    <xf numFmtId="0" fontId="13" fillId="0" borderId="10" xfId="48" applyFont="1" applyBorder="1" applyAlignment="1">
      <alignment horizontal="center"/>
    </xf>
    <xf numFmtId="0" fontId="13" fillId="0" borderId="30" xfId="48" applyFont="1" applyBorder="1" applyAlignment="1">
      <alignment horizontal="center"/>
    </xf>
    <xf numFmtId="0" fontId="7" fillId="0" borderId="3" xfId="0" applyFont="1" applyBorder="1" applyAlignment="1">
      <alignment horizontal="center"/>
    </xf>
    <xf numFmtId="0" fontId="7" fillId="0" borderId="3" xfId="48" applyFont="1" applyBorder="1" applyAlignment="1">
      <alignment horizontal="center"/>
    </xf>
    <xf numFmtId="38" fontId="7" fillId="0" borderId="3" xfId="48" applyNumberFormat="1" applyFont="1" applyBorder="1"/>
    <xf numFmtId="38" fontId="7" fillId="0" borderId="31" xfId="48" applyNumberFormat="1" applyFont="1" applyBorder="1"/>
    <xf numFmtId="0" fontId="7" fillId="0" borderId="28" xfId="0" applyFont="1" applyBorder="1" applyAlignment="1">
      <alignment horizontal="left" indent="2"/>
    </xf>
    <xf numFmtId="0" fontId="6" fillId="0" borderId="28" xfId="48" applyFont="1" applyBorder="1"/>
    <xf numFmtId="38" fontId="21" fillId="0" borderId="29" xfId="48" applyNumberFormat="1" applyFont="1" applyBorder="1"/>
    <xf numFmtId="0" fontId="29" fillId="0" borderId="28" xfId="48" applyFont="1" applyBorder="1" applyAlignment="1">
      <alignment horizontal="left" indent="2"/>
    </xf>
    <xf numFmtId="0" fontId="40" fillId="0" borderId="30" xfId="48" applyFont="1" applyBorder="1" applyAlignment="1">
      <alignment horizontal="left" indent="2"/>
    </xf>
    <xf numFmtId="38" fontId="13" fillId="0" borderId="3" xfId="28" applyNumberFormat="1" applyFont="1" applyFill="1" applyBorder="1" applyAlignment="1" applyProtection="1">
      <alignment horizontal="right"/>
    </xf>
    <xf numFmtId="38" fontId="13" fillId="0" borderId="31" xfId="28" applyNumberFormat="1" applyFont="1" applyFill="1" applyBorder="1" applyAlignment="1" applyProtection="1">
      <alignment horizontal="right"/>
    </xf>
    <xf numFmtId="0" fontId="7" fillId="0" borderId="28" xfId="48" applyFont="1" applyBorder="1" applyAlignment="1">
      <alignment horizontal="left" indent="2"/>
    </xf>
    <xf numFmtId="0" fontId="13" fillId="0" borderId="0" xfId="0" applyFont="1" applyAlignment="1">
      <alignment horizontal="center"/>
    </xf>
    <xf numFmtId="0" fontId="34" fillId="0" borderId="0" xfId="0" applyFont="1"/>
    <xf numFmtId="38" fontId="21" fillId="0" borderId="0" xfId="28" applyNumberFormat="1" applyFont="1" applyFill="1" applyBorder="1" applyAlignment="1" applyProtection="1">
      <alignment horizontal="right"/>
      <protection locked="0"/>
    </xf>
    <xf numFmtId="38" fontId="21" fillId="0" borderId="0" xfId="0" applyNumberFormat="1" applyFont="1" applyAlignment="1">
      <alignment horizontal="right"/>
    </xf>
    <xf numFmtId="38" fontId="21" fillId="0" borderId="29" xfId="0" applyNumberFormat="1" applyFont="1" applyBorder="1" applyAlignment="1">
      <alignment horizontal="right"/>
    </xf>
    <xf numFmtId="38" fontId="21" fillId="0" borderId="0" xfId="0" applyNumberFormat="1" applyFont="1"/>
    <xf numFmtId="38" fontId="21" fillId="0" borderId="29" xfId="0" applyNumberFormat="1" applyFont="1" applyBorder="1"/>
    <xf numFmtId="38" fontId="4" fillId="0" borderId="3" xfId="48" applyNumberFormat="1" applyFont="1" applyBorder="1"/>
    <xf numFmtId="38" fontId="20" fillId="0" borderId="3" xfId="48" applyNumberFormat="1" applyFont="1" applyBorder="1" applyAlignment="1">
      <alignment horizontal="right"/>
    </xf>
    <xf numFmtId="180" fontId="11" fillId="24" borderId="32" xfId="55" applyNumberFormat="1" applyFont="1" applyFill="1" applyBorder="1"/>
    <xf numFmtId="0" fontId="6" fillId="0" borderId="28" xfId="0" applyFont="1" applyBorder="1"/>
    <xf numFmtId="170" fontId="13" fillId="25" borderId="113" xfId="48" applyNumberFormat="1" applyFont="1" applyFill="1" applyBorder="1"/>
    <xf numFmtId="170" fontId="13" fillId="25" borderId="222" xfId="48" applyNumberFormat="1" applyFont="1" applyFill="1" applyBorder="1"/>
    <xf numFmtId="0" fontId="9" fillId="0" borderId="38" xfId="48" applyFont="1" applyBorder="1" applyAlignment="1">
      <alignment horizontal="centerContinuous" vertical="center"/>
    </xf>
    <xf numFmtId="0" fontId="6" fillId="0" borderId="39" xfId="48" applyFont="1" applyBorder="1" applyAlignment="1">
      <alignment horizontal="centerContinuous" vertical="center"/>
    </xf>
    <xf numFmtId="0" fontId="7" fillId="0" borderId="39" xfId="48" applyFont="1" applyBorder="1" applyAlignment="1">
      <alignment horizontal="centerContinuous" vertical="center"/>
    </xf>
    <xf numFmtId="38" fontId="125" fillId="0" borderId="39" xfId="48" applyNumberFormat="1" applyFont="1" applyBorder="1" applyAlignment="1">
      <alignment horizontal="centerContinuous" vertical="center"/>
    </xf>
    <xf numFmtId="38" fontId="6" fillId="0" borderId="39" xfId="48" applyNumberFormat="1" applyFont="1" applyBorder="1" applyAlignment="1">
      <alignment horizontal="centerContinuous" vertical="center"/>
    </xf>
    <xf numFmtId="38" fontId="7" fillId="0" borderId="40" xfId="48" applyNumberFormat="1" applyFont="1" applyBorder="1" applyAlignment="1">
      <alignment horizontal="centerContinuous" vertical="center"/>
    </xf>
    <xf numFmtId="0" fontId="7" fillId="0" borderId="38" xfId="48" applyFont="1" applyBorder="1" applyAlignment="1">
      <alignment horizontal="center" vertical="center"/>
    </xf>
    <xf numFmtId="0" fontId="7" fillId="0" borderId="30" xfId="0" applyFont="1" applyBorder="1" applyAlignment="1">
      <alignment vertical="center"/>
    </xf>
    <xf numFmtId="38" fontId="126" fillId="0" borderId="0" xfId="48" applyNumberFormat="1" applyFont="1"/>
    <xf numFmtId="0" fontId="7" fillId="0" borderId="0" xfId="48" applyFont="1" applyAlignment="1" applyProtection="1">
      <alignment horizontal="center"/>
      <protection locked="0"/>
    </xf>
    <xf numFmtId="0" fontId="23" fillId="0" borderId="29" xfId="0" applyFont="1" applyBorder="1"/>
    <xf numFmtId="168" fontId="11" fillId="25" borderId="113" xfId="55" applyNumberFormat="1" applyFont="1" applyFill="1" applyBorder="1" applyProtection="1"/>
    <xf numFmtId="168" fontId="11" fillId="25" borderId="222" xfId="55" applyNumberFormat="1" applyFont="1" applyFill="1" applyBorder="1" applyProtection="1"/>
    <xf numFmtId="0" fontId="13" fillId="0" borderId="30" xfId="48" applyFont="1" applyBorder="1"/>
    <xf numFmtId="0" fontId="13" fillId="0" borderId="3" xfId="48" applyFont="1" applyBorder="1" applyProtection="1">
      <protection locked="0"/>
    </xf>
    <xf numFmtId="38" fontId="126" fillId="0" borderId="3" xfId="48" applyNumberFormat="1" applyFont="1" applyBorder="1"/>
    <xf numFmtId="38" fontId="4" fillId="0" borderId="31" xfId="48" applyNumberFormat="1" applyFont="1" applyBorder="1"/>
    <xf numFmtId="38" fontId="126" fillId="0" borderId="0" xfId="48" applyNumberFormat="1" applyFont="1" applyAlignment="1">
      <alignment horizontal="right"/>
    </xf>
    <xf numFmtId="38" fontId="20" fillId="0" borderId="29" xfId="48" applyNumberFormat="1" applyFont="1" applyBorder="1" applyAlignment="1">
      <alignment horizontal="right"/>
    </xf>
    <xf numFmtId="0" fontId="13" fillId="0" borderId="3" xfId="48" applyFont="1" applyBorder="1" applyAlignment="1" applyProtection="1">
      <alignment horizontal="center"/>
      <protection locked="0"/>
    </xf>
    <xf numFmtId="38" fontId="126" fillId="0" borderId="3" xfId="48" applyNumberFormat="1" applyFont="1" applyBorder="1" applyAlignment="1">
      <alignment horizontal="right"/>
    </xf>
    <xf numFmtId="38" fontId="13" fillId="0" borderId="3" xfId="48" applyNumberFormat="1" applyFont="1" applyBorder="1" applyAlignment="1">
      <alignment horizontal="right"/>
    </xf>
    <xf numFmtId="0" fontId="40" fillId="0" borderId="0" xfId="48" applyFont="1" applyAlignment="1">
      <alignment horizontal="left" vertical="center"/>
    </xf>
    <xf numFmtId="38" fontId="4" fillId="0" borderId="0" xfId="48" applyNumberFormat="1" applyFont="1" applyAlignment="1">
      <alignment horizontal="left"/>
    </xf>
    <xf numFmtId="38" fontId="4" fillId="0" borderId="29" xfId="48" applyNumberFormat="1" applyFont="1" applyBorder="1" applyAlignment="1">
      <alignment horizontal="left"/>
    </xf>
    <xf numFmtId="0" fontId="4" fillId="0" borderId="0" xfId="0" applyFont="1" applyAlignment="1">
      <alignment vertical="center" wrapText="1"/>
    </xf>
    <xf numFmtId="0" fontId="127" fillId="0" borderId="0" xfId="48" applyFont="1" applyAlignment="1">
      <alignment vertical="center" wrapText="1"/>
    </xf>
    <xf numFmtId="38" fontId="7" fillId="0" borderId="0" xfId="0" applyNumberFormat="1" applyFont="1" applyAlignment="1">
      <alignment vertical="center"/>
    </xf>
    <xf numFmtId="38" fontId="126" fillId="0" borderId="0" xfId="0" applyNumberFormat="1" applyFont="1" applyAlignment="1">
      <alignment vertical="center"/>
    </xf>
    <xf numFmtId="38" fontId="126" fillId="0" borderId="29" xfId="0" applyNumberFormat="1" applyFont="1" applyBorder="1" applyAlignment="1">
      <alignment vertical="center"/>
    </xf>
    <xf numFmtId="0" fontId="126" fillId="0" borderId="0" xfId="0" applyFont="1"/>
    <xf numFmtId="165" fontId="4" fillId="0" borderId="0" xfId="28" applyNumberFormat="1" applyFont="1" applyFill="1" applyBorder="1"/>
    <xf numFmtId="38" fontId="7" fillId="0" borderId="0" xfId="48" applyNumberFormat="1" applyFont="1"/>
    <xf numFmtId="38" fontId="126" fillId="0" borderId="29" xfId="48" applyNumberFormat="1" applyFont="1" applyBorder="1"/>
    <xf numFmtId="1" fontId="13" fillId="0" borderId="32" xfId="48" applyNumberFormat="1" applyFont="1" applyBorder="1" applyAlignment="1">
      <alignment horizontal="center"/>
    </xf>
    <xf numFmtId="38" fontId="126" fillId="0" borderId="0" xfId="0" applyNumberFormat="1" applyFont="1"/>
    <xf numFmtId="38" fontId="13" fillId="0" borderId="0" xfId="0" applyNumberFormat="1" applyFont="1"/>
    <xf numFmtId="38" fontId="13" fillId="0" borderId="29" xfId="0" applyNumberFormat="1" applyFont="1" applyBorder="1"/>
    <xf numFmtId="0" fontId="4" fillId="0" borderId="0" xfId="48" applyFont="1" applyAlignment="1">
      <alignment horizontal="centerContinuous"/>
    </xf>
    <xf numFmtId="38" fontId="4" fillId="0" borderId="0" xfId="48" applyNumberFormat="1" applyFont="1" applyAlignment="1">
      <alignment horizontal="centerContinuous"/>
    </xf>
    <xf numFmtId="38" fontId="13" fillId="0" borderId="0" xfId="48" applyNumberFormat="1" applyFont="1" applyAlignment="1">
      <alignment horizontal="centerContinuous"/>
    </xf>
    <xf numFmtId="0" fontId="13" fillId="0" borderId="32" xfId="52" applyFont="1" applyBorder="1" applyAlignment="1">
      <alignment horizontal="center"/>
    </xf>
    <xf numFmtId="0" fontId="13" fillId="0" borderId="32" xfId="52" quotePrefix="1" applyFont="1" applyBorder="1" applyAlignment="1">
      <alignment horizontal="center"/>
    </xf>
    <xf numFmtId="0" fontId="4" fillId="0" borderId="0" xfId="52" applyFont="1" applyAlignment="1">
      <alignment horizontal="center"/>
    </xf>
    <xf numFmtId="0" fontId="4" fillId="0" borderId="0" xfId="52" quotePrefix="1" applyFont="1" applyAlignment="1">
      <alignment horizontal="center"/>
    </xf>
    <xf numFmtId="38" fontId="13" fillId="0" borderId="29" xfId="52" applyNumberFormat="1" applyFont="1" applyBorder="1"/>
    <xf numFmtId="38" fontId="21" fillId="0" borderId="0" xfId="52" applyNumberFormat="1" applyFont="1"/>
    <xf numFmtId="38" fontId="21" fillId="0" borderId="29" xfId="52" applyNumberFormat="1" applyFont="1" applyBorder="1"/>
    <xf numFmtId="38" fontId="13" fillId="0" borderId="31" xfId="52" applyNumberFormat="1" applyFont="1" applyBorder="1"/>
    <xf numFmtId="0" fontId="128" fillId="0" borderId="0" xfId="48" applyFont="1" applyProtection="1">
      <protection locked="0"/>
    </xf>
    <xf numFmtId="0" fontId="129" fillId="0" borderId="0" xfId="48" applyFont="1" applyProtection="1">
      <protection locked="0"/>
    </xf>
    <xf numFmtId="0" fontId="128" fillId="0" borderId="0" xfId="48" applyFont="1" applyAlignment="1" applyProtection="1">
      <alignment horizontal="left"/>
      <protection locked="0"/>
    </xf>
    <xf numFmtId="0" fontId="129" fillId="0" borderId="0" xfId="48" applyFont="1" applyAlignment="1" applyProtection="1">
      <alignment horizontal="left"/>
      <protection locked="0"/>
    </xf>
    <xf numFmtId="0" fontId="4" fillId="0" borderId="28" xfId="48" applyFont="1" applyBorder="1" applyAlignment="1">
      <alignment horizontal="left"/>
    </xf>
    <xf numFmtId="38" fontId="21" fillId="0" borderId="0" xfId="48" applyNumberFormat="1" applyFont="1" applyAlignment="1">
      <alignment horizontal="right"/>
    </xf>
    <xf numFmtId="38" fontId="21" fillId="0" borderId="29" xfId="48" applyNumberFormat="1" applyFont="1" applyBorder="1" applyAlignment="1">
      <alignment horizontal="right"/>
    </xf>
    <xf numFmtId="0" fontId="13" fillId="0" borderId="223" xfId="0" applyFont="1" applyBorder="1"/>
    <xf numFmtId="0" fontId="9" fillId="0" borderId="224" xfId="0" applyFont="1" applyBorder="1" applyAlignment="1">
      <alignment horizontal="centerContinuous"/>
    </xf>
    <xf numFmtId="0" fontId="119" fillId="0" borderId="224" xfId="0" applyFont="1" applyBorder="1" applyAlignment="1">
      <alignment horizontal="centerContinuous"/>
    </xf>
    <xf numFmtId="0" fontId="119" fillId="0" borderId="225" xfId="0" applyFont="1" applyBorder="1" applyAlignment="1">
      <alignment horizontal="centerContinuous"/>
    </xf>
    <xf numFmtId="0" fontId="9" fillId="0" borderId="72" xfId="48" applyFont="1" applyBorder="1" applyAlignment="1">
      <alignment horizontal="centerContinuous"/>
    </xf>
    <xf numFmtId="0" fontId="4" fillId="0" borderId="82" xfId="48" applyFont="1" applyBorder="1" applyAlignment="1">
      <alignment horizontal="centerContinuous"/>
    </xf>
    <xf numFmtId="0" fontId="4" fillId="0" borderId="82" xfId="0" applyFont="1" applyBorder="1"/>
    <xf numFmtId="0" fontId="4" fillId="0" borderId="73" xfId="48" applyFont="1" applyBorder="1" applyAlignment="1">
      <alignment horizontal="centerContinuous"/>
    </xf>
    <xf numFmtId="0" fontId="9" fillId="0" borderId="104" xfId="48" applyFont="1" applyBorder="1" applyAlignment="1">
      <alignment horizontal="centerContinuous"/>
    </xf>
    <xf numFmtId="38" fontId="130" fillId="0" borderId="0" xfId="48" applyNumberFormat="1" applyFont="1" applyAlignment="1">
      <alignment horizontal="center"/>
    </xf>
    <xf numFmtId="38" fontId="130" fillId="0" borderId="65" xfId="48" applyNumberFormat="1" applyFont="1" applyBorder="1" applyAlignment="1">
      <alignment horizontal="center"/>
    </xf>
    <xf numFmtId="0" fontId="4" fillId="0" borderId="104" xfId="0" applyFont="1" applyBorder="1"/>
    <xf numFmtId="0" fontId="29" fillId="0" borderId="104" xfId="48" applyFont="1" applyBorder="1"/>
    <xf numFmtId="0" fontId="40" fillId="0" borderId="104" xfId="48" applyFont="1" applyBorder="1"/>
    <xf numFmtId="38" fontId="13" fillId="0" borderId="65" xfId="48" applyNumberFormat="1" applyFont="1" applyBorder="1" applyAlignment="1">
      <alignment horizontal="right"/>
    </xf>
    <xf numFmtId="38" fontId="4" fillId="0" borderId="0" xfId="48" applyNumberFormat="1" applyFont="1" applyAlignment="1">
      <alignment horizontal="center"/>
    </xf>
    <xf numFmtId="0" fontId="4" fillId="0" borderId="65" xfId="48" applyFont="1" applyBorder="1" applyAlignment="1">
      <alignment horizontal="center"/>
    </xf>
    <xf numFmtId="0" fontId="4" fillId="0" borderId="65" xfId="0" applyFont="1" applyBorder="1"/>
    <xf numFmtId="0" fontId="4" fillId="0" borderId="74" xfId="0" applyFont="1" applyBorder="1"/>
    <xf numFmtId="0" fontId="4" fillId="0" borderId="41" xfId="0" applyFont="1" applyBorder="1"/>
    <xf numFmtId="0" fontId="4" fillId="0" borderId="75" xfId="0" applyFont="1" applyBorder="1"/>
    <xf numFmtId="0" fontId="7" fillId="30" borderId="30" xfId="48" applyFont="1" applyFill="1" applyBorder="1"/>
    <xf numFmtId="0" fontId="4" fillId="30" borderId="31" xfId="48" applyFont="1" applyFill="1" applyBorder="1" applyAlignment="1">
      <alignment horizontal="center"/>
    </xf>
    <xf numFmtId="0" fontId="20" fillId="0" borderId="226" xfId="48" applyFont="1" applyBorder="1"/>
    <xf numFmtId="0" fontId="7" fillId="30" borderId="227" xfId="48" applyFont="1" applyFill="1" applyBorder="1"/>
    <xf numFmtId="0" fontId="4" fillId="30" borderId="228" xfId="48" applyFont="1" applyFill="1" applyBorder="1" applyAlignment="1">
      <alignment horizontal="center"/>
    </xf>
    <xf numFmtId="3" fontId="11" fillId="24" borderId="32" xfId="30" applyNumberFormat="1" applyFont="1" applyFill="1" applyBorder="1"/>
    <xf numFmtId="0" fontId="6" fillId="0" borderId="0" xfId="48" applyFont="1" applyAlignment="1">
      <alignment horizontal="right"/>
    </xf>
    <xf numFmtId="6" fontId="4" fillId="0" borderId="36" xfId="48" applyNumberFormat="1" applyFont="1" applyBorder="1" applyAlignment="1">
      <alignment horizontal="right"/>
    </xf>
    <xf numFmtId="38" fontId="4" fillId="0" borderId="35" xfId="48" applyNumberFormat="1" applyFont="1" applyBorder="1" applyAlignment="1">
      <alignment horizontal="right"/>
    </xf>
    <xf numFmtId="3" fontId="5" fillId="0" borderId="32" xfId="30" applyNumberFormat="1" applyFont="1" applyFill="1" applyBorder="1"/>
    <xf numFmtId="3" fontId="6" fillId="30" borderId="62" xfId="48" applyNumberFormat="1" applyFont="1" applyFill="1" applyBorder="1" applyAlignment="1">
      <alignment horizontal="right"/>
    </xf>
    <xf numFmtId="44" fontId="6" fillId="30" borderId="62" xfId="30" applyFont="1" applyFill="1" applyBorder="1" applyAlignment="1" applyProtection="1">
      <alignment horizontal="right"/>
    </xf>
    <xf numFmtId="0" fontId="6" fillId="0" borderId="0" xfId="0" applyFont="1"/>
    <xf numFmtId="170" fontId="113" fillId="0" borderId="0" xfId="30" applyNumberFormat="1" applyFont="1" applyFill="1" applyBorder="1" applyProtection="1"/>
    <xf numFmtId="38" fontId="113" fillId="0" borderId="0" xfId="30" applyNumberFormat="1" applyFont="1" applyFill="1" applyBorder="1" applyProtection="1"/>
    <xf numFmtId="38" fontId="113" fillId="33" borderId="0" xfId="0" applyNumberFormat="1" applyFont="1" applyFill="1"/>
    <xf numFmtId="9" fontId="115" fillId="24" borderId="229" xfId="55" applyFont="1" applyFill="1" applyBorder="1" applyProtection="1"/>
    <xf numFmtId="9" fontId="113" fillId="0" borderId="0" xfId="55" applyFont="1" applyFill="1" applyBorder="1" applyProtection="1"/>
    <xf numFmtId="9" fontId="113" fillId="0" borderId="0" xfId="55" applyFont="1" applyProtection="1"/>
    <xf numFmtId="9" fontId="115" fillId="34" borderId="230" xfId="55" applyFont="1" applyFill="1" applyBorder="1" applyProtection="1"/>
    <xf numFmtId="9" fontId="113" fillId="33" borderId="0" xfId="55" applyFont="1" applyFill="1" applyProtection="1"/>
    <xf numFmtId="38" fontId="113" fillId="0" borderId="0" xfId="0" applyNumberFormat="1" applyFont="1"/>
    <xf numFmtId="0" fontId="7" fillId="0" borderId="12" xfId="46" applyFont="1" applyBorder="1" applyAlignment="1">
      <alignment horizontal="left" indent="1"/>
    </xf>
    <xf numFmtId="170" fontId="13" fillId="0" borderId="13" xfId="30" applyNumberFormat="1" applyFont="1" applyBorder="1"/>
    <xf numFmtId="170" fontId="13" fillId="0" borderId="19" xfId="30" applyNumberFormat="1" applyFont="1" applyBorder="1"/>
    <xf numFmtId="10" fontId="113" fillId="0" borderId="0" xfId="55" applyNumberFormat="1" applyFont="1" applyFill="1" applyBorder="1" applyProtection="1"/>
    <xf numFmtId="38" fontId="113" fillId="0" borderId="0" xfId="55" applyNumberFormat="1" applyFont="1" applyFill="1" applyBorder="1" applyProtection="1"/>
    <xf numFmtId="10" fontId="7" fillId="0" borderId="14" xfId="46" applyNumberFormat="1" applyFont="1" applyBorder="1"/>
    <xf numFmtId="10" fontId="7" fillId="30" borderId="231" xfId="55" applyNumberFormat="1" applyFont="1" applyFill="1" applyBorder="1"/>
    <xf numFmtId="10" fontId="7" fillId="30" borderId="232" xfId="55" applyNumberFormat="1" applyFont="1" applyFill="1" applyBorder="1"/>
    <xf numFmtId="10" fontId="7" fillId="30" borderId="20" xfId="55" applyNumberFormat="1" applyFont="1" applyFill="1" applyBorder="1"/>
    <xf numFmtId="10" fontId="7" fillId="30" borderId="21" xfId="55" applyNumberFormat="1" applyFont="1" applyFill="1" applyBorder="1"/>
    <xf numFmtId="10" fontId="7" fillId="0" borderId="233" xfId="46" applyNumberFormat="1" applyFont="1" applyBorder="1"/>
    <xf numFmtId="10" fontId="7" fillId="30" borderId="234" xfId="55" applyNumberFormat="1" applyFont="1" applyFill="1" applyBorder="1"/>
    <xf numFmtId="10" fontId="7" fillId="30" borderId="235" xfId="55" applyNumberFormat="1" applyFont="1" applyFill="1" applyBorder="1"/>
    <xf numFmtId="0" fontId="13" fillId="30" borderId="20" xfId="46" applyFont="1" applyFill="1" applyBorder="1"/>
    <xf numFmtId="9" fontId="115" fillId="0" borderId="0" xfId="55" applyFont="1" applyFill="1" applyBorder="1" applyProtection="1"/>
    <xf numFmtId="9" fontId="115" fillId="33" borderId="0" xfId="55" applyFont="1" applyFill="1" applyProtection="1"/>
    <xf numFmtId="0" fontId="120" fillId="0" borderId="0" xfId="0" applyFont="1"/>
    <xf numFmtId="165" fontId="77" fillId="0" borderId="0" xfId="44" applyNumberFormat="1" applyFont="1" applyAlignment="1">
      <alignment horizontal="right" indent="1"/>
    </xf>
    <xf numFmtId="0" fontId="79" fillId="0" borderId="0" xfId="44" applyFont="1"/>
    <xf numFmtId="0" fontId="77" fillId="0" borderId="0" xfId="44" applyFont="1" applyAlignment="1">
      <alignment horizontal="right"/>
    </xf>
    <xf numFmtId="0" fontId="131" fillId="0" borderId="0" xfId="48" applyFont="1" applyAlignment="1">
      <alignment horizontal="left"/>
    </xf>
    <xf numFmtId="0" fontId="131" fillId="0" borderId="0" xfId="0" applyFont="1"/>
    <xf numFmtId="0" fontId="79" fillId="0" borderId="0" xfId="44" applyFont="1" applyAlignment="1">
      <alignment horizontal="right" indent="1"/>
    </xf>
    <xf numFmtId="0" fontId="77" fillId="0" borderId="0" xfId="44" applyFont="1" applyAlignment="1">
      <alignment horizontal="right" indent="1"/>
    </xf>
    <xf numFmtId="0" fontId="131" fillId="0" borderId="0" xfId="48" applyFont="1" applyAlignment="1">
      <alignment horizontal="right" indent="1"/>
    </xf>
    <xf numFmtId="2" fontId="6" fillId="0" borderId="0" xfId="0" applyNumberFormat="1" applyFont="1"/>
    <xf numFmtId="3" fontId="13" fillId="24" borderId="32" xfId="30" applyNumberFormat="1" applyFont="1" applyFill="1" applyBorder="1"/>
    <xf numFmtId="0" fontId="133" fillId="0" borderId="0" xfId="0" applyFont="1" applyAlignment="1">
      <alignment horizontal="center"/>
    </xf>
    <xf numFmtId="38" fontId="133" fillId="0" borderId="0" xfId="28" applyNumberFormat="1" applyFont="1" applyFill="1" applyAlignment="1" applyProtection="1">
      <alignment horizontal="center"/>
    </xf>
    <xf numFmtId="0" fontId="113" fillId="33" borderId="0" xfId="0" applyFont="1" applyFill="1"/>
    <xf numFmtId="38" fontId="113" fillId="27" borderId="0" xfId="28" applyNumberFormat="1" applyFont="1" applyFill="1" applyAlignment="1" applyProtection="1">
      <alignment horizontal="center"/>
    </xf>
    <xf numFmtId="0" fontId="113" fillId="33" borderId="0" xfId="0" applyFont="1" applyFill="1" applyAlignment="1">
      <alignment horizontal="center"/>
    </xf>
    <xf numFmtId="0" fontId="115" fillId="0" borderId="0" xfId="0" applyFont="1" applyAlignment="1">
      <alignment horizontal="center"/>
    </xf>
    <xf numFmtId="14" fontId="134" fillId="0" borderId="0" xfId="0" applyNumberFormat="1" applyFont="1" applyAlignment="1">
      <alignment horizontal="center"/>
    </xf>
    <xf numFmtId="0" fontId="135" fillId="26" borderId="0" xfId="0" applyFont="1" applyFill="1" applyProtection="1">
      <protection hidden="1"/>
    </xf>
    <xf numFmtId="0" fontId="115" fillId="0" borderId="0" xfId="0" applyFont="1" applyAlignment="1">
      <alignment horizontal="right"/>
    </xf>
    <xf numFmtId="38" fontId="113" fillId="0" borderId="0" xfId="28" applyNumberFormat="1" applyFont="1" applyProtection="1"/>
    <xf numFmtId="38" fontId="122" fillId="24" borderId="0" xfId="28" applyNumberFormat="1" applyFont="1" applyFill="1" applyProtection="1"/>
    <xf numFmtId="38" fontId="117" fillId="33" borderId="0" xfId="28" applyNumberFormat="1" applyFont="1" applyFill="1" applyProtection="1"/>
    <xf numFmtId="182" fontId="122" fillId="0" borderId="0" xfId="48" applyNumberFormat="1" applyFont="1"/>
    <xf numFmtId="38" fontId="122" fillId="25" borderId="116" xfId="48" applyNumberFormat="1" applyFont="1" applyFill="1" applyBorder="1"/>
    <xf numFmtId="182" fontId="113" fillId="0" borderId="0" xfId="48" applyNumberFormat="1" applyFont="1"/>
    <xf numFmtId="38" fontId="113" fillId="25" borderId="116" xfId="48" applyNumberFormat="1" applyFont="1" applyFill="1" applyBorder="1" applyAlignment="1">
      <alignment horizontal="right"/>
    </xf>
    <xf numFmtId="183" fontId="113" fillId="24" borderId="0" xfId="28" applyNumberFormat="1" applyFont="1" applyFill="1" applyProtection="1"/>
    <xf numFmtId="174" fontId="113" fillId="28" borderId="0" xfId="28" applyNumberFormat="1" applyFont="1" applyFill="1" applyProtection="1"/>
    <xf numFmtId="38" fontId="113" fillId="25" borderId="116" xfId="48" applyNumberFormat="1" applyFont="1" applyFill="1" applyBorder="1"/>
    <xf numFmtId="38" fontId="117" fillId="25" borderId="116" xfId="28" applyNumberFormat="1" applyFont="1" applyFill="1" applyBorder="1" applyAlignment="1" applyProtection="1">
      <alignment horizontal="right"/>
    </xf>
    <xf numFmtId="38" fontId="117" fillId="25" borderId="116" xfId="28" applyNumberFormat="1" applyFont="1" applyFill="1" applyBorder="1" applyProtection="1"/>
    <xf numFmtId="0" fontId="122" fillId="35" borderId="0" xfId="48" applyFont="1" applyFill="1" applyAlignment="1">
      <alignment horizontal="center"/>
    </xf>
    <xf numFmtId="0" fontId="122" fillId="35" borderId="0" xfId="48" applyFont="1" applyFill="1" applyAlignment="1">
      <alignment horizontal="right"/>
    </xf>
    <xf numFmtId="38" fontId="117" fillId="25" borderId="116" xfId="48" applyNumberFormat="1" applyFont="1" applyFill="1" applyBorder="1"/>
    <xf numFmtId="38" fontId="113" fillId="25" borderId="116" xfId="28" applyNumberFormat="1" applyFont="1" applyFill="1" applyBorder="1" applyAlignment="1" applyProtection="1">
      <alignment horizontal="right"/>
    </xf>
    <xf numFmtId="38" fontId="117" fillId="25" borderId="116" xfId="0" applyNumberFormat="1" applyFont="1" applyFill="1" applyBorder="1" applyAlignment="1">
      <alignment horizontal="right"/>
    </xf>
    <xf numFmtId="38" fontId="117" fillId="25" borderId="116" xfId="48" applyNumberFormat="1" applyFont="1" applyFill="1" applyBorder="1" applyAlignment="1">
      <alignment horizontal="right"/>
    </xf>
    <xf numFmtId="10" fontId="0" fillId="0" borderId="0" xfId="0" applyNumberFormat="1"/>
    <xf numFmtId="38" fontId="136" fillId="25" borderId="116" xfId="48" applyNumberFormat="1" applyFont="1" applyFill="1" applyBorder="1"/>
    <xf numFmtId="38" fontId="136" fillId="25" borderId="116" xfId="48" applyNumberFormat="1" applyFont="1" applyFill="1" applyBorder="1" applyAlignment="1">
      <alignment horizontal="right"/>
    </xf>
    <xf numFmtId="38" fontId="117" fillId="25" borderId="236" xfId="52" applyNumberFormat="1" applyFont="1" applyFill="1" applyBorder="1"/>
    <xf numFmtId="38" fontId="122" fillId="25" borderId="236" xfId="52" applyNumberFormat="1" applyFont="1" applyFill="1" applyBorder="1"/>
    <xf numFmtId="38" fontId="122" fillId="25" borderId="116" xfId="48" applyNumberFormat="1" applyFont="1" applyFill="1" applyBorder="1" applyAlignment="1">
      <alignment horizontal="right"/>
    </xf>
    <xf numFmtId="38" fontId="79" fillId="0" borderId="0" xfId="28" applyNumberFormat="1" applyFont="1" applyFill="1" applyProtection="1"/>
    <xf numFmtId="38" fontId="77" fillId="25" borderId="0" xfId="28" applyNumberFormat="1" applyFont="1" applyFill="1" applyProtection="1"/>
    <xf numFmtId="38" fontId="137" fillId="0" borderId="0" xfId="28" applyNumberFormat="1" applyFont="1" applyFill="1" applyProtection="1"/>
    <xf numFmtId="38" fontId="77" fillId="0" borderId="0" xfId="28" applyNumberFormat="1" applyFont="1" applyFill="1" applyProtection="1"/>
    <xf numFmtId="44" fontId="79" fillId="0" borderId="0" xfId="30" applyFont="1" applyFill="1" applyProtection="1"/>
    <xf numFmtId="38" fontId="113" fillId="31" borderId="0" xfId="28" applyNumberFormat="1" applyFont="1" applyFill="1" applyProtection="1"/>
    <xf numFmtId="0" fontId="0" fillId="28" borderId="0" xfId="0" applyFill="1"/>
    <xf numFmtId="165" fontId="0" fillId="28" borderId="0" xfId="28" applyNumberFormat="1" applyFont="1" applyFill="1"/>
    <xf numFmtId="44" fontId="90" fillId="28" borderId="0" xfId="30" applyFont="1" applyFill="1"/>
    <xf numFmtId="166" fontId="0" fillId="28" borderId="0" xfId="55" applyNumberFormat="1" applyFont="1" applyFill="1"/>
    <xf numFmtId="165" fontId="0" fillId="31" borderId="0" xfId="28" applyNumberFormat="1" applyFont="1" applyFill="1" applyBorder="1"/>
    <xf numFmtId="44" fontId="0" fillId="31" borderId="0" xfId="0" applyNumberFormat="1" applyFill="1"/>
    <xf numFmtId="170" fontId="0" fillId="31" borderId="0" xfId="0" applyNumberFormat="1" applyFill="1"/>
    <xf numFmtId="38" fontId="138" fillId="0" borderId="151" xfId="0" applyNumberFormat="1" applyFont="1" applyBorder="1" applyProtection="1">
      <protection locked="0"/>
    </xf>
    <xf numFmtId="167" fontId="122" fillId="35" borderId="0" xfId="28" applyNumberFormat="1" applyFont="1" applyFill="1" applyBorder="1" applyAlignment="1" applyProtection="1">
      <alignment horizontal="right"/>
    </xf>
    <xf numFmtId="165" fontId="122" fillId="35" borderId="0" xfId="28" applyNumberFormat="1" applyFont="1" applyFill="1" applyBorder="1" applyAlignment="1" applyProtection="1">
      <alignment horizontal="right"/>
    </xf>
    <xf numFmtId="10" fontId="6" fillId="0" borderId="0" xfId="55" applyNumberFormat="1" applyFont="1"/>
    <xf numFmtId="165" fontId="139" fillId="35" borderId="0" xfId="28" applyNumberFormat="1" applyFont="1" applyFill="1" applyBorder="1" applyAlignment="1" applyProtection="1">
      <alignment horizontal="right"/>
    </xf>
    <xf numFmtId="38" fontId="81" fillId="0" borderId="151" xfId="0" applyNumberFormat="1" applyFont="1" applyBorder="1" applyProtection="1">
      <protection locked="0"/>
    </xf>
    <xf numFmtId="0" fontId="77" fillId="0" borderId="0" xfId="43" applyFont="1"/>
    <xf numFmtId="0" fontId="77" fillId="0" borderId="0" xfId="48" applyFont="1"/>
    <xf numFmtId="38" fontId="122" fillId="35" borderId="0" xfId="28" applyNumberFormat="1" applyFont="1" applyFill="1" applyBorder="1" applyAlignment="1" applyProtection="1">
      <alignment horizontal="right"/>
    </xf>
    <xf numFmtId="0" fontId="106" fillId="0" borderId="0" xfId="0" applyFont="1" applyAlignment="1">
      <alignment horizontal="centerContinuous"/>
    </xf>
    <xf numFmtId="164" fontId="107" fillId="0" borderId="0" xfId="48" applyNumberFormat="1" applyFont="1" applyAlignment="1">
      <alignment horizontal="right"/>
    </xf>
    <xf numFmtId="0" fontId="108" fillId="0" borderId="0" xfId="0" applyFont="1"/>
    <xf numFmtId="0" fontId="107" fillId="0" borderId="0" xfId="0" applyFont="1"/>
    <xf numFmtId="0" fontId="107" fillId="0" borderId="0" xfId="0" applyFont="1" applyAlignment="1">
      <alignment horizontal="center"/>
    </xf>
    <xf numFmtId="0" fontId="140" fillId="0" borderId="0" xfId="50" applyFont="1"/>
    <xf numFmtId="170" fontId="140" fillId="0" borderId="0" xfId="30" applyNumberFormat="1" applyFont="1" applyFill="1" applyBorder="1" applyAlignment="1">
      <alignment horizontal="right"/>
    </xf>
    <xf numFmtId="164" fontId="140" fillId="0" borderId="0" xfId="48" applyNumberFormat="1" applyFont="1" applyAlignment="1">
      <alignment horizontal="right"/>
    </xf>
    <xf numFmtId="164" fontId="141" fillId="0" borderId="0" xfId="48" applyNumberFormat="1" applyFont="1" applyAlignment="1">
      <alignment horizontal="right"/>
    </xf>
    <xf numFmtId="164" fontId="107" fillId="0" borderId="0" xfId="48" quotePrefix="1" applyNumberFormat="1" applyFont="1" applyAlignment="1">
      <alignment horizontal="right"/>
    </xf>
    <xf numFmtId="44" fontId="140" fillId="0" borderId="0" xfId="30" applyFont="1" applyFill="1" applyBorder="1"/>
    <xf numFmtId="44" fontId="142" fillId="0" borderId="0" xfId="30" applyFont="1" applyFill="1" applyBorder="1" applyAlignment="1">
      <alignment horizontal="right"/>
    </xf>
    <xf numFmtId="44" fontId="142" fillId="0" borderId="0" xfId="30" applyFont="1" applyFill="1" applyBorder="1"/>
    <xf numFmtId="184" fontId="140" fillId="0" borderId="0" xfId="30" applyNumberFormat="1" applyFont="1" applyFill="1" applyBorder="1"/>
    <xf numFmtId="166" fontId="142" fillId="0" borderId="237" xfId="55" applyNumberFormat="1" applyFont="1" applyFill="1" applyBorder="1"/>
    <xf numFmtId="166" fontId="141" fillId="0" borderId="0" xfId="55" applyNumberFormat="1" applyFont="1" applyFill="1" applyBorder="1"/>
    <xf numFmtId="166" fontId="142" fillId="0" borderId="0" xfId="55" applyNumberFormat="1" applyFont="1" applyFill="1" applyBorder="1"/>
    <xf numFmtId="166" fontId="140" fillId="0" borderId="0" xfId="55" applyNumberFormat="1" applyFont="1" applyFill="1" applyBorder="1"/>
    <xf numFmtId="10" fontId="142" fillId="0" borderId="0" xfId="55" applyNumberFormat="1" applyFont="1" applyFill="1" applyBorder="1" applyAlignment="1">
      <alignment horizontal="right"/>
    </xf>
    <xf numFmtId="166" fontId="142" fillId="0" borderId="0" xfId="55" applyNumberFormat="1" applyFont="1" applyFill="1" applyBorder="1" applyAlignment="1">
      <alignment horizontal="right"/>
    </xf>
    <xf numFmtId="10" fontId="141" fillId="0" borderId="0" xfId="55" applyNumberFormat="1" applyFont="1" applyFill="1" applyBorder="1"/>
    <xf numFmtId="10" fontId="140" fillId="0" borderId="0" xfId="55" applyNumberFormat="1" applyFont="1" applyFill="1" applyBorder="1" applyAlignment="1">
      <alignment horizontal="right"/>
    </xf>
    <xf numFmtId="166" fontId="141" fillId="0" borderId="0" xfId="55" applyNumberFormat="1" applyFont="1" applyFill="1" applyBorder="1" applyAlignment="1">
      <alignment horizontal="right"/>
    </xf>
    <xf numFmtId="0" fontId="7" fillId="0" borderId="72" xfId="48" applyFont="1" applyBorder="1" applyAlignment="1">
      <alignment horizontal="center" vertical="center"/>
    </xf>
    <xf numFmtId="165" fontId="11" fillId="0" borderId="238" xfId="29" applyNumberFormat="1" applyFont="1" applyFill="1" applyBorder="1" applyAlignment="1"/>
    <xf numFmtId="165" fontId="11" fillId="0" borderId="112" xfId="29" applyNumberFormat="1" applyFont="1" applyFill="1" applyBorder="1" applyAlignment="1"/>
    <xf numFmtId="0" fontId="7" fillId="0" borderId="239" xfId="48" applyFont="1" applyBorder="1" applyAlignment="1">
      <alignment horizontal="center" vertical="center"/>
    </xf>
    <xf numFmtId="170" fontId="11" fillId="24" borderId="240" xfId="30" applyNumberFormat="1" applyFont="1" applyFill="1" applyBorder="1"/>
    <xf numFmtId="0" fontId="13" fillId="0" borderId="226" xfId="0" applyFont="1" applyBorder="1"/>
    <xf numFmtId="38" fontId="79" fillId="0" borderId="152" xfId="47" applyNumberFormat="1" applyFont="1" applyBorder="1" applyProtection="1">
      <protection locked="0"/>
    </xf>
    <xf numFmtId="38" fontId="20" fillId="0" borderId="29" xfId="48" applyNumberFormat="1" applyFont="1" applyBorder="1" applyAlignment="1">
      <alignment horizontal="center"/>
    </xf>
    <xf numFmtId="0" fontId="0" fillId="0" borderId="241" xfId="0" applyBorder="1" applyAlignment="1">
      <alignment horizontal="centerContinuous"/>
    </xf>
    <xf numFmtId="0" fontId="0" fillId="0" borderId="242" xfId="0" applyBorder="1" applyAlignment="1">
      <alignment horizontal="centerContinuous"/>
    </xf>
    <xf numFmtId="0" fontId="7" fillId="0" borderId="243" xfId="48" applyFont="1" applyBorder="1" applyAlignment="1">
      <alignment horizontal="center"/>
    </xf>
    <xf numFmtId="0" fontId="7" fillId="27" borderId="244" xfId="48" applyFont="1" applyFill="1" applyBorder="1" applyAlignment="1">
      <alignment horizontal="center"/>
    </xf>
    <xf numFmtId="0" fontId="7" fillId="27" borderId="245" xfId="48" applyFont="1" applyFill="1" applyBorder="1" applyAlignment="1">
      <alignment horizontal="center"/>
    </xf>
    <xf numFmtId="14" fontId="7" fillId="27" borderId="246" xfId="48" applyNumberFormat="1" applyFont="1" applyFill="1" applyBorder="1" applyAlignment="1">
      <alignment horizontal="center"/>
    </xf>
    <xf numFmtId="0" fontId="0" fillId="24" borderId="0" xfId="0" applyFill="1"/>
    <xf numFmtId="0" fontId="0" fillId="36" borderId="0" xfId="0" applyFill="1"/>
    <xf numFmtId="0" fontId="148" fillId="0" borderId="0" xfId="0" applyFont="1" applyAlignment="1">
      <alignment horizontal="centerContinuous"/>
    </xf>
    <xf numFmtId="0" fontId="143" fillId="26" borderId="247" xfId="38" applyFont="1" applyFill="1" applyBorder="1" applyAlignment="1" applyProtection="1">
      <alignment horizontal="center"/>
    </xf>
    <xf numFmtId="0" fontId="0" fillId="25" borderId="0" xfId="0" applyFill="1"/>
    <xf numFmtId="0" fontId="0" fillId="29" borderId="0" xfId="0" applyFill="1"/>
    <xf numFmtId="0" fontId="0" fillId="37" borderId="0" xfId="0" applyFill="1"/>
    <xf numFmtId="0" fontId="0" fillId="38" borderId="0" xfId="0" applyFill="1"/>
    <xf numFmtId="0" fontId="0" fillId="39" borderId="0" xfId="0" applyFill="1"/>
    <xf numFmtId="0" fontId="149" fillId="40" borderId="0" xfId="0" applyFont="1" applyFill="1"/>
    <xf numFmtId="0" fontId="149" fillId="41" borderId="0" xfId="0" applyFont="1" applyFill="1"/>
    <xf numFmtId="0" fontId="1" fillId="0" borderId="0" xfId="0" applyFont="1"/>
    <xf numFmtId="0" fontId="150" fillId="0" borderId="0" xfId="38" applyFont="1" applyFill="1" applyAlignment="1" applyProtection="1"/>
    <xf numFmtId="0" fontId="151" fillId="0" borderId="0" xfId="0" applyFont="1"/>
    <xf numFmtId="165" fontId="11" fillId="31" borderId="32" xfId="28" applyNumberFormat="1" applyFont="1" applyFill="1" applyBorder="1"/>
    <xf numFmtId="0" fontId="145" fillId="0" borderId="0" xfId="38" applyFont="1" applyBorder="1" applyAlignment="1" applyProtection="1">
      <alignment horizontal="center"/>
    </xf>
    <xf numFmtId="0" fontId="7" fillId="0" borderId="63" xfId="48" applyFont="1" applyBorder="1" applyAlignment="1">
      <alignment horizontal="center" vertical="center"/>
    </xf>
    <xf numFmtId="38" fontId="11" fillId="24" borderId="53" xfId="30" applyNumberFormat="1" applyFont="1" applyFill="1" applyBorder="1"/>
    <xf numFmtId="38" fontId="21" fillId="27" borderId="33" xfId="28" applyNumberFormat="1" applyFont="1" applyFill="1" applyBorder="1"/>
    <xf numFmtId="165" fontId="11" fillId="24" borderId="53" xfId="28" applyNumberFormat="1" applyFont="1" applyFill="1" applyBorder="1"/>
    <xf numFmtId="38" fontId="21" fillId="27" borderId="248" xfId="28" applyNumberFormat="1" applyFont="1" applyFill="1" applyBorder="1"/>
    <xf numFmtId="170" fontId="21" fillId="27" borderId="249" xfId="30" applyNumberFormat="1" applyFont="1" applyFill="1" applyBorder="1" applyAlignment="1" applyProtection="1">
      <alignment horizontal="right"/>
    </xf>
    <xf numFmtId="165" fontId="21" fillId="27" borderId="248" xfId="28" applyNumberFormat="1" applyFont="1" applyFill="1" applyBorder="1"/>
    <xf numFmtId="165" fontId="21" fillId="27" borderId="250" xfId="28" applyNumberFormat="1" applyFont="1" applyFill="1" applyBorder="1"/>
    <xf numFmtId="6" fontId="21" fillId="27" borderId="133" xfId="30" applyNumberFormat="1" applyFont="1" applyFill="1" applyBorder="1" applyAlignment="1" applyProtection="1">
      <alignment horizontal="right"/>
    </xf>
    <xf numFmtId="38" fontId="21" fillId="27" borderId="250" xfId="28" applyNumberFormat="1" applyFont="1" applyFill="1" applyBorder="1"/>
    <xf numFmtId="0" fontId="21" fillId="0" borderId="48" xfId="51" applyFont="1" applyBorder="1" applyAlignment="1">
      <alignment horizontal="center"/>
    </xf>
    <xf numFmtId="165" fontId="21" fillId="0" borderId="48" xfId="29" applyNumberFormat="1" applyFont="1" applyFill="1" applyBorder="1" applyAlignment="1"/>
    <xf numFmtId="0" fontId="21" fillId="0" borderId="32" xfId="51" applyFont="1" applyBorder="1" applyAlignment="1">
      <alignment horizontal="center"/>
    </xf>
    <xf numFmtId="165" fontId="21" fillId="0" borderId="32" xfId="29" applyNumberFormat="1" applyFont="1" applyFill="1" applyBorder="1" applyAlignment="1"/>
    <xf numFmtId="0" fontId="21" fillId="0" borderId="32" xfId="51" applyFont="1" applyBorder="1"/>
    <xf numFmtId="0" fontId="143" fillId="26" borderId="0" xfId="38" applyFont="1" applyFill="1" applyBorder="1" applyAlignment="1" applyProtection="1">
      <alignment horizontal="center"/>
    </xf>
    <xf numFmtId="3" fontId="13" fillId="0" borderId="136" xfId="28" applyNumberFormat="1" applyFont="1" applyFill="1" applyBorder="1"/>
    <xf numFmtId="0" fontId="143" fillId="26" borderId="28" xfId="38" applyFont="1" applyFill="1" applyBorder="1" applyAlignment="1" applyProtection="1">
      <alignment horizontal="left"/>
    </xf>
    <xf numFmtId="0" fontId="156" fillId="0" borderId="247" xfId="38" applyFont="1" applyBorder="1" applyAlignment="1" applyProtection="1">
      <alignment horizontal="center"/>
    </xf>
    <xf numFmtId="165" fontId="11" fillId="31" borderId="33" xfId="28" applyNumberFormat="1" applyFont="1" applyFill="1" applyBorder="1"/>
    <xf numFmtId="0" fontId="156" fillId="0" borderId="0" xfId="38" applyFont="1" applyBorder="1" applyAlignment="1" applyProtection="1">
      <alignment horizontal="center"/>
    </xf>
    <xf numFmtId="165" fontId="11" fillId="31" borderId="20" xfId="28" applyNumberFormat="1" applyFont="1" applyFill="1" applyBorder="1"/>
    <xf numFmtId="0" fontId="156" fillId="0" borderId="28" xfId="38" applyFont="1" applyBorder="1" applyAlignment="1" applyProtection="1">
      <alignment horizontal="center"/>
    </xf>
    <xf numFmtId="0" fontId="33" fillId="0" borderId="0" xfId="0" applyFont="1"/>
    <xf numFmtId="0" fontId="62" fillId="27" borderId="172" xfId="49" applyFont="1" applyFill="1" applyBorder="1" applyAlignment="1">
      <alignment horizontal="center" vertical="top"/>
    </xf>
    <xf numFmtId="6" fontId="62" fillId="27" borderId="173" xfId="0" applyNumberFormat="1" applyFont="1" applyFill="1" applyBorder="1"/>
    <xf numFmtId="38" fontId="62" fillId="27" borderId="175" xfId="49" applyNumberFormat="1" applyFont="1" applyFill="1" applyBorder="1"/>
    <xf numFmtId="10" fontId="62" fillId="27" borderId="172" xfId="49" applyNumberFormat="1" applyFont="1" applyFill="1" applyBorder="1" applyAlignment="1">
      <alignment horizontal="center" vertical="top"/>
    </xf>
    <xf numFmtId="10" fontId="62" fillId="27" borderId="173" xfId="55" applyNumberFormat="1" applyFont="1" applyFill="1" applyBorder="1"/>
    <xf numFmtId="10" fontId="62" fillId="27" borderId="175" xfId="55" applyNumberFormat="1" applyFont="1" applyFill="1" applyBorder="1"/>
    <xf numFmtId="14" fontId="62" fillId="0" borderId="23" xfId="49" applyNumberFormat="1" applyFont="1" applyBorder="1" applyAlignment="1">
      <alignment horizontal="center" vertical="top"/>
    </xf>
    <xf numFmtId="6" fontId="4" fillId="0" borderId="32" xfId="48" applyNumberFormat="1" applyFont="1" applyBorder="1" applyAlignment="1">
      <alignment horizontal="right"/>
    </xf>
    <xf numFmtId="38" fontId="4" fillId="0" borderId="32" xfId="48" applyNumberFormat="1" applyFont="1" applyBorder="1" applyAlignment="1">
      <alignment horizontal="right"/>
    </xf>
    <xf numFmtId="170" fontId="6" fillId="30" borderId="32" xfId="28" applyNumberFormat="1" applyFont="1" applyFill="1" applyBorder="1"/>
    <xf numFmtId="3" fontId="6" fillId="30" borderId="32" xfId="48" applyNumberFormat="1" applyFont="1" applyFill="1" applyBorder="1" applyAlignment="1">
      <alignment horizontal="right"/>
    </xf>
    <xf numFmtId="44" fontId="6" fillId="30" borderId="32" xfId="30" applyFont="1" applyFill="1" applyBorder="1" applyAlignment="1" applyProtection="1">
      <alignment horizontal="right"/>
    </xf>
    <xf numFmtId="44" fontId="6" fillId="30" borderId="112" xfId="30" applyFont="1" applyFill="1" applyBorder="1" applyAlignment="1" applyProtection="1">
      <alignment horizontal="right"/>
    </xf>
    <xf numFmtId="0" fontId="4" fillId="0" borderId="11" xfId="48" applyFont="1" applyBorder="1" applyAlignment="1">
      <alignment horizontal="center"/>
    </xf>
    <xf numFmtId="0" fontId="7" fillId="30" borderId="251" xfId="48" applyFont="1" applyFill="1" applyBorder="1"/>
    <xf numFmtId="165" fontId="11" fillId="24" borderId="252" xfId="28" applyNumberFormat="1" applyFont="1" applyFill="1" applyBorder="1"/>
    <xf numFmtId="170" fontId="21" fillId="27" borderId="252" xfId="30" applyNumberFormat="1" applyFont="1" applyFill="1" applyBorder="1"/>
    <xf numFmtId="165" fontId="11" fillId="31" borderId="252" xfId="28" applyNumberFormat="1" applyFont="1" applyFill="1" applyBorder="1"/>
    <xf numFmtId="0" fontId="79" fillId="25" borderId="0" xfId="44" applyFont="1" applyFill="1"/>
    <xf numFmtId="0" fontId="79" fillId="0" borderId="0" xfId="48" applyFont="1" applyAlignment="1">
      <alignment horizontal="right" indent="1"/>
    </xf>
    <xf numFmtId="0" fontId="132" fillId="0" borderId="0" xfId="48" applyFont="1" applyAlignment="1">
      <alignment horizontal="right" indent="1"/>
    </xf>
    <xf numFmtId="165" fontId="77" fillId="25" borderId="0" xfId="28" applyNumberFormat="1" applyFont="1" applyFill="1" applyBorder="1" applyAlignment="1" applyProtection="1">
      <alignment horizontal="right" indent="1"/>
    </xf>
    <xf numFmtId="10" fontId="7" fillId="30" borderId="253" xfId="55" applyNumberFormat="1" applyFont="1" applyFill="1" applyBorder="1"/>
    <xf numFmtId="10" fontId="7" fillId="30" borderId="254" xfId="55" applyNumberFormat="1" applyFont="1" applyFill="1" applyBorder="1"/>
    <xf numFmtId="10" fontId="7" fillId="30" borderId="255" xfId="55" applyNumberFormat="1" applyFont="1" applyFill="1" applyBorder="1"/>
    <xf numFmtId="38" fontId="79" fillId="0" borderId="256" xfId="0" applyNumberFormat="1" applyFont="1" applyBorder="1"/>
    <xf numFmtId="38" fontId="79" fillId="0" borderId="154" xfId="0" applyNumberFormat="1" applyFont="1" applyBorder="1" applyProtection="1">
      <protection locked="0"/>
    </xf>
    <xf numFmtId="0" fontId="0" fillId="0" borderId="38" xfId="0" applyBorder="1" applyAlignment="1">
      <alignment horizontal="center"/>
    </xf>
    <xf numFmtId="0" fontId="7" fillId="0" borderId="14" xfId="48" applyFont="1" applyBorder="1" applyAlignment="1">
      <alignment horizontal="center"/>
    </xf>
    <xf numFmtId="0" fontId="7" fillId="0" borderId="15" xfId="48" applyFont="1" applyBorder="1" applyAlignment="1">
      <alignment horizontal="center"/>
    </xf>
    <xf numFmtId="0" fontId="79" fillId="0" borderId="257" xfId="0" applyFont="1" applyBorder="1" applyAlignment="1">
      <alignment horizontal="center" vertical="center"/>
    </xf>
    <xf numFmtId="0" fontId="79" fillId="0" borderId="199" xfId="0" applyFont="1" applyBorder="1" applyAlignment="1">
      <alignment horizontal="center" vertical="center"/>
    </xf>
    <xf numFmtId="0" fontId="79" fillId="0" borderId="258" xfId="0" applyFont="1" applyBorder="1" applyAlignment="1">
      <alignment horizontal="center" vertical="center"/>
    </xf>
    <xf numFmtId="0" fontId="79" fillId="0" borderId="259" xfId="45" applyFont="1" applyBorder="1" applyAlignment="1" applyProtection="1">
      <alignment horizontal="center"/>
      <protection locked="0"/>
    </xf>
    <xf numFmtId="176" fontId="79" fillId="0" borderId="259" xfId="0" applyNumberFormat="1" applyFont="1" applyBorder="1" applyAlignment="1" applyProtection="1">
      <alignment horizontal="center"/>
      <protection hidden="1"/>
    </xf>
    <xf numFmtId="0" fontId="81" fillId="26" borderId="29" xfId="0" applyFont="1" applyFill="1" applyBorder="1" applyProtection="1">
      <protection hidden="1"/>
    </xf>
    <xf numFmtId="0" fontId="79" fillId="26" borderId="260" xfId="0" applyFont="1" applyFill="1" applyBorder="1"/>
    <xf numFmtId="38" fontId="79" fillId="0" borderId="261" xfId="0" applyNumberFormat="1" applyFont="1" applyBorder="1" applyProtection="1">
      <protection locked="0"/>
    </xf>
    <xf numFmtId="38" fontId="79" fillId="0" borderId="262" xfId="0" applyNumberFormat="1" applyFont="1" applyBorder="1"/>
    <xf numFmtId="38" fontId="79" fillId="0" borderId="263" xfId="0" applyNumberFormat="1" applyFont="1" applyBorder="1" applyProtection="1">
      <protection locked="0"/>
    </xf>
    <xf numFmtId="0" fontId="93" fillId="0" borderId="264" xfId="0" applyFont="1" applyBorder="1" applyAlignment="1">
      <alignment vertical="center"/>
    </xf>
    <xf numFmtId="0" fontId="93" fillId="0" borderId="265" xfId="0" applyFont="1" applyBorder="1" applyAlignment="1">
      <alignment vertical="center"/>
    </xf>
    <xf numFmtId="0" fontId="87" fillId="26" borderId="266" xfId="48" applyFont="1" applyFill="1" applyBorder="1" applyAlignment="1">
      <alignment horizontal="center"/>
    </xf>
    <xf numFmtId="0" fontId="87" fillId="26" borderId="267" xfId="48" applyFont="1" applyFill="1" applyBorder="1" applyAlignment="1">
      <alignment horizontal="center"/>
    </xf>
    <xf numFmtId="38" fontId="79" fillId="0" borderId="268" xfId="0" applyNumberFormat="1" applyFont="1" applyBorder="1" applyProtection="1">
      <protection locked="0"/>
    </xf>
    <xf numFmtId="38" fontId="79" fillId="0" borderId="269" xfId="0" applyNumberFormat="1" applyFont="1" applyBorder="1" applyProtection="1">
      <protection locked="0"/>
    </xf>
    <xf numFmtId="38" fontId="79" fillId="0" borderId="270" xfId="0" applyNumberFormat="1" applyFont="1" applyBorder="1" applyProtection="1">
      <protection locked="0"/>
    </xf>
    <xf numFmtId="0" fontId="156" fillId="0" borderId="29" xfId="38" applyFont="1" applyBorder="1" applyAlignment="1" applyProtection="1">
      <alignment horizontal="center"/>
    </xf>
    <xf numFmtId="0" fontId="143" fillId="26" borderId="29" xfId="38" applyFont="1" applyFill="1" applyBorder="1" applyAlignment="1" applyProtection="1">
      <alignment horizontal="center"/>
    </xf>
    <xf numFmtId="0" fontId="80" fillId="0" borderId="29" xfId="0" applyFont="1" applyBorder="1"/>
    <xf numFmtId="0" fontId="80" fillId="26" borderId="29" xfId="0" applyFont="1" applyFill="1" applyBorder="1" applyProtection="1">
      <protection hidden="1"/>
    </xf>
    <xf numFmtId="0" fontId="80" fillId="0" borderId="29" xfId="0" applyFont="1" applyBorder="1" applyAlignment="1">
      <alignment horizontal="right" indent="1"/>
    </xf>
    <xf numFmtId="0" fontId="143" fillId="26" borderId="29" xfId="38" applyFont="1" applyFill="1" applyBorder="1" applyAlignment="1" applyProtection="1">
      <alignment horizontal="center" textRotation="90"/>
    </xf>
    <xf numFmtId="3" fontId="11" fillId="24" borderId="220" xfId="30" applyNumberFormat="1" applyFont="1" applyFill="1" applyBorder="1"/>
    <xf numFmtId="0" fontId="7" fillId="42" borderId="251" xfId="48" applyFont="1" applyFill="1" applyBorder="1"/>
    <xf numFmtId="0" fontId="0" fillId="24" borderId="271" xfId="0" applyFill="1" applyBorder="1"/>
    <xf numFmtId="9" fontId="115" fillId="24" borderId="230" xfId="55" applyFont="1" applyFill="1" applyBorder="1" applyProtection="1"/>
    <xf numFmtId="170" fontId="13" fillId="25" borderId="32" xfId="30" applyNumberFormat="1" applyFont="1" applyFill="1" applyBorder="1"/>
    <xf numFmtId="0" fontId="143" fillId="26" borderId="28" xfId="38" applyFont="1" applyFill="1" applyBorder="1" applyAlignment="1" applyProtection="1">
      <alignment horizontal="center"/>
    </xf>
    <xf numFmtId="9" fontId="115" fillId="24" borderId="272" xfId="55" applyFont="1" applyFill="1" applyBorder="1" applyProtection="1"/>
    <xf numFmtId="38" fontId="138" fillId="0" borderId="154" xfId="0" applyNumberFormat="1" applyFont="1" applyBorder="1" applyProtection="1">
      <protection locked="0"/>
    </xf>
    <xf numFmtId="38" fontId="79" fillId="26" borderId="152" xfId="0" applyNumberFormat="1" applyFont="1" applyFill="1" applyBorder="1"/>
    <xf numFmtId="38" fontId="138" fillId="0" borderId="152" xfId="0" applyNumberFormat="1" applyFont="1" applyBorder="1" applyProtection="1">
      <protection locked="0"/>
    </xf>
    <xf numFmtId="38" fontId="79" fillId="26" borderId="149" xfId="0" applyNumberFormat="1" applyFont="1" applyFill="1" applyBorder="1"/>
    <xf numFmtId="38" fontId="79" fillId="0" borderId="273" xfId="0" applyNumberFormat="1" applyFont="1" applyBorder="1"/>
    <xf numFmtId="0" fontId="84" fillId="0" borderId="138" xfId="0" applyFont="1" applyBorder="1" applyAlignment="1">
      <alignment horizontal="left" vertical="center"/>
    </xf>
    <xf numFmtId="0" fontId="84" fillId="0" borderId="138" xfId="0" applyFont="1" applyBorder="1" applyAlignment="1">
      <alignment horizontal="center" vertical="center"/>
    </xf>
    <xf numFmtId="0" fontId="157" fillId="0" borderId="0" xfId="0" applyFont="1"/>
    <xf numFmtId="0" fontId="14" fillId="0" borderId="0" xfId="0" applyFont="1"/>
    <xf numFmtId="0" fontId="80" fillId="0" borderId="0" xfId="0" applyFont="1" applyAlignment="1">
      <alignment horizontal="center"/>
    </xf>
    <xf numFmtId="14" fontId="7" fillId="0" borderId="0" xfId="48" applyNumberFormat="1" applyFont="1"/>
    <xf numFmtId="3" fontId="7" fillId="0" borderId="0" xfId="0" applyNumberFormat="1" applyFont="1" applyAlignment="1">
      <alignment horizontal="right"/>
    </xf>
    <xf numFmtId="0" fontId="7" fillId="0" borderId="226" xfId="48" applyFont="1" applyBorder="1"/>
    <xf numFmtId="0" fontId="0" fillId="43" borderId="0" xfId="0" applyFill="1"/>
    <xf numFmtId="0" fontId="149" fillId="44" borderId="0" xfId="0" applyFont="1" applyFill="1"/>
    <xf numFmtId="0" fontId="149" fillId="45" borderId="0" xfId="0" applyFont="1" applyFill="1"/>
    <xf numFmtId="0" fontId="149" fillId="46" borderId="0" xfId="0" applyFont="1" applyFill="1"/>
    <xf numFmtId="0" fontId="149" fillId="47" borderId="0" xfId="0" applyFont="1" applyFill="1"/>
    <xf numFmtId="0" fontId="0" fillId="48" borderId="0" xfId="0" applyFill="1"/>
    <xf numFmtId="0" fontId="0" fillId="49" borderId="0" xfId="0" applyFill="1"/>
    <xf numFmtId="0" fontId="13" fillId="0" borderId="86" xfId="0" applyFont="1" applyBorder="1"/>
    <xf numFmtId="3" fontId="13" fillId="0" borderId="86" xfId="0" applyNumberFormat="1" applyFont="1" applyBorder="1"/>
    <xf numFmtId="179" fontId="7" fillId="27" borderId="246" xfId="48" applyNumberFormat="1" applyFont="1" applyFill="1" applyBorder="1" applyAlignment="1">
      <alignment horizontal="center"/>
    </xf>
    <xf numFmtId="179" fontId="7" fillId="27" borderId="245" xfId="48" applyNumberFormat="1" applyFont="1" applyFill="1" applyBorder="1" applyAlignment="1">
      <alignment horizontal="center"/>
    </xf>
    <xf numFmtId="0" fontId="7" fillId="27" borderId="276" xfId="48" applyFont="1" applyFill="1" applyBorder="1" applyAlignment="1">
      <alignment horizontal="center"/>
    </xf>
    <xf numFmtId="179" fontId="7" fillId="27" borderId="277" xfId="48" applyNumberFormat="1" applyFont="1" applyFill="1" applyBorder="1" applyAlignment="1">
      <alignment horizontal="center"/>
    </xf>
    <xf numFmtId="0" fontId="153" fillId="26" borderId="28" xfId="38" applyFont="1" applyFill="1" applyBorder="1" applyAlignment="1" applyProtection="1">
      <alignment horizontal="center"/>
    </xf>
    <xf numFmtId="179" fontId="7" fillId="27" borderId="278" xfId="48" applyNumberFormat="1" applyFont="1" applyFill="1" applyBorder="1" applyAlignment="1">
      <alignment horizontal="center"/>
    </xf>
    <xf numFmtId="0" fontId="143" fillId="26" borderId="279" xfId="38" applyFont="1" applyFill="1" applyBorder="1" applyAlignment="1" applyProtection="1"/>
    <xf numFmtId="0" fontId="143" fillId="26" borderId="28" xfId="38" applyFont="1" applyFill="1" applyBorder="1" applyAlignment="1" applyProtection="1"/>
    <xf numFmtId="0" fontId="63" fillId="0" borderId="28" xfId="0" applyFont="1" applyBorder="1"/>
    <xf numFmtId="10" fontId="61" fillId="0" borderId="0" xfId="0" applyNumberFormat="1" applyFont="1"/>
    <xf numFmtId="10" fontId="67" fillId="0" borderId="0" xfId="0" applyNumberFormat="1" applyFont="1"/>
    <xf numFmtId="0" fontId="154" fillId="0" borderId="28" xfId="48" applyFont="1" applyBorder="1" applyAlignment="1">
      <alignment horizontal="center"/>
    </xf>
    <xf numFmtId="0" fontId="145" fillId="0" borderId="28" xfId="38" applyFont="1" applyBorder="1" applyAlignment="1" applyProtection="1">
      <alignment horizontal="center"/>
    </xf>
    <xf numFmtId="0" fontId="154" fillId="0" borderId="14" xfId="48" applyFont="1" applyBorder="1" applyAlignment="1">
      <alignment horizontal="center"/>
    </xf>
    <xf numFmtId="0" fontId="143" fillId="26" borderId="14" xfId="38" applyFont="1" applyFill="1" applyBorder="1" applyAlignment="1" applyProtection="1">
      <alignment horizontal="center"/>
    </xf>
    <xf numFmtId="0" fontId="9" fillId="0" borderId="14" xfId="48" applyFont="1" applyBorder="1" applyAlignment="1">
      <alignment horizontal="center"/>
    </xf>
    <xf numFmtId="0" fontId="9" fillId="0" borderId="15" xfId="48" applyFont="1" applyBorder="1" applyAlignment="1">
      <alignment horizontal="center"/>
    </xf>
    <xf numFmtId="0" fontId="7" fillId="0" borderId="14" xfId="48" applyFont="1" applyBorder="1" applyAlignment="1">
      <alignment horizontal="center" vertical="center"/>
    </xf>
    <xf numFmtId="38" fontId="7" fillId="0" borderId="280" xfId="48" applyNumberFormat="1" applyFont="1" applyBorder="1" applyAlignment="1">
      <alignment horizontal="center" vertical="center"/>
    </xf>
    <xf numFmtId="0" fontId="7" fillId="0" borderId="14" xfId="48" applyFont="1" applyBorder="1" applyAlignment="1">
      <alignment horizontal="left"/>
    </xf>
    <xf numFmtId="0" fontId="12" fillId="0" borderId="14" xfId="0" applyFont="1" applyBorder="1" applyAlignment="1">
      <alignment horizontal="center"/>
    </xf>
    <xf numFmtId="165" fontId="11" fillId="24" borderId="281" xfId="28" applyNumberFormat="1" applyFont="1" applyFill="1" applyBorder="1"/>
    <xf numFmtId="0" fontId="29" fillId="0" borderId="14" xfId="48" applyFont="1" applyBorder="1"/>
    <xf numFmtId="42" fontId="21" fillId="27" borderId="281" xfId="30" applyNumberFormat="1" applyFont="1" applyFill="1" applyBorder="1"/>
    <xf numFmtId="0" fontId="30" fillId="0" borderId="14" xfId="48" applyFont="1" applyBorder="1"/>
    <xf numFmtId="38" fontId="11" fillId="0" borderId="15" xfId="48" applyNumberFormat="1" applyFont="1" applyBorder="1"/>
    <xf numFmtId="0" fontId="12" fillId="0" borderId="14" xfId="48" applyFont="1" applyBorder="1" applyAlignment="1">
      <alignment horizontal="center"/>
    </xf>
    <xf numFmtId="44" fontId="21" fillId="27" borderId="281" xfId="30" applyFont="1" applyFill="1" applyBorder="1"/>
    <xf numFmtId="0" fontId="29" fillId="0" borderId="14" xfId="48" applyFont="1" applyBorder="1" applyAlignment="1">
      <alignment horizontal="left"/>
    </xf>
    <xf numFmtId="0" fontId="31" fillId="0" borderId="14" xfId="48" applyFont="1" applyBorder="1" applyAlignment="1">
      <alignment horizontal="left"/>
    </xf>
    <xf numFmtId="38" fontId="11" fillId="0" borderId="15" xfId="48" applyNumberFormat="1" applyFont="1" applyBorder="1" applyAlignment="1">
      <alignment horizontal="right"/>
    </xf>
    <xf numFmtId="0" fontId="18" fillId="0" borderId="14" xfId="48" applyFont="1" applyBorder="1"/>
    <xf numFmtId="38" fontId="11" fillId="0" borderId="15" xfId="0" applyNumberFormat="1" applyFont="1" applyBorder="1" applyAlignment="1">
      <alignment horizontal="right"/>
    </xf>
    <xf numFmtId="0" fontId="29" fillId="0" borderId="282" xfId="48" applyFont="1" applyBorder="1"/>
    <xf numFmtId="0" fontId="32" fillId="0" borderId="14" xfId="48" applyFont="1" applyBorder="1"/>
    <xf numFmtId="0" fontId="18" fillId="0" borderId="14" xfId="48" applyFont="1" applyBorder="1" applyAlignment="1">
      <alignment horizontal="left"/>
    </xf>
    <xf numFmtId="0" fontId="12" fillId="0" borderId="14" xfId="48" applyFont="1" applyBorder="1" applyAlignment="1">
      <alignment horizontal="left"/>
    </xf>
    <xf numFmtId="0" fontId="32" fillId="0" borderId="282" xfId="48" applyFont="1" applyBorder="1"/>
    <xf numFmtId="38" fontId="11" fillId="0" borderId="284" xfId="48" applyNumberFormat="1" applyFont="1" applyBorder="1" applyAlignment="1">
      <alignment horizontal="right"/>
    </xf>
    <xf numFmtId="0" fontId="7" fillId="0" borderId="14" xfId="48" applyFont="1" applyBorder="1"/>
    <xf numFmtId="0" fontId="21" fillId="0" borderId="14" xfId="48" applyFont="1" applyBorder="1"/>
    <xf numFmtId="0" fontId="7" fillId="0" borderId="14" xfId="48" applyFont="1" applyBorder="1" applyProtection="1">
      <protection locked="0"/>
    </xf>
    <xf numFmtId="0" fontId="7" fillId="0" borderId="14" xfId="0" applyFont="1" applyBorder="1" applyAlignment="1">
      <alignment horizontal="left"/>
    </xf>
    <xf numFmtId="170" fontId="21" fillId="27" borderId="281" xfId="30" applyNumberFormat="1" applyFont="1" applyFill="1" applyBorder="1" applyProtection="1"/>
    <xf numFmtId="38" fontId="21" fillId="0" borderId="15" xfId="48" applyNumberFormat="1" applyFont="1" applyBorder="1"/>
    <xf numFmtId="0" fontId="7" fillId="0" borderId="14" xfId="48" applyFont="1" applyBorder="1" applyAlignment="1" applyProtection="1">
      <alignment horizontal="left"/>
      <protection locked="0"/>
    </xf>
    <xf numFmtId="38" fontId="11" fillId="0" borderId="15" xfId="28" applyNumberFormat="1" applyFont="1" applyFill="1" applyBorder="1" applyAlignment="1" applyProtection="1">
      <alignment horizontal="right"/>
      <protection locked="0"/>
    </xf>
    <xf numFmtId="38" fontId="11" fillId="0" borderId="15" xfId="28" applyNumberFormat="1" applyFont="1" applyFill="1" applyBorder="1"/>
    <xf numFmtId="38" fontId="11" fillId="0" borderId="284" xfId="28" applyNumberFormat="1" applyFont="1" applyFill="1" applyBorder="1" applyAlignment="1" applyProtection="1">
      <alignment horizontal="right"/>
    </xf>
    <xf numFmtId="170" fontId="11" fillId="0" borderId="15" xfId="0" applyNumberFormat="1" applyFont="1" applyBorder="1" applyAlignment="1">
      <alignment horizontal="right"/>
    </xf>
    <xf numFmtId="0" fontId="13" fillId="0" borderId="14" xfId="48" applyFont="1" applyBorder="1"/>
    <xf numFmtId="0" fontId="13" fillId="0" borderId="14" xfId="0" applyFont="1" applyBorder="1"/>
    <xf numFmtId="38" fontId="11" fillId="0" borderId="15" xfId="0" applyNumberFormat="1" applyFont="1" applyBorder="1"/>
    <xf numFmtId="170" fontId="21" fillId="27" borderId="123" xfId="48" applyNumberFormat="1" applyFont="1" applyFill="1" applyBorder="1"/>
    <xf numFmtId="38" fontId="4" fillId="0" borderId="15" xfId="0" applyNumberFormat="1" applyFont="1" applyBorder="1" applyAlignment="1">
      <alignment horizontal="right"/>
    </xf>
    <xf numFmtId="38" fontId="4" fillId="0" borderId="284" xfId="0" applyNumberFormat="1" applyFont="1" applyBorder="1" applyAlignment="1">
      <alignment horizontal="right"/>
    </xf>
    <xf numFmtId="0" fontId="158" fillId="0" borderId="28" xfId="38" applyFont="1" applyBorder="1" applyAlignment="1" applyProtection="1">
      <alignment horizontal="center"/>
    </xf>
    <xf numFmtId="0" fontId="156" fillId="0" borderId="14" xfId="38" applyFont="1" applyBorder="1" applyAlignment="1" applyProtection="1">
      <alignment horizontal="center"/>
    </xf>
    <xf numFmtId="0" fontId="153" fillId="26" borderId="14" xfId="38" applyFont="1" applyFill="1" applyBorder="1" applyAlignment="1" applyProtection="1">
      <alignment horizontal="center"/>
    </xf>
    <xf numFmtId="0" fontId="79" fillId="0" borderId="28" xfId="0" applyFont="1" applyBorder="1" applyAlignment="1">
      <alignment horizontal="center"/>
    </xf>
    <xf numFmtId="0" fontId="80" fillId="0" borderId="285" xfId="0" applyFont="1" applyBorder="1" applyAlignment="1">
      <alignment horizontal="center"/>
    </xf>
    <xf numFmtId="0" fontId="13" fillId="0" borderId="38" xfId="48" applyFont="1" applyBorder="1" applyAlignment="1">
      <alignment horizontal="center" vertical="center"/>
    </xf>
    <xf numFmtId="0" fontId="13" fillId="0" borderId="77" xfId="48" applyFont="1" applyBorder="1" applyAlignment="1">
      <alignment horizontal="centerContinuous" vertical="center"/>
    </xf>
    <xf numFmtId="170" fontId="13" fillId="24" borderId="33" xfId="30" applyNumberFormat="1" applyFont="1" applyFill="1" applyBorder="1"/>
    <xf numFmtId="170" fontId="4" fillId="30" borderId="286" xfId="28" applyNumberFormat="1" applyFont="1" applyFill="1" applyBorder="1"/>
    <xf numFmtId="0" fontId="121" fillId="0" borderId="28" xfId="48" applyFont="1" applyBorder="1"/>
    <xf numFmtId="38" fontId="122" fillId="0" borderId="29" xfId="48" applyNumberFormat="1" applyFont="1" applyBorder="1"/>
    <xf numFmtId="38" fontId="113" fillId="0" borderId="29" xfId="48" applyNumberFormat="1" applyFont="1" applyBorder="1"/>
    <xf numFmtId="0" fontId="122" fillId="35" borderId="28" xfId="48" applyFont="1" applyFill="1" applyBorder="1" applyAlignment="1">
      <alignment horizontal="center"/>
    </xf>
    <xf numFmtId="170" fontId="6" fillId="30" borderId="286" xfId="28" applyNumberFormat="1" applyFont="1" applyFill="1" applyBorder="1"/>
    <xf numFmtId="0" fontId="113" fillId="0" borderId="28" xfId="48" applyFont="1" applyBorder="1" applyAlignment="1">
      <alignment horizontal="center"/>
    </xf>
    <xf numFmtId="0" fontId="122" fillId="0" borderId="28" xfId="48" applyFont="1" applyBorder="1" applyAlignment="1">
      <alignment horizontal="center"/>
    </xf>
    <xf numFmtId="0" fontId="126" fillId="0" borderId="29" xfId="0" applyFont="1" applyBorder="1"/>
    <xf numFmtId="0" fontId="113" fillId="0" borderId="12" xfId="0" applyFont="1" applyBorder="1"/>
    <xf numFmtId="0" fontId="113" fillId="0" borderId="13" xfId="0" applyFont="1" applyBorder="1"/>
    <xf numFmtId="0" fontId="113" fillId="27" borderId="13" xfId="0" applyFont="1" applyFill="1" applyBorder="1" applyAlignment="1">
      <alignment horizontal="center"/>
    </xf>
    <xf numFmtId="0" fontId="113" fillId="0" borderId="19" xfId="0" applyFont="1" applyBorder="1"/>
    <xf numFmtId="0" fontId="113" fillId="0" borderId="14" xfId="0" applyFont="1" applyBorder="1" applyAlignment="1">
      <alignment horizontal="center"/>
    </xf>
    <xf numFmtId="0" fontId="113" fillId="0" borderId="15" xfId="0" applyFont="1" applyBorder="1" applyAlignment="1">
      <alignment horizontal="center"/>
    </xf>
    <xf numFmtId="0" fontId="113" fillId="0" borderId="14" xfId="0" applyFont="1" applyBorder="1"/>
    <xf numFmtId="0" fontId="113" fillId="0" borderId="15" xfId="0" applyFont="1" applyBorder="1"/>
    <xf numFmtId="14" fontId="115" fillId="0" borderId="15" xfId="0" applyNumberFormat="1" applyFont="1" applyBorder="1"/>
    <xf numFmtId="0" fontId="116" fillId="0" borderId="14" xfId="48" applyFont="1" applyBorder="1" applyAlignment="1">
      <alignment horizontal="centerContinuous" vertical="center"/>
    </xf>
    <xf numFmtId="38" fontId="118" fillId="0" borderId="15" xfId="48" applyNumberFormat="1" applyFont="1" applyBorder="1" applyAlignment="1">
      <alignment horizontal="centerContinuous" vertical="center"/>
    </xf>
    <xf numFmtId="0" fontId="13" fillId="0" borderId="287" xfId="48" applyFont="1" applyBorder="1" applyAlignment="1">
      <alignment horizontal="center" vertical="center"/>
    </xf>
    <xf numFmtId="38" fontId="7" fillId="0" borderId="288" xfId="48" applyNumberFormat="1" applyFont="1" applyBorder="1" applyAlignment="1">
      <alignment horizontal="center" vertical="center"/>
    </xf>
    <xf numFmtId="0" fontId="13" fillId="0" borderId="14" xfId="48" applyFont="1" applyBorder="1" applyAlignment="1">
      <alignment horizontal="center" vertical="center"/>
    </xf>
    <xf numFmtId="38" fontId="7" fillId="0" borderId="289" xfId="48" applyNumberFormat="1" applyFont="1" applyBorder="1" applyAlignment="1">
      <alignment horizontal="center" vertical="center"/>
    </xf>
    <xf numFmtId="0" fontId="13" fillId="0" borderId="290" xfId="0" applyFont="1" applyBorder="1" applyAlignment="1">
      <alignment vertical="center"/>
    </xf>
    <xf numFmtId="38" fontId="7" fillId="0" borderId="291" xfId="48" applyNumberFormat="1" applyFont="1" applyBorder="1" applyAlignment="1">
      <alignment horizontal="center" vertical="center"/>
    </xf>
    <xf numFmtId="0" fontId="0" fillId="0" borderId="15" xfId="0" applyBorder="1"/>
    <xf numFmtId="0" fontId="13" fillId="0" borderId="14" xfId="0" applyFont="1" applyBorder="1" applyAlignment="1">
      <alignment horizontal="center"/>
    </xf>
    <xf numFmtId="170" fontId="13" fillId="24" borderId="281" xfId="30" applyNumberFormat="1" applyFont="1" applyFill="1" applyBorder="1"/>
    <xf numFmtId="170" fontId="4" fillId="30" borderId="292" xfId="28" applyNumberFormat="1" applyFont="1" applyFill="1" applyBorder="1"/>
    <xf numFmtId="0" fontId="121" fillId="0" borderId="14" xfId="48" applyFont="1" applyBorder="1"/>
    <xf numFmtId="38" fontId="122" fillId="0" borderId="15" xfId="48" applyNumberFormat="1" applyFont="1" applyBorder="1"/>
    <xf numFmtId="38" fontId="113" fillId="0" borderId="15" xfId="48" applyNumberFormat="1" applyFont="1" applyBorder="1"/>
    <xf numFmtId="165" fontId="122" fillId="35" borderId="14" xfId="28" applyNumberFormat="1" applyFont="1" applyFill="1" applyBorder="1" applyAlignment="1" applyProtection="1">
      <alignment horizontal="center"/>
    </xf>
    <xf numFmtId="0" fontId="123" fillId="0" borderId="14" xfId="48" applyFont="1" applyBorder="1"/>
    <xf numFmtId="0" fontId="13" fillId="0" borderId="14" xfId="48" applyFont="1" applyBorder="1" applyAlignment="1">
      <alignment horizontal="center"/>
    </xf>
    <xf numFmtId="170" fontId="11" fillId="24" borderId="281" xfId="30" applyNumberFormat="1" applyFont="1" applyFill="1" applyBorder="1"/>
    <xf numFmtId="38" fontId="13" fillId="0" borderId="15" xfId="48" applyNumberFormat="1" applyFont="1" applyBorder="1" applyProtection="1">
      <protection locked="0"/>
    </xf>
    <xf numFmtId="38" fontId="13" fillId="0" borderId="15" xfId="48" applyNumberFormat="1" applyFont="1" applyBorder="1"/>
    <xf numFmtId="38" fontId="13" fillId="0" borderId="15" xfId="28" applyNumberFormat="1" applyFont="1" applyFill="1" applyBorder="1" applyProtection="1">
      <protection locked="0"/>
    </xf>
    <xf numFmtId="38" fontId="13" fillId="0" borderId="15" xfId="48" applyNumberFormat="1" applyFont="1" applyBorder="1" applyAlignment="1">
      <alignment horizontal="right"/>
    </xf>
    <xf numFmtId="38" fontId="13" fillId="0" borderId="15" xfId="0" applyNumberFormat="1" applyFont="1" applyBorder="1" applyAlignment="1">
      <alignment horizontal="right"/>
    </xf>
    <xf numFmtId="0" fontId="40" fillId="0" borderId="14" xfId="48" applyFont="1" applyBorder="1"/>
    <xf numFmtId="170" fontId="6" fillId="30" borderId="292" xfId="28" applyNumberFormat="1" applyFont="1" applyFill="1" applyBorder="1"/>
    <xf numFmtId="0" fontId="13" fillId="0" borderId="14" xfId="48" applyFont="1" applyBorder="1" applyAlignment="1">
      <alignment horizontal="left"/>
    </xf>
    <xf numFmtId="38" fontId="21" fillId="0" borderId="15" xfId="48" applyNumberFormat="1" applyFont="1" applyBorder="1" applyProtection="1">
      <protection locked="0"/>
    </xf>
    <xf numFmtId="0" fontId="40" fillId="0" borderId="282" xfId="48" applyFont="1" applyBorder="1"/>
    <xf numFmtId="38" fontId="13" fillId="0" borderId="284" xfId="48" applyNumberFormat="1" applyFont="1" applyBorder="1" applyAlignment="1">
      <alignment horizontal="right"/>
    </xf>
    <xf numFmtId="38" fontId="4" fillId="0" borderId="15" xfId="48" applyNumberFormat="1" applyFont="1" applyBorder="1"/>
    <xf numFmtId="165" fontId="124" fillId="0" borderId="15" xfId="28" applyNumberFormat="1" applyFont="1" applyFill="1" applyBorder="1"/>
    <xf numFmtId="38" fontId="12" fillId="0" borderId="15" xfId="0" applyNumberFormat="1" applyFont="1" applyBorder="1" applyAlignment="1">
      <alignment horizontal="right"/>
    </xf>
    <xf numFmtId="0" fontId="4" fillId="0" borderId="14" xfId="48" applyFont="1" applyBorder="1" applyAlignment="1">
      <alignment horizontal="center"/>
    </xf>
    <xf numFmtId="0" fontId="119" fillId="0" borderId="15" xfId="0" applyFont="1" applyBorder="1"/>
    <xf numFmtId="38" fontId="13" fillId="0" borderId="15" xfId="28" applyNumberFormat="1" applyFont="1" applyFill="1" applyBorder="1" applyAlignment="1" applyProtection="1">
      <alignment horizontal="right"/>
      <protection locked="0"/>
    </xf>
    <xf numFmtId="0" fontId="119" fillId="0" borderId="14" xfId="0" applyFont="1" applyBorder="1"/>
    <xf numFmtId="38" fontId="13" fillId="0" borderId="15" xfId="28" applyNumberFormat="1" applyFont="1" applyFill="1" applyBorder="1"/>
    <xf numFmtId="0" fontId="122" fillId="35" borderId="14" xfId="48" applyFont="1" applyFill="1" applyBorder="1" applyAlignment="1">
      <alignment horizontal="center"/>
    </xf>
    <xf numFmtId="0" fontId="113" fillId="0" borderId="14" xfId="48" applyFont="1" applyBorder="1" applyAlignment="1">
      <alignment horizontal="center"/>
    </xf>
    <xf numFmtId="0" fontId="13" fillId="0" borderId="282" xfId="48" applyFont="1" applyBorder="1" applyAlignment="1">
      <alignment horizontal="center"/>
    </xf>
    <xf numFmtId="38" fontId="7" fillId="0" borderId="284" xfId="48" applyNumberFormat="1" applyFont="1" applyBorder="1"/>
    <xf numFmtId="0" fontId="7" fillId="0" borderId="14" xfId="0" applyFont="1" applyBorder="1" applyAlignment="1">
      <alignment horizontal="left" indent="2"/>
    </xf>
    <xf numFmtId="0" fontId="6" fillId="0" borderId="14" xfId="48" applyFont="1" applyBorder="1"/>
    <xf numFmtId="0" fontId="29" fillId="0" borderId="14" xfId="48" applyFont="1" applyBorder="1" applyAlignment="1">
      <alignment horizontal="left" indent="2"/>
    </xf>
    <xf numFmtId="0" fontId="40" fillId="0" borderId="282" xfId="48" applyFont="1" applyBorder="1" applyAlignment="1">
      <alignment horizontal="left" indent="2"/>
    </xf>
    <xf numFmtId="38" fontId="13" fillId="0" borderId="284" xfId="28" applyNumberFormat="1" applyFont="1" applyFill="1" applyBorder="1" applyAlignment="1" applyProtection="1">
      <alignment horizontal="right"/>
    </xf>
    <xf numFmtId="0" fontId="7" fillId="0" borderId="14" xfId="48" applyFont="1" applyBorder="1" applyAlignment="1">
      <alignment horizontal="left" indent="2"/>
    </xf>
    <xf numFmtId="38" fontId="21" fillId="0" borderId="15" xfId="0" applyNumberFormat="1" applyFont="1" applyBorder="1" applyAlignment="1">
      <alignment horizontal="right"/>
    </xf>
    <xf numFmtId="38" fontId="21" fillId="0" borderId="15" xfId="0" applyNumberFormat="1" applyFont="1" applyBorder="1"/>
    <xf numFmtId="168" fontId="11" fillId="25" borderId="123" xfId="55" applyNumberFormat="1" applyFont="1" applyFill="1" applyBorder="1" applyProtection="1"/>
    <xf numFmtId="0" fontId="4" fillId="0" borderId="14" xfId="0" applyFont="1" applyBorder="1"/>
    <xf numFmtId="0" fontId="4" fillId="0" borderId="15" xfId="0" applyFont="1" applyBorder="1"/>
    <xf numFmtId="0" fontId="6" fillId="0" borderId="14" xfId="0" applyFont="1" applyBorder="1"/>
    <xf numFmtId="170" fontId="13" fillId="25" borderId="123" xfId="48" applyNumberFormat="1" applyFont="1" applyFill="1" applyBorder="1"/>
    <xf numFmtId="0" fontId="9" fillId="0" borderId="293" xfId="48" applyFont="1" applyBorder="1" applyAlignment="1">
      <alignment horizontal="centerContinuous" vertical="center"/>
    </xf>
    <xf numFmtId="38" fontId="7" fillId="0" borderId="294" xfId="48" applyNumberFormat="1" applyFont="1" applyBorder="1" applyAlignment="1">
      <alignment horizontal="centerContinuous" vertical="center"/>
    </xf>
    <xf numFmtId="0" fontId="7" fillId="0" borderId="293" xfId="48" applyFont="1" applyBorder="1" applyAlignment="1">
      <alignment horizontal="center" vertical="center"/>
    </xf>
    <xf numFmtId="38" fontId="7" fillId="0" borderId="295" xfId="48" applyNumberFormat="1" applyFont="1" applyBorder="1" applyAlignment="1">
      <alignment horizontal="center" vertical="center"/>
    </xf>
    <xf numFmtId="0" fontId="7" fillId="0" borderId="282" xfId="0" applyFont="1" applyBorder="1" applyAlignment="1">
      <alignment vertical="center"/>
    </xf>
    <xf numFmtId="38" fontId="7" fillId="0" borderId="296" xfId="48" applyNumberFormat="1" applyFont="1" applyBorder="1" applyAlignment="1">
      <alignment horizontal="center" vertical="center"/>
    </xf>
    <xf numFmtId="0" fontId="23" fillId="0" borderId="15" xfId="0" applyFont="1" applyBorder="1"/>
    <xf numFmtId="0" fontId="122" fillId="0" borderId="14" xfId="48" applyFont="1" applyBorder="1" applyAlignment="1">
      <alignment horizontal="center"/>
    </xf>
    <xf numFmtId="0" fontId="13" fillId="0" borderId="282" xfId="48" applyFont="1" applyBorder="1"/>
    <xf numFmtId="38" fontId="4" fillId="0" borderId="284" xfId="48" applyNumberFormat="1" applyFont="1" applyBorder="1"/>
    <xf numFmtId="38" fontId="20" fillId="0" borderId="15" xfId="48" applyNumberFormat="1" applyFont="1" applyBorder="1" applyAlignment="1">
      <alignment horizontal="right"/>
    </xf>
    <xf numFmtId="0" fontId="13" fillId="0" borderId="282" xfId="0" applyFont="1" applyBorder="1"/>
    <xf numFmtId="0" fontId="32" fillId="0" borderId="14" xfId="48" applyFont="1" applyBorder="1" applyAlignment="1">
      <alignment horizontal="left" vertical="center"/>
    </xf>
    <xf numFmtId="38" fontId="4" fillId="0" borderId="15" xfId="48" applyNumberFormat="1" applyFont="1" applyBorder="1" applyAlignment="1">
      <alignment horizontal="left"/>
    </xf>
    <xf numFmtId="38" fontId="126" fillId="0" borderId="15" xfId="0" applyNumberFormat="1" applyFont="1" applyBorder="1" applyAlignment="1">
      <alignment vertical="center"/>
    </xf>
    <xf numFmtId="38" fontId="126" fillId="0" borderId="15" xfId="48" applyNumberFormat="1" applyFont="1" applyBorder="1"/>
    <xf numFmtId="38" fontId="13" fillId="0" borderId="15" xfId="0" applyNumberFormat="1" applyFont="1" applyBorder="1"/>
    <xf numFmtId="0" fontId="126" fillId="0" borderId="15" xfId="0" applyFont="1" applyBorder="1"/>
    <xf numFmtId="0" fontId="9" fillId="0" borderId="14" xfId="48" applyFont="1" applyBorder="1" applyAlignment="1">
      <alignment horizontal="centerContinuous"/>
    </xf>
    <xf numFmtId="38" fontId="20" fillId="0" borderId="15" xfId="48" applyNumberFormat="1" applyFont="1" applyBorder="1" applyAlignment="1">
      <alignment horizontal="center"/>
    </xf>
    <xf numFmtId="0" fontId="7" fillId="0" borderId="14" xfId="52" applyFont="1" applyBorder="1"/>
    <xf numFmtId="38" fontId="13" fillId="0" borderId="15" xfId="52" applyNumberFormat="1" applyFont="1" applyBorder="1"/>
    <xf numFmtId="0" fontId="7" fillId="0" borderId="14" xfId="0" applyFont="1" applyBorder="1"/>
    <xf numFmtId="38" fontId="21" fillId="0" borderId="15" xfId="52" applyNumberFormat="1" applyFont="1" applyBorder="1"/>
    <xf numFmtId="38" fontId="13" fillId="0" borderId="284" xfId="52" applyNumberFormat="1" applyFont="1" applyBorder="1"/>
    <xf numFmtId="0" fontId="4" fillId="0" borderId="14" xfId="48" applyFont="1" applyBorder="1" applyAlignment="1">
      <alignment horizontal="left"/>
    </xf>
    <xf numFmtId="38" fontId="21" fillId="0" borderId="15" xfId="48" applyNumberFormat="1" applyFont="1" applyBorder="1" applyAlignment="1">
      <alignment horizontal="right"/>
    </xf>
    <xf numFmtId="0" fontId="13" fillId="0" borderId="297" xfId="0" applyFont="1" applyBorder="1"/>
    <xf numFmtId="0" fontId="4" fillId="0" borderId="282" xfId="0" applyFont="1" applyBorder="1"/>
    <xf numFmtId="0" fontId="13" fillId="0" borderId="284" xfId="0" applyFont="1" applyBorder="1"/>
    <xf numFmtId="0" fontId="9" fillId="0" borderId="298" xfId="0" applyFont="1" applyBorder="1" applyAlignment="1">
      <alignment horizontal="centerContinuous"/>
    </xf>
    <xf numFmtId="0" fontId="119" fillId="0" borderId="299" xfId="0" applyFont="1" applyBorder="1" applyAlignment="1">
      <alignment horizontal="centerContinuous"/>
    </xf>
    <xf numFmtId="0" fontId="9" fillId="0" borderId="287" xfId="48" applyFont="1" applyBorder="1" applyAlignment="1">
      <alignment horizontal="centerContinuous"/>
    </xf>
    <xf numFmtId="0" fontId="4" fillId="0" borderId="300" xfId="48" applyFont="1" applyBorder="1" applyAlignment="1">
      <alignment horizontal="centerContinuous"/>
    </xf>
    <xf numFmtId="38" fontId="130" fillId="0" borderId="15" xfId="48" applyNumberFormat="1" applyFont="1" applyBorder="1" applyAlignment="1">
      <alignment horizontal="center"/>
    </xf>
    <xf numFmtId="38" fontId="7" fillId="0" borderId="301" xfId="48" applyNumberFormat="1" applyFont="1" applyBorder="1" applyAlignment="1">
      <alignment horizontal="center" vertical="center"/>
    </xf>
    <xf numFmtId="0" fontId="4" fillId="0" borderId="15" xfId="48" applyFont="1" applyBorder="1" applyAlignment="1">
      <alignment horizontal="center"/>
    </xf>
    <xf numFmtId="0" fontId="4" fillId="0" borderId="290" xfId="0" applyFont="1" applyBorder="1"/>
    <xf numFmtId="0" fontId="4" fillId="0" borderId="302" xfId="0" applyFont="1" applyBorder="1"/>
    <xf numFmtId="0" fontId="7" fillId="30" borderId="282" xfId="48" applyFont="1" applyFill="1" applyBorder="1"/>
    <xf numFmtId="0" fontId="20" fillId="0" borderId="14" xfId="48" applyFont="1" applyBorder="1"/>
    <xf numFmtId="0" fontId="7" fillId="30" borderId="303" xfId="48" applyFont="1" applyFill="1" applyBorder="1"/>
    <xf numFmtId="3" fontId="11" fillId="24" borderId="281" xfId="30" applyNumberFormat="1" applyFont="1" applyFill="1" applyBorder="1"/>
    <xf numFmtId="0" fontId="0" fillId="0" borderId="14" xfId="0" applyBorder="1"/>
    <xf numFmtId="0" fontId="0" fillId="0" borderId="16" xfId="0" applyBorder="1"/>
    <xf numFmtId="0" fontId="0" fillId="0" borderId="17" xfId="0" applyBorder="1"/>
    <xf numFmtId="0" fontId="0" fillId="0" borderId="18" xfId="0" applyBorder="1"/>
    <xf numFmtId="0" fontId="28" fillId="27" borderId="305" xfId="48" applyFont="1" applyFill="1" applyBorder="1" applyAlignment="1">
      <alignment horizontal="center"/>
    </xf>
    <xf numFmtId="0" fontId="28" fillId="27" borderId="306" xfId="48" applyFont="1" applyFill="1" applyBorder="1" applyAlignment="1">
      <alignment horizontal="center"/>
    </xf>
    <xf numFmtId="170" fontId="21" fillId="27" borderId="220" xfId="30" applyNumberFormat="1" applyFont="1" applyFill="1" applyBorder="1" applyProtection="1"/>
    <xf numFmtId="170" fontId="21" fillId="27" borderId="307" xfId="30" applyNumberFormat="1" applyFont="1" applyFill="1" applyBorder="1" applyProtection="1"/>
    <xf numFmtId="0" fontId="12" fillId="0" borderId="12" xfId="48" applyFont="1" applyBorder="1" applyAlignment="1">
      <alignment horizontal="center"/>
    </xf>
    <xf numFmtId="0" fontId="28" fillId="0" borderId="13" xfId="0" applyFont="1" applyBorder="1" applyAlignment="1">
      <alignment horizontal="center"/>
    </xf>
    <xf numFmtId="0" fontId="28" fillId="0" borderId="13" xfId="48" applyFont="1" applyBorder="1" applyAlignment="1">
      <alignment horizontal="center"/>
    </xf>
    <xf numFmtId="38" fontId="21" fillId="0" borderId="13" xfId="48" applyNumberFormat="1" applyFont="1" applyBorder="1"/>
    <xf numFmtId="38" fontId="21" fillId="0" borderId="19" xfId="48" applyNumberFormat="1" applyFont="1" applyBorder="1"/>
    <xf numFmtId="0" fontId="7" fillId="0" borderId="12" xfId="48" applyFont="1" applyBorder="1" applyAlignment="1">
      <alignment horizontal="left"/>
    </xf>
    <xf numFmtId="0" fontId="18" fillId="0" borderId="13" xfId="48" applyFont="1" applyBorder="1" applyAlignment="1">
      <alignment horizontal="left"/>
    </xf>
    <xf numFmtId="0" fontId="12" fillId="0" borderId="13" xfId="48" applyFont="1" applyBorder="1" applyAlignment="1">
      <alignment horizontal="center"/>
    </xf>
    <xf numFmtId="38" fontId="10" fillId="0" borderId="13" xfId="48" applyNumberFormat="1" applyFont="1" applyBorder="1"/>
    <xf numFmtId="38" fontId="10" fillId="0" borderId="19" xfId="48" applyNumberFormat="1" applyFont="1" applyBorder="1"/>
    <xf numFmtId="38" fontId="12" fillId="0" borderId="29" xfId="48" applyNumberFormat="1" applyFont="1" applyBorder="1" applyAlignment="1">
      <alignment horizontal="center" vertical="center" wrapText="1"/>
    </xf>
    <xf numFmtId="10" fontId="7" fillId="0" borderId="0" xfId="0" applyNumberFormat="1" applyFont="1"/>
    <xf numFmtId="0" fontId="11" fillId="0" borderId="112" xfId="48" applyFont="1" applyBorder="1" applyAlignment="1" applyProtection="1">
      <alignment horizontal="center"/>
      <protection locked="0"/>
    </xf>
    <xf numFmtId="0" fontId="152" fillId="0" borderId="0" xfId="48" applyFont="1" applyAlignment="1" applyProtection="1">
      <alignment horizontal="left"/>
      <protection locked="0"/>
    </xf>
    <xf numFmtId="0" fontId="152" fillId="0" borderId="32" xfId="48" applyFont="1" applyBorder="1" applyAlignment="1">
      <alignment horizontal="center"/>
    </xf>
    <xf numFmtId="38" fontId="11" fillId="0" borderId="108" xfId="28" applyNumberFormat="1" applyFont="1" applyFill="1" applyBorder="1" applyProtection="1"/>
    <xf numFmtId="165" fontId="152" fillId="24" borderId="32" xfId="28" applyNumberFormat="1" applyFont="1" applyFill="1" applyBorder="1"/>
    <xf numFmtId="165" fontId="152" fillId="24" borderId="33" xfId="28" applyNumberFormat="1" applyFont="1" applyFill="1" applyBorder="1"/>
    <xf numFmtId="0" fontId="72" fillId="0" borderId="0" xfId="46" applyFont="1"/>
    <xf numFmtId="165" fontId="72" fillId="24" borderId="20" xfId="28" applyNumberFormat="1" applyFont="1" applyFill="1" applyBorder="1"/>
    <xf numFmtId="165" fontId="72" fillId="24" borderId="21" xfId="28" applyNumberFormat="1" applyFont="1" applyFill="1" applyBorder="1"/>
    <xf numFmtId="170" fontId="21" fillId="27" borderId="92" xfId="30" applyNumberFormat="1" applyFont="1" applyFill="1" applyBorder="1" applyAlignment="1" applyProtection="1">
      <alignment horizontal="right"/>
    </xf>
    <xf numFmtId="10" fontId="142" fillId="0" borderId="241" xfId="55" applyNumberFormat="1" applyFont="1" applyFill="1" applyBorder="1"/>
    <xf numFmtId="10" fontId="7" fillId="27" borderId="308" xfId="55" applyNumberFormat="1" applyFont="1" applyFill="1" applyBorder="1"/>
    <xf numFmtId="10" fontId="7" fillId="27" borderId="309" xfId="55" applyNumberFormat="1" applyFont="1" applyFill="1" applyBorder="1"/>
    <xf numFmtId="10" fontId="7" fillId="27" borderId="310" xfId="55" applyNumberFormat="1" applyFont="1" applyFill="1" applyBorder="1"/>
    <xf numFmtId="10" fontId="7" fillId="0" borderId="24" xfId="55" applyNumberFormat="1" applyFont="1" applyFill="1" applyBorder="1"/>
    <xf numFmtId="10" fontId="7" fillId="0" borderId="25" xfId="55" applyNumberFormat="1" applyFont="1" applyFill="1" applyBorder="1"/>
    <xf numFmtId="0" fontId="11" fillId="24" borderId="32" xfId="48" applyFont="1" applyFill="1" applyBorder="1" applyAlignment="1" applyProtection="1">
      <alignment horizontal="left"/>
      <protection locked="0"/>
    </xf>
    <xf numFmtId="0" fontId="21" fillId="30" borderId="124" xfId="48" applyFont="1" applyFill="1" applyBorder="1" applyAlignment="1">
      <alignment horizontal="left"/>
    </xf>
    <xf numFmtId="0" fontId="91" fillId="0" borderId="0" xfId="48" applyFont="1" applyAlignment="1">
      <alignment horizontal="left"/>
    </xf>
    <xf numFmtId="0" fontId="161" fillId="0" borderId="0" xfId="0" applyFont="1" applyAlignment="1">
      <alignment horizontal="left"/>
    </xf>
    <xf numFmtId="170" fontId="113" fillId="50" borderId="0" xfId="30" applyNumberFormat="1" applyFont="1" applyFill="1"/>
    <xf numFmtId="170" fontId="13" fillId="50" borderId="20" xfId="30" applyNumberFormat="1" applyFont="1" applyFill="1" applyBorder="1"/>
    <xf numFmtId="170" fontId="13" fillId="24" borderId="338" xfId="30" applyNumberFormat="1" applyFont="1" applyFill="1" applyBorder="1" applyAlignment="1" applyProtection="1">
      <alignment horizontal="right"/>
    </xf>
    <xf numFmtId="38" fontId="13" fillId="24" borderId="338" xfId="48" applyNumberFormat="1" applyFont="1" applyFill="1" applyBorder="1" applyAlignment="1">
      <alignment horizontal="right"/>
    </xf>
    <xf numFmtId="38" fontId="130" fillId="0" borderId="0" xfId="48" applyNumberFormat="1" applyFont="1" applyAlignment="1">
      <alignment horizontal="right"/>
    </xf>
    <xf numFmtId="8" fontId="13" fillId="24" borderId="63" xfId="48" applyNumberFormat="1" applyFont="1" applyFill="1" applyBorder="1" applyAlignment="1">
      <alignment horizontal="right"/>
    </xf>
    <xf numFmtId="0" fontId="11" fillId="51" borderId="0" xfId="48" applyFont="1" applyFill="1"/>
    <xf numFmtId="0" fontId="0" fillId="51" borderId="0" xfId="0" applyFill="1"/>
    <xf numFmtId="165" fontId="11" fillId="51" borderId="32" xfId="28" applyNumberFormat="1" applyFont="1" applyFill="1" applyBorder="1"/>
    <xf numFmtId="3" fontId="13" fillId="0" borderId="136" xfId="0" applyNumberFormat="1" applyFont="1" applyBorder="1"/>
    <xf numFmtId="0" fontId="75" fillId="51" borderId="0" xfId="0" applyFont="1" applyFill="1" applyAlignment="1">
      <alignment vertical="center"/>
    </xf>
    <xf numFmtId="2" fontId="0" fillId="0" borderId="210" xfId="0" applyNumberFormat="1" applyBorder="1" applyAlignment="1">
      <alignment vertical="center"/>
    </xf>
    <xf numFmtId="2" fontId="0" fillId="0" borderId="209" xfId="0" applyNumberFormat="1" applyBorder="1" applyAlignment="1">
      <alignment vertical="center"/>
    </xf>
    <xf numFmtId="2" fontId="164" fillId="0" borderId="210" xfId="0" applyNumberFormat="1" applyFont="1" applyBorder="1" applyAlignment="1">
      <alignment vertical="center"/>
    </xf>
    <xf numFmtId="2" fontId="164" fillId="0" borderId="209" xfId="0" applyNumberFormat="1" applyFont="1" applyBorder="1" applyAlignment="1">
      <alignment vertical="center"/>
    </xf>
    <xf numFmtId="2" fontId="0" fillId="0" borderId="0" xfId="0" applyNumberFormat="1" applyAlignment="1">
      <alignment vertical="center"/>
    </xf>
    <xf numFmtId="2" fontId="164" fillId="0" borderId="0" xfId="0" applyNumberFormat="1" applyFont="1" applyAlignment="1">
      <alignment vertical="center"/>
    </xf>
    <xf numFmtId="2" fontId="164" fillId="52" borderId="210" xfId="0" applyNumberFormat="1" applyFont="1" applyFill="1" applyBorder="1" applyAlignment="1">
      <alignment vertical="center"/>
    </xf>
    <xf numFmtId="2" fontId="164" fillId="52" borderId="209" xfId="0" applyNumberFormat="1" applyFont="1" applyFill="1" applyBorder="1" applyAlignment="1">
      <alignment vertical="center"/>
    </xf>
    <xf numFmtId="2" fontId="4" fillId="0" borderId="210" xfId="0" applyNumberFormat="1" applyFont="1" applyBorder="1" applyAlignment="1">
      <alignment vertical="center"/>
    </xf>
    <xf numFmtId="2" fontId="4" fillId="0" borderId="209" xfId="0" applyNumberFormat="1" applyFont="1" applyBorder="1" applyAlignment="1">
      <alignment vertical="center"/>
    </xf>
    <xf numFmtId="2" fontId="164" fillId="0" borderId="208" xfId="0" applyNumberFormat="1" applyFont="1" applyBorder="1" applyAlignment="1">
      <alignment vertical="center"/>
    </xf>
    <xf numFmtId="168" fontId="0" fillId="0" borderId="210" xfId="55" applyNumberFormat="1" applyFont="1" applyFill="1" applyBorder="1" applyAlignment="1">
      <alignment vertical="center"/>
    </xf>
    <xf numFmtId="168" fontId="0" fillId="24" borderId="210" xfId="55" applyNumberFormat="1" applyFont="1" applyFill="1" applyBorder="1" applyAlignment="1">
      <alignment vertical="center"/>
    </xf>
    <xf numFmtId="168" fontId="0" fillId="24" borderId="209" xfId="55" applyNumberFormat="1" applyFont="1" applyFill="1" applyBorder="1" applyAlignment="1">
      <alignment vertical="center"/>
    </xf>
    <xf numFmtId="168" fontId="164" fillId="24" borderId="210" xfId="55" applyNumberFormat="1" applyFont="1" applyFill="1" applyBorder="1" applyAlignment="1">
      <alignment vertical="center"/>
    </xf>
    <xf numFmtId="168" fontId="164" fillId="24" borderId="209" xfId="55" applyNumberFormat="1" applyFont="1" applyFill="1" applyBorder="1" applyAlignment="1">
      <alignment vertical="center"/>
    </xf>
    <xf numFmtId="168" fontId="0" fillId="0" borderId="0" xfId="55" applyNumberFormat="1" applyFont="1" applyFill="1" applyAlignment="1">
      <alignment vertical="center"/>
    </xf>
    <xf numFmtId="168" fontId="0" fillId="0" borderId="0" xfId="55" applyNumberFormat="1" applyFont="1" applyAlignment="1">
      <alignment vertical="center"/>
    </xf>
    <xf numFmtId="168" fontId="165" fillId="0" borderId="0" xfId="60" applyNumberFormat="1" applyFont="1"/>
    <xf numFmtId="168" fontId="164" fillId="0" borderId="0" xfId="55" applyNumberFormat="1" applyFont="1" applyAlignment="1">
      <alignment vertical="center"/>
    </xf>
    <xf numFmtId="0" fontId="0" fillId="0" borderId="209" xfId="0" applyBorder="1" applyAlignment="1">
      <alignment vertical="center"/>
    </xf>
    <xf numFmtId="180" fontId="6" fillId="0" borderId="210" xfId="0" applyNumberFormat="1" applyFont="1" applyBorder="1" applyAlignment="1">
      <alignment vertical="center"/>
    </xf>
    <xf numFmtId="165" fontId="0" fillId="0" borderId="208" xfId="28" applyNumberFormat="1" applyFont="1" applyBorder="1" applyAlignment="1">
      <alignment vertical="center"/>
    </xf>
    <xf numFmtId="165" fontId="0" fillId="0" borderId="209" xfId="28" applyNumberFormat="1" applyFont="1" applyBorder="1" applyAlignment="1">
      <alignment vertical="center"/>
    </xf>
    <xf numFmtId="165" fontId="0" fillId="53" borderId="208" xfId="28" applyNumberFormat="1" applyFont="1" applyFill="1" applyBorder="1" applyAlignment="1">
      <alignment vertical="center"/>
    </xf>
    <xf numFmtId="165" fontId="0" fillId="53" borderId="209" xfId="28" applyNumberFormat="1" applyFont="1" applyFill="1" applyBorder="1" applyAlignment="1">
      <alignment vertical="center"/>
    </xf>
    <xf numFmtId="181" fontId="6" fillId="0" borderId="210" xfId="55" applyNumberFormat="1" applyFont="1" applyFill="1" applyBorder="1" applyAlignment="1">
      <alignment vertical="center"/>
    </xf>
    <xf numFmtId="181" fontId="0" fillId="0" borderId="93" xfId="55" applyNumberFormat="1" applyFont="1" applyFill="1" applyBorder="1" applyAlignment="1">
      <alignment vertical="center"/>
    </xf>
    <xf numFmtId="165" fontId="0" fillId="0" borderId="339" xfId="28" applyNumberFormat="1" applyFont="1" applyFill="1" applyBorder="1" applyAlignment="1">
      <alignment vertical="center"/>
    </xf>
    <xf numFmtId="165" fontId="0" fillId="0" borderId="341" xfId="28" applyNumberFormat="1" applyFont="1" applyFill="1" applyBorder="1" applyAlignment="1">
      <alignment vertical="center"/>
    </xf>
    <xf numFmtId="165" fontId="0" fillId="0" borderId="342" xfId="28" applyNumberFormat="1" applyFont="1" applyFill="1" applyBorder="1" applyAlignment="1">
      <alignment vertical="center"/>
    </xf>
    <xf numFmtId="0" fontId="164" fillId="0" borderId="0" xfId="0" applyFont="1"/>
    <xf numFmtId="0" fontId="0" fillId="0" borderId="339" xfId="0" applyBorder="1"/>
    <xf numFmtId="0" fontId="0" fillId="0" borderId="341" xfId="0" applyBorder="1"/>
    <xf numFmtId="0" fontId="0" fillId="0" borderId="342" xfId="0" applyBorder="1"/>
    <xf numFmtId="10" fontId="13" fillId="0" borderId="136" xfId="0" applyNumberFormat="1" applyFont="1" applyBorder="1"/>
    <xf numFmtId="0" fontId="166" fillId="0" borderId="159" xfId="49" applyFont="1" applyBorder="1" applyAlignment="1">
      <alignment horizontal="center" vertical="top"/>
    </xf>
    <xf numFmtId="0" fontId="62" fillId="0" borderId="104" xfId="49" applyFont="1" applyBorder="1" applyAlignment="1">
      <alignment horizontal="center" vertical="top"/>
    </xf>
    <xf numFmtId="38" fontId="94" fillId="0" borderId="0" xfId="49" applyNumberFormat="1" applyFont="1"/>
    <xf numFmtId="0" fontId="95" fillId="0" borderId="104" xfId="49" applyFont="1" applyBorder="1" applyAlignment="1">
      <alignment horizontal="center" vertical="top"/>
    </xf>
    <xf numFmtId="6" fontId="96" fillId="0" borderId="104" xfId="49" applyNumberFormat="1" applyFont="1" applyBorder="1"/>
    <xf numFmtId="0" fontId="62" fillId="0" borderId="343" xfId="49" applyFont="1" applyBorder="1" applyAlignment="1">
      <alignment horizontal="center" vertical="top"/>
    </xf>
    <xf numFmtId="0" fontId="65" fillId="0" borderId="344" xfId="0" applyFont="1" applyBorder="1" applyAlignment="1">
      <alignment horizontal="center"/>
    </xf>
    <xf numFmtId="0" fontId="62" fillId="0" borderId="345" xfId="0" applyFont="1" applyBorder="1" applyAlignment="1">
      <alignment horizontal="center"/>
    </xf>
    <xf numFmtId="0" fontId="62" fillId="0" borderId="346" xfId="49" applyFont="1" applyBorder="1" applyAlignment="1">
      <alignment horizontal="center" vertical="top"/>
    </xf>
    <xf numFmtId="0" fontId="65" fillId="0" borderId="347" xfId="0" applyFont="1" applyBorder="1" applyAlignment="1">
      <alignment horizontal="center"/>
    </xf>
    <xf numFmtId="1" fontId="62" fillId="0" borderId="173" xfId="0" applyNumberFormat="1" applyFont="1" applyBorder="1" applyAlignment="1">
      <alignment horizontal="center"/>
    </xf>
    <xf numFmtId="49" fontId="62" fillId="0" borderId="173" xfId="0" applyNumberFormat="1" applyFont="1" applyBorder="1" applyAlignment="1">
      <alignment horizontal="center"/>
    </xf>
    <xf numFmtId="175" fontId="62" fillId="0" borderId="173" xfId="0" applyNumberFormat="1" applyFont="1" applyBorder="1" applyAlignment="1">
      <alignment horizontal="center"/>
    </xf>
    <xf numFmtId="185" fontId="63" fillId="0" borderId="173" xfId="0" applyNumberFormat="1" applyFont="1" applyBorder="1" applyAlignment="1">
      <alignment horizontal="center"/>
    </xf>
    <xf numFmtId="1" fontId="63" fillId="0" borderId="173" xfId="0" applyNumberFormat="1" applyFont="1" applyBorder="1" applyAlignment="1">
      <alignment horizontal="center"/>
    </xf>
    <xf numFmtId="6" fontId="1" fillId="0" borderId="175" xfId="49" applyNumberFormat="1" applyFont="1" applyBorder="1"/>
    <xf numFmtId="38" fontId="63" fillId="0" borderId="173" xfId="0" applyNumberFormat="1" applyFont="1" applyBorder="1" applyAlignment="1">
      <alignment horizontal="center"/>
    </xf>
    <xf numFmtId="43" fontId="63" fillId="0" borderId="173" xfId="28" applyFont="1" applyFill="1" applyBorder="1" applyAlignment="1">
      <alignment horizontal="center"/>
    </xf>
    <xf numFmtId="6" fontId="167" fillId="0" borderId="0" xfId="28" applyNumberFormat="1" applyFont="1"/>
    <xf numFmtId="10" fontId="62" fillId="0" borderId="173" xfId="55" applyNumberFormat="1" applyFont="1" applyFill="1" applyBorder="1"/>
    <xf numFmtId="6" fontId="167" fillId="0" borderId="0" xfId="62" applyNumberFormat="1" applyFont="1"/>
    <xf numFmtId="0" fontId="62" fillId="0" borderId="348" xfId="49" applyFont="1" applyBorder="1" applyAlignment="1">
      <alignment horizontal="center" vertical="top"/>
    </xf>
    <xf numFmtId="6" fontId="63" fillId="0" borderId="234" xfId="0" applyNumberFormat="1" applyFont="1" applyBorder="1"/>
    <xf numFmtId="6" fontId="63" fillId="53" borderId="173" xfId="0" applyNumberFormat="1" applyFont="1" applyFill="1" applyBorder="1"/>
    <xf numFmtId="3" fontId="63" fillId="53" borderId="173" xfId="0" applyNumberFormat="1" applyFont="1" applyFill="1" applyBorder="1"/>
    <xf numFmtId="6" fontId="63" fillId="53" borderId="173" xfId="49" applyNumberFormat="1" applyFont="1" applyFill="1" applyBorder="1"/>
    <xf numFmtId="0" fontId="168" fillId="0" borderId="32" xfId="48" applyFont="1" applyBorder="1" applyAlignment="1" applyProtection="1">
      <alignment horizontal="center"/>
      <protection locked="0"/>
    </xf>
    <xf numFmtId="0" fontId="168" fillId="0" borderId="32" xfId="48" applyFont="1" applyBorder="1" applyAlignment="1">
      <alignment horizontal="center"/>
    </xf>
    <xf numFmtId="0" fontId="168" fillId="0" borderId="0" xfId="48" applyFont="1" applyAlignment="1" applyProtection="1">
      <alignment horizontal="left"/>
      <protection locked="0"/>
    </xf>
    <xf numFmtId="170" fontId="13" fillId="51" borderId="20" xfId="30" applyNumberFormat="1" applyFont="1" applyFill="1" applyBorder="1"/>
    <xf numFmtId="170" fontId="13" fillId="51" borderId="21" xfId="30" applyNumberFormat="1" applyFont="1" applyFill="1" applyBorder="1"/>
    <xf numFmtId="165" fontId="13" fillId="51" borderId="20" xfId="28" applyNumberFormat="1" applyFont="1" applyFill="1" applyBorder="1"/>
    <xf numFmtId="165" fontId="13" fillId="51" borderId="21" xfId="28" applyNumberFormat="1" applyFont="1" applyFill="1" applyBorder="1"/>
    <xf numFmtId="0" fontId="169" fillId="0" borderId="32" xfId="48" applyFont="1" applyBorder="1" applyAlignment="1" applyProtection="1">
      <alignment horizontal="left"/>
      <protection locked="0"/>
    </xf>
    <xf numFmtId="0" fontId="169" fillId="51" borderId="32" xfId="48" applyFont="1" applyFill="1" applyBorder="1" applyAlignment="1" applyProtection="1">
      <alignment horizontal="left"/>
      <protection locked="0"/>
    </xf>
    <xf numFmtId="44" fontId="140" fillId="51" borderId="0" xfId="0" applyNumberFormat="1" applyFont="1" applyFill="1"/>
    <xf numFmtId="3" fontId="13" fillId="0" borderId="349" xfId="28" applyNumberFormat="1" applyFont="1" applyBorder="1"/>
    <xf numFmtId="165" fontId="78" fillId="51" borderId="10" xfId="28" applyNumberFormat="1" applyFont="1" applyFill="1" applyBorder="1"/>
    <xf numFmtId="0" fontId="169" fillId="0" borderId="0" xfId="0" applyFont="1"/>
    <xf numFmtId="0" fontId="82" fillId="0" borderId="138" xfId="0" applyFont="1" applyBorder="1" applyAlignment="1">
      <alignment horizontal="right" vertical="center"/>
    </xf>
    <xf numFmtId="0" fontId="1" fillId="0" borderId="0" xfId="0" quotePrefix="1" applyFont="1"/>
    <xf numFmtId="0" fontId="13" fillId="51" borderId="0" xfId="48" applyFont="1" applyFill="1" applyAlignment="1" applyProtection="1">
      <alignment horizontal="center"/>
      <protection locked="0"/>
    </xf>
    <xf numFmtId="165" fontId="124" fillId="51" borderId="0" xfId="28" applyNumberFormat="1" applyFont="1" applyFill="1" applyBorder="1"/>
    <xf numFmtId="0" fontId="33" fillId="0" borderId="0" xfId="46" applyFont="1" applyAlignment="1">
      <alignment horizontal="right"/>
    </xf>
    <xf numFmtId="0" fontId="33" fillId="0" borderId="0" xfId="46" applyFont="1"/>
    <xf numFmtId="170" fontId="1" fillId="30" borderId="120" xfId="28" applyNumberFormat="1" applyFont="1" applyFill="1" applyBorder="1"/>
    <xf numFmtId="10" fontId="115" fillId="34" borderId="230" xfId="55" applyNumberFormat="1" applyFont="1" applyFill="1" applyBorder="1" applyProtection="1"/>
    <xf numFmtId="0" fontId="6" fillId="0" borderId="0" xfId="0" quotePrefix="1" applyFont="1" applyAlignment="1">
      <alignment horizontal="left"/>
    </xf>
    <xf numFmtId="0" fontId="6" fillId="0" borderId="0" xfId="38" applyAlignment="1" applyProtection="1"/>
    <xf numFmtId="170" fontId="1" fillId="31" borderId="173" xfId="30" applyNumberFormat="1" applyFont="1" applyFill="1" applyBorder="1"/>
    <xf numFmtId="170" fontId="1" fillId="0" borderId="175" xfId="30" applyNumberFormat="1" applyFont="1" applyFill="1" applyBorder="1"/>
    <xf numFmtId="170" fontId="1" fillId="24" borderId="173" xfId="30" applyNumberFormat="1" applyFont="1" applyFill="1" applyBorder="1"/>
    <xf numFmtId="38" fontId="63" fillId="53" borderId="175" xfId="49" applyNumberFormat="1" applyFont="1" applyFill="1" applyBorder="1"/>
    <xf numFmtId="0" fontId="1" fillId="0" borderId="0" xfId="0" applyFont="1" applyAlignment="1">
      <alignment horizontal="center"/>
    </xf>
    <xf numFmtId="0" fontId="172" fillId="0" borderId="350" xfId="67" applyFont="1" applyBorder="1" applyAlignment="1">
      <alignment vertical="center"/>
    </xf>
    <xf numFmtId="165" fontId="172" fillId="0" borderId="117" xfId="28" applyNumberFormat="1" applyFont="1" applyFill="1" applyBorder="1" applyAlignment="1">
      <alignment vertical="center"/>
    </xf>
    <xf numFmtId="0" fontId="6" fillId="0" borderId="0" xfId="0" applyFont="1" applyAlignment="1">
      <alignment horizontal="left"/>
    </xf>
    <xf numFmtId="0" fontId="7" fillId="0" borderId="39" xfId="0" applyFont="1" applyBorder="1" applyAlignment="1">
      <alignment horizontal="centerContinuous"/>
    </xf>
    <xf numFmtId="0" fontId="6" fillId="0" borderId="39" xfId="0" applyFont="1" applyBorder="1" applyAlignment="1">
      <alignment horizontal="centerContinuous"/>
    </xf>
    <xf numFmtId="0" fontId="6" fillId="0" borderId="40" xfId="0" applyFont="1" applyBorder="1" applyAlignment="1">
      <alignment horizontal="centerContinuous"/>
    </xf>
    <xf numFmtId="0" fontId="6" fillId="0" borderId="0" xfId="0" applyFont="1" applyAlignment="1">
      <alignment horizontal="centerContinuous"/>
    </xf>
    <xf numFmtId="0" fontId="6" fillId="0" borderId="29" xfId="0" applyFont="1" applyBorder="1" applyAlignment="1">
      <alignment horizontal="centerContinuous"/>
    </xf>
    <xf numFmtId="0" fontId="173" fillId="0" borderId="353" xfId="38" applyFont="1" applyBorder="1" applyAlignment="1" applyProtection="1">
      <alignment horizontal="center"/>
    </xf>
    <xf numFmtId="0" fontId="7" fillId="0" borderId="354" xfId="48" applyFont="1" applyBorder="1" applyAlignment="1">
      <alignment horizontal="center"/>
    </xf>
    <xf numFmtId="0" fontId="7" fillId="0" borderId="353" xfId="48" applyFont="1" applyBorder="1" applyAlignment="1">
      <alignment horizontal="center"/>
    </xf>
    <xf numFmtId="0" fontId="7" fillId="0" borderId="353" xfId="48" applyFont="1" applyBorder="1" applyAlignment="1">
      <alignment horizontal="centerContinuous"/>
    </xf>
    <xf numFmtId="38" fontId="7" fillId="0" borderId="354" xfId="48" applyNumberFormat="1" applyFont="1" applyBorder="1" applyAlignment="1">
      <alignment horizontal="centerContinuous"/>
    </xf>
    <xf numFmtId="0" fontId="1" fillId="0" borderId="28" xfId="0" applyFont="1" applyBorder="1"/>
    <xf numFmtId="0" fontId="1" fillId="0" borderId="0" xfId="48" applyFont="1" applyAlignment="1">
      <alignment horizontal="centerContinuous"/>
    </xf>
    <xf numFmtId="0" fontId="9" fillId="0" borderId="0" xfId="48" applyFont="1" applyAlignment="1">
      <alignment horizontal="left"/>
    </xf>
    <xf numFmtId="0" fontId="1" fillId="0" borderId="29" xfId="0" applyFont="1" applyBorder="1"/>
    <xf numFmtId="0" fontId="7" fillId="34" borderId="152" xfId="0" applyFont="1" applyFill="1" applyBorder="1" applyAlignment="1">
      <alignment horizontal="center" vertical="center"/>
    </xf>
    <xf numFmtId="0" fontId="6" fillId="0" borderId="0" xfId="0" applyFont="1" applyAlignment="1">
      <alignment horizontal="left" vertical="center"/>
    </xf>
    <xf numFmtId="0" fontId="1" fillId="0" borderId="29" xfId="0" applyFont="1" applyBorder="1" applyAlignment="1">
      <alignment vertical="center"/>
    </xf>
    <xf numFmtId="165" fontId="11" fillId="53" borderId="32" xfId="28" applyNumberFormat="1" applyFont="1" applyFill="1" applyBorder="1"/>
    <xf numFmtId="0" fontId="1" fillId="0" borderId="0" xfId="48" applyFont="1"/>
    <xf numFmtId="0" fontId="1" fillId="0" borderId="0" xfId="48" applyFont="1" applyAlignment="1">
      <alignment horizontal="center"/>
    </xf>
    <xf numFmtId="38" fontId="20" fillId="0" borderId="0" xfId="48" applyNumberFormat="1" applyFont="1"/>
    <xf numFmtId="38" fontId="20" fillId="0" borderId="29" xfId="48" applyNumberFormat="1" applyFont="1" applyBorder="1"/>
    <xf numFmtId="38" fontId="1" fillId="0" borderId="0" xfId="0" applyNumberFormat="1" applyFont="1"/>
    <xf numFmtId="38" fontId="1" fillId="0" borderId="29" xfId="0" applyNumberFormat="1" applyFont="1" applyBorder="1"/>
    <xf numFmtId="170" fontId="21" fillId="30" borderId="32" xfId="28" applyNumberFormat="1" applyFont="1" applyFill="1" applyBorder="1"/>
    <xf numFmtId="170" fontId="21" fillId="30" borderId="33" xfId="28" applyNumberFormat="1" applyFont="1" applyFill="1" applyBorder="1"/>
    <xf numFmtId="38" fontId="1" fillId="0" borderId="0" xfId="48" applyNumberFormat="1" applyFont="1"/>
    <xf numFmtId="38" fontId="1" fillId="0" borderId="29" xfId="48" applyNumberFormat="1" applyFont="1" applyBorder="1"/>
    <xf numFmtId="0" fontId="21" fillId="0" borderId="0" xfId="48" applyFont="1"/>
    <xf numFmtId="0" fontId="1" fillId="0" borderId="28" xfId="48" applyFont="1" applyBorder="1" applyAlignment="1">
      <alignment horizontal="center"/>
    </xf>
    <xf numFmtId="38" fontId="11" fillId="53" borderId="32" xfId="28" applyNumberFormat="1" applyFont="1" applyFill="1" applyBorder="1" applyProtection="1"/>
    <xf numFmtId="38" fontId="1" fillId="0" borderId="15" xfId="0" applyNumberFormat="1" applyFont="1" applyBorder="1" applyAlignment="1">
      <alignment horizontal="right"/>
    </xf>
    <xf numFmtId="38" fontId="1" fillId="0" borderId="3" xfId="48" applyNumberFormat="1" applyFont="1" applyBorder="1"/>
    <xf numFmtId="38" fontId="1" fillId="0" borderId="31" xfId="0" applyNumberFormat="1" applyFont="1" applyBorder="1" applyAlignment="1">
      <alignment horizontal="right"/>
    </xf>
    <xf numFmtId="38" fontId="1" fillId="0" borderId="29" xfId="0" applyNumberFormat="1" applyFont="1" applyBorder="1" applyAlignment="1">
      <alignment horizontal="right"/>
    </xf>
    <xf numFmtId="38" fontId="1" fillId="0" borderId="31" xfId="48" applyNumberFormat="1" applyFont="1" applyBorder="1"/>
    <xf numFmtId="38" fontId="1" fillId="0" borderId="0" xfId="48" applyNumberFormat="1" applyFont="1" applyAlignment="1">
      <alignment horizontal="left"/>
    </xf>
    <xf numFmtId="38" fontId="1" fillId="0" borderId="29" xfId="48" applyNumberFormat="1" applyFont="1" applyBorder="1" applyAlignment="1">
      <alignment horizontal="left"/>
    </xf>
    <xf numFmtId="0" fontId="1" fillId="0" borderId="0" xfId="0" applyFont="1" applyAlignment="1">
      <alignment vertical="center" wrapText="1"/>
    </xf>
    <xf numFmtId="165" fontId="1" fillId="0" borderId="0" xfId="28" applyNumberFormat="1" applyFont="1" applyFill="1" applyBorder="1"/>
    <xf numFmtId="38" fontId="1" fillId="0" borderId="0" xfId="48" applyNumberFormat="1" applyFont="1" applyAlignment="1">
      <alignment horizontal="centerContinuous"/>
    </xf>
    <xf numFmtId="0" fontId="1" fillId="0" borderId="0" xfId="52" applyFont="1" applyAlignment="1">
      <alignment horizontal="center"/>
    </xf>
    <xf numFmtId="0" fontId="1" fillId="0" borderId="0" xfId="52" quotePrefix="1" applyFont="1" applyAlignment="1">
      <alignment horizontal="center"/>
    </xf>
    <xf numFmtId="0" fontId="1" fillId="0" borderId="0" xfId="48" applyFont="1" applyAlignment="1" applyProtection="1">
      <alignment horizontal="center"/>
      <protection locked="0"/>
    </xf>
    <xf numFmtId="0" fontId="1" fillId="0" borderId="28" xfId="48" applyFont="1" applyBorder="1" applyAlignment="1">
      <alignment horizontal="left"/>
    </xf>
    <xf numFmtId="0" fontId="1" fillId="0" borderId="30" xfId="0" applyFont="1" applyBorder="1"/>
    <xf numFmtId="0" fontId="1" fillId="0" borderId="3" xfId="0" applyFont="1" applyBorder="1"/>
    <xf numFmtId="0" fontId="1" fillId="0" borderId="82" xfId="48" applyFont="1" applyBorder="1" applyAlignment="1">
      <alignment horizontal="centerContinuous"/>
    </xf>
    <xf numFmtId="0" fontId="1" fillId="0" borderId="82" xfId="0" applyFont="1" applyBorder="1"/>
    <xf numFmtId="0" fontId="1" fillId="0" borderId="73" xfId="48" applyFont="1" applyBorder="1" applyAlignment="1">
      <alignment horizontal="centerContinuous"/>
    </xf>
    <xf numFmtId="0" fontId="1" fillId="0" borderId="104" xfId="0" applyFont="1" applyBorder="1"/>
    <xf numFmtId="170" fontId="13" fillId="30" borderId="62" xfId="48" applyNumberFormat="1" applyFont="1" applyFill="1" applyBorder="1" applyAlignment="1">
      <alignment horizontal="right"/>
    </xf>
    <xf numFmtId="170" fontId="7" fillId="30" borderId="62" xfId="48" applyNumberFormat="1" applyFont="1" applyFill="1" applyBorder="1" applyAlignment="1">
      <alignment horizontal="right"/>
    </xf>
    <xf numFmtId="38" fontId="1" fillId="0" borderId="0" xfId="48" applyNumberFormat="1" applyFont="1" applyAlignment="1">
      <alignment horizontal="center"/>
    </xf>
    <xf numFmtId="0" fontId="1" fillId="0" borderId="65" xfId="48" applyFont="1" applyBorder="1" applyAlignment="1">
      <alignment horizontal="center"/>
    </xf>
    <xf numFmtId="0" fontId="1" fillId="0" borderId="65" xfId="0" applyFont="1" applyBorder="1"/>
    <xf numFmtId="0" fontId="1" fillId="0" borderId="74" xfId="0" applyFont="1" applyBorder="1"/>
    <xf numFmtId="0" fontId="1" fillId="0" borderId="41" xfId="0" applyFont="1" applyBorder="1"/>
    <xf numFmtId="0" fontId="1" fillId="0" borderId="75" xfId="0" applyFont="1" applyBorder="1"/>
    <xf numFmtId="0" fontId="7" fillId="54" borderId="121" xfId="48" applyFont="1" applyFill="1" applyBorder="1"/>
    <xf numFmtId="6" fontId="13" fillId="24" borderId="36" xfId="48" applyNumberFormat="1" applyFont="1" applyFill="1" applyBorder="1" applyAlignment="1">
      <alignment horizontal="right"/>
    </xf>
    <xf numFmtId="165" fontId="13" fillId="24" borderId="36" xfId="28" applyNumberFormat="1" applyFont="1" applyFill="1" applyBorder="1" applyAlignment="1" applyProtection="1">
      <alignment horizontal="right"/>
    </xf>
    <xf numFmtId="165" fontId="13" fillId="24" borderId="35" xfId="28" applyNumberFormat="1" applyFont="1" applyFill="1" applyBorder="1" applyAlignment="1" applyProtection="1">
      <alignment horizontal="right"/>
    </xf>
    <xf numFmtId="0" fontId="6" fillId="0" borderId="0" xfId="48" applyFont="1" applyAlignment="1">
      <alignment horizontal="center"/>
    </xf>
    <xf numFmtId="0" fontId="1" fillId="0" borderId="241" xfId="48" applyFont="1" applyBorder="1" applyAlignment="1">
      <alignment horizontal="center"/>
    </xf>
    <xf numFmtId="165" fontId="7" fillId="30" borderId="62" xfId="28" applyNumberFormat="1" applyFont="1" applyFill="1" applyBorder="1" applyAlignment="1" applyProtection="1">
      <alignment horizontal="right"/>
    </xf>
    <xf numFmtId="43" fontId="7" fillId="0" borderId="0" xfId="28" applyFont="1" applyFill="1" applyBorder="1" applyAlignment="1" applyProtection="1">
      <alignment horizontal="right"/>
    </xf>
    <xf numFmtId="0" fontId="33" fillId="54" borderId="121" xfId="48" applyFont="1" applyFill="1" applyBorder="1"/>
    <xf numFmtId="43" fontId="7" fillId="30" borderId="62" xfId="28" applyFont="1" applyFill="1" applyBorder="1" applyAlignment="1" applyProtection="1">
      <alignment horizontal="right"/>
    </xf>
    <xf numFmtId="0" fontId="6" fillId="0" borderId="0" xfId="51" applyFont="1"/>
    <xf numFmtId="0" fontId="6" fillId="0" borderId="0" xfId="46" applyFont="1"/>
    <xf numFmtId="0" fontId="1" fillId="0" borderId="0" xfId="46" applyFont="1"/>
    <xf numFmtId="0" fontId="115" fillId="0" borderId="0" xfId="46" applyFont="1"/>
    <xf numFmtId="170" fontId="1" fillId="0" borderId="0" xfId="30" applyNumberFormat="1" applyFont="1"/>
    <xf numFmtId="0" fontId="13" fillId="30" borderId="112" xfId="48" applyFont="1" applyFill="1" applyBorder="1" applyAlignment="1">
      <alignment horizontal="center"/>
    </xf>
    <xf numFmtId="0" fontId="13" fillId="30" borderId="110" xfId="48" applyFont="1" applyFill="1" applyBorder="1" applyAlignment="1">
      <alignment horizontal="center"/>
    </xf>
    <xf numFmtId="170" fontId="7" fillId="30" borderId="32" xfId="30" applyNumberFormat="1" applyFont="1" applyFill="1" applyBorder="1" applyAlignment="1" applyProtection="1">
      <alignment horizontal="right"/>
    </xf>
    <xf numFmtId="9" fontId="7" fillId="30" borderId="32" xfId="55" applyFont="1" applyFill="1" applyBorder="1" applyAlignment="1" applyProtection="1">
      <alignment horizontal="right"/>
    </xf>
    <xf numFmtId="170" fontId="1" fillId="0" borderId="0" xfId="30" applyNumberFormat="1" applyFont="1" applyFill="1"/>
    <xf numFmtId="170" fontId="1" fillId="0" borderId="0" xfId="30" applyNumberFormat="1" applyFont="1" applyFill="1" applyBorder="1"/>
    <xf numFmtId="0" fontId="7" fillId="0" borderId="12" xfId="46" applyFont="1" applyBorder="1" applyAlignment="1">
      <alignment horizontal="center"/>
    </xf>
    <xf numFmtId="0" fontId="13" fillId="0" borderId="13" xfId="46" applyFont="1" applyBorder="1"/>
    <xf numFmtId="10" fontId="7" fillId="30" borderId="125" xfId="55" applyNumberFormat="1" applyFont="1" applyFill="1" applyBorder="1"/>
    <xf numFmtId="10" fontId="7" fillId="30" borderId="126" xfId="55" applyNumberFormat="1" applyFont="1" applyFill="1" applyBorder="1"/>
    <xf numFmtId="10" fontId="7" fillId="30" borderId="355" xfId="55" applyNumberFormat="1" applyFont="1" applyFill="1" applyBorder="1"/>
    <xf numFmtId="9" fontId="1" fillId="0" borderId="0" xfId="55" applyFont="1" applyFill="1" applyBorder="1"/>
    <xf numFmtId="49" fontId="13" fillId="0" borderId="32" xfId="48" applyNumberFormat="1" applyFont="1" applyBorder="1" applyAlignment="1" applyProtection="1">
      <alignment horizontal="center"/>
      <protection locked="0"/>
    </xf>
    <xf numFmtId="0" fontId="28" fillId="0" borderId="112" xfId="48" applyFont="1" applyBorder="1" applyAlignment="1">
      <alignment horizontal="center"/>
    </xf>
    <xf numFmtId="0" fontId="28" fillId="0" borderId="304" xfId="48" applyFont="1" applyBorder="1" applyAlignment="1">
      <alignment horizontal="center"/>
    </xf>
    <xf numFmtId="0" fontId="7" fillId="0" borderId="109" xfId="48" applyFont="1" applyBorder="1" applyAlignment="1">
      <alignment horizontal="center"/>
    </xf>
    <xf numFmtId="0" fontId="0" fillId="0" borderId="0" xfId="0" applyAlignment="1">
      <alignment horizontal="right"/>
    </xf>
    <xf numFmtId="44" fontId="140" fillId="51" borderId="0" xfId="0" applyNumberFormat="1" applyFont="1" applyFill="1" applyProtection="1">
      <protection locked="0"/>
    </xf>
    <xf numFmtId="165" fontId="11" fillId="24" borderId="32" xfId="28" applyNumberFormat="1" applyFont="1" applyFill="1" applyBorder="1" applyProtection="1"/>
    <xf numFmtId="165" fontId="11" fillId="24" borderId="281" xfId="28" applyNumberFormat="1" applyFont="1" applyFill="1" applyBorder="1" applyProtection="1"/>
    <xf numFmtId="42" fontId="21" fillId="27" borderId="32" xfId="30" applyNumberFormat="1" applyFont="1" applyFill="1" applyBorder="1" applyProtection="1"/>
    <xf numFmtId="42" fontId="21" fillId="27" borderId="281" xfId="30" applyNumberFormat="1" applyFont="1" applyFill="1" applyBorder="1" applyProtection="1"/>
    <xf numFmtId="44" fontId="21" fillId="27" borderId="32" xfId="30" applyFont="1" applyFill="1" applyBorder="1" applyProtection="1"/>
    <xf numFmtId="44" fontId="21" fillId="27" borderId="281" xfId="30" applyFont="1" applyFill="1" applyBorder="1" applyProtection="1"/>
    <xf numFmtId="38" fontId="11" fillId="0" borderId="15" xfId="28" applyNumberFormat="1" applyFont="1" applyFill="1" applyBorder="1" applyProtection="1"/>
    <xf numFmtId="170" fontId="21" fillId="27" borderId="133" xfId="30" applyNumberFormat="1" applyFont="1" applyFill="1" applyBorder="1" applyProtection="1"/>
    <xf numFmtId="170" fontId="21" fillId="27" borderId="283" xfId="30" applyNumberFormat="1" applyFont="1" applyFill="1" applyBorder="1" applyProtection="1"/>
    <xf numFmtId="165" fontId="11" fillId="43" borderId="32" xfId="28" applyNumberFormat="1" applyFont="1" applyFill="1" applyBorder="1" applyProtection="1"/>
    <xf numFmtId="165" fontId="11" fillId="43" borderId="274" xfId="28" applyNumberFormat="1" applyFont="1" applyFill="1" applyBorder="1" applyProtection="1"/>
    <xf numFmtId="165" fontId="11" fillId="43" borderId="123" xfId="28" applyNumberFormat="1" applyFont="1" applyFill="1" applyBorder="1" applyProtection="1"/>
    <xf numFmtId="165" fontId="11" fillId="0" borderId="0" xfId="28" applyNumberFormat="1" applyFont="1" applyFill="1" applyBorder="1" applyProtection="1"/>
    <xf numFmtId="165" fontId="11" fillId="0" borderId="15" xfId="28" applyNumberFormat="1" applyFont="1" applyFill="1" applyBorder="1" applyProtection="1"/>
    <xf numFmtId="38" fontId="11" fillId="0" borderId="0" xfId="28" applyNumberFormat="1" applyFont="1" applyFill="1" applyBorder="1" applyAlignment="1" applyProtection="1">
      <alignment horizontal="right"/>
    </xf>
    <xf numFmtId="38" fontId="11" fillId="0" borderId="15" xfId="28" applyNumberFormat="1" applyFont="1" applyFill="1" applyBorder="1" applyAlignment="1" applyProtection="1">
      <alignment horizontal="right"/>
    </xf>
    <xf numFmtId="0" fontId="16" fillId="0" borderId="0" xfId="48" applyFont="1" applyAlignment="1" applyProtection="1">
      <alignment horizontal="left"/>
      <protection locked="0"/>
    </xf>
    <xf numFmtId="0" fontId="4" fillId="0" borderId="0" xfId="0" applyFont="1" applyProtection="1">
      <protection locked="0"/>
    </xf>
    <xf numFmtId="165" fontId="11" fillId="24" borderId="32" xfId="28" applyNumberFormat="1" applyFont="1" applyFill="1" applyBorder="1" applyProtection="1">
      <protection locked="0"/>
    </xf>
    <xf numFmtId="164" fontId="16" fillId="0" borderId="0" xfId="48" applyNumberFormat="1" applyFont="1" applyAlignment="1" applyProtection="1">
      <alignment horizontal="left"/>
      <protection locked="0"/>
    </xf>
    <xf numFmtId="0" fontId="5" fillId="0" borderId="0" xfId="48" applyFont="1" applyProtection="1">
      <protection locked="0"/>
    </xf>
    <xf numFmtId="164" fontId="10" fillId="0" borderId="0" xfId="0" applyNumberFormat="1" applyFont="1" applyProtection="1">
      <protection locked="0"/>
    </xf>
    <xf numFmtId="164" fontId="10" fillId="0" borderId="0" xfId="0" applyNumberFormat="1" applyFont="1" applyAlignment="1" applyProtection="1">
      <alignment horizontal="left"/>
      <protection locked="0"/>
    </xf>
    <xf numFmtId="164" fontId="12" fillId="0" borderId="0" xfId="0" applyNumberFormat="1" applyFont="1" applyProtection="1">
      <protection locked="0"/>
    </xf>
    <xf numFmtId="0" fontId="0" fillId="0" borderId="0" xfId="0" applyProtection="1">
      <protection locked="0"/>
    </xf>
    <xf numFmtId="164" fontId="16" fillId="0" borderId="0" xfId="48" applyNumberFormat="1" applyFont="1" applyAlignment="1" applyProtection="1">
      <alignment horizontal="center"/>
      <protection locked="0"/>
    </xf>
    <xf numFmtId="0" fontId="62" fillId="0" borderId="0" xfId="0" applyFont="1" applyProtection="1">
      <protection locked="0"/>
    </xf>
    <xf numFmtId="164" fontId="16" fillId="0" borderId="0" xfId="48" applyNumberFormat="1" applyFont="1" applyAlignment="1" applyProtection="1">
      <alignment horizontal="right"/>
      <protection locked="0"/>
    </xf>
    <xf numFmtId="164" fontId="10" fillId="0" borderId="0" xfId="48" applyNumberFormat="1" applyFont="1" applyAlignment="1" applyProtection="1">
      <alignment horizontal="right"/>
      <protection locked="0"/>
    </xf>
    <xf numFmtId="3" fontId="19" fillId="0" borderId="0" xfId="48" applyNumberFormat="1" applyFont="1" applyProtection="1">
      <protection locked="0"/>
    </xf>
    <xf numFmtId="164" fontId="16" fillId="0" borderId="0" xfId="0" applyNumberFormat="1" applyFont="1" applyAlignment="1" applyProtection="1">
      <alignment horizontal="right"/>
      <protection locked="0"/>
    </xf>
    <xf numFmtId="0" fontId="4" fillId="0" borderId="0" xfId="0" applyFont="1" applyAlignment="1" applyProtection="1">
      <alignment horizontal="right"/>
      <protection locked="0"/>
    </xf>
    <xf numFmtId="9" fontId="16" fillId="0" borderId="0" xfId="55" applyFont="1" applyFill="1" applyBorder="1" applyAlignment="1" applyProtection="1">
      <alignment horizontal="right"/>
      <protection locked="0"/>
    </xf>
    <xf numFmtId="10" fontId="16" fillId="0" borderId="0" xfId="55" applyNumberFormat="1" applyFont="1" applyFill="1" applyBorder="1" applyAlignment="1" applyProtection="1">
      <alignment horizontal="right"/>
      <protection locked="0"/>
    </xf>
    <xf numFmtId="0" fontId="10" fillId="0" borderId="0" xfId="48" applyFont="1" applyProtection="1">
      <protection locked="0"/>
    </xf>
    <xf numFmtId="3" fontId="16" fillId="0" borderId="0" xfId="48" applyNumberFormat="1" applyFont="1" applyAlignment="1" applyProtection="1">
      <alignment horizontal="left"/>
      <protection locked="0"/>
    </xf>
    <xf numFmtId="0" fontId="16" fillId="0" borderId="0" xfId="48" applyFont="1" applyAlignment="1" applyProtection="1">
      <alignment horizontal="center"/>
      <protection locked="0"/>
    </xf>
    <xf numFmtId="0" fontId="10" fillId="0" borderId="0" xfId="48" applyFont="1" applyAlignment="1" applyProtection="1">
      <alignment horizontal="left"/>
      <protection locked="0"/>
    </xf>
    <xf numFmtId="3" fontId="16" fillId="0" borderId="0" xfId="48" applyNumberFormat="1" applyFont="1" applyAlignment="1" applyProtection="1">
      <alignment horizontal="center"/>
      <protection locked="0"/>
    </xf>
    <xf numFmtId="0" fontId="5" fillId="0" borderId="0" xfId="48" applyFont="1" applyAlignment="1" applyProtection="1">
      <alignment horizontal="left"/>
      <protection locked="0"/>
    </xf>
    <xf numFmtId="0" fontId="15" fillId="0" borderId="0" xfId="48" applyFont="1" applyAlignment="1" applyProtection="1">
      <alignment horizontal="left"/>
      <protection locked="0"/>
    </xf>
    <xf numFmtId="0" fontId="10" fillId="0" borderId="0" xfId="0" applyFont="1" applyProtection="1">
      <protection locked="0"/>
    </xf>
    <xf numFmtId="42" fontId="21" fillId="27" borderId="32" xfId="30" applyNumberFormat="1" applyFont="1" applyFill="1" applyBorder="1" applyProtection="1">
      <protection locked="0"/>
    </xf>
    <xf numFmtId="170" fontId="21" fillId="27" borderId="32" xfId="30" applyNumberFormat="1" applyFont="1" applyFill="1" applyBorder="1" applyProtection="1">
      <protection locked="0"/>
    </xf>
    <xf numFmtId="38" fontId="11" fillId="0" borderId="0" xfId="0" applyNumberFormat="1" applyFont="1" applyProtection="1">
      <protection locked="0"/>
    </xf>
    <xf numFmtId="38" fontId="11" fillId="24" borderId="32" xfId="28" applyNumberFormat="1" applyFont="1" applyFill="1" applyBorder="1" applyProtection="1">
      <protection locked="0"/>
    </xf>
    <xf numFmtId="38" fontId="11" fillId="0" borderId="0" xfId="48" applyNumberFormat="1" applyFont="1" applyAlignment="1" applyProtection="1">
      <alignment horizontal="right"/>
      <protection locked="0"/>
    </xf>
    <xf numFmtId="170" fontId="21" fillId="27" borderId="133" xfId="30" applyNumberFormat="1" applyFont="1" applyFill="1" applyBorder="1" applyProtection="1">
      <protection locked="0"/>
    </xf>
    <xf numFmtId="38" fontId="11" fillId="0" borderId="3" xfId="48" applyNumberFormat="1" applyFont="1" applyBorder="1" applyProtection="1">
      <protection locked="0"/>
    </xf>
    <xf numFmtId="165" fontId="11" fillId="43" borderId="32" xfId="28" applyNumberFormat="1" applyFont="1" applyFill="1" applyBorder="1" applyProtection="1">
      <protection locked="0"/>
    </xf>
    <xf numFmtId="170" fontId="21" fillId="27" borderId="220" xfId="30" applyNumberFormat="1" applyFont="1" applyFill="1" applyBorder="1" applyProtection="1">
      <protection locked="0"/>
    </xf>
    <xf numFmtId="38" fontId="21" fillId="0" borderId="13" xfId="48" applyNumberFormat="1" applyFont="1" applyBorder="1" applyProtection="1">
      <protection locked="0"/>
    </xf>
    <xf numFmtId="38" fontId="11" fillId="0" borderId="3" xfId="28" applyNumberFormat="1" applyFont="1" applyFill="1" applyBorder="1" applyAlignment="1" applyProtection="1">
      <alignment horizontal="right"/>
      <protection locked="0"/>
    </xf>
    <xf numFmtId="38" fontId="11" fillId="0" borderId="108" xfId="28" applyNumberFormat="1" applyFont="1" applyFill="1" applyBorder="1" applyProtection="1">
      <protection locked="0"/>
    </xf>
    <xf numFmtId="170" fontId="21" fillId="27" borderId="116" xfId="48" applyNumberFormat="1" applyFont="1" applyFill="1" applyBorder="1" applyProtection="1">
      <protection locked="0"/>
    </xf>
    <xf numFmtId="38" fontId="12" fillId="0" borderId="0" xfId="48" applyNumberFormat="1" applyFont="1" applyProtection="1">
      <protection locked="0"/>
    </xf>
    <xf numFmtId="38" fontId="12" fillId="0" borderId="3" xfId="48" applyNumberFormat="1" applyFont="1" applyBorder="1" applyProtection="1">
      <protection locked="0"/>
    </xf>
    <xf numFmtId="3" fontId="11" fillId="0" borderId="0" xfId="0" applyNumberFormat="1" applyFont="1" applyProtection="1">
      <protection locked="0"/>
    </xf>
    <xf numFmtId="165" fontId="11" fillId="31" borderId="32" xfId="28" applyNumberFormat="1" applyFont="1" applyFill="1" applyBorder="1" applyProtection="1">
      <protection locked="0"/>
    </xf>
    <xf numFmtId="170" fontId="21" fillId="27" borderId="86" xfId="30" applyNumberFormat="1" applyFont="1" applyFill="1" applyBorder="1" applyProtection="1">
      <protection locked="0"/>
    </xf>
    <xf numFmtId="170" fontId="21" fillId="30" borderId="32" xfId="30" applyNumberFormat="1" applyFont="1" applyFill="1" applyBorder="1" applyProtection="1">
      <protection locked="0"/>
    </xf>
    <xf numFmtId="3" fontId="11" fillId="0" borderId="3" xfId="48" applyNumberFormat="1" applyFont="1" applyBorder="1" applyAlignment="1" applyProtection="1">
      <alignment horizontal="right"/>
      <protection locked="0"/>
    </xf>
    <xf numFmtId="3" fontId="11" fillId="0" borderId="0" xfId="48" applyNumberFormat="1" applyFont="1" applyAlignment="1" applyProtection="1">
      <alignment horizontal="left"/>
      <protection locked="0"/>
    </xf>
    <xf numFmtId="3" fontId="11" fillId="0" borderId="0" xfId="0" applyNumberFormat="1" applyFont="1" applyAlignment="1" applyProtection="1">
      <alignment vertical="center"/>
      <protection locked="0"/>
    </xf>
    <xf numFmtId="3" fontId="11" fillId="0" borderId="108" xfId="48" applyNumberFormat="1" applyFont="1" applyBorder="1" applyProtection="1">
      <protection locked="0"/>
    </xf>
    <xf numFmtId="0" fontId="11" fillId="0" borderId="0" xfId="0" applyFont="1" applyProtection="1">
      <protection locked="0"/>
    </xf>
    <xf numFmtId="38" fontId="23" fillId="0" borderId="3" xfId="48" applyNumberFormat="1" applyFont="1" applyBorder="1" applyAlignment="1" applyProtection="1">
      <alignment horizontal="right"/>
      <protection locked="0"/>
    </xf>
    <xf numFmtId="0" fontId="23" fillId="0" borderId="0" xfId="0" applyFont="1" applyProtection="1">
      <protection locked="0"/>
    </xf>
    <xf numFmtId="0" fontId="156" fillId="0" borderId="0" xfId="38" applyFont="1" applyBorder="1" applyAlignment="1" applyProtection="1">
      <alignment horizontal="center"/>
      <protection locked="0"/>
    </xf>
    <xf numFmtId="0" fontId="7" fillId="0" borderId="0" xfId="0" applyFont="1" applyProtection="1">
      <protection locked="0"/>
    </xf>
    <xf numFmtId="165" fontId="152" fillId="24" borderId="32" xfId="28" applyNumberFormat="1" applyFont="1" applyFill="1" applyBorder="1" applyProtection="1">
      <protection locked="0"/>
    </xf>
    <xf numFmtId="0" fontId="28" fillId="27" borderId="32" xfId="48" applyFont="1" applyFill="1" applyBorder="1" applyAlignment="1" applyProtection="1">
      <alignment horizontal="center"/>
      <protection locked="0"/>
    </xf>
    <xf numFmtId="0" fontId="59" fillId="0" borderId="32" xfId="48" applyFont="1" applyBorder="1" applyAlignment="1" applyProtection="1">
      <alignment horizontal="center"/>
      <protection locked="0"/>
    </xf>
    <xf numFmtId="0" fontId="28" fillId="27" borderId="86" xfId="48" applyFont="1" applyFill="1" applyBorder="1" applyAlignment="1" applyProtection="1">
      <alignment horizontal="center"/>
      <protection locked="0"/>
    </xf>
    <xf numFmtId="0" fontId="13" fillId="0" borderId="0" xfId="0" applyFont="1" applyAlignment="1" applyProtection="1">
      <alignment vertical="center" wrapText="1"/>
      <protection locked="0"/>
    </xf>
    <xf numFmtId="165" fontId="5" fillId="0" borderId="0" xfId="28" applyNumberFormat="1" applyFont="1" applyFill="1" applyBorder="1" applyProtection="1">
      <protection locked="0"/>
    </xf>
    <xf numFmtId="170" fontId="28" fillId="27" borderId="32" xfId="30" applyNumberFormat="1" applyFont="1" applyFill="1" applyBorder="1" applyAlignment="1" applyProtection="1">
      <alignment horizontal="center"/>
      <protection locked="0"/>
    </xf>
    <xf numFmtId="0" fontId="13" fillId="0" borderId="0" xfId="0" applyFont="1" applyProtection="1">
      <protection locked="0"/>
    </xf>
    <xf numFmtId="38" fontId="11" fillId="0" borderId="0" xfId="52" applyNumberFormat="1" applyFont="1" applyProtection="1">
      <protection locked="0"/>
    </xf>
    <xf numFmtId="6" fontId="11" fillId="0" borderId="0" xfId="52" applyNumberFormat="1" applyFont="1" applyProtection="1">
      <protection locked="0"/>
    </xf>
    <xf numFmtId="0" fontId="13" fillId="27" borderId="101" xfId="48" applyFont="1" applyFill="1" applyBorder="1" applyAlignment="1" applyProtection="1">
      <alignment horizontal="center"/>
      <protection locked="0"/>
    </xf>
    <xf numFmtId="0" fontId="13" fillId="27" borderId="119" xfId="48" applyFont="1" applyFill="1" applyBorder="1" applyAlignment="1" applyProtection="1">
      <alignment horizontal="center"/>
      <protection locked="0"/>
    </xf>
    <xf numFmtId="170" fontId="21" fillId="27" borderId="20" xfId="30" applyNumberFormat="1" applyFont="1" applyFill="1" applyBorder="1" applyProtection="1">
      <protection locked="0"/>
    </xf>
    <xf numFmtId="165" fontId="11" fillId="31" borderId="20" xfId="28" applyNumberFormat="1" applyFont="1" applyFill="1" applyBorder="1" applyProtection="1">
      <protection locked="0"/>
    </xf>
    <xf numFmtId="170" fontId="21" fillId="27" borderId="120" xfId="30" applyNumberFormat="1" applyFont="1" applyFill="1" applyBorder="1" applyProtection="1">
      <protection locked="0"/>
    </xf>
    <xf numFmtId="0" fontId="5" fillId="0" borderId="0" xfId="0" applyFont="1" applyProtection="1">
      <protection locked="0"/>
    </xf>
    <xf numFmtId="38" fontId="4" fillId="0" borderId="29" xfId="0" applyNumberFormat="1" applyFont="1" applyBorder="1" applyProtection="1">
      <protection locked="0"/>
    </xf>
    <xf numFmtId="0" fontId="11" fillId="0" borderId="64" xfId="48" applyFont="1" applyBorder="1" applyAlignment="1" applyProtection="1">
      <alignment horizontal="center" vertical="center"/>
      <protection locked="0"/>
    </xf>
    <xf numFmtId="10" fontId="13" fillId="24" borderId="63" xfId="48" applyNumberFormat="1" applyFont="1" applyFill="1" applyBorder="1" applyAlignment="1" applyProtection="1">
      <alignment horizontal="right"/>
      <protection locked="0"/>
    </xf>
    <xf numFmtId="165" fontId="13" fillId="24" borderId="63" xfId="28" applyNumberFormat="1" applyFont="1" applyFill="1" applyBorder="1" applyAlignment="1" applyProtection="1">
      <alignment horizontal="right"/>
      <protection locked="0"/>
    </xf>
    <xf numFmtId="177" fontId="4" fillId="0" borderId="29" xfId="0" applyNumberFormat="1" applyFont="1" applyBorder="1" applyProtection="1">
      <protection locked="0"/>
    </xf>
    <xf numFmtId="38" fontId="13" fillId="24" borderId="36" xfId="48" applyNumberFormat="1" applyFont="1" applyFill="1" applyBorder="1" applyAlignment="1" applyProtection="1">
      <alignment horizontal="right"/>
      <protection locked="0"/>
    </xf>
    <xf numFmtId="0" fontId="155" fillId="0" borderId="14" xfId="38" applyFont="1" applyBorder="1" applyAlignment="1" applyProtection="1">
      <alignment horizontal="center"/>
      <protection locked="0"/>
    </xf>
    <xf numFmtId="0" fontId="146" fillId="0" borderId="0" xfId="48" applyFont="1" applyAlignment="1" applyProtection="1">
      <alignment horizontal="center"/>
      <protection locked="0"/>
    </xf>
    <xf numFmtId="0" fontId="71" fillId="0" borderId="0" xfId="48" applyFont="1" applyAlignment="1" applyProtection="1">
      <alignment horizontal="right"/>
      <protection locked="0"/>
    </xf>
    <xf numFmtId="0" fontId="7" fillId="27" borderId="244" xfId="48" applyFont="1" applyFill="1" applyBorder="1" applyAlignment="1" applyProtection="1">
      <alignment horizontal="center"/>
      <protection locked="0"/>
    </xf>
    <xf numFmtId="0" fontId="7" fillId="0" borderId="15" xfId="48" applyFont="1" applyBorder="1" applyAlignment="1" applyProtection="1">
      <alignment horizontal="center"/>
      <protection locked="0"/>
    </xf>
    <xf numFmtId="0" fontId="143" fillId="26" borderId="14" xfId="38" applyFont="1" applyFill="1" applyBorder="1" applyAlignment="1" applyProtection="1">
      <alignment horizontal="center"/>
      <protection locked="0"/>
    </xf>
    <xf numFmtId="0" fontId="147" fillId="0" borderId="0" xfId="48" applyFont="1" applyAlignment="1" applyProtection="1">
      <alignment horizontal="center"/>
      <protection locked="0"/>
    </xf>
    <xf numFmtId="0" fontId="59" fillId="0" borderId="0" xfId="48" applyFont="1" applyAlignment="1" applyProtection="1">
      <alignment horizontal="left"/>
      <protection locked="0"/>
    </xf>
    <xf numFmtId="14" fontId="7" fillId="27" borderId="245" xfId="48" quotePrefix="1" applyNumberFormat="1" applyFont="1" applyFill="1" applyBorder="1" applyAlignment="1" applyProtection="1">
      <alignment horizontal="center"/>
      <protection locked="0"/>
    </xf>
    <xf numFmtId="0" fontId="7" fillId="0" borderId="14" xfId="48" applyFont="1" applyBorder="1" applyAlignment="1" applyProtection="1">
      <alignment horizontal="centerContinuous"/>
      <protection locked="0"/>
    </xf>
    <xf numFmtId="14" fontId="7" fillId="27" borderId="246" xfId="48" quotePrefix="1" applyNumberFormat="1" applyFont="1" applyFill="1" applyBorder="1" applyAlignment="1" applyProtection="1">
      <alignment horizontal="center"/>
      <protection locked="0"/>
    </xf>
    <xf numFmtId="0" fontId="7" fillId="0" borderId="0" xfId="48" applyFont="1" applyAlignment="1" applyProtection="1">
      <alignment horizontal="centerContinuous"/>
      <protection locked="0"/>
    </xf>
    <xf numFmtId="0" fontId="6" fillId="0" borderId="0" xfId="48" applyFont="1" applyAlignment="1" applyProtection="1">
      <alignment horizontal="centerContinuous"/>
      <protection locked="0"/>
    </xf>
    <xf numFmtId="38" fontId="8" fillId="0" borderId="0" xfId="48" applyNumberFormat="1" applyFont="1" applyAlignment="1" applyProtection="1">
      <alignment horizontal="centerContinuous"/>
      <protection locked="0"/>
    </xf>
    <xf numFmtId="38" fontId="6" fillId="0" borderId="0" xfId="48" applyNumberFormat="1" applyFont="1" applyAlignment="1" applyProtection="1">
      <alignment horizontal="centerContinuous"/>
      <protection locked="0"/>
    </xf>
    <xf numFmtId="38" fontId="7" fillId="0" borderId="15" xfId="48" applyNumberFormat="1" applyFont="1" applyBorder="1" applyAlignment="1" applyProtection="1">
      <alignment horizontal="centerContinuous"/>
      <protection locked="0"/>
    </xf>
    <xf numFmtId="0" fontId="28" fillId="27" borderId="109" xfId="48" applyFont="1" applyFill="1" applyBorder="1" applyAlignment="1" applyProtection="1">
      <alignment horizontal="center"/>
      <protection locked="0"/>
    </xf>
    <xf numFmtId="0" fontId="28" fillId="27" borderId="101" xfId="48" applyFont="1" applyFill="1" applyBorder="1" applyAlignment="1" applyProtection="1">
      <alignment horizontal="center"/>
      <protection locked="0"/>
    </xf>
    <xf numFmtId="0" fontId="28" fillId="27" borderId="110" xfId="48" applyFont="1" applyFill="1" applyBorder="1" applyAlignment="1" applyProtection="1">
      <alignment horizontal="center"/>
      <protection locked="0"/>
    </xf>
    <xf numFmtId="0" fontId="21" fillId="0" borderId="0" xfId="48" applyFont="1" applyAlignment="1" applyProtection="1">
      <alignment horizontal="center"/>
      <protection locked="0"/>
    </xf>
    <xf numFmtId="0" fontId="28" fillId="27" borderId="130" xfId="48" applyFont="1" applyFill="1" applyBorder="1" applyAlignment="1" applyProtection="1">
      <alignment horizontal="center"/>
      <protection locked="0"/>
    </xf>
    <xf numFmtId="0" fontId="28" fillId="27" borderId="131" xfId="48" applyFont="1" applyFill="1" applyBorder="1" applyAlignment="1" applyProtection="1">
      <alignment horizontal="center"/>
      <protection locked="0"/>
    </xf>
    <xf numFmtId="0" fontId="28" fillId="27" borderId="132" xfId="48" applyFont="1" applyFill="1" applyBorder="1" applyAlignment="1" applyProtection="1">
      <alignment horizontal="center"/>
      <protection locked="0"/>
    </xf>
    <xf numFmtId="0" fontId="28" fillId="27" borderId="112" xfId="48" applyFont="1" applyFill="1" applyBorder="1" applyAlignment="1" applyProtection="1">
      <alignment horizontal="center"/>
      <protection locked="0"/>
    </xf>
    <xf numFmtId="164" fontId="12" fillId="0" borderId="0" xfId="48" applyNumberFormat="1" applyFont="1" applyProtection="1">
      <protection locked="0"/>
    </xf>
    <xf numFmtId="164" fontId="12" fillId="0" borderId="3" xfId="48" applyNumberFormat="1" applyFont="1" applyBorder="1" applyProtection="1">
      <protection locked="0"/>
    </xf>
    <xf numFmtId="0" fontId="28" fillId="27" borderId="304" xfId="48" applyFont="1" applyFill="1" applyBorder="1" applyAlignment="1" applyProtection="1">
      <alignment horizontal="center"/>
      <protection locked="0"/>
    </xf>
    <xf numFmtId="0" fontId="28" fillId="27" borderId="305" xfId="48" applyFont="1" applyFill="1" applyBorder="1" applyAlignment="1" applyProtection="1">
      <alignment horizontal="center"/>
      <protection locked="0"/>
    </xf>
    <xf numFmtId="0" fontId="28" fillId="27" borderId="306" xfId="48" applyFont="1" applyFill="1" applyBorder="1" applyAlignment="1" applyProtection="1">
      <alignment horizontal="center"/>
      <protection locked="0"/>
    </xf>
    <xf numFmtId="0" fontId="28" fillId="0" borderId="13" xfId="48" applyFont="1" applyBorder="1" applyAlignment="1" applyProtection="1">
      <alignment horizontal="center"/>
      <protection locked="0"/>
    </xf>
    <xf numFmtId="0" fontId="11" fillId="0" borderId="0" xfId="0" applyFont="1" applyAlignment="1" applyProtection="1">
      <alignment horizontal="center"/>
      <protection locked="0"/>
    </xf>
    <xf numFmtId="0" fontId="12" fillId="0" borderId="0" xfId="0" applyFont="1" applyAlignment="1" applyProtection="1">
      <alignment horizontal="center"/>
      <protection locked="0"/>
    </xf>
    <xf numFmtId="0" fontId="28" fillId="27" borderId="113" xfId="48" applyFont="1" applyFill="1" applyBorder="1" applyAlignment="1" applyProtection="1">
      <alignment horizontal="center"/>
      <protection locked="0"/>
    </xf>
    <xf numFmtId="0" fontId="28" fillId="27" borderId="114" xfId="48" applyFont="1" applyFill="1" applyBorder="1" applyAlignment="1" applyProtection="1">
      <alignment horizontal="center"/>
      <protection locked="0"/>
    </xf>
    <xf numFmtId="0" fontId="28" fillId="27" borderId="115" xfId="48" applyFont="1" applyFill="1" applyBorder="1" applyAlignment="1" applyProtection="1">
      <alignment horizontal="center"/>
      <protection locked="0"/>
    </xf>
    <xf numFmtId="0" fontId="72" fillId="0" borderId="0" xfId="46" applyFont="1" applyProtection="1">
      <protection locked="0"/>
    </xf>
    <xf numFmtId="165" fontId="72" fillId="24" borderId="20" xfId="28" applyNumberFormat="1" applyFont="1" applyFill="1" applyBorder="1" applyProtection="1">
      <protection locked="0"/>
    </xf>
    <xf numFmtId="165" fontId="72" fillId="24" borderId="21" xfId="28" applyNumberFormat="1" applyFont="1" applyFill="1" applyBorder="1" applyProtection="1">
      <protection locked="0"/>
    </xf>
    <xf numFmtId="0" fontId="22" fillId="0" borderId="0" xfId="46" applyFont="1" applyProtection="1">
      <protection locked="0"/>
    </xf>
    <xf numFmtId="165" fontId="13" fillId="24" borderId="20" xfId="28" applyNumberFormat="1" applyFont="1" applyFill="1" applyBorder="1" applyProtection="1">
      <protection locked="0"/>
    </xf>
    <xf numFmtId="0" fontId="13" fillId="0" borderId="330" xfId="0" applyFont="1" applyBorder="1"/>
    <xf numFmtId="3" fontId="13" fillId="0" borderId="330" xfId="0" applyNumberFormat="1" applyFont="1" applyBorder="1"/>
    <xf numFmtId="0" fontId="7" fillId="0" borderId="320" xfId="0" applyFont="1" applyBorder="1" applyAlignment="1">
      <alignment horizontal="left"/>
    </xf>
    <xf numFmtId="165" fontId="59" fillId="51" borderId="340" xfId="28" applyNumberFormat="1" applyFont="1" applyFill="1" applyBorder="1"/>
    <xf numFmtId="3" fontId="7" fillId="0" borderId="356" xfId="28" applyNumberFormat="1" applyFont="1" applyBorder="1"/>
    <xf numFmtId="3" fontId="7" fillId="0" borderId="357" xfId="28" applyNumberFormat="1" applyFont="1" applyFill="1" applyBorder="1"/>
    <xf numFmtId="3" fontId="7" fillId="0" borderId="358" xfId="28" applyNumberFormat="1" applyFont="1" applyFill="1" applyBorder="1"/>
    <xf numFmtId="0" fontId="7" fillId="0" borderId="226" xfId="0" applyFont="1" applyBorder="1" applyAlignment="1">
      <alignment horizontal="left"/>
    </xf>
    <xf numFmtId="3" fontId="13" fillId="0" borderId="359" xfId="28" applyNumberFormat="1" applyFont="1" applyFill="1" applyBorder="1"/>
    <xf numFmtId="0" fontId="7" fillId="0" borderId="360" xfId="0" applyFont="1" applyBorder="1" applyAlignment="1">
      <alignment horizontal="left"/>
    </xf>
    <xf numFmtId="0" fontId="7" fillId="0" borderId="360" xfId="0" applyFont="1" applyBorder="1" applyAlignment="1">
      <alignment horizontal="right"/>
    </xf>
    <xf numFmtId="0" fontId="7" fillId="0" borderId="360" xfId="0" applyFont="1" applyBorder="1"/>
    <xf numFmtId="0" fontId="7" fillId="0" borderId="361" xfId="0" applyFont="1" applyBorder="1" applyAlignment="1">
      <alignment horizontal="left"/>
    </xf>
    <xf numFmtId="3" fontId="13" fillId="0" borderId="362" xfId="0" applyNumberFormat="1" applyFont="1" applyBorder="1"/>
    <xf numFmtId="3" fontId="13" fillId="0" borderId="359" xfId="0" applyNumberFormat="1" applyFont="1" applyBorder="1"/>
    <xf numFmtId="0" fontId="13" fillId="0" borderId="359" xfId="0" applyFont="1" applyBorder="1"/>
    <xf numFmtId="0" fontId="7" fillId="0" borderId="363" xfId="0" applyFont="1" applyBorder="1"/>
    <xf numFmtId="0" fontId="13" fillId="0" borderId="364" xfId="0" applyFont="1" applyBorder="1"/>
    <xf numFmtId="0" fontId="13" fillId="0" borderId="365" xfId="0" applyFont="1" applyBorder="1"/>
    <xf numFmtId="0" fontId="13" fillId="0" borderId="366" xfId="0" applyFont="1" applyBorder="1"/>
    <xf numFmtId="0" fontId="33" fillId="0" borderId="367" xfId="0" applyFont="1" applyBorder="1"/>
    <xf numFmtId="0" fontId="170" fillId="0" borderId="43" xfId="0" applyFont="1" applyBorder="1" applyAlignment="1">
      <alignment horizontal="center" wrapText="1"/>
    </xf>
    <xf numFmtId="0" fontId="7" fillId="0" borderId="210" xfId="0" applyFont="1" applyBorder="1" applyAlignment="1">
      <alignment horizontal="center"/>
    </xf>
    <xf numFmtId="0" fontId="59" fillId="0" borderId="368" xfId="0" applyFont="1" applyBorder="1" applyAlignment="1">
      <alignment horizontal="center" vertical="center" wrapText="1"/>
    </xf>
    <xf numFmtId="0" fontId="7" fillId="0" borderId="369" xfId="0" applyFont="1" applyBorder="1" applyAlignment="1">
      <alignment horizontal="center"/>
    </xf>
    <xf numFmtId="0" fontId="7" fillId="0" borderId="370" xfId="0" applyFont="1" applyBorder="1" applyAlignment="1">
      <alignment horizontal="center"/>
    </xf>
    <xf numFmtId="0" fontId="7" fillId="0" borderId="371" xfId="0" applyFont="1" applyBorder="1" applyAlignment="1">
      <alignment horizontal="center"/>
    </xf>
    <xf numFmtId="0" fontId="0" fillId="55" borderId="0" xfId="0" applyFill="1"/>
    <xf numFmtId="0" fontId="0" fillId="55" borderId="0" xfId="0" applyFill="1" applyAlignment="1">
      <alignment horizontal="left"/>
    </xf>
    <xf numFmtId="0" fontId="6" fillId="55" borderId="0" xfId="0" applyFont="1" applyFill="1" applyAlignment="1">
      <alignment horizontal="center"/>
    </xf>
    <xf numFmtId="0" fontId="1" fillId="55" borderId="0" xfId="0" applyFont="1" applyFill="1"/>
    <xf numFmtId="0" fontId="174" fillId="55" borderId="0" xfId="38" applyFont="1" applyFill="1" applyAlignment="1" applyProtection="1"/>
    <xf numFmtId="0" fontId="6" fillId="55" borderId="0" xfId="0" quotePrefix="1" applyFont="1" applyFill="1" applyAlignment="1">
      <alignment horizontal="left"/>
    </xf>
    <xf numFmtId="0" fontId="1" fillId="55" borderId="0" xfId="0" applyFont="1" applyFill="1" applyAlignment="1">
      <alignment horizontal="center"/>
    </xf>
    <xf numFmtId="0" fontId="6" fillId="55" borderId="0" xfId="0" applyFont="1" applyFill="1" applyAlignment="1">
      <alignment horizontal="left"/>
    </xf>
    <xf numFmtId="0" fontId="0" fillId="0" borderId="351" xfId="0" applyBorder="1"/>
    <xf numFmtId="0" fontId="0" fillId="0" borderId="352" xfId="0" applyBorder="1"/>
    <xf numFmtId="0" fontId="172" fillId="0" borderId="372" xfId="67" applyFont="1" applyBorder="1" applyAlignment="1">
      <alignment vertical="center"/>
    </xf>
    <xf numFmtId="165" fontId="172" fillId="0" borderId="118" xfId="28" applyNumberFormat="1" applyFont="1" applyFill="1" applyBorder="1" applyAlignment="1">
      <alignment vertical="center"/>
    </xf>
    <xf numFmtId="2" fontId="164" fillId="52" borderId="208" xfId="0" applyNumberFormat="1" applyFont="1" applyFill="1" applyBorder="1" applyAlignment="1">
      <alignment vertical="center"/>
    </xf>
    <xf numFmtId="2" fontId="4" fillId="0" borderId="208" xfId="0" applyNumberFormat="1" applyFont="1" applyBorder="1" applyAlignment="1">
      <alignment vertical="center"/>
    </xf>
    <xf numFmtId="168" fontId="164" fillId="24" borderId="208" xfId="55" applyNumberFormat="1" applyFont="1" applyFill="1" applyBorder="1" applyAlignment="1">
      <alignment vertical="center"/>
    </xf>
    <xf numFmtId="0" fontId="0" fillId="0" borderId="208" xfId="0" applyBorder="1" applyAlignment="1">
      <alignment vertical="center"/>
    </xf>
    <xf numFmtId="165" fontId="0" fillId="0" borderId="0" xfId="28" applyNumberFormat="1" applyFont="1" applyBorder="1" applyAlignment="1">
      <alignment vertical="center"/>
    </xf>
    <xf numFmtId="0" fontId="0" fillId="0" borderId="375" xfId="0" applyBorder="1"/>
    <xf numFmtId="0" fontId="0" fillId="0" borderId="376" xfId="0" applyBorder="1"/>
    <xf numFmtId="0" fontId="0" fillId="0" borderId="373" xfId="0" applyBorder="1"/>
    <xf numFmtId="165" fontId="0" fillId="0" borderId="377" xfId="28" applyNumberFormat="1" applyFont="1" applyFill="1" applyBorder="1" applyAlignment="1">
      <alignment vertical="center"/>
    </xf>
    <xf numFmtId="165" fontId="0" fillId="0" borderId="11" xfId="28" applyNumberFormat="1" applyFont="1" applyFill="1" applyBorder="1" applyAlignment="1">
      <alignment vertical="center"/>
    </xf>
    <xf numFmtId="165" fontId="0" fillId="0" borderId="378" xfId="28" applyNumberFormat="1" applyFont="1" applyFill="1" applyBorder="1" applyAlignment="1">
      <alignment vertical="center"/>
    </xf>
    <xf numFmtId="165" fontId="165" fillId="0" borderId="0" xfId="61" applyNumberFormat="1" applyFont="1" applyBorder="1"/>
    <xf numFmtId="165" fontId="165" fillId="0" borderId="320" xfId="61" applyNumberFormat="1" applyFont="1" applyBorder="1"/>
    <xf numFmtId="165" fontId="165" fillId="0" borderId="379" xfId="61" applyNumberFormat="1" applyFont="1" applyBorder="1"/>
    <xf numFmtId="165" fontId="165" fillId="0" borderId="226" xfId="61" applyNumberFormat="1" applyFont="1" applyBorder="1"/>
    <xf numFmtId="165" fontId="165" fillId="0" borderId="374" xfId="61" applyNumberFormat="1" applyFont="1" applyBorder="1"/>
    <xf numFmtId="165" fontId="165" fillId="0" borderId="241" xfId="61" applyNumberFormat="1" applyFont="1" applyBorder="1"/>
    <xf numFmtId="0" fontId="0" fillId="0" borderId="377" xfId="0" applyBorder="1"/>
    <xf numFmtId="0" fontId="0" fillId="0" borderId="11" xfId="0" applyBorder="1"/>
    <xf numFmtId="0" fontId="0" fillId="0" borderId="378" xfId="0" applyBorder="1"/>
    <xf numFmtId="0" fontId="0" fillId="0" borderId="320" xfId="0" applyBorder="1"/>
    <xf numFmtId="0" fontId="0" fillId="0" borderId="379" xfId="0" applyBorder="1"/>
    <xf numFmtId="0" fontId="0" fillId="0" borderId="226" xfId="0" applyBorder="1"/>
    <xf numFmtId="0" fontId="0" fillId="0" borderId="374" xfId="0" applyBorder="1"/>
    <xf numFmtId="0" fontId="0" fillId="0" borderId="241" xfId="0" applyBorder="1"/>
    <xf numFmtId="2" fontId="164" fillId="0" borderId="226" xfId="0" applyNumberFormat="1" applyFont="1" applyBorder="1" applyAlignment="1">
      <alignment vertical="center"/>
    </xf>
    <xf numFmtId="0" fontId="0" fillId="0" borderId="210" xfId="0" applyBorder="1"/>
    <xf numFmtId="165" fontId="0" fillId="53" borderId="210" xfId="28" applyNumberFormat="1" applyFont="1" applyFill="1" applyBorder="1" applyAlignment="1">
      <alignment vertical="center"/>
    </xf>
    <xf numFmtId="181" fontId="0" fillId="0" borderId="209" xfId="55" applyNumberFormat="1" applyFont="1" applyFill="1" applyBorder="1" applyAlignment="1">
      <alignment vertical="center"/>
    </xf>
    <xf numFmtId="165" fontId="0" fillId="0" borderId="210" xfId="28" applyNumberFormat="1" applyFont="1" applyBorder="1" applyAlignment="1">
      <alignment vertical="center"/>
    </xf>
    <xf numFmtId="0" fontId="11" fillId="0" borderId="45" xfId="48" applyFont="1" applyBorder="1" applyAlignment="1" applyProtection="1">
      <alignment horizontal="center"/>
      <protection locked="0"/>
    </xf>
    <xf numFmtId="0" fontId="28" fillId="27" borderId="381" xfId="48" applyFont="1" applyFill="1" applyBorder="1" applyAlignment="1" applyProtection="1">
      <alignment horizontal="center"/>
      <protection locked="0"/>
    </xf>
    <xf numFmtId="0" fontId="28" fillId="27" borderId="108" xfId="48" applyFont="1" applyFill="1" applyBorder="1" applyAlignment="1" applyProtection="1">
      <alignment horizontal="center"/>
      <protection locked="0"/>
    </xf>
    <xf numFmtId="0" fontId="11" fillId="0" borderId="380" xfId="48" applyFont="1" applyBorder="1" applyAlignment="1" applyProtection="1">
      <alignment horizontal="center"/>
      <protection locked="0"/>
    </xf>
    <xf numFmtId="0" fontId="11" fillId="0" borderId="382" xfId="48" applyFont="1" applyBorder="1" applyAlignment="1" applyProtection="1">
      <alignment horizontal="center"/>
      <protection locked="0"/>
    </xf>
    <xf numFmtId="0" fontId="6" fillId="0" borderId="0" xfId="38" applyFill="1" applyAlignment="1" applyProtection="1"/>
    <xf numFmtId="14" fontId="6" fillId="0" borderId="0" xfId="0" quotePrefix="1" applyNumberFormat="1" applyFont="1" applyAlignment="1">
      <alignment horizontal="left"/>
    </xf>
    <xf numFmtId="0" fontId="3" fillId="26" borderId="0" xfId="63" applyFill="1"/>
    <xf numFmtId="0" fontId="3" fillId="26" borderId="0" xfId="63" applyFill="1" applyProtection="1">
      <protection locked="0"/>
    </xf>
    <xf numFmtId="0" fontId="3" fillId="26" borderId="0" xfId="63" quotePrefix="1" applyFill="1" applyProtection="1">
      <protection locked="0"/>
    </xf>
    <xf numFmtId="0" fontId="175" fillId="26" borderId="0" xfId="63" applyFont="1" applyFill="1"/>
    <xf numFmtId="0" fontId="75" fillId="0" borderId="0" xfId="63" quotePrefix="1" applyFont="1" applyProtection="1">
      <protection locked="0"/>
    </xf>
    <xf numFmtId="0" fontId="3" fillId="0" borderId="0" xfId="63" applyProtection="1">
      <protection locked="0"/>
    </xf>
    <xf numFmtId="0" fontId="3" fillId="0" borderId="0" xfId="63" quotePrefix="1" applyProtection="1">
      <protection locked="0"/>
    </xf>
    <xf numFmtId="0" fontId="3" fillId="0" borderId="0" xfId="63"/>
    <xf numFmtId="186" fontId="3" fillId="26" borderId="0" xfId="63" quotePrefix="1" applyNumberFormat="1" applyFill="1" applyProtection="1">
      <protection locked="0"/>
    </xf>
    <xf numFmtId="0" fontId="3" fillId="56" borderId="0" xfId="63" quotePrefix="1" applyFill="1" applyProtection="1">
      <protection locked="0"/>
    </xf>
    <xf numFmtId="186" fontId="3" fillId="0" borderId="0" xfId="63" quotePrefix="1" applyNumberFormat="1" applyProtection="1">
      <protection locked="0"/>
    </xf>
    <xf numFmtId="187" fontId="3" fillId="0" borderId="0" xfId="63" applyNumberFormat="1" applyProtection="1">
      <protection locked="0"/>
    </xf>
    <xf numFmtId="41" fontId="177" fillId="57" borderId="383" xfId="68" quotePrefix="1" applyNumberFormat="1" applyFont="1" applyAlignment="1"/>
    <xf numFmtId="41" fontId="177" fillId="57" borderId="383" xfId="68" applyNumberFormat="1" applyFont="1" applyAlignment="1"/>
    <xf numFmtId="41" fontId="177" fillId="58" borderId="383" xfId="69" quotePrefix="1" applyNumberFormat="1" applyFont="1" applyAlignment="1"/>
    <xf numFmtId="41" fontId="179" fillId="58" borderId="383" xfId="69" quotePrefix="1" applyNumberFormat="1" applyFont="1" applyAlignment="1"/>
    <xf numFmtId="41" fontId="179" fillId="0" borderId="384" xfId="70" applyNumberFormat="1" applyFont="1">
      <alignment horizontal="right" vertical="center"/>
    </xf>
    <xf numFmtId="41" fontId="177" fillId="58" borderId="385" xfId="69" quotePrefix="1" applyNumberFormat="1" applyFont="1" applyBorder="1" applyAlignment="1"/>
    <xf numFmtId="41" fontId="177" fillId="58" borderId="386" xfId="69" quotePrefix="1" applyNumberFormat="1" applyFont="1" applyBorder="1" applyAlignment="1"/>
    <xf numFmtId="41" fontId="177" fillId="0" borderId="387" xfId="70" applyNumberFormat="1" applyFont="1" applyBorder="1">
      <alignment horizontal="right" vertical="center"/>
    </xf>
    <xf numFmtId="41" fontId="177" fillId="0" borderId="388" xfId="70" applyNumberFormat="1" applyFont="1" applyBorder="1">
      <alignment horizontal="right" vertical="center"/>
    </xf>
    <xf numFmtId="41" fontId="179" fillId="58" borderId="389" xfId="69" quotePrefix="1" applyNumberFormat="1" applyFont="1" applyBorder="1" applyAlignment="1"/>
    <xf numFmtId="41" fontId="179" fillId="0" borderId="390" xfId="70" applyNumberFormat="1" applyFont="1" applyBorder="1">
      <alignment horizontal="right" vertical="center"/>
    </xf>
    <xf numFmtId="41" fontId="179" fillId="0" borderId="391" xfId="70" applyNumberFormat="1" applyFont="1" applyBorder="1">
      <alignment horizontal="right" vertical="center"/>
    </xf>
    <xf numFmtId="41" fontId="177" fillId="0" borderId="392" xfId="70" applyNumberFormat="1" applyFont="1" applyBorder="1">
      <alignment horizontal="right" vertical="center"/>
    </xf>
    <xf numFmtId="41" fontId="177" fillId="0" borderId="393" xfId="70" applyNumberFormat="1" applyFont="1" applyBorder="1">
      <alignment horizontal="right" vertical="center"/>
    </xf>
    <xf numFmtId="41" fontId="179" fillId="0" borderId="394" xfId="70" applyNumberFormat="1" applyFont="1" applyBorder="1">
      <alignment horizontal="right" vertical="center"/>
    </xf>
    <xf numFmtId="41" fontId="177" fillId="58" borderId="241" xfId="69" quotePrefix="1" applyNumberFormat="1" applyFont="1" applyBorder="1" applyAlignment="1"/>
    <xf numFmtId="41" fontId="177" fillId="0" borderId="241" xfId="70" applyNumberFormat="1" applyFont="1" applyBorder="1">
      <alignment horizontal="right" vertical="center"/>
    </xf>
    <xf numFmtId="43" fontId="3" fillId="0" borderId="0" xfId="63" applyNumberFormat="1"/>
    <xf numFmtId="41" fontId="3" fillId="0" borderId="0" xfId="63" applyNumberFormat="1"/>
    <xf numFmtId="0" fontId="177" fillId="57" borderId="383" xfId="68" quotePrefix="1" applyNumberFormat="1" applyFont="1" applyAlignment="1"/>
    <xf numFmtId="0" fontId="177" fillId="57" borderId="383" xfId="68" applyNumberFormat="1" applyFont="1" applyAlignment="1"/>
    <xf numFmtId="0" fontId="177" fillId="58" borderId="383" xfId="69" quotePrefix="1" applyNumberFormat="1" applyFont="1" applyAlignment="1"/>
    <xf numFmtId="0" fontId="179" fillId="58" borderId="383" xfId="69" quotePrefix="1" applyNumberFormat="1" applyFont="1" applyAlignment="1"/>
    <xf numFmtId="0" fontId="177" fillId="58" borderId="386" xfId="69" quotePrefix="1" applyNumberFormat="1" applyFont="1" applyBorder="1" applyAlignment="1"/>
    <xf numFmtId="0" fontId="179" fillId="58" borderId="389" xfId="69" quotePrefix="1" applyNumberFormat="1" applyFont="1" applyBorder="1" applyAlignment="1"/>
    <xf numFmtId="0" fontId="177" fillId="58" borderId="385" xfId="69" quotePrefix="1" applyNumberFormat="1" applyFont="1" applyBorder="1" applyAlignment="1"/>
    <xf numFmtId="41" fontId="179" fillId="0" borderId="395" xfId="70" applyNumberFormat="1" applyFont="1" applyBorder="1">
      <alignment horizontal="right" vertical="center"/>
    </xf>
    <xf numFmtId="189" fontId="179" fillId="0" borderId="384" xfId="70" applyNumberFormat="1" applyFont="1">
      <alignment horizontal="right" vertical="center"/>
    </xf>
    <xf numFmtId="41" fontId="177" fillId="58" borderId="396" xfId="69" quotePrefix="1" applyNumberFormat="1" applyFont="1" applyBorder="1" applyAlignment="1"/>
    <xf numFmtId="41" fontId="177" fillId="58" borderId="397" xfId="69" quotePrefix="1" applyNumberFormat="1" applyFont="1" applyBorder="1" applyAlignment="1"/>
    <xf numFmtId="41" fontId="177" fillId="58" borderId="398" xfId="69" quotePrefix="1" applyNumberFormat="1" applyFont="1" applyBorder="1" applyAlignment="1"/>
    <xf numFmtId="41" fontId="177" fillId="0" borderId="398" xfId="70" applyNumberFormat="1" applyFont="1" applyBorder="1">
      <alignment horizontal="right" vertical="center"/>
    </xf>
    <xf numFmtId="0" fontId="175" fillId="0" borderId="0" xfId="63" applyFont="1"/>
    <xf numFmtId="189" fontId="179" fillId="0" borderId="395" xfId="70" applyNumberFormat="1" applyFont="1" applyBorder="1">
      <alignment horizontal="right" vertical="center"/>
    </xf>
    <xf numFmtId="0" fontId="75" fillId="0" borderId="0" xfId="63" applyFont="1"/>
    <xf numFmtId="0" fontId="177" fillId="58" borderId="241" xfId="69" quotePrefix="1" applyNumberFormat="1" applyFont="1" applyBorder="1" applyAlignment="1"/>
    <xf numFmtId="0" fontId="177" fillId="58" borderId="397" xfId="69" quotePrefix="1" applyNumberFormat="1" applyFont="1" applyBorder="1" applyAlignment="1"/>
    <xf numFmtId="43" fontId="180" fillId="0" borderId="0" xfId="63" applyNumberFormat="1" applyFont="1"/>
    <xf numFmtId="0" fontId="75" fillId="57" borderId="383" xfId="68" quotePrefix="1" applyNumberFormat="1" applyFont="1" applyAlignment="1"/>
    <xf numFmtId="0" fontId="75" fillId="57" borderId="383" xfId="68" applyNumberFormat="1" applyFont="1" applyAlignment="1"/>
    <xf numFmtId="0" fontId="75" fillId="58" borderId="383" xfId="69" quotePrefix="1" applyNumberFormat="1" applyFont="1" applyAlignment="1"/>
    <xf numFmtId="189" fontId="179" fillId="0" borderId="399" xfId="70" applyNumberFormat="1" applyFont="1" applyBorder="1">
      <alignment horizontal="right" vertical="center"/>
    </xf>
    <xf numFmtId="41" fontId="75" fillId="57" borderId="383" xfId="68" quotePrefix="1" applyNumberFormat="1" applyFont="1" applyAlignment="1"/>
    <xf numFmtId="41" fontId="75" fillId="57" borderId="383" xfId="68" applyNumberFormat="1" applyFont="1" applyAlignment="1"/>
    <xf numFmtId="41" fontId="75" fillId="58" borderId="383" xfId="69" quotePrefix="1" applyNumberFormat="1" applyFont="1" applyAlignment="1"/>
    <xf numFmtId="41" fontId="3" fillId="58" borderId="383" xfId="69" quotePrefix="1" applyNumberFormat="1" applyFont="1" applyAlignment="1"/>
    <xf numFmtId="41" fontId="3" fillId="0" borderId="384" xfId="70" applyNumberFormat="1" applyFont="1">
      <alignment horizontal="right" vertical="center"/>
    </xf>
    <xf numFmtId="41" fontId="3" fillId="58" borderId="400" xfId="69" quotePrefix="1" applyNumberFormat="1" applyFont="1" applyBorder="1" applyAlignment="1"/>
    <xf numFmtId="41" fontId="3" fillId="0" borderId="401" xfId="70" applyNumberFormat="1" applyFont="1" applyBorder="1">
      <alignment horizontal="right" vertical="center"/>
    </xf>
    <xf numFmtId="41" fontId="75" fillId="58" borderId="398" xfId="69" quotePrefix="1" applyNumberFormat="1" applyFont="1" applyBorder="1" applyAlignment="1"/>
    <xf numFmtId="41" fontId="75" fillId="58" borderId="396" xfId="69" quotePrefix="1" applyNumberFormat="1" applyFont="1" applyBorder="1" applyAlignment="1"/>
    <xf numFmtId="41" fontId="75" fillId="0" borderId="398" xfId="70" applyNumberFormat="1" applyFont="1" applyBorder="1">
      <alignment horizontal="right" vertical="center"/>
    </xf>
    <xf numFmtId="41" fontId="179" fillId="0" borderId="402" xfId="70" applyNumberFormat="1" applyFont="1" applyBorder="1">
      <alignment horizontal="right" vertical="center"/>
    </xf>
    <xf numFmtId="0" fontId="177" fillId="58" borderId="396" xfId="69" quotePrefix="1" applyNumberFormat="1" applyFont="1" applyBorder="1" applyAlignment="1"/>
    <xf numFmtId="0" fontId="3" fillId="58" borderId="383" xfId="69" quotePrefix="1" applyNumberFormat="1" applyFont="1" applyAlignment="1"/>
    <xf numFmtId="0" fontId="75" fillId="58" borderId="386" xfId="69" quotePrefix="1" applyNumberFormat="1" applyFont="1" applyBorder="1" applyAlignment="1"/>
    <xf numFmtId="41" fontId="75" fillId="0" borderId="387" xfId="70" applyNumberFormat="1" applyFont="1" applyBorder="1">
      <alignment horizontal="right" vertical="center"/>
    </xf>
    <xf numFmtId="0" fontId="3" fillId="58" borderId="389" xfId="69" quotePrefix="1" applyNumberFormat="1" applyFont="1" applyBorder="1" applyAlignment="1"/>
    <xf numFmtId="41" fontId="3" fillId="0" borderId="390" xfId="70" applyNumberFormat="1" applyFont="1" applyBorder="1">
      <alignment horizontal="right" vertical="center"/>
    </xf>
    <xf numFmtId="41" fontId="3" fillId="0" borderId="395" xfId="70" applyNumberFormat="1" applyFont="1" applyBorder="1">
      <alignment horizontal="right" vertical="center"/>
    </xf>
    <xf numFmtId="0" fontId="75" fillId="58" borderId="241" xfId="69" quotePrefix="1" applyNumberFormat="1" applyFont="1" applyBorder="1" applyAlignment="1"/>
    <xf numFmtId="0" fontId="75" fillId="58" borderId="396" xfId="69" quotePrefix="1" applyNumberFormat="1" applyFont="1" applyBorder="1" applyAlignment="1"/>
    <xf numFmtId="0" fontId="75" fillId="58" borderId="397" xfId="69" quotePrefix="1" applyNumberFormat="1" applyFont="1" applyBorder="1" applyAlignment="1"/>
    <xf numFmtId="41" fontId="75" fillId="0" borderId="241" xfId="70" applyNumberFormat="1" applyFont="1" applyBorder="1">
      <alignment horizontal="right" vertical="center"/>
    </xf>
    <xf numFmtId="0" fontId="0" fillId="59" borderId="0" xfId="0" applyFill="1"/>
    <xf numFmtId="0" fontId="3" fillId="59" borderId="0" xfId="0" applyFont="1" applyFill="1"/>
    <xf numFmtId="0" fontId="178" fillId="58" borderId="404" xfId="0" applyFont="1" applyFill="1" applyBorder="1"/>
    <xf numFmtId="0" fontId="178" fillId="58" borderId="405" xfId="0" applyFont="1" applyFill="1" applyBorder="1"/>
    <xf numFmtId="0" fontId="182" fillId="60" borderId="406" xfId="0" applyFont="1" applyFill="1" applyBorder="1"/>
    <xf numFmtId="0" fontId="182" fillId="60" borderId="407" xfId="0" applyFont="1" applyFill="1" applyBorder="1"/>
    <xf numFmtId="0" fontId="182" fillId="60" borderId="408" xfId="0" applyFont="1" applyFill="1" applyBorder="1"/>
    <xf numFmtId="0" fontId="182" fillId="60" borderId="409" xfId="0" applyFont="1" applyFill="1" applyBorder="1"/>
    <xf numFmtId="0" fontId="183" fillId="61" borderId="0" xfId="0" applyFont="1" applyFill="1"/>
    <xf numFmtId="3" fontId="183" fillId="61" borderId="0" xfId="0" applyNumberFormat="1" applyFont="1" applyFill="1"/>
    <xf numFmtId="0" fontId="141" fillId="59" borderId="0" xfId="0" applyFont="1" applyFill="1"/>
    <xf numFmtId="10" fontId="140" fillId="59" borderId="0" xfId="0" applyNumberFormat="1" applyFont="1" applyFill="1"/>
    <xf numFmtId="0" fontId="178" fillId="59" borderId="0" xfId="0" applyFont="1" applyFill="1"/>
    <xf numFmtId="0" fontId="176" fillId="59" borderId="0" xfId="0" applyFont="1" applyFill="1"/>
    <xf numFmtId="0" fontId="177" fillId="62" borderId="386" xfId="69" quotePrefix="1" applyNumberFormat="1" applyFont="1" applyFill="1" applyBorder="1" applyAlignment="1"/>
    <xf numFmtId="41" fontId="177" fillId="63" borderId="387" xfId="70" applyNumberFormat="1" applyFont="1" applyFill="1" applyBorder="1">
      <alignment horizontal="right" vertical="center"/>
    </xf>
    <xf numFmtId="0" fontId="177" fillId="64" borderId="386" xfId="69" quotePrefix="1" applyNumberFormat="1" applyFont="1" applyFill="1" applyBorder="1" applyAlignment="1"/>
    <xf numFmtId="41" fontId="177" fillId="65" borderId="387" xfId="70" applyNumberFormat="1" applyFont="1" applyFill="1" applyBorder="1">
      <alignment horizontal="right" vertical="center"/>
    </xf>
    <xf numFmtId="0" fontId="3" fillId="66" borderId="0" xfId="0" applyFont="1" applyFill="1"/>
    <xf numFmtId="0" fontId="3" fillId="66" borderId="0" xfId="63" applyFill="1"/>
    <xf numFmtId="0" fontId="184" fillId="59" borderId="0" xfId="0" applyFont="1" applyFill="1"/>
    <xf numFmtId="0" fontId="74" fillId="59" borderId="0" xfId="0" applyFont="1" applyFill="1"/>
    <xf numFmtId="6" fontId="74" fillId="59" borderId="0" xfId="0" applyNumberFormat="1" applyFont="1" applyFill="1"/>
    <xf numFmtId="0" fontId="74" fillId="59" borderId="118" xfId="0" applyFont="1" applyFill="1" applyBorder="1"/>
    <xf numFmtId="0" fontId="3" fillId="59" borderId="118" xfId="0" applyFont="1" applyFill="1" applyBorder="1"/>
    <xf numFmtId="0" fontId="74" fillId="67" borderId="0" xfId="0" applyFont="1" applyFill="1"/>
    <xf numFmtId="6" fontId="74" fillId="68" borderId="0" xfId="0" applyNumberFormat="1" applyFont="1" applyFill="1"/>
    <xf numFmtId="0" fontId="74" fillId="69" borderId="0" xfId="0" applyFont="1" applyFill="1"/>
    <xf numFmtId="0" fontId="3" fillId="69" borderId="0" xfId="0" applyFont="1" applyFill="1"/>
    <xf numFmtId="165" fontId="74" fillId="69" borderId="0" xfId="0" applyNumberFormat="1" applyFont="1" applyFill="1"/>
    <xf numFmtId="0" fontId="74" fillId="70" borderId="0" xfId="0" applyFont="1" applyFill="1"/>
    <xf numFmtId="0" fontId="3" fillId="70" borderId="0" xfId="0" applyFont="1" applyFill="1"/>
    <xf numFmtId="165" fontId="74" fillId="70" borderId="0" xfId="0" applyNumberFormat="1" applyFont="1" applyFill="1"/>
    <xf numFmtId="6" fontId="3" fillId="0" borderId="0" xfId="63" applyNumberFormat="1"/>
    <xf numFmtId="0" fontId="185" fillId="61" borderId="116" xfId="0" applyFont="1" applyFill="1" applyBorder="1"/>
    <xf numFmtId="0" fontId="186" fillId="61" borderId="115" xfId="0" applyFont="1" applyFill="1" applyBorder="1"/>
    <xf numFmtId="6" fontId="187" fillId="61" borderId="410" xfId="0" applyNumberFormat="1" applyFont="1" applyFill="1" applyBorder="1"/>
    <xf numFmtId="10" fontId="74" fillId="59" borderId="0" xfId="0" applyNumberFormat="1" applyFont="1" applyFill="1"/>
    <xf numFmtId="0" fontId="185" fillId="61" borderId="10" xfId="0" applyFont="1" applyFill="1" applyBorder="1"/>
    <xf numFmtId="0" fontId="186" fillId="61" borderId="352" xfId="0" applyFont="1" applyFill="1" applyBorder="1"/>
    <xf numFmtId="0" fontId="187" fillId="61" borderId="10" xfId="0" applyFont="1" applyFill="1" applyBorder="1"/>
    <xf numFmtId="0" fontId="188" fillId="61" borderId="352" xfId="0" applyFont="1" applyFill="1" applyBorder="1"/>
    <xf numFmtId="6" fontId="187" fillId="61" borderId="411" xfId="0" applyNumberFormat="1" applyFont="1" applyFill="1" applyBorder="1"/>
    <xf numFmtId="0" fontId="187" fillId="61" borderId="412" xfId="0" applyFont="1" applyFill="1" applyBorder="1"/>
    <xf numFmtId="0" fontId="187" fillId="61" borderId="413" xfId="0" applyFont="1" applyFill="1" applyBorder="1"/>
    <xf numFmtId="41" fontId="187" fillId="61" borderId="410" xfId="0" applyNumberFormat="1" applyFont="1" applyFill="1" applyBorder="1"/>
    <xf numFmtId="6" fontId="3" fillId="59" borderId="0" xfId="0" applyNumberFormat="1" applyFont="1" applyFill="1"/>
    <xf numFmtId="0" fontId="180" fillId="0" borderId="0" xfId="0" applyFont="1"/>
    <xf numFmtId="41" fontId="180" fillId="59" borderId="0" xfId="0" applyNumberFormat="1" applyFont="1" applyFill="1"/>
    <xf numFmtId="0" fontId="180" fillId="59" borderId="0" xfId="0" applyFont="1" applyFill="1"/>
    <xf numFmtId="0" fontId="182" fillId="60" borderId="415" xfId="0" applyFont="1" applyFill="1" applyBorder="1"/>
    <xf numFmtId="0" fontId="182" fillId="60" borderId="416" xfId="0" applyFont="1" applyFill="1" applyBorder="1"/>
    <xf numFmtId="0" fontId="182" fillId="60" borderId="417" xfId="0" applyFont="1" applyFill="1" applyBorder="1"/>
    <xf numFmtId="0" fontId="182" fillId="60" borderId="418" xfId="0" applyFont="1" applyFill="1" applyBorder="1"/>
    <xf numFmtId="0" fontId="182" fillId="60" borderId="419" xfId="0" applyFont="1" applyFill="1" applyBorder="1"/>
    <xf numFmtId="0" fontId="3" fillId="0" borderId="0" xfId="0" applyFont="1"/>
    <xf numFmtId="0" fontId="189" fillId="71" borderId="117" xfId="0" applyFont="1" applyFill="1" applyBorder="1"/>
    <xf numFmtId="0" fontId="189" fillId="71" borderId="0" xfId="0" applyFont="1" applyFill="1"/>
    <xf numFmtId="0" fontId="189" fillId="71" borderId="420" xfId="0" applyFont="1" applyFill="1" applyBorder="1"/>
    <xf numFmtId="165" fontId="3" fillId="59" borderId="0" xfId="0" applyNumberFormat="1" applyFont="1" applyFill="1"/>
    <xf numFmtId="0" fontId="190" fillId="59" borderId="0" xfId="0" applyFont="1" applyFill="1"/>
    <xf numFmtId="6" fontId="191" fillId="72" borderId="421" xfId="0" applyNumberFormat="1" applyFont="1" applyFill="1" applyBorder="1"/>
    <xf numFmtId="41" fontId="179" fillId="0" borderId="384" xfId="70" applyNumberFormat="1" applyFont="1" applyAlignment="1">
      <alignment horizontal="left" vertical="center"/>
    </xf>
    <xf numFmtId="41" fontId="179" fillId="58" borderId="383" xfId="69" quotePrefix="1" applyNumberFormat="1" applyFont="1" applyAlignment="1">
      <alignment horizontal="left" vertical="center"/>
    </xf>
    <xf numFmtId="0" fontId="3" fillId="0" borderId="0" xfId="63" applyAlignment="1">
      <alignment horizontal="left" vertical="center"/>
    </xf>
    <xf numFmtId="165" fontId="3" fillId="59" borderId="0" xfId="0" applyNumberFormat="1" applyFont="1" applyFill="1" applyAlignment="1">
      <alignment horizontal="left" vertical="center"/>
    </xf>
    <xf numFmtId="0" fontId="190" fillId="59" borderId="0" xfId="0" applyFont="1" applyFill="1" applyAlignment="1">
      <alignment horizontal="left" vertical="center"/>
    </xf>
    <xf numFmtId="41" fontId="179" fillId="58" borderId="383" xfId="69" quotePrefix="1" applyNumberFormat="1" applyFont="1" applyAlignment="1">
      <alignment vertical="center"/>
    </xf>
    <xf numFmtId="0" fontId="3" fillId="0" borderId="0" xfId="63" applyAlignment="1">
      <alignment vertical="center"/>
    </xf>
    <xf numFmtId="165" fontId="3" fillId="59" borderId="0" xfId="0" applyNumberFormat="1" applyFont="1" applyFill="1" applyAlignment="1">
      <alignment vertical="center"/>
    </xf>
    <xf numFmtId="0" fontId="190" fillId="59" borderId="0" xfId="0" applyFont="1" applyFill="1" applyAlignment="1">
      <alignment vertical="center"/>
    </xf>
    <xf numFmtId="6" fontId="191" fillId="72" borderId="421" xfId="0" applyNumberFormat="1" applyFont="1" applyFill="1" applyBorder="1" applyAlignment="1">
      <alignment vertical="center"/>
    </xf>
    <xf numFmtId="0" fontId="192" fillId="59" borderId="0" xfId="0" applyFont="1" applyFill="1"/>
    <xf numFmtId="0" fontId="193" fillId="59" borderId="0" xfId="0" applyFont="1" applyFill="1"/>
    <xf numFmtId="0" fontId="188" fillId="59" borderId="0" xfId="0" applyFont="1" applyFill="1"/>
    <xf numFmtId="0" fontId="187" fillId="61" borderId="410" xfId="0" applyFont="1" applyFill="1" applyBorder="1"/>
    <xf numFmtId="0" fontId="187" fillId="61" borderId="422" xfId="0" applyFont="1" applyFill="1" applyBorder="1"/>
    <xf numFmtId="6" fontId="187" fillId="61" borderId="422" xfId="0" applyNumberFormat="1" applyFont="1" applyFill="1" applyBorder="1"/>
    <xf numFmtId="10" fontId="193" fillId="59" borderId="0" xfId="0" applyNumberFormat="1" applyFont="1" applyFill="1"/>
    <xf numFmtId="0" fontId="194" fillId="59" borderId="0" xfId="0" applyFont="1" applyFill="1"/>
    <xf numFmtId="6" fontId="195" fillId="72" borderId="423" xfId="0" applyNumberFormat="1" applyFont="1" applyFill="1" applyBorder="1"/>
    <xf numFmtId="6" fontId="195" fillId="0" borderId="424" xfId="0" applyNumberFormat="1" applyFont="1" applyBorder="1"/>
    <xf numFmtId="6" fontId="180" fillId="59" borderId="0" xfId="0" applyNumberFormat="1" applyFont="1" applyFill="1"/>
    <xf numFmtId="0" fontId="187" fillId="61" borderId="411" xfId="0" applyFont="1" applyFill="1" applyBorder="1"/>
    <xf numFmtId="0" fontId="187" fillId="61" borderId="425" xfId="0" applyFont="1" applyFill="1" applyBorder="1"/>
    <xf numFmtId="0" fontId="189" fillId="59" borderId="0" xfId="0" applyFont="1" applyFill="1"/>
    <xf numFmtId="6" fontId="187" fillId="61" borderId="425" xfId="0" applyNumberFormat="1" applyFont="1" applyFill="1" applyBorder="1"/>
    <xf numFmtId="0" fontId="196" fillId="59" borderId="0" xfId="0" applyFont="1" applyFill="1"/>
    <xf numFmtId="6" fontId="188" fillId="74" borderId="0" xfId="0" applyNumberFormat="1" applyFont="1" applyFill="1"/>
    <xf numFmtId="0" fontId="188" fillId="74" borderId="0" xfId="0" applyFont="1" applyFill="1"/>
    <xf numFmtId="6" fontId="188" fillId="59" borderId="0" xfId="0" applyNumberFormat="1" applyFont="1" applyFill="1"/>
    <xf numFmtId="0" fontId="188" fillId="0" borderId="0" xfId="0" applyFont="1" applyAlignment="1">
      <alignment horizontal="right"/>
    </xf>
    <xf numFmtId="0" fontId="197" fillId="59" borderId="0" xfId="0" applyFont="1" applyFill="1"/>
    <xf numFmtId="0" fontId="192" fillId="0" borderId="0" xfId="0" applyFont="1"/>
    <xf numFmtId="0" fontId="189" fillId="0" borderId="0" xfId="0" applyFont="1"/>
    <xf numFmtId="0" fontId="198" fillId="59" borderId="0" xfId="0" applyFont="1" applyFill="1"/>
    <xf numFmtId="0" fontId="198" fillId="75" borderId="0" xfId="0" applyFont="1" applyFill="1"/>
    <xf numFmtId="190" fontId="199" fillId="75" borderId="0" xfId="0" applyNumberFormat="1" applyFont="1" applyFill="1"/>
    <xf numFmtId="6" fontId="191" fillId="72" borderId="426" xfId="0" applyNumberFormat="1" applyFont="1" applyFill="1" applyBorder="1"/>
    <xf numFmtId="6" fontId="191" fillId="72" borderId="426" xfId="0" applyNumberFormat="1" applyFont="1" applyFill="1" applyBorder="1" applyAlignment="1">
      <alignment vertical="center"/>
    </xf>
    <xf numFmtId="0" fontId="3" fillId="73" borderId="116" xfId="63" applyFill="1" applyBorder="1" applyAlignment="1">
      <alignment horizontal="left" vertical="center"/>
    </xf>
    <xf numFmtId="0" fontId="3" fillId="73" borderId="116" xfId="63" applyFill="1" applyBorder="1"/>
    <xf numFmtId="0" fontId="3" fillId="0" borderId="116" xfId="63" applyBorder="1"/>
    <xf numFmtId="0" fontId="3" fillId="73" borderId="116" xfId="63" applyFill="1" applyBorder="1" applyAlignment="1">
      <alignment vertical="center"/>
    </xf>
    <xf numFmtId="0" fontId="3" fillId="0" borderId="113" xfId="63" applyBorder="1"/>
    <xf numFmtId="0" fontId="3" fillId="0" borderId="115" xfId="63" applyBorder="1"/>
    <xf numFmtId="0" fontId="3" fillId="0" borderId="114" xfId="63" applyBorder="1"/>
    <xf numFmtId="41" fontId="187" fillId="61" borderId="422" xfId="0" applyNumberFormat="1" applyFont="1" applyFill="1" applyBorder="1"/>
    <xf numFmtId="0" fontId="3" fillId="61" borderId="116" xfId="0" applyFont="1" applyFill="1" applyBorder="1"/>
    <xf numFmtId="0" fontId="3" fillId="61" borderId="115" xfId="0" applyFont="1" applyFill="1" applyBorder="1"/>
    <xf numFmtId="37" fontId="3" fillId="61" borderId="115" xfId="0" applyNumberFormat="1" applyFont="1" applyFill="1" applyBorder="1"/>
    <xf numFmtId="10" fontId="74" fillId="0" borderId="0" xfId="0" applyNumberFormat="1" applyFont="1"/>
    <xf numFmtId="0" fontId="3" fillId="61" borderId="10" xfId="0" applyFont="1" applyFill="1" applyBorder="1"/>
    <xf numFmtId="0" fontId="3" fillId="61" borderId="352" xfId="0" applyFont="1" applyFill="1" applyBorder="1"/>
    <xf numFmtId="37" fontId="3" fillId="61" borderId="352" xfId="0" applyNumberFormat="1" applyFont="1" applyFill="1" applyBorder="1"/>
    <xf numFmtId="0" fontId="200" fillId="58" borderId="427" xfId="0" applyFont="1" applyFill="1" applyBorder="1"/>
    <xf numFmtId="0" fontId="0" fillId="76" borderId="0" xfId="0" applyFill="1"/>
    <xf numFmtId="0" fontId="181" fillId="71" borderId="350" xfId="0" applyFont="1" applyFill="1" applyBorder="1"/>
    <xf numFmtId="0" fontId="181" fillId="71" borderId="372" xfId="0" applyFont="1" applyFill="1" applyBorder="1"/>
    <xf numFmtId="0" fontId="181" fillId="71" borderId="351" xfId="0" applyFont="1" applyFill="1" applyBorder="1"/>
    <xf numFmtId="0" fontId="3" fillId="76" borderId="0" xfId="63" applyFill="1"/>
    <xf numFmtId="0" fontId="3" fillId="76" borderId="0" xfId="63" quotePrefix="1" applyFill="1" applyProtection="1">
      <protection locked="0"/>
    </xf>
    <xf numFmtId="0" fontId="3" fillId="76" borderId="0" xfId="63" applyFill="1" applyProtection="1">
      <protection locked="0"/>
    </xf>
    <xf numFmtId="0" fontId="182" fillId="60" borderId="428" xfId="0" applyFont="1" applyFill="1" applyBorder="1" applyAlignment="1">
      <alignment horizontal="center" vertical="top"/>
    </xf>
    <xf numFmtId="0" fontId="182" fillId="60" borderId="429" xfId="0" applyFont="1" applyFill="1" applyBorder="1" applyAlignment="1">
      <alignment horizontal="center" vertical="top"/>
    </xf>
    <xf numFmtId="0" fontId="182" fillId="60" borderId="430" xfId="0" applyFont="1" applyFill="1" applyBorder="1" applyAlignment="1">
      <alignment horizontal="center" vertical="top"/>
    </xf>
    <xf numFmtId="0" fontId="182" fillId="60" borderId="431" xfId="0" applyFont="1" applyFill="1" applyBorder="1" applyAlignment="1">
      <alignment horizontal="center" vertical="top"/>
    </xf>
    <xf numFmtId="0" fontId="0" fillId="76" borderId="0" xfId="0" applyFill="1" applyAlignment="1">
      <alignment horizontal="center"/>
    </xf>
    <xf numFmtId="0" fontId="189" fillId="71" borderId="11" xfId="0" applyFont="1" applyFill="1" applyBorder="1" applyAlignment="1">
      <alignment horizontal="center" vertical="top"/>
    </xf>
    <xf numFmtId="0" fontId="189" fillId="71" borderId="0" xfId="0" applyFont="1" applyFill="1" applyAlignment="1">
      <alignment horizontal="center" vertical="top"/>
    </xf>
    <xf numFmtId="0" fontId="189" fillId="71" borderId="420" xfId="0" applyFont="1" applyFill="1" applyBorder="1" applyAlignment="1">
      <alignment horizontal="center" vertical="top"/>
    </xf>
    <xf numFmtId="0" fontId="6" fillId="59" borderId="0" xfId="0" applyFont="1" applyFill="1"/>
    <xf numFmtId="0" fontId="10" fillId="59" borderId="0" xfId="0" applyFont="1" applyFill="1"/>
    <xf numFmtId="0" fontId="75" fillId="58" borderId="116" xfId="0" applyFont="1" applyFill="1" applyBorder="1"/>
    <xf numFmtId="0" fontId="75" fillId="58" borderId="115" xfId="0" applyFont="1" applyFill="1" applyBorder="1"/>
    <xf numFmtId="0" fontId="201" fillId="59" borderId="0" xfId="0" applyFont="1" applyFill="1"/>
    <xf numFmtId="0" fontId="181" fillId="59" borderId="0" xfId="0" applyFont="1" applyFill="1"/>
    <xf numFmtId="6" fontId="202" fillId="72" borderId="423" xfId="0" applyNumberFormat="1" applyFont="1" applyFill="1" applyBorder="1"/>
    <xf numFmtId="6" fontId="202" fillId="72" borderId="432" xfId="0" applyNumberFormat="1" applyFont="1" applyFill="1" applyBorder="1"/>
    <xf numFmtId="6" fontId="202" fillId="0" borderId="433" xfId="0" applyNumberFormat="1" applyFont="1" applyBorder="1"/>
    <xf numFmtId="0" fontId="187" fillId="72" borderId="410" xfId="0" applyFont="1" applyFill="1" applyBorder="1"/>
    <xf numFmtId="0" fontId="0" fillId="72" borderId="0" xfId="0" applyFill="1"/>
    <xf numFmtId="6" fontId="203" fillId="72" borderId="410" xfId="0" applyNumberFormat="1" applyFont="1" applyFill="1" applyBorder="1"/>
    <xf numFmtId="0" fontId="0" fillId="59" borderId="0" xfId="0" applyFill="1" applyAlignment="1">
      <alignment horizontal="right"/>
    </xf>
    <xf numFmtId="166" fontId="3" fillId="76" borderId="0" xfId="63" applyNumberFormat="1" applyFill="1"/>
    <xf numFmtId="6" fontId="202" fillId="0" borderId="434" xfId="0" applyNumberFormat="1" applyFont="1" applyBorder="1"/>
    <xf numFmtId="0" fontId="187" fillId="72" borderId="435" xfId="0" applyFont="1" applyFill="1" applyBorder="1"/>
    <xf numFmtId="0" fontId="187" fillId="72" borderId="436" xfId="0" applyFont="1" applyFill="1" applyBorder="1"/>
    <xf numFmtId="0" fontId="0" fillId="72" borderId="208" xfId="0" applyFill="1" applyBorder="1"/>
    <xf numFmtId="6" fontId="203" fillId="72" borderId="437" xfId="0" applyNumberFormat="1" applyFont="1" applyFill="1" applyBorder="1"/>
    <xf numFmtId="0" fontId="187" fillId="72" borderId="411" xfId="0" applyFont="1" applyFill="1" applyBorder="1"/>
    <xf numFmtId="6" fontId="203" fillId="72" borderId="411" xfId="0" applyNumberFormat="1" applyFont="1" applyFill="1" applyBorder="1"/>
    <xf numFmtId="0" fontId="1" fillId="59" borderId="0" xfId="0" applyFont="1" applyFill="1" applyAlignment="1">
      <alignment horizontal="right"/>
    </xf>
    <xf numFmtId="6" fontId="203" fillId="72" borderId="425" xfId="0" applyNumberFormat="1" applyFont="1" applyFill="1" applyBorder="1"/>
    <xf numFmtId="41" fontId="203" fillId="72" borderId="411" xfId="0" applyNumberFormat="1" applyFont="1" applyFill="1" applyBorder="1"/>
    <xf numFmtId="0" fontId="181" fillId="75" borderId="0" xfId="0" applyFont="1" applyFill="1"/>
    <xf numFmtId="190" fontId="188" fillId="75" borderId="0" xfId="0" applyNumberFormat="1" applyFont="1" applyFill="1"/>
    <xf numFmtId="6" fontId="203" fillId="72" borderId="435" xfId="0" applyNumberFormat="1" applyFont="1" applyFill="1" applyBorder="1"/>
    <xf numFmtId="43" fontId="0" fillId="59" borderId="0" xfId="0" applyNumberFormat="1" applyFill="1"/>
    <xf numFmtId="10" fontId="3" fillId="59" borderId="0" xfId="0" applyNumberFormat="1" applyFont="1" applyFill="1"/>
    <xf numFmtId="166" fontId="204" fillId="76" borderId="320" xfId="63" applyNumberFormat="1" applyFont="1" applyFill="1" applyBorder="1"/>
    <xf numFmtId="166" fontId="204" fillId="76" borderId="379" xfId="63" applyNumberFormat="1" applyFont="1" applyFill="1" applyBorder="1"/>
    <xf numFmtId="166" fontId="204" fillId="76" borderId="375" xfId="63" applyNumberFormat="1" applyFont="1" applyFill="1" applyBorder="1"/>
    <xf numFmtId="0" fontId="164" fillId="76" borderId="320" xfId="0" applyFont="1" applyFill="1" applyBorder="1"/>
    <xf numFmtId="6" fontId="0" fillId="59" borderId="379" xfId="0" applyNumberFormat="1" applyFill="1" applyBorder="1"/>
    <xf numFmtId="6" fontId="0" fillId="59" borderId="375" xfId="0" applyNumberFormat="1" applyFill="1" applyBorder="1"/>
    <xf numFmtId="166" fontId="204" fillId="76" borderId="0" xfId="63" applyNumberFormat="1" applyFont="1" applyFill="1"/>
    <xf numFmtId="0" fontId="6" fillId="76" borderId="0" xfId="63" applyFont="1" applyFill="1"/>
    <xf numFmtId="6" fontId="0" fillId="59" borderId="0" xfId="0" applyNumberFormat="1" applyFill="1"/>
    <xf numFmtId="166" fontId="204" fillId="76" borderId="226" xfId="63" applyNumberFormat="1" applyFont="1" applyFill="1" applyBorder="1"/>
    <xf numFmtId="166" fontId="204" fillId="76" borderId="376" xfId="63" applyNumberFormat="1" applyFont="1" applyFill="1" applyBorder="1"/>
    <xf numFmtId="166" fontId="204" fillId="76" borderId="374" xfId="63" applyNumberFormat="1" applyFont="1" applyFill="1" applyBorder="1"/>
    <xf numFmtId="166" fontId="204" fillId="76" borderId="241" xfId="63" applyNumberFormat="1" applyFont="1" applyFill="1" applyBorder="1"/>
    <xf numFmtId="166" fontId="204" fillId="76" borderId="373" xfId="63" applyNumberFormat="1" applyFont="1" applyFill="1" applyBorder="1"/>
    <xf numFmtId="0" fontId="164" fillId="76" borderId="226" xfId="0" applyFont="1" applyFill="1" applyBorder="1"/>
    <xf numFmtId="6" fontId="0" fillId="59" borderId="376" xfId="0" applyNumberFormat="1" applyFill="1" applyBorder="1"/>
    <xf numFmtId="0" fontId="164" fillId="76" borderId="374" xfId="0" applyFont="1" applyFill="1" applyBorder="1"/>
    <xf numFmtId="6" fontId="0" fillId="59" borderId="241" xfId="0" applyNumberFormat="1" applyFill="1" applyBorder="1"/>
    <xf numFmtId="6" fontId="0" fillId="59" borderId="373" xfId="0" applyNumberFormat="1" applyFill="1" applyBorder="1"/>
    <xf numFmtId="0" fontId="3" fillId="73" borderId="0" xfId="63" applyFill="1"/>
    <xf numFmtId="0" fontId="205" fillId="71" borderId="117" xfId="0" applyFont="1" applyFill="1" applyBorder="1"/>
    <xf numFmtId="0" fontId="205" fillId="71" borderId="0" xfId="0" applyFont="1" applyFill="1"/>
    <xf numFmtId="0" fontId="205" fillId="71" borderId="420" xfId="0" applyFont="1" applyFill="1" applyBorder="1"/>
    <xf numFmtId="0" fontId="206" fillId="59" borderId="0" xfId="0" applyFont="1" applyFill="1"/>
    <xf numFmtId="3" fontId="207" fillId="59" borderId="0" xfId="0" applyNumberFormat="1" applyFont="1" applyFill="1"/>
    <xf numFmtId="0" fontId="208" fillId="59" borderId="0" xfId="0" applyFont="1" applyFill="1"/>
    <xf numFmtId="10" fontId="209" fillId="59" borderId="0" xfId="0" applyNumberFormat="1" applyFont="1" applyFill="1"/>
    <xf numFmtId="0" fontId="210" fillId="59" borderId="0" xfId="0" applyFont="1" applyFill="1"/>
    <xf numFmtId="6" fontId="165" fillId="0" borderId="116" xfId="0" applyNumberFormat="1" applyFont="1" applyBorder="1"/>
    <xf numFmtId="0" fontId="75" fillId="59" borderId="0" xfId="0" applyFont="1" applyFill="1"/>
    <xf numFmtId="0" fontId="188" fillId="0" borderId="0" xfId="0" applyFont="1"/>
    <xf numFmtId="165" fontId="188" fillId="59" borderId="0" xfId="0" applyNumberFormat="1" applyFont="1" applyFill="1"/>
    <xf numFmtId="165" fontId="180" fillId="59" borderId="0" xfId="0" applyNumberFormat="1" applyFont="1" applyFill="1"/>
    <xf numFmtId="0" fontId="131" fillId="59" borderId="0" xfId="0" applyFont="1" applyFill="1"/>
    <xf numFmtId="0" fontId="5" fillId="59" borderId="0" xfId="0" applyFont="1" applyFill="1"/>
    <xf numFmtId="0" fontId="211" fillId="59" borderId="0" xfId="0" applyFont="1" applyFill="1"/>
    <xf numFmtId="10" fontId="211" fillId="59" borderId="0" xfId="0" applyNumberFormat="1" applyFont="1" applyFill="1"/>
    <xf numFmtId="0" fontId="187" fillId="61" borderId="0" xfId="0" applyFont="1" applyFill="1"/>
    <xf numFmtId="41" fontId="187" fillId="61" borderId="0" xfId="0" applyNumberFormat="1" applyFont="1" applyFill="1"/>
    <xf numFmtId="6" fontId="187" fillId="61" borderId="0" xfId="0" applyNumberFormat="1" applyFont="1" applyFill="1"/>
    <xf numFmtId="0" fontId="3" fillId="26" borderId="0" xfId="63" applyFill="1" applyAlignment="1">
      <alignment horizontal="center" vertical="top"/>
    </xf>
    <xf numFmtId="0" fontId="3" fillId="26" borderId="0" xfId="63" quotePrefix="1" applyFill="1" applyAlignment="1" applyProtection="1">
      <alignment horizontal="center" vertical="top"/>
      <protection locked="0"/>
    </xf>
    <xf numFmtId="0" fontId="3" fillId="0" borderId="0" xfId="63" applyAlignment="1">
      <alignment horizontal="center" vertical="top"/>
    </xf>
    <xf numFmtId="0" fontId="3" fillId="0" borderId="0" xfId="63" applyAlignment="1" applyProtection="1">
      <alignment horizontal="center" vertical="top"/>
      <protection locked="0"/>
    </xf>
    <xf numFmtId="0" fontId="205" fillId="71" borderId="117" xfId="0" applyFont="1" applyFill="1" applyBorder="1" applyAlignment="1">
      <alignment horizontal="center" vertical="top"/>
    </xf>
    <xf numFmtId="0" fontId="205" fillId="71" borderId="118" xfId="0" applyFont="1" applyFill="1" applyBorder="1" applyAlignment="1">
      <alignment horizontal="center" vertical="top"/>
    </xf>
    <xf numFmtId="0" fontId="205" fillId="71" borderId="352" xfId="0" applyFont="1" applyFill="1" applyBorder="1" applyAlignment="1">
      <alignment horizontal="center" vertical="top"/>
    </xf>
    <xf numFmtId="0" fontId="206" fillId="0" borderId="0" xfId="0" applyFont="1"/>
    <xf numFmtId="165" fontId="3" fillId="0" borderId="0" xfId="63" applyNumberFormat="1"/>
    <xf numFmtId="0" fontId="212" fillId="59" borderId="0" xfId="0" applyFont="1" applyFill="1"/>
    <xf numFmtId="0" fontId="187" fillId="61" borderId="0" xfId="0" applyFont="1" applyFill="1" applyAlignment="1">
      <alignment horizontal="right"/>
    </xf>
    <xf numFmtId="10" fontId="201" fillId="59" borderId="0" xfId="0" applyNumberFormat="1" applyFont="1" applyFill="1"/>
    <xf numFmtId="0" fontId="1" fillId="59" borderId="0" xfId="0" applyFont="1" applyFill="1"/>
    <xf numFmtId="6" fontId="214" fillId="72" borderId="423" xfId="0" applyNumberFormat="1" applyFont="1" applyFill="1" applyBorder="1"/>
    <xf numFmtId="6" fontId="214" fillId="72" borderId="441" xfId="0" applyNumberFormat="1" applyFont="1" applyFill="1" applyBorder="1"/>
    <xf numFmtId="0" fontId="187" fillId="0" borderId="0" xfId="0" applyFont="1" applyAlignment="1">
      <alignment horizontal="right"/>
    </xf>
    <xf numFmtId="0" fontId="189" fillId="0" borderId="0" xfId="0" applyFont="1" applyAlignment="1">
      <alignment horizontal="center"/>
    </xf>
    <xf numFmtId="191" fontId="188" fillId="74" borderId="0" xfId="0" applyNumberFormat="1" applyFont="1" applyFill="1"/>
    <xf numFmtId="41" fontId="188" fillId="59" borderId="0" xfId="0" applyNumberFormat="1" applyFont="1" applyFill="1"/>
    <xf numFmtId="0" fontId="75" fillId="59" borderId="320" xfId="0" applyFont="1" applyFill="1" applyBorder="1"/>
    <xf numFmtId="0" fontId="3" fillId="77" borderId="379" xfId="0" applyFont="1" applyFill="1" applyBorder="1"/>
    <xf numFmtId="0" fontId="3" fillId="59" borderId="414" xfId="0" applyFont="1" applyFill="1" applyBorder="1"/>
    <xf numFmtId="0" fontId="3" fillId="26" borderId="379" xfId="63" applyFill="1" applyBorder="1"/>
    <xf numFmtId="0" fontId="3" fillId="26" borderId="375" xfId="63" applyFill="1" applyBorder="1"/>
    <xf numFmtId="0" fontId="75" fillId="59" borderId="226" xfId="0" applyFont="1" applyFill="1" applyBorder="1"/>
    <xf numFmtId="0" fontId="3" fillId="78" borderId="0" xfId="0" applyFont="1" applyFill="1"/>
    <xf numFmtId="0" fontId="3" fillId="59" borderId="442" xfId="0" applyFont="1" applyFill="1" applyBorder="1"/>
    <xf numFmtId="0" fontId="3" fillId="26" borderId="376" xfId="63" applyFill="1" applyBorder="1"/>
    <xf numFmtId="0" fontId="3" fillId="79" borderId="0" xfId="0" applyFont="1" applyFill="1"/>
    <xf numFmtId="0" fontId="3" fillId="65" borderId="0" xfId="0" applyFont="1" applyFill="1"/>
    <xf numFmtId="0" fontId="3" fillId="26" borderId="226" xfId="63" applyFill="1" applyBorder="1"/>
    <xf numFmtId="0" fontId="3" fillId="26" borderId="442" xfId="63" applyFill="1" applyBorder="1"/>
    <xf numFmtId="0" fontId="3" fillId="26" borderId="226" xfId="63" quotePrefix="1" applyFill="1" applyBorder="1" applyProtection="1">
      <protection locked="0"/>
    </xf>
    <xf numFmtId="0" fontId="3" fillId="26" borderId="442" xfId="63" quotePrefix="1" applyFill="1" applyBorder="1" applyProtection="1">
      <protection locked="0"/>
    </xf>
    <xf numFmtId="0" fontId="3" fillId="26" borderId="376" xfId="63" quotePrefix="1" applyFill="1" applyBorder="1" applyProtection="1">
      <protection locked="0"/>
    </xf>
    <xf numFmtId="0" fontId="3" fillId="0" borderId="226" xfId="63" applyBorder="1" applyProtection="1">
      <protection locked="0"/>
    </xf>
    <xf numFmtId="0" fontId="3" fillId="0" borderId="442" xfId="63" applyBorder="1" applyProtection="1">
      <protection locked="0"/>
    </xf>
    <xf numFmtId="0" fontId="3" fillId="26" borderId="376" xfId="63" applyFill="1" applyBorder="1" applyProtection="1">
      <protection locked="0"/>
    </xf>
    <xf numFmtId="0" fontId="215" fillId="60" borderId="443" xfId="0" applyFont="1" applyFill="1" applyBorder="1" applyAlignment="1">
      <alignment horizontal="center"/>
    </xf>
    <xf numFmtId="0" fontId="215" fillId="60" borderId="406" xfId="0" applyFont="1" applyFill="1" applyBorder="1" applyAlignment="1">
      <alignment horizontal="center"/>
    </xf>
    <xf numFmtId="0" fontId="215" fillId="60" borderId="407" xfId="0" applyFont="1" applyFill="1" applyBorder="1" applyAlignment="1">
      <alignment horizontal="center"/>
    </xf>
    <xf numFmtId="0" fontId="215" fillId="60" borderId="408" xfId="0" applyFont="1" applyFill="1" applyBorder="1" applyAlignment="1">
      <alignment horizontal="center"/>
    </xf>
    <xf numFmtId="0" fontId="215" fillId="60" borderId="409" xfId="0" applyFont="1" applyFill="1" applyBorder="1" applyAlignment="1">
      <alignment horizontal="center"/>
    </xf>
    <xf numFmtId="0" fontId="3" fillId="0" borderId="0" xfId="0" applyFont="1" applyAlignment="1">
      <alignment horizontal="center"/>
    </xf>
    <xf numFmtId="0" fontId="215" fillId="60" borderId="444" xfId="0" applyFont="1" applyFill="1" applyBorder="1" applyAlignment="1">
      <alignment horizontal="center"/>
    </xf>
    <xf numFmtId="0" fontId="75" fillId="0" borderId="374" xfId="0" applyFont="1" applyBorder="1"/>
    <xf numFmtId="0" fontId="3" fillId="0" borderId="445" xfId="0" applyFont="1" applyBorder="1"/>
    <xf numFmtId="0" fontId="3" fillId="0" borderId="446" xfId="0" applyFont="1" applyBorder="1"/>
    <xf numFmtId="0" fontId="75" fillId="0" borderId="241" xfId="63" applyFont="1" applyBorder="1"/>
    <xf numFmtId="0" fontId="75" fillId="0" borderId="373" xfId="63" applyFont="1" applyBorder="1"/>
    <xf numFmtId="0" fontId="177" fillId="80" borderId="386" xfId="69" quotePrefix="1" applyNumberFormat="1" applyFont="1" applyFill="1" applyBorder="1" applyAlignment="1"/>
    <xf numFmtId="41" fontId="177" fillId="78" borderId="387" xfId="70" applyNumberFormat="1" applyFont="1" applyFill="1" applyBorder="1">
      <alignment horizontal="right" vertical="center"/>
    </xf>
    <xf numFmtId="0" fontId="177" fillId="81" borderId="386" xfId="69" quotePrefix="1" applyNumberFormat="1" applyFont="1" applyFill="1" applyBorder="1" applyAlignment="1"/>
    <xf numFmtId="41" fontId="177" fillId="77" borderId="387" xfId="70" applyNumberFormat="1" applyFont="1" applyFill="1" applyBorder="1">
      <alignment horizontal="right" vertical="center"/>
    </xf>
    <xf numFmtId="0" fontId="179" fillId="81" borderId="383" xfId="69" quotePrefix="1" applyNumberFormat="1" applyFont="1" applyFill="1" applyAlignment="1"/>
    <xf numFmtId="41" fontId="179" fillId="77" borderId="384" xfId="70" applyNumberFormat="1" applyFont="1" applyFill="1">
      <alignment horizontal="right" vertical="center"/>
    </xf>
    <xf numFmtId="0" fontId="3" fillId="77" borderId="0" xfId="63" applyFill="1"/>
    <xf numFmtId="0" fontId="3" fillId="82" borderId="0" xfId="0" applyFont="1" applyFill="1"/>
    <xf numFmtId="0" fontId="179" fillId="64" borderId="383" xfId="69" quotePrefix="1" applyNumberFormat="1" applyFont="1" applyFill="1" applyAlignment="1"/>
    <xf numFmtId="41" fontId="179" fillId="65" borderId="384" xfId="70" applyNumberFormat="1" applyFont="1" applyFill="1">
      <alignment horizontal="right" vertical="center"/>
    </xf>
    <xf numFmtId="0" fontId="3" fillId="65" borderId="0" xfId="63" applyFill="1"/>
    <xf numFmtId="0" fontId="179" fillId="80" borderId="383" xfId="69" quotePrefix="1" applyNumberFormat="1" applyFont="1" applyFill="1" applyAlignment="1"/>
    <xf numFmtId="41" fontId="179" fillId="78" borderId="384" xfId="70" applyNumberFormat="1" applyFont="1" applyFill="1">
      <alignment horizontal="right" vertical="center"/>
    </xf>
    <xf numFmtId="0" fontId="3" fillId="78" borderId="0" xfId="63" applyFill="1"/>
    <xf numFmtId="0" fontId="179" fillId="83" borderId="383" xfId="69" quotePrefix="1" applyNumberFormat="1" applyFont="1" applyFill="1" applyAlignment="1"/>
    <xf numFmtId="41" fontId="179" fillId="79" borderId="384" xfId="70" applyNumberFormat="1" applyFont="1" applyFill="1">
      <alignment horizontal="right" vertical="center"/>
    </xf>
    <xf numFmtId="0" fontId="3" fillId="79" borderId="0" xfId="63" applyFill="1"/>
    <xf numFmtId="10" fontId="3" fillId="77" borderId="0" xfId="63" applyNumberFormat="1" applyFill="1"/>
    <xf numFmtId="0" fontId="75" fillId="77" borderId="0" xfId="63" applyFont="1" applyFill="1"/>
    <xf numFmtId="37" fontId="3" fillId="77" borderId="0" xfId="63" applyNumberFormat="1" applyFill="1"/>
    <xf numFmtId="0" fontId="75" fillId="59" borderId="0" xfId="0" applyFont="1" applyFill="1" applyAlignment="1">
      <alignment horizontal="right"/>
    </xf>
    <xf numFmtId="3" fontId="75" fillId="59" borderId="210" xfId="0" applyNumberFormat="1" applyFont="1" applyFill="1" applyBorder="1"/>
    <xf numFmtId="3" fontId="75" fillId="59" borderId="208" xfId="0" applyNumberFormat="1" applyFont="1" applyFill="1" applyBorder="1"/>
    <xf numFmtId="3" fontId="75" fillId="59" borderId="209" xfId="0" applyNumberFormat="1" applyFont="1" applyFill="1" applyBorder="1"/>
    <xf numFmtId="0" fontId="187" fillId="61" borderId="410" xfId="0" applyFont="1" applyFill="1" applyBorder="1" applyAlignment="1">
      <alignment horizontal="right"/>
    </xf>
    <xf numFmtId="42" fontId="3" fillId="61" borderId="0" xfId="0" applyNumberFormat="1" applyFont="1" applyFill="1"/>
    <xf numFmtId="0" fontId="187" fillId="61" borderId="411" xfId="0" applyFont="1" applyFill="1" applyBorder="1" applyAlignment="1">
      <alignment horizontal="right"/>
    </xf>
    <xf numFmtId="42" fontId="75" fillId="59" borderId="0" xfId="0" applyNumberFormat="1" applyFont="1" applyFill="1"/>
    <xf numFmtId="6" fontId="75" fillId="59" borderId="0" xfId="0" applyNumberFormat="1" applyFont="1" applyFill="1"/>
    <xf numFmtId="0" fontId="216" fillId="59" borderId="0" xfId="0" applyFont="1" applyFill="1"/>
    <xf numFmtId="0" fontId="181" fillId="59" borderId="0" xfId="0" applyFont="1" applyFill="1" applyAlignment="1">
      <alignment horizontal="center"/>
    </xf>
    <xf numFmtId="0" fontId="217" fillId="59" borderId="0" xfId="0" applyFont="1" applyFill="1"/>
    <xf numFmtId="0" fontId="198" fillId="75" borderId="0" xfId="0" applyFont="1" applyFill="1" applyAlignment="1">
      <alignment horizontal="right"/>
    </xf>
    <xf numFmtId="0" fontId="210" fillId="59" borderId="0" xfId="0" applyFont="1" applyFill="1" applyAlignment="1">
      <alignment horizontal="right"/>
    </xf>
    <xf numFmtId="42" fontId="216" fillId="59" borderId="0" xfId="0" applyNumberFormat="1" applyFont="1" applyFill="1"/>
    <xf numFmtId="6" fontId="216" fillId="59" borderId="0" xfId="0" applyNumberFormat="1" applyFont="1" applyFill="1"/>
    <xf numFmtId="0" fontId="210" fillId="59" borderId="350" xfId="0" applyFont="1" applyFill="1" applyBorder="1"/>
    <xf numFmtId="6" fontId="216" fillId="59" borderId="372" xfId="0" applyNumberFormat="1" applyFont="1" applyFill="1" applyBorder="1"/>
    <xf numFmtId="6" fontId="216" fillId="59" borderId="351" xfId="0" applyNumberFormat="1" applyFont="1" applyFill="1" applyBorder="1"/>
    <xf numFmtId="0" fontId="210" fillId="59" borderId="11" xfId="0" applyFont="1" applyFill="1" applyBorder="1"/>
    <xf numFmtId="6" fontId="216" fillId="59" borderId="420" xfId="0" applyNumberFormat="1" applyFont="1" applyFill="1" applyBorder="1"/>
    <xf numFmtId="0" fontId="210" fillId="59" borderId="117" xfId="0" applyFont="1" applyFill="1" applyBorder="1"/>
    <xf numFmtId="6" fontId="216" fillId="59" borderId="118" xfId="0" applyNumberFormat="1" applyFont="1" applyFill="1" applyBorder="1"/>
    <xf numFmtId="6" fontId="216" fillId="59" borderId="352" xfId="0" applyNumberFormat="1" applyFont="1" applyFill="1" applyBorder="1"/>
    <xf numFmtId="0" fontId="210" fillId="0" borderId="0" xfId="0" applyFont="1" applyAlignment="1">
      <alignment horizontal="right"/>
    </xf>
    <xf numFmtId="6" fontId="216" fillId="61" borderId="210" xfId="0" applyNumberFormat="1" applyFont="1" applyFill="1" applyBorder="1"/>
    <xf numFmtId="6" fontId="216" fillId="61" borderId="208" xfId="0" applyNumberFormat="1" applyFont="1" applyFill="1" applyBorder="1"/>
    <xf numFmtId="6" fontId="216" fillId="61" borderId="209" xfId="0" applyNumberFormat="1" applyFont="1" applyFill="1" applyBorder="1"/>
    <xf numFmtId="0" fontId="210" fillId="61" borderId="0" xfId="0" applyFont="1" applyFill="1" applyAlignment="1">
      <alignment horizontal="right"/>
    </xf>
    <xf numFmtId="42" fontId="216" fillId="61" borderId="0" xfId="0" applyNumberFormat="1" applyFont="1" applyFill="1"/>
    <xf numFmtId="6" fontId="216" fillId="61" borderId="0" xfId="0" applyNumberFormat="1" applyFont="1" applyFill="1"/>
    <xf numFmtId="0" fontId="218" fillId="73" borderId="0" xfId="0" applyFont="1" applyFill="1"/>
    <xf numFmtId="3" fontId="216" fillId="61" borderId="0" xfId="0" applyNumberFormat="1" applyFont="1" applyFill="1"/>
    <xf numFmtId="6" fontId="218" fillId="61" borderId="0" xfId="0" applyNumberFormat="1" applyFont="1" applyFill="1"/>
    <xf numFmtId="10" fontId="3" fillId="65" borderId="0" xfId="63" applyNumberFormat="1" applyFill="1"/>
    <xf numFmtId="0" fontId="75" fillId="65" borderId="0" xfId="63" applyFont="1" applyFill="1"/>
    <xf numFmtId="37" fontId="3" fillId="65" borderId="0" xfId="63" applyNumberFormat="1" applyFill="1"/>
    <xf numFmtId="10" fontId="3" fillId="79" borderId="0" xfId="63" applyNumberFormat="1" applyFill="1"/>
    <xf numFmtId="0" fontId="75" fillId="79" borderId="0" xfId="63" applyFont="1" applyFill="1"/>
    <xf numFmtId="37" fontId="3" fillId="79" borderId="0" xfId="63" applyNumberFormat="1" applyFill="1"/>
    <xf numFmtId="10" fontId="3" fillId="78" borderId="0" xfId="63" applyNumberFormat="1" applyFill="1"/>
    <xf numFmtId="0" fontId="75" fillId="78" borderId="0" xfId="63" applyFont="1" applyFill="1"/>
    <xf numFmtId="37" fontId="3" fillId="78" borderId="0" xfId="63" applyNumberFormat="1" applyFill="1"/>
    <xf numFmtId="0" fontId="215" fillId="60" borderId="116" xfId="0" applyFont="1" applyFill="1" applyBorder="1"/>
    <xf numFmtId="0" fontId="215" fillId="60" borderId="115" xfId="0" applyFont="1" applyFill="1" applyBorder="1"/>
    <xf numFmtId="0" fontId="187" fillId="59" borderId="0" xfId="0" applyFont="1" applyFill="1"/>
    <xf numFmtId="41" fontId="187" fillId="61" borderId="425" xfId="0" applyNumberFormat="1" applyFont="1" applyFill="1" applyBorder="1"/>
    <xf numFmtId="165" fontId="0" fillId="59" borderId="0" xfId="0" applyNumberFormat="1" applyFill="1"/>
    <xf numFmtId="0" fontId="215" fillId="60" borderId="406" xfId="0" applyFont="1" applyFill="1" applyBorder="1"/>
    <xf numFmtId="0" fontId="215" fillId="60" borderId="407" xfId="0" applyFont="1" applyFill="1" applyBorder="1"/>
    <xf numFmtId="0" fontId="215" fillId="60" borderId="408" xfId="0" applyFont="1" applyFill="1" applyBorder="1"/>
    <xf numFmtId="0" fontId="215" fillId="60" borderId="409" xfId="0" applyFont="1" applyFill="1" applyBorder="1"/>
    <xf numFmtId="10" fontId="197" fillId="59" borderId="0" xfId="0" applyNumberFormat="1" applyFont="1" applyFill="1"/>
    <xf numFmtId="0" fontId="187" fillId="61" borderId="447" xfId="0" applyFont="1" applyFill="1" applyBorder="1"/>
    <xf numFmtId="6" fontId="187" fillId="61" borderId="448" xfId="0" applyNumberFormat="1" applyFont="1" applyFill="1" applyBorder="1"/>
    <xf numFmtId="6" fontId="187" fillId="61" borderId="449" xfId="0" applyNumberFormat="1" applyFont="1" applyFill="1" applyBorder="1"/>
    <xf numFmtId="0" fontId="187" fillId="61" borderId="450" xfId="0" applyFont="1" applyFill="1" applyBorder="1"/>
    <xf numFmtId="6" fontId="187" fillId="61" borderId="442" xfId="0" applyNumberFormat="1" applyFont="1" applyFill="1" applyBorder="1"/>
    <xf numFmtId="0" fontId="187" fillId="61" borderId="451" xfId="0" applyFont="1" applyFill="1" applyBorder="1"/>
    <xf numFmtId="6" fontId="187" fillId="61" borderId="452" xfId="0" applyNumberFormat="1" applyFont="1" applyFill="1" applyBorder="1"/>
    <xf numFmtId="6" fontId="187" fillId="61" borderId="453" xfId="0" applyNumberFormat="1" applyFont="1" applyFill="1" applyBorder="1"/>
    <xf numFmtId="0" fontId="3" fillId="61" borderId="117" xfId="0" applyFont="1" applyFill="1" applyBorder="1"/>
    <xf numFmtId="6" fontId="187" fillId="61" borderId="118" xfId="0" applyNumberFormat="1" applyFont="1" applyFill="1" applyBorder="1"/>
    <xf numFmtId="6" fontId="187" fillId="61" borderId="352" xfId="0" applyNumberFormat="1" applyFont="1" applyFill="1" applyBorder="1"/>
    <xf numFmtId="0" fontId="220" fillId="0" borderId="0" xfId="63" applyFont="1"/>
    <xf numFmtId="43" fontId="221" fillId="0" borderId="0" xfId="65" applyFont="1"/>
    <xf numFmtId="43" fontId="222" fillId="0" borderId="0" xfId="65" applyFont="1" applyAlignment="1">
      <alignment horizontal="right"/>
    </xf>
    <xf numFmtId="43" fontId="75" fillId="0" borderId="0" xfId="65" applyFont="1" applyAlignment="1">
      <alignment horizontal="right"/>
    </xf>
    <xf numFmtId="43" fontId="0" fillId="0" borderId="0" xfId="65" applyFont="1"/>
    <xf numFmtId="43" fontId="75" fillId="0" borderId="0" xfId="65" applyFont="1"/>
    <xf numFmtId="43" fontId="223" fillId="0" borderId="0" xfId="65" applyFont="1"/>
    <xf numFmtId="0" fontId="3" fillId="0" borderId="118" xfId="63" applyBorder="1"/>
    <xf numFmtId="43" fontId="224" fillId="0" borderId="0" xfId="65" applyFont="1" applyAlignment="1">
      <alignment horizontal="center" wrapText="1"/>
    </xf>
    <xf numFmtId="166" fontId="208" fillId="0" borderId="0" xfId="63" quotePrefix="1" applyNumberFormat="1" applyFont="1"/>
    <xf numFmtId="43" fontId="224" fillId="0" borderId="0" xfId="65" applyFont="1" applyAlignment="1">
      <alignment wrapText="1"/>
    </xf>
    <xf numFmtId="43" fontId="224" fillId="0" borderId="0" xfId="65" applyFont="1" applyAlignment="1">
      <alignment horizontal="left" wrapText="1"/>
    </xf>
    <xf numFmtId="0" fontId="3" fillId="0" borderId="0" xfId="63" applyAlignment="1">
      <alignment horizontal="center"/>
    </xf>
    <xf numFmtId="43" fontId="75" fillId="0" borderId="0" xfId="65" applyFont="1" applyAlignment="1">
      <alignment horizontal="center"/>
    </xf>
    <xf numFmtId="166" fontId="75" fillId="0" borderId="0" xfId="63" applyNumberFormat="1" applyFont="1"/>
    <xf numFmtId="43" fontId="225" fillId="0" borderId="0" xfId="65" applyFont="1" applyAlignment="1">
      <alignment wrapText="1"/>
    </xf>
    <xf numFmtId="9" fontId="3" fillId="0" borderId="0" xfId="63" applyNumberFormat="1" applyAlignment="1">
      <alignment horizontal="center"/>
    </xf>
    <xf numFmtId="10" fontId="3" fillId="0" borderId="0" xfId="63" applyNumberFormat="1" applyAlignment="1">
      <alignment horizontal="center"/>
    </xf>
    <xf numFmtId="43" fontId="75" fillId="0" borderId="0" xfId="65" applyFont="1" applyAlignment="1">
      <alignment wrapText="1"/>
    </xf>
    <xf numFmtId="44" fontId="0" fillId="0" borderId="0" xfId="71" applyFont="1"/>
    <xf numFmtId="44" fontId="75" fillId="0" borderId="0" xfId="71" applyFont="1"/>
    <xf numFmtId="166" fontId="75" fillId="0" borderId="0" xfId="64" applyNumberFormat="1" applyFont="1"/>
    <xf numFmtId="44" fontId="3" fillId="0" borderId="0" xfId="63" applyNumberFormat="1"/>
    <xf numFmtId="43" fontId="75" fillId="0" borderId="0" xfId="65" applyFont="1" applyAlignment="1"/>
    <xf numFmtId="43" fontId="3" fillId="0" borderId="0" xfId="65" applyFont="1"/>
    <xf numFmtId="44" fontId="0" fillId="0" borderId="237" xfId="71" applyFont="1" applyBorder="1"/>
    <xf numFmtId="44" fontId="75" fillId="0" borderId="237" xfId="71" applyFont="1" applyBorder="1"/>
    <xf numFmtId="166" fontId="75" fillId="0" borderId="237" xfId="64" applyNumberFormat="1" applyFont="1" applyBorder="1"/>
    <xf numFmtId="44" fontId="75" fillId="0" borderId="0" xfId="71" applyFont="1" applyBorder="1"/>
    <xf numFmtId="10" fontId="75" fillId="0" borderId="0" xfId="71" applyNumberFormat="1" applyFont="1" applyBorder="1"/>
    <xf numFmtId="10" fontId="75" fillId="0" borderId="237" xfId="71" applyNumberFormat="1" applyFont="1" applyBorder="1"/>
    <xf numFmtId="44" fontId="0" fillId="0" borderId="0" xfId="65" applyNumberFormat="1" applyFont="1"/>
    <xf numFmtId="43" fontId="0" fillId="0" borderId="0" xfId="65" applyFont="1" applyBorder="1"/>
    <xf numFmtId="43" fontId="75" fillId="0" borderId="0" xfId="65" applyFont="1" applyBorder="1"/>
    <xf numFmtId="44" fontId="0" fillId="0" borderId="0" xfId="71" applyFont="1" applyBorder="1"/>
    <xf numFmtId="166" fontId="75" fillId="0" borderId="0" xfId="64" applyNumberFormat="1" applyFont="1" applyBorder="1"/>
    <xf numFmtId="44" fontId="75" fillId="0" borderId="0" xfId="71" applyFont="1" applyFill="1"/>
    <xf numFmtId="44" fontId="3" fillId="0" borderId="0" xfId="71" applyFont="1" applyBorder="1"/>
    <xf numFmtId="0" fontId="3" fillId="0" borderId="0" xfId="63" applyAlignment="1">
      <alignment horizontal="left"/>
    </xf>
    <xf numFmtId="0" fontId="3" fillId="0" borderId="0" xfId="63" applyAlignment="1">
      <alignment horizontal="left" wrapText="1"/>
    </xf>
    <xf numFmtId="40" fontId="75" fillId="0" borderId="0" xfId="65" applyNumberFormat="1" applyFont="1"/>
    <xf numFmtId="0" fontId="3" fillId="0" borderId="0" xfId="63" applyAlignment="1">
      <alignment horizontal="right"/>
    </xf>
    <xf numFmtId="43" fontId="75" fillId="0" borderId="0" xfId="65" applyFont="1" applyFill="1" applyBorder="1"/>
    <xf numFmtId="43" fontId="181" fillId="0" borderId="0" xfId="65" applyFont="1" applyBorder="1"/>
    <xf numFmtId="43" fontId="0" fillId="0" borderId="0" xfId="65" applyFont="1" applyFill="1"/>
    <xf numFmtId="43" fontId="75" fillId="0" borderId="0" xfId="65" applyFont="1" applyFill="1"/>
    <xf numFmtId="166" fontId="75" fillId="0" borderId="0" xfId="64" applyNumberFormat="1" applyFont="1" applyFill="1"/>
    <xf numFmtId="44" fontId="75" fillId="0" borderId="0" xfId="71" applyFont="1" applyFill="1" applyBorder="1"/>
    <xf numFmtId="10" fontId="75" fillId="0" borderId="0" xfId="71" applyNumberFormat="1" applyFont="1" applyFill="1" applyBorder="1"/>
    <xf numFmtId="43" fontId="3" fillId="0" borderId="0" xfId="65" applyFont="1" applyFill="1"/>
    <xf numFmtId="44" fontId="0" fillId="0" borderId="0" xfId="71" applyFont="1" applyFill="1"/>
    <xf numFmtId="44" fontId="3" fillId="0" borderId="0" xfId="71" applyFont="1" applyFill="1" applyBorder="1"/>
    <xf numFmtId="43" fontId="180" fillId="0" borderId="0" xfId="65" applyFont="1" applyFill="1"/>
    <xf numFmtId="44" fontId="3" fillId="84" borderId="0" xfId="71" applyFont="1" applyFill="1" applyBorder="1"/>
    <xf numFmtId="43" fontId="226" fillId="0" borderId="0" xfId="65" applyFont="1" applyFill="1"/>
    <xf numFmtId="43" fontId="3" fillId="54" borderId="0" xfId="65" applyFont="1" applyFill="1"/>
    <xf numFmtId="44" fontId="75" fillId="54" borderId="0" xfId="71" applyFont="1" applyFill="1" applyBorder="1"/>
    <xf numFmtId="44" fontId="75" fillId="54" borderId="237" xfId="71" applyFont="1" applyFill="1" applyBorder="1"/>
    <xf numFmtId="0" fontId="3" fillId="73" borderId="0" xfId="63" applyFill="1" applyAlignment="1">
      <alignment horizontal="right"/>
    </xf>
    <xf numFmtId="0" fontId="3" fillId="73" borderId="0" xfId="63" applyFill="1" applyAlignment="1">
      <alignment horizontal="center"/>
    </xf>
    <xf numFmtId="0" fontId="99" fillId="0" borderId="0" xfId="63" applyFont="1"/>
    <xf numFmtId="43" fontId="99" fillId="0" borderId="0" xfId="65" applyFont="1" applyBorder="1"/>
    <xf numFmtId="43" fontId="99" fillId="0" borderId="0" xfId="65" applyFont="1"/>
    <xf numFmtId="43" fontId="220" fillId="0" borderId="0" xfId="65" applyFont="1"/>
    <xf numFmtId="0" fontId="3" fillId="0" borderId="0" xfId="63" quotePrefix="1"/>
    <xf numFmtId="0" fontId="227" fillId="0" borderId="0" xfId="72"/>
    <xf numFmtId="0" fontId="75" fillId="0" borderId="0" xfId="73" applyFont="1"/>
    <xf numFmtId="0" fontId="3" fillId="0" borderId="0" xfId="67" applyFont="1"/>
    <xf numFmtId="0" fontId="1" fillId="0" borderId="0" xfId="67"/>
    <xf numFmtId="0" fontId="75" fillId="0" borderId="0" xfId="73" applyFont="1" applyAlignment="1">
      <alignment horizontal="center" vertical="center"/>
    </xf>
    <xf numFmtId="0" fontId="3" fillId="0" borderId="0" xfId="73" applyAlignment="1">
      <alignment horizontal="center" vertical="center"/>
    </xf>
    <xf numFmtId="0" fontId="3" fillId="0" borderId="0" xfId="67" applyFont="1" applyAlignment="1">
      <alignment horizontal="center" vertical="center"/>
    </xf>
    <xf numFmtId="0" fontId="75" fillId="0" borderId="320" xfId="73" applyFont="1" applyBorder="1" applyAlignment="1">
      <alignment horizontal="center" vertical="center" wrapText="1"/>
    </xf>
    <xf numFmtId="17" fontId="75" fillId="0" borderId="379" xfId="73" applyNumberFormat="1" applyFont="1" applyBorder="1" applyAlignment="1">
      <alignment horizontal="center" vertical="center" wrapText="1"/>
    </xf>
    <xf numFmtId="192" fontId="75" fillId="0" borderId="340" xfId="73" applyNumberFormat="1" applyFont="1" applyBorder="1" applyAlignment="1">
      <alignment horizontal="center" vertical="center" wrapText="1"/>
    </xf>
    <xf numFmtId="192" fontId="75" fillId="0" borderId="454" xfId="73" applyNumberFormat="1" applyFont="1" applyBorder="1" applyAlignment="1">
      <alignment horizontal="center" vertical="center" wrapText="1"/>
    </xf>
    <xf numFmtId="0" fontId="3" fillId="0" borderId="320" xfId="73" applyBorder="1" applyAlignment="1">
      <alignment horizontal="left" indent="1"/>
    </xf>
    <xf numFmtId="41" fontId="3" fillId="0" borderId="340" xfId="67" applyNumberFormat="1" applyFont="1" applyBorder="1"/>
    <xf numFmtId="0" fontId="3" fillId="0" borderId="226" xfId="73" applyBorder="1" applyAlignment="1">
      <alignment horizontal="left" indent="1"/>
    </xf>
    <xf numFmtId="41" fontId="3" fillId="0" borderId="455" xfId="67" applyNumberFormat="1" applyFont="1" applyBorder="1"/>
    <xf numFmtId="0" fontId="3" fillId="0" borderId="456" xfId="73" applyBorder="1" applyAlignment="1">
      <alignment horizontal="left"/>
    </xf>
    <xf numFmtId="41" fontId="3" fillId="0" borderId="457" xfId="67" applyNumberFormat="1" applyFont="1" applyBorder="1"/>
    <xf numFmtId="41" fontId="3" fillId="0" borderId="458" xfId="67" applyNumberFormat="1" applyFont="1" applyBorder="1"/>
    <xf numFmtId="41" fontId="3" fillId="0" borderId="459" xfId="67" applyNumberFormat="1" applyFont="1" applyBorder="1"/>
    <xf numFmtId="0" fontId="3" fillId="0" borderId="460" xfId="67" applyFont="1" applyBorder="1"/>
    <xf numFmtId="41" fontId="75" fillId="0" borderId="461" xfId="67" applyNumberFormat="1" applyFont="1" applyBorder="1"/>
    <xf numFmtId="41" fontId="3" fillId="0" borderId="461" xfId="67" applyNumberFormat="1" applyFont="1" applyBorder="1"/>
    <xf numFmtId="41" fontId="75" fillId="0" borderId="462" xfId="67" applyNumberFormat="1" applyFont="1" applyBorder="1"/>
    <xf numFmtId="0" fontId="75" fillId="0" borderId="463" xfId="73" applyFont="1" applyBorder="1" applyAlignment="1">
      <alignment horizontal="center" vertical="center" wrapText="1"/>
    </xf>
    <xf numFmtId="41" fontId="75" fillId="0" borderId="445" xfId="67" applyNumberFormat="1" applyFont="1" applyBorder="1"/>
    <xf numFmtId="41" fontId="75" fillId="0" borderId="464" xfId="67" applyNumberFormat="1" applyFont="1" applyBorder="1"/>
    <xf numFmtId="0" fontId="75" fillId="0" borderId="0" xfId="73" applyFont="1" applyAlignment="1">
      <alignment horizontal="center" vertical="center" wrapText="1"/>
    </xf>
    <xf numFmtId="41" fontId="75" fillId="0" borderId="0" xfId="67" applyNumberFormat="1" applyFont="1" applyAlignment="1">
      <alignment horizontal="right"/>
    </xf>
    <xf numFmtId="41" fontId="3" fillId="0" borderId="0" xfId="67" applyNumberFormat="1" applyFont="1"/>
    <xf numFmtId="0" fontId="75" fillId="0" borderId="0" xfId="74" applyFont="1"/>
    <xf numFmtId="0" fontId="3" fillId="0" borderId="0" xfId="74"/>
    <xf numFmtId="0" fontId="75" fillId="0" borderId="0" xfId="74" quotePrefix="1" applyFont="1"/>
    <xf numFmtId="165" fontId="3" fillId="0" borderId="0" xfId="74" applyNumberFormat="1"/>
    <xf numFmtId="17" fontId="75" fillId="0" borderId="372" xfId="74" applyNumberFormat="1" applyFont="1" applyBorder="1" applyAlignment="1">
      <alignment horizontal="center" vertical="center" wrapText="1"/>
    </xf>
    <xf numFmtId="17" fontId="75" fillId="0" borderId="118" xfId="74" applyNumberFormat="1" applyFont="1" applyBorder="1" applyAlignment="1">
      <alignment horizontal="center" vertical="center" wrapText="1"/>
    </xf>
    <xf numFmtId="0" fontId="3" fillId="0" borderId="0" xfId="74" applyAlignment="1">
      <alignment vertical="center" wrapText="1"/>
    </xf>
    <xf numFmtId="165" fontId="3" fillId="0" borderId="0" xfId="28" applyNumberFormat="1" applyFont="1" applyFill="1" applyBorder="1" applyAlignment="1">
      <alignment horizontal="center" vertical="center" wrapText="1"/>
    </xf>
    <xf numFmtId="165" fontId="3" fillId="0" borderId="114" xfId="28" applyNumberFormat="1" applyFont="1" applyFill="1" applyBorder="1" applyAlignment="1"/>
    <xf numFmtId="165" fontId="3" fillId="0" borderId="114" xfId="74" applyNumberFormat="1" applyBorder="1"/>
    <xf numFmtId="165" fontId="75" fillId="0" borderId="237" xfId="74" applyNumberFormat="1" applyFont="1" applyBorder="1"/>
    <xf numFmtId="0" fontId="75" fillId="0" borderId="0" xfId="74" applyFont="1" applyAlignment="1">
      <alignment horizontal="center"/>
    </xf>
    <xf numFmtId="0" fontId="75" fillId="0" borderId="237" xfId="74" applyFont="1" applyBorder="1"/>
    <xf numFmtId="165" fontId="3" fillId="0" borderId="237" xfId="28" applyNumberFormat="1" applyFont="1" applyFill="1" applyBorder="1" applyAlignment="1"/>
    <xf numFmtId="169" fontId="3" fillId="0" borderId="0" xfId="75" applyNumberFormat="1" applyFont="1"/>
    <xf numFmtId="170" fontId="3" fillId="0" borderId="0" xfId="75" applyNumberFormat="1" applyFont="1"/>
    <xf numFmtId="0" fontId="227" fillId="0" borderId="0" xfId="76" applyFont="1" applyAlignment="1" applyProtection="1"/>
    <xf numFmtId="0" fontId="75" fillId="0" borderId="0" xfId="77" applyFont="1"/>
    <xf numFmtId="0" fontId="3" fillId="0" borderId="0" xfId="77" applyFont="1"/>
    <xf numFmtId="0" fontId="228" fillId="0" borderId="0" xfId="77" applyFont="1"/>
    <xf numFmtId="0" fontId="198" fillId="0" borderId="0" xfId="78" applyFont="1"/>
    <xf numFmtId="0" fontId="199" fillId="0" borderId="0" xfId="78" applyFont="1"/>
    <xf numFmtId="0" fontId="1" fillId="0" borderId="0" xfId="78"/>
    <xf numFmtId="0" fontId="188" fillId="0" borderId="0" xfId="78" applyFont="1"/>
    <xf numFmtId="0" fontId="229" fillId="85" borderId="93" xfId="38" applyFont="1" applyFill="1" applyBorder="1" applyAlignment="1" applyProtection="1">
      <alignment horizontal="center"/>
    </xf>
    <xf numFmtId="0" fontId="229" fillId="39" borderId="93" xfId="38" applyFont="1" applyFill="1" applyBorder="1" applyAlignment="1" applyProtection="1">
      <alignment horizontal="center" vertical="center"/>
    </xf>
    <xf numFmtId="0" fontId="230" fillId="86" borderId="116" xfId="78" applyFont="1" applyFill="1" applyBorder="1"/>
    <xf numFmtId="0" fontId="229" fillId="0" borderId="0" xfId="38" applyFont="1" applyFill="1" applyAlignment="1" applyProtection="1"/>
    <xf numFmtId="0" fontId="231" fillId="87" borderId="433" xfId="63" applyFont="1" applyFill="1" applyBorder="1" applyAlignment="1">
      <alignment wrapText="1"/>
    </xf>
    <xf numFmtId="0" fontId="231" fillId="0" borderId="465" xfId="63" applyFont="1" applyBorder="1" applyAlignment="1">
      <alignment wrapText="1"/>
    </xf>
    <xf numFmtId="0" fontId="232" fillId="88" borderId="433" xfId="63" applyFont="1" applyFill="1" applyBorder="1" applyAlignment="1">
      <alignment horizontal="center" vertical="center" wrapText="1"/>
    </xf>
    <xf numFmtId="0" fontId="233" fillId="89" borderId="465" xfId="63" applyFont="1" applyFill="1" applyBorder="1" applyAlignment="1">
      <alignment horizontal="center" wrapText="1"/>
    </xf>
    <xf numFmtId="0" fontId="234" fillId="89" borderId="0" xfId="63" applyFont="1" applyFill="1" applyAlignment="1">
      <alignment horizontal="center" wrapText="1"/>
    </xf>
    <xf numFmtId="0" fontId="231" fillId="0" borderId="466" xfId="63" applyFont="1" applyBorder="1" applyAlignment="1">
      <alignment wrapText="1"/>
    </xf>
    <xf numFmtId="0" fontId="232" fillId="88" borderId="433" xfId="63" applyFont="1" applyFill="1" applyBorder="1" applyAlignment="1">
      <alignment horizontal="center" wrapText="1"/>
    </xf>
    <xf numFmtId="0" fontId="233" fillId="89" borderId="0" xfId="63" applyFont="1" applyFill="1" applyAlignment="1">
      <alignment horizontal="center" wrapText="1"/>
    </xf>
    <xf numFmtId="0" fontId="234" fillId="0" borderId="465" xfId="63" applyFont="1" applyBorder="1" applyAlignment="1">
      <alignment horizontal="center" wrapText="1"/>
    </xf>
    <xf numFmtId="0" fontId="231" fillId="0" borderId="433" xfId="63" applyFont="1" applyBorder="1" applyAlignment="1">
      <alignment horizontal="center" vertical="center" wrapText="1"/>
    </xf>
    <xf numFmtId="0" fontId="231" fillId="0" borderId="433" xfId="63" applyFont="1" applyBorder="1" applyAlignment="1">
      <alignment wrapText="1"/>
    </xf>
    <xf numFmtId="0" fontId="231" fillId="0" borderId="433" xfId="63" applyFont="1" applyBorder="1" applyAlignment="1">
      <alignment horizontal="center" wrapText="1"/>
    </xf>
    <xf numFmtId="0" fontId="233" fillId="90" borderId="465" xfId="63" applyFont="1" applyFill="1" applyBorder="1" applyAlignment="1">
      <alignment horizontal="center" wrapText="1"/>
    </xf>
    <xf numFmtId="193" fontId="234" fillId="90" borderId="0" xfId="63" applyNumberFormat="1" applyFont="1" applyFill="1" applyAlignment="1">
      <alignment wrapText="1"/>
    </xf>
    <xf numFmtId="0" fontId="231" fillId="0" borderId="433" xfId="63" applyFont="1" applyBorder="1" applyAlignment="1">
      <alignment horizontal="center" vertical="top" wrapText="1"/>
    </xf>
    <xf numFmtId="15" fontId="231" fillId="89" borderId="433" xfId="63" applyNumberFormat="1" applyFont="1" applyFill="1" applyBorder="1" applyAlignment="1">
      <alignment horizontal="center" wrapText="1"/>
    </xf>
    <xf numFmtId="0" fontId="232" fillId="88" borderId="467" xfId="63" applyFont="1" applyFill="1" applyBorder="1" applyAlignment="1">
      <alignment horizontal="center" wrapText="1"/>
    </xf>
    <xf numFmtId="193" fontId="234" fillId="89" borderId="0" xfId="63" applyNumberFormat="1" applyFont="1" applyFill="1" applyAlignment="1">
      <alignment wrapText="1"/>
    </xf>
    <xf numFmtId="0" fontId="234" fillId="89" borderId="0" xfId="63" applyFont="1" applyFill="1" applyAlignment="1">
      <alignment wrapText="1"/>
    </xf>
    <xf numFmtId="194" fontId="231" fillId="0" borderId="433" xfId="63" applyNumberFormat="1" applyFont="1" applyBorder="1" applyAlignment="1">
      <alignment horizontal="center" wrapText="1"/>
    </xf>
    <xf numFmtId="0" fontId="234" fillId="0" borderId="433" xfId="63" applyFont="1" applyBorder="1" applyAlignment="1">
      <alignment horizontal="center" wrapText="1"/>
    </xf>
    <xf numFmtId="0" fontId="235" fillId="91" borderId="433" xfId="63" applyFont="1" applyFill="1" applyBorder="1" applyAlignment="1">
      <alignment horizontal="center" wrapText="1"/>
    </xf>
    <xf numFmtId="193" fontId="236" fillId="89" borderId="465" xfId="63" applyNumberFormat="1" applyFont="1" applyFill="1" applyBorder="1" applyAlignment="1">
      <alignment horizontal="center" wrapText="1"/>
    </xf>
    <xf numFmtId="0" fontId="231" fillId="89" borderId="0" xfId="63" applyFont="1" applyFill="1" applyAlignment="1">
      <alignment wrapText="1"/>
    </xf>
    <xf numFmtId="0" fontId="231" fillId="76" borderId="433" xfId="63" applyFont="1" applyFill="1" applyBorder="1" applyAlignment="1">
      <alignment horizontal="left" wrapText="1"/>
    </xf>
    <xf numFmtId="0" fontId="231" fillId="76" borderId="433" xfId="63" applyFont="1" applyFill="1" applyBorder="1" applyAlignment="1">
      <alignment horizontal="center" wrapText="1"/>
    </xf>
    <xf numFmtId="195" fontId="231" fillId="76" borderId="433" xfId="63" applyNumberFormat="1" applyFont="1" applyFill="1" applyBorder="1" applyAlignment="1">
      <alignment vertical="center" wrapText="1"/>
    </xf>
    <xf numFmtId="196" fontId="231" fillId="76" borderId="433" xfId="63" applyNumberFormat="1" applyFont="1" applyFill="1" applyBorder="1" applyAlignment="1">
      <alignment wrapText="1"/>
    </xf>
    <xf numFmtId="197" fontId="233" fillId="89" borderId="465" xfId="63" applyNumberFormat="1" applyFont="1" applyFill="1" applyBorder="1" applyAlignment="1">
      <alignment horizontal="center" wrapText="1"/>
    </xf>
    <xf numFmtId="198" fontId="231" fillId="89" borderId="0" xfId="63" applyNumberFormat="1" applyFont="1" applyFill="1" applyAlignment="1">
      <alignment wrapText="1"/>
    </xf>
    <xf numFmtId="195" fontId="231" fillId="89" borderId="0" xfId="63" applyNumberFormat="1" applyFont="1" applyFill="1" applyAlignment="1">
      <alignment wrapText="1"/>
    </xf>
    <xf numFmtId="0" fontId="231" fillId="76" borderId="433" xfId="63" applyFont="1" applyFill="1" applyBorder="1" applyAlignment="1">
      <alignment wrapText="1"/>
    </xf>
    <xf numFmtId="0" fontId="231" fillId="91" borderId="433" xfId="63" applyFont="1" applyFill="1" applyBorder="1" applyAlignment="1">
      <alignment horizontal="center" wrapText="1"/>
    </xf>
    <xf numFmtId="0" fontId="231" fillId="89" borderId="0" xfId="63" applyFont="1" applyFill="1" applyAlignment="1">
      <alignment horizontal="right" wrapText="1"/>
    </xf>
    <xf numFmtId="0" fontId="231" fillId="0" borderId="433" xfId="63" applyFont="1" applyBorder="1" applyAlignment="1">
      <alignment horizontal="left" wrapText="1"/>
    </xf>
    <xf numFmtId="196" fontId="231" fillId="0" borderId="433" xfId="63" applyNumberFormat="1" applyFont="1" applyBorder="1" applyAlignment="1">
      <alignment wrapText="1"/>
    </xf>
    <xf numFmtId="196" fontId="231" fillId="87" borderId="433" xfId="63" applyNumberFormat="1" applyFont="1" applyFill="1" applyBorder="1" applyAlignment="1">
      <alignment wrapText="1"/>
    </xf>
    <xf numFmtId="194" fontId="231" fillId="76" borderId="433" xfId="63" applyNumberFormat="1" applyFont="1" applyFill="1" applyBorder="1" applyAlignment="1">
      <alignment horizontal="center" wrapText="1"/>
    </xf>
    <xf numFmtId="0" fontId="231" fillId="0" borderId="468" xfId="63" applyFont="1" applyBorder="1" applyAlignment="1">
      <alignment wrapText="1"/>
    </xf>
    <xf numFmtId="0" fontId="232" fillId="88" borderId="468" xfId="63" applyFont="1" applyFill="1" applyBorder="1" applyAlignment="1">
      <alignment horizontal="center" wrapText="1"/>
    </xf>
    <xf numFmtId="0" fontId="232" fillId="88" borderId="0" xfId="63" applyFont="1" applyFill="1" applyAlignment="1">
      <alignment horizontal="center" wrapText="1"/>
    </xf>
    <xf numFmtId="0" fontId="232" fillId="92" borderId="433" xfId="63" applyFont="1" applyFill="1" applyBorder="1" applyAlignment="1">
      <alignment horizontal="center" wrapText="1"/>
    </xf>
    <xf numFmtId="0" fontId="234" fillId="89" borderId="465" xfId="63" applyFont="1" applyFill="1" applyBorder="1" applyAlignment="1">
      <alignment horizontal="center" wrapText="1"/>
    </xf>
    <xf numFmtId="193" fontId="234" fillId="89" borderId="0" xfId="63" applyNumberFormat="1" applyFont="1" applyFill="1" applyAlignment="1">
      <alignment horizontal="right" wrapText="1"/>
    </xf>
    <xf numFmtId="193" fontId="231" fillId="89" borderId="0" xfId="63" applyNumberFormat="1" applyFont="1" applyFill="1" applyAlignment="1">
      <alignment wrapText="1"/>
    </xf>
    <xf numFmtId="199" fontId="231" fillId="89" borderId="0" xfId="63" applyNumberFormat="1" applyFont="1" applyFill="1" applyAlignment="1">
      <alignment wrapText="1"/>
    </xf>
    <xf numFmtId="0" fontId="237" fillId="0" borderId="465" xfId="63" applyFont="1" applyBorder="1" applyAlignment="1">
      <alignment horizontal="center" wrapText="1"/>
    </xf>
    <xf numFmtId="0" fontId="238" fillId="92" borderId="433" xfId="63" applyFont="1" applyFill="1" applyBorder="1" applyAlignment="1">
      <alignment wrapText="1"/>
    </xf>
    <xf numFmtId="197" fontId="234" fillId="89" borderId="465" xfId="63" applyNumberFormat="1" applyFont="1" applyFill="1" applyBorder="1" applyAlignment="1">
      <alignment horizontal="center" wrapText="1"/>
    </xf>
    <xf numFmtId="195" fontId="231" fillId="76" borderId="433" xfId="63" applyNumberFormat="1" applyFont="1" applyFill="1" applyBorder="1" applyAlignment="1">
      <alignment wrapText="1"/>
    </xf>
    <xf numFmtId="0" fontId="239" fillId="0" borderId="465" xfId="63" applyFont="1" applyBorder="1" applyAlignment="1">
      <alignment wrapText="1"/>
    </xf>
    <xf numFmtId="0" fontId="231" fillId="91" borderId="433" xfId="63" applyFont="1" applyFill="1" applyBorder="1" applyAlignment="1">
      <alignment horizontal="right" wrapText="1"/>
    </xf>
    <xf numFmtId="195" fontId="231" fillId="0" borderId="433" xfId="63" applyNumberFormat="1" applyFont="1" applyBorder="1" applyAlignment="1">
      <alignment wrapText="1"/>
    </xf>
    <xf numFmtId="195" fontId="231" fillId="87" borderId="433" xfId="63" applyNumberFormat="1" applyFont="1" applyFill="1" applyBorder="1" applyAlignment="1">
      <alignment wrapText="1"/>
    </xf>
    <xf numFmtId="0" fontId="231" fillId="90" borderId="433" xfId="63" applyFont="1" applyFill="1" applyBorder="1" applyAlignment="1">
      <alignment wrapText="1"/>
    </xf>
    <xf numFmtId="0" fontId="231" fillId="90" borderId="433" xfId="63" applyFont="1" applyFill="1" applyBorder="1" applyAlignment="1">
      <alignment horizontal="right" wrapText="1"/>
    </xf>
    <xf numFmtId="0" fontId="236" fillId="76" borderId="433" xfId="63" applyFont="1" applyFill="1" applyBorder="1" applyAlignment="1">
      <alignment horizontal="left" wrapText="1"/>
    </xf>
    <xf numFmtId="0" fontId="231" fillId="0" borderId="468" xfId="63" applyFont="1" applyBorder="1" applyAlignment="1">
      <alignment horizontal="center" wrapText="1"/>
    </xf>
    <xf numFmtId="0" fontId="231" fillId="0" borderId="468" xfId="63" applyFont="1" applyBorder="1" applyAlignment="1">
      <alignment horizontal="left" wrapText="1"/>
    </xf>
    <xf numFmtId="0" fontId="231" fillId="0" borderId="468" xfId="63" applyFont="1" applyBorder="1" applyAlignment="1">
      <alignment horizontal="right" wrapText="1"/>
    </xf>
    <xf numFmtId="0" fontId="238" fillId="92" borderId="468" xfId="63" applyFont="1" applyFill="1" applyBorder="1" applyAlignment="1">
      <alignment wrapText="1"/>
    </xf>
    <xf numFmtId="0" fontId="238" fillId="92" borderId="0" xfId="63" applyFont="1" applyFill="1" applyAlignment="1">
      <alignment wrapText="1"/>
    </xf>
    <xf numFmtId="0" fontId="232" fillId="92" borderId="469" xfId="63" applyFont="1" applyFill="1" applyBorder="1" applyAlignment="1">
      <alignment horizontal="center" wrapText="1"/>
    </xf>
    <xf numFmtId="0" fontId="236" fillId="93" borderId="433" xfId="63" applyFont="1" applyFill="1" applyBorder="1" applyAlignment="1">
      <alignment horizontal="center" wrapText="1"/>
    </xf>
    <xf numFmtId="0" fontId="234" fillId="89" borderId="465" xfId="63" applyFont="1" applyFill="1" applyBorder="1" applyAlignment="1">
      <alignment wrapText="1"/>
    </xf>
    <xf numFmtId="0" fontId="231" fillId="93" borderId="433" xfId="63" applyFont="1" applyFill="1" applyBorder="1" applyAlignment="1">
      <alignment horizontal="center" wrapText="1"/>
    </xf>
    <xf numFmtId="15" fontId="231" fillId="0" borderId="433" xfId="63" applyNumberFormat="1" applyFont="1" applyBorder="1" applyAlignment="1">
      <alignment horizontal="center" wrapText="1"/>
    </xf>
    <xf numFmtId="15" fontId="231" fillId="93" borderId="433" xfId="63" applyNumberFormat="1" applyFont="1" applyFill="1" applyBorder="1" applyAlignment="1">
      <alignment horizontal="center" wrapText="1"/>
    </xf>
    <xf numFmtId="193" fontId="234" fillId="89" borderId="465" xfId="63" applyNumberFormat="1" applyFont="1" applyFill="1" applyBorder="1" applyAlignment="1">
      <alignment wrapText="1"/>
    </xf>
    <xf numFmtId="193" fontId="234" fillId="89" borderId="0" xfId="63" applyNumberFormat="1" applyFont="1" applyFill="1" applyAlignment="1">
      <alignment horizontal="center" wrapText="1"/>
    </xf>
    <xf numFmtId="0" fontId="231" fillId="94" borderId="433" xfId="63" applyFont="1" applyFill="1" applyBorder="1" applyAlignment="1">
      <alignment horizontal="left" wrapText="1"/>
    </xf>
    <xf numFmtId="0" fontId="231" fillId="94" borderId="433" xfId="63" applyFont="1" applyFill="1" applyBorder="1" applyAlignment="1">
      <alignment horizontal="center" wrapText="1"/>
    </xf>
    <xf numFmtId="200" fontId="231" fillId="89" borderId="0" xfId="63" applyNumberFormat="1" applyFont="1" applyFill="1" applyAlignment="1">
      <alignment wrapText="1"/>
    </xf>
    <xf numFmtId="197" fontId="234" fillId="89" borderId="470" xfId="63" applyNumberFormat="1" applyFont="1" applyFill="1" applyBorder="1" applyAlignment="1">
      <alignment horizontal="center" wrapText="1"/>
    </xf>
    <xf numFmtId="200" fontId="231" fillId="89" borderId="465" xfId="63" applyNumberFormat="1" applyFont="1" applyFill="1" applyBorder="1" applyAlignment="1">
      <alignment wrapText="1"/>
    </xf>
    <xf numFmtId="200" fontId="231" fillId="89" borderId="471" xfId="63" applyNumberFormat="1" applyFont="1" applyFill="1" applyBorder="1" applyAlignment="1">
      <alignment wrapText="1"/>
    </xf>
    <xf numFmtId="0" fontId="231" fillId="89" borderId="465" xfId="63" applyFont="1" applyFill="1" applyBorder="1" applyAlignment="1">
      <alignment horizontal="right" wrapText="1"/>
    </xf>
    <xf numFmtId="0" fontId="231" fillId="89" borderId="471" xfId="63" applyFont="1" applyFill="1" applyBorder="1" applyAlignment="1">
      <alignment horizontal="right" wrapText="1"/>
    </xf>
    <xf numFmtId="195" fontId="231" fillId="89" borderId="465" xfId="63" applyNumberFormat="1" applyFont="1" applyFill="1" applyBorder="1" applyAlignment="1">
      <alignment wrapText="1"/>
    </xf>
    <xf numFmtId="195" fontId="231" fillId="89" borderId="471" xfId="63" applyNumberFormat="1" applyFont="1" applyFill="1" applyBorder="1" applyAlignment="1">
      <alignment wrapText="1"/>
    </xf>
    <xf numFmtId="194" fontId="231" fillId="87" borderId="433" xfId="63" applyNumberFormat="1" applyFont="1" applyFill="1" applyBorder="1" applyAlignment="1">
      <alignment horizontal="right" wrapText="1"/>
    </xf>
    <xf numFmtId="0" fontId="231" fillId="76" borderId="433" xfId="63" applyFont="1" applyFill="1" applyBorder="1" applyAlignment="1">
      <alignment horizontal="right" wrapText="1"/>
    </xf>
    <xf numFmtId="0" fontId="231" fillId="0" borderId="433" xfId="63" applyFont="1" applyBorder="1" applyAlignment="1">
      <alignment horizontal="left" wrapText="1" indent="4"/>
    </xf>
    <xf numFmtId="195" fontId="234" fillId="76" borderId="433" xfId="63" applyNumberFormat="1" applyFont="1" applyFill="1" applyBorder="1" applyAlignment="1">
      <alignment wrapText="1"/>
    </xf>
    <xf numFmtId="0" fontId="231" fillId="95" borderId="433" xfId="63" applyFont="1" applyFill="1" applyBorder="1" applyAlignment="1">
      <alignment horizontal="right" wrapText="1"/>
    </xf>
    <xf numFmtId="194" fontId="231" fillId="0" borderId="472" xfId="63" applyNumberFormat="1" applyFont="1" applyBorder="1" applyAlignment="1">
      <alignment horizontal="center" wrapText="1"/>
    </xf>
    <xf numFmtId="0" fontId="231" fillId="76" borderId="472" xfId="63" applyFont="1" applyFill="1" applyBorder="1" applyAlignment="1">
      <alignment horizontal="left" wrapText="1"/>
    </xf>
    <xf numFmtId="0" fontId="231" fillId="76" borderId="472" xfId="63" applyFont="1" applyFill="1" applyBorder="1" applyAlignment="1">
      <alignment wrapText="1"/>
    </xf>
    <xf numFmtId="195" fontId="231" fillId="76" borderId="472" xfId="63" applyNumberFormat="1" applyFont="1" applyFill="1" applyBorder="1" applyAlignment="1">
      <alignment wrapText="1"/>
    </xf>
    <xf numFmtId="195" fontId="234" fillId="76" borderId="472" xfId="63" applyNumberFormat="1" applyFont="1" applyFill="1" applyBorder="1" applyAlignment="1">
      <alignment wrapText="1"/>
    </xf>
    <xf numFmtId="0" fontId="231" fillId="95" borderId="472" xfId="63" applyFont="1" applyFill="1" applyBorder="1" applyAlignment="1">
      <alignment horizontal="right" wrapText="1"/>
    </xf>
    <xf numFmtId="194" fontId="231" fillId="0" borderId="473" xfId="63" applyNumberFormat="1" applyFont="1" applyBorder="1" applyAlignment="1">
      <alignment horizontal="center" wrapText="1"/>
    </xf>
    <xf numFmtId="0" fontId="231" fillId="76" borderId="473" xfId="63" applyFont="1" applyFill="1" applyBorder="1" applyAlignment="1">
      <alignment horizontal="left" wrapText="1"/>
    </xf>
    <xf numFmtId="0" fontId="231" fillId="76" borderId="473" xfId="63" applyFont="1" applyFill="1" applyBorder="1" applyAlignment="1">
      <alignment wrapText="1"/>
    </xf>
    <xf numFmtId="195" fontId="231" fillId="76" borderId="473" xfId="63" applyNumberFormat="1" applyFont="1" applyFill="1" applyBorder="1" applyAlignment="1">
      <alignment wrapText="1"/>
    </xf>
    <xf numFmtId="0" fontId="231" fillId="90" borderId="473" xfId="63" applyFont="1" applyFill="1" applyBorder="1" applyAlignment="1">
      <alignment horizontal="right" wrapText="1"/>
    </xf>
    <xf numFmtId="0" fontId="231" fillId="89" borderId="465" xfId="63" applyFont="1" applyFill="1" applyBorder="1" applyAlignment="1">
      <alignment wrapText="1"/>
    </xf>
    <xf numFmtId="0" fontId="232" fillId="92" borderId="468" xfId="63" applyFont="1" applyFill="1" applyBorder="1" applyAlignment="1">
      <alignment horizontal="center" wrapText="1"/>
    </xf>
    <xf numFmtId="0" fontId="231" fillId="0" borderId="0" xfId="63" applyFont="1" applyAlignment="1">
      <alignment wrapText="1"/>
    </xf>
    <xf numFmtId="0" fontId="232" fillId="92" borderId="474" xfId="63" applyFont="1" applyFill="1" applyBorder="1" applyAlignment="1">
      <alignment horizontal="center" wrapText="1"/>
    </xf>
    <xf numFmtId="0" fontId="231" fillId="89" borderId="0" xfId="63" applyFont="1" applyFill="1" applyAlignment="1">
      <alignment horizontal="center" wrapText="1"/>
    </xf>
    <xf numFmtId="0" fontId="232" fillId="92" borderId="467" xfId="63" applyFont="1" applyFill="1" applyBorder="1" applyAlignment="1">
      <alignment horizontal="center" wrapText="1"/>
    </xf>
    <xf numFmtId="0" fontId="232" fillId="92" borderId="476" xfId="63" applyFont="1" applyFill="1" applyBorder="1" applyAlignment="1">
      <alignment horizontal="center" vertical="center" wrapText="1"/>
    </xf>
    <xf numFmtId="0" fontId="231" fillId="0" borderId="477" xfId="63" applyFont="1" applyBorder="1" applyAlignment="1">
      <alignment horizontal="center" wrapText="1"/>
    </xf>
    <xf numFmtId="0" fontId="231" fillId="0" borderId="477" xfId="63" applyFont="1" applyBorder="1" applyAlignment="1">
      <alignment wrapText="1"/>
    </xf>
    <xf numFmtId="0" fontId="231" fillId="0" borderId="477" xfId="63" applyFont="1" applyBorder="1" applyAlignment="1">
      <alignment horizontal="center" vertical="center" wrapText="1"/>
    </xf>
    <xf numFmtId="0" fontId="232" fillId="92" borderId="465" xfId="63" applyFont="1" applyFill="1" applyBorder="1" applyAlignment="1">
      <alignment horizontal="center" vertical="center" wrapText="1"/>
    </xf>
    <xf numFmtId="0" fontId="231" fillId="0" borderId="470" xfId="63" applyFont="1" applyBorder="1" applyAlignment="1">
      <alignment wrapText="1"/>
    </xf>
    <xf numFmtId="0" fontId="231" fillId="0" borderId="470" xfId="63" applyFont="1" applyBorder="1" applyAlignment="1">
      <alignment horizontal="center" wrapText="1"/>
    </xf>
    <xf numFmtId="15" fontId="231" fillId="0" borderId="470" xfId="63" applyNumberFormat="1" applyFont="1" applyBorder="1" applyAlignment="1">
      <alignment horizontal="center" wrapText="1"/>
    </xf>
    <xf numFmtId="0" fontId="231" fillId="0" borderId="469" xfId="63" applyFont="1" applyBorder="1" applyAlignment="1">
      <alignment wrapText="1"/>
    </xf>
    <xf numFmtId="0" fontId="231" fillId="0" borderId="469" xfId="63" applyFont="1" applyBorder="1" applyAlignment="1">
      <alignment horizontal="center" wrapText="1"/>
    </xf>
    <xf numFmtId="0" fontId="232" fillId="92" borderId="474" xfId="63" applyFont="1" applyFill="1" applyBorder="1" applyAlignment="1">
      <alignment horizontal="center" vertical="center" wrapText="1"/>
    </xf>
    <xf numFmtId="193" fontId="231" fillId="89" borderId="0" xfId="63" applyNumberFormat="1" applyFont="1" applyFill="1" applyAlignment="1">
      <alignment horizontal="center" wrapText="1"/>
    </xf>
    <xf numFmtId="0" fontId="231" fillId="91" borderId="433" xfId="63" applyFont="1" applyFill="1" applyBorder="1" applyAlignment="1">
      <alignment horizontal="left" wrapText="1"/>
    </xf>
    <xf numFmtId="197" fontId="231" fillId="89" borderId="471" xfId="63" applyNumberFormat="1" applyFont="1" applyFill="1" applyBorder="1" applyAlignment="1">
      <alignment horizontal="center" wrapText="1"/>
    </xf>
    <xf numFmtId="198" fontId="231" fillId="89" borderId="465" xfId="63" applyNumberFormat="1" applyFont="1" applyFill="1" applyBorder="1" applyAlignment="1">
      <alignment wrapText="1"/>
    </xf>
    <xf numFmtId="201" fontId="231" fillId="0" borderId="465" xfId="63" applyNumberFormat="1" applyFont="1" applyBorder="1" applyAlignment="1">
      <alignment wrapText="1"/>
    </xf>
    <xf numFmtId="194" fontId="231" fillId="0" borderId="433" xfId="63" applyNumberFormat="1" applyFont="1" applyBorder="1" applyAlignment="1">
      <alignment horizontal="center" vertical="center" wrapText="1"/>
    </xf>
    <xf numFmtId="0" fontId="231" fillId="76" borderId="433" xfId="63" applyFont="1" applyFill="1" applyBorder="1" applyAlignment="1">
      <alignment vertical="center" wrapText="1"/>
    </xf>
    <xf numFmtId="202" fontId="231" fillId="76" borderId="433" xfId="63" applyNumberFormat="1" applyFont="1" applyFill="1" applyBorder="1" applyAlignment="1">
      <alignment vertical="center" wrapText="1"/>
    </xf>
    <xf numFmtId="195" fontId="231" fillId="87" borderId="433" xfId="63" applyNumberFormat="1" applyFont="1" applyFill="1" applyBorder="1" applyAlignment="1">
      <alignment vertical="center" wrapText="1"/>
    </xf>
    <xf numFmtId="194" fontId="231" fillId="76" borderId="433" xfId="63" applyNumberFormat="1" applyFont="1" applyFill="1" applyBorder="1" applyAlignment="1">
      <alignment wrapText="1"/>
    </xf>
    <xf numFmtId="203" fontId="231" fillId="76" borderId="433" xfId="63" applyNumberFormat="1" applyFont="1" applyFill="1" applyBorder="1" applyAlignment="1">
      <alignment wrapText="1"/>
    </xf>
    <xf numFmtId="200" fontId="231" fillId="0" borderId="465" xfId="63" applyNumberFormat="1" applyFont="1" applyBorder="1" applyAlignment="1">
      <alignment wrapText="1"/>
    </xf>
    <xf numFmtId="0" fontId="231" fillId="89" borderId="471" xfId="63" applyFont="1" applyFill="1" applyBorder="1" applyAlignment="1">
      <alignment horizontal="center" wrapText="1"/>
    </xf>
    <xf numFmtId="0" fontId="231" fillId="89" borderId="465" xfId="63" applyFont="1" applyFill="1" applyBorder="1" applyAlignment="1">
      <alignment horizontal="center" wrapText="1"/>
    </xf>
    <xf numFmtId="204" fontId="231" fillId="89" borderId="465" xfId="63" applyNumberFormat="1" applyFont="1" applyFill="1" applyBorder="1" applyAlignment="1">
      <alignment horizontal="center" wrapText="1"/>
    </xf>
    <xf numFmtId="204" fontId="231" fillId="89" borderId="0" xfId="63" applyNumberFormat="1" applyFont="1" applyFill="1" applyAlignment="1">
      <alignment horizontal="center" wrapText="1"/>
    </xf>
    <xf numFmtId="0" fontId="240" fillId="0" borderId="433" xfId="63" applyFont="1" applyBorder="1" applyAlignment="1">
      <alignment wrapText="1"/>
    </xf>
    <xf numFmtId="0" fontId="239" fillId="0" borderId="468" xfId="63" applyFont="1" applyBorder="1" applyAlignment="1">
      <alignment wrapText="1"/>
    </xf>
    <xf numFmtId="0" fontId="231" fillId="0" borderId="0" xfId="63" applyFont="1" applyAlignment="1">
      <alignment horizontal="center" wrapText="1"/>
    </xf>
    <xf numFmtId="0" fontId="231" fillId="0" borderId="475" xfId="63" applyFont="1" applyBorder="1" applyAlignment="1">
      <alignment wrapText="1"/>
    </xf>
    <xf numFmtId="0" fontId="232" fillId="92" borderId="465" xfId="63" applyFont="1" applyFill="1" applyBorder="1" applyAlignment="1">
      <alignment horizontal="center" wrapText="1"/>
    </xf>
    <xf numFmtId="0" fontId="236" fillId="89" borderId="0" xfId="63" applyFont="1" applyFill="1" applyAlignment="1">
      <alignment horizontal="center" wrapText="1"/>
    </xf>
    <xf numFmtId="197" fontId="231" fillId="89" borderId="0" xfId="63" applyNumberFormat="1" applyFont="1" applyFill="1" applyAlignment="1">
      <alignment horizontal="center" wrapText="1"/>
    </xf>
    <xf numFmtId="0" fontId="231" fillId="0" borderId="433" xfId="63" applyFont="1" applyBorder="1" applyAlignment="1">
      <alignment horizontal="right" wrapText="1"/>
    </xf>
    <xf numFmtId="202" fontId="231" fillId="0" borderId="433" xfId="63" applyNumberFormat="1" applyFont="1" applyBorder="1" applyAlignment="1">
      <alignment horizontal="center" wrapText="1"/>
    </xf>
    <xf numFmtId="198" fontId="231" fillId="76" borderId="433" xfId="63" applyNumberFormat="1" applyFont="1" applyFill="1" applyBorder="1" applyAlignment="1">
      <alignment wrapText="1"/>
    </xf>
    <xf numFmtId="202" fontId="231" fillId="89" borderId="470" xfId="63" applyNumberFormat="1" applyFont="1" applyFill="1" applyBorder="1" applyAlignment="1">
      <alignment horizontal="center" wrapText="1"/>
    </xf>
    <xf numFmtId="0" fontId="231" fillId="95" borderId="465" xfId="63" applyFont="1" applyFill="1" applyBorder="1" applyAlignment="1">
      <alignment wrapText="1"/>
    </xf>
    <xf numFmtId="0" fontId="231" fillId="90" borderId="433" xfId="63" applyFont="1" applyFill="1" applyBorder="1" applyAlignment="1">
      <alignment horizontal="left" wrapText="1"/>
    </xf>
    <xf numFmtId="0" fontId="231" fillId="0" borderId="466" xfId="63" applyFont="1" applyBorder="1" applyAlignment="1">
      <alignment horizontal="center" wrapText="1"/>
    </xf>
    <xf numFmtId="0" fontId="231" fillId="0" borderId="475" xfId="63" applyFont="1" applyBorder="1" applyAlignment="1">
      <alignment horizontal="center" wrapText="1"/>
    </xf>
    <xf numFmtId="0" fontId="231" fillId="0" borderId="467" xfId="63" applyFont="1" applyBorder="1" applyAlignment="1">
      <alignment horizontal="left" wrapText="1"/>
    </xf>
    <xf numFmtId="0" fontId="231" fillId="89" borderId="433" xfId="63" applyFont="1" applyFill="1" applyBorder="1" applyAlignment="1">
      <alignment wrapText="1"/>
    </xf>
    <xf numFmtId="0" fontId="236" fillId="0" borderId="477" xfId="63" applyFont="1" applyBorder="1" applyAlignment="1">
      <alignment horizontal="center" wrapText="1"/>
    </xf>
    <xf numFmtId="0" fontId="231" fillId="89" borderId="477" xfId="63" applyFont="1" applyFill="1" applyBorder="1" applyAlignment="1">
      <alignment horizontal="center" wrapText="1"/>
    </xf>
    <xf numFmtId="0" fontId="236" fillId="89" borderId="477" xfId="63" applyFont="1" applyFill="1" applyBorder="1" applyAlignment="1">
      <alignment horizontal="center" wrapText="1"/>
    </xf>
    <xf numFmtId="0" fontId="237" fillId="89" borderId="0" xfId="63" applyFont="1" applyFill="1" applyAlignment="1">
      <alignment horizontal="left" wrapText="1"/>
    </xf>
    <xf numFmtId="0" fontId="231" fillId="89" borderId="469" xfId="63" applyFont="1" applyFill="1" applyBorder="1" applyAlignment="1">
      <alignment horizontal="center" wrapText="1"/>
    </xf>
    <xf numFmtId="0" fontId="237" fillId="89" borderId="439" xfId="63" applyFont="1" applyFill="1" applyBorder="1" applyAlignment="1">
      <alignment horizontal="right" wrapText="1"/>
    </xf>
    <xf numFmtId="198" fontId="231" fillId="89" borderId="468" xfId="63" applyNumberFormat="1" applyFont="1" applyFill="1" applyBorder="1" applyAlignment="1">
      <alignment wrapText="1"/>
    </xf>
    <xf numFmtId="0" fontId="231" fillId="0" borderId="433" xfId="63" applyFont="1" applyBorder="1" applyAlignment="1">
      <alignment horizontal="left" vertical="center" wrapText="1"/>
    </xf>
    <xf numFmtId="0" fontId="231" fillId="93" borderId="477" xfId="63" applyFont="1" applyFill="1" applyBorder="1" applyAlignment="1">
      <alignment horizontal="center" wrapText="1"/>
    </xf>
    <xf numFmtId="0" fontId="231" fillId="93" borderId="469" xfId="63" applyFont="1" applyFill="1" applyBorder="1" applyAlignment="1">
      <alignment horizontal="center" wrapText="1"/>
    </xf>
    <xf numFmtId="197" fontId="231" fillId="0" borderId="433" xfId="63" applyNumberFormat="1" applyFont="1" applyBorder="1" applyAlignment="1">
      <alignment horizontal="center" wrapText="1"/>
    </xf>
    <xf numFmtId="0" fontId="232" fillId="92" borderId="466" xfId="63" applyFont="1" applyFill="1" applyBorder="1" applyAlignment="1">
      <alignment horizontal="center" wrapText="1"/>
    </xf>
    <xf numFmtId="0" fontId="231" fillId="87" borderId="467" xfId="63" applyFont="1" applyFill="1" applyBorder="1" applyAlignment="1">
      <alignment wrapText="1"/>
    </xf>
    <xf numFmtId="0" fontId="231" fillId="0" borderId="477" xfId="63" applyFont="1" applyBorder="1" applyAlignment="1">
      <alignment horizontal="center" vertical="top" wrapText="1"/>
    </xf>
    <xf numFmtId="15" fontId="231" fillId="0" borderId="469" xfId="63" applyNumberFormat="1" applyFont="1" applyBorder="1" applyAlignment="1">
      <alignment horizontal="center" wrapText="1"/>
    </xf>
    <xf numFmtId="193" fontId="231" fillId="89" borderId="0" xfId="63" applyNumberFormat="1" applyFont="1" applyFill="1" applyAlignment="1">
      <alignment horizontal="right" wrapText="1"/>
    </xf>
    <xf numFmtId="201" fontId="231" fillId="0" borderId="433" xfId="63" applyNumberFormat="1" applyFont="1" applyBorder="1" applyAlignment="1">
      <alignment horizontal="center" vertical="center" wrapText="1"/>
    </xf>
    <xf numFmtId="0" fontId="231" fillId="97" borderId="467" xfId="63" applyFont="1" applyFill="1" applyBorder="1" applyAlignment="1">
      <alignment horizontal="right" wrapText="1"/>
    </xf>
    <xf numFmtId="0" fontId="231" fillId="97" borderId="475" xfId="63" applyFont="1" applyFill="1" applyBorder="1" applyAlignment="1">
      <alignment horizontal="right" wrapText="1"/>
    </xf>
    <xf numFmtId="0" fontId="231" fillId="98" borderId="433" xfId="63" applyFont="1" applyFill="1" applyBorder="1" applyAlignment="1">
      <alignment horizontal="left" wrapText="1"/>
    </xf>
    <xf numFmtId="0" fontId="231" fillId="89" borderId="439" xfId="63" applyFont="1" applyFill="1" applyBorder="1" applyAlignment="1">
      <alignment horizontal="right" wrapText="1"/>
    </xf>
    <xf numFmtId="195" fontId="231" fillId="95" borderId="433" xfId="63" applyNumberFormat="1" applyFont="1" applyFill="1" applyBorder="1" applyAlignment="1">
      <alignment wrapText="1"/>
    </xf>
    <xf numFmtId="197" fontId="231" fillId="89" borderId="471" xfId="63" applyNumberFormat="1" applyFont="1" applyFill="1" applyBorder="1" applyAlignment="1">
      <alignment horizontal="center" vertical="center" wrapText="1"/>
    </xf>
    <xf numFmtId="0" fontId="231" fillId="95" borderId="467" xfId="63" applyFont="1" applyFill="1" applyBorder="1" applyAlignment="1">
      <alignment horizontal="right" wrapText="1"/>
    </xf>
    <xf numFmtId="0" fontId="231" fillId="95" borderId="475" xfId="63" applyFont="1" applyFill="1" applyBorder="1" applyAlignment="1">
      <alignment horizontal="right" wrapText="1"/>
    </xf>
    <xf numFmtId="0" fontId="231" fillId="95" borderId="433" xfId="63" applyFont="1" applyFill="1" applyBorder="1" applyAlignment="1">
      <alignment horizontal="left" wrapText="1"/>
    </xf>
    <xf numFmtId="205" fontId="231" fillId="0" borderId="433" xfId="63" applyNumberFormat="1" applyFont="1" applyBorder="1" applyAlignment="1">
      <alignment horizontal="center" vertical="center" wrapText="1"/>
    </xf>
    <xf numFmtId="206" fontId="231" fillId="89" borderId="471" xfId="63" applyNumberFormat="1" applyFont="1" applyFill="1" applyBorder="1" applyAlignment="1">
      <alignment horizontal="center" vertical="center" wrapText="1"/>
    </xf>
    <xf numFmtId="0" fontId="231" fillId="97" borderId="433" xfId="63" applyFont="1" applyFill="1" applyBorder="1" applyAlignment="1">
      <alignment horizontal="left" wrapText="1"/>
    </xf>
    <xf numFmtId="207" fontId="231" fillId="0" borderId="433" xfId="63" applyNumberFormat="1" applyFont="1" applyBorder="1" applyAlignment="1">
      <alignment horizontal="center" vertical="center" wrapText="1"/>
    </xf>
    <xf numFmtId="195" fontId="239" fillId="0" borderId="433" xfId="63" applyNumberFormat="1" applyFont="1" applyBorder="1" applyAlignment="1">
      <alignment wrapText="1"/>
    </xf>
    <xf numFmtId="0" fontId="231" fillId="99" borderId="433" xfId="63" applyFont="1" applyFill="1" applyBorder="1" applyAlignment="1">
      <alignment horizontal="left" wrapText="1"/>
    </xf>
    <xf numFmtId="0" fontId="231" fillId="76" borderId="433" xfId="63" applyFont="1" applyFill="1" applyBorder="1" applyAlignment="1">
      <alignment horizontal="left" vertical="top" wrapText="1"/>
    </xf>
    <xf numFmtId="195" fontId="231" fillId="87" borderId="433" xfId="63" applyNumberFormat="1" applyFont="1" applyFill="1" applyBorder="1" applyAlignment="1">
      <alignment vertical="top" wrapText="1"/>
    </xf>
    <xf numFmtId="195" fontId="231" fillId="95" borderId="433" xfId="63" applyNumberFormat="1" applyFont="1" applyFill="1" applyBorder="1" applyAlignment="1">
      <alignment vertical="top" wrapText="1"/>
    </xf>
    <xf numFmtId="0" fontId="239" fillId="0" borderId="468" xfId="63" applyFont="1" applyBorder="1" applyAlignment="1">
      <alignment horizontal="center" wrapText="1"/>
    </xf>
    <xf numFmtId="197" fontId="231" fillId="0" borderId="433" xfId="63" applyNumberFormat="1" applyFont="1" applyBorder="1" applyAlignment="1">
      <alignment horizontal="center" vertical="center" wrapText="1"/>
    </xf>
    <xf numFmtId="208" fontId="231" fillId="0" borderId="433" xfId="63" applyNumberFormat="1" applyFont="1" applyBorder="1" applyAlignment="1">
      <alignment wrapText="1"/>
    </xf>
    <xf numFmtId="209" fontId="231" fillId="0" borderId="433" xfId="63" applyNumberFormat="1" applyFont="1" applyBorder="1" applyAlignment="1">
      <alignment wrapText="1"/>
    </xf>
    <xf numFmtId="209" fontId="231" fillId="97" borderId="433" xfId="63" applyNumberFormat="1" applyFont="1" applyFill="1" applyBorder="1" applyAlignment="1">
      <alignment horizontal="left" wrapText="1"/>
    </xf>
    <xf numFmtId="209" fontId="231" fillId="97" borderId="433" xfId="63" applyNumberFormat="1" applyFont="1" applyFill="1" applyBorder="1" applyAlignment="1">
      <alignment horizontal="right" wrapText="1"/>
    </xf>
    <xf numFmtId="209" fontId="231" fillId="0" borderId="433" xfId="63" applyNumberFormat="1" applyFont="1" applyBorder="1" applyAlignment="1">
      <alignment horizontal="right" wrapText="1"/>
    </xf>
    <xf numFmtId="0" fontId="234" fillId="95" borderId="433" xfId="63" applyFont="1" applyFill="1" applyBorder="1" applyAlignment="1">
      <alignment horizontal="left" wrapText="1"/>
    </xf>
    <xf numFmtId="195" fontId="234" fillId="95" borderId="477" xfId="63" applyNumberFormat="1" applyFont="1" applyFill="1" applyBorder="1" applyAlignment="1">
      <alignment wrapText="1"/>
    </xf>
    <xf numFmtId="0" fontId="234" fillId="0" borderId="433" xfId="63" applyFont="1" applyBorder="1" applyAlignment="1">
      <alignment wrapText="1"/>
    </xf>
    <xf numFmtId="0" fontId="234" fillId="0" borderId="433" xfId="63" applyFont="1" applyBorder="1" applyAlignment="1">
      <alignment horizontal="left" wrapText="1"/>
    </xf>
    <xf numFmtId="210" fontId="231" fillId="0" borderId="433" xfId="63" applyNumberFormat="1" applyFont="1" applyBorder="1" applyAlignment="1">
      <alignment horizontal="center" vertical="center" wrapText="1"/>
    </xf>
    <xf numFmtId="195" fontId="231" fillId="0" borderId="467" xfId="63" applyNumberFormat="1" applyFont="1" applyBorder="1" applyAlignment="1">
      <alignment wrapText="1"/>
    </xf>
    <xf numFmtId="195" fontId="234" fillId="0" borderId="433" xfId="63" applyNumberFormat="1" applyFont="1" applyBorder="1" applyAlignment="1">
      <alignment wrapText="1"/>
    </xf>
    <xf numFmtId="0" fontId="232" fillId="92" borderId="0" xfId="63" applyFont="1" applyFill="1" applyAlignment="1">
      <alignment horizontal="center" vertical="center" wrapText="1"/>
    </xf>
    <xf numFmtId="0" fontId="231" fillId="95" borderId="477" xfId="63" applyFont="1" applyFill="1" applyBorder="1" applyAlignment="1">
      <alignment horizontal="center" vertical="top" wrapText="1"/>
    </xf>
    <xf numFmtId="0" fontId="231" fillId="0" borderId="469" xfId="63" applyFont="1" applyBorder="1" applyAlignment="1">
      <alignment horizontal="right" wrapText="1"/>
    </xf>
    <xf numFmtId="0" fontId="231" fillId="95" borderId="469" xfId="63" applyFont="1" applyFill="1" applyBorder="1" applyAlignment="1">
      <alignment horizontal="center" wrapText="1"/>
    </xf>
    <xf numFmtId="197" fontId="231" fillId="0" borderId="433" xfId="63" applyNumberFormat="1" applyFont="1" applyBorder="1" applyAlignment="1">
      <alignment horizontal="right" wrapText="1"/>
    </xf>
    <xf numFmtId="0" fontId="231" fillId="97" borderId="467" xfId="63" applyFont="1" applyFill="1" applyBorder="1" applyAlignment="1">
      <alignment horizontal="left" wrapText="1"/>
    </xf>
    <xf numFmtId="0" fontId="231" fillId="97" borderId="466" xfId="63" applyFont="1" applyFill="1" applyBorder="1" applyAlignment="1">
      <alignment horizontal="left" wrapText="1"/>
    </xf>
    <xf numFmtId="0" fontId="231" fillId="97" borderId="475" xfId="63" applyFont="1" applyFill="1" applyBorder="1" applyAlignment="1">
      <alignment horizontal="left" wrapText="1"/>
    </xf>
    <xf numFmtId="211" fontId="231" fillId="87" borderId="433" xfId="63" applyNumberFormat="1" applyFont="1" applyFill="1" applyBorder="1" applyAlignment="1">
      <alignment wrapText="1"/>
    </xf>
    <xf numFmtId="201" fontId="231" fillId="0" borderId="476" xfId="63" applyNumberFormat="1" applyFont="1" applyBorder="1" applyAlignment="1">
      <alignment wrapText="1"/>
    </xf>
    <xf numFmtId="0" fontId="231" fillId="0" borderId="478" xfId="63" applyFont="1" applyBorder="1" applyAlignment="1">
      <alignment wrapText="1"/>
    </xf>
    <xf numFmtId="0" fontId="231" fillId="87" borderId="467" xfId="63" applyFont="1" applyFill="1" applyBorder="1" applyAlignment="1">
      <alignment horizontal="right" wrapText="1"/>
    </xf>
    <xf numFmtId="201" fontId="231" fillId="0" borderId="439" xfId="63" applyNumberFormat="1" applyFont="1" applyBorder="1" applyAlignment="1">
      <alignment wrapText="1"/>
    </xf>
    <xf numFmtId="0" fontId="231" fillId="0" borderId="440" xfId="63" applyFont="1" applyBorder="1" applyAlignment="1">
      <alignment wrapText="1"/>
    </xf>
    <xf numFmtId="212" fontId="231" fillId="97" borderId="467" xfId="63" applyNumberFormat="1" applyFont="1" applyFill="1" applyBorder="1" applyAlignment="1">
      <alignment horizontal="left" wrapText="1"/>
    </xf>
    <xf numFmtId="213" fontId="231" fillId="0" borderId="433" xfId="63" applyNumberFormat="1" applyFont="1" applyBorder="1" applyAlignment="1">
      <alignment horizontal="right" wrapText="1"/>
    </xf>
    <xf numFmtId="195" fontId="231" fillId="0" borderId="477" xfId="63" applyNumberFormat="1" applyFont="1" applyBorder="1" applyAlignment="1">
      <alignment wrapText="1"/>
    </xf>
    <xf numFmtId="195" fontId="231" fillId="95" borderId="469" xfId="63" applyNumberFormat="1" applyFont="1" applyFill="1" applyBorder="1" applyAlignment="1">
      <alignment wrapText="1"/>
    </xf>
    <xf numFmtId="0" fontId="231" fillId="0" borderId="477" xfId="63" applyFont="1" applyBorder="1" applyAlignment="1">
      <alignment horizontal="right" wrapText="1"/>
    </xf>
    <xf numFmtId="213" fontId="231" fillId="0" borderId="433" xfId="63" applyNumberFormat="1" applyFont="1" applyBorder="1" applyAlignment="1">
      <alignment horizontal="right" vertical="center" wrapText="1"/>
    </xf>
    <xf numFmtId="0" fontId="231" fillId="0" borderId="433" xfId="63" applyFont="1" applyBorder="1" applyAlignment="1">
      <alignment vertical="center" wrapText="1"/>
    </xf>
    <xf numFmtId="195" fontId="231" fillId="95" borderId="433" xfId="63" applyNumberFormat="1" applyFont="1" applyFill="1" applyBorder="1" applyAlignment="1">
      <alignment vertical="center" wrapText="1"/>
    </xf>
    <xf numFmtId="195" fontId="231" fillId="0" borderId="470" xfId="63" applyNumberFormat="1" applyFont="1" applyBorder="1" applyAlignment="1">
      <alignment vertical="center" wrapText="1"/>
    </xf>
    <xf numFmtId="0" fontId="231" fillId="0" borderId="470" xfId="63" applyFont="1" applyBorder="1" applyAlignment="1">
      <alignment vertical="center" wrapText="1"/>
    </xf>
    <xf numFmtId="0" fontId="231" fillId="95" borderId="433" xfId="63" applyFont="1" applyFill="1" applyBorder="1" applyAlignment="1">
      <alignment horizontal="right" vertical="center" wrapText="1"/>
    </xf>
    <xf numFmtId="0" fontId="234" fillId="87" borderId="439" xfId="63" applyFont="1" applyFill="1" applyBorder="1" applyAlignment="1">
      <alignment horizontal="center" vertical="center" wrapText="1"/>
    </xf>
    <xf numFmtId="0" fontId="232" fillId="92" borderId="468" xfId="63" applyFont="1" applyFill="1" applyBorder="1" applyAlignment="1">
      <alignment horizontal="center" vertical="center" wrapText="1"/>
    </xf>
    <xf numFmtId="0" fontId="231" fillId="0" borderId="476" xfId="63" applyFont="1" applyBorder="1" applyAlignment="1">
      <alignment horizontal="center" vertical="top" wrapText="1"/>
    </xf>
    <xf numFmtId="0" fontId="231" fillId="0" borderId="468" xfId="63" applyFont="1" applyBorder="1" applyAlignment="1">
      <alignment horizontal="center" vertical="top" wrapText="1"/>
    </xf>
    <xf numFmtId="0" fontId="231" fillId="0" borderId="478" xfId="63" applyFont="1" applyBorder="1" applyAlignment="1">
      <alignment horizontal="center" vertical="top" wrapText="1"/>
    </xf>
    <xf numFmtId="0" fontId="231" fillId="100" borderId="477" xfId="63" applyFont="1" applyFill="1" applyBorder="1" applyAlignment="1">
      <alignment horizontal="center" vertical="top" wrapText="1"/>
    </xf>
    <xf numFmtId="0" fontId="232" fillId="92" borderId="439" xfId="63" applyFont="1" applyFill="1" applyBorder="1" applyAlignment="1">
      <alignment horizontal="center" wrapText="1"/>
    </xf>
    <xf numFmtId="0" fontId="231" fillId="0" borderId="469" xfId="63" applyFont="1" applyBorder="1" applyAlignment="1">
      <alignment horizontal="center" vertical="top" wrapText="1"/>
    </xf>
    <xf numFmtId="0" fontId="231" fillId="0" borderId="474" xfId="63" applyFont="1" applyBorder="1" applyAlignment="1">
      <alignment horizontal="center" vertical="top" wrapText="1"/>
    </xf>
    <xf numFmtId="0" fontId="231" fillId="0" borderId="439" xfId="63" applyFont="1" applyBorder="1" applyAlignment="1">
      <alignment horizontal="center" vertical="top" wrapText="1"/>
    </xf>
    <xf numFmtId="0" fontId="231" fillId="0" borderId="440" xfId="63" applyFont="1" applyBorder="1" applyAlignment="1">
      <alignment horizontal="center" vertical="top" wrapText="1"/>
    </xf>
    <xf numFmtId="0" fontId="231" fillId="100" borderId="469" xfId="63" applyFont="1" applyFill="1" applyBorder="1" applyAlignment="1">
      <alignment horizontal="center" vertical="top" wrapText="1"/>
    </xf>
    <xf numFmtId="0" fontId="231" fillId="0" borderId="467" xfId="63" applyFont="1" applyBorder="1" applyAlignment="1">
      <alignment horizontal="center" vertical="top" wrapText="1"/>
    </xf>
    <xf numFmtId="0" fontId="231" fillId="0" borderId="475" xfId="63" applyFont="1" applyBorder="1" applyAlignment="1">
      <alignment horizontal="center" vertical="top" wrapText="1"/>
    </xf>
    <xf numFmtId="15" fontId="231" fillId="0" borderId="433" xfId="63" applyNumberFormat="1" applyFont="1" applyBorder="1" applyAlignment="1">
      <alignment horizontal="center" vertical="top" wrapText="1"/>
    </xf>
    <xf numFmtId="0" fontId="231" fillId="100" borderId="433" xfId="63" applyFont="1" applyFill="1" applyBorder="1" applyAlignment="1">
      <alignment horizontal="center" vertical="top" wrapText="1"/>
    </xf>
    <xf numFmtId="15" fontId="231" fillId="100" borderId="433" xfId="63" applyNumberFormat="1" applyFont="1" applyFill="1" applyBorder="1" applyAlignment="1">
      <alignment horizontal="center" vertical="top" wrapText="1"/>
    </xf>
    <xf numFmtId="197" fontId="234" fillId="89" borderId="0" xfId="63" applyNumberFormat="1" applyFont="1" applyFill="1" applyAlignment="1">
      <alignment horizontal="center" wrapText="1"/>
    </xf>
    <xf numFmtId="197" fontId="231" fillId="0" borderId="433" xfId="63" applyNumberFormat="1" applyFont="1" applyBorder="1" applyAlignment="1">
      <alignment horizontal="right" vertical="center" wrapText="1"/>
    </xf>
    <xf numFmtId="0" fontId="231" fillId="87" borderId="433" xfId="63" applyFont="1" applyFill="1" applyBorder="1" applyAlignment="1">
      <alignment wrapText="1" indent="1"/>
    </xf>
    <xf numFmtId="0" fontId="231" fillId="0" borderId="433" xfId="63" applyFont="1" applyBorder="1" applyAlignment="1">
      <alignment wrapText="1" indent="1"/>
    </xf>
    <xf numFmtId="14" fontId="231" fillId="0" borderId="433" xfId="63" applyNumberFormat="1" applyFont="1" applyBorder="1" applyAlignment="1">
      <alignment wrapText="1"/>
    </xf>
    <xf numFmtId="0" fontId="239" fillId="0" borderId="433" xfId="63" applyFont="1" applyBorder="1" applyAlignment="1">
      <alignment wrapText="1"/>
    </xf>
    <xf numFmtId="197" fontId="231" fillId="0" borderId="477" xfId="63" applyNumberFormat="1" applyFont="1" applyBorder="1" applyAlignment="1">
      <alignment horizontal="right" vertical="center" wrapText="1"/>
    </xf>
    <xf numFmtId="197" fontId="231" fillId="0" borderId="470" xfId="63" applyNumberFormat="1" applyFont="1" applyBorder="1" applyAlignment="1">
      <alignment horizontal="right" vertical="center" wrapText="1"/>
    </xf>
    <xf numFmtId="197" fontId="231" fillId="0" borderId="469" xfId="63" applyNumberFormat="1" applyFont="1" applyBorder="1" applyAlignment="1">
      <alignment horizontal="right" vertical="center" wrapText="1"/>
    </xf>
    <xf numFmtId="214" fontId="231" fillId="0" borderId="433" xfId="63" applyNumberFormat="1" applyFont="1" applyBorder="1" applyAlignment="1">
      <alignment vertical="center" wrapText="1"/>
    </xf>
    <xf numFmtId="0" fontId="231" fillId="0" borderId="465" xfId="63" applyFont="1" applyBorder="1" applyAlignment="1">
      <alignment horizontal="center" vertical="top" wrapText="1"/>
    </xf>
    <xf numFmtId="0" fontId="231" fillId="0" borderId="433" xfId="63" applyFont="1" applyBorder="1" applyAlignment="1">
      <alignment horizontal="left" vertical="top" wrapText="1"/>
    </xf>
    <xf numFmtId="195" fontId="231" fillId="0" borderId="467" xfId="63" applyNumberFormat="1" applyFont="1" applyBorder="1" applyAlignment="1">
      <alignment vertical="top" wrapText="1"/>
    </xf>
    <xf numFmtId="195" fontId="231" fillId="0" borderId="475" xfId="63" applyNumberFormat="1" applyFont="1" applyBorder="1" applyAlignment="1">
      <alignment vertical="top" wrapText="1"/>
    </xf>
    <xf numFmtId="0" fontId="231" fillId="0" borderId="465" xfId="63" applyFont="1" applyBorder="1" applyAlignment="1">
      <alignment horizontal="left" vertical="top" wrapText="1"/>
    </xf>
    <xf numFmtId="198" fontId="234" fillId="89" borderId="0" xfId="63" applyNumberFormat="1" applyFont="1" applyFill="1" applyAlignment="1">
      <alignment wrapText="1"/>
    </xf>
    <xf numFmtId="195" fontId="231" fillId="0" borderId="433" xfId="63" applyNumberFormat="1" applyFont="1" applyBorder="1" applyAlignment="1">
      <alignment vertical="top" wrapText="1"/>
    </xf>
    <xf numFmtId="215" fontId="234" fillId="89" borderId="0" xfId="63" applyNumberFormat="1" applyFont="1" applyFill="1" applyAlignment="1">
      <alignment wrapText="1"/>
    </xf>
    <xf numFmtId="0" fontId="231" fillId="0" borderId="433" xfId="63" applyFont="1" applyBorder="1" applyAlignment="1">
      <alignment horizontal="right" vertical="top" wrapText="1"/>
    </xf>
    <xf numFmtId="195" fontId="231" fillId="0" borderId="477" xfId="63" applyNumberFormat="1" applyFont="1" applyBorder="1" applyAlignment="1">
      <alignment vertical="top" wrapText="1"/>
    </xf>
    <xf numFmtId="0" fontId="234" fillId="0" borderId="433" xfId="63" applyFont="1" applyBorder="1" applyAlignment="1">
      <alignment horizontal="left" vertical="top" wrapText="1"/>
    </xf>
    <xf numFmtId="195" fontId="234" fillId="95" borderId="433" xfId="63" applyNumberFormat="1" applyFont="1" applyFill="1" applyBorder="1" applyAlignment="1">
      <alignment wrapText="1"/>
    </xf>
    <xf numFmtId="195" fontId="234" fillId="95" borderId="469" xfId="63" applyNumberFormat="1" applyFont="1" applyFill="1" applyBorder="1" applyAlignment="1">
      <alignment wrapText="1"/>
    </xf>
    <xf numFmtId="197" fontId="231" fillId="0" borderId="433" xfId="63" applyNumberFormat="1" applyFont="1" applyBorder="1" applyAlignment="1">
      <alignment horizontal="right" vertical="top" wrapText="1"/>
    </xf>
    <xf numFmtId="0" fontId="231" fillId="0" borderId="470" xfId="63" applyFont="1" applyBorder="1" applyAlignment="1">
      <alignment horizontal="center" vertical="top" wrapText="1"/>
    </xf>
    <xf numFmtId="0" fontId="231" fillId="93" borderId="477" xfId="63" applyFont="1" applyFill="1" applyBorder="1" applyAlignment="1">
      <alignment horizontal="center" vertical="top" wrapText="1"/>
    </xf>
    <xf numFmtId="0" fontId="234" fillId="0" borderId="465" xfId="63" applyFont="1" applyBorder="1" applyAlignment="1">
      <alignment horizontal="center" vertical="top" wrapText="1"/>
    </xf>
    <xf numFmtId="0" fontId="231" fillId="93" borderId="469" xfId="63" applyFont="1" applyFill="1" applyBorder="1" applyAlignment="1">
      <alignment horizontal="center" vertical="top" wrapText="1"/>
    </xf>
    <xf numFmtId="195" fontId="234" fillId="0" borderId="433" xfId="63" applyNumberFormat="1" applyFont="1" applyBorder="1" applyAlignment="1">
      <alignment vertical="top" wrapText="1"/>
    </xf>
    <xf numFmtId="0" fontId="231" fillId="87" borderId="433" xfId="63" applyFont="1" applyFill="1" applyBorder="1" applyAlignment="1">
      <alignment horizontal="left" wrapText="1"/>
    </xf>
    <xf numFmtId="0" fontId="239" fillId="0" borderId="474" xfId="63" applyFont="1" applyBorder="1" applyAlignment="1">
      <alignment wrapText="1"/>
    </xf>
    <xf numFmtId="0" fontId="231" fillId="99" borderId="433" xfId="63" applyFont="1" applyFill="1" applyBorder="1" applyAlignment="1">
      <alignment horizontal="center" wrapText="1"/>
    </xf>
    <xf numFmtId="207" fontId="231" fillId="0" borderId="433" xfId="63" applyNumberFormat="1" applyFont="1" applyBorder="1" applyAlignment="1">
      <alignment horizontal="center" wrapText="1"/>
    </xf>
    <xf numFmtId="201" fontId="231" fillId="0" borderId="433" xfId="63" applyNumberFormat="1" applyFont="1" applyBorder="1" applyAlignment="1">
      <alignment horizontal="center" wrapText="1"/>
    </xf>
    <xf numFmtId="216" fontId="231" fillId="0" borderId="433" xfId="63" applyNumberFormat="1" applyFont="1" applyBorder="1" applyAlignment="1">
      <alignment horizontal="center" wrapText="1"/>
    </xf>
    <xf numFmtId="194" fontId="231" fillId="0" borderId="433" xfId="63" applyNumberFormat="1" applyFont="1" applyBorder="1" applyAlignment="1">
      <alignment wrapText="1"/>
    </xf>
    <xf numFmtId="0" fontId="241" fillId="0" borderId="433" xfId="63" applyFont="1" applyBorder="1" applyAlignment="1">
      <alignment horizontal="center" wrapText="1"/>
    </xf>
    <xf numFmtId="194" fontId="231" fillId="0" borderId="433" xfId="63" applyNumberFormat="1" applyFont="1" applyBorder="1" applyAlignment="1">
      <alignment horizontal="right" wrapText="1"/>
    </xf>
    <xf numFmtId="0" fontId="234" fillId="95" borderId="433" xfId="63" applyFont="1" applyFill="1" applyBorder="1" applyAlignment="1">
      <alignment horizontal="center" wrapText="1"/>
    </xf>
    <xf numFmtId="0" fontId="231" fillId="95" borderId="433" xfId="63" applyFont="1" applyFill="1" applyBorder="1" applyAlignment="1">
      <alignment horizontal="center" wrapText="1"/>
    </xf>
    <xf numFmtId="0" fontId="231" fillId="87" borderId="0" xfId="63" applyFont="1" applyFill="1" applyAlignment="1">
      <alignment wrapText="1"/>
    </xf>
    <xf numFmtId="0" fontId="232" fillId="92" borderId="476" xfId="63" applyFont="1" applyFill="1" applyBorder="1" applyAlignment="1">
      <alignment horizontal="center" wrapText="1"/>
    </xf>
    <xf numFmtId="0" fontId="231" fillId="0" borderId="469" xfId="63" applyFont="1" applyBorder="1" applyAlignment="1">
      <alignment horizontal="center" vertical="center" wrapText="1"/>
    </xf>
    <xf numFmtId="213" fontId="231" fillId="0" borderId="433" xfId="63" applyNumberFormat="1" applyFont="1" applyBorder="1" applyAlignment="1">
      <alignment horizontal="center" wrapText="1"/>
    </xf>
    <xf numFmtId="0" fontId="239" fillId="101" borderId="433" xfId="63" applyFont="1" applyFill="1" applyBorder="1" applyAlignment="1">
      <alignment wrapText="1"/>
    </xf>
    <xf numFmtId="201" fontId="231" fillId="0" borderId="433" xfId="63" applyNumberFormat="1" applyFont="1" applyBorder="1" applyAlignment="1">
      <alignment wrapText="1"/>
    </xf>
    <xf numFmtId="0" fontId="231" fillId="101" borderId="433" xfId="63" applyFont="1" applyFill="1" applyBorder="1" applyAlignment="1">
      <alignment wrapText="1"/>
    </xf>
    <xf numFmtId="0" fontId="231" fillId="102" borderId="433" xfId="63" applyFont="1" applyFill="1" applyBorder="1" applyAlignment="1">
      <alignment wrapText="1"/>
    </xf>
    <xf numFmtId="195" fontId="242" fillId="0" borderId="433" xfId="63" applyNumberFormat="1" applyFont="1" applyBorder="1" applyAlignment="1">
      <alignment wrapText="1"/>
    </xf>
    <xf numFmtId="0" fontId="239" fillId="102" borderId="433" xfId="63" applyFont="1" applyFill="1" applyBorder="1" applyAlignment="1">
      <alignment wrapText="1"/>
    </xf>
    <xf numFmtId="217" fontId="231" fillId="0" borderId="433" xfId="63" applyNumberFormat="1" applyFont="1" applyBorder="1" applyAlignment="1">
      <alignment wrapText="1"/>
    </xf>
    <xf numFmtId="195" fontId="231" fillId="0" borderId="433" xfId="63" applyNumberFormat="1" applyFont="1" applyBorder="1" applyAlignment="1">
      <alignment vertical="center" wrapText="1"/>
    </xf>
    <xf numFmtId="217" fontId="231" fillId="0" borderId="433" xfId="63" applyNumberFormat="1" applyFont="1" applyBorder="1" applyAlignment="1">
      <alignment vertical="center" wrapText="1"/>
    </xf>
    <xf numFmtId="0" fontId="239" fillId="87" borderId="433" xfId="63" applyFont="1" applyFill="1" applyBorder="1" applyAlignment="1">
      <alignment wrapText="1"/>
    </xf>
    <xf numFmtId="218" fontId="231" fillId="0" borderId="433" xfId="63" applyNumberFormat="1" applyFont="1" applyBorder="1" applyAlignment="1">
      <alignment horizontal="center" wrapText="1"/>
    </xf>
    <xf numFmtId="0" fontId="239" fillId="73" borderId="433" xfId="63" applyFont="1" applyFill="1" applyBorder="1" applyAlignment="1">
      <alignment wrapText="1"/>
    </xf>
    <xf numFmtId="201" fontId="231" fillId="0" borderId="433" xfId="63" applyNumberFormat="1" applyFont="1" applyBorder="1" applyAlignment="1">
      <alignment horizontal="right" wrapText="1"/>
    </xf>
    <xf numFmtId="0" fontId="239" fillId="0" borderId="433" xfId="63" applyFont="1" applyBorder="1" applyAlignment="1">
      <alignment horizontal="right" wrapText="1"/>
    </xf>
    <xf numFmtId="0" fontId="234" fillId="76" borderId="433" xfId="63" applyFont="1" applyFill="1" applyBorder="1" applyAlignment="1">
      <alignment horizontal="left" wrapText="1"/>
    </xf>
    <xf numFmtId="0" fontId="234" fillId="103" borderId="433" xfId="63" applyFont="1" applyFill="1" applyBorder="1" applyAlignment="1">
      <alignment horizontal="center" wrapText="1"/>
    </xf>
    <xf numFmtId="0" fontId="239" fillId="0" borderId="0" xfId="79">
      <alignment wrapText="1"/>
    </xf>
    <xf numFmtId="15" fontId="231" fillId="89" borderId="433" xfId="63" applyNumberFormat="1" applyFont="1" applyFill="1" applyBorder="1" applyAlignment="1">
      <alignment horizontal="center" vertical="center" wrapText="1"/>
    </xf>
    <xf numFmtId="203" fontId="231" fillId="0" borderId="433" xfId="63" applyNumberFormat="1" applyFont="1" applyBorder="1" applyAlignment="1">
      <alignment wrapText="1"/>
    </xf>
    <xf numFmtId="218" fontId="231" fillId="0" borderId="477" xfId="63" applyNumberFormat="1" applyFont="1" applyBorder="1" applyAlignment="1">
      <alignment horizontal="center" wrapText="1"/>
    </xf>
    <xf numFmtId="197" fontId="231" fillId="0" borderId="469" xfId="63" applyNumberFormat="1" applyFont="1" applyBorder="1" applyAlignment="1">
      <alignment horizontal="center" wrapText="1"/>
    </xf>
    <xf numFmtId="0" fontId="231" fillId="0" borderId="477" xfId="63" applyFont="1" applyBorder="1" applyAlignment="1">
      <alignment horizontal="left" vertical="top" wrapText="1"/>
    </xf>
    <xf numFmtId="0" fontId="243" fillId="89" borderId="469" xfId="63" applyFont="1" applyFill="1" applyBorder="1" applyAlignment="1">
      <alignment horizontal="center" vertical="center" wrapText="1"/>
    </xf>
    <xf numFmtId="0" fontId="234" fillId="89" borderId="439" xfId="63" applyFont="1" applyFill="1" applyBorder="1" applyAlignment="1">
      <alignment horizontal="center" wrapText="1"/>
    </xf>
    <xf numFmtId="197" fontId="234" fillId="89" borderId="471" xfId="63" applyNumberFormat="1" applyFont="1" applyFill="1" applyBorder="1" applyAlignment="1">
      <alignment horizontal="center" wrapText="1"/>
    </xf>
    <xf numFmtId="0" fontId="231" fillId="95" borderId="433" xfId="63" applyFont="1" applyFill="1" applyBorder="1" applyAlignment="1">
      <alignment wrapText="1"/>
    </xf>
    <xf numFmtId="0" fontId="234" fillId="89" borderId="468" xfId="63" applyFont="1" applyFill="1" applyBorder="1" applyAlignment="1">
      <alignment horizontal="center" wrapText="1"/>
    </xf>
    <xf numFmtId="201" fontId="234" fillId="0" borderId="433" xfId="63" applyNumberFormat="1" applyFont="1" applyBorder="1" applyAlignment="1">
      <alignment wrapText="1"/>
    </xf>
    <xf numFmtId="195" fontId="231" fillId="0" borderId="468" xfId="63" applyNumberFormat="1" applyFont="1" applyBorder="1" applyAlignment="1">
      <alignment wrapText="1"/>
    </xf>
    <xf numFmtId="0" fontId="231" fillId="0" borderId="474" xfId="63" applyFont="1" applyBorder="1" applyAlignment="1">
      <alignment wrapText="1"/>
    </xf>
    <xf numFmtId="0" fontId="232" fillId="92" borderId="439" xfId="63" applyFont="1" applyFill="1" applyBorder="1" applyAlignment="1">
      <alignment horizontal="center" vertical="center" wrapText="1"/>
    </xf>
    <xf numFmtId="0" fontId="243" fillId="89" borderId="469" xfId="63" applyFont="1" applyFill="1" applyBorder="1" applyAlignment="1">
      <alignment horizontal="center" vertical="top" wrapText="1"/>
    </xf>
    <xf numFmtId="193" fontId="234" fillId="89" borderId="439" xfId="63" applyNumberFormat="1" applyFont="1" applyFill="1" applyBorder="1" applyAlignment="1">
      <alignment horizontal="center" wrapText="1"/>
    </xf>
    <xf numFmtId="197" fontId="231" fillId="0" borderId="433" xfId="63" applyNumberFormat="1" applyFont="1" applyBorder="1" applyAlignment="1">
      <alignment horizontal="center" vertical="top" wrapText="1"/>
    </xf>
    <xf numFmtId="0" fontId="234" fillId="0" borderId="469" xfId="63" applyFont="1" applyBorder="1" applyAlignment="1">
      <alignment horizontal="left" wrapText="1"/>
    </xf>
    <xf numFmtId="0" fontId="234" fillId="97" borderId="433" xfId="63" applyFont="1" applyFill="1" applyBorder="1" applyAlignment="1">
      <alignment horizontal="left" wrapText="1"/>
    </xf>
    <xf numFmtId="204" fontId="234" fillId="89" borderId="0" xfId="63" applyNumberFormat="1" applyFont="1" applyFill="1" applyAlignment="1">
      <alignment horizontal="center" wrapText="1"/>
    </xf>
    <xf numFmtId="0" fontId="234" fillId="0" borderId="466" xfId="63" applyFont="1" applyBorder="1" applyAlignment="1">
      <alignment horizontal="center" wrapText="1"/>
    </xf>
    <xf numFmtId="0" fontId="231" fillId="100" borderId="477" xfId="63" applyFont="1" applyFill="1" applyBorder="1" applyAlignment="1">
      <alignment horizontal="center" wrapText="1"/>
    </xf>
    <xf numFmtId="0" fontId="231" fillId="100" borderId="469" xfId="63" applyFont="1" applyFill="1" applyBorder="1" applyAlignment="1">
      <alignment horizontal="center" wrapText="1"/>
    </xf>
    <xf numFmtId="0" fontId="231" fillId="96" borderId="433" xfId="63" applyFont="1" applyFill="1" applyBorder="1" applyAlignment="1">
      <alignment horizontal="right" wrapText="1"/>
    </xf>
    <xf numFmtId="0" fontId="231" fillId="96" borderId="433" xfId="63" applyFont="1" applyFill="1" applyBorder="1" applyAlignment="1">
      <alignment wrapText="1"/>
    </xf>
    <xf numFmtId="219" fontId="231" fillId="95" borderId="433" xfId="63" applyNumberFormat="1" applyFont="1" applyFill="1" applyBorder="1" applyAlignment="1">
      <alignment wrapText="1"/>
    </xf>
    <xf numFmtId="200" fontId="231" fillId="0" borderId="433" xfId="63" applyNumberFormat="1" applyFont="1" applyBorder="1" applyAlignment="1">
      <alignment wrapText="1"/>
    </xf>
    <xf numFmtId="219" fontId="231" fillId="95" borderId="477" xfId="63" applyNumberFormat="1" applyFont="1" applyFill="1" applyBorder="1" applyAlignment="1">
      <alignment wrapText="1"/>
    </xf>
    <xf numFmtId="0" fontId="231" fillId="96" borderId="469" xfId="63" applyFont="1" applyFill="1" applyBorder="1" applyAlignment="1">
      <alignment horizontal="right" wrapText="1"/>
    </xf>
    <xf numFmtId="201" fontId="231" fillId="0" borderId="433" xfId="63" applyNumberFormat="1" applyFont="1" applyBorder="1" applyAlignment="1">
      <alignment horizontal="left" wrapText="1"/>
    </xf>
    <xf numFmtId="0" fontId="231" fillId="0" borderId="467" xfId="63" applyFont="1" applyBorder="1" applyAlignment="1">
      <alignment wrapText="1"/>
    </xf>
    <xf numFmtId="14" fontId="231" fillId="0" borderId="433" xfId="63" applyNumberFormat="1" applyFont="1" applyBorder="1" applyAlignment="1">
      <alignment horizontal="center" wrapText="1"/>
    </xf>
    <xf numFmtId="220" fontId="231" fillId="0" borderId="433" xfId="63" applyNumberFormat="1" applyFont="1" applyBorder="1" applyAlignment="1">
      <alignment horizontal="center" wrapText="1"/>
    </xf>
    <xf numFmtId="0" fontId="231" fillId="104" borderId="465" xfId="63" applyFont="1" applyFill="1" applyBorder="1" applyAlignment="1">
      <alignment wrapText="1"/>
    </xf>
    <xf numFmtId="0" fontId="231" fillId="73" borderId="465" xfId="63" applyFont="1" applyFill="1" applyBorder="1" applyAlignment="1">
      <alignment wrapText="1"/>
    </xf>
    <xf numFmtId="201" fontId="231" fillId="95" borderId="465" xfId="63" applyNumberFormat="1" applyFont="1" applyFill="1" applyBorder="1" applyAlignment="1">
      <alignment wrapText="1"/>
    </xf>
    <xf numFmtId="0" fontId="234" fillId="0" borderId="433" xfId="63" applyFont="1" applyBorder="1" applyAlignment="1">
      <alignment horizontal="right" wrapText="1"/>
    </xf>
    <xf numFmtId="0" fontId="234" fillId="96" borderId="433" xfId="63" applyFont="1" applyFill="1" applyBorder="1" applyAlignment="1">
      <alignment horizontal="right" wrapText="1"/>
    </xf>
    <xf numFmtId="195" fontId="234" fillId="87" borderId="433" xfId="63" applyNumberFormat="1" applyFont="1" applyFill="1" applyBorder="1" applyAlignment="1">
      <alignment wrapText="1"/>
    </xf>
    <xf numFmtId="0" fontId="231" fillId="103" borderId="433" xfId="63" applyFont="1" applyFill="1" applyBorder="1" applyAlignment="1">
      <alignment horizontal="right" wrapText="1"/>
    </xf>
    <xf numFmtId="0" fontId="231" fillId="87" borderId="433" xfId="63" applyFont="1" applyFill="1" applyBorder="1" applyAlignment="1">
      <alignment horizontal="left" vertical="center" wrapText="1"/>
    </xf>
    <xf numFmtId="0" fontId="231" fillId="97" borderId="433" xfId="63" applyFont="1" applyFill="1" applyBorder="1" applyAlignment="1">
      <alignment horizontal="right" wrapText="1"/>
    </xf>
    <xf numFmtId="0" fontId="231" fillId="0" borderId="433" xfId="63" applyFont="1" applyBorder="1" applyAlignment="1">
      <alignment horizontal="left" wrapText="1" indent="1"/>
    </xf>
    <xf numFmtId="0" fontId="231" fillId="97" borderId="469" xfId="63" applyFont="1" applyFill="1" applyBorder="1" applyAlignment="1">
      <alignment horizontal="right" wrapText="1"/>
    </xf>
    <xf numFmtId="0" fontId="243" fillId="0" borderId="433" xfId="63" applyFont="1" applyBorder="1" applyAlignment="1">
      <alignment wrapText="1"/>
    </xf>
    <xf numFmtId="0" fontId="244" fillId="0" borderId="433" xfId="63" applyFont="1" applyBorder="1" applyAlignment="1">
      <alignment wrapText="1"/>
    </xf>
    <xf numFmtId="0" fontId="241" fillId="0" borderId="468" xfId="63" applyFont="1" applyBorder="1" applyAlignment="1">
      <alignment wrapText="1"/>
    </xf>
    <xf numFmtId="201" fontId="231" fillId="0" borderId="0" xfId="63" applyNumberFormat="1" applyFont="1" applyAlignment="1">
      <alignment wrapText="1"/>
    </xf>
    <xf numFmtId="0" fontId="231" fillId="0" borderId="470" xfId="63" applyFont="1" applyBorder="1" applyAlignment="1">
      <alignment horizontal="center" vertical="center" wrapText="1"/>
    </xf>
    <xf numFmtId="0" fontId="231" fillId="93" borderId="470" xfId="63" applyFont="1" applyFill="1" applyBorder="1" applyAlignment="1">
      <alignment horizontal="center" vertical="center" wrapText="1"/>
    </xf>
    <xf numFmtId="0" fontId="243" fillId="90" borderId="469" xfId="63" applyFont="1" applyFill="1" applyBorder="1" applyAlignment="1">
      <alignment horizontal="center" wrapText="1"/>
    </xf>
    <xf numFmtId="201" fontId="231" fillId="0" borderId="433" xfId="63" applyNumberFormat="1" applyFont="1" applyBorder="1" applyAlignment="1">
      <alignment horizontal="center" vertical="top" wrapText="1"/>
    </xf>
    <xf numFmtId="211" fontId="231" fillId="95" borderId="433" xfId="63" applyNumberFormat="1" applyFont="1" applyFill="1" applyBorder="1" applyAlignment="1">
      <alignment wrapText="1"/>
    </xf>
    <xf numFmtId="218" fontId="234" fillId="89" borderId="0" xfId="63" applyNumberFormat="1" applyFont="1" applyFill="1" applyAlignment="1">
      <alignment horizontal="center" wrapText="1"/>
    </xf>
    <xf numFmtId="0" fontId="234" fillId="90" borderId="433" xfId="63" applyFont="1" applyFill="1" applyBorder="1" applyAlignment="1">
      <alignment wrapText="1"/>
    </xf>
    <xf numFmtId="221" fontId="234" fillId="90" borderId="433" xfId="63" applyNumberFormat="1" applyFont="1" applyFill="1" applyBorder="1" applyAlignment="1">
      <alignment wrapText="1"/>
    </xf>
    <xf numFmtId="198" fontId="234" fillId="90" borderId="433" xfId="63" applyNumberFormat="1" applyFont="1" applyFill="1" applyBorder="1" applyAlignment="1">
      <alignment wrapText="1"/>
    </xf>
    <xf numFmtId="211" fontId="231" fillId="0" borderId="433" xfId="63" applyNumberFormat="1" applyFont="1" applyBorder="1" applyAlignment="1">
      <alignment wrapText="1"/>
    </xf>
    <xf numFmtId="211" fontId="231" fillId="90" borderId="433" xfId="63" applyNumberFormat="1" applyFont="1" applyFill="1" applyBorder="1" applyAlignment="1">
      <alignment wrapText="1"/>
    </xf>
    <xf numFmtId="0" fontId="231" fillId="0" borderId="477" xfId="63" applyFont="1" applyBorder="1" applyAlignment="1">
      <alignment horizontal="left" wrapText="1"/>
    </xf>
    <xf numFmtId="0" fontId="234" fillId="90" borderId="469" xfId="63" applyFont="1" applyFill="1" applyBorder="1" applyAlignment="1">
      <alignment wrapText="1"/>
    </xf>
    <xf numFmtId="0" fontId="231" fillId="96" borderId="469" xfId="63" applyFont="1" applyFill="1" applyBorder="1" applyAlignment="1">
      <alignment wrapText="1"/>
    </xf>
    <xf numFmtId="195" fontId="231" fillId="102" borderId="433" xfId="63" applyNumberFormat="1" applyFont="1" applyFill="1" applyBorder="1" applyAlignment="1">
      <alignment wrapText="1"/>
    </xf>
    <xf numFmtId="195" fontId="231" fillId="101" borderId="433" xfId="63" applyNumberFormat="1" applyFont="1" applyFill="1" applyBorder="1" applyAlignment="1">
      <alignment wrapText="1"/>
    </xf>
    <xf numFmtId="222" fontId="231" fillId="90" borderId="433" xfId="63" applyNumberFormat="1" applyFont="1" applyFill="1" applyBorder="1" applyAlignment="1">
      <alignment wrapText="1"/>
    </xf>
    <xf numFmtId="195" fontId="231" fillId="90" borderId="433" xfId="63" applyNumberFormat="1" applyFont="1" applyFill="1" applyBorder="1" applyAlignment="1">
      <alignment wrapText="1"/>
    </xf>
    <xf numFmtId="0" fontId="234" fillId="95" borderId="433" xfId="63" applyFont="1" applyFill="1" applyBorder="1" applyAlignment="1">
      <alignment horizontal="left" vertical="top" wrapText="1"/>
    </xf>
    <xf numFmtId="0" fontId="234" fillId="96" borderId="433" xfId="63" applyFont="1" applyFill="1" applyBorder="1" applyAlignment="1">
      <alignment wrapText="1"/>
    </xf>
    <xf numFmtId="211" fontId="234" fillId="95" borderId="433" xfId="63" applyNumberFormat="1" applyFont="1" applyFill="1" applyBorder="1" applyAlignment="1">
      <alignment wrapText="1"/>
    </xf>
    <xf numFmtId="0" fontId="231" fillId="87" borderId="439" xfId="63" applyFont="1" applyFill="1" applyBorder="1" applyAlignment="1">
      <alignment wrapText="1"/>
    </xf>
    <xf numFmtId="0" fontId="231" fillId="93" borderId="470" xfId="63" applyFont="1" applyFill="1" applyBorder="1" applyAlignment="1">
      <alignment horizontal="center" wrapText="1"/>
    </xf>
    <xf numFmtId="15" fontId="245" fillId="89" borderId="469" xfId="63" applyNumberFormat="1" applyFont="1" applyFill="1" applyBorder="1" applyAlignment="1">
      <alignment horizontal="center" wrapText="1"/>
    </xf>
    <xf numFmtId="0" fontId="231" fillId="95" borderId="433" xfId="63" applyFont="1" applyFill="1" applyBorder="1" applyAlignment="1">
      <alignment vertical="center" wrapText="1"/>
    </xf>
    <xf numFmtId="207" fontId="231" fillId="87" borderId="433" xfId="63" applyNumberFormat="1" applyFont="1" applyFill="1" applyBorder="1" applyAlignment="1">
      <alignment horizontal="center" vertical="center" wrapText="1"/>
    </xf>
    <xf numFmtId="223" fontId="231" fillId="0" borderId="433" xfId="63" applyNumberFormat="1" applyFont="1" applyBorder="1" applyAlignment="1">
      <alignment horizontal="left" wrapText="1"/>
    </xf>
    <xf numFmtId="201" fontId="231" fillId="87" borderId="433" xfId="63" applyNumberFormat="1" applyFont="1" applyFill="1" applyBorder="1" applyAlignment="1">
      <alignment horizontal="center" vertical="center" wrapText="1"/>
    </xf>
    <xf numFmtId="213" fontId="231" fillId="0" borderId="433" xfId="63" applyNumberFormat="1" applyFont="1" applyBorder="1" applyAlignment="1">
      <alignment horizontal="center" vertical="top" wrapText="1"/>
    </xf>
    <xf numFmtId="201" fontId="231" fillId="0" borderId="433" xfId="63" applyNumberFormat="1" applyFont="1" applyBorder="1" applyAlignment="1">
      <alignment vertical="center" wrapText="1"/>
    </xf>
    <xf numFmtId="0" fontId="231" fillId="0" borderId="433" xfId="63" applyFont="1" applyBorder="1" applyAlignment="1">
      <alignment horizontal="right" vertical="center" wrapText="1"/>
    </xf>
    <xf numFmtId="0" fontId="234" fillId="0" borderId="465" xfId="63" applyFont="1" applyBorder="1" applyAlignment="1">
      <alignment wrapText="1"/>
    </xf>
    <xf numFmtId="0" fontId="231" fillId="93" borderId="477" xfId="63" applyFont="1" applyFill="1" applyBorder="1" applyAlignment="1">
      <alignment horizontal="center" vertical="center" wrapText="1"/>
    </xf>
    <xf numFmtId="0" fontId="231" fillId="93" borderId="470" xfId="63" applyFont="1" applyFill="1" applyBorder="1" applyAlignment="1">
      <alignment horizontal="center" vertical="top" wrapText="1"/>
    </xf>
    <xf numFmtId="15" fontId="243" fillId="89" borderId="469" xfId="63" applyNumberFormat="1" applyFont="1" applyFill="1" applyBorder="1" applyAlignment="1">
      <alignment horizontal="center" wrapText="1"/>
    </xf>
    <xf numFmtId="0" fontId="234" fillId="0" borderId="433" xfId="63" applyFont="1" applyBorder="1" applyAlignment="1">
      <alignment horizontal="left" vertical="center" wrapText="1"/>
    </xf>
    <xf numFmtId="0" fontId="231" fillId="0" borderId="465" xfId="63" applyFont="1" applyBorder="1" applyAlignment="1">
      <alignment vertical="center" wrapText="1"/>
    </xf>
    <xf numFmtId="0" fontId="232" fillId="92" borderId="467" xfId="63" applyFont="1" applyFill="1" applyBorder="1" applyAlignment="1">
      <alignment horizontal="center" vertical="center" wrapText="1"/>
    </xf>
    <xf numFmtId="197" fontId="234" fillId="89" borderId="0" xfId="63" applyNumberFormat="1" applyFont="1" applyFill="1" applyAlignment="1">
      <alignment horizontal="center" vertical="center" wrapText="1"/>
    </xf>
    <xf numFmtId="0" fontId="234" fillId="89" borderId="0" xfId="63" applyFont="1" applyFill="1" applyAlignment="1">
      <alignment horizontal="center" vertical="center" wrapText="1"/>
    </xf>
    <xf numFmtId="201" fontId="231" fillId="0" borderId="465" xfId="63" applyNumberFormat="1" applyFont="1" applyBorder="1" applyAlignment="1">
      <alignment vertical="center" wrapText="1"/>
    </xf>
    <xf numFmtId="0" fontId="231" fillId="0" borderId="477" xfId="63" applyFont="1" applyBorder="1" applyAlignment="1">
      <alignment vertical="center" wrapText="1"/>
    </xf>
    <xf numFmtId="195" fontId="231" fillId="95" borderId="469" xfId="63" applyNumberFormat="1" applyFont="1" applyFill="1" applyBorder="1" applyAlignment="1">
      <alignment vertical="center" wrapText="1"/>
    </xf>
    <xf numFmtId="0" fontId="231" fillId="0" borderId="468" xfId="63" applyFont="1" applyBorder="1" applyAlignment="1">
      <alignment vertical="center" wrapText="1"/>
    </xf>
    <xf numFmtId="14" fontId="243" fillId="89" borderId="469" xfId="63" applyNumberFormat="1" applyFont="1" applyFill="1" applyBorder="1" applyAlignment="1">
      <alignment horizontal="center" wrapText="1"/>
    </xf>
    <xf numFmtId="14" fontId="234" fillId="89" borderId="0" xfId="63" applyNumberFormat="1" applyFont="1" applyFill="1" applyAlignment="1">
      <alignment horizontal="center" wrapText="1"/>
    </xf>
    <xf numFmtId="224" fontId="234" fillId="89" borderId="0" xfId="63" applyNumberFormat="1" applyFont="1" applyFill="1" applyAlignment="1">
      <alignment horizontal="center" vertical="center" wrapText="1"/>
    </xf>
    <xf numFmtId="195" fontId="234" fillId="95" borderId="433" xfId="63" applyNumberFormat="1" applyFont="1" applyFill="1" applyBorder="1" applyAlignment="1">
      <alignment vertical="center" wrapText="1"/>
    </xf>
    <xf numFmtId="0" fontId="231" fillId="97" borderId="433" xfId="63" applyFont="1" applyFill="1" applyBorder="1" applyAlignment="1">
      <alignment horizontal="left" vertical="center" wrapText="1"/>
    </xf>
    <xf numFmtId="15" fontId="243" fillId="89" borderId="433" xfId="63" applyNumberFormat="1" applyFont="1" applyFill="1" applyBorder="1" applyAlignment="1">
      <alignment horizontal="center" wrapText="1"/>
    </xf>
    <xf numFmtId="0" fontId="231" fillId="105" borderId="467" xfId="63" applyFont="1" applyFill="1" applyBorder="1" applyAlignment="1">
      <alignment horizontal="left" wrapText="1"/>
    </xf>
    <xf numFmtId="0" fontId="231" fillId="105" borderId="466" xfId="63" applyFont="1" applyFill="1" applyBorder="1" applyAlignment="1">
      <alignment horizontal="left" wrapText="1"/>
    </xf>
    <xf numFmtId="0" fontId="231" fillId="105" borderId="475" xfId="63" applyFont="1" applyFill="1" applyBorder="1" applyAlignment="1">
      <alignment horizontal="left" wrapText="1"/>
    </xf>
    <xf numFmtId="0" fontId="231" fillId="105" borderId="433" xfId="63" applyFont="1" applyFill="1" applyBorder="1" applyAlignment="1">
      <alignment horizontal="left" wrapText="1"/>
    </xf>
    <xf numFmtId="0" fontId="232" fillId="92" borderId="475" xfId="63" applyFont="1" applyFill="1" applyBorder="1" applyAlignment="1">
      <alignment horizontal="center" wrapText="1"/>
    </xf>
    <xf numFmtId="0" fontId="231" fillId="99" borderId="0" xfId="63" applyFont="1" applyFill="1" applyAlignment="1">
      <alignment horizontal="right" wrapText="1"/>
    </xf>
    <xf numFmtId="197" fontId="231" fillId="89" borderId="465" xfId="63" applyNumberFormat="1" applyFont="1" applyFill="1" applyBorder="1" applyAlignment="1">
      <alignment horizontal="right" wrapText="1"/>
    </xf>
    <xf numFmtId="197" fontId="231" fillId="89" borderId="0" xfId="63" applyNumberFormat="1" applyFont="1" applyFill="1" applyAlignment="1">
      <alignment horizontal="right" wrapText="1"/>
    </xf>
    <xf numFmtId="0" fontId="231" fillId="99" borderId="465" xfId="63" applyFont="1" applyFill="1" applyBorder="1" applyAlignment="1">
      <alignment horizontal="right" wrapText="1"/>
    </xf>
    <xf numFmtId="0" fontId="231" fillId="0" borderId="476" xfId="63" applyFont="1" applyBorder="1" applyAlignment="1">
      <alignment wrapText="1"/>
    </xf>
    <xf numFmtId="0" fontId="242" fillId="0" borderId="439" xfId="63" applyFont="1" applyBorder="1" applyAlignment="1">
      <alignment wrapText="1"/>
    </xf>
    <xf numFmtId="0" fontId="234" fillId="0" borderId="0" xfId="63" applyFont="1" applyAlignment="1">
      <alignment horizontal="center" wrapText="1"/>
    </xf>
    <xf numFmtId="0" fontId="231" fillId="76" borderId="0" xfId="63" applyFont="1" applyFill="1" applyAlignment="1">
      <alignment wrapText="1"/>
    </xf>
    <xf numFmtId="225" fontId="231" fillId="0" borderId="433" xfId="63" applyNumberFormat="1" applyFont="1" applyBorder="1" applyAlignment="1">
      <alignment wrapText="1"/>
    </xf>
    <xf numFmtId="195" fontId="240" fillId="0" borderId="433" xfId="63" applyNumberFormat="1" applyFont="1" applyBorder="1" applyAlignment="1">
      <alignment wrapText="1"/>
    </xf>
    <xf numFmtId="225" fontId="234" fillId="95" borderId="433" xfId="63" applyNumberFormat="1" applyFont="1" applyFill="1" applyBorder="1" applyAlignment="1">
      <alignment wrapText="1"/>
    </xf>
    <xf numFmtId="226" fontId="231" fillId="0" borderId="433" xfId="63" applyNumberFormat="1" applyFont="1" applyBorder="1" applyAlignment="1">
      <alignment wrapText="1"/>
    </xf>
    <xf numFmtId="226" fontId="234" fillId="95" borderId="433" xfId="63" applyNumberFormat="1" applyFont="1" applyFill="1" applyBorder="1" applyAlignment="1">
      <alignment wrapText="1"/>
    </xf>
    <xf numFmtId="227" fontId="234" fillId="95" borderId="433" xfId="63" applyNumberFormat="1" applyFont="1" applyFill="1" applyBorder="1" applyAlignment="1">
      <alignment wrapText="1"/>
    </xf>
    <xf numFmtId="0" fontId="237" fillId="0" borderId="468" xfId="63" applyFont="1" applyBorder="1" applyAlignment="1">
      <alignment horizontal="right" wrapText="1"/>
    </xf>
    <xf numFmtId="0" fontId="237" fillId="0" borderId="468" xfId="63" applyFont="1" applyBorder="1" applyAlignment="1">
      <alignment wrapText="1"/>
    </xf>
    <xf numFmtId="0" fontId="234" fillId="0" borderId="0" xfId="63" applyFont="1" applyAlignment="1">
      <alignment horizontal="right" wrapText="1"/>
    </xf>
    <xf numFmtId="0" fontId="237" fillId="0" borderId="0" xfId="63" applyFont="1" applyAlignment="1">
      <alignment horizontal="center" wrapText="1"/>
    </xf>
    <xf numFmtId="195" fontId="241" fillId="0" borderId="439" xfId="63" applyNumberFormat="1" applyFont="1" applyBorder="1" applyAlignment="1">
      <alignment wrapText="1"/>
    </xf>
    <xf numFmtId="0" fontId="231" fillId="0" borderId="0" xfId="63" applyFont="1" applyAlignment="1">
      <alignment horizontal="right" wrapText="1"/>
    </xf>
    <xf numFmtId="200" fontId="231" fillId="104" borderId="466" xfId="63" applyNumberFormat="1" applyFont="1" applyFill="1" applyBorder="1" applyAlignment="1">
      <alignment wrapText="1"/>
    </xf>
    <xf numFmtId="0" fontId="234" fillId="0" borderId="476" xfId="63" applyFont="1" applyBorder="1" applyAlignment="1">
      <alignment horizontal="center" wrapText="1"/>
    </xf>
    <xf numFmtId="0" fontId="234" fillId="0" borderId="468" xfId="63" applyFont="1" applyBorder="1" applyAlignment="1">
      <alignment horizontal="center" wrapText="1"/>
    </xf>
    <xf numFmtId="0" fontId="234" fillId="0" borderId="478" xfId="63" applyFont="1" applyBorder="1" applyAlignment="1">
      <alignment horizontal="center" wrapText="1"/>
    </xf>
    <xf numFmtId="195" fontId="241" fillId="0" borderId="0" xfId="63" applyNumberFormat="1" applyFont="1" applyAlignment="1">
      <alignment wrapText="1"/>
    </xf>
    <xf numFmtId="195" fontId="241" fillId="0" borderId="471" xfId="63" applyNumberFormat="1" applyFont="1" applyBorder="1" applyAlignment="1">
      <alignment wrapText="1"/>
    </xf>
    <xf numFmtId="0" fontId="237" fillId="0" borderId="465" xfId="63" applyFont="1" applyBorder="1" applyAlignment="1">
      <alignment wrapText="1"/>
    </xf>
    <xf numFmtId="0" fontId="237" fillId="0" borderId="474" xfId="63" applyFont="1" applyBorder="1" applyAlignment="1">
      <alignment wrapText="1"/>
    </xf>
    <xf numFmtId="195" fontId="231" fillId="0" borderId="439" xfId="63" applyNumberFormat="1" applyFont="1" applyBorder="1" applyAlignment="1">
      <alignment wrapText="1"/>
    </xf>
    <xf numFmtId="195" fontId="231" fillId="0" borderId="440" xfId="63" applyNumberFormat="1" applyFont="1" applyBorder="1" applyAlignment="1">
      <alignment wrapText="1"/>
    </xf>
    <xf numFmtId="0" fontId="242" fillId="0" borderId="0" xfId="63" applyFont="1" applyAlignment="1">
      <alignment wrapText="1"/>
    </xf>
    <xf numFmtId="225" fontId="231" fillId="0" borderId="433" xfId="63" applyNumberFormat="1" applyFont="1" applyBorder="1" applyAlignment="1">
      <alignment horizontal="right" wrapText="1"/>
    </xf>
    <xf numFmtId="194" fontId="240" fillId="0" borderId="433" xfId="63" applyNumberFormat="1" applyFont="1" applyBorder="1" applyAlignment="1">
      <alignment wrapText="1"/>
    </xf>
    <xf numFmtId="194" fontId="231" fillId="0" borderId="469" xfId="63" applyNumberFormat="1" applyFont="1" applyBorder="1" applyAlignment="1">
      <alignment horizontal="center" wrapText="1"/>
    </xf>
    <xf numFmtId="195" fontId="243" fillId="0" borderId="433" xfId="63" applyNumberFormat="1" applyFont="1" applyBorder="1" applyAlignment="1">
      <alignment wrapText="1"/>
    </xf>
    <xf numFmtId="227" fontId="243" fillId="0" borderId="433" xfId="63" applyNumberFormat="1" applyFont="1" applyBorder="1" applyAlignment="1">
      <alignment wrapText="1"/>
    </xf>
    <xf numFmtId="0" fontId="234" fillId="0" borderId="467" xfId="63" applyFont="1" applyBorder="1" applyAlignment="1">
      <alignment horizontal="left" wrapText="1"/>
    </xf>
    <xf numFmtId="228" fontId="231" fillId="0" borderId="433" xfId="63" applyNumberFormat="1" applyFont="1" applyBorder="1" applyAlignment="1">
      <alignment wrapText="1"/>
    </xf>
    <xf numFmtId="212" fontId="231" fillId="0" borderId="433" xfId="63" applyNumberFormat="1" applyFont="1" applyBorder="1" applyAlignment="1">
      <alignment horizontal="right" wrapText="1"/>
    </xf>
    <xf numFmtId="212" fontId="231" fillId="95" borderId="433" xfId="63" applyNumberFormat="1" applyFont="1" applyFill="1" applyBorder="1" applyAlignment="1">
      <alignment horizontal="right" wrapText="1"/>
    </xf>
    <xf numFmtId="212" fontId="231" fillId="95" borderId="477" xfId="63" applyNumberFormat="1" applyFont="1" applyFill="1" applyBorder="1" applyAlignment="1">
      <alignment horizontal="right" wrapText="1"/>
    </xf>
    <xf numFmtId="195" fontId="231" fillId="106" borderId="433" xfId="63" applyNumberFormat="1" applyFont="1" applyFill="1" applyBorder="1" applyAlignment="1">
      <alignment wrapText="1"/>
    </xf>
    <xf numFmtId="229" fontId="231" fillId="0" borderId="433" xfId="63" applyNumberFormat="1" applyFont="1" applyBorder="1" applyAlignment="1">
      <alignment horizontal="center" wrapText="1"/>
    </xf>
    <xf numFmtId="0" fontId="231" fillId="101" borderId="433" xfId="63" applyFont="1" applyFill="1" applyBorder="1" applyAlignment="1">
      <alignment horizontal="left" wrapText="1"/>
    </xf>
    <xf numFmtId="212" fontId="243" fillId="95" borderId="433" xfId="63" applyNumberFormat="1" applyFont="1" applyFill="1" applyBorder="1" applyAlignment="1">
      <alignment wrapText="1"/>
    </xf>
    <xf numFmtId="0" fontId="234" fillId="0" borderId="468" xfId="63" applyFont="1" applyBorder="1" applyAlignment="1">
      <alignment horizontal="left" wrapText="1"/>
    </xf>
    <xf numFmtId="0" fontId="237" fillId="0" borderId="465" xfId="63" applyFont="1" applyBorder="1" applyAlignment="1">
      <alignment horizontal="left" wrapText="1"/>
    </xf>
    <xf numFmtId="195" fontId="234" fillId="76" borderId="479" xfId="63" applyNumberFormat="1" applyFont="1" applyFill="1" applyBorder="1" applyAlignment="1">
      <alignment wrapText="1"/>
    </xf>
    <xf numFmtId="200" fontId="231" fillId="76" borderId="433" xfId="63" applyNumberFormat="1" applyFont="1" applyFill="1" applyBorder="1" applyAlignment="1">
      <alignment wrapText="1"/>
    </xf>
    <xf numFmtId="200" fontId="231" fillId="76" borderId="472" xfId="63" applyNumberFormat="1" applyFont="1" applyFill="1" applyBorder="1" applyAlignment="1">
      <alignment wrapText="1"/>
    </xf>
    <xf numFmtId="195" fontId="231" fillId="0" borderId="472" xfId="63" applyNumberFormat="1" applyFont="1" applyBorder="1" applyAlignment="1">
      <alignment wrapText="1"/>
    </xf>
    <xf numFmtId="195" fontId="231" fillId="87" borderId="472" xfId="63" applyNumberFormat="1" applyFont="1" applyFill="1" applyBorder="1" applyAlignment="1">
      <alignment wrapText="1"/>
    </xf>
    <xf numFmtId="201" fontId="231" fillId="0" borderId="433" xfId="63" applyNumberFormat="1" applyFont="1" applyBorder="1" applyAlignment="1">
      <alignment horizontal="right" vertical="top" wrapText="1"/>
    </xf>
    <xf numFmtId="213" fontId="231" fillId="89" borderId="0" xfId="63" applyNumberFormat="1" applyFont="1" applyFill="1" applyAlignment="1">
      <alignment horizontal="right" wrapText="1"/>
    </xf>
    <xf numFmtId="195" fontId="234" fillId="76" borderId="473" xfId="63" applyNumberFormat="1" applyFont="1" applyFill="1" applyBorder="1" applyAlignment="1">
      <alignment wrapText="1"/>
    </xf>
    <xf numFmtId="195" fontId="234" fillId="87" borderId="479" xfId="63" applyNumberFormat="1" applyFont="1" applyFill="1" applyBorder="1" applyAlignment="1">
      <alignment wrapText="1"/>
    </xf>
    <xf numFmtId="0" fontId="231" fillId="76" borderId="468" xfId="63" applyFont="1" applyFill="1" applyBorder="1" applyAlignment="1">
      <alignment horizontal="right" wrapText="1"/>
    </xf>
    <xf numFmtId="0" fontId="231" fillId="76" borderId="0" xfId="63" applyFont="1" applyFill="1" applyAlignment="1">
      <alignment horizontal="right" wrapText="1"/>
    </xf>
    <xf numFmtId="0" fontId="231" fillId="76" borderId="0" xfId="63" applyFont="1" applyFill="1" applyAlignment="1">
      <alignment horizontal="center" wrapText="1"/>
    </xf>
    <xf numFmtId="0" fontId="231" fillId="0" borderId="476" xfId="63" applyFont="1" applyBorder="1" applyAlignment="1">
      <alignment horizontal="center" wrapText="1"/>
    </xf>
    <xf numFmtId="0" fontId="231" fillId="0" borderId="478" xfId="63" applyFont="1" applyBorder="1" applyAlignment="1">
      <alignment horizontal="center" wrapText="1"/>
    </xf>
    <xf numFmtId="0" fontId="231" fillId="0" borderId="474" xfId="63" applyFont="1" applyBorder="1" applyAlignment="1">
      <alignment horizontal="center" wrapText="1"/>
    </xf>
    <xf numFmtId="0" fontId="231" fillId="0" borderId="440" xfId="63" applyFont="1" applyBorder="1" applyAlignment="1">
      <alignment horizontal="center" wrapText="1"/>
    </xf>
    <xf numFmtId="0" fontId="231" fillId="102" borderId="433" xfId="63" applyFont="1" applyFill="1" applyBorder="1" applyAlignment="1">
      <alignment horizontal="center" wrapText="1"/>
    </xf>
    <xf numFmtId="195" fontId="231" fillId="107" borderId="433" xfId="63" applyNumberFormat="1" applyFont="1" applyFill="1" applyBorder="1" applyAlignment="1">
      <alignment wrapText="1"/>
    </xf>
    <xf numFmtId="195" fontId="231" fillId="108" borderId="433" xfId="63" applyNumberFormat="1" applyFont="1" applyFill="1" applyBorder="1" applyAlignment="1">
      <alignment wrapText="1"/>
    </xf>
    <xf numFmtId="0" fontId="231" fillId="109" borderId="433" xfId="63" applyFont="1" applyFill="1" applyBorder="1" applyAlignment="1">
      <alignment horizontal="center" wrapText="1"/>
    </xf>
    <xf numFmtId="195" fontId="231" fillId="110" borderId="433" xfId="63" applyNumberFormat="1" applyFont="1" applyFill="1" applyBorder="1" applyAlignment="1">
      <alignment wrapText="1"/>
    </xf>
    <xf numFmtId="0" fontId="231" fillId="87" borderId="433" xfId="63" applyFont="1" applyFill="1" applyBorder="1" applyAlignment="1">
      <alignment horizontal="center" wrapText="1"/>
    </xf>
    <xf numFmtId="195" fontId="231" fillId="111" borderId="433" xfId="63" applyNumberFormat="1" applyFont="1" applyFill="1" applyBorder="1" applyAlignment="1">
      <alignment wrapText="1"/>
    </xf>
    <xf numFmtId="230" fontId="231" fillId="0" borderId="433" xfId="63" applyNumberFormat="1" applyFont="1" applyBorder="1" applyAlignment="1">
      <alignment horizontal="right" wrapText="1"/>
    </xf>
    <xf numFmtId="194" fontId="234" fillId="0" borderId="471" xfId="63" applyNumberFormat="1" applyFont="1" applyBorder="1" applyAlignment="1">
      <alignment horizontal="center" wrapText="1"/>
    </xf>
    <xf numFmtId="0" fontId="234" fillId="76" borderId="433" xfId="63" applyFont="1" applyFill="1" applyBorder="1" applyAlignment="1">
      <alignment horizontal="center" wrapText="1"/>
    </xf>
    <xf numFmtId="0" fontId="231" fillId="76" borderId="468" xfId="63" applyFont="1" applyFill="1" applyBorder="1" applyAlignment="1">
      <alignment horizontal="center" wrapText="1"/>
    </xf>
    <xf numFmtId="0" fontId="231" fillId="112" borderId="0" xfId="63" applyFont="1" applyFill="1" applyAlignment="1">
      <alignment wrapText="1"/>
    </xf>
    <xf numFmtId="0" fontId="231" fillId="0" borderId="465" xfId="63" applyFont="1" applyBorder="1" applyAlignment="1">
      <alignment horizontal="center" wrapText="1"/>
    </xf>
    <xf numFmtId="0" fontId="236" fillId="0" borderId="465" xfId="63" applyFont="1" applyBorder="1" applyAlignment="1">
      <alignment horizontal="left" vertical="top" wrapText="1"/>
    </xf>
    <xf numFmtId="0" fontId="231" fillId="76" borderId="477" xfId="63" applyFont="1" applyFill="1" applyBorder="1" applyAlignment="1">
      <alignment horizontal="center" wrapText="1"/>
    </xf>
    <xf numFmtId="0" fontId="231" fillId="76" borderId="469" xfId="63" applyFont="1" applyFill="1" applyBorder="1" applyAlignment="1">
      <alignment horizontal="center" wrapText="1"/>
    </xf>
    <xf numFmtId="0" fontId="231" fillId="76" borderId="465" xfId="63" applyFont="1" applyFill="1" applyBorder="1" applyAlignment="1">
      <alignment horizontal="center" wrapText="1"/>
    </xf>
    <xf numFmtId="195" fontId="231" fillId="113" borderId="433" xfId="63" applyNumberFormat="1" applyFont="1" applyFill="1" applyBorder="1" applyAlignment="1">
      <alignment vertical="center" wrapText="1"/>
    </xf>
    <xf numFmtId="0" fontId="231" fillId="76" borderId="465" xfId="63" applyFont="1" applyFill="1" applyBorder="1" applyAlignment="1">
      <alignment wrapText="1"/>
    </xf>
    <xf numFmtId="0" fontId="239" fillId="112" borderId="0" xfId="63" applyFont="1" applyFill="1" applyAlignment="1">
      <alignment wrapText="1"/>
    </xf>
    <xf numFmtId="195" fontId="231" fillId="110" borderId="433" xfId="63" applyNumberFormat="1" applyFont="1" applyFill="1" applyBorder="1" applyAlignment="1">
      <alignment vertical="center" wrapText="1"/>
    </xf>
    <xf numFmtId="195" fontId="231" fillId="108" borderId="433" xfId="63" applyNumberFormat="1" applyFont="1" applyFill="1" applyBorder="1" applyAlignment="1">
      <alignment vertical="center" wrapText="1"/>
    </xf>
    <xf numFmtId="0" fontId="231" fillId="114" borderId="433" xfId="63" applyFont="1" applyFill="1" applyBorder="1" applyAlignment="1">
      <alignment horizontal="center" wrapText="1"/>
    </xf>
    <xf numFmtId="195" fontId="231" fillId="115" borderId="433" xfId="63" applyNumberFormat="1" applyFont="1" applyFill="1" applyBorder="1" applyAlignment="1">
      <alignment vertical="center" wrapText="1"/>
    </xf>
    <xf numFmtId="0" fontId="231" fillId="101" borderId="433" xfId="63" applyFont="1" applyFill="1" applyBorder="1" applyAlignment="1">
      <alignment horizontal="center" wrapText="1"/>
    </xf>
    <xf numFmtId="0" fontId="241" fillId="0" borderId="433" xfId="63" applyFont="1" applyBorder="1" applyAlignment="1">
      <alignment horizontal="left" wrapText="1"/>
    </xf>
    <xf numFmtId="195" fontId="231" fillId="116" borderId="433" xfId="63" applyNumberFormat="1" applyFont="1" applyFill="1" applyBorder="1" applyAlignment="1">
      <alignment vertical="center" wrapText="1"/>
    </xf>
    <xf numFmtId="195" fontId="231" fillId="100" borderId="433" xfId="63" applyNumberFormat="1" applyFont="1" applyFill="1" applyBorder="1" applyAlignment="1">
      <alignment vertical="center" wrapText="1"/>
    </xf>
    <xf numFmtId="195" fontId="231" fillId="117" borderId="433" xfId="63" applyNumberFormat="1" applyFont="1" applyFill="1" applyBorder="1" applyAlignment="1">
      <alignment vertical="center" wrapText="1"/>
    </xf>
    <xf numFmtId="195" fontId="231" fillId="73" borderId="433" xfId="63" applyNumberFormat="1" applyFont="1" applyFill="1" applyBorder="1" applyAlignment="1">
      <alignment vertical="center" wrapText="1"/>
    </xf>
    <xf numFmtId="195" fontId="231" fillId="90" borderId="433" xfId="63" applyNumberFormat="1" applyFont="1" applyFill="1" applyBorder="1" applyAlignment="1">
      <alignment vertical="center" wrapText="1"/>
    </xf>
    <xf numFmtId="216" fontId="231" fillId="0" borderId="477" xfId="63" applyNumberFormat="1" applyFont="1" applyBorder="1" applyAlignment="1">
      <alignment horizontal="center" wrapText="1"/>
    </xf>
    <xf numFmtId="216" fontId="231" fillId="0" borderId="440" xfId="63" applyNumberFormat="1" applyFont="1" applyBorder="1" applyAlignment="1">
      <alignment horizontal="center" wrapText="1"/>
    </xf>
    <xf numFmtId="216" fontId="231" fillId="0" borderId="475" xfId="63" applyNumberFormat="1" applyFont="1" applyBorder="1" applyAlignment="1">
      <alignment horizontal="center" wrapText="1"/>
    </xf>
    <xf numFmtId="195" fontId="231" fillId="115" borderId="433" xfId="63" applyNumberFormat="1" applyFont="1" applyFill="1" applyBorder="1" applyAlignment="1">
      <alignment wrapText="1"/>
    </xf>
    <xf numFmtId="0" fontId="231" fillId="0" borderId="465" xfId="63" applyFont="1" applyBorder="1" applyAlignment="1">
      <alignment horizontal="left" wrapText="1"/>
    </xf>
    <xf numFmtId="0" fontId="234" fillId="0" borderId="477" xfId="63" applyFont="1" applyBorder="1" applyAlignment="1">
      <alignment horizontal="center" wrapText="1"/>
    </xf>
    <xf numFmtId="0" fontId="234" fillId="0" borderId="470" xfId="63" applyFont="1" applyBorder="1" applyAlignment="1">
      <alignment horizontal="center" wrapText="1"/>
    </xf>
    <xf numFmtId="0" fontId="234" fillId="0" borderId="469" xfId="63" applyFont="1" applyBorder="1" applyAlignment="1">
      <alignment horizontal="center" wrapText="1"/>
    </xf>
    <xf numFmtId="0" fontId="234" fillId="0" borderId="474" xfId="63" applyFont="1" applyBorder="1" applyAlignment="1">
      <alignment horizontal="center" wrapText="1"/>
    </xf>
    <xf numFmtId="0" fontId="234" fillId="76" borderId="440" xfId="63" applyFont="1" applyFill="1" applyBorder="1" applyAlignment="1">
      <alignment horizontal="center" wrapText="1"/>
    </xf>
    <xf numFmtId="0" fontId="231" fillId="102" borderId="433" xfId="63" applyFont="1" applyFill="1" applyBorder="1" applyAlignment="1">
      <alignment horizontal="center" vertical="center" wrapText="1"/>
    </xf>
    <xf numFmtId="195" fontId="231" fillId="102" borderId="433" xfId="63" applyNumberFormat="1" applyFont="1" applyFill="1" applyBorder="1" applyAlignment="1">
      <alignment vertical="center" wrapText="1"/>
    </xf>
    <xf numFmtId="0" fontId="231" fillId="0" borderId="465" xfId="63" applyFont="1" applyBorder="1" applyAlignment="1">
      <alignment horizontal="right" wrapText="1"/>
    </xf>
    <xf numFmtId="0" fontId="231" fillId="110" borderId="433" xfId="63" applyFont="1" applyFill="1" applyBorder="1" applyAlignment="1">
      <alignment horizontal="center" vertical="center" wrapText="1"/>
    </xf>
    <xf numFmtId="0" fontId="231" fillId="101" borderId="433" xfId="63" applyFont="1" applyFill="1" applyBorder="1" applyAlignment="1">
      <alignment horizontal="center" vertical="center" wrapText="1"/>
    </xf>
    <xf numFmtId="195" fontId="231" fillId="101" borderId="433" xfId="63" applyNumberFormat="1" applyFont="1" applyFill="1" applyBorder="1" applyAlignment="1">
      <alignment vertical="center" wrapText="1"/>
    </xf>
    <xf numFmtId="231" fontId="231" fillId="0" borderId="433" xfId="63" applyNumberFormat="1" applyFont="1" applyBorder="1" applyAlignment="1">
      <alignment horizontal="center" wrapText="1"/>
    </xf>
    <xf numFmtId="0" fontId="231" fillId="118" borderId="433" xfId="63" applyFont="1" applyFill="1" applyBorder="1" applyAlignment="1">
      <alignment horizontal="center" vertical="center" wrapText="1"/>
    </xf>
    <xf numFmtId="195" fontId="231" fillId="118" borderId="433" xfId="63" applyNumberFormat="1" applyFont="1" applyFill="1" applyBorder="1" applyAlignment="1">
      <alignment vertical="center" wrapText="1"/>
    </xf>
    <xf numFmtId="0" fontId="231" fillId="87" borderId="433" xfId="63" applyFont="1" applyFill="1" applyBorder="1" applyAlignment="1">
      <alignment horizontal="center" vertical="center" wrapText="1"/>
    </xf>
    <xf numFmtId="0" fontId="231" fillId="87" borderId="433" xfId="63" applyFont="1" applyFill="1" applyBorder="1" applyAlignment="1">
      <alignment vertical="center" wrapText="1"/>
    </xf>
    <xf numFmtId="0" fontId="239" fillId="0" borderId="433" xfId="63" applyFont="1" applyBorder="1" applyAlignment="1">
      <alignment vertical="center" wrapText="1"/>
    </xf>
    <xf numFmtId="0" fontId="231" fillId="0" borderId="469" xfId="63" applyFont="1" applyBorder="1" applyAlignment="1">
      <alignment horizontal="left" wrapText="1"/>
    </xf>
    <xf numFmtId="194" fontId="231" fillId="0" borderId="433" xfId="63" applyNumberFormat="1" applyFont="1" applyBorder="1" applyAlignment="1">
      <alignment horizontal="left" wrapText="1"/>
    </xf>
    <xf numFmtId="216" fontId="231" fillId="0" borderId="433" xfId="63" applyNumberFormat="1" applyFont="1" applyBorder="1" applyAlignment="1">
      <alignment horizontal="left" wrapText="1"/>
    </xf>
    <xf numFmtId="194" fontId="231" fillId="0" borderId="433" xfId="63" applyNumberFormat="1" applyFont="1" applyBorder="1" applyAlignment="1">
      <alignment horizontal="right" vertical="center" wrapText="1"/>
    </xf>
    <xf numFmtId="211" fontId="231" fillId="87" borderId="433" xfId="63" applyNumberFormat="1" applyFont="1" applyFill="1" applyBorder="1" applyAlignment="1">
      <alignment vertical="center" wrapText="1"/>
    </xf>
    <xf numFmtId="232" fontId="231" fillId="0" borderId="433" xfId="63" applyNumberFormat="1" applyFont="1" applyBorder="1" applyAlignment="1">
      <alignment horizontal="right" wrapText="1"/>
    </xf>
    <xf numFmtId="0" fontId="247" fillId="0" borderId="0" xfId="63" applyFont="1" applyAlignment="1">
      <alignment horizontal="center" wrapText="1"/>
    </xf>
    <xf numFmtId="223" fontId="231" fillId="0" borderId="433" xfId="63" applyNumberFormat="1" applyFont="1" applyBorder="1" applyAlignment="1">
      <alignment horizontal="right" wrapText="1"/>
    </xf>
    <xf numFmtId="216" fontId="231" fillId="0" borderId="433" xfId="63" applyNumberFormat="1" applyFont="1" applyBorder="1" applyAlignment="1">
      <alignment horizontal="right" wrapText="1"/>
    </xf>
    <xf numFmtId="0" fontId="231" fillId="93" borderId="440" xfId="63" applyFont="1" applyFill="1" applyBorder="1" applyAlignment="1">
      <alignment horizontal="center" wrapText="1"/>
    </xf>
    <xf numFmtId="0" fontId="231" fillId="112" borderId="433" xfId="63" applyFont="1" applyFill="1" applyBorder="1" applyAlignment="1">
      <alignment wrapText="1"/>
    </xf>
    <xf numFmtId="0" fontId="231" fillId="0" borderId="433" xfId="63" applyFont="1" applyBorder="1" applyAlignment="1">
      <alignment wrapText="1" indent="2"/>
    </xf>
    <xf numFmtId="194" fontId="231" fillId="95" borderId="433" xfId="63" applyNumberFormat="1" applyFont="1" applyFill="1" applyBorder="1" applyAlignment="1">
      <alignment horizontal="right" wrapText="1"/>
    </xf>
    <xf numFmtId="0" fontId="231" fillId="103" borderId="467" xfId="63" applyFont="1" applyFill="1" applyBorder="1" applyAlignment="1">
      <alignment horizontal="right" wrapText="1"/>
    </xf>
    <xf numFmtId="0" fontId="231" fillId="103" borderId="466" xfId="63" applyFont="1" applyFill="1" applyBorder="1" applyAlignment="1">
      <alignment horizontal="right" wrapText="1"/>
    </xf>
    <xf numFmtId="0" fontId="231" fillId="103" borderId="475" xfId="63" applyFont="1" applyFill="1" applyBorder="1" applyAlignment="1">
      <alignment horizontal="right" wrapText="1"/>
    </xf>
    <xf numFmtId="0" fontId="231" fillId="103" borderId="467" xfId="63" applyFont="1" applyFill="1" applyBorder="1" applyAlignment="1">
      <alignment horizontal="center" wrapText="1"/>
    </xf>
    <xf numFmtId="0" fontId="231" fillId="103" borderId="466" xfId="63" applyFont="1" applyFill="1" applyBorder="1" applyAlignment="1">
      <alignment horizontal="center" wrapText="1"/>
    </xf>
    <xf numFmtId="0" fontId="231" fillId="103" borderId="475" xfId="63" applyFont="1" applyFill="1" applyBorder="1" applyAlignment="1">
      <alignment horizontal="center" wrapText="1"/>
    </xf>
    <xf numFmtId="0" fontId="231" fillId="96" borderId="433" xfId="63" applyFont="1" applyFill="1" applyBorder="1" applyAlignment="1">
      <alignment horizontal="center" wrapText="1"/>
    </xf>
    <xf numFmtId="195" fontId="234" fillId="120" borderId="433" xfId="63" applyNumberFormat="1" applyFont="1" applyFill="1" applyBorder="1" applyAlignment="1">
      <alignment wrapText="1"/>
    </xf>
    <xf numFmtId="195" fontId="231" fillId="120" borderId="433" xfId="63" applyNumberFormat="1" applyFont="1" applyFill="1" applyBorder="1" applyAlignment="1">
      <alignment wrapText="1"/>
    </xf>
    <xf numFmtId="233" fontId="231" fillId="0" borderId="433" xfId="63" applyNumberFormat="1" applyFont="1" applyBorder="1" applyAlignment="1">
      <alignment horizontal="center" wrapText="1"/>
    </xf>
    <xf numFmtId="194" fontId="234" fillId="95" borderId="433" xfId="63" applyNumberFormat="1" applyFont="1" applyFill="1" applyBorder="1" applyAlignment="1">
      <alignment horizontal="right" wrapText="1"/>
    </xf>
    <xf numFmtId="0" fontId="231" fillId="0" borderId="476" xfId="63" applyFont="1" applyBorder="1" applyAlignment="1">
      <alignment horizontal="left" wrapText="1"/>
    </xf>
    <xf numFmtId="0" fontId="231" fillId="93" borderId="476" xfId="63" applyFont="1" applyFill="1" applyBorder="1" applyAlignment="1">
      <alignment horizontal="left" wrapText="1"/>
    </xf>
    <xf numFmtId="0" fontId="234" fillId="87" borderId="433" xfId="63" applyFont="1" applyFill="1" applyBorder="1" applyAlignment="1">
      <alignment horizontal="center" wrapText="1"/>
    </xf>
    <xf numFmtId="235" fontId="231" fillId="0" borderId="433" xfId="63" applyNumberFormat="1" applyFont="1" applyBorder="1" applyAlignment="1">
      <alignment wrapText="1"/>
    </xf>
    <xf numFmtId="236" fontId="231" fillId="0" borderId="433" xfId="63" applyNumberFormat="1" applyFont="1" applyBorder="1" applyAlignment="1">
      <alignment wrapText="1"/>
    </xf>
    <xf numFmtId="237" fontId="231" fillId="0" borderId="433" xfId="63" applyNumberFormat="1" applyFont="1" applyBorder="1" applyAlignment="1">
      <alignment wrapText="1"/>
    </xf>
    <xf numFmtId="0" fontId="232" fillId="0" borderId="468" xfId="63" applyFont="1" applyBorder="1" applyAlignment="1">
      <alignment horizontal="center" wrapText="1"/>
    </xf>
    <xf numFmtId="0" fontId="234" fillId="0" borderId="465" xfId="63" applyFont="1" applyBorder="1" applyAlignment="1">
      <alignment vertical="center" wrapText="1"/>
    </xf>
    <xf numFmtId="201" fontId="234" fillId="0" borderId="478" xfId="63" applyNumberFormat="1" applyFont="1" applyBorder="1" applyAlignment="1">
      <alignment horizontal="center" wrapText="1"/>
    </xf>
    <xf numFmtId="0" fontId="234" fillId="0" borderId="471" xfId="63" applyFont="1" applyBorder="1" applyAlignment="1">
      <alignment horizontal="center" wrapText="1"/>
    </xf>
    <xf numFmtId="0" fontId="231" fillId="0" borderId="475" xfId="63" applyFont="1" applyBorder="1" applyAlignment="1">
      <alignment horizontal="right" wrapText="1"/>
    </xf>
    <xf numFmtId="0" fontId="232" fillId="0" borderId="466" xfId="63" applyFont="1" applyBorder="1" applyAlignment="1">
      <alignment horizontal="center" wrapText="1"/>
    </xf>
    <xf numFmtId="201" fontId="231" fillId="0" borderId="475" xfId="63" applyNumberFormat="1" applyFont="1" applyBorder="1" applyAlignment="1">
      <alignment horizontal="right" wrapText="1"/>
    </xf>
    <xf numFmtId="220" fontId="231" fillId="0" borderId="433" xfId="63" applyNumberFormat="1" applyFont="1" applyBorder="1" applyAlignment="1">
      <alignment horizontal="right" wrapText="1"/>
    </xf>
    <xf numFmtId="207" fontId="231" fillId="0" borderId="433" xfId="63" applyNumberFormat="1" applyFont="1" applyBorder="1" applyAlignment="1">
      <alignment horizontal="right" wrapText="1"/>
    </xf>
    <xf numFmtId="195" fontId="241" fillId="0" borderId="433" xfId="63" applyNumberFormat="1" applyFont="1" applyBorder="1" applyAlignment="1">
      <alignment wrapText="1"/>
    </xf>
    <xf numFmtId="0" fontId="231" fillId="87" borderId="467" xfId="63" applyFont="1" applyFill="1" applyBorder="1" applyAlignment="1">
      <alignment horizontal="left" wrapText="1"/>
    </xf>
    <xf numFmtId="0" fontId="241" fillId="0" borderId="433" xfId="63" applyFont="1" applyBorder="1" applyAlignment="1">
      <alignment horizontal="right" wrapText="1"/>
    </xf>
    <xf numFmtId="0" fontId="242" fillId="0" borderId="465" xfId="63" applyFont="1" applyBorder="1" applyAlignment="1">
      <alignment horizontal="center" vertical="center" wrapText="1"/>
    </xf>
    <xf numFmtId="200" fontId="231" fillId="0" borderId="0" xfId="63" applyNumberFormat="1" applyFont="1" applyAlignment="1">
      <alignment wrapText="1"/>
    </xf>
    <xf numFmtId="200" fontId="241" fillId="0" borderId="439" xfId="63" applyNumberFormat="1" applyFont="1" applyBorder="1" applyAlignment="1">
      <alignment wrapText="1"/>
    </xf>
    <xf numFmtId="200" fontId="231" fillId="0" borderId="468" xfId="63" applyNumberFormat="1" applyFont="1" applyBorder="1" applyAlignment="1">
      <alignment wrapText="1"/>
    </xf>
    <xf numFmtId="231" fontId="231" fillId="0" borderId="433" xfId="63" applyNumberFormat="1" applyFont="1" applyBorder="1" applyAlignment="1">
      <alignment horizontal="right" wrapText="1"/>
    </xf>
    <xf numFmtId="239" fontId="231" fillId="0" borderId="433" xfId="63" applyNumberFormat="1" applyFont="1" applyBorder="1" applyAlignment="1">
      <alignment wrapText="1"/>
    </xf>
    <xf numFmtId="231" fontId="231" fillId="0" borderId="433" xfId="63" applyNumberFormat="1" applyFont="1" applyBorder="1" applyAlignment="1">
      <alignment wrapText="1"/>
    </xf>
    <xf numFmtId="231" fontId="248" fillId="0" borderId="433" xfId="63" applyNumberFormat="1" applyFont="1" applyBorder="1" applyAlignment="1">
      <alignment horizontal="right" wrapText="1"/>
    </xf>
    <xf numFmtId="231" fontId="234" fillId="95" borderId="433" xfId="63" applyNumberFormat="1" applyFont="1" applyFill="1" applyBorder="1" applyAlignment="1">
      <alignment horizontal="right" wrapText="1"/>
    </xf>
    <xf numFmtId="239" fontId="234" fillId="95" borderId="433" xfId="63" applyNumberFormat="1" applyFont="1" applyFill="1" applyBorder="1" applyAlignment="1">
      <alignment horizontal="right" wrapText="1"/>
    </xf>
    <xf numFmtId="0" fontId="237" fillId="0" borderId="468" xfId="63" applyFont="1" applyBorder="1" applyAlignment="1">
      <alignment horizontal="center" wrapText="1"/>
    </xf>
    <xf numFmtId="194" fontId="241" fillId="0" borderId="439" xfId="63" applyNumberFormat="1" applyFont="1" applyBorder="1" applyAlignment="1">
      <alignment wrapText="1"/>
    </xf>
    <xf numFmtId="194" fontId="241" fillId="0" borderId="440" xfId="63" applyNumberFormat="1" applyFont="1" applyBorder="1" applyAlignment="1">
      <alignment wrapText="1"/>
    </xf>
    <xf numFmtId="200" fontId="231" fillId="106" borderId="433" xfId="63" applyNumberFormat="1" applyFont="1" applyFill="1" applyBorder="1" applyAlignment="1">
      <alignment wrapText="1"/>
    </xf>
    <xf numFmtId="0" fontId="242" fillId="0" borderId="439" xfId="63" applyFont="1" applyBorder="1" applyAlignment="1">
      <alignment horizontal="center" wrapText="1"/>
    </xf>
    <xf numFmtId="231" fontId="234" fillId="95" borderId="433" xfId="63" applyNumberFormat="1" applyFont="1" applyFill="1" applyBorder="1" applyAlignment="1">
      <alignment wrapText="1"/>
    </xf>
    <xf numFmtId="194" fontId="234" fillId="95" borderId="433" xfId="63" applyNumberFormat="1" applyFont="1" applyFill="1" applyBorder="1" applyAlignment="1">
      <alignment wrapText="1"/>
    </xf>
    <xf numFmtId="0" fontId="242" fillId="0" borderId="474" xfId="63" applyFont="1" applyBorder="1" applyAlignment="1">
      <alignment horizontal="center" wrapText="1"/>
    </xf>
    <xf numFmtId="231" fontId="242" fillId="0" borderId="433" xfId="63" applyNumberFormat="1" applyFont="1" applyBorder="1" applyAlignment="1">
      <alignment horizontal="right" wrapText="1"/>
    </xf>
    <xf numFmtId="219" fontId="234" fillId="0" borderId="433" xfId="63" applyNumberFormat="1" applyFont="1" applyBorder="1" applyAlignment="1">
      <alignment wrapText="1"/>
    </xf>
    <xf numFmtId="219" fontId="234" fillId="0" borderId="433" xfId="63" applyNumberFormat="1" applyFont="1" applyBorder="1" applyAlignment="1">
      <alignment horizontal="right" wrapText="1"/>
    </xf>
    <xf numFmtId="231" fontId="234" fillId="0" borderId="433" xfId="63" applyNumberFormat="1" applyFont="1" applyBorder="1" applyAlignment="1">
      <alignment horizontal="right" wrapText="1"/>
    </xf>
    <xf numFmtId="194" fontId="231" fillId="0" borderId="477" xfId="63" applyNumberFormat="1" applyFont="1" applyBorder="1" applyAlignment="1">
      <alignment horizontal="right" wrapText="1"/>
    </xf>
    <xf numFmtId="194" fontId="231" fillId="0" borderId="469" xfId="63" applyNumberFormat="1" applyFont="1" applyBorder="1" applyAlignment="1">
      <alignment horizontal="right" wrapText="1"/>
    </xf>
    <xf numFmtId="194" fontId="231" fillId="95" borderId="469" xfId="63" applyNumberFormat="1" applyFont="1" applyFill="1" applyBorder="1" applyAlignment="1">
      <alignment horizontal="right" wrapText="1"/>
    </xf>
    <xf numFmtId="194" fontId="231" fillId="95" borderId="469" xfId="63" applyNumberFormat="1" applyFont="1" applyFill="1" applyBorder="1" applyAlignment="1">
      <alignment wrapText="1"/>
    </xf>
    <xf numFmtId="0" fontId="231" fillId="95" borderId="469" xfId="63" applyFont="1" applyFill="1" applyBorder="1" applyAlignment="1">
      <alignment horizontal="right" wrapText="1"/>
    </xf>
    <xf numFmtId="201" fontId="241" fillId="89" borderId="433" xfId="63" applyNumberFormat="1" applyFont="1" applyFill="1" applyBorder="1" applyAlignment="1">
      <alignment wrapText="1"/>
    </xf>
    <xf numFmtId="0" fontId="231" fillId="89" borderId="466" xfId="63" applyFont="1" applyFill="1" applyBorder="1" applyAlignment="1">
      <alignment wrapText="1"/>
    </xf>
    <xf numFmtId="0" fontId="231" fillId="89" borderId="466" xfId="63" applyFont="1" applyFill="1" applyBorder="1" applyAlignment="1">
      <alignment horizontal="center" wrapText="1"/>
    </xf>
    <xf numFmtId="194" fontId="243" fillId="0" borderId="433" xfId="63" applyNumberFormat="1" applyFont="1" applyBorder="1" applyAlignment="1">
      <alignment horizontal="right" wrapText="1"/>
    </xf>
    <xf numFmtId="0" fontId="231" fillId="104" borderId="433" xfId="63" applyFont="1" applyFill="1" applyBorder="1" applyAlignment="1">
      <alignment horizontal="center" wrapText="1"/>
    </xf>
    <xf numFmtId="0" fontId="239" fillId="0" borderId="467" xfId="63" applyFont="1" applyBorder="1" applyAlignment="1">
      <alignment wrapText="1"/>
    </xf>
    <xf numFmtId="201" fontId="241" fillId="89" borderId="433" xfId="63" applyNumberFormat="1" applyFont="1" applyFill="1" applyBorder="1" applyAlignment="1">
      <alignment horizontal="right" wrapText="1"/>
    </xf>
    <xf numFmtId="0" fontId="231" fillId="89" borderId="466" xfId="63" applyFont="1" applyFill="1" applyBorder="1" applyAlignment="1">
      <alignment horizontal="right" wrapText="1"/>
    </xf>
    <xf numFmtId="0" fontId="231" fillId="89" borderId="466" xfId="63" applyFont="1" applyFill="1" applyBorder="1" applyAlignment="1">
      <alignment horizontal="left" wrapText="1"/>
    </xf>
    <xf numFmtId="0" fontId="231" fillId="89" borderId="475" xfId="63" applyFont="1" applyFill="1" applyBorder="1" applyAlignment="1">
      <alignment horizontal="left" wrapText="1"/>
    </xf>
    <xf numFmtId="0" fontId="239" fillId="89" borderId="433" xfId="63" applyFont="1" applyFill="1" applyBorder="1" applyAlignment="1">
      <alignment wrapText="1"/>
    </xf>
    <xf numFmtId="0" fontId="231" fillId="89" borderId="467" xfId="63" applyFont="1" applyFill="1" applyBorder="1" applyAlignment="1">
      <alignment horizontal="right" wrapText="1"/>
    </xf>
    <xf numFmtId="0" fontId="231" fillId="0" borderId="476" xfId="63" applyFont="1" applyBorder="1" applyAlignment="1">
      <alignment horizontal="right" wrapText="1"/>
    </xf>
    <xf numFmtId="0" fontId="231" fillId="122" borderId="465" xfId="63" applyFont="1" applyFill="1" applyBorder="1" applyAlignment="1">
      <alignment wrapText="1"/>
    </xf>
    <xf numFmtId="194" fontId="234" fillId="0" borderId="433" xfId="63" applyNumberFormat="1" applyFont="1" applyBorder="1" applyAlignment="1">
      <alignment horizontal="right" wrapText="1"/>
    </xf>
    <xf numFmtId="202" fontId="234" fillId="0" borderId="433" xfId="63" applyNumberFormat="1" applyFont="1" applyBorder="1" applyAlignment="1">
      <alignment horizontal="right" wrapText="1"/>
    </xf>
    <xf numFmtId="0" fontId="239" fillId="0" borderId="470" xfId="63" applyFont="1" applyBorder="1" applyAlignment="1">
      <alignment wrapText="1"/>
    </xf>
    <xf numFmtId="0" fontId="234" fillId="96" borderId="433" xfId="63" applyFont="1" applyFill="1" applyBorder="1" applyAlignment="1">
      <alignment horizontal="left" vertical="top" wrapText="1"/>
    </xf>
    <xf numFmtId="0" fontId="234" fillId="96" borderId="433" xfId="63" applyFont="1" applyFill="1" applyBorder="1" applyAlignment="1">
      <alignment horizontal="right" vertical="top" wrapText="1"/>
    </xf>
    <xf numFmtId="0" fontId="231" fillId="93" borderId="433" xfId="63" applyFont="1" applyFill="1" applyBorder="1" applyAlignment="1">
      <alignment horizontal="left" wrapText="1"/>
    </xf>
    <xf numFmtId="195" fontId="231" fillId="93" borderId="433" xfId="63" applyNumberFormat="1" applyFont="1" applyFill="1" applyBorder="1" applyAlignment="1">
      <alignment wrapText="1"/>
    </xf>
    <xf numFmtId="197" fontId="231" fillId="93" borderId="433" xfId="63" applyNumberFormat="1" applyFont="1" applyFill="1" applyBorder="1" applyAlignment="1">
      <alignment horizontal="center" wrapText="1"/>
    </xf>
    <xf numFmtId="202" fontId="231" fillId="0" borderId="433" xfId="63" applyNumberFormat="1" applyFont="1" applyBorder="1" applyAlignment="1">
      <alignment horizontal="right" wrapText="1"/>
    </xf>
    <xf numFmtId="0" fontId="231" fillId="93" borderId="433" xfId="63" applyFont="1" applyFill="1" applyBorder="1" applyAlignment="1">
      <alignment horizontal="right" wrapText="1"/>
    </xf>
    <xf numFmtId="0" fontId="187" fillId="0" borderId="0" xfId="0" applyFont="1"/>
    <xf numFmtId="0" fontId="202" fillId="0" borderId="0" xfId="0" applyFont="1" applyAlignment="1">
      <alignment horizontal="center"/>
    </xf>
    <xf numFmtId="3" fontId="3" fillId="0" borderId="0" xfId="63" applyNumberFormat="1"/>
    <xf numFmtId="0" fontId="186" fillId="0" borderId="0" xfId="0" applyFont="1"/>
    <xf numFmtId="10" fontId="3" fillId="0" borderId="0" xfId="63" applyNumberFormat="1"/>
    <xf numFmtId="0" fontId="181" fillId="0" borderId="0" xfId="0" applyFont="1"/>
    <xf numFmtId="0" fontId="249" fillId="0" borderId="0" xfId="0" applyFont="1"/>
    <xf numFmtId="0" fontId="181" fillId="74" borderId="0" xfId="0" applyFont="1" applyFill="1"/>
    <xf numFmtId="10" fontId="181" fillId="0" borderId="0" xfId="0" applyNumberFormat="1" applyFont="1"/>
    <xf numFmtId="0" fontId="181" fillId="123" borderId="0" xfId="0" applyFont="1" applyFill="1"/>
    <xf numFmtId="0" fontId="3" fillId="123" borderId="0" xfId="0" applyFont="1" applyFill="1"/>
    <xf numFmtId="6" fontId="191" fillId="74" borderId="482" xfId="0" applyNumberFormat="1" applyFont="1" applyFill="1" applyBorder="1"/>
    <xf numFmtId="165" fontId="187" fillId="0" borderId="0" xfId="0" applyNumberFormat="1" applyFont="1"/>
    <xf numFmtId="165" fontId="181" fillId="123" borderId="0" xfId="0" applyNumberFormat="1" applyFont="1" applyFill="1"/>
    <xf numFmtId="165" fontId="187" fillId="123" borderId="0" xfId="0" applyNumberFormat="1" applyFont="1" applyFill="1"/>
    <xf numFmtId="6" fontId="191" fillId="74" borderId="483" xfId="0" applyNumberFormat="1" applyFont="1" applyFill="1" applyBorder="1"/>
    <xf numFmtId="3" fontId="181" fillId="0" borderId="484" xfId="0" applyNumberFormat="1" applyFont="1" applyBorder="1"/>
    <xf numFmtId="165" fontId="187" fillId="0" borderId="372" xfId="0" applyNumberFormat="1" applyFont="1" applyBorder="1"/>
    <xf numFmtId="165" fontId="181" fillId="123" borderId="372" xfId="0" applyNumberFormat="1" applyFont="1" applyFill="1" applyBorder="1"/>
    <xf numFmtId="10" fontId="186" fillId="0" borderId="0" xfId="0" applyNumberFormat="1" applyFont="1"/>
    <xf numFmtId="3" fontId="181" fillId="0" borderId="0" xfId="0" applyNumberFormat="1" applyFont="1"/>
    <xf numFmtId="0" fontId="3" fillId="0" borderId="0" xfId="78" applyFont="1"/>
    <xf numFmtId="0" fontId="239" fillId="0" borderId="0" xfId="78" applyFont="1"/>
    <xf numFmtId="0" fontId="185" fillId="124" borderId="374" xfId="78" applyFont="1" applyFill="1" applyBorder="1"/>
    <xf numFmtId="0" fontId="185" fillId="124" borderId="241" xfId="78" applyFont="1" applyFill="1" applyBorder="1"/>
    <xf numFmtId="0" fontId="185" fillId="124" borderId="373" xfId="78" applyFont="1" applyFill="1" applyBorder="1"/>
    <xf numFmtId="10" fontId="250" fillId="0" borderId="0" xfId="78" applyNumberFormat="1" applyFont="1"/>
    <xf numFmtId="165" fontId="250" fillId="0" borderId="0" xfId="78" applyNumberFormat="1" applyFont="1"/>
    <xf numFmtId="0" fontId="251" fillId="0" borderId="0" xfId="78" applyFont="1" applyAlignment="1">
      <alignment horizontal="left"/>
    </xf>
    <xf numFmtId="0" fontId="190" fillId="0" borderId="0" xfId="78" applyFont="1"/>
    <xf numFmtId="6" fontId="195" fillId="72" borderId="483" xfId="78" applyNumberFormat="1" applyFont="1" applyFill="1" applyBorder="1"/>
    <xf numFmtId="0" fontId="239" fillId="125" borderId="0" xfId="78" applyFont="1" applyFill="1"/>
    <xf numFmtId="4" fontId="239" fillId="125" borderId="0" xfId="78" applyNumberFormat="1" applyFont="1" applyFill="1"/>
    <xf numFmtId="10" fontId="250" fillId="125" borderId="0" xfId="78" applyNumberFormat="1" applyFont="1" applyFill="1"/>
    <xf numFmtId="165" fontId="250" fillId="125" borderId="0" xfId="78" applyNumberFormat="1" applyFont="1" applyFill="1"/>
    <xf numFmtId="0" fontId="251" fillId="125" borderId="0" xfId="78" applyFont="1" applyFill="1" applyAlignment="1">
      <alignment horizontal="left"/>
    </xf>
    <xf numFmtId="0" fontId="190" fillId="125" borderId="0" xfId="78" applyFont="1" applyFill="1"/>
    <xf numFmtId="1" fontId="252" fillId="125" borderId="483" xfId="78" applyNumberFormat="1" applyFont="1" applyFill="1" applyBorder="1"/>
    <xf numFmtId="0" fontId="1" fillId="125" borderId="0" xfId="78" applyFill="1"/>
    <xf numFmtId="0" fontId="185" fillId="0" borderId="0" xfId="78" applyFont="1" applyAlignment="1">
      <alignment horizontal="right"/>
    </xf>
    <xf numFmtId="165" fontId="1" fillId="0" borderId="0" xfId="78" applyNumberFormat="1"/>
    <xf numFmtId="6" fontId="1" fillId="0" borderId="0" xfId="78" applyNumberFormat="1"/>
    <xf numFmtId="41" fontId="1" fillId="0" borderId="0" xfId="78" applyNumberFormat="1"/>
    <xf numFmtId="0" fontId="181" fillId="59" borderId="0" xfId="78" applyFont="1" applyFill="1" applyAlignment="1">
      <alignment horizontal="center"/>
    </xf>
    <xf numFmtId="0" fontId="198" fillId="75" borderId="0" xfId="78" applyFont="1" applyFill="1" applyAlignment="1">
      <alignment horizontal="right"/>
    </xf>
    <xf numFmtId="190" fontId="199" fillId="75" borderId="0" xfId="78" applyNumberFormat="1" applyFont="1" applyFill="1"/>
    <xf numFmtId="190" fontId="199" fillId="0" borderId="0" xfId="78" applyNumberFormat="1" applyFont="1"/>
    <xf numFmtId="0" fontId="185" fillId="124" borderId="0" xfId="78" applyFont="1" applyFill="1"/>
    <xf numFmtId="0" fontId="249" fillId="0" borderId="0" xfId="78" applyFont="1"/>
    <xf numFmtId="0" fontId="185" fillId="0" borderId="0" xfId="78" applyFont="1"/>
    <xf numFmtId="4" fontId="249" fillId="0" borderId="0" xfId="78" applyNumberFormat="1" applyFont="1"/>
    <xf numFmtId="0" fontId="239" fillId="0" borderId="0" xfId="78" applyFont="1" applyAlignment="1">
      <alignment horizontal="center"/>
    </xf>
    <xf numFmtId="6" fontId="191" fillId="72" borderId="482" xfId="78" applyNumberFormat="1" applyFont="1" applyFill="1" applyBorder="1"/>
    <xf numFmtId="0" fontId="180" fillId="0" borderId="0" xfId="78" applyFont="1"/>
    <xf numFmtId="3" fontId="75" fillId="0" borderId="0" xfId="78" applyNumberFormat="1" applyFont="1"/>
    <xf numFmtId="0" fontId="192" fillId="0" borderId="0" xfId="78" applyFont="1" applyAlignment="1">
      <alignment horizontal="center" vertical="center"/>
    </xf>
    <xf numFmtId="0" fontId="189" fillId="0" borderId="0" xfId="78" applyFont="1" applyAlignment="1">
      <alignment horizontal="center" vertical="center"/>
    </xf>
    <xf numFmtId="0" fontId="198" fillId="75" borderId="0" xfId="78" applyFont="1" applyFill="1"/>
    <xf numFmtId="4" fontId="239" fillId="0" borderId="0" xfId="78" applyNumberFormat="1" applyFont="1"/>
    <xf numFmtId="10" fontId="1" fillId="0" borderId="0" xfId="78" applyNumberFormat="1"/>
    <xf numFmtId="0" fontId="253" fillId="57" borderId="404" xfId="0" applyFont="1" applyFill="1" applyBorder="1"/>
    <xf numFmtId="0" fontId="253" fillId="57" borderId="405" xfId="0" applyFont="1" applyFill="1" applyBorder="1"/>
    <xf numFmtId="0" fontId="228" fillId="58" borderId="405" xfId="0" applyFont="1" applyFill="1" applyBorder="1"/>
    <xf numFmtId="0" fontId="253" fillId="57" borderId="485" xfId="0" applyFont="1" applyFill="1" applyBorder="1"/>
    <xf numFmtId="0" fontId="253" fillId="57" borderId="486" xfId="0" applyFont="1" applyFill="1" applyBorder="1"/>
    <xf numFmtId="0" fontId="228" fillId="58" borderId="486" xfId="0" applyFont="1" applyFill="1" applyBorder="1"/>
    <xf numFmtId="0" fontId="228" fillId="58" borderId="485" xfId="0" applyFont="1" applyFill="1" applyBorder="1"/>
    <xf numFmtId="37" fontId="228" fillId="0" borderId="487" xfId="0" applyNumberFormat="1" applyFont="1" applyBorder="1"/>
    <xf numFmtId="37" fontId="228" fillId="0" borderId="488" xfId="0" applyNumberFormat="1" applyFont="1" applyBorder="1"/>
    <xf numFmtId="165" fontId="228" fillId="0" borderId="488" xfId="0" applyNumberFormat="1" applyFont="1" applyBorder="1"/>
    <xf numFmtId="0" fontId="253" fillId="57" borderId="489" xfId="0" applyFont="1" applyFill="1" applyBorder="1"/>
    <xf numFmtId="0" fontId="253" fillId="57" borderId="490" xfId="0" applyFont="1" applyFill="1" applyBorder="1"/>
    <xf numFmtId="37" fontId="253" fillId="0" borderId="491" xfId="0" applyNumberFormat="1" applyFont="1" applyBorder="1"/>
    <xf numFmtId="0" fontId="239" fillId="0" borderId="0" xfId="0" applyFont="1"/>
    <xf numFmtId="37" fontId="3" fillId="0" borderId="0" xfId="0" applyNumberFormat="1" applyFont="1"/>
    <xf numFmtId="37" fontId="3" fillId="0" borderId="237" xfId="0" applyNumberFormat="1" applyFont="1" applyBorder="1"/>
    <xf numFmtId="0" fontId="239" fillId="0" borderId="0" xfId="0" applyFont="1" applyAlignment="1">
      <alignment horizontal="right"/>
    </xf>
    <xf numFmtId="0" fontId="249" fillId="0" borderId="0" xfId="0" applyFont="1" applyAlignment="1">
      <alignment horizontal="right"/>
    </xf>
    <xf numFmtId="3" fontId="3" fillId="0" borderId="0" xfId="0" applyNumberFormat="1" applyFont="1"/>
    <xf numFmtId="0" fontId="254" fillId="0" borderId="0" xfId="0" applyFont="1"/>
    <xf numFmtId="165" fontId="249" fillId="0" borderId="0" xfId="0" applyNumberFormat="1" applyFont="1"/>
    <xf numFmtId="10" fontId="249" fillId="0" borderId="0" xfId="0" applyNumberFormat="1" applyFont="1"/>
    <xf numFmtId="43" fontId="249" fillId="0" borderId="0" xfId="0" applyNumberFormat="1" applyFont="1"/>
    <xf numFmtId="0" fontId="255" fillId="0" borderId="0" xfId="0" applyFont="1" applyAlignment="1">
      <alignment horizontal="center"/>
    </xf>
    <xf numFmtId="0" fontId="255" fillId="0" borderId="0" xfId="0" applyFont="1"/>
    <xf numFmtId="0" fontId="185" fillId="0" borderId="0" xfId="0" applyFont="1"/>
    <xf numFmtId="0" fontId="256" fillId="126" borderId="0" xfId="63" applyFont="1" applyFill="1" applyAlignment="1">
      <alignment horizontal="left" wrapText="1"/>
    </xf>
    <xf numFmtId="196" fontId="257" fillId="126" borderId="0" xfId="63" applyNumberFormat="1" applyFont="1" applyFill="1"/>
    <xf numFmtId="0" fontId="188" fillId="0" borderId="350" xfId="78" applyFont="1" applyBorder="1"/>
    <xf numFmtId="0" fontId="181" fillId="0" borderId="350" xfId="78" applyFont="1" applyBorder="1"/>
    <xf numFmtId="0" fontId="181" fillId="0" borderId="351" xfId="78" applyFont="1" applyBorder="1"/>
    <xf numFmtId="0" fontId="181" fillId="0" borderId="11" xfId="78" applyFont="1" applyBorder="1"/>
    <xf numFmtId="0" fontId="196" fillId="0" borderId="11" xfId="78" applyFont="1" applyBorder="1" applyAlignment="1">
      <alignment wrapText="1"/>
    </xf>
    <xf numFmtId="0" fontId="258" fillId="0" borderId="420" xfId="78" applyFont="1" applyBorder="1"/>
    <xf numFmtId="3" fontId="186" fillId="0" borderId="11" xfId="78" applyNumberFormat="1" applyFont="1" applyBorder="1"/>
    <xf numFmtId="6" fontId="186" fillId="0" borderId="420" xfId="78" applyNumberFormat="1" applyFont="1" applyBorder="1"/>
    <xf numFmtId="10" fontId="186" fillId="0" borderId="11" xfId="78" applyNumberFormat="1" applyFont="1" applyBorder="1"/>
    <xf numFmtId="10" fontId="186" fillId="0" borderId="420" xfId="78" applyNumberFormat="1" applyFont="1" applyBorder="1"/>
    <xf numFmtId="10" fontId="186" fillId="67" borderId="116" xfId="78" applyNumberFormat="1" applyFont="1" applyFill="1" applyBorder="1"/>
    <xf numFmtId="10" fontId="186" fillId="123" borderId="10" xfId="78" applyNumberFormat="1" applyFont="1" applyFill="1" applyBorder="1"/>
    <xf numFmtId="10" fontId="186" fillId="127" borderId="116" xfId="78" applyNumberFormat="1" applyFont="1" applyFill="1" applyBorder="1"/>
    <xf numFmtId="3" fontId="259" fillId="0" borderId="11" xfId="78" applyNumberFormat="1" applyFont="1" applyBorder="1"/>
    <xf numFmtId="6" fontId="259" fillId="0" borderId="420" xfId="78" applyNumberFormat="1" applyFont="1" applyBorder="1"/>
    <xf numFmtId="10" fontId="259" fillId="0" borderId="11" xfId="78" applyNumberFormat="1" applyFont="1" applyBorder="1"/>
    <xf numFmtId="10" fontId="259" fillId="0" borderId="420" xfId="78" applyNumberFormat="1" applyFont="1" applyBorder="1"/>
    <xf numFmtId="0" fontId="188" fillId="0" borderId="11" xfId="78" applyFont="1" applyBorder="1"/>
    <xf numFmtId="43" fontId="188" fillId="0" borderId="11" xfId="78" applyNumberFormat="1" applyFont="1" applyBorder="1"/>
    <xf numFmtId="0" fontId="186" fillId="0" borderId="11" xfId="78" applyFont="1" applyBorder="1"/>
    <xf numFmtId="0" fontId="186" fillId="0" borderId="420" xfId="78" applyFont="1" applyBorder="1"/>
    <xf numFmtId="0" fontId="188" fillId="0" borderId="117" xfId="78" applyFont="1" applyBorder="1"/>
    <xf numFmtId="0" fontId="188" fillId="0" borderId="352" xfId="78" applyFont="1" applyBorder="1"/>
    <xf numFmtId="0" fontId="186" fillId="0" borderId="117" xfId="78" applyFont="1" applyBorder="1"/>
    <xf numFmtId="0" fontId="186" fillId="0" borderId="352" xfId="78" applyFont="1" applyBorder="1"/>
    <xf numFmtId="0" fontId="181" fillId="0" borderId="420" xfId="78" applyFont="1" applyBorder="1"/>
    <xf numFmtId="10" fontId="186" fillId="123" borderId="116" xfId="78" applyNumberFormat="1" applyFont="1" applyFill="1" applyBorder="1"/>
    <xf numFmtId="10" fontId="186" fillId="127" borderId="10" xfId="78" applyNumberFormat="1" applyFont="1" applyFill="1" applyBorder="1"/>
    <xf numFmtId="10" fontId="259" fillId="67" borderId="10" xfId="78" applyNumberFormat="1" applyFont="1" applyFill="1" applyBorder="1"/>
    <xf numFmtId="6" fontId="188" fillId="0" borderId="0" xfId="78" applyNumberFormat="1" applyFont="1"/>
    <xf numFmtId="0" fontId="188" fillId="0" borderId="350" xfId="0" applyFont="1" applyBorder="1"/>
    <xf numFmtId="0" fontId="181" fillId="0" borderId="11" xfId="0" applyFont="1" applyBorder="1"/>
    <xf numFmtId="0" fontId="196" fillId="0" borderId="11" xfId="0" applyFont="1" applyBorder="1" applyAlignment="1">
      <alignment wrapText="1"/>
    </xf>
    <xf numFmtId="0" fontId="258" fillId="0" borderId="420" xfId="0" applyFont="1" applyBorder="1"/>
    <xf numFmtId="3" fontId="186" fillId="0" borderId="11" xfId="0" applyNumberFormat="1" applyFont="1" applyBorder="1"/>
    <xf numFmtId="6" fontId="186" fillId="0" borderId="420" xfId="0" applyNumberFormat="1" applyFont="1" applyBorder="1"/>
    <xf numFmtId="3" fontId="259" fillId="0" borderId="11" xfId="0" applyNumberFormat="1" applyFont="1" applyBorder="1"/>
    <xf numFmtId="6" fontId="259" fillId="0" borderId="420" xfId="0" applyNumberFormat="1" applyFont="1" applyBorder="1"/>
    <xf numFmtId="0" fontId="188" fillId="0" borderId="11" xfId="0" applyFont="1" applyBorder="1"/>
    <xf numFmtId="196" fontId="188" fillId="0" borderId="11" xfId="0" applyNumberFormat="1" applyFont="1" applyBorder="1"/>
    <xf numFmtId="43" fontId="188" fillId="0" borderId="471" xfId="0" applyNumberFormat="1" applyFont="1" applyBorder="1"/>
    <xf numFmtId="0" fontId="188" fillId="0" borderId="117" xfId="0" applyFont="1" applyBorder="1"/>
    <xf numFmtId="0" fontId="188" fillId="0" borderId="352" xfId="0" applyFont="1" applyBorder="1"/>
    <xf numFmtId="0" fontId="181" fillId="0" borderId="420" xfId="0" applyFont="1" applyBorder="1"/>
    <xf numFmtId="212" fontId="231" fillId="0" borderId="433" xfId="63" applyNumberFormat="1" applyFont="1" applyBorder="1" applyAlignment="1">
      <alignment wrapText="1"/>
    </xf>
    <xf numFmtId="212" fontId="231" fillId="87" borderId="433" xfId="63" applyNumberFormat="1" applyFont="1" applyFill="1" applyBorder="1" applyAlignment="1">
      <alignment wrapText="1"/>
    </xf>
    <xf numFmtId="212" fontId="231" fillId="87" borderId="433" xfId="63" applyNumberFormat="1" applyFont="1" applyFill="1" applyBorder="1" applyAlignment="1">
      <alignment horizontal="right" wrapText="1"/>
    </xf>
    <xf numFmtId="196" fontId="231" fillId="95" borderId="433" xfId="63" applyNumberFormat="1" applyFont="1" applyFill="1" applyBorder="1" applyAlignment="1">
      <alignment wrapText="1"/>
    </xf>
    <xf numFmtId="240" fontId="231" fillId="0" borderId="433" xfId="63" applyNumberFormat="1" applyFont="1" applyBorder="1" applyAlignment="1">
      <alignment horizontal="right" wrapText="1"/>
    </xf>
    <xf numFmtId="240" fontId="231" fillId="95" borderId="433" xfId="63" applyNumberFormat="1" applyFont="1" applyFill="1" applyBorder="1" applyAlignment="1">
      <alignment horizontal="right" wrapText="1"/>
    </xf>
    <xf numFmtId="240" fontId="231" fillId="0" borderId="433" xfId="63" applyNumberFormat="1" applyFont="1" applyBorder="1" applyAlignment="1">
      <alignment wrapText="1"/>
    </xf>
    <xf numFmtId="240" fontId="231" fillId="87" borderId="433" xfId="63" applyNumberFormat="1" applyFont="1" applyFill="1" applyBorder="1" applyAlignment="1">
      <alignment wrapText="1"/>
    </xf>
    <xf numFmtId="240" fontId="231" fillId="95" borderId="477" xfId="63" applyNumberFormat="1" applyFont="1" applyFill="1" applyBorder="1" applyAlignment="1">
      <alignment horizontal="right" wrapText="1"/>
    </xf>
    <xf numFmtId="240" fontId="231" fillId="87" borderId="433" xfId="63" applyNumberFormat="1" applyFont="1" applyFill="1" applyBorder="1" applyAlignment="1">
      <alignment horizontal="right" wrapText="1"/>
    </xf>
    <xf numFmtId="240" fontId="243" fillId="95" borderId="433" xfId="63" applyNumberFormat="1" applyFont="1" applyFill="1" applyBorder="1" applyAlignment="1">
      <alignment wrapText="1"/>
    </xf>
    <xf numFmtId="165" fontId="3" fillId="0" borderId="0" xfId="0" applyNumberFormat="1" applyFont="1"/>
    <xf numFmtId="0" fontId="3" fillId="0" borderId="0" xfId="0" applyFont="1" applyAlignment="1">
      <alignment horizontal="right"/>
    </xf>
    <xf numFmtId="0" fontId="249" fillId="0" borderId="210" xfId="0" applyFont="1" applyBorder="1" applyAlignment="1">
      <alignment horizontal="right"/>
    </xf>
    <xf numFmtId="3" fontId="3" fillId="0" borderId="209" xfId="0" applyNumberFormat="1" applyFont="1" applyBorder="1"/>
    <xf numFmtId="194" fontId="234" fillId="0" borderId="478" xfId="63" applyNumberFormat="1" applyFont="1" applyBorder="1" applyAlignment="1">
      <alignment horizontal="center" wrapText="1"/>
    </xf>
    <xf numFmtId="0" fontId="234" fillId="76" borderId="433" xfId="63" applyFont="1" applyFill="1" applyBorder="1" applyAlignment="1">
      <alignment wrapText="1"/>
    </xf>
    <xf numFmtId="0" fontId="231" fillId="76" borderId="468" xfId="63" applyFont="1" applyFill="1" applyBorder="1" applyAlignment="1">
      <alignment wrapText="1"/>
    </xf>
    <xf numFmtId="196" fontId="234" fillId="76" borderId="433" xfId="63" applyNumberFormat="1" applyFont="1" applyFill="1" applyBorder="1" applyAlignment="1">
      <alignment wrapText="1"/>
    </xf>
    <xf numFmtId="0" fontId="7" fillId="0" borderId="0" xfId="78" applyFont="1" applyAlignment="1">
      <alignment horizontal="center"/>
    </xf>
    <xf numFmtId="0" fontId="12" fillId="0" borderId="14" xfId="78" applyFont="1" applyBorder="1" applyAlignment="1">
      <alignment horizontal="center"/>
    </xf>
    <xf numFmtId="0" fontId="7" fillId="0" borderId="14" xfId="78" applyFont="1" applyBorder="1" applyAlignment="1">
      <alignment horizontal="left"/>
    </xf>
    <xf numFmtId="0" fontId="13" fillId="0" borderId="0" xfId="78" applyFont="1"/>
    <xf numFmtId="0" fontId="28" fillId="0" borderId="0" xfId="78" applyFont="1" applyAlignment="1">
      <alignment horizontal="center"/>
    </xf>
    <xf numFmtId="0" fontId="11" fillId="0" borderId="0" xfId="78" applyFont="1"/>
    <xf numFmtId="0" fontId="38" fillId="0" borderId="0" xfId="78" applyFont="1"/>
    <xf numFmtId="0" fontId="28" fillId="0" borderId="13" xfId="78" applyFont="1" applyBorder="1" applyAlignment="1">
      <alignment horizontal="center"/>
    </xf>
    <xf numFmtId="0" fontId="12" fillId="0" borderId="0" xfId="78" applyFont="1"/>
    <xf numFmtId="0" fontId="21" fillId="0" borderId="0" xfId="78" applyFont="1" applyAlignment="1">
      <alignment horizontal="center"/>
    </xf>
    <xf numFmtId="0" fontId="1" fillId="0" borderId="0" xfId="78" applyAlignment="1">
      <alignment horizontal="right"/>
    </xf>
    <xf numFmtId="0" fontId="13" fillId="0" borderId="14" xfId="78" applyFont="1" applyBorder="1"/>
    <xf numFmtId="0" fontId="10" fillId="0" borderId="0" xfId="78" applyFont="1"/>
    <xf numFmtId="0" fontId="10" fillId="0" borderId="0" xfId="78" applyFont="1" applyAlignment="1">
      <alignment horizontal="center"/>
    </xf>
    <xf numFmtId="0" fontId="260" fillId="128" borderId="0" xfId="48" applyFont="1" applyFill="1" applyAlignment="1">
      <alignment horizontal="center"/>
    </xf>
    <xf numFmtId="0" fontId="154" fillId="0" borderId="0" xfId="48" applyFont="1" applyAlignment="1">
      <alignment horizontal="center"/>
    </xf>
    <xf numFmtId="0" fontId="155" fillId="0" borderId="0" xfId="38" applyFont="1" applyFill="1" applyBorder="1" applyAlignment="1" applyProtection="1">
      <alignment horizontal="center"/>
    </xf>
    <xf numFmtId="0" fontId="146" fillId="0" borderId="0" xfId="48" applyFont="1" applyAlignment="1">
      <alignment horizontal="center"/>
    </xf>
    <xf numFmtId="0" fontId="261" fillId="0" borderId="0" xfId="48" applyFont="1" applyAlignment="1">
      <alignment horizontal="right" vertical="center"/>
    </xf>
    <xf numFmtId="0" fontId="184" fillId="0" borderId="0" xfId="48" applyFont="1" applyAlignment="1">
      <alignment horizontal="right" vertical="center"/>
    </xf>
    <xf numFmtId="166" fontId="128" fillId="0" borderId="0" xfId="80" applyNumberFormat="1" applyFont="1" applyFill="1" applyBorder="1" applyAlignment="1" applyProtection="1">
      <alignment horizontal="right" vertical="center"/>
    </xf>
    <xf numFmtId="0" fontId="209" fillId="0" borderId="0" xfId="78" applyFont="1" applyAlignment="1">
      <alignment horizontal="right"/>
    </xf>
    <xf numFmtId="166" fontId="262" fillId="0" borderId="0" xfId="80" applyNumberFormat="1" applyFont="1" applyFill="1" applyBorder="1" applyAlignment="1" applyProtection="1">
      <alignment horizontal="right"/>
    </xf>
    <xf numFmtId="0" fontId="7" fillId="0" borderId="208" xfId="48" applyFont="1" applyBorder="1" applyAlignment="1">
      <alignment horizontal="center" vertical="center"/>
    </xf>
    <xf numFmtId="0" fontId="263" fillId="0" borderId="492" xfId="48" applyFont="1" applyBorder="1" applyAlignment="1">
      <alignment horizontal="center" vertical="center"/>
    </xf>
    <xf numFmtId="0" fontId="7" fillId="0" borderId="104" xfId="48" applyFont="1" applyBorder="1" applyAlignment="1">
      <alignment horizontal="center" vertical="center"/>
    </xf>
    <xf numFmtId="0" fontId="7" fillId="0" borderId="320" xfId="48" applyFont="1" applyBorder="1" applyAlignment="1">
      <alignment horizontal="center" vertical="center"/>
    </xf>
    <xf numFmtId="0" fontId="7" fillId="0" borderId="493" xfId="48" applyFont="1" applyBorder="1" applyAlignment="1">
      <alignment horizontal="center" vertical="center"/>
    </xf>
    <xf numFmtId="0" fontId="264" fillId="85" borderId="93" xfId="66" applyFont="1" applyFill="1" applyBorder="1" applyAlignment="1" applyProtection="1">
      <alignment horizontal="center"/>
    </xf>
    <xf numFmtId="0" fontId="7" fillId="0" borderId="374" xfId="48" applyFont="1" applyBorder="1" applyAlignment="1">
      <alignment horizontal="center" vertical="center"/>
    </xf>
    <xf numFmtId="0" fontId="7" fillId="0" borderId="494" xfId="48" applyFont="1" applyBorder="1" applyAlignment="1">
      <alignment horizontal="center" vertical="center"/>
    </xf>
    <xf numFmtId="0" fontId="265" fillId="0" borderId="93" xfId="78" applyFont="1" applyBorder="1" applyAlignment="1">
      <alignment horizontal="center"/>
    </xf>
    <xf numFmtId="0" fontId="264" fillId="39" borderId="93" xfId="66" applyFont="1" applyFill="1" applyBorder="1" applyAlignment="1" applyProtection="1">
      <alignment horizontal="center" vertical="center"/>
    </xf>
    <xf numFmtId="0" fontId="264" fillId="38" borderId="93" xfId="66" applyFont="1" applyFill="1" applyBorder="1" applyAlignment="1" applyProtection="1">
      <alignment horizontal="center" vertical="center"/>
    </xf>
    <xf numFmtId="6" fontId="128" fillId="0" borderId="0" xfId="80" applyNumberFormat="1" applyFont="1" applyFill="1" applyBorder="1" applyAlignment="1" applyProtection="1">
      <alignment horizontal="right"/>
    </xf>
    <xf numFmtId="166" fontId="128" fillId="0" borderId="0" xfId="80" applyNumberFormat="1" applyFont="1" applyFill="1" applyBorder="1" applyAlignment="1" applyProtection="1">
      <alignment horizontal="right"/>
    </xf>
    <xf numFmtId="10" fontId="128" fillId="0" borderId="0" xfId="80" applyNumberFormat="1" applyFont="1" applyFill="1" applyBorder="1" applyAlignment="1" applyProtection="1">
      <alignment horizontal="right"/>
    </xf>
    <xf numFmtId="6" fontId="266" fillId="0" borderId="0" xfId="80" applyNumberFormat="1" applyFont="1" applyFill="1" applyBorder="1" applyAlignment="1" applyProtection="1">
      <alignment horizontal="right"/>
    </xf>
    <xf numFmtId="10" fontId="266" fillId="0" borderId="0" xfId="80" applyNumberFormat="1" applyFont="1" applyFill="1" applyBorder="1" applyAlignment="1" applyProtection="1">
      <alignment horizontal="right"/>
    </xf>
    <xf numFmtId="166" fontId="266" fillId="0" borderId="0" xfId="80" applyNumberFormat="1" applyFont="1" applyFill="1" applyBorder="1" applyAlignment="1" applyProtection="1">
      <alignment horizontal="right"/>
    </xf>
    <xf numFmtId="6" fontId="267" fillId="0" borderId="0" xfId="80" applyNumberFormat="1" applyFont="1" applyFill="1" applyBorder="1" applyAlignment="1" applyProtection="1">
      <alignment horizontal="right"/>
    </xf>
    <xf numFmtId="166" fontId="267" fillId="0" borderId="0" xfId="80" applyNumberFormat="1" applyFont="1" applyFill="1" applyBorder="1" applyAlignment="1" applyProtection="1">
      <alignment horizontal="right"/>
    </xf>
    <xf numFmtId="0" fontId="10" fillId="129" borderId="0" xfId="78" applyFont="1" applyFill="1"/>
    <xf numFmtId="166" fontId="5" fillId="0" borderId="0" xfId="48" applyNumberFormat="1" applyFont="1"/>
    <xf numFmtId="166" fontId="1" fillId="0" borderId="0" xfId="78" applyNumberFormat="1"/>
    <xf numFmtId="0" fontId="28" fillId="27" borderId="130" xfId="48" applyFont="1" applyFill="1" applyBorder="1" applyAlignment="1">
      <alignment horizontal="center"/>
    </xf>
    <xf numFmtId="0" fontId="28" fillId="27" borderId="131" xfId="48" applyFont="1" applyFill="1" applyBorder="1" applyAlignment="1">
      <alignment horizontal="center"/>
    </xf>
    <xf numFmtId="6" fontId="219" fillId="0" borderId="0" xfId="80" applyNumberFormat="1" applyFont="1" applyFill="1" applyBorder="1" applyAlignment="1" applyProtection="1">
      <alignment horizontal="right"/>
    </xf>
    <xf numFmtId="41" fontId="268" fillId="85" borderId="0" xfId="80" applyNumberFormat="1" applyFont="1" applyFill="1" applyBorder="1" applyAlignment="1" applyProtection="1">
      <alignment horizontal="right"/>
    </xf>
    <xf numFmtId="6" fontId="202" fillId="0" borderId="0" xfId="80" applyNumberFormat="1" applyFont="1" applyFill="1" applyBorder="1" applyAlignment="1" applyProtection="1">
      <alignment horizontal="right"/>
    </xf>
    <xf numFmtId="41" fontId="268" fillId="0" borderId="0" xfId="80" applyNumberFormat="1" applyFont="1" applyFill="1" applyBorder="1" applyAlignment="1" applyProtection="1">
      <alignment horizontal="right"/>
    </xf>
    <xf numFmtId="6" fontId="268" fillId="130" borderId="0" xfId="80" applyNumberFormat="1" applyFont="1" applyFill="1" applyBorder="1" applyAlignment="1" applyProtection="1">
      <alignment horizontal="right"/>
    </xf>
    <xf numFmtId="6" fontId="268" fillId="0" borderId="0" xfId="80" applyNumberFormat="1" applyFont="1" applyFill="1" applyBorder="1" applyAlignment="1" applyProtection="1">
      <alignment horizontal="right"/>
    </xf>
    <xf numFmtId="166" fontId="128" fillId="131" borderId="0" xfId="80" applyNumberFormat="1" applyFont="1" applyFill="1" applyBorder="1" applyAlignment="1" applyProtection="1">
      <alignment horizontal="right"/>
    </xf>
    <xf numFmtId="166" fontId="202" fillId="131" borderId="0" xfId="80" applyNumberFormat="1" applyFont="1" applyFill="1" applyBorder="1" applyAlignment="1" applyProtection="1">
      <alignment horizontal="right"/>
    </xf>
    <xf numFmtId="8" fontId="128" fillId="0" borderId="0" xfId="80" applyNumberFormat="1" applyFont="1" applyFill="1" applyBorder="1" applyAlignment="1" applyProtection="1">
      <alignment horizontal="right"/>
    </xf>
    <xf numFmtId="6" fontId="269" fillId="73" borderId="0" xfId="80" applyNumberFormat="1" applyFont="1" applyFill="1" applyBorder="1" applyAlignment="1" applyProtection="1">
      <alignment horizontal="right"/>
    </xf>
    <xf numFmtId="166" fontId="128" fillId="131" borderId="0" xfId="80" applyNumberFormat="1" applyFont="1" applyFill="1" applyBorder="1" applyAlignment="1" applyProtection="1">
      <alignment horizontal="right" vertical="center"/>
    </xf>
    <xf numFmtId="0" fontId="5" fillId="0" borderId="0" xfId="78" applyFont="1"/>
    <xf numFmtId="0" fontId="164" fillId="0" borderId="0" xfId="78" applyFont="1"/>
    <xf numFmtId="166" fontId="202" fillId="0" borderId="0" xfId="80" applyNumberFormat="1" applyFont="1" applyFill="1" applyBorder="1" applyAlignment="1" applyProtection="1">
      <alignment horizontal="right"/>
    </xf>
    <xf numFmtId="6" fontId="202" fillId="130" borderId="0" xfId="80" applyNumberFormat="1" applyFont="1" applyFill="1" applyBorder="1" applyAlignment="1" applyProtection="1">
      <alignment horizontal="right"/>
    </xf>
    <xf numFmtId="0" fontId="28" fillId="27" borderId="304" xfId="48" applyFont="1" applyFill="1" applyBorder="1" applyAlignment="1">
      <alignment horizontal="center"/>
    </xf>
    <xf numFmtId="6" fontId="202" fillId="131" borderId="0" xfId="80" applyNumberFormat="1" applyFont="1" applyFill="1" applyBorder="1" applyAlignment="1" applyProtection="1">
      <alignment horizontal="right"/>
    </xf>
    <xf numFmtId="6" fontId="202" fillId="132" borderId="0" xfId="80" applyNumberFormat="1" applyFont="1" applyFill="1" applyBorder="1" applyAlignment="1" applyProtection="1">
      <alignment horizontal="right"/>
    </xf>
    <xf numFmtId="166" fontId="268" fillId="132" borderId="0" xfId="80" applyNumberFormat="1" applyFont="1" applyFill="1" applyBorder="1" applyAlignment="1" applyProtection="1">
      <alignment horizontal="right"/>
    </xf>
    <xf numFmtId="0" fontId="11" fillId="0" borderId="0" xfId="78" applyFont="1" applyAlignment="1">
      <alignment horizontal="center"/>
    </xf>
    <xf numFmtId="165" fontId="202" fillId="0" borderId="0" xfId="80" applyNumberFormat="1" applyFont="1" applyFill="1" applyBorder="1" applyAlignment="1" applyProtection="1">
      <alignment horizontal="right"/>
    </xf>
    <xf numFmtId="6" fontId="202" fillId="133" borderId="0" xfId="80" applyNumberFormat="1" applyFont="1" applyFill="1" applyBorder="1" applyAlignment="1" applyProtection="1">
      <alignment horizontal="right"/>
    </xf>
    <xf numFmtId="0" fontId="12" fillId="0" borderId="0" xfId="78" applyFont="1" applyAlignment="1">
      <alignment horizontal="center"/>
    </xf>
    <xf numFmtId="168" fontId="267" fillId="0" borderId="0" xfId="80" applyNumberFormat="1" applyFont="1" applyFill="1" applyBorder="1" applyAlignment="1" applyProtection="1">
      <alignment horizontal="right"/>
    </xf>
    <xf numFmtId="0" fontId="7" fillId="0" borderId="495" xfId="48" applyFont="1" applyBorder="1" applyAlignment="1">
      <alignment horizontal="centerContinuous" vertical="center"/>
    </xf>
    <xf numFmtId="0" fontId="7" fillId="0" borderId="496" xfId="48" applyFont="1" applyBorder="1" applyAlignment="1">
      <alignment horizontal="centerContinuous" vertical="center"/>
    </xf>
    <xf numFmtId="0" fontId="7" fillId="0" borderId="492" xfId="48" applyFont="1" applyBorder="1" applyAlignment="1">
      <alignment horizontal="center" vertical="center"/>
    </xf>
    <xf numFmtId="0" fontId="7" fillId="0" borderId="379" xfId="48" applyFont="1" applyBorder="1" applyAlignment="1">
      <alignment horizontal="center" vertical="center"/>
    </xf>
    <xf numFmtId="0" fontId="7" fillId="0" borderId="375" xfId="48" applyFont="1" applyBorder="1" applyAlignment="1">
      <alignment horizontal="center" vertical="center"/>
    </xf>
    <xf numFmtId="0" fontId="7" fillId="0" borderId="497" xfId="48" applyFont="1" applyBorder="1" applyAlignment="1">
      <alignment horizontal="center" vertical="center"/>
    </xf>
    <xf numFmtId="0" fontId="7" fillId="0" borderId="498" xfId="48" applyFont="1" applyBorder="1" applyAlignment="1">
      <alignment horizontal="center" vertical="center"/>
    </xf>
    <xf numFmtId="0" fontId="7" fillId="0" borderId="499" xfId="48" applyFont="1" applyBorder="1" applyAlignment="1">
      <alignment horizontal="center" vertical="center"/>
    </xf>
    <xf numFmtId="0" fontId="7" fillId="0" borderId="500" xfId="48" applyFont="1" applyBorder="1" applyAlignment="1">
      <alignment horizontal="center" vertical="center"/>
    </xf>
    <xf numFmtId="0" fontId="7" fillId="0" borderId="93" xfId="48" applyFont="1" applyBorder="1" applyAlignment="1">
      <alignment horizontal="center" vertical="center"/>
    </xf>
    <xf numFmtId="0" fontId="7" fillId="0" borderId="236" xfId="48" applyFont="1" applyBorder="1" applyAlignment="1">
      <alignment horizontal="center" vertical="center"/>
    </xf>
    <xf numFmtId="0" fontId="7" fillId="0" borderId="501" xfId="48" applyFont="1" applyBorder="1" applyAlignment="1">
      <alignment horizontal="center" vertical="center"/>
    </xf>
    <xf numFmtId="0" fontId="7" fillId="0" borderId="209" xfId="48" applyFont="1" applyBorder="1" applyAlignment="1">
      <alignment horizontal="center" vertical="center"/>
    </xf>
    <xf numFmtId="38" fontId="23" fillId="0" borderId="492" xfId="48" applyNumberFormat="1" applyFont="1" applyBorder="1"/>
    <xf numFmtId="0" fontId="1" fillId="0" borderId="339" xfId="78" applyBorder="1"/>
    <xf numFmtId="0" fontId="1" fillId="0" borderId="455" xfId="78" applyBorder="1"/>
    <xf numFmtId="0" fontId="1" fillId="0" borderId="376" xfId="78" applyBorder="1"/>
    <xf numFmtId="38" fontId="10" fillId="0" borderId="492" xfId="48" applyNumberFormat="1" applyFont="1" applyBorder="1"/>
    <xf numFmtId="38" fontId="10" fillId="0" borderId="340" xfId="48" applyNumberFormat="1" applyFont="1" applyBorder="1"/>
    <xf numFmtId="38" fontId="10" fillId="0" borderId="454" xfId="48" applyNumberFormat="1" applyFont="1" applyBorder="1"/>
    <xf numFmtId="38" fontId="23" fillId="0" borderId="493" xfId="48" applyNumberFormat="1" applyFont="1" applyBorder="1"/>
    <xf numFmtId="0" fontId="1" fillId="0" borderId="341" xfId="78" applyBorder="1"/>
    <xf numFmtId="38" fontId="10" fillId="0" borderId="493" xfId="48" applyNumberFormat="1" applyFont="1" applyBorder="1"/>
    <xf numFmtId="38" fontId="10" fillId="0" borderId="455" xfId="48" applyNumberFormat="1" applyFont="1" applyBorder="1"/>
    <xf numFmtId="38" fontId="10" fillId="0" borderId="502" xfId="48" applyNumberFormat="1" applyFont="1" applyBorder="1"/>
    <xf numFmtId="38" fontId="11" fillId="24" borderId="503" xfId="80" applyNumberFormat="1" applyFont="1" applyFill="1" applyBorder="1"/>
    <xf numFmtId="38" fontId="11" fillId="0" borderId="504" xfId="80" applyNumberFormat="1" applyFont="1" applyFill="1" applyBorder="1"/>
    <xf numFmtId="38" fontId="11" fillId="0" borderId="505" xfId="80" applyNumberFormat="1" applyFont="1" applyFill="1" applyBorder="1"/>
    <xf numFmtId="10" fontId="11" fillId="0" borderId="503" xfId="80" applyNumberFormat="1" applyFont="1" applyFill="1" applyBorder="1"/>
    <xf numFmtId="10" fontId="11" fillId="0" borderId="505" xfId="80" applyNumberFormat="1" applyFont="1" applyFill="1" applyBorder="1"/>
    <xf numFmtId="10" fontId="11" fillId="0" borderId="506" xfId="80" applyNumberFormat="1" applyFont="1" applyFill="1" applyBorder="1"/>
    <xf numFmtId="43" fontId="1" fillId="0" borderId="0" xfId="28" applyFont="1"/>
    <xf numFmtId="0" fontId="11" fillId="0" borderId="341" xfId="48" applyFont="1" applyBorder="1" applyAlignment="1">
      <alignment horizontal="center"/>
    </xf>
    <xf numFmtId="0" fontId="11" fillId="0" borderId="493" xfId="48" applyFont="1" applyBorder="1" applyAlignment="1">
      <alignment horizontal="center"/>
    </xf>
    <xf numFmtId="0" fontId="11" fillId="0" borderId="455" xfId="48" applyFont="1" applyBorder="1" applyAlignment="1">
      <alignment horizontal="center"/>
    </xf>
    <xf numFmtId="0" fontId="11" fillId="0" borderId="502" xfId="48" applyFont="1" applyBorder="1" applyAlignment="1">
      <alignment horizontal="center"/>
    </xf>
    <xf numFmtId="43" fontId="11" fillId="24" borderId="503" xfId="28" applyFont="1" applyFill="1" applyBorder="1"/>
    <xf numFmtId="41" fontId="11" fillId="0" borderId="504" xfId="80" applyNumberFormat="1" applyFont="1" applyFill="1" applyBorder="1"/>
    <xf numFmtId="43" fontId="11" fillId="0" borderId="505" xfId="28" applyFont="1" applyFill="1" applyBorder="1"/>
    <xf numFmtId="41" fontId="11" fillId="0" borderId="503" xfId="80" applyNumberFormat="1" applyFont="1" applyFill="1" applyBorder="1"/>
    <xf numFmtId="41" fontId="11" fillId="0" borderId="505" xfId="80" applyNumberFormat="1" applyFont="1" applyFill="1" applyBorder="1"/>
    <xf numFmtId="41" fontId="11" fillId="0" borderId="506" xfId="80" applyNumberFormat="1" applyFont="1" applyFill="1" applyBorder="1"/>
    <xf numFmtId="0" fontId="168" fillId="0" borderId="455" xfId="48" applyFont="1" applyBorder="1" applyAlignment="1">
      <alignment horizontal="center"/>
    </xf>
    <xf numFmtId="3" fontId="11" fillId="0" borderId="493" xfId="78" applyNumberFormat="1" applyFont="1" applyBorder="1"/>
    <xf numFmtId="3" fontId="11" fillId="0" borderId="341" xfId="78" applyNumberFormat="1" applyFont="1" applyBorder="1"/>
    <xf numFmtId="3" fontId="11" fillId="0" borderId="455" xfId="78" applyNumberFormat="1" applyFont="1" applyBorder="1"/>
    <xf numFmtId="3" fontId="11" fillId="0" borderId="502" xfId="78" applyNumberFormat="1" applyFont="1" applyBorder="1"/>
    <xf numFmtId="38" fontId="11" fillId="110" borderId="503" xfId="80" applyNumberFormat="1" applyFont="1" applyFill="1" applyBorder="1"/>
    <xf numFmtId="38" fontId="255" fillId="0" borderId="505" xfId="80" applyNumberFormat="1" applyFont="1" applyFill="1" applyBorder="1"/>
    <xf numFmtId="170" fontId="21" fillId="27" borderId="503" xfId="81" applyNumberFormat="1" applyFont="1" applyFill="1" applyBorder="1"/>
    <xf numFmtId="170" fontId="21" fillId="27" borderId="504" xfId="81" applyNumberFormat="1" applyFont="1" applyFill="1" applyBorder="1"/>
    <xf numFmtId="170" fontId="21" fillId="27" borderId="505" xfId="81" applyNumberFormat="1" applyFont="1" applyFill="1" applyBorder="1"/>
    <xf numFmtId="170" fontId="21" fillId="27" borderId="507" xfId="81" applyNumberFormat="1" applyFont="1" applyFill="1" applyBorder="1"/>
    <xf numFmtId="10" fontId="21" fillId="27" borderId="503" xfId="81" applyNumberFormat="1" applyFont="1" applyFill="1" applyBorder="1"/>
    <xf numFmtId="0" fontId="11" fillId="0" borderId="376" xfId="48" applyFont="1" applyBorder="1" applyAlignment="1">
      <alignment horizontal="center"/>
    </xf>
    <xf numFmtId="10" fontId="21" fillId="27" borderId="505" xfId="81" applyNumberFormat="1" applyFont="1" applyFill="1" applyBorder="1"/>
    <xf numFmtId="10" fontId="21" fillId="27" borderId="506" xfId="81" applyNumberFormat="1" applyFont="1" applyFill="1" applyBorder="1"/>
    <xf numFmtId="0" fontId="11" fillId="0" borderId="508" xfId="48" applyFont="1" applyBorder="1" applyAlignment="1">
      <alignment horizontal="center"/>
    </xf>
    <xf numFmtId="0" fontId="11" fillId="0" borderId="509" xfId="48" applyFont="1" applyBorder="1" applyAlignment="1">
      <alignment horizontal="center"/>
    </xf>
    <xf numFmtId="0" fontId="11" fillId="0" borderId="510" xfId="48" applyFont="1" applyBorder="1" applyAlignment="1">
      <alignment horizontal="center"/>
    </xf>
    <xf numFmtId="0" fontId="11" fillId="0" borderId="511" xfId="48" applyFont="1" applyBorder="1" applyAlignment="1">
      <alignment horizontal="center"/>
    </xf>
    <xf numFmtId="0" fontId="11" fillId="0" borderId="494" xfId="48" applyFont="1" applyBorder="1" applyAlignment="1">
      <alignment horizontal="center"/>
    </xf>
    <xf numFmtId="0" fontId="11" fillId="0" borderId="512" xfId="48" applyFont="1" applyBorder="1" applyAlignment="1">
      <alignment horizontal="center"/>
    </xf>
    <xf numFmtId="0" fontId="11" fillId="0" borderId="513" xfId="48" applyFont="1" applyBorder="1" applyAlignment="1">
      <alignment horizontal="center"/>
    </xf>
    <xf numFmtId="38" fontId="255" fillId="24" borderId="503" xfId="80" applyNumberFormat="1" applyFont="1" applyFill="1" applyBorder="1"/>
    <xf numFmtId="43" fontId="255" fillId="24" borderId="503" xfId="28" applyFont="1" applyFill="1" applyBorder="1"/>
    <xf numFmtId="38" fontId="11" fillId="0" borderId="507" xfId="80" applyNumberFormat="1" applyFont="1" applyFill="1" applyBorder="1"/>
    <xf numFmtId="165" fontId="11" fillId="24" borderId="503" xfId="28" applyNumberFormat="1" applyFont="1" applyFill="1" applyBorder="1"/>
    <xf numFmtId="165" fontId="11" fillId="0" borderId="504" xfId="28" applyNumberFormat="1" applyFont="1" applyFill="1" applyBorder="1"/>
    <xf numFmtId="165" fontId="11" fillId="0" borderId="505" xfId="28" applyNumberFormat="1" applyFont="1" applyFill="1" applyBorder="1"/>
    <xf numFmtId="165" fontId="11" fillId="0" borderId="507" xfId="28" applyNumberFormat="1" applyFont="1" applyFill="1" applyBorder="1"/>
    <xf numFmtId="43" fontId="11" fillId="0" borderId="504" xfId="28" applyFont="1" applyFill="1" applyBorder="1"/>
    <xf numFmtId="6" fontId="11" fillId="0" borderId="505" xfId="28" applyNumberFormat="1" applyFont="1" applyFill="1" applyBorder="1"/>
    <xf numFmtId="6" fontId="11" fillId="0" borderId="507" xfId="28" applyNumberFormat="1" applyFont="1" applyFill="1" applyBorder="1"/>
    <xf numFmtId="170" fontId="21" fillId="30" borderId="503" xfId="81" applyNumberFormat="1" applyFont="1" applyFill="1" applyBorder="1"/>
    <xf numFmtId="170" fontId="21" fillId="30" borderId="504" xfId="81" applyNumberFormat="1" applyFont="1" applyFill="1" applyBorder="1"/>
    <xf numFmtId="170" fontId="21" fillId="30" borderId="505" xfId="81" applyNumberFormat="1" applyFont="1" applyFill="1" applyBorder="1"/>
    <xf numFmtId="170" fontId="21" fillId="30" borderId="507" xfId="81" applyNumberFormat="1" applyFont="1" applyFill="1" applyBorder="1"/>
    <xf numFmtId="0" fontId="13" fillId="0" borderId="30" xfId="78" applyFont="1" applyBorder="1"/>
    <xf numFmtId="0" fontId="12" fillId="0" borderId="508" xfId="48" applyFont="1" applyBorder="1" applyAlignment="1">
      <alignment horizontal="center"/>
    </xf>
    <xf numFmtId="0" fontId="12" fillId="0" borderId="509" xfId="48" applyFont="1" applyBorder="1" applyAlignment="1">
      <alignment horizontal="center"/>
    </xf>
    <xf numFmtId="0" fontId="12" fillId="0" borderId="510" xfId="48" applyFont="1" applyBorder="1" applyAlignment="1">
      <alignment horizontal="center"/>
    </xf>
    <xf numFmtId="0" fontId="12" fillId="0" borderId="511" xfId="48" applyFont="1" applyBorder="1" applyAlignment="1">
      <alignment horizontal="center"/>
    </xf>
    <xf numFmtId="0" fontId="12" fillId="0" borderId="514" xfId="48" applyFont="1" applyBorder="1" applyAlignment="1">
      <alignment horizontal="center"/>
    </xf>
    <xf numFmtId="170" fontId="21" fillId="27" borderId="515" xfId="81" applyNumberFormat="1" applyFont="1" applyFill="1" applyBorder="1"/>
    <xf numFmtId="170" fontId="21" fillId="27" borderId="516" xfId="81" applyNumberFormat="1" applyFont="1" applyFill="1" applyBorder="1"/>
    <xf numFmtId="170" fontId="21" fillId="27" borderId="517" xfId="81" applyNumberFormat="1" applyFont="1" applyFill="1" applyBorder="1"/>
    <xf numFmtId="170" fontId="21" fillId="27" borderId="518" xfId="81" applyNumberFormat="1" applyFont="1" applyFill="1" applyBorder="1"/>
    <xf numFmtId="0" fontId="13" fillId="0" borderId="0" xfId="78" applyFont="1" applyAlignment="1">
      <alignment horizontal="left" vertical="center"/>
    </xf>
    <xf numFmtId="0" fontId="12" fillId="0" borderId="493" xfId="48" applyFont="1" applyBorder="1" applyAlignment="1" applyProtection="1">
      <alignment horizontal="left"/>
      <protection locked="0"/>
    </xf>
    <xf numFmtId="0" fontId="12" fillId="0" borderId="519" xfId="48" applyFont="1" applyBorder="1" applyAlignment="1" applyProtection="1">
      <alignment horizontal="left"/>
      <protection locked="0"/>
    </xf>
    <xf numFmtId="170" fontId="12" fillId="0" borderId="305" xfId="48" applyNumberFormat="1" applyFont="1" applyBorder="1" applyAlignment="1" applyProtection="1">
      <alignment horizontal="left"/>
      <protection locked="0"/>
    </xf>
    <xf numFmtId="0" fontId="12" fillId="0" borderId="305" xfId="48" applyFont="1" applyBorder="1" applyAlignment="1" applyProtection="1">
      <alignment horizontal="left"/>
      <protection locked="0"/>
    </xf>
    <xf numFmtId="0" fontId="12" fillId="0" borderId="520" xfId="48" applyFont="1" applyBorder="1" applyAlignment="1" applyProtection="1">
      <alignment horizontal="left"/>
      <protection locked="0"/>
    </xf>
    <xf numFmtId="0" fontId="12" fillId="0" borderId="226" xfId="48" applyFont="1" applyBorder="1" applyAlignment="1" applyProtection="1">
      <alignment horizontal="left"/>
      <protection locked="0"/>
    </xf>
    <xf numFmtId="0" fontId="13" fillId="0" borderId="28" xfId="78" applyFont="1" applyBorder="1" applyAlignment="1">
      <alignment horizontal="left" vertical="center" wrapText="1"/>
    </xf>
    <xf numFmtId="0" fontId="13" fillId="0" borderId="0" xfId="78" applyFont="1" applyAlignment="1">
      <alignment horizontal="left" vertical="center" wrapText="1"/>
    </xf>
    <xf numFmtId="0" fontId="13" fillId="0" borderId="0" xfId="78" applyFont="1" applyAlignment="1">
      <alignment vertical="center" wrapText="1"/>
    </xf>
    <xf numFmtId="0" fontId="13" fillId="0" borderId="226" xfId="78" applyFont="1" applyBorder="1" applyAlignment="1">
      <alignment vertical="center" wrapText="1"/>
    </xf>
    <xf numFmtId="0" fontId="13" fillId="0" borderId="376" xfId="78" applyFont="1" applyBorder="1" applyAlignment="1">
      <alignment vertical="center" wrapText="1"/>
    </xf>
    <xf numFmtId="0" fontId="23" fillId="0" borderId="0" xfId="78" applyFont="1"/>
    <xf numFmtId="165" fontId="5" fillId="0" borderId="108" xfId="28" applyNumberFormat="1" applyFont="1" applyFill="1" applyBorder="1"/>
    <xf numFmtId="165" fontId="5" fillId="0" borderId="108" xfId="80" applyNumberFormat="1" applyFont="1" applyFill="1" applyBorder="1"/>
    <xf numFmtId="165" fontId="5" fillId="0" borderId="226" xfId="80" applyNumberFormat="1" applyFont="1" applyFill="1" applyBorder="1"/>
    <xf numFmtId="165" fontId="5" fillId="0" borderId="0" xfId="80" applyNumberFormat="1" applyFont="1" applyFill="1" applyBorder="1"/>
    <xf numFmtId="165" fontId="5" fillId="0" borderId="376" xfId="80" applyNumberFormat="1" applyFont="1" applyFill="1" applyBorder="1"/>
    <xf numFmtId="41" fontId="11" fillId="24" borderId="503" xfId="80" applyNumberFormat="1" applyFont="1" applyFill="1" applyBorder="1"/>
    <xf numFmtId="41" fontId="11" fillId="0" borderId="516" xfId="80" applyNumberFormat="1" applyFont="1" applyFill="1" applyBorder="1"/>
    <xf numFmtId="41" fontId="11" fillId="0" borderId="517" xfId="80" applyNumberFormat="1" applyFont="1" applyFill="1" applyBorder="1"/>
    <xf numFmtId="41" fontId="11" fillId="0" borderId="522" xfId="80" applyNumberFormat="1" applyFont="1" applyFill="1" applyBorder="1"/>
    <xf numFmtId="38" fontId="11" fillId="0" borderId="516" xfId="80" applyNumberFormat="1" applyFont="1" applyFill="1" applyBorder="1"/>
    <xf numFmtId="38" fontId="11" fillId="0" borderId="517" xfId="80" applyNumberFormat="1" applyFont="1" applyFill="1" applyBorder="1"/>
    <xf numFmtId="38" fontId="11" fillId="0" borderId="522" xfId="80" applyNumberFormat="1" applyFont="1" applyFill="1" applyBorder="1"/>
    <xf numFmtId="10" fontId="11" fillId="0" borderId="515" xfId="80" applyNumberFormat="1" applyFont="1" applyFill="1" applyBorder="1"/>
    <xf numFmtId="38" fontId="11" fillId="0" borderId="506" xfId="80" applyNumberFormat="1" applyFont="1" applyFill="1" applyBorder="1"/>
    <xf numFmtId="41" fontId="11" fillId="0" borderId="507" xfId="80" applyNumberFormat="1" applyFont="1" applyFill="1" applyBorder="1"/>
    <xf numFmtId="0" fontId="205" fillId="43" borderId="117" xfId="82" applyFont="1" applyFill="1" applyBorder="1" applyAlignment="1">
      <alignment horizontal="center" vertical="center"/>
    </xf>
    <xf numFmtId="0" fontId="205" fillId="43" borderId="0" xfId="82" applyFont="1" applyFill="1" applyAlignment="1">
      <alignment horizontal="center" vertical="center"/>
    </xf>
    <xf numFmtId="0" fontId="205" fillId="43" borderId="420" xfId="82" applyFont="1" applyFill="1" applyBorder="1" applyAlignment="1">
      <alignment horizontal="center" vertical="center"/>
    </xf>
    <xf numFmtId="38" fontId="11" fillId="0" borderId="0" xfId="80" applyNumberFormat="1" applyFont="1" applyFill="1" applyBorder="1"/>
    <xf numFmtId="0" fontId="196" fillId="0" borderId="0" xfId="63" applyFont="1" applyAlignment="1">
      <alignment horizontal="center"/>
    </xf>
    <xf numFmtId="6" fontId="270" fillId="24" borderId="240" xfId="80" applyNumberFormat="1" applyFont="1" applyFill="1" applyBorder="1" applyAlignment="1">
      <alignment vertical="center"/>
    </xf>
    <xf numFmtId="10" fontId="11" fillId="0" borderId="505" xfId="55" applyNumberFormat="1" applyFont="1" applyFill="1" applyBorder="1"/>
    <xf numFmtId="43" fontId="196" fillId="0" borderId="0" xfId="28" applyFont="1" applyAlignment="1">
      <alignment horizontal="center"/>
    </xf>
    <xf numFmtId="6" fontId="270" fillId="73" borderId="240" xfId="80" applyNumberFormat="1" applyFont="1" applyFill="1" applyBorder="1" applyAlignment="1">
      <alignment vertical="center"/>
    </xf>
    <xf numFmtId="41" fontId="1" fillId="0" borderId="0" xfId="28" applyNumberFormat="1" applyFont="1"/>
    <xf numFmtId="0" fontId="12" fillId="0" borderId="493" xfId="48" applyFont="1" applyBorder="1" applyAlignment="1" applyProtection="1">
      <alignment horizontal="center"/>
      <protection locked="0"/>
    </xf>
    <xf numFmtId="0" fontId="12" fillId="0" borderId="341" xfId="48" applyFont="1" applyBorder="1" applyAlignment="1" applyProtection="1">
      <alignment horizontal="center"/>
      <protection locked="0"/>
    </xf>
    <xf numFmtId="0" fontId="12" fillId="0" borderId="455" xfId="48" applyFont="1" applyBorder="1" applyAlignment="1" applyProtection="1">
      <alignment horizontal="center"/>
      <protection locked="0"/>
    </xf>
    <xf numFmtId="0" fontId="12" fillId="0" borderId="376" xfId="48" applyFont="1" applyBorder="1" applyAlignment="1" applyProtection="1">
      <alignment horizontal="center"/>
      <protection locked="0"/>
    </xf>
    <xf numFmtId="0" fontId="12" fillId="0" borderId="502" xfId="48" applyFont="1" applyBorder="1" applyAlignment="1" applyProtection="1">
      <alignment horizontal="center"/>
      <protection locked="0"/>
    </xf>
    <xf numFmtId="0" fontId="13" fillId="0" borderId="28" xfId="78" applyFont="1" applyBorder="1"/>
    <xf numFmtId="0" fontId="13" fillId="0" borderId="493" xfId="78" applyFont="1" applyBorder="1"/>
    <xf numFmtId="0" fontId="13" fillId="0" borderId="341" xfId="78" applyFont="1" applyBorder="1"/>
    <xf numFmtId="0" fontId="13" fillId="0" borderId="455" xfId="78" applyFont="1" applyBorder="1"/>
    <xf numFmtId="0" fontId="13" fillId="0" borderId="376" xfId="78" applyFont="1" applyBorder="1"/>
    <xf numFmtId="0" fontId="13" fillId="0" borderId="502" xfId="78" applyFont="1" applyBorder="1"/>
    <xf numFmtId="0" fontId="12" fillId="0" borderId="494" xfId="48" applyFont="1" applyBorder="1" applyAlignment="1">
      <alignment horizontal="center"/>
    </xf>
    <xf numFmtId="0" fontId="12" fillId="0" borderId="342" xfId="48" applyFont="1" applyBorder="1" applyAlignment="1">
      <alignment horizontal="center"/>
    </xf>
    <xf numFmtId="0" fontId="12" fillId="0" borderId="512" xfId="48" applyFont="1" applyBorder="1" applyAlignment="1">
      <alignment horizontal="center"/>
    </xf>
    <xf numFmtId="0" fontId="12" fillId="0" borderId="373" xfId="48" applyFont="1" applyBorder="1" applyAlignment="1">
      <alignment horizontal="center"/>
    </xf>
    <xf numFmtId="0" fontId="12" fillId="0" borderId="513" xfId="48" applyFont="1" applyBorder="1" applyAlignment="1">
      <alignment horizontal="center"/>
    </xf>
    <xf numFmtId="0" fontId="255" fillId="0" borderId="0" xfId="78" applyFont="1"/>
    <xf numFmtId="0" fontId="196" fillId="26" borderId="0" xfId="83" applyNumberFormat="1" applyFont="1" applyFill="1" applyProtection="1">
      <alignment horizontal="left"/>
      <protection locked="0"/>
    </xf>
    <xf numFmtId="241" fontId="196" fillId="26" borderId="0" xfId="63" applyNumberFormat="1" applyFont="1" applyFill="1"/>
    <xf numFmtId="10" fontId="23" fillId="0" borderId="0" xfId="78" applyNumberFormat="1" applyFont="1"/>
    <xf numFmtId="0" fontId="196" fillId="26" borderId="0" xfId="63" applyFont="1" applyFill="1"/>
    <xf numFmtId="38" fontId="23" fillId="0" borderId="0" xfId="78" applyNumberFormat="1" applyFont="1"/>
    <xf numFmtId="170" fontId="23" fillId="0" borderId="0" xfId="78" applyNumberFormat="1" applyFont="1"/>
    <xf numFmtId="3" fontId="23" fillId="0" borderId="0" xfId="78" applyNumberFormat="1" applyFont="1"/>
    <xf numFmtId="0" fontId="199" fillId="39" borderId="116" xfId="78" applyFont="1" applyFill="1" applyBorder="1"/>
    <xf numFmtId="0" fontId="229" fillId="85" borderId="93" xfId="66" applyFont="1" applyFill="1" applyBorder="1" applyAlignment="1" applyProtection="1">
      <alignment horizontal="center"/>
    </xf>
    <xf numFmtId="0" fontId="229" fillId="38" borderId="93" xfId="66" applyFont="1" applyFill="1" applyBorder="1" applyAlignment="1" applyProtection="1">
      <alignment horizontal="center" vertical="center"/>
    </xf>
    <xf numFmtId="0" fontId="229" fillId="73" borderId="0" xfId="38" applyFont="1" applyFill="1" applyAlignment="1" applyProtection="1"/>
    <xf numFmtId="0" fontId="188" fillId="0" borderId="0" xfId="0" applyFont="1" applyAlignment="1">
      <alignment horizontal="center"/>
    </xf>
    <xf numFmtId="0" fontId="271" fillId="0" borderId="0" xfId="0" applyFont="1" applyAlignment="1">
      <alignment horizontal="center" vertical="center" wrapText="1"/>
    </xf>
    <xf numFmtId="0" fontId="271" fillId="0" borderId="0" xfId="0" applyFont="1" applyAlignment="1">
      <alignment horizontal="center" vertical="center"/>
    </xf>
    <xf numFmtId="0" fontId="0" fillId="0" borderId="0" xfId="0" applyAlignment="1">
      <alignment horizontal="center" vertical="center"/>
    </xf>
    <xf numFmtId="0" fontId="188" fillId="61" borderId="0" xfId="0" applyFont="1" applyFill="1"/>
    <xf numFmtId="0" fontId="272" fillId="0" borderId="445" xfId="0" applyFont="1" applyBorder="1" applyAlignment="1">
      <alignment horizontal="center"/>
    </xf>
    <xf numFmtId="0" fontId="272" fillId="0" borderId="523" xfId="0" applyFont="1" applyBorder="1" applyAlignment="1">
      <alignment horizontal="center"/>
    </xf>
    <xf numFmtId="0" fontId="181" fillId="0" borderId="0" xfId="0" applyFont="1" applyAlignment="1">
      <alignment horizontal="center"/>
    </xf>
    <xf numFmtId="0" fontId="273" fillId="0" borderId="0" xfId="0" applyFont="1" applyAlignment="1">
      <alignment horizontal="center"/>
    </xf>
    <xf numFmtId="4" fontId="188" fillId="0" borderId="0" xfId="0" applyNumberFormat="1" applyFont="1"/>
    <xf numFmtId="40" fontId="273" fillId="0" borderId="0" xfId="0" applyNumberFormat="1" applyFont="1" applyAlignment="1">
      <alignment horizontal="center"/>
    </xf>
    <xf numFmtId="0" fontId="188" fillId="135" borderId="0" xfId="0" applyFont="1" applyFill="1"/>
    <xf numFmtId="10" fontId="274" fillId="135" borderId="0" xfId="0" applyNumberFormat="1" applyFont="1" applyFill="1"/>
    <xf numFmtId="3" fontId="188" fillId="135" borderId="0" xfId="0" applyNumberFormat="1" applyFont="1" applyFill="1"/>
    <xf numFmtId="41" fontId="188" fillId="135" borderId="0" xfId="0" applyNumberFormat="1" applyFont="1" applyFill="1"/>
    <xf numFmtId="3" fontId="273" fillId="135" borderId="0" xfId="0" applyNumberFormat="1" applyFont="1" applyFill="1" applyAlignment="1">
      <alignment horizontal="center"/>
    </xf>
    <xf numFmtId="6" fontId="188" fillId="0" borderId="0" xfId="0" applyNumberFormat="1" applyFont="1"/>
    <xf numFmtId="6" fontId="273" fillId="0" borderId="0" xfId="0" applyNumberFormat="1" applyFont="1" applyAlignment="1">
      <alignment horizontal="center"/>
    </xf>
    <xf numFmtId="177" fontId="188" fillId="0" borderId="0" xfId="0" applyNumberFormat="1" applyFont="1"/>
    <xf numFmtId="177" fontId="273" fillId="0" borderId="0" xfId="0" applyNumberFormat="1" applyFont="1" applyAlignment="1">
      <alignment horizontal="center"/>
    </xf>
    <xf numFmtId="6" fontId="188" fillId="135" borderId="0" xfId="0" applyNumberFormat="1" applyFont="1" applyFill="1"/>
    <xf numFmtId="6" fontId="273" fillId="135" borderId="0" xfId="0" applyNumberFormat="1" applyFont="1" applyFill="1" applyAlignment="1">
      <alignment horizontal="center"/>
    </xf>
    <xf numFmtId="6" fontId="269" fillId="135" borderId="0" xfId="0" applyNumberFormat="1" applyFont="1" applyFill="1"/>
    <xf numFmtId="6" fontId="269" fillId="135" borderId="0" xfId="0" applyNumberFormat="1" applyFont="1" applyFill="1" applyAlignment="1">
      <alignment horizontal="center"/>
    </xf>
    <xf numFmtId="6" fontId="202" fillId="0" borderId="0" xfId="0" applyNumberFormat="1" applyFont="1"/>
    <xf numFmtId="40" fontId="164" fillId="0" borderId="173" xfId="0" applyNumberFormat="1" applyFont="1" applyBorder="1" applyAlignment="1">
      <alignment horizontal="center" vertical="center"/>
    </xf>
    <xf numFmtId="40" fontId="164" fillId="0" borderId="173" xfId="0" applyNumberFormat="1" applyFont="1" applyBorder="1" applyAlignment="1">
      <alignment horizontal="center"/>
    </xf>
    <xf numFmtId="38" fontId="164" fillId="0" borderId="173" xfId="0" applyNumberFormat="1" applyFont="1" applyBorder="1" applyAlignment="1">
      <alignment horizontal="right"/>
    </xf>
    <xf numFmtId="6" fontId="164" fillId="0" borderId="173" xfId="0" applyNumberFormat="1" applyFont="1" applyBorder="1"/>
    <xf numFmtId="8" fontId="164" fillId="0" borderId="173" xfId="0" applyNumberFormat="1" applyFont="1" applyBorder="1"/>
    <xf numFmtId="177" fontId="63" fillId="0" borderId="524" xfId="0" applyNumberFormat="1" applyFont="1" applyBorder="1"/>
    <xf numFmtId="0" fontId="275" fillId="0" borderId="344" xfId="0" applyFont="1" applyBorder="1" applyAlignment="1">
      <alignment horizontal="center"/>
    </xf>
    <xf numFmtId="0" fontId="275" fillId="0" borderId="347" xfId="0" applyFont="1" applyBorder="1" applyAlignment="1">
      <alignment horizontal="center"/>
    </xf>
    <xf numFmtId="49" fontId="276" fillId="0" borderId="173" xfId="0" applyNumberFormat="1" applyFont="1" applyBorder="1" applyAlignment="1">
      <alignment horizontal="center"/>
    </xf>
    <xf numFmtId="38" fontId="277" fillId="0" borderId="173" xfId="0" applyNumberFormat="1" applyFont="1" applyBorder="1"/>
    <xf numFmtId="6" fontId="277" fillId="0" borderId="173" xfId="0" applyNumberFormat="1" applyFont="1" applyBorder="1"/>
    <xf numFmtId="40" fontId="277" fillId="0" borderId="173" xfId="0" applyNumberFormat="1" applyFont="1" applyBorder="1" applyAlignment="1">
      <alignment horizontal="center" vertical="center"/>
    </xf>
    <xf numFmtId="40" fontId="277" fillId="0" borderId="173" xfId="0" applyNumberFormat="1" applyFont="1" applyBorder="1" applyAlignment="1">
      <alignment horizontal="center"/>
    </xf>
    <xf numFmtId="6" fontId="276" fillId="0" borderId="173" xfId="0" applyNumberFormat="1" applyFont="1" applyBorder="1"/>
    <xf numFmtId="43" fontId="277" fillId="0" borderId="173" xfId="28" applyFont="1" applyFill="1" applyBorder="1"/>
    <xf numFmtId="38" fontId="277" fillId="0" borderId="173" xfId="0" applyNumberFormat="1" applyFont="1" applyBorder="1" applyAlignment="1">
      <alignment horizontal="right"/>
    </xf>
    <xf numFmtId="10" fontId="276" fillId="0" borderId="173" xfId="55" applyNumberFormat="1" applyFont="1" applyFill="1" applyBorder="1"/>
    <xf numFmtId="8" fontId="277" fillId="0" borderId="173" xfId="0" applyNumberFormat="1" applyFont="1" applyBorder="1"/>
    <xf numFmtId="177" fontId="277" fillId="0" borderId="524" xfId="0" applyNumberFormat="1" applyFont="1" applyBorder="1"/>
    <xf numFmtId="0" fontId="278" fillId="0" borderId="0" xfId="0" applyFont="1"/>
    <xf numFmtId="0" fontId="278" fillId="0" borderId="320" xfId="0" applyFont="1" applyBorder="1"/>
    <xf numFmtId="0" fontId="5" fillId="0" borderId="116" xfId="0" applyFont="1" applyBorder="1" applyAlignment="1">
      <alignment horizontal="center"/>
    </xf>
    <xf numFmtId="0" fontId="5" fillId="0" borderId="115" xfId="0" applyFont="1" applyBorder="1" applyAlignment="1">
      <alignment horizontal="center"/>
    </xf>
    <xf numFmtId="0" fontId="5" fillId="0" borderId="115" xfId="0" applyFont="1" applyBorder="1"/>
    <xf numFmtId="0" fontId="278" fillId="0" borderId="226" xfId="0" applyFont="1" applyBorder="1"/>
    <xf numFmtId="0" fontId="5" fillId="0" borderId="10" xfId="0" applyFont="1" applyBorder="1" applyAlignment="1">
      <alignment horizontal="center"/>
    </xf>
    <xf numFmtId="0" fontId="5" fillId="0" borderId="352" xfId="0" applyFont="1" applyBorder="1" applyAlignment="1">
      <alignment horizontal="center"/>
    </xf>
    <xf numFmtId="0" fontId="5" fillId="0" borderId="352" xfId="0" applyFont="1" applyBorder="1"/>
    <xf numFmtId="0" fontId="278" fillId="0" borderId="525" xfId="0" applyFont="1" applyBorder="1"/>
    <xf numFmtId="3" fontId="279" fillId="72" borderId="526" xfId="0" applyNumberFormat="1" applyFont="1" applyFill="1" applyBorder="1"/>
    <xf numFmtId="3" fontId="279" fillId="72" borderId="527" xfId="0" applyNumberFormat="1" applyFont="1" applyFill="1" applyBorder="1"/>
    <xf numFmtId="0" fontId="279" fillId="72" borderId="526" xfId="0" applyFont="1" applyFill="1" applyBorder="1"/>
    <xf numFmtId="3" fontId="279" fillId="67" borderId="526" xfId="0" applyNumberFormat="1" applyFont="1" applyFill="1" applyBorder="1"/>
    <xf numFmtId="0" fontId="278" fillId="0" borderId="528" xfId="0" applyFont="1" applyBorder="1"/>
    <xf numFmtId="0" fontId="279" fillId="0" borderId="526" xfId="0" applyFont="1" applyBorder="1"/>
    <xf numFmtId="0" fontId="279" fillId="0" borderId="527" xfId="0" applyFont="1" applyBorder="1"/>
    <xf numFmtId="6" fontId="279" fillId="72" borderId="526" xfId="0" applyNumberFormat="1" applyFont="1" applyFill="1" applyBorder="1"/>
    <xf numFmtId="6" fontId="279" fillId="72" borderId="527" xfId="0" applyNumberFormat="1" applyFont="1" applyFill="1" applyBorder="1"/>
    <xf numFmtId="6" fontId="279" fillId="67" borderId="526" xfId="0" applyNumberFormat="1" applyFont="1" applyFill="1" applyBorder="1"/>
    <xf numFmtId="6" fontId="168" fillId="72" borderId="526" xfId="0" applyNumberFormat="1" applyFont="1" applyFill="1" applyBorder="1"/>
    <xf numFmtId="6" fontId="168" fillId="72" borderId="527" xfId="0" applyNumberFormat="1" applyFont="1" applyFill="1" applyBorder="1"/>
    <xf numFmtId="0" fontId="168" fillId="72" borderId="526" xfId="0" applyFont="1" applyFill="1" applyBorder="1"/>
    <xf numFmtId="6" fontId="168" fillId="67" borderId="526" xfId="0" applyNumberFormat="1" applyFont="1" applyFill="1" applyBorder="1"/>
    <xf numFmtId="0" fontId="280" fillId="0" borderId="526" xfId="0" applyFont="1" applyBorder="1"/>
    <xf numFmtId="0" fontId="280" fillId="0" borderId="527" xfId="0" applyFont="1" applyBorder="1"/>
    <xf numFmtId="0" fontId="278" fillId="136" borderId="528" xfId="0" applyFont="1" applyFill="1" applyBorder="1"/>
    <xf numFmtId="6" fontId="281" fillId="136" borderId="526" xfId="0" applyNumberFormat="1" applyFont="1" applyFill="1" applyBorder="1"/>
    <xf numFmtId="6" fontId="281" fillId="136" borderId="527" xfId="0" applyNumberFormat="1" applyFont="1" applyFill="1" applyBorder="1"/>
    <xf numFmtId="0" fontId="281" fillId="136" borderId="526" xfId="0" applyFont="1" applyFill="1" applyBorder="1"/>
    <xf numFmtId="0" fontId="278" fillId="72" borderId="528" xfId="0" applyFont="1" applyFill="1" applyBorder="1"/>
    <xf numFmtId="0" fontId="281" fillId="136" borderId="527" xfId="0" applyFont="1" applyFill="1" applyBorder="1"/>
    <xf numFmtId="10" fontId="281" fillId="136" borderId="526" xfId="0" applyNumberFormat="1" applyFont="1" applyFill="1" applyBorder="1"/>
    <xf numFmtId="0" fontId="278" fillId="53" borderId="528" xfId="0" applyFont="1" applyFill="1" applyBorder="1"/>
    <xf numFmtId="8" fontId="279" fillId="72" borderId="527" xfId="0" applyNumberFormat="1" applyFont="1" applyFill="1" applyBorder="1"/>
    <xf numFmtId="8" fontId="279" fillId="72" borderId="526" xfId="0" applyNumberFormat="1" applyFont="1" applyFill="1" applyBorder="1"/>
    <xf numFmtId="6" fontId="279" fillId="0" borderId="526" xfId="0" applyNumberFormat="1" applyFont="1" applyBorder="1"/>
    <xf numFmtId="6" fontId="279" fillId="0" borderId="527" xfId="0" applyNumberFormat="1" applyFont="1" applyBorder="1"/>
    <xf numFmtId="0" fontId="282" fillId="0" borderId="528" xfId="0" applyFont="1" applyBorder="1"/>
    <xf numFmtId="0" fontId="282" fillId="0" borderId="526" xfId="0" applyFont="1" applyBorder="1"/>
    <xf numFmtId="0" fontId="282" fillId="0" borderId="527" xfId="0" applyFont="1" applyBorder="1"/>
    <xf numFmtId="6" fontId="281" fillId="0" borderId="526" xfId="0" applyNumberFormat="1" applyFont="1" applyBorder="1"/>
    <xf numFmtId="6" fontId="281" fillId="0" borderId="527" xfId="0" applyNumberFormat="1" applyFont="1" applyBorder="1"/>
    <xf numFmtId="0" fontId="281" fillId="0" borderId="526" xfId="0" applyFont="1" applyBorder="1"/>
    <xf numFmtId="0" fontId="278" fillId="0" borderId="529" xfId="0" applyFont="1" applyBorder="1"/>
    <xf numFmtId="8" fontId="281" fillId="0" borderId="530" xfId="0" applyNumberFormat="1" applyFont="1" applyBorder="1"/>
    <xf numFmtId="8" fontId="281" fillId="0" borderId="531" xfId="0" applyNumberFormat="1" applyFont="1" applyBorder="1"/>
    <xf numFmtId="0" fontId="281" fillId="0" borderId="530" xfId="0" applyFont="1" applyBorder="1"/>
    <xf numFmtId="8" fontId="281" fillId="0" borderId="532" xfId="0" applyNumberFormat="1" applyFont="1" applyBorder="1"/>
    <xf numFmtId="0" fontId="3" fillId="0" borderId="533" xfId="0" applyFont="1" applyBorder="1"/>
    <xf numFmtId="0" fontId="283" fillId="0" borderId="0" xfId="0" applyFont="1" applyAlignment="1">
      <alignment horizontal="center"/>
    </xf>
    <xf numFmtId="38" fontId="284" fillId="0" borderId="0" xfId="0" applyNumberFormat="1" applyFont="1"/>
    <xf numFmtId="0" fontId="284" fillId="0" borderId="0" xfId="0" applyFont="1"/>
    <xf numFmtId="168" fontId="284" fillId="0" borderId="0" xfId="0" applyNumberFormat="1" applyFont="1"/>
    <xf numFmtId="10" fontId="13" fillId="0" borderId="0" xfId="0" applyNumberFormat="1" applyFont="1"/>
    <xf numFmtId="0" fontId="285" fillId="0" borderId="0" xfId="0" applyFont="1"/>
    <xf numFmtId="0" fontId="286" fillId="0" borderId="0" xfId="0" applyFont="1"/>
    <xf numFmtId="168" fontId="286" fillId="0" borderId="0" xfId="0" applyNumberFormat="1" applyFont="1"/>
    <xf numFmtId="0" fontId="150" fillId="0" borderId="0" xfId="0" applyFont="1"/>
    <xf numFmtId="3" fontId="287" fillId="0" borderId="0" xfId="0" applyNumberFormat="1" applyFont="1"/>
    <xf numFmtId="168" fontId="287" fillId="0" borderId="0" xfId="0" applyNumberFormat="1" applyFont="1"/>
    <xf numFmtId="3" fontId="284" fillId="0" borderId="0" xfId="0" applyNumberFormat="1" applyFont="1"/>
    <xf numFmtId="10" fontId="287" fillId="0" borderId="0" xfId="0" applyNumberFormat="1" applyFont="1"/>
    <xf numFmtId="10" fontId="284" fillId="0" borderId="0" xfId="0" applyNumberFormat="1" applyFont="1"/>
    <xf numFmtId="10" fontId="3" fillId="0" borderId="0" xfId="0" applyNumberFormat="1" applyFont="1"/>
    <xf numFmtId="0" fontId="3" fillId="0" borderId="533" xfId="0" applyFont="1" applyBorder="1" applyAlignment="1">
      <alignment horizontal="center" vertical="center" wrapText="1"/>
    </xf>
    <xf numFmtId="0" fontId="263" fillId="0" borderId="533" xfId="0" applyFont="1" applyBorder="1"/>
    <xf numFmtId="168" fontId="6" fillId="73" borderId="534" xfId="0" applyNumberFormat="1" applyFont="1" applyFill="1" applyBorder="1"/>
    <xf numFmtId="0" fontId="5" fillId="0" borderId="0" xfId="0" applyFont="1" applyAlignment="1">
      <alignment horizontal="center"/>
    </xf>
    <xf numFmtId="0" fontId="5" fillId="0" borderId="0" xfId="0" applyFont="1" applyAlignment="1">
      <alignment horizontal="left" indent="16"/>
    </xf>
    <xf numFmtId="0" fontId="288" fillId="0" borderId="0" xfId="0" applyFont="1"/>
    <xf numFmtId="37" fontId="11" fillId="24" borderId="0" xfId="30" applyNumberFormat="1" applyFont="1" applyFill="1" applyBorder="1" applyAlignment="1">
      <alignment horizontal="right"/>
    </xf>
    <xf numFmtId="43" fontId="1" fillId="0" borderId="0" xfId="0" applyNumberFormat="1" applyFont="1"/>
    <xf numFmtId="3" fontId="211" fillId="0" borderId="0" xfId="0" applyNumberFormat="1" applyFont="1"/>
    <xf numFmtId="10" fontId="5" fillId="0" borderId="0" xfId="0" applyNumberFormat="1" applyFont="1"/>
    <xf numFmtId="41" fontId="11" fillId="24" borderId="99" xfId="30" applyNumberFormat="1" applyFont="1" applyFill="1" applyBorder="1"/>
    <xf numFmtId="41" fontId="11" fillId="24" borderId="53" xfId="30" applyNumberFormat="1" applyFont="1" applyFill="1" applyBorder="1"/>
    <xf numFmtId="41" fontId="11" fillId="24" borderId="88" xfId="28" applyNumberFormat="1" applyFont="1" applyFill="1" applyBorder="1"/>
    <xf numFmtId="41" fontId="11" fillId="24" borderId="33" xfId="28" applyNumberFormat="1" applyFont="1" applyFill="1" applyBorder="1"/>
    <xf numFmtId="10" fontId="0" fillId="0" borderId="34" xfId="0" applyNumberFormat="1" applyBorder="1"/>
    <xf numFmtId="10" fontId="0" fillId="0" borderId="65" xfId="0" applyNumberFormat="1" applyBorder="1"/>
    <xf numFmtId="41" fontId="11" fillId="24" borderId="88" xfId="30" applyNumberFormat="1" applyFont="1" applyFill="1" applyBorder="1"/>
    <xf numFmtId="10" fontId="0" fillId="0" borderId="3" xfId="0" applyNumberFormat="1" applyBorder="1"/>
    <xf numFmtId="43" fontId="5" fillId="0" borderId="0" xfId="0" applyNumberFormat="1" applyFont="1"/>
    <xf numFmtId="242" fontId="5" fillId="0" borderId="0" xfId="0" applyNumberFormat="1" applyFont="1"/>
    <xf numFmtId="165" fontId="11" fillId="53" borderId="32" xfId="28" applyNumberFormat="1" applyFont="1" applyFill="1" applyBorder="1" applyProtection="1">
      <protection locked="0"/>
    </xf>
    <xf numFmtId="0" fontId="75" fillId="137" borderId="0" xfId="63" applyFont="1" applyFill="1"/>
    <xf numFmtId="0" fontId="3" fillId="137" borderId="0" xfId="63" applyFill="1"/>
    <xf numFmtId="0" fontId="0" fillId="0" borderId="0" xfId="0" applyAlignment="1">
      <alignment horizontal="center"/>
    </xf>
    <xf numFmtId="0" fontId="6" fillId="0" borderId="0" xfId="0" applyFont="1" applyAlignment="1">
      <alignment horizontal="left"/>
    </xf>
    <xf numFmtId="0" fontId="6" fillId="0" borderId="0" xfId="0" applyFont="1" applyAlignment="1">
      <alignment horizontal="center"/>
    </xf>
    <xf numFmtId="0" fontId="33" fillId="0" borderId="12" xfId="0" applyFont="1" applyBorder="1" applyAlignment="1">
      <alignment horizontal="center"/>
    </xf>
    <xf numFmtId="0" fontId="33" fillId="0" borderId="13" xfId="0" applyFont="1" applyBorder="1" applyAlignment="1">
      <alignment horizontal="center"/>
    </xf>
    <xf numFmtId="0" fontId="33" fillId="0" borderId="19" xfId="0" applyFont="1" applyBorder="1" applyAlignment="1">
      <alignment horizontal="center"/>
    </xf>
    <xf numFmtId="0" fontId="7" fillId="0" borderId="287" xfId="48" applyFont="1" applyBorder="1" applyAlignment="1">
      <alignment horizontal="center" vertical="center"/>
    </xf>
    <xf numFmtId="0" fontId="7" fillId="0" borderId="73" xfId="48" applyFont="1" applyBorder="1" applyAlignment="1">
      <alignment horizontal="center" vertical="center"/>
    </xf>
    <xf numFmtId="0" fontId="7" fillId="0" borderId="14" xfId="48" applyFont="1" applyBorder="1" applyAlignment="1">
      <alignment horizontal="center" vertical="center"/>
    </xf>
    <xf numFmtId="0" fontId="7" fillId="0" borderId="65" xfId="48" applyFont="1" applyBorder="1" applyAlignment="1">
      <alignment horizontal="center" vertical="center"/>
    </xf>
    <xf numFmtId="38" fontId="7" fillId="0" borderId="43" xfId="48" applyNumberFormat="1" applyFont="1" applyBorder="1" applyAlignment="1">
      <alignment horizontal="center" vertical="center"/>
    </xf>
    <xf numFmtId="38" fontId="7" fillId="0" borderId="34" xfId="48" applyNumberFormat="1" applyFont="1" applyBorder="1" applyAlignment="1">
      <alignment horizontal="center" vertical="center"/>
    </xf>
    <xf numFmtId="0" fontId="7" fillId="0" borderId="14" xfId="48" applyFont="1" applyBorder="1" applyAlignment="1">
      <alignment horizontal="center"/>
    </xf>
    <xf numFmtId="0" fontId="7" fillId="0" borderId="0" xfId="48" applyFont="1" applyAlignment="1">
      <alignment horizontal="center"/>
    </xf>
    <xf numFmtId="0" fontId="7" fillId="0" borderId="15" xfId="48" applyFont="1" applyBorder="1" applyAlignment="1">
      <alignment horizontal="center"/>
    </xf>
    <xf numFmtId="0" fontId="7" fillId="0" borderId="14" xfId="0" applyFont="1" applyBorder="1" applyAlignment="1">
      <alignment horizontal="center"/>
    </xf>
    <xf numFmtId="0" fontId="7" fillId="0" borderId="0" xfId="0" applyFont="1" applyAlignment="1">
      <alignment horizontal="center"/>
    </xf>
    <xf numFmtId="0" fontId="7" fillId="0" borderId="15" xfId="0" applyFont="1" applyBorder="1" applyAlignment="1">
      <alignment horizontal="center"/>
    </xf>
    <xf numFmtId="0" fontId="7" fillId="27" borderId="211" xfId="48" applyFont="1" applyFill="1" applyBorder="1" applyAlignment="1" applyProtection="1">
      <alignment horizontal="center"/>
      <protection locked="0"/>
    </xf>
    <xf numFmtId="0" fontId="7" fillId="27" borderId="212" xfId="48" applyFont="1" applyFill="1" applyBorder="1" applyAlignment="1" applyProtection="1">
      <alignment horizontal="center"/>
      <protection locked="0"/>
    </xf>
    <xf numFmtId="0" fontId="7" fillId="27" borderId="213" xfId="48" applyFont="1" applyFill="1" applyBorder="1" applyAlignment="1" applyProtection="1">
      <alignment horizontal="center"/>
      <protection locked="0"/>
    </xf>
    <xf numFmtId="0" fontId="7" fillId="50" borderId="214" xfId="48" applyFont="1" applyFill="1" applyBorder="1" applyAlignment="1" applyProtection="1">
      <alignment horizontal="center"/>
      <protection locked="0"/>
    </xf>
    <xf numFmtId="0" fontId="7" fillId="50" borderId="114" xfId="48" applyFont="1" applyFill="1" applyBorder="1" applyAlignment="1" applyProtection="1">
      <alignment horizontal="center"/>
      <protection locked="0"/>
    </xf>
    <xf numFmtId="0" fontId="7" fillId="50" borderId="215" xfId="48" applyFont="1" applyFill="1" applyBorder="1" applyAlignment="1" applyProtection="1">
      <alignment horizontal="center"/>
      <protection locked="0"/>
    </xf>
    <xf numFmtId="14" fontId="7" fillId="50" borderId="216" xfId="48" applyNumberFormat="1" applyFont="1" applyFill="1" applyBorder="1" applyAlignment="1" applyProtection="1">
      <alignment horizontal="center"/>
      <protection locked="0"/>
    </xf>
    <xf numFmtId="0" fontId="7" fillId="50" borderId="217" xfId="48" applyFont="1" applyFill="1" applyBorder="1" applyAlignment="1" applyProtection="1">
      <alignment horizontal="center"/>
      <protection locked="0"/>
    </xf>
    <xf numFmtId="0" fontId="7" fillId="50" borderId="218" xfId="48" applyFont="1" applyFill="1" applyBorder="1" applyAlignment="1" applyProtection="1">
      <alignment horizontal="center"/>
      <protection locked="0"/>
    </xf>
    <xf numFmtId="0" fontId="152" fillId="0" borderId="112" xfId="48" applyFont="1" applyBorder="1" applyAlignment="1" applyProtection="1">
      <alignment horizontal="center"/>
      <protection locked="0"/>
    </xf>
    <xf numFmtId="0" fontId="152" fillId="0" borderId="101" xfId="48" applyFont="1" applyBorder="1" applyAlignment="1" applyProtection="1">
      <alignment horizontal="center"/>
      <protection locked="0"/>
    </xf>
    <xf numFmtId="0" fontId="152" fillId="0" borderId="110" xfId="48" applyFont="1" applyBorder="1" applyAlignment="1" applyProtection="1">
      <alignment horizontal="center"/>
      <protection locked="0"/>
    </xf>
    <xf numFmtId="0" fontId="9" fillId="0" borderId="14" xfId="48" applyFont="1" applyBorder="1" applyAlignment="1" applyProtection="1">
      <alignment horizontal="center"/>
      <protection locked="0"/>
    </xf>
    <xf numFmtId="0" fontId="9" fillId="0" borderId="0" xfId="48" applyFont="1" applyAlignment="1" applyProtection="1">
      <alignment horizontal="center"/>
      <protection locked="0"/>
    </xf>
    <xf numFmtId="0" fontId="9" fillId="0" borderId="15" xfId="48" applyFont="1" applyBorder="1" applyAlignment="1" applyProtection="1">
      <alignment horizontal="center"/>
      <protection locked="0"/>
    </xf>
    <xf numFmtId="38" fontId="7" fillId="0" borderId="44" xfId="48" applyNumberFormat="1" applyFont="1" applyBorder="1" applyAlignment="1">
      <alignment horizontal="center" vertical="center"/>
    </xf>
    <xf numFmtId="38" fontId="7" fillId="0" borderId="311" xfId="48" applyNumberFormat="1" applyFont="1" applyBorder="1" applyAlignment="1">
      <alignment horizontal="center" vertical="center" wrapText="1"/>
    </xf>
    <xf numFmtId="38" fontId="7" fillId="0" borderId="280" xfId="48" applyNumberFormat="1" applyFont="1" applyBorder="1" applyAlignment="1">
      <alignment horizontal="center" vertical="center" wrapText="1"/>
    </xf>
    <xf numFmtId="38" fontId="7" fillId="0" borderId="312" xfId="48" applyNumberFormat="1" applyFont="1" applyBorder="1" applyAlignment="1">
      <alignment horizontal="center" vertical="center" wrapText="1"/>
    </xf>
    <xf numFmtId="0" fontId="7" fillId="0" borderId="28" xfId="48" applyFont="1" applyBorder="1" applyAlignment="1">
      <alignment horizontal="center"/>
    </xf>
    <xf numFmtId="0" fontId="7" fillId="0" borderId="29" xfId="48" applyFont="1" applyBorder="1" applyAlignment="1">
      <alignment horizontal="center"/>
    </xf>
    <xf numFmtId="0" fontId="7" fillId="0" borderId="28" xfId="0" applyFont="1" applyBorder="1" applyAlignment="1">
      <alignment horizontal="center"/>
    </xf>
    <xf numFmtId="0" fontId="7" fillId="0" borderId="29" xfId="0" applyFont="1" applyBorder="1" applyAlignment="1">
      <alignment horizontal="center"/>
    </xf>
    <xf numFmtId="0" fontId="33" fillId="0" borderId="38" xfId="0" applyFont="1" applyBorder="1" applyAlignment="1">
      <alignment horizontal="center"/>
    </xf>
    <xf numFmtId="0" fontId="33" fillId="0" borderId="39" xfId="0" applyFont="1" applyBorder="1" applyAlignment="1">
      <alignment horizontal="center"/>
    </xf>
    <xf numFmtId="0" fontId="33" fillId="0" borderId="40" xfId="0" applyFont="1" applyBorder="1" applyAlignment="1">
      <alignment horizontal="center"/>
    </xf>
    <xf numFmtId="38" fontId="7" fillId="0" borderId="64" xfId="48" applyNumberFormat="1" applyFont="1" applyBorder="1" applyAlignment="1">
      <alignment horizontal="center" vertical="center" wrapText="1"/>
    </xf>
    <xf numFmtId="38" fontId="7" fillId="0" borderId="76" xfId="48" applyNumberFormat="1" applyFont="1" applyBorder="1" applyAlignment="1">
      <alignment horizontal="center" vertical="center" wrapText="1"/>
    </xf>
    <xf numFmtId="0" fontId="7" fillId="0" borderId="80" xfId="48" applyFont="1" applyBorder="1" applyAlignment="1">
      <alignment horizontal="center" vertical="center"/>
    </xf>
    <xf numFmtId="0" fontId="7" fillId="0" borderId="81" xfId="48" applyFont="1" applyBorder="1" applyAlignment="1">
      <alignment horizontal="center" vertical="center"/>
    </xf>
    <xf numFmtId="0" fontId="7" fillId="0" borderId="75" xfId="48" applyFont="1" applyBorder="1" applyAlignment="1">
      <alignment horizontal="center" vertical="center"/>
    </xf>
    <xf numFmtId="0" fontId="59" fillId="0" borderId="81" xfId="48" applyFont="1" applyBorder="1" applyAlignment="1">
      <alignment horizontal="center"/>
    </xf>
    <xf numFmtId="0" fontId="59" fillId="0" borderId="41" xfId="48" applyFont="1" applyBorder="1" applyAlignment="1">
      <alignment horizontal="center"/>
    </xf>
    <xf numFmtId="0" fontId="59" fillId="0" borderId="42" xfId="48" applyFont="1" applyBorder="1" applyAlignment="1">
      <alignment horizontal="center"/>
    </xf>
    <xf numFmtId="0" fontId="7" fillId="27" borderId="211" xfId="48" applyFont="1" applyFill="1" applyBorder="1" applyAlignment="1">
      <alignment horizontal="center"/>
    </xf>
    <xf numFmtId="0" fontId="7" fillId="27" borderId="212" xfId="48" applyFont="1" applyFill="1" applyBorder="1" applyAlignment="1">
      <alignment horizontal="center"/>
    </xf>
    <xf numFmtId="0" fontId="7" fillId="27" borderId="214" xfId="48" applyFont="1" applyFill="1" applyBorder="1" applyAlignment="1">
      <alignment horizontal="center"/>
    </xf>
    <xf numFmtId="0" fontId="7" fillId="27" borderId="114" xfId="48" applyFont="1" applyFill="1" applyBorder="1" applyAlignment="1">
      <alignment horizontal="center"/>
    </xf>
    <xf numFmtId="14" fontId="7" fillId="27" borderId="216" xfId="48" applyNumberFormat="1" applyFont="1" applyFill="1" applyBorder="1" applyAlignment="1">
      <alignment horizontal="center"/>
    </xf>
    <xf numFmtId="14" fontId="7" fillId="27" borderId="217" xfId="48" applyNumberFormat="1" applyFont="1" applyFill="1" applyBorder="1" applyAlignment="1">
      <alignment horizontal="center"/>
    </xf>
    <xf numFmtId="0" fontId="7" fillId="27" borderId="217" xfId="48" applyFont="1" applyFill="1" applyBorder="1" applyAlignment="1">
      <alignment horizontal="center"/>
    </xf>
    <xf numFmtId="0" fontId="7" fillId="27" borderId="218" xfId="48" applyFont="1" applyFill="1" applyBorder="1" applyAlignment="1">
      <alignment horizontal="center"/>
    </xf>
    <xf numFmtId="0" fontId="7" fillId="27" borderId="213" xfId="48" applyFont="1" applyFill="1" applyBorder="1" applyAlignment="1">
      <alignment horizontal="center"/>
    </xf>
    <xf numFmtId="0" fontId="7" fillId="27" borderId="215" xfId="48" applyFont="1" applyFill="1" applyBorder="1" applyAlignment="1">
      <alignment horizontal="center"/>
    </xf>
    <xf numFmtId="0" fontId="9" fillId="0" borderId="28" xfId="48" applyFont="1" applyBorder="1" applyAlignment="1">
      <alignment horizontal="center"/>
    </xf>
    <xf numFmtId="0" fontId="9" fillId="0" borderId="0" xfId="48" applyFont="1" applyAlignment="1">
      <alignment horizontal="center"/>
    </xf>
    <xf numFmtId="0" fontId="9" fillId="0" borderId="29" xfId="48" applyFont="1" applyBorder="1" applyAlignment="1">
      <alignment horizontal="center"/>
    </xf>
    <xf numFmtId="0" fontId="32" fillId="0" borderId="28" xfId="0" applyFont="1" applyBorder="1" applyAlignment="1">
      <alignment horizontal="left" wrapText="1"/>
    </xf>
    <xf numFmtId="0" fontId="32" fillId="0" borderId="0" xfId="0" applyFont="1" applyAlignment="1">
      <alignment horizontal="left" wrapText="1"/>
    </xf>
    <xf numFmtId="0" fontId="7" fillId="0" borderId="48" xfId="48" applyFont="1" applyBorder="1" applyAlignment="1">
      <alignment horizontal="center"/>
    </xf>
    <xf numFmtId="0" fontId="7" fillId="0" borderId="99" xfId="48" applyFont="1" applyBorder="1" applyAlignment="1">
      <alignment horizontal="center"/>
    </xf>
    <xf numFmtId="0" fontId="7" fillId="0" borderId="48" xfId="0" applyFont="1" applyBorder="1" applyAlignment="1">
      <alignment horizontal="center"/>
    </xf>
    <xf numFmtId="38" fontId="7" fillId="0" borderId="43" xfId="48" applyNumberFormat="1" applyFont="1" applyBorder="1" applyAlignment="1" applyProtection="1">
      <alignment horizontal="center" vertical="center"/>
      <protection locked="0"/>
    </xf>
    <xf numFmtId="38" fontId="7" fillId="0" borderId="34" xfId="48" applyNumberFormat="1" applyFont="1" applyBorder="1" applyAlignment="1" applyProtection="1">
      <alignment horizontal="center" vertical="center"/>
      <protection locked="0"/>
    </xf>
    <xf numFmtId="38" fontId="7" fillId="0" borderId="44" xfId="48" applyNumberFormat="1" applyFont="1" applyBorder="1" applyAlignment="1" applyProtection="1">
      <alignment horizontal="center" vertical="center"/>
      <protection locked="0"/>
    </xf>
    <xf numFmtId="38" fontId="7" fillId="0" borderId="64" xfId="48" applyNumberFormat="1" applyFont="1" applyBorder="1" applyAlignment="1" applyProtection="1">
      <alignment horizontal="center" vertical="center" wrapText="1"/>
      <protection locked="0"/>
    </xf>
    <xf numFmtId="38" fontId="7" fillId="0" borderId="66" xfId="48" applyNumberFormat="1" applyFont="1" applyBorder="1" applyAlignment="1" applyProtection="1">
      <alignment horizontal="center" vertical="center" wrapText="1"/>
      <protection locked="0"/>
    </xf>
    <xf numFmtId="38" fontId="7" fillId="0" borderId="76" xfId="48" applyNumberFormat="1" applyFont="1" applyBorder="1" applyAlignment="1" applyProtection="1">
      <alignment horizontal="center" vertical="center" wrapText="1"/>
      <protection locked="0"/>
    </xf>
    <xf numFmtId="38" fontId="7" fillId="0" borderId="313" xfId="48" applyNumberFormat="1" applyFont="1" applyBorder="1" applyAlignment="1">
      <alignment horizontal="center" vertical="center"/>
    </xf>
    <xf numFmtId="38" fontId="7" fillId="0" borderId="67" xfId="48" applyNumberFormat="1" applyFont="1" applyBorder="1" applyAlignment="1">
      <alignment horizontal="center" vertical="center"/>
    </xf>
    <xf numFmtId="0" fontId="7" fillId="0" borderId="38" xfId="48" applyFont="1" applyBorder="1" applyAlignment="1">
      <alignment horizontal="center" vertical="center"/>
    </xf>
    <xf numFmtId="0" fontId="7" fillId="0" borderId="85" xfId="48" applyFont="1" applyBorder="1" applyAlignment="1">
      <alignment horizontal="center" vertical="center"/>
    </xf>
    <xf numFmtId="0" fontId="7" fillId="0" borderId="28" xfId="48" applyFont="1" applyBorder="1" applyAlignment="1">
      <alignment horizontal="center" vertical="center"/>
    </xf>
    <xf numFmtId="0" fontId="7" fillId="0" borderId="30" xfId="48" applyFont="1" applyBorder="1" applyAlignment="1">
      <alignment horizontal="center" vertical="center"/>
    </xf>
    <xf numFmtId="0" fontId="7" fillId="0" borderId="68" xfId="48" applyFont="1" applyBorder="1" applyAlignment="1">
      <alignment horizontal="center" vertical="center"/>
    </xf>
    <xf numFmtId="38" fontId="21" fillId="0" borderId="313" xfId="48" applyNumberFormat="1" applyFont="1" applyBorder="1" applyAlignment="1">
      <alignment horizontal="center" vertical="center"/>
    </xf>
    <xf numFmtId="38" fontId="21" fillId="0" borderId="34" xfId="48" applyNumberFormat="1" applyFont="1" applyBorder="1" applyAlignment="1">
      <alignment horizontal="center" vertical="center"/>
    </xf>
    <xf numFmtId="38" fontId="21" fillId="0" borderId="67" xfId="48" applyNumberFormat="1" applyFont="1" applyBorder="1" applyAlignment="1">
      <alignment horizontal="center" vertical="center"/>
    </xf>
    <xf numFmtId="38" fontId="7" fillId="0" borderId="78" xfId="48" applyNumberFormat="1" applyFont="1" applyBorder="1" applyAlignment="1">
      <alignment horizontal="center" vertical="center" wrapText="1"/>
    </xf>
    <xf numFmtId="38" fontId="7" fillId="0" borderId="66" xfId="48" applyNumberFormat="1" applyFont="1" applyBorder="1" applyAlignment="1">
      <alignment horizontal="center" vertical="center" wrapText="1"/>
    </xf>
    <xf numFmtId="38" fontId="7" fillId="0" borderId="70" xfId="48" applyNumberFormat="1" applyFont="1" applyBorder="1" applyAlignment="1">
      <alignment horizontal="center" vertical="center" wrapText="1"/>
    </xf>
    <xf numFmtId="0" fontId="7" fillId="0" borderId="43" xfId="48" applyFont="1" applyBorder="1" applyAlignment="1">
      <alignment horizontal="center" vertical="center" wrapText="1"/>
    </xf>
    <xf numFmtId="0" fontId="7" fillId="0" borderId="34" xfId="48" applyFont="1" applyBorder="1" applyAlignment="1">
      <alignment horizontal="center" vertical="center" wrapText="1"/>
    </xf>
    <xf numFmtId="0" fontId="7" fillId="0" borderId="44" xfId="48" applyFont="1" applyBorder="1" applyAlignment="1">
      <alignment horizontal="center" vertical="center" wrapText="1"/>
    </xf>
    <xf numFmtId="0" fontId="11" fillId="0" borderId="64" xfId="48" applyFont="1" applyBorder="1" applyAlignment="1">
      <alignment horizontal="center" vertical="center" wrapText="1"/>
    </xf>
    <xf numFmtId="0" fontId="11" fillId="0" borderId="76" xfId="48" applyFont="1" applyBorder="1" applyAlignment="1">
      <alignment horizontal="center" vertical="center" wrapText="1"/>
    </xf>
    <xf numFmtId="0" fontId="9" fillId="0" borderId="28" xfId="0" applyFont="1" applyBorder="1" applyAlignment="1">
      <alignment horizontal="center"/>
    </xf>
    <xf numFmtId="0" fontId="9" fillId="0" borderId="0" xfId="0" applyFont="1" applyAlignment="1">
      <alignment horizontal="center"/>
    </xf>
    <xf numFmtId="0" fontId="9" fillId="0" borderId="29" xfId="0" applyFont="1" applyBorder="1" applyAlignment="1">
      <alignment horizontal="center"/>
    </xf>
    <xf numFmtId="0" fontId="21" fillId="0" borderId="317" xfId="51" applyFont="1" applyBorder="1" applyAlignment="1">
      <alignment horizontal="center"/>
    </xf>
    <xf numFmtId="0" fontId="21" fillId="0" borderId="132" xfId="51" applyFont="1" applyBorder="1" applyAlignment="1">
      <alignment horizontal="center"/>
    </xf>
    <xf numFmtId="0" fontId="11" fillId="0" borderId="317" xfId="51" applyFont="1" applyBorder="1" applyAlignment="1">
      <alignment horizontal="center"/>
    </xf>
    <xf numFmtId="0" fontId="11" fillId="0" borderId="131" xfId="51" applyFont="1" applyBorder="1" applyAlignment="1">
      <alignment horizontal="center"/>
    </xf>
    <xf numFmtId="0" fontId="7" fillId="31" borderId="318" xfId="0" applyFont="1" applyFill="1" applyBorder="1" applyAlignment="1">
      <alignment horizontal="center" vertical="center"/>
    </xf>
    <xf numFmtId="0" fontId="7" fillId="31" borderId="73" xfId="0" applyFont="1" applyFill="1" applyBorder="1" applyAlignment="1">
      <alignment horizontal="center" vertical="center"/>
    </xf>
    <xf numFmtId="0" fontId="7" fillId="31" borderId="319" xfId="0" applyFont="1" applyFill="1" applyBorder="1" applyAlignment="1">
      <alignment horizontal="center" vertical="center"/>
    </xf>
    <xf numFmtId="0" fontId="7" fillId="31" borderId="75" xfId="0" applyFont="1" applyFill="1" applyBorder="1" applyAlignment="1">
      <alignment horizontal="center" vertical="center"/>
    </xf>
    <xf numFmtId="0" fontId="7" fillId="31" borderId="320" xfId="0" applyFont="1" applyFill="1" applyBorder="1" applyAlignment="1">
      <alignment horizontal="center" vertical="center"/>
    </xf>
    <xf numFmtId="0" fontId="7" fillId="31" borderId="314" xfId="0" applyFont="1" applyFill="1" applyBorder="1" applyAlignment="1">
      <alignment horizontal="center" vertical="center"/>
    </xf>
    <xf numFmtId="0" fontId="11" fillId="0" borderId="112" xfId="51" applyFont="1" applyBorder="1" applyAlignment="1">
      <alignment horizontal="center"/>
    </xf>
    <xf numFmtId="0" fontId="11" fillId="0" borderId="101" xfId="51" applyFont="1" applyBorder="1" applyAlignment="1">
      <alignment horizontal="center"/>
    </xf>
    <xf numFmtId="0" fontId="0" fillId="0" borderId="38" xfId="0" applyBorder="1" applyAlignment="1">
      <alignment horizontal="center"/>
    </xf>
    <xf numFmtId="0" fontId="0" fillId="0" borderId="39" xfId="0" applyBorder="1" applyAlignment="1">
      <alignment horizontal="center"/>
    </xf>
    <xf numFmtId="0" fontId="0" fillId="0" borderId="85" xfId="0" applyBorder="1" applyAlignment="1">
      <alignment horizontal="center"/>
    </xf>
    <xf numFmtId="0" fontId="0" fillId="0" borderId="28" xfId="0" applyBorder="1" applyAlignment="1">
      <alignment horizontal="center"/>
    </xf>
    <xf numFmtId="0" fontId="0" fillId="0" borderId="65" xfId="0" applyBorder="1" applyAlignment="1">
      <alignment horizontal="center"/>
    </xf>
    <xf numFmtId="0" fontId="0" fillId="0" borderId="81" xfId="0" applyBorder="1" applyAlignment="1">
      <alignment horizontal="center"/>
    </xf>
    <xf numFmtId="0" fontId="0" fillId="0" borderId="41" xfId="0" applyBorder="1" applyAlignment="1">
      <alignment horizontal="center"/>
    </xf>
    <xf numFmtId="0" fontId="0" fillId="0" borderId="75" xfId="0" applyBorder="1" applyAlignment="1">
      <alignment horizontal="center"/>
    </xf>
    <xf numFmtId="0" fontId="7" fillId="31" borderId="84" xfId="0" applyFont="1" applyFill="1" applyBorder="1" applyAlignment="1">
      <alignment horizontal="center" vertical="center" wrapText="1"/>
    </xf>
    <xf numFmtId="0" fontId="7" fillId="31" borderId="40" xfId="0" applyFont="1" applyFill="1" applyBorder="1" applyAlignment="1">
      <alignment horizontal="center" vertical="center" wrapText="1"/>
    </xf>
    <xf numFmtId="0" fontId="7" fillId="31" borderId="74" xfId="0" applyFont="1" applyFill="1" applyBorder="1" applyAlignment="1">
      <alignment horizontal="center" vertical="center" wrapText="1"/>
    </xf>
    <xf numFmtId="0" fontId="7" fillId="31" borderId="42" xfId="0" applyFont="1" applyFill="1" applyBorder="1" applyAlignment="1">
      <alignment horizontal="center" vertical="center" wrapText="1"/>
    </xf>
    <xf numFmtId="0" fontId="0" fillId="0" borderId="65" xfId="0" applyBorder="1" applyAlignment="1">
      <alignment horizontal="center" vertical="center" wrapText="1"/>
    </xf>
    <xf numFmtId="0" fontId="7" fillId="31" borderId="72" xfId="0" applyFont="1" applyFill="1" applyBorder="1" applyAlignment="1">
      <alignment horizontal="center" vertical="center" wrapText="1"/>
    </xf>
    <xf numFmtId="0" fontId="7" fillId="31" borderId="73" xfId="0" applyFont="1" applyFill="1" applyBorder="1" applyAlignment="1">
      <alignment horizontal="center" vertical="center" wrapText="1"/>
    </xf>
    <xf numFmtId="0" fontId="7" fillId="31" borderId="75" xfId="0" applyFont="1" applyFill="1" applyBorder="1" applyAlignment="1">
      <alignment horizontal="center" vertical="center" wrapText="1"/>
    </xf>
    <xf numFmtId="0" fontId="0" fillId="0" borderId="314" xfId="0" applyBorder="1" applyAlignment="1">
      <alignment horizontal="center" vertical="center" wrapText="1"/>
    </xf>
    <xf numFmtId="0" fontId="7" fillId="31" borderId="315" xfId="0" applyFont="1" applyFill="1" applyBorder="1" applyAlignment="1">
      <alignment horizontal="center" vertical="center" wrapText="1"/>
    </xf>
    <xf numFmtId="0" fontId="7" fillId="31" borderId="314" xfId="0" applyFont="1" applyFill="1" applyBorder="1" applyAlignment="1">
      <alignment horizontal="center" vertical="center" wrapText="1"/>
    </xf>
    <xf numFmtId="0" fontId="7" fillId="31" borderId="83" xfId="0" applyFont="1" applyFill="1" applyBorder="1" applyAlignment="1">
      <alignment horizontal="center" vertical="center" wrapText="1"/>
    </xf>
    <xf numFmtId="0" fontId="7" fillId="31" borderId="315" xfId="0" applyFont="1" applyFill="1" applyBorder="1" applyAlignment="1">
      <alignment horizontal="center" vertical="center"/>
    </xf>
    <xf numFmtId="0" fontId="7" fillId="31" borderId="316" xfId="0" applyFont="1" applyFill="1" applyBorder="1" applyAlignment="1">
      <alignment horizontal="center" vertical="center"/>
    </xf>
    <xf numFmtId="0" fontId="7" fillId="31" borderId="74" xfId="0" applyFont="1" applyFill="1" applyBorder="1" applyAlignment="1">
      <alignment horizontal="center" vertical="center"/>
    </xf>
    <xf numFmtId="0" fontId="7" fillId="31" borderId="42" xfId="0" applyFont="1" applyFill="1" applyBorder="1" applyAlignment="1">
      <alignment horizontal="center" vertical="center"/>
    </xf>
    <xf numFmtId="0" fontId="109" fillId="0" borderId="38" xfId="0" applyFont="1" applyBorder="1" applyAlignment="1">
      <alignment horizontal="center"/>
    </xf>
    <xf numFmtId="0" fontId="109" fillId="0" borderId="39" xfId="0" applyFont="1" applyBorder="1" applyAlignment="1">
      <alignment horizontal="center"/>
    </xf>
    <xf numFmtId="0" fontId="109" fillId="0" borderId="40" xfId="0" applyFont="1" applyBorder="1" applyAlignment="1">
      <alignment horizontal="center"/>
    </xf>
    <xf numFmtId="0" fontId="33" fillId="0" borderId="0" xfId="0" applyFont="1" applyAlignment="1">
      <alignment horizontal="center"/>
    </xf>
    <xf numFmtId="14" fontId="7" fillId="27" borderId="218" xfId="48" applyNumberFormat="1" applyFont="1" applyFill="1" applyBorder="1" applyAlignment="1">
      <alignment horizontal="center"/>
    </xf>
    <xf numFmtId="0" fontId="33" fillId="0" borderId="72" xfId="0" applyFont="1" applyBorder="1" applyAlignment="1">
      <alignment horizontal="center"/>
    </xf>
    <xf numFmtId="0" fontId="33" fillId="0" borderId="82" xfId="0" applyFont="1" applyBorder="1" applyAlignment="1">
      <alignment horizontal="center"/>
    </xf>
    <xf numFmtId="0" fontId="33" fillId="0" borderId="83" xfId="0" applyFont="1" applyBorder="1" applyAlignment="1">
      <alignment horizontal="center"/>
    </xf>
    <xf numFmtId="0" fontId="283" fillId="0" borderId="0" xfId="0" applyFont="1" applyAlignment="1">
      <alignment horizontal="center"/>
    </xf>
    <xf numFmtId="10" fontId="0" fillId="0" borderId="0" xfId="0" applyNumberFormat="1" applyAlignment="1">
      <alignment horizontal="right"/>
    </xf>
    <xf numFmtId="0" fontId="7" fillId="0" borderId="64" xfId="48" applyFont="1" applyBorder="1" applyAlignment="1">
      <alignment horizontal="center" vertical="center"/>
    </xf>
    <xf numFmtId="0" fontId="7" fillId="0" borderId="66" xfId="48" applyFont="1" applyBorder="1" applyAlignment="1">
      <alignment horizontal="center" vertical="center"/>
    </xf>
    <xf numFmtId="0" fontId="7" fillId="0" borderId="76" xfId="48" applyFont="1" applyBorder="1" applyAlignment="1">
      <alignment horizontal="center" vertical="center"/>
    </xf>
    <xf numFmtId="0" fontId="7" fillId="0" borderId="80" xfId="0" applyFont="1" applyBorder="1" applyAlignment="1">
      <alignment horizontal="center" vertical="center"/>
    </xf>
    <xf numFmtId="0" fontId="7" fillId="0" borderId="73" xfId="0" applyFont="1" applyBorder="1" applyAlignment="1">
      <alignment horizontal="center" vertical="center"/>
    </xf>
    <xf numFmtId="0" fontId="7" fillId="0" borderId="28" xfId="0" applyFont="1" applyBorder="1" applyAlignment="1">
      <alignment horizontal="center" vertical="center"/>
    </xf>
    <xf numFmtId="0" fontId="7" fillId="0" borderId="65" xfId="0" applyFont="1" applyBorder="1" applyAlignment="1">
      <alignment horizontal="center" vertical="center"/>
    </xf>
    <xf numFmtId="0" fontId="7" fillId="0" borderId="81" xfId="0" applyFont="1" applyBorder="1" applyAlignment="1">
      <alignment horizontal="center" vertical="center"/>
    </xf>
    <xf numFmtId="0" fontId="7" fillId="0" borderId="75" xfId="0" applyFont="1" applyBorder="1" applyAlignment="1">
      <alignment horizontal="center" vertical="center"/>
    </xf>
    <xf numFmtId="10" fontId="7" fillId="27" borderId="134" xfId="55" applyNumberFormat="1" applyFont="1" applyFill="1" applyBorder="1" applyAlignment="1">
      <alignment horizontal="center"/>
    </xf>
    <xf numFmtId="10" fontId="7" fillId="27" borderId="207" xfId="55" applyNumberFormat="1" applyFont="1" applyFill="1" applyBorder="1" applyAlignment="1">
      <alignment horizontal="center"/>
    </xf>
    <xf numFmtId="10" fontId="7" fillId="27" borderId="322" xfId="55" applyNumberFormat="1" applyFont="1" applyFill="1" applyBorder="1" applyAlignment="1">
      <alignment horizontal="center"/>
    </xf>
    <xf numFmtId="10" fontId="7" fillId="27" borderId="206" xfId="55" applyNumberFormat="1" applyFont="1" applyFill="1" applyBorder="1" applyAlignment="1">
      <alignment horizontal="center"/>
    </xf>
    <xf numFmtId="165" fontId="7" fillId="0" borderId="321" xfId="28" applyNumberFormat="1" applyFont="1" applyFill="1" applyBorder="1" applyAlignment="1">
      <alignment horizontal="center"/>
    </xf>
    <xf numFmtId="38" fontId="7" fillId="0" borderId="323" xfId="48" applyNumberFormat="1" applyFont="1" applyBorder="1" applyAlignment="1">
      <alignment horizontal="center" vertical="center"/>
    </xf>
    <xf numFmtId="0" fontId="119" fillId="0" borderId="324" xfId="0" applyFont="1" applyBorder="1" applyAlignment="1">
      <alignment horizontal="center" vertical="center"/>
    </xf>
    <xf numFmtId="0" fontId="119" fillId="0" borderId="331" xfId="0" applyFont="1" applyBorder="1" applyAlignment="1">
      <alignment horizontal="center" vertical="center"/>
    </xf>
    <xf numFmtId="0" fontId="119" fillId="0" borderId="65" xfId="0" applyFont="1" applyBorder="1" applyAlignment="1">
      <alignment horizontal="center" vertical="center"/>
    </xf>
    <xf numFmtId="0" fontId="119" fillId="0" borderId="68" xfId="0" applyFont="1" applyBorder="1" applyAlignment="1">
      <alignment horizontal="center" vertical="center"/>
    </xf>
    <xf numFmtId="0" fontId="7" fillId="0" borderId="72" xfId="48" applyFont="1" applyBorder="1" applyAlignment="1">
      <alignment horizontal="center" vertical="center"/>
    </xf>
    <xf numFmtId="0" fontId="119" fillId="0" borderId="73" xfId="0" applyFont="1" applyBorder="1" applyAlignment="1">
      <alignment horizontal="center" vertical="center"/>
    </xf>
    <xf numFmtId="0" fontId="119" fillId="0" borderId="74" xfId="0" applyFont="1" applyBorder="1" applyAlignment="1">
      <alignment horizontal="center" vertical="center"/>
    </xf>
    <xf numFmtId="0" fontId="119" fillId="0" borderId="75" xfId="0" applyFont="1" applyBorder="1" applyAlignment="1">
      <alignment horizontal="center" vertical="center"/>
    </xf>
    <xf numFmtId="38" fontId="7" fillId="0" borderId="332" xfId="48" applyNumberFormat="1" applyFont="1" applyBorder="1" applyAlignment="1">
      <alignment horizontal="center" vertical="center"/>
    </xf>
    <xf numFmtId="0" fontId="119" fillId="0" borderId="327" xfId="0" applyFont="1" applyBorder="1" applyAlignment="1">
      <alignment horizontal="center" vertical="center"/>
    </xf>
    <xf numFmtId="0" fontId="119" fillId="0" borderId="328" xfId="0" applyFont="1" applyBorder="1" applyAlignment="1">
      <alignment horizontal="center" vertical="center"/>
    </xf>
    <xf numFmtId="38" fontId="7" fillId="0" borderId="275" xfId="48" applyNumberFormat="1" applyFont="1" applyBorder="1" applyAlignment="1">
      <alignment horizontal="center" vertical="center"/>
    </xf>
    <xf numFmtId="0" fontId="119" fillId="0" borderId="136" xfId="0" applyFont="1" applyBorder="1" applyAlignment="1">
      <alignment horizontal="center" vertical="center"/>
    </xf>
    <xf numFmtId="0" fontId="119" fillId="0" borderId="181" xfId="0" applyFont="1" applyBorder="1" applyAlignment="1">
      <alignment horizontal="center" vertical="center"/>
    </xf>
    <xf numFmtId="38" fontId="7" fillId="0" borderId="333" xfId="48" applyNumberFormat="1" applyFont="1" applyBorder="1" applyAlignment="1">
      <alignment horizontal="center" vertical="center"/>
    </xf>
    <xf numFmtId="0" fontId="119" fillId="0" borderId="325" xfId="0" applyFont="1" applyBorder="1" applyAlignment="1">
      <alignment horizontal="center" vertical="center"/>
    </xf>
    <xf numFmtId="0" fontId="7" fillId="0" borderId="85" xfId="48" quotePrefix="1" applyFont="1" applyBorder="1" applyAlignment="1">
      <alignment horizontal="center" vertical="center"/>
    </xf>
    <xf numFmtId="0" fontId="120" fillId="0" borderId="65" xfId="0" applyFont="1" applyBorder="1" applyAlignment="1">
      <alignment vertical="center"/>
    </xf>
    <xf numFmtId="0" fontId="120" fillId="0" borderId="75" xfId="0" applyFont="1" applyBorder="1" applyAlignment="1">
      <alignment vertical="center"/>
    </xf>
    <xf numFmtId="0" fontId="7" fillId="0" borderId="84" xfId="48" applyFont="1" applyBorder="1" applyAlignment="1">
      <alignment horizontal="center" vertical="center" wrapText="1"/>
    </xf>
    <xf numFmtId="0" fontId="119" fillId="0" borderId="85" xfId="0" applyFont="1" applyBorder="1" applyAlignment="1">
      <alignment horizontal="center" vertical="center"/>
    </xf>
    <xf numFmtId="38" fontId="7" fillId="0" borderId="326" xfId="48" applyNumberFormat="1" applyFont="1" applyBorder="1" applyAlignment="1">
      <alignment horizontal="center" vertical="center"/>
    </xf>
    <xf numFmtId="0" fontId="119" fillId="0" borderId="334" xfId="0" applyFont="1" applyBorder="1" applyAlignment="1">
      <alignment horizontal="center" vertical="center"/>
    </xf>
    <xf numFmtId="38" fontId="7" fillId="0" borderId="329" xfId="48" applyNumberFormat="1" applyFont="1" applyBorder="1" applyAlignment="1">
      <alignment horizontal="center" vertical="center"/>
    </xf>
    <xf numFmtId="0" fontId="119" fillId="0" borderId="335" xfId="0" applyFont="1" applyBorder="1" applyAlignment="1">
      <alignment horizontal="center" vertical="center"/>
    </xf>
    <xf numFmtId="0" fontId="77" fillId="0" borderId="330" xfId="43" applyFont="1" applyBorder="1" applyAlignment="1">
      <alignment horizontal="center"/>
    </xf>
    <xf numFmtId="0" fontId="77" fillId="0" borderId="0" xfId="43" applyFont="1" applyAlignment="1">
      <alignment horizontal="center"/>
    </xf>
    <xf numFmtId="0" fontId="77" fillId="0" borderId="330" xfId="48" applyFont="1" applyBorder="1" applyAlignment="1">
      <alignment horizontal="center"/>
    </xf>
    <xf numFmtId="0" fontId="77" fillId="0" borderId="0" xfId="48" applyFont="1" applyAlignment="1">
      <alignment horizontal="center"/>
    </xf>
    <xf numFmtId="0" fontId="7" fillId="0" borderId="84" xfId="48" applyFont="1" applyBorder="1" applyAlignment="1">
      <alignment horizontal="center" vertical="center"/>
    </xf>
    <xf numFmtId="0" fontId="7" fillId="0" borderId="73" xfId="48" quotePrefix="1" applyFont="1" applyBorder="1" applyAlignment="1">
      <alignment horizontal="center" vertical="center"/>
    </xf>
    <xf numFmtId="0" fontId="7" fillId="0" borderId="72" xfId="48" applyFont="1" applyBorder="1" applyAlignment="1">
      <alignment horizontal="center" vertical="center" wrapText="1"/>
    </xf>
    <xf numFmtId="38" fontId="7" fillId="0" borderId="336" xfId="48" applyNumberFormat="1" applyFont="1" applyBorder="1" applyAlignment="1">
      <alignment horizontal="center" vertical="center"/>
    </xf>
    <xf numFmtId="0" fontId="119" fillId="0" borderId="330" xfId="0" applyFont="1" applyBorder="1" applyAlignment="1">
      <alignment horizontal="center" vertical="center"/>
    </xf>
    <xf numFmtId="0" fontId="119" fillId="0" borderId="337" xfId="0" applyFont="1" applyBorder="1" applyAlignment="1">
      <alignment horizontal="center" vertical="center"/>
    </xf>
    <xf numFmtId="0" fontId="7" fillId="0" borderId="23" xfId="48" applyFont="1" applyBorder="1" applyAlignment="1">
      <alignment horizontal="center"/>
    </xf>
    <xf numFmtId="0" fontId="7" fillId="0" borderId="24" xfId="48" applyFont="1" applyBorder="1" applyAlignment="1">
      <alignment horizontal="center"/>
    </xf>
    <xf numFmtId="0" fontId="7" fillId="0" borderId="25" xfId="48" applyFont="1" applyBorder="1" applyAlignment="1">
      <alignment horizontal="center"/>
    </xf>
    <xf numFmtId="0" fontId="7" fillId="27" borderId="210" xfId="48" applyFont="1" applyFill="1" applyBorder="1" applyAlignment="1">
      <alignment horizontal="center"/>
    </xf>
    <xf numFmtId="0" fontId="7" fillId="27" borderId="209" xfId="48" applyFont="1" applyFill="1" applyBorder="1" applyAlignment="1">
      <alignment horizontal="center"/>
    </xf>
    <xf numFmtId="0" fontId="152" fillId="0" borderId="112" xfId="48" applyFont="1" applyBorder="1" applyAlignment="1">
      <alignment horizontal="center"/>
    </xf>
    <xf numFmtId="0" fontId="152" fillId="0" borderId="101" xfId="48" applyFont="1" applyBorder="1" applyAlignment="1">
      <alignment horizontal="center"/>
    </xf>
    <xf numFmtId="0" fontId="7" fillId="0" borderId="82" xfId="48" applyFont="1" applyBorder="1" applyAlignment="1">
      <alignment horizontal="center" vertical="center"/>
    </xf>
    <xf numFmtId="0" fontId="7" fillId="0" borderId="210" xfId="48" applyFont="1" applyBorder="1" applyAlignment="1">
      <alignment horizontal="center" vertical="center"/>
    </xf>
    <xf numFmtId="0" fontId="7" fillId="0" borderId="208" xfId="48" applyFont="1" applyBorder="1" applyAlignment="1">
      <alignment horizontal="center" vertical="center"/>
    </xf>
    <xf numFmtId="0" fontId="263" fillId="0" borderId="320" xfId="78" applyFont="1" applyBorder="1" applyAlignment="1">
      <alignment horizontal="center"/>
    </xf>
    <xf numFmtId="0" fontId="263" fillId="0" borderId="379" xfId="78" applyFont="1" applyBorder="1" applyAlignment="1">
      <alignment horizontal="center"/>
    </xf>
    <xf numFmtId="0" fontId="263" fillId="0" borderId="375" xfId="78" applyFont="1" applyBorder="1" applyAlignment="1">
      <alignment horizontal="center"/>
    </xf>
    <xf numFmtId="0" fontId="263" fillId="0" borderId="374" xfId="78" applyFont="1" applyBorder="1" applyAlignment="1">
      <alignment horizontal="center"/>
    </xf>
    <xf numFmtId="0" fontId="263" fillId="0" borderId="241" xfId="78" applyFont="1" applyBorder="1" applyAlignment="1">
      <alignment horizontal="center"/>
    </xf>
    <xf numFmtId="0" fontId="263" fillId="0" borderId="373" xfId="78" applyFont="1" applyBorder="1" applyAlignment="1">
      <alignment horizontal="center"/>
    </xf>
    <xf numFmtId="165" fontId="10" fillId="0" borderId="118" xfId="80" applyNumberFormat="1" applyFont="1" applyFill="1" applyBorder="1" applyAlignment="1">
      <alignment horizontal="center"/>
    </xf>
    <xf numFmtId="165" fontId="10" fillId="0" borderId="521" xfId="80" applyNumberFormat="1" applyFont="1" applyFill="1" applyBorder="1" applyAlignment="1">
      <alignment horizontal="center"/>
    </xf>
    <xf numFmtId="0" fontId="7" fillId="0" borderId="39" xfId="48" applyFont="1" applyBorder="1" applyAlignment="1">
      <alignment horizontal="center" vertical="center"/>
    </xf>
    <xf numFmtId="0" fontId="7" fillId="0" borderId="0" xfId="48" applyFont="1" applyAlignment="1">
      <alignment horizontal="center" vertical="center"/>
    </xf>
    <xf numFmtId="0" fontId="7" fillId="0" borderId="3" xfId="48" applyFont="1" applyBorder="1" applyAlignment="1">
      <alignment horizontal="center" vertical="center"/>
    </xf>
    <xf numFmtId="0" fontId="7" fillId="0" borderId="374" xfId="48" applyFont="1" applyBorder="1" applyAlignment="1">
      <alignment horizontal="center" vertical="center"/>
    </xf>
    <xf numFmtId="0" fontId="7" fillId="0" borderId="241" xfId="48" applyFont="1" applyBorder="1" applyAlignment="1">
      <alignment horizontal="center" vertical="center"/>
    </xf>
    <xf numFmtId="0" fontId="7" fillId="0" borderId="373" xfId="48" applyFont="1" applyBorder="1" applyAlignment="1">
      <alignment horizontal="center" vertical="center"/>
    </xf>
    <xf numFmtId="0" fontId="12" fillId="0" borderId="112" xfId="48" applyFont="1" applyBorder="1" applyAlignment="1">
      <alignment horizontal="left"/>
    </xf>
    <xf numFmtId="0" fontId="12" fillId="0" borderId="507" xfId="48" applyFont="1" applyBorder="1" applyAlignment="1">
      <alignment horizontal="left"/>
    </xf>
    <xf numFmtId="165" fontId="10" fillId="0" borderId="0" xfId="80" applyNumberFormat="1" applyFont="1" applyFill="1" applyBorder="1" applyAlignment="1">
      <alignment horizontal="center"/>
    </xf>
    <xf numFmtId="165" fontId="10" fillId="0" borderId="376" xfId="80" applyNumberFormat="1" applyFont="1" applyFill="1" applyBorder="1" applyAlignment="1">
      <alignment horizontal="center"/>
    </xf>
    <xf numFmtId="0" fontId="181" fillId="60" borderId="350" xfId="0" applyFont="1" applyFill="1" applyBorder="1" applyAlignment="1">
      <alignment horizontal="center"/>
    </xf>
    <xf numFmtId="0" fontId="181" fillId="60" borderId="372" xfId="0" applyFont="1" applyFill="1" applyBorder="1" applyAlignment="1">
      <alignment horizontal="center"/>
    </xf>
    <xf numFmtId="0" fontId="181" fillId="60" borderId="403" xfId="0" applyFont="1" applyFill="1" applyBorder="1" applyAlignment="1">
      <alignment horizontal="center"/>
    </xf>
    <xf numFmtId="0" fontId="181" fillId="60" borderId="320" xfId="0" applyFont="1" applyFill="1" applyBorder="1" applyAlignment="1">
      <alignment horizontal="center"/>
    </xf>
    <xf numFmtId="0" fontId="181" fillId="60" borderId="379" xfId="0" applyFont="1" applyFill="1" applyBorder="1" applyAlignment="1">
      <alignment horizontal="center"/>
    </xf>
    <xf numFmtId="0" fontId="181" fillId="60" borderId="414" xfId="0" applyFont="1" applyFill="1" applyBorder="1" applyAlignment="1">
      <alignment horizontal="center"/>
    </xf>
    <xf numFmtId="0" fontId="181" fillId="71" borderId="350" xfId="0" applyFont="1" applyFill="1" applyBorder="1" applyAlignment="1">
      <alignment horizontal="center"/>
    </xf>
    <xf numFmtId="0" fontId="181" fillId="71" borderId="372" xfId="0" applyFont="1" applyFill="1" applyBorder="1" applyAlignment="1">
      <alignment horizontal="center"/>
    </xf>
    <xf numFmtId="0" fontId="181" fillId="71" borderId="403" xfId="0" applyFont="1" applyFill="1" applyBorder="1" applyAlignment="1">
      <alignment horizontal="center"/>
    </xf>
    <xf numFmtId="0" fontId="184" fillId="59" borderId="0" xfId="0" applyFont="1" applyFill="1"/>
    <xf numFmtId="0" fontId="3" fillId="0" borderId="116" xfId="63" applyBorder="1" applyAlignment="1">
      <alignment wrapText="1"/>
    </xf>
    <xf numFmtId="0" fontId="6" fillId="59" borderId="0" xfId="0" applyFont="1" applyFill="1"/>
    <xf numFmtId="0" fontId="196" fillId="71" borderId="350" xfId="0" applyFont="1" applyFill="1" applyBorder="1" applyAlignment="1">
      <alignment horizontal="center"/>
    </xf>
    <xf numFmtId="0" fontId="196" fillId="71" borderId="372" xfId="0" applyFont="1" applyFill="1" applyBorder="1" applyAlignment="1">
      <alignment horizontal="center"/>
    </xf>
    <xf numFmtId="0" fontId="196" fillId="71" borderId="403" xfId="0" applyFont="1" applyFill="1" applyBorder="1" applyAlignment="1">
      <alignment horizontal="center"/>
    </xf>
    <xf numFmtId="0" fontId="0" fillId="0" borderId="0" xfId="0"/>
    <xf numFmtId="0" fontId="196" fillId="71" borderId="350" xfId="0" applyFont="1" applyFill="1" applyBorder="1" applyAlignment="1">
      <alignment horizontal="center" vertical="top"/>
    </xf>
    <xf numFmtId="0" fontId="196" fillId="71" borderId="372" xfId="0" applyFont="1" applyFill="1" applyBorder="1" applyAlignment="1">
      <alignment horizontal="center" vertical="top"/>
    </xf>
    <xf numFmtId="0" fontId="196" fillId="71" borderId="403" xfId="0" applyFont="1" applyFill="1" applyBorder="1" applyAlignment="1">
      <alignment horizontal="center" vertical="top"/>
    </xf>
    <xf numFmtId="0" fontId="213" fillId="0" borderId="350" xfId="0" applyFont="1" applyBorder="1" applyAlignment="1">
      <alignment wrapText="1"/>
    </xf>
    <xf numFmtId="0" fontId="213" fillId="0" borderId="372" xfId="0" applyFont="1" applyBorder="1" applyAlignment="1">
      <alignment wrapText="1"/>
    </xf>
    <xf numFmtId="0" fontId="213" fillId="0" borderId="403" xfId="0" applyFont="1" applyBorder="1" applyAlignment="1">
      <alignment wrapText="1"/>
    </xf>
    <xf numFmtId="0" fontId="213" fillId="0" borderId="438" xfId="0" applyFont="1" applyBorder="1" applyAlignment="1">
      <alignment wrapText="1"/>
    </xf>
    <xf numFmtId="0" fontId="213" fillId="0" borderId="439" xfId="0" applyFont="1" applyBorder="1" applyAlignment="1">
      <alignment wrapText="1"/>
    </xf>
    <xf numFmtId="0" fontId="213" fillId="0" borderId="440" xfId="0" applyFont="1" applyBorder="1" applyAlignment="1">
      <alignment wrapText="1"/>
    </xf>
    <xf numFmtId="0" fontId="196" fillId="60" borderId="350" xfId="0" applyFont="1" applyFill="1" applyBorder="1" applyAlignment="1">
      <alignment horizontal="center"/>
    </xf>
    <xf numFmtId="0" fontId="196" fillId="60" borderId="372" xfId="0" applyFont="1" applyFill="1" applyBorder="1" applyAlignment="1">
      <alignment horizontal="center"/>
    </xf>
    <xf numFmtId="0" fontId="196" fillId="60" borderId="403" xfId="0" applyFont="1" applyFill="1" applyBorder="1" applyAlignment="1">
      <alignment horizontal="center"/>
    </xf>
    <xf numFmtId="0" fontId="219" fillId="0" borderId="118" xfId="0" applyFont="1" applyBorder="1" applyAlignment="1">
      <alignment horizontal="center" wrapText="1"/>
    </xf>
    <xf numFmtId="0" fontId="196" fillId="60" borderId="350" xfId="0" applyFont="1" applyFill="1" applyBorder="1"/>
    <xf numFmtId="0" fontId="196" fillId="60" borderId="372" xfId="0" applyFont="1" applyFill="1" applyBorder="1"/>
    <xf numFmtId="0" fontId="196" fillId="60" borderId="403" xfId="0" applyFont="1" applyFill="1" applyBorder="1"/>
    <xf numFmtId="0" fontId="3" fillId="59" borderId="0" xfId="0" applyFont="1" applyFill="1"/>
    <xf numFmtId="0" fontId="75" fillId="0" borderId="372" xfId="74" applyFont="1" applyBorder="1" applyAlignment="1">
      <alignment horizontal="center" vertical="center" wrapText="1"/>
    </xf>
    <xf numFmtId="0" fontId="75" fillId="0" borderId="118" xfId="74" applyFont="1" applyBorder="1" applyAlignment="1">
      <alignment horizontal="center" vertical="center" wrapText="1"/>
    </xf>
    <xf numFmtId="0" fontId="233" fillId="89" borderId="465" xfId="63" applyFont="1" applyFill="1" applyBorder="1" applyAlignment="1">
      <alignment horizontal="center" wrapText="1"/>
    </xf>
    <xf numFmtId="0" fontId="233" fillId="89" borderId="0" xfId="63" applyFont="1" applyFill="1" applyAlignment="1">
      <alignment horizontal="center" wrapText="1"/>
    </xf>
    <xf numFmtId="0" fontId="234" fillId="90" borderId="433" xfId="63" applyFont="1" applyFill="1" applyBorder="1" applyAlignment="1">
      <alignment horizontal="center" vertical="center" wrapText="1"/>
    </xf>
    <xf numFmtId="0" fontId="231" fillId="0" borderId="433" xfId="63" applyFont="1" applyBorder="1" applyAlignment="1">
      <alignment horizontal="center" vertical="center" wrapText="1"/>
    </xf>
    <xf numFmtId="0" fontId="231" fillId="0" borderId="433" xfId="63" applyFont="1" applyBorder="1" applyAlignment="1">
      <alignment wrapText="1"/>
    </xf>
    <xf numFmtId="0" fontId="234" fillId="89" borderId="465" xfId="63" applyFont="1" applyFill="1" applyBorder="1" applyAlignment="1">
      <alignment horizontal="center" wrapText="1"/>
    </xf>
    <xf numFmtId="0" fontId="234" fillId="89" borderId="0" xfId="63" applyFont="1" applyFill="1" applyAlignment="1">
      <alignment horizontal="center" wrapText="1"/>
    </xf>
    <xf numFmtId="0" fontId="234" fillId="0" borderId="433" xfId="63" applyFont="1" applyBorder="1" applyAlignment="1">
      <alignment horizontal="center" wrapText="1"/>
    </xf>
    <xf numFmtId="0" fontId="231" fillId="0" borderId="433" xfId="63" applyFont="1" applyBorder="1" applyAlignment="1">
      <alignment horizontal="center" wrapText="1"/>
    </xf>
    <xf numFmtId="0" fontId="236" fillId="0" borderId="433" xfId="63" applyFont="1" applyBorder="1" applyAlignment="1">
      <alignment horizontal="left" vertical="center" wrapText="1"/>
    </xf>
    <xf numFmtId="0" fontId="236" fillId="0" borderId="433" xfId="63" applyFont="1" applyBorder="1" applyAlignment="1">
      <alignment vertical="center" wrapText="1"/>
    </xf>
    <xf numFmtId="0" fontId="236" fillId="93" borderId="433" xfId="63" applyFont="1" applyFill="1" applyBorder="1" applyAlignment="1">
      <alignment horizontal="left" vertical="center" wrapText="1"/>
    </xf>
    <xf numFmtId="0" fontId="236" fillId="93" borderId="433" xfId="63" applyFont="1" applyFill="1" applyBorder="1" applyAlignment="1">
      <alignment vertical="center" wrapText="1"/>
    </xf>
    <xf numFmtId="0" fontId="234" fillId="89" borderId="465" xfId="63" applyFont="1" applyFill="1" applyBorder="1" applyAlignment="1">
      <alignment horizontal="left" wrapText="1"/>
    </xf>
    <xf numFmtId="0" fontId="234" fillId="89" borderId="0" xfId="63" applyFont="1" applyFill="1" applyAlignment="1">
      <alignment horizontal="left" wrapText="1"/>
    </xf>
    <xf numFmtId="0" fontId="234" fillId="93" borderId="433" xfId="63" applyFont="1" applyFill="1" applyBorder="1" applyAlignment="1">
      <alignment horizontal="center" wrapText="1"/>
    </xf>
    <xf numFmtId="0" fontId="236" fillId="93" borderId="433" xfId="63" applyFont="1" applyFill="1" applyBorder="1" applyAlignment="1">
      <alignment horizontal="center" wrapText="1"/>
    </xf>
    <xf numFmtId="0" fontId="236" fillId="93" borderId="433" xfId="63" applyFont="1" applyFill="1" applyBorder="1" applyAlignment="1">
      <alignment wrapText="1"/>
    </xf>
    <xf numFmtId="0" fontId="231" fillId="93" borderId="433" xfId="63" applyFont="1" applyFill="1" applyBorder="1" applyAlignment="1">
      <alignment horizontal="center" wrapText="1"/>
    </xf>
    <xf numFmtId="0" fontId="231" fillId="93" borderId="433" xfId="63" applyFont="1" applyFill="1" applyBorder="1" applyAlignment="1">
      <alignment wrapText="1"/>
    </xf>
    <xf numFmtId="0" fontId="185" fillId="124" borderId="320" xfId="78" applyFont="1" applyFill="1" applyBorder="1"/>
    <xf numFmtId="0" fontId="185" fillId="124" borderId="379" xfId="78" applyFont="1" applyFill="1" applyBorder="1"/>
    <xf numFmtId="0" fontId="185" fillId="124" borderId="414" xfId="78" applyFont="1" applyFill="1" applyBorder="1"/>
    <xf numFmtId="0" fontId="231" fillId="0" borderId="467" xfId="63" applyFont="1" applyBorder="1" applyAlignment="1">
      <alignment horizontal="center" vertical="center" wrapText="1"/>
    </xf>
    <xf numFmtId="0" fontId="231" fillId="0" borderId="466" xfId="63" applyFont="1" applyBorder="1" applyAlignment="1">
      <alignment horizontal="center" vertical="center" wrapText="1"/>
    </xf>
    <xf numFmtId="0" fontId="231" fillId="0" borderId="475" xfId="63" applyFont="1" applyBorder="1" applyAlignment="1">
      <alignment horizontal="center" vertical="center" wrapText="1"/>
    </xf>
    <xf numFmtId="0" fontId="231" fillId="0" borderId="467" xfId="63" applyFont="1" applyBorder="1" applyAlignment="1">
      <alignment horizontal="left" vertical="top" wrapText="1"/>
    </xf>
    <xf numFmtId="0" fontId="231" fillId="0" borderId="466" xfId="63" applyFont="1" applyBorder="1" applyAlignment="1">
      <alignment horizontal="left" vertical="top" wrapText="1"/>
    </xf>
    <xf numFmtId="0" fontId="231" fillId="0" borderId="475" xfId="63" applyFont="1" applyBorder="1" applyAlignment="1">
      <alignment horizontal="left" vertical="top" wrapText="1"/>
    </xf>
    <xf numFmtId="0" fontId="231" fillId="89" borderId="0" xfId="63" applyFont="1" applyFill="1" applyAlignment="1">
      <alignment horizontal="center" wrapText="1"/>
    </xf>
    <xf numFmtId="0" fontId="231" fillId="0" borderId="467" xfId="63" applyFont="1" applyBorder="1" applyAlignment="1">
      <alignment horizontal="center" wrapText="1"/>
    </xf>
    <xf numFmtId="0" fontId="231" fillId="0" borderId="466" xfId="63" applyFont="1" applyBorder="1" applyAlignment="1">
      <alignment wrapText="1"/>
    </xf>
    <xf numFmtId="0" fontId="231" fillId="0" borderId="475" xfId="63" applyFont="1" applyBorder="1" applyAlignment="1">
      <alignment wrapText="1"/>
    </xf>
    <xf numFmtId="0" fontId="236" fillId="0" borderId="467" xfId="63" applyFont="1" applyBorder="1" applyAlignment="1">
      <alignment horizontal="left" vertical="center" wrapText="1"/>
    </xf>
    <xf numFmtId="0" fontId="236" fillId="0" borderId="466" xfId="63" applyFont="1" applyBorder="1" applyAlignment="1">
      <alignment vertical="center" wrapText="1"/>
    </xf>
    <xf numFmtId="0" fontId="236" fillId="0" borderId="475" xfId="63" applyFont="1" applyBorder="1" applyAlignment="1">
      <alignment vertical="center" wrapText="1"/>
    </xf>
    <xf numFmtId="0" fontId="231" fillId="89" borderId="0" xfId="63" applyFont="1" applyFill="1" applyAlignment="1">
      <alignment horizontal="left" vertical="center" wrapText="1"/>
    </xf>
    <xf numFmtId="0" fontId="231" fillId="93" borderId="0" xfId="63" applyFont="1" applyFill="1" applyAlignment="1">
      <alignment horizontal="center" vertical="center" wrapText="1"/>
    </xf>
    <xf numFmtId="0" fontId="234" fillId="89" borderId="433" xfId="63" applyFont="1" applyFill="1" applyBorder="1" applyAlignment="1">
      <alignment horizontal="center" wrapText="1"/>
    </xf>
    <xf numFmtId="0" fontId="231" fillId="0" borderId="466" xfId="63" applyFont="1" applyBorder="1" applyAlignment="1">
      <alignment horizontal="center" wrapText="1"/>
    </xf>
    <xf numFmtId="0" fontId="231" fillId="0" borderId="475" xfId="63" applyFont="1" applyBorder="1" applyAlignment="1">
      <alignment horizontal="center" wrapText="1"/>
    </xf>
    <xf numFmtId="0" fontId="231" fillId="89" borderId="433" xfId="63" applyFont="1" applyFill="1" applyBorder="1" applyAlignment="1">
      <alignment horizontal="center" wrapText="1"/>
    </xf>
    <xf numFmtId="0" fontId="231" fillId="0" borderId="467" xfId="63" applyFont="1" applyBorder="1" applyAlignment="1">
      <alignment horizontal="left" wrapText="1"/>
    </xf>
    <xf numFmtId="0" fontId="231" fillId="89" borderId="433" xfId="63" applyFont="1" applyFill="1" applyBorder="1" applyAlignment="1">
      <alignment wrapText="1"/>
    </xf>
    <xf numFmtId="0" fontId="231" fillId="96" borderId="467" xfId="63" applyFont="1" applyFill="1" applyBorder="1" applyAlignment="1">
      <alignment horizontal="left" wrapText="1"/>
    </xf>
    <xf numFmtId="0" fontId="231" fillId="96" borderId="475" xfId="63" applyFont="1" applyFill="1" applyBorder="1" applyAlignment="1">
      <alignment horizontal="left" wrapText="1"/>
    </xf>
    <xf numFmtId="0" fontId="231" fillId="0" borderId="477" xfId="63" applyFont="1" applyBorder="1" applyAlignment="1">
      <alignment horizontal="center" wrapText="1"/>
    </xf>
    <xf numFmtId="0" fontId="231" fillId="0" borderId="469" xfId="63" applyFont="1" applyBorder="1" applyAlignment="1">
      <alignment wrapText="1"/>
    </xf>
    <xf numFmtId="0" fontId="231" fillId="93" borderId="467" xfId="63" applyFont="1" applyFill="1" applyBorder="1" applyAlignment="1">
      <alignment horizontal="center" wrapText="1"/>
    </xf>
    <xf numFmtId="0" fontId="231" fillId="93" borderId="466" xfId="63" applyFont="1" applyFill="1" applyBorder="1" applyAlignment="1">
      <alignment horizontal="center" wrapText="1"/>
    </xf>
    <xf numFmtId="0" fontId="231" fillId="93" borderId="475" xfId="63" applyFont="1" applyFill="1" applyBorder="1" applyAlignment="1">
      <alignment horizontal="center" wrapText="1"/>
    </xf>
    <xf numFmtId="0" fontId="231" fillId="0" borderId="433" xfId="63" applyFont="1" applyBorder="1" applyAlignment="1">
      <alignment horizontal="left" vertical="center" wrapText="1"/>
    </xf>
    <xf numFmtId="0" fontId="231" fillId="91" borderId="467" xfId="63" applyFont="1" applyFill="1" applyBorder="1" applyAlignment="1">
      <alignment horizontal="right" wrapText="1"/>
    </xf>
    <xf numFmtId="0" fontId="231" fillId="91" borderId="475" xfId="63" applyFont="1" applyFill="1" applyBorder="1" applyAlignment="1">
      <alignment horizontal="right" wrapText="1"/>
    </xf>
    <xf numFmtId="0" fontId="231" fillId="91" borderId="466" xfId="63" applyFont="1" applyFill="1" applyBorder="1" applyAlignment="1">
      <alignment horizontal="right" wrapText="1"/>
    </xf>
    <xf numFmtId="0" fontId="231" fillId="94" borderId="467" xfId="63" applyFont="1" applyFill="1" applyBorder="1" applyAlignment="1">
      <alignment horizontal="right" wrapText="1"/>
    </xf>
    <xf numFmtId="0" fontId="231" fillId="94" borderId="466" xfId="63" applyFont="1" applyFill="1" applyBorder="1" applyAlignment="1">
      <alignment horizontal="right" wrapText="1"/>
    </xf>
    <xf numFmtId="0" fontId="231" fillId="94" borderId="475" xfId="63" applyFont="1" applyFill="1" applyBorder="1" applyAlignment="1">
      <alignment horizontal="right" wrapText="1"/>
    </xf>
    <xf numFmtId="0" fontId="231" fillId="89" borderId="0" xfId="63" applyFont="1" applyFill="1" applyAlignment="1">
      <alignment horizontal="left" wrapText="1"/>
    </xf>
    <xf numFmtId="0" fontId="3" fillId="0" borderId="0" xfId="63"/>
    <xf numFmtId="0" fontId="231" fillId="87" borderId="467" xfId="63" applyFont="1" applyFill="1" applyBorder="1" applyAlignment="1">
      <alignment wrapText="1"/>
    </xf>
    <xf numFmtId="0" fontId="231" fillId="87" borderId="475" xfId="63" applyFont="1" applyFill="1" applyBorder="1" applyAlignment="1">
      <alignment wrapText="1"/>
    </xf>
    <xf numFmtId="0" fontId="232" fillId="92" borderId="476" xfId="63" applyFont="1" applyFill="1" applyBorder="1" applyAlignment="1">
      <alignment horizontal="center" vertical="center" wrapText="1"/>
    </xf>
    <xf numFmtId="0" fontId="232" fillId="92" borderId="474" xfId="63" applyFont="1" applyFill="1" applyBorder="1" applyAlignment="1">
      <alignment horizontal="center" vertical="center" wrapText="1"/>
    </xf>
    <xf numFmtId="0" fontId="236" fillId="0" borderId="467" xfId="63" applyFont="1" applyBorder="1" applyAlignment="1">
      <alignment horizontal="left" vertical="top" wrapText="1"/>
    </xf>
    <xf numFmtId="0" fontId="236" fillId="0" borderId="466" xfId="63" applyFont="1" applyBorder="1" applyAlignment="1">
      <alignment wrapText="1"/>
    </xf>
    <xf numFmtId="0" fontId="236" fillId="0" borderId="475" xfId="63" applyFont="1" applyBorder="1" applyAlignment="1">
      <alignment wrapText="1"/>
    </xf>
    <xf numFmtId="0" fontId="236" fillId="93" borderId="467" xfId="63" applyFont="1" applyFill="1" applyBorder="1" applyAlignment="1">
      <alignment horizontal="left" wrapText="1"/>
    </xf>
    <xf numFmtId="0" fontId="236" fillId="93" borderId="466" xfId="63" applyFont="1" applyFill="1" applyBorder="1" applyAlignment="1">
      <alignment horizontal="left" wrapText="1"/>
    </xf>
    <xf numFmtId="0" fontId="236" fillId="93" borderId="475" xfId="63" applyFont="1" applyFill="1" applyBorder="1" applyAlignment="1">
      <alignment horizontal="left" wrapText="1"/>
    </xf>
    <xf numFmtId="0" fontId="231" fillId="0" borderId="477" xfId="63" applyFont="1" applyBorder="1" applyAlignment="1">
      <alignment horizontal="center" vertical="center" wrapText="1"/>
    </xf>
    <xf numFmtId="0" fontId="231" fillId="0" borderId="469" xfId="63" applyFont="1" applyBorder="1" applyAlignment="1">
      <alignment horizontal="center" wrapText="1"/>
    </xf>
    <xf numFmtId="0" fontId="234" fillId="97" borderId="467" xfId="63" applyFont="1" applyFill="1" applyBorder="1" applyAlignment="1">
      <alignment horizontal="left" wrapText="1"/>
    </xf>
    <xf numFmtId="0" fontId="234" fillId="97" borderId="475" xfId="63" applyFont="1" applyFill="1" applyBorder="1" applyAlignment="1">
      <alignment horizontal="left" wrapText="1"/>
    </xf>
    <xf numFmtId="0" fontId="234" fillId="0" borderId="433" xfId="63" applyFont="1" applyBorder="1" applyAlignment="1">
      <alignment horizontal="center" vertical="center" wrapText="1"/>
    </xf>
    <xf numFmtId="0" fontId="234" fillId="0" borderId="433" xfId="63" applyFont="1" applyBorder="1" applyAlignment="1">
      <alignment wrapText="1"/>
    </xf>
    <xf numFmtId="0" fontId="234" fillId="0" borderId="467" xfId="63" applyFont="1" applyBorder="1" applyAlignment="1">
      <alignment horizontal="center" vertical="center" wrapText="1"/>
    </xf>
    <xf numFmtId="0" fontId="231" fillId="76" borderId="0" xfId="63" applyFont="1" applyFill="1" applyAlignment="1">
      <alignment horizontal="left" vertical="center" wrapText="1"/>
    </xf>
    <xf numFmtId="0" fontId="231" fillId="76" borderId="471" xfId="63" applyFont="1" applyFill="1" applyBorder="1" applyAlignment="1">
      <alignment horizontal="left" vertical="center" wrapText="1"/>
    </xf>
    <xf numFmtId="0" fontId="231" fillId="76" borderId="467" xfId="63" applyFont="1" applyFill="1" applyBorder="1" applyAlignment="1">
      <alignment horizontal="left" vertical="center" wrapText="1"/>
    </xf>
    <xf numFmtId="0" fontId="234" fillId="0" borderId="467" xfId="63" applyFont="1" applyBorder="1" applyAlignment="1">
      <alignment horizontal="center" wrapText="1"/>
    </xf>
    <xf numFmtId="0" fontId="231" fillId="100" borderId="467" xfId="63" applyFont="1" applyFill="1" applyBorder="1" applyAlignment="1">
      <alignment horizontal="left" wrapText="1"/>
    </xf>
    <xf numFmtId="0" fontId="231" fillId="100" borderId="466" xfId="63" applyFont="1" applyFill="1" applyBorder="1" applyAlignment="1">
      <alignment horizontal="left" wrapText="1"/>
    </xf>
    <xf numFmtId="0" fontId="231" fillId="100" borderId="475" xfId="63" applyFont="1" applyFill="1" applyBorder="1" applyAlignment="1">
      <alignment horizontal="left" wrapText="1"/>
    </xf>
    <xf numFmtId="201" fontId="231" fillId="93" borderId="467" xfId="63" applyNumberFormat="1" applyFont="1" applyFill="1" applyBorder="1" applyAlignment="1">
      <alignment horizontal="center" vertical="top" wrapText="1"/>
    </xf>
    <xf numFmtId="0" fontId="231" fillId="93" borderId="475" xfId="63" applyFont="1" applyFill="1" applyBorder="1" applyAlignment="1">
      <alignment horizontal="center" vertical="top" wrapText="1"/>
    </xf>
    <xf numFmtId="0" fontId="231" fillId="93" borderId="467" xfId="63" applyFont="1" applyFill="1" applyBorder="1" applyAlignment="1">
      <alignment horizontal="center" vertical="top" wrapText="1"/>
    </xf>
    <xf numFmtId="0" fontId="231" fillId="97" borderId="467" xfId="63" applyFont="1" applyFill="1" applyBorder="1" applyAlignment="1">
      <alignment horizontal="left" vertical="top" wrapText="1"/>
    </xf>
    <xf numFmtId="0" fontId="231" fillId="97" borderId="466" xfId="63" applyFont="1" applyFill="1" applyBorder="1" applyAlignment="1">
      <alignment horizontal="left" wrapText="1"/>
    </xf>
    <xf numFmtId="0" fontId="231" fillId="97" borderId="475" xfId="63" applyFont="1" applyFill="1" applyBorder="1" applyAlignment="1">
      <alignment horizontal="left" wrapText="1"/>
    </xf>
    <xf numFmtId="0" fontId="231" fillId="0" borderId="477" xfId="63" applyFont="1" applyBorder="1" applyAlignment="1">
      <alignment wrapText="1"/>
    </xf>
    <xf numFmtId="0" fontId="231" fillId="0" borderId="470" xfId="63" applyFont="1" applyBorder="1" applyAlignment="1">
      <alignment wrapText="1"/>
    </xf>
    <xf numFmtId="0" fontId="231" fillId="0" borderId="477" xfId="63" applyFont="1" applyBorder="1" applyAlignment="1">
      <alignment horizontal="center" vertical="top" wrapText="1"/>
    </xf>
    <xf numFmtId="0" fontId="231" fillId="0" borderId="470" xfId="63" applyFont="1" applyBorder="1" applyAlignment="1">
      <alignment horizontal="center" vertical="top" wrapText="1"/>
    </xf>
    <xf numFmtId="14" fontId="231" fillId="0" borderId="467" xfId="63" applyNumberFormat="1" applyFont="1" applyBorder="1" applyAlignment="1">
      <alignment horizontal="center" vertical="top" wrapText="1"/>
    </xf>
    <xf numFmtId="14" fontId="231" fillId="0" borderId="475" xfId="63" applyNumberFormat="1" applyFont="1" applyBorder="1" applyAlignment="1">
      <alignment horizontal="center" vertical="top" wrapText="1"/>
    </xf>
    <xf numFmtId="201" fontId="231" fillId="0" borderId="467" xfId="63" applyNumberFormat="1" applyFont="1" applyBorder="1" applyAlignment="1">
      <alignment horizontal="center" vertical="top" wrapText="1"/>
    </xf>
    <xf numFmtId="201" fontId="231" fillId="0" borderId="475" xfId="63" applyNumberFormat="1" applyFont="1" applyBorder="1" applyAlignment="1">
      <alignment horizontal="center" vertical="top" wrapText="1"/>
    </xf>
    <xf numFmtId="0" fontId="231" fillId="97" borderId="467" xfId="63" applyFont="1" applyFill="1" applyBorder="1" applyAlignment="1">
      <alignment horizontal="left" wrapText="1"/>
    </xf>
    <xf numFmtId="0" fontId="234" fillId="0" borderId="466" xfId="63" applyFont="1" applyBorder="1" applyAlignment="1">
      <alignment horizontal="center" vertical="center" wrapText="1"/>
    </xf>
    <xf numFmtId="0" fontId="234" fillId="0" borderId="475" xfId="63" applyFont="1" applyBorder="1" applyAlignment="1">
      <alignment horizontal="center" vertical="center" wrapText="1"/>
    </xf>
    <xf numFmtId="0" fontId="231" fillId="0" borderId="467" xfId="63" applyFont="1" applyBorder="1" applyAlignment="1">
      <alignment horizontal="left" vertical="center" wrapText="1"/>
    </xf>
    <xf numFmtId="0" fontId="231" fillId="0" borderId="466" xfId="63" applyFont="1" applyBorder="1" applyAlignment="1">
      <alignment horizontal="left" vertical="center" wrapText="1"/>
    </xf>
    <xf numFmtId="0" fontId="231" fillId="0" borderId="475" xfId="63" applyFont="1" applyBorder="1" applyAlignment="1">
      <alignment horizontal="left" vertical="center" wrapText="1"/>
    </xf>
    <xf numFmtId="0" fontId="231" fillId="93" borderId="467" xfId="63" applyFont="1" applyFill="1" applyBorder="1" applyAlignment="1">
      <alignment horizontal="left" vertical="center" wrapText="1"/>
    </xf>
    <xf numFmtId="0" fontId="231" fillId="93" borderId="466" xfId="63" applyFont="1" applyFill="1" applyBorder="1" applyAlignment="1">
      <alignment horizontal="left" vertical="center" wrapText="1"/>
    </xf>
    <xf numFmtId="0" fontId="231" fillId="93" borderId="475" xfId="63" applyFont="1" applyFill="1" applyBorder="1" applyAlignment="1">
      <alignment horizontal="left" vertical="center" wrapText="1"/>
    </xf>
    <xf numFmtId="0" fontId="231" fillId="0" borderId="433" xfId="63" applyFont="1" applyBorder="1" applyAlignment="1">
      <alignment horizontal="left" wrapText="1"/>
    </xf>
    <xf numFmtId="0" fontId="234" fillId="89" borderId="0" xfId="63" applyFont="1" applyFill="1" applyAlignment="1">
      <alignment horizontal="left" vertical="center" wrapText="1"/>
    </xf>
    <xf numFmtId="0" fontId="231" fillId="0" borderId="469" xfId="63" applyFont="1" applyBorder="1" applyAlignment="1">
      <alignment horizontal="center" vertical="center" wrapText="1"/>
    </xf>
    <xf numFmtId="0" fontId="234" fillId="97" borderId="466" xfId="63" applyFont="1" applyFill="1" applyBorder="1" applyAlignment="1">
      <alignment horizontal="left" wrapText="1"/>
    </xf>
    <xf numFmtId="0" fontId="231" fillId="0" borderId="477" xfId="63" applyFont="1" applyBorder="1" applyAlignment="1">
      <alignment horizontal="left" vertical="top" wrapText="1"/>
    </xf>
    <xf numFmtId="0" fontId="231" fillId="0" borderId="467" xfId="63" applyFont="1" applyBorder="1" applyAlignment="1">
      <alignment horizontal="center" vertical="top" wrapText="1"/>
    </xf>
    <xf numFmtId="201" fontId="231" fillId="0" borderId="433" xfId="63" applyNumberFormat="1" applyFont="1" applyBorder="1" applyAlignment="1">
      <alignment wrapText="1"/>
    </xf>
    <xf numFmtId="195" fontId="231" fillId="95" borderId="477" xfId="63" applyNumberFormat="1" applyFont="1" applyFill="1" applyBorder="1" applyAlignment="1">
      <alignment wrapText="1"/>
    </xf>
    <xf numFmtId="0" fontId="231" fillId="95" borderId="469" xfId="63" applyFont="1" applyFill="1" applyBorder="1" applyAlignment="1">
      <alignment wrapText="1"/>
    </xf>
    <xf numFmtId="0" fontId="232" fillId="92" borderId="465" xfId="63" applyFont="1" applyFill="1" applyBorder="1" applyAlignment="1">
      <alignment horizontal="center" vertical="center" wrapText="1"/>
    </xf>
    <xf numFmtId="0" fontId="231" fillId="100" borderId="477" xfId="63" applyFont="1" applyFill="1" applyBorder="1" applyAlignment="1">
      <alignment horizontal="center" wrapText="1"/>
    </xf>
    <xf numFmtId="0" fontId="231" fillId="100" borderId="469" xfId="63" applyFont="1" applyFill="1" applyBorder="1" applyAlignment="1">
      <alignment horizontal="center" wrapText="1"/>
    </xf>
    <xf numFmtId="0" fontId="231" fillId="100" borderId="476" xfId="63" applyFont="1" applyFill="1" applyBorder="1" applyAlignment="1">
      <alignment horizontal="center" wrapText="1"/>
    </xf>
    <xf numFmtId="0" fontId="231" fillId="100" borderId="474" xfId="63" applyFont="1" applyFill="1" applyBorder="1" applyAlignment="1">
      <alignment horizontal="center" wrapText="1"/>
    </xf>
    <xf numFmtId="0" fontId="231" fillId="100" borderId="478" xfId="63" applyFont="1" applyFill="1" applyBorder="1" applyAlignment="1">
      <alignment horizontal="center" wrapText="1"/>
    </xf>
    <xf numFmtId="0" fontId="231" fillId="100" borderId="440" xfId="63" applyFont="1" applyFill="1" applyBorder="1" applyAlignment="1">
      <alignment horizontal="center" wrapText="1"/>
    </xf>
    <xf numFmtId="0" fontId="234" fillId="0" borderId="466" xfId="63" applyFont="1" applyBorder="1" applyAlignment="1">
      <alignment horizontal="center" wrapText="1"/>
    </xf>
    <xf numFmtId="0" fontId="234" fillId="0" borderId="475" xfId="63" applyFont="1" applyBorder="1" applyAlignment="1">
      <alignment horizontal="center" wrapText="1"/>
    </xf>
    <xf numFmtId="0" fontId="234" fillId="100" borderId="467" xfId="63" applyFont="1" applyFill="1" applyBorder="1" applyAlignment="1">
      <alignment horizontal="center" wrapText="1"/>
    </xf>
    <xf numFmtId="0" fontId="234" fillId="100" borderId="466" xfId="63" applyFont="1" applyFill="1" applyBorder="1" applyAlignment="1">
      <alignment horizontal="center" wrapText="1"/>
    </xf>
    <xf numFmtId="0" fontId="234" fillId="100" borderId="475" xfId="63" applyFont="1" applyFill="1" applyBorder="1" applyAlignment="1">
      <alignment horizontal="center" wrapText="1"/>
    </xf>
    <xf numFmtId="0" fontId="231" fillId="100" borderId="467" xfId="63" applyFont="1" applyFill="1" applyBorder="1" applyAlignment="1">
      <alignment horizontal="center" wrapText="1"/>
    </xf>
    <xf numFmtId="0" fontId="231" fillId="100" borderId="466" xfId="63" applyFont="1" applyFill="1" applyBorder="1" applyAlignment="1">
      <alignment horizontal="center" wrapText="1"/>
    </xf>
    <xf numFmtId="0" fontId="231" fillId="100" borderId="475" xfId="63" applyFont="1" applyFill="1" applyBorder="1" applyAlignment="1">
      <alignment horizontal="center" wrapText="1"/>
    </xf>
    <xf numFmtId="0" fontId="231" fillId="100" borderId="467" xfId="63" applyFont="1" applyFill="1" applyBorder="1" applyAlignment="1">
      <alignment horizontal="left" vertical="top" wrapText="1"/>
    </xf>
    <xf numFmtId="0" fontId="231" fillId="100" borderId="466" xfId="63" applyFont="1" applyFill="1" applyBorder="1" applyAlignment="1">
      <alignment horizontal="left" vertical="top" wrapText="1"/>
    </xf>
    <xf numFmtId="0" fontId="231" fillId="100" borderId="475" xfId="63" applyFont="1" applyFill="1" applyBorder="1" applyAlignment="1">
      <alignment horizontal="left" vertical="top" wrapText="1"/>
    </xf>
    <xf numFmtId="0" fontId="231" fillId="0" borderId="470" xfId="63" applyFont="1" applyBorder="1" applyAlignment="1">
      <alignment horizontal="left" vertical="top" wrapText="1"/>
    </xf>
    <xf numFmtId="0" fontId="231" fillId="0" borderId="470" xfId="63" applyFont="1" applyBorder="1" applyAlignment="1">
      <alignment horizontal="center" wrapText="1"/>
    </xf>
    <xf numFmtId="0" fontId="231" fillId="0" borderId="469" xfId="63" applyFont="1" applyBorder="1" applyAlignment="1">
      <alignment horizontal="left" vertical="top" wrapText="1"/>
    </xf>
    <xf numFmtId="0" fontId="231" fillId="0" borderId="467" xfId="63" applyFont="1" applyBorder="1" applyAlignment="1">
      <alignment wrapText="1"/>
    </xf>
    <xf numFmtId="0" fontId="234" fillId="0" borderId="467" xfId="63" applyFont="1" applyBorder="1" applyAlignment="1">
      <alignment horizontal="center" vertical="top" wrapText="1"/>
    </xf>
    <xf numFmtId="0" fontId="234" fillId="0" borderId="466" xfId="63" applyFont="1" applyBorder="1" applyAlignment="1">
      <alignment horizontal="center" vertical="top" wrapText="1"/>
    </xf>
    <xf numFmtId="0" fontId="234" fillId="0" borderId="475" xfId="63" applyFont="1" applyBorder="1" applyAlignment="1">
      <alignment horizontal="center" vertical="top" wrapText="1"/>
    </xf>
    <xf numFmtId="0" fontId="234" fillId="93" borderId="467" xfId="63" applyFont="1" applyFill="1" applyBorder="1" applyAlignment="1">
      <alignment horizontal="center" wrapText="1"/>
    </xf>
    <xf numFmtId="0" fontId="234" fillId="93" borderId="466" xfId="63" applyFont="1" applyFill="1" applyBorder="1" applyAlignment="1">
      <alignment horizontal="center" wrapText="1"/>
    </xf>
    <xf numFmtId="0" fontId="231" fillId="0" borderId="466" xfId="63" applyFont="1" applyBorder="1" applyAlignment="1">
      <alignment horizontal="center" vertical="top" wrapText="1"/>
    </xf>
    <xf numFmtId="0" fontId="231" fillId="0" borderId="475" xfId="63" applyFont="1" applyBorder="1" applyAlignment="1">
      <alignment horizontal="center" vertical="top" wrapText="1"/>
    </xf>
    <xf numFmtId="0" fontId="231" fillId="93" borderId="467" xfId="63" applyFont="1" applyFill="1" applyBorder="1" applyAlignment="1">
      <alignment horizontal="left" wrapText="1"/>
    </xf>
    <xf numFmtId="0" fontId="231" fillId="93" borderId="466" xfId="63" applyFont="1" applyFill="1" applyBorder="1" applyAlignment="1">
      <alignment horizontal="left" wrapText="1"/>
    </xf>
    <xf numFmtId="0" fontId="231" fillId="93" borderId="477" xfId="63" applyFont="1" applyFill="1" applyBorder="1" applyAlignment="1">
      <alignment horizontal="center" wrapText="1"/>
    </xf>
    <xf numFmtId="0" fontId="231" fillId="93" borderId="470" xfId="63" applyFont="1" applyFill="1" applyBorder="1" applyAlignment="1">
      <alignment horizontal="center" wrapText="1"/>
    </xf>
    <xf numFmtId="0" fontId="231" fillId="97" borderId="475" xfId="63" applyFont="1" applyFill="1" applyBorder="1" applyAlignment="1">
      <alignment horizontal="left" vertical="top" wrapText="1"/>
    </xf>
    <xf numFmtId="195" fontId="234" fillId="95" borderId="477" xfId="63" applyNumberFormat="1" applyFont="1" applyFill="1" applyBorder="1" applyAlignment="1">
      <alignment wrapText="1"/>
    </xf>
    <xf numFmtId="0" fontId="234" fillId="95" borderId="469" xfId="63" applyFont="1" applyFill="1" applyBorder="1" applyAlignment="1">
      <alignment wrapText="1"/>
    </xf>
    <xf numFmtId="0" fontId="231" fillId="0" borderId="433" xfId="63" applyFont="1" applyBorder="1" applyAlignment="1">
      <alignment horizontal="center" vertical="top" wrapText="1"/>
    </xf>
    <xf numFmtId="197" fontId="231" fillId="0" borderId="477" xfId="63" applyNumberFormat="1" applyFont="1" applyBorder="1" applyAlignment="1">
      <alignment horizontal="center" wrapText="1"/>
    </xf>
    <xf numFmtId="0" fontId="234" fillId="0" borderId="477" xfId="63" applyFont="1" applyBorder="1" applyAlignment="1">
      <alignment horizontal="left" wrapText="1"/>
    </xf>
    <xf numFmtId="0" fontId="234" fillId="0" borderId="469" xfId="63" applyFont="1" applyBorder="1" applyAlignment="1">
      <alignment horizontal="left" wrapText="1"/>
    </xf>
    <xf numFmtId="195" fontId="234" fillId="95" borderId="470" xfId="63" applyNumberFormat="1" applyFont="1" applyFill="1" applyBorder="1" applyAlignment="1">
      <alignment wrapText="1"/>
    </xf>
    <xf numFmtId="0" fontId="231" fillId="93" borderId="467" xfId="63" applyFont="1" applyFill="1" applyBorder="1" applyAlignment="1">
      <alignment horizontal="left" vertical="top" wrapText="1"/>
    </xf>
    <xf numFmtId="0" fontId="231" fillId="93" borderId="466" xfId="63" applyFont="1" applyFill="1" applyBorder="1" applyAlignment="1">
      <alignment horizontal="left" vertical="top" wrapText="1"/>
    </xf>
    <xf numFmtId="0" fontId="231" fillId="93" borderId="475" xfId="63" applyFont="1" applyFill="1" applyBorder="1" applyAlignment="1">
      <alignment horizontal="left" vertical="top" wrapText="1"/>
    </xf>
    <xf numFmtId="0" fontId="231" fillId="94" borderId="467" xfId="63" applyFont="1" applyFill="1" applyBorder="1" applyAlignment="1">
      <alignment horizontal="left" vertical="center" wrapText="1"/>
    </xf>
    <xf numFmtId="0" fontId="231" fillId="94" borderId="466" xfId="63" applyFont="1" applyFill="1" applyBorder="1" applyAlignment="1">
      <alignment horizontal="left" vertical="center" wrapText="1"/>
    </xf>
    <xf numFmtId="0" fontId="231" fillId="94" borderId="475" xfId="63" applyFont="1" applyFill="1" applyBorder="1" applyAlignment="1">
      <alignment horizontal="left" vertical="center" wrapText="1"/>
    </xf>
    <xf numFmtId="0" fontId="231" fillId="93" borderId="466" xfId="63" applyFont="1" applyFill="1" applyBorder="1" applyAlignment="1">
      <alignment horizontal="center" vertical="top" wrapText="1"/>
    </xf>
    <xf numFmtId="0" fontId="231" fillId="94" borderId="467" xfId="63" applyFont="1" applyFill="1" applyBorder="1" applyAlignment="1">
      <alignment vertical="center" wrapText="1"/>
    </xf>
    <xf numFmtId="0" fontId="231" fillId="94" borderId="466" xfId="63" applyFont="1" applyFill="1" applyBorder="1" applyAlignment="1">
      <alignment vertical="center" wrapText="1"/>
    </xf>
    <xf numFmtId="0" fontId="231" fillId="94" borderId="475" xfId="63" applyFont="1" applyFill="1" applyBorder="1" applyAlignment="1">
      <alignment vertical="center" wrapText="1"/>
    </xf>
    <xf numFmtId="0" fontId="246" fillId="92" borderId="476" xfId="63" applyFont="1" applyFill="1" applyBorder="1" applyAlignment="1">
      <alignment horizontal="center" vertical="center" wrapText="1"/>
    </xf>
    <xf numFmtId="0" fontId="246" fillId="92" borderId="474" xfId="63" applyFont="1" applyFill="1" applyBorder="1" applyAlignment="1">
      <alignment horizontal="center" vertical="center" wrapText="1"/>
    </xf>
    <xf numFmtId="0" fontId="231" fillId="97" borderId="467" xfId="63" applyFont="1" applyFill="1" applyBorder="1" applyAlignment="1">
      <alignment horizontal="left" vertical="center" wrapText="1"/>
    </xf>
    <xf numFmtId="0" fontId="231" fillId="97" borderId="466" xfId="63" applyFont="1" applyFill="1" applyBorder="1" applyAlignment="1">
      <alignment horizontal="left" vertical="center" wrapText="1"/>
    </xf>
    <xf numFmtId="0" fontId="231" fillId="97" borderId="475" xfId="63" applyFont="1" applyFill="1" applyBorder="1" applyAlignment="1">
      <alignment horizontal="left" vertical="center" wrapText="1"/>
    </xf>
    <xf numFmtId="0" fontId="231" fillId="97" borderId="433" xfId="63" applyFont="1" applyFill="1" applyBorder="1" applyAlignment="1">
      <alignment horizontal="left" vertical="center" wrapText="1"/>
    </xf>
    <xf numFmtId="0" fontId="231" fillId="0" borderId="466" xfId="63" applyFont="1" applyBorder="1" applyAlignment="1">
      <alignment horizontal="left" wrapText="1"/>
    </xf>
    <xf numFmtId="0" fontId="231" fillId="0" borderId="475" xfId="63" applyFont="1" applyBorder="1" applyAlignment="1">
      <alignment horizontal="left" wrapText="1"/>
    </xf>
    <xf numFmtId="0" fontId="234" fillId="93" borderId="475" xfId="63" applyFont="1" applyFill="1" applyBorder="1" applyAlignment="1">
      <alignment horizontal="center" wrapText="1"/>
    </xf>
    <xf numFmtId="0" fontId="231" fillId="105" borderId="433" xfId="63" applyFont="1" applyFill="1" applyBorder="1" applyAlignment="1">
      <alignment horizontal="left" wrapText="1"/>
    </xf>
    <xf numFmtId="0" fontId="231" fillId="105" borderId="467" xfId="63" applyFont="1" applyFill="1" applyBorder="1" applyAlignment="1">
      <alignment horizontal="left" wrapText="1"/>
    </xf>
    <xf numFmtId="0" fontId="231" fillId="105" borderId="466" xfId="63" applyFont="1" applyFill="1" applyBorder="1" applyAlignment="1">
      <alignment horizontal="left" wrapText="1"/>
    </xf>
    <xf numFmtId="0" fontId="231" fillId="105" borderId="475" xfId="63" applyFont="1" applyFill="1" applyBorder="1" applyAlignment="1">
      <alignment horizontal="left" wrapText="1"/>
    </xf>
    <xf numFmtId="0" fontId="231" fillId="97" borderId="467" xfId="63" applyFont="1" applyFill="1" applyBorder="1" applyAlignment="1">
      <alignment horizontal="right" wrapText="1"/>
    </xf>
    <xf numFmtId="0" fontId="231" fillId="97" borderId="466" xfId="63" applyFont="1" applyFill="1" applyBorder="1" applyAlignment="1">
      <alignment horizontal="right" wrapText="1"/>
    </xf>
    <xf numFmtId="0" fontId="231" fillId="97" borderId="475" xfId="63" applyFont="1" applyFill="1" applyBorder="1" applyAlignment="1">
      <alignment horizontal="right" wrapText="1"/>
    </xf>
    <xf numFmtId="0" fontId="231" fillId="93" borderId="467" xfId="63" applyFont="1" applyFill="1" applyBorder="1" applyAlignment="1">
      <alignment vertical="top" wrapText="1"/>
    </xf>
    <xf numFmtId="0" fontId="231" fillId="93" borderId="466" xfId="63" applyFont="1" applyFill="1" applyBorder="1" applyAlignment="1">
      <alignment vertical="top" wrapText="1"/>
    </xf>
    <xf numFmtId="0" fontId="231" fillId="93" borderId="475" xfId="63" applyFont="1" applyFill="1" applyBorder="1" applyAlignment="1">
      <alignment vertical="top" wrapText="1"/>
    </xf>
    <xf numFmtId="0" fontId="232" fillId="92" borderId="476" xfId="63" applyFont="1" applyFill="1" applyBorder="1" applyAlignment="1">
      <alignment horizontal="center" wrapText="1"/>
    </xf>
    <xf numFmtId="0" fontId="232" fillId="92" borderId="474" xfId="63" applyFont="1" applyFill="1" applyBorder="1" applyAlignment="1">
      <alignment horizontal="center" wrapText="1"/>
    </xf>
    <xf numFmtId="0" fontId="181" fillId="0" borderId="350" xfId="0" applyFont="1" applyBorder="1"/>
    <xf numFmtId="0" fontId="181" fillId="0" borderId="351" xfId="0" applyFont="1" applyBorder="1"/>
    <xf numFmtId="0" fontId="237" fillId="0" borderId="465" xfId="63" applyFont="1" applyBorder="1" applyAlignment="1">
      <alignment wrapText="1"/>
    </xf>
    <xf numFmtId="0" fontId="231" fillId="0" borderId="465" xfId="63" applyFont="1" applyBorder="1" applyAlignment="1">
      <alignment wrapText="1"/>
    </xf>
    <xf numFmtId="0" fontId="234" fillId="89" borderId="467" xfId="63" applyFont="1" applyFill="1" applyBorder="1" applyAlignment="1">
      <alignment horizontal="center" wrapText="1"/>
    </xf>
    <xf numFmtId="0" fontId="234" fillId="89" borderId="466" xfId="63" applyFont="1" applyFill="1" applyBorder="1" applyAlignment="1">
      <alignment horizontal="center" wrapText="1"/>
    </xf>
    <xf numFmtId="0" fontId="234" fillId="89" borderId="475" xfId="63" applyFont="1" applyFill="1" applyBorder="1" applyAlignment="1">
      <alignment horizontal="center" wrapText="1"/>
    </xf>
    <xf numFmtId="0" fontId="237" fillId="0" borderId="0" xfId="63" applyFont="1" applyAlignment="1">
      <alignment horizontal="center" vertical="center" wrapText="1"/>
    </xf>
    <xf numFmtId="0" fontId="231" fillId="0" borderId="466" xfId="63" applyFont="1" applyBorder="1" applyAlignment="1">
      <alignment vertical="top" wrapText="1"/>
    </xf>
    <xf numFmtId="0" fontId="231" fillId="0" borderId="475" xfId="63" applyFont="1" applyBorder="1" applyAlignment="1">
      <alignment vertical="top" wrapText="1"/>
    </xf>
    <xf numFmtId="0" fontId="231" fillId="94" borderId="475" xfId="63" applyFont="1" applyFill="1" applyBorder="1" applyAlignment="1">
      <alignment horizontal="left" wrapText="1"/>
    </xf>
    <xf numFmtId="0" fontId="231" fillId="94" borderId="480" xfId="63" applyFont="1" applyFill="1" applyBorder="1" applyAlignment="1">
      <alignment horizontal="right" wrapText="1"/>
    </xf>
    <xf numFmtId="0" fontId="231" fillId="94" borderId="481" xfId="63" applyFont="1" applyFill="1" applyBorder="1" applyAlignment="1">
      <alignment horizontal="right" wrapText="1"/>
    </xf>
    <xf numFmtId="0" fontId="231" fillId="94" borderId="473" xfId="63" applyFont="1" applyFill="1" applyBorder="1" applyAlignment="1">
      <alignment horizontal="right" wrapText="1"/>
    </xf>
    <xf numFmtId="0" fontId="231" fillId="94" borderId="433" xfId="63" applyFont="1" applyFill="1" applyBorder="1" applyAlignment="1">
      <alignment horizontal="right" wrapText="1"/>
    </xf>
    <xf numFmtId="0" fontId="231" fillId="94" borderId="473" xfId="63" applyFont="1" applyFill="1" applyBorder="1" applyAlignment="1">
      <alignment wrapText="1"/>
    </xf>
    <xf numFmtId="0" fontId="231" fillId="94" borderId="433" xfId="63" applyFont="1" applyFill="1" applyBorder="1" applyAlignment="1">
      <alignment wrapText="1"/>
    </xf>
    <xf numFmtId="0" fontId="231" fillId="0" borderId="476" xfId="63" applyFont="1" applyBorder="1" applyAlignment="1">
      <alignment horizontal="center" wrapText="1"/>
    </xf>
    <xf numFmtId="0" fontId="231" fillId="0" borderId="478" xfId="63" applyFont="1" applyBorder="1" applyAlignment="1">
      <alignment horizontal="center" wrapText="1"/>
    </xf>
    <xf numFmtId="0" fontId="231" fillId="87" borderId="467" xfId="63" applyFont="1" applyFill="1" applyBorder="1" applyAlignment="1">
      <alignment horizontal="center" wrapText="1"/>
    </xf>
    <xf numFmtId="0" fontId="231" fillId="87" borderId="466" xfId="63" applyFont="1" applyFill="1" applyBorder="1" applyAlignment="1">
      <alignment horizontal="center" wrapText="1"/>
    </xf>
    <xf numFmtId="0" fontId="231" fillId="76" borderId="433" xfId="63" applyFont="1" applyFill="1" applyBorder="1" applyAlignment="1">
      <alignment horizontal="left" vertical="top" wrapText="1"/>
    </xf>
    <xf numFmtId="0" fontId="231" fillId="93" borderId="477" xfId="63" applyFont="1" applyFill="1" applyBorder="1" applyAlignment="1">
      <alignment horizontal="center" vertical="center" wrapText="1"/>
    </xf>
    <xf numFmtId="0" fontId="231" fillId="93" borderId="470" xfId="63" applyFont="1" applyFill="1" applyBorder="1" applyAlignment="1">
      <alignment horizontal="center" vertical="center" wrapText="1"/>
    </xf>
    <xf numFmtId="0" fontId="231" fillId="76" borderId="477" xfId="63" applyFont="1" applyFill="1" applyBorder="1" applyAlignment="1">
      <alignment horizontal="center" wrapText="1"/>
    </xf>
    <xf numFmtId="0" fontId="231" fillId="76" borderId="470" xfId="63" applyFont="1" applyFill="1" applyBorder="1" applyAlignment="1">
      <alignment horizontal="center" wrapText="1"/>
    </xf>
    <xf numFmtId="0" fontId="231" fillId="76" borderId="433" xfId="63" applyFont="1" applyFill="1" applyBorder="1" applyAlignment="1">
      <alignment horizontal="center" wrapText="1"/>
    </xf>
    <xf numFmtId="0" fontId="236" fillId="0" borderId="466" xfId="63" applyFont="1" applyBorder="1" applyAlignment="1">
      <alignment horizontal="left" vertical="top" wrapText="1"/>
    </xf>
    <xf numFmtId="0" fontId="236" fillId="0" borderId="475" xfId="63" applyFont="1" applyBorder="1" applyAlignment="1">
      <alignment horizontal="left" vertical="top" wrapText="1"/>
    </xf>
    <xf numFmtId="0" fontId="236" fillId="0" borderId="433" xfId="63" applyFont="1" applyBorder="1" applyAlignment="1">
      <alignment horizontal="left" vertical="top" wrapText="1"/>
    </xf>
    <xf numFmtId="0" fontId="234" fillId="0" borderId="477" xfId="63" applyFont="1" applyBorder="1" applyAlignment="1">
      <alignment horizontal="center" wrapText="1"/>
    </xf>
    <xf numFmtId="0" fontId="234" fillId="0" borderId="470" xfId="63" applyFont="1" applyBorder="1" applyAlignment="1">
      <alignment horizontal="center" wrapText="1"/>
    </xf>
    <xf numFmtId="0" fontId="231" fillId="0" borderId="477" xfId="63" applyFont="1" applyBorder="1" applyAlignment="1">
      <alignment horizontal="left" wrapText="1"/>
    </xf>
    <xf numFmtId="0" fontId="231" fillId="0" borderId="466" xfId="63" applyFont="1" applyBorder="1" applyAlignment="1">
      <alignment vertical="center" wrapText="1"/>
    </xf>
    <xf numFmtId="0" fontId="231" fillId="0" borderId="475" xfId="63" applyFont="1" applyBorder="1" applyAlignment="1">
      <alignment vertical="center" wrapText="1"/>
    </xf>
    <xf numFmtId="0" fontId="231" fillId="0" borderId="433" xfId="63" applyFont="1" applyBorder="1" applyAlignment="1">
      <alignment horizontal="left" vertical="top" wrapText="1"/>
    </xf>
    <xf numFmtId="0" fontId="231" fillId="93" borderId="477" xfId="63" applyFont="1" applyFill="1" applyBorder="1" applyAlignment="1">
      <alignment horizontal="center" vertical="top" wrapText="1"/>
    </xf>
    <xf numFmtId="0" fontId="231" fillId="93" borderId="469" xfId="63" applyFont="1" applyFill="1" applyBorder="1" applyAlignment="1">
      <alignment horizontal="center" vertical="top" wrapText="1"/>
    </xf>
    <xf numFmtId="0" fontId="231" fillId="0" borderId="469" xfId="63" applyFont="1" applyBorder="1" applyAlignment="1">
      <alignment horizontal="center" vertical="top" wrapText="1"/>
    </xf>
    <xf numFmtId="0" fontId="231" fillId="93" borderId="470" xfId="63" applyFont="1" applyFill="1" applyBorder="1" applyAlignment="1">
      <alignment horizontal="center" vertical="top" wrapText="1"/>
    </xf>
    <xf numFmtId="0" fontId="231" fillId="0" borderId="465" xfId="63" applyFont="1" applyBorder="1" applyAlignment="1">
      <alignment horizontal="center" wrapText="1"/>
    </xf>
    <xf numFmtId="0" fontId="231" fillId="93" borderId="478" xfId="63" applyFont="1" applyFill="1" applyBorder="1" applyAlignment="1">
      <alignment horizontal="center" wrapText="1"/>
    </xf>
    <xf numFmtId="0" fontId="231" fillId="93" borderId="471" xfId="63" applyFont="1" applyFill="1" applyBorder="1" applyAlignment="1">
      <alignment horizontal="center" wrapText="1"/>
    </xf>
    <xf numFmtId="0" fontId="231" fillId="119" borderId="467" xfId="63" applyFont="1" applyFill="1" applyBorder="1" applyAlignment="1">
      <alignment horizontal="left" wrapText="1"/>
    </xf>
    <xf numFmtId="0" fontId="231" fillId="119" borderId="466" xfId="63" applyFont="1" applyFill="1" applyBorder="1" applyAlignment="1">
      <alignment horizontal="left" wrapText="1"/>
    </xf>
    <xf numFmtId="0" fontId="231" fillId="119" borderId="475" xfId="63" applyFont="1" applyFill="1" applyBorder="1" applyAlignment="1">
      <alignment horizontal="left" wrapText="1"/>
    </xf>
    <xf numFmtId="0" fontId="185" fillId="89" borderId="467" xfId="63" applyFont="1" applyFill="1" applyBorder="1" applyAlignment="1">
      <alignment horizontal="center" wrapText="1"/>
    </xf>
    <xf numFmtId="0" fontId="185" fillId="89" borderId="466" xfId="63" applyFont="1" applyFill="1" applyBorder="1" applyAlignment="1">
      <alignment horizontal="center" wrapText="1"/>
    </xf>
    <xf numFmtId="0" fontId="185" fillId="89" borderId="475" xfId="63" applyFont="1" applyFill="1" applyBorder="1" applyAlignment="1">
      <alignment horizontal="center" wrapText="1"/>
    </xf>
    <xf numFmtId="0" fontId="231" fillId="120" borderId="467" xfId="63" applyFont="1" applyFill="1" applyBorder="1" applyAlignment="1">
      <alignment horizontal="center" wrapText="1"/>
    </xf>
    <xf numFmtId="0" fontId="231" fillId="120" borderId="475" xfId="63" applyFont="1" applyFill="1" applyBorder="1" applyAlignment="1">
      <alignment horizontal="center" wrapText="1"/>
    </xf>
    <xf numFmtId="194" fontId="231" fillId="0" borderId="433" xfId="63" applyNumberFormat="1" applyFont="1" applyBorder="1" applyAlignment="1">
      <alignment horizontal="right" wrapText="1"/>
    </xf>
    <xf numFmtId="0" fontId="234" fillId="0" borderId="469" xfId="63" applyFont="1" applyBorder="1" applyAlignment="1">
      <alignment wrapText="1"/>
    </xf>
    <xf numFmtId="194" fontId="234" fillId="95" borderId="477" xfId="63" applyNumberFormat="1" applyFont="1" applyFill="1" applyBorder="1" applyAlignment="1">
      <alignment horizontal="right" wrapText="1"/>
    </xf>
    <xf numFmtId="0" fontId="234" fillId="95" borderId="469" xfId="63" applyFont="1" applyFill="1" applyBorder="1" applyAlignment="1">
      <alignment horizontal="right" wrapText="1"/>
    </xf>
    <xf numFmtId="0" fontId="231" fillId="91" borderId="467" xfId="63" applyFont="1" applyFill="1" applyBorder="1" applyAlignment="1">
      <alignment horizontal="left" wrapText="1"/>
    </xf>
    <xf numFmtId="0" fontId="234" fillId="91" borderId="466" xfId="63" applyFont="1" applyFill="1" applyBorder="1" applyAlignment="1">
      <alignment horizontal="center" wrapText="1"/>
    </xf>
    <xf numFmtId="0" fontId="234" fillId="91" borderId="475" xfId="63" applyFont="1" applyFill="1" applyBorder="1" applyAlignment="1">
      <alignment horizontal="center" wrapText="1"/>
    </xf>
    <xf numFmtId="0" fontId="234" fillId="89" borderId="467" xfId="63" applyFont="1" applyFill="1" applyBorder="1" applyAlignment="1">
      <alignment vertical="center" wrapText="1"/>
    </xf>
    <xf numFmtId="0" fontId="234" fillId="89" borderId="466" xfId="63" applyFont="1" applyFill="1" applyBorder="1" applyAlignment="1">
      <alignment vertical="center" wrapText="1"/>
    </xf>
    <xf numFmtId="0" fontId="234" fillId="89" borderId="475" xfId="63" applyFont="1" applyFill="1" applyBorder="1" applyAlignment="1">
      <alignment vertical="center" wrapText="1"/>
    </xf>
    <xf numFmtId="0" fontId="234" fillId="0" borderId="468" xfId="63" applyFont="1" applyBorder="1" applyAlignment="1">
      <alignment horizontal="left" wrapText="1"/>
    </xf>
    <xf numFmtId="0" fontId="234" fillId="0" borderId="478" xfId="63" applyFont="1" applyBorder="1" applyAlignment="1">
      <alignment horizontal="left" wrapText="1"/>
    </xf>
    <xf numFmtId="0" fontId="234" fillId="93" borderId="468" xfId="63" applyFont="1" applyFill="1" applyBorder="1" applyAlignment="1">
      <alignment horizontal="left" wrapText="1"/>
    </xf>
    <xf numFmtId="0" fontId="234" fillId="93" borderId="478" xfId="63" applyFont="1" applyFill="1" applyBorder="1" applyAlignment="1">
      <alignment horizontal="left" wrapText="1"/>
    </xf>
    <xf numFmtId="0" fontId="231" fillId="0" borderId="474" xfId="63" applyFont="1" applyBorder="1" applyAlignment="1">
      <alignment horizontal="center" wrapText="1"/>
    </xf>
    <xf numFmtId="0" fontId="231" fillId="93" borderId="474" xfId="63" applyFont="1" applyFill="1" applyBorder="1" applyAlignment="1">
      <alignment horizontal="center" wrapText="1"/>
    </xf>
    <xf numFmtId="0" fontId="231" fillId="93" borderId="439" xfId="63" applyFont="1" applyFill="1" applyBorder="1" applyAlignment="1">
      <alignment horizontal="center" wrapText="1"/>
    </xf>
    <xf numFmtId="0" fontId="231" fillId="93" borderId="440" xfId="63" applyFont="1" applyFill="1" applyBorder="1" applyAlignment="1">
      <alignment horizontal="center" wrapText="1"/>
    </xf>
    <xf numFmtId="0" fontId="234" fillId="87" borderId="467" xfId="63" applyFont="1" applyFill="1" applyBorder="1" applyAlignment="1">
      <alignment horizontal="center" wrapText="1"/>
    </xf>
    <xf numFmtId="0" fontId="234" fillId="87" borderId="466" xfId="63" applyFont="1" applyFill="1" applyBorder="1" applyAlignment="1">
      <alignment horizontal="center" wrapText="1"/>
    </xf>
    <xf numFmtId="0" fontId="234" fillId="87" borderId="475" xfId="63" applyFont="1" applyFill="1" applyBorder="1" applyAlignment="1">
      <alignment horizontal="center" wrapText="1"/>
    </xf>
    <xf numFmtId="0" fontId="234" fillId="76" borderId="467" xfId="63" applyFont="1" applyFill="1" applyBorder="1" applyAlignment="1">
      <alignment horizontal="center" wrapText="1"/>
    </xf>
    <xf numFmtId="0" fontId="234" fillId="76" borderId="466" xfId="63" applyFont="1" applyFill="1" applyBorder="1" applyAlignment="1">
      <alignment horizontal="center" wrapText="1"/>
    </xf>
    <xf numFmtId="0" fontId="234" fillId="76" borderId="475" xfId="63" applyFont="1" applyFill="1" applyBorder="1" applyAlignment="1">
      <alignment horizontal="center" wrapText="1"/>
    </xf>
    <xf numFmtId="201" fontId="231" fillId="0" borderId="433" xfId="63" applyNumberFormat="1" applyFont="1" applyBorder="1" applyAlignment="1">
      <alignment horizontal="center" wrapText="1"/>
    </xf>
    <xf numFmtId="231" fontId="231" fillId="0" borderId="433" xfId="63" applyNumberFormat="1" applyFont="1" applyBorder="1" applyAlignment="1">
      <alignment horizontal="center" wrapText="1"/>
    </xf>
    <xf numFmtId="194" fontId="231" fillId="0" borderId="433" xfId="63" applyNumberFormat="1" applyFont="1" applyBorder="1" applyAlignment="1">
      <alignment horizontal="center" wrapText="1"/>
    </xf>
    <xf numFmtId="194" fontId="231" fillId="0" borderId="467" xfId="63" applyNumberFormat="1" applyFont="1" applyBorder="1" applyAlignment="1">
      <alignment horizontal="center" wrapText="1"/>
    </xf>
    <xf numFmtId="212" fontId="231" fillId="0" borderId="433" xfId="63" applyNumberFormat="1" applyFont="1" applyBorder="1" applyAlignment="1">
      <alignment horizontal="center" wrapText="1"/>
    </xf>
    <xf numFmtId="212" fontId="231" fillId="0" borderId="467" xfId="63" applyNumberFormat="1" applyFont="1" applyBorder="1" applyAlignment="1">
      <alignment horizontal="center" wrapText="1"/>
    </xf>
    <xf numFmtId="194" fontId="231" fillId="87" borderId="433" xfId="63" applyNumberFormat="1" applyFont="1" applyFill="1" applyBorder="1" applyAlignment="1">
      <alignment horizontal="center" wrapText="1"/>
    </xf>
    <xf numFmtId="0" fontId="231" fillId="87" borderId="433" xfId="63" applyFont="1" applyFill="1" applyBorder="1" applyAlignment="1">
      <alignment horizontal="center" wrapText="1"/>
    </xf>
    <xf numFmtId="219" fontId="231" fillId="0" borderId="433" xfId="63" applyNumberFormat="1" applyFont="1" applyBorder="1" applyAlignment="1">
      <alignment horizontal="center" wrapText="1"/>
    </xf>
    <xf numFmtId="195" fontId="231" fillId="0" borderId="467" xfId="63" applyNumberFormat="1" applyFont="1" applyBorder="1" applyAlignment="1">
      <alignment wrapText="1"/>
    </xf>
    <xf numFmtId="195" fontId="231" fillId="95" borderId="467" xfId="63" applyNumberFormat="1" applyFont="1" applyFill="1" applyBorder="1" applyAlignment="1">
      <alignment wrapText="1"/>
    </xf>
    <xf numFmtId="0" fontId="231" fillId="95" borderId="466" xfId="63" applyFont="1" applyFill="1" applyBorder="1" applyAlignment="1">
      <alignment wrapText="1"/>
    </xf>
    <xf numFmtId="0" fontId="231" fillId="95" borderId="475" xfId="63" applyFont="1" applyFill="1" applyBorder="1" applyAlignment="1">
      <alignment wrapText="1"/>
    </xf>
    <xf numFmtId="234" fontId="241" fillId="0" borderId="433" xfId="63" applyNumberFormat="1" applyFont="1" applyBorder="1" applyAlignment="1">
      <alignment horizontal="center" wrapText="1"/>
    </xf>
    <xf numFmtId="0" fontId="241" fillId="0" borderId="433" xfId="63" applyFont="1" applyBorder="1" applyAlignment="1">
      <alignment horizontal="center" wrapText="1"/>
    </xf>
    <xf numFmtId="234" fontId="241" fillId="0" borderId="467" xfId="63" applyNumberFormat="1" applyFont="1" applyBorder="1" applyAlignment="1">
      <alignment horizontal="center" wrapText="1"/>
    </xf>
    <xf numFmtId="0" fontId="241" fillId="0" borderId="466" xfId="63" applyFont="1" applyBorder="1" applyAlignment="1">
      <alignment horizontal="center" wrapText="1"/>
    </xf>
    <xf numFmtId="0" fontId="241" fillId="0" borderId="475" xfId="63" applyFont="1" applyBorder="1" applyAlignment="1">
      <alignment horizontal="center" wrapText="1"/>
    </xf>
    <xf numFmtId="195" fontId="231" fillId="0" borderId="433" xfId="63" applyNumberFormat="1" applyFont="1" applyBorder="1" applyAlignment="1">
      <alignment wrapText="1"/>
    </xf>
    <xf numFmtId="195" fontId="231" fillId="87" borderId="433" xfId="63" applyNumberFormat="1" applyFont="1" applyFill="1" applyBorder="1" applyAlignment="1">
      <alignment wrapText="1"/>
    </xf>
    <xf numFmtId="0" fontId="231" fillId="87" borderId="433" xfId="63" applyFont="1" applyFill="1" applyBorder="1" applyAlignment="1">
      <alignment wrapText="1"/>
    </xf>
    <xf numFmtId="227" fontId="241" fillId="0" borderId="467" xfId="63" applyNumberFormat="1" applyFont="1" applyBorder="1" applyAlignment="1">
      <alignment wrapText="1"/>
    </xf>
    <xf numFmtId="0" fontId="241" fillId="0" borderId="466" xfId="63" applyFont="1" applyBorder="1" applyAlignment="1">
      <alignment wrapText="1"/>
    </xf>
    <xf numFmtId="0" fontId="241" fillId="0" borderId="475" xfId="63" applyFont="1" applyBorder="1" applyAlignment="1">
      <alignment wrapText="1"/>
    </xf>
    <xf numFmtId="201" fontId="231" fillId="0" borderId="467" xfId="63" applyNumberFormat="1" applyFont="1" applyBorder="1" applyAlignment="1">
      <alignment horizontal="center" wrapText="1"/>
    </xf>
    <xf numFmtId="195" fontId="231" fillId="87" borderId="467" xfId="63" applyNumberFormat="1" applyFont="1" applyFill="1" applyBorder="1" applyAlignment="1">
      <alignment wrapText="1"/>
    </xf>
    <xf numFmtId="0" fontId="231" fillId="87" borderId="466" xfId="63" applyFont="1" applyFill="1" applyBorder="1" applyAlignment="1">
      <alignment wrapText="1"/>
    </xf>
    <xf numFmtId="195" fontId="231" fillId="0" borderId="476" xfId="63" applyNumberFormat="1" applyFont="1" applyBorder="1" applyAlignment="1">
      <alignment wrapText="1"/>
    </xf>
    <xf numFmtId="0" fontId="231" fillId="0" borderId="468" xfId="63" applyFont="1" applyBorder="1" applyAlignment="1">
      <alignment wrapText="1"/>
    </xf>
    <xf numFmtId="0" fontId="231" fillId="0" borderId="478" xfId="63" applyFont="1" applyBorder="1" applyAlignment="1">
      <alignment wrapText="1"/>
    </xf>
    <xf numFmtId="195" fontId="231" fillId="95" borderId="474" xfId="63" applyNumberFormat="1" applyFont="1" applyFill="1" applyBorder="1" applyAlignment="1">
      <alignment wrapText="1"/>
    </xf>
    <xf numFmtId="0" fontId="231" fillId="95" borderId="439" xfId="63" applyFont="1" applyFill="1" applyBorder="1" applyAlignment="1">
      <alignment wrapText="1"/>
    </xf>
    <xf numFmtId="0" fontId="231" fillId="95" borderId="440" xfId="63" applyFont="1" applyFill="1" applyBorder="1" applyAlignment="1">
      <alignment wrapText="1"/>
    </xf>
    <xf numFmtId="201" fontId="241" fillId="0" borderId="467" xfId="63" applyNumberFormat="1" applyFont="1" applyBorder="1" applyAlignment="1">
      <alignment horizontal="right" wrapText="1"/>
    </xf>
    <xf numFmtId="0" fontId="241" fillId="0" borderId="475" xfId="63" applyFont="1" applyBorder="1" applyAlignment="1">
      <alignment horizontal="right" wrapText="1"/>
    </xf>
    <xf numFmtId="0" fontId="241" fillId="87" borderId="467" xfId="63" applyFont="1" applyFill="1" applyBorder="1" applyAlignment="1">
      <alignment horizontal="right" wrapText="1"/>
    </xf>
    <xf numFmtId="0" fontId="241" fillId="87" borderId="475" xfId="63" applyFont="1" applyFill="1" applyBorder="1" applyAlignment="1">
      <alignment horizontal="right" wrapText="1"/>
    </xf>
    <xf numFmtId="0" fontId="241" fillId="0" borderId="467" xfId="63" applyFont="1" applyBorder="1" applyAlignment="1">
      <alignment horizontal="right" wrapText="1"/>
    </xf>
    <xf numFmtId="0" fontId="231" fillId="87" borderId="475" xfId="63" applyFont="1" applyFill="1" applyBorder="1" applyAlignment="1">
      <alignment horizontal="center" wrapText="1"/>
    </xf>
    <xf numFmtId="201" fontId="231" fillId="0" borderId="467" xfId="63" applyNumberFormat="1" applyFont="1" applyBorder="1" applyAlignment="1">
      <alignment wrapText="1"/>
    </xf>
    <xf numFmtId="0" fontId="231" fillId="0" borderId="475" xfId="63" applyFont="1" applyBorder="1" applyAlignment="1">
      <alignment horizontal="right" wrapText="1"/>
    </xf>
    <xf numFmtId="0" fontId="231" fillId="0" borderId="467" xfId="63" applyFont="1" applyBorder="1" applyAlignment="1">
      <alignment horizontal="right" wrapText="1"/>
    </xf>
    <xf numFmtId="0" fontId="231" fillId="0" borderId="466" xfId="63" applyFont="1" applyBorder="1" applyAlignment="1">
      <alignment horizontal="right" wrapText="1"/>
    </xf>
    <xf numFmtId="195" fontId="231" fillId="95" borderId="476" xfId="63" applyNumberFormat="1" applyFont="1" applyFill="1" applyBorder="1" applyAlignment="1">
      <alignment wrapText="1"/>
    </xf>
    <xf numFmtId="0" fontId="231" fillId="95" borderId="478" xfId="63" applyFont="1" applyFill="1" applyBorder="1" applyAlignment="1">
      <alignment horizontal="right" wrapText="1"/>
    </xf>
    <xf numFmtId="238" fontId="241" fillId="95" borderId="465" xfId="63" applyNumberFormat="1" applyFont="1" applyFill="1" applyBorder="1" applyAlignment="1">
      <alignment wrapText="1"/>
    </xf>
    <xf numFmtId="0" fontId="241" fillId="95" borderId="471" xfId="63" applyFont="1" applyFill="1" applyBorder="1" applyAlignment="1">
      <alignment horizontal="right" wrapText="1"/>
    </xf>
    <xf numFmtId="0" fontId="231" fillId="105" borderId="474" xfId="63" applyFont="1" applyFill="1" applyBorder="1" applyAlignment="1">
      <alignment horizontal="left" wrapText="1"/>
    </xf>
    <xf numFmtId="0" fontId="231" fillId="105" borderId="439" xfId="63" applyFont="1" applyFill="1" applyBorder="1" applyAlignment="1">
      <alignment horizontal="left" wrapText="1"/>
    </xf>
    <xf numFmtId="0" fontId="231" fillId="105" borderId="440" xfId="63" applyFont="1" applyFill="1" applyBorder="1" applyAlignment="1">
      <alignment horizontal="left" wrapText="1"/>
    </xf>
    <xf numFmtId="0" fontId="231" fillId="95" borderId="475" xfId="63" applyFont="1" applyFill="1" applyBorder="1" applyAlignment="1">
      <alignment horizontal="right" wrapText="1"/>
    </xf>
    <xf numFmtId="238" fontId="241" fillId="0" borderId="467" xfId="63" applyNumberFormat="1" applyFont="1" applyBorder="1" applyAlignment="1">
      <alignment wrapText="1"/>
    </xf>
    <xf numFmtId="200" fontId="231" fillId="0" borderId="467" xfId="63" applyNumberFormat="1" applyFont="1" applyBorder="1" applyAlignment="1">
      <alignment wrapText="1"/>
    </xf>
    <xf numFmtId="0" fontId="231" fillId="121" borderId="467" xfId="63" applyFont="1" applyFill="1" applyBorder="1" applyAlignment="1">
      <alignment vertical="center" wrapText="1"/>
    </xf>
    <xf numFmtId="0" fontId="231" fillId="121" borderId="466" xfId="63" applyFont="1" applyFill="1" applyBorder="1" applyAlignment="1">
      <alignment vertical="center" wrapText="1"/>
    </xf>
    <xf numFmtId="0" fontId="231" fillId="121" borderId="475" xfId="63" applyFont="1" applyFill="1" applyBorder="1" applyAlignment="1">
      <alignment vertical="center" wrapText="1"/>
    </xf>
    <xf numFmtId="0" fontId="231" fillId="104" borderId="467" xfId="63" applyFont="1" applyFill="1" applyBorder="1" applyAlignment="1">
      <alignment horizontal="center" wrapText="1"/>
    </xf>
    <xf numFmtId="0" fontId="231" fillId="104" borderId="466" xfId="63" applyFont="1" applyFill="1" applyBorder="1" applyAlignment="1">
      <alignment horizontal="center" wrapText="1"/>
    </xf>
    <xf numFmtId="0" fontId="231" fillId="104" borderId="475" xfId="63" applyFont="1" applyFill="1" applyBorder="1" applyAlignment="1">
      <alignment horizontal="center" wrapText="1"/>
    </xf>
    <xf numFmtId="0" fontId="231" fillId="104" borderId="467" xfId="63" applyFont="1" applyFill="1" applyBorder="1" applyAlignment="1">
      <alignment wrapText="1"/>
    </xf>
    <xf numFmtId="0" fontId="231" fillId="104" borderId="466" xfId="63" applyFont="1" applyFill="1" applyBorder="1" applyAlignment="1">
      <alignment wrapText="1"/>
    </xf>
    <xf numFmtId="0" fontId="231" fillId="104" borderId="475" xfId="63" applyFont="1" applyFill="1" applyBorder="1" applyAlignment="1">
      <alignment wrapText="1"/>
    </xf>
    <xf numFmtId="0" fontId="231" fillId="93" borderId="467" xfId="63" applyFont="1" applyFill="1" applyBorder="1" applyAlignment="1">
      <alignment horizontal="center" vertical="center" wrapText="1"/>
    </xf>
    <xf numFmtId="0" fontId="231" fillId="93" borderId="466" xfId="63" applyFont="1" applyFill="1" applyBorder="1" applyAlignment="1">
      <alignment horizontal="center" vertical="center" wrapText="1"/>
    </xf>
    <xf numFmtId="0" fontId="231" fillId="93" borderId="475" xfId="63" applyFont="1" applyFill="1" applyBorder="1" applyAlignment="1">
      <alignment horizontal="center" vertical="center" wrapText="1"/>
    </xf>
    <xf numFmtId="0" fontId="231" fillId="87" borderId="467" xfId="63" applyFont="1" applyFill="1" applyBorder="1" applyAlignment="1">
      <alignment horizontal="left" wrapText="1"/>
    </xf>
    <xf numFmtId="0" fontId="231" fillId="87" borderId="475" xfId="63" applyFont="1" applyFill="1" applyBorder="1" applyAlignment="1">
      <alignment horizontal="left" wrapText="1"/>
    </xf>
    <xf numFmtId="0" fontId="231" fillId="104" borderId="467" xfId="63" applyFont="1" applyFill="1" applyBorder="1" applyAlignment="1">
      <alignment horizontal="left" vertical="center" wrapText="1"/>
    </xf>
    <xf numFmtId="0" fontId="231" fillId="104" borderId="466" xfId="63" applyFont="1" applyFill="1" applyBorder="1" applyAlignment="1">
      <alignment horizontal="left" vertical="center" wrapText="1"/>
    </xf>
    <xf numFmtId="0" fontId="231" fillId="104" borderId="475" xfId="63" applyFont="1" applyFill="1" applyBorder="1" applyAlignment="1">
      <alignment horizontal="left" vertical="center" wrapText="1"/>
    </xf>
    <xf numFmtId="0" fontId="231" fillId="0" borderId="470" xfId="63" applyFont="1" applyBorder="1" applyAlignment="1">
      <alignment horizontal="center" vertical="center" wrapText="1"/>
    </xf>
    <xf numFmtId="0" fontId="231" fillId="0" borderId="476" xfId="63" applyFont="1" applyBorder="1" applyAlignment="1">
      <alignment horizontal="center" vertical="center" wrapText="1"/>
    </xf>
    <xf numFmtId="0" fontId="231" fillId="0" borderId="478" xfId="63" applyFont="1" applyBorder="1" applyAlignment="1">
      <alignment horizontal="center" vertical="center" wrapText="1"/>
    </xf>
    <xf numFmtId="0" fontId="231" fillId="0" borderId="477" xfId="63" applyFont="1" applyBorder="1" applyAlignment="1">
      <alignment vertical="center" wrapText="1"/>
    </xf>
    <xf numFmtId="0" fontId="231" fillId="0" borderId="470" xfId="63" applyFont="1" applyBorder="1" applyAlignment="1">
      <alignment vertical="center" wrapText="1"/>
    </xf>
    <xf numFmtId="0" fontId="234" fillId="0" borderId="439" xfId="63" applyFont="1" applyBorder="1" applyAlignment="1">
      <alignment horizontal="left" wrapText="1"/>
    </xf>
    <xf numFmtId="38" fontId="7" fillId="0" borderId="14" xfId="48" applyNumberFormat="1" applyFont="1" applyBorder="1" applyAlignment="1">
      <alignment horizontal="center" vertical="center" wrapText="1"/>
    </xf>
  </cellXfs>
  <cellStyles count="84">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28" builtinId="3"/>
    <cellStyle name="Comma 2" xfId="29" xr:uid="{00000000-0005-0000-0000-00001C000000}"/>
    <cellStyle name="Comma 2 2" xfId="80" xr:uid="{3105BE32-9706-4837-9ED8-999C0EFC3B28}"/>
    <cellStyle name="Comma 3" xfId="61" xr:uid="{00000000-0005-0000-0000-00001D000000}"/>
    <cellStyle name="Comma 3 2" xfId="65" xr:uid="{00000000-0005-0000-0000-00001E000000}"/>
    <cellStyle name="Comma 6" xfId="62" xr:uid="{00000000-0005-0000-0000-00001F000000}"/>
    <cellStyle name="Currency" xfId="30" builtinId="4"/>
    <cellStyle name="Currency 13" xfId="81" xr:uid="{FEF95288-D32C-4F52-BE56-8ACE516D4F1C}"/>
    <cellStyle name="Currency 2" xfId="31" xr:uid="{00000000-0005-0000-0000-000021000000}"/>
    <cellStyle name="Currency 3" xfId="71" xr:uid="{804D68B1-FE79-4211-A4BB-36D424482236}"/>
    <cellStyle name="Currency 3 2" xfId="75" xr:uid="{8634500C-03FC-4A87-9FE4-7D1233230A42}"/>
    <cellStyle name="Explanatory Text" xfId="32" builtinId="53" customBuiltin="1"/>
    <cellStyle name="Followed Hyperlink" xfId="66" builtinId="9" customBuiltin="1"/>
    <cellStyle name="Good" xfId="33" builtinId="26" customBuiltin="1"/>
    <cellStyle name="Heading 1" xfId="34" builtinId="16" customBuiltin="1"/>
    <cellStyle name="Heading 2" xfId="35" builtinId="17" customBuiltin="1"/>
    <cellStyle name="Heading 3" xfId="36" builtinId="18" customBuiltin="1"/>
    <cellStyle name="Heading 4" xfId="37" builtinId="19" customBuiltin="1"/>
    <cellStyle name="Hyperlink" xfId="38" builtinId="8" customBuiltin="1"/>
    <cellStyle name="Hyperlink 2" xfId="72" xr:uid="{A0C18CA1-2CDD-4ADC-9271-7A8C180FC5A9}"/>
    <cellStyle name="Hyperlink 3" xfId="76" xr:uid="{D32374AE-D7DF-4711-864D-798EB7E9C7D5}"/>
    <cellStyle name="Input" xfId="39" builtinId="20" customBuiltin="1"/>
    <cellStyle name="Linked Cell" xfId="40" builtinId="24" customBuiltin="1"/>
    <cellStyle name="Neutral" xfId="41" builtinId="28" customBuiltin="1"/>
    <cellStyle name="Normal" xfId="0" builtinId="0"/>
    <cellStyle name="Normal 16" xfId="78" xr:uid="{D8AB95F7-B63C-48CE-BC0E-0597FA135440}"/>
    <cellStyle name="Normal 2" xfId="42" xr:uid="{00000000-0005-0000-0000-00002E000000}"/>
    <cellStyle name="Normal 2 2" xfId="63" xr:uid="{00000000-0005-0000-0000-00002F000000}"/>
    <cellStyle name="Normal 3" xfId="77" xr:uid="{FB301C21-C3F6-43AE-82CF-C08B2AAB768F}"/>
    <cellStyle name="Normal 6 3" xfId="82" xr:uid="{B27066F1-5889-4B4C-887A-C181FA576847}"/>
    <cellStyle name="Normal 9" xfId="67" xr:uid="{00000000-0005-0000-0000-000030000000}"/>
    <cellStyle name="Normal_09 Forecast - Draft 8 2_PGE_ASC_Fcst_Mdl_FY2010-11_New_Res_Add_Logic_rbr_2_ALW007" xfId="43" xr:uid="{00000000-0005-0000-0000-000031000000}"/>
    <cellStyle name="Normal_09 Forecast - Draft 8 2_PGE_ASC_Forecast_Model_FY2010-11_Final" xfId="44" xr:uid="{00000000-0005-0000-0000-000032000000}"/>
    <cellStyle name="Normal_ASC 5_9_08 Avista_New Resources" xfId="45" xr:uid="{00000000-0005-0000-0000-000033000000}"/>
    <cellStyle name="Normal_Book1" xfId="46" xr:uid="{00000000-0005-0000-0000-000034000000}"/>
    <cellStyle name="Normal_Bridger Coal Adjustment" xfId="73" xr:uid="{3274D4F0-1A4F-444A-9C8D-0F59C0E6CE21}"/>
    <cellStyle name="Normal_Copy of Snohomish PUD ASC_Forecast_Model_FY2010-11_Rev02_report" xfId="47" xr:uid="{00000000-0005-0000-0000-000035000000}"/>
    <cellStyle name="Normal_Last Approved" xfId="48" xr:uid="{00000000-0005-0000-0000-000036000000}"/>
    <cellStyle name="Normal_NLSL_Essc_Test" xfId="49" xr:uid="{00000000-0005-0000-0000-000037000000}"/>
    <cellStyle name="Normal_Sheet1" xfId="50" xr:uid="{00000000-0005-0000-0000-000038000000}"/>
    <cellStyle name="Normal_Sheet2" xfId="51" xr:uid="{00000000-0005-0000-0000-000039000000}"/>
    <cellStyle name="Normal_Sheet7" xfId="52" xr:uid="{00000000-0005-0000-0000-00003A000000}"/>
    <cellStyle name="Normal_Trapper Long Term Balance Sheet Forecast 10-5-05 2" xfId="74" xr:uid="{56C9C40F-7DC1-4275-893F-3410F361E4A2}"/>
    <cellStyle name="Note" xfId="53" builtinId="10" customBuiltin="1"/>
    <cellStyle name="Output" xfId="54" builtinId="21" customBuiltin="1"/>
    <cellStyle name="Percent" xfId="55" builtinId="5"/>
    <cellStyle name="Percent 2" xfId="56" xr:uid="{00000000-0005-0000-0000-00003E000000}"/>
    <cellStyle name="Percent 3" xfId="60" xr:uid="{00000000-0005-0000-0000-00003F000000}"/>
    <cellStyle name="Percent 3 2" xfId="64" xr:uid="{00000000-0005-0000-0000-000040000000}"/>
    <cellStyle name="SAPBEXtitle 2" xfId="83" xr:uid="{326DA4B4-BFC3-42D3-8383-1796939C2202}"/>
    <cellStyle name="SAPDataCell" xfId="70" xr:uid="{86D34D40-DF23-405E-AF86-4BB203491C0B}"/>
    <cellStyle name="SAPDimensionCell" xfId="68" xr:uid="{C3C967B4-1091-4DE4-9A30-28CB94E84B57}"/>
    <cellStyle name="SAPMemberCell" xfId="69" xr:uid="{CC987B83-7CF3-4E59-A172-77B591199994}"/>
    <cellStyle name="Table (Normal)" xfId="79" xr:uid="{1E39925C-2D7F-4713-9094-7868249820A0}"/>
    <cellStyle name="Title" xfId="57" builtinId="15" customBuiltin="1"/>
    <cellStyle name="Total" xfId="58" builtinId="25" customBuiltin="1"/>
    <cellStyle name="Warning Text" xfId="59" builtinId="11" customBuiltin="1"/>
  </cellStyles>
  <dxfs count="9">
    <dxf>
      <fill>
        <patternFill patternType="none">
          <fgColor indexed="64"/>
          <bgColor indexed="65"/>
        </patternFill>
      </fill>
    </dxf>
    <dxf>
      <fill>
        <patternFill patternType="none">
          <fgColor indexed="64"/>
          <bgColor indexed="65"/>
        </patternFill>
      </fill>
    </dxf>
    <dxf>
      <fill>
        <patternFill patternType="none">
          <fgColor indexed="64"/>
          <bgColor indexed="65"/>
        </patternFill>
      </fill>
    </dxf>
    <dxf>
      <fill>
        <patternFill patternType="darkGray">
          <fgColor indexed="9"/>
          <bgColor indexed="50"/>
        </patternFill>
      </fill>
    </dxf>
    <dxf>
      <fill>
        <patternFill patternType="mediumGray">
          <fgColor indexed="22"/>
          <bgColor indexed="9"/>
        </patternFill>
      </fill>
    </dxf>
    <dxf>
      <fill>
        <patternFill patternType="darkGray">
          <fgColor indexed="9"/>
          <bgColor indexed="50"/>
        </patternFill>
      </fill>
    </dxf>
    <dxf>
      <fill>
        <patternFill patternType="mediumGray">
          <fgColor indexed="22"/>
          <bgColor indexed="9"/>
        </patternFill>
      </fill>
    </dxf>
    <dxf>
      <fill>
        <patternFill>
          <bgColor rgb="FFFF0000"/>
        </patternFill>
      </fill>
    </dxf>
    <dxf>
      <fill>
        <patternFill>
          <bgColor rgb="FFFF0000"/>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CCC0DA"/>
      <color rgb="FF538DD5"/>
      <color rgb="FFFF66FF"/>
      <color rgb="FFA6A6A6"/>
      <color rgb="FFD8E4BC"/>
      <color rgb="FFB8CCE4"/>
      <color rgb="FFDBE5F1"/>
      <color rgb="FFFF6699"/>
      <color rgb="FFFFFF99"/>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worksheet" Target="worksheets/sheet112.xml"/><Relationship Id="rId133" Type="http://schemas.openxmlformats.org/officeDocument/2006/relationships/worksheet" Target="worksheets/sheet133.xml"/><Relationship Id="rId138" Type="http://schemas.openxmlformats.org/officeDocument/2006/relationships/sharedStrings" Target="sharedStrings.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128" Type="http://schemas.openxmlformats.org/officeDocument/2006/relationships/worksheet" Target="worksheets/sheet128.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113" Type="http://schemas.openxmlformats.org/officeDocument/2006/relationships/worksheet" Target="worksheets/sheet113.xml"/><Relationship Id="rId118" Type="http://schemas.openxmlformats.org/officeDocument/2006/relationships/worksheet" Target="worksheets/sheet118.xml"/><Relationship Id="rId134" Type="http://schemas.openxmlformats.org/officeDocument/2006/relationships/worksheet" Target="worksheets/sheet134.xml"/><Relationship Id="rId139" Type="http://schemas.openxmlformats.org/officeDocument/2006/relationships/sheetMetadata" Target="metadata.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worksheet" Target="worksheets/sheet85.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worksheet" Target="worksheets/sheet12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103" Type="http://schemas.openxmlformats.org/officeDocument/2006/relationships/worksheet" Target="worksheets/sheet103.xml"/><Relationship Id="rId108" Type="http://schemas.openxmlformats.org/officeDocument/2006/relationships/worksheet" Target="worksheets/sheet108.xml"/><Relationship Id="rId116" Type="http://schemas.openxmlformats.org/officeDocument/2006/relationships/worksheet" Target="worksheets/sheet116.xml"/><Relationship Id="rId124" Type="http://schemas.openxmlformats.org/officeDocument/2006/relationships/worksheet" Target="worksheets/sheet124.xml"/><Relationship Id="rId129" Type="http://schemas.openxmlformats.org/officeDocument/2006/relationships/worksheet" Target="worksheets/sheet129.xml"/><Relationship Id="rId137" Type="http://schemas.openxmlformats.org/officeDocument/2006/relationships/styles" Target="styles.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worksheet" Target="worksheets/sheet88.xml"/><Relationship Id="rId91" Type="http://schemas.openxmlformats.org/officeDocument/2006/relationships/worksheet" Target="worksheets/sheet91.xml"/><Relationship Id="rId96" Type="http://schemas.openxmlformats.org/officeDocument/2006/relationships/worksheet" Target="worksheets/sheet96.xml"/><Relationship Id="rId111" Type="http://schemas.openxmlformats.org/officeDocument/2006/relationships/worksheet" Target="worksheets/sheet111.xml"/><Relationship Id="rId132" Type="http://schemas.openxmlformats.org/officeDocument/2006/relationships/worksheet" Target="worksheets/sheet132.xml"/><Relationship Id="rId140"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6" Type="http://schemas.openxmlformats.org/officeDocument/2006/relationships/worksheet" Target="worksheets/sheet106.xml"/><Relationship Id="rId114" Type="http://schemas.openxmlformats.org/officeDocument/2006/relationships/worksheet" Target="worksheets/sheet114.xml"/><Relationship Id="rId119" Type="http://schemas.openxmlformats.org/officeDocument/2006/relationships/worksheet" Target="worksheets/sheet119.xml"/><Relationship Id="rId127" Type="http://schemas.openxmlformats.org/officeDocument/2006/relationships/worksheet" Target="worksheets/sheet12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130" Type="http://schemas.openxmlformats.org/officeDocument/2006/relationships/worksheet" Target="worksheets/sheet130.xml"/><Relationship Id="rId13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worksheet" Target="worksheets/sheet120.xml"/><Relationship Id="rId125" Type="http://schemas.openxmlformats.org/officeDocument/2006/relationships/worksheet" Target="worksheets/sheet125.xml"/><Relationship Id="rId141" Type="http://schemas.openxmlformats.org/officeDocument/2006/relationships/calcChain" Target="calcChain.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131" Type="http://schemas.openxmlformats.org/officeDocument/2006/relationships/worksheet" Target="worksheets/sheet131.xml"/><Relationship Id="rId136" Type="http://schemas.openxmlformats.org/officeDocument/2006/relationships/theme" Target="theme/theme1.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26" Type="http://schemas.openxmlformats.org/officeDocument/2006/relationships/worksheet" Target="worksheets/sheet126.xml"/></Relationships>
</file>

<file path=xl/drawings/_rels/drawing1.xml.rels><?xml version="1.0" encoding="UTF-8" standalone="yes"?>
<Relationships xmlns="http://schemas.openxmlformats.org/package/2006/relationships"><Relationship Id="rId1" Type="http://schemas.openxmlformats.org/officeDocument/2006/relationships/image" Target="../media/image2.jpe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2.jpeg"/><Relationship Id="rId1" Type="http://schemas.openxmlformats.org/officeDocument/2006/relationships/image" Target="../media/image3.jpeg"/><Relationship Id="rId5" Type="http://schemas.openxmlformats.org/officeDocument/2006/relationships/image" Target="../media/image6.png"/><Relationship Id="rId4" Type="http://schemas.openxmlformats.org/officeDocument/2006/relationships/image" Target="../media/image5.pn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6.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7.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8.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9.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10.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1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12.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13.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14.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15.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16.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17.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18.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19.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0.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0</xdr:rowOff>
    </xdr:from>
    <xdr:to>
      <xdr:col>1</xdr:col>
      <xdr:colOff>1714500</xdr:colOff>
      <xdr:row>1</xdr:row>
      <xdr:rowOff>485775</xdr:rowOff>
    </xdr:to>
    <xdr:pic>
      <xdr:nvPicPr>
        <xdr:cNvPr id="2" name="Picture 12" descr="File63898">
          <a:extLst>
            <a:ext uri="{FF2B5EF4-FFF2-40B4-BE49-F238E27FC236}">
              <a16:creationId xmlns:a16="http://schemas.microsoft.com/office/drawing/2014/main" id="{00000000-0008-0000-1E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504825"/>
          <a:ext cx="227647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xdr:from>
          <xdr:col>0</xdr:col>
          <xdr:colOff>9525</xdr:colOff>
          <xdr:row>2</xdr:row>
          <xdr:rowOff>28575</xdr:rowOff>
        </xdr:from>
        <xdr:to>
          <xdr:col>1</xdr:col>
          <xdr:colOff>1095375</xdr:colOff>
          <xdr:row>2</xdr:row>
          <xdr:rowOff>504825</xdr:rowOff>
        </xdr:to>
        <xdr:sp macro="" textlink="">
          <xdr:nvSpPr>
            <xdr:cNvPr id="118785" name="Object 1" hidden="1">
              <a:extLst>
                <a:ext uri="{63B3BB69-23CF-44E3-9099-C40C66FF867C}">
                  <a14:compatExt spid="_x0000_s118785"/>
                </a:ext>
                <a:ext uri="{FF2B5EF4-FFF2-40B4-BE49-F238E27FC236}">
                  <a16:creationId xmlns:a16="http://schemas.microsoft.com/office/drawing/2014/main" id="{00000000-0008-0000-1E00-000001D00100}"/>
                </a:ext>
              </a:extLst>
            </xdr:cNvPr>
            <xdr:cNvSpPr/>
          </xdr:nvSpPr>
          <xdr:spPr bwMode="auto">
            <a:xfrm>
              <a:off x="0" y="0"/>
              <a:ext cx="0" cy="0"/>
            </a:xfrm>
            <a:prstGeom prst="rect">
              <a:avLst/>
            </a:prstGeom>
            <a:solidFill>
              <a:srgbClr val="FFFFFF"/>
            </a:solidFill>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38100</xdr:colOff>
          <xdr:row>0</xdr:row>
          <xdr:rowOff>95250</xdr:rowOff>
        </xdr:from>
        <xdr:to>
          <xdr:col>2</xdr:col>
          <xdr:colOff>619125</xdr:colOff>
          <xdr:row>3</xdr:row>
          <xdr:rowOff>9525</xdr:rowOff>
        </xdr:to>
        <xdr:sp macro="" textlink="">
          <xdr:nvSpPr>
            <xdr:cNvPr id="118786" name="Object 2" hidden="1">
              <a:extLst>
                <a:ext uri="{63B3BB69-23CF-44E3-9099-C40C66FF867C}">
                  <a14:compatExt spid="_x0000_s118786"/>
                </a:ext>
                <a:ext uri="{FF2B5EF4-FFF2-40B4-BE49-F238E27FC236}">
                  <a16:creationId xmlns:a16="http://schemas.microsoft.com/office/drawing/2014/main" id="{00000000-0008-0000-1E00-000002D00100}"/>
                </a:ext>
              </a:extLst>
            </xdr:cNvPr>
            <xdr:cNvSpPr/>
          </xdr:nvSpPr>
          <xdr:spPr bwMode="auto">
            <a:xfrm>
              <a:off x="0" y="0"/>
              <a:ext cx="0" cy="0"/>
            </a:xfrm>
            <a:prstGeom prst="rect">
              <a:avLst/>
            </a:prstGeom>
            <a:solidFill>
              <a:srgbClr val="FFFFFF"/>
            </a:solidFill>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0</xdr:col>
      <xdr:colOff>1</xdr:colOff>
      <xdr:row>0</xdr:row>
      <xdr:rowOff>9525</xdr:rowOff>
    </xdr:from>
    <xdr:to>
      <xdr:col>1</xdr:col>
      <xdr:colOff>1371600</xdr:colOff>
      <xdr:row>0</xdr:row>
      <xdr:rowOff>495819</xdr:rowOff>
    </xdr:to>
    <xdr:pic>
      <xdr:nvPicPr>
        <xdr:cNvPr id="2" name="Picture 5" descr="File63858">
          <a:extLst>
            <a:ext uri="{FF2B5EF4-FFF2-40B4-BE49-F238E27FC236}">
              <a16:creationId xmlns:a16="http://schemas.microsoft.com/office/drawing/2014/main" id="{00000000-0008-0000-1F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 y="0"/>
          <a:ext cx="2381249"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1</xdr:row>
      <xdr:rowOff>0</xdr:rowOff>
    </xdr:from>
    <xdr:to>
      <xdr:col>1</xdr:col>
      <xdr:colOff>1714500</xdr:colOff>
      <xdr:row>1</xdr:row>
      <xdr:rowOff>485775</xdr:rowOff>
    </xdr:to>
    <xdr:pic>
      <xdr:nvPicPr>
        <xdr:cNvPr id="3" name="Picture 12" descr="File63898">
          <a:extLst>
            <a:ext uri="{FF2B5EF4-FFF2-40B4-BE49-F238E27FC236}">
              <a16:creationId xmlns:a16="http://schemas.microsoft.com/office/drawing/2014/main" id="{00000000-0008-0000-1F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0" y="0"/>
          <a:ext cx="272415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xdr:from>
          <xdr:col>0</xdr:col>
          <xdr:colOff>38100</xdr:colOff>
          <xdr:row>2</xdr:row>
          <xdr:rowOff>95250</xdr:rowOff>
        </xdr:from>
        <xdr:to>
          <xdr:col>1</xdr:col>
          <xdr:colOff>1885950</xdr:colOff>
          <xdr:row>3</xdr:row>
          <xdr:rowOff>66675</xdr:rowOff>
        </xdr:to>
        <xdr:sp macro="" textlink="">
          <xdr:nvSpPr>
            <xdr:cNvPr id="119809" name="Object 1" hidden="1">
              <a:extLst>
                <a:ext uri="{63B3BB69-23CF-44E3-9099-C40C66FF867C}">
                  <a14:compatExt spid="_x0000_s119809"/>
                </a:ext>
                <a:ext uri="{FF2B5EF4-FFF2-40B4-BE49-F238E27FC236}">
                  <a16:creationId xmlns:a16="http://schemas.microsoft.com/office/drawing/2014/main" id="{00000000-0008-0000-1F00-000001D40100}"/>
                </a:ext>
              </a:extLst>
            </xdr:cNvPr>
            <xdr:cNvSpPr/>
          </xdr:nvSpPr>
          <xdr:spPr bwMode="auto">
            <a:xfrm>
              <a:off x="0" y="0"/>
              <a:ext cx="0" cy="0"/>
            </a:xfrm>
            <a:prstGeom prst="rect">
              <a:avLst/>
            </a:prstGeom>
            <a:solidFill>
              <a:srgbClr val="FFFFFF"/>
            </a:solidFill>
          </xdr:spPr>
        </xdr:sp>
        <xdr:clientData/>
      </xdr:twoCellAnchor>
    </mc:Choice>
    <mc:Fallback/>
  </mc:AlternateContent>
  <xdr:twoCellAnchor editAs="oneCell">
    <xdr:from>
      <xdr:col>9</xdr:col>
      <xdr:colOff>495300</xdr:colOff>
      <xdr:row>630</xdr:row>
      <xdr:rowOff>38100</xdr:rowOff>
    </xdr:from>
    <xdr:to>
      <xdr:col>14</xdr:col>
      <xdr:colOff>317275</xdr:colOff>
      <xdr:row>704</xdr:row>
      <xdr:rowOff>104775</xdr:rowOff>
    </xdr:to>
    <xdr:pic>
      <xdr:nvPicPr>
        <xdr:cNvPr id="4" name="Picture 3">
          <a:extLst>
            <a:ext uri="{FF2B5EF4-FFF2-40B4-BE49-F238E27FC236}">
              <a16:creationId xmlns:a16="http://schemas.microsoft.com/office/drawing/2014/main" id="{00000000-0008-0000-1F00-000004000000}"/>
            </a:ext>
          </a:extLst>
        </xdr:cNvPr>
        <xdr:cNvPicPr>
          <a:picLocks noChangeAspect="1"/>
        </xdr:cNvPicPr>
      </xdr:nvPicPr>
      <xdr:blipFill>
        <a:blip xmlns:r="http://schemas.openxmlformats.org/officeDocument/2006/relationships" r:embed="rId3"/>
        <a:stretch>
          <a:fillRect/>
        </a:stretch>
      </xdr:blipFill>
      <xdr:spPr>
        <a:xfrm>
          <a:off x="7343775" y="38242875"/>
          <a:ext cx="2460400" cy="2638425"/>
        </a:xfrm>
        <a:prstGeom prst="rect">
          <a:avLst/>
        </a:prstGeom>
      </xdr:spPr>
    </xdr:pic>
    <xdr:clientData/>
  </xdr:twoCellAnchor>
  <xdr:twoCellAnchor editAs="oneCell">
    <xdr:from>
      <xdr:col>15</xdr:col>
      <xdr:colOff>19051</xdr:colOff>
      <xdr:row>630</xdr:row>
      <xdr:rowOff>38100</xdr:rowOff>
    </xdr:from>
    <xdr:to>
      <xdr:col>21</xdr:col>
      <xdr:colOff>323851</xdr:colOff>
      <xdr:row>704</xdr:row>
      <xdr:rowOff>127663</xdr:rowOff>
    </xdr:to>
    <xdr:pic>
      <xdr:nvPicPr>
        <xdr:cNvPr id="5" name="Picture 4">
          <a:extLst>
            <a:ext uri="{FF2B5EF4-FFF2-40B4-BE49-F238E27FC236}">
              <a16:creationId xmlns:a16="http://schemas.microsoft.com/office/drawing/2014/main" id="{00000000-0008-0000-1F00-000005000000}"/>
            </a:ext>
          </a:extLst>
        </xdr:cNvPr>
        <xdr:cNvPicPr>
          <a:picLocks noChangeAspect="1"/>
        </xdr:cNvPicPr>
      </xdr:nvPicPr>
      <xdr:blipFill>
        <a:blip xmlns:r="http://schemas.openxmlformats.org/officeDocument/2006/relationships" r:embed="rId4"/>
        <a:stretch>
          <a:fillRect/>
        </a:stretch>
      </xdr:blipFill>
      <xdr:spPr>
        <a:xfrm>
          <a:off x="9867901" y="38242875"/>
          <a:ext cx="2476500" cy="2661313"/>
        </a:xfrm>
        <a:prstGeom prst="rect">
          <a:avLst/>
        </a:prstGeom>
      </xdr:spPr>
    </xdr:pic>
    <xdr:clientData/>
  </xdr:twoCellAnchor>
  <xdr:twoCellAnchor editAs="oneCell">
    <xdr:from>
      <xdr:col>21</xdr:col>
      <xdr:colOff>333375</xdr:colOff>
      <xdr:row>630</xdr:row>
      <xdr:rowOff>38101</xdr:rowOff>
    </xdr:from>
    <xdr:to>
      <xdr:col>29</xdr:col>
      <xdr:colOff>18178</xdr:colOff>
      <xdr:row>705</xdr:row>
      <xdr:rowOff>0</xdr:rowOff>
    </xdr:to>
    <xdr:pic>
      <xdr:nvPicPr>
        <xdr:cNvPr id="6" name="Picture 5">
          <a:extLst>
            <a:ext uri="{FF2B5EF4-FFF2-40B4-BE49-F238E27FC236}">
              <a16:creationId xmlns:a16="http://schemas.microsoft.com/office/drawing/2014/main" id="{00000000-0008-0000-1F00-000006000000}"/>
            </a:ext>
          </a:extLst>
        </xdr:cNvPr>
        <xdr:cNvPicPr>
          <a:picLocks noChangeAspect="1"/>
        </xdr:cNvPicPr>
      </xdr:nvPicPr>
      <xdr:blipFill>
        <a:blip xmlns:r="http://schemas.openxmlformats.org/officeDocument/2006/relationships" r:embed="rId5"/>
        <a:stretch>
          <a:fillRect/>
        </a:stretch>
      </xdr:blipFill>
      <xdr:spPr>
        <a:xfrm>
          <a:off x="12353925" y="38242876"/>
          <a:ext cx="2504203" cy="27051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xdr:row>
      <xdr:rowOff>0</xdr:rowOff>
    </xdr:from>
    <xdr:to>
      <xdr:col>1</xdr:col>
      <xdr:colOff>1714500</xdr:colOff>
      <xdr:row>1</xdr:row>
      <xdr:rowOff>485775</xdr:rowOff>
    </xdr:to>
    <xdr:pic>
      <xdr:nvPicPr>
        <xdr:cNvPr id="2" name="Picture 12" descr="File63898">
          <a:extLst>
            <a:ext uri="{FF2B5EF4-FFF2-40B4-BE49-F238E27FC236}">
              <a16:creationId xmlns:a16="http://schemas.microsoft.com/office/drawing/2014/main" id="{00000000-0008-0000-2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504825"/>
          <a:ext cx="27051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xdr:from>
          <xdr:col>0</xdr:col>
          <xdr:colOff>9525</xdr:colOff>
          <xdr:row>2</xdr:row>
          <xdr:rowOff>28575</xdr:rowOff>
        </xdr:from>
        <xdr:to>
          <xdr:col>1</xdr:col>
          <xdr:colOff>1095375</xdr:colOff>
          <xdr:row>2</xdr:row>
          <xdr:rowOff>504825</xdr:rowOff>
        </xdr:to>
        <xdr:sp macro="" textlink="">
          <xdr:nvSpPr>
            <xdr:cNvPr id="120833" name="Object 1" hidden="1">
              <a:extLst>
                <a:ext uri="{63B3BB69-23CF-44E3-9099-C40C66FF867C}">
                  <a14:compatExt spid="_x0000_s120833"/>
                </a:ext>
                <a:ext uri="{FF2B5EF4-FFF2-40B4-BE49-F238E27FC236}">
                  <a16:creationId xmlns:a16="http://schemas.microsoft.com/office/drawing/2014/main" id="{00000000-0008-0000-2000-000001D80100}"/>
                </a:ext>
              </a:extLst>
            </xdr:cNvPr>
            <xdr:cNvSpPr/>
          </xdr:nvSpPr>
          <xdr:spPr bwMode="auto">
            <a:xfrm>
              <a:off x="0" y="0"/>
              <a:ext cx="0" cy="0"/>
            </a:xfrm>
            <a:prstGeom prst="rect">
              <a:avLst/>
            </a:prstGeom>
            <a:solidFill>
              <a:srgbClr val="FFFFFF"/>
            </a:solidFill>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38100</xdr:colOff>
          <xdr:row>0</xdr:row>
          <xdr:rowOff>95250</xdr:rowOff>
        </xdr:from>
        <xdr:to>
          <xdr:col>1</xdr:col>
          <xdr:colOff>1905000</xdr:colOff>
          <xdr:row>3</xdr:row>
          <xdr:rowOff>9525</xdr:rowOff>
        </xdr:to>
        <xdr:sp macro="" textlink="">
          <xdr:nvSpPr>
            <xdr:cNvPr id="120834" name="Object 2" hidden="1">
              <a:extLst>
                <a:ext uri="{63B3BB69-23CF-44E3-9099-C40C66FF867C}">
                  <a14:compatExt spid="_x0000_s120834"/>
                </a:ext>
                <a:ext uri="{FF2B5EF4-FFF2-40B4-BE49-F238E27FC236}">
                  <a16:creationId xmlns:a16="http://schemas.microsoft.com/office/drawing/2014/main" id="{00000000-0008-0000-2000-000002D80100}"/>
                </a:ext>
              </a:extLst>
            </xdr:cNvPr>
            <xdr:cNvSpPr/>
          </xdr:nvSpPr>
          <xdr:spPr bwMode="auto">
            <a:xfrm>
              <a:off x="0" y="0"/>
              <a:ext cx="0" cy="0"/>
            </a:xfrm>
            <a:prstGeom prst="rect">
              <a:avLst/>
            </a:prstGeom>
            <a:solidFill>
              <a:srgbClr val="FFFFFF"/>
            </a:solidFill>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0</xdr:col>
      <xdr:colOff>0</xdr:colOff>
      <xdr:row>1</xdr:row>
      <xdr:rowOff>0</xdr:rowOff>
    </xdr:from>
    <xdr:to>
      <xdr:col>1</xdr:col>
      <xdr:colOff>1714500</xdr:colOff>
      <xdr:row>1</xdr:row>
      <xdr:rowOff>485775</xdr:rowOff>
    </xdr:to>
    <xdr:pic>
      <xdr:nvPicPr>
        <xdr:cNvPr id="2" name="Picture 12" descr="File63898">
          <a:extLst>
            <a:ext uri="{FF2B5EF4-FFF2-40B4-BE49-F238E27FC236}">
              <a16:creationId xmlns:a16="http://schemas.microsoft.com/office/drawing/2014/main" id="{00000000-0008-0000-2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504825"/>
          <a:ext cx="27051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xdr:from>
          <xdr:col>0</xdr:col>
          <xdr:colOff>9525</xdr:colOff>
          <xdr:row>2</xdr:row>
          <xdr:rowOff>28575</xdr:rowOff>
        </xdr:from>
        <xdr:to>
          <xdr:col>1</xdr:col>
          <xdr:colOff>1095375</xdr:colOff>
          <xdr:row>2</xdr:row>
          <xdr:rowOff>504825</xdr:rowOff>
        </xdr:to>
        <xdr:sp macro="" textlink="">
          <xdr:nvSpPr>
            <xdr:cNvPr id="121857" name="Object 1" hidden="1">
              <a:extLst>
                <a:ext uri="{63B3BB69-23CF-44E3-9099-C40C66FF867C}">
                  <a14:compatExt spid="_x0000_s121857"/>
                </a:ext>
                <a:ext uri="{FF2B5EF4-FFF2-40B4-BE49-F238E27FC236}">
                  <a16:creationId xmlns:a16="http://schemas.microsoft.com/office/drawing/2014/main" id="{00000000-0008-0000-2100-000001DC0100}"/>
                </a:ext>
              </a:extLst>
            </xdr:cNvPr>
            <xdr:cNvSpPr/>
          </xdr:nvSpPr>
          <xdr:spPr bwMode="auto">
            <a:xfrm>
              <a:off x="0" y="0"/>
              <a:ext cx="0" cy="0"/>
            </a:xfrm>
            <a:prstGeom prst="rect">
              <a:avLst/>
            </a:prstGeom>
            <a:solidFill>
              <a:srgbClr val="FFFFFF"/>
            </a:solidFill>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38100</xdr:colOff>
          <xdr:row>0</xdr:row>
          <xdr:rowOff>95250</xdr:rowOff>
        </xdr:from>
        <xdr:to>
          <xdr:col>1</xdr:col>
          <xdr:colOff>1905000</xdr:colOff>
          <xdr:row>3</xdr:row>
          <xdr:rowOff>9525</xdr:rowOff>
        </xdr:to>
        <xdr:sp macro="" textlink="">
          <xdr:nvSpPr>
            <xdr:cNvPr id="121858" name="Object 2" hidden="1">
              <a:extLst>
                <a:ext uri="{63B3BB69-23CF-44E3-9099-C40C66FF867C}">
                  <a14:compatExt spid="_x0000_s121858"/>
                </a:ext>
                <a:ext uri="{FF2B5EF4-FFF2-40B4-BE49-F238E27FC236}">
                  <a16:creationId xmlns:a16="http://schemas.microsoft.com/office/drawing/2014/main" id="{00000000-0008-0000-2100-000002DC0100}"/>
                </a:ext>
              </a:extLst>
            </xdr:cNvPr>
            <xdr:cNvSpPr/>
          </xdr:nvSpPr>
          <xdr:spPr bwMode="auto">
            <a:xfrm>
              <a:off x="0" y="0"/>
              <a:ext cx="0" cy="0"/>
            </a:xfrm>
            <a:prstGeom prst="rect">
              <a:avLst/>
            </a:prstGeom>
            <a:solidFill>
              <a:srgbClr val="FFFFFF"/>
            </a:solidFill>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0</xdr:col>
      <xdr:colOff>1</xdr:colOff>
      <xdr:row>0</xdr:row>
      <xdr:rowOff>9525</xdr:rowOff>
    </xdr:from>
    <xdr:to>
      <xdr:col>1</xdr:col>
      <xdr:colOff>1371600</xdr:colOff>
      <xdr:row>0</xdr:row>
      <xdr:rowOff>495819</xdr:rowOff>
    </xdr:to>
    <xdr:pic>
      <xdr:nvPicPr>
        <xdr:cNvPr id="2" name="Picture 5" descr="File63858">
          <a:extLst>
            <a:ext uri="{FF2B5EF4-FFF2-40B4-BE49-F238E27FC236}">
              <a16:creationId xmlns:a16="http://schemas.microsoft.com/office/drawing/2014/main" id="{00000000-0008-0000-22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 y="0"/>
          <a:ext cx="2362199"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1</xdr:row>
      <xdr:rowOff>0</xdr:rowOff>
    </xdr:from>
    <xdr:to>
      <xdr:col>1</xdr:col>
      <xdr:colOff>1714500</xdr:colOff>
      <xdr:row>1</xdr:row>
      <xdr:rowOff>485775</xdr:rowOff>
    </xdr:to>
    <xdr:pic>
      <xdr:nvPicPr>
        <xdr:cNvPr id="3" name="Picture 12" descr="File63898">
          <a:extLst>
            <a:ext uri="{FF2B5EF4-FFF2-40B4-BE49-F238E27FC236}">
              <a16:creationId xmlns:a16="http://schemas.microsoft.com/office/drawing/2014/main" id="{00000000-0008-0000-22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0" y="0"/>
          <a:ext cx="27051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xdr:from>
          <xdr:col>0</xdr:col>
          <xdr:colOff>38100</xdr:colOff>
          <xdr:row>2</xdr:row>
          <xdr:rowOff>95250</xdr:rowOff>
        </xdr:from>
        <xdr:to>
          <xdr:col>1</xdr:col>
          <xdr:colOff>1905000</xdr:colOff>
          <xdr:row>3</xdr:row>
          <xdr:rowOff>66675</xdr:rowOff>
        </xdr:to>
        <xdr:sp macro="" textlink="">
          <xdr:nvSpPr>
            <xdr:cNvPr id="122881" name="Object 1" hidden="1">
              <a:extLst>
                <a:ext uri="{63B3BB69-23CF-44E3-9099-C40C66FF867C}">
                  <a14:compatExt spid="_x0000_s122881"/>
                </a:ext>
                <a:ext uri="{FF2B5EF4-FFF2-40B4-BE49-F238E27FC236}">
                  <a16:creationId xmlns:a16="http://schemas.microsoft.com/office/drawing/2014/main" id="{00000000-0008-0000-2200-000001E00100}"/>
                </a:ext>
              </a:extLst>
            </xdr:cNvPr>
            <xdr:cNvSpPr/>
          </xdr:nvSpPr>
          <xdr:spPr bwMode="auto">
            <a:xfrm>
              <a:off x="0" y="0"/>
              <a:ext cx="0" cy="0"/>
            </a:xfrm>
            <a:prstGeom prst="rect">
              <a:avLst/>
            </a:prstGeom>
            <a:solidFill>
              <a:srgbClr val="FFFFFF"/>
            </a:solidFill>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38100</xdr:colOff>
          <xdr:row>0</xdr:row>
          <xdr:rowOff>95250</xdr:rowOff>
        </xdr:from>
        <xdr:to>
          <xdr:col>2</xdr:col>
          <xdr:colOff>438150</xdr:colOff>
          <xdr:row>4</xdr:row>
          <xdr:rowOff>9525</xdr:rowOff>
        </xdr:to>
        <xdr:sp macro="" textlink="">
          <xdr:nvSpPr>
            <xdr:cNvPr id="123905" name="Object 1" hidden="1">
              <a:extLst>
                <a:ext uri="{63B3BB69-23CF-44E3-9099-C40C66FF867C}">
                  <a14:compatExt spid="_x0000_s123905"/>
                </a:ext>
                <a:ext uri="{FF2B5EF4-FFF2-40B4-BE49-F238E27FC236}">
                  <a16:creationId xmlns:a16="http://schemas.microsoft.com/office/drawing/2014/main" id="{00000000-0008-0000-2300-000001E40100}"/>
                </a:ext>
              </a:extLst>
            </xdr:cNvPr>
            <xdr:cNvSpPr/>
          </xdr:nvSpPr>
          <xdr:spPr bwMode="auto">
            <a:xfrm>
              <a:off x="0" y="0"/>
              <a:ext cx="0" cy="0"/>
            </a:xfrm>
            <a:prstGeom prst="rect">
              <a:avLst/>
            </a:prstGeom>
            <a:solidFill>
              <a:srgbClr val="FFFFFF"/>
            </a:solidFill>
          </xdr:spPr>
        </xdr:sp>
        <xdr:clientData/>
      </xdr:twoCellAnchor>
    </mc:Choice>
    <mc:Fallback/>
  </mc:AlternateContent>
</xdr:wsDr>
</file>

<file path=xl/drawings/drawing7.xml><?xml version="1.0" encoding="utf-8"?>
<xdr:wsDr xmlns:xdr="http://schemas.openxmlformats.org/drawingml/2006/spreadsheetDrawing" xmlns:a="http://schemas.openxmlformats.org/drawingml/2006/main">
  <xdr:twoCellAnchor>
    <xdr:from>
      <xdr:col>0</xdr:col>
      <xdr:colOff>0</xdr:colOff>
      <xdr:row>1</xdr:row>
      <xdr:rowOff>0</xdr:rowOff>
    </xdr:from>
    <xdr:to>
      <xdr:col>1</xdr:col>
      <xdr:colOff>1714500</xdr:colOff>
      <xdr:row>1</xdr:row>
      <xdr:rowOff>485775</xdr:rowOff>
    </xdr:to>
    <xdr:pic>
      <xdr:nvPicPr>
        <xdr:cNvPr id="3" name="Picture 12" descr="File63898">
          <a:extLst>
            <a:ext uri="{FF2B5EF4-FFF2-40B4-BE49-F238E27FC236}">
              <a16:creationId xmlns:a16="http://schemas.microsoft.com/office/drawing/2014/main" id="{00000000-0008-0000-24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504825"/>
          <a:ext cx="277177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xdr:from>
          <xdr:col>0</xdr:col>
          <xdr:colOff>9525</xdr:colOff>
          <xdr:row>2</xdr:row>
          <xdr:rowOff>19050</xdr:rowOff>
        </xdr:from>
        <xdr:to>
          <xdr:col>1</xdr:col>
          <xdr:colOff>1095375</xdr:colOff>
          <xdr:row>2</xdr:row>
          <xdr:rowOff>504825</xdr:rowOff>
        </xdr:to>
        <xdr:sp macro="" textlink="">
          <xdr:nvSpPr>
            <xdr:cNvPr id="124929" name="Object 1" hidden="1">
              <a:extLst>
                <a:ext uri="{63B3BB69-23CF-44E3-9099-C40C66FF867C}">
                  <a14:compatExt spid="_x0000_s124929"/>
                </a:ext>
                <a:ext uri="{FF2B5EF4-FFF2-40B4-BE49-F238E27FC236}">
                  <a16:creationId xmlns:a16="http://schemas.microsoft.com/office/drawing/2014/main" id="{00000000-0008-0000-2400-000001E80100}"/>
                </a:ext>
              </a:extLst>
            </xdr:cNvPr>
            <xdr:cNvSpPr/>
          </xdr:nvSpPr>
          <xdr:spPr bwMode="auto">
            <a:xfrm>
              <a:off x="0" y="0"/>
              <a:ext cx="0" cy="0"/>
            </a:xfrm>
            <a:prstGeom prst="rect">
              <a:avLst/>
            </a:prstGeom>
            <a:solidFill>
              <a:srgbClr val="FFFFFF"/>
            </a:solidFill>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38100</xdr:colOff>
          <xdr:row>0</xdr:row>
          <xdr:rowOff>95250</xdr:rowOff>
        </xdr:from>
        <xdr:to>
          <xdr:col>1</xdr:col>
          <xdr:colOff>1838325</xdr:colOff>
          <xdr:row>3</xdr:row>
          <xdr:rowOff>9525</xdr:rowOff>
        </xdr:to>
        <xdr:sp macro="" textlink="">
          <xdr:nvSpPr>
            <xdr:cNvPr id="124930" name="Object 2" hidden="1">
              <a:extLst>
                <a:ext uri="{63B3BB69-23CF-44E3-9099-C40C66FF867C}">
                  <a14:compatExt spid="_x0000_s124930"/>
                </a:ext>
                <a:ext uri="{FF2B5EF4-FFF2-40B4-BE49-F238E27FC236}">
                  <a16:creationId xmlns:a16="http://schemas.microsoft.com/office/drawing/2014/main" id="{00000000-0008-0000-2400-000002E80100}"/>
                </a:ext>
              </a:extLst>
            </xdr:cNvPr>
            <xdr:cNvSpPr/>
          </xdr:nvSpPr>
          <xdr:spPr bwMode="auto">
            <a:xfrm>
              <a:off x="0" y="0"/>
              <a:ext cx="0" cy="0"/>
            </a:xfrm>
            <a:prstGeom prst="rect">
              <a:avLst/>
            </a:prstGeom>
            <a:solidFill>
              <a:srgbClr val="FFFFFF"/>
            </a:solidFill>
          </xdr:spPr>
        </xdr:sp>
        <xdr:clientData/>
      </xdr:twoCellAnchor>
    </mc:Choice>
    <mc:Fallback/>
  </mc:AlternateContent>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38100</xdr:colOff>
          <xdr:row>0</xdr:row>
          <xdr:rowOff>95250</xdr:rowOff>
        </xdr:from>
        <xdr:to>
          <xdr:col>1</xdr:col>
          <xdr:colOff>1857375</xdr:colOff>
          <xdr:row>3</xdr:row>
          <xdr:rowOff>9525</xdr:rowOff>
        </xdr:to>
        <xdr:sp macro="" textlink="">
          <xdr:nvSpPr>
            <xdr:cNvPr id="125953" name="Object 1" hidden="1">
              <a:extLst>
                <a:ext uri="{63B3BB69-23CF-44E3-9099-C40C66FF867C}">
                  <a14:compatExt spid="_x0000_s125953"/>
                </a:ext>
                <a:ext uri="{FF2B5EF4-FFF2-40B4-BE49-F238E27FC236}">
                  <a16:creationId xmlns:a16="http://schemas.microsoft.com/office/drawing/2014/main" id="{00000000-0008-0000-2500-000001EC0100}"/>
                </a:ext>
              </a:extLst>
            </xdr:cNvPr>
            <xdr:cNvSpPr/>
          </xdr:nvSpPr>
          <xdr:spPr bwMode="auto">
            <a:xfrm>
              <a:off x="0" y="0"/>
              <a:ext cx="0" cy="0"/>
            </a:xfrm>
            <a:prstGeom prst="rect">
              <a:avLst/>
            </a:prstGeom>
            <a:solidFill>
              <a:srgbClr val="FFFFFF"/>
            </a:solidFill>
          </xdr:spPr>
        </xdr:sp>
        <xdr:clientData/>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38100</xdr:colOff>
          <xdr:row>0</xdr:row>
          <xdr:rowOff>95250</xdr:rowOff>
        </xdr:from>
        <xdr:to>
          <xdr:col>1</xdr:col>
          <xdr:colOff>1857375</xdr:colOff>
          <xdr:row>3</xdr:row>
          <xdr:rowOff>9525</xdr:rowOff>
        </xdr:to>
        <xdr:sp macro="" textlink="">
          <xdr:nvSpPr>
            <xdr:cNvPr id="139265" name="Object 1" hidden="1">
              <a:extLst>
                <a:ext uri="{63B3BB69-23CF-44E3-9099-C40C66FF867C}">
                  <a14:compatExt spid="_x0000_s139265"/>
                </a:ext>
                <a:ext uri="{FF2B5EF4-FFF2-40B4-BE49-F238E27FC236}">
                  <a16:creationId xmlns:a16="http://schemas.microsoft.com/office/drawing/2014/main" id="{00000000-0008-0000-2600-000001200200}"/>
                </a:ext>
              </a:extLst>
            </xdr:cNvPr>
            <xdr:cNvSpPr/>
          </xdr:nvSpPr>
          <xdr:spPr bwMode="auto">
            <a:xfrm>
              <a:off x="0" y="0"/>
              <a:ext cx="0" cy="0"/>
            </a:xfrm>
            <a:prstGeom prst="rect">
              <a:avLst/>
            </a:prstGeom>
            <a:solidFill>
              <a:srgbClr val="FFFFFF"/>
            </a:solidFill>
          </xdr:spPr>
        </xdr:sp>
        <xdr:clientData/>
      </xdr:twoCellAnchor>
    </mc:Choice>
    <mc:Fallback/>
  </mc:AlternateContent>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38100</xdr:colOff>
          <xdr:row>0</xdr:row>
          <xdr:rowOff>95250</xdr:rowOff>
        </xdr:from>
        <xdr:to>
          <xdr:col>2</xdr:col>
          <xdr:colOff>247650</xdr:colOff>
          <xdr:row>3</xdr:row>
          <xdr:rowOff>9525</xdr:rowOff>
        </xdr:to>
        <xdr:sp macro="" textlink="">
          <xdr:nvSpPr>
            <xdr:cNvPr id="140289" name="Object 1" hidden="1">
              <a:extLst>
                <a:ext uri="{63B3BB69-23CF-44E3-9099-C40C66FF867C}">
                  <a14:compatExt spid="_x0000_s140289"/>
                </a:ext>
                <a:ext uri="{FF2B5EF4-FFF2-40B4-BE49-F238E27FC236}">
                  <a16:creationId xmlns:a16="http://schemas.microsoft.com/office/drawing/2014/main" id="{00000000-0008-0000-2700-000001240200}"/>
                </a:ext>
              </a:extLst>
            </xdr:cNvPr>
            <xdr:cNvSpPr/>
          </xdr:nvSpPr>
          <xdr:spPr bwMode="auto">
            <a:xfrm>
              <a:off x="0" y="0"/>
              <a:ext cx="0" cy="0"/>
            </a:xfrm>
            <a:prstGeom prst="rect">
              <a:avLst/>
            </a:prstGeom>
            <a:solidFill>
              <a:srgbClr val="FFFFFF"/>
            </a:solidFill>
          </xdr:spPr>
        </xdr:sp>
        <xdr:clientData/>
      </xdr:twoCellAnchor>
    </mc:Choice>
    <mc:Fallback/>
  </mc:AlternateContent>
</xdr:wsDr>
</file>

<file path=xl/drawings/drawing1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38100</xdr:colOff>
          <xdr:row>0</xdr:row>
          <xdr:rowOff>95250</xdr:rowOff>
        </xdr:from>
        <xdr:to>
          <xdr:col>2</xdr:col>
          <xdr:colOff>590550</xdr:colOff>
          <xdr:row>3</xdr:row>
          <xdr:rowOff>9525</xdr:rowOff>
        </xdr:to>
        <xdr:sp macro="" textlink="">
          <xdr:nvSpPr>
            <xdr:cNvPr id="141313" name="Object 1" hidden="1">
              <a:extLst>
                <a:ext uri="{63B3BB69-23CF-44E3-9099-C40C66FF867C}">
                  <a14:compatExt spid="_x0000_s141313"/>
                </a:ext>
                <a:ext uri="{FF2B5EF4-FFF2-40B4-BE49-F238E27FC236}">
                  <a16:creationId xmlns:a16="http://schemas.microsoft.com/office/drawing/2014/main" id="{00000000-0008-0000-2800-000001280200}"/>
                </a:ext>
              </a:extLst>
            </xdr:cNvPr>
            <xdr:cNvSpPr/>
          </xdr:nvSpPr>
          <xdr:spPr bwMode="auto">
            <a:xfrm>
              <a:off x="0" y="0"/>
              <a:ext cx="0" cy="0"/>
            </a:xfrm>
            <a:prstGeom prst="rect">
              <a:avLst/>
            </a:prstGeom>
            <a:solidFill>
              <a:srgbClr val="FFFFFF"/>
            </a:solidFill>
          </xdr:spPr>
        </xdr:sp>
        <xdr:clientData/>
      </xdr:twoCellAnchor>
    </mc:Choice>
    <mc:Fallback/>
  </mc:AlternateContent>
</xdr:wsDr>
</file>

<file path=xl/drawings/drawing1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38100</xdr:colOff>
          <xdr:row>0</xdr:row>
          <xdr:rowOff>95250</xdr:rowOff>
        </xdr:from>
        <xdr:to>
          <xdr:col>1</xdr:col>
          <xdr:colOff>1857375</xdr:colOff>
          <xdr:row>3</xdr:row>
          <xdr:rowOff>9525</xdr:rowOff>
        </xdr:to>
        <xdr:sp macro="" textlink="">
          <xdr:nvSpPr>
            <xdr:cNvPr id="142337" name="Object 1" hidden="1">
              <a:extLst>
                <a:ext uri="{63B3BB69-23CF-44E3-9099-C40C66FF867C}">
                  <a14:compatExt spid="_x0000_s142337"/>
                </a:ext>
                <a:ext uri="{FF2B5EF4-FFF2-40B4-BE49-F238E27FC236}">
                  <a16:creationId xmlns:a16="http://schemas.microsoft.com/office/drawing/2014/main" id="{00000000-0008-0000-2900-0000012C0200}"/>
                </a:ext>
              </a:extLst>
            </xdr:cNvPr>
            <xdr:cNvSpPr/>
          </xdr:nvSpPr>
          <xdr:spPr bwMode="auto">
            <a:xfrm>
              <a:off x="0" y="0"/>
              <a:ext cx="0" cy="0"/>
            </a:xfrm>
            <a:prstGeom prst="rect">
              <a:avLst/>
            </a:prstGeom>
            <a:solidFill>
              <a:srgbClr val="FFFFFF"/>
            </a:solidFill>
          </xdr:spPr>
        </xdr:sp>
        <xdr:clientData/>
      </xdr:twoCellAnchor>
    </mc:Choice>
    <mc:Fallback/>
  </mc:AlternateContent>
</xdr:wsDr>
</file>

<file path=xl/drawings/drawing1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38100</xdr:colOff>
          <xdr:row>0</xdr:row>
          <xdr:rowOff>95250</xdr:rowOff>
        </xdr:from>
        <xdr:to>
          <xdr:col>2</xdr:col>
          <xdr:colOff>381000</xdr:colOff>
          <xdr:row>3</xdr:row>
          <xdr:rowOff>9525</xdr:rowOff>
        </xdr:to>
        <xdr:sp macro="" textlink="">
          <xdr:nvSpPr>
            <xdr:cNvPr id="143361" name="Object 1" hidden="1">
              <a:extLst>
                <a:ext uri="{63B3BB69-23CF-44E3-9099-C40C66FF867C}">
                  <a14:compatExt spid="_x0000_s143361"/>
                </a:ext>
                <a:ext uri="{FF2B5EF4-FFF2-40B4-BE49-F238E27FC236}">
                  <a16:creationId xmlns:a16="http://schemas.microsoft.com/office/drawing/2014/main" id="{00000000-0008-0000-2A00-000001300200}"/>
                </a:ext>
              </a:extLst>
            </xdr:cNvPr>
            <xdr:cNvSpPr/>
          </xdr:nvSpPr>
          <xdr:spPr bwMode="auto">
            <a:xfrm>
              <a:off x="0" y="0"/>
              <a:ext cx="0" cy="0"/>
            </a:xfrm>
            <a:prstGeom prst="rect">
              <a:avLst/>
            </a:prstGeom>
            <a:solidFill>
              <a:srgbClr val="FFFFFF"/>
            </a:solidFill>
          </xdr:spPr>
        </xdr:sp>
        <xdr:clientData/>
      </xdr:twoCellAnchor>
    </mc:Choice>
    <mc:Fallback/>
  </mc:AlternateContent>
</xdr:wsDr>
</file>

<file path=xl/drawings/drawing1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38100</xdr:colOff>
          <xdr:row>2</xdr:row>
          <xdr:rowOff>95250</xdr:rowOff>
        </xdr:from>
        <xdr:to>
          <xdr:col>1</xdr:col>
          <xdr:colOff>1924050</xdr:colOff>
          <xdr:row>3</xdr:row>
          <xdr:rowOff>66675</xdr:rowOff>
        </xdr:to>
        <xdr:sp macro="" textlink="">
          <xdr:nvSpPr>
            <xdr:cNvPr id="144385" name="Object 1" hidden="1">
              <a:extLst>
                <a:ext uri="{63B3BB69-23CF-44E3-9099-C40C66FF867C}">
                  <a14:compatExt spid="_x0000_s144385"/>
                </a:ext>
                <a:ext uri="{FF2B5EF4-FFF2-40B4-BE49-F238E27FC236}">
                  <a16:creationId xmlns:a16="http://schemas.microsoft.com/office/drawing/2014/main" id="{00000000-0008-0000-2B00-000001340200}"/>
                </a:ext>
              </a:extLst>
            </xdr:cNvPr>
            <xdr:cNvSpPr/>
          </xdr:nvSpPr>
          <xdr:spPr bwMode="auto">
            <a:xfrm>
              <a:off x="0" y="0"/>
              <a:ext cx="0" cy="0"/>
            </a:xfrm>
            <a:prstGeom prst="rect">
              <a:avLst/>
            </a:prstGeom>
            <a:solidFill>
              <a:srgbClr val="FFFFFF"/>
            </a:solidFill>
          </xdr:spPr>
        </xdr:sp>
        <xdr:clientData/>
      </xdr:twoCellAnchor>
    </mc:Choice>
    <mc:Fallback/>
  </mc:AlternateContent>
</xdr:wsDr>
</file>

<file path=xl/drawings/drawing1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38100</xdr:colOff>
          <xdr:row>0</xdr:row>
          <xdr:rowOff>95250</xdr:rowOff>
        </xdr:from>
        <xdr:to>
          <xdr:col>1</xdr:col>
          <xdr:colOff>1962150</xdr:colOff>
          <xdr:row>3</xdr:row>
          <xdr:rowOff>9525</xdr:rowOff>
        </xdr:to>
        <xdr:sp macro="" textlink="">
          <xdr:nvSpPr>
            <xdr:cNvPr id="145409" name="Object 1" hidden="1">
              <a:extLst>
                <a:ext uri="{63B3BB69-23CF-44E3-9099-C40C66FF867C}">
                  <a14:compatExt spid="_x0000_s145409"/>
                </a:ext>
                <a:ext uri="{FF2B5EF4-FFF2-40B4-BE49-F238E27FC236}">
                  <a16:creationId xmlns:a16="http://schemas.microsoft.com/office/drawing/2014/main" id="{00000000-0008-0000-2C00-000001380200}"/>
                </a:ext>
              </a:extLst>
            </xdr:cNvPr>
            <xdr:cNvSpPr/>
          </xdr:nvSpPr>
          <xdr:spPr bwMode="auto">
            <a:xfrm>
              <a:off x="0" y="0"/>
              <a:ext cx="0" cy="0"/>
            </a:xfrm>
            <a:prstGeom prst="rect">
              <a:avLst/>
            </a:prstGeom>
            <a:solidFill>
              <a:srgbClr val="FFFFFF"/>
            </a:solidFill>
          </xdr:spPr>
        </xdr:sp>
        <xdr:clientData/>
      </xdr:twoCellAnchor>
    </mc:Choice>
    <mc:Fallback/>
  </mc:AlternateContent>
</xdr:wsDr>
</file>

<file path=xl/drawings/drawing1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38100</xdr:colOff>
          <xdr:row>2</xdr:row>
          <xdr:rowOff>95250</xdr:rowOff>
        </xdr:from>
        <xdr:to>
          <xdr:col>1</xdr:col>
          <xdr:colOff>1924050</xdr:colOff>
          <xdr:row>3</xdr:row>
          <xdr:rowOff>66675</xdr:rowOff>
        </xdr:to>
        <xdr:sp macro="" textlink="">
          <xdr:nvSpPr>
            <xdr:cNvPr id="146433" name="Object 1" hidden="1">
              <a:extLst>
                <a:ext uri="{63B3BB69-23CF-44E3-9099-C40C66FF867C}">
                  <a14:compatExt spid="_x0000_s146433"/>
                </a:ext>
                <a:ext uri="{FF2B5EF4-FFF2-40B4-BE49-F238E27FC236}">
                  <a16:creationId xmlns:a16="http://schemas.microsoft.com/office/drawing/2014/main" id="{00000000-0008-0000-2D00-0000013C0200}"/>
                </a:ext>
              </a:extLst>
            </xdr:cNvPr>
            <xdr:cNvSpPr/>
          </xdr:nvSpPr>
          <xdr:spPr bwMode="auto">
            <a:xfrm>
              <a:off x="0" y="0"/>
              <a:ext cx="0" cy="0"/>
            </a:xfrm>
            <a:prstGeom prst="rect">
              <a:avLst/>
            </a:prstGeom>
            <a:solidFill>
              <a:srgbClr val="FFFFFF"/>
            </a:solidFill>
          </xdr:spPr>
        </xdr:sp>
        <xdr:clientData/>
      </xdr:twoCellAnchor>
    </mc:Choice>
    <mc:Fallback/>
  </mc:AlternateContent>
</xdr:wsDr>
</file>

<file path=xl/drawings/drawing17.xml><?xml version="1.0" encoding="utf-8"?>
<xdr:wsDr xmlns:xdr="http://schemas.openxmlformats.org/drawingml/2006/spreadsheetDrawing" xmlns:a="http://schemas.openxmlformats.org/drawingml/2006/main">
  <xdr:twoCellAnchor>
    <xdr:from>
      <xdr:col>12</xdr:col>
      <xdr:colOff>85725</xdr:colOff>
      <xdr:row>27</xdr:row>
      <xdr:rowOff>85725</xdr:rowOff>
    </xdr:from>
    <xdr:to>
      <xdr:col>13</xdr:col>
      <xdr:colOff>1257300</xdr:colOff>
      <xdr:row>27</xdr:row>
      <xdr:rowOff>85725</xdr:rowOff>
    </xdr:to>
    <xdr:cxnSp macro="">
      <xdr:nvCxnSpPr>
        <xdr:cNvPr id="2" name="Straight Connector 1">
          <a:extLst>
            <a:ext uri="{FF2B5EF4-FFF2-40B4-BE49-F238E27FC236}">
              <a16:creationId xmlns:a16="http://schemas.microsoft.com/office/drawing/2014/main" id="{00000000-0008-0000-3A00-000002000000}"/>
            </a:ext>
          </a:extLst>
        </xdr:cNvPr>
        <xdr:cNvCxnSpPr>
          <a:cxnSpLocks/>
        </xdr:cNvCxnSpPr>
      </xdr:nvCxnSpPr>
      <xdr:spPr>
        <a:xfrm flipV="1">
          <a:off x="11668125" y="6067425"/>
          <a:ext cx="2247900" cy="0"/>
        </a:xfrm>
        <a:prstGeom prst="line">
          <a:avLst/>
        </a:prstGeom>
        <a:ln>
          <a:solidFill>
            <a:srgbClr val="FF0000"/>
          </a:solidFill>
          <a:headEnd type="triangle"/>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76200</xdr:colOff>
      <xdr:row>27</xdr:row>
      <xdr:rowOff>95250</xdr:rowOff>
    </xdr:from>
    <xdr:to>
      <xdr:col>10</xdr:col>
      <xdr:colOff>838200</xdr:colOff>
      <xdr:row>27</xdr:row>
      <xdr:rowOff>95250</xdr:rowOff>
    </xdr:to>
    <xdr:cxnSp macro="">
      <xdr:nvCxnSpPr>
        <xdr:cNvPr id="3" name="Straight Connector 2">
          <a:extLst>
            <a:ext uri="{FF2B5EF4-FFF2-40B4-BE49-F238E27FC236}">
              <a16:creationId xmlns:a16="http://schemas.microsoft.com/office/drawing/2014/main" id="{00000000-0008-0000-3A00-000003000000}"/>
            </a:ext>
            <a:ext uri="{147F2762-F138-4A5C-976F-8EAC2B608ADB}">
              <a16:predDERef xmlns:a16="http://schemas.microsoft.com/office/drawing/2014/main" pred="{E7D76255-ABB6-9229-E85E-24116071AE6A}"/>
            </a:ext>
          </a:extLst>
        </xdr:cNvPr>
        <xdr:cNvCxnSpPr>
          <a:cxnSpLocks/>
        </xdr:cNvCxnSpPr>
      </xdr:nvCxnSpPr>
      <xdr:spPr>
        <a:xfrm flipV="1">
          <a:off x="5724525" y="6076950"/>
          <a:ext cx="4733925" cy="0"/>
        </a:xfrm>
        <a:prstGeom prst="line">
          <a:avLst/>
        </a:prstGeom>
        <a:ln>
          <a:solidFill>
            <a:srgbClr val="FF0000"/>
          </a:solidFill>
          <a:headEnd type="triangle"/>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Y:\__ASC%20Review%20Process%20(all%20years)\_2026-2028%20ASC%20Review%20Process\_Pacificorp\Discovery\Errata\PacifiCorp_Appendix_1_2026-2028_Errata.xlsx" TargetMode="External"/><Relationship Id="rId1" Type="http://schemas.openxmlformats.org/officeDocument/2006/relationships/externalLinkPath" Target="/__ASC%20Review%20Process%20(all%20years)/_2026-2028%20ASC%20Review%20Process/_Pacificorp/Discovery/Errata/PacifiCorp_Appendix_1_2026-2028_Errat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visions_2026-28"/>
      <sheetName val="TOC"/>
      <sheetName val="Sch 1- Rate Base "/>
      <sheetName val="Sch 1A - Cash Working Capital"/>
      <sheetName val="Sch 2 -Rate of Return"/>
      <sheetName val="Sch 3 - Expenses"/>
      <sheetName val="Sch 3A - Taxes"/>
      <sheetName val="Sch 3B - Other Items"/>
      <sheetName val="Sch 4 - Average System Cost"/>
      <sheetName val="3-YEAR PP &amp; OSS Worksheet"/>
      <sheetName val="Load Forecast"/>
      <sheetName val="Distribution Loss Calc"/>
      <sheetName val="Salaries"/>
      <sheetName val="Ratios"/>
      <sheetName val="A-RHWM_Ratios"/>
      <sheetName val="New Resources - Individual"/>
      <sheetName val="New Resources - Group"/>
      <sheetName val="Materiality - Individual"/>
      <sheetName val="Materiality -  Group"/>
      <sheetName val="Wind_Resources_Costs"/>
      <sheetName val="NLSL_Base_New-Calc"/>
      <sheetName val="Above-RHWM_Base_Calc"/>
      <sheetName val="Tiered Rates"/>
      <sheetName val="PAC WORK TABS&gt;&gt;"/>
      <sheetName val="Sch 1- Rate Base  (OR)"/>
      <sheetName val="Sch 1- Rate Base  (WA)"/>
      <sheetName val="Sch 1- Rate Base  (ID)"/>
      <sheetName val="RATE BASE DATA"/>
      <sheetName val="Base Expense Data"/>
      <sheetName val="B TABS DATA -&gt;"/>
      <sheetName val="B1-Electric Ops Rvn"/>
      <sheetName val="B2-O&amp;M"/>
      <sheetName val="B3-Depreciation Exp"/>
      <sheetName val="B4-Amortization Exp"/>
      <sheetName val="B5-Taxes Other Than Income"/>
      <sheetName val="B8-EPIS"/>
      <sheetName val="B10-PHFU"/>
      <sheetName val="B11-Misc Def Debt"/>
      <sheetName val="B13-Materials &amp; Supplies"/>
      <sheetName val="B15-Misc Rate Base"/>
      <sheetName val="B16-Reg Assets"/>
      <sheetName val="B17-Depr Res"/>
      <sheetName val="B18-Amort Res"/>
      <sheetName val="B19-ITC Balance"/>
      <sheetName val="B19-DIT Balance"/>
      <sheetName val="B20-Customer Adv"/>
      <sheetName val="PPC Charge"/>
      <sheetName val="Bridger"/>
      <sheetName val="Trapper"/>
      <sheetName val="FF1 DATA -&gt;"/>
      <sheetName val="Pg 110 - Balance Sheet (Assets)"/>
      <sheetName val="Pg 112 - Balance Sheet (Liab &amp; "/>
      <sheetName val="Pg 114 - Income Statement"/>
      <sheetName val="421 - Misc Income_2023"/>
      <sheetName val="407.3 - Reg Debits_2023"/>
      <sheetName val="Pg 118 - Retained Earnings"/>
      <sheetName val="Pg 120 - Statement of Cash Flow"/>
      <sheetName val="Pg 122ab - Statement of AOCI"/>
      <sheetName val="Pg 200 - Utility Plant"/>
      <sheetName val="Pg 204 - Plant in Service (Form"/>
      <sheetName val="Pg 214 - Electric Plant Held fo"/>
      <sheetName val="Pg 216 - Construction Work in P"/>
      <sheetName val="Pg 219 - Accumulated Provision "/>
      <sheetName val="Pg 224 - Investments in Subsidi"/>
      <sheetName val="Pg 227 - Materials and Supplies"/>
      <sheetName val="Pg 228a  - Allowances SO2"/>
      <sheetName val="Pg 231 - Interconnection Study "/>
      <sheetName val="Pg 232 Regulatory Assets"/>
      <sheetName val="Pg 278 Regulatory Liabilities"/>
      <sheetName val="Pg 233 - Miscellaneous Deferred"/>
      <sheetName val="Pg 234 - Accumulated Deferred I"/>
      <sheetName val="Pg 250 - Capital Stocks"/>
      <sheetName val="Pg 253 - Other Paid-In Capital"/>
      <sheetName val="Pg 254b - Capital Stock Expense"/>
      <sheetName val="Pg 256 - Long-Term Debt"/>
      <sheetName val="Pg 261 - Recon of Net Income wi"/>
      <sheetName val="Pg 262 - Taxes Accrued Prepaid "/>
      <sheetName val="Pg 266 - Accumulated Deferred I"/>
      <sheetName val="Pg 269 - Other Deferred Credits"/>
      <sheetName val="Pg 272 - ADIT - Accelerated Amo"/>
      <sheetName val="Pg 274 - ADIT - Other Property"/>
      <sheetName val="Pg 276 - ADIT - Other"/>
      <sheetName val="Pg 300 - Electric Operating Rev"/>
      <sheetName val="pg 304 Summary"/>
      <sheetName val="Pg 304 - Sales of Electricity b"/>
      <sheetName val="Pg 304 - Sales of Electricity -"/>
      <sheetName val="Pg 304 - Sales of Electricit(1)"/>
      <sheetName val="Pg 304 - Sales of Electricit(2)"/>
      <sheetName val="Pg 310 - Sales for Resale (23)"/>
      <sheetName val="Pg 310 - Sales for Resale (22)"/>
      <sheetName val="Pg 310 - Sales for Resale (21)"/>
      <sheetName val="Pgs 320-323 - O&amp;M Expenses (For"/>
      <sheetName val="Pg 326 - Purchased Power (23)"/>
      <sheetName val="Pg 326 - Purchased Power (22)"/>
      <sheetName val="Pg 326 - Purchased Power (21)"/>
      <sheetName val="Pg 328 - Transmission Revenue"/>
      <sheetName val="Pg 332 - Transmission Expense"/>
      <sheetName val="Pg 335 - Miscellaneous General "/>
      <sheetName val="Pg 336 - Depreciation and Amort"/>
      <sheetName val="Pg 337 - Depreciation and Amort"/>
      <sheetName val="Pg 350 - Regulatory Commission "/>
      <sheetName val="Pg 352 - Research Development a"/>
      <sheetName val="Pg 354 - Distribution of Salari"/>
      <sheetName val="Pg 397 - Included in ISORTO Set"/>
      <sheetName val="Pg 398 - PurchaseSale of Ancill"/>
      <sheetName val="Pg 400 - Monthly Transmission S"/>
      <sheetName val="Pg 401a - Electric Energy Accou"/>
      <sheetName val="Pg 401b - Monthly Peaks and Out"/>
      <sheetName val="Pg 402 - Steam Plant Stats - Co"/>
      <sheetName val="Pg 402.1 - Steam Plant Stats - "/>
      <sheetName val="Pg 402.2 - Steam Plant Stats - "/>
      <sheetName val="Pg 402.3 - Steam Plant Stats - "/>
      <sheetName val="Pg. 406 - Large Hydro Plant Sta"/>
      <sheetName val="Pg. 406.1 - Large Hydro Plant S"/>
      <sheetName val="Pg. 406.2 - Large Hydro Plant S"/>
      <sheetName val="Pg. 406.3 - Large Hydro Plant S"/>
      <sheetName val="Pg 410 - Generating Plant Stati"/>
      <sheetName val="Pg. 410 Column f - Cost of Plan"/>
      <sheetName val="Pg 422 - Transmission Line Stat"/>
      <sheetName val="Pg 422.1 - Transmission Line St"/>
      <sheetName val="Pg 422.2 - Transmission Line St"/>
      <sheetName val="Pg 422.3 - Transmission Line St"/>
      <sheetName val="Pg 422.4 - Transmission Line St"/>
      <sheetName val="Pg 424 - Transmission Lines Add"/>
      <sheetName val="Pg 426 - Substations - CA"/>
      <sheetName val="Pg 426 - Substations - ID"/>
      <sheetName val="Pg 426 - Substations - MT"/>
      <sheetName val="Pg 426 - Substations - OR"/>
      <sheetName val="Pg 426 - Substations - UT"/>
      <sheetName val="Pg 426 - Substations - WA"/>
      <sheetName val="Pg 426 - Substations - WY"/>
      <sheetName val="Pg 429 - Transactions with Asso"/>
      <sheetName val="ForecastImport"/>
      <sheetName val="DataImpor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row r="17">
          <cell r="M17">
            <v>0</v>
          </cell>
        </row>
        <row r="72">
          <cell r="M72">
            <v>1058180.7888952061</v>
          </cell>
        </row>
        <row r="92">
          <cell r="L92">
            <v>39206135</v>
          </cell>
        </row>
      </sheetData>
      <sheetData sheetId="25" refreshError="1">
        <row r="17">
          <cell r="M17">
            <v>0</v>
          </cell>
        </row>
        <row r="72">
          <cell r="M72">
            <v>195986.12453352386</v>
          </cell>
        </row>
        <row r="92">
          <cell r="L92">
            <v>11023472</v>
          </cell>
        </row>
      </sheetData>
      <sheetData sheetId="26" refreshError="1">
        <row r="17">
          <cell r="M17">
            <v>1380340.3620770171</v>
          </cell>
        </row>
        <row r="72">
          <cell r="M72">
            <v>154245.23515147573</v>
          </cell>
        </row>
        <row r="92">
          <cell r="L92">
            <v>7833786</v>
          </cell>
        </row>
      </sheetData>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persons/person.xml><?xml version="1.0" encoding="utf-8"?>
<personList xmlns="http://schemas.microsoft.com/office/spreadsheetml/2018/threadedcomments" xmlns:x="http://schemas.openxmlformats.org/spreadsheetml/2006/main">
  <person displayName="Edwards,Michael D (BPA) - PSRF-6" id="{B0239FFE-A22F-4C14-842C-AD92A0D99D91}" userId="S-1-5-21-2009805145-1601463483-1839490880-180439" providerId="AD"/>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R978" dT="2024-10-10T21:17:11.14" personId="{B0239FFE-A22F-4C14-842C-AD92A0D99D91}" id="{925A492E-345B-4BC0-BE87-E145F5B8CF0D}">
    <text>As per DR09</text>
  </threadedComment>
</ThreadedComments>
</file>

<file path=xl/worksheets/_rels/sheet1.xml.rels><?xml version="1.0" encoding="UTF-8" standalone="yes"?>
<Relationships xmlns="http://schemas.openxmlformats.org/package/2006/relationships"><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ustomProperty" Target="../customProperty2.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customProperty" Target="../customProperty3.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customProperty" Target="../customProperty4.bin"/><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customProperty" Target="../customProperty5.bin"/><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customProperty" Target="../customProperty6.bin"/><Relationship Id="rId1" Type="http://schemas.openxmlformats.org/officeDocument/2006/relationships/printerSettings" Target="../printerSettings/printerSettings6.bin"/><Relationship Id="rId4" Type="http://schemas.openxmlformats.org/officeDocument/2006/relationships/comments" Target="../comments1.xml"/></Relationships>
</file>

<file path=xl/worksheets/_rels/sheet7.xml.rels><?xml version="1.0" encoding="UTF-8" standalone="yes"?>
<Relationships xmlns="http://schemas.openxmlformats.org/package/2006/relationships"><Relationship Id="rId2" Type="http://schemas.openxmlformats.org/officeDocument/2006/relationships/customProperty" Target="../customProperty7.bin"/><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customProperty" Target="../customProperty8.bin"/><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customProperty" Target="../customProperty9.bin"/><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customProperty" Target="../customProperty10.bin"/><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customProperty" Target="../customProperty11.bin"/><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customProperty" Target="../customProperty12.bin"/><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customProperty" Target="../customProperty13.bin"/><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customProperty" Target="../customProperty14.bin"/><Relationship Id="rId1" Type="http://schemas.openxmlformats.org/officeDocument/2006/relationships/printerSettings" Target="../printerSettings/printerSettings14.bin"/><Relationship Id="rId4" Type="http://schemas.openxmlformats.org/officeDocument/2006/relationships/comments" Target="../comments2.xml"/></Relationships>
</file>

<file path=xl/worksheets/_rels/sheet15.xml.rels><?xml version="1.0" encoding="UTF-8" standalone="yes"?>
<Relationships xmlns="http://schemas.openxmlformats.org/package/2006/relationships"><Relationship Id="rId2" Type="http://schemas.openxmlformats.org/officeDocument/2006/relationships/customProperty" Target="../customProperty15.bin"/><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customProperty" Target="../customProperty16.bin"/><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customProperty" Target="../customProperty17.bin"/><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customProperty" Target="../customProperty18.bin"/><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customProperty" Target="../customProperty19.bin"/><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customProperty" Target="../customProperty20.bin"/><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customProperty" Target="../customProperty21.bin"/><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customProperty" Target="../customProperty22.bin"/><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customProperty" Target="../customProperty23.bin"/><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customProperty" Target="../customProperty24.bin"/><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customProperty" Target="../customProperty25.bin"/><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customProperty" Target="../customProperty26.bin"/><Relationship Id="rId1" Type="http://schemas.openxmlformats.org/officeDocument/2006/relationships/printerSettings" Target="../printerSettings/printerSettings29.bin"/><Relationship Id="rId4" Type="http://schemas.openxmlformats.org/officeDocument/2006/relationships/comments" Target="../comments3.xml"/></Relationships>
</file>

<file path=xl/worksheets/_rels/sheet30.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customProperty" Target="../customProperty27.bin"/><Relationship Id="rId1" Type="http://schemas.openxmlformats.org/officeDocument/2006/relationships/printerSettings" Target="../printerSettings/printerSettings30.bin"/><Relationship Id="rId4" Type="http://schemas.openxmlformats.org/officeDocument/2006/relationships/comments" Target="../comments4.xml"/></Relationships>
</file>

<file path=xl/worksheets/_rels/sheet31.xml.rels><?xml version="1.0" encoding="UTF-8" standalone="yes"?>
<Relationships xmlns="http://schemas.openxmlformats.org/package/2006/relationships"><Relationship Id="rId3" Type="http://schemas.openxmlformats.org/officeDocument/2006/relationships/drawing" Target="../drawings/drawing1.xml"/><Relationship Id="rId7" Type="http://schemas.openxmlformats.org/officeDocument/2006/relationships/oleObject" Target="../embeddings/oleObject2.bin"/><Relationship Id="rId2" Type="http://schemas.openxmlformats.org/officeDocument/2006/relationships/customProperty" Target="../customProperty28.bin"/><Relationship Id="rId1" Type="http://schemas.openxmlformats.org/officeDocument/2006/relationships/printerSettings" Target="../printerSettings/printerSettings31.bin"/><Relationship Id="rId6" Type="http://schemas.openxmlformats.org/officeDocument/2006/relationships/image" Target="../media/image1.emf"/><Relationship Id="rId5" Type="http://schemas.openxmlformats.org/officeDocument/2006/relationships/oleObject" Target="../embeddings/oleObject1.bin"/><Relationship Id="rId4" Type="http://schemas.openxmlformats.org/officeDocument/2006/relationships/vmlDrawing" Target="../drawings/vmlDrawing5.vml"/></Relationships>
</file>

<file path=xl/worksheets/_rels/sheet3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customProperty" Target="../customProperty29.bin"/><Relationship Id="rId1" Type="http://schemas.openxmlformats.org/officeDocument/2006/relationships/printerSettings" Target="../printerSettings/printerSettings32.bin"/><Relationship Id="rId6" Type="http://schemas.openxmlformats.org/officeDocument/2006/relationships/image" Target="../media/image1.emf"/><Relationship Id="rId5" Type="http://schemas.openxmlformats.org/officeDocument/2006/relationships/oleObject" Target="../embeddings/oleObject3.bin"/><Relationship Id="rId4" Type="http://schemas.openxmlformats.org/officeDocument/2006/relationships/vmlDrawing" Target="../drawings/vmlDrawing6.vml"/></Relationships>
</file>

<file path=xl/worksheets/_rels/sheet33.xml.rels><?xml version="1.0" encoding="UTF-8" standalone="yes"?>
<Relationships xmlns="http://schemas.openxmlformats.org/package/2006/relationships"><Relationship Id="rId3" Type="http://schemas.openxmlformats.org/officeDocument/2006/relationships/drawing" Target="../drawings/drawing3.xml"/><Relationship Id="rId7" Type="http://schemas.openxmlformats.org/officeDocument/2006/relationships/oleObject" Target="../embeddings/oleObject5.bin"/><Relationship Id="rId2" Type="http://schemas.openxmlformats.org/officeDocument/2006/relationships/customProperty" Target="../customProperty30.bin"/><Relationship Id="rId1" Type="http://schemas.openxmlformats.org/officeDocument/2006/relationships/printerSettings" Target="../printerSettings/printerSettings33.bin"/><Relationship Id="rId6" Type="http://schemas.openxmlformats.org/officeDocument/2006/relationships/image" Target="../media/image1.emf"/><Relationship Id="rId5" Type="http://schemas.openxmlformats.org/officeDocument/2006/relationships/oleObject" Target="../embeddings/oleObject4.bin"/><Relationship Id="rId4" Type="http://schemas.openxmlformats.org/officeDocument/2006/relationships/vmlDrawing" Target="../drawings/vmlDrawing7.vml"/></Relationships>
</file>

<file path=xl/worksheets/_rels/sheet34.xml.rels><?xml version="1.0" encoding="UTF-8" standalone="yes"?>
<Relationships xmlns="http://schemas.openxmlformats.org/package/2006/relationships"><Relationship Id="rId8" Type="http://schemas.openxmlformats.org/officeDocument/2006/relationships/comments" Target="../comments5.xml"/><Relationship Id="rId3" Type="http://schemas.openxmlformats.org/officeDocument/2006/relationships/drawing" Target="../drawings/drawing4.xml"/><Relationship Id="rId7" Type="http://schemas.openxmlformats.org/officeDocument/2006/relationships/oleObject" Target="../embeddings/oleObject7.bin"/><Relationship Id="rId2" Type="http://schemas.openxmlformats.org/officeDocument/2006/relationships/customProperty" Target="../customProperty31.bin"/><Relationship Id="rId1" Type="http://schemas.openxmlformats.org/officeDocument/2006/relationships/printerSettings" Target="../printerSettings/printerSettings34.bin"/><Relationship Id="rId6" Type="http://schemas.openxmlformats.org/officeDocument/2006/relationships/image" Target="../media/image1.emf"/><Relationship Id="rId5" Type="http://schemas.openxmlformats.org/officeDocument/2006/relationships/oleObject" Target="../embeddings/oleObject6.bin"/><Relationship Id="rId4" Type="http://schemas.openxmlformats.org/officeDocument/2006/relationships/vmlDrawing" Target="../drawings/vmlDrawing8.vml"/></Relationships>
</file>

<file path=xl/worksheets/_rels/sheet3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customProperty" Target="../customProperty32.bin"/><Relationship Id="rId1" Type="http://schemas.openxmlformats.org/officeDocument/2006/relationships/printerSettings" Target="../printerSettings/printerSettings35.bin"/><Relationship Id="rId6" Type="http://schemas.openxmlformats.org/officeDocument/2006/relationships/image" Target="../media/image1.emf"/><Relationship Id="rId5" Type="http://schemas.openxmlformats.org/officeDocument/2006/relationships/oleObject" Target="../embeddings/oleObject8.bin"/><Relationship Id="rId4" Type="http://schemas.openxmlformats.org/officeDocument/2006/relationships/vmlDrawing" Target="../drawings/vmlDrawing9.vml"/></Relationships>
</file>

<file path=xl/worksheets/_rels/sheet3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customProperty" Target="../customProperty33.bin"/><Relationship Id="rId1" Type="http://schemas.openxmlformats.org/officeDocument/2006/relationships/printerSettings" Target="../printerSettings/printerSettings36.bin"/><Relationship Id="rId6" Type="http://schemas.openxmlformats.org/officeDocument/2006/relationships/image" Target="../media/image1.emf"/><Relationship Id="rId5" Type="http://schemas.openxmlformats.org/officeDocument/2006/relationships/oleObject" Target="../embeddings/oleObject9.bin"/><Relationship Id="rId4" Type="http://schemas.openxmlformats.org/officeDocument/2006/relationships/vmlDrawing" Target="../drawings/vmlDrawing10.vml"/></Relationships>
</file>

<file path=xl/worksheets/_rels/sheet37.xml.rels><?xml version="1.0" encoding="UTF-8" standalone="yes"?>
<Relationships xmlns="http://schemas.openxmlformats.org/package/2006/relationships"><Relationship Id="rId3" Type="http://schemas.openxmlformats.org/officeDocument/2006/relationships/drawing" Target="../drawings/drawing7.xml"/><Relationship Id="rId7" Type="http://schemas.openxmlformats.org/officeDocument/2006/relationships/oleObject" Target="../embeddings/oleObject11.bin"/><Relationship Id="rId2" Type="http://schemas.openxmlformats.org/officeDocument/2006/relationships/customProperty" Target="../customProperty34.bin"/><Relationship Id="rId1" Type="http://schemas.openxmlformats.org/officeDocument/2006/relationships/printerSettings" Target="../printerSettings/printerSettings37.bin"/><Relationship Id="rId6" Type="http://schemas.openxmlformats.org/officeDocument/2006/relationships/image" Target="../media/image1.emf"/><Relationship Id="rId5" Type="http://schemas.openxmlformats.org/officeDocument/2006/relationships/oleObject" Target="../embeddings/oleObject10.bin"/><Relationship Id="rId4" Type="http://schemas.openxmlformats.org/officeDocument/2006/relationships/vmlDrawing" Target="../drawings/vmlDrawing11.vml"/></Relationships>
</file>

<file path=xl/worksheets/_rels/sheet38.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customProperty" Target="../customProperty35.bin"/><Relationship Id="rId1" Type="http://schemas.openxmlformats.org/officeDocument/2006/relationships/printerSettings" Target="../printerSettings/printerSettings38.bin"/><Relationship Id="rId6" Type="http://schemas.openxmlformats.org/officeDocument/2006/relationships/image" Target="../media/image1.emf"/><Relationship Id="rId5" Type="http://schemas.openxmlformats.org/officeDocument/2006/relationships/oleObject" Target="../embeddings/oleObject12.bin"/><Relationship Id="rId4" Type="http://schemas.openxmlformats.org/officeDocument/2006/relationships/vmlDrawing" Target="../drawings/vmlDrawing12.vml"/></Relationships>
</file>

<file path=xl/worksheets/_rels/sheet39.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customProperty" Target="../customProperty36.bin"/><Relationship Id="rId1" Type="http://schemas.openxmlformats.org/officeDocument/2006/relationships/printerSettings" Target="../printerSettings/printerSettings39.bin"/><Relationship Id="rId6" Type="http://schemas.openxmlformats.org/officeDocument/2006/relationships/image" Target="../media/image1.emf"/><Relationship Id="rId5" Type="http://schemas.openxmlformats.org/officeDocument/2006/relationships/oleObject" Target="../embeddings/oleObject13.bin"/><Relationship Id="rId4" Type="http://schemas.openxmlformats.org/officeDocument/2006/relationships/vmlDrawing" Target="../drawings/vmlDrawing13.vml"/></Relationships>
</file>

<file path=xl/worksheets/_rels/sheet40.xml.rels><?xml version="1.0" encoding="UTF-8" standalone="yes"?>
<Relationships xmlns="http://schemas.openxmlformats.org/package/2006/relationships"><Relationship Id="rId3" Type="http://schemas.openxmlformats.org/officeDocument/2006/relationships/drawing" Target="../drawings/drawing10.xml"/><Relationship Id="rId2" Type="http://schemas.openxmlformats.org/officeDocument/2006/relationships/customProperty" Target="../customProperty37.bin"/><Relationship Id="rId1" Type="http://schemas.openxmlformats.org/officeDocument/2006/relationships/printerSettings" Target="../printerSettings/printerSettings40.bin"/><Relationship Id="rId6" Type="http://schemas.openxmlformats.org/officeDocument/2006/relationships/image" Target="../media/image1.emf"/><Relationship Id="rId5" Type="http://schemas.openxmlformats.org/officeDocument/2006/relationships/oleObject" Target="../embeddings/oleObject14.bin"/><Relationship Id="rId4" Type="http://schemas.openxmlformats.org/officeDocument/2006/relationships/vmlDrawing" Target="../drawings/vmlDrawing14.vml"/></Relationships>
</file>

<file path=xl/worksheets/_rels/sheet41.xml.rels><?xml version="1.0" encoding="UTF-8" standalone="yes"?>
<Relationships xmlns="http://schemas.openxmlformats.org/package/2006/relationships"><Relationship Id="rId8" Type="http://schemas.microsoft.com/office/2017/10/relationships/threadedComment" Target="../threadedComments/threadedComment1.xml"/><Relationship Id="rId3" Type="http://schemas.openxmlformats.org/officeDocument/2006/relationships/drawing" Target="../drawings/drawing11.xml"/><Relationship Id="rId7" Type="http://schemas.openxmlformats.org/officeDocument/2006/relationships/comments" Target="../comments6.xml"/><Relationship Id="rId2" Type="http://schemas.openxmlformats.org/officeDocument/2006/relationships/customProperty" Target="../customProperty38.bin"/><Relationship Id="rId1" Type="http://schemas.openxmlformats.org/officeDocument/2006/relationships/printerSettings" Target="../printerSettings/printerSettings41.bin"/><Relationship Id="rId6" Type="http://schemas.openxmlformats.org/officeDocument/2006/relationships/image" Target="../media/image1.emf"/><Relationship Id="rId5" Type="http://schemas.openxmlformats.org/officeDocument/2006/relationships/oleObject" Target="../embeddings/oleObject15.bin"/><Relationship Id="rId4" Type="http://schemas.openxmlformats.org/officeDocument/2006/relationships/vmlDrawing" Target="../drawings/vmlDrawing15.vml"/></Relationships>
</file>

<file path=xl/worksheets/_rels/sheet42.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customProperty" Target="../customProperty39.bin"/><Relationship Id="rId1" Type="http://schemas.openxmlformats.org/officeDocument/2006/relationships/printerSettings" Target="../printerSettings/printerSettings42.bin"/><Relationship Id="rId6" Type="http://schemas.openxmlformats.org/officeDocument/2006/relationships/image" Target="../media/image1.emf"/><Relationship Id="rId5" Type="http://schemas.openxmlformats.org/officeDocument/2006/relationships/oleObject" Target="../embeddings/oleObject16.bin"/><Relationship Id="rId4" Type="http://schemas.openxmlformats.org/officeDocument/2006/relationships/vmlDrawing" Target="../drawings/vmlDrawing16.vml"/></Relationships>
</file>

<file path=xl/worksheets/_rels/sheet43.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customProperty" Target="../customProperty40.bin"/><Relationship Id="rId1" Type="http://schemas.openxmlformats.org/officeDocument/2006/relationships/printerSettings" Target="../printerSettings/printerSettings43.bin"/><Relationship Id="rId6" Type="http://schemas.openxmlformats.org/officeDocument/2006/relationships/image" Target="../media/image1.emf"/><Relationship Id="rId5" Type="http://schemas.openxmlformats.org/officeDocument/2006/relationships/oleObject" Target="../embeddings/oleObject17.bin"/><Relationship Id="rId4" Type="http://schemas.openxmlformats.org/officeDocument/2006/relationships/vmlDrawing" Target="../drawings/vmlDrawing17.vml"/></Relationships>
</file>

<file path=xl/worksheets/_rels/sheet44.xml.rels><?xml version="1.0" encoding="UTF-8" standalone="yes"?>
<Relationships xmlns="http://schemas.openxmlformats.org/package/2006/relationships"><Relationship Id="rId3" Type="http://schemas.openxmlformats.org/officeDocument/2006/relationships/drawing" Target="../drawings/drawing14.xml"/><Relationship Id="rId2" Type="http://schemas.openxmlformats.org/officeDocument/2006/relationships/customProperty" Target="../customProperty41.bin"/><Relationship Id="rId1" Type="http://schemas.openxmlformats.org/officeDocument/2006/relationships/printerSettings" Target="../printerSettings/printerSettings44.bin"/><Relationship Id="rId6" Type="http://schemas.openxmlformats.org/officeDocument/2006/relationships/image" Target="../media/image1.emf"/><Relationship Id="rId5" Type="http://schemas.openxmlformats.org/officeDocument/2006/relationships/oleObject" Target="../embeddings/oleObject18.bin"/><Relationship Id="rId4" Type="http://schemas.openxmlformats.org/officeDocument/2006/relationships/vmlDrawing" Target="../drawings/vmlDrawing18.vml"/></Relationships>
</file>

<file path=xl/worksheets/_rels/sheet45.xml.rels><?xml version="1.0" encoding="UTF-8" standalone="yes"?>
<Relationships xmlns="http://schemas.openxmlformats.org/package/2006/relationships"><Relationship Id="rId3" Type="http://schemas.openxmlformats.org/officeDocument/2006/relationships/drawing" Target="../drawings/drawing15.xml"/><Relationship Id="rId2" Type="http://schemas.openxmlformats.org/officeDocument/2006/relationships/customProperty" Target="../customProperty42.bin"/><Relationship Id="rId1" Type="http://schemas.openxmlformats.org/officeDocument/2006/relationships/printerSettings" Target="../printerSettings/printerSettings45.bin"/><Relationship Id="rId6" Type="http://schemas.openxmlformats.org/officeDocument/2006/relationships/image" Target="../media/image1.emf"/><Relationship Id="rId5" Type="http://schemas.openxmlformats.org/officeDocument/2006/relationships/oleObject" Target="../embeddings/oleObject19.bin"/><Relationship Id="rId4" Type="http://schemas.openxmlformats.org/officeDocument/2006/relationships/vmlDrawing" Target="../drawings/vmlDrawing19.vml"/></Relationships>
</file>

<file path=xl/worksheets/_rels/sheet46.xml.rels><?xml version="1.0" encoding="UTF-8" standalone="yes"?>
<Relationships xmlns="http://schemas.openxmlformats.org/package/2006/relationships"><Relationship Id="rId3" Type="http://schemas.openxmlformats.org/officeDocument/2006/relationships/drawing" Target="../drawings/drawing16.xml"/><Relationship Id="rId2" Type="http://schemas.openxmlformats.org/officeDocument/2006/relationships/customProperty" Target="../customProperty43.bin"/><Relationship Id="rId1" Type="http://schemas.openxmlformats.org/officeDocument/2006/relationships/printerSettings" Target="../printerSettings/printerSettings46.bin"/><Relationship Id="rId6" Type="http://schemas.openxmlformats.org/officeDocument/2006/relationships/image" Target="../media/image1.emf"/><Relationship Id="rId5" Type="http://schemas.openxmlformats.org/officeDocument/2006/relationships/oleObject" Target="../embeddings/oleObject20.bin"/><Relationship Id="rId4" Type="http://schemas.openxmlformats.org/officeDocument/2006/relationships/vmlDrawing" Target="../drawings/vmlDrawing20.vml"/></Relationships>
</file>

<file path=xl/worksheets/_rels/sheet47.xml.rels><?xml version="1.0" encoding="UTF-8" standalone="yes"?>
<Relationships xmlns="http://schemas.openxmlformats.org/package/2006/relationships"><Relationship Id="rId3" Type="http://schemas.openxmlformats.org/officeDocument/2006/relationships/customProperty" Target="../customProperty44.bin"/><Relationship Id="rId2" Type="http://schemas.openxmlformats.org/officeDocument/2006/relationships/printerSettings" Target="../printerSettings/printerSettings47.bin"/><Relationship Id="rId1" Type="http://schemas.openxmlformats.org/officeDocument/2006/relationships/hyperlink" Target="https://bireports.pacificorp.us/BOE/BI?startFolder=Abx4Qka59S5FgYmrdTurAUo&amp;isCat=false" TargetMode="External"/><Relationship Id="rId5" Type="http://schemas.openxmlformats.org/officeDocument/2006/relationships/comments" Target="../comments7.xml"/><Relationship Id="rId4" Type="http://schemas.openxmlformats.org/officeDocument/2006/relationships/vmlDrawing" Target="../drawings/vmlDrawing21.vml"/></Relationships>
</file>

<file path=xl/worksheets/_rels/sheet48.xml.rels><?xml version="1.0" encoding="UTF-8" standalone="yes"?>
<Relationships xmlns="http://schemas.openxmlformats.org/package/2006/relationships"><Relationship Id="rId2" Type="http://schemas.openxmlformats.org/officeDocument/2006/relationships/customProperty" Target="../customProperty45.bin"/><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customProperty" Target="../customProperty46.bin"/><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customProperty" Target="../customProperty47.bin"/><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2" Type="http://schemas.openxmlformats.org/officeDocument/2006/relationships/customProperty" Target="../customProperty48.bin"/><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customProperty" Target="../customProperty49.bin"/></Relationships>
</file>

<file path=xl/worksheets/_rels/sheet53.xml.rels><?xml version="1.0" encoding="UTF-8" standalone="yes"?>
<Relationships xmlns="http://schemas.openxmlformats.org/package/2006/relationships"><Relationship Id="rId1" Type="http://schemas.openxmlformats.org/officeDocument/2006/relationships/customProperty" Target="../customProperty50.bin"/></Relationships>
</file>

<file path=xl/worksheets/_rels/sheet54.xml.rels><?xml version="1.0" encoding="UTF-8" standalone="yes"?>
<Relationships xmlns="http://schemas.openxmlformats.org/package/2006/relationships"><Relationship Id="rId2" Type="http://schemas.openxmlformats.org/officeDocument/2006/relationships/customProperty" Target="../customProperty51.bin"/><Relationship Id="rId1" Type="http://schemas.openxmlformats.org/officeDocument/2006/relationships/printerSettings" Target="../printerSettings/printerSettings52.bin"/></Relationships>
</file>

<file path=xl/worksheets/_rels/sheet55.xml.rels><?xml version="1.0" encoding="UTF-8" standalone="yes"?>
<Relationships xmlns="http://schemas.openxmlformats.org/package/2006/relationships"><Relationship Id="rId2" Type="http://schemas.openxmlformats.org/officeDocument/2006/relationships/customProperty" Target="../customProperty52.bin"/><Relationship Id="rId1" Type="http://schemas.openxmlformats.org/officeDocument/2006/relationships/printerSettings" Target="../printerSettings/printerSettings53.bin"/></Relationships>
</file>

<file path=xl/worksheets/_rels/sheet56.xml.rels><?xml version="1.0" encoding="UTF-8" standalone="yes"?>
<Relationships xmlns="http://schemas.openxmlformats.org/package/2006/relationships"><Relationship Id="rId1" Type="http://schemas.openxmlformats.org/officeDocument/2006/relationships/customProperty" Target="../customProperty53.bin"/></Relationships>
</file>

<file path=xl/worksheets/_rels/sheet57.xml.rels><?xml version="1.0" encoding="UTF-8" standalone="yes"?>
<Relationships xmlns="http://schemas.openxmlformats.org/package/2006/relationships"><Relationship Id="rId1" Type="http://schemas.openxmlformats.org/officeDocument/2006/relationships/customProperty" Target="../customProperty54.bin"/></Relationships>
</file>

<file path=xl/worksheets/_rels/sheet58.xml.rels><?xml version="1.0" encoding="UTF-8" standalone="yes"?>
<Relationships xmlns="http://schemas.openxmlformats.org/package/2006/relationships"><Relationship Id="rId1" Type="http://schemas.openxmlformats.org/officeDocument/2006/relationships/customProperty" Target="../customProperty55.bin"/></Relationships>
</file>

<file path=xl/worksheets/_rels/sheet59.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customProperty" Target="../customProperty56.bin"/></Relationships>
</file>

<file path=xl/worksheets/_rels/sheet60.xml.rels><?xml version="1.0" encoding="UTF-8" standalone="yes"?>
<Relationships xmlns="http://schemas.openxmlformats.org/package/2006/relationships"><Relationship Id="rId1" Type="http://schemas.openxmlformats.org/officeDocument/2006/relationships/customProperty" Target="../customProperty57.bin"/></Relationships>
</file>

<file path=xl/worksheets/_rels/sheet61.xml.rels><?xml version="1.0" encoding="UTF-8" standalone="yes"?>
<Relationships xmlns="http://schemas.openxmlformats.org/package/2006/relationships"><Relationship Id="rId1" Type="http://schemas.openxmlformats.org/officeDocument/2006/relationships/customProperty" Target="../customProperty58.bin"/></Relationships>
</file>

<file path=xl/worksheets/_rels/sheet62.xml.rels><?xml version="1.0" encoding="UTF-8" standalone="yes"?>
<Relationships xmlns="http://schemas.openxmlformats.org/package/2006/relationships"><Relationship Id="rId1" Type="http://schemas.openxmlformats.org/officeDocument/2006/relationships/customProperty" Target="../customProperty59.bin"/></Relationships>
</file>

<file path=xl/worksheets/_rels/sheet63.xml.rels><?xml version="1.0" encoding="UTF-8" standalone="yes"?>
<Relationships xmlns="http://schemas.openxmlformats.org/package/2006/relationships"><Relationship Id="rId1" Type="http://schemas.openxmlformats.org/officeDocument/2006/relationships/customProperty" Target="../customProperty60.bin"/></Relationships>
</file>

<file path=xl/worksheets/_rels/sheet64.xml.rels><?xml version="1.0" encoding="UTF-8" standalone="yes"?>
<Relationships xmlns="http://schemas.openxmlformats.org/package/2006/relationships"><Relationship Id="rId1" Type="http://schemas.openxmlformats.org/officeDocument/2006/relationships/customProperty" Target="../customProperty61.bin"/></Relationships>
</file>

<file path=xl/worksheets/_rels/sheet65.xml.rels><?xml version="1.0" encoding="UTF-8" standalone="yes"?>
<Relationships xmlns="http://schemas.openxmlformats.org/package/2006/relationships"><Relationship Id="rId1" Type="http://schemas.openxmlformats.org/officeDocument/2006/relationships/customProperty" Target="../customProperty62.bin"/></Relationships>
</file>

<file path=xl/worksheets/_rels/sheet66.xml.rels><?xml version="1.0" encoding="UTF-8" standalone="yes"?>
<Relationships xmlns="http://schemas.openxmlformats.org/package/2006/relationships"><Relationship Id="rId1" Type="http://schemas.openxmlformats.org/officeDocument/2006/relationships/customProperty" Target="../customProperty63.bin"/></Relationships>
</file>

<file path=xl/worksheets/_rels/sheet67.xml.rels><?xml version="1.0" encoding="UTF-8" standalone="yes"?>
<Relationships xmlns="http://schemas.openxmlformats.org/package/2006/relationships"><Relationship Id="rId1" Type="http://schemas.openxmlformats.org/officeDocument/2006/relationships/customProperty" Target="../customProperty64.bin"/></Relationships>
</file>

<file path=xl/worksheets/_rels/sheet68.xml.rels><?xml version="1.0" encoding="UTF-8" standalone="yes"?>
<Relationships xmlns="http://schemas.openxmlformats.org/package/2006/relationships"><Relationship Id="rId1" Type="http://schemas.openxmlformats.org/officeDocument/2006/relationships/customProperty" Target="../customProperty65.bin"/></Relationships>
</file>

<file path=xl/worksheets/_rels/sheet69.xml.rels><?xml version="1.0" encoding="UTF-8" standalone="yes"?>
<Relationships xmlns="http://schemas.openxmlformats.org/package/2006/relationships"><Relationship Id="rId1" Type="http://schemas.openxmlformats.org/officeDocument/2006/relationships/customProperty" Target="../customProperty66.bin"/></Relationships>
</file>

<file path=xl/worksheets/_rels/sheet70.xml.rels><?xml version="1.0" encoding="UTF-8" standalone="yes"?>
<Relationships xmlns="http://schemas.openxmlformats.org/package/2006/relationships"><Relationship Id="rId1" Type="http://schemas.openxmlformats.org/officeDocument/2006/relationships/customProperty" Target="../customProperty67.bin"/></Relationships>
</file>

<file path=xl/worksheets/_rels/sheet71.xml.rels><?xml version="1.0" encoding="UTF-8" standalone="yes"?>
<Relationships xmlns="http://schemas.openxmlformats.org/package/2006/relationships"><Relationship Id="rId1" Type="http://schemas.openxmlformats.org/officeDocument/2006/relationships/customProperty" Target="../customProperty68.bin"/></Relationships>
</file>

<file path=xl/worksheets/_rels/sheet72.xml.rels><?xml version="1.0" encoding="UTF-8" standalone="yes"?>
<Relationships xmlns="http://schemas.openxmlformats.org/package/2006/relationships"><Relationship Id="rId1" Type="http://schemas.openxmlformats.org/officeDocument/2006/relationships/customProperty" Target="../customProperty69.bin"/></Relationships>
</file>

<file path=xl/worksheets/_rels/sheet73.xml.rels><?xml version="1.0" encoding="UTF-8" standalone="yes"?>
<Relationships xmlns="http://schemas.openxmlformats.org/package/2006/relationships"><Relationship Id="rId1" Type="http://schemas.openxmlformats.org/officeDocument/2006/relationships/customProperty" Target="../customProperty70.bin"/></Relationships>
</file>

<file path=xl/worksheets/_rels/sheet74.xml.rels><?xml version="1.0" encoding="UTF-8" standalone="yes"?>
<Relationships xmlns="http://schemas.openxmlformats.org/package/2006/relationships"><Relationship Id="rId1" Type="http://schemas.openxmlformats.org/officeDocument/2006/relationships/customProperty" Target="../customProperty71.bin"/></Relationships>
</file>

<file path=xl/worksheets/_rels/sheet75.xml.rels><?xml version="1.0" encoding="UTF-8" standalone="yes"?>
<Relationships xmlns="http://schemas.openxmlformats.org/package/2006/relationships"><Relationship Id="rId1" Type="http://schemas.openxmlformats.org/officeDocument/2006/relationships/customProperty" Target="../customProperty72.bin"/></Relationships>
</file>

<file path=xl/worksheets/_rels/sheet76.xml.rels><?xml version="1.0" encoding="UTF-8" standalone="yes"?>
<Relationships xmlns="http://schemas.openxmlformats.org/package/2006/relationships"><Relationship Id="rId1" Type="http://schemas.openxmlformats.org/officeDocument/2006/relationships/customProperty" Target="../customProperty73.bin"/></Relationships>
</file>

<file path=xl/worksheets/_rels/sheet77.xml.rels><?xml version="1.0" encoding="UTF-8" standalone="yes"?>
<Relationships xmlns="http://schemas.openxmlformats.org/package/2006/relationships"><Relationship Id="rId1" Type="http://schemas.openxmlformats.org/officeDocument/2006/relationships/customProperty" Target="../customProperty74.bin"/></Relationships>
</file>

<file path=xl/worksheets/_rels/sheet78.xml.rels><?xml version="1.0" encoding="UTF-8" standalone="yes"?>
<Relationships xmlns="http://schemas.openxmlformats.org/package/2006/relationships"><Relationship Id="rId1" Type="http://schemas.openxmlformats.org/officeDocument/2006/relationships/customProperty" Target="../customProperty75.bin"/></Relationships>
</file>

<file path=xl/worksheets/_rels/sheet79.xml.rels><?xml version="1.0" encoding="UTF-8" standalone="yes"?>
<Relationships xmlns="http://schemas.openxmlformats.org/package/2006/relationships"><Relationship Id="rId1" Type="http://schemas.openxmlformats.org/officeDocument/2006/relationships/customProperty" Target="../customProperty76.bin"/></Relationships>
</file>

<file path=xl/worksheets/_rels/sheet80.xml.rels><?xml version="1.0" encoding="UTF-8" standalone="yes"?>
<Relationships xmlns="http://schemas.openxmlformats.org/package/2006/relationships"><Relationship Id="rId1" Type="http://schemas.openxmlformats.org/officeDocument/2006/relationships/customProperty" Target="../customProperty77.bin"/></Relationships>
</file>

<file path=xl/worksheets/_rels/sheet81.xml.rels><?xml version="1.0" encoding="UTF-8" standalone="yes"?>
<Relationships xmlns="http://schemas.openxmlformats.org/package/2006/relationships"><Relationship Id="rId1" Type="http://schemas.openxmlformats.org/officeDocument/2006/relationships/customProperty" Target="../customProperty78.bin"/></Relationships>
</file>

<file path=xl/worksheets/_rels/sheet82.xml.rels><?xml version="1.0" encoding="UTF-8" standalone="yes"?>
<Relationships xmlns="http://schemas.openxmlformats.org/package/2006/relationships"><Relationship Id="rId1" Type="http://schemas.openxmlformats.org/officeDocument/2006/relationships/customProperty" Target="../customProperty79.bin"/></Relationships>
</file>

<file path=xl/worksheets/_rels/sheet83.xml.rels><?xml version="1.0" encoding="UTF-8" standalone="yes"?>
<Relationships xmlns="http://schemas.openxmlformats.org/package/2006/relationships"><Relationship Id="rId1" Type="http://schemas.openxmlformats.org/officeDocument/2006/relationships/customProperty" Target="../customProperty80.bin"/></Relationships>
</file>

<file path=xl/worksheets/_rels/sheet84.xml.rels><?xml version="1.0" encoding="UTF-8" standalone="yes"?>
<Relationships xmlns="http://schemas.openxmlformats.org/package/2006/relationships"><Relationship Id="rId2" Type="http://schemas.openxmlformats.org/officeDocument/2006/relationships/customProperty" Target="../customProperty81.bin"/><Relationship Id="rId1" Type="http://schemas.openxmlformats.org/officeDocument/2006/relationships/printerSettings" Target="../printerSettings/printerSettings54.bin"/></Relationships>
</file>

<file path=xl/worksheets/_rels/sheet85.xml.rels><?xml version="1.0" encoding="UTF-8" standalone="yes"?>
<Relationships xmlns="http://schemas.openxmlformats.org/package/2006/relationships"><Relationship Id="rId1" Type="http://schemas.openxmlformats.org/officeDocument/2006/relationships/customProperty" Target="../customProperty82.bin"/></Relationships>
</file>

<file path=xl/worksheets/_rels/sheet86.xml.rels><?xml version="1.0" encoding="UTF-8" standalone="yes"?>
<Relationships xmlns="http://schemas.openxmlformats.org/package/2006/relationships"><Relationship Id="rId1" Type="http://schemas.openxmlformats.org/officeDocument/2006/relationships/customProperty" Target="../customProperty83.bin"/></Relationships>
</file>

<file path=xl/worksheets/_rels/sheet87.xml.rels><?xml version="1.0" encoding="UTF-8" standalone="yes"?>
<Relationships xmlns="http://schemas.openxmlformats.org/package/2006/relationships"><Relationship Id="rId1" Type="http://schemas.openxmlformats.org/officeDocument/2006/relationships/customProperty" Target="../customProperty84.bin"/></Relationships>
</file>

<file path=xl/worksheets/_rels/sheet88.xml.rels><?xml version="1.0" encoding="UTF-8" standalone="yes"?>
<Relationships xmlns="http://schemas.openxmlformats.org/package/2006/relationships"><Relationship Id="rId1" Type="http://schemas.openxmlformats.org/officeDocument/2006/relationships/customProperty" Target="../customProperty85.bin"/></Relationships>
</file>

<file path=xl/worksheets/_rels/sheet89.xml.rels><?xml version="1.0" encoding="UTF-8" standalone="yes"?>
<Relationships xmlns="http://schemas.openxmlformats.org/package/2006/relationships"><Relationship Id="rId1" Type="http://schemas.openxmlformats.org/officeDocument/2006/relationships/customProperty" Target="../customProperty86.bin"/></Relationships>
</file>

<file path=xl/worksheets/_rels/sheet90.xml.rels><?xml version="1.0" encoding="UTF-8" standalone="yes"?>
<Relationships xmlns="http://schemas.openxmlformats.org/package/2006/relationships"><Relationship Id="rId1" Type="http://schemas.openxmlformats.org/officeDocument/2006/relationships/customProperty" Target="../customProperty87.bin"/></Relationships>
</file>

<file path=xl/worksheets/_rels/sheet91.xml.rels><?xml version="1.0" encoding="UTF-8" standalone="yes"?>
<Relationships xmlns="http://schemas.openxmlformats.org/package/2006/relationships"><Relationship Id="rId2" Type="http://schemas.openxmlformats.org/officeDocument/2006/relationships/customProperty" Target="../customProperty88.bin"/><Relationship Id="rId1" Type="http://schemas.openxmlformats.org/officeDocument/2006/relationships/printerSettings" Target="../printerSettings/printerSettings55.bin"/></Relationships>
</file>

<file path=xl/worksheets/_rels/sheet92.xml.rels><?xml version="1.0" encoding="UTF-8" standalone="yes"?>
<Relationships xmlns="http://schemas.openxmlformats.org/package/2006/relationships"><Relationship Id="rId1" Type="http://schemas.openxmlformats.org/officeDocument/2006/relationships/customProperty" Target="../customProperty89.bin"/></Relationships>
</file>

<file path=xl/worksheets/_rels/sheet93.xml.rels><?xml version="1.0" encoding="UTF-8" standalone="yes"?>
<Relationships xmlns="http://schemas.openxmlformats.org/package/2006/relationships"><Relationship Id="rId1" Type="http://schemas.openxmlformats.org/officeDocument/2006/relationships/customProperty" Target="../customProperty90.bin"/></Relationships>
</file>

<file path=xl/worksheets/_rels/sheet94.xml.rels><?xml version="1.0" encoding="UTF-8" standalone="yes"?>
<Relationships xmlns="http://schemas.openxmlformats.org/package/2006/relationships"><Relationship Id="rId1" Type="http://schemas.openxmlformats.org/officeDocument/2006/relationships/customProperty" Target="../customProperty91.bin"/></Relationships>
</file>

<file path=xl/worksheets/_rels/sheet95.xml.rels><?xml version="1.0" encoding="UTF-8" standalone="yes"?>
<Relationships xmlns="http://schemas.openxmlformats.org/package/2006/relationships"><Relationship Id="rId2" Type="http://schemas.openxmlformats.org/officeDocument/2006/relationships/customProperty" Target="../customProperty92.bin"/><Relationship Id="rId1" Type="http://schemas.openxmlformats.org/officeDocument/2006/relationships/printerSettings" Target="../printerSettings/printerSettings56.bin"/></Relationships>
</file>

<file path=xl/worksheets/_rels/sheet96.xml.rels><?xml version="1.0" encoding="UTF-8" standalone="yes"?>
<Relationships xmlns="http://schemas.openxmlformats.org/package/2006/relationships"><Relationship Id="rId1" Type="http://schemas.openxmlformats.org/officeDocument/2006/relationships/customProperty" Target="../customProperty93.bin"/></Relationships>
</file>

<file path=xl/worksheets/_rels/sheet97.xml.rels><?xml version="1.0" encoding="UTF-8" standalone="yes"?>
<Relationships xmlns="http://schemas.openxmlformats.org/package/2006/relationships"><Relationship Id="rId1" Type="http://schemas.openxmlformats.org/officeDocument/2006/relationships/customProperty" Target="../customProperty94.bin"/></Relationships>
</file>

<file path=xl/worksheets/_rels/sheet98.xml.rels><?xml version="1.0" encoding="UTF-8" standalone="yes"?>
<Relationships xmlns="http://schemas.openxmlformats.org/package/2006/relationships"><Relationship Id="rId1" Type="http://schemas.openxmlformats.org/officeDocument/2006/relationships/customProperty" Target="../customProperty95.bin"/></Relationships>
</file>

<file path=xl/worksheets/_rels/sheet99.xml.rels><?xml version="1.0" encoding="UTF-8" standalone="yes"?>
<Relationships xmlns="http://schemas.openxmlformats.org/package/2006/relationships"><Relationship Id="rId1" Type="http://schemas.openxmlformats.org/officeDocument/2006/relationships/customProperty" Target="../customProperty96.bin"/></Relationships>
</file>

<file path=xl/worksheets/_rels/sheet100.xml.rels><?xml version="1.0" encoding="UTF-8" standalone="yes"?>
<Relationships xmlns="http://schemas.openxmlformats.org/package/2006/relationships"><Relationship Id="rId1" Type="http://schemas.openxmlformats.org/officeDocument/2006/relationships/customProperty" Target="../customProperty97.bin"/></Relationships>
</file>

<file path=xl/worksheets/_rels/sheet101.xml.rels><?xml version="1.0" encoding="UTF-8" standalone="yes"?>
<Relationships xmlns="http://schemas.openxmlformats.org/package/2006/relationships"><Relationship Id="rId1" Type="http://schemas.openxmlformats.org/officeDocument/2006/relationships/customProperty" Target="../customProperty98.bin"/></Relationships>
</file>

<file path=xl/worksheets/_rels/sheet102.xml.rels><?xml version="1.0" encoding="UTF-8" standalone="yes"?>
<Relationships xmlns="http://schemas.openxmlformats.org/package/2006/relationships"><Relationship Id="rId1" Type="http://schemas.openxmlformats.org/officeDocument/2006/relationships/customProperty" Target="../customProperty99.bin"/></Relationships>
</file>

<file path=xl/worksheets/_rels/sheet103.xml.rels><?xml version="1.0" encoding="UTF-8" standalone="yes"?>
<Relationships xmlns="http://schemas.openxmlformats.org/package/2006/relationships"><Relationship Id="rId1" Type="http://schemas.openxmlformats.org/officeDocument/2006/relationships/customProperty" Target="../customProperty100.bin"/></Relationships>
</file>

<file path=xl/worksheets/_rels/sheet104.xml.rels><?xml version="1.0" encoding="UTF-8" standalone="yes"?>
<Relationships xmlns="http://schemas.openxmlformats.org/package/2006/relationships"><Relationship Id="rId1" Type="http://schemas.openxmlformats.org/officeDocument/2006/relationships/customProperty" Target="../customProperty101.bin"/></Relationships>
</file>

<file path=xl/worksheets/_rels/sheet105.xml.rels><?xml version="1.0" encoding="UTF-8" standalone="yes"?>
<Relationships xmlns="http://schemas.openxmlformats.org/package/2006/relationships"><Relationship Id="rId1" Type="http://schemas.openxmlformats.org/officeDocument/2006/relationships/customProperty" Target="../customProperty102.bin"/></Relationships>
</file>

<file path=xl/worksheets/_rels/sheet106.xml.rels><?xml version="1.0" encoding="UTF-8" standalone="yes"?>
<Relationships xmlns="http://schemas.openxmlformats.org/package/2006/relationships"><Relationship Id="rId1" Type="http://schemas.openxmlformats.org/officeDocument/2006/relationships/customProperty" Target="../customProperty103.bin"/></Relationships>
</file>

<file path=xl/worksheets/_rels/sheet107.xml.rels><?xml version="1.0" encoding="UTF-8" standalone="yes"?>
<Relationships xmlns="http://schemas.openxmlformats.org/package/2006/relationships"><Relationship Id="rId1" Type="http://schemas.openxmlformats.org/officeDocument/2006/relationships/customProperty" Target="../customProperty104.bin"/></Relationships>
</file>

<file path=xl/worksheets/_rels/sheet108.xml.rels><?xml version="1.0" encoding="UTF-8" standalone="yes"?>
<Relationships xmlns="http://schemas.openxmlformats.org/package/2006/relationships"><Relationship Id="rId1" Type="http://schemas.openxmlformats.org/officeDocument/2006/relationships/customProperty" Target="../customProperty105.bin"/></Relationships>
</file>

<file path=xl/worksheets/_rels/sheet109.xml.rels><?xml version="1.0" encoding="UTF-8" standalone="yes"?>
<Relationships xmlns="http://schemas.openxmlformats.org/package/2006/relationships"><Relationship Id="rId1" Type="http://schemas.openxmlformats.org/officeDocument/2006/relationships/customProperty" Target="../customProperty106.bin"/></Relationships>
</file>

<file path=xl/worksheets/_rels/sheet110.xml.rels><?xml version="1.0" encoding="UTF-8" standalone="yes"?>
<Relationships xmlns="http://schemas.openxmlformats.org/package/2006/relationships"><Relationship Id="rId1" Type="http://schemas.openxmlformats.org/officeDocument/2006/relationships/customProperty" Target="../customProperty107.bin"/></Relationships>
</file>

<file path=xl/worksheets/_rels/sheet111.xml.rels><?xml version="1.0" encoding="UTF-8" standalone="yes"?>
<Relationships xmlns="http://schemas.openxmlformats.org/package/2006/relationships"><Relationship Id="rId1" Type="http://schemas.openxmlformats.org/officeDocument/2006/relationships/customProperty" Target="../customProperty108.bin"/></Relationships>
</file>

<file path=xl/worksheets/_rels/sheet112.xml.rels><?xml version="1.0" encoding="UTF-8" standalone="yes"?>
<Relationships xmlns="http://schemas.openxmlformats.org/package/2006/relationships"><Relationship Id="rId1" Type="http://schemas.openxmlformats.org/officeDocument/2006/relationships/customProperty" Target="../customProperty109.bin"/></Relationships>
</file>

<file path=xl/worksheets/_rels/sheet113.xml.rels><?xml version="1.0" encoding="UTF-8" standalone="yes"?>
<Relationships xmlns="http://schemas.openxmlformats.org/package/2006/relationships"><Relationship Id="rId1" Type="http://schemas.openxmlformats.org/officeDocument/2006/relationships/customProperty" Target="../customProperty110.bin"/></Relationships>
</file>

<file path=xl/worksheets/_rels/sheet114.xml.rels><?xml version="1.0" encoding="UTF-8" standalone="yes"?>
<Relationships xmlns="http://schemas.openxmlformats.org/package/2006/relationships"><Relationship Id="rId1" Type="http://schemas.openxmlformats.org/officeDocument/2006/relationships/customProperty" Target="../customProperty111.bin"/></Relationships>
</file>

<file path=xl/worksheets/_rels/sheet115.xml.rels><?xml version="1.0" encoding="UTF-8" standalone="yes"?>
<Relationships xmlns="http://schemas.openxmlformats.org/package/2006/relationships"><Relationship Id="rId1" Type="http://schemas.openxmlformats.org/officeDocument/2006/relationships/customProperty" Target="../customProperty112.bin"/></Relationships>
</file>

<file path=xl/worksheets/_rels/sheet116.xml.rels><?xml version="1.0" encoding="UTF-8" standalone="yes"?>
<Relationships xmlns="http://schemas.openxmlformats.org/package/2006/relationships"><Relationship Id="rId1" Type="http://schemas.openxmlformats.org/officeDocument/2006/relationships/customProperty" Target="../customProperty113.bin"/></Relationships>
</file>

<file path=xl/worksheets/_rels/sheet117.xml.rels><?xml version="1.0" encoding="UTF-8" standalone="yes"?>
<Relationships xmlns="http://schemas.openxmlformats.org/package/2006/relationships"><Relationship Id="rId1" Type="http://schemas.openxmlformats.org/officeDocument/2006/relationships/customProperty" Target="../customProperty114.bin"/></Relationships>
</file>

<file path=xl/worksheets/_rels/sheet118.xml.rels><?xml version="1.0" encoding="UTF-8" standalone="yes"?>
<Relationships xmlns="http://schemas.openxmlformats.org/package/2006/relationships"><Relationship Id="rId1" Type="http://schemas.openxmlformats.org/officeDocument/2006/relationships/customProperty" Target="../customProperty115.bin"/></Relationships>
</file>

<file path=xl/worksheets/_rels/sheet119.xml.rels><?xml version="1.0" encoding="UTF-8" standalone="yes"?>
<Relationships xmlns="http://schemas.openxmlformats.org/package/2006/relationships"><Relationship Id="rId1" Type="http://schemas.openxmlformats.org/officeDocument/2006/relationships/customProperty" Target="../customProperty116.bin"/></Relationships>
</file>

<file path=xl/worksheets/_rels/sheet120.xml.rels><?xml version="1.0" encoding="UTF-8" standalone="yes"?>
<Relationships xmlns="http://schemas.openxmlformats.org/package/2006/relationships"><Relationship Id="rId1" Type="http://schemas.openxmlformats.org/officeDocument/2006/relationships/customProperty" Target="../customProperty117.bin"/></Relationships>
</file>

<file path=xl/worksheets/_rels/sheet121.xml.rels><?xml version="1.0" encoding="UTF-8" standalone="yes"?>
<Relationships xmlns="http://schemas.openxmlformats.org/package/2006/relationships"><Relationship Id="rId1" Type="http://schemas.openxmlformats.org/officeDocument/2006/relationships/customProperty" Target="../customProperty118.bin"/></Relationships>
</file>

<file path=xl/worksheets/_rels/sheet122.xml.rels><?xml version="1.0" encoding="UTF-8" standalone="yes"?>
<Relationships xmlns="http://schemas.openxmlformats.org/package/2006/relationships"><Relationship Id="rId1" Type="http://schemas.openxmlformats.org/officeDocument/2006/relationships/customProperty" Target="../customProperty119.bin"/></Relationships>
</file>

<file path=xl/worksheets/_rels/sheet123.xml.rels><?xml version="1.0" encoding="UTF-8" standalone="yes"?>
<Relationships xmlns="http://schemas.openxmlformats.org/package/2006/relationships"><Relationship Id="rId1" Type="http://schemas.openxmlformats.org/officeDocument/2006/relationships/customProperty" Target="../customProperty120.bin"/></Relationships>
</file>

<file path=xl/worksheets/_rels/sheet124.xml.rels><?xml version="1.0" encoding="UTF-8" standalone="yes"?>
<Relationships xmlns="http://schemas.openxmlformats.org/package/2006/relationships"><Relationship Id="rId1" Type="http://schemas.openxmlformats.org/officeDocument/2006/relationships/customProperty" Target="../customProperty121.bin"/></Relationships>
</file>

<file path=xl/worksheets/_rels/sheet125.xml.rels><?xml version="1.0" encoding="UTF-8" standalone="yes"?>
<Relationships xmlns="http://schemas.openxmlformats.org/package/2006/relationships"><Relationship Id="rId1" Type="http://schemas.openxmlformats.org/officeDocument/2006/relationships/customProperty" Target="../customProperty122.bin"/></Relationships>
</file>

<file path=xl/worksheets/_rels/sheet126.xml.rels><?xml version="1.0" encoding="UTF-8" standalone="yes"?>
<Relationships xmlns="http://schemas.openxmlformats.org/package/2006/relationships"><Relationship Id="rId1" Type="http://schemas.openxmlformats.org/officeDocument/2006/relationships/customProperty" Target="../customProperty123.bin"/></Relationships>
</file>

<file path=xl/worksheets/_rels/sheet127.xml.rels><?xml version="1.0" encoding="UTF-8" standalone="yes"?>
<Relationships xmlns="http://schemas.openxmlformats.org/package/2006/relationships"><Relationship Id="rId1" Type="http://schemas.openxmlformats.org/officeDocument/2006/relationships/customProperty" Target="../customProperty124.bin"/></Relationships>
</file>

<file path=xl/worksheets/_rels/sheet128.xml.rels><?xml version="1.0" encoding="UTF-8" standalone="yes"?>
<Relationships xmlns="http://schemas.openxmlformats.org/package/2006/relationships"><Relationship Id="rId1" Type="http://schemas.openxmlformats.org/officeDocument/2006/relationships/customProperty" Target="../customProperty125.bin"/></Relationships>
</file>

<file path=xl/worksheets/_rels/sheet129.xml.rels><?xml version="1.0" encoding="UTF-8" standalone="yes"?>
<Relationships xmlns="http://schemas.openxmlformats.org/package/2006/relationships"><Relationship Id="rId1" Type="http://schemas.openxmlformats.org/officeDocument/2006/relationships/customProperty" Target="../customProperty126.bin"/></Relationships>
</file>

<file path=xl/worksheets/_rels/sheet130.xml.rels><?xml version="1.0" encoding="UTF-8" standalone="yes"?>
<Relationships xmlns="http://schemas.openxmlformats.org/package/2006/relationships"><Relationship Id="rId1" Type="http://schemas.openxmlformats.org/officeDocument/2006/relationships/customProperty" Target="../customProperty127.bin"/></Relationships>
</file>

<file path=xl/worksheets/_rels/sheet131.xml.rels><?xml version="1.0" encoding="UTF-8" standalone="yes"?>
<Relationships xmlns="http://schemas.openxmlformats.org/package/2006/relationships"><Relationship Id="rId1" Type="http://schemas.openxmlformats.org/officeDocument/2006/relationships/customProperty" Target="../customProperty128.bin"/></Relationships>
</file>

<file path=xl/worksheets/_rels/sheet132.xml.rels><?xml version="1.0" encoding="UTF-8" standalone="yes"?>
<Relationships xmlns="http://schemas.openxmlformats.org/package/2006/relationships"><Relationship Id="rId1" Type="http://schemas.openxmlformats.org/officeDocument/2006/relationships/customProperty" Target="../customProperty129.bin"/></Relationships>
</file>

<file path=xl/worksheets/_rels/sheet133.xml.rels><?xml version="1.0" encoding="UTF-8" standalone="yes"?>
<Relationships xmlns="http://schemas.openxmlformats.org/package/2006/relationships"><Relationship Id="rId2" Type="http://schemas.openxmlformats.org/officeDocument/2006/relationships/customProperty" Target="../customProperty130.bin"/><Relationship Id="rId1" Type="http://schemas.openxmlformats.org/officeDocument/2006/relationships/printerSettings" Target="../printerSettings/printerSettings57.bin"/></Relationships>
</file>

<file path=xl/worksheets/_rels/sheet134.xml.rels><?xml version="1.0" encoding="UTF-8" standalone="yes"?>
<Relationships xmlns="http://schemas.openxmlformats.org/package/2006/relationships"><Relationship Id="rId1" Type="http://schemas.openxmlformats.org/officeDocument/2006/relationships/customProperty" Target="../customProperty13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4">
    <tabColor rgb="FFC00000"/>
    <pageSetUpPr fitToPage="1"/>
  </sheetPr>
  <dimension ref="A1:P103"/>
  <sheetViews>
    <sheetView view="pageLayout" topLeftCell="A7" zoomScaleNormal="100" workbookViewId="0">
      <selection activeCell="C23" sqref="C23"/>
    </sheetView>
  </sheetViews>
  <sheetFormatPr defaultColWidth="9" defaultRowHeight="15.75" x14ac:dyDescent="0.25"/>
  <cols>
    <col min="3" max="3" width="12.875" customWidth="1"/>
    <col min="4" max="4" width="11.75" customWidth="1"/>
    <col min="5" max="5" width="10.125" customWidth="1"/>
    <col min="6" max="6" width="50.875" style="624" customWidth="1"/>
    <col min="8" max="8" width="32.75" style="624" customWidth="1"/>
  </cols>
  <sheetData>
    <row r="1" spans="1:12" x14ac:dyDescent="0.25">
      <c r="A1" s="1897"/>
      <c r="B1" s="1897"/>
      <c r="C1" s="1897"/>
      <c r="D1" s="1897"/>
      <c r="E1" s="1897"/>
      <c r="F1" s="1898"/>
      <c r="G1" s="1897"/>
      <c r="H1" s="1898"/>
      <c r="I1" s="1897"/>
      <c r="J1" s="1897"/>
      <c r="K1" s="1897"/>
      <c r="L1" s="1897"/>
    </row>
    <row r="2" spans="1:12" x14ac:dyDescent="0.25">
      <c r="A2" s="1897"/>
      <c r="B2" s="1897"/>
      <c r="C2" s="1897"/>
      <c r="D2" s="1897"/>
      <c r="E2" s="1897"/>
      <c r="F2" s="1898"/>
      <c r="G2" s="1897"/>
      <c r="H2" s="1898"/>
      <c r="I2" s="1897"/>
      <c r="J2" s="1897"/>
      <c r="K2" s="1897"/>
      <c r="L2" s="1897"/>
    </row>
    <row r="3" spans="1:12" x14ac:dyDescent="0.25">
      <c r="A3" s="1897"/>
      <c r="B3" s="1897"/>
      <c r="C3" s="1897"/>
      <c r="D3" s="1897"/>
      <c r="E3" s="1897"/>
      <c r="F3" s="1898"/>
      <c r="G3" s="1897"/>
      <c r="H3" s="1898"/>
      <c r="I3" s="1897"/>
      <c r="J3" s="1897"/>
      <c r="K3" s="1897"/>
      <c r="L3" s="1897"/>
    </row>
    <row r="4" spans="1:12" x14ac:dyDescent="0.25">
      <c r="A4" s="1899">
        <v>1</v>
      </c>
      <c r="B4" s="1900" t="s">
        <v>813</v>
      </c>
      <c r="C4" s="1897"/>
      <c r="D4" s="1897"/>
      <c r="E4" s="1897"/>
      <c r="F4" s="1898"/>
      <c r="G4" s="1897"/>
      <c r="H4" s="1898"/>
      <c r="I4" s="1897"/>
      <c r="J4" s="1897"/>
      <c r="K4" s="1897"/>
      <c r="L4" s="1897"/>
    </row>
    <row r="5" spans="1:12" x14ac:dyDescent="0.25">
      <c r="A5" s="1897"/>
      <c r="B5" s="1897"/>
      <c r="C5" s="1897"/>
      <c r="D5" s="1897"/>
      <c r="E5" s="1897"/>
      <c r="F5" s="1898"/>
      <c r="G5" s="1897"/>
      <c r="H5" s="1898"/>
      <c r="I5" s="1897"/>
      <c r="J5" s="1897"/>
      <c r="K5" s="1897"/>
      <c r="L5" s="1897"/>
    </row>
    <row r="6" spans="1:12" x14ac:dyDescent="0.25">
      <c r="A6" s="1897"/>
      <c r="B6" s="1897"/>
      <c r="C6" s="1901" t="s">
        <v>809</v>
      </c>
      <c r="D6" s="1900" t="s">
        <v>810</v>
      </c>
      <c r="E6" s="1897"/>
      <c r="F6" s="1902">
        <v>2021</v>
      </c>
      <c r="G6" s="1903" t="s">
        <v>805</v>
      </c>
      <c r="H6" s="1904">
        <v>2023</v>
      </c>
      <c r="I6" s="1897"/>
      <c r="J6" s="1897"/>
      <c r="K6" s="1897"/>
      <c r="L6" s="1897"/>
    </row>
    <row r="8" spans="1:12" x14ac:dyDescent="0.25">
      <c r="C8" s="1944" t="s">
        <v>811</v>
      </c>
      <c r="D8" s="1211" t="s">
        <v>810</v>
      </c>
      <c r="F8" s="1945">
        <v>44743</v>
      </c>
      <c r="G8" s="1642" t="s">
        <v>805</v>
      </c>
      <c r="H8" s="1945">
        <v>45476</v>
      </c>
    </row>
    <row r="10" spans="1:12" x14ac:dyDescent="0.25">
      <c r="B10" s="1211"/>
    </row>
    <row r="11" spans="1:12" x14ac:dyDescent="0.25">
      <c r="A11" s="15">
        <v>2</v>
      </c>
      <c r="B11" s="1211" t="s">
        <v>820</v>
      </c>
    </row>
    <row r="12" spans="1:12" x14ac:dyDescent="0.25">
      <c r="C12" s="1071"/>
      <c r="D12" s="1211"/>
      <c r="F12" s="1636"/>
      <c r="G12" s="1642"/>
      <c r="H12" s="1645"/>
    </row>
    <row r="13" spans="1:12" x14ac:dyDescent="0.25">
      <c r="C13" s="1944" t="s">
        <v>814</v>
      </c>
      <c r="D13" s="1211" t="s">
        <v>815</v>
      </c>
      <c r="F13" s="1636" t="s">
        <v>829</v>
      </c>
      <c r="G13" s="1642" t="s">
        <v>805</v>
      </c>
      <c r="H13" s="1636" t="s">
        <v>867</v>
      </c>
    </row>
    <row r="15" spans="1:12" x14ac:dyDescent="0.25">
      <c r="C15" s="1071"/>
      <c r="D15" s="1211"/>
      <c r="F15" s="1636"/>
      <c r="G15" s="1642"/>
      <c r="H15" s="1636"/>
    </row>
    <row r="16" spans="1:12" x14ac:dyDescent="0.25">
      <c r="A16" s="15">
        <v>3</v>
      </c>
      <c r="B16" s="1211" t="s">
        <v>821</v>
      </c>
    </row>
    <row r="17" spans="1:9" x14ac:dyDescent="0.25">
      <c r="C17" s="1071"/>
      <c r="D17" s="1211"/>
      <c r="F17" s="1636"/>
      <c r="G17" s="1642"/>
      <c r="H17" s="1645"/>
    </row>
    <row r="18" spans="1:9" x14ac:dyDescent="0.25">
      <c r="C18" s="1944" t="s">
        <v>814</v>
      </c>
      <c r="D18" s="1211" t="s">
        <v>815</v>
      </c>
      <c r="F18" s="1636" t="s">
        <v>830</v>
      </c>
      <c r="G18" s="1642" t="s">
        <v>805</v>
      </c>
      <c r="H18" s="1636" t="s">
        <v>868</v>
      </c>
    </row>
    <row r="21" spans="1:9" x14ac:dyDescent="0.25">
      <c r="A21" s="15">
        <v>4</v>
      </c>
      <c r="B21" s="1211" t="s">
        <v>816</v>
      </c>
      <c r="C21" s="1211"/>
      <c r="F21" s="1645" t="s">
        <v>831</v>
      </c>
      <c r="G21" s="1642" t="s">
        <v>805</v>
      </c>
      <c r="H21" s="1645" t="s">
        <v>831</v>
      </c>
    </row>
    <row r="22" spans="1:9" x14ac:dyDescent="0.25">
      <c r="C22" s="1071"/>
    </row>
    <row r="23" spans="1:9" x14ac:dyDescent="0.25">
      <c r="A23" s="15"/>
      <c r="C23" s="1071"/>
      <c r="D23" s="1211"/>
      <c r="F23" s="1636"/>
      <c r="H23" s="1645"/>
    </row>
    <row r="24" spans="1:9" x14ac:dyDescent="0.25">
      <c r="A24" s="15">
        <v>5</v>
      </c>
      <c r="B24" s="1211" t="s">
        <v>818</v>
      </c>
      <c r="C24" s="1071"/>
      <c r="D24" s="1211"/>
      <c r="F24" s="1636"/>
      <c r="H24" s="1645"/>
    </row>
    <row r="25" spans="1:9" x14ac:dyDescent="0.25">
      <c r="A25" s="15"/>
      <c r="C25" s="1071"/>
      <c r="D25" s="1211"/>
      <c r="F25" s="1636"/>
      <c r="H25" s="1645"/>
    </row>
    <row r="26" spans="1:9" x14ac:dyDescent="0.25">
      <c r="A26" s="15"/>
      <c r="C26" s="1944" t="s">
        <v>819</v>
      </c>
      <c r="D26" s="1211" t="s">
        <v>815</v>
      </c>
      <c r="F26" s="1945">
        <v>45566</v>
      </c>
      <c r="G26" s="1642" t="s">
        <v>805</v>
      </c>
      <c r="H26" s="1945">
        <v>46478</v>
      </c>
      <c r="I26" t="s">
        <v>869</v>
      </c>
    </row>
    <row r="27" spans="1:9" x14ac:dyDescent="0.25">
      <c r="A27" s="15"/>
      <c r="C27" s="1071"/>
      <c r="D27" s="1211"/>
      <c r="F27" s="1636"/>
      <c r="H27" s="1645"/>
    </row>
    <row r="28" spans="1:9" x14ac:dyDescent="0.25">
      <c r="A28" s="15">
        <v>6</v>
      </c>
      <c r="B28" s="1211" t="s">
        <v>865</v>
      </c>
      <c r="C28" s="1944"/>
      <c r="D28" s="1211"/>
      <c r="F28" s="1636"/>
      <c r="G28" s="1211"/>
      <c r="H28" s="1636"/>
    </row>
    <row r="29" spans="1:9" x14ac:dyDescent="0.25">
      <c r="A29" s="15"/>
      <c r="C29" s="1944"/>
      <c r="D29" s="1211"/>
      <c r="E29" s="1071"/>
      <c r="F29" s="1645"/>
      <c r="G29" s="1642"/>
      <c r="H29" s="1636"/>
    </row>
    <row r="30" spans="1:9" x14ac:dyDescent="0.25">
      <c r="A30" s="15"/>
      <c r="C30" t="s">
        <v>871</v>
      </c>
      <c r="D30" s="1071"/>
      <c r="E30" s="3598"/>
      <c r="F30" s="3598"/>
      <c r="G30" s="1071"/>
    </row>
    <row r="31" spans="1:9" x14ac:dyDescent="0.25">
      <c r="A31" s="15"/>
      <c r="C31" s="1944"/>
      <c r="D31" s="1211"/>
      <c r="E31" s="1071"/>
      <c r="F31" s="1636"/>
      <c r="G31" s="1642"/>
      <c r="H31" s="1636"/>
    </row>
    <row r="32" spans="1:9" x14ac:dyDescent="0.25">
      <c r="A32" s="15"/>
      <c r="D32" s="1071"/>
      <c r="E32" s="3598"/>
      <c r="F32" s="3598"/>
      <c r="G32" s="1071"/>
    </row>
    <row r="33" spans="1:16" x14ac:dyDescent="0.25">
      <c r="A33" s="15"/>
      <c r="C33" s="1637"/>
      <c r="D33" s="1211"/>
      <c r="E33" s="1071"/>
      <c r="F33" s="1645"/>
      <c r="G33" s="1642"/>
      <c r="H33" s="1636"/>
    </row>
    <row r="34" spans="1:16" x14ac:dyDescent="0.25">
      <c r="A34" s="15"/>
      <c r="E34" s="1071"/>
      <c r="F34" s="1645"/>
    </row>
    <row r="35" spans="1:16" x14ac:dyDescent="0.25">
      <c r="A35" s="15"/>
      <c r="C35" s="1637"/>
      <c r="D35" s="1211"/>
      <c r="E35" s="1071"/>
      <c r="F35" s="1645"/>
      <c r="G35" s="1642"/>
      <c r="H35" s="1636"/>
    </row>
    <row r="36" spans="1:16" x14ac:dyDescent="0.25">
      <c r="A36" s="15"/>
      <c r="C36" s="1071"/>
      <c r="D36" s="1071"/>
      <c r="E36" s="1071"/>
      <c r="F36" s="1645"/>
    </row>
    <row r="37" spans="1:16" x14ac:dyDescent="0.25">
      <c r="A37" s="15"/>
      <c r="C37" s="1637"/>
      <c r="D37" s="1211"/>
      <c r="E37" s="1071"/>
      <c r="F37" s="1645"/>
      <c r="G37" s="1642"/>
      <c r="H37" s="1636"/>
    </row>
    <row r="38" spans="1:16" x14ac:dyDescent="0.25">
      <c r="A38" s="15"/>
      <c r="D38" s="1071"/>
      <c r="E38" s="3598"/>
      <c r="F38" s="3598"/>
      <c r="G38" s="1071"/>
    </row>
    <row r="39" spans="1:16" x14ac:dyDescent="0.25">
      <c r="A39" s="15"/>
      <c r="C39" s="1637"/>
      <c r="D39" s="1211"/>
      <c r="E39" s="1071"/>
      <c r="F39" s="1645"/>
      <c r="G39" s="1642"/>
      <c r="H39" s="1636"/>
    </row>
    <row r="40" spans="1:16" x14ac:dyDescent="0.25">
      <c r="A40" s="15"/>
      <c r="D40" s="1071"/>
      <c r="E40" s="3598"/>
      <c r="F40" s="3598"/>
      <c r="G40" s="1071"/>
    </row>
    <row r="41" spans="1:16" x14ac:dyDescent="0.25">
      <c r="A41" s="15"/>
      <c r="C41" s="1637"/>
      <c r="D41" s="1211"/>
      <c r="E41" s="1071"/>
      <c r="F41" s="1645"/>
      <c r="G41" s="1642"/>
      <c r="H41" s="1636"/>
    </row>
    <row r="42" spans="1:16" x14ac:dyDescent="0.25">
      <c r="A42" s="15"/>
      <c r="D42" s="1071"/>
    </row>
    <row r="43" spans="1:16" x14ac:dyDescent="0.25">
      <c r="A43" s="15"/>
      <c r="C43" s="1637"/>
      <c r="D43" s="1211"/>
      <c r="F43" s="1636"/>
      <c r="G43" s="1642"/>
      <c r="H43" s="1636"/>
    </row>
    <row r="44" spans="1:16" x14ac:dyDescent="0.25">
      <c r="A44" s="15"/>
      <c r="C44" s="1071"/>
      <c r="D44" s="1071"/>
    </row>
    <row r="45" spans="1:16" x14ac:dyDescent="0.25">
      <c r="A45" s="15"/>
      <c r="C45" s="1637"/>
      <c r="D45" s="1211"/>
      <c r="F45" s="1636"/>
      <c r="G45" s="1642"/>
      <c r="H45" s="1636"/>
    </row>
    <row r="46" spans="1:16" x14ac:dyDescent="0.25">
      <c r="A46" s="15"/>
      <c r="D46" s="1071"/>
      <c r="E46" s="3596"/>
      <c r="F46" s="3596"/>
      <c r="G46" s="1071"/>
      <c r="O46" s="1629"/>
      <c r="P46" s="1629"/>
    </row>
    <row r="47" spans="1:16" x14ac:dyDescent="0.25">
      <c r="A47" s="15"/>
      <c r="C47" s="1637"/>
      <c r="D47" s="1211"/>
      <c r="F47" s="1636"/>
      <c r="G47" s="1642"/>
      <c r="H47" s="1636"/>
    </row>
    <row r="48" spans="1:16" x14ac:dyDescent="0.25">
      <c r="A48" s="15"/>
      <c r="D48" s="1071"/>
    </row>
    <row r="49" spans="1:8" x14ac:dyDescent="0.25">
      <c r="A49" s="15"/>
      <c r="C49" s="1637"/>
      <c r="D49" s="1211"/>
      <c r="F49" s="1636"/>
      <c r="G49" s="1642"/>
      <c r="H49" s="1636"/>
    </row>
    <row r="50" spans="1:8" x14ac:dyDescent="0.25">
      <c r="A50" s="15"/>
      <c r="D50" s="1071"/>
      <c r="E50" s="3596"/>
      <c r="F50" s="3596"/>
      <c r="G50" s="1071"/>
    </row>
    <row r="51" spans="1:8" x14ac:dyDescent="0.25">
      <c r="A51" s="15"/>
      <c r="C51" s="1637"/>
      <c r="D51" s="1211"/>
      <c r="E51" s="1645"/>
      <c r="F51" s="1645"/>
      <c r="G51" s="1642"/>
      <c r="H51" s="1636"/>
    </row>
    <row r="52" spans="1:8" x14ac:dyDescent="0.25">
      <c r="A52" s="15"/>
      <c r="C52" s="1071"/>
      <c r="D52" s="1071"/>
      <c r="E52" s="3597"/>
      <c r="F52" s="3597"/>
      <c r="G52" s="1071"/>
      <c r="H52" s="1645"/>
    </row>
    <row r="53" spans="1:8" x14ac:dyDescent="0.25">
      <c r="A53" s="15"/>
      <c r="C53" s="1637"/>
      <c r="D53" s="1211"/>
      <c r="E53" s="1645"/>
      <c r="F53" s="1645"/>
      <c r="G53" s="1642"/>
      <c r="H53" s="1636"/>
    </row>
    <row r="54" spans="1:8" x14ac:dyDescent="0.25">
      <c r="A54" s="15"/>
      <c r="C54" s="1071"/>
      <c r="E54" s="1645"/>
      <c r="F54" s="1645"/>
      <c r="H54" s="1645"/>
    </row>
    <row r="55" spans="1:8" x14ac:dyDescent="0.25">
      <c r="A55" s="15"/>
      <c r="C55" s="1637"/>
      <c r="D55" s="1211"/>
      <c r="E55" s="1645"/>
      <c r="F55" s="1645"/>
      <c r="G55" s="1642"/>
      <c r="H55" s="1636"/>
    </row>
    <row r="56" spans="1:8" x14ac:dyDescent="0.25">
      <c r="A56" s="15"/>
      <c r="B56" s="1211"/>
      <c r="C56" s="1071"/>
      <c r="E56" s="1645"/>
      <c r="F56" s="1645"/>
      <c r="H56" s="1645"/>
    </row>
    <row r="57" spans="1:8" x14ac:dyDescent="0.25">
      <c r="A57" s="15"/>
      <c r="C57" s="1637"/>
      <c r="D57" s="1211"/>
      <c r="E57" s="1645"/>
      <c r="F57" s="1645"/>
      <c r="G57" s="1642"/>
      <c r="H57" s="1636"/>
    </row>
    <row r="58" spans="1:8" x14ac:dyDescent="0.25">
      <c r="C58" s="1071"/>
      <c r="D58" s="1211"/>
      <c r="E58" s="1645"/>
      <c r="F58" s="1636"/>
      <c r="G58" s="1642"/>
      <c r="H58" s="1645"/>
    </row>
    <row r="59" spans="1:8" x14ac:dyDescent="0.25">
      <c r="C59" s="1637"/>
      <c r="D59" s="1211"/>
      <c r="E59" s="1645"/>
      <c r="F59" s="1645"/>
      <c r="G59" s="1642"/>
      <c r="H59" s="1636"/>
    </row>
    <row r="60" spans="1:8" x14ac:dyDescent="0.25">
      <c r="C60" s="1071"/>
      <c r="E60" s="1645"/>
      <c r="F60" s="1645"/>
      <c r="H60" s="1645"/>
    </row>
    <row r="61" spans="1:8" x14ac:dyDescent="0.25">
      <c r="B61" s="1211"/>
      <c r="C61" s="1637"/>
      <c r="D61" s="1211"/>
      <c r="E61" s="1645"/>
      <c r="F61" s="1645"/>
      <c r="G61" s="1642"/>
      <c r="H61" s="1636"/>
    </row>
    <row r="62" spans="1:8" x14ac:dyDescent="0.25">
      <c r="C62" s="1071"/>
      <c r="E62" s="1645"/>
      <c r="F62" s="1645"/>
      <c r="H62" s="1645"/>
    </row>
    <row r="63" spans="1:8" x14ac:dyDescent="0.25">
      <c r="C63" s="1637"/>
      <c r="D63" s="1211"/>
      <c r="E63" s="1645"/>
      <c r="F63" s="1645"/>
      <c r="G63" s="1642"/>
      <c r="H63" s="1636"/>
    </row>
    <row r="64" spans="1:8" x14ac:dyDescent="0.25">
      <c r="C64" s="1071"/>
      <c r="D64" s="1211"/>
      <c r="E64" s="1645"/>
      <c r="F64" s="1645"/>
      <c r="H64" s="1645"/>
    </row>
    <row r="65" spans="2:8" x14ac:dyDescent="0.25">
      <c r="C65" s="1637"/>
      <c r="D65" s="1211"/>
      <c r="E65" s="1645"/>
      <c r="F65" s="1645"/>
      <c r="G65" s="1642"/>
      <c r="H65" s="1636"/>
    </row>
    <row r="66" spans="2:8" x14ac:dyDescent="0.25">
      <c r="B66" s="1211"/>
      <c r="C66" s="1071"/>
      <c r="D66" s="1211"/>
      <c r="E66" s="1645"/>
      <c r="F66" s="1645"/>
      <c r="H66" s="1645"/>
    </row>
    <row r="67" spans="2:8" x14ac:dyDescent="0.25">
      <c r="B67" s="1211"/>
      <c r="C67" s="1637"/>
      <c r="D67" s="1211"/>
      <c r="E67" s="1645"/>
      <c r="F67" s="1645"/>
      <c r="G67" s="1642"/>
      <c r="H67" s="1636"/>
    </row>
    <row r="68" spans="2:8" x14ac:dyDescent="0.25">
      <c r="C68" s="1071"/>
      <c r="D68" s="1211"/>
      <c r="E68" s="1645"/>
      <c r="F68" s="1645"/>
      <c r="G68" s="1642"/>
      <c r="H68" s="1636"/>
    </row>
    <row r="69" spans="2:8" x14ac:dyDescent="0.25">
      <c r="C69" s="1637"/>
      <c r="D69" s="1211"/>
      <c r="E69" s="1645"/>
      <c r="F69" s="1645"/>
      <c r="G69" s="1642"/>
      <c r="H69" s="1636"/>
    </row>
    <row r="70" spans="2:8" x14ac:dyDescent="0.25">
      <c r="C70" s="1071"/>
      <c r="D70" s="1211"/>
      <c r="F70" s="1636"/>
      <c r="G70" s="1642"/>
      <c r="H70" s="1636"/>
    </row>
    <row r="71" spans="2:8" x14ac:dyDescent="0.25">
      <c r="C71" s="1637"/>
      <c r="D71" s="1211"/>
      <c r="E71" s="1645"/>
      <c r="F71" s="1645"/>
      <c r="G71" s="1642"/>
      <c r="H71" s="1636"/>
    </row>
    <row r="72" spans="2:8" x14ac:dyDescent="0.25">
      <c r="C72" s="1071"/>
      <c r="D72" s="1211"/>
      <c r="F72" s="1636"/>
      <c r="G72" s="1642"/>
      <c r="H72" s="1636"/>
    </row>
    <row r="73" spans="2:8" x14ac:dyDescent="0.25">
      <c r="C73" s="1637"/>
      <c r="D73" s="1211"/>
      <c r="E73" s="1645"/>
      <c r="F73" s="1645"/>
      <c r="G73" s="1642"/>
      <c r="H73" s="1636"/>
    </row>
    <row r="75" spans="2:8" x14ac:dyDescent="0.25">
      <c r="C75" s="1637"/>
      <c r="D75" s="1211"/>
      <c r="E75" s="1645"/>
      <c r="F75" s="1645"/>
      <c r="G75" s="1642"/>
      <c r="H75" s="1636"/>
    </row>
    <row r="77" spans="2:8" x14ac:dyDescent="0.25">
      <c r="C77" s="1637"/>
      <c r="D77" s="1211"/>
      <c r="E77" s="1645"/>
      <c r="F77" s="1645"/>
      <c r="G77" s="1642"/>
      <c r="H77" s="1636"/>
    </row>
    <row r="79" spans="2:8" x14ac:dyDescent="0.25">
      <c r="C79" s="1637"/>
      <c r="D79" s="1211"/>
      <c r="E79" s="1645"/>
      <c r="F79" s="1645"/>
      <c r="G79" s="1642"/>
      <c r="H79" s="1636"/>
    </row>
    <row r="81" spans="3:8" x14ac:dyDescent="0.25">
      <c r="C81" s="1637"/>
      <c r="D81" s="1211"/>
      <c r="E81" s="1645"/>
      <c r="F81" s="1645"/>
      <c r="G81" s="1642"/>
      <c r="H81" s="1636"/>
    </row>
    <row r="83" spans="3:8" x14ac:dyDescent="0.25">
      <c r="C83" s="1637"/>
      <c r="D83" s="1211"/>
      <c r="E83" s="1645"/>
      <c r="F83" s="1645"/>
      <c r="G83" s="1642"/>
      <c r="H83" s="1636"/>
    </row>
    <row r="85" spans="3:8" x14ac:dyDescent="0.25">
      <c r="C85" s="1637"/>
      <c r="D85" s="1211"/>
      <c r="E85" s="1645"/>
      <c r="F85" s="1645"/>
      <c r="G85" s="1642"/>
      <c r="H85" s="1636"/>
    </row>
    <row r="87" spans="3:8" x14ac:dyDescent="0.25">
      <c r="C87" s="1637"/>
      <c r="D87" s="1211"/>
      <c r="E87" s="1645"/>
      <c r="F87" s="1645"/>
      <c r="G87" s="1642"/>
      <c r="H87" s="1636"/>
    </row>
    <row r="89" spans="3:8" x14ac:dyDescent="0.25">
      <c r="C89" s="1637"/>
      <c r="D89" s="1211"/>
      <c r="E89" s="1645"/>
      <c r="F89" s="1645"/>
      <c r="G89" s="1642"/>
      <c r="H89" s="1636"/>
    </row>
    <row r="91" spans="3:8" x14ac:dyDescent="0.25">
      <c r="C91" s="1637"/>
      <c r="D91" s="1211"/>
      <c r="E91" s="1645"/>
      <c r="F91" s="1645"/>
      <c r="G91" s="1642"/>
      <c r="H91" s="1636"/>
    </row>
    <row r="93" spans="3:8" x14ac:dyDescent="0.25">
      <c r="C93" s="1637"/>
      <c r="D93" s="1211"/>
      <c r="E93" s="1645"/>
      <c r="F93" s="1645"/>
      <c r="G93" s="1642"/>
      <c r="H93" s="1636"/>
    </row>
    <row r="95" spans="3:8" x14ac:dyDescent="0.25">
      <c r="C95" s="1637"/>
      <c r="D95" s="1211"/>
      <c r="E95" s="1645"/>
      <c r="F95" s="1645"/>
      <c r="G95" s="1642"/>
      <c r="H95" s="1636"/>
    </row>
    <row r="97" spans="3:8" x14ac:dyDescent="0.25">
      <c r="C97" s="1637"/>
      <c r="D97" s="1211"/>
      <c r="E97" s="1645"/>
      <c r="F97" s="1645"/>
      <c r="G97" s="1642"/>
      <c r="H97" s="1636"/>
    </row>
    <row r="99" spans="3:8" x14ac:dyDescent="0.25">
      <c r="C99" s="1637"/>
      <c r="D99" s="1211"/>
      <c r="E99" s="1645"/>
      <c r="F99" s="1645"/>
      <c r="G99" s="1642"/>
      <c r="H99" s="1636"/>
    </row>
    <row r="101" spans="3:8" x14ac:dyDescent="0.25">
      <c r="C101" s="1637"/>
      <c r="D101" s="1211"/>
      <c r="E101" s="1645"/>
      <c r="F101" s="1645"/>
      <c r="G101" s="1642"/>
      <c r="H101" s="1636"/>
    </row>
    <row r="103" spans="3:8" x14ac:dyDescent="0.25">
      <c r="C103" s="1637"/>
      <c r="D103" s="1211"/>
      <c r="E103" s="1645"/>
      <c r="F103" s="1645"/>
      <c r="G103" s="1642"/>
      <c r="H103" s="1636"/>
    </row>
  </sheetData>
  <mergeCells count="7">
    <mergeCell ref="E50:F50"/>
    <mergeCell ref="E52:F52"/>
    <mergeCell ref="E32:F32"/>
    <mergeCell ref="E30:F30"/>
    <mergeCell ref="E38:F38"/>
    <mergeCell ref="E40:F40"/>
    <mergeCell ref="E46:F46"/>
  </mergeCells>
  <hyperlinks>
    <hyperlink ref="C6" location="'Sch 1- Rate Base '!E6" display="Cell E6" xr:uid="{00000000-0004-0000-0000-000000000000}"/>
    <hyperlink ref="C13" location="'NLSL_Base_New-Calc'!A47" display="Cell A47" xr:uid="{00000000-0004-0000-0000-000001000000}"/>
    <hyperlink ref="C8" location="'Sch 1- Rate Base '!E7" display="Cell E7" xr:uid="{00000000-0004-0000-0000-000002000000}"/>
    <hyperlink ref="C18" location="'Above-RHWM_Base_Calc'!A47" display="Cell A47" xr:uid="{00000000-0004-0000-0000-000003000000}"/>
    <hyperlink ref="C26" location="'New Resources - Individual'!B3" display="Cell B3" xr:uid="{00000000-0004-0000-0000-000004000000}"/>
  </hyperlinks>
  <pageMargins left="0.25" right="0.25" top="0.75" bottom="0.75" header="0.3" footer="0.3"/>
  <pageSetup scale="62" orientation="landscape" r:id="rId1"/>
  <customProperties>
    <customPr name="_pios_id" r:id="rId2"/>
  </customPropertie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1">
    <tabColor indexed="20"/>
  </sheetPr>
  <dimension ref="A1:D43"/>
  <sheetViews>
    <sheetView zoomScaleNormal="100" workbookViewId="0">
      <selection sqref="A1:XFD1048576"/>
    </sheetView>
  </sheetViews>
  <sheetFormatPr defaultRowHeight="15.75" x14ac:dyDescent="0.25"/>
  <cols>
    <col min="1" max="1" width="5.5" customWidth="1"/>
    <col min="2" max="2" width="32.5" style="1213" customWidth="1"/>
    <col min="3" max="4" width="9" style="1213"/>
  </cols>
  <sheetData>
    <row r="1" spans="1:4" x14ac:dyDescent="0.25">
      <c r="A1" s="3598" t="s">
        <v>866</v>
      </c>
      <c r="B1" s="3598"/>
    </row>
    <row r="2" spans="1:4" x14ac:dyDescent="0.25">
      <c r="A2" s="3598" t="s">
        <v>718</v>
      </c>
      <c r="B2" s="3598"/>
      <c r="C2" s="1211"/>
      <c r="D2" s="1211"/>
    </row>
    <row r="4" spans="1:4" x14ac:dyDescent="0.25">
      <c r="A4" s="1200">
        <v>1</v>
      </c>
      <c r="B4" s="1212" t="s">
        <v>694</v>
      </c>
    </row>
    <row r="5" spans="1:4" x14ac:dyDescent="0.25">
      <c r="A5" s="1313">
        <v>2</v>
      </c>
      <c r="B5" s="1212" t="s">
        <v>698</v>
      </c>
    </row>
    <row r="6" spans="1:4" x14ac:dyDescent="0.25">
      <c r="A6" s="1204">
        <v>3</v>
      </c>
      <c r="B6" s="1212" t="s">
        <v>699</v>
      </c>
    </row>
    <row r="7" spans="1:4" x14ac:dyDescent="0.25">
      <c r="A7" s="1205">
        <v>5</v>
      </c>
      <c r="B7" s="1212" t="s">
        <v>700</v>
      </c>
    </row>
    <row r="8" spans="1:4" x14ac:dyDescent="0.25">
      <c r="A8" s="1206">
        <v>6</v>
      </c>
      <c r="B8" s="1212" t="s">
        <v>701</v>
      </c>
    </row>
    <row r="9" spans="1:4" x14ac:dyDescent="0.25">
      <c r="A9" s="1207">
        <v>7</v>
      </c>
      <c r="B9" s="1212" t="s">
        <v>702</v>
      </c>
    </row>
    <row r="10" spans="1:4" x14ac:dyDescent="0.25">
      <c r="A10" s="1208">
        <v>8</v>
      </c>
      <c r="B10" s="1212" t="s">
        <v>703</v>
      </c>
    </row>
    <row r="11" spans="1:4" x14ac:dyDescent="0.25">
      <c r="A11" s="1201">
        <v>9</v>
      </c>
      <c r="B11" s="1212" t="s">
        <v>697</v>
      </c>
    </row>
    <row r="12" spans="1:4" x14ac:dyDescent="0.25">
      <c r="A12" s="1147">
        <v>10</v>
      </c>
      <c r="B12" s="1212" t="s">
        <v>704</v>
      </c>
    </row>
    <row r="13" spans="1:4" x14ac:dyDescent="0.25">
      <c r="A13" s="904">
        <v>11</v>
      </c>
      <c r="B13" s="1212" t="s">
        <v>705</v>
      </c>
    </row>
    <row r="14" spans="1:4" x14ac:dyDescent="0.25">
      <c r="A14" s="1319">
        <v>12</v>
      </c>
      <c r="B14" s="1212" t="s">
        <v>706</v>
      </c>
    </row>
    <row r="15" spans="1:4" x14ac:dyDescent="0.25">
      <c r="A15" s="1318">
        <v>13</v>
      </c>
      <c r="B15" s="1212" t="s">
        <v>707</v>
      </c>
    </row>
    <row r="16" spans="1:4" x14ac:dyDescent="0.25">
      <c r="A16" s="1318">
        <v>14</v>
      </c>
      <c r="B16" s="1212" t="s">
        <v>762</v>
      </c>
    </row>
    <row r="17" spans="1:2" x14ac:dyDescent="0.25">
      <c r="A17" s="1316">
        <v>15</v>
      </c>
      <c r="B17" s="1212" t="s">
        <v>708</v>
      </c>
    </row>
    <row r="18" spans="1:2" x14ac:dyDescent="0.25">
      <c r="A18" s="1317">
        <v>16</v>
      </c>
      <c r="B18" s="1212" t="s">
        <v>709</v>
      </c>
    </row>
    <row r="19" spans="1:2" x14ac:dyDescent="0.25">
      <c r="A19" s="1314">
        <v>17</v>
      </c>
      <c r="B19" s="1212" t="s">
        <v>710</v>
      </c>
    </row>
    <row r="20" spans="1:2" x14ac:dyDescent="0.25">
      <c r="A20" s="1209">
        <v>18</v>
      </c>
      <c r="B20" s="1212" t="s">
        <v>711</v>
      </c>
    </row>
    <row r="21" spans="1:2" x14ac:dyDescent="0.25">
      <c r="A21" s="1209">
        <v>19</v>
      </c>
      <c r="B21" s="1212" t="s">
        <v>792</v>
      </c>
    </row>
    <row r="22" spans="1:2" x14ac:dyDescent="0.25">
      <c r="A22" s="1315">
        <v>20</v>
      </c>
      <c r="B22" s="1212" t="s">
        <v>713</v>
      </c>
    </row>
    <row r="23" spans="1:2" x14ac:dyDescent="0.25">
      <c r="A23" s="1315">
        <v>21</v>
      </c>
      <c r="B23" s="1212" t="s">
        <v>763</v>
      </c>
    </row>
    <row r="24" spans="1:2" x14ac:dyDescent="0.25">
      <c r="A24" s="1210">
        <v>22</v>
      </c>
      <c r="B24" s="1212" t="s">
        <v>712</v>
      </c>
    </row>
    <row r="35" spans="1:1" x14ac:dyDescent="0.25">
      <c r="A35" s="1211"/>
    </row>
    <row r="37" spans="1:1" x14ac:dyDescent="0.25">
      <c r="A37" s="1627"/>
    </row>
    <row r="43" spans="1:1" x14ac:dyDescent="0.25">
      <c r="A43" s="1627"/>
    </row>
  </sheetData>
  <mergeCells count="2">
    <mergeCell ref="A2:B2"/>
    <mergeCell ref="A1:B1"/>
  </mergeCells>
  <phoneticPr fontId="144" type="noConversion"/>
  <hyperlinks>
    <hyperlink ref="B4" location="'Sch 1- Rate Base '!A1" display="Schedule 1 - Rate Base" xr:uid="{00000000-0004-0000-0100-000000000000}"/>
    <hyperlink ref="B5" location="'Sch 1A - Cash Working Capital'!A1" display="Schedule 1A - Cash Working Capital" xr:uid="{00000000-0004-0000-0100-000001000000}"/>
    <hyperlink ref="B6" location="'Sch 2 -Rate of Return'!A1" display="Schedule 2 -Rate of Return" xr:uid="{00000000-0004-0000-0100-000002000000}"/>
    <hyperlink ref="B7" location="'Sch 3 - Expenses'!A1" display="Schedule 3 - Expenses" xr:uid="{00000000-0004-0000-0100-000003000000}"/>
    <hyperlink ref="B8" location="'Sch 3A - Taxes'!A1" display="Schedule 3A - Taxes" xr:uid="{00000000-0004-0000-0100-000004000000}"/>
    <hyperlink ref="B9" location="'Sch 3B - Other Items'!A1" display="Schedule 3B - Other Items" xr:uid="{00000000-0004-0000-0100-000005000000}"/>
    <hyperlink ref="B10" location="'Sch 4 - Average System Cost'!A1" display="Schedule 4 - Average System Cost" xr:uid="{00000000-0004-0000-0100-000006000000}"/>
    <hyperlink ref="B11" location="'3-YEAR PP &amp; OSS Worksheet'!A1" display="3-YEAR PP &amp; OSS Worksheet" xr:uid="{00000000-0004-0000-0100-000007000000}"/>
    <hyperlink ref="B12" location="'Load Forecast'!A1" display="Load Forecast" xr:uid="{00000000-0004-0000-0100-000008000000}"/>
    <hyperlink ref="B13" location="'Distribution Loss Calc'!A1" display="Distribution Loss Calc" xr:uid="{00000000-0004-0000-0100-000009000000}"/>
    <hyperlink ref="B14" location="Salaries!A1" display="Salaries" xr:uid="{00000000-0004-0000-0100-00000A000000}"/>
    <hyperlink ref="B15" location="Ratios!A1" display="Ratios" xr:uid="{00000000-0004-0000-0100-00000B000000}"/>
    <hyperlink ref="B17" location="'New Resources - Individual'!A1" display="New Resources- Individual" xr:uid="{00000000-0004-0000-0100-00000C000000}"/>
    <hyperlink ref="B18" location="'New Resources - Group'!A1" display="New Resources-Group" xr:uid="{00000000-0004-0000-0100-00000D000000}"/>
    <hyperlink ref="B19" location="'Materiality - Individual'!A1" display="Materiality - Individual" xr:uid="{00000000-0004-0000-0100-00000E000000}"/>
    <hyperlink ref="B20" location="'Materiality -  Group'!A1" display="Materiality - Group" xr:uid="{00000000-0004-0000-0100-00000F000000}"/>
    <hyperlink ref="B22" location="'NLSL_Base_New-Calc'!A1" display="NLSL Base New Calculation" xr:uid="{00000000-0004-0000-0100-000010000000}"/>
    <hyperlink ref="B24" location="'Tiered Rates'!A1" display="Tiered Rates" xr:uid="{00000000-0004-0000-0100-000011000000}"/>
    <hyperlink ref="B16" location="'A-RHWM_Ratios'!A1" display="A-RHWM Ratios" xr:uid="{00000000-0004-0000-0100-000012000000}"/>
    <hyperlink ref="B23" location="'Above-RHWM_Base_Calc'!A1" display="Above-RHWM Base Calc" xr:uid="{00000000-0004-0000-0100-000013000000}"/>
    <hyperlink ref="B21" location="Wind_Resources_Costs!A1" display="Wind_Resources_Costs" xr:uid="{00000000-0004-0000-0100-000014000000}"/>
  </hyperlinks>
  <pageMargins left="0.75" right="0.75" top="1" bottom="1" header="0.5" footer="0.5"/>
  <pageSetup orientation="portrait" r:id="rId1"/>
  <headerFooter alignWithMargins="0">
    <oddFooter>&amp;LFY 2026-2028 ASC Filing
&amp;CPages &amp;P of &amp;N&amp;R&amp;A
&amp;D</oddFooter>
  </headerFooter>
  <customProperties>
    <customPr name="_pios_id" r:id="rId2"/>
  </customProperti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indexed="43"/>
  </sheetPr>
  <dimension ref="A1:T565"/>
  <sheetViews>
    <sheetView tabSelected="1" showWhiteSpace="0" zoomScale="90" zoomScaleNormal="90" zoomScaleSheetLayoutView="75" zoomScalePageLayoutView="145" workbookViewId="0">
      <selection activeCell="N6" sqref="N6"/>
    </sheetView>
  </sheetViews>
  <sheetFormatPr defaultColWidth="9" defaultRowHeight="15" customHeight="1" x14ac:dyDescent="0.25"/>
  <cols>
    <col min="1" max="1" width="6.125" style="38" customWidth="1"/>
    <col min="2" max="2" width="44.5" style="38" customWidth="1"/>
    <col min="3" max="3" width="9.25" style="36" customWidth="1"/>
    <col min="4" max="4" width="8.625" style="36" customWidth="1"/>
    <col min="5" max="5" width="10" style="1" customWidth="1"/>
    <col min="6" max="6" width="8.5" style="1" customWidth="1"/>
    <col min="7" max="7" width="16" style="28" customWidth="1"/>
    <col min="8" max="10" width="16" style="39" customWidth="1"/>
    <col min="11" max="11" width="2.25" style="37" customWidth="1"/>
    <col min="12" max="18" width="17.625" style="1" customWidth="1"/>
    <col min="19" max="16384" width="9" style="1"/>
  </cols>
  <sheetData>
    <row r="1" spans="1:20" ht="19.5" customHeight="1" thickTop="1" x14ac:dyDescent="0.3">
      <c r="A1" s="3599" t="s">
        <v>54</v>
      </c>
      <c r="B1" s="3600"/>
      <c r="C1" s="3600"/>
      <c r="D1" s="3600"/>
      <c r="E1" s="3600"/>
      <c r="F1" s="3600"/>
      <c r="G1" s="3600"/>
      <c r="H1" s="3600"/>
      <c r="I1" s="3600"/>
      <c r="J1" s="3601"/>
      <c r="K1" s="13"/>
      <c r="L1" s="14"/>
    </row>
    <row r="2" spans="1:20" ht="19.5" customHeight="1" x14ac:dyDescent="0.25">
      <c r="A2" s="3611" t="s">
        <v>228</v>
      </c>
      <c r="B2" s="3612"/>
      <c r="C2" s="3612"/>
      <c r="D2" s="3612"/>
      <c r="E2" s="3612"/>
      <c r="F2" s="3612"/>
      <c r="G2" s="3612"/>
      <c r="H2" s="3612"/>
      <c r="I2" s="3612"/>
      <c r="J2" s="3613"/>
      <c r="K2" s="506"/>
      <c r="L2" s="507"/>
    </row>
    <row r="3" spans="1:20" ht="17.25" customHeight="1" x14ac:dyDescent="0.25">
      <c r="A3" s="3608" t="s">
        <v>719</v>
      </c>
      <c r="B3" s="3609"/>
      <c r="C3" s="3609"/>
      <c r="D3" s="3609"/>
      <c r="E3" s="3609"/>
      <c r="F3" s="3609"/>
      <c r="G3" s="3609"/>
      <c r="H3" s="3609"/>
      <c r="I3" s="3609"/>
      <c r="J3" s="3610"/>
      <c r="K3" s="506"/>
      <c r="L3" s="507"/>
    </row>
    <row r="4" spans="1:20" ht="15" customHeight="1" thickBot="1" x14ac:dyDescent="0.3">
      <c r="A4" s="1335"/>
      <c r="B4" s="180"/>
      <c r="C4" s="180"/>
      <c r="D4" s="180"/>
      <c r="E4" s="180"/>
      <c r="F4" s="180"/>
      <c r="G4" s="180"/>
      <c r="H4" s="180"/>
      <c r="J4" s="1269"/>
      <c r="K4" s="13"/>
      <c r="L4" s="14"/>
    </row>
    <row r="5" spans="1:20" ht="15.75" customHeight="1" x14ac:dyDescent="0.3">
      <c r="A5" s="1830" t="s">
        <v>695</v>
      </c>
      <c r="B5" s="1831"/>
      <c r="C5" s="991"/>
      <c r="D5" s="1832" t="s">
        <v>572</v>
      </c>
      <c r="E5" s="3614" t="s">
        <v>872</v>
      </c>
      <c r="F5" s="3615"/>
      <c r="G5" s="3616"/>
      <c r="H5" s="991"/>
      <c r="I5" s="1833" t="s">
        <v>717</v>
      </c>
      <c r="J5" s="1834"/>
      <c r="K5" s="13"/>
      <c r="L5" s="14"/>
    </row>
    <row r="6" spans="1:20" ht="15.75" customHeight="1" x14ac:dyDescent="0.25">
      <c r="A6" s="1835" t="s">
        <v>696</v>
      </c>
      <c r="B6" s="1836"/>
      <c r="C6" s="991"/>
      <c r="D6" s="1832" t="s">
        <v>574</v>
      </c>
      <c r="E6" s="3617">
        <v>2023</v>
      </c>
      <c r="F6" s="3618"/>
      <c r="G6" s="3619"/>
      <c r="H6" s="1837"/>
      <c r="I6" s="1838" t="s">
        <v>724</v>
      </c>
      <c r="J6" s="1834"/>
      <c r="K6" s="13"/>
      <c r="L6" s="14"/>
    </row>
    <row r="7" spans="1:20" ht="15.75" customHeight="1" thickBot="1" x14ac:dyDescent="0.3">
      <c r="A7" s="1839"/>
      <c r="B7" s="991"/>
      <c r="C7" s="991"/>
      <c r="D7" s="1832" t="s">
        <v>575</v>
      </c>
      <c r="E7" s="3620">
        <v>45446</v>
      </c>
      <c r="F7" s="3621"/>
      <c r="G7" s="3622"/>
      <c r="H7" s="1837"/>
      <c r="I7" s="1840" t="s">
        <v>724</v>
      </c>
      <c r="J7" s="1834"/>
      <c r="K7" s="13"/>
      <c r="L7" s="14"/>
    </row>
    <row r="8" spans="1:20" ht="9.75" customHeight="1" x14ac:dyDescent="0.25">
      <c r="A8" s="1839"/>
      <c r="B8" s="1841"/>
      <c r="C8" s="1842"/>
      <c r="D8" s="1842"/>
      <c r="E8" s="1841"/>
      <c r="F8" s="1841"/>
      <c r="G8" s="1843"/>
      <c r="H8" s="1844"/>
      <c r="I8" s="1844"/>
      <c r="J8" s="1845"/>
      <c r="K8" s="13"/>
      <c r="L8" s="14"/>
    </row>
    <row r="9" spans="1:20" ht="2.1" customHeight="1" x14ac:dyDescent="0.25">
      <c r="A9" s="1839"/>
      <c r="B9" s="1841"/>
      <c r="C9" s="1842"/>
      <c r="D9" s="1842"/>
      <c r="E9" s="1841"/>
      <c r="F9" s="1841"/>
      <c r="G9" s="1843"/>
      <c r="H9" s="1844"/>
      <c r="I9" s="1844"/>
      <c r="J9" s="1845"/>
      <c r="K9" s="13"/>
      <c r="L9" s="14"/>
    </row>
    <row r="10" spans="1:20" ht="15.75" customHeight="1" x14ac:dyDescent="0.25">
      <c r="A10" s="3626" t="s">
        <v>325</v>
      </c>
      <c r="B10" s="3627"/>
      <c r="C10" s="3627"/>
      <c r="D10" s="3627"/>
      <c r="E10" s="3627"/>
      <c r="F10" s="3627"/>
      <c r="G10" s="3627"/>
      <c r="H10" s="3627"/>
      <c r="I10" s="3627"/>
      <c r="J10" s="3628"/>
      <c r="K10" s="13"/>
      <c r="L10" s="14"/>
    </row>
    <row r="11" spans="1:20" ht="11.25" customHeight="1" thickBot="1" x14ac:dyDescent="0.3">
      <c r="A11" s="1337"/>
      <c r="B11" s="376"/>
      <c r="C11" s="366"/>
      <c r="D11" s="366"/>
      <c r="E11" s="376"/>
      <c r="F11" s="376"/>
      <c r="G11" s="376"/>
      <c r="H11" s="376"/>
      <c r="I11" s="376"/>
      <c r="J11" s="1338"/>
      <c r="K11" s="13"/>
      <c r="L11" s="14"/>
    </row>
    <row r="12" spans="1:20" ht="15" customHeight="1" thickBot="1" x14ac:dyDescent="0.3">
      <c r="A12" s="3602" t="s">
        <v>100</v>
      </c>
      <c r="B12" s="3603"/>
      <c r="C12" s="327" t="s">
        <v>276</v>
      </c>
      <c r="D12" s="328"/>
      <c r="E12" s="317" t="s">
        <v>354</v>
      </c>
      <c r="F12" s="318"/>
      <c r="G12" s="3606" t="s">
        <v>104</v>
      </c>
      <c r="H12" s="3606" t="s">
        <v>105</v>
      </c>
      <c r="I12" s="3606" t="s">
        <v>106</v>
      </c>
      <c r="J12" s="3630" t="s">
        <v>727</v>
      </c>
      <c r="K12" s="20"/>
      <c r="L12" s="3606" t="s">
        <v>105</v>
      </c>
      <c r="M12" s="3606" t="s">
        <v>106</v>
      </c>
      <c r="N12" s="307"/>
    </row>
    <row r="13" spans="1:20" ht="15" customHeight="1" thickBot="1" x14ac:dyDescent="0.3">
      <c r="A13" s="3604"/>
      <c r="B13" s="3605"/>
      <c r="C13" s="308" t="s">
        <v>272</v>
      </c>
      <c r="D13" s="308" t="s">
        <v>96</v>
      </c>
      <c r="E13" s="319" t="s">
        <v>450</v>
      </c>
      <c r="F13" s="320"/>
      <c r="G13" s="3607"/>
      <c r="H13" s="3607"/>
      <c r="I13" s="3607"/>
      <c r="J13" s="3631"/>
      <c r="K13" s="21"/>
      <c r="L13" s="3607"/>
      <c r="M13" s="3607"/>
      <c r="N13" s="310" t="s">
        <v>98</v>
      </c>
    </row>
    <row r="14" spans="1:20" ht="15" customHeight="1" thickBot="1" x14ac:dyDescent="0.3">
      <c r="A14" s="3604"/>
      <c r="B14" s="3605"/>
      <c r="C14" s="308" t="s">
        <v>273</v>
      </c>
      <c r="D14" s="308" t="s">
        <v>252</v>
      </c>
      <c r="E14" s="308" t="s">
        <v>352</v>
      </c>
      <c r="F14" s="308" t="s">
        <v>353</v>
      </c>
      <c r="G14" s="3607"/>
      <c r="H14" s="3607"/>
      <c r="I14" s="3607"/>
      <c r="J14" s="3632"/>
      <c r="K14" s="22"/>
      <c r="L14" s="3629"/>
      <c r="M14" s="3629"/>
      <c r="N14" s="324" t="s">
        <v>107</v>
      </c>
    </row>
    <row r="15" spans="1:20" ht="15" customHeight="1" thickTop="1" x14ac:dyDescent="0.25">
      <c r="A15" s="1515" t="s">
        <v>473</v>
      </c>
      <c r="B15" s="1516"/>
      <c r="C15" s="1517"/>
      <c r="D15" s="1517"/>
      <c r="E15" s="1517"/>
      <c r="F15" s="1517"/>
      <c r="G15" s="1518"/>
      <c r="H15" s="1518"/>
      <c r="I15" s="1518"/>
      <c r="J15" s="1519"/>
      <c r="K15" s="20"/>
      <c r="L15" s="1754"/>
      <c r="M15" s="1755"/>
      <c r="N15" s="1755"/>
    </row>
    <row r="16" spans="1:20" ht="15" customHeight="1" x14ac:dyDescent="0.25">
      <c r="A16" s="1342"/>
      <c r="B16" s="47" t="s">
        <v>145</v>
      </c>
      <c r="C16" s="1939" t="s">
        <v>70</v>
      </c>
      <c r="D16" s="184">
        <v>301</v>
      </c>
      <c r="E16" s="184" t="s">
        <v>392</v>
      </c>
      <c r="F16" s="184" t="s">
        <v>97</v>
      </c>
      <c r="G16" s="1756">
        <f>SUM('Sch 1- Rate Base  (OR)'!G16+'Sch 1- Rate Base  (WA)'!G16+'Sch 1- Rate Base  (ID)'!G16)</f>
        <v>0</v>
      </c>
      <c r="H16" s="1738">
        <f>VLOOKUP($E16,Ratio,2,FALSE)*$G16</f>
        <v>0</v>
      </c>
      <c r="I16" s="1738">
        <f>VLOOKUP($E16,Ratio,3,FALSE)*$G16</f>
        <v>0</v>
      </c>
      <c r="J16" s="1739">
        <f>VLOOKUP($E16,Ratio,4,FALSE)*$G16</f>
        <v>0</v>
      </c>
      <c r="K16" s="24"/>
      <c r="L16" s="1755"/>
      <c r="M16" s="1755"/>
      <c r="N16" s="1755"/>
      <c r="O16" s="11"/>
      <c r="P16" s="11"/>
      <c r="Q16" s="11"/>
      <c r="R16" s="11"/>
      <c r="S16" s="11"/>
      <c r="T16" s="11"/>
    </row>
    <row r="17" spans="1:20" ht="15" customHeight="1" x14ac:dyDescent="0.25">
      <c r="A17" s="1342"/>
      <c r="B17" s="47" t="s">
        <v>146</v>
      </c>
      <c r="C17" s="1939" t="s">
        <v>70</v>
      </c>
      <c r="D17" s="184">
        <v>302</v>
      </c>
      <c r="E17" s="184" t="s">
        <v>90</v>
      </c>
      <c r="F17" s="184" t="s">
        <v>99</v>
      </c>
      <c r="G17" s="1756">
        <f>SUM('Sch 1- Rate Base  (OR)'!G17+'Sch 1- Rate Base  (WA)'!G17+'Sch 1- Rate Base  (ID)'!G17)</f>
        <v>71764696.193237215</v>
      </c>
      <c r="H17" s="1738">
        <f>IF($E17="DIRECT",$L17,VLOOKUP($E17,Ratio,2,FALSE)*$G17)</f>
        <v>71764696.193237215</v>
      </c>
      <c r="I17" s="1738">
        <f>IF($E17="DIRECT",$M17,VLOOKUP($E17,Ratio,3,FALSE)*$G17)</f>
        <v>0</v>
      </c>
      <c r="J17" s="1739">
        <f>IF($E17="DIRECT",$N17,VLOOKUP($E17,Ratio,4,FALSE)*$G17)</f>
        <v>1380340.3620770171</v>
      </c>
      <c r="K17" s="24"/>
      <c r="L17" s="1756">
        <f>SUM('Sch 1- Rate Base  (OR)'!L17+'Sch 1- Rate Base  (WA)'!L17+'Sch 1- Rate Base  (ID)'!L17)</f>
        <v>71764696.193237215</v>
      </c>
      <c r="M17" s="3593">
        <v>0</v>
      </c>
      <c r="N17" s="1756">
        <v>1380340.3620770171</v>
      </c>
      <c r="O17" s="11"/>
      <c r="P17" s="11"/>
      <c r="Q17" s="11"/>
      <c r="R17" s="11"/>
      <c r="S17" s="11"/>
      <c r="T17" s="11"/>
    </row>
    <row r="18" spans="1:20" ht="15" customHeight="1" x14ac:dyDescent="0.25">
      <c r="A18" s="1342"/>
      <c r="B18" s="47" t="s">
        <v>147</v>
      </c>
      <c r="C18" s="1939" t="s">
        <v>70</v>
      </c>
      <c r="D18" s="184">
        <v>303</v>
      </c>
      <c r="E18" s="184" t="s">
        <v>90</v>
      </c>
      <c r="F18" s="184" t="s">
        <v>392</v>
      </c>
      <c r="G18" s="1756">
        <f>SUM('Sch 1- Rate Base  (OR)'!G18+'Sch 1- Rate Base  (WA)'!G18+'Sch 1- Rate Base  (ID)'!G18)</f>
        <v>391010404.58104789</v>
      </c>
      <c r="H18" s="1738">
        <f>IF($E18="DIRECT",$L18,VLOOKUP($E18,Ratio,2,FALSE)*$G18)</f>
        <v>129807186.3491185</v>
      </c>
      <c r="I18" s="1738">
        <f>IF($E18="DIRECT",$M18,VLOOKUP($E18,Ratio,3,FALSE)*$G18)</f>
        <v>0</v>
      </c>
      <c r="J18" s="1739">
        <f>IF($E18="DIRECT",$N18,VLOOKUP($E18,Ratio,4,FALSE)*$G18)</f>
        <v>261203218.23192942</v>
      </c>
      <c r="K18" s="24"/>
      <c r="L18" s="1756">
        <f>SUM('Sch 1- Rate Base  (OR)'!L18+'Sch 1- Rate Base  (WA)'!L18+'Sch 1- Rate Base  (ID)'!L18)</f>
        <v>129807186.3491185</v>
      </c>
      <c r="M18" s="1756">
        <f>SUM('Sch 1- Rate Base  (OR)'!M18+'Sch 1- Rate Base  (WA)'!M18+'Sch 1- Rate Base  (ID)'!M18)</f>
        <v>0</v>
      </c>
      <c r="N18" s="1756">
        <f>SUM('Sch 1- Rate Base  (OR)'!N18+'Sch 1- Rate Base  (WA)'!N18+'Sch 1- Rate Base  (ID)'!N18)</f>
        <v>261203218.23192942</v>
      </c>
      <c r="O18" s="578"/>
      <c r="P18" s="11"/>
      <c r="Q18" s="11"/>
      <c r="R18" s="11"/>
      <c r="S18" s="11"/>
      <c r="T18" s="11"/>
    </row>
    <row r="19" spans="1:20" ht="15" customHeight="1" x14ac:dyDescent="0.25">
      <c r="A19" s="1344" t="s">
        <v>439</v>
      </c>
      <c r="B19" s="33"/>
      <c r="C19" s="1846"/>
      <c r="D19" s="1847"/>
      <c r="E19" s="1847"/>
      <c r="F19" s="1848"/>
      <c r="G19" s="1780">
        <f>SUM(G16:G18)</f>
        <v>462775100.77428508</v>
      </c>
      <c r="H19" s="1740">
        <f>SUM(H16:H18)</f>
        <v>201571882.54235572</v>
      </c>
      <c r="I19" s="1740">
        <f>SUM(I16:I18)</f>
        <v>0</v>
      </c>
      <c r="J19" s="1741">
        <f>SUM(J16:J18)</f>
        <v>262583558.59400645</v>
      </c>
      <c r="K19" s="24"/>
      <c r="L19" s="1757"/>
      <c r="M19" s="1758"/>
      <c r="N19" s="1758"/>
      <c r="O19" s="11"/>
      <c r="P19" s="11"/>
      <c r="Q19" s="11"/>
      <c r="R19" s="11"/>
      <c r="S19" s="11"/>
      <c r="T19" s="11"/>
    </row>
    <row r="20" spans="1:20" ht="8.1" customHeight="1" x14ac:dyDescent="0.25">
      <c r="A20" s="1346"/>
      <c r="B20" s="33"/>
      <c r="C20" s="48"/>
      <c r="D20" s="48"/>
      <c r="E20" s="48"/>
      <c r="F20" s="48"/>
      <c r="G20" s="377"/>
      <c r="H20" s="67"/>
      <c r="I20" s="142"/>
      <c r="J20" s="1347"/>
      <c r="K20" s="24"/>
      <c r="L20" s="1757"/>
      <c r="M20" s="1758"/>
      <c r="N20" s="1758"/>
      <c r="O20" s="11"/>
      <c r="P20" s="11"/>
      <c r="Q20" s="11"/>
      <c r="R20" s="11"/>
      <c r="S20" s="11"/>
      <c r="T20" s="11"/>
    </row>
    <row r="21" spans="1:20" ht="15" customHeight="1" x14ac:dyDescent="0.25">
      <c r="A21" s="1341" t="s">
        <v>110</v>
      </c>
      <c r="B21" s="78"/>
      <c r="C21" s="48"/>
      <c r="D21" s="48"/>
      <c r="E21" s="48"/>
      <c r="F21" s="48"/>
      <c r="G21" s="377"/>
      <c r="H21" s="142"/>
      <c r="I21" s="142"/>
      <c r="J21" s="1347"/>
      <c r="K21" s="20"/>
      <c r="L21" s="1754"/>
      <c r="M21" s="1755"/>
      <c r="N21" s="1755"/>
    </row>
    <row r="22" spans="1:20" ht="15" customHeight="1" x14ac:dyDescent="0.25">
      <c r="A22" s="1348"/>
      <c r="B22" s="49" t="s">
        <v>111</v>
      </c>
      <c r="C22" s="1939" t="s">
        <v>70</v>
      </c>
      <c r="D22" s="184" t="s">
        <v>824</v>
      </c>
      <c r="E22" s="184" t="s">
        <v>394</v>
      </c>
      <c r="F22" s="184"/>
      <c r="G22" s="1756">
        <f>SUM('Sch 1- Rate Base  (OR)'!G22+'Sch 1- Rate Base  (WA)'!G22+'Sch 1- Rate Base  (ID)'!G22)</f>
        <v>2890625949.8270597</v>
      </c>
      <c r="H22" s="1738">
        <f>VLOOKUP($E22,Ratio,2,FALSE)*$G22</f>
        <v>2890625949.8270597</v>
      </c>
      <c r="I22" s="1738">
        <f>VLOOKUP($E22,Ratio,3,FALSE)*$G22</f>
        <v>0</v>
      </c>
      <c r="J22" s="1739">
        <f>VLOOKUP($E22,Ratio,4,FALSE)*$G22</f>
        <v>0</v>
      </c>
      <c r="K22" s="24"/>
      <c r="L22" s="1757"/>
      <c r="M22" s="1759"/>
      <c r="N22" s="1759"/>
      <c r="O22" s="26"/>
    </row>
    <row r="23" spans="1:20" ht="15" customHeight="1" x14ac:dyDescent="0.25">
      <c r="A23" s="1348"/>
      <c r="B23" s="49" t="s">
        <v>113</v>
      </c>
      <c r="C23" s="1939" t="s">
        <v>70</v>
      </c>
      <c r="D23" s="184" t="s">
        <v>825</v>
      </c>
      <c r="E23" s="184" t="s">
        <v>394</v>
      </c>
      <c r="F23" s="184"/>
      <c r="G23" s="1756">
        <f>SUM('Sch 1- Rate Base  (OR)'!G23+'Sch 1- Rate Base  (WA)'!G23+'Sch 1- Rate Base  (ID)'!G23)</f>
        <v>0</v>
      </c>
      <c r="H23" s="1738">
        <f>VLOOKUP($E23,Ratio,2,FALSE)*$G23</f>
        <v>0</v>
      </c>
      <c r="I23" s="1738">
        <f>VLOOKUP($E23,Ratio,3,FALSE)*$G23</f>
        <v>0</v>
      </c>
      <c r="J23" s="1739">
        <f>VLOOKUP($E23,Ratio,4,FALSE)*$G23</f>
        <v>0</v>
      </c>
      <c r="K23" s="24"/>
      <c r="L23" s="1757"/>
      <c r="M23" s="1760"/>
      <c r="N23" s="1761"/>
      <c r="O23" s="26"/>
      <c r="P23" s="11"/>
      <c r="Q23" s="11"/>
      <c r="R23" s="11"/>
      <c r="S23" s="11"/>
      <c r="T23" s="11"/>
    </row>
    <row r="24" spans="1:20" ht="15" customHeight="1" x14ac:dyDescent="0.25">
      <c r="A24" s="1348"/>
      <c r="B24" s="49" t="s">
        <v>115</v>
      </c>
      <c r="C24" s="1939" t="s">
        <v>70</v>
      </c>
      <c r="D24" s="184" t="s">
        <v>826</v>
      </c>
      <c r="E24" s="184" t="s">
        <v>394</v>
      </c>
      <c r="F24" s="184"/>
      <c r="G24" s="1756">
        <f>SUM('Sch 1- Rate Base  (OR)'!G24+'Sch 1- Rate Base  (WA)'!G24+'Sch 1- Rate Base  (ID)'!G24)</f>
        <v>433360289.62213159</v>
      </c>
      <c r="H24" s="1738">
        <f>VLOOKUP($E24,Ratio,2,FALSE)*$G24</f>
        <v>433360289.62213159</v>
      </c>
      <c r="I24" s="1738">
        <f>VLOOKUP($E24,Ratio,3,FALSE)*$G24</f>
        <v>0</v>
      </c>
      <c r="J24" s="1739">
        <f>VLOOKUP($E24,Ratio,4,FALSE)*$G24</f>
        <v>0</v>
      </c>
      <c r="K24" s="24"/>
      <c r="L24" s="1757"/>
      <c r="M24" s="1758"/>
      <c r="N24" s="1758"/>
      <c r="O24" s="11"/>
      <c r="P24" s="11"/>
      <c r="Q24" s="11"/>
      <c r="R24" s="11"/>
      <c r="S24" s="11"/>
      <c r="T24" s="11"/>
    </row>
    <row r="25" spans="1:20" ht="15" customHeight="1" x14ac:dyDescent="0.25">
      <c r="A25" s="1348"/>
      <c r="B25" s="49" t="s">
        <v>117</v>
      </c>
      <c r="C25" s="1939" t="s">
        <v>70</v>
      </c>
      <c r="D25" s="184" t="s">
        <v>870</v>
      </c>
      <c r="E25" s="184" t="s">
        <v>394</v>
      </c>
      <c r="F25" s="184"/>
      <c r="G25" s="1756">
        <f>SUM('Sch 1- Rate Base  (OR)'!G25+'Sch 1- Rate Base  (WA)'!G25+'Sch 1- Rate Base  (ID)'!G25)</f>
        <v>2258385628.1561666</v>
      </c>
      <c r="H25" s="1738">
        <f>VLOOKUP($E25,Ratio,2,FALSE)*$G25</f>
        <v>2258385628.1561666</v>
      </c>
      <c r="I25" s="1738">
        <f>VLOOKUP($E25,Ratio,3,FALSE)*$G25</f>
        <v>0</v>
      </c>
      <c r="J25" s="1739">
        <f>VLOOKUP($E25,Ratio,4,FALSE)*$G25</f>
        <v>0</v>
      </c>
      <c r="K25" s="24"/>
      <c r="L25" s="1757"/>
      <c r="M25" s="1758"/>
      <c r="N25" s="1758"/>
      <c r="O25" s="11"/>
      <c r="P25" s="11"/>
      <c r="Q25" s="11"/>
      <c r="R25" s="11"/>
      <c r="S25" s="11"/>
      <c r="T25" s="11"/>
    </row>
    <row r="26" spans="1:20" ht="15" customHeight="1" x14ac:dyDescent="0.25">
      <c r="A26" s="1344" t="s">
        <v>119</v>
      </c>
      <c r="B26" s="33"/>
      <c r="C26" s="1846"/>
      <c r="D26" s="1847"/>
      <c r="E26" s="1847"/>
      <c r="F26" s="1848"/>
      <c r="G26" s="1781">
        <f>SUM(G22:G25)</f>
        <v>5582371867.6053581</v>
      </c>
      <c r="H26" s="495">
        <f>SUM(H22:H25)</f>
        <v>5582371867.6053581</v>
      </c>
      <c r="I26" s="1742">
        <f>SUM(I22:I25)</f>
        <v>0</v>
      </c>
      <c r="J26" s="1743">
        <f>SUM(J22:J25)</f>
        <v>0</v>
      </c>
      <c r="K26" s="24"/>
      <c r="L26" s="1757"/>
      <c r="M26" s="1758"/>
      <c r="N26" s="1758"/>
      <c r="O26" s="11"/>
      <c r="P26" s="11"/>
      <c r="Q26" s="11"/>
      <c r="R26" s="11"/>
      <c r="S26" s="11"/>
      <c r="T26" s="11"/>
    </row>
    <row r="27" spans="1:20" ht="8.1" customHeight="1" x14ac:dyDescent="0.25">
      <c r="A27" s="1346"/>
      <c r="B27" s="33"/>
      <c r="C27" s="48"/>
      <c r="D27" s="48"/>
      <c r="E27" s="48"/>
      <c r="F27" s="48"/>
      <c r="G27" s="1782"/>
      <c r="H27" s="142"/>
      <c r="I27" s="142"/>
      <c r="J27" s="1347"/>
      <c r="K27" s="24"/>
      <c r="L27" s="1757"/>
      <c r="M27" s="1758"/>
      <c r="N27" s="1758"/>
      <c r="O27" s="11"/>
    </row>
    <row r="28" spans="1:20" ht="15" customHeight="1" x14ac:dyDescent="0.25">
      <c r="A28" s="1341" t="s">
        <v>97</v>
      </c>
      <c r="B28" s="47"/>
      <c r="C28" s="48"/>
      <c r="D28" s="48"/>
      <c r="E28" s="1849"/>
      <c r="F28" s="1849"/>
      <c r="G28" s="377"/>
      <c r="H28" s="142"/>
      <c r="I28" s="142"/>
      <c r="J28" s="1347"/>
      <c r="K28" s="24"/>
      <c r="L28" s="1757"/>
      <c r="M28" s="1758"/>
      <c r="N28" s="1758"/>
      <c r="O28" s="11"/>
    </row>
    <row r="29" spans="1:20" ht="15" customHeight="1" x14ac:dyDescent="0.25">
      <c r="A29" s="1348"/>
      <c r="B29" s="49" t="s">
        <v>497</v>
      </c>
      <c r="C29" s="1942" t="s">
        <v>70</v>
      </c>
      <c r="D29" s="1943" t="s">
        <v>827</v>
      </c>
      <c r="E29" s="184" t="s">
        <v>393</v>
      </c>
      <c r="F29" s="184"/>
      <c r="G29" s="1756">
        <f>SUM('Sch 1- Rate Base  (OR)'!G29+'Sch 1- Rate Base  (WA)'!G29+'Sch 1- Rate Base  (ID)'!G29)</f>
        <v>3295838980.7862144</v>
      </c>
      <c r="H29" s="1738">
        <f>VLOOKUP($E29,Ratio,2,FALSE)*$G29</f>
        <v>0</v>
      </c>
      <c r="I29" s="1738">
        <f>VLOOKUP($E29,Ratio,3,FALSE)*$G29</f>
        <v>0</v>
      </c>
      <c r="J29" s="1739">
        <f>VLOOKUP($E29,Ratio,4,FALSE)*$G29</f>
        <v>3295838980.7862144</v>
      </c>
      <c r="K29" s="24"/>
      <c r="L29" s="1757"/>
      <c r="M29" s="1758"/>
      <c r="N29" s="1758"/>
      <c r="O29" s="11"/>
      <c r="P29" s="11"/>
      <c r="Q29" s="11"/>
      <c r="R29" s="11"/>
      <c r="S29" s="11"/>
      <c r="T29" s="11"/>
    </row>
    <row r="30" spans="1:20" ht="15" customHeight="1" x14ac:dyDescent="0.25">
      <c r="A30" s="1344" t="s">
        <v>121</v>
      </c>
      <c r="B30" s="33"/>
      <c r="C30" s="1940"/>
      <c r="D30" s="1941"/>
      <c r="E30" s="1847"/>
      <c r="F30" s="1848"/>
      <c r="G30" s="1781">
        <f>SUM(G29)</f>
        <v>3295838980.7862144</v>
      </c>
      <c r="H30" s="1742">
        <f>SUM(H29)</f>
        <v>0</v>
      </c>
      <c r="I30" s="1740">
        <f>SUM(I29)</f>
        <v>0</v>
      </c>
      <c r="J30" s="1743">
        <f>SUM(J29)</f>
        <v>3295838980.7862144</v>
      </c>
      <c r="K30" s="24"/>
      <c r="L30" s="1757"/>
      <c r="M30" s="1758"/>
      <c r="N30" s="1758"/>
      <c r="O30" s="11"/>
      <c r="P30" s="11"/>
      <c r="Q30" s="11"/>
      <c r="R30" s="11"/>
      <c r="S30" s="11"/>
      <c r="T30" s="11"/>
    </row>
    <row r="31" spans="1:20" ht="8.1" customHeight="1" x14ac:dyDescent="0.25">
      <c r="A31" s="1346"/>
      <c r="B31" s="33"/>
      <c r="C31" s="48"/>
      <c r="D31" s="48"/>
      <c r="E31" s="48"/>
      <c r="F31" s="48"/>
      <c r="G31" s="377"/>
      <c r="H31" s="142"/>
      <c r="I31" s="142"/>
      <c r="J31" s="1347"/>
      <c r="K31" s="24"/>
      <c r="L31" s="1757"/>
      <c r="M31" s="1758"/>
      <c r="N31" s="1758"/>
      <c r="O31" s="11"/>
      <c r="P31" s="11"/>
      <c r="Q31" s="11"/>
      <c r="R31" s="11"/>
      <c r="S31" s="11"/>
      <c r="T31" s="11"/>
    </row>
    <row r="32" spans="1:20" ht="15" customHeight="1" x14ac:dyDescent="0.25">
      <c r="A32" s="1341" t="s">
        <v>472</v>
      </c>
      <c r="B32" s="47"/>
      <c r="C32" s="48"/>
      <c r="D32" s="48"/>
      <c r="E32" s="46"/>
      <c r="F32" s="46"/>
      <c r="G32" s="377"/>
      <c r="H32" s="142"/>
      <c r="I32" s="142"/>
      <c r="J32" s="1347"/>
      <c r="K32" s="24"/>
      <c r="L32" s="1757"/>
      <c r="M32" s="1758"/>
      <c r="N32" s="1758"/>
      <c r="O32" s="11"/>
    </row>
    <row r="33" spans="1:20" ht="15" customHeight="1" x14ac:dyDescent="0.25">
      <c r="A33" s="1348"/>
      <c r="B33" s="49" t="s">
        <v>140</v>
      </c>
      <c r="C33" s="1939" t="s">
        <v>70</v>
      </c>
      <c r="D33" s="184" t="s">
        <v>828</v>
      </c>
      <c r="E33" s="184" t="s">
        <v>392</v>
      </c>
      <c r="F33" s="184"/>
      <c r="G33" s="1756">
        <f>SUM('Sch 1- Rate Base  (OR)'!G33+'Sch 1- Rate Base  (WA)'!G33+'Sch 1- Rate Base  (ID)'!G33)</f>
        <v>3803344740.5943408</v>
      </c>
      <c r="H33" s="1738">
        <f>VLOOKUP($E33,Ratio,2,FALSE)*$G33</f>
        <v>0</v>
      </c>
      <c r="I33" s="1738">
        <f>VLOOKUP($E33,Ratio,3,FALSE)*$G33</f>
        <v>0</v>
      </c>
      <c r="J33" s="1739">
        <f>VLOOKUP($E33,Ratio,4,FALSE)*$G33</f>
        <v>3803344740.5943408</v>
      </c>
      <c r="K33" s="24"/>
      <c r="L33" s="1757"/>
      <c r="M33" s="1758"/>
      <c r="N33" s="1758"/>
      <c r="O33" s="11"/>
      <c r="P33" s="11"/>
      <c r="Q33" s="11"/>
      <c r="R33" s="11"/>
      <c r="S33" s="11"/>
      <c r="T33" s="11"/>
    </row>
    <row r="34" spans="1:20" ht="15" customHeight="1" x14ac:dyDescent="0.25">
      <c r="A34" s="1350" t="s">
        <v>122</v>
      </c>
      <c r="B34" s="47"/>
      <c r="C34" s="1846"/>
      <c r="D34" s="1847"/>
      <c r="E34" s="1847"/>
      <c r="F34" s="1848"/>
      <c r="G34" s="1781">
        <f>SUM(G33)</f>
        <v>3803344740.5943408</v>
      </c>
      <c r="H34" s="1740">
        <f>SUM(H33)</f>
        <v>0</v>
      </c>
      <c r="I34" s="1740">
        <f>SUM(I33)</f>
        <v>0</v>
      </c>
      <c r="J34" s="1741">
        <f>SUM(J33)</f>
        <v>3803344740.5943408</v>
      </c>
      <c r="K34" s="24"/>
      <c r="L34" s="1757"/>
      <c r="M34" s="1758"/>
      <c r="N34" s="1758"/>
      <c r="O34" s="11"/>
      <c r="P34" s="11"/>
      <c r="Q34" s="11"/>
      <c r="R34" s="11"/>
      <c r="S34" s="11"/>
      <c r="T34" s="11"/>
    </row>
    <row r="35" spans="1:20" ht="8.1" customHeight="1" x14ac:dyDescent="0.25">
      <c r="A35" s="1351"/>
      <c r="B35" s="47"/>
      <c r="C35" s="48"/>
      <c r="D35" s="48"/>
      <c r="E35" s="48"/>
      <c r="F35" s="48"/>
      <c r="G35" s="378"/>
      <c r="H35" s="381"/>
      <c r="I35" s="381"/>
      <c r="J35" s="1744"/>
      <c r="K35" s="24"/>
      <c r="L35" s="1757"/>
      <c r="M35" s="1758"/>
      <c r="N35" s="1758"/>
      <c r="O35" s="11"/>
      <c r="P35" s="11"/>
      <c r="Q35" s="11"/>
      <c r="R35" s="11"/>
      <c r="S35" s="11"/>
      <c r="T35" s="11"/>
    </row>
    <row r="36" spans="1:20" ht="15" customHeight="1" x14ac:dyDescent="0.25">
      <c r="A36" s="1341" t="s">
        <v>124</v>
      </c>
      <c r="B36" s="33"/>
      <c r="C36" s="48"/>
      <c r="D36" s="48"/>
      <c r="E36" s="48"/>
      <c r="F36" s="48"/>
      <c r="G36" s="1784"/>
      <c r="H36" s="67"/>
      <c r="I36" s="67"/>
      <c r="J36" s="1352"/>
      <c r="K36" s="24"/>
      <c r="L36" s="1757"/>
      <c r="M36" s="1758"/>
      <c r="N36" s="1758"/>
      <c r="O36" s="11"/>
    </row>
    <row r="37" spans="1:20" ht="15" customHeight="1" x14ac:dyDescent="0.25">
      <c r="A37" s="1348"/>
      <c r="B37" s="46" t="s">
        <v>125</v>
      </c>
      <c r="C37" s="1939" t="s">
        <v>70</v>
      </c>
      <c r="D37" s="184">
        <v>389</v>
      </c>
      <c r="E37" s="184" t="s">
        <v>99</v>
      </c>
      <c r="F37" s="184"/>
      <c r="G37" s="1756">
        <f>SUM('Sch 1- Rate Base  (OR)'!G37+'Sch 1- Rate Base  (WA)'!G37+'Sch 1- Rate Base  (ID)'!G37)</f>
        <v>10980784.643303178</v>
      </c>
      <c r="H37" s="1738">
        <f t="shared" ref="H37:H46" si="0">VLOOKUP($E37,Ratio,2,FALSE)*$G37</f>
        <v>4833699.0558356559</v>
      </c>
      <c r="I37" s="1738">
        <f t="shared" ref="I37:I46" si="1">VLOOKUP($E37,Ratio,3,FALSE)*$G37</f>
        <v>0</v>
      </c>
      <c r="J37" s="1739">
        <f t="shared" ref="J37:J46" si="2">VLOOKUP($E37,Ratio,4,FALSE)*$G37</f>
        <v>6147085.5874675214</v>
      </c>
      <c r="K37" s="24"/>
      <c r="L37" s="1757"/>
      <c r="M37" s="1758"/>
      <c r="N37" s="1758"/>
      <c r="O37" s="11"/>
    </row>
    <row r="38" spans="1:20" ht="15" customHeight="1" x14ac:dyDescent="0.25">
      <c r="A38" s="1348"/>
      <c r="B38" s="46" t="s">
        <v>126</v>
      </c>
      <c r="C38" s="1939" t="s">
        <v>70</v>
      </c>
      <c r="D38" s="184">
        <v>390</v>
      </c>
      <c r="E38" s="184" t="s">
        <v>99</v>
      </c>
      <c r="F38" s="184"/>
      <c r="G38" s="1756">
        <f>SUM('Sch 1- Rate Base  (OR)'!G38+'Sch 1- Rate Base  (WA)'!G38+'Sch 1- Rate Base  (ID)'!G38)</f>
        <v>134526603.60952502</v>
      </c>
      <c r="H38" s="1738">
        <f t="shared" si="0"/>
        <v>59218092.146876924</v>
      </c>
      <c r="I38" s="1738">
        <f t="shared" si="1"/>
        <v>0</v>
      </c>
      <c r="J38" s="1739">
        <f t="shared" si="2"/>
        <v>75308511.462648094</v>
      </c>
      <c r="K38" s="24"/>
      <c r="L38" s="1757"/>
      <c r="M38" s="1758"/>
      <c r="N38" s="1758"/>
      <c r="O38" s="11"/>
    </row>
    <row r="39" spans="1:20" ht="15" customHeight="1" x14ac:dyDescent="0.25">
      <c r="A39" s="1348"/>
      <c r="B39" s="46" t="s">
        <v>127</v>
      </c>
      <c r="C39" s="1939" t="s">
        <v>70</v>
      </c>
      <c r="D39" s="184">
        <v>391</v>
      </c>
      <c r="E39" s="184" t="s">
        <v>95</v>
      </c>
      <c r="F39" s="184"/>
      <c r="G39" s="1756">
        <f>SUM('Sch 1- Rate Base  (OR)'!G39+'Sch 1- Rate Base  (WA)'!G39+'Sch 1- Rate Base  (ID)'!G39)</f>
        <v>38698718.859569281</v>
      </c>
      <c r="H39" s="1738">
        <f t="shared" si="0"/>
        <v>16131692.601433367</v>
      </c>
      <c r="I39" s="1738">
        <f t="shared" si="1"/>
        <v>0</v>
      </c>
      <c r="J39" s="1739">
        <f t="shared" si="2"/>
        <v>22567026.258135919</v>
      </c>
      <c r="K39" s="24"/>
      <c r="L39" s="1757"/>
      <c r="M39" s="1758"/>
      <c r="N39" s="1758"/>
      <c r="O39" s="11"/>
    </row>
    <row r="40" spans="1:20" ht="15" customHeight="1" x14ac:dyDescent="0.25">
      <c r="A40" s="1348"/>
      <c r="B40" s="46" t="s">
        <v>128</v>
      </c>
      <c r="C40" s="1939" t="s">
        <v>70</v>
      </c>
      <c r="D40" s="184">
        <v>392</v>
      </c>
      <c r="E40" s="184" t="s">
        <v>109</v>
      </c>
      <c r="F40" s="184"/>
      <c r="G40" s="1756">
        <f>SUM('Sch 1- Rate Base  (OR)'!G40+'Sch 1- Rate Base  (WA)'!G40+'Sch 1- Rate Base  (ID)'!G40)</f>
        <v>70926422.960104048</v>
      </c>
      <c r="H40" s="1738">
        <f t="shared" si="0"/>
        <v>0</v>
      </c>
      <c r="I40" s="1738">
        <f t="shared" si="1"/>
        <v>0</v>
      </c>
      <c r="J40" s="1739">
        <f t="shared" si="2"/>
        <v>70926422.960104048</v>
      </c>
      <c r="K40" s="24"/>
      <c r="L40" s="1757"/>
      <c r="M40" s="1758"/>
      <c r="N40" s="1758"/>
      <c r="O40" s="11"/>
    </row>
    <row r="41" spans="1:20" ht="15" customHeight="1" x14ac:dyDescent="0.25">
      <c r="A41" s="1348"/>
      <c r="B41" s="46" t="s">
        <v>129</v>
      </c>
      <c r="C41" s="1939" t="s">
        <v>70</v>
      </c>
      <c r="D41" s="184">
        <v>393</v>
      </c>
      <c r="E41" s="184" t="s">
        <v>99</v>
      </c>
      <c r="F41" s="184"/>
      <c r="G41" s="1756">
        <f>SUM('Sch 1- Rate Base  (OR)'!G41+'Sch 1- Rate Base  (WA)'!G41+'Sch 1- Rate Base  (ID)'!G41)</f>
        <v>8843323.1563989222</v>
      </c>
      <c r="H41" s="1738">
        <f t="shared" si="0"/>
        <v>3892796.7517880816</v>
      </c>
      <c r="I41" s="1738">
        <f t="shared" si="1"/>
        <v>0</v>
      </c>
      <c r="J41" s="1739">
        <f t="shared" si="2"/>
        <v>4950526.4046108397</v>
      </c>
      <c r="K41" s="24"/>
      <c r="L41" s="1757"/>
      <c r="M41" s="1758"/>
      <c r="N41" s="1758"/>
      <c r="O41" s="11"/>
    </row>
    <row r="42" spans="1:20" ht="15" customHeight="1" x14ac:dyDescent="0.25">
      <c r="A42" s="1348"/>
      <c r="B42" s="46" t="s">
        <v>130</v>
      </c>
      <c r="C42" s="1939" t="s">
        <v>70</v>
      </c>
      <c r="D42" s="184">
        <v>394</v>
      </c>
      <c r="E42" s="184" t="s">
        <v>99</v>
      </c>
      <c r="F42" s="184"/>
      <c r="G42" s="1756">
        <f>SUM('Sch 1- Rate Base  (OR)'!G42+'Sch 1- Rate Base  (WA)'!G42+'Sch 1- Rate Base  (ID)'!G42)</f>
        <v>28801735.62174933</v>
      </c>
      <c r="H42" s="1738">
        <f t="shared" si="0"/>
        <v>12678412.955324007</v>
      </c>
      <c r="I42" s="1738">
        <f t="shared" si="1"/>
        <v>0</v>
      </c>
      <c r="J42" s="1739">
        <f t="shared" si="2"/>
        <v>16123322.666425321</v>
      </c>
      <c r="K42" s="24"/>
      <c r="L42" s="1757"/>
      <c r="M42" s="1758"/>
      <c r="N42" s="1758"/>
      <c r="O42" s="11"/>
    </row>
    <row r="43" spans="1:20" ht="15" customHeight="1" x14ac:dyDescent="0.25">
      <c r="A43" s="1348"/>
      <c r="B43" s="46" t="s">
        <v>131</v>
      </c>
      <c r="C43" s="1939" t="s">
        <v>70</v>
      </c>
      <c r="D43" s="184">
        <v>395</v>
      </c>
      <c r="E43" s="184" t="s">
        <v>99</v>
      </c>
      <c r="F43" s="184"/>
      <c r="G43" s="1756">
        <f>SUM('Sch 1- Rate Base  (OR)'!G43+'Sch 1- Rate Base  (WA)'!G43+'Sch 1- Rate Base  (ID)'!G43)</f>
        <v>22065131.008344457</v>
      </c>
      <c r="H43" s="1738">
        <f t="shared" si="0"/>
        <v>9712985.5822252911</v>
      </c>
      <c r="I43" s="1738">
        <f t="shared" si="1"/>
        <v>0</v>
      </c>
      <c r="J43" s="1739">
        <f t="shared" si="2"/>
        <v>12352145.426119164</v>
      </c>
      <c r="K43" s="24"/>
      <c r="L43" s="1757"/>
      <c r="M43" s="1758"/>
      <c r="N43" s="1758"/>
      <c r="O43" s="11"/>
    </row>
    <row r="44" spans="1:20" ht="15" customHeight="1" x14ac:dyDescent="0.25">
      <c r="A44" s="1348"/>
      <c r="B44" s="46" t="s">
        <v>132</v>
      </c>
      <c r="C44" s="1939" t="s">
        <v>70</v>
      </c>
      <c r="D44" s="184">
        <v>396</v>
      </c>
      <c r="E44" s="184" t="s">
        <v>109</v>
      </c>
      <c r="F44" s="184"/>
      <c r="G44" s="1756">
        <f>SUM('Sch 1- Rate Base  (OR)'!G44+'Sch 1- Rate Base  (WA)'!G44+'Sch 1- Rate Base  (ID)'!G44)</f>
        <v>104224382.24860385</v>
      </c>
      <c r="H44" s="1738">
        <f t="shared" si="0"/>
        <v>0</v>
      </c>
      <c r="I44" s="1738">
        <f t="shared" si="1"/>
        <v>0</v>
      </c>
      <c r="J44" s="1739">
        <f t="shared" si="2"/>
        <v>104224382.24860385</v>
      </c>
      <c r="K44" s="24"/>
      <c r="L44" s="1757"/>
      <c r="M44" s="1758"/>
      <c r="N44" s="1758"/>
      <c r="O44" s="11"/>
    </row>
    <row r="45" spans="1:20" ht="15" customHeight="1" x14ac:dyDescent="0.25">
      <c r="A45" s="1348"/>
      <c r="B45" s="46" t="s">
        <v>133</v>
      </c>
      <c r="C45" s="1939" t="s">
        <v>70</v>
      </c>
      <c r="D45" s="184">
        <v>397</v>
      </c>
      <c r="E45" s="184" t="s">
        <v>99</v>
      </c>
      <c r="F45" s="184"/>
      <c r="G45" s="1756">
        <f>SUM('Sch 1- Rate Base  (OR)'!G45+'Sch 1- Rate Base  (WA)'!G45+'Sch 1- Rate Base  (ID)'!G45)</f>
        <v>225166384.95095226</v>
      </c>
      <c r="H45" s="1738">
        <f t="shared" si="0"/>
        <v>99117374.367879733</v>
      </c>
      <c r="I45" s="1738">
        <f t="shared" si="1"/>
        <v>0</v>
      </c>
      <c r="J45" s="1739">
        <f t="shared" si="2"/>
        <v>126049010.58307251</v>
      </c>
      <c r="K45" s="24"/>
      <c r="L45" s="1757"/>
      <c r="M45" s="1758"/>
      <c r="N45" s="1758"/>
      <c r="O45" s="11"/>
    </row>
    <row r="46" spans="1:20" ht="15" customHeight="1" x14ac:dyDescent="0.25">
      <c r="A46" s="1348"/>
      <c r="B46" s="46" t="s">
        <v>134</v>
      </c>
      <c r="C46" s="1939" t="s">
        <v>70</v>
      </c>
      <c r="D46" s="184">
        <v>398</v>
      </c>
      <c r="E46" s="184" t="s">
        <v>99</v>
      </c>
      <c r="F46" s="184"/>
      <c r="G46" s="1756">
        <f>SUM('Sch 1- Rate Base  (OR)'!G46+'Sch 1- Rate Base  (WA)'!G46+'Sch 1- Rate Base  (ID)'!G46)</f>
        <v>3889871.2322740913</v>
      </c>
      <c r="H46" s="1738">
        <f t="shared" si="0"/>
        <v>1712306.316309788</v>
      </c>
      <c r="I46" s="1738">
        <f t="shared" si="1"/>
        <v>0</v>
      </c>
      <c r="J46" s="1739">
        <f t="shared" si="2"/>
        <v>2177564.9159643031</v>
      </c>
      <c r="K46" s="24"/>
      <c r="L46" s="1757"/>
      <c r="M46" s="1758"/>
      <c r="N46" s="1758"/>
      <c r="O46" s="11"/>
    </row>
    <row r="47" spans="1:20" ht="15" customHeight="1" x14ac:dyDescent="0.25">
      <c r="A47" s="1348"/>
      <c r="B47" s="46" t="s">
        <v>256</v>
      </c>
      <c r="C47" s="1939" t="s">
        <v>70</v>
      </c>
      <c r="D47" s="184">
        <v>399</v>
      </c>
      <c r="E47" s="184" t="s">
        <v>90</v>
      </c>
      <c r="F47" s="184" t="s">
        <v>99</v>
      </c>
      <c r="G47" s="1756">
        <f>SUM('Sch 1- Rate Base  (OR)'!G47+'Sch 1- Rate Base  (WA)'!G47+'Sch 1- Rate Base  (ID)'!G47)</f>
        <v>708735.65050650423</v>
      </c>
      <c r="H47" s="1738">
        <f>IF($E47="DIRECT",$L47,VLOOKUP($E47,Ratio,2,FALSE)*$G47)</f>
        <v>708735.65050650423</v>
      </c>
      <c r="I47" s="1738">
        <f>IF($E47="DIRECT",$M47,VLOOKUP($E47,Ratio,3,FALSE)*$G47)</f>
        <v>0</v>
      </c>
      <c r="J47" s="1739">
        <f>IF($E47="DIRECT",$N47,VLOOKUP($E47,Ratio,4,FALSE)*$G47)</f>
        <v>0</v>
      </c>
      <c r="K47" s="24"/>
      <c r="L47" s="1756">
        <f>SUM('Sch 1- Rate Base  (OR)'!L47+'Sch 1- Rate Base  (WA)'!L47+'Sch 1- Rate Base  (ID)'!L47)</f>
        <v>708735.65050650423</v>
      </c>
      <c r="M47" s="1756">
        <f>SUM('Sch 1- Rate Base  (OR)'!M47+'Sch 1- Rate Base  (WA)'!M47+'Sch 1- Rate Base  (ID)'!M47)</f>
        <v>0</v>
      </c>
      <c r="N47" s="1756">
        <f>SUM('Sch 1- Rate Base  (OR)'!N47+'Sch 1- Rate Base  (WA)'!N47+'Sch 1- Rate Base  (ID)'!N47)</f>
        <v>0</v>
      </c>
      <c r="O47" s="11"/>
    </row>
    <row r="48" spans="1:20" ht="15" customHeight="1" x14ac:dyDescent="0.25">
      <c r="A48" s="1348"/>
      <c r="B48" s="46" t="s">
        <v>442</v>
      </c>
      <c r="C48" s="1939" t="s">
        <v>70</v>
      </c>
      <c r="D48" s="184">
        <v>399.1</v>
      </c>
      <c r="E48" s="184" t="s">
        <v>99</v>
      </c>
      <c r="F48" s="184"/>
      <c r="G48" s="1756">
        <f>SUM('Sch 1- Rate Base  (OR)'!G48+'Sch 1- Rate Base  (WA)'!G48+'Sch 1- Rate Base  (ID)'!G48)</f>
        <v>15896.576261311178</v>
      </c>
      <c r="H48" s="1738">
        <f>VLOOKUP($E48,Ratio,2,FALSE)*$G48</f>
        <v>6997.6115697871464</v>
      </c>
      <c r="I48" s="1738">
        <f>VLOOKUP($E48,Ratio,3,FALSE)*$G48</f>
        <v>0</v>
      </c>
      <c r="J48" s="1739">
        <f>VLOOKUP($E48,Ratio,4,FALSE)*$G48</f>
        <v>8898.9646915240301</v>
      </c>
      <c r="K48" s="24"/>
      <c r="L48" s="1762"/>
      <c r="M48" s="1762"/>
      <c r="N48" s="1762"/>
      <c r="O48" s="11"/>
    </row>
    <row r="49" spans="1:15" ht="8.1" customHeight="1" x14ac:dyDescent="0.25">
      <c r="A49" s="1353"/>
      <c r="B49" s="31"/>
      <c r="C49" s="34"/>
      <c r="D49" s="34"/>
      <c r="E49" s="34"/>
      <c r="F49" s="34"/>
      <c r="G49" s="379"/>
      <c r="H49" s="337"/>
      <c r="I49" s="337"/>
      <c r="J49" s="1354"/>
      <c r="K49" s="24"/>
      <c r="L49" s="1757"/>
      <c r="M49" s="1758"/>
      <c r="N49" s="1758"/>
      <c r="O49" s="11"/>
    </row>
    <row r="50" spans="1:15" ht="15" customHeight="1" thickBot="1" x14ac:dyDescent="0.3">
      <c r="A50" s="1355" t="s">
        <v>135</v>
      </c>
      <c r="B50" s="173"/>
      <c r="C50" s="1850"/>
      <c r="D50" s="1851"/>
      <c r="E50" s="1851"/>
      <c r="F50" s="1852"/>
      <c r="G50" s="1785">
        <f>SUM(G37:G49)</f>
        <v>648847990.51759219</v>
      </c>
      <c r="H50" s="1745">
        <f>SUM(H37:H49)</f>
        <v>208013093.03974915</v>
      </c>
      <c r="I50" s="1745">
        <f>SUM(I37:I49)</f>
        <v>0</v>
      </c>
      <c r="J50" s="1746">
        <f>SUM(J37:J49)</f>
        <v>440834897.47784311</v>
      </c>
      <c r="K50" s="24"/>
      <c r="L50" s="1757"/>
      <c r="M50" s="1758"/>
      <c r="N50" s="1758"/>
      <c r="O50" s="11"/>
    </row>
    <row r="51" spans="1:15" ht="8.1" customHeight="1" thickTop="1" x14ac:dyDescent="0.25">
      <c r="A51" s="1346"/>
      <c r="B51" s="32"/>
      <c r="C51" s="34"/>
      <c r="D51" s="34"/>
      <c r="E51" s="34"/>
      <c r="F51" s="34"/>
      <c r="G51" s="1784"/>
      <c r="H51" s="67"/>
      <c r="I51" s="67"/>
      <c r="J51" s="1352"/>
      <c r="K51" s="24"/>
      <c r="L51" s="1757"/>
      <c r="M51" s="1758"/>
      <c r="N51" s="1758"/>
      <c r="O51" s="11"/>
    </row>
    <row r="52" spans="1:15" ht="15" customHeight="1" x14ac:dyDescent="0.25">
      <c r="A52" s="1350" t="s">
        <v>136</v>
      </c>
      <c r="B52" s="32"/>
      <c r="C52" s="1853"/>
      <c r="D52" s="1847"/>
      <c r="E52" s="1847"/>
      <c r="F52" s="1848"/>
      <c r="G52" s="1781">
        <f>G19+G26+G30+G34+G50</f>
        <v>13793178680.27779</v>
      </c>
      <c r="H52" s="495">
        <f>H19+H26+H30+H34+H50</f>
        <v>5991956843.1874628</v>
      </c>
      <c r="I52" s="495">
        <f>I19+I26+I30+I34+I50</f>
        <v>0</v>
      </c>
      <c r="J52" s="1365">
        <f>J19+J26+J30+J34+J50</f>
        <v>7802602177.452405</v>
      </c>
      <c r="K52" s="24"/>
      <c r="L52" s="1763"/>
      <c r="M52" s="1758"/>
      <c r="N52" s="1758"/>
      <c r="O52" s="11"/>
    </row>
    <row r="53" spans="1:15" ht="15" customHeight="1" x14ac:dyDescent="0.25">
      <c r="A53" s="1356" t="s">
        <v>440</v>
      </c>
      <c r="B53" s="32"/>
      <c r="C53" s="34"/>
      <c r="D53" s="34"/>
      <c r="E53" s="46"/>
      <c r="F53" s="46"/>
      <c r="G53" s="1784"/>
      <c r="H53" s="67"/>
      <c r="I53" s="67"/>
      <c r="J53" s="1352"/>
      <c r="K53" s="24"/>
      <c r="L53" s="1757"/>
      <c r="M53" s="1758"/>
      <c r="N53" s="1758"/>
      <c r="O53" s="11"/>
    </row>
    <row r="54" spans="1:15" ht="15" customHeight="1" x14ac:dyDescent="0.25">
      <c r="A54" s="1357"/>
      <c r="B54" s="59"/>
      <c r="C54" s="34"/>
      <c r="D54" s="34"/>
      <c r="E54" s="34"/>
      <c r="F54" s="34"/>
      <c r="G54" s="1784"/>
      <c r="H54" s="67"/>
      <c r="I54" s="67"/>
      <c r="J54" s="1352"/>
      <c r="K54" s="24"/>
      <c r="L54" s="1757"/>
      <c r="M54" s="1758"/>
      <c r="N54" s="1758"/>
      <c r="O54" s="11"/>
    </row>
    <row r="55" spans="1:15" ht="15" customHeight="1" x14ac:dyDescent="0.25">
      <c r="A55" s="1341" t="s">
        <v>474</v>
      </c>
      <c r="B55" s="59"/>
      <c r="C55" s="34"/>
      <c r="D55" s="34"/>
      <c r="E55" s="34"/>
      <c r="F55" s="34"/>
      <c r="G55" s="377"/>
      <c r="H55" s="142"/>
      <c r="I55" s="142"/>
      <c r="J55" s="1347"/>
      <c r="K55" s="24"/>
      <c r="L55" s="1757"/>
      <c r="M55" s="1758"/>
      <c r="N55" s="1758"/>
      <c r="O55" s="11"/>
    </row>
    <row r="56" spans="1:15" ht="15" customHeight="1" x14ac:dyDescent="0.25">
      <c r="A56" s="1341" t="s">
        <v>210</v>
      </c>
      <c r="B56" s="59"/>
      <c r="C56" s="34"/>
      <c r="D56" s="34"/>
      <c r="E56" s="34"/>
      <c r="F56" s="34"/>
      <c r="G56" s="377"/>
      <c r="H56" s="142"/>
      <c r="I56" s="142"/>
      <c r="J56" s="1347"/>
      <c r="K56" s="24"/>
      <c r="L56" s="1757"/>
      <c r="M56" s="1758"/>
      <c r="N56" s="1758"/>
      <c r="O56" s="11"/>
    </row>
    <row r="57" spans="1:15" ht="15" customHeight="1" x14ac:dyDescent="0.25">
      <c r="A57" s="1348"/>
      <c r="B57" s="49" t="s">
        <v>88</v>
      </c>
      <c r="C57" s="184">
        <v>219</v>
      </c>
      <c r="D57" s="184">
        <v>108</v>
      </c>
      <c r="E57" s="184" t="s">
        <v>394</v>
      </c>
      <c r="F57" s="184"/>
      <c r="G57" s="1756">
        <f>SUM('Sch 1- Rate Base  (OR)'!G57+'Sch 1- Rate Base  (WA)'!G57+'Sch 1- Rate Base  (ID)'!G57)</f>
        <v>1888183301.8432956</v>
      </c>
      <c r="H57" s="1738">
        <f t="shared" ref="H57:H64" si="3">VLOOKUP($E57,Ratio,2,FALSE)*$G57</f>
        <v>1888183301.8432956</v>
      </c>
      <c r="I57" s="1738">
        <f t="shared" ref="I57:I64" si="4">VLOOKUP($E57,Ratio,3,FALSE)*$G57</f>
        <v>0</v>
      </c>
      <c r="J57" s="1739">
        <f t="shared" ref="J57:J64" si="5">VLOOKUP($E57,Ratio,4,FALSE)*$G57</f>
        <v>0</v>
      </c>
      <c r="K57" s="24"/>
      <c r="L57" s="1757"/>
      <c r="M57" s="1758"/>
      <c r="N57" s="1758"/>
      <c r="O57" s="11"/>
    </row>
    <row r="58" spans="1:15" ht="15" customHeight="1" x14ac:dyDescent="0.25">
      <c r="A58" s="1348"/>
      <c r="B58" s="49" t="s">
        <v>89</v>
      </c>
      <c r="C58" s="184">
        <v>219</v>
      </c>
      <c r="D58" s="184">
        <v>108</v>
      </c>
      <c r="E58" s="184" t="s">
        <v>394</v>
      </c>
      <c r="F58" s="184"/>
      <c r="G58" s="1756">
        <f>SUM('Sch 1- Rate Base  (OR)'!G58+'Sch 1- Rate Base  (WA)'!G58+'Sch 1- Rate Base  (ID)'!G58)</f>
        <v>0</v>
      </c>
      <c r="H58" s="1738">
        <f t="shared" si="3"/>
        <v>0</v>
      </c>
      <c r="I58" s="1738">
        <f t="shared" si="4"/>
        <v>0</v>
      </c>
      <c r="J58" s="1739">
        <f t="shared" si="5"/>
        <v>0</v>
      </c>
      <c r="K58" s="24"/>
      <c r="L58" s="1757"/>
      <c r="M58" s="1758"/>
      <c r="N58" s="1758"/>
      <c r="O58" s="11"/>
    </row>
    <row r="59" spans="1:15" ht="15" customHeight="1" x14ac:dyDescent="0.25">
      <c r="A59" s="1348"/>
      <c r="B59" s="49" t="s">
        <v>326</v>
      </c>
      <c r="C59" s="184">
        <v>219</v>
      </c>
      <c r="D59" s="184">
        <v>108</v>
      </c>
      <c r="E59" s="184" t="s">
        <v>394</v>
      </c>
      <c r="F59" s="184"/>
      <c r="G59" s="1756">
        <f>SUM('Sch 1- Rate Base  (OR)'!G59+'Sch 1- Rate Base  (WA)'!G59+'Sch 1- Rate Base  (ID)'!G59)</f>
        <v>187302448.38277987</v>
      </c>
      <c r="H59" s="1738">
        <f t="shared" si="3"/>
        <v>187302448.38277987</v>
      </c>
      <c r="I59" s="1738">
        <f t="shared" si="4"/>
        <v>0</v>
      </c>
      <c r="J59" s="1739">
        <f t="shared" si="5"/>
        <v>0</v>
      </c>
      <c r="K59" s="24"/>
      <c r="L59" s="1757"/>
      <c r="M59" s="1758"/>
      <c r="N59" s="1758"/>
      <c r="O59" s="11"/>
    </row>
    <row r="60" spans="1:15" ht="15" customHeight="1" x14ac:dyDescent="0.25">
      <c r="A60" s="1348"/>
      <c r="B60" s="49" t="s">
        <v>137</v>
      </c>
      <c r="C60" s="184">
        <v>219</v>
      </c>
      <c r="D60" s="184">
        <v>108</v>
      </c>
      <c r="E60" s="184" t="s">
        <v>394</v>
      </c>
      <c r="F60" s="184"/>
      <c r="G60" s="1756">
        <f>SUM('Sch 1- Rate Base  (OR)'!G60+'Sch 1- Rate Base  (WA)'!G60+'Sch 1- Rate Base  (ID)'!G60)</f>
        <v>306422821.96464163</v>
      </c>
      <c r="H60" s="1738">
        <f t="shared" si="3"/>
        <v>306422821.96464163</v>
      </c>
      <c r="I60" s="1738">
        <f t="shared" si="4"/>
        <v>0</v>
      </c>
      <c r="J60" s="1739">
        <f t="shared" si="5"/>
        <v>0</v>
      </c>
      <c r="K60" s="24"/>
      <c r="L60" s="1757"/>
      <c r="M60" s="1758"/>
      <c r="N60" s="1758"/>
      <c r="O60" s="11"/>
    </row>
    <row r="61" spans="1:15" ht="15" customHeight="1" x14ac:dyDescent="0.25">
      <c r="A61" s="1348"/>
      <c r="B61" s="49" t="s">
        <v>143</v>
      </c>
      <c r="C61" s="184">
        <v>219</v>
      </c>
      <c r="D61" s="184">
        <v>108</v>
      </c>
      <c r="E61" s="184" t="s">
        <v>393</v>
      </c>
      <c r="F61" s="184"/>
      <c r="G61" s="1756">
        <f>SUM('Sch 1- Rate Base  (OR)'!G61+'Sch 1- Rate Base  (WA)'!G61+'Sch 1- Rate Base  (ID)'!G61)</f>
        <v>906356004.76731598</v>
      </c>
      <c r="H61" s="1738">
        <f t="shared" si="3"/>
        <v>0</v>
      </c>
      <c r="I61" s="1738">
        <f t="shared" si="4"/>
        <v>0</v>
      </c>
      <c r="J61" s="1739">
        <f t="shared" si="5"/>
        <v>906356004.76731598</v>
      </c>
      <c r="K61" s="24"/>
      <c r="L61" s="1757"/>
      <c r="M61" s="1758"/>
      <c r="N61" s="1758"/>
      <c r="O61" s="11"/>
    </row>
    <row r="62" spans="1:15" ht="15" customHeight="1" x14ac:dyDescent="0.25">
      <c r="A62" s="1348"/>
      <c r="B62" s="49" t="s">
        <v>470</v>
      </c>
      <c r="C62" s="184">
        <v>219</v>
      </c>
      <c r="D62" s="184">
        <v>108</v>
      </c>
      <c r="E62" s="184" t="s">
        <v>392</v>
      </c>
      <c r="F62" s="184"/>
      <c r="G62" s="1756">
        <f>SUM('Sch 1- Rate Base  (OR)'!G62+'Sch 1- Rate Base  (WA)'!G62+'Sch 1- Rate Base  (ID)'!G62)</f>
        <v>1633153769.5014434</v>
      </c>
      <c r="H62" s="1738">
        <f t="shared" si="3"/>
        <v>0</v>
      </c>
      <c r="I62" s="1738">
        <f t="shared" si="4"/>
        <v>0</v>
      </c>
      <c r="J62" s="1739">
        <f t="shared" si="5"/>
        <v>1633153769.5014434</v>
      </c>
      <c r="K62" s="24"/>
      <c r="L62" s="1757"/>
      <c r="M62" s="1758"/>
      <c r="N62" s="1758"/>
      <c r="O62" s="11"/>
    </row>
    <row r="63" spans="1:15" ht="15" customHeight="1" x14ac:dyDescent="0.25">
      <c r="A63" s="1348"/>
      <c r="B63" s="49" t="s">
        <v>92</v>
      </c>
      <c r="C63" s="184">
        <v>219</v>
      </c>
      <c r="D63" s="184">
        <v>108</v>
      </c>
      <c r="E63" s="184" t="s">
        <v>91</v>
      </c>
      <c r="F63" s="184"/>
      <c r="G63" s="1756">
        <f>SUM('Sch 1- Rate Base  (OR)'!G63+'Sch 1- Rate Base  (WA)'!G63+'Sch 1- Rate Base  (ID)'!G63)</f>
        <v>251101823.88277176</v>
      </c>
      <c r="H63" s="1738">
        <f t="shared" si="3"/>
        <v>80500314.121511534</v>
      </c>
      <c r="I63" s="1738">
        <f t="shared" si="4"/>
        <v>0</v>
      </c>
      <c r="J63" s="1739">
        <f t="shared" si="5"/>
        <v>170601509.76126027</v>
      </c>
      <c r="K63" s="24"/>
      <c r="L63" s="1757"/>
      <c r="M63" s="1758"/>
      <c r="N63" s="1758"/>
      <c r="O63" s="11"/>
    </row>
    <row r="64" spans="1:15" ht="15" customHeight="1" x14ac:dyDescent="0.25">
      <c r="A64" s="1348"/>
      <c r="B64" s="49" t="s">
        <v>370</v>
      </c>
      <c r="C64" s="184">
        <v>219</v>
      </c>
      <c r="D64" s="184">
        <v>111</v>
      </c>
      <c r="E64" s="184" t="s">
        <v>392</v>
      </c>
      <c r="F64" s="286" t="s">
        <v>97</v>
      </c>
      <c r="G64" s="1756">
        <f>SUM('Sch 1- Rate Base  (OR)'!G64+'Sch 1- Rate Base  (WA)'!G64+'Sch 1- Rate Base  (ID)'!G64)</f>
        <v>0</v>
      </c>
      <c r="H64" s="1738">
        <f t="shared" si="3"/>
        <v>0</v>
      </c>
      <c r="I64" s="1738">
        <f t="shared" si="4"/>
        <v>0</v>
      </c>
      <c r="J64" s="1739">
        <f t="shared" si="5"/>
        <v>0</v>
      </c>
      <c r="K64" s="24"/>
      <c r="L64" s="1757"/>
      <c r="M64" s="1758"/>
      <c r="N64" s="1758"/>
      <c r="O64" s="11"/>
    </row>
    <row r="65" spans="1:15" ht="15" customHeight="1" x14ac:dyDescent="0.25">
      <c r="A65" s="1348"/>
      <c r="B65" s="49" t="s">
        <v>371</v>
      </c>
      <c r="C65" s="184">
        <v>219</v>
      </c>
      <c r="D65" s="184">
        <v>111</v>
      </c>
      <c r="E65" s="184" t="s">
        <v>90</v>
      </c>
      <c r="F65" s="286" t="s">
        <v>99</v>
      </c>
      <c r="G65" s="1756">
        <f>SUM('Sch 1- Rate Base  (OR)'!G65+'Sch 1- Rate Base  (WA)'!G65+'Sch 1- Rate Base  (ID)'!G65)</f>
        <v>35416807.173216134</v>
      </c>
      <c r="H65" s="1738">
        <f>IF($E65="DIRECT",$L65,VLOOKUP($E65,Ratio,2,FALSE)*$G65)</f>
        <v>35416807.173216134</v>
      </c>
      <c r="I65" s="1738">
        <f>IF($E65="DIRECT",$M65,VLOOKUP($E65,Ratio,3,FALSE)*$G65)</f>
        <v>0</v>
      </c>
      <c r="J65" s="1739">
        <f>IF($E65="DIRECT",$N65,VLOOKUP($E65,Ratio,4,FALSE)*$G65)</f>
        <v>760277.10117285547</v>
      </c>
      <c r="K65" s="24"/>
      <c r="L65" s="1756">
        <f>SUM('Sch 1- Rate Base  (OR)'!L65+'Sch 1- Rate Base  (WA)'!L65+'Sch 1- Rate Base  (ID)'!L65)</f>
        <v>35416807.173216134</v>
      </c>
      <c r="M65" s="1756">
        <v>0</v>
      </c>
      <c r="N65" s="1756">
        <v>760277.10117285547</v>
      </c>
      <c r="O65" s="11"/>
    </row>
    <row r="66" spans="1:15" ht="15" customHeight="1" x14ac:dyDescent="0.25">
      <c r="A66" s="1348"/>
      <c r="B66" s="49" t="s">
        <v>399</v>
      </c>
      <c r="C66" s="184">
        <v>219</v>
      </c>
      <c r="D66" s="184">
        <v>111</v>
      </c>
      <c r="E66" s="184" t="s">
        <v>90</v>
      </c>
      <c r="F66" s="286" t="s">
        <v>392</v>
      </c>
      <c r="G66" s="1756">
        <f>SUM('Sch 1- Rate Base  (OR)'!G66+'Sch 1- Rate Base  (WA)'!G66+'Sch 1- Rate Base  (ID)'!G66)</f>
        <v>276506512.18180609</v>
      </c>
      <c r="H66" s="1738">
        <f>IF($E66="DIRECT",$L66,VLOOKUP($E66,Ratio,2,FALSE)*$G66)</f>
        <v>91794315.274003834</v>
      </c>
      <c r="I66" s="1738">
        <f>IF($E66="DIRECT",$M66,VLOOKUP($E66,Ratio,3,FALSE)*$G66)</f>
        <v>0</v>
      </c>
      <c r="J66" s="1739">
        <f>IF($E66="DIRECT",$N66,VLOOKUP($E66,Ratio,4,FALSE)*$G66)</f>
        <v>184712196.90780222</v>
      </c>
      <c r="K66" s="24"/>
      <c r="L66" s="1756">
        <f>SUM('Sch 1- Rate Base  (OR)'!L66+'Sch 1- Rate Base  (WA)'!L66+'Sch 1- Rate Base  (ID)'!L66)</f>
        <v>91794315.274003834</v>
      </c>
      <c r="M66" s="1756">
        <f>SUM('Sch 1- Rate Base  (OR)'!M66+'Sch 1- Rate Base  (WA)'!M66+'Sch 1- Rate Base  (ID)'!M66)</f>
        <v>0</v>
      </c>
      <c r="N66" s="1756">
        <f>SUM('Sch 1- Rate Base  (OR)'!N66+'Sch 1- Rate Base  (WA)'!N66+'Sch 1- Rate Base  (ID)'!N66)</f>
        <v>184712196.90780222</v>
      </c>
      <c r="O66" s="11"/>
    </row>
    <row r="67" spans="1:15" ht="15" customHeight="1" x14ac:dyDescent="0.25">
      <c r="A67" s="1348"/>
      <c r="B67" s="49" t="s">
        <v>253</v>
      </c>
      <c r="C67" s="184">
        <v>219</v>
      </c>
      <c r="D67" s="184">
        <v>108</v>
      </c>
      <c r="E67" s="184" t="s">
        <v>394</v>
      </c>
      <c r="F67" s="184"/>
      <c r="G67" s="1756">
        <f>SUM('Sch 1- Rate Base  (OR)'!G67+'Sch 1- Rate Base  (WA)'!G67+'Sch 1- Rate Base  (ID)'!G67)</f>
        <v>0</v>
      </c>
      <c r="H67" s="1738">
        <f>VLOOKUP($E67,Ratio,2,FALSE)*$G67</f>
        <v>0</v>
      </c>
      <c r="I67" s="1738">
        <f>VLOOKUP($E67,Ratio,3,FALSE)*$G67</f>
        <v>0</v>
      </c>
      <c r="J67" s="1739">
        <f>VLOOKUP($E67,Ratio,4,FALSE)*$G67</f>
        <v>0</v>
      </c>
      <c r="K67" s="24"/>
      <c r="L67" s="1757"/>
      <c r="M67" s="1758"/>
      <c r="N67" s="1758"/>
      <c r="O67" s="11"/>
    </row>
    <row r="68" spans="1:15" ht="15" customHeight="1" x14ac:dyDescent="0.25">
      <c r="A68" s="1348"/>
      <c r="B68" s="49" t="s">
        <v>28</v>
      </c>
      <c r="C68" s="184">
        <v>219</v>
      </c>
      <c r="D68" s="184">
        <v>111</v>
      </c>
      <c r="E68" s="184" t="s">
        <v>392</v>
      </c>
      <c r="F68" s="184"/>
      <c r="G68" s="1756">
        <f>SUM('Sch 1- Rate Base  (OR)'!G68+'Sch 1- Rate Base  (WA)'!G68+'Sch 1- Rate Base  (ID)'!G68)</f>
        <v>0</v>
      </c>
      <c r="H68" s="1738">
        <f>VLOOKUP($E68,Ratio,2,FALSE)*$G68</f>
        <v>0</v>
      </c>
      <c r="I68" s="1738">
        <f>VLOOKUP($E68,Ratio,3,FALSE)*$G68</f>
        <v>0</v>
      </c>
      <c r="J68" s="1739">
        <f>VLOOKUP($E68,Ratio,4,FALSE)*$G68</f>
        <v>0</v>
      </c>
      <c r="K68" s="24"/>
      <c r="L68" s="1757"/>
      <c r="M68" s="1758"/>
      <c r="N68" s="1758"/>
      <c r="O68" s="11"/>
    </row>
    <row r="69" spans="1:15" ht="15" customHeight="1" x14ac:dyDescent="0.25">
      <c r="A69" s="1348"/>
      <c r="B69" s="49" t="s">
        <v>29</v>
      </c>
      <c r="C69" s="184">
        <v>219</v>
      </c>
      <c r="D69" s="184">
        <v>108</v>
      </c>
      <c r="E69" s="184" t="s">
        <v>90</v>
      </c>
      <c r="F69" s="286" t="s">
        <v>99</v>
      </c>
      <c r="G69" s="1756">
        <f>SUM('Sch 1- Rate Base  (OR)'!G69+'Sch 1- Rate Base  (WA)'!G69+'Sch 1- Rate Base  (ID)'!G69)</f>
        <v>0</v>
      </c>
      <c r="H69" s="1738">
        <f>IF($E69="DIRECT",$L69,VLOOKUP($E69,Ratio,2,FALSE)*$G69)</f>
        <v>0</v>
      </c>
      <c r="I69" s="1738">
        <f>IF($E69="DIRECT",$M69,VLOOKUP($E69,Ratio,3,FALSE)*$G69)</f>
        <v>0</v>
      </c>
      <c r="J69" s="1739">
        <f>IF($E69="DIRECT",$N69,VLOOKUP($E69,Ratio,4,FALSE)*$G69)</f>
        <v>0</v>
      </c>
      <c r="K69" s="24"/>
      <c r="L69" s="1756">
        <f>SUM('Sch 1- Rate Base  (OR)'!L69+'Sch 1- Rate Base  (WA)'!L69+'Sch 1- Rate Base  (ID)'!L69)</f>
        <v>0</v>
      </c>
      <c r="M69" s="1756">
        <f>SUM('Sch 1- Rate Base  (OR)'!M69+'Sch 1- Rate Base  (WA)'!M69+'Sch 1- Rate Base  (ID)'!M69)</f>
        <v>0</v>
      </c>
      <c r="N69" s="1756">
        <f>SUM('Sch 1- Rate Base  (OR)'!N69+'Sch 1- Rate Base  (WA)'!N69+'Sch 1- Rate Base  (ID)'!N69)</f>
        <v>0</v>
      </c>
      <c r="O69" s="11"/>
    </row>
    <row r="70" spans="1:15" ht="15" customHeight="1" x14ac:dyDescent="0.25">
      <c r="A70" s="1348"/>
      <c r="B70" s="49" t="s">
        <v>162</v>
      </c>
      <c r="C70" s="184" t="s">
        <v>69</v>
      </c>
      <c r="D70" s="184">
        <v>108</v>
      </c>
      <c r="E70" s="184" t="s">
        <v>90</v>
      </c>
      <c r="F70" s="184" t="s">
        <v>392</v>
      </c>
      <c r="G70" s="1756">
        <f>SUM('Sch 1- Rate Base  (OR)'!G70+'Sch 1- Rate Base  (WA)'!G70+'Sch 1- Rate Base  (ID)'!G70)</f>
        <v>0</v>
      </c>
      <c r="H70" s="1738">
        <f>IF($E70="DIRECT",$L70,VLOOKUP($E70,Ratio,2,FALSE)*$G70)</f>
        <v>0</v>
      </c>
      <c r="I70" s="1738">
        <f>IF($E70="DIRECT",$M70,VLOOKUP($E70,Ratio,3,FALSE)*$G70)</f>
        <v>0</v>
      </c>
      <c r="J70" s="1739">
        <f>IF($E70="DIRECT",$N70,VLOOKUP($E70,Ratio,4,FALSE)*$G70)</f>
        <v>0</v>
      </c>
      <c r="K70" s="24"/>
      <c r="L70" s="1756">
        <f>SUM('Sch 1- Rate Base  (OR)'!L70+'Sch 1- Rate Base  (WA)'!L70+'Sch 1- Rate Base  (ID)'!L70)</f>
        <v>0</v>
      </c>
      <c r="M70" s="1756">
        <f>SUM('Sch 1- Rate Base  (OR)'!M70+'Sch 1- Rate Base  (WA)'!M70+'Sch 1- Rate Base  (ID)'!M70)</f>
        <v>0</v>
      </c>
      <c r="N70" s="1756">
        <f>SUM('Sch 1- Rate Base  (OR)'!N70+'Sch 1- Rate Base  (WA)'!N70+'Sch 1- Rate Base  (ID)'!N70)</f>
        <v>0</v>
      </c>
      <c r="O70" s="11"/>
    </row>
    <row r="71" spans="1:15" ht="15" customHeight="1" x14ac:dyDescent="0.25">
      <c r="A71" s="1348"/>
      <c r="B71" s="49" t="s">
        <v>400</v>
      </c>
      <c r="C71" s="184" t="s">
        <v>69</v>
      </c>
      <c r="D71" s="184">
        <v>108</v>
      </c>
      <c r="E71" s="184" t="s">
        <v>90</v>
      </c>
      <c r="F71" s="286" t="s">
        <v>99</v>
      </c>
      <c r="G71" s="1756">
        <f>SUM('Sch 1- Rate Base  (OR)'!G71+'Sch 1- Rate Base  (WA)'!G71+'Sch 1- Rate Base  (ID)'!G71)</f>
        <v>0</v>
      </c>
      <c r="H71" s="1738">
        <f>IF($E71="DIRECT",$L71,VLOOKUP($E71,Ratio,2,FALSE)*$G71)</f>
        <v>0</v>
      </c>
      <c r="I71" s="1738">
        <f>IF($E71="DIRECT",$M71,VLOOKUP($E71,Ratio,3,FALSE)*$G71)</f>
        <v>0</v>
      </c>
      <c r="J71" s="1739">
        <f>IF($E71="DIRECT",$N71,VLOOKUP($E71,Ratio,4,FALSE)*$G71)</f>
        <v>0</v>
      </c>
      <c r="K71" s="24"/>
      <c r="L71" s="1756">
        <f>SUM('Sch 1- Rate Base  (OR)'!L71+'Sch 1- Rate Base  (WA)'!L71+'Sch 1- Rate Base  (ID)'!L71)</f>
        <v>0</v>
      </c>
      <c r="M71" s="1756">
        <f>SUM('Sch 1- Rate Base  (OR)'!M71+'Sch 1- Rate Base  (WA)'!M71+'Sch 1- Rate Base  (ID)'!M71)</f>
        <v>0</v>
      </c>
      <c r="N71" s="1756">
        <f>SUM('Sch 1- Rate Base  (OR)'!N71+'Sch 1- Rate Base  (WA)'!N71+'Sch 1- Rate Base  (ID)'!N71)</f>
        <v>0</v>
      </c>
      <c r="O71" s="11"/>
    </row>
    <row r="72" spans="1:15" ht="15" customHeight="1" x14ac:dyDescent="0.25">
      <c r="A72" s="1348"/>
      <c r="B72" s="49" t="s">
        <v>401</v>
      </c>
      <c r="C72" s="184" t="s">
        <v>69</v>
      </c>
      <c r="D72" s="184">
        <v>108</v>
      </c>
      <c r="E72" s="184" t="s">
        <v>90</v>
      </c>
      <c r="F72" s="184" t="s">
        <v>392</v>
      </c>
      <c r="G72" s="1756">
        <f>SUM('Sch 1- Rate Base  (OR)'!G72+'Sch 1- Rate Base  (WA)'!G72+'Sch 1- Rate Base  (ID)'!G72)</f>
        <v>9421530.1671775989</v>
      </c>
      <c r="H72" s="1738">
        <f>IF($E72="DIRECT",$L72,VLOOKUP($E72,Ratio,2,FALSE)*$G72)</f>
        <v>4095506.2400422441</v>
      </c>
      <c r="I72" s="1738">
        <f>IF($E72="DIRECT",$M72,VLOOKUP($E72,Ratio,3,FALSE)*$G72)</f>
        <v>0</v>
      </c>
      <c r="J72" s="1739">
        <f>IF($E72="DIRECT",$N72,VLOOKUP($E72,Ratio,4,FALSE)*$G72)</f>
        <v>6734436.0757155614</v>
      </c>
      <c r="K72" s="24"/>
      <c r="L72" s="1756">
        <f>SUM('Sch 1- Rate Base  (OR)'!L72+'Sch 1- Rate Base  (WA)'!L72+'Sch 1- Rate Base  (ID)'!L72)</f>
        <v>4095506.2400422441</v>
      </c>
      <c r="M72" s="1756">
        <v>0</v>
      </c>
      <c r="N72" s="1756">
        <f>SUM('Sch 1- Rate Base  (OR)'!N72+'Sch 1- Rate Base  (WA)'!N72+'Sch 1- Rate Base  (ID)'!N72)+SUM('[1]Sch 1- Rate Base  (OR)'!M72+'[1]Sch 1- Rate Base  (WA)'!M72+'[1]Sch 1- Rate Base  (ID)'!M72)</f>
        <v>6734436.0757155614</v>
      </c>
      <c r="O72" s="11"/>
    </row>
    <row r="73" spans="1:15" ht="15" customHeight="1" x14ac:dyDescent="0.25">
      <c r="A73" s="1348"/>
      <c r="B73" s="49" t="s">
        <v>547</v>
      </c>
      <c r="C73" s="184" t="s">
        <v>69</v>
      </c>
      <c r="D73" s="184">
        <v>115</v>
      </c>
      <c r="E73" s="184" t="s">
        <v>90</v>
      </c>
      <c r="F73" s="184" t="s">
        <v>392</v>
      </c>
      <c r="G73" s="1756">
        <f>SUM('Sch 1- Rate Base  (OR)'!G73+'Sch 1- Rate Base  (WA)'!G73+'Sch 1- Rate Base  (ID)'!G73)</f>
        <v>56998656.093805373</v>
      </c>
      <c r="H73" s="1738">
        <f>IF($E73="DIRECT",$L73,VLOOKUP($E73,Ratio,2,FALSE)*$G73)</f>
        <v>56998656</v>
      </c>
      <c r="I73" s="1738">
        <f>IF($E73="DIRECT",$M73,VLOOKUP($E73,Ratio,3,FALSE)*$G73)</f>
        <v>0</v>
      </c>
      <c r="J73" s="1739">
        <f>IF($E73="DIRECT",$N73,VLOOKUP($E73,Ratio,4,FALSE)*$G73)</f>
        <v>0</v>
      </c>
      <c r="K73" s="24"/>
      <c r="L73" s="1756">
        <f>SUM('Sch 1- Rate Base  (OR)'!L73+'Sch 1- Rate Base  (WA)'!L73+'Sch 1- Rate Base  (ID)'!L73)</f>
        <v>56998656</v>
      </c>
      <c r="M73" s="1756">
        <f>SUM('Sch 1- Rate Base  (OR)'!M73+'Sch 1- Rate Base  (WA)'!M73+'Sch 1- Rate Base  (ID)'!M73)</f>
        <v>0</v>
      </c>
      <c r="N73" s="1756">
        <f>SUM('Sch 1- Rate Base  (OR)'!N73+'Sch 1- Rate Base  (WA)'!N73+'Sch 1- Rate Base  (ID)'!N73)</f>
        <v>0</v>
      </c>
      <c r="O73" s="11"/>
    </row>
    <row r="74" spans="1:15" ht="15" customHeight="1" x14ac:dyDescent="0.25">
      <c r="A74" s="1348"/>
      <c r="B74" s="49"/>
      <c r="C74" s="48"/>
      <c r="D74" s="48"/>
      <c r="E74" s="48"/>
      <c r="F74" s="48"/>
      <c r="G74" s="379"/>
      <c r="H74" s="337"/>
      <c r="I74" s="337"/>
      <c r="J74" s="1354"/>
      <c r="K74" s="24"/>
      <c r="L74" s="1757"/>
      <c r="M74" s="1758"/>
      <c r="N74" s="1758"/>
      <c r="O74" s="11"/>
    </row>
    <row r="75" spans="1:15" ht="15" customHeight="1" x14ac:dyDescent="0.25">
      <c r="A75" s="1341" t="s">
        <v>211</v>
      </c>
      <c r="B75" s="49"/>
      <c r="C75" s="184"/>
      <c r="D75" s="184"/>
      <c r="E75" s="184" t="s">
        <v>90</v>
      </c>
      <c r="F75" s="184"/>
      <c r="G75" s="1756">
        <f>SUM('Sch 1- Rate Base  (OR)'!G75+'Sch 1- Rate Base  (WA)'!G75+'Sch 1- Rate Base  (ID)'!G75)</f>
        <v>0</v>
      </c>
      <c r="H75" s="1738">
        <f>IF($E75="DIRECT",$L75,VLOOKUP($E75,Ratio,2,FALSE)*$G75)</f>
        <v>0</v>
      </c>
      <c r="I75" s="1738">
        <f>IF($E75="DIRECT",$M75,VLOOKUP($E75,Ratio,3,FALSE)*$G75)</f>
        <v>0</v>
      </c>
      <c r="J75" s="1739">
        <f>IF($E75="DIRECT",$N75,VLOOKUP($E75,Ratio,4,FALSE)*$G75)</f>
        <v>0</v>
      </c>
      <c r="K75" s="24"/>
      <c r="L75" s="1756">
        <f>SUM('Sch 1- Rate Base  (OR)'!L75+'Sch 1- Rate Base  (WA)'!L75+'Sch 1- Rate Base  (ID)'!L75)</f>
        <v>0</v>
      </c>
      <c r="M75" s="1756">
        <f>SUM('Sch 1- Rate Base  (OR)'!M75+'Sch 1- Rate Base  (WA)'!M75+'Sch 1- Rate Base  (ID)'!M75)</f>
        <v>0</v>
      </c>
      <c r="N75" s="1756">
        <f>SUM('Sch 1- Rate Base  (OR)'!N75+'Sch 1- Rate Base  (WA)'!N75+'Sch 1- Rate Base  (ID)'!N75)</f>
        <v>0</v>
      </c>
      <c r="O75" s="11"/>
    </row>
    <row r="76" spans="1:15" ht="15" customHeight="1" x14ac:dyDescent="0.25">
      <c r="A76" s="1358"/>
      <c r="B76" s="49"/>
      <c r="C76" s="48"/>
      <c r="D76" s="48"/>
      <c r="E76" s="48"/>
      <c r="F76" s="48"/>
      <c r="G76" s="377"/>
      <c r="H76" s="337"/>
      <c r="I76" s="337"/>
      <c r="J76" s="1354"/>
      <c r="K76" s="24"/>
      <c r="L76" s="1757"/>
      <c r="M76" s="1758"/>
      <c r="N76" s="1758"/>
      <c r="O76" s="11"/>
    </row>
    <row r="77" spans="1:15" ht="15" customHeight="1" x14ac:dyDescent="0.25">
      <c r="A77" s="1350" t="s">
        <v>223</v>
      </c>
      <c r="B77" s="33"/>
      <c r="C77" s="1853"/>
      <c r="D77" s="1847"/>
      <c r="E77" s="1847"/>
      <c r="F77" s="1848"/>
      <c r="G77" s="1781">
        <f>SUM(G57:G75)</f>
        <v>5550863675.958252</v>
      </c>
      <c r="H77" s="495">
        <f>SUM(H57:H75)</f>
        <v>2650714170.9994912</v>
      </c>
      <c r="I77" s="495">
        <f>SUM(I57:I75)</f>
        <v>0</v>
      </c>
      <c r="J77" s="1365">
        <f>SUM(J57:J75)</f>
        <v>2902318194.1147103</v>
      </c>
      <c r="K77" s="24"/>
      <c r="L77" s="1757"/>
      <c r="M77" s="1758"/>
      <c r="N77" s="1758"/>
      <c r="O77" s="11"/>
    </row>
    <row r="78" spans="1:15" ht="15" customHeight="1" x14ac:dyDescent="0.25">
      <c r="A78" s="1358"/>
      <c r="B78" s="60"/>
      <c r="C78" s="48"/>
      <c r="D78" s="48"/>
      <c r="E78" s="48"/>
      <c r="F78" s="48"/>
      <c r="G78" s="377"/>
      <c r="H78" s="142"/>
      <c r="I78" s="142"/>
      <c r="J78" s="1347"/>
      <c r="K78" s="24"/>
      <c r="L78" s="1757"/>
      <c r="M78" s="1758"/>
      <c r="N78" s="1758"/>
      <c r="O78" s="11"/>
    </row>
    <row r="79" spans="1:15" ht="15" customHeight="1" x14ac:dyDescent="0.25">
      <c r="A79" s="1350" t="s">
        <v>475</v>
      </c>
      <c r="B79" s="32"/>
      <c r="C79" s="1853"/>
      <c r="D79" s="1847"/>
      <c r="E79" s="1847"/>
      <c r="F79" s="1848"/>
      <c r="G79" s="1781">
        <f>G52-G77</f>
        <v>8242315004.3195381</v>
      </c>
      <c r="H79" s="495">
        <f>H52-H77</f>
        <v>3341242672.1879716</v>
      </c>
      <c r="I79" s="495">
        <f>I52-I77</f>
        <v>0</v>
      </c>
      <c r="J79" s="1365">
        <f>J52-J77</f>
        <v>4900283983.3376942</v>
      </c>
      <c r="K79" s="24"/>
      <c r="L79" s="1757"/>
      <c r="M79" s="1758"/>
      <c r="N79" s="1758"/>
      <c r="O79" s="11"/>
    </row>
    <row r="80" spans="1:15" ht="15" customHeight="1" x14ac:dyDescent="0.25">
      <c r="A80" s="1356" t="s">
        <v>84</v>
      </c>
      <c r="B80" s="32"/>
      <c r="C80" s="34"/>
      <c r="D80" s="34"/>
      <c r="E80" s="1854"/>
      <c r="F80" s="1854"/>
      <c r="G80" s="377"/>
      <c r="H80" s="142"/>
      <c r="I80" s="142"/>
      <c r="J80" s="1352"/>
      <c r="K80" s="24"/>
      <c r="L80" s="1757"/>
      <c r="M80" s="1758"/>
      <c r="N80" s="1758"/>
      <c r="O80" s="11"/>
    </row>
    <row r="81" spans="1:15" ht="15" customHeight="1" thickBot="1" x14ac:dyDescent="0.3">
      <c r="A81" s="1359"/>
      <c r="B81" s="173"/>
      <c r="C81" s="193"/>
      <c r="D81" s="193"/>
      <c r="E81" s="1855"/>
      <c r="F81" s="1855"/>
      <c r="G81" s="1786"/>
      <c r="H81" s="380"/>
      <c r="I81" s="380"/>
      <c r="J81" s="1360"/>
      <c r="K81" s="24"/>
      <c r="L81" s="1757"/>
      <c r="M81" s="1758"/>
      <c r="N81" s="1758"/>
      <c r="O81" s="11"/>
    </row>
    <row r="82" spans="1:15" ht="15" customHeight="1" thickTop="1" x14ac:dyDescent="0.25">
      <c r="A82" s="1361" t="s">
        <v>76</v>
      </c>
      <c r="B82" s="32"/>
      <c r="C82" s="34"/>
      <c r="D82" s="34"/>
      <c r="E82" s="1854"/>
      <c r="F82" s="1854"/>
      <c r="G82" s="377"/>
      <c r="H82" s="142"/>
      <c r="I82" s="142"/>
      <c r="J82" s="1352"/>
      <c r="K82" s="24"/>
      <c r="L82" s="1757"/>
      <c r="M82" s="1758"/>
      <c r="N82" s="1758"/>
      <c r="O82" s="11"/>
    </row>
    <row r="83" spans="1:15" ht="9.9499999999999993" customHeight="1" x14ac:dyDescent="0.25">
      <c r="A83" s="1362"/>
      <c r="B83" s="32"/>
      <c r="C83" s="34"/>
      <c r="D83" s="34"/>
      <c r="E83" s="1854"/>
      <c r="F83" s="1854"/>
      <c r="G83" s="377"/>
      <c r="H83" s="142"/>
      <c r="I83" s="142"/>
      <c r="J83" s="1352"/>
      <c r="K83" s="24"/>
      <c r="L83" s="1757"/>
      <c r="M83" s="1758"/>
      <c r="N83" s="1758"/>
      <c r="O83" s="11"/>
    </row>
    <row r="84" spans="1:15" ht="15" customHeight="1" x14ac:dyDescent="0.25">
      <c r="A84" s="1363" t="s">
        <v>144</v>
      </c>
      <c r="B84" s="77"/>
      <c r="C84" s="3623" t="s">
        <v>229</v>
      </c>
      <c r="D84" s="3624"/>
      <c r="E84" s="3624"/>
      <c r="F84" s="3625"/>
      <c r="G84" s="1787">
        <f>'Sch 1A - Cash Working Capital'!C24</f>
        <v>181575345.50577956</v>
      </c>
      <c r="H84" s="1747">
        <v>79592024.492308259</v>
      </c>
      <c r="I84" s="1748">
        <v>23892855.711776573</v>
      </c>
      <c r="J84" s="1749">
        <v>78090465.301694751</v>
      </c>
      <c r="K84" s="24"/>
      <c r="L84" s="1757"/>
      <c r="M84" s="1758"/>
      <c r="N84" s="1758"/>
      <c r="O84" s="11"/>
    </row>
    <row r="85" spans="1:15" ht="9.9499999999999993" customHeight="1" x14ac:dyDescent="0.25">
      <c r="A85" s="1348"/>
      <c r="B85" s="46"/>
      <c r="C85" s="48"/>
      <c r="D85" s="48"/>
      <c r="E85" s="48"/>
      <c r="F85" s="48"/>
      <c r="G85" s="378"/>
      <c r="H85" s="1750"/>
      <c r="I85" s="1750"/>
      <c r="J85" s="1751"/>
      <c r="K85" s="24"/>
      <c r="L85" s="1757"/>
      <c r="M85" s="1758"/>
      <c r="N85" s="1758"/>
      <c r="O85" s="11"/>
    </row>
    <row r="86" spans="1:15" ht="15" customHeight="1" x14ac:dyDescent="0.25">
      <c r="A86" s="1364" t="s">
        <v>274</v>
      </c>
      <c r="B86" s="79"/>
      <c r="C86" s="80"/>
      <c r="D86" s="48"/>
      <c r="E86" s="48"/>
      <c r="F86" s="48"/>
      <c r="G86" s="379"/>
      <c r="H86" s="337"/>
      <c r="I86" s="337"/>
      <c r="J86" s="1354"/>
      <c r="K86" s="25"/>
      <c r="L86" s="1757"/>
      <c r="M86" s="1758"/>
      <c r="N86" s="1758"/>
      <c r="O86" s="11"/>
    </row>
    <row r="87" spans="1:15" ht="15" customHeight="1" x14ac:dyDescent="0.25">
      <c r="A87" s="1348"/>
      <c r="B87" s="46" t="s">
        <v>433</v>
      </c>
      <c r="C87" s="184" t="s">
        <v>69</v>
      </c>
      <c r="D87" s="184">
        <v>105</v>
      </c>
      <c r="E87" s="184" t="s">
        <v>392</v>
      </c>
      <c r="F87" s="184"/>
      <c r="G87" s="1756">
        <f>SUM('Sch 1- Rate Base  (OR)'!G87+'Sch 1- Rate Base  (WA)'!G87+'Sch 1- Rate Base  (ID)'!G87)</f>
        <v>7741084.2436203277</v>
      </c>
      <c r="H87" s="1738">
        <f>VLOOKUP($E87,Ratio,2,FALSE)*$G87</f>
        <v>0</v>
      </c>
      <c r="I87" s="1738">
        <f>VLOOKUP($E87,Ratio,3,FALSE)*$G87</f>
        <v>0</v>
      </c>
      <c r="J87" s="1739">
        <f>VLOOKUP($E87,Ratio,4,FALSE)*$G87</f>
        <v>7741084.2436203277</v>
      </c>
      <c r="K87" s="25"/>
      <c r="L87" s="1757"/>
      <c r="M87" s="1758"/>
      <c r="N87" s="1758"/>
      <c r="O87" s="11"/>
    </row>
    <row r="88" spans="1:15" ht="15" customHeight="1" x14ac:dyDescent="0.25">
      <c r="A88" s="1348"/>
      <c r="B88" s="46" t="s">
        <v>77</v>
      </c>
      <c r="C88" s="184" t="s">
        <v>69</v>
      </c>
      <c r="D88" s="184">
        <v>106</v>
      </c>
      <c r="E88" s="300" t="s">
        <v>99</v>
      </c>
      <c r="F88" s="184"/>
      <c r="G88" s="1756">
        <f>SUM('Sch 1- Rate Base  (OR)'!G88+'Sch 1- Rate Base  (WA)'!G88+'Sch 1- Rate Base  (ID)'!G88)</f>
        <v>223281401.39533675</v>
      </c>
      <c r="H88" s="1738">
        <f>VLOOKUP($E88,Ratio,2,FALSE)*$G88</f>
        <v>98287611.875579029</v>
      </c>
      <c r="I88" s="1738">
        <f>VLOOKUP($E88,Ratio,3,FALSE)*$G88</f>
        <v>0</v>
      </c>
      <c r="J88" s="1739">
        <f>VLOOKUP($E88,Ratio,4,FALSE)*$G88</f>
        <v>124993789.51975769</v>
      </c>
      <c r="K88" s="25"/>
      <c r="L88" s="1757"/>
      <c r="M88" s="1758"/>
      <c r="N88" s="1758"/>
      <c r="O88" s="11"/>
    </row>
    <row r="89" spans="1:15" ht="15" customHeight="1" x14ac:dyDescent="0.25">
      <c r="A89" s="1348"/>
      <c r="B89" s="33" t="s">
        <v>476</v>
      </c>
      <c r="C89" s="184" t="s">
        <v>72</v>
      </c>
      <c r="D89" s="184" t="s">
        <v>257</v>
      </c>
      <c r="E89" s="184" t="s">
        <v>394</v>
      </c>
      <c r="F89" s="184"/>
      <c r="G89" s="1756">
        <f>SUM('Sch 1- Rate Base  (OR)'!G89+'Sch 1- Rate Base  (WA)'!G89+'Sch 1- Rate Base  (ID)'!G89)</f>
        <v>0</v>
      </c>
      <c r="H89" s="1738">
        <f>VLOOKUP($E89,Ratio,2,FALSE)*$G89</f>
        <v>0</v>
      </c>
      <c r="I89" s="1738">
        <f>VLOOKUP($E89,Ratio,3,FALSE)*$G89</f>
        <v>0</v>
      </c>
      <c r="J89" s="1739">
        <f>VLOOKUP($E89,Ratio,4,FALSE)*$G89</f>
        <v>0</v>
      </c>
      <c r="K89" s="24"/>
      <c r="L89" s="1757"/>
      <c r="M89" s="1758"/>
      <c r="N89" s="1758"/>
      <c r="O89" s="11"/>
    </row>
    <row r="90" spans="1:15" ht="15" customHeight="1" x14ac:dyDescent="0.25">
      <c r="A90" s="1348"/>
      <c r="B90" s="46" t="s">
        <v>80</v>
      </c>
      <c r="C90" s="184" t="s">
        <v>69</v>
      </c>
      <c r="D90" s="184" t="s">
        <v>258</v>
      </c>
      <c r="E90" s="184" t="s">
        <v>392</v>
      </c>
      <c r="F90" s="184"/>
      <c r="G90" s="1756">
        <f>SUM('Sch 1- Rate Base  (OR)'!G90+'Sch 1- Rate Base  (WA)'!G90+'Sch 1- Rate Base  (ID)'!G90)</f>
        <v>1893858706.006402</v>
      </c>
      <c r="H90" s="1738">
        <f>VLOOKUP($E90,Ratio,2,FALSE)*$G90</f>
        <v>0</v>
      </c>
      <c r="I90" s="1738">
        <f>VLOOKUP($E90,Ratio,3,FALSE)*$G90</f>
        <v>0</v>
      </c>
      <c r="J90" s="1739">
        <f>VLOOKUP($E90,Ratio,4,FALSE)*$G90</f>
        <v>1893858706.006402</v>
      </c>
      <c r="K90" s="25"/>
      <c r="L90" s="1757"/>
      <c r="M90" s="1758"/>
      <c r="N90" s="1758"/>
      <c r="O90" s="11"/>
    </row>
    <row r="91" spans="1:15" ht="15" customHeight="1" x14ac:dyDescent="0.25">
      <c r="A91" s="1348"/>
      <c r="B91" s="46" t="s">
        <v>224</v>
      </c>
      <c r="C91" s="184">
        <v>356</v>
      </c>
      <c r="D91" s="184"/>
      <c r="E91" s="184" t="s">
        <v>90</v>
      </c>
      <c r="F91" s="184"/>
      <c r="G91" s="1756">
        <f>SUM('Sch 1- Rate Base  (OR)'!G91+'Sch 1- Rate Base  (WA)'!G91+'Sch 1- Rate Base  (ID)'!G91)</f>
        <v>0</v>
      </c>
      <c r="H91" s="1738">
        <f>IF($E91="DIRECT",$L91,VLOOKUP($E91,Ratio,2,FALSE)*$G91)</f>
        <v>0</v>
      </c>
      <c r="I91" s="1738">
        <f>IF($E91="DIRECT",$M91,VLOOKUP($E91,Ratio,3,FALSE)*$G91)</f>
        <v>0</v>
      </c>
      <c r="J91" s="1739">
        <f>IF($E91="DIRECT",$N91,VLOOKUP($E91,Ratio,4,FALSE)*$G91)</f>
        <v>0</v>
      </c>
      <c r="K91" s="25"/>
      <c r="L91" s="1756">
        <f>SUM('Sch 1- Rate Base  (OR)'!L91+'Sch 1- Rate Base  (WA)'!L91+'Sch 1- Rate Base  (ID)'!L91)</f>
        <v>0</v>
      </c>
      <c r="M91" s="1756">
        <f>SUM('Sch 1- Rate Base  (OR)'!M91+'Sch 1- Rate Base  (WA)'!M91+'Sch 1- Rate Base  (ID)'!M91)</f>
        <v>0</v>
      </c>
      <c r="N91" s="1756">
        <f>SUM('Sch 1- Rate Base  (OR)'!N91+'Sch 1- Rate Base  (WA)'!N91+'Sch 1- Rate Base  (ID)'!N91)</f>
        <v>0</v>
      </c>
      <c r="O91" s="11"/>
    </row>
    <row r="92" spans="1:15" ht="15" customHeight="1" x14ac:dyDescent="0.25">
      <c r="A92" s="1348"/>
      <c r="B92" s="46" t="s">
        <v>71</v>
      </c>
      <c r="C92" s="184" t="s">
        <v>69</v>
      </c>
      <c r="D92" s="184">
        <v>114</v>
      </c>
      <c r="E92" s="184" t="s">
        <v>90</v>
      </c>
      <c r="F92" s="184" t="s">
        <v>392</v>
      </c>
      <c r="G92" s="1756">
        <f>SUM('Sch 1- Rate Base  (OR)'!G92+'Sch 1- Rate Base  (WA)'!G92+'Sch 1- Rate Base  (ID)'!G92)</f>
        <v>58063393.551475897</v>
      </c>
      <c r="H92" s="1738">
        <f>IF($E92="DIRECT",$L92,VLOOKUP($E92,Ratio,2,FALSE)*$G92)</f>
        <v>58063393.549999997</v>
      </c>
      <c r="I92" s="1738">
        <f>IF($E92="DIRECT",$M92,VLOOKUP($E92,Ratio,3,FALSE)*$G92)</f>
        <v>0</v>
      </c>
      <c r="J92" s="1739">
        <f>IF($E92="DIRECT",$N92,VLOOKUP($E92,Ratio,4,FALSE)*$G92)</f>
        <v>0</v>
      </c>
      <c r="K92" s="25"/>
      <c r="L92" s="1756">
        <f>SUM('[1]Sch 1- Rate Base  (OR)'!L92+'[1]Sch 1- Rate Base  (WA)'!L92+'[1]Sch 1- Rate Base  (ID)'!L92)+0.55</f>
        <v>58063393.549999997</v>
      </c>
      <c r="M92" s="1756">
        <f>SUM('Sch 1- Rate Base  (OR)'!M92+'Sch 1- Rate Base  (WA)'!M92+'Sch 1- Rate Base  (ID)'!M92)</f>
        <v>0</v>
      </c>
      <c r="N92" s="1756">
        <f>SUM('Sch 1- Rate Base  (OR)'!N92+'Sch 1- Rate Base  (WA)'!N92+'Sch 1- Rate Base  (ID)'!N92)</f>
        <v>0</v>
      </c>
      <c r="O92" s="11"/>
    </row>
    <row r="93" spans="1:15" ht="15" customHeight="1" x14ac:dyDescent="0.25">
      <c r="A93" s="1348"/>
      <c r="B93" s="76" t="s">
        <v>104</v>
      </c>
      <c r="C93" s="1853"/>
      <c r="D93" s="1847"/>
      <c r="E93" s="1847"/>
      <c r="F93" s="1848"/>
      <c r="G93" s="1781">
        <f>SUM(G87:G92)</f>
        <v>2182944585.196835</v>
      </c>
      <c r="H93" s="495">
        <f>SUM(H87:H92)</f>
        <v>156351005.42557901</v>
      </c>
      <c r="I93" s="495">
        <f>SUM(I87:I92)</f>
        <v>0</v>
      </c>
      <c r="J93" s="1365">
        <f>SUM(J87:J92)</f>
        <v>2026593579.7697799</v>
      </c>
      <c r="K93" s="25"/>
      <c r="L93" s="1757"/>
      <c r="M93" s="1758"/>
      <c r="N93" s="1758"/>
      <c r="O93" s="11"/>
    </row>
    <row r="94" spans="1:15" ht="9.9499999999999993" customHeight="1" x14ac:dyDescent="0.25">
      <c r="A94" s="1348"/>
      <c r="B94" s="76"/>
      <c r="C94" s="74"/>
      <c r="D94" s="74"/>
      <c r="E94" s="74"/>
      <c r="F94" s="74"/>
      <c r="G94" s="928"/>
      <c r="H94" s="334"/>
      <c r="I94" s="334"/>
      <c r="J94" s="1366"/>
      <c r="K94" s="25"/>
      <c r="L94" s="1757"/>
      <c r="M94" s="1758"/>
      <c r="N94" s="1758"/>
      <c r="O94" s="11"/>
    </row>
    <row r="95" spans="1:15" ht="15" customHeight="1" x14ac:dyDescent="0.25">
      <c r="A95" s="1367" t="s">
        <v>275</v>
      </c>
      <c r="B95" s="79"/>
      <c r="C95" s="80"/>
      <c r="D95" s="48"/>
      <c r="E95" s="48"/>
      <c r="F95" s="48"/>
      <c r="G95" s="335"/>
      <c r="H95" s="1752"/>
      <c r="I95" s="1752"/>
      <c r="J95" s="1753"/>
      <c r="K95" s="25"/>
      <c r="L95" s="1757"/>
      <c r="M95" s="1758"/>
      <c r="N95" s="1758"/>
      <c r="O95" s="11"/>
    </row>
    <row r="96" spans="1:15" ht="15" customHeight="1" x14ac:dyDescent="0.25">
      <c r="A96" s="1348"/>
      <c r="B96" s="49" t="s">
        <v>444</v>
      </c>
      <c r="C96" s="184" t="s">
        <v>78</v>
      </c>
      <c r="D96" s="184">
        <v>123</v>
      </c>
      <c r="E96" s="184" t="s">
        <v>90</v>
      </c>
      <c r="F96" s="184" t="s">
        <v>392</v>
      </c>
      <c r="G96" s="1756">
        <f>SUM('Sch 1- Rate Base  (OR)'!G96+'Sch 1- Rate Base  (WA)'!G96+'Sch 1- Rate Base  (ID)'!G96)</f>
        <v>62858540.484995149</v>
      </c>
      <c r="H96" s="1738">
        <f>IF($E96="DIRECT",$L96,VLOOKUP($E96,Ratio,2,FALSE)*$G96)</f>
        <v>0</v>
      </c>
      <c r="I96" s="1738">
        <f>IF($E96="DIRECT",$M96,VLOOKUP($E96,Ratio,3,FALSE)*$G96)</f>
        <v>0</v>
      </c>
      <c r="J96" s="1739">
        <f>IF($E96="DIRECT",$N96,VLOOKUP($E96,Ratio,4,FALSE)*$G96)</f>
        <v>62858540.484995149</v>
      </c>
      <c r="K96" s="25"/>
      <c r="L96" s="1756">
        <f>SUM('Sch 1- Rate Base  (OR)'!L96+'Sch 1- Rate Base  (WA)'!L96+'Sch 1- Rate Base  (ID)'!L96)</f>
        <v>0</v>
      </c>
      <c r="M96" s="1756">
        <f>SUM('Sch 1- Rate Base  (OR)'!M96+'Sch 1- Rate Base  (WA)'!M96+'Sch 1- Rate Base  (ID)'!M96)</f>
        <v>0</v>
      </c>
      <c r="N96" s="1756">
        <f>SUM('Sch 1- Rate Base  (OR)'!N96+'Sch 1- Rate Base  (WA)'!N96+'Sch 1- Rate Base  (ID)'!N96)</f>
        <v>62858540.484995149</v>
      </c>
      <c r="O96" s="11"/>
    </row>
    <row r="97" spans="1:15" ht="15" customHeight="1" x14ac:dyDescent="0.25">
      <c r="A97" s="1348"/>
      <c r="B97" s="46" t="s">
        <v>477</v>
      </c>
      <c r="C97" s="184" t="s">
        <v>78</v>
      </c>
      <c r="D97" s="184">
        <v>124</v>
      </c>
      <c r="E97" s="184" t="s">
        <v>392</v>
      </c>
      <c r="F97" s="184"/>
      <c r="G97" s="1756">
        <f>SUM('Sch 1- Rate Base  (OR)'!G97+'Sch 1- Rate Base  (WA)'!G97+'Sch 1- Rate Base  (ID)'!G97)</f>
        <v>44548812.661816128</v>
      </c>
      <c r="H97" s="1738">
        <f>VLOOKUP($E97,Ratio,2,FALSE)*$G97</f>
        <v>0</v>
      </c>
      <c r="I97" s="1738">
        <f>VLOOKUP($E97,Ratio,3,FALSE)*$G97</f>
        <v>0</v>
      </c>
      <c r="J97" s="1739">
        <f>VLOOKUP($E97,Ratio,4,FALSE)*$G97</f>
        <v>44548812.661816128</v>
      </c>
      <c r="K97" s="25"/>
      <c r="L97" s="1757"/>
      <c r="M97" s="1758"/>
      <c r="N97" s="1758"/>
      <c r="O97" s="11"/>
    </row>
    <row r="98" spans="1:15" ht="15" customHeight="1" x14ac:dyDescent="0.25">
      <c r="A98" s="1348"/>
      <c r="B98" s="54" t="s">
        <v>6</v>
      </c>
      <c r="C98" s="184" t="s">
        <v>78</v>
      </c>
      <c r="D98" s="184">
        <v>175</v>
      </c>
      <c r="E98" s="184" t="s">
        <v>392</v>
      </c>
      <c r="F98" s="184"/>
      <c r="G98" s="1756">
        <f>SUM('Sch 1- Rate Base  (OR)'!G98+'Sch 1- Rate Base  (WA)'!G98+'Sch 1- Rate Base  (ID)'!G98)</f>
        <v>882802.55718482344</v>
      </c>
      <c r="H98" s="1738">
        <f>VLOOKUP($E98,Ratio,2,FALSE)*$G98</f>
        <v>0</v>
      </c>
      <c r="I98" s="1738">
        <f>VLOOKUP($E98,Ratio,3,FALSE)*$G98</f>
        <v>0</v>
      </c>
      <c r="J98" s="1739">
        <f>VLOOKUP($E98,Ratio,4,FALSE)*$G98</f>
        <v>882802.55718482344</v>
      </c>
      <c r="K98" s="25"/>
      <c r="L98" s="1757"/>
      <c r="M98" s="1758"/>
      <c r="N98" s="1758"/>
      <c r="O98" s="11"/>
    </row>
    <row r="99" spans="1:15" ht="15" customHeight="1" x14ac:dyDescent="0.25">
      <c r="A99" s="1348"/>
      <c r="B99" s="54" t="s">
        <v>372</v>
      </c>
      <c r="C99" s="184" t="s">
        <v>78</v>
      </c>
      <c r="D99" s="184">
        <v>176</v>
      </c>
      <c r="E99" s="184" t="s">
        <v>392</v>
      </c>
      <c r="F99" s="184"/>
      <c r="G99" s="1756">
        <f>SUM('Sch 1- Rate Base  (OR)'!G99+'Sch 1- Rate Base  (WA)'!G99+'Sch 1- Rate Base  (ID)'!G99)</f>
        <v>0</v>
      </c>
      <c r="H99" s="1738">
        <f>VLOOKUP($E99,Ratio,2,FALSE)*$G99</f>
        <v>0</v>
      </c>
      <c r="I99" s="1738">
        <f>VLOOKUP($E99,Ratio,3,FALSE)*$G99</f>
        <v>0</v>
      </c>
      <c r="J99" s="1739">
        <f>VLOOKUP($E99,Ratio,4,FALSE)*$G99</f>
        <v>0</v>
      </c>
      <c r="K99" s="25"/>
      <c r="L99" s="1757"/>
      <c r="M99" s="1758"/>
      <c r="N99" s="1758"/>
      <c r="O99" s="11"/>
    </row>
    <row r="100" spans="1:15" ht="15" customHeight="1" x14ac:dyDescent="0.25">
      <c r="A100" s="1348"/>
      <c r="B100" s="76" t="s">
        <v>104</v>
      </c>
      <c r="C100" s="1853"/>
      <c r="D100" s="1847"/>
      <c r="E100" s="1847"/>
      <c r="F100" s="1848"/>
      <c r="G100" s="1781">
        <f>SUM(G96:G99)</f>
        <v>108290155.70399611</v>
      </c>
      <c r="H100" s="495">
        <f>SUM(H96:H99)</f>
        <v>0</v>
      </c>
      <c r="I100" s="495">
        <f>SUM(I96:I99)</f>
        <v>0</v>
      </c>
      <c r="J100" s="1365">
        <f>SUM(J96:J99)</f>
        <v>108290155.70399611</v>
      </c>
      <c r="K100" s="25"/>
      <c r="L100" s="1757"/>
      <c r="M100" s="1758"/>
      <c r="N100" s="1758"/>
      <c r="O100" s="11"/>
    </row>
    <row r="101" spans="1:15" ht="9.9499999999999993" customHeight="1" x14ac:dyDescent="0.25">
      <c r="A101" s="1348"/>
      <c r="B101" s="76"/>
      <c r="C101" s="74"/>
      <c r="D101" s="74"/>
      <c r="E101" s="74"/>
      <c r="F101" s="74"/>
      <c r="G101" s="928"/>
      <c r="H101" s="334"/>
      <c r="I101" s="334"/>
      <c r="J101" s="1366"/>
      <c r="K101" s="25"/>
      <c r="L101" s="1757"/>
      <c r="M101" s="1758"/>
      <c r="N101" s="1758"/>
      <c r="O101" s="11"/>
    </row>
    <row r="102" spans="1:15" ht="15" customHeight="1" x14ac:dyDescent="0.25">
      <c r="A102" s="1364" t="s">
        <v>177</v>
      </c>
      <c r="B102" s="79"/>
      <c r="C102" s="80"/>
      <c r="D102" s="48"/>
      <c r="E102" s="48"/>
      <c r="F102" s="48"/>
      <c r="G102" s="378"/>
      <c r="H102" s="381"/>
      <c r="I102" s="381"/>
      <c r="J102" s="1744"/>
      <c r="K102" s="25"/>
      <c r="L102" s="1757"/>
      <c r="M102" s="1758"/>
      <c r="N102" s="1758"/>
      <c r="O102" s="11"/>
    </row>
    <row r="103" spans="1:15" ht="15" customHeight="1" x14ac:dyDescent="0.25">
      <c r="A103" s="1348"/>
      <c r="B103" s="46" t="s">
        <v>436</v>
      </c>
      <c r="C103" s="184" t="s">
        <v>78</v>
      </c>
      <c r="D103" s="184">
        <v>151</v>
      </c>
      <c r="E103" s="184" t="s">
        <v>394</v>
      </c>
      <c r="F103" s="184"/>
      <c r="G103" s="1756">
        <f>SUM('Sch 1- Rate Base  (OR)'!G103+'Sch 1- Rate Base  (WA)'!G103+'Sch 1- Rate Base  (ID)'!G103)</f>
        <v>40405127.127832949</v>
      </c>
      <c r="H103" s="1738">
        <f t="shared" ref="H103:H115" si="6">VLOOKUP($E103,Ratio,2,FALSE)*$G103</f>
        <v>40405127.127832949</v>
      </c>
      <c r="I103" s="1738">
        <f t="shared" ref="I103:I115" si="7">VLOOKUP($E103,Ratio,3,FALSE)*$G103</f>
        <v>0</v>
      </c>
      <c r="J103" s="1739">
        <f t="shared" ref="J103:J115" si="8">VLOOKUP($E103,Ratio,4,FALSE)*$G103</f>
        <v>0</v>
      </c>
      <c r="K103" s="25"/>
      <c r="L103" s="1757"/>
      <c r="M103" s="1758"/>
      <c r="N103" s="1758"/>
      <c r="O103" s="11"/>
    </row>
    <row r="104" spans="1:15" ht="15" customHeight="1" x14ac:dyDescent="0.25">
      <c r="A104" s="1348"/>
      <c r="B104" s="54" t="s">
        <v>7</v>
      </c>
      <c r="C104" s="184" t="s">
        <v>78</v>
      </c>
      <c r="D104" s="184">
        <v>152</v>
      </c>
      <c r="E104" s="184" t="s">
        <v>394</v>
      </c>
      <c r="F104" s="184"/>
      <c r="G104" s="1756">
        <f>SUM('Sch 1- Rate Base  (OR)'!G104+'Sch 1- Rate Base  (WA)'!G104+'Sch 1- Rate Base  (ID)'!G104)</f>
        <v>0</v>
      </c>
      <c r="H104" s="1738">
        <f t="shared" si="6"/>
        <v>0</v>
      </c>
      <c r="I104" s="1738">
        <f t="shared" si="7"/>
        <v>0</v>
      </c>
      <c r="J104" s="1739">
        <f t="shared" si="8"/>
        <v>0</v>
      </c>
      <c r="K104" s="25"/>
      <c r="L104" s="1757"/>
      <c r="M104" s="1758"/>
      <c r="N104" s="1758"/>
      <c r="O104" s="11"/>
    </row>
    <row r="105" spans="1:15" ht="15" customHeight="1" x14ac:dyDescent="0.25">
      <c r="A105" s="1348"/>
      <c r="B105" s="46" t="s">
        <v>79</v>
      </c>
      <c r="C105" s="184" t="s">
        <v>78</v>
      </c>
      <c r="D105" s="184">
        <v>154</v>
      </c>
      <c r="E105" s="184" t="s">
        <v>99</v>
      </c>
      <c r="F105" s="184"/>
      <c r="G105" s="1756">
        <f>SUM('Sch 1- Rate Base  (OR)'!G105+'Sch 1- Rate Base  (WA)'!G105+'Sch 1- Rate Base  (ID)'!G105)</f>
        <v>206715401.61593622</v>
      </c>
      <c r="H105" s="1738">
        <f t="shared" si="6"/>
        <v>90995322.654562652</v>
      </c>
      <c r="I105" s="1738">
        <f t="shared" si="7"/>
        <v>0</v>
      </c>
      <c r="J105" s="1739">
        <f t="shared" si="8"/>
        <v>115720078.96137355</v>
      </c>
      <c r="K105" s="25"/>
      <c r="L105" s="1757"/>
      <c r="M105" s="1758"/>
      <c r="N105" s="1758"/>
      <c r="O105" s="11"/>
    </row>
    <row r="106" spans="1:15" ht="15" customHeight="1" x14ac:dyDescent="0.25">
      <c r="A106" s="1348"/>
      <c r="B106" s="46" t="s">
        <v>355</v>
      </c>
      <c r="C106" s="184" t="s">
        <v>78</v>
      </c>
      <c r="D106" s="184">
        <v>155</v>
      </c>
      <c r="E106" s="184" t="s">
        <v>392</v>
      </c>
      <c r="F106" s="184"/>
      <c r="G106" s="1756">
        <f>SUM('Sch 1- Rate Base  (OR)'!G106+'Sch 1- Rate Base  (WA)'!G106+'Sch 1- Rate Base  (ID)'!G106)</f>
        <v>0</v>
      </c>
      <c r="H106" s="1738">
        <f t="shared" si="6"/>
        <v>0</v>
      </c>
      <c r="I106" s="1738">
        <f t="shared" si="7"/>
        <v>0</v>
      </c>
      <c r="J106" s="1739">
        <f t="shared" si="8"/>
        <v>0</v>
      </c>
      <c r="K106" s="25"/>
      <c r="L106" s="1757"/>
      <c r="M106" s="1758"/>
      <c r="N106" s="1758"/>
      <c r="O106" s="11"/>
    </row>
    <row r="107" spans="1:15" ht="15" customHeight="1" x14ac:dyDescent="0.25">
      <c r="A107" s="1348"/>
      <c r="B107" s="46" t="s">
        <v>356</v>
      </c>
      <c r="C107" s="184" t="s">
        <v>78</v>
      </c>
      <c r="D107" s="184">
        <v>156</v>
      </c>
      <c r="E107" s="184" t="s">
        <v>392</v>
      </c>
      <c r="F107" s="184"/>
      <c r="G107" s="1756">
        <f>SUM('Sch 1- Rate Base  (OR)'!G107+'Sch 1- Rate Base  (WA)'!G107+'Sch 1- Rate Base  (ID)'!G107)</f>
        <v>0</v>
      </c>
      <c r="H107" s="1738">
        <f t="shared" si="6"/>
        <v>0</v>
      </c>
      <c r="I107" s="1738">
        <f t="shared" si="7"/>
        <v>0</v>
      </c>
      <c r="J107" s="1739">
        <f t="shared" si="8"/>
        <v>0</v>
      </c>
      <c r="K107" s="25"/>
      <c r="L107" s="1757"/>
      <c r="M107" s="1758"/>
      <c r="N107" s="1758"/>
      <c r="O107" s="11"/>
    </row>
    <row r="108" spans="1:15" ht="15" customHeight="1" x14ac:dyDescent="0.25">
      <c r="A108" s="1348"/>
      <c r="B108" s="46" t="s">
        <v>357</v>
      </c>
      <c r="C108" s="184" t="s">
        <v>78</v>
      </c>
      <c r="D108" s="184">
        <v>158.1</v>
      </c>
      <c r="E108" s="184" t="s">
        <v>394</v>
      </c>
      <c r="F108" s="184"/>
      <c r="G108" s="1756">
        <f>SUM('Sch 1- Rate Base  (OR)'!G108+'Sch 1- Rate Base  (WA)'!G108+'Sch 1- Rate Base  (ID)'!G108)</f>
        <v>1242891.2703915152</v>
      </c>
      <c r="H108" s="1738">
        <f t="shared" si="6"/>
        <v>1242891.2703915152</v>
      </c>
      <c r="I108" s="1738">
        <f t="shared" si="7"/>
        <v>0</v>
      </c>
      <c r="J108" s="1739">
        <f t="shared" si="8"/>
        <v>0</v>
      </c>
      <c r="K108" s="25"/>
      <c r="L108" s="1757"/>
      <c r="M108" s="1758"/>
      <c r="N108" s="1758"/>
      <c r="O108" s="11"/>
    </row>
    <row r="109" spans="1:15" ht="15" customHeight="1" x14ac:dyDescent="0.25">
      <c r="A109" s="1348"/>
      <c r="B109" s="46" t="s">
        <v>178</v>
      </c>
      <c r="C109" s="184" t="s">
        <v>78</v>
      </c>
      <c r="D109" s="184">
        <v>158.19999999999999</v>
      </c>
      <c r="E109" s="184" t="s">
        <v>394</v>
      </c>
      <c r="F109" s="184"/>
      <c r="G109" s="1756">
        <f>SUM('Sch 1- Rate Base  (OR)'!G109+'Sch 1- Rate Base  (WA)'!G109+'Sch 1- Rate Base  (ID)'!G109)</f>
        <v>0</v>
      </c>
      <c r="H109" s="1738">
        <f t="shared" si="6"/>
        <v>0</v>
      </c>
      <c r="I109" s="1738">
        <f t="shared" si="7"/>
        <v>0</v>
      </c>
      <c r="J109" s="1739">
        <f t="shared" si="8"/>
        <v>0</v>
      </c>
      <c r="K109" s="25"/>
      <c r="L109" s="1757"/>
      <c r="M109" s="1758"/>
      <c r="N109" s="1758"/>
      <c r="O109" s="11"/>
    </row>
    <row r="110" spans="1:15" ht="14.25" customHeight="1" x14ac:dyDescent="0.25">
      <c r="A110" s="1348"/>
      <c r="B110" s="46" t="s">
        <v>55</v>
      </c>
      <c r="C110" s="184" t="s">
        <v>78</v>
      </c>
      <c r="D110" s="184">
        <v>163</v>
      </c>
      <c r="E110" s="184" t="s">
        <v>99</v>
      </c>
      <c r="F110" s="184"/>
      <c r="G110" s="1756">
        <f>SUM('Sch 1- Rate Base  (OR)'!G110+'Sch 1- Rate Base  (WA)'!G110+'Sch 1- Rate Base  (ID)'!G110)</f>
        <v>0</v>
      </c>
      <c r="H110" s="1738">
        <f t="shared" si="6"/>
        <v>0</v>
      </c>
      <c r="I110" s="1738">
        <f t="shared" si="7"/>
        <v>0</v>
      </c>
      <c r="J110" s="1739">
        <f t="shared" si="8"/>
        <v>0</v>
      </c>
      <c r="K110" s="25"/>
      <c r="L110" s="1757"/>
      <c r="M110" s="1758"/>
      <c r="N110" s="1758"/>
      <c r="O110" s="11"/>
    </row>
    <row r="111" spans="1:15" ht="15" customHeight="1" x14ac:dyDescent="0.25">
      <c r="A111" s="1348"/>
      <c r="B111" s="46" t="s">
        <v>8</v>
      </c>
      <c r="C111" s="184" t="s">
        <v>78</v>
      </c>
      <c r="D111" s="184">
        <v>165</v>
      </c>
      <c r="E111" s="184" t="s">
        <v>99</v>
      </c>
      <c r="F111" s="184"/>
      <c r="G111" s="1756">
        <f>SUM('Sch 1- Rate Base  (OR)'!G111+'Sch 1- Rate Base  (WA)'!G111+'Sch 1- Rate Base  (ID)'!G111)</f>
        <v>56015642.483825237</v>
      </c>
      <c r="H111" s="1738">
        <f t="shared" si="6"/>
        <v>24657869.813631494</v>
      </c>
      <c r="I111" s="1738">
        <f t="shared" si="7"/>
        <v>0</v>
      </c>
      <c r="J111" s="1739">
        <f t="shared" si="8"/>
        <v>31357772.670193736</v>
      </c>
      <c r="K111" s="25"/>
      <c r="L111" s="1757"/>
      <c r="M111" s="1758"/>
      <c r="N111" s="1758"/>
      <c r="O111" s="11"/>
    </row>
    <row r="112" spans="1:15" ht="15" customHeight="1" x14ac:dyDescent="0.25">
      <c r="A112" s="1348"/>
      <c r="B112" s="54" t="s">
        <v>9</v>
      </c>
      <c r="C112" s="184" t="s">
        <v>78</v>
      </c>
      <c r="D112" s="184">
        <v>175</v>
      </c>
      <c r="E112" s="184" t="s">
        <v>392</v>
      </c>
      <c r="F112" s="184"/>
      <c r="G112" s="1756">
        <f>SUM('Sch 1- Rate Base  (OR)'!G112+'Sch 1- Rate Base  (WA)'!G112+'Sch 1- Rate Base  (ID)'!G112)</f>
        <v>7016382.5368689988</v>
      </c>
      <c r="H112" s="1738">
        <f t="shared" si="6"/>
        <v>0</v>
      </c>
      <c r="I112" s="1738">
        <f t="shared" si="7"/>
        <v>0</v>
      </c>
      <c r="J112" s="1739">
        <f t="shared" si="8"/>
        <v>7016382.5368689988</v>
      </c>
      <c r="K112" s="25"/>
      <c r="L112" s="1757"/>
      <c r="M112" s="1758"/>
      <c r="N112" s="1758"/>
      <c r="O112" s="11"/>
    </row>
    <row r="113" spans="1:15" ht="15" customHeight="1" x14ac:dyDescent="0.25">
      <c r="A113" s="1348"/>
      <c r="B113" s="143" t="s">
        <v>184</v>
      </c>
      <c r="C113" s="184" t="s">
        <v>78</v>
      </c>
      <c r="D113" s="184">
        <v>175</v>
      </c>
      <c r="E113" s="184" t="s">
        <v>392</v>
      </c>
      <c r="F113" s="184"/>
      <c r="G113" s="1756">
        <f>SUM('Sch 1- Rate Base  (OR)'!G113+'Sch 1- Rate Base  (WA)'!G113+'Sch 1- Rate Base  (ID)'!G113)</f>
        <v>882802.55718482344</v>
      </c>
      <c r="H113" s="1738">
        <f t="shared" si="6"/>
        <v>0</v>
      </c>
      <c r="I113" s="1738">
        <f t="shared" si="7"/>
        <v>0</v>
      </c>
      <c r="J113" s="1739">
        <f t="shared" si="8"/>
        <v>882802.55718482344</v>
      </c>
      <c r="K113" s="25"/>
      <c r="L113" s="1757"/>
      <c r="M113" s="1758"/>
      <c r="N113" s="1758"/>
      <c r="O113" s="11"/>
    </row>
    <row r="114" spans="1:15" ht="15" customHeight="1" x14ac:dyDescent="0.25">
      <c r="A114" s="1348"/>
      <c r="B114" s="54" t="s">
        <v>334</v>
      </c>
      <c r="C114" s="250" t="s">
        <v>78</v>
      </c>
      <c r="D114" s="250">
        <v>176</v>
      </c>
      <c r="E114" s="250" t="s">
        <v>392</v>
      </c>
      <c r="F114" s="184"/>
      <c r="G114" s="1756">
        <f>SUM('Sch 1- Rate Base  (OR)'!G114+'Sch 1- Rate Base  (WA)'!G114+'Sch 1- Rate Base  (ID)'!G114)</f>
        <v>0</v>
      </c>
      <c r="H114" s="1738">
        <f t="shared" si="6"/>
        <v>0</v>
      </c>
      <c r="I114" s="1738">
        <f t="shared" si="7"/>
        <v>0</v>
      </c>
      <c r="J114" s="1739">
        <f t="shared" si="8"/>
        <v>0</v>
      </c>
      <c r="K114" s="25"/>
      <c r="L114" s="1757"/>
      <c r="M114" s="1758"/>
      <c r="N114" s="1758"/>
      <c r="O114" s="11"/>
    </row>
    <row r="115" spans="1:15" ht="15" customHeight="1" x14ac:dyDescent="0.25">
      <c r="A115" s="1348"/>
      <c r="B115" s="143" t="s">
        <v>573</v>
      </c>
      <c r="C115" s="250" t="s">
        <v>78</v>
      </c>
      <c r="D115" s="250">
        <v>176</v>
      </c>
      <c r="E115" s="250" t="s">
        <v>392</v>
      </c>
      <c r="F115" s="184"/>
      <c r="G115" s="1756">
        <f>SUM('Sch 1- Rate Base  (OR)'!G115+'Sch 1- Rate Base  (WA)'!G115+'Sch 1- Rate Base  (ID)'!G115)</f>
        <v>0</v>
      </c>
      <c r="H115" s="1738">
        <f t="shared" si="6"/>
        <v>0</v>
      </c>
      <c r="I115" s="1738">
        <f t="shared" si="7"/>
        <v>0</v>
      </c>
      <c r="J115" s="1739">
        <f t="shared" si="8"/>
        <v>0</v>
      </c>
      <c r="K115" s="25"/>
      <c r="L115" s="1757"/>
      <c r="M115" s="1758"/>
      <c r="N115" s="1758"/>
      <c r="O115" s="11"/>
    </row>
    <row r="116" spans="1:15" ht="15" customHeight="1" thickBot="1" x14ac:dyDescent="0.3">
      <c r="A116" s="1348"/>
      <c r="B116" s="76" t="s">
        <v>104</v>
      </c>
      <c r="C116" s="1856"/>
      <c r="D116" s="1857"/>
      <c r="E116" s="1857"/>
      <c r="F116" s="1858"/>
      <c r="G116" s="1788">
        <f>SUM(G103:G112,G114)-G113-G115</f>
        <v>310512642.47767013</v>
      </c>
      <c r="H116" s="1508">
        <f>SUM(H103:H112,H114)-H113-H115</f>
        <v>157301210.8664186</v>
      </c>
      <c r="I116" s="1508">
        <f>SUM(I103:I112,I114)-I113-I115</f>
        <v>0</v>
      </c>
      <c r="J116" s="1509">
        <f>SUM(J103:J112,J114)-J113-J115</f>
        <v>153211431.61125147</v>
      </c>
      <c r="K116" s="25"/>
      <c r="L116" s="1757"/>
      <c r="M116" s="1758"/>
      <c r="N116" s="1758"/>
      <c r="O116" s="11"/>
    </row>
    <row r="117" spans="1:15" ht="4.5" customHeight="1" thickTop="1" x14ac:dyDescent="0.25">
      <c r="A117" s="1510"/>
      <c r="B117" s="1511"/>
      <c r="C117" s="1859"/>
      <c r="D117" s="1859"/>
      <c r="E117" s="1859"/>
      <c r="F117" s="1859"/>
      <c r="G117" s="1789"/>
      <c r="H117" s="1513"/>
      <c r="I117" s="1513"/>
      <c r="J117" s="1514"/>
      <c r="K117" s="25"/>
      <c r="L117" s="1757"/>
      <c r="M117" s="1758"/>
      <c r="N117" s="1758"/>
      <c r="O117" s="11"/>
    </row>
    <row r="118" spans="1:15" ht="15" customHeight="1" x14ac:dyDescent="0.25">
      <c r="A118" s="1364" t="s">
        <v>179</v>
      </c>
      <c r="B118" s="62"/>
      <c r="C118" s="80"/>
      <c r="D118" s="48"/>
      <c r="E118" s="48"/>
      <c r="F118" s="48"/>
      <c r="G118" s="379"/>
      <c r="H118" s="337"/>
      <c r="I118" s="337"/>
      <c r="J118" s="1354"/>
      <c r="K118" s="25"/>
      <c r="L118" s="1757"/>
      <c r="M118" s="1758"/>
      <c r="N118" s="1758"/>
      <c r="O118" s="11"/>
    </row>
    <row r="119" spans="1:15" ht="15" customHeight="1" x14ac:dyDescent="0.25">
      <c r="A119" s="1348"/>
      <c r="B119" s="54" t="s">
        <v>10</v>
      </c>
      <c r="C119" s="184" t="s">
        <v>78</v>
      </c>
      <c r="D119" s="184">
        <v>181</v>
      </c>
      <c r="E119" s="184" t="s">
        <v>108</v>
      </c>
      <c r="F119" s="184"/>
      <c r="G119" s="1756">
        <f>SUM('Sch 1- Rate Base  (OR)'!G119+'Sch 1- Rate Base  (WA)'!G119+'Sch 1- Rate Base  (ID)'!G119)</f>
        <v>23084661.294751231</v>
      </c>
      <c r="H119" s="1738">
        <f>VLOOKUP($E119,Ratio,2,FALSE)*$G119</f>
        <v>10028311.633164721</v>
      </c>
      <c r="I119" s="1738">
        <f>VLOOKUP($E119,Ratio,3,FALSE)*$G119</f>
        <v>0</v>
      </c>
      <c r="J119" s="1739">
        <f>VLOOKUP($E119,Ratio,4,FALSE)*$G119</f>
        <v>13058659.838991489</v>
      </c>
      <c r="K119" s="25"/>
      <c r="L119" s="1757"/>
      <c r="M119" s="1758"/>
      <c r="N119" s="1758"/>
      <c r="O119" s="11"/>
    </row>
    <row r="120" spans="1:15" ht="15" customHeight="1" x14ac:dyDescent="0.25">
      <c r="A120" s="1348"/>
      <c r="B120" s="54" t="s">
        <v>11</v>
      </c>
      <c r="C120" s="184" t="s">
        <v>78</v>
      </c>
      <c r="D120" s="184">
        <v>182.1</v>
      </c>
      <c r="E120" s="184" t="s">
        <v>90</v>
      </c>
      <c r="F120" s="184" t="s">
        <v>392</v>
      </c>
      <c r="G120" s="1756">
        <f>SUM('Sch 1- Rate Base  (OR)'!G120+'Sch 1- Rate Base  (WA)'!G120+'Sch 1- Rate Base  (ID)'!G120)</f>
        <v>0</v>
      </c>
      <c r="H120" s="1738">
        <f>IF($E120="DIRECT",$L120,VLOOKUP($E120,Ratio,2,FALSE)*$G120)</f>
        <v>0</v>
      </c>
      <c r="I120" s="1738">
        <f>IF($E120="DIRECT",$M120,VLOOKUP($E120,Ratio,3,FALSE)*$G120)</f>
        <v>0</v>
      </c>
      <c r="J120" s="1739">
        <f>IF($E120="DIRECT",$N120,VLOOKUP($E120,Ratio,4,FALSE)*$G120)</f>
        <v>0</v>
      </c>
      <c r="K120" s="25"/>
      <c r="L120" s="1756">
        <f>SUM('Sch 1- Rate Base  (OR)'!L120+'Sch 1- Rate Base  (WA)'!L120+'Sch 1- Rate Base  (ID)'!L120)</f>
        <v>0</v>
      </c>
      <c r="M120" s="1756">
        <f>SUM('Sch 1- Rate Base  (OR)'!M120+'Sch 1- Rate Base  (WA)'!M120+'Sch 1- Rate Base  (ID)'!M120)</f>
        <v>0</v>
      </c>
      <c r="N120" s="1756">
        <f>SUM('Sch 1- Rate Base  (OR)'!N120+'Sch 1- Rate Base  (WA)'!N120+'Sch 1- Rate Base  (ID)'!N120)</f>
        <v>0</v>
      </c>
      <c r="O120" s="11"/>
    </row>
    <row r="121" spans="1:15" ht="15" customHeight="1" x14ac:dyDescent="0.25">
      <c r="A121" s="1348"/>
      <c r="B121" s="54" t="s">
        <v>12</v>
      </c>
      <c r="C121" s="184" t="s">
        <v>78</v>
      </c>
      <c r="D121" s="184">
        <v>182.2</v>
      </c>
      <c r="E121" s="184" t="s">
        <v>90</v>
      </c>
      <c r="F121" s="184" t="s">
        <v>392</v>
      </c>
      <c r="G121" s="1756">
        <f>SUM('Sch 1- Rate Base  (OR)'!G121+'Sch 1- Rate Base  (WA)'!G121+'Sch 1- Rate Base  (ID)'!G121)</f>
        <v>0</v>
      </c>
      <c r="H121" s="1738">
        <f>IF($E121="DIRECT",$L121,VLOOKUP($E121,Ratio,2,FALSE)*$G121)</f>
        <v>0</v>
      </c>
      <c r="I121" s="1738">
        <f>IF($E121="DIRECT",$M121,VLOOKUP($E121,Ratio,3,FALSE)*$G121)</f>
        <v>0</v>
      </c>
      <c r="J121" s="1739">
        <f>IF($E121="DIRECT",$N121,VLOOKUP($E121,Ratio,4,FALSE)*$G121)</f>
        <v>0</v>
      </c>
      <c r="K121" s="25"/>
      <c r="L121" s="1756">
        <f>SUM('Sch 1- Rate Base  (OR)'!L121+'Sch 1- Rate Base  (WA)'!L121+'Sch 1- Rate Base  (ID)'!L121)</f>
        <v>0</v>
      </c>
      <c r="M121" s="1756">
        <f>SUM('Sch 1- Rate Base  (OR)'!M121+'Sch 1- Rate Base  (WA)'!M121+'Sch 1- Rate Base  (ID)'!M121)</f>
        <v>0</v>
      </c>
      <c r="N121" s="1756">
        <f>SUM('Sch 1- Rate Base  (OR)'!N121+'Sch 1- Rate Base  (WA)'!N121+'Sch 1- Rate Base  (ID)'!N121)</f>
        <v>0</v>
      </c>
      <c r="O121" s="11"/>
    </row>
    <row r="122" spans="1:15" ht="15" customHeight="1" x14ac:dyDescent="0.25">
      <c r="A122" s="1348"/>
      <c r="B122" s="54" t="s">
        <v>13</v>
      </c>
      <c r="C122" s="184" t="s">
        <v>78</v>
      </c>
      <c r="D122" s="184">
        <v>182.3</v>
      </c>
      <c r="E122" s="184" t="s">
        <v>90</v>
      </c>
      <c r="F122" s="184" t="s">
        <v>392</v>
      </c>
      <c r="G122" s="1756">
        <f>SUM('Sch 1- Rate Base  (OR)'!G122+'Sch 1- Rate Base  (WA)'!G122+'Sch 1- Rate Base  (ID)'!G122)</f>
        <v>672768352.85708964</v>
      </c>
      <c r="H122" s="1738">
        <f>IF($E122="DIRECT",$L122,VLOOKUP($E122,Ratio,2,FALSE)*$G122)</f>
        <v>353419883.65590286</v>
      </c>
      <c r="I122" s="1738">
        <f>IF($E122="DIRECT",$M122,VLOOKUP($E122,Ratio,3,FALSE)*$G122)</f>
        <v>0</v>
      </c>
      <c r="J122" s="1739">
        <f>IF($E122="DIRECT",$N122,VLOOKUP($E122,Ratio,4,FALSE)*$G122)</f>
        <v>319348469.20118666</v>
      </c>
      <c r="K122" s="25"/>
      <c r="L122" s="1756">
        <f>SUM('Sch 1- Rate Base  (OR)'!L122+'Sch 1- Rate Base  (WA)'!L122+'Sch 1- Rate Base  (ID)'!L122)</f>
        <v>353419883.65590286</v>
      </c>
      <c r="M122" s="1756">
        <f>SUM('Sch 1- Rate Base  (OR)'!M122+'Sch 1- Rate Base  (WA)'!M122+'Sch 1- Rate Base  (ID)'!M122)</f>
        <v>0</v>
      </c>
      <c r="N122" s="1756">
        <f>SUM('Sch 1- Rate Base  (OR)'!N122+'Sch 1- Rate Base  (WA)'!N122+'Sch 1- Rate Base  (ID)'!N122)</f>
        <v>319348469.20118666</v>
      </c>
      <c r="O122" s="11"/>
    </row>
    <row r="123" spans="1:15" ht="15" customHeight="1" x14ac:dyDescent="0.25">
      <c r="A123" s="1348"/>
      <c r="B123" s="54" t="s">
        <v>183</v>
      </c>
      <c r="C123" s="184" t="s">
        <v>78</v>
      </c>
      <c r="D123" s="184">
        <v>183</v>
      </c>
      <c r="E123" s="184" t="s">
        <v>392</v>
      </c>
      <c r="F123" s="184"/>
      <c r="G123" s="1756">
        <f>SUM('Sch 1- Rate Base  (OR)'!G123+'Sch 1- Rate Base  (WA)'!G123+'Sch 1- Rate Base  (ID)'!G123)</f>
        <v>10625524.390141297</v>
      </c>
      <c r="H123" s="1738">
        <f t="shared" ref="H123:H132" si="9">VLOOKUP($E123,Ratio,2,FALSE)*$G123</f>
        <v>0</v>
      </c>
      <c r="I123" s="1738">
        <f t="shared" ref="I123:I132" si="10">VLOOKUP($E123,Ratio,3,FALSE)*$G123</f>
        <v>0</v>
      </c>
      <c r="J123" s="1739">
        <f t="shared" ref="J123:J132" si="11">VLOOKUP($E123,Ratio,4,FALSE)*$G123</f>
        <v>10625524.390141297</v>
      </c>
      <c r="K123" s="25"/>
      <c r="L123" s="1764"/>
      <c r="M123" s="1755"/>
      <c r="N123" s="1755"/>
      <c r="O123" s="11"/>
    </row>
    <row r="124" spans="1:15" ht="15" customHeight="1" x14ac:dyDescent="0.25">
      <c r="A124" s="1348"/>
      <c r="B124" s="54" t="s">
        <v>14</v>
      </c>
      <c r="C124" s="184" t="s">
        <v>78</v>
      </c>
      <c r="D124" s="184">
        <v>183.1</v>
      </c>
      <c r="E124" s="184" t="s">
        <v>392</v>
      </c>
      <c r="F124" s="184"/>
      <c r="G124" s="1756">
        <f>SUM('Sch 1- Rate Base  (OR)'!G124+'Sch 1- Rate Base  (WA)'!G124+'Sch 1- Rate Base  (ID)'!G124)</f>
        <v>0</v>
      </c>
      <c r="H124" s="1738">
        <f t="shared" si="9"/>
        <v>0</v>
      </c>
      <c r="I124" s="1738">
        <f t="shared" si="10"/>
        <v>0</v>
      </c>
      <c r="J124" s="1739">
        <f t="shared" si="11"/>
        <v>0</v>
      </c>
      <c r="K124" s="25"/>
      <c r="L124" s="1757"/>
      <c r="M124" s="1758"/>
      <c r="N124" s="1758"/>
      <c r="O124" s="11"/>
    </row>
    <row r="125" spans="1:15" ht="15" customHeight="1" x14ac:dyDescent="0.25">
      <c r="A125" s="1348"/>
      <c r="B125" s="54" t="s">
        <v>445</v>
      </c>
      <c r="C125" s="184" t="s">
        <v>78</v>
      </c>
      <c r="D125" s="184">
        <v>183.2</v>
      </c>
      <c r="E125" s="184" t="s">
        <v>392</v>
      </c>
      <c r="F125" s="184"/>
      <c r="G125" s="1756">
        <f>SUM('Sch 1- Rate Base  (OR)'!G125+'Sch 1- Rate Base  (WA)'!G125+'Sch 1- Rate Base  (ID)'!G125)</f>
        <v>0</v>
      </c>
      <c r="H125" s="1738">
        <f t="shared" si="9"/>
        <v>0</v>
      </c>
      <c r="I125" s="1738">
        <f t="shared" si="10"/>
        <v>0</v>
      </c>
      <c r="J125" s="1739">
        <f t="shared" si="11"/>
        <v>0</v>
      </c>
      <c r="K125" s="25"/>
      <c r="L125" s="1757"/>
      <c r="M125" s="1758"/>
      <c r="N125" s="1758"/>
      <c r="O125" s="11"/>
    </row>
    <row r="126" spans="1:15" ht="15" customHeight="1" x14ac:dyDescent="0.25">
      <c r="A126" s="1348"/>
      <c r="B126" s="54" t="s">
        <v>15</v>
      </c>
      <c r="C126" s="184" t="s">
        <v>78</v>
      </c>
      <c r="D126" s="184">
        <v>184</v>
      </c>
      <c r="E126" s="184" t="s">
        <v>392</v>
      </c>
      <c r="F126" s="184"/>
      <c r="G126" s="1756">
        <f>SUM('Sch 1- Rate Base  (OR)'!G126+'Sch 1- Rate Base  (WA)'!G126+'Sch 1- Rate Base  (ID)'!G126)</f>
        <v>2867.363757145788</v>
      </c>
      <c r="H126" s="1738">
        <f t="shared" si="9"/>
        <v>0</v>
      </c>
      <c r="I126" s="1738">
        <f t="shared" si="10"/>
        <v>0</v>
      </c>
      <c r="J126" s="1739">
        <f t="shared" si="11"/>
        <v>2867.363757145788</v>
      </c>
      <c r="K126" s="25"/>
      <c r="L126" s="1757"/>
      <c r="M126" s="1758"/>
      <c r="N126" s="1758"/>
      <c r="O126" s="11"/>
    </row>
    <row r="127" spans="1:15" ht="15" customHeight="1" x14ac:dyDescent="0.25">
      <c r="A127" s="1348"/>
      <c r="B127" s="54" t="s">
        <v>16</v>
      </c>
      <c r="C127" s="184" t="s">
        <v>78</v>
      </c>
      <c r="D127" s="184">
        <v>185</v>
      </c>
      <c r="E127" s="184" t="s">
        <v>108</v>
      </c>
      <c r="F127" s="184"/>
      <c r="G127" s="1756">
        <f>SUM('Sch 1- Rate Base  (OR)'!G127+'Sch 1- Rate Base  (WA)'!G127+'Sch 1- Rate Base  (ID)'!G127)</f>
        <v>63231.269284363545</v>
      </c>
      <c r="H127" s="1738">
        <f t="shared" si="9"/>
        <v>27468.580337729723</v>
      </c>
      <c r="I127" s="1738">
        <f t="shared" si="10"/>
        <v>0</v>
      </c>
      <c r="J127" s="1739">
        <v>19431.59572434863</v>
      </c>
      <c r="K127" s="25"/>
      <c r="L127" s="1757"/>
      <c r="M127" s="1758"/>
      <c r="N127" s="1758"/>
      <c r="O127" s="11"/>
    </row>
    <row r="128" spans="1:15" ht="15" customHeight="1" x14ac:dyDescent="0.25">
      <c r="A128" s="1348"/>
      <c r="B128" s="54" t="s">
        <v>17</v>
      </c>
      <c r="C128" s="184" t="s">
        <v>78</v>
      </c>
      <c r="D128" s="184">
        <v>186</v>
      </c>
      <c r="E128" s="184" t="s">
        <v>90</v>
      </c>
      <c r="F128" s="184" t="s">
        <v>392</v>
      </c>
      <c r="G128" s="1756">
        <f>SUM('Sch 1- Rate Base  (OR)'!G128+'Sch 1- Rate Base  (WA)'!G128+'Sch 1- Rate Base  (ID)'!G128)</f>
        <v>51060663.808693767</v>
      </c>
      <c r="H128" s="1738">
        <f>IF($E128="DIRECT",$L128,VLOOKUP($E128,Ratio,2,FALSE)*$G128)</f>
        <v>48216918.364726976</v>
      </c>
      <c r="I128" s="1738">
        <f>IF($E128="DIRECT",$M128,VLOOKUP($E128,Ratio,3,FALSE)*$G128)</f>
        <v>0</v>
      </c>
      <c r="J128" s="1739">
        <f>IF($E128="DIRECT",$N128,VLOOKUP($E128,Ratio,4,FALSE)*$G128)</f>
        <v>2843745.443966785</v>
      </c>
      <c r="K128" s="25"/>
      <c r="L128" s="1756">
        <f>SUM('Sch 1- Rate Base  (OR)'!L128+'Sch 1- Rate Base  (WA)'!L128+'Sch 1- Rate Base  (ID)'!L128)</f>
        <v>48216918.364726976</v>
      </c>
      <c r="M128" s="1756">
        <f>SUM('Sch 1- Rate Base  (OR)'!M128+'Sch 1- Rate Base  (WA)'!M128+'Sch 1- Rate Base  (ID)'!M128)</f>
        <v>0</v>
      </c>
      <c r="N128" s="1756">
        <f>SUM('Sch 1- Rate Base  (OR)'!N128+'Sch 1- Rate Base  (WA)'!N128+'Sch 1- Rate Base  (ID)'!N128)</f>
        <v>2843745.443966785</v>
      </c>
      <c r="O128" s="11"/>
    </row>
    <row r="129" spans="1:15" ht="15" customHeight="1" x14ac:dyDescent="0.25">
      <c r="A129" s="1348"/>
      <c r="B129" s="54" t="s">
        <v>18</v>
      </c>
      <c r="C129" s="184" t="s">
        <v>78</v>
      </c>
      <c r="D129" s="184">
        <v>187</v>
      </c>
      <c r="E129" s="184" t="s">
        <v>90</v>
      </c>
      <c r="F129" s="184"/>
      <c r="G129" s="1756">
        <f>SUM('Sch 1- Rate Base  (OR)'!G129+'Sch 1- Rate Base  (WA)'!G129+'Sch 1- Rate Base  (ID)'!G129)</f>
        <v>0</v>
      </c>
      <c r="H129" s="1738">
        <f>IF($E129="DIRECT",$L129,VLOOKUP($E129,Ratio,2,FALSE)*$G129)</f>
        <v>0</v>
      </c>
      <c r="I129" s="1738">
        <f>IF($E129="DIRECT",$M129,VLOOKUP($E129,Ratio,3,FALSE)*$G129)</f>
        <v>0</v>
      </c>
      <c r="J129" s="1739">
        <f>IF($E129="DIRECT",$N129,VLOOKUP($E129,Ratio,4,FALSE)*$G129)</f>
        <v>0</v>
      </c>
      <c r="K129" s="25"/>
      <c r="L129" s="1756">
        <f>SUM('Sch 1- Rate Base  (OR)'!L129+'Sch 1- Rate Base  (WA)'!L129+'Sch 1- Rate Base  (ID)'!L129)</f>
        <v>0</v>
      </c>
      <c r="M129" s="1756">
        <f>SUM('Sch 1- Rate Base  (OR)'!M129+'Sch 1- Rate Base  (WA)'!M129+'Sch 1- Rate Base  (ID)'!M129)</f>
        <v>0</v>
      </c>
      <c r="N129" s="1756">
        <f>SUM('Sch 1- Rate Base  (OR)'!N129+'Sch 1- Rate Base  (WA)'!N129+'Sch 1- Rate Base  (ID)'!N129)</f>
        <v>0</v>
      </c>
      <c r="O129" s="11"/>
    </row>
    <row r="130" spans="1:15" ht="15" customHeight="1" x14ac:dyDescent="0.25">
      <c r="A130" s="1348"/>
      <c r="B130" s="54" t="s">
        <v>19</v>
      </c>
      <c r="C130" s="184" t="s">
        <v>78</v>
      </c>
      <c r="D130" s="184">
        <v>188</v>
      </c>
      <c r="E130" s="184" t="s">
        <v>392</v>
      </c>
      <c r="F130" s="184"/>
      <c r="G130" s="1756">
        <f>SUM('Sch 1- Rate Base  (OR)'!G130+'Sch 1- Rate Base  (WA)'!G130+'Sch 1- Rate Base  (ID)'!G130)</f>
        <v>0</v>
      </c>
      <c r="H130" s="1738">
        <f t="shared" si="9"/>
        <v>0</v>
      </c>
      <c r="I130" s="1738">
        <f t="shared" si="10"/>
        <v>0</v>
      </c>
      <c r="J130" s="1739">
        <f t="shared" si="11"/>
        <v>0</v>
      </c>
      <c r="K130" s="25"/>
      <c r="L130" s="1757"/>
      <c r="M130" s="1758"/>
      <c r="N130" s="1758"/>
      <c r="O130" s="11"/>
    </row>
    <row r="131" spans="1:15" ht="15" customHeight="1" x14ac:dyDescent="0.25">
      <c r="A131" s="1348"/>
      <c r="B131" s="54" t="s">
        <v>20</v>
      </c>
      <c r="C131" s="184" t="s">
        <v>78</v>
      </c>
      <c r="D131" s="184">
        <v>189</v>
      </c>
      <c r="E131" s="184" t="s">
        <v>108</v>
      </c>
      <c r="F131" s="184"/>
      <c r="G131" s="1756">
        <f>SUM('Sch 1- Rate Base  (OR)'!G131+'Sch 1- Rate Base  (WA)'!G131+'Sch 1- Rate Base  (ID)'!G131)</f>
        <v>801630.402326782</v>
      </c>
      <c r="H131" s="1738">
        <f t="shared" si="9"/>
        <v>348239.87177061226</v>
      </c>
      <c r="I131" s="1738">
        <f t="shared" si="10"/>
        <v>0</v>
      </c>
      <c r="J131" s="1739">
        <v>246348.96744375481</v>
      </c>
      <c r="K131" s="25"/>
      <c r="L131" s="1757"/>
      <c r="M131" s="1758"/>
      <c r="N131" s="1758"/>
      <c r="O131" s="11"/>
    </row>
    <row r="132" spans="1:15" ht="15" customHeight="1" x14ac:dyDescent="0.25">
      <c r="A132" s="1348"/>
      <c r="B132" s="54" t="s">
        <v>21</v>
      </c>
      <c r="C132" s="184" t="s">
        <v>78</v>
      </c>
      <c r="D132" s="184">
        <v>190</v>
      </c>
      <c r="E132" s="184" t="s">
        <v>392</v>
      </c>
      <c r="F132" s="184"/>
      <c r="G132" s="1756">
        <f>SUM('Sch 1- Rate Base  (OR)'!G132+'Sch 1- Rate Base  (WA)'!G132+'Sch 1- Rate Base  (ID)'!G132)</f>
        <v>367007945.82677501</v>
      </c>
      <c r="H132" s="1738">
        <f t="shared" si="9"/>
        <v>0</v>
      </c>
      <c r="I132" s="1738">
        <f t="shared" si="10"/>
        <v>0</v>
      </c>
      <c r="J132" s="1739">
        <f t="shared" si="11"/>
        <v>367007945.82677501</v>
      </c>
      <c r="K132" s="25"/>
      <c r="L132" s="1757"/>
      <c r="M132" s="1758"/>
      <c r="N132" s="1758"/>
      <c r="O132" s="11"/>
    </row>
    <row r="133" spans="1:15" ht="15" customHeight="1" x14ac:dyDescent="0.25">
      <c r="A133" s="1353"/>
      <c r="B133" s="76" t="s">
        <v>104</v>
      </c>
      <c r="C133" s="1853"/>
      <c r="D133" s="1847"/>
      <c r="E133" s="1847"/>
      <c r="F133" s="1848"/>
      <c r="G133" s="1781">
        <f>SUM(G119:G132)</f>
        <v>1125414877.2128193</v>
      </c>
      <c r="H133" s="495">
        <f>SUM(H119:H132)</f>
        <v>412040822.10590285</v>
      </c>
      <c r="I133" s="495">
        <f>SUM(I119:I132)</f>
        <v>0</v>
      </c>
      <c r="J133" s="1365">
        <f>SUM(J119:J132)</f>
        <v>713152992.62798643</v>
      </c>
      <c r="K133" s="25"/>
      <c r="L133" s="1757"/>
      <c r="M133" s="1758"/>
      <c r="N133" s="1758"/>
      <c r="O133" s="11"/>
    </row>
    <row r="134" spans="1:15" ht="15" customHeight="1" x14ac:dyDescent="0.25">
      <c r="A134" s="1353"/>
      <c r="B134" s="61"/>
      <c r="C134" s="81"/>
      <c r="D134" s="34"/>
      <c r="E134" s="34"/>
      <c r="F134" s="34"/>
      <c r="G134" s="377"/>
      <c r="H134" s="337"/>
      <c r="I134" s="337"/>
      <c r="J134" s="1354"/>
      <c r="K134" s="25"/>
      <c r="L134" s="1757"/>
      <c r="M134" s="1758"/>
      <c r="N134" s="1758"/>
      <c r="O134" s="11"/>
    </row>
    <row r="135" spans="1:15" ht="15" customHeight="1" x14ac:dyDescent="0.25">
      <c r="A135" s="1350" t="s">
        <v>74</v>
      </c>
      <c r="B135" s="32"/>
      <c r="C135" s="1853"/>
      <c r="D135" s="1847"/>
      <c r="E135" s="1847"/>
      <c r="F135" s="1848"/>
      <c r="G135" s="1781">
        <f>G84+G93+G100+G116+G133</f>
        <v>3908737606.0971003</v>
      </c>
      <c r="H135" s="495">
        <f>H84+H93+H100+H116+H133</f>
        <v>805285062.89020872</v>
      </c>
      <c r="I135" s="495">
        <f>I84+I93+I100+I116+I133</f>
        <v>23892855.711776573</v>
      </c>
      <c r="J135" s="1365">
        <f>J84+J93+J100+J116+J133</f>
        <v>3079338625.0147085</v>
      </c>
      <c r="K135" s="24"/>
      <c r="L135" s="1757"/>
      <c r="M135" s="1758"/>
      <c r="N135" s="1758"/>
      <c r="O135" s="11"/>
    </row>
    <row r="136" spans="1:15" ht="15" customHeight="1" thickBot="1" x14ac:dyDescent="0.3">
      <c r="A136" s="1359"/>
      <c r="B136" s="173"/>
      <c r="C136" s="193"/>
      <c r="D136" s="193"/>
      <c r="E136" s="188"/>
      <c r="F136" s="188"/>
      <c r="G136" s="1790"/>
      <c r="H136" s="383"/>
      <c r="I136" s="383"/>
      <c r="J136" s="1370"/>
      <c r="K136" s="24"/>
      <c r="L136" s="1757"/>
      <c r="M136" s="1758"/>
      <c r="N136" s="1758"/>
      <c r="O136" s="11"/>
    </row>
    <row r="137" spans="1:15" ht="15" customHeight="1" thickTop="1" x14ac:dyDescent="0.25">
      <c r="A137" s="1361" t="s">
        <v>75</v>
      </c>
      <c r="B137" s="32"/>
      <c r="C137" s="34"/>
      <c r="D137" s="34"/>
      <c r="E137" s="34"/>
      <c r="F137" s="34"/>
      <c r="G137" s="377"/>
      <c r="H137" s="142"/>
      <c r="I137" s="142"/>
      <c r="J137" s="1347"/>
      <c r="K137" s="24"/>
      <c r="L137" s="1757"/>
      <c r="M137" s="1758"/>
      <c r="N137" s="1758"/>
      <c r="O137" s="11"/>
    </row>
    <row r="138" spans="1:15" ht="15" customHeight="1" x14ac:dyDescent="0.25">
      <c r="A138" s="1348"/>
      <c r="B138" s="53" t="s">
        <v>434</v>
      </c>
      <c r="C138" s="48"/>
      <c r="D138" s="1860"/>
      <c r="E138" s="48"/>
      <c r="F138" s="48"/>
      <c r="G138" s="1791"/>
      <c r="H138" s="337"/>
      <c r="I138" s="337"/>
      <c r="J138" s="1354"/>
      <c r="K138" s="24"/>
      <c r="L138" s="1757"/>
      <c r="M138" s="1758"/>
      <c r="N138" s="1758"/>
      <c r="O138" s="11"/>
    </row>
    <row r="139" spans="1:15" ht="15" customHeight="1" x14ac:dyDescent="0.25">
      <c r="A139" s="1348"/>
      <c r="B139" s="54" t="s">
        <v>332</v>
      </c>
      <c r="C139" s="184" t="s">
        <v>81</v>
      </c>
      <c r="D139" s="184">
        <v>175</v>
      </c>
      <c r="E139" s="184" t="s">
        <v>392</v>
      </c>
      <c r="F139" s="184"/>
      <c r="G139" s="1756">
        <f>SUM('Sch 1- Rate Base  (OR)'!G139+'Sch 1- Rate Base  (WA)'!G139+'Sch 1- Rate Base  (ID)'!G139)</f>
        <v>33532868.969462179</v>
      </c>
      <c r="H139" s="1738">
        <f>VLOOKUP($E139,Ratio,2,FALSE)*$G139</f>
        <v>0</v>
      </c>
      <c r="I139" s="1738">
        <f>VLOOKUP($E139,Ratio,3,FALSE)*$G139</f>
        <v>0</v>
      </c>
      <c r="J139" s="1739">
        <f>VLOOKUP($E139,Ratio,4,FALSE)*$G139</f>
        <v>33532868.969462179</v>
      </c>
      <c r="K139" s="24"/>
      <c r="L139" s="1757"/>
      <c r="M139" s="1758"/>
      <c r="N139" s="1758"/>
      <c r="O139" s="11"/>
    </row>
    <row r="140" spans="1:15" ht="15" customHeight="1" x14ac:dyDescent="0.25">
      <c r="A140" s="1348"/>
      <c r="B140" s="143" t="s">
        <v>350</v>
      </c>
      <c r="C140" s="184" t="s">
        <v>81</v>
      </c>
      <c r="D140" s="184">
        <v>175</v>
      </c>
      <c r="E140" s="184" t="s">
        <v>392</v>
      </c>
      <c r="F140" s="184"/>
      <c r="G140" s="1756">
        <f>SUM('Sch 1- Rate Base  (OR)'!G140+'Sch 1- Rate Base  (WA)'!G140+'Sch 1- Rate Base  (ID)'!G140)</f>
        <v>8023897.7622972047</v>
      </c>
      <c r="H140" s="1738">
        <f>VLOOKUP($E140,Ratio,2,FALSE)*$G140</f>
        <v>0</v>
      </c>
      <c r="I140" s="1738">
        <f>VLOOKUP($E140,Ratio,3,FALSE)*$G140</f>
        <v>0</v>
      </c>
      <c r="J140" s="1739">
        <f>VLOOKUP($E140,Ratio,4,FALSE)*$G140</f>
        <v>8023897.7622972047</v>
      </c>
      <c r="K140" s="24"/>
      <c r="L140" s="1757"/>
      <c r="M140" s="1758"/>
      <c r="N140" s="1758"/>
      <c r="O140" s="11"/>
    </row>
    <row r="141" spans="1:15" ht="15" customHeight="1" x14ac:dyDescent="0.25">
      <c r="A141" s="1348"/>
      <c r="B141" s="54" t="s">
        <v>333</v>
      </c>
      <c r="C141" s="184" t="s">
        <v>81</v>
      </c>
      <c r="D141" s="184">
        <v>176</v>
      </c>
      <c r="E141" s="184" t="s">
        <v>392</v>
      </c>
      <c r="F141" s="184"/>
      <c r="G141" s="1756">
        <f>SUM('Sch 1- Rate Base  (OR)'!G141+'Sch 1- Rate Base  (WA)'!G141+'Sch 1- Rate Base  (ID)'!G141)</f>
        <v>0</v>
      </c>
      <c r="H141" s="1738">
        <f>VLOOKUP($E141,Ratio,2,FALSE)*$G141</f>
        <v>0</v>
      </c>
      <c r="I141" s="1738">
        <f>VLOOKUP($E141,Ratio,3,FALSE)*$G141</f>
        <v>0</v>
      </c>
      <c r="J141" s="1739">
        <f>VLOOKUP($E141,Ratio,4,FALSE)*$G141</f>
        <v>0</v>
      </c>
      <c r="K141" s="24"/>
      <c r="L141" s="1757"/>
      <c r="M141" s="1758"/>
      <c r="N141" s="1758"/>
      <c r="O141" s="11"/>
    </row>
    <row r="142" spans="1:15" ht="15" customHeight="1" x14ac:dyDescent="0.25">
      <c r="A142" s="1348"/>
      <c r="B142" s="143" t="s">
        <v>349</v>
      </c>
      <c r="C142" s="184" t="s">
        <v>81</v>
      </c>
      <c r="D142" s="184">
        <v>176</v>
      </c>
      <c r="E142" s="184" t="s">
        <v>392</v>
      </c>
      <c r="F142" s="184"/>
      <c r="G142" s="1756">
        <f>SUM('Sch 1- Rate Base  (OR)'!G142+'Sch 1- Rate Base  (WA)'!G142+'Sch 1- Rate Base  (ID)'!G142)</f>
        <v>0</v>
      </c>
      <c r="H142" s="1738">
        <f>VLOOKUP($E142,Ratio,2,FALSE)*$G142</f>
        <v>0</v>
      </c>
      <c r="I142" s="1738">
        <f>VLOOKUP($E142,Ratio,3,FALSE)*$G142</f>
        <v>0</v>
      </c>
      <c r="J142" s="1739">
        <f>VLOOKUP($E142,Ratio,4,FALSE)*$G142</f>
        <v>0</v>
      </c>
      <c r="K142" s="24"/>
      <c r="L142" s="1757"/>
      <c r="M142" s="1758"/>
      <c r="N142" s="1758"/>
      <c r="O142" s="11"/>
    </row>
    <row r="143" spans="1:15" ht="15" customHeight="1" x14ac:dyDescent="0.25">
      <c r="A143" s="1348"/>
      <c r="B143" s="76" t="s">
        <v>104</v>
      </c>
      <c r="C143" s="1853"/>
      <c r="D143" s="1847"/>
      <c r="E143" s="1847"/>
      <c r="F143" s="1848"/>
      <c r="G143" s="1781">
        <f>G139-G140+G141-G142</f>
        <v>25508971.207164973</v>
      </c>
      <c r="H143" s="495">
        <f>H139-H140+H141-H142</f>
        <v>0</v>
      </c>
      <c r="I143" s="495">
        <f>I139-I140+I141-I142</f>
        <v>0</v>
      </c>
      <c r="J143" s="1365">
        <f>J139-J140+J141-J142</f>
        <v>25508971.207164973</v>
      </c>
      <c r="K143" s="24"/>
      <c r="L143" s="1757"/>
      <c r="M143" s="1758"/>
      <c r="N143" s="1758"/>
      <c r="O143" s="11"/>
    </row>
    <row r="144" spans="1:15" ht="15" customHeight="1" x14ac:dyDescent="0.25">
      <c r="A144" s="1348"/>
      <c r="B144" s="53" t="s">
        <v>435</v>
      </c>
      <c r="C144" s="48"/>
      <c r="D144" s="1860"/>
      <c r="E144" s="48"/>
      <c r="F144" s="48"/>
      <c r="G144" s="377"/>
      <c r="H144" s="337"/>
      <c r="I144" s="337"/>
      <c r="J144" s="1354"/>
      <c r="K144" s="24"/>
      <c r="L144" s="1757"/>
      <c r="M144" s="1758"/>
      <c r="N144" s="1758"/>
      <c r="O144" s="11"/>
    </row>
    <row r="145" spans="1:15" ht="15" hidden="1" customHeight="1" x14ac:dyDescent="0.25">
      <c r="A145" s="1348"/>
      <c r="B145" s="54" t="s">
        <v>374</v>
      </c>
      <c r="C145" s="184" t="s">
        <v>81</v>
      </c>
      <c r="D145" s="184">
        <v>244</v>
      </c>
      <c r="E145" s="184" t="s">
        <v>392</v>
      </c>
      <c r="F145" s="184"/>
      <c r="G145" s="1783"/>
      <c r="H145" s="1738">
        <f>VLOOKUP($E145,Ratio,2,FALSE)*$G145</f>
        <v>0</v>
      </c>
      <c r="I145" s="1738">
        <f>VLOOKUP($E145,Ratio,3,FALSE)*$G145</f>
        <v>0</v>
      </c>
      <c r="J145" s="1739">
        <f>VLOOKUP($E145,Ratio,4,FALSE)*$G145</f>
        <v>0</v>
      </c>
      <c r="K145" s="24"/>
      <c r="L145" s="1757"/>
      <c r="M145" s="1758"/>
      <c r="N145" s="1758"/>
      <c r="O145" s="11"/>
    </row>
    <row r="146" spans="1:15" ht="18" customHeight="1" x14ac:dyDescent="0.25">
      <c r="A146" s="1348"/>
      <c r="B146" s="54" t="s">
        <v>375</v>
      </c>
      <c r="C146" s="184" t="s">
        <v>81</v>
      </c>
      <c r="D146" s="184">
        <v>245</v>
      </c>
      <c r="E146" s="184" t="s">
        <v>392</v>
      </c>
      <c r="F146" s="184"/>
      <c r="G146" s="1756">
        <f>SUM('Sch 1- Rate Base  (OR)'!G146+'Sch 1- Rate Base  (WA)'!G146+'Sch 1- Rate Base  (ID)'!G146)</f>
        <v>0</v>
      </c>
      <c r="H146" s="1738">
        <f>VLOOKUP($E146,Ratio,2,FALSE)*$G146</f>
        <v>0</v>
      </c>
      <c r="I146" s="1738">
        <f>VLOOKUP($E146,Ratio,3,FALSE)*$G146</f>
        <v>0</v>
      </c>
      <c r="J146" s="1739">
        <f>VLOOKUP($E146,Ratio,4,FALSE)*$G146</f>
        <v>0</v>
      </c>
      <c r="K146" s="24"/>
      <c r="L146" s="1757"/>
      <c r="M146" s="1758"/>
      <c r="N146" s="1758"/>
      <c r="O146" s="11"/>
    </row>
    <row r="147" spans="1:15" ht="15" customHeight="1" x14ac:dyDescent="0.25">
      <c r="A147" s="1348"/>
      <c r="B147" s="54" t="s">
        <v>22</v>
      </c>
      <c r="C147" s="184" t="s">
        <v>81</v>
      </c>
      <c r="D147" s="184">
        <v>252</v>
      </c>
      <c r="E147" s="184" t="s">
        <v>392</v>
      </c>
      <c r="F147" s="184"/>
      <c r="G147" s="1756">
        <f>SUM('Sch 1- Rate Base  (OR)'!G147+'Sch 1- Rate Base  (WA)'!G147+'Sch 1- Rate Base  (ID)'!G147)</f>
        <v>140066801.77948469</v>
      </c>
      <c r="H147" s="1738">
        <f t="shared" ref="H147:H155" si="12">VLOOKUP($E147,Ratio,2,FALSE)*$G147</f>
        <v>0</v>
      </c>
      <c r="I147" s="1738">
        <f t="shared" ref="I147:I155" si="13">VLOOKUP($E147,Ratio,3,FALSE)*$G147</f>
        <v>0</v>
      </c>
      <c r="J147" s="1739">
        <f t="shared" ref="J147:J155" si="14">VLOOKUP($E147,Ratio,4,FALSE)*$G147</f>
        <v>140066801.77948469</v>
      </c>
      <c r="K147" s="24"/>
      <c r="L147" s="1757"/>
      <c r="M147" s="1758"/>
      <c r="N147" s="1758"/>
      <c r="O147" s="11"/>
    </row>
    <row r="148" spans="1:15" ht="15" customHeight="1" x14ac:dyDescent="0.25">
      <c r="A148" s="1348"/>
      <c r="B148" s="54" t="s">
        <v>25</v>
      </c>
      <c r="C148" s="184" t="s">
        <v>81</v>
      </c>
      <c r="D148" s="184">
        <v>253</v>
      </c>
      <c r="E148" s="184" t="s">
        <v>90</v>
      </c>
      <c r="F148" s="184" t="s">
        <v>392</v>
      </c>
      <c r="G148" s="1756">
        <f>SUM('Sch 1- Rate Base  (OR)'!G148+'Sch 1- Rate Base  (WA)'!G148+'Sch 1- Rate Base  (ID)'!G148)</f>
        <v>139827822.78011093</v>
      </c>
      <c r="H148" s="1738">
        <f>IF($E148="DIRECT",$L148,VLOOKUP($E148,Ratio,2,FALSE)*$G148)</f>
        <v>38305646.080497444</v>
      </c>
      <c r="I148" s="1738">
        <f>IF($E148="DIRECT",$M148,VLOOKUP($E148,Ratio,3,FALSE)*$G148)</f>
        <v>0</v>
      </c>
      <c r="J148" s="1739">
        <f>IF($E148="DIRECT",$N148,VLOOKUP($E148,Ratio,4,FALSE)*$G148)</f>
        <v>101522176.6996135</v>
      </c>
      <c r="K148" s="24"/>
      <c r="L148" s="1756">
        <f>SUM('Sch 1- Rate Base  (OR)'!L148+'Sch 1- Rate Base  (WA)'!L148+'Sch 1- Rate Base  (ID)'!L148)</f>
        <v>38305646.080497444</v>
      </c>
      <c r="M148" s="1756">
        <f>SUM('Sch 1- Rate Base  (OR)'!M148+'Sch 1- Rate Base  (WA)'!M148+'Sch 1- Rate Base  (ID)'!M148)</f>
        <v>0</v>
      </c>
      <c r="N148" s="1756">
        <f>SUM('Sch 1- Rate Base  (OR)'!N148+'Sch 1- Rate Base  (WA)'!N148+'Sch 1- Rate Base  (ID)'!N148)</f>
        <v>101522176.6996135</v>
      </c>
      <c r="O148" s="11"/>
    </row>
    <row r="149" spans="1:15" ht="15" customHeight="1" x14ac:dyDescent="0.25">
      <c r="A149" s="1348"/>
      <c r="B149" s="54" t="s">
        <v>26</v>
      </c>
      <c r="C149" s="184" t="s">
        <v>81</v>
      </c>
      <c r="D149" s="184">
        <v>254</v>
      </c>
      <c r="E149" s="184" t="s">
        <v>90</v>
      </c>
      <c r="F149" s="184" t="s">
        <v>392</v>
      </c>
      <c r="G149" s="1756">
        <f>SUM('Sch 1- Rate Base  (OR)'!G149+'Sch 1- Rate Base  (WA)'!G149+'Sch 1- Rate Base  (ID)'!G149)</f>
        <v>540639201.34976745</v>
      </c>
      <c r="H149" s="1738">
        <f>IF($E149="DIRECT",$L149,VLOOKUP($E149,Ratio,2,FALSE)*$G149)</f>
        <v>49323245.608887903</v>
      </c>
      <c r="I149" s="1738">
        <f>IF($E149="DIRECT",$M149,VLOOKUP($E149,Ratio,3,FALSE)*$G149)</f>
        <v>0</v>
      </c>
      <c r="J149" s="1739">
        <f>IF($E149="DIRECT",$N149,VLOOKUP($E149,Ratio,4,FALSE)*$G149)</f>
        <v>491315955.74087965</v>
      </c>
      <c r="K149" s="24"/>
      <c r="L149" s="1756">
        <f>SUM('Sch 1- Rate Base  (OR)'!L149+'Sch 1- Rate Base  (WA)'!L149+'Sch 1- Rate Base  (ID)'!L149)</f>
        <v>49323245.608887903</v>
      </c>
      <c r="M149" s="1756">
        <f>SUM('Sch 1- Rate Base  (OR)'!M149+'Sch 1- Rate Base  (WA)'!M149+'Sch 1- Rate Base  (ID)'!M149)</f>
        <v>0</v>
      </c>
      <c r="N149" s="1756">
        <f>SUM('Sch 1- Rate Base  (OR)'!N149+'Sch 1- Rate Base  (WA)'!N149+'Sch 1- Rate Base  (ID)'!N149)</f>
        <v>491315955.74087965</v>
      </c>
      <c r="O149" s="11"/>
    </row>
    <row r="150" spans="1:15" ht="15" customHeight="1" x14ac:dyDescent="0.25">
      <c r="A150" s="1348"/>
      <c r="B150" s="54" t="s">
        <v>23</v>
      </c>
      <c r="C150" s="184" t="s">
        <v>81</v>
      </c>
      <c r="D150" s="184">
        <v>255</v>
      </c>
      <c r="E150" s="184" t="s">
        <v>392</v>
      </c>
      <c r="F150" s="184"/>
      <c r="G150" s="1756">
        <f>SUM('Sch 1- Rate Base  (OR)'!G150+'Sch 1- Rate Base  (WA)'!G150+'Sch 1- Rate Base  (ID)'!G150)</f>
        <v>380033.94867876318</v>
      </c>
      <c r="H150" s="1738">
        <f t="shared" si="12"/>
        <v>0</v>
      </c>
      <c r="I150" s="1738">
        <f t="shared" si="13"/>
        <v>0</v>
      </c>
      <c r="J150" s="1739">
        <f t="shared" si="14"/>
        <v>380033.94867876318</v>
      </c>
      <c r="K150" s="24"/>
      <c r="L150" s="1764"/>
      <c r="M150" s="1755"/>
      <c r="N150" s="1755"/>
      <c r="O150" s="11"/>
    </row>
    <row r="151" spans="1:15" ht="15" customHeight="1" x14ac:dyDescent="0.25">
      <c r="A151" s="1348"/>
      <c r="B151" s="54" t="s">
        <v>24</v>
      </c>
      <c r="C151" s="184" t="s">
        <v>81</v>
      </c>
      <c r="D151" s="184">
        <v>256</v>
      </c>
      <c r="E151" s="184" t="s">
        <v>90</v>
      </c>
      <c r="F151" s="184"/>
      <c r="G151" s="1756">
        <f>SUM('Sch 1- Rate Base  (OR)'!G151+'Sch 1- Rate Base  (WA)'!G151+'Sch 1- Rate Base  (ID)'!G151)</f>
        <v>0</v>
      </c>
      <c r="H151" s="1738">
        <f>IF($E151="DIRECT",$L151,VLOOKUP($E151,Ratio,2,FALSE)*$G151)</f>
        <v>0</v>
      </c>
      <c r="I151" s="1738">
        <f>IF($E151="DIRECT",$M151,VLOOKUP($E151,Ratio,3,FALSE)*$G151)</f>
        <v>0</v>
      </c>
      <c r="J151" s="1739">
        <f>IF($E151="DIRECT",$N151,VLOOKUP($E151,Ratio,4,FALSE)*$G151)</f>
        <v>0</v>
      </c>
      <c r="K151" s="24"/>
      <c r="L151" s="1756">
        <f>SUM('Sch 1- Rate Base  (OR)'!L151+'Sch 1- Rate Base  (WA)'!L151+'Sch 1- Rate Base  (ID)'!L151)</f>
        <v>0</v>
      </c>
      <c r="M151" s="1756">
        <f>SUM('Sch 1- Rate Base  (OR)'!M151+'Sch 1- Rate Base  (WA)'!M151+'Sch 1- Rate Base  (ID)'!M151)</f>
        <v>0</v>
      </c>
      <c r="N151" s="1756">
        <f>SUM('Sch 1- Rate Base  (OR)'!N151+'Sch 1- Rate Base  (WA)'!N151+'Sch 1- Rate Base  (ID)'!N151)</f>
        <v>0</v>
      </c>
      <c r="O151" s="11"/>
    </row>
    <row r="152" spans="1:15" ht="15.75" customHeight="1" x14ac:dyDescent="0.25">
      <c r="A152" s="1348"/>
      <c r="B152" s="54" t="s">
        <v>27</v>
      </c>
      <c r="C152" s="184" t="s">
        <v>81</v>
      </c>
      <c r="D152" s="184">
        <v>257</v>
      </c>
      <c r="E152" s="184" t="s">
        <v>108</v>
      </c>
      <c r="F152" s="184"/>
      <c r="G152" s="1756">
        <f>SUM('Sch 1- Rate Base  (OR)'!G152+'Sch 1- Rate Base  (WA)'!G152+'Sch 1- Rate Base  (ID)'!G152)</f>
        <v>0</v>
      </c>
      <c r="H152" s="1738">
        <f t="shared" si="12"/>
        <v>0</v>
      </c>
      <c r="I152" s="1738">
        <f t="shared" si="13"/>
        <v>0</v>
      </c>
      <c r="J152" s="1739">
        <f t="shared" si="14"/>
        <v>0</v>
      </c>
      <c r="K152" s="24"/>
      <c r="L152" s="1757"/>
      <c r="M152" s="1758"/>
      <c r="N152" s="1758"/>
      <c r="O152" s="11"/>
    </row>
    <row r="153" spans="1:15" ht="15" customHeight="1" x14ac:dyDescent="0.25">
      <c r="A153" s="1348"/>
      <c r="B153" s="54" t="s">
        <v>31</v>
      </c>
      <c r="C153" s="184" t="s">
        <v>81</v>
      </c>
      <c r="D153" s="184">
        <v>281</v>
      </c>
      <c r="E153" s="184" t="s">
        <v>392</v>
      </c>
      <c r="F153" s="184"/>
      <c r="G153" s="1756">
        <f>SUM('Sch 1- Rate Base  (OR)'!G153+'Sch 1- Rate Base  (WA)'!G153+'Sch 1- Rate Base  (ID)'!G153)</f>
        <v>49345436.339833371</v>
      </c>
      <c r="H153" s="1738">
        <f t="shared" si="12"/>
        <v>0</v>
      </c>
      <c r="I153" s="1738">
        <f t="shared" si="13"/>
        <v>0</v>
      </c>
      <c r="J153" s="1739">
        <f t="shared" si="14"/>
        <v>49345436.339833371</v>
      </c>
      <c r="K153" s="24"/>
      <c r="L153" s="1757"/>
      <c r="M153" s="1758"/>
      <c r="N153" s="1758"/>
      <c r="O153" s="11"/>
    </row>
    <row r="154" spans="1:15" ht="15" customHeight="1" x14ac:dyDescent="0.25">
      <c r="A154" s="1348"/>
      <c r="B154" s="54" t="s">
        <v>32</v>
      </c>
      <c r="C154" s="184" t="s">
        <v>81</v>
      </c>
      <c r="D154" s="184">
        <v>282</v>
      </c>
      <c r="E154" s="184" t="s">
        <v>392</v>
      </c>
      <c r="F154" s="184"/>
      <c r="G154" s="1756">
        <f>SUM('Sch 1- Rate Base  (OR)'!G154+'Sch 1- Rate Base  (WA)'!G154+'Sch 1- Rate Base  (ID)'!G154)</f>
        <v>1235537678.297518</v>
      </c>
      <c r="H154" s="1738">
        <f t="shared" si="12"/>
        <v>0</v>
      </c>
      <c r="I154" s="1738">
        <f t="shared" si="13"/>
        <v>0</v>
      </c>
      <c r="J154" s="1739">
        <f t="shared" si="14"/>
        <v>1235537678.297518</v>
      </c>
      <c r="K154" s="24"/>
      <c r="L154" s="1757"/>
      <c r="M154" s="1758"/>
      <c r="N154" s="1758"/>
      <c r="O154" s="11"/>
    </row>
    <row r="155" spans="1:15" ht="15" customHeight="1" x14ac:dyDescent="0.25">
      <c r="A155" s="1348"/>
      <c r="B155" s="54" t="s">
        <v>33</v>
      </c>
      <c r="C155" s="184" t="s">
        <v>81</v>
      </c>
      <c r="D155" s="184">
        <v>283</v>
      </c>
      <c r="E155" s="184" t="s">
        <v>392</v>
      </c>
      <c r="F155" s="184"/>
      <c r="G155" s="1756">
        <f>SUM('Sch 1- Rate Base  (OR)'!G155+'Sch 1- Rate Base  (WA)'!G155+'Sch 1- Rate Base  (ID)'!G155)</f>
        <v>92165168.090324983</v>
      </c>
      <c r="H155" s="1738">
        <f t="shared" si="12"/>
        <v>0</v>
      </c>
      <c r="I155" s="1738">
        <f t="shared" si="13"/>
        <v>0</v>
      </c>
      <c r="J155" s="1739">
        <f t="shared" si="14"/>
        <v>92165168.090324983</v>
      </c>
      <c r="K155" s="24"/>
      <c r="L155" s="1757"/>
      <c r="M155" s="1758"/>
      <c r="N155" s="1758"/>
      <c r="O155" s="11"/>
    </row>
    <row r="156" spans="1:15" ht="15" customHeight="1" x14ac:dyDescent="0.25">
      <c r="A156" s="1348"/>
      <c r="B156" s="76" t="s">
        <v>104</v>
      </c>
      <c r="C156" s="1853"/>
      <c r="D156" s="1847"/>
      <c r="E156" s="1847"/>
      <c r="F156" s="1848"/>
      <c r="G156" s="1781">
        <f>SUM(G145:G155)</f>
        <v>2197962142.5857182</v>
      </c>
      <c r="H156" s="495">
        <f>SUM(H145:H155)</f>
        <v>87628891.689385355</v>
      </c>
      <c r="I156" s="495">
        <f>SUM(I145:I155)</f>
        <v>0</v>
      </c>
      <c r="J156" s="1365">
        <f>SUM(J145:J155)</f>
        <v>2110333250.8963327</v>
      </c>
      <c r="K156" s="24"/>
      <c r="L156" s="1757"/>
      <c r="M156" s="1758"/>
      <c r="N156" s="1758"/>
      <c r="O156" s="11"/>
    </row>
    <row r="157" spans="1:15" ht="15" customHeight="1" x14ac:dyDescent="0.25">
      <c r="A157" s="1348"/>
      <c r="B157" s="62"/>
      <c r="C157" s="34"/>
      <c r="D157" s="1861"/>
      <c r="E157" s="34"/>
      <c r="F157" s="34"/>
      <c r="G157" s="384"/>
      <c r="H157" s="385"/>
      <c r="I157" s="385"/>
      <c r="J157" s="1371"/>
      <c r="K157" s="24"/>
      <c r="L157" s="1757"/>
      <c r="M157" s="1758"/>
      <c r="N157" s="1758"/>
      <c r="O157" s="11"/>
    </row>
    <row r="158" spans="1:15" ht="15" customHeight="1" x14ac:dyDescent="0.25">
      <c r="A158" s="1350" t="s">
        <v>73</v>
      </c>
      <c r="B158" s="32"/>
      <c r="C158" s="1853"/>
      <c r="D158" s="1847"/>
      <c r="E158" s="1847"/>
      <c r="F158" s="1848"/>
      <c r="G158" s="1781">
        <f>+G156+G143</f>
        <v>2223471113.7928829</v>
      </c>
      <c r="H158" s="495">
        <f>+H156+H143</f>
        <v>87628891.689385355</v>
      </c>
      <c r="I158" s="495">
        <f>+I156+I143</f>
        <v>0</v>
      </c>
      <c r="J158" s="1365">
        <f>+J156+J143</f>
        <v>2135842222.1034977</v>
      </c>
      <c r="L158" s="1765"/>
      <c r="M158" s="1758"/>
      <c r="N158" s="1758"/>
      <c r="O158" s="11"/>
    </row>
    <row r="159" spans="1:15" ht="15" customHeight="1" x14ac:dyDescent="0.25">
      <c r="A159" s="1372"/>
      <c r="B159" s="32"/>
      <c r="C159" s="34"/>
      <c r="D159" s="34"/>
      <c r="E159" s="34"/>
      <c r="F159" s="34"/>
      <c r="G159" s="377"/>
      <c r="H159" s="142"/>
      <c r="I159" s="142"/>
      <c r="J159" s="1347"/>
      <c r="L159" s="1765"/>
      <c r="M159" s="1758"/>
      <c r="N159" s="1758"/>
      <c r="O159" s="11"/>
    </row>
    <row r="160" spans="1:15" ht="15" customHeight="1" x14ac:dyDescent="0.25">
      <c r="A160" s="1373"/>
      <c r="B160" s="62"/>
      <c r="C160" s="1861"/>
      <c r="D160" s="1861"/>
      <c r="E160" s="1815"/>
      <c r="F160" s="1815"/>
      <c r="G160" s="1782"/>
      <c r="H160" s="338"/>
      <c r="I160" s="338"/>
      <c r="J160" s="1374"/>
      <c r="L160" s="1755"/>
      <c r="M160" s="1755"/>
      <c r="N160" s="1755"/>
    </row>
    <row r="161" spans="1:15" ht="15" customHeight="1" x14ac:dyDescent="0.25">
      <c r="A161" s="1344" t="s">
        <v>478</v>
      </c>
      <c r="B161" s="32"/>
      <c r="C161" s="1862"/>
      <c r="D161" s="1863"/>
      <c r="E161" s="1863"/>
      <c r="F161" s="1864"/>
      <c r="G161" s="1792">
        <f>G79+G135-G158</f>
        <v>9927581496.6237545</v>
      </c>
      <c r="H161" s="499">
        <f>H79+H135-H158</f>
        <v>4058898843.3887949</v>
      </c>
      <c r="I161" s="499">
        <f>I79+I135-I158</f>
        <v>23892855.711776573</v>
      </c>
      <c r="J161" s="1375">
        <f>J79+J135-J158</f>
        <v>5843780386.2489052</v>
      </c>
      <c r="L161" s="1766"/>
      <c r="M161" s="1758"/>
      <c r="N161" s="1758"/>
      <c r="O161" s="11"/>
    </row>
    <row r="162" spans="1:15" ht="15" customHeight="1" x14ac:dyDescent="0.25">
      <c r="A162" s="1356" t="s">
        <v>83</v>
      </c>
      <c r="B162" s="32"/>
      <c r="C162" s="8"/>
      <c r="D162" s="8"/>
      <c r="E162" s="8"/>
      <c r="F162" s="8"/>
      <c r="G162" s="1793"/>
      <c r="H162" s="23"/>
      <c r="I162" s="30"/>
      <c r="J162" s="1376"/>
      <c r="K162" s="11"/>
      <c r="L162" s="1758"/>
      <c r="M162" s="1758"/>
      <c r="N162" s="1755"/>
    </row>
    <row r="163" spans="1:15" ht="15" customHeight="1" thickBot="1" x14ac:dyDescent="0.3">
      <c r="A163" s="1359"/>
      <c r="B163" s="173"/>
      <c r="C163" s="174"/>
      <c r="D163" s="174"/>
      <c r="E163" s="174"/>
      <c r="F163" s="174"/>
      <c r="G163" s="1794"/>
      <c r="H163" s="271"/>
      <c r="I163" s="272"/>
      <c r="J163" s="1377"/>
      <c r="K163" s="11"/>
      <c r="L163" s="1758"/>
      <c r="M163" s="1758"/>
      <c r="N163" s="1755"/>
    </row>
    <row r="164" spans="1:15" ht="15" customHeight="1" thickTop="1" x14ac:dyDescent="0.25">
      <c r="A164" s="1"/>
      <c r="B164" s="1"/>
      <c r="C164" s="1"/>
      <c r="D164" s="1"/>
      <c r="G164" s="1755"/>
      <c r="H164" s="1"/>
      <c r="I164" s="1"/>
      <c r="J164" s="1"/>
      <c r="K164" s="11"/>
      <c r="L164" s="1758"/>
      <c r="M164" s="1758"/>
      <c r="N164" s="1755"/>
    </row>
    <row r="165" spans="1:15" ht="15" customHeight="1" x14ac:dyDescent="0.25">
      <c r="A165" s="1"/>
      <c r="B165" s="1"/>
      <c r="C165" s="1"/>
      <c r="D165" s="1"/>
      <c r="G165" s="1755"/>
      <c r="H165" s="1"/>
      <c r="I165" s="1"/>
      <c r="J165" s="1"/>
      <c r="L165" s="1765"/>
      <c r="M165" s="1758"/>
      <c r="N165" s="1758"/>
      <c r="O165" s="11"/>
    </row>
    <row r="166" spans="1:15" ht="15" customHeight="1" x14ac:dyDescent="0.25">
      <c r="A166" s="1"/>
      <c r="B166" s="1"/>
      <c r="C166" s="1"/>
      <c r="D166" s="1"/>
      <c r="G166" s="1755"/>
      <c r="H166" s="1"/>
      <c r="I166" s="1"/>
      <c r="J166" s="1"/>
      <c r="L166" s="1765"/>
      <c r="M166" s="1758"/>
      <c r="N166" s="1758"/>
      <c r="O166" s="11"/>
    </row>
    <row r="167" spans="1:15" ht="15" customHeight="1" x14ac:dyDescent="0.25">
      <c r="A167" s="1"/>
      <c r="B167" s="1"/>
      <c r="C167" s="1"/>
      <c r="D167" s="1"/>
      <c r="G167" s="1755"/>
      <c r="H167" s="1"/>
      <c r="I167" s="1"/>
      <c r="J167" s="1"/>
      <c r="L167" s="1765"/>
      <c r="M167" s="1758"/>
      <c r="N167" s="1758"/>
      <c r="O167" s="11"/>
    </row>
    <row r="168" spans="1:15" ht="15" customHeight="1" x14ac:dyDescent="0.25">
      <c r="A168" s="1"/>
      <c r="B168" s="1"/>
      <c r="C168" s="1"/>
      <c r="D168" s="1"/>
      <c r="G168" s="1755"/>
      <c r="H168" s="1"/>
      <c r="I168" s="1"/>
      <c r="J168" s="1"/>
      <c r="L168" s="1765"/>
      <c r="M168" s="1758"/>
      <c r="N168" s="1758"/>
      <c r="O168" s="11"/>
    </row>
    <row r="169" spans="1:15" ht="15" customHeight="1" x14ac:dyDescent="0.25">
      <c r="A169" s="1"/>
      <c r="B169" s="1"/>
      <c r="C169" s="1"/>
      <c r="D169" s="1"/>
      <c r="G169" s="1755"/>
      <c r="H169" s="1"/>
      <c r="I169" s="1"/>
      <c r="J169" s="1"/>
      <c r="L169" s="1765"/>
      <c r="M169" s="1758"/>
      <c r="N169" s="1758"/>
      <c r="O169" s="11"/>
    </row>
    <row r="170" spans="1:15" ht="15" customHeight="1" x14ac:dyDescent="0.25">
      <c r="A170" s="1"/>
      <c r="B170" s="1"/>
      <c r="C170" s="1"/>
      <c r="D170" s="1"/>
      <c r="G170" s="1755"/>
      <c r="H170" s="1"/>
      <c r="I170" s="1"/>
      <c r="J170" s="1"/>
      <c r="L170" s="1765"/>
      <c r="M170" s="1758"/>
      <c r="N170" s="1758"/>
      <c r="O170" s="11"/>
    </row>
    <row r="171" spans="1:15" ht="15" customHeight="1" x14ac:dyDescent="0.25">
      <c r="A171" s="1"/>
      <c r="B171" s="1"/>
      <c r="C171" s="1"/>
      <c r="D171" s="1"/>
      <c r="G171" s="1755"/>
      <c r="H171" s="1"/>
      <c r="I171" s="1"/>
      <c r="J171" s="1"/>
      <c r="L171" s="1765"/>
      <c r="M171" s="1758"/>
      <c r="N171" s="1758"/>
      <c r="O171" s="11"/>
    </row>
    <row r="172" spans="1:15" ht="15" customHeight="1" x14ac:dyDescent="0.25">
      <c r="A172" s="1"/>
      <c r="B172" s="1"/>
      <c r="C172" s="1"/>
      <c r="D172" s="1"/>
      <c r="G172" s="1755"/>
      <c r="H172" s="1"/>
      <c r="I172" s="1"/>
      <c r="J172" s="1"/>
      <c r="L172" s="1765"/>
      <c r="M172" s="1758"/>
      <c r="N172" s="1758"/>
      <c r="O172" s="11"/>
    </row>
    <row r="173" spans="1:15" ht="15" customHeight="1" x14ac:dyDescent="0.25">
      <c r="A173" s="1"/>
      <c r="B173" s="1"/>
      <c r="C173" s="1"/>
      <c r="D173" s="1"/>
      <c r="G173" s="1755"/>
      <c r="H173" s="1"/>
      <c r="I173" s="1"/>
      <c r="J173" s="1"/>
      <c r="L173" s="1765"/>
      <c r="M173" s="1758"/>
      <c r="N173" s="1758"/>
      <c r="O173" s="11"/>
    </row>
    <row r="174" spans="1:15" ht="15" customHeight="1" x14ac:dyDescent="0.25">
      <c r="A174" s="1"/>
      <c r="B174" s="1"/>
      <c r="C174" s="1"/>
      <c r="D174" s="1"/>
      <c r="G174" s="1755"/>
      <c r="H174" s="1"/>
      <c r="I174" s="1"/>
      <c r="J174" s="1"/>
      <c r="L174" s="1765"/>
      <c r="M174" s="1758"/>
      <c r="N174" s="1758"/>
      <c r="O174" s="11"/>
    </row>
    <row r="175" spans="1:15" ht="15" customHeight="1" x14ac:dyDescent="0.25">
      <c r="A175" s="1"/>
      <c r="B175" s="1"/>
      <c r="C175" s="1"/>
      <c r="D175" s="1"/>
      <c r="G175" s="1755"/>
      <c r="H175" s="1"/>
      <c r="I175" s="1"/>
      <c r="J175" s="1"/>
      <c r="L175" s="1765"/>
      <c r="M175" s="1758"/>
      <c r="N175" s="1758"/>
      <c r="O175" s="11"/>
    </row>
    <row r="176" spans="1:15" ht="15" customHeight="1" x14ac:dyDescent="0.25">
      <c r="A176" s="1"/>
      <c r="B176" s="1"/>
      <c r="C176" s="1"/>
      <c r="D176" s="1"/>
      <c r="G176" s="1755"/>
      <c r="H176" s="1"/>
      <c r="I176" s="1"/>
      <c r="J176" s="1"/>
      <c r="L176" s="1765"/>
      <c r="M176" s="1758"/>
      <c r="N176" s="1758"/>
      <c r="O176" s="11"/>
    </row>
    <row r="177" spans="1:15" ht="15" customHeight="1" x14ac:dyDescent="0.25">
      <c r="A177" s="1"/>
      <c r="B177" s="1"/>
      <c r="C177" s="1"/>
      <c r="D177" s="1"/>
      <c r="G177" s="1755"/>
      <c r="H177" s="1"/>
      <c r="I177" s="1"/>
      <c r="J177" s="1"/>
      <c r="L177" s="1765"/>
      <c r="M177" s="1758"/>
      <c r="N177" s="1758"/>
      <c r="O177" s="11"/>
    </row>
    <row r="178" spans="1:15" ht="15" customHeight="1" x14ac:dyDescent="0.25">
      <c r="A178" s="1"/>
      <c r="B178" s="1"/>
      <c r="C178" s="1"/>
      <c r="D178" s="1"/>
      <c r="G178" s="1755"/>
      <c r="H178" s="1"/>
      <c r="I178" s="1"/>
      <c r="J178" s="1"/>
      <c r="L178" s="1765"/>
      <c r="M178" s="1758"/>
      <c r="N178" s="1758"/>
      <c r="O178" s="11"/>
    </row>
    <row r="179" spans="1:15" ht="15" customHeight="1" x14ac:dyDescent="0.25">
      <c r="A179" s="1"/>
      <c r="B179" s="1"/>
      <c r="C179" s="1"/>
      <c r="D179" s="1"/>
      <c r="G179" s="1755"/>
      <c r="H179" s="1"/>
      <c r="I179" s="1"/>
      <c r="J179" s="1"/>
      <c r="L179" s="1765"/>
      <c r="M179" s="1758"/>
      <c r="N179" s="1758"/>
      <c r="O179" s="11"/>
    </row>
    <row r="180" spans="1:15" ht="15" customHeight="1" x14ac:dyDescent="0.25">
      <c r="A180" s="1"/>
      <c r="B180" s="1"/>
      <c r="C180" s="1"/>
      <c r="D180" s="1"/>
      <c r="G180" s="1755"/>
      <c r="H180" s="1"/>
      <c r="I180" s="1"/>
      <c r="J180" s="1"/>
      <c r="L180" s="1765"/>
      <c r="M180" s="1758"/>
      <c r="N180" s="1758"/>
      <c r="O180" s="11"/>
    </row>
    <row r="181" spans="1:15" ht="15" customHeight="1" x14ac:dyDescent="0.25">
      <c r="A181" s="1"/>
      <c r="B181" s="1"/>
      <c r="C181" s="1"/>
      <c r="D181" s="1"/>
      <c r="G181" s="1755"/>
      <c r="H181" s="1"/>
      <c r="I181" s="1"/>
      <c r="J181" s="1"/>
      <c r="L181" s="1765"/>
      <c r="M181" s="1758"/>
      <c r="N181" s="1758"/>
      <c r="O181" s="11"/>
    </row>
    <row r="182" spans="1:15" ht="15" customHeight="1" x14ac:dyDescent="0.25">
      <c r="A182" s="1"/>
      <c r="B182" s="1"/>
      <c r="C182" s="1"/>
      <c r="D182" s="1"/>
      <c r="G182" s="1755"/>
      <c r="H182" s="1"/>
      <c r="I182" s="1"/>
      <c r="J182" s="1"/>
      <c r="L182" s="1765"/>
      <c r="M182" s="1758"/>
      <c r="N182" s="1758"/>
      <c r="O182" s="11"/>
    </row>
    <row r="183" spans="1:15" ht="15" customHeight="1" x14ac:dyDescent="0.25">
      <c r="A183" s="1"/>
      <c r="B183" s="1"/>
      <c r="C183" s="1"/>
      <c r="D183" s="1"/>
      <c r="G183" s="1755"/>
      <c r="H183" s="1"/>
      <c r="I183" s="1"/>
      <c r="J183" s="1"/>
      <c r="L183" s="1765"/>
      <c r="M183" s="1758"/>
      <c r="N183" s="1758"/>
      <c r="O183" s="11"/>
    </row>
    <row r="184" spans="1:15" ht="15" customHeight="1" x14ac:dyDescent="0.25">
      <c r="A184" s="1"/>
      <c r="B184" s="1"/>
      <c r="C184" s="1"/>
      <c r="D184" s="1"/>
      <c r="G184" s="1755"/>
      <c r="H184" s="1"/>
      <c r="I184" s="1"/>
      <c r="J184" s="1"/>
      <c r="L184" s="1765"/>
      <c r="M184" s="1758"/>
      <c r="N184" s="1758"/>
      <c r="O184" s="11"/>
    </row>
    <row r="185" spans="1:15" ht="15" customHeight="1" x14ac:dyDescent="0.25">
      <c r="A185" s="1"/>
      <c r="B185" s="1"/>
      <c r="C185" s="1"/>
      <c r="D185" s="1"/>
      <c r="G185" s="1755"/>
      <c r="H185" s="1"/>
      <c r="I185" s="1"/>
      <c r="J185" s="1"/>
      <c r="L185" s="1765"/>
      <c r="M185" s="1758"/>
      <c r="N185" s="1758"/>
      <c r="O185" s="11"/>
    </row>
    <row r="186" spans="1:15" ht="15" customHeight="1" x14ac:dyDescent="0.25">
      <c r="A186" s="1"/>
      <c r="B186" s="1"/>
      <c r="C186" s="1"/>
      <c r="D186" s="1"/>
      <c r="G186" s="1755"/>
      <c r="H186" s="1"/>
      <c r="I186" s="1"/>
      <c r="J186" s="1"/>
      <c r="L186" s="1767"/>
      <c r="M186" s="1758"/>
      <c r="N186" s="1758"/>
      <c r="O186" s="11"/>
    </row>
    <row r="187" spans="1:15" ht="15" customHeight="1" x14ac:dyDescent="0.25">
      <c r="A187" s="1"/>
      <c r="B187" s="1"/>
      <c r="C187" s="1"/>
      <c r="D187" s="1"/>
      <c r="G187" s="1755"/>
      <c r="H187" s="1"/>
      <c r="I187" s="1"/>
      <c r="J187" s="1"/>
      <c r="L187" s="1765"/>
      <c r="M187" s="1758"/>
      <c r="N187" s="1758"/>
      <c r="O187" s="11"/>
    </row>
    <row r="188" spans="1:15" ht="15" customHeight="1" x14ac:dyDescent="0.25">
      <c r="A188" s="1"/>
      <c r="B188" s="1"/>
      <c r="C188" s="1"/>
      <c r="D188" s="1"/>
      <c r="G188" s="1755"/>
      <c r="H188" s="1"/>
      <c r="I188" s="1"/>
      <c r="J188" s="1"/>
      <c r="L188" s="1765"/>
      <c r="M188" s="1758"/>
      <c r="N188" s="1758"/>
      <c r="O188" s="11"/>
    </row>
    <row r="189" spans="1:15" ht="15" customHeight="1" x14ac:dyDescent="0.25">
      <c r="A189" s="1"/>
      <c r="B189" s="1"/>
      <c r="C189" s="1"/>
      <c r="D189" s="1"/>
      <c r="G189" s="1755"/>
      <c r="H189" s="1"/>
      <c r="I189" s="1"/>
      <c r="J189" s="1"/>
      <c r="L189" s="1765"/>
      <c r="M189" s="1758"/>
      <c r="N189" s="1758"/>
      <c r="O189" s="11"/>
    </row>
    <row r="190" spans="1:15" ht="15" customHeight="1" x14ac:dyDescent="0.25">
      <c r="A190" s="1"/>
      <c r="B190" s="1"/>
      <c r="C190" s="1"/>
      <c r="D190" s="1"/>
      <c r="G190" s="1755"/>
      <c r="H190" s="1"/>
      <c r="I190" s="1"/>
      <c r="J190" s="1"/>
      <c r="L190" s="1765"/>
      <c r="M190" s="1758"/>
      <c r="N190" s="1758"/>
      <c r="O190" s="11"/>
    </row>
    <row r="191" spans="1:15" ht="15" customHeight="1" x14ac:dyDescent="0.25">
      <c r="A191" s="1"/>
      <c r="B191" s="1"/>
      <c r="C191" s="1"/>
      <c r="D191" s="1"/>
      <c r="G191" s="1755"/>
      <c r="H191" s="1"/>
      <c r="I191" s="1"/>
      <c r="J191" s="1"/>
      <c r="L191" s="1765"/>
      <c r="M191" s="1758"/>
      <c r="N191" s="1758"/>
      <c r="O191" s="11"/>
    </row>
    <row r="192" spans="1:15" ht="15" customHeight="1" x14ac:dyDescent="0.25">
      <c r="A192" s="1"/>
      <c r="B192" s="1"/>
      <c r="C192" s="1"/>
      <c r="D192" s="1"/>
      <c r="G192" s="1755"/>
      <c r="H192" s="1"/>
      <c r="I192" s="1"/>
      <c r="J192" s="1"/>
      <c r="L192" s="1765"/>
      <c r="M192" s="1758"/>
      <c r="N192" s="1758"/>
      <c r="O192" s="11"/>
    </row>
    <row r="193" spans="1:15" ht="15" customHeight="1" x14ac:dyDescent="0.25">
      <c r="A193" s="1"/>
      <c r="B193" s="1"/>
      <c r="C193" s="1"/>
      <c r="D193" s="1"/>
      <c r="G193" s="1755"/>
      <c r="H193" s="1"/>
      <c r="I193" s="1"/>
      <c r="J193" s="1"/>
      <c r="L193" s="1765"/>
      <c r="M193" s="1758"/>
      <c r="N193" s="1758"/>
      <c r="O193" s="11"/>
    </row>
    <row r="194" spans="1:15" ht="15" customHeight="1" x14ac:dyDescent="0.25">
      <c r="A194" s="1"/>
      <c r="B194" s="1"/>
      <c r="C194" s="1"/>
      <c r="D194" s="1"/>
      <c r="G194" s="1755"/>
      <c r="H194" s="1"/>
      <c r="I194" s="1"/>
      <c r="J194" s="1"/>
      <c r="L194" s="1765"/>
      <c r="M194" s="1758"/>
      <c r="N194" s="1758"/>
      <c r="O194" s="11"/>
    </row>
    <row r="195" spans="1:15" ht="15" customHeight="1" x14ac:dyDescent="0.25">
      <c r="A195" s="1"/>
      <c r="B195" s="1"/>
      <c r="C195" s="1"/>
      <c r="D195" s="1"/>
      <c r="G195" s="1755"/>
      <c r="H195" s="1"/>
      <c r="I195" s="1"/>
      <c r="J195" s="1"/>
      <c r="L195" s="1765"/>
      <c r="M195" s="1758"/>
      <c r="N195" s="1758"/>
      <c r="O195" s="11"/>
    </row>
    <row r="196" spans="1:15" ht="15" customHeight="1" x14ac:dyDescent="0.25">
      <c r="A196" s="1"/>
      <c r="B196" s="1"/>
      <c r="C196" s="1"/>
      <c r="D196" s="1"/>
      <c r="G196" s="1755"/>
      <c r="H196" s="1"/>
      <c r="I196" s="1"/>
      <c r="J196" s="1"/>
      <c r="L196" s="1765"/>
      <c r="M196" s="1758"/>
      <c r="N196" s="1758"/>
      <c r="O196" s="11"/>
    </row>
    <row r="197" spans="1:15" ht="15" customHeight="1" x14ac:dyDescent="0.25">
      <c r="A197" s="1"/>
      <c r="B197" s="1"/>
      <c r="C197" s="1"/>
      <c r="D197" s="1"/>
      <c r="G197" s="1755"/>
      <c r="H197" s="1"/>
      <c r="I197" s="1"/>
      <c r="J197" s="1"/>
      <c r="L197" s="1767"/>
      <c r="M197" s="1758"/>
      <c r="N197" s="1758"/>
      <c r="O197" s="11"/>
    </row>
    <row r="198" spans="1:15" ht="15" customHeight="1" x14ac:dyDescent="0.25">
      <c r="A198" s="1"/>
      <c r="B198" s="1"/>
      <c r="C198" s="1"/>
      <c r="D198" s="1"/>
      <c r="G198" s="1755"/>
      <c r="H198" s="1"/>
      <c r="I198" s="1"/>
      <c r="J198" s="1"/>
      <c r="L198" s="1765"/>
      <c r="M198" s="1758"/>
      <c r="N198" s="1758"/>
      <c r="O198" s="11"/>
    </row>
    <row r="199" spans="1:15" ht="15" customHeight="1" x14ac:dyDescent="0.25">
      <c r="A199" s="1"/>
      <c r="B199" s="1"/>
      <c r="C199" s="1"/>
      <c r="D199" s="1"/>
      <c r="G199" s="1755"/>
      <c r="H199" s="1"/>
      <c r="I199" s="1"/>
      <c r="J199" s="1"/>
      <c r="L199" s="1765"/>
      <c r="M199" s="1758"/>
      <c r="N199" s="1758"/>
      <c r="O199" s="11"/>
    </row>
    <row r="200" spans="1:15" ht="15" customHeight="1" x14ac:dyDescent="0.25">
      <c r="A200" s="1"/>
      <c r="B200" s="1"/>
      <c r="C200" s="1"/>
      <c r="D200" s="1"/>
      <c r="G200" s="1755"/>
      <c r="H200" s="1"/>
      <c r="I200" s="1"/>
      <c r="J200" s="1"/>
      <c r="L200" s="1765"/>
      <c r="M200" s="1758"/>
      <c r="N200" s="1758"/>
      <c r="O200" s="11"/>
    </row>
    <row r="201" spans="1:15" ht="15" customHeight="1" x14ac:dyDescent="0.25">
      <c r="A201" s="1"/>
      <c r="B201" s="1"/>
      <c r="C201" s="1"/>
      <c r="D201" s="1"/>
      <c r="G201" s="1755"/>
      <c r="H201" s="1"/>
      <c r="I201" s="1"/>
      <c r="J201" s="1"/>
      <c r="L201" s="1765"/>
      <c r="M201" s="1758"/>
      <c r="N201" s="1758"/>
      <c r="O201" s="11"/>
    </row>
    <row r="202" spans="1:15" ht="15" customHeight="1" x14ac:dyDescent="0.25">
      <c r="A202" s="1"/>
      <c r="B202" s="1"/>
      <c r="C202" s="1"/>
      <c r="D202" s="1"/>
      <c r="G202" s="1755"/>
      <c r="H202" s="1"/>
      <c r="I202" s="1"/>
      <c r="J202" s="1"/>
      <c r="L202" s="1765"/>
      <c r="M202" s="1758"/>
      <c r="N202" s="1758"/>
      <c r="O202" s="11"/>
    </row>
    <row r="203" spans="1:15" ht="15" customHeight="1" x14ac:dyDescent="0.25">
      <c r="A203" s="1"/>
      <c r="B203" s="1"/>
      <c r="C203" s="1"/>
      <c r="D203" s="1"/>
      <c r="G203" s="1755"/>
      <c r="H203" s="1"/>
      <c r="I203" s="1"/>
      <c r="J203" s="1"/>
      <c r="L203" s="1765"/>
      <c r="M203" s="1758"/>
      <c r="N203" s="1758"/>
      <c r="O203" s="11"/>
    </row>
    <row r="204" spans="1:15" ht="15" customHeight="1" x14ac:dyDescent="0.25">
      <c r="A204" s="1"/>
      <c r="B204" s="1"/>
      <c r="C204" s="1"/>
      <c r="D204" s="1"/>
      <c r="G204" s="1755"/>
      <c r="H204" s="1"/>
      <c r="I204" s="1"/>
      <c r="J204" s="1"/>
      <c r="L204" s="1767"/>
      <c r="M204" s="1758"/>
      <c r="N204" s="1758"/>
      <c r="O204" s="11"/>
    </row>
    <row r="205" spans="1:15" ht="15" customHeight="1" x14ac:dyDescent="0.25">
      <c r="A205" s="1"/>
      <c r="B205" s="1"/>
      <c r="C205" s="1"/>
      <c r="D205" s="1"/>
      <c r="G205" s="1755"/>
      <c r="H205" s="1"/>
      <c r="I205" s="1"/>
      <c r="J205" s="1"/>
      <c r="L205" s="1765"/>
      <c r="M205" s="1758"/>
      <c r="N205" s="1758"/>
      <c r="O205" s="11"/>
    </row>
    <row r="206" spans="1:15" ht="15" customHeight="1" x14ac:dyDescent="0.25">
      <c r="A206" s="1"/>
      <c r="B206" s="1"/>
      <c r="C206" s="1"/>
      <c r="D206" s="1"/>
      <c r="G206" s="1755"/>
      <c r="H206" s="1"/>
      <c r="I206" s="1"/>
      <c r="J206" s="1"/>
      <c r="L206" s="1765"/>
      <c r="M206" s="1758"/>
      <c r="N206" s="1758"/>
      <c r="O206" s="11"/>
    </row>
    <row r="207" spans="1:15" ht="15" customHeight="1" x14ac:dyDescent="0.25">
      <c r="A207" s="1"/>
      <c r="B207" s="1"/>
      <c r="C207" s="1"/>
      <c r="D207" s="1"/>
      <c r="G207" s="1755"/>
      <c r="H207" s="1"/>
      <c r="I207" s="1"/>
      <c r="J207" s="1"/>
      <c r="L207" s="1765"/>
      <c r="M207" s="1758"/>
      <c r="N207" s="1758"/>
      <c r="O207" s="11"/>
    </row>
    <row r="208" spans="1:15" ht="15" customHeight="1" x14ac:dyDescent="0.25">
      <c r="A208" s="1"/>
      <c r="B208" s="1"/>
      <c r="C208" s="1"/>
      <c r="D208" s="1"/>
      <c r="G208" s="1755"/>
      <c r="H208" s="1"/>
      <c r="I208" s="1"/>
      <c r="J208" s="1"/>
      <c r="L208" s="1765"/>
      <c r="M208" s="1758"/>
      <c r="N208" s="1758"/>
      <c r="O208" s="11"/>
    </row>
    <row r="209" spans="1:15" ht="15" customHeight="1" x14ac:dyDescent="0.25">
      <c r="A209" s="1"/>
      <c r="B209" s="1"/>
      <c r="C209" s="1"/>
      <c r="D209" s="1"/>
      <c r="G209" s="1755"/>
      <c r="H209" s="1"/>
      <c r="I209" s="1"/>
      <c r="J209" s="1"/>
      <c r="L209" s="1765"/>
      <c r="M209" s="1758"/>
      <c r="N209" s="1758"/>
      <c r="O209" s="11"/>
    </row>
    <row r="210" spans="1:15" ht="15" customHeight="1" x14ac:dyDescent="0.25">
      <c r="A210" s="1"/>
      <c r="B210" s="1"/>
      <c r="C210" s="1"/>
      <c r="D210" s="1"/>
      <c r="G210" s="1755"/>
      <c r="H210" s="1"/>
      <c r="I210" s="1"/>
      <c r="J210" s="1"/>
      <c r="L210" s="1765"/>
      <c r="M210" s="1758"/>
      <c r="N210" s="1758"/>
      <c r="O210" s="11"/>
    </row>
    <row r="211" spans="1:15" ht="15" customHeight="1" x14ac:dyDescent="0.25">
      <c r="A211" s="1"/>
      <c r="B211" s="1"/>
      <c r="C211" s="1"/>
      <c r="D211" s="1"/>
      <c r="G211" s="1755"/>
      <c r="H211" s="1"/>
      <c r="I211" s="1"/>
      <c r="J211" s="1"/>
      <c r="L211" s="1765"/>
      <c r="M211" s="1758"/>
      <c r="N211" s="1758"/>
      <c r="O211" s="11"/>
    </row>
    <row r="212" spans="1:15" ht="15" customHeight="1" x14ac:dyDescent="0.25">
      <c r="A212" s="1"/>
      <c r="B212" s="1"/>
      <c r="C212" s="1"/>
      <c r="D212" s="1"/>
      <c r="G212" s="1755"/>
      <c r="H212" s="1"/>
      <c r="I212" s="1"/>
      <c r="J212" s="1"/>
      <c r="L212" s="1765"/>
      <c r="M212" s="1758"/>
      <c r="N212" s="1758"/>
      <c r="O212" s="11"/>
    </row>
    <row r="213" spans="1:15" ht="15" customHeight="1" x14ac:dyDescent="0.25">
      <c r="A213" s="1"/>
      <c r="B213" s="1"/>
      <c r="C213" s="1"/>
      <c r="D213" s="1"/>
      <c r="G213" s="1755"/>
      <c r="H213" s="1"/>
      <c r="I213" s="1"/>
      <c r="J213" s="1"/>
      <c r="L213" s="1765"/>
      <c r="M213" s="1758"/>
      <c r="N213" s="1758"/>
      <c r="O213" s="11"/>
    </row>
    <row r="214" spans="1:15" ht="15" customHeight="1" x14ac:dyDescent="0.25">
      <c r="A214" s="1"/>
      <c r="B214" s="1"/>
      <c r="C214" s="1"/>
      <c r="D214" s="1"/>
      <c r="G214" s="1755"/>
      <c r="H214" s="1"/>
      <c r="I214" s="1"/>
      <c r="J214" s="1"/>
      <c r="L214" s="1765"/>
      <c r="M214" s="1758"/>
      <c r="N214" s="1758"/>
      <c r="O214" s="11"/>
    </row>
    <row r="215" spans="1:15" ht="15" customHeight="1" x14ac:dyDescent="0.25">
      <c r="A215" s="1"/>
      <c r="B215" s="1"/>
      <c r="C215" s="1"/>
      <c r="D215" s="1"/>
      <c r="G215" s="1755"/>
      <c r="H215" s="1"/>
      <c r="I215" s="1"/>
      <c r="J215" s="1"/>
      <c r="L215" s="1765"/>
      <c r="M215" s="1758"/>
      <c r="N215" s="1758"/>
      <c r="O215" s="11"/>
    </row>
    <row r="216" spans="1:15" ht="15" customHeight="1" x14ac:dyDescent="0.25">
      <c r="A216" s="1"/>
      <c r="B216" s="1"/>
      <c r="C216" s="1"/>
      <c r="D216" s="1"/>
      <c r="G216" s="1755"/>
      <c r="H216" s="1"/>
      <c r="I216" s="1"/>
      <c r="J216" s="1"/>
      <c r="L216" s="1765"/>
      <c r="M216" s="1758"/>
      <c r="N216" s="1758"/>
      <c r="O216" s="11"/>
    </row>
    <row r="217" spans="1:15" ht="15" customHeight="1" x14ac:dyDescent="0.25">
      <c r="A217" s="1"/>
      <c r="B217" s="1"/>
      <c r="C217" s="1"/>
      <c r="D217" s="1"/>
      <c r="G217" s="1755"/>
      <c r="H217" s="1"/>
      <c r="I217" s="1"/>
      <c r="J217" s="1"/>
      <c r="L217" s="1765"/>
      <c r="M217" s="1758"/>
      <c r="N217" s="1758"/>
      <c r="O217" s="11"/>
    </row>
    <row r="218" spans="1:15" ht="15" customHeight="1" x14ac:dyDescent="0.25">
      <c r="A218" s="1"/>
      <c r="B218" s="1"/>
      <c r="C218" s="1"/>
      <c r="D218" s="1"/>
      <c r="G218" s="1755"/>
      <c r="H218" s="1"/>
      <c r="I218" s="1"/>
      <c r="J218" s="1"/>
      <c r="L218" s="1765"/>
      <c r="M218" s="1758"/>
      <c r="N218" s="1758"/>
      <c r="O218" s="11"/>
    </row>
    <row r="219" spans="1:15" ht="15" customHeight="1" x14ac:dyDescent="0.25">
      <c r="A219" s="1"/>
      <c r="B219" s="1"/>
      <c r="C219" s="1"/>
      <c r="D219" s="1"/>
      <c r="G219" s="1755"/>
      <c r="H219" s="1"/>
      <c r="I219" s="1"/>
      <c r="J219" s="1"/>
      <c r="L219" s="1765"/>
      <c r="M219" s="1758"/>
      <c r="N219" s="1758"/>
      <c r="O219" s="11"/>
    </row>
    <row r="220" spans="1:15" ht="15" customHeight="1" x14ac:dyDescent="0.25">
      <c r="A220" s="1"/>
      <c r="B220" s="1"/>
      <c r="C220" s="1"/>
      <c r="D220" s="1"/>
      <c r="G220" s="1755"/>
      <c r="H220" s="1"/>
      <c r="I220" s="1"/>
      <c r="J220" s="1"/>
      <c r="L220" s="1765"/>
      <c r="M220" s="1758"/>
      <c r="N220" s="1758"/>
      <c r="O220" s="11"/>
    </row>
    <row r="221" spans="1:15" ht="15" customHeight="1" x14ac:dyDescent="0.25">
      <c r="A221" s="1"/>
      <c r="B221" s="1"/>
      <c r="C221" s="1"/>
      <c r="D221" s="1"/>
      <c r="G221" s="1755"/>
      <c r="H221" s="1"/>
      <c r="I221" s="1"/>
      <c r="J221" s="1"/>
      <c r="L221" s="1765"/>
      <c r="M221" s="1758"/>
      <c r="N221" s="1758"/>
      <c r="O221" s="11"/>
    </row>
    <row r="222" spans="1:15" ht="15" customHeight="1" x14ac:dyDescent="0.25">
      <c r="A222" s="1"/>
      <c r="B222" s="1"/>
      <c r="C222" s="1"/>
      <c r="D222" s="1"/>
      <c r="G222" s="1755"/>
      <c r="H222" s="1"/>
      <c r="I222" s="1"/>
      <c r="J222" s="1"/>
      <c r="L222" s="1765"/>
      <c r="M222" s="1758"/>
      <c r="N222" s="1758"/>
      <c r="O222" s="11"/>
    </row>
    <row r="223" spans="1:15" ht="15" customHeight="1" x14ac:dyDescent="0.25">
      <c r="A223" s="1"/>
      <c r="B223" s="1"/>
      <c r="C223" s="1"/>
      <c r="D223" s="1"/>
      <c r="G223" s="1755"/>
      <c r="H223" s="1"/>
      <c r="I223" s="1"/>
      <c r="J223" s="1"/>
      <c r="L223" s="1765"/>
      <c r="M223" s="1758"/>
      <c r="N223" s="1758"/>
      <c r="O223" s="11"/>
    </row>
    <row r="224" spans="1:15" ht="15" customHeight="1" x14ac:dyDescent="0.25">
      <c r="A224" s="1"/>
      <c r="B224" s="1"/>
      <c r="C224" s="1"/>
      <c r="D224" s="1"/>
      <c r="G224" s="1755"/>
      <c r="H224" s="1"/>
      <c r="I224" s="1"/>
      <c r="J224" s="1"/>
      <c r="L224" s="1765"/>
      <c r="M224" s="1758"/>
      <c r="N224" s="1758"/>
      <c r="O224" s="11"/>
    </row>
    <row r="225" spans="1:15" ht="15" customHeight="1" x14ac:dyDescent="0.25">
      <c r="A225" s="1"/>
      <c r="B225" s="1"/>
      <c r="C225" s="1"/>
      <c r="D225" s="1"/>
      <c r="G225" s="1755"/>
      <c r="H225" s="1"/>
      <c r="I225" s="1"/>
      <c r="J225" s="1"/>
      <c r="L225" s="1765"/>
      <c r="M225" s="1758"/>
      <c r="N225" s="1758"/>
      <c r="O225" s="11"/>
    </row>
    <row r="226" spans="1:15" ht="15" customHeight="1" x14ac:dyDescent="0.25">
      <c r="A226" s="1"/>
      <c r="B226" s="1"/>
      <c r="C226" s="1"/>
      <c r="D226" s="1"/>
      <c r="G226" s="1755"/>
      <c r="H226" s="1"/>
      <c r="I226" s="1"/>
      <c r="J226" s="1"/>
      <c r="L226" s="1765"/>
      <c r="M226" s="1758"/>
      <c r="N226" s="1758"/>
      <c r="O226" s="11"/>
    </row>
    <row r="227" spans="1:15" ht="15" customHeight="1" x14ac:dyDescent="0.25">
      <c r="A227" s="1"/>
      <c r="B227" s="1"/>
      <c r="C227" s="1"/>
      <c r="D227" s="1"/>
      <c r="G227" s="1755"/>
      <c r="H227" s="1"/>
      <c r="I227" s="1"/>
      <c r="J227" s="1"/>
      <c r="L227" s="1765"/>
      <c r="M227" s="1758"/>
      <c r="N227" s="1758"/>
      <c r="O227" s="11"/>
    </row>
    <row r="228" spans="1:15" ht="15" customHeight="1" x14ac:dyDescent="0.25">
      <c r="A228" s="1"/>
      <c r="B228" s="1"/>
      <c r="C228" s="1"/>
      <c r="D228" s="1"/>
      <c r="G228" s="1755"/>
      <c r="H228" s="1"/>
      <c r="I228" s="1"/>
      <c r="J228" s="1"/>
      <c r="L228" s="1765"/>
      <c r="M228" s="1758"/>
      <c r="N228" s="1758"/>
      <c r="O228" s="11"/>
    </row>
    <row r="229" spans="1:15" ht="15" customHeight="1" x14ac:dyDescent="0.25">
      <c r="A229" s="1"/>
      <c r="B229" s="1"/>
      <c r="C229" s="1"/>
      <c r="D229" s="1"/>
      <c r="G229" s="1755"/>
      <c r="H229" s="1"/>
      <c r="I229" s="1"/>
      <c r="J229" s="1"/>
      <c r="L229" s="1765"/>
      <c r="M229" s="1758"/>
      <c r="N229" s="1758"/>
      <c r="O229" s="11"/>
    </row>
    <row r="230" spans="1:15" ht="15" customHeight="1" x14ac:dyDescent="0.25">
      <c r="A230" s="1"/>
      <c r="B230" s="1"/>
      <c r="C230" s="1"/>
      <c r="D230" s="1"/>
      <c r="G230" s="1755"/>
      <c r="H230" s="1"/>
      <c r="I230" s="1"/>
      <c r="J230" s="1"/>
      <c r="L230" s="1765"/>
      <c r="M230" s="1758"/>
      <c r="N230" s="1758"/>
      <c r="O230" s="11"/>
    </row>
    <row r="231" spans="1:15" ht="15" customHeight="1" x14ac:dyDescent="0.25">
      <c r="A231" s="1"/>
      <c r="B231" s="1"/>
      <c r="C231" s="1"/>
      <c r="D231" s="1"/>
      <c r="G231" s="1755"/>
      <c r="H231" s="1"/>
      <c r="I231" s="1"/>
      <c r="J231" s="1"/>
      <c r="L231" s="1765"/>
      <c r="M231" s="1758"/>
      <c r="N231" s="1758"/>
      <c r="O231" s="11"/>
    </row>
    <row r="232" spans="1:15" ht="15" customHeight="1" x14ac:dyDescent="0.25">
      <c r="A232" s="1"/>
      <c r="B232" s="1"/>
      <c r="C232" s="1"/>
      <c r="D232" s="1"/>
      <c r="G232" s="1755"/>
      <c r="H232" s="1"/>
      <c r="I232" s="1"/>
      <c r="J232" s="1"/>
      <c r="L232" s="1765"/>
      <c r="M232" s="1758"/>
      <c r="N232" s="1758"/>
      <c r="O232" s="11"/>
    </row>
    <row r="233" spans="1:15" ht="15" customHeight="1" x14ac:dyDescent="0.25">
      <c r="A233" s="1"/>
      <c r="B233" s="1"/>
      <c r="C233" s="1"/>
      <c r="D233" s="1"/>
      <c r="G233" s="1755"/>
      <c r="H233" s="1"/>
      <c r="I233" s="1"/>
      <c r="J233" s="1"/>
      <c r="L233" s="1765"/>
      <c r="M233" s="1758"/>
      <c r="N233" s="1758"/>
      <c r="O233" s="11"/>
    </row>
    <row r="234" spans="1:15" ht="15" customHeight="1" x14ac:dyDescent="0.25">
      <c r="A234" s="1"/>
      <c r="B234" s="1"/>
      <c r="C234" s="1"/>
      <c r="D234" s="1"/>
      <c r="G234" s="1755"/>
      <c r="H234" s="1"/>
      <c r="I234" s="1"/>
      <c r="J234" s="1"/>
      <c r="L234" s="1765"/>
      <c r="M234" s="1758"/>
      <c r="N234" s="1758"/>
      <c r="O234" s="11"/>
    </row>
    <row r="235" spans="1:15" ht="15" customHeight="1" x14ac:dyDescent="0.25">
      <c r="A235" s="1"/>
      <c r="B235" s="1"/>
      <c r="C235" s="1"/>
      <c r="D235" s="1"/>
      <c r="G235" s="1755"/>
      <c r="H235" s="1"/>
      <c r="I235" s="1"/>
      <c r="J235" s="1"/>
      <c r="L235" s="1765"/>
      <c r="M235" s="1758"/>
      <c r="N235" s="1758"/>
      <c r="O235" s="11"/>
    </row>
    <row r="236" spans="1:15" ht="15" customHeight="1" x14ac:dyDescent="0.25">
      <c r="A236" s="1"/>
      <c r="B236" s="1"/>
      <c r="C236" s="1"/>
      <c r="D236" s="1"/>
      <c r="G236" s="1755"/>
      <c r="H236" s="1"/>
      <c r="I236" s="1"/>
      <c r="J236" s="1"/>
      <c r="L236" s="1765"/>
      <c r="M236" s="1758"/>
      <c r="N236" s="1758"/>
      <c r="O236" s="11"/>
    </row>
    <row r="237" spans="1:15" ht="15" customHeight="1" x14ac:dyDescent="0.25">
      <c r="A237" s="1"/>
      <c r="B237" s="1"/>
      <c r="C237" s="1"/>
      <c r="D237" s="1"/>
      <c r="G237" s="1755"/>
      <c r="H237" s="1"/>
      <c r="I237" s="1"/>
      <c r="J237" s="1"/>
      <c r="L237" s="1765"/>
      <c r="M237" s="1758"/>
      <c r="N237" s="1758"/>
      <c r="O237" s="11"/>
    </row>
    <row r="238" spans="1:15" ht="15" customHeight="1" x14ac:dyDescent="0.25">
      <c r="A238" s="1"/>
      <c r="B238" s="1"/>
      <c r="C238" s="1"/>
      <c r="D238" s="1"/>
      <c r="G238" s="1755"/>
      <c r="H238" s="1"/>
      <c r="I238" s="1"/>
      <c r="J238" s="1"/>
      <c r="L238" s="1765"/>
      <c r="M238" s="1758"/>
      <c r="N238" s="1758"/>
      <c r="O238" s="11"/>
    </row>
    <row r="239" spans="1:15" ht="15" customHeight="1" x14ac:dyDescent="0.25">
      <c r="A239" s="1"/>
      <c r="B239" s="1"/>
      <c r="C239" s="1"/>
      <c r="D239" s="1"/>
      <c r="G239" s="1755"/>
      <c r="H239" s="1"/>
      <c r="I239" s="1"/>
      <c r="J239" s="1"/>
      <c r="L239" s="1765"/>
      <c r="M239" s="1758"/>
      <c r="N239" s="1758"/>
      <c r="O239" s="11"/>
    </row>
    <row r="240" spans="1:15" ht="15" customHeight="1" x14ac:dyDescent="0.25">
      <c r="A240" s="1"/>
      <c r="B240" s="1"/>
      <c r="C240" s="1"/>
      <c r="D240" s="1"/>
      <c r="G240" s="1755"/>
      <c r="H240" s="1"/>
      <c r="I240" s="1"/>
      <c r="J240" s="1"/>
      <c r="L240" s="1765"/>
      <c r="M240" s="1758"/>
      <c r="N240" s="1758"/>
      <c r="O240" s="11"/>
    </row>
    <row r="241" spans="1:15" ht="15" customHeight="1" x14ac:dyDescent="0.25">
      <c r="A241" s="1"/>
      <c r="B241" s="1"/>
      <c r="C241" s="1"/>
      <c r="D241" s="1"/>
      <c r="G241" s="1755"/>
      <c r="H241" s="1"/>
      <c r="I241" s="1"/>
      <c r="J241" s="1"/>
      <c r="L241" s="1765"/>
      <c r="M241" s="1758"/>
      <c r="N241" s="1758"/>
      <c r="O241" s="11"/>
    </row>
    <row r="242" spans="1:15" ht="15" customHeight="1" x14ac:dyDescent="0.25">
      <c r="A242" s="1"/>
      <c r="B242" s="1"/>
      <c r="C242" s="1"/>
      <c r="D242" s="1"/>
      <c r="G242" s="1755"/>
      <c r="H242" s="1"/>
      <c r="I242" s="1"/>
      <c r="J242" s="1"/>
      <c r="L242" s="1765"/>
      <c r="M242" s="1758"/>
      <c r="N242" s="1758"/>
      <c r="O242" s="11"/>
    </row>
    <row r="243" spans="1:15" ht="15" customHeight="1" x14ac:dyDescent="0.25">
      <c r="A243" s="1"/>
      <c r="B243" s="1"/>
      <c r="C243" s="1"/>
      <c r="D243" s="1"/>
      <c r="G243" s="1755"/>
      <c r="H243" s="1"/>
      <c r="I243" s="1"/>
      <c r="J243" s="1"/>
      <c r="L243" s="1765"/>
      <c r="M243" s="1758"/>
      <c r="N243" s="1758"/>
      <c r="O243" s="11"/>
    </row>
    <row r="244" spans="1:15" ht="15" customHeight="1" x14ac:dyDescent="0.25">
      <c r="A244" s="1"/>
      <c r="B244" s="1"/>
      <c r="C244" s="1"/>
      <c r="D244" s="1"/>
      <c r="G244" s="1755"/>
      <c r="H244" s="1"/>
      <c r="I244" s="1"/>
      <c r="J244" s="1"/>
      <c r="L244" s="1765"/>
      <c r="M244" s="1758"/>
      <c r="N244" s="1758"/>
      <c r="O244" s="11"/>
    </row>
    <row r="245" spans="1:15" ht="15" customHeight="1" x14ac:dyDescent="0.25">
      <c r="A245" s="1"/>
      <c r="B245" s="1"/>
      <c r="C245" s="1"/>
      <c r="D245" s="1"/>
      <c r="G245" s="1755"/>
      <c r="H245" s="1"/>
      <c r="I245" s="1"/>
      <c r="J245" s="1"/>
      <c r="L245" s="1765"/>
      <c r="M245" s="1758"/>
      <c r="N245" s="1758"/>
      <c r="O245" s="11"/>
    </row>
    <row r="246" spans="1:15" ht="15" customHeight="1" x14ac:dyDescent="0.25">
      <c r="A246" s="1"/>
      <c r="B246" s="1"/>
      <c r="C246" s="1"/>
      <c r="D246" s="1"/>
      <c r="G246" s="1755"/>
      <c r="H246" s="1"/>
      <c r="I246" s="1"/>
      <c r="J246" s="1"/>
      <c r="L246" s="1765"/>
      <c r="M246" s="1758"/>
      <c r="N246" s="1758"/>
      <c r="O246" s="11"/>
    </row>
    <row r="247" spans="1:15" ht="15" customHeight="1" x14ac:dyDescent="0.25">
      <c r="A247" s="1"/>
      <c r="B247" s="1"/>
      <c r="C247" s="1"/>
      <c r="D247" s="1"/>
      <c r="G247" s="1755"/>
      <c r="H247" s="1"/>
      <c r="I247" s="1"/>
      <c r="J247" s="1"/>
      <c r="L247" s="1765"/>
      <c r="M247" s="1758"/>
      <c r="N247" s="1758"/>
      <c r="O247" s="11"/>
    </row>
    <row r="248" spans="1:15" ht="15" customHeight="1" x14ac:dyDescent="0.25">
      <c r="A248" s="1"/>
      <c r="B248" s="1"/>
      <c r="C248" s="1"/>
      <c r="D248" s="1"/>
      <c r="G248" s="1755"/>
      <c r="H248" s="1"/>
      <c r="I248" s="1"/>
      <c r="J248" s="1"/>
      <c r="L248" s="1765"/>
      <c r="M248" s="1758"/>
      <c r="N248" s="1758"/>
      <c r="O248" s="11"/>
    </row>
    <row r="249" spans="1:15" ht="15" customHeight="1" x14ac:dyDescent="0.25">
      <c r="A249" s="1"/>
      <c r="B249" s="1"/>
      <c r="C249" s="1"/>
      <c r="D249" s="1"/>
      <c r="G249" s="1755"/>
      <c r="H249" s="1"/>
      <c r="I249" s="1"/>
      <c r="J249" s="1"/>
      <c r="L249" s="1768"/>
      <c r="M249" s="1758"/>
      <c r="N249" s="1758"/>
      <c r="O249" s="11"/>
    </row>
    <row r="250" spans="1:15" ht="15" customHeight="1" x14ac:dyDescent="0.25">
      <c r="A250" s="1"/>
      <c r="B250" s="1"/>
      <c r="C250" s="1"/>
      <c r="D250" s="1"/>
      <c r="G250" s="1755"/>
      <c r="H250" s="1"/>
      <c r="I250" s="1"/>
      <c r="J250" s="1"/>
      <c r="L250" s="1768"/>
      <c r="M250" s="1758"/>
      <c r="N250" s="1758"/>
      <c r="O250" s="11"/>
    </row>
    <row r="251" spans="1:15" ht="15" customHeight="1" x14ac:dyDescent="0.25">
      <c r="A251" s="1"/>
      <c r="B251" s="1"/>
      <c r="C251" s="1"/>
      <c r="D251" s="1"/>
      <c r="G251" s="1755"/>
      <c r="H251" s="1"/>
      <c r="I251" s="1"/>
      <c r="J251" s="1"/>
      <c r="L251" s="1769"/>
      <c r="M251" s="1758"/>
      <c r="N251" s="1758"/>
      <c r="O251" s="11"/>
    </row>
    <row r="252" spans="1:15" ht="15" customHeight="1" x14ac:dyDescent="0.25">
      <c r="A252" s="1"/>
      <c r="B252" s="1"/>
      <c r="C252" s="1"/>
      <c r="D252" s="1"/>
      <c r="G252" s="1755"/>
      <c r="H252" s="1"/>
      <c r="I252" s="1"/>
      <c r="J252" s="1"/>
      <c r="L252" s="1768"/>
      <c r="M252" s="1758"/>
      <c r="N252" s="1758"/>
      <c r="O252" s="11"/>
    </row>
    <row r="253" spans="1:15" ht="15" customHeight="1" x14ac:dyDescent="0.25">
      <c r="A253" s="1"/>
      <c r="B253" s="1"/>
      <c r="C253" s="1"/>
      <c r="D253" s="1"/>
      <c r="G253" s="1755"/>
      <c r="H253" s="1"/>
      <c r="I253" s="1"/>
      <c r="J253" s="1"/>
      <c r="L253" s="1768"/>
      <c r="M253" s="1758"/>
      <c r="N253" s="1758"/>
      <c r="O253" s="11"/>
    </row>
    <row r="254" spans="1:15" ht="15" customHeight="1" x14ac:dyDescent="0.25">
      <c r="A254" s="1"/>
      <c r="B254" s="1"/>
      <c r="C254" s="1"/>
      <c r="D254" s="1"/>
      <c r="G254" s="1755"/>
      <c r="H254" s="1"/>
      <c r="I254" s="1"/>
      <c r="J254" s="1"/>
      <c r="L254" s="1768"/>
      <c r="M254" s="1758"/>
      <c r="N254" s="1758"/>
      <c r="O254" s="11"/>
    </row>
    <row r="255" spans="1:15" ht="15" customHeight="1" x14ac:dyDescent="0.25">
      <c r="A255" s="1"/>
      <c r="B255" s="1"/>
      <c r="C255" s="1"/>
      <c r="D255" s="1"/>
      <c r="G255" s="1755"/>
      <c r="H255" s="1"/>
      <c r="I255" s="1"/>
      <c r="J255" s="1"/>
      <c r="L255" s="1768"/>
      <c r="M255" s="1758"/>
      <c r="N255" s="1758"/>
      <c r="O255" s="11"/>
    </row>
    <row r="256" spans="1:15" ht="15" customHeight="1" x14ac:dyDescent="0.25">
      <c r="A256" s="1"/>
      <c r="B256" s="1"/>
      <c r="C256" s="1"/>
      <c r="D256" s="1"/>
      <c r="G256" s="1755"/>
      <c r="H256" s="1"/>
      <c r="I256" s="1"/>
      <c r="J256" s="1"/>
      <c r="L256" s="1768"/>
      <c r="M256" s="1758"/>
      <c r="N256" s="1758"/>
      <c r="O256" s="11"/>
    </row>
    <row r="257" spans="1:19" ht="15" customHeight="1" x14ac:dyDescent="0.25">
      <c r="A257" s="1"/>
      <c r="B257" s="1"/>
      <c r="C257" s="1"/>
      <c r="D257" s="1"/>
      <c r="G257" s="1755"/>
      <c r="H257" s="1"/>
      <c r="I257" s="1"/>
      <c r="J257" s="1"/>
      <c r="L257" s="1768"/>
      <c r="M257" s="1758"/>
      <c r="N257" s="1758"/>
      <c r="O257" s="11"/>
    </row>
    <row r="258" spans="1:19" ht="15" customHeight="1" x14ac:dyDescent="0.25">
      <c r="A258" s="1"/>
      <c r="B258" s="1"/>
      <c r="C258" s="1"/>
      <c r="D258" s="1"/>
      <c r="G258" s="1755"/>
      <c r="H258" s="1"/>
      <c r="I258" s="1"/>
      <c r="J258" s="1"/>
      <c r="L258" s="1768"/>
      <c r="M258" s="1758"/>
      <c r="N258" s="1758"/>
      <c r="O258" s="11"/>
    </row>
    <row r="259" spans="1:19" ht="15" customHeight="1" x14ac:dyDescent="0.25">
      <c r="A259" s="1"/>
      <c r="B259" s="1"/>
      <c r="C259" s="1"/>
      <c r="D259" s="1"/>
      <c r="G259" s="1755"/>
      <c r="H259" s="1"/>
      <c r="I259" s="1"/>
      <c r="J259" s="1"/>
      <c r="K259" s="24"/>
      <c r="L259" s="1757"/>
      <c r="M259" s="1758"/>
      <c r="N259" s="1758"/>
      <c r="O259" s="11"/>
    </row>
    <row r="260" spans="1:19" ht="15" customHeight="1" x14ac:dyDescent="0.25">
      <c r="A260" s="1"/>
      <c r="B260" s="1"/>
      <c r="C260" s="1"/>
      <c r="D260" s="1"/>
      <c r="G260" s="1755"/>
      <c r="H260" s="1"/>
      <c r="I260" s="1"/>
      <c r="J260" s="1"/>
      <c r="K260" s="24"/>
      <c r="L260" s="1757"/>
      <c r="M260" s="1758"/>
      <c r="N260" s="1758"/>
      <c r="O260" s="11"/>
    </row>
    <row r="261" spans="1:19" ht="15" customHeight="1" x14ac:dyDescent="0.25">
      <c r="A261" s="1"/>
      <c r="B261" s="1"/>
      <c r="C261" s="1"/>
      <c r="D261" s="1"/>
      <c r="G261" s="1755"/>
      <c r="H261" s="1"/>
      <c r="I261" s="1"/>
      <c r="J261" s="1"/>
      <c r="K261" s="24"/>
      <c r="L261" s="1757"/>
      <c r="M261" s="1758"/>
      <c r="N261" s="1758"/>
      <c r="O261" s="11"/>
    </row>
    <row r="262" spans="1:19" ht="15" customHeight="1" x14ac:dyDescent="0.25">
      <c r="A262" s="1"/>
      <c r="B262" s="1"/>
      <c r="C262" s="1"/>
      <c r="D262" s="1"/>
      <c r="G262" s="1755"/>
      <c r="H262" s="1"/>
      <c r="I262" s="1"/>
      <c r="J262" s="1"/>
      <c r="L262" s="1765"/>
      <c r="M262" s="1758"/>
      <c r="N262" s="1758"/>
      <c r="O262" s="11"/>
    </row>
    <row r="263" spans="1:19" ht="15" customHeight="1" x14ac:dyDescent="0.25">
      <c r="A263" s="1"/>
      <c r="B263" s="1"/>
      <c r="C263" s="1"/>
      <c r="D263" s="1"/>
      <c r="G263" s="1755"/>
      <c r="H263" s="1"/>
      <c r="I263" s="1"/>
      <c r="J263" s="1"/>
      <c r="L263" s="1765"/>
      <c r="M263" s="1758"/>
      <c r="N263" s="1758"/>
      <c r="O263" s="11"/>
    </row>
    <row r="264" spans="1:19" ht="15" customHeight="1" x14ac:dyDescent="0.25">
      <c r="A264" s="1"/>
      <c r="B264" s="1"/>
      <c r="C264" s="1"/>
      <c r="D264" s="1"/>
      <c r="G264" s="1755"/>
      <c r="H264" s="1"/>
      <c r="I264" s="1"/>
      <c r="J264" s="1"/>
      <c r="L264" s="1770"/>
      <c r="M264" s="1758"/>
      <c r="N264" s="1758"/>
      <c r="O264" s="11"/>
    </row>
    <row r="265" spans="1:19" ht="15" customHeight="1" x14ac:dyDescent="0.25">
      <c r="A265" s="1"/>
      <c r="B265" s="1"/>
      <c r="C265" s="1"/>
      <c r="D265" s="1"/>
      <c r="G265" s="1755"/>
      <c r="H265" s="1"/>
      <c r="I265" s="1"/>
      <c r="J265" s="1"/>
      <c r="L265" s="1770"/>
      <c r="M265" s="1758"/>
      <c r="N265" s="1758"/>
      <c r="O265" s="11"/>
    </row>
    <row r="266" spans="1:19" ht="15" customHeight="1" x14ac:dyDescent="0.25">
      <c r="A266" s="1"/>
      <c r="B266" s="1"/>
      <c r="C266" s="1"/>
      <c r="D266" s="1"/>
      <c r="G266" s="1755"/>
      <c r="H266" s="1"/>
      <c r="I266" s="1"/>
      <c r="J266" s="1"/>
      <c r="K266" s="24"/>
      <c r="L266" s="1757"/>
      <c r="M266" s="1758"/>
      <c r="N266" s="1758"/>
      <c r="O266" s="11"/>
    </row>
    <row r="267" spans="1:19" ht="15" customHeight="1" x14ac:dyDescent="0.25">
      <c r="A267" s="1"/>
      <c r="B267" s="1"/>
      <c r="C267" s="1"/>
      <c r="D267" s="1"/>
      <c r="G267" s="1755"/>
      <c r="H267" s="1"/>
      <c r="I267" s="1"/>
      <c r="J267" s="1"/>
      <c r="L267" s="1771"/>
      <c r="M267" s="1758"/>
      <c r="N267" s="1758"/>
      <c r="O267" s="11"/>
    </row>
    <row r="268" spans="1:19" ht="15" customHeight="1" x14ac:dyDescent="0.25">
      <c r="A268" s="1"/>
      <c r="B268" s="1"/>
      <c r="C268" s="1"/>
      <c r="D268" s="1"/>
      <c r="G268" s="1755"/>
      <c r="H268" s="1"/>
      <c r="I268" s="1"/>
      <c r="J268" s="1"/>
      <c r="K268" s="24"/>
      <c r="L268" s="1762"/>
      <c r="M268" s="1762"/>
      <c r="N268" s="1762"/>
      <c r="O268"/>
      <c r="P268"/>
      <c r="Q268"/>
      <c r="R268"/>
      <c r="S268"/>
    </row>
    <row r="269" spans="1:19" ht="15" customHeight="1" x14ac:dyDescent="0.25">
      <c r="A269" s="1"/>
      <c r="B269" s="1"/>
      <c r="C269" s="1"/>
      <c r="D269" s="1"/>
      <c r="G269" s="1755"/>
      <c r="H269" s="1"/>
      <c r="I269" s="1"/>
      <c r="J269" s="1"/>
      <c r="K269" s="24"/>
      <c r="L269" s="1762"/>
      <c r="M269" s="1762"/>
      <c r="N269" s="1762"/>
      <c r="O269"/>
      <c r="P269"/>
      <c r="Q269"/>
      <c r="R269"/>
      <c r="S269"/>
    </row>
    <row r="270" spans="1:19" ht="15" customHeight="1" x14ac:dyDescent="0.25">
      <c r="A270" s="1"/>
      <c r="B270" s="1"/>
      <c r="C270" s="1"/>
      <c r="D270" s="1"/>
      <c r="G270" s="1755"/>
      <c r="H270" s="1"/>
      <c r="I270" s="1"/>
      <c r="J270" s="1"/>
      <c r="K270" s="24"/>
      <c r="L270" s="1762"/>
      <c r="M270" s="1762"/>
      <c r="N270" s="1762"/>
      <c r="O270"/>
      <c r="P270"/>
      <c r="Q270"/>
      <c r="R270"/>
      <c r="S270"/>
    </row>
    <row r="271" spans="1:19" ht="15" customHeight="1" x14ac:dyDescent="0.25">
      <c r="A271" s="1"/>
      <c r="B271" s="1"/>
      <c r="C271" s="1"/>
      <c r="D271" s="1"/>
      <c r="G271" s="1755"/>
      <c r="H271" s="1"/>
      <c r="I271" s="1"/>
      <c r="J271" s="1"/>
      <c r="K271" s="24"/>
      <c r="L271" s="1762"/>
      <c r="M271" s="1762"/>
      <c r="N271" s="1762"/>
      <c r="O271"/>
      <c r="P271"/>
      <c r="Q271"/>
      <c r="R271"/>
      <c r="S271"/>
    </row>
    <row r="272" spans="1:19" ht="15" customHeight="1" x14ac:dyDescent="0.25">
      <c r="A272" s="1"/>
      <c r="B272" s="1"/>
      <c r="C272" s="1"/>
      <c r="D272" s="1"/>
      <c r="G272" s="1755"/>
      <c r="H272" s="1"/>
      <c r="I272" s="1"/>
      <c r="J272" s="1"/>
      <c r="K272" s="24"/>
      <c r="L272" s="1762"/>
      <c r="M272" s="1762"/>
      <c r="N272" s="1762"/>
      <c r="O272"/>
      <c r="P272"/>
      <c r="Q272"/>
      <c r="R272"/>
      <c r="S272"/>
    </row>
    <row r="273" spans="1:19" ht="15" customHeight="1" x14ac:dyDescent="0.25">
      <c r="A273" s="1"/>
      <c r="B273" s="1"/>
      <c r="C273" s="1"/>
      <c r="D273" s="1"/>
      <c r="G273" s="1755"/>
      <c r="H273" s="1"/>
      <c r="I273" s="1"/>
      <c r="J273" s="1"/>
      <c r="K273" s="40"/>
      <c r="L273" s="1762"/>
      <c r="M273" s="1762"/>
      <c r="N273" s="1762"/>
      <c r="O273"/>
      <c r="P273"/>
      <c r="Q273"/>
      <c r="R273"/>
      <c r="S273"/>
    </row>
    <row r="274" spans="1:19" ht="15" customHeight="1" x14ac:dyDescent="0.25">
      <c r="A274" s="1"/>
      <c r="B274" s="1"/>
      <c r="C274" s="1"/>
      <c r="D274" s="1"/>
      <c r="G274" s="1755"/>
      <c r="H274" s="1"/>
      <c r="I274" s="1"/>
      <c r="J274" s="1"/>
      <c r="K274" s="40"/>
      <c r="L274" s="1762"/>
      <c r="M274" s="1762"/>
      <c r="N274" s="1762"/>
      <c r="O274"/>
      <c r="P274"/>
      <c r="Q274"/>
      <c r="R274"/>
      <c r="S274"/>
    </row>
    <row r="275" spans="1:19" ht="15" customHeight="1" x14ac:dyDescent="0.25">
      <c r="A275" s="1"/>
      <c r="B275" s="1"/>
      <c r="C275" s="1"/>
      <c r="D275" s="1"/>
      <c r="G275" s="1755"/>
      <c r="H275" s="1"/>
      <c r="I275" s="1"/>
      <c r="J275" s="1"/>
      <c r="K275" s="40"/>
      <c r="L275" s="1765"/>
      <c r="M275" s="1758"/>
      <c r="N275" s="1758"/>
      <c r="O275" s="11"/>
    </row>
    <row r="276" spans="1:19" ht="15" customHeight="1" x14ac:dyDescent="0.25">
      <c r="A276" s="1"/>
      <c r="B276" s="1"/>
      <c r="C276" s="1"/>
      <c r="D276" s="1"/>
      <c r="G276" s="1755"/>
      <c r="H276" s="1"/>
      <c r="I276" s="1"/>
      <c r="J276" s="1"/>
      <c r="K276" s="40"/>
      <c r="L276" s="1765"/>
      <c r="M276" s="1758"/>
      <c r="N276" s="1758"/>
      <c r="O276" s="11"/>
    </row>
    <row r="277" spans="1:19" ht="15" customHeight="1" x14ac:dyDescent="0.25">
      <c r="A277" s="1"/>
      <c r="B277" s="1"/>
      <c r="C277" s="1"/>
      <c r="D277" s="1"/>
      <c r="G277" s="1755"/>
      <c r="H277" s="1"/>
      <c r="I277" s="1"/>
      <c r="J277" s="1"/>
      <c r="K277" s="24"/>
      <c r="L277" s="1757"/>
      <c r="M277" s="1758"/>
      <c r="N277" s="1758"/>
      <c r="O277" s="11"/>
    </row>
    <row r="278" spans="1:19" s="38" customFormat="1" ht="15" customHeight="1" x14ac:dyDescent="0.25">
      <c r="A278" s="1"/>
      <c r="B278" s="1"/>
      <c r="C278" s="1"/>
      <c r="D278" s="1"/>
      <c r="E278" s="1"/>
      <c r="F278" s="1"/>
      <c r="G278" s="1755"/>
      <c r="H278" s="1"/>
      <c r="I278" s="1"/>
      <c r="J278" s="1"/>
      <c r="K278" s="24"/>
      <c r="L278" s="1757"/>
      <c r="M278" s="1772"/>
      <c r="N278" s="1772"/>
      <c r="O278" s="29"/>
    </row>
    <row r="279" spans="1:19" ht="15" customHeight="1" x14ac:dyDescent="0.25">
      <c r="A279" s="1"/>
      <c r="B279" s="1"/>
      <c r="C279" s="1"/>
      <c r="D279" s="1"/>
      <c r="G279" s="1755"/>
      <c r="H279" s="1"/>
      <c r="I279" s="1"/>
      <c r="J279" s="1"/>
      <c r="K279" s="24"/>
      <c r="L279" s="1757"/>
      <c r="M279" s="1758"/>
      <c r="N279" s="1758"/>
      <c r="O279" s="11"/>
    </row>
    <row r="280" spans="1:19" ht="15" customHeight="1" x14ac:dyDescent="0.25">
      <c r="A280" s="1"/>
      <c r="B280" s="1"/>
      <c r="C280" s="1"/>
      <c r="D280" s="1"/>
      <c r="G280" s="1755"/>
      <c r="H280" s="1"/>
      <c r="I280" s="1"/>
      <c r="J280" s="1"/>
      <c r="K280" s="24"/>
      <c r="L280" s="1757"/>
      <c r="M280" s="1758"/>
      <c r="N280" s="1758"/>
      <c r="O280" s="11"/>
    </row>
    <row r="281" spans="1:19" ht="15" customHeight="1" x14ac:dyDescent="0.25">
      <c r="A281" s="1"/>
      <c r="B281" s="1"/>
      <c r="C281" s="1"/>
      <c r="D281" s="1"/>
      <c r="G281" s="1755"/>
      <c r="H281" s="1"/>
      <c r="I281" s="1"/>
      <c r="J281" s="1"/>
      <c r="K281" s="24"/>
      <c r="L281" s="1757"/>
      <c r="M281" s="1758"/>
      <c r="N281" s="1758"/>
      <c r="O281" s="11"/>
    </row>
    <row r="282" spans="1:19" ht="15" customHeight="1" x14ac:dyDescent="0.25">
      <c r="A282" s="1"/>
      <c r="B282" s="1"/>
      <c r="C282" s="1"/>
      <c r="D282" s="1"/>
      <c r="G282" s="1755"/>
      <c r="H282" s="1"/>
      <c r="I282" s="1"/>
      <c r="J282" s="1"/>
      <c r="K282" s="24"/>
      <c r="L282" s="1757"/>
      <c r="M282" s="1758"/>
      <c r="N282" s="1758"/>
      <c r="O282" s="11"/>
    </row>
    <row r="283" spans="1:19" ht="15" customHeight="1" x14ac:dyDescent="0.25">
      <c r="A283" s="1"/>
      <c r="B283" s="1"/>
      <c r="C283" s="1"/>
      <c r="D283" s="1"/>
      <c r="G283" s="1755"/>
      <c r="H283" s="1"/>
      <c r="I283" s="1"/>
      <c r="J283" s="1"/>
      <c r="K283" s="42"/>
      <c r="L283" s="1773"/>
      <c r="M283" s="1758"/>
      <c r="N283" s="1758"/>
      <c r="O283" s="11"/>
    </row>
    <row r="284" spans="1:19" ht="15" customHeight="1" x14ac:dyDescent="0.25">
      <c r="A284" s="1"/>
      <c r="B284" s="1"/>
      <c r="C284" s="1"/>
      <c r="D284" s="1"/>
      <c r="G284" s="1755"/>
      <c r="H284" s="1"/>
      <c r="I284" s="1"/>
      <c r="J284" s="1"/>
      <c r="K284" s="42"/>
      <c r="L284" s="1773"/>
      <c r="M284" s="1758"/>
      <c r="N284" s="1758"/>
      <c r="O284" s="11"/>
    </row>
    <row r="285" spans="1:19" ht="15" customHeight="1" x14ac:dyDescent="0.25">
      <c r="A285" s="1"/>
      <c r="B285" s="1"/>
      <c r="C285" s="1"/>
      <c r="D285" s="1"/>
      <c r="G285" s="1755"/>
      <c r="H285" s="1"/>
      <c r="I285" s="1"/>
      <c r="J285" s="1"/>
      <c r="K285" s="42"/>
      <c r="L285" s="1773"/>
      <c r="M285" s="1758"/>
      <c r="N285" s="1758"/>
      <c r="O285" s="11"/>
    </row>
    <row r="286" spans="1:19" ht="15" customHeight="1" x14ac:dyDescent="0.25">
      <c r="A286" s="1"/>
      <c r="B286" s="1"/>
      <c r="C286" s="1"/>
      <c r="D286" s="1"/>
      <c r="G286" s="1755"/>
      <c r="H286" s="1"/>
      <c r="I286" s="1"/>
      <c r="J286" s="1"/>
      <c r="K286" s="42"/>
      <c r="L286" s="1773"/>
      <c r="M286" s="1758"/>
      <c r="N286" s="1758"/>
      <c r="O286" s="11"/>
    </row>
    <row r="287" spans="1:19" ht="15" customHeight="1" x14ac:dyDescent="0.25">
      <c r="A287" s="1"/>
      <c r="B287" s="1"/>
      <c r="C287" s="1"/>
      <c r="D287" s="1"/>
      <c r="G287" s="1755"/>
      <c r="H287" s="1"/>
      <c r="I287" s="1"/>
      <c r="J287" s="1"/>
      <c r="K287" s="42"/>
      <c r="L287" s="1773"/>
      <c r="M287" s="1758"/>
      <c r="N287" s="1758"/>
      <c r="O287" s="11"/>
    </row>
    <row r="288" spans="1:19" ht="15" customHeight="1" x14ac:dyDescent="0.25">
      <c r="A288" s="1"/>
      <c r="B288" s="1"/>
      <c r="C288" s="1"/>
      <c r="D288" s="1"/>
      <c r="G288" s="1755"/>
      <c r="H288" s="1"/>
      <c r="I288" s="1"/>
      <c r="J288" s="1"/>
      <c r="K288" s="42"/>
      <c r="L288" s="1773"/>
      <c r="M288" s="1758"/>
      <c r="N288" s="1758"/>
      <c r="O288" s="11"/>
    </row>
    <row r="289" spans="1:15" ht="15" customHeight="1" x14ac:dyDescent="0.25">
      <c r="A289" s="1"/>
      <c r="B289" s="1"/>
      <c r="C289" s="1"/>
      <c r="D289" s="1"/>
      <c r="G289" s="1755"/>
      <c r="H289" s="1"/>
      <c r="I289" s="1"/>
      <c r="J289" s="1"/>
      <c r="K289" s="20"/>
      <c r="L289" s="1754"/>
      <c r="M289" s="1758"/>
      <c r="N289" s="1758"/>
      <c r="O289" s="11"/>
    </row>
    <row r="290" spans="1:15" ht="15" customHeight="1" x14ac:dyDescent="0.25">
      <c r="A290" s="1"/>
      <c r="B290" s="1"/>
      <c r="C290" s="1"/>
      <c r="D290" s="1"/>
      <c r="G290" s="1755"/>
      <c r="H290" s="1"/>
      <c r="I290" s="1"/>
      <c r="J290" s="1"/>
      <c r="K290" s="20"/>
      <c r="L290" s="1754"/>
      <c r="M290" s="1758"/>
      <c r="N290" s="1758"/>
      <c r="O290" s="11"/>
    </row>
    <row r="291" spans="1:15" ht="15" customHeight="1" x14ac:dyDescent="0.25">
      <c r="A291" s="1"/>
      <c r="B291" s="1"/>
      <c r="C291" s="1"/>
      <c r="D291" s="1"/>
      <c r="G291" s="1755"/>
      <c r="H291" s="1"/>
      <c r="I291" s="1"/>
      <c r="J291" s="1"/>
      <c r="K291" s="20"/>
      <c r="L291" s="1754"/>
      <c r="M291" s="1758"/>
      <c r="N291" s="1758"/>
      <c r="O291" s="11"/>
    </row>
    <row r="292" spans="1:15" ht="15" customHeight="1" x14ac:dyDescent="0.25">
      <c r="A292" s="1"/>
      <c r="B292" s="1"/>
      <c r="C292" s="1"/>
      <c r="D292" s="1"/>
      <c r="G292" s="1755"/>
      <c r="H292" s="1"/>
      <c r="I292" s="1"/>
      <c r="J292" s="1"/>
      <c r="K292" s="20"/>
      <c r="L292" s="1754"/>
      <c r="M292" s="1758"/>
      <c r="N292" s="1758"/>
      <c r="O292" s="11"/>
    </row>
    <row r="293" spans="1:15" ht="15" customHeight="1" x14ac:dyDescent="0.25">
      <c r="A293" s="1"/>
      <c r="B293" s="1"/>
      <c r="C293" s="1"/>
      <c r="D293" s="1"/>
      <c r="G293" s="1755"/>
      <c r="H293" s="1"/>
      <c r="I293" s="1"/>
      <c r="J293" s="1"/>
      <c r="K293" s="20"/>
      <c r="L293" s="1754"/>
      <c r="M293" s="1758"/>
      <c r="N293" s="1758"/>
      <c r="O293" s="11"/>
    </row>
    <row r="294" spans="1:15" ht="15" customHeight="1" x14ac:dyDescent="0.25">
      <c r="A294" s="1"/>
      <c r="B294" s="1"/>
      <c r="C294" s="1"/>
      <c r="D294" s="1"/>
      <c r="G294" s="1755"/>
      <c r="H294" s="1"/>
      <c r="I294" s="1"/>
      <c r="J294" s="1"/>
      <c r="K294" s="20"/>
      <c r="L294" s="1754"/>
      <c r="M294" s="1758"/>
      <c r="N294" s="1758"/>
      <c r="O294" s="11"/>
    </row>
    <row r="295" spans="1:15" ht="15" customHeight="1" x14ac:dyDescent="0.25">
      <c r="A295" s="1"/>
      <c r="B295" s="1"/>
      <c r="C295" s="1"/>
      <c r="D295" s="1"/>
      <c r="G295" s="1755"/>
      <c r="H295" s="1"/>
      <c r="I295" s="1"/>
      <c r="J295" s="1"/>
      <c r="K295" s="20"/>
      <c r="L295" s="1754"/>
      <c r="M295" s="1758"/>
      <c r="N295" s="1758"/>
      <c r="O295" s="11"/>
    </row>
    <row r="296" spans="1:15" ht="15" customHeight="1" x14ac:dyDescent="0.25">
      <c r="A296" s="1"/>
      <c r="B296" s="1"/>
      <c r="C296" s="1"/>
      <c r="D296" s="1"/>
      <c r="G296" s="1755"/>
      <c r="H296" s="1"/>
      <c r="I296" s="1"/>
      <c r="J296" s="1"/>
      <c r="K296" s="20"/>
      <c r="L296" s="1754"/>
      <c r="M296" s="1758"/>
      <c r="N296" s="1758"/>
      <c r="O296" s="11"/>
    </row>
    <row r="297" spans="1:15" ht="15" customHeight="1" x14ac:dyDescent="0.25">
      <c r="A297" s="1"/>
      <c r="B297" s="1"/>
      <c r="C297" s="1"/>
      <c r="D297" s="1"/>
      <c r="G297" s="1755"/>
      <c r="H297" s="1"/>
      <c r="I297" s="1"/>
      <c r="J297" s="1"/>
      <c r="K297" s="20"/>
      <c r="L297" s="1754"/>
      <c r="M297" s="1758"/>
      <c r="N297" s="1758"/>
      <c r="O297" s="11"/>
    </row>
    <row r="298" spans="1:15" ht="15" customHeight="1" x14ac:dyDescent="0.25">
      <c r="A298" s="1"/>
      <c r="B298" s="1"/>
      <c r="C298" s="1"/>
      <c r="D298" s="1"/>
      <c r="G298" s="1755"/>
      <c r="H298" s="1"/>
      <c r="I298" s="1"/>
      <c r="J298" s="1"/>
      <c r="K298" s="20"/>
      <c r="L298" s="1754"/>
      <c r="M298" s="1758"/>
      <c r="N298" s="1758"/>
      <c r="O298" s="11"/>
    </row>
    <row r="299" spans="1:15" ht="15" customHeight="1" x14ac:dyDescent="0.25">
      <c r="A299" s="1"/>
      <c r="B299" s="1"/>
      <c r="C299" s="1"/>
      <c r="D299" s="1"/>
      <c r="G299" s="1755"/>
      <c r="H299" s="1"/>
      <c r="I299" s="1"/>
      <c r="J299" s="1"/>
      <c r="K299" s="20"/>
      <c r="L299" s="1754"/>
      <c r="M299" s="1758"/>
      <c r="N299" s="1758"/>
      <c r="O299" s="11"/>
    </row>
    <row r="300" spans="1:15" ht="15" customHeight="1" x14ac:dyDescent="0.25">
      <c r="A300" s="1"/>
      <c r="B300" s="1"/>
      <c r="C300" s="1"/>
      <c r="D300" s="1"/>
      <c r="G300" s="1755"/>
      <c r="H300" s="1"/>
      <c r="I300" s="1"/>
      <c r="J300" s="1"/>
      <c r="K300" s="20"/>
      <c r="L300" s="1754"/>
      <c r="M300" s="1758"/>
      <c r="N300" s="1758"/>
      <c r="O300" s="11"/>
    </row>
    <row r="301" spans="1:15" ht="15" customHeight="1" x14ac:dyDescent="0.25">
      <c r="A301" s="1"/>
      <c r="B301" s="1"/>
      <c r="C301" s="1"/>
      <c r="D301" s="1"/>
      <c r="G301" s="1755"/>
      <c r="H301" s="1"/>
      <c r="I301" s="1"/>
      <c r="J301" s="1"/>
      <c r="K301" s="20"/>
      <c r="L301" s="1754"/>
      <c r="M301" s="1758"/>
      <c r="N301" s="1758"/>
      <c r="O301" s="11"/>
    </row>
    <row r="302" spans="1:15" ht="15" customHeight="1" x14ac:dyDescent="0.25">
      <c r="A302" s="1"/>
      <c r="B302" s="1"/>
      <c r="C302" s="1"/>
      <c r="D302" s="1"/>
      <c r="G302" s="1755"/>
      <c r="H302" s="1"/>
      <c r="I302" s="1"/>
      <c r="J302" s="1"/>
      <c r="K302" s="20"/>
      <c r="L302" s="1754"/>
      <c r="M302" s="1758"/>
      <c r="N302" s="1758"/>
      <c r="O302" s="11"/>
    </row>
    <row r="303" spans="1:15" ht="15" customHeight="1" x14ac:dyDescent="0.25">
      <c r="A303" s="1"/>
      <c r="B303" s="1"/>
      <c r="C303" s="1"/>
      <c r="D303" s="1"/>
      <c r="G303" s="1755"/>
      <c r="H303" s="1"/>
      <c r="I303" s="1"/>
      <c r="J303" s="1"/>
      <c r="K303" s="20"/>
      <c r="L303" s="1754"/>
      <c r="M303" s="1758"/>
      <c r="N303" s="1758"/>
      <c r="O303" s="11"/>
    </row>
    <row r="304" spans="1:15" ht="15" customHeight="1" x14ac:dyDescent="0.25">
      <c r="A304" s="1"/>
      <c r="B304" s="1"/>
      <c r="C304" s="1"/>
      <c r="D304" s="1"/>
      <c r="G304" s="1755"/>
      <c r="H304" s="1"/>
      <c r="I304" s="1"/>
      <c r="J304" s="1"/>
      <c r="K304" s="20"/>
      <c r="L304" s="1754"/>
      <c r="M304" s="1758"/>
      <c r="N304" s="1758"/>
      <c r="O304" s="11"/>
    </row>
    <row r="305" spans="1:15" ht="15" customHeight="1" x14ac:dyDescent="0.25">
      <c r="A305" s="1"/>
      <c r="B305" s="1"/>
      <c r="C305" s="1"/>
      <c r="D305" s="1"/>
      <c r="G305" s="1755"/>
      <c r="H305" s="1"/>
      <c r="I305" s="1"/>
      <c r="J305" s="1"/>
      <c r="K305" s="20"/>
      <c r="L305" s="1754"/>
      <c r="M305" s="1758"/>
      <c r="N305" s="1758"/>
      <c r="O305" s="11"/>
    </row>
    <row r="306" spans="1:15" ht="15" customHeight="1" x14ac:dyDescent="0.25">
      <c r="A306" s="1"/>
      <c r="B306" s="1"/>
      <c r="C306" s="1"/>
      <c r="D306" s="1"/>
      <c r="G306" s="1755"/>
      <c r="H306" s="1"/>
      <c r="I306" s="1"/>
      <c r="J306" s="1"/>
      <c r="K306" s="20"/>
      <c r="L306" s="1754"/>
      <c r="M306" s="1758"/>
      <c r="N306" s="1758"/>
      <c r="O306" s="11"/>
    </row>
    <row r="307" spans="1:15" ht="15" customHeight="1" x14ac:dyDescent="0.25">
      <c r="A307" s="1"/>
      <c r="B307" s="1"/>
      <c r="C307" s="1"/>
      <c r="D307" s="1"/>
      <c r="G307" s="1755"/>
      <c r="H307" s="1"/>
      <c r="I307" s="1"/>
      <c r="J307" s="1"/>
      <c r="K307" s="20"/>
      <c r="L307" s="1754"/>
      <c r="M307" s="1758"/>
      <c r="N307" s="1758"/>
      <c r="O307" s="11"/>
    </row>
    <row r="308" spans="1:15" ht="15" customHeight="1" x14ac:dyDescent="0.25">
      <c r="A308" s="1"/>
      <c r="B308" s="1"/>
      <c r="C308" s="1"/>
      <c r="D308" s="1"/>
      <c r="G308" s="1755"/>
      <c r="H308" s="1"/>
      <c r="I308" s="1"/>
      <c r="J308" s="1"/>
      <c r="L308" s="1755"/>
      <c r="M308" s="1758"/>
      <c r="N308" s="1758"/>
      <c r="O308" s="11"/>
    </row>
    <row r="309" spans="1:15" ht="15" customHeight="1" x14ac:dyDescent="0.25">
      <c r="A309" s="1"/>
      <c r="B309" s="1"/>
      <c r="C309" s="1"/>
      <c r="D309" s="1"/>
      <c r="G309" s="1755"/>
      <c r="H309" s="1"/>
      <c r="I309" s="1"/>
      <c r="J309" s="1"/>
      <c r="L309" s="1755"/>
      <c r="M309" s="1758"/>
      <c r="N309" s="1758"/>
      <c r="O309" s="11"/>
    </row>
    <row r="310" spans="1:15" ht="15" customHeight="1" x14ac:dyDescent="0.25">
      <c r="A310" s="1"/>
      <c r="B310" s="1"/>
      <c r="C310" s="1"/>
      <c r="D310" s="1"/>
      <c r="G310" s="1755"/>
      <c r="H310" s="1"/>
      <c r="I310" s="1"/>
      <c r="J310" s="1"/>
      <c r="L310" s="1755"/>
      <c r="M310" s="1758"/>
      <c r="N310" s="1758"/>
      <c r="O310" s="11"/>
    </row>
    <row r="311" spans="1:15" ht="15" customHeight="1" x14ac:dyDescent="0.25">
      <c r="A311" s="1"/>
      <c r="B311" s="1"/>
      <c r="C311" s="1"/>
      <c r="D311" s="1"/>
      <c r="G311" s="1755"/>
      <c r="H311" s="1"/>
      <c r="I311" s="1"/>
      <c r="J311" s="1"/>
      <c r="K311" s="20"/>
      <c r="L311" s="1774"/>
      <c r="M311" s="1758"/>
      <c r="N311" s="1758"/>
      <c r="O311" s="11"/>
    </row>
    <row r="312" spans="1:15" ht="15" customHeight="1" x14ac:dyDescent="0.25">
      <c r="A312" s="1"/>
      <c r="B312" s="1"/>
      <c r="C312" s="1"/>
      <c r="D312" s="1"/>
      <c r="G312" s="1755"/>
      <c r="H312" s="1"/>
      <c r="I312" s="1"/>
      <c r="J312" s="1"/>
      <c r="K312" s="20"/>
      <c r="L312" s="1774"/>
      <c r="M312" s="1758"/>
      <c r="N312" s="1758"/>
      <c r="O312" s="11"/>
    </row>
    <row r="313" spans="1:15" ht="15" customHeight="1" x14ac:dyDescent="0.25">
      <c r="A313" s="1"/>
      <c r="B313" s="1"/>
      <c r="C313" s="1"/>
      <c r="D313" s="1"/>
      <c r="G313" s="1755"/>
      <c r="H313" s="1"/>
      <c r="I313" s="1"/>
      <c r="J313" s="1"/>
      <c r="K313" s="20"/>
      <c r="L313" s="1774"/>
      <c r="M313" s="1758"/>
      <c r="N313" s="1758"/>
      <c r="O313" s="11"/>
    </row>
    <row r="314" spans="1:15" ht="15" customHeight="1" x14ac:dyDescent="0.25">
      <c r="A314" s="1"/>
      <c r="B314" s="1"/>
      <c r="C314" s="1"/>
      <c r="D314" s="1"/>
      <c r="G314" s="1755"/>
      <c r="H314" s="1"/>
      <c r="I314" s="1"/>
      <c r="J314" s="1"/>
      <c r="K314" s="20"/>
      <c r="L314" s="1774"/>
      <c r="M314" s="1758"/>
      <c r="N314" s="1758"/>
      <c r="O314" s="11"/>
    </row>
    <row r="315" spans="1:15" ht="15" customHeight="1" x14ac:dyDescent="0.25">
      <c r="A315" s="1"/>
      <c r="B315" s="1"/>
      <c r="C315" s="1"/>
      <c r="D315" s="1"/>
      <c r="G315" s="1755"/>
      <c r="H315" s="1"/>
      <c r="I315" s="1"/>
      <c r="J315" s="1"/>
      <c r="K315" s="24"/>
      <c r="L315" s="1757"/>
      <c r="M315" s="1758"/>
      <c r="N315" s="1758"/>
      <c r="O315" s="11"/>
    </row>
    <row r="316" spans="1:15" ht="15" customHeight="1" x14ac:dyDescent="0.25">
      <c r="A316" s="1"/>
      <c r="B316" s="1"/>
      <c r="C316" s="1"/>
      <c r="D316" s="1"/>
      <c r="G316" s="1755"/>
      <c r="H316" s="1"/>
      <c r="I316" s="1"/>
      <c r="J316" s="1"/>
      <c r="K316" s="24"/>
      <c r="L316" s="1757"/>
      <c r="M316" s="1758"/>
      <c r="N316" s="1758"/>
      <c r="O316" s="11"/>
    </row>
    <row r="317" spans="1:15" ht="15" customHeight="1" x14ac:dyDescent="0.25">
      <c r="A317" s="1"/>
      <c r="B317" s="1"/>
      <c r="C317" s="1"/>
      <c r="D317" s="1"/>
      <c r="G317" s="1755"/>
      <c r="H317" s="1"/>
      <c r="I317" s="1"/>
      <c r="J317" s="1"/>
      <c r="K317" s="25"/>
      <c r="L317" s="1757"/>
      <c r="M317" s="1758"/>
      <c r="N317" s="1758"/>
      <c r="O317" s="11"/>
    </row>
    <row r="318" spans="1:15" ht="15" customHeight="1" x14ac:dyDescent="0.25">
      <c r="A318" s="1"/>
      <c r="B318" s="1"/>
      <c r="C318" s="1"/>
      <c r="D318" s="1"/>
      <c r="G318" s="1755"/>
      <c r="H318" s="1"/>
      <c r="I318" s="1"/>
      <c r="J318" s="1"/>
      <c r="K318" s="24"/>
      <c r="L318" s="1757"/>
      <c r="M318" s="1758"/>
      <c r="N318" s="1758"/>
      <c r="O318" s="11"/>
    </row>
    <row r="319" spans="1:15" ht="15" customHeight="1" x14ac:dyDescent="0.25">
      <c r="A319" s="1"/>
      <c r="B319" s="1"/>
      <c r="C319" s="1"/>
      <c r="D319" s="1"/>
      <c r="G319" s="1755"/>
      <c r="H319" s="1"/>
      <c r="I319" s="1"/>
      <c r="J319" s="1"/>
      <c r="K319" s="24"/>
      <c r="L319" s="1757"/>
      <c r="M319" s="1758"/>
      <c r="N319" s="1758"/>
      <c r="O319" s="11"/>
    </row>
    <row r="320" spans="1:15" ht="15" customHeight="1" x14ac:dyDescent="0.25">
      <c r="A320" s="1"/>
      <c r="B320" s="1"/>
      <c r="C320" s="1"/>
      <c r="D320" s="1"/>
      <c r="G320" s="1755"/>
      <c r="H320" s="1"/>
      <c r="I320" s="1"/>
      <c r="J320" s="1"/>
      <c r="K320" s="24"/>
      <c r="L320" s="1757"/>
      <c r="M320" s="1758"/>
      <c r="N320" s="1758"/>
      <c r="O320" s="11"/>
    </row>
    <row r="321" spans="1:15" ht="15" customHeight="1" x14ac:dyDescent="0.25">
      <c r="A321" s="1"/>
      <c r="B321" s="1"/>
      <c r="C321" s="1"/>
      <c r="D321" s="1"/>
      <c r="G321" s="1755"/>
      <c r="H321" s="1"/>
      <c r="I321" s="1"/>
      <c r="J321" s="1"/>
      <c r="K321" s="42"/>
      <c r="L321" s="1773"/>
      <c r="M321" s="1758"/>
      <c r="N321" s="1758"/>
      <c r="O321" s="11"/>
    </row>
    <row r="322" spans="1:15" ht="15" customHeight="1" x14ac:dyDescent="0.25">
      <c r="A322" s="1"/>
      <c r="B322" s="1"/>
      <c r="C322" s="1"/>
      <c r="D322" s="1"/>
      <c r="G322" s="1755"/>
      <c r="H322" s="1"/>
      <c r="I322" s="1"/>
      <c r="J322" s="1"/>
      <c r="K322" s="20"/>
      <c r="L322" s="1754"/>
      <c r="M322" s="1758"/>
      <c r="N322" s="1758"/>
      <c r="O322" s="11"/>
    </row>
    <row r="323" spans="1:15" ht="15" customHeight="1" x14ac:dyDescent="0.25">
      <c r="A323" s="1"/>
      <c r="B323" s="1"/>
      <c r="C323" s="1"/>
      <c r="D323" s="1"/>
      <c r="G323" s="1755"/>
      <c r="H323" s="1"/>
      <c r="I323" s="1"/>
      <c r="J323" s="1"/>
      <c r="K323" s="20"/>
      <c r="L323" s="1754"/>
      <c r="M323" s="1758"/>
      <c r="N323" s="1758"/>
      <c r="O323" s="11"/>
    </row>
    <row r="324" spans="1:15" ht="15" customHeight="1" x14ac:dyDescent="0.25">
      <c r="A324" s="1"/>
      <c r="B324" s="1"/>
      <c r="C324" s="1"/>
      <c r="D324" s="1"/>
      <c r="G324" s="1755"/>
      <c r="H324" s="1"/>
      <c r="I324" s="1"/>
      <c r="J324" s="1"/>
      <c r="K324" s="20"/>
      <c r="L324" s="1754"/>
      <c r="M324" s="1758"/>
      <c r="N324" s="1758"/>
      <c r="O324" s="11"/>
    </row>
    <row r="325" spans="1:15" ht="15" customHeight="1" x14ac:dyDescent="0.25">
      <c r="A325" s="1"/>
      <c r="B325" s="1"/>
      <c r="C325" s="1"/>
      <c r="D325" s="1"/>
      <c r="G325" s="1755"/>
      <c r="H325" s="1"/>
      <c r="I325" s="1"/>
      <c r="J325" s="1"/>
      <c r="K325" s="20"/>
      <c r="L325" s="1754"/>
      <c r="M325" s="1758"/>
      <c r="N325" s="1758"/>
      <c r="O325" s="11"/>
    </row>
    <row r="326" spans="1:15" ht="15" customHeight="1" x14ac:dyDescent="0.25">
      <c r="A326" s="1"/>
      <c r="B326" s="1"/>
      <c r="C326" s="1"/>
      <c r="D326" s="1"/>
      <c r="G326" s="1755"/>
      <c r="H326" s="1"/>
      <c r="I326" s="1"/>
      <c r="J326" s="1"/>
      <c r="K326" s="20"/>
      <c r="L326" s="1754"/>
      <c r="M326" s="1758"/>
      <c r="N326" s="1758"/>
      <c r="O326" s="11"/>
    </row>
    <row r="327" spans="1:15" ht="15" customHeight="1" x14ac:dyDescent="0.25">
      <c r="A327" s="1"/>
      <c r="B327" s="1"/>
      <c r="C327" s="1"/>
      <c r="D327" s="1"/>
      <c r="G327" s="1755"/>
      <c r="H327" s="1"/>
      <c r="I327" s="1"/>
      <c r="J327" s="1"/>
      <c r="K327" s="20"/>
      <c r="L327" s="1754"/>
      <c r="M327" s="1758"/>
      <c r="N327" s="1758"/>
      <c r="O327" s="11"/>
    </row>
    <row r="328" spans="1:15" ht="15" customHeight="1" x14ac:dyDescent="0.25">
      <c r="A328" s="1"/>
      <c r="B328" s="1"/>
      <c r="C328" s="1"/>
      <c r="D328" s="1"/>
      <c r="G328" s="1755"/>
      <c r="H328" s="1"/>
      <c r="I328" s="1"/>
      <c r="J328" s="1"/>
      <c r="K328" s="20"/>
      <c r="L328" s="1754"/>
      <c r="M328" s="1758"/>
      <c r="N328" s="1758"/>
      <c r="O328" s="11"/>
    </row>
    <row r="329" spans="1:15" ht="15" customHeight="1" x14ac:dyDescent="0.25">
      <c r="A329" s="1"/>
      <c r="B329" s="1"/>
      <c r="C329" s="1"/>
      <c r="D329" s="1"/>
      <c r="G329" s="1755"/>
      <c r="H329" s="1"/>
      <c r="I329" s="1"/>
      <c r="J329" s="1"/>
      <c r="K329" s="20"/>
      <c r="L329" s="1754"/>
      <c r="M329" s="1758"/>
      <c r="N329" s="1758"/>
      <c r="O329" s="11"/>
    </row>
    <row r="330" spans="1:15" ht="15" customHeight="1" x14ac:dyDescent="0.25">
      <c r="A330" s="1"/>
      <c r="B330" s="1"/>
      <c r="C330" s="1"/>
      <c r="D330" s="1"/>
      <c r="G330" s="1755"/>
      <c r="H330" s="1"/>
      <c r="I330" s="1"/>
      <c r="J330" s="1"/>
      <c r="K330" s="20"/>
      <c r="L330" s="1754"/>
      <c r="M330" s="1758"/>
      <c r="N330" s="1758"/>
      <c r="O330" s="11"/>
    </row>
    <row r="331" spans="1:15" ht="15" customHeight="1" x14ac:dyDescent="0.25">
      <c r="A331" s="1"/>
      <c r="B331" s="1"/>
      <c r="C331" s="1"/>
      <c r="D331" s="1"/>
      <c r="G331" s="1755"/>
      <c r="H331" s="1"/>
      <c r="I331" s="1"/>
      <c r="J331" s="1"/>
      <c r="K331" s="20"/>
      <c r="L331" s="1754"/>
      <c r="M331" s="1758"/>
      <c r="N331" s="1758"/>
      <c r="O331" s="11"/>
    </row>
    <row r="332" spans="1:15" ht="15" customHeight="1" x14ac:dyDescent="0.25">
      <c r="A332" s="1"/>
      <c r="B332" s="1"/>
      <c r="C332" s="1"/>
      <c r="D332" s="1"/>
      <c r="G332" s="1755"/>
      <c r="H332" s="1"/>
      <c r="I332" s="1"/>
      <c r="J332" s="1"/>
      <c r="K332" s="20"/>
      <c r="L332" s="1754"/>
      <c r="M332" s="1758"/>
      <c r="N332" s="1758"/>
      <c r="O332" s="11"/>
    </row>
    <row r="333" spans="1:15" ht="15" customHeight="1" x14ac:dyDescent="0.25">
      <c r="A333" s="1"/>
      <c r="B333" s="1"/>
      <c r="C333" s="1"/>
      <c r="D333" s="1"/>
      <c r="G333" s="1755"/>
      <c r="H333" s="1"/>
      <c r="I333" s="1"/>
      <c r="J333" s="1"/>
      <c r="K333" s="42"/>
      <c r="L333" s="1773"/>
      <c r="M333" s="1758"/>
      <c r="N333" s="1758"/>
      <c r="O333" s="11"/>
    </row>
    <row r="334" spans="1:15" ht="15" customHeight="1" x14ac:dyDescent="0.25">
      <c r="A334" s="1"/>
      <c r="B334" s="1"/>
      <c r="C334" s="1"/>
      <c r="D334" s="1"/>
      <c r="G334" s="1755"/>
      <c r="H334" s="1"/>
      <c r="I334" s="1"/>
      <c r="J334" s="1"/>
      <c r="K334" s="43"/>
      <c r="L334" s="1775"/>
      <c r="M334" s="1758"/>
      <c r="N334" s="1758"/>
      <c r="O334" s="11"/>
    </row>
    <row r="335" spans="1:15" ht="15" customHeight="1" x14ac:dyDescent="0.25">
      <c r="A335" s="1"/>
      <c r="B335" s="1"/>
      <c r="C335" s="1"/>
      <c r="D335" s="1"/>
      <c r="G335" s="1755"/>
      <c r="H335" s="1"/>
      <c r="I335" s="1"/>
      <c r="J335" s="1"/>
      <c r="K335" s="43"/>
      <c r="L335" s="1775"/>
      <c r="M335" s="1758"/>
      <c r="N335" s="1758"/>
      <c r="O335" s="11"/>
    </row>
    <row r="336" spans="1:15" ht="15" customHeight="1" x14ac:dyDescent="0.25">
      <c r="A336" s="1"/>
      <c r="B336" s="1"/>
      <c r="C336" s="1"/>
      <c r="D336" s="1"/>
      <c r="G336" s="1755"/>
      <c r="H336" s="1"/>
      <c r="I336" s="1"/>
      <c r="J336" s="1"/>
      <c r="K336" s="43"/>
      <c r="L336" s="1775"/>
      <c r="M336" s="1758"/>
      <c r="N336" s="1758"/>
      <c r="O336" s="11"/>
    </row>
    <row r="337" spans="1:15" ht="15" customHeight="1" x14ac:dyDescent="0.25">
      <c r="A337" s="1"/>
      <c r="B337" s="1"/>
      <c r="C337" s="1"/>
      <c r="D337" s="1"/>
      <c r="G337" s="1755"/>
      <c r="H337" s="1"/>
      <c r="I337" s="1"/>
      <c r="J337" s="1"/>
      <c r="K337" s="44"/>
      <c r="L337" s="1758"/>
      <c r="M337" s="1758"/>
      <c r="N337" s="1758"/>
      <c r="O337" s="11"/>
    </row>
    <row r="338" spans="1:15" ht="15" customHeight="1" x14ac:dyDescent="0.25">
      <c r="A338" s="1"/>
      <c r="B338" s="1"/>
      <c r="C338" s="1"/>
      <c r="D338" s="1"/>
      <c r="G338" s="1755"/>
      <c r="H338" s="1"/>
      <c r="I338" s="1"/>
      <c r="J338" s="1"/>
      <c r="K338" s="42"/>
      <c r="L338" s="1776"/>
      <c r="M338" s="1758"/>
      <c r="N338" s="1758"/>
      <c r="O338" s="11"/>
    </row>
    <row r="339" spans="1:15" ht="15" customHeight="1" x14ac:dyDescent="0.25">
      <c r="A339" s="1"/>
      <c r="B339" s="1"/>
      <c r="C339" s="1"/>
      <c r="D339" s="1"/>
      <c r="G339" s="1755"/>
      <c r="H339" s="1"/>
      <c r="I339" s="1"/>
      <c r="J339" s="1"/>
      <c r="K339" s="42"/>
      <c r="L339" s="1773"/>
      <c r="M339" s="1758"/>
      <c r="N339" s="1758"/>
      <c r="O339" s="11"/>
    </row>
    <row r="340" spans="1:15" ht="15" customHeight="1" x14ac:dyDescent="0.25">
      <c r="A340" s="1"/>
      <c r="B340" s="1"/>
      <c r="C340" s="1"/>
      <c r="D340" s="1"/>
      <c r="G340" s="1755"/>
      <c r="H340" s="1"/>
      <c r="I340" s="1"/>
      <c r="J340" s="1"/>
      <c r="K340" s="43"/>
      <c r="L340" s="1775"/>
      <c r="M340" s="1758"/>
      <c r="N340" s="1758"/>
      <c r="O340" s="11"/>
    </row>
    <row r="341" spans="1:15" ht="15" customHeight="1" x14ac:dyDescent="0.25">
      <c r="A341" s="1"/>
      <c r="B341" s="1"/>
      <c r="C341" s="1"/>
      <c r="D341" s="1"/>
      <c r="G341" s="1755"/>
      <c r="H341" s="1"/>
      <c r="I341" s="1"/>
      <c r="J341" s="1"/>
      <c r="K341" s="43"/>
      <c r="L341" s="1775"/>
      <c r="M341" s="1758"/>
      <c r="N341" s="1758"/>
      <c r="O341" s="11"/>
    </row>
    <row r="342" spans="1:15" ht="15" customHeight="1" x14ac:dyDescent="0.25">
      <c r="A342" s="1"/>
      <c r="B342" s="1"/>
      <c r="C342" s="1"/>
      <c r="D342" s="1"/>
      <c r="G342" s="1755"/>
      <c r="H342" s="1"/>
      <c r="I342" s="1"/>
      <c r="J342" s="1"/>
      <c r="K342" s="44"/>
      <c r="L342" s="1758"/>
      <c r="M342" s="1758"/>
      <c r="N342" s="1758"/>
      <c r="O342" s="11"/>
    </row>
    <row r="343" spans="1:15" ht="15" customHeight="1" x14ac:dyDescent="0.25">
      <c r="A343" s="1"/>
      <c r="B343" s="1"/>
      <c r="C343" s="1"/>
      <c r="D343" s="1"/>
      <c r="G343" s="1755"/>
      <c r="H343" s="1"/>
      <c r="I343" s="1"/>
      <c r="J343" s="1"/>
      <c r="K343" s="44"/>
      <c r="L343" s="1758"/>
      <c r="M343" s="1758"/>
      <c r="N343" s="1758"/>
      <c r="O343" s="11"/>
    </row>
    <row r="344" spans="1:15" ht="15" customHeight="1" x14ac:dyDescent="0.25">
      <c r="A344" s="1"/>
      <c r="B344" s="1"/>
      <c r="C344" s="1"/>
      <c r="D344" s="1"/>
      <c r="G344" s="1755"/>
      <c r="H344" s="1"/>
      <c r="I344" s="1"/>
      <c r="J344" s="1"/>
      <c r="K344" s="44"/>
      <c r="L344" s="1758"/>
      <c r="M344" s="1758"/>
      <c r="N344" s="1758"/>
      <c r="O344" s="11"/>
    </row>
    <row r="345" spans="1:15" ht="15" customHeight="1" x14ac:dyDescent="0.25">
      <c r="A345" s="1"/>
      <c r="B345" s="1"/>
      <c r="C345" s="1"/>
      <c r="D345" s="1"/>
      <c r="G345" s="1755"/>
      <c r="H345" s="1"/>
      <c r="I345" s="1"/>
      <c r="J345" s="1"/>
      <c r="K345" s="44"/>
      <c r="L345" s="1758"/>
      <c r="M345" s="1758"/>
      <c r="N345" s="1758"/>
      <c r="O345" s="11"/>
    </row>
    <row r="346" spans="1:15" ht="15" customHeight="1" x14ac:dyDescent="0.25">
      <c r="A346" s="1"/>
      <c r="B346" s="1"/>
      <c r="C346" s="1"/>
      <c r="D346" s="1"/>
      <c r="G346" s="1755"/>
      <c r="H346" s="1"/>
      <c r="I346" s="1"/>
      <c r="J346" s="1"/>
      <c r="K346" s="44"/>
      <c r="L346" s="1758"/>
      <c r="M346" s="1758"/>
      <c r="N346" s="1758"/>
      <c r="O346" s="11"/>
    </row>
    <row r="347" spans="1:15" ht="15" customHeight="1" x14ac:dyDescent="0.25">
      <c r="A347" s="1"/>
      <c r="B347" s="1"/>
      <c r="C347" s="1"/>
      <c r="D347" s="1"/>
      <c r="G347" s="1755"/>
      <c r="H347" s="1"/>
      <c r="I347" s="1"/>
      <c r="J347" s="1"/>
      <c r="K347" s="20"/>
      <c r="L347" s="1754"/>
      <c r="M347" s="1758"/>
      <c r="N347" s="1758"/>
      <c r="O347" s="11"/>
    </row>
    <row r="348" spans="1:15" ht="15" customHeight="1" x14ac:dyDescent="0.25">
      <c r="A348" s="1"/>
      <c r="B348" s="1"/>
      <c r="C348" s="1"/>
      <c r="D348" s="1"/>
      <c r="G348" s="1755"/>
      <c r="H348" s="1"/>
      <c r="I348" s="1"/>
      <c r="J348" s="1"/>
      <c r="K348" s="24"/>
      <c r="L348" s="1757"/>
      <c r="M348" s="1758"/>
      <c r="N348" s="1758"/>
      <c r="O348" s="11"/>
    </row>
    <row r="349" spans="1:15" ht="15" customHeight="1" x14ac:dyDescent="0.25">
      <c r="A349" s="1"/>
      <c r="B349" s="1"/>
      <c r="C349" s="1"/>
      <c r="D349" s="1"/>
      <c r="G349" s="1755"/>
      <c r="H349" s="1"/>
      <c r="I349" s="1"/>
      <c r="J349" s="1"/>
      <c r="K349" s="24"/>
      <c r="L349" s="1757"/>
      <c r="M349" s="1758"/>
      <c r="N349" s="1758"/>
      <c r="O349" s="11"/>
    </row>
    <row r="350" spans="1:15" ht="15" customHeight="1" x14ac:dyDescent="0.25">
      <c r="A350" s="1"/>
      <c r="B350" s="1"/>
      <c r="C350" s="1"/>
      <c r="D350" s="1"/>
      <c r="G350" s="1755"/>
      <c r="H350" s="1"/>
      <c r="I350" s="1"/>
      <c r="J350" s="1"/>
      <c r="K350" s="44"/>
      <c r="L350" s="1777"/>
      <c r="M350" s="1755"/>
      <c r="N350" s="1755"/>
    </row>
    <row r="351" spans="1:15" ht="15" customHeight="1" x14ac:dyDescent="0.25">
      <c r="A351" s="1"/>
      <c r="B351" s="1"/>
      <c r="C351" s="1"/>
      <c r="D351" s="1"/>
      <c r="G351" s="1755"/>
      <c r="H351" s="1"/>
      <c r="I351" s="1"/>
      <c r="J351" s="1"/>
      <c r="L351" s="1755"/>
      <c r="M351" s="1755"/>
      <c r="N351" s="1755"/>
    </row>
    <row r="352" spans="1:15" ht="15" customHeight="1" x14ac:dyDescent="0.25">
      <c r="A352" s="1"/>
      <c r="B352" s="1"/>
      <c r="C352" s="1"/>
      <c r="D352" s="1"/>
      <c r="G352" s="1755"/>
      <c r="H352" s="1"/>
      <c r="I352" s="1"/>
      <c r="J352" s="1"/>
      <c r="L352" s="1755"/>
      <c r="M352" s="1755"/>
      <c r="N352" s="1755"/>
    </row>
    <row r="353" spans="1:15" ht="15" customHeight="1" x14ac:dyDescent="0.25">
      <c r="A353" s="1"/>
      <c r="B353" s="1"/>
      <c r="C353" s="1"/>
      <c r="D353" s="1"/>
      <c r="G353" s="1755"/>
      <c r="H353" s="1"/>
      <c r="I353" s="1"/>
      <c r="J353" s="1"/>
      <c r="L353" s="1755"/>
      <c r="M353" s="1755"/>
      <c r="N353" s="1755"/>
    </row>
    <row r="354" spans="1:15" ht="15" customHeight="1" x14ac:dyDescent="0.25">
      <c r="A354" s="1"/>
      <c r="B354" s="1"/>
      <c r="C354" s="1"/>
      <c r="D354" s="1"/>
      <c r="G354" s="1755"/>
      <c r="H354" s="1"/>
      <c r="I354" s="1"/>
      <c r="J354" s="1"/>
      <c r="L354" s="1755"/>
      <c r="M354" s="1755"/>
      <c r="N354" s="1755"/>
    </row>
    <row r="355" spans="1:15" ht="15" customHeight="1" x14ac:dyDescent="0.25">
      <c r="A355" s="1"/>
      <c r="B355" s="1"/>
      <c r="C355" s="1"/>
      <c r="D355" s="1"/>
      <c r="G355" s="1755"/>
      <c r="H355" s="1"/>
      <c r="I355" s="1"/>
      <c r="J355" s="1"/>
      <c r="L355" s="1755"/>
      <c r="M355" s="1755"/>
      <c r="N355" s="1755"/>
    </row>
    <row r="356" spans="1:15" ht="15" customHeight="1" x14ac:dyDescent="0.25">
      <c r="A356" s="1"/>
      <c r="B356" s="1"/>
      <c r="C356" s="1"/>
      <c r="D356" s="1"/>
      <c r="G356" s="1755"/>
      <c r="H356" s="1"/>
      <c r="I356" s="1"/>
      <c r="J356" s="1"/>
      <c r="L356" s="1755"/>
      <c r="M356" s="1758"/>
      <c r="N356" s="1758"/>
      <c r="O356" s="11"/>
    </row>
    <row r="357" spans="1:15" ht="15" customHeight="1" x14ac:dyDescent="0.25">
      <c r="A357" s="1"/>
      <c r="B357" s="1"/>
      <c r="C357" s="1"/>
      <c r="D357" s="1"/>
      <c r="G357" s="1755"/>
      <c r="H357" s="1"/>
      <c r="I357" s="1"/>
      <c r="J357" s="1"/>
      <c r="L357" s="1755"/>
      <c r="M357" s="1758"/>
      <c r="N357" s="1758"/>
      <c r="O357" s="11"/>
    </row>
    <row r="358" spans="1:15" ht="15" customHeight="1" x14ac:dyDescent="0.25">
      <c r="A358" s="1"/>
      <c r="B358" s="1"/>
      <c r="C358" s="1"/>
      <c r="D358" s="1"/>
      <c r="G358" s="1755"/>
      <c r="H358" s="1"/>
      <c r="I358" s="1"/>
      <c r="J358" s="1"/>
      <c r="L358" s="1755"/>
      <c r="M358" s="1758"/>
      <c r="N358" s="1758"/>
      <c r="O358" s="11"/>
    </row>
    <row r="359" spans="1:15" ht="15" customHeight="1" x14ac:dyDescent="0.25">
      <c r="A359" s="1"/>
      <c r="B359" s="1"/>
      <c r="C359" s="1"/>
      <c r="D359" s="1"/>
      <c r="G359" s="1755"/>
      <c r="H359" s="1"/>
      <c r="I359" s="1"/>
      <c r="J359" s="1"/>
      <c r="L359" s="1755"/>
      <c r="M359" s="1758"/>
      <c r="N359" s="1758"/>
      <c r="O359" s="11"/>
    </row>
    <row r="360" spans="1:15" ht="15" customHeight="1" x14ac:dyDescent="0.25">
      <c r="A360" s="1"/>
      <c r="B360" s="1"/>
      <c r="C360" s="1"/>
      <c r="D360" s="1"/>
      <c r="G360" s="1755"/>
      <c r="H360" s="1"/>
      <c r="I360" s="1"/>
      <c r="J360" s="1"/>
      <c r="L360" s="1755"/>
      <c r="M360" s="1758"/>
      <c r="N360" s="1758"/>
      <c r="O360" s="11"/>
    </row>
    <row r="361" spans="1:15" ht="15" customHeight="1" x14ac:dyDescent="0.25">
      <c r="A361" s="1"/>
      <c r="B361" s="1"/>
      <c r="C361" s="1"/>
      <c r="D361" s="1"/>
      <c r="G361" s="1755"/>
      <c r="H361" s="1"/>
      <c r="I361" s="1"/>
      <c r="J361" s="1"/>
      <c r="L361" s="1755"/>
      <c r="M361" s="1758"/>
      <c r="N361" s="1758"/>
      <c r="O361" s="11"/>
    </row>
    <row r="362" spans="1:15" ht="15" customHeight="1" x14ac:dyDescent="0.25">
      <c r="A362" s="1"/>
      <c r="B362" s="1"/>
      <c r="C362" s="1"/>
      <c r="D362" s="1"/>
      <c r="G362" s="1755"/>
      <c r="H362" s="1"/>
      <c r="I362" s="1"/>
      <c r="J362" s="1"/>
      <c r="L362" s="1755"/>
      <c r="M362" s="1758"/>
      <c r="N362" s="1758"/>
      <c r="O362" s="11"/>
    </row>
    <row r="363" spans="1:15" ht="15" customHeight="1" x14ac:dyDescent="0.25">
      <c r="A363" s="1"/>
      <c r="B363" s="1"/>
      <c r="C363" s="1"/>
      <c r="D363" s="1"/>
      <c r="G363" s="1755"/>
      <c r="H363" s="1"/>
      <c r="I363" s="1"/>
      <c r="J363" s="1"/>
      <c r="L363" s="1755"/>
      <c r="M363" s="1758"/>
      <c r="N363" s="1758"/>
      <c r="O363" s="11"/>
    </row>
    <row r="364" spans="1:15" ht="15" customHeight="1" x14ac:dyDescent="0.25">
      <c r="A364" s="1"/>
      <c r="B364" s="1"/>
      <c r="C364" s="1"/>
      <c r="D364" s="1"/>
      <c r="G364" s="1755"/>
      <c r="H364" s="1"/>
      <c r="I364" s="1"/>
      <c r="J364" s="1"/>
      <c r="L364" s="1755"/>
      <c r="M364" s="1758"/>
      <c r="N364" s="1758"/>
      <c r="O364" s="11"/>
    </row>
    <row r="365" spans="1:15" ht="15" customHeight="1" x14ac:dyDescent="0.25">
      <c r="A365" s="1"/>
      <c r="B365" s="1"/>
      <c r="C365" s="1"/>
      <c r="D365" s="1"/>
      <c r="G365" s="1755"/>
      <c r="H365" s="1"/>
      <c r="I365" s="1"/>
      <c r="J365" s="1"/>
      <c r="L365" s="1755"/>
      <c r="M365" s="1758"/>
      <c r="N365" s="1758"/>
      <c r="O365" s="11"/>
    </row>
    <row r="366" spans="1:15" ht="15" customHeight="1" x14ac:dyDescent="0.25">
      <c r="A366" s="1"/>
      <c r="B366" s="1"/>
      <c r="C366" s="1"/>
      <c r="D366" s="1"/>
      <c r="G366" s="1755"/>
      <c r="H366" s="1"/>
      <c r="I366" s="1"/>
      <c r="J366" s="1"/>
      <c r="L366" s="1755"/>
      <c r="M366" s="1758"/>
      <c r="N366" s="1758"/>
      <c r="O366" s="11"/>
    </row>
    <row r="367" spans="1:15" ht="15" customHeight="1" x14ac:dyDescent="0.25">
      <c r="A367" s="1"/>
      <c r="B367" s="1"/>
      <c r="C367" s="1"/>
      <c r="D367" s="1"/>
      <c r="G367" s="1755"/>
      <c r="H367" s="1"/>
      <c r="I367" s="1"/>
      <c r="J367" s="1"/>
      <c r="L367" s="1755"/>
      <c r="M367" s="1758"/>
      <c r="N367" s="1758"/>
      <c r="O367" s="11"/>
    </row>
    <row r="368" spans="1:15" ht="15" customHeight="1" x14ac:dyDescent="0.25">
      <c r="A368" s="1"/>
      <c r="B368" s="1"/>
      <c r="C368" s="1"/>
      <c r="D368" s="1"/>
      <c r="G368" s="1755"/>
      <c r="H368" s="1"/>
      <c r="I368" s="1"/>
      <c r="J368" s="1"/>
      <c r="L368" s="1755"/>
      <c r="M368" s="1758"/>
      <c r="N368" s="1758"/>
      <c r="O368" s="11"/>
    </row>
    <row r="369" spans="1:15" ht="15" customHeight="1" x14ac:dyDescent="0.25">
      <c r="A369" s="1"/>
      <c r="B369" s="1"/>
      <c r="C369" s="1"/>
      <c r="D369" s="1"/>
      <c r="G369" s="1755"/>
      <c r="H369" s="1"/>
      <c r="I369" s="1"/>
      <c r="J369" s="1"/>
      <c r="L369" s="1755"/>
      <c r="M369" s="1758"/>
      <c r="N369" s="1758"/>
      <c r="O369" s="11"/>
    </row>
    <row r="370" spans="1:15" ht="15" customHeight="1" x14ac:dyDescent="0.25">
      <c r="A370" s="1"/>
      <c r="B370" s="1"/>
      <c r="C370" s="1"/>
      <c r="D370" s="1"/>
      <c r="G370" s="1755"/>
      <c r="H370" s="1"/>
      <c r="I370" s="1"/>
      <c r="J370" s="1"/>
      <c r="L370" s="1755"/>
      <c r="M370" s="1758"/>
      <c r="N370" s="1758"/>
      <c r="O370" s="11"/>
    </row>
    <row r="371" spans="1:15" ht="15" customHeight="1" x14ac:dyDescent="0.25">
      <c r="A371" s="1"/>
      <c r="B371" s="1"/>
      <c r="C371" s="1"/>
      <c r="D371" s="1"/>
      <c r="G371" s="1755"/>
      <c r="H371" s="1"/>
      <c r="I371" s="1"/>
      <c r="J371" s="1"/>
      <c r="L371" s="1755"/>
      <c r="M371" s="1758"/>
      <c r="N371" s="1758"/>
      <c r="O371" s="11"/>
    </row>
    <row r="372" spans="1:15" ht="15" customHeight="1" x14ac:dyDescent="0.25">
      <c r="A372" s="1"/>
      <c r="B372" s="1"/>
      <c r="C372" s="1"/>
      <c r="D372" s="1"/>
      <c r="G372" s="1755"/>
      <c r="H372" s="1"/>
      <c r="I372" s="1"/>
      <c r="J372" s="1"/>
      <c r="L372" s="1755"/>
      <c r="M372" s="1758"/>
      <c r="N372" s="1758"/>
      <c r="O372" s="11"/>
    </row>
    <row r="373" spans="1:15" ht="15" customHeight="1" x14ac:dyDescent="0.25">
      <c r="A373" s="1"/>
      <c r="B373" s="1"/>
      <c r="C373" s="1"/>
      <c r="D373" s="1"/>
      <c r="G373" s="1755"/>
      <c r="H373" s="1"/>
      <c r="I373" s="1"/>
      <c r="J373" s="1"/>
      <c r="L373" s="1755"/>
      <c r="M373" s="1758"/>
      <c r="N373" s="1758"/>
      <c r="O373" s="11"/>
    </row>
    <row r="374" spans="1:15" ht="15" customHeight="1" x14ac:dyDescent="0.25">
      <c r="A374" s="1"/>
      <c r="B374" s="1"/>
      <c r="C374" s="1"/>
      <c r="D374" s="1"/>
      <c r="G374" s="1755"/>
      <c r="H374" s="1"/>
      <c r="I374" s="1"/>
      <c r="J374" s="1"/>
      <c r="L374" s="1755"/>
      <c r="M374" s="1758"/>
      <c r="N374" s="1758"/>
      <c r="O374" s="11"/>
    </row>
    <row r="375" spans="1:15" ht="15" customHeight="1" x14ac:dyDescent="0.25">
      <c r="A375" s="1"/>
      <c r="B375" s="1"/>
      <c r="C375" s="1"/>
      <c r="D375" s="1"/>
      <c r="G375" s="1755"/>
      <c r="H375" s="1"/>
      <c r="I375" s="1"/>
      <c r="J375" s="1"/>
      <c r="L375" s="1755"/>
      <c r="M375" s="1758"/>
      <c r="N375" s="1758"/>
      <c r="O375" s="11"/>
    </row>
    <row r="376" spans="1:15" ht="15" customHeight="1" x14ac:dyDescent="0.25">
      <c r="A376" s="1"/>
      <c r="B376" s="1"/>
      <c r="C376" s="1"/>
      <c r="D376" s="1"/>
      <c r="G376" s="1755"/>
      <c r="H376" s="1"/>
      <c r="I376" s="1"/>
      <c r="J376" s="1"/>
      <c r="L376" s="1755"/>
      <c r="M376" s="1758"/>
      <c r="N376" s="1758"/>
      <c r="O376" s="11"/>
    </row>
    <row r="377" spans="1:15" ht="15" customHeight="1" x14ac:dyDescent="0.25">
      <c r="A377" s="1"/>
      <c r="B377" s="1"/>
      <c r="C377" s="1"/>
      <c r="D377" s="1"/>
      <c r="G377" s="1755"/>
      <c r="H377" s="1"/>
      <c r="I377" s="1"/>
      <c r="J377" s="1"/>
      <c r="L377" s="1755"/>
      <c r="M377" s="1758"/>
      <c r="N377" s="1758"/>
      <c r="O377" s="11"/>
    </row>
    <row r="378" spans="1:15" ht="15" customHeight="1" x14ac:dyDescent="0.25">
      <c r="A378" s="1"/>
      <c r="B378" s="1"/>
      <c r="C378" s="1"/>
      <c r="D378" s="1"/>
      <c r="G378" s="1755"/>
      <c r="H378" s="1"/>
      <c r="I378" s="1"/>
      <c r="J378" s="1"/>
      <c r="L378" s="1755"/>
      <c r="M378" s="1758"/>
      <c r="N378" s="1758"/>
      <c r="O378" s="11"/>
    </row>
    <row r="379" spans="1:15" ht="15" customHeight="1" x14ac:dyDescent="0.25">
      <c r="A379" s="1"/>
      <c r="B379" s="1"/>
      <c r="C379" s="1"/>
      <c r="D379" s="1"/>
      <c r="G379" s="1755"/>
      <c r="H379" s="1"/>
      <c r="I379" s="1"/>
      <c r="J379" s="1"/>
      <c r="L379" s="1755"/>
      <c r="M379" s="1758"/>
      <c r="N379" s="1758"/>
      <c r="O379" s="11"/>
    </row>
    <row r="380" spans="1:15" ht="15" customHeight="1" x14ac:dyDescent="0.25">
      <c r="A380" s="1"/>
      <c r="B380" s="1"/>
      <c r="C380" s="1"/>
      <c r="D380" s="1"/>
      <c r="G380" s="1755"/>
      <c r="H380" s="1"/>
      <c r="I380" s="1"/>
      <c r="J380" s="1"/>
      <c r="L380" s="1755"/>
      <c r="M380" s="1758"/>
      <c r="N380" s="1758"/>
      <c r="O380" s="11"/>
    </row>
    <row r="381" spans="1:15" ht="15" customHeight="1" x14ac:dyDescent="0.25">
      <c r="A381" s="1"/>
      <c r="B381" s="1"/>
      <c r="C381" s="1"/>
      <c r="D381" s="1"/>
      <c r="G381" s="1755"/>
      <c r="H381" s="1"/>
      <c r="I381" s="1"/>
      <c r="J381" s="1"/>
      <c r="L381" s="1755"/>
      <c r="M381" s="1758"/>
      <c r="N381" s="1758"/>
      <c r="O381" s="11"/>
    </row>
    <row r="382" spans="1:15" ht="15" customHeight="1" x14ac:dyDescent="0.25">
      <c r="A382" s="1"/>
      <c r="B382" s="1"/>
      <c r="C382" s="1"/>
      <c r="D382" s="1"/>
      <c r="G382" s="1755"/>
      <c r="H382" s="1"/>
      <c r="I382" s="1"/>
      <c r="J382" s="1"/>
      <c r="L382" s="1755"/>
      <c r="M382" s="1758"/>
      <c r="N382" s="1758"/>
      <c r="O382" s="11"/>
    </row>
    <row r="383" spans="1:15" ht="15" customHeight="1" x14ac:dyDescent="0.25">
      <c r="A383" s="1"/>
      <c r="B383" s="1"/>
      <c r="C383" s="1"/>
      <c r="D383" s="1"/>
      <c r="G383" s="1755"/>
      <c r="H383" s="1"/>
      <c r="I383" s="1"/>
      <c r="J383" s="1"/>
      <c r="L383" s="1755"/>
      <c r="M383" s="1758"/>
      <c r="N383" s="1758"/>
      <c r="O383" s="11"/>
    </row>
    <row r="384" spans="1:15" ht="15" customHeight="1" x14ac:dyDescent="0.25">
      <c r="A384" s="1"/>
      <c r="B384" s="1"/>
      <c r="C384" s="1"/>
      <c r="D384" s="1"/>
      <c r="G384" s="1755"/>
      <c r="H384" s="1"/>
      <c r="I384" s="1"/>
      <c r="J384" s="1"/>
      <c r="L384" s="1755"/>
      <c r="M384" s="1758"/>
      <c r="N384" s="1758"/>
      <c r="O384" s="11"/>
    </row>
    <row r="385" spans="1:15" ht="15" customHeight="1" x14ac:dyDescent="0.25">
      <c r="A385" s="1"/>
      <c r="B385" s="1"/>
      <c r="C385" s="1"/>
      <c r="D385" s="1"/>
      <c r="G385" s="1755"/>
      <c r="H385" s="1"/>
      <c r="I385" s="1"/>
      <c r="J385" s="1"/>
      <c r="L385" s="1755"/>
      <c r="M385" s="1758"/>
      <c r="N385" s="1758"/>
      <c r="O385" s="11"/>
    </row>
    <row r="386" spans="1:15" ht="15" customHeight="1" x14ac:dyDescent="0.25">
      <c r="A386" s="1"/>
      <c r="B386" s="1"/>
      <c r="C386" s="1"/>
      <c r="D386" s="1"/>
      <c r="G386" s="1755"/>
      <c r="H386" s="1"/>
      <c r="I386" s="1"/>
      <c r="J386" s="1"/>
      <c r="L386" s="1755"/>
      <c r="M386" s="1758"/>
      <c r="N386" s="1758"/>
      <c r="O386" s="11"/>
    </row>
    <row r="387" spans="1:15" ht="15" customHeight="1" x14ac:dyDescent="0.25">
      <c r="A387" s="1"/>
      <c r="B387" s="1"/>
      <c r="C387" s="1"/>
      <c r="D387" s="1"/>
      <c r="G387" s="1755"/>
      <c r="H387" s="1"/>
      <c r="I387" s="1"/>
      <c r="J387" s="1"/>
      <c r="L387" s="1755"/>
      <c r="M387" s="1758"/>
      <c r="N387" s="1758"/>
      <c r="O387" s="11"/>
    </row>
    <row r="388" spans="1:15" ht="15" customHeight="1" x14ac:dyDescent="0.25">
      <c r="A388" s="1"/>
      <c r="B388" s="1"/>
      <c r="C388" s="1"/>
      <c r="D388" s="1"/>
      <c r="G388" s="1755"/>
      <c r="H388" s="1"/>
      <c r="I388" s="1"/>
      <c r="J388" s="1"/>
      <c r="L388" s="1755"/>
      <c r="M388" s="1758"/>
      <c r="N388" s="1758"/>
      <c r="O388" s="11"/>
    </row>
    <row r="389" spans="1:15" ht="15" customHeight="1" x14ac:dyDescent="0.25">
      <c r="A389" s="1"/>
      <c r="B389" s="1"/>
      <c r="C389" s="1"/>
      <c r="D389" s="1"/>
      <c r="G389" s="1755"/>
      <c r="H389" s="1"/>
      <c r="I389" s="1"/>
      <c r="J389" s="1"/>
      <c r="L389" s="1755"/>
      <c r="M389" s="1758"/>
      <c r="N389" s="1758"/>
      <c r="O389" s="11"/>
    </row>
    <row r="390" spans="1:15" ht="15" customHeight="1" x14ac:dyDescent="0.25">
      <c r="A390" s="1"/>
      <c r="B390" s="1"/>
      <c r="C390" s="1"/>
      <c r="D390" s="1"/>
      <c r="G390" s="1755"/>
      <c r="H390" s="1"/>
      <c r="I390" s="1"/>
      <c r="J390" s="1"/>
      <c r="L390" s="1755"/>
      <c r="M390" s="1758"/>
      <c r="N390" s="1758"/>
      <c r="O390" s="11"/>
    </row>
    <row r="391" spans="1:15" ht="15" customHeight="1" x14ac:dyDescent="0.25">
      <c r="A391" s="1"/>
      <c r="B391" s="1"/>
      <c r="C391" s="1"/>
      <c r="D391" s="1"/>
      <c r="G391" s="1755"/>
      <c r="H391" s="1"/>
      <c r="I391" s="1"/>
      <c r="J391" s="1"/>
      <c r="L391" s="1755"/>
      <c r="M391" s="1758"/>
      <c r="N391" s="1758"/>
      <c r="O391" s="11"/>
    </row>
    <row r="392" spans="1:15" ht="15" customHeight="1" x14ac:dyDescent="0.25">
      <c r="A392" s="1"/>
      <c r="B392" s="1"/>
      <c r="C392" s="1"/>
      <c r="D392" s="1"/>
      <c r="G392" s="1755"/>
      <c r="H392" s="1"/>
      <c r="I392" s="1"/>
      <c r="J392" s="1"/>
      <c r="L392" s="1755"/>
      <c r="M392" s="1758"/>
      <c r="N392" s="1758"/>
      <c r="O392" s="11"/>
    </row>
    <row r="393" spans="1:15" ht="15" customHeight="1" x14ac:dyDescent="0.25">
      <c r="A393" s="1"/>
      <c r="B393" s="1"/>
      <c r="C393" s="1"/>
      <c r="D393" s="1"/>
      <c r="G393" s="1755"/>
      <c r="H393" s="1"/>
      <c r="I393" s="1"/>
      <c r="J393" s="1"/>
      <c r="L393" s="1755"/>
      <c r="M393" s="1758"/>
      <c r="N393" s="1758"/>
      <c r="O393" s="11"/>
    </row>
    <row r="394" spans="1:15" ht="15" customHeight="1" x14ac:dyDescent="0.25">
      <c r="A394" s="1"/>
      <c r="B394" s="1"/>
      <c r="C394" s="1"/>
      <c r="D394" s="1"/>
      <c r="G394" s="1755"/>
      <c r="H394" s="1"/>
      <c r="I394" s="1"/>
      <c r="J394" s="1"/>
      <c r="L394" s="1755"/>
      <c r="M394" s="1758"/>
      <c r="N394" s="1758"/>
      <c r="O394" s="11"/>
    </row>
    <row r="395" spans="1:15" ht="15" customHeight="1" x14ac:dyDescent="0.25">
      <c r="A395" s="1"/>
      <c r="B395" s="1"/>
      <c r="C395" s="1"/>
      <c r="D395" s="1"/>
      <c r="G395" s="1755"/>
      <c r="H395" s="1"/>
      <c r="I395" s="1"/>
      <c r="J395" s="1"/>
      <c r="L395" s="1755"/>
      <c r="M395" s="1758"/>
      <c r="N395" s="1758"/>
      <c r="O395" s="11"/>
    </row>
    <row r="396" spans="1:15" ht="15" customHeight="1" x14ac:dyDescent="0.25">
      <c r="A396" s="1"/>
      <c r="B396" s="1"/>
      <c r="C396" s="1"/>
      <c r="D396" s="1"/>
      <c r="G396" s="1755"/>
      <c r="H396" s="1"/>
      <c r="I396" s="1"/>
      <c r="J396" s="1"/>
      <c r="L396" s="1755"/>
      <c r="M396" s="1758"/>
      <c r="N396" s="1758"/>
      <c r="O396" s="11"/>
    </row>
    <row r="397" spans="1:15" ht="15" customHeight="1" x14ac:dyDescent="0.25">
      <c r="A397" s="1"/>
      <c r="B397" s="1"/>
      <c r="C397" s="1"/>
      <c r="D397" s="1"/>
      <c r="G397" s="1755"/>
      <c r="H397" s="1"/>
      <c r="I397" s="1"/>
      <c r="J397" s="1"/>
      <c r="L397" s="1755"/>
      <c r="M397" s="1758"/>
      <c r="N397" s="1758"/>
      <c r="O397" s="11"/>
    </row>
    <row r="398" spans="1:15" ht="15" customHeight="1" x14ac:dyDescent="0.25">
      <c r="A398" s="1"/>
      <c r="B398" s="1"/>
      <c r="C398" s="1"/>
      <c r="D398" s="1"/>
      <c r="G398" s="1755"/>
      <c r="H398" s="1"/>
      <c r="I398" s="1"/>
      <c r="J398" s="1"/>
      <c r="L398" s="1755"/>
      <c r="M398" s="1758"/>
      <c r="N398" s="1758"/>
      <c r="O398" s="11"/>
    </row>
    <row r="399" spans="1:15" ht="15" customHeight="1" x14ac:dyDescent="0.25">
      <c r="A399" s="1"/>
      <c r="B399" s="1"/>
      <c r="C399" s="1"/>
      <c r="D399" s="1"/>
      <c r="G399" s="1755"/>
      <c r="H399" s="1"/>
      <c r="I399" s="1"/>
      <c r="J399" s="1"/>
      <c r="L399" s="1755"/>
      <c r="M399" s="1758"/>
      <c r="N399" s="1758"/>
      <c r="O399" s="11"/>
    </row>
    <row r="400" spans="1:15" ht="15" customHeight="1" x14ac:dyDescent="0.25">
      <c r="A400" s="1"/>
      <c r="B400" s="1"/>
      <c r="C400" s="1"/>
      <c r="D400" s="1"/>
      <c r="G400" s="1755"/>
      <c r="H400" s="1"/>
      <c r="I400" s="1"/>
      <c r="J400" s="1"/>
      <c r="L400" s="1755"/>
      <c r="M400" s="1758"/>
      <c r="N400" s="1758"/>
      <c r="O400" s="11"/>
    </row>
    <row r="401" spans="1:15" ht="15" customHeight="1" x14ac:dyDescent="0.25">
      <c r="A401" s="1"/>
      <c r="B401" s="1"/>
      <c r="C401" s="1"/>
      <c r="D401" s="1"/>
      <c r="G401" s="1755"/>
      <c r="H401" s="1"/>
      <c r="I401" s="1"/>
      <c r="J401" s="1"/>
      <c r="L401" s="1755"/>
      <c r="M401" s="1758"/>
      <c r="N401" s="1758"/>
      <c r="O401" s="11"/>
    </row>
    <row r="402" spans="1:15" ht="15" customHeight="1" x14ac:dyDescent="0.25">
      <c r="A402" s="1"/>
      <c r="B402" s="1"/>
      <c r="C402" s="1"/>
      <c r="D402" s="1"/>
      <c r="G402" s="1755"/>
      <c r="H402" s="1"/>
      <c r="I402" s="1"/>
      <c r="J402" s="1"/>
      <c r="L402" s="1755"/>
      <c r="M402" s="1758"/>
      <c r="N402" s="1758"/>
      <c r="O402" s="11"/>
    </row>
    <row r="403" spans="1:15" ht="15" customHeight="1" x14ac:dyDescent="0.25">
      <c r="A403" s="1"/>
      <c r="B403" s="1"/>
      <c r="C403" s="1"/>
      <c r="D403" s="1"/>
      <c r="G403" s="1755"/>
      <c r="H403" s="1"/>
      <c r="I403" s="1"/>
      <c r="J403" s="1"/>
      <c r="L403" s="1755"/>
      <c r="M403" s="1758"/>
      <c r="N403" s="1758"/>
      <c r="O403" s="11"/>
    </row>
    <row r="404" spans="1:15" ht="15" customHeight="1" x14ac:dyDescent="0.25">
      <c r="A404" s="1"/>
      <c r="B404" s="1"/>
      <c r="C404" s="1"/>
      <c r="D404" s="1"/>
      <c r="G404" s="1755"/>
      <c r="H404" s="1"/>
      <c r="I404" s="1"/>
      <c r="J404" s="1"/>
      <c r="L404" s="1755"/>
      <c r="M404" s="1758"/>
      <c r="N404" s="1758"/>
      <c r="O404" s="11"/>
    </row>
    <row r="405" spans="1:15" ht="15" customHeight="1" x14ac:dyDescent="0.25">
      <c r="A405" s="1"/>
      <c r="B405" s="1"/>
      <c r="C405" s="1"/>
      <c r="D405" s="1"/>
      <c r="G405" s="1"/>
      <c r="H405" s="1"/>
      <c r="I405" s="1"/>
      <c r="J405" s="1"/>
      <c r="L405" s="1755"/>
      <c r="M405" s="1758"/>
      <c r="N405" s="1758"/>
      <c r="O405" s="11"/>
    </row>
    <row r="406" spans="1:15" ht="15" customHeight="1" x14ac:dyDescent="0.25">
      <c r="A406" s="1"/>
      <c r="B406" s="1"/>
      <c r="C406" s="1"/>
      <c r="D406" s="1"/>
      <c r="G406" s="1"/>
      <c r="H406" s="1"/>
      <c r="I406" s="1"/>
      <c r="J406" s="1"/>
      <c r="L406" s="1755"/>
      <c r="M406" s="1758"/>
      <c r="N406" s="1758"/>
      <c r="O406" s="11"/>
    </row>
    <row r="407" spans="1:15" ht="15" customHeight="1" x14ac:dyDescent="0.25">
      <c r="A407" s="1"/>
      <c r="B407" s="1"/>
      <c r="C407" s="1"/>
      <c r="D407" s="1"/>
      <c r="G407" s="1"/>
      <c r="H407" s="1"/>
      <c r="I407" s="1"/>
      <c r="J407" s="1"/>
      <c r="L407" s="1755"/>
      <c r="M407" s="1758"/>
      <c r="N407" s="1758"/>
      <c r="O407" s="11"/>
    </row>
    <row r="408" spans="1:15" ht="15" customHeight="1" x14ac:dyDescent="0.25">
      <c r="A408" s="1"/>
      <c r="B408" s="1"/>
      <c r="C408" s="1"/>
      <c r="D408" s="1"/>
      <c r="G408" s="1"/>
      <c r="H408" s="1"/>
      <c r="I408" s="1"/>
      <c r="J408" s="1"/>
      <c r="L408" s="1755"/>
      <c r="M408" s="1758"/>
      <c r="N408" s="1758"/>
      <c r="O408" s="11"/>
    </row>
    <row r="409" spans="1:15" ht="15" customHeight="1" x14ac:dyDescent="0.25">
      <c r="A409" s="1"/>
      <c r="B409" s="1"/>
      <c r="C409" s="1"/>
      <c r="D409" s="1"/>
      <c r="G409" s="1"/>
      <c r="H409" s="1"/>
      <c r="I409" s="1"/>
      <c r="J409" s="1"/>
      <c r="L409" s="1755"/>
      <c r="M409" s="1758"/>
      <c r="N409" s="1758"/>
      <c r="O409" s="11"/>
    </row>
    <row r="410" spans="1:15" ht="15" customHeight="1" x14ac:dyDescent="0.25">
      <c r="A410" s="1"/>
      <c r="B410" s="1"/>
      <c r="C410" s="1"/>
      <c r="D410" s="1"/>
      <c r="G410" s="1"/>
      <c r="H410" s="1"/>
      <c r="I410" s="1"/>
      <c r="J410" s="1"/>
      <c r="L410" s="1755"/>
      <c r="M410" s="1758"/>
      <c r="N410" s="1758"/>
      <c r="O410" s="11"/>
    </row>
    <row r="411" spans="1:15" ht="15" customHeight="1" x14ac:dyDescent="0.25">
      <c r="A411" s="1"/>
      <c r="B411" s="1"/>
      <c r="C411" s="1"/>
      <c r="D411" s="1"/>
      <c r="G411" s="1"/>
      <c r="H411" s="1"/>
      <c r="I411" s="1"/>
      <c r="J411" s="1"/>
      <c r="K411" s="13"/>
      <c r="L411" s="1778"/>
      <c r="M411" s="1758"/>
      <c r="N411" s="1758"/>
      <c r="O411" s="11"/>
    </row>
    <row r="412" spans="1:15" ht="15" customHeight="1" x14ac:dyDescent="0.25">
      <c r="A412" s="1"/>
      <c r="B412" s="1"/>
      <c r="C412" s="1"/>
      <c r="D412" s="1"/>
      <c r="G412" s="1"/>
      <c r="H412" s="1"/>
      <c r="I412" s="1"/>
      <c r="J412" s="1"/>
      <c r="L412" s="1755"/>
      <c r="M412" s="1758"/>
      <c r="N412" s="1758"/>
      <c r="O412" s="11"/>
    </row>
    <row r="413" spans="1:15" ht="15" customHeight="1" x14ac:dyDescent="0.25">
      <c r="A413" s="1"/>
      <c r="B413" s="1"/>
      <c r="C413" s="1"/>
      <c r="D413" s="1"/>
      <c r="G413" s="1"/>
      <c r="H413" s="1"/>
      <c r="I413" s="1"/>
      <c r="J413" s="1"/>
      <c r="L413" s="1755"/>
      <c r="M413" s="1755"/>
      <c r="N413" s="1755"/>
    </row>
    <row r="414" spans="1:15" ht="15" customHeight="1" x14ac:dyDescent="0.25">
      <c r="A414" s="1"/>
      <c r="B414" s="1"/>
      <c r="C414" s="1"/>
      <c r="D414" s="1"/>
      <c r="G414" s="1"/>
      <c r="H414" s="1"/>
      <c r="I414" s="1"/>
      <c r="J414" s="1"/>
      <c r="L414" s="1755"/>
      <c r="M414" s="1755"/>
      <c r="N414" s="1755"/>
    </row>
    <row r="415" spans="1:15" ht="15" customHeight="1" x14ac:dyDescent="0.25">
      <c r="A415" s="1"/>
      <c r="B415" s="1"/>
      <c r="C415" s="1"/>
      <c r="D415" s="1"/>
      <c r="G415" s="1"/>
      <c r="H415" s="1"/>
      <c r="I415" s="1"/>
      <c r="J415" s="1"/>
      <c r="L415" s="1755"/>
      <c r="M415" s="1755"/>
      <c r="N415" s="1755"/>
    </row>
    <row r="416" spans="1:15" ht="15" customHeight="1" x14ac:dyDescent="0.25">
      <c r="A416" s="1"/>
      <c r="B416" s="1"/>
      <c r="C416" s="1"/>
      <c r="D416" s="1"/>
      <c r="G416" s="1"/>
      <c r="H416" s="1"/>
      <c r="I416" s="1"/>
      <c r="J416" s="1"/>
      <c r="L416" s="1755"/>
      <c r="M416" s="1755"/>
      <c r="N416" s="1755"/>
    </row>
    <row r="417" spans="1:15" ht="15" customHeight="1" x14ac:dyDescent="0.25">
      <c r="A417" s="1"/>
      <c r="B417" s="1"/>
      <c r="C417" s="1"/>
      <c r="D417" s="1"/>
      <c r="G417" s="1"/>
      <c r="H417" s="1"/>
      <c r="I417" s="1"/>
      <c r="J417" s="1"/>
      <c r="L417" s="1755"/>
      <c r="M417" s="1755"/>
      <c r="N417" s="1755"/>
    </row>
    <row r="418" spans="1:15" ht="15" customHeight="1" x14ac:dyDescent="0.25">
      <c r="A418" s="1"/>
      <c r="B418" s="1"/>
      <c r="C418" s="1"/>
      <c r="D418" s="1"/>
      <c r="G418" s="1"/>
      <c r="H418" s="1"/>
      <c r="I418" s="1"/>
      <c r="J418" s="1"/>
      <c r="L418" s="1755"/>
      <c r="M418" s="1755"/>
      <c r="N418" s="1755"/>
    </row>
    <row r="419" spans="1:15" ht="15" customHeight="1" x14ac:dyDescent="0.25">
      <c r="A419" s="1"/>
      <c r="B419" s="1"/>
      <c r="C419" s="1"/>
      <c r="D419" s="1"/>
      <c r="G419" s="1"/>
      <c r="H419" s="1"/>
      <c r="I419" s="1"/>
      <c r="J419" s="1"/>
      <c r="L419" s="1755"/>
      <c r="M419" s="1755"/>
      <c r="N419" s="1755"/>
    </row>
    <row r="420" spans="1:15" ht="15" customHeight="1" x14ac:dyDescent="0.25">
      <c r="A420" s="1"/>
      <c r="B420" s="1"/>
      <c r="C420" s="1"/>
      <c r="D420" s="1"/>
      <c r="G420" s="1"/>
      <c r="H420" s="1"/>
      <c r="I420" s="1"/>
      <c r="J420" s="1"/>
      <c r="L420" s="1755"/>
      <c r="M420" s="1755"/>
      <c r="N420" s="1755"/>
    </row>
    <row r="421" spans="1:15" ht="15" customHeight="1" x14ac:dyDescent="0.25">
      <c r="A421" s="1"/>
      <c r="B421" s="1"/>
      <c r="C421" s="1"/>
      <c r="D421" s="1"/>
      <c r="G421" s="1"/>
      <c r="H421" s="1"/>
      <c r="I421" s="1"/>
      <c r="J421" s="1"/>
      <c r="L421" s="1755"/>
      <c r="M421" s="1755"/>
      <c r="N421" s="1755"/>
    </row>
    <row r="422" spans="1:15" ht="15" customHeight="1" x14ac:dyDescent="0.25">
      <c r="A422" s="1"/>
      <c r="B422" s="1"/>
      <c r="C422" s="1"/>
      <c r="D422" s="1"/>
      <c r="G422" s="1"/>
      <c r="H422" s="1"/>
      <c r="I422" s="1"/>
      <c r="J422" s="1"/>
      <c r="L422" s="1755"/>
      <c r="M422" s="1755"/>
      <c r="N422" s="1755"/>
    </row>
    <row r="423" spans="1:15" ht="15" customHeight="1" x14ac:dyDescent="0.25">
      <c r="A423" s="1"/>
      <c r="B423" s="1"/>
      <c r="C423" s="1"/>
      <c r="D423" s="1"/>
      <c r="G423" s="1"/>
      <c r="H423" s="1"/>
      <c r="I423" s="1"/>
      <c r="J423" s="1"/>
      <c r="L423" s="1755"/>
      <c r="M423" s="1755"/>
      <c r="N423" s="1755"/>
    </row>
    <row r="424" spans="1:15" ht="15" customHeight="1" x14ac:dyDescent="0.25">
      <c r="A424" s="1"/>
      <c r="B424" s="1"/>
      <c r="C424" s="1"/>
      <c r="D424" s="1"/>
      <c r="G424" s="1"/>
      <c r="H424" s="1"/>
      <c r="I424" s="1"/>
      <c r="J424" s="1"/>
      <c r="L424" s="1755"/>
      <c r="M424" s="1755"/>
      <c r="N424" s="1755"/>
    </row>
    <row r="425" spans="1:15" ht="15" customHeight="1" x14ac:dyDescent="0.25">
      <c r="A425" s="1"/>
      <c r="B425" s="1"/>
      <c r="C425" s="1"/>
      <c r="D425" s="1"/>
      <c r="G425" s="1"/>
      <c r="H425" s="1"/>
      <c r="I425" s="1"/>
      <c r="J425" s="1"/>
      <c r="L425" s="1755"/>
      <c r="M425" s="1755"/>
      <c r="N425" s="1755"/>
    </row>
    <row r="426" spans="1:15" s="38" customFormat="1" ht="15" customHeight="1" x14ac:dyDescent="0.25">
      <c r="A426" s="1"/>
      <c r="B426" s="1"/>
      <c r="C426" s="1"/>
      <c r="D426" s="1"/>
      <c r="E426" s="1"/>
      <c r="F426" s="1"/>
      <c r="G426" s="1"/>
      <c r="H426" s="1"/>
      <c r="I426" s="1"/>
      <c r="J426" s="1"/>
      <c r="K426" s="37"/>
      <c r="L426" s="1755"/>
      <c r="M426" s="1755"/>
      <c r="N426" s="1755"/>
      <c r="O426" s="1"/>
    </row>
    <row r="427" spans="1:15" s="38" customFormat="1" ht="15" customHeight="1" x14ac:dyDescent="0.25">
      <c r="A427" s="1"/>
      <c r="B427" s="1"/>
      <c r="C427" s="1"/>
      <c r="D427" s="1"/>
      <c r="E427" s="1"/>
      <c r="F427" s="1"/>
      <c r="G427" s="1"/>
      <c r="H427" s="1"/>
      <c r="I427" s="1"/>
      <c r="J427" s="1"/>
      <c r="K427" s="37"/>
      <c r="L427" s="1755"/>
      <c r="M427" s="1755"/>
      <c r="N427" s="1755"/>
      <c r="O427" s="1"/>
    </row>
    <row r="428" spans="1:15" s="38" customFormat="1" ht="15" customHeight="1" x14ac:dyDescent="0.25">
      <c r="A428" s="1"/>
      <c r="B428" s="1"/>
      <c r="C428" s="1"/>
      <c r="D428" s="1"/>
      <c r="E428" s="1"/>
      <c r="F428" s="1"/>
      <c r="G428" s="1"/>
      <c r="H428" s="1"/>
      <c r="I428" s="1"/>
      <c r="J428" s="1"/>
      <c r="K428" s="37"/>
      <c r="L428" s="1755"/>
      <c r="M428" s="1755"/>
      <c r="N428" s="1755"/>
      <c r="O428" s="1"/>
    </row>
    <row r="429" spans="1:15" s="38" customFormat="1" ht="15" customHeight="1" x14ac:dyDescent="0.25">
      <c r="A429" s="1"/>
      <c r="B429" s="1"/>
      <c r="C429" s="1"/>
      <c r="D429" s="1"/>
      <c r="E429" s="1"/>
      <c r="F429" s="1"/>
      <c r="G429" s="1"/>
      <c r="H429" s="1"/>
      <c r="I429" s="1"/>
      <c r="J429" s="1"/>
      <c r="L429" s="1779"/>
      <c r="M429" s="1779"/>
      <c r="N429" s="1779"/>
    </row>
    <row r="430" spans="1:15" s="38" customFormat="1" ht="15" customHeight="1" x14ac:dyDescent="0.25">
      <c r="A430" s="1"/>
      <c r="B430" s="1"/>
      <c r="C430" s="1"/>
      <c r="D430" s="1"/>
      <c r="E430" s="1"/>
      <c r="F430" s="1"/>
      <c r="G430" s="1"/>
      <c r="H430" s="1"/>
      <c r="I430" s="1"/>
      <c r="J430" s="1"/>
      <c r="K430" s="45"/>
      <c r="L430" s="1779"/>
      <c r="M430" s="1779"/>
      <c r="N430" s="1779"/>
    </row>
    <row r="431" spans="1:15" s="38" customFormat="1" ht="15" customHeight="1" x14ac:dyDescent="0.25">
      <c r="A431" s="1"/>
      <c r="B431" s="1"/>
      <c r="C431" s="1"/>
      <c r="D431" s="1"/>
      <c r="E431" s="1"/>
      <c r="F431" s="1"/>
      <c r="G431" s="1"/>
      <c r="H431" s="1"/>
      <c r="I431" s="1"/>
      <c r="J431" s="1"/>
      <c r="K431" s="45"/>
      <c r="L431" s="1779"/>
      <c r="M431" s="1779"/>
      <c r="N431" s="1779"/>
    </row>
    <row r="432" spans="1:15" s="38" customFormat="1" ht="15" customHeight="1" x14ac:dyDescent="0.25">
      <c r="A432" s="1"/>
      <c r="B432" s="1"/>
      <c r="C432" s="1"/>
      <c r="D432" s="1"/>
      <c r="E432" s="1"/>
      <c r="F432" s="1"/>
      <c r="G432" s="1"/>
      <c r="H432" s="1"/>
      <c r="I432" s="1"/>
      <c r="J432" s="1"/>
      <c r="K432" s="45"/>
      <c r="L432" s="1779"/>
      <c r="M432" s="1779"/>
      <c r="N432" s="1779"/>
    </row>
    <row r="433" spans="1:14" s="38" customFormat="1" ht="15" customHeight="1" x14ac:dyDescent="0.25">
      <c r="A433" s="1"/>
      <c r="B433" s="1"/>
      <c r="C433" s="1"/>
      <c r="D433" s="1"/>
      <c r="E433" s="1"/>
      <c r="F433" s="1"/>
      <c r="G433" s="1"/>
      <c r="H433" s="1"/>
      <c r="I433" s="1"/>
      <c r="J433" s="1"/>
      <c r="K433" s="45"/>
      <c r="L433" s="1779"/>
      <c r="M433" s="1779"/>
      <c r="N433" s="1779"/>
    </row>
    <row r="434" spans="1:14" s="38" customFormat="1" ht="15" customHeight="1" x14ac:dyDescent="0.25">
      <c r="A434" s="1"/>
      <c r="B434" s="1"/>
      <c r="C434" s="1"/>
      <c r="D434" s="1"/>
      <c r="E434" s="1"/>
      <c r="F434" s="1"/>
      <c r="G434" s="1"/>
      <c r="H434" s="1"/>
      <c r="I434" s="1"/>
      <c r="J434" s="1"/>
      <c r="K434" s="45"/>
      <c r="L434" s="1779"/>
      <c r="M434" s="1779"/>
      <c r="N434" s="1779"/>
    </row>
    <row r="435" spans="1:14" s="38" customFormat="1" ht="15" customHeight="1" x14ac:dyDescent="0.25">
      <c r="A435" s="1"/>
      <c r="B435" s="1"/>
      <c r="C435" s="1"/>
      <c r="D435" s="1"/>
      <c r="E435" s="1"/>
      <c r="F435" s="1"/>
      <c r="G435" s="1"/>
      <c r="H435" s="1"/>
      <c r="I435" s="1"/>
      <c r="J435" s="1"/>
      <c r="K435" s="45"/>
      <c r="L435" s="1779"/>
      <c r="M435" s="1779"/>
      <c r="N435" s="1779"/>
    </row>
    <row r="436" spans="1:14" s="38" customFormat="1" ht="15" customHeight="1" x14ac:dyDescent="0.25">
      <c r="A436" s="1"/>
      <c r="B436" s="1"/>
      <c r="C436" s="1"/>
      <c r="D436" s="1"/>
      <c r="E436" s="1"/>
      <c r="F436" s="1"/>
      <c r="G436" s="1"/>
      <c r="H436" s="1"/>
      <c r="I436" s="1"/>
      <c r="J436" s="1"/>
      <c r="K436" s="45"/>
      <c r="L436" s="1779"/>
      <c r="M436" s="1779"/>
      <c r="N436" s="1779"/>
    </row>
    <row r="437" spans="1:14" s="38" customFormat="1" ht="15" customHeight="1" x14ac:dyDescent="0.25">
      <c r="A437" s="1"/>
      <c r="B437" s="1"/>
      <c r="C437" s="1"/>
      <c r="D437" s="1"/>
      <c r="E437" s="1"/>
      <c r="F437" s="1"/>
      <c r="G437" s="1"/>
      <c r="H437" s="1"/>
      <c r="I437" s="1"/>
      <c r="J437" s="1"/>
      <c r="K437" s="45"/>
      <c r="L437" s="1779"/>
      <c r="M437" s="1779"/>
      <c r="N437" s="1779"/>
    </row>
    <row r="438" spans="1:14" s="38" customFormat="1" ht="15" customHeight="1" x14ac:dyDescent="0.25">
      <c r="A438" s="1"/>
      <c r="B438" s="1"/>
      <c r="C438" s="1"/>
      <c r="D438" s="1"/>
      <c r="E438" s="1"/>
      <c r="F438" s="1"/>
      <c r="G438" s="1"/>
      <c r="H438" s="1"/>
      <c r="I438" s="1"/>
      <c r="J438" s="1"/>
      <c r="K438" s="45"/>
      <c r="L438" s="1779"/>
      <c r="M438" s="1779"/>
      <c r="N438" s="1779"/>
    </row>
    <row r="439" spans="1:14" s="38" customFormat="1" ht="15" customHeight="1" x14ac:dyDescent="0.25">
      <c r="A439" s="1"/>
      <c r="B439" s="1"/>
      <c r="C439" s="1"/>
      <c r="D439" s="1"/>
      <c r="E439" s="1"/>
      <c r="F439" s="1"/>
      <c r="G439" s="1"/>
      <c r="H439" s="1"/>
      <c r="I439" s="1"/>
      <c r="J439" s="1"/>
      <c r="K439" s="45"/>
      <c r="L439" s="1779"/>
      <c r="M439" s="1779"/>
      <c r="N439" s="1779"/>
    </row>
    <row r="440" spans="1:14" s="38" customFormat="1" ht="15" customHeight="1" x14ac:dyDescent="0.25">
      <c r="A440" s="1"/>
      <c r="B440" s="1"/>
      <c r="C440" s="1"/>
      <c r="D440" s="1"/>
      <c r="E440" s="1"/>
      <c r="F440" s="1"/>
      <c r="G440" s="1"/>
      <c r="H440" s="1"/>
      <c r="I440" s="1"/>
      <c r="J440" s="1"/>
      <c r="K440" s="45"/>
      <c r="L440" s="1779"/>
      <c r="M440" s="1779"/>
      <c r="N440" s="1779"/>
    </row>
    <row r="441" spans="1:14" s="38" customFormat="1" ht="15" customHeight="1" x14ac:dyDescent="0.25">
      <c r="A441" s="1"/>
      <c r="B441" s="1"/>
      <c r="C441" s="1"/>
      <c r="D441" s="1"/>
      <c r="E441" s="1"/>
      <c r="F441" s="1"/>
      <c r="G441" s="1"/>
      <c r="H441" s="1"/>
      <c r="I441" s="1"/>
      <c r="J441" s="1"/>
      <c r="K441" s="45"/>
      <c r="L441" s="1779"/>
      <c r="M441" s="1779"/>
      <c r="N441" s="1779"/>
    </row>
    <row r="442" spans="1:14" s="38" customFormat="1" ht="15" customHeight="1" x14ac:dyDescent="0.25">
      <c r="A442" s="1"/>
      <c r="B442" s="1"/>
      <c r="C442" s="1"/>
      <c r="D442" s="1"/>
      <c r="E442" s="1"/>
      <c r="F442" s="1"/>
      <c r="G442" s="1"/>
      <c r="H442" s="1"/>
      <c r="I442" s="1"/>
      <c r="J442" s="1"/>
      <c r="K442" s="45"/>
      <c r="L442" s="1779"/>
      <c r="M442" s="1779"/>
      <c r="N442" s="1779"/>
    </row>
    <row r="443" spans="1:14" s="38" customFormat="1" ht="15" customHeight="1" x14ac:dyDescent="0.25">
      <c r="A443" s="1"/>
      <c r="B443" s="1"/>
      <c r="C443" s="1"/>
      <c r="D443" s="1"/>
      <c r="E443" s="1"/>
      <c r="F443" s="1"/>
      <c r="G443" s="1"/>
      <c r="H443" s="1"/>
      <c r="I443" s="1"/>
      <c r="J443" s="1"/>
      <c r="K443" s="45"/>
      <c r="L443" s="1779"/>
      <c r="M443" s="1779"/>
      <c r="N443" s="1779"/>
    </row>
    <row r="444" spans="1:14" s="38" customFormat="1" ht="15" customHeight="1" x14ac:dyDescent="0.25">
      <c r="A444" s="1"/>
      <c r="B444" s="1"/>
      <c r="C444" s="1"/>
      <c r="D444" s="1"/>
      <c r="E444" s="1"/>
      <c r="F444" s="1"/>
      <c r="G444" s="1"/>
      <c r="H444" s="1"/>
      <c r="I444" s="1"/>
      <c r="J444" s="1"/>
      <c r="K444" s="45"/>
      <c r="L444" s="1779"/>
      <c r="M444" s="1779"/>
      <c r="N444" s="1779"/>
    </row>
    <row r="445" spans="1:14" s="38" customFormat="1" ht="15" customHeight="1" x14ac:dyDescent="0.25">
      <c r="A445" s="1"/>
      <c r="B445" s="1"/>
      <c r="C445" s="1"/>
      <c r="D445" s="1"/>
      <c r="E445" s="1"/>
      <c r="F445" s="1"/>
      <c r="G445" s="1"/>
      <c r="H445" s="1"/>
      <c r="I445" s="1"/>
      <c r="J445" s="1"/>
      <c r="K445" s="45"/>
      <c r="L445" s="1779"/>
      <c r="M445" s="1779"/>
      <c r="N445" s="1779"/>
    </row>
    <row r="446" spans="1:14" s="38" customFormat="1" ht="15" customHeight="1" x14ac:dyDescent="0.25">
      <c r="A446" s="1"/>
      <c r="B446" s="1"/>
      <c r="C446" s="1"/>
      <c r="D446" s="1"/>
      <c r="E446" s="1"/>
      <c r="F446" s="1"/>
      <c r="G446" s="1"/>
      <c r="H446" s="1"/>
      <c r="I446" s="1"/>
      <c r="J446" s="1"/>
      <c r="K446" s="45"/>
      <c r="L446" s="1779"/>
      <c r="M446" s="1779"/>
      <c r="N446" s="1779"/>
    </row>
    <row r="447" spans="1:14" s="38" customFormat="1" ht="15" customHeight="1" x14ac:dyDescent="0.25">
      <c r="A447" s="1"/>
      <c r="B447" s="1"/>
      <c r="C447" s="1"/>
      <c r="D447" s="1"/>
      <c r="E447" s="1"/>
      <c r="F447" s="1"/>
      <c r="G447" s="1"/>
      <c r="H447" s="1"/>
      <c r="I447" s="1"/>
      <c r="J447" s="1"/>
      <c r="K447" s="45"/>
      <c r="L447" s="1779"/>
      <c r="M447" s="1779"/>
      <c r="N447" s="1779"/>
    </row>
    <row r="448" spans="1:14" s="38" customFormat="1" ht="15" customHeight="1" x14ac:dyDescent="0.25">
      <c r="A448" s="1"/>
      <c r="B448" s="1"/>
      <c r="C448" s="1"/>
      <c r="D448" s="1"/>
      <c r="E448" s="1"/>
      <c r="F448" s="1"/>
      <c r="G448" s="1"/>
      <c r="H448" s="1"/>
      <c r="I448" s="1"/>
      <c r="J448" s="1"/>
      <c r="K448" s="45"/>
      <c r="L448" s="1779"/>
      <c r="M448" s="1779"/>
      <c r="N448" s="1779"/>
    </row>
    <row r="449" spans="1:15" s="38" customFormat="1" ht="21.75" customHeight="1" x14ac:dyDescent="0.25">
      <c r="A449" s="1"/>
      <c r="B449" s="1"/>
      <c r="C449" s="1"/>
      <c r="D449" s="1"/>
      <c r="E449" s="1"/>
      <c r="F449" s="1"/>
      <c r="G449" s="1"/>
      <c r="H449" s="1"/>
      <c r="I449" s="1"/>
      <c r="J449" s="1"/>
      <c r="K449" s="45"/>
      <c r="L449" s="1779"/>
      <c r="M449" s="1779"/>
      <c r="N449" s="1779"/>
    </row>
    <row r="450" spans="1:15" s="38" customFormat="1" ht="15" customHeight="1" x14ac:dyDescent="0.25">
      <c r="A450" s="1"/>
      <c r="B450" s="1"/>
      <c r="C450" s="1"/>
      <c r="D450" s="1"/>
      <c r="E450" s="1"/>
      <c r="F450" s="1"/>
      <c r="G450" s="1"/>
      <c r="H450" s="1"/>
      <c r="I450" s="1"/>
      <c r="J450" s="1"/>
      <c r="K450" s="45"/>
      <c r="L450" s="1779"/>
      <c r="M450" s="1779"/>
      <c r="N450" s="1779"/>
    </row>
    <row r="451" spans="1:15" s="38" customFormat="1" ht="15" customHeight="1" x14ac:dyDescent="0.25">
      <c r="A451" s="1"/>
      <c r="B451" s="1"/>
      <c r="C451" s="1"/>
      <c r="D451" s="1"/>
      <c r="E451" s="1"/>
      <c r="F451" s="1"/>
      <c r="G451" s="1"/>
      <c r="H451" s="1"/>
      <c r="I451" s="1"/>
      <c r="J451" s="1"/>
      <c r="K451" s="45"/>
      <c r="L451" s="1779"/>
      <c r="M451" s="1779"/>
      <c r="N451" s="1779"/>
    </row>
    <row r="452" spans="1:15" s="38" customFormat="1" ht="15" customHeight="1" x14ac:dyDescent="0.25">
      <c r="A452" s="1"/>
      <c r="B452" s="1"/>
      <c r="C452" s="1"/>
      <c r="D452" s="1"/>
      <c r="E452" s="1"/>
      <c r="F452" s="1"/>
      <c r="G452" s="1"/>
      <c r="H452" s="1"/>
      <c r="I452" s="1"/>
      <c r="J452" s="1"/>
      <c r="K452" s="45"/>
      <c r="L452" s="1779"/>
      <c r="M452" s="1779"/>
      <c r="N452" s="1779"/>
    </row>
    <row r="453" spans="1:15" s="38" customFormat="1" ht="15" customHeight="1" x14ac:dyDescent="0.25">
      <c r="A453" s="1"/>
      <c r="B453" s="1"/>
      <c r="C453" s="1"/>
      <c r="D453" s="1"/>
      <c r="E453" s="1"/>
      <c r="F453" s="1"/>
      <c r="G453" s="1"/>
      <c r="H453" s="1"/>
      <c r="I453" s="1"/>
      <c r="J453" s="1"/>
      <c r="K453" s="45"/>
      <c r="L453" s="1779"/>
      <c r="M453" s="1779"/>
      <c r="N453" s="1779"/>
    </row>
    <row r="454" spans="1:15" s="38" customFormat="1" ht="15" customHeight="1" x14ac:dyDescent="0.25">
      <c r="A454" s="1"/>
      <c r="B454" s="1"/>
      <c r="C454" s="1"/>
      <c r="D454" s="1"/>
      <c r="E454" s="1"/>
      <c r="F454" s="1"/>
      <c r="G454" s="1"/>
      <c r="H454" s="1"/>
      <c r="I454" s="1"/>
      <c r="J454" s="1"/>
      <c r="K454" s="45"/>
      <c r="L454" s="1779"/>
      <c r="M454" s="1779"/>
      <c r="N454" s="1779"/>
    </row>
    <row r="455" spans="1:15" s="38" customFormat="1" ht="15" customHeight="1" x14ac:dyDescent="0.25">
      <c r="A455" s="1"/>
      <c r="B455" s="1"/>
      <c r="C455" s="1"/>
      <c r="D455" s="1"/>
      <c r="E455" s="1"/>
      <c r="F455" s="1"/>
      <c r="G455" s="1"/>
      <c r="H455" s="1"/>
      <c r="I455" s="1"/>
      <c r="J455" s="1"/>
      <c r="K455" s="45"/>
      <c r="L455" s="1779"/>
      <c r="M455" s="1779"/>
      <c r="N455" s="1779"/>
    </row>
    <row r="456" spans="1:15" s="38" customFormat="1" ht="15" customHeight="1" x14ac:dyDescent="0.25">
      <c r="A456" s="1"/>
      <c r="B456" s="1"/>
      <c r="C456" s="1"/>
      <c r="D456" s="1"/>
      <c r="E456" s="1"/>
      <c r="F456" s="1"/>
      <c r="G456" s="1"/>
      <c r="H456" s="1"/>
      <c r="I456" s="1"/>
      <c r="J456" s="1"/>
      <c r="K456" s="45"/>
      <c r="L456" s="1779"/>
      <c r="M456" s="1779"/>
      <c r="N456" s="1779"/>
    </row>
    <row r="457" spans="1:15" ht="15" customHeight="1" x14ac:dyDescent="0.25">
      <c r="A457" s="1"/>
      <c r="B457" s="1"/>
      <c r="C457" s="1"/>
      <c r="D457" s="1"/>
      <c r="G457" s="1"/>
      <c r="H457" s="1"/>
      <c r="I457" s="1"/>
      <c r="J457" s="1"/>
      <c r="K457" s="45"/>
      <c r="L457" s="1779"/>
      <c r="M457" s="1779"/>
      <c r="N457" s="1779"/>
      <c r="O457" s="38"/>
    </row>
    <row r="458" spans="1:15" ht="15" customHeight="1" x14ac:dyDescent="0.25">
      <c r="A458" s="1"/>
      <c r="B458" s="1"/>
      <c r="C458" s="1"/>
      <c r="D458" s="1"/>
      <c r="G458" s="1"/>
      <c r="H458" s="1"/>
      <c r="I458" s="1"/>
      <c r="J458" s="1"/>
      <c r="K458" s="45"/>
      <c r="L458" s="1779"/>
      <c r="M458" s="1779"/>
      <c r="N458" s="1779"/>
      <c r="O458" s="38"/>
    </row>
    <row r="459" spans="1:15" ht="15" customHeight="1" x14ac:dyDescent="0.25">
      <c r="A459" s="1"/>
      <c r="B459" s="1"/>
      <c r="C459" s="1"/>
      <c r="D459" s="1"/>
      <c r="G459" s="1"/>
      <c r="H459" s="1"/>
      <c r="I459" s="1"/>
      <c r="J459" s="1"/>
      <c r="K459" s="45"/>
      <c r="L459" s="1779"/>
      <c r="M459" s="1779"/>
      <c r="N459" s="1779"/>
      <c r="O459" s="38"/>
    </row>
    <row r="460" spans="1:15" ht="15" customHeight="1" x14ac:dyDescent="0.25">
      <c r="A460" s="1"/>
      <c r="B460" s="1"/>
      <c r="C460" s="1"/>
      <c r="D460" s="1"/>
      <c r="G460" s="1"/>
      <c r="H460" s="1"/>
      <c r="I460" s="1"/>
      <c r="J460" s="1"/>
      <c r="L460" s="1755"/>
      <c r="M460" s="1755"/>
      <c r="N460" s="1755"/>
    </row>
    <row r="461" spans="1:15" ht="15" customHeight="1" x14ac:dyDescent="0.25">
      <c r="A461" s="1"/>
      <c r="B461" s="1"/>
      <c r="C461" s="1"/>
      <c r="D461" s="1"/>
      <c r="G461" s="1"/>
      <c r="H461" s="1"/>
      <c r="I461" s="1"/>
      <c r="J461" s="1"/>
      <c r="L461" s="1755"/>
      <c r="M461" s="1755"/>
      <c r="N461" s="1755"/>
    </row>
    <row r="462" spans="1:15" ht="15" customHeight="1" x14ac:dyDescent="0.25">
      <c r="A462" s="1"/>
      <c r="B462" s="1"/>
      <c r="C462" s="1"/>
      <c r="D462" s="1"/>
      <c r="G462" s="1"/>
      <c r="H462" s="1"/>
      <c r="I462" s="1"/>
      <c r="J462" s="1"/>
      <c r="L462" s="1755"/>
      <c r="M462" s="1755"/>
      <c r="N462" s="1755"/>
    </row>
    <row r="463" spans="1:15" ht="15" customHeight="1" x14ac:dyDescent="0.25">
      <c r="A463" s="1"/>
      <c r="B463" s="1"/>
      <c r="C463" s="1"/>
      <c r="D463" s="1"/>
      <c r="G463" s="1"/>
      <c r="H463" s="1"/>
      <c r="I463" s="1"/>
      <c r="J463" s="1"/>
      <c r="L463" s="1755"/>
      <c r="M463" s="1755"/>
      <c r="N463" s="1755"/>
    </row>
    <row r="464" spans="1:15" ht="15" customHeight="1" x14ac:dyDescent="0.25">
      <c r="A464" s="1"/>
      <c r="B464" s="1"/>
      <c r="C464" s="1"/>
      <c r="D464" s="1"/>
      <c r="G464" s="1"/>
      <c r="H464" s="1"/>
      <c r="I464" s="1"/>
      <c r="J464" s="1"/>
      <c r="L464" s="1755"/>
      <c r="M464" s="1755"/>
      <c r="N464" s="1755"/>
    </row>
    <row r="465" spans="1:14" ht="15" customHeight="1" x14ac:dyDescent="0.25">
      <c r="A465" s="1"/>
      <c r="B465" s="1"/>
      <c r="C465" s="1"/>
      <c r="D465" s="1"/>
      <c r="G465" s="1"/>
      <c r="H465" s="1"/>
      <c r="I465" s="1"/>
      <c r="J465" s="1"/>
      <c r="L465" s="1755"/>
      <c r="M465" s="1755"/>
      <c r="N465" s="1755"/>
    </row>
    <row r="466" spans="1:14" ht="15" customHeight="1" x14ac:dyDescent="0.25">
      <c r="A466" s="1"/>
      <c r="B466" s="1"/>
      <c r="C466" s="1"/>
      <c r="D466" s="1"/>
      <c r="G466" s="1"/>
      <c r="H466" s="1"/>
      <c r="I466" s="1"/>
      <c r="J466" s="1"/>
      <c r="L466" s="1755"/>
      <c r="M466" s="1755"/>
      <c r="N466" s="1755"/>
    </row>
    <row r="467" spans="1:14" ht="15" customHeight="1" x14ac:dyDescent="0.25">
      <c r="A467" s="1"/>
      <c r="B467" s="1"/>
      <c r="C467" s="1"/>
      <c r="D467" s="1"/>
      <c r="G467" s="1"/>
      <c r="H467" s="1"/>
      <c r="I467" s="1"/>
      <c r="J467" s="1"/>
      <c r="L467" s="1755"/>
      <c r="M467" s="1755"/>
      <c r="N467" s="1755"/>
    </row>
    <row r="468" spans="1:14" ht="15" customHeight="1" x14ac:dyDescent="0.25">
      <c r="A468" s="1"/>
      <c r="B468" s="1"/>
      <c r="C468" s="1"/>
      <c r="D468" s="1"/>
      <c r="G468" s="1"/>
      <c r="H468" s="1"/>
      <c r="I468" s="1"/>
      <c r="J468" s="1"/>
      <c r="L468" s="1755"/>
      <c r="M468" s="1755"/>
      <c r="N468" s="1755"/>
    </row>
    <row r="469" spans="1:14" ht="15" customHeight="1" x14ac:dyDescent="0.25">
      <c r="A469" s="1"/>
      <c r="B469" s="1"/>
      <c r="C469" s="1"/>
      <c r="D469" s="1"/>
      <c r="G469" s="1"/>
      <c r="H469" s="1"/>
      <c r="I469" s="1"/>
      <c r="J469" s="1"/>
      <c r="L469" s="1755"/>
      <c r="M469" s="1755"/>
      <c r="N469" s="1755"/>
    </row>
    <row r="470" spans="1:14" ht="15" customHeight="1" x14ac:dyDescent="0.25">
      <c r="A470" s="1"/>
      <c r="B470" s="1"/>
      <c r="C470" s="1"/>
      <c r="D470" s="1"/>
      <c r="G470" s="1"/>
      <c r="H470" s="1"/>
      <c r="I470" s="1"/>
      <c r="J470" s="1"/>
      <c r="L470" s="1755"/>
      <c r="M470" s="1755"/>
      <c r="N470" s="1755"/>
    </row>
    <row r="471" spans="1:14" ht="15" customHeight="1" x14ac:dyDescent="0.25">
      <c r="A471" s="1"/>
      <c r="B471" s="1"/>
      <c r="C471" s="1"/>
      <c r="D471" s="1"/>
      <c r="G471" s="1"/>
      <c r="H471" s="1"/>
      <c r="I471" s="1"/>
      <c r="J471" s="1"/>
      <c r="L471" s="1755"/>
      <c r="M471" s="1755"/>
      <c r="N471" s="1755"/>
    </row>
    <row r="472" spans="1:14" ht="15" customHeight="1" x14ac:dyDescent="0.25">
      <c r="A472" s="1"/>
      <c r="B472" s="1"/>
      <c r="C472" s="1"/>
      <c r="D472" s="1"/>
      <c r="G472" s="1"/>
      <c r="H472" s="1"/>
      <c r="I472" s="1"/>
      <c r="J472" s="1"/>
      <c r="L472" s="1755"/>
      <c r="M472" s="1755"/>
      <c r="N472" s="1755"/>
    </row>
    <row r="473" spans="1:14" ht="15" customHeight="1" x14ac:dyDescent="0.25">
      <c r="A473" s="1"/>
      <c r="B473" s="1"/>
      <c r="C473" s="1"/>
      <c r="D473" s="1"/>
      <c r="G473" s="1"/>
      <c r="H473" s="1"/>
      <c r="I473" s="1"/>
      <c r="J473" s="1"/>
      <c r="L473" s="1755"/>
      <c r="M473" s="1755"/>
      <c r="N473" s="1755"/>
    </row>
    <row r="474" spans="1:14" ht="15" customHeight="1" x14ac:dyDescent="0.25">
      <c r="A474" s="1"/>
      <c r="B474" s="1"/>
      <c r="C474" s="1"/>
      <c r="D474" s="1"/>
      <c r="G474" s="1"/>
      <c r="H474" s="1"/>
      <c r="I474" s="1"/>
      <c r="J474" s="1"/>
      <c r="L474" s="1755"/>
      <c r="M474" s="1755"/>
      <c r="N474" s="1755"/>
    </row>
    <row r="475" spans="1:14" ht="15" customHeight="1" x14ac:dyDescent="0.25">
      <c r="A475" s="1"/>
      <c r="B475" s="1"/>
      <c r="C475" s="1"/>
      <c r="D475" s="1"/>
      <c r="G475" s="1"/>
      <c r="H475" s="1"/>
      <c r="I475" s="1"/>
      <c r="J475" s="1"/>
      <c r="L475" s="1755"/>
      <c r="M475" s="1755"/>
      <c r="N475" s="1755"/>
    </row>
    <row r="476" spans="1:14" ht="15" customHeight="1" x14ac:dyDescent="0.25">
      <c r="A476" s="1"/>
      <c r="B476" s="1"/>
      <c r="C476" s="1"/>
      <c r="D476" s="1"/>
      <c r="G476" s="1"/>
      <c r="H476" s="1"/>
      <c r="I476" s="1"/>
      <c r="J476" s="1"/>
      <c r="L476" s="1755"/>
      <c r="M476" s="1755"/>
      <c r="N476" s="1755"/>
    </row>
    <row r="477" spans="1:14" ht="15" customHeight="1" x14ac:dyDescent="0.25">
      <c r="A477" s="1"/>
      <c r="B477" s="1"/>
      <c r="C477" s="1"/>
      <c r="D477" s="1"/>
      <c r="G477" s="1"/>
      <c r="H477" s="1"/>
      <c r="I477" s="1"/>
      <c r="J477" s="1"/>
      <c r="L477" s="1755"/>
      <c r="M477" s="1755"/>
      <c r="N477" s="1755"/>
    </row>
    <row r="478" spans="1:14" ht="15" customHeight="1" x14ac:dyDescent="0.25">
      <c r="A478" s="1"/>
      <c r="B478" s="1"/>
      <c r="C478" s="1"/>
      <c r="D478" s="1"/>
      <c r="G478" s="1"/>
      <c r="H478" s="1"/>
      <c r="I478" s="1"/>
      <c r="J478" s="1"/>
      <c r="L478" s="1755"/>
      <c r="M478" s="1755"/>
      <c r="N478" s="1755"/>
    </row>
    <row r="479" spans="1:14" ht="15" customHeight="1" x14ac:dyDescent="0.25">
      <c r="A479" s="1"/>
      <c r="B479" s="1"/>
      <c r="C479" s="1"/>
      <c r="D479" s="1"/>
      <c r="G479" s="1"/>
      <c r="H479" s="1"/>
      <c r="I479" s="1"/>
      <c r="J479" s="1"/>
      <c r="L479" s="1755"/>
      <c r="M479" s="1755"/>
      <c r="N479" s="1755"/>
    </row>
    <row r="480" spans="1:14" ht="15" customHeight="1" x14ac:dyDescent="0.25">
      <c r="A480" s="1"/>
      <c r="B480" s="1"/>
      <c r="C480" s="1"/>
      <c r="D480" s="1"/>
      <c r="G480" s="1"/>
      <c r="H480" s="1"/>
      <c r="I480" s="1"/>
      <c r="J480" s="1"/>
      <c r="L480" s="1755"/>
      <c r="M480" s="1755"/>
      <c r="N480" s="1755"/>
    </row>
    <row r="481" spans="1:14" ht="15" customHeight="1" x14ac:dyDescent="0.25">
      <c r="A481" s="1"/>
      <c r="B481" s="1"/>
      <c r="C481" s="1"/>
      <c r="D481" s="1"/>
      <c r="G481" s="1"/>
      <c r="H481" s="1"/>
      <c r="I481" s="1"/>
      <c r="J481" s="1"/>
      <c r="L481" s="1755"/>
      <c r="M481" s="1755"/>
      <c r="N481" s="1755"/>
    </row>
    <row r="482" spans="1:14" ht="15" customHeight="1" x14ac:dyDescent="0.25">
      <c r="A482" s="1"/>
      <c r="B482" s="1"/>
      <c r="C482" s="1"/>
      <c r="D482" s="1"/>
      <c r="G482" s="1"/>
      <c r="H482" s="1"/>
      <c r="I482" s="1"/>
      <c r="J482" s="1"/>
      <c r="L482" s="1755"/>
      <c r="M482" s="1755"/>
      <c r="N482" s="1755"/>
    </row>
    <row r="483" spans="1:14" ht="15" customHeight="1" x14ac:dyDescent="0.25">
      <c r="A483" s="1"/>
      <c r="B483" s="1"/>
      <c r="C483" s="1"/>
      <c r="D483" s="1"/>
      <c r="G483" s="1"/>
      <c r="H483" s="1"/>
      <c r="I483" s="1"/>
      <c r="J483" s="1"/>
      <c r="L483" s="1755"/>
      <c r="M483" s="1755"/>
      <c r="N483" s="1755"/>
    </row>
    <row r="484" spans="1:14" ht="15" customHeight="1" x14ac:dyDescent="0.25">
      <c r="A484" s="1"/>
      <c r="B484" s="1"/>
      <c r="C484" s="1"/>
      <c r="D484" s="1"/>
      <c r="G484" s="1"/>
      <c r="H484" s="1"/>
      <c r="I484" s="1"/>
      <c r="J484" s="1"/>
      <c r="L484" s="1755"/>
      <c r="M484" s="1755"/>
      <c r="N484" s="1755"/>
    </row>
    <row r="485" spans="1:14" ht="15" customHeight="1" x14ac:dyDescent="0.25">
      <c r="A485" s="1"/>
      <c r="B485" s="1"/>
      <c r="C485" s="1"/>
      <c r="D485" s="1"/>
      <c r="G485" s="1"/>
      <c r="H485" s="1"/>
      <c r="I485" s="1"/>
      <c r="J485" s="1"/>
      <c r="L485" s="1755"/>
      <c r="M485" s="1755"/>
      <c r="N485" s="1755"/>
    </row>
    <row r="486" spans="1:14" ht="15" customHeight="1" x14ac:dyDescent="0.25">
      <c r="A486" s="1"/>
      <c r="B486" s="1"/>
      <c r="C486" s="1"/>
      <c r="D486" s="1"/>
      <c r="G486" s="1"/>
      <c r="H486" s="1"/>
      <c r="I486" s="1"/>
      <c r="J486" s="1"/>
      <c r="L486" s="1755"/>
      <c r="M486" s="1755"/>
      <c r="N486" s="1755"/>
    </row>
    <row r="487" spans="1:14" ht="15" customHeight="1" x14ac:dyDescent="0.25">
      <c r="A487" s="1"/>
      <c r="B487" s="1"/>
      <c r="C487" s="1"/>
      <c r="D487" s="1"/>
      <c r="G487" s="1"/>
      <c r="H487" s="1"/>
      <c r="I487" s="1"/>
      <c r="J487" s="1"/>
      <c r="L487" s="1755"/>
      <c r="M487" s="1755"/>
      <c r="N487" s="1755"/>
    </row>
    <row r="488" spans="1:14" ht="15" customHeight="1" x14ac:dyDescent="0.25">
      <c r="A488" s="1"/>
      <c r="B488" s="1"/>
      <c r="C488" s="1"/>
      <c r="D488" s="1"/>
      <c r="G488" s="1"/>
      <c r="H488" s="1"/>
      <c r="I488" s="1"/>
      <c r="J488" s="1"/>
      <c r="L488" s="1755"/>
      <c r="M488" s="1755"/>
      <c r="N488" s="1755"/>
    </row>
    <row r="489" spans="1:14" ht="15" customHeight="1" x14ac:dyDescent="0.25">
      <c r="A489" s="1"/>
      <c r="B489" s="1"/>
      <c r="C489" s="1"/>
      <c r="D489" s="1"/>
      <c r="G489" s="1"/>
      <c r="H489" s="1"/>
      <c r="I489" s="1"/>
      <c r="J489" s="1"/>
      <c r="L489" s="1755"/>
      <c r="M489" s="1755"/>
      <c r="N489" s="1755"/>
    </row>
    <row r="490" spans="1:14" ht="15" customHeight="1" x14ac:dyDescent="0.25">
      <c r="A490" s="1"/>
      <c r="B490" s="1"/>
      <c r="C490" s="1"/>
      <c r="D490" s="1"/>
      <c r="G490" s="1"/>
      <c r="H490" s="1"/>
      <c r="I490" s="1"/>
      <c r="J490" s="1"/>
      <c r="L490" s="1755"/>
      <c r="M490" s="1755"/>
      <c r="N490" s="1755"/>
    </row>
    <row r="491" spans="1:14" ht="15" customHeight="1" x14ac:dyDescent="0.25">
      <c r="A491" s="1"/>
      <c r="B491" s="1"/>
      <c r="C491" s="1"/>
      <c r="D491" s="1"/>
      <c r="G491" s="1"/>
      <c r="H491" s="1"/>
      <c r="I491" s="1"/>
      <c r="J491" s="1"/>
      <c r="L491" s="1755"/>
      <c r="M491" s="1755"/>
      <c r="N491" s="1755"/>
    </row>
    <row r="492" spans="1:14" ht="15" customHeight="1" x14ac:dyDescent="0.25">
      <c r="A492" s="1"/>
      <c r="B492" s="1"/>
      <c r="C492" s="1"/>
      <c r="D492" s="1"/>
      <c r="G492" s="1"/>
      <c r="H492" s="1"/>
      <c r="I492" s="1"/>
      <c r="J492" s="1"/>
      <c r="L492" s="1755"/>
      <c r="M492" s="1755"/>
      <c r="N492" s="1755"/>
    </row>
    <row r="493" spans="1:14" ht="15" customHeight="1" x14ac:dyDescent="0.25">
      <c r="A493" s="1"/>
      <c r="B493" s="1"/>
      <c r="C493" s="1"/>
      <c r="D493" s="1"/>
      <c r="G493" s="1"/>
      <c r="H493" s="1"/>
      <c r="I493" s="1"/>
      <c r="J493" s="1"/>
      <c r="L493" s="1755"/>
      <c r="M493" s="1755"/>
      <c r="N493" s="1755"/>
    </row>
    <row r="494" spans="1:14" ht="15" customHeight="1" x14ac:dyDescent="0.25">
      <c r="A494" s="1"/>
      <c r="B494" s="1"/>
      <c r="C494" s="1"/>
      <c r="D494" s="1"/>
      <c r="G494" s="1"/>
      <c r="H494" s="1"/>
      <c r="I494" s="1"/>
      <c r="J494" s="1"/>
      <c r="L494" s="1755"/>
      <c r="M494" s="1755"/>
      <c r="N494" s="1755"/>
    </row>
    <row r="495" spans="1:14" ht="15" customHeight="1" x14ac:dyDescent="0.25">
      <c r="A495" s="1"/>
      <c r="B495" s="1"/>
      <c r="C495" s="1"/>
      <c r="D495" s="1"/>
      <c r="G495" s="1"/>
      <c r="H495" s="1"/>
      <c r="I495" s="1"/>
      <c r="J495" s="1"/>
      <c r="L495" s="1755"/>
      <c r="M495" s="1755"/>
      <c r="N495" s="1755"/>
    </row>
    <row r="496" spans="1:14" ht="15" customHeight="1" x14ac:dyDescent="0.25">
      <c r="A496" s="1"/>
      <c r="B496" s="1"/>
      <c r="C496" s="1"/>
      <c r="D496" s="1"/>
      <c r="G496" s="1"/>
      <c r="H496" s="1"/>
      <c r="I496" s="1"/>
      <c r="J496" s="1"/>
      <c r="L496" s="1755"/>
      <c r="M496" s="1755"/>
      <c r="N496" s="1755"/>
    </row>
    <row r="497" spans="1:14" ht="15" customHeight="1" x14ac:dyDescent="0.25">
      <c r="A497" s="1"/>
      <c r="B497" s="1"/>
      <c r="C497" s="1"/>
      <c r="D497" s="1"/>
      <c r="G497" s="1"/>
      <c r="H497" s="1"/>
      <c r="I497" s="1"/>
      <c r="J497" s="1"/>
      <c r="L497" s="1755"/>
      <c r="M497" s="1755"/>
      <c r="N497" s="1755"/>
    </row>
    <row r="498" spans="1:14" ht="15" customHeight="1" x14ac:dyDescent="0.25">
      <c r="A498" s="1"/>
      <c r="B498" s="1"/>
      <c r="C498" s="1"/>
      <c r="D498" s="1"/>
      <c r="G498" s="1"/>
      <c r="H498" s="1"/>
      <c r="I498" s="1"/>
      <c r="J498" s="1"/>
      <c r="L498" s="1755"/>
      <c r="M498" s="1755"/>
      <c r="N498" s="1755"/>
    </row>
    <row r="499" spans="1:14" ht="15" customHeight="1" x14ac:dyDescent="0.25">
      <c r="A499" s="1"/>
      <c r="B499" s="1"/>
      <c r="C499" s="1"/>
      <c r="D499" s="1"/>
      <c r="G499" s="1"/>
      <c r="H499" s="1"/>
      <c r="I499" s="1"/>
      <c r="J499" s="1"/>
      <c r="L499" s="1755"/>
      <c r="M499" s="1755"/>
      <c r="N499" s="1755"/>
    </row>
    <row r="500" spans="1:14" ht="15" customHeight="1" x14ac:dyDescent="0.25">
      <c r="A500" s="1"/>
      <c r="B500" s="1"/>
      <c r="C500" s="1"/>
      <c r="D500" s="1"/>
      <c r="G500" s="1"/>
      <c r="H500" s="1"/>
      <c r="I500" s="1"/>
      <c r="J500" s="1"/>
      <c r="L500" s="1755"/>
      <c r="M500" s="1755"/>
      <c r="N500" s="1755"/>
    </row>
    <row r="501" spans="1:14" ht="15" customHeight="1" x14ac:dyDescent="0.25">
      <c r="A501" s="1"/>
      <c r="B501" s="1"/>
      <c r="C501" s="1"/>
      <c r="D501" s="1"/>
      <c r="G501" s="1"/>
      <c r="H501" s="1"/>
      <c r="I501" s="1"/>
      <c r="J501" s="1"/>
      <c r="L501" s="1755"/>
      <c r="M501" s="1755"/>
      <c r="N501" s="1755"/>
    </row>
    <row r="502" spans="1:14" ht="15" customHeight="1" x14ac:dyDescent="0.25">
      <c r="A502" s="1"/>
      <c r="B502" s="1"/>
      <c r="C502" s="1"/>
      <c r="D502" s="1"/>
      <c r="G502" s="1"/>
      <c r="H502" s="1"/>
      <c r="I502" s="1"/>
      <c r="J502" s="1"/>
    </row>
    <row r="503" spans="1:14" ht="15" customHeight="1" x14ac:dyDescent="0.25">
      <c r="A503" s="1"/>
      <c r="B503" s="1"/>
      <c r="C503" s="1"/>
      <c r="D503" s="1"/>
      <c r="G503" s="1"/>
      <c r="H503" s="1"/>
      <c r="I503" s="1"/>
      <c r="J503" s="1"/>
    </row>
    <row r="504" spans="1:14" ht="15" customHeight="1" x14ac:dyDescent="0.25">
      <c r="A504" s="1"/>
      <c r="B504" s="1"/>
      <c r="C504" s="1"/>
      <c r="D504" s="1"/>
      <c r="G504" s="1"/>
      <c r="H504" s="1"/>
      <c r="I504" s="1"/>
      <c r="J504" s="1"/>
    </row>
    <row r="505" spans="1:14" ht="15" customHeight="1" x14ac:dyDescent="0.25">
      <c r="A505" s="1"/>
      <c r="B505" s="1"/>
      <c r="C505" s="1"/>
      <c r="D505" s="1"/>
      <c r="G505" s="1"/>
      <c r="H505" s="1"/>
      <c r="I505" s="1"/>
      <c r="J505" s="1"/>
    </row>
    <row r="506" spans="1:14" ht="15" customHeight="1" x14ac:dyDescent="0.25">
      <c r="A506" s="1"/>
      <c r="B506" s="1"/>
      <c r="C506" s="1"/>
      <c r="D506" s="1"/>
      <c r="G506" s="1"/>
      <c r="H506" s="1"/>
      <c r="I506" s="1"/>
      <c r="J506" s="1"/>
    </row>
    <row r="507" spans="1:14" ht="15" customHeight="1" x14ac:dyDescent="0.25">
      <c r="A507" s="1"/>
      <c r="B507" s="1"/>
      <c r="C507" s="1"/>
      <c r="D507" s="1"/>
      <c r="G507" s="1"/>
      <c r="H507" s="1"/>
      <c r="I507" s="1"/>
      <c r="J507" s="1"/>
    </row>
    <row r="508" spans="1:14" ht="15" customHeight="1" x14ac:dyDescent="0.25">
      <c r="A508" s="1"/>
      <c r="B508" s="1"/>
      <c r="C508" s="1"/>
      <c r="D508" s="1"/>
      <c r="G508" s="1"/>
      <c r="H508" s="1"/>
      <c r="I508" s="1"/>
      <c r="J508" s="1"/>
    </row>
    <row r="509" spans="1:14" ht="15" customHeight="1" x14ac:dyDescent="0.25">
      <c r="A509" s="1"/>
      <c r="B509" s="1"/>
      <c r="C509" s="1"/>
      <c r="D509" s="1"/>
      <c r="G509" s="1"/>
      <c r="H509" s="1"/>
      <c r="I509" s="1"/>
      <c r="J509" s="1"/>
    </row>
    <row r="510" spans="1:14" ht="15" customHeight="1" x14ac:dyDescent="0.25">
      <c r="A510" s="1"/>
      <c r="B510" s="1"/>
      <c r="C510" s="1"/>
      <c r="D510" s="1"/>
      <c r="G510" s="1"/>
      <c r="H510" s="1"/>
      <c r="I510" s="1"/>
      <c r="J510" s="1"/>
    </row>
    <row r="511" spans="1:14" ht="15" customHeight="1" x14ac:dyDescent="0.25">
      <c r="A511" s="1"/>
      <c r="B511" s="1"/>
      <c r="C511" s="1"/>
      <c r="D511" s="1"/>
      <c r="G511" s="1"/>
      <c r="H511" s="1"/>
      <c r="I511" s="1"/>
      <c r="J511" s="1"/>
    </row>
    <row r="512" spans="1:14" ht="15" customHeight="1" x14ac:dyDescent="0.25">
      <c r="A512" s="1"/>
      <c r="B512" s="1"/>
      <c r="C512" s="1"/>
      <c r="D512" s="1"/>
      <c r="G512" s="1"/>
      <c r="H512" s="1"/>
      <c r="I512" s="1"/>
      <c r="J512" s="1"/>
    </row>
    <row r="513" spans="1:10" ht="15" customHeight="1" x14ac:dyDescent="0.25">
      <c r="A513" s="1"/>
      <c r="B513" s="1"/>
      <c r="C513" s="1"/>
      <c r="D513" s="1"/>
      <c r="G513" s="1"/>
      <c r="H513" s="1"/>
      <c r="I513" s="1"/>
      <c r="J513" s="1"/>
    </row>
    <row r="514" spans="1:10" ht="15" customHeight="1" x14ac:dyDescent="0.25">
      <c r="A514" s="1"/>
      <c r="B514" s="1"/>
      <c r="C514" s="1"/>
      <c r="D514" s="1"/>
      <c r="G514" s="1"/>
      <c r="H514" s="1"/>
      <c r="I514" s="1"/>
      <c r="J514" s="1"/>
    </row>
    <row r="515" spans="1:10" ht="15" customHeight="1" x14ac:dyDescent="0.25">
      <c r="A515" s="1"/>
      <c r="B515" s="1"/>
      <c r="C515" s="1"/>
      <c r="D515" s="1"/>
      <c r="G515" s="1"/>
      <c r="H515" s="1"/>
      <c r="I515" s="1"/>
      <c r="J515" s="1"/>
    </row>
    <row r="516" spans="1:10" ht="15" customHeight="1" x14ac:dyDescent="0.25">
      <c r="A516" s="1"/>
      <c r="B516" s="1"/>
      <c r="C516" s="1"/>
      <c r="D516" s="1"/>
      <c r="G516" s="1"/>
      <c r="H516" s="1"/>
      <c r="I516" s="1"/>
      <c r="J516" s="1"/>
    </row>
    <row r="517" spans="1:10" ht="15" customHeight="1" x14ac:dyDescent="0.25">
      <c r="A517" s="1"/>
      <c r="B517" s="1"/>
      <c r="C517" s="1"/>
      <c r="D517" s="1"/>
      <c r="G517" s="1"/>
      <c r="H517" s="1"/>
      <c r="I517" s="1"/>
      <c r="J517" s="1"/>
    </row>
    <row r="518" spans="1:10" ht="15" customHeight="1" x14ac:dyDescent="0.25">
      <c r="A518" s="1"/>
      <c r="B518" s="1"/>
      <c r="C518" s="1"/>
      <c r="D518" s="1"/>
      <c r="G518" s="1"/>
      <c r="H518" s="1"/>
      <c r="I518" s="1"/>
      <c r="J518" s="1"/>
    </row>
    <row r="519" spans="1:10" ht="15" customHeight="1" x14ac:dyDescent="0.25">
      <c r="A519" s="1"/>
      <c r="B519" s="1"/>
      <c r="C519" s="1"/>
      <c r="D519" s="1"/>
      <c r="G519" s="1"/>
      <c r="H519" s="1"/>
      <c r="I519" s="1"/>
      <c r="J519" s="1"/>
    </row>
    <row r="520" spans="1:10" ht="15" customHeight="1" x14ac:dyDescent="0.25">
      <c r="A520" s="1"/>
      <c r="B520" s="1"/>
      <c r="C520" s="1"/>
      <c r="D520" s="1"/>
      <c r="G520" s="1"/>
      <c r="H520" s="1"/>
      <c r="I520" s="1"/>
      <c r="J520" s="1"/>
    </row>
    <row r="521" spans="1:10" ht="15" customHeight="1" x14ac:dyDescent="0.25">
      <c r="A521" s="1"/>
      <c r="B521" s="1"/>
      <c r="C521" s="1"/>
      <c r="D521" s="1"/>
      <c r="G521" s="1"/>
      <c r="H521" s="1"/>
      <c r="I521" s="1"/>
      <c r="J521" s="1"/>
    </row>
    <row r="522" spans="1:10" ht="15" customHeight="1" x14ac:dyDescent="0.25">
      <c r="A522" s="1"/>
      <c r="B522" s="1"/>
      <c r="C522" s="1"/>
      <c r="D522" s="1"/>
      <c r="G522" s="1"/>
      <c r="H522" s="1"/>
      <c r="I522" s="1"/>
      <c r="J522" s="1"/>
    </row>
    <row r="523" spans="1:10" ht="15" customHeight="1" x14ac:dyDescent="0.25">
      <c r="A523" s="1"/>
      <c r="B523" s="1"/>
      <c r="C523" s="1"/>
      <c r="D523" s="1"/>
      <c r="G523" s="1"/>
      <c r="H523" s="1"/>
      <c r="I523" s="1"/>
      <c r="J523" s="1"/>
    </row>
    <row r="524" spans="1:10" ht="15" customHeight="1" x14ac:dyDescent="0.25">
      <c r="A524" s="1"/>
      <c r="B524" s="1"/>
      <c r="C524" s="1"/>
      <c r="D524" s="1"/>
      <c r="G524" s="1"/>
      <c r="H524" s="1"/>
      <c r="I524" s="1"/>
      <c r="J524" s="1"/>
    </row>
    <row r="525" spans="1:10" ht="15" customHeight="1" x14ac:dyDescent="0.25">
      <c r="A525" s="1"/>
      <c r="B525" s="1"/>
      <c r="C525" s="1"/>
      <c r="D525" s="1"/>
      <c r="G525" s="1"/>
      <c r="H525" s="1"/>
      <c r="I525" s="1"/>
      <c r="J525" s="1"/>
    </row>
    <row r="526" spans="1:10" ht="15" customHeight="1" x14ac:dyDescent="0.25">
      <c r="A526" s="1"/>
      <c r="B526" s="1"/>
      <c r="C526" s="1"/>
      <c r="D526" s="1"/>
      <c r="G526" s="1"/>
      <c r="H526" s="1"/>
      <c r="I526" s="1"/>
      <c r="J526" s="1"/>
    </row>
    <row r="527" spans="1:10" ht="15" customHeight="1" x14ac:dyDescent="0.25">
      <c r="A527" s="1"/>
      <c r="B527" s="1"/>
      <c r="C527" s="1"/>
      <c r="D527" s="1"/>
      <c r="G527" s="1"/>
      <c r="H527" s="1"/>
      <c r="I527" s="1"/>
      <c r="J527" s="1"/>
    </row>
    <row r="528" spans="1:10" ht="15" customHeight="1" x14ac:dyDescent="0.25">
      <c r="A528" s="1"/>
      <c r="B528" s="1"/>
      <c r="C528" s="1"/>
      <c r="D528" s="1"/>
      <c r="G528" s="1"/>
      <c r="H528" s="1"/>
      <c r="I528" s="1"/>
      <c r="J528" s="1"/>
    </row>
    <row r="529" spans="1:10" ht="15" customHeight="1" x14ac:dyDescent="0.25">
      <c r="A529" s="1"/>
      <c r="B529" s="1"/>
      <c r="C529" s="1"/>
      <c r="D529" s="1"/>
      <c r="G529" s="1"/>
      <c r="H529" s="1"/>
      <c r="I529" s="1"/>
      <c r="J529" s="1"/>
    </row>
    <row r="530" spans="1:10" ht="15" customHeight="1" x14ac:dyDescent="0.25">
      <c r="A530" s="1"/>
      <c r="B530" s="1"/>
      <c r="C530" s="1"/>
      <c r="D530" s="1"/>
      <c r="G530" s="1"/>
      <c r="H530" s="1"/>
      <c r="I530" s="1"/>
      <c r="J530" s="1"/>
    </row>
    <row r="531" spans="1:10" ht="15" customHeight="1" x14ac:dyDescent="0.25">
      <c r="A531" s="1"/>
      <c r="B531" s="1"/>
      <c r="C531" s="1"/>
      <c r="D531" s="1"/>
      <c r="G531" s="1"/>
      <c r="H531" s="1"/>
      <c r="I531" s="1"/>
      <c r="J531" s="1"/>
    </row>
    <row r="532" spans="1:10" ht="15" customHeight="1" x14ac:dyDescent="0.25">
      <c r="A532" s="1"/>
      <c r="B532" s="1"/>
      <c r="C532" s="1"/>
      <c r="D532" s="1"/>
      <c r="G532" s="1"/>
      <c r="H532" s="1"/>
      <c r="I532" s="1"/>
      <c r="J532" s="1"/>
    </row>
    <row r="533" spans="1:10" ht="15" customHeight="1" x14ac:dyDescent="0.25">
      <c r="A533" s="1"/>
      <c r="B533" s="1"/>
      <c r="C533" s="1"/>
      <c r="D533" s="1"/>
      <c r="G533" s="1"/>
      <c r="H533" s="1"/>
      <c r="I533" s="1"/>
      <c r="J533" s="1"/>
    </row>
    <row r="534" spans="1:10" ht="15" customHeight="1" x14ac:dyDescent="0.25">
      <c r="A534" s="1"/>
      <c r="B534" s="1"/>
      <c r="C534" s="1"/>
      <c r="D534" s="1"/>
      <c r="G534" s="1"/>
      <c r="H534" s="1"/>
      <c r="I534" s="1"/>
      <c r="J534" s="1"/>
    </row>
    <row r="535" spans="1:10" ht="15" customHeight="1" x14ac:dyDescent="0.25">
      <c r="A535" s="1"/>
      <c r="B535" s="1"/>
      <c r="C535" s="1"/>
      <c r="D535" s="1"/>
      <c r="G535" s="1"/>
      <c r="H535" s="1"/>
      <c r="I535" s="1"/>
      <c r="J535" s="1"/>
    </row>
    <row r="536" spans="1:10" ht="15" customHeight="1" x14ac:dyDescent="0.25">
      <c r="A536" s="1"/>
      <c r="B536" s="1"/>
      <c r="C536" s="1"/>
      <c r="D536" s="1"/>
      <c r="G536" s="1"/>
      <c r="H536" s="1"/>
      <c r="I536" s="1"/>
      <c r="J536" s="1"/>
    </row>
    <row r="537" spans="1:10" ht="15" customHeight="1" x14ac:dyDescent="0.25">
      <c r="A537" s="1"/>
      <c r="B537" s="1"/>
      <c r="C537" s="1"/>
      <c r="D537" s="1"/>
      <c r="G537" s="1"/>
      <c r="H537" s="1"/>
      <c r="I537" s="1"/>
      <c r="J537" s="1"/>
    </row>
    <row r="538" spans="1:10" ht="15" customHeight="1" x14ac:dyDescent="0.25">
      <c r="A538" s="1"/>
      <c r="B538" s="1"/>
      <c r="C538" s="1"/>
      <c r="D538" s="1"/>
      <c r="G538" s="1"/>
      <c r="H538" s="1"/>
      <c r="I538" s="1"/>
      <c r="J538" s="1"/>
    </row>
    <row r="539" spans="1:10" ht="15" customHeight="1" x14ac:dyDescent="0.25">
      <c r="A539" s="1"/>
      <c r="B539" s="1"/>
      <c r="C539" s="1"/>
      <c r="D539" s="1"/>
      <c r="G539" s="1"/>
      <c r="H539" s="1"/>
      <c r="I539" s="1"/>
      <c r="J539" s="1"/>
    </row>
    <row r="540" spans="1:10" ht="15" customHeight="1" x14ac:dyDescent="0.25">
      <c r="A540" s="1"/>
      <c r="B540" s="1"/>
      <c r="C540" s="1"/>
      <c r="D540" s="1"/>
      <c r="G540" s="1"/>
      <c r="H540" s="1"/>
      <c r="I540" s="1"/>
      <c r="J540" s="1"/>
    </row>
    <row r="541" spans="1:10" ht="15" customHeight="1" x14ac:dyDescent="0.25">
      <c r="A541" s="1"/>
      <c r="B541" s="1"/>
      <c r="C541" s="1"/>
      <c r="D541" s="1"/>
      <c r="G541" s="1"/>
      <c r="H541" s="1"/>
      <c r="I541" s="1"/>
      <c r="J541" s="1"/>
    </row>
    <row r="542" spans="1:10" ht="15" customHeight="1" x14ac:dyDescent="0.25">
      <c r="A542" s="1"/>
      <c r="B542" s="1"/>
      <c r="C542" s="1"/>
      <c r="D542" s="1"/>
      <c r="G542" s="1"/>
      <c r="H542" s="1"/>
      <c r="I542" s="1"/>
      <c r="J542" s="1"/>
    </row>
    <row r="543" spans="1:10" ht="15" customHeight="1" x14ac:dyDescent="0.25">
      <c r="A543" s="1"/>
      <c r="B543" s="1"/>
      <c r="C543" s="1"/>
      <c r="D543" s="1"/>
      <c r="G543" s="1"/>
      <c r="H543" s="1"/>
      <c r="I543" s="1"/>
      <c r="J543" s="1"/>
    </row>
    <row r="544" spans="1:10" ht="15" customHeight="1" x14ac:dyDescent="0.25">
      <c r="A544" s="1"/>
      <c r="B544" s="1"/>
      <c r="C544" s="1"/>
      <c r="D544" s="1"/>
      <c r="G544" s="1"/>
      <c r="H544" s="1"/>
      <c r="I544" s="1"/>
      <c r="J544" s="1"/>
    </row>
    <row r="545" spans="1:10" ht="15" customHeight="1" x14ac:dyDescent="0.25">
      <c r="A545" s="1"/>
      <c r="B545" s="1"/>
      <c r="C545" s="1"/>
      <c r="D545" s="1"/>
      <c r="G545" s="1"/>
      <c r="H545" s="1"/>
      <c r="I545" s="1"/>
      <c r="J545" s="1"/>
    </row>
    <row r="546" spans="1:10" ht="15" customHeight="1" x14ac:dyDescent="0.25">
      <c r="A546" s="1"/>
      <c r="B546" s="1"/>
      <c r="C546" s="1"/>
      <c r="D546" s="1"/>
      <c r="G546" s="1"/>
      <c r="H546" s="1"/>
      <c r="I546" s="1"/>
      <c r="J546" s="1"/>
    </row>
    <row r="547" spans="1:10" ht="15" customHeight="1" x14ac:dyDescent="0.25">
      <c r="A547" s="1"/>
      <c r="B547" s="1"/>
      <c r="C547" s="1"/>
      <c r="D547" s="1"/>
      <c r="G547" s="1"/>
      <c r="H547" s="1"/>
      <c r="I547" s="1"/>
      <c r="J547" s="1"/>
    </row>
    <row r="548" spans="1:10" ht="15" customHeight="1" x14ac:dyDescent="0.25">
      <c r="A548" s="1"/>
      <c r="B548" s="1"/>
      <c r="C548" s="1"/>
      <c r="D548" s="1"/>
      <c r="G548" s="1"/>
      <c r="H548" s="1"/>
      <c r="I548" s="1"/>
      <c r="J548" s="1"/>
    </row>
    <row r="549" spans="1:10" ht="15" customHeight="1" x14ac:dyDescent="0.25">
      <c r="A549" s="1"/>
      <c r="B549" s="1"/>
      <c r="C549" s="1"/>
      <c r="D549" s="1"/>
      <c r="G549" s="1"/>
      <c r="H549" s="1"/>
      <c r="I549" s="1"/>
      <c r="J549" s="1"/>
    </row>
    <row r="550" spans="1:10" ht="15" customHeight="1" x14ac:dyDescent="0.25">
      <c r="A550" s="1"/>
      <c r="B550" s="1"/>
      <c r="C550" s="1"/>
      <c r="D550" s="1"/>
      <c r="G550" s="1"/>
      <c r="H550" s="1"/>
      <c r="I550" s="1"/>
      <c r="J550" s="1"/>
    </row>
    <row r="551" spans="1:10" ht="15" customHeight="1" x14ac:dyDescent="0.25">
      <c r="A551" s="1"/>
      <c r="B551" s="1"/>
      <c r="C551" s="1"/>
      <c r="D551" s="1"/>
      <c r="G551" s="1"/>
      <c r="H551" s="1"/>
      <c r="I551" s="1"/>
      <c r="J551" s="1"/>
    </row>
    <row r="552" spans="1:10" ht="15" customHeight="1" x14ac:dyDescent="0.25">
      <c r="A552" s="1"/>
      <c r="B552" s="1"/>
      <c r="C552" s="1"/>
      <c r="D552" s="1"/>
      <c r="G552" s="1"/>
      <c r="H552" s="1"/>
      <c r="I552" s="1"/>
      <c r="J552" s="1"/>
    </row>
    <row r="553" spans="1:10" ht="15" customHeight="1" x14ac:dyDescent="0.25">
      <c r="A553" s="1"/>
      <c r="B553" s="1"/>
      <c r="C553" s="1"/>
      <c r="D553" s="1"/>
      <c r="G553" s="1"/>
      <c r="H553" s="1"/>
      <c r="I553" s="1"/>
      <c r="J553" s="1"/>
    </row>
    <row r="554" spans="1:10" ht="15" customHeight="1" x14ac:dyDescent="0.25">
      <c r="A554" s="1"/>
      <c r="B554" s="1"/>
      <c r="C554" s="1"/>
      <c r="D554" s="1"/>
      <c r="G554" s="1"/>
      <c r="H554" s="1"/>
      <c r="I554" s="1"/>
      <c r="J554" s="1"/>
    </row>
    <row r="555" spans="1:10" ht="15" customHeight="1" x14ac:dyDescent="0.25">
      <c r="A555" s="1"/>
      <c r="B555" s="1"/>
      <c r="C555" s="1"/>
      <c r="D555" s="1"/>
      <c r="G555" s="1"/>
      <c r="H555" s="1"/>
      <c r="I555" s="1"/>
      <c r="J555" s="1"/>
    </row>
    <row r="556" spans="1:10" ht="15" customHeight="1" x14ac:dyDescent="0.25">
      <c r="A556" s="1"/>
      <c r="B556" s="1"/>
      <c r="C556" s="1"/>
      <c r="D556" s="1"/>
      <c r="G556" s="1"/>
      <c r="H556" s="1"/>
      <c r="I556" s="1"/>
      <c r="J556" s="1"/>
    </row>
    <row r="557" spans="1:10" ht="15" customHeight="1" x14ac:dyDescent="0.25">
      <c r="A557" s="1"/>
      <c r="B557" s="1"/>
      <c r="C557" s="1"/>
      <c r="D557" s="1"/>
      <c r="G557" s="1"/>
      <c r="H557" s="1"/>
      <c r="I557" s="1"/>
      <c r="J557" s="1"/>
    </row>
    <row r="558" spans="1:10" ht="15" customHeight="1" x14ac:dyDescent="0.25">
      <c r="A558" s="1"/>
      <c r="B558" s="1"/>
      <c r="C558" s="1"/>
      <c r="D558" s="1"/>
      <c r="G558" s="1"/>
      <c r="H558" s="1"/>
      <c r="I558" s="1"/>
      <c r="J558" s="1"/>
    </row>
    <row r="559" spans="1:10" ht="15" customHeight="1" x14ac:dyDescent="0.25">
      <c r="A559" s="1"/>
      <c r="B559" s="1"/>
      <c r="C559" s="1"/>
      <c r="D559" s="1"/>
      <c r="G559" s="1"/>
      <c r="H559" s="1"/>
      <c r="I559" s="1"/>
      <c r="J559" s="1"/>
    </row>
    <row r="560" spans="1:10" ht="15" customHeight="1" x14ac:dyDescent="0.25">
      <c r="A560" s="1"/>
      <c r="B560" s="1"/>
      <c r="C560" s="1"/>
      <c r="D560" s="1"/>
      <c r="G560" s="1"/>
      <c r="H560" s="1"/>
      <c r="I560" s="1"/>
      <c r="J560" s="1"/>
    </row>
    <row r="561" spans="1:10" ht="15" customHeight="1" x14ac:dyDescent="0.25">
      <c r="A561" s="1"/>
      <c r="B561" s="1"/>
      <c r="C561" s="1"/>
      <c r="D561" s="1"/>
      <c r="G561" s="1"/>
      <c r="H561" s="1"/>
      <c r="I561" s="1"/>
      <c r="J561" s="1"/>
    </row>
    <row r="562" spans="1:10" ht="15" customHeight="1" x14ac:dyDescent="0.25">
      <c r="A562" s="1"/>
      <c r="B562" s="1"/>
      <c r="C562" s="1"/>
      <c r="D562" s="1"/>
      <c r="G562" s="1"/>
      <c r="H562" s="1"/>
      <c r="I562" s="1"/>
      <c r="J562" s="1"/>
    </row>
    <row r="563" spans="1:10" ht="15" customHeight="1" x14ac:dyDescent="0.25">
      <c r="A563" s="1"/>
      <c r="B563" s="1"/>
      <c r="C563" s="1"/>
      <c r="D563" s="1"/>
      <c r="G563" s="1"/>
      <c r="H563" s="1"/>
      <c r="I563" s="1"/>
      <c r="J563" s="1"/>
    </row>
    <row r="564" spans="1:10" ht="15" customHeight="1" x14ac:dyDescent="0.25">
      <c r="A564" s="1"/>
      <c r="B564" s="1"/>
      <c r="C564" s="1"/>
      <c r="D564" s="1"/>
      <c r="G564" s="1"/>
      <c r="H564" s="1"/>
      <c r="I564" s="1"/>
      <c r="J564" s="1"/>
    </row>
    <row r="565" spans="1:10" ht="15" customHeight="1" x14ac:dyDescent="0.25">
      <c r="A565" s="1"/>
      <c r="B565" s="1"/>
      <c r="C565" s="1"/>
      <c r="D565" s="1"/>
      <c r="G565" s="1"/>
      <c r="H565" s="1"/>
      <c r="I565" s="1"/>
      <c r="J565" s="1"/>
    </row>
  </sheetData>
  <mergeCells count="15">
    <mergeCell ref="C84:F84"/>
    <mergeCell ref="A10:J10"/>
    <mergeCell ref="L12:L14"/>
    <mergeCell ref="M12:M14"/>
    <mergeCell ref="J12:J14"/>
    <mergeCell ref="A1:J1"/>
    <mergeCell ref="A12:B14"/>
    <mergeCell ref="H12:H14"/>
    <mergeCell ref="I12:I14"/>
    <mergeCell ref="G12:G14"/>
    <mergeCell ref="A3:J3"/>
    <mergeCell ref="A2:J2"/>
    <mergeCell ref="E5:G5"/>
    <mergeCell ref="E6:G6"/>
    <mergeCell ref="E7:G7"/>
  </mergeCells>
  <phoneticPr fontId="0" type="noConversion"/>
  <dataValidations count="2">
    <dataValidation type="list" allowBlank="1" showInputMessage="1" showErrorMessage="1" sqref="E17 E65 E47 E69 E71" xr:uid="{00000000-0002-0000-0200-000000000000}">
      <formula1>PTD</formula1>
    </dataValidation>
    <dataValidation type="list" allowBlank="1" showInputMessage="1" showErrorMessage="1" sqref="E18 E148:E149 E128 E120:E122 E96 E92 E66 E70 E72:E73" xr:uid="{00000000-0002-0000-0200-000001000000}">
      <formula1>DIST</formula1>
    </dataValidation>
  </dataValidations>
  <hyperlinks>
    <hyperlink ref="A5" location="TOC!A1" display="TOC" xr:uid="{00000000-0004-0000-0200-000000000000}"/>
    <hyperlink ref="A6" location="'Sch 1- Rate Base '!A15" display="é" xr:uid="{00000000-0004-0000-0200-000001000000}"/>
  </hyperlinks>
  <printOptions horizontalCentered="1" headings="1"/>
  <pageMargins left="0.5" right="0.5" top="0.5" bottom="0.75" header="0.25" footer="0.25"/>
  <pageSetup scale="74" fitToHeight="5" orientation="landscape" r:id="rId1"/>
  <headerFooter alignWithMargins="0">
    <oddFooter>&amp;LFY 2026-2028 ASC Filing
&amp;CPage &amp;P of &amp;N&amp;R&amp;A
&amp;D</oddFooter>
  </headerFooter>
  <rowBreaks count="4" manualBreakCount="4">
    <brk id="50" max="9" man="1"/>
    <brk id="81" max="9" man="1"/>
    <brk id="116" max="9" man="1"/>
    <brk id="136" max="9" man="1"/>
  </rowBreaks>
  <customProperties>
    <customPr name="_pios_id" r:id="rId2"/>
  </customProperti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indexed="29"/>
  </sheetPr>
  <dimension ref="A1:H30"/>
  <sheetViews>
    <sheetView zoomScaleNormal="100" zoomScaleSheetLayoutView="75" workbookViewId="0">
      <selection sqref="A1:XFD1048576"/>
    </sheetView>
  </sheetViews>
  <sheetFormatPr defaultRowHeight="15.75" x14ac:dyDescent="0.25"/>
  <cols>
    <col min="1" max="1" width="6.75" customWidth="1"/>
    <col min="2" max="2" width="52.625" customWidth="1"/>
    <col min="3" max="6" width="15.875" customWidth="1"/>
    <col min="7" max="8" width="13.75" bestFit="1" customWidth="1"/>
  </cols>
  <sheetData>
    <row r="1" spans="1:6" ht="19.5" thickTop="1" x14ac:dyDescent="0.3">
      <c r="A1" s="3637" t="s">
        <v>54</v>
      </c>
      <c r="B1" s="3638"/>
      <c r="C1" s="3638"/>
      <c r="D1" s="3638"/>
      <c r="E1" s="3638"/>
      <c r="F1" s="3639"/>
    </row>
    <row r="2" spans="1:6" x14ac:dyDescent="0.25">
      <c r="A2" s="3635" t="s">
        <v>56</v>
      </c>
      <c r="B2" s="3612"/>
      <c r="C2" s="3612"/>
      <c r="D2" s="3612"/>
      <c r="E2" s="3612"/>
      <c r="F2" s="3636"/>
    </row>
    <row r="3" spans="1:6" x14ac:dyDescent="0.25">
      <c r="A3" s="3633" t="s">
        <v>719</v>
      </c>
      <c r="B3" s="3609"/>
      <c r="C3" s="3609"/>
      <c r="D3" s="3609"/>
      <c r="E3" s="3609"/>
      <c r="F3" s="3634"/>
    </row>
    <row r="4" spans="1:6" ht="12" customHeight="1" thickBot="1" x14ac:dyDescent="0.3">
      <c r="A4" s="1333"/>
      <c r="B4" s="3"/>
      <c r="C4" s="141"/>
      <c r="D4" s="16"/>
      <c r="E4" s="16"/>
      <c r="F4" s="159"/>
    </row>
    <row r="5" spans="1:6" x14ac:dyDescent="0.25">
      <c r="A5" s="1238" t="s">
        <v>695</v>
      </c>
      <c r="B5" s="505" t="s">
        <v>572</v>
      </c>
      <c r="C5" s="3648" t="str">
        <f>'Sch 1- Rate Base '!$E$5</f>
        <v>PacifiCorp</v>
      </c>
      <c r="D5" s="3649"/>
      <c r="E5" s="1312"/>
      <c r="F5" s="1324" t="s">
        <v>717</v>
      </c>
    </row>
    <row r="6" spans="1:6" ht="18.75" x14ac:dyDescent="0.3">
      <c r="A6" s="1334"/>
      <c r="B6" s="505" t="s">
        <v>574</v>
      </c>
      <c r="C6" s="3650">
        <f>'Sch 1- Rate Base '!$E$6</f>
        <v>2023</v>
      </c>
      <c r="D6" s="3651"/>
      <c r="E6" s="1312"/>
      <c r="F6" s="1325" t="str">
        <f>'Sch 1- Rate Base '!I6</f>
        <v/>
      </c>
    </row>
    <row r="7" spans="1:6" ht="16.5" thickBot="1" x14ac:dyDescent="0.3">
      <c r="A7" s="332"/>
      <c r="B7" s="505" t="s">
        <v>575</v>
      </c>
      <c r="C7" s="3652">
        <f>'Sch 1- Rate Base '!$E$7</f>
        <v>45446</v>
      </c>
      <c r="D7" s="3653"/>
      <c r="E7" s="1312"/>
      <c r="F7" s="1327" t="str">
        <f>'Sch 1- Rate Base '!I7</f>
        <v/>
      </c>
    </row>
    <row r="8" spans="1:6" x14ac:dyDescent="0.25">
      <c r="A8" s="332"/>
      <c r="B8" s="505"/>
      <c r="C8" s="626"/>
      <c r="D8" s="625"/>
      <c r="E8" s="180"/>
      <c r="F8" s="159"/>
    </row>
    <row r="9" spans="1:6" x14ac:dyDescent="0.25">
      <c r="A9" s="332"/>
      <c r="B9" s="505"/>
      <c r="C9" s="180"/>
      <c r="D9" s="625"/>
      <c r="E9" s="180"/>
      <c r="F9" s="159"/>
    </row>
    <row r="10" spans="1:6" x14ac:dyDescent="0.25">
      <c r="A10" s="332" t="s">
        <v>498</v>
      </c>
      <c r="B10" s="3"/>
      <c r="C10" s="141"/>
      <c r="D10" s="16"/>
      <c r="E10" s="16"/>
      <c r="F10" s="159"/>
    </row>
    <row r="11" spans="1:6" ht="17.25" customHeight="1" thickBot="1" x14ac:dyDescent="0.3">
      <c r="A11" s="3645" t="s">
        <v>230</v>
      </c>
      <c r="B11" s="3646"/>
      <c r="C11" s="3646"/>
      <c r="D11" s="3646"/>
      <c r="E11" s="3646"/>
      <c r="F11" s="3647"/>
    </row>
    <row r="12" spans="1:6" x14ac:dyDescent="0.25">
      <c r="A12" s="3642" t="s">
        <v>100</v>
      </c>
      <c r="B12" s="3603"/>
      <c r="C12" s="3606" t="s">
        <v>104</v>
      </c>
      <c r="D12" s="3606" t="s">
        <v>105</v>
      </c>
      <c r="E12" s="3606" t="s">
        <v>106</v>
      </c>
      <c r="F12" s="3640" t="s">
        <v>728</v>
      </c>
    </row>
    <row r="13" spans="1:6" ht="16.5" thickBot="1" x14ac:dyDescent="0.3">
      <c r="A13" s="3643"/>
      <c r="B13" s="3644"/>
      <c r="C13" s="3629"/>
      <c r="D13" s="3629"/>
      <c r="E13" s="3629"/>
      <c r="F13" s="3641"/>
    </row>
    <row r="14" spans="1:6" x14ac:dyDescent="0.25">
      <c r="A14" s="160" t="s">
        <v>154</v>
      </c>
      <c r="B14" s="32"/>
      <c r="C14" s="35"/>
      <c r="D14" s="142"/>
      <c r="E14" s="142"/>
      <c r="F14" s="251"/>
    </row>
    <row r="15" spans="1:6" x14ac:dyDescent="0.25">
      <c r="A15" s="164"/>
      <c r="B15" s="33" t="s">
        <v>155</v>
      </c>
      <c r="C15" s="542">
        <f>'Sch 3 - Expenses'!G36</f>
        <v>1559919589.7839088</v>
      </c>
      <c r="D15" s="542">
        <f>'Sch 3 - Expenses'!H36</f>
        <v>1557655344.2239089</v>
      </c>
      <c r="E15" s="542">
        <f>'Sch 3 - Expenses'!I36</f>
        <v>0</v>
      </c>
      <c r="F15" s="543">
        <f>'Sch 3 - Expenses'!J36</f>
        <v>2264245.5599999996</v>
      </c>
    </row>
    <row r="16" spans="1:6" x14ac:dyDescent="0.25">
      <c r="A16" s="164"/>
      <c r="B16" s="33" t="s">
        <v>499</v>
      </c>
      <c r="C16" s="542">
        <f>'Sch 3 - Expenses'!G42</f>
        <v>103453255.75588429</v>
      </c>
      <c r="D16" s="542">
        <f>'Sch 3 - Expenses'!H42</f>
        <v>65955211.648190439</v>
      </c>
      <c r="E16" s="542">
        <f>'Sch 3 - Expenses'!I42</f>
        <v>0</v>
      </c>
      <c r="F16" s="543">
        <f>'Sch 3 - Expenses'!J42</f>
        <v>37498044.107693851</v>
      </c>
    </row>
    <row r="17" spans="1:8" x14ac:dyDescent="0.25">
      <c r="A17" s="164"/>
      <c r="B17" s="33" t="s">
        <v>520</v>
      </c>
      <c r="C17" s="542">
        <f>'Sch 3 - Expenses'!G47</f>
        <v>178080286.94799274</v>
      </c>
      <c r="D17" s="542">
        <f>'Sch 3 - Expenses'!H47</f>
        <v>0</v>
      </c>
      <c r="E17" s="542">
        <f>'Sch 3 - Expenses'!I47</f>
        <v>0</v>
      </c>
      <c r="F17" s="543">
        <f>'Sch 3 - Expenses'!J47</f>
        <v>178080286.94799274</v>
      </c>
    </row>
    <row r="18" spans="1:8" x14ac:dyDescent="0.25">
      <c r="A18" s="164"/>
      <c r="B18" s="33" t="s">
        <v>542</v>
      </c>
      <c r="C18" s="542">
        <f>'Sch 3 - Expenses'!G55</f>
        <v>143324807.44432506</v>
      </c>
      <c r="D18" s="542">
        <f>'Sch 3 - Expenses'!H55</f>
        <v>92632457.840870231</v>
      </c>
      <c r="E18" s="542">
        <f>'Sch 3 - Expenses'!I55</f>
        <v>0</v>
      </c>
      <c r="F18" s="543">
        <f>'Sch 3 - Expenses'!J55</f>
        <v>50692349.603454813</v>
      </c>
    </row>
    <row r="19" spans="1:8" x14ac:dyDescent="0.25">
      <c r="A19" s="164"/>
      <c r="B19" s="33" t="s">
        <v>156</v>
      </c>
      <c r="C19" s="542">
        <f>'Sch 3 - Expenses'!G75</f>
        <v>816337528.10835838</v>
      </c>
      <c r="D19" s="542">
        <f>'Sch 3 - Expenses'!H75</f>
        <v>332693781.08396053</v>
      </c>
      <c r="E19" s="542">
        <f>'Sch 3 - Expenses'!I75</f>
        <v>0</v>
      </c>
      <c r="F19" s="543">
        <f>'Sch 3 - Expenses'!J75</f>
        <v>483640675.80043858</v>
      </c>
    </row>
    <row r="20" spans="1:8" x14ac:dyDescent="0.25">
      <c r="A20" s="164"/>
      <c r="B20" s="33" t="s">
        <v>182</v>
      </c>
      <c r="C20" s="1550">
        <f>'Sch 3 - Expenses'!G16+'Sch 3 - Expenses'!G20+'Sch 3 - Expenses'!G27+'Sch 3 - Expenses'!G31+'Sch 3 - Expenses'!G34+'Sch 3 - Expenses'!G35+G30</f>
        <v>1348512703.9942327</v>
      </c>
      <c r="D20" s="1550">
        <f>'Sch 3 - Expenses'!H16+'Sch 3 - Expenses'!H20+'Sch 3 - Expenses'!H27+'Sch 3 - Expenses'!H31+'Sch 3 - Expenses'!H34+'Sch 3 - Expenses'!H35+H30</f>
        <v>1346248458.4342327</v>
      </c>
      <c r="E20" s="542">
        <f>'Sch 3 - Expenses'!I16+'Sch 3 - Expenses'!I20+'Sch 3 - Expenses'!I27+'Sch 3 - Expenses'!I31+'Sch 3 - Expenses'!I34+'Sch 3 - Expenses'!I35</f>
        <v>0</v>
      </c>
      <c r="F20" s="543">
        <f>'Sch 3 - Expenses'!J16+'Sch 3 - Expenses'!J20+'Sch 3 - Expenses'!J27+'Sch 3 - Expenses'!J31+'Sch 3 - Expenses'!J34+'Sch 3 - Expenses'!J35</f>
        <v>2264245.5599999996</v>
      </c>
    </row>
    <row r="21" spans="1:8" x14ac:dyDescent="0.25">
      <c r="A21" s="163" t="s">
        <v>158</v>
      </c>
      <c r="B21" s="32"/>
      <c r="C21" s="476">
        <f>SUM(C15:C19)-C20</f>
        <v>1452602764.0462365</v>
      </c>
      <c r="D21" s="476">
        <f>SUM(D15:D19)-D20</f>
        <v>702688336.36269736</v>
      </c>
      <c r="E21" s="476">
        <f>SUM(E15:E19)-E20</f>
        <v>0</v>
      </c>
      <c r="F21" s="477">
        <f>SUM(F15:F19)-F20</f>
        <v>749911356.45958006</v>
      </c>
    </row>
    <row r="22" spans="1:8" x14ac:dyDescent="0.25">
      <c r="A22" s="212"/>
      <c r="B22" s="32"/>
      <c r="C22" s="142"/>
      <c r="D22" s="142"/>
      <c r="E22" s="142"/>
      <c r="F22" s="252"/>
    </row>
    <row r="23" spans="1:8" x14ac:dyDescent="0.25">
      <c r="A23" s="160" t="s">
        <v>159</v>
      </c>
      <c r="B23" s="62"/>
      <c r="C23" s="142"/>
      <c r="D23" s="142"/>
      <c r="E23" s="142"/>
      <c r="F23" s="252"/>
    </row>
    <row r="24" spans="1:8" x14ac:dyDescent="0.25">
      <c r="A24" s="163" t="s">
        <v>157</v>
      </c>
      <c r="B24" s="62"/>
      <c r="C24" s="476">
        <f>C21/8</f>
        <v>181575345.50577956</v>
      </c>
      <c r="D24" s="476">
        <f>D21/8</f>
        <v>87836042.04533717</v>
      </c>
      <c r="E24" s="476">
        <f>E21/8</f>
        <v>0</v>
      </c>
      <c r="F24" s="477">
        <f>F21/8</f>
        <v>93738919.557447508</v>
      </c>
    </row>
    <row r="25" spans="1:8" x14ac:dyDescent="0.25">
      <c r="A25" s="170"/>
      <c r="B25" s="79"/>
      <c r="C25" s="54"/>
      <c r="D25" s="54"/>
      <c r="E25" s="54"/>
      <c r="F25" s="244"/>
    </row>
    <row r="26" spans="1:8" ht="16.5" thickBot="1" x14ac:dyDescent="0.3">
      <c r="A26" s="191"/>
      <c r="B26" s="203"/>
      <c r="C26" s="203"/>
      <c r="D26" s="203"/>
      <c r="E26" s="203"/>
      <c r="F26" s="204"/>
    </row>
    <row r="27" spans="1:8" ht="16.5" thickTop="1" x14ac:dyDescent="0.25"/>
    <row r="30" spans="1:8" x14ac:dyDescent="0.25">
      <c r="B30" s="1548" t="s">
        <v>752</v>
      </c>
      <c r="C30" s="1549"/>
      <c r="D30" s="1549"/>
      <c r="E30" s="1549"/>
      <c r="F30" s="1549"/>
      <c r="G30" s="1737"/>
      <c r="H30" s="1624">
        <f>G30</f>
        <v>0</v>
      </c>
    </row>
  </sheetData>
  <mergeCells count="12">
    <mergeCell ref="A3:F3"/>
    <mergeCell ref="A2:F2"/>
    <mergeCell ref="A1:F1"/>
    <mergeCell ref="F12:F13"/>
    <mergeCell ref="A12:B13"/>
    <mergeCell ref="C12:C13"/>
    <mergeCell ref="D12:D13"/>
    <mergeCell ref="E12:E13"/>
    <mergeCell ref="A11:F11"/>
    <mergeCell ref="C5:D5"/>
    <mergeCell ref="C6:D6"/>
    <mergeCell ref="C7:D7"/>
  </mergeCells>
  <phoneticPr fontId="0" type="noConversion"/>
  <hyperlinks>
    <hyperlink ref="A5" location="TOC!A1" display="TOC" xr:uid="{00000000-0004-0000-0300-000000000000}"/>
  </hyperlinks>
  <printOptions horizontalCentered="1" headings="1"/>
  <pageMargins left="0.5" right="0.5" top="1" bottom="0.55000000000000004" header="0.25" footer="0.25"/>
  <pageSetup scale="75" orientation="landscape" r:id="rId1"/>
  <headerFooter alignWithMargins="0">
    <oddFooter>&amp;LFY 2026-2028 ASC Filing&amp;CPage &amp;P of &amp;N&amp;R&amp;A
&amp;D</oddFooter>
  </headerFooter>
  <customProperties>
    <customPr name="_pios_id" r:id="rId2"/>
  </customPropertie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indexed="42"/>
  </sheetPr>
  <dimension ref="A1:Q129"/>
  <sheetViews>
    <sheetView showZeros="0" topLeftCell="A43" zoomScaleNormal="100" zoomScaleSheetLayoutView="75" workbookViewId="0">
      <selection activeCell="A43" sqref="A1:XFD1048576"/>
    </sheetView>
  </sheetViews>
  <sheetFormatPr defaultColWidth="9" defaultRowHeight="15.75" x14ac:dyDescent="0.25"/>
  <cols>
    <col min="1" max="1" width="29.625" style="1" customWidth="1"/>
    <col min="2" max="2" width="17.75" style="1" customWidth="1"/>
    <col min="3" max="3" width="14.125" style="1" customWidth="1"/>
    <col min="4" max="4" width="9.875" style="1" customWidth="1"/>
    <col min="5" max="5" width="17.375" style="1" bestFit="1" customWidth="1"/>
    <col min="6" max="6" width="12.5" style="1" customWidth="1"/>
    <col min="7" max="7" width="18.5" style="1" customWidth="1"/>
    <col min="8" max="8" width="16.625" style="1" customWidth="1"/>
    <col min="9" max="9" width="2.75" style="1" customWidth="1"/>
    <col min="10" max="11" width="9.625" style="1" customWidth="1"/>
    <col min="12" max="12" width="10.5" style="1" customWidth="1"/>
    <col min="13" max="16384" width="9" style="1"/>
  </cols>
  <sheetData>
    <row r="1" spans="1:17" ht="20.100000000000001" customHeight="1" thickTop="1" x14ac:dyDescent="0.3">
      <c r="A1" s="3637" t="s">
        <v>54</v>
      </c>
      <c r="B1" s="3638"/>
      <c r="C1" s="3638"/>
      <c r="D1" s="3638"/>
      <c r="E1" s="3638"/>
      <c r="F1" s="3638"/>
      <c r="G1" s="3638"/>
      <c r="H1" s="3639"/>
      <c r="I1"/>
      <c r="J1"/>
      <c r="K1"/>
      <c r="L1" s="40"/>
      <c r="M1" s="37"/>
      <c r="N1" s="41"/>
      <c r="O1" s="11"/>
      <c r="P1" s="11"/>
      <c r="Q1" s="11"/>
    </row>
    <row r="2" spans="1:17" ht="20.100000000000001" customHeight="1" x14ac:dyDescent="0.25">
      <c r="A2" s="3635" t="s">
        <v>56</v>
      </c>
      <c r="B2" s="3612"/>
      <c r="C2" s="3612"/>
      <c r="D2" s="3612"/>
      <c r="E2" s="3612"/>
      <c r="F2" s="3612"/>
      <c r="G2" s="3612"/>
      <c r="H2" s="3636"/>
      <c r="I2"/>
      <c r="J2"/>
      <c r="K2"/>
      <c r="L2" s="40"/>
      <c r="M2" s="37"/>
      <c r="N2" s="41"/>
      <c r="O2" s="11"/>
      <c r="P2" s="11"/>
      <c r="Q2" s="11"/>
    </row>
    <row r="3" spans="1:17" ht="20.100000000000001" customHeight="1" x14ac:dyDescent="0.25">
      <c r="A3" s="3633" t="s">
        <v>719</v>
      </c>
      <c r="B3" s="3609"/>
      <c r="C3" s="3609"/>
      <c r="D3" s="3609"/>
      <c r="E3" s="3609"/>
      <c r="F3" s="3609"/>
      <c r="G3" s="3609"/>
      <c r="H3" s="3634"/>
      <c r="I3"/>
      <c r="J3"/>
      <c r="K3"/>
      <c r="L3" s="40"/>
      <c r="M3" s="37"/>
      <c r="N3" s="41"/>
      <c r="O3" s="11"/>
      <c r="P3" s="11"/>
      <c r="Q3" s="11"/>
    </row>
    <row r="4" spans="1:17" ht="12" customHeight="1" thickBot="1" x14ac:dyDescent="0.3">
      <c r="A4" s="367"/>
      <c r="B4" s="83"/>
      <c r="C4" s="83"/>
      <c r="D4" s="83"/>
      <c r="E4" s="83"/>
      <c r="F4" s="144"/>
      <c r="G4" s="144"/>
      <c r="H4" s="253"/>
      <c r="I4"/>
      <c r="J4"/>
      <c r="K4"/>
      <c r="L4" s="40"/>
      <c r="M4" s="37"/>
      <c r="N4" s="41"/>
      <c r="O4" s="11"/>
      <c r="P4" s="11"/>
      <c r="Q4" s="11"/>
    </row>
    <row r="5" spans="1:17" ht="15.75" customHeight="1" x14ac:dyDescent="0.25">
      <c r="A5" s="1238" t="s">
        <v>695</v>
      </c>
      <c r="B5" s="1202"/>
      <c r="C5" s="505" t="s">
        <v>572</v>
      </c>
      <c r="D5" s="3648" t="str">
        <f>'Sch 1- Rate Base '!$E$5</f>
        <v>PacifiCorp</v>
      </c>
      <c r="E5" s="3649"/>
      <c r="F5" s="3656"/>
      <c r="G5" s="625"/>
      <c r="H5" s="1324" t="s">
        <v>717</v>
      </c>
      <c r="I5"/>
      <c r="J5"/>
      <c r="K5"/>
      <c r="L5" s="40"/>
      <c r="M5" s="37"/>
      <c r="N5" s="41"/>
      <c r="O5" s="11"/>
      <c r="P5" s="11"/>
      <c r="Q5" s="11"/>
    </row>
    <row r="6" spans="1:17" ht="15.75" customHeight="1" x14ac:dyDescent="0.25">
      <c r="A6" s="1326" t="s">
        <v>696</v>
      </c>
      <c r="B6" s="1202"/>
      <c r="C6" s="505" t="s">
        <v>574</v>
      </c>
      <c r="D6" s="3650">
        <f>'Sch 1- Rate Base '!$E$6</f>
        <v>2023</v>
      </c>
      <c r="E6" s="3651"/>
      <c r="F6" s="3657"/>
      <c r="G6" s="625"/>
      <c r="H6" s="1325" t="str">
        <f>'Sch 1- Rate Base '!I6</f>
        <v/>
      </c>
      <c r="I6"/>
      <c r="J6"/>
      <c r="K6"/>
      <c r="L6" s="40"/>
      <c r="M6" s="37"/>
      <c r="N6" s="41"/>
      <c r="O6" s="11"/>
      <c r="P6" s="11"/>
      <c r="Q6" s="11"/>
    </row>
    <row r="7" spans="1:17" ht="15.75" customHeight="1" thickBot="1" x14ac:dyDescent="0.3">
      <c r="A7" s="367"/>
      <c r="B7" s="1202"/>
      <c r="C7" s="505" t="s">
        <v>575</v>
      </c>
      <c r="D7" s="3652">
        <f>'Sch 1- Rate Base '!$E$7</f>
        <v>45446</v>
      </c>
      <c r="E7" s="3654"/>
      <c r="F7" s="3655"/>
      <c r="G7" s="144"/>
      <c r="H7" s="1327" t="str">
        <f>'Sch 1- Rate Base '!I7</f>
        <v/>
      </c>
      <c r="I7"/>
      <c r="J7"/>
      <c r="K7"/>
      <c r="L7" s="40"/>
      <c r="M7" s="37"/>
      <c r="N7" s="41"/>
      <c r="O7" s="11"/>
      <c r="P7" s="11"/>
      <c r="Q7" s="11"/>
    </row>
    <row r="8" spans="1:17" ht="18.75" customHeight="1" x14ac:dyDescent="0.25">
      <c r="A8" s="3658" t="s">
        <v>500</v>
      </c>
      <c r="B8" s="3659"/>
      <c r="C8" s="3659"/>
      <c r="D8" s="3659"/>
      <c r="E8" s="3659"/>
      <c r="F8" s="3659"/>
      <c r="G8" s="3659"/>
      <c r="H8" s="3660"/>
      <c r="I8"/>
      <c r="J8"/>
      <c r="K8"/>
      <c r="L8" s="40"/>
      <c r="M8" s="37"/>
      <c r="N8" s="41"/>
      <c r="O8" s="11"/>
      <c r="P8" s="11"/>
      <c r="Q8" s="11"/>
    </row>
    <row r="9" spans="1:17" ht="13.5" customHeight="1" thickBot="1" x14ac:dyDescent="0.3">
      <c r="A9" s="1328"/>
      <c r="B9" s="1194"/>
      <c r="C9" s="1194"/>
      <c r="D9" s="1194"/>
      <c r="E9" s="1194"/>
      <c r="F9" s="1194"/>
      <c r="G9" s="1194"/>
      <c r="H9" s="1195"/>
      <c r="I9"/>
      <c r="J9"/>
      <c r="K9"/>
      <c r="L9" s="40"/>
      <c r="M9" s="37"/>
      <c r="N9" s="41"/>
      <c r="O9" s="11"/>
      <c r="P9" s="11"/>
      <c r="Q9" s="11"/>
    </row>
    <row r="10" spans="1:17" ht="20.100000000000001" customHeight="1" x14ac:dyDescent="0.3">
      <c r="A10" s="1329"/>
      <c r="B10" s="359"/>
      <c r="C10" s="359"/>
      <c r="D10" s="365" t="s">
        <v>203</v>
      </c>
      <c r="E10" s="360"/>
      <c r="F10" s="353"/>
      <c r="G10" s="353"/>
      <c r="H10" s="354"/>
      <c r="I10"/>
      <c r="J10"/>
      <c r="K10"/>
      <c r="L10" s="40"/>
      <c r="M10" s="37"/>
      <c r="N10" s="41"/>
      <c r="O10" s="11"/>
      <c r="P10" s="11"/>
      <c r="Q10" s="11"/>
    </row>
    <row r="11" spans="1:17" ht="15" customHeight="1" x14ac:dyDescent="0.25">
      <c r="A11" s="1330"/>
      <c r="B11" s="359"/>
      <c r="C11" s="359"/>
      <c r="D11" s="362" t="s">
        <v>201</v>
      </c>
      <c r="E11" s="469">
        <f>E35</f>
        <v>0</v>
      </c>
      <c r="F11" s="353"/>
      <c r="G11" s="353"/>
      <c r="H11" s="354"/>
      <c r="I11"/>
      <c r="J11"/>
      <c r="K11"/>
      <c r="L11" s="40"/>
      <c r="M11" s="37"/>
      <c r="N11" s="41"/>
      <c r="O11" s="11"/>
      <c r="P11" s="11"/>
      <c r="Q11" s="11"/>
    </row>
    <row r="12" spans="1:17" ht="15" customHeight="1" x14ac:dyDescent="0.25">
      <c r="A12" s="361"/>
      <c r="B12" s="359"/>
      <c r="C12" s="359"/>
      <c r="D12" s="363" t="s">
        <v>551</v>
      </c>
      <c r="E12" s="470">
        <f>E90</f>
        <v>8.4185220942944408E-2</v>
      </c>
      <c r="F12"/>
      <c r="G12"/>
      <c r="H12" s="355"/>
      <c r="I12"/>
      <c r="J12"/>
      <c r="K12"/>
      <c r="L12" s="40"/>
      <c r="M12" s="37"/>
      <c r="N12" s="41"/>
      <c r="O12" s="11"/>
      <c r="P12" s="11"/>
      <c r="Q12" s="11"/>
    </row>
    <row r="13" spans="1:17" ht="15" customHeight="1" thickBot="1" x14ac:dyDescent="0.3">
      <c r="A13" s="361"/>
      <c r="B13" s="364"/>
      <c r="C13" s="359"/>
      <c r="D13" s="363" t="s">
        <v>227</v>
      </c>
      <c r="E13" s="471">
        <f>E118</f>
        <v>0</v>
      </c>
      <c r="F13" s="90"/>
      <c r="G13" s="90"/>
      <c r="H13" s="223"/>
      <c r="I13"/>
      <c r="J13"/>
      <c r="K13"/>
      <c r="L13" s="40"/>
      <c r="M13" s="37"/>
      <c r="N13" s="41"/>
      <c r="O13" s="11"/>
      <c r="P13" s="11"/>
      <c r="Q13" s="11"/>
    </row>
    <row r="14" spans="1:17" ht="15" customHeight="1" thickBot="1" x14ac:dyDescent="0.3">
      <c r="A14" s="361"/>
      <c r="B14" s="364"/>
      <c r="C14" s="364"/>
      <c r="D14" s="363" t="s">
        <v>204</v>
      </c>
      <c r="E14" s="549">
        <f>SUM(E11:E13)</f>
        <v>8.4185220942944408E-2</v>
      </c>
      <c r="F14" s="356"/>
      <c r="G14" s="356"/>
      <c r="H14" s="357"/>
      <c r="I14"/>
      <c r="J14"/>
      <c r="K14"/>
      <c r="L14" s="40"/>
      <c r="M14" s="37"/>
      <c r="N14" s="41"/>
      <c r="O14" s="11"/>
      <c r="P14" s="11"/>
      <c r="Q14" s="11"/>
    </row>
    <row r="15" spans="1:17" ht="12" customHeight="1" thickBot="1" x14ac:dyDescent="0.3">
      <c r="A15" s="225"/>
      <c r="B15" s="144"/>
      <c r="C15" s="144"/>
      <c r="D15" s="144"/>
      <c r="E15" s="144"/>
      <c r="F15" s="144"/>
      <c r="G15" s="79"/>
      <c r="H15" s="219"/>
      <c r="I15"/>
      <c r="J15"/>
      <c r="K15"/>
      <c r="L15" s="40"/>
      <c r="M15" s="37"/>
      <c r="N15" s="41"/>
      <c r="O15" s="11"/>
      <c r="P15" s="11"/>
      <c r="Q15" s="11"/>
    </row>
    <row r="16" spans="1:17" ht="24.95" customHeight="1" thickBot="1" x14ac:dyDescent="0.3">
      <c r="A16" s="331" t="s">
        <v>359</v>
      </c>
      <c r="B16" s="259"/>
      <c r="C16" s="260"/>
      <c r="D16" s="261"/>
      <c r="E16" s="262"/>
      <c r="F16" s="32" t="s">
        <v>97</v>
      </c>
      <c r="G16" s="33"/>
      <c r="H16" s="254"/>
      <c r="I16" s="7"/>
      <c r="J16" s="7"/>
      <c r="K16" s="17"/>
      <c r="L16" s="40"/>
      <c r="M16" s="37"/>
      <c r="N16" s="41"/>
      <c r="O16" s="11"/>
      <c r="P16" s="11"/>
      <c r="Q16" s="11"/>
    </row>
    <row r="17" spans="1:17" ht="12" customHeight="1" x14ac:dyDescent="0.25">
      <c r="A17" s="202"/>
      <c r="B17" s="145"/>
      <c r="C17" s="146"/>
      <c r="D17" s="147"/>
      <c r="E17" s="147"/>
      <c r="F17" s="148"/>
      <c r="G17" s="6"/>
      <c r="H17" s="255"/>
      <c r="I17" s="7"/>
      <c r="J17" s="7"/>
      <c r="K17" s="17"/>
      <c r="L17" s="40"/>
      <c r="M17" s="37"/>
      <c r="N17" s="41"/>
      <c r="O17" s="11"/>
      <c r="P17" s="11"/>
      <c r="Q17" s="11"/>
    </row>
    <row r="18" spans="1:17" ht="15" customHeight="1" x14ac:dyDescent="0.25">
      <c r="A18" s="202" t="s">
        <v>324</v>
      </c>
      <c r="B18" s="145"/>
      <c r="C18" s="146"/>
      <c r="D18" s="147"/>
      <c r="E18" s="147"/>
      <c r="F18" s="148"/>
      <c r="G18" s="6"/>
      <c r="H18" s="255"/>
      <c r="I18" s="7"/>
      <c r="J18" s="7"/>
      <c r="K18" s="17"/>
      <c r="L18" s="40"/>
      <c r="M18" s="37"/>
      <c r="N18" s="41"/>
      <c r="O18" s="11"/>
      <c r="P18" s="11"/>
      <c r="Q18" s="11"/>
    </row>
    <row r="19" spans="1:17" ht="15" customHeight="1" x14ac:dyDescent="0.25">
      <c r="A19" s="257" t="s">
        <v>376</v>
      </c>
      <c r="B19" s="145"/>
      <c r="C19" s="146"/>
      <c r="D19" s="147"/>
      <c r="E19" s="147"/>
      <c r="F19" s="148"/>
      <c r="G19" s="6"/>
      <c r="H19" s="255"/>
      <c r="I19" s="7"/>
      <c r="J19" s="7"/>
      <c r="K19" s="17"/>
      <c r="L19" s="40"/>
      <c r="M19" s="37"/>
      <c r="N19" s="41"/>
      <c r="O19" s="11"/>
      <c r="P19" s="11"/>
      <c r="Q19" s="11"/>
    </row>
    <row r="20" spans="1:17" ht="15" customHeight="1" x14ac:dyDescent="0.25">
      <c r="A20" s="257" t="s">
        <v>377</v>
      </c>
      <c r="B20" s="145"/>
      <c r="C20" s="146"/>
      <c r="D20" s="147"/>
      <c r="E20" s="147"/>
      <c r="F20" s="148"/>
      <c r="G20" s="6"/>
      <c r="H20" s="255"/>
      <c r="I20" s="7"/>
      <c r="J20" s="7"/>
      <c r="K20" s="17"/>
      <c r="L20" s="40"/>
      <c r="M20" s="37"/>
      <c r="N20" s="41"/>
      <c r="O20" s="11"/>
      <c r="P20" s="11"/>
      <c r="Q20" s="11"/>
    </row>
    <row r="21" spans="1:17" ht="15" customHeight="1" thickBot="1" x14ac:dyDescent="0.3">
      <c r="A21" s="202"/>
      <c r="B21" s="145"/>
      <c r="C21" s="146"/>
      <c r="D21" s="79"/>
      <c r="E21" s="79"/>
      <c r="F21" s="148"/>
      <c r="G21" s="6"/>
      <c r="H21" s="255"/>
      <c r="I21" s="7"/>
      <c r="J21" s="7"/>
      <c r="K21" s="17"/>
      <c r="L21" s="40"/>
      <c r="M21" s="37"/>
      <c r="N21" s="41"/>
      <c r="O21" s="11"/>
      <c r="P21" s="11"/>
      <c r="Q21" s="11"/>
    </row>
    <row r="22" spans="1:17" ht="15" customHeight="1" x14ac:dyDescent="0.25">
      <c r="A22" s="276"/>
      <c r="B22" s="3665" t="s">
        <v>539</v>
      </c>
      <c r="C22" s="3665"/>
      <c r="D22" s="3663" t="s">
        <v>538</v>
      </c>
      <c r="E22" s="3664"/>
      <c r="F22" s="152"/>
      <c r="G22" s="79"/>
      <c r="H22" s="219"/>
      <c r="P22" s="11"/>
      <c r="Q22" s="11"/>
    </row>
    <row r="23" spans="1:17" ht="15.75" customHeight="1" thickBot="1" x14ac:dyDescent="0.3">
      <c r="A23" s="293" t="s">
        <v>53</v>
      </c>
      <c r="B23" s="289" t="s">
        <v>441</v>
      </c>
      <c r="C23" s="289" t="s">
        <v>540</v>
      </c>
      <c r="D23" s="290" t="s">
        <v>537</v>
      </c>
      <c r="E23" s="294" t="s">
        <v>57</v>
      </c>
      <c r="F23" s="149"/>
      <c r="G23" s="79"/>
      <c r="H23" s="219"/>
      <c r="P23" s="11"/>
      <c r="Q23" s="11"/>
    </row>
    <row r="24" spans="1:17" s="57" customFormat="1" ht="15.75" customHeight="1" x14ac:dyDescent="0.2">
      <c r="A24" s="386" t="s">
        <v>58</v>
      </c>
      <c r="B24" s="387"/>
      <c r="C24" s="388">
        <f>IF($B$27=0,0,B24/$B$27)</f>
        <v>0</v>
      </c>
      <c r="D24" s="389"/>
      <c r="E24" s="390">
        <f>ROUNDUP(D24*C24,5)</f>
        <v>0</v>
      </c>
      <c r="F24" s="149"/>
      <c r="G24" s="391"/>
      <c r="H24" s="244"/>
      <c r="P24" s="11"/>
      <c r="Q24" s="11"/>
    </row>
    <row r="25" spans="1:17" s="57" customFormat="1" ht="15.75" customHeight="1" x14ac:dyDescent="0.2">
      <c r="A25" s="392" t="s">
        <v>59</v>
      </c>
      <c r="B25" s="387"/>
      <c r="C25" s="393">
        <f>IF($B$27=0,0,B25/$B$27)</f>
        <v>0</v>
      </c>
      <c r="D25" s="394"/>
      <c r="E25" s="395">
        <f>ROUNDUP(D25*C25,5)</f>
        <v>0</v>
      </c>
      <c r="F25" s="358"/>
      <c r="G25" s="391"/>
      <c r="H25" s="244"/>
      <c r="P25" s="11"/>
      <c r="Q25" s="11"/>
    </row>
    <row r="26" spans="1:17" s="57" customFormat="1" ht="15.75" customHeight="1" x14ac:dyDescent="0.2">
      <c r="A26" s="392" t="s">
        <v>60</v>
      </c>
      <c r="B26" s="387"/>
      <c r="C26" s="393">
        <f>IF($B$27=0,0,B26/$B$27)</f>
        <v>0</v>
      </c>
      <c r="D26" s="394"/>
      <c r="E26" s="395">
        <f>ROUNDUP(D26*C26,5)</f>
        <v>0</v>
      </c>
      <c r="F26" s="358"/>
      <c r="G26" s="391"/>
      <c r="H26" s="244"/>
      <c r="P26" s="11"/>
      <c r="Q26" s="11"/>
    </row>
    <row r="27" spans="1:17" ht="15.75" customHeight="1" thickBot="1" x14ac:dyDescent="0.3">
      <c r="A27" s="278" t="s">
        <v>277</v>
      </c>
      <c r="B27" s="403">
        <f>SUM(B24:B26)</f>
        <v>0</v>
      </c>
      <c r="C27" s="404">
        <f>IF($B$27=0,0,B27/$B$27)</f>
        <v>0</v>
      </c>
      <c r="D27" s="405"/>
      <c r="E27" s="406">
        <f>SUM(E24:E26)</f>
        <v>0</v>
      </c>
      <c r="F27" s="149"/>
      <c r="G27" s="352"/>
      <c r="H27" s="219"/>
      <c r="P27" s="11"/>
      <c r="Q27" s="11"/>
    </row>
    <row r="28" spans="1:17" ht="12" customHeight="1" x14ac:dyDescent="0.25">
      <c r="A28" s="170"/>
      <c r="B28" s="54"/>
      <c r="C28" s="54"/>
      <c r="D28" s="402"/>
      <c r="E28" s="152"/>
      <c r="F28" s="149"/>
      <c r="G28" s="151"/>
      <c r="H28" s="219"/>
      <c r="P28" s="11"/>
      <c r="Q28" s="11"/>
    </row>
    <row r="29" spans="1:17" ht="15" customHeight="1" x14ac:dyDescent="0.25">
      <c r="A29" s="202" t="s">
        <v>61</v>
      </c>
      <c r="B29" s="145"/>
      <c r="C29" s="79"/>
      <c r="D29" s="63"/>
      <c r="E29" s="150"/>
      <c r="F29" s="149"/>
      <c r="G29" s="79"/>
      <c r="H29" s="219"/>
      <c r="P29" s="11"/>
      <c r="Q29" s="11"/>
    </row>
    <row r="30" spans="1:17" ht="12" customHeight="1" x14ac:dyDescent="0.25">
      <c r="A30" s="170"/>
      <c r="B30" s="79"/>
      <c r="C30" s="79"/>
      <c r="D30" s="63"/>
      <c r="E30" s="150"/>
      <c r="F30" s="149"/>
      <c r="G30" s="79"/>
      <c r="H30" s="219"/>
      <c r="P30" s="11"/>
      <c r="Q30" s="11"/>
    </row>
    <row r="31" spans="1:17" ht="15.75" customHeight="1" thickBot="1" x14ac:dyDescent="0.3">
      <c r="A31" s="202" t="s">
        <v>822</v>
      </c>
      <c r="B31" s="79"/>
      <c r="C31" s="79"/>
      <c r="D31" s="91">
        <v>0.21</v>
      </c>
      <c r="E31" s="79"/>
      <c r="F31" s="152"/>
      <c r="G31" s="153"/>
      <c r="H31" s="219"/>
      <c r="P31" s="11"/>
      <c r="Q31" s="11"/>
    </row>
    <row r="32" spans="1:17" ht="15.75" customHeight="1" thickBot="1" x14ac:dyDescent="0.3">
      <c r="A32" s="202" t="s">
        <v>270</v>
      </c>
      <c r="B32" s="79"/>
      <c r="C32" s="79"/>
      <c r="D32" s="79"/>
      <c r="E32" s="407">
        <f>(E27-(E24))*(D31/(1-D31))</f>
        <v>0</v>
      </c>
      <c r="F32" s="154"/>
      <c r="G32" s="79"/>
      <c r="H32" s="219"/>
      <c r="P32" s="11"/>
      <c r="Q32" s="11"/>
    </row>
    <row r="33" spans="1:17" ht="15.75" customHeight="1" x14ac:dyDescent="0.25">
      <c r="A33" s="3661" t="s">
        <v>541</v>
      </c>
      <c r="B33" s="3662"/>
      <c r="C33" s="3662"/>
      <c r="D33" s="3662"/>
      <c r="E33" s="3662"/>
      <c r="F33" s="155"/>
      <c r="G33" s="79"/>
      <c r="H33" s="219"/>
      <c r="P33" s="11"/>
      <c r="Q33" s="11"/>
    </row>
    <row r="34" spans="1:17" ht="12" customHeight="1" thickBot="1" x14ac:dyDescent="0.3">
      <c r="A34" s="256"/>
      <c r="B34" s="156"/>
      <c r="C34" s="79"/>
      <c r="D34" s="63"/>
      <c r="E34" s="150"/>
      <c r="F34" s="155"/>
      <c r="G34" s="79"/>
      <c r="H34" s="219"/>
      <c r="P34" s="11"/>
      <c r="Q34" s="11"/>
    </row>
    <row r="35" spans="1:17" ht="15.75" customHeight="1" thickBot="1" x14ac:dyDescent="0.3">
      <c r="A35" s="202" t="s">
        <v>63</v>
      </c>
      <c r="B35" s="156"/>
      <c r="C35" s="79"/>
      <c r="D35" s="63"/>
      <c r="E35" s="407">
        <f>E27+E32</f>
        <v>0</v>
      </c>
      <c r="F35" s="155"/>
      <c r="G35" s="79"/>
      <c r="H35" s="219"/>
      <c r="P35" s="11"/>
      <c r="Q35" s="11"/>
    </row>
    <row r="36" spans="1:17" ht="15.75" customHeight="1" x14ac:dyDescent="0.25">
      <c r="A36" s="472" t="s">
        <v>495</v>
      </c>
      <c r="B36" s="156"/>
      <c r="C36" s="79"/>
      <c r="D36" s="63"/>
      <c r="E36" s="150"/>
      <c r="F36" s="155"/>
      <c r="G36" s="79"/>
      <c r="H36" s="219"/>
      <c r="P36" s="11"/>
      <c r="Q36" s="11"/>
    </row>
    <row r="37" spans="1:17" ht="12" customHeight="1" x14ac:dyDescent="0.25">
      <c r="A37" s="170"/>
      <c r="B37" s="79"/>
      <c r="C37" s="157"/>
      <c r="D37" s="10"/>
      <c r="E37" s="55"/>
      <c r="F37" s="34"/>
      <c r="G37" s="8"/>
      <c r="H37" s="185"/>
      <c r="I37" s="9"/>
      <c r="J37" s="9"/>
      <c r="K37" s="9"/>
      <c r="L37" s="24"/>
      <c r="M37" s="24"/>
      <c r="N37" s="25"/>
      <c r="O37" s="11"/>
      <c r="P37" s="11"/>
      <c r="Q37" s="11"/>
    </row>
    <row r="38" spans="1:17" ht="15.75" customHeight="1" thickBot="1" x14ac:dyDescent="0.3">
      <c r="A38" s="202" t="s">
        <v>496</v>
      </c>
      <c r="B38" s="145"/>
      <c r="C38" s="79"/>
      <c r="D38" s="63"/>
      <c r="E38" s="92"/>
      <c r="F38" s="92"/>
      <c r="G38" s="92"/>
      <c r="H38" s="208"/>
    </row>
    <row r="39" spans="1:17" ht="15.75" customHeight="1" x14ac:dyDescent="0.25">
      <c r="A39" s="202"/>
      <c r="B39" s="145"/>
      <c r="C39" s="79"/>
      <c r="D39" s="63"/>
      <c r="E39" s="264" t="s">
        <v>104</v>
      </c>
      <c r="F39" s="265" t="s">
        <v>105</v>
      </c>
      <c r="G39" s="265" t="s">
        <v>106</v>
      </c>
      <c r="H39" s="279" t="s">
        <v>107</v>
      </c>
    </row>
    <row r="40" spans="1:17" ht="15.75" customHeight="1" x14ac:dyDescent="0.25">
      <c r="A40" s="170" t="s">
        <v>62</v>
      </c>
      <c r="B40" s="79"/>
      <c r="C40" s="79"/>
      <c r="D40" s="79"/>
      <c r="E40" s="396">
        <f>'Sch 1- Rate Base '!G161</f>
        <v>9927581496.6237545</v>
      </c>
      <c r="F40" s="397">
        <f>'Sch 1- Rate Base '!H161</f>
        <v>4058898843.3887949</v>
      </c>
      <c r="G40" s="397">
        <f>'Sch 1- Rate Base '!I161</f>
        <v>23892855.711776573</v>
      </c>
      <c r="H40" s="398">
        <f>'Sch 1- Rate Base '!J161</f>
        <v>5843780386.2489052</v>
      </c>
    </row>
    <row r="41" spans="1:17" ht="15.75" customHeight="1" x14ac:dyDescent="0.25">
      <c r="A41" s="170" t="s">
        <v>63</v>
      </c>
      <c r="B41" s="79"/>
      <c r="C41" s="79"/>
      <c r="D41" s="79"/>
      <c r="E41" s="399">
        <f>$E$35</f>
        <v>0</v>
      </c>
      <c r="F41" s="400">
        <f>$E$35</f>
        <v>0</v>
      </c>
      <c r="G41" s="400">
        <f>$E$35</f>
        <v>0</v>
      </c>
      <c r="H41" s="401">
        <f>$E$35</f>
        <v>0</v>
      </c>
    </row>
    <row r="42" spans="1:17" ht="15.75" customHeight="1" thickBot="1" x14ac:dyDescent="0.3">
      <c r="A42" s="202" t="s">
        <v>141</v>
      </c>
      <c r="B42" s="145"/>
      <c r="C42" s="145"/>
      <c r="D42" s="145"/>
      <c r="E42" s="408">
        <f>E41*E40</f>
        <v>0</v>
      </c>
      <c r="F42" s="409">
        <f>F41*F40</f>
        <v>0</v>
      </c>
      <c r="G42" s="409">
        <f>G41*G40</f>
        <v>0</v>
      </c>
      <c r="H42" s="410">
        <f>H41*H40</f>
        <v>0</v>
      </c>
    </row>
    <row r="43" spans="1:17" ht="15" customHeight="1" x14ac:dyDescent="0.25">
      <c r="A43" s="472" t="s">
        <v>34</v>
      </c>
      <c r="B43" s="79"/>
      <c r="C43" s="79"/>
      <c r="D43" s="79"/>
      <c r="E43" s="79"/>
      <c r="F43" s="79"/>
      <c r="G43" s="79"/>
      <c r="H43" s="219"/>
    </row>
    <row r="44" spans="1:17" ht="6" customHeight="1" x14ac:dyDescent="0.25">
      <c r="A44" s="170"/>
      <c r="B44" s="79"/>
      <c r="C44" s="79"/>
      <c r="D44" s="79"/>
      <c r="E44" s="79"/>
      <c r="F44" s="79"/>
      <c r="G44" s="79"/>
      <c r="H44" s="219"/>
    </row>
    <row r="45" spans="1:17" ht="6" customHeight="1" thickBot="1" x14ac:dyDescent="0.3">
      <c r="A45" s="258"/>
      <c r="B45" s="203"/>
      <c r="C45" s="203"/>
      <c r="D45" s="203"/>
      <c r="E45" s="203"/>
      <c r="F45" s="203"/>
      <c r="G45" s="203"/>
      <c r="H45" s="204"/>
    </row>
    <row r="46" spans="1:17" ht="17.25" thickTop="1" thickBot="1" x14ac:dyDescent="0.3">
      <c r="A46" s="225"/>
      <c r="B46" s="144"/>
      <c r="C46" s="144"/>
      <c r="D46" s="144"/>
      <c r="E46" s="144"/>
      <c r="F46" s="144"/>
      <c r="G46" s="79"/>
      <c r="H46" s="219"/>
    </row>
    <row r="47" spans="1:17" ht="24.95" customHeight="1" thickBot="1" x14ac:dyDescent="0.3">
      <c r="A47" s="331" t="s">
        <v>358</v>
      </c>
      <c r="B47" s="259"/>
      <c r="C47" s="260"/>
      <c r="D47" s="261"/>
      <c r="E47" s="262"/>
      <c r="F47" s="32" t="s">
        <v>97</v>
      </c>
      <c r="G47" s="33"/>
      <c r="H47" s="254"/>
    </row>
    <row r="48" spans="1:17" ht="18.75" x14ac:dyDescent="0.3">
      <c r="A48" s="202" t="s">
        <v>360</v>
      </c>
      <c r="B48" s="145"/>
      <c r="C48" s="146"/>
      <c r="D48" s="147"/>
      <c r="E48" s="147"/>
      <c r="F48" s="148"/>
      <c r="G48" s="6"/>
      <c r="H48" s="255"/>
      <c r="I48" s="12"/>
    </row>
    <row r="49" spans="1:11" x14ac:dyDescent="0.25">
      <c r="A49" s="202" t="s">
        <v>12541</v>
      </c>
      <c r="B49" s="145"/>
      <c r="C49" s="146"/>
      <c r="D49" s="147"/>
      <c r="E49" s="147"/>
      <c r="F49" s="148"/>
      <c r="G49" s="6"/>
      <c r="H49" s="255"/>
      <c r="I49" s="15"/>
    </row>
    <row r="50" spans="1:11" ht="16.5" thickBot="1" x14ac:dyDescent="0.3">
      <c r="A50" s="202"/>
      <c r="B50" s="145"/>
      <c r="C50" s="146"/>
      <c r="D50" s="79"/>
      <c r="E50" s="79"/>
      <c r="F50" s="301"/>
      <c r="G50" s="147"/>
      <c r="H50" s="329"/>
    </row>
    <row r="51" spans="1:11" x14ac:dyDescent="0.25">
      <c r="A51" s="276"/>
      <c r="B51" s="3665" t="s">
        <v>539</v>
      </c>
      <c r="C51" s="3665"/>
      <c r="D51" s="3663" t="s">
        <v>538</v>
      </c>
      <c r="E51" s="3664"/>
      <c r="F51" s="350" t="s">
        <v>550</v>
      </c>
      <c r="G51" s="346" t="s">
        <v>367</v>
      </c>
      <c r="H51" s="347"/>
    </row>
    <row r="52" spans="1:11" ht="16.5" thickBot="1" x14ac:dyDescent="0.3">
      <c r="A52" s="293" t="s">
        <v>53</v>
      </c>
      <c r="B52" s="289" t="s">
        <v>441</v>
      </c>
      <c r="C52" s="289" t="s">
        <v>540</v>
      </c>
      <c r="D52" s="290" t="s">
        <v>537</v>
      </c>
      <c r="E52" s="294" t="s">
        <v>57</v>
      </c>
      <c r="F52" s="351" t="s">
        <v>368</v>
      </c>
      <c r="G52" s="348" t="s">
        <v>369</v>
      </c>
      <c r="H52" s="349"/>
    </row>
    <row r="53" spans="1:11" ht="16.5" thickBot="1" x14ac:dyDescent="0.3">
      <c r="A53" s="411" t="s">
        <v>58</v>
      </c>
      <c r="B53" s="501"/>
      <c r="C53" s="414">
        <v>0.49990000000000001</v>
      </c>
      <c r="D53" s="415">
        <v>4.7169999999999997E-2</v>
      </c>
      <c r="E53" s="416">
        <v>2.3580283E-2</v>
      </c>
      <c r="F53" s="429">
        <f>IF(B75=0,"0",B75/$B$78)</f>
        <v>0.66293361573545717</v>
      </c>
      <c r="G53" s="430">
        <f>E53*$F$53</f>
        <v>1.5632162269255335E-2</v>
      </c>
      <c r="H53" s="431">
        <f>C53*$F$53</f>
        <v>0.33140051450615504</v>
      </c>
    </row>
    <row r="54" spans="1:11" x14ac:dyDescent="0.25">
      <c r="A54" s="412" t="s">
        <v>59</v>
      </c>
      <c r="B54" s="463"/>
      <c r="C54" s="388">
        <v>1E-4</v>
      </c>
      <c r="D54" s="394">
        <v>6.7500000000000004E-2</v>
      </c>
      <c r="E54" s="395">
        <v>6.7500000000000006E-6</v>
      </c>
      <c r="F54" s="1331"/>
      <c r="G54" s="432">
        <f>E54*$F$53</f>
        <v>4.4748019062143364E-6</v>
      </c>
      <c r="H54" s="433">
        <f>C54*$F$53</f>
        <v>6.6293361573545719E-5</v>
      </c>
    </row>
    <row r="55" spans="1:11" x14ac:dyDescent="0.25">
      <c r="A55" s="412" t="s">
        <v>60</v>
      </c>
      <c r="B55" s="463"/>
      <c r="C55" s="388">
        <v>0.5</v>
      </c>
      <c r="D55" s="394">
        <v>9.5000000000000001E-2</v>
      </c>
      <c r="E55" s="395">
        <v>4.7500000000000001E-2</v>
      </c>
      <c r="F55" s="1331"/>
      <c r="G55" s="432">
        <f>E55*$F$53</f>
        <v>3.1489346747434213E-2</v>
      </c>
      <c r="H55" s="433">
        <f>C55*$F$53</f>
        <v>0.33146680786772859</v>
      </c>
    </row>
    <row r="56" spans="1:11" ht="16.5" thickBot="1" x14ac:dyDescent="0.3">
      <c r="A56" s="413" t="s">
        <v>277</v>
      </c>
      <c r="B56" s="500">
        <f>SUM(B53:B55)</f>
        <v>0</v>
      </c>
      <c r="C56" s="504">
        <f>SUM(C53:C55)</f>
        <v>1</v>
      </c>
      <c r="D56" s="405"/>
      <c r="E56" s="434">
        <f>SUM(E53:E55)</f>
        <v>7.1087032999999994E-2</v>
      </c>
      <c r="F56" s="435"/>
      <c r="G56" s="436">
        <f>SUM(G53:G55)</f>
        <v>4.7125983818595764E-2</v>
      </c>
      <c r="H56" s="437">
        <f>SUM(H53:H55)</f>
        <v>0.66293361573545717</v>
      </c>
    </row>
    <row r="57" spans="1:11" x14ac:dyDescent="0.25">
      <c r="A57" s="170"/>
      <c r="B57" s="79"/>
      <c r="C57" s="79"/>
      <c r="D57" s="63"/>
      <c r="E57" s="150"/>
      <c r="F57" s="330"/>
      <c r="G57" s="282"/>
      <c r="H57" s="281"/>
    </row>
    <row r="58" spans="1:11" x14ac:dyDescent="0.25">
      <c r="A58" s="202" t="s">
        <v>12542</v>
      </c>
      <c r="B58" s="145"/>
      <c r="C58" s="146"/>
      <c r="D58" s="147"/>
      <c r="E58" s="147"/>
      <c r="F58" s="330"/>
      <c r="G58" s="282"/>
      <c r="H58" s="281"/>
      <c r="K58" s="1211"/>
    </row>
    <row r="59" spans="1:11" ht="16.5" thickBot="1" x14ac:dyDescent="0.3">
      <c r="A59" s="202"/>
      <c r="B59" s="145"/>
      <c r="C59" s="146"/>
      <c r="D59" s="79"/>
      <c r="E59" s="79"/>
      <c r="F59" s="330"/>
      <c r="G59" s="282"/>
      <c r="H59" s="281"/>
    </row>
    <row r="60" spans="1:11" ht="16.5" thickBot="1" x14ac:dyDescent="0.3">
      <c r="A60" s="295" t="s">
        <v>53</v>
      </c>
      <c r="B60" s="296" t="s">
        <v>441</v>
      </c>
      <c r="C60" s="296" t="s">
        <v>540</v>
      </c>
      <c r="D60" s="297" t="s">
        <v>537</v>
      </c>
      <c r="E60" s="298" t="s">
        <v>57</v>
      </c>
      <c r="F60" s="330"/>
      <c r="G60" s="282"/>
      <c r="H60" s="281"/>
    </row>
    <row r="61" spans="1:11" ht="16.5" thickBot="1" x14ac:dyDescent="0.3">
      <c r="A61" s="288" t="s">
        <v>58</v>
      </c>
      <c r="B61" s="502"/>
      <c r="C61" s="388">
        <v>0.50880000000000003</v>
      </c>
      <c r="D61" s="389">
        <v>4.9200000000000001E-2</v>
      </c>
      <c r="E61" s="416">
        <v>2.504E-2</v>
      </c>
      <c r="F61" s="429">
        <f>IF(B76=0,"0",B76/$B$78)</f>
        <v>0.1942671000147819</v>
      </c>
      <c r="G61" s="430">
        <f>E61*$F$61</f>
        <v>4.8644481843701385E-3</v>
      </c>
      <c r="H61" s="431">
        <f>C61*$F$61</f>
        <v>9.8843100487521041E-2</v>
      </c>
    </row>
    <row r="62" spans="1:11" x14ac:dyDescent="0.25">
      <c r="A62" s="277" t="s">
        <v>59</v>
      </c>
      <c r="B62" s="503"/>
      <c r="C62" s="393">
        <v>2.0000000000000001E-4</v>
      </c>
      <c r="D62" s="394">
        <v>6.7500000000000004E-2</v>
      </c>
      <c r="E62" s="395">
        <v>2.0000000000000002E-5</v>
      </c>
      <c r="F62" s="1331"/>
      <c r="G62" s="432">
        <f>E62*$F$61</f>
        <v>3.885342000295638E-6</v>
      </c>
      <c r="H62" s="433">
        <f>C62*$F$61</f>
        <v>3.885342000295638E-5</v>
      </c>
    </row>
    <row r="63" spans="1:11" x14ac:dyDescent="0.25">
      <c r="A63" s="277" t="s">
        <v>60</v>
      </c>
      <c r="B63" s="503"/>
      <c r="C63" s="388">
        <v>0.49099999999999999</v>
      </c>
      <c r="D63" s="394">
        <v>9.5000000000000001E-2</v>
      </c>
      <c r="E63" s="395">
        <v>4.6649999999999997E-2</v>
      </c>
      <c r="F63" s="1331"/>
      <c r="G63" s="432">
        <f>E63*$F$61</f>
        <v>9.0625602156895746E-3</v>
      </c>
      <c r="H63" s="433">
        <f>C63*$F$61</f>
        <v>9.5385146107257915E-2</v>
      </c>
    </row>
    <row r="64" spans="1:11" ht="16.5" thickBot="1" x14ac:dyDescent="0.3">
      <c r="A64" s="278" t="s">
        <v>277</v>
      </c>
      <c r="B64" s="500">
        <f>SUM(B61:B63)</f>
        <v>0</v>
      </c>
      <c r="C64" s="504">
        <f>SUM(C61:C63)</f>
        <v>1</v>
      </c>
      <c r="D64" s="405"/>
      <c r="E64" s="406">
        <f>SUM(E61:E63)</f>
        <v>7.1709999999999996E-2</v>
      </c>
      <c r="F64" s="435"/>
      <c r="G64" s="436">
        <f>SUM(G61:G63)</f>
        <v>1.3930893742060009E-2</v>
      </c>
      <c r="H64" s="437">
        <f>SUM(H61:H63)</f>
        <v>0.19426710001478192</v>
      </c>
    </row>
    <row r="65" spans="1:8" x14ac:dyDescent="0.25">
      <c r="A65" s="170"/>
      <c r="B65" s="79"/>
      <c r="C65" s="79"/>
      <c r="D65" s="63"/>
      <c r="E65" s="150"/>
      <c r="F65" s="330"/>
      <c r="G65" s="282"/>
      <c r="H65" s="281"/>
    </row>
    <row r="66" spans="1:8" x14ac:dyDescent="0.25">
      <c r="A66" s="202" t="s">
        <v>12543</v>
      </c>
      <c r="B66" s="145"/>
      <c r="C66" s="146"/>
      <c r="D66" s="147"/>
      <c r="E66" s="147"/>
      <c r="F66" s="330"/>
      <c r="G66" s="282"/>
      <c r="H66" s="281"/>
    </row>
    <row r="67" spans="1:8" ht="16.5" thickBot="1" x14ac:dyDescent="0.3">
      <c r="A67" s="202"/>
      <c r="B67" s="145"/>
      <c r="C67" s="146"/>
      <c r="D67" s="79"/>
      <c r="E67" s="79"/>
      <c r="F67" s="330"/>
      <c r="G67" s="282"/>
      <c r="H67" s="281"/>
    </row>
    <row r="68" spans="1:8" ht="16.5" thickBot="1" x14ac:dyDescent="0.3">
      <c r="A68" s="295" t="s">
        <v>53</v>
      </c>
      <c r="B68" s="296" t="s">
        <v>441</v>
      </c>
      <c r="C68" s="296" t="s">
        <v>540</v>
      </c>
      <c r="D68" s="297" t="s">
        <v>537</v>
      </c>
      <c r="E68" s="298" t="s">
        <v>57</v>
      </c>
      <c r="F68" s="330"/>
      <c r="G68" s="282"/>
      <c r="H68" s="281"/>
    </row>
    <row r="69" spans="1:8" ht="16.5" thickBot="1" x14ac:dyDescent="0.3">
      <c r="A69" s="288" t="s">
        <v>58</v>
      </c>
      <c r="B69" s="502"/>
      <c r="C69" s="388">
        <v>0.47160000000000002</v>
      </c>
      <c r="D69" s="446">
        <v>4.7600000000000003E-2</v>
      </c>
      <c r="E69" s="447">
        <v>2.2450000000000001E-2</v>
      </c>
      <c r="F69" s="448">
        <f>IF(B77=0,"0",B77/$B$78)</f>
        <v>0.14279928424976096</v>
      </c>
      <c r="G69" s="449">
        <f>E69*$F$69</f>
        <v>3.2058439314071336E-3</v>
      </c>
      <c r="H69" s="450">
        <f>C69*$F$69</f>
        <v>6.7344142452187269E-2</v>
      </c>
    </row>
    <row r="70" spans="1:8" x14ac:dyDescent="0.25">
      <c r="A70" s="277" t="s">
        <v>59</v>
      </c>
      <c r="B70" s="503"/>
      <c r="C70" s="388">
        <v>1E-4</v>
      </c>
      <c r="D70" s="451">
        <v>6.7500000000000004E-2</v>
      </c>
      <c r="E70" s="452">
        <v>1.0000000000000001E-5</v>
      </c>
      <c r="F70" s="1332"/>
      <c r="G70" s="453">
        <f>E70*$F$69</f>
        <v>1.4279928424976096E-6</v>
      </c>
      <c r="H70" s="454">
        <f>C70*$F$69</f>
        <v>1.4279928424976096E-5</v>
      </c>
    </row>
    <row r="71" spans="1:8" x14ac:dyDescent="0.25">
      <c r="A71" s="277" t="s">
        <v>60</v>
      </c>
      <c r="B71" s="503"/>
      <c r="C71" s="388">
        <v>0.52829999999999999</v>
      </c>
      <c r="D71" s="451">
        <v>9.5699999999999993E-2</v>
      </c>
      <c r="E71" s="452">
        <v>5.0558309999999995E-2</v>
      </c>
      <c r="F71" s="1332"/>
      <c r="G71" s="453">
        <f>E71*$F$69</f>
        <v>7.2196904808775313E-3</v>
      </c>
      <c r="H71" s="454">
        <f>C71*$F$69</f>
        <v>7.5440861869148709E-2</v>
      </c>
    </row>
    <row r="72" spans="1:8" ht="16.5" thickBot="1" x14ac:dyDescent="0.3">
      <c r="A72" s="278" t="s">
        <v>277</v>
      </c>
      <c r="B72" s="500">
        <f>SUM(B69:B71)</f>
        <v>0</v>
      </c>
      <c r="C72" s="504">
        <f>SUM(C69:C71)</f>
        <v>1</v>
      </c>
      <c r="D72" s="455"/>
      <c r="E72" s="456">
        <f>SUM(E69:E71)</f>
        <v>7.3018310000000003E-2</v>
      </c>
      <c r="F72" s="457"/>
      <c r="G72" s="458">
        <f>SUM(G69:G71)</f>
        <v>1.0426962405127162E-2</v>
      </c>
      <c r="H72" s="459">
        <f>SUM(H69:H71)</f>
        <v>0.14279928424976096</v>
      </c>
    </row>
    <row r="73" spans="1:8" ht="16.5" thickBot="1" x14ac:dyDescent="0.3">
      <c r="A73" s="170"/>
      <c r="B73" s="79"/>
      <c r="C73" s="79"/>
      <c r="D73" s="63"/>
      <c r="E73" s="150"/>
      <c r="F73" s="330"/>
      <c r="G73" s="282"/>
      <c r="H73" s="281"/>
    </row>
    <row r="74" spans="1:8" ht="16.5" thickBot="1" x14ac:dyDescent="0.3">
      <c r="A74" s="299" t="s">
        <v>366</v>
      </c>
      <c r="B74" s="296" t="s">
        <v>361</v>
      </c>
      <c r="C74" s="296" t="s">
        <v>362</v>
      </c>
      <c r="D74" s="297" t="s">
        <v>364</v>
      </c>
      <c r="E74" s="298" t="s">
        <v>363</v>
      </c>
      <c r="F74" s="330"/>
      <c r="G74" s="282"/>
      <c r="H74" s="281"/>
    </row>
    <row r="75" spans="1:8" x14ac:dyDescent="0.25">
      <c r="A75" s="292"/>
      <c r="B75" s="438">
        <f>'Sch 1- Rate Base  (OR)'!G161</f>
        <v>6822072297.7143288</v>
      </c>
      <c r="C75" s="389">
        <f>E56</f>
        <v>7.1087032999999994E-2</v>
      </c>
      <c r="D75" s="439">
        <f>C75*F53</f>
        <v>4.7125983818595757E-2</v>
      </c>
      <c r="E75" s="440">
        <f>$D$78*B75</f>
        <v>487667924.36481214</v>
      </c>
      <c r="F75" s="441"/>
      <c r="G75" s="442">
        <f>G56</f>
        <v>4.7125983818595764E-2</v>
      </c>
      <c r="H75" s="417"/>
    </row>
    <row r="76" spans="1:8" x14ac:dyDescent="0.25">
      <c r="A76" s="280"/>
      <c r="B76" s="443">
        <f>'Sch 1- Rate Base  (WA)'!G161</f>
        <v>1999150699.1206846</v>
      </c>
      <c r="C76" s="394">
        <f>E64</f>
        <v>7.1709999999999996E-2</v>
      </c>
      <c r="D76" s="439">
        <f>C76*F61</f>
        <v>1.3930893742060009E-2</v>
      </c>
      <c r="E76" s="444">
        <f>$D$78*B76</f>
        <v>142906968.64342609</v>
      </c>
      <c r="F76" s="1331"/>
      <c r="G76" s="445">
        <f>G64</f>
        <v>1.3930893742060009E-2</v>
      </c>
      <c r="H76" s="418"/>
    </row>
    <row r="77" spans="1:8" ht="16.5" thickBot="1" x14ac:dyDescent="0.3">
      <c r="A77" s="280"/>
      <c r="B77" s="443">
        <f>'Sch 1- Rate Base  (ID)'!G161</f>
        <v>1469509190.8002994</v>
      </c>
      <c r="C77" s="394">
        <f>E72</f>
        <v>7.3018310000000003E-2</v>
      </c>
      <c r="D77" s="439">
        <f>C77*F69</f>
        <v>1.0426962405127164E-2</v>
      </c>
      <c r="E77" s="444">
        <f>$D$78*B77</f>
        <v>105046159.82341579</v>
      </c>
      <c r="F77" s="1331"/>
      <c r="G77" s="445">
        <f>G72</f>
        <v>1.0426962405127162E-2</v>
      </c>
      <c r="H77" s="418"/>
    </row>
    <row r="78" spans="1:8" ht="16.5" thickBot="1" x14ac:dyDescent="0.3">
      <c r="A78" s="278" t="s">
        <v>104</v>
      </c>
      <c r="B78" s="423">
        <f>SUM(B75:B77)</f>
        <v>10290732187.635313</v>
      </c>
      <c r="C78" s="424"/>
      <c r="D78" s="425">
        <f>SUM(D75:D77)</f>
        <v>7.1483839965782933E-2</v>
      </c>
      <c r="E78" s="426">
        <f>SUM(E75:E77)</f>
        <v>735621052.83165395</v>
      </c>
      <c r="F78" s="427">
        <f>SUM(F53:F77)</f>
        <v>1</v>
      </c>
      <c r="G78" s="428">
        <f>SUM(G75:G77)</f>
        <v>7.1483839965782933E-2</v>
      </c>
      <c r="H78" s="418"/>
    </row>
    <row r="79" spans="1:8" ht="16.5" thickBot="1" x14ac:dyDescent="0.3">
      <c r="A79" s="191"/>
      <c r="B79" s="203"/>
      <c r="C79" s="203"/>
      <c r="D79" s="205"/>
      <c r="E79" s="206"/>
      <c r="F79" s="274"/>
      <c r="G79" s="275"/>
      <c r="H79" s="204"/>
    </row>
    <row r="80" spans="1:8" ht="17.25" thickTop="1" thickBot="1" x14ac:dyDescent="0.3">
      <c r="A80" s="232"/>
      <c r="B80" s="508"/>
      <c r="C80" s="508"/>
      <c r="D80" s="509"/>
      <c r="E80" s="510"/>
      <c r="F80" s="511"/>
      <c r="G80" s="512"/>
      <c r="H80" s="513"/>
    </row>
    <row r="81" spans="1:12" ht="24.95" customHeight="1" thickBot="1" x14ac:dyDescent="0.3">
      <c r="A81" s="331" t="s">
        <v>365</v>
      </c>
      <c r="B81" s="259"/>
      <c r="C81" s="260"/>
      <c r="D81" s="261"/>
      <c r="E81" s="262"/>
      <c r="F81" s="149"/>
      <c r="G81" s="151"/>
      <c r="H81" s="219"/>
      <c r="J81"/>
      <c r="K81"/>
      <c r="L81"/>
    </row>
    <row r="82" spans="1:12" x14ac:dyDescent="0.25">
      <c r="A82" s="170"/>
      <c r="B82" s="79"/>
      <c r="C82" s="79"/>
      <c r="D82" s="63"/>
      <c r="E82" s="150"/>
      <c r="F82" s="149"/>
      <c r="G82" s="151"/>
      <c r="H82" s="219"/>
      <c r="J82"/>
      <c r="K82"/>
      <c r="L82"/>
    </row>
    <row r="83" spans="1:12" x14ac:dyDescent="0.25">
      <c r="A83" s="170"/>
      <c r="B83" s="79"/>
      <c r="C83" s="79"/>
      <c r="D83" s="63"/>
      <c r="E83" s="150"/>
      <c r="F83" s="149"/>
      <c r="G83" s="151"/>
      <c r="H83" s="219"/>
      <c r="J83"/>
      <c r="K83"/>
      <c r="L83"/>
    </row>
    <row r="84" spans="1:12" x14ac:dyDescent="0.25">
      <c r="A84" s="202" t="s">
        <v>61</v>
      </c>
      <c r="B84" s="145"/>
      <c r="C84" s="79"/>
      <c r="D84" s="63"/>
      <c r="E84" s="150"/>
      <c r="F84" s="149"/>
      <c r="G84" s="79"/>
      <c r="H84" s="219"/>
      <c r="J84"/>
      <c r="K84"/>
      <c r="L84"/>
    </row>
    <row r="85" spans="1:12" x14ac:dyDescent="0.25">
      <c r="A85" s="170"/>
      <c r="B85" s="79"/>
      <c r="C85" s="79"/>
      <c r="D85" s="63"/>
      <c r="E85" s="150"/>
      <c r="F85" s="149"/>
      <c r="G85" s="79"/>
      <c r="H85" s="219"/>
      <c r="J85"/>
      <c r="K85"/>
      <c r="L85"/>
    </row>
    <row r="86" spans="1:12" ht="16.5" thickBot="1" x14ac:dyDescent="0.3">
      <c r="A86" s="202" t="s">
        <v>822</v>
      </c>
      <c r="B86" s="79"/>
      <c r="C86" s="79"/>
      <c r="D86" s="91">
        <v>0.21</v>
      </c>
      <c r="E86" s="54"/>
      <c r="F86" s="152"/>
      <c r="G86" s="153"/>
      <c r="H86" s="219"/>
      <c r="J86"/>
      <c r="K86"/>
      <c r="L86"/>
    </row>
    <row r="87" spans="1:12" ht="16.5" thickBot="1" x14ac:dyDescent="0.3">
      <c r="A87" s="202" t="s">
        <v>270</v>
      </c>
      <c r="B87" s="79"/>
      <c r="C87" s="79"/>
      <c r="D87" s="79"/>
      <c r="E87" s="548">
        <f>(G78-(G53+G61+G69))*(D86/(1-D86))</f>
        <v>1.2701380977161478E-2</v>
      </c>
      <c r="G87" s="79"/>
      <c r="H87" s="219"/>
      <c r="J87"/>
      <c r="K87"/>
      <c r="L87"/>
    </row>
    <row r="88" spans="1:12" x14ac:dyDescent="0.25">
      <c r="A88" s="3661" t="s">
        <v>541</v>
      </c>
      <c r="B88" s="3662"/>
      <c r="C88" s="3662"/>
      <c r="D88" s="3662"/>
      <c r="E88" s="3662"/>
      <c r="F88" s="155"/>
      <c r="G88" s="79"/>
      <c r="H88" s="219"/>
      <c r="J88"/>
      <c r="K88"/>
      <c r="L88"/>
    </row>
    <row r="89" spans="1:12" ht="16.5" thickBot="1" x14ac:dyDescent="0.3">
      <c r="A89" s="256"/>
      <c r="B89" s="156"/>
      <c r="C89" s="79"/>
      <c r="D89" s="63"/>
      <c r="E89" s="150"/>
      <c r="F89" s="155"/>
      <c r="G89" s="79"/>
      <c r="H89" s="219"/>
    </row>
    <row r="90" spans="1:12" ht="16.5" thickBot="1" x14ac:dyDescent="0.3">
      <c r="A90" s="170" t="s">
        <v>63</v>
      </c>
      <c r="B90" s="156"/>
      <c r="C90" s="79"/>
      <c r="D90" s="63"/>
      <c r="E90" s="548">
        <f>G78+E87</f>
        <v>8.4185220942944408E-2</v>
      </c>
      <c r="G90" s="79"/>
      <c r="H90" s="219"/>
    </row>
    <row r="91" spans="1:12" x14ac:dyDescent="0.25">
      <c r="A91" s="473" t="s">
        <v>495</v>
      </c>
      <c r="B91" s="156"/>
      <c r="C91" s="79"/>
      <c r="D91" s="63"/>
      <c r="E91" s="150"/>
      <c r="F91" s="155"/>
      <c r="G91" s="79"/>
      <c r="H91" s="219"/>
    </row>
    <row r="92" spans="1:12" x14ac:dyDescent="0.25">
      <c r="A92" s="170"/>
      <c r="B92" s="79"/>
      <c r="C92" s="157"/>
      <c r="D92" s="10"/>
      <c r="E92" s="55"/>
      <c r="F92" s="34"/>
      <c r="G92" s="8"/>
      <c r="H92" s="185"/>
    </row>
    <row r="93" spans="1:12" ht="16.5" thickBot="1" x14ac:dyDescent="0.3">
      <c r="A93" s="202" t="s">
        <v>496</v>
      </c>
      <c r="B93" s="145"/>
      <c r="C93" s="79"/>
      <c r="D93" s="63"/>
      <c r="E93" s="92"/>
      <c r="F93" s="92"/>
      <c r="G93" s="92"/>
      <c r="H93" s="208"/>
    </row>
    <row r="94" spans="1:12" x14ac:dyDescent="0.25">
      <c r="A94" s="202"/>
      <c r="B94" s="145"/>
      <c r="C94" s="79"/>
      <c r="D94" s="63"/>
      <c r="E94" s="264" t="s">
        <v>104</v>
      </c>
      <c r="F94" s="265" t="s">
        <v>105</v>
      </c>
      <c r="G94" s="265" t="s">
        <v>106</v>
      </c>
      <c r="H94" s="279" t="s">
        <v>107</v>
      </c>
    </row>
    <row r="95" spans="1:12" x14ac:dyDescent="0.25">
      <c r="A95" s="170"/>
      <c r="B95" s="79"/>
      <c r="C95" s="79"/>
      <c r="D95" s="79"/>
      <c r="E95" s="419"/>
      <c r="F95" s="420"/>
      <c r="G95" s="420"/>
      <c r="H95" s="421"/>
    </row>
    <row r="96" spans="1:12" x14ac:dyDescent="0.25">
      <c r="A96" s="170" t="s">
        <v>62</v>
      </c>
      <c r="B96" s="79"/>
      <c r="C96" s="79"/>
      <c r="D96" s="79"/>
      <c r="E96" s="422">
        <f>'Sch 1- Rate Base '!G161</f>
        <v>9927581496.6237545</v>
      </c>
      <c r="F96" s="182">
        <f>'Sch 1- Rate Base '!H161</f>
        <v>4058898843.3887949</v>
      </c>
      <c r="G96" s="182">
        <f>'Sch 1- Rate Base '!I161</f>
        <v>23892855.711776573</v>
      </c>
      <c r="H96" s="183">
        <f>'Sch 1- Rate Base '!J161</f>
        <v>5843780386.2489052</v>
      </c>
    </row>
    <row r="97" spans="1:8" x14ac:dyDescent="0.25">
      <c r="A97" s="170" t="s">
        <v>63</v>
      </c>
      <c r="B97" s="79"/>
      <c r="C97" s="79"/>
      <c r="D97" s="79"/>
      <c r="E97" s="399">
        <f>$E$90</f>
        <v>8.4185220942944408E-2</v>
      </c>
      <c r="F97" s="400">
        <f>$E$90</f>
        <v>8.4185220942944408E-2</v>
      </c>
      <c r="G97" s="400">
        <f>$E$90</f>
        <v>8.4185220942944408E-2</v>
      </c>
      <c r="H97" s="401">
        <f>$E$90</f>
        <v>8.4185220942944408E-2</v>
      </c>
    </row>
    <row r="98" spans="1:8" ht="16.5" thickBot="1" x14ac:dyDescent="0.3">
      <c r="A98" s="202" t="s">
        <v>141</v>
      </c>
      <c r="B98" s="145"/>
      <c r="C98" s="145"/>
      <c r="D98" s="145"/>
      <c r="E98" s="408">
        <f>E97*E96</f>
        <v>835755641.72235751</v>
      </c>
      <c r="F98" s="409">
        <f>F97*F96</f>
        <v>341699295.91574723</v>
      </c>
      <c r="G98" s="409">
        <f>G97*G96</f>
        <v>2011425.3370538021</v>
      </c>
      <c r="H98" s="410">
        <f>H97*H96</f>
        <v>491959942.95840907</v>
      </c>
    </row>
    <row r="99" spans="1:8" ht="16.5" thickBot="1" x14ac:dyDescent="0.3">
      <c r="A99" s="514" t="s">
        <v>34</v>
      </c>
      <c r="B99" s="203"/>
      <c r="C99" s="203"/>
      <c r="D99" s="203"/>
      <c r="E99" s="203"/>
      <c r="F99" s="203"/>
      <c r="G99" s="203"/>
      <c r="H99" s="204"/>
    </row>
    <row r="100" spans="1:8" ht="17.25" thickTop="1" thickBot="1" x14ac:dyDescent="0.3">
      <c r="A100" s="225"/>
      <c r="B100" s="144"/>
      <c r="C100" s="144"/>
      <c r="D100" s="144"/>
      <c r="E100" s="144"/>
      <c r="F100" s="144"/>
      <c r="G100" s="79"/>
      <c r="H100" s="219"/>
    </row>
    <row r="101" spans="1:8" ht="24.95" customHeight="1" thickBot="1" x14ac:dyDescent="0.3">
      <c r="A101" s="331" t="s">
        <v>226</v>
      </c>
      <c r="B101" s="259"/>
      <c r="C101" s="260"/>
      <c r="D101" s="261"/>
      <c r="E101" s="262"/>
      <c r="F101" s="32" t="s">
        <v>97</v>
      </c>
      <c r="G101" s="33"/>
      <c r="H101" s="254"/>
    </row>
    <row r="102" spans="1:8" x14ac:dyDescent="0.25">
      <c r="A102" s="202"/>
      <c r="B102" s="145"/>
      <c r="C102" s="146"/>
      <c r="D102" s="147"/>
      <c r="E102" s="147"/>
      <c r="F102" s="148"/>
      <c r="G102" s="6"/>
      <c r="H102" s="255"/>
    </row>
    <row r="103" spans="1:8" x14ac:dyDescent="0.25">
      <c r="A103" s="202" t="s">
        <v>378</v>
      </c>
      <c r="B103" s="145"/>
      <c r="C103" s="146"/>
      <c r="D103" s="147"/>
      <c r="E103" s="147"/>
      <c r="F103" s="148"/>
      <c r="G103" s="6"/>
      <c r="H103" s="255"/>
    </row>
    <row r="104" spans="1:8" x14ac:dyDescent="0.25">
      <c r="A104" s="257"/>
      <c r="B104" s="145"/>
      <c r="C104" s="146"/>
      <c r="D104" s="147"/>
      <c r="E104" s="147"/>
      <c r="F104" s="148"/>
      <c r="G104" s="6"/>
      <c r="H104" s="255"/>
    </row>
    <row r="105" spans="1:8" x14ac:dyDescent="0.25">
      <c r="A105" s="257"/>
      <c r="B105" s="145"/>
      <c r="C105" s="146"/>
      <c r="D105" s="147"/>
      <c r="E105" s="147"/>
      <c r="F105" s="148"/>
      <c r="G105" s="6"/>
      <c r="H105" s="255"/>
    </row>
    <row r="106" spans="1:8" ht="16.5" thickBot="1" x14ac:dyDescent="0.3">
      <c r="A106" s="202"/>
      <c r="B106" s="145"/>
      <c r="C106" s="146"/>
      <c r="D106" s="79"/>
      <c r="E106" s="79"/>
      <c r="F106" s="148"/>
      <c r="G106" s="6"/>
      <c r="H106" s="255"/>
    </row>
    <row r="107" spans="1:8" x14ac:dyDescent="0.25">
      <c r="A107" s="276"/>
      <c r="B107" s="263" t="s">
        <v>383</v>
      </c>
      <c r="C107" s="263" t="s">
        <v>379</v>
      </c>
      <c r="D107" s="263" t="s">
        <v>379</v>
      </c>
      <c r="E107" s="283" t="s">
        <v>384</v>
      </c>
      <c r="F107" s="287" t="s">
        <v>385</v>
      </c>
      <c r="G107"/>
      <c r="H107" s="219"/>
    </row>
    <row r="108" spans="1:8" ht="16.5" thickBot="1" x14ac:dyDescent="0.3">
      <c r="A108" s="278" t="s">
        <v>381</v>
      </c>
      <c r="B108" s="289" t="s">
        <v>441</v>
      </c>
      <c r="C108" s="289" t="s">
        <v>382</v>
      </c>
      <c r="D108" s="289" t="s">
        <v>387</v>
      </c>
      <c r="E108" s="290" t="s">
        <v>380</v>
      </c>
      <c r="F108" s="291" t="s">
        <v>386</v>
      </c>
      <c r="G108"/>
      <c r="H108" s="219"/>
    </row>
    <row r="109" spans="1:8" x14ac:dyDescent="0.25">
      <c r="A109" s="288"/>
      <c r="B109" s="460"/>
      <c r="C109" s="461"/>
      <c r="D109" s="461"/>
      <c r="E109" s="389"/>
      <c r="F109" s="462">
        <f t="shared" ref="F109:F117" si="0">E109*B109</f>
        <v>0</v>
      </c>
      <c r="G109"/>
      <c r="H109" s="219"/>
    </row>
    <row r="110" spans="1:8" x14ac:dyDescent="0.25">
      <c r="A110" s="277"/>
      <c r="B110" s="463"/>
      <c r="C110" s="461"/>
      <c r="D110" s="461"/>
      <c r="E110" s="394"/>
      <c r="F110" s="462">
        <f t="shared" si="0"/>
        <v>0</v>
      </c>
      <c r="G110"/>
      <c r="H110" s="219"/>
    </row>
    <row r="111" spans="1:8" x14ac:dyDescent="0.25">
      <c r="A111" s="277"/>
      <c r="B111" s="463"/>
      <c r="C111" s="461"/>
      <c r="D111" s="461"/>
      <c r="E111" s="394"/>
      <c r="F111" s="462">
        <f t="shared" si="0"/>
        <v>0</v>
      </c>
      <c r="G111"/>
      <c r="H111" s="219"/>
    </row>
    <row r="112" spans="1:8" x14ac:dyDescent="0.25">
      <c r="A112" s="277"/>
      <c r="B112" s="463"/>
      <c r="C112" s="461"/>
      <c r="D112" s="461"/>
      <c r="E112" s="394"/>
      <c r="F112" s="462">
        <f t="shared" si="0"/>
        <v>0</v>
      </c>
      <c r="G112"/>
      <c r="H112" s="219"/>
    </row>
    <row r="113" spans="1:8" x14ac:dyDescent="0.25">
      <c r="A113" s="277"/>
      <c r="B113" s="463"/>
      <c r="C113" s="461"/>
      <c r="D113" s="461"/>
      <c r="E113" s="394"/>
      <c r="F113" s="462">
        <f t="shared" si="0"/>
        <v>0</v>
      </c>
      <c r="G113"/>
      <c r="H113" s="219"/>
    </row>
    <row r="114" spans="1:8" x14ac:dyDescent="0.25">
      <c r="A114" s="277"/>
      <c r="B114" s="463"/>
      <c r="C114" s="461"/>
      <c r="D114" s="461"/>
      <c r="E114" s="394"/>
      <c r="F114" s="462">
        <f t="shared" si="0"/>
        <v>0</v>
      </c>
      <c r="G114"/>
      <c r="H114" s="219"/>
    </row>
    <row r="115" spans="1:8" x14ac:dyDescent="0.25">
      <c r="A115" s="277"/>
      <c r="B115" s="463"/>
      <c r="C115" s="461"/>
      <c r="D115" s="461"/>
      <c r="E115" s="394"/>
      <c r="F115" s="462">
        <f t="shared" si="0"/>
        <v>0</v>
      </c>
      <c r="G115"/>
      <c r="H115" s="219"/>
    </row>
    <row r="116" spans="1:8" x14ac:dyDescent="0.25">
      <c r="A116" s="277"/>
      <c r="B116" s="463"/>
      <c r="C116" s="461"/>
      <c r="D116" s="461"/>
      <c r="E116" s="394"/>
      <c r="F116" s="462">
        <f t="shared" si="0"/>
        <v>0</v>
      </c>
      <c r="G116"/>
      <c r="H116" s="219"/>
    </row>
    <row r="117" spans="1:8" x14ac:dyDescent="0.25">
      <c r="A117" s="277"/>
      <c r="B117" s="463"/>
      <c r="C117" s="461"/>
      <c r="D117" s="461"/>
      <c r="E117" s="394"/>
      <c r="F117" s="462">
        <f t="shared" si="0"/>
        <v>0</v>
      </c>
      <c r="G117"/>
      <c r="H117" s="219"/>
    </row>
    <row r="118" spans="1:8" ht="16.5" thickBot="1" x14ac:dyDescent="0.3">
      <c r="A118" s="278" t="s">
        <v>388</v>
      </c>
      <c r="B118" s="544">
        <f>SUM(B109:B117)</f>
        <v>0</v>
      </c>
      <c r="C118" s="545"/>
      <c r="D118" s="405"/>
      <c r="E118" s="546">
        <f>IF(B118=0,0,F118/B118)</f>
        <v>0</v>
      </c>
      <c r="F118" s="547">
        <f>SUM(F109:F117)</f>
        <v>0</v>
      </c>
      <c r="G118"/>
      <c r="H118" s="219"/>
    </row>
    <row r="119" spans="1:8" x14ac:dyDescent="0.25">
      <c r="A119" s="170"/>
      <c r="B119" s="79"/>
      <c r="C119" s="79"/>
      <c r="D119" s="63"/>
      <c r="E119" s="150"/>
      <c r="F119" s="149"/>
      <c r="G119" s="151"/>
      <c r="H119" s="219"/>
    </row>
    <row r="120" spans="1:8" x14ac:dyDescent="0.25">
      <c r="A120" s="170"/>
      <c r="B120" s="79"/>
      <c r="C120" s="157"/>
      <c r="D120" s="10"/>
      <c r="E120" s="55"/>
      <c r="F120" s="34"/>
      <c r="G120" s="8"/>
      <c r="H120" s="185"/>
    </row>
    <row r="121" spans="1:8" ht="16.5" thickBot="1" x14ac:dyDescent="0.3">
      <c r="A121" s="202" t="s">
        <v>389</v>
      </c>
      <c r="B121" s="145"/>
      <c r="C121" s="79"/>
      <c r="D121" s="63"/>
      <c r="E121" s="92"/>
      <c r="F121" s="92"/>
      <c r="G121" s="92"/>
      <c r="H121" s="208"/>
    </row>
    <row r="122" spans="1:8" x14ac:dyDescent="0.25">
      <c r="A122" s="202"/>
      <c r="B122" s="145"/>
      <c r="C122" s="79"/>
      <c r="D122" s="63"/>
      <c r="E122" s="264" t="s">
        <v>104</v>
      </c>
      <c r="F122" s="265" t="s">
        <v>105</v>
      </c>
      <c r="G122" s="265" t="s">
        <v>106</v>
      </c>
      <c r="H122" s="279" t="s">
        <v>107</v>
      </c>
    </row>
    <row r="123" spans="1:8" x14ac:dyDescent="0.25">
      <c r="A123" s="202" t="s">
        <v>62</v>
      </c>
      <c r="B123" s="79"/>
      <c r="C123" s="79"/>
      <c r="D123" s="79"/>
      <c r="E123" s="464">
        <f>'Sch 1- Rate Base '!G161</f>
        <v>9927581496.6237545</v>
      </c>
      <c r="F123" s="397">
        <f>'Sch 1- Rate Base '!H161</f>
        <v>4058898843.3887949</v>
      </c>
      <c r="G123" s="465">
        <f>'Sch 1- Rate Base '!I161</f>
        <v>23892855.711776573</v>
      </c>
      <c r="H123" s="398">
        <f>'Sch 1- Rate Base '!J161</f>
        <v>5843780386.2489052</v>
      </c>
    </row>
    <row r="124" spans="1:8" x14ac:dyDescent="0.25">
      <c r="A124" s="202" t="s">
        <v>388</v>
      </c>
      <c r="B124" s="79"/>
      <c r="C124" s="79"/>
      <c r="D124" s="79"/>
      <c r="E124" s="466">
        <f>$E$118</f>
        <v>0</v>
      </c>
      <c r="F124" s="467">
        <f>$E$118</f>
        <v>0</v>
      </c>
      <c r="G124" s="467">
        <f>$E$118</f>
        <v>0</v>
      </c>
      <c r="H124" s="468">
        <f>$E$118</f>
        <v>0</v>
      </c>
    </row>
    <row r="125" spans="1:8" ht="16.5" thickBot="1" x14ac:dyDescent="0.3">
      <c r="A125" s="202" t="s">
        <v>202</v>
      </c>
      <c r="B125" s="145"/>
      <c r="C125" s="145"/>
      <c r="D125" s="145"/>
      <c r="E125" s="408">
        <f>E124*E123</f>
        <v>0</v>
      </c>
      <c r="F125" s="409">
        <f>F124*F123</f>
        <v>0</v>
      </c>
      <c r="G125" s="409">
        <f>G124*G123</f>
        <v>0</v>
      </c>
      <c r="H125" s="410">
        <f>H124*H123</f>
        <v>0</v>
      </c>
    </row>
    <row r="126" spans="1:8" x14ac:dyDescent="0.25">
      <c r="A126" s="257"/>
      <c r="B126" s="79"/>
      <c r="C126" s="79"/>
      <c r="D126" s="79"/>
      <c r="E126" s="79"/>
      <c r="F126" s="79"/>
      <c r="G126" s="79"/>
      <c r="H126" s="219"/>
    </row>
    <row r="127" spans="1:8" x14ac:dyDescent="0.25">
      <c r="A127" s="170"/>
      <c r="B127" s="79"/>
      <c r="C127" s="79"/>
      <c r="D127" s="79"/>
      <c r="E127" s="79"/>
      <c r="F127" s="79"/>
      <c r="G127" s="79"/>
      <c r="H127" s="219"/>
    </row>
    <row r="128" spans="1:8" ht="16.5" thickBot="1" x14ac:dyDescent="0.3">
      <c r="A128" s="258"/>
      <c r="B128" s="203"/>
      <c r="C128" s="203"/>
      <c r="D128" s="203"/>
      <c r="E128" s="203"/>
      <c r="F128" s="203"/>
      <c r="G128" s="203"/>
      <c r="H128" s="204"/>
    </row>
    <row r="129" ht="16.5" thickTop="1" x14ac:dyDescent="0.25"/>
  </sheetData>
  <mergeCells count="13">
    <mergeCell ref="A8:H8"/>
    <mergeCell ref="A88:E88"/>
    <mergeCell ref="D22:E22"/>
    <mergeCell ref="B22:C22"/>
    <mergeCell ref="A33:E33"/>
    <mergeCell ref="B51:C51"/>
    <mergeCell ref="D51:E51"/>
    <mergeCell ref="D7:F7"/>
    <mergeCell ref="A1:H1"/>
    <mergeCell ref="A2:H2"/>
    <mergeCell ref="A3:H3"/>
    <mergeCell ref="D5:F5"/>
    <mergeCell ref="D6:F6"/>
  </mergeCells>
  <phoneticPr fontId="0" type="noConversion"/>
  <hyperlinks>
    <hyperlink ref="A5" location="TOC!A1" display="TOC" xr:uid="{00000000-0004-0000-0400-000000000000}"/>
    <hyperlink ref="A6" location="'Sch 2 -Rate of Return'!A10" display="é" xr:uid="{00000000-0004-0000-0400-000001000000}"/>
  </hyperlinks>
  <printOptions horizontalCentered="1" headings="1"/>
  <pageMargins left="0.5" right="0.5" top="0.75" bottom="0.55000000000000004" header="0.25" footer="0.25"/>
  <pageSetup scale="73" orientation="landscape" r:id="rId1"/>
  <headerFooter alignWithMargins="0">
    <oddFooter>&amp;LFY 2026-2028 ASC Filing&amp;CPage &amp;P of &amp;N&amp;R&amp;A
&amp;D</oddFooter>
  </headerFooter>
  <rowBreaks count="3" manualBreakCount="3">
    <brk id="45" max="7" man="1"/>
    <brk id="79" max="7" man="1"/>
    <brk id="99" max="7" man="1"/>
  </rowBreaks>
  <customProperties>
    <customPr name="_pios_id" r:id="rId2"/>
  </customPropertie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indexed="44"/>
  </sheetPr>
  <dimension ref="A1:O113"/>
  <sheetViews>
    <sheetView topLeftCell="A22" zoomScale="90" zoomScaleNormal="90" zoomScaleSheetLayoutView="80" workbookViewId="0">
      <selection activeCell="M34" sqref="M34"/>
    </sheetView>
  </sheetViews>
  <sheetFormatPr defaultColWidth="9" defaultRowHeight="15.75" x14ac:dyDescent="0.25"/>
  <cols>
    <col min="1" max="1" width="5.375" style="1" customWidth="1"/>
    <col min="2" max="2" width="47.375" style="1" customWidth="1"/>
    <col min="3" max="6" width="9.625" style="1" customWidth="1"/>
    <col min="7" max="7" width="14.75" style="68" customWidth="1"/>
    <col min="8" max="10" width="14.75" style="1" customWidth="1"/>
    <col min="11" max="11" width="2.625" style="1" customWidth="1"/>
    <col min="12" max="14" width="15.125" style="1" customWidth="1"/>
    <col min="15" max="15" width="9" style="1"/>
    <col min="16" max="16" width="12.625" style="1" customWidth="1"/>
    <col min="17" max="16384" width="9" style="1"/>
  </cols>
  <sheetData>
    <row r="1" spans="1:15" ht="19.5" thickTop="1" x14ac:dyDescent="0.3">
      <c r="A1" s="3637" t="s">
        <v>54</v>
      </c>
      <c r="B1" s="3638"/>
      <c r="C1" s="3638"/>
      <c r="D1" s="3638"/>
      <c r="E1" s="3638"/>
      <c r="F1" s="3638"/>
      <c r="G1" s="3638"/>
      <c r="H1" s="3638"/>
      <c r="I1" s="3638"/>
      <c r="J1" s="3639"/>
      <c r="L1" s="1755"/>
      <c r="M1" s="1755"/>
      <c r="N1" s="1755"/>
      <c r="O1" s="1755"/>
    </row>
    <row r="2" spans="1:15" x14ac:dyDescent="0.25">
      <c r="A2" s="3635" t="s">
        <v>56</v>
      </c>
      <c r="B2" s="3612"/>
      <c r="C2" s="3612"/>
      <c r="D2" s="3612"/>
      <c r="E2" s="3612"/>
      <c r="F2" s="3612"/>
      <c r="G2" s="3612"/>
      <c r="H2" s="3612"/>
      <c r="I2" s="3612"/>
      <c r="J2" s="3636"/>
      <c r="L2" s="1762"/>
      <c r="M2" s="1762"/>
      <c r="N2" s="1762"/>
      <c r="O2" s="1762"/>
    </row>
    <row r="3" spans="1:15" x14ac:dyDescent="0.25">
      <c r="A3" s="3633" t="s">
        <v>719</v>
      </c>
      <c r="B3" s="3609"/>
      <c r="C3" s="3609"/>
      <c r="D3" s="3609"/>
      <c r="E3" s="3609"/>
      <c r="F3" s="3609"/>
      <c r="G3" s="3609"/>
      <c r="H3" s="3609"/>
      <c r="I3" s="3609"/>
      <c r="J3" s="3634"/>
      <c r="L3" s="1762"/>
      <c r="M3" s="1762"/>
      <c r="N3" s="1762"/>
      <c r="O3" s="1762"/>
    </row>
    <row r="4" spans="1:15" ht="10.5" customHeight="1" thickBot="1" x14ac:dyDescent="0.3">
      <c r="A4" s="158"/>
      <c r="B4" s="2"/>
      <c r="C4" s="2"/>
      <c r="D4" s="2"/>
      <c r="E4" s="3"/>
      <c r="F4" s="3"/>
      <c r="G4" s="69"/>
      <c r="H4" s="5"/>
      <c r="I4" s="5"/>
      <c r="J4" s="159"/>
      <c r="L4" s="1762"/>
      <c r="M4" s="1762"/>
      <c r="N4" s="1762"/>
      <c r="O4" s="1762"/>
    </row>
    <row r="5" spans="1:15" s="1236" customFormat="1" x14ac:dyDescent="0.25">
      <c r="A5" s="1238" t="s">
        <v>695</v>
      </c>
      <c r="D5" s="505" t="s">
        <v>572</v>
      </c>
      <c r="E5" s="3648" t="str">
        <f>'Sch 1- Rate Base '!$E$5</f>
        <v>PacifiCorp</v>
      </c>
      <c r="F5" s="3649"/>
      <c r="G5" s="3656"/>
      <c r="I5" s="1197" t="s">
        <v>717</v>
      </c>
      <c r="J5" s="159"/>
      <c r="L5" s="1806"/>
      <c r="M5" s="1806"/>
      <c r="N5" s="1806"/>
      <c r="O5" s="1806"/>
    </row>
    <row r="6" spans="1:15" x14ac:dyDescent="0.25">
      <c r="A6" s="1326" t="s">
        <v>696</v>
      </c>
      <c r="B6" s="2"/>
      <c r="C6" s="2"/>
      <c r="D6" s="505" t="s">
        <v>574</v>
      </c>
      <c r="E6" s="3650">
        <f>'Sch 1- Rate Base '!$E$6</f>
        <v>2023</v>
      </c>
      <c r="F6" s="3651"/>
      <c r="G6" s="3657"/>
      <c r="H6" s="625"/>
      <c r="I6" s="1323" t="str">
        <f>'Sch 1- Rate Base '!I6</f>
        <v/>
      </c>
      <c r="J6" s="159"/>
      <c r="L6" s="1762"/>
      <c r="M6" s="1762"/>
      <c r="N6" s="1762"/>
      <c r="O6" s="1762"/>
    </row>
    <row r="7" spans="1:15" ht="16.5" thickBot="1" x14ac:dyDescent="0.3">
      <c r="A7" s="158"/>
      <c r="B7" s="2"/>
      <c r="C7" s="2"/>
      <c r="D7" s="505" t="s">
        <v>575</v>
      </c>
      <c r="E7" s="3652">
        <f>'Sch 1- Rate Base '!$E$7</f>
        <v>45446</v>
      </c>
      <c r="F7" s="3654"/>
      <c r="G7" s="3655"/>
      <c r="H7" s="625"/>
      <c r="I7" s="1322" t="str">
        <f>'Sch 1- Rate Base '!I7</f>
        <v/>
      </c>
      <c r="J7" s="159"/>
      <c r="L7" s="1762"/>
      <c r="M7" s="1762"/>
      <c r="N7" s="1762"/>
      <c r="O7" s="1762"/>
    </row>
    <row r="8" spans="1:15" ht="9" customHeight="1" x14ac:dyDescent="0.25">
      <c r="A8" s="158"/>
      <c r="B8" s="2"/>
      <c r="C8" s="2"/>
      <c r="D8" s="505"/>
      <c r="E8" s="180"/>
      <c r="F8" s="180"/>
      <c r="G8" s="180"/>
      <c r="H8" s="5"/>
      <c r="I8" s="5"/>
      <c r="J8" s="159"/>
      <c r="L8" s="1762"/>
      <c r="M8" s="1762"/>
      <c r="N8" s="1762"/>
      <c r="O8" s="1762"/>
    </row>
    <row r="9" spans="1:15" x14ac:dyDescent="0.25">
      <c r="A9" s="332" t="s">
        <v>82</v>
      </c>
      <c r="B9" s="2"/>
      <c r="C9" s="2"/>
      <c r="D9" s="2"/>
      <c r="E9" s="3"/>
      <c r="F9" s="3"/>
      <c r="G9" s="69"/>
      <c r="H9" s="5"/>
      <c r="I9" s="5"/>
      <c r="J9" s="159"/>
      <c r="L9" s="1762"/>
      <c r="M9" s="1762"/>
      <c r="N9" s="1762"/>
      <c r="O9" s="1762"/>
    </row>
    <row r="10" spans="1:15" ht="18" customHeight="1" thickBot="1" x14ac:dyDescent="0.3">
      <c r="A10" s="332"/>
      <c r="B10" s="2"/>
      <c r="C10" s="2"/>
      <c r="D10" s="2"/>
      <c r="E10" s="3"/>
      <c r="F10" s="3"/>
      <c r="G10" s="69"/>
      <c r="H10" s="5"/>
      <c r="I10" s="5"/>
      <c r="J10" s="159"/>
      <c r="L10" s="1762"/>
      <c r="M10" s="1762"/>
      <c r="N10" s="1762"/>
      <c r="O10" s="1762"/>
    </row>
    <row r="11" spans="1:15" ht="17.25" customHeight="1" thickTop="1" thickBot="1" x14ac:dyDescent="0.3">
      <c r="A11" s="3674" t="s">
        <v>100</v>
      </c>
      <c r="B11" s="3675"/>
      <c r="C11" s="325" t="s">
        <v>323</v>
      </c>
      <c r="D11" s="325"/>
      <c r="E11" s="371" t="s">
        <v>354</v>
      </c>
      <c r="F11" s="372"/>
      <c r="G11" s="3679" t="s">
        <v>104</v>
      </c>
      <c r="H11" s="3672" t="s">
        <v>105</v>
      </c>
      <c r="I11" s="3672" t="s">
        <v>106</v>
      </c>
      <c r="J11" s="3682" t="s">
        <v>726</v>
      </c>
      <c r="L11" s="3666" t="s">
        <v>105</v>
      </c>
      <c r="M11" s="3666" t="s">
        <v>106</v>
      </c>
      <c r="N11" s="3669" t="s">
        <v>725</v>
      </c>
      <c r="O11" s="1762"/>
    </row>
    <row r="12" spans="1:15" ht="16.5" thickBot="1" x14ac:dyDescent="0.3">
      <c r="A12" s="3676"/>
      <c r="B12" s="3605"/>
      <c r="C12" s="322" t="s">
        <v>272</v>
      </c>
      <c r="D12" s="322" t="s">
        <v>96</v>
      </c>
      <c r="E12" s="319" t="s">
        <v>450</v>
      </c>
      <c r="F12" s="320"/>
      <c r="G12" s="3680"/>
      <c r="H12" s="3607"/>
      <c r="I12" s="3607"/>
      <c r="J12" s="3683"/>
      <c r="L12" s="3667"/>
      <c r="M12" s="3667"/>
      <c r="N12" s="3670"/>
      <c r="O12" s="1762"/>
    </row>
    <row r="13" spans="1:15" ht="16.5" thickBot="1" x14ac:dyDescent="0.3">
      <c r="A13" s="3677"/>
      <c r="B13" s="3678"/>
      <c r="C13" s="311" t="s">
        <v>273</v>
      </c>
      <c r="D13" s="311" t="s">
        <v>252</v>
      </c>
      <c r="E13" s="313" t="s">
        <v>352</v>
      </c>
      <c r="F13" s="313" t="s">
        <v>353</v>
      </c>
      <c r="G13" s="3681"/>
      <c r="H13" s="3673"/>
      <c r="I13" s="3673"/>
      <c r="J13" s="3684"/>
      <c r="L13" s="3668"/>
      <c r="M13" s="3668"/>
      <c r="N13" s="3671"/>
      <c r="O13" s="1762"/>
    </row>
    <row r="14" spans="1:15" ht="16.5" thickTop="1" x14ac:dyDescent="0.25">
      <c r="A14" s="160" t="s">
        <v>456</v>
      </c>
      <c r="B14" s="32"/>
      <c r="C14" s="8"/>
      <c r="D14" s="8"/>
      <c r="E14" s="8"/>
      <c r="F14" s="8"/>
      <c r="G14" s="178"/>
      <c r="H14" s="23"/>
      <c r="I14" s="23"/>
      <c r="J14" s="179"/>
      <c r="L14" s="1762"/>
      <c r="M14" s="1762"/>
      <c r="N14" s="1762"/>
      <c r="O14" s="1762"/>
    </row>
    <row r="15" spans="1:15" x14ac:dyDescent="0.25">
      <c r="A15" s="161"/>
      <c r="B15" s="73" t="s">
        <v>457</v>
      </c>
      <c r="C15" s="50"/>
      <c r="D15" s="50"/>
      <c r="E15" s="50"/>
      <c r="F15" s="50"/>
      <c r="G15" s="178"/>
      <c r="H15" s="23"/>
      <c r="I15" s="23"/>
      <c r="J15" s="179"/>
      <c r="L15" s="1762"/>
      <c r="M15" s="1762"/>
      <c r="N15" s="1762"/>
      <c r="O15" s="1762"/>
    </row>
    <row r="16" spans="1:15" ht="15" customHeight="1" x14ac:dyDescent="0.25">
      <c r="A16" s="162"/>
      <c r="B16" s="47" t="s">
        <v>259</v>
      </c>
      <c r="C16" s="181" t="s">
        <v>72</v>
      </c>
      <c r="D16" s="181">
        <v>501</v>
      </c>
      <c r="E16" s="184" t="s">
        <v>394</v>
      </c>
      <c r="F16" s="184"/>
      <c r="G16" s="1783">
        <f>VLOOKUP(D16,'Base Expense Data'!$D$6:$I$86,3,FALSE)</f>
        <v>252388860.8429752</v>
      </c>
      <c r="H16" s="249">
        <f>VLOOKUP($E16,Ratio,2,FALSE)*$G16</f>
        <v>252388860.8429752</v>
      </c>
      <c r="I16" s="249">
        <f>VLOOKUP($E16,Ratio,3,FALSE)*$G16</f>
        <v>0</v>
      </c>
      <c r="J16" s="266">
        <f>VLOOKUP($E16,Ratio,4,FALSE)*$G16</f>
        <v>0</v>
      </c>
      <c r="L16" s="1762"/>
      <c r="M16" s="1762"/>
      <c r="N16" s="1762"/>
      <c r="O16" s="1762"/>
    </row>
    <row r="17" spans="1:15" ht="15" customHeight="1" x14ac:dyDescent="0.25">
      <c r="A17" s="162"/>
      <c r="B17" s="47" t="s">
        <v>260</v>
      </c>
      <c r="C17" s="181" t="s">
        <v>72</v>
      </c>
      <c r="D17" s="181" t="s">
        <v>452</v>
      </c>
      <c r="E17" s="184" t="s">
        <v>394</v>
      </c>
      <c r="F17" s="184"/>
      <c r="G17" s="1783">
        <f>VLOOKUP(D17,'Base Expense Data'!$D$6:$I$86,3,FALSE)</f>
        <v>54995738.093448065</v>
      </c>
      <c r="H17" s="249">
        <f>VLOOKUP($E17,Ratio,2,FALSE)*$G17</f>
        <v>54995738.093448065</v>
      </c>
      <c r="I17" s="249">
        <f>VLOOKUP($E17,Ratio,3,FALSE)*$G17</f>
        <v>0</v>
      </c>
      <c r="J17" s="266">
        <f>VLOOKUP($E17,Ratio,4,FALSE)*$G17</f>
        <v>0</v>
      </c>
      <c r="L17" s="1755"/>
      <c r="M17" s="1755"/>
      <c r="N17" s="1755"/>
      <c r="O17" s="1755"/>
    </row>
    <row r="18" spans="1:15" ht="15" customHeight="1" x14ac:dyDescent="0.25">
      <c r="A18" s="162"/>
      <c r="B18" s="47" t="s">
        <v>261</v>
      </c>
      <c r="C18" s="181" t="s">
        <v>72</v>
      </c>
      <c r="D18" s="181" t="s">
        <v>262</v>
      </c>
      <c r="E18" s="184" t="s">
        <v>394</v>
      </c>
      <c r="F18" s="184"/>
      <c r="G18" s="1783">
        <f>VLOOKUP(D18,'Base Expense Data'!$D$6:$I$86,3,FALSE)</f>
        <v>67931640.829523325</v>
      </c>
      <c r="H18" s="249">
        <f>VLOOKUP($E18,Ratio,2,FALSE)*$G18</f>
        <v>67931640.829523325</v>
      </c>
      <c r="I18" s="249">
        <f>VLOOKUP($E18,Ratio,3,FALSE)*$G18</f>
        <v>0</v>
      </c>
      <c r="J18" s="266">
        <f>VLOOKUP($E18,Ratio,4,FALSE)*$G18</f>
        <v>0</v>
      </c>
      <c r="L18" s="1755"/>
      <c r="M18" s="1755"/>
      <c r="N18" s="1755"/>
      <c r="O18" s="1755"/>
    </row>
    <row r="19" spans="1:15" x14ac:dyDescent="0.25">
      <c r="A19" s="162"/>
      <c r="B19" s="74" t="s">
        <v>458</v>
      </c>
      <c r="C19" s="50"/>
      <c r="D19" s="50"/>
      <c r="E19" s="48"/>
      <c r="F19" s="48"/>
      <c r="G19" s="1795"/>
      <c r="H19" s="478"/>
      <c r="I19" s="478"/>
      <c r="J19" s="479"/>
      <c r="L19" s="1755"/>
      <c r="M19" s="1755"/>
      <c r="N19" s="1755"/>
      <c r="O19" s="1755"/>
    </row>
    <row r="20" spans="1:15" ht="15" customHeight="1" x14ac:dyDescent="0.25">
      <c r="A20" s="162"/>
      <c r="B20" s="47" t="s">
        <v>85</v>
      </c>
      <c r="C20" s="181" t="s">
        <v>72</v>
      </c>
      <c r="D20" s="181">
        <v>518</v>
      </c>
      <c r="E20" s="184" t="s">
        <v>394</v>
      </c>
      <c r="F20" s="184"/>
      <c r="G20" s="249">
        <f>VLOOKUP(D20,'Base Expense Data'!$D$6:$I$86,3,FALSE)</f>
        <v>0</v>
      </c>
      <c r="H20" s="249">
        <f>VLOOKUP($E20,Ratio,2,FALSE)*$G20</f>
        <v>0</v>
      </c>
      <c r="I20" s="249">
        <f>VLOOKUP($E20,Ratio,3,FALSE)*$G20</f>
        <v>0</v>
      </c>
      <c r="J20" s="266">
        <f>VLOOKUP($E20,Ratio,4,FALSE)*$G20</f>
        <v>0</v>
      </c>
      <c r="L20" s="1755"/>
      <c r="M20" s="1755"/>
      <c r="N20" s="1755"/>
      <c r="O20" s="1755"/>
    </row>
    <row r="21" spans="1:15" ht="15" customHeight="1" x14ac:dyDescent="0.25">
      <c r="A21" s="162"/>
      <c r="B21" s="49" t="s">
        <v>264</v>
      </c>
      <c r="C21" s="181" t="s">
        <v>72</v>
      </c>
      <c r="D21" s="181" t="s">
        <v>453</v>
      </c>
      <c r="E21" s="184" t="s">
        <v>394</v>
      </c>
      <c r="F21" s="184"/>
      <c r="G21" s="249">
        <f>VLOOKUP(D21,'Base Expense Data'!$D$6:$I$86,3,FALSE)</f>
        <v>0</v>
      </c>
      <c r="H21" s="249">
        <f>VLOOKUP($E21,Ratio,2,FALSE)*$G21</f>
        <v>0</v>
      </c>
      <c r="I21" s="249">
        <f>VLOOKUP($E21,Ratio,3,FALSE)*$G21</f>
        <v>0</v>
      </c>
      <c r="J21" s="266">
        <f>VLOOKUP($E21,Ratio,4,FALSE)*$G21</f>
        <v>0</v>
      </c>
      <c r="L21" s="1755"/>
      <c r="M21" s="1755"/>
      <c r="N21" s="1755"/>
      <c r="O21" s="1755"/>
    </row>
    <row r="22" spans="1:15" ht="15" customHeight="1" x14ac:dyDescent="0.25">
      <c r="A22" s="162"/>
      <c r="B22" s="46" t="s">
        <v>479</v>
      </c>
      <c r="C22" s="181" t="s">
        <v>72</v>
      </c>
      <c r="D22" s="181" t="s">
        <v>480</v>
      </c>
      <c r="E22" s="184" t="s">
        <v>394</v>
      </c>
      <c r="F22" s="184"/>
      <c r="G22" s="249">
        <f>VLOOKUP(D22,'Base Expense Data'!$D$6:$I$86,3,FALSE)</f>
        <v>0</v>
      </c>
      <c r="H22" s="249">
        <f>VLOOKUP($E22,Ratio,2,FALSE)*$G22</f>
        <v>0</v>
      </c>
      <c r="I22" s="249">
        <f>VLOOKUP($E22,Ratio,3,FALSE)*$G22</f>
        <v>0</v>
      </c>
      <c r="J22" s="266">
        <f>VLOOKUP($E22,Ratio,4,FALSE)*$G22</f>
        <v>0</v>
      </c>
      <c r="L22" s="1755"/>
      <c r="M22" s="1755"/>
      <c r="N22" s="1755"/>
      <c r="O22" s="1755"/>
    </row>
    <row r="23" spans="1:15" x14ac:dyDescent="0.25">
      <c r="A23" s="162"/>
      <c r="B23" s="74" t="s">
        <v>459</v>
      </c>
      <c r="C23" s="50"/>
      <c r="D23" s="50"/>
      <c r="E23" s="48"/>
      <c r="F23" s="48"/>
      <c r="G23" s="1795"/>
      <c r="H23" s="478"/>
      <c r="I23" s="478"/>
      <c r="J23" s="479"/>
      <c r="L23" s="1755"/>
      <c r="M23" s="1755"/>
      <c r="N23" s="1755"/>
      <c r="O23" s="1755"/>
    </row>
    <row r="24" spans="1:15" ht="15" customHeight="1" x14ac:dyDescent="0.25">
      <c r="A24" s="162"/>
      <c r="B24" s="49" t="s">
        <v>86</v>
      </c>
      <c r="C24" s="181" t="s">
        <v>72</v>
      </c>
      <c r="D24" s="181" t="s">
        <v>214</v>
      </c>
      <c r="E24" s="184" t="s">
        <v>394</v>
      </c>
      <c r="F24" s="184"/>
      <c r="G24" s="249">
        <f>VLOOKUP(D24,'Base Expense Data'!$D$6:$I$86,3,FALSE)</f>
        <v>19964758.009745862</v>
      </c>
      <c r="H24" s="249">
        <f>VLOOKUP($E24,Ratio,2,FALSE)*$G24</f>
        <v>19964758.009745862</v>
      </c>
      <c r="I24" s="249">
        <f>VLOOKUP($E24,Ratio,3,FALSE)*$G24</f>
        <v>0</v>
      </c>
      <c r="J24" s="266">
        <f>VLOOKUP($E24,Ratio,4,FALSE)*$G24</f>
        <v>0</v>
      </c>
      <c r="L24" s="1755"/>
      <c r="M24" s="1755"/>
      <c r="N24" s="1755"/>
      <c r="O24" s="1755"/>
    </row>
    <row r="25" spans="1:15" ht="15" customHeight="1" x14ac:dyDescent="0.25">
      <c r="A25" s="162"/>
      <c r="B25" s="49" t="s">
        <v>87</v>
      </c>
      <c r="C25" s="181" t="s">
        <v>72</v>
      </c>
      <c r="D25" s="181" t="s">
        <v>215</v>
      </c>
      <c r="E25" s="184" t="s">
        <v>394</v>
      </c>
      <c r="F25" s="184"/>
      <c r="G25" s="249">
        <f>VLOOKUP(D25,'Base Expense Data'!$D$6:$I$86,3,FALSE)</f>
        <v>3239558.2457506307</v>
      </c>
      <c r="H25" s="249">
        <f>VLOOKUP($E25,Ratio,2,FALSE)*$G25</f>
        <v>3239558.2457506307</v>
      </c>
      <c r="I25" s="249">
        <f>VLOOKUP($E25,Ratio,3,FALSE)*$G25</f>
        <v>0</v>
      </c>
      <c r="J25" s="266">
        <f>VLOOKUP($E25,Ratio,4,FALSE)*$G25</f>
        <v>0</v>
      </c>
      <c r="L25" s="1755"/>
      <c r="M25" s="1755"/>
      <c r="N25" s="1755"/>
      <c r="O25" s="1755"/>
    </row>
    <row r="26" spans="1:15" x14ac:dyDescent="0.25">
      <c r="A26" s="162"/>
      <c r="B26" s="74" t="s">
        <v>460</v>
      </c>
      <c r="C26" s="50"/>
      <c r="D26" s="50"/>
      <c r="E26" s="48"/>
      <c r="F26" s="48"/>
      <c r="G26" s="1795"/>
      <c r="H26" s="478"/>
      <c r="I26" s="478"/>
      <c r="J26" s="479"/>
      <c r="L26" s="1755"/>
      <c r="M26" s="1755"/>
      <c r="N26" s="1755"/>
      <c r="O26" s="1755"/>
    </row>
    <row r="27" spans="1:15" ht="15" customHeight="1" x14ac:dyDescent="0.25">
      <c r="A27" s="162"/>
      <c r="B27" s="47" t="s">
        <v>451</v>
      </c>
      <c r="C27" s="181" t="s">
        <v>72</v>
      </c>
      <c r="D27" s="181">
        <v>547</v>
      </c>
      <c r="E27" s="184" t="s">
        <v>394</v>
      </c>
      <c r="F27" s="184"/>
      <c r="G27" s="249">
        <f>VLOOKUP(D27,'Base Expense Data'!$D$6:$I$86,3,FALSE)</f>
        <v>189151086.82142362</v>
      </c>
      <c r="H27" s="249">
        <f>VLOOKUP($E27,Ratio,2,FALSE)*$G27</f>
        <v>189151086.82142362</v>
      </c>
      <c r="I27" s="249">
        <f>VLOOKUP($E27,Ratio,3,FALSE)*$G27</f>
        <v>0</v>
      </c>
      <c r="J27" s="266">
        <f>VLOOKUP($E27,Ratio,4,FALSE)*$G27</f>
        <v>0</v>
      </c>
      <c r="K27"/>
      <c r="L27" s="1762"/>
      <c r="M27" s="1762"/>
      <c r="N27" s="1755"/>
      <c r="O27" s="1755"/>
    </row>
    <row r="28" spans="1:15" ht="15" customHeight="1" x14ac:dyDescent="0.25">
      <c r="A28" s="162"/>
      <c r="B28" s="49" t="s">
        <v>263</v>
      </c>
      <c r="C28" s="181" t="s">
        <v>72</v>
      </c>
      <c r="D28" s="181" t="s">
        <v>216</v>
      </c>
      <c r="E28" s="184" t="s">
        <v>394</v>
      </c>
      <c r="F28" s="184"/>
      <c r="G28" s="249">
        <f>VLOOKUP(D28,'Base Expense Data'!$D$6:$I$86,3,FALSE)</f>
        <v>21057680.08986957</v>
      </c>
      <c r="H28" s="249">
        <f>VLOOKUP($E28,Ratio,2,FALSE)*$G28</f>
        <v>21057680.08986957</v>
      </c>
      <c r="I28" s="249">
        <f>VLOOKUP($E28,Ratio,3,FALSE)*$G28</f>
        <v>0</v>
      </c>
      <c r="J28" s="266">
        <f>VLOOKUP($E28,Ratio,4,FALSE)*$G28</f>
        <v>0</v>
      </c>
      <c r="K28"/>
      <c r="L28" s="1762"/>
      <c r="M28" s="1762"/>
      <c r="N28" s="1755"/>
      <c r="O28" s="1755"/>
    </row>
    <row r="29" spans="1:15" ht="15" customHeight="1" x14ac:dyDescent="0.25">
      <c r="A29" s="162"/>
      <c r="B29" s="49" t="s">
        <v>265</v>
      </c>
      <c r="C29" s="181" t="s">
        <v>72</v>
      </c>
      <c r="D29" s="181" t="s">
        <v>217</v>
      </c>
      <c r="E29" s="184" t="s">
        <v>394</v>
      </c>
      <c r="F29" s="184"/>
      <c r="G29" s="249">
        <f>VLOOKUP(D29,'Base Expense Data'!$D$6:$I$86,3,FALSE)</f>
        <v>15505411.633040059</v>
      </c>
      <c r="H29" s="249">
        <f>VLOOKUP($E29,Ratio,2,FALSE)*$G29</f>
        <v>15505411.633040059</v>
      </c>
      <c r="I29" s="249">
        <f>VLOOKUP($E29,Ratio,3,FALSE)*$G29</f>
        <v>0</v>
      </c>
      <c r="J29" s="266">
        <f>VLOOKUP($E29,Ratio,4,FALSE)*$G29</f>
        <v>0</v>
      </c>
      <c r="K29"/>
      <c r="L29" s="1762"/>
      <c r="M29" s="1762"/>
      <c r="N29" s="1755"/>
      <c r="O29" s="1755"/>
    </row>
    <row r="30" spans="1:15" x14ac:dyDescent="0.25">
      <c r="A30" s="162"/>
      <c r="B30" s="74" t="s">
        <v>454</v>
      </c>
      <c r="C30" s="50"/>
      <c r="D30" s="50"/>
      <c r="E30" s="48"/>
      <c r="F30" s="48"/>
      <c r="G30" s="1795"/>
      <c r="H30" s="478"/>
      <c r="I30" s="478"/>
      <c r="J30" s="479"/>
      <c r="K30"/>
      <c r="L30" s="1762"/>
      <c r="M30" s="1762"/>
      <c r="N30" s="1755"/>
      <c r="O30" s="1755"/>
    </row>
    <row r="31" spans="1:15" ht="15" customHeight="1" x14ac:dyDescent="0.25">
      <c r="A31" s="162"/>
      <c r="B31" s="47" t="s">
        <v>266</v>
      </c>
      <c r="C31" s="181" t="s">
        <v>72</v>
      </c>
      <c r="D31" s="181">
        <v>555</v>
      </c>
      <c r="E31" s="184" t="s">
        <v>394</v>
      </c>
      <c r="F31" s="184"/>
      <c r="G31" s="1796">
        <f>'3-YEAR PP &amp; OSS Worksheet'!D21</f>
        <v>882712895.7098341</v>
      </c>
      <c r="H31" s="1214">
        <f>VLOOKUP($E31,Ratio,2,FALSE)*$G31</f>
        <v>882712895.7098341</v>
      </c>
      <c r="I31" s="1214">
        <f>VLOOKUP($E31,Ratio,3,FALSE)*$G31</f>
        <v>0</v>
      </c>
      <c r="J31" s="1235">
        <f>VLOOKUP($E31,Ratio,4,FALSE)*$G31</f>
        <v>0</v>
      </c>
      <c r="L31" s="1755"/>
      <c r="M31" s="1755"/>
      <c r="N31" s="1755"/>
      <c r="O31" s="1755"/>
    </row>
    <row r="32" spans="1:15" ht="15" customHeight="1" x14ac:dyDescent="0.25">
      <c r="A32" s="162"/>
      <c r="B32" s="49" t="s">
        <v>455</v>
      </c>
      <c r="C32" s="181" t="s">
        <v>72</v>
      </c>
      <c r="D32" s="181">
        <v>556</v>
      </c>
      <c r="E32" s="184" t="s">
        <v>394</v>
      </c>
      <c r="F32" s="184"/>
      <c r="G32" s="249">
        <f>VLOOKUP(D32,'Base Expense Data'!$D$6:$I$86,3,FALSE)</f>
        <v>1404247.5549966942</v>
      </c>
      <c r="H32" s="249">
        <f>VLOOKUP($E32,Ratio,2,FALSE)*$G32</f>
        <v>1404247.5549966942</v>
      </c>
      <c r="I32" s="249">
        <f>VLOOKUP($E32,Ratio,3,FALSE)*$G32</f>
        <v>0</v>
      </c>
      <c r="J32" s="266">
        <f>VLOOKUP($E32,Ratio,4,FALSE)*$G32</f>
        <v>0</v>
      </c>
      <c r="L32" s="1755"/>
      <c r="M32" s="1755"/>
      <c r="N32" s="1755"/>
      <c r="O32" s="1755"/>
    </row>
    <row r="33" spans="1:15" ht="15" customHeight="1" x14ac:dyDescent="0.25">
      <c r="A33" s="162"/>
      <c r="B33" s="49" t="s">
        <v>267</v>
      </c>
      <c r="C33" s="181" t="s">
        <v>72</v>
      </c>
      <c r="D33" s="181">
        <v>557</v>
      </c>
      <c r="E33" s="184" t="s">
        <v>394</v>
      </c>
      <c r="F33" s="184"/>
      <c r="G33" s="249">
        <f>VLOOKUP(D33,'Base Expense Data'!$D$6:$I$86,3,FALSE)</f>
        <v>27307851.333301872</v>
      </c>
      <c r="H33" s="249">
        <f>VLOOKUP($E33,Ratio,2,FALSE)*$G33</f>
        <v>27307851.333301872</v>
      </c>
      <c r="I33" s="249">
        <f>VLOOKUP($E33,Ratio,3,FALSE)*$G33</f>
        <v>0</v>
      </c>
      <c r="J33" s="266">
        <f>VLOOKUP($E33,Ratio,4,FALSE)*$G33</f>
        <v>0</v>
      </c>
      <c r="L33" s="1755"/>
      <c r="M33" s="1755"/>
      <c r="N33" s="1755"/>
      <c r="O33" s="1755"/>
    </row>
    <row r="34" spans="1:15" ht="15" customHeight="1" x14ac:dyDescent="0.25">
      <c r="A34" s="162"/>
      <c r="B34" s="47" t="s">
        <v>52</v>
      </c>
      <c r="C34" s="181" t="s">
        <v>199</v>
      </c>
      <c r="D34" s="181">
        <v>555</v>
      </c>
      <c r="E34" s="184" t="s">
        <v>394</v>
      </c>
      <c r="F34" s="184"/>
      <c r="G34" s="1783">
        <v>0</v>
      </c>
      <c r="H34" s="249">
        <f>VLOOKUP($E34,Ratio,2,FALSE)*$G34</f>
        <v>0</v>
      </c>
      <c r="I34" s="249">
        <f>VLOOKUP($E34,Ratio,3,FALSE)*$G34</f>
        <v>0</v>
      </c>
      <c r="J34" s="266">
        <f>VLOOKUP($E34,Ratio,4,FALSE)*$G34</f>
        <v>0</v>
      </c>
      <c r="L34" s="1755"/>
      <c r="M34" s="1755"/>
      <c r="N34" s="1755"/>
      <c r="O34" s="1755"/>
    </row>
    <row r="35" spans="1:15" ht="15" customHeight="1" x14ac:dyDescent="0.25">
      <c r="A35" s="162"/>
      <c r="B35" s="49" t="s">
        <v>502</v>
      </c>
      <c r="C35" s="181"/>
      <c r="D35" s="184"/>
      <c r="E35" s="184" t="s">
        <v>90</v>
      </c>
      <c r="F35" s="1522" t="s">
        <v>392</v>
      </c>
      <c r="G35" s="249">
        <f>VLOOKUP(B35,'Base Expense Data'!$B$6:$I$86,5,FALSE)</f>
        <v>24259860.620000005</v>
      </c>
      <c r="H35" s="249">
        <f>IF($E35="DIRECT",$L35,VLOOKUP($E35,Ratio,2,FALSE)*$G35)</f>
        <v>21995615.060000006</v>
      </c>
      <c r="I35" s="249">
        <f>IF($E35="DIRECT",$M35,VLOOKUP($E35,Ratio,3,FALSE)*$G35)</f>
        <v>0</v>
      </c>
      <c r="J35" s="266">
        <f>IF($E35="DIRECT",$N35,VLOOKUP($E35,Ratio,4,FALSE)*$G35)</f>
        <v>2264245.5599999996</v>
      </c>
      <c r="L35" s="1783">
        <f>G35-N35</f>
        <v>21995615.060000006</v>
      </c>
      <c r="M35" s="1756">
        <v>0</v>
      </c>
      <c r="N35" s="1756">
        <f>'PPC Charge'!S341</f>
        <v>2264245.5599999996</v>
      </c>
      <c r="O35" s="1755"/>
    </row>
    <row r="36" spans="1:15" x14ac:dyDescent="0.25">
      <c r="A36" s="163" t="s">
        <v>481</v>
      </c>
      <c r="B36" s="46"/>
      <c r="C36" s="475"/>
      <c r="D36" s="475"/>
      <c r="E36" s="1809"/>
      <c r="F36" s="1809"/>
      <c r="G36" s="1797">
        <f>SUM(G16:G35)</f>
        <v>1559919589.7839088</v>
      </c>
      <c r="H36" s="476">
        <f>SUM(H16:H35)</f>
        <v>1557655344.2239089</v>
      </c>
      <c r="I36" s="484">
        <f>SUM(I16:I35)</f>
        <v>0</v>
      </c>
      <c r="J36" s="477">
        <f>SUM(J16:J35)</f>
        <v>2264245.5599999996</v>
      </c>
      <c r="L36" s="1755"/>
      <c r="M36" s="1755"/>
      <c r="N36" s="1755"/>
      <c r="O36" s="1755"/>
    </row>
    <row r="37" spans="1:15" ht="15" customHeight="1" x14ac:dyDescent="0.25">
      <c r="A37" s="164"/>
      <c r="B37" s="46"/>
      <c r="C37" s="50"/>
      <c r="D37" s="50"/>
      <c r="E37" s="46"/>
      <c r="F37" s="46"/>
      <c r="G37" s="377"/>
      <c r="H37" s="142"/>
      <c r="I37" s="142"/>
      <c r="J37" s="252"/>
      <c r="L37" s="1807"/>
      <c r="M37" s="1755"/>
      <c r="N37" s="1755"/>
      <c r="O37" s="1755"/>
    </row>
    <row r="38" spans="1:15" x14ac:dyDescent="0.25">
      <c r="A38" s="160" t="s">
        <v>501</v>
      </c>
      <c r="B38" s="46"/>
      <c r="C38" s="50"/>
      <c r="D38" s="48"/>
      <c r="E38" s="46"/>
      <c r="F38" s="46"/>
      <c r="G38" s="377"/>
      <c r="H38" s="142"/>
      <c r="I38" s="142"/>
      <c r="J38" s="252"/>
      <c r="L38" s="1807"/>
      <c r="M38" s="1755"/>
      <c r="N38" s="1755"/>
      <c r="O38" s="1755"/>
    </row>
    <row r="39" spans="1:15" ht="15" customHeight="1" x14ac:dyDescent="0.25">
      <c r="A39" s="162"/>
      <c r="B39" s="49" t="s">
        <v>398</v>
      </c>
      <c r="C39" s="181" t="s">
        <v>72</v>
      </c>
      <c r="D39" s="184" t="s">
        <v>482</v>
      </c>
      <c r="E39" s="184" t="s">
        <v>12546</v>
      </c>
      <c r="F39" s="184"/>
      <c r="G39" s="249">
        <f>VLOOKUP(D39,'Base Expense Data'!$D$6:$I$86,3,FALSE)</f>
        <v>65955211.648190439</v>
      </c>
      <c r="H39" s="249">
        <f>VLOOKUP($E39,Ratio,2,FALSE)*$G39</f>
        <v>65955211.648190439</v>
      </c>
      <c r="I39" s="249">
        <f>VLOOKUP($E39,Ratio,3,FALSE)*$G39</f>
        <v>0</v>
      </c>
      <c r="J39" s="266">
        <f>VLOOKUP($E39,Ratio,4,FALSE)*$G39</f>
        <v>0</v>
      </c>
      <c r="L39" s="1755"/>
      <c r="M39" s="1755"/>
      <c r="N39" s="1755"/>
      <c r="O39" s="1755"/>
    </row>
    <row r="40" spans="1:15" ht="15" customHeight="1" x14ac:dyDescent="0.25">
      <c r="A40" s="162"/>
      <c r="B40" s="49" t="s">
        <v>461</v>
      </c>
      <c r="C40" s="181" t="s">
        <v>72</v>
      </c>
      <c r="D40" s="184" t="s">
        <v>212</v>
      </c>
      <c r="E40" s="184" t="s">
        <v>393</v>
      </c>
      <c r="F40" s="184"/>
      <c r="G40" s="249">
        <f>VLOOKUP(D40,'Base Expense Data'!$D$6:$I$86,3,FALSE)</f>
        <v>17122103.721672125</v>
      </c>
      <c r="H40" s="249">
        <f>VLOOKUP($E40,Ratio,2,FALSE)*$G40</f>
        <v>0</v>
      </c>
      <c r="I40" s="249">
        <f>VLOOKUP($E40,Ratio,3,FALSE)*$G40</f>
        <v>0</v>
      </c>
      <c r="J40" s="266">
        <f>VLOOKUP($E40,Ratio,4,FALSE)*$G40</f>
        <v>17122103.721672125</v>
      </c>
      <c r="L40" s="1755"/>
      <c r="M40" s="1755"/>
      <c r="N40" s="1755"/>
      <c r="O40" s="1755"/>
    </row>
    <row r="41" spans="1:15" ht="15" customHeight="1" x14ac:dyDescent="0.25">
      <c r="A41" s="162"/>
      <c r="B41" s="49" t="s">
        <v>462</v>
      </c>
      <c r="C41" s="181" t="s">
        <v>72</v>
      </c>
      <c r="D41" s="184" t="s">
        <v>213</v>
      </c>
      <c r="E41" s="184" t="s">
        <v>393</v>
      </c>
      <c r="F41" s="184"/>
      <c r="G41" s="249">
        <f>VLOOKUP(D41,'Base Expense Data'!$D$6:$I$86,3,FALSE)</f>
        <v>20375940.386021726</v>
      </c>
      <c r="H41" s="249">
        <f>VLOOKUP($E41,Ratio,2,FALSE)*$G41</f>
        <v>0</v>
      </c>
      <c r="I41" s="249">
        <f>VLOOKUP($E41,Ratio,3,FALSE)*$G41</f>
        <v>0</v>
      </c>
      <c r="J41" s="266">
        <f>VLOOKUP($E41,Ratio,4,FALSE)*$G41</f>
        <v>20375940.386021726</v>
      </c>
      <c r="L41" s="1755"/>
      <c r="M41" s="1755"/>
      <c r="N41" s="1755"/>
      <c r="O41" s="1755"/>
    </row>
    <row r="42" spans="1:15" x14ac:dyDescent="0.25">
      <c r="A42" s="163" t="s">
        <v>483</v>
      </c>
      <c r="B42" s="46"/>
      <c r="C42" s="475"/>
      <c r="D42" s="475"/>
      <c r="E42" s="1809"/>
      <c r="F42" s="1809"/>
      <c r="G42" s="1781">
        <f>SUM(G39:G41)</f>
        <v>103453255.75588429</v>
      </c>
      <c r="H42" s="476">
        <f>SUM(H39:H41)</f>
        <v>65955211.648190439</v>
      </c>
      <c r="I42" s="476">
        <f>SUM(I39:I41)</f>
        <v>0</v>
      </c>
      <c r="J42" s="477">
        <f>SUM(J39:J41)</f>
        <v>37498044.107693851</v>
      </c>
      <c r="L42" s="1755"/>
      <c r="M42" s="1755"/>
      <c r="N42" s="1755"/>
      <c r="O42" s="1755"/>
    </row>
    <row r="43" spans="1:15" ht="16.5" thickBot="1" x14ac:dyDescent="0.3">
      <c r="A43" s="187"/>
      <c r="B43" s="188"/>
      <c r="C43" s="189"/>
      <c r="D43" s="189"/>
      <c r="E43" s="188"/>
      <c r="F43" s="188"/>
      <c r="G43" s="1786"/>
      <c r="H43" s="380"/>
      <c r="I43" s="380"/>
      <c r="J43" s="474"/>
      <c r="L43" s="1755"/>
      <c r="M43" s="1755"/>
      <c r="N43" s="1755"/>
      <c r="O43" s="1755"/>
    </row>
    <row r="44" spans="1:15" ht="15" customHeight="1" thickTop="1" x14ac:dyDescent="0.25">
      <c r="A44" s="160" t="s">
        <v>484</v>
      </c>
      <c r="B44" s="46"/>
      <c r="C44" s="50"/>
      <c r="D44" s="48"/>
      <c r="E44" s="46"/>
      <c r="F44" s="46"/>
      <c r="G44" s="377"/>
      <c r="H44" s="142"/>
      <c r="I44" s="142"/>
      <c r="J44" s="252"/>
      <c r="L44" s="1755"/>
      <c r="M44" s="1755"/>
      <c r="N44" s="1755"/>
      <c r="O44" s="1755"/>
    </row>
    <row r="45" spans="1:15" ht="15" customHeight="1" x14ac:dyDescent="0.25">
      <c r="A45" s="162"/>
      <c r="B45" s="49" t="s">
        <v>463</v>
      </c>
      <c r="C45" s="181" t="s">
        <v>72</v>
      </c>
      <c r="D45" s="184" t="s">
        <v>485</v>
      </c>
      <c r="E45" s="184" t="s">
        <v>392</v>
      </c>
      <c r="F45" s="184"/>
      <c r="G45" s="249">
        <f>VLOOKUP(D45,'Base Expense Data'!$D$6:$I$86,3,FALSE)</f>
        <v>34234230.504148312</v>
      </c>
      <c r="H45" s="249">
        <f>VLOOKUP($E45,Ratio,2,FALSE)*$G45</f>
        <v>0</v>
      </c>
      <c r="I45" s="249">
        <f>VLOOKUP($E45,Ratio,3,FALSE)*$G45</f>
        <v>0</v>
      </c>
      <c r="J45" s="266">
        <f>VLOOKUP($E45,Ratio,4,FALSE)*$G45</f>
        <v>34234230.504148312</v>
      </c>
      <c r="L45" s="1755"/>
      <c r="M45" s="1755"/>
      <c r="N45" s="1755"/>
      <c r="O45" s="1755"/>
    </row>
    <row r="46" spans="1:15" ht="15" customHeight="1" x14ac:dyDescent="0.25">
      <c r="A46" s="162"/>
      <c r="B46" s="49" t="s">
        <v>462</v>
      </c>
      <c r="C46" s="181" t="s">
        <v>72</v>
      </c>
      <c r="D46" s="184" t="s">
        <v>486</v>
      </c>
      <c r="E46" s="184" t="s">
        <v>392</v>
      </c>
      <c r="F46" s="184"/>
      <c r="G46" s="249">
        <f>VLOOKUP(D46,'Base Expense Data'!$D$6:$I$86,3,FALSE)</f>
        <v>143846056.44384444</v>
      </c>
      <c r="H46" s="249">
        <f>VLOOKUP($E46,Ratio,2,FALSE)*$G46</f>
        <v>0</v>
      </c>
      <c r="I46" s="249">
        <f>VLOOKUP($E46,Ratio,3,FALSE)*$G46</f>
        <v>0</v>
      </c>
      <c r="J46" s="266">
        <f>VLOOKUP($E46,Ratio,4,FALSE)*$G46</f>
        <v>143846056.44384444</v>
      </c>
      <c r="L46" s="1755"/>
      <c r="M46" s="1755"/>
      <c r="N46" s="1755"/>
      <c r="O46" s="1755"/>
    </row>
    <row r="47" spans="1:15" ht="15" customHeight="1" x14ac:dyDescent="0.25">
      <c r="A47" s="163" t="s">
        <v>487</v>
      </c>
      <c r="B47" s="46"/>
      <c r="C47" s="475"/>
      <c r="D47" s="475"/>
      <c r="E47" s="1809"/>
      <c r="F47" s="1809"/>
      <c r="G47" s="1781">
        <f>SUM(G45:G46)</f>
        <v>178080286.94799274</v>
      </c>
      <c r="H47" s="476">
        <f>SUM(H45:H46)</f>
        <v>0</v>
      </c>
      <c r="I47" s="476">
        <f>SUM(I45:I46)</f>
        <v>0</v>
      </c>
      <c r="J47" s="477">
        <f>SUM(J45:J46)</f>
        <v>178080286.94799274</v>
      </c>
      <c r="L47" s="1755"/>
      <c r="M47" s="1755"/>
      <c r="N47" s="1755"/>
      <c r="O47" s="1755"/>
    </row>
    <row r="48" spans="1:15" ht="9.9499999999999993" customHeight="1" x14ac:dyDescent="0.25">
      <c r="A48" s="165"/>
      <c r="B48" s="46"/>
      <c r="C48" s="50"/>
      <c r="D48" s="50"/>
      <c r="E48" s="48"/>
      <c r="F48" s="48"/>
      <c r="G48" s="1784"/>
      <c r="H48" s="67"/>
      <c r="I48" s="67"/>
      <c r="J48" s="226"/>
      <c r="L48" s="1755"/>
      <c r="M48" s="1755"/>
      <c r="N48" s="1755"/>
      <c r="O48" s="1755"/>
    </row>
    <row r="49" spans="1:15" ht="15" customHeight="1" x14ac:dyDescent="0.25">
      <c r="A49" s="160" t="s">
        <v>488</v>
      </c>
      <c r="B49" s="46"/>
      <c r="C49" s="50"/>
      <c r="D49" s="50"/>
      <c r="E49" s="48"/>
      <c r="F49" s="48"/>
      <c r="G49" s="1784"/>
      <c r="H49" s="67"/>
      <c r="I49" s="67"/>
      <c r="J49" s="226"/>
      <c r="L49" s="1755"/>
      <c r="M49" s="1755"/>
      <c r="N49" s="1755"/>
      <c r="O49" s="1755"/>
    </row>
    <row r="50" spans="1:15" ht="15" customHeight="1" x14ac:dyDescent="0.25">
      <c r="A50" s="162"/>
      <c r="B50" s="49" t="s">
        <v>464</v>
      </c>
      <c r="C50" s="181" t="s">
        <v>72</v>
      </c>
      <c r="D50" s="181" t="s">
        <v>489</v>
      </c>
      <c r="E50" s="184" t="s">
        <v>392</v>
      </c>
      <c r="F50" s="184"/>
      <c r="G50" s="249">
        <f>VLOOKUP(D50,'Base Expense Data'!$D$6:$I$86,3,FALSE)</f>
        <v>45368831.838585906</v>
      </c>
      <c r="H50" s="249">
        <f>VLOOKUP($E50,Ratio,2,FALSE)*$G50</f>
        <v>0</v>
      </c>
      <c r="I50" s="249">
        <f>VLOOKUP($E50,Ratio,3,FALSE)*$G50</f>
        <v>0</v>
      </c>
      <c r="J50" s="266">
        <f>VLOOKUP($E50,Ratio,4,FALSE)*$G50</f>
        <v>45368831.838585906</v>
      </c>
      <c r="L50" s="1755"/>
      <c r="M50" s="1755"/>
      <c r="N50" s="1755"/>
      <c r="O50" s="1755"/>
    </row>
    <row r="51" spans="1:15" ht="15" customHeight="1" x14ac:dyDescent="0.25">
      <c r="A51" s="162"/>
      <c r="B51" s="49" t="s">
        <v>172</v>
      </c>
      <c r="C51" s="181" t="s">
        <v>72</v>
      </c>
      <c r="D51" s="181" t="s">
        <v>395</v>
      </c>
      <c r="E51" s="184" t="s">
        <v>392</v>
      </c>
      <c r="F51" s="1810"/>
      <c r="G51" s="249">
        <f>VLOOKUP(D51,'Base Expense Data'!$D$6:$I$86,3,FALSE)</f>
        <v>0</v>
      </c>
      <c r="H51" s="249">
        <f>VLOOKUP($E51,Ratio,2,FALSE)*$G51</f>
        <v>0</v>
      </c>
      <c r="I51" s="249">
        <f>VLOOKUP($E51,Ratio,3,FALSE)*$G51</f>
        <v>0</v>
      </c>
      <c r="J51" s="266">
        <f>VLOOKUP($E51,Ratio,4,FALSE)*$G51</f>
        <v>0</v>
      </c>
      <c r="L51" s="1755"/>
      <c r="M51" s="1755"/>
      <c r="N51" s="1755"/>
      <c r="O51" s="1755"/>
    </row>
    <row r="52" spans="1:15" ht="15" customHeight="1" x14ac:dyDescent="0.25">
      <c r="A52" s="162"/>
      <c r="B52" s="1617" t="s">
        <v>579</v>
      </c>
      <c r="C52" s="1616" t="s">
        <v>72</v>
      </c>
      <c r="D52" s="1616">
        <v>908</v>
      </c>
      <c r="E52" s="1615" t="s">
        <v>12545</v>
      </c>
      <c r="F52" s="1615" t="s">
        <v>90</v>
      </c>
      <c r="G52" s="249">
        <f>VLOOKUP(D52,'Base Expense Data'!$D$6:$I$86,3,FALSE)</f>
        <v>95586516.719410077</v>
      </c>
      <c r="H52" s="249">
        <f>IF($E52="DIRECT",$L52,VLOOKUP($E52,Ratio,2,FALSE)*$G52)</f>
        <v>92632457.840870231</v>
      </c>
      <c r="I52" s="249">
        <f>IF($E52="DIRECT",$M52,VLOOKUP($E52,Ratio,3,FALSE)*$G52)</f>
        <v>0</v>
      </c>
      <c r="J52" s="266">
        <f>IF($E52="DIRECT",$N52,VLOOKUP($E52,Ratio,4,FALSE)*$G52)</f>
        <v>2954058.8785398346</v>
      </c>
      <c r="L52" s="1808">
        <f>('B2-O&amp;M'!G882+'B2-O&amp;M'!H882+'B2-O&amp;M'!I882)*1000</f>
        <v>92632457.840870231</v>
      </c>
      <c r="M52" s="1808">
        <v>0</v>
      </c>
      <c r="N52" s="1808">
        <f>('B2-O&amp;M'!G883+'B2-O&amp;M'!H883+'B2-O&amp;M'!I883)*1000</f>
        <v>2954058.8785398346</v>
      </c>
      <c r="O52" s="1755"/>
    </row>
    <row r="53" spans="1:15" ht="15" customHeight="1" x14ac:dyDescent="0.25">
      <c r="A53" s="162"/>
      <c r="B53" s="1523" t="s">
        <v>172</v>
      </c>
      <c r="C53" s="1524" t="s">
        <v>72</v>
      </c>
      <c r="D53" s="1616" t="s">
        <v>12455</v>
      </c>
      <c r="E53" s="1615" t="s">
        <v>392</v>
      </c>
      <c r="F53" s="1615" t="s">
        <v>90</v>
      </c>
      <c r="G53" s="249">
        <f>VLOOKUP(D53,'Base Expense Data'!$D$6:$I$86,3,FALSE)</f>
        <v>2369458.8863290716</v>
      </c>
      <c r="H53" s="1526">
        <f>IF($E53="DIRECT",$L53,VLOOKUP($E53,Ratio,2,FALSE)*$G53)</f>
        <v>0</v>
      </c>
      <c r="I53" s="1526">
        <f>IF($E53="DIRECT",$M53,VLOOKUP($E53,Ratio,3,FALSE)*$G53)</f>
        <v>0</v>
      </c>
      <c r="J53" s="1527">
        <f>IF($E53="DIRECT",$N53,VLOOKUP($E53,Ratio,4,FALSE)*$G53)</f>
        <v>2369458.8863290716</v>
      </c>
      <c r="L53" s="1808">
        <v>0</v>
      </c>
      <c r="M53" s="1808">
        <v>0</v>
      </c>
      <c r="N53" s="1808">
        <f>'Base Expense Data'!F43</f>
        <v>2369458.8863290716</v>
      </c>
      <c r="O53" s="1755"/>
    </row>
    <row r="54" spans="1:15" ht="15" customHeight="1" x14ac:dyDescent="0.25">
      <c r="A54" s="162"/>
      <c r="B54" s="49" t="s">
        <v>396</v>
      </c>
      <c r="C54" s="181" t="s">
        <v>72</v>
      </c>
      <c r="D54" s="181" t="s">
        <v>397</v>
      </c>
      <c r="E54" s="184" t="s">
        <v>392</v>
      </c>
      <c r="F54" s="184"/>
      <c r="G54" s="249">
        <f>VLOOKUP(D54,'Base Expense Data'!$D$6:$I$86,3,FALSE)</f>
        <v>0</v>
      </c>
      <c r="H54" s="249">
        <f>VLOOKUP($E54,Ratio,2,FALSE)*$G54</f>
        <v>0</v>
      </c>
      <c r="I54" s="249">
        <f>VLOOKUP($E54,Ratio,3,FALSE)*$G54</f>
        <v>0</v>
      </c>
      <c r="J54" s="266">
        <f>VLOOKUP($E54,Ratio,4,FALSE)*$G54</f>
        <v>0</v>
      </c>
      <c r="L54" s="1755"/>
      <c r="M54" s="1755"/>
      <c r="N54" s="1755"/>
      <c r="O54" s="1755"/>
    </row>
    <row r="55" spans="1:15" ht="15" customHeight="1" x14ac:dyDescent="0.25">
      <c r="A55" s="163" t="s">
        <v>490</v>
      </c>
      <c r="B55" s="46"/>
      <c r="C55" s="475"/>
      <c r="D55" s="475"/>
      <c r="E55" s="1809"/>
      <c r="F55" s="1809"/>
      <c r="G55" s="1781">
        <f>SUM(G50:G54)</f>
        <v>143324807.44432506</v>
      </c>
      <c r="H55" s="476">
        <f>SUM(H50:H54)</f>
        <v>92632457.840870231</v>
      </c>
      <c r="I55" s="476">
        <f>SUM(I50:I54)</f>
        <v>0</v>
      </c>
      <c r="J55" s="477">
        <f>SUM(J50:J54)</f>
        <v>50692349.603454813</v>
      </c>
      <c r="L55" s="1755"/>
      <c r="M55" s="1755"/>
      <c r="N55" s="1755"/>
      <c r="O55" s="1755"/>
    </row>
    <row r="56" spans="1:15" ht="9.9499999999999993" customHeight="1" x14ac:dyDescent="0.25">
      <c r="A56" s="164"/>
      <c r="B56" s="46"/>
      <c r="C56" s="50"/>
      <c r="D56" s="48"/>
      <c r="E56" s="48"/>
      <c r="F56" s="48"/>
      <c r="G56" s="1784"/>
      <c r="H56" s="67"/>
      <c r="I56" s="67"/>
      <c r="J56" s="226"/>
      <c r="L56" s="1755"/>
      <c r="M56" s="1755"/>
      <c r="N56" s="1755"/>
      <c r="O56" s="1755"/>
    </row>
    <row r="57" spans="1:15" ht="15" customHeight="1" x14ac:dyDescent="0.25">
      <c r="A57" s="160" t="s">
        <v>491</v>
      </c>
      <c r="B57" s="46"/>
      <c r="C57" s="50"/>
      <c r="D57" s="48"/>
      <c r="E57" s="46"/>
      <c r="F57" s="46"/>
      <c r="G57" s="377"/>
      <c r="H57" s="142"/>
      <c r="I57" s="142"/>
      <c r="J57" s="252"/>
      <c r="L57" s="1755"/>
      <c r="M57" s="1755"/>
      <c r="N57" s="1755"/>
      <c r="O57" s="1755"/>
    </row>
    <row r="58" spans="1:15" ht="15" customHeight="1" x14ac:dyDescent="0.25">
      <c r="A58" s="166"/>
      <c r="B58" s="74" t="s">
        <v>437</v>
      </c>
      <c r="C58" s="50"/>
      <c r="D58" s="48"/>
      <c r="E58" s="46"/>
      <c r="F58" s="46"/>
      <c r="G58" s="377"/>
      <c r="H58" s="142"/>
      <c r="I58" s="142"/>
      <c r="J58" s="252"/>
      <c r="L58" s="1755"/>
      <c r="M58" s="1755"/>
      <c r="N58" s="1755"/>
      <c r="O58" s="1755"/>
    </row>
    <row r="59" spans="1:15" ht="15" customHeight="1" x14ac:dyDescent="0.25">
      <c r="A59" s="162"/>
      <c r="B59" s="49" t="s">
        <v>163</v>
      </c>
      <c r="C59" s="181" t="s">
        <v>72</v>
      </c>
      <c r="D59" s="181">
        <v>920</v>
      </c>
      <c r="E59" s="184" t="s">
        <v>95</v>
      </c>
      <c r="F59" s="184"/>
      <c r="G59" s="249">
        <f>VLOOKUP(D59,'Base Expense Data'!$D$6:$I$86,3,FALSE)</f>
        <v>33958085.334903657</v>
      </c>
      <c r="H59" s="249">
        <f t="shared" ref="H59:H72" si="0">VLOOKUP($E59,Ratio,2,FALSE)*$G59</f>
        <v>14155543.390048165</v>
      </c>
      <c r="I59" s="249">
        <f t="shared" ref="I59:I72" si="1">VLOOKUP($E59,Ratio,3,FALSE)*$G59</f>
        <v>0</v>
      </c>
      <c r="J59" s="266">
        <f t="shared" ref="J59:J72" si="2">VLOOKUP($E59,Ratio,4,FALSE)*$G59</f>
        <v>19802541.944855493</v>
      </c>
      <c r="L59" s="1755"/>
      <c r="M59" s="1755"/>
      <c r="N59" s="1755"/>
      <c r="O59" s="1755"/>
    </row>
    <row r="60" spans="1:15" ht="15" customHeight="1" x14ac:dyDescent="0.25">
      <c r="A60" s="162"/>
      <c r="B60" s="49" t="s">
        <v>164</v>
      </c>
      <c r="C60" s="181" t="s">
        <v>72</v>
      </c>
      <c r="D60" s="181">
        <v>921</v>
      </c>
      <c r="E60" s="184" t="s">
        <v>95</v>
      </c>
      <c r="F60" s="184"/>
      <c r="G60" s="249">
        <f>VLOOKUP(D60,'Base Expense Data'!$D$6:$I$86,3,FALSE)</f>
        <v>6088941.7066276213</v>
      </c>
      <c r="H60" s="249">
        <f t="shared" si="0"/>
        <v>2538196.0636941125</v>
      </c>
      <c r="I60" s="249">
        <f t="shared" si="1"/>
        <v>0</v>
      </c>
      <c r="J60" s="266">
        <f t="shared" si="2"/>
        <v>3550745.6429335093</v>
      </c>
      <c r="L60" s="1755"/>
      <c r="M60" s="1755"/>
      <c r="N60" s="1755"/>
      <c r="O60" s="1755"/>
    </row>
    <row r="61" spans="1:15" ht="15" customHeight="1" x14ac:dyDescent="0.25">
      <c r="A61" s="162"/>
      <c r="B61" s="49" t="s">
        <v>165</v>
      </c>
      <c r="C61" s="181" t="s">
        <v>72</v>
      </c>
      <c r="D61" s="181">
        <v>922</v>
      </c>
      <c r="E61" s="184" t="s">
        <v>95</v>
      </c>
      <c r="F61" s="184"/>
      <c r="G61" s="249">
        <f>VLOOKUP(D61,'Base Expense Data'!$D$6:$I$86,3,FALSE)</f>
        <v>21046791.182086881</v>
      </c>
      <c r="H61" s="249">
        <f t="shared" si="0"/>
        <v>8773426.5009661578</v>
      </c>
      <c r="I61" s="249">
        <f t="shared" si="1"/>
        <v>0</v>
      </c>
      <c r="J61" s="266">
        <f t="shared" si="2"/>
        <v>12273364.681120725</v>
      </c>
      <c r="L61" s="1755"/>
      <c r="M61" s="1755"/>
      <c r="N61" s="1755"/>
      <c r="O61" s="1755"/>
    </row>
    <row r="62" spans="1:15" ht="15" customHeight="1" x14ac:dyDescent="0.25">
      <c r="A62" s="162"/>
      <c r="B62" s="49" t="s">
        <v>166</v>
      </c>
      <c r="C62" s="181" t="s">
        <v>72</v>
      </c>
      <c r="D62" s="181">
        <v>923</v>
      </c>
      <c r="E62" s="184" t="s">
        <v>95</v>
      </c>
      <c r="F62" s="184"/>
      <c r="G62" s="249">
        <f>VLOOKUP(D62,'Base Expense Data'!$D$6:$I$86,3,FALSE)</f>
        <v>18867079.710774634</v>
      </c>
      <c r="H62" s="249">
        <f t="shared" si="0"/>
        <v>7864806.3592341943</v>
      </c>
      <c r="I62" s="249">
        <f t="shared" si="1"/>
        <v>0</v>
      </c>
      <c r="J62" s="266">
        <f t="shared" si="2"/>
        <v>11002273.351540441</v>
      </c>
      <c r="L62" s="1755"/>
      <c r="M62" s="1755"/>
      <c r="N62" s="1755"/>
      <c r="O62" s="1755"/>
    </row>
    <row r="63" spans="1:15" ht="15" customHeight="1" x14ac:dyDescent="0.25">
      <c r="A63" s="162"/>
      <c r="B63" s="49" t="s">
        <v>167</v>
      </c>
      <c r="C63" s="181" t="s">
        <v>72</v>
      </c>
      <c r="D63" s="181">
        <v>924</v>
      </c>
      <c r="E63" s="184" t="s">
        <v>108</v>
      </c>
      <c r="F63" s="184"/>
      <c r="G63" s="249">
        <f>VLOOKUP(D63,'Base Expense Data'!$D$6:$I$86,3,FALSE)</f>
        <v>28178553.189763118</v>
      </c>
      <c r="H63" s="249">
        <f t="shared" si="0"/>
        <v>12241172.142426167</v>
      </c>
      <c r="I63" s="249">
        <f t="shared" si="1"/>
        <v>0</v>
      </c>
      <c r="J63" s="266">
        <f t="shared" si="2"/>
        <v>15940200.991543749</v>
      </c>
      <c r="L63" s="1755"/>
      <c r="M63" s="1755"/>
      <c r="N63" s="1755"/>
      <c r="O63" s="1755"/>
    </row>
    <row r="64" spans="1:15" ht="15" customHeight="1" x14ac:dyDescent="0.25">
      <c r="A64" s="162"/>
      <c r="B64" s="49" t="s">
        <v>465</v>
      </c>
      <c r="C64" s="181" t="s">
        <v>72</v>
      </c>
      <c r="D64" s="181">
        <v>925</v>
      </c>
      <c r="E64" s="184" t="s">
        <v>12547</v>
      </c>
      <c r="F64" s="184"/>
      <c r="G64" s="249">
        <f>VLOOKUP(D64,'Base Expense Data'!$D$6:$I$86,3,FALSE)</f>
        <v>727189313.6231035</v>
      </c>
      <c r="H64" s="249">
        <f t="shared" si="0"/>
        <v>303131339.12737983</v>
      </c>
      <c r="I64" s="249">
        <f t="shared" si="1"/>
        <v>0</v>
      </c>
      <c r="J64" s="266">
        <f t="shared" si="2"/>
        <v>424057974.49572366</v>
      </c>
      <c r="L64" s="1755"/>
      <c r="M64" s="1755"/>
      <c r="N64" s="1755"/>
      <c r="O64" s="1755"/>
    </row>
    <row r="65" spans="1:15" ht="15" customHeight="1" x14ac:dyDescent="0.25">
      <c r="A65" s="162"/>
      <c r="B65" s="49" t="s">
        <v>466</v>
      </c>
      <c r="C65" s="181" t="s">
        <v>72</v>
      </c>
      <c r="D65" s="181">
        <v>926</v>
      </c>
      <c r="E65" s="184" t="s">
        <v>95</v>
      </c>
      <c r="F65" s="184"/>
      <c r="G65" s="249">
        <f>VLOOKUP(D65,'Base Expense Data'!$D$6:$I$86,3,FALSE)</f>
        <v>48983683.126018636</v>
      </c>
      <c r="H65" s="249">
        <f t="shared" si="0"/>
        <v>20419014.943166677</v>
      </c>
      <c r="I65" s="249">
        <f t="shared" si="1"/>
        <v>0</v>
      </c>
      <c r="J65" s="266">
        <f t="shared" si="2"/>
        <v>28564668.182851963</v>
      </c>
      <c r="L65" s="1755"/>
      <c r="M65" s="1755"/>
      <c r="N65" s="1755"/>
      <c r="O65" s="1755"/>
    </row>
    <row r="66" spans="1:15" ht="15" customHeight="1" x14ac:dyDescent="0.25">
      <c r="A66" s="162"/>
      <c r="B66" s="49" t="s">
        <v>467</v>
      </c>
      <c r="C66" s="181" t="s">
        <v>72</v>
      </c>
      <c r="D66" s="181">
        <v>927</v>
      </c>
      <c r="E66" s="184" t="s">
        <v>392</v>
      </c>
      <c r="F66" s="184"/>
      <c r="G66" s="249">
        <f>VLOOKUP(D66,'Base Expense Data'!$D$6:$I$86,3,FALSE)</f>
        <v>0</v>
      </c>
      <c r="H66" s="249">
        <f t="shared" si="0"/>
        <v>0</v>
      </c>
      <c r="I66" s="249">
        <f t="shared" si="1"/>
        <v>0</v>
      </c>
      <c r="J66" s="266">
        <f t="shared" si="2"/>
        <v>0</v>
      </c>
      <c r="L66" s="1755"/>
      <c r="M66" s="1755"/>
      <c r="N66" s="1755"/>
      <c r="O66" s="1755"/>
    </row>
    <row r="67" spans="1:15" ht="15" customHeight="1" x14ac:dyDescent="0.25">
      <c r="A67" s="162"/>
      <c r="B67" s="49" t="s">
        <v>469</v>
      </c>
      <c r="C67" s="181" t="s">
        <v>72</v>
      </c>
      <c r="D67" s="181">
        <v>928</v>
      </c>
      <c r="E67" s="184" t="s">
        <v>392</v>
      </c>
      <c r="F67" s="184"/>
      <c r="G67" s="249">
        <f>VLOOKUP(D67,'Base Expense Data'!$D$6:$I$86,3,FALSE)</f>
        <v>15830390.456935205</v>
      </c>
      <c r="H67" s="249">
        <f t="shared" si="0"/>
        <v>0</v>
      </c>
      <c r="I67" s="249">
        <f t="shared" si="1"/>
        <v>0</v>
      </c>
      <c r="J67" s="266">
        <f t="shared" si="2"/>
        <v>15830390.456935205</v>
      </c>
      <c r="L67" s="1755"/>
      <c r="M67" s="1755"/>
      <c r="N67" s="1755"/>
      <c r="O67" s="1755"/>
    </row>
    <row r="68" spans="1:15" ht="15" customHeight="1" x14ac:dyDescent="0.25">
      <c r="A68" s="162"/>
      <c r="B68" s="49" t="s">
        <v>168</v>
      </c>
      <c r="C68" s="181" t="s">
        <v>72</v>
      </c>
      <c r="D68" s="181">
        <v>929</v>
      </c>
      <c r="E68" s="184" t="s">
        <v>108</v>
      </c>
      <c r="F68" s="184"/>
      <c r="G68" s="249">
        <f>VLOOKUP(D68,'Base Expense Data'!$D$6:$I$86,3,FALSE)</f>
        <v>58868042.536690846</v>
      </c>
      <c r="H68" s="249">
        <f t="shared" si="0"/>
        <v>25573131.364355773</v>
      </c>
      <c r="I68" s="249">
        <f t="shared" si="1"/>
        <v>0</v>
      </c>
      <c r="J68" s="266">
        <f t="shared" si="2"/>
        <v>33300802.340501122</v>
      </c>
      <c r="L68" s="1755"/>
      <c r="M68" s="1755"/>
      <c r="N68" s="1755"/>
      <c r="O68" s="1755"/>
    </row>
    <row r="69" spans="1:15" ht="15" customHeight="1" x14ac:dyDescent="0.25">
      <c r="A69" s="162"/>
      <c r="B69" s="1523" t="s">
        <v>169</v>
      </c>
      <c r="C69" s="1524" t="s">
        <v>72</v>
      </c>
      <c r="D69" s="1524">
        <v>930.1</v>
      </c>
      <c r="E69" s="1615" t="s">
        <v>392</v>
      </c>
      <c r="F69" s="1615" t="s">
        <v>90</v>
      </c>
      <c r="G69" s="249">
        <f>VLOOKUP(D69,'Base Expense Data'!$D$6:$I$86,3,FALSE)</f>
        <v>19956.572503887328</v>
      </c>
      <c r="H69" s="1526">
        <f>IF($E69="DIRECT",$L69,VLOOKUP($E69,Ratio,2,FALSE)*$G69)</f>
        <v>0</v>
      </c>
      <c r="I69" s="1526">
        <f>IF($E69="DIRECT",$M69,VLOOKUP($E69,Ratio,3,FALSE)*$G69)</f>
        <v>0</v>
      </c>
      <c r="J69" s="1527">
        <f>IF($E69="DIRECT",$N69,VLOOKUP($E69,Ratio,4,FALSE)*$G69)</f>
        <v>19956.572503887328</v>
      </c>
      <c r="L69" s="1808">
        <v>0</v>
      </c>
      <c r="M69" s="1808">
        <v>0</v>
      </c>
      <c r="N69" s="1808">
        <f>'Base Expense Data'!F59</f>
        <v>19956.572503887328</v>
      </c>
      <c r="O69" s="1755"/>
    </row>
    <row r="70" spans="1:15" ht="15" customHeight="1" x14ac:dyDescent="0.25">
      <c r="A70" s="162"/>
      <c r="B70" s="1523" t="s">
        <v>468</v>
      </c>
      <c r="C70" s="1524" t="s">
        <v>72</v>
      </c>
      <c r="D70" s="1524">
        <v>930.2</v>
      </c>
      <c r="E70" s="1615" t="s">
        <v>392</v>
      </c>
      <c r="F70" s="1615" t="s">
        <v>90</v>
      </c>
      <c r="G70" s="249">
        <f>VLOOKUP(D70,'Base Expense Data'!$D$6:$I$86,3,FALSE)</f>
        <v>1105627.4233341326</v>
      </c>
      <c r="H70" s="1526">
        <f>IF($E70="DIRECT",$L70,VLOOKUP($E70,Ratio,2,FALSE)*$G70)</f>
        <v>0</v>
      </c>
      <c r="I70" s="1526">
        <f>IF($E70="DIRECT",$M70,VLOOKUP($E70,Ratio,3,FALSE)*$G70)</f>
        <v>0</v>
      </c>
      <c r="J70" s="1527">
        <f>IF($E70="DIRECT",$N70,VLOOKUP($E70,Ratio,4,FALSE)*$G70)</f>
        <v>1105627.4233341326</v>
      </c>
      <c r="L70" s="1808">
        <v>0</v>
      </c>
      <c r="M70" s="1808">
        <v>0</v>
      </c>
      <c r="N70" s="1808">
        <f>'Base Expense Data'!F60</f>
        <v>1105627.4233341326</v>
      </c>
      <c r="O70" s="1755"/>
    </row>
    <row r="71" spans="1:15" ht="15" customHeight="1" x14ac:dyDescent="0.25">
      <c r="A71" s="162"/>
      <c r="B71" s="49" t="s">
        <v>492</v>
      </c>
      <c r="C71" s="181" t="s">
        <v>72</v>
      </c>
      <c r="D71" s="181">
        <v>931</v>
      </c>
      <c r="E71" s="184" t="s">
        <v>392</v>
      </c>
      <c r="F71" s="184"/>
      <c r="G71" s="249">
        <f>VLOOKUP(D71,'Base Expense Data'!$D$6:$I$86,3,FALSE)</f>
        <v>754426.30276668374</v>
      </c>
      <c r="H71" s="249">
        <f t="shared" si="0"/>
        <v>0</v>
      </c>
      <c r="I71" s="249">
        <f t="shared" si="1"/>
        <v>0</v>
      </c>
      <c r="J71" s="266">
        <f t="shared" si="2"/>
        <v>754426.30276668374</v>
      </c>
      <c r="L71" s="1755"/>
      <c r="M71" s="1755"/>
      <c r="N71" s="1755"/>
      <c r="O71" s="1755"/>
    </row>
    <row r="72" spans="1:15" ht="15" customHeight="1" x14ac:dyDescent="0.25">
      <c r="A72" s="162"/>
      <c r="B72" s="49" t="s">
        <v>269</v>
      </c>
      <c r="C72" s="181" t="s">
        <v>268</v>
      </c>
      <c r="D72" s="181">
        <v>933</v>
      </c>
      <c r="E72" s="184" t="s">
        <v>392</v>
      </c>
      <c r="F72" s="184"/>
      <c r="G72" s="249">
        <f>VLOOKUP(D72,'Base Expense Data'!$D$6:$I$86,3,FALSE)</f>
        <v>0</v>
      </c>
      <c r="H72" s="249">
        <f t="shared" si="0"/>
        <v>0</v>
      </c>
      <c r="I72" s="249">
        <f t="shared" si="1"/>
        <v>0</v>
      </c>
      <c r="J72" s="266">
        <f t="shared" si="2"/>
        <v>0</v>
      </c>
      <c r="L72" s="1755"/>
      <c r="M72" s="1755"/>
      <c r="N72" s="1755"/>
      <c r="O72" s="1755"/>
    </row>
    <row r="73" spans="1:15" ht="15" customHeight="1" x14ac:dyDescent="0.25">
      <c r="A73" s="162"/>
      <c r="B73" s="74" t="s">
        <v>438</v>
      </c>
      <c r="C73" s="50"/>
      <c r="D73" s="48"/>
      <c r="E73" s="48"/>
      <c r="F73" s="48"/>
      <c r="G73" s="1795"/>
      <c r="H73" s="478"/>
      <c r="I73" s="478"/>
      <c r="J73" s="479"/>
      <c r="L73" s="1755"/>
      <c r="M73" s="1755"/>
      <c r="N73" s="1755"/>
      <c r="O73" s="1755"/>
    </row>
    <row r="74" spans="1:15" ht="15" customHeight="1" x14ac:dyDescent="0.25">
      <c r="A74" s="162"/>
      <c r="B74" s="49" t="s">
        <v>94</v>
      </c>
      <c r="C74" s="181" t="s">
        <v>72</v>
      </c>
      <c r="D74" s="181">
        <v>935</v>
      </c>
      <c r="E74" s="184" t="s">
        <v>93</v>
      </c>
      <c r="F74" s="184"/>
      <c r="G74" s="249">
        <f>VLOOKUP(D74,'Base Expense Data'!$D$6:$I$86,3,FALSE)</f>
        <v>15276304.380404986</v>
      </c>
      <c r="H74" s="249">
        <f>VLOOKUP($E74,Ratio,2,FALSE)*$G74</f>
        <v>6690266.9233332537</v>
      </c>
      <c r="I74" s="249">
        <f>VLOOKUP($E74,Ratio,3,FALSE)*$G74</f>
        <v>0</v>
      </c>
      <c r="J74" s="266">
        <f>VLOOKUP($E74,Ratio,4,FALSE)*$G74</f>
        <v>8586037.4570717309</v>
      </c>
      <c r="L74" s="1755"/>
      <c r="M74" s="1755"/>
      <c r="N74" s="1755"/>
      <c r="O74" s="1755"/>
    </row>
    <row r="75" spans="1:15" ht="15" customHeight="1" x14ac:dyDescent="0.25">
      <c r="A75" s="163" t="s">
        <v>493</v>
      </c>
      <c r="B75" s="31"/>
      <c r="C75" s="475"/>
      <c r="D75" s="475"/>
      <c r="E75" s="1809"/>
      <c r="F75" s="1809"/>
      <c r="G75" s="1798">
        <f>SUM(G59:G60,G62:G67,G69:G72,G74)-G61-G68</f>
        <v>816337528.10835838</v>
      </c>
      <c r="H75" s="476">
        <f>SUM(H59:H60,H62:H67,H69:H72,H74)-H61-H68</f>
        <v>332693781.08396053</v>
      </c>
      <c r="I75" s="476">
        <f>SUM(I59:I60,I62:I67,I69:I72,I74)-I61-I68</f>
        <v>0</v>
      </c>
      <c r="J75" s="477">
        <f>SUM(J59:J60,J62:J67,J69:J72,J74)-J61-J68</f>
        <v>483640675.80043858</v>
      </c>
      <c r="L75" s="1755"/>
      <c r="M75" s="1755"/>
      <c r="N75" s="1755"/>
      <c r="O75" s="1755"/>
    </row>
    <row r="76" spans="1:15" ht="9.75" customHeight="1" thickBot="1" x14ac:dyDescent="0.3">
      <c r="A76" s="191"/>
      <c r="B76" s="192"/>
      <c r="C76" s="174"/>
      <c r="D76" s="193"/>
      <c r="E76" s="193"/>
      <c r="F76" s="193"/>
      <c r="G76" s="1799"/>
      <c r="H76" s="480"/>
      <c r="I76" s="480"/>
      <c r="J76" s="481"/>
      <c r="L76" s="1755"/>
      <c r="M76" s="1755"/>
      <c r="N76" s="1755"/>
      <c r="O76" s="1755"/>
    </row>
    <row r="77" spans="1:15" ht="16.5" thickTop="1" x14ac:dyDescent="0.25">
      <c r="A77" s="163" t="s">
        <v>494</v>
      </c>
      <c r="B77" s="31"/>
      <c r="C77" s="485"/>
      <c r="D77" s="485"/>
      <c r="E77" s="1811"/>
      <c r="F77" s="1811"/>
      <c r="G77" s="1797">
        <f>G36+G42+G47+G55+G75</f>
        <v>2801115468.0404692</v>
      </c>
      <c r="H77" s="489">
        <f>H36+H42+H47+H55+H75</f>
        <v>2048936794.7969301</v>
      </c>
      <c r="I77" s="489">
        <f>I36+I42+I47+I55+I75</f>
        <v>0</v>
      </c>
      <c r="J77" s="490">
        <f>J36+J42+J47+J55+J75</f>
        <v>752175602.01958001</v>
      </c>
      <c r="L77" s="1755"/>
      <c r="M77" s="1755"/>
      <c r="N77" s="1755"/>
      <c r="O77" s="1755"/>
    </row>
    <row r="78" spans="1:15" x14ac:dyDescent="0.25">
      <c r="A78" s="167" t="s">
        <v>429</v>
      </c>
      <c r="B78" s="84"/>
      <c r="C78" s="85"/>
      <c r="D78" s="86"/>
      <c r="E78" s="49"/>
      <c r="F78" s="49"/>
      <c r="G78" s="1800"/>
      <c r="H78" s="515"/>
      <c r="I78" s="515"/>
      <c r="J78" s="516"/>
      <c r="L78" s="1762"/>
      <c r="M78" s="1762"/>
      <c r="N78" s="1762"/>
      <c r="O78" s="1755"/>
    </row>
    <row r="79" spans="1:15" x14ac:dyDescent="0.25">
      <c r="A79" s="168"/>
      <c r="B79" s="87"/>
      <c r="C79" s="85"/>
      <c r="D79" s="88"/>
      <c r="E79" s="1812"/>
      <c r="F79" s="1812"/>
      <c r="G79" s="1801"/>
      <c r="H79" s="482"/>
      <c r="I79" s="482"/>
      <c r="J79" s="483"/>
      <c r="L79" s="1762"/>
      <c r="M79" s="1762"/>
      <c r="N79" s="1762"/>
      <c r="O79" s="1755"/>
    </row>
    <row r="80" spans="1:15" x14ac:dyDescent="0.25">
      <c r="A80" s="160" t="s">
        <v>40</v>
      </c>
      <c r="B80" s="68"/>
      <c r="C80" s="106"/>
      <c r="D80" s="106"/>
      <c r="E80" s="1813"/>
      <c r="F80" s="1813"/>
      <c r="G80" s="1802"/>
      <c r="H80" s="482"/>
      <c r="I80" s="482"/>
      <c r="J80" s="483"/>
      <c r="L80" s="1762"/>
      <c r="M80" s="1762"/>
      <c r="N80" s="1762"/>
      <c r="O80" s="1755"/>
    </row>
    <row r="81" spans="1:15" x14ac:dyDescent="0.25">
      <c r="A81" s="162"/>
      <c r="B81" s="49" t="s">
        <v>370</v>
      </c>
      <c r="C81" s="181">
        <v>336</v>
      </c>
      <c r="D81" s="181">
        <v>404</v>
      </c>
      <c r="E81" s="184" t="s">
        <v>392</v>
      </c>
      <c r="F81" s="286" t="s">
        <v>97</v>
      </c>
      <c r="G81" s="249">
        <f>VLOOKUP(B81,'Base Expense Data'!$B$6:$I$86,5,FALSE)</f>
        <v>0</v>
      </c>
      <c r="H81" s="249">
        <f>VLOOKUP($E81,Ratio,2,FALSE)*$G81</f>
        <v>0</v>
      </c>
      <c r="I81" s="249">
        <f>VLOOKUP($E81,Ratio,3,FALSE)*$G81</f>
        <v>0</v>
      </c>
      <c r="J81" s="266">
        <f>VLOOKUP($E81,Ratio,4,FALSE)*$G81</f>
        <v>0</v>
      </c>
      <c r="L81" s="1762"/>
      <c r="M81" s="1762"/>
      <c r="N81" s="1762"/>
      <c r="O81" s="1755"/>
    </row>
    <row r="82" spans="1:15" x14ac:dyDescent="0.25">
      <c r="A82" s="162"/>
      <c r="B82" s="49" t="s">
        <v>371</v>
      </c>
      <c r="C82" s="181">
        <v>336</v>
      </c>
      <c r="D82" s="181">
        <v>404</v>
      </c>
      <c r="E82" s="184" t="s">
        <v>90</v>
      </c>
      <c r="F82" s="286" t="s">
        <v>99</v>
      </c>
      <c r="G82" s="249">
        <f>VLOOKUP(B82,'Base Expense Data'!$B$6:$I$86,5,FALSE)</f>
        <v>1472465.336227369</v>
      </c>
      <c r="H82" s="249">
        <f>IF($E82="DIRECT",$L82,VLOOKUP($E82,Ratio,2,FALSE)*$G82)</f>
        <v>1472465.336227369</v>
      </c>
      <c r="I82" s="249">
        <f>IF($E82="DIRECT",$M82,VLOOKUP($E82,Ratio,3,FALSE)*$G82)</f>
        <v>0</v>
      </c>
      <c r="J82" s="266">
        <f>IF($E82="DIRECT",$N82,VLOOKUP($E82,Ratio,4,FALSE)*$G82)</f>
        <v>28321.771611505512</v>
      </c>
      <c r="L82" s="1756">
        <f>'Sch 1- Rate Base '!H17/'Sch 1- Rate Base '!$G17*$G82</f>
        <v>1472465.336227369</v>
      </c>
      <c r="M82" s="1756">
        <f>'Sch 1- Rate Base '!I17/'Sch 1- Rate Base '!$G17*$G82</f>
        <v>0</v>
      </c>
      <c r="N82" s="1756">
        <f>'Sch 1- Rate Base '!J17/'Sch 1- Rate Base '!$G17*$G82</f>
        <v>28321.771611505512</v>
      </c>
      <c r="O82" s="1755"/>
    </row>
    <row r="83" spans="1:15" x14ac:dyDescent="0.25">
      <c r="A83" s="162"/>
      <c r="B83" s="49" t="s">
        <v>399</v>
      </c>
      <c r="C83" s="181">
        <v>336</v>
      </c>
      <c r="D83" s="181">
        <v>404</v>
      </c>
      <c r="E83" s="184" t="s">
        <v>90</v>
      </c>
      <c r="F83" s="286" t="s">
        <v>392</v>
      </c>
      <c r="G83" s="249">
        <f>VLOOKUP(B83,'Base Expense Data'!$B$6:$I$86,5,FALSE)</f>
        <v>23779220.607934885</v>
      </c>
      <c r="H83" s="249">
        <f>IF($E83="DIRECT",$L83,VLOOKUP($E83,Ratio,2,FALSE)*$G83)</f>
        <v>7894198.4267612863</v>
      </c>
      <c r="I83" s="249">
        <f>IF($E83="DIRECT",$M83,VLOOKUP($E83,Ratio,3,FALSE)*$G83)</f>
        <v>0</v>
      </c>
      <c r="J83" s="266">
        <f>IF($E83="DIRECT",$N83,VLOOKUP($E83,Ratio,4,FALSE)*$G83)</f>
        <v>15885022.181173598</v>
      </c>
      <c r="L83" s="1756">
        <f>'Sch 1- Rate Base '!H18/'Sch 1- Rate Base '!$G18*$G83</f>
        <v>7894198.4267612863</v>
      </c>
      <c r="M83" s="1756">
        <f>'Sch 1- Rate Base '!I18/'Sch 1- Rate Base '!$G18*$G83</f>
        <v>0</v>
      </c>
      <c r="N83" s="1756">
        <f>'Sch 1- Rate Base '!J18/'Sch 1- Rate Base '!$G18*$G83</f>
        <v>15885022.181173598</v>
      </c>
      <c r="O83" s="1755"/>
    </row>
    <row r="84" spans="1:15" x14ac:dyDescent="0.25">
      <c r="A84" s="162"/>
      <c r="B84" s="49" t="s">
        <v>88</v>
      </c>
      <c r="C84" s="181">
        <v>336</v>
      </c>
      <c r="D84" s="181">
        <v>403</v>
      </c>
      <c r="E84" s="184" t="s">
        <v>394</v>
      </c>
      <c r="F84" s="184"/>
      <c r="G84" s="249">
        <f>VLOOKUP(B84,'Base Expense Data'!$B$6:$I$86,5,FALSE)</f>
        <v>141723842.23824352</v>
      </c>
      <c r="H84" s="249">
        <f t="shared" ref="H84:H91" si="3">VLOOKUP($E84,Ratio,2,FALSE)*$G84</f>
        <v>141723842.23824352</v>
      </c>
      <c r="I84" s="249">
        <f t="shared" ref="I84:I91" si="4">VLOOKUP($E84,Ratio,3,FALSE)*$G84</f>
        <v>0</v>
      </c>
      <c r="J84" s="266">
        <f t="shared" ref="J84:J91" si="5">VLOOKUP($E84,Ratio,4,FALSE)*$G84</f>
        <v>0</v>
      </c>
      <c r="L84" s="1762"/>
      <c r="M84" s="1762"/>
      <c r="N84" s="1762"/>
      <c r="O84" s="1755"/>
    </row>
    <row r="85" spans="1:15" x14ac:dyDescent="0.25">
      <c r="A85" s="162"/>
      <c r="B85" s="49" t="s">
        <v>89</v>
      </c>
      <c r="C85" s="181">
        <v>336</v>
      </c>
      <c r="D85" s="181">
        <v>403</v>
      </c>
      <c r="E85" s="184" t="s">
        <v>394</v>
      </c>
      <c r="F85" s="184"/>
      <c r="G85" s="249">
        <f>VLOOKUP(B85,'Base Expense Data'!$B$6:$I$86,5,FALSE)</f>
        <v>0</v>
      </c>
      <c r="H85" s="249">
        <f t="shared" si="3"/>
        <v>0</v>
      </c>
      <c r="I85" s="249">
        <f t="shared" si="4"/>
        <v>0</v>
      </c>
      <c r="J85" s="266">
        <f t="shared" si="5"/>
        <v>0</v>
      </c>
      <c r="L85" s="1755"/>
      <c r="M85" s="1755"/>
      <c r="N85" s="1755"/>
      <c r="O85" s="1755"/>
    </row>
    <row r="86" spans="1:15" x14ac:dyDescent="0.25">
      <c r="A86" s="162"/>
      <c r="B86" s="49" t="s">
        <v>9961</v>
      </c>
      <c r="C86" s="181">
        <v>336</v>
      </c>
      <c r="D86" s="181">
        <v>403</v>
      </c>
      <c r="E86" s="184" t="s">
        <v>394</v>
      </c>
      <c r="F86" s="184"/>
      <c r="G86" s="249">
        <f>VLOOKUP(B86,'Base Expense Data'!$B$6:$I$86,5,FALSE)</f>
        <v>12578940.113235414</v>
      </c>
      <c r="H86" s="249">
        <f t="shared" si="3"/>
        <v>12578940.113235414</v>
      </c>
      <c r="I86" s="249">
        <f t="shared" si="4"/>
        <v>0</v>
      </c>
      <c r="J86" s="266">
        <f t="shared" si="5"/>
        <v>0</v>
      </c>
      <c r="L86" s="1755"/>
      <c r="M86" s="1755"/>
      <c r="N86" s="1755"/>
      <c r="O86" s="1755"/>
    </row>
    <row r="87" spans="1:15" x14ac:dyDescent="0.25">
      <c r="A87" s="162"/>
      <c r="B87" s="49" t="s">
        <v>9962</v>
      </c>
      <c r="C87" s="181">
        <v>336</v>
      </c>
      <c r="D87" s="181">
        <v>403</v>
      </c>
      <c r="E87" s="184" t="s">
        <v>394</v>
      </c>
      <c r="F87" s="184"/>
      <c r="G87" s="249">
        <f>VLOOKUP(B87,'Base Expense Data'!$B$6:$I$86,5,FALSE)</f>
        <v>0</v>
      </c>
      <c r="H87" s="249">
        <f t="shared" si="3"/>
        <v>0</v>
      </c>
      <c r="I87" s="249">
        <f t="shared" si="4"/>
        <v>0</v>
      </c>
      <c r="J87" s="266">
        <f t="shared" si="5"/>
        <v>0</v>
      </c>
      <c r="L87" s="1755"/>
      <c r="M87" s="1755"/>
      <c r="N87" s="1755"/>
      <c r="O87" s="1755"/>
    </row>
    <row r="88" spans="1:15" x14ac:dyDescent="0.25">
      <c r="A88" s="162"/>
      <c r="B88" s="49" t="s">
        <v>137</v>
      </c>
      <c r="C88" s="181">
        <v>336</v>
      </c>
      <c r="D88" s="181">
        <v>403</v>
      </c>
      <c r="E88" s="184" t="s">
        <v>394</v>
      </c>
      <c r="F88" s="184"/>
      <c r="G88" s="249">
        <f>VLOOKUP(B88,'Base Expense Data'!$B$6:$I$86,5,FALSE)</f>
        <v>86888185.679734245</v>
      </c>
      <c r="H88" s="249">
        <f t="shared" si="3"/>
        <v>86888185.679734245</v>
      </c>
      <c r="I88" s="249">
        <f t="shared" si="4"/>
        <v>0</v>
      </c>
      <c r="J88" s="266">
        <f t="shared" si="5"/>
        <v>0</v>
      </c>
      <c r="L88" s="1755"/>
      <c r="M88" s="1755"/>
      <c r="N88" s="1755"/>
      <c r="O88" s="1755"/>
    </row>
    <row r="89" spans="1:15" x14ac:dyDescent="0.25">
      <c r="A89" s="162"/>
      <c r="B89" s="49" t="s">
        <v>143</v>
      </c>
      <c r="C89" s="181">
        <v>336</v>
      </c>
      <c r="D89" s="181">
        <v>403</v>
      </c>
      <c r="E89" s="184" t="s">
        <v>393</v>
      </c>
      <c r="F89" s="184"/>
      <c r="G89" s="249">
        <f>VLOOKUP(B89,'Base Expense Data'!$B$6:$I$86,5,FALSE)</f>
        <v>54962239.888260253</v>
      </c>
      <c r="H89" s="249">
        <f t="shared" si="3"/>
        <v>0</v>
      </c>
      <c r="I89" s="249">
        <f t="shared" si="4"/>
        <v>0</v>
      </c>
      <c r="J89" s="266">
        <f t="shared" si="5"/>
        <v>54962239.888260253</v>
      </c>
      <c r="L89" s="1755"/>
      <c r="M89" s="1755"/>
      <c r="N89" s="1755"/>
      <c r="O89" s="1755"/>
    </row>
    <row r="90" spans="1:15" x14ac:dyDescent="0.25">
      <c r="A90" s="162"/>
      <c r="B90" s="49" t="s">
        <v>470</v>
      </c>
      <c r="C90" s="181">
        <v>336</v>
      </c>
      <c r="D90" s="181">
        <v>403</v>
      </c>
      <c r="E90" s="184" t="s">
        <v>392</v>
      </c>
      <c r="F90" s="184"/>
      <c r="G90" s="249">
        <f>VLOOKUP(B90,'Base Expense Data'!$B$6:$I$86,5,FALSE)</f>
        <v>85882444.570000008</v>
      </c>
      <c r="H90" s="249">
        <f t="shared" si="3"/>
        <v>0</v>
      </c>
      <c r="I90" s="249">
        <f t="shared" si="4"/>
        <v>0</v>
      </c>
      <c r="J90" s="266">
        <f t="shared" si="5"/>
        <v>85882444.570000008</v>
      </c>
      <c r="L90" s="1755"/>
      <c r="M90" s="1755"/>
      <c r="N90" s="1755"/>
      <c r="O90" s="1755"/>
    </row>
    <row r="91" spans="1:15" x14ac:dyDescent="0.25">
      <c r="A91" s="162"/>
      <c r="B91" s="49" t="s">
        <v>92</v>
      </c>
      <c r="C91" s="181">
        <v>336</v>
      </c>
      <c r="D91" s="181">
        <v>403</v>
      </c>
      <c r="E91" s="184" t="s">
        <v>91</v>
      </c>
      <c r="F91" s="184"/>
      <c r="G91" s="249">
        <f>VLOOKUP(B91,'Base Expense Data'!$B$6:$I$86,5,FALSE)</f>
        <v>20454459.004238889</v>
      </c>
      <c r="H91" s="249">
        <f t="shared" si="3"/>
        <v>6557460.8322858298</v>
      </c>
      <c r="I91" s="249">
        <f t="shared" si="4"/>
        <v>0</v>
      </c>
      <c r="J91" s="266">
        <f t="shared" si="5"/>
        <v>13896998.171953062</v>
      </c>
      <c r="L91" s="1755"/>
      <c r="M91" s="1755"/>
      <c r="N91" s="1755"/>
      <c r="O91" s="1755"/>
    </row>
    <row r="92" spans="1:15" x14ac:dyDescent="0.25">
      <c r="A92" s="162"/>
      <c r="B92" s="49" t="s">
        <v>432</v>
      </c>
      <c r="C92" s="181">
        <v>336</v>
      </c>
      <c r="D92" s="186">
        <v>403</v>
      </c>
      <c r="E92" s="184" t="s">
        <v>90</v>
      </c>
      <c r="F92" s="184"/>
      <c r="G92" s="249">
        <f>VLOOKUP(B92,'Base Expense Data'!$B$6:$I$86,5,FALSE)</f>
        <v>0</v>
      </c>
      <c r="H92" s="249">
        <f>IF($E92="DIRECT",$L92,VLOOKUP($E92,Ratio,2,FALSE)*$G92)</f>
        <v>0</v>
      </c>
      <c r="I92" s="249">
        <f>IF($E92="DIRECT",$M92,VLOOKUP($E92,Ratio,3,FALSE)*$G92)</f>
        <v>0</v>
      </c>
      <c r="J92" s="266">
        <f>IF($E92="DIRECT",$N92,VLOOKUP($E92,Ratio,4,FALSE)*$G92)</f>
        <v>0</v>
      </c>
      <c r="L92" s="1756"/>
      <c r="M92" s="1756"/>
      <c r="N92" s="1756"/>
      <c r="O92" s="1755"/>
    </row>
    <row r="93" spans="1:15" x14ac:dyDescent="0.25">
      <c r="A93" s="162"/>
      <c r="B93" s="49" t="s">
        <v>432</v>
      </c>
      <c r="C93" s="181">
        <v>336</v>
      </c>
      <c r="D93" s="186">
        <v>404</v>
      </c>
      <c r="E93" s="184" t="s">
        <v>90</v>
      </c>
      <c r="F93" s="184"/>
      <c r="G93" s="249">
        <f>VLOOKUP(B93,'Base Expense Data'!$B$6:$I$86,5,FALSE)</f>
        <v>0</v>
      </c>
      <c r="H93" s="249">
        <f>IF($E93="DIRECT",$L93,VLOOKUP($E93,Ratio,2,FALSE)*$G93)</f>
        <v>0</v>
      </c>
      <c r="I93" s="249">
        <f>IF($E93="DIRECT",$M93,VLOOKUP($E93,Ratio,3,FALSE)*$G93)</f>
        <v>0</v>
      </c>
      <c r="J93" s="266">
        <f>IF($E93="DIRECT",$N93,VLOOKUP($E93,Ratio,4,FALSE)*$G93)</f>
        <v>0</v>
      </c>
      <c r="L93" s="1756"/>
      <c r="M93" s="1756"/>
      <c r="N93" s="1756"/>
      <c r="O93" s="1755"/>
    </row>
    <row r="94" spans="1:15" x14ac:dyDescent="0.25">
      <c r="A94" s="162"/>
      <c r="B94" s="49" t="s">
        <v>564</v>
      </c>
      <c r="C94" s="181">
        <v>336</v>
      </c>
      <c r="D94" s="606">
        <v>403.1</v>
      </c>
      <c r="E94" s="184" t="s">
        <v>90</v>
      </c>
      <c r="F94" s="184"/>
      <c r="G94" s="249">
        <f>VLOOKUP(B94,'Base Expense Data'!$B$6:$I$86,5,FALSE)</f>
        <v>0</v>
      </c>
      <c r="H94" s="249">
        <f>IF($E94="DIRECT",$L94,VLOOKUP($E94,Ratio,2,FALSE)*$G94)</f>
        <v>0</v>
      </c>
      <c r="I94" s="249">
        <f>IF($E94="DIRECT",$M94,VLOOKUP($E94,Ratio,3,FALSE)*$G94)</f>
        <v>0</v>
      </c>
      <c r="J94" s="266">
        <f>IF($E94="DIRECT",$N94,VLOOKUP($E94,Ratio,4,FALSE)*$G94)</f>
        <v>0</v>
      </c>
      <c r="L94" s="1756"/>
      <c r="M94" s="1756"/>
      <c r="N94" s="1756"/>
      <c r="O94" s="1755"/>
    </row>
    <row r="95" spans="1:15" x14ac:dyDescent="0.25">
      <c r="A95" s="162"/>
      <c r="B95" s="49" t="s">
        <v>565</v>
      </c>
      <c r="C95" s="181">
        <v>336</v>
      </c>
      <c r="D95" s="186">
        <v>404</v>
      </c>
      <c r="E95" s="184" t="s">
        <v>90</v>
      </c>
      <c r="F95" s="184"/>
      <c r="G95" s="249">
        <f>VLOOKUP(B95,'Base Expense Data'!$B$6:$I$86,5,FALSE)</f>
        <v>668326.76052095089</v>
      </c>
      <c r="H95" s="249">
        <f>IF($E95="DIRECT",$L95,VLOOKUP($E95,Ratio,2,FALSE)*$G95)</f>
        <v>380607.82273420098</v>
      </c>
      <c r="I95" s="249">
        <f>IF($E95="DIRECT",$M95,VLOOKUP($E95,Ratio,3,FALSE)*$G95)</f>
        <v>0</v>
      </c>
      <c r="J95" s="266">
        <f>IF($E95="DIRECT",$N95,VLOOKUP($E95,Ratio,4,FALSE)*$G95)</f>
        <v>287718.93778674991</v>
      </c>
      <c r="L95" s="1756">
        <f>'Base Expense Data'!Q85</f>
        <v>380607.82273420098</v>
      </c>
      <c r="M95" s="1756">
        <f>'Base Expense Data'!R85</f>
        <v>0</v>
      </c>
      <c r="N95" s="1756">
        <f>'Base Expense Data'!S85</f>
        <v>287718.93778674991</v>
      </c>
      <c r="O95" s="1755"/>
    </row>
    <row r="96" spans="1:15" x14ac:dyDescent="0.25">
      <c r="A96" s="162"/>
      <c r="B96" s="49" t="s">
        <v>30</v>
      </c>
      <c r="C96" s="181" t="s">
        <v>69</v>
      </c>
      <c r="D96" s="186">
        <v>406</v>
      </c>
      <c r="E96" s="184" t="s">
        <v>90</v>
      </c>
      <c r="F96" s="184"/>
      <c r="G96" s="249">
        <f>VLOOKUP(B96,'Base Expense Data'!$B$6:$I$86,5,FALSE)</f>
        <v>30235.05476747407</v>
      </c>
      <c r="H96" s="249">
        <f>IF($E96="DIRECT",$L96,VLOOKUP($E96,Ratio,2,FALSE)*$G96)</f>
        <v>30235.05476747407</v>
      </c>
      <c r="I96" s="249">
        <f>IF($E96="DIRECT",$M96,VLOOKUP($E96,Ratio,3,FALSE)*$G96)</f>
        <v>0</v>
      </c>
      <c r="J96" s="266">
        <f>IF($E96="DIRECT",$N96,VLOOKUP($E96,Ratio,4,FALSE)*$G96)</f>
        <v>0</v>
      </c>
      <c r="L96" s="1756">
        <f>'Base Expense Data'!Q86</f>
        <v>30235.05476747407</v>
      </c>
      <c r="M96" s="1756">
        <f>'Base Expense Data'!R86</f>
        <v>0</v>
      </c>
      <c r="N96" s="1756">
        <f>'Base Expense Data'!S86</f>
        <v>0</v>
      </c>
      <c r="O96" s="1755"/>
    </row>
    <row r="97" spans="1:15" x14ac:dyDescent="0.25">
      <c r="A97" s="163" t="s">
        <v>471</v>
      </c>
      <c r="B97" s="31"/>
      <c r="C97" s="491"/>
      <c r="D97" s="491"/>
      <c r="E97" s="1814"/>
      <c r="F97" s="1814"/>
      <c r="G97" s="1781">
        <f>SUM(G81:G96)</f>
        <v>428440359.25316298</v>
      </c>
      <c r="H97" s="476">
        <f>SUM(H81:H96)</f>
        <v>257525935.50398934</v>
      </c>
      <c r="I97" s="476">
        <f>SUM(I81:I96)</f>
        <v>0</v>
      </c>
      <c r="J97" s="477">
        <f>SUM(J81:J96)</f>
        <v>170942745.52078518</v>
      </c>
      <c r="L97" s="1755"/>
      <c r="M97" s="1755"/>
      <c r="N97" s="1755"/>
      <c r="O97" s="1755"/>
    </row>
    <row r="98" spans="1:15" x14ac:dyDescent="0.25">
      <c r="A98" s="169"/>
      <c r="B98" s="31"/>
      <c r="C98" s="8"/>
      <c r="D98" s="34"/>
      <c r="E98" s="46"/>
      <c r="F98" s="46"/>
      <c r="G98" s="1782"/>
      <c r="H98" s="338"/>
      <c r="I98" s="338"/>
      <c r="J98" s="339"/>
      <c r="L98" s="1755"/>
      <c r="M98" s="1755"/>
      <c r="N98" s="1755"/>
      <c r="O98" s="1755"/>
    </row>
    <row r="99" spans="1:15" x14ac:dyDescent="0.25">
      <c r="A99" s="170"/>
      <c r="B99" s="79"/>
      <c r="C99" s="79"/>
      <c r="D99" s="79"/>
      <c r="E99" s="1815"/>
      <c r="F99" s="1815"/>
      <c r="G99" s="1803"/>
      <c r="H99" s="54"/>
      <c r="I99" s="54"/>
      <c r="J99" s="244"/>
      <c r="L99" s="1755"/>
      <c r="M99" s="1755"/>
      <c r="N99" s="1755"/>
      <c r="O99" s="1755"/>
    </row>
    <row r="100" spans="1:15" x14ac:dyDescent="0.25">
      <c r="A100" s="163" t="s">
        <v>50</v>
      </c>
      <c r="B100" s="32"/>
      <c r="C100" s="491"/>
      <c r="D100" s="491"/>
      <c r="E100" s="1814"/>
      <c r="F100" s="1814"/>
      <c r="G100" s="1781">
        <f>G77+G97</f>
        <v>3229555827.293632</v>
      </c>
      <c r="H100" s="476">
        <f>H77+H97</f>
        <v>2306462730.3009195</v>
      </c>
      <c r="I100" s="476">
        <f>I77+I97</f>
        <v>0</v>
      </c>
      <c r="J100" s="477">
        <f>J77+J97</f>
        <v>923118347.54036522</v>
      </c>
      <c r="L100" s="1755"/>
      <c r="M100" s="1755"/>
      <c r="N100" s="1755"/>
      <c r="O100" s="1755"/>
    </row>
    <row r="101" spans="1:15" ht="16.5" thickBot="1" x14ac:dyDescent="0.3">
      <c r="A101" s="172" t="s">
        <v>205</v>
      </c>
      <c r="B101" s="173"/>
      <c r="C101" s="174"/>
      <c r="D101" s="174"/>
      <c r="E101" s="193"/>
      <c r="F101" s="193"/>
      <c r="G101" s="1804"/>
      <c r="H101" s="175"/>
      <c r="I101" s="175"/>
      <c r="J101" s="176"/>
      <c r="L101" s="1755"/>
      <c r="M101" s="1755"/>
      <c r="N101" s="1755"/>
      <c r="O101" s="1755"/>
    </row>
    <row r="102" spans="1:15" ht="16.5" thickTop="1" x14ac:dyDescent="0.25">
      <c r="E102" s="1755"/>
      <c r="F102" s="1755"/>
      <c r="G102" s="1805"/>
      <c r="L102" s="1755"/>
      <c r="M102" s="1755"/>
      <c r="N102" s="1755"/>
      <c r="O102" s="1755"/>
    </row>
    <row r="103" spans="1:15" x14ac:dyDescent="0.25">
      <c r="E103" s="1755"/>
      <c r="F103" s="1755"/>
      <c r="G103" s="1805"/>
      <c r="L103" s="1755"/>
      <c r="M103" s="1755"/>
      <c r="N103" s="1755"/>
      <c r="O103" s="1755"/>
    </row>
    <row r="104" spans="1:15" x14ac:dyDescent="0.25">
      <c r="E104" s="1755"/>
      <c r="F104" s="1755"/>
      <c r="G104" s="1805"/>
      <c r="L104" s="1755"/>
      <c r="M104" s="1755"/>
      <c r="N104" s="1755"/>
      <c r="O104" s="1755"/>
    </row>
    <row r="105" spans="1:15" x14ac:dyDescent="0.25">
      <c r="E105" s="1755"/>
      <c r="F105" s="1755"/>
      <c r="G105" s="1805"/>
      <c r="L105" s="1755"/>
      <c r="M105" s="1755"/>
      <c r="N105" s="1755"/>
      <c r="O105" s="1755"/>
    </row>
    <row r="106" spans="1:15" x14ac:dyDescent="0.25">
      <c r="E106" s="1755"/>
      <c r="F106" s="1755"/>
      <c r="G106" s="1805"/>
      <c r="L106" s="1755"/>
      <c r="M106" s="1755"/>
      <c r="N106" s="1755"/>
      <c r="O106" s="1755"/>
    </row>
    <row r="107" spans="1:15" x14ac:dyDescent="0.25">
      <c r="E107" s="1755"/>
      <c r="F107" s="1755"/>
      <c r="G107" s="1805"/>
      <c r="L107" s="1755"/>
      <c r="M107" s="1755"/>
      <c r="N107" s="1755"/>
      <c r="O107" s="1755"/>
    </row>
    <row r="108" spans="1:15" x14ac:dyDescent="0.25">
      <c r="E108" s="1755"/>
      <c r="F108" s="1755"/>
      <c r="G108" s="1805"/>
      <c r="L108" s="1755"/>
      <c r="M108" s="1755"/>
      <c r="N108" s="1755"/>
      <c r="O108" s="1755"/>
    </row>
    <row r="109" spans="1:15" x14ac:dyDescent="0.25">
      <c r="E109" s="1755"/>
      <c r="F109" s="1755"/>
      <c r="G109" s="1805"/>
      <c r="L109" s="1755"/>
      <c r="M109" s="1755"/>
      <c r="N109" s="1755"/>
      <c r="O109" s="1755"/>
    </row>
    <row r="110" spans="1:15" x14ac:dyDescent="0.25">
      <c r="E110" s="1755"/>
      <c r="F110" s="1755"/>
      <c r="G110" s="1805"/>
      <c r="L110" s="1755"/>
      <c r="M110" s="1755"/>
      <c r="N110" s="1755"/>
      <c r="O110" s="1755"/>
    </row>
    <row r="111" spans="1:15" x14ac:dyDescent="0.25">
      <c r="G111" s="1805"/>
      <c r="L111" s="1755"/>
      <c r="M111" s="1755"/>
      <c r="N111" s="1755"/>
      <c r="O111" s="1755"/>
    </row>
    <row r="112" spans="1:15" x14ac:dyDescent="0.25">
      <c r="G112" s="1805"/>
      <c r="L112" s="1755"/>
      <c r="M112" s="1755"/>
      <c r="N112" s="1755"/>
      <c r="O112" s="1755"/>
    </row>
    <row r="113" spans="7:15" x14ac:dyDescent="0.25">
      <c r="G113" s="1805"/>
      <c r="L113" s="1755"/>
      <c r="M113" s="1755"/>
      <c r="N113" s="1755"/>
      <c r="O113" s="1755"/>
    </row>
  </sheetData>
  <mergeCells count="14">
    <mergeCell ref="L11:L13"/>
    <mergeCell ref="M11:M13"/>
    <mergeCell ref="N11:N13"/>
    <mergeCell ref="A2:J2"/>
    <mergeCell ref="A1:J1"/>
    <mergeCell ref="H11:H13"/>
    <mergeCell ref="I11:I13"/>
    <mergeCell ref="A3:J3"/>
    <mergeCell ref="E5:G5"/>
    <mergeCell ref="E6:G6"/>
    <mergeCell ref="E7:G7"/>
    <mergeCell ref="A11:B13"/>
    <mergeCell ref="G11:G13"/>
    <mergeCell ref="J11:J13"/>
  </mergeCells>
  <phoneticPr fontId="0" type="noConversion"/>
  <dataValidations count="2">
    <dataValidation type="list" allowBlank="1" showInputMessage="1" showErrorMessage="1" sqref="E69:E70 E35 E52:E53 E83" xr:uid="{00000000-0002-0000-0500-000000000000}">
      <formula1>DIST</formula1>
    </dataValidation>
    <dataValidation type="list" allowBlank="1" showInputMessage="1" showErrorMessage="1" sqref="E82" xr:uid="{00000000-0002-0000-0500-000001000000}">
      <formula1>PTD</formula1>
    </dataValidation>
  </dataValidations>
  <hyperlinks>
    <hyperlink ref="A5" location="TOC!A1" display="TOC" xr:uid="{00000000-0004-0000-0500-000000000000}"/>
    <hyperlink ref="A6" location="'Sch 3 - Expenses'!A14" display="é" xr:uid="{00000000-0004-0000-0500-000001000000}"/>
  </hyperlinks>
  <printOptions horizontalCentered="1" headings="1"/>
  <pageMargins left="0.5" right="0.5" top="0.75" bottom="0.55000000000000004" header="0.25" footer="0.25"/>
  <pageSetup scale="73" fitToHeight="3" orientation="landscape" r:id="rId1"/>
  <headerFooter alignWithMargins="0">
    <oddFooter>&amp;LFY 2026-2028 ASC Filing&amp;CPage &amp;P of &amp;N&amp;R&amp;A
&amp;D</oddFooter>
  </headerFooter>
  <rowBreaks count="2" manualBreakCount="2">
    <brk id="43" max="16383" man="1"/>
    <brk id="76" max="16383" man="1"/>
  </rowBreaks>
  <customProperties>
    <customPr name="_pios_id" r:id="rId2"/>
  </customProperties>
  <ignoredErrors>
    <ignoredError sqref="D39" numberStoredAsText="1"/>
  </ignoredErrors>
  <legacy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indexed="11"/>
  </sheetPr>
  <dimension ref="A1:K41"/>
  <sheetViews>
    <sheetView zoomScale="80" zoomScaleNormal="80" zoomScaleSheetLayoutView="100" workbookViewId="0">
      <selection sqref="A1:XFD1048576"/>
    </sheetView>
  </sheetViews>
  <sheetFormatPr defaultRowHeight="15.75" x14ac:dyDescent="0.25"/>
  <cols>
    <col min="1" max="1" width="5.375" customWidth="1"/>
    <col min="2" max="2" width="30.625" customWidth="1"/>
    <col min="3" max="4" width="8.625" customWidth="1"/>
    <col min="5" max="5" width="10.625" customWidth="1"/>
    <col min="6" max="9" width="19.125" customWidth="1"/>
    <col min="10" max="10" width="10.5" customWidth="1"/>
  </cols>
  <sheetData>
    <row r="1" spans="1:9" ht="20.100000000000001" customHeight="1" thickTop="1" x14ac:dyDescent="0.3">
      <c r="A1" s="3637" t="s">
        <v>54</v>
      </c>
      <c r="B1" s="3638"/>
      <c r="C1" s="3638"/>
      <c r="D1" s="3638"/>
      <c r="E1" s="3638"/>
      <c r="F1" s="3638"/>
      <c r="G1" s="3638"/>
      <c r="H1" s="3638"/>
      <c r="I1" s="3639"/>
    </row>
    <row r="2" spans="1:9" ht="20.100000000000001" customHeight="1" x14ac:dyDescent="0.25">
      <c r="A2" s="3635" t="s">
        <v>56</v>
      </c>
      <c r="B2" s="3612"/>
      <c r="C2" s="3612"/>
      <c r="D2" s="3612"/>
      <c r="E2" s="3612"/>
      <c r="F2" s="3612"/>
      <c r="G2" s="3612"/>
      <c r="H2" s="3612"/>
      <c r="I2" s="3636"/>
    </row>
    <row r="3" spans="1:9" ht="20.100000000000001" customHeight="1" x14ac:dyDescent="0.25">
      <c r="A3" s="3633" t="s">
        <v>719</v>
      </c>
      <c r="B3" s="3609"/>
      <c r="C3" s="3609"/>
      <c r="D3" s="3609"/>
      <c r="E3" s="3609"/>
      <c r="F3" s="3609"/>
      <c r="G3" s="3609"/>
      <c r="H3" s="3609"/>
      <c r="I3" s="3634"/>
    </row>
    <row r="4" spans="1:9" ht="12" customHeight="1" thickBot="1" x14ac:dyDescent="0.3">
      <c r="A4" s="367"/>
      <c r="B4" s="180"/>
      <c r="C4" s="180"/>
      <c r="D4" s="180"/>
      <c r="E4" s="180"/>
      <c r="F4" s="180"/>
      <c r="G4" s="180"/>
      <c r="H4" s="180"/>
      <c r="I4" s="237"/>
    </row>
    <row r="5" spans="1:9" ht="15.75" customHeight="1" x14ac:dyDescent="0.25">
      <c r="A5" s="1238" t="s">
        <v>695</v>
      </c>
      <c r="B5" s="180"/>
      <c r="C5" s="180"/>
      <c r="D5" s="505" t="s">
        <v>572</v>
      </c>
      <c r="E5" s="3648" t="str">
        <f>'Sch 1- Rate Base '!$E$5</f>
        <v>PacifiCorp</v>
      </c>
      <c r="F5" s="3649"/>
      <c r="G5" s="3656"/>
      <c r="H5" s="180"/>
      <c r="I5" s="1324" t="s">
        <v>717</v>
      </c>
    </row>
    <row r="6" spans="1:9" ht="15.75" customHeight="1" x14ac:dyDescent="0.25">
      <c r="A6" s="367"/>
      <c r="B6" s="180"/>
      <c r="C6" s="180"/>
      <c r="D6" s="505" t="s">
        <v>574</v>
      </c>
      <c r="E6" s="3650">
        <f>'Sch 1- Rate Base '!$E$6</f>
        <v>2023</v>
      </c>
      <c r="F6" s="3651"/>
      <c r="G6" s="3657"/>
      <c r="H6" s="625"/>
      <c r="I6" s="1325" t="str">
        <f>'Sch 1- Rate Base '!I6</f>
        <v/>
      </c>
    </row>
    <row r="7" spans="1:9" ht="15.75" customHeight="1" thickBot="1" x14ac:dyDescent="0.3">
      <c r="A7" s="367"/>
      <c r="B7" s="180"/>
      <c r="C7" s="180"/>
      <c r="D7" s="505" t="s">
        <v>575</v>
      </c>
      <c r="E7" s="3652">
        <f>'Sch 1- Rate Base '!$E$7</f>
        <v>45446</v>
      </c>
      <c r="F7" s="3654"/>
      <c r="G7" s="3655"/>
      <c r="H7" s="625"/>
      <c r="I7" s="1327" t="str">
        <f>'Sch 1- Rate Base '!I7</f>
        <v/>
      </c>
    </row>
    <row r="8" spans="1:9" ht="15.95" customHeight="1" x14ac:dyDescent="0.25">
      <c r="A8" s="367"/>
      <c r="B8" s="180"/>
      <c r="C8" s="180"/>
      <c r="D8" s="505"/>
      <c r="E8" s="626"/>
      <c r="F8" s="180"/>
      <c r="G8" s="625"/>
      <c r="H8" s="625"/>
      <c r="I8" s="237"/>
    </row>
    <row r="9" spans="1:9" ht="20.100000000000001" customHeight="1" x14ac:dyDescent="0.25">
      <c r="A9" s="3658" t="s">
        <v>148</v>
      </c>
      <c r="B9" s="3659"/>
      <c r="C9" s="3659"/>
      <c r="D9" s="3659"/>
      <c r="E9" s="3659"/>
      <c r="F9" s="3659"/>
      <c r="G9" s="3659"/>
      <c r="H9" s="3659"/>
      <c r="I9" s="3660"/>
    </row>
    <row r="10" spans="1:9" ht="9.75" customHeight="1" thickBot="1" x14ac:dyDescent="0.3">
      <c r="A10" s="517"/>
      <c r="B10" s="376"/>
      <c r="C10" s="366"/>
      <c r="D10" s="366"/>
      <c r="E10" s="376"/>
      <c r="F10" s="376"/>
      <c r="G10" s="376"/>
      <c r="H10" s="376"/>
      <c r="I10" s="518"/>
    </row>
    <row r="11" spans="1:9" ht="16.5" thickBot="1" x14ac:dyDescent="0.3">
      <c r="A11" s="3642" t="s">
        <v>100</v>
      </c>
      <c r="B11" s="3603"/>
      <c r="C11" s="321" t="s">
        <v>276</v>
      </c>
      <c r="D11" s="321"/>
      <c r="E11" s="3685" t="s">
        <v>209</v>
      </c>
      <c r="F11" s="3606" t="s">
        <v>104</v>
      </c>
      <c r="G11" s="3606" t="s">
        <v>105</v>
      </c>
      <c r="H11" s="3606" t="s">
        <v>106</v>
      </c>
      <c r="I11" s="3640" t="s">
        <v>729</v>
      </c>
    </row>
    <row r="12" spans="1:9" x14ac:dyDescent="0.25">
      <c r="A12" s="3676"/>
      <c r="B12" s="3605"/>
      <c r="C12" s="322" t="s">
        <v>272</v>
      </c>
      <c r="D12" s="322" t="s">
        <v>96</v>
      </c>
      <c r="E12" s="3686"/>
      <c r="F12" s="3607"/>
      <c r="G12" s="3607"/>
      <c r="H12" s="3607"/>
      <c r="I12" s="3683"/>
    </row>
    <row r="13" spans="1:9" ht="16.5" thickBot="1" x14ac:dyDescent="0.3">
      <c r="A13" s="3643"/>
      <c r="B13" s="3644"/>
      <c r="C13" s="323" t="s">
        <v>273</v>
      </c>
      <c r="D13" s="323" t="s">
        <v>252</v>
      </c>
      <c r="E13" s="3687"/>
      <c r="F13" s="3629"/>
      <c r="G13" s="3629"/>
      <c r="H13" s="3629"/>
      <c r="I13" s="3641"/>
    </row>
    <row r="14" spans="1:9" x14ac:dyDescent="0.25">
      <c r="A14" s="207"/>
      <c r="B14" s="157"/>
      <c r="C14" s="180"/>
      <c r="D14" s="180"/>
      <c r="E14" s="180"/>
      <c r="F14" s="92"/>
      <c r="G14" s="92"/>
      <c r="H14" s="92"/>
      <c r="I14" s="208"/>
    </row>
    <row r="15" spans="1:9" ht="15.75" customHeight="1" x14ac:dyDescent="0.25">
      <c r="A15" s="199" t="s">
        <v>149</v>
      </c>
      <c r="B15" s="194"/>
      <c r="C15" s="150"/>
      <c r="D15" s="195"/>
      <c r="E15" s="196"/>
      <c r="F15" s="197"/>
      <c r="G15" s="198"/>
      <c r="H15" s="198"/>
      <c r="I15" s="200"/>
    </row>
    <row r="16" spans="1:9" ht="15.75" customHeight="1" x14ac:dyDescent="0.25">
      <c r="A16" s="170"/>
      <c r="B16" s="402" t="s">
        <v>35</v>
      </c>
      <c r="C16" s="519" t="s">
        <v>832</v>
      </c>
      <c r="D16" s="520">
        <v>409.1</v>
      </c>
      <c r="E16" s="184" t="s">
        <v>392</v>
      </c>
      <c r="F16" s="249">
        <v>0</v>
      </c>
      <c r="G16" s="249">
        <f>VLOOKUP($E16,Ratio,2,FALSE)*$F16</f>
        <v>0</v>
      </c>
      <c r="H16" s="249">
        <f>VLOOKUP($E16,Ratio,3,FALSE)*$F16</f>
        <v>0</v>
      </c>
      <c r="I16" s="266">
        <f>VLOOKUP($E16,Ratio,4,FALSE)*$F16</f>
        <v>0</v>
      </c>
    </row>
    <row r="17" spans="1:11" ht="15.75" customHeight="1" x14ac:dyDescent="0.25">
      <c r="A17" s="170"/>
      <c r="B17" s="402" t="s">
        <v>150</v>
      </c>
      <c r="C17" s="519" t="s">
        <v>832</v>
      </c>
      <c r="D17" s="520">
        <v>408.1</v>
      </c>
      <c r="E17" s="184" t="s">
        <v>95</v>
      </c>
      <c r="F17" s="1783">
        <f>'Pg 262 - Taxes Accrued Prepaid '!K162</f>
        <v>19019048.084836535</v>
      </c>
      <c r="G17" s="249">
        <f>VLOOKUP($E17,Ratio,2,FALSE)*$F17</f>
        <v>7928154.892926028</v>
      </c>
      <c r="H17" s="249">
        <f>VLOOKUP($E17,Ratio,3,FALSE)*$F17</f>
        <v>0</v>
      </c>
      <c r="I17" s="266">
        <f>VLOOKUP($E17,Ratio,4,FALSE)*$F17</f>
        <v>11090893.191910507</v>
      </c>
    </row>
    <row r="18" spans="1:11" ht="15.75" customHeight="1" x14ac:dyDescent="0.25">
      <c r="A18" s="170"/>
      <c r="B18" s="402" t="s">
        <v>151</v>
      </c>
      <c r="C18" s="519" t="s">
        <v>832</v>
      </c>
      <c r="D18" s="520">
        <v>408.1</v>
      </c>
      <c r="E18" s="184" t="s">
        <v>392</v>
      </c>
      <c r="F18" s="249">
        <v>0</v>
      </c>
      <c r="G18" s="249">
        <f>VLOOKUP($E18,Ratio,2,FALSE)*$F18</f>
        <v>0</v>
      </c>
      <c r="H18" s="249">
        <f>VLOOKUP($E18,Ratio,3,FALSE)*$F18</f>
        <v>0</v>
      </c>
      <c r="I18" s="266">
        <f>VLOOKUP($E18,Ratio,4,FALSE)*$F18</f>
        <v>0</v>
      </c>
    </row>
    <row r="19" spans="1:11" ht="15.75" customHeight="1" x14ac:dyDescent="0.25">
      <c r="A19" s="201" t="s">
        <v>37</v>
      </c>
      <c r="B19" s="58"/>
      <c r="C19" s="550"/>
      <c r="D19" s="551"/>
      <c r="E19" s="552"/>
      <c r="F19" s="1781">
        <f>SUM(F16:F18)</f>
        <v>19019048.084836535</v>
      </c>
      <c r="G19" s="476">
        <f>SUM(G16:G18)</f>
        <v>7928154.892926028</v>
      </c>
      <c r="H19" s="476">
        <f>SUM(H16:H18)</f>
        <v>0</v>
      </c>
      <c r="I19" s="477">
        <f>SUM(I16:I18)</f>
        <v>11090893.191910507</v>
      </c>
    </row>
    <row r="20" spans="1:11" ht="15.75" customHeight="1" x14ac:dyDescent="0.25">
      <c r="A20" s="201"/>
      <c r="B20" s="58"/>
      <c r="C20" s="150"/>
      <c r="D20" s="195"/>
      <c r="E20" s="196"/>
      <c r="F20" s="1816"/>
      <c r="G20" s="521"/>
      <c r="H20" s="521"/>
      <c r="I20" s="522"/>
    </row>
    <row r="21" spans="1:11" ht="15.75" customHeight="1" x14ac:dyDescent="0.25">
      <c r="A21" s="202" t="s">
        <v>38</v>
      </c>
      <c r="B21" s="63"/>
      <c r="C21" s="150"/>
      <c r="D21" s="195"/>
      <c r="E21" s="196"/>
      <c r="F21" s="1816"/>
      <c r="G21" s="521"/>
      <c r="H21" s="521"/>
      <c r="I21" s="522"/>
      <c r="K21" s="525"/>
    </row>
    <row r="22" spans="1:11" ht="15.75" customHeight="1" x14ac:dyDescent="0.25">
      <c r="A22" s="170"/>
      <c r="B22" s="402" t="s">
        <v>567</v>
      </c>
      <c r="C22" s="519" t="s">
        <v>832</v>
      </c>
      <c r="D22" s="520">
        <v>408.1</v>
      </c>
      <c r="E22" s="184" t="s">
        <v>108</v>
      </c>
      <c r="F22" s="1783">
        <f>'Pg 262 - Taxes Accrued Prepaid '!K165</f>
        <v>62757268.946259603</v>
      </c>
      <c r="G22" s="249">
        <f>VLOOKUP($E22,Ratio,2,FALSE)*$F22</f>
        <v>27262667.717048887</v>
      </c>
      <c r="H22" s="249">
        <f>VLOOKUP($E22,Ratio,3,FALSE)*$F22</f>
        <v>0</v>
      </c>
      <c r="I22" s="266">
        <f>VLOOKUP($E22,Ratio,4,FALSE)*$F22</f>
        <v>35500881.608327694</v>
      </c>
    </row>
    <row r="23" spans="1:11" ht="15.75" customHeight="1" x14ac:dyDescent="0.25">
      <c r="A23" s="170"/>
      <c r="B23" s="402" t="s">
        <v>152</v>
      </c>
      <c r="C23" s="519" t="s">
        <v>832</v>
      </c>
      <c r="D23" s="520">
        <v>408.1</v>
      </c>
      <c r="E23" s="184" t="s">
        <v>95</v>
      </c>
      <c r="F23" s="1783">
        <f>'Pg 262 - Taxes Accrued Prepaid '!K166</f>
        <v>1364754.9693939744</v>
      </c>
      <c r="G23" s="249">
        <f t="shared" ref="G23:G28" si="0">VLOOKUP($E23,Ratio,2,FALSE)*$F23</f>
        <v>568902.75159840868</v>
      </c>
      <c r="H23" s="249">
        <f t="shared" ref="H23:H28" si="1">VLOOKUP($E23,Ratio,3,FALSE)*$F23</f>
        <v>0</v>
      </c>
      <c r="I23" s="266">
        <f t="shared" ref="I23:I28" si="2">VLOOKUP($E23,Ratio,4,FALSE)*$F23</f>
        <v>795852.21779556572</v>
      </c>
    </row>
    <row r="24" spans="1:11" ht="15.75" customHeight="1" x14ac:dyDescent="0.25">
      <c r="A24" s="170"/>
      <c r="B24" s="402" t="s">
        <v>568</v>
      </c>
      <c r="C24" s="519" t="s">
        <v>832</v>
      </c>
      <c r="D24" s="520">
        <v>409.1</v>
      </c>
      <c r="E24" s="184" t="s">
        <v>392</v>
      </c>
      <c r="F24" s="1783">
        <f>'Pg 262 - Taxes Accrued Prepaid '!K167</f>
        <v>1066334.5535052733</v>
      </c>
      <c r="G24" s="249">
        <f>VLOOKUP($E24,Ratio,2,FALSE)*$F24</f>
        <v>0</v>
      </c>
      <c r="H24" s="249">
        <f>VLOOKUP($E24,Ratio,3,FALSE)*$F24</f>
        <v>0</v>
      </c>
      <c r="I24" s="266">
        <f>VLOOKUP($E24,Ratio,4,FALSE)*$F24</f>
        <v>1066334.5535052733</v>
      </c>
    </row>
    <row r="25" spans="1:11" ht="15.75" customHeight="1" x14ac:dyDescent="0.25">
      <c r="A25" s="170"/>
      <c r="B25" s="402" t="s">
        <v>569</v>
      </c>
      <c r="C25" s="519" t="s">
        <v>832</v>
      </c>
      <c r="D25" s="520">
        <v>408.1</v>
      </c>
      <c r="E25" s="184" t="s">
        <v>392</v>
      </c>
      <c r="F25" s="1783">
        <f>'Pg 262 - Taxes Accrued Prepaid '!K168</f>
        <v>33981773.116844907</v>
      </c>
      <c r="G25" s="249">
        <f t="shared" si="0"/>
        <v>0</v>
      </c>
      <c r="H25" s="249">
        <f t="shared" si="1"/>
        <v>0</v>
      </c>
      <c r="I25" s="266">
        <f t="shared" si="2"/>
        <v>33981773.116844907</v>
      </c>
    </row>
    <row r="26" spans="1:11" ht="15.75" customHeight="1" x14ac:dyDescent="0.25">
      <c r="A26" s="170"/>
      <c r="B26" s="402" t="s">
        <v>153</v>
      </c>
      <c r="C26" s="519" t="s">
        <v>832</v>
      </c>
      <c r="D26" s="520">
        <v>408.1</v>
      </c>
      <c r="E26" s="184" t="s">
        <v>392</v>
      </c>
      <c r="F26" s="1783">
        <f>'Pg 262 - Taxes Accrued Prepaid '!K169</f>
        <v>7839988.4010800999</v>
      </c>
      <c r="G26" s="249">
        <f t="shared" si="0"/>
        <v>0</v>
      </c>
      <c r="H26" s="249">
        <f t="shared" si="1"/>
        <v>0</v>
      </c>
      <c r="I26" s="266">
        <f t="shared" si="2"/>
        <v>7839988.4010800999</v>
      </c>
    </row>
    <row r="27" spans="1:11" ht="15.75" customHeight="1" x14ac:dyDescent="0.25">
      <c r="A27" s="170"/>
      <c r="B27" s="402" t="s">
        <v>570</v>
      </c>
      <c r="C27" s="519" t="s">
        <v>832</v>
      </c>
      <c r="D27" s="520">
        <v>408.1</v>
      </c>
      <c r="E27" s="184" t="s">
        <v>392</v>
      </c>
      <c r="F27" s="1783">
        <f>'Pg 262 - Taxes Accrued Prepaid '!K170</f>
        <v>6706015.4391418342</v>
      </c>
      <c r="G27" s="249">
        <f t="shared" si="0"/>
        <v>0</v>
      </c>
      <c r="H27" s="249">
        <f t="shared" si="1"/>
        <v>0</v>
      </c>
      <c r="I27" s="266">
        <f t="shared" si="2"/>
        <v>6706015.4391418342</v>
      </c>
    </row>
    <row r="28" spans="1:11" ht="15.75" customHeight="1" x14ac:dyDescent="0.25">
      <c r="A28" s="170"/>
      <c r="B28" s="402" t="s">
        <v>107</v>
      </c>
      <c r="C28" s="519" t="s">
        <v>832</v>
      </c>
      <c r="D28" s="520">
        <v>408.1</v>
      </c>
      <c r="E28" s="184" t="s">
        <v>392</v>
      </c>
      <c r="F28" s="1783">
        <f>'Pg 262 - Taxes Accrued Prepaid '!K171</f>
        <v>5067613.3007748257</v>
      </c>
      <c r="G28" s="249">
        <f t="shared" si="0"/>
        <v>0</v>
      </c>
      <c r="H28" s="249">
        <f t="shared" si="1"/>
        <v>0</v>
      </c>
      <c r="I28" s="266">
        <f t="shared" si="2"/>
        <v>5067613.3007748257</v>
      </c>
    </row>
    <row r="29" spans="1:11" ht="15.75" customHeight="1" x14ac:dyDescent="0.25">
      <c r="A29" s="201" t="s">
        <v>36</v>
      </c>
      <c r="B29" s="63"/>
      <c r="C29" s="550"/>
      <c r="D29" s="551"/>
      <c r="E29" s="552"/>
      <c r="F29" s="1781">
        <f>SUM(F22:F28)</f>
        <v>118783748.72700052</v>
      </c>
      <c r="G29" s="476">
        <f>SUM(G22:G28)</f>
        <v>27831570.468647297</v>
      </c>
      <c r="H29" s="476">
        <f>SUM(H22:H28)</f>
        <v>0</v>
      </c>
      <c r="I29" s="477">
        <f>SUM(I22:I28)</f>
        <v>90958458.637470201</v>
      </c>
    </row>
    <row r="30" spans="1:11" ht="15.75" customHeight="1" x14ac:dyDescent="0.25">
      <c r="A30" s="201"/>
      <c r="B30" s="63"/>
      <c r="C30" s="150"/>
      <c r="D30" s="195"/>
      <c r="E30" s="196"/>
      <c r="F30" s="1817"/>
      <c r="G30" s="523"/>
      <c r="H30" s="523"/>
      <c r="I30" s="524"/>
    </row>
    <row r="31" spans="1:11" ht="15.75" customHeight="1" x14ac:dyDescent="0.25">
      <c r="A31" s="201" t="s">
        <v>571</v>
      </c>
      <c r="B31" s="63"/>
      <c r="C31" s="550"/>
      <c r="D31" s="551"/>
      <c r="E31" s="552"/>
      <c r="F31" s="1781">
        <f>F29+F19</f>
        <v>137802796.81183705</v>
      </c>
      <c r="G31" s="476">
        <f>G29+G19</f>
        <v>35759725.361573324</v>
      </c>
      <c r="H31" s="476">
        <f>H29+H19</f>
        <v>0</v>
      </c>
      <c r="I31" s="477">
        <f>I29+I19</f>
        <v>102049351.82938071</v>
      </c>
    </row>
    <row r="32" spans="1:11" ht="15.75" customHeight="1" x14ac:dyDescent="0.25">
      <c r="A32" s="201"/>
      <c r="B32" s="63"/>
      <c r="C32" s="150"/>
      <c r="D32" s="195"/>
      <c r="E32" s="196"/>
      <c r="F32" s="284"/>
      <c r="G32" s="284"/>
      <c r="H32" s="284"/>
      <c r="I32" s="285"/>
    </row>
    <row r="33" spans="1:11" ht="15.75" customHeight="1" thickBot="1" x14ac:dyDescent="0.3">
      <c r="A33" s="191"/>
      <c r="B33" s="203"/>
      <c r="C33" s="203"/>
      <c r="D33" s="203"/>
      <c r="E33" s="203"/>
      <c r="F33" s="203"/>
      <c r="G33" s="203"/>
      <c r="H33" s="203"/>
      <c r="I33" s="204"/>
      <c r="K33" s="57"/>
    </row>
    <row r="34" spans="1:11" ht="16.5" thickTop="1" x14ac:dyDescent="0.25">
      <c r="A34" s="57"/>
      <c r="B34" s="57"/>
      <c r="C34" s="57"/>
      <c r="D34" s="57"/>
      <c r="E34" s="57"/>
      <c r="F34" s="57"/>
      <c r="G34" s="57"/>
      <c r="H34" s="57"/>
      <c r="I34" s="57"/>
      <c r="K34" s="57"/>
    </row>
    <row r="35" spans="1:11" x14ac:dyDescent="0.25">
      <c r="A35" s="57"/>
      <c r="B35" s="57"/>
      <c r="C35" s="57"/>
      <c r="D35" s="57"/>
      <c r="E35" s="57"/>
      <c r="F35" s="57"/>
      <c r="G35" s="57"/>
      <c r="H35" s="57"/>
      <c r="I35" s="57"/>
      <c r="K35" s="57"/>
    </row>
    <row r="36" spans="1:11" x14ac:dyDescent="0.25">
      <c r="A36" s="57"/>
      <c r="B36" s="57"/>
      <c r="C36" s="57"/>
      <c r="D36" s="57"/>
      <c r="E36" s="57"/>
      <c r="F36" s="57"/>
      <c r="G36" s="57"/>
      <c r="H36" s="57"/>
      <c r="I36" s="57"/>
      <c r="K36" s="57"/>
    </row>
    <row r="37" spans="1:11" x14ac:dyDescent="0.25">
      <c r="A37" s="57"/>
      <c r="B37" s="57"/>
      <c r="C37" s="57"/>
      <c r="D37" s="57"/>
      <c r="E37" s="57"/>
      <c r="F37" s="57"/>
      <c r="G37" s="57"/>
      <c r="H37" s="57"/>
      <c r="I37" s="57"/>
      <c r="K37" s="57"/>
    </row>
    <row r="38" spans="1:11" x14ac:dyDescent="0.25">
      <c r="A38" s="57"/>
      <c r="B38" s="57"/>
      <c r="C38" s="57"/>
      <c r="D38" s="57"/>
      <c r="E38" s="57"/>
      <c r="F38" s="57"/>
      <c r="G38" s="57"/>
      <c r="H38" s="57"/>
      <c r="I38" s="57"/>
      <c r="K38" s="57"/>
    </row>
    <row r="39" spans="1:11" x14ac:dyDescent="0.25">
      <c r="A39" s="57"/>
      <c r="B39" s="57"/>
      <c r="C39" s="57"/>
      <c r="D39" s="57"/>
      <c r="E39" s="57"/>
      <c r="F39" s="57"/>
      <c r="G39" s="57"/>
      <c r="H39" s="57"/>
      <c r="I39" s="57"/>
      <c r="K39" s="57"/>
    </row>
    <row r="40" spans="1:11" x14ac:dyDescent="0.25">
      <c r="A40" s="57"/>
      <c r="B40" s="57"/>
      <c r="C40" s="57"/>
      <c r="D40" s="57"/>
      <c r="E40" s="57"/>
      <c r="F40" s="57"/>
      <c r="G40" s="57"/>
      <c r="H40" s="57"/>
      <c r="I40" s="57"/>
      <c r="K40" s="57"/>
    </row>
    <row r="41" spans="1:11" x14ac:dyDescent="0.25">
      <c r="A41" s="57"/>
      <c r="B41" s="57"/>
      <c r="C41" s="57"/>
      <c r="D41" s="57"/>
      <c r="E41" s="57"/>
      <c r="F41" s="57"/>
      <c r="G41" s="57"/>
      <c r="H41" s="57"/>
      <c r="I41" s="57"/>
      <c r="K41" s="57"/>
    </row>
  </sheetData>
  <mergeCells count="13">
    <mergeCell ref="I11:I13"/>
    <mergeCell ref="H11:H13"/>
    <mergeCell ref="E11:E13"/>
    <mergeCell ref="A11:B13"/>
    <mergeCell ref="F11:F13"/>
    <mergeCell ref="G11:G13"/>
    <mergeCell ref="A1:I1"/>
    <mergeCell ref="A2:I2"/>
    <mergeCell ref="A3:I3"/>
    <mergeCell ref="A9:I9"/>
    <mergeCell ref="E5:G5"/>
    <mergeCell ref="E6:G6"/>
    <mergeCell ref="E7:G7"/>
  </mergeCells>
  <phoneticPr fontId="0" type="noConversion"/>
  <hyperlinks>
    <hyperlink ref="A5" location="TOC!A1" display="TOC" xr:uid="{00000000-0004-0000-0600-000000000000}"/>
  </hyperlinks>
  <printOptions horizontalCentered="1" headings="1"/>
  <pageMargins left="0.5" right="0.5" top="0.75" bottom="0.55000000000000004" header="0.25" footer="0.25"/>
  <pageSetup scale="73" fitToHeight="2" orientation="landscape" r:id="rId1"/>
  <headerFooter alignWithMargins="0">
    <oddFooter>&amp;LFY 2026-2028 ASC Filing&amp;CPage &amp;P of &amp;N&amp;R&amp;A
&amp;D</oddFooter>
  </headerFooter>
  <customProperties>
    <customPr name="_pios_id" r:id="rId2"/>
  </customPropertie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indexed="46"/>
  </sheetPr>
  <dimension ref="A1:S71"/>
  <sheetViews>
    <sheetView topLeftCell="C10" zoomScaleNormal="100" workbookViewId="0">
      <selection activeCell="C10" sqref="A1:XFD1048576"/>
    </sheetView>
  </sheetViews>
  <sheetFormatPr defaultColWidth="9" defaultRowHeight="15.75" x14ac:dyDescent="0.25"/>
  <cols>
    <col min="1" max="1" width="5.375" style="1" customWidth="1"/>
    <col min="2" max="2" width="46.125" style="1" customWidth="1"/>
    <col min="3" max="4" width="10.625" style="1" customWidth="1"/>
    <col min="5" max="5" width="10" style="1" customWidth="1"/>
    <col min="6" max="6" width="9.375" style="1" customWidth="1"/>
    <col min="7" max="7" width="16.125" style="1" customWidth="1"/>
    <col min="8" max="8" width="15.625" style="1" customWidth="1"/>
    <col min="9" max="9" width="14.5" style="1" customWidth="1"/>
    <col min="10" max="10" width="17.375" style="1" customWidth="1"/>
    <col min="11" max="11" width="9" style="1"/>
    <col min="12" max="14" width="14.75" style="1" customWidth="1"/>
    <col min="15" max="16384" width="9" style="1"/>
  </cols>
  <sheetData>
    <row r="1" spans="1:14" ht="19.5" thickTop="1" x14ac:dyDescent="0.3">
      <c r="A1" s="3637" t="s">
        <v>54</v>
      </c>
      <c r="B1" s="3638"/>
      <c r="C1" s="3638"/>
      <c r="D1" s="3638"/>
      <c r="E1" s="3638"/>
      <c r="F1" s="3638"/>
      <c r="G1" s="3638"/>
      <c r="H1" s="3638"/>
      <c r="I1" s="3638"/>
      <c r="J1" s="3639"/>
    </row>
    <row r="2" spans="1:14" x14ac:dyDescent="0.25">
      <c r="A2" s="3635" t="s">
        <v>56</v>
      </c>
      <c r="B2" s="3612"/>
      <c r="C2" s="3612"/>
      <c r="D2" s="3612"/>
      <c r="E2" s="3612"/>
      <c r="F2" s="3612"/>
      <c r="G2" s="3612"/>
      <c r="H2" s="3612"/>
      <c r="I2" s="3612"/>
      <c r="J2" s="3636"/>
    </row>
    <row r="3" spans="1:14" x14ac:dyDescent="0.25">
      <c r="A3" s="3633" t="s">
        <v>719</v>
      </c>
      <c r="B3" s="3609"/>
      <c r="C3" s="3609"/>
      <c r="D3" s="3609"/>
      <c r="E3" s="3609"/>
      <c r="F3" s="3609"/>
      <c r="G3" s="3609"/>
      <c r="H3" s="3609"/>
      <c r="I3" s="3609"/>
      <c r="J3" s="3634"/>
    </row>
    <row r="4" spans="1:14" ht="13.5" customHeight="1" thickBot="1" x14ac:dyDescent="0.3">
      <c r="A4" s="158"/>
      <c r="B4" s="3"/>
      <c r="C4" s="2"/>
      <c r="D4" s="2"/>
      <c r="E4" s="3"/>
      <c r="F4" s="3"/>
      <c r="G4" s="4"/>
      <c r="H4" s="5"/>
      <c r="I4" s="5"/>
      <c r="J4" s="159"/>
    </row>
    <row r="5" spans="1:14" ht="15.75" customHeight="1" x14ac:dyDescent="0.25">
      <c r="A5" s="1238" t="s">
        <v>695</v>
      </c>
      <c r="B5" s="3"/>
      <c r="C5" s="2"/>
      <c r="D5" s="505" t="s">
        <v>572</v>
      </c>
      <c r="E5" s="3648" t="str">
        <f>'Sch 1- Rate Base '!$E$5</f>
        <v>PacifiCorp</v>
      </c>
      <c r="F5" s="3649"/>
      <c r="G5" s="3656"/>
      <c r="H5" s="5"/>
      <c r="I5" s="1197" t="s">
        <v>717</v>
      </c>
      <c r="J5" s="159"/>
    </row>
    <row r="6" spans="1:14" ht="15.75" customHeight="1" x14ac:dyDescent="0.25">
      <c r="A6" s="1233"/>
      <c r="B6" s="3"/>
      <c r="C6" s="2"/>
      <c r="D6" s="505" t="s">
        <v>574</v>
      </c>
      <c r="E6" s="3650">
        <f>'Sch 1- Rate Base '!$E$6</f>
        <v>2023</v>
      </c>
      <c r="F6" s="3651"/>
      <c r="G6" s="3657"/>
      <c r="H6" s="625"/>
      <c r="I6" s="1323" t="str">
        <f>'Sch 1- Rate Base '!I6</f>
        <v/>
      </c>
      <c r="J6" s="159"/>
    </row>
    <row r="7" spans="1:14" ht="15.75" customHeight="1" thickBot="1" x14ac:dyDescent="0.3">
      <c r="A7" s="158"/>
      <c r="B7" s="3"/>
      <c r="C7" s="2"/>
      <c r="D7" s="505" t="s">
        <v>575</v>
      </c>
      <c r="E7" s="3652">
        <f>'Sch 1- Rate Base '!$E$7</f>
        <v>45446</v>
      </c>
      <c r="F7" s="3654"/>
      <c r="G7" s="3655"/>
      <c r="H7" s="625"/>
      <c r="I7" s="1322" t="str">
        <f>'Sch 1- Rate Base '!I7</f>
        <v/>
      </c>
      <c r="J7" s="159"/>
    </row>
    <row r="8" spans="1:14" ht="9.75" customHeight="1" x14ac:dyDescent="0.25">
      <c r="A8" s="158"/>
      <c r="B8" s="3"/>
      <c r="C8" s="2"/>
      <c r="D8" s="2"/>
      <c r="E8" s="3"/>
      <c r="F8" s="3"/>
      <c r="G8" s="4"/>
      <c r="H8" s="5"/>
      <c r="I8" s="5"/>
      <c r="J8" s="159"/>
    </row>
    <row r="9" spans="1:14" x14ac:dyDescent="0.25">
      <c r="A9" s="332" t="s">
        <v>160</v>
      </c>
      <c r="B9" s="3"/>
      <c r="C9" s="2"/>
      <c r="D9" s="2"/>
      <c r="E9" s="3"/>
      <c r="F9" s="3"/>
      <c r="G9" s="4"/>
      <c r="H9" s="5"/>
      <c r="I9" s="5"/>
      <c r="J9" s="159"/>
      <c r="L9"/>
      <c r="M9"/>
      <c r="N9"/>
    </row>
    <row r="10" spans="1:14" ht="9" customHeight="1" thickBot="1" x14ac:dyDescent="0.4">
      <c r="A10" s="177"/>
      <c r="B10" s="3"/>
      <c r="C10" s="2"/>
      <c r="D10" s="2"/>
      <c r="E10" s="3"/>
      <c r="F10" s="3"/>
      <c r="G10" s="4"/>
      <c r="H10" s="5"/>
      <c r="I10" s="5"/>
      <c r="J10" s="159"/>
      <c r="L10"/>
      <c r="M10"/>
      <c r="N10"/>
    </row>
    <row r="11" spans="1:14" ht="16.5" thickBot="1" x14ac:dyDescent="0.3">
      <c r="A11" s="3642" t="s">
        <v>100</v>
      </c>
      <c r="B11" s="3603"/>
      <c r="C11" s="315" t="s">
        <v>276</v>
      </c>
      <c r="D11" s="316"/>
      <c r="E11" s="317" t="s">
        <v>354</v>
      </c>
      <c r="F11" s="318"/>
      <c r="G11" s="3606" t="s">
        <v>286</v>
      </c>
      <c r="H11" s="3606" t="s">
        <v>105</v>
      </c>
      <c r="I11" s="3606" t="s">
        <v>106</v>
      </c>
      <c r="J11" s="3640" t="s">
        <v>730</v>
      </c>
      <c r="L11" s="3606" t="s">
        <v>105</v>
      </c>
      <c r="M11" s="3606" t="s">
        <v>106</v>
      </c>
      <c r="N11" s="3640" t="s">
        <v>728</v>
      </c>
    </row>
    <row r="12" spans="1:14" ht="16.5" thickBot="1" x14ac:dyDescent="0.3">
      <c r="A12" s="3676"/>
      <c r="B12" s="3605"/>
      <c r="C12" s="308" t="s">
        <v>272</v>
      </c>
      <c r="D12" s="309" t="s">
        <v>96</v>
      </c>
      <c r="E12" s="319" t="s">
        <v>450</v>
      </c>
      <c r="F12" s="320"/>
      <c r="G12" s="3607"/>
      <c r="H12" s="3607"/>
      <c r="I12" s="3607"/>
      <c r="J12" s="3683"/>
      <c r="L12" s="3607"/>
      <c r="M12" s="3607"/>
      <c r="N12" s="3683"/>
    </row>
    <row r="13" spans="1:14" ht="16.5" thickBot="1" x14ac:dyDescent="0.3">
      <c r="A13" s="3677"/>
      <c r="B13" s="3678"/>
      <c r="C13" s="311" t="s">
        <v>273</v>
      </c>
      <c r="D13" s="312" t="s">
        <v>252</v>
      </c>
      <c r="E13" s="313" t="s">
        <v>352</v>
      </c>
      <c r="F13" s="313" t="s">
        <v>353</v>
      </c>
      <c r="G13" s="3673"/>
      <c r="H13" s="3673"/>
      <c r="I13" s="3673"/>
      <c r="J13" s="3684"/>
      <c r="L13" s="3629"/>
      <c r="M13" s="3629"/>
      <c r="N13" s="3641"/>
    </row>
    <row r="14" spans="1:14" ht="16.5" thickTop="1" x14ac:dyDescent="0.25">
      <c r="A14" s="199" t="s">
        <v>41</v>
      </c>
      <c r="B14" s="31"/>
      <c r="C14" s="18"/>
      <c r="D14" s="27"/>
      <c r="E14" s="8"/>
      <c r="F14" s="8"/>
      <c r="G14" s="9"/>
      <c r="H14" s="9"/>
      <c r="I14" s="9"/>
      <c r="J14" s="1520"/>
      <c r="L14"/>
      <c r="M14"/>
      <c r="N14"/>
    </row>
    <row r="15" spans="1:14" s="57" customFormat="1" ht="12.75" x14ac:dyDescent="0.2">
      <c r="A15" s="211"/>
      <c r="B15" s="46" t="s">
        <v>566</v>
      </c>
      <c r="C15" s="181" t="s">
        <v>833</v>
      </c>
      <c r="D15" s="184">
        <v>407.4</v>
      </c>
      <c r="E15" s="184" t="s">
        <v>90</v>
      </c>
      <c r="F15" s="184" t="s">
        <v>394</v>
      </c>
      <c r="G15" s="1756">
        <v>0</v>
      </c>
      <c r="H15" s="249">
        <f>IF($E15="DIRECT",$L15,VLOOKUP($E15,Ratio,2,FALSE)*$G15)</f>
        <v>0</v>
      </c>
      <c r="I15" s="249">
        <f>IF($E15="DIRECT",$M15,VLOOKUP($E15,Ratio,3,FALSE)*$G15)</f>
        <v>0</v>
      </c>
      <c r="J15" s="266">
        <f>IF($E15="DIRECT",$N15,VLOOKUP($E15,Ratio,4,FALSE)*$G15)</f>
        <v>0</v>
      </c>
      <c r="L15" s="1756">
        <f>G15</f>
        <v>0</v>
      </c>
      <c r="M15" s="1756">
        <v>0</v>
      </c>
      <c r="N15" s="1756">
        <v>0</v>
      </c>
    </row>
    <row r="16" spans="1:14" s="57" customFormat="1" ht="13.5" x14ac:dyDescent="0.25">
      <c r="A16" s="211"/>
      <c r="B16" s="532" t="s">
        <v>577</v>
      </c>
      <c r="C16" s="181" t="s">
        <v>833</v>
      </c>
      <c r="D16" s="184">
        <v>407.3</v>
      </c>
      <c r="E16" s="184" t="s">
        <v>90</v>
      </c>
      <c r="F16" s="184" t="s">
        <v>392</v>
      </c>
      <c r="G16" s="1756">
        <f>VLOOKUP(D16,'Pg 114 - Income Statement'!$C$90:$F$96,4,FALSE)</f>
        <v>5441242.9300000006</v>
      </c>
      <c r="H16" s="249">
        <f>IF($E16="DIRECT",$L16,VLOOKUP($E16,Ratio,2,FALSE)*$G16)</f>
        <v>739917.129723388</v>
      </c>
      <c r="I16" s="249">
        <f>IF($E16="DIRECT",$M16,VLOOKUP($E16,Ratio,3,FALSE)*$G16)</f>
        <v>0</v>
      </c>
      <c r="J16" s="266">
        <f>IF($E16="DIRECT",$N16,VLOOKUP($E16,Ratio,4,FALSE)*$G16)</f>
        <v>4701325.8002766119</v>
      </c>
      <c r="L16" s="1756">
        <f>'407.3 - Reg Debits_2023'!L201</f>
        <v>739917.129723388</v>
      </c>
      <c r="M16" s="1756">
        <f>'407.3 - Reg Debits_2023'!M201</f>
        <v>0</v>
      </c>
      <c r="N16" s="1756">
        <f>'407.3 - Reg Debits_2023'!N201</f>
        <v>4701325.8002766119</v>
      </c>
    </row>
    <row r="17" spans="1:19" s="57" customFormat="1" ht="12.75" x14ac:dyDescent="0.2">
      <c r="A17" s="161"/>
      <c r="B17" s="49" t="s">
        <v>390</v>
      </c>
      <c r="C17" s="181" t="s">
        <v>833</v>
      </c>
      <c r="D17" s="184">
        <v>411.6</v>
      </c>
      <c r="E17" s="184" t="s">
        <v>90</v>
      </c>
      <c r="F17" s="184" t="s">
        <v>394</v>
      </c>
      <c r="G17" s="1756">
        <f>VLOOKUP(D17,'Pg 114 - Income Statement'!$C$90:$F$96,4,FALSE)</f>
        <v>0</v>
      </c>
      <c r="H17" s="249">
        <f>IF($E17="DIRECT",$L17,VLOOKUP($E17,Ratio,2,FALSE)*$G17)</f>
        <v>0</v>
      </c>
      <c r="I17" s="249">
        <f>IF($E17="DIRECT",$M17,VLOOKUP($E17,Ratio,3,FALSE)*$G17)</f>
        <v>0</v>
      </c>
      <c r="J17" s="266">
        <f>IF($E17="DIRECT",$N17,VLOOKUP($E17,Ratio,4,FALSE)*$G17)</f>
        <v>0</v>
      </c>
      <c r="L17" s="1756"/>
      <c r="M17" s="1756"/>
      <c r="N17" s="1756"/>
    </row>
    <row r="18" spans="1:19" s="57" customFormat="1" ht="13.5" x14ac:dyDescent="0.25">
      <c r="A18" s="161"/>
      <c r="B18" s="533" t="s">
        <v>578</v>
      </c>
      <c r="C18" s="181" t="s">
        <v>833</v>
      </c>
      <c r="D18" s="184" t="s">
        <v>42</v>
      </c>
      <c r="E18" s="184" t="s">
        <v>90</v>
      </c>
      <c r="F18" s="184" t="s">
        <v>392</v>
      </c>
      <c r="G18" s="1756">
        <f>VLOOKUP(D18,'Pg 114 - Income Statement'!$C$90:$F$96,4,FALSE)</f>
        <v>0</v>
      </c>
      <c r="H18" s="249">
        <f>IF($E18="DIRECT",$L18,VLOOKUP($E18,Ratio,2,FALSE)*$G18)</f>
        <v>0</v>
      </c>
      <c r="I18" s="249">
        <f>IF($E18="DIRECT",$M18,VLOOKUP($E18,Ratio,3,FALSE)*$G18)</f>
        <v>0</v>
      </c>
      <c r="J18" s="266">
        <f>IF($E18="DIRECT",$N18,VLOOKUP($E18,Ratio,4,FALSE)*$G18)</f>
        <v>0</v>
      </c>
      <c r="L18" s="1756"/>
      <c r="M18" s="1756"/>
      <c r="N18" s="1756"/>
    </row>
    <row r="19" spans="1:19" s="57" customFormat="1" ht="12.75" x14ac:dyDescent="0.2">
      <c r="A19" s="161"/>
      <c r="B19" s="49" t="s">
        <v>391</v>
      </c>
      <c r="C19" s="181" t="s">
        <v>833</v>
      </c>
      <c r="D19" s="184">
        <v>411.8</v>
      </c>
      <c r="E19" s="184" t="s">
        <v>394</v>
      </c>
      <c r="F19" s="184"/>
      <c r="G19" s="1756">
        <f>VLOOKUP(D19,'Pg 114 - Income Statement'!$C$90:$F$96,4,FALSE)</f>
        <v>36.514148040899343</v>
      </c>
      <c r="H19" s="526">
        <f>VLOOKUP($E19,Ratio,2,FALSE)*$G19</f>
        <v>36.514148040899343</v>
      </c>
      <c r="I19" s="526">
        <f>VLOOKUP($E19,Ratio,3,FALSE)*$G19</f>
        <v>0</v>
      </c>
      <c r="J19" s="1255">
        <f>VLOOKUP($E19,Ratio,4,FALSE)*$G19</f>
        <v>0</v>
      </c>
      <c r="L19" s="1823"/>
      <c r="M19" s="1823"/>
      <c r="N19" s="1823"/>
    </row>
    <row r="20" spans="1:19" s="57" customFormat="1" ht="13.5" x14ac:dyDescent="0.25">
      <c r="A20" s="161"/>
      <c r="B20" s="533" t="s">
        <v>576</v>
      </c>
      <c r="C20" s="181" t="s">
        <v>833</v>
      </c>
      <c r="D20" s="184">
        <v>411.9</v>
      </c>
      <c r="E20" s="184" t="s">
        <v>394</v>
      </c>
      <c r="F20" s="184"/>
      <c r="G20" s="1756">
        <f>VLOOKUP(D20,'Pg 114 - Income Statement'!$C$90:$F$96,4,FALSE)</f>
        <v>0</v>
      </c>
      <c r="H20" s="526">
        <f>VLOOKUP($E20,Ratio,2,FALSE)*$G20</f>
        <v>0</v>
      </c>
      <c r="I20" s="526">
        <f>VLOOKUP($E20,Ratio,3,FALSE)*$G20</f>
        <v>0</v>
      </c>
      <c r="J20" s="1255">
        <f>VLOOKUP($E20,Ratio,4,FALSE)*$G20</f>
        <v>0</v>
      </c>
      <c r="L20" s="1823"/>
      <c r="M20" s="1823"/>
      <c r="N20" s="1823"/>
    </row>
    <row r="21" spans="1:19" s="57" customFormat="1" ht="12.75" x14ac:dyDescent="0.2">
      <c r="A21" s="161"/>
      <c r="B21" s="49" t="s">
        <v>181</v>
      </c>
      <c r="C21" s="181" t="s">
        <v>833</v>
      </c>
      <c r="D21" s="184">
        <v>421</v>
      </c>
      <c r="E21" s="184" t="s">
        <v>90</v>
      </c>
      <c r="F21" s="184" t="s">
        <v>394</v>
      </c>
      <c r="G21" s="1756">
        <f>ROUND(VLOOKUP(D21,'Pg 114 - Income Statement'!$C$90:$F$96,4,FALSE),0)</f>
        <v>989991</v>
      </c>
      <c r="H21" s="249">
        <f>IF($E21="DIRECT",$L21,VLOOKUP($E21,Ratio,2,FALSE)*$G21)</f>
        <v>1739</v>
      </c>
      <c r="I21" s="249">
        <f>IF($E21="DIRECT",$M21,VLOOKUP($E21,Ratio,3,FALSE)*$G21)</f>
        <v>0</v>
      </c>
      <c r="J21" s="266">
        <f>IF($E21="DIRECT",$N21,VLOOKUP($E21,Ratio,4,FALSE)*$G21)</f>
        <v>988252</v>
      </c>
      <c r="L21" s="1756">
        <f>ROUND(-'421 - Misc Income_2023'!Q60,0)</f>
        <v>1739</v>
      </c>
      <c r="M21" s="1756">
        <f>-'421 - Misc Income_2023'!R60</f>
        <v>0</v>
      </c>
      <c r="N21" s="1756">
        <f>ROUNDDOWN(-'421 - Misc Income_2023'!S60,0)</f>
        <v>988252</v>
      </c>
      <c r="Q21" s="3592"/>
      <c r="S21" s="3591"/>
    </row>
    <row r="22" spans="1:19" x14ac:dyDescent="0.25">
      <c r="A22" s="209" t="s">
        <v>49</v>
      </c>
      <c r="B22" s="220"/>
      <c r="C22" s="527"/>
      <c r="D22" s="528"/>
      <c r="E22" s="552"/>
      <c r="F22" s="552"/>
      <c r="G22" s="1820">
        <f>G15-G16+G17-G18+G19-G20+G21</f>
        <v>-4451215.41585196</v>
      </c>
      <c r="H22" s="529">
        <f>H15-H16+H17-H18+H19-H20+H21</f>
        <v>-738141.6155753471</v>
      </c>
      <c r="I22" s="529">
        <f>I15-I16+I17-I18+I19-I20+I21</f>
        <v>0</v>
      </c>
      <c r="J22" s="1256">
        <f>J15-J16+J17-J18+J19-J20+J21</f>
        <v>-3713073.8002766119</v>
      </c>
      <c r="L22" s="1762"/>
      <c r="M22" s="1762"/>
      <c r="N22" s="1762"/>
    </row>
    <row r="23" spans="1:19" x14ac:dyDescent="0.25">
      <c r="A23" s="210"/>
      <c r="B23" s="220"/>
      <c r="C23" s="55"/>
      <c r="D23" s="55"/>
      <c r="E23" s="196"/>
      <c r="F23" s="196"/>
      <c r="G23" s="594"/>
      <c r="H23" s="221"/>
      <c r="I23" s="221"/>
      <c r="J23" s="222"/>
      <c r="L23" s="1764"/>
      <c r="M23" s="1762"/>
      <c r="N23" s="1762"/>
    </row>
    <row r="24" spans="1:19" x14ac:dyDescent="0.25">
      <c r="A24" s="199" t="s">
        <v>278</v>
      </c>
      <c r="B24" s="220"/>
      <c r="C24" s="55"/>
      <c r="D24" s="55"/>
      <c r="E24" s="196"/>
      <c r="F24" s="196"/>
      <c r="G24" s="594"/>
      <c r="H24" s="221"/>
      <c r="I24" s="221"/>
      <c r="J24" s="222"/>
      <c r="L24" s="1762"/>
      <c r="M24" s="1762"/>
      <c r="N24" s="1762"/>
    </row>
    <row r="25" spans="1:19" s="57" customFormat="1" ht="12.75" x14ac:dyDescent="0.2">
      <c r="A25" s="211"/>
      <c r="B25" s="49" t="s">
        <v>64</v>
      </c>
      <c r="C25" s="181">
        <v>310</v>
      </c>
      <c r="D25" s="184">
        <v>447</v>
      </c>
      <c r="E25" s="184" t="s">
        <v>394</v>
      </c>
      <c r="F25" s="184"/>
      <c r="G25" s="1821">
        <f>'3-YEAR PP &amp; OSS Worksheet'!D36</f>
        <v>79486840.52681087</v>
      </c>
      <c r="H25" s="1237">
        <f>VLOOKUP($E25,Ratio,2,FALSE)*$G25</f>
        <v>79486840.52681087</v>
      </c>
      <c r="I25" s="1237">
        <f>VLOOKUP($E25,Ratio,3,FALSE)*$G25</f>
        <v>0</v>
      </c>
      <c r="J25" s="1257">
        <f>VLOOKUP($E25,Ratio,4,FALSE)*$G25</f>
        <v>0</v>
      </c>
      <c r="L25" s="1823"/>
      <c r="M25" s="1823"/>
      <c r="N25" s="1823"/>
    </row>
    <row r="26" spans="1:19" x14ac:dyDescent="0.25">
      <c r="A26" s="163" t="s">
        <v>65</v>
      </c>
      <c r="B26" s="64"/>
      <c r="C26" s="527"/>
      <c r="D26" s="528"/>
      <c r="E26" s="552"/>
      <c r="F26" s="552"/>
      <c r="G26" s="1820">
        <f>SUM(G25)</f>
        <v>79486840.52681087</v>
      </c>
      <c r="H26" s="529">
        <f>SUM(H25)</f>
        <v>79486840.52681087</v>
      </c>
      <c r="I26" s="529">
        <f>SUM(I25)</f>
        <v>0</v>
      </c>
      <c r="J26" s="1256">
        <f>SUM(J25)</f>
        <v>0</v>
      </c>
      <c r="L26" s="1762"/>
      <c r="M26" s="1762"/>
      <c r="N26" s="1762"/>
    </row>
    <row r="27" spans="1:19" x14ac:dyDescent="0.25">
      <c r="A27" s="164"/>
      <c r="B27" s="64"/>
      <c r="C27" s="55"/>
      <c r="D27" s="55"/>
      <c r="E27" s="196"/>
      <c r="F27" s="196"/>
      <c r="G27" s="594"/>
      <c r="H27" s="221"/>
      <c r="I27" s="221"/>
      <c r="J27" s="222"/>
      <c r="L27" s="1762"/>
      <c r="M27" s="1762"/>
      <c r="N27" s="1762"/>
    </row>
    <row r="28" spans="1:19" x14ac:dyDescent="0.25">
      <c r="A28" s="160" t="s">
        <v>43</v>
      </c>
      <c r="B28" s="64"/>
      <c r="C28" s="55"/>
      <c r="D28" s="55"/>
      <c r="E28" s="196"/>
      <c r="F28" s="196"/>
      <c r="G28" s="594"/>
      <c r="H28" s="221"/>
      <c r="I28" s="221"/>
      <c r="J28" s="222"/>
      <c r="L28" s="1762"/>
      <c r="M28" s="1762"/>
      <c r="N28" s="1762"/>
    </row>
    <row r="29" spans="1:19" s="57" customFormat="1" ht="12.75" x14ac:dyDescent="0.2">
      <c r="A29" s="161"/>
      <c r="B29" s="54" t="s">
        <v>327</v>
      </c>
      <c r="C29" s="181">
        <v>300</v>
      </c>
      <c r="D29" s="184">
        <v>450</v>
      </c>
      <c r="E29" s="184" t="s">
        <v>392</v>
      </c>
      <c r="F29" s="184"/>
      <c r="G29" s="1783">
        <f>SUMIF('Pg 300 - Electric Operating Rev'!$F$40:$F$46,D29,'Pg 300 - Electric Operating Rev'!$E$40:$E$46)</f>
        <v>8515319.6916797031</v>
      </c>
      <c r="H29" s="526">
        <f t="shared" ref="H29:H35" si="0">VLOOKUP($E29,Ratio,2,FALSE)*$G29</f>
        <v>0</v>
      </c>
      <c r="I29" s="526">
        <f t="shared" ref="I29:I35" si="1">VLOOKUP($E29,Ratio,3,FALSE)*$G29</f>
        <v>0</v>
      </c>
      <c r="J29" s="1255">
        <f t="shared" ref="J29:J35" si="2">VLOOKUP($E29,Ratio,4,FALSE)*$G29</f>
        <v>8515319.6916797031</v>
      </c>
      <c r="L29" s="1823"/>
      <c r="M29" s="1823"/>
      <c r="N29" s="1823"/>
    </row>
    <row r="30" spans="1:19" s="57" customFormat="1" ht="12.75" x14ac:dyDescent="0.2">
      <c r="A30" s="161"/>
      <c r="B30" s="54" t="s">
        <v>546</v>
      </c>
      <c r="C30" s="181">
        <v>300</v>
      </c>
      <c r="D30" s="184" t="s">
        <v>44</v>
      </c>
      <c r="E30" s="184" t="s">
        <v>392</v>
      </c>
      <c r="F30" s="184"/>
      <c r="G30" s="1783">
        <f>SUMIF('Pg 300 - Electric Operating Rev'!$F$40:$F$46,D30,'Pg 300 - Electric Operating Rev'!$E$40:$E$46)</f>
        <v>1980493.0813357825</v>
      </c>
      <c r="H30" s="526">
        <f t="shared" si="0"/>
        <v>0</v>
      </c>
      <c r="I30" s="526">
        <f t="shared" si="1"/>
        <v>0</v>
      </c>
      <c r="J30" s="1255">
        <f t="shared" si="2"/>
        <v>1980493.0813357825</v>
      </c>
      <c r="L30" s="1823"/>
      <c r="M30" s="1823"/>
      <c r="N30" s="1823"/>
    </row>
    <row r="31" spans="1:19" s="57" customFormat="1" ht="12.75" x14ac:dyDescent="0.2">
      <c r="A31" s="161"/>
      <c r="B31" s="54" t="s">
        <v>545</v>
      </c>
      <c r="C31" s="181">
        <v>300</v>
      </c>
      <c r="D31" s="184" t="s">
        <v>45</v>
      </c>
      <c r="E31" s="184" t="s">
        <v>394</v>
      </c>
      <c r="F31" s="184"/>
      <c r="G31" s="1783">
        <f>SUMIF('Pg 300 - Electric Operating Rev'!$F$40:$F$46,D31,'Pg 300 - Electric Operating Rev'!$E$40:$E$46)</f>
        <v>0</v>
      </c>
      <c r="H31" s="526">
        <f t="shared" si="0"/>
        <v>0</v>
      </c>
      <c r="I31" s="526">
        <f t="shared" si="1"/>
        <v>0</v>
      </c>
      <c r="J31" s="1255">
        <f t="shared" si="2"/>
        <v>0</v>
      </c>
      <c r="L31" s="1823"/>
      <c r="M31" s="1823"/>
      <c r="N31" s="1823"/>
    </row>
    <row r="32" spans="1:19" s="57" customFormat="1" ht="12.75" x14ac:dyDescent="0.2">
      <c r="A32" s="161"/>
      <c r="B32" s="54" t="s">
        <v>544</v>
      </c>
      <c r="C32" s="181">
        <v>300</v>
      </c>
      <c r="D32" s="184" t="s">
        <v>46</v>
      </c>
      <c r="E32" s="184" t="s">
        <v>109</v>
      </c>
      <c r="F32" s="184"/>
      <c r="G32" s="1783">
        <f>SUMIF('Pg 300 - Electric Operating Rev'!$F$40:$F$46,D32,'Pg 300 - Electric Operating Rev'!$E$40:$E$46)</f>
        <v>9825273.839957241</v>
      </c>
      <c r="H32" s="526">
        <f t="shared" si="0"/>
        <v>0</v>
      </c>
      <c r="I32" s="526">
        <f t="shared" si="1"/>
        <v>0</v>
      </c>
      <c r="J32" s="1255">
        <f t="shared" si="2"/>
        <v>9825273.839957241</v>
      </c>
      <c r="L32" s="1823"/>
      <c r="M32" s="1823"/>
      <c r="N32" s="1823"/>
    </row>
    <row r="33" spans="1:14" s="57" customFormat="1" ht="12.75" x14ac:dyDescent="0.2">
      <c r="A33" s="161"/>
      <c r="B33" s="54" t="s">
        <v>329</v>
      </c>
      <c r="C33" s="181">
        <v>300</v>
      </c>
      <c r="D33" s="184">
        <v>455</v>
      </c>
      <c r="E33" s="184" t="s">
        <v>392</v>
      </c>
      <c r="F33" s="184"/>
      <c r="G33" s="1783">
        <f>SUMIF('Pg 300 - Electric Operating Rev'!$F$40:$F$46,D33,'Pg 300 - Electric Operating Rev'!$E$40:$E$46)</f>
        <v>0</v>
      </c>
      <c r="H33" s="526">
        <f t="shared" si="0"/>
        <v>0</v>
      </c>
      <c r="I33" s="526">
        <f t="shared" si="1"/>
        <v>0</v>
      </c>
      <c r="J33" s="1255">
        <f t="shared" si="2"/>
        <v>0</v>
      </c>
      <c r="L33" s="1823"/>
      <c r="M33" s="1823"/>
      <c r="N33" s="1823"/>
    </row>
    <row r="34" spans="1:14" s="57" customFormat="1" ht="12.75" x14ac:dyDescent="0.2">
      <c r="A34" s="161"/>
      <c r="B34" s="54" t="s">
        <v>328</v>
      </c>
      <c r="C34" s="181">
        <v>300</v>
      </c>
      <c r="D34" s="184" t="s">
        <v>47</v>
      </c>
      <c r="E34" s="184" t="s">
        <v>90</v>
      </c>
      <c r="F34" s="184" t="s">
        <v>394</v>
      </c>
      <c r="G34" s="1756">
        <f>SUMIF('Pg 300 - Electric Operating Rev'!$F$40:$F$46,D34,'Pg 300 - Electric Operating Rev'!$E$40:$E$46)</f>
        <v>17726557.22997893</v>
      </c>
      <c r="H34" s="249">
        <f>IF($E34="DIRECT",$L34,VLOOKUP($E34,Ratio,2,FALSE)*$G34)</f>
        <v>16037718.522941926</v>
      </c>
      <c r="I34" s="249">
        <f>IF($E34="DIRECT",$M34,VLOOKUP($E34,Ratio,3,FALSE)*$G34)</f>
        <v>0</v>
      </c>
      <c r="J34" s="266">
        <f>IF($E34="DIRECT",$N34,VLOOKUP($E34,Ratio,4,FALSE)*$G34)</f>
        <v>1688838.7070370035</v>
      </c>
      <c r="L34" s="1756">
        <f>$G$34*'Pg 114 - Income Statement'!E115</f>
        <v>16037718.522941926</v>
      </c>
      <c r="M34" s="1756">
        <f>0</f>
        <v>0</v>
      </c>
      <c r="N34" s="1756">
        <f>$G$34*'Pg 114 - Income Statement'!G115+$G$34*'Pg 114 - Income Statement'!F115</f>
        <v>1688838.7070370035</v>
      </c>
    </row>
    <row r="35" spans="1:14" s="57" customFormat="1" ht="12.75" x14ac:dyDescent="0.2">
      <c r="A35" s="161"/>
      <c r="B35" s="54" t="s">
        <v>503</v>
      </c>
      <c r="C35" s="181">
        <v>330</v>
      </c>
      <c r="D35" s="181">
        <v>456.1</v>
      </c>
      <c r="E35" s="184" t="s">
        <v>393</v>
      </c>
      <c r="F35" s="184"/>
      <c r="G35" s="1783">
        <f>SUMIF('Pg 300 - Electric Operating Rev'!$F$40:$F$46,D35,'Pg 300 - Electric Operating Rev'!$E$40:$E$46)</f>
        <v>63773432.108888477</v>
      </c>
      <c r="H35" s="526">
        <f t="shared" si="0"/>
        <v>0</v>
      </c>
      <c r="I35" s="526">
        <f t="shared" si="1"/>
        <v>0</v>
      </c>
      <c r="J35" s="1255">
        <f t="shared" si="2"/>
        <v>63773432.108888477</v>
      </c>
      <c r="L35" s="1823"/>
      <c r="M35" s="1823"/>
      <c r="N35" s="1823"/>
    </row>
    <row r="36" spans="1:14" s="57" customFormat="1" x14ac:dyDescent="0.25">
      <c r="A36" s="211"/>
      <c r="B36" s="54"/>
      <c r="C36" s="50"/>
      <c r="D36" s="48"/>
      <c r="E36" s="48"/>
      <c r="F36" s="48"/>
      <c r="G36" s="1784"/>
      <c r="H36" s="67"/>
      <c r="I36" s="67"/>
      <c r="J36" s="226"/>
      <c r="L36" s="1764"/>
      <c r="M36" s="1823"/>
      <c r="N36" s="1823"/>
    </row>
    <row r="37" spans="1:14" x14ac:dyDescent="0.25">
      <c r="A37" s="163" t="s">
        <v>48</v>
      </c>
      <c r="B37" s="64"/>
      <c r="C37" s="530"/>
      <c r="D37" s="531"/>
      <c r="E37" s="1818"/>
      <c r="F37" s="1819"/>
      <c r="G37" s="1820">
        <f>SUM(G29:G36)</f>
        <v>101821075.95184013</v>
      </c>
      <c r="H37" s="529">
        <f>SUM(H29:H36)</f>
        <v>16037718.522941926</v>
      </c>
      <c r="I37" s="529">
        <f>SUM(I29:I36)</f>
        <v>0</v>
      </c>
      <c r="J37" s="1256">
        <f>SUM(J29:J36)</f>
        <v>85783357.428898215</v>
      </c>
      <c r="L37" s="1755"/>
      <c r="M37" s="1755"/>
      <c r="N37" s="1755"/>
    </row>
    <row r="38" spans="1:14" x14ac:dyDescent="0.25">
      <c r="A38" s="212"/>
      <c r="B38" s="64"/>
      <c r="C38" s="55"/>
      <c r="D38" s="55"/>
      <c r="E38" s="196"/>
      <c r="F38" s="196"/>
      <c r="G38" s="594"/>
      <c r="H38" s="221"/>
      <c r="I38" s="221"/>
      <c r="J38" s="222"/>
      <c r="L38" s="1755"/>
      <c r="M38" s="1755"/>
      <c r="N38" s="1755"/>
    </row>
    <row r="39" spans="1:14" x14ac:dyDescent="0.25">
      <c r="A39" s="163" t="s">
        <v>49</v>
      </c>
      <c r="B39" s="64"/>
      <c r="C39" s="530"/>
      <c r="D39" s="531"/>
      <c r="E39" s="1818"/>
      <c r="F39" s="1818"/>
      <c r="G39" s="1822">
        <f>+G37+G26+G22</f>
        <v>176856701.06279904</v>
      </c>
      <c r="H39" s="529">
        <f>+H37+H26+H22</f>
        <v>94786417.434177458</v>
      </c>
      <c r="I39" s="529">
        <f>+I37+I26+I22</f>
        <v>0</v>
      </c>
      <c r="J39" s="1256">
        <f>+J37+J26+J22</f>
        <v>82070283.628621608</v>
      </c>
      <c r="L39" s="1755"/>
      <c r="M39" s="1755"/>
      <c r="N39" s="1755"/>
    </row>
    <row r="40" spans="1:14" s="57" customFormat="1" ht="12.75" x14ac:dyDescent="0.2">
      <c r="A40" s="213" t="s">
        <v>67</v>
      </c>
      <c r="B40" s="33"/>
      <c r="C40" s="54"/>
      <c r="D40" s="54"/>
      <c r="E40" s="54"/>
      <c r="F40" s="54"/>
      <c r="G40" s="54"/>
      <c r="H40" s="54"/>
      <c r="I40" s="54"/>
      <c r="J40" s="244"/>
      <c r="L40" s="1823"/>
      <c r="M40" s="1823"/>
      <c r="N40" s="1823"/>
    </row>
    <row r="41" spans="1:14" x14ac:dyDescent="0.25">
      <c r="A41" s="214"/>
      <c r="J41" s="171"/>
      <c r="L41" s="1755"/>
      <c r="M41" s="1755"/>
      <c r="N41" s="1755"/>
    </row>
    <row r="42" spans="1:14" ht="16.5" thickBot="1" x14ac:dyDescent="0.3">
      <c r="A42" s="215"/>
      <c r="B42" s="216"/>
      <c r="C42" s="216"/>
      <c r="D42" s="216"/>
      <c r="E42" s="216"/>
      <c r="F42" s="216"/>
      <c r="G42" s="216"/>
      <c r="H42" s="216"/>
      <c r="I42" s="216"/>
      <c r="J42" s="217"/>
      <c r="L42" s="1755"/>
      <c r="M42" s="1755"/>
      <c r="N42" s="1755"/>
    </row>
    <row r="43" spans="1:14" ht="16.5" thickTop="1" x14ac:dyDescent="0.25">
      <c r="L43" s="1755"/>
      <c r="M43" s="1755"/>
      <c r="N43" s="1755"/>
    </row>
    <row r="60" spans="1:7" x14ac:dyDescent="0.25">
      <c r="A60"/>
      <c r="B60"/>
      <c r="C60"/>
      <c r="D60"/>
      <c r="E60"/>
      <c r="F60"/>
      <c r="G60"/>
    </row>
    <row r="61" spans="1:7" x14ac:dyDescent="0.25">
      <c r="A61"/>
      <c r="B61"/>
      <c r="C61"/>
      <c r="D61"/>
      <c r="E61"/>
      <c r="F61"/>
      <c r="G61"/>
    </row>
    <row r="62" spans="1:7" x14ac:dyDescent="0.25">
      <c r="A62"/>
      <c r="B62"/>
      <c r="C62"/>
      <c r="D62"/>
      <c r="E62"/>
      <c r="F62"/>
      <c r="G62"/>
    </row>
    <row r="63" spans="1:7" x14ac:dyDescent="0.25">
      <c r="A63"/>
      <c r="B63"/>
      <c r="C63"/>
      <c r="D63"/>
      <c r="E63"/>
      <c r="F63"/>
      <c r="G63"/>
    </row>
    <row r="64" spans="1:7" x14ac:dyDescent="0.25">
      <c r="A64"/>
      <c r="B64"/>
      <c r="C64"/>
      <c r="D64"/>
      <c r="E64"/>
      <c r="F64"/>
      <c r="G64"/>
    </row>
    <row r="65" spans="1:7" x14ac:dyDescent="0.25">
      <c r="A65"/>
      <c r="B65"/>
      <c r="C65"/>
      <c r="D65"/>
      <c r="E65"/>
      <c r="F65"/>
      <c r="G65"/>
    </row>
    <row r="66" spans="1:7" x14ac:dyDescent="0.25">
      <c r="A66"/>
      <c r="B66"/>
      <c r="C66"/>
      <c r="D66"/>
      <c r="E66"/>
      <c r="F66"/>
      <c r="G66"/>
    </row>
    <row r="67" spans="1:7" x14ac:dyDescent="0.25">
      <c r="A67"/>
      <c r="B67"/>
      <c r="C67"/>
      <c r="D67"/>
      <c r="E67"/>
      <c r="F67"/>
      <c r="G67"/>
    </row>
    <row r="68" spans="1:7" x14ac:dyDescent="0.25">
      <c r="A68"/>
      <c r="B68"/>
      <c r="C68"/>
      <c r="D68"/>
      <c r="E68"/>
      <c r="F68"/>
      <c r="G68"/>
    </row>
    <row r="69" spans="1:7" x14ac:dyDescent="0.25">
      <c r="A69"/>
      <c r="B69"/>
      <c r="C69"/>
      <c r="D69"/>
      <c r="E69"/>
      <c r="F69"/>
      <c r="G69"/>
    </row>
    <row r="70" spans="1:7" x14ac:dyDescent="0.25">
      <c r="A70"/>
      <c r="B70"/>
      <c r="C70"/>
      <c r="D70"/>
      <c r="E70"/>
      <c r="F70"/>
      <c r="G70"/>
    </row>
    <row r="71" spans="1:7" x14ac:dyDescent="0.25">
      <c r="A71"/>
      <c r="B71"/>
      <c r="C71"/>
      <c r="D71"/>
      <c r="E71"/>
      <c r="F71"/>
      <c r="G71"/>
    </row>
  </sheetData>
  <mergeCells count="14">
    <mergeCell ref="L11:L13"/>
    <mergeCell ref="M11:M13"/>
    <mergeCell ref="J11:J13"/>
    <mergeCell ref="N11:N13"/>
    <mergeCell ref="A1:J1"/>
    <mergeCell ref="A11:B13"/>
    <mergeCell ref="E5:G5"/>
    <mergeCell ref="E6:G6"/>
    <mergeCell ref="E7:G7"/>
    <mergeCell ref="G11:G13"/>
    <mergeCell ref="H11:H13"/>
    <mergeCell ref="I11:I13"/>
    <mergeCell ref="A3:J3"/>
    <mergeCell ref="A2:J2"/>
  </mergeCells>
  <phoneticPr fontId="0" type="noConversion"/>
  <conditionalFormatting sqref="G15:G21">
    <cfRule type="expression" dxfId="8" priority="3">
      <formula>G15&lt;&gt;SUM(H15:J15)</formula>
    </cfRule>
  </conditionalFormatting>
  <conditionalFormatting sqref="G34">
    <cfRule type="expression" dxfId="7" priority="1">
      <formula>G34&lt;&gt;SUM(H34:J34)</formula>
    </cfRule>
  </conditionalFormatting>
  <dataValidations count="2">
    <dataValidation type="list" allowBlank="1" showInputMessage="1" showErrorMessage="1" sqref="E16 E18" xr:uid="{00000000-0002-0000-0700-000000000000}">
      <formula1>DIST</formula1>
    </dataValidation>
    <dataValidation type="list" allowBlank="1" showInputMessage="1" showErrorMessage="1" sqref="E21 E17 E15 E34" xr:uid="{00000000-0002-0000-0700-000001000000}">
      <formula1>PROD</formula1>
    </dataValidation>
  </dataValidations>
  <hyperlinks>
    <hyperlink ref="A5" location="TOC!A1" display="TOC" xr:uid="{00000000-0004-0000-0700-000000000000}"/>
  </hyperlinks>
  <printOptions horizontalCentered="1" headings="1"/>
  <pageMargins left="0.5" right="0.5" top="0.75" bottom="0.55000000000000004" header="0.25" footer="0.25"/>
  <pageSetup scale="73" orientation="landscape" r:id="rId1"/>
  <headerFooter alignWithMargins="0">
    <oddFooter>&amp;LFY 2026-2028 ASC Filing&amp;CPage &amp;P of &amp;N&amp;R&amp;A
&amp;D</oddFooter>
  </headerFooter>
  <customProperties>
    <customPr name="_pios_id" r:id="rId2"/>
  </customProperties>
  <ignoredErrors>
    <ignoredError sqref="D18 D30:D32 D34" numberStoredAsText="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5">
    <tabColor indexed="40"/>
  </sheetPr>
  <dimension ref="A1:Q79"/>
  <sheetViews>
    <sheetView topLeftCell="A26" zoomScale="90" zoomScaleNormal="90" zoomScalePageLayoutView="70" workbookViewId="0">
      <selection activeCell="A26" sqref="A1:XFD1048576"/>
    </sheetView>
  </sheetViews>
  <sheetFormatPr defaultRowHeight="15.75" x14ac:dyDescent="0.25"/>
  <cols>
    <col min="1" max="1" width="34.25" style="1" customWidth="1"/>
    <col min="2" max="2" width="15.875" customWidth="1"/>
    <col min="3" max="3" width="19.625" customWidth="1"/>
    <col min="4" max="4" width="24.875" customWidth="1"/>
    <col min="5" max="5" width="19.625" customWidth="1"/>
    <col min="6" max="6" width="20.5" customWidth="1"/>
    <col min="7" max="7" width="10.75" customWidth="1"/>
    <col min="8" max="9" width="21.625" customWidth="1"/>
    <col min="10" max="10" width="19.25" customWidth="1"/>
    <col min="11" max="11" width="19.875" customWidth="1"/>
  </cols>
  <sheetData>
    <row r="1" spans="1:17" s="1" customFormat="1" ht="20.100000000000001" customHeight="1" thickTop="1" x14ac:dyDescent="0.3">
      <c r="A1" s="3637" t="s">
        <v>54</v>
      </c>
      <c r="B1" s="3638"/>
      <c r="C1" s="3638"/>
      <c r="D1" s="3638"/>
      <c r="E1" s="3638"/>
      <c r="F1" s="3639"/>
      <c r="G1"/>
      <c r="H1"/>
      <c r="I1"/>
      <c r="J1"/>
      <c r="K1"/>
      <c r="L1"/>
      <c r="M1"/>
      <c r="N1"/>
      <c r="O1"/>
      <c r="P1"/>
      <c r="Q1"/>
    </row>
    <row r="2" spans="1:17" s="1" customFormat="1" ht="20.100000000000001" customHeight="1" x14ac:dyDescent="0.25">
      <c r="A2" s="3635" t="s">
        <v>56</v>
      </c>
      <c r="B2" s="3612"/>
      <c r="C2" s="3612"/>
      <c r="D2" s="3612"/>
      <c r="E2" s="3612"/>
      <c r="F2" s="3636"/>
      <c r="G2"/>
      <c r="H2"/>
      <c r="I2"/>
      <c r="J2"/>
      <c r="K2"/>
      <c r="L2"/>
      <c r="M2"/>
      <c r="N2"/>
      <c r="O2"/>
      <c r="P2"/>
      <c r="Q2"/>
    </row>
    <row r="3" spans="1:17" s="1" customFormat="1" ht="20.100000000000001" customHeight="1" x14ac:dyDescent="0.25">
      <c r="A3" s="3633" t="s">
        <v>719</v>
      </c>
      <c r="B3" s="3609"/>
      <c r="C3" s="3609"/>
      <c r="D3" s="3609"/>
      <c r="E3" s="3609"/>
      <c r="F3" s="3634"/>
      <c r="G3"/>
      <c r="H3"/>
      <c r="I3"/>
      <c r="J3"/>
      <c r="K3"/>
      <c r="L3"/>
      <c r="M3"/>
      <c r="N3"/>
      <c r="O3"/>
      <c r="P3"/>
      <c r="Q3"/>
    </row>
    <row r="4" spans="1:17" s="1" customFormat="1" ht="15.75" customHeight="1" thickBot="1" x14ac:dyDescent="0.3">
      <c r="A4" s="367"/>
      <c r="B4" s="180"/>
      <c r="C4" s="180"/>
      <c r="D4" s="180"/>
      <c r="E4" s="180"/>
      <c r="F4" s="237"/>
      <c r="G4"/>
      <c r="H4"/>
      <c r="I4"/>
      <c r="J4"/>
      <c r="K4"/>
      <c r="L4"/>
      <c r="M4"/>
      <c r="N4"/>
      <c r="O4"/>
      <c r="P4"/>
      <c r="Q4"/>
    </row>
    <row r="5" spans="1:17" s="1" customFormat="1" ht="15.75" customHeight="1" x14ac:dyDescent="0.25">
      <c r="A5" s="1238" t="s">
        <v>695</v>
      </c>
      <c r="B5" s="505" t="s">
        <v>572</v>
      </c>
      <c r="C5" s="3648" t="str">
        <f>'Sch 1- Rate Base '!$E$5</f>
        <v>PacifiCorp</v>
      </c>
      <c r="D5" s="3649"/>
      <c r="E5" s="1312"/>
      <c r="F5" s="1324" t="s">
        <v>717</v>
      </c>
      <c r="G5"/>
      <c r="H5"/>
      <c r="I5"/>
      <c r="J5"/>
      <c r="K5"/>
      <c r="L5"/>
      <c r="M5"/>
      <c r="N5"/>
      <c r="O5"/>
      <c r="P5"/>
      <c r="Q5"/>
    </row>
    <row r="6" spans="1:17" s="1" customFormat="1" ht="15.75" customHeight="1" x14ac:dyDescent="0.25">
      <c r="A6" s="1233"/>
      <c r="B6" s="505" t="s">
        <v>574</v>
      </c>
      <c r="C6" s="3650">
        <f>'Sch 1- Rate Base '!$E$6</f>
        <v>2023</v>
      </c>
      <c r="D6" s="3651"/>
      <c r="E6" s="1312"/>
      <c r="F6" s="1325" t="str">
        <f>'Sch 1- Rate Base '!I6</f>
        <v/>
      </c>
      <c r="G6"/>
      <c r="H6"/>
      <c r="I6"/>
      <c r="J6"/>
      <c r="K6"/>
      <c r="L6"/>
      <c r="M6"/>
      <c r="N6"/>
      <c r="O6"/>
      <c r="P6"/>
      <c r="Q6"/>
    </row>
    <row r="7" spans="1:17" s="1" customFormat="1" ht="15.75" customHeight="1" thickBot="1" x14ac:dyDescent="0.3">
      <c r="A7" s="367"/>
      <c r="B7" s="505" t="s">
        <v>575</v>
      </c>
      <c r="C7" s="3652">
        <f>'Sch 1- Rate Base '!$E$7</f>
        <v>45446</v>
      </c>
      <c r="D7" s="3653"/>
      <c r="E7" s="1312"/>
      <c r="F7" s="1327" t="str">
        <f>'Sch 1- Rate Base '!I7</f>
        <v/>
      </c>
      <c r="G7"/>
      <c r="H7"/>
      <c r="I7"/>
      <c r="J7"/>
      <c r="K7"/>
      <c r="L7"/>
      <c r="M7"/>
      <c r="N7"/>
      <c r="O7"/>
      <c r="P7"/>
      <c r="Q7"/>
    </row>
    <row r="8" spans="1:17" s="1" customFormat="1" ht="15.75" customHeight="1" x14ac:dyDescent="0.25">
      <c r="A8" s="367"/>
      <c r="B8" s="505"/>
      <c r="C8" s="626"/>
      <c r="D8" s="180"/>
      <c r="F8" s="171"/>
      <c r="G8"/>
      <c r="H8"/>
      <c r="I8"/>
      <c r="J8"/>
      <c r="K8"/>
      <c r="L8"/>
      <c r="M8"/>
      <c r="N8"/>
      <c r="O8"/>
      <c r="P8"/>
      <c r="Q8"/>
    </row>
    <row r="9" spans="1:17" s="1" customFormat="1" ht="19.5" customHeight="1" x14ac:dyDescent="0.25">
      <c r="A9" s="3690" t="s">
        <v>66</v>
      </c>
      <c r="B9" s="3691"/>
      <c r="C9" s="3691"/>
      <c r="D9" s="3691"/>
      <c r="E9" s="3691"/>
      <c r="F9" s="3692"/>
      <c r="G9"/>
      <c r="H9"/>
      <c r="I9"/>
      <c r="J9"/>
      <c r="K9"/>
      <c r="L9"/>
      <c r="M9"/>
      <c r="N9"/>
      <c r="O9"/>
      <c r="P9"/>
      <c r="Q9"/>
    </row>
    <row r="10" spans="1:17" s="1" customFormat="1" ht="15.75" customHeight="1" thickBot="1" x14ac:dyDescent="0.3">
      <c r="A10" s="368"/>
      <c r="B10" s="369"/>
      <c r="C10" s="369"/>
      <c r="D10" s="369"/>
      <c r="E10" s="369"/>
      <c r="F10" s="370"/>
      <c r="G10"/>
      <c r="H10"/>
      <c r="I10"/>
      <c r="J10"/>
      <c r="K10"/>
      <c r="L10"/>
      <c r="M10"/>
      <c r="N10"/>
      <c r="O10"/>
      <c r="P10"/>
      <c r="Q10"/>
    </row>
    <row r="11" spans="1:17" s="1" customFormat="1" ht="16.5" thickBot="1" x14ac:dyDescent="0.3">
      <c r="A11" s="224"/>
      <c r="B11" s="90"/>
      <c r="C11" s="90"/>
      <c r="D11" s="90"/>
      <c r="E11" s="90"/>
      <c r="F11" s="223"/>
      <c r="G11"/>
      <c r="H11"/>
      <c r="I11"/>
      <c r="J11"/>
      <c r="K11"/>
      <c r="L11"/>
      <c r="M11"/>
      <c r="N11"/>
      <c r="O11"/>
      <c r="P11"/>
      <c r="Q11"/>
    </row>
    <row r="12" spans="1:17" s="1" customFormat="1" ht="16.5" thickBot="1" x14ac:dyDescent="0.3">
      <c r="A12" s="170"/>
      <c r="C12" s="305" t="s">
        <v>104</v>
      </c>
      <c r="D12" s="305" t="s">
        <v>105</v>
      </c>
      <c r="E12" s="305" t="s">
        <v>106</v>
      </c>
      <c r="F12" s="306" t="s">
        <v>351</v>
      </c>
    </row>
    <row r="13" spans="1:17" s="1" customFormat="1" ht="16.5" thickBot="1" x14ac:dyDescent="0.3">
      <c r="A13" s="163" t="s">
        <v>50</v>
      </c>
      <c r="B13" s="18"/>
      <c r="C13" s="553">
        <f>'Sch 3 - Expenses'!G100</f>
        <v>3229555827.293632</v>
      </c>
      <c r="D13" s="553">
        <f>'Sch 3 - Expenses'!H100</f>
        <v>2306462730.3009195</v>
      </c>
      <c r="E13" s="553">
        <f>'Sch 3 - Expenses'!I100</f>
        <v>0</v>
      </c>
      <c r="F13" s="554">
        <f>'Sch 3 - Expenses'!J100</f>
        <v>923118347.54036522</v>
      </c>
    </row>
    <row r="14" spans="1:17" s="1" customFormat="1" x14ac:dyDescent="0.25">
      <c r="A14" s="213" t="s">
        <v>68</v>
      </c>
      <c r="B14" s="18"/>
      <c r="C14" s="67"/>
      <c r="D14" s="67"/>
      <c r="E14" s="67"/>
      <c r="F14" s="226"/>
    </row>
    <row r="15" spans="1:17" s="1" customFormat="1" ht="16.5" thickBot="1" x14ac:dyDescent="0.3">
      <c r="A15" s="227"/>
      <c r="B15" s="18"/>
      <c r="C15" s="67"/>
      <c r="D15" s="67"/>
      <c r="E15" s="67"/>
      <c r="F15" s="226"/>
    </row>
    <row r="16" spans="1:17" s="1" customFormat="1" ht="16.5" thickBot="1" x14ac:dyDescent="0.3">
      <c r="A16" s="163" t="s">
        <v>141</v>
      </c>
      <c r="B16" s="18"/>
      <c r="C16" s="553">
        <f>IF('Sch 2 -Rate of Return'!E42&gt;0,'Sch 2 -Rate of Return'!E42,IF('Sch 2 -Rate of Return'!E98&gt;0,'Sch 2 -Rate of Return'!E98,IF('Sch 2 -Rate of Return'!E125&gt;0,'Sch 2 -Rate of Return'!E125,0)))</f>
        <v>835755641.72235751</v>
      </c>
      <c r="D16" s="553">
        <f>IF('Sch 2 -Rate of Return'!F42&gt;0,'Sch 2 -Rate of Return'!F42,IF('Sch 2 -Rate of Return'!F98&gt;0,'Sch 2 -Rate of Return'!F98,IF('Sch 2 -Rate of Return'!F125&gt;0,'Sch 2 -Rate of Return'!F125,0)))</f>
        <v>341699295.91574723</v>
      </c>
      <c r="E16" s="553">
        <f>IF('Sch 2 -Rate of Return'!G42&gt;0,'Sch 2 -Rate of Return'!G42,IF('Sch 2 -Rate of Return'!G98&gt;0,'Sch 2 -Rate of Return'!G98,IF('Sch 2 -Rate of Return'!G125&gt;0,'Sch 2 -Rate of Return'!G125,0)))</f>
        <v>2011425.3370538021</v>
      </c>
      <c r="F16" s="554">
        <f>IF('Sch 2 -Rate of Return'!H42&gt;0,'Sch 2 -Rate of Return'!H42,IF('Sch 2 -Rate of Return'!H98&gt;0,'Sch 2 -Rate of Return'!H98,IF('Sch 2 -Rate of Return'!H125&gt;0,'Sch 2 -Rate of Return'!H125,0)))</f>
        <v>491959942.95840907</v>
      </c>
    </row>
    <row r="17" spans="1:11" s="1" customFormat="1" x14ac:dyDescent="0.25">
      <c r="A17" s="213" t="s">
        <v>254</v>
      </c>
      <c r="B17" s="18"/>
      <c r="C17" s="67"/>
      <c r="D17" s="67"/>
      <c r="E17" s="67"/>
      <c r="F17" s="226"/>
    </row>
    <row r="18" spans="1:11" s="1" customFormat="1" ht="16.5" thickBot="1" x14ac:dyDescent="0.3">
      <c r="A18" s="227"/>
      <c r="B18" s="18"/>
      <c r="C18" s="67"/>
      <c r="D18" s="67"/>
      <c r="E18" s="67"/>
      <c r="F18" s="226"/>
    </row>
    <row r="19" spans="1:11" s="1" customFormat="1" ht="16.5" thickBot="1" x14ac:dyDescent="0.3">
      <c r="A19" s="163" t="s">
        <v>39</v>
      </c>
      <c r="B19" s="18"/>
      <c r="C19" s="553">
        <f>'Sch 3A - Taxes'!F31</f>
        <v>137802796.81183705</v>
      </c>
      <c r="D19" s="553">
        <f>'Sch 3A - Taxes'!G31</f>
        <v>35759725.361573324</v>
      </c>
      <c r="E19" s="553">
        <f>'Sch 3A - Taxes'!H31</f>
        <v>0</v>
      </c>
      <c r="F19" s="554">
        <f>'Sch 3A - Taxes'!I31</f>
        <v>102049351.82938071</v>
      </c>
    </row>
    <row r="20" spans="1:11" s="1" customFormat="1" x14ac:dyDescent="0.25">
      <c r="A20" s="213" t="s">
        <v>161</v>
      </c>
      <c r="B20" s="18"/>
      <c r="C20" s="67"/>
      <c r="D20" s="67"/>
      <c r="E20" s="67"/>
      <c r="F20" s="226"/>
    </row>
    <row r="21" spans="1:11" s="1" customFormat="1" ht="16.5" thickBot="1" x14ac:dyDescent="0.3">
      <c r="A21" s="227"/>
      <c r="B21" s="18"/>
      <c r="C21" s="67"/>
      <c r="D21" s="67"/>
      <c r="E21" s="67"/>
      <c r="F21" s="226"/>
    </row>
    <row r="22" spans="1:11" s="1" customFormat="1" ht="16.5" thickBot="1" x14ac:dyDescent="0.3">
      <c r="A22" s="163" t="s">
        <v>49</v>
      </c>
      <c r="B22" s="18"/>
      <c r="C22" s="553">
        <f>'Sch 3B - Other Items'!G39</f>
        <v>176856701.06279904</v>
      </c>
      <c r="D22" s="553">
        <f>'Sch 3B - Other Items'!H39</f>
        <v>94786417.434177458</v>
      </c>
      <c r="E22" s="553">
        <f>'Sch 3B - Other Items'!I39</f>
        <v>0</v>
      </c>
      <c r="F22" s="554">
        <f>'Sch 3B - Other Items'!J39</f>
        <v>82070283.628621608</v>
      </c>
    </row>
    <row r="23" spans="1:11" s="1" customFormat="1" x14ac:dyDescent="0.25">
      <c r="A23" s="213" t="s">
        <v>504</v>
      </c>
      <c r="B23" s="18"/>
      <c r="C23" s="67"/>
      <c r="D23" s="67"/>
      <c r="E23" s="67"/>
      <c r="F23" s="226"/>
    </row>
    <row r="24" spans="1:11" s="1" customFormat="1" ht="16.5" thickBot="1" x14ac:dyDescent="0.3">
      <c r="A24" s="227"/>
      <c r="B24" s="18"/>
      <c r="C24" s="67"/>
      <c r="D24" s="67"/>
      <c r="E24" s="67"/>
      <c r="F24" s="226"/>
    </row>
    <row r="25" spans="1:11" s="1" customFormat="1" ht="16.5" thickBot="1" x14ac:dyDescent="0.3">
      <c r="A25" s="163" t="s">
        <v>51</v>
      </c>
      <c r="B25" s="18"/>
      <c r="C25" s="555">
        <f>C13+C16+C19-C22</f>
        <v>4026257564.7650275</v>
      </c>
      <c r="D25" s="555">
        <f>D13+D16+D19-D22</f>
        <v>2589135334.1440625</v>
      </c>
      <c r="E25" s="555">
        <f>E13+E16+E19-E22</f>
        <v>2011425.3370538021</v>
      </c>
      <c r="F25" s="556">
        <f>F13+F16+F19-F22</f>
        <v>1435057358.6995335</v>
      </c>
    </row>
    <row r="26" spans="1:11" s="1" customFormat="1" ht="15.75" customHeight="1" x14ac:dyDescent="0.25">
      <c r="A26" s="213" t="s">
        <v>251</v>
      </c>
      <c r="B26" s="32"/>
      <c r="C26" s="51"/>
      <c r="D26" s="51"/>
      <c r="E26" s="579"/>
      <c r="F26" s="222"/>
      <c r="G26" s="9"/>
      <c r="H26" s="9"/>
      <c r="I26" s="9"/>
    </row>
    <row r="27" spans="1:11" s="1" customFormat="1" ht="15.75" customHeight="1" x14ac:dyDescent="0.25">
      <c r="A27" s="170"/>
      <c r="E27" s="580"/>
      <c r="F27" s="581"/>
    </row>
    <row r="28" spans="1:11" s="1" customFormat="1" ht="15.75" customHeight="1" thickBot="1" x14ac:dyDescent="0.3">
      <c r="A28" s="191"/>
      <c r="B28" s="216"/>
      <c r="C28" s="216"/>
      <c r="D28" s="216"/>
      <c r="E28" s="216"/>
      <c r="F28" s="217"/>
    </row>
    <row r="29" spans="1:11" s="1" customFormat="1" ht="15.75" customHeight="1" thickTop="1" x14ac:dyDescent="0.25">
      <c r="A29" s="232"/>
      <c r="B29" s="233"/>
      <c r="C29" s="233"/>
      <c r="D29" s="233"/>
      <c r="E29" s="233"/>
      <c r="F29" s="234"/>
      <c r="H29" s="15" t="s">
        <v>138</v>
      </c>
      <c r="J29" s="15" t="s">
        <v>744</v>
      </c>
      <c r="K29" s="15" t="s">
        <v>745</v>
      </c>
    </row>
    <row r="30" spans="1:11" s="1" customFormat="1" ht="15.75" customHeight="1" thickBot="1" x14ac:dyDescent="0.3">
      <c r="A30" s="170"/>
      <c r="E30" s="582"/>
      <c r="F30" s="171"/>
      <c r="H30" s="1071" t="s">
        <v>746</v>
      </c>
      <c r="I30" s="15" t="s">
        <v>139</v>
      </c>
      <c r="J30" s="15" t="s">
        <v>747</v>
      </c>
      <c r="K30" s="1071" t="s">
        <v>747</v>
      </c>
    </row>
    <row r="31" spans="1:11" s="1" customFormat="1" ht="15.75" customHeight="1" thickBot="1" x14ac:dyDescent="0.3">
      <c r="A31" s="557" t="s">
        <v>505</v>
      </c>
      <c r="B31" s="18"/>
      <c r="C31" s="51"/>
      <c r="D31" s="52"/>
      <c r="E31" s="52"/>
      <c r="F31" s="171"/>
      <c r="H31" s="15" t="s">
        <v>748</v>
      </c>
      <c r="I31" s="15" t="s">
        <v>748</v>
      </c>
      <c r="J31" s="15" t="s">
        <v>748</v>
      </c>
      <c r="K31" s="15" t="s">
        <v>748</v>
      </c>
    </row>
    <row r="32" spans="1:11" s="1" customFormat="1" ht="15.75" customHeight="1" x14ac:dyDescent="0.25">
      <c r="A32" s="228" t="s">
        <v>319</v>
      </c>
      <c r="B32" s="18"/>
      <c r="C32" s="51"/>
      <c r="D32" s="534">
        <f>D25</f>
        <v>2589135334.1440625</v>
      </c>
      <c r="E32" s="52"/>
      <c r="F32" s="3688" t="s">
        <v>714</v>
      </c>
      <c r="G32" s="19"/>
      <c r="H32" s="534">
        <f>$D$25</f>
        <v>2589135334.1440625</v>
      </c>
      <c r="I32" s="534">
        <f>$D$25</f>
        <v>2589135334.1440625</v>
      </c>
      <c r="J32" s="534">
        <f>$D$25</f>
        <v>2589135334.1440625</v>
      </c>
      <c r="K32" s="534">
        <f>$D$25</f>
        <v>2589135334.1440625</v>
      </c>
    </row>
    <row r="33" spans="1:11" s="1" customFormat="1" ht="16.5" thickBot="1" x14ac:dyDescent="0.3">
      <c r="A33" s="228" t="s">
        <v>106</v>
      </c>
      <c r="B33" s="18"/>
      <c r="C33" s="51"/>
      <c r="D33" s="535">
        <f>E25</f>
        <v>2011425.3370538021</v>
      </c>
      <c r="E33" s="52"/>
      <c r="F33" s="3689"/>
      <c r="G33"/>
      <c r="H33" s="535">
        <f>$E$25</f>
        <v>2011425.3370538021</v>
      </c>
      <c r="I33" s="535">
        <f>$E$25</f>
        <v>2011425.3370538021</v>
      </c>
      <c r="J33" s="535">
        <f>$E$25</f>
        <v>2011425.3370538021</v>
      </c>
      <c r="K33" s="535">
        <f>$E$25</f>
        <v>2011425.3370538021</v>
      </c>
    </row>
    <row r="34" spans="1:11" s="1" customFormat="1" ht="16.5" thickBot="1" x14ac:dyDescent="0.3">
      <c r="A34" s="228" t="s">
        <v>509</v>
      </c>
      <c r="B34" s="18"/>
      <c r="C34" s="51"/>
      <c r="D34" s="1544">
        <f>F34*D40</f>
        <v>0</v>
      </c>
      <c r="E34" s="1546" t="s">
        <v>243</v>
      </c>
      <c r="F34" s="1547">
        <f>'NLSL_Base_New-Calc'!AA43+'NLSL_Base_New-Calc'!AA46</f>
        <v>87.450003582037979</v>
      </c>
      <c r="G34"/>
      <c r="H34" s="535">
        <v>0</v>
      </c>
      <c r="I34" s="535">
        <f>F34*F45</f>
        <v>117913299.77984449</v>
      </c>
      <c r="J34" s="535">
        <v>0</v>
      </c>
      <c r="K34" s="535">
        <f>F34*K40</f>
        <v>117913299.77984449</v>
      </c>
    </row>
    <row r="35" spans="1:11" s="1" customFormat="1" ht="16.5" thickBot="1" x14ac:dyDescent="0.3">
      <c r="A35" s="228" t="s">
        <v>742</v>
      </c>
      <c r="B35" s="18"/>
      <c r="C35" s="51"/>
      <c r="D35" s="536">
        <f>F35*D43</f>
        <v>0</v>
      </c>
      <c r="E35" s="1546" t="s">
        <v>749</v>
      </c>
      <c r="F35" s="1547">
        <f>'Above-RHWM_Base_Calc'!AA43+'Above-RHWM_Base_Calc'!AA46</f>
        <v>73.9682832891218</v>
      </c>
      <c r="G35"/>
      <c r="H35" s="535">
        <v>0</v>
      </c>
      <c r="I35" s="535">
        <v>0</v>
      </c>
      <c r="J35" s="535">
        <f>F35*F48</f>
        <v>0</v>
      </c>
      <c r="K35" s="535">
        <f>F35*K43</f>
        <v>0</v>
      </c>
    </row>
    <row r="36" spans="1:11" s="1" customFormat="1" ht="16.5" thickBot="1" x14ac:dyDescent="0.3">
      <c r="A36" s="160" t="s">
        <v>506</v>
      </c>
      <c r="B36" s="18"/>
      <c r="C36" s="51"/>
      <c r="D36" s="555">
        <f>D32+D33-D34-D35</f>
        <v>2591146759.4811163</v>
      </c>
      <c r="E36" s="614"/>
      <c r="F36" s="910"/>
      <c r="G36"/>
      <c r="H36" s="555">
        <f>H32+H33-H34-H35</f>
        <v>2591146759.4811163</v>
      </c>
      <c r="I36" s="555">
        <f>I32+I33-I34-I35</f>
        <v>2473233459.701272</v>
      </c>
      <c r="J36" s="555">
        <f>J32+J33-J34-J35</f>
        <v>2591146759.4811163</v>
      </c>
      <c r="K36" s="555">
        <f>K32+K33-K34-K35</f>
        <v>2473233459.701272</v>
      </c>
    </row>
    <row r="37" spans="1:11" s="1" customFormat="1" ht="15.75" customHeight="1" thickBot="1" x14ac:dyDescent="0.3">
      <c r="A37" s="228"/>
      <c r="B37" s="18"/>
      <c r="C37" s="51"/>
      <c r="D37" s="72"/>
      <c r="E37" s="52"/>
      <c r="F37" s="910"/>
      <c r="G37"/>
      <c r="H37" s="72"/>
      <c r="I37" s="39"/>
      <c r="J37" s="39"/>
      <c r="K37" s="39"/>
    </row>
    <row r="38" spans="1:11" s="1" customFormat="1" ht="16.5" thickBot="1" x14ac:dyDescent="0.3">
      <c r="A38" s="557" t="s">
        <v>507</v>
      </c>
      <c r="B38" s="18"/>
      <c r="C38" s="51"/>
      <c r="D38" s="92"/>
      <c r="E38" s="92"/>
      <c r="F38" s="910"/>
      <c r="G38"/>
      <c r="H38" s="92"/>
      <c r="I38" s="39"/>
      <c r="J38" s="39"/>
      <c r="K38" s="39"/>
    </row>
    <row r="39" spans="1:11" s="1" customFormat="1" x14ac:dyDescent="0.25">
      <c r="A39" s="228" t="s">
        <v>320</v>
      </c>
      <c r="B39" s="18"/>
      <c r="C39" s="51"/>
      <c r="D39" s="1829">
        <f>'pg 304 Summary'!C18</f>
        <v>21294859</v>
      </c>
      <c r="E39" s="594"/>
      <c r="F39" s="1824"/>
      <c r="G39"/>
      <c r="H39" s="230">
        <f>D39</f>
        <v>21294859</v>
      </c>
      <c r="I39" s="230">
        <f>D39</f>
        <v>21294859</v>
      </c>
      <c r="J39" s="230">
        <f>D39</f>
        <v>21294859</v>
      </c>
      <c r="K39" s="230">
        <f>D39</f>
        <v>21294859</v>
      </c>
    </row>
    <row r="40" spans="1:11" s="1" customFormat="1" ht="16.5" thickBot="1" x14ac:dyDescent="0.3">
      <c r="A40" s="228" t="s">
        <v>321</v>
      </c>
      <c r="B40" s="18"/>
      <c r="C40" s="51"/>
      <c r="D40" s="229">
        <f>IF(F34&gt;MIN(H46,J46),F45,0)</f>
        <v>0</v>
      </c>
      <c r="E40" s="594"/>
      <c r="F40" s="1824"/>
      <c r="G40"/>
      <c r="H40" s="229">
        <v>0</v>
      </c>
      <c r="I40" s="229">
        <f>F45</f>
        <v>1348351</v>
      </c>
      <c r="J40" s="229">
        <v>0</v>
      </c>
      <c r="K40" s="229">
        <f>F45</f>
        <v>1348351</v>
      </c>
    </row>
    <row r="41" spans="1:11" s="1" customFormat="1" ht="16.5" thickBot="1" x14ac:dyDescent="0.3">
      <c r="A41" s="228" t="s">
        <v>510</v>
      </c>
      <c r="B41" s="18"/>
      <c r="C41" s="51"/>
      <c r="D41" s="229">
        <f>D39-D40</f>
        <v>21294859</v>
      </c>
      <c r="E41" s="594"/>
      <c r="F41" s="1825" t="s">
        <v>715</v>
      </c>
      <c r="G41"/>
      <c r="H41" s="229">
        <f>H39-H40</f>
        <v>21294859</v>
      </c>
      <c r="I41" s="229">
        <f>I39-I40</f>
        <v>19946508</v>
      </c>
      <c r="J41" s="229">
        <f>J39-J40</f>
        <v>21294859</v>
      </c>
      <c r="K41" s="229">
        <f>K39-K40</f>
        <v>19946508</v>
      </c>
    </row>
    <row r="42" spans="1:11" s="1" customFormat="1" ht="16.5" thickBot="1" x14ac:dyDescent="0.3">
      <c r="A42" s="228" t="s">
        <v>176</v>
      </c>
      <c r="B42" s="18"/>
      <c r="C42" s="51"/>
      <c r="D42" s="1545">
        <f>D39*F42</f>
        <v>1007459.77929</v>
      </c>
      <c r="E42" s="594"/>
      <c r="F42" s="1826">
        <f>'Distribution Loss Calc'!D27</f>
        <v>4.7309999999999998E-2</v>
      </c>
      <c r="G42"/>
      <c r="H42" s="229">
        <f>H39*F42</f>
        <v>1007459.77929</v>
      </c>
      <c r="I42" s="1545">
        <f>I39*F42</f>
        <v>1007459.77929</v>
      </c>
      <c r="J42" s="1545">
        <f>J39*F42</f>
        <v>1007459.77929</v>
      </c>
      <c r="K42" s="1545">
        <f>K39*F42</f>
        <v>1007459.77929</v>
      </c>
    </row>
    <row r="43" spans="1:11" s="1" customFormat="1" ht="16.5" thickBot="1" x14ac:dyDescent="0.3">
      <c r="A43" s="228" t="s">
        <v>743</v>
      </c>
      <c r="B43" s="18"/>
      <c r="C43" s="583"/>
      <c r="D43" s="231">
        <f>IF(F35&gt;MIN(H46,I46),F48,0)</f>
        <v>0</v>
      </c>
      <c r="E43" s="857"/>
      <c r="F43" s="1824"/>
      <c r="G43"/>
      <c r="H43" s="229">
        <v>0</v>
      </c>
      <c r="I43" s="231">
        <v>0</v>
      </c>
      <c r="J43" s="231">
        <f>F48</f>
        <v>0</v>
      </c>
      <c r="K43" s="231">
        <f>F48</f>
        <v>0</v>
      </c>
    </row>
    <row r="44" spans="1:11" s="1" customFormat="1" ht="16.5" thickBot="1" x14ac:dyDescent="0.3">
      <c r="A44" s="160" t="s">
        <v>508</v>
      </c>
      <c r="B44" s="18"/>
      <c r="C44" s="51"/>
      <c r="D44" s="559">
        <f>D41+D42-D43</f>
        <v>22302318.779289998</v>
      </c>
      <c r="E44" s="613"/>
      <c r="F44" s="1825" t="s">
        <v>750</v>
      </c>
      <c r="G44"/>
      <c r="H44" s="559">
        <f>H41+H42</f>
        <v>22302318.779289998</v>
      </c>
      <c r="I44" s="559">
        <f>I41+I42-I43</f>
        <v>20953967.779289998</v>
      </c>
      <c r="J44" s="559">
        <f>J41+J42-J43</f>
        <v>22302318.779289998</v>
      </c>
      <c r="K44" s="559">
        <f>K41+K42-K43</f>
        <v>20953967.779289998</v>
      </c>
    </row>
    <row r="45" spans="1:11" s="1" customFormat="1" ht="15.75" customHeight="1" thickBot="1" x14ac:dyDescent="0.3">
      <c r="A45" s="165"/>
      <c r="B45" s="18"/>
      <c r="C45" s="51"/>
      <c r="D45" s="56"/>
      <c r="E45" s="595"/>
      <c r="F45" s="1827">
        <v>1348351</v>
      </c>
      <c r="H45" s="56"/>
    </row>
    <row r="46" spans="1:11" s="1" customFormat="1" ht="19.5" thickBot="1" x14ac:dyDescent="0.35">
      <c r="A46" s="558" t="s">
        <v>322</v>
      </c>
      <c r="B46" s="93"/>
      <c r="C46" s="93"/>
      <c r="D46" s="858">
        <f>IF(D44=0,"$0",D36/D44)</f>
        <v>116.18284112624482</v>
      </c>
      <c r="E46" s="814"/>
      <c r="F46" s="1828"/>
      <c r="H46" s="813">
        <f>IF(H44=0,"$0",H36/H44)</f>
        <v>116.18284112624482</v>
      </c>
      <c r="I46" s="813">
        <f>IF(I44=0,"$0",I36/I44)</f>
        <v>118.03174872425402</v>
      </c>
      <c r="J46" s="813">
        <f>IF(J44=0,"$0",J36/J44)</f>
        <v>116.18284112624482</v>
      </c>
      <c r="K46" s="813">
        <f>IF(K44=0,"$0",K36/K44)</f>
        <v>118.03174872425402</v>
      </c>
    </row>
    <row r="47" spans="1:11" s="1" customFormat="1" ht="15.75" customHeight="1" thickBot="1" x14ac:dyDescent="0.35">
      <c r="A47" s="585"/>
      <c r="B47" s="93"/>
      <c r="C47" s="93"/>
      <c r="D47" s="586"/>
      <c r="E47" s="52"/>
      <c r="F47" s="1825" t="s">
        <v>751</v>
      </c>
    </row>
    <row r="48" spans="1:11" s="1" customFormat="1" ht="16.5" thickBot="1" x14ac:dyDescent="0.3">
      <c r="A48" s="160"/>
      <c r="B48" s="51"/>
      <c r="C48" s="51"/>
      <c r="D48" s="589"/>
      <c r="E48" s="52"/>
      <c r="F48" s="1827"/>
    </row>
    <row r="49" spans="1:6" s="1" customFormat="1" ht="19.5" thickBot="1" x14ac:dyDescent="0.35">
      <c r="A49" s="591"/>
      <c r="B49" s="592"/>
      <c r="C49" s="592"/>
      <c r="D49" s="593"/>
      <c r="E49" s="605"/>
      <c r="F49" s="217"/>
    </row>
    <row r="50" spans="1:6" s="1" customFormat="1" ht="19.5" thickTop="1" x14ac:dyDescent="0.3">
      <c r="A50" s="603"/>
      <c r="B50" s="93"/>
      <c r="C50" s="93"/>
      <c r="D50" s="590"/>
      <c r="E50" s="52"/>
    </row>
    <row r="51" spans="1:6" s="1" customFormat="1" ht="18.75" x14ac:dyDescent="0.3">
      <c r="A51" s="604"/>
      <c r="B51" s="93"/>
      <c r="C51" s="93"/>
      <c r="D51" s="587"/>
      <c r="E51" s="52"/>
    </row>
    <row r="52" spans="1:6" s="1" customFormat="1" ht="18.75" x14ac:dyDescent="0.3">
      <c r="A52" s="603"/>
      <c r="B52" s="93"/>
      <c r="C52" s="93"/>
      <c r="D52" s="587"/>
      <c r="E52" s="52"/>
    </row>
    <row r="53" spans="1:6" s="1" customFormat="1" x14ac:dyDescent="0.25">
      <c r="A53"/>
      <c r="B53"/>
      <c r="C53"/>
      <c r="D53"/>
      <c r="E53"/>
      <c r="F53"/>
    </row>
    <row r="54" spans="1:6" x14ac:dyDescent="0.25">
      <c r="A54" s="79"/>
    </row>
    <row r="55" spans="1:6" x14ac:dyDescent="0.25">
      <c r="A55" s="79"/>
    </row>
    <row r="56" spans="1:6" x14ac:dyDescent="0.25">
      <c r="A56" s="79"/>
    </row>
    <row r="57" spans="1:6" x14ac:dyDescent="0.25">
      <c r="A57" s="79"/>
    </row>
    <row r="67" spans="1:1" x14ac:dyDescent="0.25">
      <c r="A67"/>
    </row>
    <row r="68" spans="1:1" x14ac:dyDescent="0.25">
      <c r="A68"/>
    </row>
    <row r="69" spans="1:1" x14ac:dyDescent="0.25">
      <c r="A69"/>
    </row>
    <row r="70" spans="1:1" x14ac:dyDescent="0.25">
      <c r="A70"/>
    </row>
    <row r="71" spans="1:1" x14ac:dyDescent="0.25">
      <c r="A71"/>
    </row>
    <row r="72" spans="1:1" x14ac:dyDescent="0.25">
      <c r="A72"/>
    </row>
    <row r="73" spans="1:1" x14ac:dyDescent="0.25">
      <c r="A73"/>
    </row>
    <row r="74" spans="1:1" x14ac:dyDescent="0.25">
      <c r="A74"/>
    </row>
    <row r="75" spans="1:1" x14ac:dyDescent="0.25">
      <c r="A75"/>
    </row>
    <row r="76" spans="1:1" x14ac:dyDescent="0.25">
      <c r="A76"/>
    </row>
    <row r="77" spans="1:1" x14ac:dyDescent="0.25">
      <c r="A77"/>
    </row>
    <row r="78" spans="1:1" x14ac:dyDescent="0.25">
      <c r="A78"/>
    </row>
    <row r="79" spans="1:1" x14ac:dyDescent="0.25">
      <c r="A79"/>
    </row>
  </sheetData>
  <mergeCells count="8">
    <mergeCell ref="F32:F33"/>
    <mergeCell ref="A1:F1"/>
    <mergeCell ref="A2:F2"/>
    <mergeCell ref="A3:F3"/>
    <mergeCell ref="A9:F9"/>
    <mergeCell ref="C5:D5"/>
    <mergeCell ref="C6:D6"/>
    <mergeCell ref="C7:D7"/>
  </mergeCells>
  <phoneticPr fontId="0" type="noConversion"/>
  <hyperlinks>
    <hyperlink ref="A5" location="TOC!A1" display="TOC" xr:uid="{00000000-0004-0000-0800-000000000000}"/>
  </hyperlinks>
  <printOptions horizontalCentered="1" headings="1"/>
  <pageMargins left="0.5" right="0.5" top="1" bottom="0.8" header="0.25" footer="0.25"/>
  <pageSetup scale="75" orientation="landscape" r:id="rId1"/>
  <headerFooter alignWithMargins="0">
    <oddFooter>&amp;LFY 2026-2028 ASC Filing&amp;CPage &amp;P of &amp;N&amp;R&amp;A
&amp;D</oddFooter>
  </headerFooter>
  <rowBreaks count="1" manualBreakCount="1">
    <brk id="28" max="5" man="1"/>
  </rowBreaks>
  <customProperties>
    <customPr name="_pios_id" r:id="rId2"/>
  </customPropertie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6">
    <tabColor indexed="15"/>
  </sheetPr>
  <dimension ref="A1:W88"/>
  <sheetViews>
    <sheetView zoomScale="75" zoomScaleNormal="75" workbookViewId="0">
      <selection sqref="A1:XFD1048576"/>
    </sheetView>
  </sheetViews>
  <sheetFormatPr defaultRowHeight="15.75" x14ac:dyDescent="0.25"/>
  <cols>
    <col min="1" max="1" width="3" customWidth="1"/>
    <col min="2" max="2" width="13.75" customWidth="1"/>
    <col min="4" max="4" width="18.75" customWidth="1"/>
    <col min="5" max="5" width="18.625" customWidth="1"/>
    <col min="6" max="6" width="9.5" customWidth="1"/>
    <col min="7" max="8" width="18.625" customWidth="1"/>
    <col min="9" max="9" width="8.25" customWidth="1"/>
    <col min="10" max="10" width="18.625" customWidth="1"/>
    <col min="11" max="11" width="18.75" customWidth="1"/>
    <col min="13" max="13" width="19.75" customWidth="1"/>
    <col min="14" max="14" width="6" customWidth="1"/>
    <col min="15" max="15" width="16.25" customWidth="1"/>
    <col min="16" max="16" width="14.5" customWidth="1"/>
    <col min="17" max="17" width="9.125" customWidth="1"/>
    <col min="18" max="18" width="16.25" bestFit="1" customWidth="1"/>
    <col min="19" max="19" width="13.625" bestFit="1" customWidth="1"/>
    <col min="20" max="20" width="12.5" customWidth="1"/>
    <col min="21" max="21" width="13.625" bestFit="1" customWidth="1"/>
    <col min="22" max="22" width="11.5" customWidth="1"/>
    <col min="23" max="23" width="11.125" customWidth="1"/>
  </cols>
  <sheetData>
    <row r="1" spans="1:23" ht="19.5" thickTop="1" x14ac:dyDescent="0.3">
      <c r="A1" s="3637" t="s">
        <v>54</v>
      </c>
      <c r="B1" s="3638"/>
      <c r="C1" s="3638"/>
      <c r="D1" s="3638"/>
      <c r="E1" s="3638"/>
      <c r="F1" s="3638"/>
      <c r="G1" s="3638"/>
      <c r="H1" s="3638"/>
      <c r="I1" s="3638"/>
      <c r="J1" s="3638"/>
      <c r="K1" s="3639"/>
    </row>
    <row r="2" spans="1:23" x14ac:dyDescent="0.25">
      <c r="A2" s="3635" t="s">
        <v>56</v>
      </c>
      <c r="B2" s="3612"/>
      <c r="C2" s="3612"/>
      <c r="D2" s="3612"/>
      <c r="E2" s="3612"/>
      <c r="F2" s="3612"/>
      <c r="G2" s="3612"/>
      <c r="H2" s="3612"/>
      <c r="I2" s="3612"/>
      <c r="J2" s="3612"/>
      <c r="K2" s="3636"/>
    </row>
    <row r="3" spans="1:23" ht="20.25" customHeight="1" thickBot="1" x14ac:dyDescent="0.3">
      <c r="A3" s="3633" t="s">
        <v>719</v>
      </c>
      <c r="B3" s="3609"/>
      <c r="C3" s="3609"/>
      <c r="D3" s="3609"/>
      <c r="E3" s="3609"/>
      <c r="F3" s="3609"/>
      <c r="G3" s="3609"/>
      <c r="H3" s="3609"/>
      <c r="I3" s="3609"/>
      <c r="J3" s="3609"/>
      <c r="K3" s="3634"/>
    </row>
    <row r="4" spans="1:23" x14ac:dyDescent="0.25">
      <c r="A4" s="367"/>
      <c r="B4" s="180"/>
      <c r="F4" s="505" t="s">
        <v>572</v>
      </c>
      <c r="G4" s="3648" t="str">
        <f>'Sch 1- Rate Base '!$E$5</f>
        <v>PacifiCorp</v>
      </c>
      <c r="H4" s="3649"/>
      <c r="I4" s="3656"/>
      <c r="K4" s="1324" t="s">
        <v>717</v>
      </c>
      <c r="M4" s="194"/>
      <c r="N4" s="194"/>
      <c r="O4" s="194"/>
      <c r="P4" s="194"/>
      <c r="Q4" s="194"/>
      <c r="R4" s="194"/>
      <c r="S4" s="194"/>
      <c r="T4" s="194"/>
      <c r="U4" s="194"/>
      <c r="V4" s="194"/>
      <c r="W4" s="194"/>
    </row>
    <row r="5" spans="1:23" x14ac:dyDescent="0.25">
      <c r="A5" s="340"/>
      <c r="B5" s="1236" t="s">
        <v>695</v>
      </c>
      <c r="F5" s="505" t="s">
        <v>574</v>
      </c>
      <c r="G5" s="3650">
        <f>'Sch 1- Rate Base '!$E$6</f>
        <v>2023</v>
      </c>
      <c r="H5" s="3651"/>
      <c r="I5" s="3657"/>
      <c r="J5" s="625"/>
      <c r="K5" s="1325" t="str">
        <f>'Sch 1- Rate Base '!I6</f>
        <v/>
      </c>
      <c r="M5" s="1163"/>
      <c r="N5" s="777"/>
      <c r="O5" s="777"/>
      <c r="P5" s="777"/>
      <c r="Q5" s="777"/>
      <c r="R5" s="777"/>
      <c r="S5" s="777"/>
      <c r="T5" s="777"/>
      <c r="U5" s="777"/>
      <c r="V5" s="777"/>
      <c r="W5" s="194"/>
    </row>
    <row r="6" spans="1:23" ht="16.5" thickBot="1" x14ac:dyDescent="0.3">
      <c r="A6" s="340"/>
      <c r="F6" s="505" t="s">
        <v>575</v>
      </c>
      <c r="G6" s="3652">
        <f>'Sch 1- Rate Base '!$E$7</f>
        <v>45446</v>
      </c>
      <c r="H6" s="3654"/>
      <c r="I6" s="3655"/>
      <c r="J6" s="625"/>
      <c r="K6" s="1327" t="str">
        <f>'Sch 1- Rate Base '!I7</f>
        <v/>
      </c>
      <c r="M6" s="1163"/>
      <c r="N6" s="777"/>
      <c r="O6" s="777"/>
      <c r="P6" s="777"/>
      <c r="Q6" s="777"/>
      <c r="R6" s="777"/>
      <c r="S6" s="777"/>
      <c r="T6" s="777"/>
      <c r="U6" s="777"/>
    </row>
    <row r="7" spans="1:23" ht="16.5" thickBot="1" x14ac:dyDescent="0.3">
      <c r="A7" s="3690" t="s">
        <v>222</v>
      </c>
      <c r="B7" s="3691"/>
      <c r="C7" s="3691"/>
      <c r="D7" s="3691"/>
      <c r="E7" s="3691"/>
      <c r="F7" s="3691"/>
      <c r="G7" s="3691"/>
      <c r="H7" s="3691"/>
      <c r="I7" s="3691"/>
      <c r="J7" s="3691"/>
      <c r="K7" s="3692"/>
      <c r="M7" s="194"/>
      <c r="N7" s="194"/>
      <c r="O7" s="194"/>
      <c r="P7" s="194"/>
      <c r="Q7" s="194"/>
      <c r="R7" s="194"/>
      <c r="S7" s="194"/>
      <c r="T7" s="194"/>
      <c r="U7" s="194"/>
    </row>
    <row r="8" spans="1:23" ht="16.5" customHeight="1" thickBot="1" x14ac:dyDescent="0.3">
      <c r="A8" s="342"/>
      <c r="B8" s="327" t="s">
        <v>276</v>
      </c>
      <c r="C8" s="315"/>
      <c r="D8" s="3701" t="s">
        <v>200</v>
      </c>
      <c r="E8" s="3702"/>
      <c r="F8" s="3721"/>
      <c r="G8" s="3722" t="s">
        <v>218</v>
      </c>
      <c r="H8" s="3723"/>
      <c r="I8" s="3721"/>
      <c r="J8" s="3725" t="s">
        <v>219</v>
      </c>
      <c r="K8" s="3726"/>
      <c r="M8" s="1164"/>
      <c r="N8" s="1165"/>
      <c r="O8" s="1165"/>
      <c r="R8" s="1166"/>
      <c r="S8" s="1165"/>
      <c r="T8" s="1165"/>
      <c r="U8" s="1165"/>
    </row>
    <row r="9" spans="1:23" ht="16.5" thickBot="1" x14ac:dyDescent="0.3">
      <c r="A9" s="340"/>
      <c r="B9" s="322" t="s">
        <v>549</v>
      </c>
      <c r="C9" s="1186" t="s">
        <v>272</v>
      </c>
      <c r="D9" s="3699"/>
      <c r="E9" s="3700"/>
      <c r="F9" s="3717"/>
      <c r="G9" s="3715"/>
      <c r="H9" s="3720"/>
      <c r="I9" s="3717"/>
      <c r="J9" s="3727"/>
      <c r="K9" s="3728"/>
      <c r="M9" s="1164"/>
      <c r="O9" s="1167"/>
      <c r="R9" s="1167"/>
      <c r="S9" s="1167"/>
      <c r="T9" s="1166"/>
      <c r="U9" s="1167"/>
    </row>
    <row r="10" spans="1:23" ht="16.5" thickBot="1" x14ac:dyDescent="0.3">
      <c r="A10" s="343"/>
      <c r="B10" s="323" t="s">
        <v>548</v>
      </c>
      <c r="C10" s="344" t="s">
        <v>273</v>
      </c>
      <c r="D10" s="1189" t="s">
        <v>185</v>
      </c>
      <c r="E10" s="345" t="s">
        <v>186</v>
      </c>
      <c r="F10" s="3717"/>
      <c r="G10" s="345" t="s">
        <v>185</v>
      </c>
      <c r="H10" s="345" t="s">
        <v>186</v>
      </c>
      <c r="I10" s="3717"/>
      <c r="J10" s="345" t="s">
        <v>185</v>
      </c>
      <c r="K10" s="1216" t="s">
        <v>186</v>
      </c>
      <c r="M10" s="1164"/>
      <c r="N10" s="1165"/>
      <c r="O10" s="1165"/>
      <c r="R10" s="1165"/>
      <c r="S10" s="1167"/>
      <c r="T10" s="1165"/>
      <c r="U10" s="1165"/>
    </row>
    <row r="11" spans="1:23" x14ac:dyDescent="0.25">
      <c r="A11" s="340"/>
      <c r="B11" s="492" t="s">
        <v>187</v>
      </c>
      <c r="C11" s="1187" t="s">
        <v>199</v>
      </c>
      <c r="D11" s="1190">
        <f>D41*$F$21</f>
        <v>0</v>
      </c>
      <c r="E11" s="3583">
        <f>E41*$F$21</f>
        <v>0</v>
      </c>
      <c r="F11" s="611"/>
      <c r="G11" s="1190">
        <f>G41*$I$21</f>
        <v>0</v>
      </c>
      <c r="H11" s="3583">
        <f>H41*$I$21</f>
        <v>0</v>
      </c>
      <c r="I11" s="630"/>
      <c r="J11" s="607">
        <f>J41*$L$21</f>
        <v>0</v>
      </c>
      <c r="K11" s="3584">
        <f>K41*$L$21</f>
        <v>0</v>
      </c>
      <c r="M11" s="1164"/>
      <c r="N11" s="1164"/>
      <c r="O11" s="1168"/>
      <c r="P11" s="1168"/>
      <c r="R11" s="1168"/>
      <c r="S11" s="1168"/>
      <c r="U11" s="1168"/>
    </row>
    <row r="12" spans="1:23" x14ac:dyDescent="0.25">
      <c r="A12" s="340"/>
      <c r="B12" s="493" t="s">
        <v>188</v>
      </c>
      <c r="C12" s="1188" t="s">
        <v>199</v>
      </c>
      <c r="D12" s="1190">
        <f t="shared" ref="D12:E20" si="0">D42*$F$21</f>
        <v>454578.44152403536</v>
      </c>
      <c r="E12" s="3585">
        <f t="shared" si="0"/>
        <v>9599.990214238027</v>
      </c>
      <c r="F12" s="611"/>
      <c r="G12" s="1190">
        <f t="shared" ref="G12:H20" si="1">G42*$I$21</f>
        <v>913525.79105872381</v>
      </c>
      <c r="H12" s="3585">
        <f t="shared" si="1"/>
        <v>17904.852699980216</v>
      </c>
      <c r="I12" s="630"/>
      <c r="J12" s="1190">
        <f t="shared" ref="J12:K20" si="2">J42*$L$21</f>
        <v>17735284.069028676</v>
      </c>
      <c r="K12" s="3586">
        <f t="shared" si="2"/>
        <v>249447.32474377454</v>
      </c>
      <c r="M12" s="1164"/>
      <c r="N12" s="1164"/>
      <c r="O12" s="1169"/>
      <c r="P12" s="1170"/>
      <c r="R12" s="1169"/>
      <c r="S12" s="1170"/>
      <c r="U12" s="1169"/>
    </row>
    <row r="13" spans="1:23" x14ac:dyDescent="0.25">
      <c r="A13" s="340"/>
      <c r="B13" s="493" t="s">
        <v>189</v>
      </c>
      <c r="C13" s="1188" t="s">
        <v>199</v>
      </c>
      <c r="D13" s="1190">
        <f t="shared" si="0"/>
        <v>12664732.527268868</v>
      </c>
      <c r="E13" s="3585">
        <f t="shared" si="0"/>
        <v>0</v>
      </c>
      <c r="F13" s="611"/>
      <c r="G13" s="1190">
        <f t="shared" si="1"/>
        <v>0</v>
      </c>
      <c r="H13" s="3585">
        <f t="shared" si="1"/>
        <v>0</v>
      </c>
      <c r="I13" s="630"/>
      <c r="J13" s="1190">
        <f t="shared" si="2"/>
        <v>0</v>
      </c>
      <c r="K13" s="3586">
        <f t="shared" si="2"/>
        <v>0</v>
      </c>
      <c r="M13" s="1164"/>
      <c r="N13" s="1164"/>
      <c r="O13" s="1169"/>
      <c r="P13" s="1170"/>
      <c r="R13" s="1169"/>
      <c r="S13" s="1170"/>
      <c r="U13" s="1169"/>
    </row>
    <row r="14" spans="1:23" x14ac:dyDescent="0.25">
      <c r="A14" s="340"/>
      <c r="B14" s="493" t="s">
        <v>190</v>
      </c>
      <c r="C14" s="1188" t="s">
        <v>199</v>
      </c>
      <c r="D14" s="1190">
        <f t="shared" si="0"/>
        <v>571601614.6090368</v>
      </c>
      <c r="E14" s="3585">
        <f t="shared" si="0"/>
        <v>5019348.8892841516</v>
      </c>
      <c r="F14" s="611"/>
      <c r="G14" s="1190">
        <f t="shared" si="1"/>
        <v>507489961.01018691</v>
      </c>
      <c r="H14" s="3585">
        <f t="shared" si="1"/>
        <v>5460472.6563595803</v>
      </c>
      <c r="I14" s="630"/>
      <c r="J14" s="1190">
        <f t="shared" si="2"/>
        <v>194568985.31045714</v>
      </c>
      <c r="K14" s="3586">
        <f t="shared" si="2"/>
        <v>2784644.6545046684</v>
      </c>
      <c r="M14" s="1164"/>
      <c r="N14" s="1164"/>
      <c r="O14" s="1169"/>
      <c r="P14" s="1170"/>
      <c r="R14" s="1169"/>
      <c r="S14" s="1170"/>
      <c r="U14" s="1169"/>
    </row>
    <row r="15" spans="1:23" x14ac:dyDescent="0.25">
      <c r="A15" s="340"/>
      <c r="B15" s="493" t="s">
        <v>191</v>
      </c>
      <c r="C15" s="1188" t="s">
        <v>199</v>
      </c>
      <c r="D15" s="1190">
        <f t="shared" si="0"/>
        <v>296620053.14430243</v>
      </c>
      <c r="E15" s="3585">
        <f t="shared" si="0"/>
        <v>5926438.8388003446</v>
      </c>
      <c r="F15" s="611"/>
      <c r="G15" s="1190">
        <f t="shared" si="1"/>
        <v>339543709.29050183</v>
      </c>
      <c r="H15" s="3585">
        <f t="shared" si="1"/>
        <v>6499442.1630266206</v>
      </c>
      <c r="I15" s="630"/>
      <c r="J15" s="1190">
        <f t="shared" si="2"/>
        <v>217206816.10056743</v>
      </c>
      <c r="K15" s="3586">
        <f t="shared" si="2"/>
        <v>4233087.9941604529</v>
      </c>
      <c r="M15" s="1164"/>
      <c r="N15" s="1164"/>
      <c r="O15" s="1169"/>
      <c r="P15" s="1170"/>
      <c r="R15" s="1169"/>
      <c r="S15" s="1170"/>
      <c r="U15" s="1169"/>
    </row>
    <row r="16" spans="1:23" x14ac:dyDescent="0.25">
      <c r="A16" s="340"/>
      <c r="B16" s="493" t="s">
        <v>192</v>
      </c>
      <c r="C16" s="1188" t="s">
        <v>199</v>
      </c>
      <c r="D16" s="1190">
        <f t="shared" si="0"/>
        <v>10894003.112283314</v>
      </c>
      <c r="E16" s="3585">
        <f t="shared" si="0"/>
        <v>91826.073543951716</v>
      </c>
      <c r="F16" s="611"/>
      <c r="G16" s="1190">
        <f t="shared" si="1"/>
        <v>24779746.099457525</v>
      </c>
      <c r="H16" s="3585">
        <f t="shared" si="1"/>
        <v>98633.885870530998</v>
      </c>
      <c r="I16" s="630"/>
      <c r="J16" s="1190">
        <f t="shared" si="2"/>
        <v>16157744.690808602</v>
      </c>
      <c r="K16" s="3586">
        <f t="shared" si="2"/>
        <v>67443.508961383443</v>
      </c>
      <c r="M16" s="1164"/>
      <c r="N16" s="1164"/>
      <c r="O16" s="1169"/>
      <c r="P16" s="1170"/>
      <c r="R16" s="1169"/>
      <c r="S16" s="1170"/>
      <c r="U16" s="1169"/>
    </row>
    <row r="17" spans="1:21" x14ac:dyDescent="0.25">
      <c r="A17" s="340"/>
      <c r="B17" s="493" t="s">
        <v>193</v>
      </c>
      <c r="C17" s="1188" t="s">
        <v>199</v>
      </c>
      <c r="D17" s="1190">
        <f t="shared" si="0"/>
        <v>605133.21600972908</v>
      </c>
      <c r="E17" s="3585">
        <f t="shared" si="0"/>
        <v>0</v>
      </c>
      <c r="F17" s="611"/>
      <c r="G17" s="1190">
        <f t="shared" si="1"/>
        <v>413135.67385860963</v>
      </c>
      <c r="H17" s="3585">
        <f t="shared" si="1"/>
        <v>0</v>
      </c>
      <c r="I17" s="630"/>
      <c r="J17" s="1190">
        <f t="shared" si="2"/>
        <v>-27358.068101643712</v>
      </c>
      <c r="K17" s="3586">
        <f t="shared" si="2"/>
        <v>0</v>
      </c>
      <c r="M17" s="1164"/>
      <c r="N17" s="1164"/>
      <c r="O17" s="1169"/>
      <c r="P17" s="1170"/>
      <c r="R17" s="1169"/>
      <c r="S17" s="1170"/>
      <c r="U17" s="1169"/>
    </row>
    <row r="18" spans="1:21" x14ac:dyDescent="0.25">
      <c r="A18" s="340"/>
      <c r="B18" s="493" t="s">
        <v>194</v>
      </c>
      <c r="C18" s="1188" t="s">
        <v>199</v>
      </c>
      <c r="D18" s="1190">
        <f t="shared" si="0"/>
        <v>-11809290.094750287</v>
      </c>
      <c r="E18" s="3585">
        <f t="shared" si="0"/>
        <v>0</v>
      </c>
      <c r="F18" s="611"/>
      <c r="G18" s="1190">
        <f t="shared" si="1"/>
        <v>-184201440.31583673</v>
      </c>
      <c r="H18" s="3585">
        <f t="shared" si="1"/>
        <v>0</v>
      </c>
      <c r="I18" s="630"/>
      <c r="J18" s="1190">
        <f t="shared" si="2"/>
        <v>-76330420.505591825</v>
      </c>
      <c r="K18" s="3586">
        <f t="shared" si="2"/>
        <v>0</v>
      </c>
      <c r="M18" s="1164"/>
      <c r="N18" s="1164"/>
      <c r="O18" s="1169"/>
      <c r="P18" s="1170"/>
      <c r="R18" s="1169"/>
      <c r="S18" s="1170"/>
      <c r="U18" s="1169"/>
    </row>
    <row r="19" spans="1:21" x14ac:dyDescent="0.25">
      <c r="A19" s="340"/>
      <c r="B19" s="493" t="s">
        <v>195</v>
      </c>
      <c r="C19" s="1188" t="s">
        <v>199</v>
      </c>
      <c r="D19" s="1190">
        <f t="shared" si="0"/>
        <v>0</v>
      </c>
      <c r="E19" s="3585">
        <f t="shared" si="0"/>
        <v>0</v>
      </c>
      <c r="F19" s="611"/>
      <c r="G19" s="1190">
        <f t="shared" si="1"/>
        <v>0</v>
      </c>
      <c r="H19" s="3585">
        <f t="shared" si="1"/>
        <v>0</v>
      </c>
      <c r="I19" s="630"/>
      <c r="J19" s="1190">
        <f t="shared" si="2"/>
        <v>0</v>
      </c>
      <c r="K19" s="3586">
        <f t="shared" si="2"/>
        <v>0</v>
      </c>
      <c r="M19" s="1164"/>
      <c r="N19" s="1164"/>
      <c r="O19" s="1169"/>
      <c r="P19" s="1170"/>
      <c r="R19" s="1169"/>
      <c r="S19" s="1170"/>
      <c r="U19" s="1169"/>
    </row>
    <row r="20" spans="1:21" x14ac:dyDescent="0.25">
      <c r="A20" s="340"/>
      <c r="B20" s="493" t="s">
        <v>196</v>
      </c>
      <c r="C20" s="1188" t="s">
        <v>199</v>
      </c>
      <c r="D20" s="1190">
        <f t="shared" si="0"/>
        <v>1682070.7541591024</v>
      </c>
      <c r="E20" s="3585">
        <f t="shared" si="0"/>
        <v>70920.657774182269</v>
      </c>
      <c r="F20" s="611"/>
      <c r="G20" s="1190">
        <f t="shared" si="1"/>
        <v>-1896042.2364654369</v>
      </c>
      <c r="H20" s="3585">
        <f t="shared" si="1"/>
        <v>4645.5136120085681</v>
      </c>
      <c r="I20" s="630"/>
      <c r="J20" s="1190">
        <f t="shared" si="2"/>
        <v>1052801.5775905936</v>
      </c>
      <c r="K20" s="3586">
        <f t="shared" si="2"/>
        <v>3656.3236425181949</v>
      </c>
      <c r="M20" s="1164"/>
      <c r="N20" s="1164"/>
      <c r="O20" s="1169"/>
      <c r="P20" s="1170"/>
      <c r="R20" s="1169"/>
      <c r="S20" s="1170"/>
      <c r="U20" s="1169"/>
    </row>
    <row r="21" spans="1:21" x14ac:dyDescent="0.25">
      <c r="A21" s="340"/>
      <c r="B21" s="3703" t="s">
        <v>197</v>
      </c>
      <c r="C21" s="3704"/>
      <c r="D21" s="1531">
        <f>SUM(D11:D20)</f>
        <v>882712895.7098341</v>
      </c>
      <c r="E21" s="612">
        <f>SUM(E11:E20)</f>
        <v>11118134.449616866</v>
      </c>
      <c r="F21" s="3587">
        <f>('B2-O&amp;M'!G839+'B2-O&amp;M'!H839+'B2-O&amp;M'!I839)/'B2-O&amp;M'!F839</f>
        <v>0.61479284112955668</v>
      </c>
      <c r="G21" s="1531">
        <f>SUM(G11:G20)</f>
        <v>687042595.31276155</v>
      </c>
      <c r="H21" s="612">
        <f>SUM(H11:H20)</f>
        <v>12081099.07156872</v>
      </c>
      <c r="I21" s="3588">
        <v>0.6455688732641145</v>
      </c>
      <c r="J21" s="1531">
        <f>SUM(J11:J20)</f>
        <v>370363853.17475897</v>
      </c>
      <c r="K21" s="1218">
        <f>SUM(K11:K20)</f>
        <v>7338279.8060127981</v>
      </c>
      <c r="L21" s="1135">
        <v>0.45006445624300773</v>
      </c>
      <c r="M21" s="1164"/>
      <c r="N21" s="1164"/>
      <c r="O21" s="1169"/>
      <c r="R21" s="1169"/>
      <c r="S21" s="1170"/>
      <c r="T21" s="1168"/>
      <c r="U21" s="1169"/>
    </row>
    <row r="22" spans="1:21" ht="16.5" thickBot="1" x14ac:dyDescent="0.3">
      <c r="A22" s="340"/>
      <c r="C22" s="1"/>
      <c r="D22" s="1191"/>
      <c r="E22" s="609"/>
      <c r="F22" s="611"/>
      <c r="G22" s="608"/>
      <c r="H22" s="609"/>
      <c r="I22" s="611"/>
      <c r="J22" s="608"/>
      <c r="K22" s="219"/>
      <c r="M22" s="1164"/>
      <c r="N22" s="1164"/>
      <c r="O22" s="1169"/>
      <c r="R22" s="1169"/>
      <c r="S22" s="1170"/>
      <c r="T22" s="1168"/>
      <c r="U22" s="1169"/>
    </row>
    <row r="23" spans="1:21" ht="16.5" thickBot="1" x14ac:dyDescent="0.3">
      <c r="A23" s="342"/>
      <c r="B23" s="327" t="s">
        <v>276</v>
      </c>
      <c r="C23" s="315"/>
      <c r="D23" s="3697" t="s">
        <v>64</v>
      </c>
      <c r="E23" s="3698"/>
      <c r="F23" s="3717"/>
      <c r="G23" s="3718" t="s">
        <v>220</v>
      </c>
      <c r="H23" s="3719"/>
      <c r="I23" s="3717"/>
      <c r="J23" s="3718" t="s">
        <v>221</v>
      </c>
      <c r="K23" s="3724"/>
      <c r="M23" s="1164"/>
      <c r="N23" s="1164"/>
      <c r="O23" s="1169"/>
      <c r="R23" s="1169"/>
      <c r="S23" s="1170"/>
      <c r="T23" s="1168"/>
      <c r="U23" s="1169"/>
    </row>
    <row r="24" spans="1:21" ht="16.5" thickBot="1" x14ac:dyDescent="0.3">
      <c r="A24" s="340"/>
      <c r="B24" s="322" t="s">
        <v>549</v>
      </c>
      <c r="C24" s="1186" t="s">
        <v>272</v>
      </c>
      <c r="D24" s="3699"/>
      <c r="E24" s="3700"/>
      <c r="F24" s="3717"/>
      <c r="G24" s="3715"/>
      <c r="H24" s="3720"/>
      <c r="I24" s="3717"/>
      <c r="J24" s="3715"/>
      <c r="K24" s="3716"/>
      <c r="M24" s="1164"/>
      <c r="N24" s="1164"/>
      <c r="O24" s="1169"/>
      <c r="R24" s="1169"/>
      <c r="S24" s="1170"/>
      <c r="T24" s="1168"/>
      <c r="U24" s="1169"/>
    </row>
    <row r="25" spans="1:21" ht="16.5" thickBot="1" x14ac:dyDescent="0.3">
      <c r="A25" s="343"/>
      <c r="B25" s="323" t="s">
        <v>548</v>
      </c>
      <c r="C25" s="344" t="s">
        <v>273</v>
      </c>
      <c r="D25" s="1189" t="s">
        <v>185</v>
      </c>
      <c r="E25" s="345" t="s">
        <v>522</v>
      </c>
      <c r="F25" s="3717"/>
      <c r="G25" s="345" t="s">
        <v>185</v>
      </c>
      <c r="H25" s="345" t="s">
        <v>522</v>
      </c>
      <c r="I25" s="3717"/>
      <c r="J25" s="345" t="s">
        <v>185</v>
      </c>
      <c r="K25" s="1216" t="s">
        <v>522</v>
      </c>
      <c r="M25" s="1164"/>
      <c r="N25" s="1164"/>
      <c r="O25" s="1169"/>
      <c r="R25" s="1169"/>
      <c r="S25" s="1170"/>
      <c r="T25" s="1168"/>
      <c r="U25" s="1169"/>
    </row>
    <row r="26" spans="1:21" x14ac:dyDescent="0.25">
      <c r="A26" s="340"/>
      <c r="B26" s="492" t="s">
        <v>187</v>
      </c>
      <c r="C26" s="1187" t="s">
        <v>198</v>
      </c>
      <c r="D26" s="1190">
        <f>D56*$F$36</f>
        <v>5888933.4008044535</v>
      </c>
      <c r="E26" s="3583">
        <f>E56*$F$36</f>
        <v>113303.77957213527</v>
      </c>
      <c r="F26" s="611"/>
      <c r="G26" s="1190">
        <f>G56*$I$36</f>
        <v>5185165.3758275695</v>
      </c>
      <c r="H26" s="3583">
        <f>H56*$I$36</f>
        <v>104946.5673749118</v>
      </c>
      <c r="I26" s="630"/>
      <c r="J26" s="607">
        <f>J56*$L$36</f>
        <v>4994007.3953789761</v>
      </c>
      <c r="K26" s="1219">
        <f>K56*$L$36</f>
        <v>105140.98685529752</v>
      </c>
      <c r="L26" s="631"/>
      <c r="M26" s="1164"/>
      <c r="N26" s="1164"/>
      <c r="O26" s="1169"/>
      <c r="P26" s="1170"/>
      <c r="R26" s="1169"/>
      <c r="S26" s="1170"/>
      <c r="U26" s="1169"/>
    </row>
    <row r="27" spans="1:21" x14ac:dyDescent="0.25">
      <c r="A27" s="340"/>
      <c r="B27" s="493" t="s">
        <v>188</v>
      </c>
      <c r="C27" s="1188" t="s">
        <v>198</v>
      </c>
      <c r="D27" s="1190">
        <f t="shared" ref="D27:E35" si="3">D57*$F$36</f>
        <v>3640370.6575538237</v>
      </c>
      <c r="E27" s="3589">
        <f t="shared" si="3"/>
        <v>122914.76709190517</v>
      </c>
      <c r="G27" s="1190">
        <f t="shared" ref="G27:H35" si="4">G57*$I$36</f>
        <v>3779447.4477295196</v>
      </c>
      <c r="H27" s="3589">
        <f t="shared" si="4"/>
        <v>131380.79771688103</v>
      </c>
      <c r="I27" s="631"/>
      <c r="J27" s="422">
        <f t="shared" ref="J27:K35" si="5">J57*$L$36</f>
        <v>3387549.7379587055</v>
      </c>
      <c r="K27" s="266">
        <f t="shared" si="5"/>
        <v>129065.64905093046</v>
      </c>
      <c r="L27" s="631"/>
      <c r="M27" s="1164"/>
      <c r="N27" s="1164"/>
      <c r="O27" s="1169"/>
      <c r="P27" s="1170"/>
      <c r="R27" s="1169"/>
      <c r="S27" s="1170"/>
      <c r="U27" s="1169"/>
    </row>
    <row r="28" spans="1:21" x14ac:dyDescent="0.25">
      <c r="A28" s="340"/>
      <c r="B28" s="493" t="s">
        <v>189</v>
      </c>
      <c r="C28" s="1188" t="s">
        <v>198</v>
      </c>
      <c r="D28" s="1190">
        <f t="shared" si="3"/>
        <v>3976220.3368808939</v>
      </c>
      <c r="E28" s="3589">
        <f t="shared" si="3"/>
        <v>113360.06377524807</v>
      </c>
      <c r="G28" s="1190">
        <f t="shared" si="4"/>
        <v>507598.89936428826</v>
      </c>
      <c r="H28" s="3589">
        <f t="shared" si="4"/>
        <v>22175.99658395326</v>
      </c>
      <c r="I28" s="631"/>
      <c r="J28" s="422">
        <f t="shared" si="5"/>
        <v>5962.6888680422326</v>
      </c>
      <c r="K28" s="266">
        <f t="shared" si="5"/>
        <v>101.81028232286111</v>
      </c>
      <c r="L28" s="631"/>
      <c r="M28" s="1164"/>
      <c r="N28" s="1164"/>
      <c r="O28" s="1169"/>
      <c r="P28" s="1170"/>
      <c r="R28" s="1169"/>
      <c r="S28" s="1170"/>
      <c r="U28" s="1169"/>
    </row>
    <row r="29" spans="1:21" x14ac:dyDescent="0.25">
      <c r="A29" s="340"/>
      <c r="B29" s="493" t="s">
        <v>190</v>
      </c>
      <c r="C29" s="1188" t="s">
        <v>198</v>
      </c>
      <c r="D29" s="1190">
        <f t="shared" si="3"/>
        <v>59445661.786435716</v>
      </c>
      <c r="E29" s="3589">
        <f t="shared" si="3"/>
        <v>739446.40993029554</v>
      </c>
      <c r="G29" s="1190">
        <f t="shared" si="4"/>
        <v>130915473.15514435</v>
      </c>
      <c r="H29" s="3589">
        <f t="shared" si="4"/>
        <v>2018823.7089654019</v>
      </c>
      <c r="I29" s="631"/>
      <c r="J29" s="422">
        <f t="shared" si="5"/>
        <v>85082848.412313595</v>
      </c>
      <c r="K29" s="266">
        <f t="shared" si="5"/>
        <v>2290339.1941398722</v>
      </c>
      <c r="L29" s="631"/>
      <c r="M29" s="1164"/>
      <c r="N29" s="1164"/>
      <c r="O29" s="1169"/>
      <c r="P29" s="1170"/>
      <c r="R29" s="1169"/>
      <c r="S29" s="1170"/>
      <c r="U29" s="1169"/>
    </row>
    <row r="30" spans="1:21" x14ac:dyDescent="0.25">
      <c r="A30" s="340"/>
      <c r="B30" s="493" t="s">
        <v>191</v>
      </c>
      <c r="C30" s="1188" t="s">
        <v>198</v>
      </c>
      <c r="D30" s="1190">
        <f t="shared" si="3"/>
        <v>0</v>
      </c>
      <c r="E30" s="3589">
        <f t="shared" si="3"/>
        <v>0</v>
      </c>
      <c r="G30" s="1190">
        <f t="shared" si="4"/>
        <v>0</v>
      </c>
      <c r="H30" s="3589">
        <f t="shared" si="4"/>
        <v>0</v>
      </c>
      <c r="I30" s="631"/>
      <c r="J30" s="422">
        <f t="shared" si="5"/>
        <v>0</v>
      </c>
      <c r="K30" s="266">
        <f t="shared" si="5"/>
        <v>0</v>
      </c>
      <c r="L30" s="631"/>
      <c r="M30" s="1164"/>
      <c r="N30" s="1164"/>
      <c r="O30" s="1169"/>
      <c r="P30" s="1170"/>
      <c r="R30" s="1169"/>
      <c r="S30" s="1170"/>
      <c r="U30" s="1169"/>
    </row>
    <row r="31" spans="1:21" x14ac:dyDescent="0.25">
      <c r="A31" s="340"/>
      <c r="B31" s="493" t="s">
        <v>192</v>
      </c>
      <c r="C31" s="1188" t="s">
        <v>198</v>
      </c>
      <c r="D31" s="1190">
        <f t="shared" si="3"/>
        <v>0</v>
      </c>
      <c r="E31" s="3589">
        <f t="shared" si="3"/>
        <v>0</v>
      </c>
      <c r="G31" s="1190">
        <f t="shared" si="4"/>
        <v>0</v>
      </c>
      <c r="H31" s="3589">
        <f t="shared" si="4"/>
        <v>0</v>
      </c>
      <c r="I31" s="631"/>
      <c r="J31" s="422">
        <f t="shared" si="5"/>
        <v>0</v>
      </c>
      <c r="K31" s="266">
        <f t="shared" si="5"/>
        <v>0</v>
      </c>
      <c r="L31" s="631"/>
      <c r="M31" s="1164"/>
      <c r="N31" s="1164"/>
      <c r="O31" s="1169"/>
      <c r="P31" s="1170"/>
      <c r="R31" s="1169"/>
      <c r="S31" s="1170"/>
      <c r="U31" s="1169"/>
    </row>
    <row r="32" spans="1:21" x14ac:dyDescent="0.25">
      <c r="A32" s="340"/>
      <c r="B32" s="493" t="s">
        <v>193</v>
      </c>
      <c r="C32" s="1188" t="s">
        <v>198</v>
      </c>
      <c r="D32" s="1190">
        <f t="shared" si="3"/>
        <v>6293054.3470249064</v>
      </c>
      <c r="E32" s="3589">
        <f t="shared" si="3"/>
        <v>125883.4829031485</v>
      </c>
      <c r="G32" s="1190">
        <f t="shared" si="4"/>
        <v>9133223.5955888461</v>
      </c>
      <c r="H32" s="3589">
        <f t="shared" si="4"/>
        <v>141090.86105902347</v>
      </c>
      <c r="I32" s="631"/>
      <c r="J32" s="422">
        <f t="shared" si="5"/>
        <v>3444741.098440893</v>
      </c>
      <c r="K32" s="266">
        <f t="shared" si="5"/>
        <v>71640.501994519931</v>
      </c>
      <c r="L32" s="631"/>
      <c r="M32" s="1164"/>
      <c r="N32" s="1164"/>
      <c r="O32" s="1169"/>
      <c r="P32" s="1170"/>
      <c r="R32" s="1169"/>
      <c r="S32" s="1170"/>
      <c r="U32" s="1169"/>
    </row>
    <row r="33" spans="1:23" x14ac:dyDescent="0.25">
      <c r="A33" s="340"/>
      <c r="B33" s="493" t="s">
        <v>194</v>
      </c>
      <c r="C33" s="1188" t="s">
        <v>198</v>
      </c>
      <c r="D33" s="1190">
        <f t="shared" si="3"/>
        <v>0</v>
      </c>
      <c r="E33" s="3589">
        <f t="shared" si="3"/>
        <v>0</v>
      </c>
      <c r="G33" s="1190">
        <f t="shared" si="4"/>
        <v>0</v>
      </c>
      <c r="H33" s="3589">
        <f t="shared" si="4"/>
        <v>0</v>
      </c>
      <c r="I33" s="631"/>
      <c r="J33" s="422">
        <f t="shared" si="5"/>
        <v>0</v>
      </c>
      <c r="K33" s="266">
        <f t="shared" si="5"/>
        <v>0</v>
      </c>
      <c r="L33" s="631"/>
      <c r="M33" s="1164"/>
      <c r="N33" s="1164"/>
      <c r="O33" s="1169"/>
      <c r="P33" s="1170"/>
      <c r="R33" s="1169"/>
      <c r="S33" s="1170"/>
      <c r="U33" s="1169"/>
    </row>
    <row r="34" spans="1:23" x14ac:dyDescent="0.25">
      <c r="A34" s="340"/>
      <c r="B34" s="493" t="s">
        <v>195</v>
      </c>
      <c r="C34" s="1188" t="s">
        <v>198</v>
      </c>
      <c r="D34" s="1190">
        <f t="shared" si="3"/>
        <v>0</v>
      </c>
      <c r="E34" s="3589">
        <f t="shared" si="3"/>
        <v>0</v>
      </c>
      <c r="G34" s="1190">
        <f t="shared" si="4"/>
        <v>0</v>
      </c>
      <c r="H34" s="3589">
        <f t="shared" si="4"/>
        <v>0</v>
      </c>
      <c r="I34" s="631"/>
      <c r="J34" s="422">
        <f t="shared" si="5"/>
        <v>0</v>
      </c>
      <c r="K34" s="266">
        <f t="shared" si="5"/>
        <v>0</v>
      </c>
      <c r="L34" s="631"/>
      <c r="M34" s="1164"/>
      <c r="N34" s="1164"/>
      <c r="O34" s="1170"/>
      <c r="R34" s="1170"/>
      <c r="S34" s="1170"/>
      <c r="T34" s="1168"/>
      <c r="U34" s="1171"/>
    </row>
    <row r="35" spans="1:23" x14ac:dyDescent="0.25">
      <c r="A35" s="340"/>
      <c r="B35" s="493" t="s">
        <v>196</v>
      </c>
      <c r="C35" s="1188" t="s">
        <v>198</v>
      </c>
      <c r="D35" s="1190">
        <f t="shared" si="3"/>
        <v>242599.99811108355</v>
      </c>
      <c r="E35" s="3589">
        <f t="shared" si="3"/>
        <v>425.25842351886979</v>
      </c>
      <c r="G35" s="1190">
        <f t="shared" si="4"/>
        <v>1389352.4543098023</v>
      </c>
      <c r="H35" s="3589">
        <f t="shared" si="4"/>
        <v>47823.713331368308</v>
      </c>
      <c r="I35" s="631"/>
      <c r="J35" s="422">
        <f t="shared" si="5"/>
        <v>60931.19151951409</v>
      </c>
      <c r="K35" s="266">
        <f t="shared" si="5"/>
        <v>3286.5867434298425</v>
      </c>
      <c r="L35" s="631"/>
      <c r="T35" s="1168"/>
      <c r="U35" s="1170"/>
    </row>
    <row r="36" spans="1:23" ht="16.5" thickBot="1" x14ac:dyDescent="0.3">
      <c r="A36" s="341"/>
      <c r="B36" s="3695" t="s">
        <v>197</v>
      </c>
      <c r="C36" s="3696"/>
      <c r="D36" s="1221">
        <f>SUM(D26:D35)</f>
        <v>79486840.52681087</v>
      </c>
      <c r="E36" s="1220">
        <f>SUM(E26:E35)</f>
        <v>1215333.7616962516</v>
      </c>
      <c r="F36" s="3590">
        <f>'B1-Electric Ops Rvn'!P465</f>
        <v>0.36787060858033721</v>
      </c>
      <c r="G36" s="1221">
        <f>SUM(G26:G35)</f>
        <v>150910260.92796436</v>
      </c>
      <c r="H36" s="1222">
        <f>SUM(H26:H35)</f>
        <v>2466241.6450315397</v>
      </c>
      <c r="I36" s="3590">
        <v>0.38403984109090572</v>
      </c>
      <c r="J36" s="1221">
        <f>SUM(J26:J35)</f>
        <v>96976040.524479732</v>
      </c>
      <c r="K36" s="1223">
        <f>SUM(K26:K35)</f>
        <v>2599574.7290663728</v>
      </c>
      <c r="L36" s="1135">
        <v>0.37707511971430041</v>
      </c>
      <c r="R36" s="1168"/>
      <c r="S36" s="1170"/>
      <c r="T36" s="1170"/>
      <c r="U36" s="1170"/>
    </row>
    <row r="37" spans="1:23" ht="17.25" thickTop="1" thickBot="1" x14ac:dyDescent="0.3">
      <c r="R37" s="1168"/>
      <c r="S37" s="1170"/>
      <c r="T37" s="1170"/>
      <c r="U37" s="1170"/>
      <c r="V37" s="1170"/>
      <c r="W37" s="194"/>
    </row>
    <row r="38" spans="1:23" ht="16.5" customHeight="1" thickBot="1" x14ac:dyDescent="0.3">
      <c r="A38" s="342"/>
      <c r="B38" s="327" t="s">
        <v>276</v>
      </c>
      <c r="C38" s="315"/>
      <c r="D38" s="3701" t="s">
        <v>200</v>
      </c>
      <c r="E38" s="3702"/>
      <c r="F38" s="3721"/>
      <c r="G38" s="3722" t="s">
        <v>218</v>
      </c>
      <c r="H38" s="3723"/>
      <c r="I38" s="3721"/>
      <c r="J38" s="3725" t="s">
        <v>219</v>
      </c>
      <c r="K38" s="3726"/>
      <c r="R38" s="1168"/>
      <c r="S38" s="1170"/>
      <c r="T38" s="1170"/>
      <c r="U38" s="1170"/>
      <c r="V38" s="1170"/>
      <c r="W38" s="194"/>
    </row>
    <row r="39" spans="1:23" ht="16.5" thickBot="1" x14ac:dyDescent="0.3">
      <c r="A39" s="340"/>
      <c r="B39" s="322" t="s">
        <v>549</v>
      </c>
      <c r="C39" s="1186" t="s">
        <v>272</v>
      </c>
      <c r="D39" s="3699"/>
      <c r="E39" s="3700"/>
      <c r="F39" s="3717"/>
      <c r="G39" s="3715"/>
      <c r="H39" s="3720"/>
      <c r="I39" s="3717"/>
      <c r="J39" s="3727"/>
      <c r="K39" s="3728"/>
      <c r="R39" s="1168"/>
      <c r="S39" s="1170"/>
      <c r="T39" s="1170"/>
      <c r="U39" s="1170"/>
      <c r="V39" s="1170"/>
      <c r="W39" s="194"/>
    </row>
    <row r="40" spans="1:23" ht="16.5" thickBot="1" x14ac:dyDescent="0.3">
      <c r="A40" s="343"/>
      <c r="B40" s="323" t="s">
        <v>548</v>
      </c>
      <c r="C40" s="344" t="s">
        <v>273</v>
      </c>
      <c r="D40" s="1189" t="s">
        <v>185</v>
      </c>
      <c r="E40" s="345" t="s">
        <v>186</v>
      </c>
      <c r="F40" s="3717"/>
      <c r="G40" s="345" t="s">
        <v>185</v>
      </c>
      <c r="H40" s="345" t="s">
        <v>186</v>
      </c>
      <c r="I40" s="3717"/>
      <c r="J40" s="345" t="s">
        <v>185</v>
      </c>
      <c r="K40" s="1216" t="s">
        <v>186</v>
      </c>
      <c r="R40" s="1168"/>
      <c r="S40" s="1170"/>
      <c r="T40" s="1170"/>
      <c r="U40" s="1170"/>
      <c r="V40" s="1170"/>
      <c r="W40" s="194"/>
    </row>
    <row r="41" spans="1:23" x14ac:dyDescent="0.25">
      <c r="A41" s="340"/>
      <c r="B41" s="492" t="s">
        <v>187</v>
      </c>
      <c r="C41" s="1187" t="s">
        <v>199</v>
      </c>
      <c r="D41" s="1190">
        <f>SUMIFS('Pg 326 - Purchased Power (23)'!$O$7:$O$335,'Pg 326 - Purchased Power (23)'!$C$7:$C$335,B41)</f>
        <v>0</v>
      </c>
      <c r="E41" s="3583">
        <f>SUMIF('Pg 326 - Purchased Power (23)'!$C$7:$C$335,B41,'Pg 326 - Purchased Power (23)'!$H$7:$H$335)</f>
        <v>0</v>
      </c>
      <c r="F41" s="611"/>
      <c r="G41" s="1190">
        <f>SUMIFS('Pg 326 - Purchased Power (22)'!$O$7:$O$338,'Pg 326 - Purchased Power (22)'!$C$7:$C$338,B41)</f>
        <v>0</v>
      </c>
      <c r="H41" s="3583">
        <f>SUMIF('Pg 326 - Purchased Power (22)'!$C$7:$C$338,B41,'Pg 326 - Purchased Power (22)'!$H$7:$H$338)</f>
        <v>0</v>
      </c>
      <c r="I41" s="630"/>
      <c r="J41" s="607">
        <f>SUMIFS('Pg 326 - Purchased Power (21)'!$O$7:$O$339,'Pg 326 - Purchased Power (21)'!$C$7:$C$339,B41)</f>
        <v>0</v>
      </c>
      <c r="K41" s="3584">
        <f>SUMIF('Pg 326 - Purchased Power (21)'!$C$7:$C$339,B41,'Pg 326 - Purchased Power (21)'!$H$7:$H$339)</f>
        <v>0</v>
      </c>
      <c r="R41" s="1168"/>
      <c r="S41" s="1170"/>
      <c r="T41" s="1170"/>
      <c r="U41" s="1170"/>
      <c r="V41" s="1170"/>
      <c r="W41" s="194"/>
    </row>
    <row r="42" spans="1:23" x14ac:dyDescent="0.25">
      <c r="A42" s="340"/>
      <c r="B42" s="493" t="s">
        <v>188</v>
      </c>
      <c r="C42" s="1188" t="s">
        <v>199</v>
      </c>
      <c r="D42" s="1190">
        <f>SUMIFS('Pg 326 - Purchased Power (23)'!$O$7:$O$335,'Pg 326 - Purchased Power (23)'!$C$7:$C$335,B42)</f>
        <v>739401</v>
      </c>
      <c r="E42" s="3585">
        <f>SUMIF('Pg 326 - Purchased Power (23)'!$C$7:$C$335,B42,'Pg 326 - Purchased Power (23)'!$H$7:$H$335)</f>
        <v>15615</v>
      </c>
      <c r="F42" s="611"/>
      <c r="G42" s="1190">
        <f>SUMIFS('Pg 326 - Purchased Power (22)'!$O$7:$O$338,'Pg 326 - Purchased Power (22)'!$C$7:$C$338,B42)</f>
        <v>1415071</v>
      </c>
      <c r="H42" s="3585">
        <f>SUMIF('Pg 326 - Purchased Power (22)'!$C$7:$C$338,B42,'Pg 326 - Purchased Power (22)'!$H$7:$H$338)</f>
        <v>27735</v>
      </c>
      <c r="I42" s="630"/>
      <c r="J42" s="1190">
        <f>SUMIFS('Pg 326 - Purchased Power (21)'!$O$7:$O$339,'Pg 326 - Purchased Power (21)'!$C$7:$C$339,B42)</f>
        <v>39406098</v>
      </c>
      <c r="K42" s="3586">
        <f>SUMIF('Pg 326 - Purchased Power (21)'!$C$7:$C$339,B42,'Pg 326 - Purchased Power (21)'!$H$7:$H$339)</f>
        <v>554248</v>
      </c>
      <c r="M42" s="1164"/>
      <c r="N42" s="1165"/>
      <c r="O42" s="1165"/>
      <c r="P42" s="1165"/>
      <c r="Q42" s="1165"/>
      <c r="R42" s="1165"/>
      <c r="S42" s="1165"/>
      <c r="T42" s="1165"/>
      <c r="U42" s="1165"/>
      <c r="V42" s="1165"/>
      <c r="W42" s="194"/>
    </row>
    <row r="43" spans="1:23" x14ac:dyDescent="0.25">
      <c r="A43" s="340"/>
      <c r="B43" s="493" t="s">
        <v>189</v>
      </c>
      <c r="C43" s="1188" t="s">
        <v>199</v>
      </c>
      <c r="D43" s="1190">
        <f>SUMIFS('Pg 326 - Purchased Power (23)'!$O$7:$O$335,'Pg 326 - Purchased Power (23)'!$C$7:$C$335,B43)</f>
        <v>20600000</v>
      </c>
      <c r="E43" s="3585">
        <f>SUMIF('Pg 326 - Purchased Power (23)'!$C$7:$C$335,B43,'Pg 326 - Purchased Power (23)'!$H$7:$H$335)</f>
        <v>0</v>
      </c>
      <c r="F43" s="611"/>
      <c r="G43" s="1190">
        <f>SUMIFS('Pg 326 - Purchased Power (22)'!$O$7:$O$338,'Pg 326 - Purchased Power (22)'!$C$7:$C$338,B43)</f>
        <v>0</v>
      </c>
      <c r="H43" s="3585">
        <f>SUMIF('Pg 326 - Purchased Power (22)'!$C$7:$C$338,B43,'Pg 326 - Purchased Power (22)'!$H$7:$H$338)</f>
        <v>0</v>
      </c>
      <c r="I43" s="630"/>
      <c r="J43" s="1190">
        <f>SUMIFS('Pg 326 - Purchased Power (21)'!$O$7:$O$339,'Pg 326 - Purchased Power (21)'!$C$7:$C$339,B43)</f>
        <v>0</v>
      </c>
      <c r="K43" s="3586">
        <f>SUMIF('Pg 326 - Purchased Power (21)'!$C$7:$C$339,B43,'Pg 326 - Purchased Power (21)'!$H$7:$H$339)</f>
        <v>0</v>
      </c>
    </row>
    <row r="44" spans="1:23" x14ac:dyDescent="0.25">
      <c r="A44" s="340"/>
      <c r="B44" s="493" t="s">
        <v>190</v>
      </c>
      <c r="C44" s="1188" t="s">
        <v>199</v>
      </c>
      <c r="D44" s="1190">
        <f>SUMIFS('Pg 326 - Purchased Power (23)'!$O$7:$O$335,'Pg 326 - Purchased Power (23)'!$C$7:$C$335,B44)</f>
        <v>929746699</v>
      </c>
      <c r="E44" s="3585">
        <f>SUMIF('Pg 326 - Purchased Power (23)'!$C$7:$C$335,B44,'Pg 326 - Purchased Power (23)'!$H$7:$H$335)</f>
        <v>8164293</v>
      </c>
      <c r="F44" s="611"/>
      <c r="G44" s="1190">
        <f>SUMIFS('Pg 326 - Purchased Power (22)'!$O$7:$O$338,'Pg 326 - Purchased Power (22)'!$C$7:$C$338,B44)</f>
        <v>786112810</v>
      </c>
      <c r="H44" s="3585">
        <f>SUMIF('Pg 326 - Purchased Power (22)'!$C$7:$C$338,B44,'Pg 326 - Purchased Power (22)'!$H$7:$H$338)</f>
        <v>8458389</v>
      </c>
      <c r="I44" s="630"/>
      <c r="J44" s="1190">
        <f>SUMIFS('Pg 326 - Purchased Power (21)'!$O$7:$O$339,'Pg 326 - Purchased Power (21)'!$C$7:$C$339,B44)</f>
        <v>432313600</v>
      </c>
      <c r="K44" s="3586">
        <f>SUMIF('Pg 326 - Purchased Power (21)'!$C$7:$C$339,B44,'Pg 326 - Purchased Power (21)'!$H$7:$H$339)</f>
        <v>6187213</v>
      </c>
    </row>
    <row r="45" spans="1:23" x14ac:dyDescent="0.25">
      <c r="A45" s="340"/>
      <c r="B45" s="493" t="s">
        <v>191</v>
      </c>
      <c r="C45" s="1188" t="s">
        <v>199</v>
      </c>
      <c r="D45" s="1190">
        <f>SUMIFS('Pg 326 - Purchased Power (23)'!$O$7:$O$335,'Pg 326 - Purchased Power (23)'!$C$7:$C$335,B45)</f>
        <v>482471547</v>
      </c>
      <c r="E45" s="3585">
        <f>SUMIF('Pg 326 - Purchased Power (23)'!$C$7:$C$335,B45,'Pg 326 - Purchased Power (23)'!$H$7:$H$335)</f>
        <v>9639733</v>
      </c>
      <c r="F45" s="611"/>
      <c r="G45" s="1190">
        <f>SUMIFS('Pg 326 - Purchased Power (22)'!$O$7:$O$338,'Pg 326 - Purchased Power (22)'!$C$7:$C$338,B45)</f>
        <v>525960472</v>
      </c>
      <c r="H45" s="3585">
        <f>SUMIF('Pg 326 - Purchased Power (22)'!$C$7:$C$338,B45,'Pg 326 - Purchased Power (22)'!$H$7:$H$338)</f>
        <v>10067775</v>
      </c>
      <c r="I45" s="630"/>
      <c r="J45" s="1190">
        <f>SUMIFS('Pg 326 - Purchased Power (21)'!$O$7:$O$339,'Pg 326 - Purchased Power (21)'!$C$7:$C$339,B45)</f>
        <v>482612686</v>
      </c>
      <c r="K45" s="3586">
        <f>SUMIF('Pg 326 - Purchased Power (21)'!$C$7:$C$339,B45,'Pg 326 - Purchased Power (21)'!$H$7:$H$339)</f>
        <v>9405515</v>
      </c>
    </row>
    <row r="46" spans="1:23" x14ac:dyDescent="0.25">
      <c r="A46" s="340"/>
      <c r="B46" s="493" t="s">
        <v>192</v>
      </c>
      <c r="C46" s="1188" t="s">
        <v>199</v>
      </c>
      <c r="D46" s="1190">
        <f>SUMIFS('Pg 326 - Purchased Power (23)'!$O$7:$O$335,'Pg 326 - Purchased Power (23)'!$C$7:$C$335,B46)</f>
        <v>17719795</v>
      </c>
      <c r="E46" s="3585">
        <f>SUMIF('Pg 326 - Purchased Power (23)'!$C$7:$C$335,B46,'Pg 326 - Purchased Power (23)'!$H$7:$H$335)</f>
        <v>149361</v>
      </c>
      <c r="F46" s="611"/>
      <c r="G46" s="1190">
        <f>SUMIFS('Pg 326 - Purchased Power (22)'!$O$7:$O$338,'Pg 326 - Purchased Power (22)'!$C$7:$C$338,B46)</f>
        <v>38384357</v>
      </c>
      <c r="H46" s="3585">
        <f>SUMIF('Pg 326 - Purchased Power (22)'!$C$7:$C$338,B46,'Pg 326 - Purchased Power (22)'!$H$7:$H$338)</f>
        <v>152786</v>
      </c>
      <c r="I46" s="630"/>
      <c r="J46" s="1190">
        <f>SUMIFS('Pg 326 - Purchased Power (21)'!$O$7:$O$339,'Pg 326 - Purchased Power (21)'!$C$7:$C$339,B46)</f>
        <v>35900957</v>
      </c>
      <c r="K46" s="3586">
        <f>SUMIF('Pg 326 - Purchased Power (21)'!$C$7:$C$339,B46,'Pg 326 - Purchased Power (21)'!$H$7:$H$339)</f>
        <v>149853</v>
      </c>
    </row>
    <row r="47" spans="1:23" x14ac:dyDescent="0.25">
      <c r="A47" s="340"/>
      <c r="B47" s="493" t="s">
        <v>193</v>
      </c>
      <c r="C47" s="1188" t="s">
        <v>199</v>
      </c>
      <c r="D47" s="1190">
        <f>SUMIFS('Pg 326 - Purchased Power (23)'!$O$7:$O$335,'Pg 326 - Purchased Power (23)'!$C$7:$C$335,B47)</f>
        <v>984288</v>
      </c>
      <c r="E47" s="3585">
        <f>SUMIF('Pg 326 - Purchased Power (23)'!$C$7:$C$335,B47,'Pg 326 - Purchased Power (23)'!$H$7:$H$335)</f>
        <v>0</v>
      </c>
      <c r="F47" s="611"/>
      <c r="G47" s="1190">
        <f>SUMIFS('Pg 326 - Purchased Power (22)'!$O$7:$O$338,'Pg 326 - Purchased Power (22)'!$C$7:$C$338,B47)</f>
        <v>639956</v>
      </c>
      <c r="H47" s="3585">
        <f>SUMIF('Pg 326 - Purchased Power (22)'!$C$7:$C$338,B47,'Pg 326 - Purchased Power (22)'!$H$7:$H$338)</f>
        <v>0</v>
      </c>
      <c r="I47" s="630"/>
      <c r="J47" s="1190">
        <f>SUMIFS('Pg 326 - Purchased Power (21)'!$O$7:$O$339,'Pg 326 - Purchased Power (21)'!$C$7:$C$339,B47)</f>
        <v>-60787</v>
      </c>
      <c r="K47" s="3586">
        <f>SUMIF('Pg 326 - Purchased Power (21)'!$C$7:$C$339,B47,'Pg 326 - Purchased Power (21)'!$H$7:$H$339)</f>
        <v>0</v>
      </c>
    </row>
    <row r="48" spans="1:23" x14ac:dyDescent="0.25">
      <c r="A48" s="340"/>
      <c r="B48" s="493" t="s">
        <v>194</v>
      </c>
      <c r="C48" s="1188" t="s">
        <v>199</v>
      </c>
      <c r="D48" s="1190">
        <f>SUMIFS('Pg 326 - Purchased Power (23)'!$O$7:$O$335,'Pg 326 - Purchased Power (23)'!$C$7:$C$335,B48)</f>
        <v>-19208568</v>
      </c>
      <c r="E48" s="3585">
        <f>SUMIF('Pg 326 - Purchased Power (23)'!$C$7:$C$335,B48,'Pg 326 - Purchased Power (23)'!$H$7:$H$335)</f>
        <v>0</v>
      </c>
      <c r="F48" s="611"/>
      <c r="G48" s="1190">
        <f>SUMIFS('Pg 326 - Purchased Power (22)'!$O$7:$O$338,'Pg 326 - Purchased Power (22)'!$C$7:$C$338,B48)</f>
        <v>-285331973</v>
      </c>
      <c r="H48" s="3585">
        <f>SUMIF('Pg 326 - Purchased Power (22)'!$C$7:$C$338,B48,'Pg 326 - Purchased Power (22)'!$H$7:$H$338)</f>
        <v>0</v>
      </c>
      <c r="I48" s="630"/>
      <c r="J48" s="1190">
        <f>SUMIFS('Pg 326 - Purchased Power (21)'!$O$7:$O$339,'Pg 326 - Purchased Power (21)'!$C$7:$C$339,B48)</f>
        <v>-169598864</v>
      </c>
      <c r="K48" s="3586">
        <f>SUMIF('Pg 326 - Purchased Power (21)'!$C$7:$C$339,B48,'Pg 326 - Purchased Power (21)'!$H$7:$H$339)</f>
        <v>0</v>
      </c>
      <c r="M48" s="1164"/>
      <c r="N48" s="1164"/>
      <c r="O48" s="1170"/>
      <c r="P48" s="1170"/>
      <c r="Q48" s="1170"/>
    </row>
    <row r="49" spans="1:17" x14ac:dyDescent="0.25">
      <c r="A49" s="340"/>
      <c r="B49" s="493" t="s">
        <v>195</v>
      </c>
      <c r="C49" s="1188" t="s">
        <v>199</v>
      </c>
      <c r="D49" s="1190">
        <f>SUMIFS('Pg 326 - Purchased Power (23)'!$O$7:$O$335,'Pg 326 - Purchased Power (23)'!$C$7:$C$335,B49)</f>
        <v>0</v>
      </c>
      <c r="E49" s="3585">
        <f>SUMIF('Pg 326 - Purchased Power (23)'!$C$7:$C$335,B49,'Pg 326 - Purchased Power (23)'!$H$7:$H$335)</f>
        <v>0</v>
      </c>
      <c r="F49" s="611"/>
      <c r="G49" s="1190">
        <f>SUMIFS('Pg 326 - Purchased Power (22)'!$O$7:$O$338,'Pg 326 - Purchased Power (22)'!$C$7:$C$338,B49)</f>
        <v>0</v>
      </c>
      <c r="H49" s="3585">
        <f>SUMIF('Pg 326 - Purchased Power (22)'!$C$7:$C$338,B49,'Pg 326 - Purchased Power (22)'!$H$7:$H$338)</f>
        <v>0</v>
      </c>
      <c r="I49" s="630"/>
      <c r="J49" s="1190">
        <f>SUMIFS('Pg 326 - Purchased Power (21)'!$O$7:$O$339,'Pg 326 - Purchased Power (21)'!$C$7:$C$339,B49)</f>
        <v>0</v>
      </c>
      <c r="K49" s="3586">
        <f>SUMIF('Pg 326 - Purchased Power (21)'!$C$7:$C$339,B49,'Pg 326 - Purchased Power (21)'!$H$7:$H$339)</f>
        <v>0</v>
      </c>
      <c r="M49" s="1165"/>
      <c r="N49" s="1164"/>
      <c r="O49" s="1170"/>
      <c r="P49" s="1170"/>
      <c r="Q49" s="1170"/>
    </row>
    <row r="50" spans="1:17" x14ac:dyDescent="0.25">
      <c r="A50" s="340"/>
      <c r="B50" s="493" t="s">
        <v>196</v>
      </c>
      <c r="C50" s="1188" t="s">
        <v>199</v>
      </c>
      <c r="D50" s="1190">
        <f>SUMIFS('Pg 326 - Purchased Power (23)'!$O$7:$O$335,'Pg 326 - Purchased Power (23)'!$C$7:$C$335,B50)</f>
        <v>2735996</v>
      </c>
      <c r="E50" s="3585">
        <f>SUMIF('Pg 326 - Purchased Power (23)'!$C$7:$C$335,B50,'Pg 326 - Purchased Power (23)'!$H$7:$H$335)</f>
        <v>115357</v>
      </c>
      <c r="F50" s="611"/>
      <c r="G50" s="1190">
        <f>SUMIFS('Pg 326 - Purchased Power (22)'!$O$7:$O$338,'Pg 326 - Purchased Power (22)'!$C$7:$C$338,B50)</f>
        <v>-2937010</v>
      </c>
      <c r="H50" s="3585">
        <f>SUMIF('Pg 326 - Purchased Power (22)'!$C$7:$C$338,B50,'Pg 326 - Purchased Power (22)'!$H$7:$H$338)</f>
        <v>7196</v>
      </c>
      <c r="I50" s="630"/>
      <c r="J50" s="1190">
        <f>SUMIFS('Pg 326 - Purchased Power (21)'!$O$7:$O$339,'Pg 326 - Purchased Power (21)'!$C$7:$C$339,B50)</f>
        <v>2339224</v>
      </c>
      <c r="K50" s="3586">
        <f>SUMIF('Pg 326 - Purchased Power (21)'!$C$7:$C$339,B50,'Pg 326 - Purchased Power (21)'!$H$7:$H$339)</f>
        <v>8124</v>
      </c>
      <c r="M50" s="1165"/>
      <c r="N50" s="1172"/>
      <c r="O50" s="1173"/>
      <c r="P50" s="1173"/>
      <c r="Q50" s="1173"/>
    </row>
    <row r="51" spans="1:17" x14ac:dyDescent="0.25">
      <c r="A51" s="340"/>
      <c r="B51" s="3703" t="s">
        <v>197</v>
      </c>
      <c r="C51" s="3704"/>
      <c r="D51" s="1531">
        <f>SUM(D41:D50)</f>
        <v>1435789158</v>
      </c>
      <c r="E51" s="612">
        <f>SUM(E41:E50)</f>
        <v>18084359</v>
      </c>
      <c r="F51" s="3588">
        <f>F21</f>
        <v>0.61479284112955668</v>
      </c>
      <c r="G51" s="1531">
        <f>SUM(G41:G50)</f>
        <v>1064243683</v>
      </c>
      <c r="H51" s="612">
        <f>SUM(H41:H50)</f>
        <v>18713881</v>
      </c>
      <c r="I51" s="3588">
        <f>I21</f>
        <v>0.6455688732641145</v>
      </c>
      <c r="J51" s="1531">
        <f>SUM(J41:J50)</f>
        <v>822912914</v>
      </c>
      <c r="K51" s="1218">
        <f>SUM(K41:K50)</f>
        <v>16304953</v>
      </c>
      <c r="L51" s="1135">
        <f>L21</f>
        <v>0.45006445624300773</v>
      </c>
      <c r="M51" s="1165"/>
      <c r="N51" s="1164"/>
      <c r="O51" s="1176"/>
      <c r="P51" s="1176"/>
      <c r="Q51" s="1176"/>
    </row>
    <row r="52" spans="1:17" ht="16.5" thickBot="1" x14ac:dyDescent="0.3">
      <c r="A52" s="340"/>
      <c r="C52" s="1"/>
      <c r="D52" s="1191"/>
      <c r="E52" s="609"/>
      <c r="F52" s="611"/>
      <c r="G52" s="608"/>
      <c r="H52" s="609"/>
      <c r="I52" s="611"/>
      <c r="J52" s="608"/>
      <c r="K52" s="219"/>
      <c r="M52" s="1165"/>
      <c r="N52" s="1164"/>
      <c r="O52" s="1178"/>
      <c r="P52" s="1178"/>
      <c r="Q52" s="1178"/>
    </row>
    <row r="53" spans="1:17" ht="16.5" customHeight="1" thickBot="1" x14ac:dyDescent="0.3">
      <c r="A53" s="342"/>
      <c r="B53" s="327" t="s">
        <v>276</v>
      </c>
      <c r="C53" s="315"/>
      <c r="D53" s="3697" t="s">
        <v>64</v>
      </c>
      <c r="E53" s="3698"/>
      <c r="F53" s="3717"/>
      <c r="G53" s="3718" t="s">
        <v>220</v>
      </c>
      <c r="H53" s="3719"/>
      <c r="I53" s="3717"/>
      <c r="J53" s="3718" t="s">
        <v>221</v>
      </c>
      <c r="K53" s="3724"/>
      <c r="M53" s="1165"/>
      <c r="N53" s="1164"/>
      <c r="O53" s="1180"/>
      <c r="P53" s="1180"/>
      <c r="Q53" s="1180"/>
    </row>
    <row r="54" spans="1:17" ht="16.5" thickBot="1" x14ac:dyDescent="0.3">
      <c r="A54" s="340"/>
      <c r="B54" s="322" t="s">
        <v>549</v>
      </c>
      <c r="C54" s="1186" t="s">
        <v>272</v>
      </c>
      <c r="D54" s="3699"/>
      <c r="E54" s="3700"/>
      <c r="F54" s="3717"/>
      <c r="G54" s="3715"/>
      <c r="H54" s="3720"/>
      <c r="I54" s="3717"/>
      <c r="J54" s="3715"/>
      <c r="K54" s="3716"/>
      <c r="M54" s="1165"/>
      <c r="N54" s="1164"/>
      <c r="O54" s="1183"/>
      <c r="P54" s="1184"/>
      <c r="Q54" s="1185"/>
    </row>
    <row r="55" spans="1:17" ht="16.5" thickBot="1" x14ac:dyDescent="0.3">
      <c r="A55" s="343"/>
      <c r="B55" s="323" t="s">
        <v>548</v>
      </c>
      <c r="C55" s="344" t="s">
        <v>273</v>
      </c>
      <c r="D55" s="1189" t="s">
        <v>185</v>
      </c>
      <c r="E55" s="345" t="s">
        <v>522</v>
      </c>
      <c r="F55" s="3717"/>
      <c r="G55" s="345" t="s">
        <v>185</v>
      </c>
      <c r="H55" s="345" t="s">
        <v>522</v>
      </c>
      <c r="I55" s="3717"/>
      <c r="J55" s="345" t="s">
        <v>185</v>
      </c>
      <c r="K55" s="1216" t="s">
        <v>522</v>
      </c>
    </row>
    <row r="56" spans="1:17" x14ac:dyDescent="0.25">
      <c r="A56" s="340"/>
      <c r="B56" s="492" t="s">
        <v>187</v>
      </c>
      <c r="C56" s="1187" t="s">
        <v>198</v>
      </c>
      <c r="D56" s="1190">
        <f>SUMIFS('Pg 310 - Sales for Resale (23)'!$L$10:$L$136,'Pg 310 - Sales for Resale (23)'!$C$10:$C$136,B56)</f>
        <v>16008165</v>
      </c>
      <c r="E56" s="3583">
        <f>SUMIFS('Pg 310 - Sales for Resale (23)'!$H$10:$H$136,'Pg 310 - Sales for Resale (23)'!$C$10:$C$136,B56)</f>
        <v>307999</v>
      </c>
      <c r="F56" s="611"/>
      <c r="G56" s="1190">
        <f>SUMIFS('Pg 310 - Sales for Resale (22)'!$L$10:$L$133,'Pg 310 - Sales for Resale (22)'!$C$10:$C$133,B56)</f>
        <v>13501634</v>
      </c>
      <c r="H56" s="3583">
        <f>SUMIFS('Pg 310 - Sales for Resale (22)'!$H$10:$H$133,'Pg 310 - Sales for Resale (22)'!$C$10:$C$133,B56)</f>
        <v>273270</v>
      </c>
      <c r="I56" s="630"/>
      <c r="J56" s="607">
        <f>SUMIFS('Pg 310 - Sales for Resale (21)'!$L$10:$L$124,'Pg 310 - Sales for Resale (21)'!$C$10:$C$124,B56)</f>
        <v>13244065</v>
      </c>
      <c r="K56" s="1219">
        <f>SUMIFS('Pg 310 - Sales for Resale (21)'!$H$10:$H$124,'Pg 310 - Sales for Resale (21)'!$C$10:$C$124,B56)</f>
        <v>278833</v>
      </c>
    </row>
    <row r="57" spans="1:17" x14ac:dyDescent="0.25">
      <c r="A57" s="340"/>
      <c r="B57" s="493" t="s">
        <v>188</v>
      </c>
      <c r="C57" s="1188" t="s">
        <v>198</v>
      </c>
      <c r="D57" s="1190">
        <f>SUMIFS('Pg 310 - Sales for Resale (23)'!$L$10:$L$136,'Pg 310 - Sales for Resale (23)'!$C$10:$C$136,B57)</f>
        <v>9895791</v>
      </c>
      <c r="E57" s="3589">
        <f>SUMIFS('Pg 310 - Sales for Resale (23)'!$H$10:$H$136,'Pg 310 - Sales for Resale (23)'!$C$10:$C$136,B57)</f>
        <v>334125</v>
      </c>
      <c r="G57" s="1190">
        <f>SUMIFS('Pg 310 - Sales for Resale (22)'!$L$10:$L$133,'Pg 310 - Sales for Resale (22)'!$C$10:$C$133,B57)</f>
        <v>9841290</v>
      </c>
      <c r="H57" s="3589">
        <f>SUMIFS('Pg 310 - Sales for Resale (22)'!$H$10:$H$133,'Pg 310 - Sales for Resale (22)'!$C$10:$C$133,B57)</f>
        <v>342102</v>
      </c>
      <c r="I57" s="631"/>
      <c r="J57" s="422">
        <f>SUMIFS('Pg 310 - Sales for Resale (21)'!$L$10:$L$124,'Pg 310 - Sales for Resale (21)'!$C$10:$C$124,B57)</f>
        <v>8983753</v>
      </c>
      <c r="K57" s="266">
        <f>SUMIFS('Pg 310 - Sales for Resale (21)'!$H$10:$H$124,'Pg 310 - Sales for Resale (21)'!$C$10:$C$124,B57)</f>
        <v>342281</v>
      </c>
    </row>
    <row r="58" spans="1:17" x14ac:dyDescent="0.25">
      <c r="A58" s="340"/>
      <c r="B58" s="493" t="s">
        <v>189</v>
      </c>
      <c r="C58" s="1188" t="s">
        <v>198</v>
      </c>
      <c r="D58" s="1190">
        <f>SUMIFS('Pg 310 - Sales for Resale (23)'!$L$10:$L$136,'Pg 310 - Sales for Resale (23)'!$C$10:$C$136,B58)</f>
        <v>10808747</v>
      </c>
      <c r="E58" s="3589">
        <f>SUMIFS('Pg 310 - Sales for Resale (23)'!$H$10:$H$136,'Pg 310 - Sales for Resale (23)'!$C$10:$C$136,B58)</f>
        <v>308152</v>
      </c>
      <c r="G58" s="1190">
        <f>SUMIFS('Pg 310 - Sales for Resale (22)'!$L$10:$L$133,'Pg 310 - Sales for Resale (22)'!$C$10:$C$133,B58)</f>
        <v>1321735</v>
      </c>
      <c r="H58" s="3589">
        <f>SUMIFS('Pg 310 - Sales for Resale (22)'!$H$10:$H$133,'Pg 310 - Sales for Resale (22)'!$C$10:$C$133,B58)</f>
        <v>57744</v>
      </c>
      <c r="I58" s="631"/>
      <c r="J58" s="422">
        <f>SUMIFS('Pg 310 - Sales for Resale (21)'!$L$10:$L$124,'Pg 310 - Sales for Resale (21)'!$C$10:$C$124,B58)</f>
        <v>15813</v>
      </c>
      <c r="K58" s="266">
        <f>SUMIFS('Pg 310 - Sales for Resale (21)'!$H$10:$H$124,'Pg 310 - Sales for Resale (21)'!$C$10:$C$124,B58)</f>
        <v>270</v>
      </c>
    </row>
    <row r="59" spans="1:17" x14ac:dyDescent="0.25">
      <c r="A59" s="340"/>
      <c r="B59" s="493" t="s">
        <v>190</v>
      </c>
      <c r="C59" s="1188" t="s">
        <v>198</v>
      </c>
      <c r="D59" s="1190">
        <f>SUMIFS('Pg 310 - Sales for Resale (23)'!$L$10:$L$136,'Pg 310 - Sales for Resale (23)'!$C$10:$C$136,B59)</f>
        <v>161593942</v>
      </c>
      <c r="E59" s="3589">
        <f>SUMIFS('Pg 310 - Sales for Resale (23)'!$H$10:$H$136,'Pg 310 - Sales for Resale (23)'!$C$10:$C$136,B59)</f>
        <v>2010072</v>
      </c>
      <c r="G59" s="1190">
        <f>SUMIFS('Pg 310 - Sales for Resale (22)'!$L$10:$L$133,'Pg 310 - Sales for Resale (22)'!$C$10:$C$133,B59)</f>
        <v>340890343</v>
      </c>
      <c r="H59" s="3589">
        <f>SUMIFS('Pg 310 - Sales for Resale (22)'!$H$10:$H$133,'Pg 310 - Sales for Resale (22)'!$C$10:$C$133,B59)</f>
        <v>5256808</v>
      </c>
      <c r="I59" s="631"/>
      <c r="J59" s="422">
        <f>SUMIFS('Pg 310 - Sales for Resale (21)'!$L$10:$L$124,'Pg 310 - Sales for Resale (21)'!$C$10:$C$124,B59)</f>
        <v>225638988</v>
      </c>
      <c r="K59" s="266">
        <f>SUMIFS('Pg 310 - Sales for Resale (21)'!$H$10:$H$124,'Pg 310 - Sales for Resale (21)'!$C$10:$C$124,B59)</f>
        <v>6073960</v>
      </c>
    </row>
    <row r="60" spans="1:17" x14ac:dyDescent="0.25">
      <c r="A60" s="340"/>
      <c r="B60" s="493" t="s">
        <v>191</v>
      </c>
      <c r="C60" s="1188" t="s">
        <v>198</v>
      </c>
      <c r="D60" s="1190">
        <f>SUMIFS('Pg 310 - Sales for Resale (23)'!$L$10:$L$136,'Pg 310 - Sales for Resale (23)'!$C$10:$C$136,B60)</f>
        <v>0</v>
      </c>
      <c r="E60" s="3589">
        <f>SUMIFS('Pg 310 - Sales for Resale (23)'!$H$10:$H$136,'Pg 310 - Sales for Resale (23)'!$C$10:$C$136,B60)</f>
        <v>0</v>
      </c>
      <c r="G60" s="1190">
        <f>SUMIFS('Pg 310 - Sales for Resale (22)'!$L$10:$L$133,'Pg 310 - Sales for Resale (22)'!$C$10:$C$133,B60)</f>
        <v>0</v>
      </c>
      <c r="H60" s="3589">
        <f>SUMIFS('Pg 310 - Sales for Resale (22)'!$H$10:$H$133,'Pg 310 - Sales for Resale (22)'!$C$10:$C$133,B60)</f>
        <v>0</v>
      </c>
      <c r="I60" s="631"/>
      <c r="J60" s="422">
        <f>SUMIFS('Pg 310 - Sales for Resale (21)'!$L$10:$L$124,'Pg 310 - Sales for Resale (21)'!$C$10:$C$124,B60)</f>
        <v>0</v>
      </c>
      <c r="K60" s="266">
        <f>SUMIFS('Pg 310 - Sales for Resale (21)'!$H$10:$H$124,'Pg 310 - Sales for Resale (21)'!$C$10:$C$124,B60)</f>
        <v>0</v>
      </c>
    </row>
    <row r="61" spans="1:17" x14ac:dyDescent="0.25">
      <c r="A61" s="340"/>
      <c r="B61" s="493" t="s">
        <v>192</v>
      </c>
      <c r="C61" s="1188" t="s">
        <v>198</v>
      </c>
      <c r="D61" s="1190">
        <f>SUMIFS('Pg 310 - Sales for Resale (23)'!$L$10:$L$136,'Pg 310 - Sales for Resale (23)'!$C$10:$C$136,B61)</f>
        <v>0</v>
      </c>
      <c r="E61" s="3589">
        <f>SUMIFS('Pg 310 - Sales for Resale (23)'!$H$10:$H$136,'Pg 310 - Sales for Resale (23)'!$C$10:$C$136,B61)</f>
        <v>0</v>
      </c>
      <c r="G61" s="1190">
        <f>SUMIFS('Pg 310 - Sales for Resale (22)'!$L$10:$L$133,'Pg 310 - Sales for Resale (22)'!$C$10:$C$133,B61)</f>
        <v>0</v>
      </c>
      <c r="H61" s="3589">
        <f>SUMIFS('Pg 310 - Sales for Resale (22)'!$H$10:$H$133,'Pg 310 - Sales for Resale (22)'!$C$10:$C$133,B61)</f>
        <v>0</v>
      </c>
      <c r="I61" s="631"/>
      <c r="J61" s="422">
        <f>SUMIFS('Pg 310 - Sales for Resale (21)'!$L$10:$L$124,'Pg 310 - Sales for Resale (21)'!$C$10:$C$124,B61)</f>
        <v>0</v>
      </c>
      <c r="K61" s="266">
        <f>SUMIFS('Pg 310 - Sales for Resale (21)'!$H$10:$H$124,'Pg 310 - Sales for Resale (21)'!$C$10:$C$124,B61)</f>
        <v>0</v>
      </c>
    </row>
    <row r="62" spans="1:17" x14ac:dyDescent="0.25">
      <c r="A62" s="340"/>
      <c r="B62" s="493" t="s">
        <v>193</v>
      </c>
      <c r="C62" s="1188" t="s">
        <v>198</v>
      </c>
      <c r="D62" s="1190">
        <f>SUMIFS('Pg 310 - Sales for Resale (23)'!$L$10:$L$136,'Pg 310 - Sales for Resale (23)'!$C$10:$C$136,B62)</f>
        <v>17106706</v>
      </c>
      <c r="E62" s="3589">
        <f>SUMIFS('Pg 310 - Sales for Resale (23)'!$H$10:$H$136,'Pg 310 - Sales for Resale (23)'!$C$10:$C$136,B62)</f>
        <v>342195</v>
      </c>
      <c r="G62" s="1190">
        <f>SUMIFS('Pg 310 - Sales for Resale (22)'!$L$10:$L$133,'Pg 310 - Sales for Resale (22)'!$C$10:$C$133,B62)</f>
        <v>23781969</v>
      </c>
      <c r="H62" s="3589">
        <f>SUMIFS('Pg 310 - Sales for Resale (22)'!$H$10:$H$133,'Pg 310 - Sales for Resale (22)'!$C$10:$C$133,B62)</f>
        <v>367386</v>
      </c>
      <c r="I62" s="631"/>
      <c r="J62" s="422">
        <f>SUMIFS('Pg 310 - Sales for Resale (21)'!$L$10:$L$124,'Pg 310 - Sales for Resale (21)'!$C$10:$C$124,B62)</f>
        <v>9135424</v>
      </c>
      <c r="K62" s="266">
        <f>SUMIFS('Pg 310 - Sales for Resale (21)'!$H$10:$H$124,'Pg 310 - Sales for Resale (21)'!$C$10:$C$124,B62)</f>
        <v>189990</v>
      </c>
    </row>
    <row r="63" spans="1:17" x14ac:dyDescent="0.25">
      <c r="A63" s="340"/>
      <c r="B63" s="493" t="s">
        <v>194</v>
      </c>
      <c r="C63" s="1188" t="s">
        <v>198</v>
      </c>
      <c r="D63" s="1190">
        <f>SUMIFS('Pg 310 - Sales for Resale (23)'!$L$10:$L$136,'Pg 310 - Sales for Resale (23)'!$C$10:$C$136,B63)</f>
        <v>0</v>
      </c>
      <c r="E63" s="3589">
        <f>SUMIFS('Pg 310 - Sales for Resale (23)'!$H$10:$H$136,'Pg 310 - Sales for Resale (23)'!$C$10:$C$136,B63)</f>
        <v>0</v>
      </c>
      <c r="G63" s="1190">
        <f>SUMIFS('Pg 310 - Sales for Resale (22)'!$L$10:$L$133,'Pg 310 - Sales for Resale (22)'!$C$10:$C$133,B63)</f>
        <v>0</v>
      </c>
      <c r="H63" s="3589">
        <f>SUMIFS('Pg 310 - Sales for Resale (22)'!$H$10:$H$133,'Pg 310 - Sales for Resale (22)'!$C$10:$C$133,B63)</f>
        <v>0</v>
      </c>
      <c r="I63" s="631"/>
      <c r="J63" s="422">
        <f>SUMIFS('Pg 310 - Sales for Resale (21)'!$L$10:$L$124,'Pg 310 - Sales for Resale (21)'!$C$10:$C$124,B63)</f>
        <v>0</v>
      </c>
      <c r="K63" s="266">
        <f>SUMIFS('Pg 310 - Sales for Resale (21)'!$H$10:$H$124,'Pg 310 - Sales for Resale (21)'!$C$10:$C$124,B63)</f>
        <v>0</v>
      </c>
    </row>
    <row r="64" spans="1:17" x14ac:dyDescent="0.25">
      <c r="A64" s="340"/>
      <c r="B64" s="493" t="s">
        <v>195</v>
      </c>
      <c r="C64" s="1188" t="s">
        <v>198</v>
      </c>
      <c r="D64" s="1190">
        <f>SUMIFS('Pg 310 - Sales for Resale (23)'!$L$10:$L$136,'Pg 310 - Sales for Resale (23)'!$C$10:$C$136,B64)</f>
        <v>0</v>
      </c>
      <c r="E64" s="3589">
        <f>SUMIFS('Pg 310 - Sales for Resale (23)'!$H$10:$H$136,'Pg 310 - Sales for Resale (23)'!$C$10:$C$136,B64)</f>
        <v>0</v>
      </c>
      <c r="G64" s="1190">
        <f>SUMIFS('Pg 310 - Sales for Resale (22)'!$L$10:$L$133,'Pg 310 - Sales for Resale (22)'!$C$10:$C$133,B64)</f>
        <v>0</v>
      </c>
      <c r="H64" s="3589">
        <f>SUMIFS('Pg 310 - Sales for Resale (22)'!$H$10:$H$133,'Pg 310 - Sales for Resale (22)'!$C$10:$C$133,B64)</f>
        <v>0</v>
      </c>
      <c r="I64" s="631"/>
      <c r="J64" s="422">
        <f>SUMIFS('Pg 310 - Sales for Resale (21)'!$L$10:$L$124,'Pg 310 - Sales for Resale (21)'!$C$10:$C$124,B64)</f>
        <v>0</v>
      </c>
      <c r="K64" s="266">
        <f>SUMIFS('Pg 310 - Sales for Resale (21)'!$H$10:$H$124,'Pg 310 - Sales for Resale (21)'!$C$10:$C$124,B64)</f>
        <v>0</v>
      </c>
    </row>
    <row r="65" spans="1:12" x14ac:dyDescent="0.25">
      <c r="A65" s="340"/>
      <c r="B65" s="493" t="s">
        <v>196</v>
      </c>
      <c r="C65" s="1188" t="s">
        <v>198</v>
      </c>
      <c r="D65" s="1190">
        <f>SUMIFS('Pg 310 - Sales for Resale (23)'!$L$10:$L$136,'Pg 310 - Sales for Resale (23)'!$C$10:$C$136,B65)</f>
        <v>659471</v>
      </c>
      <c r="E65" s="3589">
        <f>SUMIFS('Pg 310 - Sales for Resale (23)'!$H$10:$H$136,'Pg 310 - Sales for Resale (23)'!$C$10:$C$136,B65)</f>
        <v>1156</v>
      </c>
      <c r="G65" s="1190">
        <f>SUMIFS('Pg 310 - Sales for Resale (22)'!$L$10:$L$133,'Pg 310 - Sales for Resale (22)'!$C$10:$C$133,B65)</f>
        <v>3617730</v>
      </c>
      <c r="H65" s="3589">
        <f>SUMIFS('Pg 310 - Sales for Resale (22)'!$H$10:$H$133,'Pg 310 - Sales for Resale (22)'!$C$10:$C$133,B65)</f>
        <v>124528</v>
      </c>
      <c r="I65" s="631"/>
      <c r="J65" s="422">
        <f>SUMIFS('Pg 310 - Sales for Resale (21)'!$L$10:$L$124,'Pg 310 - Sales for Resale (21)'!$C$10:$C$124,B65)</f>
        <v>161589</v>
      </c>
      <c r="K65" s="266">
        <f>SUMIFS('Pg 310 - Sales for Resale (21)'!$H$10:$H$124,'Pg 310 - Sales for Resale (21)'!$C$10:$C$124,B65)</f>
        <v>8716</v>
      </c>
    </row>
    <row r="66" spans="1:12" ht="16.5" thickBot="1" x14ac:dyDescent="0.3">
      <c r="A66" s="341"/>
      <c r="B66" s="3695" t="s">
        <v>197</v>
      </c>
      <c r="C66" s="3696"/>
      <c r="D66" s="1221">
        <f>SUM(D56:D65)</f>
        <v>216072822</v>
      </c>
      <c r="E66" s="1220">
        <f>SUM(E56:E65)</f>
        <v>3303699</v>
      </c>
      <c r="F66" s="3590">
        <f>F36</f>
        <v>0.36787060858033721</v>
      </c>
      <c r="G66" s="1221">
        <f>SUM(G56:G65)</f>
        <v>392954701</v>
      </c>
      <c r="H66" s="1222">
        <f>SUM(H56:H65)</f>
        <v>6421838</v>
      </c>
      <c r="I66" s="3590">
        <f>I36</f>
        <v>0.38403984109090572</v>
      </c>
      <c r="J66" s="1221">
        <f>SUM(J56:J65)</f>
        <v>257179632</v>
      </c>
      <c r="K66" s="1223">
        <f>SUM(K56:K65)</f>
        <v>6894050</v>
      </c>
      <c r="L66" s="1135">
        <f>L36</f>
        <v>0.37707511971430041</v>
      </c>
    </row>
    <row r="67" spans="1:12" ht="16.5" thickTop="1" x14ac:dyDescent="0.25"/>
    <row r="69" spans="1:12" x14ac:dyDescent="0.25">
      <c r="D69" s="1164" t="s">
        <v>1</v>
      </c>
      <c r="E69" s="1174">
        <f>IF((E14+E17+E18)=0,0,(D14+D17+D18)/(E14+E17+E18))</f>
        <v>111.64744075206514</v>
      </c>
      <c r="F69" s="1174">
        <f>IF((H14+H17+H18)=0,0,(G14+G17+G18)/(H14+H17+H18))</f>
        <v>59.28088587554911</v>
      </c>
      <c r="G69" s="1174">
        <f>IF((K14+K17+K18)=0,0,(J14+J17+J18)/(K14+K17+K18))</f>
        <v>42.451092115302963</v>
      </c>
    </row>
    <row r="70" spans="1:12" x14ac:dyDescent="0.25">
      <c r="D70" s="1164" t="s">
        <v>2</v>
      </c>
      <c r="E70" s="1174">
        <f>IF((E29+E32+E33)=0,0,(D29+D32+D33)/(E29+E32+E33))</f>
        <v>75.969542573185791</v>
      </c>
      <c r="F70" s="1174">
        <f>IF((H29+H32+H33)=0,0,(G29+G32+G33)/(H29+H32+H33))</f>
        <v>64.839924085122249</v>
      </c>
      <c r="G70" s="1174">
        <f>IF((K29+K32+K33)=0,0,(J29+J32+J33)/(K29+K32+K33))</f>
        <v>37.48025000199555</v>
      </c>
    </row>
    <row r="71" spans="1:12" x14ac:dyDescent="0.25">
      <c r="D71" s="1172" t="s">
        <v>3</v>
      </c>
      <c r="E71" s="1175">
        <f>(E69-E70)/2</f>
        <v>17.838949089439673</v>
      </c>
      <c r="F71" s="1175">
        <f>(F69-F70)/2</f>
        <v>-2.7795191047865693</v>
      </c>
      <c r="G71" s="1175">
        <f>(G69-G70)/2</f>
        <v>2.4854210566537063</v>
      </c>
    </row>
    <row r="72" spans="1:12" x14ac:dyDescent="0.25">
      <c r="D72" s="1164" t="s">
        <v>4</v>
      </c>
      <c r="E72" s="1175">
        <f>AVERAGE(E69:E70)</f>
        <v>93.808491662625471</v>
      </c>
      <c r="F72" s="1175">
        <f>AVERAGE(F69:F70)</f>
        <v>62.060404980335676</v>
      </c>
      <c r="G72" s="1175">
        <f>AVERAGE(G69:G70)</f>
        <v>39.965671058649257</v>
      </c>
    </row>
    <row r="73" spans="1:12" ht="16.5" thickBot="1" x14ac:dyDescent="0.3">
      <c r="D73" s="1164"/>
      <c r="E73" s="1177">
        <f>IF(E72=0,0,((E72+E71)/E72)-1)</f>
        <v>0.19016347852170967</v>
      </c>
      <c r="F73" s="1177">
        <f>IF(F72=0,0,((F72+F71)/F72)-1)</f>
        <v>-4.4787318188904579E-2</v>
      </c>
      <c r="G73" s="1177">
        <f>IF(G72=0,0,((G72+G71)/G72)-1)</f>
        <v>6.2188898392482317E-2</v>
      </c>
    </row>
    <row r="74" spans="1:12" ht="16.5" thickTop="1" x14ac:dyDescent="0.25">
      <c r="D74" s="1164"/>
      <c r="E74" s="1179"/>
      <c r="F74" s="1179"/>
      <c r="G74" s="1179"/>
    </row>
    <row r="75" spans="1:12" ht="16.5" thickBot="1" x14ac:dyDescent="0.3">
      <c r="D75" s="1164" t="s">
        <v>5</v>
      </c>
      <c r="E75" s="1532">
        <f>(E73*3+F73*2+G73*1)/6</f>
        <v>9.0517449596633701E-2</v>
      </c>
      <c r="F75" s="1181"/>
      <c r="G75" s="1182"/>
    </row>
    <row r="78" spans="1:12" ht="16.5" thickBot="1" x14ac:dyDescent="0.3"/>
    <row r="79" spans="1:12" ht="16.5" thickTop="1" x14ac:dyDescent="0.25">
      <c r="A79" s="3705"/>
      <c r="B79" s="3706"/>
      <c r="C79" s="3707"/>
      <c r="D79" s="3713" t="s">
        <v>690</v>
      </c>
      <c r="E79" s="3714"/>
    </row>
    <row r="80" spans="1:12" ht="16.5" thickBot="1" x14ac:dyDescent="0.3">
      <c r="A80" s="3708"/>
      <c r="B80" s="3596"/>
      <c r="C80" s="3709"/>
      <c r="D80" s="3715"/>
      <c r="E80" s="3716"/>
    </row>
    <row r="81" spans="1:5" ht="16.5" thickBot="1" x14ac:dyDescent="0.3">
      <c r="A81" s="3710"/>
      <c r="B81" s="3711"/>
      <c r="C81" s="3712"/>
      <c r="D81" s="345" t="s">
        <v>691</v>
      </c>
      <c r="E81" s="1216" t="s">
        <v>186</v>
      </c>
    </row>
    <row r="82" spans="1:5" x14ac:dyDescent="0.25">
      <c r="A82" s="340"/>
      <c r="B82" s="1226" t="s">
        <v>692</v>
      </c>
      <c r="C82" s="1227"/>
      <c r="D82" s="610"/>
      <c r="E82" s="1217"/>
    </row>
    <row r="83" spans="1:5" x14ac:dyDescent="0.25">
      <c r="A83" s="340"/>
      <c r="B83" s="1228" t="s">
        <v>693</v>
      </c>
      <c r="C83" s="1229"/>
      <c r="D83" s="182"/>
      <c r="E83" s="266"/>
    </row>
    <row r="84" spans="1:5" x14ac:dyDescent="0.25">
      <c r="A84" s="340"/>
      <c r="B84" s="1230" t="s">
        <v>759</v>
      </c>
      <c r="C84" s="1229"/>
      <c r="D84" s="182"/>
      <c r="E84" s="266"/>
    </row>
    <row r="85" spans="1:5" x14ac:dyDescent="0.25">
      <c r="A85" s="340"/>
      <c r="B85" s="1230" t="s">
        <v>760</v>
      </c>
      <c r="C85" s="1229"/>
      <c r="D85" s="182"/>
      <c r="E85" s="266"/>
    </row>
    <row r="86" spans="1:5" x14ac:dyDescent="0.25">
      <c r="A86" s="340"/>
      <c r="B86" s="1230" t="s">
        <v>761</v>
      </c>
      <c r="C86" s="1229"/>
      <c r="D86" s="182"/>
      <c r="E86" s="266"/>
    </row>
    <row r="87" spans="1:5" ht="16.5" thickBot="1" x14ac:dyDescent="0.3">
      <c r="A87" s="341"/>
      <c r="B87" s="3693" t="s">
        <v>197</v>
      </c>
      <c r="C87" s="3694"/>
      <c r="D87" s="1224">
        <f>SUM(D82:D86)</f>
        <v>0</v>
      </c>
      <c r="E87" s="1225">
        <f>SUM(E82:E86)</f>
        <v>0</v>
      </c>
    </row>
    <row r="88" spans="1:5" ht="16.5" thickTop="1" x14ac:dyDescent="0.25"/>
  </sheetData>
  <mergeCells count="34">
    <mergeCell ref="B66:C66"/>
    <mergeCell ref="I38:I40"/>
    <mergeCell ref="J38:K39"/>
    <mergeCell ref="B51:C51"/>
    <mergeCell ref="D53:E54"/>
    <mergeCell ref="F53:F55"/>
    <mergeCell ref="G53:H54"/>
    <mergeCell ref="I53:I55"/>
    <mergeCell ref="J53:K54"/>
    <mergeCell ref="J23:K24"/>
    <mergeCell ref="I8:I10"/>
    <mergeCell ref="A1:K1"/>
    <mergeCell ref="A7:K7"/>
    <mergeCell ref="F8:F10"/>
    <mergeCell ref="G8:H9"/>
    <mergeCell ref="A3:K3"/>
    <mergeCell ref="A2:K2"/>
    <mergeCell ref="J8:K9"/>
    <mergeCell ref="B87:C87"/>
    <mergeCell ref="G4:I4"/>
    <mergeCell ref="G5:I5"/>
    <mergeCell ref="G6:I6"/>
    <mergeCell ref="B36:C36"/>
    <mergeCell ref="D23:E24"/>
    <mergeCell ref="D8:E9"/>
    <mergeCell ref="B21:C21"/>
    <mergeCell ref="A79:C81"/>
    <mergeCell ref="D79:E80"/>
    <mergeCell ref="F23:F25"/>
    <mergeCell ref="G23:H24"/>
    <mergeCell ref="I23:I25"/>
    <mergeCell ref="D38:E39"/>
    <mergeCell ref="F38:F40"/>
    <mergeCell ref="G38:H39"/>
  </mergeCells>
  <phoneticPr fontId="0" type="noConversion"/>
  <hyperlinks>
    <hyperlink ref="B5" location="TOC!A1" display="TOC" xr:uid="{00000000-0004-0000-0900-000000000000}"/>
  </hyperlinks>
  <printOptions horizontalCentered="1" headings="1"/>
  <pageMargins left="0.5" right="0.5" top="1" bottom="0.8" header="0.25" footer="0.25"/>
  <pageSetup scale="75" orientation="landscape" r:id="rId1"/>
  <headerFooter alignWithMargins="0">
    <oddFooter>&amp;LFY 2026-2028 ASC Filing&amp;CPage &amp;P of &amp;N&amp;R&amp;A
&amp;D</oddFooter>
  </headerFooter>
  <colBreaks count="1" manualBreakCount="1">
    <brk id="11" max="36" man="1"/>
  </colBreaks>
  <customProperties>
    <customPr name="_pios_id" r:id="rId2"/>
  </customPropertie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tabColor indexed="13"/>
  </sheetPr>
  <dimension ref="A1:K49"/>
  <sheetViews>
    <sheetView zoomScale="80" zoomScaleNormal="80" zoomScaleSheetLayoutView="75" workbookViewId="0">
      <selection sqref="A1:XFD1048576"/>
    </sheetView>
  </sheetViews>
  <sheetFormatPr defaultRowHeight="15.75" x14ac:dyDescent="0.25"/>
  <cols>
    <col min="1" max="1" width="38.375" customWidth="1"/>
    <col min="2" max="2" width="13.625" customWidth="1"/>
    <col min="3" max="6" width="12.75" customWidth="1"/>
    <col min="7" max="7" width="15.5" customWidth="1"/>
    <col min="8" max="11" width="12.625" customWidth="1"/>
  </cols>
  <sheetData>
    <row r="1" spans="1:11" ht="24" thickTop="1" thickBot="1" x14ac:dyDescent="0.35">
      <c r="A1" s="3729" t="s">
        <v>720</v>
      </c>
      <c r="B1" s="3730"/>
      <c r="C1" s="3730"/>
      <c r="D1" s="3730"/>
      <c r="E1" s="3730"/>
      <c r="F1" s="3730"/>
      <c r="G1" s="3731"/>
      <c r="K1" s="144"/>
    </row>
    <row r="2" spans="1:11" ht="39.75" customHeight="1" thickBot="1" x14ac:dyDescent="0.35">
      <c r="A2" s="1890" t="s">
        <v>737</v>
      </c>
      <c r="B2" s="1891" t="s">
        <v>802</v>
      </c>
      <c r="C2" s="3734" t="s">
        <v>803</v>
      </c>
      <c r="D2" s="3735"/>
      <c r="E2" s="3735"/>
      <c r="F2" s="3735"/>
      <c r="G2" s="3736"/>
    </row>
    <row r="3" spans="1:11" ht="16.5" thickBot="1" x14ac:dyDescent="0.3">
      <c r="A3" s="1892" t="s">
        <v>581</v>
      </c>
      <c r="B3" s="1893">
        <f>'Sch 1- Rate Base '!E6</f>
        <v>2023</v>
      </c>
      <c r="C3" s="1894">
        <f>B3+1</f>
        <v>2024</v>
      </c>
      <c r="D3" s="1895">
        <f t="shared" ref="D3:G3" si="0">C3+1</f>
        <v>2025</v>
      </c>
      <c r="E3" s="1895">
        <f t="shared" si="0"/>
        <v>2026</v>
      </c>
      <c r="F3" s="1895">
        <f t="shared" si="0"/>
        <v>2027</v>
      </c>
      <c r="G3" s="1896">
        <f t="shared" si="0"/>
        <v>2028</v>
      </c>
    </row>
    <row r="4" spans="1:11" x14ac:dyDescent="0.25">
      <c r="A4" s="1872" t="s">
        <v>689</v>
      </c>
      <c r="B4" s="1873">
        <f>'Sch 4 - Average System Cost'!D39</f>
        <v>21294859</v>
      </c>
      <c r="C4" s="1874">
        <f>C48*B4+C49*C31</f>
        <v>21981744.816662945</v>
      </c>
      <c r="D4" s="1875">
        <f>C$48*C31+D$49*D31</f>
        <v>22688843.395481121</v>
      </c>
      <c r="E4" s="1875">
        <f t="shared" ref="E4:G4" si="1">D$48*D31+E$49*E31</f>
        <v>23328612.528206691</v>
      </c>
      <c r="F4" s="1875">
        <f t="shared" si="1"/>
        <v>24203795.772017825</v>
      </c>
      <c r="G4" s="1876">
        <f t="shared" si="1"/>
        <v>25443765.251734011</v>
      </c>
    </row>
    <row r="5" spans="1:11" x14ac:dyDescent="0.25">
      <c r="A5" s="1877" t="s">
        <v>582</v>
      </c>
      <c r="B5" s="1626">
        <f>'Sch 4 - Average System Cost'!D42</f>
        <v>1007459.77929</v>
      </c>
      <c r="C5" s="1625">
        <f>IF($B$4=0,0,C4*$B$16)</f>
        <v>1039736.5298281573</v>
      </c>
      <c r="D5" s="1232">
        <f t="shared" ref="D5:G5" si="2">IF($B$4=0,0,D4*$B$16)</f>
        <v>1073182.2926062571</v>
      </c>
      <c r="E5" s="1232">
        <f t="shared" si="2"/>
        <v>1103443.3725841765</v>
      </c>
      <c r="F5" s="1232">
        <f t="shared" si="2"/>
        <v>1144839.5400164432</v>
      </c>
      <c r="G5" s="1878">
        <f t="shared" si="2"/>
        <v>1203490.0964070188</v>
      </c>
    </row>
    <row r="6" spans="1:11" x14ac:dyDescent="0.25">
      <c r="A6" s="1879" t="s">
        <v>583</v>
      </c>
      <c r="B6" s="783">
        <f t="shared" ref="B6" si="3">B4+B5</f>
        <v>22302318.779289998</v>
      </c>
      <c r="C6" s="1232">
        <f>IF('Tiered Rates'!C14&gt;0,'Tiered Rates'!C14*8784,C4+C5)</f>
        <v>23021481.346491102</v>
      </c>
      <c r="D6" s="1232">
        <f>IF('Tiered Rates'!D14&gt;0,'Tiered Rates'!D14*8760,D4+D5)</f>
        <v>23762025.688087378</v>
      </c>
      <c r="E6" s="1232">
        <f>IF('Tiered Rates'!E14&gt;0,'Tiered Rates'!E14*8784,E4+E5)</f>
        <v>24432055.900790866</v>
      </c>
      <c r="F6" s="1232">
        <f>IF('Tiered Rates'!E14&gt;0,'Tiered Rates'!E14*8760,F4+F5)</f>
        <v>25348635.312034268</v>
      </c>
      <c r="G6" s="1878">
        <f>IF('Tiered Rates'!F14&gt;0,'Tiered Rates'!F14*8760,G4+G5)</f>
        <v>26647255.348141029</v>
      </c>
    </row>
    <row r="7" spans="1:11" x14ac:dyDescent="0.25">
      <c r="A7" s="1880" t="s">
        <v>753</v>
      </c>
      <c r="B7" s="783">
        <f>B6</f>
        <v>22302318.779289998</v>
      </c>
      <c r="C7" s="782">
        <f>MAX(C6,B7)</f>
        <v>23021481.346491102</v>
      </c>
      <c r="D7" s="1232">
        <f>MAX(D6,C7)</f>
        <v>23762025.688087378</v>
      </c>
      <c r="E7" s="1232">
        <f>MAX(E6,D7)</f>
        <v>24432055.900790866</v>
      </c>
      <c r="F7" s="1232">
        <f>MAX(F6,E7)</f>
        <v>25348635.312034268</v>
      </c>
      <c r="G7" s="1878">
        <f>MAX(G6,F7)</f>
        <v>26647255.348141029</v>
      </c>
    </row>
    <row r="8" spans="1:11" x14ac:dyDescent="0.25">
      <c r="A8" s="1881"/>
      <c r="B8" s="784"/>
      <c r="C8" s="784"/>
      <c r="D8" s="784"/>
      <c r="E8" s="784"/>
      <c r="F8" s="784"/>
      <c r="G8" s="1878"/>
    </row>
    <row r="9" spans="1:11" x14ac:dyDescent="0.25">
      <c r="A9" s="1880" t="s">
        <v>754</v>
      </c>
      <c r="B9" s="783">
        <f>'Sch 4 - Average System Cost'!F45</f>
        <v>1348351</v>
      </c>
      <c r="C9" s="782"/>
      <c r="D9" s="1232"/>
      <c r="E9" s="1232"/>
      <c r="F9" s="1232"/>
      <c r="G9" s="1878"/>
    </row>
    <row r="10" spans="1:11" x14ac:dyDescent="0.25">
      <c r="A10" s="1880" t="s">
        <v>755</v>
      </c>
      <c r="B10" s="783"/>
      <c r="C10" s="1232"/>
      <c r="D10" s="1232"/>
      <c r="E10" s="1232"/>
      <c r="F10" s="1232"/>
      <c r="G10" s="1878"/>
    </row>
    <row r="11" spans="1:11" x14ac:dyDescent="0.25">
      <c r="A11" s="1880" t="s">
        <v>756</v>
      </c>
      <c r="B11" s="783">
        <f>B9</f>
        <v>1348351</v>
      </c>
      <c r="C11" s="782">
        <f>C10+B11</f>
        <v>1348351</v>
      </c>
      <c r="D11" s="1232">
        <f>D10+C11</f>
        <v>1348351</v>
      </c>
      <c r="E11" s="1232">
        <f>E10+D11</f>
        <v>1348351</v>
      </c>
      <c r="F11" s="1232">
        <f>F10+E11</f>
        <v>1348351</v>
      </c>
      <c r="G11" s="1878">
        <f>G10+F11</f>
        <v>1348351</v>
      </c>
    </row>
    <row r="12" spans="1:11" x14ac:dyDescent="0.25">
      <c r="A12" s="1879"/>
      <c r="B12" s="783"/>
      <c r="C12" s="782"/>
      <c r="D12" s="1232"/>
      <c r="E12" s="1232"/>
      <c r="F12" s="1232"/>
      <c r="G12" s="1878"/>
    </row>
    <row r="13" spans="1:11" x14ac:dyDescent="0.25">
      <c r="A13" s="1881"/>
      <c r="B13" s="784"/>
      <c r="C13" s="784"/>
      <c r="D13" s="784"/>
      <c r="E13" s="784"/>
      <c r="F13" s="784"/>
      <c r="G13" s="1878"/>
    </row>
    <row r="14" spans="1:11" x14ac:dyDescent="0.25">
      <c r="A14" s="1882" t="s">
        <v>584</v>
      </c>
      <c r="B14" s="1320"/>
      <c r="C14" s="1321">
        <f>C6-B6</f>
        <v>719162.56720110402</v>
      </c>
      <c r="D14" s="1321">
        <f>D6-C6</f>
        <v>740544.34159627557</v>
      </c>
      <c r="E14" s="1321">
        <f>E6-D6</f>
        <v>670030.21270348877</v>
      </c>
      <c r="F14" s="1321">
        <f>F6-E6</f>
        <v>916579.41124340147</v>
      </c>
      <c r="G14" s="1883">
        <f>G6-F6</f>
        <v>1298620.0361067615</v>
      </c>
    </row>
    <row r="15" spans="1:11" x14ac:dyDescent="0.25">
      <c r="A15" s="1879"/>
      <c r="B15" s="784"/>
      <c r="C15" s="1551"/>
      <c r="D15" s="1551"/>
      <c r="E15" s="1551"/>
      <c r="F15" s="1871"/>
      <c r="G15" s="1884"/>
    </row>
    <row r="16" spans="1:11" x14ac:dyDescent="0.25">
      <c r="A16" s="1881" t="s">
        <v>764</v>
      </c>
      <c r="B16" s="1588">
        <f>ROUND('Sch 4 - Average System Cost'!F42,4)</f>
        <v>4.7300000000000002E-2</v>
      </c>
      <c r="C16" s="784"/>
      <c r="D16" s="784"/>
      <c r="E16" s="784"/>
      <c r="F16" s="1870"/>
      <c r="G16" s="1885"/>
    </row>
    <row r="17" spans="1:7" ht="16.5" thickBot="1" x14ac:dyDescent="0.3">
      <c r="A17" s="1886"/>
      <c r="B17" s="1887"/>
      <c r="C17" s="1887"/>
      <c r="D17" s="1887"/>
      <c r="E17" s="1887"/>
      <c r="F17" s="1888"/>
      <c r="G17" s="1889"/>
    </row>
    <row r="19" spans="1:7" ht="16.5" thickBot="1" x14ac:dyDescent="0.3"/>
    <row r="20" spans="1:7" x14ac:dyDescent="0.25">
      <c r="A20" s="1236" t="s">
        <v>695</v>
      </c>
      <c r="D20" s="3648" t="str">
        <f>'Sch 1- Rate Base '!E5</f>
        <v>PacifiCorp</v>
      </c>
      <c r="E20" s="3656"/>
      <c r="F20" s="180"/>
    </row>
    <row r="21" spans="1:7" ht="18.75" x14ac:dyDescent="0.3">
      <c r="A21" s="1215"/>
      <c r="D21" s="3650">
        <f>'Sch 1- Rate Base '!E6</f>
        <v>2023</v>
      </c>
      <c r="E21" s="3657"/>
      <c r="F21" s="180"/>
    </row>
    <row r="22" spans="1:7" ht="16.5" thickBot="1" x14ac:dyDescent="0.3">
      <c r="D22" s="3652">
        <f>'Sch 1- Rate Base '!E7</f>
        <v>45446</v>
      </c>
      <c r="E22" s="3733"/>
      <c r="F22" s="626"/>
    </row>
    <row r="25" spans="1:7" ht="18.75" x14ac:dyDescent="0.3">
      <c r="C25" s="3732" t="s">
        <v>54</v>
      </c>
      <c r="D25" s="3732"/>
      <c r="E25" s="3732"/>
      <c r="F25" s="3732"/>
      <c r="G25" s="3732"/>
    </row>
    <row r="26" spans="1:7" ht="18.75" x14ac:dyDescent="0.3">
      <c r="B26" s="1239"/>
      <c r="C26" s="3612" t="s">
        <v>56</v>
      </c>
      <c r="D26" s="3612"/>
      <c r="E26" s="3612"/>
      <c r="F26" s="3612"/>
      <c r="G26" s="3612"/>
    </row>
    <row r="27" spans="1:7" x14ac:dyDescent="0.25">
      <c r="B27" s="145"/>
      <c r="C27" s="3609" t="s">
        <v>719</v>
      </c>
      <c r="D27" s="3609"/>
      <c r="E27" s="3609"/>
      <c r="F27" s="3609"/>
      <c r="G27" s="3609"/>
    </row>
    <row r="28" spans="1:7" x14ac:dyDescent="0.25">
      <c r="B28" s="603"/>
      <c r="C28" s="3578">
        <v>2024</v>
      </c>
      <c r="D28" s="3578">
        <v>2025</v>
      </c>
      <c r="E28" s="3578">
        <v>2026</v>
      </c>
      <c r="F28" s="3578">
        <v>2027</v>
      </c>
      <c r="G28" s="3578">
        <v>2028</v>
      </c>
    </row>
    <row r="29" spans="1:7" x14ac:dyDescent="0.25">
      <c r="A29" s="57" t="s">
        <v>12536</v>
      </c>
      <c r="C29" s="3579">
        <f>SUM(C36:C47)</f>
        <v>8666385.7891020365</v>
      </c>
      <c r="D29" s="3579">
        <f t="shared" ref="D29:G29" si="4">SUM(D36:D47)</f>
        <v>8651003.5264422745</v>
      </c>
      <c r="E29" s="3579">
        <f t="shared" si="4"/>
        <v>8669661.2572507635</v>
      </c>
      <c r="F29" s="3579">
        <f t="shared" si="4"/>
        <v>8693129.9021410812</v>
      </c>
      <c r="G29" s="3579">
        <f t="shared" si="4"/>
        <v>8761879.5171359144</v>
      </c>
    </row>
    <row r="30" spans="1:7" x14ac:dyDescent="0.25">
      <c r="A30" s="57"/>
    </row>
    <row r="31" spans="1:7" x14ac:dyDescent="0.25">
      <c r="A31" s="57" t="s">
        <v>12537</v>
      </c>
      <c r="C31" s="3579">
        <v>22222807.31538773</v>
      </c>
      <c r="D31" s="3579">
        <v>22886675.929546233</v>
      </c>
      <c r="E31" s="3579">
        <v>23497372.512300562</v>
      </c>
      <c r="F31" s="3579">
        <v>24476342.128128696</v>
      </c>
      <c r="G31" s="3579">
        <v>25780722.711480308</v>
      </c>
    </row>
    <row r="32" spans="1:7" x14ac:dyDescent="0.25">
      <c r="A32" s="1211"/>
    </row>
    <row r="33" spans="1:7" x14ac:dyDescent="0.25">
      <c r="A33" s="1211"/>
      <c r="C33" s="3580"/>
      <c r="D33" s="3580"/>
      <c r="E33" s="3580"/>
      <c r="F33" s="3580"/>
      <c r="G33" s="3580"/>
    </row>
    <row r="34" spans="1:7" x14ac:dyDescent="0.25">
      <c r="A34" s="57" t="s">
        <v>12538</v>
      </c>
      <c r="C34" s="3581"/>
      <c r="D34" s="3581"/>
      <c r="E34" s="3581"/>
      <c r="F34" s="3581"/>
      <c r="G34" s="3581"/>
    </row>
    <row r="35" spans="1:7" x14ac:dyDescent="0.25">
      <c r="A35" s="57"/>
    </row>
    <row r="36" spans="1:7" x14ac:dyDescent="0.25">
      <c r="A36" s="3576" t="s">
        <v>419</v>
      </c>
      <c r="C36" s="3579">
        <v>892887.5881565084</v>
      </c>
      <c r="D36" s="3579">
        <v>895143.50317592383</v>
      </c>
      <c r="E36" s="3579">
        <v>897653.77334014094</v>
      </c>
      <c r="F36" s="3579">
        <v>899098.3603893033</v>
      </c>
      <c r="G36" s="3579">
        <v>903585.78279813181</v>
      </c>
    </row>
    <row r="37" spans="1:7" x14ac:dyDescent="0.25">
      <c r="A37" s="3576" t="s">
        <v>420</v>
      </c>
      <c r="C37" s="3579">
        <v>780308.47907732939</v>
      </c>
      <c r="D37" s="3579">
        <v>756076.32778554317</v>
      </c>
      <c r="E37" s="3579">
        <v>757659.3259927039</v>
      </c>
      <c r="F37" s="3579">
        <v>759257.2409676183</v>
      </c>
      <c r="G37" s="3579">
        <v>788302.74027467577</v>
      </c>
    </row>
    <row r="38" spans="1:7" x14ac:dyDescent="0.25">
      <c r="A38" s="3576" t="s">
        <v>421</v>
      </c>
      <c r="C38" s="3579">
        <v>708693.87090630131</v>
      </c>
      <c r="D38" s="3579">
        <v>710415.92895845906</v>
      </c>
      <c r="E38" s="3579">
        <v>711013.14989592915</v>
      </c>
      <c r="F38" s="3579">
        <v>711721.61643005512</v>
      </c>
      <c r="G38" s="3579">
        <v>714383.60850404145</v>
      </c>
    </row>
    <row r="39" spans="1:7" x14ac:dyDescent="0.25">
      <c r="A39" s="3576" t="s">
        <v>422</v>
      </c>
      <c r="C39" s="3579">
        <v>612076.26653713279</v>
      </c>
      <c r="D39" s="3579">
        <v>612426.9685089963</v>
      </c>
      <c r="E39" s="3579">
        <v>612790.72900123522</v>
      </c>
      <c r="F39" s="3579">
        <v>613259.05526736274</v>
      </c>
      <c r="G39" s="3579">
        <v>615452.6333417776</v>
      </c>
    </row>
    <row r="40" spans="1:7" x14ac:dyDescent="0.25">
      <c r="A40" s="3576" t="s">
        <v>285</v>
      </c>
      <c r="C40" s="3579">
        <v>605025.83943078248</v>
      </c>
      <c r="D40" s="3579">
        <v>605243.14911652717</v>
      </c>
      <c r="E40" s="3579">
        <v>605096.98816939886</v>
      </c>
      <c r="F40" s="3579">
        <v>605308.62533316796</v>
      </c>
      <c r="G40" s="3579">
        <v>606640.43160737481</v>
      </c>
    </row>
    <row r="41" spans="1:7" x14ac:dyDescent="0.25">
      <c r="A41" s="3576" t="s">
        <v>423</v>
      </c>
      <c r="C41" s="3579">
        <v>662498.97168352909</v>
      </c>
      <c r="D41" s="3579">
        <v>662119.27611017483</v>
      </c>
      <c r="E41" s="3579">
        <v>662715.49177968898</v>
      </c>
      <c r="F41" s="3579">
        <v>663630.87232580944</v>
      </c>
      <c r="G41" s="3579">
        <v>666765.4446855475</v>
      </c>
    </row>
    <row r="42" spans="1:7" x14ac:dyDescent="0.25">
      <c r="A42" s="3576" t="s">
        <v>424</v>
      </c>
      <c r="C42" s="3579">
        <v>819009.83777894918</v>
      </c>
      <c r="D42" s="3579">
        <v>818449.82878388965</v>
      </c>
      <c r="E42" s="3579">
        <v>819481.9474418126</v>
      </c>
      <c r="F42" s="3579">
        <v>821520.00841230946</v>
      </c>
      <c r="G42" s="3579">
        <v>822962.61498977826</v>
      </c>
    </row>
    <row r="43" spans="1:7" x14ac:dyDescent="0.25">
      <c r="A43" s="3576" t="s">
        <v>425</v>
      </c>
      <c r="C43" s="3579">
        <v>744615.77297172509</v>
      </c>
      <c r="D43" s="3579">
        <v>744246.43662187282</v>
      </c>
      <c r="E43" s="3579">
        <v>745934.7691442403</v>
      </c>
      <c r="F43" s="3579">
        <v>747460.42192000919</v>
      </c>
      <c r="G43" s="3579">
        <v>751527.31599457958</v>
      </c>
    </row>
    <row r="44" spans="1:7" x14ac:dyDescent="0.25">
      <c r="A44" s="3576" t="s">
        <v>426</v>
      </c>
      <c r="C44" s="3579">
        <v>589914.66512638435</v>
      </c>
      <c r="D44" s="3579">
        <v>589932.91819871287</v>
      </c>
      <c r="E44" s="3579">
        <v>592016.71615363983</v>
      </c>
      <c r="F44" s="3579">
        <v>594493.81011785043</v>
      </c>
      <c r="G44" s="3579">
        <v>598485.19297817163</v>
      </c>
    </row>
    <row r="45" spans="1:7" x14ac:dyDescent="0.25">
      <c r="A45" s="3576" t="s">
        <v>416</v>
      </c>
      <c r="C45" s="3579">
        <v>586247.00901244674</v>
      </c>
      <c r="D45" s="3579">
        <v>586899.56545733172</v>
      </c>
      <c r="E45" s="3579">
        <v>588706.64059652213</v>
      </c>
      <c r="F45" s="3579">
        <v>591396.83115035295</v>
      </c>
      <c r="G45" s="3579">
        <v>595451.32158428326</v>
      </c>
    </row>
    <row r="46" spans="1:7" x14ac:dyDescent="0.25">
      <c r="A46" s="3576" t="s">
        <v>417</v>
      </c>
      <c r="C46" s="3579">
        <v>740853.40650061832</v>
      </c>
      <c r="D46" s="3579">
        <v>742812.88414813671</v>
      </c>
      <c r="E46" s="3579">
        <v>745593.2620470199</v>
      </c>
      <c r="F46" s="3579">
        <v>749933.07232090423</v>
      </c>
      <c r="G46" s="3579">
        <v>756515.31659344712</v>
      </c>
    </row>
    <row r="47" spans="1:7" x14ac:dyDescent="0.25">
      <c r="A47" s="3576" t="s">
        <v>418</v>
      </c>
      <c r="C47" s="3579">
        <v>924254.08192033041</v>
      </c>
      <c r="D47" s="3579">
        <v>927236.73957670538</v>
      </c>
      <c r="E47" s="3579">
        <v>930998.46368843236</v>
      </c>
      <c r="F47" s="3579">
        <v>936049.98750633735</v>
      </c>
      <c r="G47" s="3579">
        <v>941807.11378410703</v>
      </c>
    </row>
    <row r="48" spans="1:7" x14ac:dyDescent="0.25">
      <c r="A48" s="3577" t="s">
        <v>12539</v>
      </c>
      <c r="C48" s="3582">
        <f>SUM(C45:C47)/C29</f>
        <v>0.25978009198072738</v>
      </c>
      <c r="D48" s="3582">
        <f>SUM(D45:D47)/D29</f>
        <v>0.26088871450389345</v>
      </c>
      <c r="E48" s="3582">
        <f>SUM(E45:E47)/E29</f>
        <v>0.26129029717711522</v>
      </c>
      <c r="F48" s="3582">
        <f>SUM(F45:F47)/F29</f>
        <v>0.26197467616544939</v>
      </c>
      <c r="G48" s="3582">
        <f>SUM(G45:G47)/G29</f>
        <v>0.26179014987318916</v>
      </c>
    </row>
    <row r="49" spans="1:7" x14ac:dyDescent="0.25">
      <c r="A49" s="3577" t="s">
        <v>12540</v>
      </c>
      <c r="C49" s="3582">
        <f>SUM(C36:C44)/C29</f>
        <v>0.74021990801927273</v>
      </c>
      <c r="D49" s="3582">
        <f>SUM(D36:D44)/D29</f>
        <v>0.7391112854961065</v>
      </c>
      <c r="E49" s="3582">
        <f>SUM(E36:E44)/E29</f>
        <v>0.73870970282288484</v>
      </c>
      <c r="F49" s="3582">
        <f>SUM(F36:F44)/F29</f>
        <v>0.73802532383455055</v>
      </c>
      <c r="G49" s="3582">
        <f>SUM(G36:G44)/G29</f>
        <v>0.73820985012681095</v>
      </c>
    </row>
  </sheetData>
  <mergeCells count="8">
    <mergeCell ref="C26:G26"/>
    <mergeCell ref="C27:G27"/>
    <mergeCell ref="A1:G1"/>
    <mergeCell ref="C25:G25"/>
    <mergeCell ref="D20:E20"/>
    <mergeCell ref="D21:E21"/>
    <mergeCell ref="D22:E22"/>
    <mergeCell ref="C2:G2"/>
  </mergeCells>
  <phoneticPr fontId="0" type="noConversion"/>
  <hyperlinks>
    <hyperlink ref="A20" location="TOC!A1" display="TOC" xr:uid="{00000000-0004-0000-0A00-000000000000}"/>
  </hyperlinks>
  <printOptions horizontalCentered="1" headings="1"/>
  <pageMargins left="0.5" right="0.5" top="1" bottom="0.8" header="0.25" footer="0.25"/>
  <pageSetup scale="75" orientation="landscape" r:id="rId1"/>
  <headerFooter alignWithMargins="0">
    <oddFooter>&amp;LFY 2026-2028 ASC Filing&amp;CPage &amp;P of &amp;N&amp;R&amp;A
&amp;D</oddFooter>
  </headerFooter>
  <customProperties>
    <customPr name="_pios_id" r:id="rId2"/>
  </customPropertie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9">
    <tabColor indexed="55"/>
  </sheetPr>
  <dimension ref="A1:H29"/>
  <sheetViews>
    <sheetView zoomScaleNormal="100" workbookViewId="0">
      <selection sqref="A1:XFD1048576"/>
    </sheetView>
  </sheetViews>
  <sheetFormatPr defaultRowHeight="15.75" x14ac:dyDescent="0.25"/>
  <cols>
    <col min="1" max="1" width="9.125" customWidth="1"/>
    <col min="2" max="2" width="5.125" customWidth="1"/>
    <col min="3" max="3" width="14.625" customWidth="1"/>
    <col min="4" max="4" width="15.625" customWidth="1"/>
    <col min="5" max="5" width="18.625" customWidth="1"/>
    <col min="6" max="6" width="13.5" customWidth="1"/>
    <col min="7" max="7" width="9.875" hidden="1" customWidth="1"/>
    <col min="8" max="8" width="10.75" customWidth="1"/>
  </cols>
  <sheetData>
    <row r="1" spans="1:8" ht="19.5" thickTop="1" x14ac:dyDescent="0.3">
      <c r="A1" s="3637" t="s">
        <v>54</v>
      </c>
      <c r="B1" s="3638"/>
      <c r="C1" s="3638"/>
      <c r="D1" s="3638"/>
      <c r="E1" s="3638"/>
      <c r="F1" s="3638"/>
      <c r="G1" s="3638"/>
      <c r="H1" s="3639"/>
    </row>
    <row r="2" spans="1:8" x14ac:dyDescent="0.25">
      <c r="A2" s="3635" t="s">
        <v>56</v>
      </c>
      <c r="B2" s="3612"/>
      <c r="C2" s="3612"/>
      <c r="D2" s="3612"/>
      <c r="E2" s="3612"/>
      <c r="F2" s="3612"/>
      <c r="G2" s="3612"/>
      <c r="H2" s="3636"/>
    </row>
    <row r="3" spans="1:8" x14ac:dyDescent="0.25">
      <c r="A3" s="3633" t="s">
        <v>721</v>
      </c>
      <c r="B3" s="3609"/>
      <c r="C3" s="3609"/>
      <c r="D3" s="3609"/>
      <c r="E3" s="3609"/>
      <c r="F3" s="3609"/>
      <c r="G3" s="3609"/>
      <c r="H3" s="3634"/>
    </row>
    <row r="4" spans="1:8" ht="16.5" thickBot="1" x14ac:dyDescent="0.3">
      <c r="A4" s="367"/>
      <c r="B4" s="3"/>
      <c r="C4" s="3"/>
      <c r="D4" s="3"/>
      <c r="E4" s="3"/>
      <c r="F4" s="3"/>
      <c r="G4" s="90"/>
      <c r="H4" s="223"/>
    </row>
    <row r="5" spans="1:8" x14ac:dyDescent="0.25">
      <c r="A5" s="1378" t="s">
        <v>695</v>
      </c>
      <c r="C5" s="505" t="s">
        <v>572</v>
      </c>
      <c r="D5" s="3648" t="str">
        <f>'Sch 1- Rate Base '!$E$5</f>
        <v>PacifiCorp</v>
      </c>
      <c r="E5" s="3656"/>
      <c r="F5" s="603"/>
      <c r="G5" s="90"/>
      <c r="H5" s="223"/>
    </row>
    <row r="6" spans="1:8" x14ac:dyDescent="0.25">
      <c r="A6" s="158"/>
      <c r="C6" s="505" t="s">
        <v>574</v>
      </c>
      <c r="D6" s="3650">
        <f>'Sch 1- Rate Base '!$E$6</f>
        <v>2023</v>
      </c>
      <c r="E6" s="3657"/>
      <c r="F6" s="603"/>
      <c r="G6" s="90"/>
      <c r="H6" s="223"/>
    </row>
    <row r="7" spans="1:8" ht="16.5" thickBot="1" x14ac:dyDescent="0.3">
      <c r="A7" s="158"/>
      <c r="C7" s="505" t="s">
        <v>575</v>
      </c>
      <c r="D7" s="3652">
        <f>'Sch 1- Rate Base '!$E$7</f>
        <v>45446</v>
      </c>
      <c r="E7" s="3733"/>
      <c r="F7" s="603"/>
      <c r="G7" s="90"/>
      <c r="H7" s="223"/>
    </row>
    <row r="8" spans="1:8" x14ac:dyDescent="0.25">
      <c r="A8" s="158"/>
      <c r="C8" s="505"/>
      <c r="D8" s="626"/>
      <c r="E8" s="623"/>
      <c r="F8" s="625"/>
      <c r="G8" s="90"/>
      <c r="H8" s="223"/>
    </row>
    <row r="9" spans="1:8" x14ac:dyDescent="0.25">
      <c r="A9" s="158"/>
      <c r="B9" s="596"/>
      <c r="C9" s="3"/>
      <c r="D9" s="3"/>
      <c r="E9" s="3"/>
      <c r="F9" s="625"/>
      <c r="G9" s="90"/>
      <c r="H9" s="223"/>
    </row>
    <row r="10" spans="1:8" x14ac:dyDescent="0.25">
      <c r="A10" s="597" t="s">
        <v>580</v>
      </c>
      <c r="B10" s="598"/>
      <c r="C10" s="598"/>
      <c r="D10" s="598"/>
      <c r="E10" s="598"/>
      <c r="F10" s="598"/>
      <c r="G10" s="90"/>
      <c r="H10" s="223"/>
    </row>
    <row r="11" spans="1:8" ht="16.5" thickBot="1" x14ac:dyDescent="0.3">
      <c r="A11" s="601"/>
      <c r="B11" s="602"/>
      <c r="C11" s="602"/>
      <c r="D11" s="602"/>
      <c r="E11" s="602"/>
      <c r="F11" s="602"/>
      <c r="G11" s="235"/>
      <c r="H11" s="236"/>
    </row>
    <row r="12" spans="1:8" x14ac:dyDescent="0.25">
      <c r="A12" s="342"/>
      <c r="H12" s="355"/>
    </row>
    <row r="13" spans="1:8" x14ac:dyDescent="0.25">
      <c r="A13" s="3557"/>
      <c r="B13" s="3737" t="s">
        <v>12532</v>
      </c>
      <c r="C13" s="3737"/>
      <c r="D13" s="3737"/>
      <c r="E13" s="3737"/>
      <c r="F13" s="848"/>
      <c r="H13" s="355"/>
    </row>
    <row r="14" spans="1:8" x14ac:dyDescent="0.25">
      <c r="A14" s="3557"/>
      <c r="B14" s="3558" t="s">
        <v>8031</v>
      </c>
      <c r="C14" s="3558" t="s">
        <v>12533</v>
      </c>
      <c r="D14" s="3558" t="s">
        <v>12534</v>
      </c>
      <c r="E14" s="3558" t="s">
        <v>552</v>
      </c>
      <c r="F14" s="848"/>
      <c r="H14" s="355"/>
    </row>
    <row r="15" spans="1:8" x14ac:dyDescent="0.25">
      <c r="A15" s="3557"/>
      <c r="B15" s="3559" t="s">
        <v>900</v>
      </c>
      <c r="C15" s="3560" t="s">
        <v>106</v>
      </c>
      <c r="D15" s="3561">
        <v>3.8159999999999999E-2</v>
      </c>
      <c r="E15" s="3561">
        <v>3.5029999999999999E-2</v>
      </c>
      <c r="F15" s="3562"/>
      <c r="H15" s="355"/>
    </row>
    <row r="16" spans="1:8" x14ac:dyDescent="0.25">
      <c r="A16" s="3557"/>
      <c r="B16" s="3559"/>
      <c r="C16" s="3560" t="s">
        <v>512</v>
      </c>
      <c r="D16" s="3561">
        <v>6.0179999999999997E-2</v>
      </c>
      <c r="E16" s="3561">
        <v>5.5579999999999997E-2</v>
      </c>
      <c r="F16" s="3562"/>
      <c r="H16" s="355"/>
    </row>
    <row r="17" spans="1:8" x14ac:dyDescent="0.25">
      <c r="A17" s="3557"/>
      <c r="B17" s="3563"/>
      <c r="C17" s="3564" t="s">
        <v>104</v>
      </c>
      <c r="D17" s="3565">
        <v>9.8339999999999997E-2</v>
      </c>
      <c r="E17" s="3565">
        <v>9.0609999999999996E-2</v>
      </c>
      <c r="F17" s="3566"/>
      <c r="H17" s="355"/>
    </row>
    <row r="18" spans="1:8" x14ac:dyDescent="0.25">
      <c r="A18" s="3557"/>
      <c r="B18" s="3567"/>
      <c r="C18" s="3567"/>
      <c r="D18" s="3568"/>
      <c r="E18" s="3568"/>
      <c r="F18" s="3166"/>
      <c r="H18" s="355"/>
    </row>
    <row r="19" spans="1:8" x14ac:dyDescent="0.25">
      <c r="A19" s="3557"/>
      <c r="B19" s="3569" t="s">
        <v>898</v>
      </c>
      <c r="C19" s="3569" t="s">
        <v>106</v>
      </c>
      <c r="D19" s="3561">
        <v>3.8159999999999999E-2</v>
      </c>
      <c r="E19" s="3561">
        <v>3.5029999999999999E-2</v>
      </c>
      <c r="F19" s="3166"/>
      <c r="H19" s="355"/>
    </row>
    <row r="20" spans="1:8" x14ac:dyDescent="0.25">
      <c r="A20" s="3557"/>
      <c r="B20" s="3570"/>
      <c r="C20" s="3571" t="s">
        <v>512</v>
      </c>
      <c r="D20" s="3561">
        <v>4.6510000000000003E-2</v>
      </c>
      <c r="E20" s="3561">
        <v>4.462E-2</v>
      </c>
      <c r="F20" s="3572"/>
      <c r="H20" s="355"/>
    </row>
    <row r="21" spans="1:8" x14ac:dyDescent="0.25">
      <c r="A21" s="3557"/>
      <c r="B21" s="3560"/>
      <c r="C21" s="3564" t="s">
        <v>104</v>
      </c>
      <c r="D21" s="3565">
        <v>8.4669999999999995E-2</v>
      </c>
      <c r="E21" s="3565">
        <v>7.9649999999999999E-2</v>
      </c>
      <c r="H21" s="355"/>
    </row>
    <row r="22" spans="1:8" x14ac:dyDescent="0.25">
      <c r="A22" s="3573"/>
      <c r="B22" s="3560"/>
      <c r="C22" s="3560"/>
      <c r="D22" s="3561"/>
      <c r="E22" s="3561"/>
      <c r="H22" s="355"/>
    </row>
    <row r="23" spans="1:8" x14ac:dyDescent="0.25">
      <c r="A23" s="3573"/>
      <c r="B23" s="3571" t="s">
        <v>8068</v>
      </c>
      <c r="C23" s="3560" t="s">
        <v>106</v>
      </c>
      <c r="D23" s="3561">
        <v>3.8159999999999999E-2</v>
      </c>
      <c r="E23" s="3561">
        <v>3.5029999999999999E-2</v>
      </c>
      <c r="H23" s="355"/>
    </row>
    <row r="24" spans="1:8" x14ac:dyDescent="0.25">
      <c r="A24" s="3557"/>
      <c r="B24" s="3560"/>
      <c r="C24" s="3560" t="s">
        <v>512</v>
      </c>
      <c r="D24" s="3561">
        <v>3.9399999999999998E-2</v>
      </c>
      <c r="E24" s="3561">
        <v>4.1730000000000003E-2</v>
      </c>
      <c r="H24" s="355"/>
    </row>
    <row r="25" spans="1:8" x14ac:dyDescent="0.25">
      <c r="A25" s="3557"/>
      <c r="B25" s="3571"/>
      <c r="C25" s="3564" t="s">
        <v>104</v>
      </c>
      <c r="D25" s="3565">
        <v>7.7560000000000004E-2</v>
      </c>
      <c r="E25" s="3565">
        <v>7.6759999999999995E-2</v>
      </c>
      <c r="H25" s="355"/>
    </row>
    <row r="26" spans="1:8" ht="16.5" thickBot="1" x14ac:dyDescent="0.3">
      <c r="A26" s="3574"/>
      <c r="B26" s="1311"/>
      <c r="C26" s="848"/>
      <c r="D26" s="1311"/>
      <c r="E26" s="1311"/>
      <c r="F26" s="1521"/>
      <c r="H26" s="355"/>
    </row>
    <row r="27" spans="1:8" ht="16.5" thickBot="1" x14ac:dyDescent="0.3">
      <c r="A27" s="3557"/>
      <c r="B27" s="3738" t="s">
        <v>12535</v>
      </c>
      <c r="C27" s="3738"/>
      <c r="D27" s="3575">
        <f>AVERAGE(E16,E20,E24)</f>
        <v>4.7309999999999998E-2</v>
      </c>
      <c r="H27" s="355"/>
    </row>
    <row r="28" spans="1:8" ht="16.5" thickBot="1" x14ac:dyDescent="0.3">
      <c r="A28" s="341"/>
      <c r="B28" s="599"/>
      <c r="C28" s="599"/>
      <c r="D28" s="599"/>
      <c r="E28" s="599"/>
      <c r="F28" s="599"/>
      <c r="G28" s="599"/>
      <c r="H28" s="600"/>
    </row>
    <row r="29" spans="1:8" ht="16.5" thickTop="1" x14ac:dyDescent="0.25"/>
  </sheetData>
  <mergeCells count="8">
    <mergeCell ref="B13:E13"/>
    <mergeCell ref="B27:C27"/>
    <mergeCell ref="D6:E6"/>
    <mergeCell ref="D7:E7"/>
    <mergeCell ref="A1:H1"/>
    <mergeCell ref="A2:H2"/>
    <mergeCell ref="A3:H3"/>
    <mergeCell ref="D5:E5"/>
  </mergeCells>
  <phoneticPr fontId="0" type="noConversion"/>
  <hyperlinks>
    <hyperlink ref="A5" location="TOC!A1" display="TOC" xr:uid="{00000000-0004-0000-0B00-000000000000}"/>
  </hyperlinks>
  <printOptions horizontalCentered="1" headings="1"/>
  <pageMargins left="0.5" right="0.5" top="1" bottom="0.8" header="0.25" footer="0.25"/>
  <pageSetup scale="75" orientation="landscape" r:id="rId1"/>
  <headerFooter alignWithMargins="0">
    <oddFooter>&amp;LFY 2026-2028 ASC Filing&amp;CPage &amp;P of &amp;N&amp;R&amp;A
&amp;D</oddFooter>
  </headerFooter>
  <customProperties>
    <customPr name="_pios_id" r:id="rId2"/>
  </customPropertie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6">
    <tabColor indexed="19"/>
  </sheetPr>
  <dimension ref="A1:M42"/>
  <sheetViews>
    <sheetView zoomScaleNormal="100" zoomScaleSheetLayoutView="100" workbookViewId="0">
      <selection activeCell="F1" sqref="F1"/>
    </sheetView>
  </sheetViews>
  <sheetFormatPr defaultColWidth="9" defaultRowHeight="12.75" x14ac:dyDescent="0.2"/>
  <cols>
    <col min="1" max="1" width="7.125" style="57" customWidth="1"/>
    <col min="2" max="2" width="48.125" style="57" customWidth="1"/>
    <col min="3" max="3" width="22.125" style="71" customWidth="1"/>
    <col min="4" max="4" width="24.375" style="57" customWidth="1"/>
    <col min="5" max="5" width="0.125" style="57" customWidth="1"/>
    <col min="6" max="16384" width="9" style="57"/>
  </cols>
  <sheetData>
    <row r="1" spans="1:13" ht="19.5" thickTop="1" x14ac:dyDescent="0.3">
      <c r="A1" s="3637" t="s">
        <v>54</v>
      </c>
      <c r="B1" s="3638"/>
      <c r="C1" s="3638"/>
      <c r="D1" s="3639"/>
    </row>
    <row r="2" spans="1:13" ht="15.75" x14ac:dyDescent="0.25">
      <c r="A2" s="3635" t="s">
        <v>56</v>
      </c>
      <c r="B2" s="3612"/>
      <c r="C2" s="3612"/>
      <c r="D2" s="3636"/>
      <c r="H2"/>
      <c r="I2"/>
      <c r="J2"/>
      <c r="K2"/>
      <c r="L2"/>
      <c r="M2"/>
    </row>
    <row r="3" spans="1:13" ht="15.75" x14ac:dyDescent="0.25">
      <c r="A3" s="3633" t="s">
        <v>719</v>
      </c>
      <c r="B3" s="3609"/>
      <c r="C3" s="3609"/>
      <c r="D3" s="3634"/>
      <c r="H3"/>
      <c r="I3"/>
      <c r="J3"/>
      <c r="K3"/>
      <c r="L3"/>
      <c r="M3"/>
    </row>
    <row r="4" spans="1:13" ht="12.75" customHeight="1" thickBot="1" x14ac:dyDescent="0.3">
      <c r="A4" s="367"/>
      <c r="B4" s="180"/>
      <c r="C4" s="180"/>
      <c r="D4" s="237"/>
      <c r="H4"/>
      <c r="I4"/>
      <c r="J4"/>
      <c r="K4"/>
      <c r="L4"/>
      <c r="M4"/>
    </row>
    <row r="5" spans="1:13" ht="15.75" x14ac:dyDescent="0.25">
      <c r="A5" s="1238" t="s">
        <v>695</v>
      </c>
      <c r="B5" s="505" t="s">
        <v>572</v>
      </c>
      <c r="C5" s="1197" t="str">
        <f>'Sch 1- Rate Base '!$E$5</f>
        <v>PacifiCorp</v>
      </c>
      <c r="D5" s="355"/>
      <c r="E5"/>
      <c r="H5" s="603"/>
      <c r="I5" s="603"/>
      <c r="J5" s="603"/>
    </row>
    <row r="6" spans="1:13" ht="15.75" x14ac:dyDescent="0.25">
      <c r="A6" s="1298"/>
      <c r="B6" s="505" t="s">
        <v>574</v>
      </c>
      <c r="C6" s="1198">
        <f>'Sch 1- Rate Base '!$E$6</f>
        <v>2023</v>
      </c>
      <c r="D6" s="355"/>
      <c r="E6"/>
      <c r="H6" s="603"/>
      <c r="I6" s="603"/>
      <c r="J6" s="603"/>
    </row>
    <row r="7" spans="1:13" ht="16.5" thickBot="1" x14ac:dyDescent="0.3">
      <c r="A7" s="340" t="s">
        <v>722</v>
      </c>
      <c r="B7" s="505" t="s">
        <v>575</v>
      </c>
      <c r="C7" s="1199">
        <f>'Sch 1- Rate Base '!$E$7</f>
        <v>45446</v>
      </c>
      <c r="D7" s="355"/>
      <c r="E7"/>
      <c r="H7" s="1310"/>
      <c r="I7" s="603"/>
      <c r="J7" s="603"/>
    </row>
    <row r="8" spans="1:13" ht="15.75" hidden="1" customHeight="1" x14ac:dyDescent="0.25">
      <c r="A8" s="629"/>
      <c r="B8" s="624"/>
      <c r="C8" s="625"/>
      <c r="D8" s="628"/>
      <c r="E8"/>
    </row>
    <row r="9" spans="1:13" ht="16.5" hidden="1" customHeight="1" thickBot="1" x14ac:dyDescent="0.3">
      <c r="A9" s="367"/>
      <c r="B9" s="180"/>
      <c r="C9" s="625"/>
      <c r="D9" s="237"/>
    </row>
    <row r="10" spans="1:13" ht="16.5" thickBot="1" x14ac:dyDescent="0.3">
      <c r="A10" s="3690" t="s">
        <v>330</v>
      </c>
      <c r="B10" s="3691"/>
      <c r="C10" s="3691"/>
      <c r="D10" s="3692"/>
      <c r="E10"/>
    </row>
    <row r="11" spans="1:13" ht="15.75" x14ac:dyDescent="0.25">
      <c r="A11" s="3742" t="s">
        <v>231</v>
      </c>
      <c r="B11" s="3743"/>
      <c r="C11" s="242" t="s">
        <v>323</v>
      </c>
      <c r="D11" s="3739" t="s">
        <v>441</v>
      </c>
      <c r="E11"/>
    </row>
    <row r="12" spans="1:13" ht="15.75" x14ac:dyDescent="0.25">
      <c r="A12" s="3744"/>
      <c r="B12" s="3745"/>
      <c r="C12" s="218" t="s">
        <v>272</v>
      </c>
      <c r="D12" s="3740"/>
      <c r="E12"/>
    </row>
    <row r="13" spans="1:13" ht="16.5" thickBot="1" x14ac:dyDescent="0.3">
      <c r="A13" s="3746"/>
      <c r="B13" s="3747"/>
      <c r="C13" s="243" t="s">
        <v>273</v>
      </c>
      <c r="D13" s="3741"/>
      <c r="E13"/>
    </row>
    <row r="14" spans="1:13" ht="15.75" x14ac:dyDescent="0.25">
      <c r="A14" s="373" t="s">
        <v>511</v>
      </c>
      <c r="B14" s="95"/>
      <c r="C14" s="180"/>
      <c r="D14" s="237"/>
      <c r="E14"/>
    </row>
    <row r="15" spans="1:13" ht="15.75" x14ac:dyDescent="0.25">
      <c r="A15" s="373" t="s">
        <v>437</v>
      </c>
      <c r="B15" s="95"/>
      <c r="C15" s="245"/>
      <c r="D15" s="238"/>
    </row>
    <row r="16" spans="1:13" x14ac:dyDescent="0.2">
      <c r="A16" s="374">
        <v>1</v>
      </c>
      <c r="B16" s="537" t="s">
        <v>105</v>
      </c>
      <c r="C16" s="246" t="s">
        <v>331</v>
      </c>
      <c r="D16" s="247">
        <f>SUMIF('Pg 354 - Distribution of Salari'!$B$10:$B$17,B16,'Pg 354 - Distribution of Salari'!$C$10:$C$17)</f>
        <v>101070250</v>
      </c>
    </row>
    <row r="17" spans="1:4" x14ac:dyDescent="0.2">
      <c r="A17" s="374">
        <v>2</v>
      </c>
      <c r="B17" s="537" t="s">
        <v>106</v>
      </c>
      <c r="C17" s="246" t="s">
        <v>331</v>
      </c>
      <c r="D17" s="247">
        <f>SUMIF('Pg 354 - Distribution of Salari'!$B$10:$B$17,B17,'Pg 354 - Distribution of Salari'!$C$10:$C$17)</f>
        <v>19918542</v>
      </c>
    </row>
    <row r="18" spans="1:4" x14ac:dyDescent="0.2">
      <c r="A18" s="374">
        <v>3</v>
      </c>
      <c r="B18" s="537" t="s">
        <v>512</v>
      </c>
      <c r="C18" s="246" t="s">
        <v>331</v>
      </c>
      <c r="D18" s="247">
        <f>SUMIF('Pg 354 - Distribution of Salari'!$B$10:$B$17,B18,'Pg 354 - Distribution of Salari'!$C$10:$C$17)</f>
        <v>47998132</v>
      </c>
    </row>
    <row r="19" spans="1:4" x14ac:dyDescent="0.2">
      <c r="A19" s="374">
        <v>4</v>
      </c>
      <c r="B19" s="537" t="s">
        <v>513</v>
      </c>
      <c r="C19" s="246" t="s">
        <v>331</v>
      </c>
      <c r="D19" s="247">
        <f>SUMIF('Pg 354 - Distribution of Salari'!$B$10:$B$17,B19,'Pg 354 - Distribution of Salari'!$C$10:$C$17)</f>
        <v>29892118</v>
      </c>
    </row>
    <row r="20" spans="1:4" x14ac:dyDescent="0.2">
      <c r="A20" s="374">
        <v>5</v>
      </c>
      <c r="B20" s="537" t="s">
        <v>172</v>
      </c>
      <c r="C20" s="246" t="s">
        <v>331</v>
      </c>
      <c r="D20" s="247">
        <f>SUMIF('Pg 354 - Distribution of Salari'!$B$10:$B$17,"Customer Service and Informational",'Pg 354 - Distribution of Salari'!$C$10:$C$17)</f>
        <v>8580394</v>
      </c>
    </row>
    <row r="21" spans="1:4" x14ac:dyDescent="0.2">
      <c r="A21" s="374">
        <v>6</v>
      </c>
      <c r="B21" s="537" t="s">
        <v>515</v>
      </c>
      <c r="C21" s="246" t="s">
        <v>331</v>
      </c>
      <c r="D21" s="247">
        <f>SUMIF('Pg 354 - Distribution of Salari'!$B$10:$B$17,B21,'Pg 354 - Distribution of Salari'!$C$10:$C$17)</f>
        <v>0</v>
      </c>
    </row>
    <row r="22" spans="1:4" x14ac:dyDescent="0.2">
      <c r="A22" s="374">
        <v>7</v>
      </c>
      <c r="B22" s="537" t="s">
        <v>516</v>
      </c>
      <c r="C22" s="246" t="s">
        <v>331</v>
      </c>
      <c r="D22" s="247">
        <f>SUMIF('Pg 354 - Distribution of Salari'!$B$10:$B$17,B22,'Pg 354 - Distribution of Salari'!$C$10:$C$17)</f>
        <v>38419021</v>
      </c>
    </row>
    <row r="23" spans="1:4" ht="15.75" x14ac:dyDescent="0.25">
      <c r="A23" s="373" t="s">
        <v>206</v>
      </c>
      <c r="B23" s="96"/>
      <c r="C23" s="538"/>
      <c r="D23" s="539">
        <f>SUM(D16:D22)</f>
        <v>245878457</v>
      </c>
    </row>
    <row r="24" spans="1:4" ht="15.75" x14ac:dyDescent="0.25">
      <c r="A24" s="374"/>
      <c r="B24" s="96"/>
      <c r="C24" s="98"/>
      <c r="D24" s="244"/>
    </row>
    <row r="25" spans="1:4" ht="15.75" x14ac:dyDescent="0.25">
      <c r="A25" s="373" t="s">
        <v>438</v>
      </c>
      <c r="B25" s="95"/>
      <c r="C25" s="99"/>
      <c r="D25" s="244"/>
    </row>
    <row r="26" spans="1:4" x14ac:dyDescent="0.2">
      <c r="A26" s="374">
        <v>9</v>
      </c>
      <c r="B26" s="537" t="s">
        <v>105</v>
      </c>
      <c r="C26" s="246" t="s">
        <v>331</v>
      </c>
      <c r="D26" s="247">
        <f>SUMIF('Pg 354 - Distribution of Salari'!$B$20:$B$24,B26,'Pg 354 - Distribution of Salari'!$C$20:$C$24)</f>
        <v>42331535</v>
      </c>
    </row>
    <row r="27" spans="1:4" x14ac:dyDescent="0.2">
      <c r="A27" s="374">
        <v>10</v>
      </c>
      <c r="B27" s="537" t="s">
        <v>106</v>
      </c>
      <c r="C27" s="246" t="s">
        <v>331</v>
      </c>
      <c r="D27" s="247">
        <f>SUMIF('Pg 354 - Distribution of Salari'!$B$20:$B$24,B27,'Pg 354 - Distribution of Salari'!$C$20:$C$24)</f>
        <v>13251987</v>
      </c>
    </row>
    <row r="28" spans="1:4" x14ac:dyDescent="0.2">
      <c r="A28" s="374">
        <v>11</v>
      </c>
      <c r="B28" s="537" t="s">
        <v>512</v>
      </c>
      <c r="C28" s="246" t="s">
        <v>331</v>
      </c>
      <c r="D28" s="247">
        <f>SUMIF('Pg 354 - Distribution of Salari'!$B$20:$B$24,B28,'Pg 354 - Distribution of Salari'!$C$20:$C$24)</f>
        <v>83215928</v>
      </c>
    </row>
    <row r="29" spans="1:4" x14ac:dyDescent="0.2">
      <c r="A29" s="374">
        <v>12</v>
      </c>
      <c r="B29" s="537" t="s">
        <v>516</v>
      </c>
      <c r="C29" s="246" t="s">
        <v>331</v>
      </c>
      <c r="D29" s="247">
        <f>SUMIF('Pg 354 - Distribution of Salari'!$B$20:$B$24,B29,'Pg 354 - Distribution of Salari'!$C$20:$C$24)</f>
        <v>1739480</v>
      </c>
    </row>
    <row r="30" spans="1:4" ht="15.75" x14ac:dyDescent="0.25">
      <c r="A30" s="373" t="s">
        <v>207</v>
      </c>
      <c r="B30" s="95"/>
      <c r="C30" s="538"/>
      <c r="D30" s="539">
        <f>SUM(D26:D29)</f>
        <v>140538930</v>
      </c>
    </row>
    <row r="31" spans="1:4" ht="15.75" x14ac:dyDescent="0.25">
      <c r="A31" s="373"/>
      <c r="B31" s="95"/>
      <c r="C31" s="99"/>
      <c r="D31" s="244"/>
    </row>
    <row r="32" spans="1:4" ht="15.75" x14ac:dyDescent="0.25">
      <c r="A32" s="373" t="s">
        <v>279</v>
      </c>
      <c r="B32" s="95"/>
      <c r="C32" s="99"/>
      <c r="D32" s="244"/>
    </row>
    <row r="33" spans="1:4" x14ac:dyDescent="0.2">
      <c r="A33" s="374"/>
      <c r="B33" s="537" t="s">
        <v>280</v>
      </c>
      <c r="C33" s="246" t="s">
        <v>331</v>
      </c>
      <c r="D33" s="247">
        <f>+D16+D26</f>
        <v>143401785</v>
      </c>
    </row>
    <row r="34" spans="1:4" x14ac:dyDescent="0.2">
      <c r="A34" s="374"/>
      <c r="B34" s="537" t="s">
        <v>281</v>
      </c>
      <c r="C34" s="246" t="s">
        <v>331</v>
      </c>
      <c r="D34" s="247">
        <f>+D17+D27</f>
        <v>33170529</v>
      </c>
    </row>
    <row r="35" spans="1:4" x14ac:dyDescent="0.2">
      <c r="A35" s="374"/>
      <c r="B35" s="537" t="s">
        <v>170</v>
      </c>
      <c r="C35" s="246" t="s">
        <v>331</v>
      </c>
      <c r="D35" s="247">
        <f>+D18+D28</f>
        <v>131214060</v>
      </c>
    </row>
    <row r="36" spans="1:4" x14ac:dyDescent="0.2">
      <c r="A36" s="374"/>
      <c r="B36" s="537" t="s">
        <v>171</v>
      </c>
      <c r="C36" s="246" t="s">
        <v>331</v>
      </c>
      <c r="D36" s="247">
        <f>+D19</f>
        <v>29892118</v>
      </c>
    </row>
    <row r="37" spans="1:4" x14ac:dyDescent="0.2">
      <c r="A37" s="374"/>
      <c r="B37" s="537" t="s">
        <v>173</v>
      </c>
      <c r="C37" s="246" t="s">
        <v>331</v>
      </c>
      <c r="D37" s="247">
        <f>+D20</f>
        <v>8580394</v>
      </c>
    </row>
    <row r="38" spans="1:4" x14ac:dyDescent="0.2">
      <c r="A38" s="374"/>
      <c r="B38" s="537" t="s">
        <v>174</v>
      </c>
      <c r="C38" s="246" t="s">
        <v>331</v>
      </c>
      <c r="D38" s="247">
        <f>+D21</f>
        <v>0</v>
      </c>
    </row>
    <row r="39" spans="1:4" x14ac:dyDescent="0.2">
      <c r="A39" s="374"/>
      <c r="B39" s="537" t="s">
        <v>175</v>
      </c>
      <c r="C39" s="246" t="s">
        <v>331</v>
      </c>
      <c r="D39" s="247">
        <f>+D22+D29</f>
        <v>40158501</v>
      </c>
    </row>
    <row r="40" spans="1:4" ht="15.75" x14ac:dyDescent="0.25">
      <c r="A40" s="373" t="s">
        <v>208</v>
      </c>
      <c r="B40" s="96"/>
      <c r="C40" s="538"/>
      <c r="D40" s="539">
        <f>SUM(D33:D39)</f>
        <v>386417387</v>
      </c>
    </row>
    <row r="41" spans="1:4" ht="13.5" thickBot="1" x14ac:dyDescent="0.25">
      <c r="A41" s="375"/>
      <c r="B41" s="239"/>
      <c r="C41" s="240"/>
      <c r="D41" s="241"/>
    </row>
    <row r="42" spans="1:4" ht="13.5" thickTop="1" x14ac:dyDescent="0.2"/>
  </sheetData>
  <mergeCells count="6">
    <mergeCell ref="D11:D13"/>
    <mergeCell ref="A11:B13"/>
    <mergeCell ref="A1:D1"/>
    <mergeCell ref="A2:D2"/>
    <mergeCell ref="A3:D3"/>
    <mergeCell ref="A10:D10"/>
  </mergeCells>
  <phoneticPr fontId="0" type="noConversion"/>
  <hyperlinks>
    <hyperlink ref="A5" location="TOC!A1" display="TOC" xr:uid="{00000000-0004-0000-0C00-000000000000}"/>
  </hyperlinks>
  <printOptions horizontalCentered="1" headings="1"/>
  <pageMargins left="0.5" right="0.5" top="1" bottom="0.8" header="0.25" footer="0.25"/>
  <pageSetup scale="75" orientation="landscape" r:id="rId1"/>
  <headerFooter alignWithMargins="0">
    <oddFooter>&amp;LFY 2026-2028 ASC Filing&amp;CPage &amp;P of &amp;N&amp;R&amp;A
&amp;D</oddFooter>
  </headerFooter>
  <customProperties>
    <customPr name="_pios_id" r:id="rId2"/>
  </customProperties>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7">
    <tabColor indexed="10"/>
  </sheetPr>
  <dimension ref="A1:S89"/>
  <sheetViews>
    <sheetView topLeftCell="A56" zoomScale="75" zoomScaleNormal="75" zoomScaleSheetLayoutView="75" workbookViewId="0">
      <selection activeCell="F89" sqref="F89"/>
    </sheetView>
  </sheetViews>
  <sheetFormatPr defaultColWidth="8" defaultRowHeight="12.75" x14ac:dyDescent="0.2"/>
  <cols>
    <col min="1" max="1" width="10.375" style="70" customWidth="1"/>
    <col min="2" max="2" width="54.625" style="65" customWidth="1"/>
    <col min="3" max="3" width="15.5" style="65" customWidth="1"/>
    <col min="4" max="4" width="17.125" style="66" bestFit="1" customWidth="1"/>
    <col min="5" max="5" width="15.875" style="66" bestFit="1" customWidth="1"/>
    <col min="6" max="6" width="15.375" style="66" bestFit="1" customWidth="1"/>
    <col min="7" max="7" width="17.375" style="66" customWidth="1"/>
    <col min="8" max="8" width="8.25" style="65" bestFit="1" customWidth="1"/>
    <col min="9" max="9" width="12.375" style="65" customWidth="1"/>
    <col min="10" max="11" width="12.625" style="65" customWidth="1"/>
    <col min="12" max="12" width="16.25" style="65" customWidth="1"/>
    <col min="13" max="14" width="10" style="65" customWidth="1"/>
    <col min="15" max="16" width="12.625" style="65" customWidth="1"/>
    <col min="17" max="19" width="18.625" style="65" customWidth="1"/>
    <col min="20" max="16384" width="8" style="65"/>
  </cols>
  <sheetData>
    <row r="1" spans="1:19" ht="15.75" customHeight="1" thickTop="1" x14ac:dyDescent="0.3">
      <c r="A1" s="100" t="s">
        <v>54</v>
      </c>
      <c r="B1" s="101"/>
      <c r="C1" s="102"/>
      <c r="D1" s="103"/>
      <c r="E1" s="102"/>
      <c r="F1" s="118"/>
      <c r="G1" s="119"/>
      <c r="M1" s="839" t="s">
        <v>244</v>
      </c>
      <c r="R1" s="840">
        <f>R46</f>
        <v>2871723836.2252374</v>
      </c>
    </row>
    <row r="2" spans="1:19" ht="15.75" customHeight="1" x14ac:dyDescent="0.25">
      <c r="A2" s="104" t="s">
        <v>56</v>
      </c>
      <c r="B2" s="83"/>
      <c r="C2" s="94"/>
      <c r="D2" s="97"/>
      <c r="E2" s="94"/>
      <c r="F2" s="120"/>
      <c r="G2" s="121"/>
      <c r="M2" s="839" t="s">
        <v>119</v>
      </c>
      <c r="R2" s="840">
        <f>E46</f>
        <v>5582371867.6053581</v>
      </c>
    </row>
    <row r="3" spans="1:19" ht="15.75" customHeight="1" x14ac:dyDescent="0.25">
      <c r="A3" s="3608" t="s">
        <v>719</v>
      </c>
      <c r="B3" s="3609"/>
      <c r="C3" s="3609"/>
      <c r="D3" s="3609"/>
      <c r="E3" s="3609"/>
      <c r="F3" s="3609"/>
      <c r="G3" s="3610"/>
      <c r="M3" s="839" t="s">
        <v>245</v>
      </c>
      <c r="R3" s="841">
        <f>IF(R2=0,0,R1/R2)</f>
        <v>0.514427183342966</v>
      </c>
    </row>
    <row r="4" spans="1:19" ht="15.75" customHeight="1" thickBot="1" x14ac:dyDescent="0.3">
      <c r="A4" s="1268"/>
      <c r="B4" s="3"/>
      <c r="C4" s="94"/>
      <c r="D4" s="97"/>
      <c r="E4" s="94"/>
      <c r="F4" s="120"/>
      <c r="G4" s="121"/>
      <c r="M4" s="839" t="s">
        <v>246</v>
      </c>
      <c r="R4" s="841">
        <f>IF(R2=0,0,(R2-R1)/R2)</f>
        <v>0.48557281665703395</v>
      </c>
    </row>
    <row r="5" spans="1:19" ht="15.75" customHeight="1" x14ac:dyDescent="0.25">
      <c r="A5" s="1379" t="s">
        <v>695</v>
      </c>
      <c r="B5" s="505" t="s">
        <v>572</v>
      </c>
      <c r="C5" s="3648" t="str">
        <f>'Sch 1- Rate Base '!$E$5</f>
        <v>PacifiCorp</v>
      </c>
      <c r="D5" s="3649"/>
      <c r="E5" s="3656"/>
      <c r="F5" s="120"/>
      <c r="G5" s="121"/>
      <c r="M5" s="839"/>
    </row>
    <row r="6" spans="1:19" ht="15.75" customHeight="1" x14ac:dyDescent="0.25">
      <c r="A6" s="1380" t="s">
        <v>696</v>
      </c>
      <c r="B6" s="505" t="s">
        <v>574</v>
      </c>
      <c r="C6" s="3650">
        <f>'Sch 1- Rate Base '!$E$6</f>
        <v>2023</v>
      </c>
      <c r="D6" s="3651"/>
      <c r="E6" s="3657"/>
      <c r="F6" s="625"/>
      <c r="G6" s="121"/>
      <c r="M6" s="839" t="s">
        <v>247</v>
      </c>
      <c r="R6" s="840">
        <f>'NLSL_Base_New-Calc'!AA33+'NLSL_Base_New-Calc'!AA34</f>
        <v>67592980.259361789</v>
      </c>
    </row>
    <row r="7" spans="1:19" ht="15.75" customHeight="1" thickBot="1" x14ac:dyDescent="0.3">
      <c r="A7" s="105"/>
      <c r="B7" s="505" t="s">
        <v>575</v>
      </c>
      <c r="C7" s="3652">
        <f>'Sch 1- Rate Base '!$E$7</f>
        <v>45446</v>
      </c>
      <c r="D7" s="3654"/>
      <c r="E7" s="3655"/>
      <c r="F7" s="625"/>
      <c r="G7" s="121"/>
      <c r="M7" s="839" t="s">
        <v>248</v>
      </c>
      <c r="R7" s="840">
        <f>'Sch 3 - Expenses'!H17+'Sch 3 - Expenses'!H18+'Sch 3 - Expenses'!H21+'Sch 3 - Expenses'!H22+'Sch 3 - Expenses'!H24+'Sch 3 - Expenses'!H25+'Sch 3 - Expenses'!H28+'Sch 3 - Expenses'!H29</f>
        <v>182694786.90137753</v>
      </c>
    </row>
    <row r="8" spans="1:19" ht="15.75" customHeight="1" x14ac:dyDescent="0.25">
      <c r="A8" s="105"/>
      <c r="B8" s="3"/>
      <c r="C8" s="94"/>
      <c r="D8" s="97"/>
      <c r="E8" s="94"/>
      <c r="F8" s="120"/>
      <c r="G8" s="121"/>
      <c r="M8" s="839" t="s">
        <v>249</v>
      </c>
      <c r="R8" s="841">
        <f>IF(R7=0,0,R6/R7)</f>
        <v>0.36997760804116375</v>
      </c>
    </row>
    <row r="9" spans="1:19" ht="19.5" x14ac:dyDescent="0.35">
      <c r="A9" s="541" t="s">
        <v>335</v>
      </c>
      <c r="B9" s="540"/>
      <c r="C9" s="94"/>
      <c r="D9" s="97"/>
      <c r="E9" s="94"/>
      <c r="F9" s="120"/>
      <c r="G9" s="121"/>
      <c r="M9" s="839" t="s">
        <v>250</v>
      </c>
      <c r="R9" s="841">
        <f>IF(R7=0,0,(R7-R6)/R7)</f>
        <v>0.63002239195883625</v>
      </c>
    </row>
    <row r="10" spans="1:19" ht="5.25" customHeight="1" thickBot="1" x14ac:dyDescent="0.4">
      <c r="A10" s="133"/>
      <c r="B10" s="134"/>
      <c r="C10" s="135"/>
      <c r="D10" s="136"/>
      <c r="E10" s="135"/>
      <c r="F10" s="137"/>
      <c r="G10" s="138"/>
    </row>
    <row r="11" spans="1:19" ht="15.75" x14ac:dyDescent="0.25">
      <c r="A11" s="107"/>
      <c r="B11" s="108"/>
      <c r="D11" s="109"/>
      <c r="E11" s="109"/>
      <c r="F11" s="109"/>
      <c r="G11" s="110"/>
      <c r="Q11" s="3752" t="s">
        <v>105</v>
      </c>
      <c r="R11" s="3752"/>
      <c r="S11" s="3752"/>
    </row>
    <row r="12" spans="1:19" ht="18.75" x14ac:dyDescent="0.3">
      <c r="A12" s="122" t="s">
        <v>517</v>
      </c>
      <c r="B12" s="128"/>
      <c r="C12" s="302" t="s">
        <v>521</v>
      </c>
      <c r="D12" s="303" t="s">
        <v>104</v>
      </c>
      <c r="E12" s="303" t="s">
        <v>105</v>
      </c>
      <c r="F12" s="303" t="s">
        <v>106</v>
      </c>
      <c r="G12" s="304" t="s">
        <v>512</v>
      </c>
      <c r="Q12" s="838" t="s">
        <v>242</v>
      </c>
      <c r="R12" s="835" t="s">
        <v>243</v>
      </c>
      <c r="S12" s="835" t="s">
        <v>104</v>
      </c>
    </row>
    <row r="13" spans="1:19" ht="15.75" x14ac:dyDescent="0.25">
      <c r="A13" s="107"/>
      <c r="B13" s="108" t="s">
        <v>105</v>
      </c>
      <c r="C13" s="124" t="s">
        <v>394</v>
      </c>
      <c r="D13" s="125">
        <f>Salaries!D33</f>
        <v>143401785</v>
      </c>
      <c r="E13" s="125">
        <f t="shared" ref="E13:E19" si="0">VLOOKUP($C13,Ratio,2,FALSE)*$D13</f>
        <v>143401785</v>
      </c>
      <c r="F13" s="125">
        <f t="shared" ref="F13:F19" si="1">VLOOKUP($C13,Ratio,3,FALSE)*$D13</f>
        <v>0</v>
      </c>
      <c r="G13" s="130">
        <f t="shared" ref="G13:G19" si="2">VLOOKUP($C13,Ratio,4,FALSE)*$D13</f>
        <v>0</v>
      </c>
      <c r="Q13" s="125">
        <f>E13*R9</f>
        <v>90346335.596866772</v>
      </c>
      <c r="R13" s="125">
        <f>E13*R8</f>
        <v>53055449.403133236</v>
      </c>
      <c r="S13" s="836">
        <f>SUM(Q13:R13)</f>
        <v>143401785</v>
      </c>
    </row>
    <row r="14" spans="1:19" ht="15.75" x14ac:dyDescent="0.25">
      <c r="A14" s="107"/>
      <c r="B14" s="108" t="s">
        <v>106</v>
      </c>
      <c r="C14" s="124" t="s">
        <v>393</v>
      </c>
      <c r="D14" s="126">
        <f>Salaries!D34</f>
        <v>33170529</v>
      </c>
      <c r="E14" s="126">
        <f t="shared" si="0"/>
        <v>0</v>
      </c>
      <c r="F14" s="126">
        <f t="shared" si="1"/>
        <v>0</v>
      </c>
      <c r="G14" s="127">
        <f t="shared" si="2"/>
        <v>33170529</v>
      </c>
      <c r="Q14" s="846">
        <v>0</v>
      </c>
      <c r="R14" s="846">
        <v>0</v>
      </c>
    </row>
    <row r="15" spans="1:19" ht="15.75" x14ac:dyDescent="0.25">
      <c r="A15" s="107"/>
      <c r="B15" s="108" t="s">
        <v>512</v>
      </c>
      <c r="C15" s="124" t="s">
        <v>392</v>
      </c>
      <c r="D15" s="126">
        <f>Salaries!D35</f>
        <v>131214060</v>
      </c>
      <c r="E15" s="126">
        <f t="shared" si="0"/>
        <v>0</v>
      </c>
      <c r="F15" s="126">
        <f t="shared" si="1"/>
        <v>0</v>
      </c>
      <c r="G15" s="127">
        <f t="shared" si="2"/>
        <v>131214060</v>
      </c>
      <c r="Q15" s="846">
        <v>0</v>
      </c>
      <c r="R15" s="846">
        <v>0</v>
      </c>
    </row>
    <row r="16" spans="1:19" ht="15.75" x14ac:dyDescent="0.25">
      <c r="A16" s="107"/>
      <c r="B16" s="108" t="s">
        <v>513</v>
      </c>
      <c r="C16" s="124" t="s">
        <v>392</v>
      </c>
      <c r="D16" s="126">
        <f>Salaries!D36</f>
        <v>29892118</v>
      </c>
      <c r="E16" s="126">
        <f t="shared" si="0"/>
        <v>0</v>
      </c>
      <c r="F16" s="126">
        <f t="shared" si="1"/>
        <v>0</v>
      </c>
      <c r="G16" s="127">
        <f t="shared" si="2"/>
        <v>29892118</v>
      </c>
      <c r="I16" s="627" t="s">
        <v>101</v>
      </c>
      <c r="J16" s="627" t="s">
        <v>102</v>
      </c>
      <c r="K16" s="627" t="s">
        <v>103</v>
      </c>
      <c r="Q16" s="846">
        <v>0</v>
      </c>
      <c r="R16" s="846">
        <v>0</v>
      </c>
    </row>
    <row r="17" spans="1:19" ht="15.75" x14ac:dyDescent="0.25">
      <c r="A17" s="107"/>
      <c r="B17" s="1865" t="s">
        <v>514</v>
      </c>
      <c r="C17" s="1622" t="s">
        <v>392</v>
      </c>
      <c r="D17" s="1866">
        <f>Salaries!D37</f>
        <v>8580394</v>
      </c>
      <c r="E17" s="1808">
        <f>IF($C17="DIRECT",I17,VLOOKUP($C17,Ratio,2,FALSE)*$D17)</f>
        <v>0</v>
      </c>
      <c r="F17" s="1808">
        <f>IF($C17="DIRECT",J17,VLOOKUP($C17,Ratio,3,FALSE)*$D17)</f>
        <v>0</v>
      </c>
      <c r="G17" s="1867">
        <f>IF($C17="DIRECT",K17,VLOOKUP($C17,Ratio,4,FALSE)*$D17)</f>
        <v>8580394</v>
      </c>
      <c r="H17" s="1868"/>
      <c r="I17" s="1869"/>
      <c r="J17" s="1869"/>
      <c r="K17" s="1869"/>
      <c r="N17" s="839"/>
      <c r="Q17" s="846">
        <f>E17</f>
        <v>0</v>
      </c>
      <c r="R17" s="846">
        <v>0</v>
      </c>
      <c r="S17" s="836">
        <f>SUM(Q17:R17)</f>
        <v>0</v>
      </c>
    </row>
    <row r="18" spans="1:19" ht="15.75" x14ac:dyDescent="0.25">
      <c r="A18" s="107"/>
      <c r="B18" s="108" t="s">
        <v>515</v>
      </c>
      <c r="C18" s="124" t="s">
        <v>392</v>
      </c>
      <c r="D18" s="126">
        <f>Salaries!D38</f>
        <v>0</v>
      </c>
      <c r="E18" s="126">
        <f t="shared" si="0"/>
        <v>0</v>
      </c>
      <c r="F18" s="126">
        <f t="shared" si="1"/>
        <v>0</v>
      </c>
      <c r="G18" s="127">
        <f t="shared" si="2"/>
        <v>0</v>
      </c>
      <c r="Q18" s="846">
        <v>0</v>
      </c>
      <c r="R18" s="846">
        <v>0</v>
      </c>
    </row>
    <row r="19" spans="1:19" ht="15.75" x14ac:dyDescent="0.25">
      <c r="A19" s="107"/>
      <c r="B19" s="108" t="s">
        <v>518</v>
      </c>
      <c r="C19" s="124" t="s">
        <v>99</v>
      </c>
      <c r="D19" s="126">
        <f>Salaries!D39</f>
        <v>40158501</v>
      </c>
      <c r="E19" s="126">
        <f t="shared" si="0"/>
        <v>17677617.280825108</v>
      </c>
      <c r="F19" s="126">
        <f t="shared" si="1"/>
        <v>0</v>
      </c>
      <c r="G19" s="127">
        <f t="shared" si="2"/>
        <v>22480883.719174888</v>
      </c>
      <c r="Q19" s="126">
        <f>D19*Q50</f>
        <v>8583770.414835304</v>
      </c>
      <c r="R19" s="126">
        <f>D19*R50</f>
        <v>9093846.8659898043</v>
      </c>
      <c r="S19" s="836">
        <f>SUM(Q19:R19)</f>
        <v>17677617.280825108</v>
      </c>
    </row>
    <row r="20" spans="1:19" ht="15.75" x14ac:dyDescent="0.25">
      <c r="A20" s="107"/>
      <c r="B20" s="108"/>
      <c r="C20" s="108"/>
      <c r="D20" s="111"/>
      <c r="E20" s="111"/>
      <c r="F20" s="111"/>
      <c r="G20" s="112"/>
      <c r="Q20" s="576"/>
      <c r="R20" s="576"/>
    </row>
    <row r="21" spans="1:19" ht="18.75" x14ac:dyDescent="0.3">
      <c r="A21" s="122" t="s">
        <v>519</v>
      </c>
      <c r="B21" s="108"/>
      <c r="C21" s="560"/>
      <c r="D21" s="561">
        <f>SUM(D13:D20)</f>
        <v>386417387</v>
      </c>
      <c r="E21" s="561">
        <f>SUM(E13:E20)</f>
        <v>161079402.28082511</v>
      </c>
      <c r="F21" s="561">
        <f>SUM(F13:F20)</f>
        <v>0</v>
      </c>
      <c r="G21" s="562">
        <f>SUM(G13:G20)</f>
        <v>225337984.71917489</v>
      </c>
      <c r="Q21" s="561">
        <f>SUM(Q13:Q19)</f>
        <v>98930106.011702076</v>
      </c>
      <c r="R21" s="561">
        <f>SUM(R13:R19)</f>
        <v>62149296.26912304</v>
      </c>
      <c r="S21" s="836">
        <f>SUM(Q21:R21)</f>
        <v>161079402.28082511</v>
      </c>
    </row>
    <row r="22" spans="1:19" ht="15.75" x14ac:dyDescent="0.25">
      <c r="A22" s="107"/>
      <c r="B22" s="123" t="s">
        <v>336</v>
      </c>
      <c r="C22" s="560"/>
      <c r="D22" s="563">
        <f>IF($D21=0,0,D21/$D21)</f>
        <v>1</v>
      </c>
      <c r="E22" s="619">
        <f>IF($D21=0,0,E21/$D21)</f>
        <v>0.41685340178759894</v>
      </c>
      <c r="F22" s="619">
        <v>0</v>
      </c>
      <c r="G22" s="620">
        <f>IF($D21=0,0,G21/$D21)+IF($D21=0,0,F21/$D21)</f>
        <v>0.58314659821240111</v>
      </c>
      <c r="O22" s="123" t="s">
        <v>336</v>
      </c>
      <c r="Q22" s="619">
        <f>IF(D21=0,0,Q21/D21)</f>
        <v>0.25601877487904567</v>
      </c>
      <c r="R22" s="619">
        <f>IF(D21=0,0,R21/D21)</f>
        <v>0.16083462690855327</v>
      </c>
      <c r="S22" s="837">
        <f>SUM(Q22:R22)</f>
        <v>0.41685340178759894</v>
      </c>
    </row>
    <row r="23" spans="1:19" ht="15.75" x14ac:dyDescent="0.25">
      <c r="A23" s="107"/>
      <c r="B23" s="108"/>
      <c r="C23" s="108"/>
      <c r="D23" s="111"/>
      <c r="E23" s="111"/>
      <c r="F23" s="111"/>
      <c r="G23" s="112"/>
      <c r="Q23" s="111"/>
      <c r="R23" s="111"/>
    </row>
    <row r="24" spans="1:19" ht="18.75" x14ac:dyDescent="0.3">
      <c r="A24" s="122" t="s">
        <v>91</v>
      </c>
      <c r="B24" s="129" t="s">
        <v>337</v>
      </c>
      <c r="C24" s="302" t="s">
        <v>521</v>
      </c>
      <c r="D24" s="303" t="s">
        <v>104</v>
      </c>
      <c r="E24" s="303" t="s">
        <v>105</v>
      </c>
      <c r="F24" s="303" t="s">
        <v>106</v>
      </c>
      <c r="G24" s="304" t="s">
        <v>512</v>
      </c>
      <c r="Q24" s="838" t="s">
        <v>242</v>
      </c>
      <c r="R24" s="835" t="s">
        <v>243</v>
      </c>
      <c r="S24" s="835" t="s">
        <v>104</v>
      </c>
    </row>
    <row r="25" spans="1:19" ht="15.75" x14ac:dyDescent="0.25">
      <c r="A25" s="107"/>
      <c r="B25" s="108" t="s">
        <v>125</v>
      </c>
      <c r="C25" s="124" t="s">
        <v>99</v>
      </c>
      <c r="D25" s="125">
        <f>'Sch 1- Rate Base '!G37</f>
        <v>10980784.643303178</v>
      </c>
      <c r="E25" s="1618">
        <f>'Sch 1- Rate Base '!H37</f>
        <v>4833699.0558356559</v>
      </c>
      <c r="F25" s="1618">
        <f>'Sch 1- Rate Base '!I37</f>
        <v>0</v>
      </c>
      <c r="G25" s="1619">
        <f>'Sch 1- Rate Base '!J37</f>
        <v>6147085.5874675214</v>
      </c>
      <c r="Q25" s="125">
        <f>D25*Q$50</f>
        <v>2347112.8654145645</v>
      </c>
      <c r="R25" s="125">
        <f>D25*R$50</f>
        <v>2486586.1904210909</v>
      </c>
      <c r="S25" s="836">
        <f>SUM(Q25:R25)</f>
        <v>4833699.055835655</v>
      </c>
    </row>
    <row r="26" spans="1:19" ht="15.75" x14ac:dyDescent="0.25">
      <c r="A26" s="107"/>
      <c r="B26" s="108" t="s">
        <v>126</v>
      </c>
      <c r="C26" s="124" t="s">
        <v>99</v>
      </c>
      <c r="D26" s="126">
        <f>'Sch 1- Rate Base '!G38</f>
        <v>134526603.60952502</v>
      </c>
      <c r="E26" s="1620">
        <f>'Sch 1- Rate Base '!H38</f>
        <v>59218092.146876924</v>
      </c>
      <c r="F26" s="1620">
        <f>'Sch 1- Rate Base '!I38</f>
        <v>0</v>
      </c>
      <c r="G26" s="1621">
        <f>'Sch 1- Rate Base '!J38</f>
        <v>75308511.462648094</v>
      </c>
      <c r="Q26" s="125">
        <f>D26*Q$50</f>
        <v>28754695.800814804</v>
      </c>
      <c r="R26" s="125">
        <f>D26*R$50</f>
        <v>30463396.346062116</v>
      </c>
      <c r="S26" s="836">
        <f>SUM(Q26:R26)</f>
        <v>59218092.146876916</v>
      </c>
    </row>
    <row r="27" spans="1:19" ht="15.75" x14ac:dyDescent="0.25">
      <c r="A27" s="107"/>
      <c r="B27" s="108" t="s">
        <v>127</v>
      </c>
      <c r="C27" s="124" t="s">
        <v>95</v>
      </c>
      <c r="D27" s="126">
        <f>'Sch 1- Rate Base '!G39</f>
        <v>38698718.859569281</v>
      </c>
      <c r="E27" s="1620">
        <f>'Sch 1- Rate Base '!H39</f>
        <v>16131692.601433367</v>
      </c>
      <c r="F27" s="1620">
        <f>'Sch 1- Rate Base '!I39</f>
        <v>0</v>
      </c>
      <c r="G27" s="1621">
        <f>'Sch 1- Rate Base '!J39</f>
        <v>22567026.258135919</v>
      </c>
      <c r="Q27" s="125">
        <f>D27*Q$22</f>
        <v>9907598.5918155462</v>
      </c>
      <c r="R27" s="125">
        <f>D27*R$22</f>
        <v>6224094.0096178195</v>
      </c>
      <c r="S27" s="836">
        <f>SUM(Q27:R27)</f>
        <v>16131692.601433367</v>
      </c>
    </row>
    <row r="28" spans="1:19" ht="15.75" x14ac:dyDescent="0.25">
      <c r="A28" s="107"/>
      <c r="B28" s="108" t="s">
        <v>128</v>
      </c>
      <c r="C28" s="124" t="s">
        <v>109</v>
      </c>
      <c r="D28" s="126">
        <f>'Sch 1- Rate Base '!G40</f>
        <v>70926422.960104048</v>
      </c>
      <c r="E28" s="1620">
        <f>'Sch 1- Rate Base '!H40</f>
        <v>0</v>
      </c>
      <c r="F28" s="1620">
        <f>'Sch 1- Rate Base '!I40</f>
        <v>0</v>
      </c>
      <c r="G28" s="1621">
        <f>'Sch 1- Rate Base '!J40</f>
        <v>70926422.960104048</v>
      </c>
      <c r="Q28" s="842">
        <v>0</v>
      </c>
      <c r="R28" s="842">
        <v>0</v>
      </c>
    </row>
    <row r="29" spans="1:19" ht="15.75" x14ac:dyDescent="0.25">
      <c r="A29" s="107"/>
      <c r="B29" s="108" t="s">
        <v>129</v>
      </c>
      <c r="C29" s="124" t="s">
        <v>99</v>
      </c>
      <c r="D29" s="126">
        <f>'Sch 1- Rate Base '!G41</f>
        <v>8843323.1563989222</v>
      </c>
      <c r="E29" s="1620">
        <f>'Sch 1- Rate Base '!H41</f>
        <v>3892796.7517880816</v>
      </c>
      <c r="F29" s="1620">
        <f>'Sch 1- Rate Base '!I41</f>
        <v>0</v>
      </c>
      <c r="G29" s="1621">
        <f>'Sch 1- Rate Base '!J41</f>
        <v>4950526.4046108397</v>
      </c>
      <c r="Q29" s="125">
        <f>D29*Q$50</f>
        <v>1890236.2834390912</v>
      </c>
      <c r="R29" s="125">
        <f>D29*R$50</f>
        <v>2002560.4683489904</v>
      </c>
      <c r="S29" s="836">
        <f>SUM(Q29:R29)</f>
        <v>3892796.7517880816</v>
      </c>
    </row>
    <row r="30" spans="1:19" ht="15.75" x14ac:dyDescent="0.25">
      <c r="A30" s="107"/>
      <c r="B30" s="108" t="s">
        <v>130</v>
      </c>
      <c r="C30" s="124" t="s">
        <v>99</v>
      </c>
      <c r="D30" s="126">
        <f>'Sch 1- Rate Base '!G42</f>
        <v>28801735.62174933</v>
      </c>
      <c r="E30" s="1620">
        <f>'Sch 1- Rate Base '!H42</f>
        <v>12678412.955324007</v>
      </c>
      <c r="F30" s="1620">
        <f>'Sch 1- Rate Base '!I42</f>
        <v>0</v>
      </c>
      <c r="G30" s="1621">
        <f>'Sch 1- Rate Base '!J42</f>
        <v>16123322.666425321</v>
      </c>
      <c r="Q30" s="125">
        <f>D30*Q$50</f>
        <v>6156292.6894577071</v>
      </c>
      <c r="R30" s="125">
        <f>D30*R$50</f>
        <v>6522120.2658662992</v>
      </c>
      <c r="S30" s="836">
        <f>SUM(Q30:R30)</f>
        <v>12678412.955324005</v>
      </c>
    </row>
    <row r="31" spans="1:19" ht="15.75" x14ac:dyDescent="0.25">
      <c r="A31" s="107"/>
      <c r="B31" s="108" t="s">
        <v>131</v>
      </c>
      <c r="C31" s="124" t="s">
        <v>99</v>
      </c>
      <c r="D31" s="126">
        <f>'Sch 1- Rate Base '!G43</f>
        <v>22065131.008344457</v>
      </c>
      <c r="E31" s="1620">
        <f>'Sch 1- Rate Base '!H43</f>
        <v>9712985.5822252911</v>
      </c>
      <c r="F31" s="1620">
        <f>'Sch 1- Rate Base '!I43</f>
        <v>0</v>
      </c>
      <c r="G31" s="1621">
        <f>'Sch 1- Rate Base '!J43</f>
        <v>12352145.426119164</v>
      </c>
      <c r="Q31" s="125">
        <f>D31*Q$50</f>
        <v>4716361.7673102943</v>
      </c>
      <c r="R31" s="125">
        <f>D31*R$50</f>
        <v>4996623.8149149958</v>
      </c>
      <c r="S31" s="836">
        <f>SUM(Q31:R31)</f>
        <v>9712985.5822252892</v>
      </c>
    </row>
    <row r="32" spans="1:19" ht="15.75" x14ac:dyDescent="0.25">
      <c r="A32" s="107"/>
      <c r="B32" s="108" t="s">
        <v>132</v>
      </c>
      <c r="C32" s="124" t="s">
        <v>109</v>
      </c>
      <c r="D32" s="126">
        <f>'Sch 1- Rate Base '!G44</f>
        <v>104224382.24860385</v>
      </c>
      <c r="E32" s="1620">
        <f>'Sch 1- Rate Base '!H44</f>
        <v>0</v>
      </c>
      <c r="F32" s="1620">
        <f>'Sch 1- Rate Base '!I44</f>
        <v>0</v>
      </c>
      <c r="G32" s="1621">
        <f>'Sch 1- Rate Base '!J44</f>
        <v>104224382.24860385</v>
      </c>
      <c r="Q32" s="842">
        <v>0</v>
      </c>
      <c r="R32" s="842">
        <v>0</v>
      </c>
    </row>
    <row r="33" spans="1:19" ht="15.75" x14ac:dyDescent="0.25">
      <c r="A33" s="107"/>
      <c r="B33" s="108" t="s">
        <v>133</v>
      </c>
      <c r="C33" s="124" t="s">
        <v>99</v>
      </c>
      <c r="D33" s="126">
        <f>'Sch 1- Rate Base '!G45</f>
        <v>225166384.95095226</v>
      </c>
      <c r="E33" s="1620">
        <f>'Sch 1- Rate Base '!H45</f>
        <v>99117374.367879733</v>
      </c>
      <c r="F33" s="1620">
        <f>'Sch 1- Rate Base '!I45</f>
        <v>0</v>
      </c>
      <c r="G33" s="1621">
        <f>'Sch 1- Rate Base '!J45</f>
        <v>126049010.58307251</v>
      </c>
      <c r="Q33" s="125">
        <f>D33*Q$50</f>
        <v>48128702.65146105</v>
      </c>
      <c r="R33" s="125">
        <f>D33*R$50</f>
        <v>50988671.716418676</v>
      </c>
      <c r="S33" s="836">
        <f>SUM(Q33:R33)</f>
        <v>99117374.367879719</v>
      </c>
    </row>
    <row r="34" spans="1:19" ht="15.75" x14ac:dyDescent="0.25">
      <c r="A34" s="107"/>
      <c r="B34" s="108" t="s">
        <v>134</v>
      </c>
      <c r="C34" s="124" t="s">
        <v>99</v>
      </c>
      <c r="D34" s="126">
        <f>'Sch 1- Rate Base '!G46</f>
        <v>3889871.2322740913</v>
      </c>
      <c r="E34" s="1620">
        <f>'Sch 1- Rate Base '!H46</f>
        <v>1712306.316309788</v>
      </c>
      <c r="F34" s="1620">
        <f>'Sch 1- Rate Base '!I46</f>
        <v>0</v>
      </c>
      <c r="G34" s="1621">
        <f>'Sch 1- Rate Base '!J46</f>
        <v>2177564.9159643031</v>
      </c>
      <c r="Q34" s="125">
        <f>D34*Q$50</f>
        <v>831449.40099017369</v>
      </c>
      <c r="R34" s="125">
        <f>D34*R$50</f>
        <v>880856.91531961423</v>
      </c>
      <c r="S34" s="836">
        <f>SUM(Q34:R34)</f>
        <v>1712306.3163097878</v>
      </c>
    </row>
    <row r="35" spans="1:19" ht="15.75" x14ac:dyDescent="0.25">
      <c r="A35" s="107"/>
      <c r="B35" s="108" t="s">
        <v>256</v>
      </c>
      <c r="C35" s="124" t="str">
        <f>'Sch 1- Rate Base '!E47</f>
        <v>DIRECT</v>
      </c>
      <c r="D35" s="126">
        <f>'Sch 1- Rate Base '!G47</f>
        <v>708735.65050650423</v>
      </c>
      <c r="E35" s="1620">
        <f>'Sch 1- Rate Base '!H47</f>
        <v>708735.65050650423</v>
      </c>
      <c r="F35" s="1620">
        <f>'Sch 1- Rate Base '!I47</f>
        <v>0</v>
      </c>
      <c r="G35" s="1621">
        <f>'Sch 1- Rate Base '!J47</f>
        <v>0</v>
      </c>
      <c r="Q35" s="842">
        <f>E35*R4</f>
        <v>344142.76608169847</v>
      </c>
      <c r="R35" s="842">
        <f>E35*R3</f>
        <v>364592.8844248057</v>
      </c>
    </row>
    <row r="36" spans="1:19" ht="15.75" x14ac:dyDescent="0.25">
      <c r="A36" s="107"/>
      <c r="B36" s="108" t="s">
        <v>442</v>
      </c>
      <c r="C36" s="124" t="s">
        <v>99</v>
      </c>
      <c r="D36" s="126">
        <f>'Sch 1- Rate Base '!G48</f>
        <v>15896.576261311178</v>
      </c>
      <c r="E36" s="1620">
        <f>'Sch 1- Rate Base '!H48</f>
        <v>6997.6115697871464</v>
      </c>
      <c r="F36" s="1620">
        <f>'Sch 1- Rate Base '!I48</f>
        <v>0</v>
      </c>
      <c r="G36" s="1621">
        <f>'Sch 1- Rate Base '!J48</f>
        <v>8898.9646915240301</v>
      </c>
      <c r="Q36" s="125">
        <f>D36*Q$50</f>
        <v>3397.8499598133931</v>
      </c>
      <c r="R36" s="125">
        <f>D36*R$50</f>
        <v>3599.7616099737529</v>
      </c>
      <c r="S36" s="836">
        <f>SUM(Q36:R36)</f>
        <v>6997.6115697871464</v>
      </c>
    </row>
    <row r="37" spans="1:19" ht="15.75" x14ac:dyDescent="0.25">
      <c r="A37" s="107"/>
      <c r="B37" s="108" t="s">
        <v>523</v>
      </c>
      <c r="C37" s="564"/>
      <c r="D37" s="565">
        <f>SUM(D25:D36)</f>
        <v>648847990.51759219</v>
      </c>
      <c r="E37" s="565">
        <f>SUM(E25:E36)</f>
        <v>208013093.03974915</v>
      </c>
      <c r="F37" s="565">
        <f>SUM(F25:F36)</f>
        <v>0</v>
      </c>
      <c r="G37" s="566">
        <f>SUM(G25:G36)</f>
        <v>440834897.47784311</v>
      </c>
      <c r="Q37" s="565">
        <f>SUM(Q25:Q36)</f>
        <v>103079990.66674475</v>
      </c>
      <c r="R37" s="565">
        <f>SUM(R25:R36)</f>
        <v>104933102.37300438</v>
      </c>
      <c r="S37" s="836">
        <f>SUM(Q37:R37)</f>
        <v>208013093.03974915</v>
      </c>
    </row>
    <row r="38" spans="1:19" ht="15.75" x14ac:dyDescent="0.25">
      <c r="A38" s="107"/>
      <c r="B38" s="123" t="s">
        <v>524</v>
      </c>
      <c r="C38" s="564"/>
      <c r="D38" s="567">
        <f>IF($D37=0,0,D37/$D37)</f>
        <v>1</v>
      </c>
      <c r="E38" s="571">
        <f>IF($D37=0,0,E37/$D37)</f>
        <v>0.32058832897642964</v>
      </c>
      <c r="F38" s="619">
        <v>0</v>
      </c>
      <c r="G38" s="620">
        <f>IF($D37=0,0,G37/$D37)+IF($D37=0,0,F37/$D37)</f>
        <v>0.67941167102357047</v>
      </c>
      <c r="O38" s="123" t="s">
        <v>446</v>
      </c>
      <c r="Q38" s="571">
        <f>IF(D37=0,0,Q37/D37)</f>
        <v>0.15886616306620116</v>
      </c>
      <c r="R38" s="571">
        <f>IF(D37=0,0,R37/D37)</f>
        <v>0.16172216591022845</v>
      </c>
      <c r="S38" s="571">
        <f>SUM(Q38:R38)</f>
        <v>0.32058832897642964</v>
      </c>
    </row>
    <row r="39" spans="1:19" ht="16.5" thickBot="1" x14ac:dyDescent="0.3">
      <c r="A39" s="114"/>
      <c r="B39" s="115"/>
      <c r="C39" s="618"/>
      <c r="D39" s="139"/>
      <c r="E39" s="139"/>
      <c r="F39" s="139"/>
      <c r="G39" s="140"/>
      <c r="Q39" s="139"/>
      <c r="R39" s="139"/>
    </row>
    <row r="40" spans="1:19" ht="16.5" thickTop="1" x14ac:dyDescent="0.25">
      <c r="A40" s="107"/>
      <c r="B40" s="108"/>
      <c r="C40" s="108"/>
      <c r="D40" s="111"/>
      <c r="E40" s="111"/>
      <c r="F40" s="111"/>
      <c r="G40" s="112"/>
      <c r="Q40" s="111"/>
      <c r="R40" s="111"/>
    </row>
    <row r="41" spans="1:19" ht="15.75" x14ac:dyDescent="0.25">
      <c r="A41" s="107" t="s">
        <v>99</v>
      </c>
      <c r="B41" s="113" t="s">
        <v>338</v>
      </c>
      <c r="C41" s="302" t="s">
        <v>521</v>
      </c>
      <c r="D41" s="303" t="s">
        <v>104</v>
      </c>
      <c r="E41" s="303" t="s">
        <v>105</v>
      </c>
      <c r="F41" s="303" t="s">
        <v>106</v>
      </c>
      <c r="G41" s="304" t="s">
        <v>512</v>
      </c>
      <c r="Q41" s="838" t="s">
        <v>242</v>
      </c>
      <c r="R41" s="835" t="s">
        <v>243</v>
      </c>
      <c r="S41" s="835" t="s">
        <v>104</v>
      </c>
    </row>
    <row r="42" spans="1:19" ht="15.75" x14ac:dyDescent="0.25">
      <c r="A42" s="107"/>
      <c r="B42" s="108" t="s">
        <v>111</v>
      </c>
      <c r="C42" s="124" t="s">
        <v>394</v>
      </c>
      <c r="D42" s="125">
        <f>'Sch 1- Rate Base '!G22</f>
        <v>2890625949.8270597</v>
      </c>
      <c r="E42" s="1618">
        <f>'Sch 1- Rate Base '!H22</f>
        <v>2890625949.8270597</v>
      </c>
      <c r="F42" s="1618">
        <f>'Sch 1- Rate Base '!I22</f>
        <v>0</v>
      </c>
      <c r="G42" s="1619">
        <f>'Sch 1- Rate Base '!J22</f>
        <v>0</v>
      </c>
      <c r="Q42" s="125">
        <f>D42-R42</f>
        <v>2266054160.3228273</v>
      </c>
      <c r="R42" s="125">
        <f>SUMIF('NLSL_Base_New-Calc'!B$11:Z$11,1,'NLSL_Base_New-Calc'!B$17:Z$17)</f>
        <v>624571789.50423241</v>
      </c>
    </row>
    <row r="43" spans="1:19" ht="15.75" x14ac:dyDescent="0.25">
      <c r="A43" s="107"/>
      <c r="B43" s="108" t="s">
        <v>113</v>
      </c>
      <c r="C43" s="124" t="s">
        <v>394</v>
      </c>
      <c r="D43" s="126">
        <f>'Sch 1- Rate Base '!G23</f>
        <v>0</v>
      </c>
      <c r="E43" s="1618">
        <f>'Sch 1- Rate Base '!H23</f>
        <v>0</v>
      </c>
      <c r="F43" s="1618">
        <f>'Sch 1- Rate Base '!I23</f>
        <v>0</v>
      </c>
      <c r="G43" s="1619">
        <f>'Sch 1- Rate Base '!J23</f>
        <v>0</v>
      </c>
      <c r="Q43" s="125">
        <f>D43-R43</f>
        <v>0</v>
      </c>
      <c r="R43" s="126"/>
    </row>
    <row r="44" spans="1:19" ht="15.75" x14ac:dyDescent="0.25">
      <c r="A44" s="107"/>
      <c r="B44" s="108" t="s">
        <v>115</v>
      </c>
      <c r="C44" s="124" t="s">
        <v>394</v>
      </c>
      <c r="D44" s="126">
        <f>'Sch 1- Rate Base '!G24</f>
        <v>433360289.62213159</v>
      </c>
      <c r="E44" s="1618">
        <f>'Sch 1- Rate Base '!H24</f>
        <v>433360289.62213159</v>
      </c>
      <c r="F44" s="1618">
        <f>'Sch 1- Rate Base '!I24</f>
        <v>0</v>
      </c>
      <c r="G44" s="1619">
        <f>'Sch 1- Rate Base '!J24</f>
        <v>0</v>
      </c>
      <c r="Q44" s="125">
        <f>D44-R44</f>
        <v>433360289.62213159</v>
      </c>
      <c r="R44" s="125">
        <f>SUMIF('NLSL_Base_New-Calc'!B$11:Z$11,2,'NLSL_Base_New-Calc'!B$17:Z$17)</f>
        <v>0</v>
      </c>
    </row>
    <row r="45" spans="1:19" ht="15.75" x14ac:dyDescent="0.25">
      <c r="A45" s="107"/>
      <c r="B45" s="108" t="s">
        <v>117</v>
      </c>
      <c r="C45" s="124" t="s">
        <v>394</v>
      </c>
      <c r="D45" s="126">
        <f>'Sch 1- Rate Base '!G25</f>
        <v>2258385628.1561666</v>
      </c>
      <c r="E45" s="1618">
        <f>'Sch 1- Rate Base '!H25</f>
        <v>2258385628.1561666</v>
      </c>
      <c r="F45" s="1618">
        <f>'Sch 1- Rate Base '!I25</f>
        <v>0</v>
      </c>
      <c r="G45" s="1619">
        <f>'Sch 1- Rate Base '!J25</f>
        <v>0</v>
      </c>
      <c r="Q45" s="125">
        <f>D45-R45</f>
        <v>11233581.435161591</v>
      </c>
      <c r="R45" s="125">
        <f>SUMIF('NLSL_Base_New-Calc'!B$11:Z$11,3,'NLSL_Base_New-Calc'!B$17:Z$17)</f>
        <v>2247152046.721005</v>
      </c>
    </row>
    <row r="46" spans="1:19" ht="15.75" x14ac:dyDescent="0.25">
      <c r="A46" s="107"/>
      <c r="B46" s="108" t="s">
        <v>119</v>
      </c>
      <c r="C46" s="124"/>
      <c r="D46" s="126">
        <f>SUM(D42:D45)</f>
        <v>5582371867.6053581</v>
      </c>
      <c r="E46" s="126">
        <f>SUM(E42:E45)</f>
        <v>5582371867.6053581</v>
      </c>
      <c r="F46" s="126">
        <f>SUM(F42:F45)</f>
        <v>0</v>
      </c>
      <c r="G46" s="127">
        <f>SUM(G42:G45)</f>
        <v>0</v>
      </c>
      <c r="Q46" s="126">
        <f>SUM(Q42:Q45)</f>
        <v>2710648031.3801203</v>
      </c>
      <c r="R46" s="126">
        <f>SUM(R42:R45)</f>
        <v>2871723836.2252374</v>
      </c>
      <c r="S46" s="125">
        <f>Q46+R46</f>
        <v>5582371867.6053581</v>
      </c>
    </row>
    <row r="47" spans="1:19" ht="15.75" x14ac:dyDescent="0.25">
      <c r="A47" s="107"/>
      <c r="B47" s="108" t="s">
        <v>526</v>
      </c>
      <c r="C47" s="124" t="s">
        <v>393</v>
      </c>
      <c r="D47" s="126">
        <f>'Sch 1- Rate Base '!G30</f>
        <v>3295838980.7862144</v>
      </c>
      <c r="E47" s="1618">
        <f>'Sch 1- Rate Base '!H30</f>
        <v>0</v>
      </c>
      <c r="F47" s="1618">
        <f>'Sch 1- Rate Base '!I30</f>
        <v>0</v>
      </c>
      <c r="G47" s="1619">
        <f>'Sch 1- Rate Base '!J30</f>
        <v>3295838980.7862144</v>
      </c>
      <c r="Q47" s="126"/>
      <c r="R47" s="126"/>
    </row>
    <row r="48" spans="1:19" ht="15.75" x14ac:dyDescent="0.25">
      <c r="A48" s="107"/>
      <c r="B48" s="108" t="s">
        <v>122</v>
      </c>
      <c r="C48" s="124" t="s">
        <v>392</v>
      </c>
      <c r="D48" s="126">
        <f>'Sch 1- Rate Base '!G34</f>
        <v>3803344740.5943408</v>
      </c>
      <c r="E48" s="1618">
        <f>'Sch 1- Rate Base '!H34</f>
        <v>0</v>
      </c>
      <c r="F48" s="1618">
        <f>'Sch 1- Rate Base '!I34</f>
        <v>0</v>
      </c>
      <c r="G48" s="1619">
        <f>'Sch 1- Rate Base '!J34</f>
        <v>3803344740.5943408</v>
      </c>
      <c r="Q48" s="126"/>
      <c r="R48" s="126"/>
    </row>
    <row r="49" spans="1:19" ht="15.75" x14ac:dyDescent="0.25">
      <c r="A49" s="107"/>
      <c r="B49" s="108" t="s">
        <v>523</v>
      </c>
      <c r="C49" s="124"/>
      <c r="D49" s="125">
        <f>D46+D47+D48</f>
        <v>12681555588.985914</v>
      </c>
      <c r="E49" s="125">
        <f>E46+E47+E48</f>
        <v>5582371867.6053581</v>
      </c>
      <c r="F49" s="125">
        <f>F46+F47+F48</f>
        <v>0</v>
      </c>
      <c r="G49" s="130">
        <f>G46+G47+G48</f>
        <v>7099183721.3805552</v>
      </c>
      <c r="Q49" s="125">
        <f>Q46</f>
        <v>2710648031.3801203</v>
      </c>
      <c r="R49" s="125">
        <f>R46</f>
        <v>2871723836.2252374</v>
      </c>
      <c r="S49" s="125">
        <f>Q49+R49</f>
        <v>5582371867.6053581</v>
      </c>
    </row>
    <row r="50" spans="1:19" ht="15.75" x14ac:dyDescent="0.25">
      <c r="A50" s="107"/>
      <c r="B50" s="123" t="s">
        <v>339</v>
      </c>
      <c r="C50" s="564"/>
      <c r="D50" s="567">
        <f>IF($D49=0,0,D49/$D49)</f>
        <v>1</v>
      </c>
      <c r="E50" s="571">
        <f>IF($D49=0,0,E49/$D49)</f>
        <v>0.44019614379593275</v>
      </c>
      <c r="F50" s="619">
        <v>0</v>
      </c>
      <c r="G50" s="620">
        <f>IF($D49=0,0,G49/$D49)+IF($D49=0,0,F49/$D49)</f>
        <v>0.55980385620406714</v>
      </c>
      <c r="O50" s="123" t="s">
        <v>339</v>
      </c>
      <c r="Q50" s="571">
        <f>IF(D49=0,0,Q46/D49)</f>
        <v>0.21374728142455576</v>
      </c>
      <c r="R50" s="571">
        <f>IF(D49=0,0,R46/D49)</f>
        <v>0.22644886237137696</v>
      </c>
      <c r="S50" s="571">
        <f>Q50+R50</f>
        <v>0.44019614379593275</v>
      </c>
    </row>
    <row r="51" spans="1:19" ht="15.75" x14ac:dyDescent="0.25">
      <c r="A51" s="107"/>
      <c r="B51" s="108"/>
      <c r="C51" s="108"/>
      <c r="D51" s="111"/>
      <c r="E51" s="111"/>
      <c r="F51" s="111"/>
      <c r="G51" s="112"/>
      <c r="Q51" s="111"/>
      <c r="R51" s="111"/>
    </row>
    <row r="52" spans="1:19" ht="15.75" x14ac:dyDescent="0.25">
      <c r="A52" s="107" t="s">
        <v>108</v>
      </c>
      <c r="B52" s="113" t="s">
        <v>340</v>
      </c>
      <c r="C52" s="302" t="s">
        <v>521</v>
      </c>
      <c r="D52" s="303" t="s">
        <v>104</v>
      </c>
      <c r="E52" s="303" t="s">
        <v>105</v>
      </c>
      <c r="F52" s="303" t="s">
        <v>106</v>
      </c>
      <c r="G52" s="304" t="s">
        <v>512</v>
      </c>
      <c r="Q52" s="838" t="s">
        <v>242</v>
      </c>
      <c r="R52" s="835" t="s">
        <v>243</v>
      </c>
      <c r="S52" s="835" t="s">
        <v>104</v>
      </c>
    </row>
    <row r="53" spans="1:19" ht="15.75" x14ac:dyDescent="0.25">
      <c r="A53" s="107"/>
      <c r="B53" s="108" t="s">
        <v>527</v>
      </c>
      <c r="C53" s="124"/>
      <c r="D53" s="125">
        <f>D49</f>
        <v>12681555588.985914</v>
      </c>
      <c r="E53" s="125">
        <f>E49</f>
        <v>5582371867.6053581</v>
      </c>
      <c r="F53" s="125">
        <f>F49</f>
        <v>0</v>
      </c>
      <c r="G53" s="130">
        <f>G49</f>
        <v>7099183721.3805552</v>
      </c>
      <c r="Q53" s="125">
        <f>Q49</f>
        <v>2710648031.3801203</v>
      </c>
      <c r="R53" s="125">
        <f>R49</f>
        <v>2871723836.2252374</v>
      </c>
      <c r="S53" s="125">
        <f>Q53+R53</f>
        <v>5582371867.6053581</v>
      </c>
    </row>
    <row r="54" spans="1:19" ht="15.75" x14ac:dyDescent="0.25">
      <c r="A54" s="107"/>
      <c r="B54" s="108" t="s">
        <v>528</v>
      </c>
      <c r="C54" s="124" t="s">
        <v>392</v>
      </c>
      <c r="D54" s="126">
        <f>'Sch 1- Rate Base '!G16</f>
        <v>0</v>
      </c>
      <c r="E54" s="1620">
        <f>'Sch 1- Rate Base '!H16</f>
        <v>0</v>
      </c>
      <c r="F54" s="1620">
        <f>'Sch 1- Rate Base '!I16</f>
        <v>0</v>
      </c>
      <c r="G54" s="1621">
        <f>'Sch 1- Rate Base '!J16</f>
        <v>0</v>
      </c>
      <c r="Q54" s="126"/>
      <c r="R54" s="126"/>
    </row>
    <row r="55" spans="1:19" ht="15.75" x14ac:dyDescent="0.25">
      <c r="A55" s="107"/>
      <c r="B55" s="108" t="s">
        <v>529</v>
      </c>
      <c r="C55" s="124" t="s">
        <v>90</v>
      </c>
      <c r="D55" s="126">
        <f>'Sch 1- Rate Base '!G17</f>
        <v>71764696.193237215</v>
      </c>
      <c r="E55" s="1620">
        <f>'Sch 1- Rate Base '!H17</f>
        <v>71764696.193237215</v>
      </c>
      <c r="F55" s="1620">
        <f>'Sch 1- Rate Base '!I17</f>
        <v>0</v>
      </c>
      <c r="G55" s="1621">
        <f>'Sch 1- Rate Base '!J17</f>
        <v>1380340.3620770171</v>
      </c>
      <c r="Q55" s="126">
        <f>E55*R$4</f>
        <v>34846985.667086519</v>
      </c>
      <c r="R55" s="126">
        <f>E55*R$3</f>
        <v>36917710.526150696</v>
      </c>
      <c r="S55" s="125">
        <f>Q55+R55</f>
        <v>71764696.193237215</v>
      </c>
    </row>
    <row r="56" spans="1:19" ht="15.75" x14ac:dyDescent="0.25">
      <c r="A56" s="107"/>
      <c r="B56" s="108" t="s">
        <v>543</v>
      </c>
      <c r="C56" s="124" t="s">
        <v>90</v>
      </c>
      <c r="D56" s="126">
        <f>'Sch 1- Rate Base '!G18</f>
        <v>391010404.58104789</v>
      </c>
      <c r="E56" s="1620">
        <f>'Sch 1- Rate Base '!H18</f>
        <v>129807186.3491185</v>
      </c>
      <c r="F56" s="1620">
        <f>'Sch 1- Rate Base '!I18</f>
        <v>0</v>
      </c>
      <c r="G56" s="1621">
        <f>'Sch 1- Rate Base '!J18</f>
        <v>261203218.23192942</v>
      </c>
      <c r="Q56" s="126">
        <f>E56*R$4</f>
        <v>63030841.097865954</v>
      </c>
      <c r="R56" s="126">
        <f>E56*R$3</f>
        <v>66776345.251252539</v>
      </c>
      <c r="S56" s="125">
        <f>Q56+R56</f>
        <v>129807186.3491185</v>
      </c>
    </row>
    <row r="57" spans="1:19" ht="15.75" x14ac:dyDescent="0.25">
      <c r="A57" s="107"/>
      <c r="B57" s="108" t="s">
        <v>341</v>
      </c>
      <c r="C57" s="124"/>
      <c r="D57" s="126">
        <f>D37</f>
        <v>648847990.51759219</v>
      </c>
      <c r="E57" s="126">
        <f>E37</f>
        <v>208013093.03974915</v>
      </c>
      <c r="F57" s="126">
        <f>F37</f>
        <v>0</v>
      </c>
      <c r="G57" s="127">
        <f>G37</f>
        <v>440834897.47784311</v>
      </c>
      <c r="Q57" s="126">
        <f>Q37</f>
        <v>103079990.66674475</v>
      </c>
      <c r="R57" s="126">
        <f>R37</f>
        <v>104933102.37300438</v>
      </c>
      <c r="S57" s="125">
        <f>Q57+R57</f>
        <v>208013093.03974915</v>
      </c>
    </row>
    <row r="58" spans="1:19" ht="15.75" x14ac:dyDescent="0.25">
      <c r="A58" s="107"/>
      <c r="B58" s="108" t="s">
        <v>523</v>
      </c>
      <c r="C58" s="124"/>
      <c r="D58" s="125">
        <f>SUM(D53:D57)</f>
        <v>13793178680.27779</v>
      </c>
      <c r="E58" s="125">
        <f>SUM(E53:E57)</f>
        <v>5991956843.1874628</v>
      </c>
      <c r="F58" s="125">
        <f>SUM(F53:F57)</f>
        <v>0</v>
      </c>
      <c r="G58" s="130">
        <f>SUM(G53:G57)</f>
        <v>7802602177.452405</v>
      </c>
      <c r="Q58" s="125">
        <f>SUM(Q53:Q57)</f>
        <v>2911605848.8118176</v>
      </c>
      <c r="R58" s="125">
        <f>SUM(R53:R57)</f>
        <v>3080350994.3756452</v>
      </c>
      <c r="S58" s="125">
        <f>Q58+R58</f>
        <v>5991956843.1874628</v>
      </c>
    </row>
    <row r="59" spans="1:19" ht="15.75" x14ac:dyDescent="0.25">
      <c r="A59" s="107"/>
      <c r="B59" s="123" t="s">
        <v>342</v>
      </c>
      <c r="C59" s="564"/>
      <c r="D59" s="567">
        <f>IF($D58=0,0,D58/$D58)</f>
        <v>1</v>
      </c>
      <c r="E59" s="571">
        <f>IF($D58=0,0,E58/$D58)</f>
        <v>0.43441450169532542</v>
      </c>
      <c r="F59" s="619">
        <v>0</v>
      </c>
      <c r="G59" s="620">
        <f>IF($D58=0,0,G58/$D58)+IF($D58=0,0,F58/$D58)</f>
        <v>0.56568557243508888</v>
      </c>
      <c r="O59" s="123" t="s">
        <v>447</v>
      </c>
      <c r="Q59" s="571">
        <f>IF(D58=0,0,Q58/D58)</f>
        <v>0.21109027268493116</v>
      </c>
      <c r="R59" s="571">
        <f>IF(D58=0,0,R58/D58)</f>
        <v>0.22332422901039428</v>
      </c>
      <c r="S59" s="571">
        <f>Q59+R59</f>
        <v>0.43441450169532547</v>
      </c>
    </row>
    <row r="60" spans="1:19" ht="15.75" x14ac:dyDescent="0.25">
      <c r="A60" s="107"/>
      <c r="B60" s="108"/>
      <c r="C60" s="108"/>
      <c r="D60" s="111"/>
      <c r="E60" s="111"/>
      <c r="F60" s="111"/>
      <c r="G60" s="112"/>
      <c r="Q60" s="111"/>
      <c r="R60" s="111"/>
    </row>
    <row r="61" spans="1:19" ht="15.75" x14ac:dyDescent="0.25">
      <c r="A61" s="107" t="s">
        <v>109</v>
      </c>
      <c r="B61" s="113" t="s">
        <v>343</v>
      </c>
      <c r="C61" s="302" t="s">
        <v>521</v>
      </c>
      <c r="D61" s="303" t="s">
        <v>104</v>
      </c>
      <c r="E61" s="303" t="s">
        <v>105</v>
      </c>
      <c r="F61" s="303" t="s">
        <v>106</v>
      </c>
      <c r="G61" s="304" t="s">
        <v>512</v>
      </c>
      <c r="Q61" s="838" t="s">
        <v>242</v>
      </c>
      <c r="R61" s="835" t="s">
        <v>243</v>
      </c>
      <c r="S61" s="835" t="s">
        <v>104</v>
      </c>
    </row>
    <row r="62" spans="1:19" ht="15.75" x14ac:dyDescent="0.25">
      <c r="A62" s="107"/>
      <c r="B62" s="108" t="s">
        <v>121</v>
      </c>
      <c r="C62" s="124" t="s">
        <v>393</v>
      </c>
      <c r="D62" s="125">
        <f>D47</f>
        <v>3295838980.7862144</v>
      </c>
      <c r="E62" s="1618">
        <f t="shared" ref="E62:G62" si="3">E47</f>
        <v>0</v>
      </c>
      <c r="F62" s="1618">
        <f t="shared" si="3"/>
        <v>0</v>
      </c>
      <c r="G62" s="1619">
        <f t="shared" si="3"/>
        <v>3295838980.7862144</v>
      </c>
      <c r="Q62" s="125"/>
      <c r="R62" s="125"/>
    </row>
    <row r="63" spans="1:19" ht="15.75" x14ac:dyDescent="0.25">
      <c r="A63" s="107"/>
      <c r="B63" s="108" t="s">
        <v>122</v>
      </c>
      <c r="C63" s="124" t="s">
        <v>392</v>
      </c>
      <c r="D63" s="126">
        <f>D48</f>
        <v>3803344740.5943408</v>
      </c>
      <c r="E63" s="1618">
        <f t="shared" ref="E63:G63" si="4">E48</f>
        <v>0</v>
      </c>
      <c r="F63" s="1618">
        <f t="shared" si="4"/>
        <v>0</v>
      </c>
      <c r="G63" s="1619">
        <f t="shared" si="4"/>
        <v>3803344740.5943408</v>
      </c>
      <c r="Q63" s="126"/>
      <c r="R63" s="126"/>
    </row>
    <row r="64" spans="1:19" ht="15.75" x14ac:dyDescent="0.25">
      <c r="A64" s="107"/>
      <c r="B64" s="108" t="s">
        <v>523</v>
      </c>
      <c r="C64" s="124"/>
      <c r="D64" s="125">
        <f>SUM(D62:D63)</f>
        <v>7099183721.3805552</v>
      </c>
      <c r="E64" s="125">
        <f>SUM(E62:E63)</f>
        <v>0</v>
      </c>
      <c r="F64" s="125">
        <f>SUM(F62:F63)</f>
        <v>0</v>
      </c>
      <c r="G64" s="130">
        <f>SUM(G62:G63)</f>
        <v>7099183721.3805552</v>
      </c>
      <c r="Q64" s="843">
        <f>SUM(Q62:Q63)</f>
        <v>0</v>
      </c>
      <c r="R64" s="843">
        <f>SUM(R62:R63)</f>
        <v>0</v>
      </c>
      <c r="S64" s="843">
        <f>Q64+R64</f>
        <v>0</v>
      </c>
    </row>
    <row r="65" spans="1:19" ht="15.75" x14ac:dyDescent="0.25">
      <c r="A65" s="107"/>
      <c r="B65" s="123" t="s">
        <v>344</v>
      </c>
      <c r="C65" s="617"/>
      <c r="D65" s="568">
        <f>IF($D64=0,0,D64/$D64)</f>
        <v>1</v>
      </c>
      <c r="E65" s="621">
        <f>IF($D64=0,0,E64/$D64)</f>
        <v>0</v>
      </c>
      <c r="F65" s="621">
        <f>IF($D64=0,0,F64/$D64)</f>
        <v>0</v>
      </c>
      <c r="G65" s="622">
        <f>IF($D64=0,0,G64/$D64)</f>
        <v>1</v>
      </c>
      <c r="O65" s="123" t="s">
        <v>448</v>
      </c>
      <c r="Q65" s="621">
        <f>IF(D64=0,0,Q64/D64)</f>
        <v>0</v>
      </c>
      <c r="R65" s="621">
        <f>IF(D64=0,0,R64/D64)</f>
        <v>0</v>
      </c>
      <c r="S65" s="571">
        <f>Q65+R65</f>
        <v>0</v>
      </c>
    </row>
    <row r="66" spans="1:19" ht="16.5" thickBot="1" x14ac:dyDescent="0.3">
      <c r="A66" s="114"/>
      <c r="B66" s="115"/>
      <c r="C66" s="115"/>
      <c r="D66" s="116"/>
      <c r="E66" s="116"/>
      <c r="F66" s="116"/>
      <c r="G66" s="117"/>
      <c r="Q66" s="116"/>
      <c r="R66" s="116"/>
    </row>
    <row r="67" spans="1:19" ht="16.5" thickTop="1" x14ac:dyDescent="0.25">
      <c r="A67" s="107"/>
      <c r="B67" s="108"/>
      <c r="C67" s="108"/>
      <c r="D67" s="111"/>
      <c r="E67" s="111"/>
      <c r="F67" s="111"/>
      <c r="G67" s="112"/>
      <c r="Q67" s="111"/>
      <c r="R67" s="111"/>
    </row>
    <row r="68" spans="1:19" ht="15.75" x14ac:dyDescent="0.25">
      <c r="A68" s="107" t="s">
        <v>93</v>
      </c>
      <c r="B68" s="113" t="s">
        <v>345</v>
      </c>
      <c r="C68" s="302" t="s">
        <v>521</v>
      </c>
      <c r="D68" s="303" t="s">
        <v>104</v>
      </c>
      <c r="E68" s="303" t="s">
        <v>105</v>
      </c>
      <c r="F68" s="303" t="s">
        <v>106</v>
      </c>
      <c r="G68" s="304" t="s">
        <v>512</v>
      </c>
      <c r="Q68" s="838" t="s">
        <v>242</v>
      </c>
      <c r="R68" s="835" t="s">
        <v>243</v>
      </c>
      <c r="S68" s="835" t="s">
        <v>104</v>
      </c>
    </row>
    <row r="69" spans="1:19" ht="15.75" x14ac:dyDescent="0.25">
      <c r="A69" s="107"/>
      <c r="B69" s="108" t="s">
        <v>126</v>
      </c>
      <c r="C69" s="124" t="str">
        <f>C26</f>
        <v>PTD</v>
      </c>
      <c r="D69" s="125">
        <f>D26</f>
        <v>134526603.60952502</v>
      </c>
      <c r="E69" s="1618">
        <f t="shared" ref="E69:G69" si="5">E26</f>
        <v>59218092.146876924</v>
      </c>
      <c r="F69" s="1618">
        <f t="shared" si="5"/>
        <v>0</v>
      </c>
      <c r="G69" s="1619">
        <f t="shared" si="5"/>
        <v>75308511.462648094</v>
      </c>
      <c r="Q69" s="125">
        <f>D69*Q$50</f>
        <v>28754695.800814804</v>
      </c>
      <c r="R69" s="125">
        <f>D69*R$50</f>
        <v>30463396.346062116</v>
      </c>
      <c r="S69" s="125">
        <f t="shared" ref="S69:S74" si="6">Q69+R69</f>
        <v>59218092.146876916</v>
      </c>
    </row>
    <row r="70" spans="1:19" ht="15.75" x14ac:dyDescent="0.25">
      <c r="A70" s="107"/>
      <c r="B70" s="108" t="s">
        <v>127</v>
      </c>
      <c r="C70" s="124" t="str">
        <f>C27</f>
        <v>LABOR</v>
      </c>
      <c r="D70" s="126">
        <f>D27</f>
        <v>38698718.859569281</v>
      </c>
      <c r="E70" s="1618">
        <f t="shared" ref="E70:G70" si="7">E27</f>
        <v>16131692.601433367</v>
      </c>
      <c r="F70" s="1618">
        <f t="shared" si="7"/>
        <v>0</v>
      </c>
      <c r="G70" s="1619">
        <f t="shared" si="7"/>
        <v>22567026.258135919</v>
      </c>
      <c r="Q70" s="125">
        <f>D70*Q$22</f>
        <v>9907598.5918155462</v>
      </c>
      <c r="R70" s="125">
        <f>D70*R$22</f>
        <v>6224094.0096178195</v>
      </c>
      <c r="S70" s="125">
        <f t="shared" si="6"/>
        <v>16131692.601433367</v>
      </c>
    </row>
    <row r="71" spans="1:19" ht="15.75" x14ac:dyDescent="0.25">
      <c r="A71" s="107"/>
      <c r="B71" s="108" t="s">
        <v>133</v>
      </c>
      <c r="C71" s="124" t="str">
        <f>C33</f>
        <v>PTD</v>
      </c>
      <c r="D71" s="126">
        <f>D33</f>
        <v>225166384.95095226</v>
      </c>
      <c r="E71" s="1618">
        <f t="shared" ref="E71:G71" si="8">E33</f>
        <v>99117374.367879733</v>
      </c>
      <c r="F71" s="1618">
        <f t="shared" si="8"/>
        <v>0</v>
      </c>
      <c r="G71" s="1619">
        <f t="shared" si="8"/>
        <v>126049010.58307251</v>
      </c>
      <c r="Q71" s="125">
        <f>D71*Q$50</f>
        <v>48128702.65146105</v>
      </c>
      <c r="R71" s="125">
        <f>D71*R$50</f>
        <v>50988671.716418676</v>
      </c>
      <c r="S71" s="125">
        <f t="shared" si="6"/>
        <v>99117374.367879719</v>
      </c>
    </row>
    <row r="72" spans="1:19" ht="15.75" x14ac:dyDescent="0.25">
      <c r="A72" s="107"/>
      <c r="B72" s="108" t="s">
        <v>134</v>
      </c>
      <c r="C72" s="124" t="str">
        <f>C34</f>
        <v>PTD</v>
      </c>
      <c r="D72" s="126">
        <f>D34</f>
        <v>3889871.2322740913</v>
      </c>
      <c r="E72" s="1618">
        <f t="shared" ref="E72:G72" si="9">E34</f>
        <v>1712306.316309788</v>
      </c>
      <c r="F72" s="1618">
        <f t="shared" si="9"/>
        <v>0</v>
      </c>
      <c r="G72" s="1619">
        <f t="shared" si="9"/>
        <v>2177564.9159643031</v>
      </c>
      <c r="Q72" s="125">
        <f>D72*Q$50</f>
        <v>831449.40099017369</v>
      </c>
      <c r="R72" s="125">
        <f>D72*R$50</f>
        <v>880856.91531961423</v>
      </c>
      <c r="S72" s="125">
        <f t="shared" si="6"/>
        <v>1712306.3163097878</v>
      </c>
    </row>
    <row r="73" spans="1:19" ht="15.75" x14ac:dyDescent="0.25">
      <c r="A73" s="107"/>
      <c r="B73" s="108" t="s">
        <v>523</v>
      </c>
      <c r="C73" s="124"/>
      <c r="D73" s="125">
        <f>SUM(D69:D72)</f>
        <v>402281578.65232068</v>
      </c>
      <c r="E73" s="125">
        <f>SUM(E69:E72)</f>
        <v>176179465.4324998</v>
      </c>
      <c r="F73" s="125">
        <f>SUM(F69:F72)</f>
        <v>0</v>
      </c>
      <c r="G73" s="130">
        <f>SUM(G69:G72)</f>
        <v>226102113.21982083</v>
      </c>
      <c r="Q73" s="125">
        <f>SUM(Q69:Q72)</f>
        <v>87622446.445081577</v>
      </c>
      <c r="R73" s="125">
        <f>SUM(R69:R72)</f>
        <v>88557018.987418234</v>
      </c>
      <c r="S73" s="125">
        <f t="shared" si="6"/>
        <v>176179465.43249983</v>
      </c>
    </row>
    <row r="74" spans="1:19" ht="15.75" x14ac:dyDescent="0.25">
      <c r="A74" s="107"/>
      <c r="B74" s="123" t="s">
        <v>346</v>
      </c>
      <c r="C74" s="564"/>
      <c r="D74" s="567">
        <f>IF($D73=0,0,D73/$D73)</f>
        <v>1</v>
      </c>
      <c r="E74" s="571">
        <f>IF($D73=0,0,E73/$D73)</f>
        <v>0.43795061663702523</v>
      </c>
      <c r="F74" s="619">
        <v>0</v>
      </c>
      <c r="G74" s="620">
        <f>IF($D73=0,0,G73/$D73)+IF($D73=0,0,F73/$D73)</f>
        <v>0.56204938336297461</v>
      </c>
      <c r="O74" s="123" t="s">
        <v>449</v>
      </c>
      <c r="Q74" s="571">
        <f>IF(D73=0,0,Q73/D73)</f>
        <v>0.21781371828813195</v>
      </c>
      <c r="R74" s="571">
        <f>IF(D73=0,0,R73/D73)</f>
        <v>0.22013689834889327</v>
      </c>
      <c r="S74" s="571">
        <f t="shared" si="6"/>
        <v>0.43795061663702523</v>
      </c>
    </row>
    <row r="75" spans="1:19" ht="15.75" x14ac:dyDescent="0.25">
      <c r="A75" s="107"/>
      <c r="B75" s="123"/>
      <c r="C75" s="108"/>
      <c r="D75" s="131"/>
      <c r="E75" s="131"/>
      <c r="F75" s="131"/>
      <c r="G75" s="132"/>
      <c r="Q75" s="131"/>
      <c r="R75" s="131"/>
    </row>
    <row r="76" spans="1:19" ht="16.5" thickBot="1" x14ac:dyDescent="0.3">
      <c r="A76" s="107"/>
      <c r="B76" s="123" t="s">
        <v>347</v>
      </c>
      <c r="C76" s="108"/>
      <c r="D76" s="576"/>
      <c r="E76" s="576"/>
      <c r="F76" s="576"/>
      <c r="G76" s="577"/>
      <c r="Q76" s="838" t="s">
        <v>242</v>
      </c>
      <c r="R76" s="835" t="s">
        <v>243</v>
      </c>
      <c r="S76" s="835" t="s">
        <v>104</v>
      </c>
    </row>
    <row r="77" spans="1:19" ht="16.5" thickBot="1" x14ac:dyDescent="0.3">
      <c r="A77" s="107"/>
      <c r="B77" s="113"/>
      <c r="C77" s="108"/>
      <c r="D77" s="1536"/>
      <c r="E77" s="1536"/>
      <c r="F77" s="1536"/>
      <c r="G77" s="1537"/>
      <c r="P77" s="569" t="s">
        <v>180</v>
      </c>
      <c r="Q77" s="3750"/>
      <c r="R77" s="3751"/>
      <c r="S77" s="844"/>
    </row>
    <row r="78" spans="1:19" ht="15.75" x14ac:dyDescent="0.25">
      <c r="A78" s="107"/>
      <c r="B78" s="113" t="s">
        <v>532</v>
      </c>
      <c r="C78" s="108"/>
      <c r="D78" s="1533" t="s">
        <v>392</v>
      </c>
      <c r="E78" s="1534">
        <v>0</v>
      </c>
      <c r="F78" s="1534">
        <v>0</v>
      </c>
      <c r="G78" s="1535">
        <v>1</v>
      </c>
      <c r="H78" s="65">
        <f>ROW()</f>
        <v>78</v>
      </c>
      <c r="J78" s="1262" t="s">
        <v>392</v>
      </c>
      <c r="K78" s="65">
        <f>VLOOKUP(J78,$D$78:$H$87,5,FALSE)</f>
        <v>78</v>
      </c>
      <c r="P78" s="570" t="s">
        <v>392</v>
      </c>
      <c r="Q78" s="3748">
        <v>0</v>
      </c>
      <c r="R78" s="3749"/>
      <c r="S78" s="845"/>
    </row>
    <row r="79" spans="1:19" ht="15.75" x14ac:dyDescent="0.25">
      <c r="A79" s="107"/>
      <c r="B79" s="113" t="s">
        <v>533</v>
      </c>
      <c r="C79" s="108"/>
      <c r="D79" s="570" t="s">
        <v>394</v>
      </c>
      <c r="E79" s="571">
        <v>1</v>
      </c>
      <c r="F79" s="571">
        <v>0</v>
      </c>
      <c r="G79" s="572">
        <v>0</v>
      </c>
      <c r="H79" s="65">
        <f>ROW()</f>
        <v>79</v>
      </c>
      <c r="J79" s="1263" t="s">
        <v>394</v>
      </c>
      <c r="K79" s="65">
        <f t="shared" ref="K79:K87" si="10">VLOOKUP(J79,$D$78:$H$87,5,FALSE)</f>
        <v>79</v>
      </c>
      <c r="P79" s="570" t="s">
        <v>394</v>
      </c>
      <c r="Q79" s="3748"/>
      <c r="R79" s="3749"/>
      <c r="S79" s="845"/>
    </row>
    <row r="80" spans="1:19" ht="15.75" x14ac:dyDescent="0.25">
      <c r="A80" s="107"/>
      <c r="B80" s="113" t="s">
        <v>534</v>
      </c>
      <c r="C80" s="108"/>
      <c r="D80" s="570" t="s">
        <v>393</v>
      </c>
      <c r="E80" s="571">
        <v>0</v>
      </c>
      <c r="F80" s="571">
        <v>0</v>
      </c>
      <c r="G80" s="572">
        <v>1</v>
      </c>
      <c r="H80" s="65">
        <f>ROW()</f>
        <v>80</v>
      </c>
      <c r="J80" s="1263" t="s">
        <v>393</v>
      </c>
      <c r="K80" s="65">
        <f t="shared" si="10"/>
        <v>80</v>
      </c>
      <c r="P80" s="570" t="s">
        <v>393</v>
      </c>
      <c r="Q80" s="3748">
        <v>0</v>
      </c>
      <c r="R80" s="3749"/>
      <c r="S80" s="845"/>
    </row>
    <row r="81" spans="1:19" ht="15.75" x14ac:dyDescent="0.25">
      <c r="A81" s="107"/>
      <c r="B81" s="113" t="s">
        <v>535</v>
      </c>
      <c r="C81" s="108"/>
      <c r="D81" s="570" t="s">
        <v>90</v>
      </c>
      <c r="E81" s="571">
        <v>0</v>
      </c>
      <c r="F81" s="571">
        <v>0</v>
      </c>
      <c r="G81" s="572">
        <v>0</v>
      </c>
      <c r="H81" s="65">
        <f>ROW()</f>
        <v>81</v>
      </c>
      <c r="J81" s="1263" t="s">
        <v>90</v>
      </c>
      <c r="K81" s="65">
        <f t="shared" si="10"/>
        <v>81</v>
      </c>
      <c r="P81" s="570" t="s">
        <v>90</v>
      </c>
      <c r="Q81" s="3748"/>
      <c r="R81" s="3749"/>
      <c r="S81" s="845"/>
    </row>
    <row r="82" spans="1:19" ht="15.75" x14ac:dyDescent="0.25">
      <c r="A82" s="107"/>
      <c r="B82" s="113" t="s">
        <v>92</v>
      </c>
      <c r="C82" s="108"/>
      <c r="D82" s="570" t="s">
        <v>91</v>
      </c>
      <c r="E82" s="571">
        <f>E38</f>
        <v>0.32058832897642964</v>
      </c>
      <c r="F82" s="571">
        <f>F38</f>
        <v>0</v>
      </c>
      <c r="G82" s="572">
        <f>G38</f>
        <v>0.67941167102357047</v>
      </c>
      <c r="H82" s="65">
        <f>ROW()</f>
        <v>82</v>
      </c>
      <c r="J82" s="1263" t="s">
        <v>91</v>
      </c>
      <c r="K82" s="65">
        <f t="shared" si="10"/>
        <v>82</v>
      </c>
      <c r="P82" s="570" t="s">
        <v>91</v>
      </c>
      <c r="Q82" s="571">
        <f>Q38</f>
        <v>0.15886616306620116</v>
      </c>
      <c r="R82" s="571">
        <f>R38</f>
        <v>0.16172216591022845</v>
      </c>
      <c r="S82" s="571">
        <f t="shared" ref="S82:S87" si="11">Q82+R82</f>
        <v>0.32058832897642964</v>
      </c>
    </row>
    <row r="83" spans="1:19" ht="15.75" x14ac:dyDescent="0.25">
      <c r="A83" s="107"/>
      <c r="B83" s="113" t="s">
        <v>94</v>
      </c>
      <c r="C83" s="108"/>
      <c r="D83" s="570" t="s">
        <v>93</v>
      </c>
      <c r="E83" s="571">
        <f>E74</f>
        <v>0.43795061663702523</v>
      </c>
      <c r="F83" s="571">
        <f>F74</f>
        <v>0</v>
      </c>
      <c r="G83" s="572">
        <f>G74</f>
        <v>0.56204938336297461</v>
      </c>
      <c r="H83" s="65">
        <f>ROW()</f>
        <v>83</v>
      </c>
      <c r="J83" s="1263" t="s">
        <v>93</v>
      </c>
      <c r="K83" s="65">
        <f t="shared" si="10"/>
        <v>83</v>
      </c>
      <c r="P83" s="570" t="s">
        <v>93</v>
      </c>
      <c r="Q83" s="571">
        <f>Q74</f>
        <v>0.21781371828813195</v>
      </c>
      <c r="R83" s="571">
        <f>R74</f>
        <v>0.22013689834889327</v>
      </c>
      <c r="S83" s="571">
        <f t="shared" si="11"/>
        <v>0.43795061663702523</v>
      </c>
    </row>
    <row r="84" spans="1:19" ht="15.75" x14ac:dyDescent="0.25">
      <c r="A84" s="107"/>
      <c r="B84" s="113" t="s">
        <v>531</v>
      </c>
      <c r="C84" s="108"/>
      <c r="D84" s="570" t="s">
        <v>95</v>
      </c>
      <c r="E84" s="571">
        <f>E22</f>
        <v>0.41685340178759894</v>
      </c>
      <c r="F84" s="571">
        <f>F22</f>
        <v>0</v>
      </c>
      <c r="G84" s="572">
        <f>G22</f>
        <v>0.58314659821240111</v>
      </c>
      <c r="H84" s="65">
        <f>ROW()</f>
        <v>84</v>
      </c>
      <c r="J84" s="1263" t="s">
        <v>95</v>
      </c>
      <c r="K84" s="65">
        <f t="shared" si="10"/>
        <v>84</v>
      </c>
      <c r="P84" s="570" t="s">
        <v>95</v>
      </c>
      <c r="Q84" s="571">
        <f>Q22</f>
        <v>0.25601877487904567</v>
      </c>
      <c r="R84" s="571">
        <f>R22</f>
        <v>0.16083462690855327</v>
      </c>
      <c r="S84" s="571">
        <f t="shared" si="11"/>
        <v>0.41685340178759894</v>
      </c>
    </row>
    <row r="85" spans="1:19" ht="15.75" x14ac:dyDescent="0.25">
      <c r="A85" s="107"/>
      <c r="B85" s="113" t="s">
        <v>525</v>
      </c>
      <c r="C85" s="108"/>
      <c r="D85" s="570" t="s">
        <v>99</v>
      </c>
      <c r="E85" s="571">
        <f>E50</f>
        <v>0.44019614379593275</v>
      </c>
      <c r="F85" s="571">
        <f>F50</f>
        <v>0</v>
      </c>
      <c r="G85" s="572">
        <f>G50</f>
        <v>0.55980385620406714</v>
      </c>
      <c r="H85" s="65">
        <f>ROW()</f>
        <v>85</v>
      </c>
      <c r="J85" s="1263" t="s">
        <v>99</v>
      </c>
      <c r="K85" s="65">
        <f t="shared" si="10"/>
        <v>85</v>
      </c>
      <c r="P85" s="570" t="s">
        <v>99</v>
      </c>
      <c r="Q85" s="571">
        <f>Q50</f>
        <v>0.21374728142455576</v>
      </c>
      <c r="R85" s="571">
        <f>R50</f>
        <v>0.22644886237137696</v>
      </c>
      <c r="S85" s="571">
        <f t="shared" si="11"/>
        <v>0.44019614379593275</v>
      </c>
    </row>
    <row r="86" spans="1:19" ht="15.75" x14ac:dyDescent="0.25">
      <c r="A86" s="107"/>
      <c r="B86" s="113" t="s">
        <v>536</v>
      </c>
      <c r="C86" s="108"/>
      <c r="D86" s="570" t="s">
        <v>108</v>
      </c>
      <c r="E86" s="571">
        <f>E59</f>
        <v>0.43441450169532542</v>
      </c>
      <c r="F86" s="571">
        <f>F59</f>
        <v>0</v>
      </c>
      <c r="G86" s="572">
        <f>G59</f>
        <v>0.56568557243508888</v>
      </c>
      <c r="H86" s="65">
        <f>ROW()</f>
        <v>86</v>
      </c>
      <c r="J86" s="1263" t="s">
        <v>108</v>
      </c>
      <c r="K86" s="65">
        <f t="shared" si="10"/>
        <v>86</v>
      </c>
      <c r="P86" s="570" t="s">
        <v>108</v>
      </c>
      <c r="Q86" s="571">
        <f>Q59</f>
        <v>0.21109027268493116</v>
      </c>
      <c r="R86" s="571">
        <f>R59</f>
        <v>0.22332422901039428</v>
      </c>
      <c r="S86" s="571">
        <f t="shared" si="11"/>
        <v>0.43441450169532547</v>
      </c>
    </row>
    <row r="87" spans="1:19" ht="16.5" thickBot="1" x14ac:dyDescent="0.3">
      <c r="A87" s="107"/>
      <c r="B87" s="113" t="s">
        <v>530</v>
      </c>
      <c r="C87" s="108"/>
      <c r="D87" s="573" t="s">
        <v>109</v>
      </c>
      <c r="E87" s="574">
        <f>E65</f>
        <v>0</v>
      </c>
      <c r="F87" s="574">
        <f>F65</f>
        <v>0</v>
      </c>
      <c r="G87" s="575">
        <f>G65</f>
        <v>1</v>
      </c>
      <c r="H87" s="65">
        <f>ROW()</f>
        <v>87</v>
      </c>
      <c r="J87" s="1264" t="s">
        <v>109</v>
      </c>
      <c r="K87" s="65">
        <f t="shared" si="10"/>
        <v>87</v>
      </c>
      <c r="P87" s="573" t="s">
        <v>109</v>
      </c>
      <c r="Q87" s="574">
        <f>Q65</f>
        <v>0</v>
      </c>
      <c r="R87" s="574">
        <f>R65</f>
        <v>0</v>
      </c>
      <c r="S87" s="574">
        <f t="shared" si="11"/>
        <v>0</v>
      </c>
    </row>
    <row r="88" spans="1:19" ht="16.5" thickBot="1" x14ac:dyDescent="0.3">
      <c r="A88" s="114"/>
      <c r="B88" s="115"/>
      <c r="C88" s="115"/>
      <c r="D88" s="116"/>
      <c r="E88" s="116"/>
      <c r="F88" s="116"/>
      <c r="G88" s="117"/>
      <c r="Q88" s="111"/>
      <c r="R88" s="111"/>
    </row>
    <row r="89" spans="1:19" ht="13.5" thickTop="1" x14ac:dyDescent="0.2"/>
  </sheetData>
  <mergeCells count="10">
    <mergeCell ref="A3:G3"/>
    <mergeCell ref="C5:E5"/>
    <mergeCell ref="C6:E6"/>
    <mergeCell ref="C7:E7"/>
    <mergeCell ref="Q11:S11"/>
    <mergeCell ref="Q81:R81"/>
    <mergeCell ref="Q77:R77"/>
    <mergeCell ref="Q78:R78"/>
    <mergeCell ref="Q79:R79"/>
    <mergeCell ref="Q80:R80"/>
  </mergeCells>
  <phoneticPr fontId="0" type="noConversion"/>
  <dataValidations count="1">
    <dataValidation type="list" allowBlank="1" showInputMessage="1" showErrorMessage="1" sqref="C17" xr:uid="{00000000-0002-0000-0D00-000000000000}">
      <formula1>DIST</formula1>
    </dataValidation>
  </dataValidations>
  <hyperlinks>
    <hyperlink ref="A5" location="TOC!A1" display="TOC" xr:uid="{00000000-0004-0000-0D00-000000000000}"/>
    <hyperlink ref="A6" location="Ratios!A11" display="é" xr:uid="{00000000-0004-0000-0D00-000001000000}"/>
  </hyperlinks>
  <printOptions horizontalCentered="1" headings="1"/>
  <pageMargins left="0.5" right="0.5" top="1" bottom="0.8" header="0.25" footer="0.25"/>
  <pageSetup scale="75" orientation="landscape" r:id="rId1"/>
  <headerFooter alignWithMargins="0">
    <oddFooter>&amp;LFY 2026-2028 ASC Filing&amp;CPage &amp;P of &amp;N&amp;R&amp;A
&amp;D</oddFooter>
  </headerFooter>
  <rowBreaks count="2" manualBreakCount="2">
    <brk id="39" max="16383" man="1"/>
    <brk id="66" max="16383" man="1"/>
  </rowBreaks>
  <customProperties>
    <customPr name="_pios_id" r:id="rId2"/>
  </customProperties>
  <legacyDrawing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8">
    <tabColor indexed="10"/>
  </sheetPr>
  <dimension ref="A1:S89"/>
  <sheetViews>
    <sheetView zoomScale="90" zoomScaleNormal="90" zoomScaleSheetLayoutView="75" workbookViewId="0">
      <selection sqref="A1:XFD1048576"/>
    </sheetView>
  </sheetViews>
  <sheetFormatPr defaultColWidth="8" defaultRowHeight="12.75" x14ac:dyDescent="0.2"/>
  <cols>
    <col min="1" max="1" width="10.375" style="70" customWidth="1"/>
    <col min="2" max="2" width="54.625" style="65" customWidth="1"/>
    <col min="3" max="3" width="15.5" style="65" customWidth="1"/>
    <col min="4" max="4" width="17.125" style="66" bestFit="1" customWidth="1"/>
    <col min="5" max="5" width="15.875" style="66" bestFit="1" customWidth="1"/>
    <col min="6" max="6" width="15.375" style="66" bestFit="1" customWidth="1"/>
    <col min="7" max="7" width="17.375" style="66" customWidth="1"/>
    <col min="8" max="8" width="8.25" style="65" bestFit="1" customWidth="1"/>
    <col min="9" max="9" width="12.375" style="65" customWidth="1"/>
    <col min="10" max="11" width="12.625" style="65" customWidth="1"/>
    <col min="12" max="12" width="16.25" style="65" customWidth="1"/>
    <col min="13" max="14" width="10" style="65" customWidth="1"/>
    <col min="15" max="16" width="12.625" style="65" customWidth="1"/>
    <col min="17" max="19" width="18.625" style="65" customWidth="1"/>
    <col min="20" max="16384" width="8" style="65"/>
  </cols>
  <sheetData>
    <row r="1" spans="1:19" ht="15.75" customHeight="1" thickTop="1" x14ac:dyDescent="0.3">
      <c r="A1" s="100" t="s">
        <v>54</v>
      </c>
      <c r="B1" s="101"/>
      <c r="C1" s="102"/>
      <c r="D1" s="103"/>
      <c r="E1" s="102"/>
      <c r="F1" s="118"/>
      <c r="G1" s="119"/>
      <c r="M1" s="839" t="s">
        <v>738</v>
      </c>
      <c r="R1" s="840">
        <f>R46</f>
        <v>255938718</v>
      </c>
    </row>
    <row r="2" spans="1:19" ht="15.75" customHeight="1" x14ac:dyDescent="0.25">
      <c r="A2" s="104" t="s">
        <v>56</v>
      </c>
      <c r="B2" s="83"/>
      <c r="C2" s="94"/>
      <c r="D2" s="97"/>
      <c r="E2" s="94"/>
      <c r="F2" s="120"/>
      <c r="G2" s="121"/>
      <c r="M2" s="839" t="s">
        <v>119</v>
      </c>
      <c r="R2" s="840">
        <f>E46</f>
        <v>5582371867.6053581</v>
      </c>
    </row>
    <row r="3" spans="1:19" ht="15.75" customHeight="1" x14ac:dyDescent="0.25">
      <c r="A3" s="3633" t="s">
        <v>719</v>
      </c>
      <c r="B3" s="3609"/>
      <c r="C3" s="3609"/>
      <c r="D3" s="3609"/>
      <c r="E3" s="3609"/>
      <c r="F3" s="3609"/>
      <c r="G3" s="3610"/>
      <c r="M3" s="839" t="s">
        <v>739</v>
      </c>
      <c r="R3" s="841">
        <f>IF(R2=0,0,R1/R2)</f>
        <v>4.584766548520687E-2</v>
      </c>
    </row>
    <row r="4" spans="1:19" ht="15.75" customHeight="1" thickBot="1" x14ac:dyDescent="0.3">
      <c r="A4" s="1268"/>
      <c r="B4" s="3"/>
      <c r="C4" s="94"/>
      <c r="D4" s="97"/>
      <c r="E4" s="94"/>
      <c r="F4" s="120"/>
      <c r="G4" s="121"/>
      <c r="M4" s="839" t="s">
        <v>246</v>
      </c>
      <c r="R4" s="841">
        <f>IF(R2=0,0,(R2-R1)/R2)</f>
        <v>0.95415233451479309</v>
      </c>
    </row>
    <row r="5" spans="1:19" ht="15.75" customHeight="1" x14ac:dyDescent="0.25">
      <c r="A5" s="1379" t="s">
        <v>695</v>
      </c>
      <c r="B5" s="505" t="s">
        <v>572</v>
      </c>
      <c r="C5" s="3648" t="str">
        <f>'Sch 1- Rate Base '!$E$5</f>
        <v>PacifiCorp</v>
      </c>
      <c r="D5" s="3649"/>
      <c r="E5" s="3656"/>
      <c r="F5" s="120"/>
      <c r="G5" s="121"/>
      <c r="M5" s="839"/>
    </row>
    <row r="6" spans="1:19" ht="15.75" customHeight="1" x14ac:dyDescent="0.25">
      <c r="A6" s="1380" t="s">
        <v>696</v>
      </c>
      <c r="B6" s="505" t="s">
        <v>574</v>
      </c>
      <c r="C6" s="3650">
        <f>'Sch 1- Rate Base '!$E$6</f>
        <v>2023</v>
      </c>
      <c r="D6" s="3651"/>
      <c r="E6" s="3657"/>
      <c r="F6" s="625"/>
      <c r="G6" s="121"/>
      <c r="M6" s="839" t="s">
        <v>740</v>
      </c>
      <c r="R6" s="1542">
        <f>'Above-RHWM_Base_Calc'!AA33+'Above-RHWM_Base_Calc'!AA34</f>
        <v>4154216</v>
      </c>
    </row>
    <row r="7" spans="1:19" ht="15.75" customHeight="1" thickBot="1" x14ac:dyDescent="0.3">
      <c r="A7" s="105"/>
      <c r="B7" s="505" t="s">
        <v>575</v>
      </c>
      <c r="C7" s="3652">
        <f>'Sch 1- Rate Base '!$E$7</f>
        <v>45446</v>
      </c>
      <c r="D7" s="3654"/>
      <c r="E7" s="3655"/>
      <c r="F7" s="625"/>
      <c r="G7" s="121"/>
      <c r="M7" s="839" t="s">
        <v>248</v>
      </c>
      <c r="R7" s="840">
        <f>'Sch 3 - Expenses'!H17+'Sch 3 - Expenses'!H18+'Sch 3 - Expenses'!H21+'Sch 3 - Expenses'!H22+'Sch 3 - Expenses'!H24+'Sch 3 - Expenses'!H25+'Sch 3 - Expenses'!H28+'Sch 3 - Expenses'!H29</f>
        <v>182694786.90137753</v>
      </c>
    </row>
    <row r="8" spans="1:19" ht="15.75" customHeight="1" x14ac:dyDescent="0.25">
      <c r="A8" s="105"/>
      <c r="B8" s="3"/>
      <c r="C8" s="94"/>
      <c r="D8" s="97"/>
      <c r="E8" s="94"/>
      <c r="F8" s="120"/>
      <c r="G8" s="121"/>
      <c r="M8" s="839" t="s">
        <v>741</v>
      </c>
      <c r="R8" s="841">
        <f>IF(R7=0,0,R6/R7)</f>
        <v>2.2738557954817468E-2</v>
      </c>
    </row>
    <row r="9" spans="1:19" ht="19.5" x14ac:dyDescent="0.35">
      <c r="A9" s="541" t="s">
        <v>335</v>
      </c>
      <c r="B9" s="540"/>
      <c r="C9" s="94"/>
      <c r="D9" s="97"/>
      <c r="E9" s="94"/>
      <c r="F9" s="120"/>
      <c r="G9" s="121"/>
      <c r="M9" s="839" t="s">
        <v>250</v>
      </c>
      <c r="R9" s="841">
        <f>IF(R7=0,0,(R7-R6)/R7)</f>
        <v>0.9772614420451825</v>
      </c>
    </row>
    <row r="10" spans="1:19" ht="5.25" customHeight="1" thickBot="1" x14ac:dyDescent="0.4">
      <c r="A10" s="133"/>
      <c r="B10" s="134"/>
      <c r="C10" s="135"/>
      <c r="D10" s="136"/>
      <c r="E10" s="135"/>
      <c r="F10" s="137"/>
      <c r="G10" s="138"/>
    </row>
    <row r="11" spans="1:19" ht="15.75" x14ac:dyDescent="0.25">
      <c r="A11" s="107"/>
      <c r="B11" s="108"/>
      <c r="D11" s="109"/>
      <c r="E11" s="109"/>
      <c r="F11" s="109"/>
      <c r="G11" s="110"/>
      <c r="Q11" s="3752" t="s">
        <v>105</v>
      </c>
      <c r="R11" s="3752"/>
      <c r="S11" s="3752"/>
    </row>
    <row r="12" spans="1:19" ht="18.75" x14ac:dyDescent="0.3">
      <c r="A12" s="122" t="s">
        <v>517</v>
      </c>
      <c r="B12" s="128"/>
      <c r="C12" s="302" t="s">
        <v>521</v>
      </c>
      <c r="D12" s="303" t="s">
        <v>104</v>
      </c>
      <c r="E12" s="303" t="s">
        <v>105</v>
      </c>
      <c r="F12" s="303" t="s">
        <v>106</v>
      </c>
      <c r="G12" s="304" t="s">
        <v>512</v>
      </c>
      <c r="Q12" s="838" t="s">
        <v>242</v>
      </c>
      <c r="R12" s="835" t="s">
        <v>243</v>
      </c>
      <c r="S12" s="835" t="s">
        <v>104</v>
      </c>
    </row>
    <row r="13" spans="1:19" ht="15.75" x14ac:dyDescent="0.25">
      <c r="A13" s="107"/>
      <c r="B13" s="108" t="s">
        <v>105</v>
      </c>
      <c r="C13" s="124" t="s">
        <v>394</v>
      </c>
      <c r="D13" s="125">
        <f>Salaries!D33</f>
        <v>143401785</v>
      </c>
      <c r="E13" s="125">
        <f t="shared" ref="E13:E19" si="0">VLOOKUP($C13,Ratio,2,FALSE)*$D13</f>
        <v>143401785</v>
      </c>
      <c r="F13" s="125">
        <f t="shared" ref="F13:F19" si="1">VLOOKUP($C13,Ratio,3,FALSE)*$D13</f>
        <v>0</v>
      </c>
      <c r="G13" s="130">
        <f t="shared" ref="G13:G19" si="2">VLOOKUP($C13,Ratio,4,FALSE)*$D13</f>
        <v>0</v>
      </c>
      <c r="Q13" s="125">
        <f>E13*R9</f>
        <v>140141035.20095322</v>
      </c>
      <c r="R13" s="125">
        <f>E13*R8</f>
        <v>3260749.7990467744</v>
      </c>
      <c r="S13" s="836">
        <f>SUM(Q13:R13)</f>
        <v>143401785</v>
      </c>
    </row>
    <row r="14" spans="1:19" ht="15.75" x14ac:dyDescent="0.25">
      <c r="A14" s="107"/>
      <c r="B14" s="108" t="s">
        <v>106</v>
      </c>
      <c r="C14" s="124" t="s">
        <v>393</v>
      </c>
      <c r="D14" s="126">
        <f>Salaries!D34</f>
        <v>33170529</v>
      </c>
      <c r="E14" s="126">
        <f t="shared" si="0"/>
        <v>0</v>
      </c>
      <c r="F14" s="126">
        <f t="shared" si="1"/>
        <v>33170529</v>
      </c>
      <c r="G14" s="127">
        <f t="shared" si="2"/>
        <v>0</v>
      </c>
      <c r="Q14" s="846">
        <v>0</v>
      </c>
      <c r="R14" s="846">
        <v>0</v>
      </c>
    </row>
    <row r="15" spans="1:19" ht="15.75" x14ac:dyDescent="0.25">
      <c r="A15" s="107"/>
      <c r="B15" s="108" t="s">
        <v>512</v>
      </c>
      <c r="C15" s="124" t="s">
        <v>392</v>
      </c>
      <c r="D15" s="126">
        <f>Salaries!D35</f>
        <v>131214060</v>
      </c>
      <c r="E15" s="126">
        <f t="shared" si="0"/>
        <v>0</v>
      </c>
      <c r="F15" s="126">
        <f t="shared" si="1"/>
        <v>0</v>
      </c>
      <c r="G15" s="127">
        <f t="shared" si="2"/>
        <v>131214060</v>
      </c>
      <c r="Q15" s="846">
        <v>0</v>
      </c>
      <c r="R15" s="846">
        <v>0</v>
      </c>
    </row>
    <row r="16" spans="1:19" ht="15.75" x14ac:dyDescent="0.25">
      <c r="A16" s="107"/>
      <c r="B16" s="108" t="s">
        <v>513</v>
      </c>
      <c r="C16" s="124" t="s">
        <v>392</v>
      </c>
      <c r="D16" s="126">
        <f>Salaries!D36</f>
        <v>29892118</v>
      </c>
      <c r="E16" s="126">
        <f t="shared" si="0"/>
        <v>0</v>
      </c>
      <c r="F16" s="126">
        <f t="shared" si="1"/>
        <v>0</v>
      </c>
      <c r="G16" s="127">
        <f t="shared" si="2"/>
        <v>29892118</v>
      </c>
      <c r="I16" s="627" t="s">
        <v>101</v>
      </c>
      <c r="J16" s="627" t="s">
        <v>102</v>
      </c>
      <c r="K16" s="627" t="s">
        <v>103</v>
      </c>
      <c r="Q16" s="846">
        <v>0</v>
      </c>
      <c r="R16" s="846">
        <v>0</v>
      </c>
    </row>
    <row r="17" spans="1:19" ht="15.75" x14ac:dyDescent="0.25">
      <c r="A17" s="107"/>
      <c r="B17" s="1528" t="s">
        <v>514</v>
      </c>
      <c r="C17" s="1623" t="s">
        <v>392</v>
      </c>
      <c r="D17" s="1529">
        <f>Salaries!D37</f>
        <v>8580394</v>
      </c>
      <c r="E17" s="1526">
        <f>IF($C17="DIRECT",I17,VLOOKUP($C17,Ratio,2,FALSE)*$D17)</f>
        <v>0</v>
      </c>
      <c r="F17" s="1526">
        <f>IF($C17="DIRECT",J17,VLOOKUP($C17,Ratio,3,FALSE)*$D17)</f>
        <v>0</v>
      </c>
      <c r="G17" s="1530">
        <f>IF($C17="DIRECT",K17,VLOOKUP($C17,Ratio,4,FALSE)*$D17)</f>
        <v>8580394</v>
      </c>
      <c r="I17" s="126"/>
      <c r="J17" s="126"/>
      <c r="K17" s="126"/>
      <c r="N17" s="839"/>
      <c r="Q17" s="846">
        <f>E17</f>
        <v>0</v>
      </c>
      <c r="R17" s="846">
        <v>0</v>
      </c>
      <c r="S17" s="836">
        <f>SUM(Q17:R17)</f>
        <v>0</v>
      </c>
    </row>
    <row r="18" spans="1:19" ht="15.75" x14ac:dyDescent="0.25">
      <c r="A18" s="107"/>
      <c r="B18" s="108" t="s">
        <v>515</v>
      </c>
      <c r="C18" s="124" t="s">
        <v>392</v>
      </c>
      <c r="D18" s="126">
        <f>Salaries!D38</f>
        <v>0</v>
      </c>
      <c r="E18" s="126">
        <f t="shared" si="0"/>
        <v>0</v>
      </c>
      <c r="F18" s="126">
        <f t="shared" si="1"/>
        <v>0</v>
      </c>
      <c r="G18" s="127">
        <f t="shared" si="2"/>
        <v>0</v>
      </c>
      <c r="Q18" s="846">
        <v>0</v>
      </c>
      <c r="R18" s="846">
        <v>0</v>
      </c>
    </row>
    <row r="19" spans="1:19" ht="15.75" x14ac:dyDescent="0.25">
      <c r="A19" s="107"/>
      <c r="B19" s="108" t="s">
        <v>518</v>
      </c>
      <c r="C19" s="124" t="s">
        <v>99</v>
      </c>
      <c r="D19" s="126">
        <f>Salaries!D39</f>
        <v>40158501</v>
      </c>
      <c r="E19" s="126">
        <f t="shared" si="0"/>
        <v>17677617.280825108</v>
      </c>
      <c r="F19" s="126">
        <f t="shared" si="1"/>
        <v>0</v>
      </c>
      <c r="G19" s="127">
        <f t="shared" si="2"/>
        <v>22480883.719174888</v>
      </c>
      <c r="Q19" s="126">
        <f>D19*Q50</f>
        <v>16867139.797158327</v>
      </c>
      <c r="R19" s="126">
        <f>D19*R50</f>
        <v>810477.48366678192</v>
      </c>
      <c r="S19" s="836">
        <f>SUM(Q19:R19)</f>
        <v>17677617.280825108</v>
      </c>
    </row>
    <row r="20" spans="1:19" ht="15.75" x14ac:dyDescent="0.25">
      <c r="A20" s="107"/>
      <c r="B20" s="108"/>
      <c r="C20" s="108"/>
      <c r="D20" s="111"/>
      <c r="E20" s="111"/>
      <c r="F20" s="111"/>
      <c r="G20" s="112"/>
      <c r="Q20" s="576"/>
      <c r="R20" s="576"/>
    </row>
    <row r="21" spans="1:19" ht="18.75" x14ac:dyDescent="0.3">
      <c r="A21" s="122" t="s">
        <v>519</v>
      </c>
      <c r="B21" s="108"/>
      <c r="C21" s="560"/>
      <c r="D21" s="561">
        <f>SUM(D13:D20)</f>
        <v>386417387</v>
      </c>
      <c r="E21" s="561">
        <f>SUM(E13:E20)</f>
        <v>161079402.28082511</v>
      </c>
      <c r="F21" s="561">
        <f>SUM(F13:F20)</f>
        <v>33170529</v>
      </c>
      <c r="G21" s="562">
        <f>SUM(G13:G20)</f>
        <v>192167455.71917489</v>
      </c>
      <c r="Q21" s="561">
        <f>SUM(Q13:Q19)</f>
        <v>157008174.99811155</v>
      </c>
      <c r="R21" s="561">
        <f>SUM(R13:R19)</f>
        <v>4071227.2827135562</v>
      </c>
      <c r="S21" s="836">
        <f>SUM(Q21:R21)</f>
        <v>161079402.28082511</v>
      </c>
    </row>
    <row r="22" spans="1:19" ht="15.75" x14ac:dyDescent="0.25">
      <c r="A22" s="107"/>
      <c r="B22" s="123" t="s">
        <v>336</v>
      </c>
      <c r="C22" s="560"/>
      <c r="D22" s="563">
        <f>IF($D21=0,0,D21/$D21)</f>
        <v>1</v>
      </c>
      <c r="E22" s="619">
        <f>IF($D21=0,0,E21/$D21)</f>
        <v>0.41685340178759894</v>
      </c>
      <c r="F22" s="619">
        <f>IF($D21=0,0,F21/$D21)</f>
        <v>8.5841191716355139E-2</v>
      </c>
      <c r="G22" s="620">
        <f>IF($D21=0,0,G21/$D21)</f>
        <v>0.49730540649604593</v>
      </c>
      <c r="O22" s="123" t="s">
        <v>336</v>
      </c>
      <c r="Q22" s="619">
        <f>IF(D21=0,0,Q21/D21)</f>
        <v>0.40631757338111585</v>
      </c>
      <c r="R22" s="619">
        <f>IF(D21=0,0,R21/D21)</f>
        <v>1.0535828406483056E-2</v>
      </c>
      <c r="S22" s="837">
        <f>SUM(Q22:R22)</f>
        <v>0.41685340178759889</v>
      </c>
    </row>
    <row r="23" spans="1:19" ht="15.75" x14ac:dyDescent="0.25">
      <c r="A23" s="107"/>
      <c r="B23" s="108"/>
      <c r="C23" s="108"/>
      <c r="D23" s="111"/>
      <c r="E23" s="111"/>
      <c r="F23" s="111"/>
      <c r="G23" s="112"/>
      <c r="Q23" s="111"/>
      <c r="R23" s="111"/>
    </row>
    <row r="24" spans="1:19" ht="18.75" x14ac:dyDescent="0.3">
      <c r="A24" s="122" t="s">
        <v>91</v>
      </c>
      <c r="B24" s="129" t="s">
        <v>337</v>
      </c>
      <c r="C24" s="302" t="s">
        <v>521</v>
      </c>
      <c r="D24" s="303" t="s">
        <v>104</v>
      </c>
      <c r="E24" s="303" t="s">
        <v>105</v>
      </c>
      <c r="F24" s="303" t="s">
        <v>106</v>
      </c>
      <c r="G24" s="304" t="s">
        <v>512</v>
      </c>
      <c r="Q24" s="838" t="s">
        <v>242</v>
      </c>
      <c r="R24" s="835" t="s">
        <v>243</v>
      </c>
      <c r="S24" s="835" t="s">
        <v>104</v>
      </c>
    </row>
    <row r="25" spans="1:19" ht="15.75" x14ac:dyDescent="0.25">
      <c r="A25" s="107"/>
      <c r="B25" s="108" t="s">
        <v>125</v>
      </c>
      <c r="C25" s="124" t="s">
        <v>99</v>
      </c>
      <c r="D25" s="125">
        <f>'Sch 1- Rate Base '!G37</f>
        <v>10980784.643303178</v>
      </c>
      <c r="E25" s="1618">
        <f>'Sch 1- Rate Base '!H37</f>
        <v>4833699.0558356559</v>
      </c>
      <c r="F25" s="1618">
        <f>'Sch 1- Rate Base '!I37</f>
        <v>0</v>
      </c>
      <c r="G25" s="1619">
        <f>'Sch 1- Rate Base '!J37</f>
        <v>6147085.5874675214</v>
      </c>
      <c r="Q25" s="125">
        <f>D25*Q$50</f>
        <v>4612085.2384675425</v>
      </c>
      <c r="R25" s="125">
        <f>D25*R$50</f>
        <v>221613.81736811344</v>
      </c>
      <c r="S25" s="836">
        <f>SUM(Q25:R25)</f>
        <v>4833699.0558356559</v>
      </c>
    </row>
    <row r="26" spans="1:19" ht="15.75" x14ac:dyDescent="0.25">
      <c r="A26" s="107"/>
      <c r="B26" s="108" t="s">
        <v>126</v>
      </c>
      <c r="C26" s="124" t="s">
        <v>99</v>
      </c>
      <c r="D26" s="126">
        <f>'Sch 1- Rate Base '!G38</f>
        <v>134526603.60952502</v>
      </c>
      <c r="E26" s="1620">
        <f>'Sch 1- Rate Base '!H38</f>
        <v>59218092.146876924</v>
      </c>
      <c r="F26" s="1620">
        <f>'Sch 1- Rate Base '!I38</f>
        <v>0</v>
      </c>
      <c r="G26" s="1621">
        <f>'Sch 1- Rate Base '!J38</f>
        <v>75308511.462648094</v>
      </c>
      <c r="Q26" s="125">
        <f>D26*Q$50</f>
        <v>56503080.867454752</v>
      </c>
      <c r="R26" s="125">
        <f>D26*R$50</f>
        <v>2715011.2794221691</v>
      </c>
      <c r="S26" s="836">
        <f>SUM(Q26:R26)</f>
        <v>59218092.146876924</v>
      </c>
    </row>
    <row r="27" spans="1:19" ht="15.75" x14ac:dyDescent="0.25">
      <c r="A27" s="107"/>
      <c r="B27" s="108" t="s">
        <v>127</v>
      </c>
      <c r="C27" s="124" t="s">
        <v>95</v>
      </c>
      <c r="D27" s="126">
        <f>'Sch 1- Rate Base '!G39</f>
        <v>38698718.859569281</v>
      </c>
      <c r="E27" s="1620">
        <f>'Sch 1- Rate Base '!H39</f>
        <v>16131692.601433367</v>
      </c>
      <c r="F27" s="1620">
        <f>'Sch 1- Rate Base '!I39</f>
        <v>0</v>
      </c>
      <c r="G27" s="1621">
        <f>'Sch 1- Rate Base '!J39</f>
        <v>22567026.258135919</v>
      </c>
      <c r="Q27" s="125">
        <f>D27*Q$22</f>
        <v>15723969.539978214</v>
      </c>
      <c r="R27" s="125">
        <f>D27*R$22</f>
        <v>407723.06145515159</v>
      </c>
      <c r="S27" s="836">
        <f>SUM(Q27:R27)</f>
        <v>16131692.601433365</v>
      </c>
    </row>
    <row r="28" spans="1:19" ht="15.75" x14ac:dyDescent="0.25">
      <c r="A28" s="107"/>
      <c r="B28" s="108" t="s">
        <v>128</v>
      </c>
      <c r="C28" s="124" t="s">
        <v>109</v>
      </c>
      <c r="D28" s="126">
        <f>'Sch 1- Rate Base '!G40</f>
        <v>70926422.960104048</v>
      </c>
      <c r="E28" s="1620">
        <f>'Sch 1- Rate Base '!H40</f>
        <v>0</v>
      </c>
      <c r="F28" s="1620">
        <f>'Sch 1- Rate Base '!I40</f>
        <v>0</v>
      </c>
      <c r="G28" s="1621">
        <f>'Sch 1- Rate Base '!J40</f>
        <v>70926422.960104048</v>
      </c>
      <c r="Q28" s="842">
        <v>0</v>
      </c>
      <c r="R28" s="842">
        <v>0</v>
      </c>
    </row>
    <row r="29" spans="1:19" ht="15.75" x14ac:dyDescent="0.25">
      <c r="A29" s="107"/>
      <c r="B29" s="108" t="s">
        <v>129</v>
      </c>
      <c r="C29" s="124" t="s">
        <v>99</v>
      </c>
      <c r="D29" s="126">
        <f>'Sch 1- Rate Base '!G41</f>
        <v>8843323.1563989222</v>
      </c>
      <c r="E29" s="1620">
        <f>'Sch 1- Rate Base '!H41</f>
        <v>3892796.7517880816</v>
      </c>
      <c r="F29" s="1620">
        <f>'Sch 1- Rate Base '!I41</f>
        <v>0</v>
      </c>
      <c r="G29" s="1621">
        <f>'Sch 1- Rate Base '!J41</f>
        <v>4950526.4046108397</v>
      </c>
      <c r="Q29" s="125">
        <f>D29*Q$50</f>
        <v>3714321.1085102018</v>
      </c>
      <c r="R29" s="125">
        <f>D29*R$50</f>
        <v>178475.64327787986</v>
      </c>
      <c r="S29" s="836">
        <f>SUM(Q29:R29)</f>
        <v>3892796.7517880816</v>
      </c>
    </row>
    <row r="30" spans="1:19" ht="15.75" x14ac:dyDescent="0.25">
      <c r="A30" s="107"/>
      <c r="B30" s="108" t="s">
        <v>130</v>
      </c>
      <c r="C30" s="124" t="s">
        <v>99</v>
      </c>
      <c r="D30" s="126">
        <f>'Sch 1- Rate Base '!G42</f>
        <v>28801735.62174933</v>
      </c>
      <c r="E30" s="1620">
        <f>'Sch 1- Rate Base '!H42</f>
        <v>12678412.955324007</v>
      </c>
      <c r="F30" s="1620">
        <f>'Sch 1- Rate Base '!I42</f>
        <v>0</v>
      </c>
      <c r="G30" s="1621">
        <f>'Sch 1- Rate Base '!J42</f>
        <v>16123322.666425321</v>
      </c>
      <c r="Q30" s="125">
        <f>D30*Q$50</f>
        <v>12097137.319264999</v>
      </c>
      <c r="R30" s="125">
        <f>D30*R$50</f>
        <v>581275.63605900807</v>
      </c>
      <c r="S30" s="836">
        <f>SUM(Q30:R30)</f>
        <v>12678412.955324007</v>
      </c>
    </row>
    <row r="31" spans="1:19" ht="15.75" x14ac:dyDescent="0.25">
      <c r="A31" s="107"/>
      <c r="B31" s="108" t="s">
        <v>131</v>
      </c>
      <c r="C31" s="124" t="s">
        <v>99</v>
      </c>
      <c r="D31" s="126">
        <f>'Sch 1- Rate Base '!G43</f>
        <v>22065131.008344457</v>
      </c>
      <c r="E31" s="1620">
        <f>'Sch 1- Rate Base '!H43</f>
        <v>9712985.5822252911</v>
      </c>
      <c r="F31" s="1620">
        <f>'Sch 1- Rate Base '!I43</f>
        <v>0</v>
      </c>
      <c r="G31" s="1621">
        <f>'Sch 1- Rate Base '!J43</f>
        <v>12352145.426119164</v>
      </c>
      <c r="Q31" s="125">
        <f>D31*Q$50</f>
        <v>9267667.8683887888</v>
      </c>
      <c r="R31" s="125">
        <f>D31*R$50</f>
        <v>445317.71383650246</v>
      </c>
      <c r="S31" s="836">
        <f>SUM(Q31:R31)</f>
        <v>9712985.5822252911</v>
      </c>
    </row>
    <row r="32" spans="1:19" ht="15.75" x14ac:dyDescent="0.25">
      <c r="A32" s="107"/>
      <c r="B32" s="108" t="s">
        <v>132</v>
      </c>
      <c r="C32" s="124" t="s">
        <v>109</v>
      </c>
      <c r="D32" s="126">
        <f>'Sch 1- Rate Base '!G44</f>
        <v>104224382.24860385</v>
      </c>
      <c r="E32" s="1620">
        <f>'Sch 1- Rate Base '!H44</f>
        <v>0</v>
      </c>
      <c r="F32" s="1620">
        <f>'Sch 1- Rate Base '!I44</f>
        <v>0</v>
      </c>
      <c r="G32" s="1621">
        <f>'Sch 1- Rate Base '!J44</f>
        <v>104224382.24860385</v>
      </c>
      <c r="Q32" s="842">
        <v>0</v>
      </c>
      <c r="R32" s="842">
        <v>0</v>
      </c>
    </row>
    <row r="33" spans="1:19" ht="15.75" x14ac:dyDescent="0.25">
      <c r="A33" s="107"/>
      <c r="B33" s="108" t="s">
        <v>133</v>
      </c>
      <c r="C33" s="124" t="s">
        <v>99</v>
      </c>
      <c r="D33" s="126">
        <f>'Sch 1- Rate Base '!G45</f>
        <v>225166384.95095226</v>
      </c>
      <c r="E33" s="1620">
        <f>'Sch 1- Rate Base '!H45</f>
        <v>99117374.367879733</v>
      </c>
      <c r="F33" s="1620">
        <f>'Sch 1- Rate Base '!I45</f>
        <v>0</v>
      </c>
      <c r="G33" s="1621">
        <f>'Sch 1- Rate Base '!J45</f>
        <v>126049010.58307251</v>
      </c>
      <c r="Q33" s="125">
        <f>D33*Q$50</f>
        <v>94573074.144089162</v>
      </c>
      <c r="R33" s="125">
        <f>D33*R$50</f>
        <v>4544300.2237905674</v>
      </c>
      <c r="S33" s="836">
        <f>SUM(Q33:R33)</f>
        <v>99117374.367879733</v>
      </c>
    </row>
    <row r="34" spans="1:19" ht="15.75" x14ac:dyDescent="0.25">
      <c r="A34" s="107"/>
      <c r="B34" s="108" t="s">
        <v>134</v>
      </c>
      <c r="C34" s="124" t="s">
        <v>99</v>
      </c>
      <c r="D34" s="126">
        <f>'Sch 1- Rate Base '!G46</f>
        <v>3889871.2322740913</v>
      </c>
      <c r="E34" s="1620">
        <f>'Sch 1- Rate Base '!H46</f>
        <v>1712306.316309788</v>
      </c>
      <c r="F34" s="1620">
        <f>'Sch 1- Rate Base '!I46</f>
        <v>0</v>
      </c>
      <c r="G34" s="1621">
        <f>'Sch 1- Rate Base '!J46</f>
        <v>2177564.9159643031</v>
      </c>
      <c r="Q34" s="125">
        <f>D34*Q$50</f>
        <v>1633801.0691114101</v>
      </c>
      <c r="R34" s="125">
        <f>D34*R$50</f>
        <v>78505.247198377983</v>
      </c>
      <c r="S34" s="836">
        <f>SUM(Q34:R34)</f>
        <v>1712306.316309788</v>
      </c>
    </row>
    <row r="35" spans="1:19" ht="15.75" x14ac:dyDescent="0.25">
      <c r="A35" s="107"/>
      <c r="B35" s="108" t="s">
        <v>256</v>
      </c>
      <c r="C35" s="124" t="str">
        <f>'Sch 1- Rate Base '!E47</f>
        <v>DIRECT</v>
      </c>
      <c r="D35" s="126">
        <f>'Sch 1- Rate Base '!G47</f>
        <v>708735.65050650423</v>
      </c>
      <c r="E35" s="1620">
        <f>'Sch 1- Rate Base '!H47</f>
        <v>708735.65050650423</v>
      </c>
      <c r="F35" s="1620">
        <f>'Sch 1- Rate Base '!I47</f>
        <v>0</v>
      </c>
      <c r="G35" s="1621">
        <f>'Sch 1- Rate Base '!J47</f>
        <v>0</v>
      </c>
      <c r="Q35" s="842">
        <f>E35*R4</f>
        <v>676241.77548464155</v>
      </c>
      <c r="R35" s="842">
        <f>E35*R3</f>
        <v>32493.875021862692</v>
      </c>
    </row>
    <row r="36" spans="1:19" ht="15.75" x14ac:dyDescent="0.25">
      <c r="A36" s="107"/>
      <c r="B36" s="108" t="s">
        <v>442</v>
      </c>
      <c r="C36" s="124" t="s">
        <v>99</v>
      </c>
      <c r="D36" s="126">
        <f>'Sch 1- Rate Base '!G48</f>
        <v>15896.576261311178</v>
      </c>
      <c r="E36" s="1620">
        <f>'Sch 1- Rate Base '!H48</f>
        <v>6997.6115697871464</v>
      </c>
      <c r="F36" s="1620">
        <f>'Sch 1- Rate Base '!I48</f>
        <v>0</v>
      </c>
      <c r="G36" s="1621">
        <f>'Sch 1- Rate Base '!J48</f>
        <v>8898.9646915240301</v>
      </c>
      <c r="Q36" s="125">
        <f>D36*Q$50</f>
        <v>6676.7874153401317</v>
      </c>
      <c r="R36" s="125">
        <f>D36*R$50</f>
        <v>320.82415444701445</v>
      </c>
      <c r="S36" s="836">
        <f>SUM(Q36:R36)</f>
        <v>6997.6115697871464</v>
      </c>
    </row>
    <row r="37" spans="1:19" ht="15.75" x14ac:dyDescent="0.25">
      <c r="A37" s="107"/>
      <c r="B37" s="108" t="s">
        <v>523</v>
      </c>
      <c r="C37" s="564"/>
      <c r="D37" s="565">
        <f>SUM(D25:D36)</f>
        <v>648847990.51759219</v>
      </c>
      <c r="E37" s="565">
        <f>SUM(E25:E36)</f>
        <v>208013093.03974915</v>
      </c>
      <c r="F37" s="565">
        <f>SUM(F25:F36)</f>
        <v>0</v>
      </c>
      <c r="G37" s="566">
        <f>SUM(G25:G36)</f>
        <v>440834897.47784311</v>
      </c>
      <c r="Q37" s="565">
        <f>SUM(Q25:Q36)</f>
        <v>198808055.71816504</v>
      </c>
      <c r="R37" s="565">
        <f>SUM(R25:R36)</f>
        <v>9205037.3215840794</v>
      </c>
      <c r="S37" s="836">
        <f>SUM(Q37:R37)</f>
        <v>208013093.03974912</v>
      </c>
    </row>
    <row r="38" spans="1:19" ht="15.75" x14ac:dyDescent="0.25">
      <c r="A38" s="107"/>
      <c r="B38" s="123" t="s">
        <v>524</v>
      </c>
      <c r="C38" s="564"/>
      <c r="D38" s="567">
        <f>IF($D37=0,0,D37/$D37)</f>
        <v>1</v>
      </c>
      <c r="E38" s="571">
        <f>IF($D37=0,0,E37/$D37)</f>
        <v>0.32058832897642964</v>
      </c>
      <c r="F38" s="571">
        <f>IF($D37=0,0,F37/$D37)</f>
        <v>0</v>
      </c>
      <c r="G38" s="572">
        <f>IF($D37=0,0,G37/$D37)</f>
        <v>0.67941167102357047</v>
      </c>
      <c r="O38" s="123" t="s">
        <v>446</v>
      </c>
      <c r="Q38" s="571">
        <f>IF(D37=0,0,Q37/D37)</f>
        <v>0.30640158962282366</v>
      </c>
      <c r="R38" s="571">
        <f>IF(D37=0,0,R37/D37)</f>
        <v>1.4186739353605971E-2</v>
      </c>
      <c r="S38" s="571">
        <f>SUM(Q38:R38)</f>
        <v>0.32058832897642964</v>
      </c>
    </row>
    <row r="39" spans="1:19" ht="16.5" thickBot="1" x14ac:dyDescent="0.3">
      <c r="A39" s="114"/>
      <c r="B39" s="115"/>
      <c r="C39" s="618"/>
      <c r="D39" s="139"/>
      <c r="E39" s="139"/>
      <c r="F39" s="139"/>
      <c r="G39" s="140"/>
      <c r="Q39" s="139"/>
      <c r="R39" s="139"/>
    </row>
    <row r="40" spans="1:19" ht="16.5" thickTop="1" x14ac:dyDescent="0.25">
      <c r="A40" s="107"/>
      <c r="B40" s="108"/>
      <c r="C40" s="108"/>
      <c r="D40" s="111"/>
      <c r="E40" s="111"/>
      <c r="F40" s="111"/>
      <c r="G40" s="112"/>
      <c r="Q40" s="111"/>
      <c r="R40" s="111"/>
    </row>
    <row r="41" spans="1:19" ht="15.75" x14ac:dyDescent="0.25">
      <c r="A41" s="107" t="s">
        <v>99</v>
      </c>
      <c r="B41" s="113" t="s">
        <v>338</v>
      </c>
      <c r="C41" s="302" t="s">
        <v>521</v>
      </c>
      <c r="D41" s="303" t="s">
        <v>104</v>
      </c>
      <c r="E41" s="303" t="s">
        <v>105</v>
      </c>
      <c r="F41" s="303" t="s">
        <v>106</v>
      </c>
      <c r="G41" s="304" t="s">
        <v>512</v>
      </c>
      <c r="Q41" s="838" t="s">
        <v>242</v>
      </c>
      <c r="R41" s="835" t="s">
        <v>243</v>
      </c>
      <c r="S41" s="835" t="s">
        <v>104</v>
      </c>
    </row>
    <row r="42" spans="1:19" ht="15.75" x14ac:dyDescent="0.25">
      <c r="A42" s="107"/>
      <c r="B42" s="108" t="s">
        <v>111</v>
      </c>
      <c r="C42" s="124" t="s">
        <v>394</v>
      </c>
      <c r="D42" s="125">
        <f>'Sch 1- Rate Base '!G22</f>
        <v>2890625949.8270597</v>
      </c>
      <c r="E42" s="1618">
        <f>'Sch 1- Rate Base '!H22</f>
        <v>2890625949.8270597</v>
      </c>
      <c r="F42" s="1618">
        <f>'Sch 1- Rate Base '!I22</f>
        <v>0</v>
      </c>
      <c r="G42" s="1619">
        <f>'Sch 1- Rate Base '!J22</f>
        <v>0</v>
      </c>
      <c r="Q42" s="125">
        <f>D42-R42</f>
        <v>2890625949.8270597</v>
      </c>
      <c r="R42" s="1543">
        <f>SUMIF('Above-RHWM_Base_Calc'!B$11:Z$11,1,'Above-RHWM_Base_Calc'!B$17:Z$17)</f>
        <v>0</v>
      </c>
    </row>
    <row r="43" spans="1:19" ht="15.75" x14ac:dyDescent="0.25">
      <c r="A43" s="107"/>
      <c r="B43" s="108" t="s">
        <v>113</v>
      </c>
      <c r="C43" s="124" t="s">
        <v>394</v>
      </c>
      <c r="D43" s="126">
        <f>'Sch 1- Rate Base '!G23</f>
        <v>0</v>
      </c>
      <c r="E43" s="1620">
        <f>'Sch 1- Rate Base '!H23</f>
        <v>0</v>
      </c>
      <c r="F43" s="1620">
        <f>'Sch 1- Rate Base '!I23</f>
        <v>0</v>
      </c>
      <c r="G43" s="1621">
        <f>'Sch 1- Rate Base '!J23</f>
        <v>0</v>
      </c>
      <c r="Q43" s="125">
        <f>D43-R43</f>
        <v>0</v>
      </c>
      <c r="R43" s="126"/>
    </row>
    <row r="44" spans="1:19" ht="15.75" x14ac:dyDescent="0.25">
      <c r="A44" s="107"/>
      <c r="B44" s="108" t="s">
        <v>115</v>
      </c>
      <c r="C44" s="124" t="s">
        <v>394</v>
      </c>
      <c r="D44" s="126">
        <f>'Sch 1- Rate Base '!G24</f>
        <v>433360289.62213159</v>
      </c>
      <c r="E44" s="1620">
        <f>'Sch 1- Rate Base '!H24</f>
        <v>433360289.62213159</v>
      </c>
      <c r="F44" s="1620">
        <f>'Sch 1- Rate Base '!I24</f>
        <v>0</v>
      </c>
      <c r="G44" s="1621">
        <f>'Sch 1- Rate Base '!J24</f>
        <v>0</v>
      </c>
      <c r="Q44" s="125">
        <f>D44-R44</f>
        <v>433360289.62213159</v>
      </c>
      <c r="R44" s="1543">
        <f>SUMIF('Above-RHWM_Base_Calc'!B$11:Z$11,2,'Above-RHWM_Base_Calc'!B$17:Z$17)</f>
        <v>0</v>
      </c>
    </row>
    <row r="45" spans="1:19" ht="15.75" x14ac:dyDescent="0.25">
      <c r="A45" s="107"/>
      <c r="B45" s="108" t="s">
        <v>117</v>
      </c>
      <c r="C45" s="124" t="s">
        <v>394</v>
      </c>
      <c r="D45" s="126">
        <f>'Sch 1- Rate Base '!G25</f>
        <v>2258385628.1561666</v>
      </c>
      <c r="E45" s="1620">
        <f>'Sch 1- Rate Base '!H25</f>
        <v>2258385628.1561666</v>
      </c>
      <c r="F45" s="1620">
        <f>'Sch 1- Rate Base '!I25</f>
        <v>0</v>
      </c>
      <c r="G45" s="1621">
        <f>'Sch 1- Rate Base '!J25</f>
        <v>0</v>
      </c>
      <c r="Q45" s="125">
        <f>D45-R45</f>
        <v>2002446910.1561666</v>
      </c>
      <c r="R45" s="1543">
        <f>SUMIF('Above-RHWM_Base_Calc'!B$11:Z$11,3,'Above-RHWM_Base_Calc'!B$17:Z$17)</f>
        <v>255938718</v>
      </c>
    </row>
    <row r="46" spans="1:19" ht="15.75" x14ac:dyDescent="0.25">
      <c r="A46" s="107"/>
      <c r="B46" s="108" t="s">
        <v>119</v>
      </c>
      <c r="C46" s="124"/>
      <c r="D46" s="126">
        <f>SUM(D42:D45)</f>
        <v>5582371867.6053581</v>
      </c>
      <c r="E46" s="126">
        <f>SUM(E42:E45)</f>
        <v>5582371867.6053581</v>
      </c>
      <c r="F46" s="126">
        <f>SUM(F42:F45)</f>
        <v>0</v>
      </c>
      <c r="G46" s="127">
        <f>SUM(G42:G45)</f>
        <v>0</v>
      </c>
      <c r="Q46" s="126">
        <f>SUM(Q42:Q45)</f>
        <v>5326433149.6053581</v>
      </c>
      <c r="R46" s="126">
        <f>SUM(R42:R45)</f>
        <v>255938718</v>
      </c>
      <c r="S46" s="125">
        <f>Q46+R46</f>
        <v>5582371867.6053581</v>
      </c>
    </row>
    <row r="47" spans="1:19" ht="15.75" x14ac:dyDescent="0.25">
      <c r="A47" s="107"/>
      <c r="B47" s="108" t="s">
        <v>526</v>
      </c>
      <c r="C47" s="124" t="s">
        <v>393</v>
      </c>
      <c r="D47" s="126">
        <f>'Sch 1- Rate Base '!G30</f>
        <v>3295838980.7862144</v>
      </c>
      <c r="E47" s="1620">
        <f>'Sch 1- Rate Base '!H30</f>
        <v>0</v>
      </c>
      <c r="F47" s="1620">
        <f>'Sch 1- Rate Base '!I30</f>
        <v>0</v>
      </c>
      <c r="G47" s="1621">
        <f>'Sch 1- Rate Base '!J30</f>
        <v>3295838980.7862144</v>
      </c>
      <c r="Q47" s="126"/>
      <c r="R47" s="126"/>
    </row>
    <row r="48" spans="1:19" ht="15.75" x14ac:dyDescent="0.25">
      <c r="A48" s="107"/>
      <c r="B48" s="108" t="s">
        <v>122</v>
      </c>
      <c r="C48" s="124" t="s">
        <v>392</v>
      </c>
      <c r="D48" s="126">
        <f>'Sch 1- Rate Base '!G34</f>
        <v>3803344740.5943408</v>
      </c>
      <c r="E48" s="1620">
        <f>'Sch 1- Rate Base '!H34</f>
        <v>0</v>
      </c>
      <c r="F48" s="1620">
        <f>'Sch 1- Rate Base '!I34</f>
        <v>0</v>
      </c>
      <c r="G48" s="1621">
        <f>'Sch 1- Rate Base '!J34</f>
        <v>3803344740.5943408</v>
      </c>
      <c r="Q48" s="126"/>
      <c r="R48" s="126"/>
    </row>
    <row r="49" spans="1:19" ht="15.75" x14ac:dyDescent="0.25">
      <c r="A49" s="107"/>
      <c r="B49" s="108" t="s">
        <v>523</v>
      </c>
      <c r="C49" s="124"/>
      <c r="D49" s="125">
        <f>D46+D47+D48</f>
        <v>12681555588.985914</v>
      </c>
      <c r="E49" s="125">
        <f>E46+E47+E48</f>
        <v>5582371867.6053581</v>
      </c>
      <c r="F49" s="125">
        <f>F46+F47+F48</f>
        <v>0</v>
      </c>
      <c r="G49" s="130">
        <f>G46+G47+G48</f>
        <v>7099183721.3805552</v>
      </c>
      <c r="Q49" s="125">
        <f>Q46</f>
        <v>5326433149.6053581</v>
      </c>
      <c r="R49" s="125">
        <f>R46</f>
        <v>255938718</v>
      </c>
      <c r="S49" s="125">
        <f>Q49+R49</f>
        <v>5582371867.6053581</v>
      </c>
    </row>
    <row r="50" spans="1:19" ht="15.75" x14ac:dyDescent="0.25">
      <c r="A50" s="107"/>
      <c r="B50" s="123" t="s">
        <v>339</v>
      </c>
      <c r="C50" s="564"/>
      <c r="D50" s="567">
        <f>IF($D49=0,0,D49/$D49)</f>
        <v>1</v>
      </c>
      <c r="E50" s="571">
        <f>IF($D49=0,0,E49/$D49)</f>
        <v>0.44019614379593275</v>
      </c>
      <c r="F50" s="571">
        <f>IF($D49=0,0,F49/$D49)</f>
        <v>0</v>
      </c>
      <c r="G50" s="572">
        <f>IF($D49=0,0,G49/$D49)</f>
        <v>0.55980385620406714</v>
      </c>
      <c r="O50" s="123" t="s">
        <v>339</v>
      </c>
      <c r="Q50" s="571">
        <f>IF(D49=0,0,Q46/D49)</f>
        <v>0.42001417824729881</v>
      </c>
      <c r="R50" s="571">
        <f>IF(D49=0,0,R46/D49)</f>
        <v>2.0181965548633947E-2</v>
      </c>
      <c r="S50" s="571">
        <f>Q50+R50</f>
        <v>0.44019614379593275</v>
      </c>
    </row>
    <row r="51" spans="1:19" ht="15.75" x14ac:dyDescent="0.25">
      <c r="A51" s="107"/>
      <c r="B51" s="108"/>
      <c r="C51" s="108"/>
      <c r="D51" s="111"/>
      <c r="E51" s="111"/>
      <c r="F51" s="111"/>
      <c r="G51" s="112"/>
      <c r="Q51" s="111"/>
      <c r="R51" s="111"/>
    </row>
    <row r="52" spans="1:19" ht="15.75" x14ac:dyDescent="0.25">
      <c r="A52" s="107" t="s">
        <v>108</v>
      </c>
      <c r="B52" s="113" t="s">
        <v>340</v>
      </c>
      <c r="C52" s="302" t="s">
        <v>521</v>
      </c>
      <c r="D52" s="303" t="s">
        <v>104</v>
      </c>
      <c r="E52" s="303" t="s">
        <v>105</v>
      </c>
      <c r="F52" s="303" t="s">
        <v>106</v>
      </c>
      <c r="G52" s="304" t="s">
        <v>512</v>
      </c>
      <c r="Q52" s="838" t="s">
        <v>242</v>
      </c>
      <c r="R52" s="835" t="s">
        <v>243</v>
      </c>
      <c r="S52" s="835" t="s">
        <v>104</v>
      </c>
    </row>
    <row r="53" spans="1:19" ht="15.75" x14ac:dyDescent="0.25">
      <c r="A53" s="107"/>
      <c r="B53" s="108" t="s">
        <v>527</v>
      </c>
      <c r="C53" s="124"/>
      <c r="D53" s="125">
        <f>D49</f>
        <v>12681555588.985914</v>
      </c>
      <c r="E53" s="125">
        <f>E49</f>
        <v>5582371867.6053581</v>
      </c>
      <c r="F53" s="125">
        <f>F49</f>
        <v>0</v>
      </c>
      <c r="G53" s="130">
        <f>G49</f>
        <v>7099183721.3805552</v>
      </c>
      <c r="Q53" s="125">
        <f>Q49</f>
        <v>5326433149.6053581</v>
      </c>
      <c r="R53" s="125">
        <f>R49</f>
        <v>255938718</v>
      </c>
      <c r="S53" s="125">
        <f>Q53+R53</f>
        <v>5582371867.6053581</v>
      </c>
    </row>
    <row r="54" spans="1:19" ht="15.75" x14ac:dyDescent="0.25">
      <c r="A54" s="107"/>
      <c r="B54" s="108" t="s">
        <v>528</v>
      </c>
      <c r="C54" s="124" t="s">
        <v>392</v>
      </c>
      <c r="D54" s="126">
        <f>'Sch 1- Rate Base '!G16</f>
        <v>0</v>
      </c>
      <c r="E54" s="1620">
        <f>'Sch 1- Rate Base '!H16</f>
        <v>0</v>
      </c>
      <c r="F54" s="1620">
        <f>'Sch 1- Rate Base '!I16</f>
        <v>0</v>
      </c>
      <c r="G54" s="1621">
        <f>'Sch 1- Rate Base '!J16</f>
        <v>0</v>
      </c>
      <c r="Q54" s="126"/>
      <c r="R54" s="126"/>
    </row>
    <row r="55" spans="1:19" ht="15.75" x14ac:dyDescent="0.25">
      <c r="A55" s="107"/>
      <c r="B55" s="108" t="s">
        <v>529</v>
      </c>
      <c r="C55" s="124" t="str">
        <f>'Sch 1- Rate Base '!E17</f>
        <v>DIRECT</v>
      </c>
      <c r="D55" s="126">
        <f>'Sch 1- Rate Base '!G17</f>
        <v>71764696.193237215</v>
      </c>
      <c r="E55" s="1620">
        <f>'Sch 1- Rate Base '!H17</f>
        <v>71764696.193237215</v>
      </c>
      <c r="F55" s="1620">
        <f>'Sch 1- Rate Base '!I17</f>
        <v>0</v>
      </c>
      <c r="G55" s="1621">
        <f>'Sch 1- Rate Base '!J17</f>
        <v>1380340.3620770171</v>
      </c>
      <c r="Q55" s="126">
        <f>E55*R$4</f>
        <v>68474452.408522174</v>
      </c>
      <c r="R55" s="126">
        <f>E55*R$3</f>
        <v>3290243.7847150387</v>
      </c>
      <c r="S55" s="125">
        <f>Q55+R55</f>
        <v>71764696.193237215</v>
      </c>
    </row>
    <row r="56" spans="1:19" ht="15.75" x14ac:dyDescent="0.25">
      <c r="A56" s="107"/>
      <c r="B56" s="108" t="s">
        <v>543</v>
      </c>
      <c r="C56" s="124" t="str">
        <f>'Sch 1- Rate Base '!E18</f>
        <v>DIRECT</v>
      </c>
      <c r="D56" s="126">
        <f>'Sch 1- Rate Base '!G18</f>
        <v>391010404.58104789</v>
      </c>
      <c r="E56" s="1620">
        <f>'Sch 1- Rate Base '!H18</f>
        <v>129807186.3491185</v>
      </c>
      <c r="F56" s="1620">
        <f>'Sch 1- Rate Base '!I18</f>
        <v>0</v>
      </c>
      <c r="G56" s="1621">
        <f>'Sch 1- Rate Base '!J18</f>
        <v>261203218.23192942</v>
      </c>
      <c r="Q56" s="126">
        <f>E56*R$4</f>
        <v>123855829.8918082</v>
      </c>
      <c r="R56" s="126">
        <f>E56*R$3</f>
        <v>5951356.4573102966</v>
      </c>
      <c r="S56" s="125">
        <f>Q56+R56</f>
        <v>129807186.3491185</v>
      </c>
    </row>
    <row r="57" spans="1:19" ht="15.75" x14ac:dyDescent="0.25">
      <c r="A57" s="107"/>
      <c r="B57" s="108" t="s">
        <v>341</v>
      </c>
      <c r="C57" s="124"/>
      <c r="D57" s="126">
        <f>D37</f>
        <v>648847990.51759219</v>
      </c>
      <c r="E57" s="126">
        <f>E37</f>
        <v>208013093.03974915</v>
      </c>
      <c r="F57" s="126">
        <f>F37</f>
        <v>0</v>
      </c>
      <c r="G57" s="127">
        <f>G37</f>
        <v>440834897.47784311</v>
      </c>
      <c r="Q57" s="126">
        <f>Q37</f>
        <v>198808055.71816504</v>
      </c>
      <c r="R57" s="126">
        <f>R37</f>
        <v>9205037.3215840794</v>
      </c>
      <c r="S57" s="125">
        <f>Q57+R57</f>
        <v>208013093.03974912</v>
      </c>
    </row>
    <row r="58" spans="1:19" ht="15.75" x14ac:dyDescent="0.25">
      <c r="A58" s="107"/>
      <c r="B58" s="108" t="s">
        <v>523</v>
      </c>
      <c r="C58" s="124"/>
      <c r="D58" s="125">
        <f>SUM(D53:D57)</f>
        <v>13793178680.27779</v>
      </c>
      <c r="E58" s="125">
        <f>SUM(E53:E57)</f>
        <v>5991956843.1874628</v>
      </c>
      <c r="F58" s="125">
        <f>SUM(F53:F57)</f>
        <v>0</v>
      </c>
      <c r="G58" s="130">
        <f>SUM(G53:G57)</f>
        <v>7802602177.452405</v>
      </c>
      <c r="Q58" s="125">
        <f>SUM(Q53:Q57)</f>
        <v>5717571487.6238546</v>
      </c>
      <c r="R58" s="125">
        <f>SUM(R53:R57)</f>
        <v>274385355.56360942</v>
      </c>
      <c r="S58" s="125">
        <f>Q58+R58</f>
        <v>5991956843.1874638</v>
      </c>
    </row>
    <row r="59" spans="1:19" ht="15.75" x14ac:dyDescent="0.25">
      <c r="A59" s="107"/>
      <c r="B59" s="123" t="s">
        <v>342</v>
      </c>
      <c r="C59" s="564"/>
      <c r="D59" s="567">
        <f>IF($D58=0,0,D58/$D58)</f>
        <v>1</v>
      </c>
      <c r="E59" s="571">
        <f>IF($D58=0,0,E58/$D58)</f>
        <v>0.43441450169532542</v>
      </c>
      <c r="F59" s="571">
        <f>IF($D58=0,0,F58/$D58)</f>
        <v>0</v>
      </c>
      <c r="G59" s="572">
        <f>IF($D58=0,0,G58/$D58)</f>
        <v>0.56568557243508888</v>
      </c>
      <c r="O59" s="123" t="s">
        <v>447</v>
      </c>
      <c r="Q59" s="571">
        <f>IF(D58=0,0,Q58/D58)</f>
        <v>0.41452167191882594</v>
      </c>
      <c r="R59" s="571">
        <f>IF(D58=0,0,R58/D58)</f>
        <v>1.9892829776499595E-2</v>
      </c>
      <c r="S59" s="571">
        <f>Q59+R59</f>
        <v>0.43441450169532553</v>
      </c>
    </row>
    <row r="60" spans="1:19" ht="15.75" x14ac:dyDescent="0.25">
      <c r="A60" s="107"/>
      <c r="B60" s="108"/>
      <c r="C60" s="108"/>
      <c r="D60" s="111"/>
      <c r="E60" s="111"/>
      <c r="F60" s="111"/>
      <c r="G60" s="112"/>
      <c r="Q60" s="111"/>
      <c r="R60" s="111"/>
    </row>
    <row r="61" spans="1:19" ht="15.75" x14ac:dyDescent="0.25">
      <c r="A61" s="107" t="s">
        <v>109</v>
      </c>
      <c r="B61" s="113" t="s">
        <v>343</v>
      </c>
      <c r="C61" s="302" t="s">
        <v>521</v>
      </c>
      <c r="D61" s="303" t="s">
        <v>104</v>
      </c>
      <c r="E61" s="303" t="s">
        <v>105</v>
      </c>
      <c r="F61" s="303" t="s">
        <v>106</v>
      </c>
      <c r="G61" s="304" t="s">
        <v>512</v>
      </c>
      <c r="Q61" s="838" t="s">
        <v>242</v>
      </c>
      <c r="R61" s="835" t="s">
        <v>243</v>
      </c>
      <c r="S61" s="835" t="s">
        <v>104</v>
      </c>
    </row>
    <row r="62" spans="1:19" ht="15.75" x14ac:dyDescent="0.25">
      <c r="A62" s="107"/>
      <c r="B62" s="108" t="s">
        <v>121</v>
      </c>
      <c r="C62" s="124" t="s">
        <v>393</v>
      </c>
      <c r="D62" s="125">
        <f>D47</f>
        <v>3295838980.7862144</v>
      </c>
      <c r="E62" s="1618">
        <f t="shared" ref="E62:G62" si="3">E47</f>
        <v>0</v>
      </c>
      <c r="F62" s="1618">
        <f t="shared" si="3"/>
        <v>0</v>
      </c>
      <c r="G62" s="1619">
        <f t="shared" si="3"/>
        <v>3295838980.7862144</v>
      </c>
      <c r="Q62" s="125"/>
      <c r="R62" s="125"/>
    </row>
    <row r="63" spans="1:19" ht="15.75" x14ac:dyDescent="0.25">
      <c r="A63" s="107"/>
      <c r="B63" s="108" t="s">
        <v>122</v>
      </c>
      <c r="C63" s="124" t="s">
        <v>392</v>
      </c>
      <c r="D63" s="126">
        <f>D48</f>
        <v>3803344740.5943408</v>
      </c>
      <c r="E63" s="1620">
        <f t="shared" ref="E63:G63" si="4">E48</f>
        <v>0</v>
      </c>
      <c r="F63" s="1620">
        <f t="shared" si="4"/>
        <v>0</v>
      </c>
      <c r="G63" s="1621">
        <f t="shared" si="4"/>
        <v>3803344740.5943408</v>
      </c>
      <c r="Q63" s="126"/>
      <c r="R63" s="126"/>
    </row>
    <row r="64" spans="1:19" ht="15.75" x14ac:dyDescent="0.25">
      <c r="A64" s="107"/>
      <c r="B64" s="108" t="s">
        <v>523</v>
      </c>
      <c r="C64" s="124"/>
      <c r="D64" s="125">
        <f>SUM(D62:D63)</f>
        <v>7099183721.3805552</v>
      </c>
      <c r="E64" s="125">
        <f>SUM(E62:E63)</f>
        <v>0</v>
      </c>
      <c r="F64" s="125">
        <f>SUM(F62:F63)</f>
        <v>0</v>
      </c>
      <c r="G64" s="130">
        <f>SUM(G62:G63)</f>
        <v>7099183721.3805552</v>
      </c>
      <c r="Q64" s="843">
        <f>SUM(Q62:Q63)</f>
        <v>0</v>
      </c>
      <c r="R64" s="843">
        <f>SUM(R62:R63)</f>
        <v>0</v>
      </c>
      <c r="S64" s="843">
        <f>Q64+R64</f>
        <v>0</v>
      </c>
    </row>
    <row r="65" spans="1:19" ht="15.75" x14ac:dyDescent="0.25">
      <c r="A65" s="107"/>
      <c r="B65" s="123" t="s">
        <v>344</v>
      </c>
      <c r="C65" s="617"/>
      <c r="D65" s="568">
        <f>IF($D64=0,0,D64/$D64)</f>
        <v>1</v>
      </c>
      <c r="E65" s="621">
        <f>IF($D64=0,0,E64/$D64)</f>
        <v>0</v>
      </c>
      <c r="F65" s="621">
        <f>IF($D64=0,0,F64/$D64)</f>
        <v>0</v>
      </c>
      <c r="G65" s="622">
        <f>IF($D64=0,0,G64/$D64)</f>
        <v>1</v>
      </c>
      <c r="O65" s="123" t="s">
        <v>448</v>
      </c>
      <c r="Q65" s="621">
        <f>IF(D64=0,0,Q64/D64)</f>
        <v>0</v>
      </c>
      <c r="R65" s="621">
        <f>IF(D64=0,0,R64/D64)</f>
        <v>0</v>
      </c>
      <c r="S65" s="571">
        <f>Q65+R65</f>
        <v>0</v>
      </c>
    </row>
    <row r="66" spans="1:19" ht="16.5" thickBot="1" x14ac:dyDescent="0.3">
      <c r="A66" s="114"/>
      <c r="B66" s="115"/>
      <c r="C66" s="115"/>
      <c r="D66" s="116"/>
      <c r="E66" s="116"/>
      <c r="F66" s="116"/>
      <c r="G66" s="117"/>
      <c r="Q66" s="116"/>
      <c r="R66" s="116"/>
    </row>
    <row r="67" spans="1:19" ht="16.5" thickTop="1" x14ac:dyDescent="0.25">
      <c r="A67" s="107"/>
      <c r="B67" s="108"/>
      <c r="C67" s="108"/>
      <c r="D67" s="111"/>
      <c r="E67" s="111"/>
      <c r="F67" s="111"/>
      <c r="G67" s="112"/>
      <c r="Q67" s="111"/>
      <c r="R67" s="111"/>
    </row>
    <row r="68" spans="1:19" ht="15.75" x14ac:dyDescent="0.25">
      <c r="A68" s="107" t="s">
        <v>93</v>
      </c>
      <c r="B68" s="113" t="s">
        <v>345</v>
      </c>
      <c r="C68" s="302" t="s">
        <v>521</v>
      </c>
      <c r="D68" s="303" t="s">
        <v>104</v>
      </c>
      <c r="E68" s="303" t="s">
        <v>105</v>
      </c>
      <c r="F68" s="303" t="s">
        <v>106</v>
      </c>
      <c r="G68" s="304" t="s">
        <v>512</v>
      </c>
      <c r="Q68" s="838" t="s">
        <v>242</v>
      </c>
      <c r="R68" s="835" t="s">
        <v>243</v>
      </c>
      <c r="S68" s="835" t="s">
        <v>104</v>
      </c>
    </row>
    <row r="69" spans="1:19" ht="15.75" x14ac:dyDescent="0.25">
      <c r="A69" s="107"/>
      <c r="B69" s="108" t="s">
        <v>126</v>
      </c>
      <c r="C69" s="124" t="str">
        <f>C26</f>
        <v>PTD</v>
      </c>
      <c r="D69" s="125">
        <f>D26</f>
        <v>134526603.60952502</v>
      </c>
      <c r="E69" s="125">
        <f t="shared" ref="E69:G69" si="5">E26</f>
        <v>59218092.146876924</v>
      </c>
      <c r="F69" s="125">
        <f t="shared" si="5"/>
        <v>0</v>
      </c>
      <c r="G69" s="130">
        <f t="shared" si="5"/>
        <v>75308511.462648094</v>
      </c>
      <c r="Q69" s="125">
        <f>D69*Q$50</f>
        <v>56503080.867454752</v>
      </c>
      <c r="R69" s="125">
        <f>D69*R$50</f>
        <v>2715011.2794221691</v>
      </c>
      <c r="S69" s="125">
        <f t="shared" ref="S69:S74" si="6">Q69+R69</f>
        <v>59218092.146876924</v>
      </c>
    </row>
    <row r="70" spans="1:19" ht="15.75" x14ac:dyDescent="0.25">
      <c r="A70" s="107"/>
      <c r="B70" s="108" t="s">
        <v>127</v>
      </c>
      <c r="C70" s="124" t="str">
        <f>C27</f>
        <v>LABOR</v>
      </c>
      <c r="D70" s="126">
        <f>D27</f>
        <v>38698718.859569281</v>
      </c>
      <c r="E70" s="126">
        <f t="shared" ref="E70:G70" si="7">E27</f>
        <v>16131692.601433367</v>
      </c>
      <c r="F70" s="126">
        <f t="shared" si="7"/>
        <v>0</v>
      </c>
      <c r="G70" s="127">
        <f t="shared" si="7"/>
        <v>22567026.258135919</v>
      </c>
      <c r="Q70" s="125">
        <f>D70*Q$22</f>
        <v>15723969.539978214</v>
      </c>
      <c r="R70" s="125">
        <f>D70*R$22</f>
        <v>407723.06145515159</v>
      </c>
      <c r="S70" s="125">
        <f t="shared" si="6"/>
        <v>16131692.601433365</v>
      </c>
    </row>
    <row r="71" spans="1:19" ht="15.75" x14ac:dyDescent="0.25">
      <c r="A71" s="107"/>
      <c r="B71" s="108" t="s">
        <v>133</v>
      </c>
      <c r="C71" s="124" t="str">
        <f>C33</f>
        <v>PTD</v>
      </c>
      <c r="D71" s="126">
        <f>D33</f>
        <v>225166384.95095226</v>
      </c>
      <c r="E71" s="126">
        <f t="shared" ref="E71:G71" si="8">E33</f>
        <v>99117374.367879733</v>
      </c>
      <c r="F71" s="126">
        <f t="shared" si="8"/>
        <v>0</v>
      </c>
      <c r="G71" s="127">
        <f t="shared" si="8"/>
        <v>126049010.58307251</v>
      </c>
      <c r="Q71" s="125">
        <f>D71*Q$50</f>
        <v>94573074.144089162</v>
      </c>
      <c r="R71" s="125">
        <f>D71*R$50</f>
        <v>4544300.2237905674</v>
      </c>
      <c r="S71" s="125">
        <f t="shared" si="6"/>
        <v>99117374.367879733</v>
      </c>
    </row>
    <row r="72" spans="1:19" ht="15.75" x14ac:dyDescent="0.25">
      <c r="A72" s="107"/>
      <c r="B72" s="108" t="s">
        <v>134</v>
      </c>
      <c r="C72" s="124" t="str">
        <f>C34</f>
        <v>PTD</v>
      </c>
      <c r="D72" s="126">
        <f>D34</f>
        <v>3889871.2322740913</v>
      </c>
      <c r="E72" s="126">
        <f t="shared" ref="E72:G72" si="9">E34</f>
        <v>1712306.316309788</v>
      </c>
      <c r="F72" s="126">
        <f t="shared" si="9"/>
        <v>0</v>
      </c>
      <c r="G72" s="127">
        <f t="shared" si="9"/>
        <v>2177564.9159643031</v>
      </c>
      <c r="Q72" s="125">
        <f>D72*Q$50</f>
        <v>1633801.0691114101</v>
      </c>
      <c r="R72" s="125">
        <f>D72*R$50</f>
        <v>78505.247198377983</v>
      </c>
      <c r="S72" s="125">
        <f t="shared" si="6"/>
        <v>1712306.316309788</v>
      </c>
    </row>
    <row r="73" spans="1:19" ht="15.75" x14ac:dyDescent="0.25">
      <c r="A73" s="107"/>
      <c r="B73" s="108" t="s">
        <v>523</v>
      </c>
      <c r="C73" s="124"/>
      <c r="D73" s="125">
        <f>SUM(D69:D72)</f>
        <v>402281578.65232068</v>
      </c>
      <c r="E73" s="125">
        <f>SUM(E69:E72)</f>
        <v>176179465.4324998</v>
      </c>
      <c r="F73" s="125">
        <f>SUM(F69:F72)</f>
        <v>0</v>
      </c>
      <c r="G73" s="130">
        <f>SUM(G69:G72)</f>
        <v>226102113.21982083</v>
      </c>
      <c r="Q73" s="125">
        <f>SUM(Q69:Q72)</f>
        <v>168433925.62063354</v>
      </c>
      <c r="R73" s="125">
        <f>SUM(R69:R72)</f>
        <v>7745539.8118662657</v>
      </c>
      <c r="S73" s="125">
        <f t="shared" si="6"/>
        <v>176179465.4324998</v>
      </c>
    </row>
    <row r="74" spans="1:19" ht="15.75" x14ac:dyDescent="0.25">
      <c r="A74" s="107"/>
      <c r="B74" s="123" t="s">
        <v>346</v>
      </c>
      <c r="C74" s="564"/>
      <c r="D74" s="567">
        <f>IF($D73=0,0,D73/$D73)</f>
        <v>1</v>
      </c>
      <c r="E74" s="571">
        <f>IF($D73=0,0,E73/$D73)</f>
        <v>0.43795061663702523</v>
      </c>
      <c r="F74" s="571">
        <f>IF($D73=0,0,F73/$D73)</f>
        <v>0</v>
      </c>
      <c r="G74" s="572">
        <f>IF($D73=0,0,G73/$D73)</f>
        <v>0.56204938336297461</v>
      </c>
      <c r="O74" s="123" t="s">
        <v>449</v>
      </c>
      <c r="Q74" s="571">
        <f>IF(D73=0,0,Q73/D73)</f>
        <v>0.41869659104178292</v>
      </c>
      <c r="R74" s="571">
        <f>IF(D73=0,0,R73/D73)</f>
        <v>1.9254025595242311E-2</v>
      </c>
      <c r="S74" s="571">
        <f t="shared" si="6"/>
        <v>0.43795061663702523</v>
      </c>
    </row>
    <row r="75" spans="1:19" ht="15.75" x14ac:dyDescent="0.25">
      <c r="A75" s="107"/>
      <c r="B75" s="123"/>
      <c r="C75" s="108"/>
      <c r="D75" s="131"/>
      <c r="E75" s="131"/>
      <c r="F75" s="131"/>
      <c r="G75" s="132"/>
      <c r="Q75" s="131"/>
      <c r="R75" s="131"/>
    </row>
    <row r="76" spans="1:19" ht="16.5" thickBot="1" x14ac:dyDescent="0.3">
      <c r="A76" s="107"/>
      <c r="B76" s="123" t="s">
        <v>347</v>
      </c>
      <c r="C76" s="108"/>
      <c r="D76" s="576"/>
      <c r="E76" s="576"/>
      <c r="F76" s="576"/>
      <c r="G76" s="577"/>
      <c r="Q76" s="838" t="s">
        <v>242</v>
      </c>
      <c r="R76" s="835" t="s">
        <v>243</v>
      </c>
      <c r="S76" s="835" t="s">
        <v>104</v>
      </c>
    </row>
    <row r="77" spans="1:19" ht="16.5" thickBot="1" x14ac:dyDescent="0.3">
      <c r="A77" s="107"/>
      <c r="B77" s="113"/>
      <c r="C77" s="108"/>
      <c r="D77" s="1536"/>
      <c r="E77" s="1536"/>
      <c r="F77" s="1536"/>
      <c r="G77" s="1537"/>
      <c r="P77" s="569" t="s">
        <v>180</v>
      </c>
      <c r="Q77" s="3750"/>
      <c r="R77" s="3751"/>
      <c r="S77" s="844"/>
    </row>
    <row r="78" spans="1:19" ht="15.75" x14ac:dyDescent="0.25">
      <c r="A78" s="107"/>
      <c r="B78" s="113" t="s">
        <v>532</v>
      </c>
      <c r="C78" s="108"/>
      <c r="D78" s="1533" t="s">
        <v>392</v>
      </c>
      <c r="E78" s="1534">
        <v>0</v>
      </c>
      <c r="F78" s="1534">
        <v>0</v>
      </c>
      <c r="G78" s="1535">
        <v>1</v>
      </c>
      <c r="H78" s="65">
        <f>ROW()</f>
        <v>78</v>
      </c>
      <c r="J78" s="1262" t="s">
        <v>392</v>
      </c>
      <c r="K78" s="65">
        <f>VLOOKUP(J78,$D$78:$H$87,5,FALSE)</f>
        <v>78</v>
      </c>
      <c r="P78" s="570" t="s">
        <v>392</v>
      </c>
      <c r="Q78" s="3748">
        <v>0</v>
      </c>
      <c r="R78" s="3749"/>
      <c r="S78" s="845"/>
    </row>
    <row r="79" spans="1:19" ht="15.75" x14ac:dyDescent="0.25">
      <c r="A79" s="107"/>
      <c r="B79" s="113" t="s">
        <v>533</v>
      </c>
      <c r="C79" s="108"/>
      <c r="D79" s="570" t="s">
        <v>394</v>
      </c>
      <c r="E79" s="571">
        <v>1</v>
      </c>
      <c r="F79" s="571">
        <v>0</v>
      </c>
      <c r="G79" s="572">
        <v>0</v>
      </c>
      <c r="H79" s="65">
        <f>ROW()</f>
        <v>79</v>
      </c>
      <c r="J79" s="1263" t="s">
        <v>394</v>
      </c>
      <c r="K79" s="65">
        <f t="shared" ref="K79:K87" si="10">VLOOKUP(J79,$D$78:$H$87,5,FALSE)</f>
        <v>79</v>
      </c>
      <c r="P79" s="570" t="s">
        <v>394</v>
      </c>
      <c r="Q79" s="3748"/>
      <c r="R79" s="3749"/>
      <c r="S79" s="845"/>
    </row>
    <row r="80" spans="1:19" ht="15.75" x14ac:dyDescent="0.25">
      <c r="A80" s="107"/>
      <c r="B80" s="113" t="s">
        <v>534</v>
      </c>
      <c r="C80" s="108"/>
      <c r="D80" s="570" t="s">
        <v>393</v>
      </c>
      <c r="E80" s="571">
        <v>0</v>
      </c>
      <c r="F80" s="571">
        <v>1</v>
      </c>
      <c r="G80" s="572">
        <v>0</v>
      </c>
      <c r="H80" s="65">
        <f>ROW()</f>
        <v>80</v>
      </c>
      <c r="J80" s="1263" t="s">
        <v>393</v>
      </c>
      <c r="K80" s="65">
        <f t="shared" si="10"/>
        <v>80</v>
      </c>
      <c r="P80" s="570" t="s">
        <v>393</v>
      </c>
      <c r="Q80" s="3748">
        <v>0</v>
      </c>
      <c r="R80" s="3749"/>
      <c r="S80" s="845"/>
    </row>
    <row r="81" spans="1:19" ht="15.75" x14ac:dyDescent="0.25">
      <c r="A81" s="107"/>
      <c r="B81" s="113" t="s">
        <v>535</v>
      </c>
      <c r="C81" s="108"/>
      <c r="D81" s="570" t="s">
        <v>90</v>
      </c>
      <c r="E81" s="571">
        <v>0</v>
      </c>
      <c r="F81" s="571">
        <v>0</v>
      </c>
      <c r="G81" s="572">
        <v>0</v>
      </c>
      <c r="H81" s="65">
        <f>ROW()</f>
        <v>81</v>
      </c>
      <c r="J81" s="1263" t="s">
        <v>90</v>
      </c>
      <c r="K81" s="65">
        <f t="shared" si="10"/>
        <v>81</v>
      </c>
      <c r="P81" s="570" t="s">
        <v>90</v>
      </c>
      <c r="Q81" s="3748"/>
      <c r="R81" s="3749"/>
      <c r="S81" s="845"/>
    </row>
    <row r="82" spans="1:19" ht="15.75" x14ac:dyDescent="0.25">
      <c r="A82" s="107"/>
      <c r="B82" s="113" t="s">
        <v>92</v>
      </c>
      <c r="C82" s="108"/>
      <c r="D82" s="570" t="s">
        <v>91</v>
      </c>
      <c r="E82" s="571">
        <f>E38</f>
        <v>0.32058832897642964</v>
      </c>
      <c r="F82" s="571">
        <f>F38</f>
        <v>0</v>
      </c>
      <c r="G82" s="572">
        <f>G38</f>
        <v>0.67941167102357047</v>
      </c>
      <c r="H82" s="65">
        <f>ROW()</f>
        <v>82</v>
      </c>
      <c r="J82" s="1263" t="s">
        <v>91</v>
      </c>
      <c r="K82" s="65">
        <f t="shared" si="10"/>
        <v>82</v>
      </c>
      <c r="P82" s="570" t="s">
        <v>91</v>
      </c>
      <c r="Q82" s="571">
        <f>Q38</f>
        <v>0.30640158962282366</v>
      </c>
      <c r="R82" s="571">
        <f>R38</f>
        <v>1.4186739353605971E-2</v>
      </c>
      <c r="S82" s="571">
        <f t="shared" ref="S82:S87" si="11">Q82+R82</f>
        <v>0.32058832897642964</v>
      </c>
    </row>
    <row r="83" spans="1:19" ht="15.75" x14ac:dyDescent="0.25">
      <c r="A83" s="107"/>
      <c r="B83" s="113" t="s">
        <v>94</v>
      </c>
      <c r="C83" s="108"/>
      <c r="D83" s="570" t="s">
        <v>93</v>
      </c>
      <c r="E83" s="571">
        <f>E74</f>
        <v>0.43795061663702523</v>
      </c>
      <c r="F83" s="571">
        <f>F74</f>
        <v>0</v>
      </c>
      <c r="G83" s="572">
        <f>G74</f>
        <v>0.56204938336297461</v>
      </c>
      <c r="H83" s="65">
        <f>ROW()</f>
        <v>83</v>
      </c>
      <c r="J83" s="1263" t="s">
        <v>93</v>
      </c>
      <c r="K83" s="65">
        <f t="shared" si="10"/>
        <v>83</v>
      </c>
      <c r="P83" s="570" t="s">
        <v>93</v>
      </c>
      <c r="Q83" s="571">
        <f>Q74</f>
        <v>0.41869659104178292</v>
      </c>
      <c r="R83" s="571">
        <f>R74</f>
        <v>1.9254025595242311E-2</v>
      </c>
      <c r="S83" s="571">
        <f t="shared" si="11"/>
        <v>0.43795061663702523</v>
      </c>
    </row>
    <row r="84" spans="1:19" ht="15.75" x14ac:dyDescent="0.25">
      <c r="A84" s="107"/>
      <c r="B84" s="113" t="s">
        <v>531</v>
      </c>
      <c r="C84" s="108"/>
      <c r="D84" s="570" t="s">
        <v>95</v>
      </c>
      <c r="E84" s="571">
        <f>E22</f>
        <v>0.41685340178759894</v>
      </c>
      <c r="F84" s="571">
        <f>F22</f>
        <v>8.5841191716355139E-2</v>
      </c>
      <c r="G84" s="572">
        <f>G22</f>
        <v>0.49730540649604593</v>
      </c>
      <c r="H84" s="65">
        <f>ROW()</f>
        <v>84</v>
      </c>
      <c r="J84" s="1263" t="s">
        <v>95</v>
      </c>
      <c r="K84" s="65">
        <f t="shared" si="10"/>
        <v>84</v>
      </c>
      <c r="P84" s="570" t="s">
        <v>95</v>
      </c>
      <c r="Q84" s="571">
        <f>Q22</f>
        <v>0.40631757338111585</v>
      </c>
      <c r="R84" s="571">
        <f>R22</f>
        <v>1.0535828406483056E-2</v>
      </c>
      <c r="S84" s="571">
        <f t="shared" si="11"/>
        <v>0.41685340178759889</v>
      </c>
    </row>
    <row r="85" spans="1:19" ht="15.75" x14ac:dyDescent="0.25">
      <c r="A85" s="107"/>
      <c r="B85" s="113" t="s">
        <v>525</v>
      </c>
      <c r="C85" s="108"/>
      <c r="D85" s="570" t="s">
        <v>99</v>
      </c>
      <c r="E85" s="571">
        <f>E50</f>
        <v>0.44019614379593275</v>
      </c>
      <c r="F85" s="571">
        <f>F50</f>
        <v>0</v>
      </c>
      <c r="G85" s="572">
        <f>G50</f>
        <v>0.55980385620406714</v>
      </c>
      <c r="H85" s="65">
        <f>ROW()</f>
        <v>85</v>
      </c>
      <c r="J85" s="1263" t="s">
        <v>99</v>
      </c>
      <c r="K85" s="65">
        <f t="shared" si="10"/>
        <v>85</v>
      </c>
      <c r="P85" s="570" t="s">
        <v>99</v>
      </c>
      <c r="Q85" s="571">
        <f>Q50</f>
        <v>0.42001417824729881</v>
      </c>
      <c r="R85" s="571">
        <f>R50</f>
        <v>2.0181965548633947E-2</v>
      </c>
      <c r="S85" s="571">
        <f t="shared" si="11"/>
        <v>0.44019614379593275</v>
      </c>
    </row>
    <row r="86" spans="1:19" ht="15.75" x14ac:dyDescent="0.25">
      <c r="A86" s="107"/>
      <c r="B86" s="113" t="s">
        <v>536</v>
      </c>
      <c r="C86" s="108"/>
      <c r="D86" s="570" t="s">
        <v>108</v>
      </c>
      <c r="E86" s="571">
        <f>E59</f>
        <v>0.43441450169532542</v>
      </c>
      <c r="F86" s="571">
        <f>F59</f>
        <v>0</v>
      </c>
      <c r="G86" s="572">
        <f>G59</f>
        <v>0.56568557243508888</v>
      </c>
      <c r="H86" s="65">
        <f>ROW()</f>
        <v>86</v>
      </c>
      <c r="J86" s="1263" t="s">
        <v>108</v>
      </c>
      <c r="K86" s="65">
        <f t="shared" si="10"/>
        <v>86</v>
      </c>
      <c r="P86" s="570" t="s">
        <v>108</v>
      </c>
      <c r="Q86" s="571">
        <f>Q59</f>
        <v>0.41452167191882594</v>
      </c>
      <c r="R86" s="571">
        <f>R59</f>
        <v>1.9892829776499595E-2</v>
      </c>
      <c r="S86" s="571">
        <f t="shared" si="11"/>
        <v>0.43441450169532553</v>
      </c>
    </row>
    <row r="87" spans="1:19" ht="16.5" thickBot="1" x14ac:dyDescent="0.3">
      <c r="A87" s="107"/>
      <c r="B87" s="113" t="s">
        <v>530</v>
      </c>
      <c r="C87" s="108"/>
      <c r="D87" s="573" t="s">
        <v>109</v>
      </c>
      <c r="E87" s="574">
        <f>E65</f>
        <v>0</v>
      </c>
      <c r="F87" s="574">
        <f>F65</f>
        <v>0</v>
      </c>
      <c r="G87" s="575">
        <f>G65</f>
        <v>1</v>
      </c>
      <c r="H87" s="65">
        <f>ROW()</f>
        <v>87</v>
      </c>
      <c r="J87" s="1264" t="s">
        <v>109</v>
      </c>
      <c r="K87" s="65">
        <f t="shared" si="10"/>
        <v>87</v>
      </c>
      <c r="P87" s="573" t="s">
        <v>109</v>
      </c>
      <c r="Q87" s="574">
        <f>Q65</f>
        <v>0</v>
      </c>
      <c r="R87" s="574">
        <f>R65</f>
        <v>0</v>
      </c>
      <c r="S87" s="574">
        <f t="shared" si="11"/>
        <v>0</v>
      </c>
    </row>
    <row r="88" spans="1:19" ht="16.5" thickBot="1" x14ac:dyDescent="0.3">
      <c r="A88" s="114"/>
      <c r="B88" s="115"/>
      <c r="C88" s="115"/>
      <c r="D88" s="116"/>
      <c r="E88" s="116"/>
      <c r="F88" s="116"/>
      <c r="G88" s="117"/>
      <c r="Q88" s="111"/>
      <c r="R88" s="111"/>
    </row>
    <row r="89" spans="1:19" ht="13.5" thickTop="1" x14ac:dyDescent="0.2"/>
  </sheetData>
  <mergeCells count="10">
    <mergeCell ref="A3:G3"/>
    <mergeCell ref="Q79:R79"/>
    <mergeCell ref="Q80:R80"/>
    <mergeCell ref="Q81:R81"/>
    <mergeCell ref="C5:E5"/>
    <mergeCell ref="C6:E6"/>
    <mergeCell ref="C7:E7"/>
    <mergeCell ref="Q11:S11"/>
    <mergeCell ref="Q77:R77"/>
    <mergeCell ref="Q78:R78"/>
  </mergeCells>
  <dataValidations count="1">
    <dataValidation type="list" allowBlank="1" showInputMessage="1" showErrorMessage="1" sqref="C17" xr:uid="{00000000-0002-0000-0E00-000000000000}">
      <formula1>DIST</formula1>
    </dataValidation>
  </dataValidations>
  <hyperlinks>
    <hyperlink ref="A5" location="TOC!A1" display="TOC" xr:uid="{00000000-0004-0000-0E00-000000000000}"/>
    <hyperlink ref="A6" location="Ratios!A11" display="é" xr:uid="{00000000-0004-0000-0E00-000001000000}"/>
  </hyperlinks>
  <printOptions horizontalCentered="1" headings="1"/>
  <pageMargins left="0.5" right="0.5" top="0.75" bottom="0.8" header="0.25" footer="0.25"/>
  <pageSetup scale="75" orientation="landscape" r:id="rId1"/>
  <headerFooter alignWithMargins="0">
    <oddFooter>&amp;LFY 2026-2028 ASC Filing&amp;CPage &amp;P of &amp;N&amp;R&amp;A
&amp;D</oddFooter>
  </headerFooter>
  <rowBreaks count="2" manualBreakCount="2">
    <brk id="39" max="16383" man="1"/>
    <brk id="66" max="16383" man="1"/>
  </rowBreaks>
  <customProperties>
    <customPr name="_pios_id" r:id="rId2"/>
  </customPropertie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3">
    <tabColor indexed="57"/>
  </sheetPr>
  <dimension ref="A1:AH186"/>
  <sheetViews>
    <sheetView topLeftCell="A105" zoomScale="90" zoomScaleNormal="90" zoomScaleSheetLayoutView="100" workbookViewId="0">
      <selection sqref="A1:XFD1048576"/>
    </sheetView>
  </sheetViews>
  <sheetFormatPr defaultRowHeight="15.75" x14ac:dyDescent="0.25"/>
  <cols>
    <col min="1" max="1" width="6" bestFit="1" customWidth="1"/>
    <col min="2" max="2" width="35.75" bestFit="1" customWidth="1"/>
    <col min="3" max="3" width="13.625" customWidth="1"/>
    <col min="4" max="4" width="11" customWidth="1"/>
    <col min="5" max="5" width="13.375" customWidth="1"/>
    <col min="6" max="6" width="13" customWidth="1"/>
    <col min="7" max="7" width="12.125" customWidth="1"/>
    <col min="8" max="8" width="12.75" customWidth="1"/>
    <col min="9" max="9" width="15.125" customWidth="1"/>
    <col min="10" max="10" width="14.5" customWidth="1"/>
    <col min="11" max="11" width="16.375" customWidth="1"/>
    <col min="12" max="12" width="11.25" customWidth="1"/>
    <col min="13" max="13" width="12.75" customWidth="1"/>
    <col min="18" max="18" width="11.75" bestFit="1" customWidth="1"/>
    <col min="19" max="25" width="10.375" bestFit="1" customWidth="1"/>
  </cols>
  <sheetData>
    <row r="1" spans="1:34" ht="16.5" thickTop="1" x14ac:dyDescent="0.25">
      <c r="A1" s="180"/>
      <c r="B1" s="1267" t="str">
        <f>'Sch 1- Rate Base '!E5</f>
        <v>PacifiCorp</v>
      </c>
      <c r="C1" s="779"/>
      <c r="D1" s="779"/>
      <c r="E1" s="779"/>
      <c r="F1" s="811"/>
      <c r="G1" s="811"/>
      <c r="H1" s="1271"/>
      <c r="I1" s="1270"/>
      <c r="J1" s="1271"/>
      <c r="K1" s="811"/>
      <c r="L1" s="811"/>
      <c r="M1" s="1271"/>
      <c r="N1" s="811"/>
      <c r="O1" s="654"/>
      <c r="P1" s="654"/>
      <c r="Q1" s="654"/>
      <c r="R1" s="654"/>
      <c r="S1" s="654"/>
      <c r="T1" s="654"/>
      <c r="U1" s="654"/>
      <c r="V1" s="654"/>
      <c r="W1" s="654"/>
      <c r="X1" s="654"/>
      <c r="Y1" s="654"/>
      <c r="Z1" s="655"/>
      <c r="AA1" s="655"/>
      <c r="AB1" s="655"/>
      <c r="AC1" s="655"/>
      <c r="AD1" s="655"/>
      <c r="AE1" s="655"/>
      <c r="AF1" s="655"/>
      <c r="AG1" s="656">
        <v>2008</v>
      </c>
      <c r="AH1" s="656">
        <v>1</v>
      </c>
    </row>
    <row r="2" spans="1:34" x14ac:dyDescent="0.25">
      <c r="A2" s="1236" t="s">
        <v>695</v>
      </c>
      <c r="B2" s="780" t="s">
        <v>585</v>
      </c>
      <c r="C2" s="808"/>
      <c r="D2" s="808"/>
      <c r="E2" s="634" t="s">
        <v>586</v>
      </c>
      <c r="F2" s="657"/>
      <c r="G2" s="657"/>
      <c r="H2" s="657"/>
      <c r="I2" s="657"/>
      <c r="J2" s="657"/>
      <c r="K2" s="657"/>
      <c r="L2" s="657"/>
      <c r="M2" s="657"/>
      <c r="N2" s="657"/>
      <c r="O2" s="657"/>
      <c r="P2" s="657"/>
      <c r="Q2" s="657"/>
      <c r="R2" s="657"/>
      <c r="S2" s="657"/>
      <c r="T2" s="657"/>
      <c r="U2" s="657"/>
      <c r="V2" s="657"/>
      <c r="W2" s="657"/>
      <c r="X2" s="657"/>
      <c r="Y2" s="657"/>
      <c r="Z2" s="658"/>
      <c r="AA2" s="658"/>
      <c r="AB2" s="658"/>
      <c r="AC2" s="658"/>
      <c r="AD2" s="658"/>
      <c r="AE2" s="658"/>
      <c r="AF2" s="658"/>
      <c r="AG2" s="659">
        <v>2009</v>
      </c>
      <c r="AH2" s="659">
        <v>2</v>
      </c>
    </row>
    <row r="3" spans="1:34" x14ac:dyDescent="0.25">
      <c r="A3" s="1231" t="s">
        <v>696</v>
      </c>
      <c r="B3" s="812">
        <v>46478</v>
      </c>
      <c r="C3" s="808"/>
      <c r="D3" s="808"/>
      <c r="E3" s="786" t="s">
        <v>587</v>
      </c>
      <c r="F3" s="660"/>
      <c r="G3" s="660"/>
      <c r="H3" s="660"/>
      <c r="I3" s="660"/>
      <c r="J3" s="660"/>
      <c r="K3" s="660"/>
      <c r="L3" s="660"/>
      <c r="M3" s="660"/>
      <c r="N3" s="660"/>
      <c r="O3" s="660"/>
      <c r="P3" s="660"/>
      <c r="Q3" s="660"/>
      <c r="R3" s="660"/>
      <c r="S3" s="660"/>
      <c r="T3" s="660"/>
      <c r="U3" s="660"/>
      <c r="V3" s="660"/>
      <c r="W3" s="660"/>
      <c r="X3" s="660"/>
      <c r="Y3" s="660"/>
      <c r="Z3" s="658"/>
      <c r="AA3" s="658"/>
      <c r="AB3" s="658"/>
      <c r="AC3" s="658"/>
      <c r="AD3" s="658"/>
      <c r="AE3" s="658"/>
      <c r="AF3" s="658"/>
      <c r="AG3" s="661">
        <v>2010</v>
      </c>
      <c r="AH3" s="659">
        <v>3</v>
      </c>
    </row>
    <row r="4" spans="1:34" x14ac:dyDescent="0.25">
      <c r="A4" s="633"/>
      <c r="B4" s="1381"/>
      <c r="C4" s="808"/>
      <c r="D4" s="808"/>
      <c r="E4" s="809">
        <f>B3</f>
        <v>46478</v>
      </c>
      <c r="F4" s="810" t="str">
        <f t="shared" ref="F4:Y4" si="0">IF(ISERROR(DATE(F2,F3,1)),"",(DATE(F2,F3,1)))</f>
        <v/>
      </c>
      <c r="G4" s="810" t="str">
        <f t="shared" si="0"/>
        <v/>
      </c>
      <c r="H4" s="662" t="str">
        <f t="shared" si="0"/>
        <v/>
      </c>
      <c r="I4" s="785" t="str">
        <f t="shared" si="0"/>
        <v/>
      </c>
      <c r="J4" s="662" t="str">
        <f t="shared" si="0"/>
        <v/>
      </c>
      <c r="K4" s="810" t="str">
        <f t="shared" si="0"/>
        <v/>
      </c>
      <c r="L4" s="810" t="str">
        <f t="shared" si="0"/>
        <v/>
      </c>
      <c r="M4" s="662" t="str">
        <f t="shared" si="0"/>
        <v/>
      </c>
      <c r="N4" s="810" t="str">
        <f t="shared" si="0"/>
        <v/>
      </c>
      <c r="O4" s="662" t="str">
        <f t="shared" si="0"/>
        <v/>
      </c>
      <c r="P4" s="662" t="str">
        <f t="shared" si="0"/>
        <v/>
      </c>
      <c r="Q4" s="662" t="str">
        <f t="shared" si="0"/>
        <v/>
      </c>
      <c r="R4" s="662" t="str">
        <f t="shared" si="0"/>
        <v/>
      </c>
      <c r="S4" s="662" t="str">
        <f t="shared" si="0"/>
        <v/>
      </c>
      <c r="T4" s="662" t="str">
        <f t="shared" si="0"/>
        <v/>
      </c>
      <c r="U4" s="662" t="str">
        <f t="shared" si="0"/>
        <v/>
      </c>
      <c r="V4" s="662" t="str">
        <f t="shared" si="0"/>
        <v/>
      </c>
      <c r="W4" s="662" t="str">
        <f t="shared" si="0"/>
        <v/>
      </c>
      <c r="X4" s="662" t="str">
        <f t="shared" si="0"/>
        <v/>
      </c>
      <c r="Y4" s="662" t="str">
        <f t="shared" si="0"/>
        <v/>
      </c>
      <c r="Z4" s="632"/>
      <c r="AA4" s="632"/>
      <c r="AB4" s="632"/>
      <c r="AC4" s="632"/>
      <c r="AD4" s="632"/>
      <c r="AE4" s="632"/>
      <c r="AF4" s="632"/>
      <c r="AG4" s="659">
        <v>2011</v>
      </c>
      <c r="AH4" s="659">
        <v>4</v>
      </c>
    </row>
    <row r="5" spans="1:34" ht="16.5" thickBot="1" x14ac:dyDescent="0.3">
      <c r="A5" s="635">
        <v>1</v>
      </c>
      <c r="B5" s="1382">
        <v>2</v>
      </c>
      <c r="C5" s="1309">
        <v>3</v>
      </c>
      <c r="D5" s="1309">
        <v>4</v>
      </c>
      <c r="E5" s="635">
        <v>5</v>
      </c>
      <c r="F5" s="1115">
        <v>6</v>
      </c>
      <c r="G5" s="1115">
        <v>7</v>
      </c>
      <c r="H5" s="1115">
        <v>8</v>
      </c>
      <c r="I5" s="1115">
        <v>9</v>
      </c>
      <c r="J5" s="1115">
        <v>10</v>
      </c>
      <c r="K5" s="1115">
        <v>11</v>
      </c>
      <c r="L5" s="1115">
        <v>12</v>
      </c>
      <c r="M5" s="1115">
        <v>13</v>
      </c>
      <c r="N5" s="1115">
        <v>14</v>
      </c>
      <c r="O5" s="635">
        <v>15</v>
      </c>
      <c r="P5" s="636">
        <v>16</v>
      </c>
      <c r="Q5" s="635">
        <v>17</v>
      </c>
      <c r="R5" s="635">
        <v>18</v>
      </c>
      <c r="S5" s="636">
        <v>19</v>
      </c>
      <c r="T5" s="635">
        <v>20</v>
      </c>
      <c r="U5" s="635">
        <v>21</v>
      </c>
      <c r="V5" s="636">
        <v>22</v>
      </c>
      <c r="W5" s="635">
        <v>23</v>
      </c>
      <c r="X5" s="635">
        <v>24</v>
      </c>
      <c r="Y5" s="636">
        <v>25</v>
      </c>
      <c r="Z5" s="663"/>
      <c r="AA5" s="663">
        <v>1</v>
      </c>
      <c r="AB5" s="663">
        <v>5</v>
      </c>
      <c r="AC5" s="663">
        <v>5</v>
      </c>
      <c r="AD5" s="663">
        <v>5</v>
      </c>
      <c r="AE5" s="663"/>
      <c r="AF5" s="663"/>
      <c r="AG5" s="661">
        <v>2012</v>
      </c>
      <c r="AH5" s="664">
        <v>5</v>
      </c>
    </row>
    <row r="6" spans="1:34" ht="16.5" thickTop="1" x14ac:dyDescent="0.25">
      <c r="A6" s="637"/>
      <c r="B6" s="1628" t="s">
        <v>804</v>
      </c>
      <c r="C6" s="1305"/>
      <c r="D6" s="1306"/>
      <c r="E6" s="640"/>
      <c r="F6" s="821"/>
      <c r="G6" s="822"/>
      <c r="H6" s="822"/>
      <c r="I6" s="822"/>
      <c r="J6" s="822"/>
      <c r="K6" s="822"/>
      <c r="L6" s="822"/>
      <c r="M6" s="822"/>
      <c r="N6" s="822"/>
      <c r="O6" s="822"/>
      <c r="P6" s="822"/>
      <c r="Q6" s="822"/>
      <c r="R6" s="822"/>
      <c r="S6" s="822"/>
      <c r="T6" s="822"/>
      <c r="U6" s="822"/>
      <c r="V6" s="822"/>
      <c r="W6" s="822"/>
      <c r="X6" s="822"/>
      <c r="Y6" s="823"/>
      <c r="Z6" s="665"/>
      <c r="AA6" s="665"/>
      <c r="AB6" s="665"/>
      <c r="AC6" s="665"/>
      <c r="AD6" s="665"/>
      <c r="AE6" s="665"/>
      <c r="AF6" s="665"/>
      <c r="AG6" s="659">
        <v>2013</v>
      </c>
      <c r="AH6" s="666">
        <v>6</v>
      </c>
    </row>
    <row r="7" spans="1:34" x14ac:dyDescent="0.25">
      <c r="A7" s="641">
        <v>100</v>
      </c>
      <c r="B7" s="789" t="s">
        <v>88</v>
      </c>
      <c r="C7" s="642" t="s">
        <v>589</v>
      </c>
      <c r="D7" s="642"/>
      <c r="E7" s="643"/>
      <c r="F7" s="667"/>
      <c r="G7" s="667"/>
      <c r="H7" s="667"/>
      <c r="I7" s="667"/>
      <c r="J7" s="667"/>
      <c r="K7" s="667"/>
      <c r="L7" s="667"/>
      <c r="M7" s="667"/>
      <c r="N7" s="667"/>
      <c r="O7" s="667"/>
      <c r="P7" s="667"/>
      <c r="Q7" s="667"/>
      <c r="R7" s="667"/>
      <c r="S7" s="667"/>
      <c r="T7" s="667"/>
      <c r="U7" s="667"/>
      <c r="V7" s="667"/>
      <c r="W7" s="667"/>
      <c r="X7" s="667"/>
      <c r="Y7" s="668"/>
      <c r="Z7" s="632"/>
      <c r="AA7" s="632"/>
      <c r="AB7" s="632"/>
      <c r="AC7" s="632"/>
      <c r="AD7" s="632"/>
      <c r="AE7" s="632"/>
      <c r="AF7" s="632"/>
      <c r="AG7" s="659"/>
      <c r="AH7" s="659">
        <v>7</v>
      </c>
    </row>
    <row r="8" spans="1:34" x14ac:dyDescent="0.25">
      <c r="A8" s="641">
        <v>110</v>
      </c>
      <c r="B8" s="790" t="s">
        <v>111</v>
      </c>
      <c r="C8" s="644" t="s">
        <v>112</v>
      </c>
      <c r="D8" s="644"/>
      <c r="E8" s="645"/>
      <c r="F8" s="1159">
        <v>0</v>
      </c>
      <c r="G8" s="669">
        <v>0</v>
      </c>
      <c r="H8" s="669">
        <v>0</v>
      </c>
      <c r="I8" s="669">
        <v>0</v>
      </c>
      <c r="J8" s="670">
        <v>0</v>
      </c>
      <c r="K8" s="1159">
        <v>0</v>
      </c>
      <c r="L8" s="669">
        <v>0</v>
      </c>
      <c r="M8" s="670">
        <v>0</v>
      </c>
      <c r="N8" s="1159">
        <v>0</v>
      </c>
      <c r="O8" s="670">
        <v>0</v>
      </c>
      <c r="P8" s="1159">
        <v>0</v>
      </c>
      <c r="Q8" s="669">
        <v>0</v>
      </c>
      <c r="R8" s="669">
        <v>0</v>
      </c>
      <c r="S8" s="669">
        <v>0</v>
      </c>
      <c r="T8" s="670">
        <v>0</v>
      </c>
      <c r="U8" s="1159">
        <v>0</v>
      </c>
      <c r="V8" s="669">
        <v>0</v>
      </c>
      <c r="W8" s="669">
        <v>0</v>
      </c>
      <c r="X8" s="669">
        <v>0</v>
      </c>
      <c r="Y8" s="670">
        <v>0</v>
      </c>
      <c r="Z8" s="632"/>
      <c r="AA8" s="632"/>
      <c r="AB8" s="632"/>
      <c r="AC8" s="632"/>
      <c r="AD8" s="632"/>
      <c r="AE8" s="632"/>
      <c r="AF8" s="632"/>
      <c r="AG8" s="659"/>
      <c r="AH8" s="659">
        <v>8</v>
      </c>
    </row>
    <row r="9" spans="1:34" x14ac:dyDescent="0.25">
      <c r="A9" s="641">
        <v>120</v>
      </c>
      <c r="B9" s="792" t="s">
        <v>590</v>
      </c>
      <c r="C9" s="646">
        <v>151</v>
      </c>
      <c r="D9" s="646"/>
      <c r="E9" s="645"/>
      <c r="F9" s="669">
        <v>0</v>
      </c>
      <c r="G9" s="669">
        <v>0</v>
      </c>
      <c r="H9" s="669">
        <v>0</v>
      </c>
      <c r="I9" s="669">
        <v>0</v>
      </c>
      <c r="J9" s="670">
        <v>0</v>
      </c>
      <c r="K9" s="669">
        <v>0</v>
      </c>
      <c r="L9" s="669">
        <v>0</v>
      </c>
      <c r="M9" s="670">
        <v>0</v>
      </c>
      <c r="N9" s="669">
        <v>0</v>
      </c>
      <c r="O9" s="670">
        <v>0</v>
      </c>
      <c r="P9" s="669">
        <v>0</v>
      </c>
      <c r="Q9" s="669">
        <v>0</v>
      </c>
      <c r="R9" s="669">
        <v>0</v>
      </c>
      <c r="S9" s="669">
        <v>0</v>
      </c>
      <c r="T9" s="670">
        <v>0</v>
      </c>
      <c r="U9" s="669">
        <v>0</v>
      </c>
      <c r="V9" s="669">
        <v>0</v>
      </c>
      <c r="W9" s="669">
        <v>0</v>
      </c>
      <c r="X9" s="669">
        <v>0</v>
      </c>
      <c r="Y9" s="670">
        <v>0</v>
      </c>
      <c r="Z9" s="632"/>
      <c r="AA9" s="632"/>
      <c r="AB9" s="632"/>
      <c r="AC9" s="632"/>
      <c r="AD9" s="632"/>
      <c r="AE9" s="632"/>
      <c r="AF9" s="632"/>
      <c r="AG9" s="659"/>
      <c r="AH9" s="659">
        <v>9</v>
      </c>
    </row>
    <row r="10" spans="1:34" x14ac:dyDescent="0.25">
      <c r="A10" s="641">
        <v>130</v>
      </c>
      <c r="B10" s="790" t="s">
        <v>79</v>
      </c>
      <c r="C10" s="644">
        <v>154</v>
      </c>
      <c r="D10" s="644"/>
      <c r="E10" s="645"/>
      <c r="F10" s="669">
        <v>0</v>
      </c>
      <c r="G10" s="669">
        <v>0</v>
      </c>
      <c r="H10" s="669">
        <v>0</v>
      </c>
      <c r="I10" s="669">
        <v>0</v>
      </c>
      <c r="J10" s="670">
        <v>0</v>
      </c>
      <c r="K10" s="669">
        <v>0</v>
      </c>
      <c r="L10" s="669">
        <v>0</v>
      </c>
      <c r="M10" s="670">
        <v>0</v>
      </c>
      <c r="N10" s="669">
        <v>0</v>
      </c>
      <c r="O10" s="670">
        <v>0</v>
      </c>
      <c r="P10" s="669">
        <v>0</v>
      </c>
      <c r="Q10" s="669">
        <v>0</v>
      </c>
      <c r="R10" s="669">
        <v>0</v>
      </c>
      <c r="S10" s="669">
        <v>0</v>
      </c>
      <c r="T10" s="670">
        <v>0</v>
      </c>
      <c r="U10" s="669">
        <v>0</v>
      </c>
      <c r="V10" s="669">
        <v>0</v>
      </c>
      <c r="W10" s="669">
        <v>0</v>
      </c>
      <c r="X10" s="669">
        <v>0</v>
      </c>
      <c r="Y10" s="670">
        <v>0</v>
      </c>
      <c r="Z10" s="632"/>
      <c r="AA10" s="632"/>
      <c r="AB10" s="632"/>
      <c r="AC10" s="632"/>
      <c r="AD10" s="632"/>
      <c r="AE10" s="632"/>
      <c r="AF10" s="632"/>
      <c r="AG10" s="659"/>
      <c r="AH10" s="659">
        <v>10</v>
      </c>
    </row>
    <row r="11" spans="1:34" x14ac:dyDescent="0.25">
      <c r="A11" s="641">
        <v>140</v>
      </c>
      <c r="B11" s="792" t="s">
        <v>591</v>
      </c>
      <c r="C11" s="646" t="s">
        <v>592</v>
      </c>
      <c r="D11" s="646"/>
      <c r="E11" s="645"/>
      <c r="F11" s="669">
        <v>0</v>
      </c>
      <c r="G11" s="669">
        <v>0</v>
      </c>
      <c r="H11" s="669">
        <v>0</v>
      </c>
      <c r="I11" s="669">
        <v>0</v>
      </c>
      <c r="J11" s="670">
        <v>0</v>
      </c>
      <c r="K11" s="669">
        <v>0</v>
      </c>
      <c r="L11" s="669">
        <v>0</v>
      </c>
      <c r="M11" s="670">
        <v>0</v>
      </c>
      <c r="N11" s="669">
        <v>0</v>
      </c>
      <c r="O11" s="670">
        <v>0</v>
      </c>
      <c r="P11" s="669">
        <v>0</v>
      </c>
      <c r="Q11" s="669">
        <v>0</v>
      </c>
      <c r="R11" s="669">
        <v>0</v>
      </c>
      <c r="S11" s="669">
        <v>0</v>
      </c>
      <c r="T11" s="670">
        <v>0</v>
      </c>
      <c r="U11" s="669">
        <v>0</v>
      </c>
      <c r="V11" s="669">
        <v>0</v>
      </c>
      <c r="W11" s="669">
        <v>0</v>
      </c>
      <c r="X11" s="669">
        <v>0</v>
      </c>
      <c r="Y11" s="670">
        <v>0</v>
      </c>
      <c r="Z11" s="632"/>
      <c r="AA11" s="632"/>
      <c r="AB11" s="632"/>
      <c r="AC11" s="632"/>
      <c r="AD11" s="632"/>
      <c r="AE11" s="632"/>
      <c r="AF11" s="632"/>
      <c r="AG11" s="659"/>
      <c r="AH11" s="659">
        <v>11</v>
      </c>
    </row>
    <row r="12" spans="1:34" x14ac:dyDescent="0.25">
      <c r="A12" s="641">
        <v>150</v>
      </c>
      <c r="B12" s="793" t="s">
        <v>593</v>
      </c>
      <c r="C12" s="647"/>
      <c r="D12" s="647"/>
      <c r="E12" s="648"/>
      <c r="F12" s="672"/>
      <c r="G12" s="672"/>
      <c r="H12" s="672"/>
      <c r="I12" s="672"/>
      <c r="J12" s="672"/>
      <c r="K12" s="672"/>
      <c r="L12" s="672"/>
      <c r="M12" s="672"/>
      <c r="N12" s="672"/>
      <c r="O12" s="672"/>
      <c r="P12" s="672"/>
      <c r="Q12" s="672"/>
      <c r="R12" s="672"/>
      <c r="S12" s="672"/>
      <c r="T12" s="672"/>
      <c r="U12" s="672"/>
      <c r="V12" s="672"/>
      <c r="W12" s="672"/>
      <c r="X12" s="672"/>
      <c r="Y12" s="672"/>
      <c r="Z12" s="632"/>
      <c r="AA12" s="632"/>
      <c r="AB12" s="632"/>
      <c r="AC12" s="632"/>
      <c r="AD12" s="632"/>
      <c r="AE12" s="632"/>
      <c r="AF12" s="632"/>
      <c r="AG12" s="659"/>
      <c r="AH12" s="659">
        <v>12</v>
      </c>
    </row>
    <row r="13" spans="1:34" x14ac:dyDescent="0.25">
      <c r="A13" s="641">
        <v>160</v>
      </c>
      <c r="B13" s="792" t="s">
        <v>259</v>
      </c>
      <c r="C13" s="644">
        <v>501</v>
      </c>
      <c r="D13" s="644"/>
      <c r="E13" s="645"/>
      <c r="F13" s="1154">
        <v>0</v>
      </c>
      <c r="G13" s="1154">
        <v>0</v>
      </c>
      <c r="H13" s="1154">
        <v>0</v>
      </c>
      <c r="I13" s="1154">
        <v>0</v>
      </c>
      <c r="J13" s="1154">
        <f t="shared" ref="J13" si="1">J141</f>
        <v>0</v>
      </c>
      <c r="K13" s="1154">
        <f t="shared" ref="K13:Y13" si="2">K141</f>
        <v>0</v>
      </c>
      <c r="L13" s="1154">
        <f t="shared" si="2"/>
        <v>0</v>
      </c>
      <c r="M13" s="1154">
        <f t="shared" si="2"/>
        <v>0</v>
      </c>
      <c r="N13" s="1154">
        <f t="shared" si="2"/>
        <v>0</v>
      </c>
      <c r="O13" s="1154">
        <f t="shared" si="2"/>
        <v>0</v>
      </c>
      <c r="P13" s="1154">
        <f t="shared" si="2"/>
        <v>0</v>
      </c>
      <c r="Q13" s="1154">
        <f t="shared" si="2"/>
        <v>0</v>
      </c>
      <c r="R13" s="1154">
        <f t="shared" si="2"/>
        <v>0</v>
      </c>
      <c r="S13" s="1154">
        <f t="shared" si="2"/>
        <v>0</v>
      </c>
      <c r="T13" s="1154">
        <f t="shared" si="2"/>
        <v>0</v>
      </c>
      <c r="U13" s="1154">
        <f t="shared" si="2"/>
        <v>0</v>
      </c>
      <c r="V13" s="1154">
        <f t="shared" si="2"/>
        <v>0</v>
      </c>
      <c r="W13" s="1154">
        <f t="shared" si="2"/>
        <v>0</v>
      </c>
      <c r="X13" s="1154">
        <f t="shared" si="2"/>
        <v>0</v>
      </c>
      <c r="Y13" s="1154">
        <f t="shared" si="2"/>
        <v>0</v>
      </c>
      <c r="Z13" s="632"/>
      <c r="AA13" s="632"/>
      <c r="AB13" s="632"/>
      <c r="AC13" s="632"/>
      <c r="AD13" s="632"/>
      <c r="AE13" s="632"/>
      <c r="AF13" s="632"/>
      <c r="AG13" s="659"/>
      <c r="AH13" s="659"/>
    </row>
    <row r="14" spans="1:34" x14ac:dyDescent="0.25">
      <c r="A14" s="641">
        <v>170</v>
      </c>
      <c r="B14" s="790" t="s">
        <v>594</v>
      </c>
      <c r="C14" s="646" t="s">
        <v>452</v>
      </c>
      <c r="D14" s="646"/>
      <c r="E14" s="645"/>
      <c r="F14" s="669"/>
      <c r="G14" s="669">
        <v>0</v>
      </c>
      <c r="H14" s="670">
        <v>0</v>
      </c>
      <c r="I14" s="669">
        <v>0</v>
      </c>
      <c r="J14" s="670">
        <v>0</v>
      </c>
      <c r="K14" s="669">
        <v>0</v>
      </c>
      <c r="L14" s="669">
        <v>0</v>
      </c>
      <c r="M14" s="670">
        <v>0</v>
      </c>
      <c r="N14" s="669">
        <v>0</v>
      </c>
      <c r="O14" s="670">
        <v>0</v>
      </c>
      <c r="P14" s="669">
        <v>0</v>
      </c>
      <c r="Q14" s="669">
        <v>0</v>
      </c>
      <c r="R14" s="670">
        <v>0</v>
      </c>
      <c r="S14" s="669">
        <v>0</v>
      </c>
      <c r="T14" s="670">
        <v>0</v>
      </c>
      <c r="U14" s="669">
        <v>0</v>
      </c>
      <c r="V14" s="669">
        <v>0</v>
      </c>
      <c r="W14" s="670">
        <v>0</v>
      </c>
      <c r="X14" s="669">
        <v>0</v>
      </c>
      <c r="Y14" s="670">
        <v>0</v>
      </c>
      <c r="Z14" s="632"/>
      <c r="AA14" s="632"/>
      <c r="AB14" s="632"/>
      <c r="AC14" s="632"/>
      <c r="AD14" s="632"/>
      <c r="AE14" s="632"/>
      <c r="AF14" s="632"/>
      <c r="AG14" s="659"/>
      <c r="AH14" s="659"/>
    </row>
    <row r="15" spans="1:34" x14ac:dyDescent="0.25">
      <c r="A15" s="641">
        <v>180</v>
      </c>
      <c r="B15" s="792" t="s">
        <v>261</v>
      </c>
      <c r="C15" s="644" t="s">
        <v>262</v>
      </c>
      <c r="D15" s="644"/>
      <c r="E15" s="645"/>
      <c r="F15" s="669"/>
      <c r="G15" s="669">
        <v>0</v>
      </c>
      <c r="H15" s="670">
        <v>0</v>
      </c>
      <c r="I15" s="669">
        <v>0</v>
      </c>
      <c r="J15" s="670">
        <v>0</v>
      </c>
      <c r="K15" s="669">
        <v>0</v>
      </c>
      <c r="L15" s="669">
        <v>0</v>
      </c>
      <c r="M15" s="670">
        <v>0</v>
      </c>
      <c r="N15" s="669">
        <v>0</v>
      </c>
      <c r="O15" s="670">
        <v>0</v>
      </c>
      <c r="P15" s="669">
        <v>0</v>
      </c>
      <c r="Q15" s="669">
        <v>0</v>
      </c>
      <c r="R15" s="670">
        <v>0</v>
      </c>
      <c r="S15" s="669">
        <v>0</v>
      </c>
      <c r="T15" s="670">
        <v>0</v>
      </c>
      <c r="U15" s="669">
        <v>0</v>
      </c>
      <c r="V15" s="669">
        <v>0</v>
      </c>
      <c r="W15" s="670">
        <v>0</v>
      </c>
      <c r="X15" s="669">
        <v>0</v>
      </c>
      <c r="Y15" s="670">
        <v>0</v>
      </c>
      <c r="Z15" s="632"/>
      <c r="AA15" s="632"/>
      <c r="AB15" s="632"/>
      <c r="AC15" s="632"/>
      <c r="AD15" s="632"/>
      <c r="AE15" s="632"/>
      <c r="AF15" s="632"/>
      <c r="AG15" s="659"/>
      <c r="AH15" s="659"/>
    </row>
    <row r="16" spans="1:34" x14ac:dyDescent="0.25">
      <c r="A16" s="641">
        <v>190</v>
      </c>
      <c r="B16" s="795" t="s">
        <v>167</v>
      </c>
      <c r="C16" s="649">
        <v>924</v>
      </c>
      <c r="D16" s="649"/>
      <c r="E16" s="650"/>
      <c r="F16" s="669">
        <v>0</v>
      </c>
      <c r="G16" s="669">
        <v>0</v>
      </c>
      <c r="H16" s="670">
        <v>0</v>
      </c>
      <c r="I16" s="669">
        <v>0</v>
      </c>
      <c r="J16" s="670">
        <v>0</v>
      </c>
      <c r="K16" s="669">
        <v>0</v>
      </c>
      <c r="L16" s="669">
        <v>0</v>
      </c>
      <c r="M16" s="670">
        <v>0</v>
      </c>
      <c r="N16" s="669">
        <v>0</v>
      </c>
      <c r="O16" s="670">
        <v>0</v>
      </c>
      <c r="P16" s="669">
        <v>0</v>
      </c>
      <c r="Q16" s="669">
        <v>0</v>
      </c>
      <c r="R16" s="670">
        <v>0</v>
      </c>
      <c r="S16" s="669">
        <v>0</v>
      </c>
      <c r="T16" s="670">
        <v>0</v>
      </c>
      <c r="U16" s="669">
        <v>0</v>
      </c>
      <c r="V16" s="669">
        <v>0</v>
      </c>
      <c r="W16" s="670">
        <v>0</v>
      </c>
      <c r="X16" s="669">
        <v>0</v>
      </c>
      <c r="Y16" s="670">
        <v>0</v>
      </c>
      <c r="Z16" s="632"/>
      <c r="AA16" s="632"/>
      <c r="AB16" s="632"/>
      <c r="AC16" s="632"/>
      <c r="AD16" s="632"/>
      <c r="AE16" s="632"/>
      <c r="AF16" s="632"/>
      <c r="AG16" s="659"/>
      <c r="AH16" s="659"/>
    </row>
    <row r="17" spans="1:34" x14ac:dyDescent="0.25">
      <c r="A17" s="641">
        <v>200</v>
      </c>
      <c r="B17" s="790" t="s">
        <v>595</v>
      </c>
      <c r="C17" s="646">
        <v>403</v>
      </c>
      <c r="D17" s="646" t="s">
        <v>596</v>
      </c>
      <c r="E17" s="645"/>
      <c r="F17" s="669"/>
      <c r="G17" s="669">
        <v>0</v>
      </c>
      <c r="H17" s="670">
        <v>0</v>
      </c>
      <c r="I17" s="669">
        <v>0</v>
      </c>
      <c r="J17" s="670">
        <v>0</v>
      </c>
      <c r="K17" s="669">
        <v>0</v>
      </c>
      <c r="L17" s="669">
        <v>0</v>
      </c>
      <c r="M17" s="670">
        <v>0</v>
      </c>
      <c r="N17" s="669">
        <v>0</v>
      </c>
      <c r="O17" s="670">
        <v>0</v>
      </c>
      <c r="P17" s="669">
        <v>0</v>
      </c>
      <c r="Q17" s="669">
        <v>0</v>
      </c>
      <c r="R17" s="670">
        <v>0</v>
      </c>
      <c r="S17" s="669">
        <v>0</v>
      </c>
      <c r="T17" s="670">
        <v>0</v>
      </c>
      <c r="U17" s="669">
        <v>0</v>
      </c>
      <c r="V17" s="669">
        <v>0</v>
      </c>
      <c r="W17" s="670">
        <v>0</v>
      </c>
      <c r="X17" s="669">
        <v>0</v>
      </c>
      <c r="Y17" s="670">
        <v>0</v>
      </c>
      <c r="Z17" s="632"/>
      <c r="AA17" s="632"/>
      <c r="AB17" s="632"/>
      <c r="AC17" s="632"/>
      <c r="AD17" s="632"/>
      <c r="AE17" s="632"/>
      <c r="AF17" s="632"/>
      <c r="AG17" s="659"/>
      <c r="AH17" s="659"/>
    </row>
    <row r="18" spans="1:34" x14ac:dyDescent="0.25">
      <c r="A18" s="641">
        <v>210</v>
      </c>
      <c r="B18" s="790" t="s">
        <v>597</v>
      </c>
      <c r="C18" s="644">
        <v>447</v>
      </c>
      <c r="D18" s="644" t="s">
        <v>598</v>
      </c>
      <c r="E18" s="645"/>
      <c r="F18" s="669">
        <v>0</v>
      </c>
      <c r="G18" s="669">
        <v>0</v>
      </c>
      <c r="H18" s="670">
        <v>0</v>
      </c>
      <c r="I18" s="669">
        <v>0</v>
      </c>
      <c r="J18" s="670">
        <v>0</v>
      </c>
      <c r="K18" s="669">
        <v>0</v>
      </c>
      <c r="L18" s="669">
        <v>0</v>
      </c>
      <c r="M18" s="670">
        <v>0</v>
      </c>
      <c r="N18" s="669">
        <v>0</v>
      </c>
      <c r="O18" s="670">
        <v>0</v>
      </c>
      <c r="P18" s="669">
        <v>0</v>
      </c>
      <c r="Q18" s="669">
        <v>0</v>
      </c>
      <c r="R18" s="670">
        <v>0</v>
      </c>
      <c r="S18" s="669">
        <v>0</v>
      </c>
      <c r="T18" s="670">
        <v>0</v>
      </c>
      <c r="U18" s="669">
        <v>0</v>
      </c>
      <c r="V18" s="669">
        <v>0</v>
      </c>
      <c r="W18" s="670">
        <v>0</v>
      </c>
      <c r="X18" s="669">
        <v>0</v>
      </c>
      <c r="Y18" s="670">
        <v>0</v>
      </c>
      <c r="Z18" s="632"/>
      <c r="AA18" s="632"/>
      <c r="AB18" s="632"/>
      <c r="AC18" s="632"/>
      <c r="AD18" s="632"/>
      <c r="AE18" s="632"/>
      <c r="AF18" s="632"/>
      <c r="AG18" s="659"/>
      <c r="AH18" s="659"/>
    </row>
    <row r="19" spans="1:34" x14ac:dyDescent="0.25">
      <c r="A19" s="641">
        <v>220</v>
      </c>
      <c r="B19" s="792" t="s">
        <v>599</v>
      </c>
      <c r="C19" s="646"/>
      <c r="D19" s="644" t="s">
        <v>598</v>
      </c>
      <c r="E19" s="645"/>
      <c r="F19" s="669">
        <v>0</v>
      </c>
      <c r="G19" s="669">
        <v>0</v>
      </c>
      <c r="H19" s="670">
        <v>0</v>
      </c>
      <c r="I19" s="669">
        <v>0</v>
      </c>
      <c r="J19" s="670">
        <v>0</v>
      </c>
      <c r="K19" s="669">
        <v>0</v>
      </c>
      <c r="L19" s="669">
        <v>0</v>
      </c>
      <c r="M19" s="670">
        <v>0</v>
      </c>
      <c r="N19" s="669">
        <v>0</v>
      </c>
      <c r="O19" s="670">
        <v>0</v>
      </c>
      <c r="P19" s="669">
        <v>0</v>
      </c>
      <c r="Q19" s="669">
        <v>0</v>
      </c>
      <c r="R19" s="670">
        <v>0</v>
      </c>
      <c r="S19" s="669">
        <v>0</v>
      </c>
      <c r="T19" s="670">
        <v>0</v>
      </c>
      <c r="U19" s="669">
        <v>0</v>
      </c>
      <c r="V19" s="669">
        <v>0</v>
      </c>
      <c r="W19" s="670">
        <v>0</v>
      </c>
      <c r="X19" s="669">
        <v>0</v>
      </c>
      <c r="Y19" s="670">
        <v>0</v>
      </c>
      <c r="Z19" s="632"/>
      <c r="AA19" s="632"/>
      <c r="AB19" s="632"/>
      <c r="AC19" s="632"/>
      <c r="AD19" s="632"/>
      <c r="AE19" s="632"/>
      <c r="AF19" s="632"/>
      <c r="AG19" s="659"/>
      <c r="AH19" s="659"/>
    </row>
    <row r="20" spans="1:34" x14ac:dyDescent="0.25">
      <c r="A20" s="641">
        <v>230</v>
      </c>
      <c r="B20" s="790" t="s">
        <v>600</v>
      </c>
      <c r="C20" s="644"/>
      <c r="D20" s="644" t="s">
        <v>598</v>
      </c>
      <c r="E20" s="645"/>
      <c r="F20" s="1154">
        <v>0</v>
      </c>
      <c r="G20" s="1154">
        <v>0</v>
      </c>
      <c r="H20" s="1154">
        <v>0</v>
      </c>
      <c r="I20" s="1154">
        <v>0</v>
      </c>
      <c r="J20" s="1154">
        <f t="shared" ref="J20" si="3">J140</f>
        <v>0</v>
      </c>
      <c r="K20" s="1154">
        <f t="shared" ref="K20:Y20" si="4">K140</f>
        <v>0</v>
      </c>
      <c r="L20" s="1154">
        <f t="shared" si="4"/>
        <v>0</v>
      </c>
      <c r="M20" s="1154">
        <f t="shared" si="4"/>
        <v>0</v>
      </c>
      <c r="N20" s="1154">
        <f t="shared" si="4"/>
        <v>0</v>
      </c>
      <c r="O20" s="1154">
        <f t="shared" si="4"/>
        <v>0</v>
      </c>
      <c r="P20" s="1154">
        <f t="shared" si="4"/>
        <v>0</v>
      </c>
      <c r="Q20" s="1154">
        <f t="shared" si="4"/>
        <v>0</v>
      </c>
      <c r="R20" s="1154">
        <f t="shared" si="4"/>
        <v>0</v>
      </c>
      <c r="S20" s="1154">
        <f t="shared" si="4"/>
        <v>0</v>
      </c>
      <c r="T20" s="1154">
        <f t="shared" si="4"/>
        <v>0</v>
      </c>
      <c r="U20" s="1154">
        <f t="shared" si="4"/>
        <v>0</v>
      </c>
      <c r="V20" s="1154">
        <f t="shared" si="4"/>
        <v>0</v>
      </c>
      <c r="W20" s="1154">
        <f t="shared" si="4"/>
        <v>0</v>
      </c>
      <c r="X20" s="1154">
        <f t="shared" si="4"/>
        <v>0</v>
      </c>
      <c r="Y20" s="1154">
        <f t="shared" si="4"/>
        <v>0</v>
      </c>
      <c r="Z20" s="632"/>
      <c r="AA20" s="632"/>
      <c r="AB20" s="632"/>
      <c r="AC20" s="632"/>
      <c r="AD20" s="632"/>
      <c r="AE20" s="632"/>
      <c r="AF20" s="632"/>
      <c r="AG20" s="659"/>
      <c r="AH20" s="659"/>
    </row>
    <row r="21" spans="1:34" x14ac:dyDescent="0.25">
      <c r="A21" s="641">
        <v>240</v>
      </c>
      <c r="B21" s="793" t="s">
        <v>89</v>
      </c>
      <c r="C21" s="647"/>
      <c r="D21" s="647"/>
      <c r="E21" s="648"/>
      <c r="F21" s="648"/>
      <c r="G21" s="648"/>
      <c r="H21" s="648"/>
      <c r="I21" s="648"/>
      <c r="J21" s="672"/>
      <c r="K21" s="648"/>
      <c r="L21" s="648"/>
      <c r="M21" s="648"/>
      <c r="N21" s="648"/>
      <c r="O21" s="672"/>
      <c r="P21" s="648"/>
      <c r="Q21" s="648"/>
      <c r="R21" s="648"/>
      <c r="S21" s="648"/>
      <c r="T21" s="672"/>
      <c r="U21" s="648"/>
      <c r="V21" s="648"/>
      <c r="W21" s="648"/>
      <c r="X21" s="648"/>
      <c r="Y21" s="672"/>
      <c r="Z21" s="632"/>
      <c r="AA21" s="632"/>
      <c r="AB21" s="632"/>
      <c r="AC21" s="632"/>
      <c r="AD21" s="632"/>
      <c r="AE21" s="632"/>
      <c r="AF21" s="632"/>
      <c r="AG21" s="659"/>
      <c r="AH21" s="659"/>
    </row>
    <row r="22" spans="1:34" x14ac:dyDescent="0.25">
      <c r="A22" s="641">
        <v>250</v>
      </c>
      <c r="B22" s="790" t="s">
        <v>113</v>
      </c>
      <c r="C22" s="644" t="s">
        <v>114</v>
      </c>
      <c r="D22" s="644"/>
      <c r="E22" s="645"/>
      <c r="F22" s="669">
        <v>0</v>
      </c>
      <c r="G22" s="669">
        <v>0</v>
      </c>
      <c r="H22" s="670">
        <v>0</v>
      </c>
      <c r="I22" s="669">
        <v>0</v>
      </c>
      <c r="J22" s="670">
        <v>0</v>
      </c>
      <c r="K22" s="669">
        <v>0</v>
      </c>
      <c r="L22" s="669">
        <v>0</v>
      </c>
      <c r="M22" s="670">
        <v>0</v>
      </c>
      <c r="N22" s="669">
        <v>0</v>
      </c>
      <c r="O22" s="670">
        <v>0</v>
      </c>
      <c r="P22" s="669">
        <v>0</v>
      </c>
      <c r="Q22" s="669">
        <v>0</v>
      </c>
      <c r="R22" s="670">
        <v>0</v>
      </c>
      <c r="S22" s="669">
        <v>0</v>
      </c>
      <c r="T22" s="670">
        <v>0</v>
      </c>
      <c r="U22" s="669">
        <v>0</v>
      </c>
      <c r="V22" s="669">
        <v>0</v>
      </c>
      <c r="W22" s="670">
        <v>0</v>
      </c>
      <c r="X22" s="669">
        <v>0</v>
      </c>
      <c r="Y22" s="670">
        <v>0</v>
      </c>
      <c r="Z22" s="632"/>
      <c r="AA22" s="632"/>
      <c r="AB22" s="632"/>
      <c r="AC22" s="632"/>
      <c r="AD22" s="632"/>
      <c r="AE22" s="632"/>
      <c r="AF22" s="632"/>
      <c r="AG22" s="659"/>
      <c r="AH22" s="659"/>
    </row>
    <row r="23" spans="1:34" x14ac:dyDescent="0.25">
      <c r="A23" s="641">
        <v>260</v>
      </c>
      <c r="B23" s="790" t="s">
        <v>601</v>
      </c>
      <c r="C23" s="646" t="s">
        <v>257</v>
      </c>
      <c r="D23" s="646" t="s">
        <v>596</v>
      </c>
      <c r="E23" s="645"/>
      <c r="F23" s="669">
        <v>0</v>
      </c>
      <c r="G23" s="669">
        <v>0</v>
      </c>
      <c r="H23" s="670">
        <v>0</v>
      </c>
      <c r="I23" s="669">
        <v>0</v>
      </c>
      <c r="J23" s="670">
        <v>0</v>
      </c>
      <c r="K23" s="669">
        <v>0</v>
      </c>
      <c r="L23" s="669">
        <v>0</v>
      </c>
      <c r="M23" s="670">
        <v>0</v>
      </c>
      <c r="N23" s="669">
        <v>0</v>
      </c>
      <c r="O23" s="670">
        <v>0</v>
      </c>
      <c r="P23" s="669">
        <v>0</v>
      </c>
      <c r="Q23" s="669">
        <v>0</v>
      </c>
      <c r="R23" s="670">
        <v>0</v>
      </c>
      <c r="S23" s="669">
        <v>0</v>
      </c>
      <c r="T23" s="670">
        <v>0</v>
      </c>
      <c r="U23" s="669">
        <v>0</v>
      </c>
      <c r="V23" s="669">
        <v>0</v>
      </c>
      <c r="W23" s="670">
        <v>0</v>
      </c>
      <c r="X23" s="669">
        <v>0</v>
      </c>
      <c r="Y23" s="670">
        <v>0</v>
      </c>
      <c r="Z23" s="632"/>
      <c r="AA23" s="632"/>
      <c r="AB23" s="632"/>
      <c r="AC23" s="632"/>
      <c r="AD23" s="632"/>
      <c r="AE23" s="632"/>
      <c r="AF23" s="632"/>
      <c r="AG23" s="659"/>
      <c r="AH23" s="659"/>
    </row>
    <row r="24" spans="1:34" x14ac:dyDescent="0.25">
      <c r="A24" s="641">
        <v>270</v>
      </c>
      <c r="B24" s="790" t="s">
        <v>79</v>
      </c>
      <c r="C24" s="644">
        <v>154</v>
      </c>
      <c r="D24" s="644"/>
      <c r="E24" s="645"/>
      <c r="F24" s="669">
        <v>0</v>
      </c>
      <c r="G24" s="669">
        <v>0</v>
      </c>
      <c r="H24" s="670">
        <v>0</v>
      </c>
      <c r="I24" s="669">
        <v>0</v>
      </c>
      <c r="J24" s="670">
        <v>0</v>
      </c>
      <c r="K24" s="669">
        <v>0</v>
      </c>
      <c r="L24" s="669">
        <v>0</v>
      </c>
      <c r="M24" s="670">
        <v>0</v>
      </c>
      <c r="N24" s="669">
        <v>0</v>
      </c>
      <c r="O24" s="670">
        <v>0</v>
      </c>
      <c r="P24" s="669">
        <v>0</v>
      </c>
      <c r="Q24" s="669">
        <v>0</v>
      </c>
      <c r="R24" s="670">
        <v>0</v>
      </c>
      <c r="S24" s="669">
        <v>0</v>
      </c>
      <c r="T24" s="670">
        <v>0</v>
      </c>
      <c r="U24" s="669">
        <v>0</v>
      </c>
      <c r="V24" s="669">
        <v>0</v>
      </c>
      <c r="W24" s="670">
        <v>0</v>
      </c>
      <c r="X24" s="669">
        <v>0</v>
      </c>
      <c r="Y24" s="670">
        <v>0</v>
      </c>
      <c r="Z24" s="632"/>
      <c r="AA24" s="632"/>
      <c r="AB24" s="632"/>
      <c r="AC24" s="632"/>
      <c r="AD24" s="632"/>
      <c r="AE24" s="632"/>
      <c r="AF24" s="632"/>
      <c r="AG24" s="659"/>
      <c r="AH24" s="659"/>
    </row>
    <row r="25" spans="1:34" x14ac:dyDescent="0.25">
      <c r="A25" s="641">
        <v>280</v>
      </c>
      <c r="B25" s="793" t="s">
        <v>602</v>
      </c>
      <c r="C25" s="647"/>
      <c r="D25" s="647"/>
      <c r="E25" s="648"/>
      <c r="F25" s="648"/>
      <c r="G25" s="648"/>
      <c r="H25" s="648"/>
      <c r="I25" s="648"/>
      <c r="J25" s="672"/>
      <c r="K25" s="648"/>
      <c r="L25" s="648"/>
      <c r="M25" s="648"/>
      <c r="N25" s="648"/>
      <c r="O25" s="672"/>
      <c r="P25" s="648"/>
      <c r="Q25" s="648"/>
      <c r="R25" s="648"/>
      <c r="S25" s="648"/>
      <c r="T25" s="672"/>
      <c r="U25" s="648"/>
      <c r="V25" s="648"/>
      <c r="W25" s="648"/>
      <c r="X25" s="648"/>
      <c r="Y25" s="672"/>
      <c r="Z25" s="632"/>
      <c r="AA25" s="632"/>
      <c r="AB25" s="632"/>
      <c r="AC25" s="632"/>
      <c r="AD25" s="632"/>
      <c r="AE25" s="632"/>
      <c r="AF25" s="632"/>
      <c r="AG25" s="659"/>
      <c r="AH25" s="659"/>
    </row>
    <row r="26" spans="1:34" x14ac:dyDescent="0.25">
      <c r="A26" s="641">
        <v>290</v>
      </c>
      <c r="B26" s="796" t="s">
        <v>603</v>
      </c>
      <c r="C26" s="644">
        <v>518</v>
      </c>
      <c r="D26" s="644"/>
      <c r="E26" s="650"/>
      <c r="F26" s="1154">
        <v>0</v>
      </c>
      <c r="G26" s="1154">
        <v>0</v>
      </c>
      <c r="H26" s="1154">
        <v>0</v>
      </c>
      <c r="I26" s="1154">
        <v>0</v>
      </c>
      <c r="J26" s="1154">
        <f t="shared" ref="J26" si="5">J150</f>
        <v>0</v>
      </c>
      <c r="K26" s="1154">
        <f t="shared" ref="K26:Y26" si="6">K150</f>
        <v>0</v>
      </c>
      <c r="L26" s="1154">
        <f t="shared" si="6"/>
        <v>0</v>
      </c>
      <c r="M26" s="1154">
        <f t="shared" si="6"/>
        <v>0</v>
      </c>
      <c r="N26" s="1154">
        <f t="shared" si="6"/>
        <v>0</v>
      </c>
      <c r="O26" s="1154">
        <f t="shared" si="6"/>
        <v>0</v>
      </c>
      <c r="P26" s="1154">
        <f t="shared" si="6"/>
        <v>0</v>
      </c>
      <c r="Q26" s="1154">
        <f t="shared" si="6"/>
        <v>0</v>
      </c>
      <c r="R26" s="1154">
        <f t="shared" si="6"/>
        <v>0</v>
      </c>
      <c r="S26" s="1154">
        <f t="shared" si="6"/>
        <v>0</v>
      </c>
      <c r="T26" s="1154">
        <f t="shared" si="6"/>
        <v>0</v>
      </c>
      <c r="U26" s="1154">
        <f t="shared" si="6"/>
        <v>0</v>
      </c>
      <c r="V26" s="1154">
        <f t="shared" si="6"/>
        <v>0</v>
      </c>
      <c r="W26" s="1154">
        <f t="shared" si="6"/>
        <v>0</v>
      </c>
      <c r="X26" s="1154">
        <f t="shared" si="6"/>
        <v>0</v>
      </c>
      <c r="Y26" s="1154">
        <f t="shared" si="6"/>
        <v>0</v>
      </c>
      <c r="Z26" s="632"/>
      <c r="AA26" s="632"/>
      <c r="AB26" s="632"/>
      <c r="AC26" s="632"/>
      <c r="AD26" s="632"/>
      <c r="AE26" s="632"/>
      <c r="AF26" s="632"/>
      <c r="AG26" s="659"/>
      <c r="AH26" s="659"/>
    </row>
    <row r="27" spans="1:34" x14ac:dyDescent="0.25">
      <c r="A27" s="641">
        <v>300</v>
      </c>
      <c r="B27" s="796" t="s">
        <v>264</v>
      </c>
      <c r="C27" s="644" t="s">
        <v>453</v>
      </c>
      <c r="D27" s="644"/>
      <c r="E27" s="650"/>
      <c r="F27" s="669">
        <v>0</v>
      </c>
      <c r="G27" s="669">
        <v>0</v>
      </c>
      <c r="H27" s="670">
        <v>0</v>
      </c>
      <c r="I27" s="669">
        <v>0</v>
      </c>
      <c r="J27" s="670">
        <v>0</v>
      </c>
      <c r="K27" s="669">
        <v>0</v>
      </c>
      <c r="L27" s="669">
        <v>0</v>
      </c>
      <c r="M27" s="670">
        <v>0</v>
      </c>
      <c r="N27" s="669">
        <v>0</v>
      </c>
      <c r="O27" s="670">
        <v>0</v>
      </c>
      <c r="P27" s="669">
        <v>0</v>
      </c>
      <c r="Q27" s="669">
        <v>0</v>
      </c>
      <c r="R27" s="670">
        <v>0</v>
      </c>
      <c r="S27" s="669">
        <v>0</v>
      </c>
      <c r="T27" s="670">
        <v>0</v>
      </c>
      <c r="U27" s="669">
        <v>0</v>
      </c>
      <c r="V27" s="669">
        <v>0</v>
      </c>
      <c r="W27" s="670">
        <v>0</v>
      </c>
      <c r="X27" s="669">
        <v>0</v>
      </c>
      <c r="Y27" s="670">
        <v>0</v>
      </c>
      <c r="Z27" s="632"/>
      <c r="AA27" s="632"/>
      <c r="AB27" s="632"/>
      <c r="AC27" s="632"/>
      <c r="AD27" s="632"/>
      <c r="AE27" s="632"/>
      <c r="AF27" s="632"/>
      <c r="AG27" s="659"/>
      <c r="AH27" s="659"/>
    </row>
    <row r="28" spans="1:34" x14ac:dyDescent="0.25">
      <c r="A28" s="641">
        <v>310</v>
      </c>
      <c r="B28" s="796" t="s">
        <v>479</v>
      </c>
      <c r="C28" s="644" t="s">
        <v>480</v>
      </c>
      <c r="D28" s="644"/>
      <c r="E28" s="650"/>
      <c r="F28" s="669">
        <v>0</v>
      </c>
      <c r="G28" s="669">
        <v>0</v>
      </c>
      <c r="H28" s="670">
        <v>0</v>
      </c>
      <c r="I28" s="669">
        <v>0</v>
      </c>
      <c r="J28" s="670">
        <v>0</v>
      </c>
      <c r="K28" s="669">
        <v>0</v>
      </c>
      <c r="L28" s="669">
        <v>0</v>
      </c>
      <c r="M28" s="670">
        <v>0</v>
      </c>
      <c r="N28" s="669">
        <v>0</v>
      </c>
      <c r="O28" s="670">
        <v>0</v>
      </c>
      <c r="P28" s="669">
        <v>0</v>
      </c>
      <c r="Q28" s="669">
        <v>0</v>
      </c>
      <c r="R28" s="670">
        <v>0</v>
      </c>
      <c r="S28" s="669">
        <v>0</v>
      </c>
      <c r="T28" s="670">
        <v>0</v>
      </c>
      <c r="U28" s="669">
        <v>0</v>
      </c>
      <c r="V28" s="669">
        <v>0</v>
      </c>
      <c r="W28" s="670">
        <v>0</v>
      </c>
      <c r="X28" s="669">
        <v>0</v>
      </c>
      <c r="Y28" s="670">
        <v>0</v>
      </c>
      <c r="Z28" s="632"/>
      <c r="AA28" s="632"/>
      <c r="AB28" s="632"/>
      <c r="AC28" s="632"/>
      <c r="AD28" s="632"/>
      <c r="AE28" s="632"/>
      <c r="AF28" s="632"/>
      <c r="AG28" s="659"/>
      <c r="AH28" s="659"/>
    </row>
    <row r="29" spans="1:34" x14ac:dyDescent="0.25">
      <c r="A29" s="641">
        <v>320</v>
      </c>
      <c r="B29" s="796" t="s">
        <v>167</v>
      </c>
      <c r="C29" s="644">
        <v>924</v>
      </c>
      <c r="D29" s="644"/>
      <c r="E29" s="650"/>
      <c r="F29" s="669">
        <v>0</v>
      </c>
      <c r="G29" s="669">
        <v>0</v>
      </c>
      <c r="H29" s="670">
        <v>0</v>
      </c>
      <c r="I29" s="669">
        <v>0</v>
      </c>
      <c r="J29" s="670">
        <v>0</v>
      </c>
      <c r="K29" s="669">
        <v>0</v>
      </c>
      <c r="L29" s="669">
        <v>0</v>
      </c>
      <c r="M29" s="670">
        <v>0</v>
      </c>
      <c r="N29" s="669">
        <v>0</v>
      </c>
      <c r="O29" s="670">
        <v>0</v>
      </c>
      <c r="P29" s="669">
        <v>0</v>
      </c>
      <c r="Q29" s="669">
        <v>0</v>
      </c>
      <c r="R29" s="670">
        <v>0</v>
      </c>
      <c r="S29" s="669">
        <v>0</v>
      </c>
      <c r="T29" s="670">
        <v>0</v>
      </c>
      <c r="U29" s="669">
        <v>0</v>
      </c>
      <c r="V29" s="669">
        <v>0</v>
      </c>
      <c r="W29" s="670">
        <v>0</v>
      </c>
      <c r="X29" s="669">
        <v>0</v>
      </c>
      <c r="Y29" s="670">
        <v>0</v>
      </c>
      <c r="Z29" s="632"/>
      <c r="AA29" s="632"/>
      <c r="AB29" s="632"/>
      <c r="AC29" s="632"/>
      <c r="AD29" s="632"/>
      <c r="AE29" s="632"/>
      <c r="AF29" s="632"/>
      <c r="AG29" s="659"/>
      <c r="AH29" s="659"/>
    </row>
    <row r="30" spans="1:34" x14ac:dyDescent="0.25">
      <c r="A30" s="641">
        <v>330</v>
      </c>
      <c r="B30" s="796" t="s">
        <v>595</v>
      </c>
      <c r="C30" s="644">
        <v>403</v>
      </c>
      <c r="D30" s="644" t="s">
        <v>596</v>
      </c>
      <c r="E30" s="650"/>
      <c r="F30" s="669">
        <v>0</v>
      </c>
      <c r="G30" s="669">
        <v>0</v>
      </c>
      <c r="H30" s="670">
        <v>0</v>
      </c>
      <c r="I30" s="669">
        <v>0</v>
      </c>
      <c r="J30" s="670">
        <v>0</v>
      </c>
      <c r="K30" s="669">
        <v>0</v>
      </c>
      <c r="L30" s="669">
        <v>0</v>
      </c>
      <c r="M30" s="670">
        <v>0</v>
      </c>
      <c r="N30" s="669">
        <v>0</v>
      </c>
      <c r="O30" s="670">
        <v>0</v>
      </c>
      <c r="P30" s="669">
        <v>0</v>
      </c>
      <c r="Q30" s="669">
        <v>0</v>
      </c>
      <c r="R30" s="670">
        <v>0</v>
      </c>
      <c r="S30" s="669">
        <v>0</v>
      </c>
      <c r="T30" s="670">
        <v>0</v>
      </c>
      <c r="U30" s="669">
        <v>0</v>
      </c>
      <c r="V30" s="669">
        <v>0</v>
      </c>
      <c r="W30" s="670">
        <v>0</v>
      </c>
      <c r="X30" s="669">
        <v>0</v>
      </c>
      <c r="Y30" s="670">
        <v>0</v>
      </c>
      <c r="Z30" s="632"/>
      <c r="AA30" s="632"/>
      <c r="AB30" s="632"/>
      <c r="AC30" s="632"/>
      <c r="AD30" s="632"/>
      <c r="AE30" s="632"/>
      <c r="AF30" s="632"/>
      <c r="AG30" s="659"/>
      <c r="AH30" s="659"/>
    </row>
    <row r="31" spans="1:34" x14ac:dyDescent="0.25">
      <c r="A31" s="641">
        <v>340</v>
      </c>
      <c r="B31" s="790" t="s">
        <v>597</v>
      </c>
      <c r="C31" s="644">
        <v>447</v>
      </c>
      <c r="D31" s="644" t="s">
        <v>598</v>
      </c>
      <c r="E31" s="645"/>
      <c r="F31" s="669">
        <v>0</v>
      </c>
      <c r="G31" s="669">
        <v>0</v>
      </c>
      <c r="H31" s="670">
        <v>0</v>
      </c>
      <c r="I31" s="669">
        <v>0</v>
      </c>
      <c r="J31" s="670">
        <v>0</v>
      </c>
      <c r="K31" s="669">
        <v>0</v>
      </c>
      <c r="L31" s="669">
        <v>0</v>
      </c>
      <c r="M31" s="670">
        <v>0</v>
      </c>
      <c r="N31" s="669">
        <v>0</v>
      </c>
      <c r="O31" s="670">
        <v>0</v>
      </c>
      <c r="P31" s="669">
        <v>0</v>
      </c>
      <c r="Q31" s="669">
        <v>0</v>
      </c>
      <c r="R31" s="670">
        <v>0</v>
      </c>
      <c r="S31" s="669">
        <v>0</v>
      </c>
      <c r="T31" s="670">
        <v>0</v>
      </c>
      <c r="U31" s="669">
        <v>0</v>
      </c>
      <c r="V31" s="669">
        <v>0</v>
      </c>
      <c r="W31" s="670">
        <v>0</v>
      </c>
      <c r="X31" s="669">
        <v>0</v>
      </c>
      <c r="Y31" s="670">
        <v>0</v>
      </c>
      <c r="Z31" s="632"/>
      <c r="AA31" s="632"/>
      <c r="AB31" s="632"/>
      <c r="AC31" s="632"/>
      <c r="AD31" s="632"/>
      <c r="AE31" s="632"/>
      <c r="AF31" s="632"/>
      <c r="AG31" s="659"/>
      <c r="AH31" s="659"/>
    </row>
    <row r="32" spans="1:34" x14ac:dyDescent="0.25">
      <c r="A32" s="641">
        <v>350</v>
      </c>
      <c r="B32" s="792" t="s">
        <v>599</v>
      </c>
      <c r="C32" s="646"/>
      <c r="D32" s="644" t="s">
        <v>598</v>
      </c>
      <c r="E32" s="645"/>
      <c r="F32" s="669">
        <v>0</v>
      </c>
      <c r="G32" s="669">
        <v>0</v>
      </c>
      <c r="H32" s="670">
        <v>0</v>
      </c>
      <c r="I32" s="669">
        <v>0</v>
      </c>
      <c r="J32" s="670">
        <v>0</v>
      </c>
      <c r="K32" s="669">
        <v>0</v>
      </c>
      <c r="L32" s="669">
        <v>0</v>
      </c>
      <c r="M32" s="670">
        <v>0</v>
      </c>
      <c r="N32" s="669">
        <v>0</v>
      </c>
      <c r="O32" s="670">
        <v>0</v>
      </c>
      <c r="P32" s="669">
        <v>0</v>
      </c>
      <c r="Q32" s="669">
        <v>0</v>
      </c>
      <c r="R32" s="670">
        <v>0</v>
      </c>
      <c r="S32" s="669">
        <v>0</v>
      </c>
      <c r="T32" s="670">
        <v>0</v>
      </c>
      <c r="U32" s="669">
        <v>0</v>
      </c>
      <c r="V32" s="669">
        <v>0</v>
      </c>
      <c r="W32" s="670">
        <v>0</v>
      </c>
      <c r="X32" s="669">
        <v>0</v>
      </c>
      <c r="Y32" s="670">
        <v>0</v>
      </c>
      <c r="Z32" s="632"/>
      <c r="AA32" s="632"/>
      <c r="AB32" s="632"/>
      <c r="AC32" s="632"/>
      <c r="AD32" s="632"/>
      <c r="AE32" s="632"/>
      <c r="AF32" s="632"/>
      <c r="AG32" s="659"/>
      <c r="AH32" s="659"/>
    </row>
    <row r="33" spans="1:34" x14ac:dyDescent="0.25">
      <c r="A33" s="641">
        <v>360</v>
      </c>
      <c r="B33" s="790" t="s">
        <v>600</v>
      </c>
      <c r="C33" s="644"/>
      <c r="D33" s="644" t="s">
        <v>598</v>
      </c>
      <c r="E33" s="645"/>
      <c r="F33" s="1154">
        <v>0</v>
      </c>
      <c r="G33" s="1154">
        <v>0</v>
      </c>
      <c r="H33" s="1154">
        <v>0</v>
      </c>
      <c r="I33" s="1154">
        <v>0</v>
      </c>
      <c r="J33" s="1154">
        <f t="shared" ref="J33" si="7">J149</f>
        <v>0</v>
      </c>
      <c r="K33" s="1154">
        <f t="shared" ref="K33:Y33" si="8">K149</f>
        <v>0</v>
      </c>
      <c r="L33" s="1154">
        <f t="shared" si="8"/>
        <v>0</v>
      </c>
      <c r="M33" s="1154">
        <f t="shared" si="8"/>
        <v>0</v>
      </c>
      <c r="N33" s="1154">
        <f t="shared" si="8"/>
        <v>0</v>
      </c>
      <c r="O33" s="1154">
        <f t="shared" si="8"/>
        <v>0</v>
      </c>
      <c r="P33" s="1154">
        <f t="shared" si="8"/>
        <v>0</v>
      </c>
      <c r="Q33" s="1154">
        <f t="shared" si="8"/>
        <v>0</v>
      </c>
      <c r="R33" s="1154">
        <f t="shared" si="8"/>
        <v>0</v>
      </c>
      <c r="S33" s="1154">
        <f t="shared" si="8"/>
        <v>0</v>
      </c>
      <c r="T33" s="1154">
        <f t="shared" si="8"/>
        <v>0</v>
      </c>
      <c r="U33" s="1154">
        <f t="shared" si="8"/>
        <v>0</v>
      </c>
      <c r="V33" s="1154">
        <f t="shared" si="8"/>
        <v>0</v>
      </c>
      <c r="W33" s="1154">
        <f t="shared" si="8"/>
        <v>0</v>
      </c>
      <c r="X33" s="1154">
        <f t="shared" si="8"/>
        <v>0</v>
      </c>
      <c r="Y33" s="1154">
        <f t="shared" si="8"/>
        <v>0</v>
      </c>
      <c r="Z33" s="632"/>
      <c r="AA33" s="632"/>
      <c r="AB33" s="632"/>
      <c r="AC33" s="632"/>
      <c r="AD33" s="632"/>
      <c r="AE33" s="632"/>
      <c r="AF33" s="632"/>
      <c r="AG33" s="659"/>
      <c r="AH33" s="659"/>
    </row>
    <row r="34" spans="1:34" x14ac:dyDescent="0.25">
      <c r="A34" s="641">
        <v>370</v>
      </c>
      <c r="B34" s="793" t="s">
        <v>604</v>
      </c>
      <c r="C34" s="647"/>
      <c r="D34" s="647"/>
      <c r="E34" s="648"/>
      <c r="F34" s="672"/>
      <c r="G34" s="672"/>
      <c r="H34" s="672"/>
      <c r="I34" s="672"/>
      <c r="J34" s="672"/>
      <c r="K34" s="672"/>
      <c r="L34" s="672"/>
      <c r="M34" s="672"/>
      <c r="N34" s="672"/>
      <c r="O34" s="672"/>
      <c r="P34" s="672"/>
      <c r="Q34" s="672"/>
      <c r="R34" s="672"/>
      <c r="S34" s="672"/>
      <c r="T34" s="672"/>
      <c r="U34" s="672"/>
      <c r="V34" s="672"/>
      <c r="W34" s="672"/>
      <c r="X34" s="672"/>
      <c r="Y34" s="672"/>
      <c r="Z34" s="632"/>
      <c r="AA34" s="632"/>
      <c r="AB34" s="632"/>
      <c r="AC34" s="632"/>
      <c r="AD34" s="632"/>
      <c r="AE34" s="632"/>
      <c r="AF34" s="632"/>
      <c r="AG34" s="659"/>
      <c r="AH34" s="659"/>
    </row>
    <row r="35" spans="1:34" x14ac:dyDescent="0.25">
      <c r="A35" s="641">
        <v>380</v>
      </c>
      <c r="B35" s="790" t="s">
        <v>115</v>
      </c>
      <c r="C35" s="644" t="s">
        <v>116</v>
      </c>
      <c r="D35" s="644"/>
      <c r="E35" s="645"/>
      <c r="F35" s="669">
        <v>0</v>
      </c>
      <c r="G35" s="669">
        <v>0</v>
      </c>
      <c r="H35" s="669">
        <v>0</v>
      </c>
      <c r="I35" s="669">
        <v>0</v>
      </c>
      <c r="J35" s="670">
        <v>0</v>
      </c>
      <c r="K35" s="669">
        <v>0</v>
      </c>
      <c r="L35" s="669">
        <v>0</v>
      </c>
      <c r="M35" s="669">
        <v>0</v>
      </c>
      <c r="N35" s="669">
        <v>0</v>
      </c>
      <c r="O35" s="670">
        <v>0</v>
      </c>
      <c r="P35" s="669">
        <v>0</v>
      </c>
      <c r="Q35" s="669">
        <v>0</v>
      </c>
      <c r="R35" s="669">
        <v>0</v>
      </c>
      <c r="S35" s="669">
        <v>0</v>
      </c>
      <c r="T35" s="670">
        <v>0</v>
      </c>
      <c r="U35" s="669">
        <v>0</v>
      </c>
      <c r="V35" s="669">
        <v>0</v>
      </c>
      <c r="W35" s="669">
        <v>0</v>
      </c>
      <c r="X35" s="669">
        <v>0</v>
      </c>
      <c r="Y35" s="670">
        <v>0</v>
      </c>
      <c r="Z35" s="632"/>
      <c r="AA35" s="632"/>
      <c r="AB35" s="632"/>
      <c r="AC35" s="632"/>
      <c r="AD35" s="632"/>
      <c r="AE35" s="632"/>
      <c r="AF35" s="632"/>
      <c r="AG35" s="659"/>
      <c r="AH35" s="659"/>
    </row>
    <row r="36" spans="1:34" x14ac:dyDescent="0.25">
      <c r="A36" s="641">
        <v>390</v>
      </c>
      <c r="B36" s="792" t="s">
        <v>79</v>
      </c>
      <c r="C36" s="644">
        <v>154</v>
      </c>
      <c r="D36" s="644"/>
      <c r="E36" s="645"/>
      <c r="F36" s="815">
        <v>0</v>
      </c>
      <c r="G36" s="669">
        <v>0</v>
      </c>
      <c r="H36" s="669">
        <v>0</v>
      </c>
      <c r="I36" s="669">
        <v>0</v>
      </c>
      <c r="J36" s="670">
        <v>0</v>
      </c>
      <c r="K36" s="815">
        <v>0</v>
      </c>
      <c r="L36" s="669">
        <v>0</v>
      </c>
      <c r="M36" s="669">
        <v>0</v>
      </c>
      <c r="N36" s="669">
        <v>0</v>
      </c>
      <c r="O36" s="670">
        <v>0</v>
      </c>
      <c r="P36" s="815">
        <v>0</v>
      </c>
      <c r="Q36" s="669">
        <v>0</v>
      </c>
      <c r="R36" s="669">
        <v>0</v>
      </c>
      <c r="S36" s="669">
        <v>0</v>
      </c>
      <c r="T36" s="670">
        <v>0</v>
      </c>
      <c r="U36" s="815">
        <v>0</v>
      </c>
      <c r="V36" s="669">
        <v>0</v>
      </c>
      <c r="W36" s="669">
        <v>0</v>
      </c>
      <c r="X36" s="669">
        <v>0</v>
      </c>
      <c r="Y36" s="670">
        <v>0</v>
      </c>
      <c r="Z36" s="632"/>
      <c r="AA36" s="632"/>
      <c r="AB36" s="632"/>
      <c r="AC36" s="632"/>
      <c r="AD36" s="632"/>
      <c r="AE36" s="632"/>
      <c r="AF36" s="632"/>
      <c r="AG36" s="659"/>
      <c r="AH36" s="659"/>
    </row>
    <row r="37" spans="1:34" x14ac:dyDescent="0.25">
      <c r="A37" s="641">
        <v>400</v>
      </c>
      <c r="B37" s="793" t="s">
        <v>605</v>
      </c>
      <c r="C37" s="647"/>
      <c r="D37" s="647"/>
      <c r="E37" s="648"/>
      <c r="F37" s="672"/>
      <c r="G37" s="672"/>
      <c r="H37" s="672"/>
      <c r="I37" s="672"/>
      <c r="J37" s="672"/>
      <c r="K37" s="672"/>
      <c r="L37" s="672"/>
      <c r="M37" s="672"/>
      <c r="N37" s="672"/>
      <c r="O37" s="672"/>
      <c r="P37" s="672"/>
      <c r="Q37" s="672"/>
      <c r="R37" s="672"/>
      <c r="S37" s="672"/>
      <c r="T37" s="672"/>
      <c r="U37" s="672"/>
      <c r="V37" s="672"/>
      <c r="W37" s="672"/>
      <c r="X37" s="672"/>
      <c r="Y37" s="672"/>
      <c r="Z37" s="632"/>
      <c r="AA37" s="632"/>
      <c r="AB37" s="632"/>
      <c r="AC37" s="632"/>
      <c r="AD37" s="632"/>
      <c r="AE37" s="632"/>
      <c r="AF37" s="632"/>
      <c r="AG37" s="659"/>
      <c r="AH37" s="659"/>
    </row>
    <row r="38" spans="1:34" x14ac:dyDescent="0.25">
      <c r="A38" s="641">
        <v>410</v>
      </c>
      <c r="B38" s="795" t="s">
        <v>86</v>
      </c>
      <c r="C38" s="644" t="s">
        <v>606</v>
      </c>
      <c r="D38" s="644"/>
      <c r="E38" s="650"/>
      <c r="F38" s="669">
        <v>0</v>
      </c>
      <c r="G38" s="669">
        <v>0</v>
      </c>
      <c r="H38" s="669">
        <v>0</v>
      </c>
      <c r="I38" s="670">
        <v>0</v>
      </c>
      <c r="J38" s="670">
        <v>0</v>
      </c>
      <c r="K38" s="669">
        <v>0</v>
      </c>
      <c r="L38" s="669">
        <v>0</v>
      </c>
      <c r="M38" s="669">
        <v>0</v>
      </c>
      <c r="N38" s="670">
        <v>0</v>
      </c>
      <c r="O38" s="670">
        <v>0</v>
      </c>
      <c r="P38" s="669">
        <v>0</v>
      </c>
      <c r="Q38" s="669">
        <v>0</v>
      </c>
      <c r="R38" s="669">
        <v>0</v>
      </c>
      <c r="S38" s="670">
        <v>0</v>
      </c>
      <c r="T38" s="670">
        <v>0</v>
      </c>
      <c r="U38" s="669">
        <v>0</v>
      </c>
      <c r="V38" s="669">
        <v>0</v>
      </c>
      <c r="W38" s="669">
        <v>0</v>
      </c>
      <c r="X38" s="670">
        <v>0</v>
      </c>
      <c r="Y38" s="670">
        <v>0</v>
      </c>
      <c r="Z38" s="632"/>
      <c r="AA38" s="632"/>
      <c r="AB38" s="632"/>
      <c r="AC38" s="632"/>
      <c r="AD38" s="632"/>
      <c r="AE38" s="632"/>
      <c r="AF38" s="632"/>
      <c r="AG38" s="659"/>
      <c r="AH38" s="659"/>
    </row>
    <row r="39" spans="1:34" x14ac:dyDescent="0.25">
      <c r="A39" s="641">
        <v>420</v>
      </c>
      <c r="B39" s="795" t="s">
        <v>87</v>
      </c>
      <c r="C39" s="644" t="s">
        <v>607</v>
      </c>
      <c r="D39" s="644"/>
      <c r="E39" s="650"/>
      <c r="F39" s="669">
        <v>0</v>
      </c>
      <c r="G39" s="669">
        <v>0</v>
      </c>
      <c r="H39" s="669">
        <v>0</v>
      </c>
      <c r="I39" s="670">
        <v>0</v>
      </c>
      <c r="J39" s="670">
        <v>0</v>
      </c>
      <c r="K39" s="669">
        <v>0</v>
      </c>
      <c r="L39" s="669">
        <v>0</v>
      </c>
      <c r="M39" s="669">
        <v>0</v>
      </c>
      <c r="N39" s="670">
        <v>0</v>
      </c>
      <c r="O39" s="670">
        <v>0</v>
      </c>
      <c r="P39" s="669">
        <v>0</v>
      </c>
      <c r="Q39" s="669">
        <v>0</v>
      </c>
      <c r="R39" s="669">
        <v>0</v>
      </c>
      <c r="S39" s="670">
        <v>0</v>
      </c>
      <c r="T39" s="670">
        <v>0</v>
      </c>
      <c r="U39" s="669">
        <v>0</v>
      </c>
      <c r="V39" s="669">
        <v>0</v>
      </c>
      <c r="W39" s="669">
        <v>0</v>
      </c>
      <c r="X39" s="670">
        <v>0</v>
      </c>
      <c r="Y39" s="670">
        <v>0</v>
      </c>
      <c r="Z39" s="632"/>
      <c r="AA39" s="632"/>
      <c r="AB39" s="632"/>
      <c r="AC39" s="632"/>
      <c r="AD39" s="632"/>
      <c r="AE39" s="632"/>
      <c r="AF39" s="632"/>
      <c r="AG39" s="659"/>
      <c r="AH39" s="659"/>
    </row>
    <row r="40" spans="1:34" x14ac:dyDescent="0.25">
      <c r="A40" s="641">
        <v>430</v>
      </c>
      <c r="B40" s="795" t="s">
        <v>167</v>
      </c>
      <c r="C40" s="644">
        <v>924</v>
      </c>
      <c r="D40" s="644"/>
      <c r="E40" s="650"/>
      <c r="F40" s="669">
        <v>0</v>
      </c>
      <c r="G40" s="669">
        <v>0</v>
      </c>
      <c r="H40" s="670">
        <v>0</v>
      </c>
      <c r="I40" s="670">
        <v>0</v>
      </c>
      <c r="J40" s="670">
        <v>0</v>
      </c>
      <c r="K40" s="669">
        <v>0</v>
      </c>
      <c r="L40" s="669">
        <v>0</v>
      </c>
      <c r="M40" s="670">
        <v>0</v>
      </c>
      <c r="N40" s="670">
        <v>0</v>
      </c>
      <c r="O40" s="670">
        <v>0</v>
      </c>
      <c r="P40" s="669">
        <v>0</v>
      </c>
      <c r="Q40" s="669">
        <v>0</v>
      </c>
      <c r="R40" s="670">
        <v>0</v>
      </c>
      <c r="S40" s="670">
        <v>0</v>
      </c>
      <c r="T40" s="670">
        <v>0</v>
      </c>
      <c r="U40" s="669">
        <v>0</v>
      </c>
      <c r="V40" s="669">
        <v>0</v>
      </c>
      <c r="W40" s="670">
        <v>0</v>
      </c>
      <c r="X40" s="670">
        <v>0</v>
      </c>
      <c r="Y40" s="670">
        <v>0</v>
      </c>
      <c r="Z40" s="632"/>
      <c r="AA40" s="632"/>
      <c r="AB40" s="632"/>
      <c r="AC40" s="632"/>
      <c r="AD40" s="632"/>
      <c r="AE40" s="632"/>
      <c r="AF40" s="632"/>
      <c r="AG40" s="659"/>
      <c r="AH40" s="659"/>
    </row>
    <row r="41" spans="1:34" x14ac:dyDescent="0.25">
      <c r="A41" s="641">
        <v>520</v>
      </c>
      <c r="B41" s="790" t="s">
        <v>597</v>
      </c>
      <c r="C41" s="644">
        <v>447</v>
      </c>
      <c r="D41" s="644" t="s">
        <v>598</v>
      </c>
      <c r="E41" s="645"/>
      <c r="F41" s="669">
        <v>0</v>
      </c>
      <c r="G41" s="669">
        <v>0</v>
      </c>
      <c r="H41" s="669">
        <v>0</v>
      </c>
      <c r="I41" s="670">
        <v>0</v>
      </c>
      <c r="J41" s="670">
        <v>0</v>
      </c>
      <c r="K41" s="669">
        <v>0</v>
      </c>
      <c r="L41" s="669">
        <v>0</v>
      </c>
      <c r="M41" s="669">
        <v>0</v>
      </c>
      <c r="N41" s="670">
        <v>0</v>
      </c>
      <c r="O41" s="670">
        <v>0</v>
      </c>
      <c r="P41" s="669">
        <v>0</v>
      </c>
      <c r="Q41" s="669">
        <v>0</v>
      </c>
      <c r="R41" s="669">
        <v>0</v>
      </c>
      <c r="S41" s="670">
        <v>0</v>
      </c>
      <c r="T41" s="670">
        <v>0</v>
      </c>
      <c r="U41" s="669">
        <v>0</v>
      </c>
      <c r="V41" s="669">
        <v>0</v>
      </c>
      <c r="W41" s="669">
        <v>0</v>
      </c>
      <c r="X41" s="670">
        <v>0</v>
      </c>
      <c r="Y41" s="670">
        <v>0</v>
      </c>
      <c r="Z41" s="632"/>
      <c r="AA41" s="632"/>
      <c r="AB41" s="632"/>
      <c r="AC41" s="632"/>
      <c r="AD41" s="632"/>
      <c r="AE41" s="632"/>
      <c r="AF41" s="632"/>
      <c r="AG41" s="659"/>
      <c r="AH41" s="659"/>
    </row>
    <row r="42" spans="1:34" x14ac:dyDescent="0.25">
      <c r="A42" s="641">
        <v>530</v>
      </c>
      <c r="B42" s="792" t="s">
        <v>599</v>
      </c>
      <c r="C42" s="646"/>
      <c r="D42" s="644" t="s">
        <v>598</v>
      </c>
      <c r="E42" s="645"/>
      <c r="F42" s="669">
        <v>0</v>
      </c>
      <c r="G42" s="669">
        <v>0</v>
      </c>
      <c r="H42" s="669">
        <v>0</v>
      </c>
      <c r="I42" s="670">
        <v>0</v>
      </c>
      <c r="J42" s="670">
        <v>0</v>
      </c>
      <c r="K42" s="669">
        <v>0</v>
      </c>
      <c r="L42" s="669">
        <v>0</v>
      </c>
      <c r="M42" s="669">
        <v>0</v>
      </c>
      <c r="N42" s="670">
        <v>0</v>
      </c>
      <c r="O42" s="670">
        <v>0</v>
      </c>
      <c r="P42" s="669">
        <v>0</v>
      </c>
      <c r="Q42" s="669">
        <v>0</v>
      </c>
      <c r="R42" s="669">
        <v>0</v>
      </c>
      <c r="S42" s="670">
        <v>0</v>
      </c>
      <c r="T42" s="670">
        <v>0</v>
      </c>
      <c r="U42" s="669">
        <v>0</v>
      </c>
      <c r="V42" s="669">
        <v>0</v>
      </c>
      <c r="W42" s="669">
        <v>0</v>
      </c>
      <c r="X42" s="670">
        <v>0</v>
      </c>
      <c r="Y42" s="670">
        <v>0</v>
      </c>
      <c r="Z42" s="632"/>
      <c r="AA42" s="632"/>
      <c r="AB42" s="632"/>
      <c r="AC42" s="632"/>
      <c r="AD42" s="632"/>
      <c r="AE42" s="632"/>
      <c r="AF42" s="632"/>
      <c r="AG42" s="659"/>
      <c r="AH42" s="659"/>
    </row>
    <row r="43" spans="1:34" x14ac:dyDescent="0.25">
      <c r="A43" s="641">
        <v>540</v>
      </c>
      <c r="B43" s="790" t="s">
        <v>600</v>
      </c>
      <c r="C43" s="644"/>
      <c r="D43" s="644" t="s">
        <v>598</v>
      </c>
      <c r="E43" s="645"/>
      <c r="F43" s="1154">
        <v>0</v>
      </c>
      <c r="G43" s="1154">
        <v>0</v>
      </c>
      <c r="H43" s="1154">
        <v>0</v>
      </c>
      <c r="I43" s="1154">
        <v>0</v>
      </c>
      <c r="J43" s="1154">
        <f t="shared" ref="J43" si="9">J158</f>
        <v>0</v>
      </c>
      <c r="K43" s="1154">
        <f t="shared" ref="K43:Y43" si="10">K158</f>
        <v>0</v>
      </c>
      <c r="L43" s="1154">
        <f t="shared" si="10"/>
        <v>0</v>
      </c>
      <c r="M43" s="1154">
        <f t="shared" si="10"/>
        <v>0</v>
      </c>
      <c r="N43" s="1154">
        <f t="shared" si="10"/>
        <v>0</v>
      </c>
      <c r="O43" s="1154">
        <f t="shared" si="10"/>
        <v>0</v>
      </c>
      <c r="P43" s="1154">
        <f t="shared" si="10"/>
        <v>0</v>
      </c>
      <c r="Q43" s="1154">
        <f t="shared" si="10"/>
        <v>0</v>
      </c>
      <c r="R43" s="1154">
        <f t="shared" si="10"/>
        <v>0</v>
      </c>
      <c r="S43" s="1154">
        <f t="shared" si="10"/>
        <v>0</v>
      </c>
      <c r="T43" s="1154">
        <f t="shared" si="10"/>
        <v>0</v>
      </c>
      <c r="U43" s="1154">
        <f t="shared" si="10"/>
        <v>0</v>
      </c>
      <c r="V43" s="1154">
        <f t="shared" si="10"/>
        <v>0</v>
      </c>
      <c r="W43" s="1154">
        <f t="shared" si="10"/>
        <v>0</v>
      </c>
      <c r="X43" s="1154">
        <f t="shared" si="10"/>
        <v>0</v>
      </c>
      <c r="Y43" s="1154">
        <f t="shared" si="10"/>
        <v>0</v>
      </c>
      <c r="Z43" s="632"/>
      <c r="AA43" s="632"/>
      <c r="AB43" s="632"/>
      <c r="AC43" s="632"/>
      <c r="AD43" s="632"/>
      <c r="AE43" s="632"/>
      <c r="AF43" s="632"/>
      <c r="AG43" s="659"/>
      <c r="AH43" s="659"/>
    </row>
    <row r="44" spans="1:34" x14ac:dyDescent="0.25">
      <c r="A44" s="641">
        <v>440</v>
      </c>
      <c r="B44" s="797" t="s">
        <v>595</v>
      </c>
      <c r="C44" s="647"/>
      <c r="D44" s="647"/>
      <c r="E44" s="648"/>
      <c r="F44" s="672"/>
      <c r="G44" s="672"/>
      <c r="H44" s="672"/>
      <c r="I44" s="672"/>
      <c r="J44" s="672"/>
      <c r="K44" s="672"/>
      <c r="L44" s="672"/>
      <c r="M44" s="672"/>
      <c r="N44" s="672"/>
      <c r="O44" s="672"/>
      <c r="P44" s="672"/>
      <c r="Q44" s="672"/>
      <c r="R44" s="672"/>
      <c r="S44" s="672"/>
      <c r="T44" s="672"/>
      <c r="U44" s="672"/>
      <c r="V44" s="672"/>
      <c r="W44" s="672"/>
      <c r="X44" s="672"/>
      <c r="Y44" s="672"/>
      <c r="Z44" s="632"/>
      <c r="AA44" s="632"/>
      <c r="AB44" s="632"/>
      <c r="AC44" s="632"/>
      <c r="AD44" s="632"/>
      <c r="AE44" s="632"/>
      <c r="AF44" s="632"/>
      <c r="AG44" s="659"/>
      <c r="AH44" s="659"/>
    </row>
    <row r="45" spans="1:34" x14ac:dyDescent="0.25">
      <c r="A45" s="641">
        <v>450</v>
      </c>
      <c r="B45" s="795" t="s">
        <v>608</v>
      </c>
      <c r="C45" s="644">
        <v>403</v>
      </c>
      <c r="D45" s="644"/>
      <c r="E45" s="650"/>
      <c r="F45" s="669">
        <v>0</v>
      </c>
      <c r="G45" s="1266">
        <v>0</v>
      </c>
      <c r="H45" s="670">
        <v>0</v>
      </c>
      <c r="I45" s="669">
        <v>0</v>
      </c>
      <c r="J45" s="669">
        <v>0</v>
      </c>
      <c r="K45" s="669">
        <v>0</v>
      </c>
      <c r="L45" s="1266">
        <v>0</v>
      </c>
      <c r="M45" s="670">
        <v>0</v>
      </c>
      <c r="N45" s="669">
        <v>0</v>
      </c>
      <c r="O45" s="670">
        <v>0</v>
      </c>
      <c r="P45" s="669">
        <v>0</v>
      </c>
      <c r="Q45" s="1266">
        <v>0</v>
      </c>
      <c r="R45" s="670">
        <v>0</v>
      </c>
      <c r="S45" s="669">
        <v>0</v>
      </c>
      <c r="T45" s="670">
        <v>0</v>
      </c>
      <c r="U45" s="669">
        <v>0</v>
      </c>
      <c r="V45" s="1266">
        <v>0</v>
      </c>
      <c r="W45" s="670">
        <v>0</v>
      </c>
      <c r="X45" s="669">
        <v>0</v>
      </c>
      <c r="Y45" s="670">
        <v>0</v>
      </c>
      <c r="Z45" s="632"/>
      <c r="AA45" s="632"/>
      <c r="AB45" s="632"/>
      <c r="AC45" s="632"/>
      <c r="AD45" s="632"/>
      <c r="AE45" s="632"/>
      <c r="AF45" s="632"/>
      <c r="AG45" s="659"/>
      <c r="AH45" s="659"/>
    </row>
    <row r="46" spans="1:34" x14ac:dyDescent="0.25">
      <c r="A46" s="641">
        <v>460</v>
      </c>
      <c r="B46" s="795" t="s">
        <v>609</v>
      </c>
      <c r="C46" s="646">
        <v>403</v>
      </c>
      <c r="D46" s="646"/>
      <c r="E46" s="650"/>
      <c r="F46" s="669">
        <v>0</v>
      </c>
      <c r="G46" s="1266">
        <v>0</v>
      </c>
      <c r="H46" s="670">
        <v>0</v>
      </c>
      <c r="I46" s="669">
        <v>0</v>
      </c>
      <c r="J46" s="669">
        <v>0</v>
      </c>
      <c r="K46" s="669">
        <v>0</v>
      </c>
      <c r="L46" s="1266">
        <v>0</v>
      </c>
      <c r="M46" s="670">
        <v>0</v>
      </c>
      <c r="N46" s="669">
        <v>0</v>
      </c>
      <c r="O46" s="670">
        <v>0</v>
      </c>
      <c r="P46" s="669">
        <v>0</v>
      </c>
      <c r="Q46" s="1266">
        <v>0</v>
      </c>
      <c r="R46" s="670">
        <v>0</v>
      </c>
      <c r="S46" s="669">
        <v>0</v>
      </c>
      <c r="T46" s="670">
        <v>0</v>
      </c>
      <c r="U46" s="669">
        <v>0</v>
      </c>
      <c r="V46" s="1266">
        <v>0</v>
      </c>
      <c r="W46" s="670">
        <v>0</v>
      </c>
      <c r="X46" s="669">
        <v>0</v>
      </c>
      <c r="Y46" s="670">
        <v>0</v>
      </c>
      <c r="Z46" s="632"/>
      <c r="AA46" s="632"/>
      <c r="AB46" s="632"/>
      <c r="AC46" s="632"/>
      <c r="AD46" s="632"/>
      <c r="AE46" s="632"/>
      <c r="AF46" s="632"/>
      <c r="AG46" s="659"/>
      <c r="AH46" s="659"/>
    </row>
    <row r="47" spans="1:34" x14ac:dyDescent="0.25">
      <c r="A47" s="641">
        <v>470</v>
      </c>
      <c r="B47" s="793" t="s">
        <v>137</v>
      </c>
      <c r="C47" s="647"/>
      <c r="D47" s="647"/>
      <c r="E47" s="648"/>
      <c r="F47" s="672"/>
      <c r="G47" s="672"/>
      <c r="H47" s="1301"/>
      <c r="I47" s="672"/>
      <c r="J47" s="672"/>
      <c r="K47" s="672"/>
      <c r="L47" s="672"/>
      <c r="M47" s="1301"/>
      <c r="N47" s="672"/>
      <c r="O47" s="672"/>
      <c r="P47" s="672"/>
      <c r="Q47" s="672"/>
      <c r="R47" s="1301"/>
      <c r="S47" s="672"/>
      <c r="T47" s="672"/>
      <c r="U47" s="672"/>
      <c r="V47" s="672"/>
      <c r="W47" s="1301"/>
      <c r="X47" s="672"/>
      <c r="Y47" s="672"/>
      <c r="Z47" s="632"/>
      <c r="AA47" s="632"/>
      <c r="AB47" s="632"/>
      <c r="AC47" s="632"/>
      <c r="AD47" s="632"/>
      <c r="AE47" s="632"/>
      <c r="AF47" s="632"/>
      <c r="AG47" s="659"/>
      <c r="AH47" s="659"/>
    </row>
    <row r="48" spans="1:34" x14ac:dyDescent="0.25">
      <c r="A48" s="641">
        <v>480</v>
      </c>
      <c r="B48" s="790" t="s">
        <v>117</v>
      </c>
      <c r="C48" s="646" t="s">
        <v>118</v>
      </c>
      <c r="D48" s="646"/>
      <c r="E48" s="645"/>
      <c r="F48" s="669">
        <v>0</v>
      </c>
      <c r="G48" s="1266">
        <v>0</v>
      </c>
      <c r="H48" s="670">
        <v>0</v>
      </c>
      <c r="I48" s="669">
        <v>0</v>
      </c>
      <c r="J48" s="670">
        <v>0</v>
      </c>
      <c r="K48" s="669">
        <v>0</v>
      </c>
      <c r="L48" s="1266">
        <v>0</v>
      </c>
      <c r="M48" s="670">
        <v>0</v>
      </c>
      <c r="N48" s="669">
        <v>0</v>
      </c>
      <c r="O48" s="670">
        <v>0</v>
      </c>
      <c r="P48" s="669">
        <v>0</v>
      </c>
      <c r="Q48" s="1266">
        <v>0</v>
      </c>
      <c r="R48" s="670">
        <v>0</v>
      </c>
      <c r="S48" s="669">
        <v>0</v>
      </c>
      <c r="T48" s="670">
        <v>0</v>
      </c>
      <c r="U48" s="669">
        <v>0</v>
      </c>
      <c r="V48" s="1266">
        <v>0</v>
      </c>
      <c r="W48" s="670">
        <v>0</v>
      </c>
      <c r="X48" s="669">
        <v>0</v>
      </c>
      <c r="Y48" s="670">
        <v>0</v>
      </c>
      <c r="Z48" s="632"/>
      <c r="AA48" s="632"/>
      <c r="AB48" s="632"/>
      <c r="AC48" s="632"/>
      <c r="AD48" s="632"/>
      <c r="AE48" s="632"/>
      <c r="AF48" s="632"/>
      <c r="AG48" s="659"/>
      <c r="AH48" s="659"/>
    </row>
    <row r="49" spans="1:34" x14ac:dyDescent="0.25">
      <c r="A49" s="641">
        <v>490</v>
      </c>
      <c r="B49" s="790" t="s">
        <v>436</v>
      </c>
      <c r="C49" s="644">
        <v>151</v>
      </c>
      <c r="D49" s="644"/>
      <c r="E49" s="645"/>
      <c r="F49" s="669">
        <v>0</v>
      </c>
      <c r="G49" s="1266">
        <v>0</v>
      </c>
      <c r="H49" s="670">
        <v>0</v>
      </c>
      <c r="I49" s="669">
        <v>0</v>
      </c>
      <c r="J49" s="670">
        <v>0</v>
      </c>
      <c r="K49" s="669">
        <v>0</v>
      </c>
      <c r="L49" s="1266">
        <v>0</v>
      </c>
      <c r="M49" s="670">
        <v>0</v>
      </c>
      <c r="N49" s="669">
        <v>0</v>
      </c>
      <c r="O49" s="670">
        <v>0</v>
      </c>
      <c r="P49" s="669">
        <v>0</v>
      </c>
      <c r="Q49" s="1266">
        <v>0</v>
      </c>
      <c r="R49" s="670">
        <v>0</v>
      </c>
      <c r="S49" s="669">
        <v>0</v>
      </c>
      <c r="T49" s="670">
        <v>0</v>
      </c>
      <c r="U49" s="669">
        <v>0</v>
      </c>
      <c r="V49" s="1266">
        <v>0</v>
      </c>
      <c r="W49" s="670">
        <v>0</v>
      </c>
      <c r="X49" s="669">
        <v>0</v>
      </c>
      <c r="Y49" s="670">
        <v>0</v>
      </c>
      <c r="Z49" s="632"/>
      <c r="AA49" s="632"/>
      <c r="AB49" s="632"/>
      <c r="AC49" s="632"/>
      <c r="AD49" s="632"/>
      <c r="AE49" s="632"/>
      <c r="AF49" s="632"/>
      <c r="AG49" s="659"/>
      <c r="AH49" s="659"/>
    </row>
    <row r="50" spans="1:34" x14ac:dyDescent="0.25">
      <c r="A50" s="641">
        <v>500</v>
      </c>
      <c r="B50" s="790" t="s">
        <v>79</v>
      </c>
      <c r="C50" s="646">
        <v>154</v>
      </c>
      <c r="D50" s="646"/>
      <c r="E50" s="645"/>
      <c r="F50" s="669">
        <v>0</v>
      </c>
      <c r="G50" s="1266">
        <v>0</v>
      </c>
      <c r="H50" s="670">
        <v>0</v>
      </c>
      <c r="I50" s="669">
        <v>0</v>
      </c>
      <c r="J50" s="670">
        <v>0</v>
      </c>
      <c r="K50" s="669">
        <v>0</v>
      </c>
      <c r="L50" s="1266">
        <v>0</v>
      </c>
      <c r="M50" s="670">
        <v>0</v>
      </c>
      <c r="N50" s="669">
        <v>0</v>
      </c>
      <c r="O50" s="670">
        <v>0</v>
      </c>
      <c r="P50" s="669">
        <v>0</v>
      </c>
      <c r="Q50" s="1266">
        <v>0</v>
      </c>
      <c r="R50" s="670">
        <v>0</v>
      </c>
      <c r="S50" s="669">
        <v>0</v>
      </c>
      <c r="T50" s="670">
        <v>0</v>
      </c>
      <c r="U50" s="669">
        <v>0</v>
      </c>
      <c r="V50" s="1266">
        <v>0</v>
      </c>
      <c r="W50" s="670">
        <v>0</v>
      </c>
      <c r="X50" s="669">
        <v>0</v>
      </c>
      <c r="Y50" s="670">
        <v>0</v>
      </c>
      <c r="Z50" s="632"/>
      <c r="AA50" s="632"/>
      <c r="AB50" s="632"/>
      <c r="AC50" s="632"/>
      <c r="AD50" s="632"/>
      <c r="AE50" s="632"/>
      <c r="AF50" s="632"/>
      <c r="AG50" s="659"/>
      <c r="AH50" s="659"/>
    </row>
    <row r="51" spans="1:34" x14ac:dyDescent="0.25">
      <c r="A51" s="641">
        <v>510</v>
      </c>
      <c r="B51" s="790" t="s">
        <v>591</v>
      </c>
      <c r="C51" s="646" t="s">
        <v>592</v>
      </c>
      <c r="D51" s="646"/>
      <c r="E51" s="645"/>
      <c r="F51" s="669">
        <v>0</v>
      </c>
      <c r="G51" s="1266">
        <v>0</v>
      </c>
      <c r="H51" s="670">
        <v>0</v>
      </c>
      <c r="I51" s="669">
        <v>0</v>
      </c>
      <c r="J51" s="670">
        <v>0</v>
      </c>
      <c r="K51" s="669">
        <v>0</v>
      </c>
      <c r="L51" s="1266">
        <v>0</v>
      </c>
      <c r="M51" s="670">
        <v>0</v>
      </c>
      <c r="N51" s="669">
        <v>0</v>
      </c>
      <c r="O51" s="670">
        <v>0</v>
      </c>
      <c r="P51" s="669">
        <v>0</v>
      </c>
      <c r="Q51" s="1266">
        <v>0</v>
      </c>
      <c r="R51" s="670">
        <v>0</v>
      </c>
      <c r="S51" s="669">
        <v>0</v>
      </c>
      <c r="T51" s="670">
        <v>0</v>
      </c>
      <c r="U51" s="669">
        <v>0</v>
      </c>
      <c r="V51" s="1266">
        <v>0</v>
      </c>
      <c r="W51" s="670">
        <v>0</v>
      </c>
      <c r="X51" s="669">
        <v>0</v>
      </c>
      <c r="Y51" s="670">
        <v>0</v>
      </c>
      <c r="Z51" s="632"/>
      <c r="AA51" s="632"/>
      <c r="AB51" s="632"/>
      <c r="AC51" s="632"/>
      <c r="AD51" s="632"/>
      <c r="AE51" s="632"/>
      <c r="AF51" s="632"/>
      <c r="AG51" s="659"/>
      <c r="AH51" s="659"/>
    </row>
    <row r="52" spans="1:34" x14ac:dyDescent="0.25">
      <c r="A52" s="641">
        <v>550</v>
      </c>
      <c r="B52" s="793" t="s">
        <v>610</v>
      </c>
      <c r="C52" s="647"/>
      <c r="D52" s="647"/>
      <c r="E52" s="648"/>
      <c r="F52" s="674"/>
      <c r="G52" s="674"/>
      <c r="H52" s="674"/>
      <c r="I52" s="674"/>
      <c r="J52" s="674"/>
      <c r="K52" s="674"/>
      <c r="L52" s="674"/>
      <c r="M52" s="674"/>
      <c r="N52" s="674"/>
      <c r="O52" s="674"/>
      <c r="P52" s="674"/>
      <c r="Q52" s="674"/>
      <c r="R52" s="674"/>
      <c r="S52" s="674"/>
      <c r="T52" s="674"/>
      <c r="U52" s="674"/>
      <c r="V52" s="674"/>
      <c r="W52" s="674"/>
      <c r="X52" s="674"/>
      <c r="Y52" s="674"/>
      <c r="Z52" s="632"/>
      <c r="AA52" s="632"/>
      <c r="AB52" s="632"/>
      <c r="AC52" s="632"/>
      <c r="AD52" s="632"/>
      <c r="AE52" s="632"/>
      <c r="AF52" s="632"/>
      <c r="AG52" s="659"/>
      <c r="AH52" s="659"/>
    </row>
    <row r="53" spans="1:34" x14ac:dyDescent="0.25">
      <c r="A53" s="641">
        <v>560</v>
      </c>
      <c r="B53" s="790" t="s">
        <v>451</v>
      </c>
      <c r="C53" s="646">
        <v>547</v>
      </c>
      <c r="D53" s="646"/>
      <c r="E53" s="645"/>
      <c r="F53" s="1154">
        <f t="shared" ref="F53:O53" si="11">F168+F177</f>
        <v>0</v>
      </c>
      <c r="G53" s="1300">
        <f t="shared" si="11"/>
        <v>0</v>
      </c>
      <c r="H53" s="1302">
        <f t="shared" si="11"/>
        <v>0</v>
      </c>
      <c r="I53" s="1154">
        <f t="shared" si="11"/>
        <v>0</v>
      </c>
      <c r="J53" s="1154">
        <f t="shared" ref="J53" si="12">J168+J177</f>
        <v>0</v>
      </c>
      <c r="K53" s="1154">
        <f t="shared" si="11"/>
        <v>0</v>
      </c>
      <c r="L53" s="1300">
        <f t="shared" si="11"/>
        <v>0</v>
      </c>
      <c r="M53" s="1302">
        <f t="shared" si="11"/>
        <v>0</v>
      </c>
      <c r="N53" s="1154">
        <f t="shared" si="11"/>
        <v>0</v>
      </c>
      <c r="O53" s="1154">
        <f t="shared" si="11"/>
        <v>0</v>
      </c>
      <c r="P53" s="1154">
        <f t="shared" ref="P53:Y53" si="13">P168+P177</f>
        <v>0</v>
      </c>
      <c r="Q53" s="1300">
        <f t="shared" si="13"/>
        <v>0</v>
      </c>
      <c r="R53" s="1302">
        <f t="shared" si="13"/>
        <v>0</v>
      </c>
      <c r="S53" s="1154">
        <f t="shared" si="13"/>
        <v>0</v>
      </c>
      <c r="T53" s="1154">
        <f t="shared" si="13"/>
        <v>0</v>
      </c>
      <c r="U53" s="1154">
        <f t="shared" si="13"/>
        <v>0</v>
      </c>
      <c r="V53" s="1300">
        <f t="shared" si="13"/>
        <v>0</v>
      </c>
      <c r="W53" s="1302">
        <f t="shared" si="13"/>
        <v>0</v>
      </c>
      <c r="X53" s="1154">
        <f t="shared" si="13"/>
        <v>0</v>
      </c>
      <c r="Y53" s="1154">
        <f t="shared" si="13"/>
        <v>0</v>
      </c>
      <c r="Z53" s="632"/>
      <c r="AA53" s="632"/>
      <c r="AB53" s="632"/>
      <c r="AC53" s="632"/>
      <c r="AD53" s="632"/>
      <c r="AE53" s="632"/>
      <c r="AF53" s="632"/>
      <c r="AG53" s="659"/>
      <c r="AH53" s="659"/>
    </row>
    <row r="54" spans="1:34" x14ac:dyDescent="0.25">
      <c r="A54" s="641">
        <v>570</v>
      </c>
      <c r="B54" s="790" t="s">
        <v>263</v>
      </c>
      <c r="C54" s="646" t="s">
        <v>611</v>
      </c>
      <c r="D54" s="646"/>
      <c r="E54" s="645"/>
      <c r="F54" s="669">
        <v>0</v>
      </c>
      <c r="G54" s="1266">
        <v>0</v>
      </c>
      <c r="H54" s="670">
        <v>0</v>
      </c>
      <c r="I54" s="669">
        <v>0</v>
      </c>
      <c r="J54" s="670">
        <v>0</v>
      </c>
      <c r="K54" s="669">
        <v>0</v>
      </c>
      <c r="L54" s="1266">
        <v>0</v>
      </c>
      <c r="M54" s="670">
        <v>0</v>
      </c>
      <c r="N54" s="669">
        <v>0</v>
      </c>
      <c r="O54" s="670">
        <v>0</v>
      </c>
      <c r="P54" s="669">
        <v>0</v>
      </c>
      <c r="Q54" s="1266">
        <v>0</v>
      </c>
      <c r="R54" s="670">
        <v>0</v>
      </c>
      <c r="S54" s="669">
        <v>0</v>
      </c>
      <c r="T54" s="670">
        <v>0</v>
      </c>
      <c r="U54" s="669">
        <v>0</v>
      </c>
      <c r="V54" s="1266">
        <v>0</v>
      </c>
      <c r="W54" s="670">
        <v>0</v>
      </c>
      <c r="X54" s="669">
        <v>0</v>
      </c>
      <c r="Y54" s="670">
        <v>0</v>
      </c>
      <c r="Z54" s="632"/>
      <c r="AA54" s="632"/>
      <c r="AB54" s="632"/>
      <c r="AC54" s="632"/>
      <c r="AD54" s="632"/>
      <c r="AE54" s="632"/>
      <c r="AF54" s="632"/>
      <c r="AG54" s="659"/>
      <c r="AH54" s="659"/>
    </row>
    <row r="55" spans="1:34" x14ac:dyDescent="0.25">
      <c r="A55" s="641">
        <v>580</v>
      </c>
      <c r="B55" s="792" t="s">
        <v>265</v>
      </c>
      <c r="C55" s="644" t="s">
        <v>612</v>
      </c>
      <c r="D55" s="644"/>
      <c r="E55" s="645"/>
      <c r="F55" s="669">
        <v>0</v>
      </c>
      <c r="G55" s="1266">
        <v>0</v>
      </c>
      <c r="H55" s="670">
        <v>0</v>
      </c>
      <c r="I55" s="669">
        <v>0</v>
      </c>
      <c r="J55" s="670">
        <v>0</v>
      </c>
      <c r="K55" s="669">
        <v>0</v>
      </c>
      <c r="L55" s="1266">
        <v>0</v>
      </c>
      <c r="M55" s="670">
        <v>0</v>
      </c>
      <c r="N55" s="669">
        <v>0</v>
      </c>
      <c r="O55" s="670">
        <v>0</v>
      </c>
      <c r="P55" s="669">
        <v>0</v>
      </c>
      <c r="Q55" s="1266">
        <v>0</v>
      </c>
      <c r="R55" s="670">
        <v>0</v>
      </c>
      <c r="S55" s="669">
        <v>0</v>
      </c>
      <c r="T55" s="670">
        <v>0</v>
      </c>
      <c r="U55" s="669">
        <v>0</v>
      </c>
      <c r="V55" s="1266">
        <v>0</v>
      </c>
      <c r="W55" s="670">
        <v>0</v>
      </c>
      <c r="X55" s="669">
        <v>0</v>
      </c>
      <c r="Y55" s="670">
        <v>0</v>
      </c>
      <c r="Z55" s="632"/>
      <c r="AA55" s="632"/>
      <c r="AB55" s="632"/>
      <c r="AC55" s="632"/>
      <c r="AD55" s="632"/>
      <c r="AE55" s="632"/>
      <c r="AF55" s="632"/>
      <c r="AG55" s="659"/>
      <c r="AH55" s="659"/>
    </row>
    <row r="56" spans="1:34" x14ac:dyDescent="0.25">
      <c r="A56" s="641">
        <v>590</v>
      </c>
      <c r="B56" s="790" t="s">
        <v>167</v>
      </c>
      <c r="C56" s="646">
        <v>924</v>
      </c>
      <c r="D56" s="646"/>
      <c r="E56" s="645"/>
      <c r="F56" s="669">
        <v>0</v>
      </c>
      <c r="G56" s="1266">
        <v>0</v>
      </c>
      <c r="H56" s="670">
        <v>0</v>
      </c>
      <c r="I56" s="669">
        <v>0</v>
      </c>
      <c r="J56" s="670">
        <v>0</v>
      </c>
      <c r="K56" s="669">
        <v>0</v>
      </c>
      <c r="L56" s="1266">
        <v>0</v>
      </c>
      <c r="M56" s="670">
        <v>0</v>
      </c>
      <c r="N56" s="669">
        <v>0</v>
      </c>
      <c r="O56" s="670">
        <v>0</v>
      </c>
      <c r="P56" s="669">
        <v>0</v>
      </c>
      <c r="Q56" s="1266">
        <v>0</v>
      </c>
      <c r="R56" s="670">
        <v>0</v>
      </c>
      <c r="S56" s="669">
        <v>0</v>
      </c>
      <c r="T56" s="670">
        <v>0</v>
      </c>
      <c r="U56" s="669">
        <v>0</v>
      </c>
      <c r="V56" s="1266">
        <v>0</v>
      </c>
      <c r="W56" s="670">
        <v>0</v>
      </c>
      <c r="X56" s="669">
        <v>0</v>
      </c>
      <c r="Y56" s="670">
        <v>0</v>
      </c>
      <c r="Z56" s="632"/>
      <c r="AA56" s="632"/>
      <c r="AB56" s="632"/>
      <c r="AC56" s="632"/>
      <c r="AD56" s="632"/>
      <c r="AE56" s="632"/>
      <c r="AF56" s="632"/>
      <c r="AG56" s="659"/>
      <c r="AH56" s="659"/>
    </row>
    <row r="57" spans="1:34" x14ac:dyDescent="0.25">
      <c r="A57" s="641">
        <v>600</v>
      </c>
      <c r="B57" s="790" t="s">
        <v>595</v>
      </c>
      <c r="C57" s="644">
        <v>403</v>
      </c>
      <c r="D57" s="644" t="s">
        <v>596</v>
      </c>
      <c r="E57" s="645"/>
      <c r="F57" s="669">
        <v>0</v>
      </c>
      <c r="G57" s="1266">
        <v>0</v>
      </c>
      <c r="H57" s="670">
        <v>0</v>
      </c>
      <c r="I57" s="669">
        <v>0</v>
      </c>
      <c r="J57" s="670">
        <v>0</v>
      </c>
      <c r="K57" s="669">
        <v>0</v>
      </c>
      <c r="L57" s="1266">
        <v>0</v>
      </c>
      <c r="M57" s="670">
        <v>0</v>
      </c>
      <c r="N57" s="669">
        <v>0</v>
      </c>
      <c r="O57" s="670">
        <v>0</v>
      </c>
      <c r="P57" s="669">
        <v>0</v>
      </c>
      <c r="Q57" s="1266">
        <v>0</v>
      </c>
      <c r="R57" s="670">
        <v>0</v>
      </c>
      <c r="S57" s="669">
        <v>0</v>
      </c>
      <c r="T57" s="670">
        <v>0</v>
      </c>
      <c r="U57" s="669">
        <v>0</v>
      </c>
      <c r="V57" s="1266">
        <v>0</v>
      </c>
      <c r="W57" s="670">
        <v>0</v>
      </c>
      <c r="X57" s="669">
        <v>0</v>
      </c>
      <c r="Y57" s="670">
        <v>0</v>
      </c>
      <c r="Z57" s="632"/>
      <c r="AA57" s="632"/>
      <c r="AB57" s="632"/>
      <c r="AC57" s="632"/>
      <c r="AD57" s="632"/>
      <c r="AE57" s="632"/>
      <c r="AF57" s="632"/>
      <c r="AG57" s="659"/>
      <c r="AH57" s="659"/>
    </row>
    <row r="58" spans="1:34" x14ac:dyDescent="0.25">
      <c r="A58" s="641">
        <v>610</v>
      </c>
      <c r="B58" s="790" t="s">
        <v>597</v>
      </c>
      <c r="C58" s="644">
        <v>447</v>
      </c>
      <c r="D58" s="644" t="s">
        <v>598</v>
      </c>
      <c r="E58" s="645"/>
      <c r="F58" s="669">
        <v>0</v>
      </c>
      <c r="G58" s="1266">
        <v>0</v>
      </c>
      <c r="H58" s="670">
        <v>0</v>
      </c>
      <c r="I58" s="669">
        <v>0</v>
      </c>
      <c r="J58" s="670">
        <v>0</v>
      </c>
      <c r="K58" s="669">
        <v>0</v>
      </c>
      <c r="L58" s="1266">
        <v>0</v>
      </c>
      <c r="M58" s="670">
        <v>0</v>
      </c>
      <c r="N58" s="669">
        <v>0</v>
      </c>
      <c r="O58" s="670">
        <v>0</v>
      </c>
      <c r="P58" s="669">
        <v>0</v>
      </c>
      <c r="Q58" s="1266">
        <v>0</v>
      </c>
      <c r="R58" s="670">
        <v>0</v>
      </c>
      <c r="S58" s="669">
        <v>0</v>
      </c>
      <c r="T58" s="670">
        <v>0</v>
      </c>
      <c r="U58" s="669">
        <v>0</v>
      </c>
      <c r="V58" s="1266">
        <v>0</v>
      </c>
      <c r="W58" s="670">
        <v>0</v>
      </c>
      <c r="X58" s="669">
        <v>0</v>
      </c>
      <c r="Y58" s="670">
        <v>0</v>
      </c>
      <c r="Z58" s="632"/>
      <c r="AA58" s="632"/>
      <c r="AB58" s="632"/>
      <c r="AC58" s="632"/>
      <c r="AD58" s="632"/>
      <c r="AE58" s="632"/>
      <c r="AF58" s="632"/>
      <c r="AG58" s="659"/>
      <c r="AH58" s="659"/>
    </row>
    <row r="59" spans="1:34" x14ac:dyDescent="0.25">
      <c r="A59" s="641">
        <v>620</v>
      </c>
      <c r="B59" s="792" t="s">
        <v>599</v>
      </c>
      <c r="C59" s="646"/>
      <c r="D59" s="644" t="s">
        <v>598</v>
      </c>
      <c r="E59" s="645"/>
      <c r="F59" s="669">
        <v>0</v>
      </c>
      <c r="G59" s="1266">
        <v>0</v>
      </c>
      <c r="H59" s="670">
        <v>0</v>
      </c>
      <c r="I59" s="669">
        <v>0</v>
      </c>
      <c r="J59" s="670">
        <v>0</v>
      </c>
      <c r="K59" s="669">
        <v>0</v>
      </c>
      <c r="L59" s="1266">
        <v>0</v>
      </c>
      <c r="M59" s="670">
        <v>0</v>
      </c>
      <c r="N59" s="669">
        <v>0</v>
      </c>
      <c r="O59" s="670">
        <v>0</v>
      </c>
      <c r="P59" s="669">
        <v>0</v>
      </c>
      <c r="Q59" s="1266">
        <v>0</v>
      </c>
      <c r="R59" s="670">
        <v>0</v>
      </c>
      <c r="S59" s="669">
        <v>0</v>
      </c>
      <c r="T59" s="670">
        <v>0</v>
      </c>
      <c r="U59" s="669">
        <v>0</v>
      </c>
      <c r="V59" s="1266">
        <v>0</v>
      </c>
      <c r="W59" s="670">
        <v>0</v>
      </c>
      <c r="X59" s="669">
        <v>0</v>
      </c>
      <c r="Y59" s="670">
        <v>0</v>
      </c>
      <c r="Z59" s="632"/>
      <c r="AA59" s="632"/>
      <c r="AB59" s="632"/>
      <c r="AC59" s="632"/>
      <c r="AD59" s="632"/>
      <c r="AE59" s="632"/>
      <c r="AF59" s="632"/>
      <c r="AG59" s="659"/>
      <c r="AH59" s="659"/>
    </row>
    <row r="60" spans="1:34" x14ac:dyDescent="0.25">
      <c r="A60" s="641">
        <v>630</v>
      </c>
      <c r="B60" s="790" t="s">
        <v>600</v>
      </c>
      <c r="C60" s="644"/>
      <c r="D60" s="644" t="s">
        <v>598</v>
      </c>
      <c r="E60" s="645"/>
      <c r="F60" s="1154">
        <f t="shared" ref="F60:O60" si="14">F167+F176+F185</f>
        <v>0</v>
      </c>
      <c r="G60" s="1154">
        <f t="shared" si="14"/>
        <v>0</v>
      </c>
      <c r="H60" s="1154">
        <f t="shared" si="14"/>
        <v>0</v>
      </c>
      <c r="I60" s="1154">
        <f t="shared" si="14"/>
        <v>0</v>
      </c>
      <c r="J60" s="1154">
        <f t="shared" ref="J60" si="15">J167+J176+J185</f>
        <v>0</v>
      </c>
      <c r="K60" s="1154">
        <f t="shared" si="14"/>
        <v>0</v>
      </c>
      <c r="L60" s="1154">
        <f t="shared" si="14"/>
        <v>0</v>
      </c>
      <c r="M60" s="1154">
        <f t="shared" si="14"/>
        <v>0</v>
      </c>
      <c r="N60" s="1154">
        <f t="shared" si="14"/>
        <v>0</v>
      </c>
      <c r="O60" s="1154">
        <f t="shared" si="14"/>
        <v>0</v>
      </c>
      <c r="P60" s="1154">
        <f t="shared" ref="P60:Y60" si="16">P167+P176+P185</f>
        <v>0</v>
      </c>
      <c r="Q60" s="1154">
        <f t="shared" si="16"/>
        <v>0</v>
      </c>
      <c r="R60" s="1154">
        <f t="shared" si="16"/>
        <v>0</v>
      </c>
      <c r="S60" s="1154">
        <f t="shared" si="16"/>
        <v>0</v>
      </c>
      <c r="T60" s="1154">
        <f t="shared" si="16"/>
        <v>0</v>
      </c>
      <c r="U60" s="1154">
        <f t="shared" si="16"/>
        <v>0</v>
      </c>
      <c r="V60" s="1154">
        <f t="shared" si="16"/>
        <v>0</v>
      </c>
      <c r="W60" s="1154">
        <f t="shared" si="16"/>
        <v>0</v>
      </c>
      <c r="X60" s="1154">
        <f t="shared" si="16"/>
        <v>0</v>
      </c>
      <c r="Y60" s="1154">
        <f t="shared" si="16"/>
        <v>0</v>
      </c>
      <c r="Z60" s="632"/>
      <c r="AA60" s="632"/>
      <c r="AB60" s="632"/>
      <c r="AC60" s="632"/>
      <c r="AD60" s="632"/>
      <c r="AE60" s="632"/>
      <c r="AF60" s="632"/>
      <c r="AG60" s="659"/>
      <c r="AH60" s="659"/>
    </row>
    <row r="61" spans="1:34" x14ac:dyDescent="0.25">
      <c r="A61" s="641">
        <v>640</v>
      </c>
      <c r="B61" s="793" t="s">
        <v>613</v>
      </c>
      <c r="C61" s="647"/>
      <c r="D61" s="647"/>
      <c r="E61" s="648"/>
      <c r="F61" s="672"/>
      <c r="G61" s="672"/>
      <c r="H61" s="672"/>
      <c r="I61" s="672"/>
      <c r="J61" s="672"/>
      <c r="K61" s="672"/>
      <c r="L61" s="672"/>
      <c r="M61" s="672"/>
      <c r="N61" s="672"/>
      <c r="O61" s="672"/>
      <c r="P61" s="672"/>
      <c r="Q61" s="672"/>
      <c r="R61" s="672"/>
      <c r="S61" s="672"/>
      <c r="T61" s="672"/>
      <c r="U61" s="672"/>
      <c r="V61" s="672"/>
      <c r="W61" s="672"/>
      <c r="X61" s="672"/>
      <c r="Y61" s="672"/>
      <c r="Z61" s="632"/>
      <c r="AA61" s="632"/>
      <c r="AB61" s="632"/>
      <c r="AC61" s="632"/>
      <c r="AD61" s="632"/>
      <c r="AE61" s="632"/>
      <c r="AF61" s="632"/>
      <c r="AG61" s="659"/>
      <c r="AH61" s="659"/>
    </row>
    <row r="62" spans="1:34" x14ac:dyDescent="0.25">
      <c r="A62" s="641">
        <v>650</v>
      </c>
      <c r="B62" s="790" t="s">
        <v>614</v>
      </c>
      <c r="C62" s="646">
        <v>262</v>
      </c>
      <c r="D62" s="646"/>
      <c r="E62" s="645"/>
      <c r="F62" s="669">
        <v>0</v>
      </c>
      <c r="G62" s="1266">
        <v>0</v>
      </c>
      <c r="H62" s="670">
        <v>0</v>
      </c>
      <c r="I62" s="669">
        <v>0</v>
      </c>
      <c r="J62" s="670">
        <v>0</v>
      </c>
      <c r="K62" s="669">
        <v>0</v>
      </c>
      <c r="L62" s="1266">
        <v>0</v>
      </c>
      <c r="M62" s="670">
        <v>0</v>
      </c>
      <c r="N62" s="669">
        <v>0</v>
      </c>
      <c r="O62" s="670">
        <v>0</v>
      </c>
      <c r="P62" s="669">
        <v>0</v>
      </c>
      <c r="Q62" s="1266">
        <v>0</v>
      </c>
      <c r="R62" s="670">
        <v>0</v>
      </c>
      <c r="S62" s="669">
        <v>0</v>
      </c>
      <c r="T62" s="670">
        <v>0</v>
      </c>
      <c r="U62" s="669">
        <v>0</v>
      </c>
      <c r="V62" s="1266">
        <v>0</v>
      </c>
      <c r="W62" s="670">
        <v>0</v>
      </c>
      <c r="X62" s="669">
        <v>0</v>
      </c>
      <c r="Y62" s="670">
        <v>0</v>
      </c>
      <c r="Z62" s="632"/>
      <c r="AA62" s="632"/>
      <c r="AB62" s="632"/>
      <c r="AC62" s="632"/>
      <c r="AD62" s="632"/>
      <c r="AE62" s="632"/>
      <c r="AF62" s="632"/>
      <c r="AG62" s="659"/>
      <c r="AH62" s="659"/>
    </row>
    <row r="63" spans="1:34" x14ac:dyDescent="0.25">
      <c r="A63" s="641">
        <v>660</v>
      </c>
      <c r="B63" s="793" t="s">
        <v>287</v>
      </c>
      <c r="C63" s="644"/>
      <c r="D63" s="644"/>
      <c r="E63" s="645"/>
      <c r="F63" s="669">
        <v>0</v>
      </c>
      <c r="G63" s="1279">
        <v>0</v>
      </c>
      <c r="H63" s="670">
        <v>0</v>
      </c>
      <c r="I63" s="669">
        <v>0</v>
      </c>
      <c r="J63" s="670">
        <v>0</v>
      </c>
      <c r="K63" s="669">
        <v>0</v>
      </c>
      <c r="L63" s="1279">
        <v>0</v>
      </c>
      <c r="M63" s="670">
        <v>0</v>
      </c>
      <c r="N63" s="669">
        <v>0</v>
      </c>
      <c r="O63" s="670">
        <v>0</v>
      </c>
      <c r="P63" s="669">
        <v>0</v>
      </c>
      <c r="Q63" s="1279">
        <v>0</v>
      </c>
      <c r="R63" s="670">
        <v>0</v>
      </c>
      <c r="S63" s="669">
        <v>0</v>
      </c>
      <c r="T63" s="670">
        <v>0</v>
      </c>
      <c r="U63" s="669">
        <v>0</v>
      </c>
      <c r="V63" s="1279">
        <v>0</v>
      </c>
      <c r="W63" s="670">
        <v>0</v>
      </c>
      <c r="X63" s="669">
        <v>0</v>
      </c>
      <c r="Y63" s="670">
        <v>0</v>
      </c>
      <c r="Z63" s="632"/>
      <c r="AA63" s="632"/>
      <c r="AB63" s="632"/>
      <c r="AC63" s="632"/>
      <c r="AD63" s="632"/>
      <c r="AE63" s="632"/>
      <c r="AF63" s="632"/>
      <c r="AG63" s="659"/>
      <c r="AH63" s="659"/>
    </row>
    <row r="64" spans="1:34" x14ac:dyDescent="0.25">
      <c r="A64" s="641">
        <v>670</v>
      </c>
      <c r="B64" s="790" t="s">
        <v>288</v>
      </c>
      <c r="C64" s="646"/>
      <c r="D64" s="646"/>
      <c r="E64" s="645"/>
      <c r="F64" s="669">
        <v>0</v>
      </c>
      <c r="G64" s="1266">
        <v>0</v>
      </c>
      <c r="H64" s="670">
        <v>0</v>
      </c>
      <c r="I64" s="669">
        <v>0</v>
      </c>
      <c r="J64" s="670">
        <v>0</v>
      </c>
      <c r="K64" s="669">
        <v>0</v>
      </c>
      <c r="L64" s="1266">
        <v>0</v>
      </c>
      <c r="M64" s="670">
        <v>0</v>
      </c>
      <c r="N64" s="669">
        <v>0</v>
      </c>
      <c r="O64" s="670">
        <v>0</v>
      </c>
      <c r="P64" s="669">
        <v>0</v>
      </c>
      <c r="Q64" s="1266">
        <v>0</v>
      </c>
      <c r="R64" s="670">
        <v>0</v>
      </c>
      <c r="S64" s="669">
        <v>0</v>
      </c>
      <c r="T64" s="670">
        <v>0</v>
      </c>
      <c r="U64" s="669">
        <v>0</v>
      </c>
      <c r="V64" s="1266">
        <v>0</v>
      </c>
      <c r="W64" s="670">
        <v>0</v>
      </c>
      <c r="X64" s="669">
        <v>0</v>
      </c>
      <c r="Y64" s="670">
        <v>0</v>
      </c>
      <c r="Z64" s="632"/>
      <c r="AA64" s="632"/>
      <c r="AB64" s="632"/>
      <c r="AC64" s="675"/>
      <c r="AD64" s="675"/>
      <c r="AE64" s="675"/>
      <c r="AF64" s="675"/>
      <c r="AG64" s="675"/>
      <c r="AH64" s="659"/>
    </row>
    <row r="65" spans="1:34" x14ac:dyDescent="0.25">
      <c r="A65" s="641">
        <v>680</v>
      </c>
      <c r="B65" s="792" t="s">
        <v>289</v>
      </c>
      <c r="C65" s="644"/>
      <c r="D65" s="644"/>
      <c r="E65" s="645"/>
      <c r="F65" s="669">
        <v>0</v>
      </c>
      <c r="G65" s="1266">
        <v>0</v>
      </c>
      <c r="H65" s="670">
        <v>0</v>
      </c>
      <c r="I65" s="669">
        <v>0</v>
      </c>
      <c r="J65" s="670">
        <v>0</v>
      </c>
      <c r="K65" s="669">
        <v>0</v>
      </c>
      <c r="L65" s="1266">
        <v>0</v>
      </c>
      <c r="M65" s="670">
        <v>0</v>
      </c>
      <c r="N65" s="669">
        <v>0</v>
      </c>
      <c r="O65" s="670">
        <v>0</v>
      </c>
      <c r="P65" s="669">
        <v>0</v>
      </c>
      <c r="Q65" s="1266">
        <v>0</v>
      </c>
      <c r="R65" s="670">
        <v>0</v>
      </c>
      <c r="S65" s="669">
        <v>0</v>
      </c>
      <c r="T65" s="670">
        <v>0</v>
      </c>
      <c r="U65" s="669">
        <v>0</v>
      </c>
      <c r="V65" s="1266">
        <v>0</v>
      </c>
      <c r="W65" s="670">
        <v>0</v>
      </c>
      <c r="X65" s="669">
        <v>0</v>
      </c>
      <c r="Y65" s="670">
        <v>0</v>
      </c>
      <c r="Z65" s="632"/>
      <c r="AA65" s="632"/>
      <c r="AB65" s="632"/>
      <c r="AC65" s="632"/>
      <c r="AD65" s="632"/>
      <c r="AE65" s="632"/>
      <c r="AF65" s="632"/>
      <c r="AG65" s="659"/>
      <c r="AH65" s="659"/>
    </row>
    <row r="66" spans="1:34" x14ac:dyDescent="0.25">
      <c r="A66" s="641">
        <v>690</v>
      </c>
      <c r="B66" s="790" t="s">
        <v>290</v>
      </c>
      <c r="C66" s="646"/>
      <c r="D66" s="646"/>
      <c r="E66" s="645"/>
      <c r="F66" s="669">
        <v>0</v>
      </c>
      <c r="G66" s="1266">
        <v>0</v>
      </c>
      <c r="H66" s="670">
        <v>0</v>
      </c>
      <c r="I66" s="669">
        <v>0</v>
      </c>
      <c r="J66" s="670">
        <v>0</v>
      </c>
      <c r="K66" s="669">
        <v>0</v>
      </c>
      <c r="L66" s="1266">
        <v>0</v>
      </c>
      <c r="M66" s="670">
        <v>0</v>
      </c>
      <c r="N66" s="669">
        <v>0</v>
      </c>
      <c r="O66" s="670"/>
      <c r="P66" s="669">
        <v>0</v>
      </c>
      <c r="Q66" s="1266">
        <v>0</v>
      </c>
      <c r="R66" s="670">
        <v>0</v>
      </c>
      <c r="S66" s="669">
        <v>0</v>
      </c>
      <c r="T66" s="670">
        <v>0</v>
      </c>
      <c r="U66" s="669">
        <v>0</v>
      </c>
      <c r="V66" s="1266">
        <v>0</v>
      </c>
      <c r="W66" s="670">
        <v>0</v>
      </c>
      <c r="X66" s="669">
        <v>0</v>
      </c>
      <c r="Y66" s="670">
        <v>0</v>
      </c>
      <c r="Z66" s="632"/>
      <c r="AA66" s="632"/>
      <c r="AB66" s="632"/>
      <c r="AC66" s="632"/>
      <c r="AD66" s="632"/>
      <c r="AE66" s="632"/>
      <c r="AF66" s="632"/>
      <c r="AG66" s="659"/>
      <c r="AH66" s="659"/>
    </row>
    <row r="67" spans="1:34" x14ac:dyDescent="0.25">
      <c r="A67" s="641">
        <v>700</v>
      </c>
      <c r="B67" s="792" t="s">
        <v>291</v>
      </c>
      <c r="C67" s="644"/>
      <c r="D67" s="644"/>
      <c r="E67" s="645"/>
      <c r="F67" s="669">
        <v>0</v>
      </c>
      <c r="G67" s="1266">
        <v>0</v>
      </c>
      <c r="H67" s="670">
        <v>0</v>
      </c>
      <c r="I67" s="669">
        <v>0</v>
      </c>
      <c r="J67" s="670">
        <v>0</v>
      </c>
      <c r="K67" s="669">
        <v>0</v>
      </c>
      <c r="L67" s="1266">
        <v>0</v>
      </c>
      <c r="M67" s="670">
        <v>0</v>
      </c>
      <c r="N67" s="669">
        <v>0</v>
      </c>
      <c r="O67" s="670"/>
      <c r="P67" s="669">
        <v>0</v>
      </c>
      <c r="Q67" s="1266">
        <v>0</v>
      </c>
      <c r="R67" s="670">
        <v>0</v>
      </c>
      <c r="S67" s="669">
        <v>0</v>
      </c>
      <c r="T67" s="670">
        <v>0</v>
      </c>
      <c r="U67" s="669">
        <v>0</v>
      </c>
      <c r="V67" s="1266">
        <v>0</v>
      </c>
      <c r="W67" s="670">
        <v>0</v>
      </c>
      <c r="X67" s="669">
        <v>0</v>
      </c>
      <c r="Y67" s="670">
        <v>0</v>
      </c>
      <c r="Z67" s="632"/>
      <c r="AA67" s="632"/>
      <c r="AB67" s="632"/>
      <c r="AC67" s="632"/>
      <c r="AD67" s="632"/>
      <c r="AE67" s="632"/>
      <c r="AF67" s="632"/>
      <c r="AG67" s="659"/>
      <c r="AH67" s="659"/>
    </row>
    <row r="68" spans="1:34" x14ac:dyDescent="0.25">
      <c r="A68" s="641">
        <v>710</v>
      </c>
      <c r="B68" s="790" t="s">
        <v>292</v>
      </c>
      <c r="C68" s="646"/>
      <c r="D68" s="646"/>
      <c r="E68" s="645"/>
      <c r="F68" s="669">
        <v>0</v>
      </c>
      <c r="G68" s="1266">
        <v>0</v>
      </c>
      <c r="H68" s="670">
        <v>0</v>
      </c>
      <c r="I68" s="669">
        <v>0</v>
      </c>
      <c r="J68" s="670">
        <v>0</v>
      </c>
      <c r="K68" s="669">
        <v>0</v>
      </c>
      <c r="L68" s="1266">
        <v>0</v>
      </c>
      <c r="M68" s="670">
        <v>0</v>
      </c>
      <c r="N68" s="669">
        <v>0</v>
      </c>
      <c r="O68" s="670"/>
      <c r="P68" s="669">
        <v>0</v>
      </c>
      <c r="Q68" s="1266">
        <v>0</v>
      </c>
      <c r="R68" s="670">
        <v>0</v>
      </c>
      <c r="S68" s="669">
        <v>0</v>
      </c>
      <c r="T68" s="670">
        <v>0</v>
      </c>
      <c r="U68" s="669">
        <v>0</v>
      </c>
      <c r="V68" s="1266">
        <v>0</v>
      </c>
      <c r="W68" s="670">
        <v>0</v>
      </c>
      <c r="X68" s="669">
        <v>0</v>
      </c>
      <c r="Y68" s="670">
        <v>0</v>
      </c>
      <c r="Z68" s="632"/>
      <c r="AA68" s="632"/>
      <c r="AB68" s="632"/>
      <c r="AC68" s="632"/>
      <c r="AD68" s="632"/>
      <c r="AE68" s="632"/>
      <c r="AF68" s="632"/>
      <c r="AG68" s="659"/>
      <c r="AH68" s="659"/>
    </row>
    <row r="69" spans="1:34" x14ac:dyDescent="0.25">
      <c r="A69" s="641">
        <v>720</v>
      </c>
      <c r="B69" s="792" t="s">
        <v>293</v>
      </c>
      <c r="C69" s="644"/>
      <c r="D69" s="644"/>
      <c r="E69" s="645"/>
      <c r="F69" s="669">
        <v>0</v>
      </c>
      <c r="G69" s="1266">
        <v>0</v>
      </c>
      <c r="H69" s="670">
        <v>0</v>
      </c>
      <c r="I69" s="669">
        <v>0</v>
      </c>
      <c r="J69" s="670">
        <v>0</v>
      </c>
      <c r="K69" s="669">
        <v>0</v>
      </c>
      <c r="L69" s="1266">
        <v>0</v>
      </c>
      <c r="M69" s="670">
        <v>0</v>
      </c>
      <c r="N69" s="669">
        <v>0</v>
      </c>
      <c r="O69" s="670"/>
      <c r="P69" s="669">
        <v>0</v>
      </c>
      <c r="Q69" s="1266">
        <v>0</v>
      </c>
      <c r="R69" s="670">
        <v>0</v>
      </c>
      <c r="S69" s="669">
        <v>0</v>
      </c>
      <c r="T69" s="670">
        <v>0</v>
      </c>
      <c r="U69" s="669">
        <v>0</v>
      </c>
      <c r="V69" s="1266">
        <v>0</v>
      </c>
      <c r="W69" s="670">
        <v>0</v>
      </c>
      <c r="X69" s="669">
        <v>0</v>
      </c>
      <c r="Y69" s="670">
        <v>0</v>
      </c>
      <c r="Z69" s="632"/>
      <c r="AA69" s="632"/>
      <c r="AB69" s="632"/>
      <c r="AC69" s="632"/>
      <c r="AD69" s="632"/>
      <c r="AE69" s="632"/>
      <c r="AF69" s="632"/>
      <c r="AG69" s="659"/>
      <c r="AH69" s="659"/>
    </row>
    <row r="70" spans="1:34" x14ac:dyDescent="0.25">
      <c r="A70" s="641">
        <v>730</v>
      </c>
      <c r="B70" s="790" t="s">
        <v>294</v>
      </c>
      <c r="C70" s="646"/>
      <c r="D70" s="646"/>
      <c r="E70" s="645"/>
      <c r="F70" s="669">
        <v>0</v>
      </c>
      <c r="G70" s="1266">
        <v>0</v>
      </c>
      <c r="H70" s="670">
        <v>0</v>
      </c>
      <c r="I70" s="669">
        <v>0</v>
      </c>
      <c r="J70" s="670">
        <v>0</v>
      </c>
      <c r="K70" s="669">
        <v>0</v>
      </c>
      <c r="L70" s="1266">
        <v>0</v>
      </c>
      <c r="M70" s="670">
        <v>0</v>
      </c>
      <c r="N70" s="669">
        <v>0</v>
      </c>
      <c r="O70" s="670"/>
      <c r="P70" s="669">
        <v>0</v>
      </c>
      <c r="Q70" s="1266">
        <v>0</v>
      </c>
      <c r="R70" s="670">
        <v>0</v>
      </c>
      <c r="S70" s="669">
        <v>0</v>
      </c>
      <c r="T70" s="670">
        <v>0</v>
      </c>
      <c r="U70" s="669">
        <v>0</v>
      </c>
      <c r="V70" s="1266">
        <v>0</v>
      </c>
      <c r="W70" s="670">
        <v>0</v>
      </c>
      <c r="X70" s="669">
        <v>0</v>
      </c>
      <c r="Y70" s="670">
        <v>0</v>
      </c>
      <c r="Z70" s="632"/>
      <c r="AA70" s="632"/>
      <c r="AB70" s="632"/>
      <c r="AC70" s="632"/>
      <c r="AD70" s="632"/>
      <c r="AE70" s="632"/>
      <c r="AF70" s="632"/>
      <c r="AG70" s="659"/>
      <c r="AH70" s="659"/>
    </row>
    <row r="71" spans="1:34" x14ac:dyDescent="0.25">
      <c r="A71" s="641">
        <v>740</v>
      </c>
      <c r="B71" s="792" t="s">
        <v>295</v>
      </c>
      <c r="C71" s="644"/>
      <c r="D71" s="644"/>
      <c r="E71" s="645"/>
      <c r="F71" s="669">
        <v>0</v>
      </c>
      <c r="G71" s="1266">
        <v>0</v>
      </c>
      <c r="H71" s="670">
        <v>0</v>
      </c>
      <c r="I71" s="669">
        <v>0</v>
      </c>
      <c r="J71" s="670">
        <v>0</v>
      </c>
      <c r="K71" s="669">
        <v>0</v>
      </c>
      <c r="L71" s="1266">
        <v>0</v>
      </c>
      <c r="M71" s="670">
        <v>0</v>
      </c>
      <c r="N71" s="669">
        <v>0</v>
      </c>
      <c r="O71" s="670"/>
      <c r="P71" s="669">
        <v>0</v>
      </c>
      <c r="Q71" s="1266">
        <v>0</v>
      </c>
      <c r="R71" s="670">
        <v>0</v>
      </c>
      <c r="S71" s="669">
        <v>0</v>
      </c>
      <c r="T71" s="670">
        <v>0</v>
      </c>
      <c r="U71" s="669">
        <v>0</v>
      </c>
      <c r="V71" s="1266">
        <v>0</v>
      </c>
      <c r="W71" s="670">
        <v>0</v>
      </c>
      <c r="X71" s="669">
        <v>0</v>
      </c>
      <c r="Y71" s="670">
        <v>0</v>
      </c>
      <c r="Z71" s="632"/>
      <c r="AA71" s="632"/>
      <c r="AB71" s="632"/>
      <c r="AC71" s="632"/>
      <c r="AD71" s="632"/>
      <c r="AE71" s="632"/>
      <c r="AF71" s="632"/>
      <c r="AG71" s="659"/>
      <c r="AH71" s="659"/>
    </row>
    <row r="72" spans="1:34" x14ac:dyDescent="0.25">
      <c r="A72" s="641">
        <v>750</v>
      </c>
      <c r="B72" s="790" t="s">
        <v>296</v>
      </c>
      <c r="C72" s="644"/>
      <c r="D72" s="644"/>
      <c r="E72" s="645"/>
      <c r="F72" s="669">
        <v>0</v>
      </c>
      <c r="G72" s="1266">
        <v>0</v>
      </c>
      <c r="H72" s="670">
        <v>0</v>
      </c>
      <c r="I72" s="669">
        <v>0</v>
      </c>
      <c r="J72" s="670">
        <v>0</v>
      </c>
      <c r="K72" s="669">
        <v>0</v>
      </c>
      <c r="L72" s="1266">
        <v>0</v>
      </c>
      <c r="M72" s="670">
        <v>0</v>
      </c>
      <c r="N72" s="669">
        <v>0</v>
      </c>
      <c r="O72" s="670"/>
      <c r="P72" s="669">
        <v>0</v>
      </c>
      <c r="Q72" s="1266">
        <v>0</v>
      </c>
      <c r="R72" s="670">
        <v>0</v>
      </c>
      <c r="S72" s="669">
        <v>0</v>
      </c>
      <c r="T72" s="670">
        <v>0</v>
      </c>
      <c r="U72" s="669">
        <v>0</v>
      </c>
      <c r="V72" s="1266">
        <v>0</v>
      </c>
      <c r="W72" s="670">
        <v>0</v>
      </c>
      <c r="X72" s="669">
        <v>0</v>
      </c>
      <c r="Y72" s="670">
        <v>0</v>
      </c>
      <c r="Z72" s="632"/>
      <c r="AA72" s="632"/>
      <c r="AB72" s="632"/>
      <c r="AC72" s="632"/>
      <c r="AD72" s="632"/>
      <c r="AE72" s="632"/>
      <c r="AF72" s="632"/>
      <c r="AG72" s="659"/>
      <c r="AH72" s="659"/>
    </row>
    <row r="73" spans="1:34" x14ac:dyDescent="0.25">
      <c r="A73" s="641">
        <v>760</v>
      </c>
      <c r="B73" s="792" t="s">
        <v>297</v>
      </c>
      <c r="C73" s="646"/>
      <c r="D73" s="646"/>
      <c r="E73" s="645"/>
      <c r="F73" s="669">
        <v>0</v>
      </c>
      <c r="G73" s="1266">
        <v>0</v>
      </c>
      <c r="H73" s="670">
        <v>0</v>
      </c>
      <c r="I73" s="669">
        <v>0</v>
      </c>
      <c r="J73" s="670">
        <v>0</v>
      </c>
      <c r="K73" s="669">
        <v>0</v>
      </c>
      <c r="L73" s="1266">
        <v>0</v>
      </c>
      <c r="M73" s="670">
        <v>0</v>
      </c>
      <c r="N73" s="669">
        <v>0</v>
      </c>
      <c r="O73" s="670"/>
      <c r="P73" s="669">
        <v>0</v>
      </c>
      <c r="Q73" s="1266">
        <v>0</v>
      </c>
      <c r="R73" s="670">
        <v>0</v>
      </c>
      <c r="S73" s="669">
        <v>0</v>
      </c>
      <c r="T73" s="670">
        <v>0</v>
      </c>
      <c r="U73" s="669">
        <v>0</v>
      </c>
      <c r="V73" s="1266">
        <v>0</v>
      </c>
      <c r="W73" s="670">
        <v>0</v>
      </c>
      <c r="X73" s="669">
        <v>0</v>
      </c>
      <c r="Y73" s="670">
        <v>0</v>
      </c>
      <c r="Z73" s="632"/>
      <c r="AA73" s="632"/>
      <c r="AB73" s="632"/>
      <c r="AC73" s="632"/>
      <c r="AD73" s="632"/>
      <c r="AE73" s="632"/>
      <c r="AF73" s="632"/>
      <c r="AG73" s="659"/>
      <c r="AH73" s="659"/>
    </row>
    <row r="74" spans="1:34" x14ac:dyDescent="0.25">
      <c r="A74" s="641">
        <v>770</v>
      </c>
      <c r="B74" s="792"/>
      <c r="C74" s="644"/>
      <c r="D74" s="644"/>
      <c r="E74" s="645"/>
      <c r="F74" s="669">
        <v>0</v>
      </c>
      <c r="G74" s="1279">
        <v>0</v>
      </c>
      <c r="H74" s="670">
        <v>0</v>
      </c>
      <c r="I74" s="669">
        <v>0</v>
      </c>
      <c r="J74" s="670">
        <v>0</v>
      </c>
      <c r="K74" s="669">
        <v>0</v>
      </c>
      <c r="L74" s="1279">
        <v>0</v>
      </c>
      <c r="M74" s="670">
        <v>0</v>
      </c>
      <c r="N74" s="669">
        <v>0</v>
      </c>
      <c r="O74" s="670"/>
      <c r="P74" s="669">
        <v>0</v>
      </c>
      <c r="Q74" s="1279">
        <v>0</v>
      </c>
      <c r="R74" s="670">
        <v>0</v>
      </c>
      <c r="S74" s="669">
        <v>0</v>
      </c>
      <c r="T74" s="670">
        <v>0</v>
      </c>
      <c r="U74" s="669">
        <v>0</v>
      </c>
      <c r="V74" s="1279">
        <v>0</v>
      </c>
      <c r="W74" s="670">
        <v>0</v>
      </c>
      <c r="X74" s="669">
        <v>0</v>
      </c>
      <c r="Y74" s="670">
        <v>0</v>
      </c>
      <c r="Z74" s="632"/>
      <c r="AA74" s="632"/>
      <c r="AB74" s="632"/>
      <c r="AC74" s="632"/>
      <c r="AD74" s="632"/>
      <c r="AE74" s="632"/>
      <c r="AF74" s="632"/>
      <c r="AG74" s="659"/>
      <c r="AH74" s="659"/>
    </row>
    <row r="75" spans="1:34" x14ac:dyDescent="0.25">
      <c r="A75" s="641">
        <v>780</v>
      </c>
      <c r="B75" s="793" t="s">
        <v>298</v>
      </c>
      <c r="C75" s="647"/>
      <c r="D75" s="647"/>
      <c r="E75" s="648"/>
      <c r="F75" s="669"/>
      <c r="G75" s="672"/>
      <c r="H75" s="672"/>
      <c r="I75" s="672"/>
      <c r="J75" s="672"/>
      <c r="K75" s="669"/>
      <c r="L75" s="672"/>
      <c r="M75" s="672"/>
      <c r="N75" s="672"/>
      <c r="O75" s="672"/>
      <c r="P75" s="669"/>
      <c r="Q75" s="672"/>
      <c r="R75" s="672"/>
      <c r="S75" s="672"/>
      <c r="T75" s="672"/>
      <c r="U75" s="669"/>
      <c r="V75" s="672"/>
      <c r="W75" s="672"/>
      <c r="X75" s="672"/>
      <c r="Y75" s="672"/>
      <c r="Z75" s="632"/>
      <c r="AA75" s="632"/>
      <c r="AB75" s="632"/>
      <c r="AC75" s="632"/>
      <c r="AD75" s="632"/>
      <c r="AE75" s="632"/>
      <c r="AF75" s="632"/>
      <c r="AG75" s="659"/>
      <c r="AH75" s="659"/>
    </row>
    <row r="76" spans="1:34" x14ac:dyDescent="0.25">
      <c r="A76" s="641">
        <v>781</v>
      </c>
      <c r="B76" s="792" t="s">
        <v>296</v>
      </c>
      <c r="C76" s="647"/>
      <c r="D76" s="647" t="s">
        <v>598</v>
      </c>
      <c r="E76" s="650"/>
      <c r="F76" s="669">
        <v>0</v>
      </c>
      <c r="G76" s="669">
        <v>0</v>
      </c>
      <c r="H76" s="670">
        <v>0</v>
      </c>
      <c r="I76" s="669">
        <v>0</v>
      </c>
      <c r="J76" s="669">
        <v>0</v>
      </c>
      <c r="K76" s="669">
        <v>0</v>
      </c>
      <c r="L76" s="669">
        <v>0</v>
      </c>
      <c r="M76" s="670">
        <v>0</v>
      </c>
      <c r="N76" s="669">
        <v>0</v>
      </c>
      <c r="O76" s="669">
        <v>0</v>
      </c>
      <c r="P76" s="669">
        <v>0</v>
      </c>
      <c r="Q76" s="669">
        <v>0</v>
      </c>
      <c r="R76" s="670">
        <v>0</v>
      </c>
      <c r="S76" s="669">
        <v>0</v>
      </c>
      <c r="T76" s="669">
        <v>0</v>
      </c>
      <c r="U76" s="669">
        <v>0</v>
      </c>
      <c r="V76" s="669">
        <v>0</v>
      </c>
      <c r="W76" s="670">
        <v>0</v>
      </c>
      <c r="X76" s="669">
        <v>0</v>
      </c>
      <c r="Y76" s="669">
        <v>0</v>
      </c>
      <c r="Z76" s="632"/>
      <c r="AA76" s="632"/>
      <c r="AB76" s="632"/>
      <c r="AC76" s="632"/>
      <c r="AD76" s="632"/>
      <c r="AE76" s="632"/>
      <c r="AF76" s="632"/>
      <c r="AG76" s="659"/>
      <c r="AH76" s="659"/>
    </row>
    <row r="77" spans="1:34" x14ac:dyDescent="0.25">
      <c r="A77" s="641">
        <v>782</v>
      </c>
      <c r="B77" s="792" t="s">
        <v>297</v>
      </c>
      <c r="C77" s="647"/>
      <c r="D77" s="647"/>
      <c r="E77" s="650"/>
      <c r="F77" s="669">
        <v>0</v>
      </c>
      <c r="G77" s="669">
        <v>0</v>
      </c>
      <c r="H77" s="670">
        <v>0</v>
      </c>
      <c r="I77" s="669">
        <v>0</v>
      </c>
      <c r="J77" s="669">
        <v>0</v>
      </c>
      <c r="K77" s="669">
        <v>0</v>
      </c>
      <c r="L77" s="669">
        <v>0</v>
      </c>
      <c r="M77" s="670">
        <v>0</v>
      </c>
      <c r="N77" s="669">
        <v>0</v>
      </c>
      <c r="O77" s="669">
        <v>0</v>
      </c>
      <c r="P77" s="669">
        <v>0</v>
      </c>
      <c r="Q77" s="669">
        <v>0</v>
      </c>
      <c r="R77" s="670">
        <v>0</v>
      </c>
      <c r="S77" s="669">
        <v>0</v>
      </c>
      <c r="T77" s="669">
        <v>0</v>
      </c>
      <c r="U77" s="669">
        <v>0</v>
      </c>
      <c r="V77" s="669">
        <v>0</v>
      </c>
      <c r="W77" s="670">
        <v>0</v>
      </c>
      <c r="X77" s="669">
        <v>0</v>
      </c>
      <c r="Y77" s="669">
        <v>0</v>
      </c>
      <c r="Z77" s="632"/>
      <c r="AA77" s="632"/>
      <c r="AB77" s="632"/>
      <c r="AC77" s="632"/>
      <c r="AD77" s="632"/>
      <c r="AE77" s="632"/>
      <c r="AF77" s="632"/>
      <c r="AG77" s="659"/>
      <c r="AH77" s="659"/>
    </row>
    <row r="78" spans="1:34" x14ac:dyDescent="0.25">
      <c r="A78" s="641">
        <v>790</v>
      </c>
      <c r="B78" s="792" t="s">
        <v>266</v>
      </c>
      <c r="C78" s="644">
        <v>555</v>
      </c>
      <c r="D78" s="644" t="s">
        <v>598</v>
      </c>
      <c r="E78" s="645"/>
      <c r="F78" s="669">
        <v>0</v>
      </c>
      <c r="G78" s="669">
        <v>0</v>
      </c>
      <c r="H78" s="670">
        <v>0</v>
      </c>
      <c r="I78" s="669">
        <v>0</v>
      </c>
      <c r="J78" s="669">
        <v>0</v>
      </c>
      <c r="K78" s="669">
        <v>0</v>
      </c>
      <c r="L78" s="669">
        <v>0</v>
      </c>
      <c r="M78" s="670">
        <v>0</v>
      </c>
      <c r="N78" s="669">
        <v>0</v>
      </c>
      <c r="O78" s="669">
        <v>0</v>
      </c>
      <c r="P78" s="669">
        <v>0</v>
      </c>
      <c r="Q78" s="669">
        <v>0</v>
      </c>
      <c r="R78" s="670">
        <v>0</v>
      </c>
      <c r="S78" s="669">
        <v>0</v>
      </c>
      <c r="T78" s="669">
        <v>0</v>
      </c>
      <c r="U78" s="669">
        <v>0</v>
      </c>
      <c r="V78" s="669">
        <v>0</v>
      </c>
      <c r="W78" s="670">
        <v>0</v>
      </c>
      <c r="X78" s="669">
        <v>0</v>
      </c>
      <c r="Y78" s="669">
        <v>0</v>
      </c>
      <c r="Z78" s="632"/>
      <c r="AA78" s="632"/>
      <c r="AB78" s="632"/>
      <c r="AC78" s="632"/>
      <c r="AD78" s="632"/>
      <c r="AE78" s="632"/>
      <c r="AF78" s="632"/>
      <c r="AG78" s="659"/>
      <c r="AH78" s="659"/>
    </row>
    <row r="79" spans="1:34" x14ac:dyDescent="0.25">
      <c r="A79" s="641">
        <v>800</v>
      </c>
      <c r="B79" s="796" t="s">
        <v>299</v>
      </c>
      <c r="C79" s="647"/>
      <c r="D79" s="644" t="s">
        <v>598</v>
      </c>
      <c r="E79" s="650"/>
      <c r="F79" s="669">
        <v>0</v>
      </c>
      <c r="G79" s="669">
        <v>0</v>
      </c>
      <c r="H79" s="670">
        <v>0</v>
      </c>
      <c r="I79" s="669">
        <v>0</v>
      </c>
      <c r="J79" s="669">
        <v>0</v>
      </c>
      <c r="K79" s="669">
        <v>0</v>
      </c>
      <c r="L79" s="669">
        <v>0</v>
      </c>
      <c r="M79" s="670">
        <v>0</v>
      </c>
      <c r="N79" s="669">
        <v>0</v>
      </c>
      <c r="O79" s="669">
        <v>0</v>
      </c>
      <c r="P79" s="669">
        <v>0</v>
      </c>
      <c r="Q79" s="669">
        <v>0</v>
      </c>
      <c r="R79" s="670">
        <v>0</v>
      </c>
      <c r="S79" s="669">
        <v>0</v>
      </c>
      <c r="T79" s="669">
        <v>0</v>
      </c>
      <c r="U79" s="669">
        <v>0</v>
      </c>
      <c r="V79" s="669">
        <v>0</v>
      </c>
      <c r="W79" s="670">
        <v>0</v>
      </c>
      <c r="X79" s="669">
        <v>0</v>
      </c>
      <c r="Y79" s="669">
        <v>0</v>
      </c>
      <c r="Z79" s="632"/>
      <c r="AA79" s="632"/>
      <c r="AB79" s="632"/>
      <c r="AC79" s="632"/>
      <c r="AD79" s="632"/>
      <c r="AE79" s="632"/>
      <c r="AF79" s="632"/>
      <c r="AG79" s="659"/>
      <c r="AH79" s="659"/>
    </row>
    <row r="80" spans="1:34" x14ac:dyDescent="0.25">
      <c r="A80" s="641">
        <v>810</v>
      </c>
      <c r="B80" s="795" t="s">
        <v>455</v>
      </c>
      <c r="C80" s="649">
        <v>556</v>
      </c>
      <c r="D80" s="649"/>
      <c r="E80" s="650"/>
      <c r="F80" s="669">
        <v>0</v>
      </c>
      <c r="G80" s="669">
        <v>0</v>
      </c>
      <c r="H80" s="670">
        <v>0</v>
      </c>
      <c r="I80" s="669">
        <v>0</v>
      </c>
      <c r="J80" s="669">
        <v>0</v>
      </c>
      <c r="K80" s="669">
        <v>0</v>
      </c>
      <c r="L80" s="669">
        <v>0</v>
      </c>
      <c r="M80" s="670">
        <v>0</v>
      </c>
      <c r="N80" s="669">
        <v>0</v>
      </c>
      <c r="O80" s="669">
        <v>0</v>
      </c>
      <c r="P80" s="669">
        <v>0</v>
      </c>
      <c r="Q80" s="669">
        <v>0</v>
      </c>
      <c r="R80" s="670">
        <v>0</v>
      </c>
      <c r="S80" s="669">
        <v>0</v>
      </c>
      <c r="T80" s="669">
        <v>0</v>
      </c>
      <c r="U80" s="669">
        <v>0</v>
      </c>
      <c r="V80" s="669">
        <v>0</v>
      </c>
      <c r="W80" s="670">
        <v>0</v>
      </c>
      <c r="X80" s="669">
        <v>0</v>
      </c>
      <c r="Y80" s="669">
        <v>0</v>
      </c>
      <c r="Z80" s="632"/>
      <c r="AA80" s="632"/>
      <c r="AB80" s="632"/>
      <c r="AC80" s="632"/>
      <c r="AD80" s="632"/>
      <c r="AE80" s="632"/>
      <c r="AF80" s="632"/>
      <c r="AG80" s="659"/>
      <c r="AH80" s="659"/>
    </row>
    <row r="81" spans="1:34" x14ac:dyDescent="0.25">
      <c r="A81" s="641">
        <v>820</v>
      </c>
      <c r="B81" s="792" t="s">
        <v>267</v>
      </c>
      <c r="C81" s="644">
        <v>557</v>
      </c>
      <c r="D81" s="644"/>
      <c r="E81" s="645"/>
      <c r="F81" s="1192">
        <v>0</v>
      </c>
      <c r="G81" s="669">
        <v>0</v>
      </c>
      <c r="H81" s="670">
        <v>0</v>
      </c>
      <c r="I81" s="669">
        <v>0</v>
      </c>
      <c r="J81" s="669">
        <v>0</v>
      </c>
      <c r="K81" s="1192">
        <v>0</v>
      </c>
      <c r="L81" s="669">
        <v>0</v>
      </c>
      <c r="M81" s="670">
        <v>0</v>
      </c>
      <c r="N81" s="669">
        <v>0</v>
      </c>
      <c r="O81" s="669">
        <v>0</v>
      </c>
      <c r="P81" s="1192">
        <v>0</v>
      </c>
      <c r="Q81" s="669">
        <v>0</v>
      </c>
      <c r="R81" s="670">
        <v>0</v>
      </c>
      <c r="S81" s="669">
        <v>0</v>
      </c>
      <c r="T81" s="669">
        <v>0</v>
      </c>
      <c r="U81" s="1192">
        <v>0</v>
      </c>
      <c r="V81" s="669">
        <v>0</v>
      </c>
      <c r="W81" s="670">
        <v>0</v>
      </c>
      <c r="X81" s="669">
        <v>0</v>
      </c>
      <c r="Y81" s="669">
        <v>0</v>
      </c>
      <c r="Z81" s="632"/>
      <c r="AA81" s="632"/>
      <c r="AB81" s="632"/>
      <c r="AC81" s="632"/>
      <c r="AD81" s="632"/>
      <c r="AE81" s="632"/>
      <c r="AF81" s="632"/>
      <c r="AG81" s="659"/>
      <c r="AH81" s="659"/>
    </row>
    <row r="82" spans="1:34" x14ac:dyDescent="0.25">
      <c r="A82" s="641">
        <v>830</v>
      </c>
      <c r="B82" s="793" t="s">
        <v>526</v>
      </c>
      <c r="C82" s="647"/>
      <c r="D82" s="647"/>
      <c r="E82" s="648"/>
      <c r="F82" s="669"/>
      <c r="G82" s="672"/>
      <c r="H82" s="672"/>
      <c r="I82" s="672"/>
      <c r="J82" s="672"/>
      <c r="K82" s="669"/>
      <c r="L82" s="672"/>
      <c r="M82" s="672"/>
      <c r="N82" s="672"/>
      <c r="O82" s="672"/>
      <c r="P82" s="669"/>
      <c r="Q82" s="672"/>
      <c r="R82" s="672"/>
      <c r="S82" s="672"/>
      <c r="T82" s="672"/>
      <c r="U82" s="669"/>
      <c r="V82" s="672"/>
      <c r="W82" s="672"/>
      <c r="X82" s="672"/>
      <c r="Y82" s="672"/>
      <c r="Z82" s="632"/>
      <c r="AA82" s="632"/>
      <c r="AB82" s="632"/>
      <c r="AC82" s="632"/>
      <c r="AD82" s="632"/>
      <c r="AE82" s="632"/>
      <c r="AF82" s="632"/>
      <c r="AG82" s="659"/>
      <c r="AH82" s="659"/>
    </row>
    <row r="83" spans="1:34" x14ac:dyDescent="0.25">
      <c r="A83" s="641">
        <v>840</v>
      </c>
      <c r="B83" s="792" t="s">
        <v>526</v>
      </c>
      <c r="C83" s="644" t="s">
        <v>120</v>
      </c>
      <c r="D83" s="644"/>
      <c r="E83" s="645"/>
      <c r="F83" s="669">
        <v>0</v>
      </c>
      <c r="G83" s="669">
        <v>0</v>
      </c>
      <c r="H83" s="670">
        <v>0</v>
      </c>
      <c r="I83" s="669">
        <v>0</v>
      </c>
      <c r="J83" s="670">
        <v>0</v>
      </c>
      <c r="K83" s="669">
        <v>0</v>
      </c>
      <c r="L83" s="669">
        <v>0</v>
      </c>
      <c r="M83" s="670">
        <v>0</v>
      </c>
      <c r="N83" s="669">
        <v>0</v>
      </c>
      <c r="O83" s="670">
        <v>0</v>
      </c>
      <c r="P83" s="669">
        <v>0</v>
      </c>
      <c r="Q83" s="669">
        <v>0</v>
      </c>
      <c r="R83" s="670">
        <v>0</v>
      </c>
      <c r="S83" s="669">
        <v>0</v>
      </c>
      <c r="T83" s="670">
        <v>0</v>
      </c>
      <c r="U83" s="669">
        <v>0</v>
      </c>
      <c r="V83" s="669">
        <v>0</v>
      </c>
      <c r="W83" s="670">
        <v>0</v>
      </c>
      <c r="X83" s="669">
        <v>0</v>
      </c>
      <c r="Y83" s="670">
        <v>0</v>
      </c>
      <c r="Z83" s="632"/>
      <c r="AA83" s="632"/>
      <c r="AB83" s="632"/>
      <c r="AC83" s="632"/>
      <c r="AD83" s="632"/>
      <c r="AE83" s="632"/>
      <c r="AF83" s="632"/>
      <c r="AG83" s="659"/>
      <c r="AH83" s="659"/>
    </row>
    <row r="84" spans="1:34" x14ac:dyDescent="0.25">
      <c r="A84" s="641">
        <v>850</v>
      </c>
      <c r="B84" s="792" t="s">
        <v>79</v>
      </c>
      <c r="C84" s="644"/>
      <c r="D84" s="644"/>
      <c r="E84" s="645"/>
      <c r="F84" s="669">
        <v>0</v>
      </c>
      <c r="G84" s="669">
        <v>0</v>
      </c>
      <c r="H84" s="670">
        <v>0</v>
      </c>
      <c r="I84" s="669">
        <v>0</v>
      </c>
      <c r="J84" s="670">
        <v>0</v>
      </c>
      <c r="K84" s="669">
        <v>0</v>
      </c>
      <c r="L84" s="669">
        <v>0</v>
      </c>
      <c r="M84" s="670">
        <v>0</v>
      </c>
      <c r="N84" s="669">
        <v>0</v>
      </c>
      <c r="O84" s="670">
        <v>0</v>
      </c>
      <c r="P84" s="669">
        <v>0</v>
      </c>
      <c r="Q84" s="669">
        <v>0</v>
      </c>
      <c r="R84" s="670">
        <v>0</v>
      </c>
      <c r="S84" s="669">
        <v>0</v>
      </c>
      <c r="T84" s="670">
        <v>0</v>
      </c>
      <c r="U84" s="669">
        <v>0</v>
      </c>
      <c r="V84" s="669">
        <v>0</v>
      </c>
      <c r="W84" s="670">
        <v>0</v>
      </c>
      <c r="X84" s="669">
        <v>0</v>
      </c>
      <c r="Y84" s="670">
        <v>0</v>
      </c>
      <c r="Z84" s="632"/>
      <c r="AA84" s="632"/>
      <c r="AB84" s="632"/>
      <c r="AC84" s="632"/>
      <c r="AD84" s="632"/>
      <c r="AE84" s="632"/>
      <c r="AF84" s="632"/>
      <c r="AG84" s="659"/>
      <c r="AH84" s="659"/>
    </row>
    <row r="85" spans="1:34" x14ac:dyDescent="0.25">
      <c r="A85" s="641">
        <v>860</v>
      </c>
      <c r="B85" s="793" t="s">
        <v>300</v>
      </c>
      <c r="C85" s="647"/>
      <c r="D85" s="647"/>
      <c r="E85" s="648"/>
      <c r="F85" s="1266"/>
      <c r="G85" s="1266"/>
      <c r="H85" s="1266"/>
      <c r="I85" s="1266"/>
      <c r="J85" s="672"/>
      <c r="K85" s="1266"/>
      <c r="L85" s="1266"/>
      <c r="M85" s="1266"/>
      <c r="N85" s="1266"/>
      <c r="O85" s="672"/>
      <c r="P85" s="1266"/>
      <c r="Q85" s="1266"/>
      <c r="R85" s="1266"/>
      <c r="S85" s="1266"/>
      <c r="T85" s="672"/>
      <c r="U85" s="1266"/>
      <c r="V85" s="1266"/>
      <c r="W85" s="1266"/>
      <c r="X85" s="1266"/>
      <c r="Y85" s="672"/>
      <c r="Z85" s="632"/>
      <c r="AA85" s="632"/>
      <c r="AB85" s="632"/>
      <c r="AC85" s="632"/>
      <c r="AD85" s="632"/>
      <c r="AE85" s="632"/>
      <c r="AF85" s="632"/>
      <c r="AG85" s="659"/>
      <c r="AH85" s="659"/>
    </row>
    <row r="86" spans="1:34" x14ac:dyDescent="0.25">
      <c r="A86" s="641">
        <v>870</v>
      </c>
      <c r="B86" s="790" t="s">
        <v>301</v>
      </c>
      <c r="C86" s="646">
        <v>565</v>
      </c>
      <c r="D86" s="646"/>
      <c r="E86" s="645"/>
      <c r="F86" s="669">
        <v>0</v>
      </c>
      <c r="G86" s="669">
        <v>0</v>
      </c>
      <c r="H86" s="670">
        <v>0</v>
      </c>
      <c r="I86" s="669">
        <v>0</v>
      </c>
      <c r="J86" s="670">
        <v>0</v>
      </c>
      <c r="K86" s="669">
        <v>0</v>
      </c>
      <c r="L86" s="669">
        <v>0</v>
      </c>
      <c r="M86" s="670">
        <v>0</v>
      </c>
      <c r="N86" s="669">
        <v>0</v>
      </c>
      <c r="O86" s="670">
        <v>0</v>
      </c>
      <c r="P86" s="669">
        <v>0</v>
      </c>
      <c r="Q86" s="669">
        <v>0</v>
      </c>
      <c r="R86" s="670">
        <v>0</v>
      </c>
      <c r="S86" s="669">
        <v>0</v>
      </c>
      <c r="T86" s="670">
        <v>0</v>
      </c>
      <c r="U86" s="669">
        <v>0</v>
      </c>
      <c r="V86" s="669">
        <v>0</v>
      </c>
      <c r="W86" s="670">
        <v>0</v>
      </c>
      <c r="X86" s="669">
        <v>0</v>
      </c>
      <c r="Y86" s="670">
        <v>0</v>
      </c>
      <c r="Z86" s="632"/>
      <c r="AA86" s="632"/>
      <c r="AB86" s="632"/>
      <c r="AC86" s="632"/>
      <c r="AD86" s="632"/>
      <c r="AE86" s="632"/>
      <c r="AF86" s="632"/>
      <c r="AG86" s="659"/>
      <c r="AH86" s="659"/>
    </row>
    <row r="87" spans="1:34" x14ac:dyDescent="0.25">
      <c r="A87" s="641">
        <v>880</v>
      </c>
      <c r="B87" s="792" t="s">
        <v>461</v>
      </c>
      <c r="C87" s="644" t="s">
        <v>302</v>
      </c>
      <c r="D87" s="644"/>
      <c r="E87" s="645"/>
      <c r="F87" s="669">
        <v>0</v>
      </c>
      <c r="G87" s="669">
        <v>0</v>
      </c>
      <c r="H87" s="670">
        <v>0</v>
      </c>
      <c r="I87" s="669">
        <v>0</v>
      </c>
      <c r="J87" s="670">
        <v>0</v>
      </c>
      <c r="K87" s="669">
        <v>0</v>
      </c>
      <c r="L87" s="669">
        <v>0</v>
      </c>
      <c r="M87" s="670">
        <v>0</v>
      </c>
      <c r="N87" s="669">
        <v>0</v>
      </c>
      <c r="O87" s="670">
        <v>0</v>
      </c>
      <c r="P87" s="669">
        <v>0</v>
      </c>
      <c r="Q87" s="669">
        <v>0</v>
      </c>
      <c r="R87" s="670">
        <v>0</v>
      </c>
      <c r="S87" s="669">
        <v>0</v>
      </c>
      <c r="T87" s="670">
        <v>0</v>
      </c>
      <c r="U87" s="669">
        <v>0</v>
      </c>
      <c r="V87" s="669">
        <v>0</v>
      </c>
      <c r="W87" s="670">
        <v>0</v>
      </c>
      <c r="X87" s="669">
        <v>0</v>
      </c>
      <c r="Y87" s="670">
        <v>0</v>
      </c>
      <c r="Z87" s="632"/>
      <c r="AA87" s="632"/>
      <c r="AB87" s="632"/>
      <c r="AC87" s="632"/>
      <c r="AD87" s="632"/>
      <c r="AE87" s="632"/>
      <c r="AF87" s="632"/>
      <c r="AG87" s="659"/>
      <c r="AH87" s="659"/>
    </row>
    <row r="88" spans="1:34" x14ac:dyDescent="0.25">
      <c r="A88" s="641">
        <v>890</v>
      </c>
      <c r="B88" s="790" t="s">
        <v>462</v>
      </c>
      <c r="C88" s="646" t="s">
        <v>303</v>
      </c>
      <c r="D88" s="646"/>
      <c r="E88" s="645"/>
      <c r="F88" s="669">
        <v>0</v>
      </c>
      <c r="G88" s="669">
        <v>0</v>
      </c>
      <c r="H88" s="670">
        <v>0</v>
      </c>
      <c r="I88" s="669">
        <v>0</v>
      </c>
      <c r="J88" s="670">
        <v>0</v>
      </c>
      <c r="K88" s="669">
        <v>0</v>
      </c>
      <c r="L88" s="669">
        <v>0</v>
      </c>
      <c r="M88" s="670">
        <v>0</v>
      </c>
      <c r="N88" s="669">
        <v>0</v>
      </c>
      <c r="O88" s="670">
        <v>0</v>
      </c>
      <c r="P88" s="669">
        <v>0</v>
      </c>
      <c r="Q88" s="669">
        <v>0</v>
      </c>
      <c r="R88" s="670">
        <v>0</v>
      </c>
      <c r="S88" s="669">
        <v>0</v>
      </c>
      <c r="T88" s="670">
        <v>0</v>
      </c>
      <c r="U88" s="669">
        <v>0</v>
      </c>
      <c r="V88" s="669">
        <v>0</v>
      </c>
      <c r="W88" s="670">
        <v>0</v>
      </c>
      <c r="X88" s="669">
        <v>0</v>
      </c>
      <c r="Y88" s="670">
        <v>0</v>
      </c>
      <c r="Z88" s="632"/>
      <c r="AA88" s="632"/>
      <c r="AB88" s="632"/>
      <c r="AC88" s="632"/>
      <c r="AD88" s="632"/>
      <c r="AE88" s="632"/>
      <c r="AF88" s="632"/>
      <c r="AG88" s="659"/>
      <c r="AH88" s="659"/>
    </row>
    <row r="89" spans="1:34" x14ac:dyDescent="0.25">
      <c r="A89" s="641">
        <v>900</v>
      </c>
      <c r="B89" s="792" t="s">
        <v>167</v>
      </c>
      <c r="C89" s="644">
        <v>924</v>
      </c>
      <c r="D89" s="644"/>
      <c r="E89" s="645"/>
      <c r="F89" s="669">
        <v>0</v>
      </c>
      <c r="G89" s="669">
        <v>0</v>
      </c>
      <c r="H89" s="670">
        <v>0</v>
      </c>
      <c r="I89" s="669">
        <v>0</v>
      </c>
      <c r="J89" s="670">
        <v>0</v>
      </c>
      <c r="K89" s="669">
        <v>0</v>
      </c>
      <c r="L89" s="669">
        <v>0</v>
      </c>
      <c r="M89" s="670">
        <v>0</v>
      </c>
      <c r="N89" s="669">
        <v>0</v>
      </c>
      <c r="O89" s="670">
        <v>0</v>
      </c>
      <c r="P89" s="669">
        <v>0</v>
      </c>
      <c r="Q89" s="669">
        <v>0</v>
      </c>
      <c r="R89" s="670">
        <v>0</v>
      </c>
      <c r="S89" s="669">
        <v>0</v>
      </c>
      <c r="T89" s="670">
        <v>0</v>
      </c>
      <c r="U89" s="669">
        <v>0</v>
      </c>
      <c r="V89" s="669">
        <v>0</v>
      </c>
      <c r="W89" s="670">
        <v>0</v>
      </c>
      <c r="X89" s="669">
        <v>0</v>
      </c>
      <c r="Y89" s="670">
        <v>0</v>
      </c>
      <c r="Z89" s="632"/>
      <c r="AA89" s="632"/>
      <c r="AB89" s="632"/>
      <c r="AC89" s="632"/>
      <c r="AD89" s="632"/>
      <c r="AE89" s="632"/>
      <c r="AF89" s="632"/>
      <c r="AG89" s="659"/>
      <c r="AH89" s="659"/>
    </row>
    <row r="90" spans="1:34" x14ac:dyDescent="0.25">
      <c r="A90" s="641">
        <v>924</v>
      </c>
      <c r="B90" s="790" t="s">
        <v>595</v>
      </c>
      <c r="C90" s="646">
        <v>403</v>
      </c>
      <c r="D90" s="646"/>
      <c r="E90" s="645"/>
      <c r="F90" s="669">
        <v>0</v>
      </c>
      <c r="G90" s="669">
        <v>0</v>
      </c>
      <c r="H90" s="670">
        <v>0</v>
      </c>
      <c r="I90" s="669">
        <v>0</v>
      </c>
      <c r="J90" s="670">
        <v>0</v>
      </c>
      <c r="K90" s="669">
        <v>0</v>
      </c>
      <c r="L90" s="669">
        <v>0</v>
      </c>
      <c r="M90" s="670">
        <v>0</v>
      </c>
      <c r="N90" s="669">
        <v>0</v>
      </c>
      <c r="O90" s="670">
        <v>0</v>
      </c>
      <c r="P90" s="669">
        <v>0</v>
      </c>
      <c r="Q90" s="669">
        <v>0</v>
      </c>
      <c r="R90" s="670">
        <v>0</v>
      </c>
      <c r="S90" s="669">
        <v>0</v>
      </c>
      <c r="T90" s="670">
        <v>0</v>
      </c>
      <c r="U90" s="669">
        <v>0</v>
      </c>
      <c r="V90" s="669">
        <v>0</v>
      </c>
      <c r="W90" s="670">
        <v>0</v>
      </c>
      <c r="X90" s="669">
        <v>0</v>
      </c>
      <c r="Y90" s="670">
        <v>0</v>
      </c>
      <c r="Z90" s="632"/>
      <c r="AA90" s="632"/>
      <c r="AB90" s="632"/>
      <c r="AC90" s="632"/>
      <c r="AD90" s="632"/>
      <c r="AE90" s="632"/>
      <c r="AF90" s="632"/>
      <c r="AG90" s="659"/>
      <c r="AH90" s="659"/>
    </row>
    <row r="91" spans="1:34" x14ac:dyDescent="0.25">
      <c r="A91" s="641">
        <v>920</v>
      </c>
      <c r="B91" s="792" t="s">
        <v>328</v>
      </c>
      <c r="C91" s="644">
        <v>456</v>
      </c>
      <c r="D91" s="644"/>
      <c r="E91" s="645"/>
      <c r="F91" s="669">
        <v>0</v>
      </c>
      <c r="G91" s="669">
        <v>0</v>
      </c>
      <c r="H91" s="670">
        <v>0</v>
      </c>
      <c r="I91" s="669">
        <v>0</v>
      </c>
      <c r="J91" s="670">
        <v>0</v>
      </c>
      <c r="K91" s="669">
        <v>0</v>
      </c>
      <c r="L91" s="669">
        <v>0</v>
      </c>
      <c r="M91" s="670">
        <v>0</v>
      </c>
      <c r="N91" s="669">
        <v>0</v>
      </c>
      <c r="O91" s="670">
        <v>0</v>
      </c>
      <c r="P91" s="669">
        <v>0</v>
      </c>
      <c r="Q91" s="669">
        <v>0</v>
      </c>
      <c r="R91" s="670">
        <v>0</v>
      </c>
      <c r="S91" s="669">
        <v>0</v>
      </c>
      <c r="T91" s="670">
        <v>0</v>
      </c>
      <c r="U91" s="669">
        <v>0</v>
      </c>
      <c r="V91" s="669">
        <v>0</v>
      </c>
      <c r="W91" s="670">
        <v>0</v>
      </c>
      <c r="X91" s="669">
        <v>0</v>
      </c>
      <c r="Y91" s="670">
        <v>0</v>
      </c>
      <c r="Z91" s="632"/>
      <c r="AA91" s="632"/>
      <c r="AB91" s="632"/>
      <c r="AC91" s="632"/>
      <c r="AD91" s="632"/>
      <c r="AE91" s="632"/>
      <c r="AF91" s="632"/>
      <c r="AG91" s="659"/>
      <c r="AH91" s="659"/>
    </row>
    <row r="92" spans="1:34" x14ac:dyDescent="0.25">
      <c r="A92" s="641">
        <v>930</v>
      </c>
      <c r="B92" s="790" t="s">
        <v>503</v>
      </c>
      <c r="C92" s="646">
        <v>456.1</v>
      </c>
      <c r="D92" s="646"/>
      <c r="E92" s="645"/>
      <c r="F92" s="669">
        <v>0</v>
      </c>
      <c r="G92" s="669">
        <v>0</v>
      </c>
      <c r="H92" s="670">
        <v>0</v>
      </c>
      <c r="I92" s="669">
        <v>0</v>
      </c>
      <c r="J92" s="670">
        <v>0</v>
      </c>
      <c r="K92" s="669">
        <v>0</v>
      </c>
      <c r="L92" s="669">
        <v>0</v>
      </c>
      <c r="M92" s="670">
        <v>0</v>
      </c>
      <c r="N92" s="669">
        <v>0</v>
      </c>
      <c r="O92" s="670">
        <v>0</v>
      </c>
      <c r="P92" s="669">
        <v>0</v>
      </c>
      <c r="Q92" s="669">
        <v>0</v>
      </c>
      <c r="R92" s="670">
        <v>0</v>
      </c>
      <c r="S92" s="669">
        <v>0</v>
      </c>
      <c r="T92" s="670">
        <v>0</v>
      </c>
      <c r="U92" s="669">
        <v>0</v>
      </c>
      <c r="V92" s="669">
        <v>0</v>
      </c>
      <c r="W92" s="670">
        <v>0</v>
      </c>
      <c r="X92" s="669">
        <v>0</v>
      </c>
      <c r="Y92" s="670">
        <v>0</v>
      </c>
      <c r="Z92" s="632"/>
      <c r="AA92" s="632"/>
      <c r="AB92" s="632"/>
      <c r="AC92" s="632"/>
      <c r="AD92" s="632"/>
      <c r="AE92" s="632"/>
      <c r="AF92" s="632"/>
      <c r="AG92" s="659"/>
      <c r="AH92" s="659"/>
    </row>
    <row r="93" spans="1:34" x14ac:dyDescent="0.25">
      <c r="A93" s="641">
        <v>940</v>
      </c>
      <c r="B93" s="793" t="s">
        <v>304</v>
      </c>
      <c r="C93" s="647"/>
      <c r="D93" s="647"/>
      <c r="E93" s="648"/>
      <c r="F93" s="672"/>
      <c r="G93" s="672"/>
      <c r="H93" s="672"/>
      <c r="I93" s="672"/>
      <c r="J93" s="672"/>
      <c r="K93" s="672"/>
      <c r="L93" s="672"/>
      <c r="M93" s="672"/>
      <c r="N93" s="672"/>
      <c r="O93" s="672"/>
      <c r="P93" s="672"/>
      <c r="Q93" s="672"/>
      <c r="R93" s="672"/>
      <c r="S93" s="672"/>
      <c r="T93" s="672"/>
      <c r="U93" s="672"/>
      <c r="V93" s="672"/>
      <c r="W93" s="672"/>
      <c r="X93" s="672"/>
      <c r="Y93" s="672"/>
      <c r="Z93" s="632"/>
      <c r="AA93" s="632"/>
      <c r="AB93" s="632"/>
      <c r="AC93" s="632"/>
      <c r="AD93" s="632"/>
      <c r="AE93" s="632"/>
      <c r="AF93" s="632"/>
      <c r="AG93" s="659"/>
      <c r="AH93" s="659"/>
    </row>
    <row r="94" spans="1:34" x14ac:dyDescent="0.25">
      <c r="A94" s="641">
        <v>950</v>
      </c>
      <c r="B94" s="790" t="s">
        <v>305</v>
      </c>
      <c r="C94" s="646">
        <v>262</v>
      </c>
      <c r="D94" s="646"/>
      <c r="E94" s="645"/>
      <c r="F94" s="669">
        <v>0</v>
      </c>
      <c r="G94" s="669">
        <v>0</v>
      </c>
      <c r="H94" s="670">
        <v>0</v>
      </c>
      <c r="I94" s="669">
        <v>0</v>
      </c>
      <c r="J94" s="670">
        <v>0</v>
      </c>
      <c r="K94" s="669">
        <v>0</v>
      </c>
      <c r="L94" s="669">
        <v>0</v>
      </c>
      <c r="M94" s="670">
        <v>0</v>
      </c>
      <c r="N94" s="669">
        <v>0</v>
      </c>
      <c r="O94" s="670">
        <v>0</v>
      </c>
      <c r="P94" s="669">
        <v>0</v>
      </c>
      <c r="Q94" s="669">
        <v>0</v>
      </c>
      <c r="R94" s="670">
        <v>0</v>
      </c>
      <c r="S94" s="669">
        <v>0</v>
      </c>
      <c r="T94" s="670">
        <v>0</v>
      </c>
      <c r="U94" s="669">
        <v>0</v>
      </c>
      <c r="V94" s="669">
        <v>0</v>
      </c>
      <c r="W94" s="670">
        <v>0</v>
      </c>
      <c r="X94" s="669">
        <v>0</v>
      </c>
      <c r="Y94" s="670">
        <v>0</v>
      </c>
      <c r="Z94" s="632"/>
      <c r="AA94" s="632"/>
      <c r="AB94" s="632"/>
      <c r="AC94" s="632"/>
      <c r="AD94" s="632"/>
      <c r="AE94" s="632"/>
      <c r="AF94" s="632"/>
      <c r="AG94" s="659"/>
      <c r="AH94" s="659"/>
    </row>
    <row r="95" spans="1:34" x14ac:dyDescent="0.25">
      <c r="A95" s="641">
        <v>960</v>
      </c>
      <c r="B95" s="792"/>
      <c r="C95" s="644"/>
      <c r="D95" s="644"/>
      <c r="E95" s="645"/>
      <c r="F95" s="669"/>
      <c r="G95" s="670"/>
      <c r="H95" s="670"/>
      <c r="I95" s="669"/>
      <c r="J95" s="670"/>
      <c r="K95" s="669"/>
      <c r="L95" s="670"/>
      <c r="M95" s="791"/>
      <c r="N95" s="669"/>
      <c r="O95" s="670"/>
      <c r="P95" s="670"/>
      <c r="Q95" s="670"/>
      <c r="R95" s="670"/>
      <c r="S95" s="670"/>
      <c r="T95" s="670"/>
      <c r="U95" s="670"/>
      <c r="V95" s="670"/>
      <c r="W95" s="670"/>
      <c r="X95" s="670"/>
      <c r="Y95" s="671"/>
      <c r="Z95" s="632"/>
      <c r="AA95" s="632"/>
      <c r="AB95" s="632"/>
      <c r="AC95" s="632"/>
      <c r="AD95" s="632"/>
      <c r="AE95" s="632"/>
      <c r="AF95" s="632"/>
      <c r="AG95" s="659"/>
      <c r="AH95" s="659"/>
    </row>
    <row r="96" spans="1:34" x14ac:dyDescent="0.25">
      <c r="A96" s="641">
        <v>970</v>
      </c>
      <c r="B96" s="790"/>
      <c r="C96" s="646"/>
      <c r="D96" s="646"/>
      <c r="E96" s="645"/>
      <c r="F96" s="669"/>
      <c r="G96" s="670"/>
      <c r="H96" s="670"/>
      <c r="I96" s="669"/>
      <c r="J96" s="670"/>
      <c r="K96" s="669"/>
      <c r="L96" s="670"/>
      <c r="M96" s="791"/>
      <c r="N96" s="669"/>
      <c r="O96" s="670"/>
      <c r="P96" s="670"/>
      <c r="Q96" s="670"/>
      <c r="R96" s="670"/>
      <c r="S96" s="670"/>
      <c r="T96" s="670"/>
      <c r="U96" s="670"/>
      <c r="V96" s="670"/>
      <c r="W96" s="670"/>
      <c r="X96" s="670"/>
      <c r="Y96" s="671"/>
      <c r="Z96" s="632"/>
      <c r="AA96" s="632"/>
      <c r="AB96" s="632"/>
      <c r="AC96" s="632"/>
      <c r="AD96" s="632"/>
      <c r="AE96" s="632"/>
      <c r="AF96" s="632"/>
      <c r="AG96" s="659"/>
      <c r="AH96" s="659"/>
    </row>
    <row r="97" spans="1:34" x14ac:dyDescent="0.25">
      <c r="A97" s="641">
        <v>980</v>
      </c>
      <c r="B97" s="793"/>
      <c r="C97" s="644"/>
      <c r="D97" s="644"/>
      <c r="E97" s="645"/>
      <c r="F97" s="669"/>
      <c r="G97" s="670"/>
      <c r="H97" s="670"/>
      <c r="I97" s="669"/>
      <c r="J97" s="670"/>
      <c r="K97" s="669"/>
      <c r="L97" s="670"/>
      <c r="M97" s="791"/>
      <c r="N97" s="669"/>
      <c r="O97" s="670"/>
      <c r="P97" s="670"/>
      <c r="Q97" s="670"/>
      <c r="R97" s="670"/>
      <c r="S97" s="670"/>
      <c r="T97" s="670"/>
      <c r="U97" s="670"/>
      <c r="V97" s="670"/>
      <c r="W97" s="670"/>
      <c r="X97" s="670"/>
      <c r="Y97" s="671"/>
      <c r="Z97" s="632"/>
      <c r="AA97" s="632"/>
      <c r="AB97" s="632"/>
      <c r="AC97" s="632"/>
      <c r="AD97" s="632"/>
      <c r="AE97" s="632"/>
      <c r="AF97" s="632"/>
      <c r="AG97" s="659"/>
      <c r="AH97" s="659"/>
    </row>
    <row r="98" spans="1:34" x14ac:dyDescent="0.25">
      <c r="A98" s="641">
        <v>990</v>
      </c>
      <c r="B98" s="790"/>
      <c r="C98" s="646"/>
      <c r="D98" s="646"/>
      <c r="E98" s="645"/>
      <c r="F98" s="669"/>
      <c r="G98" s="670"/>
      <c r="H98" s="670"/>
      <c r="I98" s="669"/>
      <c r="J98" s="670"/>
      <c r="K98" s="669"/>
      <c r="L98" s="670"/>
      <c r="M98" s="791"/>
      <c r="N98" s="669"/>
      <c r="O98" s="670"/>
      <c r="P98" s="670"/>
      <c r="Q98" s="670"/>
      <c r="R98" s="670"/>
      <c r="S98" s="670"/>
      <c r="T98" s="670"/>
      <c r="U98" s="670"/>
      <c r="V98" s="670"/>
      <c r="W98" s="670"/>
      <c r="X98" s="670"/>
      <c r="Y98" s="671"/>
      <c r="Z98" s="632"/>
      <c r="AA98" s="632"/>
      <c r="AB98" s="632"/>
      <c r="AC98" s="632"/>
      <c r="AD98" s="632"/>
      <c r="AE98" s="632"/>
      <c r="AF98" s="632"/>
      <c r="AG98" s="659"/>
      <c r="AH98" s="659"/>
    </row>
    <row r="99" spans="1:34" x14ac:dyDescent="0.25">
      <c r="A99" s="641">
        <v>1000</v>
      </c>
      <c r="B99" s="792"/>
      <c r="C99" s="644"/>
      <c r="D99" s="644"/>
      <c r="E99" s="645"/>
      <c r="F99" s="669"/>
      <c r="G99" s="670"/>
      <c r="H99" s="670"/>
      <c r="I99" s="669"/>
      <c r="J99" s="670"/>
      <c r="K99" s="669"/>
      <c r="L99" s="670"/>
      <c r="M99" s="791"/>
      <c r="N99" s="669"/>
      <c r="O99" s="670"/>
      <c r="P99" s="670"/>
      <c r="Q99" s="670"/>
      <c r="R99" s="670"/>
      <c r="S99" s="670"/>
      <c r="T99" s="670"/>
      <c r="U99" s="670"/>
      <c r="V99" s="670"/>
      <c r="W99" s="670"/>
      <c r="X99" s="670"/>
      <c r="Y99" s="671"/>
      <c r="Z99" s="632"/>
      <c r="AA99" s="632"/>
      <c r="AB99" s="632"/>
      <c r="AC99" s="632"/>
      <c r="AD99" s="632"/>
      <c r="AE99" s="632"/>
      <c r="AF99" s="632"/>
      <c r="AG99" s="659"/>
      <c r="AH99" s="659"/>
    </row>
    <row r="100" spans="1:34" x14ac:dyDescent="0.25">
      <c r="A100" s="641">
        <v>1010</v>
      </c>
      <c r="B100" s="790"/>
      <c r="C100" s="646"/>
      <c r="D100" s="646"/>
      <c r="E100" s="645"/>
      <c r="F100" s="669"/>
      <c r="G100" s="670"/>
      <c r="H100" s="670"/>
      <c r="I100" s="669"/>
      <c r="J100" s="670"/>
      <c r="K100" s="669"/>
      <c r="L100" s="670"/>
      <c r="M100" s="791"/>
      <c r="N100" s="669"/>
      <c r="O100" s="670"/>
      <c r="P100" s="670"/>
      <c r="Q100" s="670"/>
      <c r="R100" s="670"/>
      <c r="S100" s="670"/>
      <c r="T100" s="670"/>
      <c r="U100" s="670"/>
      <c r="V100" s="670"/>
      <c r="W100" s="670"/>
      <c r="X100" s="670"/>
      <c r="Y100" s="671"/>
      <c r="Z100" s="632"/>
      <c r="AA100" s="632"/>
      <c r="AB100" s="632"/>
      <c r="AC100" s="632"/>
      <c r="AD100" s="632"/>
      <c r="AE100" s="632"/>
      <c r="AF100" s="632"/>
      <c r="AG100" s="659"/>
      <c r="AH100" s="659"/>
    </row>
    <row r="101" spans="1:34" x14ac:dyDescent="0.25">
      <c r="A101" s="641">
        <v>1020</v>
      </c>
      <c r="B101" s="792"/>
      <c r="C101" s="644"/>
      <c r="D101" s="644"/>
      <c r="E101" s="645"/>
      <c r="F101" s="669"/>
      <c r="G101" s="670"/>
      <c r="H101" s="670"/>
      <c r="I101" s="669"/>
      <c r="J101" s="670"/>
      <c r="K101" s="669"/>
      <c r="L101" s="670"/>
      <c r="M101" s="791"/>
      <c r="N101" s="669"/>
      <c r="O101" s="670"/>
      <c r="P101" s="670"/>
      <c r="Q101" s="670"/>
      <c r="R101" s="670"/>
      <c r="S101" s="670"/>
      <c r="T101" s="670"/>
      <c r="U101" s="670"/>
      <c r="V101" s="670"/>
      <c r="W101" s="670"/>
      <c r="X101" s="670"/>
      <c r="Y101" s="671"/>
      <c r="Z101" s="632"/>
      <c r="AA101" s="632"/>
      <c r="AB101" s="632"/>
      <c r="AC101" s="632"/>
      <c r="AD101" s="632"/>
      <c r="AE101" s="632"/>
      <c r="AF101" s="632"/>
      <c r="AG101" s="659"/>
      <c r="AH101" s="659"/>
    </row>
    <row r="102" spans="1:34" x14ac:dyDescent="0.25">
      <c r="A102" s="641">
        <v>1030</v>
      </c>
      <c r="B102" s="790"/>
      <c r="C102" s="646"/>
      <c r="D102" s="646"/>
      <c r="E102" s="645"/>
      <c r="F102" s="669"/>
      <c r="G102" s="670"/>
      <c r="H102" s="670"/>
      <c r="I102" s="669"/>
      <c r="J102" s="670"/>
      <c r="K102" s="669"/>
      <c r="L102" s="670"/>
      <c r="M102" s="791"/>
      <c r="N102" s="669"/>
      <c r="O102" s="670"/>
      <c r="P102" s="670"/>
      <c r="Q102" s="670"/>
      <c r="R102" s="670"/>
      <c r="S102" s="670"/>
      <c r="T102" s="670"/>
      <c r="U102" s="670"/>
      <c r="V102" s="670"/>
      <c r="W102" s="670"/>
      <c r="X102" s="670"/>
      <c r="Y102" s="671"/>
      <c r="Z102" s="632"/>
      <c r="AA102" s="632"/>
      <c r="AB102" s="632"/>
      <c r="AC102" s="632"/>
      <c r="AD102" s="632"/>
      <c r="AE102" s="632"/>
      <c r="AF102" s="632"/>
      <c r="AG102" s="659"/>
      <c r="AH102" s="659"/>
    </row>
    <row r="103" spans="1:34" x14ac:dyDescent="0.25">
      <c r="A103" s="641">
        <v>1040</v>
      </c>
      <c r="B103" s="792"/>
      <c r="C103" s="644"/>
      <c r="D103" s="644"/>
      <c r="E103" s="645"/>
      <c r="F103" s="669"/>
      <c r="G103" s="670"/>
      <c r="H103" s="670"/>
      <c r="I103" s="669"/>
      <c r="J103" s="670"/>
      <c r="K103" s="669"/>
      <c r="L103" s="670"/>
      <c r="M103" s="791"/>
      <c r="N103" s="669"/>
      <c r="O103" s="670"/>
      <c r="P103" s="670"/>
      <c r="Q103" s="670"/>
      <c r="R103" s="670"/>
      <c r="S103" s="670"/>
      <c r="T103" s="670"/>
      <c r="U103" s="670"/>
      <c r="V103" s="670"/>
      <c r="W103" s="670"/>
      <c r="X103" s="670"/>
      <c r="Y103" s="671"/>
      <c r="Z103" s="632"/>
      <c r="AA103" s="632"/>
      <c r="AB103" s="632"/>
      <c r="AC103" s="632"/>
      <c r="AD103" s="632"/>
      <c r="AE103" s="632"/>
      <c r="AF103" s="632"/>
      <c r="AG103" s="659"/>
      <c r="AH103" s="659"/>
    </row>
    <row r="104" spans="1:34" x14ac:dyDescent="0.25">
      <c r="A104" s="641">
        <v>1050</v>
      </c>
      <c r="B104" s="792"/>
      <c r="C104" s="644"/>
      <c r="D104" s="644"/>
      <c r="E104" s="645"/>
      <c r="F104" s="669"/>
      <c r="G104" s="670"/>
      <c r="H104" s="670"/>
      <c r="I104" s="669"/>
      <c r="J104" s="670"/>
      <c r="K104" s="669"/>
      <c r="L104" s="670"/>
      <c r="M104" s="791"/>
      <c r="N104" s="669"/>
      <c r="O104" s="670"/>
      <c r="P104" s="670"/>
      <c r="Q104" s="670"/>
      <c r="R104" s="670"/>
      <c r="S104" s="670"/>
      <c r="T104" s="670"/>
      <c r="U104" s="670"/>
      <c r="V104" s="670"/>
      <c r="W104" s="670"/>
      <c r="X104" s="670"/>
      <c r="Y104" s="671"/>
      <c r="Z104" s="632"/>
      <c r="AA104" s="632"/>
      <c r="AB104" s="632"/>
      <c r="AC104" s="632"/>
      <c r="AD104" s="632"/>
      <c r="AE104" s="632"/>
      <c r="AF104" s="632"/>
      <c r="AG104" s="659"/>
      <c r="AH104" s="659"/>
    </row>
    <row r="105" spans="1:34" x14ac:dyDescent="0.25">
      <c r="A105" s="641">
        <v>1060</v>
      </c>
      <c r="B105" s="790"/>
      <c r="C105" s="646"/>
      <c r="D105" s="646"/>
      <c r="E105" s="645"/>
      <c r="F105" s="669"/>
      <c r="G105" s="670"/>
      <c r="H105" s="670"/>
      <c r="I105" s="669"/>
      <c r="J105" s="670"/>
      <c r="K105" s="669"/>
      <c r="L105" s="670"/>
      <c r="M105" s="791"/>
      <c r="N105" s="669"/>
      <c r="O105" s="670"/>
      <c r="P105" s="670"/>
      <c r="Q105" s="670"/>
      <c r="R105" s="670"/>
      <c r="S105" s="670"/>
      <c r="T105" s="670"/>
      <c r="U105" s="670"/>
      <c r="V105" s="670"/>
      <c r="W105" s="670"/>
      <c r="X105" s="670"/>
      <c r="Y105" s="671"/>
      <c r="Z105" s="632"/>
      <c r="AA105" s="632"/>
      <c r="AB105" s="632"/>
      <c r="AC105" s="632"/>
      <c r="AD105" s="632"/>
      <c r="AE105" s="632"/>
      <c r="AF105" s="632"/>
      <c r="AG105" s="659"/>
      <c r="AH105" s="659"/>
    </row>
    <row r="106" spans="1:34" x14ac:dyDescent="0.25">
      <c r="A106" s="641">
        <v>1070</v>
      </c>
      <c r="B106" s="799"/>
      <c r="C106" s="651"/>
      <c r="D106" s="651"/>
      <c r="E106" s="652"/>
      <c r="F106" s="676"/>
      <c r="G106" s="677"/>
      <c r="H106" s="677"/>
      <c r="I106" s="676"/>
      <c r="J106" s="677"/>
      <c r="K106" s="676"/>
      <c r="L106" s="677"/>
      <c r="M106" s="800"/>
      <c r="N106" s="676"/>
      <c r="O106" s="677"/>
      <c r="P106" s="677"/>
      <c r="Q106" s="677"/>
      <c r="R106" s="677"/>
      <c r="S106" s="677"/>
      <c r="T106" s="677"/>
      <c r="U106" s="677"/>
      <c r="V106" s="677"/>
      <c r="W106" s="677"/>
      <c r="X106" s="677"/>
      <c r="Y106" s="678"/>
      <c r="Z106" s="632"/>
      <c r="AA106" s="632"/>
      <c r="AB106" s="632"/>
      <c r="AC106" s="632"/>
      <c r="AD106" s="632"/>
      <c r="AE106" s="632"/>
      <c r="AF106" s="632"/>
      <c r="AG106" s="659"/>
      <c r="AH106" s="659"/>
    </row>
    <row r="107" spans="1:34" x14ac:dyDescent="0.25">
      <c r="A107" s="641">
        <v>1080</v>
      </c>
      <c r="B107" s="793" t="s">
        <v>306</v>
      </c>
      <c r="C107" s="647"/>
      <c r="D107" s="647"/>
      <c r="E107" s="648"/>
      <c r="F107" s="672"/>
      <c r="G107" s="672"/>
      <c r="H107" s="1303"/>
      <c r="I107" s="672"/>
      <c r="J107" s="672"/>
      <c r="K107" s="672"/>
      <c r="L107" s="672"/>
      <c r="M107" s="794"/>
      <c r="N107" s="672"/>
      <c r="O107" s="672"/>
      <c r="P107" s="672"/>
      <c r="Q107" s="672"/>
      <c r="R107" s="672"/>
      <c r="S107" s="672"/>
      <c r="T107" s="672"/>
      <c r="U107" s="672"/>
      <c r="V107" s="672"/>
      <c r="W107" s="672"/>
      <c r="X107" s="672"/>
      <c r="Y107" s="673"/>
      <c r="Z107" s="632"/>
      <c r="AA107" s="632"/>
      <c r="AB107" s="632"/>
      <c r="AC107" s="632"/>
      <c r="AD107" s="632"/>
      <c r="AE107" s="632"/>
      <c r="AF107" s="632"/>
      <c r="AG107" s="659"/>
      <c r="AH107" s="659"/>
    </row>
    <row r="108" spans="1:34" x14ac:dyDescent="0.25">
      <c r="A108" s="653">
        <v>92400</v>
      </c>
      <c r="B108" s="790" t="s">
        <v>307</v>
      </c>
      <c r="C108" s="646"/>
      <c r="D108" s="646"/>
      <c r="E108" s="645"/>
      <c r="F108" s="679">
        <f>SUM(F9,F49)</f>
        <v>0</v>
      </c>
      <c r="G108" s="679">
        <f>SUM(G9,G49)</f>
        <v>0</v>
      </c>
      <c r="H108" s="680">
        <f>SUM(H9,H49)</f>
        <v>0</v>
      </c>
      <c r="I108" s="679">
        <f t="shared" ref="I108:Y108" si="17">SUM(I9,I49)</f>
        <v>0</v>
      </c>
      <c r="J108" s="679">
        <f t="shared" si="17"/>
        <v>0</v>
      </c>
      <c r="K108" s="679">
        <f>SUM(K9,K49)</f>
        <v>0</v>
      </c>
      <c r="L108" s="679">
        <f>SUM(L9,L49)</f>
        <v>0</v>
      </c>
      <c r="M108" s="798">
        <f>SUM(M9,M49)</f>
        <v>0</v>
      </c>
      <c r="N108" s="679">
        <f t="shared" si="17"/>
        <v>0</v>
      </c>
      <c r="O108" s="679">
        <f t="shared" si="17"/>
        <v>0</v>
      </c>
      <c r="P108" s="679">
        <f t="shared" si="17"/>
        <v>0</v>
      </c>
      <c r="Q108" s="679">
        <f t="shared" si="17"/>
        <v>0</v>
      </c>
      <c r="R108" s="679">
        <f t="shared" si="17"/>
        <v>0</v>
      </c>
      <c r="S108" s="679">
        <f t="shared" si="17"/>
        <v>0</v>
      </c>
      <c r="T108" s="679">
        <f t="shared" si="17"/>
        <v>0</v>
      </c>
      <c r="U108" s="679">
        <f t="shared" si="17"/>
        <v>0</v>
      </c>
      <c r="V108" s="679">
        <f t="shared" si="17"/>
        <v>0</v>
      </c>
      <c r="W108" s="679">
        <f t="shared" si="17"/>
        <v>0</v>
      </c>
      <c r="X108" s="679">
        <f t="shared" si="17"/>
        <v>0</v>
      </c>
      <c r="Y108" s="679">
        <f t="shared" si="17"/>
        <v>0</v>
      </c>
    </row>
    <row r="109" spans="1:34" x14ac:dyDescent="0.25">
      <c r="A109" s="653">
        <v>92000</v>
      </c>
      <c r="B109" s="792" t="s">
        <v>308</v>
      </c>
      <c r="C109" s="644"/>
      <c r="D109" s="644"/>
      <c r="E109" s="645"/>
      <c r="F109" s="679">
        <f>SUM(F10,F24,F36,F50,F84)</f>
        <v>0</v>
      </c>
      <c r="G109" s="679">
        <f>SUM(G10,G24,G36,G50,G84)</f>
        <v>0</v>
      </c>
      <c r="H109" s="680">
        <f>SUM(H10,H24,H36,H50,H84)</f>
        <v>0</v>
      </c>
      <c r="I109" s="679">
        <f t="shared" ref="I109:Y109" si="18">SUM(I10,I24,I36,I50,I84)</f>
        <v>0</v>
      </c>
      <c r="J109" s="679">
        <f t="shared" si="18"/>
        <v>0</v>
      </c>
      <c r="K109" s="679">
        <f>SUM(K10,K24,K36,K50,K84)</f>
        <v>0</v>
      </c>
      <c r="L109" s="679">
        <f>SUM(L10,L24,L36,L50,L84)</f>
        <v>0</v>
      </c>
      <c r="M109" s="798">
        <f>SUM(M10,M24,M36,M50,M84)</f>
        <v>0</v>
      </c>
      <c r="N109" s="679">
        <f t="shared" si="18"/>
        <v>0</v>
      </c>
      <c r="O109" s="679">
        <f t="shared" si="18"/>
        <v>0</v>
      </c>
      <c r="P109" s="679">
        <f t="shared" si="18"/>
        <v>0</v>
      </c>
      <c r="Q109" s="679">
        <f t="shared" si="18"/>
        <v>0</v>
      </c>
      <c r="R109" s="679">
        <f t="shared" si="18"/>
        <v>0</v>
      </c>
      <c r="S109" s="679">
        <f t="shared" si="18"/>
        <v>0</v>
      </c>
      <c r="T109" s="679">
        <f t="shared" si="18"/>
        <v>0</v>
      </c>
      <c r="U109" s="679">
        <f t="shared" si="18"/>
        <v>0</v>
      </c>
      <c r="V109" s="679">
        <f t="shared" si="18"/>
        <v>0</v>
      </c>
      <c r="W109" s="679">
        <f t="shared" si="18"/>
        <v>0</v>
      </c>
      <c r="X109" s="679">
        <f t="shared" si="18"/>
        <v>0</v>
      </c>
      <c r="Y109" s="679">
        <f t="shared" si="18"/>
        <v>0</v>
      </c>
    </row>
    <row r="110" spans="1:34" x14ac:dyDescent="0.25">
      <c r="A110" s="653">
        <v>93000</v>
      </c>
      <c r="B110" s="790" t="s">
        <v>309</v>
      </c>
      <c r="C110" s="646"/>
      <c r="D110" s="646"/>
      <c r="E110" s="645"/>
      <c r="F110" s="679">
        <f>SUM(F11,F51)</f>
        <v>0</v>
      </c>
      <c r="G110" s="679">
        <f>SUM(G11,G51)</f>
        <v>0</v>
      </c>
      <c r="H110" s="680">
        <f>SUM(H11,H51)</f>
        <v>0</v>
      </c>
      <c r="I110" s="679">
        <f t="shared" ref="I110:Y110" si="19">SUM(I11,I51)</f>
        <v>0</v>
      </c>
      <c r="J110" s="679">
        <f t="shared" si="19"/>
        <v>0</v>
      </c>
      <c r="K110" s="679">
        <f>SUM(K11,K51)</f>
        <v>0</v>
      </c>
      <c r="L110" s="679">
        <f>SUM(L11,L51)</f>
        <v>0</v>
      </c>
      <c r="M110" s="798">
        <f>SUM(M11,M51)</f>
        <v>0</v>
      </c>
      <c r="N110" s="679">
        <f t="shared" si="19"/>
        <v>0</v>
      </c>
      <c r="O110" s="679">
        <f t="shared" si="19"/>
        <v>0</v>
      </c>
      <c r="P110" s="679">
        <f t="shared" si="19"/>
        <v>0</v>
      </c>
      <c r="Q110" s="679">
        <f t="shared" si="19"/>
        <v>0</v>
      </c>
      <c r="R110" s="679">
        <f t="shared" si="19"/>
        <v>0</v>
      </c>
      <c r="S110" s="679">
        <f t="shared" si="19"/>
        <v>0</v>
      </c>
      <c r="T110" s="679">
        <f t="shared" si="19"/>
        <v>0</v>
      </c>
      <c r="U110" s="679">
        <f t="shared" si="19"/>
        <v>0</v>
      </c>
      <c r="V110" s="679">
        <f t="shared" si="19"/>
        <v>0</v>
      </c>
      <c r="W110" s="679">
        <f t="shared" si="19"/>
        <v>0</v>
      </c>
      <c r="X110" s="679">
        <f t="shared" si="19"/>
        <v>0</v>
      </c>
      <c r="Y110" s="679">
        <f t="shared" si="19"/>
        <v>0</v>
      </c>
    </row>
    <row r="111" spans="1:34" x14ac:dyDescent="0.25">
      <c r="A111" s="653">
        <v>94000</v>
      </c>
      <c r="B111" s="792" t="s">
        <v>310</v>
      </c>
      <c r="C111" s="644"/>
      <c r="D111" s="644"/>
      <c r="E111" s="645"/>
      <c r="F111" s="679">
        <f>SUM(F16,F29,F40,F56,F89)</f>
        <v>0</v>
      </c>
      <c r="G111" s="679">
        <f>SUM(G16,G29,G40,G56,G89)</f>
        <v>0</v>
      </c>
      <c r="H111" s="680">
        <f>SUM(H16,H29,H40,H56,H89)</f>
        <v>0</v>
      </c>
      <c r="I111" s="679">
        <f t="shared" ref="I111:Y111" si="20">SUM(I16,I29,I40,I56,I89)</f>
        <v>0</v>
      </c>
      <c r="J111" s="679">
        <f t="shared" si="20"/>
        <v>0</v>
      </c>
      <c r="K111" s="679">
        <f>SUM(K16,K29,K40,K56,K89)</f>
        <v>0</v>
      </c>
      <c r="L111" s="679">
        <f>SUM(L16,L29,L40,L56,L89)</f>
        <v>0</v>
      </c>
      <c r="M111" s="798">
        <f>SUM(M16,M29,M40,M56,M89)</f>
        <v>0</v>
      </c>
      <c r="N111" s="679">
        <f t="shared" si="20"/>
        <v>0</v>
      </c>
      <c r="O111" s="679">
        <f t="shared" si="20"/>
        <v>0</v>
      </c>
      <c r="P111" s="679">
        <f t="shared" si="20"/>
        <v>0</v>
      </c>
      <c r="Q111" s="679">
        <f t="shared" si="20"/>
        <v>0</v>
      </c>
      <c r="R111" s="679">
        <f t="shared" si="20"/>
        <v>0</v>
      </c>
      <c r="S111" s="679">
        <f t="shared" si="20"/>
        <v>0</v>
      </c>
      <c r="T111" s="679">
        <f t="shared" si="20"/>
        <v>0</v>
      </c>
      <c r="U111" s="679">
        <f t="shared" si="20"/>
        <v>0</v>
      </c>
      <c r="V111" s="679">
        <f t="shared" si="20"/>
        <v>0</v>
      </c>
      <c r="W111" s="679">
        <f t="shared" si="20"/>
        <v>0</v>
      </c>
      <c r="X111" s="679">
        <f t="shared" si="20"/>
        <v>0</v>
      </c>
      <c r="Y111" s="679">
        <f t="shared" si="20"/>
        <v>0</v>
      </c>
    </row>
    <row r="112" spans="1:34" x14ac:dyDescent="0.25">
      <c r="A112" s="653">
        <v>95000</v>
      </c>
      <c r="B112" s="790"/>
      <c r="C112" s="646"/>
      <c r="D112" s="646"/>
      <c r="E112" s="645"/>
      <c r="F112" s="679"/>
      <c r="G112" s="679"/>
      <c r="H112" s="680"/>
      <c r="I112" s="679"/>
      <c r="J112" s="679"/>
      <c r="K112" s="679"/>
      <c r="L112" s="679"/>
      <c r="M112" s="798"/>
      <c r="N112" s="679"/>
      <c r="O112" s="679"/>
      <c r="P112" s="679"/>
      <c r="Q112" s="679"/>
      <c r="R112" s="679"/>
      <c r="S112" s="679"/>
      <c r="T112" s="679"/>
      <c r="U112" s="679"/>
      <c r="V112" s="679"/>
      <c r="W112" s="679"/>
      <c r="X112" s="679"/>
      <c r="Y112" s="679"/>
    </row>
    <row r="113" spans="1:25" x14ac:dyDescent="0.25">
      <c r="A113" s="653">
        <v>96000</v>
      </c>
      <c r="B113" s="792" t="s">
        <v>311</v>
      </c>
      <c r="C113" s="644"/>
      <c r="D113" s="644"/>
      <c r="E113" s="645"/>
      <c r="F113" s="679">
        <f>SUM(F62,F94)</f>
        <v>0</v>
      </c>
      <c r="G113" s="679">
        <f>SUM(G62,G94)</f>
        <v>0</v>
      </c>
      <c r="H113" s="680">
        <f>SUM(H62,H94)</f>
        <v>0</v>
      </c>
      <c r="I113" s="679">
        <f t="shared" ref="I113:Y113" si="21">SUM(I62,I94)</f>
        <v>0</v>
      </c>
      <c r="J113" s="679">
        <f t="shared" si="21"/>
        <v>0</v>
      </c>
      <c r="K113" s="679">
        <f>SUM(K62,K94)</f>
        <v>0</v>
      </c>
      <c r="L113" s="679">
        <f>SUM(L62,L94)</f>
        <v>0</v>
      </c>
      <c r="M113" s="798">
        <f>SUM(M62,M94)</f>
        <v>0</v>
      </c>
      <c r="N113" s="679">
        <f t="shared" si="21"/>
        <v>0</v>
      </c>
      <c r="O113" s="679">
        <f t="shared" si="21"/>
        <v>0</v>
      </c>
      <c r="P113" s="679">
        <f t="shared" si="21"/>
        <v>0</v>
      </c>
      <c r="Q113" s="679">
        <f t="shared" si="21"/>
        <v>0</v>
      </c>
      <c r="R113" s="679">
        <f t="shared" si="21"/>
        <v>0</v>
      </c>
      <c r="S113" s="679">
        <f t="shared" si="21"/>
        <v>0</v>
      </c>
      <c r="T113" s="679">
        <f t="shared" si="21"/>
        <v>0</v>
      </c>
      <c r="U113" s="679">
        <f t="shared" si="21"/>
        <v>0</v>
      </c>
      <c r="V113" s="679">
        <f t="shared" si="21"/>
        <v>0</v>
      </c>
      <c r="W113" s="679">
        <f t="shared" si="21"/>
        <v>0</v>
      </c>
      <c r="X113" s="679">
        <f t="shared" si="21"/>
        <v>0</v>
      </c>
      <c r="Y113" s="679">
        <f t="shared" si="21"/>
        <v>0</v>
      </c>
    </row>
    <row r="114" spans="1:25" x14ac:dyDescent="0.25">
      <c r="A114" s="653">
        <v>97000</v>
      </c>
      <c r="B114" s="790"/>
      <c r="C114" s="646"/>
      <c r="D114" s="646"/>
      <c r="E114" s="645"/>
      <c r="F114" s="679"/>
      <c r="G114" s="679"/>
      <c r="H114" s="680"/>
      <c r="I114" s="679"/>
      <c r="J114" s="679"/>
      <c r="K114" s="679"/>
      <c r="L114" s="679"/>
      <c r="M114" s="798"/>
      <c r="N114" s="679"/>
      <c r="O114" s="679"/>
      <c r="P114" s="679"/>
      <c r="Q114" s="679"/>
      <c r="R114" s="679"/>
      <c r="S114" s="679"/>
      <c r="T114" s="679"/>
      <c r="U114" s="679"/>
      <c r="V114" s="679"/>
      <c r="W114" s="679"/>
      <c r="X114" s="679"/>
      <c r="Y114" s="679"/>
    </row>
    <row r="115" spans="1:25" x14ac:dyDescent="0.25">
      <c r="A115" s="653">
        <v>98000</v>
      </c>
      <c r="B115" s="792" t="s">
        <v>312</v>
      </c>
      <c r="C115" s="644"/>
      <c r="D115" s="644"/>
      <c r="E115" s="645"/>
      <c r="F115" s="679">
        <f>F14+F15</f>
        <v>0</v>
      </c>
      <c r="G115" s="679">
        <f>G14+G15</f>
        <v>0</v>
      </c>
      <c r="H115" s="680">
        <f>H14+H15</f>
        <v>0</v>
      </c>
      <c r="I115" s="679">
        <f t="shared" ref="I115:Y115" si="22">I14+I15</f>
        <v>0</v>
      </c>
      <c r="J115" s="679">
        <f t="shared" si="22"/>
        <v>0</v>
      </c>
      <c r="K115" s="679">
        <f>K14+K15</f>
        <v>0</v>
      </c>
      <c r="L115" s="679">
        <f>L14+L15</f>
        <v>0</v>
      </c>
      <c r="M115" s="798">
        <f>M14+M15</f>
        <v>0</v>
      </c>
      <c r="N115" s="679">
        <f t="shared" si="22"/>
        <v>0</v>
      </c>
      <c r="O115" s="679">
        <f t="shared" si="22"/>
        <v>0</v>
      </c>
      <c r="P115" s="679">
        <f t="shared" si="22"/>
        <v>0</v>
      </c>
      <c r="Q115" s="679">
        <f t="shared" si="22"/>
        <v>0</v>
      </c>
      <c r="R115" s="679">
        <f t="shared" si="22"/>
        <v>0</v>
      </c>
      <c r="S115" s="679">
        <f t="shared" si="22"/>
        <v>0</v>
      </c>
      <c r="T115" s="679">
        <f t="shared" si="22"/>
        <v>0</v>
      </c>
      <c r="U115" s="679">
        <f t="shared" si="22"/>
        <v>0</v>
      </c>
      <c r="V115" s="679">
        <f t="shared" si="22"/>
        <v>0</v>
      </c>
      <c r="W115" s="679">
        <f t="shared" si="22"/>
        <v>0</v>
      </c>
      <c r="X115" s="679">
        <f t="shared" si="22"/>
        <v>0</v>
      </c>
      <c r="Y115" s="679">
        <f t="shared" si="22"/>
        <v>0</v>
      </c>
    </row>
    <row r="116" spans="1:25" x14ac:dyDescent="0.25">
      <c r="A116" s="653">
        <v>99000</v>
      </c>
      <c r="B116" s="790" t="s">
        <v>313</v>
      </c>
      <c r="C116" s="646"/>
      <c r="D116" s="646"/>
      <c r="E116" s="645"/>
      <c r="F116" s="679">
        <f>F38+F39</f>
        <v>0</v>
      </c>
      <c r="G116" s="679">
        <f>G38+G39</f>
        <v>0</v>
      </c>
      <c r="H116" s="680">
        <f>H38+H39</f>
        <v>0</v>
      </c>
      <c r="I116" s="679">
        <f t="shared" ref="I116:Y116" si="23">I38+I39</f>
        <v>0</v>
      </c>
      <c r="J116" s="679">
        <f t="shared" si="23"/>
        <v>0</v>
      </c>
      <c r="K116" s="679">
        <f>K38+K39</f>
        <v>0</v>
      </c>
      <c r="L116" s="679">
        <f>L38+L39</f>
        <v>0</v>
      </c>
      <c r="M116" s="798">
        <f>M38+M39</f>
        <v>0</v>
      </c>
      <c r="N116" s="679">
        <f t="shared" si="23"/>
        <v>0</v>
      </c>
      <c r="O116" s="679">
        <f t="shared" si="23"/>
        <v>0</v>
      </c>
      <c r="P116" s="679">
        <f t="shared" si="23"/>
        <v>0</v>
      </c>
      <c r="Q116" s="679">
        <f t="shared" si="23"/>
        <v>0</v>
      </c>
      <c r="R116" s="679">
        <f t="shared" si="23"/>
        <v>0</v>
      </c>
      <c r="S116" s="679">
        <f t="shared" si="23"/>
        <v>0</v>
      </c>
      <c r="T116" s="679">
        <f t="shared" si="23"/>
        <v>0</v>
      </c>
      <c r="U116" s="679">
        <f t="shared" si="23"/>
        <v>0</v>
      </c>
      <c r="V116" s="679">
        <f t="shared" si="23"/>
        <v>0</v>
      </c>
      <c r="W116" s="679">
        <f t="shared" si="23"/>
        <v>0</v>
      </c>
      <c r="X116" s="679">
        <f t="shared" si="23"/>
        <v>0</v>
      </c>
      <c r="Y116" s="679">
        <f t="shared" si="23"/>
        <v>0</v>
      </c>
    </row>
    <row r="117" spans="1:25" x14ac:dyDescent="0.25">
      <c r="A117" s="653">
        <v>100000</v>
      </c>
      <c r="B117" s="792" t="s">
        <v>314</v>
      </c>
      <c r="C117" s="644"/>
      <c r="D117" s="644"/>
      <c r="E117" s="645"/>
      <c r="F117" s="679">
        <f>F54+F55</f>
        <v>0</v>
      </c>
      <c r="G117" s="679">
        <f>G54+G55</f>
        <v>0</v>
      </c>
      <c r="H117" s="680">
        <f>H54+H55</f>
        <v>0</v>
      </c>
      <c r="I117" s="679">
        <f t="shared" ref="I117:Y117" si="24">I54+I55</f>
        <v>0</v>
      </c>
      <c r="J117" s="679">
        <f t="shared" si="24"/>
        <v>0</v>
      </c>
      <c r="K117" s="679">
        <f>K54+K55</f>
        <v>0</v>
      </c>
      <c r="L117" s="679">
        <f>L54+L55</f>
        <v>0</v>
      </c>
      <c r="M117" s="798">
        <f>M54+M55</f>
        <v>0</v>
      </c>
      <c r="N117" s="679">
        <f t="shared" si="24"/>
        <v>0</v>
      </c>
      <c r="O117" s="679">
        <f t="shared" si="24"/>
        <v>0</v>
      </c>
      <c r="P117" s="679">
        <f t="shared" si="24"/>
        <v>0</v>
      </c>
      <c r="Q117" s="679">
        <f t="shared" si="24"/>
        <v>0</v>
      </c>
      <c r="R117" s="679">
        <f t="shared" si="24"/>
        <v>0</v>
      </c>
      <c r="S117" s="679">
        <f t="shared" si="24"/>
        <v>0</v>
      </c>
      <c r="T117" s="679">
        <f t="shared" si="24"/>
        <v>0</v>
      </c>
      <c r="U117" s="679">
        <f t="shared" si="24"/>
        <v>0</v>
      </c>
      <c r="V117" s="679">
        <f t="shared" si="24"/>
        <v>0</v>
      </c>
      <c r="W117" s="679">
        <f t="shared" si="24"/>
        <v>0</v>
      </c>
      <c r="X117" s="679">
        <f t="shared" si="24"/>
        <v>0</v>
      </c>
      <c r="Y117" s="679">
        <f t="shared" si="24"/>
        <v>0</v>
      </c>
    </row>
    <row r="118" spans="1:25" x14ac:dyDescent="0.25">
      <c r="A118" s="653">
        <v>101000</v>
      </c>
      <c r="B118" s="790"/>
      <c r="C118" s="646"/>
      <c r="D118" s="646"/>
      <c r="E118" s="645"/>
      <c r="F118" s="679"/>
      <c r="G118" s="679"/>
      <c r="H118" s="680"/>
      <c r="I118" s="679"/>
      <c r="J118" s="679"/>
      <c r="K118" s="679"/>
      <c r="L118" s="679"/>
      <c r="M118" s="798"/>
      <c r="N118" s="679"/>
      <c r="O118" s="679"/>
      <c r="P118" s="679"/>
      <c r="Q118" s="679"/>
      <c r="R118" s="679"/>
      <c r="S118" s="679"/>
      <c r="T118" s="679"/>
      <c r="U118" s="679"/>
      <c r="V118" s="679"/>
      <c r="W118" s="679"/>
      <c r="X118" s="679"/>
      <c r="Y118" s="679"/>
    </row>
    <row r="119" spans="1:25" x14ac:dyDescent="0.25">
      <c r="A119" s="653">
        <v>102000</v>
      </c>
      <c r="B119" s="792"/>
      <c r="C119" s="644"/>
      <c r="D119" s="644"/>
      <c r="E119" s="645"/>
      <c r="F119" s="679"/>
      <c r="G119" s="679"/>
      <c r="H119" s="680"/>
      <c r="I119" s="679"/>
      <c r="J119" s="679"/>
      <c r="K119" s="679"/>
      <c r="L119" s="679"/>
      <c r="M119" s="798"/>
      <c r="N119" s="679"/>
      <c r="O119" s="679"/>
      <c r="P119" s="679"/>
      <c r="Q119" s="679"/>
      <c r="R119" s="679"/>
      <c r="S119" s="679"/>
      <c r="T119" s="679"/>
      <c r="U119" s="679"/>
      <c r="V119" s="679"/>
      <c r="W119" s="679"/>
      <c r="X119" s="679"/>
      <c r="Y119" s="679"/>
    </row>
    <row r="120" spans="1:25" x14ac:dyDescent="0.25">
      <c r="A120" s="653">
        <v>103000</v>
      </c>
      <c r="B120" s="790" t="s">
        <v>684</v>
      </c>
      <c r="C120" s="646"/>
      <c r="D120" s="646"/>
      <c r="E120" s="645"/>
      <c r="F120" s="679">
        <f>SUM(F18,F31,F41,F58)</f>
        <v>0</v>
      </c>
      <c r="G120" s="679">
        <f t="shared" ref="G120:Y121" si="25">SUM(G18,G31,G41,G58)</f>
        <v>0</v>
      </c>
      <c r="H120" s="680">
        <f t="shared" si="25"/>
        <v>0</v>
      </c>
      <c r="I120" s="679">
        <f t="shared" si="25"/>
        <v>0</v>
      </c>
      <c r="J120" s="679">
        <f t="shared" si="25"/>
        <v>0</v>
      </c>
      <c r="K120" s="679">
        <f t="shared" si="25"/>
        <v>0</v>
      </c>
      <c r="L120" s="679">
        <f t="shared" si="25"/>
        <v>0</v>
      </c>
      <c r="M120" s="798">
        <f t="shared" si="25"/>
        <v>0</v>
      </c>
      <c r="N120" s="679">
        <f t="shared" si="25"/>
        <v>0</v>
      </c>
      <c r="O120" s="679">
        <f t="shared" si="25"/>
        <v>0</v>
      </c>
      <c r="P120" s="679">
        <f t="shared" si="25"/>
        <v>0</v>
      </c>
      <c r="Q120" s="679">
        <f t="shared" si="25"/>
        <v>0</v>
      </c>
      <c r="R120" s="679">
        <f t="shared" si="25"/>
        <v>0</v>
      </c>
      <c r="S120" s="679">
        <f t="shared" si="25"/>
        <v>0</v>
      </c>
      <c r="T120" s="679">
        <f t="shared" si="25"/>
        <v>0</v>
      </c>
      <c r="U120" s="679">
        <f t="shared" si="25"/>
        <v>0</v>
      </c>
      <c r="V120" s="679">
        <f t="shared" si="25"/>
        <v>0</v>
      </c>
      <c r="W120" s="679">
        <f t="shared" si="25"/>
        <v>0</v>
      </c>
      <c r="X120" s="679">
        <f t="shared" si="25"/>
        <v>0</v>
      </c>
      <c r="Y120" s="679">
        <f t="shared" si="25"/>
        <v>0</v>
      </c>
    </row>
    <row r="121" spans="1:25" x14ac:dyDescent="0.25">
      <c r="A121" s="653">
        <v>104000</v>
      </c>
      <c r="B121" s="792" t="s">
        <v>685</v>
      </c>
      <c r="C121" s="644"/>
      <c r="D121" s="644"/>
      <c r="E121" s="645"/>
      <c r="F121" s="679">
        <f>SUM(F19,F32,F42,F59)</f>
        <v>0</v>
      </c>
      <c r="G121" s="679">
        <f t="shared" si="25"/>
        <v>0</v>
      </c>
      <c r="H121" s="680">
        <f t="shared" si="25"/>
        <v>0</v>
      </c>
      <c r="I121" s="679">
        <f t="shared" si="25"/>
        <v>0</v>
      </c>
      <c r="J121" s="679">
        <f t="shared" si="25"/>
        <v>0</v>
      </c>
      <c r="K121" s="679">
        <f t="shared" si="25"/>
        <v>0</v>
      </c>
      <c r="L121" s="679">
        <f t="shared" si="25"/>
        <v>0</v>
      </c>
      <c r="M121" s="798">
        <f t="shared" si="25"/>
        <v>0</v>
      </c>
      <c r="N121" s="679">
        <f t="shared" si="25"/>
        <v>0</v>
      </c>
      <c r="O121" s="679">
        <f t="shared" si="25"/>
        <v>0</v>
      </c>
      <c r="P121" s="679">
        <f t="shared" si="25"/>
        <v>0</v>
      </c>
      <c r="Q121" s="679">
        <f t="shared" si="25"/>
        <v>0</v>
      </c>
      <c r="R121" s="679">
        <f t="shared" si="25"/>
        <v>0</v>
      </c>
      <c r="S121" s="679">
        <f t="shared" si="25"/>
        <v>0</v>
      </c>
      <c r="T121" s="679">
        <f t="shared" si="25"/>
        <v>0</v>
      </c>
      <c r="U121" s="679">
        <f t="shared" si="25"/>
        <v>0</v>
      </c>
      <c r="V121" s="679">
        <f t="shared" si="25"/>
        <v>0</v>
      </c>
      <c r="W121" s="679">
        <f t="shared" si="25"/>
        <v>0</v>
      </c>
      <c r="X121" s="679">
        <f t="shared" si="25"/>
        <v>0</v>
      </c>
      <c r="Y121" s="679">
        <f t="shared" si="25"/>
        <v>0</v>
      </c>
    </row>
    <row r="122" spans="1:25" x14ac:dyDescent="0.25">
      <c r="A122" s="653">
        <v>105000</v>
      </c>
      <c r="B122" s="790" t="s">
        <v>686</v>
      </c>
      <c r="C122" s="646"/>
      <c r="D122" s="646"/>
      <c r="E122" s="645"/>
      <c r="F122" s="679">
        <f>F76+F78+F64+F66+F68+F70+F72</f>
        <v>0</v>
      </c>
      <c r="G122" s="679">
        <f t="shared" ref="G122:Y122" si="26">G76+G78+G64+G66+G68+G70+G72</f>
        <v>0</v>
      </c>
      <c r="H122" s="680">
        <f t="shared" si="26"/>
        <v>0</v>
      </c>
      <c r="I122" s="679">
        <f t="shared" si="26"/>
        <v>0</v>
      </c>
      <c r="J122" s="679">
        <f t="shared" si="26"/>
        <v>0</v>
      </c>
      <c r="K122" s="679">
        <f t="shared" si="26"/>
        <v>0</v>
      </c>
      <c r="L122" s="679">
        <f t="shared" si="26"/>
        <v>0</v>
      </c>
      <c r="M122" s="798">
        <f t="shared" si="26"/>
        <v>0</v>
      </c>
      <c r="N122" s="679">
        <f t="shared" si="26"/>
        <v>0</v>
      </c>
      <c r="O122" s="679">
        <f t="shared" si="26"/>
        <v>0</v>
      </c>
      <c r="P122" s="679">
        <f t="shared" si="26"/>
        <v>0</v>
      </c>
      <c r="Q122" s="679">
        <f t="shared" si="26"/>
        <v>0</v>
      </c>
      <c r="R122" s="679">
        <f t="shared" si="26"/>
        <v>0</v>
      </c>
      <c r="S122" s="679">
        <f t="shared" si="26"/>
        <v>0</v>
      </c>
      <c r="T122" s="679">
        <f t="shared" si="26"/>
        <v>0</v>
      </c>
      <c r="U122" s="679">
        <f t="shared" si="26"/>
        <v>0</v>
      </c>
      <c r="V122" s="679">
        <f t="shared" si="26"/>
        <v>0</v>
      </c>
      <c r="W122" s="679">
        <f t="shared" si="26"/>
        <v>0</v>
      </c>
      <c r="X122" s="679">
        <f t="shared" si="26"/>
        <v>0</v>
      </c>
      <c r="Y122" s="679">
        <f t="shared" si="26"/>
        <v>0</v>
      </c>
    </row>
    <row r="123" spans="1:25" x14ac:dyDescent="0.25">
      <c r="A123" s="653">
        <v>106000</v>
      </c>
      <c r="B123" s="792" t="s">
        <v>687</v>
      </c>
      <c r="C123" s="644"/>
      <c r="D123" s="644"/>
      <c r="E123" s="645"/>
      <c r="F123" s="679">
        <f>F79+F77+F65+F67+F69+F71+F73</f>
        <v>0</v>
      </c>
      <c r="G123" s="679">
        <f t="shared" ref="G123:Y123" si="27">G79+G77+G65+G67+G69+G71+G73</f>
        <v>0</v>
      </c>
      <c r="H123" s="680">
        <f t="shared" si="27"/>
        <v>0</v>
      </c>
      <c r="I123" s="679">
        <f t="shared" si="27"/>
        <v>0</v>
      </c>
      <c r="J123" s="679">
        <f t="shared" si="27"/>
        <v>0</v>
      </c>
      <c r="K123" s="679">
        <f t="shared" si="27"/>
        <v>0</v>
      </c>
      <c r="L123" s="679">
        <f t="shared" si="27"/>
        <v>0</v>
      </c>
      <c r="M123" s="798">
        <f t="shared" si="27"/>
        <v>0</v>
      </c>
      <c r="N123" s="679">
        <f t="shared" si="27"/>
        <v>0</v>
      </c>
      <c r="O123" s="679">
        <f t="shared" si="27"/>
        <v>0</v>
      </c>
      <c r="P123" s="679">
        <f t="shared" si="27"/>
        <v>0</v>
      </c>
      <c r="Q123" s="679">
        <f t="shared" si="27"/>
        <v>0</v>
      </c>
      <c r="R123" s="679">
        <f t="shared" si="27"/>
        <v>0</v>
      </c>
      <c r="S123" s="679">
        <f t="shared" si="27"/>
        <v>0</v>
      </c>
      <c r="T123" s="679">
        <f t="shared" si="27"/>
        <v>0</v>
      </c>
      <c r="U123" s="679">
        <f t="shared" si="27"/>
        <v>0</v>
      </c>
      <c r="V123" s="679">
        <f t="shared" si="27"/>
        <v>0</v>
      </c>
      <c r="W123" s="679">
        <f t="shared" si="27"/>
        <v>0</v>
      </c>
      <c r="X123" s="679">
        <f t="shared" si="27"/>
        <v>0</v>
      </c>
      <c r="Y123" s="679">
        <f t="shared" si="27"/>
        <v>0</v>
      </c>
    </row>
    <row r="124" spans="1:25" x14ac:dyDescent="0.25">
      <c r="A124" s="653">
        <v>107000</v>
      </c>
      <c r="B124" s="790" t="s">
        <v>688</v>
      </c>
      <c r="C124" s="646"/>
      <c r="D124" s="646"/>
      <c r="E124" s="645"/>
      <c r="F124" s="679">
        <f>SUM(F20,F33,F43,F60)</f>
        <v>0</v>
      </c>
      <c r="G124" s="679">
        <f t="shared" ref="G124:Y124" si="28">SUM(G20,G33,G43,G60)</f>
        <v>0</v>
      </c>
      <c r="H124" s="680">
        <f t="shared" si="28"/>
        <v>0</v>
      </c>
      <c r="I124" s="679">
        <f t="shared" si="28"/>
        <v>0</v>
      </c>
      <c r="J124" s="679">
        <f t="shared" si="28"/>
        <v>0</v>
      </c>
      <c r="K124" s="679">
        <f t="shared" si="28"/>
        <v>0</v>
      </c>
      <c r="L124" s="679">
        <f t="shared" si="28"/>
        <v>0</v>
      </c>
      <c r="M124" s="798">
        <f t="shared" si="28"/>
        <v>0</v>
      </c>
      <c r="N124" s="679">
        <f t="shared" si="28"/>
        <v>0</v>
      </c>
      <c r="O124" s="679">
        <f t="shared" si="28"/>
        <v>0</v>
      </c>
      <c r="P124" s="679">
        <f t="shared" si="28"/>
        <v>0</v>
      </c>
      <c r="Q124" s="679">
        <f t="shared" si="28"/>
        <v>0</v>
      </c>
      <c r="R124" s="679">
        <f t="shared" si="28"/>
        <v>0</v>
      </c>
      <c r="S124" s="679">
        <f t="shared" si="28"/>
        <v>0</v>
      </c>
      <c r="T124" s="679">
        <f t="shared" si="28"/>
        <v>0</v>
      </c>
      <c r="U124" s="679">
        <f t="shared" si="28"/>
        <v>0</v>
      </c>
      <c r="V124" s="679">
        <f t="shared" si="28"/>
        <v>0</v>
      </c>
      <c r="W124" s="679">
        <f t="shared" si="28"/>
        <v>0</v>
      </c>
      <c r="X124" s="679">
        <f t="shared" si="28"/>
        <v>0</v>
      </c>
      <c r="Y124" s="679">
        <f t="shared" si="28"/>
        <v>0</v>
      </c>
    </row>
    <row r="125" spans="1:25" x14ac:dyDescent="0.25">
      <c r="A125" s="653">
        <v>108000</v>
      </c>
      <c r="B125" s="792" t="s">
        <v>315</v>
      </c>
      <c r="C125" s="644"/>
      <c r="D125" s="644"/>
      <c r="E125" s="645"/>
      <c r="F125" s="679">
        <f>SUM(F20,F33,F43,F60,F65,F67,F69,F71,F73,F77,F79)</f>
        <v>0</v>
      </c>
      <c r="G125" s="679">
        <f>SUM(G20,G33,G43,G60,G65,G67,G69,G71,G73,G77,G79)</f>
        <v>0</v>
      </c>
      <c r="H125" s="680">
        <f>SUM(H20,H33,H43,H60,H65,H67,H69,H71,H73,H77,H79)</f>
        <v>0</v>
      </c>
      <c r="I125" s="679">
        <f t="shared" ref="I125:Y125" si="29">SUM(I20,I33,I43,I60,I65,I67,I69,I71,I73,I77,I79)</f>
        <v>0</v>
      </c>
      <c r="J125" s="679">
        <f t="shared" si="29"/>
        <v>0</v>
      </c>
      <c r="K125" s="679">
        <f>SUM(K20,K33,K43,K60,K65,K67,K69,K71,K73,K77,K79)</f>
        <v>0</v>
      </c>
      <c r="L125" s="679">
        <f>SUM(L20,L33,L43,L60,L65,L67,L69,L71,L73,L77,L79)</f>
        <v>0</v>
      </c>
      <c r="M125" s="798">
        <f>SUM(M20,M33,M43,M60,M65,M67,M69,M71,M73,M77,M79)</f>
        <v>0</v>
      </c>
      <c r="N125" s="679">
        <f t="shared" si="29"/>
        <v>0</v>
      </c>
      <c r="O125" s="679">
        <f t="shared" si="29"/>
        <v>0</v>
      </c>
      <c r="P125" s="679">
        <f t="shared" si="29"/>
        <v>0</v>
      </c>
      <c r="Q125" s="679">
        <f t="shared" si="29"/>
        <v>0</v>
      </c>
      <c r="R125" s="679">
        <f t="shared" si="29"/>
        <v>0</v>
      </c>
      <c r="S125" s="679">
        <f t="shared" si="29"/>
        <v>0</v>
      </c>
      <c r="T125" s="679">
        <f t="shared" si="29"/>
        <v>0</v>
      </c>
      <c r="U125" s="679">
        <f t="shared" si="29"/>
        <v>0</v>
      </c>
      <c r="V125" s="679">
        <f t="shared" si="29"/>
        <v>0</v>
      </c>
      <c r="W125" s="679">
        <f t="shared" si="29"/>
        <v>0</v>
      </c>
      <c r="X125" s="679">
        <f t="shared" si="29"/>
        <v>0</v>
      </c>
      <c r="Y125" s="679">
        <f t="shared" si="29"/>
        <v>0</v>
      </c>
    </row>
    <row r="126" spans="1:25" x14ac:dyDescent="0.25">
      <c r="A126" s="653">
        <v>109000</v>
      </c>
      <c r="B126" s="792" t="s">
        <v>316</v>
      </c>
      <c r="C126" s="644"/>
      <c r="D126" s="644"/>
      <c r="E126" s="645"/>
      <c r="F126" s="679">
        <f>SUM(F19,F32,F42,F59)</f>
        <v>0</v>
      </c>
      <c r="G126" s="679">
        <f>SUM(G19,G32,G42,G59)</f>
        <v>0</v>
      </c>
      <c r="H126" s="680">
        <f>SUM(H19,H32,H42,H59)</f>
        <v>0</v>
      </c>
      <c r="I126" s="679">
        <f t="shared" ref="I126:Y126" si="30">SUM(I19,I32,I42,I59)</f>
        <v>0</v>
      </c>
      <c r="J126" s="679">
        <f t="shared" si="30"/>
        <v>0</v>
      </c>
      <c r="K126" s="679">
        <f>SUM(K19,K32,K42,K59)</f>
        <v>0</v>
      </c>
      <c r="L126" s="679">
        <f>SUM(L19,L32,L42,L59)</f>
        <v>0</v>
      </c>
      <c r="M126" s="798">
        <f>SUM(M19,M32,M42,M59)</f>
        <v>0</v>
      </c>
      <c r="N126" s="679">
        <f t="shared" si="30"/>
        <v>0</v>
      </c>
      <c r="O126" s="679">
        <f t="shared" si="30"/>
        <v>0</v>
      </c>
      <c r="P126" s="679">
        <f t="shared" si="30"/>
        <v>0</v>
      </c>
      <c r="Q126" s="679">
        <f t="shared" si="30"/>
        <v>0</v>
      </c>
      <c r="R126" s="679">
        <f t="shared" si="30"/>
        <v>0</v>
      </c>
      <c r="S126" s="679">
        <f t="shared" si="30"/>
        <v>0</v>
      </c>
      <c r="T126" s="679">
        <f t="shared" si="30"/>
        <v>0</v>
      </c>
      <c r="U126" s="679">
        <f t="shared" si="30"/>
        <v>0</v>
      </c>
      <c r="V126" s="679">
        <f t="shared" si="30"/>
        <v>0</v>
      </c>
      <c r="W126" s="679">
        <f t="shared" si="30"/>
        <v>0</v>
      </c>
      <c r="X126" s="679">
        <f t="shared" si="30"/>
        <v>0</v>
      </c>
      <c r="Y126" s="679">
        <f t="shared" si="30"/>
        <v>0</v>
      </c>
    </row>
    <row r="127" spans="1:25" x14ac:dyDescent="0.25">
      <c r="A127" s="653">
        <v>110000</v>
      </c>
      <c r="B127" s="790" t="s">
        <v>317</v>
      </c>
      <c r="C127" s="646"/>
      <c r="D127" s="646"/>
      <c r="E127" s="645"/>
      <c r="F127" s="679">
        <f>SUM(F18,F31,F41,F58)</f>
        <v>0</v>
      </c>
      <c r="G127" s="679">
        <f>SUM(G18,G31,G41,G58)</f>
        <v>0</v>
      </c>
      <c r="H127" s="680">
        <f>SUM(H18,H31,H41,H58)</f>
        <v>0</v>
      </c>
      <c r="I127" s="679">
        <f t="shared" ref="I127:Y127" si="31">SUM(I18,I31,I41,I58)</f>
        <v>0</v>
      </c>
      <c r="J127" s="679">
        <f t="shared" si="31"/>
        <v>0</v>
      </c>
      <c r="K127" s="679">
        <f>SUM(K18,K31,K41,K58)</f>
        <v>0</v>
      </c>
      <c r="L127" s="679">
        <f>SUM(L18,L31,L41,L58)</f>
        <v>0</v>
      </c>
      <c r="M127" s="798">
        <f>SUM(M18,M31,M41,M58)</f>
        <v>0</v>
      </c>
      <c r="N127" s="679">
        <f t="shared" si="31"/>
        <v>0</v>
      </c>
      <c r="O127" s="679">
        <f t="shared" si="31"/>
        <v>0</v>
      </c>
      <c r="P127" s="679">
        <f t="shared" si="31"/>
        <v>0</v>
      </c>
      <c r="Q127" s="679">
        <f t="shared" si="31"/>
        <v>0</v>
      </c>
      <c r="R127" s="679">
        <f t="shared" si="31"/>
        <v>0</v>
      </c>
      <c r="S127" s="679">
        <f t="shared" si="31"/>
        <v>0</v>
      </c>
      <c r="T127" s="679">
        <f t="shared" si="31"/>
        <v>0</v>
      </c>
      <c r="U127" s="679">
        <f t="shared" si="31"/>
        <v>0</v>
      </c>
      <c r="V127" s="679">
        <f t="shared" si="31"/>
        <v>0</v>
      </c>
      <c r="W127" s="679">
        <f t="shared" si="31"/>
        <v>0</v>
      </c>
      <c r="X127" s="679">
        <f t="shared" si="31"/>
        <v>0</v>
      </c>
      <c r="Y127" s="679">
        <f t="shared" si="31"/>
        <v>0</v>
      </c>
    </row>
    <row r="128" spans="1:25" x14ac:dyDescent="0.25">
      <c r="A128" s="653">
        <v>111000</v>
      </c>
      <c r="B128" s="792" t="s">
        <v>318</v>
      </c>
      <c r="C128" s="644"/>
      <c r="D128" s="644"/>
      <c r="E128" s="645"/>
      <c r="F128" s="679">
        <f>F45+F46</f>
        <v>0</v>
      </c>
      <c r="G128" s="680">
        <f>G45+G46</f>
        <v>0</v>
      </c>
      <c r="H128" s="680">
        <f>H45+H46</f>
        <v>0</v>
      </c>
      <c r="I128" s="679">
        <f t="shared" ref="I128:Y128" si="32">I45+I46</f>
        <v>0</v>
      </c>
      <c r="J128" s="680">
        <f t="shared" si="32"/>
        <v>0</v>
      </c>
      <c r="K128" s="679">
        <f>K45+K46</f>
        <v>0</v>
      </c>
      <c r="L128" s="680">
        <f>L45+L46</f>
        <v>0</v>
      </c>
      <c r="M128" s="801">
        <f>M45+M46</f>
        <v>0</v>
      </c>
      <c r="N128" s="679">
        <f t="shared" si="32"/>
        <v>0</v>
      </c>
      <c r="O128" s="680">
        <f t="shared" si="32"/>
        <v>0</v>
      </c>
      <c r="P128" s="680">
        <f t="shared" si="32"/>
        <v>0</v>
      </c>
      <c r="Q128" s="680">
        <f t="shared" si="32"/>
        <v>0</v>
      </c>
      <c r="R128" s="680">
        <f t="shared" si="32"/>
        <v>0</v>
      </c>
      <c r="S128" s="680">
        <f t="shared" si="32"/>
        <v>0</v>
      </c>
      <c r="T128" s="680">
        <f t="shared" si="32"/>
        <v>0</v>
      </c>
      <c r="U128" s="680">
        <f t="shared" si="32"/>
        <v>0</v>
      </c>
      <c r="V128" s="680">
        <f t="shared" si="32"/>
        <v>0</v>
      </c>
      <c r="W128" s="680">
        <f t="shared" si="32"/>
        <v>0</v>
      </c>
      <c r="X128" s="680">
        <f t="shared" si="32"/>
        <v>0</v>
      </c>
      <c r="Y128" s="680">
        <f t="shared" si="32"/>
        <v>0</v>
      </c>
    </row>
    <row r="129" spans="1:25" x14ac:dyDescent="0.25">
      <c r="A129" s="653">
        <v>112000</v>
      </c>
      <c r="B129" s="792"/>
      <c r="C129" s="644"/>
      <c r="D129" s="644"/>
      <c r="E129" s="645"/>
      <c r="F129" s="679"/>
      <c r="G129" s="680"/>
      <c r="H129" s="680"/>
      <c r="I129" s="679"/>
      <c r="J129" s="680"/>
      <c r="K129" s="679"/>
      <c r="L129" s="680"/>
      <c r="M129" s="801"/>
      <c r="N129" s="679"/>
      <c r="O129" s="680"/>
      <c r="P129" s="680"/>
      <c r="Q129" s="680"/>
      <c r="R129" s="680"/>
      <c r="S129" s="680"/>
      <c r="T129" s="680"/>
      <c r="U129" s="680"/>
      <c r="V129" s="680"/>
      <c r="W129" s="680"/>
      <c r="X129" s="680"/>
      <c r="Y129" s="681"/>
    </row>
    <row r="130" spans="1:25" x14ac:dyDescent="0.25">
      <c r="A130" s="653">
        <v>113000</v>
      </c>
      <c r="B130" s="790"/>
      <c r="C130" s="646"/>
      <c r="D130" s="646"/>
      <c r="E130" s="645"/>
      <c r="F130" s="679"/>
      <c r="G130" s="680"/>
      <c r="H130" s="680"/>
      <c r="I130" s="679"/>
      <c r="J130" s="680"/>
      <c r="K130" s="679"/>
      <c r="L130" s="680"/>
      <c r="M130" s="801"/>
      <c r="N130" s="679"/>
      <c r="O130" s="680"/>
      <c r="P130" s="680"/>
      <c r="Q130" s="680"/>
      <c r="R130" s="680"/>
      <c r="S130" s="680"/>
      <c r="T130" s="680"/>
      <c r="U130" s="680"/>
      <c r="V130" s="680"/>
      <c r="W130" s="680"/>
      <c r="X130" s="680"/>
      <c r="Y130" s="681"/>
    </row>
    <row r="131" spans="1:25" ht="16.5" thickBot="1" x14ac:dyDescent="0.3">
      <c r="A131" s="653">
        <v>114000</v>
      </c>
      <c r="B131" s="802"/>
      <c r="C131" s="803"/>
      <c r="D131" s="803"/>
      <c r="E131" s="804"/>
      <c r="F131" s="805"/>
      <c r="G131" s="806"/>
      <c r="H131" s="806"/>
      <c r="I131" s="1304"/>
      <c r="J131" s="1265"/>
      <c r="K131" s="805"/>
      <c r="L131" s="806"/>
      <c r="M131" s="807"/>
      <c r="N131" s="682"/>
      <c r="O131" s="683"/>
      <c r="P131" s="683"/>
      <c r="Q131" s="683"/>
      <c r="R131" s="683"/>
      <c r="S131" s="683"/>
      <c r="T131" s="683"/>
      <c r="U131" s="683"/>
      <c r="V131" s="683"/>
      <c r="W131" s="683"/>
      <c r="X131" s="683"/>
      <c r="Y131" s="684"/>
    </row>
    <row r="132" spans="1:25" ht="16.5" thickTop="1" x14ac:dyDescent="0.25"/>
    <row r="134" spans="1:25" ht="18.75" x14ac:dyDescent="0.3">
      <c r="B134" s="1308" t="s">
        <v>669</v>
      </c>
    </row>
    <row r="136" spans="1:25" x14ac:dyDescent="0.25">
      <c r="B136" t="s">
        <v>670</v>
      </c>
      <c r="C136" t="s">
        <v>671</v>
      </c>
      <c r="F136" s="1147"/>
      <c r="G136" s="1147"/>
      <c r="H136" s="1147"/>
      <c r="I136" s="1147"/>
      <c r="J136" s="1147"/>
      <c r="K136" s="1147"/>
      <c r="L136" s="1147"/>
    </row>
    <row r="137" spans="1:25" x14ac:dyDescent="0.25">
      <c r="B137" t="s">
        <v>672</v>
      </c>
      <c r="C137" t="s">
        <v>673</v>
      </c>
      <c r="F137" s="1148"/>
      <c r="G137" s="1147"/>
      <c r="H137" s="1148"/>
      <c r="I137" s="1148"/>
      <c r="J137" s="1148"/>
      <c r="K137" s="1148"/>
      <c r="L137" s="1148"/>
    </row>
    <row r="138" spans="1:25" x14ac:dyDescent="0.25">
      <c r="B138" t="s">
        <v>674</v>
      </c>
      <c r="C138" t="s">
        <v>675</v>
      </c>
      <c r="F138" s="1149"/>
      <c r="G138" s="1147"/>
      <c r="H138" s="1149"/>
      <c r="I138" s="1149"/>
      <c r="J138" s="1149"/>
      <c r="K138" s="1149"/>
      <c r="L138" s="1149"/>
    </row>
    <row r="139" spans="1:25" x14ac:dyDescent="0.25">
      <c r="B139" t="s">
        <v>676</v>
      </c>
      <c r="F139" s="1150"/>
      <c r="G139" s="1147"/>
      <c r="H139" s="1150"/>
      <c r="I139" s="1150"/>
      <c r="J139" s="1150"/>
      <c r="K139" s="1150"/>
      <c r="L139" s="1150"/>
    </row>
    <row r="140" spans="1:25" x14ac:dyDescent="0.25">
      <c r="B140" s="1211" t="s">
        <v>800</v>
      </c>
      <c r="C140" t="s">
        <v>0</v>
      </c>
      <c r="F140" s="1151">
        <f>(F136*F139*8760)</f>
        <v>0</v>
      </c>
      <c r="G140" s="1151">
        <f t="shared" ref="G140:L140" si="33">(G136*G139*8760)</f>
        <v>0</v>
      </c>
      <c r="H140" s="1151">
        <f t="shared" si="33"/>
        <v>0</v>
      </c>
      <c r="I140" s="1151">
        <f t="shared" si="33"/>
        <v>0</v>
      </c>
      <c r="J140" s="1151">
        <f t="shared" si="33"/>
        <v>0</v>
      </c>
      <c r="K140" s="1151">
        <f t="shared" si="33"/>
        <v>0</v>
      </c>
      <c r="L140" s="1151">
        <f t="shared" si="33"/>
        <v>0</v>
      </c>
    </row>
    <row r="141" spans="1:25" x14ac:dyDescent="0.25">
      <c r="B141" t="s">
        <v>677</v>
      </c>
      <c r="F141" s="1153">
        <f>F140*F137*F138/1000</f>
        <v>0</v>
      </c>
      <c r="G141" s="1152">
        <f t="shared" ref="G141:L141" si="34">G140*G137*G138/1000</f>
        <v>0</v>
      </c>
      <c r="H141" s="1152">
        <f t="shared" si="34"/>
        <v>0</v>
      </c>
      <c r="I141" s="1152">
        <f t="shared" si="34"/>
        <v>0</v>
      </c>
      <c r="J141" s="1152">
        <f t="shared" si="34"/>
        <v>0</v>
      </c>
      <c r="K141" s="1152">
        <f t="shared" si="34"/>
        <v>0</v>
      </c>
      <c r="L141" s="1152">
        <f t="shared" si="34"/>
        <v>0</v>
      </c>
    </row>
    <row r="142" spans="1:25" x14ac:dyDescent="0.25">
      <c r="R142" s="773"/>
    </row>
    <row r="143" spans="1:25" ht="18.75" x14ac:dyDescent="0.3">
      <c r="B143" s="1308" t="s">
        <v>678</v>
      </c>
    </row>
    <row r="145" spans="2:18" x14ac:dyDescent="0.25">
      <c r="B145" t="s">
        <v>670</v>
      </c>
      <c r="C145" t="s">
        <v>671</v>
      </c>
      <c r="F145" s="1147"/>
      <c r="G145" s="1147"/>
      <c r="H145" s="1147"/>
      <c r="I145" s="1147"/>
      <c r="J145" s="1147"/>
      <c r="K145" s="1147"/>
      <c r="L145" s="1147"/>
    </row>
    <row r="146" spans="2:18" x14ac:dyDescent="0.25">
      <c r="B146" t="s">
        <v>672</v>
      </c>
      <c r="C146" t="s">
        <v>673</v>
      </c>
      <c r="F146" s="1148"/>
      <c r="G146" s="1148"/>
      <c r="H146" s="1148"/>
      <c r="I146" s="1148"/>
      <c r="J146" s="1148"/>
      <c r="K146" s="1148"/>
      <c r="L146" s="1148"/>
    </row>
    <row r="147" spans="2:18" x14ac:dyDescent="0.25">
      <c r="B147" t="s">
        <v>674</v>
      </c>
      <c r="C147" t="s">
        <v>675</v>
      </c>
      <c r="F147" s="1149"/>
      <c r="G147" s="1149"/>
      <c r="H147" s="1149"/>
      <c r="I147" s="1149"/>
      <c r="J147" s="1149"/>
      <c r="K147" s="1149"/>
      <c r="L147" s="1149"/>
      <c r="R147" s="774"/>
    </row>
    <row r="148" spans="2:18" x14ac:dyDescent="0.25">
      <c r="B148" t="s">
        <v>676</v>
      </c>
      <c r="F148" s="1150"/>
      <c r="G148" s="1150"/>
      <c r="H148" s="1150"/>
      <c r="I148" s="1150"/>
      <c r="J148" s="1150"/>
      <c r="K148" s="1150"/>
      <c r="L148" s="1150"/>
      <c r="R148" s="775"/>
    </row>
    <row r="149" spans="2:18" x14ac:dyDescent="0.25">
      <c r="B149" s="1211" t="s">
        <v>800</v>
      </c>
      <c r="C149" t="s">
        <v>0</v>
      </c>
      <c r="F149" s="1151">
        <f t="shared" ref="F149:L149" si="35">(F145*F148*8760)</f>
        <v>0</v>
      </c>
      <c r="G149" s="1151">
        <f t="shared" si="35"/>
        <v>0</v>
      </c>
      <c r="H149" s="1151">
        <f t="shared" si="35"/>
        <v>0</v>
      </c>
      <c r="I149" s="1151">
        <f t="shared" si="35"/>
        <v>0</v>
      </c>
      <c r="J149" s="1151">
        <f t="shared" si="35"/>
        <v>0</v>
      </c>
      <c r="K149" s="1151">
        <f t="shared" si="35"/>
        <v>0</v>
      </c>
      <c r="L149" s="1151">
        <f t="shared" si="35"/>
        <v>0</v>
      </c>
      <c r="R149" s="775"/>
    </row>
    <row r="150" spans="2:18" x14ac:dyDescent="0.25">
      <c r="B150" t="s">
        <v>677</v>
      </c>
      <c r="F150" s="1152">
        <f t="shared" ref="F150:L150" si="36">F149*F146*F147/1000</f>
        <v>0</v>
      </c>
      <c r="G150" s="1153">
        <f t="shared" si="36"/>
        <v>0</v>
      </c>
      <c r="H150" s="1152">
        <f t="shared" si="36"/>
        <v>0</v>
      </c>
      <c r="I150" s="1152">
        <f t="shared" si="36"/>
        <v>0</v>
      </c>
      <c r="J150" s="1152">
        <f t="shared" si="36"/>
        <v>0</v>
      </c>
      <c r="K150" s="1152">
        <f t="shared" si="36"/>
        <v>0</v>
      </c>
      <c r="L150" s="1152">
        <f t="shared" si="36"/>
        <v>0</v>
      </c>
    </row>
    <row r="152" spans="2:18" ht="18.75" x14ac:dyDescent="0.3">
      <c r="B152" s="1308" t="s">
        <v>679</v>
      </c>
    </row>
    <row r="154" spans="2:18" x14ac:dyDescent="0.25">
      <c r="B154" t="s">
        <v>670</v>
      </c>
      <c r="C154" t="s">
        <v>671</v>
      </c>
      <c r="F154" s="1147"/>
      <c r="G154" s="1147"/>
      <c r="H154" s="1147"/>
      <c r="I154" s="1147"/>
      <c r="J154" s="1147"/>
      <c r="K154" s="1147"/>
      <c r="L154" s="1147"/>
    </row>
    <row r="155" spans="2:18" x14ac:dyDescent="0.25">
      <c r="B155" t="s">
        <v>672</v>
      </c>
      <c r="C155" t="s">
        <v>673</v>
      </c>
      <c r="F155" s="1148" t="s">
        <v>195</v>
      </c>
      <c r="G155" s="1148" t="s">
        <v>195</v>
      </c>
      <c r="H155" s="1148" t="s">
        <v>195</v>
      </c>
      <c r="I155" s="1148" t="s">
        <v>195</v>
      </c>
      <c r="J155" s="1148" t="s">
        <v>195</v>
      </c>
      <c r="K155" s="1148" t="s">
        <v>195</v>
      </c>
      <c r="L155" s="1148" t="s">
        <v>195</v>
      </c>
    </row>
    <row r="156" spans="2:18" x14ac:dyDescent="0.25">
      <c r="B156" t="s">
        <v>674</v>
      </c>
      <c r="C156" t="s">
        <v>675</v>
      </c>
      <c r="F156" s="1148" t="s">
        <v>195</v>
      </c>
      <c r="G156" s="1148" t="s">
        <v>195</v>
      </c>
      <c r="H156" s="1148" t="s">
        <v>195</v>
      </c>
      <c r="I156" s="1148" t="s">
        <v>195</v>
      </c>
      <c r="J156" s="1148" t="s">
        <v>195</v>
      </c>
      <c r="K156" s="1148" t="s">
        <v>195</v>
      </c>
      <c r="L156" s="1148" t="s">
        <v>195</v>
      </c>
      <c r="R156" s="774"/>
    </row>
    <row r="157" spans="2:18" x14ac:dyDescent="0.25">
      <c r="B157" t="s">
        <v>676</v>
      </c>
      <c r="F157" s="1150"/>
      <c r="G157" s="1147"/>
      <c r="H157" s="1150"/>
      <c r="I157" s="1150"/>
      <c r="J157" s="1147"/>
      <c r="K157" s="1147"/>
      <c r="L157" s="1147"/>
      <c r="R157" s="776"/>
    </row>
    <row r="158" spans="2:18" x14ac:dyDescent="0.25">
      <c r="B158" s="1211" t="s">
        <v>800</v>
      </c>
      <c r="C158" t="s">
        <v>0</v>
      </c>
      <c r="F158" s="1151">
        <f t="shared" ref="F158:L158" si="37">(F154*F157*8760)</f>
        <v>0</v>
      </c>
      <c r="G158" s="1151">
        <f t="shared" si="37"/>
        <v>0</v>
      </c>
      <c r="H158" s="1151">
        <f t="shared" si="37"/>
        <v>0</v>
      </c>
      <c r="I158" s="1151">
        <f t="shared" si="37"/>
        <v>0</v>
      </c>
      <c r="J158" s="1151">
        <f t="shared" si="37"/>
        <v>0</v>
      </c>
      <c r="K158" s="1151">
        <f t="shared" si="37"/>
        <v>0</v>
      </c>
      <c r="L158" s="1151">
        <f t="shared" si="37"/>
        <v>0</v>
      </c>
    </row>
    <row r="159" spans="2:18" x14ac:dyDescent="0.25">
      <c r="B159" t="s">
        <v>677</v>
      </c>
      <c r="F159" s="1148" t="s">
        <v>195</v>
      </c>
      <c r="G159" s="1148" t="s">
        <v>195</v>
      </c>
      <c r="H159" s="1148" t="s">
        <v>195</v>
      </c>
      <c r="I159" s="1148" t="s">
        <v>195</v>
      </c>
      <c r="J159" s="1148" t="s">
        <v>195</v>
      </c>
      <c r="K159" s="1148" t="s">
        <v>195</v>
      </c>
      <c r="L159" s="1148" t="s">
        <v>195</v>
      </c>
    </row>
    <row r="161" spans="2:12" ht="17.25" customHeight="1" x14ac:dyDescent="0.3">
      <c r="B161" s="1308" t="s">
        <v>680</v>
      </c>
    </row>
    <row r="163" spans="2:12" x14ac:dyDescent="0.25">
      <c r="B163" t="s">
        <v>670</v>
      </c>
      <c r="C163" t="s">
        <v>671</v>
      </c>
      <c r="F163" s="1147"/>
      <c r="G163" s="1147"/>
      <c r="H163" s="1147"/>
      <c r="I163" s="1147"/>
      <c r="J163" s="1147"/>
      <c r="K163" s="1147"/>
      <c r="L163" s="1147"/>
    </row>
    <row r="164" spans="2:12" x14ac:dyDescent="0.25">
      <c r="B164" t="s">
        <v>672</v>
      </c>
      <c r="C164" t="s">
        <v>673</v>
      </c>
      <c r="F164" s="1148"/>
      <c r="G164" s="1147"/>
      <c r="H164" s="1148"/>
      <c r="I164" s="1148"/>
      <c r="J164" s="1148"/>
      <c r="K164" s="1148"/>
      <c r="L164" s="1148"/>
    </row>
    <row r="165" spans="2:12" x14ac:dyDescent="0.25">
      <c r="B165" t="s">
        <v>674</v>
      </c>
      <c r="C165" t="s">
        <v>675</v>
      </c>
      <c r="F165" s="1149"/>
      <c r="G165" s="1147"/>
      <c r="H165" s="1149"/>
      <c r="I165" s="1149"/>
      <c r="J165" s="1149"/>
      <c r="K165" s="1149"/>
      <c r="L165" s="1149"/>
    </row>
    <row r="166" spans="2:12" x14ac:dyDescent="0.25">
      <c r="B166" t="s">
        <v>676</v>
      </c>
      <c r="F166" s="1150"/>
      <c r="G166" s="1147"/>
      <c r="H166" s="1150"/>
      <c r="I166" s="1150"/>
      <c r="J166" s="1150"/>
      <c r="K166" s="1150"/>
      <c r="L166" s="1150"/>
    </row>
    <row r="167" spans="2:12" x14ac:dyDescent="0.25">
      <c r="B167" s="1211" t="s">
        <v>800</v>
      </c>
      <c r="C167" t="s">
        <v>0</v>
      </c>
      <c r="F167" s="1151">
        <f t="shared" ref="F167:L167" si="38">(F163*F166*8760)</f>
        <v>0</v>
      </c>
      <c r="G167" s="1151">
        <f t="shared" si="38"/>
        <v>0</v>
      </c>
      <c r="H167" s="1151">
        <f t="shared" si="38"/>
        <v>0</v>
      </c>
      <c r="I167" s="1151">
        <f t="shared" si="38"/>
        <v>0</v>
      </c>
      <c r="J167" s="1151">
        <f t="shared" si="38"/>
        <v>0</v>
      </c>
      <c r="K167" s="1151">
        <f t="shared" si="38"/>
        <v>0</v>
      </c>
      <c r="L167" s="1151">
        <f t="shared" si="38"/>
        <v>0</v>
      </c>
    </row>
    <row r="168" spans="2:12" x14ac:dyDescent="0.25">
      <c r="B168" t="s">
        <v>677</v>
      </c>
      <c r="F168" s="1152">
        <f t="shared" ref="F168:L168" si="39">F167*F164*F165/1000</f>
        <v>0</v>
      </c>
      <c r="G168" s="1152">
        <f t="shared" si="39"/>
        <v>0</v>
      </c>
      <c r="H168" s="1152">
        <f t="shared" si="39"/>
        <v>0</v>
      </c>
      <c r="I168" s="1152">
        <f t="shared" si="39"/>
        <v>0</v>
      </c>
      <c r="J168" s="1152">
        <f t="shared" si="39"/>
        <v>0</v>
      </c>
      <c r="K168" s="1152">
        <f t="shared" si="39"/>
        <v>0</v>
      </c>
      <c r="L168" s="1152">
        <f t="shared" si="39"/>
        <v>0</v>
      </c>
    </row>
    <row r="170" spans="2:12" ht="17.25" customHeight="1" x14ac:dyDescent="0.3">
      <c r="B170" s="1308" t="s">
        <v>681</v>
      </c>
    </row>
    <row r="172" spans="2:12" x14ac:dyDescent="0.25">
      <c r="B172" t="s">
        <v>670</v>
      </c>
      <c r="C172" t="s">
        <v>671</v>
      </c>
      <c r="F172" s="1147"/>
      <c r="G172" s="1147"/>
      <c r="H172" s="1147"/>
      <c r="I172" s="1147"/>
      <c r="J172" s="1147"/>
      <c r="K172" s="1147"/>
      <c r="L172" s="1147"/>
    </row>
    <row r="173" spans="2:12" x14ac:dyDescent="0.25">
      <c r="B173" t="s">
        <v>672</v>
      </c>
      <c r="C173" t="s">
        <v>673</v>
      </c>
      <c r="F173" s="1148"/>
      <c r="G173" s="1148"/>
      <c r="H173" s="1148"/>
      <c r="I173" s="1148"/>
      <c r="J173" s="1148"/>
      <c r="K173" s="1148"/>
      <c r="L173" s="1148"/>
    </row>
    <row r="174" spans="2:12" x14ac:dyDescent="0.25">
      <c r="B174" t="s">
        <v>674</v>
      </c>
      <c r="C174" t="s">
        <v>675</v>
      </c>
      <c r="F174" s="1149"/>
      <c r="G174" s="1149"/>
      <c r="H174" s="1149"/>
      <c r="I174" s="1149"/>
      <c r="J174" s="1149"/>
      <c r="K174" s="1149"/>
      <c r="L174" s="1149"/>
    </row>
    <row r="175" spans="2:12" x14ac:dyDescent="0.25">
      <c r="B175" t="s">
        <v>676</v>
      </c>
      <c r="F175" s="1150"/>
      <c r="G175" s="1150"/>
      <c r="H175" s="1150"/>
      <c r="I175" s="1150"/>
      <c r="J175" s="1150"/>
      <c r="K175" s="1150"/>
      <c r="L175" s="1150"/>
    </row>
    <row r="176" spans="2:12" x14ac:dyDescent="0.25">
      <c r="B176" s="1211" t="s">
        <v>800</v>
      </c>
      <c r="C176" t="s">
        <v>0</v>
      </c>
      <c r="F176" s="1151">
        <f>(F172*F175*8760)</f>
        <v>0</v>
      </c>
      <c r="G176" s="1151">
        <f t="shared" ref="G176:L176" si="40">(G172*G175*8760)</f>
        <v>0</v>
      </c>
      <c r="H176" s="1151">
        <f t="shared" si="40"/>
        <v>0</v>
      </c>
      <c r="I176" s="1151">
        <f t="shared" si="40"/>
        <v>0</v>
      </c>
      <c r="J176" s="1151">
        <f t="shared" si="40"/>
        <v>0</v>
      </c>
      <c r="K176" s="1151">
        <f t="shared" si="40"/>
        <v>0</v>
      </c>
      <c r="L176" s="1151">
        <f t="shared" si="40"/>
        <v>0</v>
      </c>
    </row>
    <row r="177" spans="2:12" x14ac:dyDescent="0.25">
      <c r="B177" t="s">
        <v>677</v>
      </c>
      <c r="F177" s="1152">
        <f>F176*F173*F174/1000</f>
        <v>0</v>
      </c>
      <c r="G177" s="1152">
        <f t="shared" ref="G177:L177" si="41">G176*G173*G174/1000</f>
        <v>0</v>
      </c>
      <c r="H177" s="1152">
        <f t="shared" si="41"/>
        <v>0</v>
      </c>
      <c r="I177" s="1152">
        <f t="shared" si="41"/>
        <v>0</v>
      </c>
      <c r="J177" s="1152">
        <f t="shared" si="41"/>
        <v>0</v>
      </c>
      <c r="K177" s="1152">
        <f t="shared" si="41"/>
        <v>0</v>
      </c>
      <c r="L177" s="1152">
        <f t="shared" si="41"/>
        <v>0</v>
      </c>
    </row>
    <row r="179" spans="2:12" ht="15.75" customHeight="1" x14ac:dyDescent="0.3">
      <c r="B179" s="1308" t="s">
        <v>682</v>
      </c>
      <c r="C179" s="1307"/>
    </row>
    <row r="181" spans="2:12" x14ac:dyDescent="0.25">
      <c r="B181" t="s">
        <v>670</v>
      </c>
      <c r="C181" t="s">
        <v>671</v>
      </c>
      <c r="F181" s="1147"/>
      <c r="G181" s="1147"/>
      <c r="H181" s="1147"/>
      <c r="I181" s="1147"/>
      <c r="J181" s="1147"/>
      <c r="K181" s="1147"/>
      <c r="L181" s="1147"/>
    </row>
    <row r="182" spans="2:12" x14ac:dyDescent="0.25">
      <c r="B182" t="s">
        <v>672</v>
      </c>
      <c r="C182" t="s">
        <v>673</v>
      </c>
      <c r="F182" s="1148" t="s">
        <v>195</v>
      </c>
      <c r="G182" s="1148" t="s">
        <v>195</v>
      </c>
      <c r="H182" s="1148" t="s">
        <v>195</v>
      </c>
      <c r="I182" s="1148" t="s">
        <v>195</v>
      </c>
      <c r="J182" s="1148" t="s">
        <v>195</v>
      </c>
      <c r="K182" s="1148" t="s">
        <v>195</v>
      </c>
      <c r="L182" s="1148" t="s">
        <v>195</v>
      </c>
    </row>
    <row r="183" spans="2:12" x14ac:dyDescent="0.25">
      <c r="B183" t="s">
        <v>674</v>
      </c>
      <c r="C183" t="s">
        <v>675</v>
      </c>
      <c r="F183" s="1148" t="s">
        <v>195</v>
      </c>
      <c r="G183" s="1148" t="s">
        <v>195</v>
      </c>
      <c r="H183" s="1148" t="s">
        <v>195</v>
      </c>
      <c r="I183" s="1148" t="s">
        <v>195</v>
      </c>
      <c r="J183" s="1148" t="s">
        <v>195</v>
      </c>
      <c r="K183" s="1148" t="s">
        <v>195</v>
      </c>
      <c r="L183" s="1148" t="s">
        <v>195</v>
      </c>
    </row>
    <row r="184" spans="2:12" x14ac:dyDescent="0.25">
      <c r="B184" t="s">
        <v>676</v>
      </c>
      <c r="F184" s="1150"/>
      <c r="G184" s="1147"/>
      <c r="H184" s="1150"/>
      <c r="I184" s="1150"/>
      <c r="J184" s="1150"/>
      <c r="K184" s="1150"/>
      <c r="L184" s="1150"/>
    </row>
    <row r="185" spans="2:12" x14ac:dyDescent="0.25">
      <c r="B185" t="s">
        <v>800</v>
      </c>
      <c r="C185" t="s">
        <v>0</v>
      </c>
      <c r="F185" s="1151">
        <f>(F181*F184*8760)</f>
        <v>0</v>
      </c>
      <c r="G185" s="1151">
        <f t="shared" ref="G185:L185" si="42">(G181*G184*8760)</f>
        <v>0</v>
      </c>
      <c r="H185" s="1151">
        <f t="shared" si="42"/>
        <v>0</v>
      </c>
      <c r="I185" s="1151">
        <f t="shared" si="42"/>
        <v>0</v>
      </c>
      <c r="J185" s="1151">
        <f t="shared" si="42"/>
        <v>0</v>
      </c>
      <c r="K185" s="1151">
        <f t="shared" si="42"/>
        <v>0</v>
      </c>
      <c r="L185" s="1151">
        <f t="shared" si="42"/>
        <v>0</v>
      </c>
    </row>
    <row r="186" spans="2:12" x14ac:dyDescent="0.25">
      <c r="B186" t="s">
        <v>677</v>
      </c>
      <c r="F186" s="1148" t="s">
        <v>195</v>
      </c>
      <c r="G186" s="1148" t="s">
        <v>195</v>
      </c>
      <c r="H186" s="1148" t="s">
        <v>195</v>
      </c>
      <c r="I186" s="1148" t="s">
        <v>195</v>
      </c>
      <c r="J186" s="1148" t="s">
        <v>195</v>
      </c>
      <c r="K186" s="1148" t="s">
        <v>195</v>
      </c>
      <c r="L186" s="1148" t="s">
        <v>195</v>
      </c>
    </row>
  </sheetData>
  <phoneticPr fontId="0" type="noConversion"/>
  <conditionalFormatting sqref="B7:Y131">
    <cfRule type="expression" dxfId="6" priority="1" stopIfTrue="1">
      <formula>MOD(ROW(),2)=1</formula>
    </cfRule>
  </conditionalFormatting>
  <conditionalFormatting sqref="E2:Y4">
    <cfRule type="expression" dxfId="5" priority="2" stopIfTrue="1">
      <formula>MOD(ROW(),2)=1</formula>
    </cfRule>
  </conditionalFormatting>
  <dataValidations disablePrompts="1" count="2">
    <dataValidation type="list" allowBlank="1" showInputMessage="1" showErrorMessage="1" prompt="Select Online Month" sqref="F3:Y3" xr:uid="{00000000-0002-0000-0F00-000000000000}">
      <formula1>Month</formula1>
    </dataValidation>
    <dataValidation type="list" allowBlank="1" showInputMessage="1" showErrorMessage="1" prompt="Select Online Year" sqref="F2:Y2" xr:uid="{00000000-0002-0000-0F00-000001000000}">
      <formula1>Year</formula1>
    </dataValidation>
  </dataValidations>
  <hyperlinks>
    <hyperlink ref="A2" location="TOC!A1" display="TOC" xr:uid="{00000000-0004-0000-0F00-000000000000}"/>
    <hyperlink ref="A3" location="'New Resources - Individual'!A7" display="é" xr:uid="{00000000-0004-0000-0F00-000001000000}"/>
  </hyperlinks>
  <printOptions horizontalCentered="1" headings="1"/>
  <pageMargins left="0.5" right="0.5" top="0.75" bottom="0.8" header="0.25" footer="0.25"/>
  <pageSetup scale="75" fitToHeight="5" orientation="landscape" r:id="rId1"/>
  <headerFooter alignWithMargins="0">
    <oddFooter>&amp;LFY 2026-2028 ASC Filing&amp;CPage &amp;P of &amp;N&amp;R&amp;A
&amp;D</oddFooter>
  </headerFooter>
  <rowBreaks count="1" manualBreakCount="1">
    <brk id="81" min="1" max="7" man="1"/>
  </rowBreaks>
  <customProperties>
    <customPr name="_pios_id" r:id="rId2"/>
  </customPropertie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4">
    <tabColor indexed="17"/>
  </sheetPr>
  <dimension ref="A1:AH157"/>
  <sheetViews>
    <sheetView zoomScale="90" zoomScaleNormal="90" zoomScaleSheetLayoutView="100" workbookViewId="0">
      <selection sqref="A1:XFD1048576"/>
    </sheetView>
  </sheetViews>
  <sheetFormatPr defaultRowHeight="15.75" x14ac:dyDescent="0.25"/>
  <cols>
    <col min="1" max="1" width="5.375" bestFit="1" customWidth="1"/>
    <col min="2" max="2" width="35.75" bestFit="1" customWidth="1"/>
    <col min="3" max="3" width="8.375" bestFit="1" customWidth="1"/>
    <col min="4" max="4" width="11" hidden="1" customWidth="1"/>
    <col min="5" max="5" width="11.375" bestFit="1" customWidth="1"/>
    <col min="6" max="6" width="11.625" customWidth="1"/>
    <col min="7" max="7" width="11.25" customWidth="1"/>
    <col min="8" max="8" width="12.75" customWidth="1"/>
    <col min="9" max="9" width="11.125" customWidth="1"/>
    <col min="18" max="18" width="11.75" bestFit="1" customWidth="1"/>
    <col min="19" max="25" width="10.375" bestFit="1" customWidth="1"/>
    <col min="34" max="34" width="7.5" customWidth="1"/>
  </cols>
  <sheetData>
    <row r="1" spans="1:34" ht="41.25" customHeight="1" thickTop="1" x14ac:dyDescent="0.25">
      <c r="A1" s="237"/>
      <c r="B1" s="778" t="str">
        <f>'Sch 1- Rate Base '!E5</f>
        <v>PacifiCorp</v>
      </c>
      <c r="C1" s="779"/>
      <c r="D1" s="779"/>
      <c r="E1" s="779"/>
      <c r="F1" s="811"/>
      <c r="G1" s="811"/>
      <c r="H1" s="811"/>
      <c r="I1" s="1270"/>
      <c r="J1" s="1271"/>
      <c r="K1" s="1271"/>
      <c r="L1" s="1271"/>
      <c r="M1" s="1271"/>
      <c r="N1" s="1271"/>
      <c r="O1" s="1271"/>
      <c r="P1" s="1271"/>
      <c r="Q1" s="1271"/>
      <c r="R1" s="1271"/>
      <c r="S1" s="1271"/>
      <c r="T1" s="1271"/>
      <c r="U1" s="1271"/>
      <c r="V1" s="1271"/>
      <c r="W1" s="1271"/>
      <c r="X1" s="1271"/>
      <c r="Y1" s="1272"/>
      <c r="Z1" s="655"/>
      <c r="AA1" s="655"/>
      <c r="AB1" s="655"/>
      <c r="AC1" s="655"/>
      <c r="AD1" s="655"/>
      <c r="AE1" s="655"/>
      <c r="AF1" s="655"/>
      <c r="AG1" s="656">
        <v>2008</v>
      </c>
      <c r="AH1" s="656">
        <v>1</v>
      </c>
    </row>
    <row r="2" spans="1:34" x14ac:dyDescent="0.25">
      <c r="A2" s="1287" t="s">
        <v>695</v>
      </c>
      <c r="B2" s="780" t="s">
        <v>585</v>
      </c>
      <c r="C2" s="808"/>
      <c r="D2" s="808"/>
      <c r="E2" s="634" t="s">
        <v>586</v>
      </c>
      <c r="F2" s="819" t="str">
        <f t="shared" ref="F2:Y2" si="0">IF(F4&gt;0,YEAR(F4),"")</f>
        <v/>
      </c>
      <c r="G2" s="819" t="str">
        <f t="shared" si="0"/>
        <v/>
      </c>
      <c r="H2" s="819" t="str">
        <f t="shared" si="0"/>
        <v/>
      </c>
      <c r="I2" s="819" t="str">
        <f t="shared" si="0"/>
        <v/>
      </c>
      <c r="J2" s="819" t="str">
        <f t="shared" si="0"/>
        <v/>
      </c>
      <c r="K2" s="819" t="str">
        <f t="shared" si="0"/>
        <v/>
      </c>
      <c r="L2" s="819" t="str">
        <f t="shared" si="0"/>
        <v/>
      </c>
      <c r="M2" s="819" t="str">
        <f t="shared" si="0"/>
        <v/>
      </c>
      <c r="N2" s="819" t="str">
        <f t="shared" si="0"/>
        <v/>
      </c>
      <c r="O2" s="819" t="str">
        <f t="shared" si="0"/>
        <v/>
      </c>
      <c r="P2" s="819" t="str">
        <f t="shared" si="0"/>
        <v/>
      </c>
      <c r="Q2" s="819" t="str">
        <f t="shared" si="0"/>
        <v/>
      </c>
      <c r="R2" s="819" t="str">
        <f t="shared" si="0"/>
        <v/>
      </c>
      <c r="S2" s="819" t="str">
        <f t="shared" si="0"/>
        <v/>
      </c>
      <c r="T2" s="819" t="str">
        <f t="shared" si="0"/>
        <v/>
      </c>
      <c r="U2" s="819" t="str">
        <f t="shared" si="0"/>
        <v/>
      </c>
      <c r="V2" s="819" t="str">
        <f t="shared" si="0"/>
        <v/>
      </c>
      <c r="W2" s="819" t="str">
        <f t="shared" si="0"/>
        <v/>
      </c>
      <c r="X2" s="819" t="str">
        <f t="shared" si="0"/>
        <v/>
      </c>
      <c r="Y2" s="1273" t="str">
        <f t="shared" si="0"/>
        <v/>
      </c>
      <c r="Z2" s="658"/>
      <c r="AA2" s="658"/>
      <c r="AB2" s="658"/>
      <c r="AC2" s="658"/>
      <c r="AD2" s="658"/>
      <c r="AE2" s="658"/>
      <c r="AF2" s="658"/>
      <c r="AG2" s="659">
        <v>2009</v>
      </c>
      <c r="AH2" s="659">
        <v>2</v>
      </c>
    </row>
    <row r="3" spans="1:34" x14ac:dyDescent="0.25">
      <c r="A3" s="1288" t="s">
        <v>696</v>
      </c>
      <c r="B3" s="812">
        <f>'New Resources - Individual'!B3</f>
        <v>46478</v>
      </c>
      <c r="C3" s="808"/>
      <c r="D3" s="808"/>
      <c r="E3" s="786" t="s">
        <v>587</v>
      </c>
      <c r="F3" s="820" t="str">
        <f t="shared" ref="F3:Y3" si="1">IF(F4&gt;0,MONTH(F4),"")</f>
        <v/>
      </c>
      <c r="G3" s="820" t="str">
        <f t="shared" si="1"/>
        <v/>
      </c>
      <c r="H3" s="820" t="str">
        <f t="shared" si="1"/>
        <v/>
      </c>
      <c r="I3" s="820" t="str">
        <f t="shared" si="1"/>
        <v/>
      </c>
      <c r="J3" s="820" t="str">
        <f t="shared" si="1"/>
        <v/>
      </c>
      <c r="K3" s="820" t="str">
        <f t="shared" si="1"/>
        <v/>
      </c>
      <c r="L3" s="820" t="str">
        <f t="shared" si="1"/>
        <v/>
      </c>
      <c r="M3" s="820" t="str">
        <f t="shared" si="1"/>
        <v/>
      </c>
      <c r="N3" s="820" t="str">
        <f t="shared" si="1"/>
        <v/>
      </c>
      <c r="O3" s="820" t="str">
        <f t="shared" si="1"/>
        <v/>
      </c>
      <c r="P3" s="820" t="str">
        <f t="shared" si="1"/>
        <v/>
      </c>
      <c r="Q3" s="820" t="str">
        <f t="shared" si="1"/>
        <v/>
      </c>
      <c r="R3" s="820" t="str">
        <f t="shared" si="1"/>
        <v/>
      </c>
      <c r="S3" s="820" t="str">
        <f t="shared" si="1"/>
        <v/>
      </c>
      <c r="T3" s="820" t="str">
        <f t="shared" si="1"/>
        <v/>
      </c>
      <c r="U3" s="820" t="str">
        <f t="shared" si="1"/>
        <v/>
      </c>
      <c r="V3" s="820" t="str">
        <f t="shared" si="1"/>
        <v/>
      </c>
      <c r="W3" s="820" t="str">
        <f t="shared" si="1"/>
        <v/>
      </c>
      <c r="X3" s="820" t="str">
        <f t="shared" si="1"/>
        <v/>
      </c>
      <c r="Y3" s="1273" t="str">
        <f t="shared" si="1"/>
        <v/>
      </c>
      <c r="Z3" s="658"/>
      <c r="AA3" s="658"/>
      <c r="AB3" s="658"/>
      <c r="AC3" s="658"/>
      <c r="AD3" s="658"/>
      <c r="AE3" s="658"/>
      <c r="AF3" s="658"/>
      <c r="AG3" s="661">
        <v>2010</v>
      </c>
      <c r="AH3" s="659">
        <v>3</v>
      </c>
    </row>
    <row r="4" spans="1:34" x14ac:dyDescent="0.25">
      <c r="A4" s="1289"/>
      <c r="B4" s="781"/>
      <c r="C4" s="808"/>
      <c r="D4" s="808"/>
      <c r="E4" s="809">
        <f>B3</f>
        <v>46478</v>
      </c>
      <c r="F4" s="662">
        <f t="array" ref="F4">MAX(IF(('New Resources - Individual'!$F$6:$Y$6=F$6),'New Resources - Individual'!$F$4:$Y$4))</f>
        <v>0</v>
      </c>
      <c r="G4" s="662">
        <f t="array" ref="G4">MAX(IF(('New Resources - Individual'!$F$6:$Y$6=G$6),'New Resources - Individual'!$F$4:$Y$4))</f>
        <v>0</v>
      </c>
      <c r="H4" s="662">
        <f t="array" ref="H4">MAX(IF(('New Resources - Individual'!$F$6:$Y$6=H$6),'New Resources - Individual'!$F$4:$Y$4))</f>
        <v>0</v>
      </c>
      <c r="I4" s="662">
        <f t="array" ref="I4">MAX(IF(('New Resources - Individual'!$F$6:$Y$6=I$6),'New Resources - Individual'!$F$4:$Y$4))</f>
        <v>0</v>
      </c>
      <c r="J4" s="662">
        <f t="array" ref="J4">MAX(IF(('New Resources - Individual'!$F$6:$Y$6=J$6),'New Resources - Individual'!$F$4:$Y$4))</f>
        <v>0</v>
      </c>
      <c r="K4" s="662">
        <f t="array" ref="K4">MAX(IF(('New Resources - Individual'!$F$6:$Y$6=K$6),'New Resources - Individual'!$F$4:$Y$4))</f>
        <v>0</v>
      </c>
      <c r="L4" s="662">
        <f t="array" ref="L4">MAX(IF(('New Resources - Individual'!$F$6:$Y$6=L$6),'New Resources - Individual'!$F$4:$Y$4))</f>
        <v>0</v>
      </c>
      <c r="M4" s="662">
        <f t="array" ref="M4">MAX(IF(('New Resources - Individual'!$F$6:$Y$6=M$6),'New Resources - Individual'!$F$4:$Y$4))</f>
        <v>0</v>
      </c>
      <c r="N4" s="662">
        <f t="array" ref="N4">MAX(IF(('New Resources - Individual'!$F$6:$Y$6=N$6),'New Resources - Individual'!$F$4:$Y$4))</f>
        <v>0</v>
      </c>
      <c r="O4" s="662">
        <f t="array" ref="O4">MAX(IF(('New Resources - Individual'!$F$6:$Y$6=O$6),'New Resources - Individual'!$F$4:$Y$4))</f>
        <v>0</v>
      </c>
      <c r="P4" s="662">
        <f t="array" ref="P4">MAX(IF(('New Resources - Individual'!$F$6:$Y$6=P$6),'New Resources - Individual'!$F$4:$Y$4))</f>
        <v>0</v>
      </c>
      <c r="Q4" s="662">
        <f t="array" ref="Q4">MAX(IF(('New Resources - Individual'!$F$6:$Y$6=Q$6),'New Resources - Individual'!$F$4:$Y$4))</f>
        <v>0</v>
      </c>
      <c r="R4" s="662">
        <f t="array" ref="R4">MAX(IF(('New Resources - Individual'!$F$6:$Y$6=R$6),'New Resources - Individual'!$F$4:$Y$4))</f>
        <v>0</v>
      </c>
      <c r="S4" s="662">
        <f t="array" ref="S4">MAX(IF(('New Resources - Individual'!$F$6:$Y$6=S$6),'New Resources - Individual'!$F$4:$Y$4))</f>
        <v>0</v>
      </c>
      <c r="T4" s="662">
        <f t="array" ref="T4">MAX(IF(('New Resources - Individual'!$F$6:$Y$6=T$6),'New Resources - Individual'!$F$4:$Y$4))</f>
        <v>0</v>
      </c>
      <c r="U4" s="662">
        <f t="array" ref="U4">MAX(IF(('New Resources - Individual'!$F$6:$Y$6=U$6),'New Resources - Individual'!$F$4:$Y$4))</f>
        <v>0</v>
      </c>
      <c r="V4" s="662">
        <f t="array" ref="V4">MAX(IF(('New Resources - Individual'!$F$6:$Y$6=V$6),'New Resources - Individual'!$F$4:$Y$4))</f>
        <v>0</v>
      </c>
      <c r="W4" s="662">
        <f t="array" ref="W4">MAX(IF(('New Resources - Individual'!$F$6:$Y$6=W$6),'New Resources - Individual'!$F$4:$Y$4))</f>
        <v>0</v>
      </c>
      <c r="X4" s="662">
        <f t="array" ref="X4">MAX(IF(('New Resources - Individual'!$F$6:$Y$6=X$6),'New Resources - Individual'!$F$4:$Y$4))</f>
        <v>0</v>
      </c>
      <c r="Y4" s="1274">
        <f t="array" ref="Y4">MAX(IF(('New Resources - Individual'!$F$6:$Y$6=Y$6),'New Resources - Individual'!$F$4:$Y$4))</f>
        <v>0</v>
      </c>
      <c r="Z4" s="632"/>
      <c r="AA4" s="632"/>
      <c r="AB4" s="632"/>
      <c r="AC4" s="632"/>
      <c r="AD4" s="632"/>
      <c r="AE4" s="632"/>
      <c r="AF4" s="632"/>
      <c r="AG4" s="659">
        <v>2011</v>
      </c>
      <c r="AH4" s="659">
        <v>4</v>
      </c>
    </row>
    <row r="5" spans="1:34" ht="16.5" thickBot="1" x14ac:dyDescent="0.3">
      <c r="A5" s="1290">
        <v>1</v>
      </c>
      <c r="B5" s="787">
        <v>2</v>
      </c>
      <c r="C5" s="635">
        <v>3</v>
      </c>
      <c r="D5" s="636">
        <v>4</v>
      </c>
      <c r="E5" s="635">
        <v>5</v>
      </c>
      <c r="F5" s="635">
        <v>6</v>
      </c>
      <c r="G5" s="636">
        <v>7</v>
      </c>
      <c r="H5" s="636">
        <v>8</v>
      </c>
      <c r="I5" s="635">
        <v>9</v>
      </c>
      <c r="J5" s="636">
        <v>10</v>
      </c>
      <c r="K5" s="635">
        <v>11</v>
      </c>
      <c r="L5" s="635">
        <v>12</v>
      </c>
      <c r="M5" s="636">
        <v>13</v>
      </c>
      <c r="N5" s="635">
        <v>14</v>
      </c>
      <c r="O5" s="635">
        <v>15</v>
      </c>
      <c r="P5" s="636">
        <v>16</v>
      </c>
      <c r="Q5" s="635">
        <v>17</v>
      </c>
      <c r="R5" s="635">
        <v>18</v>
      </c>
      <c r="S5" s="636">
        <v>19</v>
      </c>
      <c r="T5" s="635">
        <v>20</v>
      </c>
      <c r="U5" s="635">
        <v>21</v>
      </c>
      <c r="V5" s="636">
        <v>22</v>
      </c>
      <c r="W5" s="635">
        <v>23</v>
      </c>
      <c r="X5" s="635">
        <v>24</v>
      </c>
      <c r="Y5" s="1275">
        <v>25</v>
      </c>
      <c r="Z5" s="663">
        <v>5</v>
      </c>
      <c r="AA5" s="663">
        <v>5</v>
      </c>
      <c r="AB5" s="663">
        <v>5</v>
      </c>
      <c r="AC5" s="663">
        <v>5</v>
      </c>
      <c r="AD5" s="663">
        <v>5</v>
      </c>
      <c r="AE5" s="663"/>
      <c r="AF5" s="663"/>
      <c r="AG5" s="661">
        <v>2012</v>
      </c>
      <c r="AH5" s="664">
        <v>5</v>
      </c>
    </row>
    <row r="6" spans="1:34" ht="22.5" thickTop="1" x14ac:dyDescent="0.25">
      <c r="A6" s="1292" t="s">
        <v>696</v>
      </c>
      <c r="B6" s="788" t="s">
        <v>806</v>
      </c>
      <c r="C6" s="638"/>
      <c r="D6" s="639" t="s">
        <v>588</v>
      </c>
      <c r="E6" s="640"/>
      <c r="F6" s="1280">
        <v>1</v>
      </c>
      <c r="G6" s="1280">
        <v>2</v>
      </c>
      <c r="H6" s="1280">
        <v>3</v>
      </c>
      <c r="I6" s="1280">
        <v>4</v>
      </c>
      <c r="J6" s="1280">
        <v>5</v>
      </c>
      <c r="K6" s="1280">
        <v>6</v>
      </c>
      <c r="L6" s="1280">
        <v>7</v>
      </c>
      <c r="M6" s="1280">
        <v>8</v>
      </c>
      <c r="N6" s="1280">
        <v>9</v>
      </c>
      <c r="O6" s="1280">
        <v>10</v>
      </c>
      <c r="P6" s="1280">
        <v>11</v>
      </c>
      <c r="Q6" s="1280">
        <v>12</v>
      </c>
      <c r="R6" s="1280">
        <v>13</v>
      </c>
      <c r="S6" s="1280">
        <v>14</v>
      </c>
      <c r="T6" s="1280">
        <v>15</v>
      </c>
      <c r="U6" s="1280">
        <v>16</v>
      </c>
      <c r="V6" s="1280">
        <v>17</v>
      </c>
      <c r="W6" s="1280">
        <v>18</v>
      </c>
      <c r="X6" s="1280">
        <v>19</v>
      </c>
      <c r="Y6" s="1281">
        <v>20</v>
      </c>
      <c r="Z6" s="665"/>
      <c r="AA6" s="665"/>
      <c r="AB6" s="665"/>
      <c r="AC6" s="665"/>
      <c r="AD6" s="665"/>
      <c r="AE6" s="665"/>
      <c r="AF6" s="665"/>
      <c r="AG6" s="659">
        <v>2013</v>
      </c>
      <c r="AH6" s="666">
        <v>6</v>
      </c>
    </row>
    <row r="7" spans="1:34" x14ac:dyDescent="0.25">
      <c r="A7" s="1291">
        <v>100</v>
      </c>
      <c r="B7" s="789" t="s">
        <v>88</v>
      </c>
      <c r="C7" s="642" t="s">
        <v>589</v>
      </c>
      <c r="D7" s="642"/>
      <c r="E7" s="648"/>
      <c r="F7" s="818"/>
      <c r="G7" s="818"/>
      <c r="H7" s="818"/>
      <c r="I7" s="818"/>
      <c r="J7" s="818"/>
      <c r="K7" s="818"/>
      <c r="L7" s="818"/>
      <c r="M7" s="818"/>
      <c r="N7" s="818"/>
      <c r="O7" s="818"/>
      <c r="P7" s="818"/>
      <c r="Q7" s="818"/>
      <c r="R7" s="818"/>
      <c r="S7" s="818"/>
      <c r="T7" s="818"/>
      <c r="U7" s="818"/>
      <c r="V7" s="818"/>
      <c r="W7" s="818"/>
      <c r="X7" s="818"/>
      <c r="Y7" s="1276"/>
      <c r="Z7" s="632"/>
      <c r="AA7" s="632"/>
      <c r="AB7" s="632"/>
      <c r="AC7" s="632"/>
      <c r="AD7" s="632"/>
      <c r="AE7" s="632"/>
      <c r="AF7" s="632"/>
      <c r="AG7" s="659"/>
      <c r="AH7" s="659">
        <v>7</v>
      </c>
    </row>
    <row r="8" spans="1:34" x14ac:dyDescent="0.25">
      <c r="A8" s="641">
        <v>110</v>
      </c>
      <c r="B8" s="790" t="s">
        <v>111</v>
      </c>
      <c r="C8" s="644" t="s">
        <v>112</v>
      </c>
      <c r="D8" s="644"/>
      <c r="E8" s="645"/>
      <c r="F8" s="816">
        <f>SUMIF('New Resources - Individual'!$F$6:$Y$6,F$6,'New Resources - Individual'!$F8:$Y8)</f>
        <v>0</v>
      </c>
      <c r="G8" s="816">
        <f>SUMIF('New Resources - Individual'!$F$6:$Y$6,G$6,'New Resources - Individual'!$F8:$Y8)</f>
        <v>0</v>
      </c>
      <c r="H8" s="669">
        <f>SUMIF('New Resources - Individual'!$F$6:$Y$6,H$6,'New Resources - Individual'!$F8:$Y8)</f>
        <v>0</v>
      </c>
      <c r="I8" s="816">
        <f>SUMIF('New Resources - Individual'!$F$6:$Y$6,I$6,'New Resources - Individual'!$F8:$Y8)</f>
        <v>0</v>
      </c>
      <c r="J8" s="817">
        <f>SUMIF('New Resources - Individual'!$F$6:$Y$6,J$6,'New Resources - Individual'!$F8:$Y8)</f>
        <v>0</v>
      </c>
      <c r="K8" s="817">
        <f>SUMIF('New Resources - Individual'!$F$6:$Y$6,K$6,'New Resources - Individual'!$F8:$Y8)</f>
        <v>0</v>
      </c>
      <c r="L8" s="817">
        <f>SUMIF('New Resources - Individual'!$F$6:$Y$6,L$6,'New Resources - Individual'!$F8:$Y8)</f>
        <v>0</v>
      </c>
      <c r="M8" s="817">
        <f>SUMIF('New Resources - Individual'!$F$6:$Y$6,M$6,'New Resources - Individual'!$F8:$Y8)</f>
        <v>0</v>
      </c>
      <c r="N8" s="817">
        <f>SUMIF('New Resources - Individual'!$F$6:$Y$6,N$6,'New Resources - Individual'!$F8:$Y8)</f>
        <v>0</v>
      </c>
      <c r="O8" s="817">
        <f>SUMIF('New Resources - Individual'!$F$6:$Y$6,O$6,'New Resources - Individual'!$F8:$Y8)</f>
        <v>0</v>
      </c>
      <c r="P8" s="817">
        <f>SUMIF('New Resources - Individual'!$F$6:$Y$6,P$6,'New Resources - Individual'!$F8:$Y8)</f>
        <v>0</v>
      </c>
      <c r="Q8" s="817">
        <f>SUMIF('New Resources - Individual'!$F$6:$Y$6,Q$6,'New Resources - Individual'!$F8:$Y8)</f>
        <v>0</v>
      </c>
      <c r="R8" s="817">
        <f>SUMIF('New Resources - Individual'!$F$6:$Y$6,R$6,'New Resources - Individual'!$F8:$Y8)</f>
        <v>0</v>
      </c>
      <c r="S8" s="817">
        <f>SUMIF('New Resources - Individual'!$F$6:$Y$6,S$6,'New Resources - Individual'!$F8:$Y8)</f>
        <v>0</v>
      </c>
      <c r="T8" s="817">
        <f>SUMIF('New Resources - Individual'!$F$6:$Y$6,T$6,'New Resources - Individual'!$F8:$Y8)</f>
        <v>0</v>
      </c>
      <c r="U8" s="817">
        <f>SUMIF('New Resources - Individual'!$F$6:$Y$6,U$6,'New Resources - Individual'!$F8:$Y8)</f>
        <v>0</v>
      </c>
      <c r="V8" s="817">
        <f>SUMIF('New Resources - Individual'!$F$6:$Y$6,V$6,'New Resources - Individual'!$F8:$Y8)</f>
        <v>0</v>
      </c>
      <c r="W8" s="817">
        <f>SUMIF('New Resources - Individual'!$F$6:$Y$6,W$6,'New Resources - Individual'!$F8:$Y8)</f>
        <v>0</v>
      </c>
      <c r="X8" s="817">
        <f>SUMIF('New Resources - Individual'!$F$6:$Y$6,X$6,'New Resources - Individual'!$F8:$Y8)</f>
        <v>0</v>
      </c>
      <c r="Y8" s="1277">
        <f>SUMIF('New Resources - Individual'!$F$6:$Y$6,Y$6,'New Resources - Individual'!$F8:$Y8)</f>
        <v>0</v>
      </c>
      <c r="Z8" s="632"/>
      <c r="AA8" s="632"/>
      <c r="AB8" s="632"/>
      <c r="AC8" s="632"/>
      <c r="AD8" s="632"/>
      <c r="AE8" s="632"/>
      <c r="AF8" s="632"/>
      <c r="AG8" s="659"/>
      <c r="AH8" s="659">
        <v>8</v>
      </c>
    </row>
    <row r="9" spans="1:34" x14ac:dyDescent="0.25">
      <c r="A9" s="641">
        <v>120</v>
      </c>
      <c r="B9" s="792" t="s">
        <v>590</v>
      </c>
      <c r="C9" s="646">
        <v>151</v>
      </c>
      <c r="D9" s="646"/>
      <c r="E9" s="645"/>
      <c r="F9" s="669">
        <f>SUMIF('New Resources - Individual'!$F$6:$Y$6,F$6,'New Resources - Individual'!$F9:$Y9)</f>
        <v>0</v>
      </c>
      <c r="G9" s="669">
        <f>('New Resources - Individual'!G9)-(SUMIF('New Resources - Individual'!$F$6:$Y$6,G$6,'New Resources - Individual'!$F9:$Y9))</f>
        <v>0</v>
      </c>
      <c r="H9" s="669">
        <f>0-(SUMIF('New Resources - Individual'!$F$6:$Y$6,H$6,'New Resources - Individual'!$F9:$Y9))</f>
        <v>0</v>
      </c>
      <c r="I9" s="669">
        <f>0-(SUMIF('New Resources - Individual'!$F$6:$Y$6,I$6,'New Resources - Individual'!$F9:$Y9))</f>
        <v>0</v>
      </c>
      <c r="J9" s="670">
        <f>0-(SUMIF('New Resources - Individual'!$F$6:$Y$6,J$6,'New Resources - Individual'!$F9:$Y9))</f>
        <v>0</v>
      </c>
      <c r="K9" s="670">
        <f>0-(SUMIF('New Resources - Individual'!$F$6:$Y$6,K$6,'New Resources - Individual'!$F9:$Y9))</f>
        <v>0</v>
      </c>
      <c r="L9" s="670">
        <f>0-(SUMIF('New Resources - Individual'!$F$6:$Y$6,L$6,'New Resources - Individual'!$F9:$Y9))</f>
        <v>0</v>
      </c>
      <c r="M9" s="670">
        <f>0-(SUMIF('New Resources - Individual'!$F$6:$Y$6,M$6,'New Resources - Individual'!$F9:$Y9))</f>
        <v>0</v>
      </c>
      <c r="N9" s="670">
        <f>0-(SUMIF('New Resources - Individual'!$F$6:$Y$6,N$6,'New Resources - Individual'!$F9:$Y9))</f>
        <v>0</v>
      </c>
      <c r="O9" s="670">
        <f>0-(SUMIF('New Resources - Individual'!$F$6:$Y$6,O$6,'New Resources - Individual'!$F9:$Y9))</f>
        <v>0</v>
      </c>
      <c r="P9" s="670">
        <f>0-(SUMIF('New Resources - Individual'!$F$6:$Y$6,P$6,'New Resources - Individual'!$F9:$Y9))</f>
        <v>0</v>
      </c>
      <c r="Q9" s="670">
        <f>0-(SUMIF('New Resources - Individual'!$F$6:$Y$6,Q$6,'New Resources - Individual'!$F9:$Y9))</f>
        <v>0</v>
      </c>
      <c r="R9" s="670">
        <f>0-(SUMIF('New Resources - Individual'!$F$6:$Y$6,R$6,'New Resources - Individual'!$F9:$Y9))</f>
        <v>0</v>
      </c>
      <c r="S9" s="670">
        <f>0-(SUMIF('New Resources - Individual'!$F$6:$Y$6,S$6,'New Resources - Individual'!$F9:$Y9))</f>
        <v>0</v>
      </c>
      <c r="T9" s="670">
        <f>0-(SUMIF('New Resources - Individual'!$F$6:$Y$6,T$6,'New Resources - Individual'!$F9:$Y9))</f>
        <v>0</v>
      </c>
      <c r="U9" s="670">
        <f>0-(SUMIF('New Resources - Individual'!$F$6:$Y$6,U$6,'New Resources - Individual'!$F9:$Y9))</f>
        <v>0</v>
      </c>
      <c r="V9" s="670">
        <f>0-(SUMIF('New Resources - Individual'!$F$6:$Y$6,V$6,'New Resources - Individual'!$F9:$Y9))</f>
        <v>0</v>
      </c>
      <c r="W9" s="670">
        <f>0-(SUMIF('New Resources - Individual'!$F$6:$Y$6,W$6,'New Resources - Individual'!$F9:$Y9))</f>
        <v>0</v>
      </c>
      <c r="X9" s="670">
        <f>0-(SUMIF('New Resources - Individual'!$F$6:$Y$6,X$6,'New Resources - Individual'!$F9:$Y9))</f>
        <v>0</v>
      </c>
      <c r="Y9" s="791">
        <f>0-(SUMIF('New Resources - Individual'!$F$6:$Y$6,Y$6,'New Resources - Individual'!$F9:$Y9))</f>
        <v>0</v>
      </c>
      <c r="Z9" s="632"/>
      <c r="AA9" s="632"/>
      <c r="AB9" s="632"/>
      <c r="AC9" s="632"/>
      <c r="AD9" s="632"/>
      <c r="AE9" s="632"/>
      <c r="AF9" s="632"/>
      <c r="AG9" s="659"/>
      <c r="AH9" s="659">
        <v>9</v>
      </c>
    </row>
    <row r="10" spans="1:34" x14ac:dyDescent="0.25">
      <c r="A10" s="641">
        <v>130</v>
      </c>
      <c r="B10" s="790" t="s">
        <v>79</v>
      </c>
      <c r="C10" s="644">
        <v>154</v>
      </c>
      <c r="D10" s="644"/>
      <c r="E10" s="645"/>
      <c r="F10" s="669">
        <f>SUMIF('New Resources - Individual'!$F$6:$Y$6,F$6,'New Resources - Individual'!$F10:$Y10)</f>
        <v>0</v>
      </c>
      <c r="G10" s="669">
        <f>SUMIF('New Resources - Individual'!$F$6:$Y$6,G$6,'New Resources - Individual'!$F10:$Y10)</f>
        <v>0</v>
      </c>
      <c r="H10" s="669">
        <f>SUMIF('New Resources - Individual'!$F$6:$Y$6,H$6,'New Resources - Individual'!$F10:$Y10)</f>
        <v>0</v>
      </c>
      <c r="I10" s="669">
        <f>SUMIF('New Resources - Individual'!$F$6:$Y$6,I$6,'New Resources - Individual'!$F10:$Y10)</f>
        <v>0</v>
      </c>
      <c r="J10" s="670">
        <f>SUMIF('New Resources - Individual'!$F$6:$Y$6,J$6,'New Resources - Individual'!$F10:$Y10)</f>
        <v>0</v>
      </c>
      <c r="K10" s="670">
        <f>SUMIF('New Resources - Individual'!$F$6:$Y$6,K$6,'New Resources - Individual'!$F10:$Y10)</f>
        <v>0</v>
      </c>
      <c r="L10" s="670">
        <f>SUMIF('New Resources - Individual'!$F$6:$Y$6,L$6,'New Resources - Individual'!$F10:$Y10)</f>
        <v>0</v>
      </c>
      <c r="M10" s="670">
        <f>SUMIF('New Resources - Individual'!$F$6:$Y$6,M$6,'New Resources - Individual'!$F10:$Y10)</f>
        <v>0</v>
      </c>
      <c r="N10" s="670">
        <f>SUMIF('New Resources - Individual'!$F$6:$Y$6,N$6,'New Resources - Individual'!$F10:$Y10)</f>
        <v>0</v>
      </c>
      <c r="O10" s="670">
        <f>SUMIF('New Resources - Individual'!$F$6:$Y$6,O$6,'New Resources - Individual'!$F10:$Y10)</f>
        <v>0</v>
      </c>
      <c r="P10" s="670">
        <f>SUMIF('New Resources - Individual'!$F$6:$Y$6,P$6,'New Resources - Individual'!$F10:$Y10)</f>
        <v>0</v>
      </c>
      <c r="Q10" s="670">
        <f>SUMIF('New Resources - Individual'!$F$6:$Y$6,Q$6,'New Resources - Individual'!$F10:$Y10)</f>
        <v>0</v>
      </c>
      <c r="R10" s="670">
        <f>SUMIF('New Resources - Individual'!$F$6:$Y$6,R$6,'New Resources - Individual'!$F10:$Y10)</f>
        <v>0</v>
      </c>
      <c r="S10" s="670">
        <f>SUMIF('New Resources - Individual'!$F$6:$Y$6,S$6,'New Resources - Individual'!$F10:$Y10)</f>
        <v>0</v>
      </c>
      <c r="T10" s="670">
        <f>SUMIF('New Resources - Individual'!$F$6:$Y$6,T$6,'New Resources - Individual'!$F10:$Y10)</f>
        <v>0</v>
      </c>
      <c r="U10" s="670">
        <f>SUMIF('New Resources - Individual'!$F$6:$Y$6,U$6,'New Resources - Individual'!$F10:$Y10)</f>
        <v>0</v>
      </c>
      <c r="V10" s="670">
        <f>SUMIF('New Resources - Individual'!$F$6:$Y$6,V$6,'New Resources - Individual'!$F10:$Y10)</f>
        <v>0</v>
      </c>
      <c r="W10" s="670">
        <f>SUMIF('New Resources - Individual'!$F$6:$Y$6,W$6,'New Resources - Individual'!$F10:$Y10)</f>
        <v>0</v>
      </c>
      <c r="X10" s="670">
        <f>SUMIF('New Resources - Individual'!$F$6:$Y$6,X$6,'New Resources - Individual'!$F10:$Y10)</f>
        <v>0</v>
      </c>
      <c r="Y10" s="791">
        <f>SUMIF('New Resources - Individual'!$F$6:$Y$6,Y$6,'New Resources - Individual'!$F10:$Y10)</f>
        <v>0</v>
      </c>
      <c r="Z10" s="632"/>
      <c r="AA10" s="632"/>
      <c r="AB10" s="632"/>
      <c r="AC10" s="632"/>
      <c r="AD10" s="632"/>
      <c r="AE10" s="632"/>
      <c r="AF10" s="632"/>
      <c r="AG10" s="659"/>
      <c r="AH10" s="659">
        <v>10</v>
      </c>
    </row>
    <row r="11" spans="1:34" x14ac:dyDescent="0.25">
      <c r="A11" s="641">
        <v>140</v>
      </c>
      <c r="B11" s="792" t="s">
        <v>591</v>
      </c>
      <c r="C11" s="646" t="s">
        <v>592</v>
      </c>
      <c r="D11" s="646"/>
      <c r="E11" s="645"/>
      <c r="F11" s="669">
        <f>SUMIF('New Resources - Individual'!$F$6:$Y$6,F$6,'New Resources - Individual'!$F11:$Y11)</f>
        <v>0</v>
      </c>
      <c r="G11" s="669">
        <f>SUMIF('New Resources - Individual'!$F$6:$Y$6,G$6,'New Resources - Individual'!$F11:$Y11)</f>
        <v>0</v>
      </c>
      <c r="H11" s="669">
        <f>SUMIF('New Resources - Individual'!$F$6:$Y$6,H$6,'New Resources - Individual'!$F11:$Y11)</f>
        <v>0</v>
      </c>
      <c r="I11" s="669">
        <f>SUMIF('New Resources - Individual'!$F$6:$Y$6,I$6,'New Resources - Individual'!$F11:$Y11)</f>
        <v>0</v>
      </c>
      <c r="J11" s="670">
        <f>SUMIF('New Resources - Individual'!$F$6:$Y$6,J$6,'New Resources - Individual'!$F11:$Y11)</f>
        <v>0</v>
      </c>
      <c r="K11" s="670">
        <f>SUMIF('New Resources - Individual'!$F$6:$Y$6,K$6,'New Resources - Individual'!$F11:$Y11)</f>
        <v>0</v>
      </c>
      <c r="L11" s="670">
        <f>SUMIF('New Resources - Individual'!$F$6:$Y$6,L$6,'New Resources - Individual'!$F11:$Y11)</f>
        <v>0</v>
      </c>
      <c r="M11" s="670">
        <f>SUMIF('New Resources - Individual'!$F$6:$Y$6,M$6,'New Resources - Individual'!$F11:$Y11)</f>
        <v>0</v>
      </c>
      <c r="N11" s="670">
        <f>SUMIF('New Resources - Individual'!$F$6:$Y$6,N$6,'New Resources - Individual'!$F11:$Y11)</f>
        <v>0</v>
      </c>
      <c r="O11" s="670">
        <f>SUMIF('New Resources - Individual'!$F$6:$Y$6,O$6,'New Resources - Individual'!$F11:$Y11)</f>
        <v>0</v>
      </c>
      <c r="P11" s="670">
        <f>SUMIF('New Resources - Individual'!$F$6:$Y$6,P$6,'New Resources - Individual'!$F11:$Y11)</f>
        <v>0</v>
      </c>
      <c r="Q11" s="670">
        <f>SUMIF('New Resources - Individual'!$F$6:$Y$6,Q$6,'New Resources - Individual'!$F11:$Y11)</f>
        <v>0</v>
      </c>
      <c r="R11" s="670">
        <f>SUMIF('New Resources - Individual'!$F$6:$Y$6,R$6,'New Resources - Individual'!$F11:$Y11)</f>
        <v>0</v>
      </c>
      <c r="S11" s="670">
        <f>SUMIF('New Resources - Individual'!$F$6:$Y$6,S$6,'New Resources - Individual'!$F11:$Y11)</f>
        <v>0</v>
      </c>
      <c r="T11" s="670">
        <f>SUMIF('New Resources - Individual'!$F$6:$Y$6,T$6,'New Resources - Individual'!$F11:$Y11)</f>
        <v>0</v>
      </c>
      <c r="U11" s="670">
        <f>SUMIF('New Resources - Individual'!$F$6:$Y$6,U$6,'New Resources - Individual'!$F11:$Y11)</f>
        <v>0</v>
      </c>
      <c r="V11" s="670">
        <f>SUMIF('New Resources - Individual'!$F$6:$Y$6,V$6,'New Resources - Individual'!$F11:$Y11)</f>
        <v>0</v>
      </c>
      <c r="W11" s="670">
        <f>SUMIF('New Resources - Individual'!$F$6:$Y$6,W$6,'New Resources - Individual'!$F11:$Y11)</f>
        <v>0</v>
      </c>
      <c r="X11" s="670">
        <f>SUMIF('New Resources - Individual'!$F$6:$Y$6,X$6,'New Resources - Individual'!$F11:$Y11)</f>
        <v>0</v>
      </c>
      <c r="Y11" s="791">
        <f>SUMIF('New Resources - Individual'!$F$6:$Y$6,Y$6,'New Resources - Individual'!$F11:$Y11)</f>
        <v>0</v>
      </c>
      <c r="Z11" s="632"/>
      <c r="AA11" s="632"/>
      <c r="AB11" s="632"/>
      <c r="AC11" s="632"/>
      <c r="AD11" s="632"/>
      <c r="AE11" s="632"/>
      <c r="AF11" s="632"/>
      <c r="AG11" s="659"/>
      <c r="AH11" s="659">
        <v>11</v>
      </c>
    </row>
    <row r="12" spans="1:34" x14ac:dyDescent="0.25">
      <c r="A12" s="641">
        <v>150</v>
      </c>
      <c r="B12" s="793" t="s">
        <v>593</v>
      </c>
      <c r="C12" s="647"/>
      <c r="D12" s="647"/>
      <c r="E12" s="648"/>
      <c r="F12" s="672"/>
      <c r="G12" s="672"/>
      <c r="H12" s="648"/>
      <c r="I12" s="672"/>
      <c r="J12" s="672"/>
      <c r="K12" s="672"/>
      <c r="L12" s="672"/>
      <c r="M12" s="672"/>
      <c r="N12" s="672"/>
      <c r="O12" s="672"/>
      <c r="P12" s="672"/>
      <c r="Q12" s="672"/>
      <c r="R12" s="672"/>
      <c r="S12" s="672"/>
      <c r="T12" s="672"/>
      <c r="U12" s="672"/>
      <c r="V12" s="672"/>
      <c r="W12" s="672"/>
      <c r="X12" s="672"/>
      <c r="Y12" s="794"/>
      <c r="Z12" s="632"/>
      <c r="AA12" s="632"/>
      <c r="AB12" s="632"/>
      <c r="AC12" s="632"/>
      <c r="AD12" s="632"/>
      <c r="AE12" s="632"/>
      <c r="AF12" s="632"/>
      <c r="AG12" s="659"/>
      <c r="AH12" s="659">
        <v>12</v>
      </c>
    </row>
    <row r="13" spans="1:34" x14ac:dyDescent="0.25">
      <c r="A13" s="641">
        <v>160</v>
      </c>
      <c r="B13" s="792" t="s">
        <v>259</v>
      </c>
      <c r="C13" s="644">
        <v>501</v>
      </c>
      <c r="D13" s="644"/>
      <c r="E13" s="645"/>
      <c r="F13" s="669">
        <f>SUMIF('New Resources - Individual'!$F$6:$Y$6,F$6,'New Resources - Individual'!$F13:$Y13)</f>
        <v>0</v>
      </c>
      <c r="G13" s="669">
        <f>SUMIF('New Resources - Individual'!$F$6:$Y$6,G$6,'New Resources - Individual'!$F13:$Y13)</f>
        <v>0</v>
      </c>
      <c r="H13" s="669">
        <f>SUMIF('New Resources - Individual'!$F$6:$Y$6,H$6,'New Resources - Individual'!$F13:$Y13)</f>
        <v>0</v>
      </c>
      <c r="I13" s="669">
        <f>SUMIF('New Resources - Individual'!$F$6:$Y$6,I$6,'New Resources - Individual'!$F13:$Y13)</f>
        <v>0</v>
      </c>
      <c r="J13" s="670">
        <f>SUMIF('New Resources - Individual'!$F$6:$Y$6,J$6,'New Resources - Individual'!$F13:$Y13)</f>
        <v>0</v>
      </c>
      <c r="K13" s="670">
        <f>SUMIF('New Resources - Individual'!$F$6:$Y$6,K$6,'New Resources - Individual'!$F13:$Y13)</f>
        <v>0</v>
      </c>
      <c r="L13" s="670">
        <f>SUMIF('New Resources - Individual'!$F$6:$Y$6,L$6,'New Resources - Individual'!$F13:$Y13)</f>
        <v>0</v>
      </c>
      <c r="M13" s="670">
        <f>SUMIF('New Resources - Individual'!$F$6:$Y$6,M$6,'New Resources - Individual'!$F13:$Y13)</f>
        <v>0</v>
      </c>
      <c r="N13" s="670">
        <f>SUMIF('New Resources - Individual'!$F$6:$Y$6,N$6,'New Resources - Individual'!$F13:$Y13)</f>
        <v>0</v>
      </c>
      <c r="O13" s="670">
        <f>SUMIF('New Resources - Individual'!$F$6:$Y$6,O$6,'New Resources - Individual'!$F13:$Y13)</f>
        <v>0</v>
      </c>
      <c r="P13" s="670">
        <f>SUMIF('New Resources - Individual'!$F$6:$Y$6,P$6,'New Resources - Individual'!$F13:$Y13)</f>
        <v>0</v>
      </c>
      <c r="Q13" s="670">
        <f>SUMIF('New Resources - Individual'!$F$6:$Y$6,Q$6,'New Resources - Individual'!$F13:$Y13)</f>
        <v>0</v>
      </c>
      <c r="R13" s="670">
        <f>SUMIF('New Resources - Individual'!$F$6:$Y$6,R$6,'New Resources - Individual'!$F13:$Y13)</f>
        <v>0</v>
      </c>
      <c r="S13" s="670">
        <f>SUMIF('New Resources - Individual'!$F$6:$Y$6,S$6,'New Resources - Individual'!$F13:$Y13)</f>
        <v>0</v>
      </c>
      <c r="T13" s="670">
        <f>SUMIF('New Resources - Individual'!$F$6:$Y$6,T$6,'New Resources - Individual'!$F13:$Y13)</f>
        <v>0</v>
      </c>
      <c r="U13" s="670">
        <f>SUMIF('New Resources - Individual'!$F$6:$Y$6,U$6,'New Resources - Individual'!$F13:$Y13)</f>
        <v>0</v>
      </c>
      <c r="V13" s="670">
        <f>SUMIF('New Resources - Individual'!$F$6:$Y$6,V$6,'New Resources - Individual'!$F13:$Y13)</f>
        <v>0</v>
      </c>
      <c r="W13" s="670">
        <f>SUMIF('New Resources - Individual'!$F$6:$Y$6,W$6,'New Resources - Individual'!$F13:$Y13)</f>
        <v>0</v>
      </c>
      <c r="X13" s="670">
        <f>SUMIF('New Resources - Individual'!$F$6:$Y$6,X$6,'New Resources - Individual'!$F13:$Y13)</f>
        <v>0</v>
      </c>
      <c r="Y13" s="791">
        <f>SUMIF('New Resources - Individual'!$F$6:$Y$6,Y$6,'New Resources - Individual'!$F13:$Y13)</f>
        <v>0</v>
      </c>
      <c r="Z13" s="632"/>
      <c r="AA13" s="632"/>
      <c r="AB13" s="632"/>
      <c r="AC13" s="632"/>
      <c r="AD13" s="632"/>
      <c r="AE13" s="632"/>
      <c r="AF13" s="632"/>
      <c r="AG13" s="659"/>
      <c r="AH13" s="659"/>
    </row>
    <row r="14" spans="1:34" x14ac:dyDescent="0.25">
      <c r="A14" s="641">
        <v>170</v>
      </c>
      <c r="B14" s="790" t="s">
        <v>594</v>
      </c>
      <c r="C14" s="646" t="s">
        <v>452</v>
      </c>
      <c r="D14" s="646"/>
      <c r="E14" s="645"/>
      <c r="F14" s="669">
        <f>SUMIF('New Resources - Individual'!$F$6:$Y$6,F$6,'New Resources - Individual'!$F14:$Y14)</f>
        <v>0</v>
      </c>
      <c r="G14" s="669">
        <f>SUMIF('New Resources - Individual'!$F$6:$Y$6,G$6,'New Resources - Individual'!$F14:$Y14)</f>
        <v>0</v>
      </c>
      <c r="H14" s="669">
        <f>SUMIF('New Resources - Individual'!$F$6:$Y$6,H$6,'New Resources - Individual'!$F14:$Y14)</f>
        <v>0</v>
      </c>
      <c r="I14" s="669">
        <f>SUMIF('New Resources - Individual'!$F$6:$Y$6,I$6,'New Resources - Individual'!$F14:$Y14)</f>
        <v>0</v>
      </c>
      <c r="J14" s="670">
        <f>SUMIF('New Resources - Individual'!$F$6:$Y$6,J$6,'New Resources - Individual'!$F14:$Y14)</f>
        <v>0</v>
      </c>
      <c r="K14" s="670">
        <f>SUMIF('New Resources - Individual'!$F$6:$Y$6,K$6,'New Resources - Individual'!$F14:$Y14)</f>
        <v>0</v>
      </c>
      <c r="L14" s="670">
        <f>SUMIF('New Resources - Individual'!$F$6:$Y$6,L$6,'New Resources - Individual'!$F14:$Y14)</f>
        <v>0</v>
      </c>
      <c r="M14" s="670">
        <f>SUMIF('New Resources - Individual'!$F$6:$Y$6,M$6,'New Resources - Individual'!$F14:$Y14)</f>
        <v>0</v>
      </c>
      <c r="N14" s="670">
        <f>SUMIF('New Resources - Individual'!$F$6:$Y$6,N$6,'New Resources - Individual'!$F14:$Y14)</f>
        <v>0</v>
      </c>
      <c r="O14" s="670">
        <f>SUMIF('New Resources - Individual'!$F$6:$Y$6,O$6,'New Resources - Individual'!$F14:$Y14)</f>
        <v>0</v>
      </c>
      <c r="P14" s="670">
        <f>SUMIF('New Resources - Individual'!$F$6:$Y$6,P$6,'New Resources - Individual'!$F14:$Y14)</f>
        <v>0</v>
      </c>
      <c r="Q14" s="670">
        <f>SUMIF('New Resources - Individual'!$F$6:$Y$6,Q$6,'New Resources - Individual'!$F14:$Y14)</f>
        <v>0</v>
      </c>
      <c r="R14" s="670">
        <f>SUMIF('New Resources - Individual'!$F$6:$Y$6,R$6,'New Resources - Individual'!$F14:$Y14)</f>
        <v>0</v>
      </c>
      <c r="S14" s="670">
        <f>SUMIF('New Resources - Individual'!$F$6:$Y$6,S$6,'New Resources - Individual'!$F14:$Y14)</f>
        <v>0</v>
      </c>
      <c r="T14" s="670">
        <f>SUMIF('New Resources - Individual'!$F$6:$Y$6,T$6,'New Resources - Individual'!$F14:$Y14)</f>
        <v>0</v>
      </c>
      <c r="U14" s="670">
        <f>SUMIF('New Resources - Individual'!$F$6:$Y$6,U$6,'New Resources - Individual'!$F14:$Y14)</f>
        <v>0</v>
      </c>
      <c r="V14" s="670">
        <f>SUMIF('New Resources - Individual'!$F$6:$Y$6,V$6,'New Resources - Individual'!$F14:$Y14)</f>
        <v>0</v>
      </c>
      <c r="W14" s="670">
        <f>SUMIF('New Resources - Individual'!$F$6:$Y$6,W$6,'New Resources - Individual'!$F14:$Y14)</f>
        <v>0</v>
      </c>
      <c r="X14" s="670">
        <f>SUMIF('New Resources - Individual'!$F$6:$Y$6,X$6,'New Resources - Individual'!$F14:$Y14)</f>
        <v>0</v>
      </c>
      <c r="Y14" s="791">
        <f>SUMIF('New Resources - Individual'!$F$6:$Y$6,Y$6,'New Resources - Individual'!$F14:$Y14)</f>
        <v>0</v>
      </c>
      <c r="Z14" s="632"/>
      <c r="AA14" s="632"/>
      <c r="AB14" s="632"/>
      <c r="AC14" s="632"/>
      <c r="AD14" s="632"/>
      <c r="AE14" s="632"/>
      <c r="AF14" s="632"/>
      <c r="AG14" s="659"/>
      <c r="AH14" s="659"/>
    </row>
    <row r="15" spans="1:34" x14ac:dyDescent="0.25">
      <c r="A15" s="641">
        <v>180</v>
      </c>
      <c r="B15" s="792" t="s">
        <v>261</v>
      </c>
      <c r="C15" s="644" t="s">
        <v>262</v>
      </c>
      <c r="D15" s="644"/>
      <c r="E15" s="645"/>
      <c r="F15" s="669">
        <f>SUMIF('New Resources - Individual'!$F$6:$Y$6,F$6,'New Resources - Individual'!$F15:$Y15)</f>
        <v>0</v>
      </c>
      <c r="G15" s="669">
        <f>SUMIF('New Resources - Individual'!$F$6:$Y$6,G$6,'New Resources - Individual'!$F15:$Y15)</f>
        <v>0</v>
      </c>
      <c r="H15" s="669">
        <f>SUMIF('New Resources - Individual'!$F$6:$Y$6,H$6,'New Resources - Individual'!$F15:$Y15)</f>
        <v>0</v>
      </c>
      <c r="I15" s="669">
        <f>SUMIF('New Resources - Individual'!$F$6:$Y$6,I$6,'New Resources - Individual'!$F15:$Y15)</f>
        <v>0</v>
      </c>
      <c r="J15" s="670">
        <f>SUMIF('New Resources - Individual'!$F$6:$Y$6,J$6,'New Resources - Individual'!$F15:$Y15)</f>
        <v>0</v>
      </c>
      <c r="K15" s="670">
        <f>SUMIF('New Resources - Individual'!$F$6:$Y$6,K$6,'New Resources - Individual'!$F15:$Y15)</f>
        <v>0</v>
      </c>
      <c r="L15" s="670">
        <f>SUMIF('New Resources - Individual'!$F$6:$Y$6,L$6,'New Resources - Individual'!$F15:$Y15)</f>
        <v>0</v>
      </c>
      <c r="M15" s="670">
        <f>SUMIF('New Resources - Individual'!$F$6:$Y$6,M$6,'New Resources - Individual'!$F15:$Y15)</f>
        <v>0</v>
      </c>
      <c r="N15" s="670">
        <f>SUMIF('New Resources - Individual'!$F$6:$Y$6,N$6,'New Resources - Individual'!$F15:$Y15)</f>
        <v>0</v>
      </c>
      <c r="O15" s="670">
        <f>SUMIF('New Resources - Individual'!$F$6:$Y$6,O$6,'New Resources - Individual'!$F15:$Y15)</f>
        <v>0</v>
      </c>
      <c r="P15" s="670">
        <f>SUMIF('New Resources - Individual'!$F$6:$Y$6,P$6,'New Resources - Individual'!$F15:$Y15)</f>
        <v>0</v>
      </c>
      <c r="Q15" s="670">
        <f>SUMIF('New Resources - Individual'!$F$6:$Y$6,Q$6,'New Resources - Individual'!$F15:$Y15)</f>
        <v>0</v>
      </c>
      <c r="R15" s="670">
        <f>SUMIF('New Resources - Individual'!$F$6:$Y$6,R$6,'New Resources - Individual'!$F15:$Y15)</f>
        <v>0</v>
      </c>
      <c r="S15" s="670">
        <f>SUMIF('New Resources - Individual'!$F$6:$Y$6,S$6,'New Resources - Individual'!$F15:$Y15)</f>
        <v>0</v>
      </c>
      <c r="T15" s="670">
        <f>SUMIF('New Resources - Individual'!$F$6:$Y$6,T$6,'New Resources - Individual'!$F15:$Y15)</f>
        <v>0</v>
      </c>
      <c r="U15" s="670">
        <f>SUMIF('New Resources - Individual'!$F$6:$Y$6,U$6,'New Resources - Individual'!$F15:$Y15)</f>
        <v>0</v>
      </c>
      <c r="V15" s="670">
        <f>SUMIF('New Resources - Individual'!$F$6:$Y$6,V$6,'New Resources - Individual'!$F15:$Y15)</f>
        <v>0</v>
      </c>
      <c r="W15" s="670">
        <f>SUMIF('New Resources - Individual'!$F$6:$Y$6,W$6,'New Resources - Individual'!$F15:$Y15)</f>
        <v>0</v>
      </c>
      <c r="X15" s="670">
        <f>SUMIF('New Resources - Individual'!$F$6:$Y$6,X$6,'New Resources - Individual'!$F15:$Y15)</f>
        <v>0</v>
      </c>
      <c r="Y15" s="791">
        <f>SUMIF('New Resources - Individual'!$F$6:$Y$6,Y$6,'New Resources - Individual'!$F15:$Y15)</f>
        <v>0</v>
      </c>
      <c r="Z15" s="632"/>
      <c r="AA15" s="632"/>
      <c r="AB15" s="632"/>
      <c r="AC15" s="632"/>
      <c r="AD15" s="632"/>
      <c r="AE15" s="632"/>
      <c r="AF15" s="632"/>
      <c r="AG15" s="659"/>
      <c r="AH15" s="659"/>
    </row>
    <row r="16" spans="1:34" x14ac:dyDescent="0.25">
      <c r="A16" s="641">
        <v>190</v>
      </c>
      <c r="B16" s="795" t="s">
        <v>167</v>
      </c>
      <c r="C16" s="649">
        <v>924</v>
      </c>
      <c r="D16" s="649"/>
      <c r="E16" s="650"/>
      <c r="F16" s="669">
        <f>SUMIF('New Resources - Individual'!$F$6:$Y$6,F$6,'New Resources - Individual'!$F16:$Y16)</f>
        <v>0</v>
      </c>
      <c r="G16" s="669">
        <f>SUMIF('New Resources - Individual'!$F$6:$Y$6,G$6,'New Resources - Individual'!$F16:$Y16)</f>
        <v>0</v>
      </c>
      <c r="H16" s="669">
        <f>SUMIF('New Resources - Individual'!$F$6:$Y$6,H$6,'New Resources - Individual'!$F16:$Y16)</f>
        <v>0</v>
      </c>
      <c r="I16" s="669">
        <f>SUMIF('New Resources - Individual'!$F$6:$Y$6,I$6,'New Resources - Individual'!$F16:$Y16)</f>
        <v>0</v>
      </c>
      <c r="J16" s="670">
        <f>SUMIF('New Resources - Individual'!$F$6:$Y$6,J$6,'New Resources - Individual'!$F16:$Y16)</f>
        <v>0</v>
      </c>
      <c r="K16" s="670">
        <f>SUMIF('New Resources - Individual'!$F$6:$Y$6,K$6,'New Resources - Individual'!$F16:$Y16)</f>
        <v>0</v>
      </c>
      <c r="L16" s="670">
        <f>SUMIF('New Resources - Individual'!$F$6:$Y$6,L$6,'New Resources - Individual'!$F16:$Y16)</f>
        <v>0</v>
      </c>
      <c r="M16" s="670">
        <f>SUMIF('New Resources - Individual'!$F$6:$Y$6,M$6,'New Resources - Individual'!$F16:$Y16)</f>
        <v>0</v>
      </c>
      <c r="N16" s="670">
        <f>SUMIF('New Resources - Individual'!$F$6:$Y$6,N$6,'New Resources - Individual'!$F16:$Y16)</f>
        <v>0</v>
      </c>
      <c r="O16" s="670">
        <f>SUMIF('New Resources - Individual'!$F$6:$Y$6,O$6,'New Resources - Individual'!$F16:$Y16)</f>
        <v>0</v>
      </c>
      <c r="P16" s="670">
        <f>SUMIF('New Resources - Individual'!$F$6:$Y$6,P$6,'New Resources - Individual'!$F16:$Y16)</f>
        <v>0</v>
      </c>
      <c r="Q16" s="670">
        <f>SUMIF('New Resources - Individual'!$F$6:$Y$6,Q$6,'New Resources - Individual'!$F16:$Y16)</f>
        <v>0</v>
      </c>
      <c r="R16" s="670">
        <f>SUMIF('New Resources - Individual'!$F$6:$Y$6,R$6,'New Resources - Individual'!$F16:$Y16)</f>
        <v>0</v>
      </c>
      <c r="S16" s="670">
        <f>SUMIF('New Resources - Individual'!$F$6:$Y$6,S$6,'New Resources - Individual'!$F16:$Y16)</f>
        <v>0</v>
      </c>
      <c r="T16" s="670">
        <f>SUMIF('New Resources - Individual'!$F$6:$Y$6,T$6,'New Resources - Individual'!$F16:$Y16)</f>
        <v>0</v>
      </c>
      <c r="U16" s="670">
        <f>SUMIF('New Resources - Individual'!$F$6:$Y$6,U$6,'New Resources - Individual'!$F16:$Y16)</f>
        <v>0</v>
      </c>
      <c r="V16" s="670">
        <f>SUMIF('New Resources - Individual'!$F$6:$Y$6,V$6,'New Resources - Individual'!$F16:$Y16)</f>
        <v>0</v>
      </c>
      <c r="W16" s="670">
        <f>SUMIF('New Resources - Individual'!$F$6:$Y$6,W$6,'New Resources - Individual'!$F16:$Y16)</f>
        <v>0</v>
      </c>
      <c r="X16" s="670">
        <f>SUMIF('New Resources - Individual'!$F$6:$Y$6,X$6,'New Resources - Individual'!$F16:$Y16)</f>
        <v>0</v>
      </c>
      <c r="Y16" s="791">
        <f>SUMIF('New Resources - Individual'!$F$6:$Y$6,Y$6,'New Resources - Individual'!$F16:$Y16)</f>
        <v>0</v>
      </c>
      <c r="Z16" s="632"/>
      <c r="AA16" s="632"/>
      <c r="AB16" s="632"/>
      <c r="AC16" s="632"/>
      <c r="AD16" s="632"/>
      <c r="AE16" s="632"/>
      <c r="AF16" s="632"/>
      <c r="AG16" s="659"/>
      <c r="AH16" s="659"/>
    </row>
    <row r="17" spans="1:34" x14ac:dyDescent="0.25">
      <c r="A17" s="641">
        <v>200</v>
      </c>
      <c r="B17" s="790" t="s">
        <v>595</v>
      </c>
      <c r="C17" s="646">
        <v>403</v>
      </c>
      <c r="D17" s="646" t="s">
        <v>596</v>
      </c>
      <c r="E17" s="645"/>
      <c r="F17" s="669">
        <f>SUMIF('New Resources - Individual'!$F$6:$Y$6,F$6,'New Resources - Individual'!$F17:$Y17)</f>
        <v>0</v>
      </c>
      <c r="G17" s="669">
        <f>SUMIF('New Resources - Individual'!$F$6:$Y$6,G$6,'New Resources - Individual'!$F17:$Y17)</f>
        <v>0</v>
      </c>
      <c r="H17" s="669">
        <f>SUMIF('New Resources - Individual'!$F$6:$Y$6,H$6,'New Resources - Individual'!$F17:$Y17)</f>
        <v>0</v>
      </c>
      <c r="I17" s="669">
        <f>SUMIF('New Resources - Individual'!$F$6:$Y$6,I$6,'New Resources - Individual'!$F17:$Y17)</f>
        <v>0</v>
      </c>
      <c r="J17" s="670">
        <f>SUMIF('New Resources - Individual'!$F$6:$Y$6,J$6,'New Resources - Individual'!$F17:$Y17)</f>
        <v>0</v>
      </c>
      <c r="K17" s="670">
        <f>SUMIF('New Resources - Individual'!$F$6:$Y$6,K$6,'New Resources - Individual'!$F17:$Y17)</f>
        <v>0</v>
      </c>
      <c r="L17" s="670">
        <f>SUMIF('New Resources - Individual'!$F$6:$Y$6,L$6,'New Resources - Individual'!$F17:$Y17)</f>
        <v>0</v>
      </c>
      <c r="M17" s="670">
        <f>SUMIF('New Resources - Individual'!$F$6:$Y$6,M$6,'New Resources - Individual'!$F17:$Y17)</f>
        <v>0</v>
      </c>
      <c r="N17" s="670">
        <f>SUMIF('New Resources - Individual'!$F$6:$Y$6,N$6,'New Resources - Individual'!$F17:$Y17)</f>
        <v>0</v>
      </c>
      <c r="O17" s="670">
        <f>SUMIF('New Resources - Individual'!$F$6:$Y$6,O$6,'New Resources - Individual'!$F17:$Y17)</f>
        <v>0</v>
      </c>
      <c r="P17" s="670">
        <f>SUMIF('New Resources - Individual'!$F$6:$Y$6,P$6,'New Resources - Individual'!$F17:$Y17)</f>
        <v>0</v>
      </c>
      <c r="Q17" s="670">
        <f>SUMIF('New Resources - Individual'!$F$6:$Y$6,Q$6,'New Resources - Individual'!$F17:$Y17)</f>
        <v>0</v>
      </c>
      <c r="R17" s="670">
        <f>SUMIF('New Resources - Individual'!$F$6:$Y$6,R$6,'New Resources - Individual'!$F17:$Y17)</f>
        <v>0</v>
      </c>
      <c r="S17" s="670">
        <f>SUMIF('New Resources - Individual'!$F$6:$Y$6,S$6,'New Resources - Individual'!$F17:$Y17)</f>
        <v>0</v>
      </c>
      <c r="T17" s="670">
        <f>SUMIF('New Resources - Individual'!$F$6:$Y$6,T$6,'New Resources - Individual'!$F17:$Y17)</f>
        <v>0</v>
      </c>
      <c r="U17" s="670">
        <f>SUMIF('New Resources - Individual'!$F$6:$Y$6,U$6,'New Resources - Individual'!$F17:$Y17)</f>
        <v>0</v>
      </c>
      <c r="V17" s="670">
        <f>SUMIF('New Resources - Individual'!$F$6:$Y$6,V$6,'New Resources - Individual'!$F17:$Y17)</f>
        <v>0</v>
      </c>
      <c r="W17" s="670">
        <f>SUMIF('New Resources - Individual'!$F$6:$Y$6,W$6,'New Resources - Individual'!$F17:$Y17)</f>
        <v>0</v>
      </c>
      <c r="X17" s="670">
        <f>SUMIF('New Resources - Individual'!$F$6:$Y$6,X$6,'New Resources - Individual'!$F17:$Y17)</f>
        <v>0</v>
      </c>
      <c r="Y17" s="791">
        <f>SUMIF('New Resources - Individual'!$F$6:$Y$6,Y$6,'New Resources - Individual'!$F17:$Y17)</f>
        <v>0</v>
      </c>
      <c r="Z17" s="632"/>
      <c r="AA17" s="632"/>
      <c r="AB17" s="632"/>
      <c r="AC17" s="632"/>
      <c r="AD17" s="632"/>
      <c r="AE17" s="632"/>
      <c r="AF17" s="632"/>
      <c r="AG17" s="659"/>
      <c r="AH17" s="659"/>
    </row>
    <row r="18" spans="1:34" x14ac:dyDescent="0.25">
      <c r="A18" s="641">
        <v>210</v>
      </c>
      <c r="B18" s="790" t="s">
        <v>597</v>
      </c>
      <c r="C18" s="644">
        <v>447</v>
      </c>
      <c r="D18" s="644" t="s">
        <v>598</v>
      </c>
      <c r="E18" s="645"/>
      <c r="F18" s="669">
        <f>SUMIF('New Resources - Individual'!$F$6:$Y$6,F$6,'New Resources - Individual'!$F18:$Y18)</f>
        <v>0</v>
      </c>
      <c r="G18" s="669">
        <f>SUMIF('New Resources - Individual'!$F$6:$Y$6,G$6,'New Resources - Individual'!$F18:$Y18)</f>
        <v>0</v>
      </c>
      <c r="H18" s="669">
        <f>SUMIF('New Resources - Individual'!$F$6:$Y$6,H$6,'New Resources - Individual'!$F18:$Y18)</f>
        <v>0</v>
      </c>
      <c r="I18" s="669">
        <f>SUMIF('New Resources - Individual'!$F$6:$Y$6,I$6,'New Resources - Individual'!$F18:$Y18)</f>
        <v>0</v>
      </c>
      <c r="J18" s="670">
        <f>SUMIF('New Resources - Individual'!$F$6:$Y$6,J$6,'New Resources - Individual'!$F18:$Y18)</f>
        <v>0</v>
      </c>
      <c r="K18" s="670">
        <f>SUMIF('New Resources - Individual'!$F$6:$Y$6,K$6,'New Resources - Individual'!$F18:$Y18)</f>
        <v>0</v>
      </c>
      <c r="L18" s="670">
        <f>SUMIF('New Resources - Individual'!$F$6:$Y$6,L$6,'New Resources - Individual'!$F18:$Y18)</f>
        <v>0</v>
      </c>
      <c r="M18" s="670">
        <f>SUMIF('New Resources - Individual'!$F$6:$Y$6,M$6,'New Resources - Individual'!$F18:$Y18)</f>
        <v>0</v>
      </c>
      <c r="N18" s="670">
        <f>SUMIF('New Resources - Individual'!$F$6:$Y$6,N$6,'New Resources - Individual'!$F18:$Y18)</f>
        <v>0</v>
      </c>
      <c r="O18" s="670">
        <f>SUMIF('New Resources - Individual'!$F$6:$Y$6,O$6,'New Resources - Individual'!$F18:$Y18)</f>
        <v>0</v>
      </c>
      <c r="P18" s="670">
        <f>SUMIF('New Resources - Individual'!$F$6:$Y$6,P$6,'New Resources - Individual'!$F18:$Y18)</f>
        <v>0</v>
      </c>
      <c r="Q18" s="670">
        <f>SUMIF('New Resources - Individual'!$F$6:$Y$6,Q$6,'New Resources - Individual'!$F18:$Y18)</f>
        <v>0</v>
      </c>
      <c r="R18" s="670">
        <f>SUMIF('New Resources - Individual'!$F$6:$Y$6,R$6,'New Resources - Individual'!$F18:$Y18)</f>
        <v>0</v>
      </c>
      <c r="S18" s="670">
        <f>SUMIF('New Resources - Individual'!$F$6:$Y$6,S$6,'New Resources - Individual'!$F18:$Y18)</f>
        <v>0</v>
      </c>
      <c r="T18" s="670">
        <f>SUMIF('New Resources - Individual'!$F$6:$Y$6,T$6,'New Resources - Individual'!$F18:$Y18)</f>
        <v>0</v>
      </c>
      <c r="U18" s="670">
        <f>SUMIF('New Resources - Individual'!$F$6:$Y$6,U$6,'New Resources - Individual'!$F18:$Y18)</f>
        <v>0</v>
      </c>
      <c r="V18" s="670">
        <f>SUMIF('New Resources - Individual'!$F$6:$Y$6,V$6,'New Resources - Individual'!$F18:$Y18)</f>
        <v>0</v>
      </c>
      <c r="W18" s="670">
        <f>SUMIF('New Resources - Individual'!$F$6:$Y$6,W$6,'New Resources - Individual'!$F18:$Y18)</f>
        <v>0</v>
      </c>
      <c r="X18" s="670">
        <f>SUMIF('New Resources - Individual'!$F$6:$Y$6,X$6,'New Resources - Individual'!$F18:$Y18)</f>
        <v>0</v>
      </c>
      <c r="Y18" s="791">
        <f>SUMIF('New Resources - Individual'!$F$6:$Y$6,Y$6,'New Resources - Individual'!$F18:$Y18)</f>
        <v>0</v>
      </c>
      <c r="Z18" s="632"/>
      <c r="AA18" s="632"/>
      <c r="AB18" s="632"/>
      <c r="AC18" s="632"/>
      <c r="AD18" s="632"/>
      <c r="AE18" s="632"/>
      <c r="AF18" s="632"/>
      <c r="AG18" s="659"/>
      <c r="AH18" s="659"/>
    </row>
    <row r="19" spans="1:34" x14ac:dyDescent="0.25">
      <c r="A19" s="641">
        <v>220</v>
      </c>
      <c r="B19" s="792" t="s">
        <v>599</v>
      </c>
      <c r="C19" s="646"/>
      <c r="D19" s="644" t="s">
        <v>598</v>
      </c>
      <c r="E19" s="645"/>
      <c r="F19" s="669">
        <f>SUMIF('New Resources - Individual'!$F$6:$Y$6,F$6,'New Resources - Individual'!$F19:$Y19)</f>
        <v>0</v>
      </c>
      <c r="G19" s="669">
        <f>SUMIF('New Resources - Individual'!$F$6:$Y$6,G$6,'New Resources - Individual'!$F19:$Y19)</f>
        <v>0</v>
      </c>
      <c r="H19" s="669">
        <f>SUMIF('New Resources - Individual'!$F$6:$Y$6,H$6,'New Resources - Individual'!$F19:$Y19)</f>
        <v>0</v>
      </c>
      <c r="I19" s="669">
        <f>SUMIF('New Resources - Individual'!$F$6:$Y$6,I$6,'New Resources - Individual'!$F19:$Y19)</f>
        <v>0</v>
      </c>
      <c r="J19" s="670">
        <f>SUMIF('New Resources - Individual'!$F$6:$Y$6,J$6,'New Resources - Individual'!$F19:$Y19)</f>
        <v>0</v>
      </c>
      <c r="K19" s="670">
        <f>SUMIF('New Resources - Individual'!$F$6:$Y$6,K$6,'New Resources - Individual'!$F19:$Y19)</f>
        <v>0</v>
      </c>
      <c r="L19" s="670">
        <f>SUMIF('New Resources - Individual'!$F$6:$Y$6,L$6,'New Resources - Individual'!$F19:$Y19)</f>
        <v>0</v>
      </c>
      <c r="M19" s="670">
        <f>SUMIF('New Resources - Individual'!$F$6:$Y$6,M$6,'New Resources - Individual'!$F19:$Y19)</f>
        <v>0</v>
      </c>
      <c r="N19" s="670">
        <f>SUMIF('New Resources - Individual'!$F$6:$Y$6,N$6,'New Resources - Individual'!$F19:$Y19)</f>
        <v>0</v>
      </c>
      <c r="O19" s="670">
        <f>SUMIF('New Resources - Individual'!$F$6:$Y$6,O$6,'New Resources - Individual'!$F19:$Y19)</f>
        <v>0</v>
      </c>
      <c r="P19" s="670">
        <f>SUMIF('New Resources - Individual'!$F$6:$Y$6,P$6,'New Resources - Individual'!$F19:$Y19)</f>
        <v>0</v>
      </c>
      <c r="Q19" s="670">
        <f>SUMIF('New Resources - Individual'!$F$6:$Y$6,Q$6,'New Resources - Individual'!$F19:$Y19)</f>
        <v>0</v>
      </c>
      <c r="R19" s="670">
        <f>SUMIF('New Resources - Individual'!$F$6:$Y$6,R$6,'New Resources - Individual'!$F19:$Y19)</f>
        <v>0</v>
      </c>
      <c r="S19" s="670">
        <f>SUMIF('New Resources - Individual'!$F$6:$Y$6,S$6,'New Resources - Individual'!$F19:$Y19)</f>
        <v>0</v>
      </c>
      <c r="T19" s="670">
        <f>SUMIF('New Resources - Individual'!$F$6:$Y$6,T$6,'New Resources - Individual'!$F19:$Y19)</f>
        <v>0</v>
      </c>
      <c r="U19" s="670">
        <f>SUMIF('New Resources - Individual'!$F$6:$Y$6,U$6,'New Resources - Individual'!$F19:$Y19)</f>
        <v>0</v>
      </c>
      <c r="V19" s="670">
        <f>SUMIF('New Resources - Individual'!$F$6:$Y$6,V$6,'New Resources - Individual'!$F19:$Y19)</f>
        <v>0</v>
      </c>
      <c r="W19" s="670">
        <f>SUMIF('New Resources - Individual'!$F$6:$Y$6,W$6,'New Resources - Individual'!$F19:$Y19)</f>
        <v>0</v>
      </c>
      <c r="X19" s="670">
        <f>SUMIF('New Resources - Individual'!$F$6:$Y$6,X$6,'New Resources - Individual'!$F19:$Y19)</f>
        <v>0</v>
      </c>
      <c r="Y19" s="791">
        <f>SUMIF('New Resources - Individual'!$F$6:$Y$6,Y$6,'New Resources - Individual'!$F19:$Y19)</f>
        <v>0</v>
      </c>
      <c r="Z19" s="632"/>
      <c r="AA19" s="632"/>
      <c r="AB19" s="632"/>
      <c r="AC19" s="632"/>
      <c r="AD19" s="632"/>
      <c r="AE19" s="632"/>
      <c r="AF19" s="632"/>
      <c r="AG19" s="659"/>
      <c r="AH19" s="659"/>
    </row>
    <row r="20" spans="1:34" x14ac:dyDescent="0.25">
      <c r="A20" s="641">
        <v>230</v>
      </c>
      <c r="B20" s="790" t="s">
        <v>600</v>
      </c>
      <c r="C20" s="644"/>
      <c r="D20" s="644" t="s">
        <v>598</v>
      </c>
      <c r="E20" s="645"/>
      <c r="F20" s="669">
        <f>SUMIF('New Resources - Individual'!$F$6:$Y$6,F$6,'New Resources - Individual'!$F20:$Y20)</f>
        <v>0</v>
      </c>
      <c r="G20" s="669">
        <f>SUMIF('New Resources - Individual'!$F$6:$Y$6,G$6,'New Resources - Individual'!$F20:$Y20)</f>
        <v>0</v>
      </c>
      <c r="H20" s="669">
        <f>SUMIF('New Resources - Individual'!$F$6:$Y$6,H$6,'New Resources - Individual'!$F20:$Y20)</f>
        <v>0</v>
      </c>
      <c r="I20" s="669">
        <f>SUMIF('New Resources - Individual'!$F$6:$Y$6,I$6,'New Resources - Individual'!$F20:$Y20)</f>
        <v>0</v>
      </c>
      <c r="J20" s="670">
        <f>SUMIF('New Resources - Individual'!$F$6:$Y$6,J$6,'New Resources - Individual'!$F20:$Y20)</f>
        <v>0</v>
      </c>
      <c r="K20" s="670">
        <f>SUMIF('New Resources - Individual'!$F$6:$Y$6,K$6,'New Resources - Individual'!$F20:$Y20)</f>
        <v>0</v>
      </c>
      <c r="L20" s="670">
        <f>SUMIF('New Resources - Individual'!$F$6:$Y$6,L$6,'New Resources - Individual'!$F20:$Y20)</f>
        <v>0</v>
      </c>
      <c r="M20" s="670">
        <f>SUMIF('New Resources - Individual'!$F$6:$Y$6,M$6,'New Resources - Individual'!$F20:$Y20)</f>
        <v>0</v>
      </c>
      <c r="N20" s="670">
        <f>SUMIF('New Resources - Individual'!$F$6:$Y$6,N$6,'New Resources - Individual'!$F20:$Y20)</f>
        <v>0</v>
      </c>
      <c r="O20" s="670">
        <f>SUMIF('New Resources - Individual'!$F$6:$Y$6,O$6,'New Resources - Individual'!$F20:$Y20)</f>
        <v>0</v>
      </c>
      <c r="P20" s="670">
        <f>SUMIF('New Resources - Individual'!$F$6:$Y$6,P$6,'New Resources - Individual'!$F20:$Y20)</f>
        <v>0</v>
      </c>
      <c r="Q20" s="670">
        <f>SUMIF('New Resources - Individual'!$F$6:$Y$6,Q$6,'New Resources - Individual'!$F20:$Y20)</f>
        <v>0</v>
      </c>
      <c r="R20" s="670">
        <f>SUMIF('New Resources - Individual'!$F$6:$Y$6,R$6,'New Resources - Individual'!$F20:$Y20)</f>
        <v>0</v>
      </c>
      <c r="S20" s="670">
        <f>SUMIF('New Resources - Individual'!$F$6:$Y$6,S$6,'New Resources - Individual'!$F20:$Y20)</f>
        <v>0</v>
      </c>
      <c r="T20" s="670">
        <f>SUMIF('New Resources - Individual'!$F$6:$Y$6,T$6,'New Resources - Individual'!$F20:$Y20)</f>
        <v>0</v>
      </c>
      <c r="U20" s="670">
        <f>SUMIF('New Resources - Individual'!$F$6:$Y$6,U$6,'New Resources - Individual'!$F20:$Y20)</f>
        <v>0</v>
      </c>
      <c r="V20" s="670">
        <f>SUMIF('New Resources - Individual'!$F$6:$Y$6,V$6,'New Resources - Individual'!$F20:$Y20)</f>
        <v>0</v>
      </c>
      <c r="W20" s="670">
        <f>SUMIF('New Resources - Individual'!$F$6:$Y$6,W$6,'New Resources - Individual'!$F20:$Y20)</f>
        <v>0</v>
      </c>
      <c r="X20" s="670">
        <f>SUMIF('New Resources - Individual'!$F$6:$Y$6,X$6,'New Resources - Individual'!$F20:$Y20)</f>
        <v>0</v>
      </c>
      <c r="Y20" s="791">
        <f>SUMIF('New Resources - Individual'!$F$6:$Y$6,Y$6,'New Resources - Individual'!$F20:$Y20)</f>
        <v>0</v>
      </c>
      <c r="Z20" s="632"/>
      <c r="AA20" s="632"/>
      <c r="AB20" s="632"/>
      <c r="AC20" s="632"/>
      <c r="AD20" s="632"/>
      <c r="AE20" s="632"/>
      <c r="AF20" s="632"/>
      <c r="AG20" s="659"/>
      <c r="AH20" s="659"/>
    </row>
    <row r="21" spans="1:34" x14ac:dyDescent="0.25">
      <c r="A21" s="641">
        <v>240</v>
      </c>
      <c r="B21" s="793" t="s">
        <v>89</v>
      </c>
      <c r="C21" s="647"/>
      <c r="D21" s="647"/>
      <c r="E21" s="648"/>
      <c r="F21" s="672"/>
      <c r="G21" s="672"/>
      <c r="H21" s="648"/>
      <c r="I21" s="672"/>
      <c r="J21" s="672"/>
      <c r="K21" s="672"/>
      <c r="L21" s="672"/>
      <c r="M21" s="672"/>
      <c r="N21" s="672"/>
      <c r="O21" s="672"/>
      <c r="P21" s="672"/>
      <c r="Q21" s="672"/>
      <c r="R21" s="672"/>
      <c r="S21" s="672"/>
      <c r="T21" s="672"/>
      <c r="U21" s="672"/>
      <c r="V21" s="672"/>
      <c r="W21" s="672"/>
      <c r="X21" s="672"/>
      <c r="Y21" s="794"/>
      <c r="Z21" s="632"/>
      <c r="AA21" s="632"/>
      <c r="AB21" s="632"/>
      <c r="AC21" s="632"/>
      <c r="AD21" s="632"/>
      <c r="AE21" s="632"/>
      <c r="AF21" s="632"/>
      <c r="AG21" s="659"/>
      <c r="AH21" s="659"/>
    </row>
    <row r="22" spans="1:34" x14ac:dyDescent="0.25">
      <c r="A22" s="641">
        <v>250</v>
      </c>
      <c r="B22" s="790" t="s">
        <v>113</v>
      </c>
      <c r="C22" s="644" t="s">
        <v>114</v>
      </c>
      <c r="D22" s="644"/>
      <c r="E22" s="645"/>
      <c r="F22" s="669">
        <f>SUMIF('New Resources - Individual'!$F$6:$Y$6,F$6,'New Resources - Individual'!$F22:$Y22)</f>
        <v>0</v>
      </c>
      <c r="G22" s="669">
        <f>SUMIF('New Resources - Individual'!$F$6:$Y$6,G$6,'New Resources - Individual'!$F22:$Y22)</f>
        <v>0</v>
      </c>
      <c r="H22" s="669">
        <f>SUMIF('New Resources - Individual'!$F$6:$Y$6,H$6,'New Resources - Individual'!$F22:$Y22)</f>
        <v>0</v>
      </c>
      <c r="I22" s="669">
        <f>SUMIF('New Resources - Individual'!$F$6:$Y$6,I$6,'New Resources - Individual'!$F22:$Y22)</f>
        <v>0</v>
      </c>
      <c r="J22" s="670">
        <f>SUMIF('New Resources - Individual'!$F$6:$Y$6,J$6,'New Resources - Individual'!$F22:$Y22)</f>
        <v>0</v>
      </c>
      <c r="K22" s="670">
        <f>SUMIF('New Resources - Individual'!$F$6:$Y$6,K$6,'New Resources - Individual'!$F22:$Y22)</f>
        <v>0</v>
      </c>
      <c r="L22" s="670">
        <f>SUMIF('New Resources - Individual'!$F$6:$Y$6,L$6,'New Resources - Individual'!$F22:$Y22)</f>
        <v>0</v>
      </c>
      <c r="M22" s="670">
        <f>SUMIF('New Resources - Individual'!$F$6:$Y$6,M$6,'New Resources - Individual'!$F22:$Y22)</f>
        <v>0</v>
      </c>
      <c r="N22" s="670">
        <f>SUMIF('New Resources - Individual'!$F$6:$Y$6,N$6,'New Resources - Individual'!$F22:$Y22)</f>
        <v>0</v>
      </c>
      <c r="O22" s="670">
        <f>SUMIF('New Resources - Individual'!$F$6:$Y$6,O$6,'New Resources - Individual'!$F22:$Y22)</f>
        <v>0</v>
      </c>
      <c r="P22" s="670">
        <f>SUMIF('New Resources - Individual'!$F$6:$Y$6,P$6,'New Resources - Individual'!$F22:$Y22)</f>
        <v>0</v>
      </c>
      <c r="Q22" s="670">
        <f>SUMIF('New Resources - Individual'!$F$6:$Y$6,Q$6,'New Resources - Individual'!$F22:$Y22)</f>
        <v>0</v>
      </c>
      <c r="R22" s="670">
        <f>SUMIF('New Resources - Individual'!$F$6:$Y$6,R$6,'New Resources - Individual'!$F22:$Y22)</f>
        <v>0</v>
      </c>
      <c r="S22" s="670">
        <f>SUMIF('New Resources - Individual'!$F$6:$Y$6,S$6,'New Resources - Individual'!$F22:$Y22)</f>
        <v>0</v>
      </c>
      <c r="T22" s="670">
        <f>SUMIF('New Resources - Individual'!$F$6:$Y$6,T$6,'New Resources - Individual'!$F22:$Y22)</f>
        <v>0</v>
      </c>
      <c r="U22" s="670">
        <f>SUMIF('New Resources - Individual'!$F$6:$Y$6,U$6,'New Resources - Individual'!$F22:$Y22)</f>
        <v>0</v>
      </c>
      <c r="V22" s="670">
        <f>SUMIF('New Resources - Individual'!$F$6:$Y$6,V$6,'New Resources - Individual'!$F22:$Y22)</f>
        <v>0</v>
      </c>
      <c r="W22" s="670">
        <f>SUMIF('New Resources - Individual'!$F$6:$Y$6,W$6,'New Resources - Individual'!$F22:$Y22)</f>
        <v>0</v>
      </c>
      <c r="X22" s="670">
        <f>SUMIF('New Resources - Individual'!$F$6:$Y$6,X$6,'New Resources - Individual'!$F22:$Y22)</f>
        <v>0</v>
      </c>
      <c r="Y22" s="791">
        <f>SUMIF('New Resources - Individual'!$F$6:$Y$6,Y$6,'New Resources - Individual'!$F22:$Y22)</f>
        <v>0</v>
      </c>
      <c r="Z22" s="632"/>
      <c r="AA22" s="632"/>
      <c r="AB22" s="632"/>
      <c r="AC22" s="632"/>
      <c r="AD22" s="632"/>
      <c r="AE22" s="632"/>
      <c r="AF22" s="632"/>
      <c r="AG22" s="659"/>
      <c r="AH22" s="659"/>
    </row>
    <row r="23" spans="1:34" x14ac:dyDescent="0.25">
      <c r="A23" s="641">
        <v>260</v>
      </c>
      <c r="B23" s="790" t="s">
        <v>601</v>
      </c>
      <c r="C23" s="646" t="s">
        <v>257</v>
      </c>
      <c r="D23" s="646" t="s">
        <v>596</v>
      </c>
      <c r="E23" s="645"/>
      <c r="F23" s="669">
        <f>SUMIF('New Resources - Individual'!$F$6:$Y$6,F$6,'New Resources - Individual'!$F23:$Y23)</f>
        <v>0</v>
      </c>
      <c r="G23" s="669">
        <f>SUMIF('New Resources - Individual'!$F$6:$Y$6,G$6,'New Resources - Individual'!$F23:$Y23)</f>
        <v>0</v>
      </c>
      <c r="H23" s="669">
        <f>SUMIF('New Resources - Individual'!$F$6:$Y$6,H$6,'New Resources - Individual'!$F23:$Y23)</f>
        <v>0</v>
      </c>
      <c r="I23" s="669">
        <f>SUMIF('New Resources - Individual'!$F$6:$Y$6,I$6,'New Resources - Individual'!$F23:$Y23)</f>
        <v>0</v>
      </c>
      <c r="J23" s="670">
        <f>SUMIF('New Resources - Individual'!$F$6:$Y$6,J$6,'New Resources - Individual'!$F23:$Y23)</f>
        <v>0</v>
      </c>
      <c r="K23" s="670">
        <f>SUMIF('New Resources - Individual'!$F$6:$Y$6,K$6,'New Resources - Individual'!$F23:$Y23)</f>
        <v>0</v>
      </c>
      <c r="L23" s="670">
        <f>SUMIF('New Resources - Individual'!$F$6:$Y$6,L$6,'New Resources - Individual'!$F23:$Y23)</f>
        <v>0</v>
      </c>
      <c r="M23" s="670">
        <f>SUMIF('New Resources - Individual'!$F$6:$Y$6,M$6,'New Resources - Individual'!$F23:$Y23)</f>
        <v>0</v>
      </c>
      <c r="N23" s="670">
        <f>SUMIF('New Resources - Individual'!$F$6:$Y$6,N$6,'New Resources - Individual'!$F23:$Y23)</f>
        <v>0</v>
      </c>
      <c r="O23" s="670">
        <f>SUMIF('New Resources - Individual'!$F$6:$Y$6,O$6,'New Resources - Individual'!$F23:$Y23)</f>
        <v>0</v>
      </c>
      <c r="P23" s="670">
        <f>SUMIF('New Resources - Individual'!$F$6:$Y$6,P$6,'New Resources - Individual'!$F23:$Y23)</f>
        <v>0</v>
      </c>
      <c r="Q23" s="670">
        <f>SUMIF('New Resources - Individual'!$F$6:$Y$6,Q$6,'New Resources - Individual'!$F23:$Y23)</f>
        <v>0</v>
      </c>
      <c r="R23" s="670">
        <f>SUMIF('New Resources - Individual'!$F$6:$Y$6,R$6,'New Resources - Individual'!$F23:$Y23)</f>
        <v>0</v>
      </c>
      <c r="S23" s="670">
        <f>SUMIF('New Resources - Individual'!$F$6:$Y$6,S$6,'New Resources - Individual'!$F23:$Y23)</f>
        <v>0</v>
      </c>
      <c r="T23" s="670">
        <f>SUMIF('New Resources - Individual'!$F$6:$Y$6,T$6,'New Resources - Individual'!$F23:$Y23)</f>
        <v>0</v>
      </c>
      <c r="U23" s="670">
        <f>SUMIF('New Resources - Individual'!$F$6:$Y$6,U$6,'New Resources - Individual'!$F23:$Y23)</f>
        <v>0</v>
      </c>
      <c r="V23" s="670">
        <f>SUMIF('New Resources - Individual'!$F$6:$Y$6,V$6,'New Resources - Individual'!$F23:$Y23)</f>
        <v>0</v>
      </c>
      <c r="W23" s="670">
        <f>SUMIF('New Resources - Individual'!$F$6:$Y$6,W$6,'New Resources - Individual'!$F23:$Y23)</f>
        <v>0</v>
      </c>
      <c r="X23" s="670">
        <f>SUMIF('New Resources - Individual'!$F$6:$Y$6,X$6,'New Resources - Individual'!$F23:$Y23)</f>
        <v>0</v>
      </c>
      <c r="Y23" s="791">
        <f>SUMIF('New Resources - Individual'!$F$6:$Y$6,Y$6,'New Resources - Individual'!$F23:$Y23)</f>
        <v>0</v>
      </c>
      <c r="Z23" s="632"/>
      <c r="AA23" s="632"/>
      <c r="AB23" s="632"/>
      <c r="AC23" s="632"/>
      <c r="AD23" s="632"/>
      <c r="AE23" s="632"/>
      <c r="AF23" s="632"/>
      <c r="AG23" s="659"/>
      <c r="AH23" s="659"/>
    </row>
    <row r="24" spans="1:34" x14ac:dyDescent="0.25">
      <c r="A24" s="641">
        <v>270</v>
      </c>
      <c r="B24" s="790" t="s">
        <v>79</v>
      </c>
      <c r="C24" s="644">
        <v>154</v>
      </c>
      <c r="D24" s="644"/>
      <c r="E24" s="645"/>
      <c r="F24" s="669">
        <f>SUMIF('New Resources - Individual'!$F$6:$Y$6,F$6,'New Resources - Individual'!$F24:$Y24)</f>
        <v>0</v>
      </c>
      <c r="G24" s="669">
        <f>SUMIF('New Resources - Individual'!$F$6:$Y$6,G$6,'New Resources - Individual'!$F24:$Y24)</f>
        <v>0</v>
      </c>
      <c r="H24" s="669">
        <f>SUMIF('New Resources - Individual'!$F$6:$Y$6,H$6,'New Resources - Individual'!$F24:$Y24)</f>
        <v>0</v>
      </c>
      <c r="I24" s="669">
        <f>SUMIF('New Resources - Individual'!$F$6:$Y$6,I$6,'New Resources - Individual'!$F24:$Y24)</f>
        <v>0</v>
      </c>
      <c r="J24" s="670">
        <f>SUMIF('New Resources - Individual'!$F$6:$Y$6,J$6,'New Resources - Individual'!$F24:$Y24)</f>
        <v>0</v>
      </c>
      <c r="K24" s="670">
        <f>SUMIF('New Resources - Individual'!$F$6:$Y$6,K$6,'New Resources - Individual'!$F24:$Y24)</f>
        <v>0</v>
      </c>
      <c r="L24" s="670">
        <f>SUMIF('New Resources - Individual'!$F$6:$Y$6,L$6,'New Resources - Individual'!$F24:$Y24)</f>
        <v>0</v>
      </c>
      <c r="M24" s="670">
        <f>SUMIF('New Resources - Individual'!$F$6:$Y$6,M$6,'New Resources - Individual'!$F24:$Y24)</f>
        <v>0</v>
      </c>
      <c r="N24" s="670">
        <f>SUMIF('New Resources - Individual'!$F$6:$Y$6,N$6,'New Resources - Individual'!$F24:$Y24)</f>
        <v>0</v>
      </c>
      <c r="O24" s="670">
        <f>SUMIF('New Resources - Individual'!$F$6:$Y$6,O$6,'New Resources - Individual'!$F24:$Y24)</f>
        <v>0</v>
      </c>
      <c r="P24" s="670">
        <f>SUMIF('New Resources - Individual'!$F$6:$Y$6,P$6,'New Resources - Individual'!$F24:$Y24)</f>
        <v>0</v>
      </c>
      <c r="Q24" s="670">
        <f>SUMIF('New Resources - Individual'!$F$6:$Y$6,Q$6,'New Resources - Individual'!$F24:$Y24)</f>
        <v>0</v>
      </c>
      <c r="R24" s="670">
        <f>SUMIF('New Resources - Individual'!$F$6:$Y$6,R$6,'New Resources - Individual'!$F24:$Y24)</f>
        <v>0</v>
      </c>
      <c r="S24" s="670">
        <f>SUMIF('New Resources - Individual'!$F$6:$Y$6,S$6,'New Resources - Individual'!$F24:$Y24)</f>
        <v>0</v>
      </c>
      <c r="T24" s="670">
        <f>SUMIF('New Resources - Individual'!$F$6:$Y$6,T$6,'New Resources - Individual'!$F24:$Y24)</f>
        <v>0</v>
      </c>
      <c r="U24" s="670">
        <f>SUMIF('New Resources - Individual'!$F$6:$Y$6,U$6,'New Resources - Individual'!$F24:$Y24)</f>
        <v>0</v>
      </c>
      <c r="V24" s="670">
        <f>SUMIF('New Resources - Individual'!$F$6:$Y$6,V$6,'New Resources - Individual'!$F24:$Y24)</f>
        <v>0</v>
      </c>
      <c r="W24" s="670">
        <f>SUMIF('New Resources - Individual'!$F$6:$Y$6,W$6,'New Resources - Individual'!$F24:$Y24)</f>
        <v>0</v>
      </c>
      <c r="X24" s="670">
        <f>SUMIF('New Resources - Individual'!$F$6:$Y$6,X$6,'New Resources - Individual'!$F24:$Y24)</f>
        <v>0</v>
      </c>
      <c r="Y24" s="791">
        <f>SUMIF('New Resources - Individual'!$F$6:$Y$6,Y$6,'New Resources - Individual'!$F24:$Y24)</f>
        <v>0</v>
      </c>
      <c r="Z24" s="632"/>
      <c r="AA24" s="632"/>
      <c r="AB24" s="632"/>
      <c r="AC24" s="632"/>
      <c r="AD24" s="632"/>
      <c r="AE24" s="632"/>
      <c r="AF24" s="632"/>
      <c r="AG24" s="659"/>
      <c r="AH24" s="659"/>
    </row>
    <row r="25" spans="1:34" x14ac:dyDescent="0.25">
      <c r="A25" s="641">
        <v>280</v>
      </c>
      <c r="B25" s="793" t="s">
        <v>602</v>
      </c>
      <c r="C25" s="647"/>
      <c r="D25" s="647"/>
      <c r="E25" s="648"/>
      <c r="F25" s="672"/>
      <c r="G25" s="672"/>
      <c r="H25" s="648"/>
      <c r="I25" s="672"/>
      <c r="J25" s="672"/>
      <c r="K25" s="672"/>
      <c r="L25" s="672"/>
      <c r="M25" s="672"/>
      <c r="N25" s="672"/>
      <c r="O25" s="672"/>
      <c r="P25" s="672"/>
      <c r="Q25" s="672"/>
      <c r="R25" s="672"/>
      <c r="S25" s="672"/>
      <c r="T25" s="672"/>
      <c r="U25" s="672"/>
      <c r="V25" s="672"/>
      <c r="W25" s="672"/>
      <c r="X25" s="672"/>
      <c r="Y25" s="794"/>
      <c r="Z25" s="632"/>
      <c r="AA25" s="632"/>
      <c r="AB25" s="632"/>
      <c r="AC25" s="632"/>
      <c r="AD25" s="632"/>
      <c r="AE25" s="632"/>
      <c r="AF25" s="632"/>
      <c r="AG25" s="659"/>
      <c r="AH25" s="659"/>
    </row>
    <row r="26" spans="1:34" x14ac:dyDescent="0.25">
      <c r="A26" s="641">
        <v>290</v>
      </c>
      <c r="B26" s="796" t="s">
        <v>603</v>
      </c>
      <c r="C26" s="644">
        <v>518</v>
      </c>
      <c r="D26" s="644"/>
      <c r="E26" s="650"/>
      <c r="F26" s="669">
        <f>SUMIF('New Resources - Individual'!$F$6:$Y$6,F$6,'New Resources - Individual'!$F26:$Y26)</f>
        <v>0</v>
      </c>
      <c r="G26" s="669">
        <f>SUMIF('New Resources - Individual'!$F$6:$Y$6,G$6,'New Resources - Individual'!$F26:$Y26)</f>
        <v>0</v>
      </c>
      <c r="H26" s="669">
        <f>SUMIF('New Resources - Individual'!$F$6:$Y$6,H$6,'New Resources - Individual'!$F26:$Y26)</f>
        <v>0</v>
      </c>
      <c r="I26" s="669">
        <f>SUMIF('New Resources - Individual'!$F$6:$Y$6,I$6,'New Resources - Individual'!$F26:$Y26)</f>
        <v>0</v>
      </c>
      <c r="J26" s="670">
        <f>SUMIF('New Resources - Individual'!$F$6:$Y$6,J$6,'New Resources - Individual'!$F26:$Y26)</f>
        <v>0</v>
      </c>
      <c r="K26" s="670">
        <f>SUMIF('New Resources - Individual'!$F$6:$Y$6,K$6,'New Resources - Individual'!$F26:$Y26)</f>
        <v>0</v>
      </c>
      <c r="L26" s="670">
        <f>SUMIF('New Resources - Individual'!$F$6:$Y$6,L$6,'New Resources - Individual'!$F26:$Y26)</f>
        <v>0</v>
      </c>
      <c r="M26" s="670">
        <f>SUMIF('New Resources - Individual'!$F$6:$Y$6,M$6,'New Resources - Individual'!$F26:$Y26)</f>
        <v>0</v>
      </c>
      <c r="N26" s="670">
        <f>SUMIF('New Resources - Individual'!$F$6:$Y$6,N$6,'New Resources - Individual'!$F26:$Y26)</f>
        <v>0</v>
      </c>
      <c r="O26" s="670">
        <f>SUMIF('New Resources - Individual'!$F$6:$Y$6,O$6,'New Resources - Individual'!$F26:$Y26)</f>
        <v>0</v>
      </c>
      <c r="P26" s="670">
        <f>SUMIF('New Resources - Individual'!$F$6:$Y$6,P$6,'New Resources - Individual'!$F26:$Y26)</f>
        <v>0</v>
      </c>
      <c r="Q26" s="670">
        <f>SUMIF('New Resources - Individual'!$F$6:$Y$6,Q$6,'New Resources - Individual'!$F26:$Y26)</f>
        <v>0</v>
      </c>
      <c r="R26" s="670">
        <f>SUMIF('New Resources - Individual'!$F$6:$Y$6,R$6,'New Resources - Individual'!$F26:$Y26)</f>
        <v>0</v>
      </c>
      <c r="S26" s="670">
        <f>SUMIF('New Resources - Individual'!$F$6:$Y$6,S$6,'New Resources - Individual'!$F26:$Y26)</f>
        <v>0</v>
      </c>
      <c r="T26" s="670">
        <f>SUMIF('New Resources - Individual'!$F$6:$Y$6,T$6,'New Resources - Individual'!$F26:$Y26)</f>
        <v>0</v>
      </c>
      <c r="U26" s="670">
        <f>SUMIF('New Resources - Individual'!$F$6:$Y$6,U$6,'New Resources - Individual'!$F26:$Y26)</f>
        <v>0</v>
      </c>
      <c r="V26" s="670">
        <f>SUMIF('New Resources - Individual'!$F$6:$Y$6,V$6,'New Resources - Individual'!$F26:$Y26)</f>
        <v>0</v>
      </c>
      <c r="W26" s="670">
        <f>SUMIF('New Resources - Individual'!$F$6:$Y$6,W$6,'New Resources - Individual'!$F26:$Y26)</f>
        <v>0</v>
      </c>
      <c r="X26" s="670">
        <f>SUMIF('New Resources - Individual'!$F$6:$Y$6,X$6,'New Resources - Individual'!$F26:$Y26)</f>
        <v>0</v>
      </c>
      <c r="Y26" s="791">
        <f>SUMIF('New Resources - Individual'!$F$6:$Y$6,Y$6,'New Resources - Individual'!$F26:$Y26)</f>
        <v>0</v>
      </c>
      <c r="Z26" s="632"/>
      <c r="AA26" s="632"/>
      <c r="AB26" s="632"/>
      <c r="AC26" s="632"/>
      <c r="AD26" s="632"/>
      <c r="AE26" s="632"/>
      <c r="AF26" s="632"/>
      <c r="AG26" s="659"/>
      <c r="AH26" s="659"/>
    </row>
    <row r="27" spans="1:34" x14ac:dyDescent="0.25">
      <c r="A27" s="641">
        <v>300</v>
      </c>
      <c r="B27" s="796" t="s">
        <v>264</v>
      </c>
      <c r="C27" s="644" t="s">
        <v>453</v>
      </c>
      <c r="D27" s="644"/>
      <c r="E27" s="650"/>
      <c r="F27" s="669">
        <f>SUMIF('New Resources - Individual'!$F$6:$Y$6,F$6,'New Resources - Individual'!$F27:$Y27)</f>
        <v>0</v>
      </c>
      <c r="G27" s="669">
        <f>SUMIF('New Resources - Individual'!$F$6:$Y$6,G$6,'New Resources - Individual'!$F27:$Y27)</f>
        <v>0</v>
      </c>
      <c r="H27" s="669">
        <f>SUMIF('New Resources - Individual'!$F$6:$Y$6,H$6,'New Resources - Individual'!$F27:$Y27)</f>
        <v>0</v>
      </c>
      <c r="I27" s="669">
        <f>SUMIF('New Resources - Individual'!$F$6:$Y$6,I$6,'New Resources - Individual'!$F27:$Y27)</f>
        <v>0</v>
      </c>
      <c r="J27" s="670">
        <f>SUMIF('New Resources - Individual'!$F$6:$Y$6,J$6,'New Resources - Individual'!$F27:$Y27)</f>
        <v>0</v>
      </c>
      <c r="K27" s="670">
        <f>SUMIF('New Resources - Individual'!$F$6:$Y$6,K$6,'New Resources - Individual'!$F27:$Y27)</f>
        <v>0</v>
      </c>
      <c r="L27" s="670">
        <f>SUMIF('New Resources - Individual'!$F$6:$Y$6,L$6,'New Resources - Individual'!$F27:$Y27)</f>
        <v>0</v>
      </c>
      <c r="M27" s="670">
        <f>SUMIF('New Resources - Individual'!$F$6:$Y$6,M$6,'New Resources - Individual'!$F27:$Y27)</f>
        <v>0</v>
      </c>
      <c r="N27" s="670">
        <f>SUMIF('New Resources - Individual'!$F$6:$Y$6,N$6,'New Resources - Individual'!$F27:$Y27)</f>
        <v>0</v>
      </c>
      <c r="O27" s="670">
        <f>SUMIF('New Resources - Individual'!$F$6:$Y$6,O$6,'New Resources - Individual'!$F27:$Y27)</f>
        <v>0</v>
      </c>
      <c r="P27" s="670">
        <f>SUMIF('New Resources - Individual'!$F$6:$Y$6,P$6,'New Resources - Individual'!$F27:$Y27)</f>
        <v>0</v>
      </c>
      <c r="Q27" s="670">
        <f>SUMIF('New Resources - Individual'!$F$6:$Y$6,Q$6,'New Resources - Individual'!$F27:$Y27)</f>
        <v>0</v>
      </c>
      <c r="R27" s="670">
        <f>SUMIF('New Resources - Individual'!$F$6:$Y$6,R$6,'New Resources - Individual'!$F27:$Y27)</f>
        <v>0</v>
      </c>
      <c r="S27" s="670">
        <f>SUMIF('New Resources - Individual'!$F$6:$Y$6,S$6,'New Resources - Individual'!$F27:$Y27)</f>
        <v>0</v>
      </c>
      <c r="T27" s="670">
        <f>SUMIF('New Resources - Individual'!$F$6:$Y$6,T$6,'New Resources - Individual'!$F27:$Y27)</f>
        <v>0</v>
      </c>
      <c r="U27" s="670">
        <f>SUMIF('New Resources - Individual'!$F$6:$Y$6,U$6,'New Resources - Individual'!$F27:$Y27)</f>
        <v>0</v>
      </c>
      <c r="V27" s="670">
        <f>SUMIF('New Resources - Individual'!$F$6:$Y$6,V$6,'New Resources - Individual'!$F27:$Y27)</f>
        <v>0</v>
      </c>
      <c r="W27" s="670">
        <f>SUMIF('New Resources - Individual'!$F$6:$Y$6,W$6,'New Resources - Individual'!$F27:$Y27)</f>
        <v>0</v>
      </c>
      <c r="X27" s="670">
        <f>SUMIF('New Resources - Individual'!$F$6:$Y$6,X$6,'New Resources - Individual'!$F27:$Y27)</f>
        <v>0</v>
      </c>
      <c r="Y27" s="791">
        <f>SUMIF('New Resources - Individual'!$F$6:$Y$6,Y$6,'New Resources - Individual'!$F27:$Y27)</f>
        <v>0</v>
      </c>
      <c r="Z27" s="632"/>
      <c r="AA27" s="632"/>
      <c r="AB27" s="632"/>
      <c r="AC27" s="632"/>
      <c r="AD27" s="632"/>
      <c r="AE27" s="632"/>
      <c r="AF27" s="632"/>
      <c r="AG27" s="659"/>
      <c r="AH27" s="659"/>
    </row>
    <row r="28" spans="1:34" x14ac:dyDescent="0.25">
      <c r="A28" s="641">
        <v>310</v>
      </c>
      <c r="B28" s="796" t="s">
        <v>479</v>
      </c>
      <c r="C28" s="644" t="s">
        <v>480</v>
      </c>
      <c r="D28" s="644"/>
      <c r="E28" s="650"/>
      <c r="F28" s="669">
        <f>SUMIF('New Resources - Individual'!$F$6:$Y$6,F$6,'New Resources - Individual'!$F28:$Y28)</f>
        <v>0</v>
      </c>
      <c r="G28" s="669">
        <f>SUMIF('New Resources - Individual'!$F$6:$Y$6,G$6,'New Resources - Individual'!$F28:$Y28)</f>
        <v>0</v>
      </c>
      <c r="H28" s="669">
        <f>SUMIF('New Resources - Individual'!$F$6:$Y$6,H$6,'New Resources - Individual'!$F28:$Y28)</f>
        <v>0</v>
      </c>
      <c r="I28" s="669">
        <f>SUMIF('New Resources - Individual'!$F$6:$Y$6,I$6,'New Resources - Individual'!$F28:$Y28)</f>
        <v>0</v>
      </c>
      <c r="J28" s="670">
        <f>SUMIF('New Resources - Individual'!$F$6:$Y$6,J$6,'New Resources - Individual'!$F28:$Y28)</f>
        <v>0</v>
      </c>
      <c r="K28" s="670">
        <f>SUMIF('New Resources - Individual'!$F$6:$Y$6,K$6,'New Resources - Individual'!$F28:$Y28)</f>
        <v>0</v>
      </c>
      <c r="L28" s="670">
        <f>SUMIF('New Resources - Individual'!$F$6:$Y$6,L$6,'New Resources - Individual'!$F28:$Y28)</f>
        <v>0</v>
      </c>
      <c r="M28" s="670">
        <f>SUMIF('New Resources - Individual'!$F$6:$Y$6,M$6,'New Resources - Individual'!$F28:$Y28)</f>
        <v>0</v>
      </c>
      <c r="N28" s="670">
        <f>SUMIF('New Resources - Individual'!$F$6:$Y$6,N$6,'New Resources - Individual'!$F28:$Y28)</f>
        <v>0</v>
      </c>
      <c r="O28" s="670">
        <f>SUMIF('New Resources - Individual'!$F$6:$Y$6,O$6,'New Resources - Individual'!$F28:$Y28)</f>
        <v>0</v>
      </c>
      <c r="P28" s="670">
        <f>SUMIF('New Resources - Individual'!$F$6:$Y$6,P$6,'New Resources - Individual'!$F28:$Y28)</f>
        <v>0</v>
      </c>
      <c r="Q28" s="670">
        <f>SUMIF('New Resources - Individual'!$F$6:$Y$6,Q$6,'New Resources - Individual'!$F28:$Y28)</f>
        <v>0</v>
      </c>
      <c r="R28" s="670">
        <f>SUMIF('New Resources - Individual'!$F$6:$Y$6,R$6,'New Resources - Individual'!$F28:$Y28)</f>
        <v>0</v>
      </c>
      <c r="S28" s="670">
        <f>SUMIF('New Resources - Individual'!$F$6:$Y$6,S$6,'New Resources - Individual'!$F28:$Y28)</f>
        <v>0</v>
      </c>
      <c r="T28" s="670">
        <f>SUMIF('New Resources - Individual'!$F$6:$Y$6,T$6,'New Resources - Individual'!$F28:$Y28)</f>
        <v>0</v>
      </c>
      <c r="U28" s="670">
        <f>SUMIF('New Resources - Individual'!$F$6:$Y$6,U$6,'New Resources - Individual'!$F28:$Y28)</f>
        <v>0</v>
      </c>
      <c r="V28" s="670">
        <f>SUMIF('New Resources - Individual'!$F$6:$Y$6,V$6,'New Resources - Individual'!$F28:$Y28)</f>
        <v>0</v>
      </c>
      <c r="W28" s="670">
        <f>SUMIF('New Resources - Individual'!$F$6:$Y$6,W$6,'New Resources - Individual'!$F28:$Y28)</f>
        <v>0</v>
      </c>
      <c r="X28" s="670">
        <f>SUMIF('New Resources - Individual'!$F$6:$Y$6,X$6,'New Resources - Individual'!$F28:$Y28)</f>
        <v>0</v>
      </c>
      <c r="Y28" s="791">
        <f>SUMIF('New Resources - Individual'!$F$6:$Y$6,Y$6,'New Resources - Individual'!$F28:$Y28)</f>
        <v>0</v>
      </c>
      <c r="Z28" s="632"/>
      <c r="AA28" s="632"/>
      <c r="AB28" s="632"/>
      <c r="AC28" s="632"/>
      <c r="AD28" s="632"/>
      <c r="AE28" s="632"/>
      <c r="AF28" s="632"/>
      <c r="AG28" s="659"/>
      <c r="AH28" s="659"/>
    </row>
    <row r="29" spans="1:34" x14ac:dyDescent="0.25">
      <c r="A29" s="641">
        <v>320</v>
      </c>
      <c r="B29" s="796" t="s">
        <v>167</v>
      </c>
      <c r="C29" s="644">
        <v>924</v>
      </c>
      <c r="D29" s="644"/>
      <c r="E29" s="650"/>
      <c r="F29" s="669">
        <f>SUMIF('New Resources - Individual'!$F$6:$Y$6,F$6,'New Resources - Individual'!$F29:$Y29)</f>
        <v>0</v>
      </c>
      <c r="G29" s="669">
        <f>SUMIF('New Resources - Individual'!$F$6:$Y$6,G$6,'New Resources - Individual'!$F29:$Y29)</f>
        <v>0</v>
      </c>
      <c r="H29" s="669">
        <f>SUMIF('New Resources - Individual'!$F$6:$Y$6,H$6,'New Resources - Individual'!$F29:$Y29)</f>
        <v>0</v>
      </c>
      <c r="I29" s="669">
        <f>SUMIF('New Resources - Individual'!$F$6:$Y$6,I$6,'New Resources - Individual'!$F29:$Y29)</f>
        <v>0</v>
      </c>
      <c r="J29" s="670">
        <f>SUMIF('New Resources - Individual'!$F$6:$Y$6,J$6,'New Resources - Individual'!$F29:$Y29)</f>
        <v>0</v>
      </c>
      <c r="K29" s="670">
        <f>SUMIF('New Resources - Individual'!$F$6:$Y$6,K$6,'New Resources - Individual'!$F29:$Y29)</f>
        <v>0</v>
      </c>
      <c r="L29" s="670">
        <f>SUMIF('New Resources - Individual'!$F$6:$Y$6,L$6,'New Resources - Individual'!$F29:$Y29)</f>
        <v>0</v>
      </c>
      <c r="M29" s="670">
        <f>SUMIF('New Resources - Individual'!$F$6:$Y$6,M$6,'New Resources - Individual'!$F29:$Y29)</f>
        <v>0</v>
      </c>
      <c r="N29" s="670">
        <f>SUMIF('New Resources - Individual'!$F$6:$Y$6,N$6,'New Resources - Individual'!$F29:$Y29)</f>
        <v>0</v>
      </c>
      <c r="O29" s="670">
        <f>SUMIF('New Resources - Individual'!$F$6:$Y$6,O$6,'New Resources - Individual'!$F29:$Y29)</f>
        <v>0</v>
      </c>
      <c r="P29" s="670">
        <f>SUMIF('New Resources - Individual'!$F$6:$Y$6,P$6,'New Resources - Individual'!$F29:$Y29)</f>
        <v>0</v>
      </c>
      <c r="Q29" s="670">
        <f>SUMIF('New Resources - Individual'!$F$6:$Y$6,Q$6,'New Resources - Individual'!$F29:$Y29)</f>
        <v>0</v>
      </c>
      <c r="R29" s="670">
        <f>SUMIF('New Resources - Individual'!$F$6:$Y$6,R$6,'New Resources - Individual'!$F29:$Y29)</f>
        <v>0</v>
      </c>
      <c r="S29" s="670">
        <f>SUMIF('New Resources - Individual'!$F$6:$Y$6,S$6,'New Resources - Individual'!$F29:$Y29)</f>
        <v>0</v>
      </c>
      <c r="T29" s="670">
        <f>SUMIF('New Resources - Individual'!$F$6:$Y$6,T$6,'New Resources - Individual'!$F29:$Y29)</f>
        <v>0</v>
      </c>
      <c r="U29" s="670">
        <f>SUMIF('New Resources - Individual'!$F$6:$Y$6,U$6,'New Resources - Individual'!$F29:$Y29)</f>
        <v>0</v>
      </c>
      <c r="V29" s="670">
        <f>SUMIF('New Resources - Individual'!$F$6:$Y$6,V$6,'New Resources - Individual'!$F29:$Y29)</f>
        <v>0</v>
      </c>
      <c r="W29" s="670">
        <f>SUMIF('New Resources - Individual'!$F$6:$Y$6,W$6,'New Resources - Individual'!$F29:$Y29)</f>
        <v>0</v>
      </c>
      <c r="X29" s="670">
        <f>SUMIF('New Resources - Individual'!$F$6:$Y$6,X$6,'New Resources - Individual'!$F29:$Y29)</f>
        <v>0</v>
      </c>
      <c r="Y29" s="791">
        <f>SUMIF('New Resources - Individual'!$F$6:$Y$6,Y$6,'New Resources - Individual'!$F29:$Y29)</f>
        <v>0</v>
      </c>
      <c r="Z29" s="632"/>
      <c r="AA29" s="632"/>
      <c r="AB29" s="632"/>
      <c r="AC29" s="632"/>
      <c r="AD29" s="632"/>
      <c r="AE29" s="632"/>
      <c r="AF29" s="632"/>
      <c r="AG29" s="659"/>
      <c r="AH29" s="659"/>
    </row>
    <row r="30" spans="1:34" x14ac:dyDescent="0.25">
      <c r="A30" s="641">
        <v>330</v>
      </c>
      <c r="B30" s="796" t="s">
        <v>595</v>
      </c>
      <c r="C30" s="644">
        <v>403</v>
      </c>
      <c r="D30" s="644" t="s">
        <v>596</v>
      </c>
      <c r="E30" s="650"/>
      <c r="F30" s="669">
        <f>SUMIF('New Resources - Individual'!$F$6:$Y$6,F$6,'New Resources - Individual'!$F30:$Y30)</f>
        <v>0</v>
      </c>
      <c r="G30" s="669">
        <f>SUMIF('New Resources - Individual'!$F$6:$Y$6,G$6,'New Resources - Individual'!$F30:$Y30)</f>
        <v>0</v>
      </c>
      <c r="H30" s="669">
        <f>SUMIF('New Resources - Individual'!$F$6:$Y$6,H$6,'New Resources - Individual'!$F30:$Y30)</f>
        <v>0</v>
      </c>
      <c r="I30" s="669">
        <f>SUMIF('New Resources - Individual'!$F$6:$Y$6,I$6,'New Resources - Individual'!$F30:$Y30)</f>
        <v>0</v>
      </c>
      <c r="J30" s="670">
        <f>SUMIF('New Resources - Individual'!$F$6:$Y$6,J$6,'New Resources - Individual'!$F30:$Y30)</f>
        <v>0</v>
      </c>
      <c r="K30" s="670">
        <f>SUMIF('New Resources - Individual'!$F$6:$Y$6,K$6,'New Resources - Individual'!$F30:$Y30)</f>
        <v>0</v>
      </c>
      <c r="L30" s="670">
        <f>SUMIF('New Resources - Individual'!$F$6:$Y$6,L$6,'New Resources - Individual'!$F30:$Y30)</f>
        <v>0</v>
      </c>
      <c r="M30" s="670">
        <f>SUMIF('New Resources - Individual'!$F$6:$Y$6,M$6,'New Resources - Individual'!$F30:$Y30)</f>
        <v>0</v>
      </c>
      <c r="N30" s="670">
        <f>SUMIF('New Resources - Individual'!$F$6:$Y$6,N$6,'New Resources - Individual'!$F30:$Y30)</f>
        <v>0</v>
      </c>
      <c r="O30" s="670">
        <f>SUMIF('New Resources - Individual'!$F$6:$Y$6,O$6,'New Resources - Individual'!$F30:$Y30)</f>
        <v>0</v>
      </c>
      <c r="P30" s="670">
        <f>SUMIF('New Resources - Individual'!$F$6:$Y$6,P$6,'New Resources - Individual'!$F30:$Y30)</f>
        <v>0</v>
      </c>
      <c r="Q30" s="670">
        <f>SUMIF('New Resources - Individual'!$F$6:$Y$6,Q$6,'New Resources - Individual'!$F30:$Y30)</f>
        <v>0</v>
      </c>
      <c r="R30" s="670">
        <f>SUMIF('New Resources - Individual'!$F$6:$Y$6,R$6,'New Resources - Individual'!$F30:$Y30)</f>
        <v>0</v>
      </c>
      <c r="S30" s="670">
        <f>SUMIF('New Resources - Individual'!$F$6:$Y$6,S$6,'New Resources - Individual'!$F30:$Y30)</f>
        <v>0</v>
      </c>
      <c r="T30" s="670">
        <f>SUMIF('New Resources - Individual'!$F$6:$Y$6,T$6,'New Resources - Individual'!$F30:$Y30)</f>
        <v>0</v>
      </c>
      <c r="U30" s="670">
        <f>SUMIF('New Resources - Individual'!$F$6:$Y$6,U$6,'New Resources - Individual'!$F30:$Y30)</f>
        <v>0</v>
      </c>
      <c r="V30" s="670">
        <f>SUMIF('New Resources - Individual'!$F$6:$Y$6,V$6,'New Resources - Individual'!$F30:$Y30)</f>
        <v>0</v>
      </c>
      <c r="W30" s="670">
        <f>SUMIF('New Resources - Individual'!$F$6:$Y$6,W$6,'New Resources - Individual'!$F30:$Y30)</f>
        <v>0</v>
      </c>
      <c r="X30" s="670">
        <f>SUMIF('New Resources - Individual'!$F$6:$Y$6,X$6,'New Resources - Individual'!$F30:$Y30)</f>
        <v>0</v>
      </c>
      <c r="Y30" s="791">
        <f>SUMIF('New Resources - Individual'!$F$6:$Y$6,Y$6,'New Resources - Individual'!$F30:$Y30)</f>
        <v>0</v>
      </c>
      <c r="Z30" s="632"/>
      <c r="AA30" s="632"/>
      <c r="AB30" s="632"/>
      <c r="AC30" s="632"/>
      <c r="AD30" s="632"/>
      <c r="AE30" s="632"/>
      <c r="AF30" s="632"/>
      <c r="AG30" s="659"/>
      <c r="AH30" s="659"/>
    </row>
    <row r="31" spans="1:34" x14ac:dyDescent="0.25">
      <c r="A31" s="641">
        <v>340</v>
      </c>
      <c r="B31" s="790" t="s">
        <v>597</v>
      </c>
      <c r="C31" s="644">
        <v>447</v>
      </c>
      <c r="D31" s="644" t="s">
        <v>598</v>
      </c>
      <c r="E31" s="645"/>
      <c r="F31" s="669">
        <f>SUMIF('New Resources - Individual'!$F$6:$Y$6,F$6,'New Resources - Individual'!$F31:$Y31)</f>
        <v>0</v>
      </c>
      <c r="G31" s="669">
        <f>SUMIF('New Resources - Individual'!$F$6:$Y$6,G$6,'New Resources - Individual'!$F31:$Y31)</f>
        <v>0</v>
      </c>
      <c r="H31" s="669">
        <f>SUMIF('New Resources - Individual'!$F$6:$Y$6,H$6,'New Resources - Individual'!$F31:$Y31)</f>
        <v>0</v>
      </c>
      <c r="I31" s="669">
        <f>SUMIF('New Resources - Individual'!$F$6:$Y$6,I$6,'New Resources - Individual'!$F31:$Y31)</f>
        <v>0</v>
      </c>
      <c r="J31" s="670">
        <f>SUMIF('New Resources - Individual'!$F$6:$Y$6,J$6,'New Resources - Individual'!$F31:$Y31)</f>
        <v>0</v>
      </c>
      <c r="K31" s="670">
        <f>SUMIF('New Resources - Individual'!$F$6:$Y$6,K$6,'New Resources - Individual'!$F31:$Y31)</f>
        <v>0</v>
      </c>
      <c r="L31" s="670">
        <f>SUMIF('New Resources - Individual'!$F$6:$Y$6,L$6,'New Resources - Individual'!$F31:$Y31)</f>
        <v>0</v>
      </c>
      <c r="M31" s="670">
        <f>SUMIF('New Resources - Individual'!$F$6:$Y$6,M$6,'New Resources - Individual'!$F31:$Y31)</f>
        <v>0</v>
      </c>
      <c r="N31" s="670">
        <f>SUMIF('New Resources - Individual'!$F$6:$Y$6,N$6,'New Resources - Individual'!$F31:$Y31)</f>
        <v>0</v>
      </c>
      <c r="O31" s="670">
        <f>SUMIF('New Resources - Individual'!$F$6:$Y$6,O$6,'New Resources - Individual'!$F31:$Y31)</f>
        <v>0</v>
      </c>
      <c r="P31" s="670">
        <f>SUMIF('New Resources - Individual'!$F$6:$Y$6,P$6,'New Resources - Individual'!$F31:$Y31)</f>
        <v>0</v>
      </c>
      <c r="Q31" s="670">
        <f>SUMIF('New Resources - Individual'!$F$6:$Y$6,Q$6,'New Resources - Individual'!$F31:$Y31)</f>
        <v>0</v>
      </c>
      <c r="R31" s="670">
        <f>SUMIF('New Resources - Individual'!$F$6:$Y$6,R$6,'New Resources - Individual'!$F31:$Y31)</f>
        <v>0</v>
      </c>
      <c r="S31" s="670">
        <f>SUMIF('New Resources - Individual'!$F$6:$Y$6,S$6,'New Resources - Individual'!$F31:$Y31)</f>
        <v>0</v>
      </c>
      <c r="T31" s="670">
        <f>SUMIF('New Resources - Individual'!$F$6:$Y$6,T$6,'New Resources - Individual'!$F31:$Y31)</f>
        <v>0</v>
      </c>
      <c r="U31" s="670">
        <f>SUMIF('New Resources - Individual'!$F$6:$Y$6,U$6,'New Resources - Individual'!$F31:$Y31)</f>
        <v>0</v>
      </c>
      <c r="V31" s="670">
        <f>SUMIF('New Resources - Individual'!$F$6:$Y$6,V$6,'New Resources - Individual'!$F31:$Y31)</f>
        <v>0</v>
      </c>
      <c r="W31" s="670">
        <f>SUMIF('New Resources - Individual'!$F$6:$Y$6,W$6,'New Resources - Individual'!$F31:$Y31)</f>
        <v>0</v>
      </c>
      <c r="X31" s="670">
        <f>SUMIF('New Resources - Individual'!$F$6:$Y$6,X$6,'New Resources - Individual'!$F31:$Y31)</f>
        <v>0</v>
      </c>
      <c r="Y31" s="791">
        <f>SUMIF('New Resources - Individual'!$F$6:$Y$6,Y$6,'New Resources - Individual'!$F31:$Y31)</f>
        <v>0</v>
      </c>
      <c r="Z31" s="632"/>
      <c r="AA31" s="632"/>
      <c r="AB31" s="632"/>
      <c r="AC31" s="632"/>
      <c r="AD31" s="632"/>
      <c r="AE31" s="632"/>
      <c r="AF31" s="632"/>
      <c r="AG31" s="659"/>
      <c r="AH31" s="659"/>
    </row>
    <row r="32" spans="1:34" x14ac:dyDescent="0.25">
      <c r="A32" s="641">
        <v>350</v>
      </c>
      <c r="B32" s="792" t="s">
        <v>599</v>
      </c>
      <c r="C32" s="646"/>
      <c r="D32" s="644" t="s">
        <v>598</v>
      </c>
      <c r="E32" s="645"/>
      <c r="F32" s="669">
        <f>SUMIF('New Resources - Individual'!$F$6:$Y$6,F$6,'New Resources - Individual'!$F32:$Y32)</f>
        <v>0</v>
      </c>
      <c r="G32" s="669">
        <f>SUMIF('New Resources - Individual'!$F$6:$Y$6,G$6,'New Resources - Individual'!$F32:$Y32)</f>
        <v>0</v>
      </c>
      <c r="H32" s="669">
        <f>SUMIF('New Resources - Individual'!$F$6:$Y$6,H$6,'New Resources - Individual'!$F32:$Y32)</f>
        <v>0</v>
      </c>
      <c r="I32" s="669">
        <f>SUMIF('New Resources - Individual'!$F$6:$Y$6,I$6,'New Resources - Individual'!$F32:$Y32)</f>
        <v>0</v>
      </c>
      <c r="J32" s="670">
        <f>SUMIF('New Resources - Individual'!$F$6:$Y$6,J$6,'New Resources - Individual'!$F32:$Y32)</f>
        <v>0</v>
      </c>
      <c r="K32" s="670">
        <f>SUMIF('New Resources - Individual'!$F$6:$Y$6,K$6,'New Resources - Individual'!$F32:$Y32)</f>
        <v>0</v>
      </c>
      <c r="L32" s="670">
        <f>SUMIF('New Resources - Individual'!$F$6:$Y$6,L$6,'New Resources - Individual'!$F32:$Y32)</f>
        <v>0</v>
      </c>
      <c r="M32" s="670">
        <f>SUMIF('New Resources - Individual'!$F$6:$Y$6,M$6,'New Resources - Individual'!$F32:$Y32)</f>
        <v>0</v>
      </c>
      <c r="N32" s="670">
        <f>SUMIF('New Resources - Individual'!$F$6:$Y$6,N$6,'New Resources - Individual'!$F32:$Y32)</f>
        <v>0</v>
      </c>
      <c r="O32" s="670">
        <f>SUMIF('New Resources - Individual'!$F$6:$Y$6,O$6,'New Resources - Individual'!$F32:$Y32)</f>
        <v>0</v>
      </c>
      <c r="P32" s="670">
        <f>SUMIF('New Resources - Individual'!$F$6:$Y$6,P$6,'New Resources - Individual'!$F32:$Y32)</f>
        <v>0</v>
      </c>
      <c r="Q32" s="670">
        <f>SUMIF('New Resources - Individual'!$F$6:$Y$6,Q$6,'New Resources - Individual'!$F32:$Y32)</f>
        <v>0</v>
      </c>
      <c r="R32" s="670">
        <f>SUMIF('New Resources - Individual'!$F$6:$Y$6,R$6,'New Resources - Individual'!$F32:$Y32)</f>
        <v>0</v>
      </c>
      <c r="S32" s="670">
        <f>SUMIF('New Resources - Individual'!$F$6:$Y$6,S$6,'New Resources - Individual'!$F32:$Y32)</f>
        <v>0</v>
      </c>
      <c r="T32" s="670">
        <f>SUMIF('New Resources - Individual'!$F$6:$Y$6,T$6,'New Resources - Individual'!$F32:$Y32)</f>
        <v>0</v>
      </c>
      <c r="U32" s="670">
        <f>SUMIF('New Resources - Individual'!$F$6:$Y$6,U$6,'New Resources - Individual'!$F32:$Y32)</f>
        <v>0</v>
      </c>
      <c r="V32" s="670">
        <f>SUMIF('New Resources - Individual'!$F$6:$Y$6,V$6,'New Resources - Individual'!$F32:$Y32)</f>
        <v>0</v>
      </c>
      <c r="W32" s="670">
        <f>SUMIF('New Resources - Individual'!$F$6:$Y$6,W$6,'New Resources - Individual'!$F32:$Y32)</f>
        <v>0</v>
      </c>
      <c r="X32" s="670">
        <f>SUMIF('New Resources - Individual'!$F$6:$Y$6,X$6,'New Resources - Individual'!$F32:$Y32)</f>
        <v>0</v>
      </c>
      <c r="Y32" s="791">
        <f>SUMIF('New Resources - Individual'!$F$6:$Y$6,Y$6,'New Resources - Individual'!$F32:$Y32)</f>
        <v>0</v>
      </c>
      <c r="Z32" s="632"/>
      <c r="AA32" s="632"/>
      <c r="AB32" s="632"/>
      <c r="AC32" s="632"/>
      <c r="AD32" s="632"/>
      <c r="AE32" s="632"/>
      <c r="AF32" s="632"/>
      <c r="AG32" s="659"/>
      <c r="AH32" s="659"/>
    </row>
    <row r="33" spans="1:34" x14ac:dyDescent="0.25">
      <c r="A33" s="641">
        <v>360</v>
      </c>
      <c r="B33" s="790" t="s">
        <v>600</v>
      </c>
      <c r="C33" s="644"/>
      <c r="D33" s="644" t="s">
        <v>598</v>
      </c>
      <c r="E33" s="645"/>
      <c r="F33" s="1284">
        <f>SUMIF('New Resources - Individual'!$F$6:$Y$6,F$6,'New Resources - Individual'!$F33:$Y33)</f>
        <v>0</v>
      </c>
      <c r="G33" s="1285">
        <f>SUMIF('New Resources - Individual'!$F$6:$Y$6,G$6,'New Resources - Individual'!$F33:$Y33)</f>
        <v>0</v>
      </c>
      <c r="H33" s="1285">
        <f>SUMIF('New Resources - Individual'!$F$6:$Y$6,H$6,'New Resources - Individual'!$F33:$Y33)</f>
        <v>0</v>
      </c>
      <c r="I33" s="1285">
        <f>SUMIF('New Resources - Individual'!$F$6:$Y$6,I$6,'New Resources - Individual'!$F33:$Y33)</f>
        <v>0</v>
      </c>
      <c r="J33" s="1285">
        <f>SUMIF('New Resources - Individual'!$F$6:$Y$6,J$6,'New Resources - Individual'!$F33:$Y33)</f>
        <v>0</v>
      </c>
      <c r="K33" s="1285">
        <f>SUMIF('New Resources - Individual'!$F$6:$Y$6,K$6,'New Resources - Individual'!$F33:$Y33)</f>
        <v>0</v>
      </c>
      <c r="L33" s="1285">
        <f>SUMIF('New Resources - Individual'!$F$6:$Y$6,L$6,'New Resources - Individual'!$F33:$Y33)</f>
        <v>0</v>
      </c>
      <c r="M33" s="1285">
        <f>SUMIF('New Resources - Individual'!$F$6:$Y$6,M$6,'New Resources - Individual'!$F33:$Y33)</f>
        <v>0</v>
      </c>
      <c r="N33" s="1285">
        <f>SUMIF('New Resources - Individual'!$F$6:$Y$6,N$6,'New Resources - Individual'!$F33:$Y33)</f>
        <v>0</v>
      </c>
      <c r="O33" s="1285">
        <f>SUMIF('New Resources - Individual'!$F$6:$Y$6,O$6,'New Resources - Individual'!$F33:$Y33)</f>
        <v>0</v>
      </c>
      <c r="P33" s="1285">
        <f>SUMIF('New Resources - Individual'!$F$6:$Y$6,P$6,'New Resources - Individual'!$F33:$Y33)</f>
        <v>0</v>
      </c>
      <c r="Q33" s="1285">
        <f>SUMIF('New Resources - Individual'!$F$6:$Y$6,Q$6,'New Resources - Individual'!$F33:$Y33)</f>
        <v>0</v>
      </c>
      <c r="R33" s="1285">
        <f>SUMIF('New Resources - Individual'!$F$6:$Y$6,R$6,'New Resources - Individual'!$F33:$Y33)</f>
        <v>0</v>
      </c>
      <c r="S33" s="1285">
        <f>SUMIF('New Resources - Individual'!$F$6:$Y$6,S$6,'New Resources - Individual'!$F33:$Y33)</f>
        <v>0</v>
      </c>
      <c r="T33" s="1285">
        <f>SUMIF('New Resources - Individual'!$F$6:$Y$6,T$6,'New Resources - Individual'!$F33:$Y33)</f>
        <v>0</v>
      </c>
      <c r="U33" s="1285">
        <f>SUMIF('New Resources - Individual'!$F$6:$Y$6,U$6,'New Resources - Individual'!$F33:$Y33)</f>
        <v>0</v>
      </c>
      <c r="V33" s="1285">
        <f>SUMIF('New Resources - Individual'!$F$6:$Y$6,V$6,'New Resources - Individual'!$F33:$Y33)</f>
        <v>0</v>
      </c>
      <c r="W33" s="1285">
        <f>SUMIF('New Resources - Individual'!$F$6:$Y$6,W$6,'New Resources - Individual'!$F33:$Y33)</f>
        <v>0</v>
      </c>
      <c r="X33" s="1285">
        <f>SUMIF('New Resources - Individual'!$F$6:$Y$6,X$6,'New Resources - Individual'!$F33:$Y33)</f>
        <v>0</v>
      </c>
      <c r="Y33" s="1286">
        <f>SUMIF('New Resources - Individual'!$F$6:$Y$6,Y$6,'New Resources - Individual'!$F33:$Y33)</f>
        <v>0</v>
      </c>
      <c r="Z33" s="632"/>
      <c r="AA33" s="632"/>
      <c r="AB33" s="632"/>
      <c r="AC33" s="632"/>
      <c r="AD33" s="632"/>
      <c r="AE33" s="632"/>
      <c r="AF33" s="632"/>
      <c r="AG33" s="659"/>
      <c r="AH33" s="659"/>
    </row>
    <row r="34" spans="1:34" x14ac:dyDescent="0.25">
      <c r="A34" s="641">
        <v>370</v>
      </c>
      <c r="B34" s="793" t="s">
        <v>604</v>
      </c>
      <c r="C34" s="647"/>
      <c r="D34" s="647"/>
      <c r="E34" s="648"/>
      <c r="F34" s="1282"/>
      <c r="G34" s="1282"/>
      <c r="H34" s="1282"/>
      <c r="I34" s="1282"/>
      <c r="J34" s="1282"/>
      <c r="K34" s="1282"/>
      <c r="L34" s="1282"/>
      <c r="M34" s="1282"/>
      <c r="N34" s="1282"/>
      <c r="O34" s="1282"/>
      <c r="P34" s="1282"/>
      <c r="Q34" s="1282"/>
      <c r="R34" s="1282"/>
      <c r="S34" s="1282"/>
      <c r="T34" s="1282"/>
      <c r="U34" s="1282"/>
      <c r="V34" s="1282"/>
      <c r="W34" s="1282"/>
      <c r="X34" s="1282"/>
      <c r="Y34" s="1283"/>
      <c r="Z34" s="632"/>
      <c r="AA34" s="632"/>
      <c r="AB34" s="632"/>
      <c r="AC34" s="632"/>
      <c r="AD34" s="632"/>
      <c r="AE34" s="632"/>
      <c r="AF34" s="632"/>
      <c r="AG34" s="659"/>
      <c r="AH34" s="659"/>
    </row>
    <row r="35" spans="1:34" x14ac:dyDescent="0.25">
      <c r="A35" s="641">
        <v>380</v>
      </c>
      <c r="B35" s="790" t="s">
        <v>115</v>
      </c>
      <c r="C35" s="644" t="s">
        <v>116</v>
      </c>
      <c r="D35" s="644"/>
      <c r="E35" s="645"/>
      <c r="F35" s="669">
        <f>SUMIF('New Resources - Individual'!$F$6:$Y$6,F$6,'New Resources - Individual'!$F35:$Y35)</f>
        <v>0</v>
      </c>
      <c r="G35" s="669">
        <f>SUMIF('New Resources - Individual'!$F$6:$Y$6,G$6,'New Resources - Individual'!$F35:$Y35)</f>
        <v>0</v>
      </c>
      <c r="H35" s="669">
        <f>SUMIF('New Resources - Individual'!$F$6:$Y$6,H$6,'New Resources - Individual'!$F35:$Y35)</f>
        <v>0</v>
      </c>
      <c r="I35" s="669">
        <f>SUMIF('New Resources - Individual'!$F$6:$Y$6,I$6,'New Resources - Individual'!$F35:$Y35)</f>
        <v>0</v>
      </c>
      <c r="J35" s="669">
        <f>SUMIF('New Resources - Individual'!$F$6:$Y$6,J$6,'New Resources - Individual'!$F35:$Y35)</f>
        <v>0</v>
      </c>
      <c r="K35" s="669">
        <f>SUMIF('New Resources - Individual'!$F$6:$Y$6,K$6,'New Resources - Individual'!$F35:$Y35)</f>
        <v>0</v>
      </c>
      <c r="L35" s="669">
        <f>SUMIF('New Resources - Individual'!$F$6:$Y$6,L$6,'New Resources - Individual'!$F35:$Y35)</f>
        <v>0</v>
      </c>
      <c r="M35" s="669">
        <f>SUMIF('New Resources - Individual'!$F$6:$Y$6,M$6,'New Resources - Individual'!$F35:$Y35)</f>
        <v>0</v>
      </c>
      <c r="N35" s="669">
        <f>SUMIF('New Resources - Individual'!$F$6:$Y$6,N$6,'New Resources - Individual'!$F35:$Y35)</f>
        <v>0</v>
      </c>
      <c r="O35" s="670">
        <f>SUMIF('New Resources - Individual'!$F$6:$Y$6,O$6,'New Resources - Individual'!$F35:$Y35)</f>
        <v>0</v>
      </c>
      <c r="P35" s="670">
        <f>SUMIF('New Resources - Individual'!$F$6:$Y$6,P$6,'New Resources - Individual'!$F35:$Y35)</f>
        <v>0</v>
      </c>
      <c r="Q35" s="670">
        <f>SUMIF('New Resources - Individual'!$F$6:$Y$6,Q$6,'New Resources - Individual'!$F35:$Y35)</f>
        <v>0</v>
      </c>
      <c r="R35" s="670">
        <f>SUMIF('New Resources - Individual'!$F$6:$Y$6,R$6,'New Resources - Individual'!$F35:$Y35)</f>
        <v>0</v>
      </c>
      <c r="S35" s="670">
        <f>SUMIF('New Resources - Individual'!$F$6:$Y$6,S$6,'New Resources - Individual'!$F35:$Y35)</f>
        <v>0</v>
      </c>
      <c r="T35" s="670">
        <f>SUMIF('New Resources - Individual'!$F$6:$Y$6,T$6,'New Resources - Individual'!$F35:$Y35)</f>
        <v>0</v>
      </c>
      <c r="U35" s="670">
        <f>SUMIF('New Resources - Individual'!$F$6:$Y$6,U$6,'New Resources - Individual'!$F35:$Y35)</f>
        <v>0</v>
      </c>
      <c r="V35" s="670">
        <f>SUMIF('New Resources - Individual'!$F$6:$Y$6,V$6,'New Resources - Individual'!$F35:$Y35)</f>
        <v>0</v>
      </c>
      <c r="W35" s="670">
        <f>SUMIF('New Resources - Individual'!$F$6:$Y$6,W$6,'New Resources - Individual'!$F35:$Y35)</f>
        <v>0</v>
      </c>
      <c r="X35" s="670">
        <f>SUMIF('New Resources - Individual'!$F$6:$Y$6,X$6,'New Resources - Individual'!$F35:$Y35)</f>
        <v>0</v>
      </c>
      <c r="Y35" s="791">
        <f>SUMIF('New Resources - Individual'!$F$6:$Y$6,Y$6,'New Resources - Individual'!$F35:$Y35)</f>
        <v>0</v>
      </c>
      <c r="Z35" s="632"/>
      <c r="AA35" s="632"/>
      <c r="AB35" s="632"/>
      <c r="AC35" s="632"/>
      <c r="AD35" s="632"/>
      <c r="AE35" s="632"/>
      <c r="AF35" s="632"/>
      <c r="AG35" s="659"/>
      <c r="AH35" s="659"/>
    </row>
    <row r="36" spans="1:34" x14ac:dyDescent="0.25">
      <c r="A36" s="641">
        <v>390</v>
      </c>
      <c r="B36" s="792" t="s">
        <v>79</v>
      </c>
      <c r="C36" s="644">
        <v>154</v>
      </c>
      <c r="D36" s="644"/>
      <c r="E36" s="645"/>
      <c r="F36" s="669">
        <f>SUMIF('New Resources - Individual'!$F$6:$Y$6,F$6,'New Resources - Individual'!$F36:$Y36)</f>
        <v>0</v>
      </c>
      <c r="G36" s="669">
        <f>SUMIF('New Resources - Individual'!$F$6:$Y$6,G$6,'New Resources - Individual'!$F36:$Y36)</f>
        <v>0</v>
      </c>
      <c r="H36" s="670">
        <f>SUMIF('New Resources - Individual'!$F$6:$Y$6,H$6,'New Resources - Individual'!$F36:$Y36)</f>
        <v>0</v>
      </c>
      <c r="I36" s="669">
        <f>SUMIF('New Resources - Individual'!$F$6:$Y$6,I$6,'New Resources - Individual'!$F36:$Y36)</f>
        <v>0</v>
      </c>
      <c r="J36" s="670">
        <f>SUMIF('New Resources - Individual'!$F$6:$Y$6,J$6,'New Resources - Individual'!$F36:$Y36)</f>
        <v>0</v>
      </c>
      <c r="K36" s="670">
        <f>SUMIF('New Resources - Individual'!$F$6:$Y$6,K$6,'New Resources - Individual'!$F36:$Y36)</f>
        <v>0</v>
      </c>
      <c r="L36" s="670">
        <f>SUMIF('New Resources - Individual'!$F$6:$Y$6,L$6,'New Resources - Individual'!$F36:$Y36)</f>
        <v>0</v>
      </c>
      <c r="M36" s="670">
        <f>SUMIF('New Resources - Individual'!$F$6:$Y$6,M$6,'New Resources - Individual'!$F36:$Y36)</f>
        <v>0</v>
      </c>
      <c r="N36" s="670">
        <f>SUMIF('New Resources - Individual'!$F$6:$Y$6,N$6,'New Resources - Individual'!$F36:$Y36)</f>
        <v>0</v>
      </c>
      <c r="O36" s="670">
        <f>SUMIF('New Resources - Individual'!$F$6:$Y$6,O$6,'New Resources - Individual'!$F36:$Y36)</f>
        <v>0</v>
      </c>
      <c r="P36" s="670">
        <f>SUMIF('New Resources - Individual'!$F$6:$Y$6,P$6,'New Resources - Individual'!$F36:$Y36)</f>
        <v>0</v>
      </c>
      <c r="Q36" s="670">
        <f>SUMIF('New Resources - Individual'!$F$6:$Y$6,Q$6,'New Resources - Individual'!$F36:$Y36)</f>
        <v>0</v>
      </c>
      <c r="R36" s="670">
        <f>SUMIF('New Resources - Individual'!$F$6:$Y$6,R$6,'New Resources - Individual'!$F36:$Y36)</f>
        <v>0</v>
      </c>
      <c r="S36" s="670">
        <f>SUMIF('New Resources - Individual'!$F$6:$Y$6,S$6,'New Resources - Individual'!$F36:$Y36)</f>
        <v>0</v>
      </c>
      <c r="T36" s="670">
        <f>SUMIF('New Resources - Individual'!$F$6:$Y$6,T$6,'New Resources - Individual'!$F36:$Y36)</f>
        <v>0</v>
      </c>
      <c r="U36" s="670">
        <f>SUMIF('New Resources - Individual'!$F$6:$Y$6,U$6,'New Resources - Individual'!$F36:$Y36)</f>
        <v>0</v>
      </c>
      <c r="V36" s="670">
        <f>SUMIF('New Resources - Individual'!$F$6:$Y$6,V$6,'New Resources - Individual'!$F36:$Y36)</f>
        <v>0</v>
      </c>
      <c r="W36" s="670">
        <f>SUMIF('New Resources - Individual'!$F$6:$Y$6,W$6,'New Resources - Individual'!$F36:$Y36)</f>
        <v>0</v>
      </c>
      <c r="X36" s="670">
        <f>SUMIF('New Resources - Individual'!$F$6:$Y$6,X$6,'New Resources - Individual'!$F36:$Y36)</f>
        <v>0</v>
      </c>
      <c r="Y36" s="791">
        <f>SUMIF('New Resources - Individual'!$F$6:$Y$6,Y$6,'New Resources - Individual'!$F36:$Y36)</f>
        <v>0</v>
      </c>
      <c r="Z36" s="632"/>
      <c r="AA36" s="632"/>
      <c r="AB36" s="632"/>
      <c r="AC36" s="632"/>
      <c r="AD36" s="632"/>
      <c r="AE36" s="632"/>
      <c r="AF36" s="632"/>
      <c r="AG36" s="659"/>
      <c r="AH36" s="659"/>
    </row>
    <row r="37" spans="1:34" x14ac:dyDescent="0.25">
      <c r="A37" s="641">
        <v>400</v>
      </c>
      <c r="B37" s="793" t="s">
        <v>605</v>
      </c>
      <c r="C37" s="647"/>
      <c r="D37" s="647"/>
      <c r="E37" s="648"/>
      <c r="F37" s="672"/>
      <c r="G37" s="672"/>
      <c r="H37" s="672"/>
      <c r="I37" s="672"/>
      <c r="J37" s="672"/>
      <c r="K37" s="672"/>
      <c r="L37" s="672"/>
      <c r="M37" s="672"/>
      <c r="N37" s="672"/>
      <c r="O37" s="672"/>
      <c r="P37" s="672"/>
      <c r="Q37" s="672"/>
      <c r="R37" s="672"/>
      <c r="S37" s="672"/>
      <c r="T37" s="672"/>
      <c r="U37" s="672"/>
      <c r="V37" s="672"/>
      <c r="W37" s="672"/>
      <c r="X37" s="672"/>
      <c r="Y37" s="794"/>
      <c r="Z37" s="632"/>
      <c r="AA37" s="632"/>
      <c r="AB37" s="632"/>
      <c r="AC37" s="632"/>
      <c r="AD37" s="632"/>
      <c r="AE37" s="632"/>
      <c r="AF37" s="632"/>
      <c r="AG37" s="659"/>
      <c r="AH37" s="659"/>
    </row>
    <row r="38" spans="1:34" x14ac:dyDescent="0.25">
      <c r="A38" s="641">
        <v>410</v>
      </c>
      <c r="B38" s="795" t="s">
        <v>86</v>
      </c>
      <c r="C38" s="644" t="s">
        <v>606</v>
      </c>
      <c r="D38" s="644"/>
      <c r="E38" s="650"/>
      <c r="F38" s="669">
        <f>SUMIF('New Resources - Individual'!$F$6:$Y$6,F$6,'New Resources - Individual'!$F38:$Y38)</f>
        <v>0</v>
      </c>
      <c r="G38" s="669">
        <f>SUMIF('New Resources - Individual'!$F$6:$Y$6,G$6,'New Resources - Individual'!$F38:$Y38)</f>
        <v>0</v>
      </c>
      <c r="H38" s="670">
        <f>SUMIF('New Resources - Individual'!$F$6:$Y$6,H$6,'New Resources - Individual'!$F38:$Y38)</f>
        <v>0</v>
      </c>
      <c r="I38" s="669">
        <f>SUMIF('New Resources - Individual'!$F$6:$Y$6,I$6,'New Resources - Individual'!$F38:$Y38)</f>
        <v>0</v>
      </c>
      <c r="J38" s="670">
        <f>SUMIF('New Resources - Individual'!$F$6:$Y$6,J$6,'New Resources - Individual'!$F38:$Y38)</f>
        <v>0</v>
      </c>
      <c r="K38" s="670">
        <f>SUMIF('New Resources - Individual'!$F$6:$Y$6,K$6,'New Resources - Individual'!$F38:$Y38)</f>
        <v>0</v>
      </c>
      <c r="L38" s="670">
        <f>SUMIF('New Resources - Individual'!$F$6:$Y$6,L$6,'New Resources - Individual'!$F38:$Y38)</f>
        <v>0</v>
      </c>
      <c r="M38" s="670">
        <f>SUMIF('New Resources - Individual'!$F$6:$Y$6,M$6,'New Resources - Individual'!$F38:$Y38)</f>
        <v>0</v>
      </c>
      <c r="N38" s="670">
        <f>SUMIF('New Resources - Individual'!$F$6:$Y$6,N$6,'New Resources - Individual'!$F38:$Y38)</f>
        <v>0</v>
      </c>
      <c r="O38" s="670">
        <f>SUMIF('New Resources - Individual'!$F$6:$Y$6,O$6,'New Resources - Individual'!$F38:$Y38)</f>
        <v>0</v>
      </c>
      <c r="P38" s="670">
        <f>SUMIF('New Resources - Individual'!$F$6:$Y$6,P$6,'New Resources - Individual'!$F38:$Y38)</f>
        <v>0</v>
      </c>
      <c r="Q38" s="670">
        <f>SUMIF('New Resources - Individual'!$F$6:$Y$6,Q$6,'New Resources - Individual'!$F38:$Y38)</f>
        <v>0</v>
      </c>
      <c r="R38" s="670">
        <f>SUMIF('New Resources - Individual'!$F$6:$Y$6,R$6,'New Resources - Individual'!$F38:$Y38)</f>
        <v>0</v>
      </c>
      <c r="S38" s="670">
        <f>SUMIF('New Resources - Individual'!$F$6:$Y$6,S$6,'New Resources - Individual'!$F38:$Y38)</f>
        <v>0</v>
      </c>
      <c r="T38" s="670">
        <f>SUMIF('New Resources - Individual'!$F$6:$Y$6,T$6,'New Resources - Individual'!$F38:$Y38)</f>
        <v>0</v>
      </c>
      <c r="U38" s="670">
        <f>SUMIF('New Resources - Individual'!$F$6:$Y$6,U$6,'New Resources - Individual'!$F38:$Y38)</f>
        <v>0</v>
      </c>
      <c r="V38" s="670">
        <f>SUMIF('New Resources - Individual'!$F$6:$Y$6,V$6,'New Resources - Individual'!$F38:$Y38)</f>
        <v>0</v>
      </c>
      <c r="W38" s="670">
        <f>SUMIF('New Resources - Individual'!$F$6:$Y$6,W$6,'New Resources - Individual'!$F38:$Y38)</f>
        <v>0</v>
      </c>
      <c r="X38" s="670">
        <f>SUMIF('New Resources - Individual'!$F$6:$Y$6,X$6,'New Resources - Individual'!$F38:$Y38)</f>
        <v>0</v>
      </c>
      <c r="Y38" s="791">
        <f>SUMIF('New Resources - Individual'!$F$6:$Y$6,Y$6,'New Resources - Individual'!$F38:$Y38)</f>
        <v>0</v>
      </c>
      <c r="Z38" s="632"/>
      <c r="AA38" s="632"/>
      <c r="AB38" s="632"/>
      <c r="AC38" s="632"/>
      <c r="AD38" s="632"/>
      <c r="AE38" s="632"/>
      <c r="AF38" s="632"/>
      <c r="AG38" s="659"/>
      <c r="AH38" s="659"/>
    </row>
    <row r="39" spans="1:34" x14ac:dyDescent="0.25">
      <c r="A39" s="641">
        <v>420</v>
      </c>
      <c r="B39" s="795" t="s">
        <v>87</v>
      </c>
      <c r="C39" s="644" t="s">
        <v>607</v>
      </c>
      <c r="D39" s="644"/>
      <c r="E39" s="650"/>
      <c r="F39" s="669">
        <f>SUMIF('New Resources - Individual'!$F$6:$Y$6,F$6,'New Resources - Individual'!$F39:$Y39)</f>
        <v>0</v>
      </c>
      <c r="G39" s="669">
        <f>SUMIF('New Resources - Individual'!$F$6:$Y$6,G$6,'New Resources - Individual'!$F39:$Y39)</f>
        <v>0</v>
      </c>
      <c r="H39" s="670">
        <f>SUMIF('New Resources - Individual'!$F$6:$Y$6,H$6,'New Resources - Individual'!$F39:$Y39)</f>
        <v>0</v>
      </c>
      <c r="I39" s="669">
        <f>SUMIF('New Resources - Individual'!$F$6:$Y$6,I$6,'New Resources - Individual'!$F39:$Y39)</f>
        <v>0</v>
      </c>
      <c r="J39" s="670">
        <f>SUMIF('New Resources - Individual'!$F$6:$Y$6,J$6,'New Resources - Individual'!$F39:$Y39)</f>
        <v>0</v>
      </c>
      <c r="K39" s="670">
        <f>SUMIF('New Resources - Individual'!$F$6:$Y$6,K$6,'New Resources - Individual'!$F39:$Y39)</f>
        <v>0</v>
      </c>
      <c r="L39" s="670">
        <f>SUMIF('New Resources - Individual'!$F$6:$Y$6,L$6,'New Resources - Individual'!$F39:$Y39)</f>
        <v>0</v>
      </c>
      <c r="M39" s="670">
        <f>SUMIF('New Resources - Individual'!$F$6:$Y$6,M$6,'New Resources - Individual'!$F39:$Y39)</f>
        <v>0</v>
      </c>
      <c r="N39" s="670">
        <f>SUMIF('New Resources - Individual'!$F$6:$Y$6,N$6,'New Resources - Individual'!$F39:$Y39)</f>
        <v>0</v>
      </c>
      <c r="O39" s="670">
        <f>SUMIF('New Resources - Individual'!$F$6:$Y$6,O$6,'New Resources - Individual'!$F39:$Y39)</f>
        <v>0</v>
      </c>
      <c r="P39" s="670">
        <f>SUMIF('New Resources - Individual'!$F$6:$Y$6,P$6,'New Resources - Individual'!$F39:$Y39)</f>
        <v>0</v>
      </c>
      <c r="Q39" s="670">
        <f>SUMIF('New Resources - Individual'!$F$6:$Y$6,Q$6,'New Resources - Individual'!$F39:$Y39)</f>
        <v>0</v>
      </c>
      <c r="R39" s="670">
        <f>SUMIF('New Resources - Individual'!$F$6:$Y$6,R$6,'New Resources - Individual'!$F39:$Y39)</f>
        <v>0</v>
      </c>
      <c r="S39" s="670">
        <f>SUMIF('New Resources - Individual'!$F$6:$Y$6,S$6,'New Resources - Individual'!$F39:$Y39)</f>
        <v>0</v>
      </c>
      <c r="T39" s="670">
        <f>SUMIF('New Resources - Individual'!$F$6:$Y$6,T$6,'New Resources - Individual'!$F39:$Y39)</f>
        <v>0</v>
      </c>
      <c r="U39" s="670">
        <f>SUMIF('New Resources - Individual'!$F$6:$Y$6,U$6,'New Resources - Individual'!$F39:$Y39)</f>
        <v>0</v>
      </c>
      <c r="V39" s="670">
        <f>SUMIF('New Resources - Individual'!$F$6:$Y$6,V$6,'New Resources - Individual'!$F39:$Y39)</f>
        <v>0</v>
      </c>
      <c r="W39" s="670">
        <f>SUMIF('New Resources - Individual'!$F$6:$Y$6,W$6,'New Resources - Individual'!$F39:$Y39)</f>
        <v>0</v>
      </c>
      <c r="X39" s="670">
        <f>SUMIF('New Resources - Individual'!$F$6:$Y$6,X$6,'New Resources - Individual'!$F39:$Y39)</f>
        <v>0</v>
      </c>
      <c r="Y39" s="791">
        <f>SUMIF('New Resources - Individual'!$F$6:$Y$6,Y$6,'New Resources - Individual'!$F39:$Y39)</f>
        <v>0</v>
      </c>
      <c r="Z39" s="632"/>
      <c r="AA39" s="632"/>
      <c r="AB39" s="632"/>
      <c r="AC39" s="632"/>
      <c r="AD39" s="632"/>
      <c r="AE39" s="632"/>
      <c r="AF39" s="632"/>
      <c r="AG39" s="659"/>
      <c r="AH39" s="659"/>
    </row>
    <row r="40" spans="1:34" x14ac:dyDescent="0.25">
      <c r="A40" s="641">
        <v>430</v>
      </c>
      <c r="B40" s="795" t="s">
        <v>167</v>
      </c>
      <c r="C40" s="644">
        <v>924</v>
      </c>
      <c r="D40" s="644"/>
      <c r="E40" s="650"/>
      <c r="F40" s="669">
        <f>SUMIF('New Resources - Individual'!$F$6:$Y$6,F$6,'New Resources - Individual'!$F40:$Y40)</f>
        <v>0</v>
      </c>
      <c r="G40" s="669">
        <f>SUMIF('New Resources - Individual'!$F$6:$Y$6,G$6,'New Resources - Individual'!$F40:$Y40)</f>
        <v>0</v>
      </c>
      <c r="H40" s="670">
        <f>SUMIF('New Resources - Individual'!$F$6:$Y$6,H$6,'New Resources - Individual'!$F40:$Y40)</f>
        <v>0</v>
      </c>
      <c r="I40" s="669">
        <f>SUMIF('New Resources - Individual'!$F$6:$Y$6,I$6,'New Resources - Individual'!$F40:$Y40)</f>
        <v>0</v>
      </c>
      <c r="J40" s="670">
        <f>SUMIF('New Resources - Individual'!$F$6:$Y$6,J$6,'New Resources - Individual'!$F40:$Y40)</f>
        <v>0</v>
      </c>
      <c r="K40" s="670">
        <f>SUMIF('New Resources - Individual'!$F$6:$Y$6,K$6,'New Resources - Individual'!$F40:$Y40)</f>
        <v>0</v>
      </c>
      <c r="L40" s="670">
        <f>SUMIF('New Resources - Individual'!$F$6:$Y$6,L$6,'New Resources - Individual'!$F40:$Y40)</f>
        <v>0</v>
      </c>
      <c r="M40" s="670">
        <f>SUMIF('New Resources - Individual'!$F$6:$Y$6,M$6,'New Resources - Individual'!$F40:$Y40)</f>
        <v>0</v>
      </c>
      <c r="N40" s="670">
        <f>SUMIF('New Resources - Individual'!$F$6:$Y$6,N$6,'New Resources - Individual'!$F40:$Y40)</f>
        <v>0</v>
      </c>
      <c r="O40" s="670">
        <f>SUMIF('New Resources - Individual'!$F$6:$Y$6,O$6,'New Resources - Individual'!$F40:$Y40)</f>
        <v>0</v>
      </c>
      <c r="P40" s="670">
        <f>SUMIF('New Resources - Individual'!$F$6:$Y$6,P$6,'New Resources - Individual'!$F40:$Y40)</f>
        <v>0</v>
      </c>
      <c r="Q40" s="670">
        <f>SUMIF('New Resources - Individual'!$F$6:$Y$6,Q$6,'New Resources - Individual'!$F40:$Y40)</f>
        <v>0</v>
      </c>
      <c r="R40" s="670">
        <f>SUMIF('New Resources - Individual'!$F$6:$Y$6,R$6,'New Resources - Individual'!$F40:$Y40)</f>
        <v>0</v>
      </c>
      <c r="S40" s="670">
        <f>SUMIF('New Resources - Individual'!$F$6:$Y$6,S$6,'New Resources - Individual'!$F40:$Y40)</f>
        <v>0</v>
      </c>
      <c r="T40" s="670">
        <f>SUMIF('New Resources - Individual'!$F$6:$Y$6,T$6,'New Resources - Individual'!$F40:$Y40)</f>
        <v>0</v>
      </c>
      <c r="U40" s="670">
        <f>SUMIF('New Resources - Individual'!$F$6:$Y$6,U$6,'New Resources - Individual'!$F40:$Y40)</f>
        <v>0</v>
      </c>
      <c r="V40" s="670">
        <f>SUMIF('New Resources - Individual'!$F$6:$Y$6,V$6,'New Resources - Individual'!$F40:$Y40)</f>
        <v>0</v>
      </c>
      <c r="W40" s="670">
        <f>SUMIF('New Resources - Individual'!$F$6:$Y$6,W$6,'New Resources - Individual'!$F40:$Y40)</f>
        <v>0</v>
      </c>
      <c r="X40" s="670">
        <f>SUMIF('New Resources - Individual'!$F$6:$Y$6,X$6,'New Resources - Individual'!$F40:$Y40)</f>
        <v>0</v>
      </c>
      <c r="Y40" s="791">
        <f>SUMIF('New Resources - Individual'!$F$6:$Y$6,Y$6,'New Resources - Individual'!$F40:$Y40)</f>
        <v>0</v>
      </c>
      <c r="Z40" s="632"/>
      <c r="AA40" s="632"/>
      <c r="AB40" s="632"/>
      <c r="AC40" s="632"/>
      <c r="AD40" s="632"/>
      <c r="AE40" s="632"/>
      <c r="AF40" s="632"/>
      <c r="AG40" s="659"/>
      <c r="AH40" s="659"/>
    </row>
    <row r="41" spans="1:34" x14ac:dyDescent="0.25">
      <c r="A41" s="641">
        <v>520</v>
      </c>
      <c r="B41" s="790" t="s">
        <v>597</v>
      </c>
      <c r="C41" s="644">
        <v>447</v>
      </c>
      <c r="D41" s="644" t="s">
        <v>598</v>
      </c>
      <c r="E41" s="645"/>
      <c r="F41" s="669">
        <f>SUMIF('New Resources - Individual'!$F$6:$Y$6,F$6,'New Resources - Individual'!$F41:$Y41)</f>
        <v>0</v>
      </c>
      <c r="G41" s="669">
        <f>SUMIF('New Resources - Individual'!$F$6:$Y$6,G$6,'New Resources - Individual'!$F41:$Y41)</f>
        <v>0</v>
      </c>
      <c r="H41" s="670">
        <f>SUMIF('New Resources - Individual'!$F$6:$Y$6,H$6,'New Resources - Individual'!$F41:$Y41)</f>
        <v>0</v>
      </c>
      <c r="I41" s="669">
        <f>SUMIF('New Resources - Individual'!$F$6:$Y$6,I$6,'New Resources - Individual'!$F41:$Y41)</f>
        <v>0</v>
      </c>
      <c r="J41" s="670">
        <f>SUMIF('New Resources - Individual'!$F$6:$Y$6,J$6,'New Resources - Individual'!$F41:$Y41)</f>
        <v>0</v>
      </c>
      <c r="K41" s="670">
        <f>SUMIF('New Resources - Individual'!$F$6:$Y$6,K$6,'New Resources - Individual'!$F41:$Y41)</f>
        <v>0</v>
      </c>
      <c r="L41" s="670">
        <f>SUMIF('New Resources - Individual'!$F$6:$Y$6,L$6,'New Resources - Individual'!$F41:$Y41)</f>
        <v>0</v>
      </c>
      <c r="M41" s="670">
        <f>SUMIF('New Resources - Individual'!$F$6:$Y$6,M$6,'New Resources - Individual'!$F41:$Y41)</f>
        <v>0</v>
      </c>
      <c r="N41" s="670">
        <f>SUMIF('New Resources - Individual'!$F$6:$Y$6,N$6,'New Resources - Individual'!$F41:$Y41)</f>
        <v>0</v>
      </c>
      <c r="O41" s="670">
        <f>SUMIF('New Resources - Individual'!$F$6:$Y$6,O$6,'New Resources - Individual'!$F41:$Y41)</f>
        <v>0</v>
      </c>
      <c r="P41" s="670">
        <f>SUMIF('New Resources - Individual'!$F$6:$Y$6,P$6,'New Resources - Individual'!$F41:$Y41)</f>
        <v>0</v>
      </c>
      <c r="Q41" s="670">
        <f>SUMIF('New Resources - Individual'!$F$6:$Y$6,Q$6,'New Resources - Individual'!$F41:$Y41)</f>
        <v>0</v>
      </c>
      <c r="R41" s="670">
        <f>SUMIF('New Resources - Individual'!$F$6:$Y$6,R$6,'New Resources - Individual'!$F41:$Y41)</f>
        <v>0</v>
      </c>
      <c r="S41" s="670">
        <f>SUMIF('New Resources - Individual'!$F$6:$Y$6,S$6,'New Resources - Individual'!$F41:$Y41)</f>
        <v>0</v>
      </c>
      <c r="T41" s="670">
        <f>SUMIF('New Resources - Individual'!$F$6:$Y$6,T$6,'New Resources - Individual'!$F41:$Y41)</f>
        <v>0</v>
      </c>
      <c r="U41" s="670">
        <f>SUMIF('New Resources - Individual'!$F$6:$Y$6,U$6,'New Resources - Individual'!$F41:$Y41)</f>
        <v>0</v>
      </c>
      <c r="V41" s="670">
        <f>SUMIF('New Resources - Individual'!$F$6:$Y$6,V$6,'New Resources - Individual'!$F41:$Y41)</f>
        <v>0</v>
      </c>
      <c r="W41" s="670">
        <f>SUMIF('New Resources - Individual'!$F$6:$Y$6,W$6,'New Resources - Individual'!$F41:$Y41)</f>
        <v>0</v>
      </c>
      <c r="X41" s="670">
        <f>SUMIF('New Resources - Individual'!$F$6:$Y$6,X$6,'New Resources - Individual'!$F41:$Y41)</f>
        <v>0</v>
      </c>
      <c r="Y41" s="791">
        <f>SUMIF('New Resources - Individual'!$F$6:$Y$6,Y$6,'New Resources - Individual'!$F41:$Y41)</f>
        <v>0</v>
      </c>
      <c r="Z41" s="632"/>
      <c r="AA41" s="632"/>
      <c r="AB41" s="632"/>
      <c r="AC41" s="632"/>
      <c r="AD41" s="632"/>
      <c r="AE41" s="632"/>
      <c r="AF41" s="632"/>
      <c r="AG41" s="659"/>
      <c r="AH41" s="659"/>
    </row>
    <row r="42" spans="1:34" x14ac:dyDescent="0.25">
      <c r="A42" s="641">
        <v>530</v>
      </c>
      <c r="B42" s="792" t="s">
        <v>599</v>
      </c>
      <c r="C42" s="646"/>
      <c r="D42" s="644" t="s">
        <v>598</v>
      </c>
      <c r="E42" s="645"/>
      <c r="F42" s="669">
        <f>SUMIF('New Resources - Individual'!$F$6:$Y$6,F$6,'New Resources - Individual'!$F42:$Y42)</f>
        <v>0</v>
      </c>
      <c r="G42" s="669">
        <f>SUMIF('New Resources - Individual'!$F$6:$Y$6,G$6,'New Resources - Individual'!$F42:$Y42)</f>
        <v>0</v>
      </c>
      <c r="H42" s="670">
        <f>SUMIF('New Resources - Individual'!$F$6:$Y$6,H$6,'New Resources - Individual'!$F42:$Y42)</f>
        <v>0</v>
      </c>
      <c r="I42" s="669">
        <f>SUMIF('New Resources - Individual'!$F$6:$Y$6,I$6,'New Resources - Individual'!$F42:$Y42)</f>
        <v>0</v>
      </c>
      <c r="J42" s="670">
        <f>SUMIF('New Resources - Individual'!$F$6:$Y$6,J$6,'New Resources - Individual'!$F42:$Y42)</f>
        <v>0</v>
      </c>
      <c r="K42" s="670">
        <f>SUMIF('New Resources - Individual'!$F$6:$Y$6,K$6,'New Resources - Individual'!$F42:$Y42)</f>
        <v>0</v>
      </c>
      <c r="L42" s="670">
        <f>SUMIF('New Resources - Individual'!$F$6:$Y$6,L$6,'New Resources - Individual'!$F42:$Y42)</f>
        <v>0</v>
      </c>
      <c r="M42" s="670">
        <f>SUMIF('New Resources - Individual'!$F$6:$Y$6,M$6,'New Resources - Individual'!$F42:$Y42)</f>
        <v>0</v>
      </c>
      <c r="N42" s="670">
        <f>SUMIF('New Resources - Individual'!$F$6:$Y$6,N$6,'New Resources - Individual'!$F42:$Y42)</f>
        <v>0</v>
      </c>
      <c r="O42" s="670">
        <f>SUMIF('New Resources - Individual'!$F$6:$Y$6,O$6,'New Resources - Individual'!$F42:$Y42)</f>
        <v>0</v>
      </c>
      <c r="P42" s="670">
        <f>SUMIF('New Resources - Individual'!$F$6:$Y$6,P$6,'New Resources - Individual'!$F42:$Y42)</f>
        <v>0</v>
      </c>
      <c r="Q42" s="670">
        <f>SUMIF('New Resources - Individual'!$F$6:$Y$6,Q$6,'New Resources - Individual'!$F42:$Y42)</f>
        <v>0</v>
      </c>
      <c r="R42" s="670">
        <f>SUMIF('New Resources - Individual'!$F$6:$Y$6,R$6,'New Resources - Individual'!$F42:$Y42)</f>
        <v>0</v>
      </c>
      <c r="S42" s="670">
        <f>SUMIF('New Resources - Individual'!$F$6:$Y$6,S$6,'New Resources - Individual'!$F42:$Y42)</f>
        <v>0</v>
      </c>
      <c r="T42" s="670">
        <f>SUMIF('New Resources - Individual'!$F$6:$Y$6,T$6,'New Resources - Individual'!$F42:$Y42)</f>
        <v>0</v>
      </c>
      <c r="U42" s="670">
        <f>SUMIF('New Resources - Individual'!$F$6:$Y$6,U$6,'New Resources - Individual'!$F42:$Y42)</f>
        <v>0</v>
      </c>
      <c r="V42" s="670">
        <f>SUMIF('New Resources - Individual'!$F$6:$Y$6,V$6,'New Resources - Individual'!$F42:$Y42)</f>
        <v>0</v>
      </c>
      <c r="W42" s="670">
        <f>SUMIF('New Resources - Individual'!$F$6:$Y$6,W$6,'New Resources - Individual'!$F42:$Y42)</f>
        <v>0</v>
      </c>
      <c r="X42" s="670">
        <f>SUMIF('New Resources - Individual'!$F$6:$Y$6,X$6,'New Resources - Individual'!$F42:$Y42)</f>
        <v>0</v>
      </c>
      <c r="Y42" s="791">
        <f>SUMIF('New Resources - Individual'!$F$6:$Y$6,Y$6,'New Resources - Individual'!$F42:$Y42)</f>
        <v>0</v>
      </c>
      <c r="Z42" s="632"/>
      <c r="AA42" s="632"/>
      <c r="AB42" s="632"/>
      <c r="AC42" s="632"/>
      <c r="AD42" s="632"/>
      <c r="AE42" s="632"/>
      <c r="AF42" s="632"/>
      <c r="AG42" s="659"/>
      <c r="AH42" s="659"/>
    </row>
    <row r="43" spans="1:34" x14ac:dyDescent="0.25">
      <c r="A43" s="641">
        <v>540</v>
      </c>
      <c r="B43" s="790" t="s">
        <v>600</v>
      </c>
      <c r="C43" s="644"/>
      <c r="D43" s="644" t="s">
        <v>598</v>
      </c>
      <c r="E43" s="645"/>
      <c r="F43" s="669">
        <f>SUMIF('New Resources - Individual'!$F$6:$Y$6,F$6,'New Resources - Individual'!$F43:$Y43)</f>
        <v>0</v>
      </c>
      <c r="G43" s="669">
        <f>SUMIF('New Resources - Individual'!$F$6:$Y$6,G$6,'New Resources - Individual'!$F43:$Y43)</f>
        <v>0</v>
      </c>
      <c r="H43" s="670">
        <f>SUMIF('New Resources - Individual'!$F$6:$Y$6,H$6,'New Resources - Individual'!$F43:$Y43)</f>
        <v>0</v>
      </c>
      <c r="I43" s="669">
        <f>SUMIF('New Resources - Individual'!$F$6:$Y$6,I$6,'New Resources - Individual'!$F43:$Y43)</f>
        <v>0</v>
      </c>
      <c r="J43" s="670">
        <f>SUMIF('New Resources - Individual'!$F$6:$Y$6,J$6,'New Resources - Individual'!$F43:$Y43)</f>
        <v>0</v>
      </c>
      <c r="K43" s="670">
        <f>SUMIF('New Resources - Individual'!$F$6:$Y$6,K$6,'New Resources - Individual'!$F43:$Y43)</f>
        <v>0</v>
      </c>
      <c r="L43" s="670">
        <f>SUMIF('New Resources - Individual'!$F$6:$Y$6,L$6,'New Resources - Individual'!$F43:$Y43)</f>
        <v>0</v>
      </c>
      <c r="M43" s="670">
        <f>SUMIF('New Resources - Individual'!$F$6:$Y$6,M$6,'New Resources - Individual'!$F43:$Y43)</f>
        <v>0</v>
      </c>
      <c r="N43" s="670">
        <f>SUMIF('New Resources - Individual'!$F$6:$Y$6,N$6,'New Resources - Individual'!$F43:$Y43)</f>
        <v>0</v>
      </c>
      <c r="O43" s="670">
        <f>SUMIF('New Resources - Individual'!$F$6:$Y$6,O$6,'New Resources - Individual'!$F43:$Y43)</f>
        <v>0</v>
      </c>
      <c r="P43" s="670">
        <f>SUMIF('New Resources - Individual'!$F$6:$Y$6,P$6,'New Resources - Individual'!$F43:$Y43)</f>
        <v>0</v>
      </c>
      <c r="Q43" s="670">
        <f>SUMIF('New Resources - Individual'!$F$6:$Y$6,Q$6,'New Resources - Individual'!$F43:$Y43)</f>
        <v>0</v>
      </c>
      <c r="R43" s="670">
        <f>SUMIF('New Resources - Individual'!$F$6:$Y$6,R$6,'New Resources - Individual'!$F43:$Y43)</f>
        <v>0</v>
      </c>
      <c r="S43" s="670">
        <f>SUMIF('New Resources - Individual'!$F$6:$Y$6,S$6,'New Resources - Individual'!$F43:$Y43)</f>
        <v>0</v>
      </c>
      <c r="T43" s="670">
        <f>SUMIF('New Resources - Individual'!$F$6:$Y$6,T$6,'New Resources - Individual'!$F43:$Y43)</f>
        <v>0</v>
      </c>
      <c r="U43" s="670">
        <f>SUMIF('New Resources - Individual'!$F$6:$Y$6,U$6,'New Resources - Individual'!$F43:$Y43)</f>
        <v>0</v>
      </c>
      <c r="V43" s="670">
        <f>SUMIF('New Resources - Individual'!$F$6:$Y$6,V$6,'New Resources - Individual'!$F43:$Y43)</f>
        <v>0</v>
      </c>
      <c r="W43" s="670">
        <f>SUMIF('New Resources - Individual'!$F$6:$Y$6,W$6,'New Resources - Individual'!$F43:$Y43)</f>
        <v>0</v>
      </c>
      <c r="X43" s="670">
        <f>SUMIF('New Resources - Individual'!$F$6:$Y$6,X$6,'New Resources - Individual'!$F43:$Y43)</f>
        <v>0</v>
      </c>
      <c r="Y43" s="791">
        <f>SUMIF('New Resources - Individual'!$F$6:$Y$6,Y$6,'New Resources - Individual'!$F43:$Y43)</f>
        <v>0</v>
      </c>
      <c r="Z43" s="632"/>
      <c r="AA43" s="632"/>
      <c r="AB43" s="632"/>
      <c r="AC43" s="632"/>
      <c r="AD43" s="632"/>
      <c r="AE43" s="632"/>
      <c r="AF43" s="632"/>
      <c r="AG43" s="659"/>
      <c r="AH43" s="659"/>
    </row>
    <row r="44" spans="1:34" x14ac:dyDescent="0.25">
      <c r="A44" s="641">
        <v>440</v>
      </c>
      <c r="B44" s="797" t="s">
        <v>595</v>
      </c>
      <c r="C44" s="647"/>
      <c r="D44" s="647"/>
      <c r="E44" s="648"/>
      <c r="F44" s="672"/>
      <c r="G44" s="672"/>
      <c r="H44" s="672"/>
      <c r="I44" s="672"/>
      <c r="J44" s="672"/>
      <c r="K44" s="672"/>
      <c r="L44" s="672"/>
      <c r="M44" s="672"/>
      <c r="N44" s="672"/>
      <c r="O44" s="672"/>
      <c r="P44" s="672"/>
      <c r="Q44" s="672"/>
      <c r="R44" s="672"/>
      <c r="S44" s="672"/>
      <c r="T44" s="672"/>
      <c r="U44" s="672"/>
      <c r="V44" s="672"/>
      <c r="W44" s="672"/>
      <c r="X44" s="672"/>
      <c r="Y44" s="794"/>
      <c r="Z44" s="632"/>
      <c r="AA44" s="632"/>
      <c r="AB44" s="632"/>
      <c r="AC44" s="632"/>
      <c r="AD44" s="632"/>
      <c r="AE44" s="632"/>
      <c r="AF44" s="632"/>
      <c r="AG44" s="659"/>
      <c r="AH44" s="659"/>
    </row>
    <row r="45" spans="1:34" x14ac:dyDescent="0.25">
      <c r="A45" s="641">
        <v>450</v>
      </c>
      <c r="B45" s="795" t="s">
        <v>608</v>
      </c>
      <c r="C45" s="644">
        <v>403</v>
      </c>
      <c r="D45" s="644"/>
      <c r="E45" s="650"/>
      <c r="F45" s="669">
        <f>SUMIF('New Resources - Individual'!$F$6:$Y$6,F$6,'New Resources - Individual'!$F45:$Y45)</f>
        <v>0</v>
      </c>
      <c r="G45" s="669">
        <f>SUMIF('New Resources - Individual'!$F$6:$Y$6,G$6,'New Resources - Individual'!$F45:$Y45)</f>
        <v>0</v>
      </c>
      <c r="H45" s="670">
        <f>SUMIF('New Resources - Individual'!$F$6:$Y$6,H$6,'New Resources - Individual'!$F45:$Y45)</f>
        <v>0</v>
      </c>
      <c r="I45" s="669">
        <f>SUMIF('New Resources - Individual'!$F$6:$Y$6,I$6,'New Resources - Individual'!$F45:$Y45)</f>
        <v>0</v>
      </c>
      <c r="J45" s="670">
        <f>SUMIF('New Resources - Individual'!$F$6:$Y$6,J$6,'New Resources - Individual'!$F45:$Y45)</f>
        <v>0</v>
      </c>
      <c r="K45" s="670">
        <f>SUMIF('New Resources - Individual'!$F$6:$Y$6,K$6,'New Resources - Individual'!$F45:$Y45)</f>
        <v>0</v>
      </c>
      <c r="L45" s="670">
        <f>SUMIF('New Resources - Individual'!$F$6:$Y$6,L$6,'New Resources - Individual'!$F45:$Y45)</f>
        <v>0</v>
      </c>
      <c r="M45" s="670">
        <f>SUMIF('New Resources - Individual'!$F$6:$Y$6,M$6,'New Resources - Individual'!$F45:$Y45)</f>
        <v>0</v>
      </c>
      <c r="N45" s="670">
        <f>SUMIF('New Resources - Individual'!$F$6:$Y$6,N$6,'New Resources - Individual'!$F45:$Y45)</f>
        <v>0</v>
      </c>
      <c r="O45" s="670">
        <f>SUMIF('New Resources - Individual'!$F$6:$Y$6,O$6,'New Resources - Individual'!$F45:$Y45)</f>
        <v>0</v>
      </c>
      <c r="P45" s="670">
        <f>SUMIF('New Resources - Individual'!$F$6:$Y$6,P$6,'New Resources - Individual'!$F45:$Y45)</f>
        <v>0</v>
      </c>
      <c r="Q45" s="670">
        <f>SUMIF('New Resources - Individual'!$F$6:$Y$6,Q$6,'New Resources - Individual'!$F45:$Y45)</f>
        <v>0</v>
      </c>
      <c r="R45" s="670">
        <f>SUMIF('New Resources - Individual'!$F$6:$Y$6,R$6,'New Resources - Individual'!$F45:$Y45)</f>
        <v>0</v>
      </c>
      <c r="S45" s="670">
        <f>SUMIF('New Resources - Individual'!$F$6:$Y$6,S$6,'New Resources - Individual'!$F45:$Y45)</f>
        <v>0</v>
      </c>
      <c r="T45" s="670">
        <f>SUMIF('New Resources - Individual'!$F$6:$Y$6,T$6,'New Resources - Individual'!$F45:$Y45)</f>
        <v>0</v>
      </c>
      <c r="U45" s="670">
        <f>SUMIF('New Resources - Individual'!$F$6:$Y$6,U$6,'New Resources - Individual'!$F45:$Y45)</f>
        <v>0</v>
      </c>
      <c r="V45" s="670">
        <f>SUMIF('New Resources - Individual'!$F$6:$Y$6,V$6,'New Resources - Individual'!$F45:$Y45)</f>
        <v>0</v>
      </c>
      <c r="W45" s="670">
        <f>SUMIF('New Resources - Individual'!$F$6:$Y$6,W$6,'New Resources - Individual'!$F45:$Y45)</f>
        <v>0</v>
      </c>
      <c r="X45" s="670">
        <f>SUMIF('New Resources - Individual'!$F$6:$Y$6,X$6,'New Resources - Individual'!$F45:$Y45)</f>
        <v>0</v>
      </c>
      <c r="Y45" s="791">
        <f>SUMIF('New Resources - Individual'!$F$6:$Y$6,Y$6,'New Resources - Individual'!$F45:$Y45)</f>
        <v>0</v>
      </c>
      <c r="Z45" s="632"/>
      <c r="AA45" s="632"/>
      <c r="AB45" s="632"/>
      <c r="AC45" s="632"/>
      <c r="AD45" s="632"/>
      <c r="AE45" s="632"/>
      <c r="AF45" s="632"/>
      <c r="AG45" s="659"/>
      <c r="AH45" s="659"/>
    </row>
    <row r="46" spans="1:34" x14ac:dyDescent="0.25">
      <c r="A46" s="641">
        <v>460</v>
      </c>
      <c r="B46" s="795" t="s">
        <v>609</v>
      </c>
      <c r="C46" s="646">
        <v>403</v>
      </c>
      <c r="D46" s="646"/>
      <c r="E46" s="650"/>
      <c r="F46" s="669">
        <f>SUMIF('New Resources - Individual'!$F$6:$Y$6,F$6,'New Resources - Individual'!$F46:$Y46)</f>
        <v>0</v>
      </c>
      <c r="G46" s="669">
        <f>SUMIF('New Resources - Individual'!$F$6:$Y$6,G$6,'New Resources - Individual'!$F46:$Y46)</f>
        <v>0</v>
      </c>
      <c r="H46" s="670">
        <f>SUMIF('New Resources - Individual'!$F$6:$Y$6,H$6,'New Resources - Individual'!$F46:$Y46)</f>
        <v>0</v>
      </c>
      <c r="I46" s="669">
        <f>SUMIF('New Resources - Individual'!$F$6:$Y$6,I$6,'New Resources - Individual'!$F46:$Y46)</f>
        <v>0</v>
      </c>
      <c r="J46" s="670">
        <f>SUMIF('New Resources - Individual'!$F$6:$Y$6,J$6,'New Resources - Individual'!$F46:$Y46)</f>
        <v>0</v>
      </c>
      <c r="K46" s="670">
        <f>SUMIF('New Resources - Individual'!$F$6:$Y$6,K$6,'New Resources - Individual'!$F46:$Y46)</f>
        <v>0</v>
      </c>
      <c r="L46" s="670">
        <f>SUMIF('New Resources - Individual'!$F$6:$Y$6,L$6,'New Resources - Individual'!$F46:$Y46)</f>
        <v>0</v>
      </c>
      <c r="M46" s="670">
        <f>SUMIF('New Resources - Individual'!$F$6:$Y$6,M$6,'New Resources - Individual'!$F46:$Y46)</f>
        <v>0</v>
      </c>
      <c r="N46" s="670">
        <f>SUMIF('New Resources - Individual'!$F$6:$Y$6,N$6,'New Resources - Individual'!$F46:$Y46)</f>
        <v>0</v>
      </c>
      <c r="O46" s="670">
        <f>SUMIF('New Resources - Individual'!$F$6:$Y$6,O$6,'New Resources - Individual'!$F46:$Y46)</f>
        <v>0</v>
      </c>
      <c r="P46" s="670">
        <f>SUMIF('New Resources - Individual'!$F$6:$Y$6,P$6,'New Resources - Individual'!$F46:$Y46)</f>
        <v>0</v>
      </c>
      <c r="Q46" s="670">
        <f>SUMIF('New Resources - Individual'!$F$6:$Y$6,Q$6,'New Resources - Individual'!$F46:$Y46)</f>
        <v>0</v>
      </c>
      <c r="R46" s="670">
        <f>SUMIF('New Resources - Individual'!$F$6:$Y$6,R$6,'New Resources - Individual'!$F46:$Y46)</f>
        <v>0</v>
      </c>
      <c r="S46" s="670">
        <f>SUMIF('New Resources - Individual'!$F$6:$Y$6,S$6,'New Resources - Individual'!$F46:$Y46)</f>
        <v>0</v>
      </c>
      <c r="T46" s="670">
        <f>SUMIF('New Resources - Individual'!$F$6:$Y$6,T$6,'New Resources - Individual'!$F46:$Y46)</f>
        <v>0</v>
      </c>
      <c r="U46" s="670">
        <f>SUMIF('New Resources - Individual'!$F$6:$Y$6,U$6,'New Resources - Individual'!$F46:$Y46)</f>
        <v>0</v>
      </c>
      <c r="V46" s="670">
        <f>SUMIF('New Resources - Individual'!$F$6:$Y$6,V$6,'New Resources - Individual'!$F46:$Y46)</f>
        <v>0</v>
      </c>
      <c r="W46" s="670">
        <f>SUMIF('New Resources - Individual'!$F$6:$Y$6,W$6,'New Resources - Individual'!$F46:$Y46)</f>
        <v>0</v>
      </c>
      <c r="X46" s="670">
        <f>SUMIF('New Resources - Individual'!$F$6:$Y$6,X$6,'New Resources - Individual'!$F46:$Y46)</f>
        <v>0</v>
      </c>
      <c r="Y46" s="791">
        <f>SUMIF('New Resources - Individual'!$F$6:$Y$6,Y$6,'New Resources - Individual'!$F46:$Y46)</f>
        <v>0</v>
      </c>
      <c r="Z46" s="632"/>
      <c r="AA46" s="632"/>
      <c r="AB46" s="632"/>
      <c r="AC46" s="632"/>
      <c r="AD46" s="632"/>
      <c r="AE46" s="632"/>
      <c r="AF46" s="632"/>
      <c r="AG46" s="659"/>
      <c r="AH46" s="659"/>
    </row>
    <row r="47" spans="1:34" x14ac:dyDescent="0.25">
      <c r="A47" s="641">
        <v>470</v>
      </c>
      <c r="B47" s="793" t="s">
        <v>137</v>
      </c>
      <c r="C47" s="647"/>
      <c r="D47" s="647"/>
      <c r="E47" s="648"/>
      <c r="F47" s="672"/>
      <c r="G47" s="672"/>
      <c r="H47" s="672"/>
      <c r="I47" s="672"/>
      <c r="J47" s="672"/>
      <c r="K47" s="672"/>
      <c r="L47" s="672"/>
      <c r="M47" s="672"/>
      <c r="N47" s="672"/>
      <c r="O47" s="672"/>
      <c r="P47" s="672"/>
      <c r="Q47" s="672"/>
      <c r="R47" s="672"/>
      <c r="S47" s="672"/>
      <c r="T47" s="672"/>
      <c r="U47" s="672"/>
      <c r="V47" s="672"/>
      <c r="W47" s="672"/>
      <c r="X47" s="672"/>
      <c r="Y47" s="794"/>
      <c r="Z47" s="632"/>
      <c r="AA47" s="632"/>
      <c r="AB47" s="632"/>
      <c r="AC47" s="632"/>
      <c r="AD47" s="632"/>
      <c r="AE47" s="632"/>
      <c r="AF47" s="632"/>
      <c r="AG47" s="659"/>
      <c r="AH47" s="659"/>
    </row>
    <row r="48" spans="1:34" x14ac:dyDescent="0.25">
      <c r="A48" s="641">
        <v>480</v>
      </c>
      <c r="B48" s="790" t="s">
        <v>117</v>
      </c>
      <c r="C48" s="646" t="s">
        <v>118</v>
      </c>
      <c r="D48" s="646"/>
      <c r="E48" s="645"/>
      <c r="F48" s="669">
        <f>SUMIF('New Resources - Individual'!$F$6:$Y$6,F$6,'New Resources - Individual'!$F48:$Y48)</f>
        <v>0</v>
      </c>
      <c r="G48" s="669">
        <f>SUMIF('New Resources - Individual'!$F$6:$Y$6,G$6,'New Resources - Individual'!$F48:$Y48)</f>
        <v>0</v>
      </c>
      <c r="H48" s="670">
        <f>SUMIF('New Resources - Individual'!$F$6:$Y$6,H$6,'New Resources - Individual'!$F48:$Y48)</f>
        <v>0</v>
      </c>
      <c r="I48" s="669">
        <f>SUMIF('New Resources - Individual'!$F$6:$Y$6,I$6,'New Resources - Individual'!$F48:$Y48)</f>
        <v>0</v>
      </c>
      <c r="J48" s="670">
        <f>SUMIF('New Resources - Individual'!$F$6:$Y$6,J$6,'New Resources - Individual'!$F48:$Y48)</f>
        <v>0</v>
      </c>
      <c r="K48" s="670">
        <f>SUMIF('New Resources - Individual'!$F$6:$Y$6,K$6,'New Resources - Individual'!$F48:$Y48)</f>
        <v>0</v>
      </c>
      <c r="L48" s="669">
        <f>SUMIF('New Resources - Individual'!$F$6:$Y$6,L$6,'New Resources - Individual'!$F48:$Y48)</f>
        <v>0</v>
      </c>
      <c r="M48" s="670">
        <f>SUMIF('New Resources - Individual'!$F$6:$Y$6,M$6,'New Resources - Individual'!$F48:$Y48)</f>
        <v>0</v>
      </c>
      <c r="N48" s="669">
        <f>SUMIF('New Resources - Individual'!$F$6:$Y$6,N$6,'New Resources - Individual'!$F48:$Y48)</f>
        <v>0</v>
      </c>
      <c r="O48" s="669">
        <f>SUMIF('New Resources - Individual'!$F$6:$Y$6,O$6,'New Resources - Individual'!$F48:$Y48)</f>
        <v>0</v>
      </c>
      <c r="P48" s="669">
        <f>SUMIF('New Resources - Individual'!$F$6:$Y$6,P$6,'New Resources - Individual'!$F48:$Y48)</f>
        <v>0</v>
      </c>
      <c r="Q48" s="669">
        <f>SUMIF('New Resources - Individual'!$F$6:$Y$6,Q$6,'New Resources - Individual'!$F48:$Y48)</f>
        <v>0</v>
      </c>
      <c r="R48" s="670">
        <f>SUMIF('New Resources - Individual'!$F$6:$Y$6,R$6,'New Resources - Individual'!$F48:$Y48)</f>
        <v>0</v>
      </c>
      <c r="S48" s="670">
        <f>SUMIF('New Resources - Individual'!$F$6:$Y$6,S$6,'New Resources - Individual'!$F48:$Y48)</f>
        <v>0</v>
      </c>
      <c r="T48" s="670">
        <f>SUMIF('New Resources - Individual'!$F$6:$Y$6,T$6,'New Resources - Individual'!$F48:$Y48)</f>
        <v>0</v>
      </c>
      <c r="U48" s="670">
        <f>SUMIF('New Resources - Individual'!$F$6:$Y$6,U$6,'New Resources - Individual'!$F48:$Y48)</f>
        <v>0</v>
      </c>
      <c r="V48" s="670">
        <f>SUMIF('New Resources - Individual'!$F$6:$Y$6,V$6,'New Resources - Individual'!$F48:$Y48)</f>
        <v>0</v>
      </c>
      <c r="W48" s="669">
        <f>SUMIF('New Resources - Individual'!$F$6:$Y$6,W$6,'New Resources - Individual'!$F48:$Y48)</f>
        <v>0</v>
      </c>
      <c r="X48" s="670">
        <f>SUMIF('New Resources - Individual'!$F$6:$Y$6,X$6,'New Resources - Individual'!$F48:$Y48)</f>
        <v>0</v>
      </c>
      <c r="Y48" s="791">
        <f>SUMIF('New Resources - Individual'!$F$6:$Y$6,Y$6,'New Resources - Individual'!$F48:$Y48)</f>
        <v>0</v>
      </c>
      <c r="Z48" s="632"/>
      <c r="AA48" s="632"/>
      <c r="AB48" s="632"/>
      <c r="AC48" s="632"/>
      <c r="AD48" s="632"/>
      <c r="AE48" s="632"/>
      <c r="AF48" s="632"/>
      <c r="AG48" s="659"/>
      <c r="AH48" s="659"/>
    </row>
    <row r="49" spans="1:34" x14ac:dyDescent="0.25">
      <c r="A49" s="641">
        <v>490</v>
      </c>
      <c r="B49" s="790" t="s">
        <v>436</v>
      </c>
      <c r="C49" s="644">
        <v>151</v>
      </c>
      <c r="D49" s="644"/>
      <c r="E49" s="645"/>
      <c r="F49" s="669">
        <f>SUMIF('New Resources - Individual'!$F$6:$Y$6,F$6,'New Resources - Individual'!$F49:$Y49)</f>
        <v>0</v>
      </c>
      <c r="G49" s="669">
        <f>SUMIF('New Resources - Individual'!$F$6:$Y$6,G$6,'New Resources - Individual'!$F49:$Y49)</f>
        <v>0</v>
      </c>
      <c r="H49" s="670">
        <f>SUMIF('New Resources - Individual'!$F$6:$Y$6,H$6,'New Resources - Individual'!$F49:$Y49)</f>
        <v>0</v>
      </c>
      <c r="I49" s="669">
        <f>SUMIF('New Resources - Individual'!$F$6:$Y$6,I$6,'New Resources - Individual'!$F49:$Y49)</f>
        <v>0</v>
      </c>
      <c r="J49" s="670">
        <f>SUMIF('New Resources - Individual'!$F$6:$Y$6,J$6,'New Resources - Individual'!$F49:$Y49)</f>
        <v>0</v>
      </c>
      <c r="K49" s="670">
        <f>SUMIF('New Resources - Individual'!$F$6:$Y$6,K$6,'New Resources - Individual'!$F49:$Y49)</f>
        <v>0</v>
      </c>
      <c r="L49" s="669">
        <f>SUMIF('New Resources - Individual'!$F$6:$Y$6,L$6,'New Resources - Individual'!$F49:$Y49)</f>
        <v>0</v>
      </c>
      <c r="M49" s="670">
        <f>SUMIF('New Resources - Individual'!$F$6:$Y$6,M$6,'New Resources - Individual'!$F49:$Y49)</f>
        <v>0</v>
      </c>
      <c r="N49" s="669">
        <f>SUMIF('New Resources - Individual'!$F$6:$Y$6,N$6,'New Resources - Individual'!$F49:$Y49)</f>
        <v>0</v>
      </c>
      <c r="O49" s="669">
        <f>SUMIF('New Resources - Individual'!$F$6:$Y$6,O$6,'New Resources - Individual'!$F49:$Y49)</f>
        <v>0</v>
      </c>
      <c r="P49" s="669">
        <f>SUMIF('New Resources - Individual'!$F$6:$Y$6,P$6,'New Resources - Individual'!$F49:$Y49)</f>
        <v>0</v>
      </c>
      <c r="Q49" s="669">
        <f>SUMIF('New Resources - Individual'!$F$6:$Y$6,Q$6,'New Resources - Individual'!$F49:$Y49)</f>
        <v>0</v>
      </c>
      <c r="R49" s="670">
        <f>SUMIF('New Resources - Individual'!$F$6:$Y$6,R$6,'New Resources - Individual'!$F49:$Y49)</f>
        <v>0</v>
      </c>
      <c r="S49" s="670">
        <f>SUMIF('New Resources - Individual'!$F$6:$Y$6,S$6,'New Resources - Individual'!$F49:$Y49)</f>
        <v>0</v>
      </c>
      <c r="T49" s="670">
        <f>SUMIF('New Resources - Individual'!$F$6:$Y$6,T$6,'New Resources - Individual'!$F49:$Y49)</f>
        <v>0</v>
      </c>
      <c r="U49" s="670">
        <f>SUMIF('New Resources - Individual'!$F$6:$Y$6,U$6,'New Resources - Individual'!$F49:$Y49)</f>
        <v>0</v>
      </c>
      <c r="V49" s="670">
        <f>SUMIF('New Resources - Individual'!$F$6:$Y$6,V$6,'New Resources - Individual'!$F49:$Y49)</f>
        <v>0</v>
      </c>
      <c r="W49" s="669">
        <f>SUMIF('New Resources - Individual'!$F$6:$Y$6,W$6,'New Resources - Individual'!$F49:$Y49)</f>
        <v>0</v>
      </c>
      <c r="X49" s="670">
        <f>SUMIF('New Resources - Individual'!$F$6:$Y$6,X$6,'New Resources - Individual'!$F49:$Y49)</f>
        <v>0</v>
      </c>
      <c r="Y49" s="791">
        <f>SUMIF('New Resources - Individual'!$F$6:$Y$6,Y$6,'New Resources - Individual'!$F49:$Y49)</f>
        <v>0</v>
      </c>
      <c r="Z49" s="632"/>
      <c r="AA49" s="632"/>
      <c r="AB49" s="632"/>
      <c r="AC49" s="632"/>
      <c r="AD49" s="632"/>
      <c r="AE49" s="632"/>
      <c r="AF49" s="632"/>
      <c r="AG49" s="659"/>
      <c r="AH49" s="659"/>
    </row>
    <row r="50" spans="1:34" x14ac:dyDescent="0.25">
      <c r="A50" s="641">
        <v>500</v>
      </c>
      <c r="B50" s="790" t="s">
        <v>79</v>
      </c>
      <c r="C50" s="646">
        <v>154</v>
      </c>
      <c r="D50" s="646"/>
      <c r="E50" s="645"/>
      <c r="F50" s="669">
        <f>SUMIF('New Resources - Individual'!$F$6:$Y$6,F$6,'New Resources - Individual'!$F50:$Y50)</f>
        <v>0</v>
      </c>
      <c r="G50" s="669">
        <f>SUMIF('New Resources - Individual'!$F$6:$Y$6,G$6,'New Resources - Individual'!$F50:$Y50)</f>
        <v>0</v>
      </c>
      <c r="H50" s="670">
        <f>SUMIF('New Resources - Individual'!$F$6:$Y$6,H$6,'New Resources - Individual'!$F50:$Y50)</f>
        <v>0</v>
      </c>
      <c r="I50" s="669">
        <f>SUMIF('New Resources - Individual'!$F$6:$Y$6,I$6,'New Resources - Individual'!$F50:$Y50)</f>
        <v>0</v>
      </c>
      <c r="J50" s="670">
        <f>SUMIF('New Resources - Individual'!$F$6:$Y$6,J$6,'New Resources - Individual'!$F50:$Y50)</f>
        <v>0</v>
      </c>
      <c r="K50" s="670">
        <f>SUMIF('New Resources - Individual'!$F$6:$Y$6,K$6,'New Resources - Individual'!$F50:$Y50)</f>
        <v>0</v>
      </c>
      <c r="L50" s="669">
        <f>SUMIF('New Resources - Individual'!$F$6:$Y$6,L$6,'New Resources - Individual'!$F50:$Y50)</f>
        <v>0</v>
      </c>
      <c r="M50" s="670">
        <f>SUMIF('New Resources - Individual'!$F$6:$Y$6,M$6,'New Resources - Individual'!$F50:$Y50)</f>
        <v>0</v>
      </c>
      <c r="N50" s="669">
        <f>SUMIF('New Resources - Individual'!$F$6:$Y$6,N$6,'New Resources - Individual'!$F50:$Y50)</f>
        <v>0</v>
      </c>
      <c r="O50" s="669">
        <f>SUMIF('New Resources - Individual'!$F$6:$Y$6,O$6,'New Resources - Individual'!$F50:$Y50)</f>
        <v>0</v>
      </c>
      <c r="P50" s="669">
        <f>SUMIF('New Resources - Individual'!$F$6:$Y$6,P$6,'New Resources - Individual'!$F50:$Y50)</f>
        <v>0</v>
      </c>
      <c r="Q50" s="669">
        <f>SUMIF('New Resources - Individual'!$F$6:$Y$6,Q$6,'New Resources - Individual'!$F50:$Y50)</f>
        <v>0</v>
      </c>
      <c r="R50" s="670">
        <f>SUMIF('New Resources - Individual'!$F$6:$Y$6,R$6,'New Resources - Individual'!$F50:$Y50)</f>
        <v>0</v>
      </c>
      <c r="S50" s="670">
        <f>SUMIF('New Resources - Individual'!$F$6:$Y$6,S$6,'New Resources - Individual'!$F50:$Y50)</f>
        <v>0</v>
      </c>
      <c r="T50" s="670">
        <f>SUMIF('New Resources - Individual'!$F$6:$Y$6,T$6,'New Resources - Individual'!$F50:$Y50)</f>
        <v>0</v>
      </c>
      <c r="U50" s="670">
        <f>SUMIF('New Resources - Individual'!$F$6:$Y$6,U$6,'New Resources - Individual'!$F50:$Y50)</f>
        <v>0</v>
      </c>
      <c r="V50" s="670">
        <f>SUMIF('New Resources - Individual'!$F$6:$Y$6,V$6,'New Resources - Individual'!$F50:$Y50)</f>
        <v>0</v>
      </c>
      <c r="W50" s="669">
        <f>SUMIF('New Resources - Individual'!$F$6:$Y$6,W$6,'New Resources - Individual'!$F50:$Y50)</f>
        <v>0</v>
      </c>
      <c r="X50" s="670">
        <f>SUMIF('New Resources - Individual'!$F$6:$Y$6,X$6,'New Resources - Individual'!$F50:$Y50)</f>
        <v>0</v>
      </c>
      <c r="Y50" s="791">
        <f>SUMIF('New Resources - Individual'!$F$6:$Y$6,Y$6,'New Resources - Individual'!$F50:$Y50)</f>
        <v>0</v>
      </c>
      <c r="Z50" s="632"/>
      <c r="AA50" s="632"/>
      <c r="AB50" s="632"/>
      <c r="AC50" s="632"/>
      <c r="AD50" s="632"/>
      <c r="AE50" s="632"/>
      <c r="AF50" s="632"/>
      <c r="AG50" s="659"/>
      <c r="AH50" s="659"/>
    </row>
    <row r="51" spans="1:34" x14ac:dyDescent="0.25">
      <c r="A51" s="641">
        <v>510</v>
      </c>
      <c r="B51" s="790" t="s">
        <v>591</v>
      </c>
      <c r="C51" s="646" t="s">
        <v>592</v>
      </c>
      <c r="D51" s="646"/>
      <c r="E51" s="645"/>
      <c r="F51" s="669">
        <f>SUMIF('New Resources - Individual'!$F$6:$Y$6,F$6,'New Resources - Individual'!$F51:$Y51)</f>
        <v>0</v>
      </c>
      <c r="G51" s="669">
        <f>SUMIF('New Resources - Individual'!$F$6:$Y$6,G$6,'New Resources - Individual'!$F51:$Y51)</f>
        <v>0</v>
      </c>
      <c r="H51" s="670">
        <f>SUMIF('New Resources - Individual'!$F$6:$Y$6,H$6,'New Resources - Individual'!$F51:$Y51)</f>
        <v>0</v>
      </c>
      <c r="I51" s="669">
        <f>SUMIF('New Resources - Individual'!$F$6:$Y$6,I$6,'New Resources - Individual'!$F51:$Y51)</f>
        <v>0</v>
      </c>
      <c r="J51" s="670">
        <f>SUMIF('New Resources - Individual'!$F$6:$Y$6,J$6,'New Resources - Individual'!$F51:$Y51)</f>
        <v>0</v>
      </c>
      <c r="K51" s="670">
        <f>SUMIF('New Resources - Individual'!$F$6:$Y$6,K$6,'New Resources - Individual'!$F51:$Y51)</f>
        <v>0</v>
      </c>
      <c r="L51" s="669">
        <f>SUMIF('New Resources - Individual'!$F$6:$Y$6,L$6,'New Resources - Individual'!$F51:$Y51)</f>
        <v>0</v>
      </c>
      <c r="M51" s="670">
        <f>SUMIF('New Resources - Individual'!$F$6:$Y$6,M$6,'New Resources - Individual'!$F51:$Y51)</f>
        <v>0</v>
      </c>
      <c r="N51" s="669">
        <f>SUMIF('New Resources - Individual'!$F$6:$Y$6,N$6,'New Resources - Individual'!$F51:$Y51)</f>
        <v>0</v>
      </c>
      <c r="O51" s="669">
        <f>SUMIF('New Resources - Individual'!$F$6:$Y$6,O$6,'New Resources - Individual'!$F51:$Y51)</f>
        <v>0</v>
      </c>
      <c r="P51" s="669">
        <f>SUMIF('New Resources - Individual'!$F$6:$Y$6,P$6,'New Resources - Individual'!$F51:$Y51)</f>
        <v>0</v>
      </c>
      <c r="Q51" s="669">
        <f>SUMIF('New Resources - Individual'!$F$6:$Y$6,Q$6,'New Resources - Individual'!$F51:$Y51)</f>
        <v>0</v>
      </c>
      <c r="R51" s="670">
        <f>SUMIF('New Resources - Individual'!$F$6:$Y$6,R$6,'New Resources - Individual'!$F51:$Y51)</f>
        <v>0</v>
      </c>
      <c r="S51" s="670">
        <f>SUMIF('New Resources - Individual'!$F$6:$Y$6,S$6,'New Resources - Individual'!$F51:$Y51)</f>
        <v>0</v>
      </c>
      <c r="T51" s="670">
        <f>SUMIF('New Resources - Individual'!$F$6:$Y$6,T$6,'New Resources - Individual'!$F51:$Y51)</f>
        <v>0</v>
      </c>
      <c r="U51" s="670">
        <f>SUMIF('New Resources - Individual'!$F$6:$Y$6,U$6,'New Resources - Individual'!$F51:$Y51)</f>
        <v>0</v>
      </c>
      <c r="V51" s="670">
        <f>SUMIF('New Resources - Individual'!$F$6:$Y$6,V$6,'New Resources - Individual'!$F51:$Y51)</f>
        <v>0</v>
      </c>
      <c r="W51" s="669">
        <f>SUMIF('New Resources - Individual'!$F$6:$Y$6,W$6,'New Resources - Individual'!$F51:$Y51)</f>
        <v>0</v>
      </c>
      <c r="X51" s="670">
        <f>SUMIF('New Resources - Individual'!$F$6:$Y$6,X$6,'New Resources - Individual'!$F51:$Y51)</f>
        <v>0</v>
      </c>
      <c r="Y51" s="791">
        <f>SUMIF('New Resources - Individual'!$F$6:$Y$6,Y$6,'New Resources - Individual'!$F51:$Y51)</f>
        <v>0</v>
      </c>
      <c r="Z51" s="632"/>
      <c r="AA51" s="632"/>
      <c r="AB51" s="632"/>
      <c r="AC51" s="632"/>
      <c r="AD51" s="632"/>
      <c r="AE51" s="632"/>
      <c r="AF51" s="632"/>
      <c r="AG51" s="659"/>
      <c r="AH51" s="659"/>
    </row>
    <row r="52" spans="1:34" x14ac:dyDescent="0.25">
      <c r="A52" s="641">
        <v>550</v>
      </c>
      <c r="B52" s="793" t="s">
        <v>610</v>
      </c>
      <c r="C52" s="647"/>
      <c r="D52" s="647"/>
      <c r="E52" s="648"/>
      <c r="F52" s="674"/>
      <c r="G52" s="674"/>
      <c r="H52" s="674"/>
      <c r="I52" s="674"/>
      <c r="J52" s="674"/>
      <c r="K52" s="674"/>
      <c r="L52" s="674"/>
      <c r="M52" s="674"/>
      <c r="N52" s="674"/>
      <c r="O52" s="674"/>
      <c r="P52" s="674"/>
      <c r="Q52" s="674"/>
      <c r="R52" s="674"/>
      <c r="S52" s="674"/>
      <c r="T52" s="674"/>
      <c r="U52" s="674"/>
      <c r="V52" s="674"/>
      <c r="W52" s="674"/>
      <c r="X52" s="674"/>
      <c r="Y52" s="798"/>
      <c r="Z52" s="632"/>
      <c r="AA52" s="632"/>
      <c r="AB52" s="632"/>
      <c r="AC52" s="632"/>
      <c r="AD52" s="632"/>
      <c r="AE52" s="632"/>
      <c r="AF52" s="632"/>
      <c r="AG52" s="659"/>
      <c r="AH52" s="659"/>
    </row>
    <row r="53" spans="1:34" x14ac:dyDescent="0.25">
      <c r="A53" s="641">
        <v>560</v>
      </c>
      <c r="B53" s="790" t="s">
        <v>451</v>
      </c>
      <c r="C53" s="646">
        <v>547</v>
      </c>
      <c r="D53" s="646"/>
      <c r="E53" s="645"/>
      <c r="F53" s="669">
        <f>SUMIF('New Resources - Individual'!$F$6:$Y$6,F$6,'New Resources - Individual'!$F53:$Y53)</f>
        <v>0</v>
      </c>
      <c r="G53" s="669">
        <f>SUMIF('New Resources - Individual'!$F$6:$Y$6,G$6,'New Resources - Individual'!$F53:$Y53)</f>
        <v>0</v>
      </c>
      <c r="H53" s="670">
        <f>SUMIF('New Resources - Individual'!$F$6:$Y$6,H$6,'New Resources - Individual'!$F53:$Y53)</f>
        <v>0</v>
      </c>
      <c r="I53" s="669">
        <f>SUMIF('New Resources - Individual'!$F$6:$Y$6,I$6,'New Resources - Individual'!$F53:$Y53)</f>
        <v>0</v>
      </c>
      <c r="J53" s="670">
        <f>SUMIF('New Resources - Individual'!$F$6:$Y$6,J$6,'New Resources - Individual'!$F53:$Y53)</f>
        <v>0</v>
      </c>
      <c r="K53" s="670">
        <f>SUMIF('New Resources - Individual'!$F$6:$Y$6,K$6,'New Resources - Individual'!$F53:$Y53)</f>
        <v>0</v>
      </c>
      <c r="L53" s="669">
        <f>SUMIF('New Resources - Individual'!$F$6:$Y$6,L$6,'New Resources - Individual'!$F53:$Y53)</f>
        <v>0</v>
      </c>
      <c r="M53" s="670">
        <f>SUMIF('New Resources - Individual'!$F$6:$Y$6,M$6,'New Resources - Individual'!$F53:$Y53)</f>
        <v>0</v>
      </c>
      <c r="N53" s="669">
        <f>SUMIF('New Resources - Individual'!$F$6:$Y$6,N$6,'New Resources - Individual'!$F53:$Y53)</f>
        <v>0</v>
      </c>
      <c r="O53" s="669">
        <f>SUMIF('New Resources - Individual'!$F$6:$Y$6,O$6,'New Resources - Individual'!$F53:$Y53)</f>
        <v>0</v>
      </c>
      <c r="P53" s="669">
        <f>SUMIF('New Resources - Individual'!$F$6:$Y$6,P$6,'New Resources - Individual'!$F53:$Y53)</f>
        <v>0</v>
      </c>
      <c r="Q53" s="669">
        <f>SUMIF('New Resources - Individual'!$F$6:$Y$6,Q$6,'New Resources - Individual'!$F53:$Y53)</f>
        <v>0</v>
      </c>
      <c r="R53" s="670">
        <f>SUMIF('New Resources - Individual'!$F$6:$Y$6,R$6,'New Resources - Individual'!$F53:$Y53)</f>
        <v>0</v>
      </c>
      <c r="S53" s="670">
        <f>SUMIF('New Resources - Individual'!$F$6:$Y$6,S$6,'New Resources - Individual'!$F53:$Y53)</f>
        <v>0</v>
      </c>
      <c r="T53" s="670">
        <f>SUMIF('New Resources - Individual'!$F$6:$Y$6,T$6,'New Resources - Individual'!$F53:$Y53)</f>
        <v>0</v>
      </c>
      <c r="U53" s="670">
        <f>SUMIF('New Resources - Individual'!$F$6:$Y$6,U$6,'New Resources - Individual'!$F53:$Y53)</f>
        <v>0</v>
      </c>
      <c r="V53" s="670">
        <f>SUMIF('New Resources - Individual'!$F$6:$Y$6,V$6,'New Resources - Individual'!$F53:$Y53)</f>
        <v>0</v>
      </c>
      <c r="W53" s="669">
        <f>SUMIF('New Resources - Individual'!$F$6:$Y$6,W$6,'New Resources - Individual'!$F53:$Y53)</f>
        <v>0</v>
      </c>
      <c r="X53" s="670">
        <f>SUMIF('New Resources - Individual'!$F$6:$Y$6,X$6,'New Resources - Individual'!$F53:$Y53)</f>
        <v>0</v>
      </c>
      <c r="Y53" s="791">
        <f>SUMIF('New Resources - Individual'!$F$6:$Y$6,Y$6,'New Resources - Individual'!$F53:$Y53)</f>
        <v>0</v>
      </c>
      <c r="Z53" s="632"/>
      <c r="AA53" s="632"/>
      <c r="AB53" s="632"/>
      <c r="AC53" s="632"/>
      <c r="AD53" s="632"/>
      <c r="AE53" s="632"/>
      <c r="AF53" s="632"/>
      <c r="AG53" s="659"/>
      <c r="AH53" s="659"/>
    </row>
    <row r="54" spans="1:34" x14ac:dyDescent="0.25">
      <c r="A54" s="641">
        <v>570</v>
      </c>
      <c r="B54" s="790" t="s">
        <v>263</v>
      </c>
      <c r="C54" s="646" t="s">
        <v>611</v>
      </c>
      <c r="D54" s="646"/>
      <c r="E54" s="645"/>
      <c r="F54" s="669">
        <f>SUMIF('New Resources - Individual'!$F$6:$Y$6,F$6,'New Resources - Individual'!$F54:$Y54)</f>
        <v>0</v>
      </c>
      <c r="G54" s="669">
        <f>SUMIF('New Resources - Individual'!$F$6:$Y$6,G$6,'New Resources - Individual'!$F54:$Y54)</f>
        <v>0</v>
      </c>
      <c r="H54" s="670">
        <f>SUMIF('New Resources - Individual'!$F$6:$Y$6,H$6,'New Resources - Individual'!$F54:$Y54)</f>
        <v>0</v>
      </c>
      <c r="I54" s="669">
        <f>SUMIF('New Resources - Individual'!$F$6:$Y$6,I$6,'New Resources - Individual'!$F54:$Y54)</f>
        <v>0</v>
      </c>
      <c r="J54" s="670">
        <f>SUMIF('New Resources - Individual'!$F$6:$Y$6,J$6,'New Resources - Individual'!$F54:$Y54)</f>
        <v>0</v>
      </c>
      <c r="K54" s="670">
        <f>SUMIF('New Resources - Individual'!$F$6:$Y$6,K$6,'New Resources - Individual'!$F54:$Y54)</f>
        <v>0</v>
      </c>
      <c r="L54" s="669">
        <f>SUMIF('New Resources - Individual'!$F$6:$Y$6,L$6,'New Resources - Individual'!$F54:$Y54)</f>
        <v>0</v>
      </c>
      <c r="M54" s="670">
        <f>SUMIF('New Resources - Individual'!$F$6:$Y$6,M$6,'New Resources - Individual'!$F54:$Y54)</f>
        <v>0</v>
      </c>
      <c r="N54" s="669">
        <f>SUMIF('New Resources - Individual'!$F$6:$Y$6,N$6,'New Resources - Individual'!$F54:$Y54)</f>
        <v>0</v>
      </c>
      <c r="O54" s="669">
        <f>SUMIF('New Resources - Individual'!$F$6:$Y$6,O$6,'New Resources - Individual'!$F54:$Y54)</f>
        <v>0</v>
      </c>
      <c r="P54" s="669">
        <f>SUMIF('New Resources - Individual'!$F$6:$Y$6,P$6,'New Resources - Individual'!$F54:$Y54)</f>
        <v>0</v>
      </c>
      <c r="Q54" s="669">
        <f>SUMIF('New Resources - Individual'!$F$6:$Y$6,Q$6,'New Resources - Individual'!$F54:$Y54)</f>
        <v>0</v>
      </c>
      <c r="R54" s="670">
        <f>SUMIF('New Resources - Individual'!$F$6:$Y$6,R$6,'New Resources - Individual'!$F54:$Y54)</f>
        <v>0</v>
      </c>
      <c r="S54" s="670">
        <f>SUMIF('New Resources - Individual'!$F$6:$Y$6,S$6,'New Resources - Individual'!$F54:$Y54)</f>
        <v>0</v>
      </c>
      <c r="T54" s="670">
        <f>SUMIF('New Resources - Individual'!$F$6:$Y$6,T$6,'New Resources - Individual'!$F54:$Y54)</f>
        <v>0</v>
      </c>
      <c r="U54" s="670">
        <f>SUMIF('New Resources - Individual'!$F$6:$Y$6,U$6,'New Resources - Individual'!$F54:$Y54)</f>
        <v>0</v>
      </c>
      <c r="V54" s="670">
        <f>SUMIF('New Resources - Individual'!$F$6:$Y$6,V$6,'New Resources - Individual'!$F54:$Y54)</f>
        <v>0</v>
      </c>
      <c r="W54" s="669">
        <f>SUMIF('New Resources - Individual'!$F$6:$Y$6,W$6,'New Resources - Individual'!$F54:$Y54)</f>
        <v>0</v>
      </c>
      <c r="X54" s="670">
        <f>SUMIF('New Resources - Individual'!$F$6:$Y$6,X$6,'New Resources - Individual'!$F54:$Y54)</f>
        <v>0</v>
      </c>
      <c r="Y54" s="791">
        <f>SUMIF('New Resources - Individual'!$F$6:$Y$6,Y$6,'New Resources - Individual'!$F54:$Y54)</f>
        <v>0</v>
      </c>
      <c r="Z54" s="632"/>
      <c r="AA54" s="632"/>
      <c r="AB54" s="632"/>
      <c r="AC54" s="632"/>
      <c r="AD54" s="632"/>
      <c r="AE54" s="632"/>
      <c r="AF54" s="632"/>
      <c r="AG54" s="659"/>
      <c r="AH54" s="659"/>
    </row>
    <row r="55" spans="1:34" x14ac:dyDescent="0.25">
      <c r="A55" s="641">
        <v>580</v>
      </c>
      <c r="B55" s="792" t="s">
        <v>265</v>
      </c>
      <c r="C55" s="644" t="s">
        <v>612</v>
      </c>
      <c r="D55" s="644"/>
      <c r="E55" s="645"/>
      <c r="F55" s="669">
        <f>SUMIF('New Resources - Individual'!$F$6:$Y$6,F$6,'New Resources - Individual'!$F55:$Y55)</f>
        <v>0</v>
      </c>
      <c r="G55" s="669">
        <f>SUMIF('New Resources - Individual'!$F$6:$Y$6,G$6,'New Resources - Individual'!$F55:$Y55)</f>
        <v>0</v>
      </c>
      <c r="H55" s="670">
        <f>SUMIF('New Resources - Individual'!$F$6:$Y$6,H$6,'New Resources - Individual'!$F55:$Y55)</f>
        <v>0</v>
      </c>
      <c r="I55" s="669">
        <f>SUMIF('New Resources - Individual'!$F$6:$Y$6,I$6,'New Resources - Individual'!$F55:$Y55)</f>
        <v>0</v>
      </c>
      <c r="J55" s="670">
        <f>SUMIF('New Resources - Individual'!$F$6:$Y$6,J$6,'New Resources - Individual'!$F55:$Y55)</f>
        <v>0</v>
      </c>
      <c r="K55" s="670">
        <f>SUMIF('New Resources - Individual'!$F$6:$Y$6,K$6,'New Resources - Individual'!$F55:$Y55)</f>
        <v>0</v>
      </c>
      <c r="L55" s="669">
        <f>SUMIF('New Resources - Individual'!$F$6:$Y$6,L$6,'New Resources - Individual'!$F55:$Y55)</f>
        <v>0</v>
      </c>
      <c r="M55" s="670">
        <f>SUMIF('New Resources - Individual'!$F$6:$Y$6,M$6,'New Resources - Individual'!$F55:$Y55)</f>
        <v>0</v>
      </c>
      <c r="N55" s="669">
        <f>SUMIF('New Resources - Individual'!$F$6:$Y$6,N$6,'New Resources - Individual'!$F55:$Y55)</f>
        <v>0</v>
      </c>
      <c r="O55" s="669">
        <f>SUMIF('New Resources - Individual'!$F$6:$Y$6,O$6,'New Resources - Individual'!$F55:$Y55)</f>
        <v>0</v>
      </c>
      <c r="P55" s="669">
        <f>SUMIF('New Resources - Individual'!$F$6:$Y$6,P$6,'New Resources - Individual'!$F55:$Y55)</f>
        <v>0</v>
      </c>
      <c r="Q55" s="669">
        <f>SUMIF('New Resources - Individual'!$F$6:$Y$6,Q$6,'New Resources - Individual'!$F55:$Y55)</f>
        <v>0</v>
      </c>
      <c r="R55" s="670">
        <f>SUMIF('New Resources - Individual'!$F$6:$Y$6,R$6,'New Resources - Individual'!$F55:$Y55)</f>
        <v>0</v>
      </c>
      <c r="S55" s="670">
        <f>SUMIF('New Resources - Individual'!$F$6:$Y$6,S$6,'New Resources - Individual'!$F55:$Y55)</f>
        <v>0</v>
      </c>
      <c r="T55" s="670">
        <f>SUMIF('New Resources - Individual'!$F$6:$Y$6,T$6,'New Resources - Individual'!$F55:$Y55)</f>
        <v>0</v>
      </c>
      <c r="U55" s="670">
        <f>SUMIF('New Resources - Individual'!$F$6:$Y$6,U$6,'New Resources - Individual'!$F55:$Y55)</f>
        <v>0</v>
      </c>
      <c r="V55" s="670">
        <f>SUMIF('New Resources - Individual'!$F$6:$Y$6,V$6,'New Resources - Individual'!$F55:$Y55)</f>
        <v>0</v>
      </c>
      <c r="W55" s="669">
        <f>SUMIF('New Resources - Individual'!$F$6:$Y$6,W$6,'New Resources - Individual'!$F55:$Y55)</f>
        <v>0</v>
      </c>
      <c r="X55" s="670">
        <f>SUMIF('New Resources - Individual'!$F$6:$Y$6,X$6,'New Resources - Individual'!$F55:$Y55)</f>
        <v>0</v>
      </c>
      <c r="Y55" s="791">
        <f>SUMIF('New Resources - Individual'!$F$6:$Y$6,Y$6,'New Resources - Individual'!$F55:$Y55)</f>
        <v>0</v>
      </c>
      <c r="Z55" s="632"/>
      <c r="AA55" s="632"/>
      <c r="AB55" s="632"/>
      <c r="AC55" s="632"/>
      <c r="AD55" s="632"/>
      <c r="AE55" s="632"/>
      <c r="AF55" s="632"/>
      <c r="AG55" s="659"/>
      <c r="AH55" s="659"/>
    </row>
    <row r="56" spans="1:34" x14ac:dyDescent="0.25">
      <c r="A56" s="641">
        <v>590</v>
      </c>
      <c r="B56" s="790" t="s">
        <v>167</v>
      </c>
      <c r="C56" s="646">
        <v>924</v>
      </c>
      <c r="D56" s="646"/>
      <c r="E56" s="645"/>
      <c r="F56" s="669">
        <f>SUMIF('New Resources - Individual'!$F$6:$Y$6,F$6,'New Resources - Individual'!$F56:$Y56)</f>
        <v>0</v>
      </c>
      <c r="G56" s="669">
        <f>SUMIF('New Resources - Individual'!$F$6:$Y$6,G$6,'New Resources - Individual'!$F56:$Y56)</f>
        <v>0</v>
      </c>
      <c r="H56" s="670">
        <f>SUMIF('New Resources - Individual'!$F$6:$Y$6,H$6,'New Resources - Individual'!$F56:$Y56)</f>
        <v>0</v>
      </c>
      <c r="I56" s="669">
        <f>SUMIF('New Resources - Individual'!$F$6:$Y$6,I$6,'New Resources - Individual'!$F56:$Y56)</f>
        <v>0</v>
      </c>
      <c r="J56" s="670">
        <f>SUMIF('New Resources - Individual'!$F$6:$Y$6,J$6,'New Resources - Individual'!$F56:$Y56)</f>
        <v>0</v>
      </c>
      <c r="K56" s="670">
        <f>SUMIF('New Resources - Individual'!$F$6:$Y$6,K$6,'New Resources - Individual'!$F56:$Y56)</f>
        <v>0</v>
      </c>
      <c r="L56" s="669">
        <f>SUMIF('New Resources - Individual'!$F$6:$Y$6,L$6,'New Resources - Individual'!$F56:$Y56)</f>
        <v>0</v>
      </c>
      <c r="M56" s="670">
        <f>SUMIF('New Resources - Individual'!$F$6:$Y$6,M$6,'New Resources - Individual'!$F56:$Y56)</f>
        <v>0</v>
      </c>
      <c r="N56" s="669">
        <f>SUMIF('New Resources - Individual'!$F$6:$Y$6,N$6,'New Resources - Individual'!$F56:$Y56)</f>
        <v>0</v>
      </c>
      <c r="O56" s="669">
        <f>SUMIF('New Resources - Individual'!$F$6:$Y$6,O$6,'New Resources - Individual'!$F56:$Y56)</f>
        <v>0</v>
      </c>
      <c r="P56" s="669">
        <f>SUMIF('New Resources - Individual'!$F$6:$Y$6,P$6,'New Resources - Individual'!$F56:$Y56)</f>
        <v>0</v>
      </c>
      <c r="Q56" s="669">
        <f>SUMIF('New Resources - Individual'!$F$6:$Y$6,Q$6,'New Resources - Individual'!$F56:$Y56)</f>
        <v>0</v>
      </c>
      <c r="R56" s="670">
        <f>SUMIF('New Resources - Individual'!$F$6:$Y$6,R$6,'New Resources - Individual'!$F56:$Y56)</f>
        <v>0</v>
      </c>
      <c r="S56" s="670">
        <f>SUMIF('New Resources - Individual'!$F$6:$Y$6,S$6,'New Resources - Individual'!$F56:$Y56)</f>
        <v>0</v>
      </c>
      <c r="T56" s="670">
        <f>SUMIF('New Resources - Individual'!$F$6:$Y$6,T$6,'New Resources - Individual'!$F56:$Y56)</f>
        <v>0</v>
      </c>
      <c r="U56" s="670">
        <f>SUMIF('New Resources - Individual'!$F$6:$Y$6,U$6,'New Resources - Individual'!$F56:$Y56)</f>
        <v>0</v>
      </c>
      <c r="V56" s="670">
        <f>SUMIF('New Resources - Individual'!$F$6:$Y$6,V$6,'New Resources - Individual'!$F56:$Y56)</f>
        <v>0</v>
      </c>
      <c r="W56" s="669">
        <f>SUMIF('New Resources - Individual'!$F$6:$Y$6,W$6,'New Resources - Individual'!$F56:$Y56)</f>
        <v>0</v>
      </c>
      <c r="X56" s="670">
        <f>SUMIF('New Resources - Individual'!$F$6:$Y$6,X$6,'New Resources - Individual'!$F56:$Y56)</f>
        <v>0</v>
      </c>
      <c r="Y56" s="791">
        <f>SUMIF('New Resources - Individual'!$F$6:$Y$6,Y$6,'New Resources - Individual'!$F56:$Y56)</f>
        <v>0</v>
      </c>
      <c r="Z56" s="632"/>
      <c r="AA56" s="632"/>
      <c r="AB56" s="632"/>
      <c r="AC56" s="632"/>
      <c r="AD56" s="632"/>
      <c r="AE56" s="632"/>
      <c r="AF56" s="632"/>
      <c r="AG56" s="659"/>
      <c r="AH56" s="659"/>
    </row>
    <row r="57" spans="1:34" x14ac:dyDescent="0.25">
      <c r="A57" s="641">
        <v>600</v>
      </c>
      <c r="B57" s="790" t="s">
        <v>595</v>
      </c>
      <c r="C57" s="644">
        <v>403</v>
      </c>
      <c r="D57" s="644" t="s">
        <v>596</v>
      </c>
      <c r="E57" s="645"/>
      <c r="F57" s="669">
        <f>SUMIF('New Resources - Individual'!$F$6:$Y$6,F$6,'New Resources - Individual'!$F57:$Y57)</f>
        <v>0</v>
      </c>
      <c r="G57" s="669">
        <f>SUMIF('New Resources - Individual'!$F$6:$Y$6,G$6,'New Resources - Individual'!$F57:$Y57)</f>
        <v>0</v>
      </c>
      <c r="H57" s="670">
        <f>SUMIF('New Resources - Individual'!$F$6:$Y$6,H$6,'New Resources - Individual'!$F57:$Y57)</f>
        <v>0</v>
      </c>
      <c r="I57" s="669">
        <f>SUMIF('New Resources - Individual'!$F$6:$Y$6,I$6,'New Resources - Individual'!$F57:$Y57)</f>
        <v>0</v>
      </c>
      <c r="J57" s="670">
        <f>SUMIF('New Resources - Individual'!$F$6:$Y$6,J$6,'New Resources - Individual'!$F57:$Y57)</f>
        <v>0</v>
      </c>
      <c r="K57" s="670">
        <f>SUMIF('New Resources - Individual'!$F$6:$Y$6,K$6,'New Resources - Individual'!$F57:$Y57)</f>
        <v>0</v>
      </c>
      <c r="L57" s="669">
        <f>SUMIF('New Resources - Individual'!$F$6:$Y$6,L$6,'New Resources - Individual'!$F57:$Y57)</f>
        <v>0</v>
      </c>
      <c r="M57" s="670">
        <f>SUMIF('New Resources - Individual'!$F$6:$Y$6,M$6,'New Resources - Individual'!$F57:$Y57)</f>
        <v>0</v>
      </c>
      <c r="N57" s="669">
        <f>SUMIF('New Resources - Individual'!$F$6:$Y$6,N$6,'New Resources - Individual'!$F57:$Y57)</f>
        <v>0</v>
      </c>
      <c r="O57" s="669">
        <f>SUMIF('New Resources - Individual'!$F$6:$Y$6,O$6,'New Resources - Individual'!$F57:$Y57)</f>
        <v>0</v>
      </c>
      <c r="P57" s="669">
        <f>SUMIF('New Resources - Individual'!$F$6:$Y$6,P$6,'New Resources - Individual'!$F57:$Y57)</f>
        <v>0</v>
      </c>
      <c r="Q57" s="669">
        <f>SUMIF('New Resources - Individual'!$F$6:$Y$6,Q$6,'New Resources - Individual'!$F57:$Y57)</f>
        <v>0</v>
      </c>
      <c r="R57" s="670">
        <f>SUMIF('New Resources - Individual'!$F$6:$Y$6,R$6,'New Resources - Individual'!$F57:$Y57)</f>
        <v>0</v>
      </c>
      <c r="S57" s="670">
        <f>SUMIF('New Resources - Individual'!$F$6:$Y$6,S$6,'New Resources - Individual'!$F57:$Y57)</f>
        <v>0</v>
      </c>
      <c r="T57" s="670">
        <f>SUMIF('New Resources - Individual'!$F$6:$Y$6,T$6,'New Resources - Individual'!$F57:$Y57)</f>
        <v>0</v>
      </c>
      <c r="U57" s="670">
        <f>SUMIF('New Resources - Individual'!$F$6:$Y$6,U$6,'New Resources - Individual'!$F57:$Y57)</f>
        <v>0</v>
      </c>
      <c r="V57" s="670">
        <f>SUMIF('New Resources - Individual'!$F$6:$Y$6,V$6,'New Resources - Individual'!$F57:$Y57)</f>
        <v>0</v>
      </c>
      <c r="W57" s="669">
        <f>SUMIF('New Resources - Individual'!$F$6:$Y$6,W$6,'New Resources - Individual'!$F57:$Y57)</f>
        <v>0</v>
      </c>
      <c r="X57" s="670">
        <f>SUMIF('New Resources - Individual'!$F$6:$Y$6,X$6,'New Resources - Individual'!$F57:$Y57)</f>
        <v>0</v>
      </c>
      <c r="Y57" s="791">
        <f>SUMIF('New Resources - Individual'!$F$6:$Y$6,Y$6,'New Resources - Individual'!$F57:$Y57)</f>
        <v>0</v>
      </c>
      <c r="Z57" s="632"/>
      <c r="AA57" s="632"/>
      <c r="AB57" s="632"/>
      <c r="AC57" s="632"/>
      <c r="AD57" s="632"/>
      <c r="AE57" s="632"/>
      <c r="AF57" s="632"/>
      <c r="AG57" s="659"/>
      <c r="AH57" s="659"/>
    </row>
    <row r="58" spans="1:34" x14ac:dyDescent="0.25">
      <c r="A58" s="641">
        <v>610</v>
      </c>
      <c r="B58" s="790" t="s">
        <v>597</v>
      </c>
      <c r="C58" s="644">
        <v>447</v>
      </c>
      <c r="D58" s="644" t="s">
        <v>598</v>
      </c>
      <c r="E58" s="645"/>
      <c r="F58" s="669">
        <f>SUMIF('New Resources - Individual'!$F$6:$Y$6,F$6,'New Resources - Individual'!$F58:$Y58)</f>
        <v>0</v>
      </c>
      <c r="G58" s="669">
        <f>SUMIF('New Resources - Individual'!$F$6:$Y$6,G$6,'New Resources - Individual'!$F58:$Y58)</f>
        <v>0</v>
      </c>
      <c r="H58" s="670">
        <f>SUMIF('New Resources - Individual'!$F$6:$Y$6,H$6,'New Resources - Individual'!$F58:$Y58)</f>
        <v>0</v>
      </c>
      <c r="I58" s="669">
        <f>SUMIF('New Resources - Individual'!$F$6:$Y$6,I$6,'New Resources - Individual'!$F58:$Y58)</f>
        <v>0</v>
      </c>
      <c r="J58" s="670">
        <f>SUMIF('New Resources - Individual'!$F$6:$Y$6,J$6,'New Resources - Individual'!$F58:$Y58)</f>
        <v>0</v>
      </c>
      <c r="K58" s="670">
        <f>SUMIF('New Resources - Individual'!$F$6:$Y$6,K$6,'New Resources - Individual'!$F58:$Y58)</f>
        <v>0</v>
      </c>
      <c r="L58" s="669">
        <f>SUMIF('New Resources - Individual'!$F$6:$Y$6,L$6,'New Resources - Individual'!$F58:$Y58)</f>
        <v>0</v>
      </c>
      <c r="M58" s="670">
        <f>SUMIF('New Resources - Individual'!$F$6:$Y$6,M$6,'New Resources - Individual'!$F58:$Y58)</f>
        <v>0</v>
      </c>
      <c r="N58" s="669">
        <f>SUMIF('New Resources - Individual'!$F$6:$Y$6,N$6,'New Resources - Individual'!$F58:$Y58)</f>
        <v>0</v>
      </c>
      <c r="O58" s="669">
        <f>SUMIF('New Resources - Individual'!$F$6:$Y$6,O$6,'New Resources - Individual'!$F58:$Y58)</f>
        <v>0</v>
      </c>
      <c r="P58" s="669">
        <f>SUMIF('New Resources - Individual'!$F$6:$Y$6,P$6,'New Resources - Individual'!$F58:$Y58)</f>
        <v>0</v>
      </c>
      <c r="Q58" s="669">
        <f>SUMIF('New Resources - Individual'!$F$6:$Y$6,Q$6,'New Resources - Individual'!$F58:$Y58)</f>
        <v>0</v>
      </c>
      <c r="R58" s="670">
        <f>SUMIF('New Resources - Individual'!$F$6:$Y$6,R$6,'New Resources - Individual'!$F58:$Y58)</f>
        <v>0</v>
      </c>
      <c r="S58" s="670">
        <f>SUMIF('New Resources - Individual'!$F$6:$Y$6,S$6,'New Resources - Individual'!$F58:$Y58)</f>
        <v>0</v>
      </c>
      <c r="T58" s="670">
        <f>SUMIF('New Resources - Individual'!$F$6:$Y$6,T$6,'New Resources - Individual'!$F58:$Y58)</f>
        <v>0</v>
      </c>
      <c r="U58" s="670">
        <f>SUMIF('New Resources - Individual'!$F$6:$Y$6,U$6,'New Resources - Individual'!$F58:$Y58)</f>
        <v>0</v>
      </c>
      <c r="V58" s="670">
        <f>SUMIF('New Resources - Individual'!$F$6:$Y$6,V$6,'New Resources - Individual'!$F58:$Y58)</f>
        <v>0</v>
      </c>
      <c r="W58" s="669">
        <f>SUMIF('New Resources - Individual'!$F$6:$Y$6,W$6,'New Resources - Individual'!$F58:$Y58)</f>
        <v>0</v>
      </c>
      <c r="X58" s="670">
        <f>SUMIF('New Resources - Individual'!$F$6:$Y$6,X$6,'New Resources - Individual'!$F58:$Y58)</f>
        <v>0</v>
      </c>
      <c r="Y58" s="791">
        <f>SUMIF('New Resources - Individual'!$F$6:$Y$6,Y$6,'New Resources - Individual'!$F58:$Y58)</f>
        <v>0</v>
      </c>
      <c r="Z58" s="632"/>
      <c r="AA58" s="632"/>
      <c r="AB58" s="632"/>
      <c r="AC58" s="632"/>
      <c r="AD58" s="632"/>
      <c r="AE58" s="632"/>
      <c r="AF58" s="632"/>
      <c r="AG58" s="659"/>
      <c r="AH58" s="659"/>
    </row>
    <row r="59" spans="1:34" x14ac:dyDescent="0.25">
      <c r="A59" s="641">
        <v>620</v>
      </c>
      <c r="B59" s="792" t="s">
        <v>599</v>
      </c>
      <c r="C59" s="646"/>
      <c r="D59" s="644" t="s">
        <v>598</v>
      </c>
      <c r="E59" s="645"/>
      <c r="F59" s="669">
        <f>SUMIF('New Resources - Individual'!$F$6:$Y$6,F$6,'New Resources - Individual'!$F59:$Y59)</f>
        <v>0</v>
      </c>
      <c r="G59" s="669">
        <f>SUMIF('New Resources - Individual'!$F$6:$Y$6,G$6,'New Resources - Individual'!$F59:$Y59)</f>
        <v>0</v>
      </c>
      <c r="H59" s="670">
        <f>SUMIF('New Resources - Individual'!$F$6:$Y$6,H$6,'New Resources - Individual'!$F59:$Y59)</f>
        <v>0</v>
      </c>
      <c r="I59" s="669">
        <f>SUMIF('New Resources - Individual'!$F$6:$Y$6,I$6,'New Resources - Individual'!$F59:$Y59)</f>
        <v>0</v>
      </c>
      <c r="J59" s="670">
        <f>SUMIF('New Resources - Individual'!$F$6:$Y$6,J$6,'New Resources - Individual'!$F59:$Y59)</f>
        <v>0</v>
      </c>
      <c r="K59" s="670">
        <f>SUMIF('New Resources - Individual'!$F$6:$Y$6,K$6,'New Resources - Individual'!$F59:$Y59)</f>
        <v>0</v>
      </c>
      <c r="L59" s="669">
        <f>SUMIF('New Resources - Individual'!$F$6:$Y$6,L$6,'New Resources - Individual'!$F59:$Y59)</f>
        <v>0</v>
      </c>
      <c r="M59" s="670">
        <f>SUMIF('New Resources - Individual'!$F$6:$Y$6,M$6,'New Resources - Individual'!$F59:$Y59)</f>
        <v>0</v>
      </c>
      <c r="N59" s="669">
        <f>SUMIF('New Resources - Individual'!$F$6:$Y$6,N$6,'New Resources - Individual'!$F59:$Y59)</f>
        <v>0</v>
      </c>
      <c r="O59" s="669">
        <f>SUMIF('New Resources - Individual'!$F$6:$Y$6,O$6,'New Resources - Individual'!$F59:$Y59)</f>
        <v>0</v>
      </c>
      <c r="P59" s="669">
        <f>SUMIF('New Resources - Individual'!$F$6:$Y$6,P$6,'New Resources - Individual'!$F59:$Y59)</f>
        <v>0</v>
      </c>
      <c r="Q59" s="669">
        <f>SUMIF('New Resources - Individual'!$F$6:$Y$6,Q$6,'New Resources - Individual'!$F59:$Y59)</f>
        <v>0</v>
      </c>
      <c r="R59" s="670">
        <f>SUMIF('New Resources - Individual'!$F$6:$Y$6,R$6,'New Resources - Individual'!$F59:$Y59)</f>
        <v>0</v>
      </c>
      <c r="S59" s="670">
        <f>SUMIF('New Resources - Individual'!$F$6:$Y$6,S$6,'New Resources - Individual'!$F59:$Y59)</f>
        <v>0</v>
      </c>
      <c r="T59" s="670">
        <f>SUMIF('New Resources - Individual'!$F$6:$Y$6,T$6,'New Resources - Individual'!$F59:$Y59)</f>
        <v>0</v>
      </c>
      <c r="U59" s="670">
        <f>SUMIF('New Resources - Individual'!$F$6:$Y$6,U$6,'New Resources - Individual'!$F59:$Y59)</f>
        <v>0</v>
      </c>
      <c r="V59" s="670">
        <f>SUMIF('New Resources - Individual'!$F$6:$Y$6,V$6,'New Resources - Individual'!$F59:$Y59)</f>
        <v>0</v>
      </c>
      <c r="W59" s="669">
        <f>SUMIF('New Resources - Individual'!$F$6:$Y$6,W$6,'New Resources - Individual'!$F59:$Y59)</f>
        <v>0</v>
      </c>
      <c r="X59" s="670">
        <f>SUMIF('New Resources - Individual'!$F$6:$Y$6,X$6,'New Resources - Individual'!$F59:$Y59)</f>
        <v>0</v>
      </c>
      <c r="Y59" s="791">
        <f>SUMIF('New Resources - Individual'!$F$6:$Y$6,Y$6,'New Resources - Individual'!$F59:$Y59)</f>
        <v>0</v>
      </c>
      <c r="Z59" s="632"/>
      <c r="AA59" s="632"/>
      <c r="AB59" s="632"/>
      <c r="AC59" s="632"/>
      <c r="AD59" s="632"/>
      <c r="AE59" s="632"/>
      <c r="AF59" s="632"/>
      <c r="AG59" s="659"/>
      <c r="AH59" s="659"/>
    </row>
    <row r="60" spans="1:34" x14ac:dyDescent="0.25">
      <c r="A60" s="641">
        <v>630</v>
      </c>
      <c r="B60" s="790" t="s">
        <v>600</v>
      </c>
      <c r="C60" s="644"/>
      <c r="D60" s="644" t="s">
        <v>598</v>
      </c>
      <c r="E60" s="645"/>
      <c r="F60" s="669">
        <f>SUMIF('New Resources - Individual'!$F$6:$Y$6,F$6,'New Resources - Individual'!$F60:$Y60)</f>
        <v>0</v>
      </c>
      <c r="G60" s="669">
        <f>SUMIF('New Resources - Individual'!$F$6:$Y$6,G$6,'New Resources - Individual'!$F60:$Y60)</f>
        <v>0</v>
      </c>
      <c r="H60" s="670">
        <f>SUMIF('New Resources - Individual'!$F$6:$Y$6,H$6,'New Resources - Individual'!$F60:$Y60)</f>
        <v>0</v>
      </c>
      <c r="I60" s="669">
        <f>SUMIF('New Resources - Individual'!$F$6:$Y$6,I$6,'New Resources - Individual'!$F60:$Y60)</f>
        <v>0</v>
      </c>
      <c r="J60" s="670">
        <f>SUMIF('New Resources - Individual'!$F$6:$Y$6,J$6,'New Resources - Individual'!$F60:$Y60)</f>
        <v>0</v>
      </c>
      <c r="K60" s="670">
        <f>SUMIF('New Resources - Individual'!$F$6:$Y$6,K$6,'New Resources - Individual'!$F60:$Y60)</f>
        <v>0</v>
      </c>
      <c r="L60" s="669">
        <f>SUMIF('New Resources - Individual'!$F$6:$Y$6,L$6,'New Resources - Individual'!$F60:$Y60)</f>
        <v>0</v>
      </c>
      <c r="M60" s="670">
        <f>SUMIF('New Resources - Individual'!$F$6:$Y$6,M$6,'New Resources - Individual'!$F60:$Y60)</f>
        <v>0</v>
      </c>
      <c r="N60" s="669">
        <f>SUMIF('New Resources - Individual'!$F$6:$Y$6,N$6,'New Resources - Individual'!$F60:$Y60)</f>
        <v>0</v>
      </c>
      <c r="O60" s="669">
        <f>SUMIF('New Resources - Individual'!$F$6:$Y$6,O$6,'New Resources - Individual'!$F60:$Y60)</f>
        <v>0</v>
      </c>
      <c r="P60" s="669">
        <f>SUMIF('New Resources - Individual'!$F$6:$Y$6,P$6,'New Resources - Individual'!$F60:$Y60)</f>
        <v>0</v>
      </c>
      <c r="Q60" s="669">
        <f>SUMIF('New Resources - Individual'!$F$6:$Y$6,Q$6,'New Resources - Individual'!$F60:$Y60)</f>
        <v>0</v>
      </c>
      <c r="R60" s="670">
        <f>SUMIF('New Resources - Individual'!$F$6:$Y$6,R$6,'New Resources - Individual'!$F60:$Y60)</f>
        <v>0</v>
      </c>
      <c r="S60" s="670">
        <f>SUMIF('New Resources - Individual'!$F$6:$Y$6,S$6,'New Resources - Individual'!$F60:$Y60)</f>
        <v>0</v>
      </c>
      <c r="T60" s="670">
        <f>SUMIF('New Resources - Individual'!$F$6:$Y$6,T$6,'New Resources - Individual'!$F60:$Y60)</f>
        <v>0</v>
      </c>
      <c r="U60" s="670">
        <f>SUMIF('New Resources - Individual'!$F$6:$Y$6,U$6,'New Resources - Individual'!$F60:$Y60)</f>
        <v>0</v>
      </c>
      <c r="V60" s="670">
        <f>SUMIF('New Resources - Individual'!$F$6:$Y$6,V$6,'New Resources - Individual'!$F60:$Y60)</f>
        <v>0</v>
      </c>
      <c r="W60" s="669">
        <f>SUMIF('New Resources - Individual'!$F$6:$Y$6,W$6,'New Resources - Individual'!$F60:$Y60)</f>
        <v>0</v>
      </c>
      <c r="X60" s="670">
        <f>SUMIF('New Resources - Individual'!$F$6:$Y$6,X$6,'New Resources - Individual'!$F60:$Y60)</f>
        <v>0</v>
      </c>
      <c r="Y60" s="791">
        <f>SUMIF('New Resources - Individual'!$F$6:$Y$6,Y$6,'New Resources - Individual'!$F60:$Y60)</f>
        <v>0</v>
      </c>
      <c r="Z60" s="632"/>
      <c r="AA60" s="632"/>
      <c r="AB60" s="632"/>
      <c r="AC60" s="632"/>
      <c r="AD60" s="632"/>
      <c r="AE60" s="632"/>
      <c r="AF60" s="632"/>
      <c r="AG60" s="659"/>
      <c r="AH60" s="659"/>
    </row>
    <row r="61" spans="1:34" x14ac:dyDescent="0.25">
      <c r="A61" s="641">
        <v>640</v>
      </c>
      <c r="B61" s="793" t="s">
        <v>613</v>
      </c>
      <c r="C61" s="647"/>
      <c r="D61" s="647"/>
      <c r="E61" s="648"/>
      <c r="F61" s="672"/>
      <c r="G61" s="672"/>
      <c r="H61" s="672"/>
      <c r="I61" s="672"/>
      <c r="J61" s="672"/>
      <c r="K61" s="672"/>
      <c r="L61" s="672"/>
      <c r="M61" s="672"/>
      <c r="N61" s="672"/>
      <c r="O61" s="672"/>
      <c r="P61" s="672"/>
      <c r="Q61" s="672"/>
      <c r="R61" s="672"/>
      <c r="S61" s="672"/>
      <c r="T61" s="672"/>
      <c r="U61" s="672"/>
      <c r="V61" s="672"/>
      <c r="W61" s="672"/>
      <c r="X61" s="672"/>
      <c r="Y61" s="794"/>
      <c r="Z61" s="632"/>
      <c r="AA61" s="632"/>
      <c r="AB61" s="632"/>
      <c r="AC61" s="632"/>
      <c r="AD61" s="632"/>
      <c r="AE61" s="632"/>
      <c r="AF61" s="632"/>
      <c r="AG61" s="659"/>
      <c r="AH61" s="659"/>
    </row>
    <row r="62" spans="1:34" x14ac:dyDescent="0.25">
      <c r="A62" s="641">
        <v>650</v>
      </c>
      <c r="B62" s="790" t="s">
        <v>614</v>
      </c>
      <c r="C62" s="646">
        <v>262</v>
      </c>
      <c r="D62" s="646"/>
      <c r="E62" s="645"/>
      <c r="F62" s="669">
        <f>SUMIF('New Resources - Individual'!$F$6:$Y$6,F$6,'New Resources - Individual'!$F62:$Y62)</f>
        <v>0</v>
      </c>
      <c r="G62" s="669">
        <f>SUMIF('New Resources - Individual'!$F$6:$Y$6,G$6,'New Resources - Individual'!$F62:$Y62)</f>
        <v>0</v>
      </c>
      <c r="H62" s="670">
        <f>SUMIF('New Resources - Individual'!$F$6:$Y$6,H$6,'New Resources - Individual'!$F62:$Y62)</f>
        <v>0</v>
      </c>
      <c r="I62" s="669">
        <f>SUMIF('New Resources - Individual'!$F$6:$Y$6,I$6,'New Resources - Individual'!$F62:$Y62)</f>
        <v>0</v>
      </c>
      <c r="J62" s="670">
        <f>SUMIF('New Resources - Individual'!$F$6:$Y$6,J$6,'New Resources - Individual'!$F62:$Y62)</f>
        <v>0</v>
      </c>
      <c r="K62" s="670">
        <f>SUMIF('New Resources - Individual'!$F$6:$Y$6,K$6,'New Resources - Individual'!$F62:$Y62)</f>
        <v>0</v>
      </c>
      <c r="L62" s="669">
        <f>SUMIF('New Resources - Individual'!$F$6:$Y$6,L$6,'New Resources - Individual'!$F62:$Y62)</f>
        <v>0</v>
      </c>
      <c r="M62" s="670">
        <f>SUMIF('New Resources - Individual'!$F$6:$Y$6,M$6,'New Resources - Individual'!$F62:$Y62)</f>
        <v>0</v>
      </c>
      <c r="N62" s="669">
        <f>SUMIF('New Resources - Individual'!$F$6:$Y$6,N$6,'New Resources - Individual'!$F62:$Y62)</f>
        <v>0</v>
      </c>
      <c r="O62" s="669">
        <f>SUMIF('New Resources - Individual'!$F$6:$Y$6,O$6,'New Resources - Individual'!$F62:$Y62)</f>
        <v>0</v>
      </c>
      <c r="P62" s="669">
        <f>SUMIF('New Resources - Individual'!$F$6:$Y$6,P$6,'New Resources - Individual'!$F62:$Y62)</f>
        <v>0</v>
      </c>
      <c r="Q62" s="669">
        <f>SUMIF('New Resources - Individual'!$F$6:$Y$6,Q$6,'New Resources - Individual'!$F62:$Y62)</f>
        <v>0</v>
      </c>
      <c r="R62" s="670">
        <f>SUMIF('New Resources - Individual'!$F$6:$Y$6,R$6,'New Resources - Individual'!$F62:$Y62)</f>
        <v>0</v>
      </c>
      <c r="S62" s="670">
        <f>SUMIF('New Resources - Individual'!$F$6:$Y$6,S$6,'New Resources - Individual'!$F62:$Y62)</f>
        <v>0</v>
      </c>
      <c r="T62" s="670">
        <f>SUMIF('New Resources - Individual'!$F$6:$Y$6,T$6,'New Resources - Individual'!$F62:$Y62)</f>
        <v>0</v>
      </c>
      <c r="U62" s="670">
        <f>SUMIF('New Resources - Individual'!$F$6:$Y$6,U$6,'New Resources - Individual'!$F62:$Y62)</f>
        <v>0</v>
      </c>
      <c r="V62" s="670">
        <f>SUMIF('New Resources - Individual'!$F$6:$Y$6,V$6,'New Resources - Individual'!$F62:$Y62)</f>
        <v>0</v>
      </c>
      <c r="W62" s="669">
        <f>SUMIF('New Resources - Individual'!$F$6:$Y$6,W$6,'New Resources - Individual'!$F62:$Y62)</f>
        <v>0</v>
      </c>
      <c r="X62" s="670">
        <f>SUMIF('New Resources - Individual'!$F$6:$Y$6,X$6,'New Resources - Individual'!$F62:$Y62)</f>
        <v>0</v>
      </c>
      <c r="Y62" s="791">
        <f>SUMIF('New Resources - Individual'!$F$6:$Y$6,Y$6,'New Resources - Individual'!$F62:$Y62)</f>
        <v>0</v>
      </c>
      <c r="Z62" s="632"/>
      <c r="AA62" s="632"/>
      <c r="AB62" s="632"/>
      <c r="AC62" s="632"/>
      <c r="AD62" s="632"/>
      <c r="AE62" s="632"/>
      <c r="AF62" s="632"/>
      <c r="AG62" s="659"/>
      <c r="AH62" s="659"/>
    </row>
    <row r="63" spans="1:34" x14ac:dyDescent="0.25">
      <c r="A63" s="641">
        <v>660</v>
      </c>
      <c r="B63" s="793" t="s">
        <v>287</v>
      </c>
      <c r="C63" s="644"/>
      <c r="D63" s="644"/>
      <c r="E63" s="645"/>
      <c r="F63" s="669">
        <f>SUMIF('New Resources - Individual'!$F$6:$Y$6,F$6,'New Resources - Individual'!$F63:$Y63)</f>
        <v>0</v>
      </c>
      <c r="G63" s="669">
        <f>SUMIF('New Resources - Individual'!$F$6:$Y$6,G$6,'New Resources - Individual'!$F63:$Y63)</f>
        <v>0</v>
      </c>
      <c r="H63" s="670">
        <f>SUMIF('New Resources - Individual'!$F$6:$Y$6,H$6,'New Resources - Individual'!$F63:$Y63)</f>
        <v>0</v>
      </c>
      <c r="I63" s="669">
        <f>SUMIF('New Resources - Individual'!$F$6:$Y$6,I$6,'New Resources - Individual'!$F63:$Y63)</f>
        <v>0</v>
      </c>
      <c r="J63" s="670">
        <f>SUMIF('New Resources - Individual'!$F$6:$Y$6,J$6,'New Resources - Individual'!$F63:$Y63)</f>
        <v>0</v>
      </c>
      <c r="K63" s="670">
        <f>SUMIF('New Resources - Individual'!$F$6:$Y$6,K$6,'New Resources - Individual'!$F63:$Y63)</f>
        <v>0</v>
      </c>
      <c r="L63" s="670">
        <f>SUMIF('New Resources - Individual'!$F$6:$Y$6,L$6,'New Resources - Individual'!$F63:$Y63)</f>
        <v>0</v>
      </c>
      <c r="M63" s="670">
        <f>SUMIF('New Resources - Individual'!$F$6:$Y$6,M$6,'New Resources - Individual'!$F63:$Y63)</f>
        <v>0</v>
      </c>
      <c r="N63" s="670">
        <f>SUMIF('New Resources - Individual'!$F$6:$Y$6,N$6,'New Resources - Individual'!$F63:$Y63)</f>
        <v>0</v>
      </c>
      <c r="O63" s="670">
        <f>SUMIF('New Resources - Individual'!$F$6:$Y$6,O$6,'New Resources - Individual'!$F63:$Y63)</f>
        <v>0</v>
      </c>
      <c r="P63" s="670">
        <f>SUMIF('New Resources - Individual'!$F$6:$Y$6,P$6,'New Resources - Individual'!$F63:$Y63)</f>
        <v>0</v>
      </c>
      <c r="Q63" s="670">
        <f>SUMIF('New Resources - Individual'!$F$6:$Y$6,Q$6,'New Resources - Individual'!$F63:$Y63)</f>
        <v>0</v>
      </c>
      <c r="R63" s="670">
        <f>SUMIF('New Resources - Individual'!$F$6:$Y$6,R$6,'New Resources - Individual'!$F63:$Y63)</f>
        <v>0</v>
      </c>
      <c r="S63" s="670">
        <f>SUMIF('New Resources - Individual'!$F$6:$Y$6,S$6,'New Resources - Individual'!$F63:$Y63)</f>
        <v>0</v>
      </c>
      <c r="T63" s="670">
        <f>SUMIF('New Resources - Individual'!$F$6:$Y$6,T$6,'New Resources - Individual'!$F63:$Y63)</f>
        <v>0</v>
      </c>
      <c r="U63" s="670">
        <f>SUMIF('New Resources - Individual'!$F$6:$Y$6,U$6,'New Resources - Individual'!$F63:$Y63)</f>
        <v>0</v>
      </c>
      <c r="V63" s="670">
        <f>SUMIF('New Resources - Individual'!$F$6:$Y$6,V$6,'New Resources - Individual'!$F63:$Y63)</f>
        <v>0</v>
      </c>
      <c r="W63" s="670">
        <f>SUMIF('New Resources - Individual'!$F$6:$Y$6,W$6,'New Resources - Individual'!$F63:$Y63)</f>
        <v>0</v>
      </c>
      <c r="X63" s="670">
        <f>SUMIF('New Resources - Individual'!$F$6:$Y$6,X$6,'New Resources - Individual'!$F63:$Y63)</f>
        <v>0</v>
      </c>
      <c r="Y63" s="791">
        <f>SUMIF('New Resources - Individual'!$F$6:$Y$6,Y$6,'New Resources - Individual'!$F63:$Y63)</f>
        <v>0</v>
      </c>
      <c r="Z63" s="632"/>
      <c r="AA63" s="632"/>
      <c r="AB63" s="632"/>
      <c r="AC63" s="632"/>
      <c r="AD63" s="632"/>
      <c r="AE63" s="632"/>
      <c r="AF63" s="632"/>
      <c r="AG63" s="659"/>
      <c r="AH63" s="659"/>
    </row>
    <row r="64" spans="1:34" x14ac:dyDescent="0.25">
      <c r="A64" s="641">
        <v>670</v>
      </c>
      <c r="B64" s="790" t="s">
        <v>288</v>
      </c>
      <c r="C64" s="646"/>
      <c r="D64" s="646"/>
      <c r="E64" s="645"/>
      <c r="F64" s="669">
        <f>SUMIF('New Resources - Individual'!$F$6:$Y$6,F$6,'New Resources - Individual'!$F64:$Y64)</f>
        <v>0</v>
      </c>
      <c r="G64" s="669">
        <f>SUMIF('New Resources - Individual'!$F$6:$Y$6,G$6,'New Resources - Individual'!$F64:$Y64)</f>
        <v>0</v>
      </c>
      <c r="H64" s="670">
        <f>SUMIF('New Resources - Individual'!$F$6:$Y$6,H$6,'New Resources - Individual'!$F64:$Y64)</f>
        <v>0</v>
      </c>
      <c r="I64" s="669">
        <f>SUMIF('New Resources - Individual'!$F$6:$Y$6,I$6,'New Resources - Individual'!$F64:$Y64)</f>
        <v>0</v>
      </c>
      <c r="J64" s="670">
        <f>SUMIF('New Resources - Individual'!$F$6:$Y$6,J$6,'New Resources - Individual'!$F64:$Y64)</f>
        <v>0</v>
      </c>
      <c r="K64" s="670">
        <f>SUMIF('New Resources - Individual'!$F$6:$Y$6,K$6,'New Resources - Individual'!$F64:$Y64)</f>
        <v>0</v>
      </c>
      <c r="L64" s="670">
        <f>SUMIF('New Resources - Individual'!$F$6:$Y$6,L$6,'New Resources - Individual'!$F64:$Y64)</f>
        <v>0</v>
      </c>
      <c r="M64" s="670">
        <f>SUMIF('New Resources - Individual'!$F$6:$Y$6,M$6,'New Resources - Individual'!$F64:$Y64)</f>
        <v>0</v>
      </c>
      <c r="N64" s="670">
        <f>SUMIF('New Resources - Individual'!$F$6:$Y$6,N$6,'New Resources - Individual'!$F64:$Y64)</f>
        <v>0</v>
      </c>
      <c r="O64" s="670">
        <f>SUMIF('New Resources - Individual'!$F$6:$Y$6,O$6,'New Resources - Individual'!$F64:$Y64)</f>
        <v>0</v>
      </c>
      <c r="P64" s="670">
        <f>SUMIF('New Resources - Individual'!$F$6:$Y$6,P$6,'New Resources - Individual'!$F64:$Y64)</f>
        <v>0</v>
      </c>
      <c r="Q64" s="670">
        <f>SUMIF('New Resources - Individual'!$F$6:$Y$6,Q$6,'New Resources - Individual'!$F64:$Y64)</f>
        <v>0</v>
      </c>
      <c r="R64" s="670">
        <f>SUMIF('New Resources - Individual'!$F$6:$Y$6,R$6,'New Resources - Individual'!$F64:$Y64)</f>
        <v>0</v>
      </c>
      <c r="S64" s="670">
        <f>SUMIF('New Resources - Individual'!$F$6:$Y$6,S$6,'New Resources - Individual'!$F64:$Y64)</f>
        <v>0</v>
      </c>
      <c r="T64" s="670">
        <f>SUMIF('New Resources - Individual'!$F$6:$Y$6,T$6,'New Resources - Individual'!$F64:$Y64)</f>
        <v>0</v>
      </c>
      <c r="U64" s="670">
        <f>SUMIF('New Resources - Individual'!$F$6:$Y$6,U$6,'New Resources - Individual'!$F64:$Y64)</f>
        <v>0</v>
      </c>
      <c r="V64" s="670">
        <f>SUMIF('New Resources - Individual'!$F$6:$Y$6,V$6,'New Resources - Individual'!$F64:$Y64)</f>
        <v>0</v>
      </c>
      <c r="W64" s="670">
        <f>SUMIF('New Resources - Individual'!$F$6:$Y$6,W$6,'New Resources - Individual'!$F64:$Y64)</f>
        <v>0</v>
      </c>
      <c r="X64" s="670">
        <f>SUMIF('New Resources - Individual'!$F$6:$Y$6,X$6,'New Resources - Individual'!$F64:$Y64)</f>
        <v>0</v>
      </c>
      <c r="Y64" s="791">
        <f>SUMIF('New Resources - Individual'!$F$6:$Y$6,Y$6,'New Resources - Individual'!$F64:$Y64)</f>
        <v>0</v>
      </c>
      <c r="Z64" s="632"/>
      <c r="AA64" s="632"/>
      <c r="AB64" s="632"/>
      <c r="AC64" s="675"/>
      <c r="AD64" s="675"/>
      <c r="AE64" s="675"/>
      <c r="AF64" s="675"/>
      <c r="AG64" s="675"/>
      <c r="AH64" s="659"/>
    </row>
    <row r="65" spans="1:34" x14ac:dyDescent="0.25">
      <c r="A65" s="641">
        <v>680</v>
      </c>
      <c r="B65" s="792" t="s">
        <v>289</v>
      </c>
      <c r="C65" s="644"/>
      <c r="D65" s="644"/>
      <c r="E65" s="645"/>
      <c r="F65" s="669">
        <f>SUMIF('New Resources - Individual'!$F$6:$Y$6,F$6,'New Resources - Individual'!$F65:$Y65)</f>
        <v>0</v>
      </c>
      <c r="G65" s="669">
        <f>SUMIF('New Resources - Individual'!$F$6:$Y$6,G$6,'New Resources - Individual'!$F65:$Y65)</f>
        <v>0</v>
      </c>
      <c r="H65" s="670">
        <f>SUMIF('New Resources - Individual'!$F$6:$Y$6,H$6,'New Resources - Individual'!$F65:$Y65)</f>
        <v>0</v>
      </c>
      <c r="I65" s="669">
        <f>SUMIF('New Resources - Individual'!$F$6:$Y$6,I$6,'New Resources - Individual'!$F65:$Y65)</f>
        <v>0</v>
      </c>
      <c r="J65" s="670">
        <f>SUMIF('New Resources - Individual'!$F$6:$Y$6,J$6,'New Resources - Individual'!$F65:$Y65)</f>
        <v>0</v>
      </c>
      <c r="K65" s="670">
        <f>SUMIF('New Resources - Individual'!$F$6:$Y$6,K$6,'New Resources - Individual'!$F65:$Y65)</f>
        <v>0</v>
      </c>
      <c r="L65" s="670">
        <f>SUMIF('New Resources - Individual'!$F$6:$Y$6,L$6,'New Resources - Individual'!$F65:$Y65)</f>
        <v>0</v>
      </c>
      <c r="M65" s="670">
        <f>SUMIF('New Resources - Individual'!$F$6:$Y$6,M$6,'New Resources - Individual'!$F65:$Y65)</f>
        <v>0</v>
      </c>
      <c r="N65" s="670">
        <f>SUMIF('New Resources - Individual'!$F$6:$Y$6,N$6,'New Resources - Individual'!$F65:$Y65)</f>
        <v>0</v>
      </c>
      <c r="O65" s="670">
        <f>SUMIF('New Resources - Individual'!$F$6:$Y$6,O$6,'New Resources - Individual'!$F65:$Y65)</f>
        <v>0</v>
      </c>
      <c r="P65" s="670">
        <f>SUMIF('New Resources - Individual'!$F$6:$Y$6,P$6,'New Resources - Individual'!$F65:$Y65)</f>
        <v>0</v>
      </c>
      <c r="Q65" s="670">
        <f>SUMIF('New Resources - Individual'!$F$6:$Y$6,Q$6,'New Resources - Individual'!$F65:$Y65)</f>
        <v>0</v>
      </c>
      <c r="R65" s="670">
        <f>SUMIF('New Resources - Individual'!$F$6:$Y$6,R$6,'New Resources - Individual'!$F65:$Y65)</f>
        <v>0</v>
      </c>
      <c r="S65" s="670">
        <f>SUMIF('New Resources - Individual'!$F$6:$Y$6,S$6,'New Resources - Individual'!$F65:$Y65)</f>
        <v>0</v>
      </c>
      <c r="T65" s="670">
        <f>SUMIF('New Resources - Individual'!$F$6:$Y$6,T$6,'New Resources - Individual'!$F65:$Y65)</f>
        <v>0</v>
      </c>
      <c r="U65" s="670">
        <f>SUMIF('New Resources - Individual'!$F$6:$Y$6,U$6,'New Resources - Individual'!$F65:$Y65)</f>
        <v>0</v>
      </c>
      <c r="V65" s="670">
        <f>SUMIF('New Resources - Individual'!$F$6:$Y$6,V$6,'New Resources - Individual'!$F65:$Y65)</f>
        <v>0</v>
      </c>
      <c r="W65" s="670">
        <f>SUMIF('New Resources - Individual'!$F$6:$Y$6,W$6,'New Resources - Individual'!$F65:$Y65)</f>
        <v>0</v>
      </c>
      <c r="X65" s="670">
        <f>SUMIF('New Resources - Individual'!$F$6:$Y$6,X$6,'New Resources - Individual'!$F65:$Y65)</f>
        <v>0</v>
      </c>
      <c r="Y65" s="791">
        <f>SUMIF('New Resources - Individual'!$F$6:$Y$6,Y$6,'New Resources - Individual'!$F65:$Y65)</f>
        <v>0</v>
      </c>
      <c r="Z65" s="632"/>
      <c r="AA65" s="632"/>
      <c r="AB65" s="632"/>
      <c r="AC65" s="632"/>
      <c r="AD65" s="632"/>
      <c r="AE65" s="632"/>
      <c r="AF65" s="632"/>
      <c r="AG65" s="659"/>
      <c r="AH65" s="659"/>
    </row>
    <row r="66" spans="1:34" x14ac:dyDescent="0.25">
      <c r="A66" s="641">
        <v>690</v>
      </c>
      <c r="B66" s="790" t="s">
        <v>290</v>
      </c>
      <c r="C66" s="646"/>
      <c r="D66" s="646"/>
      <c r="E66" s="645"/>
      <c r="F66" s="669">
        <f>SUMIF('New Resources - Individual'!$F$6:$Y$6,F$6,'New Resources - Individual'!$F66:$Y66)</f>
        <v>0</v>
      </c>
      <c r="G66" s="669">
        <f>SUMIF('New Resources - Individual'!$F$6:$Y$6,G$6,'New Resources - Individual'!$F66:$Y66)</f>
        <v>0</v>
      </c>
      <c r="H66" s="670">
        <f>SUMIF('New Resources - Individual'!$F$6:$Y$6,H$6,'New Resources - Individual'!$F66:$Y66)</f>
        <v>0</v>
      </c>
      <c r="I66" s="669">
        <f>SUMIF('New Resources - Individual'!$F$6:$Y$6,I$6,'New Resources - Individual'!$F66:$Y66)</f>
        <v>0</v>
      </c>
      <c r="J66" s="670">
        <f>SUMIF('New Resources - Individual'!$F$6:$Y$6,J$6,'New Resources - Individual'!$F66:$Y66)</f>
        <v>0</v>
      </c>
      <c r="K66" s="670">
        <f>SUMIF('New Resources - Individual'!$F$6:$Y$6,K$6,'New Resources - Individual'!$F66:$Y66)</f>
        <v>0</v>
      </c>
      <c r="L66" s="670">
        <f>SUMIF('New Resources - Individual'!$F$6:$Y$6,L$6,'New Resources - Individual'!$F66:$Y66)</f>
        <v>0</v>
      </c>
      <c r="M66" s="670">
        <f>SUMIF('New Resources - Individual'!$F$6:$Y$6,M$6,'New Resources - Individual'!$F66:$Y66)</f>
        <v>0</v>
      </c>
      <c r="N66" s="670">
        <f>SUMIF('New Resources - Individual'!$F$6:$Y$6,N$6,'New Resources - Individual'!$F66:$Y66)</f>
        <v>0</v>
      </c>
      <c r="O66" s="670">
        <f>SUMIF('New Resources - Individual'!$F$6:$Y$6,O$6,'New Resources - Individual'!$F66:$Y66)</f>
        <v>0</v>
      </c>
      <c r="P66" s="670">
        <f>SUMIF('New Resources - Individual'!$F$6:$Y$6,P$6,'New Resources - Individual'!$F66:$Y66)</f>
        <v>0</v>
      </c>
      <c r="Q66" s="670">
        <f>SUMIF('New Resources - Individual'!$F$6:$Y$6,Q$6,'New Resources - Individual'!$F66:$Y66)</f>
        <v>0</v>
      </c>
      <c r="R66" s="670">
        <f>SUMIF('New Resources - Individual'!$F$6:$Y$6,R$6,'New Resources - Individual'!$F66:$Y66)</f>
        <v>0</v>
      </c>
      <c r="S66" s="670">
        <f>SUMIF('New Resources - Individual'!$F$6:$Y$6,S$6,'New Resources - Individual'!$F66:$Y66)</f>
        <v>0</v>
      </c>
      <c r="T66" s="670">
        <f>SUMIF('New Resources - Individual'!$F$6:$Y$6,T$6,'New Resources - Individual'!$F66:$Y66)</f>
        <v>0</v>
      </c>
      <c r="U66" s="670">
        <f>SUMIF('New Resources - Individual'!$F$6:$Y$6,U$6,'New Resources - Individual'!$F66:$Y66)</f>
        <v>0</v>
      </c>
      <c r="V66" s="670">
        <f>SUMIF('New Resources - Individual'!$F$6:$Y$6,V$6,'New Resources - Individual'!$F66:$Y66)</f>
        <v>0</v>
      </c>
      <c r="W66" s="670">
        <f>SUMIF('New Resources - Individual'!$F$6:$Y$6,W$6,'New Resources - Individual'!$F66:$Y66)</f>
        <v>0</v>
      </c>
      <c r="X66" s="670">
        <f>SUMIF('New Resources - Individual'!$F$6:$Y$6,X$6,'New Resources - Individual'!$F66:$Y66)</f>
        <v>0</v>
      </c>
      <c r="Y66" s="791">
        <f>SUMIF('New Resources - Individual'!$F$6:$Y$6,Y$6,'New Resources - Individual'!$F66:$Y66)</f>
        <v>0</v>
      </c>
      <c r="Z66" s="632"/>
      <c r="AA66" s="632"/>
      <c r="AB66" s="632"/>
      <c r="AC66" s="632"/>
      <c r="AD66" s="632"/>
      <c r="AE66" s="632"/>
      <c r="AF66" s="632"/>
      <c r="AG66" s="659"/>
      <c r="AH66" s="659"/>
    </row>
    <row r="67" spans="1:34" x14ac:dyDescent="0.25">
      <c r="A67" s="641">
        <v>700</v>
      </c>
      <c r="B67" s="792" t="s">
        <v>291</v>
      </c>
      <c r="C67" s="644"/>
      <c r="D67" s="644"/>
      <c r="E67" s="645"/>
      <c r="F67" s="669">
        <f>SUMIF('New Resources - Individual'!$F$6:$Y$6,F$6,'New Resources - Individual'!$F67:$Y67)</f>
        <v>0</v>
      </c>
      <c r="G67" s="669">
        <f>SUMIF('New Resources - Individual'!$F$6:$Y$6,G$6,'New Resources - Individual'!$F67:$Y67)</f>
        <v>0</v>
      </c>
      <c r="H67" s="670">
        <f>SUMIF('New Resources - Individual'!$F$6:$Y$6,H$6,'New Resources - Individual'!$F67:$Y67)</f>
        <v>0</v>
      </c>
      <c r="I67" s="669">
        <f>SUMIF('New Resources - Individual'!$F$6:$Y$6,I$6,'New Resources - Individual'!$F67:$Y67)</f>
        <v>0</v>
      </c>
      <c r="J67" s="670">
        <f>SUMIF('New Resources - Individual'!$F$6:$Y$6,J$6,'New Resources - Individual'!$F67:$Y67)</f>
        <v>0</v>
      </c>
      <c r="K67" s="670">
        <f>SUMIF('New Resources - Individual'!$F$6:$Y$6,K$6,'New Resources - Individual'!$F67:$Y67)</f>
        <v>0</v>
      </c>
      <c r="L67" s="670">
        <f>SUMIF('New Resources - Individual'!$F$6:$Y$6,L$6,'New Resources - Individual'!$F67:$Y67)</f>
        <v>0</v>
      </c>
      <c r="M67" s="670">
        <f>SUMIF('New Resources - Individual'!$F$6:$Y$6,M$6,'New Resources - Individual'!$F67:$Y67)</f>
        <v>0</v>
      </c>
      <c r="N67" s="670">
        <f>SUMIF('New Resources - Individual'!$F$6:$Y$6,N$6,'New Resources - Individual'!$F67:$Y67)</f>
        <v>0</v>
      </c>
      <c r="O67" s="670">
        <f>SUMIF('New Resources - Individual'!$F$6:$Y$6,O$6,'New Resources - Individual'!$F67:$Y67)</f>
        <v>0</v>
      </c>
      <c r="P67" s="670">
        <f>SUMIF('New Resources - Individual'!$F$6:$Y$6,P$6,'New Resources - Individual'!$F67:$Y67)</f>
        <v>0</v>
      </c>
      <c r="Q67" s="670">
        <f>SUMIF('New Resources - Individual'!$F$6:$Y$6,Q$6,'New Resources - Individual'!$F67:$Y67)</f>
        <v>0</v>
      </c>
      <c r="R67" s="670">
        <f>SUMIF('New Resources - Individual'!$F$6:$Y$6,R$6,'New Resources - Individual'!$F67:$Y67)</f>
        <v>0</v>
      </c>
      <c r="S67" s="670">
        <f>SUMIF('New Resources - Individual'!$F$6:$Y$6,S$6,'New Resources - Individual'!$F67:$Y67)</f>
        <v>0</v>
      </c>
      <c r="T67" s="670">
        <f>SUMIF('New Resources - Individual'!$F$6:$Y$6,T$6,'New Resources - Individual'!$F67:$Y67)</f>
        <v>0</v>
      </c>
      <c r="U67" s="670">
        <f>SUMIF('New Resources - Individual'!$F$6:$Y$6,U$6,'New Resources - Individual'!$F67:$Y67)</f>
        <v>0</v>
      </c>
      <c r="V67" s="670">
        <f>SUMIF('New Resources - Individual'!$F$6:$Y$6,V$6,'New Resources - Individual'!$F67:$Y67)</f>
        <v>0</v>
      </c>
      <c r="W67" s="670">
        <f>SUMIF('New Resources - Individual'!$F$6:$Y$6,W$6,'New Resources - Individual'!$F67:$Y67)</f>
        <v>0</v>
      </c>
      <c r="X67" s="670">
        <f>SUMIF('New Resources - Individual'!$F$6:$Y$6,X$6,'New Resources - Individual'!$F67:$Y67)</f>
        <v>0</v>
      </c>
      <c r="Y67" s="791">
        <f>SUMIF('New Resources - Individual'!$F$6:$Y$6,Y$6,'New Resources - Individual'!$F67:$Y67)</f>
        <v>0</v>
      </c>
      <c r="Z67" s="632"/>
      <c r="AA67" s="632"/>
      <c r="AB67" s="632"/>
      <c r="AC67" s="632"/>
      <c r="AD67" s="632"/>
      <c r="AE67" s="632"/>
      <c r="AF67" s="632"/>
      <c r="AG67" s="659"/>
      <c r="AH67" s="659"/>
    </row>
    <row r="68" spans="1:34" x14ac:dyDescent="0.25">
      <c r="A68" s="641">
        <v>710</v>
      </c>
      <c r="B68" s="790" t="s">
        <v>292</v>
      </c>
      <c r="C68" s="646"/>
      <c r="D68" s="646"/>
      <c r="E68" s="645"/>
      <c r="F68" s="669">
        <f>SUMIF('New Resources - Individual'!$F$6:$Y$6,F$6,'New Resources - Individual'!$F68:$Y68)</f>
        <v>0</v>
      </c>
      <c r="G68" s="669">
        <f>SUMIF('New Resources - Individual'!$F$6:$Y$6,G$6,'New Resources - Individual'!$F68:$Y68)</f>
        <v>0</v>
      </c>
      <c r="H68" s="670">
        <f>SUMIF('New Resources - Individual'!$F$6:$Y$6,H$6,'New Resources - Individual'!$F68:$Y68)</f>
        <v>0</v>
      </c>
      <c r="I68" s="669">
        <f>SUMIF('New Resources - Individual'!$F$6:$Y$6,I$6,'New Resources - Individual'!$F68:$Y68)</f>
        <v>0</v>
      </c>
      <c r="J68" s="670">
        <f>SUMIF('New Resources - Individual'!$F$6:$Y$6,J$6,'New Resources - Individual'!$F68:$Y68)</f>
        <v>0</v>
      </c>
      <c r="K68" s="670">
        <f>SUMIF('New Resources - Individual'!$F$6:$Y$6,K$6,'New Resources - Individual'!$F68:$Y68)</f>
        <v>0</v>
      </c>
      <c r="L68" s="670">
        <f>SUMIF('New Resources - Individual'!$F$6:$Y$6,L$6,'New Resources - Individual'!$F68:$Y68)</f>
        <v>0</v>
      </c>
      <c r="M68" s="670">
        <f>SUMIF('New Resources - Individual'!$F$6:$Y$6,M$6,'New Resources - Individual'!$F68:$Y68)</f>
        <v>0</v>
      </c>
      <c r="N68" s="670">
        <f>SUMIF('New Resources - Individual'!$F$6:$Y$6,N$6,'New Resources - Individual'!$F68:$Y68)</f>
        <v>0</v>
      </c>
      <c r="O68" s="670">
        <f>SUMIF('New Resources - Individual'!$F$6:$Y$6,O$6,'New Resources - Individual'!$F68:$Y68)</f>
        <v>0</v>
      </c>
      <c r="P68" s="670">
        <f>SUMIF('New Resources - Individual'!$F$6:$Y$6,P$6,'New Resources - Individual'!$F68:$Y68)</f>
        <v>0</v>
      </c>
      <c r="Q68" s="670">
        <f>SUMIF('New Resources - Individual'!$F$6:$Y$6,Q$6,'New Resources - Individual'!$F68:$Y68)</f>
        <v>0</v>
      </c>
      <c r="R68" s="670">
        <f>SUMIF('New Resources - Individual'!$F$6:$Y$6,R$6,'New Resources - Individual'!$F68:$Y68)</f>
        <v>0</v>
      </c>
      <c r="S68" s="670">
        <f>SUMIF('New Resources - Individual'!$F$6:$Y$6,S$6,'New Resources - Individual'!$F68:$Y68)</f>
        <v>0</v>
      </c>
      <c r="T68" s="670">
        <f>SUMIF('New Resources - Individual'!$F$6:$Y$6,T$6,'New Resources - Individual'!$F68:$Y68)</f>
        <v>0</v>
      </c>
      <c r="U68" s="670">
        <f>SUMIF('New Resources - Individual'!$F$6:$Y$6,U$6,'New Resources - Individual'!$F68:$Y68)</f>
        <v>0</v>
      </c>
      <c r="V68" s="670">
        <f>SUMIF('New Resources - Individual'!$F$6:$Y$6,V$6,'New Resources - Individual'!$F68:$Y68)</f>
        <v>0</v>
      </c>
      <c r="W68" s="670">
        <f>SUMIF('New Resources - Individual'!$F$6:$Y$6,W$6,'New Resources - Individual'!$F68:$Y68)</f>
        <v>0</v>
      </c>
      <c r="X68" s="670">
        <f>SUMIF('New Resources - Individual'!$F$6:$Y$6,X$6,'New Resources - Individual'!$F68:$Y68)</f>
        <v>0</v>
      </c>
      <c r="Y68" s="791">
        <f>SUMIF('New Resources - Individual'!$F$6:$Y$6,Y$6,'New Resources - Individual'!$F68:$Y68)</f>
        <v>0</v>
      </c>
      <c r="Z68" s="632"/>
      <c r="AA68" s="632"/>
      <c r="AB68" s="632"/>
      <c r="AC68" s="632"/>
      <c r="AD68" s="632"/>
      <c r="AE68" s="632"/>
      <c r="AF68" s="632"/>
      <c r="AG68" s="659"/>
      <c r="AH68" s="659"/>
    </row>
    <row r="69" spans="1:34" x14ac:dyDescent="0.25">
      <c r="A69" s="641">
        <v>720</v>
      </c>
      <c r="B69" s="792" t="s">
        <v>293</v>
      </c>
      <c r="C69" s="644"/>
      <c r="D69" s="644"/>
      <c r="E69" s="645"/>
      <c r="F69" s="669">
        <f>SUMIF('New Resources - Individual'!$F$6:$Y$6,F$6,'New Resources - Individual'!$F69:$Y69)</f>
        <v>0</v>
      </c>
      <c r="G69" s="669">
        <f>SUMIF('New Resources - Individual'!$F$6:$Y$6,G$6,'New Resources - Individual'!$F69:$Y69)</f>
        <v>0</v>
      </c>
      <c r="H69" s="670">
        <f>SUMIF('New Resources - Individual'!$F$6:$Y$6,H$6,'New Resources - Individual'!$F69:$Y69)</f>
        <v>0</v>
      </c>
      <c r="I69" s="669">
        <f>SUMIF('New Resources - Individual'!$F$6:$Y$6,I$6,'New Resources - Individual'!$F69:$Y69)</f>
        <v>0</v>
      </c>
      <c r="J69" s="670">
        <f>SUMIF('New Resources - Individual'!$F$6:$Y$6,J$6,'New Resources - Individual'!$F69:$Y69)</f>
        <v>0</v>
      </c>
      <c r="K69" s="670">
        <f>SUMIF('New Resources - Individual'!$F$6:$Y$6,K$6,'New Resources - Individual'!$F69:$Y69)</f>
        <v>0</v>
      </c>
      <c r="L69" s="670">
        <f>SUMIF('New Resources - Individual'!$F$6:$Y$6,L$6,'New Resources - Individual'!$F69:$Y69)</f>
        <v>0</v>
      </c>
      <c r="M69" s="670">
        <f>SUMIF('New Resources - Individual'!$F$6:$Y$6,M$6,'New Resources - Individual'!$F69:$Y69)</f>
        <v>0</v>
      </c>
      <c r="N69" s="670">
        <f>SUMIF('New Resources - Individual'!$F$6:$Y$6,N$6,'New Resources - Individual'!$F69:$Y69)</f>
        <v>0</v>
      </c>
      <c r="O69" s="670">
        <f>SUMIF('New Resources - Individual'!$F$6:$Y$6,O$6,'New Resources - Individual'!$F69:$Y69)</f>
        <v>0</v>
      </c>
      <c r="P69" s="670">
        <f>SUMIF('New Resources - Individual'!$F$6:$Y$6,P$6,'New Resources - Individual'!$F69:$Y69)</f>
        <v>0</v>
      </c>
      <c r="Q69" s="670">
        <f>SUMIF('New Resources - Individual'!$F$6:$Y$6,Q$6,'New Resources - Individual'!$F69:$Y69)</f>
        <v>0</v>
      </c>
      <c r="R69" s="670">
        <f>SUMIF('New Resources - Individual'!$F$6:$Y$6,R$6,'New Resources - Individual'!$F69:$Y69)</f>
        <v>0</v>
      </c>
      <c r="S69" s="670">
        <f>SUMIF('New Resources - Individual'!$F$6:$Y$6,S$6,'New Resources - Individual'!$F69:$Y69)</f>
        <v>0</v>
      </c>
      <c r="T69" s="670">
        <f>SUMIF('New Resources - Individual'!$F$6:$Y$6,T$6,'New Resources - Individual'!$F69:$Y69)</f>
        <v>0</v>
      </c>
      <c r="U69" s="670">
        <f>SUMIF('New Resources - Individual'!$F$6:$Y$6,U$6,'New Resources - Individual'!$F69:$Y69)</f>
        <v>0</v>
      </c>
      <c r="V69" s="670">
        <f>SUMIF('New Resources - Individual'!$F$6:$Y$6,V$6,'New Resources - Individual'!$F69:$Y69)</f>
        <v>0</v>
      </c>
      <c r="W69" s="670">
        <f>SUMIF('New Resources - Individual'!$F$6:$Y$6,W$6,'New Resources - Individual'!$F69:$Y69)</f>
        <v>0</v>
      </c>
      <c r="X69" s="670">
        <f>SUMIF('New Resources - Individual'!$F$6:$Y$6,X$6,'New Resources - Individual'!$F69:$Y69)</f>
        <v>0</v>
      </c>
      <c r="Y69" s="791">
        <f>SUMIF('New Resources - Individual'!$F$6:$Y$6,Y$6,'New Resources - Individual'!$F69:$Y69)</f>
        <v>0</v>
      </c>
      <c r="Z69" s="632"/>
      <c r="AA69" s="632"/>
      <c r="AB69" s="632"/>
      <c r="AC69" s="632"/>
      <c r="AD69" s="632"/>
      <c r="AE69" s="632"/>
      <c r="AF69" s="632"/>
      <c r="AG69" s="659"/>
      <c r="AH69" s="659"/>
    </row>
    <row r="70" spans="1:34" x14ac:dyDescent="0.25">
      <c r="A70" s="641">
        <v>730</v>
      </c>
      <c r="B70" s="790" t="s">
        <v>294</v>
      </c>
      <c r="C70" s="646"/>
      <c r="D70" s="646"/>
      <c r="E70" s="645"/>
      <c r="F70" s="669">
        <f>SUMIF('New Resources - Individual'!$F$6:$Y$6,F$6,'New Resources - Individual'!$F70:$Y70)</f>
        <v>0</v>
      </c>
      <c r="G70" s="669">
        <f>SUMIF('New Resources - Individual'!$F$6:$Y$6,G$6,'New Resources - Individual'!$F70:$Y70)</f>
        <v>0</v>
      </c>
      <c r="H70" s="670">
        <f>SUMIF('New Resources - Individual'!$F$6:$Y$6,H$6,'New Resources - Individual'!$F70:$Y70)</f>
        <v>0</v>
      </c>
      <c r="I70" s="669">
        <f>SUMIF('New Resources - Individual'!$F$6:$Y$6,I$6,'New Resources - Individual'!$F70:$Y70)</f>
        <v>0</v>
      </c>
      <c r="J70" s="670">
        <f>SUMIF('New Resources - Individual'!$F$6:$Y$6,J$6,'New Resources - Individual'!$F70:$Y70)</f>
        <v>0</v>
      </c>
      <c r="K70" s="670">
        <f>SUMIF('New Resources - Individual'!$F$6:$Y$6,K$6,'New Resources - Individual'!$F70:$Y70)</f>
        <v>0</v>
      </c>
      <c r="L70" s="670">
        <f>SUMIF('New Resources - Individual'!$F$6:$Y$6,L$6,'New Resources - Individual'!$F70:$Y70)</f>
        <v>0</v>
      </c>
      <c r="M70" s="670">
        <f>SUMIF('New Resources - Individual'!$F$6:$Y$6,M$6,'New Resources - Individual'!$F70:$Y70)</f>
        <v>0</v>
      </c>
      <c r="N70" s="670">
        <f>SUMIF('New Resources - Individual'!$F$6:$Y$6,N$6,'New Resources - Individual'!$F70:$Y70)</f>
        <v>0</v>
      </c>
      <c r="O70" s="670">
        <f>SUMIF('New Resources - Individual'!$F$6:$Y$6,O$6,'New Resources - Individual'!$F70:$Y70)</f>
        <v>0</v>
      </c>
      <c r="P70" s="670">
        <f>SUMIF('New Resources - Individual'!$F$6:$Y$6,P$6,'New Resources - Individual'!$F70:$Y70)</f>
        <v>0</v>
      </c>
      <c r="Q70" s="670">
        <f>SUMIF('New Resources - Individual'!$F$6:$Y$6,Q$6,'New Resources - Individual'!$F70:$Y70)</f>
        <v>0</v>
      </c>
      <c r="R70" s="670">
        <f>SUMIF('New Resources - Individual'!$F$6:$Y$6,R$6,'New Resources - Individual'!$F70:$Y70)</f>
        <v>0</v>
      </c>
      <c r="S70" s="670">
        <f>SUMIF('New Resources - Individual'!$F$6:$Y$6,S$6,'New Resources - Individual'!$F70:$Y70)</f>
        <v>0</v>
      </c>
      <c r="T70" s="670">
        <f>SUMIF('New Resources - Individual'!$F$6:$Y$6,T$6,'New Resources - Individual'!$F70:$Y70)</f>
        <v>0</v>
      </c>
      <c r="U70" s="670">
        <f>SUMIF('New Resources - Individual'!$F$6:$Y$6,U$6,'New Resources - Individual'!$F70:$Y70)</f>
        <v>0</v>
      </c>
      <c r="V70" s="670">
        <f>SUMIF('New Resources - Individual'!$F$6:$Y$6,V$6,'New Resources - Individual'!$F70:$Y70)</f>
        <v>0</v>
      </c>
      <c r="W70" s="670">
        <f>SUMIF('New Resources - Individual'!$F$6:$Y$6,W$6,'New Resources - Individual'!$F70:$Y70)</f>
        <v>0</v>
      </c>
      <c r="X70" s="670">
        <f>SUMIF('New Resources - Individual'!$F$6:$Y$6,X$6,'New Resources - Individual'!$F70:$Y70)</f>
        <v>0</v>
      </c>
      <c r="Y70" s="791">
        <f>SUMIF('New Resources - Individual'!$F$6:$Y$6,Y$6,'New Resources - Individual'!$F70:$Y70)</f>
        <v>0</v>
      </c>
      <c r="Z70" s="632"/>
      <c r="AA70" s="632"/>
      <c r="AB70" s="632"/>
      <c r="AC70" s="632"/>
      <c r="AD70" s="632"/>
      <c r="AE70" s="632"/>
      <c r="AF70" s="632"/>
      <c r="AG70" s="659"/>
      <c r="AH70" s="659"/>
    </row>
    <row r="71" spans="1:34" x14ac:dyDescent="0.25">
      <c r="A71" s="641">
        <v>740</v>
      </c>
      <c r="B71" s="792" t="s">
        <v>295</v>
      </c>
      <c r="C71" s="644"/>
      <c r="D71" s="644"/>
      <c r="E71" s="645"/>
      <c r="F71" s="669">
        <f>SUMIF('New Resources - Individual'!$F$6:$Y$6,F$6,'New Resources - Individual'!$F71:$Y71)</f>
        <v>0</v>
      </c>
      <c r="G71" s="669">
        <f>SUMIF('New Resources - Individual'!$F$6:$Y$6,G$6,'New Resources - Individual'!$F71:$Y71)</f>
        <v>0</v>
      </c>
      <c r="H71" s="670">
        <f>SUMIF('New Resources - Individual'!$F$6:$Y$6,H$6,'New Resources - Individual'!$F71:$Y71)</f>
        <v>0</v>
      </c>
      <c r="I71" s="669">
        <f>SUMIF('New Resources - Individual'!$F$6:$Y$6,I$6,'New Resources - Individual'!$F71:$Y71)</f>
        <v>0</v>
      </c>
      <c r="J71" s="670">
        <f>SUMIF('New Resources - Individual'!$F$6:$Y$6,J$6,'New Resources - Individual'!$F71:$Y71)</f>
        <v>0</v>
      </c>
      <c r="K71" s="670">
        <f>SUMIF('New Resources - Individual'!$F$6:$Y$6,K$6,'New Resources - Individual'!$F71:$Y71)</f>
        <v>0</v>
      </c>
      <c r="L71" s="670">
        <f>SUMIF('New Resources - Individual'!$F$6:$Y$6,L$6,'New Resources - Individual'!$F71:$Y71)</f>
        <v>0</v>
      </c>
      <c r="M71" s="670">
        <f>SUMIF('New Resources - Individual'!$F$6:$Y$6,M$6,'New Resources - Individual'!$F71:$Y71)</f>
        <v>0</v>
      </c>
      <c r="N71" s="670">
        <f>SUMIF('New Resources - Individual'!$F$6:$Y$6,N$6,'New Resources - Individual'!$F71:$Y71)</f>
        <v>0</v>
      </c>
      <c r="O71" s="670">
        <f>SUMIF('New Resources - Individual'!$F$6:$Y$6,O$6,'New Resources - Individual'!$F71:$Y71)</f>
        <v>0</v>
      </c>
      <c r="P71" s="670">
        <f>SUMIF('New Resources - Individual'!$F$6:$Y$6,P$6,'New Resources - Individual'!$F71:$Y71)</f>
        <v>0</v>
      </c>
      <c r="Q71" s="670">
        <f>SUMIF('New Resources - Individual'!$F$6:$Y$6,Q$6,'New Resources - Individual'!$F71:$Y71)</f>
        <v>0</v>
      </c>
      <c r="R71" s="670">
        <f>SUMIF('New Resources - Individual'!$F$6:$Y$6,R$6,'New Resources - Individual'!$F71:$Y71)</f>
        <v>0</v>
      </c>
      <c r="S71" s="670">
        <f>SUMIF('New Resources - Individual'!$F$6:$Y$6,S$6,'New Resources - Individual'!$F71:$Y71)</f>
        <v>0</v>
      </c>
      <c r="T71" s="670">
        <f>SUMIF('New Resources - Individual'!$F$6:$Y$6,T$6,'New Resources - Individual'!$F71:$Y71)</f>
        <v>0</v>
      </c>
      <c r="U71" s="670">
        <f>SUMIF('New Resources - Individual'!$F$6:$Y$6,U$6,'New Resources - Individual'!$F71:$Y71)</f>
        <v>0</v>
      </c>
      <c r="V71" s="670">
        <f>SUMIF('New Resources - Individual'!$F$6:$Y$6,V$6,'New Resources - Individual'!$F71:$Y71)</f>
        <v>0</v>
      </c>
      <c r="W71" s="670">
        <f>SUMIF('New Resources - Individual'!$F$6:$Y$6,W$6,'New Resources - Individual'!$F71:$Y71)</f>
        <v>0</v>
      </c>
      <c r="X71" s="670">
        <f>SUMIF('New Resources - Individual'!$F$6:$Y$6,X$6,'New Resources - Individual'!$F71:$Y71)</f>
        <v>0</v>
      </c>
      <c r="Y71" s="791">
        <f>SUMIF('New Resources - Individual'!$F$6:$Y$6,Y$6,'New Resources - Individual'!$F71:$Y71)</f>
        <v>0</v>
      </c>
      <c r="Z71" s="632"/>
      <c r="AA71" s="632"/>
      <c r="AB71" s="632"/>
      <c r="AC71" s="632"/>
      <c r="AD71" s="632"/>
      <c r="AE71" s="632"/>
      <c r="AF71" s="632"/>
      <c r="AG71" s="659"/>
      <c r="AH71" s="659"/>
    </row>
    <row r="72" spans="1:34" x14ac:dyDescent="0.25">
      <c r="A72" s="641">
        <v>750</v>
      </c>
      <c r="B72" s="790" t="s">
        <v>296</v>
      </c>
      <c r="C72" s="644"/>
      <c r="D72" s="644"/>
      <c r="E72" s="645"/>
      <c r="F72" s="669">
        <f>SUMIF('New Resources - Individual'!$F$6:$Y$6,F$6,'New Resources - Individual'!$F72:$Y72)</f>
        <v>0</v>
      </c>
      <c r="G72" s="669">
        <f>SUMIF('New Resources - Individual'!$F$6:$Y$6,G$6,'New Resources - Individual'!$F72:$Y72)</f>
        <v>0</v>
      </c>
      <c r="H72" s="670">
        <f>SUMIF('New Resources - Individual'!$F$6:$Y$6,H$6,'New Resources - Individual'!$F72:$Y72)</f>
        <v>0</v>
      </c>
      <c r="I72" s="669">
        <f>SUMIF('New Resources - Individual'!$F$6:$Y$6,I$6,'New Resources - Individual'!$F72:$Y72)</f>
        <v>0</v>
      </c>
      <c r="J72" s="670">
        <f>SUMIF('New Resources - Individual'!$F$6:$Y$6,J$6,'New Resources - Individual'!$F72:$Y72)</f>
        <v>0</v>
      </c>
      <c r="K72" s="670">
        <f>SUMIF('New Resources - Individual'!$F$6:$Y$6,K$6,'New Resources - Individual'!$F72:$Y72)</f>
        <v>0</v>
      </c>
      <c r="L72" s="670">
        <f>SUMIF('New Resources - Individual'!$F$6:$Y$6,L$6,'New Resources - Individual'!$F72:$Y72)</f>
        <v>0</v>
      </c>
      <c r="M72" s="670">
        <f>SUMIF('New Resources - Individual'!$F$6:$Y$6,M$6,'New Resources - Individual'!$F72:$Y72)</f>
        <v>0</v>
      </c>
      <c r="N72" s="670">
        <f>SUMIF('New Resources - Individual'!$F$6:$Y$6,N$6,'New Resources - Individual'!$F72:$Y72)</f>
        <v>0</v>
      </c>
      <c r="O72" s="670">
        <f>SUMIF('New Resources - Individual'!$F$6:$Y$6,O$6,'New Resources - Individual'!$F72:$Y72)</f>
        <v>0</v>
      </c>
      <c r="P72" s="670">
        <f>SUMIF('New Resources - Individual'!$F$6:$Y$6,P$6,'New Resources - Individual'!$F72:$Y72)</f>
        <v>0</v>
      </c>
      <c r="Q72" s="670">
        <f>SUMIF('New Resources - Individual'!$F$6:$Y$6,Q$6,'New Resources - Individual'!$F72:$Y72)</f>
        <v>0</v>
      </c>
      <c r="R72" s="670">
        <f>SUMIF('New Resources - Individual'!$F$6:$Y$6,R$6,'New Resources - Individual'!$F72:$Y72)</f>
        <v>0</v>
      </c>
      <c r="S72" s="670">
        <f>SUMIF('New Resources - Individual'!$F$6:$Y$6,S$6,'New Resources - Individual'!$F72:$Y72)</f>
        <v>0</v>
      </c>
      <c r="T72" s="670">
        <f>SUMIF('New Resources - Individual'!$F$6:$Y$6,T$6,'New Resources - Individual'!$F72:$Y72)</f>
        <v>0</v>
      </c>
      <c r="U72" s="670">
        <f>SUMIF('New Resources - Individual'!$F$6:$Y$6,U$6,'New Resources - Individual'!$F72:$Y72)</f>
        <v>0</v>
      </c>
      <c r="V72" s="670">
        <f>SUMIF('New Resources - Individual'!$F$6:$Y$6,V$6,'New Resources - Individual'!$F72:$Y72)</f>
        <v>0</v>
      </c>
      <c r="W72" s="670">
        <f>SUMIF('New Resources - Individual'!$F$6:$Y$6,W$6,'New Resources - Individual'!$F72:$Y72)</f>
        <v>0</v>
      </c>
      <c r="X72" s="670">
        <f>SUMIF('New Resources - Individual'!$F$6:$Y$6,X$6,'New Resources - Individual'!$F72:$Y72)</f>
        <v>0</v>
      </c>
      <c r="Y72" s="791">
        <f>SUMIF('New Resources - Individual'!$F$6:$Y$6,Y$6,'New Resources - Individual'!$F72:$Y72)</f>
        <v>0</v>
      </c>
      <c r="Z72" s="632"/>
      <c r="AA72" s="632"/>
      <c r="AB72" s="632"/>
      <c r="AC72" s="632"/>
      <c r="AD72" s="632"/>
      <c r="AE72" s="632"/>
      <c r="AF72" s="632"/>
      <c r="AG72" s="659"/>
      <c r="AH72" s="659"/>
    </row>
    <row r="73" spans="1:34" x14ac:dyDescent="0.25">
      <c r="A73" s="641">
        <v>760</v>
      </c>
      <c r="B73" s="792" t="s">
        <v>297</v>
      </c>
      <c r="C73" s="646"/>
      <c r="D73" s="646"/>
      <c r="E73" s="645"/>
      <c r="F73" s="669">
        <f>SUMIF('New Resources - Individual'!$F$6:$Y$6,F$6,'New Resources - Individual'!$F73:$Y73)</f>
        <v>0</v>
      </c>
      <c r="G73" s="669">
        <f>SUMIF('New Resources - Individual'!$F$6:$Y$6,G$6,'New Resources - Individual'!$F73:$Y73)</f>
        <v>0</v>
      </c>
      <c r="H73" s="670">
        <f>SUMIF('New Resources - Individual'!$F$6:$Y$6,H$6,'New Resources - Individual'!$F73:$Y73)</f>
        <v>0</v>
      </c>
      <c r="I73" s="669">
        <f>SUMIF('New Resources - Individual'!$F$6:$Y$6,I$6,'New Resources - Individual'!$F73:$Y73)</f>
        <v>0</v>
      </c>
      <c r="J73" s="670">
        <f>SUMIF('New Resources - Individual'!$F$6:$Y$6,J$6,'New Resources - Individual'!$F73:$Y73)</f>
        <v>0</v>
      </c>
      <c r="K73" s="670">
        <f>SUMIF('New Resources - Individual'!$F$6:$Y$6,K$6,'New Resources - Individual'!$F73:$Y73)</f>
        <v>0</v>
      </c>
      <c r="L73" s="670">
        <f>SUMIF('New Resources - Individual'!$F$6:$Y$6,L$6,'New Resources - Individual'!$F73:$Y73)</f>
        <v>0</v>
      </c>
      <c r="M73" s="670">
        <f>SUMIF('New Resources - Individual'!$F$6:$Y$6,M$6,'New Resources - Individual'!$F73:$Y73)</f>
        <v>0</v>
      </c>
      <c r="N73" s="670">
        <f>SUMIF('New Resources - Individual'!$F$6:$Y$6,N$6,'New Resources - Individual'!$F73:$Y73)</f>
        <v>0</v>
      </c>
      <c r="O73" s="670">
        <f>SUMIF('New Resources - Individual'!$F$6:$Y$6,O$6,'New Resources - Individual'!$F73:$Y73)</f>
        <v>0</v>
      </c>
      <c r="P73" s="670">
        <f>SUMIF('New Resources - Individual'!$F$6:$Y$6,P$6,'New Resources - Individual'!$F73:$Y73)</f>
        <v>0</v>
      </c>
      <c r="Q73" s="670">
        <f>SUMIF('New Resources - Individual'!$F$6:$Y$6,Q$6,'New Resources - Individual'!$F73:$Y73)</f>
        <v>0</v>
      </c>
      <c r="R73" s="670">
        <f>SUMIF('New Resources - Individual'!$F$6:$Y$6,R$6,'New Resources - Individual'!$F73:$Y73)</f>
        <v>0</v>
      </c>
      <c r="S73" s="670">
        <f>SUMIF('New Resources - Individual'!$F$6:$Y$6,S$6,'New Resources - Individual'!$F73:$Y73)</f>
        <v>0</v>
      </c>
      <c r="T73" s="670">
        <f>SUMIF('New Resources - Individual'!$F$6:$Y$6,T$6,'New Resources - Individual'!$F73:$Y73)</f>
        <v>0</v>
      </c>
      <c r="U73" s="670">
        <f>SUMIF('New Resources - Individual'!$F$6:$Y$6,U$6,'New Resources - Individual'!$F73:$Y73)</f>
        <v>0</v>
      </c>
      <c r="V73" s="670">
        <f>SUMIF('New Resources - Individual'!$F$6:$Y$6,V$6,'New Resources - Individual'!$F73:$Y73)</f>
        <v>0</v>
      </c>
      <c r="W73" s="670">
        <f>SUMIF('New Resources - Individual'!$F$6:$Y$6,W$6,'New Resources - Individual'!$F73:$Y73)</f>
        <v>0</v>
      </c>
      <c r="X73" s="670">
        <f>SUMIF('New Resources - Individual'!$F$6:$Y$6,X$6,'New Resources - Individual'!$F73:$Y73)</f>
        <v>0</v>
      </c>
      <c r="Y73" s="791">
        <f>SUMIF('New Resources - Individual'!$F$6:$Y$6,Y$6,'New Resources - Individual'!$F73:$Y73)</f>
        <v>0</v>
      </c>
      <c r="Z73" s="632"/>
      <c r="AA73" s="632"/>
      <c r="AB73" s="632"/>
      <c r="AC73" s="632"/>
      <c r="AD73" s="632"/>
      <c r="AE73" s="632"/>
      <c r="AF73" s="632"/>
      <c r="AG73" s="659"/>
      <c r="AH73" s="659"/>
    </row>
    <row r="74" spans="1:34" x14ac:dyDescent="0.25">
      <c r="A74" s="641">
        <v>770</v>
      </c>
      <c r="B74" s="792"/>
      <c r="C74" s="644"/>
      <c r="D74" s="644"/>
      <c r="E74" s="645"/>
      <c r="F74" s="669"/>
      <c r="G74" s="670"/>
      <c r="H74" s="670"/>
      <c r="I74" s="669"/>
      <c r="J74" s="670"/>
      <c r="K74" s="670"/>
      <c r="L74" s="670"/>
      <c r="M74" s="670"/>
      <c r="N74" s="670"/>
      <c r="O74" s="670"/>
      <c r="P74" s="670"/>
      <c r="Q74" s="670"/>
      <c r="R74" s="670"/>
      <c r="S74" s="670"/>
      <c r="T74" s="670"/>
      <c r="U74" s="670"/>
      <c r="V74" s="670"/>
      <c r="W74" s="670"/>
      <c r="X74" s="670"/>
      <c r="Y74" s="791"/>
      <c r="Z74" s="632"/>
      <c r="AA74" s="632"/>
      <c r="AB74" s="632"/>
      <c r="AC74" s="632"/>
      <c r="AD74" s="632"/>
      <c r="AE74" s="632"/>
      <c r="AF74" s="632"/>
      <c r="AG74" s="659"/>
      <c r="AH74" s="659"/>
    </row>
    <row r="75" spans="1:34" x14ac:dyDescent="0.25">
      <c r="A75" s="641">
        <v>780</v>
      </c>
      <c r="B75" s="793" t="s">
        <v>298</v>
      </c>
      <c r="C75" s="647"/>
      <c r="D75" s="647"/>
      <c r="E75" s="648"/>
      <c r="F75" s="669"/>
      <c r="G75" s="672"/>
      <c r="H75" s="672"/>
      <c r="I75" s="672"/>
      <c r="J75" s="672"/>
      <c r="K75" s="672"/>
      <c r="L75" s="672"/>
      <c r="M75" s="672"/>
      <c r="N75" s="672"/>
      <c r="O75" s="672"/>
      <c r="P75" s="672"/>
      <c r="Q75" s="672"/>
      <c r="R75" s="672"/>
      <c r="S75" s="672"/>
      <c r="T75" s="672"/>
      <c r="U75" s="672"/>
      <c r="V75" s="672"/>
      <c r="W75" s="672"/>
      <c r="X75" s="672"/>
      <c r="Y75" s="794"/>
      <c r="Z75" s="632"/>
      <c r="AA75" s="632"/>
      <c r="AB75" s="632"/>
      <c r="AC75" s="632"/>
      <c r="AD75" s="632"/>
      <c r="AE75" s="632"/>
      <c r="AF75" s="632"/>
      <c r="AG75" s="659"/>
      <c r="AH75" s="659"/>
    </row>
    <row r="76" spans="1:34" x14ac:dyDescent="0.25">
      <c r="A76" s="641">
        <v>781</v>
      </c>
      <c r="B76" s="792" t="s">
        <v>296</v>
      </c>
      <c r="C76" s="647"/>
      <c r="D76" s="647" t="s">
        <v>598</v>
      </c>
      <c r="E76" s="648"/>
      <c r="F76" s="669">
        <f>SUMIF('New Resources - Individual'!$F$6:$Y$6,F$6,'New Resources - Individual'!$F76:$Y76)</f>
        <v>0</v>
      </c>
      <c r="G76" s="669">
        <f>SUMIF('New Resources - Individual'!$F$6:$Y$6,G$6,'New Resources - Individual'!$F76:$Y76)</f>
        <v>0</v>
      </c>
      <c r="H76" s="670">
        <f>SUMIF('New Resources - Individual'!$F$6:$Y$6,H$6,'New Resources - Individual'!$F76:$Y76)</f>
        <v>0</v>
      </c>
      <c r="I76" s="669">
        <f>SUMIF('New Resources - Individual'!$F$6:$Y$6,I$6,'New Resources - Individual'!$F76:$Y76)</f>
        <v>0</v>
      </c>
      <c r="J76" s="670">
        <f>SUMIF('New Resources - Individual'!$F$6:$Y$6,J$6,'New Resources - Individual'!$F76:$Y76)</f>
        <v>0</v>
      </c>
      <c r="K76" s="670">
        <f>SUMIF('New Resources - Individual'!$F$6:$Y$6,K$6,'New Resources - Individual'!$F76:$Y76)</f>
        <v>0</v>
      </c>
      <c r="L76" s="670">
        <f>SUMIF('New Resources - Individual'!$F$6:$Y$6,L$6,'New Resources - Individual'!$F76:$Y76)</f>
        <v>0</v>
      </c>
      <c r="M76" s="670">
        <f>SUMIF('New Resources - Individual'!$F$6:$Y$6,M$6,'New Resources - Individual'!$F76:$Y76)</f>
        <v>0</v>
      </c>
      <c r="N76" s="670">
        <f>SUMIF('New Resources - Individual'!$F$6:$Y$6,N$6,'New Resources - Individual'!$F76:$Y76)</f>
        <v>0</v>
      </c>
      <c r="O76" s="670">
        <f>SUMIF('New Resources - Individual'!$F$6:$Y$6,O$6,'New Resources - Individual'!$F76:$Y76)</f>
        <v>0</v>
      </c>
      <c r="P76" s="670">
        <f>SUMIF('New Resources - Individual'!$F$6:$Y$6,P$6,'New Resources - Individual'!$F76:$Y76)</f>
        <v>0</v>
      </c>
      <c r="Q76" s="670">
        <f>SUMIF('New Resources - Individual'!$F$6:$Y$6,Q$6,'New Resources - Individual'!$F76:$Y76)</f>
        <v>0</v>
      </c>
      <c r="R76" s="670">
        <f>SUMIF('New Resources - Individual'!$F$6:$Y$6,R$6,'New Resources - Individual'!$F76:$Y76)</f>
        <v>0</v>
      </c>
      <c r="S76" s="670">
        <f>SUMIF('New Resources - Individual'!$F$6:$Y$6,S$6,'New Resources - Individual'!$F76:$Y76)</f>
        <v>0</v>
      </c>
      <c r="T76" s="670">
        <f>SUMIF('New Resources - Individual'!$F$6:$Y$6,T$6,'New Resources - Individual'!$F76:$Y76)</f>
        <v>0</v>
      </c>
      <c r="U76" s="670">
        <f>SUMIF('New Resources - Individual'!$F$6:$Y$6,U$6,'New Resources - Individual'!$F76:$Y76)</f>
        <v>0</v>
      </c>
      <c r="V76" s="670">
        <f>SUMIF('New Resources - Individual'!$F$6:$Y$6,V$6,'New Resources - Individual'!$F76:$Y76)</f>
        <v>0</v>
      </c>
      <c r="W76" s="670">
        <f>SUMIF('New Resources - Individual'!$F$6:$Y$6,W$6,'New Resources - Individual'!$F76:$Y76)</f>
        <v>0</v>
      </c>
      <c r="X76" s="670">
        <f>SUMIF('New Resources - Individual'!$F$6:$Y$6,X$6,'New Resources - Individual'!$F76:$Y76)</f>
        <v>0</v>
      </c>
      <c r="Y76" s="791">
        <f>SUMIF('New Resources - Individual'!$F$6:$Y$6,Y$6,'New Resources - Individual'!$F76:$Y76)</f>
        <v>0</v>
      </c>
      <c r="Z76" s="632"/>
      <c r="AA76" s="632"/>
      <c r="AB76" s="632"/>
      <c r="AC76" s="632"/>
      <c r="AD76" s="632"/>
      <c r="AE76" s="632"/>
      <c r="AF76" s="632"/>
      <c r="AG76" s="659"/>
      <c r="AH76" s="659"/>
    </row>
    <row r="77" spans="1:34" x14ac:dyDescent="0.25">
      <c r="A77" s="641">
        <v>782</v>
      </c>
      <c r="B77" s="792" t="s">
        <v>297</v>
      </c>
      <c r="C77" s="647"/>
      <c r="D77" s="647"/>
      <c r="E77" s="648"/>
      <c r="F77" s="669">
        <f>SUMIF('New Resources - Individual'!$F$6:$Y$6,F$6,'New Resources - Individual'!$F77:$Y77)</f>
        <v>0</v>
      </c>
      <c r="G77" s="669">
        <f>SUMIF('New Resources - Individual'!$F$6:$Y$6,G$6,'New Resources - Individual'!$F77:$Y77)</f>
        <v>0</v>
      </c>
      <c r="H77" s="670">
        <f>SUMIF('New Resources - Individual'!$F$6:$Y$6,H$6,'New Resources - Individual'!$F77:$Y77)</f>
        <v>0</v>
      </c>
      <c r="I77" s="669">
        <f>SUMIF('New Resources - Individual'!$F$6:$Y$6,I$6,'New Resources - Individual'!$F77:$Y77)</f>
        <v>0</v>
      </c>
      <c r="J77" s="670">
        <f>SUMIF('New Resources - Individual'!$F$6:$Y$6,J$6,'New Resources - Individual'!$F77:$Y77)</f>
        <v>0</v>
      </c>
      <c r="K77" s="670">
        <f>SUMIF('New Resources - Individual'!$F$6:$Y$6,K$6,'New Resources - Individual'!$F77:$Y77)</f>
        <v>0</v>
      </c>
      <c r="L77" s="670">
        <f>SUMIF('New Resources - Individual'!$F$6:$Y$6,L$6,'New Resources - Individual'!$F77:$Y77)</f>
        <v>0</v>
      </c>
      <c r="M77" s="670">
        <f>SUMIF('New Resources - Individual'!$F$6:$Y$6,M$6,'New Resources - Individual'!$F77:$Y77)</f>
        <v>0</v>
      </c>
      <c r="N77" s="670">
        <f>SUMIF('New Resources - Individual'!$F$6:$Y$6,N$6,'New Resources - Individual'!$F77:$Y77)</f>
        <v>0</v>
      </c>
      <c r="O77" s="670">
        <f>SUMIF('New Resources - Individual'!$F$6:$Y$6,O$6,'New Resources - Individual'!$F77:$Y77)</f>
        <v>0</v>
      </c>
      <c r="P77" s="670">
        <f>SUMIF('New Resources - Individual'!$F$6:$Y$6,P$6,'New Resources - Individual'!$F77:$Y77)</f>
        <v>0</v>
      </c>
      <c r="Q77" s="670">
        <f>SUMIF('New Resources - Individual'!$F$6:$Y$6,Q$6,'New Resources - Individual'!$F77:$Y77)</f>
        <v>0</v>
      </c>
      <c r="R77" s="670">
        <f>SUMIF('New Resources - Individual'!$F$6:$Y$6,R$6,'New Resources - Individual'!$F77:$Y77)</f>
        <v>0</v>
      </c>
      <c r="S77" s="670">
        <f>SUMIF('New Resources - Individual'!$F$6:$Y$6,S$6,'New Resources - Individual'!$F77:$Y77)</f>
        <v>0</v>
      </c>
      <c r="T77" s="670">
        <f>SUMIF('New Resources - Individual'!$F$6:$Y$6,T$6,'New Resources - Individual'!$F77:$Y77)</f>
        <v>0</v>
      </c>
      <c r="U77" s="670">
        <f>SUMIF('New Resources - Individual'!$F$6:$Y$6,U$6,'New Resources - Individual'!$F77:$Y77)</f>
        <v>0</v>
      </c>
      <c r="V77" s="670">
        <f>SUMIF('New Resources - Individual'!$F$6:$Y$6,V$6,'New Resources - Individual'!$F77:$Y77)</f>
        <v>0</v>
      </c>
      <c r="W77" s="670">
        <f>SUMIF('New Resources - Individual'!$F$6:$Y$6,W$6,'New Resources - Individual'!$F77:$Y77)</f>
        <v>0</v>
      </c>
      <c r="X77" s="670">
        <f>SUMIF('New Resources - Individual'!$F$6:$Y$6,X$6,'New Resources - Individual'!$F77:$Y77)</f>
        <v>0</v>
      </c>
      <c r="Y77" s="791">
        <f>SUMIF('New Resources - Individual'!$F$6:$Y$6,Y$6,'New Resources - Individual'!$F77:$Y77)</f>
        <v>0</v>
      </c>
      <c r="Z77" s="632"/>
      <c r="AA77" s="632"/>
      <c r="AB77" s="632"/>
      <c r="AC77" s="632"/>
      <c r="AD77" s="632"/>
      <c r="AE77" s="632"/>
      <c r="AF77" s="632"/>
      <c r="AG77" s="659"/>
      <c r="AH77" s="659"/>
    </row>
    <row r="78" spans="1:34" x14ac:dyDescent="0.25">
      <c r="A78" s="641">
        <v>790</v>
      </c>
      <c r="B78" s="792" t="s">
        <v>266</v>
      </c>
      <c r="C78" s="644">
        <v>555</v>
      </c>
      <c r="D78" s="644" t="s">
        <v>598</v>
      </c>
      <c r="E78" s="645"/>
      <c r="F78" s="669">
        <f>SUMIF('New Resources - Individual'!$F$6:$Y$6,F$6,'New Resources - Individual'!$F78:$Y78)</f>
        <v>0</v>
      </c>
      <c r="G78" s="669">
        <f>SUMIF('New Resources - Individual'!$F$6:$Y$6,G$6,'New Resources - Individual'!$F78:$Y78)</f>
        <v>0</v>
      </c>
      <c r="H78" s="670">
        <f>SUMIF('New Resources - Individual'!$F$6:$Y$6,H$6,'New Resources - Individual'!$F78:$Y78)</f>
        <v>0</v>
      </c>
      <c r="I78" s="669">
        <f>SUMIF('New Resources - Individual'!$F$6:$Y$6,I$6,'New Resources - Individual'!$F78:$Y78)</f>
        <v>0</v>
      </c>
      <c r="J78" s="670">
        <f>SUMIF('New Resources - Individual'!$F$6:$Y$6,J$6,'New Resources - Individual'!$F78:$Y78)</f>
        <v>0</v>
      </c>
      <c r="K78" s="670">
        <f>SUMIF('New Resources - Individual'!$F$6:$Y$6,K$6,'New Resources - Individual'!$F78:$Y78)</f>
        <v>0</v>
      </c>
      <c r="L78" s="670">
        <f>SUMIF('New Resources - Individual'!$F$6:$Y$6,L$6,'New Resources - Individual'!$F78:$Y78)</f>
        <v>0</v>
      </c>
      <c r="M78" s="670">
        <f>SUMIF('New Resources - Individual'!$F$6:$Y$6,M$6,'New Resources - Individual'!$F78:$Y78)</f>
        <v>0</v>
      </c>
      <c r="N78" s="670">
        <f>SUMIF('New Resources - Individual'!$F$6:$Y$6,N$6,'New Resources - Individual'!$F78:$Y78)</f>
        <v>0</v>
      </c>
      <c r="O78" s="670">
        <f>SUMIF('New Resources - Individual'!$F$6:$Y$6,O$6,'New Resources - Individual'!$F78:$Y78)</f>
        <v>0</v>
      </c>
      <c r="P78" s="670">
        <f>SUMIF('New Resources - Individual'!$F$6:$Y$6,P$6,'New Resources - Individual'!$F78:$Y78)</f>
        <v>0</v>
      </c>
      <c r="Q78" s="670">
        <f>SUMIF('New Resources - Individual'!$F$6:$Y$6,Q$6,'New Resources - Individual'!$F78:$Y78)</f>
        <v>0</v>
      </c>
      <c r="R78" s="670">
        <f>SUMIF('New Resources - Individual'!$F$6:$Y$6,R$6,'New Resources - Individual'!$F78:$Y78)</f>
        <v>0</v>
      </c>
      <c r="S78" s="670">
        <f>SUMIF('New Resources - Individual'!$F$6:$Y$6,S$6,'New Resources - Individual'!$F78:$Y78)</f>
        <v>0</v>
      </c>
      <c r="T78" s="670">
        <f>SUMIF('New Resources - Individual'!$F$6:$Y$6,T$6,'New Resources - Individual'!$F78:$Y78)</f>
        <v>0</v>
      </c>
      <c r="U78" s="670">
        <f>SUMIF('New Resources - Individual'!$F$6:$Y$6,U$6,'New Resources - Individual'!$F78:$Y78)</f>
        <v>0</v>
      </c>
      <c r="V78" s="670">
        <f>SUMIF('New Resources - Individual'!$F$6:$Y$6,V$6,'New Resources - Individual'!$F78:$Y78)</f>
        <v>0</v>
      </c>
      <c r="W78" s="670">
        <f>SUMIF('New Resources - Individual'!$F$6:$Y$6,W$6,'New Resources - Individual'!$F78:$Y78)</f>
        <v>0</v>
      </c>
      <c r="X78" s="670">
        <f>SUMIF('New Resources - Individual'!$F$6:$Y$6,X$6,'New Resources - Individual'!$F78:$Y78)</f>
        <v>0</v>
      </c>
      <c r="Y78" s="791">
        <f>SUMIF('New Resources - Individual'!$F$6:$Y$6,Y$6,'New Resources - Individual'!$F78:$Y78)</f>
        <v>0</v>
      </c>
      <c r="Z78" s="632"/>
      <c r="AA78" s="632"/>
      <c r="AB78" s="632"/>
      <c r="AC78" s="632"/>
      <c r="AD78" s="632"/>
      <c r="AE78" s="632"/>
      <c r="AF78" s="632"/>
      <c r="AG78" s="659"/>
      <c r="AH78" s="659"/>
    </row>
    <row r="79" spans="1:34" x14ac:dyDescent="0.25">
      <c r="A79" s="641">
        <v>800</v>
      </c>
      <c r="B79" s="796" t="s">
        <v>299</v>
      </c>
      <c r="C79" s="647"/>
      <c r="D79" s="644" t="s">
        <v>598</v>
      </c>
      <c r="E79" s="650"/>
      <c r="F79" s="669">
        <f>SUMIF('New Resources - Individual'!$F$6:$Y$6,F$6,'New Resources - Individual'!$F79:$Y79)</f>
        <v>0</v>
      </c>
      <c r="G79" s="669">
        <f>SUMIF('New Resources - Individual'!$F$6:$Y$6,G$6,'New Resources - Individual'!$F79:$Y79)</f>
        <v>0</v>
      </c>
      <c r="H79" s="670">
        <f>SUMIF('New Resources - Individual'!$F$6:$Y$6,H$6,'New Resources - Individual'!$F79:$Y79)</f>
        <v>0</v>
      </c>
      <c r="I79" s="669">
        <f>SUMIF('New Resources - Individual'!$F$6:$Y$6,I$6,'New Resources - Individual'!$F79:$Y79)</f>
        <v>0</v>
      </c>
      <c r="J79" s="670">
        <f>SUMIF('New Resources - Individual'!$F$6:$Y$6,J$6,'New Resources - Individual'!$F79:$Y79)</f>
        <v>0</v>
      </c>
      <c r="K79" s="670">
        <f>SUMIF('New Resources - Individual'!$F$6:$Y$6,K$6,'New Resources - Individual'!$F79:$Y79)</f>
        <v>0</v>
      </c>
      <c r="L79" s="670">
        <f>SUMIF('New Resources - Individual'!$F$6:$Y$6,L$6,'New Resources - Individual'!$F79:$Y79)</f>
        <v>0</v>
      </c>
      <c r="M79" s="670">
        <f>SUMIF('New Resources - Individual'!$F$6:$Y$6,M$6,'New Resources - Individual'!$F79:$Y79)</f>
        <v>0</v>
      </c>
      <c r="N79" s="670">
        <f>SUMIF('New Resources - Individual'!$F$6:$Y$6,N$6,'New Resources - Individual'!$F79:$Y79)</f>
        <v>0</v>
      </c>
      <c r="O79" s="670">
        <f>SUMIF('New Resources - Individual'!$F$6:$Y$6,O$6,'New Resources - Individual'!$F79:$Y79)</f>
        <v>0</v>
      </c>
      <c r="P79" s="670">
        <f>SUMIF('New Resources - Individual'!$F$6:$Y$6,P$6,'New Resources - Individual'!$F79:$Y79)</f>
        <v>0</v>
      </c>
      <c r="Q79" s="670">
        <f>SUMIF('New Resources - Individual'!$F$6:$Y$6,Q$6,'New Resources - Individual'!$F79:$Y79)</f>
        <v>0</v>
      </c>
      <c r="R79" s="670">
        <f>SUMIF('New Resources - Individual'!$F$6:$Y$6,R$6,'New Resources - Individual'!$F79:$Y79)</f>
        <v>0</v>
      </c>
      <c r="S79" s="670">
        <f>SUMIF('New Resources - Individual'!$F$6:$Y$6,S$6,'New Resources - Individual'!$F79:$Y79)</f>
        <v>0</v>
      </c>
      <c r="T79" s="670">
        <f>SUMIF('New Resources - Individual'!$F$6:$Y$6,T$6,'New Resources - Individual'!$F79:$Y79)</f>
        <v>0</v>
      </c>
      <c r="U79" s="670">
        <f>SUMIF('New Resources - Individual'!$F$6:$Y$6,U$6,'New Resources - Individual'!$F79:$Y79)</f>
        <v>0</v>
      </c>
      <c r="V79" s="670">
        <f>SUMIF('New Resources - Individual'!$F$6:$Y$6,V$6,'New Resources - Individual'!$F79:$Y79)</f>
        <v>0</v>
      </c>
      <c r="W79" s="670">
        <f>SUMIF('New Resources - Individual'!$F$6:$Y$6,W$6,'New Resources - Individual'!$F79:$Y79)</f>
        <v>0</v>
      </c>
      <c r="X79" s="670">
        <f>SUMIF('New Resources - Individual'!$F$6:$Y$6,X$6,'New Resources - Individual'!$F79:$Y79)</f>
        <v>0</v>
      </c>
      <c r="Y79" s="791">
        <f>SUMIF('New Resources - Individual'!$F$6:$Y$6,Y$6,'New Resources - Individual'!$F79:$Y79)</f>
        <v>0</v>
      </c>
      <c r="Z79" s="632"/>
      <c r="AA79" s="632"/>
      <c r="AB79" s="632"/>
      <c r="AC79" s="632"/>
      <c r="AD79" s="632"/>
      <c r="AE79" s="632"/>
      <c r="AF79" s="632"/>
      <c r="AG79" s="659"/>
      <c r="AH79" s="659"/>
    </row>
    <row r="80" spans="1:34" x14ac:dyDescent="0.25">
      <c r="A80" s="641">
        <v>810</v>
      </c>
      <c r="B80" s="795" t="s">
        <v>455</v>
      </c>
      <c r="C80" s="649">
        <v>556</v>
      </c>
      <c r="D80" s="649"/>
      <c r="E80" s="650"/>
      <c r="F80" s="669">
        <f>SUMIF('New Resources - Individual'!$F$6:$Y$6,F$6,'New Resources - Individual'!$F80:$Y80)</f>
        <v>0</v>
      </c>
      <c r="G80" s="669">
        <f>SUMIF('New Resources - Individual'!$F$6:$Y$6,G$6,'New Resources - Individual'!$F80:$Y80)</f>
        <v>0</v>
      </c>
      <c r="H80" s="670">
        <f>SUMIF('New Resources - Individual'!$F$6:$Y$6,H$6,'New Resources - Individual'!$F80:$Y80)</f>
        <v>0</v>
      </c>
      <c r="I80" s="669">
        <f>SUMIF('New Resources - Individual'!$F$6:$Y$6,I$6,'New Resources - Individual'!$F80:$Y80)</f>
        <v>0</v>
      </c>
      <c r="J80" s="670">
        <f>SUMIF('New Resources - Individual'!$F$6:$Y$6,J$6,'New Resources - Individual'!$F80:$Y80)</f>
        <v>0</v>
      </c>
      <c r="K80" s="670">
        <f>SUMIF('New Resources - Individual'!$F$6:$Y$6,K$6,'New Resources - Individual'!$F80:$Y80)</f>
        <v>0</v>
      </c>
      <c r="L80" s="670">
        <f>SUMIF('New Resources - Individual'!$F$6:$Y$6,L$6,'New Resources - Individual'!$F80:$Y80)</f>
        <v>0</v>
      </c>
      <c r="M80" s="670">
        <f>SUMIF('New Resources - Individual'!$F$6:$Y$6,M$6,'New Resources - Individual'!$F80:$Y80)</f>
        <v>0</v>
      </c>
      <c r="N80" s="670">
        <f>SUMIF('New Resources - Individual'!$F$6:$Y$6,N$6,'New Resources - Individual'!$F80:$Y80)</f>
        <v>0</v>
      </c>
      <c r="O80" s="670">
        <f>SUMIF('New Resources - Individual'!$F$6:$Y$6,O$6,'New Resources - Individual'!$F80:$Y80)</f>
        <v>0</v>
      </c>
      <c r="P80" s="670">
        <f>SUMIF('New Resources - Individual'!$F$6:$Y$6,P$6,'New Resources - Individual'!$F80:$Y80)</f>
        <v>0</v>
      </c>
      <c r="Q80" s="670">
        <f>SUMIF('New Resources - Individual'!$F$6:$Y$6,Q$6,'New Resources - Individual'!$F80:$Y80)</f>
        <v>0</v>
      </c>
      <c r="R80" s="670">
        <f>SUMIF('New Resources - Individual'!$F$6:$Y$6,R$6,'New Resources - Individual'!$F80:$Y80)</f>
        <v>0</v>
      </c>
      <c r="S80" s="670">
        <f>SUMIF('New Resources - Individual'!$F$6:$Y$6,S$6,'New Resources - Individual'!$F80:$Y80)</f>
        <v>0</v>
      </c>
      <c r="T80" s="670">
        <f>SUMIF('New Resources - Individual'!$F$6:$Y$6,T$6,'New Resources - Individual'!$F80:$Y80)</f>
        <v>0</v>
      </c>
      <c r="U80" s="670">
        <f>SUMIF('New Resources - Individual'!$F$6:$Y$6,U$6,'New Resources - Individual'!$F80:$Y80)</f>
        <v>0</v>
      </c>
      <c r="V80" s="670">
        <f>SUMIF('New Resources - Individual'!$F$6:$Y$6,V$6,'New Resources - Individual'!$F80:$Y80)</f>
        <v>0</v>
      </c>
      <c r="W80" s="670">
        <f>SUMIF('New Resources - Individual'!$F$6:$Y$6,W$6,'New Resources - Individual'!$F80:$Y80)</f>
        <v>0</v>
      </c>
      <c r="X80" s="670">
        <f>SUMIF('New Resources - Individual'!$F$6:$Y$6,X$6,'New Resources - Individual'!$F80:$Y80)</f>
        <v>0</v>
      </c>
      <c r="Y80" s="791">
        <f>SUMIF('New Resources - Individual'!$F$6:$Y$6,Y$6,'New Resources - Individual'!$F80:$Y80)</f>
        <v>0</v>
      </c>
      <c r="Z80" s="632"/>
      <c r="AA80" s="632"/>
      <c r="AB80" s="632"/>
      <c r="AC80" s="632"/>
      <c r="AD80" s="632"/>
      <c r="AE80" s="632"/>
      <c r="AF80" s="632"/>
      <c r="AG80" s="659"/>
      <c r="AH80" s="659"/>
    </row>
    <row r="81" spans="1:34" x14ac:dyDescent="0.25">
      <c r="A81" s="641">
        <v>820</v>
      </c>
      <c r="B81" s="792" t="s">
        <v>267</v>
      </c>
      <c r="C81" s="644">
        <v>557</v>
      </c>
      <c r="D81" s="644"/>
      <c r="E81" s="645"/>
      <c r="F81" s="669">
        <f>SUMIF('New Resources - Individual'!$F$6:$Y$6,F$6,'New Resources - Individual'!$F81:$Y81)</f>
        <v>0</v>
      </c>
      <c r="G81" s="669">
        <f>SUMIF('New Resources - Individual'!$F$6:$Y$6,G$6,'New Resources - Individual'!$F81:$Y81)</f>
        <v>0</v>
      </c>
      <c r="H81" s="670">
        <f>SUMIF('New Resources - Individual'!$F$6:$Y$6,H$6,'New Resources - Individual'!$F81:$Y81)</f>
        <v>0</v>
      </c>
      <c r="I81" s="669">
        <f>SUMIF('New Resources - Individual'!$F$6:$Y$6,I$6,'New Resources - Individual'!$F81:$Y81)</f>
        <v>0</v>
      </c>
      <c r="J81" s="670">
        <f>SUMIF('New Resources - Individual'!$F$6:$Y$6,J$6,'New Resources - Individual'!$F81:$Y81)</f>
        <v>0</v>
      </c>
      <c r="K81" s="670">
        <f>SUMIF('New Resources - Individual'!$F$6:$Y$6,K$6,'New Resources - Individual'!$F81:$Y81)</f>
        <v>0</v>
      </c>
      <c r="L81" s="670">
        <f>SUMIF('New Resources - Individual'!$F$6:$Y$6,L$6,'New Resources - Individual'!$F81:$Y81)</f>
        <v>0</v>
      </c>
      <c r="M81" s="670">
        <f>SUMIF('New Resources - Individual'!$F$6:$Y$6,M$6,'New Resources - Individual'!$F81:$Y81)</f>
        <v>0</v>
      </c>
      <c r="N81" s="670">
        <f>SUMIF('New Resources - Individual'!$F$6:$Y$6,N$6,'New Resources - Individual'!$F81:$Y81)</f>
        <v>0</v>
      </c>
      <c r="O81" s="670">
        <f>SUMIF('New Resources - Individual'!$F$6:$Y$6,O$6,'New Resources - Individual'!$F81:$Y81)</f>
        <v>0</v>
      </c>
      <c r="P81" s="670">
        <f>SUMIF('New Resources - Individual'!$F$6:$Y$6,P$6,'New Resources - Individual'!$F81:$Y81)</f>
        <v>0</v>
      </c>
      <c r="Q81" s="670">
        <f>SUMIF('New Resources - Individual'!$F$6:$Y$6,Q$6,'New Resources - Individual'!$F81:$Y81)</f>
        <v>0</v>
      </c>
      <c r="R81" s="670">
        <f>SUMIF('New Resources - Individual'!$F$6:$Y$6,R$6,'New Resources - Individual'!$F81:$Y81)</f>
        <v>0</v>
      </c>
      <c r="S81" s="670">
        <f>SUMIF('New Resources - Individual'!$F$6:$Y$6,S$6,'New Resources - Individual'!$F81:$Y81)</f>
        <v>0</v>
      </c>
      <c r="T81" s="670">
        <f>SUMIF('New Resources - Individual'!$F$6:$Y$6,T$6,'New Resources - Individual'!$F81:$Y81)</f>
        <v>0</v>
      </c>
      <c r="U81" s="670">
        <f>SUMIF('New Resources - Individual'!$F$6:$Y$6,U$6,'New Resources - Individual'!$F81:$Y81)</f>
        <v>0</v>
      </c>
      <c r="V81" s="670">
        <f>SUMIF('New Resources - Individual'!$F$6:$Y$6,V$6,'New Resources - Individual'!$F81:$Y81)</f>
        <v>0</v>
      </c>
      <c r="W81" s="670">
        <f>SUMIF('New Resources - Individual'!$F$6:$Y$6,W$6,'New Resources - Individual'!$F81:$Y81)</f>
        <v>0</v>
      </c>
      <c r="X81" s="670">
        <f>SUMIF('New Resources - Individual'!$F$6:$Y$6,X$6,'New Resources - Individual'!$F81:$Y81)</f>
        <v>0</v>
      </c>
      <c r="Y81" s="791">
        <f>SUMIF('New Resources - Individual'!$F$6:$Y$6,Y$6,'New Resources - Individual'!$F81:$Y81)</f>
        <v>0</v>
      </c>
      <c r="Z81" s="632"/>
      <c r="AA81" s="632"/>
      <c r="AB81" s="632"/>
      <c r="AC81" s="632"/>
      <c r="AD81" s="632"/>
      <c r="AE81" s="632"/>
      <c r="AF81" s="632"/>
      <c r="AG81" s="659"/>
      <c r="AH81" s="659"/>
    </row>
    <row r="82" spans="1:34" x14ac:dyDescent="0.25">
      <c r="A82" s="641">
        <v>830</v>
      </c>
      <c r="B82" s="793" t="s">
        <v>526</v>
      </c>
      <c r="C82" s="647"/>
      <c r="D82" s="647"/>
      <c r="E82" s="648"/>
      <c r="F82" s="669"/>
      <c r="G82" s="672"/>
      <c r="H82" s="672"/>
      <c r="I82" s="672"/>
      <c r="J82" s="672"/>
      <c r="K82" s="672"/>
      <c r="L82" s="672"/>
      <c r="M82" s="672"/>
      <c r="N82" s="672"/>
      <c r="O82" s="672"/>
      <c r="P82" s="672"/>
      <c r="Q82" s="672"/>
      <c r="R82" s="672"/>
      <c r="S82" s="672"/>
      <c r="T82" s="672"/>
      <c r="U82" s="672"/>
      <c r="V82" s="672"/>
      <c r="W82" s="672"/>
      <c r="X82" s="672"/>
      <c r="Y82" s="794"/>
      <c r="Z82" s="632"/>
      <c r="AA82" s="632"/>
      <c r="AB82" s="632"/>
      <c r="AC82" s="632"/>
      <c r="AD82" s="632"/>
      <c r="AE82" s="632"/>
      <c r="AF82" s="632"/>
      <c r="AG82" s="659"/>
      <c r="AH82" s="659"/>
    </row>
    <row r="83" spans="1:34" x14ac:dyDescent="0.25">
      <c r="A83" s="641">
        <v>840</v>
      </c>
      <c r="B83" s="792" t="s">
        <v>526</v>
      </c>
      <c r="C83" s="644" t="s">
        <v>120</v>
      </c>
      <c r="D83" s="644"/>
      <c r="E83" s="645"/>
      <c r="F83" s="669">
        <f>SUMIF('New Resources - Individual'!$F$6:$Y$6,F$6,'New Resources - Individual'!$F83:$Y83)</f>
        <v>0</v>
      </c>
      <c r="G83" s="669">
        <f>SUMIF('New Resources - Individual'!$F$6:$Y$6,G$6,'New Resources - Individual'!$F83:$Y83)</f>
        <v>0</v>
      </c>
      <c r="H83" s="670">
        <f>SUMIF('New Resources - Individual'!$F$6:$Y$6,H$6,'New Resources - Individual'!$F83:$Y83)</f>
        <v>0</v>
      </c>
      <c r="I83" s="669">
        <f>SUMIF('New Resources - Individual'!$F$6:$Y$6,I$6,'New Resources - Individual'!$F83:$Y83)</f>
        <v>0</v>
      </c>
      <c r="J83" s="670">
        <f>SUMIF('New Resources - Individual'!$F$6:$Y$6,J$6,'New Resources - Individual'!$F83:$Y83)</f>
        <v>0</v>
      </c>
      <c r="K83" s="670">
        <f>SUMIF('New Resources - Individual'!$F$6:$Y$6,K$6,'New Resources - Individual'!$F83:$Y83)</f>
        <v>0</v>
      </c>
      <c r="L83" s="670">
        <f>SUMIF('New Resources - Individual'!$F$6:$Y$6,L$6,'New Resources - Individual'!$F83:$Y83)</f>
        <v>0</v>
      </c>
      <c r="M83" s="670">
        <f>SUMIF('New Resources - Individual'!$F$6:$Y$6,M$6,'New Resources - Individual'!$F83:$Y83)</f>
        <v>0</v>
      </c>
      <c r="N83" s="670">
        <f>SUMIF('New Resources - Individual'!$F$6:$Y$6,N$6,'New Resources - Individual'!$F83:$Y83)</f>
        <v>0</v>
      </c>
      <c r="O83" s="670">
        <f>SUMIF('New Resources - Individual'!$F$6:$Y$6,O$6,'New Resources - Individual'!$F83:$Y83)</f>
        <v>0</v>
      </c>
      <c r="P83" s="670">
        <f>SUMIF('New Resources - Individual'!$F$6:$Y$6,P$6,'New Resources - Individual'!$F83:$Y83)</f>
        <v>0</v>
      </c>
      <c r="Q83" s="670">
        <f>SUMIF('New Resources - Individual'!$F$6:$Y$6,Q$6,'New Resources - Individual'!$F83:$Y83)</f>
        <v>0</v>
      </c>
      <c r="R83" s="670">
        <f>SUMIF('New Resources - Individual'!$F$6:$Y$6,R$6,'New Resources - Individual'!$F83:$Y83)</f>
        <v>0</v>
      </c>
      <c r="S83" s="670">
        <f>SUMIF('New Resources - Individual'!$F$6:$Y$6,S$6,'New Resources - Individual'!$F83:$Y83)</f>
        <v>0</v>
      </c>
      <c r="T83" s="670">
        <f>SUMIF('New Resources - Individual'!$F$6:$Y$6,T$6,'New Resources - Individual'!$F83:$Y83)</f>
        <v>0</v>
      </c>
      <c r="U83" s="670">
        <f>SUMIF('New Resources - Individual'!$F$6:$Y$6,U$6,'New Resources - Individual'!$F83:$Y83)</f>
        <v>0</v>
      </c>
      <c r="V83" s="670">
        <f>SUMIF('New Resources - Individual'!$F$6:$Y$6,V$6,'New Resources - Individual'!$F83:$Y83)</f>
        <v>0</v>
      </c>
      <c r="W83" s="670">
        <f>SUMIF('New Resources - Individual'!$F$6:$Y$6,W$6,'New Resources - Individual'!$F83:$Y83)</f>
        <v>0</v>
      </c>
      <c r="X83" s="670">
        <f>SUMIF('New Resources - Individual'!$F$6:$Y$6,X$6,'New Resources - Individual'!$F83:$Y83)</f>
        <v>0</v>
      </c>
      <c r="Y83" s="791">
        <f>SUMIF('New Resources - Individual'!$F$6:$Y$6,Y$6,'New Resources - Individual'!$F83:$Y83)</f>
        <v>0</v>
      </c>
      <c r="Z83" s="632"/>
      <c r="AA83" s="632"/>
      <c r="AB83" s="632"/>
      <c r="AC83" s="632"/>
      <c r="AD83" s="632"/>
      <c r="AE83" s="632"/>
      <c r="AF83" s="632"/>
      <c r="AG83" s="659"/>
      <c r="AH83" s="659"/>
    </row>
    <row r="84" spans="1:34" x14ac:dyDescent="0.25">
      <c r="A84" s="641">
        <v>850</v>
      </c>
      <c r="B84" s="792" t="s">
        <v>79</v>
      </c>
      <c r="C84" s="644"/>
      <c r="D84" s="644"/>
      <c r="E84" s="645"/>
      <c r="F84" s="669">
        <f>SUMIF('New Resources - Individual'!$F$6:$Y$6,F$6,'New Resources - Individual'!$F84:$Y84)</f>
        <v>0</v>
      </c>
      <c r="G84" s="669">
        <f>SUMIF('New Resources - Individual'!$F$6:$Y$6,G$6,'New Resources - Individual'!$F84:$Y84)</f>
        <v>0</v>
      </c>
      <c r="H84" s="670">
        <f>SUMIF('New Resources - Individual'!$F$6:$Y$6,H$6,'New Resources - Individual'!$F84:$Y84)</f>
        <v>0</v>
      </c>
      <c r="I84" s="669">
        <f>SUMIF('New Resources - Individual'!$F$6:$Y$6,I$6,'New Resources - Individual'!$F84:$Y84)</f>
        <v>0</v>
      </c>
      <c r="J84" s="670">
        <f>SUMIF('New Resources - Individual'!$F$6:$Y$6,J$6,'New Resources - Individual'!$F84:$Y84)</f>
        <v>0</v>
      </c>
      <c r="K84" s="670">
        <f>SUMIF('New Resources - Individual'!$F$6:$Y$6,K$6,'New Resources - Individual'!$F84:$Y84)</f>
        <v>0</v>
      </c>
      <c r="L84" s="670">
        <f>SUMIF('New Resources - Individual'!$F$6:$Y$6,L$6,'New Resources - Individual'!$F84:$Y84)</f>
        <v>0</v>
      </c>
      <c r="M84" s="670">
        <f>SUMIF('New Resources - Individual'!$F$6:$Y$6,M$6,'New Resources - Individual'!$F84:$Y84)</f>
        <v>0</v>
      </c>
      <c r="N84" s="670">
        <f>SUMIF('New Resources - Individual'!$F$6:$Y$6,N$6,'New Resources - Individual'!$F84:$Y84)</f>
        <v>0</v>
      </c>
      <c r="O84" s="670">
        <f>SUMIF('New Resources - Individual'!$F$6:$Y$6,O$6,'New Resources - Individual'!$F84:$Y84)</f>
        <v>0</v>
      </c>
      <c r="P84" s="670">
        <f>SUMIF('New Resources - Individual'!$F$6:$Y$6,P$6,'New Resources - Individual'!$F84:$Y84)</f>
        <v>0</v>
      </c>
      <c r="Q84" s="670">
        <f>SUMIF('New Resources - Individual'!$F$6:$Y$6,Q$6,'New Resources - Individual'!$F84:$Y84)</f>
        <v>0</v>
      </c>
      <c r="R84" s="670">
        <f>SUMIF('New Resources - Individual'!$F$6:$Y$6,R$6,'New Resources - Individual'!$F84:$Y84)</f>
        <v>0</v>
      </c>
      <c r="S84" s="670">
        <f>SUMIF('New Resources - Individual'!$F$6:$Y$6,S$6,'New Resources - Individual'!$F84:$Y84)</f>
        <v>0</v>
      </c>
      <c r="T84" s="670">
        <f>SUMIF('New Resources - Individual'!$F$6:$Y$6,T$6,'New Resources - Individual'!$F84:$Y84)</f>
        <v>0</v>
      </c>
      <c r="U84" s="670">
        <f>SUMIF('New Resources - Individual'!$F$6:$Y$6,U$6,'New Resources - Individual'!$F84:$Y84)</f>
        <v>0</v>
      </c>
      <c r="V84" s="670">
        <f>SUMIF('New Resources - Individual'!$F$6:$Y$6,V$6,'New Resources - Individual'!$F84:$Y84)</f>
        <v>0</v>
      </c>
      <c r="W84" s="670">
        <f>SUMIF('New Resources - Individual'!$F$6:$Y$6,W$6,'New Resources - Individual'!$F84:$Y84)</f>
        <v>0</v>
      </c>
      <c r="X84" s="670">
        <f>SUMIF('New Resources - Individual'!$F$6:$Y$6,X$6,'New Resources - Individual'!$F84:$Y84)</f>
        <v>0</v>
      </c>
      <c r="Y84" s="791">
        <f>SUMIF('New Resources - Individual'!$F$6:$Y$6,Y$6,'New Resources - Individual'!$F84:$Y84)</f>
        <v>0</v>
      </c>
      <c r="Z84" s="632"/>
      <c r="AA84" s="632"/>
      <c r="AB84" s="632"/>
      <c r="AC84" s="632"/>
      <c r="AD84" s="632"/>
      <c r="AE84" s="632"/>
      <c r="AF84" s="632"/>
      <c r="AG84" s="659"/>
      <c r="AH84" s="659"/>
    </row>
    <row r="85" spans="1:34" x14ac:dyDescent="0.25">
      <c r="A85" s="641">
        <v>860</v>
      </c>
      <c r="B85" s="793" t="s">
        <v>300</v>
      </c>
      <c r="C85" s="647"/>
      <c r="D85" s="647"/>
      <c r="E85" s="648"/>
      <c r="F85" s="670"/>
      <c r="G85" s="670"/>
      <c r="H85" s="672"/>
      <c r="I85" s="669"/>
      <c r="J85" s="672"/>
      <c r="K85" s="670"/>
      <c r="L85" s="672"/>
      <c r="M85" s="672"/>
      <c r="N85" s="672"/>
      <c r="O85" s="672"/>
      <c r="P85" s="672"/>
      <c r="Q85" s="672"/>
      <c r="R85" s="670"/>
      <c r="S85" s="670"/>
      <c r="T85" s="670"/>
      <c r="U85" s="670"/>
      <c r="V85" s="670"/>
      <c r="W85" s="672"/>
      <c r="X85" s="672"/>
      <c r="Y85" s="791"/>
      <c r="Z85" s="632"/>
      <c r="AA85" s="632"/>
      <c r="AB85" s="632"/>
      <c r="AC85" s="632"/>
      <c r="AD85" s="632"/>
      <c r="AE85" s="632"/>
      <c r="AF85" s="632"/>
      <c r="AG85" s="659"/>
      <c r="AH85" s="659"/>
    </row>
    <row r="86" spans="1:34" x14ac:dyDescent="0.25">
      <c r="A86" s="641">
        <v>870</v>
      </c>
      <c r="B86" s="790" t="s">
        <v>301</v>
      </c>
      <c r="C86" s="646">
        <v>565</v>
      </c>
      <c r="D86" s="646"/>
      <c r="E86" s="645"/>
      <c r="F86" s="669">
        <f>SUMIF('New Resources - Individual'!$F$6:$Y$6,F$6,'New Resources - Individual'!$F86:$Y86)</f>
        <v>0</v>
      </c>
      <c r="G86" s="669">
        <f>SUMIF('New Resources - Individual'!$F$6:$Y$6,G$6,'New Resources - Individual'!$F86:$Y86)</f>
        <v>0</v>
      </c>
      <c r="H86" s="670">
        <f>SUMIF('New Resources - Individual'!$F$6:$Y$6,H$6,'New Resources - Individual'!$F86:$Y86)</f>
        <v>0</v>
      </c>
      <c r="I86" s="669">
        <f>SUMIF('New Resources - Individual'!$F$6:$Y$6,I$6,'New Resources - Individual'!$F86:$Y86)</f>
        <v>0</v>
      </c>
      <c r="J86" s="670">
        <f>SUMIF('New Resources - Individual'!$F$6:$Y$6,J$6,'New Resources - Individual'!$F86:$Y86)</f>
        <v>0</v>
      </c>
      <c r="K86" s="670">
        <f>SUMIF('New Resources - Individual'!$F$6:$Y$6,K$6,'New Resources - Individual'!$F86:$Y86)</f>
        <v>0</v>
      </c>
      <c r="L86" s="670">
        <f>SUMIF('New Resources - Individual'!$F$6:$Y$6,L$6,'New Resources - Individual'!$F86:$Y86)</f>
        <v>0</v>
      </c>
      <c r="M86" s="670">
        <f>SUMIF('New Resources - Individual'!$F$6:$Y$6,M$6,'New Resources - Individual'!$F86:$Y86)</f>
        <v>0</v>
      </c>
      <c r="N86" s="670">
        <f>SUMIF('New Resources - Individual'!$F$6:$Y$6,N$6,'New Resources - Individual'!$F86:$Y86)</f>
        <v>0</v>
      </c>
      <c r="O86" s="670">
        <f>SUMIF('New Resources - Individual'!$F$6:$Y$6,O$6,'New Resources - Individual'!$F86:$Y86)</f>
        <v>0</v>
      </c>
      <c r="P86" s="670">
        <f>SUMIF('New Resources - Individual'!$F$6:$Y$6,P$6,'New Resources - Individual'!$F86:$Y86)</f>
        <v>0</v>
      </c>
      <c r="Q86" s="670">
        <f>SUMIF('New Resources - Individual'!$F$6:$Y$6,Q$6,'New Resources - Individual'!$F86:$Y86)</f>
        <v>0</v>
      </c>
      <c r="R86" s="670">
        <f>SUMIF('New Resources - Individual'!$F$6:$Y$6,R$6,'New Resources - Individual'!$F86:$Y86)</f>
        <v>0</v>
      </c>
      <c r="S86" s="670">
        <f>SUMIF('New Resources - Individual'!$F$6:$Y$6,S$6,'New Resources - Individual'!$F86:$Y86)</f>
        <v>0</v>
      </c>
      <c r="T86" s="670">
        <f>SUMIF('New Resources - Individual'!$F$6:$Y$6,T$6,'New Resources - Individual'!$F86:$Y86)</f>
        <v>0</v>
      </c>
      <c r="U86" s="670">
        <f>SUMIF('New Resources - Individual'!$F$6:$Y$6,U$6,'New Resources - Individual'!$F86:$Y86)</f>
        <v>0</v>
      </c>
      <c r="V86" s="670">
        <f>SUMIF('New Resources - Individual'!$F$6:$Y$6,V$6,'New Resources - Individual'!$F86:$Y86)</f>
        <v>0</v>
      </c>
      <c r="W86" s="670">
        <f>SUMIF('New Resources - Individual'!$F$6:$Y$6,W$6,'New Resources - Individual'!$F86:$Y86)</f>
        <v>0</v>
      </c>
      <c r="X86" s="670">
        <f>SUMIF('New Resources - Individual'!$F$6:$Y$6,X$6,'New Resources - Individual'!$F86:$Y86)</f>
        <v>0</v>
      </c>
      <c r="Y86" s="791">
        <f>SUMIF('New Resources - Individual'!$F$6:$Y$6,Y$6,'New Resources - Individual'!$F86:$Y86)</f>
        <v>0</v>
      </c>
      <c r="Z86" s="632"/>
      <c r="AA86" s="632"/>
      <c r="AB86" s="632"/>
      <c r="AC86" s="632"/>
      <c r="AD86" s="632"/>
      <c r="AE86" s="632"/>
      <c r="AF86" s="632"/>
      <c r="AG86" s="659"/>
      <c r="AH86" s="659"/>
    </row>
    <row r="87" spans="1:34" x14ac:dyDescent="0.25">
      <c r="A87" s="641">
        <v>880</v>
      </c>
      <c r="B87" s="792" t="s">
        <v>461</v>
      </c>
      <c r="C87" s="644" t="s">
        <v>302</v>
      </c>
      <c r="D87" s="644"/>
      <c r="E87" s="645"/>
      <c r="F87" s="669">
        <f>SUMIF('New Resources - Individual'!$F$6:$Y$6,F$6,'New Resources - Individual'!$F87:$Y87)</f>
        <v>0</v>
      </c>
      <c r="G87" s="669">
        <f>SUMIF('New Resources - Individual'!$F$6:$Y$6,G$6,'New Resources - Individual'!$F87:$Y87)</f>
        <v>0</v>
      </c>
      <c r="H87" s="670">
        <f>SUMIF('New Resources - Individual'!$F$6:$Y$6,H$6,'New Resources - Individual'!$F87:$Y87)</f>
        <v>0</v>
      </c>
      <c r="I87" s="669">
        <f>SUMIF('New Resources - Individual'!$F$6:$Y$6,I$6,'New Resources - Individual'!$F87:$Y87)</f>
        <v>0</v>
      </c>
      <c r="J87" s="670">
        <f>SUMIF('New Resources - Individual'!$F$6:$Y$6,J$6,'New Resources - Individual'!$F87:$Y87)</f>
        <v>0</v>
      </c>
      <c r="K87" s="670">
        <f>SUMIF('New Resources - Individual'!$F$6:$Y$6,K$6,'New Resources - Individual'!$F87:$Y87)</f>
        <v>0</v>
      </c>
      <c r="L87" s="670">
        <f>SUMIF('New Resources - Individual'!$F$6:$Y$6,L$6,'New Resources - Individual'!$F87:$Y87)</f>
        <v>0</v>
      </c>
      <c r="M87" s="670">
        <f>SUMIF('New Resources - Individual'!$F$6:$Y$6,M$6,'New Resources - Individual'!$F87:$Y87)</f>
        <v>0</v>
      </c>
      <c r="N87" s="670">
        <f>SUMIF('New Resources - Individual'!$F$6:$Y$6,N$6,'New Resources - Individual'!$F87:$Y87)</f>
        <v>0</v>
      </c>
      <c r="O87" s="670">
        <f>SUMIF('New Resources - Individual'!$F$6:$Y$6,O$6,'New Resources - Individual'!$F87:$Y87)</f>
        <v>0</v>
      </c>
      <c r="P87" s="670">
        <f>SUMIF('New Resources - Individual'!$F$6:$Y$6,P$6,'New Resources - Individual'!$F87:$Y87)</f>
        <v>0</v>
      </c>
      <c r="Q87" s="670">
        <f>SUMIF('New Resources - Individual'!$F$6:$Y$6,Q$6,'New Resources - Individual'!$F87:$Y87)</f>
        <v>0</v>
      </c>
      <c r="R87" s="670">
        <f>SUMIF('New Resources - Individual'!$F$6:$Y$6,R$6,'New Resources - Individual'!$F87:$Y87)</f>
        <v>0</v>
      </c>
      <c r="S87" s="670">
        <f>SUMIF('New Resources - Individual'!$F$6:$Y$6,S$6,'New Resources - Individual'!$F87:$Y87)</f>
        <v>0</v>
      </c>
      <c r="T87" s="670">
        <f>SUMIF('New Resources - Individual'!$F$6:$Y$6,T$6,'New Resources - Individual'!$F87:$Y87)</f>
        <v>0</v>
      </c>
      <c r="U87" s="670">
        <f>SUMIF('New Resources - Individual'!$F$6:$Y$6,U$6,'New Resources - Individual'!$F87:$Y87)</f>
        <v>0</v>
      </c>
      <c r="V87" s="670">
        <f>SUMIF('New Resources - Individual'!$F$6:$Y$6,V$6,'New Resources - Individual'!$F87:$Y87)</f>
        <v>0</v>
      </c>
      <c r="W87" s="670">
        <f>SUMIF('New Resources - Individual'!$F$6:$Y$6,W$6,'New Resources - Individual'!$F87:$Y87)</f>
        <v>0</v>
      </c>
      <c r="X87" s="670">
        <f>SUMIF('New Resources - Individual'!$F$6:$Y$6,X$6,'New Resources - Individual'!$F87:$Y87)</f>
        <v>0</v>
      </c>
      <c r="Y87" s="791">
        <f>SUMIF('New Resources - Individual'!$F$6:$Y$6,Y$6,'New Resources - Individual'!$F87:$Y87)</f>
        <v>0</v>
      </c>
      <c r="Z87" s="632"/>
      <c r="AA87" s="632"/>
      <c r="AB87" s="632"/>
      <c r="AC87" s="632"/>
      <c r="AD87" s="632"/>
      <c r="AE87" s="632"/>
      <c r="AF87" s="632"/>
      <c r="AG87" s="659"/>
      <c r="AH87" s="659"/>
    </row>
    <row r="88" spans="1:34" x14ac:dyDescent="0.25">
      <c r="A88" s="641">
        <v>890</v>
      </c>
      <c r="B88" s="790" t="s">
        <v>462</v>
      </c>
      <c r="C88" s="646" t="s">
        <v>303</v>
      </c>
      <c r="D88" s="646"/>
      <c r="E88" s="645"/>
      <c r="F88" s="669">
        <f>SUMIF('New Resources - Individual'!$F$6:$Y$6,F$6,'New Resources - Individual'!$F88:$Y88)</f>
        <v>0</v>
      </c>
      <c r="G88" s="669">
        <f>SUMIF('New Resources - Individual'!$F$6:$Y$6,G$6,'New Resources - Individual'!$F88:$Y88)</f>
        <v>0</v>
      </c>
      <c r="H88" s="670">
        <f>SUMIF('New Resources - Individual'!$F$6:$Y$6,H$6,'New Resources - Individual'!$F88:$Y88)</f>
        <v>0</v>
      </c>
      <c r="I88" s="669">
        <f>SUMIF('New Resources - Individual'!$F$6:$Y$6,I$6,'New Resources - Individual'!$F88:$Y88)</f>
        <v>0</v>
      </c>
      <c r="J88" s="670">
        <f>SUMIF('New Resources - Individual'!$F$6:$Y$6,J$6,'New Resources - Individual'!$F88:$Y88)</f>
        <v>0</v>
      </c>
      <c r="K88" s="670">
        <f>SUMIF('New Resources - Individual'!$F$6:$Y$6,K$6,'New Resources - Individual'!$F88:$Y88)</f>
        <v>0</v>
      </c>
      <c r="L88" s="670">
        <f>SUMIF('New Resources - Individual'!$F$6:$Y$6,L$6,'New Resources - Individual'!$F88:$Y88)</f>
        <v>0</v>
      </c>
      <c r="M88" s="670">
        <f>SUMIF('New Resources - Individual'!$F$6:$Y$6,M$6,'New Resources - Individual'!$F88:$Y88)</f>
        <v>0</v>
      </c>
      <c r="N88" s="670">
        <f>SUMIF('New Resources - Individual'!$F$6:$Y$6,N$6,'New Resources - Individual'!$F88:$Y88)</f>
        <v>0</v>
      </c>
      <c r="O88" s="670">
        <f>SUMIF('New Resources - Individual'!$F$6:$Y$6,O$6,'New Resources - Individual'!$F88:$Y88)</f>
        <v>0</v>
      </c>
      <c r="P88" s="670">
        <f>SUMIF('New Resources - Individual'!$F$6:$Y$6,P$6,'New Resources - Individual'!$F88:$Y88)</f>
        <v>0</v>
      </c>
      <c r="Q88" s="670">
        <f>SUMIF('New Resources - Individual'!$F$6:$Y$6,Q$6,'New Resources - Individual'!$F88:$Y88)</f>
        <v>0</v>
      </c>
      <c r="R88" s="670">
        <f>SUMIF('New Resources - Individual'!$F$6:$Y$6,R$6,'New Resources - Individual'!$F88:$Y88)</f>
        <v>0</v>
      </c>
      <c r="S88" s="670">
        <f>SUMIF('New Resources - Individual'!$F$6:$Y$6,S$6,'New Resources - Individual'!$F88:$Y88)</f>
        <v>0</v>
      </c>
      <c r="T88" s="670">
        <f>SUMIF('New Resources - Individual'!$F$6:$Y$6,T$6,'New Resources - Individual'!$F88:$Y88)</f>
        <v>0</v>
      </c>
      <c r="U88" s="670">
        <f>SUMIF('New Resources - Individual'!$F$6:$Y$6,U$6,'New Resources - Individual'!$F88:$Y88)</f>
        <v>0</v>
      </c>
      <c r="V88" s="670">
        <f>SUMIF('New Resources - Individual'!$F$6:$Y$6,V$6,'New Resources - Individual'!$F88:$Y88)</f>
        <v>0</v>
      </c>
      <c r="W88" s="670">
        <f>SUMIF('New Resources - Individual'!$F$6:$Y$6,W$6,'New Resources - Individual'!$F88:$Y88)</f>
        <v>0</v>
      </c>
      <c r="X88" s="670">
        <f>SUMIF('New Resources - Individual'!$F$6:$Y$6,X$6,'New Resources - Individual'!$F88:$Y88)</f>
        <v>0</v>
      </c>
      <c r="Y88" s="791">
        <f>SUMIF('New Resources - Individual'!$F$6:$Y$6,Y$6,'New Resources - Individual'!$F88:$Y88)</f>
        <v>0</v>
      </c>
      <c r="Z88" s="632"/>
      <c r="AA88" s="632"/>
      <c r="AB88" s="632"/>
      <c r="AC88" s="632"/>
      <c r="AD88" s="632"/>
      <c r="AE88" s="632"/>
      <c r="AF88" s="632"/>
      <c r="AG88" s="659"/>
      <c r="AH88" s="659"/>
    </row>
    <row r="89" spans="1:34" x14ac:dyDescent="0.25">
      <c r="A89" s="641">
        <v>900</v>
      </c>
      <c r="B89" s="792" t="s">
        <v>167</v>
      </c>
      <c r="C89" s="644">
        <v>924</v>
      </c>
      <c r="D89" s="644"/>
      <c r="E89" s="645"/>
      <c r="F89" s="669">
        <f>SUMIF('New Resources - Individual'!$F$6:$Y$6,F$6,'New Resources - Individual'!$F89:$Y89)</f>
        <v>0</v>
      </c>
      <c r="G89" s="669">
        <f>SUMIF('New Resources - Individual'!$F$6:$Y$6,G$6,'New Resources - Individual'!$F89:$Y89)</f>
        <v>0</v>
      </c>
      <c r="H89" s="670">
        <f>SUMIF('New Resources - Individual'!$F$6:$Y$6,H$6,'New Resources - Individual'!$F89:$Y89)</f>
        <v>0</v>
      </c>
      <c r="I89" s="669">
        <f>SUMIF('New Resources - Individual'!$F$6:$Y$6,I$6,'New Resources - Individual'!$F89:$Y89)</f>
        <v>0</v>
      </c>
      <c r="J89" s="670">
        <f>SUMIF('New Resources - Individual'!$F$6:$Y$6,J$6,'New Resources - Individual'!$F89:$Y89)</f>
        <v>0</v>
      </c>
      <c r="K89" s="670">
        <f>SUMIF('New Resources - Individual'!$F$6:$Y$6,K$6,'New Resources - Individual'!$F89:$Y89)</f>
        <v>0</v>
      </c>
      <c r="L89" s="670">
        <f>SUMIF('New Resources - Individual'!$F$6:$Y$6,L$6,'New Resources - Individual'!$F89:$Y89)</f>
        <v>0</v>
      </c>
      <c r="M89" s="670">
        <f>SUMIF('New Resources - Individual'!$F$6:$Y$6,M$6,'New Resources - Individual'!$F89:$Y89)</f>
        <v>0</v>
      </c>
      <c r="N89" s="670">
        <f>SUMIF('New Resources - Individual'!$F$6:$Y$6,N$6,'New Resources - Individual'!$F89:$Y89)</f>
        <v>0</v>
      </c>
      <c r="O89" s="670">
        <f>SUMIF('New Resources - Individual'!$F$6:$Y$6,O$6,'New Resources - Individual'!$F89:$Y89)</f>
        <v>0</v>
      </c>
      <c r="P89" s="670">
        <f>SUMIF('New Resources - Individual'!$F$6:$Y$6,P$6,'New Resources - Individual'!$F89:$Y89)</f>
        <v>0</v>
      </c>
      <c r="Q89" s="670">
        <f>SUMIF('New Resources - Individual'!$F$6:$Y$6,Q$6,'New Resources - Individual'!$F89:$Y89)</f>
        <v>0</v>
      </c>
      <c r="R89" s="670">
        <f>SUMIF('New Resources - Individual'!$F$6:$Y$6,R$6,'New Resources - Individual'!$F89:$Y89)</f>
        <v>0</v>
      </c>
      <c r="S89" s="670">
        <f>SUMIF('New Resources - Individual'!$F$6:$Y$6,S$6,'New Resources - Individual'!$F89:$Y89)</f>
        <v>0</v>
      </c>
      <c r="T89" s="670">
        <f>SUMIF('New Resources - Individual'!$F$6:$Y$6,T$6,'New Resources - Individual'!$F89:$Y89)</f>
        <v>0</v>
      </c>
      <c r="U89" s="670">
        <f>SUMIF('New Resources - Individual'!$F$6:$Y$6,U$6,'New Resources - Individual'!$F89:$Y89)</f>
        <v>0</v>
      </c>
      <c r="V89" s="670">
        <f>SUMIF('New Resources - Individual'!$F$6:$Y$6,V$6,'New Resources - Individual'!$F89:$Y89)</f>
        <v>0</v>
      </c>
      <c r="W89" s="670">
        <f>SUMIF('New Resources - Individual'!$F$6:$Y$6,W$6,'New Resources - Individual'!$F89:$Y89)</f>
        <v>0</v>
      </c>
      <c r="X89" s="670">
        <f>SUMIF('New Resources - Individual'!$F$6:$Y$6,X$6,'New Resources - Individual'!$F89:$Y89)</f>
        <v>0</v>
      </c>
      <c r="Y89" s="791">
        <f>SUMIF('New Resources - Individual'!$F$6:$Y$6,Y$6,'New Resources - Individual'!$F89:$Y89)</f>
        <v>0</v>
      </c>
      <c r="Z89" s="632"/>
      <c r="AA89" s="632"/>
      <c r="AB89" s="632"/>
      <c r="AC89" s="632"/>
      <c r="AD89" s="632"/>
      <c r="AE89" s="632"/>
      <c r="AF89" s="632"/>
      <c r="AG89" s="659"/>
      <c r="AH89" s="659"/>
    </row>
    <row r="90" spans="1:34" x14ac:dyDescent="0.25">
      <c r="A90" s="641">
        <v>924</v>
      </c>
      <c r="B90" s="790" t="s">
        <v>595</v>
      </c>
      <c r="C90" s="646">
        <v>403</v>
      </c>
      <c r="D90" s="646"/>
      <c r="E90" s="645"/>
      <c r="F90" s="669">
        <f>SUMIF('New Resources - Individual'!$F$6:$Y$6,F$6,'New Resources - Individual'!$F90:$Y90)</f>
        <v>0</v>
      </c>
      <c r="G90" s="669">
        <f>SUMIF('New Resources - Individual'!$F$6:$Y$6,G$6,'New Resources - Individual'!$F90:$Y90)</f>
        <v>0</v>
      </c>
      <c r="H90" s="670">
        <f>SUMIF('New Resources - Individual'!$F$6:$Y$6,H$6,'New Resources - Individual'!$F90:$Y90)</f>
        <v>0</v>
      </c>
      <c r="I90" s="669">
        <f>SUMIF('New Resources - Individual'!$F$6:$Y$6,I$6,'New Resources - Individual'!$F90:$Y90)</f>
        <v>0</v>
      </c>
      <c r="J90" s="670">
        <f>SUMIF('New Resources - Individual'!$F$6:$Y$6,J$6,'New Resources - Individual'!$F90:$Y90)</f>
        <v>0</v>
      </c>
      <c r="K90" s="670">
        <f>SUMIF('New Resources - Individual'!$F$6:$Y$6,K$6,'New Resources - Individual'!$F90:$Y90)</f>
        <v>0</v>
      </c>
      <c r="L90" s="670">
        <f>SUMIF('New Resources - Individual'!$F$6:$Y$6,L$6,'New Resources - Individual'!$F90:$Y90)</f>
        <v>0</v>
      </c>
      <c r="M90" s="670">
        <f>SUMIF('New Resources - Individual'!$F$6:$Y$6,M$6,'New Resources - Individual'!$F90:$Y90)</f>
        <v>0</v>
      </c>
      <c r="N90" s="670">
        <f>SUMIF('New Resources - Individual'!$F$6:$Y$6,N$6,'New Resources - Individual'!$F90:$Y90)</f>
        <v>0</v>
      </c>
      <c r="O90" s="670">
        <f>SUMIF('New Resources - Individual'!$F$6:$Y$6,O$6,'New Resources - Individual'!$F90:$Y90)</f>
        <v>0</v>
      </c>
      <c r="P90" s="670">
        <f>SUMIF('New Resources - Individual'!$F$6:$Y$6,P$6,'New Resources - Individual'!$F90:$Y90)</f>
        <v>0</v>
      </c>
      <c r="Q90" s="670">
        <f>SUMIF('New Resources - Individual'!$F$6:$Y$6,Q$6,'New Resources - Individual'!$F90:$Y90)</f>
        <v>0</v>
      </c>
      <c r="R90" s="670">
        <f>SUMIF('New Resources - Individual'!$F$6:$Y$6,R$6,'New Resources - Individual'!$F90:$Y90)</f>
        <v>0</v>
      </c>
      <c r="S90" s="670">
        <f>SUMIF('New Resources - Individual'!$F$6:$Y$6,S$6,'New Resources - Individual'!$F90:$Y90)</f>
        <v>0</v>
      </c>
      <c r="T90" s="670">
        <f>SUMIF('New Resources - Individual'!$F$6:$Y$6,T$6,'New Resources - Individual'!$F90:$Y90)</f>
        <v>0</v>
      </c>
      <c r="U90" s="670">
        <f>SUMIF('New Resources - Individual'!$F$6:$Y$6,U$6,'New Resources - Individual'!$F90:$Y90)</f>
        <v>0</v>
      </c>
      <c r="V90" s="670">
        <f>SUMIF('New Resources - Individual'!$F$6:$Y$6,V$6,'New Resources - Individual'!$F90:$Y90)</f>
        <v>0</v>
      </c>
      <c r="W90" s="670">
        <f>SUMIF('New Resources - Individual'!$F$6:$Y$6,W$6,'New Resources - Individual'!$F90:$Y90)</f>
        <v>0</v>
      </c>
      <c r="X90" s="670">
        <f>SUMIF('New Resources - Individual'!$F$6:$Y$6,X$6,'New Resources - Individual'!$F90:$Y90)</f>
        <v>0</v>
      </c>
      <c r="Y90" s="791">
        <f>SUMIF('New Resources - Individual'!$F$6:$Y$6,Y$6,'New Resources - Individual'!$F90:$Y90)</f>
        <v>0</v>
      </c>
      <c r="Z90" s="632"/>
      <c r="AA90" s="632"/>
      <c r="AB90" s="632"/>
      <c r="AC90" s="632"/>
      <c r="AD90" s="632"/>
      <c r="AE90" s="632"/>
      <c r="AF90" s="632"/>
      <c r="AG90" s="659"/>
      <c r="AH90" s="659"/>
    </row>
    <row r="91" spans="1:34" x14ac:dyDescent="0.25">
      <c r="A91" s="641">
        <v>920</v>
      </c>
      <c r="B91" s="792" t="s">
        <v>328</v>
      </c>
      <c r="C91" s="644">
        <v>456</v>
      </c>
      <c r="D91" s="644"/>
      <c r="E91" s="645"/>
      <c r="F91" s="669">
        <f>SUMIF('New Resources - Individual'!$F$6:$Y$6,F$6,'New Resources - Individual'!$F91:$Y91)</f>
        <v>0</v>
      </c>
      <c r="G91" s="669">
        <f>SUMIF('New Resources - Individual'!$F$6:$Y$6,G$6,'New Resources - Individual'!$F91:$Y91)</f>
        <v>0</v>
      </c>
      <c r="H91" s="670">
        <f>SUMIF('New Resources - Individual'!$F$6:$Y$6,H$6,'New Resources - Individual'!$F91:$Y91)</f>
        <v>0</v>
      </c>
      <c r="I91" s="669">
        <f>SUMIF('New Resources - Individual'!$F$6:$Y$6,I$6,'New Resources - Individual'!$F91:$Y91)</f>
        <v>0</v>
      </c>
      <c r="J91" s="670">
        <f>SUMIF('New Resources - Individual'!$F$6:$Y$6,J$6,'New Resources - Individual'!$F91:$Y91)</f>
        <v>0</v>
      </c>
      <c r="K91" s="670">
        <f>SUMIF('New Resources - Individual'!$F$6:$Y$6,K$6,'New Resources - Individual'!$F91:$Y91)</f>
        <v>0</v>
      </c>
      <c r="L91" s="670">
        <f>SUMIF('New Resources - Individual'!$F$6:$Y$6,L$6,'New Resources - Individual'!$F91:$Y91)</f>
        <v>0</v>
      </c>
      <c r="M91" s="670">
        <f>SUMIF('New Resources - Individual'!$F$6:$Y$6,M$6,'New Resources - Individual'!$F91:$Y91)</f>
        <v>0</v>
      </c>
      <c r="N91" s="670">
        <f>SUMIF('New Resources - Individual'!$F$6:$Y$6,N$6,'New Resources - Individual'!$F91:$Y91)</f>
        <v>0</v>
      </c>
      <c r="O91" s="670">
        <f>SUMIF('New Resources - Individual'!$F$6:$Y$6,O$6,'New Resources - Individual'!$F91:$Y91)</f>
        <v>0</v>
      </c>
      <c r="P91" s="670">
        <f>SUMIF('New Resources - Individual'!$F$6:$Y$6,P$6,'New Resources - Individual'!$F91:$Y91)</f>
        <v>0</v>
      </c>
      <c r="Q91" s="670">
        <f>SUMIF('New Resources - Individual'!$F$6:$Y$6,Q$6,'New Resources - Individual'!$F91:$Y91)</f>
        <v>0</v>
      </c>
      <c r="R91" s="670">
        <f>SUMIF('New Resources - Individual'!$F$6:$Y$6,R$6,'New Resources - Individual'!$F91:$Y91)</f>
        <v>0</v>
      </c>
      <c r="S91" s="670">
        <f>SUMIF('New Resources - Individual'!$F$6:$Y$6,S$6,'New Resources - Individual'!$F91:$Y91)</f>
        <v>0</v>
      </c>
      <c r="T91" s="670">
        <f>SUMIF('New Resources - Individual'!$F$6:$Y$6,T$6,'New Resources - Individual'!$F91:$Y91)</f>
        <v>0</v>
      </c>
      <c r="U91" s="670">
        <f>SUMIF('New Resources - Individual'!$F$6:$Y$6,U$6,'New Resources - Individual'!$F91:$Y91)</f>
        <v>0</v>
      </c>
      <c r="V91" s="670">
        <f>SUMIF('New Resources - Individual'!$F$6:$Y$6,V$6,'New Resources - Individual'!$F91:$Y91)</f>
        <v>0</v>
      </c>
      <c r="W91" s="670">
        <f>SUMIF('New Resources - Individual'!$F$6:$Y$6,W$6,'New Resources - Individual'!$F91:$Y91)</f>
        <v>0</v>
      </c>
      <c r="X91" s="670">
        <f>SUMIF('New Resources - Individual'!$F$6:$Y$6,X$6,'New Resources - Individual'!$F91:$Y91)</f>
        <v>0</v>
      </c>
      <c r="Y91" s="791">
        <f>SUMIF('New Resources - Individual'!$F$6:$Y$6,Y$6,'New Resources - Individual'!$F91:$Y91)</f>
        <v>0</v>
      </c>
      <c r="Z91" s="632"/>
      <c r="AA91" s="632"/>
      <c r="AB91" s="632"/>
      <c r="AC91" s="632"/>
      <c r="AD91" s="632"/>
      <c r="AE91" s="632"/>
      <c r="AF91" s="632"/>
      <c r="AG91" s="659"/>
      <c r="AH91" s="659"/>
    </row>
    <row r="92" spans="1:34" x14ac:dyDescent="0.25">
      <c r="A92" s="641">
        <v>930</v>
      </c>
      <c r="B92" s="790" t="s">
        <v>503</v>
      </c>
      <c r="C92" s="646">
        <v>456.1</v>
      </c>
      <c r="D92" s="646"/>
      <c r="E92" s="645"/>
      <c r="F92" s="669">
        <f>SUMIF('New Resources - Individual'!$F$6:$Y$6,F$6,'New Resources - Individual'!$F92:$Y92)</f>
        <v>0</v>
      </c>
      <c r="G92" s="669">
        <f>SUMIF('New Resources - Individual'!$F$6:$Y$6,G$6,'New Resources - Individual'!$F92:$Y92)</f>
        <v>0</v>
      </c>
      <c r="H92" s="670">
        <f>SUMIF('New Resources - Individual'!$F$6:$Y$6,H$6,'New Resources - Individual'!$F92:$Y92)</f>
        <v>0</v>
      </c>
      <c r="I92" s="669">
        <f>SUMIF('New Resources - Individual'!$F$6:$Y$6,I$6,'New Resources - Individual'!$F92:$Y92)</f>
        <v>0</v>
      </c>
      <c r="J92" s="670">
        <f>SUMIF('New Resources - Individual'!$F$6:$Y$6,J$6,'New Resources - Individual'!$F92:$Y92)</f>
        <v>0</v>
      </c>
      <c r="K92" s="670">
        <f>SUMIF('New Resources - Individual'!$F$6:$Y$6,K$6,'New Resources - Individual'!$F92:$Y92)</f>
        <v>0</v>
      </c>
      <c r="L92" s="670">
        <f>SUMIF('New Resources - Individual'!$F$6:$Y$6,L$6,'New Resources - Individual'!$F92:$Y92)</f>
        <v>0</v>
      </c>
      <c r="M92" s="670">
        <f>SUMIF('New Resources - Individual'!$F$6:$Y$6,M$6,'New Resources - Individual'!$F92:$Y92)</f>
        <v>0</v>
      </c>
      <c r="N92" s="670">
        <f>SUMIF('New Resources - Individual'!$F$6:$Y$6,N$6,'New Resources - Individual'!$F92:$Y92)</f>
        <v>0</v>
      </c>
      <c r="O92" s="670">
        <f>SUMIF('New Resources - Individual'!$F$6:$Y$6,O$6,'New Resources - Individual'!$F92:$Y92)</f>
        <v>0</v>
      </c>
      <c r="P92" s="670">
        <f>SUMIF('New Resources - Individual'!$F$6:$Y$6,P$6,'New Resources - Individual'!$F92:$Y92)</f>
        <v>0</v>
      </c>
      <c r="Q92" s="670">
        <f>SUMIF('New Resources - Individual'!$F$6:$Y$6,Q$6,'New Resources - Individual'!$F92:$Y92)</f>
        <v>0</v>
      </c>
      <c r="R92" s="670">
        <f>SUMIF('New Resources - Individual'!$F$6:$Y$6,R$6,'New Resources - Individual'!$F92:$Y92)</f>
        <v>0</v>
      </c>
      <c r="S92" s="670">
        <f>SUMIF('New Resources - Individual'!$F$6:$Y$6,S$6,'New Resources - Individual'!$F92:$Y92)</f>
        <v>0</v>
      </c>
      <c r="T92" s="670">
        <f>SUMIF('New Resources - Individual'!$F$6:$Y$6,T$6,'New Resources - Individual'!$F92:$Y92)</f>
        <v>0</v>
      </c>
      <c r="U92" s="670">
        <f>SUMIF('New Resources - Individual'!$F$6:$Y$6,U$6,'New Resources - Individual'!$F92:$Y92)</f>
        <v>0</v>
      </c>
      <c r="V92" s="670">
        <f>SUMIF('New Resources - Individual'!$F$6:$Y$6,V$6,'New Resources - Individual'!$F92:$Y92)</f>
        <v>0</v>
      </c>
      <c r="W92" s="670">
        <f>SUMIF('New Resources - Individual'!$F$6:$Y$6,W$6,'New Resources - Individual'!$F92:$Y92)</f>
        <v>0</v>
      </c>
      <c r="X92" s="670">
        <f>SUMIF('New Resources - Individual'!$F$6:$Y$6,X$6,'New Resources - Individual'!$F92:$Y92)</f>
        <v>0</v>
      </c>
      <c r="Y92" s="791">
        <f>SUMIF('New Resources - Individual'!$F$6:$Y$6,Y$6,'New Resources - Individual'!$F92:$Y92)</f>
        <v>0</v>
      </c>
      <c r="Z92" s="632"/>
      <c r="AA92" s="632"/>
      <c r="AB92" s="632"/>
      <c r="AC92" s="632"/>
      <c r="AD92" s="632"/>
      <c r="AE92" s="632"/>
      <c r="AF92" s="632"/>
      <c r="AG92" s="659"/>
      <c r="AH92" s="659"/>
    </row>
    <row r="93" spans="1:34" x14ac:dyDescent="0.25">
      <c r="A93" s="641">
        <v>940</v>
      </c>
      <c r="B93" s="793" t="s">
        <v>304</v>
      </c>
      <c r="C93" s="647"/>
      <c r="D93" s="647"/>
      <c r="E93" s="648"/>
      <c r="F93" s="672"/>
      <c r="G93" s="672"/>
      <c r="H93" s="672"/>
      <c r="I93" s="672"/>
      <c r="J93" s="672"/>
      <c r="K93" s="672"/>
      <c r="L93" s="672"/>
      <c r="M93" s="672"/>
      <c r="N93" s="672"/>
      <c r="O93" s="672"/>
      <c r="P93" s="672"/>
      <c r="Q93" s="672"/>
      <c r="R93" s="672"/>
      <c r="S93" s="672"/>
      <c r="T93" s="672"/>
      <c r="U93" s="672"/>
      <c r="V93" s="672"/>
      <c r="W93" s="672"/>
      <c r="X93" s="672"/>
      <c r="Y93" s="794"/>
      <c r="Z93" s="632"/>
      <c r="AA93" s="632"/>
      <c r="AB93" s="632"/>
      <c r="AC93" s="632"/>
      <c r="AD93" s="632"/>
      <c r="AE93" s="632"/>
      <c r="AF93" s="632"/>
      <c r="AG93" s="659"/>
      <c r="AH93" s="659"/>
    </row>
    <row r="94" spans="1:34" x14ac:dyDescent="0.25">
      <c r="A94" s="641">
        <v>950</v>
      </c>
      <c r="B94" s="790" t="s">
        <v>305</v>
      </c>
      <c r="C94" s="646">
        <v>262</v>
      </c>
      <c r="D94" s="646"/>
      <c r="E94" s="645"/>
      <c r="F94" s="669">
        <f>SUMIF('New Resources - Individual'!$F$6:$Y$6,F$6,'New Resources - Individual'!$F94:$Y94)</f>
        <v>0</v>
      </c>
      <c r="G94" s="669">
        <f>SUMIF('New Resources - Individual'!$F$6:$Y$6,G$6,'New Resources - Individual'!$F94:$Y94)</f>
        <v>0</v>
      </c>
      <c r="H94" s="670">
        <f>SUMIF('New Resources - Individual'!$F$6:$Y$6,H$6,'New Resources - Individual'!$F94:$Y94)</f>
        <v>0</v>
      </c>
      <c r="I94" s="669">
        <f>SUMIF('New Resources - Individual'!$F$6:$Y$6,I$6,'New Resources - Individual'!$F94:$Y94)</f>
        <v>0</v>
      </c>
      <c r="J94" s="670">
        <f>SUMIF('New Resources - Individual'!$F$6:$Y$6,J$6,'New Resources - Individual'!$F94:$Y94)</f>
        <v>0</v>
      </c>
      <c r="K94" s="670">
        <f>SUMIF('New Resources - Individual'!$F$6:$Y$6,K$6,'New Resources - Individual'!$F94:$Y94)</f>
        <v>0</v>
      </c>
      <c r="L94" s="670">
        <f>SUMIF('New Resources - Individual'!$F$6:$Y$6,L$6,'New Resources - Individual'!$F94:$Y94)</f>
        <v>0</v>
      </c>
      <c r="M94" s="670">
        <f>SUMIF('New Resources - Individual'!$F$6:$Y$6,M$6,'New Resources - Individual'!$F94:$Y94)</f>
        <v>0</v>
      </c>
      <c r="N94" s="670">
        <f>SUMIF('New Resources - Individual'!$F$6:$Y$6,N$6,'New Resources - Individual'!$F94:$Y94)</f>
        <v>0</v>
      </c>
      <c r="O94" s="670">
        <f>SUMIF('New Resources - Individual'!$F$6:$Y$6,O$6,'New Resources - Individual'!$F94:$Y94)</f>
        <v>0</v>
      </c>
      <c r="P94" s="670">
        <f>SUMIF('New Resources - Individual'!$F$6:$Y$6,P$6,'New Resources - Individual'!$F94:$Y94)</f>
        <v>0</v>
      </c>
      <c r="Q94" s="670">
        <f>SUMIF('New Resources - Individual'!$F$6:$Y$6,Q$6,'New Resources - Individual'!$F94:$Y94)</f>
        <v>0</v>
      </c>
      <c r="R94" s="670">
        <f>SUMIF('New Resources - Individual'!$F$6:$Y$6,R$6,'New Resources - Individual'!$F94:$Y94)</f>
        <v>0</v>
      </c>
      <c r="S94" s="670">
        <f>SUMIF('New Resources - Individual'!$F$6:$Y$6,S$6,'New Resources - Individual'!$F94:$Y94)</f>
        <v>0</v>
      </c>
      <c r="T94" s="670">
        <f>SUMIF('New Resources - Individual'!$F$6:$Y$6,T$6,'New Resources - Individual'!$F94:$Y94)</f>
        <v>0</v>
      </c>
      <c r="U94" s="670">
        <f>SUMIF('New Resources - Individual'!$F$6:$Y$6,U$6,'New Resources - Individual'!$F94:$Y94)</f>
        <v>0</v>
      </c>
      <c r="V94" s="670">
        <f>SUMIF('New Resources - Individual'!$F$6:$Y$6,V$6,'New Resources - Individual'!$F94:$Y94)</f>
        <v>0</v>
      </c>
      <c r="W94" s="670">
        <f>SUMIF('New Resources - Individual'!$F$6:$Y$6,W$6,'New Resources - Individual'!$F94:$Y94)</f>
        <v>0</v>
      </c>
      <c r="X94" s="670">
        <f>SUMIF('New Resources - Individual'!$F$6:$Y$6,X$6,'New Resources - Individual'!$F94:$Y94)</f>
        <v>0</v>
      </c>
      <c r="Y94" s="791">
        <f>SUMIF('New Resources - Individual'!$F$6:$Y$6,Y$6,'New Resources - Individual'!$F94:$Y94)</f>
        <v>0</v>
      </c>
      <c r="Z94" s="632"/>
      <c r="AA94" s="632"/>
      <c r="AB94" s="632"/>
      <c r="AC94" s="632"/>
      <c r="AD94" s="632"/>
      <c r="AE94" s="632"/>
      <c r="AF94" s="632"/>
      <c r="AG94" s="659"/>
      <c r="AH94" s="659"/>
    </row>
    <row r="95" spans="1:34" hidden="1" x14ac:dyDescent="0.25">
      <c r="A95" s="641">
        <v>960</v>
      </c>
      <c r="B95" s="792"/>
      <c r="C95" s="644"/>
      <c r="D95" s="644"/>
      <c r="E95" s="645"/>
      <c r="F95" s="669"/>
      <c r="G95" s="670"/>
      <c r="H95" s="670"/>
      <c r="I95" s="669"/>
      <c r="J95" s="670"/>
      <c r="K95" s="670"/>
      <c r="L95" s="670"/>
      <c r="M95" s="670"/>
      <c r="N95" s="670"/>
      <c r="O95" s="670"/>
      <c r="P95" s="670"/>
      <c r="Q95" s="670"/>
      <c r="R95" s="670"/>
      <c r="S95" s="670"/>
      <c r="T95" s="670"/>
      <c r="U95" s="670"/>
      <c r="V95" s="670"/>
      <c r="W95" s="670"/>
      <c r="X95" s="670"/>
      <c r="Y95" s="791"/>
      <c r="Z95" s="632"/>
      <c r="AA95" s="632"/>
      <c r="AB95" s="632"/>
      <c r="AC95" s="632"/>
      <c r="AD95" s="632"/>
      <c r="AE95" s="632"/>
      <c r="AF95" s="632"/>
      <c r="AG95" s="659"/>
      <c r="AH95" s="659"/>
    </row>
    <row r="96" spans="1:34" hidden="1" x14ac:dyDescent="0.25">
      <c r="A96" s="641">
        <v>970</v>
      </c>
      <c r="B96" s="790"/>
      <c r="C96" s="646"/>
      <c r="D96" s="646"/>
      <c r="E96" s="645"/>
      <c r="F96" s="669"/>
      <c r="G96" s="670"/>
      <c r="H96" s="670"/>
      <c r="I96" s="669"/>
      <c r="J96" s="670"/>
      <c r="K96" s="670"/>
      <c r="L96" s="670"/>
      <c r="M96" s="670"/>
      <c r="N96" s="670"/>
      <c r="O96" s="670"/>
      <c r="P96" s="670"/>
      <c r="Q96" s="670"/>
      <c r="R96" s="670"/>
      <c r="S96" s="670"/>
      <c r="T96" s="670"/>
      <c r="U96" s="670"/>
      <c r="V96" s="670"/>
      <c r="W96" s="670"/>
      <c r="X96" s="670"/>
      <c r="Y96" s="791"/>
      <c r="Z96" s="632"/>
      <c r="AA96" s="632"/>
      <c r="AB96" s="632"/>
      <c r="AC96" s="632"/>
      <c r="AD96" s="632"/>
      <c r="AE96" s="632"/>
      <c r="AF96" s="632"/>
      <c r="AG96" s="659"/>
      <c r="AH96" s="659"/>
    </row>
    <row r="97" spans="1:34" hidden="1" x14ac:dyDescent="0.25">
      <c r="A97" s="641">
        <v>980</v>
      </c>
      <c r="B97" s="793"/>
      <c r="C97" s="644"/>
      <c r="D97" s="644"/>
      <c r="E97" s="645"/>
      <c r="F97" s="669"/>
      <c r="G97" s="670"/>
      <c r="H97" s="670"/>
      <c r="I97" s="669"/>
      <c r="J97" s="670"/>
      <c r="K97" s="670"/>
      <c r="L97" s="670"/>
      <c r="M97" s="670"/>
      <c r="N97" s="670"/>
      <c r="O97" s="670"/>
      <c r="P97" s="670"/>
      <c r="Q97" s="670"/>
      <c r="R97" s="670"/>
      <c r="S97" s="670"/>
      <c r="T97" s="670"/>
      <c r="U97" s="670"/>
      <c r="V97" s="670"/>
      <c r="W97" s="670"/>
      <c r="X97" s="670"/>
      <c r="Y97" s="791"/>
      <c r="Z97" s="632"/>
      <c r="AA97" s="632"/>
      <c r="AB97" s="632"/>
      <c r="AC97" s="632"/>
      <c r="AD97" s="632"/>
      <c r="AE97" s="632"/>
      <c r="AF97" s="632"/>
      <c r="AG97" s="659"/>
      <c r="AH97" s="659"/>
    </row>
    <row r="98" spans="1:34" hidden="1" x14ac:dyDescent="0.25">
      <c r="A98" s="641">
        <v>990</v>
      </c>
      <c r="B98" s="790"/>
      <c r="C98" s="646"/>
      <c r="D98" s="646"/>
      <c r="E98" s="645"/>
      <c r="F98" s="669"/>
      <c r="G98" s="670"/>
      <c r="H98" s="670"/>
      <c r="I98" s="669"/>
      <c r="J98" s="670"/>
      <c r="K98" s="670"/>
      <c r="L98" s="670"/>
      <c r="M98" s="670"/>
      <c r="N98" s="670"/>
      <c r="O98" s="670"/>
      <c r="P98" s="670"/>
      <c r="Q98" s="670"/>
      <c r="R98" s="670"/>
      <c r="S98" s="670"/>
      <c r="T98" s="670"/>
      <c r="U98" s="670"/>
      <c r="V98" s="670"/>
      <c r="W98" s="670"/>
      <c r="X98" s="670"/>
      <c r="Y98" s="791"/>
      <c r="Z98" s="632"/>
      <c r="AA98" s="632"/>
      <c r="AB98" s="632"/>
      <c r="AC98" s="632"/>
      <c r="AD98" s="632"/>
      <c r="AE98" s="632"/>
      <c r="AF98" s="632"/>
      <c r="AG98" s="659"/>
      <c r="AH98" s="659"/>
    </row>
    <row r="99" spans="1:34" hidden="1" x14ac:dyDescent="0.25">
      <c r="A99" s="641">
        <v>1000</v>
      </c>
      <c r="B99" s="792"/>
      <c r="C99" s="644"/>
      <c r="D99" s="644"/>
      <c r="E99" s="645"/>
      <c r="F99" s="669"/>
      <c r="G99" s="670"/>
      <c r="H99" s="670"/>
      <c r="I99" s="669"/>
      <c r="J99" s="670"/>
      <c r="K99" s="670"/>
      <c r="L99" s="670"/>
      <c r="M99" s="670"/>
      <c r="N99" s="670"/>
      <c r="O99" s="670"/>
      <c r="P99" s="670"/>
      <c r="Q99" s="670"/>
      <c r="R99" s="670"/>
      <c r="S99" s="670"/>
      <c r="T99" s="670"/>
      <c r="U99" s="670"/>
      <c r="V99" s="670"/>
      <c r="W99" s="670"/>
      <c r="X99" s="670"/>
      <c r="Y99" s="791"/>
      <c r="Z99" s="632"/>
      <c r="AA99" s="632"/>
      <c r="AB99" s="632"/>
      <c r="AC99" s="632"/>
      <c r="AD99" s="632"/>
      <c r="AE99" s="632"/>
      <c r="AF99" s="632"/>
      <c r="AG99" s="659"/>
      <c r="AH99" s="659"/>
    </row>
    <row r="100" spans="1:34" hidden="1" x14ac:dyDescent="0.25">
      <c r="A100" s="641">
        <v>1010</v>
      </c>
      <c r="B100" s="790"/>
      <c r="C100" s="646"/>
      <c r="D100" s="646"/>
      <c r="E100" s="645"/>
      <c r="F100" s="669"/>
      <c r="G100" s="670"/>
      <c r="H100" s="670"/>
      <c r="I100" s="669"/>
      <c r="J100" s="670"/>
      <c r="K100" s="670"/>
      <c r="L100" s="670"/>
      <c r="M100" s="670"/>
      <c r="N100" s="670"/>
      <c r="O100" s="670"/>
      <c r="P100" s="670"/>
      <c r="Q100" s="670"/>
      <c r="R100" s="670"/>
      <c r="S100" s="670"/>
      <c r="T100" s="670"/>
      <c r="U100" s="670"/>
      <c r="V100" s="670"/>
      <c r="W100" s="670"/>
      <c r="X100" s="670"/>
      <c r="Y100" s="791"/>
      <c r="Z100" s="632"/>
      <c r="AA100" s="632"/>
      <c r="AB100" s="632"/>
      <c r="AC100" s="632"/>
      <c r="AD100" s="632"/>
      <c r="AE100" s="632"/>
      <c r="AF100" s="632"/>
      <c r="AG100" s="659"/>
      <c r="AH100" s="659"/>
    </row>
    <row r="101" spans="1:34" hidden="1" x14ac:dyDescent="0.25">
      <c r="A101" s="641">
        <v>1020</v>
      </c>
      <c r="B101" s="792"/>
      <c r="C101" s="644"/>
      <c r="D101" s="644"/>
      <c r="E101" s="645"/>
      <c r="F101" s="669"/>
      <c r="G101" s="670"/>
      <c r="H101" s="670"/>
      <c r="I101" s="669"/>
      <c r="J101" s="670"/>
      <c r="K101" s="670"/>
      <c r="L101" s="670"/>
      <c r="M101" s="670"/>
      <c r="N101" s="670"/>
      <c r="O101" s="670"/>
      <c r="P101" s="670"/>
      <c r="Q101" s="670"/>
      <c r="R101" s="670"/>
      <c r="S101" s="670"/>
      <c r="T101" s="670"/>
      <c r="U101" s="670"/>
      <c r="V101" s="670"/>
      <c r="W101" s="670"/>
      <c r="X101" s="670"/>
      <c r="Y101" s="791"/>
      <c r="Z101" s="632"/>
      <c r="AA101" s="632"/>
      <c r="AB101" s="632"/>
      <c r="AC101" s="632"/>
      <c r="AD101" s="632"/>
      <c r="AE101" s="632"/>
      <c r="AF101" s="632"/>
      <c r="AG101" s="659"/>
      <c r="AH101" s="659"/>
    </row>
    <row r="102" spans="1:34" hidden="1" x14ac:dyDescent="0.25">
      <c r="A102" s="641">
        <v>1030</v>
      </c>
      <c r="B102" s="790"/>
      <c r="C102" s="646"/>
      <c r="D102" s="646"/>
      <c r="E102" s="645"/>
      <c r="F102" s="669"/>
      <c r="G102" s="670"/>
      <c r="H102" s="670"/>
      <c r="I102" s="669"/>
      <c r="J102" s="670"/>
      <c r="K102" s="670"/>
      <c r="L102" s="670"/>
      <c r="M102" s="670"/>
      <c r="N102" s="670"/>
      <c r="O102" s="670"/>
      <c r="P102" s="670"/>
      <c r="Q102" s="670"/>
      <c r="R102" s="670"/>
      <c r="S102" s="670"/>
      <c r="T102" s="670"/>
      <c r="U102" s="670"/>
      <c r="V102" s="670"/>
      <c r="W102" s="670"/>
      <c r="X102" s="670"/>
      <c r="Y102" s="791"/>
      <c r="Z102" s="632"/>
      <c r="AA102" s="632"/>
      <c r="AB102" s="632"/>
      <c r="AC102" s="632"/>
      <c r="AD102" s="632"/>
      <c r="AE102" s="632"/>
      <c r="AF102" s="632"/>
      <c r="AG102" s="659"/>
      <c r="AH102" s="659"/>
    </row>
    <row r="103" spans="1:34" hidden="1" x14ac:dyDescent="0.25">
      <c r="A103" s="641">
        <v>1040</v>
      </c>
      <c r="B103" s="792"/>
      <c r="C103" s="644"/>
      <c r="D103" s="644"/>
      <c r="E103" s="645"/>
      <c r="F103" s="669"/>
      <c r="G103" s="670"/>
      <c r="H103" s="670"/>
      <c r="I103" s="669"/>
      <c r="J103" s="670"/>
      <c r="K103" s="670"/>
      <c r="L103" s="670"/>
      <c r="M103" s="670"/>
      <c r="N103" s="670"/>
      <c r="O103" s="670"/>
      <c r="P103" s="670"/>
      <c r="Q103" s="670"/>
      <c r="R103" s="670"/>
      <c r="S103" s="670"/>
      <c r="T103" s="670"/>
      <c r="U103" s="670"/>
      <c r="V103" s="670"/>
      <c r="W103" s="670"/>
      <c r="X103" s="670"/>
      <c r="Y103" s="791"/>
      <c r="Z103" s="632"/>
      <c r="AA103" s="632"/>
      <c r="AB103" s="632"/>
      <c r="AC103" s="632"/>
      <c r="AD103" s="632"/>
      <c r="AE103" s="632"/>
      <c r="AF103" s="632"/>
      <c r="AG103" s="659"/>
      <c r="AH103" s="659"/>
    </row>
    <row r="104" spans="1:34" hidden="1" x14ac:dyDescent="0.25">
      <c r="A104" s="641">
        <v>1050</v>
      </c>
      <c r="B104" s="792"/>
      <c r="C104" s="644"/>
      <c r="D104" s="644"/>
      <c r="E104" s="645"/>
      <c r="F104" s="669"/>
      <c r="G104" s="670"/>
      <c r="H104" s="670"/>
      <c r="I104" s="669"/>
      <c r="J104" s="670"/>
      <c r="K104" s="670"/>
      <c r="L104" s="670"/>
      <c r="M104" s="670"/>
      <c r="N104" s="670"/>
      <c r="O104" s="670"/>
      <c r="P104" s="670"/>
      <c r="Q104" s="670"/>
      <c r="R104" s="670"/>
      <c r="S104" s="670"/>
      <c r="T104" s="670"/>
      <c r="U104" s="670"/>
      <c r="V104" s="670"/>
      <c r="W104" s="670"/>
      <c r="X104" s="670"/>
      <c r="Y104" s="791"/>
      <c r="Z104" s="632"/>
      <c r="AA104" s="632"/>
      <c r="AB104" s="632"/>
      <c r="AC104" s="632"/>
      <c r="AD104" s="632"/>
      <c r="AE104" s="632"/>
      <c r="AF104" s="632"/>
      <c r="AG104" s="659"/>
      <c r="AH104" s="659"/>
    </row>
    <row r="105" spans="1:34" hidden="1" x14ac:dyDescent="0.25">
      <c r="A105" s="641">
        <v>1060</v>
      </c>
      <c r="B105" s="790"/>
      <c r="C105" s="646"/>
      <c r="D105" s="646"/>
      <c r="E105" s="645"/>
      <c r="F105" s="669"/>
      <c r="G105" s="670"/>
      <c r="H105" s="670"/>
      <c r="I105" s="669"/>
      <c r="J105" s="670"/>
      <c r="K105" s="670"/>
      <c r="L105" s="670"/>
      <c r="M105" s="670"/>
      <c r="N105" s="670"/>
      <c r="O105" s="670"/>
      <c r="P105" s="670"/>
      <c r="Q105" s="670"/>
      <c r="R105" s="670"/>
      <c r="S105" s="670"/>
      <c r="T105" s="670"/>
      <c r="U105" s="670"/>
      <c r="V105" s="670"/>
      <c r="W105" s="670"/>
      <c r="X105" s="670"/>
      <c r="Y105" s="791"/>
      <c r="Z105" s="632"/>
      <c r="AA105" s="632"/>
      <c r="AB105" s="632"/>
      <c r="AC105" s="632"/>
      <c r="AD105" s="632"/>
      <c r="AE105" s="632"/>
      <c r="AF105" s="632"/>
      <c r="AG105" s="659"/>
      <c r="AH105" s="659"/>
    </row>
    <row r="106" spans="1:34" x14ac:dyDescent="0.25">
      <c r="A106" s="641">
        <v>1070</v>
      </c>
      <c r="B106" s="799"/>
      <c r="C106" s="651"/>
      <c r="D106" s="651"/>
      <c r="E106" s="652"/>
      <c r="F106" s="676"/>
      <c r="G106" s="677"/>
      <c r="H106" s="677"/>
      <c r="I106" s="676"/>
      <c r="J106" s="677"/>
      <c r="K106" s="677"/>
      <c r="L106" s="677"/>
      <c r="M106" s="677"/>
      <c r="N106" s="677"/>
      <c r="O106" s="677"/>
      <c r="P106" s="677"/>
      <c r="Q106" s="677"/>
      <c r="R106" s="677"/>
      <c r="S106" s="677"/>
      <c r="T106" s="677"/>
      <c r="U106" s="677"/>
      <c r="V106" s="677"/>
      <c r="W106" s="677"/>
      <c r="X106" s="677"/>
      <c r="Y106" s="800"/>
      <c r="Z106" s="632"/>
      <c r="AA106" s="632"/>
      <c r="AB106" s="632"/>
      <c r="AC106" s="632"/>
      <c r="AD106" s="632"/>
      <c r="AE106" s="632"/>
      <c r="AF106" s="632"/>
      <c r="AG106" s="659"/>
      <c r="AH106" s="659"/>
    </row>
    <row r="107" spans="1:34" x14ac:dyDescent="0.25">
      <c r="A107" s="641">
        <v>1080</v>
      </c>
      <c r="B107" s="793" t="s">
        <v>306</v>
      </c>
      <c r="C107" s="647"/>
      <c r="D107" s="647"/>
      <c r="E107" s="648"/>
      <c r="F107" s="672"/>
      <c r="G107" s="672"/>
      <c r="H107" s="672"/>
      <c r="I107" s="672"/>
      <c r="J107" s="672"/>
      <c r="K107" s="672"/>
      <c r="L107" s="672"/>
      <c r="M107" s="672"/>
      <c r="N107" s="672"/>
      <c r="O107" s="672"/>
      <c r="P107" s="672"/>
      <c r="Q107" s="672"/>
      <c r="R107" s="672"/>
      <c r="S107" s="672"/>
      <c r="T107" s="672"/>
      <c r="U107" s="672"/>
      <c r="V107" s="672"/>
      <c r="W107" s="672"/>
      <c r="X107" s="672"/>
      <c r="Y107" s="794"/>
      <c r="Z107" s="632"/>
      <c r="AA107" s="632"/>
      <c r="AB107" s="632"/>
      <c r="AC107" s="632"/>
      <c r="AD107" s="632"/>
      <c r="AE107" s="632"/>
      <c r="AF107" s="632"/>
      <c r="AG107" s="659"/>
      <c r="AH107" s="659"/>
    </row>
    <row r="108" spans="1:34" x14ac:dyDescent="0.25">
      <c r="A108" s="653">
        <v>92400</v>
      </c>
      <c r="B108" s="790" t="s">
        <v>307</v>
      </c>
      <c r="C108" s="646"/>
      <c r="D108" s="646"/>
      <c r="E108" s="645"/>
      <c r="F108" s="679">
        <f t="shared" ref="F108:Y108" si="2">SUM(F9,F49)</f>
        <v>0</v>
      </c>
      <c r="G108" s="679">
        <f t="shared" si="2"/>
        <v>0</v>
      </c>
      <c r="H108" s="679">
        <f>SUM(H9,H49)</f>
        <v>0</v>
      </c>
      <c r="I108" s="679">
        <f t="shared" si="2"/>
        <v>0</v>
      </c>
      <c r="J108" s="679">
        <f t="shared" si="2"/>
        <v>0</v>
      </c>
      <c r="K108" s="679">
        <f t="shared" si="2"/>
        <v>0</v>
      </c>
      <c r="L108" s="679">
        <f t="shared" si="2"/>
        <v>0</v>
      </c>
      <c r="M108" s="679">
        <f t="shared" si="2"/>
        <v>0</v>
      </c>
      <c r="N108" s="679">
        <f t="shared" si="2"/>
        <v>0</v>
      </c>
      <c r="O108" s="679">
        <f t="shared" si="2"/>
        <v>0</v>
      </c>
      <c r="P108" s="679">
        <f t="shared" si="2"/>
        <v>0</v>
      </c>
      <c r="Q108" s="679">
        <f t="shared" si="2"/>
        <v>0</v>
      </c>
      <c r="R108" s="679">
        <f t="shared" si="2"/>
        <v>0</v>
      </c>
      <c r="S108" s="679">
        <f t="shared" si="2"/>
        <v>0</v>
      </c>
      <c r="T108" s="679">
        <f t="shared" si="2"/>
        <v>0</v>
      </c>
      <c r="U108" s="679">
        <f t="shared" si="2"/>
        <v>0</v>
      </c>
      <c r="V108" s="679">
        <f t="shared" si="2"/>
        <v>0</v>
      </c>
      <c r="W108" s="679">
        <f t="shared" si="2"/>
        <v>0</v>
      </c>
      <c r="X108" s="679">
        <f t="shared" si="2"/>
        <v>0</v>
      </c>
      <c r="Y108" s="798">
        <f t="shared" si="2"/>
        <v>0</v>
      </c>
    </row>
    <row r="109" spans="1:34" x14ac:dyDescent="0.25">
      <c r="A109" s="653">
        <v>92000</v>
      </c>
      <c r="B109" s="792" t="s">
        <v>308</v>
      </c>
      <c r="C109" s="644"/>
      <c r="D109" s="644"/>
      <c r="E109" s="645"/>
      <c r="F109" s="679">
        <f>SUM(F10,F24,F36,F50,F84)</f>
        <v>0</v>
      </c>
      <c r="G109" s="679">
        <f>SUM(G10,G24,G36,G50,G84)</f>
        <v>0</v>
      </c>
      <c r="H109" s="679">
        <f>SUM(H10,H24,H36,H50,H84)</f>
        <v>0</v>
      </c>
      <c r="I109" s="679">
        <f t="shared" ref="I109:Y109" si="3">SUM(I10,I24,I36,I50,I84)</f>
        <v>0</v>
      </c>
      <c r="J109" s="679">
        <f t="shared" si="3"/>
        <v>0</v>
      </c>
      <c r="K109" s="679">
        <f t="shared" si="3"/>
        <v>0</v>
      </c>
      <c r="L109" s="679">
        <f t="shared" si="3"/>
        <v>0</v>
      </c>
      <c r="M109" s="679">
        <f t="shared" si="3"/>
        <v>0</v>
      </c>
      <c r="N109" s="679">
        <f t="shared" si="3"/>
        <v>0</v>
      </c>
      <c r="O109" s="679">
        <f t="shared" si="3"/>
        <v>0</v>
      </c>
      <c r="P109" s="679">
        <f t="shared" si="3"/>
        <v>0</v>
      </c>
      <c r="Q109" s="679">
        <f t="shared" si="3"/>
        <v>0</v>
      </c>
      <c r="R109" s="679">
        <f t="shared" si="3"/>
        <v>0</v>
      </c>
      <c r="S109" s="679">
        <f t="shared" si="3"/>
        <v>0</v>
      </c>
      <c r="T109" s="679">
        <f t="shared" si="3"/>
        <v>0</v>
      </c>
      <c r="U109" s="679">
        <f t="shared" si="3"/>
        <v>0</v>
      </c>
      <c r="V109" s="679">
        <f t="shared" si="3"/>
        <v>0</v>
      </c>
      <c r="W109" s="679">
        <f t="shared" si="3"/>
        <v>0</v>
      </c>
      <c r="X109" s="679">
        <f t="shared" si="3"/>
        <v>0</v>
      </c>
      <c r="Y109" s="798">
        <f t="shared" si="3"/>
        <v>0</v>
      </c>
    </row>
    <row r="110" spans="1:34" x14ac:dyDescent="0.25">
      <c r="A110" s="653">
        <v>93000</v>
      </c>
      <c r="B110" s="790" t="s">
        <v>309</v>
      </c>
      <c r="C110" s="646"/>
      <c r="D110" s="646"/>
      <c r="E110" s="645"/>
      <c r="F110" s="679">
        <f>SUM(F11,F51)</f>
        <v>0</v>
      </c>
      <c r="G110" s="679">
        <f t="shared" ref="G110:Y110" si="4">SUM(G11,G51)</f>
        <v>0</v>
      </c>
      <c r="H110" s="679">
        <f>SUM(H11,H51)</f>
        <v>0</v>
      </c>
      <c r="I110" s="679">
        <f t="shared" si="4"/>
        <v>0</v>
      </c>
      <c r="J110" s="679">
        <f t="shared" si="4"/>
        <v>0</v>
      </c>
      <c r="K110" s="679">
        <f t="shared" si="4"/>
        <v>0</v>
      </c>
      <c r="L110" s="679">
        <f t="shared" si="4"/>
        <v>0</v>
      </c>
      <c r="M110" s="679">
        <f t="shared" si="4"/>
        <v>0</v>
      </c>
      <c r="N110" s="679">
        <f t="shared" si="4"/>
        <v>0</v>
      </c>
      <c r="O110" s="679">
        <f t="shared" si="4"/>
        <v>0</v>
      </c>
      <c r="P110" s="679">
        <f t="shared" si="4"/>
        <v>0</v>
      </c>
      <c r="Q110" s="679">
        <f t="shared" si="4"/>
        <v>0</v>
      </c>
      <c r="R110" s="679">
        <f t="shared" si="4"/>
        <v>0</v>
      </c>
      <c r="S110" s="679">
        <f t="shared" si="4"/>
        <v>0</v>
      </c>
      <c r="T110" s="679">
        <f t="shared" si="4"/>
        <v>0</v>
      </c>
      <c r="U110" s="679">
        <f t="shared" si="4"/>
        <v>0</v>
      </c>
      <c r="V110" s="679">
        <f t="shared" si="4"/>
        <v>0</v>
      </c>
      <c r="W110" s="679">
        <f t="shared" si="4"/>
        <v>0</v>
      </c>
      <c r="X110" s="679">
        <f t="shared" si="4"/>
        <v>0</v>
      </c>
      <c r="Y110" s="798">
        <f t="shared" si="4"/>
        <v>0</v>
      </c>
    </row>
    <row r="111" spans="1:34" x14ac:dyDescent="0.25">
      <c r="A111" s="653">
        <v>94000</v>
      </c>
      <c r="B111" s="792" t="s">
        <v>310</v>
      </c>
      <c r="C111" s="644"/>
      <c r="D111" s="644"/>
      <c r="E111" s="645"/>
      <c r="F111" s="679">
        <f>SUM(F16,F29,F40,F56,F89)</f>
        <v>0</v>
      </c>
      <c r="G111" s="679">
        <f>SUM(G16,G29,G40,G56,G89)</f>
        <v>0</v>
      </c>
      <c r="H111" s="679">
        <f>SUM(H16,H29,H40,H56,H89)</f>
        <v>0</v>
      </c>
      <c r="I111" s="679">
        <f t="shared" ref="I111:Y111" si="5">SUM(I16,I29,I40,I56,I89)</f>
        <v>0</v>
      </c>
      <c r="J111" s="679">
        <f t="shared" si="5"/>
        <v>0</v>
      </c>
      <c r="K111" s="679">
        <f t="shared" si="5"/>
        <v>0</v>
      </c>
      <c r="L111" s="679">
        <f t="shared" si="5"/>
        <v>0</v>
      </c>
      <c r="M111" s="679">
        <f t="shared" si="5"/>
        <v>0</v>
      </c>
      <c r="N111" s="679">
        <f t="shared" si="5"/>
        <v>0</v>
      </c>
      <c r="O111" s="679">
        <f t="shared" si="5"/>
        <v>0</v>
      </c>
      <c r="P111" s="679">
        <f t="shared" si="5"/>
        <v>0</v>
      </c>
      <c r="Q111" s="679">
        <f t="shared" si="5"/>
        <v>0</v>
      </c>
      <c r="R111" s="679">
        <f t="shared" si="5"/>
        <v>0</v>
      </c>
      <c r="S111" s="679">
        <f t="shared" si="5"/>
        <v>0</v>
      </c>
      <c r="T111" s="679">
        <f t="shared" si="5"/>
        <v>0</v>
      </c>
      <c r="U111" s="679">
        <f t="shared" si="5"/>
        <v>0</v>
      </c>
      <c r="V111" s="679">
        <f t="shared" si="5"/>
        <v>0</v>
      </c>
      <c r="W111" s="679">
        <f t="shared" si="5"/>
        <v>0</v>
      </c>
      <c r="X111" s="679">
        <f t="shared" si="5"/>
        <v>0</v>
      </c>
      <c r="Y111" s="798">
        <f t="shared" si="5"/>
        <v>0</v>
      </c>
    </row>
    <row r="112" spans="1:34" x14ac:dyDescent="0.25">
      <c r="A112" s="653">
        <v>95000</v>
      </c>
      <c r="B112" s="790"/>
      <c r="C112" s="646"/>
      <c r="D112" s="646"/>
      <c r="E112" s="645"/>
      <c r="F112" s="679"/>
      <c r="G112" s="679"/>
      <c r="H112" s="679"/>
      <c r="I112" s="679"/>
      <c r="J112" s="679"/>
      <c r="K112" s="679"/>
      <c r="L112" s="679"/>
      <c r="M112" s="679"/>
      <c r="N112" s="679"/>
      <c r="O112" s="679"/>
      <c r="P112" s="679"/>
      <c r="Q112" s="679"/>
      <c r="R112" s="679"/>
      <c r="S112" s="679"/>
      <c r="T112" s="679"/>
      <c r="U112" s="679"/>
      <c r="V112" s="679"/>
      <c r="W112" s="679"/>
      <c r="X112" s="679"/>
      <c r="Y112" s="798"/>
    </row>
    <row r="113" spans="1:25" x14ac:dyDescent="0.25">
      <c r="A113" s="653">
        <v>96000</v>
      </c>
      <c r="B113" s="792" t="s">
        <v>311</v>
      </c>
      <c r="C113" s="644"/>
      <c r="D113" s="644"/>
      <c r="E113" s="645"/>
      <c r="F113" s="679">
        <f>SUM(F62,F94)</f>
        <v>0</v>
      </c>
      <c r="G113" s="679">
        <f>SUM(G62,G94)</f>
        <v>0</v>
      </c>
      <c r="H113" s="679">
        <f>SUM(H62,H94)</f>
        <v>0</v>
      </c>
      <c r="I113" s="679">
        <f t="shared" ref="I113:Y113" si="6">SUM(I62,I94)</f>
        <v>0</v>
      </c>
      <c r="J113" s="679">
        <f t="shared" si="6"/>
        <v>0</v>
      </c>
      <c r="K113" s="679">
        <f t="shared" si="6"/>
        <v>0</v>
      </c>
      <c r="L113" s="679">
        <f t="shared" si="6"/>
        <v>0</v>
      </c>
      <c r="M113" s="679">
        <f t="shared" si="6"/>
        <v>0</v>
      </c>
      <c r="N113" s="679">
        <f t="shared" si="6"/>
        <v>0</v>
      </c>
      <c r="O113" s="679">
        <f t="shared" si="6"/>
        <v>0</v>
      </c>
      <c r="P113" s="679">
        <f t="shared" si="6"/>
        <v>0</v>
      </c>
      <c r="Q113" s="679">
        <f t="shared" si="6"/>
        <v>0</v>
      </c>
      <c r="R113" s="679">
        <f t="shared" si="6"/>
        <v>0</v>
      </c>
      <c r="S113" s="679">
        <f t="shared" si="6"/>
        <v>0</v>
      </c>
      <c r="T113" s="679">
        <f t="shared" si="6"/>
        <v>0</v>
      </c>
      <c r="U113" s="679">
        <f t="shared" si="6"/>
        <v>0</v>
      </c>
      <c r="V113" s="679">
        <f t="shared" si="6"/>
        <v>0</v>
      </c>
      <c r="W113" s="679">
        <f t="shared" si="6"/>
        <v>0</v>
      </c>
      <c r="X113" s="679">
        <f t="shared" si="6"/>
        <v>0</v>
      </c>
      <c r="Y113" s="798">
        <f t="shared" si="6"/>
        <v>0</v>
      </c>
    </row>
    <row r="114" spans="1:25" x14ac:dyDescent="0.25">
      <c r="A114" s="653">
        <v>97000</v>
      </c>
      <c r="B114" s="790"/>
      <c r="C114" s="646"/>
      <c r="D114" s="646"/>
      <c r="E114" s="645"/>
      <c r="F114" s="679"/>
      <c r="G114" s="679"/>
      <c r="H114" s="679"/>
      <c r="I114" s="679"/>
      <c r="J114" s="679"/>
      <c r="K114" s="679"/>
      <c r="L114" s="679"/>
      <c r="M114" s="679"/>
      <c r="N114" s="679"/>
      <c r="O114" s="679"/>
      <c r="P114" s="679"/>
      <c r="Q114" s="679"/>
      <c r="R114" s="679"/>
      <c r="S114" s="679"/>
      <c r="T114" s="679"/>
      <c r="U114" s="679"/>
      <c r="V114" s="679"/>
      <c r="W114" s="679"/>
      <c r="X114" s="679"/>
      <c r="Y114" s="798"/>
    </row>
    <row r="115" spans="1:25" x14ac:dyDescent="0.25">
      <c r="A115" s="653">
        <v>98000</v>
      </c>
      <c r="B115" s="792" t="s">
        <v>312</v>
      </c>
      <c r="C115" s="644"/>
      <c r="D115" s="644"/>
      <c r="E115" s="645"/>
      <c r="F115" s="679">
        <f>F14+F15</f>
        <v>0</v>
      </c>
      <c r="G115" s="679">
        <f>G14+G15</f>
        <v>0</v>
      </c>
      <c r="H115" s="679">
        <f>H14+H15</f>
        <v>0</v>
      </c>
      <c r="I115" s="679">
        <f t="shared" ref="I115:R115" si="7">I14+I15</f>
        <v>0</v>
      </c>
      <c r="J115" s="679">
        <f t="shared" si="7"/>
        <v>0</v>
      </c>
      <c r="K115" s="679">
        <f t="shared" si="7"/>
        <v>0</v>
      </c>
      <c r="L115" s="679">
        <f t="shared" si="7"/>
        <v>0</v>
      </c>
      <c r="M115" s="679">
        <f t="shared" si="7"/>
        <v>0</v>
      </c>
      <c r="N115" s="679">
        <f t="shared" si="7"/>
        <v>0</v>
      </c>
      <c r="O115" s="679">
        <f t="shared" si="7"/>
        <v>0</v>
      </c>
      <c r="P115" s="679">
        <f t="shared" si="7"/>
        <v>0</v>
      </c>
      <c r="Q115" s="679">
        <f t="shared" si="7"/>
        <v>0</v>
      </c>
      <c r="R115" s="679">
        <f t="shared" si="7"/>
        <v>0</v>
      </c>
      <c r="S115" s="679">
        <f>S14+S15</f>
        <v>0</v>
      </c>
      <c r="T115" s="679">
        <f t="shared" ref="T115:Y115" si="8">T14+T15</f>
        <v>0</v>
      </c>
      <c r="U115" s="679">
        <f t="shared" si="8"/>
        <v>0</v>
      </c>
      <c r="V115" s="679">
        <f t="shared" si="8"/>
        <v>0</v>
      </c>
      <c r="W115" s="679">
        <f t="shared" si="8"/>
        <v>0</v>
      </c>
      <c r="X115" s="679">
        <f t="shared" si="8"/>
        <v>0</v>
      </c>
      <c r="Y115" s="798">
        <f t="shared" si="8"/>
        <v>0</v>
      </c>
    </row>
    <row r="116" spans="1:25" x14ac:dyDescent="0.25">
      <c r="A116" s="653">
        <v>99000</v>
      </c>
      <c r="B116" s="790" t="s">
        <v>313</v>
      </c>
      <c r="C116" s="646"/>
      <c r="D116" s="646"/>
      <c r="E116" s="645"/>
      <c r="F116" s="679">
        <f>F38+F39</f>
        <v>0</v>
      </c>
      <c r="G116" s="679">
        <f>G38+G39</f>
        <v>0</v>
      </c>
      <c r="H116" s="679">
        <f>H38+H39</f>
        <v>0</v>
      </c>
      <c r="I116" s="679">
        <f t="shared" ref="I116:R116" si="9">I38+I39</f>
        <v>0</v>
      </c>
      <c r="J116" s="679">
        <f t="shared" si="9"/>
        <v>0</v>
      </c>
      <c r="K116" s="679">
        <f t="shared" si="9"/>
        <v>0</v>
      </c>
      <c r="L116" s="679">
        <f t="shared" si="9"/>
        <v>0</v>
      </c>
      <c r="M116" s="679">
        <f t="shared" si="9"/>
        <v>0</v>
      </c>
      <c r="N116" s="679">
        <f t="shared" si="9"/>
        <v>0</v>
      </c>
      <c r="O116" s="679">
        <f t="shared" si="9"/>
        <v>0</v>
      </c>
      <c r="P116" s="679">
        <f t="shared" si="9"/>
        <v>0</v>
      </c>
      <c r="Q116" s="679">
        <f t="shared" si="9"/>
        <v>0</v>
      </c>
      <c r="R116" s="679">
        <f t="shared" si="9"/>
        <v>0</v>
      </c>
      <c r="S116" s="679">
        <f>S38+S39</f>
        <v>0</v>
      </c>
      <c r="T116" s="679">
        <f t="shared" ref="T116:Y116" si="10">T38+T39</f>
        <v>0</v>
      </c>
      <c r="U116" s="679">
        <f t="shared" si="10"/>
        <v>0</v>
      </c>
      <c r="V116" s="679">
        <f t="shared" si="10"/>
        <v>0</v>
      </c>
      <c r="W116" s="679">
        <f t="shared" si="10"/>
        <v>0</v>
      </c>
      <c r="X116" s="679">
        <f t="shared" si="10"/>
        <v>0</v>
      </c>
      <c r="Y116" s="798">
        <f t="shared" si="10"/>
        <v>0</v>
      </c>
    </row>
    <row r="117" spans="1:25" x14ac:dyDescent="0.25">
      <c r="A117" s="653">
        <v>100000</v>
      </c>
      <c r="B117" s="792" t="s">
        <v>314</v>
      </c>
      <c r="C117" s="644"/>
      <c r="D117" s="644"/>
      <c r="E117" s="645"/>
      <c r="F117" s="679">
        <f>F54+F55</f>
        <v>0</v>
      </c>
      <c r="G117" s="679">
        <f>G54+G55</f>
        <v>0</v>
      </c>
      <c r="H117" s="679">
        <f>H54+H55</f>
        <v>0</v>
      </c>
      <c r="I117" s="679">
        <f t="shared" ref="I117:Q117" si="11">I54+I55</f>
        <v>0</v>
      </c>
      <c r="J117" s="679">
        <f t="shared" si="11"/>
        <v>0</v>
      </c>
      <c r="K117" s="679">
        <f t="shared" si="11"/>
        <v>0</v>
      </c>
      <c r="L117" s="679">
        <f t="shared" si="11"/>
        <v>0</v>
      </c>
      <c r="M117" s="679">
        <f t="shared" si="11"/>
        <v>0</v>
      </c>
      <c r="N117" s="679">
        <f t="shared" si="11"/>
        <v>0</v>
      </c>
      <c r="O117" s="679">
        <f t="shared" si="11"/>
        <v>0</v>
      </c>
      <c r="P117" s="679">
        <f t="shared" si="11"/>
        <v>0</v>
      </c>
      <c r="Q117" s="679">
        <f t="shared" si="11"/>
        <v>0</v>
      </c>
      <c r="R117" s="679">
        <f>R54+R55</f>
        <v>0</v>
      </c>
      <c r="S117" s="679">
        <f>S54+S55</f>
        <v>0</v>
      </c>
      <c r="T117" s="679">
        <f t="shared" ref="T117:Y117" si="12">T54+T55</f>
        <v>0</v>
      </c>
      <c r="U117" s="679">
        <f t="shared" si="12"/>
        <v>0</v>
      </c>
      <c r="V117" s="679">
        <f t="shared" si="12"/>
        <v>0</v>
      </c>
      <c r="W117" s="679">
        <f t="shared" si="12"/>
        <v>0</v>
      </c>
      <c r="X117" s="679">
        <f t="shared" si="12"/>
        <v>0</v>
      </c>
      <c r="Y117" s="798">
        <f t="shared" si="12"/>
        <v>0</v>
      </c>
    </row>
    <row r="118" spans="1:25" x14ac:dyDescent="0.25">
      <c r="A118" s="653">
        <v>101000</v>
      </c>
      <c r="B118" s="790"/>
      <c r="C118" s="646"/>
      <c r="D118" s="646"/>
      <c r="E118" s="645"/>
      <c r="F118" s="679"/>
      <c r="G118" s="679"/>
      <c r="H118" s="679"/>
      <c r="I118" s="679"/>
      <c r="J118" s="679"/>
      <c r="K118" s="679"/>
      <c r="L118" s="679"/>
      <c r="M118" s="679"/>
      <c r="N118" s="679"/>
      <c r="O118" s="679"/>
      <c r="P118" s="679"/>
      <c r="Q118" s="679"/>
      <c r="R118" s="679"/>
      <c r="S118" s="679"/>
      <c r="T118" s="679"/>
      <c r="U118" s="679"/>
      <c r="V118" s="679"/>
      <c r="W118" s="679"/>
      <c r="X118" s="679"/>
      <c r="Y118" s="798"/>
    </row>
    <row r="119" spans="1:25" x14ac:dyDescent="0.25">
      <c r="A119" s="653">
        <v>102000</v>
      </c>
      <c r="B119" s="792"/>
      <c r="C119" s="644"/>
      <c r="D119" s="644"/>
      <c r="E119" s="645"/>
      <c r="F119" s="679"/>
      <c r="G119" s="679"/>
      <c r="H119" s="679"/>
      <c r="I119" s="679"/>
      <c r="J119" s="679"/>
      <c r="K119" s="679"/>
      <c r="L119" s="679"/>
      <c r="M119" s="679"/>
      <c r="N119" s="679"/>
      <c r="O119" s="679"/>
      <c r="P119" s="679"/>
      <c r="Q119" s="679"/>
      <c r="R119" s="679"/>
      <c r="S119" s="679"/>
      <c r="T119" s="679"/>
      <c r="U119" s="679"/>
      <c r="V119" s="679"/>
      <c r="W119" s="679"/>
      <c r="X119" s="679"/>
      <c r="Y119" s="798"/>
    </row>
    <row r="120" spans="1:25" x14ac:dyDescent="0.25">
      <c r="A120" s="653">
        <v>103000</v>
      </c>
      <c r="B120" s="790" t="s">
        <v>684</v>
      </c>
      <c r="C120" s="646"/>
      <c r="D120" s="646"/>
      <c r="E120" s="645"/>
      <c r="F120" s="679">
        <f>SUM(F18,F31,F41,F58)</f>
        <v>0</v>
      </c>
      <c r="G120" s="679">
        <f t="shared" ref="G120:Y120" si="13">SUM(G18,G31,G41,G58)</f>
        <v>0</v>
      </c>
      <c r="H120" s="679">
        <f t="shared" si="13"/>
        <v>0</v>
      </c>
      <c r="I120" s="679">
        <f t="shared" si="13"/>
        <v>0</v>
      </c>
      <c r="J120" s="679">
        <f t="shared" si="13"/>
        <v>0</v>
      </c>
      <c r="K120" s="679">
        <f t="shared" si="13"/>
        <v>0</v>
      </c>
      <c r="L120" s="679">
        <f t="shared" si="13"/>
        <v>0</v>
      </c>
      <c r="M120" s="679">
        <f t="shared" si="13"/>
        <v>0</v>
      </c>
      <c r="N120" s="679">
        <f t="shared" si="13"/>
        <v>0</v>
      </c>
      <c r="O120" s="679">
        <f t="shared" si="13"/>
        <v>0</v>
      </c>
      <c r="P120" s="679">
        <f t="shared" si="13"/>
        <v>0</v>
      </c>
      <c r="Q120" s="679">
        <f t="shared" si="13"/>
        <v>0</v>
      </c>
      <c r="R120" s="679">
        <f t="shared" si="13"/>
        <v>0</v>
      </c>
      <c r="S120" s="679">
        <f t="shared" si="13"/>
        <v>0</v>
      </c>
      <c r="T120" s="679">
        <f t="shared" si="13"/>
        <v>0</v>
      </c>
      <c r="U120" s="679">
        <f t="shared" si="13"/>
        <v>0</v>
      </c>
      <c r="V120" s="679">
        <f t="shared" si="13"/>
        <v>0</v>
      </c>
      <c r="W120" s="679">
        <f t="shared" si="13"/>
        <v>0</v>
      </c>
      <c r="X120" s="679">
        <f t="shared" si="13"/>
        <v>0</v>
      </c>
      <c r="Y120" s="798">
        <f t="shared" si="13"/>
        <v>0</v>
      </c>
    </row>
    <row r="121" spans="1:25" x14ac:dyDescent="0.25">
      <c r="A121" s="653">
        <v>104000</v>
      </c>
      <c r="B121" s="792" t="s">
        <v>685</v>
      </c>
      <c r="C121" s="644"/>
      <c r="D121" s="644"/>
      <c r="E121" s="645"/>
      <c r="F121" s="679">
        <f>SUM(F19,F32,F42,F59)</f>
        <v>0</v>
      </c>
      <c r="G121" s="679">
        <f t="shared" ref="G121:Y121" si="14">SUM(G19,G32,G42,G59)</f>
        <v>0</v>
      </c>
      <c r="H121" s="679">
        <f t="shared" si="14"/>
        <v>0</v>
      </c>
      <c r="I121" s="679">
        <f t="shared" si="14"/>
        <v>0</v>
      </c>
      <c r="J121" s="679">
        <f t="shared" si="14"/>
        <v>0</v>
      </c>
      <c r="K121" s="679">
        <f t="shared" si="14"/>
        <v>0</v>
      </c>
      <c r="L121" s="679">
        <f t="shared" si="14"/>
        <v>0</v>
      </c>
      <c r="M121" s="679">
        <f t="shared" si="14"/>
        <v>0</v>
      </c>
      <c r="N121" s="679">
        <f t="shared" si="14"/>
        <v>0</v>
      </c>
      <c r="O121" s="679">
        <f t="shared" si="14"/>
        <v>0</v>
      </c>
      <c r="P121" s="679">
        <f t="shared" si="14"/>
        <v>0</v>
      </c>
      <c r="Q121" s="679">
        <f t="shared" si="14"/>
        <v>0</v>
      </c>
      <c r="R121" s="679">
        <f t="shared" si="14"/>
        <v>0</v>
      </c>
      <c r="S121" s="679">
        <f t="shared" si="14"/>
        <v>0</v>
      </c>
      <c r="T121" s="679">
        <f t="shared" si="14"/>
        <v>0</v>
      </c>
      <c r="U121" s="679">
        <f t="shared" si="14"/>
        <v>0</v>
      </c>
      <c r="V121" s="679">
        <f t="shared" si="14"/>
        <v>0</v>
      </c>
      <c r="W121" s="679">
        <f t="shared" si="14"/>
        <v>0</v>
      </c>
      <c r="X121" s="679">
        <f t="shared" si="14"/>
        <v>0</v>
      </c>
      <c r="Y121" s="798">
        <f t="shared" si="14"/>
        <v>0</v>
      </c>
    </row>
    <row r="122" spans="1:25" x14ac:dyDescent="0.25">
      <c r="A122" s="653">
        <v>105000</v>
      </c>
      <c r="B122" s="790" t="s">
        <v>686</v>
      </c>
      <c r="C122" s="646"/>
      <c r="D122" s="646"/>
      <c r="E122" s="645"/>
      <c r="F122" s="679">
        <f>F76+F78+F64+F66+F68+F70+F72</f>
        <v>0</v>
      </c>
      <c r="G122" s="679">
        <f t="shared" ref="G122:Y122" si="15">G76+G78+G64+G66+G68+G70+G72</f>
        <v>0</v>
      </c>
      <c r="H122" s="679">
        <f t="shared" si="15"/>
        <v>0</v>
      </c>
      <c r="I122" s="679">
        <f t="shared" si="15"/>
        <v>0</v>
      </c>
      <c r="J122" s="679">
        <f t="shared" si="15"/>
        <v>0</v>
      </c>
      <c r="K122" s="679">
        <f t="shared" si="15"/>
        <v>0</v>
      </c>
      <c r="L122" s="679">
        <f t="shared" si="15"/>
        <v>0</v>
      </c>
      <c r="M122" s="679">
        <f t="shared" si="15"/>
        <v>0</v>
      </c>
      <c r="N122" s="679">
        <f t="shared" si="15"/>
        <v>0</v>
      </c>
      <c r="O122" s="679">
        <f t="shared" si="15"/>
        <v>0</v>
      </c>
      <c r="P122" s="679">
        <f t="shared" si="15"/>
        <v>0</v>
      </c>
      <c r="Q122" s="679">
        <f t="shared" si="15"/>
        <v>0</v>
      </c>
      <c r="R122" s="679">
        <f t="shared" si="15"/>
        <v>0</v>
      </c>
      <c r="S122" s="679">
        <f t="shared" si="15"/>
        <v>0</v>
      </c>
      <c r="T122" s="679">
        <f t="shared" si="15"/>
        <v>0</v>
      </c>
      <c r="U122" s="679">
        <f t="shared" si="15"/>
        <v>0</v>
      </c>
      <c r="V122" s="679">
        <f t="shared" si="15"/>
        <v>0</v>
      </c>
      <c r="W122" s="679">
        <f t="shared" si="15"/>
        <v>0</v>
      </c>
      <c r="X122" s="679">
        <f t="shared" si="15"/>
        <v>0</v>
      </c>
      <c r="Y122" s="798">
        <f t="shared" si="15"/>
        <v>0</v>
      </c>
    </row>
    <row r="123" spans="1:25" x14ac:dyDescent="0.25">
      <c r="A123" s="653">
        <v>106000</v>
      </c>
      <c r="B123" s="792" t="s">
        <v>687</v>
      </c>
      <c r="C123" s="644"/>
      <c r="D123" s="644"/>
      <c r="E123" s="645"/>
      <c r="F123" s="679">
        <f>F79+F77+F65+F67+F69+F71+F73</f>
        <v>0</v>
      </c>
      <c r="G123" s="679">
        <f t="shared" ref="G123:Y123" si="16">G79+G77+G65+G67+G69+G71+G73</f>
        <v>0</v>
      </c>
      <c r="H123" s="679">
        <f t="shared" si="16"/>
        <v>0</v>
      </c>
      <c r="I123" s="679">
        <f t="shared" si="16"/>
        <v>0</v>
      </c>
      <c r="J123" s="679">
        <f t="shared" si="16"/>
        <v>0</v>
      </c>
      <c r="K123" s="679">
        <f t="shared" si="16"/>
        <v>0</v>
      </c>
      <c r="L123" s="679">
        <f t="shared" si="16"/>
        <v>0</v>
      </c>
      <c r="M123" s="679">
        <f t="shared" si="16"/>
        <v>0</v>
      </c>
      <c r="N123" s="679">
        <f t="shared" si="16"/>
        <v>0</v>
      </c>
      <c r="O123" s="679">
        <f t="shared" si="16"/>
        <v>0</v>
      </c>
      <c r="P123" s="679">
        <f t="shared" si="16"/>
        <v>0</v>
      </c>
      <c r="Q123" s="679">
        <f t="shared" si="16"/>
        <v>0</v>
      </c>
      <c r="R123" s="679">
        <f t="shared" si="16"/>
        <v>0</v>
      </c>
      <c r="S123" s="679">
        <f t="shared" si="16"/>
        <v>0</v>
      </c>
      <c r="T123" s="679">
        <f t="shared" si="16"/>
        <v>0</v>
      </c>
      <c r="U123" s="679">
        <f t="shared" si="16"/>
        <v>0</v>
      </c>
      <c r="V123" s="679">
        <f t="shared" si="16"/>
        <v>0</v>
      </c>
      <c r="W123" s="679">
        <f t="shared" si="16"/>
        <v>0</v>
      </c>
      <c r="X123" s="679">
        <f t="shared" si="16"/>
        <v>0</v>
      </c>
      <c r="Y123" s="798">
        <f t="shared" si="16"/>
        <v>0</v>
      </c>
    </row>
    <row r="124" spans="1:25" x14ac:dyDescent="0.25">
      <c r="A124" s="653">
        <v>107000</v>
      </c>
      <c r="B124" s="790" t="s">
        <v>688</v>
      </c>
      <c r="C124" s="646"/>
      <c r="D124" s="646"/>
      <c r="E124" s="645"/>
      <c r="F124" s="679">
        <f>SUM(F20,F33,F43,F60)</f>
        <v>0</v>
      </c>
      <c r="G124" s="679">
        <f t="shared" ref="G124:Y124" si="17">SUM(G20,G33,G43,G60)</f>
        <v>0</v>
      </c>
      <c r="H124" s="679">
        <f t="shared" si="17"/>
        <v>0</v>
      </c>
      <c r="I124" s="679">
        <f t="shared" si="17"/>
        <v>0</v>
      </c>
      <c r="J124" s="679">
        <f t="shared" si="17"/>
        <v>0</v>
      </c>
      <c r="K124" s="679">
        <f t="shared" si="17"/>
        <v>0</v>
      </c>
      <c r="L124" s="679">
        <f t="shared" si="17"/>
        <v>0</v>
      </c>
      <c r="M124" s="679">
        <f t="shared" si="17"/>
        <v>0</v>
      </c>
      <c r="N124" s="679">
        <f t="shared" si="17"/>
        <v>0</v>
      </c>
      <c r="O124" s="679">
        <f t="shared" si="17"/>
        <v>0</v>
      </c>
      <c r="P124" s="679">
        <f t="shared" si="17"/>
        <v>0</v>
      </c>
      <c r="Q124" s="679">
        <f t="shared" si="17"/>
        <v>0</v>
      </c>
      <c r="R124" s="679">
        <f t="shared" si="17"/>
        <v>0</v>
      </c>
      <c r="S124" s="679">
        <f t="shared" si="17"/>
        <v>0</v>
      </c>
      <c r="T124" s="679">
        <f t="shared" si="17"/>
        <v>0</v>
      </c>
      <c r="U124" s="679">
        <f t="shared" si="17"/>
        <v>0</v>
      </c>
      <c r="V124" s="679">
        <f t="shared" si="17"/>
        <v>0</v>
      </c>
      <c r="W124" s="679">
        <f t="shared" si="17"/>
        <v>0</v>
      </c>
      <c r="X124" s="679">
        <f t="shared" si="17"/>
        <v>0</v>
      </c>
      <c r="Y124" s="798">
        <f t="shared" si="17"/>
        <v>0</v>
      </c>
    </row>
    <row r="125" spans="1:25" x14ac:dyDescent="0.25">
      <c r="A125" s="653">
        <v>108000</v>
      </c>
      <c r="B125" s="792" t="s">
        <v>315</v>
      </c>
      <c r="C125" s="644"/>
      <c r="D125" s="644"/>
      <c r="E125" s="645"/>
      <c r="F125" s="679">
        <f>SUM(F20,F33,F43,F60,F65,F67,F69,F71,F73,F77,F79)</f>
        <v>0</v>
      </c>
      <c r="G125" s="679">
        <f t="shared" ref="G125:Y125" si="18">SUM(G20,G33,G43,G60,G65,G67,G69,G71,G73,G77,G79)</f>
        <v>0</v>
      </c>
      <c r="H125" s="679">
        <f>SUM(H20,H33,H43,H60,H65,H67,H69,H71,H73,H77,H79)</f>
        <v>0</v>
      </c>
      <c r="I125" s="679">
        <f t="shared" si="18"/>
        <v>0</v>
      </c>
      <c r="J125" s="679">
        <f t="shared" si="18"/>
        <v>0</v>
      </c>
      <c r="K125" s="679">
        <f t="shared" si="18"/>
        <v>0</v>
      </c>
      <c r="L125" s="679">
        <f t="shared" si="18"/>
        <v>0</v>
      </c>
      <c r="M125" s="679">
        <f t="shared" si="18"/>
        <v>0</v>
      </c>
      <c r="N125" s="679">
        <f t="shared" si="18"/>
        <v>0</v>
      </c>
      <c r="O125" s="679">
        <f t="shared" si="18"/>
        <v>0</v>
      </c>
      <c r="P125" s="679">
        <f t="shared" si="18"/>
        <v>0</v>
      </c>
      <c r="Q125" s="679">
        <f t="shared" si="18"/>
        <v>0</v>
      </c>
      <c r="R125" s="679">
        <f t="shared" si="18"/>
        <v>0</v>
      </c>
      <c r="S125" s="679">
        <f t="shared" si="18"/>
        <v>0</v>
      </c>
      <c r="T125" s="679">
        <f t="shared" si="18"/>
        <v>0</v>
      </c>
      <c r="U125" s="679">
        <f t="shared" si="18"/>
        <v>0</v>
      </c>
      <c r="V125" s="679">
        <f t="shared" si="18"/>
        <v>0</v>
      </c>
      <c r="W125" s="679">
        <f t="shared" si="18"/>
        <v>0</v>
      </c>
      <c r="X125" s="679">
        <f t="shared" si="18"/>
        <v>0</v>
      </c>
      <c r="Y125" s="798">
        <f t="shared" si="18"/>
        <v>0</v>
      </c>
    </row>
    <row r="126" spans="1:25" x14ac:dyDescent="0.25">
      <c r="A126" s="653">
        <v>109000</v>
      </c>
      <c r="B126" s="792" t="s">
        <v>316</v>
      </c>
      <c r="C126" s="644"/>
      <c r="D126" s="644"/>
      <c r="E126" s="645"/>
      <c r="F126" s="679">
        <f>SUM(F19,F32,F42,F59)</f>
        <v>0</v>
      </c>
      <c r="G126" s="679">
        <f t="shared" ref="G126:Y126" si="19">SUM(G19,G32,G42,G59)</f>
        <v>0</v>
      </c>
      <c r="H126" s="679">
        <f>SUM(H19,H32,H42,H59)</f>
        <v>0</v>
      </c>
      <c r="I126" s="679">
        <f t="shared" si="19"/>
        <v>0</v>
      </c>
      <c r="J126" s="679">
        <f t="shared" si="19"/>
        <v>0</v>
      </c>
      <c r="K126" s="679">
        <f t="shared" si="19"/>
        <v>0</v>
      </c>
      <c r="L126" s="679">
        <f t="shared" si="19"/>
        <v>0</v>
      </c>
      <c r="M126" s="679">
        <f t="shared" si="19"/>
        <v>0</v>
      </c>
      <c r="N126" s="679">
        <f t="shared" si="19"/>
        <v>0</v>
      </c>
      <c r="O126" s="679">
        <f t="shared" si="19"/>
        <v>0</v>
      </c>
      <c r="P126" s="679">
        <f t="shared" si="19"/>
        <v>0</v>
      </c>
      <c r="Q126" s="679">
        <f t="shared" si="19"/>
        <v>0</v>
      </c>
      <c r="R126" s="679">
        <f t="shared" si="19"/>
        <v>0</v>
      </c>
      <c r="S126" s="679">
        <f t="shared" si="19"/>
        <v>0</v>
      </c>
      <c r="T126" s="679">
        <f t="shared" si="19"/>
        <v>0</v>
      </c>
      <c r="U126" s="679">
        <f t="shared" si="19"/>
        <v>0</v>
      </c>
      <c r="V126" s="679">
        <f t="shared" si="19"/>
        <v>0</v>
      </c>
      <c r="W126" s="679">
        <f t="shared" si="19"/>
        <v>0</v>
      </c>
      <c r="X126" s="679">
        <f t="shared" si="19"/>
        <v>0</v>
      </c>
      <c r="Y126" s="798">
        <f t="shared" si="19"/>
        <v>0</v>
      </c>
    </row>
    <row r="127" spans="1:25" x14ac:dyDescent="0.25">
      <c r="A127" s="653">
        <v>110000</v>
      </c>
      <c r="B127" s="790" t="s">
        <v>317</v>
      </c>
      <c r="C127" s="646"/>
      <c r="D127" s="646"/>
      <c r="E127" s="645"/>
      <c r="F127" s="679">
        <f>SUM(F18,F31,F41,F58)</f>
        <v>0</v>
      </c>
      <c r="G127" s="679">
        <f t="shared" ref="G127:Y127" si="20">SUM(G18,G31,G41,G58)</f>
        <v>0</v>
      </c>
      <c r="H127" s="679">
        <f>SUM(H18,H31,H41,H58)</f>
        <v>0</v>
      </c>
      <c r="I127" s="679">
        <f t="shared" si="20"/>
        <v>0</v>
      </c>
      <c r="J127" s="679">
        <f t="shared" si="20"/>
        <v>0</v>
      </c>
      <c r="K127" s="679">
        <f t="shared" si="20"/>
        <v>0</v>
      </c>
      <c r="L127" s="679">
        <f t="shared" si="20"/>
        <v>0</v>
      </c>
      <c r="M127" s="679">
        <f t="shared" si="20"/>
        <v>0</v>
      </c>
      <c r="N127" s="679">
        <f t="shared" si="20"/>
        <v>0</v>
      </c>
      <c r="O127" s="679">
        <f t="shared" si="20"/>
        <v>0</v>
      </c>
      <c r="P127" s="679">
        <f t="shared" si="20"/>
        <v>0</v>
      </c>
      <c r="Q127" s="679">
        <f t="shared" si="20"/>
        <v>0</v>
      </c>
      <c r="R127" s="679">
        <f t="shared" si="20"/>
        <v>0</v>
      </c>
      <c r="S127" s="679">
        <f t="shared" si="20"/>
        <v>0</v>
      </c>
      <c r="T127" s="679">
        <f t="shared" si="20"/>
        <v>0</v>
      </c>
      <c r="U127" s="679">
        <f t="shared" si="20"/>
        <v>0</v>
      </c>
      <c r="V127" s="679">
        <f t="shared" si="20"/>
        <v>0</v>
      </c>
      <c r="W127" s="679">
        <f t="shared" si="20"/>
        <v>0</v>
      </c>
      <c r="X127" s="679">
        <f t="shared" si="20"/>
        <v>0</v>
      </c>
      <c r="Y127" s="798">
        <f t="shared" si="20"/>
        <v>0</v>
      </c>
    </row>
    <row r="128" spans="1:25" x14ac:dyDescent="0.25">
      <c r="A128" s="653">
        <v>111000</v>
      </c>
      <c r="B128" s="792" t="s">
        <v>318</v>
      </c>
      <c r="C128" s="644"/>
      <c r="D128" s="644"/>
      <c r="E128" s="645"/>
      <c r="F128" s="679">
        <f>F45+F46</f>
        <v>0</v>
      </c>
      <c r="G128" s="680">
        <f>G45+G46</f>
        <v>0</v>
      </c>
      <c r="H128" s="680">
        <f>H45+H46</f>
        <v>0</v>
      </c>
      <c r="I128" s="679">
        <f t="shared" ref="I128:Y128" si="21">I45+I46</f>
        <v>0</v>
      </c>
      <c r="J128" s="680">
        <f t="shared" si="21"/>
        <v>0</v>
      </c>
      <c r="K128" s="680">
        <f t="shared" si="21"/>
        <v>0</v>
      </c>
      <c r="L128" s="680">
        <f t="shared" si="21"/>
        <v>0</v>
      </c>
      <c r="M128" s="680">
        <f t="shared" si="21"/>
        <v>0</v>
      </c>
      <c r="N128" s="680">
        <f t="shared" si="21"/>
        <v>0</v>
      </c>
      <c r="O128" s="680">
        <f t="shared" si="21"/>
        <v>0</v>
      </c>
      <c r="P128" s="680">
        <f t="shared" si="21"/>
        <v>0</v>
      </c>
      <c r="Q128" s="680">
        <f t="shared" si="21"/>
        <v>0</v>
      </c>
      <c r="R128" s="680">
        <f t="shared" si="21"/>
        <v>0</v>
      </c>
      <c r="S128" s="680">
        <f t="shared" si="21"/>
        <v>0</v>
      </c>
      <c r="T128" s="680">
        <f t="shared" si="21"/>
        <v>0</v>
      </c>
      <c r="U128" s="680">
        <f t="shared" si="21"/>
        <v>0</v>
      </c>
      <c r="V128" s="680">
        <f t="shared" si="21"/>
        <v>0</v>
      </c>
      <c r="W128" s="680">
        <f t="shared" si="21"/>
        <v>0</v>
      </c>
      <c r="X128" s="680">
        <f t="shared" si="21"/>
        <v>0</v>
      </c>
      <c r="Y128" s="801">
        <f t="shared" si="21"/>
        <v>0</v>
      </c>
    </row>
    <row r="129" spans="1:25" x14ac:dyDescent="0.25">
      <c r="A129" s="653">
        <v>112000</v>
      </c>
      <c r="B129" s="792"/>
      <c r="C129" s="644"/>
      <c r="D129" s="644"/>
      <c r="E129" s="645"/>
      <c r="F129" s="679"/>
      <c r="G129" s="680"/>
      <c r="H129" s="680"/>
      <c r="I129" s="679"/>
      <c r="J129" s="680"/>
      <c r="K129" s="680"/>
      <c r="L129" s="680"/>
      <c r="M129" s="680"/>
      <c r="N129" s="680"/>
      <c r="O129" s="680"/>
      <c r="P129" s="680"/>
      <c r="Q129" s="680"/>
      <c r="R129" s="680"/>
      <c r="S129" s="680"/>
      <c r="T129" s="680"/>
      <c r="U129" s="680"/>
      <c r="V129" s="680"/>
      <c r="W129" s="680"/>
      <c r="X129" s="680"/>
      <c r="Y129" s="801"/>
    </row>
    <row r="130" spans="1:25" x14ac:dyDescent="0.25">
      <c r="A130" s="653">
        <v>113000</v>
      </c>
      <c r="B130" s="790"/>
      <c r="C130" s="646"/>
      <c r="D130" s="646"/>
      <c r="E130" s="645"/>
      <c r="F130" s="679"/>
      <c r="G130" s="680"/>
      <c r="H130" s="680"/>
      <c r="I130" s="679"/>
      <c r="J130" s="680"/>
      <c r="K130" s="680"/>
      <c r="L130" s="680"/>
      <c r="M130" s="680"/>
      <c r="N130" s="680"/>
      <c r="O130" s="680"/>
      <c r="P130" s="680"/>
      <c r="Q130" s="680"/>
      <c r="R130" s="680"/>
      <c r="S130" s="680"/>
      <c r="T130" s="680"/>
      <c r="U130" s="680"/>
      <c r="V130" s="680"/>
      <c r="W130" s="680"/>
      <c r="X130" s="680"/>
      <c r="Y130" s="801"/>
    </row>
    <row r="131" spans="1:25" ht="16.5" thickBot="1" x14ac:dyDescent="0.3">
      <c r="A131" s="653">
        <v>114000</v>
      </c>
      <c r="B131" s="802"/>
      <c r="C131" s="803"/>
      <c r="D131" s="803"/>
      <c r="E131" s="804"/>
      <c r="F131" s="1278"/>
      <c r="G131" s="806"/>
      <c r="H131" s="806"/>
      <c r="I131" s="805"/>
      <c r="J131" s="806"/>
      <c r="K131" s="806"/>
      <c r="L131" s="806"/>
      <c r="M131" s="806"/>
      <c r="N131" s="806"/>
      <c r="O131" s="806"/>
      <c r="P131" s="806"/>
      <c r="Q131" s="806"/>
      <c r="R131" s="806"/>
      <c r="S131" s="806"/>
      <c r="T131" s="806"/>
      <c r="U131" s="806"/>
      <c r="V131" s="806"/>
      <c r="W131" s="806"/>
      <c r="X131" s="806"/>
      <c r="Y131" s="807"/>
    </row>
    <row r="132" spans="1:25" ht="16.5" thickTop="1" x14ac:dyDescent="0.25"/>
    <row r="142" spans="1:25" x14ac:dyDescent="0.25">
      <c r="R142" s="773"/>
    </row>
    <row r="147" spans="18:18" x14ac:dyDescent="0.25">
      <c r="R147" s="774"/>
    </row>
    <row r="148" spans="18:18" x14ac:dyDescent="0.25">
      <c r="R148" s="775"/>
    </row>
    <row r="149" spans="18:18" x14ac:dyDescent="0.25">
      <c r="R149" s="775"/>
    </row>
    <row r="156" spans="18:18" x14ac:dyDescent="0.25">
      <c r="R156" s="774"/>
    </row>
    <row r="157" spans="18:18" x14ac:dyDescent="0.25">
      <c r="R157" s="776"/>
    </row>
  </sheetData>
  <phoneticPr fontId="0" type="noConversion"/>
  <conditionalFormatting sqref="B7:Y131">
    <cfRule type="expression" dxfId="4" priority="1" stopIfTrue="1">
      <formula>MOD(ROW(),2)=1</formula>
    </cfRule>
  </conditionalFormatting>
  <conditionalFormatting sqref="E2:Y4">
    <cfRule type="expression" dxfId="3" priority="2" stopIfTrue="1">
      <formula>MOD(ROW(),2)=1</formula>
    </cfRule>
  </conditionalFormatting>
  <hyperlinks>
    <hyperlink ref="A2" location="TOC!A1" display="TOC" xr:uid="{00000000-0004-0000-1000-000000000000}"/>
    <hyperlink ref="A3" location="'New Resources - Group'!A7" display="é" xr:uid="{00000000-0004-0000-1000-000001000000}"/>
    <hyperlink ref="A6" location="'New Resources - Group'!F1" display="é" xr:uid="{00000000-0004-0000-1000-000002000000}"/>
  </hyperlinks>
  <printOptions horizontalCentered="1" headings="1"/>
  <pageMargins left="0.5" right="0.5" top="0.75" bottom="0.8" header="0.25" footer="0.25"/>
  <pageSetup scale="75" orientation="landscape" r:id="rId1"/>
  <headerFooter alignWithMargins="0">
    <oddFooter>&amp;LFY 2026-2028 ASC Filing&amp;CPage &amp;P of &amp;N&amp;R&amp;A
&amp;D</oddFooter>
  </headerFooter>
  <rowBreaks count="1" manualBreakCount="1">
    <brk id="81" min="1" max="7" man="1"/>
  </rowBreaks>
  <customProperties>
    <customPr name="_pios_id" r:id="rId2"/>
  </customPropertie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tabColor indexed="56"/>
  </sheetPr>
  <dimension ref="A1:FO496"/>
  <sheetViews>
    <sheetView zoomScale="90" zoomScaleNormal="90" zoomScaleSheetLayoutView="25" workbookViewId="0">
      <selection sqref="A1:XFD1048576"/>
    </sheetView>
  </sheetViews>
  <sheetFormatPr defaultRowHeight="15.75" x14ac:dyDescent="0.25"/>
  <cols>
    <col min="1" max="1" width="8.625" customWidth="1"/>
    <col min="2" max="2" width="50.625" customWidth="1"/>
    <col min="3" max="3" width="24.5" customWidth="1"/>
    <col min="4" max="4" width="14.625" customWidth="1"/>
    <col min="5" max="5" width="10.625" customWidth="1"/>
    <col min="6" max="6" width="6.125" customWidth="1"/>
    <col min="7" max="10" width="16.625" customWidth="1"/>
    <col min="11" max="11" width="2.625" customWidth="1"/>
    <col min="12" max="12" width="25.75" customWidth="1"/>
    <col min="13" max="13" width="12.625" customWidth="1"/>
    <col min="14" max="14" width="17.5" customWidth="1"/>
    <col min="15" max="18" width="15.625" customWidth="1"/>
    <col min="19" max="19" width="2.625" customWidth="1"/>
    <col min="20" max="20" width="26.5" customWidth="1"/>
    <col min="21" max="26" width="15.625" customWidth="1"/>
    <col min="27" max="27" width="2.625" customWidth="1"/>
    <col min="28" max="28" width="26.25" customWidth="1"/>
    <col min="29" max="34" width="15.625" customWidth="1"/>
    <col min="35" max="35" width="2.625" customWidth="1"/>
    <col min="36" max="36" width="26" customWidth="1"/>
    <col min="37" max="42" width="15.625" customWidth="1"/>
    <col min="43" max="43" width="2.625" customWidth="1"/>
    <col min="44" max="44" width="26.125" customWidth="1"/>
    <col min="45" max="50" width="15.625" customWidth="1"/>
    <col min="51" max="51" width="2.625" customWidth="1"/>
    <col min="52" max="52" width="26" customWidth="1"/>
    <col min="53" max="58" width="15.625" customWidth="1"/>
    <col min="59" max="59" width="2.625" customWidth="1"/>
    <col min="60" max="60" width="26.5" customWidth="1"/>
    <col min="61" max="66" width="15.625" customWidth="1"/>
    <col min="67" max="67" width="2.625" customWidth="1"/>
    <col min="68" max="68" width="26.75" customWidth="1"/>
    <col min="69" max="74" width="15.625" customWidth="1"/>
    <col min="75" max="75" width="2.625" customWidth="1"/>
    <col min="76" max="76" width="26.75" customWidth="1"/>
    <col min="77" max="82" width="15.625" customWidth="1"/>
    <col min="83" max="83" width="2.625" customWidth="1"/>
    <col min="84" max="84" width="26.75" customWidth="1"/>
    <col min="85" max="90" width="15.625" customWidth="1"/>
    <col min="91" max="91" width="2.625" customWidth="1"/>
    <col min="92" max="92" width="26.625" customWidth="1"/>
    <col min="93" max="98" width="15.625" customWidth="1"/>
    <col min="99" max="99" width="2.625" customWidth="1"/>
    <col min="100" max="100" width="26.625" customWidth="1"/>
    <col min="101" max="106" width="15.625" customWidth="1"/>
    <col min="107" max="107" width="2.625" customWidth="1"/>
    <col min="108" max="108" width="26.375" customWidth="1"/>
    <col min="109" max="114" width="15.625" customWidth="1"/>
    <col min="115" max="115" width="2.625" customWidth="1"/>
    <col min="116" max="116" width="25.875" customWidth="1"/>
    <col min="117" max="122" width="15.625" customWidth="1"/>
    <col min="123" max="123" width="2.625" customWidth="1"/>
    <col min="124" max="124" width="26.625" customWidth="1"/>
    <col min="125" max="130" width="15.625" customWidth="1"/>
    <col min="131" max="131" width="2.625" customWidth="1"/>
    <col min="132" max="132" width="27.5" customWidth="1"/>
    <col min="133" max="138" width="15.625" customWidth="1"/>
    <col min="139" max="139" width="2.625" customWidth="1"/>
    <col min="140" max="140" width="25.875" customWidth="1"/>
    <col min="141" max="146" width="15.625" customWidth="1"/>
    <col min="147" max="147" width="2.625" customWidth="1"/>
    <col min="148" max="148" width="26.25" customWidth="1"/>
    <col min="149" max="154" width="15.625" customWidth="1"/>
    <col min="155" max="155" width="2.625" customWidth="1"/>
    <col min="156" max="156" width="26.5" customWidth="1"/>
    <col min="157" max="162" width="15.625" customWidth="1"/>
    <col min="163" max="163" width="2.625" customWidth="1"/>
    <col min="164" max="164" width="25.75" customWidth="1"/>
    <col min="165" max="165" width="18.625" customWidth="1"/>
    <col min="166" max="170" width="15.625" customWidth="1"/>
    <col min="171" max="171" width="2.625" customWidth="1"/>
  </cols>
  <sheetData>
    <row r="1" spans="1:171" x14ac:dyDescent="0.25">
      <c r="A1" s="866"/>
      <c r="B1" s="866"/>
      <c r="C1" s="866"/>
      <c r="D1" s="866"/>
      <c r="E1" s="866"/>
      <c r="F1" s="867" t="s">
        <v>615</v>
      </c>
      <c r="G1" s="866"/>
      <c r="H1" s="866"/>
      <c r="I1" s="866"/>
      <c r="J1" s="866"/>
      <c r="K1" s="904"/>
      <c r="M1" s="1108" t="s">
        <v>664</v>
      </c>
      <c r="N1" s="1109">
        <v>1</v>
      </c>
      <c r="S1" s="1110"/>
      <c r="U1" s="1108" t="s">
        <v>664</v>
      </c>
      <c r="V1" s="1109">
        <v>1</v>
      </c>
      <c r="AA1" s="1110"/>
      <c r="AC1" s="1108" t="s">
        <v>664</v>
      </c>
      <c r="AD1" s="1109">
        <v>1</v>
      </c>
      <c r="AI1" s="1110"/>
      <c r="AK1" s="1108" t="s">
        <v>664</v>
      </c>
      <c r="AL1" s="1109">
        <v>1</v>
      </c>
      <c r="AQ1" s="1110"/>
      <c r="AS1" s="1108" t="s">
        <v>664</v>
      </c>
      <c r="AT1" s="1109">
        <v>1</v>
      </c>
      <c r="AY1" s="1110"/>
      <c r="BA1" s="1108" t="s">
        <v>664</v>
      </c>
      <c r="BB1" s="1109">
        <v>1</v>
      </c>
      <c r="BG1" s="1110"/>
      <c r="BI1" s="1108" t="s">
        <v>664</v>
      </c>
      <c r="BJ1" s="1109">
        <v>1</v>
      </c>
      <c r="BO1" s="1110"/>
      <c r="BQ1" s="1108" t="s">
        <v>664</v>
      </c>
      <c r="BR1" s="1109">
        <v>1</v>
      </c>
      <c r="BW1" s="1110"/>
      <c r="BY1" s="1108" t="s">
        <v>664</v>
      </c>
      <c r="BZ1" s="1109">
        <v>1</v>
      </c>
      <c r="CE1" s="1110"/>
      <c r="CG1" s="1108" t="s">
        <v>664</v>
      </c>
      <c r="CH1" s="1109">
        <v>1</v>
      </c>
      <c r="CM1" s="1110"/>
      <c r="CO1" s="1108" t="s">
        <v>664</v>
      </c>
      <c r="CP1" s="1109">
        <v>1</v>
      </c>
      <c r="CU1" s="1110"/>
      <c r="CW1" s="1108" t="s">
        <v>664</v>
      </c>
      <c r="CX1" s="1109">
        <v>1</v>
      </c>
      <c r="DC1" s="1110"/>
      <c r="DE1" s="1108" t="s">
        <v>664</v>
      </c>
      <c r="DF1" s="1109">
        <v>1</v>
      </c>
      <c r="DK1" s="1110"/>
      <c r="DM1" s="1108" t="s">
        <v>664</v>
      </c>
      <c r="DN1" s="1109">
        <v>1</v>
      </c>
      <c r="DS1" s="1110"/>
      <c r="DU1" s="1108" t="s">
        <v>664</v>
      </c>
      <c r="DV1" s="1109">
        <v>1</v>
      </c>
      <c r="EA1" s="1110"/>
      <c r="EC1" s="1108" t="s">
        <v>664</v>
      </c>
      <c r="ED1" s="1109">
        <v>1</v>
      </c>
      <c r="EI1" s="1110"/>
      <c r="EK1" s="1108" t="s">
        <v>664</v>
      </c>
      <c r="EL1" s="1109">
        <v>1</v>
      </c>
      <c r="EQ1" s="1110"/>
      <c r="ES1" s="1108" t="s">
        <v>664</v>
      </c>
      <c r="ET1" s="1109">
        <v>1</v>
      </c>
      <c r="EY1" s="1110"/>
      <c r="FA1" s="1108" t="s">
        <v>664</v>
      </c>
      <c r="FB1" s="1109">
        <v>1</v>
      </c>
      <c r="FG1" s="1110"/>
      <c r="FI1" s="1108" t="s">
        <v>664</v>
      </c>
      <c r="FJ1" s="1109">
        <v>1</v>
      </c>
      <c r="FO1" s="1110"/>
    </row>
    <row r="2" spans="1:171" x14ac:dyDescent="0.25">
      <c r="A2" s="868"/>
      <c r="B2" s="868"/>
      <c r="C2" s="868"/>
      <c r="D2" s="868"/>
      <c r="E2" s="868"/>
      <c r="F2" s="867" t="s">
        <v>616</v>
      </c>
      <c r="G2" s="868"/>
      <c r="H2" s="868"/>
      <c r="I2" s="868"/>
      <c r="J2" s="868"/>
      <c r="K2" s="904"/>
      <c r="M2" s="867" t="s">
        <v>665</v>
      </c>
      <c r="N2" s="1111">
        <v>6</v>
      </c>
      <c r="S2" s="1112"/>
      <c r="U2" s="867" t="s">
        <v>665</v>
      </c>
      <c r="V2" s="1111">
        <v>7</v>
      </c>
      <c r="AA2" s="1112"/>
      <c r="AC2" s="867" t="s">
        <v>665</v>
      </c>
      <c r="AD2" s="1111">
        <v>8</v>
      </c>
      <c r="AI2" s="1112"/>
      <c r="AK2" s="867" t="s">
        <v>665</v>
      </c>
      <c r="AL2" s="1111">
        <v>9</v>
      </c>
      <c r="AQ2" s="1112"/>
      <c r="AS2" s="867" t="s">
        <v>665</v>
      </c>
      <c r="AT2" s="1111">
        <v>10</v>
      </c>
      <c r="AY2" s="1112"/>
      <c r="BA2" s="867" t="s">
        <v>665</v>
      </c>
      <c r="BB2" s="1111">
        <v>11</v>
      </c>
      <c r="BG2" s="1112"/>
      <c r="BI2" s="867" t="s">
        <v>665</v>
      </c>
      <c r="BJ2" s="1111">
        <v>12</v>
      </c>
      <c r="BO2" s="1112"/>
      <c r="BQ2" s="867" t="s">
        <v>665</v>
      </c>
      <c r="BR2" s="1111">
        <v>13</v>
      </c>
      <c r="BW2" s="1112"/>
      <c r="BY2" s="867" t="s">
        <v>665</v>
      </c>
      <c r="BZ2" s="1111">
        <v>14</v>
      </c>
      <c r="CE2" s="1112"/>
      <c r="CG2" s="867" t="s">
        <v>665</v>
      </c>
      <c r="CH2" s="1111">
        <v>15</v>
      </c>
      <c r="CM2" s="1112"/>
      <c r="CO2" s="867" t="s">
        <v>665</v>
      </c>
      <c r="CP2" s="1111">
        <v>16</v>
      </c>
      <c r="CU2" s="1112"/>
      <c r="CW2" s="867" t="s">
        <v>665</v>
      </c>
      <c r="CX2" s="1111">
        <v>17</v>
      </c>
      <c r="DC2" s="1112"/>
      <c r="DE2" s="867" t="s">
        <v>665</v>
      </c>
      <c r="DF2" s="1111">
        <v>18</v>
      </c>
      <c r="DK2" s="1112"/>
      <c r="DM2" s="867" t="s">
        <v>665</v>
      </c>
      <c r="DN2" s="1111">
        <v>19</v>
      </c>
      <c r="DS2" s="1112"/>
      <c r="DU2" s="867" t="s">
        <v>665</v>
      </c>
      <c r="DV2" s="1111">
        <v>20</v>
      </c>
      <c r="EA2" s="1112"/>
      <c r="EC2" s="867" t="s">
        <v>665</v>
      </c>
      <c r="ED2" s="1111">
        <v>21</v>
      </c>
      <c r="EI2" s="1112"/>
      <c r="EK2" s="867" t="s">
        <v>665</v>
      </c>
      <c r="EL2" s="1111">
        <v>22</v>
      </c>
      <c r="EQ2" s="1112"/>
      <c r="ES2" s="867" t="s">
        <v>665</v>
      </c>
      <c r="ET2" s="1111">
        <v>23</v>
      </c>
      <c r="EY2" s="1112"/>
      <c r="FA2" s="867" t="s">
        <v>665</v>
      </c>
      <c r="FB2" s="1111">
        <v>24</v>
      </c>
      <c r="FG2" s="1112"/>
      <c r="FI2" s="867" t="s">
        <v>665</v>
      </c>
      <c r="FJ2" s="1111">
        <v>25</v>
      </c>
      <c r="FO2" s="1112"/>
    </row>
    <row r="3" spans="1:171" x14ac:dyDescent="0.25">
      <c r="A3" s="866"/>
      <c r="B3" s="866"/>
      <c r="C3" s="866"/>
      <c r="D3" s="866"/>
      <c r="E3" s="866"/>
      <c r="F3" s="868" t="s">
        <v>617</v>
      </c>
      <c r="G3" s="866"/>
      <c r="H3" s="866"/>
      <c r="I3" s="866"/>
      <c r="J3" s="866"/>
      <c r="K3" s="904"/>
      <c r="L3" s="1113"/>
      <c r="O3" s="1114" t="str">
        <f ca="1">OFFSET('New Resources - Individual'!$A$1,3,N2-1)</f>
        <v/>
      </c>
      <c r="S3" s="1110"/>
      <c r="T3" s="1113"/>
      <c r="W3" s="1114" t="str">
        <f ca="1">OFFSET('New Resources - Individual'!$A$1,3,V2-1)</f>
        <v/>
      </c>
      <c r="AA3" s="1110"/>
      <c r="AB3" s="1113"/>
      <c r="AE3" s="1114" t="str">
        <f ca="1">OFFSET('New Resources - Individual'!$A$1,3,AD2-1)</f>
        <v/>
      </c>
      <c r="AI3" s="1110"/>
      <c r="AJ3" s="1113"/>
      <c r="AM3" s="1114" t="str">
        <f ca="1">OFFSET('New Resources - Individual'!$A$1,3,AL2-1)</f>
        <v/>
      </c>
      <c r="AQ3" s="1110"/>
      <c r="AR3" s="1113"/>
      <c r="AU3" s="1114" t="str">
        <f ca="1">OFFSET('New Resources - Individual'!$A$1,3,AT2-1)</f>
        <v/>
      </c>
      <c r="AY3" s="1110"/>
      <c r="AZ3" s="1113"/>
      <c r="BC3" s="1114" t="str">
        <f ca="1">OFFSET('New Resources - Individual'!$A$1,3,BB2-1)</f>
        <v/>
      </c>
      <c r="BG3" s="1110"/>
      <c r="BH3" s="1113"/>
      <c r="BK3" s="1114" t="str">
        <f ca="1">OFFSET('New Resources - Individual'!$A$1,3,BJ2-1)</f>
        <v/>
      </c>
      <c r="BO3" s="1110"/>
      <c r="BP3" s="1113"/>
      <c r="BS3" s="1114" t="str">
        <f ca="1">OFFSET('New Resources - Individual'!$A$1,3,BR2-1)</f>
        <v/>
      </c>
      <c r="BW3" s="1110"/>
      <c r="BX3" s="1113"/>
      <c r="CA3" s="1114" t="str">
        <f ca="1">OFFSET('New Resources - Individual'!$A$1,3,BZ2-1)</f>
        <v/>
      </c>
      <c r="CE3" s="1110"/>
      <c r="CF3" s="1113"/>
      <c r="CI3" s="1114" t="str">
        <f ca="1">OFFSET('New Resources - Individual'!$A$1,3,CH2-1)</f>
        <v/>
      </c>
      <c r="CM3" s="1110"/>
      <c r="CN3" s="1113"/>
      <c r="CQ3" s="1114" t="str">
        <f ca="1">OFFSET('New Resources - Individual'!$A$1,3,CP2-1)</f>
        <v/>
      </c>
      <c r="CU3" s="1110"/>
      <c r="CV3" s="1113"/>
      <c r="CY3" s="1114" t="str">
        <f ca="1">OFFSET('New Resources - Individual'!$A$1,3,CX2-1)</f>
        <v/>
      </c>
      <c r="DC3" s="1110"/>
      <c r="DD3" s="1113"/>
      <c r="DG3" s="1114" t="str">
        <f ca="1">OFFSET('New Resources - Individual'!$A$1,3,DF2-1)</f>
        <v/>
      </c>
      <c r="DK3" s="1110"/>
      <c r="DL3" s="1113"/>
      <c r="DO3" s="1114" t="str">
        <f ca="1">OFFSET('New Resources - Individual'!$A$1,3,DN2-1)</f>
        <v/>
      </c>
      <c r="DS3" s="1110"/>
      <c r="DT3" s="1113"/>
      <c r="DW3" s="1114" t="str">
        <f ca="1">OFFSET('New Resources - Individual'!$A$1,3,DV2-1)</f>
        <v/>
      </c>
      <c r="EA3" s="1110"/>
      <c r="EB3" s="1113"/>
      <c r="EE3" s="1114" t="str">
        <f ca="1">OFFSET('New Resources - Individual'!$A$1,3,ED2-1)</f>
        <v/>
      </c>
      <c r="EI3" s="1110"/>
      <c r="EJ3" s="1113"/>
      <c r="EM3" s="1114" t="str">
        <f ca="1">OFFSET('New Resources - Individual'!$A$1,3,EL2-1)</f>
        <v/>
      </c>
      <c r="EQ3" s="1110"/>
      <c r="ER3" s="1113"/>
      <c r="EU3" s="1114" t="str">
        <f ca="1">OFFSET('New Resources - Individual'!$A$1,3,ET2-1)</f>
        <v/>
      </c>
      <c r="EY3" s="1110"/>
      <c r="EZ3" s="1113"/>
      <c r="FC3" s="1114" t="str">
        <f ca="1">OFFSET('New Resources - Individual'!$A$1,3,FB2-1)</f>
        <v/>
      </c>
      <c r="FG3" s="1110"/>
      <c r="FH3" s="1113"/>
      <c r="FK3" s="1114" t="str">
        <f ca="1">OFFSET('New Resources - Individual'!$A$1,3,FJ2-1)</f>
        <v/>
      </c>
      <c r="FO3" s="1110"/>
    </row>
    <row r="4" spans="1:171" ht="16.5" thickBot="1" x14ac:dyDescent="0.3">
      <c r="A4" s="180"/>
      <c r="B4" s="2"/>
      <c r="C4" s="3"/>
      <c r="D4" s="3"/>
      <c r="E4" s="4"/>
      <c r="F4" s="866"/>
      <c r="G4" s="866"/>
      <c r="H4" s="866"/>
      <c r="I4" s="866"/>
      <c r="J4" s="866"/>
      <c r="K4" s="904"/>
      <c r="M4" s="1113"/>
      <c r="N4" s="1116" t="s">
        <v>666</v>
      </c>
      <c r="O4" s="1113" t="s">
        <v>104</v>
      </c>
      <c r="P4" s="1113" t="s">
        <v>105</v>
      </c>
      <c r="Q4" s="1113" t="s">
        <v>106</v>
      </c>
      <c r="R4" s="1113" t="s">
        <v>512</v>
      </c>
      <c r="S4" s="1110"/>
      <c r="U4" s="1113"/>
      <c r="V4" s="1113" t="s">
        <v>666</v>
      </c>
      <c r="W4" s="1113" t="s">
        <v>104</v>
      </c>
      <c r="X4" s="1113" t="s">
        <v>105</v>
      </c>
      <c r="Y4" s="1113" t="s">
        <v>106</v>
      </c>
      <c r="Z4" s="1113" t="s">
        <v>512</v>
      </c>
      <c r="AA4" s="1110"/>
      <c r="AC4" s="1113"/>
      <c r="AD4" s="1113" t="s">
        <v>666</v>
      </c>
      <c r="AE4" s="1113" t="s">
        <v>104</v>
      </c>
      <c r="AF4" s="1113" t="s">
        <v>105</v>
      </c>
      <c r="AG4" s="1113" t="s">
        <v>106</v>
      </c>
      <c r="AH4" s="1113" t="s">
        <v>512</v>
      </c>
      <c r="AI4" s="1110"/>
      <c r="AK4" s="1113"/>
      <c r="AL4" s="1113" t="s">
        <v>666</v>
      </c>
      <c r="AM4" s="1113" t="s">
        <v>104</v>
      </c>
      <c r="AN4" s="1113" t="s">
        <v>105</v>
      </c>
      <c r="AO4" s="1113" t="s">
        <v>106</v>
      </c>
      <c r="AP4" s="1113" t="s">
        <v>512</v>
      </c>
      <c r="AQ4" s="1110"/>
      <c r="AS4" s="1113"/>
      <c r="AT4" s="1113" t="s">
        <v>666</v>
      </c>
      <c r="AU4" s="1113" t="s">
        <v>104</v>
      </c>
      <c r="AV4" s="1113" t="s">
        <v>105</v>
      </c>
      <c r="AW4" s="1113" t="s">
        <v>106</v>
      </c>
      <c r="AX4" s="1113" t="s">
        <v>512</v>
      </c>
      <c r="AY4" s="1110"/>
      <c r="BA4" s="1113"/>
      <c r="BB4" s="1113" t="s">
        <v>666</v>
      </c>
      <c r="BC4" s="1113" t="s">
        <v>104</v>
      </c>
      <c r="BD4" s="1113" t="s">
        <v>105</v>
      </c>
      <c r="BE4" s="1113" t="s">
        <v>106</v>
      </c>
      <c r="BF4" s="1113" t="s">
        <v>512</v>
      </c>
      <c r="BG4" s="1110"/>
      <c r="BI4" s="1113"/>
      <c r="BJ4" s="1113" t="s">
        <v>666</v>
      </c>
      <c r="BK4" s="1113" t="s">
        <v>104</v>
      </c>
      <c r="BL4" s="1113" t="s">
        <v>105</v>
      </c>
      <c r="BM4" s="1113" t="s">
        <v>106</v>
      </c>
      <c r="BN4" s="1113" t="s">
        <v>512</v>
      </c>
      <c r="BO4" s="1110"/>
      <c r="BQ4" s="1113"/>
      <c r="BR4" s="1113" t="s">
        <v>666</v>
      </c>
      <c r="BS4" s="1113" t="s">
        <v>104</v>
      </c>
      <c r="BT4" s="1113" t="s">
        <v>105</v>
      </c>
      <c r="BU4" s="1113" t="s">
        <v>106</v>
      </c>
      <c r="BV4" s="1113" t="s">
        <v>512</v>
      </c>
      <c r="BW4" s="1110"/>
      <c r="BY4" s="1113"/>
      <c r="BZ4" s="1113" t="s">
        <v>666</v>
      </c>
      <c r="CA4" s="1113" t="s">
        <v>104</v>
      </c>
      <c r="CB4" s="1113" t="s">
        <v>105</v>
      </c>
      <c r="CC4" s="1113" t="s">
        <v>106</v>
      </c>
      <c r="CD4" s="1113" t="s">
        <v>512</v>
      </c>
      <c r="CE4" s="1110"/>
      <c r="CG4" s="1113"/>
      <c r="CH4" s="1113" t="s">
        <v>666</v>
      </c>
      <c r="CI4" s="1113" t="s">
        <v>104</v>
      </c>
      <c r="CJ4" s="1113" t="s">
        <v>105</v>
      </c>
      <c r="CK4" s="1113" t="s">
        <v>106</v>
      </c>
      <c r="CL4" s="1113" t="s">
        <v>512</v>
      </c>
      <c r="CM4" s="1110"/>
      <c r="CO4" s="1113"/>
      <c r="CP4" s="1113" t="s">
        <v>666</v>
      </c>
      <c r="CQ4" s="1113" t="s">
        <v>104</v>
      </c>
      <c r="CR4" s="1113" t="s">
        <v>105</v>
      </c>
      <c r="CS4" s="1113" t="s">
        <v>106</v>
      </c>
      <c r="CT4" s="1113" t="s">
        <v>512</v>
      </c>
      <c r="CU4" s="1110"/>
      <c r="CW4" s="1113"/>
      <c r="CX4" s="1113" t="s">
        <v>666</v>
      </c>
      <c r="CY4" s="1113" t="s">
        <v>104</v>
      </c>
      <c r="CZ4" s="1113" t="s">
        <v>105</v>
      </c>
      <c r="DA4" s="1113" t="s">
        <v>106</v>
      </c>
      <c r="DB4" s="1113" t="s">
        <v>512</v>
      </c>
      <c r="DC4" s="1110"/>
      <c r="DE4" s="1113"/>
      <c r="DF4" s="1113" t="s">
        <v>666</v>
      </c>
      <c r="DG4" s="1113" t="s">
        <v>104</v>
      </c>
      <c r="DH4" s="1113" t="s">
        <v>105</v>
      </c>
      <c r="DI4" s="1113" t="s">
        <v>106</v>
      </c>
      <c r="DJ4" s="1113" t="s">
        <v>512</v>
      </c>
      <c r="DK4" s="1110"/>
      <c r="DM4" s="1113"/>
      <c r="DN4" s="1113" t="s">
        <v>666</v>
      </c>
      <c r="DO4" s="1113" t="s">
        <v>104</v>
      </c>
      <c r="DP4" s="1113" t="s">
        <v>105</v>
      </c>
      <c r="DQ4" s="1113" t="s">
        <v>106</v>
      </c>
      <c r="DR4" s="1113" t="s">
        <v>512</v>
      </c>
      <c r="DS4" s="1110"/>
      <c r="DU4" s="1113"/>
      <c r="DV4" s="1113" t="s">
        <v>666</v>
      </c>
      <c r="DW4" s="1113" t="s">
        <v>104</v>
      </c>
      <c r="DX4" s="1113" t="s">
        <v>105</v>
      </c>
      <c r="DY4" s="1113" t="s">
        <v>106</v>
      </c>
      <c r="DZ4" s="1113" t="s">
        <v>512</v>
      </c>
      <c r="EA4" s="1110"/>
      <c r="EC4" s="1113"/>
      <c r="ED4" s="1113" t="s">
        <v>666</v>
      </c>
      <c r="EE4" s="1113" t="s">
        <v>104</v>
      </c>
      <c r="EF4" s="1113" t="s">
        <v>105</v>
      </c>
      <c r="EG4" s="1113" t="s">
        <v>106</v>
      </c>
      <c r="EH4" s="1113" t="s">
        <v>512</v>
      </c>
      <c r="EI4" s="1110"/>
      <c r="EK4" s="1113"/>
      <c r="EL4" s="1113" t="s">
        <v>666</v>
      </c>
      <c r="EM4" s="1113" t="s">
        <v>104</v>
      </c>
      <c r="EN4" s="1113" t="s">
        <v>105</v>
      </c>
      <c r="EO4" s="1113" t="s">
        <v>106</v>
      </c>
      <c r="EP4" s="1113" t="s">
        <v>512</v>
      </c>
      <c r="EQ4" s="1110"/>
      <c r="ES4" s="1113"/>
      <c r="ET4" s="1113" t="s">
        <v>666</v>
      </c>
      <c r="EU4" s="1113" t="s">
        <v>104</v>
      </c>
      <c r="EV4" s="1113" t="s">
        <v>105</v>
      </c>
      <c r="EW4" s="1113" t="s">
        <v>106</v>
      </c>
      <c r="EX4" s="1113" t="s">
        <v>512</v>
      </c>
      <c r="EY4" s="1110"/>
      <c r="FA4" s="1113"/>
      <c r="FB4" s="1113" t="s">
        <v>666</v>
      </c>
      <c r="FC4" s="1113" t="s">
        <v>104</v>
      </c>
      <c r="FD4" s="1113" t="s">
        <v>105</v>
      </c>
      <c r="FE4" s="1113" t="s">
        <v>106</v>
      </c>
      <c r="FF4" s="1113" t="s">
        <v>512</v>
      </c>
      <c r="FG4" s="1110"/>
      <c r="FI4" s="1113"/>
      <c r="FJ4" s="1113" t="s">
        <v>666</v>
      </c>
      <c r="FK4" s="1113" t="s">
        <v>104</v>
      </c>
      <c r="FL4" s="1113" t="s">
        <v>105</v>
      </c>
      <c r="FM4" s="1113" t="s">
        <v>106</v>
      </c>
      <c r="FN4" s="1113" t="s">
        <v>512</v>
      </c>
      <c r="FO4" s="1110"/>
    </row>
    <row r="5" spans="1:171" x14ac:dyDescent="0.25">
      <c r="A5" s="1236" t="s">
        <v>695</v>
      </c>
      <c r="B5" s="505" t="s">
        <v>572</v>
      </c>
      <c r="C5" s="869" t="str">
        <f>'Sch 1- Rate Base '!E5</f>
        <v>PacifiCorp</v>
      </c>
      <c r="D5" s="870"/>
      <c r="E5" s="871"/>
      <c r="F5" s="866"/>
      <c r="G5" s="872"/>
      <c r="H5" s="872"/>
      <c r="I5" s="872"/>
      <c r="J5" s="872"/>
      <c r="K5" s="904"/>
      <c r="S5" s="1110"/>
      <c r="AA5" s="1110"/>
      <c r="AI5" s="1110"/>
      <c r="AQ5" s="1110"/>
      <c r="AY5" s="1110"/>
      <c r="BG5" s="1110"/>
      <c r="BO5" s="1110"/>
      <c r="BW5" s="1110"/>
      <c r="CE5" s="1110"/>
      <c r="CM5" s="1110"/>
      <c r="CU5" s="1110"/>
      <c r="DC5" s="1110"/>
      <c r="DK5" s="1110"/>
      <c r="DS5" s="1110"/>
      <c r="EA5" s="1110"/>
      <c r="EI5" s="1110"/>
      <c r="EQ5" s="1110"/>
      <c r="EY5" s="1110"/>
      <c r="FG5" s="1110"/>
      <c r="FO5" s="1110"/>
    </row>
    <row r="6" spans="1:171" x14ac:dyDescent="0.25">
      <c r="A6" s="1231" t="s">
        <v>696</v>
      </c>
      <c r="B6" s="505" t="s">
        <v>574</v>
      </c>
      <c r="C6" s="873">
        <f>'Sch 1- Rate Base '!E6</f>
        <v>2023</v>
      </c>
      <c r="D6" s="874"/>
      <c r="E6" s="875"/>
      <c r="F6" s="866"/>
      <c r="G6" s="872"/>
      <c r="H6" s="872"/>
      <c r="I6" s="872"/>
      <c r="J6" s="872"/>
      <c r="K6" s="904"/>
      <c r="S6" s="1110"/>
      <c r="AA6" s="1110"/>
      <c r="AI6" s="1110"/>
      <c r="AQ6" s="1110"/>
      <c r="AY6" s="1110"/>
      <c r="BG6" s="1110"/>
      <c r="BO6" s="1110"/>
      <c r="BW6" s="1110"/>
      <c r="CE6" s="1110"/>
      <c r="CM6" s="1110"/>
      <c r="CU6" s="1110"/>
      <c r="DC6" s="1110"/>
      <c r="DK6" s="1110"/>
      <c r="DS6" s="1110"/>
      <c r="EA6" s="1110"/>
      <c r="EI6" s="1110"/>
      <c r="EQ6" s="1110"/>
      <c r="EY6" s="1110"/>
      <c r="FG6" s="1110"/>
      <c r="FO6" s="1110"/>
    </row>
    <row r="7" spans="1:171" ht="16.5" thickBot="1" x14ac:dyDescent="0.3">
      <c r="A7" s="866"/>
      <c r="B7" s="505" t="s">
        <v>575</v>
      </c>
      <c r="C7" s="876">
        <f>'Sch 1- Rate Base '!E7</f>
        <v>45446</v>
      </c>
      <c r="D7" s="877"/>
      <c r="E7" s="878"/>
      <c r="F7" s="866"/>
      <c r="G7" s="872"/>
      <c r="H7" s="872"/>
      <c r="I7" s="872"/>
      <c r="J7" s="872"/>
      <c r="K7" s="904"/>
      <c r="S7" s="1110"/>
      <c r="AA7" s="1110"/>
      <c r="AI7" s="1110"/>
      <c r="AQ7" s="1110"/>
      <c r="AY7" s="1110"/>
      <c r="BG7" s="1110"/>
      <c r="BO7" s="1110"/>
      <c r="BW7" s="1110"/>
      <c r="CE7" s="1110"/>
      <c r="CM7" s="1110"/>
      <c r="CU7" s="1110"/>
      <c r="DC7" s="1110"/>
      <c r="DK7" s="1110"/>
      <c r="DS7" s="1110"/>
      <c r="EA7" s="1110"/>
      <c r="EI7" s="1110"/>
      <c r="EQ7" s="1110"/>
      <c r="EY7" s="1110"/>
      <c r="FG7" s="1110"/>
      <c r="FO7" s="1110"/>
    </row>
    <row r="8" spans="1:171" x14ac:dyDescent="0.25">
      <c r="A8" s="866"/>
      <c r="B8" s="2"/>
      <c r="C8" s="3"/>
      <c r="D8" s="3"/>
      <c r="E8" s="4"/>
      <c r="F8" s="866"/>
      <c r="G8" s="872"/>
      <c r="H8" s="872"/>
      <c r="I8" s="872"/>
      <c r="J8" s="872"/>
      <c r="K8" s="904"/>
      <c r="S8" s="1110"/>
      <c r="AA8" s="1110"/>
      <c r="AI8" s="1110"/>
      <c r="AQ8" s="1110"/>
      <c r="AY8" s="1110"/>
      <c r="BG8" s="1110"/>
      <c r="BO8" s="1110"/>
      <c r="BW8" s="1110"/>
      <c r="CE8" s="1110"/>
      <c r="CM8" s="1110"/>
      <c r="CU8" s="1110"/>
      <c r="DC8" s="1110"/>
      <c r="DK8" s="1110"/>
      <c r="DS8" s="1110"/>
      <c r="EA8" s="1110"/>
      <c r="EI8" s="1110"/>
      <c r="EQ8" s="1110"/>
      <c r="EY8" s="1110"/>
      <c r="FG8" s="1110"/>
      <c r="FO8" s="1110"/>
    </row>
    <row r="9" spans="1:171" x14ac:dyDescent="0.25">
      <c r="A9" s="866">
        <v>1</v>
      </c>
      <c r="B9" s="866">
        <v>2</v>
      </c>
      <c r="C9" s="866">
        <v>3</v>
      </c>
      <c r="D9" s="866">
        <v>4</v>
      </c>
      <c r="E9" s="866">
        <v>5</v>
      </c>
      <c r="F9" s="866">
        <v>6</v>
      </c>
      <c r="G9" s="872"/>
      <c r="H9" s="872" t="s">
        <v>97</v>
      </c>
      <c r="I9" s="872"/>
      <c r="J9" s="872"/>
      <c r="K9" s="904"/>
      <c r="S9" s="1110"/>
      <c r="AA9" s="1110"/>
      <c r="AI9" s="1110"/>
      <c r="AQ9" s="1110"/>
      <c r="AY9" s="1110"/>
      <c r="BG9" s="1110"/>
      <c r="BO9" s="1110"/>
      <c r="BW9" s="1110"/>
      <c r="CE9" s="1110"/>
      <c r="CM9" s="1110"/>
      <c r="CU9" s="1110"/>
      <c r="DC9" s="1110"/>
      <c r="DK9" s="1110"/>
      <c r="DS9" s="1110"/>
      <c r="EA9" s="1110"/>
      <c r="EI9" s="1110"/>
      <c r="EQ9" s="1110"/>
      <c r="EY9" s="1110"/>
      <c r="FG9" s="1110"/>
      <c r="FO9" s="1110"/>
    </row>
    <row r="10" spans="1:171" x14ac:dyDescent="0.25">
      <c r="A10" s="866"/>
      <c r="B10" s="866"/>
      <c r="C10" s="866"/>
      <c r="D10" s="866"/>
      <c r="E10" s="866"/>
      <c r="F10" s="866"/>
      <c r="G10" s="872"/>
      <c r="H10" s="872"/>
      <c r="I10" s="872"/>
      <c r="J10" s="872"/>
      <c r="K10" s="904"/>
      <c r="S10" s="1110"/>
      <c r="AA10" s="1110"/>
      <c r="AI10" s="1110"/>
      <c r="AQ10" s="1110"/>
      <c r="AY10" s="1110"/>
      <c r="BG10" s="1110"/>
      <c r="BO10" s="1110"/>
      <c r="BW10" s="1110"/>
      <c r="CE10" s="1110"/>
      <c r="CM10" s="1110"/>
      <c r="CU10" s="1110"/>
      <c r="DC10" s="1110"/>
      <c r="DK10" s="1110"/>
      <c r="DS10" s="1110"/>
      <c r="EA10" s="1110"/>
      <c r="EI10" s="1110"/>
      <c r="EQ10" s="1110"/>
      <c r="EY10" s="1110"/>
      <c r="FG10" s="1110"/>
      <c r="FO10" s="1110"/>
    </row>
    <row r="11" spans="1:171" ht="16.5" thickBot="1" x14ac:dyDescent="0.3">
      <c r="A11" s="879" t="s">
        <v>325</v>
      </c>
      <c r="B11" s="880"/>
      <c r="C11" s="880"/>
      <c r="D11" s="880"/>
      <c r="E11" s="881"/>
      <c r="F11" s="881"/>
      <c r="G11" s="882"/>
      <c r="H11" s="882"/>
      <c r="I11" s="882"/>
      <c r="J11" s="882"/>
      <c r="K11" s="904"/>
      <c r="S11" s="1110"/>
      <c r="AA11" s="1110"/>
      <c r="AI11" s="1110"/>
      <c r="AQ11" s="1110"/>
      <c r="AY11" s="1110"/>
      <c r="BG11" s="1110"/>
      <c r="BO11" s="1110"/>
      <c r="BW11" s="1110"/>
      <c r="CE11" s="1110"/>
      <c r="CM11" s="1110"/>
      <c r="CU11" s="1110"/>
      <c r="DC11" s="1110"/>
      <c r="DK11" s="1110"/>
      <c r="DS11" s="1110"/>
      <c r="EA11" s="1110"/>
      <c r="EI11" s="1110"/>
      <c r="EQ11" s="1110"/>
      <c r="EY11" s="1110"/>
      <c r="FG11" s="1110"/>
      <c r="FO11" s="1110"/>
    </row>
    <row r="12" spans="1:171" ht="17.25" thickTop="1" thickBot="1" x14ac:dyDescent="0.3">
      <c r="A12" s="1383"/>
      <c r="B12" s="3770" t="s">
        <v>100</v>
      </c>
      <c r="C12" s="325" t="s">
        <v>276</v>
      </c>
      <c r="D12" s="1384"/>
      <c r="E12" s="3773" t="s">
        <v>618</v>
      </c>
      <c r="F12" s="3774"/>
      <c r="G12" s="3775" t="s">
        <v>104</v>
      </c>
      <c r="H12" s="3777" t="s">
        <v>105</v>
      </c>
      <c r="I12" s="3753" t="s">
        <v>106</v>
      </c>
      <c r="J12" s="326"/>
      <c r="K12" s="904"/>
      <c r="S12" s="1110"/>
      <c r="AA12" s="1110"/>
      <c r="AI12" s="1110"/>
      <c r="AQ12" s="1110"/>
      <c r="AY12" s="1110"/>
      <c r="BG12" s="1110"/>
      <c r="BO12" s="1110"/>
      <c r="BW12" s="1110"/>
      <c r="CE12" s="1110"/>
      <c r="CM12" s="1110"/>
      <c r="CU12" s="1110"/>
      <c r="DC12" s="1110"/>
      <c r="DK12" s="1110"/>
      <c r="DS12" s="1110"/>
      <c r="EA12" s="1110"/>
      <c r="EI12" s="1110"/>
      <c r="EQ12" s="1110"/>
      <c r="EY12" s="1110"/>
      <c r="FG12" s="1110"/>
      <c r="FO12" s="1110"/>
    </row>
    <row r="13" spans="1:171" ht="24.75" customHeight="1" thickBot="1" x14ac:dyDescent="0.3">
      <c r="A13" s="884"/>
      <c r="B13" s="3771"/>
      <c r="C13" s="308" t="s">
        <v>272</v>
      </c>
      <c r="D13" s="308" t="s">
        <v>96</v>
      </c>
      <c r="E13" s="3760"/>
      <c r="F13" s="3761"/>
      <c r="G13" s="3763"/>
      <c r="H13" s="3766"/>
      <c r="I13" s="3754"/>
      <c r="J13" s="310" t="s">
        <v>98</v>
      </c>
      <c r="K13" s="904"/>
      <c r="S13" s="1110"/>
      <c r="AA13" s="1110"/>
      <c r="AI13" s="1110"/>
      <c r="AQ13" s="1110"/>
      <c r="AY13" s="1110"/>
      <c r="BG13" s="1110"/>
      <c r="BO13" s="1110"/>
      <c r="BW13" s="1110"/>
      <c r="CE13" s="1110"/>
      <c r="CM13" s="1110"/>
      <c r="CU13" s="1110"/>
      <c r="DC13" s="1110"/>
      <c r="DK13" s="1110"/>
      <c r="DS13" s="1110"/>
      <c r="EA13" s="1110"/>
      <c r="EI13" s="1110"/>
      <c r="EQ13" s="1110"/>
      <c r="EY13" s="1110"/>
      <c r="FG13" s="1110"/>
      <c r="FO13" s="1110"/>
    </row>
    <row r="14" spans="1:171" ht="16.5" thickBot="1" x14ac:dyDescent="0.3">
      <c r="A14" s="885"/>
      <c r="B14" s="3772"/>
      <c r="C14" s="323" t="s">
        <v>273</v>
      </c>
      <c r="D14" s="323" t="s">
        <v>252</v>
      </c>
      <c r="E14" s="323" t="s">
        <v>450</v>
      </c>
      <c r="F14" s="323" t="s">
        <v>619</v>
      </c>
      <c r="G14" s="3776"/>
      <c r="H14" s="3778"/>
      <c r="I14" s="3755"/>
      <c r="J14" s="314" t="s">
        <v>107</v>
      </c>
      <c r="K14" s="904"/>
      <c r="S14" s="1110"/>
      <c r="AA14" s="1110"/>
      <c r="AI14" s="1110"/>
      <c r="AQ14" s="1110"/>
      <c r="AY14" s="1110"/>
      <c r="BG14" s="1110"/>
      <c r="BO14" s="1110"/>
      <c r="BW14" s="1110"/>
      <c r="CE14" s="1110"/>
      <c r="CM14" s="1110"/>
      <c r="CU14" s="1110"/>
      <c r="DC14" s="1110"/>
      <c r="DK14" s="1110"/>
      <c r="DS14" s="1110"/>
      <c r="EA14" s="1110"/>
      <c r="EI14" s="1110"/>
      <c r="EQ14" s="1110"/>
      <c r="EY14" s="1110"/>
      <c r="FG14" s="1110"/>
      <c r="FO14" s="1110"/>
    </row>
    <row r="15" spans="1:171" x14ac:dyDescent="0.25">
      <c r="A15" s="199" t="s">
        <v>473</v>
      </c>
      <c r="B15" s="157"/>
      <c r="C15" s="55"/>
      <c r="D15" s="55"/>
      <c r="E15" s="55"/>
      <c r="F15" s="55"/>
      <c r="G15" s="886"/>
      <c r="H15" s="886"/>
      <c r="I15" s="886"/>
      <c r="J15" s="937"/>
      <c r="K15" s="904"/>
      <c r="S15" s="1110"/>
      <c r="AA15" s="1110"/>
      <c r="AI15" s="1110"/>
      <c r="AQ15" s="1110"/>
      <c r="AY15" s="1110"/>
      <c r="BG15" s="1110"/>
      <c r="BO15" s="1110"/>
      <c r="BW15" s="1110"/>
      <c r="CE15" s="1110"/>
      <c r="CM15" s="1110"/>
      <c r="CU15" s="1110"/>
      <c r="DC15" s="1110"/>
      <c r="DK15" s="1110"/>
      <c r="DS15" s="1110"/>
      <c r="EA15" s="1110"/>
      <c r="EI15" s="1110"/>
      <c r="EQ15" s="1110"/>
      <c r="EY15" s="1110"/>
      <c r="FG15" s="1110"/>
      <c r="FO15" s="1110"/>
    </row>
    <row r="16" spans="1:171" x14ac:dyDescent="0.25">
      <c r="A16" s="887"/>
      <c r="B16" s="220" t="s">
        <v>145</v>
      </c>
      <c r="C16" s="888" t="s">
        <v>70</v>
      </c>
      <c r="D16" s="889">
        <v>301</v>
      </c>
      <c r="E16" s="905" t="str">
        <f>'Sch 1- Rate Base '!E16</f>
        <v>DIST</v>
      </c>
      <c r="F16" s="890"/>
      <c r="G16" s="891">
        <f>'Sch 1- Rate Base '!G16</f>
        <v>0</v>
      </c>
      <c r="H16" s="891">
        <f>'Sch 1- Rate Base '!H16</f>
        <v>0</v>
      </c>
      <c r="I16" s="891">
        <f>'Sch 1- Rate Base '!I16</f>
        <v>0</v>
      </c>
      <c r="J16" s="1385">
        <f>'Sch 1- Rate Base '!J16</f>
        <v>0</v>
      </c>
      <c r="K16" s="904">
        <f>IF($E16="DIRECT",0,1)</f>
        <v>1</v>
      </c>
      <c r="O16" s="1117">
        <f>$G16</f>
        <v>0</v>
      </c>
      <c r="P16" s="1118">
        <f>VLOOKUP($E16,O$442:R$453,2,FALSE)*O16*($K16)+IF($G16&gt;0,($H16/$G16)*O16,0)*(1-$K16)</f>
        <v>0</v>
      </c>
      <c r="Q16" s="1118">
        <f>VLOOKUP($E16,O$442:R$453,3,FALSE)*O16*($K16)+IF($G16&gt;0,($I16/$G16)*O16,0)*(1-$K16)</f>
        <v>0</v>
      </c>
      <c r="R16" s="1118">
        <f>VLOOKUP($E16,O$442:R$453,4,FALSE)*O16*($K16)+(O16-P16-Q16)*(1-$K16)</f>
        <v>0</v>
      </c>
      <c r="S16" s="1119"/>
      <c r="W16" s="1117">
        <f>$G16</f>
        <v>0</v>
      </c>
      <c r="X16" s="1118">
        <f>VLOOKUP($E16,W$442:Z$453,2,FALSE)*W16*($K16)+IF($G16&gt;0,($H16/$G16)*W16,0)*(1-$K16)</f>
        <v>0</v>
      </c>
      <c r="Y16" s="1118">
        <f>VLOOKUP($E16,W$442:Z$453,3,FALSE)*W16*($K16)+IF($G16&gt;0,($I16/$G16)*W16,0)*(1-$K16)</f>
        <v>0</v>
      </c>
      <c r="Z16" s="1118">
        <f>VLOOKUP($E16,W$442:Z$453,4,FALSE)*W16*($K16)+(W16-X16-Y16)*(1-$K16)</f>
        <v>0</v>
      </c>
      <c r="AA16" s="1119"/>
      <c r="AE16" s="1117">
        <f>$G16</f>
        <v>0</v>
      </c>
      <c r="AF16" s="1118">
        <f>VLOOKUP($E16,AE$442:AH$453,2,FALSE)*AE16*($K16)+IF($G16&gt;0,($H16/$G16)*AE16,0)*(1-$K16)</f>
        <v>0</v>
      </c>
      <c r="AG16" s="1118">
        <f>VLOOKUP($E16,AE$442:AH$453,3,FALSE)*AE16*($K16)+IF($G16&gt;0,($I16/$G16)*AE16,0)*(1-$K16)</f>
        <v>0</v>
      </c>
      <c r="AH16" s="1118">
        <f>VLOOKUP($E16,AE$442:AH$453,4,FALSE)*AE16*($K16)+(AE16-AF16-AG16)*(1-$K16)</f>
        <v>0</v>
      </c>
      <c r="AI16" s="1119"/>
      <c r="AM16" s="1117">
        <f>$G16</f>
        <v>0</v>
      </c>
      <c r="AN16" s="1118">
        <f>VLOOKUP($E16,AM$442:AP$453,2,FALSE)*AM16*($K16)+IF($G16&gt;0,($H16/$G16)*AM16,0)*(1-$K16)</f>
        <v>0</v>
      </c>
      <c r="AO16" s="1118">
        <f>VLOOKUP($E16,AM$442:AP$453,3,FALSE)*AM16*($K16)+IF($G16&gt;0,($I16/$G16)*AM16,0)*(1-$K16)</f>
        <v>0</v>
      </c>
      <c r="AP16" s="1118">
        <f>VLOOKUP($E16,AM$442:AP$453,4,FALSE)*AM16*($K16)+(AM16-AN16-AO16)*(1-$K16)</f>
        <v>0</v>
      </c>
      <c r="AQ16" s="1119"/>
      <c r="AU16" s="1117">
        <f>$G16</f>
        <v>0</v>
      </c>
      <c r="AV16" s="1118">
        <f>VLOOKUP($E16,AU$442:AX$453,2,FALSE)*AU16*($K16)+IF($G16&gt;0,($H16/$G16)*AU16,0)*(1-$K16)</f>
        <v>0</v>
      </c>
      <c r="AW16" s="1118">
        <f>VLOOKUP($E16,AU$442:AX$453,3,FALSE)*AU16*($K16)+IF($G16&gt;0,($I16/$G16)*AU16,0)*(1-$K16)</f>
        <v>0</v>
      </c>
      <c r="AX16" s="1118">
        <f>VLOOKUP($E16,AU$442:AX$453,4,FALSE)*AU16*($K16)+(AU16-AV16-AW16)*(1-$K16)</f>
        <v>0</v>
      </c>
      <c r="AY16" s="1119"/>
      <c r="BC16" s="1117">
        <f>$G16</f>
        <v>0</v>
      </c>
      <c r="BD16" s="1118">
        <f>VLOOKUP($E16,BC$442:BF$453,2,FALSE)*BC16*($K16)+IF($G16&gt;0,($H16/$G16)*BC16,0)*(1-$K16)</f>
        <v>0</v>
      </c>
      <c r="BE16" s="1118">
        <f>VLOOKUP($E16,BC$442:BF$453,3,FALSE)*BC16*($K16)+IF($G16&gt;0,($I16/$G16)*BC16,0)*(1-$K16)</f>
        <v>0</v>
      </c>
      <c r="BF16" s="1118">
        <f>VLOOKUP($E16,BC$442:BF$453,4,FALSE)*BC16*($K16)+(BC16-BD16-BE16)*(1-$K16)</f>
        <v>0</v>
      </c>
      <c r="BG16" s="1119"/>
      <c r="BK16" s="1117">
        <f>$G16</f>
        <v>0</v>
      </c>
      <c r="BL16" s="1118">
        <f>VLOOKUP($E16,BK$442:BN$453,2,FALSE)*BK16*($K16)+IF($G16&gt;0,($H16/$G16)*BK16,0)*(1-$K16)</f>
        <v>0</v>
      </c>
      <c r="BM16" s="1118">
        <f>VLOOKUP($E16,BK$442:BN$453,3,FALSE)*BK16*($K16)+IF($G16&gt;0,($I16/$G16)*BK16,0)*(1-$K16)</f>
        <v>0</v>
      </c>
      <c r="BN16" s="1118">
        <f>VLOOKUP($E16,BK$442:BN$453,4,FALSE)*BK16*($K16)+(BK16-BL16-BM16)*(1-$K16)</f>
        <v>0</v>
      </c>
      <c r="BO16" s="1119"/>
      <c r="BS16" s="1117">
        <f>$G16</f>
        <v>0</v>
      </c>
      <c r="BT16" s="1118">
        <f>VLOOKUP($E16,BS$442:BV$453,2,FALSE)*BS16*($K16)+IF($G16&gt;0,($H16/$G16)*BS16,0)*(1-$K16)</f>
        <v>0</v>
      </c>
      <c r="BU16" s="1118">
        <f>VLOOKUP($E16,BS$442:BV$453,3,FALSE)*BS16*($K16)+IF($G16&gt;0,($I16/$G16)*BS16,0)*(1-$K16)</f>
        <v>0</v>
      </c>
      <c r="BV16" s="1118">
        <f>VLOOKUP($E16,BS$442:BV$453,4,FALSE)*BS16*($K16)+(BS16-BT16-BU16)*(1-$K16)</f>
        <v>0</v>
      </c>
      <c r="BW16" s="1119"/>
      <c r="CA16" s="1117">
        <f>$G16</f>
        <v>0</v>
      </c>
      <c r="CB16" s="1118">
        <f>VLOOKUP($E16,CA$442:CD$453,2,FALSE)*CA16*($K16)+IF($G16&gt;0,($H16/$G16)*CA16,0)*(1-$K16)</f>
        <v>0</v>
      </c>
      <c r="CC16" s="1118">
        <f>VLOOKUP($E16,CA$442:CD$453,3,FALSE)*CA16*($K16)+IF($G16&gt;0,($I16/$G16)*CA16,0)*(1-$K16)</f>
        <v>0</v>
      </c>
      <c r="CD16" s="1118">
        <f>VLOOKUP($E16,CA$442:CD$453,4,FALSE)*CA16*($K16)+(CA16-CB16-CC16)*(1-$K16)</f>
        <v>0</v>
      </c>
      <c r="CE16" s="1119"/>
      <c r="CI16" s="1117">
        <f>$G16</f>
        <v>0</v>
      </c>
      <c r="CJ16" s="1118">
        <f>VLOOKUP($E16,CI$442:CL$453,2,FALSE)*CI16*($K16)+IF($G16&gt;0,($H16/$G16)*CI16,0)*(1-$K16)</f>
        <v>0</v>
      </c>
      <c r="CK16" s="1118">
        <f>VLOOKUP($E16,CI$442:CL$453,3,FALSE)*CI16*($K16)+IF($G16&gt;0,($I16/$G16)*CI16,0)*(1-$K16)</f>
        <v>0</v>
      </c>
      <c r="CL16" s="1118">
        <f>VLOOKUP($E16,CI$442:CL$453,4,FALSE)*CI16*($K16)+(CI16-CJ16-CK16)*(1-$K16)</f>
        <v>0</v>
      </c>
      <c r="CM16" s="1119"/>
      <c r="CQ16" s="1117">
        <f>$G16</f>
        <v>0</v>
      </c>
      <c r="CR16" s="1118">
        <f>VLOOKUP($E16,CQ$442:CT$453,2,FALSE)*CQ16*($K16)+IF($G16&gt;0,($H16/$G16)*CQ16,0)*(1-$K16)</f>
        <v>0</v>
      </c>
      <c r="CS16" s="1118">
        <f>VLOOKUP($E16,CQ$442:CT$453,3,FALSE)*CQ16*($K16)+IF($G16&gt;0,($I16/$G16)*CQ16,0)*(1-$K16)</f>
        <v>0</v>
      </c>
      <c r="CT16" s="1118">
        <f>VLOOKUP($E16,CQ$442:CT$453,4,FALSE)*CQ16*($K16)+(CQ16-CR16-CS16)*(1-$K16)</f>
        <v>0</v>
      </c>
      <c r="CU16" s="1119"/>
      <c r="CY16" s="1117">
        <f>$G16</f>
        <v>0</v>
      </c>
      <c r="CZ16" s="1118">
        <f>VLOOKUP($E16,CY$442:DB$453,2,FALSE)*CY16*($K16)+IF($G16&gt;0,($H16/$G16)*CY16,0)*(1-$K16)</f>
        <v>0</v>
      </c>
      <c r="DA16" s="1118">
        <f>VLOOKUP($E16,CY$442:DB$453,3,FALSE)*CY16*($K16)+IF($G16&gt;0,($I16/$G16)*CY16,0)*(1-$K16)</f>
        <v>0</v>
      </c>
      <c r="DB16" s="1118">
        <f>VLOOKUP($E16,CY$442:DB$453,4,FALSE)*CY16*($K16)+(CY16-CZ16-DA16)*(1-$K16)</f>
        <v>0</v>
      </c>
      <c r="DC16" s="1119"/>
      <c r="DG16" s="1117">
        <f>$G16</f>
        <v>0</v>
      </c>
      <c r="DH16" s="1118">
        <f>VLOOKUP($E16,DG$442:DJ$453,2,FALSE)*DG16*($K16)+IF($G16&gt;0,($H16/$G16)*DG16,0)*(1-$K16)</f>
        <v>0</v>
      </c>
      <c r="DI16" s="1118">
        <f>VLOOKUP($E16,DG$442:DJ$453,3,FALSE)*DG16*($K16)+IF($G16&gt;0,($I16/$G16)*DG16,0)*(1-$K16)</f>
        <v>0</v>
      </c>
      <c r="DJ16" s="1118">
        <f>VLOOKUP($E16,DG$442:DJ$453,4,FALSE)*DG16*($K16)+(DG16-DH16-DI16)*(1-$K16)</f>
        <v>0</v>
      </c>
      <c r="DK16" s="1119"/>
      <c r="DO16" s="1117">
        <f>$G16</f>
        <v>0</v>
      </c>
      <c r="DP16" s="1118">
        <f>VLOOKUP($E16,DO$442:DR$453,2,FALSE)*DO16*($K16)+IF($G16&gt;0,($H16/$G16)*DO16,0)*(1-$K16)</f>
        <v>0</v>
      </c>
      <c r="DQ16" s="1118">
        <f>VLOOKUP($E16,DO$442:DR$453,3,FALSE)*DO16*($K16)+IF($G16&gt;0,($I16/$G16)*DO16,0)*(1-$K16)</f>
        <v>0</v>
      </c>
      <c r="DR16" s="1118">
        <f>VLOOKUP($E16,DO$442:DR$453,4,FALSE)*DO16*($K16)+(DO16-DP16-DQ16)*(1-$K16)</f>
        <v>0</v>
      </c>
      <c r="DS16" s="1119"/>
      <c r="DW16" s="1117">
        <f>$G16</f>
        <v>0</v>
      </c>
      <c r="DX16" s="1118">
        <f>VLOOKUP($E16,DW$442:DZ$453,2,FALSE)*DW16*($K16)+IF($G16&gt;0,($H16/$G16)*DW16,0)*(1-$K16)</f>
        <v>0</v>
      </c>
      <c r="DY16" s="1118">
        <f>VLOOKUP($E16,DW$442:DZ$453,3,FALSE)*DW16*($K16)+IF($G16&gt;0,($I16/$G16)*DW16,0)*(1-$K16)</f>
        <v>0</v>
      </c>
      <c r="DZ16" s="1118">
        <f>VLOOKUP($E16,DW$442:DZ$453,4,FALSE)*DW16*($K16)+(DW16-DX16-DY16)*(1-$K16)</f>
        <v>0</v>
      </c>
      <c r="EA16" s="1119"/>
      <c r="EE16" s="1117">
        <f>$G16</f>
        <v>0</v>
      </c>
      <c r="EF16" s="1118">
        <f>VLOOKUP($E16,EE$442:EH$453,2,FALSE)*EE16*($K16)+IF($G16&gt;0,($H16/$G16)*EE16,0)*(1-$K16)</f>
        <v>0</v>
      </c>
      <c r="EG16" s="1118">
        <f>VLOOKUP($E16,EE$442:EH$453,3,FALSE)*EE16*($K16)+IF($G16&gt;0,($I16/$G16)*EE16,0)*(1-$K16)</f>
        <v>0</v>
      </c>
      <c r="EH16" s="1118">
        <f>VLOOKUP($E16,EE$442:EH$453,4,FALSE)*EE16*($K16)+(EE16-EF16-EG16)*(1-$K16)</f>
        <v>0</v>
      </c>
      <c r="EI16" s="1119"/>
      <c r="EM16" s="1117">
        <f>$G16</f>
        <v>0</v>
      </c>
      <c r="EN16" s="1118">
        <f>VLOOKUP($E16,EM$442:EP$453,2,FALSE)*EM16*($K16)+IF($G16&gt;0,($H16/$G16)*EM16,0)*(1-$K16)</f>
        <v>0</v>
      </c>
      <c r="EO16" s="1118">
        <f>VLOOKUP($E16,EM$442:EP$453,3,FALSE)*EM16*($K16)+IF($G16&gt;0,($I16/$G16)*EM16,0)*(1-$K16)</f>
        <v>0</v>
      </c>
      <c r="EP16" s="1118">
        <f>VLOOKUP($E16,EM$442:EP$453,4,FALSE)*EM16*($K16)+(EM16-EN16-EO16)*(1-$K16)</f>
        <v>0</v>
      </c>
      <c r="EQ16" s="1119"/>
      <c r="EU16" s="1117">
        <f>$G16</f>
        <v>0</v>
      </c>
      <c r="EV16" s="1118">
        <f>VLOOKUP($E16,EU$442:EX$453,2,FALSE)*EU16*($K16)+IF($G16&gt;0,($H16/$G16)*EU16,0)*(1-$K16)</f>
        <v>0</v>
      </c>
      <c r="EW16" s="1118">
        <f>VLOOKUP($E16,EU$442:EX$453,3,FALSE)*EU16*($K16)+IF($G16&gt;0,($I16/$G16)*EU16,0)*(1-$K16)</f>
        <v>0</v>
      </c>
      <c r="EX16" s="1118">
        <f>VLOOKUP($E16,EU$442:EX$453,4,FALSE)*EU16*($K16)+(EU16-EV16-EW16)*(1-$K16)</f>
        <v>0</v>
      </c>
      <c r="EY16" s="1119"/>
      <c r="FC16" s="1117">
        <f>$G16</f>
        <v>0</v>
      </c>
      <c r="FD16" s="1118">
        <f>VLOOKUP($E16,FC$442:FF$453,2,FALSE)*FC16*($K16)+IF($G16&gt;0,($H16/$G16)*FC16,0)*(1-$K16)</f>
        <v>0</v>
      </c>
      <c r="FE16" s="1118">
        <f>VLOOKUP($E16,FC$442:FF$453,3,FALSE)*FC16*($K16)+IF($G16&gt;0,($I16/$G16)*FC16,0)*(1-$K16)</f>
        <v>0</v>
      </c>
      <c r="FF16" s="1118">
        <f>VLOOKUP($E16,FC$442:FF$453,4,FALSE)*FC16*($K16)+(FC16-FD16-FE16)*(1-$K16)</f>
        <v>0</v>
      </c>
      <c r="FG16" s="1119"/>
      <c r="FK16" s="1117">
        <f>$G16</f>
        <v>0</v>
      </c>
      <c r="FL16" s="1118">
        <f>VLOOKUP($E16,FK$442:FN$453,2,FALSE)*FK16*($K16)+IF($G16&gt;0,($H16/$G16)*FK16,0)*(1-$K16)</f>
        <v>0</v>
      </c>
      <c r="FM16" s="1118">
        <f>VLOOKUP($E16,FK$442:FN$453,3,FALSE)*FK16*($K16)+IF($G16&gt;0,($I16/$G16)*FK16,0)*(1-$K16)</f>
        <v>0</v>
      </c>
      <c r="FN16" s="1118">
        <f>VLOOKUP($E16,FK$442:FN$453,4,FALSE)*FK16*($K16)+(FK16-FL16-FM16)*(1-$K16)</f>
        <v>0</v>
      </c>
      <c r="FO16" s="1119"/>
    </row>
    <row r="17" spans="1:171" x14ac:dyDescent="0.25">
      <c r="A17" s="887"/>
      <c r="B17" s="220" t="s">
        <v>146</v>
      </c>
      <c r="C17" s="888" t="s">
        <v>70</v>
      </c>
      <c r="D17" s="889">
        <v>302</v>
      </c>
      <c r="E17" s="905" t="str">
        <f>'Sch 1- Rate Base '!E17</f>
        <v>DIRECT</v>
      </c>
      <c r="F17" s="890"/>
      <c r="G17" s="891">
        <f>'Sch 1- Rate Base '!G17</f>
        <v>71764696.193237215</v>
      </c>
      <c r="H17" s="891">
        <f>'Sch 1- Rate Base '!H17</f>
        <v>71764696.193237215</v>
      </c>
      <c r="I17" s="891">
        <f>'Sch 1- Rate Base '!I17</f>
        <v>0</v>
      </c>
      <c r="J17" s="1385">
        <f>'Sch 1- Rate Base '!J17</f>
        <v>1380340.3620770171</v>
      </c>
      <c r="K17" s="904">
        <f>IF($E17="DIRECT",0,1)</f>
        <v>0</v>
      </c>
      <c r="O17" s="1117">
        <f>$G17</f>
        <v>71764696.193237215</v>
      </c>
      <c r="P17" s="1118">
        <f>VLOOKUP($E17,O$442:R$453,2,FALSE)*O17*($K17)+IF($G17&gt;0,($H17/$G17)*O17,0)*(1-$K17)</f>
        <v>71764696.193237215</v>
      </c>
      <c r="Q17" s="1118">
        <f>VLOOKUP($E17,O$442:R$453,3,FALSE)*O17*($K17)+IF($G17&gt;0,($I17/$G17)*O17,0)*(1-$K17)</f>
        <v>0</v>
      </c>
      <c r="R17" s="1118">
        <f>VLOOKUP($E17,O$442:R$453,4,FALSE)*O17*($K17)+(O17-P17-Q17)*(1-$K17)</f>
        <v>0</v>
      </c>
      <c r="S17" s="1119"/>
      <c r="W17" s="1117">
        <f>$G17</f>
        <v>71764696.193237215</v>
      </c>
      <c r="X17" s="1118">
        <f>VLOOKUP($E17,W$442:Z$453,2,FALSE)*W17*($K17)+IF($G17&gt;0,($H17/$G17)*W17,0)*(1-$K17)</f>
        <v>71764696.193237215</v>
      </c>
      <c r="Y17" s="1118">
        <f>VLOOKUP($E17,W$442:Z$453,3,FALSE)*W17*($K17)+IF($G17&gt;0,($I17/$G17)*W17,0)*(1-$K17)</f>
        <v>0</v>
      </c>
      <c r="Z17" s="1118">
        <f>VLOOKUP($E17,W$442:Z$453,4,FALSE)*W17*($K17)+(W17-X17-Y17)*(1-$K17)</f>
        <v>0</v>
      </c>
      <c r="AA17" s="1119"/>
      <c r="AE17" s="1117">
        <f>$G17</f>
        <v>71764696.193237215</v>
      </c>
      <c r="AF17" s="1118">
        <f>VLOOKUP($E17,AE$442:AH$453,2,FALSE)*AE17*($K17)+IF($G17&gt;0,($H17/$G17)*AE17,0)*(1-$K17)</f>
        <v>71764696.193237215</v>
      </c>
      <c r="AG17" s="1118">
        <f>VLOOKUP($E17,AE$442:AH$453,3,FALSE)*AE17*($K17)+IF($G17&gt;0,($I17/$G17)*AE17,0)*(1-$K17)</f>
        <v>0</v>
      </c>
      <c r="AH17" s="1118">
        <f>VLOOKUP($E17,AE$442:AH$453,4,FALSE)*AE17*($K17)+(AE17-AF17-AG17)*(1-$K17)</f>
        <v>0</v>
      </c>
      <c r="AI17" s="1119"/>
      <c r="AM17" s="1117">
        <f>$G17</f>
        <v>71764696.193237215</v>
      </c>
      <c r="AN17" s="1118">
        <f>VLOOKUP($E17,AM$442:AP$453,2,FALSE)*AM17*($K17)+IF($G17&gt;0,($H17/$G17)*AM17,0)*(1-$K17)</f>
        <v>71764696.193237215</v>
      </c>
      <c r="AO17" s="1118">
        <f>VLOOKUP($E17,AM$442:AP$453,3,FALSE)*AM17*($K17)+IF($G17&gt;0,($I17/$G17)*AM17,0)*(1-$K17)</f>
        <v>0</v>
      </c>
      <c r="AP17" s="1118">
        <f>VLOOKUP($E17,AM$442:AP$453,4,FALSE)*AM17*($K17)+(AM17-AN17-AO17)*(1-$K17)</f>
        <v>0</v>
      </c>
      <c r="AQ17" s="1119"/>
      <c r="AU17" s="1117">
        <f>$G17</f>
        <v>71764696.193237215</v>
      </c>
      <c r="AV17" s="1118">
        <f>VLOOKUP($E17,AU$442:AX$453,2,FALSE)*AU17*($K17)+IF($G17&gt;0,($H17/$G17)*AU17,0)*(1-$K17)</f>
        <v>71764696.193237215</v>
      </c>
      <c r="AW17" s="1118">
        <f>VLOOKUP($E17,AU$442:AX$453,3,FALSE)*AU17*($K17)+IF($G17&gt;0,($I17/$G17)*AU17,0)*(1-$K17)</f>
        <v>0</v>
      </c>
      <c r="AX17" s="1118">
        <f>VLOOKUP($E17,AU$442:AX$453,4,FALSE)*AU17*($K17)+(AU17-AV17-AW17)*(1-$K17)</f>
        <v>0</v>
      </c>
      <c r="AY17" s="1119"/>
      <c r="BC17" s="1117">
        <f>$G17</f>
        <v>71764696.193237215</v>
      </c>
      <c r="BD17" s="1118">
        <f>VLOOKUP($E17,BC$442:BF$453,2,FALSE)*BC17*($K17)+IF($G17&gt;0,($H17/$G17)*BC17,0)*(1-$K17)</f>
        <v>71764696.193237215</v>
      </c>
      <c r="BE17" s="1118">
        <f>VLOOKUP($E17,BC$442:BF$453,3,FALSE)*BC17*($K17)+IF($G17&gt;0,($I17/$G17)*BC17,0)*(1-$K17)</f>
        <v>0</v>
      </c>
      <c r="BF17" s="1118">
        <f>VLOOKUP($E17,BC$442:BF$453,4,FALSE)*BC17*($K17)+(BC17-BD17-BE17)*(1-$K17)</f>
        <v>0</v>
      </c>
      <c r="BG17" s="1119"/>
      <c r="BK17" s="1117">
        <f>$G17</f>
        <v>71764696.193237215</v>
      </c>
      <c r="BL17" s="1118">
        <f>VLOOKUP($E17,BK$442:BN$453,2,FALSE)*BK17*($K17)+IF($G17&gt;0,($H17/$G17)*BK17,0)*(1-$K17)</f>
        <v>71764696.193237215</v>
      </c>
      <c r="BM17" s="1118">
        <f>VLOOKUP($E17,BK$442:BN$453,3,FALSE)*BK17*($K17)+IF($G17&gt;0,($I17/$G17)*BK17,0)*(1-$K17)</f>
        <v>0</v>
      </c>
      <c r="BN17" s="1118">
        <f>VLOOKUP($E17,BK$442:BN$453,4,FALSE)*BK17*($K17)+(BK17-BL17-BM17)*(1-$K17)</f>
        <v>0</v>
      </c>
      <c r="BO17" s="1119"/>
      <c r="BS17" s="1117">
        <f>$G17</f>
        <v>71764696.193237215</v>
      </c>
      <c r="BT17" s="1118">
        <f>VLOOKUP($E17,BS$442:BV$453,2,FALSE)*BS17*($K17)+IF($G17&gt;0,($H17/$G17)*BS17,0)*(1-$K17)</f>
        <v>71764696.193237215</v>
      </c>
      <c r="BU17" s="1118">
        <f>VLOOKUP($E17,BS$442:BV$453,3,FALSE)*BS17*($K17)+IF($G17&gt;0,($I17/$G17)*BS17,0)*(1-$K17)</f>
        <v>0</v>
      </c>
      <c r="BV17" s="1118">
        <f>VLOOKUP($E17,BS$442:BV$453,4,FALSE)*BS17*($K17)+(BS17-BT17-BU17)*(1-$K17)</f>
        <v>0</v>
      </c>
      <c r="BW17" s="1119"/>
      <c r="CA17" s="1117">
        <f>$G17</f>
        <v>71764696.193237215</v>
      </c>
      <c r="CB17" s="1118">
        <f>VLOOKUP($E17,CA$442:CD$453,2,FALSE)*CA17*($K17)+IF($G17&gt;0,($H17/$G17)*CA17,0)*(1-$K17)</f>
        <v>71764696.193237215</v>
      </c>
      <c r="CC17" s="1118">
        <f>VLOOKUP($E17,CA$442:CD$453,3,FALSE)*CA17*($K17)+IF($G17&gt;0,($I17/$G17)*CA17,0)*(1-$K17)</f>
        <v>0</v>
      </c>
      <c r="CD17" s="1118">
        <f>VLOOKUP($E17,CA$442:CD$453,4,FALSE)*CA17*($K17)+(CA17-CB17-CC17)*(1-$K17)</f>
        <v>0</v>
      </c>
      <c r="CE17" s="1119"/>
      <c r="CI17" s="1117">
        <f>$G17</f>
        <v>71764696.193237215</v>
      </c>
      <c r="CJ17" s="1118">
        <f>VLOOKUP($E17,CI$442:CL$453,2,FALSE)*CI17*($K17)+IF($G17&gt;0,($H17/$G17)*CI17,0)*(1-$K17)</f>
        <v>71764696.193237215</v>
      </c>
      <c r="CK17" s="1118">
        <f>VLOOKUP($E17,CI$442:CL$453,3,FALSE)*CI17*($K17)+IF($G17&gt;0,($I17/$G17)*CI17,0)*(1-$K17)</f>
        <v>0</v>
      </c>
      <c r="CL17" s="1118">
        <f>VLOOKUP($E17,CI$442:CL$453,4,FALSE)*CI17*($K17)+(CI17-CJ17-CK17)*(1-$K17)</f>
        <v>0</v>
      </c>
      <c r="CM17" s="1119"/>
      <c r="CQ17" s="1117">
        <f>$G17</f>
        <v>71764696.193237215</v>
      </c>
      <c r="CR17" s="1118">
        <f>VLOOKUP($E17,CQ$442:CT$453,2,FALSE)*CQ17*($K17)+IF($G17&gt;0,($H17/$G17)*CQ17,0)*(1-$K17)</f>
        <v>71764696.193237215</v>
      </c>
      <c r="CS17" s="1118">
        <f>VLOOKUP($E17,CQ$442:CT$453,3,FALSE)*CQ17*($K17)+IF($G17&gt;0,($I17/$G17)*CQ17,0)*(1-$K17)</f>
        <v>0</v>
      </c>
      <c r="CT17" s="1118">
        <f>VLOOKUP($E17,CQ$442:CT$453,4,FALSE)*CQ17*($K17)+(CQ17-CR17-CS17)*(1-$K17)</f>
        <v>0</v>
      </c>
      <c r="CU17" s="1119"/>
      <c r="CY17" s="1117">
        <f>$G17</f>
        <v>71764696.193237215</v>
      </c>
      <c r="CZ17" s="1118">
        <f>VLOOKUP($E17,CY$442:DB$453,2,FALSE)*CY17*($K17)+IF($G17&gt;0,($H17/$G17)*CY17,0)*(1-$K17)</f>
        <v>71764696.193237215</v>
      </c>
      <c r="DA17" s="1118">
        <f>VLOOKUP($E17,CY$442:DB$453,3,FALSE)*CY17*($K17)+IF($G17&gt;0,($I17/$G17)*CY17,0)*(1-$K17)</f>
        <v>0</v>
      </c>
      <c r="DB17" s="1118">
        <f>VLOOKUP($E17,CY$442:DB$453,4,FALSE)*CY17*($K17)+(CY17-CZ17-DA17)*(1-$K17)</f>
        <v>0</v>
      </c>
      <c r="DC17" s="1119"/>
      <c r="DG17" s="1117">
        <f>$G17</f>
        <v>71764696.193237215</v>
      </c>
      <c r="DH17" s="1118">
        <f>VLOOKUP($E17,DG$442:DJ$453,2,FALSE)*DG17*($K17)+IF($G17&gt;0,($H17/$G17)*DG17,0)*(1-$K17)</f>
        <v>71764696.193237215</v>
      </c>
      <c r="DI17" s="1118">
        <f>VLOOKUP($E17,DG$442:DJ$453,3,FALSE)*DG17*($K17)+IF($G17&gt;0,($I17/$G17)*DG17,0)*(1-$K17)</f>
        <v>0</v>
      </c>
      <c r="DJ17" s="1118">
        <f>VLOOKUP($E17,DG$442:DJ$453,4,FALSE)*DG17*($K17)+(DG17-DH17-DI17)*(1-$K17)</f>
        <v>0</v>
      </c>
      <c r="DK17" s="1119"/>
      <c r="DO17" s="1117">
        <f>$G17</f>
        <v>71764696.193237215</v>
      </c>
      <c r="DP17" s="1118">
        <f>VLOOKUP($E17,DO$442:DR$453,2,FALSE)*DO17*($K17)+IF($G17&gt;0,($H17/$G17)*DO17,0)*(1-$K17)</f>
        <v>71764696.193237215</v>
      </c>
      <c r="DQ17" s="1118">
        <f>VLOOKUP($E17,DO$442:DR$453,3,FALSE)*DO17*($K17)+IF($G17&gt;0,($I17/$G17)*DO17,0)*(1-$K17)</f>
        <v>0</v>
      </c>
      <c r="DR17" s="1118">
        <f>VLOOKUP($E17,DO$442:DR$453,4,FALSE)*DO17*($K17)+(DO17-DP17-DQ17)*(1-$K17)</f>
        <v>0</v>
      </c>
      <c r="DS17" s="1119"/>
      <c r="DW17" s="1117">
        <f>$G17</f>
        <v>71764696.193237215</v>
      </c>
      <c r="DX17" s="1118">
        <f>VLOOKUP($E17,DW$442:DZ$453,2,FALSE)*DW17*($K17)+IF($G17&gt;0,($H17/$G17)*DW17,0)*(1-$K17)</f>
        <v>71764696.193237215</v>
      </c>
      <c r="DY17" s="1118">
        <f>VLOOKUP($E17,DW$442:DZ$453,3,FALSE)*DW17*($K17)+IF($G17&gt;0,($I17/$G17)*DW17,0)*(1-$K17)</f>
        <v>0</v>
      </c>
      <c r="DZ17" s="1118">
        <f>VLOOKUP($E17,DW$442:DZ$453,4,FALSE)*DW17*($K17)+(DW17-DX17-DY17)*(1-$K17)</f>
        <v>0</v>
      </c>
      <c r="EA17" s="1119"/>
      <c r="EE17" s="1117">
        <f>$G17</f>
        <v>71764696.193237215</v>
      </c>
      <c r="EF17" s="1118">
        <f>VLOOKUP($E17,EE$442:EH$453,2,FALSE)*EE17*($K17)+IF($G17&gt;0,($H17/$G17)*EE17,0)*(1-$K17)</f>
        <v>71764696.193237215</v>
      </c>
      <c r="EG17" s="1118">
        <f>VLOOKUP($E17,EE$442:EH$453,3,FALSE)*EE17*($K17)+IF($G17&gt;0,($I17/$G17)*EE17,0)*(1-$K17)</f>
        <v>0</v>
      </c>
      <c r="EH17" s="1118">
        <f>VLOOKUP($E17,EE$442:EH$453,4,FALSE)*EE17*($K17)+(EE17-EF17-EG17)*(1-$K17)</f>
        <v>0</v>
      </c>
      <c r="EI17" s="1119"/>
      <c r="EM17" s="1117">
        <f>$G17</f>
        <v>71764696.193237215</v>
      </c>
      <c r="EN17" s="1118">
        <f>VLOOKUP($E17,EM$442:EP$453,2,FALSE)*EM17*($K17)+IF($G17&gt;0,($H17/$G17)*EM17,0)*(1-$K17)</f>
        <v>71764696.193237215</v>
      </c>
      <c r="EO17" s="1118">
        <f>VLOOKUP($E17,EM$442:EP$453,3,FALSE)*EM17*($K17)+IF($G17&gt;0,($I17/$G17)*EM17,0)*(1-$K17)</f>
        <v>0</v>
      </c>
      <c r="EP17" s="1118">
        <f>VLOOKUP($E17,EM$442:EP$453,4,FALSE)*EM17*($K17)+(EM17-EN17-EO17)*(1-$K17)</f>
        <v>0</v>
      </c>
      <c r="EQ17" s="1119"/>
      <c r="EU17" s="1117">
        <f>$G17</f>
        <v>71764696.193237215</v>
      </c>
      <c r="EV17" s="1118">
        <f>VLOOKUP($E17,EU$442:EX$453,2,FALSE)*EU17*($K17)+IF($G17&gt;0,($H17/$G17)*EU17,0)*(1-$K17)</f>
        <v>71764696.193237215</v>
      </c>
      <c r="EW17" s="1118">
        <f>VLOOKUP($E17,EU$442:EX$453,3,FALSE)*EU17*($K17)+IF($G17&gt;0,($I17/$G17)*EU17,0)*(1-$K17)</f>
        <v>0</v>
      </c>
      <c r="EX17" s="1118">
        <f>VLOOKUP($E17,EU$442:EX$453,4,FALSE)*EU17*($K17)+(EU17-EV17-EW17)*(1-$K17)</f>
        <v>0</v>
      </c>
      <c r="EY17" s="1119"/>
      <c r="FC17" s="1117">
        <f>$G17</f>
        <v>71764696.193237215</v>
      </c>
      <c r="FD17" s="1118">
        <f>VLOOKUP($E17,FC$442:FF$453,2,FALSE)*FC17*($K17)+IF($G17&gt;0,($H17/$G17)*FC17,0)*(1-$K17)</f>
        <v>71764696.193237215</v>
      </c>
      <c r="FE17" s="1118">
        <f>VLOOKUP($E17,FC$442:FF$453,3,FALSE)*FC17*($K17)+IF($G17&gt;0,($I17/$G17)*FC17,0)*(1-$K17)</f>
        <v>0</v>
      </c>
      <c r="FF17" s="1118">
        <f>VLOOKUP($E17,FC$442:FF$453,4,FALSE)*FC17*($K17)+(FC17-FD17-FE17)*(1-$K17)</f>
        <v>0</v>
      </c>
      <c r="FG17" s="1119"/>
      <c r="FK17" s="1117">
        <f>$G17</f>
        <v>71764696.193237215</v>
      </c>
      <c r="FL17" s="1118">
        <f>VLOOKUP($E17,FK$442:FN$453,2,FALSE)*FK17*($K17)+IF($G17&gt;0,($H17/$G17)*FK17,0)*(1-$K17)</f>
        <v>71764696.193237215</v>
      </c>
      <c r="FM17" s="1118">
        <f>VLOOKUP($E17,FK$442:FN$453,3,FALSE)*FK17*($K17)+IF($G17&gt;0,($I17/$G17)*FK17,0)*(1-$K17)</f>
        <v>0</v>
      </c>
      <c r="FN17" s="1118">
        <f>VLOOKUP($E17,FK$442:FN$453,4,FALSE)*FK17*($K17)+(FK17-FL17-FM17)*(1-$K17)</f>
        <v>0</v>
      </c>
      <c r="FO17" s="1119"/>
    </row>
    <row r="18" spans="1:171" x14ac:dyDescent="0.25">
      <c r="A18" s="887"/>
      <c r="B18" s="220" t="s">
        <v>147</v>
      </c>
      <c r="C18" s="892" t="s">
        <v>70</v>
      </c>
      <c r="D18" s="893">
        <v>303</v>
      </c>
      <c r="E18" s="905" t="str">
        <f>'Sch 1- Rate Base '!E18</f>
        <v>DIRECT</v>
      </c>
      <c r="F18" s="894"/>
      <c r="G18" s="891">
        <f>'Sch 1- Rate Base '!G18</f>
        <v>391010404.58104789</v>
      </c>
      <c r="H18" s="891">
        <f>'Sch 1- Rate Base '!H18</f>
        <v>129807186.3491185</v>
      </c>
      <c r="I18" s="891">
        <f>'Sch 1- Rate Base '!I18</f>
        <v>0</v>
      </c>
      <c r="J18" s="1385">
        <f>'Sch 1- Rate Base '!J18</f>
        <v>261203218.23192942</v>
      </c>
      <c r="K18" s="904">
        <f>IF($E18="DIRECT",0,1)</f>
        <v>0</v>
      </c>
      <c r="O18" s="1117">
        <f>$G18</f>
        <v>391010404.58104789</v>
      </c>
      <c r="P18" s="1118">
        <f>VLOOKUP($E18,O$442:R$453,2,FALSE)*O18*($K18)+IF($G18&gt;0,($H18/$G18)*O18,0)*(1-$K18)</f>
        <v>129807186.34911849</v>
      </c>
      <c r="Q18" s="1118">
        <f>VLOOKUP($E18,O$442:R$453,3,FALSE)*O18*($K18)+IF($G18&gt;0,($I18/$G18)*O18,0)*(1-$K18)</f>
        <v>0</v>
      </c>
      <c r="R18" s="1118">
        <f>VLOOKUP($E18,O$442:R$453,4,FALSE)*O18*($K18)+(O18-P18-Q18)*(1-$K18)</f>
        <v>261203218.23192942</v>
      </c>
      <c r="S18" s="1119"/>
      <c r="W18" s="1117">
        <f>$G18</f>
        <v>391010404.58104789</v>
      </c>
      <c r="X18" s="1118">
        <f>VLOOKUP($E18,W$442:Z$453,2,FALSE)*W18*($K18)+IF($G18&gt;0,($H18/$G18)*W18,0)*(1-$K18)</f>
        <v>129807186.34911849</v>
      </c>
      <c r="Y18" s="1118">
        <f>VLOOKUP($E18,W$442:Z$453,3,FALSE)*W18*($K18)+IF($G18&gt;0,($I18/$G18)*W18,0)*(1-$K18)</f>
        <v>0</v>
      </c>
      <c r="Z18" s="1118">
        <f>VLOOKUP($E18,W$442:Z$453,4,FALSE)*W18*($K18)+(W18-X18-Y18)*(1-$K18)</f>
        <v>261203218.23192942</v>
      </c>
      <c r="AA18" s="1119"/>
      <c r="AE18" s="1117">
        <f>$G18</f>
        <v>391010404.58104789</v>
      </c>
      <c r="AF18" s="1118">
        <f>VLOOKUP($E18,AE$442:AH$453,2,FALSE)*AE18*($K18)+IF($G18&gt;0,($H18/$G18)*AE18,0)*(1-$K18)</f>
        <v>129807186.34911849</v>
      </c>
      <c r="AG18" s="1118">
        <f>VLOOKUP($E18,AE$442:AH$453,3,FALSE)*AE18*($K18)+IF($G18&gt;0,($I18/$G18)*AE18,0)*(1-$K18)</f>
        <v>0</v>
      </c>
      <c r="AH18" s="1118">
        <f>VLOOKUP($E18,AE$442:AH$453,4,FALSE)*AE18*($K18)+(AE18-AF18-AG18)*(1-$K18)</f>
        <v>261203218.23192942</v>
      </c>
      <c r="AI18" s="1119"/>
      <c r="AM18" s="1117">
        <f>$G18</f>
        <v>391010404.58104789</v>
      </c>
      <c r="AN18" s="1118">
        <f>VLOOKUP($E18,AM$442:AP$453,2,FALSE)*AM18*($K18)+IF($G18&gt;0,($H18/$G18)*AM18,0)*(1-$K18)</f>
        <v>129807186.34911849</v>
      </c>
      <c r="AO18" s="1118">
        <f>VLOOKUP($E18,AM$442:AP$453,3,FALSE)*AM18*($K18)+IF($G18&gt;0,($I18/$G18)*AM18,0)*(1-$K18)</f>
        <v>0</v>
      </c>
      <c r="AP18" s="1118">
        <f>VLOOKUP($E18,AM$442:AP$453,4,FALSE)*AM18*($K18)+(AM18-AN18-AO18)*(1-$K18)</f>
        <v>261203218.23192942</v>
      </c>
      <c r="AQ18" s="1119"/>
      <c r="AU18" s="1117">
        <f>$G18</f>
        <v>391010404.58104789</v>
      </c>
      <c r="AV18" s="1118">
        <f>VLOOKUP($E18,AU$442:AX$453,2,FALSE)*AU18*($K18)+IF($G18&gt;0,($H18/$G18)*AU18,0)*(1-$K18)</f>
        <v>129807186.34911849</v>
      </c>
      <c r="AW18" s="1118">
        <f>VLOOKUP($E18,AU$442:AX$453,3,FALSE)*AU18*($K18)+IF($G18&gt;0,($I18/$G18)*AU18,0)*(1-$K18)</f>
        <v>0</v>
      </c>
      <c r="AX18" s="1118">
        <f>VLOOKUP($E18,AU$442:AX$453,4,FALSE)*AU18*($K18)+(AU18-AV18-AW18)*(1-$K18)</f>
        <v>261203218.23192942</v>
      </c>
      <c r="AY18" s="1119"/>
      <c r="BC18" s="1117">
        <f>$G18</f>
        <v>391010404.58104789</v>
      </c>
      <c r="BD18" s="1118">
        <f>VLOOKUP($E18,BC$442:BF$453,2,FALSE)*BC18*($K18)+IF($G18&gt;0,($H18/$G18)*BC18,0)*(1-$K18)</f>
        <v>129807186.34911849</v>
      </c>
      <c r="BE18" s="1118">
        <f>VLOOKUP($E18,BC$442:BF$453,3,FALSE)*BC18*($K18)+IF($G18&gt;0,($I18/$G18)*BC18,0)*(1-$K18)</f>
        <v>0</v>
      </c>
      <c r="BF18" s="1118">
        <f>VLOOKUP($E18,BC$442:BF$453,4,FALSE)*BC18*($K18)+(BC18-BD18-BE18)*(1-$K18)</f>
        <v>261203218.23192942</v>
      </c>
      <c r="BG18" s="1119"/>
      <c r="BK18" s="1117">
        <f>$G18</f>
        <v>391010404.58104789</v>
      </c>
      <c r="BL18" s="1118">
        <f>VLOOKUP($E18,BK$442:BN$453,2,FALSE)*BK18*($K18)+IF($G18&gt;0,($H18/$G18)*BK18,0)*(1-$K18)</f>
        <v>129807186.34911849</v>
      </c>
      <c r="BM18" s="1118">
        <f>VLOOKUP($E18,BK$442:BN$453,3,FALSE)*BK18*($K18)+IF($G18&gt;0,($I18/$G18)*BK18,0)*(1-$K18)</f>
        <v>0</v>
      </c>
      <c r="BN18" s="1118">
        <f>VLOOKUP($E18,BK$442:BN$453,4,FALSE)*BK18*($K18)+(BK18-BL18-BM18)*(1-$K18)</f>
        <v>261203218.23192942</v>
      </c>
      <c r="BO18" s="1119"/>
      <c r="BS18" s="1117">
        <f>$G18</f>
        <v>391010404.58104789</v>
      </c>
      <c r="BT18" s="1118">
        <f>VLOOKUP($E18,BS$442:BV$453,2,FALSE)*BS18*($K18)+IF($G18&gt;0,($H18/$G18)*BS18,0)*(1-$K18)</f>
        <v>129807186.34911849</v>
      </c>
      <c r="BU18" s="1118">
        <f>VLOOKUP($E18,BS$442:BV$453,3,FALSE)*BS18*($K18)+IF($G18&gt;0,($I18/$G18)*BS18,0)*(1-$K18)</f>
        <v>0</v>
      </c>
      <c r="BV18" s="1118">
        <f>VLOOKUP($E18,BS$442:BV$453,4,FALSE)*BS18*($K18)+(BS18-BT18-BU18)*(1-$K18)</f>
        <v>261203218.23192942</v>
      </c>
      <c r="BW18" s="1119"/>
      <c r="CA18" s="1117">
        <f>$G18</f>
        <v>391010404.58104789</v>
      </c>
      <c r="CB18" s="1118">
        <f>VLOOKUP($E18,CA$442:CD$453,2,FALSE)*CA18*($K18)+IF($G18&gt;0,($H18/$G18)*CA18,0)*(1-$K18)</f>
        <v>129807186.34911849</v>
      </c>
      <c r="CC18" s="1118">
        <f>VLOOKUP($E18,CA$442:CD$453,3,FALSE)*CA18*($K18)+IF($G18&gt;0,($I18/$G18)*CA18,0)*(1-$K18)</f>
        <v>0</v>
      </c>
      <c r="CD18" s="1118">
        <f>VLOOKUP($E18,CA$442:CD$453,4,FALSE)*CA18*($K18)+(CA18-CB18-CC18)*(1-$K18)</f>
        <v>261203218.23192942</v>
      </c>
      <c r="CE18" s="1119"/>
      <c r="CI18" s="1117">
        <f>$G18</f>
        <v>391010404.58104789</v>
      </c>
      <c r="CJ18" s="1118">
        <f>VLOOKUP($E18,CI$442:CL$453,2,FALSE)*CI18*($K18)+IF($G18&gt;0,($H18/$G18)*CI18,0)*(1-$K18)</f>
        <v>129807186.34911849</v>
      </c>
      <c r="CK18" s="1118">
        <f>VLOOKUP($E18,CI$442:CL$453,3,FALSE)*CI18*($K18)+IF($G18&gt;0,($I18/$G18)*CI18,0)*(1-$K18)</f>
        <v>0</v>
      </c>
      <c r="CL18" s="1118">
        <f>VLOOKUP($E18,CI$442:CL$453,4,FALSE)*CI18*($K18)+(CI18-CJ18-CK18)*(1-$K18)</f>
        <v>261203218.23192942</v>
      </c>
      <c r="CM18" s="1119"/>
      <c r="CQ18" s="1117">
        <f>$G18</f>
        <v>391010404.58104789</v>
      </c>
      <c r="CR18" s="1118">
        <f>VLOOKUP($E18,CQ$442:CT$453,2,FALSE)*CQ18*($K18)+IF($G18&gt;0,($H18/$G18)*CQ18,0)*(1-$K18)</f>
        <v>129807186.34911849</v>
      </c>
      <c r="CS18" s="1118">
        <f>VLOOKUP($E18,CQ$442:CT$453,3,FALSE)*CQ18*($K18)+IF($G18&gt;0,($I18/$G18)*CQ18,0)*(1-$K18)</f>
        <v>0</v>
      </c>
      <c r="CT18" s="1118">
        <f>VLOOKUP($E18,CQ$442:CT$453,4,FALSE)*CQ18*($K18)+(CQ18-CR18-CS18)*(1-$K18)</f>
        <v>261203218.23192942</v>
      </c>
      <c r="CU18" s="1119"/>
      <c r="CY18" s="1117">
        <f>$G18</f>
        <v>391010404.58104789</v>
      </c>
      <c r="CZ18" s="1118">
        <f>VLOOKUP($E18,CY$442:DB$453,2,FALSE)*CY18*($K18)+IF($G18&gt;0,($H18/$G18)*CY18,0)*(1-$K18)</f>
        <v>129807186.34911849</v>
      </c>
      <c r="DA18" s="1118">
        <f>VLOOKUP($E18,CY$442:DB$453,3,FALSE)*CY18*($K18)+IF($G18&gt;0,($I18/$G18)*CY18,0)*(1-$K18)</f>
        <v>0</v>
      </c>
      <c r="DB18" s="1118">
        <f>VLOOKUP($E18,CY$442:DB$453,4,FALSE)*CY18*($K18)+(CY18-CZ18-DA18)*(1-$K18)</f>
        <v>261203218.23192942</v>
      </c>
      <c r="DC18" s="1119"/>
      <c r="DG18" s="1117">
        <f>$G18</f>
        <v>391010404.58104789</v>
      </c>
      <c r="DH18" s="1118">
        <f>VLOOKUP($E18,DG$442:DJ$453,2,FALSE)*DG18*($K18)+IF($G18&gt;0,($H18/$G18)*DG18,0)*(1-$K18)</f>
        <v>129807186.34911849</v>
      </c>
      <c r="DI18" s="1118">
        <f>VLOOKUP($E18,DG$442:DJ$453,3,FALSE)*DG18*($K18)+IF($G18&gt;0,($I18/$G18)*DG18,0)*(1-$K18)</f>
        <v>0</v>
      </c>
      <c r="DJ18" s="1118">
        <f>VLOOKUP($E18,DG$442:DJ$453,4,FALSE)*DG18*($K18)+(DG18-DH18-DI18)*(1-$K18)</f>
        <v>261203218.23192942</v>
      </c>
      <c r="DK18" s="1119"/>
      <c r="DO18" s="1117">
        <f>$G18</f>
        <v>391010404.58104789</v>
      </c>
      <c r="DP18" s="1118">
        <f>VLOOKUP($E18,DO$442:DR$453,2,FALSE)*DO18*($K18)+IF($G18&gt;0,($H18/$G18)*DO18,0)*(1-$K18)</f>
        <v>129807186.34911849</v>
      </c>
      <c r="DQ18" s="1118">
        <f>VLOOKUP($E18,DO$442:DR$453,3,FALSE)*DO18*($K18)+IF($G18&gt;0,($I18/$G18)*DO18,0)*(1-$K18)</f>
        <v>0</v>
      </c>
      <c r="DR18" s="1118">
        <f>VLOOKUP($E18,DO$442:DR$453,4,FALSE)*DO18*($K18)+(DO18-DP18-DQ18)*(1-$K18)</f>
        <v>261203218.23192942</v>
      </c>
      <c r="DS18" s="1119"/>
      <c r="DW18" s="1117">
        <f>$G18</f>
        <v>391010404.58104789</v>
      </c>
      <c r="DX18" s="1118">
        <f>VLOOKUP($E18,DW$442:DZ$453,2,FALSE)*DW18*($K18)+IF($G18&gt;0,($H18/$G18)*DW18,0)*(1-$K18)</f>
        <v>129807186.34911849</v>
      </c>
      <c r="DY18" s="1118">
        <f>VLOOKUP($E18,DW$442:DZ$453,3,FALSE)*DW18*($K18)+IF($G18&gt;0,($I18/$G18)*DW18,0)*(1-$K18)</f>
        <v>0</v>
      </c>
      <c r="DZ18" s="1118">
        <f>VLOOKUP($E18,DW$442:DZ$453,4,FALSE)*DW18*($K18)+(DW18-DX18-DY18)*(1-$K18)</f>
        <v>261203218.23192942</v>
      </c>
      <c r="EA18" s="1119"/>
      <c r="EE18" s="1117">
        <f>$G18</f>
        <v>391010404.58104789</v>
      </c>
      <c r="EF18" s="1118">
        <f>VLOOKUP($E18,EE$442:EH$453,2,FALSE)*EE18*($K18)+IF($G18&gt;0,($H18/$G18)*EE18,0)*(1-$K18)</f>
        <v>129807186.34911849</v>
      </c>
      <c r="EG18" s="1118">
        <f>VLOOKUP($E18,EE$442:EH$453,3,FALSE)*EE18*($K18)+IF($G18&gt;0,($I18/$G18)*EE18,0)*(1-$K18)</f>
        <v>0</v>
      </c>
      <c r="EH18" s="1118">
        <f>VLOOKUP($E18,EE$442:EH$453,4,FALSE)*EE18*($K18)+(EE18-EF18-EG18)*(1-$K18)</f>
        <v>261203218.23192942</v>
      </c>
      <c r="EI18" s="1119"/>
      <c r="EM18" s="1117">
        <f>$G18</f>
        <v>391010404.58104789</v>
      </c>
      <c r="EN18" s="1118">
        <f>VLOOKUP($E18,EM$442:EP$453,2,FALSE)*EM18*($K18)+IF($G18&gt;0,($H18/$G18)*EM18,0)*(1-$K18)</f>
        <v>129807186.34911849</v>
      </c>
      <c r="EO18" s="1118">
        <f>VLOOKUP($E18,EM$442:EP$453,3,FALSE)*EM18*($K18)+IF($G18&gt;0,($I18/$G18)*EM18,0)*(1-$K18)</f>
        <v>0</v>
      </c>
      <c r="EP18" s="1118">
        <f>VLOOKUP($E18,EM$442:EP$453,4,FALSE)*EM18*($K18)+(EM18-EN18-EO18)*(1-$K18)</f>
        <v>261203218.23192942</v>
      </c>
      <c r="EQ18" s="1119"/>
      <c r="EU18" s="1117">
        <f>$G18</f>
        <v>391010404.58104789</v>
      </c>
      <c r="EV18" s="1118">
        <f>VLOOKUP($E18,EU$442:EX$453,2,FALSE)*EU18*($K18)+IF($G18&gt;0,($H18/$G18)*EU18,0)*(1-$K18)</f>
        <v>129807186.34911849</v>
      </c>
      <c r="EW18" s="1118">
        <f>VLOOKUP($E18,EU$442:EX$453,3,FALSE)*EU18*($K18)+IF($G18&gt;0,($I18/$G18)*EU18,0)*(1-$K18)</f>
        <v>0</v>
      </c>
      <c r="EX18" s="1118">
        <f>VLOOKUP($E18,EU$442:EX$453,4,FALSE)*EU18*($K18)+(EU18-EV18-EW18)*(1-$K18)</f>
        <v>261203218.23192942</v>
      </c>
      <c r="EY18" s="1119"/>
      <c r="FC18" s="1117">
        <f>$G18</f>
        <v>391010404.58104789</v>
      </c>
      <c r="FD18" s="1118">
        <f>VLOOKUP($E18,FC$442:FF$453,2,FALSE)*FC18*($K18)+IF($G18&gt;0,($H18/$G18)*FC18,0)*(1-$K18)</f>
        <v>129807186.34911849</v>
      </c>
      <c r="FE18" s="1118">
        <f>VLOOKUP($E18,FC$442:FF$453,3,FALSE)*FC18*($K18)+IF($G18&gt;0,($I18/$G18)*FC18,0)*(1-$K18)</f>
        <v>0</v>
      </c>
      <c r="FF18" s="1118">
        <f>VLOOKUP($E18,FC$442:FF$453,4,FALSE)*FC18*($K18)+(FC18-FD18-FE18)*(1-$K18)</f>
        <v>261203218.23192942</v>
      </c>
      <c r="FG18" s="1119"/>
      <c r="FK18" s="1117">
        <f>$G18</f>
        <v>391010404.58104789</v>
      </c>
      <c r="FL18" s="1118">
        <f>VLOOKUP($E18,FK$442:FN$453,2,FALSE)*FK18*($K18)+IF($G18&gt;0,($H18/$G18)*FK18,0)*(1-$K18)</f>
        <v>129807186.34911849</v>
      </c>
      <c r="FM18" s="1118">
        <f>VLOOKUP($E18,FK$442:FN$453,3,FALSE)*FK18*($K18)+IF($G18&gt;0,($I18/$G18)*FK18,0)*(1-$K18)</f>
        <v>0</v>
      </c>
      <c r="FN18" s="1118">
        <f>VLOOKUP($E18,FK$442:FN$453,4,FALSE)*FK18*($K18)+(FK18-FL18-FM18)*(1-$K18)</f>
        <v>261203218.23192942</v>
      </c>
      <c r="FO18" s="1119"/>
    </row>
    <row r="19" spans="1:171" x14ac:dyDescent="0.25">
      <c r="A19" s="163" t="s">
        <v>439</v>
      </c>
      <c r="B19" s="64"/>
      <c r="C19" s="895"/>
      <c r="D19" s="896"/>
      <c r="E19" s="896"/>
      <c r="F19" s="897"/>
      <c r="G19" s="906">
        <f>SUM(G16:G18)</f>
        <v>462775100.77428508</v>
      </c>
      <c r="H19" s="906">
        <f>SUM(H16:H18)</f>
        <v>201571882.54235572</v>
      </c>
      <c r="I19" s="906">
        <f>SUM(I16:I18)</f>
        <v>0</v>
      </c>
      <c r="J19" s="1386">
        <f>SUM(J16:J18)</f>
        <v>262583558.59400645</v>
      </c>
      <c r="K19" s="904"/>
      <c r="L19" s="1120"/>
      <c r="O19" s="1121">
        <f>SUM(O16:O18)</f>
        <v>462775100.77428508</v>
      </c>
      <c r="P19" s="1121">
        <f>SUM(P16:P18)</f>
        <v>201571882.54235572</v>
      </c>
      <c r="Q19" s="1121">
        <f>SUM(Q16:Q18)</f>
        <v>0</v>
      </c>
      <c r="R19" s="1121">
        <f>SUM(R16:R18)</f>
        <v>261203218.23192942</v>
      </c>
      <c r="S19" s="1119"/>
      <c r="T19" s="1120"/>
      <c r="W19" s="1121">
        <f>SUM(W16:W18)</f>
        <v>462775100.77428508</v>
      </c>
      <c r="X19" s="1121">
        <f>SUM(X16:X18)</f>
        <v>201571882.54235572</v>
      </c>
      <c r="Y19" s="1121">
        <f>SUM(Y16:Y18)</f>
        <v>0</v>
      </c>
      <c r="Z19" s="1121">
        <f>SUM(Z16:Z18)</f>
        <v>261203218.23192942</v>
      </c>
      <c r="AA19" s="1119"/>
      <c r="AB19" s="1120"/>
      <c r="AE19" s="1121">
        <f>SUM(AE16:AE18)</f>
        <v>462775100.77428508</v>
      </c>
      <c r="AF19" s="1121">
        <f>SUM(AF16:AF18)</f>
        <v>201571882.54235572</v>
      </c>
      <c r="AG19" s="1121">
        <f>SUM(AG16:AG18)</f>
        <v>0</v>
      </c>
      <c r="AH19" s="1121">
        <f>SUM(AH16:AH18)</f>
        <v>261203218.23192942</v>
      </c>
      <c r="AI19" s="1119"/>
      <c r="AJ19" s="1120"/>
      <c r="AM19" s="1121">
        <f>SUM(AM16:AM18)</f>
        <v>462775100.77428508</v>
      </c>
      <c r="AN19" s="1121">
        <f>SUM(AN16:AN18)</f>
        <v>201571882.54235572</v>
      </c>
      <c r="AO19" s="1121">
        <f>SUM(AO16:AO18)</f>
        <v>0</v>
      </c>
      <c r="AP19" s="1121">
        <f>SUM(AP16:AP18)</f>
        <v>261203218.23192942</v>
      </c>
      <c r="AQ19" s="1119"/>
      <c r="AR19" s="1120"/>
      <c r="AU19" s="1121">
        <f>SUM(AU16:AU18)</f>
        <v>462775100.77428508</v>
      </c>
      <c r="AV19" s="1121">
        <f>SUM(AV16:AV18)</f>
        <v>201571882.54235572</v>
      </c>
      <c r="AW19" s="1121">
        <f>SUM(AW16:AW18)</f>
        <v>0</v>
      </c>
      <c r="AX19" s="1121">
        <f>SUM(AX16:AX18)</f>
        <v>261203218.23192942</v>
      </c>
      <c r="AY19" s="1119"/>
      <c r="AZ19" s="1120"/>
      <c r="BC19" s="1121">
        <f>SUM(BC16:BC18)</f>
        <v>462775100.77428508</v>
      </c>
      <c r="BD19" s="1121">
        <f>SUM(BD16:BD18)</f>
        <v>201571882.54235572</v>
      </c>
      <c r="BE19" s="1121">
        <f>SUM(BE16:BE18)</f>
        <v>0</v>
      </c>
      <c r="BF19" s="1121">
        <f>SUM(BF16:BF18)</f>
        <v>261203218.23192942</v>
      </c>
      <c r="BG19" s="1119"/>
      <c r="BH19" s="1120"/>
      <c r="BK19" s="1121">
        <f>SUM(BK16:BK18)</f>
        <v>462775100.77428508</v>
      </c>
      <c r="BL19" s="1121">
        <f>SUM(BL16:BL18)</f>
        <v>201571882.54235572</v>
      </c>
      <c r="BM19" s="1121">
        <f>SUM(BM16:BM18)</f>
        <v>0</v>
      </c>
      <c r="BN19" s="1121">
        <f>SUM(BN16:BN18)</f>
        <v>261203218.23192942</v>
      </c>
      <c r="BO19" s="1119"/>
      <c r="BP19" s="1120"/>
      <c r="BS19" s="1121">
        <f>SUM(BS16:BS18)</f>
        <v>462775100.77428508</v>
      </c>
      <c r="BT19" s="1121">
        <f>SUM(BT16:BT18)</f>
        <v>201571882.54235572</v>
      </c>
      <c r="BU19" s="1121">
        <f>SUM(BU16:BU18)</f>
        <v>0</v>
      </c>
      <c r="BV19" s="1121">
        <f>SUM(BV16:BV18)</f>
        <v>261203218.23192942</v>
      </c>
      <c r="BW19" s="1119"/>
      <c r="BX19" s="1120"/>
      <c r="CA19" s="1121">
        <f>SUM(CA16:CA18)</f>
        <v>462775100.77428508</v>
      </c>
      <c r="CB19" s="1121">
        <f>SUM(CB16:CB18)</f>
        <v>201571882.54235572</v>
      </c>
      <c r="CC19" s="1121">
        <f>SUM(CC16:CC18)</f>
        <v>0</v>
      </c>
      <c r="CD19" s="1121">
        <f>SUM(CD16:CD18)</f>
        <v>261203218.23192942</v>
      </c>
      <c r="CE19" s="1119"/>
      <c r="CF19" s="1120"/>
      <c r="CI19" s="1121">
        <f>SUM(CI16:CI18)</f>
        <v>462775100.77428508</v>
      </c>
      <c r="CJ19" s="1121">
        <f>SUM(CJ16:CJ18)</f>
        <v>201571882.54235572</v>
      </c>
      <c r="CK19" s="1121">
        <f>SUM(CK16:CK18)</f>
        <v>0</v>
      </c>
      <c r="CL19" s="1121">
        <f>SUM(CL16:CL18)</f>
        <v>261203218.23192942</v>
      </c>
      <c r="CM19" s="1119"/>
      <c r="CN19" s="1120"/>
      <c r="CQ19" s="1121">
        <f>SUM(CQ16:CQ18)</f>
        <v>462775100.77428508</v>
      </c>
      <c r="CR19" s="1121">
        <f>SUM(CR16:CR18)</f>
        <v>201571882.54235572</v>
      </c>
      <c r="CS19" s="1121">
        <f>SUM(CS16:CS18)</f>
        <v>0</v>
      </c>
      <c r="CT19" s="1121">
        <f>SUM(CT16:CT18)</f>
        <v>261203218.23192942</v>
      </c>
      <c r="CU19" s="1119"/>
      <c r="CV19" s="1120"/>
      <c r="CY19" s="1121">
        <f>SUM(CY16:CY18)</f>
        <v>462775100.77428508</v>
      </c>
      <c r="CZ19" s="1121">
        <f>SUM(CZ16:CZ18)</f>
        <v>201571882.54235572</v>
      </c>
      <c r="DA19" s="1121">
        <f>SUM(DA16:DA18)</f>
        <v>0</v>
      </c>
      <c r="DB19" s="1121">
        <f>SUM(DB16:DB18)</f>
        <v>261203218.23192942</v>
      </c>
      <c r="DC19" s="1119"/>
      <c r="DD19" s="1120"/>
      <c r="DG19" s="1121">
        <f>SUM(DG16:DG18)</f>
        <v>462775100.77428508</v>
      </c>
      <c r="DH19" s="1121">
        <f>SUM(DH16:DH18)</f>
        <v>201571882.54235572</v>
      </c>
      <c r="DI19" s="1121">
        <f>SUM(DI16:DI18)</f>
        <v>0</v>
      </c>
      <c r="DJ19" s="1121">
        <f>SUM(DJ16:DJ18)</f>
        <v>261203218.23192942</v>
      </c>
      <c r="DK19" s="1119"/>
      <c r="DL19" s="1120"/>
      <c r="DO19" s="1121">
        <f>SUM(DO16:DO18)</f>
        <v>462775100.77428508</v>
      </c>
      <c r="DP19" s="1121">
        <f>SUM(DP16:DP18)</f>
        <v>201571882.54235572</v>
      </c>
      <c r="DQ19" s="1121">
        <f>SUM(DQ16:DQ18)</f>
        <v>0</v>
      </c>
      <c r="DR19" s="1121">
        <f>SUM(DR16:DR18)</f>
        <v>261203218.23192942</v>
      </c>
      <c r="DS19" s="1119"/>
      <c r="DT19" s="1120"/>
      <c r="DW19" s="1121">
        <f>SUM(DW16:DW18)</f>
        <v>462775100.77428508</v>
      </c>
      <c r="DX19" s="1121">
        <f>SUM(DX16:DX18)</f>
        <v>201571882.54235572</v>
      </c>
      <c r="DY19" s="1121">
        <f>SUM(DY16:DY18)</f>
        <v>0</v>
      </c>
      <c r="DZ19" s="1121">
        <f>SUM(DZ16:DZ18)</f>
        <v>261203218.23192942</v>
      </c>
      <c r="EA19" s="1119"/>
      <c r="EB19" s="1120"/>
      <c r="EE19" s="1121">
        <f>SUM(EE16:EE18)</f>
        <v>462775100.77428508</v>
      </c>
      <c r="EF19" s="1121">
        <f>SUM(EF16:EF18)</f>
        <v>201571882.54235572</v>
      </c>
      <c r="EG19" s="1121">
        <f>SUM(EG16:EG18)</f>
        <v>0</v>
      </c>
      <c r="EH19" s="1121">
        <f>SUM(EH16:EH18)</f>
        <v>261203218.23192942</v>
      </c>
      <c r="EI19" s="1119"/>
      <c r="EJ19" s="1120"/>
      <c r="EM19" s="1121">
        <f>SUM(EM16:EM18)</f>
        <v>462775100.77428508</v>
      </c>
      <c r="EN19" s="1121">
        <f>SUM(EN16:EN18)</f>
        <v>201571882.54235572</v>
      </c>
      <c r="EO19" s="1121">
        <f>SUM(EO16:EO18)</f>
        <v>0</v>
      </c>
      <c r="EP19" s="1121">
        <f>SUM(EP16:EP18)</f>
        <v>261203218.23192942</v>
      </c>
      <c r="EQ19" s="1119"/>
      <c r="ER19" s="1120"/>
      <c r="EU19" s="1121">
        <f>SUM(EU16:EU18)</f>
        <v>462775100.77428508</v>
      </c>
      <c r="EV19" s="1121">
        <f>SUM(EV16:EV18)</f>
        <v>201571882.54235572</v>
      </c>
      <c r="EW19" s="1121">
        <f>SUM(EW16:EW18)</f>
        <v>0</v>
      </c>
      <c r="EX19" s="1121">
        <f>SUM(EX16:EX18)</f>
        <v>261203218.23192942</v>
      </c>
      <c r="EY19" s="1119"/>
      <c r="EZ19" s="1120"/>
      <c r="FC19" s="1121">
        <f>SUM(FC16:FC18)</f>
        <v>462775100.77428508</v>
      </c>
      <c r="FD19" s="1121">
        <f>SUM(FD16:FD18)</f>
        <v>201571882.54235572</v>
      </c>
      <c r="FE19" s="1121">
        <f>SUM(FE16:FE18)</f>
        <v>0</v>
      </c>
      <c r="FF19" s="1121">
        <f>SUM(FF16:FF18)</f>
        <v>261203218.23192942</v>
      </c>
      <c r="FG19" s="1119"/>
      <c r="FH19" s="1120"/>
      <c r="FK19" s="1121">
        <f>SUM(FK16:FK18)</f>
        <v>462775100.77428508</v>
      </c>
      <c r="FL19" s="1121">
        <f>SUM(FL16:FL18)</f>
        <v>201571882.54235572</v>
      </c>
      <c r="FM19" s="1121">
        <f>SUM(FM16:FM18)</f>
        <v>0</v>
      </c>
      <c r="FN19" s="1121">
        <f>SUM(FN16:FN18)</f>
        <v>261203218.23192942</v>
      </c>
      <c r="FO19" s="1119"/>
    </row>
    <row r="20" spans="1:171" x14ac:dyDescent="0.25">
      <c r="A20" s="1387"/>
      <c r="B20" s="898"/>
      <c r="C20" s="899"/>
      <c r="D20" s="899"/>
      <c r="E20" s="900"/>
      <c r="F20" s="900"/>
      <c r="G20" s="901"/>
      <c r="H20" s="901"/>
      <c r="I20" s="901"/>
      <c r="J20" s="1388"/>
      <c r="K20" s="904"/>
      <c r="L20" s="1120"/>
      <c r="M20" s="1080"/>
      <c r="N20" s="1080"/>
      <c r="O20" s="1117"/>
      <c r="P20" s="1117"/>
      <c r="Q20" s="1117"/>
      <c r="R20" s="1117"/>
      <c r="S20" s="1119"/>
      <c r="T20" s="1120"/>
      <c r="U20" s="1080"/>
      <c r="V20" s="1080"/>
      <c r="W20" s="1117"/>
      <c r="X20" s="1117"/>
      <c r="Y20" s="1117"/>
      <c r="Z20" s="1117"/>
      <c r="AA20" s="1119"/>
      <c r="AB20" s="1120"/>
      <c r="AC20" s="1080"/>
      <c r="AD20" s="1080"/>
      <c r="AE20" s="1117"/>
      <c r="AF20" s="1117"/>
      <c r="AG20" s="1117"/>
      <c r="AH20" s="1117"/>
      <c r="AI20" s="1119"/>
      <c r="AJ20" s="1120"/>
      <c r="AK20" s="1080"/>
      <c r="AL20" s="1080"/>
      <c r="AM20" s="1117"/>
      <c r="AN20" s="1117"/>
      <c r="AO20" s="1117"/>
      <c r="AP20" s="1117"/>
      <c r="AQ20" s="1119"/>
      <c r="AR20" s="1120"/>
      <c r="AS20" s="1080"/>
      <c r="AT20" s="1080"/>
      <c r="AU20" s="1117"/>
      <c r="AV20" s="1117"/>
      <c r="AW20" s="1117"/>
      <c r="AX20" s="1117"/>
      <c r="AY20" s="1119"/>
      <c r="AZ20" s="1120"/>
      <c r="BA20" s="1080"/>
      <c r="BB20" s="1080"/>
      <c r="BC20" s="1117"/>
      <c r="BD20" s="1117"/>
      <c r="BE20" s="1117"/>
      <c r="BF20" s="1117"/>
      <c r="BG20" s="1119"/>
      <c r="BH20" s="1120"/>
      <c r="BI20" s="1080"/>
      <c r="BJ20" s="1080"/>
      <c r="BK20" s="1117"/>
      <c r="BL20" s="1117"/>
      <c r="BM20" s="1117"/>
      <c r="BN20" s="1117"/>
      <c r="BO20" s="1119"/>
      <c r="BP20" s="1120"/>
      <c r="BQ20" s="1080"/>
      <c r="BR20" s="1080"/>
      <c r="BS20" s="1117"/>
      <c r="BT20" s="1117"/>
      <c r="BU20" s="1117"/>
      <c r="BV20" s="1117"/>
      <c r="BW20" s="1119"/>
      <c r="BX20" s="1120"/>
      <c r="BY20" s="1080"/>
      <c r="BZ20" s="1080"/>
      <c r="CA20" s="1117"/>
      <c r="CB20" s="1117"/>
      <c r="CC20" s="1117"/>
      <c r="CD20" s="1117"/>
      <c r="CE20" s="1119"/>
      <c r="CF20" s="1120"/>
      <c r="CG20" s="1080"/>
      <c r="CH20" s="1080"/>
      <c r="CI20" s="1117"/>
      <c r="CJ20" s="1117"/>
      <c r="CK20" s="1117"/>
      <c r="CL20" s="1117"/>
      <c r="CM20" s="1119"/>
      <c r="CN20" s="1120"/>
      <c r="CO20" s="1080"/>
      <c r="CP20" s="1080"/>
      <c r="CQ20" s="1117"/>
      <c r="CR20" s="1117"/>
      <c r="CS20" s="1117"/>
      <c r="CT20" s="1117"/>
      <c r="CU20" s="1119"/>
      <c r="CV20" s="1120"/>
      <c r="CW20" s="1080"/>
      <c r="CX20" s="1080"/>
      <c r="CY20" s="1117"/>
      <c r="CZ20" s="1117"/>
      <c r="DA20" s="1117"/>
      <c r="DB20" s="1117"/>
      <c r="DC20" s="1119"/>
      <c r="DD20" s="1120"/>
      <c r="DE20" s="1080"/>
      <c r="DF20" s="1080"/>
      <c r="DG20" s="1117"/>
      <c r="DH20" s="1117"/>
      <c r="DI20" s="1117"/>
      <c r="DJ20" s="1117"/>
      <c r="DK20" s="1119"/>
      <c r="DL20" s="1120"/>
      <c r="DM20" s="1080"/>
      <c r="DN20" s="1080"/>
      <c r="DO20" s="1117"/>
      <c r="DP20" s="1117"/>
      <c r="DQ20" s="1117"/>
      <c r="DR20" s="1117"/>
      <c r="DS20" s="1119"/>
      <c r="DT20" s="1120"/>
      <c r="DU20" s="1080"/>
      <c r="DV20" s="1080"/>
      <c r="DW20" s="1117"/>
      <c r="DX20" s="1117"/>
      <c r="DY20" s="1117"/>
      <c r="DZ20" s="1117"/>
      <c r="EA20" s="1119"/>
      <c r="EB20" s="1120"/>
      <c r="EC20" s="1080"/>
      <c r="ED20" s="1080"/>
      <c r="EE20" s="1117"/>
      <c r="EF20" s="1117"/>
      <c r="EG20" s="1117"/>
      <c r="EH20" s="1117"/>
      <c r="EI20" s="1119"/>
      <c r="EJ20" s="1120"/>
      <c r="EK20" s="1080"/>
      <c r="EL20" s="1080"/>
      <c r="EM20" s="1117"/>
      <c r="EN20" s="1117"/>
      <c r="EO20" s="1117"/>
      <c r="EP20" s="1117"/>
      <c r="EQ20" s="1119"/>
      <c r="ER20" s="1120"/>
      <c r="ES20" s="1080"/>
      <c r="ET20" s="1080"/>
      <c r="EU20" s="1117"/>
      <c r="EV20" s="1117"/>
      <c r="EW20" s="1117"/>
      <c r="EX20" s="1117"/>
      <c r="EY20" s="1119"/>
      <c r="EZ20" s="1120"/>
      <c r="FA20" s="1080"/>
      <c r="FB20" s="1080"/>
      <c r="FC20" s="1117"/>
      <c r="FD20" s="1117"/>
      <c r="FE20" s="1117"/>
      <c r="FF20" s="1117"/>
      <c r="FG20" s="1119"/>
      <c r="FH20" s="1120"/>
      <c r="FI20" s="1080"/>
      <c r="FJ20" s="1080"/>
      <c r="FK20" s="1117"/>
      <c r="FL20" s="1117"/>
      <c r="FM20" s="1117"/>
      <c r="FN20" s="1117"/>
      <c r="FO20" s="1119"/>
    </row>
    <row r="21" spans="1:171" x14ac:dyDescent="0.25">
      <c r="A21" s="199" t="s">
        <v>110</v>
      </c>
      <c r="B21" s="902"/>
      <c r="C21" s="899"/>
      <c r="D21" s="899"/>
      <c r="E21" s="900"/>
      <c r="F21" s="900"/>
      <c r="G21" s="903"/>
      <c r="H21" s="903"/>
      <c r="I21" s="903"/>
      <c r="J21" s="1389"/>
      <c r="K21" s="904"/>
      <c r="L21" s="1122"/>
      <c r="M21" s="1080"/>
      <c r="N21" s="1080"/>
      <c r="O21" s="1080"/>
      <c r="P21" s="901"/>
      <c r="Q21" s="901"/>
      <c r="R21" s="901"/>
      <c r="S21" s="1119"/>
      <c r="T21" s="1122"/>
      <c r="U21" s="1080"/>
      <c r="V21" s="1080"/>
      <c r="W21" s="1080"/>
      <c r="X21" s="901"/>
      <c r="Y21" s="901"/>
      <c r="Z21" s="901"/>
      <c r="AA21" s="1119"/>
      <c r="AB21" s="1122"/>
      <c r="AC21" s="1080"/>
      <c r="AD21" s="1080"/>
      <c r="AE21" s="1080"/>
      <c r="AF21" s="901"/>
      <c r="AG21" s="901"/>
      <c r="AH21" s="901"/>
      <c r="AI21" s="1119"/>
      <c r="AJ21" s="1122"/>
      <c r="AK21" s="1080"/>
      <c r="AL21" s="1080"/>
      <c r="AM21" s="1080"/>
      <c r="AN21" s="901"/>
      <c r="AO21" s="901"/>
      <c r="AP21" s="901"/>
      <c r="AQ21" s="1119"/>
      <c r="AR21" s="1122"/>
      <c r="AS21" s="1080"/>
      <c r="AT21" s="1080"/>
      <c r="AU21" s="1080"/>
      <c r="AV21" s="901"/>
      <c r="AW21" s="901"/>
      <c r="AX21" s="901"/>
      <c r="AY21" s="1119"/>
      <c r="AZ21" s="1122"/>
      <c r="BA21" s="1080"/>
      <c r="BB21" s="1080"/>
      <c r="BC21" s="1080"/>
      <c r="BD21" s="901"/>
      <c r="BE21" s="901"/>
      <c r="BF21" s="901"/>
      <c r="BG21" s="1119"/>
      <c r="BH21" s="1122"/>
      <c r="BI21" s="1080"/>
      <c r="BJ21" s="1080"/>
      <c r="BK21" s="1080"/>
      <c r="BL21" s="901"/>
      <c r="BM21" s="901"/>
      <c r="BN21" s="901"/>
      <c r="BO21" s="1119"/>
      <c r="BP21" s="1122"/>
      <c r="BQ21" s="1080"/>
      <c r="BR21" s="1080"/>
      <c r="BS21" s="1080"/>
      <c r="BT21" s="901"/>
      <c r="BU21" s="901"/>
      <c r="BV21" s="901"/>
      <c r="BW21" s="1119"/>
      <c r="BX21" s="1122"/>
      <c r="BY21" s="1080"/>
      <c r="BZ21" s="1080"/>
      <c r="CA21" s="1080"/>
      <c r="CB21" s="901"/>
      <c r="CC21" s="901"/>
      <c r="CD21" s="901"/>
      <c r="CE21" s="1119"/>
      <c r="CF21" s="1122"/>
      <c r="CG21" s="1080"/>
      <c r="CH21" s="1080"/>
      <c r="CI21" s="1080"/>
      <c r="CJ21" s="901"/>
      <c r="CK21" s="901"/>
      <c r="CL21" s="901"/>
      <c r="CM21" s="1119"/>
      <c r="CN21" s="1122"/>
      <c r="CO21" s="1080"/>
      <c r="CP21" s="1080"/>
      <c r="CQ21" s="1080"/>
      <c r="CR21" s="901"/>
      <c r="CS21" s="901"/>
      <c r="CT21" s="901"/>
      <c r="CU21" s="1119"/>
      <c r="CV21" s="1122"/>
      <c r="CW21" s="1080"/>
      <c r="CX21" s="1080"/>
      <c r="CY21" s="1080"/>
      <c r="CZ21" s="901"/>
      <c r="DA21" s="901"/>
      <c r="DB21" s="901"/>
      <c r="DC21" s="1119"/>
      <c r="DD21" s="1122"/>
      <c r="DE21" s="1080"/>
      <c r="DF21" s="1080"/>
      <c r="DG21" s="1080"/>
      <c r="DH21" s="901"/>
      <c r="DI21" s="901"/>
      <c r="DJ21" s="901"/>
      <c r="DK21" s="1119"/>
      <c r="DL21" s="1122"/>
      <c r="DM21" s="1080"/>
      <c r="DN21" s="1080"/>
      <c r="DO21" s="1080"/>
      <c r="DP21" s="901"/>
      <c r="DQ21" s="901"/>
      <c r="DR21" s="901"/>
      <c r="DS21" s="1119"/>
      <c r="DT21" s="1122"/>
      <c r="DU21" s="1080"/>
      <c r="DV21" s="1080"/>
      <c r="DW21" s="1080"/>
      <c r="DX21" s="901"/>
      <c r="DY21" s="901"/>
      <c r="DZ21" s="901"/>
      <c r="EA21" s="1119"/>
      <c r="EB21" s="1122"/>
      <c r="EC21" s="1080"/>
      <c r="ED21" s="1080"/>
      <c r="EE21" s="1080"/>
      <c r="EF21" s="901"/>
      <c r="EG21" s="901"/>
      <c r="EH21" s="901"/>
      <c r="EI21" s="1119"/>
      <c r="EJ21" s="1122"/>
      <c r="EK21" s="1080"/>
      <c r="EL21" s="1080"/>
      <c r="EM21" s="1080"/>
      <c r="EN21" s="901"/>
      <c r="EO21" s="901"/>
      <c r="EP21" s="901"/>
      <c r="EQ21" s="1119"/>
      <c r="ER21" s="1122"/>
      <c r="ES21" s="1080"/>
      <c r="ET21" s="1080"/>
      <c r="EU21" s="1080"/>
      <c r="EV21" s="901"/>
      <c r="EW21" s="901"/>
      <c r="EX21" s="901"/>
      <c r="EY21" s="1119"/>
      <c r="EZ21" s="1122"/>
      <c r="FA21" s="1080"/>
      <c r="FB21" s="1080"/>
      <c r="FC21" s="1080"/>
      <c r="FD21" s="901"/>
      <c r="FE21" s="901"/>
      <c r="FF21" s="901"/>
      <c r="FG21" s="1119"/>
      <c r="FH21" s="1122"/>
      <c r="FI21" s="1080"/>
      <c r="FJ21" s="1080"/>
      <c r="FK21" s="1080"/>
      <c r="FL21" s="901"/>
      <c r="FM21" s="901"/>
      <c r="FN21" s="901"/>
      <c r="FO21" s="1119"/>
    </row>
    <row r="22" spans="1:171" x14ac:dyDescent="0.25">
      <c r="A22" s="1390">
        <v>110</v>
      </c>
      <c r="B22" s="220" t="s">
        <v>111</v>
      </c>
      <c r="C22" s="888" t="s">
        <v>70</v>
      </c>
      <c r="D22" s="889" t="s">
        <v>112</v>
      </c>
      <c r="E22" s="905" t="str">
        <f>'Sch 1- Rate Base '!E22</f>
        <v>PROD</v>
      </c>
      <c r="F22" s="890"/>
      <c r="G22" s="891">
        <f>'Sch 1- Rate Base '!G22</f>
        <v>2890625949.8270597</v>
      </c>
      <c r="H22" s="891">
        <f>'Sch 1- Rate Base '!H22</f>
        <v>2890625949.8270597</v>
      </c>
      <c r="I22" s="891">
        <f>'Sch 1- Rate Base '!I22</f>
        <v>0</v>
      </c>
      <c r="J22" s="1385">
        <f>'Sch 1- Rate Base '!J22</f>
        <v>0</v>
      </c>
      <c r="K22" s="904">
        <f>IF($E22="DIRECT",0,1)</f>
        <v>1</v>
      </c>
      <c r="N22" s="1155">
        <f>VLOOKUP($A22,'New Resources - Individual'!$A$4:$Y$133,N$2,FALSE)*N$1</f>
        <v>0</v>
      </c>
      <c r="O22" s="1117">
        <f>$G22+N22</f>
        <v>2890625949.8270597</v>
      </c>
      <c r="P22" s="1118">
        <f>VLOOKUP($E22,O$442:R$453,2,FALSE)*O22*($K22)+IF($G22&gt;0,($H22/$G22)*O22,0)*(1-$K22)</f>
        <v>2890625949.8270597</v>
      </c>
      <c r="Q22" s="1118">
        <f>VLOOKUP($E22,O$442:R$453,3,FALSE)*O22*($K22)+IF($G22&gt;0,($I22/$G22)*O22,0)*(1-$K22)</f>
        <v>0</v>
      </c>
      <c r="R22" s="1118">
        <f>VLOOKUP($E22,O$442:R$453,4,FALSE)*O22*($K22)+(O22-P22-Q22)*(1-$K22)</f>
        <v>0</v>
      </c>
      <c r="S22" s="1119"/>
      <c r="V22" s="1155">
        <f>VLOOKUP($A22,'New Resources - Individual'!$A$4:$Y$133,V$2,FALSE)*V$1</f>
        <v>0</v>
      </c>
      <c r="W22" s="1117">
        <f>$G22+V22</f>
        <v>2890625949.8270597</v>
      </c>
      <c r="X22" s="1118">
        <f>VLOOKUP($E22,W$442:Z$453,2,FALSE)*W22*($K22)+IF($G22&gt;0,($H22/$G22)*W22,0)*(1-$K22)</f>
        <v>2890625949.8270597</v>
      </c>
      <c r="Y22" s="1118">
        <f>VLOOKUP($E22,W$442:Z$453,3,FALSE)*W22*($K22)+IF($G22&gt;0,($I22/$G22)*W22,0)*(1-$K22)</f>
        <v>0</v>
      </c>
      <c r="Z22" s="1118">
        <f>VLOOKUP($E22,W$442:Z$453,4,FALSE)*W22*($K22)+(W22-X22-Y22)*(1-$K22)</f>
        <v>0</v>
      </c>
      <c r="AA22" s="1119"/>
      <c r="AD22" s="1155">
        <f>VLOOKUP($A22,'New Resources - Individual'!$A$4:$Y$133,AD$2,FALSE)*AD$1</f>
        <v>0</v>
      </c>
      <c r="AE22" s="1117">
        <f>$G22+AD22</f>
        <v>2890625949.8270597</v>
      </c>
      <c r="AF22" s="1118">
        <f>VLOOKUP($E22,AE$442:AH$453,2,FALSE)*AE22*($K22)+IF($G22&gt;0,($H22/$G22)*AE22,0)*(1-$K22)</f>
        <v>2890625949.8270597</v>
      </c>
      <c r="AG22" s="1118">
        <f>VLOOKUP($E22,AE$442:AH$453,3,FALSE)*AE22*($K22)+IF($G22&gt;0,($I22/$G22)*AE22,0)*(1-$K22)</f>
        <v>0</v>
      </c>
      <c r="AH22" s="1118">
        <f>VLOOKUP($E22,AE$442:AH$453,4,FALSE)*AE22*($K22)+(AE22-AF22-AG22)*(1-$K22)</f>
        <v>0</v>
      </c>
      <c r="AI22" s="1119"/>
      <c r="AL22" s="1155">
        <f>VLOOKUP($A22,'New Resources - Individual'!$A$4:$Y$133,AL$2,FALSE)*AL$1</f>
        <v>0</v>
      </c>
      <c r="AM22" s="1117">
        <f>$G22+AL22</f>
        <v>2890625949.8270597</v>
      </c>
      <c r="AN22" s="1118">
        <f>VLOOKUP($E22,AM$442:AP$453,2,FALSE)*AM22*($K22)+IF($G22&gt;0,($H22/$G22)*AM22,0)*(1-$K22)</f>
        <v>2890625949.8270597</v>
      </c>
      <c r="AO22" s="1118">
        <f>VLOOKUP($E22,AM$442:AP$453,3,FALSE)*AM22*($K22)+IF($G22&gt;0,($I22/$G22)*AM22,0)*(1-$K22)</f>
        <v>0</v>
      </c>
      <c r="AP22" s="1118">
        <f>VLOOKUP($E22,AM$442:AP$453,4,FALSE)*AM22*($K22)+(AM22-AN22-AO22)*(1-$K22)</f>
        <v>0</v>
      </c>
      <c r="AQ22" s="1119"/>
      <c r="AT22" s="1155">
        <f>VLOOKUP($A22,'New Resources - Individual'!$A$4:$Y$133,AT$2,FALSE)*AT$1</f>
        <v>0</v>
      </c>
      <c r="AU22" s="1117">
        <f>$G22+AT22</f>
        <v>2890625949.8270597</v>
      </c>
      <c r="AV22" s="1118">
        <f>VLOOKUP($E22,AU$442:AX$453,2,FALSE)*AU22*($K22)+IF($G22&gt;0,($H22/$G22)*AU22,0)*(1-$K22)</f>
        <v>2890625949.8270597</v>
      </c>
      <c r="AW22" s="1118">
        <f>VLOOKUP($E22,AU$442:AX$453,3,FALSE)*AU22*($K22)+IF($G22&gt;0,($I22/$G22)*AU22,0)*(1-$K22)</f>
        <v>0</v>
      </c>
      <c r="AX22" s="1118">
        <f>VLOOKUP($E22,AU$442:AX$453,4,FALSE)*AU22*($K22)+(AU22-AV22-AW22)*(1-$K22)</f>
        <v>0</v>
      </c>
      <c r="AY22" s="1119"/>
      <c r="BB22" s="1155">
        <f>VLOOKUP($A22,'New Resources - Individual'!$A$4:$Y$133,BB$2,FALSE)*BB$1</f>
        <v>0</v>
      </c>
      <c r="BC22" s="1117">
        <f>$G22+BB22</f>
        <v>2890625949.8270597</v>
      </c>
      <c r="BD22" s="1118">
        <f>VLOOKUP($E22,BC$442:BF$453,2,FALSE)*BC22*($K22)+IF($G22&gt;0,($H22/$G22)*BC22,0)*(1-$K22)</f>
        <v>2890625949.8270597</v>
      </c>
      <c r="BE22" s="1118">
        <f>VLOOKUP($E22,BC$442:BF$453,3,FALSE)*BC22*($K22)+IF($G22&gt;0,($I22/$G22)*BC22,0)*(1-$K22)</f>
        <v>0</v>
      </c>
      <c r="BF22" s="1118">
        <f>VLOOKUP($E22,BC$442:BF$453,4,FALSE)*BC22*($K22)+(BC22-BD22-BE22)*(1-$K22)</f>
        <v>0</v>
      </c>
      <c r="BG22" s="1119"/>
      <c r="BJ22" s="1155">
        <f>VLOOKUP($A22,'New Resources - Individual'!$A$4:$Y$133,BJ$2,FALSE)*BJ$1</f>
        <v>0</v>
      </c>
      <c r="BK22" s="1117">
        <f>$G22+BJ22</f>
        <v>2890625949.8270597</v>
      </c>
      <c r="BL22" s="1118">
        <f>VLOOKUP($E22,BK$442:BN$453,2,FALSE)*BK22*($K22)+IF($G22&gt;0,($H22/$G22)*BK22,0)*(1-$K22)</f>
        <v>2890625949.8270597</v>
      </c>
      <c r="BM22" s="1118">
        <f>VLOOKUP($E22,BK$442:BN$453,3,FALSE)*BK22*($K22)+IF($G22&gt;0,($I22/$G22)*BK22,0)*(1-$K22)</f>
        <v>0</v>
      </c>
      <c r="BN22" s="1118">
        <f>VLOOKUP($E22,BK$442:BN$453,4,FALSE)*BK22*($K22)+(BK22-BL22-BM22)*(1-$K22)</f>
        <v>0</v>
      </c>
      <c r="BO22" s="1119"/>
      <c r="BR22" s="1155">
        <f>VLOOKUP($A22,'New Resources - Individual'!$A$4:$Y$133,BR$2,FALSE)*BR$1</f>
        <v>0</v>
      </c>
      <c r="BS22" s="1117">
        <f>$G22+BR22</f>
        <v>2890625949.8270597</v>
      </c>
      <c r="BT22" s="1118">
        <f>VLOOKUP($E22,BS$442:BV$453,2,FALSE)*BS22*($K22)+IF($G22&gt;0,($H22/$G22)*BS22,0)*(1-$K22)</f>
        <v>2890625949.8270597</v>
      </c>
      <c r="BU22" s="1118">
        <f>VLOOKUP($E22,BS$442:BV$453,3,FALSE)*BS22*($K22)+IF($G22&gt;0,($I22/$G22)*BS22,0)*(1-$K22)</f>
        <v>0</v>
      </c>
      <c r="BV22" s="1118">
        <f>VLOOKUP($E22,BS$442:BV$453,4,FALSE)*BS22*($K22)+(BS22-BT22-BU22)*(1-$K22)</f>
        <v>0</v>
      </c>
      <c r="BW22" s="1119"/>
      <c r="BZ22" s="1155">
        <f>VLOOKUP($A22,'New Resources - Individual'!$A$4:$Y$133,BZ$2,FALSE)*BZ$1</f>
        <v>0</v>
      </c>
      <c r="CA22" s="1117">
        <f>$G22+BZ22</f>
        <v>2890625949.8270597</v>
      </c>
      <c r="CB22" s="1118">
        <f>VLOOKUP($E22,CA$442:CD$453,2,FALSE)*CA22*($K22)+IF($G22&gt;0,($H22/$G22)*CA22,0)*(1-$K22)</f>
        <v>2890625949.8270597</v>
      </c>
      <c r="CC22" s="1118">
        <f>VLOOKUP($E22,CA$442:CD$453,3,FALSE)*CA22*($K22)+IF($G22&gt;0,($I22/$G22)*CA22,0)*(1-$K22)</f>
        <v>0</v>
      </c>
      <c r="CD22" s="1118">
        <f>VLOOKUP($E22,CA$442:CD$453,4,FALSE)*CA22*($K22)+(CA22-CB22-CC22)*(1-$K22)</f>
        <v>0</v>
      </c>
      <c r="CE22" s="1119"/>
      <c r="CH22" s="1155">
        <f>VLOOKUP($A22,'New Resources - Individual'!$A$4:$Y$133,CH$2,FALSE)*CH$1</f>
        <v>0</v>
      </c>
      <c r="CI22" s="1117">
        <f>$G22+CH22</f>
        <v>2890625949.8270597</v>
      </c>
      <c r="CJ22" s="1118">
        <f>VLOOKUP($E22,CI$442:CL$453,2,FALSE)*CI22*($K22)+IF($G22&gt;0,($H22/$G22)*CI22,0)*(1-$K22)</f>
        <v>2890625949.8270597</v>
      </c>
      <c r="CK22" s="1118">
        <f>VLOOKUP($E22,CI$442:CL$453,3,FALSE)*CI22*($K22)+IF($G22&gt;0,($I22/$G22)*CI22,0)*(1-$K22)</f>
        <v>0</v>
      </c>
      <c r="CL22" s="1118">
        <f>VLOOKUP($E22,CI$442:CL$453,4,FALSE)*CI22*($K22)+(CI22-CJ22-CK22)*(1-$K22)</f>
        <v>0</v>
      </c>
      <c r="CM22" s="1119"/>
      <c r="CP22" s="1155">
        <f>VLOOKUP($A22,'New Resources - Individual'!$A$4:$Y$133,CP$2,FALSE)*CP$1</f>
        <v>0</v>
      </c>
      <c r="CQ22" s="1117">
        <f>$G22+CP22</f>
        <v>2890625949.8270597</v>
      </c>
      <c r="CR22" s="1118">
        <f>VLOOKUP($E22,CQ$442:CT$453,2,FALSE)*CQ22*($K22)+IF($G22&gt;0,($H22/$G22)*CQ22,0)*(1-$K22)</f>
        <v>2890625949.8270597</v>
      </c>
      <c r="CS22" s="1118">
        <f>VLOOKUP($E22,CQ$442:CT$453,3,FALSE)*CQ22*($K22)+IF($G22&gt;0,($I22/$G22)*CQ22,0)*(1-$K22)</f>
        <v>0</v>
      </c>
      <c r="CT22" s="1118">
        <f>VLOOKUP($E22,CQ$442:CT$453,4,FALSE)*CQ22*($K22)+(CQ22-CR22-CS22)*(1-$K22)</f>
        <v>0</v>
      </c>
      <c r="CU22" s="1119"/>
      <c r="CX22" s="1155">
        <f>VLOOKUP($A22,'New Resources - Individual'!$A$4:$Y$133,CX$2,FALSE)*CX$1</f>
        <v>0</v>
      </c>
      <c r="CY22" s="1117">
        <f>$G22+CX22</f>
        <v>2890625949.8270597</v>
      </c>
      <c r="CZ22" s="1118">
        <f>VLOOKUP($E22,CY$442:DB$453,2,FALSE)*CY22*($K22)+IF($G22&gt;0,($H22/$G22)*CY22,0)*(1-$K22)</f>
        <v>2890625949.8270597</v>
      </c>
      <c r="DA22" s="1118">
        <f>VLOOKUP($E22,CY$442:DB$453,3,FALSE)*CY22*($K22)+IF($G22&gt;0,($I22/$G22)*CY22,0)*(1-$K22)</f>
        <v>0</v>
      </c>
      <c r="DB22" s="1118">
        <f>VLOOKUP($E22,CY$442:DB$453,4,FALSE)*CY22*($K22)+(CY22-CZ22-DA22)*(1-$K22)</f>
        <v>0</v>
      </c>
      <c r="DC22" s="1119"/>
      <c r="DF22" s="1155">
        <f>VLOOKUP($A22,'New Resources - Individual'!$A$4:$Y$133,DF$2,FALSE)*DF$1</f>
        <v>0</v>
      </c>
      <c r="DG22" s="1117">
        <f>$G22+DF22</f>
        <v>2890625949.8270597</v>
      </c>
      <c r="DH22" s="1118">
        <f>VLOOKUP($E22,DG$442:DJ$453,2,FALSE)*DG22*($K22)+IF($G22&gt;0,($H22/$G22)*DG22,0)*(1-$K22)</f>
        <v>2890625949.8270597</v>
      </c>
      <c r="DI22" s="1118">
        <f>VLOOKUP($E22,DG$442:DJ$453,3,FALSE)*DG22*($K22)+IF($G22&gt;0,($I22/$G22)*DG22,0)*(1-$K22)</f>
        <v>0</v>
      </c>
      <c r="DJ22" s="1118">
        <f>VLOOKUP($E22,DG$442:DJ$453,4,FALSE)*DG22*($K22)+(DG22-DH22-DI22)*(1-$K22)</f>
        <v>0</v>
      </c>
      <c r="DK22" s="1119"/>
      <c r="DN22" s="1155">
        <f>VLOOKUP($A22,'New Resources - Individual'!$A$4:$Y$133,DN$2,FALSE)*DN$1</f>
        <v>0</v>
      </c>
      <c r="DO22" s="1117">
        <f>$G22+DN22</f>
        <v>2890625949.8270597</v>
      </c>
      <c r="DP22" s="1118">
        <f>VLOOKUP($E22,DO$442:DR$453,2,FALSE)*DO22*($K22)+IF($G22&gt;0,($H22/$G22)*DO22,0)*(1-$K22)</f>
        <v>2890625949.8270597</v>
      </c>
      <c r="DQ22" s="1118">
        <f>VLOOKUP($E22,DO$442:DR$453,3,FALSE)*DO22*($K22)+IF($G22&gt;0,($I22/$G22)*DO22,0)*(1-$K22)</f>
        <v>0</v>
      </c>
      <c r="DR22" s="1118">
        <f>VLOOKUP($E22,DO$442:DR$453,4,FALSE)*DO22*($K22)+(DO22-DP22-DQ22)*(1-$K22)</f>
        <v>0</v>
      </c>
      <c r="DS22" s="1119"/>
      <c r="DV22" s="1155">
        <f>VLOOKUP($A22,'New Resources - Individual'!$A$4:$Y$133,DV$2,FALSE)*DV$1</f>
        <v>0</v>
      </c>
      <c r="DW22" s="1117">
        <f>$G22+DV22</f>
        <v>2890625949.8270597</v>
      </c>
      <c r="DX22" s="1118">
        <f>VLOOKUP($E22,DW$442:DZ$453,2,FALSE)*DW22*($K22)+IF($G22&gt;0,($H22/$G22)*DW22,0)*(1-$K22)</f>
        <v>2890625949.8270597</v>
      </c>
      <c r="DY22" s="1118">
        <f>VLOOKUP($E22,DW$442:DZ$453,3,FALSE)*DW22*($K22)+IF($G22&gt;0,($I22/$G22)*DW22,0)*(1-$K22)</f>
        <v>0</v>
      </c>
      <c r="DZ22" s="1118">
        <f>VLOOKUP($E22,DW$442:DZ$453,4,FALSE)*DW22*($K22)+(DW22-DX22-DY22)*(1-$K22)</f>
        <v>0</v>
      </c>
      <c r="EA22" s="1119"/>
      <c r="ED22" s="1155">
        <f>VLOOKUP($A22,'New Resources - Individual'!$A$4:$Y$133,ED$2,FALSE)*ED$1</f>
        <v>0</v>
      </c>
      <c r="EE22" s="1117">
        <f>$G22+ED22</f>
        <v>2890625949.8270597</v>
      </c>
      <c r="EF22" s="1118">
        <f>VLOOKUP($E22,EE$442:EH$453,2,FALSE)*EE22*($K22)+IF($G22&gt;0,($H22/$G22)*EE22,0)*(1-$K22)</f>
        <v>2890625949.8270597</v>
      </c>
      <c r="EG22" s="1118">
        <f>VLOOKUP($E22,EE$442:EH$453,3,FALSE)*EE22*($K22)+IF($G22&gt;0,($I22/$G22)*EE22,0)*(1-$K22)</f>
        <v>0</v>
      </c>
      <c r="EH22" s="1118">
        <f>VLOOKUP($E22,EE$442:EH$453,4,FALSE)*EE22*($K22)+(EE22-EF22-EG22)*(1-$K22)</f>
        <v>0</v>
      </c>
      <c r="EI22" s="1119"/>
      <c r="EL22" s="1155">
        <f>VLOOKUP($A22,'New Resources - Individual'!$A$4:$Y$133,EL$2,FALSE)*EL$1</f>
        <v>0</v>
      </c>
      <c r="EM22" s="1117">
        <f>$G22+EL22</f>
        <v>2890625949.8270597</v>
      </c>
      <c r="EN22" s="1118">
        <f>VLOOKUP($E22,EM$442:EP$453,2,FALSE)*EM22*($K22)+IF($G22&gt;0,($H22/$G22)*EM22,0)*(1-$K22)</f>
        <v>2890625949.8270597</v>
      </c>
      <c r="EO22" s="1118">
        <f>VLOOKUP($E22,EM$442:EP$453,3,FALSE)*EM22*($K22)+IF($G22&gt;0,($I22/$G22)*EM22,0)*(1-$K22)</f>
        <v>0</v>
      </c>
      <c r="EP22" s="1118">
        <f>VLOOKUP($E22,EM$442:EP$453,4,FALSE)*EM22*($K22)+(EM22-EN22-EO22)*(1-$K22)</f>
        <v>0</v>
      </c>
      <c r="EQ22" s="1119"/>
      <c r="ET22" s="1155">
        <f>VLOOKUP($A22,'New Resources - Individual'!$A$4:$Y$133,ET$2,FALSE)*ET$1</f>
        <v>0</v>
      </c>
      <c r="EU22" s="1117">
        <f>$G22+ET22</f>
        <v>2890625949.8270597</v>
      </c>
      <c r="EV22" s="1118">
        <f>VLOOKUP($E22,EU$442:EX$453,2,FALSE)*EU22*($K22)+IF($G22&gt;0,($H22/$G22)*EU22,0)*(1-$K22)</f>
        <v>2890625949.8270597</v>
      </c>
      <c r="EW22" s="1118">
        <f>VLOOKUP($E22,EU$442:EX$453,3,FALSE)*EU22*($K22)+IF($G22&gt;0,($I22/$G22)*EU22,0)*(1-$K22)</f>
        <v>0</v>
      </c>
      <c r="EX22" s="1118">
        <f>VLOOKUP($E22,EU$442:EX$453,4,FALSE)*EU22*($K22)+(EU22-EV22-EW22)*(1-$K22)</f>
        <v>0</v>
      </c>
      <c r="EY22" s="1119"/>
      <c r="FB22" s="1155">
        <f>VLOOKUP($A22,'New Resources - Individual'!$A$4:$Y$133,FB$2,FALSE)*FB$1</f>
        <v>0</v>
      </c>
      <c r="FC22" s="1117">
        <f>$G22+FB22</f>
        <v>2890625949.8270597</v>
      </c>
      <c r="FD22" s="1118">
        <f>VLOOKUP($E22,FC$442:FF$453,2,FALSE)*FC22*($K22)+IF($G22&gt;0,($H22/$G22)*FC22,0)*(1-$K22)</f>
        <v>2890625949.8270597</v>
      </c>
      <c r="FE22" s="1118">
        <f>VLOOKUP($E22,FC$442:FF$453,3,FALSE)*FC22*($K22)+IF($G22&gt;0,($I22/$G22)*FC22,0)*(1-$K22)</f>
        <v>0</v>
      </c>
      <c r="FF22" s="1118">
        <f>VLOOKUP($E22,FC$442:FF$453,4,FALSE)*FC22*($K22)+(FC22-FD22-FE22)*(1-$K22)</f>
        <v>0</v>
      </c>
      <c r="FG22" s="1119"/>
      <c r="FJ22" s="1155">
        <f>VLOOKUP($A22,'New Resources - Individual'!$A$4:$Y$133,FJ$2,FALSE)*FJ$1</f>
        <v>0</v>
      </c>
      <c r="FK22" s="1117">
        <f>$G22+FJ22</f>
        <v>2890625949.8270597</v>
      </c>
      <c r="FL22" s="1118">
        <f>VLOOKUP($E22,FK$442:FN$453,2,FALSE)*FK22*($K22)+IF($G22&gt;0,($H22/$G22)*FK22,0)*(1-$K22)</f>
        <v>2890625949.8270597</v>
      </c>
      <c r="FM22" s="1118">
        <f>VLOOKUP($E22,FK$442:FN$453,3,FALSE)*FK22*($K22)+IF($G22&gt;0,($I22/$G22)*FK22,0)*(1-$K22)</f>
        <v>0</v>
      </c>
      <c r="FN22" s="1118">
        <f>VLOOKUP($E22,FK$442:FN$453,4,FALSE)*FK22*($K22)+(FK22-FL22-FM22)*(1-$K22)</f>
        <v>0</v>
      </c>
      <c r="FO22" s="1119"/>
    </row>
    <row r="23" spans="1:171" x14ac:dyDescent="0.25">
      <c r="A23" s="1390">
        <v>250</v>
      </c>
      <c r="B23" s="220" t="s">
        <v>113</v>
      </c>
      <c r="C23" s="888" t="s">
        <v>70</v>
      </c>
      <c r="D23" s="889" t="s">
        <v>114</v>
      </c>
      <c r="E23" s="905" t="str">
        <f>'Sch 1- Rate Base '!E23</f>
        <v>PROD</v>
      </c>
      <c r="F23" s="890"/>
      <c r="G23" s="891">
        <f>'Sch 1- Rate Base '!G23</f>
        <v>0</v>
      </c>
      <c r="H23" s="891">
        <f>'Sch 1- Rate Base '!H23</f>
        <v>0</v>
      </c>
      <c r="I23" s="891">
        <f>'Sch 1- Rate Base '!I23</f>
        <v>0</v>
      </c>
      <c r="J23" s="1385">
        <f>'Sch 1- Rate Base '!J23</f>
        <v>0</v>
      </c>
      <c r="K23" s="904">
        <f>IF($E23="DIRECT",0,1)</f>
        <v>1</v>
      </c>
      <c r="N23" s="1155">
        <f>VLOOKUP($A23,'New Resources - Individual'!$A$4:$Y$133,N$2,FALSE)*N$1</f>
        <v>0</v>
      </c>
      <c r="O23" s="1117">
        <f>$G23+N23</f>
        <v>0</v>
      </c>
      <c r="P23" s="1118">
        <f>VLOOKUP($E23,O$442:R$453,2,FALSE)*O23*($K23)+IF($G23&gt;0,($H23/$G23)*O23,0)*(1-$K23)</f>
        <v>0</v>
      </c>
      <c r="Q23" s="1118">
        <f>VLOOKUP($E23,O$442:R$453,3,FALSE)*O23*($K23)+IF($G23&gt;0,($I23/$G23)*O23,0)*(1-$K23)</f>
        <v>0</v>
      </c>
      <c r="R23" s="1118">
        <f>VLOOKUP($E23,O$442:R$453,4,FALSE)*O23*($K23)+(O23-P23-Q23)*(1-$K23)</f>
        <v>0</v>
      </c>
      <c r="S23" s="1119"/>
      <c r="V23" s="1155">
        <f>VLOOKUP($A23,'New Resources - Individual'!$A$4:$Y$133,V$2,FALSE)*V$1</f>
        <v>0</v>
      </c>
      <c r="W23" s="1117">
        <f>$G23+V23</f>
        <v>0</v>
      </c>
      <c r="X23" s="1118">
        <f>VLOOKUP($E23,W$442:Z$453,2,FALSE)*W23*($K23)+IF($G23&gt;0,($H23/$G23)*W23,0)*(1-$K23)</f>
        <v>0</v>
      </c>
      <c r="Y23" s="1118">
        <f>VLOOKUP($E23,W$442:Z$453,3,FALSE)*W23*($K23)+IF($G23&gt;0,($I23/$G23)*W23,0)*(1-$K23)</f>
        <v>0</v>
      </c>
      <c r="Z23" s="1118">
        <f>VLOOKUP($E23,W$442:Z$453,4,FALSE)*W23*($K23)+(W23-X23-Y23)*(1-$K23)</f>
        <v>0</v>
      </c>
      <c r="AA23" s="1119"/>
      <c r="AD23" s="1155">
        <f>VLOOKUP($A23,'New Resources - Individual'!$A$4:$Y$133,AD$2,FALSE)*AD$1</f>
        <v>0</v>
      </c>
      <c r="AE23" s="1117">
        <f>$G23+AD23</f>
        <v>0</v>
      </c>
      <c r="AF23" s="1118">
        <f>VLOOKUP($E23,AE$442:AH$453,2,FALSE)*AE23*($K23)+IF($G23&gt;0,($H23/$G23)*AE23,0)*(1-$K23)</f>
        <v>0</v>
      </c>
      <c r="AG23" s="1118">
        <f>VLOOKUP($E23,AE$442:AH$453,3,FALSE)*AE23*($K23)+IF($G23&gt;0,($I23/$G23)*AE23,0)*(1-$K23)</f>
        <v>0</v>
      </c>
      <c r="AH23" s="1118">
        <f>VLOOKUP($E23,AE$442:AH$453,4,FALSE)*AE23*($K23)+(AE23-AF23-AG23)*(1-$K23)</f>
        <v>0</v>
      </c>
      <c r="AI23" s="1119"/>
      <c r="AL23" s="1155">
        <f>VLOOKUP($A23,'New Resources - Individual'!$A$4:$Y$133,AL$2,FALSE)*AL$1</f>
        <v>0</v>
      </c>
      <c r="AM23" s="1117">
        <f>$G23+AL23</f>
        <v>0</v>
      </c>
      <c r="AN23" s="1118">
        <f>VLOOKUP($E23,AM$442:AP$453,2,FALSE)*AM23*($K23)+IF($G23&gt;0,($H23/$G23)*AM23,0)*(1-$K23)</f>
        <v>0</v>
      </c>
      <c r="AO23" s="1118">
        <f>VLOOKUP($E23,AM$442:AP$453,3,FALSE)*AM23*($K23)+IF($G23&gt;0,($I23/$G23)*AM23,0)*(1-$K23)</f>
        <v>0</v>
      </c>
      <c r="AP23" s="1118">
        <f>VLOOKUP($E23,AM$442:AP$453,4,FALSE)*AM23*($K23)+(AM23-AN23-AO23)*(1-$K23)</f>
        <v>0</v>
      </c>
      <c r="AQ23" s="1119"/>
      <c r="AT23" s="1155">
        <f>VLOOKUP($A23,'New Resources - Individual'!$A$4:$Y$133,AT$2,FALSE)*AT$1</f>
        <v>0</v>
      </c>
      <c r="AU23" s="1117">
        <f>$G23+AT23</f>
        <v>0</v>
      </c>
      <c r="AV23" s="1118">
        <f>VLOOKUP($E23,AU$442:AX$453,2,FALSE)*AU23*($K23)+IF($G23&gt;0,($H23/$G23)*AU23,0)*(1-$K23)</f>
        <v>0</v>
      </c>
      <c r="AW23" s="1118">
        <f>VLOOKUP($E23,AU$442:AX$453,3,FALSE)*AU23*($K23)+IF($G23&gt;0,($I23/$G23)*AU23,0)*(1-$K23)</f>
        <v>0</v>
      </c>
      <c r="AX23" s="1118">
        <f>VLOOKUP($E23,AU$442:AX$453,4,FALSE)*AU23*($K23)+(AU23-AV23-AW23)*(1-$K23)</f>
        <v>0</v>
      </c>
      <c r="AY23" s="1119"/>
      <c r="BB23" s="1155">
        <f>VLOOKUP($A23,'New Resources - Individual'!$A$4:$Y$133,BB$2,FALSE)*BB$1</f>
        <v>0</v>
      </c>
      <c r="BC23" s="1117">
        <f>$G23+BB23</f>
        <v>0</v>
      </c>
      <c r="BD23" s="1118">
        <f>VLOOKUP($E23,BC$442:BF$453,2,FALSE)*BC23*($K23)+IF($G23&gt;0,($H23/$G23)*BC23,0)*(1-$K23)</f>
        <v>0</v>
      </c>
      <c r="BE23" s="1118">
        <f>VLOOKUP($E23,BC$442:BF$453,3,FALSE)*BC23*($K23)+IF($G23&gt;0,($I23/$G23)*BC23,0)*(1-$K23)</f>
        <v>0</v>
      </c>
      <c r="BF23" s="1118">
        <f>VLOOKUP($E23,BC$442:BF$453,4,FALSE)*BC23*($K23)+(BC23-BD23-BE23)*(1-$K23)</f>
        <v>0</v>
      </c>
      <c r="BG23" s="1119"/>
      <c r="BJ23" s="1155">
        <f>VLOOKUP($A23,'New Resources - Individual'!$A$4:$Y$133,BJ$2,FALSE)*BJ$1</f>
        <v>0</v>
      </c>
      <c r="BK23" s="1117">
        <f>$G23+BJ23</f>
        <v>0</v>
      </c>
      <c r="BL23" s="1118">
        <f>VLOOKUP($E23,BK$442:BN$453,2,FALSE)*BK23*($K23)+IF($G23&gt;0,($H23/$G23)*BK23,0)*(1-$K23)</f>
        <v>0</v>
      </c>
      <c r="BM23" s="1118">
        <f>VLOOKUP($E23,BK$442:BN$453,3,FALSE)*BK23*($K23)+IF($G23&gt;0,($I23/$G23)*BK23,0)*(1-$K23)</f>
        <v>0</v>
      </c>
      <c r="BN23" s="1118">
        <f>VLOOKUP($E23,BK$442:BN$453,4,FALSE)*BK23*($K23)+(BK23-BL23-BM23)*(1-$K23)</f>
        <v>0</v>
      </c>
      <c r="BO23" s="1119"/>
      <c r="BR23" s="1155">
        <f>VLOOKUP($A23,'New Resources - Individual'!$A$4:$Y$133,BR$2,FALSE)*BR$1</f>
        <v>0</v>
      </c>
      <c r="BS23" s="1117">
        <f>$G23+BR23</f>
        <v>0</v>
      </c>
      <c r="BT23" s="1118">
        <f>VLOOKUP($E23,BS$442:BV$453,2,FALSE)*BS23*($K23)+IF($G23&gt;0,($H23/$G23)*BS23,0)*(1-$K23)</f>
        <v>0</v>
      </c>
      <c r="BU23" s="1118">
        <f>VLOOKUP($E23,BS$442:BV$453,3,FALSE)*BS23*($K23)+IF($G23&gt;0,($I23/$G23)*BS23,0)*(1-$K23)</f>
        <v>0</v>
      </c>
      <c r="BV23" s="1118">
        <f>VLOOKUP($E23,BS$442:BV$453,4,FALSE)*BS23*($K23)+(BS23-BT23-BU23)*(1-$K23)</f>
        <v>0</v>
      </c>
      <c r="BW23" s="1119"/>
      <c r="BZ23" s="1155">
        <f>VLOOKUP($A23,'New Resources - Individual'!$A$4:$Y$133,BZ$2,FALSE)*BZ$1</f>
        <v>0</v>
      </c>
      <c r="CA23" s="1117">
        <f>$G23+BZ23</f>
        <v>0</v>
      </c>
      <c r="CB23" s="1118">
        <f>VLOOKUP($E23,CA$442:CD$453,2,FALSE)*CA23*($K23)+IF($G23&gt;0,($H23/$G23)*CA23,0)*(1-$K23)</f>
        <v>0</v>
      </c>
      <c r="CC23" s="1118">
        <f>VLOOKUP($E23,CA$442:CD$453,3,FALSE)*CA23*($K23)+IF($G23&gt;0,($I23/$G23)*CA23,0)*(1-$K23)</f>
        <v>0</v>
      </c>
      <c r="CD23" s="1118">
        <f>VLOOKUP($E23,CA$442:CD$453,4,FALSE)*CA23*($K23)+(CA23-CB23-CC23)*(1-$K23)</f>
        <v>0</v>
      </c>
      <c r="CE23" s="1119"/>
      <c r="CH23" s="1155">
        <f>VLOOKUP($A23,'New Resources - Individual'!$A$4:$Y$133,CH$2,FALSE)*CH$1</f>
        <v>0</v>
      </c>
      <c r="CI23" s="1117">
        <f>$G23+CH23</f>
        <v>0</v>
      </c>
      <c r="CJ23" s="1118">
        <f>VLOOKUP($E23,CI$442:CL$453,2,FALSE)*CI23*($K23)+IF($G23&gt;0,($H23/$G23)*CI23,0)*(1-$K23)</f>
        <v>0</v>
      </c>
      <c r="CK23" s="1118">
        <f>VLOOKUP($E23,CI$442:CL$453,3,FALSE)*CI23*($K23)+IF($G23&gt;0,($I23/$G23)*CI23,0)*(1-$K23)</f>
        <v>0</v>
      </c>
      <c r="CL23" s="1118">
        <f>VLOOKUP($E23,CI$442:CL$453,4,FALSE)*CI23*($K23)+(CI23-CJ23-CK23)*(1-$K23)</f>
        <v>0</v>
      </c>
      <c r="CM23" s="1119"/>
      <c r="CP23" s="1155">
        <f>VLOOKUP($A23,'New Resources - Individual'!$A$4:$Y$133,CP$2,FALSE)*CP$1</f>
        <v>0</v>
      </c>
      <c r="CQ23" s="1117">
        <f>$G23+CP23</f>
        <v>0</v>
      </c>
      <c r="CR23" s="1118">
        <f>VLOOKUP($E23,CQ$442:CT$453,2,FALSE)*CQ23*($K23)+IF($G23&gt;0,($H23/$G23)*CQ23,0)*(1-$K23)</f>
        <v>0</v>
      </c>
      <c r="CS23" s="1118">
        <f>VLOOKUP($E23,CQ$442:CT$453,3,FALSE)*CQ23*($K23)+IF($G23&gt;0,($I23/$G23)*CQ23,0)*(1-$K23)</f>
        <v>0</v>
      </c>
      <c r="CT23" s="1118">
        <f>VLOOKUP($E23,CQ$442:CT$453,4,FALSE)*CQ23*($K23)+(CQ23-CR23-CS23)*(1-$K23)</f>
        <v>0</v>
      </c>
      <c r="CU23" s="1119"/>
      <c r="CX23" s="1155">
        <f>VLOOKUP($A23,'New Resources - Individual'!$A$4:$Y$133,CX$2,FALSE)*CX$1</f>
        <v>0</v>
      </c>
      <c r="CY23" s="1117">
        <f>$G23+CX23</f>
        <v>0</v>
      </c>
      <c r="CZ23" s="1118">
        <f>VLOOKUP($E23,CY$442:DB$453,2,FALSE)*CY23*($K23)+IF($G23&gt;0,($H23/$G23)*CY23,0)*(1-$K23)</f>
        <v>0</v>
      </c>
      <c r="DA23" s="1118">
        <f>VLOOKUP($E23,CY$442:DB$453,3,FALSE)*CY23*($K23)+IF($G23&gt;0,($I23/$G23)*CY23,0)*(1-$K23)</f>
        <v>0</v>
      </c>
      <c r="DB23" s="1118">
        <f>VLOOKUP($E23,CY$442:DB$453,4,FALSE)*CY23*($K23)+(CY23-CZ23-DA23)*(1-$K23)</f>
        <v>0</v>
      </c>
      <c r="DC23" s="1119"/>
      <c r="DF23" s="1155">
        <f>VLOOKUP($A23,'New Resources - Individual'!$A$4:$Y$133,DF$2,FALSE)*DF$1</f>
        <v>0</v>
      </c>
      <c r="DG23" s="1117">
        <f>$G23+DF23</f>
        <v>0</v>
      </c>
      <c r="DH23" s="1118">
        <f>VLOOKUP($E23,DG$442:DJ$453,2,FALSE)*DG23*($K23)+IF($G23&gt;0,($H23/$G23)*DG23,0)*(1-$K23)</f>
        <v>0</v>
      </c>
      <c r="DI23" s="1118">
        <f>VLOOKUP($E23,DG$442:DJ$453,3,FALSE)*DG23*($K23)+IF($G23&gt;0,($I23/$G23)*DG23,0)*(1-$K23)</f>
        <v>0</v>
      </c>
      <c r="DJ23" s="1118">
        <f>VLOOKUP($E23,DG$442:DJ$453,4,FALSE)*DG23*($K23)+(DG23-DH23-DI23)*(1-$K23)</f>
        <v>0</v>
      </c>
      <c r="DK23" s="1119"/>
      <c r="DN23" s="1155">
        <f>VLOOKUP($A23,'New Resources - Individual'!$A$4:$Y$133,DN$2,FALSE)*DN$1</f>
        <v>0</v>
      </c>
      <c r="DO23" s="1117">
        <f>$G23+DN23</f>
        <v>0</v>
      </c>
      <c r="DP23" s="1118">
        <f>VLOOKUP($E23,DO$442:DR$453,2,FALSE)*DO23*($K23)+IF($G23&gt;0,($H23/$G23)*DO23,0)*(1-$K23)</f>
        <v>0</v>
      </c>
      <c r="DQ23" s="1118">
        <f>VLOOKUP($E23,DO$442:DR$453,3,FALSE)*DO23*($K23)+IF($G23&gt;0,($I23/$G23)*DO23,0)*(1-$K23)</f>
        <v>0</v>
      </c>
      <c r="DR23" s="1118">
        <f>VLOOKUP($E23,DO$442:DR$453,4,FALSE)*DO23*($K23)+(DO23-DP23-DQ23)*(1-$K23)</f>
        <v>0</v>
      </c>
      <c r="DS23" s="1119"/>
      <c r="DV23" s="1155">
        <f>VLOOKUP($A23,'New Resources - Individual'!$A$4:$Y$133,DV$2,FALSE)*DV$1</f>
        <v>0</v>
      </c>
      <c r="DW23" s="1117">
        <f>$G23+DV23</f>
        <v>0</v>
      </c>
      <c r="DX23" s="1118">
        <f>VLOOKUP($E23,DW$442:DZ$453,2,FALSE)*DW23*($K23)+IF($G23&gt;0,($H23/$G23)*DW23,0)*(1-$K23)</f>
        <v>0</v>
      </c>
      <c r="DY23" s="1118">
        <f>VLOOKUP($E23,DW$442:DZ$453,3,FALSE)*DW23*($K23)+IF($G23&gt;0,($I23/$G23)*DW23,0)*(1-$K23)</f>
        <v>0</v>
      </c>
      <c r="DZ23" s="1118">
        <f>VLOOKUP($E23,DW$442:DZ$453,4,FALSE)*DW23*($K23)+(DW23-DX23-DY23)*(1-$K23)</f>
        <v>0</v>
      </c>
      <c r="EA23" s="1119"/>
      <c r="ED23" s="1155">
        <f>VLOOKUP($A23,'New Resources - Individual'!$A$4:$Y$133,ED$2,FALSE)*ED$1</f>
        <v>0</v>
      </c>
      <c r="EE23" s="1117">
        <f>$G23+ED23</f>
        <v>0</v>
      </c>
      <c r="EF23" s="1118">
        <f>VLOOKUP($E23,EE$442:EH$453,2,FALSE)*EE23*($K23)+IF($G23&gt;0,($H23/$G23)*EE23,0)*(1-$K23)</f>
        <v>0</v>
      </c>
      <c r="EG23" s="1118">
        <f>VLOOKUP($E23,EE$442:EH$453,3,FALSE)*EE23*($K23)+IF($G23&gt;0,($I23/$G23)*EE23,0)*(1-$K23)</f>
        <v>0</v>
      </c>
      <c r="EH23" s="1118">
        <f>VLOOKUP($E23,EE$442:EH$453,4,FALSE)*EE23*($K23)+(EE23-EF23-EG23)*(1-$K23)</f>
        <v>0</v>
      </c>
      <c r="EI23" s="1119"/>
      <c r="EL23" s="1155">
        <f>VLOOKUP($A23,'New Resources - Individual'!$A$4:$Y$133,EL$2,FALSE)*EL$1</f>
        <v>0</v>
      </c>
      <c r="EM23" s="1117">
        <f>$G23+EL23</f>
        <v>0</v>
      </c>
      <c r="EN23" s="1118">
        <f>VLOOKUP($E23,EM$442:EP$453,2,FALSE)*EM23*($K23)+IF($G23&gt;0,($H23/$G23)*EM23,0)*(1-$K23)</f>
        <v>0</v>
      </c>
      <c r="EO23" s="1118">
        <f>VLOOKUP($E23,EM$442:EP$453,3,FALSE)*EM23*($K23)+IF($G23&gt;0,($I23/$G23)*EM23,0)*(1-$K23)</f>
        <v>0</v>
      </c>
      <c r="EP23" s="1118">
        <f>VLOOKUP($E23,EM$442:EP$453,4,FALSE)*EM23*($K23)+(EM23-EN23-EO23)*(1-$K23)</f>
        <v>0</v>
      </c>
      <c r="EQ23" s="1119"/>
      <c r="ET23" s="1155">
        <f>VLOOKUP($A23,'New Resources - Individual'!$A$4:$Y$133,ET$2,FALSE)*ET$1</f>
        <v>0</v>
      </c>
      <c r="EU23" s="1117">
        <f>$G23+ET23</f>
        <v>0</v>
      </c>
      <c r="EV23" s="1118">
        <f>VLOOKUP($E23,EU$442:EX$453,2,FALSE)*EU23*($K23)+IF($G23&gt;0,($H23/$G23)*EU23,0)*(1-$K23)</f>
        <v>0</v>
      </c>
      <c r="EW23" s="1118">
        <f>VLOOKUP($E23,EU$442:EX$453,3,FALSE)*EU23*($K23)+IF($G23&gt;0,($I23/$G23)*EU23,0)*(1-$K23)</f>
        <v>0</v>
      </c>
      <c r="EX23" s="1118">
        <f>VLOOKUP($E23,EU$442:EX$453,4,FALSE)*EU23*($K23)+(EU23-EV23-EW23)*(1-$K23)</f>
        <v>0</v>
      </c>
      <c r="EY23" s="1119"/>
      <c r="FB23" s="1155">
        <f>VLOOKUP($A23,'New Resources - Individual'!$A$4:$Y$133,FB$2,FALSE)*FB$1</f>
        <v>0</v>
      </c>
      <c r="FC23" s="1117">
        <f>$G23+FB23</f>
        <v>0</v>
      </c>
      <c r="FD23" s="1118">
        <f>VLOOKUP($E23,FC$442:FF$453,2,FALSE)*FC23*($K23)+IF($G23&gt;0,($H23/$G23)*FC23,0)*(1-$K23)</f>
        <v>0</v>
      </c>
      <c r="FE23" s="1118">
        <f>VLOOKUP($E23,FC$442:FF$453,3,FALSE)*FC23*($K23)+IF($G23&gt;0,($I23/$G23)*FC23,0)*(1-$K23)</f>
        <v>0</v>
      </c>
      <c r="FF23" s="1118">
        <f>VLOOKUP($E23,FC$442:FF$453,4,FALSE)*FC23*($K23)+(FC23-FD23-FE23)*(1-$K23)</f>
        <v>0</v>
      </c>
      <c r="FG23" s="1119"/>
      <c r="FJ23" s="1155">
        <f>VLOOKUP($A23,'New Resources - Individual'!$A$4:$Y$133,FJ$2,FALSE)*FJ$1</f>
        <v>0</v>
      </c>
      <c r="FK23" s="1117">
        <f>$G23+FJ23</f>
        <v>0</v>
      </c>
      <c r="FL23" s="1118">
        <f>VLOOKUP($E23,FK$442:FN$453,2,FALSE)*FK23*($K23)+IF($G23&gt;0,($H23/$G23)*FK23,0)*(1-$K23)</f>
        <v>0</v>
      </c>
      <c r="FM23" s="1118">
        <f>VLOOKUP($E23,FK$442:FN$453,3,FALSE)*FK23*($K23)+IF($G23&gt;0,($I23/$G23)*FK23,0)*(1-$K23)</f>
        <v>0</v>
      </c>
      <c r="FN23" s="1118">
        <f>VLOOKUP($E23,FK$442:FN$453,4,FALSE)*FK23*($K23)+(FK23-FL23-FM23)*(1-$K23)</f>
        <v>0</v>
      </c>
      <c r="FO23" s="1119"/>
    </row>
    <row r="24" spans="1:171" x14ac:dyDescent="0.25">
      <c r="A24" s="1390">
        <v>380</v>
      </c>
      <c r="B24" s="220" t="s">
        <v>115</v>
      </c>
      <c r="C24" s="888" t="s">
        <v>70</v>
      </c>
      <c r="D24" s="889" t="s">
        <v>116</v>
      </c>
      <c r="E24" s="905" t="str">
        <f>'Sch 1- Rate Base '!E24</f>
        <v>PROD</v>
      </c>
      <c r="F24" s="890"/>
      <c r="G24" s="891">
        <f>'Sch 1- Rate Base '!G24</f>
        <v>433360289.62213159</v>
      </c>
      <c r="H24" s="891">
        <f>'Sch 1- Rate Base '!H24</f>
        <v>433360289.62213159</v>
      </c>
      <c r="I24" s="891">
        <f>'Sch 1- Rate Base '!I24</f>
        <v>0</v>
      </c>
      <c r="J24" s="1385">
        <f>'Sch 1- Rate Base '!J24</f>
        <v>0</v>
      </c>
      <c r="K24" s="904">
        <f>IF($E24="DIRECT",0,1)</f>
        <v>1</v>
      </c>
      <c r="N24" s="1155">
        <f>VLOOKUP($A24,'New Resources - Individual'!$A$4:$Y$133,N$2,FALSE)*N$1</f>
        <v>0</v>
      </c>
      <c r="O24" s="1117">
        <f>$G24+N24</f>
        <v>433360289.62213159</v>
      </c>
      <c r="P24" s="1118">
        <f>VLOOKUP($E24,O$442:R$453,2,FALSE)*O24*($K24)+IF($G24&gt;0,($H24/$G24)*O24,0)*(1-$K24)</f>
        <v>433360289.62213159</v>
      </c>
      <c r="Q24" s="1118">
        <f>VLOOKUP($E24,O$442:R$453,3,FALSE)*O24*($K24)+IF($G24&gt;0,($I24/$G24)*O24,0)*(1-$K24)</f>
        <v>0</v>
      </c>
      <c r="R24" s="1118">
        <f>VLOOKUP($E24,O$442:R$453,4,FALSE)*O24*($K24)+(O24-P24-Q24)*(1-$K24)</f>
        <v>0</v>
      </c>
      <c r="S24" s="1119"/>
      <c r="V24" s="1155">
        <f>VLOOKUP($A24,'New Resources - Individual'!$A$4:$Y$133,V$2,FALSE)*V$1</f>
        <v>0</v>
      </c>
      <c r="W24" s="1117">
        <f>$G24+V24</f>
        <v>433360289.62213159</v>
      </c>
      <c r="X24" s="1118">
        <f>VLOOKUP($E24,W$442:Z$453,2,FALSE)*W24*($K24)+IF($G24&gt;0,($H24/$G24)*W24,0)*(1-$K24)</f>
        <v>433360289.62213159</v>
      </c>
      <c r="Y24" s="1118">
        <f>VLOOKUP($E24,W$442:Z$453,3,FALSE)*W24*($K24)+IF($G24&gt;0,($I24/$G24)*W24,0)*(1-$K24)</f>
        <v>0</v>
      </c>
      <c r="Z24" s="1118">
        <f>VLOOKUP($E24,W$442:Z$453,4,FALSE)*W24*($K24)+(W24-X24-Y24)*(1-$K24)</f>
        <v>0</v>
      </c>
      <c r="AA24" s="1119"/>
      <c r="AD24" s="1155">
        <f>VLOOKUP($A24,'New Resources - Individual'!$A$4:$Y$133,AD$2,FALSE)*AD$1</f>
        <v>0</v>
      </c>
      <c r="AE24" s="1117">
        <f>$G24+AD24</f>
        <v>433360289.62213159</v>
      </c>
      <c r="AF24" s="1118">
        <f>VLOOKUP($E24,AE$442:AH$453,2,FALSE)*AE24*($K24)+IF($G24&gt;0,($H24/$G24)*AE24,0)*(1-$K24)</f>
        <v>433360289.62213159</v>
      </c>
      <c r="AG24" s="1118">
        <f>VLOOKUP($E24,AE$442:AH$453,3,FALSE)*AE24*($K24)+IF($G24&gt;0,($I24/$G24)*AE24,0)*(1-$K24)</f>
        <v>0</v>
      </c>
      <c r="AH24" s="1118">
        <f>VLOOKUP($E24,AE$442:AH$453,4,FALSE)*AE24*($K24)+(AE24-AF24-AG24)*(1-$K24)</f>
        <v>0</v>
      </c>
      <c r="AI24" s="1119"/>
      <c r="AL24" s="1155">
        <f>VLOOKUP($A24,'New Resources - Individual'!$A$4:$Y$133,AL$2,FALSE)*AL$1</f>
        <v>0</v>
      </c>
      <c r="AM24" s="1117">
        <f>$G24+AL24</f>
        <v>433360289.62213159</v>
      </c>
      <c r="AN24" s="1118">
        <f>VLOOKUP($E24,AM$442:AP$453,2,FALSE)*AM24*($K24)+IF($G24&gt;0,($H24/$G24)*AM24,0)*(1-$K24)</f>
        <v>433360289.62213159</v>
      </c>
      <c r="AO24" s="1118">
        <f>VLOOKUP($E24,AM$442:AP$453,3,FALSE)*AM24*($K24)+IF($G24&gt;0,($I24/$G24)*AM24,0)*(1-$K24)</f>
        <v>0</v>
      </c>
      <c r="AP24" s="1118">
        <f>VLOOKUP($E24,AM$442:AP$453,4,FALSE)*AM24*($K24)+(AM24-AN24-AO24)*(1-$K24)</f>
        <v>0</v>
      </c>
      <c r="AQ24" s="1119"/>
      <c r="AT24" s="1155">
        <f>VLOOKUP($A24,'New Resources - Individual'!$A$4:$Y$133,AT$2,FALSE)*AT$1</f>
        <v>0</v>
      </c>
      <c r="AU24" s="1117">
        <f>$G24+AT24</f>
        <v>433360289.62213159</v>
      </c>
      <c r="AV24" s="1118">
        <f>VLOOKUP($E24,AU$442:AX$453,2,FALSE)*AU24*($K24)+IF($G24&gt;0,($H24/$G24)*AU24,0)*(1-$K24)</f>
        <v>433360289.62213159</v>
      </c>
      <c r="AW24" s="1118">
        <f>VLOOKUP($E24,AU$442:AX$453,3,FALSE)*AU24*($K24)+IF($G24&gt;0,($I24/$G24)*AU24,0)*(1-$K24)</f>
        <v>0</v>
      </c>
      <c r="AX24" s="1118">
        <f>VLOOKUP($E24,AU$442:AX$453,4,FALSE)*AU24*($K24)+(AU24-AV24-AW24)*(1-$K24)</f>
        <v>0</v>
      </c>
      <c r="AY24" s="1119"/>
      <c r="BB24" s="1155">
        <f>VLOOKUP($A24,'New Resources - Individual'!$A$4:$Y$133,BB$2,FALSE)*BB$1</f>
        <v>0</v>
      </c>
      <c r="BC24" s="1117">
        <f>$G24+BB24</f>
        <v>433360289.62213159</v>
      </c>
      <c r="BD24" s="1118">
        <f>VLOOKUP($E24,BC$442:BF$453,2,FALSE)*BC24*($K24)+IF($G24&gt;0,($H24/$G24)*BC24,0)*(1-$K24)</f>
        <v>433360289.62213159</v>
      </c>
      <c r="BE24" s="1118">
        <f>VLOOKUP($E24,BC$442:BF$453,3,FALSE)*BC24*($K24)+IF($G24&gt;0,($I24/$G24)*BC24,0)*(1-$K24)</f>
        <v>0</v>
      </c>
      <c r="BF24" s="1118">
        <f>VLOOKUP($E24,BC$442:BF$453,4,FALSE)*BC24*($K24)+(BC24-BD24-BE24)*(1-$K24)</f>
        <v>0</v>
      </c>
      <c r="BG24" s="1119"/>
      <c r="BJ24" s="1155">
        <f>VLOOKUP($A24,'New Resources - Individual'!$A$4:$Y$133,BJ$2,FALSE)*BJ$1</f>
        <v>0</v>
      </c>
      <c r="BK24" s="1117">
        <f>$G24+BJ24</f>
        <v>433360289.62213159</v>
      </c>
      <c r="BL24" s="1118">
        <f>VLOOKUP($E24,BK$442:BN$453,2,FALSE)*BK24*($K24)+IF($G24&gt;0,($H24/$G24)*BK24,0)*(1-$K24)</f>
        <v>433360289.62213159</v>
      </c>
      <c r="BM24" s="1118">
        <f>VLOOKUP($E24,BK$442:BN$453,3,FALSE)*BK24*($K24)+IF($G24&gt;0,($I24/$G24)*BK24,0)*(1-$K24)</f>
        <v>0</v>
      </c>
      <c r="BN24" s="1118">
        <f>VLOOKUP($E24,BK$442:BN$453,4,FALSE)*BK24*($K24)+(BK24-BL24-BM24)*(1-$K24)</f>
        <v>0</v>
      </c>
      <c r="BO24" s="1119"/>
      <c r="BR24" s="1155">
        <f>VLOOKUP($A24,'New Resources - Individual'!$A$4:$Y$133,BR$2,FALSE)*BR$1</f>
        <v>0</v>
      </c>
      <c r="BS24" s="1117">
        <f>$G24+BR24</f>
        <v>433360289.62213159</v>
      </c>
      <c r="BT24" s="1118">
        <f>VLOOKUP($E24,BS$442:BV$453,2,FALSE)*BS24*($K24)+IF($G24&gt;0,($H24/$G24)*BS24,0)*(1-$K24)</f>
        <v>433360289.62213159</v>
      </c>
      <c r="BU24" s="1118">
        <f>VLOOKUP($E24,BS$442:BV$453,3,FALSE)*BS24*($K24)+IF($G24&gt;0,($I24/$G24)*BS24,0)*(1-$K24)</f>
        <v>0</v>
      </c>
      <c r="BV24" s="1118">
        <f>VLOOKUP($E24,BS$442:BV$453,4,FALSE)*BS24*($K24)+(BS24-BT24-BU24)*(1-$K24)</f>
        <v>0</v>
      </c>
      <c r="BW24" s="1119"/>
      <c r="BZ24" s="1155">
        <f>VLOOKUP($A24,'New Resources - Individual'!$A$4:$Y$133,BZ$2,FALSE)*BZ$1</f>
        <v>0</v>
      </c>
      <c r="CA24" s="1117">
        <f>$G24+BZ24</f>
        <v>433360289.62213159</v>
      </c>
      <c r="CB24" s="1118">
        <f>VLOOKUP($E24,CA$442:CD$453,2,FALSE)*CA24*($K24)+IF($G24&gt;0,($H24/$G24)*CA24,0)*(1-$K24)</f>
        <v>433360289.62213159</v>
      </c>
      <c r="CC24" s="1118">
        <f>VLOOKUP($E24,CA$442:CD$453,3,FALSE)*CA24*($K24)+IF($G24&gt;0,($I24/$G24)*CA24,0)*(1-$K24)</f>
        <v>0</v>
      </c>
      <c r="CD24" s="1118">
        <f>VLOOKUP($E24,CA$442:CD$453,4,FALSE)*CA24*($K24)+(CA24-CB24-CC24)*(1-$K24)</f>
        <v>0</v>
      </c>
      <c r="CE24" s="1119"/>
      <c r="CH24" s="1155">
        <f>VLOOKUP($A24,'New Resources - Individual'!$A$4:$Y$133,CH$2,FALSE)*CH$1</f>
        <v>0</v>
      </c>
      <c r="CI24" s="1117">
        <f>$G24+CH24</f>
        <v>433360289.62213159</v>
      </c>
      <c r="CJ24" s="1118">
        <f>VLOOKUP($E24,CI$442:CL$453,2,FALSE)*CI24*($K24)+IF($G24&gt;0,($H24/$G24)*CI24,0)*(1-$K24)</f>
        <v>433360289.62213159</v>
      </c>
      <c r="CK24" s="1118">
        <f>VLOOKUP($E24,CI$442:CL$453,3,FALSE)*CI24*($K24)+IF($G24&gt;0,($I24/$G24)*CI24,0)*(1-$K24)</f>
        <v>0</v>
      </c>
      <c r="CL24" s="1118">
        <f>VLOOKUP($E24,CI$442:CL$453,4,FALSE)*CI24*($K24)+(CI24-CJ24-CK24)*(1-$K24)</f>
        <v>0</v>
      </c>
      <c r="CM24" s="1119"/>
      <c r="CP24" s="1155">
        <f>VLOOKUP($A24,'New Resources - Individual'!$A$4:$Y$133,CP$2,FALSE)*CP$1</f>
        <v>0</v>
      </c>
      <c r="CQ24" s="1117">
        <f>$G24+CP24</f>
        <v>433360289.62213159</v>
      </c>
      <c r="CR24" s="1118">
        <f>VLOOKUP($E24,CQ$442:CT$453,2,FALSE)*CQ24*($K24)+IF($G24&gt;0,($H24/$G24)*CQ24,0)*(1-$K24)</f>
        <v>433360289.62213159</v>
      </c>
      <c r="CS24" s="1118">
        <f>VLOOKUP($E24,CQ$442:CT$453,3,FALSE)*CQ24*($K24)+IF($G24&gt;0,($I24/$G24)*CQ24,0)*(1-$K24)</f>
        <v>0</v>
      </c>
      <c r="CT24" s="1118">
        <f>VLOOKUP($E24,CQ$442:CT$453,4,FALSE)*CQ24*($K24)+(CQ24-CR24-CS24)*(1-$K24)</f>
        <v>0</v>
      </c>
      <c r="CU24" s="1119"/>
      <c r="CX24" s="1155">
        <f>VLOOKUP($A24,'New Resources - Individual'!$A$4:$Y$133,CX$2,FALSE)*CX$1</f>
        <v>0</v>
      </c>
      <c r="CY24" s="1117">
        <f>$G24+CX24</f>
        <v>433360289.62213159</v>
      </c>
      <c r="CZ24" s="1118">
        <f>VLOOKUP($E24,CY$442:DB$453,2,FALSE)*CY24*($K24)+IF($G24&gt;0,($H24/$G24)*CY24,0)*(1-$K24)</f>
        <v>433360289.62213159</v>
      </c>
      <c r="DA24" s="1118">
        <f>VLOOKUP($E24,CY$442:DB$453,3,FALSE)*CY24*($K24)+IF($G24&gt;0,($I24/$G24)*CY24,0)*(1-$K24)</f>
        <v>0</v>
      </c>
      <c r="DB24" s="1118">
        <f>VLOOKUP($E24,CY$442:DB$453,4,FALSE)*CY24*($K24)+(CY24-CZ24-DA24)*(1-$K24)</f>
        <v>0</v>
      </c>
      <c r="DC24" s="1119"/>
      <c r="DF24" s="1155">
        <f>VLOOKUP($A24,'New Resources - Individual'!$A$4:$Y$133,DF$2,FALSE)*DF$1</f>
        <v>0</v>
      </c>
      <c r="DG24" s="1117">
        <f>$G24+DF24</f>
        <v>433360289.62213159</v>
      </c>
      <c r="DH24" s="1118">
        <f>VLOOKUP($E24,DG$442:DJ$453,2,FALSE)*DG24*($K24)+IF($G24&gt;0,($H24/$G24)*DG24,0)*(1-$K24)</f>
        <v>433360289.62213159</v>
      </c>
      <c r="DI24" s="1118">
        <f>VLOOKUP($E24,DG$442:DJ$453,3,FALSE)*DG24*($K24)+IF($G24&gt;0,($I24/$G24)*DG24,0)*(1-$K24)</f>
        <v>0</v>
      </c>
      <c r="DJ24" s="1118">
        <f>VLOOKUP($E24,DG$442:DJ$453,4,FALSE)*DG24*($K24)+(DG24-DH24-DI24)*(1-$K24)</f>
        <v>0</v>
      </c>
      <c r="DK24" s="1119"/>
      <c r="DN24" s="1155">
        <f>VLOOKUP($A24,'New Resources - Individual'!$A$4:$Y$133,DN$2,FALSE)*DN$1</f>
        <v>0</v>
      </c>
      <c r="DO24" s="1117">
        <f>$G24+DN24</f>
        <v>433360289.62213159</v>
      </c>
      <c r="DP24" s="1118">
        <f>VLOOKUP($E24,DO$442:DR$453,2,FALSE)*DO24*($K24)+IF($G24&gt;0,($H24/$G24)*DO24,0)*(1-$K24)</f>
        <v>433360289.62213159</v>
      </c>
      <c r="DQ24" s="1118">
        <f>VLOOKUP($E24,DO$442:DR$453,3,FALSE)*DO24*($K24)+IF($G24&gt;0,($I24/$G24)*DO24,0)*(1-$K24)</f>
        <v>0</v>
      </c>
      <c r="DR24" s="1118">
        <f>VLOOKUP($E24,DO$442:DR$453,4,FALSE)*DO24*($K24)+(DO24-DP24-DQ24)*(1-$K24)</f>
        <v>0</v>
      </c>
      <c r="DS24" s="1119"/>
      <c r="DV24" s="1155">
        <f>VLOOKUP($A24,'New Resources - Individual'!$A$4:$Y$133,DV$2,FALSE)*DV$1</f>
        <v>0</v>
      </c>
      <c r="DW24" s="1117">
        <f>$G24+DV24</f>
        <v>433360289.62213159</v>
      </c>
      <c r="DX24" s="1118">
        <f>VLOOKUP($E24,DW$442:DZ$453,2,FALSE)*DW24*($K24)+IF($G24&gt;0,($H24/$G24)*DW24,0)*(1-$K24)</f>
        <v>433360289.62213159</v>
      </c>
      <c r="DY24" s="1118">
        <f>VLOOKUP($E24,DW$442:DZ$453,3,FALSE)*DW24*($K24)+IF($G24&gt;0,($I24/$G24)*DW24,0)*(1-$K24)</f>
        <v>0</v>
      </c>
      <c r="DZ24" s="1118">
        <f>VLOOKUP($E24,DW$442:DZ$453,4,FALSE)*DW24*($K24)+(DW24-DX24-DY24)*(1-$K24)</f>
        <v>0</v>
      </c>
      <c r="EA24" s="1119"/>
      <c r="ED24" s="1155">
        <f>VLOOKUP($A24,'New Resources - Individual'!$A$4:$Y$133,ED$2,FALSE)*ED$1</f>
        <v>0</v>
      </c>
      <c r="EE24" s="1117">
        <f>$G24+ED24</f>
        <v>433360289.62213159</v>
      </c>
      <c r="EF24" s="1118">
        <f>VLOOKUP($E24,EE$442:EH$453,2,FALSE)*EE24*($K24)+IF($G24&gt;0,($H24/$G24)*EE24,0)*(1-$K24)</f>
        <v>433360289.62213159</v>
      </c>
      <c r="EG24" s="1118">
        <f>VLOOKUP($E24,EE$442:EH$453,3,FALSE)*EE24*($K24)+IF($G24&gt;0,($I24/$G24)*EE24,0)*(1-$K24)</f>
        <v>0</v>
      </c>
      <c r="EH24" s="1118">
        <f>VLOOKUP($E24,EE$442:EH$453,4,FALSE)*EE24*($K24)+(EE24-EF24-EG24)*(1-$K24)</f>
        <v>0</v>
      </c>
      <c r="EI24" s="1119"/>
      <c r="EL24" s="1155">
        <f>VLOOKUP($A24,'New Resources - Individual'!$A$4:$Y$133,EL$2,FALSE)*EL$1</f>
        <v>0</v>
      </c>
      <c r="EM24" s="1117">
        <f>$G24+EL24</f>
        <v>433360289.62213159</v>
      </c>
      <c r="EN24" s="1118">
        <f>VLOOKUP($E24,EM$442:EP$453,2,FALSE)*EM24*($K24)+IF($G24&gt;0,($H24/$G24)*EM24,0)*(1-$K24)</f>
        <v>433360289.62213159</v>
      </c>
      <c r="EO24" s="1118">
        <f>VLOOKUP($E24,EM$442:EP$453,3,FALSE)*EM24*($K24)+IF($G24&gt;0,($I24/$G24)*EM24,0)*(1-$K24)</f>
        <v>0</v>
      </c>
      <c r="EP24" s="1118">
        <f>VLOOKUP($E24,EM$442:EP$453,4,FALSE)*EM24*($K24)+(EM24-EN24-EO24)*(1-$K24)</f>
        <v>0</v>
      </c>
      <c r="EQ24" s="1119"/>
      <c r="ET24" s="1155">
        <f>VLOOKUP($A24,'New Resources - Individual'!$A$4:$Y$133,ET$2,FALSE)*ET$1</f>
        <v>0</v>
      </c>
      <c r="EU24" s="1117">
        <f>$G24+ET24</f>
        <v>433360289.62213159</v>
      </c>
      <c r="EV24" s="1118">
        <f>VLOOKUP($E24,EU$442:EX$453,2,FALSE)*EU24*($K24)+IF($G24&gt;0,($H24/$G24)*EU24,0)*(1-$K24)</f>
        <v>433360289.62213159</v>
      </c>
      <c r="EW24" s="1118">
        <f>VLOOKUP($E24,EU$442:EX$453,3,FALSE)*EU24*($K24)+IF($G24&gt;0,($I24/$G24)*EU24,0)*(1-$K24)</f>
        <v>0</v>
      </c>
      <c r="EX24" s="1118">
        <f>VLOOKUP($E24,EU$442:EX$453,4,FALSE)*EU24*($K24)+(EU24-EV24-EW24)*(1-$K24)</f>
        <v>0</v>
      </c>
      <c r="EY24" s="1119"/>
      <c r="FB24" s="1155">
        <f>VLOOKUP($A24,'New Resources - Individual'!$A$4:$Y$133,FB$2,FALSE)*FB$1</f>
        <v>0</v>
      </c>
      <c r="FC24" s="1117">
        <f>$G24+FB24</f>
        <v>433360289.62213159</v>
      </c>
      <c r="FD24" s="1118">
        <f>VLOOKUP($E24,FC$442:FF$453,2,FALSE)*FC24*($K24)+IF($G24&gt;0,($H24/$G24)*FC24,0)*(1-$K24)</f>
        <v>433360289.62213159</v>
      </c>
      <c r="FE24" s="1118">
        <f>VLOOKUP($E24,FC$442:FF$453,3,FALSE)*FC24*($K24)+IF($G24&gt;0,($I24/$G24)*FC24,0)*(1-$K24)</f>
        <v>0</v>
      </c>
      <c r="FF24" s="1118">
        <f>VLOOKUP($E24,FC$442:FF$453,4,FALSE)*FC24*($K24)+(FC24-FD24-FE24)*(1-$K24)</f>
        <v>0</v>
      </c>
      <c r="FG24" s="1119"/>
      <c r="FJ24" s="1155">
        <f>VLOOKUP($A24,'New Resources - Individual'!$A$4:$Y$133,FJ$2,FALSE)*FJ$1</f>
        <v>0</v>
      </c>
      <c r="FK24" s="1117">
        <f>$G24+FJ24</f>
        <v>433360289.62213159</v>
      </c>
      <c r="FL24" s="1118">
        <f>VLOOKUP($E24,FK$442:FN$453,2,FALSE)*FK24*($K24)+IF($G24&gt;0,($H24/$G24)*FK24,0)*(1-$K24)</f>
        <v>433360289.62213159</v>
      </c>
      <c r="FM24" s="1118">
        <f>VLOOKUP($E24,FK$442:FN$453,3,FALSE)*FK24*($K24)+IF($G24&gt;0,($I24/$G24)*FK24,0)*(1-$K24)</f>
        <v>0</v>
      </c>
      <c r="FN24" s="1118">
        <f>VLOOKUP($E24,FK$442:FN$453,4,FALSE)*FK24*($K24)+(FK24-FL24-FM24)*(1-$K24)</f>
        <v>0</v>
      </c>
      <c r="FO24" s="1119"/>
    </row>
    <row r="25" spans="1:171" x14ac:dyDescent="0.25">
      <c r="A25" s="1390">
        <v>480</v>
      </c>
      <c r="B25" s="220" t="s">
        <v>117</v>
      </c>
      <c r="C25" s="888" t="s">
        <v>70</v>
      </c>
      <c r="D25" s="889" t="s">
        <v>118</v>
      </c>
      <c r="E25" s="905" t="str">
        <f>'Sch 1- Rate Base '!E25</f>
        <v>PROD</v>
      </c>
      <c r="F25" s="890"/>
      <c r="G25" s="891">
        <f>'Sch 1- Rate Base '!G25</f>
        <v>2258385628.1561666</v>
      </c>
      <c r="H25" s="891">
        <f>'Sch 1- Rate Base '!H25</f>
        <v>2258385628.1561666</v>
      </c>
      <c r="I25" s="891">
        <f>'Sch 1- Rate Base '!I25</f>
        <v>0</v>
      </c>
      <c r="J25" s="1385">
        <f>'Sch 1- Rate Base '!J25</f>
        <v>0</v>
      </c>
      <c r="K25" s="904">
        <f>IF($E25="DIRECT",0,1)</f>
        <v>1</v>
      </c>
      <c r="N25" s="1155">
        <f>VLOOKUP($A25,'New Resources - Individual'!$A$4:$Y$133,N$2,FALSE)*N$1</f>
        <v>0</v>
      </c>
      <c r="O25" s="1117">
        <f>$G25+N25</f>
        <v>2258385628.1561666</v>
      </c>
      <c r="P25" s="1118">
        <f>VLOOKUP($E25,O$442:R$453,2,FALSE)*O25*($K25)+IF($G25&gt;0,($H25/$G25)*O25,0)*(1-$K25)</f>
        <v>2258385628.1561666</v>
      </c>
      <c r="Q25" s="1118">
        <f>VLOOKUP($E25,O$442:R$453,3,FALSE)*O25*($K25)+IF($G25&gt;0,($I25/$G25)*O25,0)*(1-$K25)</f>
        <v>0</v>
      </c>
      <c r="R25" s="1118">
        <f>VLOOKUP($E25,O$442:R$453,4,FALSE)*O25*($K25)+(O25-P25-Q25)*(1-$K25)</f>
        <v>0</v>
      </c>
      <c r="S25" s="1119"/>
      <c r="V25" s="1155">
        <f>VLOOKUP($A25,'New Resources - Individual'!$A$4:$Y$133,V$2,FALSE)*V$1</f>
        <v>0</v>
      </c>
      <c r="W25" s="1117">
        <f>$G25+V25</f>
        <v>2258385628.1561666</v>
      </c>
      <c r="X25" s="1118">
        <f>VLOOKUP($E25,W$442:Z$453,2,FALSE)*W25*($K25)+IF($G25&gt;0,($H25/$G25)*W25,0)*(1-$K25)</f>
        <v>2258385628.1561666</v>
      </c>
      <c r="Y25" s="1118">
        <f>VLOOKUP($E25,W$442:Z$453,3,FALSE)*W25*($K25)+IF($G25&gt;0,($I25/$G25)*W25,0)*(1-$K25)</f>
        <v>0</v>
      </c>
      <c r="Z25" s="1118">
        <f>VLOOKUP($E25,W$442:Z$453,4,FALSE)*W25*($K25)+(W25-X25-Y25)*(1-$K25)</f>
        <v>0</v>
      </c>
      <c r="AA25" s="1119"/>
      <c r="AD25" s="1155">
        <f>VLOOKUP($A25,'New Resources - Individual'!$A$4:$Y$133,AD$2,FALSE)*AD$1</f>
        <v>0</v>
      </c>
      <c r="AE25" s="1117">
        <f>$G25+AD25</f>
        <v>2258385628.1561666</v>
      </c>
      <c r="AF25" s="1118">
        <f>VLOOKUP($E25,AE$442:AH$453,2,FALSE)*AE25*($K25)+IF($G25&gt;0,($H25/$G25)*AE25,0)*(1-$K25)</f>
        <v>2258385628.1561666</v>
      </c>
      <c r="AG25" s="1118">
        <f>VLOOKUP($E25,AE$442:AH$453,3,FALSE)*AE25*($K25)+IF($G25&gt;0,($I25/$G25)*AE25,0)*(1-$K25)</f>
        <v>0</v>
      </c>
      <c r="AH25" s="1118">
        <f>VLOOKUP($E25,AE$442:AH$453,4,FALSE)*AE25*($K25)+(AE25-AF25-AG25)*(1-$K25)</f>
        <v>0</v>
      </c>
      <c r="AI25" s="1119"/>
      <c r="AL25" s="1155">
        <f>VLOOKUP($A25,'New Resources - Individual'!$A$4:$Y$133,AL$2,FALSE)*AL$1</f>
        <v>0</v>
      </c>
      <c r="AM25" s="1117">
        <f>$G25+AL25</f>
        <v>2258385628.1561666</v>
      </c>
      <c r="AN25" s="1118">
        <f>VLOOKUP($E25,AM$442:AP$453,2,FALSE)*AM25*($K25)+IF($G25&gt;0,($H25/$G25)*AM25,0)*(1-$K25)</f>
        <v>2258385628.1561666</v>
      </c>
      <c r="AO25" s="1118">
        <f>VLOOKUP($E25,AM$442:AP$453,3,FALSE)*AM25*($K25)+IF($G25&gt;0,($I25/$G25)*AM25,0)*(1-$K25)</f>
        <v>0</v>
      </c>
      <c r="AP25" s="1118">
        <f>VLOOKUP($E25,AM$442:AP$453,4,FALSE)*AM25*($K25)+(AM25-AN25-AO25)*(1-$K25)</f>
        <v>0</v>
      </c>
      <c r="AQ25" s="1119"/>
      <c r="AT25" s="1155">
        <f>VLOOKUP($A25,'New Resources - Individual'!$A$4:$Y$133,AT$2,FALSE)*AT$1</f>
        <v>0</v>
      </c>
      <c r="AU25" s="1117">
        <f>$G25+AT25</f>
        <v>2258385628.1561666</v>
      </c>
      <c r="AV25" s="1118">
        <f>VLOOKUP($E25,AU$442:AX$453,2,FALSE)*AU25*($K25)+IF($G25&gt;0,($H25/$G25)*AU25,0)*(1-$K25)</f>
        <v>2258385628.1561666</v>
      </c>
      <c r="AW25" s="1118">
        <f>VLOOKUP($E25,AU$442:AX$453,3,FALSE)*AU25*($K25)+IF($G25&gt;0,($I25/$G25)*AU25,0)*(1-$K25)</f>
        <v>0</v>
      </c>
      <c r="AX25" s="1118">
        <f>VLOOKUP($E25,AU$442:AX$453,4,FALSE)*AU25*($K25)+(AU25-AV25-AW25)*(1-$K25)</f>
        <v>0</v>
      </c>
      <c r="AY25" s="1119"/>
      <c r="BB25" s="1155">
        <f>VLOOKUP($A25,'New Resources - Individual'!$A$4:$Y$133,BB$2,FALSE)*BB$1</f>
        <v>0</v>
      </c>
      <c r="BC25" s="1117">
        <f>$G25+BB25</f>
        <v>2258385628.1561666</v>
      </c>
      <c r="BD25" s="1118">
        <f>VLOOKUP($E25,BC$442:BF$453,2,FALSE)*BC25*($K25)+IF($G25&gt;0,($H25/$G25)*BC25,0)*(1-$K25)</f>
        <v>2258385628.1561666</v>
      </c>
      <c r="BE25" s="1118">
        <f>VLOOKUP($E25,BC$442:BF$453,3,FALSE)*BC25*($K25)+IF($G25&gt;0,($I25/$G25)*BC25,0)*(1-$K25)</f>
        <v>0</v>
      </c>
      <c r="BF25" s="1118">
        <f>VLOOKUP($E25,BC$442:BF$453,4,FALSE)*BC25*($K25)+(BC25-BD25-BE25)*(1-$K25)</f>
        <v>0</v>
      </c>
      <c r="BG25" s="1119"/>
      <c r="BJ25" s="1155">
        <f>VLOOKUP($A25,'New Resources - Individual'!$A$4:$Y$133,BJ$2,FALSE)*BJ$1</f>
        <v>0</v>
      </c>
      <c r="BK25" s="1117">
        <f>$G25+BJ25</f>
        <v>2258385628.1561666</v>
      </c>
      <c r="BL25" s="1118">
        <f>VLOOKUP($E25,BK$442:BN$453,2,FALSE)*BK25*($K25)+IF($G25&gt;0,($H25/$G25)*BK25,0)*(1-$K25)</f>
        <v>2258385628.1561666</v>
      </c>
      <c r="BM25" s="1118">
        <f>VLOOKUP($E25,BK$442:BN$453,3,FALSE)*BK25*($K25)+IF($G25&gt;0,($I25/$G25)*BK25,0)*(1-$K25)</f>
        <v>0</v>
      </c>
      <c r="BN25" s="1118">
        <f>VLOOKUP($E25,BK$442:BN$453,4,FALSE)*BK25*($K25)+(BK25-BL25-BM25)*(1-$K25)</f>
        <v>0</v>
      </c>
      <c r="BO25" s="1119"/>
      <c r="BR25" s="1155">
        <f>VLOOKUP($A25,'New Resources - Individual'!$A$4:$Y$133,BR$2,FALSE)*BR$1</f>
        <v>0</v>
      </c>
      <c r="BS25" s="1117">
        <f>$G25+BR25</f>
        <v>2258385628.1561666</v>
      </c>
      <c r="BT25" s="1118">
        <f>VLOOKUP($E25,BS$442:BV$453,2,FALSE)*BS25*($K25)+IF($G25&gt;0,($H25/$G25)*BS25,0)*(1-$K25)</f>
        <v>2258385628.1561666</v>
      </c>
      <c r="BU25" s="1118">
        <f>VLOOKUP($E25,BS$442:BV$453,3,FALSE)*BS25*($K25)+IF($G25&gt;0,($I25/$G25)*BS25,0)*(1-$K25)</f>
        <v>0</v>
      </c>
      <c r="BV25" s="1118">
        <f>VLOOKUP($E25,BS$442:BV$453,4,FALSE)*BS25*($K25)+(BS25-BT25-BU25)*(1-$K25)</f>
        <v>0</v>
      </c>
      <c r="BW25" s="1119"/>
      <c r="BZ25" s="1155">
        <f>VLOOKUP($A25,'New Resources - Individual'!$A$4:$Y$133,BZ$2,FALSE)*BZ$1</f>
        <v>0</v>
      </c>
      <c r="CA25" s="1117">
        <f>$G25+BZ25</f>
        <v>2258385628.1561666</v>
      </c>
      <c r="CB25" s="1118">
        <f>VLOOKUP($E25,CA$442:CD$453,2,FALSE)*CA25*($K25)+IF($G25&gt;0,($H25/$G25)*CA25,0)*(1-$K25)</f>
        <v>2258385628.1561666</v>
      </c>
      <c r="CC25" s="1118">
        <f>VLOOKUP($E25,CA$442:CD$453,3,FALSE)*CA25*($K25)+IF($G25&gt;0,($I25/$G25)*CA25,0)*(1-$K25)</f>
        <v>0</v>
      </c>
      <c r="CD25" s="1118">
        <f>VLOOKUP($E25,CA$442:CD$453,4,FALSE)*CA25*($K25)+(CA25-CB25-CC25)*(1-$K25)</f>
        <v>0</v>
      </c>
      <c r="CE25" s="1119"/>
      <c r="CH25" s="1155">
        <f>VLOOKUP($A25,'New Resources - Individual'!$A$4:$Y$133,CH$2,FALSE)*CH$1</f>
        <v>0</v>
      </c>
      <c r="CI25" s="1117">
        <f>$G25+CH25</f>
        <v>2258385628.1561666</v>
      </c>
      <c r="CJ25" s="1118">
        <f>VLOOKUP($E25,CI$442:CL$453,2,FALSE)*CI25*($K25)+IF($G25&gt;0,($H25/$G25)*CI25,0)*(1-$K25)</f>
        <v>2258385628.1561666</v>
      </c>
      <c r="CK25" s="1118">
        <f>VLOOKUP($E25,CI$442:CL$453,3,FALSE)*CI25*($K25)+IF($G25&gt;0,($I25/$G25)*CI25,0)*(1-$K25)</f>
        <v>0</v>
      </c>
      <c r="CL25" s="1118">
        <f>VLOOKUP($E25,CI$442:CL$453,4,FALSE)*CI25*($K25)+(CI25-CJ25-CK25)*(1-$K25)</f>
        <v>0</v>
      </c>
      <c r="CM25" s="1119"/>
      <c r="CP25" s="1155">
        <f>VLOOKUP($A25,'New Resources - Individual'!$A$4:$Y$133,CP$2,FALSE)*CP$1</f>
        <v>0</v>
      </c>
      <c r="CQ25" s="1117">
        <f>$G25+CP25</f>
        <v>2258385628.1561666</v>
      </c>
      <c r="CR25" s="1118">
        <f>VLOOKUP($E25,CQ$442:CT$453,2,FALSE)*CQ25*($K25)+IF($G25&gt;0,($H25/$G25)*CQ25,0)*(1-$K25)</f>
        <v>2258385628.1561666</v>
      </c>
      <c r="CS25" s="1118">
        <f>VLOOKUP($E25,CQ$442:CT$453,3,FALSE)*CQ25*($K25)+IF($G25&gt;0,($I25/$G25)*CQ25,0)*(1-$K25)</f>
        <v>0</v>
      </c>
      <c r="CT25" s="1118">
        <f>VLOOKUP($E25,CQ$442:CT$453,4,FALSE)*CQ25*($K25)+(CQ25-CR25-CS25)*(1-$K25)</f>
        <v>0</v>
      </c>
      <c r="CU25" s="1119"/>
      <c r="CX25" s="1155">
        <f>VLOOKUP($A25,'New Resources - Individual'!$A$4:$Y$133,CX$2,FALSE)*CX$1</f>
        <v>0</v>
      </c>
      <c r="CY25" s="1117">
        <f>$G25+CX25</f>
        <v>2258385628.1561666</v>
      </c>
      <c r="CZ25" s="1118">
        <f>VLOOKUP($E25,CY$442:DB$453,2,FALSE)*CY25*($K25)+IF($G25&gt;0,($H25/$G25)*CY25,0)*(1-$K25)</f>
        <v>2258385628.1561666</v>
      </c>
      <c r="DA25" s="1118">
        <f>VLOOKUP($E25,CY$442:DB$453,3,FALSE)*CY25*($K25)+IF($G25&gt;0,($I25/$G25)*CY25,0)*(1-$K25)</f>
        <v>0</v>
      </c>
      <c r="DB25" s="1118">
        <f>VLOOKUP($E25,CY$442:DB$453,4,FALSE)*CY25*($K25)+(CY25-CZ25-DA25)*(1-$K25)</f>
        <v>0</v>
      </c>
      <c r="DC25" s="1119"/>
      <c r="DF25" s="1155">
        <f>VLOOKUP($A25,'New Resources - Individual'!$A$4:$Y$133,DF$2,FALSE)*DF$1</f>
        <v>0</v>
      </c>
      <c r="DG25" s="1117">
        <f>$G25+DF25</f>
        <v>2258385628.1561666</v>
      </c>
      <c r="DH25" s="1118">
        <f>VLOOKUP($E25,DG$442:DJ$453,2,FALSE)*DG25*($K25)+IF($G25&gt;0,($H25/$G25)*DG25,0)*(1-$K25)</f>
        <v>2258385628.1561666</v>
      </c>
      <c r="DI25" s="1118">
        <f>VLOOKUP($E25,DG$442:DJ$453,3,FALSE)*DG25*($K25)+IF($G25&gt;0,($I25/$G25)*DG25,0)*(1-$K25)</f>
        <v>0</v>
      </c>
      <c r="DJ25" s="1118">
        <f>VLOOKUP($E25,DG$442:DJ$453,4,FALSE)*DG25*($K25)+(DG25-DH25-DI25)*(1-$K25)</f>
        <v>0</v>
      </c>
      <c r="DK25" s="1119"/>
      <c r="DN25" s="1155">
        <f>VLOOKUP($A25,'New Resources - Individual'!$A$4:$Y$133,DN$2,FALSE)*DN$1</f>
        <v>0</v>
      </c>
      <c r="DO25" s="1117">
        <f>$G25+DN25</f>
        <v>2258385628.1561666</v>
      </c>
      <c r="DP25" s="1118">
        <f>VLOOKUP($E25,DO$442:DR$453,2,FALSE)*DO25*($K25)+IF($G25&gt;0,($H25/$G25)*DO25,0)*(1-$K25)</f>
        <v>2258385628.1561666</v>
      </c>
      <c r="DQ25" s="1118">
        <f>VLOOKUP($E25,DO$442:DR$453,3,FALSE)*DO25*($K25)+IF($G25&gt;0,($I25/$G25)*DO25,0)*(1-$K25)</f>
        <v>0</v>
      </c>
      <c r="DR25" s="1118">
        <f>VLOOKUP($E25,DO$442:DR$453,4,FALSE)*DO25*($K25)+(DO25-DP25-DQ25)*(1-$K25)</f>
        <v>0</v>
      </c>
      <c r="DS25" s="1119"/>
      <c r="DV25" s="1155">
        <f>VLOOKUP($A25,'New Resources - Individual'!$A$4:$Y$133,DV$2,FALSE)*DV$1</f>
        <v>0</v>
      </c>
      <c r="DW25" s="1117">
        <f>$G25+DV25</f>
        <v>2258385628.1561666</v>
      </c>
      <c r="DX25" s="1118">
        <f>VLOOKUP($E25,DW$442:DZ$453,2,FALSE)*DW25*($K25)+IF($G25&gt;0,($H25/$G25)*DW25,0)*(1-$K25)</f>
        <v>2258385628.1561666</v>
      </c>
      <c r="DY25" s="1118">
        <f>VLOOKUP($E25,DW$442:DZ$453,3,FALSE)*DW25*($K25)+IF($G25&gt;0,($I25/$G25)*DW25,0)*(1-$K25)</f>
        <v>0</v>
      </c>
      <c r="DZ25" s="1118">
        <f>VLOOKUP($E25,DW$442:DZ$453,4,FALSE)*DW25*($K25)+(DW25-DX25-DY25)*(1-$K25)</f>
        <v>0</v>
      </c>
      <c r="EA25" s="1119"/>
      <c r="ED25" s="1155">
        <f>VLOOKUP($A25,'New Resources - Individual'!$A$4:$Y$133,ED$2,FALSE)*ED$1</f>
        <v>0</v>
      </c>
      <c r="EE25" s="1117">
        <f>$G25+ED25</f>
        <v>2258385628.1561666</v>
      </c>
      <c r="EF25" s="1118">
        <f>VLOOKUP($E25,EE$442:EH$453,2,FALSE)*EE25*($K25)+IF($G25&gt;0,($H25/$G25)*EE25,0)*(1-$K25)</f>
        <v>2258385628.1561666</v>
      </c>
      <c r="EG25" s="1118">
        <f>VLOOKUP($E25,EE$442:EH$453,3,FALSE)*EE25*($K25)+IF($G25&gt;0,($I25/$G25)*EE25,0)*(1-$K25)</f>
        <v>0</v>
      </c>
      <c r="EH25" s="1118">
        <f>VLOOKUP($E25,EE$442:EH$453,4,FALSE)*EE25*($K25)+(EE25-EF25-EG25)*(1-$K25)</f>
        <v>0</v>
      </c>
      <c r="EI25" s="1119"/>
      <c r="EL25" s="1155">
        <f>VLOOKUP($A25,'New Resources - Individual'!$A$4:$Y$133,EL$2,FALSE)*EL$1</f>
        <v>0</v>
      </c>
      <c r="EM25" s="1117">
        <f>$G25+EL25</f>
        <v>2258385628.1561666</v>
      </c>
      <c r="EN25" s="1118">
        <f>VLOOKUP($E25,EM$442:EP$453,2,FALSE)*EM25*($K25)+IF($G25&gt;0,($H25/$G25)*EM25,0)*(1-$K25)</f>
        <v>2258385628.1561666</v>
      </c>
      <c r="EO25" s="1118">
        <f>VLOOKUP($E25,EM$442:EP$453,3,FALSE)*EM25*($K25)+IF($G25&gt;0,($I25/$G25)*EM25,0)*(1-$K25)</f>
        <v>0</v>
      </c>
      <c r="EP25" s="1118">
        <f>VLOOKUP($E25,EM$442:EP$453,4,FALSE)*EM25*($K25)+(EM25-EN25-EO25)*(1-$K25)</f>
        <v>0</v>
      </c>
      <c r="EQ25" s="1119"/>
      <c r="ET25" s="1155">
        <f>VLOOKUP($A25,'New Resources - Individual'!$A$4:$Y$133,ET$2,FALSE)*ET$1</f>
        <v>0</v>
      </c>
      <c r="EU25" s="1117">
        <f>$G25+ET25</f>
        <v>2258385628.1561666</v>
      </c>
      <c r="EV25" s="1118">
        <f>VLOOKUP($E25,EU$442:EX$453,2,FALSE)*EU25*($K25)+IF($G25&gt;0,($H25/$G25)*EU25,0)*(1-$K25)</f>
        <v>2258385628.1561666</v>
      </c>
      <c r="EW25" s="1118">
        <f>VLOOKUP($E25,EU$442:EX$453,3,FALSE)*EU25*($K25)+IF($G25&gt;0,($I25/$G25)*EU25,0)*(1-$K25)</f>
        <v>0</v>
      </c>
      <c r="EX25" s="1118">
        <f>VLOOKUP($E25,EU$442:EX$453,4,FALSE)*EU25*($K25)+(EU25-EV25-EW25)*(1-$K25)</f>
        <v>0</v>
      </c>
      <c r="EY25" s="1119"/>
      <c r="FB25" s="1155">
        <f>VLOOKUP($A25,'New Resources - Individual'!$A$4:$Y$133,FB$2,FALSE)*FB$1</f>
        <v>0</v>
      </c>
      <c r="FC25" s="1117">
        <f>$G25+FB25</f>
        <v>2258385628.1561666</v>
      </c>
      <c r="FD25" s="1118">
        <f>VLOOKUP($E25,FC$442:FF$453,2,FALSE)*FC25*($K25)+IF($G25&gt;0,($H25/$G25)*FC25,0)*(1-$K25)</f>
        <v>2258385628.1561666</v>
      </c>
      <c r="FE25" s="1118">
        <f>VLOOKUP($E25,FC$442:FF$453,3,FALSE)*FC25*($K25)+IF($G25&gt;0,($I25/$G25)*FC25,0)*(1-$K25)</f>
        <v>0</v>
      </c>
      <c r="FF25" s="1118">
        <f>VLOOKUP($E25,FC$442:FF$453,4,FALSE)*FC25*($K25)+(FC25-FD25-FE25)*(1-$K25)</f>
        <v>0</v>
      </c>
      <c r="FG25" s="1119"/>
      <c r="FJ25" s="1155">
        <f>VLOOKUP($A25,'New Resources - Individual'!$A$4:$Y$133,FJ$2,FALSE)*FJ$1</f>
        <v>0</v>
      </c>
      <c r="FK25" s="1117">
        <f>$G25+FJ25</f>
        <v>2258385628.1561666</v>
      </c>
      <c r="FL25" s="1118">
        <f>VLOOKUP($E25,FK$442:FN$453,2,FALSE)*FK25*($K25)+IF($G25&gt;0,($H25/$G25)*FK25,0)*(1-$K25)</f>
        <v>2258385628.1561666</v>
      </c>
      <c r="FM25" s="1118">
        <f>VLOOKUP($E25,FK$442:FN$453,3,FALSE)*FK25*($K25)+IF($G25&gt;0,($I25/$G25)*FK25,0)*(1-$K25)</f>
        <v>0</v>
      </c>
      <c r="FN25" s="1118">
        <f>VLOOKUP($E25,FK$442:FN$453,4,FALSE)*FK25*($K25)+(FK25-FL25-FM25)*(1-$K25)</f>
        <v>0</v>
      </c>
      <c r="FO25" s="1119"/>
    </row>
    <row r="26" spans="1:171" x14ac:dyDescent="0.25">
      <c r="A26" s="1387" t="s">
        <v>119</v>
      </c>
      <c r="B26" s="898"/>
      <c r="C26" s="895"/>
      <c r="D26" s="896"/>
      <c r="E26" s="896"/>
      <c r="F26" s="897"/>
      <c r="G26" s="906">
        <f>SUM(G22:G25)</f>
        <v>5582371867.6053581</v>
      </c>
      <c r="H26" s="906">
        <f>SUM(H22:H25)</f>
        <v>5582371867.6053581</v>
      </c>
      <c r="I26" s="906">
        <f>SUM(I22:I25)</f>
        <v>0</v>
      </c>
      <c r="J26" s="1386">
        <f>SUM(J22:J25)</f>
        <v>0</v>
      </c>
      <c r="K26" s="904"/>
      <c r="O26" s="906">
        <f>SUM(O22:O25)</f>
        <v>5582371867.6053581</v>
      </c>
      <c r="P26" s="906">
        <f>SUM(P22:P25)</f>
        <v>5582371867.6053581</v>
      </c>
      <c r="Q26" s="906">
        <f>SUM(Q22:Q25)</f>
        <v>0</v>
      </c>
      <c r="R26" s="906">
        <f>SUM(R22:R25)</f>
        <v>0</v>
      </c>
      <c r="S26" s="1119"/>
      <c r="W26" s="906">
        <f>SUM(W22:W25)</f>
        <v>5582371867.6053581</v>
      </c>
      <c r="X26" s="906">
        <f>SUM(X22:X25)</f>
        <v>5582371867.6053581</v>
      </c>
      <c r="Y26" s="906">
        <f>SUM(Y22:Y25)</f>
        <v>0</v>
      </c>
      <c r="Z26" s="906">
        <f>SUM(Z22:Z25)</f>
        <v>0</v>
      </c>
      <c r="AA26" s="1119"/>
      <c r="AE26" s="906">
        <f>SUM(AE22:AE25)</f>
        <v>5582371867.6053581</v>
      </c>
      <c r="AF26" s="906">
        <f>SUM(AF22:AF25)</f>
        <v>5582371867.6053581</v>
      </c>
      <c r="AG26" s="906">
        <f>SUM(AG22:AG25)</f>
        <v>0</v>
      </c>
      <c r="AH26" s="906">
        <f>SUM(AH22:AH25)</f>
        <v>0</v>
      </c>
      <c r="AI26" s="1119"/>
      <c r="AM26" s="906">
        <f>SUM(AM22:AM25)</f>
        <v>5582371867.6053581</v>
      </c>
      <c r="AN26" s="906">
        <f>SUM(AN22:AN25)</f>
        <v>5582371867.6053581</v>
      </c>
      <c r="AO26" s="906">
        <f>SUM(AO22:AO25)</f>
        <v>0</v>
      </c>
      <c r="AP26" s="906">
        <f>SUM(AP22:AP25)</f>
        <v>0</v>
      </c>
      <c r="AQ26" s="1119"/>
      <c r="AU26" s="906">
        <f>SUM(AU22:AU25)</f>
        <v>5582371867.6053581</v>
      </c>
      <c r="AV26" s="906">
        <f>SUM(AV22:AV25)</f>
        <v>5582371867.6053581</v>
      </c>
      <c r="AW26" s="906">
        <f>SUM(AW22:AW25)</f>
        <v>0</v>
      </c>
      <c r="AX26" s="906">
        <f>SUM(AX22:AX25)</f>
        <v>0</v>
      </c>
      <c r="AY26" s="1119"/>
      <c r="BC26" s="906">
        <f>SUM(BC22:BC25)</f>
        <v>5582371867.6053581</v>
      </c>
      <c r="BD26" s="906">
        <f>SUM(BD22:BD25)</f>
        <v>5582371867.6053581</v>
      </c>
      <c r="BE26" s="906">
        <f>SUM(BE22:BE25)</f>
        <v>0</v>
      </c>
      <c r="BF26" s="906">
        <f>SUM(BF22:BF25)</f>
        <v>0</v>
      </c>
      <c r="BG26" s="1119"/>
      <c r="BK26" s="906">
        <f>SUM(BK22:BK25)</f>
        <v>5582371867.6053581</v>
      </c>
      <c r="BL26" s="906">
        <f>SUM(BL22:BL25)</f>
        <v>5582371867.6053581</v>
      </c>
      <c r="BM26" s="906">
        <f>SUM(BM22:BM25)</f>
        <v>0</v>
      </c>
      <c r="BN26" s="906">
        <f>SUM(BN22:BN25)</f>
        <v>0</v>
      </c>
      <c r="BO26" s="1119"/>
      <c r="BS26" s="906">
        <f>SUM(BS22:BS25)</f>
        <v>5582371867.6053581</v>
      </c>
      <c r="BT26" s="906">
        <f>SUM(BT22:BT25)</f>
        <v>5582371867.6053581</v>
      </c>
      <c r="BU26" s="906">
        <f>SUM(BU22:BU25)</f>
        <v>0</v>
      </c>
      <c r="BV26" s="906">
        <f>SUM(BV22:BV25)</f>
        <v>0</v>
      </c>
      <c r="BW26" s="1119"/>
      <c r="CA26" s="906">
        <f>SUM(CA22:CA25)</f>
        <v>5582371867.6053581</v>
      </c>
      <c r="CB26" s="906">
        <f>SUM(CB22:CB25)</f>
        <v>5582371867.6053581</v>
      </c>
      <c r="CC26" s="906">
        <f>SUM(CC22:CC25)</f>
        <v>0</v>
      </c>
      <c r="CD26" s="906">
        <f>SUM(CD22:CD25)</f>
        <v>0</v>
      </c>
      <c r="CE26" s="1119"/>
      <c r="CI26" s="906">
        <f>SUM(CI22:CI25)</f>
        <v>5582371867.6053581</v>
      </c>
      <c r="CJ26" s="906">
        <f>SUM(CJ22:CJ25)</f>
        <v>5582371867.6053581</v>
      </c>
      <c r="CK26" s="906">
        <f>SUM(CK22:CK25)</f>
        <v>0</v>
      </c>
      <c r="CL26" s="906">
        <f>SUM(CL22:CL25)</f>
        <v>0</v>
      </c>
      <c r="CM26" s="1119"/>
      <c r="CQ26" s="906">
        <f>SUM(CQ22:CQ25)</f>
        <v>5582371867.6053581</v>
      </c>
      <c r="CR26" s="906">
        <f>SUM(CR22:CR25)</f>
        <v>5582371867.6053581</v>
      </c>
      <c r="CS26" s="906">
        <f>SUM(CS22:CS25)</f>
        <v>0</v>
      </c>
      <c r="CT26" s="906">
        <f>SUM(CT22:CT25)</f>
        <v>0</v>
      </c>
      <c r="CU26" s="1119"/>
      <c r="CY26" s="906">
        <f>SUM(CY22:CY25)</f>
        <v>5582371867.6053581</v>
      </c>
      <c r="CZ26" s="906">
        <f>SUM(CZ22:CZ25)</f>
        <v>5582371867.6053581</v>
      </c>
      <c r="DA26" s="906">
        <f>SUM(DA22:DA25)</f>
        <v>0</v>
      </c>
      <c r="DB26" s="906">
        <f>SUM(DB22:DB25)</f>
        <v>0</v>
      </c>
      <c r="DC26" s="1119"/>
      <c r="DG26" s="906">
        <f>SUM(DG22:DG25)</f>
        <v>5582371867.6053581</v>
      </c>
      <c r="DH26" s="906">
        <f>SUM(DH22:DH25)</f>
        <v>5582371867.6053581</v>
      </c>
      <c r="DI26" s="906">
        <f>SUM(DI22:DI25)</f>
        <v>0</v>
      </c>
      <c r="DJ26" s="906">
        <f>SUM(DJ22:DJ25)</f>
        <v>0</v>
      </c>
      <c r="DK26" s="1119"/>
      <c r="DO26" s="906">
        <f>SUM(DO22:DO25)</f>
        <v>5582371867.6053581</v>
      </c>
      <c r="DP26" s="906">
        <f>SUM(DP22:DP25)</f>
        <v>5582371867.6053581</v>
      </c>
      <c r="DQ26" s="906">
        <f>SUM(DQ22:DQ25)</f>
        <v>0</v>
      </c>
      <c r="DR26" s="906">
        <f>SUM(DR22:DR25)</f>
        <v>0</v>
      </c>
      <c r="DS26" s="1119"/>
      <c r="DW26" s="906">
        <f>SUM(DW22:DW25)</f>
        <v>5582371867.6053581</v>
      </c>
      <c r="DX26" s="906">
        <f>SUM(DX22:DX25)</f>
        <v>5582371867.6053581</v>
      </c>
      <c r="DY26" s="906">
        <f>SUM(DY22:DY25)</f>
        <v>0</v>
      </c>
      <c r="DZ26" s="906">
        <f>SUM(DZ22:DZ25)</f>
        <v>0</v>
      </c>
      <c r="EA26" s="1119"/>
      <c r="EE26" s="906">
        <f>SUM(EE22:EE25)</f>
        <v>5582371867.6053581</v>
      </c>
      <c r="EF26" s="906">
        <f>SUM(EF22:EF25)</f>
        <v>5582371867.6053581</v>
      </c>
      <c r="EG26" s="906">
        <f>SUM(EG22:EG25)</f>
        <v>0</v>
      </c>
      <c r="EH26" s="906">
        <f>SUM(EH22:EH25)</f>
        <v>0</v>
      </c>
      <c r="EI26" s="1119"/>
      <c r="EM26" s="906">
        <f>SUM(EM22:EM25)</f>
        <v>5582371867.6053581</v>
      </c>
      <c r="EN26" s="906">
        <f>SUM(EN22:EN25)</f>
        <v>5582371867.6053581</v>
      </c>
      <c r="EO26" s="906">
        <f>SUM(EO22:EO25)</f>
        <v>0</v>
      </c>
      <c r="EP26" s="906">
        <f>SUM(EP22:EP25)</f>
        <v>0</v>
      </c>
      <c r="EQ26" s="1119"/>
      <c r="EU26" s="906">
        <f>SUM(EU22:EU25)</f>
        <v>5582371867.6053581</v>
      </c>
      <c r="EV26" s="906">
        <f>SUM(EV22:EV25)</f>
        <v>5582371867.6053581</v>
      </c>
      <c r="EW26" s="906">
        <f>SUM(EW22:EW25)</f>
        <v>0</v>
      </c>
      <c r="EX26" s="906">
        <f>SUM(EX22:EX25)</f>
        <v>0</v>
      </c>
      <c r="EY26" s="1119"/>
      <c r="FC26" s="906">
        <f>SUM(FC22:FC25)</f>
        <v>5582371867.6053581</v>
      </c>
      <c r="FD26" s="906">
        <f>SUM(FD22:FD25)</f>
        <v>5582371867.6053581</v>
      </c>
      <c r="FE26" s="906">
        <f>SUM(FE22:FE25)</f>
        <v>0</v>
      </c>
      <c r="FF26" s="906">
        <f>SUM(FF22:FF25)</f>
        <v>0</v>
      </c>
      <c r="FG26" s="1119"/>
      <c r="FK26" s="906">
        <f>SUM(FK22:FK25)</f>
        <v>5582371867.6053581</v>
      </c>
      <c r="FL26" s="906">
        <f>SUM(FL22:FL25)</f>
        <v>5582371867.6053581</v>
      </c>
      <c r="FM26" s="906">
        <f>SUM(FM22:FM25)</f>
        <v>0</v>
      </c>
      <c r="FN26" s="906">
        <f>SUM(FN22:FN25)</f>
        <v>0</v>
      </c>
      <c r="FO26" s="1119"/>
    </row>
    <row r="27" spans="1:171" x14ac:dyDescent="0.25">
      <c r="A27" s="907"/>
      <c r="B27" s="908"/>
      <c r="C27" s="51"/>
      <c r="D27" s="51"/>
      <c r="E27" s="909"/>
      <c r="F27" s="909"/>
      <c r="G27" s="39"/>
      <c r="H27" s="39"/>
      <c r="I27" s="39"/>
      <c r="J27" s="910"/>
      <c r="K27" s="904"/>
      <c r="S27" s="1119"/>
      <c r="AA27" s="1119"/>
      <c r="AI27" s="1119"/>
      <c r="AQ27" s="1119"/>
      <c r="AY27" s="1119"/>
      <c r="BG27" s="1119"/>
      <c r="BO27" s="1119"/>
      <c r="BW27" s="1119"/>
      <c r="CE27" s="1119"/>
      <c r="CM27" s="1119"/>
      <c r="CU27" s="1119"/>
      <c r="DC27" s="1119"/>
      <c r="DK27" s="1119"/>
      <c r="DS27" s="1119"/>
      <c r="EA27" s="1119"/>
      <c r="EI27" s="1119"/>
      <c r="EQ27" s="1119"/>
      <c r="EY27" s="1119"/>
      <c r="FG27" s="1119"/>
      <c r="FO27" s="1119"/>
    </row>
    <row r="28" spans="1:171" x14ac:dyDescent="0.25">
      <c r="A28" s="199" t="s">
        <v>142</v>
      </c>
      <c r="B28" s="220"/>
      <c r="C28" s="55"/>
      <c r="D28" s="55"/>
      <c r="E28" s="180"/>
      <c r="F28" s="180"/>
      <c r="G28" s="911"/>
      <c r="H28" s="911"/>
      <c r="I28" s="911"/>
      <c r="J28" s="912"/>
      <c r="K28" s="904"/>
      <c r="S28" s="1119"/>
      <c r="AA28" s="1119"/>
      <c r="AI28" s="1119"/>
      <c r="AQ28" s="1119"/>
      <c r="AY28" s="1119"/>
      <c r="BG28" s="1119"/>
      <c r="BO28" s="1119"/>
      <c r="BW28" s="1119"/>
      <c r="CE28" s="1119"/>
      <c r="CM28" s="1119"/>
      <c r="CU28" s="1119"/>
      <c r="DC28" s="1119"/>
      <c r="DK28" s="1119"/>
      <c r="DS28" s="1119"/>
      <c r="EA28" s="1119"/>
      <c r="EI28" s="1119"/>
      <c r="EQ28" s="1119"/>
      <c r="EY28" s="1119"/>
      <c r="FG28" s="1119"/>
      <c r="FO28" s="1119"/>
    </row>
    <row r="29" spans="1:171" x14ac:dyDescent="0.25">
      <c r="A29" s="1390">
        <v>840</v>
      </c>
      <c r="B29" s="220" t="s">
        <v>526</v>
      </c>
      <c r="C29" s="888" t="s">
        <v>70</v>
      </c>
      <c r="D29" s="889" t="s">
        <v>120</v>
      </c>
      <c r="E29" s="905" t="str">
        <f>'Sch 1- Rate Base '!E29</f>
        <v>TRANS</v>
      </c>
      <c r="F29" s="890"/>
      <c r="G29" s="891">
        <f>'Sch 1- Rate Base '!G29</f>
        <v>3295838980.7862144</v>
      </c>
      <c r="H29" s="891">
        <f>'Sch 1- Rate Base '!H29</f>
        <v>0</v>
      </c>
      <c r="I29" s="891">
        <f>'Sch 1- Rate Base '!I29</f>
        <v>0</v>
      </c>
      <c r="J29" s="1385">
        <f>'Sch 1- Rate Base '!J29</f>
        <v>3295838980.7862144</v>
      </c>
      <c r="K29" s="904">
        <f>IF($E29="DIRECT",0,1)</f>
        <v>1</v>
      </c>
      <c r="N29" s="1155">
        <f>VLOOKUP($A29,'New Resources - Individual'!$A$4:$Y$133,N$2,FALSE)*N$1</f>
        <v>0</v>
      </c>
      <c r="O29" s="1117">
        <f>$G29+N29</f>
        <v>3295838980.7862144</v>
      </c>
      <c r="P29" s="1118">
        <f>VLOOKUP($E29,O$442:R$453,2,FALSE)*O29*($K29)+IF($G29&gt;0,($H29/$G29)*O29,0)*(1-$K29)</f>
        <v>0</v>
      </c>
      <c r="Q29" s="1118">
        <f>VLOOKUP($E29,O$442:R$453,3,FALSE)*O29*($K29)+IF($G29&gt;0,($I29/$G29)*O29,0)*(1-$K29)</f>
        <v>3295838980.7862144</v>
      </c>
      <c r="R29" s="1118">
        <f>VLOOKUP($E29,O$442:R$453,4,FALSE)*O29*($K29)+(O29-P29-Q29)*(1-$K29)</f>
        <v>0</v>
      </c>
      <c r="S29" s="1119"/>
      <c r="V29" s="1155">
        <f>VLOOKUP($A29,'New Resources - Individual'!$A$4:$Y$133,V$2,FALSE)*V$1</f>
        <v>0</v>
      </c>
      <c r="W29" s="1117">
        <f>$G29+V29</f>
        <v>3295838980.7862144</v>
      </c>
      <c r="X29" s="1118">
        <f>VLOOKUP($E29,W$442:Z$453,2,FALSE)*W29*($K29)+IF($G29&gt;0,($H29/$G29)*W29,0)*(1-$K29)</f>
        <v>0</v>
      </c>
      <c r="Y29" s="1118">
        <f>VLOOKUP($E29,W$442:Z$453,3,FALSE)*W29*($K29)+IF($G29&gt;0,($I29/$G29)*W29,0)*(1-$K29)</f>
        <v>3295838980.7862144</v>
      </c>
      <c r="Z29" s="1118">
        <f>VLOOKUP($E29,W$442:Z$453,4,FALSE)*W29*($K29)+(W29-X29-Y29)*(1-$K29)</f>
        <v>0</v>
      </c>
      <c r="AA29" s="1119"/>
      <c r="AD29" s="1155">
        <f>VLOOKUP($A29,'New Resources - Individual'!$A$4:$Y$133,AD$2,FALSE)*AD$1</f>
        <v>0</v>
      </c>
      <c r="AE29" s="1117">
        <f>$G29+AD29</f>
        <v>3295838980.7862144</v>
      </c>
      <c r="AF29" s="1118">
        <f>VLOOKUP($E29,AE$442:AH$453,2,FALSE)*AE29*($K29)+IF($G29&gt;0,($H29/$G29)*AE29,0)*(1-$K29)</f>
        <v>0</v>
      </c>
      <c r="AG29" s="1118">
        <f>VLOOKUP($E29,AE$442:AH$453,3,FALSE)*AE29*($K29)+IF($G29&gt;0,($I29/$G29)*AE29,0)*(1-$K29)</f>
        <v>3295838980.7862144</v>
      </c>
      <c r="AH29" s="1118">
        <f>VLOOKUP($E29,AE$442:AH$453,4,FALSE)*AE29*($K29)+(AE29-AF29-AG29)*(1-$K29)</f>
        <v>0</v>
      </c>
      <c r="AI29" s="1119"/>
      <c r="AL29" s="1155">
        <f>VLOOKUP($A29,'New Resources - Individual'!$A$4:$Y$133,AL$2,FALSE)*AL$1</f>
        <v>0</v>
      </c>
      <c r="AM29" s="1117">
        <f>$G29+AL29</f>
        <v>3295838980.7862144</v>
      </c>
      <c r="AN29" s="1118">
        <f>VLOOKUP($E29,AM$442:AP$453,2,FALSE)*AM29*($K29)+IF($G29&gt;0,($H29/$G29)*AM29,0)*(1-$K29)</f>
        <v>0</v>
      </c>
      <c r="AO29" s="1118">
        <f>VLOOKUP($E29,AM$442:AP$453,3,FALSE)*AM29*($K29)+IF($G29&gt;0,($I29/$G29)*AM29,0)*(1-$K29)</f>
        <v>3295838980.7862144</v>
      </c>
      <c r="AP29" s="1118">
        <f>VLOOKUP($E29,AM$442:AP$453,4,FALSE)*AM29*($K29)+(AM29-AN29-AO29)*(1-$K29)</f>
        <v>0</v>
      </c>
      <c r="AQ29" s="1119"/>
      <c r="AT29" s="1155">
        <f>VLOOKUP($A29,'New Resources - Individual'!$A$4:$Y$133,AT$2,FALSE)*AT$1</f>
        <v>0</v>
      </c>
      <c r="AU29" s="1117">
        <f>$G29+AT29</f>
        <v>3295838980.7862144</v>
      </c>
      <c r="AV29" s="1118">
        <f>VLOOKUP($E29,AU$442:AX$453,2,FALSE)*AU29*($K29)+IF($G29&gt;0,($H29/$G29)*AU29,0)*(1-$K29)</f>
        <v>0</v>
      </c>
      <c r="AW29" s="1118">
        <f>VLOOKUP($E29,AU$442:AX$453,3,FALSE)*AU29*($K29)+IF($G29&gt;0,($I29/$G29)*AU29,0)*(1-$K29)</f>
        <v>3295838980.7862144</v>
      </c>
      <c r="AX29" s="1118">
        <f>VLOOKUP($E29,AU$442:AX$453,4,FALSE)*AU29*($K29)+(AU29-AV29-AW29)*(1-$K29)</f>
        <v>0</v>
      </c>
      <c r="AY29" s="1119"/>
      <c r="BB29" s="1155">
        <f>VLOOKUP($A29,'New Resources - Individual'!$A$4:$Y$133,BB$2,FALSE)*BB$1</f>
        <v>0</v>
      </c>
      <c r="BC29" s="1117">
        <f>$G29+BB29</f>
        <v>3295838980.7862144</v>
      </c>
      <c r="BD29" s="1118">
        <f>VLOOKUP($E29,BC$442:BF$453,2,FALSE)*BC29*($K29)+IF($G29&gt;0,($H29/$G29)*BC29,0)*(1-$K29)</f>
        <v>0</v>
      </c>
      <c r="BE29" s="1118">
        <f>VLOOKUP($E29,BC$442:BF$453,3,FALSE)*BC29*($K29)+IF($G29&gt;0,($I29/$G29)*BC29,0)*(1-$K29)</f>
        <v>3295838980.7862144</v>
      </c>
      <c r="BF29" s="1118">
        <f>VLOOKUP($E29,BC$442:BF$453,4,FALSE)*BC29*($K29)+(BC29-BD29-BE29)*(1-$K29)</f>
        <v>0</v>
      </c>
      <c r="BG29" s="1119"/>
      <c r="BJ29" s="1155">
        <f>VLOOKUP($A29,'New Resources - Individual'!$A$4:$Y$133,BJ$2,FALSE)*BJ$1</f>
        <v>0</v>
      </c>
      <c r="BK29" s="1117">
        <f>$G29+BJ29</f>
        <v>3295838980.7862144</v>
      </c>
      <c r="BL29" s="1118">
        <f>VLOOKUP($E29,BK$442:BN$453,2,FALSE)*BK29*($K29)+IF($G29&gt;0,($H29/$G29)*BK29,0)*(1-$K29)</f>
        <v>0</v>
      </c>
      <c r="BM29" s="1118">
        <f>VLOOKUP($E29,BK$442:BN$453,3,FALSE)*BK29*($K29)+IF($G29&gt;0,($I29/$G29)*BK29,0)*(1-$K29)</f>
        <v>3295838980.7862144</v>
      </c>
      <c r="BN29" s="1118">
        <f>VLOOKUP($E29,BK$442:BN$453,4,FALSE)*BK29*($K29)+(BK29-BL29-BM29)*(1-$K29)</f>
        <v>0</v>
      </c>
      <c r="BO29" s="1119"/>
      <c r="BR29" s="1155">
        <f>VLOOKUP($A29,'New Resources - Individual'!$A$4:$Y$133,BR$2,FALSE)*BR$1</f>
        <v>0</v>
      </c>
      <c r="BS29" s="1117">
        <f>$G29+BR29</f>
        <v>3295838980.7862144</v>
      </c>
      <c r="BT29" s="1118">
        <f>VLOOKUP($E29,BS$442:BV$453,2,FALSE)*BS29*($K29)+IF($G29&gt;0,($H29/$G29)*BS29,0)*(1-$K29)</f>
        <v>0</v>
      </c>
      <c r="BU29" s="1118">
        <f>VLOOKUP($E29,BS$442:BV$453,3,FALSE)*BS29*($K29)+IF($G29&gt;0,($I29/$G29)*BS29,0)*(1-$K29)</f>
        <v>3295838980.7862144</v>
      </c>
      <c r="BV29" s="1118">
        <f>VLOOKUP($E29,BS$442:BV$453,4,FALSE)*BS29*($K29)+(BS29-BT29-BU29)*(1-$K29)</f>
        <v>0</v>
      </c>
      <c r="BW29" s="1119"/>
      <c r="BZ29" s="1155">
        <f>VLOOKUP($A29,'New Resources - Individual'!$A$4:$Y$133,BZ$2,FALSE)*BZ$1</f>
        <v>0</v>
      </c>
      <c r="CA29" s="1117">
        <f>$G29+BZ29</f>
        <v>3295838980.7862144</v>
      </c>
      <c r="CB29" s="1118">
        <f>VLOOKUP($E29,CA$442:CD$453,2,FALSE)*CA29*($K29)+IF($G29&gt;0,($H29/$G29)*CA29,0)*(1-$K29)</f>
        <v>0</v>
      </c>
      <c r="CC29" s="1118">
        <f>VLOOKUP($E29,CA$442:CD$453,3,FALSE)*CA29*($K29)+IF($G29&gt;0,($I29/$G29)*CA29,0)*(1-$K29)</f>
        <v>3295838980.7862144</v>
      </c>
      <c r="CD29" s="1118">
        <f>VLOOKUP($E29,CA$442:CD$453,4,FALSE)*CA29*($K29)+(CA29-CB29-CC29)*(1-$K29)</f>
        <v>0</v>
      </c>
      <c r="CE29" s="1119"/>
      <c r="CH29" s="1155">
        <f>VLOOKUP($A29,'New Resources - Individual'!$A$4:$Y$133,CH$2,FALSE)*CH$1</f>
        <v>0</v>
      </c>
      <c r="CI29" s="1117">
        <f>$G29+CH29</f>
        <v>3295838980.7862144</v>
      </c>
      <c r="CJ29" s="1118">
        <f>VLOOKUP($E29,CI$442:CL$453,2,FALSE)*CI29*($K29)+IF($G29&gt;0,($H29/$G29)*CI29,0)*(1-$K29)</f>
        <v>0</v>
      </c>
      <c r="CK29" s="1118">
        <f>VLOOKUP($E29,CI$442:CL$453,3,FALSE)*CI29*($K29)+IF($G29&gt;0,($I29/$G29)*CI29,0)*(1-$K29)</f>
        <v>3295838980.7862144</v>
      </c>
      <c r="CL29" s="1118">
        <f>VLOOKUP($E29,CI$442:CL$453,4,FALSE)*CI29*($K29)+(CI29-CJ29-CK29)*(1-$K29)</f>
        <v>0</v>
      </c>
      <c r="CM29" s="1119"/>
      <c r="CP29" s="1155">
        <f>VLOOKUP($A29,'New Resources - Individual'!$A$4:$Y$133,CP$2,FALSE)*CP$1</f>
        <v>0</v>
      </c>
      <c r="CQ29" s="1117">
        <f>$G29+CP29</f>
        <v>3295838980.7862144</v>
      </c>
      <c r="CR29" s="1118">
        <f>VLOOKUP($E29,CQ$442:CT$453,2,FALSE)*CQ29*($K29)+IF($G29&gt;0,($H29/$G29)*CQ29,0)*(1-$K29)</f>
        <v>0</v>
      </c>
      <c r="CS29" s="1118">
        <f>VLOOKUP($E29,CQ$442:CT$453,3,FALSE)*CQ29*($K29)+IF($G29&gt;0,($I29/$G29)*CQ29,0)*(1-$K29)</f>
        <v>3295838980.7862144</v>
      </c>
      <c r="CT29" s="1118">
        <f>VLOOKUP($E29,CQ$442:CT$453,4,FALSE)*CQ29*($K29)+(CQ29-CR29-CS29)*(1-$K29)</f>
        <v>0</v>
      </c>
      <c r="CU29" s="1119"/>
      <c r="CX29" s="1155">
        <f>VLOOKUP($A29,'New Resources - Individual'!$A$4:$Y$133,CX$2,FALSE)*CX$1</f>
        <v>0</v>
      </c>
      <c r="CY29" s="1117">
        <f>$G29+CX29</f>
        <v>3295838980.7862144</v>
      </c>
      <c r="CZ29" s="1118">
        <f>VLOOKUP($E29,CY$442:DB$453,2,FALSE)*CY29*($K29)+IF($G29&gt;0,($H29/$G29)*CY29,0)*(1-$K29)</f>
        <v>0</v>
      </c>
      <c r="DA29" s="1118">
        <f>VLOOKUP($E29,CY$442:DB$453,3,FALSE)*CY29*($K29)+IF($G29&gt;0,($I29/$G29)*CY29,0)*(1-$K29)</f>
        <v>3295838980.7862144</v>
      </c>
      <c r="DB29" s="1118">
        <f>VLOOKUP($E29,CY$442:DB$453,4,FALSE)*CY29*($K29)+(CY29-CZ29-DA29)*(1-$K29)</f>
        <v>0</v>
      </c>
      <c r="DC29" s="1119"/>
      <c r="DF29" s="1155">
        <f>VLOOKUP($A29,'New Resources - Individual'!$A$4:$Y$133,DF$2,FALSE)*DF$1</f>
        <v>0</v>
      </c>
      <c r="DG29" s="1117">
        <f>$G29+DF29</f>
        <v>3295838980.7862144</v>
      </c>
      <c r="DH29" s="1118">
        <f>VLOOKUP($E29,DG$442:DJ$453,2,FALSE)*DG29*($K29)+IF($G29&gt;0,($H29/$G29)*DG29,0)*(1-$K29)</f>
        <v>0</v>
      </c>
      <c r="DI29" s="1118">
        <f>VLOOKUP($E29,DG$442:DJ$453,3,FALSE)*DG29*($K29)+IF($G29&gt;0,($I29/$G29)*DG29,0)*(1-$K29)</f>
        <v>3295838980.7862144</v>
      </c>
      <c r="DJ29" s="1118">
        <f>VLOOKUP($E29,DG$442:DJ$453,4,FALSE)*DG29*($K29)+(DG29-DH29-DI29)*(1-$K29)</f>
        <v>0</v>
      </c>
      <c r="DK29" s="1119"/>
      <c r="DN29" s="1155">
        <f>VLOOKUP($A29,'New Resources - Individual'!$A$4:$Y$133,DN$2,FALSE)*DN$1</f>
        <v>0</v>
      </c>
      <c r="DO29" s="1117">
        <f>$G29+DN29</f>
        <v>3295838980.7862144</v>
      </c>
      <c r="DP29" s="1118">
        <f>VLOOKUP($E29,DO$442:DR$453,2,FALSE)*DO29*($K29)+IF($G29&gt;0,($H29/$G29)*DO29,0)*(1-$K29)</f>
        <v>0</v>
      </c>
      <c r="DQ29" s="1118">
        <f>VLOOKUP($E29,DO$442:DR$453,3,FALSE)*DO29*($K29)+IF($G29&gt;0,($I29/$G29)*DO29,0)*(1-$K29)</f>
        <v>3295838980.7862144</v>
      </c>
      <c r="DR29" s="1118">
        <f>VLOOKUP($E29,DO$442:DR$453,4,FALSE)*DO29*($K29)+(DO29-DP29-DQ29)*(1-$K29)</f>
        <v>0</v>
      </c>
      <c r="DS29" s="1119"/>
      <c r="DV29" s="1155">
        <f>VLOOKUP($A29,'New Resources - Individual'!$A$4:$Y$133,DV$2,FALSE)*DV$1</f>
        <v>0</v>
      </c>
      <c r="DW29" s="1117">
        <f>$G29+DV29</f>
        <v>3295838980.7862144</v>
      </c>
      <c r="DX29" s="1118">
        <f>VLOOKUP($E29,DW$442:DZ$453,2,FALSE)*DW29*($K29)+IF($G29&gt;0,($H29/$G29)*DW29,0)*(1-$K29)</f>
        <v>0</v>
      </c>
      <c r="DY29" s="1118">
        <f>VLOOKUP($E29,DW$442:DZ$453,3,FALSE)*DW29*($K29)+IF($G29&gt;0,($I29/$G29)*DW29,0)*(1-$K29)</f>
        <v>3295838980.7862144</v>
      </c>
      <c r="DZ29" s="1118">
        <f>VLOOKUP($E29,DW$442:DZ$453,4,FALSE)*DW29*($K29)+(DW29-DX29-DY29)*(1-$K29)</f>
        <v>0</v>
      </c>
      <c r="EA29" s="1119"/>
      <c r="ED29" s="1155">
        <f>VLOOKUP($A29,'New Resources - Individual'!$A$4:$Y$133,ED$2,FALSE)*ED$1</f>
        <v>0</v>
      </c>
      <c r="EE29" s="1117">
        <f>$G29+ED29</f>
        <v>3295838980.7862144</v>
      </c>
      <c r="EF29" s="1118">
        <f>VLOOKUP($E29,EE$442:EH$453,2,FALSE)*EE29*($K29)+IF($G29&gt;0,($H29/$G29)*EE29,0)*(1-$K29)</f>
        <v>0</v>
      </c>
      <c r="EG29" s="1118">
        <f>VLOOKUP($E29,EE$442:EH$453,3,FALSE)*EE29*($K29)+IF($G29&gt;0,($I29/$G29)*EE29,0)*(1-$K29)</f>
        <v>3295838980.7862144</v>
      </c>
      <c r="EH29" s="1118">
        <f>VLOOKUP($E29,EE$442:EH$453,4,FALSE)*EE29*($K29)+(EE29-EF29-EG29)*(1-$K29)</f>
        <v>0</v>
      </c>
      <c r="EI29" s="1119"/>
      <c r="EL29" s="1155">
        <f>VLOOKUP($A29,'New Resources - Individual'!$A$4:$Y$133,EL$2,FALSE)*EL$1</f>
        <v>0</v>
      </c>
      <c r="EM29" s="1117">
        <f>$G29+EL29</f>
        <v>3295838980.7862144</v>
      </c>
      <c r="EN29" s="1118">
        <f>VLOOKUP($E29,EM$442:EP$453,2,FALSE)*EM29*($K29)+IF($G29&gt;0,($H29/$G29)*EM29,0)*(1-$K29)</f>
        <v>0</v>
      </c>
      <c r="EO29" s="1118">
        <f>VLOOKUP($E29,EM$442:EP$453,3,FALSE)*EM29*($K29)+IF($G29&gt;0,($I29/$G29)*EM29,0)*(1-$K29)</f>
        <v>3295838980.7862144</v>
      </c>
      <c r="EP29" s="1118">
        <f>VLOOKUP($E29,EM$442:EP$453,4,FALSE)*EM29*($K29)+(EM29-EN29-EO29)*(1-$K29)</f>
        <v>0</v>
      </c>
      <c r="EQ29" s="1119"/>
      <c r="ET29" s="1155">
        <f>VLOOKUP($A29,'New Resources - Individual'!$A$4:$Y$133,ET$2,FALSE)*ET$1</f>
        <v>0</v>
      </c>
      <c r="EU29" s="1117">
        <f>$G29+ET29</f>
        <v>3295838980.7862144</v>
      </c>
      <c r="EV29" s="1118">
        <f>VLOOKUP($E29,EU$442:EX$453,2,FALSE)*EU29*($K29)+IF($G29&gt;0,($H29/$G29)*EU29,0)*(1-$K29)</f>
        <v>0</v>
      </c>
      <c r="EW29" s="1118">
        <f>VLOOKUP($E29,EU$442:EX$453,3,FALSE)*EU29*($K29)+IF($G29&gt;0,($I29/$G29)*EU29,0)*(1-$K29)</f>
        <v>3295838980.7862144</v>
      </c>
      <c r="EX29" s="1118">
        <f>VLOOKUP($E29,EU$442:EX$453,4,FALSE)*EU29*($K29)+(EU29-EV29-EW29)*(1-$K29)</f>
        <v>0</v>
      </c>
      <c r="EY29" s="1119"/>
      <c r="FB29" s="1155">
        <f>VLOOKUP($A29,'New Resources - Individual'!$A$4:$Y$133,FB$2,FALSE)*FB$1</f>
        <v>0</v>
      </c>
      <c r="FC29" s="1117">
        <f>$G29+FB29</f>
        <v>3295838980.7862144</v>
      </c>
      <c r="FD29" s="1118">
        <f>VLOOKUP($E29,FC$442:FF$453,2,FALSE)*FC29*($K29)+IF($G29&gt;0,($H29/$G29)*FC29,0)*(1-$K29)</f>
        <v>0</v>
      </c>
      <c r="FE29" s="1118">
        <f>VLOOKUP($E29,FC$442:FF$453,3,FALSE)*FC29*($K29)+IF($G29&gt;0,($I29/$G29)*FC29,0)*(1-$K29)</f>
        <v>3295838980.7862144</v>
      </c>
      <c r="FF29" s="1118">
        <f>VLOOKUP($E29,FC$442:FF$453,4,FALSE)*FC29*($K29)+(FC29-FD29-FE29)*(1-$K29)</f>
        <v>0</v>
      </c>
      <c r="FG29" s="1119"/>
      <c r="FJ29" s="1155">
        <f>VLOOKUP($A29,'New Resources - Individual'!$A$4:$Y$133,FJ$2,FALSE)*FJ$1</f>
        <v>0</v>
      </c>
      <c r="FK29" s="1117">
        <f>$G29+FJ29</f>
        <v>3295838980.7862144</v>
      </c>
      <c r="FL29" s="1118">
        <f>VLOOKUP($E29,FK$442:FN$453,2,FALSE)*FK29*($K29)+IF($G29&gt;0,($H29/$G29)*FK29,0)*(1-$K29)</f>
        <v>0</v>
      </c>
      <c r="FM29" s="1118">
        <f>VLOOKUP($E29,FK$442:FN$453,3,FALSE)*FK29*($K29)+IF($G29&gt;0,($I29/$G29)*FK29,0)*(1-$K29)</f>
        <v>3295838980.7862144</v>
      </c>
      <c r="FN29" s="1118">
        <f>VLOOKUP($E29,FK$442:FN$453,4,FALSE)*FK29*($K29)+(FK29-FL29-FM29)*(1-$K29)</f>
        <v>0</v>
      </c>
      <c r="FO29" s="1119"/>
    </row>
    <row r="30" spans="1:171" x14ac:dyDescent="0.25">
      <c r="A30" s="163" t="s">
        <v>121</v>
      </c>
      <c r="B30" s="64"/>
      <c r="C30" s="915"/>
      <c r="D30" s="916"/>
      <c r="E30" s="916"/>
      <c r="F30" s="917"/>
      <c r="G30" s="906">
        <f>SUM(G29)</f>
        <v>3295838980.7862144</v>
      </c>
      <c r="H30" s="906">
        <f>SUM(H29)</f>
        <v>0</v>
      </c>
      <c r="I30" s="906">
        <f>SUM(I29)</f>
        <v>0</v>
      </c>
      <c r="J30" s="1386">
        <f>SUM(J29)</f>
        <v>3295838980.7862144</v>
      </c>
      <c r="K30" s="904"/>
      <c r="O30" s="906">
        <f>SUM(O29)</f>
        <v>3295838980.7862144</v>
      </c>
      <c r="P30" s="906">
        <f>SUM(P29)</f>
        <v>0</v>
      </c>
      <c r="Q30" s="906">
        <f>SUM(Q29)</f>
        <v>3295838980.7862144</v>
      </c>
      <c r="R30" s="906">
        <f>SUM(R29)</f>
        <v>0</v>
      </c>
      <c r="S30" s="1119"/>
      <c r="W30" s="906">
        <f>SUM(W29)</f>
        <v>3295838980.7862144</v>
      </c>
      <c r="X30" s="906">
        <f>SUM(X29)</f>
        <v>0</v>
      </c>
      <c r="Y30" s="906">
        <f>SUM(Y29)</f>
        <v>3295838980.7862144</v>
      </c>
      <c r="Z30" s="906">
        <f>SUM(Z29)</f>
        <v>0</v>
      </c>
      <c r="AA30" s="1119"/>
      <c r="AE30" s="906">
        <f>SUM(AE29)</f>
        <v>3295838980.7862144</v>
      </c>
      <c r="AF30" s="906">
        <f>SUM(AF29)</f>
        <v>0</v>
      </c>
      <c r="AG30" s="906">
        <f>SUM(AG29)</f>
        <v>3295838980.7862144</v>
      </c>
      <c r="AH30" s="906">
        <f>SUM(AH29)</f>
        <v>0</v>
      </c>
      <c r="AI30" s="1119"/>
      <c r="AM30" s="906">
        <f>SUM(AM29)</f>
        <v>3295838980.7862144</v>
      </c>
      <c r="AN30" s="906">
        <f>SUM(AN29)</f>
        <v>0</v>
      </c>
      <c r="AO30" s="906">
        <f>SUM(AO29)</f>
        <v>3295838980.7862144</v>
      </c>
      <c r="AP30" s="906">
        <f>SUM(AP29)</f>
        <v>0</v>
      </c>
      <c r="AQ30" s="1119"/>
      <c r="AU30" s="906">
        <f>SUM(AU29)</f>
        <v>3295838980.7862144</v>
      </c>
      <c r="AV30" s="906">
        <f>SUM(AV29)</f>
        <v>0</v>
      </c>
      <c r="AW30" s="906">
        <f>SUM(AW29)</f>
        <v>3295838980.7862144</v>
      </c>
      <c r="AX30" s="906">
        <f>SUM(AX29)</f>
        <v>0</v>
      </c>
      <c r="AY30" s="1119"/>
      <c r="BC30" s="906">
        <f>SUM(BC29)</f>
        <v>3295838980.7862144</v>
      </c>
      <c r="BD30" s="906">
        <f>SUM(BD29)</f>
        <v>0</v>
      </c>
      <c r="BE30" s="906">
        <f>SUM(BE29)</f>
        <v>3295838980.7862144</v>
      </c>
      <c r="BF30" s="906">
        <f>SUM(BF29)</f>
        <v>0</v>
      </c>
      <c r="BG30" s="1119"/>
      <c r="BK30" s="906">
        <f>SUM(BK29)</f>
        <v>3295838980.7862144</v>
      </c>
      <c r="BL30" s="906">
        <f>SUM(BL29)</f>
        <v>0</v>
      </c>
      <c r="BM30" s="906">
        <f>SUM(BM29)</f>
        <v>3295838980.7862144</v>
      </c>
      <c r="BN30" s="906">
        <f>SUM(BN29)</f>
        <v>0</v>
      </c>
      <c r="BO30" s="1119"/>
      <c r="BS30" s="906">
        <f>SUM(BS29)</f>
        <v>3295838980.7862144</v>
      </c>
      <c r="BT30" s="906">
        <f>SUM(BT29)</f>
        <v>0</v>
      </c>
      <c r="BU30" s="906">
        <f>SUM(BU29)</f>
        <v>3295838980.7862144</v>
      </c>
      <c r="BV30" s="906">
        <f>SUM(BV29)</f>
        <v>0</v>
      </c>
      <c r="BW30" s="1119"/>
      <c r="CA30" s="906">
        <f>SUM(CA29)</f>
        <v>3295838980.7862144</v>
      </c>
      <c r="CB30" s="906">
        <f>SUM(CB29)</f>
        <v>0</v>
      </c>
      <c r="CC30" s="906">
        <f>SUM(CC29)</f>
        <v>3295838980.7862144</v>
      </c>
      <c r="CD30" s="906">
        <f>SUM(CD29)</f>
        <v>0</v>
      </c>
      <c r="CE30" s="1119"/>
      <c r="CI30" s="906">
        <f>SUM(CI29)</f>
        <v>3295838980.7862144</v>
      </c>
      <c r="CJ30" s="906">
        <f>SUM(CJ29)</f>
        <v>0</v>
      </c>
      <c r="CK30" s="906">
        <f>SUM(CK29)</f>
        <v>3295838980.7862144</v>
      </c>
      <c r="CL30" s="906">
        <f>SUM(CL29)</f>
        <v>0</v>
      </c>
      <c r="CM30" s="1119"/>
      <c r="CQ30" s="906">
        <f>SUM(CQ29)</f>
        <v>3295838980.7862144</v>
      </c>
      <c r="CR30" s="906">
        <f>SUM(CR29)</f>
        <v>0</v>
      </c>
      <c r="CS30" s="906">
        <f>SUM(CS29)</f>
        <v>3295838980.7862144</v>
      </c>
      <c r="CT30" s="906">
        <f>SUM(CT29)</f>
        <v>0</v>
      </c>
      <c r="CU30" s="1119"/>
      <c r="CY30" s="906">
        <f>SUM(CY29)</f>
        <v>3295838980.7862144</v>
      </c>
      <c r="CZ30" s="906">
        <f>SUM(CZ29)</f>
        <v>0</v>
      </c>
      <c r="DA30" s="906">
        <f>SUM(DA29)</f>
        <v>3295838980.7862144</v>
      </c>
      <c r="DB30" s="906">
        <f>SUM(DB29)</f>
        <v>0</v>
      </c>
      <c r="DC30" s="1119"/>
      <c r="DG30" s="906">
        <f>SUM(DG29)</f>
        <v>3295838980.7862144</v>
      </c>
      <c r="DH30" s="906">
        <f>SUM(DH29)</f>
        <v>0</v>
      </c>
      <c r="DI30" s="906">
        <f>SUM(DI29)</f>
        <v>3295838980.7862144</v>
      </c>
      <c r="DJ30" s="906">
        <f>SUM(DJ29)</f>
        <v>0</v>
      </c>
      <c r="DK30" s="1119"/>
      <c r="DO30" s="906">
        <f>SUM(DO29)</f>
        <v>3295838980.7862144</v>
      </c>
      <c r="DP30" s="906">
        <f>SUM(DP29)</f>
        <v>0</v>
      </c>
      <c r="DQ30" s="906">
        <f>SUM(DQ29)</f>
        <v>3295838980.7862144</v>
      </c>
      <c r="DR30" s="906">
        <f>SUM(DR29)</f>
        <v>0</v>
      </c>
      <c r="DS30" s="1119"/>
      <c r="DW30" s="906">
        <f>SUM(DW29)</f>
        <v>3295838980.7862144</v>
      </c>
      <c r="DX30" s="906">
        <f>SUM(DX29)</f>
        <v>0</v>
      </c>
      <c r="DY30" s="906">
        <f>SUM(DY29)</f>
        <v>3295838980.7862144</v>
      </c>
      <c r="DZ30" s="906">
        <f>SUM(DZ29)</f>
        <v>0</v>
      </c>
      <c r="EA30" s="1119"/>
      <c r="EE30" s="906">
        <f>SUM(EE29)</f>
        <v>3295838980.7862144</v>
      </c>
      <c r="EF30" s="906">
        <f>SUM(EF29)</f>
        <v>0</v>
      </c>
      <c r="EG30" s="906">
        <f>SUM(EG29)</f>
        <v>3295838980.7862144</v>
      </c>
      <c r="EH30" s="906">
        <f>SUM(EH29)</f>
        <v>0</v>
      </c>
      <c r="EI30" s="1119"/>
      <c r="EM30" s="906">
        <f>SUM(EM29)</f>
        <v>3295838980.7862144</v>
      </c>
      <c r="EN30" s="906">
        <f>SUM(EN29)</f>
        <v>0</v>
      </c>
      <c r="EO30" s="906">
        <f>SUM(EO29)</f>
        <v>3295838980.7862144</v>
      </c>
      <c r="EP30" s="906">
        <f>SUM(EP29)</f>
        <v>0</v>
      </c>
      <c r="EQ30" s="1119"/>
      <c r="EU30" s="906">
        <f>SUM(EU29)</f>
        <v>3295838980.7862144</v>
      </c>
      <c r="EV30" s="906">
        <f>SUM(EV29)</f>
        <v>0</v>
      </c>
      <c r="EW30" s="906">
        <f>SUM(EW29)</f>
        <v>3295838980.7862144</v>
      </c>
      <c r="EX30" s="906">
        <f>SUM(EX29)</f>
        <v>0</v>
      </c>
      <c r="EY30" s="1119"/>
      <c r="FC30" s="906">
        <f>SUM(FC29)</f>
        <v>3295838980.7862144</v>
      </c>
      <c r="FD30" s="906">
        <f>SUM(FD29)</f>
        <v>0</v>
      </c>
      <c r="FE30" s="906">
        <f>SUM(FE29)</f>
        <v>3295838980.7862144</v>
      </c>
      <c r="FF30" s="906">
        <f>SUM(FF29)</f>
        <v>0</v>
      </c>
      <c r="FG30" s="1119"/>
      <c r="FK30" s="906">
        <f>SUM(FK29)</f>
        <v>3295838980.7862144</v>
      </c>
      <c r="FL30" s="906">
        <f>SUM(FL29)</f>
        <v>0</v>
      </c>
      <c r="FM30" s="906">
        <f>SUM(FM29)</f>
        <v>3295838980.7862144</v>
      </c>
      <c r="FN30" s="906">
        <f>SUM(FN29)</f>
        <v>0</v>
      </c>
      <c r="FO30" s="1119"/>
    </row>
    <row r="31" spans="1:171" x14ac:dyDescent="0.25">
      <c r="A31" s="163"/>
      <c r="B31" s="64"/>
      <c r="C31" s="55"/>
      <c r="D31" s="55"/>
      <c r="E31" s="55"/>
      <c r="F31" s="55"/>
      <c r="G31" s="918"/>
      <c r="H31" s="918"/>
      <c r="I31" s="918"/>
      <c r="J31" s="919"/>
      <c r="K31" s="904"/>
      <c r="S31" s="1119"/>
      <c r="AA31" s="1119"/>
      <c r="AI31" s="1119"/>
      <c r="AQ31" s="1119"/>
      <c r="AY31" s="1119"/>
      <c r="BG31" s="1119"/>
      <c r="BO31" s="1119"/>
      <c r="BW31" s="1119"/>
      <c r="CE31" s="1119"/>
      <c r="CM31" s="1119"/>
      <c r="CU31" s="1119"/>
      <c r="DC31" s="1119"/>
      <c r="DK31" s="1119"/>
      <c r="DS31" s="1119"/>
      <c r="EA31" s="1119"/>
      <c r="EI31" s="1119"/>
      <c r="EQ31" s="1119"/>
      <c r="EY31" s="1119"/>
      <c r="FG31" s="1119"/>
      <c r="FO31" s="1119"/>
    </row>
    <row r="32" spans="1:171" x14ac:dyDescent="0.25">
      <c r="A32" s="199" t="s">
        <v>472</v>
      </c>
      <c r="B32" s="220"/>
      <c r="C32" s="55"/>
      <c r="D32" s="55"/>
      <c r="E32" s="64"/>
      <c r="F32" s="64"/>
      <c r="G32" s="911"/>
      <c r="H32" s="911"/>
      <c r="I32" s="911"/>
      <c r="J32" s="912"/>
      <c r="K32" s="904"/>
      <c r="S32" s="1119"/>
      <c r="AA32" s="1119"/>
      <c r="AI32" s="1119"/>
      <c r="AQ32" s="1119"/>
      <c r="AY32" s="1119"/>
      <c r="BG32" s="1119"/>
      <c r="BO32" s="1119"/>
      <c r="BW32" s="1119"/>
      <c r="CE32" s="1119"/>
      <c r="CM32" s="1119"/>
      <c r="CU32" s="1119"/>
      <c r="DC32" s="1119"/>
      <c r="DK32" s="1119"/>
      <c r="DS32" s="1119"/>
      <c r="EA32" s="1119"/>
      <c r="EI32" s="1119"/>
      <c r="EQ32" s="1119"/>
      <c r="EY32" s="1119"/>
      <c r="FG32" s="1119"/>
      <c r="FO32" s="1119"/>
    </row>
    <row r="33" spans="1:171" x14ac:dyDescent="0.25">
      <c r="A33" s="913"/>
      <c r="B33" s="914" t="s">
        <v>140</v>
      </c>
      <c r="C33" s="888" t="s">
        <v>70</v>
      </c>
      <c r="D33" s="889" t="s">
        <v>123</v>
      </c>
      <c r="E33" s="182" t="str">
        <f>'Sch 1- Rate Base '!E33</f>
        <v>DIST</v>
      </c>
      <c r="F33" s="890"/>
      <c r="G33" s="182">
        <f>'Sch 1- Rate Base '!G33</f>
        <v>3803344740.5943408</v>
      </c>
      <c r="H33" s="182">
        <f>'Sch 1- Rate Base '!H33</f>
        <v>0</v>
      </c>
      <c r="I33" s="182">
        <f>'Sch 1- Rate Base '!I33</f>
        <v>0</v>
      </c>
      <c r="J33" s="183">
        <f>'Sch 1- Rate Base '!J33</f>
        <v>3803344740.5943408</v>
      </c>
      <c r="K33" s="904">
        <f>IF($E33="DIRECT",0,1)</f>
        <v>1</v>
      </c>
      <c r="O33" s="1117">
        <f>$G33</f>
        <v>3803344740.5943408</v>
      </c>
      <c r="P33" s="1118">
        <f>VLOOKUP($E33,O$442:R$453,2,FALSE)*O33*($K33)+IF($G33&gt;0,($H33/$G33)*O33,0)*(1-$K33)</f>
        <v>0</v>
      </c>
      <c r="Q33" s="1118">
        <f>VLOOKUP($E33,O$442:R$453,3,FALSE)*O33*($K33)+IF($G33&gt;0,($I33/$G33)*O33,0)*(1-$K33)</f>
        <v>0</v>
      </c>
      <c r="R33" s="1118">
        <f>VLOOKUP($E33,O$442:R$453,4,FALSE)*O33*($K33)+(O33-P33-Q33)*(1-$K33)</f>
        <v>3803344740.5943408</v>
      </c>
      <c r="S33" s="1119"/>
      <c r="W33" s="1117">
        <f>$G33</f>
        <v>3803344740.5943408</v>
      </c>
      <c r="X33" s="1118">
        <f>VLOOKUP($E33,W$442:Z$453,2,FALSE)*W33*($K33)+IF($G33&gt;0,($H33/$G33)*W33,0)*(1-$K33)</f>
        <v>0</v>
      </c>
      <c r="Y33" s="1118">
        <f>VLOOKUP($E33,W$442:Z$453,3,FALSE)*W33*($K33)+IF($G33&gt;0,($I33/$G33)*W33,0)*(1-$K33)</f>
        <v>0</v>
      </c>
      <c r="Z33" s="1118">
        <f>VLOOKUP($E33,W$442:Z$453,4,FALSE)*W33*($K33)+(W33-X33-Y33)*(1-$K33)</f>
        <v>3803344740.5943408</v>
      </c>
      <c r="AA33" s="1119"/>
      <c r="AE33" s="1117">
        <f>$G33</f>
        <v>3803344740.5943408</v>
      </c>
      <c r="AF33" s="1118">
        <f>VLOOKUP($E33,AE$442:AH$453,2,FALSE)*AE33*($K33)+IF($G33&gt;0,($H33/$G33)*AE33,0)*(1-$K33)</f>
        <v>0</v>
      </c>
      <c r="AG33" s="1118">
        <f>VLOOKUP($E33,AE$442:AH$453,3,FALSE)*AE33*($K33)+IF($G33&gt;0,($I33/$G33)*AE33,0)*(1-$K33)</f>
        <v>0</v>
      </c>
      <c r="AH33" s="1118">
        <f>VLOOKUP($E33,AE$442:AH$453,4,FALSE)*AE33*($K33)+(AE33-AF33-AG33)*(1-$K33)</f>
        <v>3803344740.5943408</v>
      </c>
      <c r="AI33" s="1119"/>
      <c r="AM33" s="1117">
        <f>$G33</f>
        <v>3803344740.5943408</v>
      </c>
      <c r="AN33" s="1118">
        <f>VLOOKUP($E33,AM$442:AP$453,2,FALSE)*AM33*($K33)+IF($G33&gt;0,($H33/$G33)*AM33,0)*(1-$K33)</f>
        <v>0</v>
      </c>
      <c r="AO33" s="1118">
        <f>VLOOKUP($E33,AM$442:AP$453,3,FALSE)*AM33*($K33)+IF($G33&gt;0,($I33/$G33)*AM33,0)*(1-$K33)</f>
        <v>0</v>
      </c>
      <c r="AP33" s="1118">
        <f>VLOOKUP($E33,AM$442:AP$453,4,FALSE)*AM33*($K33)+(AM33-AN33-AO33)*(1-$K33)</f>
        <v>3803344740.5943408</v>
      </c>
      <c r="AQ33" s="1119"/>
      <c r="AU33" s="1117">
        <f>$G33</f>
        <v>3803344740.5943408</v>
      </c>
      <c r="AV33" s="1118">
        <f>VLOOKUP($E33,AU$442:AX$453,2,FALSE)*AU33*($K33)+IF($G33&gt;0,($H33/$G33)*AU33,0)*(1-$K33)</f>
        <v>0</v>
      </c>
      <c r="AW33" s="1118">
        <f>VLOOKUP($E33,AU$442:AX$453,3,FALSE)*AU33*($K33)+IF($G33&gt;0,($I33/$G33)*AU33,0)*(1-$K33)</f>
        <v>0</v>
      </c>
      <c r="AX33" s="1118">
        <f>VLOOKUP($E33,AU$442:AX$453,4,FALSE)*AU33*($K33)+(AU33-AV33-AW33)*(1-$K33)</f>
        <v>3803344740.5943408</v>
      </c>
      <c r="AY33" s="1119"/>
      <c r="BC33" s="1117">
        <f>$G33</f>
        <v>3803344740.5943408</v>
      </c>
      <c r="BD33" s="1118">
        <f>VLOOKUP($E33,BC$442:BF$453,2,FALSE)*BC33*($K33)+IF($G33&gt;0,($H33/$G33)*BC33,0)*(1-$K33)</f>
        <v>0</v>
      </c>
      <c r="BE33" s="1118">
        <f>VLOOKUP($E33,BC$442:BF$453,3,FALSE)*BC33*($K33)+IF($G33&gt;0,($I33/$G33)*BC33,0)*(1-$K33)</f>
        <v>0</v>
      </c>
      <c r="BF33" s="1118">
        <f>VLOOKUP($E33,BC$442:BF$453,4,FALSE)*BC33*($K33)+(BC33-BD33-BE33)*(1-$K33)</f>
        <v>3803344740.5943408</v>
      </c>
      <c r="BG33" s="1119"/>
      <c r="BK33" s="1117">
        <f>$G33</f>
        <v>3803344740.5943408</v>
      </c>
      <c r="BL33" s="1118">
        <f>VLOOKUP($E33,BK$442:BN$453,2,FALSE)*BK33*($K33)+IF($G33&gt;0,($H33/$G33)*BK33,0)*(1-$K33)</f>
        <v>0</v>
      </c>
      <c r="BM33" s="1118">
        <f>VLOOKUP($E33,BK$442:BN$453,3,FALSE)*BK33*($K33)+IF($G33&gt;0,($I33/$G33)*BK33,0)*(1-$K33)</f>
        <v>0</v>
      </c>
      <c r="BN33" s="1118">
        <f>VLOOKUP($E33,BK$442:BN$453,4,FALSE)*BK33*($K33)+(BK33-BL33-BM33)*(1-$K33)</f>
        <v>3803344740.5943408</v>
      </c>
      <c r="BO33" s="1119"/>
      <c r="BS33" s="1117">
        <f>$G33</f>
        <v>3803344740.5943408</v>
      </c>
      <c r="BT33" s="1118">
        <f>VLOOKUP($E33,BS$442:BV$453,2,FALSE)*BS33*($K33)+IF($G33&gt;0,($H33/$G33)*BS33,0)*(1-$K33)</f>
        <v>0</v>
      </c>
      <c r="BU33" s="1118">
        <f>VLOOKUP($E33,BS$442:BV$453,3,FALSE)*BS33*($K33)+IF($G33&gt;0,($I33/$G33)*BS33,0)*(1-$K33)</f>
        <v>0</v>
      </c>
      <c r="BV33" s="1118">
        <f>VLOOKUP($E33,BS$442:BV$453,4,FALSE)*BS33*($K33)+(BS33-BT33-BU33)*(1-$K33)</f>
        <v>3803344740.5943408</v>
      </c>
      <c r="BW33" s="1119"/>
      <c r="CA33" s="1117">
        <f>$G33</f>
        <v>3803344740.5943408</v>
      </c>
      <c r="CB33" s="1118">
        <f>VLOOKUP($E33,CA$442:CD$453,2,FALSE)*CA33*($K33)+IF($G33&gt;0,($H33/$G33)*CA33,0)*(1-$K33)</f>
        <v>0</v>
      </c>
      <c r="CC33" s="1118">
        <f>VLOOKUP($E33,CA$442:CD$453,3,FALSE)*CA33*($K33)+IF($G33&gt;0,($I33/$G33)*CA33,0)*(1-$K33)</f>
        <v>0</v>
      </c>
      <c r="CD33" s="1118">
        <f>VLOOKUP($E33,CA$442:CD$453,4,FALSE)*CA33*($K33)+(CA33-CB33-CC33)*(1-$K33)</f>
        <v>3803344740.5943408</v>
      </c>
      <c r="CE33" s="1119"/>
      <c r="CI33" s="1117">
        <f>$G33</f>
        <v>3803344740.5943408</v>
      </c>
      <c r="CJ33" s="1118">
        <f>VLOOKUP($E33,CI$442:CL$453,2,FALSE)*CI33*($K33)+IF($G33&gt;0,($H33/$G33)*CI33,0)*(1-$K33)</f>
        <v>0</v>
      </c>
      <c r="CK33" s="1118">
        <f>VLOOKUP($E33,CI$442:CL$453,3,FALSE)*CI33*($K33)+IF($G33&gt;0,($I33/$G33)*CI33,0)*(1-$K33)</f>
        <v>0</v>
      </c>
      <c r="CL33" s="1118">
        <f>VLOOKUP($E33,CI$442:CL$453,4,FALSE)*CI33*($K33)+(CI33-CJ33-CK33)*(1-$K33)</f>
        <v>3803344740.5943408</v>
      </c>
      <c r="CM33" s="1119"/>
      <c r="CQ33" s="1117">
        <f>$G33</f>
        <v>3803344740.5943408</v>
      </c>
      <c r="CR33" s="1118">
        <f>VLOOKUP($E33,CQ$442:CT$453,2,FALSE)*CQ33*($K33)+IF($G33&gt;0,($H33/$G33)*CQ33,0)*(1-$K33)</f>
        <v>0</v>
      </c>
      <c r="CS33" s="1118">
        <f>VLOOKUP($E33,CQ$442:CT$453,3,FALSE)*CQ33*($K33)+IF($G33&gt;0,($I33/$G33)*CQ33,0)*(1-$K33)</f>
        <v>0</v>
      </c>
      <c r="CT33" s="1118">
        <f>VLOOKUP($E33,CQ$442:CT$453,4,FALSE)*CQ33*($K33)+(CQ33-CR33-CS33)*(1-$K33)</f>
        <v>3803344740.5943408</v>
      </c>
      <c r="CU33" s="1119"/>
      <c r="CY33" s="1117">
        <f>$G33</f>
        <v>3803344740.5943408</v>
      </c>
      <c r="CZ33" s="1118">
        <f>VLOOKUP($E33,CY$442:DB$453,2,FALSE)*CY33*($K33)+IF($G33&gt;0,($H33/$G33)*CY33,0)*(1-$K33)</f>
        <v>0</v>
      </c>
      <c r="DA33" s="1118">
        <f>VLOOKUP($E33,CY$442:DB$453,3,FALSE)*CY33*($K33)+IF($G33&gt;0,($I33/$G33)*CY33,0)*(1-$K33)</f>
        <v>0</v>
      </c>
      <c r="DB33" s="1118">
        <f>VLOOKUP($E33,CY$442:DB$453,4,FALSE)*CY33*($K33)+(CY33-CZ33-DA33)*(1-$K33)</f>
        <v>3803344740.5943408</v>
      </c>
      <c r="DC33" s="1119"/>
      <c r="DG33" s="1117">
        <f>$G33</f>
        <v>3803344740.5943408</v>
      </c>
      <c r="DH33" s="1118">
        <f>VLOOKUP($E33,DG$442:DJ$453,2,FALSE)*DG33*($K33)+IF($G33&gt;0,($H33/$G33)*DG33,0)*(1-$K33)</f>
        <v>0</v>
      </c>
      <c r="DI33" s="1118">
        <f>VLOOKUP($E33,DG$442:DJ$453,3,FALSE)*DG33*($K33)+IF($G33&gt;0,($I33/$G33)*DG33,0)*(1-$K33)</f>
        <v>0</v>
      </c>
      <c r="DJ33" s="1118">
        <f>VLOOKUP($E33,DG$442:DJ$453,4,FALSE)*DG33*($K33)+(DG33-DH33-DI33)*(1-$K33)</f>
        <v>3803344740.5943408</v>
      </c>
      <c r="DK33" s="1119"/>
      <c r="DO33" s="1117">
        <f>$G33</f>
        <v>3803344740.5943408</v>
      </c>
      <c r="DP33" s="1118">
        <f>VLOOKUP($E33,DO$442:DR$453,2,FALSE)*DO33*($K33)+IF($G33&gt;0,($H33/$G33)*DO33,0)*(1-$K33)</f>
        <v>0</v>
      </c>
      <c r="DQ33" s="1118">
        <f>VLOOKUP($E33,DO$442:DR$453,3,FALSE)*DO33*($K33)+IF($G33&gt;0,($I33/$G33)*DO33,0)*(1-$K33)</f>
        <v>0</v>
      </c>
      <c r="DR33" s="1118">
        <f>VLOOKUP($E33,DO$442:DR$453,4,FALSE)*DO33*($K33)+(DO33-DP33-DQ33)*(1-$K33)</f>
        <v>3803344740.5943408</v>
      </c>
      <c r="DS33" s="1119"/>
      <c r="DW33" s="1117">
        <f>$G33</f>
        <v>3803344740.5943408</v>
      </c>
      <c r="DX33" s="1118">
        <f>VLOOKUP($E33,DW$442:DZ$453,2,FALSE)*DW33*($K33)+IF($G33&gt;0,($H33/$G33)*DW33,0)*(1-$K33)</f>
        <v>0</v>
      </c>
      <c r="DY33" s="1118">
        <f>VLOOKUP($E33,DW$442:DZ$453,3,FALSE)*DW33*($K33)+IF($G33&gt;0,($I33/$G33)*DW33,0)*(1-$K33)</f>
        <v>0</v>
      </c>
      <c r="DZ33" s="1118">
        <f>VLOOKUP($E33,DW$442:DZ$453,4,FALSE)*DW33*($K33)+(DW33-DX33-DY33)*(1-$K33)</f>
        <v>3803344740.5943408</v>
      </c>
      <c r="EA33" s="1119"/>
      <c r="EE33" s="1117">
        <f>$G33</f>
        <v>3803344740.5943408</v>
      </c>
      <c r="EF33" s="1118">
        <f>VLOOKUP($E33,EE$442:EH$453,2,FALSE)*EE33*($K33)+IF($G33&gt;0,($H33/$G33)*EE33,0)*(1-$K33)</f>
        <v>0</v>
      </c>
      <c r="EG33" s="1118">
        <f>VLOOKUP($E33,EE$442:EH$453,3,FALSE)*EE33*($K33)+IF($G33&gt;0,($I33/$G33)*EE33,0)*(1-$K33)</f>
        <v>0</v>
      </c>
      <c r="EH33" s="1118">
        <f>VLOOKUP($E33,EE$442:EH$453,4,FALSE)*EE33*($K33)+(EE33-EF33-EG33)*(1-$K33)</f>
        <v>3803344740.5943408</v>
      </c>
      <c r="EI33" s="1119"/>
      <c r="EM33" s="1117">
        <f>$G33</f>
        <v>3803344740.5943408</v>
      </c>
      <c r="EN33" s="1118">
        <f>VLOOKUP($E33,EM$442:EP$453,2,FALSE)*EM33*($K33)+IF($G33&gt;0,($H33/$G33)*EM33,0)*(1-$K33)</f>
        <v>0</v>
      </c>
      <c r="EO33" s="1118">
        <f>VLOOKUP($E33,EM$442:EP$453,3,FALSE)*EM33*($K33)+IF($G33&gt;0,($I33/$G33)*EM33,0)*(1-$K33)</f>
        <v>0</v>
      </c>
      <c r="EP33" s="1118">
        <f>VLOOKUP($E33,EM$442:EP$453,4,FALSE)*EM33*($K33)+(EM33-EN33-EO33)*(1-$K33)</f>
        <v>3803344740.5943408</v>
      </c>
      <c r="EQ33" s="1119"/>
      <c r="EU33" s="1117">
        <f>$G33</f>
        <v>3803344740.5943408</v>
      </c>
      <c r="EV33" s="1118">
        <f>VLOOKUP($E33,EU$442:EX$453,2,FALSE)*EU33*($K33)+IF($G33&gt;0,($H33/$G33)*EU33,0)*(1-$K33)</f>
        <v>0</v>
      </c>
      <c r="EW33" s="1118">
        <f>VLOOKUP($E33,EU$442:EX$453,3,FALSE)*EU33*($K33)+IF($G33&gt;0,($I33/$G33)*EU33,0)*(1-$K33)</f>
        <v>0</v>
      </c>
      <c r="EX33" s="1118">
        <f>VLOOKUP($E33,EU$442:EX$453,4,FALSE)*EU33*($K33)+(EU33-EV33-EW33)*(1-$K33)</f>
        <v>3803344740.5943408</v>
      </c>
      <c r="EY33" s="1119"/>
      <c r="FC33" s="1117">
        <f>$G33</f>
        <v>3803344740.5943408</v>
      </c>
      <c r="FD33" s="1118">
        <f>VLOOKUP($E33,FC$442:FF$453,2,FALSE)*FC33*($K33)+IF($G33&gt;0,($H33/$G33)*FC33,0)*(1-$K33)</f>
        <v>0</v>
      </c>
      <c r="FE33" s="1118">
        <f>VLOOKUP($E33,FC$442:FF$453,3,FALSE)*FC33*($K33)+IF($G33&gt;0,($I33/$G33)*FC33,0)*(1-$K33)</f>
        <v>0</v>
      </c>
      <c r="FF33" s="1118">
        <f>VLOOKUP($E33,FC$442:FF$453,4,FALSE)*FC33*($K33)+(FC33-FD33-FE33)*(1-$K33)</f>
        <v>3803344740.5943408</v>
      </c>
      <c r="FG33" s="1119"/>
      <c r="FK33" s="1117">
        <f>$G33</f>
        <v>3803344740.5943408</v>
      </c>
      <c r="FL33" s="1118">
        <f>VLOOKUP($E33,FK$442:FN$453,2,FALSE)*FK33*($K33)+IF($G33&gt;0,($H33/$G33)*FK33,0)*(1-$K33)</f>
        <v>0</v>
      </c>
      <c r="FM33" s="1118">
        <f>VLOOKUP($E33,FK$442:FN$453,3,FALSE)*FK33*($K33)+IF($G33&gt;0,($I33/$G33)*FK33,0)*(1-$K33)</f>
        <v>0</v>
      </c>
      <c r="FN33" s="1118">
        <f>VLOOKUP($E33,FK$442:FN$453,4,FALSE)*FK33*($K33)+(FK33-FL33-FM33)*(1-$K33)</f>
        <v>3803344740.5943408</v>
      </c>
      <c r="FO33" s="1119"/>
    </row>
    <row r="34" spans="1:171" x14ac:dyDescent="0.25">
      <c r="A34" s="209" t="s">
        <v>122</v>
      </c>
      <c r="B34" s="220"/>
      <c r="C34" s="915"/>
      <c r="D34" s="916"/>
      <c r="E34" s="916"/>
      <c r="F34" s="917"/>
      <c r="G34" s="906">
        <f>SUM(G33)</f>
        <v>3803344740.5943408</v>
      </c>
      <c r="H34" s="906">
        <f>SUM(H33)</f>
        <v>0</v>
      </c>
      <c r="I34" s="906">
        <f>SUM(I33)</f>
        <v>0</v>
      </c>
      <c r="J34" s="1386">
        <f>SUM(J33)</f>
        <v>3803344740.5943408</v>
      </c>
      <c r="K34" s="904"/>
      <c r="O34" s="906">
        <f>SUM(O33)</f>
        <v>3803344740.5943408</v>
      </c>
      <c r="P34" s="906">
        <f>SUM(P33)</f>
        <v>0</v>
      </c>
      <c r="Q34" s="906">
        <f>SUM(Q33)</f>
        <v>0</v>
      </c>
      <c r="R34" s="906">
        <f>SUM(R33)</f>
        <v>3803344740.5943408</v>
      </c>
      <c r="S34" s="1119"/>
      <c r="W34" s="906">
        <f>SUM(W33)</f>
        <v>3803344740.5943408</v>
      </c>
      <c r="X34" s="906">
        <f>SUM(X33)</f>
        <v>0</v>
      </c>
      <c r="Y34" s="906">
        <f>SUM(Y33)</f>
        <v>0</v>
      </c>
      <c r="Z34" s="906">
        <f>SUM(Z33)</f>
        <v>3803344740.5943408</v>
      </c>
      <c r="AA34" s="1119"/>
      <c r="AE34" s="906">
        <f>SUM(AE33)</f>
        <v>3803344740.5943408</v>
      </c>
      <c r="AF34" s="906">
        <f>SUM(AF33)</f>
        <v>0</v>
      </c>
      <c r="AG34" s="906">
        <f>SUM(AG33)</f>
        <v>0</v>
      </c>
      <c r="AH34" s="906">
        <f>SUM(AH33)</f>
        <v>3803344740.5943408</v>
      </c>
      <c r="AI34" s="1119"/>
      <c r="AM34" s="906">
        <f>SUM(AM33)</f>
        <v>3803344740.5943408</v>
      </c>
      <c r="AN34" s="906">
        <f>SUM(AN33)</f>
        <v>0</v>
      </c>
      <c r="AO34" s="906">
        <f>SUM(AO33)</f>
        <v>0</v>
      </c>
      <c r="AP34" s="906">
        <f>SUM(AP33)</f>
        <v>3803344740.5943408</v>
      </c>
      <c r="AQ34" s="1119"/>
      <c r="AU34" s="906">
        <f>SUM(AU33)</f>
        <v>3803344740.5943408</v>
      </c>
      <c r="AV34" s="906">
        <f>SUM(AV33)</f>
        <v>0</v>
      </c>
      <c r="AW34" s="906">
        <f>SUM(AW33)</f>
        <v>0</v>
      </c>
      <c r="AX34" s="906">
        <f>SUM(AX33)</f>
        <v>3803344740.5943408</v>
      </c>
      <c r="AY34" s="1119"/>
      <c r="BC34" s="906">
        <f>SUM(BC33)</f>
        <v>3803344740.5943408</v>
      </c>
      <c r="BD34" s="906">
        <f>SUM(BD33)</f>
        <v>0</v>
      </c>
      <c r="BE34" s="906">
        <f>SUM(BE33)</f>
        <v>0</v>
      </c>
      <c r="BF34" s="906">
        <f>SUM(BF33)</f>
        <v>3803344740.5943408</v>
      </c>
      <c r="BG34" s="1119"/>
      <c r="BK34" s="906">
        <f>SUM(BK33)</f>
        <v>3803344740.5943408</v>
      </c>
      <c r="BL34" s="906">
        <f>SUM(BL33)</f>
        <v>0</v>
      </c>
      <c r="BM34" s="906">
        <f>SUM(BM33)</f>
        <v>0</v>
      </c>
      <c r="BN34" s="906">
        <f>SUM(BN33)</f>
        <v>3803344740.5943408</v>
      </c>
      <c r="BO34" s="1119"/>
      <c r="BS34" s="906">
        <f>SUM(BS33)</f>
        <v>3803344740.5943408</v>
      </c>
      <c r="BT34" s="906">
        <f>SUM(BT33)</f>
        <v>0</v>
      </c>
      <c r="BU34" s="906">
        <f>SUM(BU33)</f>
        <v>0</v>
      </c>
      <c r="BV34" s="906">
        <f>SUM(BV33)</f>
        <v>3803344740.5943408</v>
      </c>
      <c r="BW34" s="1119"/>
      <c r="CA34" s="906">
        <f>SUM(CA33)</f>
        <v>3803344740.5943408</v>
      </c>
      <c r="CB34" s="906">
        <f>SUM(CB33)</f>
        <v>0</v>
      </c>
      <c r="CC34" s="906">
        <f>SUM(CC33)</f>
        <v>0</v>
      </c>
      <c r="CD34" s="906">
        <f>SUM(CD33)</f>
        <v>3803344740.5943408</v>
      </c>
      <c r="CE34" s="1119"/>
      <c r="CI34" s="906">
        <f>SUM(CI33)</f>
        <v>3803344740.5943408</v>
      </c>
      <c r="CJ34" s="906">
        <f>SUM(CJ33)</f>
        <v>0</v>
      </c>
      <c r="CK34" s="906">
        <f>SUM(CK33)</f>
        <v>0</v>
      </c>
      <c r="CL34" s="906">
        <f>SUM(CL33)</f>
        <v>3803344740.5943408</v>
      </c>
      <c r="CM34" s="1119"/>
      <c r="CQ34" s="906">
        <f>SUM(CQ33)</f>
        <v>3803344740.5943408</v>
      </c>
      <c r="CR34" s="906">
        <f>SUM(CR33)</f>
        <v>0</v>
      </c>
      <c r="CS34" s="906">
        <f>SUM(CS33)</f>
        <v>0</v>
      </c>
      <c r="CT34" s="906">
        <f>SUM(CT33)</f>
        <v>3803344740.5943408</v>
      </c>
      <c r="CU34" s="1119"/>
      <c r="CY34" s="906">
        <f>SUM(CY33)</f>
        <v>3803344740.5943408</v>
      </c>
      <c r="CZ34" s="906">
        <f>SUM(CZ33)</f>
        <v>0</v>
      </c>
      <c r="DA34" s="906">
        <f>SUM(DA33)</f>
        <v>0</v>
      </c>
      <c r="DB34" s="906">
        <f>SUM(DB33)</f>
        <v>3803344740.5943408</v>
      </c>
      <c r="DC34" s="1119"/>
      <c r="DG34" s="906">
        <f>SUM(DG33)</f>
        <v>3803344740.5943408</v>
      </c>
      <c r="DH34" s="906">
        <f>SUM(DH33)</f>
        <v>0</v>
      </c>
      <c r="DI34" s="906">
        <f>SUM(DI33)</f>
        <v>0</v>
      </c>
      <c r="DJ34" s="906">
        <f>SUM(DJ33)</f>
        <v>3803344740.5943408</v>
      </c>
      <c r="DK34" s="1119"/>
      <c r="DO34" s="906">
        <f>SUM(DO33)</f>
        <v>3803344740.5943408</v>
      </c>
      <c r="DP34" s="906">
        <f>SUM(DP33)</f>
        <v>0</v>
      </c>
      <c r="DQ34" s="906">
        <f>SUM(DQ33)</f>
        <v>0</v>
      </c>
      <c r="DR34" s="906">
        <f>SUM(DR33)</f>
        <v>3803344740.5943408</v>
      </c>
      <c r="DS34" s="1119"/>
      <c r="DW34" s="906">
        <f>SUM(DW33)</f>
        <v>3803344740.5943408</v>
      </c>
      <c r="DX34" s="906">
        <f>SUM(DX33)</f>
        <v>0</v>
      </c>
      <c r="DY34" s="906">
        <f>SUM(DY33)</f>
        <v>0</v>
      </c>
      <c r="DZ34" s="906">
        <f>SUM(DZ33)</f>
        <v>3803344740.5943408</v>
      </c>
      <c r="EA34" s="1119"/>
      <c r="EE34" s="906">
        <f>SUM(EE33)</f>
        <v>3803344740.5943408</v>
      </c>
      <c r="EF34" s="906">
        <f>SUM(EF33)</f>
        <v>0</v>
      </c>
      <c r="EG34" s="906">
        <f>SUM(EG33)</f>
        <v>0</v>
      </c>
      <c r="EH34" s="906">
        <f>SUM(EH33)</f>
        <v>3803344740.5943408</v>
      </c>
      <c r="EI34" s="1119"/>
      <c r="EM34" s="906">
        <f>SUM(EM33)</f>
        <v>3803344740.5943408</v>
      </c>
      <c r="EN34" s="906">
        <f>SUM(EN33)</f>
        <v>0</v>
      </c>
      <c r="EO34" s="906">
        <f>SUM(EO33)</f>
        <v>0</v>
      </c>
      <c r="EP34" s="906">
        <f>SUM(EP33)</f>
        <v>3803344740.5943408</v>
      </c>
      <c r="EQ34" s="1119"/>
      <c r="EU34" s="906">
        <f>SUM(EU33)</f>
        <v>3803344740.5943408</v>
      </c>
      <c r="EV34" s="906">
        <f>SUM(EV33)</f>
        <v>0</v>
      </c>
      <c r="EW34" s="906">
        <f>SUM(EW33)</f>
        <v>0</v>
      </c>
      <c r="EX34" s="906">
        <f>SUM(EX33)</f>
        <v>3803344740.5943408</v>
      </c>
      <c r="EY34" s="1119"/>
      <c r="FC34" s="906">
        <f>SUM(FC33)</f>
        <v>3803344740.5943408</v>
      </c>
      <c r="FD34" s="906">
        <f>SUM(FD33)</f>
        <v>0</v>
      </c>
      <c r="FE34" s="906">
        <f>SUM(FE33)</f>
        <v>0</v>
      </c>
      <c r="FF34" s="906">
        <f>SUM(FF33)</f>
        <v>3803344740.5943408</v>
      </c>
      <c r="FG34" s="1119"/>
      <c r="FK34" s="906">
        <f>SUM(FK33)</f>
        <v>3803344740.5943408</v>
      </c>
      <c r="FL34" s="906">
        <f>SUM(FL33)</f>
        <v>0</v>
      </c>
      <c r="FM34" s="906">
        <f>SUM(FM33)</f>
        <v>0</v>
      </c>
      <c r="FN34" s="906">
        <f>SUM(FN33)</f>
        <v>3803344740.5943408</v>
      </c>
      <c r="FO34" s="1119"/>
    </row>
    <row r="35" spans="1:171" x14ac:dyDescent="0.25">
      <c r="A35" s="209"/>
      <c r="B35" s="220"/>
      <c r="C35" s="55"/>
      <c r="D35" s="55"/>
      <c r="E35" s="55"/>
      <c r="F35" s="55"/>
      <c r="G35" s="920"/>
      <c r="H35" s="920"/>
      <c r="I35" s="920"/>
      <c r="J35" s="921"/>
      <c r="K35" s="904"/>
      <c r="S35" s="1119"/>
      <c r="AA35" s="1119"/>
      <c r="AI35" s="1119"/>
      <c r="AQ35" s="1119"/>
      <c r="AY35" s="1119"/>
      <c r="BG35" s="1119"/>
      <c r="BO35" s="1119"/>
      <c r="BW35" s="1119"/>
      <c r="CE35" s="1119"/>
      <c r="CM35" s="1119"/>
      <c r="CU35" s="1119"/>
      <c r="DC35" s="1119"/>
      <c r="DK35" s="1119"/>
      <c r="DS35" s="1119"/>
      <c r="EA35" s="1119"/>
      <c r="EI35" s="1119"/>
      <c r="EQ35" s="1119"/>
      <c r="EY35" s="1119"/>
      <c r="FG35" s="1119"/>
      <c r="FO35" s="1119"/>
    </row>
    <row r="36" spans="1:171" x14ac:dyDescent="0.25">
      <c r="A36" s="199" t="s">
        <v>124</v>
      </c>
      <c r="B36" s="64"/>
      <c r="C36" s="55"/>
      <c r="D36" s="196"/>
      <c r="E36" s="196"/>
      <c r="F36" s="196"/>
      <c r="G36" s="221"/>
      <c r="H36" s="221"/>
      <c r="I36" s="221"/>
      <c r="J36" s="222"/>
      <c r="K36" s="904"/>
      <c r="S36" s="1119"/>
      <c r="AA36" s="1119"/>
      <c r="AI36" s="1119"/>
      <c r="AQ36" s="1119"/>
      <c r="AY36" s="1119"/>
      <c r="BG36" s="1119"/>
      <c r="BO36" s="1119"/>
      <c r="BW36" s="1119"/>
      <c r="CE36" s="1119"/>
      <c r="CM36" s="1119"/>
      <c r="CU36" s="1119"/>
      <c r="DC36" s="1119"/>
      <c r="DK36" s="1119"/>
      <c r="DS36" s="1119"/>
      <c r="EA36" s="1119"/>
      <c r="EI36" s="1119"/>
      <c r="EQ36" s="1119"/>
      <c r="EY36" s="1119"/>
      <c r="FG36" s="1119"/>
      <c r="FO36" s="1119"/>
    </row>
    <row r="37" spans="1:171" x14ac:dyDescent="0.25">
      <c r="A37" s="913"/>
      <c r="B37" s="10" t="s">
        <v>125</v>
      </c>
      <c r="C37" s="888" t="s">
        <v>70</v>
      </c>
      <c r="D37" s="889">
        <v>389</v>
      </c>
      <c r="E37" s="182" t="str">
        <f>'Sch 1- Rate Base '!E37</f>
        <v>PTD</v>
      </c>
      <c r="F37" s="890"/>
      <c r="G37" s="182">
        <f>'Sch 1- Rate Base '!G37</f>
        <v>10980784.643303178</v>
      </c>
      <c r="H37" s="182">
        <f>'Sch 1- Rate Base '!H37</f>
        <v>4833699.0558356559</v>
      </c>
      <c r="I37" s="182">
        <f>'Sch 1- Rate Base '!I37</f>
        <v>0</v>
      </c>
      <c r="J37" s="183">
        <f>'Sch 1- Rate Base '!J37</f>
        <v>6147085.5874675214</v>
      </c>
      <c r="K37" s="904">
        <f t="shared" ref="K37:K48" si="0">IF($E37="DIRECT",0,1)</f>
        <v>1</v>
      </c>
      <c r="L37" s="1124">
        <f t="shared" ref="L37:L48" si="1">$G37/($G$26+$G$30+$G$34)</f>
        <v>8.6588625238059305E-4</v>
      </c>
      <c r="O37" s="1117">
        <f>(O$26+O$30+O$34)*$L37</f>
        <v>10980784.643303178</v>
      </c>
      <c r="P37" s="1118">
        <f>VLOOKUP($E37,O$442:R$453,2,FALSE)*O37*($K37)+IF($G37&gt;0,($H37/$G37)*O37,0)*(1-$K37)</f>
        <v>4833699.0558356559</v>
      </c>
      <c r="Q37" s="1118">
        <f>VLOOKUP($E37,O$442:R$453,3,FALSE)*O37*($K37)+IF($G37&gt;0,($I37/$G37)*O37,0)*(1-$K37)</f>
        <v>2853821.6635228484</v>
      </c>
      <c r="R37" s="1118">
        <f>VLOOKUP($E37,O$442:R$453,4,FALSE)*O37*($K37)+(O37-P37-Q37)*(1-$K37)</f>
        <v>3293263.9239446726</v>
      </c>
      <c r="S37" s="1119"/>
      <c r="W37" s="1117">
        <f>(W$26+W$30+W$34)*$L37</f>
        <v>10980784.643303178</v>
      </c>
      <c r="X37" s="1118">
        <f>VLOOKUP($E37,W$442:Z$453,2,FALSE)*W37*($K37)+IF($G37&gt;0,($H37/$G37)*W37,0)*(1-$K37)</f>
        <v>4833699.0558356559</v>
      </c>
      <c r="Y37" s="1118">
        <f>VLOOKUP($E37,W$442:Z$453,3,FALSE)*W37*($K37)+IF($G37&gt;0,($I37/$G37)*W37,0)*(1-$K37)</f>
        <v>2853821.6635228484</v>
      </c>
      <c r="Z37" s="1118">
        <f>VLOOKUP($E37,W$442:Z$453,4,FALSE)*W37*($K37)+(W37-X37-Y37)*(1-$K37)</f>
        <v>3293263.9239446726</v>
      </c>
      <c r="AA37" s="1119"/>
      <c r="AE37" s="1117">
        <f>(AE$26+AE$30+AE$34)*$L37</f>
        <v>10980784.643303178</v>
      </c>
      <c r="AF37" s="1118">
        <f>VLOOKUP($E37,AE$442:AH$453,2,FALSE)*AE37*($K37)+IF($G37&gt;0,($H37/$G37)*AE37,0)*(1-$K37)</f>
        <v>4833699.0558356559</v>
      </c>
      <c r="AG37" s="1118">
        <f>VLOOKUP($E37,AE$442:AH$453,3,FALSE)*AE37*($K37)+IF($G37&gt;0,($I37/$G37)*AE37,0)*(1-$K37)</f>
        <v>2853821.6635228484</v>
      </c>
      <c r="AH37" s="1118">
        <f>VLOOKUP($E37,AE$442:AH$453,4,FALSE)*AE37*($K37)+(AE37-AF37-AG37)*(1-$K37)</f>
        <v>3293263.9239446726</v>
      </c>
      <c r="AI37" s="1119"/>
      <c r="AM37" s="1117">
        <f>(AM$26+AM$30+AM$34)*$L37</f>
        <v>10980784.643303178</v>
      </c>
      <c r="AN37" s="1118">
        <f>VLOOKUP($E37,AM$442:AP$453,2,FALSE)*AM37*($K37)+IF($G37&gt;0,($H37/$G37)*AM37,0)*(1-$K37)</f>
        <v>4833699.0558356559</v>
      </c>
      <c r="AO37" s="1118">
        <f>VLOOKUP($E37,AM$442:AP$453,3,FALSE)*AM37*($K37)+IF($G37&gt;0,($I37/$G37)*AM37,0)*(1-$K37)</f>
        <v>2853821.6635228484</v>
      </c>
      <c r="AP37" s="1118">
        <f>VLOOKUP($E37,AM$442:AP$453,4,FALSE)*AM37*($K37)+(AM37-AN37-AO37)*(1-$K37)</f>
        <v>3293263.9239446726</v>
      </c>
      <c r="AQ37" s="1119"/>
      <c r="AU37" s="1117">
        <f>(AU$26+AU$30+AU$34)*$L37</f>
        <v>10980784.643303178</v>
      </c>
      <c r="AV37" s="1118">
        <f>VLOOKUP($E37,AU$442:AX$453,2,FALSE)*AU37*($K37)+IF($G37&gt;0,($H37/$G37)*AU37,0)*(1-$K37)</f>
        <v>4833699.0558356559</v>
      </c>
      <c r="AW37" s="1118">
        <f>VLOOKUP($E37,AU$442:AX$453,3,FALSE)*AU37*($K37)+IF($G37&gt;0,($I37/$G37)*AU37,0)*(1-$K37)</f>
        <v>2853821.6635228484</v>
      </c>
      <c r="AX37" s="1118">
        <f>VLOOKUP($E37,AU$442:AX$453,4,FALSE)*AU37*($K37)+(AU37-AV37-AW37)*(1-$K37)</f>
        <v>3293263.9239446726</v>
      </c>
      <c r="AY37" s="1119"/>
      <c r="BC37" s="1117">
        <f>(BC$26+BC$30+BC$34)*$L37</f>
        <v>10980784.643303178</v>
      </c>
      <c r="BD37" s="1118">
        <f>VLOOKUP($E37,BC$442:BF$453,2,FALSE)*BC37*($K37)+IF($G37&gt;0,($H37/$G37)*BC37,0)*(1-$K37)</f>
        <v>4833699.0558356559</v>
      </c>
      <c r="BE37" s="1118">
        <f>VLOOKUP($E37,BC$442:BF$453,3,FALSE)*BC37*($K37)+IF($G37&gt;0,($I37/$G37)*BC37,0)*(1-$K37)</f>
        <v>2853821.6635228484</v>
      </c>
      <c r="BF37" s="1118">
        <f>VLOOKUP($E37,BC$442:BF$453,4,FALSE)*BC37*($K37)+(BC37-BD37-BE37)*(1-$K37)</f>
        <v>3293263.9239446726</v>
      </c>
      <c r="BG37" s="1119"/>
      <c r="BK37" s="1117">
        <f>(BK$26+BK$30+BK$34)*$L37</f>
        <v>10980784.643303178</v>
      </c>
      <c r="BL37" s="1118">
        <f>VLOOKUP($E37,BK$442:BN$453,2,FALSE)*BK37*($K37)+IF($G37&gt;0,($H37/$G37)*BK37,0)*(1-$K37)</f>
        <v>4833699.0558356559</v>
      </c>
      <c r="BM37" s="1118">
        <f>VLOOKUP($E37,BK$442:BN$453,3,FALSE)*BK37*($K37)+IF($G37&gt;0,($I37/$G37)*BK37,0)*(1-$K37)</f>
        <v>2853821.6635228484</v>
      </c>
      <c r="BN37" s="1118">
        <f>VLOOKUP($E37,BK$442:BN$453,4,FALSE)*BK37*($K37)+(BK37-BL37-BM37)*(1-$K37)</f>
        <v>3293263.9239446726</v>
      </c>
      <c r="BO37" s="1119"/>
      <c r="BS37" s="1117">
        <f>(BS$26+BS$30+BS$34)*$L37</f>
        <v>10980784.643303178</v>
      </c>
      <c r="BT37" s="1118">
        <f>VLOOKUP($E37,BS$442:BV$453,2,FALSE)*BS37*($K37)+IF($G37&gt;0,($H37/$G37)*BS37,0)*(1-$K37)</f>
        <v>4833699.0558356559</v>
      </c>
      <c r="BU37" s="1118">
        <f>VLOOKUP($E37,BS$442:BV$453,3,FALSE)*BS37*($K37)+IF($G37&gt;0,($I37/$G37)*BS37,0)*(1-$K37)</f>
        <v>2853821.6635228484</v>
      </c>
      <c r="BV37" s="1118">
        <f>VLOOKUP($E37,BS$442:BV$453,4,FALSE)*BS37*($K37)+(BS37-BT37-BU37)*(1-$K37)</f>
        <v>3293263.9239446726</v>
      </c>
      <c r="BW37" s="1119"/>
      <c r="CA37" s="1117">
        <f>(CA$26+CA$30+CA$34)*$L37</f>
        <v>10980784.643303178</v>
      </c>
      <c r="CB37" s="1118">
        <f>VLOOKUP($E37,CA$442:CD$453,2,FALSE)*CA37*($K37)+IF($G37&gt;0,($H37/$G37)*CA37,0)*(1-$K37)</f>
        <v>4833699.0558356559</v>
      </c>
      <c r="CC37" s="1118">
        <f>VLOOKUP($E37,CA$442:CD$453,3,FALSE)*CA37*($K37)+IF($G37&gt;0,($I37/$G37)*CA37,0)*(1-$K37)</f>
        <v>2853821.6635228484</v>
      </c>
      <c r="CD37" s="1118">
        <f>VLOOKUP($E37,CA$442:CD$453,4,FALSE)*CA37*($K37)+(CA37-CB37-CC37)*(1-$K37)</f>
        <v>3293263.9239446726</v>
      </c>
      <c r="CE37" s="1119"/>
      <c r="CI37" s="1117">
        <f>(CI$26+CI$30+CI$34)*$L37</f>
        <v>10980784.643303178</v>
      </c>
      <c r="CJ37" s="1118">
        <f>VLOOKUP($E37,CI$442:CL$453,2,FALSE)*CI37*($K37)+IF($G37&gt;0,($H37/$G37)*CI37,0)*(1-$K37)</f>
        <v>4833699.0558356559</v>
      </c>
      <c r="CK37" s="1118">
        <f>VLOOKUP($E37,CI$442:CL$453,3,FALSE)*CI37*($K37)+IF($G37&gt;0,($I37/$G37)*CI37,0)*(1-$K37)</f>
        <v>2853821.6635228484</v>
      </c>
      <c r="CL37" s="1118">
        <f>VLOOKUP($E37,CI$442:CL$453,4,FALSE)*CI37*($K37)+(CI37-CJ37-CK37)*(1-$K37)</f>
        <v>3293263.9239446726</v>
      </c>
      <c r="CM37" s="1119"/>
      <c r="CQ37" s="1117">
        <f>(CQ$26+CQ$30+CQ$34)*$L37</f>
        <v>10980784.643303178</v>
      </c>
      <c r="CR37" s="1118">
        <f>VLOOKUP($E37,CQ$442:CT$453,2,FALSE)*CQ37*($K37)+IF($G37&gt;0,($H37/$G37)*CQ37,0)*(1-$K37)</f>
        <v>4833699.0558356559</v>
      </c>
      <c r="CS37" s="1118">
        <f>VLOOKUP($E37,CQ$442:CT$453,3,FALSE)*CQ37*($K37)+IF($G37&gt;0,($I37/$G37)*CQ37,0)*(1-$K37)</f>
        <v>2853821.6635228484</v>
      </c>
      <c r="CT37" s="1118">
        <f>VLOOKUP($E37,CQ$442:CT$453,4,FALSE)*CQ37*($K37)+(CQ37-CR37-CS37)*(1-$K37)</f>
        <v>3293263.9239446726</v>
      </c>
      <c r="CU37" s="1119"/>
      <c r="CY37" s="1117">
        <f>(CY$26+CY$30+CY$34)*$L37</f>
        <v>10980784.643303178</v>
      </c>
      <c r="CZ37" s="1118">
        <f>VLOOKUP($E37,CY$442:DB$453,2,FALSE)*CY37*($K37)+IF($G37&gt;0,($H37/$G37)*CY37,0)*(1-$K37)</f>
        <v>4833699.0558356559</v>
      </c>
      <c r="DA37" s="1118">
        <f>VLOOKUP($E37,CY$442:DB$453,3,FALSE)*CY37*($K37)+IF($G37&gt;0,($I37/$G37)*CY37,0)*(1-$K37)</f>
        <v>2853821.6635228484</v>
      </c>
      <c r="DB37" s="1118">
        <f>VLOOKUP($E37,CY$442:DB$453,4,FALSE)*CY37*($K37)+(CY37-CZ37-DA37)*(1-$K37)</f>
        <v>3293263.9239446726</v>
      </c>
      <c r="DC37" s="1119"/>
      <c r="DG37" s="1117">
        <f>(DG$26+DG$30+DG$34)*$L37</f>
        <v>10980784.643303178</v>
      </c>
      <c r="DH37" s="1118">
        <f>VLOOKUP($E37,DG$442:DJ$453,2,FALSE)*DG37*($K37)+IF($G37&gt;0,($H37/$G37)*DG37,0)*(1-$K37)</f>
        <v>4833699.0558356559</v>
      </c>
      <c r="DI37" s="1118">
        <f>VLOOKUP($E37,DG$442:DJ$453,3,FALSE)*DG37*($K37)+IF($G37&gt;0,($I37/$G37)*DG37,0)*(1-$K37)</f>
        <v>2853821.6635228484</v>
      </c>
      <c r="DJ37" s="1118">
        <f>VLOOKUP($E37,DG$442:DJ$453,4,FALSE)*DG37*($K37)+(DG37-DH37-DI37)*(1-$K37)</f>
        <v>3293263.9239446726</v>
      </c>
      <c r="DK37" s="1119"/>
      <c r="DO37" s="1117">
        <f>(DO$26+DO$30+DO$34)*$L37</f>
        <v>10980784.643303178</v>
      </c>
      <c r="DP37" s="1118">
        <f>VLOOKUP($E37,DO$442:DR$453,2,FALSE)*DO37*($K37)+IF($G37&gt;0,($H37/$G37)*DO37,0)*(1-$K37)</f>
        <v>4833699.0558356559</v>
      </c>
      <c r="DQ37" s="1118">
        <f>VLOOKUP($E37,DO$442:DR$453,3,FALSE)*DO37*($K37)+IF($G37&gt;0,($I37/$G37)*DO37,0)*(1-$K37)</f>
        <v>2853821.6635228484</v>
      </c>
      <c r="DR37" s="1118">
        <f>VLOOKUP($E37,DO$442:DR$453,4,FALSE)*DO37*($K37)+(DO37-DP37-DQ37)*(1-$K37)</f>
        <v>3293263.9239446726</v>
      </c>
      <c r="DS37" s="1119"/>
      <c r="DW37" s="1117">
        <f>(DW$26+DW$30+DW$34)*$L37</f>
        <v>10980784.643303178</v>
      </c>
      <c r="DX37" s="1118">
        <f>VLOOKUP($E37,DW$442:DZ$453,2,FALSE)*DW37*($K37)+IF($G37&gt;0,($H37/$G37)*DW37,0)*(1-$K37)</f>
        <v>4833699.0558356559</v>
      </c>
      <c r="DY37" s="1118">
        <f>VLOOKUP($E37,DW$442:DZ$453,3,FALSE)*DW37*($K37)+IF($G37&gt;0,($I37/$G37)*DW37,0)*(1-$K37)</f>
        <v>2853821.6635228484</v>
      </c>
      <c r="DZ37" s="1118">
        <f>VLOOKUP($E37,DW$442:DZ$453,4,FALSE)*DW37*($K37)+(DW37-DX37-DY37)*(1-$K37)</f>
        <v>3293263.9239446726</v>
      </c>
      <c r="EA37" s="1119"/>
      <c r="EE37" s="1117">
        <f>(EE$26+EE$30+EE$34)*$L37</f>
        <v>10980784.643303178</v>
      </c>
      <c r="EF37" s="1118">
        <f>VLOOKUP($E37,EE$442:EH$453,2,FALSE)*EE37*($K37)+IF($G37&gt;0,($H37/$G37)*EE37,0)*(1-$K37)</f>
        <v>4833699.0558356559</v>
      </c>
      <c r="EG37" s="1118">
        <f>VLOOKUP($E37,EE$442:EH$453,3,FALSE)*EE37*($K37)+IF($G37&gt;0,($I37/$G37)*EE37,0)*(1-$K37)</f>
        <v>2853821.6635228484</v>
      </c>
      <c r="EH37" s="1118">
        <f>VLOOKUP($E37,EE$442:EH$453,4,FALSE)*EE37*($K37)+(EE37-EF37-EG37)*(1-$K37)</f>
        <v>3293263.9239446726</v>
      </c>
      <c r="EI37" s="1119"/>
      <c r="EM37" s="1117">
        <f>(EM$26+EM$30+EM$34)*$L37</f>
        <v>10980784.643303178</v>
      </c>
      <c r="EN37" s="1118">
        <f>VLOOKUP($E37,EM$442:EP$453,2,FALSE)*EM37*($K37)+IF($G37&gt;0,($H37/$G37)*EM37,0)*(1-$K37)</f>
        <v>4833699.0558356559</v>
      </c>
      <c r="EO37" s="1118">
        <f>VLOOKUP($E37,EM$442:EP$453,3,FALSE)*EM37*($K37)+IF($G37&gt;0,($I37/$G37)*EM37,0)*(1-$K37)</f>
        <v>2853821.6635228484</v>
      </c>
      <c r="EP37" s="1118">
        <f>VLOOKUP($E37,EM$442:EP$453,4,FALSE)*EM37*($K37)+(EM37-EN37-EO37)*(1-$K37)</f>
        <v>3293263.9239446726</v>
      </c>
      <c r="EQ37" s="1119"/>
      <c r="EU37" s="1117">
        <f>(EU$26+EU$30+EU$34)*$L37</f>
        <v>10980784.643303178</v>
      </c>
      <c r="EV37" s="1118">
        <f>VLOOKUP($E37,EU$442:EX$453,2,FALSE)*EU37*($K37)+IF($G37&gt;0,($H37/$G37)*EU37,0)*(1-$K37)</f>
        <v>4833699.0558356559</v>
      </c>
      <c r="EW37" s="1118">
        <f>VLOOKUP($E37,EU$442:EX$453,3,FALSE)*EU37*($K37)+IF($G37&gt;0,($I37/$G37)*EU37,0)*(1-$K37)</f>
        <v>2853821.6635228484</v>
      </c>
      <c r="EX37" s="1118">
        <f>VLOOKUP($E37,EU$442:EX$453,4,FALSE)*EU37*($K37)+(EU37-EV37-EW37)*(1-$K37)</f>
        <v>3293263.9239446726</v>
      </c>
      <c r="EY37" s="1119"/>
      <c r="FC37" s="1117">
        <f>(FC$26+FC$30+FC$34)*$L37</f>
        <v>10980784.643303178</v>
      </c>
      <c r="FD37" s="1118">
        <f>VLOOKUP($E37,FC$442:FF$453,2,FALSE)*FC37*($K37)+IF($G37&gt;0,($H37/$G37)*FC37,0)*(1-$K37)</f>
        <v>4833699.0558356559</v>
      </c>
      <c r="FE37" s="1118">
        <f>VLOOKUP($E37,FC$442:FF$453,3,FALSE)*FC37*($K37)+IF($G37&gt;0,($I37/$G37)*FC37,0)*(1-$K37)</f>
        <v>2853821.6635228484</v>
      </c>
      <c r="FF37" s="1118">
        <f>VLOOKUP($E37,FC$442:FF$453,4,FALSE)*FC37*($K37)+(FC37-FD37-FE37)*(1-$K37)</f>
        <v>3293263.9239446726</v>
      </c>
      <c r="FG37" s="1119"/>
      <c r="FK37" s="1117">
        <f>(FK$26+FK$30+FK$34)*$L37</f>
        <v>10980784.643303178</v>
      </c>
      <c r="FL37" s="1118">
        <f>VLOOKUP($E37,FK$442:FN$453,2,FALSE)*FK37*($K37)+IF($G37&gt;0,($H37/$G37)*FK37,0)*(1-$K37)</f>
        <v>4833699.0558356559</v>
      </c>
      <c r="FM37" s="1118">
        <f>VLOOKUP($E37,FK$442:FN$453,3,FALSE)*FK37*($K37)+IF($G37&gt;0,($I37/$G37)*FK37,0)*(1-$K37)</f>
        <v>2853821.6635228484</v>
      </c>
      <c r="FN37" s="1118">
        <f>VLOOKUP($E37,FK$442:FN$453,4,FALSE)*FK37*($K37)+(FK37-FL37-FM37)*(1-$K37)</f>
        <v>3293263.9239446726</v>
      </c>
      <c r="FO37" s="1119"/>
    </row>
    <row r="38" spans="1:171" x14ac:dyDescent="0.25">
      <c r="A38" s="913"/>
      <c r="B38" s="10" t="s">
        <v>126</v>
      </c>
      <c r="C38" s="888" t="s">
        <v>70</v>
      </c>
      <c r="D38" s="889">
        <v>390</v>
      </c>
      <c r="E38" s="182" t="str">
        <f>'Sch 1- Rate Base '!E38</f>
        <v>PTD</v>
      </c>
      <c r="F38" s="890"/>
      <c r="G38" s="182">
        <f>'Sch 1- Rate Base '!G38</f>
        <v>134526603.60952502</v>
      </c>
      <c r="H38" s="182">
        <f>'Sch 1- Rate Base '!H38</f>
        <v>59218092.146876924</v>
      </c>
      <c r="I38" s="182">
        <f>'Sch 1- Rate Base '!I38</f>
        <v>0</v>
      </c>
      <c r="J38" s="183">
        <f>'Sch 1- Rate Base '!J38</f>
        <v>75308511.462648094</v>
      </c>
      <c r="K38" s="904">
        <f t="shared" si="0"/>
        <v>1</v>
      </c>
      <c r="L38" s="1124">
        <f t="shared" si="1"/>
        <v>1.0608052195612581E-2</v>
      </c>
      <c r="O38" s="1117">
        <f t="shared" ref="O38:O48" si="2">(O$26+O$30+O$34)*$L38</f>
        <v>134526603.60952502</v>
      </c>
      <c r="P38" s="1118">
        <f t="shared" ref="P38:P48" si="3">VLOOKUP($E38,O$442:R$453,2,FALSE)*O38*($K38)+IF($G38&gt;0,($H38/$G38)*O38,0)*(1-$K38)</f>
        <v>59218092.146876924</v>
      </c>
      <c r="Q38" s="1118">
        <f t="shared" ref="Q38:Q48" si="4">VLOOKUP($E38,O$442:R$453,3,FALSE)*O38*($K38)+IF($G38&gt;0,($I38/$G38)*O38,0)*(1-$K38)</f>
        <v>34962431.936514728</v>
      </c>
      <c r="R38" s="1118">
        <f t="shared" ref="R38:R48" si="5">VLOOKUP($E38,O$442:R$453,4,FALSE)*O38*($K38)+(O38-P38-Q38)*(1-$K38)</f>
        <v>40346079.526133358</v>
      </c>
      <c r="S38" s="1119"/>
      <c r="W38" s="1117">
        <f t="shared" ref="W38:W48" si="6">(W$26+W$30+W$34)*$L38</f>
        <v>134526603.60952502</v>
      </c>
      <c r="X38" s="1118">
        <f t="shared" ref="X38:X48" si="7">VLOOKUP($E38,W$442:Z$453,2,FALSE)*W38*($K38)+IF($G38&gt;0,($H38/$G38)*W38,0)*(1-$K38)</f>
        <v>59218092.146876924</v>
      </c>
      <c r="Y38" s="1118">
        <f t="shared" ref="Y38:Y48" si="8">VLOOKUP($E38,W$442:Z$453,3,FALSE)*W38*($K38)+IF($G38&gt;0,($I38/$G38)*W38,0)*(1-$K38)</f>
        <v>34962431.936514728</v>
      </c>
      <c r="Z38" s="1118">
        <f t="shared" ref="Z38:Z48" si="9">VLOOKUP($E38,W$442:Z$453,4,FALSE)*W38*($K38)+(W38-X38-Y38)*(1-$K38)</f>
        <v>40346079.526133358</v>
      </c>
      <c r="AA38" s="1119"/>
      <c r="AE38" s="1117">
        <f t="shared" ref="AE38:AE48" si="10">(AE$26+AE$30+AE$34)*$L38</f>
        <v>134526603.60952502</v>
      </c>
      <c r="AF38" s="1118">
        <f t="shared" ref="AF38:AF48" si="11">VLOOKUP($E38,AE$442:AH$453,2,FALSE)*AE38*($K38)+IF($G38&gt;0,($H38/$G38)*AE38,0)*(1-$K38)</f>
        <v>59218092.146876924</v>
      </c>
      <c r="AG38" s="1118">
        <f t="shared" ref="AG38:AG48" si="12">VLOOKUP($E38,AE$442:AH$453,3,FALSE)*AE38*($K38)+IF($G38&gt;0,($I38/$G38)*AE38,0)*(1-$K38)</f>
        <v>34962431.936514728</v>
      </c>
      <c r="AH38" s="1118">
        <f t="shared" ref="AH38:AH48" si="13">VLOOKUP($E38,AE$442:AH$453,4,FALSE)*AE38*($K38)+(AE38-AF38-AG38)*(1-$K38)</f>
        <v>40346079.526133358</v>
      </c>
      <c r="AI38" s="1119"/>
      <c r="AM38" s="1117">
        <f t="shared" ref="AM38:AM48" si="14">(AM$26+AM$30+AM$34)*$L38</f>
        <v>134526603.60952502</v>
      </c>
      <c r="AN38" s="1118">
        <f t="shared" ref="AN38:AN48" si="15">VLOOKUP($E38,AM$442:AP$453,2,FALSE)*AM38*($K38)+IF($G38&gt;0,($H38/$G38)*AM38,0)*(1-$K38)</f>
        <v>59218092.146876924</v>
      </c>
      <c r="AO38" s="1118">
        <f t="shared" ref="AO38:AO48" si="16">VLOOKUP($E38,AM$442:AP$453,3,FALSE)*AM38*($K38)+IF($G38&gt;0,($I38/$G38)*AM38,0)*(1-$K38)</f>
        <v>34962431.936514728</v>
      </c>
      <c r="AP38" s="1118">
        <f t="shared" ref="AP38:AP48" si="17">VLOOKUP($E38,AM$442:AP$453,4,FALSE)*AM38*($K38)+(AM38-AN38-AO38)*(1-$K38)</f>
        <v>40346079.526133358</v>
      </c>
      <c r="AQ38" s="1119"/>
      <c r="AU38" s="1117">
        <f t="shared" ref="AU38:AU48" si="18">(AU$26+AU$30+AU$34)*$L38</f>
        <v>134526603.60952502</v>
      </c>
      <c r="AV38" s="1118">
        <f t="shared" ref="AV38:AV48" si="19">VLOOKUP($E38,AU$442:AX$453,2,FALSE)*AU38*($K38)+IF($G38&gt;0,($H38/$G38)*AU38,0)*(1-$K38)</f>
        <v>59218092.146876924</v>
      </c>
      <c r="AW38" s="1118">
        <f t="shared" ref="AW38:AW48" si="20">VLOOKUP($E38,AU$442:AX$453,3,FALSE)*AU38*($K38)+IF($G38&gt;0,($I38/$G38)*AU38,0)*(1-$K38)</f>
        <v>34962431.936514728</v>
      </c>
      <c r="AX38" s="1118">
        <f t="shared" ref="AX38:AX48" si="21">VLOOKUP($E38,AU$442:AX$453,4,FALSE)*AU38*($K38)+(AU38-AV38-AW38)*(1-$K38)</f>
        <v>40346079.526133358</v>
      </c>
      <c r="AY38" s="1119"/>
      <c r="BC38" s="1117">
        <f t="shared" ref="BC38:BC48" si="22">(BC$26+BC$30+BC$34)*$L38</f>
        <v>134526603.60952502</v>
      </c>
      <c r="BD38" s="1118">
        <f t="shared" ref="BD38:BD48" si="23">VLOOKUP($E38,BC$442:BF$453,2,FALSE)*BC38*($K38)+IF($G38&gt;0,($H38/$G38)*BC38,0)*(1-$K38)</f>
        <v>59218092.146876924</v>
      </c>
      <c r="BE38" s="1118">
        <f t="shared" ref="BE38:BE48" si="24">VLOOKUP($E38,BC$442:BF$453,3,FALSE)*BC38*($K38)+IF($G38&gt;0,($I38/$G38)*BC38,0)*(1-$K38)</f>
        <v>34962431.936514728</v>
      </c>
      <c r="BF38" s="1118">
        <f t="shared" ref="BF38:BF48" si="25">VLOOKUP($E38,BC$442:BF$453,4,FALSE)*BC38*($K38)+(BC38-BD38-BE38)*(1-$K38)</f>
        <v>40346079.526133358</v>
      </c>
      <c r="BG38" s="1119"/>
      <c r="BK38" s="1117">
        <f t="shared" ref="BK38:BK48" si="26">(BK$26+BK$30+BK$34)*$L38</f>
        <v>134526603.60952502</v>
      </c>
      <c r="BL38" s="1118">
        <f t="shared" ref="BL38:BL48" si="27">VLOOKUP($E38,BK$442:BN$453,2,FALSE)*BK38*($K38)+IF($G38&gt;0,($H38/$G38)*BK38,0)*(1-$K38)</f>
        <v>59218092.146876924</v>
      </c>
      <c r="BM38" s="1118">
        <f t="shared" ref="BM38:BM48" si="28">VLOOKUP($E38,BK$442:BN$453,3,FALSE)*BK38*($K38)+IF($G38&gt;0,($I38/$G38)*BK38,0)*(1-$K38)</f>
        <v>34962431.936514728</v>
      </c>
      <c r="BN38" s="1118">
        <f t="shared" ref="BN38:BN48" si="29">VLOOKUP($E38,BK$442:BN$453,4,FALSE)*BK38*($K38)+(BK38-BL38-BM38)*(1-$K38)</f>
        <v>40346079.526133358</v>
      </c>
      <c r="BO38" s="1119"/>
      <c r="BS38" s="1117">
        <f t="shared" ref="BS38:BS48" si="30">(BS$26+BS$30+BS$34)*$L38</f>
        <v>134526603.60952502</v>
      </c>
      <c r="BT38" s="1118">
        <f t="shared" ref="BT38:BT48" si="31">VLOOKUP($E38,BS$442:BV$453,2,FALSE)*BS38*($K38)+IF($G38&gt;0,($H38/$G38)*BS38,0)*(1-$K38)</f>
        <v>59218092.146876924</v>
      </c>
      <c r="BU38" s="1118">
        <f t="shared" ref="BU38:BU48" si="32">VLOOKUP($E38,BS$442:BV$453,3,FALSE)*BS38*($K38)+IF($G38&gt;0,($I38/$G38)*BS38,0)*(1-$K38)</f>
        <v>34962431.936514728</v>
      </c>
      <c r="BV38" s="1118">
        <f t="shared" ref="BV38:BV48" si="33">VLOOKUP($E38,BS$442:BV$453,4,FALSE)*BS38*($K38)+(BS38-BT38-BU38)*(1-$K38)</f>
        <v>40346079.526133358</v>
      </c>
      <c r="BW38" s="1119"/>
      <c r="CA38" s="1117">
        <f t="shared" ref="CA38:CA48" si="34">(CA$26+CA$30+CA$34)*$L38</f>
        <v>134526603.60952502</v>
      </c>
      <c r="CB38" s="1118">
        <f t="shared" ref="CB38:CB48" si="35">VLOOKUP($E38,CA$442:CD$453,2,FALSE)*CA38*($K38)+IF($G38&gt;0,($H38/$G38)*CA38,0)*(1-$K38)</f>
        <v>59218092.146876924</v>
      </c>
      <c r="CC38" s="1118">
        <f t="shared" ref="CC38:CC48" si="36">VLOOKUP($E38,CA$442:CD$453,3,FALSE)*CA38*($K38)+IF($G38&gt;0,($I38/$G38)*CA38,0)*(1-$K38)</f>
        <v>34962431.936514728</v>
      </c>
      <c r="CD38" s="1118">
        <f t="shared" ref="CD38:CD48" si="37">VLOOKUP($E38,CA$442:CD$453,4,FALSE)*CA38*($K38)+(CA38-CB38-CC38)*(1-$K38)</f>
        <v>40346079.526133358</v>
      </c>
      <c r="CE38" s="1119"/>
      <c r="CI38" s="1117">
        <f t="shared" ref="CI38:CI48" si="38">(CI$26+CI$30+CI$34)*$L38</f>
        <v>134526603.60952502</v>
      </c>
      <c r="CJ38" s="1118">
        <f t="shared" ref="CJ38:CJ48" si="39">VLOOKUP($E38,CI$442:CL$453,2,FALSE)*CI38*($K38)+IF($G38&gt;0,($H38/$G38)*CI38,0)*(1-$K38)</f>
        <v>59218092.146876924</v>
      </c>
      <c r="CK38" s="1118">
        <f t="shared" ref="CK38:CK48" si="40">VLOOKUP($E38,CI$442:CL$453,3,FALSE)*CI38*($K38)+IF($G38&gt;0,($I38/$G38)*CI38,0)*(1-$K38)</f>
        <v>34962431.936514728</v>
      </c>
      <c r="CL38" s="1118">
        <f t="shared" ref="CL38:CL48" si="41">VLOOKUP($E38,CI$442:CL$453,4,FALSE)*CI38*($K38)+(CI38-CJ38-CK38)*(1-$K38)</f>
        <v>40346079.526133358</v>
      </c>
      <c r="CM38" s="1119"/>
      <c r="CQ38" s="1117">
        <f t="shared" ref="CQ38:CQ48" si="42">(CQ$26+CQ$30+CQ$34)*$L38</f>
        <v>134526603.60952502</v>
      </c>
      <c r="CR38" s="1118">
        <f t="shared" ref="CR38:CR48" si="43">VLOOKUP($E38,CQ$442:CT$453,2,FALSE)*CQ38*($K38)+IF($G38&gt;0,($H38/$G38)*CQ38,0)*(1-$K38)</f>
        <v>59218092.146876924</v>
      </c>
      <c r="CS38" s="1118">
        <f t="shared" ref="CS38:CS48" si="44">VLOOKUP($E38,CQ$442:CT$453,3,FALSE)*CQ38*($K38)+IF($G38&gt;0,($I38/$G38)*CQ38,0)*(1-$K38)</f>
        <v>34962431.936514728</v>
      </c>
      <c r="CT38" s="1118">
        <f t="shared" ref="CT38:CT48" si="45">VLOOKUP($E38,CQ$442:CT$453,4,FALSE)*CQ38*($K38)+(CQ38-CR38-CS38)*(1-$K38)</f>
        <v>40346079.526133358</v>
      </c>
      <c r="CU38" s="1119"/>
      <c r="CY38" s="1117">
        <f t="shared" ref="CY38:CY48" si="46">(CY$26+CY$30+CY$34)*$L38</f>
        <v>134526603.60952502</v>
      </c>
      <c r="CZ38" s="1118">
        <f t="shared" ref="CZ38:CZ48" si="47">VLOOKUP($E38,CY$442:DB$453,2,FALSE)*CY38*($K38)+IF($G38&gt;0,($H38/$G38)*CY38,0)*(1-$K38)</f>
        <v>59218092.146876924</v>
      </c>
      <c r="DA38" s="1118">
        <f t="shared" ref="DA38:DA48" si="48">VLOOKUP($E38,CY$442:DB$453,3,FALSE)*CY38*($K38)+IF($G38&gt;0,($I38/$G38)*CY38,0)*(1-$K38)</f>
        <v>34962431.936514728</v>
      </c>
      <c r="DB38" s="1118">
        <f t="shared" ref="DB38:DB48" si="49">VLOOKUP($E38,CY$442:DB$453,4,FALSE)*CY38*($K38)+(CY38-CZ38-DA38)*(1-$K38)</f>
        <v>40346079.526133358</v>
      </c>
      <c r="DC38" s="1119"/>
      <c r="DG38" s="1117">
        <f t="shared" ref="DG38:DG48" si="50">(DG$26+DG$30+DG$34)*$L38</f>
        <v>134526603.60952502</v>
      </c>
      <c r="DH38" s="1118">
        <f t="shared" ref="DH38:DH48" si="51">VLOOKUP($E38,DG$442:DJ$453,2,FALSE)*DG38*($K38)+IF($G38&gt;0,($H38/$G38)*DG38,0)*(1-$K38)</f>
        <v>59218092.146876924</v>
      </c>
      <c r="DI38" s="1118">
        <f t="shared" ref="DI38:DI48" si="52">VLOOKUP($E38,DG$442:DJ$453,3,FALSE)*DG38*($K38)+IF($G38&gt;0,($I38/$G38)*DG38,0)*(1-$K38)</f>
        <v>34962431.936514728</v>
      </c>
      <c r="DJ38" s="1118">
        <f t="shared" ref="DJ38:DJ48" si="53">VLOOKUP($E38,DG$442:DJ$453,4,FALSE)*DG38*($K38)+(DG38-DH38-DI38)*(1-$K38)</f>
        <v>40346079.526133358</v>
      </c>
      <c r="DK38" s="1119"/>
      <c r="DO38" s="1117">
        <f t="shared" ref="DO38:DO48" si="54">(DO$26+DO$30+DO$34)*$L38</f>
        <v>134526603.60952502</v>
      </c>
      <c r="DP38" s="1118">
        <f t="shared" ref="DP38:DP48" si="55">VLOOKUP($E38,DO$442:DR$453,2,FALSE)*DO38*($K38)+IF($G38&gt;0,($H38/$G38)*DO38,0)*(1-$K38)</f>
        <v>59218092.146876924</v>
      </c>
      <c r="DQ38" s="1118">
        <f t="shared" ref="DQ38:DQ48" si="56">VLOOKUP($E38,DO$442:DR$453,3,FALSE)*DO38*($K38)+IF($G38&gt;0,($I38/$G38)*DO38,0)*(1-$K38)</f>
        <v>34962431.936514728</v>
      </c>
      <c r="DR38" s="1118">
        <f t="shared" ref="DR38:DR48" si="57">VLOOKUP($E38,DO$442:DR$453,4,FALSE)*DO38*($K38)+(DO38-DP38-DQ38)*(1-$K38)</f>
        <v>40346079.526133358</v>
      </c>
      <c r="DS38" s="1119"/>
      <c r="DW38" s="1117">
        <f t="shared" ref="DW38:DW48" si="58">(DW$26+DW$30+DW$34)*$L38</f>
        <v>134526603.60952502</v>
      </c>
      <c r="DX38" s="1118">
        <f t="shared" ref="DX38:DX48" si="59">VLOOKUP($E38,DW$442:DZ$453,2,FALSE)*DW38*($K38)+IF($G38&gt;0,($H38/$G38)*DW38,0)*(1-$K38)</f>
        <v>59218092.146876924</v>
      </c>
      <c r="DY38" s="1118">
        <f t="shared" ref="DY38:DY48" si="60">VLOOKUP($E38,DW$442:DZ$453,3,FALSE)*DW38*($K38)+IF($G38&gt;0,($I38/$G38)*DW38,0)*(1-$K38)</f>
        <v>34962431.936514728</v>
      </c>
      <c r="DZ38" s="1118">
        <f t="shared" ref="DZ38:DZ48" si="61">VLOOKUP($E38,DW$442:DZ$453,4,FALSE)*DW38*($K38)+(DW38-DX38-DY38)*(1-$K38)</f>
        <v>40346079.526133358</v>
      </c>
      <c r="EA38" s="1119"/>
      <c r="EE38" s="1117">
        <f t="shared" ref="EE38:EE48" si="62">(EE$26+EE$30+EE$34)*$L38</f>
        <v>134526603.60952502</v>
      </c>
      <c r="EF38" s="1118">
        <f t="shared" ref="EF38:EF48" si="63">VLOOKUP($E38,EE$442:EH$453,2,FALSE)*EE38*($K38)+IF($G38&gt;0,($H38/$G38)*EE38,0)*(1-$K38)</f>
        <v>59218092.146876924</v>
      </c>
      <c r="EG38" s="1118">
        <f t="shared" ref="EG38:EG48" si="64">VLOOKUP($E38,EE$442:EH$453,3,FALSE)*EE38*($K38)+IF($G38&gt;0,($I38/$G38)*EE38,0)*(1-$K38)</f>
        <v>34962431.936514728</v>
      </c>
      <c r="EH38" s="1118">
        <f t="shared" ref="EH38:EH48" si="65">VLOOKUP($E38,EE$442:EH$453,4,FALSE)*EE38*($K38)+(EE38-EF38-EG38)*(1-$K38)</f>
        <v>40346079.526133358</v>
      </c>
      <c r="EI38" s="1119"/>
      <c r="EM38" s="1117">
        <f t="shared" ref="EM38:EM48" si="66">(EM$26+EM$30+EM$34)*$L38</f>
        <v>134526603.60952502</v>
      </c>
      <c r="EN38" s="1118">
        <f t="shared" ref="EN38:EN48" si="67">VLOOKUP($E38,EM$442:EP$453,2,FALSE)*EM38*($K38)+IF($G38&gt;0,($H38/$G38)*EM38,0)*(1-$K38)</f>
        <v>59218092.146876924</v>
      </c>
      <c r="EO38" s="1118">
        <f t="shared" ref="EO38:EO48" si="68">VLOOKUP($E38,EM$442:EP$453,3,FALSE)*EM38*($K38)+IF($G38&gt;0,($I38/$G38)*EM38,0)*(1-$K38)</f>
        <v>34962431.936514728</v>
      </c>
      <c r="EP38" s="1118">
        <f t="shared" ref="EP38:EP48" si="69">VLOOKUP($E38,EM$442:EP$453,4,FALSE)*EM38*($K38)+(EM38-EN38-EO38)*(1-$K38)</f>
        <v>40346079.526133358</v>
      </c>
      <c r="EQ38" s="1119"/>
      <c r="EU38" s="1117">
        <f t="shared" ref="EU38:EU48" si="70">(EU$26+EU$30+EU$34)*$L38</f>
        <v>134526603.60952502</v>
      </c>
      <c r="EV38" s="1118">
        <f t="shared" ref="EV38:EV48" si="71">VLOOKUP($E38,EU$442:EX$453,2,FALSE)*EU38*($K38)+IF($G38&gt;0,($H38/$G38)*EU38,0)*(1-$K38)</f>
        <v>59218092.146876924</v>
      </c>
      <c r="EW38" s="1118">
        <f t="shared" ref="EW38:EW48" si="72">VLOOKUP($E38,EU$442:EX$453,3,FALSE)*EU38*($K38)+IF($G38&gt;0,($I38/$G38)*EU38,0)*(1-$K38)</f>
        <v>34962431.936514728</v>
      </c>
      <c r="EX38" s="1118">
        <f t="shared" ref="EX38:EX48" si="73">VLOOKUP($E38,EU$442:EX$453,4,FALSE)*EU38*($K38)+(EU38-EV38-EW38)*(1-$K38)</f>
        <v>40346079.526133358</v>
      </c>
      <c r="EY38" s="1119"/>
      <c r="FC38" s="1117">
        <f t="shared" ref="FC38:FC48" si="74">(FC$26+FC$30+FC$34)*$L38</f>
        <v>134526603.60952502</v>
      </c>
      <c r="FD38" s="1118">
        <f t="shared" ref="FD38:FD48" si="75">VLOOKUP($E38,FC$442:FF$453,2,FALSE)*FC38*($K38)+IF($G38&gt;0,($H38/$G38)*FC38,0)*(1-$K38)</f>
        <v>59218092.146876924</v>
      </c>
      <c r="FE38" s="1118">
        <f t="shared" ref="FE38:FE48" si="76">VLOOKUP($E38,FC$442:FF$453,3,FALSE)*FC38*($K38)+IF($G38&gt;0,($I38/$G38)*FC38,0)*(1-$K38)</f>
        <v>34962431.936514728</v>
      </c>
      <c r="FF38" s="1118">
        <f t="shared" ref="FF38:FF48" si="77">VLOOKUP($E38,FC$442:FF$453,4,FALSE)*FC38*($K38)+(FC38-FD38-FE38)*(1-$K38)</f>
        <v>40346079.526133358</v>
      </c>
      <c r="FG38" s="1119"/>
      <c r="FK38" s="1117">
        <f t="shared" ref="FK38:FK48" si="78">(FK$26+FK$30+FK$34)*$L38</f>
        <v>134526603.60952502</v>
      </c>
      <c r="FL38" s="1118">
        <f t="shared" ref="FL38:FL48" si="79">VLOOKUP($E38,FK$442:FN$453,2,FALSE)*FK38*($K38)+IF($G38&gt;0,($H38/$G38)*FK38,0)*(1-$K38)</f>
        <v>59218092.146876924</v>
      </c>
      <c r="FM38" s="1118">
        <f t="shared" ref="FM38:FM48" si="80">VLOOKUP($E38,FK$442:FN$453,3,FALSE)*FK38*($K38)+IF($G38&gt;0,($I38/$G38)*FK38,0)*(1-$K38)</f>
        <v>34962431.936514728</v>
      </c>
      <c r="FN38" s="1118">
        <f t="shared" ref="FN38:FN48" si="81">VLOOKUP($E38,FK$442:FN$453,4,FALSE)*FK38*($K38)+(FK38-FL38-FM38)*(1-$K38)</f>
        <v>40346079.526133358</v>
      </c>
      <c r="FO38" s="1119"/>
    </row>
    <row r="39" spans="1:171" x14ac:dyDescent="0.25">
      <c r="A39" s="913"/>
      <c r="B39" s="10" t="s">
        <v>127</v>
      </c>
      <c r="C39" s="888" t="s">
        <v>70</v>
      </c>
      <c r="D39" s="889">
        <v>391</v>
      </c>
      <c r="E39" s="182" t="str">
        <f>'Sch 1- Rate Base '!E39</f>
        <v>LABOR</v>
      </c>
      <c r="F39" s="890"/>
      <c r="G39" s="182">
        <f>'Sch 1- Rate Base '!G39</f>
        <v>38698718.859569281</v>
      </c>
      <c r="H39" s="182">
        <f>'Sch 1- Rate Base '!H39</f>
        <v>16131692.601433367</v>
      </c>
      <c r="I39" s="182">
        <f>'Sch 1- Rate Base '!I39</f>
        <v>0</v>
      </c>
      <c r="J39" s="183">
        <f>'Sch 1- Rate Base '!J39</f>
        <v>22567026.258135919</v>
      </c>
      <c r="K39" s="904">
        <f t="shared" si="0"/>
        <v>1</v>
      </c>
      <c r="L39" s="1124">
        <f t="shared" si="1"/>
        <v>3.0515750680602301E-3</v>
      </c>
      <c r="O39" s="1117">
        <f t="shared" si="2"/>
        <v>38698718.859569281</v>
      </c>
      <c r="P39" s="1118">
        <f t="shared" si="3"/>
        <v>16131692.601433367</v>
      </c>
      <c r="Q39" s="1118">
        <f t="shared" si="4"/>
        <v>1045227.6214519152</v>
      </c>
      <c r="R39" s="1118">
        <f t="shared" si="5"/>
        <v>21521798.636684</v>
      </c>
      <c r="S39" s="1119"/>
      <c r="W39" s="1117">
        <f t="shared" si="6"/>
        <v>38698718.859569281</v>
      </c>
      <c r="X39" s="1118">
        <f t="shared" si="7"/>
        <v>16131692.601433367</v>
      </c>
      <c r="Y39" s="1118">
        <f t="shared" si="8"/>
        <v>1045227.6214519152</v>
      </c>
      <c r="Z39" s="1118">
        <f t="shared" si="9"/>
        <v>21521798.636684</v>
      </c>
      <c r="AA39" s="1119"/>
      <c r="AE39" s="1117">
        <f t="shared" si="10"/>
        <v>38698718.859569281</v>
      </c>
      <c r="AF39" s="1118">
        <f t="shared" si="11"/>
        <v>16131692.601433367</v>
      </c>
      <c r="AG39" s="1118">
        <f t="shared" si="12"/>
        <v>1045227.6214519152</v>
      </c>
      <c r="AH39" s="1118">
        <f t="shared" si="13"/>
        <v>21521798.636684</v>
      </c>
      <c r="AI39" s="1119"/>
      <c r="AM39" s="1117">
        <f t="shared" si="14"/>
        <v>38698718.859569281</v>
      </c>
      <c r="AN39" s="1118">
        <f t="shared" si="15"/>
        <v>16131692.601433367</v>
      </c>
      <c r="AO39" s="1118">
        <f t="shared" si="16"/>
        <v>1045227.6214519152</v>
      </c>
      <c r="AP39" s="1118">
        <f t="shared" si="17"/>
        <v>21521798.636684</v>
      </c>
      <c r="AQ39" s="1119"/>
      <c r="AU39" s="1117">
        <f t="shared" si="18"/>
        <v>38698718.859569281</v>
      </c>
      <c r="AV39" s="1118">
        <f t="shared" si="19"/>
        <v>16131692.601433367</v>
      </c>
      <c r="AW39" s="1118">
        <f t="shared" si="20"/>
        <v>1045227.6214519152</v>
      </c>
      <c r="AX39" s="1118">
        <f t="shared" si="21"/>
        <v>21521798.636684</v>
      </c>
      <c r="AY39" s="1119"/>
      <c r="BC39" s="1117">
        <f t="shared" si="22"/>
        <v>38698718.859569281</v>
      </c>
      <c r="BD39" s="1118">
        <f t="shared" si="23"/>
        <v>16131692.601433367</v>
      </c>
      <c r="BE39" s="1118">
        <f t="shared" si="24"/>
        <v>1045227.6214519152</v>
      </c>
      <c r="BF39" s="1118">
        <f t="shared" si="25"/>
        <v>21521798.636684</v>
      </c>
      <c r="BG39" s="1119"/>
      <c r="BK39" s="1117">
        <f t="shared" si="26"/>
        <v>38698718.859569281</v>
      </c>
      <c r="BL39" s="1118">
        <f t="shared" si="27"/>
        <v>16131692.601433367</v>
      </c>
      <c r="BM39" s="1118">
        <f t="shared" si="28"/>
        <v>1045227.6214519152</v>
      </c>
      <c r="BN39" s="1118">
        <f t="shared" si="29"/>
        <v>21521798.636684</v>
      </c>
      <c r="BO39" s="1119"/>
      <c r="BS39" s="1117">
        <f t="shared" si="30"/>
        <v>38698718.859569281</v>
      </c>
      <c r="BT39" s="1118">
        <f t="shared" si="31"/>
        <v>16131692.601433367</v>
      </c>
      <c r="BU39" s="1118">
        <f t="shared" si="32"/>
        <v>1045227.6214519152</v>
      </c>
      <c r="BV39" s="1118">
        <f t="shared" si="33"/>
        <v>21521798.636684</v>
      </c>
      <c r="BW39" s="1119"/>
      <c r="CA39" s="1117">
        <f t="shared" si="34"/>
        <v>38698718.859569281</v>
      </c>
      <c r="CB39" s="1118">
        <f t="shared" si="35"/>
        <v>16131692.601433367</v>
      </c>
      <c r="CC39" s="1118">
        <f t="shared" si="36"/>
        <v>1045227.6214519152</v>
      </c>
      <c r="CD39" s="1118">
        <f t="shared" si="37"/>
        <v>21521798.636684</v>
      </c>
      <c r="CE39" s="1119"/>
      <c r="CI39" s="1117">
        <f t="shared" si="38"/>
        <v>38698718.859569281</v>
      </c>
      <c r="CJ39" s="1118">
        <f t="shared" si="39"/>
        <v>16131692.601433367</v>
      </c>
      <c r="CK39" s="1118">
        <f t="shared" si="40"/>
        <v>1045227.6214519152</v>
      </c>
      <c r="CL39" s="1118">
        <f t="shared" si="41"/>
        <v>21521798.636684</v>
      </c>
      <c r="CM39" s="1119"/>
      <c r="CQ39" s="1117">
        <f t="shared" si="42"/>
        <v>38698718.859569281</v>
      </c>
      <c r="CR39" s="1118">
        <f t="shared" si="43"/>
        <v>16131692.601433367</v>
      </c>
      <c r="CS39" s="1118">
        <f t="shared" si="44"/>
        <v>1045227.6214519152</v>
      </c>
      <c r="CT39" s="1118">
        <f t="shared" si="45"/>
        <v>21521798.636684</v>
      </c>
      <c r="CU39" s="1119"/>
      <c r="CY39" s="1117">
        <f t="shared" si="46"/>
        <v>38698718.859569281</v>
      </c>
      <c r="CZ39" s="1118">
        <f t="shared" si="47"/>
        <v>16131692.601433367</v>
      </c>
      <c r="DA39" s="1118">
        <f t="shared" si="48"/>
        <v>1045227.6214519152</v>
      </c>
      <c r="DB39" s="1118">
        <f t="shared" si="49"/>
        <v>21521798.636684</v>
      </c>
      <c r="DC39" s="1119"/>
      <c r="DG39" s="1117">
        <f t="shared" si="50"/>
        <v>38698718.859569281</v>
      </c>
      <c r="DH39" s="1118">
        <f t="shared" si="51"/>
        <v>16131692.601433367</v>
      </c>
      <c r="DI39" s="1118">
        <f t="shared" si="52"/>
        <v>1045227.6214519152</v>
      </c>
      <c r="DJ39" s="1118">
        <f t="shared" si="53"/>
        <v>21521798.636684</v>
      </c>
      <c r="DK39" s="1119"/>
      <c r="DO39" s="1117">
        <f t="shared" si="54"/>
        <v>38698718.859569281</v>
      </c>
      <c r="DP39" s="1118">
        <f t="shared" si="55"/>
        <v>16131692.601433367</v>
      </c>
      <c r="DQ39" s="1118">
        <f t="shared" si="56"/>
        <v>1045227.6214519152</v>
      </c>
      <c r="DR39" s="1118">
        <f t="shared" si="57"/>
        <v>21521798.636684</v>
      </c>
      <c r="DS39" s="1119"/>
      <c r="DW39" s="1117">
        <f t="shared" si="58"/>
        <v>38698718.859569281</v>
      </c>
      <c r="DX39" s="1118">
        <f t="shared" si="59"/>
        <v>16131692.601433367</v>
      </c>
      <c r="DY39" s="1118">
        <f t="shared" si="60"/>
        <v>1045227.6214519152</v>
      </c>
      <c r="DZ39" s="1118">
        <f t="shared" si="61"/>
        <v>21521798.636684</v>
      </c>
      <c r="EA39" s="1119"/>
      <c r="EE39" s="1117">
        <f t="shared" si="62"/>
        <v>38698718.859569281</v>
      </c>
      <c r="EF39" s="1118">
        <f t="shared" si="63"/>
        <v>16131692.601433367</v>
      </c>
      <c r="EG39" s="1118">
        <f t="shared" si="64"/>
        <v>1045227.6214519152</v>
      </c>
      <c r="EH39" s="1118">
        <f t="shared" si="65"/>
        <v>21521798.636684</v>
      </c>
      <c r="EI39" s="1119"/>
      <c r="EM39" s="1117">
        <f t="shared" si="66"/>
        <v>38698718.859569281</v>
      </c>
      <c r="EN39" s="1118">
        <f t="shared" si="67"/>
        <v>16131692.601433367</v>
      </c>
      <c r="EO39" s="1118">
        <f t="shared" si="68"/>
        <v>1045227.6214519152</v>
      </c>
      <c r="EP39" s="1118">
        <f t="shared" si="69"/>
        <v>21521798.636684</v>
      </c>
      <c r="EQ39" s="1119"/>
      <c r="EU39" s="1117">
        <f t="shared" si="70"/>
        <v>38698718.859569281</v>
      </c>
      <c r="EV39" s="1118">
        <f t="shared" si="71"/>
        <v>16131692.601433367</v>
      </c>
      <c r="EW39" s="1118">
        <f t="shared" si="72"/>
        <v>1045227.6214519152</v>
      </c>
      <c r="EX39" s="1118">
        <f t="shared" si="73"/>
        <v>21521798.636684</v>
      </c>
      <c r="EY39" s="1119"/>
      <c r="FC39" s="1117">
        <f t="shared" si="74"/>
        <v>38698718.859569281</v>
      </c>
      <c r="FD39" s="1118">
        <f t="shared" si="75"/>
        <v>16131692.601433367</v>
      </c>
      <c r="FE39" s="1118">
        <f t="shared" si="76"/>
        <v>1045227.6214519152</v>
      </c>
      <c r="FF39" s="1118">
        <f t="shared" si="77"/>
        <v>21521798.636684</v>
      </c>
      <c r="FG39" s="1119"/>
      <c r="FK39" s="1117">
        <f t="shared" si="78"/>
        <v>38698718.859569281</v>
      </c>
      <c r="FL39" s="1118">
        <f t="shared" si="79"/>
        <v>16131692.601433367</v>
      </c>
      <c r="FM39" s="1118">
        <f t="shared" si="80"/>
        <v>1045227.6214519152</v>
      </c>
      <c r="FN39" s="1118">
        <f t="shared" si="81"/>
        <v>21521798.636684</v>
      </c>
      <c r="FO39" s="1119"/>
    </row>
    <row r="40" spans="1:171" x14ac:dyDescent="0.25">
      <c r="A40" s="913"/>
      <c r="B40" s="10" t="s">
        <v>128</v>
      </c>
      <c r="C40" s="888" t="s">
        <v>70</v>
      </c>
      <c r="D40" s="889">
        <v>392</v>
      </c>
      <c r="E40" s="182" t="str">
        <f>'Sch 1- Rate Base '!E40</f>
        <v>TD</v>
      </c>
      <c r="F40" s="890"/>
      <c r="G40" s="182">
        <f>'Sch 1- Rate Base '!G40</f>
        <v>70926422.960104048</v>
      </c>
      <c r="H40" s="182">
        <f>'Sch 1- Rate Base '!H40</f>
        <v>0</v>
      </c>
      <c r="I40" s="182">
        <f>'Sch 1- Rate Base '!I40</f>
        <v>0</v>
      </c>
      <c r="J40" s="183">
        <f>'Sch 1- Rate Base '!J40</f>
        <v>70926422.960104048</v>
      </c>
      <c r="K40" s="904">
        <f t="shared" si="0"/>
        <v>1</v>
      </c>
      <c r="L40" s="1124">
        <f t="shared" si="1"/>
        <v>5.5928803420382048E-3</v>
      </c>
      <c r="O40" s="1117">
        <f t="shared" si="2"/>
        <v>70926422.960104048</v>
      </c>
      <c r="P40" s="1118">
        <f t="shared" si="3"/>
        <v>0</v>
      </c>
      <c r="Q40" s="1118">
        <f t="shared" si="4"/>
        <v>32928020.844934877</v>
      </c>
      <c r="R40" s="1118">
        <f t="shared" si="5"/>
        <v>37998402.115169168</v>
      </c>
      <c r="S40" s="1119"/>
      <c r="W40" s="1117">
        <f t="shared" si="6"/>
        <v>70926422.960104048</v>
      </c>
      <c r="X40" s="1118">
        <f t="shared" si="7"/>
        <v>0</v>
      </c>
      <c r="Y40" s="1118">
        <f t="shared" si="8"/>
        <v>32928020.844934877</v>
      </c>
      <c r="Z40" s="1118">
        <f t="shared" si="9"/>
        <v>37998402.115169168</v>
      </c>
      <c r="AA40" s="1119"/>
      <c r="AE40" s="1117">
        <f t="shared" si="10"/>
        <v>70926422.960104048</v>
      </c>
      <c r="AF40" s="1118">
        <f t="shared" si="11"/>
        <v>0</v>
      </c>
      <c r="AG40" s="1118">
        <f t="shared" si="12"/>
        <v>32928020.844934877</v>
      </c>
      <c r="AH40" s="1118">
        <f t="shared" si="13"/>
        <v>37998402.115169168</v>
      </c>
      <c r="AI40" s="1119"/>
      <c r="AM40" s="1117">
        <f t="shared" si="14"/>
        <v>70926422.960104048</v>
      </c>
      <c r="AN40" s="1118">
        <f t="shared" si="15"/>
        <v>0</v>
      </c>
      <c r="AO40" s="1118">
        <f t="shared" si="16"/>
        <v>32928020.844934877</v>
      </c>
      <c r="AP40" s="1118">
        <f t="shared" si="17"/>
        <v>37998402.115169168</v>
      </c>
      <c r="AQ40" s="1119"/>
      <c r="AU40" s="1117">
        <f t="shared" si="18"/>
        <v>70926422.960104048</v>
      </c>
      <c r="AV40" s="1118">
        <f t="shared" si="19"/>
        <v>0</v>
      </c>
      <c r="AW40" s="1118">
        <f t="shared" si="20"/>
        <v>32928020.844934877</v>
      </c>
      <c r="AX40" s="1118">
        <f t="shared" si="21"/>
        <v>37998402.115169168</v>
      </c>
      <c r="AY40" s="1119"/>
      <c r="BC40" s="1117">
        <f t="shared" si="22"/>
        <v>70926422.960104048</v>
      </c>
      <c r="BD40" s="1118">
        <f t="shared" si="23"/>
        <v>0</v>
      </c>
      <c r="BE40" s="1118">
        <f t="shared" si="24"/>
        <v>32928020.844934877</v>
      </c>
      <c r="BF40" s="1118">
        <f t="shared" si="25"/>
        <v>37998402.115169168</v>
      </c>
      <c r="BG40" s="1119"/>
      <c r="BK40" s="1117">
        <f t="shared" si="26"/>
        <v>70926422.960104048</v>
      </c>
      <c r="BL40" s="1118">
        <f t="shared" si="27"/>
        <v>0</v>
      </c>
      <c r="BM40" s="1118">
        <f t="shared" si="28"/>
        <v>32928020.844934877</v>
      </c>
      <c r="BN40" s="1118">
        <f t="shared" si="29"/>
        <v>37998402.115169168</v>
      </c>
      <c r="BO40" s="1119"/>
      <c r="BS40" s="1117">
        <f t="shared" si="30"/>
        <v>70926422.960104048</v>
      </c>
      <c r="BT40" s="1118">
        <f t="shared" si="31"/>
        <v>0</v>
      </c>
      <c r="BU40" s="1118">
        <f t="shared" si="32"/>
        <v>32928020.844934877</v>
      </c>
      <c r="BV40" s="1118">
        <f t="shared" si="33"/>
        <v>37998402.115169168</v>
      </c>
      <c r="BW40" s="1119"/>
      <c r="CA40" s="1117">
        <f t="shared" si="34"/>
        <v>70926422.960104048</v>
      </c>
      <c r="CB40" s="1118">
        <f t="shared" si="35"/>
        <v>0</v>
      </c>
      <c r="CC40" s="1118">
        <f t="shared" si="36"/>
        <v>32928020.844934877</v>
      </c>
      <c r="CD40" s="1118">
        <f t="shared" si="37"/>
        <v>37998402.115169168</v>
      </c>
      <c r="CE40" s="1119"/>
      <c r="CI40" s="1117">
        <f t="shared" si="38"/>
        <v>70926422.960104048</v>
      </c>
      <c r="CJ40" s="1118">
        <f t="shared" si="39"/>
        <v>0</v>
      </c>
      <c r="CK40" s="1118">
        <f t="shared" si="40"/>
        <v>32928020.844934877</v>
      </c>
      <c r="CL40" s="1118">
        <f t="shared" si="41"/>
        <v>37998402.115169168</v>
      </c>
      <c r="CM40" s="1119"/>
      <c r="CQ40" s="1117">
        <f t="shared" si="42"/>
        <v>70926422.960104048</v>
      </c>
      <c r="CR40" s="1118">
        <f t="shared" si="43"/>
        <v>0</v>
      </c>
      <c r="CS40" s="1118">
        <f t="shared" si="44"/>
        <v>32928020.844934877</v>
      </c>
      <c r="CT40" s="1118">
        <f t="shared" si="45"/>
        <v>37998402.115169168</v>
      </c>
      <c r="CU40" s="1119"/>
      <c r="CY40" s="1117">
        <f t="shared" si="46"/>
        <v>70926422.960104048</v>
      </c>
      <c r="CZ40" s="1118">
        <f t="shared" si="47"/>
        <v>0</v>
      </c>
      <c r="DA40" s="1118">
        <f t="shared" si="48"/>
        <v>32928020.844934877</v>
      </c>
      <c r="DB40" s="1118">
        <f t="shared" si="49"/>
        <v>37998402.115169168</v>
      </c>
      <c r="DC40" s="1119"/>
      <c r="DG40" s="1117">
        <f t="shared" si="50"/>
        <v>70926422.960104048</v>
      </c>
      <c r="DH40" s="1118">
        <f t="shared" si="51"/>
        <v>0</v>
      </c>
      <c r="DI40" s="1118">
        <f t="shared" si="52"/>
        <v>32928020.844934877</v>
      </c>
      <c r="DJ40" s="1118">
        <f t="shared" si="53"/>
        <v>37998402.115169168</v>
      </c>
      <c r="DK40" s="1119"/>
      <c r="DO40" s="1117">
        <f t="shared" si="54"/>
        <v>70926422.960104048</v>
      </c>
      <c r="DP40" s="1118">
        <f t="shared" si="55"/>
        <v>0</v>
      </c>
      <c r="DQ40" s="1118">
        <f t="shared" si="56"/>
        <v>32928020.844934877</v>
      </c>
      <c r="DR40" s="1118">
        <f t="shared" si="57"/>
        <v>37998402.115169168</v>
      </c>
      <c r="DS40" s="1119"/>
      <c r="DW40" s="1117">
        <f t="shared" si="58"/>
        <v>70926422.960104048</v>
      </c>
      <c r="DX40" s="1118">
        <f t="shared" si="59"/>
        <v>0</v>
      </c>
      <c r="DY40" s="1118">
        <f t="shared" si="60"/>
        <v>32928020.844934877</v>
      </c>
      <c r="DZ40" s="1118">
        <f t="shared" si="61"/>
        <v>37998402.115169168</v>
      </c>
      <c r="EA40" s="1119"/>
      <c r="EE40" s="1117">
        <f t="shared" si="62"/>
        <v>70926422.960104048</v>
      </c>
      <c r="EF40" s="1118">
        <f t="shared" si="63"/>
        <v>0</v>
      </c>
      <c r="EG40" s="1118">
        <f t="shared" si="64"/>
        <v>32928020.844934877</v>
      </c>
      <c r="EH40" s="1118">
        <f t="shared" si="65"/>
        <v>37998402.115169168</v>
      </c>
      <c r="EI40" s="1119"/>
      <c r="EM40" s="1117">
        <f t="shared" si="66"/>
        <v>70926422.960104048</v>
      </c>
      <c r="EN40" s="1118">
        <f t="shared" si="67"/>
        <v>0</v>
      </c>
      <c r="EO40" s="1118">
        <f t="shared" si="68"/>
        <v>32928020.844934877</v>
      </c>
      <c r="EP40" s="1118">
        <f t="shared" si="69"/>
        <v>37998402.115169168</v>
      </c>
      <c r="EQ40" s="1119"/>
      <c r="EU40" s="1117">
        <f t="shared" si="70"/>
        <v>70926422.960104048</v>
      </c>
      <c r="EV40" s="1118">
        <f t="shared" si="71"/>
        <v>0</v>
      </c>
      <c r="EW40" s="1118">
        <f t="shared" si="72"/>
        <v>32928020.844934877</v>
      </c>
      <c r="EX40" s="1118">
        <f t="shared" si="73"/>
        <v>37998402.115169168</v>
      </c>
      <c r="EY40" s="1119"/>
      <c r="FC40" s="1117">
        <f t="shared" si="74"/>
        <v>70926422.960104048</v>
      </c>
      <c r="FD40" s="1118">
        <f t="shared" si="75"/>
        <v>0</v>
      </c>
      <c r="FE40" s="1118">
        <f t="shared" si="76"/>
        <v>32928020.844934877</v>
      </c>
      <c r="FF40" s="1118">
        <f t="shared" si="77"/>
        <v>37998402.115169168</v>
      </c>
      <c r="FG40" s="1119"/>
      <c r="FK40" s="1117">
        <f t="shared" si="78"/>
        <v>70926422.960104048</v>
      </c>
      <c r="FL40" s="1118">
        <f t="shared" si="79"/>
        <v>0</v>
      </c>
      <c r="FM40" s="1118">
        <f t="shared" si="80"/>
        <v>32928020.844934877</v>
      </c>
      <c r="FN40" s="1118">
        <f t="shared" si="81"/>
        <v>37998402.115169168</v>
      </c>
      <c r="FO40" s="1119"/>
    </row>
    <row r="41" spans="1:171" x14ac:dyDescent="0.25">
      <c r="A41" s="913"/>
      <c r="B41" s="10" t="s">
        <v>129</v>
      </c>
      <c r="C41" s="888" t="s">
        <v>70</v>
      </c>
      <c r="D41" s="889">
        <v>393</v>
      </c>
      <c r="E41" s="182" t="str">
        <f>'Sch 1- Rate Base '!E41</f>
        <v>PTD</v>
      </c>
      <c r="F41" s="890"/>
      <c r="G41" s="182">
        <f>'Sch 1- Rate Base '!G41</f>
        <v>8843323.1563989222</v>
      </c>
      <c r="H41" s="182">
        <f>'Sch 1- Rate Base '!H41</f>
        <v>3892796.7517880816</v>
      </c>
      <c r="I41" s="182">
        <f>'Sch 1- Rate Base '!I41</f>
        <v>0</v>
      </c>
      <c r="J41" s="183">
        <f>'Sch 1- Rate Base '!J41</f>
        <v>4950526.4046108397</v>
      </c>
      <c r="K41" s="904">
        <f t="shared" si="0"/>
        <v>1</v>
      </c>
      <c r="L41" s="1124">
        <f t="shared" si="1"/>
        <v>6.9733741214519896E-4</v>
      </c>
      <c r="O41" s="1117">
        <f t="shared" si="2"/>
        <v>8843323.1563989222</v>
      </c>
      <c r="P41" s="1118">
        <f t="shared" si="3"/>
        <v>3892796.7517880816</v>
      </c>
      <c r="Q41" s="1118">
        <f t="shared" si="4"/>
        <v>2298311.8257087287</v>
      </c>
      <c r="R41" s="1118">
        <f t="shared" si="5"/>
        <v>2652214.5789021105</v>
      </c>
      <c r="S41" s="1119"/>
      <c r="W41" s="1117">
        <f t="shared" si="6"/>
        <v>8843323.1563989222</v>
      </c>
      <c r="X41" s="1118">
        <f t="shared" si="7"/>
        <v>3892796.7517880816</v>
      </c>
      <c r="Y41" s="1118">
        <f t="shared" si="8"/>
        <v>2298311.8257087287</v>
      </c>
      <c r="Z41" s="1118">
        <f t="shared" si="9"/>
        <v>2652214.5789021105</v>
      </c>
      <c r="AA41" s="1119"/>
      <c r="AE41" s="1117">
        <f t="shared" si="10"/>
        <v>8843323.1563989222</v>
      </c>
      <c r="AF41" s="1118">
        <f t="shared" si="11"/>
        <v>3892796.7517880816</v>
      </c>
      <c r="AG41" s="1118">
        <f t="shared" si="12"/>
        <v>2298311.8257087287</v>
      </c>
      <c r="AH41" s="1118">
        <f t="shared" si="13"/>
        <v>2652214.5789021105</v>
      </c>
      <c r="AI41" s="1119"/>
      <c r="AM41" s="1117">
        <f t="shared" si="14"/>
        <v>8843323.1563989222</v>
      </c>
      <c r="AN41" s="1118">
        <f t="shared" si="15"/>
        <v>3892796.7517880816</v>
      </c>
      <c r="AO41" s="1118">
        <f t="shared" si="16"/>
        <v>2298311.8257087287</v>
      </c>
      <c r="AP41" s="1118">
        <f t="shared" si="17"/>
        <v>2652214.5789021105</v>
      </c>
      <c r="AQ41" s="1119"/>
      <c r="AU41" s="1117">
        <f t="shared" si="18"/>
        <v>8843323.1563989222</v>
      </c>
      <c r="AV41" s="1118">
        <f t="shared" si="19"/>
        <v>3892796.7517880816</v>
      </c>
      <c r="AW41" s="1118">
        <f t="shared" si="20"/>
        <v>2298311.8257087287</v>
      </c>
      <c r="AX41" s="1118">
        <f t="shared" si="21"/>
        <v>2652214.5789021105</v>
      </c>
      <c r="AY41" s="1119"/>
      <c r="BC41" s="1117">
        <f t="shared" si="22"/>
        <v>8843323.1563989222</v>
      </c>
      <c r="BD41" s="1118">
        <f t="shared" si="23"/>
        <v>3892796.7517880816</v>
      </c>
      <c r="BE41" s="1118">
        <f t="shared" si="24"/>
        <v>2298311.8257087287</v>
      </c>
      <c r="BF41" s="1118">
        <f t="shared" si="25"/>
        <v>2652214.5789021105</v>
      </c>
      <c r="BG41" s="1119"/>
      <c r="BK41" s="1117">
        <f t="shared" si="26"/>
        <v>8843323.1563989222</v>
      </c>
      <c r="BL41" s="1118">
        <f t="shared" si="27"/>
        <v>3892796.7517880816</v>
      </c>
      <c r="BM41" s="1118">
        <f t="shared" si="28"/>
        <v>2298311.8257087287</v>
      </c>
      <c r="BN41" s="1118">
        <f t="shared" si="29"/>
        <v>2652214.5789021105</v>
      </c>
      <c r="BO41" s="1119"/>
      <c r="BS41" s="1117">
        <f t="shared" si="30"/>
        <v>8843323.1563989222</v>
      </c>
      <c r="BT41" s="1118">
        <f t="shared" si="31"/>
        <v>3892796.7517880816</v>
      </c>
      <c r="BU41" s="1118">
        <f t="shared" si="32"/>
        <v>2298311.8257087287</v>
      </c>
      <c r="BV41" s="1118">
        <f t="shared" si="33"/>
        <v>2652214.5789021105</v>
      </c>
      <c r="BW41" s="1119"/>
      <c r="CA41" s="1117">
        <f t="shared" si="34"/>
        <v>8843323.1563989222</v>
      </c>
      <c r="CB41" s="1118">
        <f t="shared" si="35"/>
        <v>3892796.7517880816</v>
      </c>
      <c r="CC41" s="1118">
        <f t="shared" si="36"/>
        <v>2298311.8257087287</v>
      </c>
      <c r="CD41" s="1118">
        <f t="shared" si="37"/>
        <v>2652214.5789021105</v>
      </c>
      <c r="CE41" s="1119"/>
      <c r="CI41" s="1117">
        <f t="shared" si="38"/>
        <v>8843323.1563989222</v>
      </c>
      <c r="CJ41" s="1118">
        <f t="shared" si="39"/>
        <v>3892796.7517880816</v>
      </c>
      <c r="CK41" s="1118">
        <f t="shared" si="40"/>
        <v>2298311.8257087287</v>
      </c>
      <c r="CL41" s="1118">
        <f t="shared" si="41"/>
        <v>2652214.5789021105</v>
      </c>
      <c r="CM41" s="1119"/>
      <c r="CQ41" s="1117">
        <f t="shared" si="42"/>
        <v>8843323.1563989222</v>
      </c>
      <c r="CR41" s="1118">
        <f t="shared" si="43"/>
        <v>3892796.7517880816</v>
      </c>
      <c r="CS41" s="1118">
        <f t="shared" si="44"/>
        <v>2298311.8257087287</v>
      </c>
      <c r="CT41" s="1118">
        <f t="shared" si="45"/>
        <v>2652214.5789021105</v>
      </c>
      <c r="CU41" s="1119"/>
      <c r="CY41" s="1117">
        <f t="shared" si="46"/>
        <v>8843323.1563989222</v>
      </c>
      <c r="CZ41" s="1118">
        <f t="shared" si="47"/>
        <v>3892796.7517880816</v>
      </c>
      <c r="DA41" s="1118">
        <f t="shared" si="48"/>
        <v>2298311.8257087287</v>
      </c>
      <c r="DB41" s="1118">
        <f t="shared" si="49"/>
        <v>2652214.5789021105</v>
      </c>
      <c r="DC41" s="1119"/>
      <c r="DG41" s="1117">
        <f t="shared" si="50"/>
        <v>8843323.1563989222</v>
      </c>
      <c r="DH41" s="1118">
        <f t="shared" si="51"/>
        <v>3892796.7517880816</v>
      </c>
      <c r="DI41" s="1118">
        <f t="shared" si="52"/>
        <v>2298311.8257087287</v>
      </c>
      <c r="DJ41" s="1118">
        <f t="shared" si="53"/>
        <v>2652214.5789021105</v>
      </c>
      <c r="DK41" s="1119"/>
      <c r="DO41" s="1117">
        <f t="shared" si="54"/>
        <v>8843323.1563989222</v>
      </c>
      <c r="DP41" s="1118">
        <f t="shared" si="55"/>
        <v>3892796.7517880816</v>
      </c>
      <c r="DQ41" s="1118">
        <f t="shared" si="56"/>
        <v>2298311.8257087287</v>
      </c>
      <c r="DR41" s="1118">
        <f t="shared" si="57"/>
        <v>2652214.5789021105</v>
      </c>
      <c r="DS41" s="1119"/>
      <c r="DW41" s="1117">
        <f t="shared" si="58"/>
        <v>8843323.1563989222</v>
      </c>
      <c r="DX41" s="1118">
        <f t="shared" si="59"/>
        <v>3892796.7517880816</v>
      </c>
      <c r="DY41" s="1118">
        <f t="shared" si="60"/>
        <v>2298311.8257087287</v>
      </c>
      <c r="DZ41" s="1118">
        <f t="shared" si="61"/>
        <v>2652214.5789021105</v>
      </c>
      <c r="EA41" s="1119"/>
      <c r="EE41" s="1117">
        <f t="shared" si="62"/>
        <v>8843323.1563989222</v>
      </c>
      <c r="EF41" s="1118">
        <f t="shared" si="63"/>
        <v>3892796.7517880816</v>
      </c>
      <c r="EG41" s="1118">
        <f t="shared" si="64"/>
        <v>2298311.8257087287</v>
      </c>
      <c r="EH41" s="1118">
        <f t="shared" si="65"/>
        <v>2652214.5789021105</v>
      </c>
      <c r="EI41" s="1119"/>
      <c r="EM41" s="1117">
        <f t="shared" si="66"/>
        <v>8843323.1563989222</v>
      </c>
      <c r="EN41" s="1118">
        <f t="shared" si="67"/>
        <v>3892796.7517880816</v>
      </c>
      <c r="EO41" s="1118">
        <f t="shared" si="68"/>
        <v>2298311.8257087287</v>
      </c>
      <c r="EP41" s="1118">
        <f t="shared" si="69"/>
        <v>2652214.5789021105</v>
      </c>
      <c r="EQ41" s="1119"/>
      <c r="EU41" s="1117">
        <f t="shared" si="70"/>
        <v>8843323.1563989222</v>
      </c>
      <c r="EV41" s="1118">
        <f t="shared" si="71"/>
        <v>3892796.7517880816</v>
      </c>
      <c r="EW41" s="1118">
        <f t="shared" si="72"/>
        <v>2298311.8257087287</v>
      </c>
      <c r="EX41" s="1118">
        <f t="shared" si="73"/>
        <v>2652214.5789021105</v>
      </c>
      <c r="EY41" s="1119"/>
      <c r="FC41" s="1117">
        <f t="shared" si="74"/>
        <v>8843323.1563989222</v>
      </c>
      <c r="FD41" s="1118">
        <f t="shared" si="75"/>
        <v>3892796.7517880816</v>
      </c>
      <c r="FE41" s="1118">
        <f t="shared" si="76"/>
        <v>2298311.8257087287</v>
      </c>
      <c r="FF41" s="1118">
        <f t="shared" si="77"/>
        <v>2652214.5789021105</v>
      </c>
      <c r="FG41" s="1119"/>
      <c r="FK41" s="1117">
        <f t="shared" si="78"/>
        <v>8843323.1563989222</v>
      </c>
      <c r="FL41" s="1118">
        <f t="shared" si="79"/>
        <v>3892796.7517880816</v>
      </c>
      <c r="FM41" s="1118">
        <f t="shared" si="80"/>
        <v>2298311.8257087287</v>
      </c>
      <c r="FN41" s="1118">
        <f t="shared" si="81"/>
        <v>2652214.5789021105</v>
      </c>
      <c r="FO41" s="1119"/>
    </row>
    <row r="42" spans="1:171" x14ac:dyDescent="0.25">
      <c r="A42" s="913"/>
      <c r="B42" s="10" t="s">
        <v>130</v>
      </c>
      <c r="C42" s="888" t="s">
        <v>70</v>
      </c>
      <c r="D42" s="889">
        <v>394</v>
      </c>
      <c r="E42" s="182" t="str">
        <f>'Sch 1- Rate Base '!E42</f>
        <v>PTD</v>
      </c>
      <c r="F42" s="890"/>
      <c r="G42" s="182">
        <f>'Sch 1- Rate Base '!G42</f>
        <v>28801735.62174933</v>
      </c>
      <c r="H42" s="182">
        <f>'Sch 1- Rate Base '!H42</f>
        <v>12678412.955324007</v>
      </c>
      <c r="I42" s="182">
        <f>'Sch 1- Rate Base '!I42</f>
        <v>0</v>
      </c>
      <c r="J42" s="183">
        <f>'Sch 1- Rate Base '!J42</f>
        <v>16123322.666425321</v>
      </c>
      <c r="K42" s="904">
        <f t="shared" si="0"/>
        <v>1</v>
      </c>
      <c r="L42" s="1124">
        <f t="shared" si="1"/>
        <v>2.2711516280198296E-3</v>
      </c>
      <c r="O42" s="1117">
        <f t="shared" si="2"/>
        <v>28801735.621749327</v>
      </c>
      <c r="P42" s="1118">
        <f t="shared" si="3"/>
        <v>12678412.955324005</v>
      </c>
      <c r="Q42" s="1118">
        <f t="shared" si="4"/>
        <v>7485350.0669038258</v>
      </c>
      <c r="R42" s="1118">
        <f t="shared" si="5"/>
        <v>8637972.5995214917</v>
      </c>
      <c r="S42" s="1119"/>
      <c r="W42" s="1117">
        <f t="shared" si="6"/>
        <v>28801735.621749327</v>
      </c>
      <c r="X42" s="1118">
        <f t="shared" si="7"/>
        <v>12678412.955324005</v>
      </c>
      <c r="Y42" s="1118">
        <f t="shared" si="8"/>
        <v>7485350.0669038258</v>
      </c>
      <c r="Z42" s="1118">
        <f t="shared" si="9"/>
        <v>8637972.5995214917</v>
      </c>
      <c r="AA42" s="1119"/>
      <c r="AE42" s="1117">
        <f t="shared" si="10"/>
        <v>28801735.621749327</v>
      </c>
      <c r="AF42" s="1118">
        <f t="shared" si="11"/>
        <v>12678412.955324005</v>
      </c>
      <c r="AG42" s="1118">
        <f t="shared" si="12"/>
        <v>7485350.0669038258</v>
      </c>
      <c r="AH42" s="1118">
        <f t="shared" si="13"/>
        <v>8637972.5995214917</v>
      </c>
      <c r="AI42" s="1119"/>
      <c r="AM42" s="1117">
        <f t="shared" si="14"/>
        <v>28801735.621749327</v>
      </c>
      <c r="AN42" s="1118">
        <f t="shared" si="15"/>
        <v>12678412.955324005</v>
      </c>
      <c r="AO42" s="1118">
        <f t="shared" si="16"/>
        <v>7485350.0669038258</v>
      </c>
      <c r="AP42" s="1118">
        <f t="shared" si="17"/>
        <v>8637972.5995214917</v>
      </c>
      <c r="AQ42" s="1119"/>
      <c r="AU42" s="1117">
        <f t="shared" si="18"/>
        <v>28801735.621749327</v>
      </c>
      <c r="AV42" s="1118">
        <f t="shared" si="19"/>
        <v>12678412.955324005</v>
      </c>
      <c r="AW42" s="1118">
        <f t="shared" si="20"/>
        <v>7485350.0669038258</v>
      </c>
      <c r="AX42" s="1118">
        <f t="shared" si="21"/>
        <v>8637972.5995214917</v>
      </c>
      <c r="AY42" s="1119"/>
      <c r="BC42" s="1117">
        <f t="shared" si="22"/>
        <v>28801735.621749327</v>
      </c>
      <c r="BD42" s="1118">
        <f t="shared" si="23"/>
        <v>12678412.955324005</v>
      </c>
      <c r="BE42" s="1118">
        <f t="shared" si="24"/>
        <v>7485350.0669038258</v>
      </c>
      <c r="BF42" s="1118">
        <f t="shared" si="25"/>
        <v>8637972.5995214917</v>
      </c>
      <c r="BG42" s="1119"/>
      <c r="BK42" s="1117">
        <f t="shared" si="26"/>
        <v>28801735.621749327</v>
      </c>
      <c r="BL42" s="1118">
        <f t="shared" si="27"/>
        <v>12678412.955324005</v>
      </c>
      <c r="BM42" s="1118">
        <f t="shared" si="28"/>
        <v>7485350.0669038258</v>
      </c>
      <c r="BN42" s="1118">
        <f t="shared" si="29"/>
        <v>8637972.5995214917</v>
      </c>
      <c r="BO42" s="1119"/>
      <c r="BS42" s="1117">
        <f t="shared" si="30"/>
        <v>28801735.621749327</v>
      </c>
      <c r="BT42" s="1118">
        <f t="shared" si="31"/>
        <v>12678412.955324005</v>
      </c>
      <c r="BU42" s="1118">
        <f t="shared" si="32"/>
        <v>7485350.0669038258</v>
      </c>
      <c r="BV42" s="1118">
        <f t="shared" si="33"/>
        <v>8637972.5995214917</v>
      </c>
      <c r="BW42" s="1119"/>
      <c r="CA42" s="1117">
        <f t="shared" si="34"/>
        <v>28801735.621749327</v>
      </c>
      <c r="CB42" s="1118">
        <f t="shared" si="35"/>
        <v>12678412.955324005</v>
      </c>
      <c r="CC42" s="1118">
        <f t="shared" si="36"/>
        <v>7485350.0669038258</v>
      </c>
      <c r="CD42" s="1118">
        <f t="shared" si="37"/>
        <v>8637972.5995214917</v>
      </c>
      <c r="CE42" s="1119"/>
      <c r="CI42" s="1117">
        <f t="shared" si="38"/>
        <v>28801735.621749327</v>
      </c>
      <c r="CJ42" s="1118">
        <f t="shared" si="39"/>
        <v>12678412.955324005</v>
      </c>
      <c r="CK42" s="1118">
        <f t="shared" si="40"/>
        <v>7485350.0669038258</v>
      </c>
      <c r="CL42" s="1118">
        <f t="shared" si="41"/>
        <v>8637972.5995214917</v>
      </c>
      <c r="CM42" s="1119"/>
      <c r="CQ42" s="1117">
        <f t="shared" si="42"/>
        <v>28801735.621749327</v>
      </c>
      <c r="CR42" s="1118">
        <f t="shared" si="43"/>
        <v>12678412.955324005</v>
      </c>
      <c r="CS42" s="1118">
        <f t="shared" si="44"/>
        <v>7485350.0669038258</v>
      </c>
      <c r="CT42" s="1118">
        <f t="shared" si="45"/>
        <v>8637972.5995214917</v>
      </c>
      <c r="CU42" s="1119"/>
      <c r="CY42" s="1117">
        <f t="shared" si="46"/>
        <v>28801735.621749327</v>
      </c>
      <c r="CZ42" s="1118">
        <f t="shared" si="47"/>
        <v>12678412.955324005</v>
      </c>
      <c r="DA42" s="1118">
        <f t="shared" si="48"/>
        <v>7485350.0669038258</v>
      </c>
      <c r="DB42" s="1118">
        <f t="shared" si="49"/>
        <v>8637972.5995214917</v>
      </c>
      <c r="DC42" s="1119"/>
      <c r="DG42" s="1117">
        <f t="shared" si="50"/>
        <v>28801735.621749327</v>
      </c>
      <c r="DH42" s="1118">
        <f t="shared" si="51"/>
        <v>12678412.955324005</v>
      </c>
      <c r="DI42" s="1118">
        <f t="shared" si="52"/>
        <v>7485350.0669038258</v>
      </c>
      <c r="DJ42" s="1118">
        <f t="shared" si="53"/>
        <v>8637972.5995214917</v>
      </c>
      <c r="DK42" s="1119"/>
      <c r="DO42" s="1117">
        <f t="shared" si="54"/>
        <v>28801735.621749327</v>
      </c>
      <c r="DP42" s="1118">
        <f t="shared" si="55"/>
        <v>12678412.955324005</v>
      </c>
      <c r="DQ42" s="1118">
        <f t="shared" si="56"/>
        <v>7485350.0669038258</v>
      </c>
      <c r="DR42" s="1118">
        <f t="shared" si="57"/>
        <v>8637972.5995214917</v>
      </c>
      <c r="DS42" s="1119"/>
      <c r="DW42" s="1117">
        <f t="shared" si="58"/>
        <v>28801735.621749327</v>
      </c>
      <c r="DX42" s="1118">
        <f t="shared" si="59"/>
        <v>12678412.955324005</v>
      </c>
      <c r="DY42" s="1118">
        <f t="shared" si="60"/>
        <v>7485350.0669038258</v>
      </c>
      <c r="DZ42" s="1118">
        <f t="shared" si="61"/>
        <v>8637972.5995214917</v>
      </c>
      <c r="EA42" s="1119"/>
      <c r="EE42" s="1117">
        <f t="shared" si="62"/>
        <v>28801735.621749327</v>
      </c>
      <c r="EF42" s="1118">
        <f t="shared" si="63"/>
        <v>12678412.955324005</v>
      </c>
      <c r="EG42" s="1118">
        <f t="shared" si="64"/>
        <v>7485350.0669038258</v>
      </c>
      <c r="EH42" s="1118">
        <f t="shared" si="65"/>
        <v>8637972.5995214917</v>
      </c>
      <c r="EI42" s="1119"/>
      <c r="EM42" s="1117">
        <f t="shared" si="66"/>
        <v>28801735.621749327</v>
      </c>
      <c r="EN42" s="1118">
        <f t="shared" si="67"/>
        <v>12678412.955324005</v>
      </c>
      <c r="EO42" s="1118">
        <f t="shared" si="68"/>
        <v>7485350.0669038258</v>
      </c>
      <c r="EP42" s="1118">
        <f t="shared" si="69"/>
        <v>8637972.5995214917</v>
      </c>
      <c r="EQ42" s="1119"/>
      <c r="EU42" s="1117">
        <f t="shared" si="70"/>
        <v>28801735.621749327</v>
      </c>
      <c r="EV42" s="1118">
        <f t="shared" si="71"/>
        <v>12678412.955324005</v>
      </c>
      <c r="EW42" s="1118">
        <f t="shared" si="72"/>
        <v>7485350.0669038258</v>
      </c>
      <c r="EX42" s="1118">
        <f t="shared" si="73"/>
        <v>8637972.5995214917</v>
      </c>
      <c r="EY42" s="1119"/>
      <c r="FC42" s="1117">
        <f t="shared" si="74"/>
        <v>28801735.621749327</v>
      </c>
      <c r="FD42" s="1118">
        <f t="shared" si="75"/>
        <v>12678412.955324005</v>
      </c>
      <c r="FE42" s="1118">
        <f t="shared" si="76"/>
        <v>7485350.0669038258</v>
      </c>
      <c r="FF42" s="1118">
        <f t="shared" si="77"/>
        <v>8637972.5995214917</v>
      </c>
      <c r="FG42" s="1119"/>
      <c r="FK42" s="1117">
        <f t="shared" si="78"/>
        <v>28801735.621749327</v>
      </c>
      <c r="FL42" s="1118">
        <f t="shared" si="79"/>
        <v>12678412.955324005</v>
      </c>
      <c r="FM42" s="1118">
        <f t="shared" si="80"/>
        <v>7485350.0669038258</v>
      </c>
      <c r="FN42" s="1118">
        <f t="shared" si="81"/>
        <v>8637972.5995214917</v>
      </c>
      <c r="FO42" s="1119"/>
    </row>
    <row r="43" spans="1:171" x14ac:dyDescent="0.25">
      <c r="A43" s="913"/>
      <c r="B43" s="10" t="s">
        <v>131</v>
      </c>
      <c r="C43" s="888" t="s">
        <v>70</v>
      </c>
      <c r="D43" s="889">
        <v>395</v>
      </c>
      <c r="E43" s="182" t="str">
        <f>'Sch 1- Rate Base '!E43</f>
        <v>PTD</v>
      </c>
      <c r="F43" s="890"/>
      <c r="G43" s="182">
        <f>'Sch 1- Rate Base '!G43</f>
        <v>22065131.008344457</v>
      </c>
      <c r="H43" s="182">
        <f>'Sch 1- Rate Base '!H43</f>
        <v>9712985.5822252911</v>
      </c>
      <c r="I43" s="182">
        <f>'Sch 1- Rate Base '!I43</f>
        <v>0</v>
      </c>
      <c r="J43" s="183">
        <f>'Sch 1- Rate Base '!J43</f>
        <v>12352145.426119164</v>
      </c>
      <c r="K43" s="904">
        <f t="shared" si="0"/>
        <v>1</v>
      </c>
      <c r="L43" s="1124">
        <f t="shared" si="1"/>
        <v>1.7399388311248104E-3</v>
      </c>
      <c r="O43" s="1117">
        <f t="shared" si="2"/>
        <v>22065131.008344457</v>
      </c>
      <c r="P43" s="1118">
        <f t="shared" si="3"/>
        <v>9712985.5822252911</v>
      </c>
      <c r="Q43" s="1118">
        <f t="shared" si="4"/>
        <v>5734558.2238047514</v>
      </c>
      <c r="R43" s="1118">
        <f t="shared" si="5"/>
        <v>6617587.2023144113</v>
      </c>
      <c r="S43" s="1119"/>
      <c r="W43" s="1117">
        <f t="shared" si="6"/>
        <v>22065131.008344457</v>
      </c>
      <c r="X43" s="1118">
        <f t="shared" si="7"/>
        <v>9712985.5822252911</v>
      </c>
      <c r="Y43" s="1118">
        <f t="shared" si="8"/>
        <v>5734558.2238047514</v>
      </c>
      <c r="Z43" s="1118">
        <f t="shared" si="9"/>
        <v>6617587.2023144113</v>
      </c>
      <c r="AA43" s="1119"/>
      <c r="AE43" s="1117">
        <f t="shared" si="10"/>
        <v>22065131.008344457</v>
      </c>
      <c r="AF43" s="1118">
        <f t="shared" si="11"/>
        <v>9712985.5822252911</v>
      </c>
      <c r="AG43" s="1118">
        <f t="shared" si="12"/>
        <v>5734558.2238047514</v>
      </c>
      <c r="AH43" s="1118">
        <f t="shared" si="13"/>
        <v>6617587.2023144113</v>
      </c>
      <c r="AI43" s="1119"/>
      <c r="AM43" s="1117">
        <f t="shared" si="14"/>
        <v>22065131.008344457</v>
      </c>
      <c r="AN43" s="1118">
        <f t="shared" si="15"/>
        <v>9712985.5822252911</v>
      </c>
      <c r="AO43" s="1118">
        <f t="shared" si="16"/>
        <v>5734558.2238047514</v>
      </c>
      <c r="AP43" s="1118">
        <f t="shared" si="17"/>
        <v>6617587.2023144113</v>
      </c>
      <c r="AQ43" s="1119"/>
      <c r="AU43" s="1117">
        <f t="shared" si="18"/>
        <v>22065131.008344457</v>
      </c>
      <c r="AV43" s="1118">
        <f t="shared" si="19"/>
        <v>9712985.5822252911</v>
      </c>
      <c r="AW43" s="1118">
        <f t="shared" si="20"/>
        <v>5734558.2238047514</v>
      </c>
      <c r="AX43" s="1118">
        <f t="shared" si="21"/>
        <v>6617587.2023144113</v>
      </c>
      <c r="AY43" s="1119"/>
      <c r="BC43" s="1117">
        <f t="shared" si="22"/>
        <v>22065131.008344457</v>
      </c>
      <c r="BD43" s="1118">
        <f t="shared" si="23"/>
        <v>9712985.5822252911</v>
      </c>
      <c r="BE43" s="1118">
        <f t="shared" si="24"/>
        <v>5734558.2238047514</v>
      </c>
      <c r="BF43" s="1118">
        <f t="shared" si="25"/>
        <v>6617587.2023144113</v>
      </c>
      <c r="BG43" s="1119"/>
      <c r="BK43" s="1117">
        <f t="shared" si="26"/>
        <v>22065131.008344457</v>
      </c>
      <c r="BL43" s="1118">
        <f t="shared" si="27"/>
        <v>9712985.5822252911</v>
      </c>
      <c r="BM43" s="1118">
        <f t="shared" si="28"/>
        <v>5734558.2238047514</v>
      </c>
      <c r="BN43" s="1118">
        <f t="shared" si="29"/>
        <v>6617587.2023144113</v>
      </c>
      <c r="BO43" s="1119"/>
      <c r="BS43" s="1117">
        <f t="shared" si="30"/>
        <v>22065131.008344457</v>
      </c>
      <c r="BT43" s="1118">
        <f t="shared" si="31"/>
        <v>9712985.5822252911</v>
      </c>
      <c r="BU43" s="1118">
        <f t="shared" si="32"/>
        <v>5734558.2238047514</v>
      </c>
      <c r="BV43" s="1118">
        <f t="shared" si="33"/>
        <v>6617587.2023144113</v>
      </c>
      <c r="BW43" s="1119"/>
      <c r="CA43" s="1117">
        <f t="shared" si="34"/>
        <v>22065131.008344457</v>
      </c>
      <c r="CB43" s="1118">
        <f t="shared" si="35"/>
        <v>9712985.5822252911</v>
      </c>
      <c r="CC43" s="1118">
        <f t="shared" si="36"/>
        <v>5734558.2238047514</v>
      </c>
      <c r="CD43" s="1118">
        <f t="shared" si="37"/>
        <v>6617587.2023144113</v>
      </c>
      <c r="CE43" s="1119"/>
      <c r="CI43" s="1117">
        <f t="shared" si="38"/>
        <v>22065131.008344457</v>
      </c>
      <c r="CJ43" s="1118">
        <f t="shared" si="39"/>
        <v>9712985.5822252911</v>
      </c>
      <c r="CK43" s="1118">
        <f t="shared" si="40"/>
        <v>5734558.2238047514</v>
      </c>
      <c r="CL43" s="1118">
        <f t="shared" si="41"/>
        <v>6617587.2023144113</v>
      </c>
      <c r="CM43" s="1119"/>
      <c r="CQ43" s="1117">
        <f t="shared" si="42"/>
        <v>22065131.008344457</v>
      </c>
      <c r="CR43" s="1118">
        <f t="shared" si="43"/>
        <v>9712985.5822252911</v>
      </c>
      <c r="CS43" s="1118">
        <f t="shared" si="44"/>
        <v>5734558.2238047514</v>
      </c>
      <c r="CT43" s="1118">
        <f t="shared" si="45"/>
        <v>6617587.2023144113</v>
      </c>
      <c r="CU43" s="1119"/>
      <c r="CY43" s="1117">
        <f t="shared" si="46"/>
        <v>22065131.008344457</v>
      </c>
      <c r="CZ43" s="1118">
        <f t="shared" si="47"/>
        <v>9712985.5822252911</v>
      </c>
      <c r="DA43" s="1118">
        <f t="shared" si="48"/>
        <v>5734558.2238047514</v>
      </c>
      <c r="DB43" s="1118">
        <f t="shared" si="49"/>
        <v>6617587.2023144113</v>
      </c>
      <c r="DC43" s="1119"/>
      <c r="DG43" s="1117">
        <f t="shared" si="50"/>
        <v>22065131.008344457</v>
      </c>
      <c r="DH43" s="1118">
        <f t="shared" si="51"/>
        <v>9712985.5822252911</v>
      </c>
      <c r="DI43" s="1118">
        <f t="shared" si="52"/>
        <v>5734558.2238047514</v>
      </c>
      <c r="DJ43" s="1118">
        <f t="shared" si="53"/>
        <v>6617587.2023144113</v>
      </c>
      <c r="DK43" s="1119"/>
      <c r="DO43" s="1117">
        <f t="shared" si="54"/>
        <v>22065131.008344457</v>
      </c>
      <c r="DP43" s="1118">
        <f t="shared" si="55"/>
        <v>9712985.5822252911</v>
      </c>
      <c r="DQ43" s="1118">
        <f t="shared" si="56"/>
        <v>5734558.2238047514</v>
      </c>
      <c r="DR43" s="1118">
        <f t="shared" si="57"/>
        <v>6617587.2023144113</v>
      </c>
      <c r="DS43" s="1119"/>
      <c r="DW43" s="1117">
        <f t="shared" si="58"/>
        <v>22065131.008344457</v>
      </c>
      <c r="DX43" s="1118">
        <f t="shared" si="59"/>
        <v>9712985.5822252911</v>
      </c>
      <c r="DY43" s="1118">
        <f t="shared" si="60"/>
        <v>5734558.2238047514</v>
      </c>
      <c r="DZ43" s="1118">
        <f t="shared" si="61"/>
        <v>6617587.2023144113</v>
      </c>
      <c r="EA43" s="1119"/>
      <c r="EE43" s="1117">
        <f t="shared" si="62"/>
        <v>22065131.008344457</v>
      </c>
      <c r="EF43" s="1118">
        <f t="shared" si="63"/>
        <v>9712985.5822252911</v>
      </c>
      <c r="EG43" s="1118">
        <f t="shared" si="64"/>
        <v>5734558.2238047514</v>
      </c>
      <c r="EH43" s="1118">
        <f t="shared" si="65"/>
        <v>6617587.2023144113</v>
      </c>
      <c r="EI43" s="1119"/>
      <c r="EM43" s="1117">
        <f t="shared" si="66"/>
        <v>22065131.008344457</v>
      </c>
      <c r="EN43" s="1118">
        <f t="shared" si="67"/>
        <v>9712985.5822252911</v>
      </c>
      <c r="EO43" s="1118">
        <f t="shared" si="68"/>
        <v>5734558.2238047514</v>
      </c>
      <c r="EP43" s="1118">
        <f t="shared" si="69"/>
        <v>6617587.2023144113</v>
      </c>
      <c r="EQ43" s="1119"/>
      <c r="EU43" s="1117">
        <f t="shared" si="70"/>
        <v>22065131.008344457</v>
      </c>
      <c r="EV43" s="1118">
        <f t="shared" si="71"/>
        <v>9712985.5822252911</v>
      </c>
      <c r="EW43" s="1118">
        <f t="shared" si="72"/>
        <v>5734558.2238047514</v>
      </c>
      <c r="EX43" s="1118">
        <f t="shared" si="73"/>
        <v>6617587.2023144113</v>
      </c>
      <c r="EY43" s="1119"/>
      <c r="FC43" s="1117">
        <f t="shared" si="74"/>
        <v>22065131.008344457</v>
      </c>
      <c r="FD43" s="1118">
        <f t="shared" si="75"/>
        <v>9712985.5822252911</v>
      </c>
      <c r="FE43" s="1118">
        <f t="shared" si="76"/>
        <v>5734558.2238047514</v>
      </c>
      <c r="FF43" s="1118">
        <f t="shared" si="77"/>
        <v>6617587.2023144113</v>
      </c>
      <c r="FG43" s="1119"/>
      <c r="FK43" s="1117">
        <f t="shared" si="78"/>
        <v>22065131.008344457</v>
      </c>
      <c r="FL43" s="1118">
        <f t="shared" si="79"/>
        <v>9712985.5822252911</v>
      </c>
      <c r="FM43" s="1118">
        <f t="shared" si="80"/>
        <v>5734558.2238047514</v>
      </c>
      <c r="FN43" s="1118">
        <f t="shared" si="81"/>
        <v>6617587.2023144113</v>
      </c>
      <c r="FO43" s="1119"/>
    </row>
    <row r="44" spans="1:171" x14ac:dyDescent="0.25">
      <c r="A44" s="913"/>
      <c r="B44" s="10" t="s">
        <v>132</v>
      </c>
      <c r="C44" s="888" t="s">
        <v>70</v>
      </c>
      <c r="D44" s="889">
        <v>396</v>
      </c>
      <c r="E44" s="182" t="str">
        <f>'Sch 1- Rate Base '!E44</f>
        <v>TD</v>
      </c>
      <c r="F44" s="890"/>
      <c r="G44" s="182">
        <f>'Sch 1- Rate Base '!G44</f>
        <v>104224382.24860385</v>
      </c>
      <c r="H44" s="182">
        <f>'Sch 1- Rate Base '!H44</f>
        <v>0</v>
      </c>
      <c r="I44" s="182">
        <f>'Sch 1- Rate Base '!I44</f>
        <v>0</v>
      </c>
      <c r="J44" s="183">
        <f>'Sch 1- Rate Base '!J44</f>
        <v>104224382.24860385</v>
      </c>
      <c r="K44" s="904">
        <f t="shared" si="0"/>
        <v>1</v>
      </c>
      <c r="L44" s="1124">
        <f t="shared" si="1"/>
        <v>8.2185802457171737E-3</v>
      </c>
      <c r="O44" s="1117">
        <f t="shared" si="2"/>
        <v>104224382.24860385</v>
      </c>
      <c r="P44" s="1118">
        <f t="shared" si="3"/>
        <v>0</v>
      </c>
      <c r="Q44" s="1118">
        <f t="shared" si="4"/>
        <v>48386799.841335937</v>
      </c>
      <c r="R44" s="1118">
        <f t="shared" si="5"/>
        <v>55837582.407267913</v>
      </c>
      <c r="S44" s="1119"/>
      <c r="W44" s="1117">
        <f t="shared" si="6"/>
        <v>104224382.24860385</v>
      </c>
      <c r="X44" s="1118">
        <f t="shared" si="7"/>
        <v>0</v>
      </c>
      <c r="Y44" s="1118">
        <f t="shared" si="8"/>
        <v>48386799.841335937</v>
      </c>
      <c r="Z44" s="1118">
        <f t="shared" si="9"/>
        <v>55837582.407267913</v>
      </c>
      <c r="AA44" s="1119"/>
      <c r="AE44" s="1117">
        <f t="shared" si="10"/>
        <v>104224382.24860385</v>
      </c>
      <c r="AF44" s="1118">
        <f t="shared" si="11"/>
        <v>0</v>
      </c>
      <c r="AG44" s="1118">
        <f t="shared" si="12"/>
        <v>48386799.841335937</v>
      </c>
      <c r="AH44" s="1118">
        <f t="shared" si="13"/>
        <v>55837582.407267913</v>
      </c>
      <c r="AI44" s="1119"/>
      <c r="AM44" s="1117">
        <f t="shared" si="14"/>
        <v>104224382.24860385</v>
      </c>
      <c r="AN44" s="1118">
        <f t="shared" si="15"/>
        <v>0</v>
      </c>
      <c r="AO44" s="1118">
        <f t="shared" si="16"/>
        <v>48386799.841335937</v>
      </c>
      <c r="AP44" s="1118">
        <f t="shared" si="17"/>
        <v>55837582.407267913</v>
      </c>
      <c r="AQ44" s="1119"/>
      <c r="AU44" s="1117">
        <f t="shared" si="18"/>
        <v>104224382.24860385</v>
      </c>
      <c r="AV44" s="1118">
        <f t="shared" si="19"/>
        <v>0</v>
      </c>
      <c r="AW44" s="1118">
        <f t="shared" si="20"/>
        <v>48386799.841335937</v>
      </c>
      <c r="AX44" s="1118">
        <f t="shared" si="21"/>
        <v>55837582.407267913</v>
      </c>
      <c r="AY44" s="1119"/>
      <c r="BC44" s="1117">
        <f t="shared" si="22"/>
        <v>104224382.24860385</v>
      </c>
      <c r="BD44" s="1118">
        <f t="shared" si="23"/>
        <v>0</v>
      </c>
      <c r="BE44" s="1118">
        <f t="shared" si="24"/>
        <v>48386799.841335937</v>
      </c>
      <c r="BF44" s="1118">
        <f t="shared" si="25"/>
        <v>55837582.407267913</v>
      </c>
      <c r="BG44" s="1119"/>
      <c r="BK44" s="1117">
        <f t="shared" si="26"/>
        <v>104224382.24860385</v>
      </c>
      <c r="BL44" s="1118">
        <f t="shared" si="27"/>
        <v>0</v>
      </c>
      <c r="BM44" s="1118">
        <f t="shared" si="28"/>
        <v>48386799.841335937</v>
      </c>
      <c r="BN44" s="1118">
        <f t="shared" si="29"/>
        <v>55837582.407267913</v>
      </c>
      <c r="BO44" s="1119"/>
      <c r="BS44" s="1117">
        <f t="shared" si="30"/>
        <v>104224382.24860385</v>
      </c>
      <c r="BT44" s="1118">
        <f t="shared" si="31"/>
        <v>0</v>
      </c>
      <c r="BU44" s="1118">
        <f t="shared" si="32"/>
        <v>48386799.841335937</v>
      </c>
      <c r="BV44" s="1118">
        <f t="shared" si="33"/>
        <v>55837582.407267913</v>
      </c>
      <c r="BW44" s="1119"/>
      <c r="CA44" s="1117">
        <f t="shared" si="34"/>
        <v>104224382.24860385</v>
      </c>
      <c r="CB44" s="1118">
        <f t="shared" si="35"/>
        <v>0</v>
      </c>
      <c r="CC44" s="1118">
        <f t="shared" si="36"/>
        <v>48386799.841335937</v>
      </c>
      <c r="CD44" s="1118">
        <f t="shared" si="37"/>
        <v>55837582.407267913</v>
      </c>
      <c r="CE44" s="1119"/>
      <c r="CI44" s="1117">
        <f t="shared" si="38"/>
        <v>104224382.24860385</v>
      </c>
      <c r="CJ44" s="1118">
        <f t="shared" si="39"/>
        <v>0</v>
      </c>
      <c r="CK44" s="1118">
        <f t="shared" si="40"/>
        <v>48386799.841335937</v>
      </c>
      <c r="CL44" s="1118">
        <f t="shared" si="41"/>
        <v>55837582.407267913</v>
      </c>
      <c r="CM44" s="1119"/>
      <c r="CQ44" s="1117">
        <f t="shared" si="42"/>
        <v>104224382.24860385</v>
      </c>
      <c r="CR44" s="1118">
        <f t="shared" si="43"/>
        <v>0</v>
      </c>
      <c r="CS44" s="1118">
        <f t="shared" si="44"/>
        <v>48386799.841335937</v>
      </c>
      <c r="CT44" s="1118">
        <f t="shared" si="45"/>
        <v>55837582.407267913</v>
      </c>
      <c r="CU44" s="1119"/>
      <c r="CY44" s="1117">
        <f t="shared" si="46"/>
        <v>104224382.24860385</v>
      </c>
      <c r="CZ44" s="1118">
        <f t="shared" si="47"/>
        <v>0</v>
      </c>
      <c r="DA44" s="1118">
        <f t="shared" si="48"/>
        <v>48386799.841335937</v>
      </c>
      <c r="DB44" s="1118">
        <f t="shared" si="49"/>
        <v>55837582.407267913</v>
      </c>
      <c r="DC44" s="1119"/>
      <c r="DG44" s="1117">
        <f t="shared" si="50"/>
        <v>104224382.24860385</v>
      </c>
      <c r="DH44" s="1118">
        <f t="shared" si="51"/>
        <v>0</v>
      </c>
      <c r="DI44" s="1118">
        <f t="shared" si="52"/>
        <v>48386799.841335937</v>
      </c>
      <c r="DJ44" s="1118">
        <f t="shared" si="53"/>
        <v>55837582.407267913</v>
      </c>
      <c r="DK44" s="1119"/>
      <c r="DO44" s="1117">
        <f t="shared" si="54"/>
        <v>104224382.24860385</v>
      </c>
      <c r="DP44" s="1118">
        <f t="shared" si="55"/>
        <v>0</v>
      </c>
      <c r="DQ44" s="1118">
        <f t="shared" si="56"/>
        <v>48386799.841335937</v>
      </c>
      <c r="DR44" s="1118">
        <f t="shared" si="57"/>
        <v>55837582.407267913</v>
      </c>
      <c r="DS44" s="1119"/>
      <c r="DW44" s="1117">
        <f t="shared" si="58"/>
        <v>104224382.24860385</v>
      </c>
      <c r="DX44" s="1118">
        <f t="shared" si="59"/>
        <v>0</v>
      </c>
      <c r="DY44" s="1118">
        <f t="shared" si="60"/>
        <v>48386799.841335937</v>
      </c>
      <c r="DZ44" s="1118">
        <f t="shared" si="61"/>
        <v>55837582.407267913</v>
      </c>
      <c r="EA44" s="1119"/>
      <c r="EE44" s="1117">
        <f t="shared" si="62"/>
        <v>104224382.24860385</v>
      </c>
      <c r="EF44" s="1118">
        <f t="shared" si="63"/>
        <v>0</v>
      </c>
      <c r="EG44" s="1118">
        <f t="shared" si="64"/>
        <v>48386799.841335937</v>
      </c>
      <c r="EH44" s="1118">
        <f t="shared" si="65"/>
        <v>55837582.407267913</v>
      </c>
      <c r="EI44" s="1119"/>
      <c r="EM44" s="1117">
        <f t="shared" si="66"/>
        <v>104224382.24860385</v>
      </c>
      <c r="EN44" s="1118">
        <f t="shared" si="67"/>
        <v>0</v>
      </c>
      <c r="EO44" s="1118">
        <f t="shared" si="68"/>
        <v>48386799.841335937</v>
      </c>
      <c r="EP44" s="1118">
        <f t="shared" si="69"/>
        <v>55837582.407267913</v>
      </c>
      <c r="EQ44" s="1119"/>
      <c r="EU44" s="1117">
        <f t="shared" si="70"/>
        <v>104224382.24860385</v>
      </c>
      <c r="EV44" s="1118">
        <f t="shared" si="71"/>
        <v>0</v>
      </c>
      <c r="EW44" s="1118">
        <f t="shared" si="72"/>
        <v>48386799.841335937</v>
      </c>
      <c r="EX44" s="1118">
        <f t="shared" si="73"/>
        <v>55837582.407267913</v>
      </c>
      <c r="EY44" s="1119"/>
      <c r="FC44" s="1117">
        <f t="shared" si="74"/>
        <v>104224382.24860385</v>
      </c>
      <c r="FD44" s="1118">
        <f t="shared" si="75"/>
        <v>0</v>
      </c>
      <c r="FE44" s="1118">
        <f t="shared" si="76"/>
        <v>48386799.841335937</v>
      </c>
      <c r="FF44" s="1118">
        <f t="shared" si="77"/>
        <v>55837582.407267913</v>
      </c>
      <c r="FG44" s="1119"/>
      <c r="FK44" s="1117">
        <f t="shared" si="78"/>
        <v>104224382.24860385</v>
      </c>
      <c r="FL44" s="1118">
        <f t="shared" si="79"/>
        <v>0</v>
      </c>
      <c r="FM44" s="1118">
        <f t="shared" si="80"/>
        <v>48386799.841335937</v>
      </c>
      <c r="FN44" s="1118">
        <f t="shared" si="81"/>
        <v>55837582.407267913</v>
      </c>
      <c r="FO44" s="1119"/>
    </row>
    <row r="45" spans="1:171" x14ac:dyDescent="0.25">
      <c r="A45" s="913"/>
      <c r="B45" s="10" t="s">
        <v>133</v>
      </c>
      <c r="C45" s="888" t="s">
        <v>70</v>
      </c>
      <c r="D45" s="889">
        <v>397</v>
      </c>
      <c r="E45" s="182" t="str">
        <f>'Sch 1- Rate Base '!E45</f>
        <v>PTD</v>
      </c>
      <c r="F45" s="890"/>
      <c r="G45" s="182">
        <f>'Sch 1- Rate Base '!G45</f>
        <v>225166384.95095226</v>
      </c>
      <c r="H45" s="182">
        <f>'Sch 1- Rate Base '!H45</f>
        <v>99117374.367879733</v>
      </c>
      <c r="I45" s="182">
        <f>'Sch 1- Rate Base '!I45</f>
        <v>0</v>
      </c>
      <c r="J45" s="183">
        <f>'Sch 1- Rate Base '!J45</f>
        <v>126049010.58307251</v>
      </c>
      <c r="K45" s="904">
        <f t="shared" si="0"/>
        <v>1</v>
      </c>
      <c r="L45" s="1124">
        <f t="shared" si="1"/>
        <v>1.7755423092298866E-2</v>
      </c>
      <c r="O45" s="1117">
        <f t="shared" si="2"/>
        <v>225166384.95095223</v>
      </c>
      <c r="P45" s="1118">
        <f t="shared" si="3"/>
        <v>99117374.367879719</v>
      </c>
      <c r="Q45" s="1118">
        <f t="shared" si="4"/>
        <v>58519015.547950298</v>
      </c>
      <c r="R45" s="1118">
        <f t="shared" si="5"/>
        <v>67529995.035122186</v>
      </c>
      <c r="S45" s="1119"/>
      <c r="W45" s="1117">
        <f t="shared" si="6"/>
        <v>225166384.95095223</v>
      </c>
      <c r="X45" s="1118">
        <f t="shared" si="7"/>
        <v>99117374.367879719</v>
      </c>
      <c r="Y45" s="1118">
        <f t="shared" si="8"/>
        <v>58519015.547950298</v>
      </c>
      <c r="Z45" s="1118">
        <f t="shared" si="9"/>
        <v>67529995.035122186</v>
      </c>
      <c r="AA45" s="1119"/>
      <c r="AE45" s="1117">
        <f t="shared" si="10"/>
        <v>225166384.95095223</v>
      </c>
      <c r="AF45" s="1118">
        <f t="shared" si="11"/>
        <v>99117374.367879719</v>
      </c>
      <c r="AG45" s="1118">
        <f t="shared" si="12"/>
        <v>58519015.547950298</v>
      </c>
      <c r="AH45" s="1118">
        <f t="shared" si="13"/>
        <v>67529995.035122186</v>
      </c>
      <c r="AI45" s="1119"/>
      <c r="AM45" s="1117">
        <f t="shared" si="14"/>
        <v>225166384.95095223</v>
      </c>
      <c r="AN45" s="1118">
        <f t="shared" si="15"/>
        <v>99117374.367879719</v>
      </c>
      <c r="AO45" s="1118">
        <f t="shared" si="16"/>
        <v>58519015.547950298</v>
      </c>
      <c r="AP45" s="1118">
        <f t="shared" si="17"/>
        <v>67529995.035122186</v>
      </c>
      <c r="AQ45" s="1119"/>
      <c r="AU45" s="1117">
        <f t="shared" si="18"/>
        <v>225166384.95095223</v>
      </c>
      <c r="AV45" s="1118">
        <f t="shared" si="19"/>
        <v>99117374.367879719</v>
      </c>
      <c r="AW45" s="1118">
        <f t="shared" si="20"/>
        <v>58519015.547950298</v>
      </c>
      <c r="AX45" s="1118">
        <f t="shared" si="21"/>
        <v>67529995.035122186</v>
      </c>
      <c r="AY45" s="1119"/>
      <c r="BC45" s="1117">
        <f t="shared" si="22"/>
        <v>225166384.95095223</v>
      </c>
      <c r="BD45" s="1118">
        <f t="shared" si="23"/>
        <v>99117374.367879719</v>
      </c>
      <c r="BE45" s="1118">
        <f t="shared" si="24"/>
        <v>58519015.547950298</v>
      </c>
      <c r="BF45" s="1118">
        <f t="shared" si="25"/>
        <v>67529995.035122186</v>
      </c>
      <c r="BG45" s="1119"/>
      <c r="BK45" s="1117">
        <f t="shared" si="26"/>
        <v>225166384.95095223</v>
      </c>
      <c r="BL45" s="1118">
        <f t="shared" si="27"/>
        <v>99117374.367879719</v>
      </c>
      <c r="BM45" s="1118">
        <f t="shared" si="28"/>
        <v>58519015.547950298</v>
      </c>
      <c r="BN45" s="1118">
        <f t="shared" si="29"/>
        <v>67529995.035122186</v>
      </c>
      <c r="BO45" s="1119"/>
      <c r="BS45" s="1117">
        <f t="shared" si="30"/>
        <v>225166384.95095223</v>
      </c>
      <c r="BT45" s="1118">
        <f t="shared" si="31"/>
        <v>99117374.367879719</v>
      </c>
      <c r="BU45" s="1118">
        <f t="shared" si="32"/>
        <v>58519015.547950298</v>
      </c>
      <c r="BV45" s="1118">
        <f t="shared" si="33"/>
        <v>67529995.035122186</v>
      </c>
      <c r="BW45" s="1119"/>
      <c r="CA45" s="1117">
        <f t="shared" si="34"/>
        <v>225166384.95095223</v>
      </c>
      <c r="CB45" s="1118">
        <f t="shared" si="35"/>
        <v>99117374.367879719</v>
      </c>
      <c r="CC45" s="1118">
        <f t="shared" si="36"/>
        <v>58519015.547950298</v>
      </c>
      <c r="CD45" s="1118">
        <f t="shared" si="37"/>
        <v>67529995.035122186</v>
      </c>
      <c r="CE45" s="1119"/>
      <c r="CI45" s="1117">
        <f t="shared" si="38"/>
        <v>225166384.95095223</v>
      </c>
      <c r="CJ45" s="1118">
        <f t="shared" si="39"/>
        <v>99117374.367879719</v>
      </c>
      <c r="CK45" s="1118">
        <f t="shared" si="40"/>
        <v>58519015.547950298</v>
      </c>
      <c r="CL45" s="1118">
        <f t="shared" si="41"/>
        <v>67529995.035122186</v>
      </c>
      <c r="CM45" s="1119"/>
      <c r="CQ45" s="1117">
        <f t="shared" si="42"/>
        <v>225166384.95095223</v>
      </c>
      <c r="CR45" s="1118">
        <f t="shared" si="43"/>
        <v>99117374.367879719</v>
      </c>
      <c r="CS45" s="1118">
        <f t="shared" si="44"/>
        <v>58519015.547950298</v>
      </c>
      <c r="CT45" s="1118">
        <f t="shared" si="45"/>
        <v>67529995.035122186</v>
      </c>
      <c r="CU45" s="1119"/>
      <c r="CY45" s="1117">
        <f t="shared" si="46"/>
        <v>225166384.95095223</v>
      </c>
      <c r="CZ45" s="1118">
        <f t="shared" si="47"/>
        <v>99117374.367879719</v>
      </c>
      <c r="DA45" s="1118">
        <f t="shared" si="48"/>
        <v>58519015.547950298</v>
      </c>
      <c r="DB45" s="1118">
        <f t="shared" si="49"/>
        <v>67529995.035122186</v>
      </c>
      <c r="DC45" s="1119"/>
      <c r="DG45" s="1117">
        <f t="shared" si="50"/>
        <v>225166384.95095223</v>
      </c>
      <c r="DH45" s="1118">
        <f t="shared" si="51"/>
        <v>99117374.367879719</v>
      </c>
      <c r="DI45" s="1118">
        <f t="shared" si="52"/>
        <v>58519015.547950298</v>
      </c>
      <c r="DJ45" s="1118">
        <f t="shared" si="53"/>
        <v>67529995.035122186</v>
      </c>
      <c r="DK45" s="1119"/>
      <c r="DO45" s="1117">
        <f t="shared" si="54"/>
        <v>225166384.95095223</v>
      </c>
      <c r="DP45" s="1118">
        <f t="shared" si="55"/>
        <v>99117374.367879719</v>
      </c>
      <c r="DQ45" s="1118">
        <f t="shared" si="56"/>
        <v>58519015.547950298</v>
      </c>
      <c r="DR45" s="1118">
        <f t="shared" si="57"/>
        <v>67529995.035122186</v>
      </c>
      <c r="DS45" s="1119"/>
      <c r="DW45" s="1117">
        <f t="shared" si="58"/>
        <v>225166384.95095223</v>
      </c>
      <c r="DX45" s="1118">
        <f t="shared" si="59"/>
        <v>99117374.367879719</v>
      </c>
      <c r="DY45" s="1118">
        <f t="shared" si="60"/>
        <v>58519015.547950298</v>
      </c>
      <c r="DZ45" s="1118">
        <f t="shared" si="61"/>
        <v>67529995.035122186</v>
      </c>
      <c r="EA45" s="1119"/>
      <c r="EE45" s="1117">
        <f t="shared" si="62"/>
        <v>225166384.95095223</v>
      </c>
      <c r="EF45" s="1118">
        <f t="shared" si="63"/>
        <v>99117374.367879719</v>
      </c>
      <c r="EG45" s="1118">
        <f t="shared" si="64"/>
        <v>58519015.547950298</v>
      </c>
      <c r="EH45" s="1118">
        <f t="shared" si="65"/>
        <v>67529995.035122186</v>
      </c>
      <c r="EI45" s="1119"/>
      <c r="EM45" s="1117">
        <f t="shared" si="66"/>
        <v>225166384.95095223</v>
      </c>
      <c r="EN45" s="1118">
        <f t="shared" si="67"/>
        <v>99117374.367879719</v>
      </c>
      <c r="EO45" s="1118">
        <f t="shared" si="68"/>
        <v>58519015.547950298</v>
      </c>
      <c r="EP45" s="1118">
        <f t="shared" si="69"/>
        <v>67529995.035122186</v>
      </c>
      <c r="EQ45" s="1119"/>
      <c r="EU45" s="1117">
        <f t="shared" si="70"/>
        <v>225166384.95095223</v>
      </c>
      <c r="EV45" s="1118">
        <f t="shared" si="71"/>
        <v>99117374.367879719</v>
      </c>
      <c r="EW45" s="1118">
        <f t="shared" si="72"/>
        <v>58519015.547950298</v>
      </c>
      <c r="EX45" s="1118">
        <f t="shared" si="73"/>
        <v>67529995.035122186</v>
      </c>
      <c r="EY45" s="1119"/>
      <c r="FC45" s="1117">
        <f t="shared" si="74"/>
        <v>225166384.95095223</v>
      </c>
      <c r="FD45" s="1118">
        <f t="shared" si="75"/>
        <v>99117374.367879719</v>
      </c>
      <c r="FE45" s="1118">
        <f t="shared" si="76"/>
        <v>58519015.547950298</v>
      </c>
      <c r="FF45" s="1118">
        <f t="shared" si="77"/>
        <v>67529995.035122186</v>
      </c>
      <c r="FG45" s="1119"/>
      <c r="FK45" s="1117">
        <f t="shared" si="78"/>
        <v>225166384.95095223</v>
      </c>
      <c r="FL45" s="1118">
        <f t="shared" si="79"/>
        <v>99117374.367879719</v>
      </c>
      <c r="FM45" s="1118">
        <f t="shared" si="80"/>
        <v>58519015.547950298</v>
      </c>
      <c r="FN45" s="1118">
        <f t="shared" si="81"/>
        <v>67529995.035122186</v>
      </c>
      <c r="FO45" s="1119"/>
    </row>
    <row r="46" spans="1:171" x14ac:dyDescent="0.25">
      <c r="A46" s="913"/>
      <c r="B46" s="10" t="s">
        <v>134</v>
      </c>
      <c r="C46" s="888" t="s">
        <v>70</v>
      </c>
      <c r="D46" s="889">
        <v>398</v>
      </c>
      <c r="E46" s="182" t="str">
        <f>'Sch 1- Rate Base '!E46</f>
        <v>PTD</v>
      </c>
      <c r="F46" s="890"/>
      <c r="G46" s="182">
        <f>'Sch 1- Rate Base '!G46</f>
        <v>3889871.2322740913</v>
      </c>
      <c r="H46" s="182">
        <f>'Sch 1- Rate Base '!H46</f>
        <v>1712306.316309788</v>
      </c>
      <c r="I46" s="182">
        <f>'Sch 1- Rate Base '!I46</f>
        <v>0</v>
      </c>
      <c r="J46" s="183">
        <f>'Sch 1- Rate Base '!J46</f>
        <v>2177564.9159643031</v>
      </c>
      <c r="K46" s="904">
        <f t="shared" si="0"/>
        <v>1</v>
      </c>
      <c r="L46" s="1124">
        <f t="shared" si="1"/>
        <v>3.067345488476581E-4</v>
      </c>
      <c r="O46" s="1117">
        <f t="shared" si="2"/>
        <v>3889871.2322740913</v>
      </c>
      <c r="P46" s="1118">
        <f t="shared" si="3"/>
        <v>1712306.316309788</v>
      </c>
      <c r="Q46" s="1118">
        <f t="shared" si="4"/>
        <v>1010947.6828459847</v>
      </c>
      <c r="R46" s="1118">
        <f t="shared" si="5"/>
        <v>1166617.2331183183</v>
      </c>
      <c r="S46" s="1119"/>
      <c r="W46" s="1117">
        <f t="shared" si="6"/>
        <v>3889871.2322740913</v>
      </c>
      <c r="X46" s="1118">
        <f t="shared" si="7"/>
        <v>1712306.316309788</v>
      </c>
      <c r="Y46" s="1118">
        <f t="shared" si="8"/>
        <v>1010947.6828459847</v>
      </c>
      <c r="Z46" s="1118">
        <f t="shared" si="9"/>
        <v>1166617.2331183183</v>
      </c>
      <c r="AA46" s="1119"/>
      <c r="AE46" s="1117">
        <f t="shared" si="10"/>
        <v>3889871.2322740913</v>
      </c>
      <c r="AF46" s="1118">
        <f t="shared" si="11"/>
        <v>1712306.316309788</v>
      </c>
      <c r="AG46" s="1118">
        <f t="shared" si="12"/>
        <v>1010947.6828459847</v>
      </c>
      <c r="AH46" s="1118">
        <f t="shared" si="13"/>
        <v>1166617.2331183183</v>
      </c>
      <c r="AI46" s="1119"/>
      <c r="AM46" s="1117">
        <f t="shared" si="14"/>
        <v>3889871.2322740913</v>
      </c>
      <c r="AN46" s="1118">
        <f t="shared" si="15"/>
        <v>1712306.316309788</v>
      </c>
      <c r="AO46" s="1118">
        <f t="shared" si="16"/>
        <v>1010947.6828459847</v>
      </c>
      <c r="AP46" s="1118">
        <f t="shared" si="17"/>
        <v>1166617.2331183183</v>
      </c>
      <c r="AQ46" s="1119"/>
      <c r="AU46" s="1117">
        <f t="shared" si="18"/>
        <v>3889871.2322740913</v>
      </c>
      <c r="AV46" s="1118">
        <f t="shared" si="19"/>
        <v>1712306.316309788</v>
      </c>
      <c r="AW46" s="1118">
        <f t="shared" si="20"/>
        <v>1010947.6828459847</v>
      </c>
      <c r="AX46" s="1118">
        <f t="shared" si="21"/>
        <v>1166617.2331183183</v>
      </c>
      <c r="AY46" s="1119"/>
      <c r="BC46" s="1117">
        <f t="shared" si="22"/>
        <v>3889871.2322740913</v>
      </c>
      <c r="BD46" s="1118">
        <f t="shared" si="23"/>
        <v>1712306.316309788</v>
      </c>
      <c r="BE46" s="1118">
        <f t="shared" si="24"/>
        <v>1010947.6828459847</v>
      </c>
      <c r="BF46" s="1118">
        <f t="shared" si="25"/>
        <v>1166617.2331183183</v>
      </c>
      <c r="BG46" s="1119"/>
      <c r="BK46" s="1117">
        <f t="shared" si="26"/>
        <v>3889871.2322740913</v>
      </c>
      <c r="BL46" s="1118">
        <f t="shared" si="27"/>
        <v>1712306.316309788</v>
      </c>
      <c r="BM46" s="1118">
        <f t="shared" si="28"/>
        <v>1010947.6828459847</v>
      </c>
      <c r="BN46" s="1118">
        <f t="shared" si="29"/>
        <v>1166617.2331183183</v>
      </c>
      <c r="BO46" s="1119"/>
      <c r="BS46" s="1117">
        <f t="shared" si="30"/>
        <v>3889871.2322740913</v>
      </c>
      <c r="BT46" s="1118">
        <f t="shared" si="31"/>
        <v>1712306.316309788</v>
      </c>
      <c r="BU46" s="1118">
        <f t="shared" si="32"/>
        <v>1010947.6828459847</v>
      </c>
      <c r="BV46" s="1118">
        <f t="shared" si="33"/>
        <v>1166617.2331183183</v>
      </c>
      <c r="BW46" s="1119"/>
      <c r="CA46" s="1117">
        <f t="shared" si="34"/>
        <v>3889871.2322740913</v>
      </c>
      <c r="CB46" s="1118">
        <f t="shared" si="35"/>
        <v>1712306.316309788</v>
      </c>
      <c r="CC46" s="1118">
        <f t="shared" si="36"/>
        <v>1010947.6828459847</v>
      </c>
      <c r="CD46" s="1118">
        <f t="shared" si="37"/>
        <v>1166617.2331183183</v>
      </c>
      <c r="CE46" s="1119"/>
      <c r="CI46" s="1117">
        <f t="shared" si="38"/>
        <v>3889871.2322740913</v>
      </c>
      <c r="CJ46" s="1118">
        <f t="shared" si="39"/>
        <v>1712306.316309788</v>
      </c>
      <c r="CK46" s="1118">
        <f t="shared" si="40"/>
        <v>1010947.6828459847</v>
      </c>
      <c r="CL46" s="1118">
        <f t="shared" si="41"/>
        <v>1166617.2331183183</v>
      </c>
      <c r="CM46" s="1119"/>
      <c r="CQ46" s="1117">
        <f t="shared" si="42"/>
        <v>3889871.2322740913</v>
      </c>
      <c r="CR46" s="1118">
        <f t="shared" si="43"/>
        <v>1712306.316309788</v>
      </c>
      <c r="CS46" s="1118">
        <f t="shared" si="44"/>
        <v>1010947.6828459847</v>
      </c>
      <c r="CT46" s="1118">
        <f t="shared" si="45"/>
        <v>1166617.2331183183</v>
      </c>
      <c r="CU46" s="1119"/>
      <c r="CY46" s="1117">
        <f t="shared" si="46"/>
        <v>3889871.2322740913</v>
      </c>
      <c r="CZ46" s="1118">
        <f t="shared" si="47"/>
        <v>1712306.316309788</v>
      </c>
      <c r="DA46" s="1118">
        <f t="shared" si="48"/>
        <v>1010947.6828459847</v>
      </c>
      <c r="DB46" s="1118">
        <f t="shared" si="49"/>
        <v>1166617.2331183183</v>
      </c>
      <c r="DC46" s="1119"/>
      <c r="DG46" s="1117">
        <f t="shared" si="50"/>
        <v>3889871.2322740913</v>
      </c>
      <c r="DH46" s="1118">
        <f t="shared" si="51"/>
        <v>1712306.316309788</v>
      </c>
      <c r="DI46" s="1118">
        <f t="shared" si="52"/>
        <v>1010947.6828459847</v>
      </c>
      <c r="DJ46" s="1118">
        <f t="shared" si="53"/>
        <v>1166617.2331183183</v>
      </c>
      <c r="DK46" s="1119"/>
      <c r="DO46" s="1117">
        <f t="shared" si="54"/>
        <v>3889871.2322740913</v>
      </c>
      <c r="DP46" s="1118">
        <f t="shared" si="55"/>
        <v>1712306.316309788</v>
      </c>
      <c r="DQ46" s="1118">
        <f t="shared" si="56"/>
        <v>1010947.6828459847</v>
      </c>
      <c r="DR46" s="1118">
        <f t="shared" si="57"/>
        <v>1166617.2331183183</v>
      </c>
      <c r="DS46" s="1119"/>
      <c r="DW46" s="1117">
        <f t="shared" si="58"/>
        <v>3889871.2322740913</v>
      </c>
      <c r="DX46" s="1118">
        <f t="shared" si="59"/>
        <v>1712306.316309788</v>
      </c>
      <c r="DY46" s="1118">
        <f t="shared" si="60"/>
        <v>1010947.6828459847</v>
      </c>
      <c r="DZ46" s="1118">
        <f t="shared" si="61"/>
        <v>1166617.2331183183</v>
      </c>
      <c r="EA46" s="1119"/>
      <c r="EE46" s="1117">
        <f t="shared" si="62"/>
        <v>3889871.2322740913</v>
      </c>
      <c r="EF46" s="1118">
        <f t="shared" si="63"/>
        <v>1712306.316309788</v>
      </c>
      <c r="EG46" s="1118">
        <f t="shared" si="64"/>
        <v>1010947.6828459847</v>
      </c>
      <c r="EH46" s="1118">
        <f t="shared" si="65"/>
        <v>1166617.2331183183</v>
      </c>
      <c r="EI46" s="1119"/>
      <c r="EM46" s="1117">
        <f t="shared" si="66"/>
        <v>3889871.2322740913</v>
      </c>
      <c r="EN46" s="1118">
        <f t="shared" si="67"/>
        <v>1712306.316309788</v>
      </c>
      <c r="EO46" s="1118">
        <f t="shared" si="68"/>
        <v>1010947.6828459847</v>
      </c>
      <c r="EP46" s="1118">
        <f t="shared" si="69"/>
        <v>1166617.2331183183</v>
      </c>
      <c r="EQ46" s="1119"/>
      <c r="EU46" s="1117">
        <f t="shared" si="70"/>
        <v>3889871.2322740913</v>
      </c>
      <c r="EV46" s="1118">
        <f t="shared" si="71"/>
        <v>1712306.316309788</v>
      </c>
      <c r="EW46" s="1118">
        <f t="shared" si="72"/>
        <v>1010947.6828459847</v>
      </c>
      <c r="EX46" s="1118">
        <f t="shared" si="73"/>
        <v>1166617.2331183183</v>
      </c>
      <c r="EY46" s="1119"/>
      <c r="FC46" s="1117">
        <f t="shared" si="74"/>
        <v>3889871.2322740913</v>
      </c>
      <c r="FD46" s="1118">
        <f t="shared" si="75"/>
        <v>1712306.316309788</v>
      </c>
      <c r="FE46" s="1118">
        <f t="shared" si="76"/>
        <v>1010947.6828459847</v>
      </c>
      <c r="FF46" s="1118">
        <f t="shared" si="77"/>
        <v>1166617.2331183183</v>
      </c>
      <c r="FG46" s="1119"/>
      <c r="FK46" s="1117">
        <f t="shared" si="78"/>
        <v>3889871.2322740913</v>
      </c>
      <c r="FL46" s="1118">
        <f t="shared" si="79"/>
        <v>1712306.316309788</v>
      </c>
      <c r="FM46" s="1118">
        <f t="shared" si="80"/>
        <v>1010947.6828459847</v>
      </c>
      <c r="FN46" s="1118">
        <f t="shared" si="81"/>
        <v>1166617.2331183183</v>
      </c>
      <c r="FO46" s="1119"/>
    </row>
    <row r="47" spans="1:171" x14ac:dyDescent="0.25">
      <c r="A47" s="913"/>
      <c r="B47" s="10" t="s">
        <v>256</v>
      </c>
      <c r="C47" s="888" t="s">
        <v>70</v>
      </c>
      <c r="D47" s="889">
        <v>399</v>
      </c>
      <c r="E47" s="182" t="str">
        <f>'Sch 1- Rate Base '!E47</f>
        <v>DIRECT</v>
      </c>
      <c r="F47" s="890"/>
      <c r="G47" s="182">
        <f>'Sch 1- Rate Base '!G47</f>
        <v>708735.65050650423</v>
      </c>
      <c r="H47" s="182">
        <f>'Sch 1- Rate Base '!H47</f>
        <v>708735.65050650423</v>
      </c>
      <c r="I47" s="182">
        <f>'Sch 1- Rate Base '!I47</f>
        <v>0</v>
      </c>
      <c r="J47" s="183">
        <f>'Sch 1- Rate Base '!J47</f>
        <v>0</v>
      </c>
      <c r="K47" s="904">
        <f t="shared" si="0"/>
        <v>0</v>
      </c>
      <c r="L47" s="1124">
        <f t="shared" si="1"/>
        <v>5.5887122485355804E-5</v>
      </c>
      <c r="O47" s="1117">
        <f t="shared" si="2"/>
        <v>708735.65050650423</v>
      </c>
      <c r="P47" s="1118">
        <f t="shared" si="3"/>
        <v>708735.65050650423</v>
      </c>
      <c r="Q47" s="1118">
        <f t="shared" si="4"/>
        <v>0</v>
      </c>
      <c r="R47" s="1118">
        <f t="shared" si="5"/>
        <v>0</v>
      </c>
      <c r="S47" s="1119"/>
      <c r="W47" s="1117">
        <f t="shared" si="6"/>
        <v>708735.65050650423</v>
      </c>
      <c r="X47" s="1118">
        <f t="shared" si="7"/>
        <v>708735.65050650423</v>
      </c>
      <c r="Y47" s="1118">
        <f t="shared" si="8"/>
        <v>0</v>
      </c>
      <c r="Z47" s="1118">
        <f t="shared" si="9"/>
        <v>0</v>
      </c>
      <c r="AA47" s="1119"/>
      <c r="AE47" s="1117">
        <f t="shared" si="10"/>
        <v>708735.65050650423</v>
      </c>
      <c r="AF47" s="1118">
        <f t="shared" si="11"/>
        <v>708735.65050650423</v>
      </c>
      <c r="AG47" s="1118">
        <f t="shared" si="12"/>
        <v>0</v>
      </c>
      <c r="AH47" s="1118">
        <f t="shared" si="13"/>
        <v>0</v>
      </c>
      <c r="AI47" s="1119"/>
      <c r="AM47" s="1117">
        <f t="shared" si="14"/>
        <v>708735.65050650423</v>
      </c>
      <c r="AN47" s="1118">
        <f t="shared" si="15"/>
        <v>708735.65050650423</v>
      </c>
      <c r="AO47" s="1118">
        <f t="shared" si="16"/>
        <v>0</v>
      </c>
      <c r="AP47" s="1118">
        <f t="shared" si="17"/>
        <v>0</v>
      </c>
      <c r="AQ47" s="1119"/>
      <c r="AU47" s="1117">
        <f t="shared" si="18"/>
        <v>708735.65050650423</v>
      </c>
      <c r="AV47" s="1118">
        <f t="shared" si="19"/>
        <v>708735.65050650423</v>
      </c>
      <c r="AW47" s="1118">
        <f t="shared" si="20"/>
        <v>0</v>
      </c>
      <c r="AX47" s="1118">
        <f t="shared" si="21"/>
        <v>0</v>
      </c>
      <c r="AY47" s="1119"/>
      <c r="BC47" s="1117">
        <f t="shared" si="22"/>
        <v>708735.65050650423</v>
      </c>
      <c r="BD47" s="1118">
        <f t="shared" si="23"/>
        <v>708735.65050650423</v>
      </c>
      <c r="BE47" s="1118">
        <f t="shared" si="24"/>
        <v>0</v>
      </c>
      <c r="BF47" s="1118">
        <f t="shared" si="25"/>
        <v>0</v>
      </c>
      <c r="BG47" s="1119"/>
      <c r="BK47" s="1117">
        <f t="shared" si="26"/>
        <v>708735.65050650423</v>
      </c>
      <c r="BL47" s="1118">
        <f t="shared" si="27"/>
        <v>708735.65050650423</v>
      </c>
      <c r="BM47" s="1118">
        <f t="shared" si="28"/>
        <v>0</v>
      </c>
      <c r="BN47" s="1118">
        <f t="shared" si="29"/>
        <v>0</v>
      </c>
      <c r="BO47" s="1119"/>
      <c r="BS47" s="1117">
        <f t="shared" si="30"/>
        <v>708735.65050650423</v>
      </c>
      <c r="BT47" s="1118">
        <f t="shared" si="31"/>
        <v>708735.65050650423</v>
      </c>
      <c r="BU47" s="1118">
        <f t="shared" si="32"/>
        <v>0</v>
      </c>
      <c r="BV47" s="1118">
        <f t="shared" si="33"/>
        <v>0</v>
      </c>
      <c r="BW47" s="1119"/>
      <c r="CA47" s="1117">
        <f t="shared" si="34"/>
        <v>708735.65050650423</v>
      </c>
      <c r="CB47" s="1118">
        <f t="shared" si="35"/>
        <v>708735.65050650423</v>
      </c>
      <c r="CC47" s="1118">
        <f t="shared" si="36"/>
        <v>0</v>
      </c>
      <c r="CD47" s="1118">
        <f t="shared" si="37"/>
        <v>0</v>
      </c>
      <c r="CE47" s="1119"/>
      <c r="CI47" s="1117">
        <f t="shared" si="38"/>
        <v>708735.65050650423</v>
      </c>
      <c r="CJ47" s="1118">
        <f t="shared" si="39"/>
        <v>708735.65050650423</v>
      </c>
      <c r="CK47" s="1118">
        <f t="shared" si="40"/>
        <v>0</v>
      </c>
      <c r="CL47" s="1118">
        <f t="shared" si="41"/>
        <v>0</v>
      </c>
      <c r="CM47" s="1119"/>
      <c r="CQ47" s="1117">
        <f t="shared" si="42"/>
        <v>708735.65050650423</v>
      </c>
      <c r="CR47" s="1118">
        <f t="shared" si="43"/>
        <v>708735.65050650423</v>
      </c>
      <c r="CS47" s="1118">
        <f t="shared" si="44"/>
        <v>0</v>
      </c>
      <c r="CT47" s="1118">
        <f t="shared" si="45"/>
        <v>0</v>
      </c>
      <c r="CU47" s="1119"/>
      <c r="CY47" s="1117">
        <f t="shared" si="46"/>
        <v>708735.65050650423</v>
      </c>
      <c r="CZ47" s="1118">
        <f t="shared" si="47"/>
        <v>708735.65050650423</v>
      </c>
      <c r="DA47" s="1118">
        <f t="shared" si="48"/>
        <v>0</v>
      </c>
      <c r="DB47" s="1118">
        <f t="shared" si="49"/>
        <v>0</v>
      </c>
      <c r="DC47" s="1119"/>
      <c r="DG47" s="1117">
        <f t="shared" si="50"/>
        <v>708735.65050650423</v>
      </c>
      <c r="DH47" s="1118">
        <f t="shared" si="51"/>
        <v>708735.65050650423</v>
      </c>
      <c r="DI47" s="1118">
        <f t="shared" si="52"/>
        <v>0</v>
      </c>
      <c r="DJ47" s="1118">
        <f t="shared" si="53"/>
        <v>0</v>
      </c>
      <c r="DK47" s="1119"/>
      <c r="DO47" s="1117">
        <f t="shared" si="54"/>
        <v>708735.65050650423</v>
      </c>
      <c r="DP47" s="1118">
        <f t="shared" si="55"/>
        <v>708735.65050650423</v>
      </c>
      <c r="DQ47" s="1118">
        <f t="shared" si="56"/>
        <v>0</v>
      </c>
      <c r="DR47" s="1118">
        <f t="shared" si="57"/>
        <v>0</v>
      </c>
      <c r="DS47" s="1119"/>
      <c r="DW47" s="1117">
        <f t="shared" si="58"/>
        <v>708735.65050650423</v>
      </c>
      <c r="DX47" s="1118">
        <f t="shared" si="59"/>
        <v>708735.65050650423</v>
      </c>
      <c r="DY47" s="1118">
        <f t="shared" si="60"/>
        <v>0</v>
      </c>
      <c r="DZ47" s="1118">
        <f t="shared" si="61"/>
        <v>0</v>
      </c>
      <c r="EA47" s="1119"/>
      <c r="EE47" s="1117">
        <f t="shared" si="62"/>
        <v>708735.65050650423</v>
      </c>
      <c r="EF47" s="1118">
        <f t="shared" si="63"/>
        <v>708735.65050650423</v>
      </c>
      <c r="EG47" s="1118">
        <f t="shared" si="64"/>
        <v>0</v>
      </c>
      <c r="EH47" s="1118">
        <f t="shared" si="65"/>
        <v>0</v>
      </c>
      <c r="EI47" s="1119"/>
      <c r="EM47" s="1117">
        <f t="shared" si="66"/>
        <v>708735.65050650423</v>
      </c>
      <c r="EN47" s="1118">
        <f t="shared" si="67"/>
        <v>708735.65050650423</v>
      </c>
      <c r="EO47" s="1118">
        <f t="shared" si="68"/>
        <v>0</v>
      </c>
      <c r="EP47" s="1118">
        <f t="shared" si="69"/>
        <v>0</v>
      </c>
      <c r="EQ47" s="1119"/>
      <c r="EU47" s="1117">
        <f t="shared" si="70"/>
        <v>708735.65050650423</v>
      </c>
      <c r="EV47" s="1118">
        <f t="shared" si="71"/>
        <v>708735.65050650423</v>
      </c>
      <c r="EW47" s="1118">
        <f t="shared" si="72"/>
        <v>0</v>
      </c>
      <c r="EX47" s="1118">
        <f t="shared" si="73"/>
        <v>0</v>
      </c>
      <c r="EY47" s="1119"/>
      <c r="FC47" s="1117">
        <f t="shared" si="74"/>
        <v>708735.65050650423</v>
      </c>
      <c r="FD47" s="1118">
        <f t="shared" si="75"/>
        <v>708735.65050650423</v>
      </c>
      <c r="FE47" s="1118">
        <f t="shared" si="76"/>
        <v>0</v>
      </c>
      <c r="FF47" s="1118">
        <f t="shared" si="77"/>
        <v>0</v>
      </c>
      <c r="FG47" s="1119"/>
      <c r="FK47" s="1117">
        <f t="shared" si="78"/>
        <v>708735.65050650423</v>
      </c>
      <c r="FL47" s="1118">
        <f t="shared" si="79"/>
        <v>708735.65050650423</v>
      </c>
      <c r="FM47" s="1118">
        <f t="shared" si="80"/>
        <v>0</v>
      </c>
      <c r="FN47" s="1118">
        <f t="shared" si="81"/>
        <v>0</v>
      </c>
      <c r="FO47" s="1119"/>
    </row>
    <row r="48" spans="1:171" x14ac:dyDescent="0.25">
      <c r="A48" s="913"/>
      <c r="B48" s="10" t="s">
        <v>442</v>
      </c>
      <c r="C48" s="888" t="s">
        <v>443</v>
      </c>
      <c r="D48" s="889">
        <v>399.1</v>
      </c>
      <c r="E48" s="182" t="str">
        <f>'Sch 1- Rate Base '!E48</f>
        <v>PTD</v>
      </c>
      <c r="F48" s="890"/>
      <c r="G48" s="182">
        <f>'Sch 1- Rate Base '!G48</f>
        <v>15896.576261311178</v>
      </c>
      <c r="H48" s="182">
        <f>'Sch 1- Rate Base '!H48</f>
        <v>6997.6115697871464</v>
      </c>
      <c r="I48" s="182">
        <f>'Sch 1- Rate Base '!I48</f>
        <v>0</v>
      </c>
      <c r="J48" s="183">
        <f>'Sch 1- Rate Base '!J48</f>
        <v>8898.9646915240301</v>
      </c>
      <c r="K48" s="904">
        <f t="shared" si="0"/>
        <v>1</v>
      </c>
      <c r="L48" s="1124">
        <f t="shared" si="1"/>
        <v>1.2535194243139658E-6</v>
      </c>
      <c r="M48" s="1125">
        <f>SUM(L37:L48)</f>
        <v>5.116470025815481E-2</v>
      </c>
      <c r="O48" s="1117">
        <f t="shared" si="2"/>
        <v>15896.576261311178</v>
      </c>
      <c r="P48" s="1118">
        <f t="shared" si="3"/>
        <v>6997.6115697871464</v>
      </c>
      <c r="Q48" s="1118">
        <f t="shared" si="4"/>
        <v>4131.3981818266629</v>
      </c>
      <c r="R48" s="1118">
        <f t="shared" si="5"/>
        <v>4767.5665096973671</v>
      </c>
      <c r="S48" s="1119"/>
      <c r="W48" s="1117">
        <f t="shared" si="6"/>
        <v>15896.576261311178</v>
      </c>
      <c r="X48" s="1118">
        <f t="shared" si="7"/>
        <v>6997.6115697871464</v>
      </c>
      <c r="Y48" s="1118">
        <f t="shared" si="8"/>
        <v>4131.3981818266629</v>
      </c>
      <c r="Z48" s="1118">
        <f t="shared" si="9"/>
        <v>4767.5665096973671</v>
      </c>
      <c r="AA48" s="1119"/>
      <c r="AE48" s="1117">
        <f t="shared" si="10"/>
        <v>15896.576261311178</v>
      </c>
      <c r="AF48" s="1118">
        <f t="shared" si="11"/>
        <v>6997.6115697871464</v>
      </c>
      <c r="AG48" s="1118">
        <f t="shared" si="12"/>
        <v>4131.3981818266629</v>
      </c>
      <c r="AH48" s="1118">
        <f t="shared" si="13"/>
        <v>4767.5665096973671</v>
      </c>
      <c r="AI48" s="1119"/>
      <c r="AM48" s="1117">
        <f t="shared" si="14"/>
        <v>15896.576261311178</v>
      </c>
      <c r="AN48" s="1118">
        <f t="shared" si="15"/>
        <v>6997.6115697871464</v>
      </c>
      <c r="AO48" s="1118">
        <f t="shared" si="16"/>
        <v>4131.3981818266629</v>
      </c>
      <c r="AP48" s="1118">
        <f t="shared" si="17"/>
        <v>4767.5665096973671</v>
      </c>
      <c r="AQ48" s="1119"/>
      <c r="AU48" s="1117">
        <f t="shared" si="18"/>
        <v>15896.576261311178</v>
      </c>
      <c r="AV48" s="1118">
        <f t="shared" si="19"/>
        <v>6997.6115697871464</v>
      </c>
      <c r="AW48" s="1118">
        <f t="shared" si="20"/>
        <v>4131.3981818266629</v>
      </c>
      <c r="AX48" s="1118">
        <f t="shared" si="21"/>
        <v>4767.5665096973671</v>
      </c>
      <c r="AY48" s="1119"/>
      <c r="BC48" s="1117">
        <f t="shared" si="22"/>
        <v>15896.576261311178</v>
      </c>
      <c r="BD48" s="1118">
        <f t="shared" si="23"/>
        <v>6997.6115697871464</v>
      </c>
      <c r="BE48" s="1118">
        <f t="shared" si="24"/>
        <v>4131.3981818266629</v>
      </c>
      <c r="BF48" s="1118">
        <f t="shared" si="25"/>
        <v>4767.5665096973671</v>
      </c>
      <c r="BG48" s="1119"/>
      <c r="BK48" s="1117">
        <f t="shared" si="26"/>
        <v>15896.576261311178</v>
      </c>
      <c r="BL48" s="1118">
        <f t="shared" si="27"/>
        <v>6997.6115697871464</v>
      </c>
      <c r="BM48" s="1118">
        <f t="shared" si="28"/>
        <v>4131.3981818266629</v>
      </c>
      <c r="BN48" s="1118">
        <f t="shared" si="29"/>
        <v>4767.5665096973671</v>
      </c>
      <c r="BO48" s="1119"/>
      <c r="BS48" s="1117">
        <f t="shared" si="30"/>
        <v>15896.576261311178</v>
      </c>
      <c r="BT48" s="1118">
        <f t="shared" si="31"/>
        <v>6997.6115697871464</v>
      </c>
      <c r="BU48" s="1118">
        <f t="shared" si="32"/>
        <v>4131.3981818266629</v>
      </c>
      <c r="BV48" s="1118">
        <f t="shared" si="33"/>
        <v>4767.5665096973671</v>
      </c>
      <c r="BW48" s="1119"/>
      <c r="CA48" s="1117">
        <f t="shared" si="34"/>
        <v>15896.576261311178</v>
      </c>
      <c r="CB48" s="1118">
        <f t="shared" si="35"/>
        <v>6997.6115697871464</v>
      </c>
      <c r="CC48" s="1118">
        <f t="shared" si="36"/>
        <v>4131.3981818266629</v>
      </c>
      <c r="CD48" s="1118">
        <f t="shared" si="37"/>
        <v>4767.5665096973671</v>
      </c>
      <c r="CE48" s="1119"/>
      <c r="CI48" s="1117">
        <f t="shared" si="38"/>
        <v>15896.576261311178</v>
      </c>
      <c r="CJ48" s="1118">
        <f t="shared" si="39"/>
        <v>6997.6115697871464</v>
      </c>
      <c r="CK48" s="1118">
        <f t="shared" si="40"/>
        <v>4131.3981818266629</v>
      </c>
      <c r="CL48" s="1118">
        <f t="shared" si="41"/>
        <v>4767.5665096973671</v>
      </c>
      <c r="CM48" s="1119"/>
      <c r="CQ48" s="1117">
        <f t="shared" si="42"/>
        <v>15896.576261311178</v>
      </c>
      <c r="CR48" s="1118">
        <f t="shared" si="43"/>
        <v>6997.6115697871464</v>
      </c>
      <c r="CS48" s="1118">
        <f t="shared" si="44"/>
        <v>4131.3981818266629</v>
      </c>
      <c r="CT48" s="1118">
        <f t="shared" si="45"/>
        <v>4767.5665096973671</v>
      </c>
      <c r="CU48" s="1119"/>
      <c r="CY48" s="1117">
        <f t="shared" si="46"/>
        <v>15896.576261311178</v>
      </c>
      <c r="CZ48" s="1118">
        <f t="shared" si="47"/>
        <v>6997.6115697871464</v>
      </c>
      <c r="DA48" s="1118">
        <f t="shared" si="48"/>
        <v>4131.3981818266629</v>
      </c>
      <c r="DB48" s="1118">
        <f t="shared" si="49"/>
        <v>4767.5665096973671</v>
      </c>
      <c r="DC48" s="1119"/>
      <c r="DG48" s="1117">
        <f t="shared" si="50"/>
        <v>15896.576261311178</v>
      </c>
      <c r="DH48" s="1118">
        <f t="shared" si="51"/>
        <v>6997.6115697871464</v>
      </c>
      <c r="DI48" s="1118">
        <f t="shared" si="52"/>
        <v>4131.3981818266629</v>
      </c>
      <c r="DJ48" s="1118">
        <f t="shared" si="53"/>
        <v>4767.5665096973671</v>
      </c>
      <c r="DK48" s="1119"/>
      <c r="DO48" s="1117">
        <f t="shared" si="54"/>
        <v>15896.576261311178</v>
      </c>
      <c r="DP48" s="1118">
        <f t="shared" si="55"/>
        <v>6997.6115697871464</v>
      </c>
      <c r="DQ48" s="1118">
        <f t="shared" si="56"/>
        <v>4131.3981818266629</v>
      </c>
      <c r="DR48" s="1118">
        <f t="shared" si="57"/>
        <v>4767.5665096973671</v>
      </c>
      <c r="DS48" s="1119"/>
      <c r="DW48" s="1117">
        <f t="shared" si="58"/>
        <v>15896.576261311178</v>
      </c>
      <c r="DX48" s="1118">
        <f t="shared" si="59"/>
        <v>6997.6115697871464</v>
      </c>
      <c r="DY48" s="1118">
        <f t="shared" si="60"/>
        <v>4131.3981818266629</v>
      </c>
      <c r="DZ48" s="1118">
        <f t="shared" si="61"/>
        <v>4767.5665096973671</v>
      </c>
      <c r="EA48" s="1119"/>
      <c r="EE48" s="1117">
        <f t="shared" si="62"/>
        <v>15896.576261311178</v>
      </c>
      <c r="EF48" s="1118">
        <f t="shared" si="63"/>
        <v>6997.6115697871464</v>
      </c>
      <c r="EG48" s="1118">
        <f t="shared" si="64"/>
        <v>4131.3981818266629</v>
      </c>
      <c r="EH48" s="1118">
        <f t="shared" si="65"/>
        <v>4767.5665096973671</v>
      </c>
      <c r="EI48" s="1119"/>
      <c r="EM48" s="1117">
        <f t="shared" si="66"/>
        <v>15896.576261311178</v>
      </c>
      <c r="EN48" s="1118">
        <f t="shared" si="67"/>
        <v>6997.6115697871464</v>
      </c>
      <c r="EO48" s="1118">
        <f t="shared" si="68"/>
        <v>4131.3981818266629</v>
      </c>
      <c r="EP48" s="1118">
        <f t="shared" si="69"/>
        <v>4767.5665096973671</v>
      </c>
      <c r="EQ48" s="1119"/>
      <c r="EU48" s="1117">
        <f t="shared" si="70"/>
        <v>15896.576261311178</v>
      </c>
      <c r="EV48" s="1118">
        <f t="shared" si="71"/>
        <v>6997.6115697871464</v>
      </c>
      <c r="EW48" s="1118">
        <f t="shared" si="72"/>
        <v>4131.3981818266629</v>
      </c>
      <c r="EX48" s="1118">
        <f t="shared" si="73"/>
        <v>4767.5665096973671</v>
      </c>
      <c r="EY48" s="1119"/>
      <c r="FC48" s="1117">
        <f t="shared" si="74"/>
        <v>15896.576261311178</v>
      </c>
      <c r="FD48" s="1118">
        <f t="shared" si="75"/>
        <v>6997.6115697871464</v>
      </c>
      <c r="FE48" s="1118">
        <f t="shared" si="76"/>
        <v>4131.3981818266629</v>
      </c>
      <c r="FF48" s="1118">
        <f t="shared" si="77"/>
        <v>4767.5665096973671</v>
      </c>
      <c r="FG48" s="1119"/>
      <c r="FK48" s="1117">
        <f t="shared" si="78"/>
        <v>15896.576261311178</v>
      </c>
      <c r="FL48" s="1118">
        <f t="shared" si="79"/>
        <v>6997.6115697871464</v>
      </c>
      <c r="FM48" s="1118">
        <f t="shared" si="80"/>
        <v>4131.3981818266629</v>
      </c>
      <c r="FN48" s="1118">
        <f t="shared" si="81"/>
        <v>4767.5665096973671</v>
      </c>
      <c r="FO48" s="1119"/>
    </row>
    <row r="49" spans="1:171" x14ac:dyDescent="0.25">
      <c r="A49" s="160"/>
      <c r="B49" s="10"/>
      <c r="C49" s="55"/>
      <c r="D49" s="196"/>
      <c r="E49" s="196"/>
      <c r="F49" s="196"/>
      <c r="G49" s="922"/>
      <c r="H49" s="198"/>
      <c r="I49" s="198"/>
      <c r="J49" s="200"/>
      <c r="K49" s="904"/>
      <c r="S49" s="1119"/>
      <c r="AA49" s="1119"/>
      <c r="AI49" s="1119"/>
      <c r="AQ49" s="1119"/>
      <c r="AY49" s="1119"/>
      <c r="BG49" s="1119"/>
      <c r="BO49" s="1119"/>
      <c r="BW49" s="1119"/>
      <c r="CE49" s="1119"/>
      <c r="CM49" s="1119"/>
      <c r="CU49" s="1119"/>
      <c r="DC49" s="1119"/>
      <c r="DK49" s="1119"/>
      <c r="DS49" s="1119"/>
      <c r="EA49" s="1119"/>
      <c r="EI49" s="1119"/>
      <c r="EQ49" s="1119"/>
      <c r="EY49" s="1119"/>
      <c r="FG49" s="1119"/>
      <c r="FO49" s="1119"/>
    </row>
    <row r="50" spans="1:171" x14ac:dyDescent="0.25">
      <c r="A50" s="209" t="s">
        <v>135</v>
      </c>
      <c r="B50" s="64"/>
      <c r="C50" s="915"/>
      <c r="D50" s="916"/>
      <c r="E50" s="916"/>
      <c r="F50" s="917"/>
      <c r="G50" s="906">
        <f>SUM(G37:G49)</f>
        <v>648847990.51759219</v>
      </c>
      <c r="H50" s="906">
        <f>SUM(H37:H49)</f>
        <v>208013093.03974915</v>
      </c>
      <c r="I50" s="906">
        <f>SUM(I37:I49)</f>
        <v>0</v>
      </c>
      <c r="J50" s="1386">
        <f>SUM(J37:J49)</f>
        <v>440834897.47784311</v>
      </c>
      <c r="K50" s="904"/>
      <c r="O50" s="1123">
        <f>SUM(O37:O49)</f>
        <v>648847990.51759219</v>
      </c>
      <c r="P50" s="1123">
        <f>SUM(P37:P49)</f>
        <v>208013093.03974912</v>
      </c>
      <c r="Q50" s="1123">
        <f>SUM(Q37:Q49)</f>
        <v>195228616.65315571</v>
      </c>
      <c r="R50" s="1123">
        <f>SUM(R37:R49)</f>
        <v>245606280.82468733</v>
      </c>
      <c r="S50" s="1074"/>
      <c r="W50" s="1123">
        <f>SUM(W37:W49)</f>
        <v>648847990.51759219</v>
      </c>
      <c r="X50" s="1123">
        <f>SUM(X37:X49)</f>
        <v>208013093.03974912</v>
      </c>
      <c r="Y50" s="1123">
        <f>SUM(Y37:Y49)</f>
        <v>195228616.65315571</v>
      </c>
      <c r="Z50" s="1123">
        <f>SUM(Z37:Z49)</f>
        <v>245606280.82468733</v>
      </c>
      <c r="AA50" s="1074"/>
      <c r="AE50" s="1123">
        <f>SUM(AE37:AE49)</f>
        <v>648847990.51759219</v>
      </c>
      <c r="AF50" s="1123">
        <f>SUM(AF37:AF49)</f>
        <v>208013093.03974912</v>
      </c>
      <c r="AG50" s="1123">
        <f>SUM(AG37:AG49)</f>
        <v>195228616.65315571</v>
      </c>
      <c r="AH50" s="1123">
        <f>SUM(AH37:AH49)</f>
        <v>245606280.82468733</v>
      </c>
      <c r="AI50" s="1074"/>
      <c r="AM50" s="1123">
        <f>SUM(AM37:AM49)</f>
        <v>648847990.51759219</v>
      </c>
      <c r="AN50" s="1123">
        <f>SUM(AN37:AN49)</f>
        <v>208013093.03974912</v>
      </c>
      <c r="AO50" s="1123">
        <f>SUM(AO37:AO49)</f>
        <v>195228616.65315571</v>
      </c>
      <c r="AP50" s="1123">
        <f>SUM(AP37:AP49)</f>
        <v>245606280.82468733</v>
      </c>
      <c r="AQ50" s="1074"/>
      <c r="AU50" s="1123">
        <f>SUM(AU37:AU49)</f>
        <v>648847990.51759219</v>
      </c>
      <c r="AV50" s="1123">
        <f>SUM(AV37:AV49)</f>
        <v>208013093.03974912</v>
      </c>
      <c r="AW50" s="1123">
        <f>SUM(AW37:AW49)</f>
        <v>195228616.65315571</v>
      </c>
      <c r="AX50" s="1123">
        <f>SUM(AX37:AX49)</f>
        <v>245606280.82468733</v>
      </c>
      <c r="AY50" s="1074"/>
      <c r="BC50" s="1123">
        <f>SUM(BC37:BC49)</f>
        <v>648847990.51759219</v>
      </c>
      <c r="BD50" s="1123">
        <f>SUM(BD37:BD49)</f>
        <v>208013093.03974912</v>
      </c>
      <c r="BE50" s="1123">
        <f>SUM(BE37:BE49)</f>
        <v>195228616.65315571</v>
      </c>
      <c r="BF50" s="1123">
        <f>SUM(BF37:BF49)</f>
        <v>245606280.82468733</v>
      </c>
      <c r="BG50" s="1074"/>
      <c r="BK50" s="1123">
        <f>SUM(BK37:BK49)</f>
        <v>648847990.51759219</v>
      </c>
      <c r="BL50" s="1123">
        <f>SUM(BL37:BL49)</f>
        <v>208013093.03974912</v>
      </c>
      <c r="BM50" s="1123">
        <f>SUM(BM37:BM49)</f>
        <v>195228616.65315571</v>
      </c>
      <c r="BN50" s="1123">
        <f>SUM(BN37:BN49)</f>
        <v>245606280.82468733</v>
      </c>
      <c r="BO50" s="1074"/>
      <c r="BS50" s="1123">
        <f>SUM(BS37:BS49)</f>
        <v>648847990.51759219</v>
      </c>
      <c r="BT50" s="1123">
        <f>SUM(BT37:BT49)</f>
        <v>208013093.03974912</v>
      </c>
      <c r="BU50" s="1123">
        <f>SUM(BU37:BU49)</f>
        <v>195228616.65315571</v>
      </c>
      <c r="BV50" s="1123">
        <f>SUM(BV37:BV49)</f>
        <v>245606280.82468733</v>
      </c>
      <c r="BW50" s="1074"/>
      <c r="CA50" s="1123">
        <f>SUM(CA37:CA49)</f>
        <v>648847990.51759219</v>
      </c>
      <c r="CB50" s="1123">
        <f>SUM(CB37:CB49)</f>
        <v>208013093.03974912</v>
      </c>
      <c r="CC50" s="1123">
        <f>SUM(CC37:CC49)</f>
        <v>195228616.65315571</v>
      </c>
      <c r="CD50" s="1123">
        <f>SUM(CD37:CD49)</f>
        <v>245606280.82468733</v>
      </c>
      <c r="CE50" s="1074"/>
      <c r="CI50" s="1123">
        <f>SUM(CI37:CI49)</f>
        <v>648847990.51759219</v>
      </c>
      <c r="CJ50" s="1123">
        <f>SUM(CJ37:CJ49)</f>
        <v>208013093.03974912</v>
      </c>
      <c r="CK50" s="1123">
        <f>SUM(CK37:CK49)</f>
        <v>195228616.65315571</v>
      </c>
      <c r="CL50" s="1123">
        <f>SUM(CL37:CL49)</f>
        <v>245606280.82468733</v>
      </c>
      <c r="CM50" s="1074"/>
      <c r="CQ50" s="1123">
        <f>SUM(CQ37:CQ49)</f>
        <v>648847990.51759219</v>
      </c>
      <c r="CR50" s="1123">
        <f>SUM(CR37:CR49)</f>
        <v>208013093.03974912</v>
      </c>
      <c r="CS50" s="1123">
        <f>SUM(CS37:CS49)</f>
        <v>195228616.65315571</v>
      </c>
      <c r="CT50" s="1123">
        <f>SUM(CT37:CT49)</f>
        <v>245606280.82468733</v>
      </c>
      <c r="CU50" s="1074"/>
      <c r="CY50" s="1123">
        <f>SUM(CY37:CY49)</f>
        <v>648847990.51759219</v>
      </c>
      <c r="CZ50" s="1123">
        <f>SUM(CZ37:CZ49)</f>
        <v>208013093.03974912</v>
      </c>
      <c r="DA50" s="1123">
        <f>SUM(DA37:DA49)</f>
        <v>195228616.65315571</v>
      </c>
      <c r="DB50" s="1123">
        <f>SUM(DB37:DB49)</f>
        <v>245606280.82468733</v>
      </c>
      <c r="DC50" s="1074"/>
      <c r="DG50" s="1123">
        <f>SUM(DG37:DG49)</f>
        <v>648847990.51759219</v>
      </c>
      <c r="DH50" s="1123">
        <f>SUM(DH37:DH49)</f>
        <v>208013093.03974912</v>
      </c>
      <c r="DI50" s="1123">
        <f>SUM(DI37:DI49)</f>
        <v>195228616.65315571</v>
      </c>
      <c r="DJ50" s="1123">
        <f>SUM(DJ37:DJ49)</f>
        <v>245606280.82468733</v>
      </c>
      <c r="DK50" s="1074"/>
      <c r="DO50" s="1123">
        <f>SUM(DO37:DO49)</f>
        <v>648847990.51759219</v>
      </c>
      <c r="DP50" s="1123">
        <f>SUM(DP37:DP49)</f>
        <v>208013093.03974912</v>
      </c>
      <c r="DQ50" s="1123">
        <f>SUM(DQ37:DQ49)</f>
        <v>195228616.65315571</v>
      </c>
      <c r="DR50" s="1123">
        <f>SUM(DR37:DR49)</f>
        <v>245606280.82468733</v>
      </c>
      <c r="DS50" s="1074"/>
      <c r="DW50" s="1123">
        <f>SUM(DW37:DW49)</f>
        <v>648847990.51759219</v>
      </c>
      <c r="DX50" s="1123">
        <f>SUM(DX37:DX49)</f>
        <v>208013093.03974912</v>
      </c>
      <c r="DY50" s="1123">
        <f>SUM(DY37:DY49)</f>
        <v>195228616.65315571</v>
      </c>
      <c r="DZ50" s="1123">
        <f>SUM(DZ37:DZ49)</f>
        <v>245606280.82468733</v>
      </c>
      <c r="EA50" s="1074"/>
      <c r="EE50" s="1123">
        <f>SUM(EE37:EE49)</f>
        <v>648847990.51759219</v>
      </c>
      <c r="EF50" s="1123">
        <f>SUM(EF37:EF49)</f>
        <v>208013093.03974912</v>
      </c>
      <c r="EG50" s="1123">
        <f>SUM(EG37:EG49)</f>
        <v>195228616.65315571</v>
      </c>
      <c r="EH50" s="1123">
        <f>SUM(EH37:EH49)</f>
        <v>245606280.82468733</v>
      </c>
      <c r="EI50" s="1074"/>
      <c r="EM50" s="1123">
        <f>SUM(EM37:EM49)</f>
        <v>648847990.51759219</v>
      </c>
      <c r="EN50" s="1123">
        <f>SUM(EN37:EN49)</f>
        <v>208013093.03974912</v>
      </c>
      <c r="EO50" s="1123">
        <f>SUM(EO37:EO49)</f>
        <v>195228616.65315571</v>
      </c>
      <c r="EP50" s="1123">
        <f>SUM(EP37:EP49)</f>
        <v>245606280.82468733</v>
      </c>
      <c r="EQ50" s="1074"/>
      <c r="EU50" s="1123">
        <f>SUM(EU37:EU49)</f>
        <v>648847990.51759219</v>
      </c>
      <c r="EV50" s="1123">
        <f>SUM(EV37:EV49)</f>
        <v>208013093.03974912</v>
      </c>
      <c r="EW50" s="1123">
        <f>SUM(EW37:EW49)</f>
        <v>195228616.65315571</v>
      </c>
      <c r="EX50" s="1123">
        <f>SUM(EX37:EX49)</f>
        <v>245606280.82468733</v>
      </c>
      <c r="EY50" s="1074"/>
      <c r="FC50" s="1123">
        <f>SUM(FC37:FC49)</f>
        <v>648847990.51759219</v>
      </c>
      <c r="FD50" s="1123">
        <f>SUM(FD37:FD49)</f>
        <v>208013093.03974912</v>
      </c>
      <c r="FE50" s="1123">
        <f>SUM(FE37:FE49)</f>
        <v>195228616.65315571</v>
      </c>
      <c r="FF50" s="1123">
        <f>SUM(FF37:FF49)</f>
        <v>245606280.82468733</v>
      </c>
      <c r="FG50" s="1074"/>
      <c r="FK50" s="1123">
        <f>SUM(FK37:FK49)</f>
        <v>648847990.51759219</v>
      </c>
      <c r="FL50" s="1123">
        <f>SUM(FL37:FL49)</f>
        <v>208013093.03974912</v>
      </c>
      <c r="FM50" s="1123">
        <f>SUM(FM37:FM49)</f>
        <v>195228616.65315571</v>
      </c>
      <c r="FN50" s="1123">
        <f>SUM(FN37:FN49)</f>
        <v>245606280.82468733</v>
      </c>
      <c r="FO50" s="1074"/>
    </row>
    <row r="51" spans="1:171" x14ac:dyDescent="0.25">
      <c r="A51" s="923"/>
      <c r="B51" s="64"/>
      <c r="C51" s="55"/>
      <c r="D51" s="55"/>
      <c r="E51" s="64"/>
      <c r="F51" s="64"/>
      <c r="G51" s="221"/>
      <c r="H51" s="221"/>
      <c r="I51" s="221"/>
      <c r="J51" s="222"/>
      <c r="K51" s="904"/>
      <c r="O51" s="1080"/>
      <c r="P51" s="1080"/>
      <c r="Q51" s="1080"/>
      <c r="R51" s="1080"/>
      <c r="S51" s="1074"/>
      <c r="W51" s="1080"/>
      <c r="X51" s="1080"/>
      <c r="Y51" s="1080"/>
      <c r="Z51" s="1080"/>
      <c r="AA51" s="1074"/>
      <c r="AE51" s="1080"/>
      <c r="AF51" s="1080"/>
      <c r="AG51" s="1080"/>
      <c r="AH51" s="1080"/>
      <c r="AI51" s="1074"/>
      <c r="AM51" s="1080"/>
      <c r="AN51" s="1080"/>
      <c r="AO51" s="1080"/>
      <c r="AP51" s="1080"/>
      <c r="AQ51" s="1074"/>
      <c r="AU51" s="1080"/>
      <c r="AV51" s="1080"/>
      <c r="AW51" s="1080"/>
      <c r="AX51" s="1080"/>
      <c r="AY51" s="1074"/>
      <c r="BC51" s="1080"/>
      <c r="BD51" s="1080"/>
      <c r="BE51" s="1080"/>
      <c r="BF51" s="1080"/>
      <c r="BG51" s="1074"/>
      <c r="BK51" s="1080"/>
      <c r="BL51" s="1080"/>
      <c r="BM51" s="1080"/>
      <c r="BN51" s="1080"/>
      <c r="BO51" s="1074"/>
      <c r="BS51" s="1080"/>
      <c r="BT51" s="1080"/>
      <c r="BU51" s="1080"/>
      <c r="BV51" s="1080"/>
      <c r="BW51" s="1074"/>
      <c r="CA51" s="1080"/>
      <c r="CB51" s="1080"/>
      <c r="CC51" s="1080"/>
      <c r="CD51" s="1080"/>
      <c r="CE51" s="1074"/>
      <c r="CI51" s="1080"/>
      <c r="CJ51" s="1080"/>
      <c r="CK51" s="1080"/>
      <c r="CL51" s="1080"/>
      <c r="CM51" s="1074"/>
      <c r="CQ51" s="1080"/>
      <c r="CR51" s="1080"/>
      <c r="CS51" s="1080"/>
      <c r="CT51" s="1080"/>
      <c r="CU51" s="1074"/>
      <c r="CY51" s="1080"/>
      <c r="CZ51" s="1080"/>
      <c r="DA51" s="1080"/>
      <c r="DB51" s="1080"/>
      <c r="DC51" s="1074"/>
      <c r="DG51" s="1080"/>
      <c r="DH51" s="1080"/>
      <c r="DI51" s="1080"/>
      <c r="DJ51" s="1080"/>
      <c r="DK51" s="1074"/>
      <c r="DO51" s="1080"/>
      <c r="DP51" s="1080"/>
      <c r="DQ51" s="1080"/>
      <c r="DR51" s="1080"/>
      <c r="DS51" s="1074"/>
      <c r="DW51" s="1080"/>
      <c r="DX51" s="1080"/>
      <c r="DY51" s="1080"/>
      <c r="DZ51" s="1080"/>
      <c r="EA51" s="1074"/>
      <c r="EE51" s="1080"/>
      <c r="EF51" s="1080"/>
      <c r="EG51" s="1080"/>
      <c r="EH51" s="1080"/>
      <c r="EI51" s="1074"/>
      <c r="EM51" s="1080"/>
      <c r="EN51" s="1080"/>
      <c r="EO51" s="1080"/>
      <c r="EP51" s="1080"/>
      <c r="EQ51" s="1074"/>
      <c r="EU51" s="1080"/>
      <c r="EV51" s="1080"/>
      <c r="EW51" s="1080"/>
      <c r="EX51" s="1080"/>
      <c r="EY51" s="1074"/>
      <c r="FC51" s="1080"/>
      <c r="FD51" s="1080"/>
      <c r="FE51" s="1080"/>
      <c r="FF51" s="1080"/>
      <c r="FG51" s="1074"/>
      <c r="FK51" s="1080"/>
      <c r="FL51" s="1080"/>
      <c r="FM51" s="1080"/>
      <c r="FN51" s="1080"/>
      <c r="FO51" s="1074"/>
    </row>
    <row r="52" spans="1:171" x14ac:dyDescent="0.25">
      <c r="A52" s="209" t="s">
        <v>136</v>
      </c>
      <c r="B52" s="64"/>
      <c r="C52" s="915"/>
      <c r="D52" s="916"/>
      <c r="E52" s="916"/>
      <c r="F52" s="917"/>
      <c r="G52" s="924">
        <f>G19+G26+G30+G34+G50</f>
        <v>13793178680.27779</v>
      </c>
      <c r="H52" s="924">
        <f>H19+H26+H30+H34+H50</f>
        <v>5991956843.1874628</v>
      </c>
      <c r="I52" s="924">
        <f>I19+I26+I30+I34+I50</f>
        <v>0</v>
      </c>
      <c r="J52" s="1391">
        <f>J19+J26+J30+J34+J50</f>
        <v>7802602177.452405</v>
      </c>
      <c r="K52" s="904"/>
      <c r="O52" s="1123">
        <f>O19+O26+O30+O34+O50</f>
        <v>13793178680.27779</v>
      </c>
      <c r="P52" s="1123">
        <f>P19+P26+P30+P34+P50</f>
        <v>5991956843.1874628</v>
      </c>
      <c r="Q52" s="1123">
        <f>Q19+Q26+Q30+Q34+Q50</f>
        <v>3491067597.4393702</v>
      </c>
      <c r="R52" s="1123">
        <f>R19+R26+R30+R34+R50</f>
        <v>4310154239.6509571</v>
      </c>
      <c r="S52" s="1074"/>
      <c r="W52" s="1123">
        <f>W19+W26+W30+W34+W50</f>
        <v>13793178680.27779</v>
      </c>
      <c r="X52" s="1123">
        <f>X19+X26+X30+X34+X50</f>
        <v>5991956843.1874628</v>
      </c>
      <c r="Y52" s="1123">
        <f>Y19+Y26+Y30+Y34+Y50</f>
        <v>3491067597.4393702</v>
      </c>
      <c r="Z52" s="1123">
        <f>Z19+Z26+Z30+Z34+Z50</f>
        <v>4310154239.6509571</v>
      </c>
      <c r="AA52" s="1074"/>
      <c r="AE52" s="1123">
        <f>AE19+AE26+AE30+AE34+AE50</f>
        <v>13793178680.27779</v>
      </c>
      <c r="AF52" s="1123">
        <f>AF19+AF26+AF30+AF34+AF50</f>
        <v>5991956843.1874628</v>
      </c>
      <c r="AG52" s="1123">
        <f>AG19+AG26+AG30+AG34+AG50</f>
        <v>3491067597.4393702</v>
      </c>
      <c r="AH52" s="1123">
        <f>AH19+AH26+AH30+AH34+AH50</f>
        <v>4310154239.6509571</v>
      </c>
      <c r="AI52" s="1074"/>
      <c r="AM52" s="1123">
        <f>AM19+AM26+AM30+AM34+AM50</f>
        <v>13793178680.27779</v>
      </c>
      <c r="AN52" s="1123">
        <f>AN19+AN26+AN30+AN34+AN50</f>
        <v>5991956843.1874628</v>
      </c>
      <c r="AO52" s="1123">
        <f>AO19+AO26+AO30+AO34+AO50</f>
        <v>3491067597.4393702</v>
      </c>
      <c r="AP52" s="1123">
        <f>AP19+AP26+AP30+AP34+AP50</f>
        <v>4310154239.6509571</v>
      </c>
      <c r="AQ52" s="1074"/>
      <c r="AU52" s="1123">
        <f>AU19+AU26+AU30+AU34+AU50</f>
        <v>13793178680.27779</v>
      </c>
      <c r="AV52" s="1123">
        <f>AV19+AV26+AV30+AV34+AV50</f>
        <v>5991956843.1874628</v>
      </c>
      <c r="AW52" s="1123">
        <f>AW19+AW26+AW30+AW34+AW50</f>
        <v>3491067597.4393702</v>
      </c>
      <c r="AX52" s="1123">
        <f>AX19+AX26+AX30+AX34+AX50</f>
        <v>4310154239.6509571</v>
      </c>
      <c r="AY52" s="1074"/>
      <c r="BC52" s="1123">
        <f>BC19+BC26+BC30+BC34+BC50</f>
        <v>13793178680.27779</v>
      </c>
      <c r="BD52" s="1123">
        <f>BD19+BD26+BD30+BD34+BD50</f>
        <v>5991956843.1874628</v>
      </c>
      <c r="BE52" s="1123">
        <f>BE19+BE26+BE30+BE34+BE50</f>
        <v>3491067597.4393702</v>
      </c>
      <c r="BF52" s="1123">
        <f>BF19+BF26+BF30+BF34+BF50</f>
        <v>4310154239.6509571</v>
      </c>
      <c r="BG52" s="1074"/>
      <c r="BK52" s="1123">
        <f>BK19+BK26+BK30+BK34+BK50</f>
        <v>13793178680.27779</v>
      </c>
      <c r="BL52" s="1123">
        <f>BL19+BL26+BL30+BL34+BL50</f>
        <v>5991956843.1874628</v>
      </c>
      <c r="BM52" s="1123">
        <f>BM19+BM26+BM30+BM34+BM50</f>
        <v>3491067597.4393702</v>
      </c>
      <c r="BN52" s="1123">
        <f>BN19+BN26+BN30+BN34+BN50</f>
        <v>4310154239.6509571</v>
      </c>
      <c r="BO52" s="1074"/>
      <c r="BS52" s="1123">
        <f>BS19+BS26+BS30+BS34+BS50</f>
        <v>13793178680.27779</v>
      </c>
      <c r="BT52" s="1123">
        <f>BT19+BT26+BT30+BT34+BT50</f>
        <v>5991956843.1874628</v>
      </c>
      <c r="BU52" s="1123">
        <f>BU19+BU26+BU30+BU34+BU50</f>
        <v>3491067597.4393702</v>
      </c>
      <c r="BV52" s="1123">
        <f>BV19+BV26+BV30+BV34+BV50</f>
        <v>4310154239.6509571</v>
      </c>
      <c r="BW52" s="1074"/>
      <c r="CA52" s="1123">
        <f>CA19+CA26+CA30+CA34+CA50</f>
        <v>13793178680.27779</v>
      </c>
      <c r="CB52" s="1123">
        <f>CB19+CB26+CB30+CB34+CB50</f>
        <v>5991956843.1874628</v>
      </c>
      <c r="CC52" s="1123">
        <f>CC19+CC26+CC30+CC34+CC50</f>
        <v>3491067597.4393702</v>
      </c>
      <c r="CD52" s="1123">
        <f>CD19+CD26+CD30+CD34+CD50</f>
        <v>4310154239.6509571</v>
      </c>
      <c r="CE52" s="1074"/>
      <c r="CI52" s="1123">
        <f>CI19+CI26+CI30+CI34+CI50</f>
        <v>13793178680.27779</v>
      </c>
      <c r="CJ52" s="1123">
        <f>CJ19+CJ26+CJ30+CJ34+CJ50</f>
        <v>5991956843.1874628</v>
      </c>
      <c r="CK52" s="1123">
        <f>CK19+CK26+CK30+CK34+CK50</f>
        <v>3491067597.4393702</v>
      </c>
      <c r="CL52" s="1123">
        <f>CL19+CL26+CL30+CL34+CL50</f>
        <v>4310154239.6509571</v>
      </c>
      <c r="CM52" s="1074"/>
      <c r="CQ52" s="1123">
        <f>CQ19+CQ26+CQ30+CQ34+CQ50</f>
        <v>13793178680.27779</v>
      </c>
      <c r="CR52" s="1123">
        <f>CR19+CR26+CR30+CR34+CR50</f>
        <v>5991956843.1874628</v>
      </c>
      <c r="CS52" s="1123">
        <f>CS19+CS26+CS30+CS34+CS50</f>
        <v>3491067597.4393702</v>
      </c>
      <c r="CT52" s="1123">
        <f>CT19+CT26+CT30+CT34+CT50</f>
        <v>4310154239.6509571</v>
      </c>
      <c r="CU52" s="1074"/>
      <c r="CY52" s="1123">
        <f>CY19+CY26+CY30+CY34+CY50</f>
        <v>13793178680.27779</v>
      </c>
      <c r="CZ52" s="1123">
        <f>CZ19+CZ26+CZ30+CZ34+CZ50</f>
        <v>5991956843.1874628</v>
      </c>
      <c r="DA52" s="1123">
        <f>DA19+DA26+DA30+DA34+DA50</f>
        <v>3491067597.4393702</v>
      </c>
      <c r="DB52" s="1123">
        <f>DB19+DB26+DB30+DB34+DB50</f>
        <v>4310154239.6509571</v>
      </c>
      <c r="DC52" s="1074"/>
      <c r="DG52" s="1123">
        <f>DG19+DG26+DG30+DG34+DG50</f>
        <v>13793178680.27779</v>
      </c>
      <c r="DH52" s="1123">
        <f>DH19+DH26+DH30+DH34+DH50</f>
        <v>5991956843.1874628</v>
      </c>
      <c r="DI52" s="1123">
        <f>DI19+DI26+DI30+DI34+DI50</f>
        <v>3491067597.4393702</v>
      </c>
      <c r="DJ52" s="1123">
        <f>DJ19+DJ26+DJ30+DJ34+DJ50</f>
        <v>4310154239.6509571</v>
      </c>
      <c r="DK52" s="1074"/>
      <c r="DO52" s="1123">
        <f>DO19+DO26+DO30+DO34+DO50</f>
        <v>13793178680.27779</v>
      </c>
      <c r="DP52" s="1123">
        <f>DP19+DP26+DP30+DP34+DP50</f>
        <v>5991956843.1874628</v>
      </c>
      <c r="DQ52" s="1123">
        <f>DQ19+DQ26+DQ30+DQ34+DQ50</f>
        <v>3491067597.4393702</v>
      </c>
      <c r="DR52" s="1123">
        <f>DR19+DR26+DR30+DR34+DR50</f>
        <v>4310154239.6509571</v>
      </c>
      <c r="DS52" s="1074"/>
      <c r="DW52" s="1123">
        <f>DW19+DW26+DW30+DW34+DW50</f>
        <v>13793178680.27779</v>
      </c>
      <c r="DX52" s="1123">
        <f>DX19+DX26+DX30+DX34+DX50</f>
        <v>5991956843.1874628</v>
      </c>
      <c r="DY52" s="1123">
        <f>DY19+DY26+DY30+DY34+DY50</f>
        <v>3491067597.4393702</v>
      </c>
      <c r="DZ52" s="1123">
        <f>DZ19+DZ26+DZ30+DZ34+DZ50</f>
        <v>4310154239.6509571</v>
      </c>
      <c r="EA52" s="1074"/>
      <c r="EE52" s="1123">
        <f>EE19+EE26+EE30+EE34+EE50</f>
        <v>13793178680.27779</v>
      </c>
      <c r="EF52" s="1123">
        <f>EF19+EF26+EF30+EF34+EF50</f>
        <v>5991956843.1874628</v>
      </c>
      <c r="EG52" s="1123">
        <f>EG19+EG26+EG30+EG34+EG50</f>
        <v>3491067597.4393702</v>
      </c>
      <c r="EH52" s="1123">
        <f>EH19+EH26+EH30+EH34+EH50</f>
        <v>4310154239.6509571</v>
      </c>
      <c r="EI52" s="1074"/>
      <c r="EM52" s="1123">
        <f>EM19+EM26+EM30+EM34+EM50</f>
        <v>13793178680.27779</v>
      </c>
      <c r="EN52" s="1123">
        <f>EN19+EN26+EN30+EN34+EN50</f>
        <v>5991956843.1874628</v>
      </c>
      <c r="EO52" s="1123">
        <f>EO19+EO26+EO30+EO34+EO50</f>
        <v>3491067597.4393702</v>
      </c>
      <c r="EP52" s="1123">
        <f>EP19+EP26+EP30+EP34+EP50</f>
        <v>4310154239.6509571</v>
      </c>
      <c r="EQ52" s="1074"/>
      <c r="EU52" s="1123">
        <f>EU19+EU26+EU30+EU34+EU50</f>
        <v>13793178680.27779</v>
      </c>
      <c r="EV52" s="1123">
        <f>EV19+EV26+EV30+EV34+EV50</f>
        <v>5991956843.1874628</v>
      </c>
      <c r="EW52" s="1123">
        <f>EW19+EW26+EW30+EW34+EW50</f>
        <v>3491067597.4393702</v>
      </c>
      <c r="EX52" s="1123">
        <f>EX19+EX26+EX30+EX34+EX50</f>
        <v>4310154239.6509571</v>
      </c>
      <c r="EY52" s="1074"/>
      <c r="FC52" s="1123">
        <f>FC19+FC26+FC30+FC34+FC50</f>
        <v>13793178680.27779</v>
      </c>
      <c r="FD52" s="1123">
        <f>FD19+FD26+FD30+FD34+FD50</f>
        <v>5991956843.1874628</v>
      </c>
      <c r="FE52" s="1123">
        <f>FE19+FE26+FE30+FE34+FE50</f>
        <v>3491067597.4393702</v>
      </c>
      <c r="FF52" s="1123">
        <f>FF19+FF26+FF30+FF34+FF50</f>
        <v>4310154239.6509571</v>
      </c>
      <c r="FG52" s="1074"/>
      <c r="FK52" s="1123">
        <f>FK19+FK26+FK30+FK34+FK50</f>
        <v>13793178680.27779</v>
      </c>
      <c r="FL52" s="1123">
        <f>FL19+FL26+FL30+FL34+FL50</f>
        <v>5991956843.1874628</v>
      </c>
      <c r="FM52" s="1123">
        <f>FM19+FM26+FM30+FM34+FM50</f>
        <v>3491067597.4393702</v>
      </c>
      <c r="FN52" s="1123">
        <f>FN19+FN26+FN30+FN34+FN50</f>
        <v>4310154239.6509571</v>
      </c>
      <c r="FO52" s="1074"/>
    </row>
    <row r="53" spans="1:171" x14ac:dyDescent="0.25">
      <c r="A53" s="213" t="s">
        <v>440</v>
      </c>
      <c r="B53" s="64"/>
      <c r="C53" s="55"/>
      <c r="D53" s="55"/>
      <c r="E53" s="64"/>
      <c r="F53" s="64"/>
      <c r="G53" s="221"/>
      <c r="H53" s="221"/>
      <c r="I53" s="221"/>
      <c r="J53" s="222"/>
      <c r="K53" s="904"/>
      <c r="S53" s="1119"/>
      <c r="AA53" s="1119"/>
      <c r="AI53" s="1119"/>
      <c r="AQ53" s="1119"/>
      <c r="AY53" s="1119"/>
      <c r="BG53" s="1119"/>
      <c r="BO53" s="1119"/>
      <c r="BW53" s="1119"/>
      <c r="CE53" s="1119"/>
      <c r="CM53" s="1119"/>
      <c r="CU53" s="1119"/>
      <c r="DC53" s="1119"/>
      <c r="DK53" s="1119"/>
      <c r="DS53" s="1119"/>
      <c r="EA53" s="1119"/>
      <c r="EI53" s="1119"/>
      <c r="EQ53" s="1119"/>
      <c r="EY53" s="1119"/>
      <c r="FG53" s="1119"/>
      <c r="FO53" s="1119"/>
    </row>
    <row r="54" spans="1:171" x14ac:dyDescent="0.25">
      <c r="A54" s="199"/>
      <c r="B54" s="220"/>
      <c r="C54" s="55"/>
      <c r="D54" s="55"/>
      <c r="E54" s="55"/>
      <c r="F54" s="55"/>
      <c r="G54" s="221"/>
      <c r="H54" s="221"/>
      <c r="I54" s="221"/>
      <c r="J54" s="222"/>
      <c r="K54" s="904"/>
      <c r="S54" s="1119"/>
      <c r="AA54" s="1119"/>
      <c r="AI54" s="1119"/>
      <c r="AQ54" s="1119"/>
      <c r="AY54" s="1119"/>
      <c r="BG54" s="1119"/>
      <c r="BO54" s="1119"/>
      <c r="BW54" s="1119"/>
      <c r="CE54" s="1119"/>
      <c r="CM54" s="1119"/>
      <c r="CU54" s="1119"/>
      <c r="DC54" s="1119"/>
      <c r="DK54" s="1119"/>
      <c r="DS54" s="1119"/>
      <c r="EA54" s="1119"/>
      <c r="EI54" s="1119"/>
      <c r="EQ54" s="1119"/>
      <c r="EY54" s="1119"/>
      <c r="FG54" s="1119"/>
      <c r="FO54" s="1119"/>
    </row>
    <row r="55" spans="1:171" x14ac:dyDescent="0.25">
      <c r="A55" s="199" t="s">
        <v>474</v>
      </c>
      <c r="B55" s="220"/>
      <c r="C55" s="55"/>
      <c r="D55" s="55"/>
      <c r="E55" s="55"/>
      <c r="F55" s="55"/>
      <c r="G55" s="911"/>
      <c r="H55" s="911"/>
      <c r="I55" s="911"/>
      <c r="J55" s="912"/>
      <c r="K55" s="904"/>
      <c r="S55" s="1119"/>
      <c r="AA55" s="1119"/>
      <c r="AI55" s="1119"/>
      <c r="AQ55" s="1119"/>
      <c r="AY55" s="1119"/>
      <c r="BG55" s="1119"/>
      <c r="BO55" s="1119"/>
      <c r="BW55" s="1119"/>
      <c r="CE55" s="1119"/>
      <c r="CM55" s="1119"/>
      <c r="CU55" s="1119"/>
      <c r="DC55" s="1119"/>
      <c r="DK55" s="1119"/>
      <c r="DS55" s="1119"/>
      <c r="EA55" s="1119"/>
      <c r="EI55" s="1119"/>
      <c r="EQ55" s="1119"/>
      <c r="EY55" s="1119"/>
      <c r="FG55" s="1119"/>
      <c r="FO55" s="1119"/>
    </row>
    <row r="56" spans="1:171" x14ac:dyDescent="0.25">
      <c r="A56" s="199" t="s">
        <v>620</v>
      </c>
      <c r="B56" s="220"/>
      <c r="C56" s="55"/>
      <c r="D56" s="55"/>
      <c r="E56" s="55"/>
      <c r="F56" s="55"/>
      <c r="G56" s="911"/>
      <c r="H56" s="911"/>
      <c r="I56" s="911"/>
      <c r="J56" s="912"/>
      <c r="K56" s="904"/>
      <c r="S56" s="1119"/>
      <c r="AA56" s="1119"/>
      <c r="AI56" s="1119"/>
      <c r="AQ56" s="1119"/>
      <c r="AY56" s="1119"/>
      <c r="BG56" s="1119"/>
      <c r="BO56" s="1119"/>
      <c r="BW56" s="1119"/>
      <c r="CE56" s="1119"/>
      <c r="CM56" s="1119"/>
      <c r="CU56" s="1119"/>
      <c r="DC56" s="1119"/>
      <c r="DK56" s="1119"/>
      <c r="DS56" s="1119"/>
      <c r="EA56" s="1119"/>
      <c r="EI56" s="1119"/>
      <c r="EQ56" s="1119"/>
      <c r="EY56" s="1119"/>
      <c r="FG56" s="1119"/>
      <c r="FO56" s="1119"/>
    </row>
    <row r="57" spans="1:171" x14ac:dyDescent="0.25">
      <c r="A57" s="913"/>
      <c r="B57" s="914" t="s">
        <v>88</v>
      </c>
      <c r="C57" s="889">
        <v>219</v>
      </c>
      <c r="D57" s="889">
        <v>108</v>
      </c>
      <c r="E57" s="182" t="str">
        <f>'Sch 1- Rate Base '!E57</f>
        <v>PROD</v>
      </c>
      <c r="F57" s="890"/>
      <c r="G57" s="182">
        <f>'Sch 1- Rate Base '!G57</f>
        <v>1888183301.8432956</v>
      </c>
      <c r="H57" s="182">
        <f>'Sch 1- Rate Base '!H57</f>
        <v>1888183301.8432956</v>
      </c>
      <c r="I57" s="182">
        <f>'Sch 1- Rate Base '!I57</f>
        <v>0</v>
      </c>
      <c r="J57" s="183">
        <f>'Sch 1- Rate Base '!J57</f>
        <v>0</v>
      </c>
      <c r="K57" s="904">
        <f t="shared" ref="K57:K75" si="82">IF($E57="DIRECT",0,1)</f>
        <v>1</v>
      </c>
      <c r="O57" s="1117">
        <f t="shared" ref="O57:O73" si="83">$G57</f>
        <v>1888183301.8432956</v>
      </c>
      <c r="P57" s="1118">
        <f t="shared" ref="P57:P73" si="84">VLOOKUP($E57,O$442:R$453,2,FALSE)*O57*($K57)+IF($G57&gt;0,($H57/$G57)*O57,0)*(1-$K57)</f>
        <v>1888183301.8432956</v>
      </c>
      <c r="Q57" s="1118">
        <f t="shared" ref="Q57:Q73" si="85">VLOOKUP($E57,O$442:R$453,3,FALSE)*O57*($K57)+IF($G57&gt;0,($I57/$G57)*O57,0)*(1-$K57)</f>
        <v>0</v>
      </c>
      <c r="R57" s="1118">
        <f t="shared" ref="R57:R73" si="86">VLOOKUP($E57,O$442:R$453,4,FALSE)*O57*($K57)+(O57-P57-Q57)*(1-$K57)</f>
        <v>0</v>
      </c>
      <c r="S57" s="1119"/>
      <c r="W57" s="1117">
        <f t="shared" ref="W57:W73" si="87">$G57</f>
        <v>1888183301.8432956</v>
      </c>
      <c r="X57" s="1118">
        <f t="shared" ref="X57:X73" si="88">VLOOKUP($E57,W$442:Z$453,2,FALSE)*W57*($K57)+IF($G57&gt;0,($H57/$G57)*W57,0)*(1-$K57)</f>
        <v>1888183301.8432956</v>
      </c>
      <c r="Y57" s="1118">
        <f t="shared" ref="Y57:Y73" si="89">VLOOKUP($E57,W$442:Z$453,3,FALSE)*W57*($K57)+IF($G57&gt;0,($I57/$G57)*W57,0)*(1-$K57)</f>
        <v>0</v>
      </c>
      <c r="Z57" s="1118">
        <f t="shared" ref="Z57:Z73" si="90">VLOOKUP($E57,W$442:Z$453,4,FALSE)*W57*($K57)+(W57-X57-Y57)*(1-$K57)</f>
        <v>0</v>
      </c>
      <c r="AA57" s="1119"/>
      <c r="AE57" s="1117">
        <f t="shared" ref="AE57:AE73" si="91">$G57</f>
        <v>1888183301.8432956</v>
      </c>
      <c r="AF57" s="1118">
        <f t="shared" ref="AF57:AF73" si="92">VLOOKUP($E57,AE$442:AH$453,2,FALSE)*AE57*($K57)+IF($G57&gt;0,($H57/$G57)*AE57,0)*(1-$K57)</f>
        <v>1888183301.8432956</v>
      </c>
      <c r="AG57" s="1118">
        <f t="shared" ref="AG57:AG73" si="93">VLOOKUP($E57,AE$442:AH$453,3,FALSE)*AE57*($K57)+IF($G57&gt;0,($I57/$G57)*AE57,0)*(1-$K57)</f>
        <v>0</v>
      </c>
      <c r="AH57" s="1118">
        <f t="shared" ref="AH57:AH73" si="94">VLOOKUP($E57,AE$442:AH$453,4,FALSE)*AE57*($K57)+(AE57-AF57-AG57)*(1-$K57)</f>
        <v>0</v>
      </c>
      <c r="AI57" s="1119"/>
      <c r="AM57" s="1117">
        <f t="shared" ref="AM57:AM73" si="95">$G57</f>
        <v>1888183301.8432956</v>
      </c>
      <c r="AN57" s="1118">
        <f t="shared" ref="AN57:AN73" si="96">VLOOKUP($E57,AM$442:AP$453,2,FALSE)*AM57*($K57)+IF($G57&gt;0,($H57/$G57)*AM57,0)*(1-$K57)</f>
        <v>1888183301.8432956</v>
      </c>
      <c r="AO57" s="1118">
        <f t="shared" ref="AO57:AO73" si="97">VLOOKUP($E57,AM$442:AP$453,3,FALSE)*AM57*($K57)+IF($G57&gt;0,($I57/$G57)*AM57,0)*(1-$K57)</f>
        <v>0</v>
      </c>
      <c r="AP57" s="1118">
        <f t="shared" ref="AP57:AP73" si="98">VLOOKUP($E57,AM$442:AP$453,4,FALSE)*AM57*($K57)+(AM57-AN57-AO57)*(1-$K57)</f>
        <v>0</v>
      </c>
      <c r="AQ57" s="1119"/>
      <c r="AU57" s="1117">
        <f t="shared" ref="AU57:AU73" si="99">$G57</f>
        <v>1888183301.8432956</v>
      </c>
      <c r="AV57" s="1118">
        <f t="shared" ref="AV57:AV73" si="100">VLOOKUP($E57,AU$442:AX$453,2,FALSE)*AU57*($K57)+IF($G57&gt;0,($H57/$G57)*AU57,0)*(1-$K57)</f>
        <v>1888183301.8432956</v>
      </c>
      <c r="AW57" s="1118">
        <f t="shared" ref="AW57:AW73" si="101">VLOOKUP($E57,AU$442:AX$453,3,FALSE)*AU57*($K57)+IF($G57&gt;0,($I57/$G57)*AU57,0)*(1-$K57)</f>
        <v>0</v>
      </c>
      <c r="AX57" s="1118">
        <f t="shared" ref="AX57:AX73" si="102">VLOOKUP($E57,AU$442:AX$453,4,FALSE)*AU57*($K57)+(AU57-AV57-AW57)*(1-$K57)</f>
        <v>0</v>
      </c>
      <c r="AY57" s="1119"/>
      <c r="BC57" s="1117">
        <f t="shared" ref="BC57:BC73" si="103">$G57</f>
        <v>1888183301.8432956</v>
      </c>
      <c r="BD57" s="1118">
        <f t="shared" ref="BD57:BD73" si="104">VLOOKUP($E57,BC$442:BF$453,2,FALSE)*BC57*($K57)+IF($G57&gt;0,($H57/$G57)*BC57,0)*(1-$K57)</f>
        <v>1888183301.8432956</v>
      </c>
      <c r="BE57" s="1118">
        <f t="shared" ref="BE57:BE73" si="105">VLOOKUP($E57,BC$442:BF$453,3,FALSE)*BC57*($K57)+IF($G57&gt;0,($I57/$G57)*BC57,0)*(1-$K57)</f>
        <v>0</v>
      </c>
      <c r="BF57" s="1118">
        <f t="shared" ref="BF57:BF73" si="106">VLOOKUP($E57,BC$442:BF$453,4,FALSE)*BC57*($K57)+(BC57-BD57-BE57)*(1-$K57)</f>
        <v>0</v>
      </c>
      <c r="BG57" s="1119"/>
      <c r="BK57" s="1117">
        <f t="shared" ref="BK57:BK73" si="107">$G57</f>
        <v>1888183301.8432956</v>
      </c>
      <c r="BL57" s="1118">
        <f t="shared" ref="BL57:BL73" si="108">VLOOKUP($E57,BK$442:BN$453,2,FALSE)*BK57*($K57)+IF($G57&gt;0,($H57/$G57)*BK57,0)*(1-$K57)</f>
        <v>1888183301.8432956</v>
      </c>
      <c r="BM57" s="1118">
        <f t="shared" ref="BM57:BM73" si="109">VLOOKUP($E57,BK$442:BN$453,3,FALSE)*BK57*($K57)+IF($G57&gt;0,($I57/$G57)*BK57,0)*(1-$K57)</f>
        <v>0</v>
      </c>
      <c r="BN57" s="1118">
        <f t="shared" ref="BN57:BN73" si="110">VLOOKUP($E57,BK$442:BN$453,4,FALSE)*BK57*($K57)+(BK57-BL57-BM57)*(1-$K57)</f>
        <v>0</v>
      </c>
      <c r="BO57" s="1119"/>
      <c r="BS57" s="1117">
        <f t="shared" ref="BS57:BS73" si="111">$G57</f>
        <v>1888183301.8432956</v>
      </c>
      <c r="BT57" s="1118">
        <f t="shared" ref="BT57:BT73" si="112">VLOOKUP($E57,BS$442:BV$453,2,FALSE)*BS57*($K57)+IF($G57&gt;0,($H57/$G57)*BS57,0)*(1-$K57)</f>
        <v>1888183301.8432956</v>
      </c>
      <c r="BU57" s="1118">
        <f t="shared" ref="BU57:BU73" si="113">VLOOKUP($E57,BS$442:BV$453,3,FALSE)*BS57*($K57)+IF($G57&gt;0,($I57/$G57)*BS57,0)*(1-$K57)</f>
        <v>0</v>
      </c>
      <c r="BV57" s="1118">
        <f t="shared" ref="BV57:BV73" si="114">VLOOKUP($E57,BS$442:BV$453,4,FALSE)*BS57*($K57)+(BS57-BT57-BU57)*(1-$K57)</f>
        <v>0</v>
      </c>
      <c r="BW57" s="1119"/>
      <c r="CA57" s="1117">
        <f t="shared" ref="CA57:CA73" si="115">$G57</f>
        <v>1888183301.8432956</v>
      </c>
      <c r="CB57" s="1118">
        <f t="shared" ref="CB57:CB73" si="116">VLOOKUP($E57,CA$442:CD$453,2,FALSE)*CA57*($K57)+IF($G57&gt;0,($H57/$G57)*CA57,0)*(1-$K57)</f>
        <v>1888183301.8432956</v>
      </c>
      <c r="CC57" s="1118">
        <f t="shared" ref="CC57:CC73" si="117">VLOOKUP($E57,CA$442:CD$453,3,FALSE)*CA57*($K57)+IF($G57&gt;0,($I57/$G57)*CA57,0)*(1-$K57)</f>
        <v>0</v>
      </c>
      <c r="CD57" s="1118">
        <f t="shared" ref="CD57:CD73" si="118">VLOOKUP($E57,CA$442:CD$453,4,FALSE)*CA57*($K57)+(CA57-CB57-CC57)*(1-$K57)</f>
        <v>0</v>
      </c>
      <c r="CE57" s="1119"/>
      <c r="CI57" s="1117">
        <f t="shared" ref="CI57:CI73" si="119">$G57</f>
        <v>1888183301.8432956</v>
      </c>
      <c r="CJ57" s="1118">
        <f t="shared" ref="CJ57:CJ73" si="120">VLOOKUP($E57,CI$442:CL$453,2,FALSE)*CI57*($K57)+IF($G57&gt;0,($H57/$G57)*CI57,0)*(1-$K57)</f>
        <v>1888183301.8432956</v>
      </c>
      <c r="CK57" s="1118">
        <f t="shared" ref="CK57:CK73" si="121">VLOOKUP($E57,CI$442:CL$453,3,FALSE)*CI57*($K57)+IF($G57&gt;0,($I57/$G57)*CI57,0)*(1-$K57)</f>
        <v>0</v>
      </c>
      <c r="CL57" s="1118">
        <f t="shared" ref="CL57:CL73" si="122">VLOOKUP($E57,CI$442:CL$453,4,FALSE)*CI57*($K57)+(CI57-CJ57-CK57)*(1-$K57)</f>
        <v>0</v>
      </c>
      <c r="CM57" s="1119"/>
      <c r="CQ57" s="1117">
        <f t="shared" ref="CQ57:CQ73" si="123">$G57</f>
        <v>1888183301.8432956</v>
      </c>
      <c r="CR57" s="1118">
        <f t="shared" ref="CR57:CR73" si="124">VLOOKUP($E57,CQ$442:CT$453,2,FALSE)*CQ57*($K57)+IF($G57&gt;0,($H57/$G57)*CQ57,0)*(1-$K57)</f>
        <v>1888183301.8432956</v>
      </c>
      <c r="CS57" s="1118">
        <f t="shared" ref="CS57:CS73" si="125">VLOOKUP($E57,CQ$442:CT$453,3,FALSE)*CQ57*($K57)+IF($G57&gt;0,($I57/$G57)*CQ57,0)*(1-$K57)</f>
        <v>0</v>
      </c>
      <c r="CT57" s="1118">
        <f t="shared" ref="CT57:CT73" si="126">VLOOKUP($E57,CQ$442:CT$453,4,FALSE)*CQ57*($K57)+(CQ57-CR57-CS57)*(1-$K57)</f>
        <v>0</v>
      </c>
      <c r="CU57" s="1119"/>
      <c r="CY57" s="1117">
        <f t="shared" ref="CY57:CY73" si="127">$G57</f>
        <v>1888183301.8432956</v>
      </c>
      <c r="CZ57" s="1118">
        <f t="shared" ref="CZ57:CZ73" si="128">VLOOKUP($E57,CY$442:DB$453,2,FALSE)*CY57*($K57)+IF($G57&gt;0,($H57/$G57)*CY57,0)*(1-$K57)</f>
        <v>1888183301.8432956</v>
      </c>
      <c r="DA57" s="1118">
        <f t="shared" ref="DA57:DA73" si="129">VLOOKUP($E57,CY$442:DB$453,3,FALSE)*CY57*($K57)+IF($G57&gt;0,($I57/$G57)*CY57,0)*(1-$K57)</f>
        <v>0</v>
      </c>
      <c r="DB57" s="1118">
        <f t="shared" ref="DB57:DB73" si="130">VLOOKUP($E57,CY$442:DB$453,4,FALSE)*CY57*($K57)+(CY57-CZ57-DA57)*(1-$K57)</f>
        <v>0</v>
      </c>
      <c r="DC57" s="1119"/>
      <c r="DG57" s="1117">
        <f t="shared" ref="DG57:DG73" si="131">$G57</f>
        <v>1888183301.8432956</v>
      </c>
      <c r="DH57" s="1118">
        <f t="shared" ref="DH57:DH73" si="132">VLOOKUP($E57,DG$442:DJ$453,2,FALSE)*DG57*($K57)+IF($G57&gt;0,($H57/$G57)*DG57,0)*(1-$K57)</f>
        <v>1888183301.8432956</v>
      </c>
      <c r="DI57" s="1118">
        <f t="shared" ref="DI57:DI73" si="133">VLOOKUP($E57,DG$442:DJ$453,3,FALSE)*DG57*($K57)+IF($G57&gt;0,($I57/$G57)*DG57,0)*(1-$K57)</f>
        <v>0</v>
      </c>
      <c r="DJ57" s="1118">
        <f t="shared" ref="DJ57:DJ73" si="134">VLOOKUP($E57,DG$442:DJ$453,4,FALSE)*DG57*($K57)+(DG57-DH57-DI57)*(1-$K57)</f>
        <v>0</v>
      </c>
      <c r="DK57" s="1119"/>
      <c r="DO57" s="1117">
        <f t="shared" ref="DO57:DO73" si="135">$G57</f>
        <v>1888183301.8432956</v>
      </c>
      <c r="DP57" s="1118">
        <f t="shared" ref="DP57:DP73" si="136">VLOOKUP($E57,DO$442:DR$453,2,FALSE)*DO57*($K57)+IF($G57&gt;0,($H57/$G57)*DO57,0)*(1-$K57)</f>
        <v>1888183301.8432956</v>
      </c>
      <c r="DQ57" s="1118">
        <f t="shared" ref="DQ57:DQ73" si="137">VLOOKUP($E57,DO$442:DR$453,3,FALSE)*DO57*($K57)+IF($G57&gt;0,($I57/$G57)*DO57,0)*(1-$K57)</f>
        <v>0</v>
      </c>
      <c r="DR57" s="1118">
        <f t="shared" ref="DR57:DR73" si="138">VLOOKUP($E57,DO$442:DR$453,4,FALSE)*DO57*($K57)+(DO57-DP57-DQ57)*(1-$K57)</f>
        <v>0</v>
      </c>
      <c r="DS57" s="1119"/>
      <c r="DW57" s="1117">
        <f t="shared" ref="DW57:DW73" si="139">$G57</f>
        <v>1888183301.8432956</v>
      </c>
      <c r="DX57" s="1118">
        <f t="shared" ref="DX57:DX73" si="140">VLOOKUP($E57,DW$442:DZ$453,2,FALSE)*DW57*($K57)+IF($G57&gt;0,($H57/$G57)*DW57,0)*(1-$K57)</f>
        <v>1888183301.8432956</v>
      </c>
      <c r="DY57" s="1118">
        <f t="shared" ref="DY57:DY73" si="141">VLOOKUP($E57,DW$442:DZ$453,3,FALSE)*DW57*($K57)+IF($G57&gt;0,($I57/$G57)*DW57,0)*(1-$K57)</f>
        <v>0</v>
      </c>
      <c r="DZ57" s="1118">
        <f t="shared" ref="DZ57:DZ73" si="142">VLOOKUP($E57,DW$442:DZ$453,4,FALSE)*DW57*($K57)+(DW57-DX57-DY57)*(1-$K57)</f>
        <v>0</v>
      </c>
      <c r="EA57" s="1119"/>
      <c r="EE57" s="1117">
        <f t="shared" ref="EE57:EE73" si="143">$G57</f>
        <v>1888183301.8432956</v>
      </c>
      <c r="EF57" s="1118">
        <f t="shared" ref="EF57:EF73" si="144">VLOOKUP($E57,EE$442:EH$453,2,FALSE)*EE57*($K57)+IF($G57&gt;0,($H57/$G57)*EE57,0)*(1-$K57)</f>
        <v>1888183301.8432956</v>
      </c>
      <c r="EG57" s="1118">
        <f t="shared" ref="EG57:EG73" si="145">VLOOKUP($E57,EE$442:EH$453,3,FALSE)*EE57*($K57)+IF($G57&gt;0,($I57/$G57)*EE57,0)*(1-$K57)</f>
        <v>0</v>
      </c>
      <c r="EH57" s="1118">
        <f t="shared" ref="EH57:EH73" si="146">VLOOKUP($E57,EE$442:EH$453,4,FALSE)*EE57*($K57)+(EE57-EF57-EG57)*(1-$K57)</f>
        <v>0</v>
      </c>
      <c r="EI57" s="1119"/>
      <c r="EM57" s="1117">
        <f t="shared" ref="EM57:EM73" si="147">$G57</f>
        <v>1888183301.8432956</v>
      </c>
      <c r="EN57" s="1118">
        <f t="shared" ref="EN57:EN73" si="148">VLOOKUP($E57,EM$442:EP$453,2,FALSE)*EM57*($K57)+IF($G57&gt;0,($H57/$G57)*EM57,0)*(1-$K57)</f>
        <v>1888183301.8432956</v>
      </c>
      <c r="EO57" s="1118">
        <f t="shared" ref="EO57:EO73" si="149">VLOOKUP($E57,EM$442:EP$453,3,FALSE)*EM57*($K57)+IF($G57&gt;0,($I57/$G57)*EM57,0)*(1-$K57)</f>
        <v>0</v>
      </c>
      <c r="EP57" s="1118">
        <f t="shared" ref="EP57:EP73" si="150">VLOOKUP($E57,EM$442:EP$453,4,FALSE)*EM57*($K57)+(EM57-EN57-EO57)*(1-$K57)</f>
        <v>0</v>
      </c>
      <c r="EQ57" s="1119"/>
      <c r="EU57" s="1117">
        <f t="shared" ref="EU57:EU73" si="151">$G57</f>
        <v>1888183301.8432956</v>
      </c>
      <c r="EV57" s="1118">
        <f t="shared" ref="EV57:EV73" si="152">VLOOKUP($E57,EU$442:EX$453,2,FALSE)*EU57*($K57)+IF($G57&gt;0,($H57/$G57)*EU57,0)*(1-$K57)</f>
        <v>1888183301.8432956</v>
      </c>
      <c r="EW57" s="1118">
        <f t="shared" ref="EW57:EW73" si="153">VLOOKUP($E57,EU$442:EX$453,3,FALSE)*EU57*($K57)+IF($G57&gt;0,($I57/$G57)*EU57,0)*(1-$K57)</f>
        <v>0</v>
      </c>
      <c r="EX57" s="1118">
        <f t="shared" ref="EX57:EX73" si="154">VLOOKUP($E57,EU$442:EX$453,4,FALSE)*EU57*($K57)+(EU57-EV57-EW57)*(1-$K57)</f>
        <v>0</v>
      </c>
      <c r="EY57" s="1119"/>
      <c r="FC57" s="1117">
        <f t="shared" ref="FC57:FC73" si="155">$G57</f>
        <v>1888183301.8432956</v>
      </c>
      <c r="FD57" s="1118">
        <f t="shared" ref="FD57:FD73" si="156">VLOOKUP($E57,FC$442:FF$453,2,FALSE)*FC57*($K57)+IF($G57&gt;0,($H57/$G57)*FC57,0)*(1-$K57)</f>
        <v>1888183301.8432956</v>
      </c>
      <c r="FE57" s="1118">
        <f t="shared" ref="FE57:FE73" si="157">VLOOKUP($E57,FC$442:FF$453,3,FALSE)*FC57*($K57)+IF($G57&gt;0,($I57/$G57)*FC57,0)*(1-$K57)</f>
        <v>0</v>
      </c>
      <c r="FF57" s="1118">
        <f t="shared" ref="FF57:FF73" si="158">VLOOKUP($E57,FC$442:FF$453,4,FALSE)*FC57*($K57)+(FC57-FD57-FE57)*(1-$K57)</f>
        <v>0</v>
      </c>
      <c r="FG57" s="1119"/>
      <c r="FK57" s="1117">
        <f t="shared" ref="FK57:FK73" si="159">$G57</f>
        <v>1888183301.8432956</v>
      </c>
      <c r="FL57" s="1118">
        <f t="shared" ref="FL57:FL73" si="160">VLOOKUP($E57,FK$442:FN$453,2,FALSE)*FK57*($K57)+IF($G57&gt;0,($H57/$G57)*FK57,0)*(1-$K57)</f>
        <v>1888183301.8432956</v>
      </c>
      <c r="FM57" s="1118">
        <f t="shared" ref="FM57:FM73" si="161">VLOOKUP($E57,FK$442:FN$453,3,FALSE)*FK57*($K57)+IF($G57&gt;0,($I57/$G57)*FK57,0)*(1-$K57)</f>
        <v>0</v>
      </c>
      <c r="FN57" s="1118">
        <f t="shared" ref="FN57:FN73" si="162">VLOOKUP($E57,FK$442:FN$453,4,FALSE)*FK57*($K57)+(FK57-FL57-FM57)*(1-$K57)</f>
        <v>0</v>
      </c>
      <c r="FO57" s="1119"/>
    </row>
    <row r="58" spans="1:171" x14ac:dyDescent="0.25">
      <c r="A58" s="913"/>
      <c r="B58" s="914" t="s">
        <v>89</v>
      </c>
      <c r="C58" s="889">
        <v>219</v>
      </c>
      <c r="D58" s="889">
        <v>108</v>
      </c>
      <c r="E58" s="182" t="str">
        <f>'Sch 1- Rate Base '!E58</f>
        <v>PROD</v>
      </c>
      <c r="F58" s="890"/>
      <c r="G58" s="182">
        <f>'Sch 1- Rate Base '!G58</f>
        <v>0</v>
      </c>
      <c r="H58" s="182">
        <f>'Sch 1- Rate Base '!H58</f>
        <v>0</v>
      </c>
      <c r="I58" s="182">
        <f>'Sch 1- Rate Base '!I58</f>
        <v>0</v>
      </c>
      <c r="J58" s="183">
        <f>'Sch 1- Rate Base '!J58</f>
        <v>0</v>
      </c>
      <c r="K58" s="904">
        <f t="shared" si="82"/>
        <v>1</v>
      </c>
      <c r="O58" s="1117">
        <f t="shared" si="83"/>
        <v>0</v>
      </c>
      <c r="P58" s="1118">
        <f t="shared" si="84"/>
        <v>0</v>
      </c>
      <c r="Q58" s="1118">
        <f t="shared" si="85"/>
        <v>0</v>
      </c>
      <c r="R58" s="1118">
        <f t="shared" si="86"/>
        <v>0</v>
      </c>
      <c r="S58" s="1119"/>
      <c r="W58" s="1117">
        <f t="shared" si="87"/>
        <v>0</v>
      </c>
      <c r="X58" s="1118">
        <f t="shared" si="88"/>
        <v>0</v>
      </c>
      <c r="Y58" s="1118">
        <f t="shared" si="89"/>
        <v>0</v>
      </c>
      <c r="Z58" s="1118">
        <f t="shared" si="90"/>
        <v>0</v>
      </c>
      <c r="AA58" s="1119"/>
      <c r="AE58" s="1117">
        <f t="shared" si="91"/>
        <v>0</v>
      </c>
      <c r="AF58" s="1118">
        <f t="shared" si="92"/>
        <v>0</v>
      </c>
      <c r="AG58" s="1118">
        <f t="shared" si="93"/>
        <v>0</v>
      </c>
      <c r="AH58" s="1118">
        <f t="shared" si="94"/>
        <v>0</v>
      </c>
      <c r="AI58" s="1119"/>
      <c r="AM58" s="1117">
        <f t="shared" si="95"/>
        <v>0</v>
      </c>
      <c r="AN58" s="1118">
        <f t="shared" si="96"/>
        <v>0</v>
      </c>
      <c r="AO58" s="1118">
        <f t="shared" si="97"/>
        <v>0</v>
      </c>
      <c r="AP58" s="1118">
        <f t="shared" si="98"/>
        <v>0</v>
      </c>
      <c r="AQ58" s="1119"/>
      <c r="AU58" s="1117">
        <f t="shared" si="99"/>
        <v>0</v>
      </c>
      <c r="AV58" s="1118">
        <f t="shared" si="100"/>
        <v>0</v>
      </c>
      <c r="AW58" s="1118">
        <f t="shared" si="101"/>
        <v>0</v>
      </c>
      <c r="AX58" s="1118">
        <f t="shared" si="102"/>
        <v>0</v>
      </c>
      <c r="AY58" s="1119"/>
      <c r="BC58" s="1117">
        <f t="shared" si="103"/>
        <v>0</v>
      </c>
      <c r="BD58" s="1118">
        <f t="shared" si="104"/>
        <v>0</v>
      </c>
      <c r="BE58" s="1118">
        <f t="shared" si="105"/>
        <v>0</v>
      </c>
      <c r="BF58" s="1118">
        <f t="shared" si="106"/>
        <v>0</v>
      </c>
      <c r="BG58" s="1119"/>
      <c r="BK58" s="1117">
        <f t="shared" si="107"/>
        <v>0</v>
      </c>
      <c r="BL58" s="1118">
        <f t="shared" si="108"/>
        <v>0</v>
      </c>
      <c r="BM58" s="1118">
        <f t="shared" si="109"/>
        <v>0</v>
      </c>
      <c r="BN58" s="1118">
        <f t="shared" si="110"/>
        <v>0</v>
      </c>
      <c r="BO58" s="1119"/>
      <c r="BS58" s="1117">
        <f t="shared" si="111"/>
        <v>0</v>
      </c>
      <c r="BT58" s="1118">
        <f t="shared" si="112"/>
        <v>0</v>
      </c>
      <c r="BU58" s="1118">
        <f t="shared" si="113"/>
        <v>0</v>
      </c>
      <c r="BV58" s="1118">
        <f t="shared" si="114"/>
        <v>0</v>
      </c>
      <c r="BW58" s="1119"/>
      <c r="CA58" s="1117">
        <f t="shared" si="115"/>
        <v>0</v>
      </c>
      <c r="CB58" s="1118">
        <f t="shared" si="116"/>
        <v>0</v>
      </c>
      <c r="CC58" s="1118">
        <f t="shared" si="117"/>
        <v>0</v>
      </c>
      <c r="CD58" s="1118">
        <f t="shared" si="118"/>
        <v>0</v>
      </c>
      <c r="CE58" s="1119"/>
      <c r="CI58" s="1117">
        <f t="shared" si="119"/>
        <v>0</v>
      </c>
      <c r="CJ58" s="1118">
        <f t="shared" si="120"/>
        <v>0</v>
      </c>
      <c r="CK58" s="1118">
        <f t="shared" si="121"/>
        <v>0</v>
      </c>
      <c r="CL58" s="1118">
        <f t="shared" si="122"/>
        <v>0</v>
      </c>
      <c r="CM58" s="1119"/>
      <c r="CQ58" s="1117">
        <f t="shared" si="123"/>
        <v>0</v>
      </c>
      <c r="CR58" s="1118">
        <f t="shared" si="124"/>
        <v>0</v>
      </c>
      <c r="CS58" s="1118">
        <f t="shared" si="125"/>
        <v>0</v>
      </c>
      <c r="CT58" s="1118">
        <f t="shared" si="126"/>
        <v>0</v>
      </c>
      <c r="CU58" s="1119"/>
      <c r="CY58" s="1117">
        <f t="shared" si="127"/>
        <v>0</v>
      </c>
      <c r="CZ58" s="1118">
        <f t="shared" si="128"/>
        <v>0</v>
      </c>
      <c r="DA58" s="1118">
        <f t="shared" si="129"/>
        <v>0</v>
      </c>
      <c r="DB58" s="1118">
        <f t="shared" si="130"/>
        <v>0</v>
      </c>
      <c r="DC58" s="1119"/>
      <c r="DG58" s="1117">
        <f t="shared" si="131"/>
        <v>0</v>
      </c>
      <c r="DH58" s="1118">
        <f t="shared" si="132"/>
        <v>0</v>
      </c>
      <c r="DI58" s="1118">
        <f t="shared" si="133"/>
        <v>0</v>
      </c>
      <c r="DJ58" s="1118">
        <f t="shared" si="134"/>
        <v>0</v>
      </c>
      <c r="DK58" s="1119"/>
      <c r="DO58" s="1117">
        <f t="shared" si="135"/>
        <v>0</v>
      </c>
      <c r="DP58" s="1118">
        <f t="shared" si="136"/>
        <v>0</v>
      </c>
      <c r="DQ58" s="1118">
        <f t="shared" si="137"/>
        <v>0</v>
      </c>
      <c r="DR58" s="1118">
        <f t="shared" si="138"/>
        <v>0</v>
      </c>
      <c r="DS58" s="1119"/>
      <c r="DW58" s="1117">
        <f t="shared" si="139"/>
        <v>0</v>
      </c>
      <c r="DX58" s="1118">
        <f t="shared" si="140"/>
        <v>0</v>
      </c>
      <c r="DY58" s="1118">
        <f t="shared" si="141"/>
        <v>0</v>
      </c>
      <c r="DZ58" s="1118">
        <f t="shared" si="142"/>
        <v>0</v>
      </c>
      <c r="EA58" s="1119"/>
      <c r="EE58" s="1117">
        <f t="shared" si="143"/>
        <v>0</v>
      </c>
      <c r="EF58" s="1118">
        <f t="shared" si="144"/>
        <v>0</v>
      </c>
      <c r="EG58" s="1118">
        <f t="shared" si="145"/>
        <v>0</v>
      </c>
      <c r="EH58" s="1118">
        <f t="shared" si="146"/>
        <v>0</v>
      </c>
      <c r="EI58" s="1119"/>
      <c r="EM58" s="1117">
        <f t="shared" si="147"/>
        <v>0</v>
      </c>
      <c r="EN58" s="1118">
        <f t="shared" si="148"/>
        <v>0</v>
      </c>
      <c r="EO58" s="1118">
        <f t="shared" si="149"/>
        <v>0</v>
      </c>
      <c r="EP58" s="1118">
        <f t="shared" si="150"/>
        <v>0</v>
      </c>
      <c r="EQ58" s="1119"/>
      <c r="EU58" s="1117">
        <f t="shared" si="151"/>
        <v>0</v>
      </c>
      <c r="EV58" s="1118">
        <f t="shared" si="152"/>
        <v>0</v>
      </c>
      <c r="EW58" s="1118">
        <f t="shared" si="153"/>
        <v>0</v>
      </c>
      <c r="EX58" s="1118">
        <f t="shared" si="154"/>
        <v>0</v>
      </c>
      <c r="EY58" s="1119"/>
      <c r="FC58" s="1117">
        <f t="shared" si="155"/>
        <v>0</v>
      </c>
      <c r="FD58" s="1118">
        <f t="shared" si="156"/>
        <v>0</v>
      </c>
      <c r="FE58" s="1118">
        <f t="shared" si="157"/>
        <v>0</v>
      </c>
      <c r="FF58" s="1118">
        <f t="shared" si="158"/>
        <v>0</v>
      </c>
      <c r="FG58" s="1119"/>
      <c r="FK58" s="1117">
        <f t="shared" si="159"/>
        <v>0</v>
      </c>
      <c r="FL58" s="1118">
        <f t="shared" si="160"/>
        <v>0</v>
      </c>
      <c r="FM58" s="1118">
        <f t="shared" si="161"/>
        <v>0</v>
      </c>
      <c r="FN58" s="1118">
        <f t="shared" si="162"/>
        <v>0</v>
      </c>
      <c r="FO58" s="1119"/>
    </row>
    <row r="59" spans="1:171" x14ac:dyDescent="0.25">
      <c r="A59" s="913"/>
      <c r="B59" s="914" t="s">
        <v>326</v>
      </c>
      <c r="C59" s="889">
        <v>219</v>
      </c>
      <c r="D59" s="889">
        <v>108</v>
      </c>
      <c r="E59" s="182" t="str">
        <f>'Sch 1- Rate Base '!E59</f>
        <v>PROD</v>
      </c>
      <c r="F59" s="890"/>
      <c r="G59" s="182">
        <f>'Sch 1- Rate Base '!G59</f>
        <v>187302448.38277987</v>
      </c>
      <c r="H59" s="182">
        <f>'Sch 1- Rate Base '!H59</f>
        <v>187302448.38277987</v>
      </c>
      <c r="I59" s="182">
        <f>'Sch 1- Rate Base '!I59</f>
        <v>0</v>
      </c>
      <c r="J59" s="183">
        <f>'Sch 1- Rate Base '!J59</f>
        <v>0</v>
      </c>
      <c r="K59" s="904">
        <f t="shared" si="82"/>
        <v>1</v>
      </c>
      <c r="O59" s="1117">
        <f t="shared" si="83"/>
        <v>187302448.38277987</v>
      </c>
      <c r="P59" s="1118">
        <f t="shared" si="84"/>
        <v>187302448.38277987</v>
      </c>
      <c r="Q59" s="1118">
        <f t="shared" si="85"/>
        <v>0</v>
      </c>
      <c r="R59" s="1118">
        <f t="shared" si="86"/>
        <v>0</v>
      </c>
      <c r="S59" s="1119"/>
      <c r="W59" s="1117">
        <f t="shared" si="87"/>
        <v>187302448.38277987</v>
      </c>
      <c r="X59" s="1118">
        <f t="shared" si="88"/>
        <v>187302448.38277987</v>
      </c>
      <c r="Y59" s="1118">
        <f t="shared" si="89"/>
        <v>0</v>
      </c>
      <c r="Z59" s="1118">
        <f t="shared" si="90"/>
        <v>0</v>
      </c>
      <c r="AA59" s="1119"/>
      <c r="AE59" s="1117">
        <f t="shared" si="91"/>
        <v>187302448.38277987</v>
      </c>
      <c r="AF59" s="1118">
        <f t="shared" si="92"/>
        <v>187302448.38277987</v>
      </c>
      <c r="AG59" s="1118">
        <f t="shared" si="93"/>
        <v>0</v>
      </c>
      <c r="AH59" s="1118">
        <f t="shared" si="94"/>
        <v>0</v>
      </c>
      <c r="AI59" s="1119"/>
      <c r="AM59" s="1117">
        <f t="shared" si="95"/>
        <v>187302448.38277987</v>
      </c>
      <c r="AN59" s="1118">
        <f t="shared" si="96"/>
        <v>187302448.38277987</v>
      </c>
      <c r="AO59" s="1118">
        <f t="shared" si="97"/>
        <v>0</v>
      </c>
      <c r="AP59" s="1118">
        <f t="shared" si="98"/>
        <v>0</v>
      </c>
      <c r="AQ59" s="1119"/>
      <c r="AU59" s="1117">
        <f t="shared" si="99"/>
        <v>187302448.38277987</v>
      </c>
      <c r="AV59" s="1118">
        <f t="shared" si="100"/>
        <v>187302448.38277987</v>
      </c>
      <c r="AW59" s="1118">
        <f t="shared" si="101"/>
        <v>0</v>
      </c>
      <c r="AX59" s="1118">
        <f t="shared" si="102"/>
        <v>0</v>
      </c>
      <c r="AY59" s="1119"/>
      <c r="BC59" s="1117">
        <f t="shared" si="103"/>
        <v>187302448.38277987</v>
      </c>
      <c r="BD59" s="1118">
        <f t="shared" si="104"/>
        <v>187302448.38277987</v>
      </c>
      <c r="BE59" s="1118">
        <f t="shared" si="105"/>
        <v>0</v>
      </c>
      <c r="BF59" s="1118">
        <f t="shared" si="106"/>
        <v>0</v>
      </c>
      <c r="BG59" s="1119"/>
      <c r="BK59" s="1117">
        <f t="shared" si="107"/>
        <v>187302448.38277987</v>
      </c>
      <c r="BL59" s="1118">
        <f t="shared" si="108"/>
        <v>187302448.38277987</v>
      </c>
      <c r="BM59" s="1118">
        <f t="shared" si="109"/>
        <v>0</v>
      </c>
      <c r="BN59" s="1118">
        <f t="shared" si="110"/>
        <v>0</v>
      </c>
      <c r="BO59" s="1119"/>
      <c r="BS59" s="1117">
        <f t="shared" si="111"/>
        <v>187302448.38277987</v>
      </c>
      <c r="BT59" s="1118">
        <f t="shared" si="112"/>
        <v>187302448.38277987</v>
      </c>
      <c r="BU59" s="1118">
        <f t="shared" si="113"/>
        <v>0</v>
      </c>
      <c r="BV59" s="1118">
        <f t="shared" si="114"/>
        <v>0</v>
      </c>
      <c r="BW59" s="1119"/>
      <c r="CA59" s="1117">
        <f t="shared" si="115"/>
        <v>187302448.38277987</v>
      </c>
      <c r="CB59" s="1118">
        <f t="shared" si="116"/>
        <v>187302448.38277987</v>
      </c>
      <c r="CC59" s="1118">
        <f t="shared" si="117"/>
        <v>0</v>
      </c>
      <c r="CD59" s="1118">
        <f t="shared" si="118"/>
        <v>0</v>
      </c>
      <c r="CE59" s="1119"/>
      <c r="CI59" s="1117">
        <f t="shared" si="119"/>
        <v>187302448.38277987</v>
      </c>
      <c r="CJ59" s="1118">
        <f t="shared" si="120"/>
        <v>187302448.38277987</v>
      </c>
      <c r="CK59" s="1118">
        <f t="shared" si="121"/>
        <v>0</v>
      </c>
      <c r="CL59" s="1118">
        <f t="shared" si="122"/>
        <v>0</v>
      </c>
      <c r="CM59" s="1119"/>
      <c r="CQ59" s="1117">
        <f t="shared" si="123"/>
        <v>187302448.38277987</v>
      </c>
      <c r="CR59" s="1118">
        <f t="shared" si="124"/>
        <v>187302448.38277987</v>
      </c>
      <c r="CS59" s="1118">
        <f t="shared" si="125"/>
        <v>0</v>
      </c>
      <c r="CT59" s="1118">
        <f t="shared" si="126"/>
        <v>0</v>
      </c>
      <c r="CU59" s="1119"/>
      <c r="CY59" s="1117">
        <f t="shared" si="127"/>
        <v>187302448.38277987</v>
      </c>
      <c r="CZ59" s="1118">
        <f t="shared" si="128"/>
        <v>187302448.38277987</v>
      </c>
      <c r="DA59" s="1118">
        <f t="shared" si="129"/>
        <v>0</v>
      </c>
      <c r="DB59" s="1118">
        <f t="shared" si="130"/>
        <v>0</v>
      </c>
      <c r="DC59" s="1119"/>
      <c r="DG59" s="1117">
        <f t="shared" si="131"/>
        <v>187302448.38277987</v>
      </c>
      <c r="DH59" s="1118">
        <f t="shared" si="132"/>
        <v>187302448.38277987</v>
      </c>
      <c r="DI59" s="1118">
        <f t="shared" si="133"/>
        <v>0</v>
      </c>
      <c r="DJ59" s="1118">
        <f t="shared" si="134"/>
        <v>0</v>
      </c>
      <c r="DK59" s="1119"/>
      <c r="DO59" s="1117">
        <f t="shared" si="135"/>
        <v>187302448.38277987</v>
      </c>
      <c r="DP59" s="1118">
        <f t="shared" si="136"/>
        <v>187302448.38277987</v>
      </c>
      <c r="DQ59" s="1118">
        <f t="shared" si="137"/>
        <v>0</v>
      </c>
      <c r="DR59" s="1118">
        <f t="shared" si="138"/>
        <v>0</v>
      </c>
      <c r="DS59" s="1119"/>
      <c r="DW59" s="1117">
        <f t="shared" si="139"/>
        <v>187302448.38277987</v>
      </c>
      <c r="DX59" s="1118">
        <f t="shared" si="140"/>
        <v>187302448.38277987</v>
      </c>
      <c r="DY59" s="1118">
        <f t="shared" si="141"/>
        <v>0</v>
      </c>
      <c r="DZ59" s="1118">
        <f t="shared" si="142"/>
        <v>0</v>
      </c>
      <c r="EA59" s="1119"/>
      <c r="EE59" s="1117">
        <f t="shared" si="143"/>
        <v>187302448.38277987</v>
      </c>
      <c r="EF59" s="1118">
        <f t="shared" si="144"/>
        <v>187302448.38277987</v>
      </c>
      <c r="EG59" s="1118">
        <f t="shared" si="145"/>
        <v>0</v>
      </c>
      <c r="EH59" s="1118">
        <f t="shared" si="146"/>
        <v>0</v>
      </c>
      <c r="EI59" s="1119"/>
      <c r="EM59" s="1117">
        <f t="shared" si="147"/>
        <v>187302448.38277987</v>
      </c>
      <c r="EN59" s="1118">
        <f t="shared" si="148"/>
        <v>187302448.38277987</v>
      </c>
      <c r="EO59" s="1118">
        <f t="shared" si="149"/>
        <v>0</v>
      </c>
      <c r="EP59" s="1118">
        <f t="shared" si="150"/>
        <v>0</v>
      </c>
      <c r="EQ59" s="1119"/>
      <c r="EU59" s="1117">
        <f t="shared" si="151"/>
        <v>187302448.38277987</v>
      </c>
      <c r="EV59" s="1118">
        <f t="shared" si="152"/>
        <v>187302448.38277987</v>
      </c>
      <c r="EW59" s="1118">
        <f t="shared" si="153"/>
        <v>0</v>
      </c>
      <c r="EX59" s="1118">
        <f t="shared" si="154"/>
        <v>0</v>
      </c>
      <c r="EY59" s="1119"/>
      <c r="FC59" s="1117">
        <f t="shared" si="155"/>
        <v>187302448.38277987</v>
      </c>
      <c r="FD59" s="1118">
        <f t="shared" si="156"/>
        <v>187302448.38277987</v>
      </c>
      <c r="FE59" s="1118">
        <f t="shared" si="157"/>
        <v>0</v>
      </c>
      <c r="FF59" s="1118">
        <f t="shared" si="158"/>
        <v>0</v>
      </c>
      <c r="FG59" s="1119"/>
      <c r="FK59" s="1117">
        <f t="shared" si="159"/>
        <v>187302448.38277987</v>
      </c>
      <c r="FL59" s="1118">
        <f t="shared" si="160"/>
        <v>187302448.38277987</v>
      </c>
      <c r="FM59" s="1118">
        <f t="shared" si="161"/>
        <v>0</v>
      </c>
      <c r="FN59" s="1118">
        <f t="shared" si="162"/>
        <v>0</v>
      </c>
      <c r="FO59" s="1119"/>
    </row>
    <row r="60" spans="1:171" x14ac:dyDescent="0.25">
      <c r="A60" s="913"/>
      <c r="B60" s="914" t="s">
        <v>137</v>
      </c>
      <c r="C60" s="889">
        <v>219</v>
      </c>
      <c r="D60" s="889">
        <v>108</v>
      </c>
      <c r="E60" s="182" t="str">
        <f>'Sch 1- Rate Base '!E60</f>
        <v>PROD</v>
      </c>
      <c r="F60" s="890"/>
      <c r="G60" s="182">
        <f>'Sch 1- Rate Base '!G60</f>
        <v>306422821.96464163</v>
      </c>
      <c r="H60" s="182">
        <f>'Sch 1- Rate Base '!H60</f>
        <v>306422821.96464163</v>
      </c>
      <c r="I60" s="182">
        <f>'Sch 1- Rate Base '!I60</f>
        <v>0</v>
      </c>
      <c r="J60" s="183">
        <f>'Sch 1- Rate Base '!J60</f>
        <v>0</v>
      </c>
      <c r="K60" s="904">
        <f t="shared" si="82"/>
        <v>1</v>
      </c>
      <c r="O60" s="1117">
        <f t="shared" si="83"/>
        <v>306422821.96464163</v>
      </c>
      <c r="P60" s="1118">
        <f t="shared" si="84"/>
        <v>306422821.96464163</v>
      </c>
      <c r="Q60" s="1118">
        <f t="shared" si="85"/>
        <v>0</v>
      </c>
      <c r="R60" s="1118">
        <f t="shared" si="86"/>
        <v>0</v>
      </c>
      <c r="S60" s="1119"/>
      <c r="W60" s="1117">
        <f t="shared" si="87"/>
        <v>306422821.96464163</v>
      </c>
      <c r="X60" s="1118">
        <f t="shared" si="88"/>
        <v>306422821.96464163</v>
      </c>
      <c r="Y60" s="1118">
        <f t="shared" si="89"/>
        <v>0</v>
      </c>
      <c r="Z60" s="1118">
        <f t="shared" si="90"/>
        <v>0</v>
      </c>
      <c r="AA60" s="1119"/>
      <c r="AE60" s="1117">
        <f t="shared" si="91"/>
        <v>306422821.96464163</v>
      </c>
      <c r="AF60" s="1118">
        <f t="shared" si="92"/>
        <v>306422821.96464163</v>
      </c>
      <c r="AG60" s="1118">
        <f t="shared" si="93"/>
        <v>0</v>
      </c>
      <c r="AH60" s="1118">
        <f t="shared" si="94"/>
        <v>0</v>
      </c>
      <c r="AI60" s="1119"/>
      <c r="AM60" s="1117">
        <f t="shared" si="95"/>
        <v>306422821.96464163</v>
      </c>
      <c r="AN60" s="1118">
        <f t="shared" si="96"/>
        <v>306422821.96464163</v>
      </c>
      <c r="AO60" s="1118">
        <f t="shared" si="97"/>
        <v>0</v>
      </c>
      <c r="AP60" s="1118">
        <f t="shared" si="98"/>
        <v>0</v>
      </c>
      <c r="AQ60" s="1119"/>
      <c r="AU60" s="1117">
        <f t="shared" si="99"/>
        <v>306422821.96464163</v>
      </c>
      <c r="AV60" s="1118">
        <f t="shared" si="100"/>
        <v>306422821.96464163</v>
      </c>
      <c r="AW60" s="1118">
        <f t="shared" si="101"/>
        <v>0</v>
      </c>
      <c r="AX60" s="1118">
        <f t="shared" si="102"/>
        <v>0</v>
      </c>
      <c r="AY60" s="1119"/>
      <c r="BC60" s="1117">
        <f t="shared" si="103"/>
        <v>306422821.96464163</v>
      </c>
      <c r="BD60" s="1118">
        <f t="shared" si="104"/>
        <v>306422821.96464163</v>
      </c>
      <c r="BE60" s="1118">
        <f t="shared" si="105"/>
        <v>0</v>
      </c>
      <c r="BF60" s="1118">
        <f t="shared" si="106"/>
        <v>0</v>
      </c>
      <c r="BG60" s="1119"/>
      <c r="BK60" s="1117">
        <f t="shared" si="107"/>
        <v>306422821.96464163</v>
      </c>
      <c r="BL60" s="1118">
        <f t="shared" si="108"/>
        <v>306422821.96464163</v>
      </c>
      <c r="BM60" s="1118">
        <f t="shared" si="109"/>
        <v>0</v>
      </c>
      <c r="BN60" s="1118">
        <f t="shared" si="110"/>
        <v>0</v>
      </c>
      <c r="BO60" s="1119"/>
      <c r="BS60" s="1117">
        <f t="shared" si="111"/>
        <v>306422821.96464163</v>
      </c>
      <c r="BT60" s="1118">
        <f t="shared" si="112"/>
        <v>306422821.96464163</v>
      </c>
      <c r="BU60" s="1118">
        <f t="shared" si="113"/>
        <v>0</v>
      </c>
      <c r="BV60" s="1118">
        <f t="shared" si="114"/>
        <v>0</v>
      </c>
      <c r="BW60" s="1119"/>
      <c r="CA60" s="1117">
        <f t="shared" si="115"/>
        <v>306422821.96464163</v>
      </c>
      <c r="CB60" s="1118">
        <f t="shared" si="116"/>
        <v>306422821.96464163</v>
      </c>
      <c r="CC60" s="1118">
        <f t="shared" si="117"/>
        <v>0</v>
      </c>
      <c r="CD60" s="1118">
        <f t="shared" si="118"/>
        <v>0</v>
      </c>
      <c r="CE60" s="1119"/>
      <c r="CI60" s="1117">
        <f t="shared" si="119"/>
        <v>306422821.96464163</v>
      </c>
      <c r="CJ60" s="1118">
        <f t="shared" si="120"/>
        <v>306422821.96464163</v>
      </c>
      <c r="CK60" s="1118">
        <f t="shared" si="121"/>
        <v>0</v>
      </c>
      <c r="CL60" s="1118">
        <f t="shared" si="122"/>
        <v>0</v>
      </c>
      <c r="CM60" s="1119"/>
      <c r="CQ60" s="1117">
        <f t="shared" si="123"/>
        <v>306422821.96464163</v>
      </c>
      <c r="CR60" s="1118">
        <f t="shared" si="124"/>
        <v>306422821.96464163</v>
      </c>
      <c r="CS60" s="1118">
        <f t="shared" si="125"/>
        <v>0</v>
      </c>
      <c r="CT60" s="1118">
        <f t="shared" si="126"/>
        <v>0</v>
      </c>
      <c r="CU60" s="1119"/>
      <c r="CY60" s="1117">
        <f t="shared" si="127"/>
        <v>306422821.96464163</v>
      </c>
      <c r="CZ60" s="1118">
        <f t="shared" si="128"/>
        <v>306422821.96464163</v>
      </c>
      <c r="DA60" s="1118">
        <f t="shared" si="129"/>
        <v>0</v>
      </c>
      <c r="DB60" s="1118">
        <f t="shared" si="130"/>
        <v>0</v>
      </c>
      <c r="DC60" s="1119"/>
      <c r="DG60" s="1117">
        <f t="shared" si="131"/>
        <v>306422821.96464163</v>
      </c>
      <c r="DH60" s="1118">
        <f t="shared" si="132"/>
        <v>306422821.96464163</v>
      </c>
      <c r="DI60" s="1118">
        <f t="shared" si="133"/>
        <v>0</v>
      </c>
      <c r="DJ60" s="1118">
        <f t="shared" si="134"/>
        <v>0</v>
      </c>
      <c r="DK60" s="1119"/>
      <c r="DO60" s="1117">
        <f t="shared" si="135"/>
        <v>306422821.96464163</v>
      </c>
      <c r="DP60" s="1118">
        <f t="shared" si="136"/>
        <v>306422821.96464163</v>
      </c>
      <c r="DQ60" s="1118">
        <f t="shared" si="137"/>
        <v>0</v>
      </c>
      <c r="DR60" s="1118">
        <f t="shared" si="138"/>
        <v>0</v>
      </c>
      <c r="DS60" s="1119"/>
      <c r="DW60" s="1117">
        <f t="shared" si="139"/>
        <v>306422821.96464163</v>
      </c>
      <c r="DX60" s="1118">
        <f t="shared" si="140"/>
        <v>306422821.96464163</v>
      </c>
      <c r="DY60" s="1118">
        <f t="shared" si="141"/>
        <v>0</v>
      </c>
      <c r="DZ60" s="1118">
        <f t="shared" si="142"/>
        <v>0</v>
      </c>
      <c r="EA60" s="1119"/>
      <c r="EE60" s="1117">
        <f t="shared" si="143"/>
        <v>306422821.96464163</v>
      </c>
      <c r="EF60" s="1118">
        <f t="shared" si="144"/>
        <v>306422821.96464163</v>
      </c>
      <c r="EG60" s="1118">
        <f t="shared" si="145"/>
        <v>0</v>
      </c>
      <c r="EH60" s="1118">
        <f t="shared" si="146"/>
        <v>0</v>
      </c>
      <c r="EI60" s="1119"/>
      <c r="EM60" s="1117">
        <f t="shared" si="147"/>
        <v>306422821.96464163</v>
      </c>
      <c r="EN60" s="1118">
        <f t="shared" si="148"/>
        <v>306422821.96464163</v>
      </c>
      <c r="EO60" s="1118">
        <f t="shared" si="149"/>
        <v>0</v>
      </c>
      <c r="EP60" s="1118">
        <f t="shared" si="150"/>
        <v>0</v>
      </c>
      <c r="EQ60" s="1119"/>
      <c r="EU60" s="1117">
        <f t="shared" si="151"/>
        <v>306422821.96464163</v>
      </c>
      <c r="EV60" s="1118">
        <f t="shared" si="152"/>
        <v>306422821.96464163</v>
      </c>
      <c r="EW60" s="1118">
        <f t="shared" si="153"/>
        <v>0</v>
      </c>
      <c r="EX60" s="1118">
        <f t="shared" si="154"/>
        <v>0</v>
      </c>
      <c r="EY60" s="1119"/>
      <c r="FC60" s="1117">
        <f t="shared" si="155"/>
        <v>306422821.96464163</v>
      </c>
      <c r="FD60" s="1118">
        <f t="shared" si="156"/>
        <v>306422821.96464163</v>
      </c>
      <c r="FE60" s="1118">
        <f t="shared" si="157"/>
        <v>0</v>
      </c>
      <c r="FF60" s="1118">
        <f t="shared" si="158"/>
        <v>0</v>
      </c>
      <c r="FG60" s="1119"/>
      <c r="FK60" s="1117">
        <f t="shared" si="159"/>
        <v>306422821.96464163</v>
      </c>
      <c r="FL60" s="1118">
        <f t="shared" si="160"/>
        <v>306422821.96464163</v>
      </c>
      <c r="FM60" s="1118">
        <f t="shared" si="161"/>
        <v>0</v>
      </c>
      <c r="FN60" s="1118">
        <f t="shared" si="162"/>
        <v>0</v>
      </c>
      <c r="FO60" s="1119"/>
    </row>
    <row r="61" spans="1:171" x14ac:dyDescent="0.25">
      <c r="A61" s="913"/>
      <c r="B61" s="914" t="s">
        <v>143</v>
      </c>
      <c r="C61" s="889">
        <v>219</v>
      </c>
      <c r="D61" s="889">
        <v>108</v>
      </c>
      <c r="E61" s="182" t="str">
        <f>'Sch 1- Rate Base '!E61</f>
        <v>TRANS</v>
      </c>
      <c r="F61" s="890"/>
      <c r="G61" s="182">
        <f>'Sch 1- Rate Base '!G61</f>
        <v>906356004.76731598</v>
      </c>
      <c r="H61" s="182">
        <f>'Sch 1- Rate Base '!H61</f>
        <v>0</v>
      </c>
      <c r="I61" s="182">
        <f>'Sch 1- Rate Base '!I61</f>
        <v>0</v>
      </c>
      <c r="J61" s="183">
        <f>'Sch 1- Rate Base '!J61</f>
        <v>906356004.76731598</v>
      </c>
      <c r="K61" s="904">
        <f t="shared" si="82"/>
        <v>1</v>
      </c>
      <c r="O61" s="1117">
        <f t="shared" si="83"/>
        <v>906356004.76731598</v>
      </c>
      <c r="P61" s="1118">
        <f t="shared" si="84"/>
        <v>0</v>
      </c>
      <c r="Q61" s="1118">
        <f t="shared" si="85"/>
        <v>906356004.76731598</v>
      </c>
      <c r="R61" s="1118">
        <f t="shared" si="86"/>
        <v>0</v>
      </c>
      <c r="S61" s="1119"/>
      <c r="W61" s="1117">
        <f t="shared" si="87"/>
        <v>906356004.76731598</v>
      </c>
      <c r="X61" s="1118">
        <f t="shared" si="88"/>
        <v>0</v>
      </c>
      <c r="Y61" s="1118">
        <f t="shared" si="89"/>
        <v>906356004.76731598</v>
      </c>
      <c r="Z61" s="1118">
        <f t="shared" si="90"/>
        <v>0</v>
      </c>
      <c r="AA61" s="1119"/>
      <c r="AE61" s="1117">
        <f t="shared" si="91"/>
        <v>906356004.76731598</v>
      </c>
      <c r="AF61" s="1118">
        <f t="shared" si="92"/>
        <v>0</v>
      </c>
      <c r="AG61" s="1118">
        <f t="shared" si="93"/>
        <v>906356004.76731598</v>
      </c>
      <c r="AH61" s="1118">
        <f t="shared" si="94"/>
        <v>0</v>
      </c>
      <c r="AI61" s="1119"/>
      <c r="AM61" s="1117">
        <f t="shared" si="95"/>
        <v>906356004.76731598</v>
      </c>
      <c r="AN61" s="1118">
        <f t="shared" si="96"/>
        <v>0</v>
      </c>
      <c r="AO61" s="1118">
        <f t="shared" si="97"/>
        <v>906356004.76731598</v>
      </c>
      <c r="AP61" s="1118">
        <f t="shared" si="98"/>
        <v>0</v>
      </c>
      <c r="AQ61" s="1119"/>
      <c r="AU61" s="1117">
        <f t="shared" si="99"/>
        <v>906356004.76731598</v>
      </c>
      <c r="AV61" s="1118">
        <f t="shared" si="100"/>
        <v>0</v>
      </c>
      <c r="AW61" s="1118">
        <f t="shared" si="101"/>
        <v>906356004.76731598</v>
      </c>
      <c r="AX61" s="1118">
        <f t="shared" si="102"/>
        <v>0</v>
      </c>
      <c r="AY61" s="1119"/>
      <c r="BC61" s="1117">
        <f t="shared" si="103"/>
        <v>906356004.76731598</v>
      </c>
      <c r="BD61" s="1118">
        <f t="shared" si="104"/>
        <v>0</v>
      </c>
      <c r="BE61" s="1118">
        <f t="shared" si="105"/>
        <v>906356004.76731598</v>
      </c>
      <c r="BF61" s="1118">
        <f t="shared" si="106"/>
        <v>0</v>
      </c>
      <c r="BG61" s="1119"/>
      <c r="BK61" s="1117">
        <f t="shared" si="107"/>
        <v>906356004.76731598</v>
      </c>
      <c r="BL61" s="1118">
        <f t="shared" si="108"/>
        <v>0</v>
      </c>
      <c r="BM61" s="1118">
        <f t="shared" si="109"/>
        <v>906356004.76731598</v>
      </c>
      <c r="BN61" s="1118">
        <f t="shared" si="110"/>
        <v>0</v>
      </c>
      <c r="BO61" s="1119"/>
      <c r="BS61" s="1117">
        <f t="shared" si="111"/>
        <v>906356004.76731598</v>
      </c>
      <c r="BT61" s="1118">
        <f t="shared" si="112"/>
        <v>0</v>
      </c>
      <c r="BU61" s="1118">
        <f t="shared" si="113"/>
        <v>906356004.76731598</v>
      </c>
      <c r="BV61" s="1118">
        <f t="shared" si="114"/>
        <v>0</v>
      </c>
      <c r="BW61" s="1119"/>
      <c r="CA61" s="1117">
        <f t="shared" si="115"/>
        <v>906356004.76731598</v>
      </c>
      <c r="CB61" s="1118">
        <f t="shared" si="116"/>
        <v>0</v>
      </c>
      <c r="CC61" s="1118">
        <f t="shared" si="117"/>
        <v>906356004.76731598</v>
      </c>
      <c r="CD61" s="1118">
        <f t="shared" si="118"/>
        <v>0</v>
      </c>
      <c r="CE61" s="1119"/>
      <c r="CI61" s="1117">
        <f t="shared" si="119"/>
        <v>906356004.76731598</v>
      </c>
      <c r="CJ61" s="1118">
        <f t="shared" si="120"/>
        <v>0</v>
      </c>
      <c r="CK61" s="1118">
        <f t="shared" si="121"/>
        <v>906356004.76731598</v>
      </c>
      <c r="CL61" s="1118">
        <f t="shared" si="122"/>
        <v>0</v>
      </c>
      <c r="CM61" s="1119"/>
      <c r="CQ61" s="1117">
        <f t="shared" si="123"/>
        <v>906356004.76731598</v>
      </c>
      <c r="CR61" s="1118">
        <f t="shared" si="124"/>
        <v>0</v>
      </c>
      <c r="CS61" s="1118">
        <f t="shared" si="125"/>
        <v>906356004.76731598</v>
      </c>
      <c r="CT61" s="1118">
        <f t="shared" si="126"/>
        <v>0</v>
      </c>
      <c r="CU61" s="1119"/>
      <c r="CY61" s="1117">
        <f t="shared" si="127"/>
        <v>906356004.76731598</v>
      </c>
      <c r="CZ61" s="1118">
        <f t="shared" si="128"/>
        <v>0</v>
      </c>
      <c r="DA61" s="1118">
        <f t="shared" si="129"/>
        <v>906356004.76731598</v>
      </c>
      <c r="DB61" s="1118">
        <f t="shared" si="130"/>
        <v>0</v>
      </c>
      <c r="DC61" s="1119"/>
      <c r="DG61" s="1117">
        <f t="shared" si="131"/>
        <v>906356004.76731598</v>
      </c>
      <c r="DH61" s="1118">
        <f t="shared" si="132"/>
        <v>0</v>
      </c>
      <c r="DI61" s="1118">
        <f t="shared" si="133"/>
        <v>906356004.76731598</v>
      </c>
      <c r="DJ61" s="1118">
        <f t="shared" si="134"/>
        <v>0</v>
      </c>
      <c r="DK61" s="1119"/>
      <c r="DO61" s="1117">
        <f t="shared" si="135"/>
        <v>906356004.76731598</v>
      </c>
      <c r="DP61" s="1118">
        <f t="shared" si="136"/>
        <v>0</v>
      </c>
      <c r="DQ61" s="1118">
        <f t="shared" si="137"/>
        <v>906356004.76731598</v>
      </c>
      <c r="DR61" s="1118">
        <f t="shared" si="138"/>
        <v>0</v>
      </c>
      <c r="DS61" s="1119"/>
      <c r="DW61" s="1117">
        <f t="shared" si="139"/>
        <v>906356004.76731598</v>
      </c>
      <c r="DX61" s="1118">
        <f t="shared" si="140"/>
        <v>0</v>
      </c>
      <c r="DY61" s="1118">
        <f t="shared" si="141"/>
        <v>906356004.76731598</v>
      </c>
      <c r="DZ61" s="1118">
        <f t="shared" si="142"/>
        <v>0</v>
      </c>
      <c r="EA61" s="1119"/>
      <c r="EE61" s="1117">
        <f t="shared" si="143"/>
        <v>906356004.76731598</v>
      </c>
      <c r="EF61" s="1118">
        <f t="shared" si="144"/>
        <v>0</v>
      </c>
      <c r="EG61" s="1118">
        <f t="shared" si="145"/>
        <v>906356004.76731598</v>
      </c>
      <c r="EH61" s="1118">
        <f t="shared" si="146"/>
        <v>0</v>
      </c>
      <c r="EI61" s="1119"/>
      <c r="EM61" s="1117">
        <f t="shared" si="147"/>
        <v>906356004.76731598</v>
      </c>
      <c r="EN61" s="1118">
        <f t="shared" si="148"/>
        <v>0</v>
      </c>
      <c r="EO61" s="1118">
        <f t="shared" si="149"/>
        <v>906356004.76731598</v>
      </c>
      <c r="EP61" s="1118">
        <f t="shared" si="150"/>
        <v>0</v>
      </c>
      <c r="EQ61" s="1119"/>
      <c r="EU61" s="1117">
        <f t="shared" si="151"/>
        <v>906356004.76731598</v>
      </c>
      <c r="EV61" s="1118">
        <f t="shared" si="152"/>
        <v>0</v>
      </c>
      <c r="EW61" s="1118">
        <f t="shared" si="153"/>
        <v>906356004.76731598</v>
      </c>
      <c r="EX61" s="1118">
        <f t="shared" si="154"/>
        <v>0</v>
      </c>
      <c r="EY61" s="1119"/>
      <c r="FC61" s="1117">
        <f t="shared" si="155"/>
        <v>906356004.76731598</v>
      </c>
      <c r="FD61" s="1118">
        <f t="shared" si="156"/>
        <v>0</v>
      </c>
      <c r="FE61" s="1118">
        <f t="shared" si="157"/>
        <v>906356004.76731598</v>
      </c>
      <c r="FF61" s="1118">
        <f t="shared" si="158"/>
        <v>0</v>
      </c>
      <c r="FG61" s="1119"/>
      <c r="FK61" s="1117">
        <f t="shared" si="159"/>
        <v>906356004.76731598</v>
      </c>
      <c r="FL61" s="1118">
        <f t="shared" si="160"/>
        <v>0</v>
      </c>
      <c r="FM61" s="1118">
        <f t="shared" si="161"/>
        <v>906356004.76731598</v>
      </c>
      <c r="FN61" s="1118">
        <f t="shared" si="162"/>
        <v>0</v>
      </c>
      <c r="FO61" s="1119"/>
    </row>
    <row r="62" spans="1:171" x14ac:dyDescent="0.25">
      <c r="A62" s="913"/>
      <c r="B62" s="914" t="s">
        <v>470</v>
      </c>
      <c r="C62" s="889">
        <v>219</v>
      </c>
      <c r="D62" s="889">
        <v>108</v>
      </c>
      <c r="E62" s="182" t="str">
        <f>'Sch 1- Rate Base '!E62</f>
        <v>DIST</v>
      </c>
      <c r="F62" s="890"/>
      <c r="G62" s="182">
        <f>'Sch 1- Rate Base '!G62</f>
        <v>1633153769.5014434</v>
      </c>
      <c r="H62" s="182">
        <f>'Sch 1- Rate Base '!H62</f>
        <v>0</v>
      </c>
      <c r="I62" s="182">
        <f>'Sch 1- Rate Base '!I62</f>
        <v>0</v>
      </c>
      <c r="J62" s="183">
        <f>'Sch 1- Rate Base '!J62</f>
        <v>1633153769.5014434</v>
      </c>
      <c r="K62" s="904">
        <f t="shared" si="82"/>
        <v>1</v>
      </c>
      <c r="O62" s="1117">
        <f t="shared" si="83"/>
        <v>1633153769.5014434</v>
      </c>
      <c r="P62" s="1118">
        <f t="shared" si="84"/>
        <v>0</v>
      </c>
      <c r="Q62" s="1118">
        <f t="shared" si="85"/>
        <v>0</v>
      </c>
      <c r="R62" s="1118">
        <f t="shared" si="86"/>
        <v>1633153769.5014434</v>
      </c>
      <c r="S62" s="1119"/>
      <c r="W62" s="1117">
        <f t="shared" si="87"/>
        <v>1633153769.5014434</v>
      </c>
      <c r="X62" s="1118">
        <f t="shared" si="88"/>
        <v>0</v>
      </c>
      <c r="Y62" s="1118">
        <f t="shared" si="89"/>
        <v>0</v>
      </c>
      <c r="Z62" s="1118">
        <f t="shared" si="90"/>
        <v>1633153769.5014434</v>
      </c>
      <c r="AA62" s="1119"/>
      <c r="AE62" s="1117">
        <f t="shared" si="91"/>
        <v>1633153769.5014434</v>
      </c>
      <c r="AF62" s="1118">
        <f t="shared" si="92"/>
        <v>0</v>
      </c>
      <c r="AG62" s="1118">
        <f t="shared" si="93"/>
        <v>0</v>
      </c>
      <c r="AH62" s="1118">
        <f t="shared" si="94"/>
        <v>1633153769.5014434</v>
      </c>
      <c r="AI62" s="1119"/>
      <c r="AM62" s="1117">
        <f t="shared" si="95"/>
        <v>1633153769.5014434</v>
      </c>
      <c r="AN62" s="1118">
        <f t="shared" si="96"/>
        <v>0</v>
      </c>
      <c r="AO62" s="1118">
        <f t="shared" si="97"/>
        <v>0</v>
      </c>
      <c r="AP62" s="1118">
        <f t="shared" si="98"/>
        <v>1633153769.5014434</v>
      </c>
      <c r="AQ62" s="1119"/>
      <c r="AU62" s="1117">
        <f t="shared" si="99"/>
        <v>1633153769.5014434</v>
      </c>
      <c r="AV62" s="1118">
        <f t="shared" si="100"/>
        <v>0</v>
      </c>
      <c r="AW62" s="1118">
        <f t="shared" si="101"/>
        <v>0</v>
      </c>
      <c r="AX62" s="1118">
        <f t="shared" si="102"/>
        <v>1633153769.5014434</v>
      </c>
      <c r="AY62" s="1119"/>
      <c r="BC62" s="1117">
        <f t="shared" si="103"/>
        <v>1633153769.5014434</v>
      </c>
      <c r="BD62" s="1118">
        <f t="shared" si="104"/>
        <v>0</v>
      </c>
      <c r="BE62" s="1118">
        <f t="shared" si="105"/>
        <v>0</v>
      </c>
      <c r="BF62" s="1118">
        <f t="shared" si="106"/>
        <v>1633153769.5014434</v>
      </c>
      <c r="BG62" s="1119"/>
      <c r="BK62" s="1117">
        <f t="shared" si="107"/>
        <v>1633153769.5014434</v>
      </c>
      <c r="BL62" s="1118">
        <f t="shared" si="108"/>
        <v>0</v>
      </c>
      <c r="BM62" s="1118">
        <f t="shared" si="109"/>
        <v>0</v>
      </c>
      <c r="BN62" s="1118">
        <f t="shared" si="110"/>
        <v>1633153769.5014434</v>
      </c>
      <c r="BO62" s="1119"/>
      <c r="BS62" s="1117">
        <f t="shared" si="111"/>
        <v>1633153769.5014434</v>
      </c>
      <c r="BT62" s="1118">
        <f t="shared" si="112"/>
        <v>0</v>
      </c>
      <c r="BU62" s="1118">
        <f t="shared" si="113"/>
        <v>0</v>
      </c>
      <c r="BV62" s="1118">
        <f t="shared" si="114"/>
        <v>1633153769.5014434</v>
      </c>
      <c r="BW62" s="1119"/>
      <c r="CA62" s="1117">
        <f t="shared" si="115"/>
        <v>1633153769.5014434</v>
      </c>
      <c r="CB62" s="1118">
        <f t="shared" si="116"/>
        <v>0</v>
      </c>
      <c r="CC62" s="1118">
        <f t="shared" si="117"/>
        <v>0</v>
      </c>
      <c r="CD62" s="1118">
        <f t="shared" si="118"/>
        <v>1633153769.5014434</v>
      </c>
      <c r="CE62" s="1119"/>
      <c r="CI62" s="1117">
        <f t="shared" si="119"/>
        <v>1633153769.5014434</v>
      </c>
      <c r="CJ62" s="1118">
        <f t="shared" si="120"/>
        <v>0</v>
      </c>
      <c r="CK62" s="1118">
        <f t="shared" si="121"/>
        <v>0</v>
      </c>
      <c r="CL62" s="1118">
        <f t="shared" si="122"/>
        <v>1633153769.5014434</v>
      </c>
      <c r="CM62" s="1119"/>
      <c r="CQ62" s="1117">
        <f t="shared" si="123"/>
        <v>1633153769.5014434</v>
      </c>
      <c r="CR62" s="1118">
        <f t="shared" si="124"/>
        <v>0</v>
      </c>
      <c r="CS62" s="1118">
        <f t="shared" si="125"/>
        <v>0</v>
      </c>
      <c r="CT62" s="1118">
        <f t="shared" si="126"/>
        <v>1633153769.5014434</v>
      </c>
      <c r="CU62" s="1119"/>
      <c r="CY62" s="1117">
        <f t="shared" si="127"/>
        <v>1633153769.5014434</v>
      </c>
      <c r="CZ62" s="1118">
        <f t="shared" si="128"/>
        <v>0</v>
      </c>
      <c r="DA62" s="1118">
        <f t="shared" si="129"/>
        <v>0</v>
      </c>
      <c r="DB62" s="1118">
        <f t="shared" si="130"/>
        <v>1633153769.5014434</v>
      </c>
      <c r="DC62" s="1119"/>
      <c r="DG62" s="1117">
        <f t="shared" si="131"/>
        <v>1633153769.5014434</v>
      </c>
      <c r="DH62" s="1118">
        <f t="shared" si="132"/>
        <v>0</v>
      </c>
      <c r="DI62" s="1118">
        <f t="shared" si="133"/>
        <v>0</v>
      </c>
      <c r="DJ62" s="1118">
        <f t="shared" si="134"/>
        <v>1633153769.5014434</v>
      </c>
      <c r="DK62" s="1119"/>
      <c r="DO62" s="1117">
        <f t="shared" si="135"/>
        <v>1633153769.5014434</v>
      </c>
      <c r="DP62" s="1118">
        <f t="shared" si="136"/>
        <v>0</v>
      </c>
      <c r="DQ62" s="1118">
        <f t="shared" si="137"/>
        <v>0</v>
      </c>
      <c r="DR62" s="1118">
        <f t="shared" si="138"/>
        <v>1633153769.5014434</v>
      </c>
      <c r="DS62" s="1119"/>
      <c r="DW62" s="1117">
        <f t="shared" si="139"/>
        <v>1633153769.5014434</v>
      </c>
      <c r="DX62" s="1118">
        <f t="shared" si="140"/>
        <v>0</v>
      </c>
      <c r="DY62" s="1118">
        <f t="shared" si="141"/>
        <v>0</v>
      </c>
      <c r="DZ62" s="1118">
        <f t="shared" si="142"/>
        <v>1633153769.5014434</v>
      </c>
      <c r="EA62" s="1119"/>
      <c r="EE62" s="1117">
        <f t="shared" si="143"/>
        <v>1633153769.5014434</v>
      </c>
      <c r="EF62" s="1118">
        <f t="shared" si="144"/>
        <v>0</v>
      </c>
      <c r="EG62" s="1118">
        <f t="shared" si="145"/>
        <v>0</v>
      </c>
      <c r="EH62" s="1118">
        <f t="shared" si="146"/>
        <v>1633153769.5014434</v>
      </c>
      <c r="EI62" s="1119"/>
      <c r="EM62" s="1117">
        <f t="shared" si="147"/>
        <v>1633153769.5014434</v>
      </c>
      <c r="EN62" s="1118">
        <f t="shared" si="148"/>
        <v>0</v>
      </c>
      <c r="EO62" s="1118">
        <f t="shared" si="149"/>
        <v>0</v>
      </c>
      <c r="EP62" s="1118">
        <f t="shared" si="150"/>
        <v>1633153769.5014434</v>
      </c>
      <c r="EQ62" s="1119"/>
      <c r="EU62" s="1117">
        <f t="shared" si="151"/>
        <v>1633153769.5014434</v>
      </c>
      <c r="EV62" s="1118">
        <f t="shared" si="152"/>
        <v>0</v>
      </c>
      <c r="EW62" s="1118">
        <f t="shared" si="153"/>
        <v>0</v>
      </c>
      <c r="EX62" s="1118">
        <f t="shared" si="154"/>
        <v>1633153769.5014434</v>
      </c>
      <c r="EY62" s="1119"/>
      <c r="FC62" s="1117">
        <f t="shared" si="155"/>
        <v>1633153769.5014434</v>
      </c>
      <c r="FD62" s="1118">
        <f t="shared" si="156"/>
        <v>0</v>
      </c>
      <c r="FE62" s="1118">
        <f t="shared" si="157"/>
        <v>0</v>
      </c>
      <c r="FF62" s="1118">
        <f t="shared" si="158"/>
        <v>1633153769.5014434</v>
      </c>
      <c r="FG62" s="1119"/>
      <c r="FK62" s="1117">
        <f t="shared" si="159"/>
        <v>1633153769.5014434</v>
      </c>
      <c r="FL62" s="1118">
        <f t="shared" si="160"/>
        <v>0</v>
      </c>
      <c r="FM62" s="1118">
        <f t="shared" si="161"/>
        <v>0</v>
      </c>
      <c r="FN62" s="1118">
        <f t="shared" si="162"/>
        <v>1633153769.5014434</v>
      </c>
      <c r="FO62" s="1119"/>
    </row>
    <row r="63" spans="1:171" x14ac:dyDescent="0.25">
      <c r="A63" s="913"/>
      <c r="B63" s="914" t="s">
        <v>92</v>
      </c>
      <c r="C63" s="889">
        <v>219</v>
      </c>
      <c r="D63" s="889">
        <v>108</v>
      </c>
      <c r="E63" s="182" t="str">
        <f>'Sch 1- Rate Base '!E63</f>
        <v>GP</v>
      </c>
      <c r="F63" s="890"/>
      <c r="G63" s="182">
        <f>'Sch 1- Rate Base '!G63</f>
        <v>251101823.88277176</v>
      </c>
      <c r="H63" s="182">
        <f>'Sch 1- Rate Base '!H63</f>
        <v>80500314.121511534</v>
      </c>
      <c r="I63" s="182">
        <f>'Sch 1- Rate Base '!I63</f>
        <v>0</v>
      </c>
      <c r="J63" s="183">
        <f>'Sch 1- Rate Base '!J63</f>
        <v>170601509.76126027</v>
      </c>
      <c r="K63" s="904">
        <f t="shared" si="82"/>
        <v>1</v>
      </c>
      <c r="O63" s="1117">
        <f t="shared" si="83"/>
        <v>251101823.88277176</v>
      </c>
      <c r="P63" s="1118">
        <f t="shared" si="84"/>
        <v>80500314.121511519</v>
      </c>
      <c r="Q63" s="1118">
        <f t="shared" si="85"/>
        <v>75552768.032173976</v>
      </c>
      <c r="R63" s="1118">
        <f t="shared" si="86"/>
        <v>95048741.72908625</v>
      </c>
      <c r="S63" s="1119"/>
      <c r="W63" s="1117">
        <f t="shared" si="87"/>
        <v>251101823.88277176</v>
      </c>
      <c r="X63" s="1118">
        <f t="shared" si="88"/>
        <v>80500314.121511519</v>
      </c>
      <c r="Y63" s="1118">
        <f t="shared" si="89"/>
        <v>75552768.032173976</v>
      </c>
      <c r="Z63" s="1118">
        <f t="shared" si="90"/>
        <v>95048741.72908625</v>
      </c>
      <c r="AA63" s="1119"/>
      <c r="AE63" s="1117">
        <f t="shared" si="91"/>
        <v>251101823.88277176</v>
      </c>
      <c r="AF63" s="1118">
        <f t="shared" si="92"/>
        <v>80500314.121511519</v>
      </c>
      <c r="AG63" s="1118">
        <f t="shared" si="93"/>
        <v>75552768.032173976</v>
      </c>
      <c r="AH63" s="1118">
        <f t="shared" si="94"/>
        <v>95048741.72908625</v>
      </c>
      <c r="AI63" s="1119"/>
      <c r="AM63" s="1117">
        <f t="shared" si="95"/>
        <v>251101823.88277176</v>
      </c>
      <c r="AN63" s="1118">
        <f t="shared" si="96"/>
        <v>80500314.121511519</v>
      </c>
      <c r="AO63" s="1118">
        <f t="shared" si="97"/>
        <v>75552768.032173976</v>
      </c>
      <c r="AP63" s="1118">
        <f t="shared" si="98"/>
        <v>95048741.72908625</v>
      </c>
      <c r="AQ63" s="1119"/>
      <c r="AU63" s="1117">
        <f t="shared" si="99"/>
        <v>251101823.88277176</v>
      </c>
      <c r="AV63" s="1118">
        <f t="shared" si="100"/>
        <v>80500314.121511519</v>
      </c>
      <c r="AW63" s="1118">
        <f t="shared" si="101"/>
        <v>75552768.032173976</v>
      </c>
      <c r="AX63" s="1118">
        <f t="shared" si="102"/>
        <v>95048741.72908625</v>
      </c>
      <c r="AY63" s="1119"/>
      <c r="BC63" s="1117">
        <f t="shared" si="103"/>
        <v>251101823.88277176</v>
      </c>
      <c r="BD63" s="1118">
        <f t="shared" si="104"/>
        <v>80500314.121511519</v>
      </c>
      <c r="BE63" s="1118">
        <f t="shared" si="105"/>
        <v>75552768.032173976</v>
      </c>
      <c r="BF63" s="1118">
        <f t="shared" si="106"/>
        <v>95048741.72908625</v>
      </c>
      <c r="BG63" s="1119"/>
      <c r="BK63" s="1117">
        <f t="shared" si="107"/>
        <v>251101823.88277176</v>
      </c>
      <c r="BL63" s="1118">
        <f t="shared" si="108"/>
        <v>80500314.121511519</v>
      </c>
      <c r="BM63" s="1118">
        <f t="shared" si="109"/>
        <v>75552768.032173976</v>
      </c>
      <c r="BN63" s="1118">
        <f t="shared" si="110"/>
        <v>95048741.72908625</v>
      </c>
      <c r="BO63" s="1119"/>
      <c r="BS63" s="1117">
        <f t="shared" si="111"/>
        <v>251101823.88277176</v>
      </c>
      <c r="BT63" s="1118">
        <f t="shared" si="112"/>
        <v>80500314.121511519</v>
      </c>
      <c r="BU63" s="1118">
        <f t="shared" si="113"/>
        <v>75552768.032173976</v>
      </c>
      <c r="BV63" s="1118">
        <f t="shared" si="114"/>
        <v>95048741.72908625</v>
      </c>
      <c r="BW63" s="1119"/>
      <c r="CA63" s="1117">
        <f t="shared" si="115"/>
        <v>251101823.88277176</v>
      </c>
      <c r="CB63" s="1118">
        <f t="shared" si="116"/>
        <v>80500314.121511519</v>
      </c>
      <c r="CC63" s="1118">
        <f t="shared" si="117"/>
        <v>75552768.032173976</v>
      </c>
      <c r="CD63" s="1118">
        <f t="shared" si="118"/>
        <v>95048741.72908625</v>
      </c>
      <c r="CE63" s="1119"/>
      <c r="CI63" s="1117">
        <f t="shared" si="119"/>
        <v>251101823.88277176</v>
      </c>
      <c r="CJ63" s="1118">
        <f t="shared" si="120"/>
        <v>80500314.121511519</v>
      </c>
      <c r="CK63" s="1118">
        <f t="shared" si="121"/>
        <v>75552768.032173976</v>
      </c>
      <c r="CL63" s="1118">
        <f t="shared" si="122"/>
        <v>95048741.72908625</v>
      </c>
      <c r="CM63" s="1119"/>
      <c r="CQ63" s="1117">
        <f t="shared" si="123"/>
        <v>251101823.88277176</v>
      </c>
      <c r="CR63" s="1118">
        <f t="shared" si="124"/>
        <v>80500314.121511519</v>
      </c>
      <c r="CS63" s="1118">
        <f t="shared" si="125"/>
        <v>75552768.032173976</v>
      </c>
      <c r="CT63" s="1118">
        <f t="shared" si="126"/>
        <v>95048741.72908625</v>
      </c>
      <c r="CU63" s="1119"/>
      <c r="CY63" s="1117">
        <f t="shared" si="127"/>
        <v>251101823.88277176</v>
      </c>
      <c r="CZ63" s="1118">
        <f t="shared" si="128"/>
        <v>80500314.121511519</v>
      </c>
      <c r="DA63" s="1118">
        <f t="shared" si="129"/>
        <v>75552768.032173976</v>
      </c>
      <c r="DB63" s="1118">
        <f t="shared" si="130"/>
        <v>95048741.72908625</v>
      </c>
      <c r="DC63" s="1119"/>
      <c r="DG63" s="1117">
        <f t="shared" si="131"/>
        <v>251101823.88277176</v>
      </c>
      <c r="DH63" s="1118">
        <f t="shared" si="132"/>
        <v>80500314.121511519</v>
      </c>
      <c r="DI63" s="1118">
        <f t="shared" si="133"/>
        <v>75552768.032173976</v>
      </c>
      <c r="DJ63" s="1118">
        <f t="shared" si="134"/>
        <v>95048741.72908625</v>
      </c>
      <c r="DK63" s="1119"/>
      <c r="DO63" s="1117">
        <f t="shared" si="135"/>
        <v>251101823.88277176</v>
      </c>
      <c r="DP63" s="1118">
        <f t="shared" si="136"/>
        <v>80500314.121511519</v>
      </c>
      <c r="DQ63" s="1118">
        <f t="shared" si="137"/>
        <v>75552768.032173976</v>
      </c>
      <c r="DR63" s="1118">
        <f t="shared" si="138"/>
        <v>95048741.72908625</v>
      </c>
      <c r="DS63" s="1119"/>
      <c r="DW63" s="1117">
        <f t="shared" si="139"/>
        <v>251101823.88277176</v>
      </c>
      <c r="DX63" s="1118">
        <f t="shared" si="140"/>
        <v>80500314.121511519</v>
      </c>
      <c r="DY63" s="1118">
        <f t="shared" si="141"/>
        <v>75552768.032173976</v>
      </c>
      <c r="DZ63" s="1118">
        <f t="shared" si="142"/>
        <v>95048741.72908625</v>
      </c>
      <c r="EA63" s="1119"/>
      <c r="EE63" s="1117">
        <f t="shared" si="143"/>
        <v>251101823.88277176</v>
      </c>
      <c r="EF63" s="1118">
        <f t="shared" si="144"/>
        <v>80500314.121511519</v>
      </c>
      <c r="EG63" s="1118">
        <f t="shared" si="145"/>
        <v>75552768.032173976</v>
      </c>
      <c r="EH63" s="1118">
        <f t="shared" si="146"/>
        <v>95048741.72908625</v>
      </c>
      <c r="EI63" s="1119"/>
      <c r="EM63" s="1117">
        <f t="shared" si="147"/>
        <v>251101823.88277176</v>
      </c>
      <c r="EN63" s="1118">
        <f t="shared" si="148"/>
        <v>80500314.121511519</v>
      </c>
      <c r="EO63" s="1118">
        <f t="shared" si="149"/>
        <v>75552768.032173976</v>
      </c>
      <c r="EP63" s="1118">
        <f t="shared" si="150"/>
        <v>95048741.72908625</v>
      </c>
      <c r="EQ63" s="1119"/>
      <c r="EU63" s="1117">
        <f t="shared" si="151"/>
        <v>251101823.88277176</v>
      </c>
      <c r="EV63" s="1118">
        <f t="shared" si="152"/>
        <v>80500314.121511519</v>
      </c>
      <c r="EW63" s="1118">
        <f t="shared" si="153"/>
        <v>75552768.032173976</v>
      </c>
      <c r="EX63" s="1118">
        <f t="shared" si="154"/>
        <v>95048741.72908625</v>
      </c>
      <c r="EY63" s="1119"/>
      <c r="FC63" s="1117">
        <f t="shared" si="155"/>
        <v>251101823.88277176</v>
      </c>
      <c r="FD63" s="1118">
        <f t="shared" si="156"/>
        <v>80500314.121511519</v>
      </c>
      <c r="FE63" s="1118">
        <f t="shared" si="157"/>
        <v>75552768.032173976</v>
      </c>
      <c r="FF63" s="1118">
        <f t="shared" si="158"/>
        <v>95048741.72908625</v>
      </c>
      <c r="FG63" s="1119"/>
      <c r="FK63" s="1117">
        <f t="shared" si="159"/>
        <v>251101823.88277176</v>
      </c>
      <c r="FL63" s="1118">
        <f t="shared" si="160"/>
        <v>80500314.121511519</v>
      </c>
      <c r="FM63" s="1118">
        <f t="shared" si="161"/>
        <v>75552768.032173976</v>
      </c>
      <c r="FN63" s="1118">
        <f t="shared" si="162"/>
        <v>95048741.72908625</v>
      </c>
      <c r="FO63" s="1119"/>
    </row>
    <row r="64" spans="1:171" x14ac:dyDescent="0.25">
      <c r="A64" s="913"/>
      <c r="B64" s="914" t="s">
        <v>370</v>
      </c>
      <c r="C64" s="889">
        <v>219</v>
      </c>
      <c r="D64" s="889">
        <v>108</v>
      </c>
      <c r="E64" s="182" t="str">
        <f>'Sch 1- Rate Base '!E64</f>
        <v>DIST</v>
      </c>
      <c r="F64" s="890"/>
      <c r="G64" s="182">
        <f>'Sch 1- Rate Base '!G64</f>
        <v>0</v>
      </c>
      <c r="H64" s="182">
        <f>'Sch 1- Rate Base '!H64</f>
        <v>0</v>
      </c>
      <c r="I64" s="182">
        <f>'Sch 1- Rate Base '!I64</f>
        <v>0</v>
      </c>
      <c r="J64" s="183">
        <f>'Sch 1- Rate Base '!J64</f>
        <v>0</v>
      </c>
      <c r="K64" s="904">
        <f t="shared" si="82"/>
        <v>1</v>
      </c>
      <c r="O64" s="1117">
        <f t="shared" si="83"/>
        <v>0</v>
      </c>
      <c r="P64" s="1118">
        <f t="shared" si="84"/>
        <v>0</v>
      </c>
      <c r="Q64" s="1118">
        <f t="shared" si="85"/>
        <v>0</v>
      </c>
      <c r="R64" s="1118">
        <f t="shared" si="86"/>
        <v>0</v>
      </c>
      <c r="S64" s="1119"/>
      <c r="W64" s="1117">
        <f t="shared" si="87"/>
        <v>0</v>
      </c>
      <c r="X64" s="1118">
        <f t="shared" si="88"/>
        <v>0</v>
      </c>
      <c r="Y64" s="1118">
        <f t="shared" si="89"/>
        <v>0</v>
      </c>
      <c r="Z64" s="1118">
        <f t="shared" si="90"/>
        <v>0</v>
      </c>
      <c r="AA64" s="1119"/>
      <c r="AE64" s="1117">
        <f t="shared" si="91"/>
        <v>0</v>
      </c>
      <c r="AF64" s="1118">
        <f t="shared" si="92"/>
        <v>0</v>
      </c>
      <c r="AG64" s="1118">
        <f t="shared" si="93"/>
        <v>0</v>
      </c>
      <c r="AH64" s="1118">
        <f t="shared" si="94"/>
        <v>0</v>
      </c>
      <c r="AI64" s="1119"/>
      <c r="AM64" s="1117">
        <f t="shared" si="95"/>
        <v>0</v>
      </c>
      <c r="AN64" s="1118">
        <f t="shared" si="96"/>
        <v>0</v>
      </c>
      <c r="AO64" s="1118">
        <f t="shared" si="97"/>
        <v>0</v>
      </c>
      <c r="AP64" s="1118">
        <f t="shared" si="98"/>
        <v>0</v>
      </c>
      <c r="AQ64" s="1119"/>
      <c r="AU64" s="1117">
        <f t="shared" si="99"/>
        <v>0</v>
      </c>
      <c r="AV64" s="1118">
        <f t="shared" si="100"/>
        <v>0</v>
      </c>
      <c r="AW64" s="1118">
        <f t="shared" si="101"/>
        <v>0</v>
      </c>
      <c r="AX64" s="1118">
        <f t="shared" si="102"/>
        <v>0</v>
      </c>
      <c r="AY64" s="1119"/>
      <c r="BC64" s="1117">
        <f t="shared" si="103"/>
        <v>0</v>
      </c>
      <c r="BD64" s="1118">
        <f t="shared" si="104"/>
        <v>0</v>
      </c>
      <c r="BE64" s="1118">
        <f t="shared" si="105"/>
        <v>0</v>
      </c>
      <c r="BF64" s="1118">
        <f t="shared" si="106"/>
        <v>0</v>
      </c>
      <c r="BG64" s="1119"/>
      <c r="BK64" s="1117">
        <f t="shared" si="107"/>
        <v>0</v>
      </c>
      <c r="BL64" s="1118">
        <f t="shared" si="108"/>
        <v>0</v>
      </c>
      <c r="BM64" s="1118">
        <f t="shared" si="109"/>
        <v>0</v>
      </c>
      <c r="BN64" s="1118">
        <f t="shared" si="110"/>
        <v>0</v>
      </c>
      <c r="BO64" s="1119"/>
      <c r="BS64" s="1117">
        <f t="shared" si="111"/>
        <v>0</v>
      </c>
      <c r="BT64" s="1118">
        <f t="shared" si="112"/>
        <v>0</v>
      </c>
      <c r="BU64" s="1118">
        <f t="shared" si="113"/>
        <v>0</v>
      </c>
      <c r="BV64" s="1118">
        <f t="shared" si="114"/>
        <v>0</v>
      </c>
      <c r="BW64" s="1119"/>
      <c r="CA64" s="1117">
        <f t="shared" si="115"/>
        <v>0</v>
      </c>
      <c r="CB64" s="1118">
        <f t="shared" si="116"/>
        <v>0</v>
      </c>
      <c r="CC64" s="1118">
        <f t="shared" si="117"/>
        <v>0</v>
      </c>
      <c r="CD64" s="1118">
        <f t="shared" si="118"/>
        <v>0</v>
      </c>
      <c r="CE64" s="1119"/>
      <c r="CI64" s="1117">
        <f t="shared" si="119"/>
        <v>0</v>
      </c>
      <c r="CJ64" s="1118">
        <f t="shared" si="120"/>
        <v>0</v>
      </c>
      <c r="CK64" s="1118">
        <f t="shared" si="121"/>
        <v>0</v>
      </c>
      <c r="CL64" s="1118">
        <f t="shared" si="122"/>
        <v>0</v>
      </c>
      <c r="CM64" s="1119"/>
      <c r="CQ64" s="1117">
        <f t="shared" si="123"/>
        <v>0</v>
      </c>
      <c r="CR64" s="1118">
        <f t="shared" si="124"/>
        <v>0</v>
      </c>
      <c r="CS64" s="1118">
        <f t="shared" si="125"/>
        <v>0</v>
      </c>
      <c r="CT64" s="1118">
        <f t="shared" si="126"/>
        <v>0</v>
      </c>
      <c r="CU64" s="1119"/>
      <c r="CY64" s="1117">
        <f t="shared" si="127"/>
        <v>0</v>
      </c>
      <c r="CZ64" s="1118">
        <f t="shared" si="128"/>
        <v>0</v>
      </c>
      <c r="DA64" s="1118">
        <f t="shared" si="129"/>
        <v>0</v>
      </c>
      <c r="DB64" s="1118">
        <f t="shared" si="130"/>
        <v>0</v>
      </c>
      <c r="DC64" s="1119"/>
      <c r="DG64" s="1117">
        <f t="shared" si="131"/>
        <v>0</v>
      </c>
      <c r="DH64" s="1118">
        <f t="shared" si="132"/>
        <v>0</v>
      </c>
      <c r="DI64" s="1118">
        <f t="shared" si="133"/>
        <v>0</v>
      </c>
      <c r="DJ64" s="1118">
        <f t="shared" si="134"/>
        <v>0</v>
      </c>
      <c r="DK64" s="1119"/>
      <c r="DO64" s="1117">
        <f t="shared" si="135"/>
        <v>0</v>
      </c>
      <c r="DP64" s="1118">
        <f t="shared" si="136"/>
        <v>0</v>
      </c>
      <c r="DQ64" s="1118">
        <f t="shared" si="137"/>
        <v>0</v>
      </c>
      <c r="DR64" s="1118">
        <f t="shared" si="138"/>
        <v>0</v>
      </c>
      <c r="DS64" s="1119"/>
      <c r="DW64" s="1117">
        <f t="shared" si="139"/>
        <v>0</v>
      </c>
      <c r="DX64" s="1118">
        <f t="shared" si="140"/>
        <v>0</v>
      </c>
      <c r="DY64" s="1118">
        <f t="shared" si="141"/>
        <v>0</v>
      </c>
      <c r="DZ64" s="1118">
        <f t="shared" si="142"/>
        <v>0</v>
      </c>
      <c r="EA64" s="1119"/>
      <c r="EE64" s="1117">
        <f t="shared" si="143"/>
        <v>0</v>
      </c>
      <c r="EF64" s="1118">
        <f t="shared" si="144"/>
        <v>0</v>
      </c>
      <c r="EG64" s="1118">
        <f t="shared" si="145"/>
        <v>0</v>
      </c>
      <c r="EH64" s="1118">
        <f t="shared" si="146"/>
        <v>0</v>
      </c>
      <c r="EI64" s="1119"/>
      <c r="EM64" s="1117">
        <f t="shared" si="147"/>
        <v>0</v>
      </c>
      <c r="EN64" s="1118">
        <f t="shared" si="148"/>
        <v>0</v>
      </c>
      <c r="EO64" s="1118">
        <f t="shared" si="149"/>
        <v>0</v>
      </c>
      <c r="EP64" s="1118">
        <f t="shared" si="150"/>
        <v>0</v>
      </c>
      <c r="EQ64" s="1119"/>
      <c r="EU64" s="1117">
        <f t="shared" si="151"/>
        <v>0</v>
      </c>
      <c r="EV64" s="1118">
        <f t="shared" si="152"/>
        <v>0</v>
      </c>
      <c r="EW64" s="1118">
        <f t="shared" si="153"/>
        <v>0</v>
      </c>
      <c r="EX64" s="1118">
        <f t="shared" si="154"/>
        <v>0</v>
      </c>
      <c r="EY64" s="1119"/>
      <c r="FC64" s="1117">
        <f t="shared" si="155"/>
        <v>0</v>
      </c>
      <c r="FD64" s="1118">
        <f t="shared" si="156"/>
        <v>0</v>
      </c>
      <c r="FE64" s="1118">
        <f t="shared" si="157"/>
        <v>0</v>
      </c>
      <c r="FF64" s="1118">
        <f t="shared" si="158"/>
        <v>0</v>
      </c>
      <c r="FG64" s="1119"/>
      <c r="FK64" s="1117">
        <f t="shared" si="159"/>
        <v>0</v>
      </c>
      <c r="FL64" s="1118">
        <f t="shared" si="160"/>
        <v>0</v>
      </c>
      <c r="FM64" s="1118">
        <f t="shared" si="161"/>
        <v>0</v>
      </c>
      <c r="FN64" s="1118">
        <f t="shared" si="162"/>
        <v>0</v>
      </c>
      <c r="FO64" s="1119"/>
    </row>
    <row r="65" spans="1:171" x14ac:dyDescent="0.25">
      <c r="A65" s="913"/>
      <c r="B65" s="914" t="s">
        <v>371</v>
      </c>
      <c r="C65" s="889">
        <v>219</v>
      </c>
      <c r="D65" s="889">
        <v>108</v>
      </c>
      <c r="E65" s="182" t="str">
        <f>'Sch 1- Rate Base '!E65</f>
        <v>DIRECT</v>
      </c>
      <c r="F65" s="890"/>
      <c r="G65" s="182">
        <f>'Sch 1- Rate Base '!G65</f>
        <v>35416807.173216134</v>
      </c>
      <c r="H65" s="182">
        <f>'Sch 1- Rate Base '!H65</f>
        <v>35416807.173216134</v>
      </c>
      <c r="I65" s="182">
        <f>'Sch 1- Rate Base '!I65</f>
        <v>0</v>
      </c>
      <c r="J65" s="183">
        <f>'Sch 1- Rate Base '!J65</f>
        <v>760277.10117285547</v>
      </c>
      <c r="K65" s="904">
        <f t="shared" si="82"/>
        <v>0</v>
      </c>
      <c r="O65" s="1117">
        <f t="shared" si="83"/>
        <v>35416807.173216134</v>
      </c>
      <c r="P65" s="1118">
        <f t="shared" si="84"/>
        <v>35416807.173216134</v>
      </c>
      <c r="Q65" s="1118">
        <f t="shared" si="85"/>
        <v>0</v>
      </c>
      <c r="R65" s="1118">
        <f t="shared" si="86"/>
        <v>0</v>
      </c>
      <c r="S65" s="1119"/>
      <c r="W65" s="1117">
        <f t="shared" si="87"/>
        <v>35416807.173216134</v>
      </c>
      <c r="X65" s="1118">
        <f t="shared" si="88"/>
        <v>35416807.173216134</v>
      </c>
      <c r="Y65" s="1118">
        <f t="shared" si="89"/>
        <v>0</v>
      </c>
      <c r="Z65" s="1118">
        <f t="shared" si="90"/>
        <v>0</v>
      </c>
      <c r="AA65" s="1119"/>
      <c r="AE65" s="1117">
        <f t="shared" si="91"/>
        <v>35416807.173216134</v>
      </c>
      <c r="AF65" s="1118">
        <f t="shared" si="92"/>
        <v>35416807.173216134</v>
      </c>
      <c r="AG65" s="1118">
        <f t="shared" si="93"/>
        <v>0</v>
      </c>
      <c r="AH65" s="1118">
        <f t="shared" si="94"/>
        <v>0</v>
      </c>
      <c r="AI65" s="1119"/>
      <c r="AM65" s="1117">
        <f t="shared" si="95"/>
        <v>35416807.173216134</v>
      </c>
      <c r="AN65" s="1118">
        <f t="shared" si="96"/>
        <v>35416807.173216134</v>
      </c>
      <c r="AO65" s="1118">
        <f t="shared" si="97"/>
        <v>0</v>
      </c>
      <c r="AP65" s="1118">
        <f t="shared" si="98"/>
        <v>0</v>
      </c>
      <c r="AQ65" s="1119"/>
      <c r="AU65" s="1117">
        <f t="shared" si="99"/>
        <v>35416807.173216134</v>
      </c>
      <c r="AV65" s="1118">
        <f t="shared" si="100"/>
        <v>35416807.173216134</v>
      </c>
      <c r="AW65" s="1118">
        <f t="shared" si="101"/>
        <v>0</v>
      </c>
      <c r="AX65" s="1118">
        <f t="shared" si="102"/>
        <v>0</v>
      </c>
      <c r="AY65" s="1119"/>
      <c r="BC65" s="1117">
        <f t="shared" si="103"/>
        <v>35416807.173216134</v>
      </c>
      <c r="BD65" s="1118">
        <f t="shared" si="104"/>
        <v>35416807.173216134</v>
      </c>
      <c r="BE65" s="1118">
        <f t="shared" si="105"/>
        <v>0</v>
      </c>
      <c r="BF65" s="1118">
        <f t="shared" si="106"/>
        <v>0</v>
      </c>
      <c r="BG65" s="1119"/>
      <c r="BK65" s="1117">
        <f t="shared" si="107"/>
        <v>35416807.173216134</v>
      </c>
      <c r="BL65" s="1118">
        <f t="shared" si="108"/>
        <v>35416807.173216134</v>
      </c>
      <c r="BM65" s="1118">
        <f t="shared" si="109"/>
        <v>0</v>
      </c>
      <c r="BN65" s="1118">
        <f t="shared" si="110"/>
        <v>0</v>
      </c>
      <c r="BO65" s="1119"/>
      <c r="BS65" s="1117">
        <f t="shared" si="111"/>
        <v>35416807.173216134</v>
      </c>
      <c r="BT65" s="1118">
        <f t="shared" si="112"/>
        <v>35416807.173216134</v>
      </c>
      <c r="BU65" s="1118">
        <f t="shared" si="113"/>
        <v>0</v>
      </c>
      <c r="BV65" s="1118">
        <f t="shared" si="114"/>
        <v>0</v>
      </c>
      <c r="BW65" s="1119"/>
      <c r="CA65" s="1117">
        <f t="shared" si="115"/>
        <v>35416807.173216134</v>
      </c>
      <c r="CB65" s="1118">
        <f t="shared" si="116"/>
        <v>35416807.173216134</v>
      </c>
      <c r="CC65" s="1118">
        <f t="shared" si="117"/>
        <v>0</v>
      </c>
      <c r="CD65" s="1118">
        <f t="shared" si="118"/>
        <v>0</v>
      </c>
      <c r="CE65" s="1119"/>
      <c r="CI65" s="1117">
        <f t="shared" si="119"/>
        <v>35416807.173216134</v>
      </c>
      <c r="CJ65" s="1118">
        <f t="shared" si="120"/>
        <v>35416807.173216134</v>
      </c>
      <c r="CK65" s="1118">
        <f t="shared" si="121"/>
        <v>0</v>
      </c>
      <c r="CL65" s="1118">
        <f t="shared" si="122"/>
        <v>0</v>
      </c>
      <c r="CM65" s="1119"/>
      <c r="CQ65" s="1117">
        <f t="shared" si="123"/>
        <v>35416807.173216134</v>
      </c>
      <c r="CR65" s="1118">
        <f t="shared" si="124"/>
        <v>35416807.173216134</v>
      </c>
      <c r="CS65" s="1118">
        <f t="shared" si="125"/>
        <v>0</v>
      </c>
      <c r="CT65" s="1118">
        <f t="shared" si="126"/>
        <v>0</v>
      </c>
      <c r="CU65" s="1119"/>
      <c r="CY65" s="1117">
        <f t="shared" si="127"/>
        <v>35416807.173216134</v>
      </c>
      <c r="CZ65" s="1118">
        <f t="shared" si="128"/>
        <v>35416807.173216134</v>
      </c>
      <c r="DA65" s="1118">
        <f t="shared" si="129"/>
        <v>0</v>
      </c>
      <c r="DB65" s="1118">
        <f t="shared" si="130"/>
        <v>0</v>
      </c>
      <c r="DC65" s="1119"/>
      <c r="DG65" s="1117">
        <f t="shared" si="131"/>
        <v>35416807.173216134</v>
      </c>
      <c r="DH65" s="1118">
        <f t="shared" si="132"/>
        <v>35416807.173216134</v>
      </c>
      <c r="DI65" s="1118">
        <f t="shared" si="133"/>
        <v>0</v>
      </c>
      <c r="DJ65" s="1118">
        <f t="shared" si="134"/>
        <v>0</v>
      </c>
      <c r="DK65" s="1119"/>
      <c r="DO65" s="1117">
        <f t="shared" si="135"/>
        <v>35416807.173216134</v>
      </c>
      <c r="DP65" s="1118">
        <f t="shared" si="136"/>
        <v>35416807.173216134</v>
      </c>
      <c r="DQ65" s="1118">
        <f t="shared" si="137"/>
        <v>0</v>
      </c>
      <c r="DR65" s="1118">
        <f t="shared" si="138"/>
        <v>0</v>
      </c>
      <c r="DS65" s="1119"/>
      <c r="DW65" s="1117">
        <f t="shared" si="139"/>
        <v>35416807.173216134</v>
      </c>
      <c r="DX65" s="1118">
        <f t="shared" si="140"/>
        <v>35416807.173216134</v>
      </c>
      <c r="DY65" s="1118">
        <f t="shared" si="141"/>
        <v>0</v>
      </c>
      <c r="DZ65" s="1118">
        <f t="shared" si="142"/>
        <v>0</v>
      </c>
      <c r="EA65" s="1119"/>
      <c r="EE65" s="1117">
        <f t="shared" si="143"/>
        <v>35416807.173216134</v>
      </c>
      <c r="EF65" s="1118">
        <f t="shared" si="144"/>
        <v>35416807.173216134</v>
      </c>
      <c r="EG65" s="1118">
        <f t="shared" si="145"/>
        <v>0</v>
      </c>
      <c r="EH65" s="1118">
        <f t="shared" si="146"/>
        <v>0</v>
      </c>
      <c r="EI65" s="1119"/>
      <c r="EM65" s="1117">
        <f t="shared" si="147"/>
        <v>35416807.173216134</v>
      </c>
      <c r="EN65" s="1118">
        <f t="shared" si="148"/>
        <v>35416807.173216134</v>
      </c>
      <c r="EO65" s="1118">
        <f t="shared" si="149"/>
        <v>0</v>
      </c>
      <c r="EP65" s="1118">
        <f t="shared" si="150"/>
        <v>0</v>
      </c>
      <c r="EQ65" s="1119"/>
      <c r="EU65" s="1117">
        <f t="shared" si="151"/>
        <v>35416807.173216134</v>
      </c>
      <c r="EV65" s="1118">
        <f t="shared" si="152"/>
        <v>35416807.173216134</v>
      </c>
      <c r="EW65" s="1118">
        <f t="shared" si="153"/>
        <v>0</v>
      </c>
      <c r="EX65" s="1118">
        <f t="shared" si="154"/>
        <v>0</v>
      </c>
      <c r="EY65" s="1119"/>
      <c r="FC65" s="1117">
        <f t="shared" si="155"/>
        <v>35416807.173216134</v>
      </c>
      <c r="FD65" s="1118">
        <f t="shared" si="156"/>
        <v>35416807.173216134</v>
      </c>
      <c r="FE65" s="1118">
        <f t="shared" si="157"/>
        <v>0</v>
      </c>
      <c r="FF65" s="1118">
        <f t="shared" si="158"/>
        <v>0</v>
      </c>
      <c r="FG65" s="1119"/>
      <c r="FK65" s="1117">
        <f t="shared" si="159"/>
        <v>35416807.173216134</v>
      </c>
      <c r="FL65" s="1118">
        <f t="shared" si="160"/>
        <v>35416807.173216134</v>
      </c>
      <c r="FM65" s="1118">
        <f t="shared" si="161"/>
        <v>0</v>
      </c>
      <c r="FN65" s="1118">
        <f t="shared" si="162"/>
        <v>0</v>
      </c>
      <c r="FO65" s="1119"/>
    </row>
    <row r="66" spans="1:171" x14ac:dyDescent="0.25">
      <c r="A66" s="913"/>
      <c r="B66" s="914" t="s">
        <v>399</v>
      </c>
      <c r="C66" s="889">
        <v>219</v>
      </c>
      <c r="D66" s="889">
        <v>108</v>
      </c>
      <c r="E66" s="182" t="str">
        <f>'Sch 1- Rate Base '!E66</f>
        <v>DIRECT</v>
      </c>
      <c r="F66" s="890"/>
      <c r="G66" s="182">
        <f>'Sch 1- Rate Base '!G66</f>
        <v>276506512.18180609</v>
      </c>
      <c r="H66" s="182">
        <f>'Sch 1- Rate Base '!H66</f>
        <v>91794315.274003834</v>
      </c>
      <c r="I66" s="182">
        <f>'Sch 1- Rate Base '!I66</f>
        <v>0</v>
      </c>
      <c r="J66" s="183">
        <f>'Sch 1- Rate Base '!J66</f>
        <v>184712196.90780222</v>
      </c>
      <c r="K66" s="904">
        <f t="shared" si="82"/>
        <v>0</v>
      </c>
      <c r="O66" s="1117">
        <f t="shared" si="83"/>
        <v>276506512.18180609</v>
      </c>
      <c r="P66" s="1118">
        <f t="shared" si="84"/>
        <v>91794315.274003834</v>
      </c>
      <c r="Q66" s="1118">
        <f t="shared" si="85"/>
        <v>0</v>
      </c>
      <c r="R66" s="1118">
        <f t="shared" si="86"/>
        <v>184712196.90780225</v>
      </c>
      <c r="S66" s="1119"/>
      <c r="W66" s="1117">
        <f t="shared" si="87"/>
        <v>276506512.18180609</v>
      </c>
      <c r="X66" s="1118">
        <f t="shared" si="88"/>
        <v>91794315.274003834</v>
      </c>
      <c r="Y66" s="1118">
        <f t="shared" si="89"/>
        <v>0</v>
      </c>
      <c r="Z66" s="1118">
        <f t="shared" si="90"/>
        <v>184712196.90780225</v>
      </c>
      <c r="AA66" s="1119"/>
      <c r="AE66" s="1117">
        <f t="shared" si="91"/>
        <v>276506512.18180609</v>
      </c>
      <c r="AF66" s="1118">
        <f t="shared" si="92"/>
        <v>91794315.274003834</v>
      </c>
      <c r="AG66" s="1118">
        <f t="shared" si="93"/>
        <v>0</v>
      </c>
      <c r="AH66" s="1118">
        <f t="shared" si="94"/>
        <v>184712196.90780225</v>
      </c>
      <c r="AI66" s="1119"/>
      <c r="AM66" s="1117">
        <f t="shared" si="95"/>
        <v>276506512.18180609</v>
      </c>
      <c r="AN66" s="1118">
        <f t="shared" si="96"/>
        <v>91794315.274003834</v>
      </c>
      <c r="AO66" s="1118">
        <f t="shared" si="97"/>
        <v>0</v>
      </c>
      <c r="AP66" s="1118">
        <f t="shared" si="98"/>
        <v>184712196.90780225</v>
      </c>
      <c r="AQ66" s="1119"/>
      <c r="AU66" s="1117">
        <f t="shared" si="99"/>
        <v>276506512.18180609</v>
      </c>
      <c r="AV66" s="1118">
        <f t="shared" si="100"/>
        <v>91794315.274003834</v>
      </c>
      <c r="AW66" s="1118">
        <f t="shared" si="101"/>
        <v>0</v>
      </c>
      <c r="AX66" s="1118">
        <f t="shared" si="102"/>
        <v>184712196.90780225</v>
      </c>
      <c r="AY66" s="1119"/>
      <c r="BC66" s="1117">
        <f t="shared" si="103"/>
        <v>276506512.18180609</v>
      </c>
      <c r="BD66" s="1118">
        <f t="shared" si="104"/>
        <v>91794315.274003834</v>
      </c>
      <c r="BE66" s="1118">
        <f t="shared" si="105"/>
        <v>0</v>
      </c>
      <c r="BF66" s="1118">
        <f t="shared" si="106"/>
        <v>184712196.90780225</v>
      </c>
      <c r="BG66" s="1119"/>
      <c r="BK66" s="1117">
        <f t="shared" si="107"/>
        <v>276506512.18180609</v>
      </c>
      <c r="BL66" s="1118">
        <f t="shared" si="108"/>
        <v>91794315.274003834</v>
      </c>
      <c r="BM66" s="1118">
        <f t="shared" si="109"/>
        <v>0</v>
      </c>
      <c r="BN66" s="1118">
        <f t="shared" si="110"/>
        <v>184712196.90780225</v>
      </c>
      <c r="BO66" s="1119"/>
      <c r="BS66" s="1117">
        <f t="shared" si="111"/>
        <v>276506512.18180609</v>
      </c>
      <c r="BT66" s="1118">
        <f t="shared" si="112"/>
        <v>91794315.274003834</v>
      </c>
      <c r="BU66" s="1118">
        <f t="shared" si="113"/>
        <v>0</v>
      </c>
      <c r="BV66" s="1118">
        <f t="shared" si="114"/>
        <v>184712196.90780225</v>
      </c>
      <c r="BW66" s="1119"/>
      <c r="CA66" s="1117">
        <f t="shared" si="115"/>
        <v>276506512.18180609</v>
      </c>
      <c r="CB66" s="1118">
        <f t="shared" si="116"/>
        <v>91794315.274003834</v>
      </c>
      <c r="CC66" s="1118">
        <f t="shared" si="117"/>
        <v>0</v>
      </c>
      <c r="CD66" s="1118">
        <f t="shared" si="118"/>
        <v>184712196.90780225</v>
      </c>
      <c r="CE66" s="1119"/>
      <c r="CI66" s="1117">
        <f t="shared" si="119"/>
        <v>276506512.18180609</v>
      </c>
      <c r="CJ66" s="1118">
        <f t="shared" si="120"/>
        <v>91794315.274003834</v>
      </c>
      <c r="CK66" s="1118">
        <f t="shared" si="121"/>
        <v>0</v>
      </c>
      <c r="CL66" s="1118">
        <f t="shared" si="122"/>
        <v>184712196.90780225</v>
      </c>
      <c r="CM66" s="1119"/>
      <c r="CQ66" s="1117">
        <f t="shared" si="123"/>
        <v>276506512.18180609</v>
      </c>
      <c r="CR66" s="1118">
        <f t="shared" si="124"/>
        <v>91794315.274003834</v>
      </c>
      <c r="CS66" s="1118">
        <f t="shared" si="125"/>
        <v>0</v>
      </c>
      <c r="CT66" s="1118">
        <f t="shared" si="126"/>
        <v>184712196.90780225</v>
      </c>
      <c r="CU66" s="1119"/>
      <c r="CY66" s="1117">
        <f t="shared" si="127"/>
        <v>276506512.18180609</v>
      </c>
      <c r="CZ66" s="1118">
        <f t="shared" si="128"/>
        <v>91794315.274003834</v>
      </c>
      <c r="DA66" s="1118">
        <f t="shared" si="129"/>
        <v>0</v>
      </c>
      <c r="DB66" s="1118">
        <f t="shared" si="130"/>
        <v>184712196.90780225</v>
      </c>
      <c r="DC66" s="1119"/>
      <c r="DG66" s="1117">
        <f t="shared" si="131"/>
        <v>276506512.18180609</v>
      </c>
      <c r="DH66" s="1118">
        <f t="shared" si="132"/>
        <v>91794315.274003834</v>
      </c>
      <c r="DI66" s="1118">
        <f t="shared" si="133"/>
        <v>0</v>
      </c>
      <c r="DJ66" s="1118">
        <f t="shared" si="134"/>
        <v>184712196.90780225</v>
      </c>
      <c r="DK66" s="1119"/>
      <c r="DO66" s="1117">
        <f t="shared" si="135"/>
        <v>276506512.18180609</v>
      </c>
      <c r="DP66" s="1118">
        <f t="shared" si="136"/>
        <v>91794315.274003834</v>
      </c>
      <c r="DQ66" s="1118">
        <f t="shared" si="137"/>
        <v>0</v>
      </c>
      <c r="DR66" s="1118">
        <f t="shared" si="138"/>
        <v>184712196.90780225</v>
      </c>
      <c r="DS66" s="1119"/>
      <c r="DW66" s="1117">
        <f t="shared" si="139"/>
        <v>276506512.18180609</v>
      </c>
      <c r="DX66" s="1118">
        <f t="shared" si="140"/>
        <v>91794315.274003834</v>
      </c>
      <c r="DY66" s="1118">
        <f t="shared" si="141"/>
        <v>0</v>
      </c>
      <c r="DZ66" s="1118">
        <f t="shared" si="142"/>
        <v>184712196.90780225</v>
      </c>
      <c r="EA66" s="1119"/>
      <c r="EE66" s="1117">
        <f t="shared" si="143"/>
        <v>276506512.18180609</v>
      </c>
      <c r="EF66" s="1118">
        <f t="shared" si="144"/>
        <v>91794315.274003834</v>
      </c>
      <c r="EG66" s="1118">
        <f t="shared" si="145"/>
        <v>0</v>
      </c>
      <c r="EH66" s="1118">
        <f t="shared" si="146"/>
        <v>184712196.90780225</v>
      </c>
      <c r="EI66" s="1119"/>
      <c r="EM66" s="1117">
        <f t="shared" si="147"/>
        <v>276506512.18180609</v>
      </c>
      <c r="EN66" s="1118">
        <f t="shared" si="148"/>
        <v>91794315.274003834</v>
      </c>
      <c r="EO66" s="1118">
        <f t="shared" si="149"/>
        <v>0</v>
      </c>
      <c r="EP66" s="1118">
        <f t="shared" si="150"/>
        <v>184712196.90780225</v>
      </c>
      <c r="EQ66" s="1119"/>
      <c r="EU66" s="1117">
        <f t="shared" si="151"/>
        <v>276506512.18180609</v>
      </c>
      <c r="EV66" s="1118">
        <f t="shared" si="152"/>
        <v>91794315.274003834</v>
      </c>
      <c r="EW66" s="1118">
        <f t="shared" si="153"/>
        <v>0</v>
      </c>
      <c r="EX66" s="1118">
        <f t="shared" si="154"/>
        <v>184712196.90780225</v>
      </c>
      <c r="EY66" s="1119"/>
      <c r="FC66" s="1117">
        <f t="shared" si="155"/>
        <v>276506512.18180609</v>
      </c>
      <c r="FD66" s="1118">
        <f t="shared" si="156"/>
        <v>91794315.274003834</v>
      </c>
      <c r="FE66" s="1118">
        <f t="shared" si="157"/>
        <v>0</v>
      </c>
      <c r="FF66" s="1118">
        <f t="shared" si="158"/>
        <v>184712196.90780225</v>
      </c>
      <c r="FG66" s="1119"/>
      <c r="FK66" s="1117">
        <f t="shared" si="159"/>
        <v>276506512.18180609</v>
      </c>
      <c r="FL66" s="1118">
        <f t="shared" si="160"/>
        <v>91794315.274003834</v>
      </c>
      <c r="FM66" s="1118">
        <f t="shared" si="161"/>
        <v>0</v>
      </c>
      <c r="FN66" s="1118">
        <f t="shared" si="162"/>
        <v>184712196.90780225</v>
      </c>
      <c r="FO66" s="1119"/>
    </row>
    <row r="67" spans="1:171" x14ac:dyDescent="0.25">
      <c r="A67" s="913"/>
      <c r="B67" s="914" t="s">
        <v>253</v>
      </c>
      <c r="C67" s="889">
        <v>219</v>
      </c>
      <c r="D67" s="889">
        <v>108</v>
      </c>
      <c r="E67" s="182" t="str">
        <f>'Sch 1- Rate Base '!E67</f>
        <v>PROD</v>
      </c>
      <c r="F67" s="890"/>
      <c r="G67" s="182">
        <f>'Sch 1- Rate Base '!G67</f>
        <v>0</v>
      </c>
      <c r="H67" s="182">
        <f>'Sch 1- Rate Base '!H67</f>
        <v>0</v>
      </c>
      <c r="I67" s="182">
        <f>'Sch 1- Rate Base '!I67</f>
        <v>0</v>
      </c>
      <c r="J67" s="183">
        <f>'Sch 1- Rate Base '!J67</f>
        <v>0</v>
      </c>
      <c r="K67" s="904">
        <f t="shared" si="82"/>
        <v>1</v>
      </c>
      <c r="O67" s="1117">
        <f t="shared" si="83"/>
        <v>0</v>
      </c>
      <c r="P67" s="1118">
        <f t="shared" si="84"/>
        <v>0</v>
      </c>
      <c r="Q67" s="1118">
        <f t="shared" si="85"/>
        <v>0</v>
      </c>
      <c r="R67" s="1118">
        <f t="shared" si="86"/>
        <v>0</v>
      </c>
      <c r="S67" s="1119"/>
      <c r="W67" s="1117">
        <f t="shared" si="87"/>
        <v>0</v>
      </c>
      <c r="X67" s="1118">
        <f t="shared" si="88"/>
        <v>0</v>
      </c>
      <c r="Y67" s="1118">
        <f t="shared" si="89"/>
        <v>0</v>
      </c>
      <c r="Z67" s="1118">
        <f t="shared" si="90"/>
        <v>0</v>
      </c>
      <c r="AA67" s="1119"/>
      <c r="AE67" s="1117">
        <f t="shared" si="91"/>
        <v>0</v>
      </c>
      <c r="AF67" s="1118">
        <f t="shared" si="92"/>
        <v>0</v>
      </c>
      <c r="AG67" s="1118">
        <f t="shared" si="93"/>
        <v>0</v>
      </c>
      <c r="AH67" s="1118">
        <f t="shared" si="94"/>
        <v>0</v>
      </c>
      <c r="AI67" s="1119"/>
      <c r="AM67" s="1117">
        <f t="shared" si="95"/>
        <v>0</v>
      </c>
      <c r="AN67" s="1118">
        <f t="shared" si="96"/>
        <v>0</v>
      </c>
      <c r="AO67" s="1118">
        <f t="shared" si="97"/>
        <v>0</v>
      </c>
      <c r="AP67" s="1118">
        <f t="shared" si="98"/>
        <v>0</v>
      </c>
      <c r="AQ67" s="1119"/>
      <c r="AU67" s="1117">
        <f t="shared" si="99"/>
        <v>0</v>
      </c>
      <c r="AV67" s="1118">
        <f t="shared" si="100"/>
        <v>0</v>
      </c>
      <c r="AW67" s="1118">
        <f t="shared" si="101"/>
        <v>0</v>
      </c>
      <c r="AX67" s="1118">
        <f t="shared" si="102"/>
        <v>0</v>
      </c>
      <c r="AY67" s="1119"/>
      <c r="BC67" s="1117">
        <f t="shared" si="103"/>
        <v>0</v>
      </c>
      <c r="BD67" s="1118">
        <f t="shared" si="104"/>
        <v>0</v>
      </c>
      <c r="BE67" s="1118">
        <f t="shared" si="105"/>
        <v>0</v>
      </c>
      <c r="BF67" s="1118">
        <f t="shared" si="106"/>
        <v>0</v>
      </c>
      <c r="BG67" s="1119"/>
      <c r="BK67" s="1117">
        <f t="shared" si="107"/>
        <v>0</v>
      </c>
      <c r="BL67" s="1118">
        <f t="shared" si="108"/>
        <v>0</v>
      </c>
      <c r="BM67" s="1118">
        <f t="shared" si="109"/>
        <v>0</v>
      </c>
      <c r="BN67" s="1118">
        <f t="shared" si="110"/>
        <v>0</v>
      </c>
      <c r="BO67" s="1119"/>
      <c r="BS67" s="1117">
        <f t="shared" si="111"/>
        <v>0</v>
      </c>
      <c r="BT67" s="1118">
        <f t="shared" si="112"/>
        <v>0</v>
      </c>
      <c r="BU67" s="1118">
        <f t="shared" si="113"/>
        <v>0</v>
      </c>
      <c r="BV67" s="1118">
        <f t="shared" si="114"/>
        <v>0</v>
      </c>
      <c r="BW67" s="1119"/>
      <c r="CA67" s="1117">
        <f t="shared" si="115"/>
        <v>0</v>
      </c>
      <c r="CB67" s="1118">
        <f t="shared" si="116"/>
        <v>0</v>
      </c>
      <c r="CC67" s="1118">
        <f t="shared" si="117"/>
        <v>0</v>
      </c>
      <c r="CD67" s="1118">
        <f t="shared" si="118"/>
        <v>0</v>
      </c>
      <c r="CE67" s="1119"/>
      <c r="CI67" s="1117">
        <f t="shared" si="119"/>
        <v>0</v>
      </c>
      <c r="CJ67" s="1118">
        <f t="shared" si="120"/>
        <v>0</v>
      </c>
      <c r="CK67" s="1118">
        <f t="shared" si="121"/>
        <v>0</v>
      </c>
      <c r="CL67" s="1118">
        <f t="shared" si="122"/>
        <v>0</v>
      </c>
      <c r="CM67" s="1119"/>
      <c r="CQ67" s="1117">
        <f t="shared" si="123"/>
        <v>0</v>
      </c>
      <c r="CR67" s="1118">
        <f t="shared" si="124"/>
        <v>0</v>
      </c>
      <c r="CS67" s="1118">
        <f t="shared" si="125"/>
        <v>0</v>
      </c>
      <c r="CT67" s="1118">
        <f t="shared" si="126"/>
        <v>0</v>
      </c>
      <c r="CU67" s="1119"/>
      <c r="CY67" s="1117">
        <f t="shared" si="127"/>
        <v>0</v>
      </c>
      <c r="CZ67" s="1118">
        <f t="shared" si="128"/>
        <v>0</v>
      </c>
      <c r="DA67" s="1118">
        <f t="shared" si="129"/>
        <v>0</v>
      </c>
      <c r="DB67" s="1118">
        <f t="shared" si="130"/>
        <v>0</v>
      </c>
      <c r="DC67" s="1119"/>
      <c r="DG67" s="1117">
        <f t="shared" si="131"/>
        <v>0</v>
      </c>
      <c r="DH67" s="1118">
        <f t="shared" si="132"/>
        <v>0</v>
      </c>
      <c r="DI67" s="1118">
        <f t="shared" si="133"/>
        <v>0</v>
      </c>
      <c r="DJ67" s="1118">
        <f t="shared" si="134"/>
        <v>0</v>
      </c>
      <c r="DK67" s="1119"/>
      <c r="DO67" s="1117">
        <f t="shared" si="135"/>
        <v>0</v>
      </c>
      <c r="DP67" s="1118">
        <f t="shared" si="136"/>
        <v>0</v>
      </c>
      <c r="DQ67" s="1118">
        <f t="shared" si="137"/>
        <v>0</v>
      </c>
      <c r="DR67" s="1118">
        <f t="shared" si="138"/>
        <v>0</v>
      </c>
      <c r="DS67" s="1119"/>
      <c r="DW67" s="1117">
        <f t="shared" si="139"/>
        <v>0</v>
      </c>
      <c r="DX67" s="1118">
        <f t="shared" si="140"/>
        <v>0</v>
      </c>
      <c r="DY67" s="1118">
        <f t="shared" si="141"/>
        <v>0</v>
      </c>
      <c r="DZ67" s="1118">
        <f t="shared" si="142"/>
        <v>0</v>
      </c>
      <c r="EA67" s="1119"/>
      <c r="EE67" s="1117">
        <f t="shared" si="143"/>
        <v>0</v>
      </c>
      <c r="EF67" s="1118">
        <f t="shared" si="144"/>
        <v>0</v>
      </c>
      <c r="EG67" s="1118">
        <f t="shared" si="145"/>
        <v>0</v>
      </c>
      <c r="EH67" s="1118">
        <f t="shared" si="146"/>
        <v>0</v>
      </c>
      <c r="EI67" s="1119"/>
      <c r="EM67" s="1117">
        <f t="shared" si="147"/>
        <v>0</v>
      </c>
      <c r="EN67" s="1118">
        <f t="shared" si="148"/>
        <v>0</v>
      </c>
      <c r="EO67" s="1118">
        <f t="shared" si="149"/>
        <v>0</v>
      </c>
      <c r="EP67" s="1118">
        <f t="shared" si="150"/>
        <v>0</v>
      </c>
      <c r="EQ67" s="1119"/>
      <c r="EU67" s="1117">
        <f t="shared" si="151"/>
        <v>0</v>
      </c>
      <c r="EV67" s="1118">
        <f t="shared" si="152"/>
        <v>0</v>
      </c>
      <c r="EW67" s="1118">
        <f t="shared" si="153"/>
        <v>0</v>
      </c>
      <c r="EX67" s="1118">
        <f t="shared" si="154"/>
        <v>0</v>
      </c>
      <c r="EY67" s="1119"/>
      <c r="FC67" s="1117">
        <f t="shared" si="155"/>
        <v>0</v>
      </c>
      <c r="FD67" s="1118">
        <f t="shared" si="156"/>
        <v>0</v>
      </c>
      <c r="FE67" s="1118">
        <f t="shared" si="157"/>
        <v>0</v>
      </c>
      <c r="FF67" s="1118">
        <f t="shared" si="158"/>
        <v>0</v>
      </c>
      <c r="FG67" s="1119"/>
      <c r="FK67" s="1117">
        <f t="shared" si="159"/>
        <v>0</v>
      </c>
      <c r="FL67" s="1118">
        <f t="shared" si="160"/>
        <v>0</v>
      </c>
      <c r="FM67" s="1118">
        <f t="shared" si="161"/>
        <v>0</v>
      </c>
      <c r="FN67" s="1118">
        <f t="shared" si="162"/>
        <v>0</v>
      </c>
      <c r="FO67" s="1119"/>
    </row>
    <row r="68" spans="1:171" x14ac:dyDescent="0.25">
      <c r="A68" s="913"/>
      <c r="B68" s="914" t="s">
        <v>28</v>
      </c>
      <c r="C68" s="889">
        <v>219</v>
      </c>
      <c r="D68" s="889">
        <v>108</v>
      </c>
      <c r="E68" s="182" t="str">
        <f>'Sch 1- Rate Base '!E68</f>
        <v>DIST</v>
      </c>
      <c r="F68" s="890"/>
      <c r="G68" s="182">
        <f>'Sch 1- Rate Base '!G68</f>
        <v>0</v>
      </c>
      <c r="H68" s="182">
        <f>'Sch 1- Rate Base '!H68</f>
        <v>0</v>
      </c>
      <c r="I68" s="182">
        <f>'Sch 1- Rate Base '!I68</f>
        <v>0</v>
      </c>
      <c r="J68" s="183">
        <f>'Sch 1- Rate Base '!J68</f>
        <v>0</v>
      </c>
      <c r="K68" s="904">
        <f t="shared" si="82"/>
        <v>1</v>
      </c>
      <c r="O68" s="1117">
        <f t="shared" si="83"/>
        <v>0</v>
      </c>
      <c r="P68" s="1118">
        <f t="shared" si="84"/>
        <v>0</v>
      </c>
      <c r="Q68" s="1118">
        <f t="shared" si="85"/>
        <v>0</v>
      </c>
      <c r="R68" s="1118">
        <f t="shared" si="86"/>
        <v>0</v>
      </c>
      <c r="S68" s="1119"/>
      <c r="W68" s="1117">
        <f t="shared" si="87"/>
        <v>0</v>
      </c>
      <c r="X68" s="1118">
        <f t="shared" si="88"/>
        <v>0</v>
      </c>
      <c r="Y68" s="1118">
        <f t="shared" si="89"/>
        <v>0</v>
      </c>
      <c r="Z68" s="1118">
        <f t="shared" si="90"/>
        <v>0</v>
      </c>
      <c r="AA68" s="1119"/>
      <c r="AE68" s="1117">
        <f t="shared" si="91"/>
        <v>0</v>
      </c>
      <c r="AF68" s="1118">
        <f t="shared" si="92"/>
        <v>0</v>
      </c>
      <c r="AG68" s="1118">
        <f t="shared" si="93"/>
        <v>0</v>
      </c>
      <c r="AH68" s="1118">
        <f t="shared" si="94"/>
        <v>0</v>
      </c>
      <c r="AI68" s="1119"/>
      <c r="AM68" s="1117">
        <f t="shared" si="95"/>
        <v>0</v>
      </c>
      <c r="AN68" s="1118">
        <f t="shared" si="96"/>
        <v>0</v>
      </c>
      <c r="AO68" s="1118">
        <f t="shared" si="97"/>
        <v>0</v>
      </c>
      <c r="AP68" s="1118">
        <f t="shared" si="98"/>
        <v>0</v>
      </c>
      <c r="AQ68" s="1119"/>
      <c r="AU68" s="1117">
        <f t="shared" si="99"/>
        <v>0</v>
      </c>
      <c r="AV68" s="1118">
        <f t="shared" si="100"/>
        <v>0</v>
      </c>
      <c r="AW68" s="1118">
        <f t="shared" si="101"/>
        <v>0</v>
      </c>
      <c r="AX68" s="1118">
        <f t="shared" si="102"/>
        <v>0</v>
      </c>
      <c r="AY68" s="1119"/>
      <c r="BC68" s="1117">
        <f t="shared" si="103"/>
        <v>0</v>
      </c>
      <c r="BD68" s="1118">
        <f t="shared" si="104"/>
        <v>0</v>
      </c>
      <c r="BE68" s="1118">
        <f t="shared" si="105"/>
        <v>0</v>
      </c>
      <c r="BF68" s="1118">
        <f t="shared" si="106"/>
        <v>0</v>
      </c>
      <c r="BG68" s="1119"/>
      <c r="BK68" s="1117">
        <f t="shared" si="107"/>
        <v>0</v>
      </c>
      <c r="BL68" s="1118">
        <f t="shared" si="108"/>
        <v>0</v>
      </c>
      <c r="BM68" s="1118">
        <f t="shared" si="109"/>
        <v>0</v>
      </c>
      <c r="BN68" s="1118">
        <f t="shared" si="110"/>
        <v>0</v>
      </c>
      <c r="BO68" s="1119"/>
      <c r="BS68" s="1117">
        <f t="shared" si="111"/>
        <v>0</v>
      </c>
      <c r="BT68" s="1118">
        <f t="shared" si="112"/>
        <v>0</v>
      </c>
      <c r="BU68" s="1118">
        <f t="shared" si="113"/>
        <v>0</v>
      </c>
      <c r="BV68" s="1118">
        <f t="shared" si="114"/>
        <v>0</v>
      </c>
      <c r="BW68" s="1119"/>
      <c r="CA68" s="1117">
        <f t="shared" si="115"/>
        <v>0</v>
      </c>
      <c r="CB68" s="1118">
        <f t="shared" si="116"/>
        <v>0</v>
      </c>
      <c r="CC68" s="1118">
        <f t="shared" si="117"/>
        <v>0</v>
      </c>
      <c r="CD68" s="1118">
        <f t="shared" si="118"/>
        <v>0</v>
      </c>
      <c r="CE68" s="1119"/>
      <c r="CI68" s="1117">
        <f t="shared" si="119"/>
        <v>0</v>
      </c>
      <c r="CJ68" s="1118">
        <f t="shared" si="120"/>
        <v>0</v>
      </c>
      <c r="CK68" s="1118">
        <f t="shared" si="121"/>
        <v>0</v>
      </c>
      <c r="CL68" s="1118">
        <f t="shared" si="122"/>
        <v>0</v>
      </c>
      <c r="CM68" s="1119"/>
      <c r="CQ68" s="1117">
        <f t="shared" si="123"/>
        <v>0</v>
      </c>
      <c r="CR68" s="1118">
        <f t="shared" si="124"/>
        <v>0</v>
      </c>
      <c r="CS68" s="1118">
        <f t="shared" si="125"/>
        <v>0</v>
      </c>
      <c r="CT68" s="1118">
        <f t="shared" si="126"/>
        <v>0</v>
      </c>
      <c r="CU68" s="1119"/>
      <c r="CY68" s="1117">
        <f t="shared" si="127"/>
        <v>0</v>
      </c>
      <c r="CZ68" s="1118">
        <f t="shared" si="128"/>
        <v>0</v>
      </c>
      <c r="DA68" s="1118">
        <f t="shared" si="129"/>
        <v>0</v>
      </c>
      <c r="DB68" s="1118">
        <f t="shared" si="130"/>
        <v>0</v>
      </c>
      <c r="DC68" s="1119"/>
      <c r="DG68" s="1117">
        <f t="shared" si="131"/>
        <v>0</v>
      </c>
      <c r="DH68" s="1118">
        <f t="shared" si="132"/>
        <v>0</v>
      </c>
      <c r="DI68" s="1118">
        <f t="shared" si="133"/>
        <v>0</v>
      </c>
      <c r="DJ68" s="1118">
        <f t="shared" si="134"/>
        <v>0</v>
      </c>
      <c r="DK68" s="1119"/>
      <c r="DO68" s="1117">
        <f t="shared" si="135"/>
        <v>0</v>
      </c>
      <c r="DP68" s="1118">
        <f t="shared" si="136"/>
        <v>0</v>
      </c>
      <c r="DQ68" s="1118">
        <f t="shared" si="137"/>
        <v>0</v>
      </c>
      <c r="DR68" s="1118">
        <f t="shared" si="138"/>
        <v>0</v>
      </c>
      <c r="DS68" s="1119"/>
      <c r="DW68" s="1117">
        <f t="shared" si="139"/>
        <v>0</v>
      </c>
      <c r="DX68" s="1118">
        <f t="shared" si="140"/>
        <v>0</v>
      </c>
      <c r="DY68" s="1118">
        <f t="shared" si="141"/>
        <v>0</v>
      </c>
      <c r="DZ68" s="1118">
        <f t="shared" si="142"/>
        <v>0</v>
      </c>
      <c r="EA68" s="1119"/>
      <c r="EE68" s="1117">
        <f t="shared" si="143"/>
        <v>0</v>
      </c>
      <c r="EF68" s="1118">
        <f t="shared" si="144"/>
        <v>0</v>
      </c>
      <c r="EG68" s="1118">
        <f t="shared" si="145"/>
        <v>0</v>
      </c>
      <c r="EH68" s="1118">
        <f t="shared" si="146"/>
        <v>0</v>
      </c>
      <c r="EI68" s="1119"/>
      <c r="EM68" s="1117">
        <f t="shared" si="147"/>
        <v>0</v>
      </c>
      <c r="EN68" s="1118">
        <f t="shared" si="148"/>
        <v>0</v>
      </c>
      <c r="EO68" s="1118">
        <f t="shared" si="149"/>
        <v>0</v>
      </c>
      <c r="EP68" s="1118">
        <f t="shared" si="150"/>
        <v>0</v>
      </c>
      <c r="EQ68" s="1119"/>
      <c r="EU68" s="1117">
        <f t="shared" si="151"/>
        <v>0</v>
      </c>
      <c r="EV68" s="1118">
        <f t="shared" si="152"/>
        <v>0</v>
      </c>
      <c r="EW68" s="1118">
        <f t="shared" si="153"/>
        <v>0</v>
      </c>
      <c r="EX68" s="1118">
        <f t="shared" si="154"/>
        <v>0</v>
      </c>
      <c r="EY68" s="1119"/>
      <c r="FC68" s="1117">
        <f t="shared" si="155"/>
        <v>0</v>
      </c>
      <c r="FD68" s="1118">
        <f t="shared" si="156"/>
        <v>0</v>
      </c>
      <c r="FE68" s="1118">
        <f t="shared" si="157"/>
        <v>0</v>
      </c>
      <c r="FF68" s="1118">
        <f t="shared" si="158"/>
        <v>0</v>
      </c>
      <c r="FG68" s="1119"/>
      <c r="FK68" s="1117">
        <f t="shared" si="159"/>
        <v>0</v>
      </c>
      <c r="FL68" s="1118">
        <f t="shared" si="160"/>
        <v>0</v>
      </c>
      <c r="FM68" s="1118">
        <f t="shared" si="161"/>
        <v>0</v>
      </c>
      <c r="FN68" s="1118">
        <f t="shared" si="162"/>
        <v>0</v>
      </c>
      <c r="FO68" s="1119"/>
    </row>
    <row r="69" spans="1:171" x14ac:dyDescent="0.25">
      <c r="A69" s="913"/>
      <c r="B69" s="914" t="s">
        <v>29</v>
      </c>
      <c r="C69" s="889">
        <v>219</v>
      </c>
      <c r="D69" s="889">
        <v>108</v>
      </c>
      <c r="E69" s="182" t="str">
        <f>'Sch 1- Rate Base '!E69</f>
        <v>DIRECT</v>
      </c>
      <c r="F69" s="890"/>
      <c r="G69" s="182">
        <f>'Sch 1- Rate Base '!G69</f>
        <v>0</v>
      </c>
      <c r="H69" s="182">
        <f>'Sch 1- Rate Base '!H69</f>
        <v>0</v>
      </c>
      <c r="I69" s="182">
        <f>'Sch 1- Rate Base '!I69</f>
        <v>0</v>
      </c>
      <c r="J69" s="183">
        <f>'Sch 1- Rate Base '!J69</f>
        <v>0</v>
      </c>
      <c r="K69" s="904">
        <f t="shared" si="82"/>
        <v>0</v>
      </c>
      <c r="O69" s="1117">
        <f t="shared" si="83"/>
        <v>0</v>
      </c>
      <c r="P69" s="1118">
        <f t="shared" si="84"/>
        <v>0</v>
      </c>
      <c r="Q69" s="1118">
        <f t="shared" si="85"/>
        <v>0</v>
      </c>
      <c r="R69" s="1118">
        <f t="shared" si="86"/>
        <v>0</v>
      </c>
      <c r="S69" s="1119"/>
      <c r="W69" s="1117">
        <f t="shared" si="87"/>
        <v>0</v>
      </c>
      <c r="X69" s="1118">
        <f t="shared" si="88"/>
        <v>0</v>
      </c>
      <c r="Y69" s="1118">
        <f t="shared" si="89"/>
        <v>0</v>
      </c>
      <c r="Z69" s="1118">
        <f t="shared" si="90"/>
        <v>0</v>
      </c>
      <c r="AA69" s="1119"/>
      <c r="AE69" s="1117">
        <f t="shared" si="91"/>
        <v>0</v>
      </c>
      <c r="AF69" s="1118">
        <f t="shared" si="92"/>
        <v>0</v>
      </c>
      <c r="AG69" s="1118">
        <f t="shared" si="93"/>
        <v>0</v>
      </c>
      <c r="AH69" s="1118">
        <f t="shared" si="94"/>
        <v>0</v>
      </c>
      <c r="AI69" s="1119"/>
      <c r="AM69" s="1117">
        <f t="shared" si="95"/>
        <v>0</v>
      </c>
      <c r="AN69" s="1118">
        <f t="shared" si="96"/>
        <v>0</v>
      </c>
      <c r="AO69" s="1118">
        <f t="shared" si="97"/>
        <v>0</v>
      </c>
      <c r="AP69" s="1118">
        <f t="shared" si="98"/>
        <v>0</v>
      </c>
      <c r="AQ69" s="1119"/>
      <c r="AU69" s="1117">
        <f t="shared" si="99"/>
        <v>0</v>
      </c>
      <c r="AV69" s="1118">
        <f t="shared" si="100"/>
        <v>0</v>
      </c>
      <c r="AW69" s="1118">
        <f t="shared" si="101"/>
        <v>0</v>
      </c>
      <c r="AX69" s="1118">
        <f t="shared" si="102"/>
        <v>0</v>
      </c>
      <c r="AY69" s="1119"/>
      <c r="BC69" s="1117">
        <f t="shared" si="103"/>
        <v>0</v>
      </c>
      <c r="BD69" s="1118">
        <f t="shared" si="104"/>
        <v>0</v>
      </c>
      <c r="BE69" s="1118">
        <f t="shared" si="105"/>
        <v>0</v>
      </c>
      <c r="BF69" s="1118">
        <f t="shared" si="106"/>
        <v>0</v>
      </c>
      <c r="BG69" s="1119"/>
      <c r="BK69" s="1117">
        <f t="shared" si="107"/>
        <v>0</v>
      </c>
      <c r="BL69" s="1118">
        <f t="shared" si="108"/>
        <v>0</v>
      </c>
      <c r="BM69" s="1118">
        <f t="shared" si="109"/>
        <v>0</v>
      </c>
      <c r="BN69" s="1118">
        <f t="shared" si="110"/>
        <v>0</v>
      </c>
      <c r="BO69" s="1119"/>
      <c r="BS69" s="1117">
        <f t="shared" si="111"/>
        <v>0</v>
      </c>
      <c r="BT69" s="1118">
        <f t="shared" si="112"/>
        <v>0</v>
      </c>
      <c r="BU69" s="1118">
        <f t="shared" si="113"/>
        <v>0</v>
      </c>
      <c r="BV69" s="1118">
        <f t="shared" si="114"/>
        <v>0</v>
      </c>
      <c r="BW69" s="1119"/>
      <c r="CA69" s="1117">
        <f t="shared" si="115"/>
        <v>0</v>
      </c>
      <c r="CB69" s="1118">
        <f t="shared" si="116"/>
        <v>0</v>
      </c>
      <c r="CC69" s="1118">
        <f t="shared" si="117"/>
        <v>0</v>
      </c>
      <c r="CD69" s="1118">
        <f t="shared" si="118"/>
        <v>0</v>
      </c>
      <c r="CE69" s="1119"/>
      <c r="CI69" s="1117">
        <f t="shared" si="119"/>
        <v>0</v>
      </c>
      <c r="CJ69" s="1118">
        <f t="shared" si="120"/>
        <v>0</v>
      </c>
      <c r="CK69" s="1118">
        <f t="shared" si="121"/>
        <v>0</v>
      </c>
      <c r="CL69" s="1118">
        <f t="shared" si="122"/>
        <v>0</v>
      </c>
      <c r="CM69" s="1119"/>
      <c r="CQ69" s="1117">
        <f t="shared" si="123"/>
        <v>0</v>
      </c>
      <c r="CR69" s="1118">
        <f t="shared" si="124"/>
        <v>0</v>
      </c>
      <c r="CS69" s="1118">
        <f t="shared" si="125"/>
        <v>0</v>
      </c>
      <c r="CT69" s="1118">
        <f t="shared" si="126"/>
        <v>0</v>
      </c>
      <c r="CU69" s="1119"/>
      <c r="CY69" s="1117">
        <f t="shared" si="127"/>
        <v>0</v>
      </c>
      <c r="CZ69" s="1118">
        <f t="shared" si="128"/>
        <v>0</v>
      </c>
      <c r="DA69" s="1118">
        <f t="shared" si="129"/>
        <v>0</v>
      </c>
      <c r="DB69" s="1118">
        <f t="shared" si="130"/>
        <v>0</v>
      </c>
      <c r="DC69" s="1119"/>
      <c r="DG69" s="1117">
        <f t="shared" si="131"/>
        <v>0</v>
      </c>
      <c r="DH69" s="1118">
        <f t="shared" si="132"/>
        <v>0</v>
      </c>
      <c r="DI69" s="1118">
        <f t="shared" si="133"/>
        <v>0</v>
      </c>
      <c r="DJ69" s="1118">
        <f t="shared" si="134"/>
        <v>0</v>
      </c>
      <c r="DK69" s="1119"/>
      <c r="DO69" s="1117">
        <f t="shared" si="135"/>
        <v>0</v>
      </c>
      <c r="DP69" s="1118">
        <f t="shared" si="136"/>
        <v>0</v>
      </c>
      <c r="DQ69" s="1118">
        <f t="shared" si="137"/>
        <v>0</v>
      </c>
      <c r="DR69" s="1118">
        <f t="shared" si="138"/>
        <v>0</v>
      </c>
      <c r="DS69" s="1119"/>
      <c r="DW69" s="1117">
        <f t="shared" si="139"/>
        <v>0</v>
      </c>
      <c r="DX69" s="1118">
        <f t="shared" si="140"/>
        <v>0</v>
      </c>
      <c r="DY69" s="1118">
        <f t="shared" si="141"/>
        <v>0</v>
      </c>
      <c r="DZ69" s="1118">
        <f t="shared" si="142"/>
        <v>0</v>
      </c>
      <c r="EA69" s="1119"/>
      <c r="EE69" s="1117">
        <f t="shared" si="143"/>
        <v>0</v>
      </c>
      <c r="EF69" s="1118">
        <f t="shared" si="144"/>
        <v>0</v>
      </c>
      <c r="EG69" s="1118">
        <f t="shared" si="145"/>
        <v>0</v>
      </c>
      <c r="EH69" s="1118">
        <f t="shared" si="146"/>
        <v>0</v>
      </c>
      <c r="EI69" s="1119"/>
      <c r="EM69" s="1117">
        <f t="shared" si="147"/>
        <v>0</v>
      </c>
      <c r="EN69" s="1118">
        <f t="shared" si="148"/>
        <v>0</v>
      </c>
      <c r="EO69" s="1118">
        <f t="shared" si="149"/>
        <v>0</v>
      </c>
      <c r="EP69" s="1118">
        <f t="shared" si="150"/>
        <v>0</v>
      </c>
      <c r="EQ69" s="1119"/>
      <c r="EU69" s="1117">
        <f t="shared" si="151"/>
        <v>0</v>
      </c>
      <c r="EV69" s="1118">
        <f t="shared" si="152"/>
        <v>0</v>
      </c>
      <c r="EW69" s="1118">
        <f t="shared" si="153"/>
        <v>0</v>
      </c>
      <c r="EX69" s="1118">
        <f t="shared" si="154"/>
        <v>0</v>
      </c>
      <c r="EY69" s="1119"/>
      <c r="FC69" s="1117">
        <f t="shared" si="155"/>
        <v>0</v>
      </c>
      <c r="FD69" s="1118">
        <f t="shared" si="156"/>
        <v>0</v>
      </c>
      <c r="FE69" s="1118">
        <f t="shared" si="157"/>
        <v>0</v>
      </c>
      <c r="FF69" s="1118">
        <f t="shared" si="158"/>
        <v>0</v>
      </c>
      <c r="FG69" s="1119"/>
      <c r="FK69" s="1117">
        <f t="shared" si="159"/>
        <v>0</v>
      </c>
      <c r="FL69" s="1118">
        <f t="shared" si="160"/>
        <v>0</v>
      </c>
      <c r="FM69" s="1118">
        <f t="shared" si="161"/>
        <v>0</v>
      </c>
      <c r="FN69" s="1118">
        <f t="shared" si="162"/>
        <v>0</v>
      </c>
      <c r="FO69" s="1119"/>
    </row>
    <row r="70" spans="1:171" x14ac:dyDescent="0.25">
      <c r="A70" s="913"/>
      <c r="B70" s="914" t="s">
        <v>162</v>
      </c>
      <c r="C70" s="889" t="s">
        <v>69</v>
      </c>
      <c r="D70" s="889">
        <v>108</v>
      </c>
      <c r="E70" s="182" t="str">
        <f>'Sch 1- Rate Base '!E70</f>
        <v>DIRECT</v>
      </c>
      <c r="F70" s="890"/>
      <c r="G70" s="182">
        <f>'Sch 1- Rate Base '!G70</f>
        <v>0</v>
      </c>
      <c r="H70" s="182">
        <f>'Sch 1- Rate Base '!H70</f>
        <v>0</v>
      </c>
      <c r="I70" s="182">
        <f>'Sch 1- Rate Base '!I70</f>
        <v>0</v>
      </c>
      <c r="J70" s="183">
        <f>'Sch 1- Rate Base '!J70</f>
        <v>0</v>
      </c>
      <c r="K70" s="904">
        <f t="shared" si="82"/>
        <v>0</v>
      </c>
      <c r="O70" s="1117">
        <f t="shared" si="83"/>
        <v>0</v>
      </c>
      <c r="P70" s="1118">
        <f t="shared" si="84"/>
        <v>0</v>
      </c>
      <c r="Q70" s="1118">
        <f t="shared" si="85"/>
        <v>0</v>
      </c>
      <c r="R70" s="1118">
        <f t="shared" si="86"/>
        <v>0</v>
      </c>
      <c r="S70" s="1119"/>
      <c r="W70" s="1117">
        <f t="shared" si="87"/>
        <v>0</v>
      </c>
      <c r="X70" s="1118">
        <f t="shared" si="88"/>
        <v>0</v>
      </c>
      <c r="Y70" s="1118">
        <f t="shared" si="89"/>
        <v>0</v>
      </c>
      <c r="Z70" s="1118">
        <f t="shared" si="90"/>
        <v>0</v>
      </c>
      <c r="AA70" s="1119"/>
      <c r="AE70" s="1117">
        <f t="shared" si="91"/>
        <v>0</v>
      </c>
      <c r="AF70" s="1118">
        <f t="shared" si="92"/>
        <v>0</v>
      </c>
      <c r="AG70" s="1118">
        <f t="shared" si="93"/>
        <v>0</v>
      </c>
      <c r="AH70" s="1118">
        <f t="shared" si="94"/>
        <v>0</v>
      </c>
      <c r="AI70" s="1119"/>
      <c r="AM70" s="1117">
        <f t="shared" si="95"/>
        <v>0</v>
      </c>
      <c r="AN70" s="1118">
        <f t="shared" si="96"/>
        <v>0</v>
      </c>
      <c r="AO70" s="1118">
        <f t="shared" si="97"/>
        <v>0</v>
      </c>
      <c r="AP70" s="1118">
        <f t="shared" si="98"/>
        <v>0</v>
      </c>
      <c r="AQ70" s="1119"/>
      <c r="AU70" s="1117">
        <f t="shared" si="99"/>
        <v>0</v>
      </c>
      <c r="AV70" s="1118">
        <f t="shared" si="100"/>
        <v>0</v>
      </c>
      <c r="AW70" s="1118">
        <f t="shared" si="101"/>
        <v>0</v>
      </c>
      <c r="AX70" s="1118">
        <f t="shared" si="102"/>
        <v>0</v>
      </c>
      <c r="AY70" s="1119"/>
      <c r="BC70" s="1117">
        <f t="shared" si="103"/>
        <v>0</v>
      </c>
      <c r="BD70" s="1118">
        <f t="shared" si="104"/>
        <v>0</v>
      </c>
      <c r="BE70" s="1118">
        <f t="shared" si="105"/>
        <v>0</v>
      </c>
      <c r="BF70" s="1118">
        <f t="shared" si="106"/>
        <v>0</v>
      </c>
      <c r="BG70" s="1119"/>
      <c r="BK70" s="1117">
        <f t="shared" si="107"/>
        <v>0</v>
      </c>
      <c r="BL70" s="1118">
        <f t="shared" si="108"/>
        <v>0</v>
      </c>
      <c r="BM70" s="1118">
        <f t="shared" si="109"/>
        <v>0</v>
      </c>
      <c r="BN70" s="1118">
        <f t="shared" si="110"/>
        <v>0</v>
      </c>
      <c r="BO70" s="1119"/>
      <c r="BS70" s="1117">
        <f t="shared" si="111"/>
        <v>0</v>
      </c>
      <c r="BT70" s="1118">
        <f t="shared" si="112"/>
        <v>0</v>
      </c>
      <c r="BU70" s="1118">
        <f t="shared" si="113"/>
        <v>0</v>
      </c>
      <c r="BV70" s="1118">
        <f t="shared" si="114"/>
        <v>0</v>
      </c>
      <c r="BW70" s="1119"/>
      <c r="CA70" s="1117">
        <f t="shared" si="115"/>
        <v>0</v>
      </c>
      <c r="CB70" s="1118">
        <f t="shared" si="116"/>
        <v>0</v>
      </c>
      <c r="CC70" s="1118">
        <f t="shared" si="117"/>
        <v>0</v>
      </c>
      <c r="CD70" s="1118">
        <f t="shared" si="118"/>
        <v>0</v>
      </c>
      <c r="CE70" s="1119"/>
      <c r="CI70" s="1117">
        <f t="shared" si="119"/>
        <v>0</v>
      </c>
      <c r="CJ70" s="1118">
        <f t="shared" si="120"/>
        <v>0</v>
      </c>
      <c r="CK70" s="1118">
        <f t="shared" si="121"/>
        <v>0</v>
      </c>
      <c r="CL70" s="1118">
        <f t="shared" si="122"/>
        <v>0</v>
      </c>
      <c r="CM70" s="1119"/>
      <c r="CQ70" s="1117">
        <f t="shared" si="123"/>
        <v>0</v>
      </c>
      <c r="CR70" s="1118">
        <f t="shared" si="124"/>
        <v>0</v>
      </c>
      <c r="CS70" s="1118">
        <f t="shared" si="125"/>
        <v>0</v>
      </c>
      <c r="CT70" s="1118">
        <f t="shared" si="126"/>
        <v>0</v>
      </c>
      <c r="CU70" s="1119"/>
      <c r="CY70" s="1117">
        <f t="shared" si="127"/>
        <v>0</v>
      </c>
      <c r="CZ70" s="1118">
        <f t="shared" si="128"/>
        <v>0</v>
      </c>
      <c r="DA70" s="1118">
        <f t="shared" si="129"/>
        <v>0</v>
      </c>
      <c r="DB70" s="1118">
        <f t="shared" si="130"/>
        <v>0</v>
      </c>
      <c r="DC70" s="1119"/>
      <c r="DG70" s="1117">
        <f t="shared" si="131"/>
        <v>0</v>
      </c>
      <c r="DH70" s="1118">
        <f t="shared" si="132"/>
        <v>0</v>
      </c>
      <c r="DI70" s="1118">
        <f t="shared" si="133"/>
        <v>0</v>
      </c>
      <c r="DJ70" s="1118">
        <f t="shared" si="134"/>
        <v>0</v>
      </c>
      <c r="DK70" s="1119"/>
      <c r="DO70" s="1117">
        <f t="shared" si="135"/>
        <v>0</v>
      </c>
      <c r="DP70" s="1118">
        <f t="shared" si="136"/>
        <v>0</v>
      </c>
      <c r="DQ70" s="1118">
        <f t="shared" si="137"/>
        <v>0</v>
      </c>
      <c r="DR70" s="1118">
        <f t="shared" si="138"/>
        <v>0</v>
      </c>
      <c r="DS70" s="1119"/>
      <c r="DW70" s="1117">
        <f t="shared" si="139"/>
        <v>0</v>
      </c>
      <c r="DX70" s="1118">
        <f t="shared" si="140"/>
        <v>0</v>
      </c>
      <c r="DY70" s="1118">
        <f t="shared" si="141"/>
        <v>0</v>
      </c>
      <c r="DZ70" s="1118">
        <f t="shared" si="142"/>
        <v>0</v>
      </c>
      <c r="EA70" s="1119"/>
      <c r="EE70" s="1117">
        <f t="shared" si="143"/>
        <v>0</v>
      </c>
      <c r="EF70" s="1118">
        <f t="shared" si="144"/>
        <v>0</v>
      </c>
      <c r="EG70" s="1118">
        <f t="shared" si="145"/>
        <v>0</v>
      </c>
      <c r="EH70" s="1118">
        <f t="shared" si="146"/>
        <v>0</v>
      </c>
      <c r="EI70" s="1119"/>
      <c r="EM70" s="1117">
        <f t="shared" si="147"/>
        <v>0</v>
      </c>
      <c r="EN70" s="1118">
        <f t="shared" si="148"/>
        <v>0</v>
      </c>
      <c r="EO70" s="1118">
        <f t="shared" si="149"/>
        <v>0</v>
      </c>
      <c r="EP70" s="1118">
        <f t="shared" si="150"/>
        <v>0</v>
      </c>
      <c r="EQ70" s="1119"/>
      <c r="EU70" s="1117">
        <f t="shared" si="151"/>
        <v>0</v>
      </c>
      <c r="EV70" s="1118">
        <f t="shared" si="152"/>
        <v>0</v>
      </c>
      <c r="EW70" s="1118">
        <f t="shared" si="153"/>
        <v>0</v>
      </c>
      <c r="EX70" s="1118">
        <f t="shared" si="154"/>
        <v>0</v>
      </c>
      <c r="EY70" s="1119"/>
      <c r="FC70" s="1117">
        <f t="shared" si="155"/>
        <v>0</v>
      </c>
      <c r="FD70" s="1118">
        <f t="shared" si="156"/>
        <v>0</v>
      </c>
      <c r="FE70" s="1118">
        <f t="shared" si="157"/>
        <v>0</v>
      </c>
      <c r="FF70" s="1118">
        <f t="shared" si="158"/>
        <v>0</v>
      </c>
      <c r="FG70" s="1119"/>
      <c r="FK70" s="1117">
        <f t="shared" si="159"/>
        <v>0</v>
      </c>
      <c r="FL70" s="1118">
        <f t="shared" si="160"/>
        <v>0</v>
      </c>
      <c r="FM70" s="1118">
        <f t="shared" si="161"/>
        <v>0</v>
      </c>
      <c r="FN70" s="1118">
        <f t="shared" si="162"/>
        <v>0</v>
      </c>
      <c r="FO70" s="1119"/>
    </row>
    <row r="71" spans="1:171" x14ac:dyDescent="0.25">
      <c r="A71" s="913"/>
      <c r="B71" s="914" t="s">
        <v>400</v>
      </c>
      <c r="C71" s="889" t="s">
        <v>69</v>
      </c>
      <c r="D71" s="889">
        <v>108</v>
      </c>
      <c r="E71" s="182" t="str">
        <f>'Sch 1- Rate Base '!E71</f>
        <v>DIRECT</v>
      </c>
      <c r="F71" s="890"/>
      <c r="G71" s="182">
        <f>'Sch 1- Rate Base '!G71</f>
        <v>0</v>
      </c>
      <c r="H71" s="182">
        <f>'Sch 1- Rate Base '!H71</f>
        <v>0</v>
      </c>
      <c r="I71" s="182">
        <f>'Sch 1- Rate Base '!I71</f>
        <v>0</v>
      </c>
      <c r="J71" s="183">
        <f>'Sch 1- Rate Base '!J71</f>
        <v>0</v>
      </c>
      <c r="K71" s="904">
        <f t="shared" si="82"/>
        <v>0</v>
      </c>
      <c r="O71" s="1117">
        <f t="shared" si="83"/>
        <v>0</v>
      </c>
      <c r="P71" s="1118">
        <f t="shared" si="84"/>
        <v>0</v>
      </c>
      <c r="Q71" s="1118">
        <f t="shared" si="85"/>
        <v>0</v>
      </c>
      <c r="R71" s="1118">
        <f t="shared" si="86"/>
        <v>0</v>
      </c>
      <c r="S71" s="1119"/>
      <c r="W71" s="1117">
        <f t="shared" si="87"/>
        <v>0</v>
      </c>
      <c r="X71" s="1118">
        <f t="shared" si="88"/>
        <v>0</v>
      </c>
      <c r="Y71" s="1118">
        <f t="shared" si="89"/>
        <v>0</v>
      </c>
      <c r="Z71" s="1118">
        <f t="shared" si="90"/>
        <v>0</v>
      </c>
      <c r="AA71" s="1119"/>
      <c r="AE71" s="1117">
        <f t="shared" si="91"/>
        <v>0</v>
      </c>
      <c r="AF71" s="1118">
        <f t="shared" si="92"/>
        <v>0</v>
      </c>
      <c r="AG71" s="1118">
        <f t="shared" si="93"/>
        <v>0</v>
      </c>
      <c r="AH71" s="1118">
        <f t="shared" si="94"/>
        <v>0</v>
      </c>
      <c r="AI71" s="1119"/>
      <c r="AM71" s="1117">
        <f t="shared" si="95"/>
        <v>0</v>
      </c>
      <c r="AN71" s="1118">
        <f t="shared" si="96"/>
        <v>0</v>
      </c>
      <c r="AO71" s="1118">
        <f t="shared" si="97"/>
        <v>0</v>
      </c>
      <c r="AP71" s="1118">
        <f t="shared" si="98"/>
        <v>0</v>
      </c>
      <c r="AQ71" s="1119"/>
      <c r="AU71" s="1117">
        <f t="shared" si="99"/>
        <v>0</v>
      </c>
      <c r="AV71" s="1118">
        <f t="shared" si="100"/>
        <v>0</v>
      </c>
      <c r="AW71" s="1118">
        <f t="shared" si="101"/>
        <v>0</v>
      </c>
      <c r="AX71" s="1118">
        <f t="shared" si="102"/>
        <v>0</v>
      </c>
      <c r="AY71" s="1119"/>
      <c r="BC71" s="1117">
        <f t="shared" si="103"/>
        <v>0</v>
      </c>
      <c r="BD71" s="1118">
        <f t="shared" si="104"/>
        <v>0</v>
      </c>
      <c r="BE71" s="1118">
        <f t="shared" si="105"/>
        <v>0</v>
      </c>
      <c r="BF71" s="1118">
        <f t="shared" si="106"/>
        <v>0</v>
      </c>
      <c r="BG71" s="1119"/>
      <c r="BK71" s="1117">
        <f t="shared" si="107"/>
        <v>0</v>
      </c>
      <c r="BL71" s="1118">
        <f t="shared" si="108"/>
        <v>0</v>
      </c>
      <c r="BM71" s="1118">
        <f t="shared" si="109"/>
        <v>0</v>
      </c>
      <c r="BN71" s="1118">
        <f t="shared" si="110"/>
        <v>0</v>
      </c>
      <c r="BO71" s="1119"/>
      <c r="BS71" s="1117">
        <f t="shared" si="111"/>
        <v>0</v>
      </c>
      <c r="BT71" s="1118">
        <f t="shared" si="112"/>
        <v>0</v>
      </c>
      <c r="BU71" s="1118">
        <f t="shared" si="113"/>
        <v>0</v>
      </c>
      <c r="BV71" s="1118">
        <f t="shared" si="114"/>
        <v>0</v>
      </c>
      <c r="BW71" s="1119"/>
      <c r="CA71" s="1117">
        <f t="shared" si="115"/>
        <v>0</v>
      </c>
      <c r="CB71" s="1118">
        <f t="shared" si="116"/>
        <v>0</v>
      </c>
      <c r="CC71" s="1118">
        <f t="shared" si="117"/>
        <v>0</v>
      </c>
      <c r="CD71" s="1118">
        <f t="shared" si="118"/>
        <v>0</v>
      </c>
      <c r="CE71" s="1119"/>
      <c r="CI71" s="1117">
        <f t="shared" si="119"/>
        <v>0</v>
      </c>
      <c r="CJ71" s="1118">
        <f t="shared" si="120"/>
        <v>0</v>
      </c>
      <c r="CK71" s="1118">
        <f t="shared" si="121"/>
        <v>0</v>
      </c>
      <c r="CL71" s="1118">
        <f t="shared" si="122"/>
        <v>0</v>
      </c>
      <c r="CM71" s="1119"/>
      <c r="CQ71" s="1117">
        <f t="shared" si="123"/>
        <v>0</v>
      </c>
      <c r="CR71" s="1118">
        <f t="shared" si="124"/>
        <v>0</v>
      </c>
      <c r="CS71" s="1118">
        <f t="shared" si="125"/>
        <v>0</v>
      </c>
      <c r="CT71" s="1118">
        <f t="shared" si="126"/>
        <v>0</v>
      </c>
      <c r="CU71" s="1119"/>
      <c r="CY71" s="1117">
        <f t="shared" si="127"/>
        <v>0</v>
      </c>
      <c r="CZ71" s="1118">
        <f t="shared" si="128"/>
        <v>0</v>
      </c>
      <c r="DA71" s="1118">
        <f t="shared" si="129"/>
        <v>0</v>
      </c>
      <c r="DB71" s="1118">
        <f t="shared" si="130"/>
        <v>0</v>
      </c>
      <c r="DC71" s="1119"/>
      <c r="DG71" s="1117">
        <f t="shared" si="131"/>
        <v>0</v>
      </c>
      <c r="DH71" s="1118">
        <f t="shared" si="132"/>
        <v>0</v>
      </c>
      <c r="DI71" s="1118">
        <f t="shared" si="133"/>
        <v>0</v>
      </c>
      <c r="DJ71" s="1118">
        <f t="shared" si="134"/>
        <v>0</v>
      </c>
      <c r="DK71" s="1119"/>
      <c r="DO71" s="1117">
        <f t="shared" si="135"/>
        <v>0</v>
      </c>
      <c r="DP71" s="1118">
        <f t="shared" si="136"/>
        <v>0</v>
      </c>
      <c r="DQ71" s="1118">
        <f t="shared" si="137"/>
        <v>0</v>
      </c>
      <c r="DR71" s="1118">
        <f t="shared" si="138"/>
        <v>0</v>
      </c>
      <c r="DS71" s="1119"/>
      <c r="DW71" s="1117">
        <f t="shared" si="139"/>
        <v>0</v>
      </c>
      <c r="DX71" s="1118">
        <f t="shared" si="140"/>
        <v>0</v>
      </c>
      <c r="DY71" s="1118">
        <f t="shared" si="141"/>
        <v>0</v>
      </c>
      <c r="DZ71" s="1118">
        <f t="shared" si="142"/>
        <v>0</v>
      </c>
      <c r="EA71" s="1119"/>
      <c r="EE71" s="1117">
        <f t="shared" si="143"/>
        <v>0</v>
      </c>
      <c r="EF71" s="1118">
        <f t="shared" si="144"/>
        <v>0</v>
      </c>
      <c r="EG71" s="1118">
        <f t="shared" si="145"/>
        <v>0</v>
      </c>
      <c r="EH71" s="1118">
        <f t="shared" si="146"/>
        <v>0</v>
      </c>
      <c r="EI71" s="1119"/>
      <c r="EM71" s="1117">
        <f t="shared" si="147"/>
        <v>0</v>
      </c>
      <c r="EN71" s="1118">
        <f t="shared" si="148"/>
        <v>0</v>
      </c>
      <c r="EO71" s="1118">
        <f t="shared" si="149"/>
        <v>0</v>
      </c>
      <c r="EP71" s="1118">
        <f t="shared" si="150"/>
        <v>0</v>
      </c>
      <c r="EQ71" s="1119"/>
      <c r="EU71" s="1117">
        <f t="shared" si="151"/>
        <v>0</v>
      </c>
      <c r="EV71" s="1118">
        <f t="shared" si="152"/>
        <v>0</v>
      </c>
      <c r="EW71" s="1118">
        <f t="shared" si="153"/>
        <v>0</v>
      </c>
      <c r="EX71" s="1118">
        <f t="shared" si="154"/>
        <v>0</v>
      </c>
      <c r="EY71" s="1119"/>
      <c r="FC71" s="1117">
        <f t="shared" si="155"/>
        <v>0</v>
      </c>
      <c r="FD71" s="1118">
        <f t="shared" si="156"/>
        <v>0</v>
      </c>
      <c r="FE71" s="1118">
        <f t="shared" si="157"/>
        <v>0</v>
      </c>
      <c r="FF71" s="1118">
        <f t="shared" si="158"/>
        <v>0</v>
      </c>
      <c r="FG71" s="1119"/>
      <c r="FK71" s="1117">
        <f t="shared" si="159"/>
        <v>0</v>
      </c>
      <c r="FL71" s="1118">
        <f t="shared" si="160"/>
        <v>0</v>
      </c>
      <c r="FM71" s="1118">
        <f t="shared" si="161"/>
        <v>0</v>
      </c>
      <c r="FN71" s="1118">
        <f t="shared" si="162"/>
        <v>0</v>
      </c>
      <c r="FO71" s="1119"/>
    </row>
    <row r="72" spans="1:171" x14ac:dyDescent="0.25">
      <c r="A72" s="913"/>
      <c r="B72" s="914" t="s">
        <v>401</v>
      </c>
      <c r="C72" s="889" t="s">
        <v>69</v>
      </c>
      <c r="D72" s="889">
        <v>108</v>
      </c>
      <c r="E72" s="182" t="str">
        <f>'Sch 1- Rate Base '!E72</f>
        <v>DIRECT</v>
      </c>
      <c r="F72" s="890"/>
      <c r="G72" s="182">
        <f>'Sch 1- Rate Base '!G72</f>
        <v>9421530.1671775989</v>
      </c>
      <c r="H72" s="182">
        <f>'Sch 1- Rate Base '!H72</f>
        <v>4095506.2400422441</v>
      </c>
      <c r="I72" s="182">
        <f>'Sch 1- Rate Base '!I72</f>
        <v>0</v>
      </c>
      <c r="J72" s="183">
        <f>'Sch 1- Rate Base '!J72</f>
        <v>6734436.0757155614</v>
      </c>
      <c r="K72" s="904">
        <f t="shared" si="82"/>
        <v>0</v>
      </c>
      <c r="O72" s="1117">
        <f t="shared" si="83"/>
        <v>9421530.1671775989</v>
      </c>
      <c r="P72" s="1118">
        <f t="shared" si="84"/>
        <v>4095506.2400422436</v>
      </c>
      <c r="Q72" s="1118">
        <f t="shared" si="85"/>
        <v>0</v>
      </c>
      <c r="R72" s="1118">
        <f t="shared" si="86"/>
        <v>5326023.9271353558</v>
      </c>
      <c r="S72" s="1119"/>
      <c r="W72" s="1117">
        <f t="shared" si="87"/>
        <v>9421530.1671775989</v>
      </c>
      <c r="X72" s="1118">
        <f t="shared" si="88"/>
        <v>4095506.2400422436</v>
      </c>
      <c r="Y72" s="1118">
        <f t="shared" si="89"/>
        <v>0</v>
      </c>
      <c r="Z72" s="1118">
        <f t="shared" si="90"/>
        <v>5326023.9271353558</v>
      </c>
      <c r="AA72" s="1119"/>
      <c r="AE72" s="1117">
        <f t="shared" si="91"/>
        <v>9421530.1671775989</v>
      </c>
      <c r="AF72" s="1118">
        <f t="shared" si="92"/>
        <v>4095506.2400422436</v>
      </c>
      <c r="AG72" s="1118">
        <f t="shared" si="93"/>
        <v>0</v>
      </c>
      <c r="AH72" s="1118">
        <f t="shared" si="94"/>
        <v>5326023.9271353558</v>
      </c>
      <c r="AI72" s="1119"/>
      <c r="AM72" s="1117">
        <f t="shared" si="95"/>
        <v>9421530.1671775989</v>
      </c>
      <c r="AN72" s="1118">
        <f t="shared" si="96"/>
        <v>4095506.2400422436</v>
      </c>
      <c r="AO72" s="1118">
        <f t="shared" si="97"/>
        <v>0</v>
      </c>
      <c r="AP72" s="1118">
        <f t="shared" si="98"/>
        <v>5326023.9271353558</v>
      </c>
      <c r="AQ72" s="1119"/>
      <c r="AU72" s="1117">
        <f t="shared" si="99"/>
        <v>9421530.1671775989</v>
      </c>
      <c r="AV72" s="1118">
        <f t="shared" si="100"/>
        <v>4095506.2400422436</v>
      </c>
      <c r="AW72" s="1118">
        <f t="shared" si="101"/>
        <v>0</v>
      </c>
      <c r="AX72" s="1118">
        <f t="shared" si="102"/>
        <v>5326023.9271353558</v>
      </c>
      <c r="AY72" s="1119"/>
      <c r="BC72" s="1117">
        <f t="shared" si="103"/>
        <v>9421530.1671775989</v>
      </c>
      <c r="BD72" s="1118">
        <f t="shared" si="104"/>
        <v>4095506.2400422436</v>
      </c>
      <c r="BE72" s="1118">
        <f t="shared" si="105"/>
        <v>0</v>
      </c>
      <c r="BF72" s="1118">
        <f t="shared" si="106"/>
        <v>5326023.9271353558</v>
      </c>
      <c r="BG72" s="1119"/>
      <c r="BK72" s="1117">
        <f t="shared" si="107"/>
        <v>9421530.1671775989</v>
      </c>
      <c r="BL72" s="1118">
        <f t="shared" si="108"/>
        <v>4095506.2400422436</v>
      </c>
      <c r="BM72" s="1118">
        <f t="shared" si="109"/>
        <v>0</v>
      </c>
      <c r="BN72" s="1118">
        <f t="shared" si="110"/>
        <v>5326023.9271353558</v>
      </c>
      <c r="BO72" s="1119"/>
      <c r="BS72" s="1117">
        <f t="shared" si="111"/>
        <v>9421530.1671775989</v>
      </c>
      <c r="BT72" s="1118">
        <f t="shared" si="112"/>
        <v>4095506.2400422436</v>
      </c>
      <c r="BU72" s="1118">
        <f t="shared" si="113"/>
        <v>0</v>
      </c>
      <c r="BV72" s="1118">
        <f t="shared" si="114"/>
        <v>5326023.9271353558</v>
      </c>
      <c r="BW72" s="1119"/>
      <c r="CA72" s="1117">
        <f t="shared" si="115"/>
        <v>9421530.1671775989</v>
      </c>
      <c r="CB72" s="1118">
        <f t="shared" si="116"/>
        <v>4095506.2400422436</v>
      </c>
      <c r="CC72" s="1118">
        <f t="shared" si="117"/>
        <v>0</v>
      </c>
      <c r="CD72" s="1118">
        <f t="shared" si="118"/>
        <v>5326023.9271353558</v>
      </c>
      <c r="CE72" s="1119"/>
      <c r="CI72" s="1117">
        <f t="shared" si="119"/>
        <v>9421530.1671775989</v>
      </c>
      <c r="CJ72" s="1118">
        <f t="shared" si="120"/>
        <v>4095506.2400422436</v>
      </c>
      <c r="CK72" s="1118">
        <f t="shared" si="121"/>
        <v>0</v>
      </c>
      <c r="CL72" s="1118">
        <f t="shared" si="122"/>
        <v>5326023.9271353558</v>
      </c>
      <c r="CM72" s="1119"/>
      <c r="CQ72" s="1117">
        <f t="shared" si="123"/>
        <v>9421530.1671775989</v>
      </c>
      <c r="CR72" s="1118">
        <f t="shared" si="124"/>
        <v>4095506.2400422436</v>
      </c>
      <c r="CS72" s="1118">
        <f t="shared" si="125"/>
        <v>0</v>
      </c>
      <c r="CT72" s="1118">
        <f t="shared" si="126"/>
        <v>5326023.9271353558</v>
      </c>
      <c r="CU72" s="1119"/>
      <c r="CY72" s="1117">
        <f t="shared" si="127"/>
        <v>9421530.1671775989</v>
      </c>
      <c r="CZ72" s="1118">
        <f t="shared" si="128"/>
        <v>4095506.2400422436</v>
      </c>
      <c r="DA72" s="1118">
        <f t="shared" si="129"/>
        <v>0</v>
      </c>
      <c r="DB72" s="1118">
        <f t="shared" si="130"/>
        <v>5326023.9271353558</v>
      </c>
      <c r="DC72" s="1119"/>
      <c r="DG72" s="1117">
        <f t="shared" si="131"/>
        <v>9421530.1671775989</v>
      </c>
      <c r="DH72" s="1118">
        <f t="shared" si="132"/>
        <v>4095506.2400422436</v>
      </c>
      <c r="DI72" s="1118">
        <f t="shared" si="133"/>
        <v>0</v>
      </c>
      <c r="DJ72" s="1118">
        <f t="shared" si="134"/>
        <v>5326023.9271353558</v>
      </c>
      <c r="DK72" s="1119"/>
      <c r="DO72" s="1117">
        <f t="shared" si="135"/>
        <v>9421530.1671775989</v>
      </c>
      <c r="DP72" s="1118">
        <f t="shared" si="136"/>
        <v>4095506.2400422436</v>
      </c>
      <c r="DQ72" s="1118">
        <f t="shared" si="137"/>
        <v>0</v>
      </c>
      <c r="DR72" s="1118">
        <f t="shared" si="138"/>
        <v>5326023.9271353558</v>
      </c>
      <c r="DS72" s="1119"/>
      <c r="DW72" s="1117">
        <f t="shared" si="139"/>
        <v>9421530.1671775989</v>
      </c>
      <c r="DX72" s="1118">
        <f t="shared" si="140"/>
        <v>4095506.2400422436</v>
      </c>
      <c r="DY72" s="1118">
        <f t="shared" si="141"/>
        <v>0</v>
      </c>
      <c r="DZ72" s="1118">
        <f t="shared" si="142"/>
        <v>5326023.9271353558</v>
      </c>
      <c r="EA72" s="1119"/>
      <c r="EE72" s="1117">
        <f t="shared" si="143"/>
        <v>9421530.1671775989</v>
      </c>
      <c r="EF72" s="1118">
        <f t="shared" si="144"/>
        <v>4095506.2400422436</v>
      </c>
      <c r="EG72" s="1118">
        <f t="shared" si="145"/>
        <v>0</v>
      </c>
      <c r="EH72" s="1118">
        <f t="shared" si="146"/>
        <v>5326023.9271353558</v>
      </c>
      <c r="EI72" s="1119"/>
      <c r="EM72" s="1117">
        <f t="shared" si="147"/>
        <v>9421530.1671775989</v>
      </c>
      <c r="EN72" s="1118">
        <f t="shared" si="148"/>
        <v>4095506.2400422436</v>
      </c>
      <c r="EO72" s="1118">
        <f t="shared" si="149"/>
        <v>0</v>
      </c>
      <c r="EP72" s="1118">
        <f t="shared" si="150"/>
        <v>5326023.9271353558</v>
      </c>
      <c r="EQ72" s="1119"/>
      <c r="EU72" s="1117">
        <f t="shared" si="151"/>
        <v>9421530.1671775989</v>
      </c>
      <c r="EV72" s="1118">
        <f t="shared" si="152"/>
        <v>4095506.2400422436</v>
      </c>
      <c r="EW72" s="1118">
        <f t="shared" si="153"/>
        <v>0</v>
      </c>
      <c r="EX72" s="1118">
        <f t="shared" si="154"/>
        <v>5326023.9271353558</v>
      </c>
      <c r="EY72" s="1119"/>
      <c r="FC72" s="1117">
        <f t="shared" si="155"/>
        <v>9421530.1671775989</v>
      </c>
      <c r="FD72" s="1118">
        <f t="shared" si="156"/>
        <v>4095506.2400422436</v>
      </c>
      <c r="FE72" s="1118">
        <f t="shared" si="157"/>
        <v>0</v>
      </c>
      <c r="FF72" s="1118">
        <f t="shared" si="158"/>
        <v>5326023.9271353558</v>
      </c>
      <c r="FG72" s="1119"/>
      <c r="FK72" s="1117">
        <f t="shared" si="159"/>
        <v>9421530.1671775989</v>
      </c>
      <c r="FL72" s="1118">
        <f t="shared" si="160"/>
        <v>4095506.2400422436</v>
      </c>
      <c r="FM72" s="1118">
        <f t="shared" si="161"/>
        <v>0</v>
      </c>
      <c r="FN72" s="1118">
        <f t="shared" si="162"/>
        <v>5326023.9271353558</v>
      </c>
      <c r="FO72" s="1119"/>
    </row>
    <row r="73" spans="1:171" x14ac:dyDescent="0.25">
      <c r="A73" s="913"/>
      <c r="B73" s="914" t="s">
        <v>547</v>
      </c>
      <c r="C73" s="889" t="s">
        <v>69</v>
      </c>
      <c r="D73" s="889">
        <v>115</v>
      </c>
      <c r="E73" s="182" t="str">
        <f>'Sch 1- Rate Base '!E73</f>
        <v>DIRECT</v>
      </c>
      <c r="F73" s="890"/>
      <c r="G73" s="182">
        <f>'Sch 1- Rate Base '!G73</f>
        <v>56998656.093805373</v>
      </c>
      <c r="H73" s="182">
        <f>'Sch 1- Rate Base '!H73</f>
        <v>56998656</v>
      </c>
      <c r="I73" s="182">
        <f>'Sch 1- Rate Base '!I73</f>
        <v>0</v>
      </c>
      <c r="J73" s="183">
        <f>'Sch 1- Rate Base '!J73</f>
        <v>0</v>
      </c>
      <c r="K73" s="904">
        <f t="shared" si="82"/>
        <v>0</v>
      </c>
      <c r="O73" s="1117">
        <f t="shared" si="83"/>
        <v>56998656.093805373</v>
      </c>
      <c r="P73" s="1118">
        <f t="shared" si="84"/>
        <v>56998656</v>
      </c>
      <c r="Q73" s="1118">
        <f t="shared" si="85"/>
        <v>0</v>
      </c>
      <c r="R73" s="1118">
        <f t="shared" si="86"/>
        <v>9.3805372714996338E-2</v>
      </c>
      <c r="S73" s="1119"/>
      <c r="W73" s="1117">
        <f t="shared" si="87"/>
        <v>56998656.093805373</v>
      </c>
      <c r="X73" s="1118">
        <f t="shared" si="88"/>
        <v>56998656</v>
      </c>
      <c r="Y73" s="1118">
        <f t="shared" si="89"/>
        <v>0</v>
      </c>
      <c r="Z73" s="1118">
        <f t="shared" si="90"/>
        <v>9.3805372714996338E-2</v>
      </c>
      <c r="AA73" s="1119"/>
      <c r="AE73" s="1117">
        <f t="shared" si="91"/>
        <v>56998656.093805373</v>
      </c>
      <c r="AF73" s="1118">
        <f t="shared" si="92"/>
        <v>56998656</v>
      </c>
      <c r="AG73" s="1118">
        <f t="shared" si="93"/>
        <v>0</v>
      </c>
      <c r="AH73" s="1118">
        <f t="shared" si="94"/>
        <v>9.3805372714996338E-2</v>
      </c>
      <c r="AI73" s="1119"/>
      <c r="AM73" s="1117">
        <f t="shared" si="95"/>
        <v>56998656.093805373</v>
      </c>
      <c r="AN73" s="1118">
        <f t="shared" si="96"/>
        <v>56998656</v>
      </c>
      <c r="AO73" s="1118">
        <f t="shared" si="97"/>
        <v>0</v>
      </c>
      <c r="AP73" s="1118">
        <f t="shared" si="98"/>
        <v>9.3805372714996338E-2</v>
      </c>
      <c r="AQ73" s="1119"/>
      <c r="AU73" s="1117">
        <f t="shared" si="99"/>
        <v>56998656.093805373</v>
      </c>
      <c r="AV73" s="1118">
        <f t="shared" si="100"/>
        <v>56998656</v>
      </c>
      <c r="AW73" s="1118">
        <f t="shared" si="101"/>
        <v>0</v>
      </c>
      <c r="AX73" s="1118">
        <f t="shared" si="102"/>
        <v>9.3805372714996338E-2</v>
      </c>
      <c r="AY73" s="1119"/>
      <c r="BC73" s="1117">
        <f t="shared" si="103"/>
        <v>56998656.093805373</v>
      </c>
      <c r="BD73" s="1118">
        <f t="shared" si="104"/>
        <v>56998656</v>
      </c>
      <c r="BE73" s="1118">
        <f t="shared" si="105"/>
        <v>0</v>
      </c>
      <c r="BF73" s="1118">
        <f t="shared" si="106"/>
        <v>9.3805372714996338E-2</v>
      </c>
      <c r="BG73" s="1119"/>
      <c r="BK73" s="1117">
        <f t="shared" si="107"/>
        <v>56998656.093805373</v>
      </c>
      <c r="BL73" s="1118">
        <f t="shared" si="108"/>
        <v>56998656</v>
      </c>
      <c r="BM73" s="1118">
        <f t="shared" si="109"/>
        <v>0</v>
      </c>
      <c r="BN73" s="1118">
        <f t="shared" si="110"/>
        <v>9.3805372714996338E-2</v>
      </c>
      <c r="BO73" s="1119"/>
      <c r="BS73" s="1117">
        <f t="shared" si="111"/>
        <v>56998656.093805373</v>
      </c>
      <c r="BT73" s="1118">
        <f t="shared" si="112"/>
        <v>56998656</v>
      </c>
      <c r="BU73" s="1118">
        <f t="shared" si="113"/>
        <v>0</v>
      </c>
      <c r="BV73" s="1118">
        <f t="shared" si="114"/>
        <v>9.3805372714996338E-2</v>
      </c>
      <c r="BW73" s="1119"/>
      <c r="CA73" s="1117">
        <f t="shared" si="115"/>
        <v>56998656.093805373</v>
      </c>
      <c r="CB73" s="1118">
        <f t="shared" si="116"/>
        <v>56998656</v>
      </c>
      <c r="CC73" s="1118">
        <f t="shared" si="117"/>
        <v>0</v>
      </c>
      <c r="CD73" s="1118">
        <f t="shared" si="118"/>
        <v>9.3805372714996338E-2</v>
      </c>
      <c r="CE73" s="1119"/>
      <c r="CI73" s="1117">
        <f t="shared" si="119"/>
        <v>56998656.093805373</v>
      </c>
      <c r="CJ73" s="1118">
        <f t="shared" si="120"/>
        <v>56998656</v>
      </c>
      <c r="CK73" s="1118">
        <f t="shared" si="121"/>
        <v>0</v>
      </c>
      <c r="CL73" s="1118">
        <f t="shared" si="122"/>
        <v>9.3805372714996338E-2</v>
      </c>
      <c r="CM73" s="1119"/>
      <c r="CQ73" s="1117">
        <f t="shared" si="123"/>
        <v>56998656.093805373</v>
      </c>
      <c r="CR73" s="1118">
        <f t="shared" si="124"/>
        <v>56998656</v>
      </c>
      <c r="CS73" s="1118">
        <f t="shared" si="125"/>
        <v>0</v>
      </c>
      <c r="CT73" s="1118">
        <f t="shared" si="126"/>
        <v>9.3805372714996338E-2</v>
      </c>
      <c r="CU73" s="1119"/>
      <c r="CY73" s="1117">
        <f t="shared" si="127"/>
        <v>56998656.093805373</v>
      </c>
      <c r="CZ73" s="1118">
        <f t="shared" si="128"/>
        <v>56998656</v>
      </c>
      <c r="DA73" s="1118">
        <f t="shared" si="129"/>
        <v>0</v>
      </c>
      <c r="DB73" s="1118">
        <f t="shared" si="130"/>
        <v>9.3805372714996338E-2</v>
      </c>
      <c r="DC73" s="1119"/>
      <c r="DG73" s="1117">
        <f t="shared" si="131"/>
        <v>56998656.093805373</v>
      </c>
      <c r="DH73" s="1118">
        <f t="shared" si="132"/>
        <v>56998656</v>
      </c>
      <c r="DI73" s="1118">
        <f t="shared" si="133"/>
        <v>0</v>
      </c>
      <c r="DJ73" s="1118">
        <f t="shared" si="134"/>
        <v>9.3805372714996338E-2</v>
      </c>
      <c r="DK73" s="1119"/>
      <c r="DO73" s="1117">
        <f t="shared" si="135"/>
        <v>56998656.093805373</v>
      </c>
      <c r="DP73" s="1118">
        <f t="shared" si="136"/>
        <v>56998656</v>
      </c>
      <c r="DQ73" s="1118">
        <f t="shared" si="137"/>
        <v>0</v>
      </c>
      <c r="DR73" s="1118">
        <f t="shared" si="138"/>
        <v>9.3805372714996338E-2</v>
      </c>
      <c r="DS73" s="1119"/>
      <c r="DW73" s="1117">
        <f t="shared" si="139"/>
        <v>56998656.093805373</v>
      </c>
      <c r="DX73" s="1118">
        <f t="shared" si="140"/>
        <v>56998656</v>
      </c>
      <c r="DY73" s="1118">
        <f t="shared" si="141"/>
        <v>0</v>
      </c>
      <c r="DZ73" s="1118">
        <f t="shared" si="142"/>
        <v>9.3805372714996338E-2</v>
      </c>
      <c r="EA73" s="1119"/>
      <c r="EE73" s="1117">
        <f t="shared" si="143"/>
        <v>56998656.093805373</v>
      </c>
      <c r="EF73" s="1118">
        <f t="shared" si="144"/>
        <v>56998656</v>
      </c>
      <c r="EG73" s="1118">
        <f t="shared" si="145"/>
        <v>0</v>
      </c>
      <c r="EH73" s="1118">
        <f t="shared" si="146"/>
        <v>9.3805372714996338E-2</v>
      </c>
      <c r="EI73" s="1119"/>
      <c r="EM73" s="1117">
        <f t="shared" si="147"/>
        <v>56998656.093805373</v>
      </c>
      <c r="EN73" s="1118">
        <f t="shared" si="148"/>
        <v>56998656</v>
      </c>
      <c r="EO73" s="1118">
        <f t="shared" si="149"/>
        <v>0</v>
      </c>
      <c r="EP73" s="1118">
        <f t="shared" si="150"/>
        <v>9.3805372714996338E-2</v>
      </c>
      <c r="EQ73" s="1119"/>
      <c r="EU73" s="1117">
        <f t="shared" si="151"/>
        <v>56998656.093805373</v>
      </c>
      <c r="EV73" s="1118">
        <f t="shared" si="152"/>
        <v>56998656</v>
      </c>
      <c r="EW73" s="1118">
        <f t="shared" si="153"/>
        <v>0</v>
      </c>
      <c r="EX73" s="1118">
        <f t="shared" si="154"/>
        <v>9.3805372714996338E-2</v>
      </c>
      <c r="EY73" s="1119"/>
      <c r="FC73" s="1117">
        <f t="shared" si="155"/>
        <v>56998656.093805373</v>
      </c>
      <c r="FD73" s="1118">
        <f t="shared" si="156"/>
        <v>56998656</v>
      </c>
      <c r="FE73" s="1118">
        <f t="shared" si="157"/>
        <v>0</v>
      </c>
      <c r="FF73" s="1118">
        <f t="shared" si="158"/>
        <v>9.3805372714996338E-2</v>
      </c>
      <c r="FG73" s="1119"/>
      <c r="FK73" s="1117">
        <f t="shared" si="159"/>
        <v>56998656.093805373</v>
      </c>
      <c r="FL73" s="1118">
        <f t="shared" si="160"/>
        <v>56998656</v>
      </c>
      <c r="FM73" s="1118">
        <f t="shared" si="161"/>
        <v>0</v>
      </c>
      <c r="FN73" s="1118">
        <f t="shared" si="162"/>
        <v>9.3805372714996338E-2</v>
      </c>
      <c r="FO73" s="1119"/>
    </row>
    <row r="74" spans="1:171" x14ac:dyDescent="0.25">
      <c r="A74" s="913"/>
      <c r="B74" s="914"/>
      <c r="C74" s="55"/>
      <c r="D74" s="196"/>
      <c r="E74" s="196"/>
      <c r="F74" s="196"/>
      <c r="G74" s="925"/>
      <c r="H74" s="198"/>
      <c r="I74" s="198"/>
      <c r="J74" s="200"/>
      <c r="K74" s="904"/>
      <c r="S74" s="1119"/>
      <c r="AA74" s="1119"/>
      <c r="AI74" s="1119"/>
      <c r="AQ74" s="1119"/>
      <c r="AY74" s="1119"/>
      <c r="BG74" s="1119"/>
      <c r="BO74" s="1119"/>
      <c r="BW74" s="1119"/>
      <c r="CE74" s="1119"/>
      <c r="CM74" s="1119"/>
      <c r="CU74" s="1119"/>
      <c r="DC74" s="1119"/>
      <c r="DK74" s="1119"/>
      <c r="DS74" s="1119"/>
      <c r="EA74" s="1119"/>
      <c r="EI74" s="1119"/>
      <c r="EQ74" s="1119"/>
      <c r="EY74" s="1119"/>
      <c r="FG74" s="1119"/>
      <c r="FO74" s="1119"/>
    </row>
    <row r="75" spans="1:171" x14ac:dyDescent="0.25">
      <c r="A75" s="199" t="s">
        <v>211</v>
      </c>
      <c r="B75" s="914"/>
      <c r="C75" s="889"/>
      <c r="D75" s="889"/>
      <c r="E75" s="182" t="str">
        <f>'Sch 1- Rate Base '!E75</f>
        <v>DIRECT</v>
      </c>
      <c r="F75" s="890"/>
      <c r="G75" s="182">
        <f>'Sch 1- Rate Base '!G75</f>
        <v>0</v>
      </c>
      <c r="H75" s="182">
        <f>'Sch 1- Rate Base '!H75</f>
        <v>0</v>
      </c>
      <c r="I75" s="182">
        <f>'Sch 1- Rate Base '!I75</f>
        <v>0</v>
      </c>
      <c r="J75" s="183">
        <f>'Sch 1- Rate Base '!J75</f>
        <v>0</v>
      </c>
      <c r="K75" s="904">
        <f t="shared" si="82"/>
        <v>0</v>
      </c>
      <c r="S75" s="1119"/>
      <c r="AA75" s="1119"/>
      <c r="AI75" s="1119"/>
      <c r="AQ75" s="1119"/>
      <c r="AY75" s="1119"/>
      <c r="BG75" s="1119"/>
      <c r="BO75" s="1119"/>
      <c r="BW75" s="1119"/>
      <c r="CE75" s="1119"/>
      <c r="CM75" s="1119"/>
      <c r="CU75" s="1119"/>
      <c r="DC75" s="1119"/>
      <c r="DK75" s="1119"/>
      <c r="DS75" s="1119"/>
      <c r="EA75" s="1119"/>
      <c r="EI75" s="1119"/>
      <c r="EQ75" s="1119"/>
      <c r="EY75" s="1119"/>
      <c r="FG75" s="1119"/>
      <c r="FO75" s="1119"/>
    </row>
    <row r="76" spans="1:171" x14ac:dyDescent="0.25">
      <c r="A76" s="926"/>
      <c r="B76" s="914"/>
      <c r="C76" s="55"/>
      <c r="D76" s="196"/>
      <c r="E76" s="196"/>
      <c r="F76" s="196"/>
      <c r="G76" s="918"/>
      <c r="H76" s="198"/>
      <c r="I76" s="198"/>
      <c r="J76" s="200"/>
      <c r="K76" s="904"/>
      <c r="S76" s="1119"/>
      <c r="AA76" s="1119"/>
      <c r="AI76" s="1119"/>
      <c r="AQ76" s="1119"/>
      <c r="AY76" s="1119"/>
      <c r="BG76" s="1119"/>
      <c r="BO76" s="1119"/>
      <c r="BW76" s="1119"/>
      <c r="CE76" s="1119"/>
      <c r="CM76" s="1119"/>
      <c r="CU76" s="1119"/>
      <c r="DC76" s="1119"/>
      <c r="DK76" s="1119"/>
      <c r="DS76" s="1119"/>
      <c r="EA76" s="1119"/>
      <c r="EI76" s="1119"/>
      <c r="EQ76" s="1119"/>
      <c r="EY76" s="1119"/>
      <c r="FG76" s="1119"/>
      <c r="FO76" s="1119"/>
    </row>
    <row r="77" spans="1:171" x14ac:dyDescent="0.25">
      <c r="A77" s="209" t="s">
        <v>223</v>
      </c>
      <c r="B77" s="64"/>
      <c r="C77" s="915"/>
      <c r="D77" s="916"/>
      <c r="E77" s="916"/>
      <c r="F77" s="917"/>
      <c r="G77" s="924">
        <f>SUM(G57:G75)</f>
        <v>5550863675.958252</v>
      </c>
      <c r="H77" s="924">
        <f>SUM(H57:H75)</f>
        <v>2650714170.9994912</v>
      </c>
      <c r="I77" s="924">
        <f>SUM(I57:I75)</f>
        <v>0</v>
      </c>
      <c r="J77" s="1391">
        <f>SUM(J57:J75)</f>
        <v>2902318194.1147103</v>
      </c>
      <c r="K77" s="904"/>
      <c r="O77" s="1121">
        <f>SUM(O57:O75)</f>
        <v>5550863675.958252</v>
      </c>
      <c r="P77" s="1121">
        <f>SUM(P57:P75)</f>
        <v>2650714170.9994912</v>
      </c>
      <c r="Q77" s="1121">
        <f>SUM(Q57:Q75)</f>
        <v>981908772.79948997</v>
      </c>
      <c r="R77" s="1121">
        <f>SUM(R57:R75)</f>
        <v>1918240732.1592727</v>
      </c>
      <c r="S77" s="1119"/>
      <c r="W77" s="1121">
        <f>SUM(W57:W75)</f>
        <v>5550863675.958252</v>
      </c>
      <c r="X77" s="1121">
        <f>SUM(X57:X75)</f>
        <v>2650714170.9994912</v>
      </c>
      <c r="Y77" s="1121">
        <f>SUM(Y57:Y75)</f>
        <v>981908772.79948997</v>
      </c>
      <c r="Z77" s="1121">
        <f>SUM(Z57:Z75)</f>
        <v>1918240732.1592727</v>
      </c>
      <c r="AA77" s="1119"/>
      <c r="AE77" s="1121">
        <f>SUM(AE57:AE75)</f>
        <v>5550863675.958252</v>
      </c>
      <c r="AF77" s="1121">
        <f>SUM(AF57:AF75)</f>
        <v>2650714170.9994912</v>
      </c>
      <c r="AG77" s="1121">
        <f>SUM(AG57:AG75)</f>
        <v>981908772.79948997</v>
      </c>
      <c r="AH77" s="1121">
        <f>SUM(AH57:AH75)</f>
        <v>1918240732.1592727</v>
      </c>
      <c r="AI77" s="1119"/>
      <c r="AM77" s="1121">
        <f>SUM(AM57:AM75)</f>
        <v>5550863675.958252</v>
      </c>
      <c r="AN77" s="1121">
        <f>SUM(AN57:AN75)</f>
        <v>2650714170.9994912</v>
      </c>
      <c r="AO77" s="1121">
        <f>SUM(AO57:AO75)</f>
        <v>981908772.79948997</v>
      </c>
      <c r="AP77" s="1121">
        <f>SUM(AP57:AP75)</f>
        <v>1918240732.1592727</v>
      </c>
      <c r="AQ77" s="1119"/>
      <c r="AU77" s="1121">
        <f>SUM(AU57:AU75)</f>
        <v>5550863675.958252</v>
      </c>
      <c r="AV77" s="1121">
        <f>SUM(AV57:AV75)</f>
        <v>2650714170.9994912</v>
      </c>
      <c r="AW77" s="1121">
        <f>SUM(AW57:AW75)</f>
        <v>981908772.79948997</v>
      </c>
      <c r="AX77" s="1121">
        <f>SUM(AX57:AX75)</f>
        <v>1918240732.1592727</v>
      </c>
      <c r="AY77" s="1119"/>
      <c r="BC77" s="1121">
        <f>SUM(BC57:BC75)</f>
        <v>5550863675.958252</v>
      </c>
      <c r="BD77" s="1121">
        <f>SUM(BD57:BD75)</f>
        <v>2650714170.9994912</v>
      </c>
      <c r="BE77" s="1121">
        <f>SUM(BE57:BE75)</f>
        <v>981908772.79948997</v>
      </c>
      <c r="BF77" s="1121">
        <f>SUM(BF57:BF75)</f>
        <v>1918240732.1592727</v>
      </c>
      <c r="BG77" s="1119"/>
      <c r="BK77" s="1121">
        <f>SUM(BK57:BK75)</f>
        <v>5550863675.958252</v>
      </c>
      <c r="BL77" s="1121">
        <f>SUM(BL57:BL75)</f>
        <v>2650714170.9994912</v>
      </c>
      <c r="BM77" s="1121">
        <f>SUM(BM57:BM75)</f>
        <v>981908772.79948997</v>
      </c>
      <c r="BN77" s="1121">
        <f>SUM(BN57:BN75)</f>
        <v>1918240732.1592727</v>
      </c>
      <c r="BO77" s="1119"/>
      <c r="BS77" s="1121">
        <f>SUM(BS57:BS75)</f>
        <v>5550863675.958252</v>
      </c>
      <c r="BT77" s="1121">
        <f>SUM(BT57:BT75)</f>
        <v>2650714170.9994912</v>
      </c>
      <c r="BU77" s="1121">
        <f>SUM(BU57:BU75)</f>
        <v>981908772.79948997</v>
      </c>
      <c r="BV77" s="1121">
        <f>SUM(BV57:BV75)</f>
        <v>1918240732.1592727</v>
      </c>
      <c r="BW77" s="1119"/>
      <c r="CA77" s="1121">
        <f>SUM(CA57:CA75)</f>
        <v>5550863675.958252</v>
      </c>
      <c r="CB77" s="1121">
        <f>SUM(CB57:CB75)</f>
        <v>2650714170.9994912</v>
      </c>
      <c r="CC77" s="1121">
        <f>SUM(CC57:CC75)</f>
        <v>981908772.79948997</v>
      </c>
      <c r="CD77" s="1121">
        <f>SUM(CD57:CD75)</f>
        <v>1918240732.1592727</v>
      </c>
      <c r="CE77" s="1119"/>
      <c r="CI77" s="1121">
        <f>SUM(CI57:CI75)</f>
        <v>5550863675.958252</v>
      </c>
      <c r="CJ77" s="1121">
        <f>SUM(CJ57:CJ75)</f>
        <v>2650714170.9994912</v>
      </c>
      <c r="CK77" s="1121">
        <f>SUM(CK57:CK75)</f>
        <v>981908772.79948997</v>
      </c>
      <c r="CL77" s="1121">
        <f>SUM(CL57:CL75)</f>
        <v>1918240732.1592727</v>
      </c>
      <c r="CM77" s="1119"/>
      <c r="CQ77" s="1121">
        <f>SUM(CQ57:CQ75)</f>
        <v>5550863675.958252</v>
      </c>
      <c r="CR77" s="1121">
        <f>SUM(CR57:CR75)</f>
        <v>2650714170.9994912</v>
      </c>
      <c r="CS77" s="1121">
        <f>SUM(CS57:CS75)</f>
        <v>981908772.79948997</v>
      </c>
      <c r="CT77" s="1121">
        <f>SUM(CT57:CT75)</f>
        <v>1918240732.1592727</v>
      </c>
      <c r="CU77" s="1119"/>
      <c r="CY77" s="1121">
        <f>SUM(CY57:CY75)</f>
        <v>5550863675.958252</v>
      </c>
      <c r="CZ77" s="1121">
        <f>SUM(CZ57:CZ75)</f>
        <v>2650714170.9994912</v>
      </c>
      <c r="DA77" s="1121">
        <f>SUM(DA57:DA75)</f>
        <v>981908772.79948997</v>
      </c>
      <c r="DB77" s="1121">
        <f>SUM(DB57:DB75)</f>
        <v>1918240732.1592727</v>
      </c>
      <c r="DC77" s="1119"/>
      <c r="DG77" s="1121">
        <f>SUM(DG57:DG75)</f>
        <v>5550863675.958252</v>
      </c>
      <c r="DH77" s="1121">
        <f>SUM(DH57:DH75)</f>
        <v>2650714170.9994912</v>
      </c>
      <c r="DI77" s="1121">
        <f>SUM(DI57:DI75)</f>
        <v>981908772.79948997</v>
      </c>
      <c r="DJ77" s="1121">
        <f>SUM(DJ57:DJ75)</f>
        <v>1918240732.1592727</v>
      </c>
      <c r="DK77" s="1119"/>
      <c r="DO77" s="1121">
        <f>SUM(DO57:DO75)</f>
        <v>5550863675.958252</v>
      </c>
      <c r="DP77" s="1121">
        <f>SUM(DP57:DP75)</f>
        <v>2650714170.9994912</v>
      </c>
      <c r="DQ77" s="1121">
        <f>SUM(DQ57:DQ75)</f>
        <v>981908772.79948997</v>
      </c>
      <c r="DR77" s="1121">
        <f>SUM(DR57:DR75)</f>
        <v>1918240732.1592727</v>
      </c>
      <c r="DS77" s="1119"/>
      <c r="DW77" s="1121">
        <f>SUM(DW57:DW75)</f>
        <v>5550863675.958252</v>
      </c>
      <c r="DX77" s="1121">
        <f>SUM(DX57:DX75)</f>
        <v>2650714170.9994912</v>
      </c>
      <c r="DY77" s="1121">
        <f>SUM(DY57:DY75)</f>
        <v>981908772.79948997</v>
      </c>
      <c r="DZ77" s="1121">
        <f>SUM(DZ57:DZ75)</f>
        <v>1918240732.1592727</v>
      </c>
      <c r="EA77" s="1119"/>
      <c r="EE77" s="1121">
        <f>SUM(EE57:EE75)</f>
        <v>5550863675.958252</v>
      </c>
      <c r="EF77" s="1121">
        <f>SUM(EF57:EF75)</f>
        <v>2650714170.9994912</v>
      </c>
      <c r="EG77" s="1121">
        <f>SUM(EG57:EG75)</f>
        <v>981908772.79948997</v>
      </c>
      <c r="EH77" s="1121">
        <f>SUM(EH57:EH75)</f>
        <v>1918240732.1592727</v>
      </c>
      <c r="EI77" s="1119"/>
      <c r="EM77" s="1121">
        <f>SUM(EM57:EM75)</f>
        <v>5550863675.958252</v>
      </c>
      <c r="EN77" s="1121">
        <f>SUM(EN57:EN75)</f>
        <v>2650714170.9994912</v>
      </c>
      <c r="EO77" s="1121">
        <f>SUM(EO57:EO75)</f>
        <v>981908772.79948997</v>
      </c>
      <c r="EP77" s="1121">
        <f>SUM(EP57:EP75)</f>
        <v>1918240732.1592727</v>
      </c>
      <c r="EQ77" s="1119"/>
      <c r="EU77" s="1121">
        <f>SUM(EU57:EU75)</f>
        <v>5550863675.958252</v>
      </c>
      <c r="EV77" s="1121">
        <f>SUM(EV57:EV75)</f>
        <v>2650714170.9994912</v>
      </c>
      <c r="EW77" s="1121">
        <f>SUM(EW57:EW75)</f>
        <v>981908772.79948997</v>
      </c>
      <c r="EX77" s="1121">
        <f>SUM(EX57:EX75)</f>
        <v>1918240732.1592727</v>
      </c>
      <c r="EY77" s="1119"/>
      <c r="FC77" s="1121">
        <f>SUM(FC57:FC75)</f>
        <v>5550863675.958252</v>
      </c>
      <c r="FD77" s="1121">
        <f>SUM(FD57:FD75)</f>
        <v>2650714170.9994912</v>
      </c>
      <c r="FE77" s="1121">
        <f>SUM(FE57:FE75)</f>
        <v>981908772.79948997</v>
      </c>
      <c r="FF77" s="1121">
        <f>SUM(FF57:FF75)</f>
        <v>1918240732.1592727</v>
      </c>
      <c r="FG77" s="1119"/>
      <c r="FK77" s="1121">
        <f>SUM(FK57:FK75)</f>
        <v>5550863675.958252</v>
      </c>
      <c r="FL77" s="1121">
        <f>SUM(FL57:FL75)</f>
        <v>2650714170.9994912</v>
      </c>
      <c r="FM77" s="1121">
        <f>SUM(FM57:FM75)</f>
        <v>981908772.79948997</v>
      </c>
      <c r="FN77" s="1121">
        <f>SUM(FN57:FN75)</f>
        <v>1918240732.1592727</v>
      </c>
      <c r="FO77" s="1119"/>
    </row>
    <row r="78" spans="1:171" x14ac:dyDescent="0.25">
      <c r="A78" s="926"/>
      <c r="B78" s="927"/>
      <c r="C78" s="55"/>
      <c r="D78" s="196"/>
      <c r="E78" s="196"/>
      <c r="F78" s="196"/>
      <c r="G78" s="928"/>
      <c r="H78" s="928"/>
      <c r="I78" s="928"/>
      <c r="J78" s="929"/>
      <c r="K78" s="904"/>
      <c r="O78" s="1080"/>
      <c r="P78" s="1080"/>
      <c r="Q78" s="1080"/>
      <c r="R78" s="1080"/>
      <c r="S78" s="1074"/>
      <c r="W78" s="1080"/>
      <c r="X78" s="1080"/>
      <c r="Y78" s="1080"/>
      <c r="Z78" s="1080"/>
      <c r="AA78" s="1074"/>
      <c r="AE78" s="1080"/>
      <c r="AF78" s="1080"/>
      <c r="AG78" s="1080"/>
      <c r="AH78" s="1080"/>
      <c r="AI78" s="1074"/>
      <c r="AM78" s="1080"/>
      <c r="AN78" s="1080"/>
      <c r="AO78" s="1080"/>
      <c r="AP78" s="1080"/>
      <c r="AQ78" s="1074"/>
      <c r="AU78" s="1080"/>
      <c r="AV78" s="1080"/>
      <c r="AW78" s="1080"/>
      <c r="AX78" s="1080"/>
      <c r="AY78" s="1074"/>
      <c r="BC78" s="1080"/>
      <c r="BD78" s="1080"/>
      <c r="BE78" s="1080"/>
      <c r="BF78" s="1080"/>
      <c r="BG78" s="1074"/>
      <c r="BK78" s="1080"/>
      <c r="BL78" s="1080"/>
      <c r="BM78" s="1080"/>
      <c r="BN78" s="1080"/>
      <c r="BO78" s="1074"/>
      <c r="BS78" s="1080"/>
      <c r="BT78" s="1080"/>
      <c r="BU78" s="1080"/>
      <c r="BV78" s="1080"/>
      <c r="BW78" s="1074"/>
      <c r="CA78" s="1080"/>
      <c r="CB78" s="1080"/>
      <c r="CC78" s="1080"/>
      <c r="CD78" s="1080"/>
      <c r="CE78" s="1074"/>
      <c r="CI78" s="1080"/>
      <c r="CJ78" s="1080"/>
      <c r="CK78" s="1080"/>
      <c r="CL78" s="1080"/>
      <c r="CM78" s="1074"/>
      <c r="CQ78" s="1080"/>
      <c r="CR78" s="1080"/>
      <c r="CS78" s="1080"/>
      <c r="CT78" s="1080"/>
      <c r="CU78" s="1074"/>
      <c r="CY78" s="1080"/>
      <c r="CZ78" s="1080"/>
      <c r="DA78" s="1080"/>
      <c r="DB78" s="1080"/>
      <c r="DC78" s="1074"/>
      <c r="DG78" s="1080"/>
      <c r="DH78" s="1080"/>
      <c r="DI78" s="1080"/>
      <c r="DJ78" s="1080"/>
      <c r="DK78" s="1074"/>
      <c r="DO78" s="1080"/>
      <c r="DP78" s="1080"/>
      <c r="DQ78" s="1080"/>
      <c r="DR78" s="1080"/>
      <c r="DS78" s="1074"/>
      <c r="DW78" s="1080"/>
      <c r="DX78" s="1080"/>
      <c r="DY78" s="1080"/>
      <c r="DZ78" s="1080"/>
      <c r="EA78" s="1074"/>
      <c r="EE78" s="1080"/>
      <c r="EF78" s="1080"/>
      <c r="EG78" s="1080"/>
      <c r="EH78" s="1080"/>
      <c r="EI78" s="1074"/>
      <c r="EM78" s="1080"/>
      <c r="EN78" s="1080"/>
      <c r="EO78" s="1080"/>
      <c r="EP78" s="1080"/>
      <c r="EQ78" s="1074"/>
      <c r="EU78" s="1080"/>
      <c r="EV78" s="1080"/>
      <c r="EW78" s="1080"/>
      <c r="EX78" s="1080"/>
      <c r="EY78" s="1074"/>
      <c r="FC78" s="1080"/>
      <c r="FD78" s="1080"/>
      <c r="FE78" s="1080"/>
      <c r="FF78" s="1080"/>
      <c r="FG78" s="1074"/>
      <c r="FK78" s="1080"/>
      <c r="FL78" s="1080"/>
      <c r="FM78" s="1080"/>
      <c r="FN78" s="1080"/>
      <c r="FO78" s="1074"/>
    </row>
    <row r="79" spans="1:171" x14ac:dyDescent="0.25">
      <c r="A79" s="209" t="s">
        <v>475</v>
      </c>
      <c r="B79" s="64"/>
      <c r="C79" s="915"/>
      <c r="D79" s="916"/>
      <c r="E79" s="916"/>
      <c r="F79" s="917"/>
      <c r="G79" s="924">
        <f>G52-G77</f>
        <v>8242315004.3195381</v>
      </c>
      <c r="H79" s="924">
        <f>H52-H77</f>
        <v>3341242672.1879716</v>
      </c>
      <c r="I79" s="924">
        <f>I52-I77</f>
        <v>0</v>
      </c>
      <c r="J79" s="1391">
        <f>J52-J77</f>
        <v>4900283983.3376942</v>
      </c>
      <c r="K79" s="904"/>
      <c r="O79" s="1126">
        <f>O52-O77</f>
        <v>8242315004.3195381</v>
      </c>
      <c r="P79" s="1126">
        <f>P52-P77</f>
        <v>3341242672.1879716</v>
      </c>
      <c r="Q79" s="1126">
        <f>Q52-Q77</f>
        <v>2509158824.6398802</v>
      </c>
      <c r="R79" s="1126">
        <f>R52-R77</f>
        <v>2391913507.4916844</v>
      </c>
      <c r="S79" s="1074"/>
      <c r="W79" s="1126">
        <f>W52-W77</f>
        <v>8242315004.3195381</v>
      </c>
      <c r="X79" s="1126">
        <f>X52-X77</f>
        <v>3341242672.1879716</v>
      </c>
      <c r="Y79" s="1126">
        <f>Y52-Y77</f>
        <v>2509158824.6398802</v>
      </c>
      <c r="Z79" s="1126">
        <f>Z52-Z77</f>
        <v>2391913507.4916844</v>
      </c>
      <c r="AA79" s="1074"/>
      <c r="AE79" s="1126">
        <f>AE52-AE77</f>
        <v>8242315004.3195381</v>
      </c>
      <c r="AF79" s="1126">
        <f>AF52-AF77</f>
        <v>3341242672.1879716</v>
      </c>
      <c r="AG79" s="1126">
        <f>AG52-AG77</f>
        <v>2509158824.6398802</v>
      </c>
      <c r="AH79" s="1126">
        <f>AH52-AH77</f>
        <v>2391913507.4916844</v>
      </c>
      <c r="AI79" s="1074"/>
      <c r="AM79" s="1126">
        <f>AM52-AM77</f>
        <v>8242315004.3195381</v>
      </c>
      <c r="AN79" s="1126">
        <f>AN52-AN77</f>
        <v>3341242672.1879716</v>
      </c>
      <c r="AO79" s="1126">
        <f>AO52-AO77</f>
        <v>2509158824.6398802</v>
      </c>
      <c r="AP79" s="1126">
        <f>AP52-AP77</f>
        <v>2391913507.4916844</v>
      </c>
      <c r="AQ79" s="1074"/>
      <c r="AU79" s="1126">
        <f>AU52-AU77</f>
        <v>8242315004.3195381</v>
      </c>
      <c r="AV79" s="1126">
        <f>AV52-AV77</f>
        <v>3341242672.1879716</v>
      </c>
      <c r="AW79" s="1126">
        <f>AW52-AW77</f>
        <v>2509158824.6398802</v>
      </c>
      <c r="AX79" s="1126">
        <f>AX52-AX77</f>
        <v>2391913507.4916844</v>
      </c>
      <c r="AY79" s="1074"/>
      <c r="BC79" s="1126">
        <f>BC52-BC77</f>
        <v>8242315004.3195381</v>
      </c>
      <c r="BD79" s="1126">
        <f>BD52-BD77</f>
        <v>3341242672.1879716</v>
      </c>
      <c r="BE79" s="1126">
        <f>BE52-BE77</f>
        <v>2509158824.6398802</v>
      </c>
      <c r="BF79" s="1126">
        <f>BF52-BF77</f>
        <v>2391913507.4916844</v>
      </c>
      <c r="BG79" s="1074"/>
      <c r="BK79" s="1126">
        <f>BK52-BK77</f>
        <v>8242315004.3195381</v>
      </c>
      <c r="BL79" s="1126">
        <f>BL52-BL77</f>
        <v>3341242672.1879716</v>
      </c>
      <c r="BM79" s="1126">
        <f>BM52-BM77</f>
        <v>2509158824.6398802</v>
      </c>
      <c r="BN79" s="1126">
        <f>BN52-BN77</f>
        <v>2391913507.4916844</v>
      </c>
      <c r="BO79" s="1074"/>
      <c r="BS79" s="1126">
        <f>BS52-BS77</f>
        <v>8242315004.3195381</v>
      </c>
      <c r="BT79" s="1126">
        <f>BT52-BT77</f>
        <v>3341242672.1879716</v>
      </c>
      <c r="BU79" s="1126">
        <f>BU52-BU77</f>
        <v>2509158824.6398802</v>
      </c>
      <c r="BV79" s="1126">
        <f>BV52-BV77</f>
        <v>2391913507.4916844</v>
      </c>
      <c r="BW79" s="1074"/>
      <c r="CA79" s="1126">
        <f>CA52-CA77</f>
        <v>8242315004.3195381</v>
      </c>
      <c r="CB79" s="1126">
        <f>CB52-CB77</f>
        <v>3341242672.1879716</v>
      </c>
      <c r="CC79" s="1126">
        <f>CC52-CC77</f>
        <v>2509158824.6398802</v>
      </c>
      <c r="CD79" s="1126">
        <f>CD52-CD77</f>
        <v>2391913507.4916844</v>
      </c>
      <c r="CE79" s="1074"/>
      <c r="CI79" s="1126">
        <f>CI52-CI77</f>
        <v>8242315004.3195381</v>
      </c>
      <c r="CJ79" s="1126">
        <f>CJ52-CJ77</f>
        <v>3341242672.1879716</v>
      </c>
      <c r="CK79" s="1126">
        <f>CK52-CK77</f>
        <v>2509158824.6398802</v>
      </c>
      <c r="CL79" s="1126">
        <f>CL52-CL77</f>
        <v>2391913507.4916844</v>
      </c>
      <c r="CM79" s="1074"/>
      <c r="CQ79" s="1126">
        <f>CQ52-CQ77</f>
        <v>8242315004.3195381</v>
      </c>
      <c r="CR79" s="1126">
        <f>CR52-CR77</f>
        <v>3341242672.1879716</v>
      </c>
      <c r="CS79" s="1126">
        <f>CS52-CS77</f>
        <v>2509158824.6398802</v>
      </c>
      <c r="CT79" s="1126">
        <f>CT52-CT77</f>
        <v>2391913507.4916844</v>
      </c>
      <c r="CU79" s="1074"/>
      <c r="CY79" s="1126">
        <f>CY52-CY77</f>
        <v>8242315004.3195381</v>
      </c>
      <c r="CZ79" s="1126">
        <f>CZ52-CZ77</f>
        <v>3341242672.1879716</v>
      </c>
      <c r="DA79" s="1126">
        <f>DA52-DA77</f>
        <v>2509158824.6398802</v>
      </c>
      <c r="DB79" s="1126">
        <f>DB52-DB77</f>
        <v>2391913507.4916844</v>
      </c>
      <c r="DC79" s="1074"/>
      <c r="DG79" s="1126">
        <f>DG52-DG77</f>
        <v>8242315004.3195381</v>
      </c>
      <c r="DH79" s="1126">
        <f>DH52-DH77</f>
        <v>3341242672.1879716</v>
      </c>
      <c r="DI79" s="1126">
        <f>DI52-DI77</f>
        <v>2509158824.6398802</v>
      </c>
      <c r="DJ79" s="1126">
        <f>DJ52-DJ77</f>
        <v>2391913507.4916844</v>
      </c>
      <c r="DK79" s="1074"/>
      <c r="DO79" s="1126">
        <f>DO52-DO77</f>
        <v>8242315004.3195381</v>
      </c>
      <c r="DP79" s="1126">
        <f>DP52-DP77</f>
        <v>3341242672.1879716</v>
      </c>
      <c r="DQ79" s="1126">
        <f>DQ52-DQ77</f>
        <v>2509158824.6398802</v>
      </c>
      <c r="DR79" s="1126">
        <f>DR52-DR77</f>
        <v>2391913507.4916844</v>
      </c>
      <c r="DS79" s="1074"/>
      <c r="DW79" s="1126">
        <f>DW52-DW77</f>
        <v>8242315004.3195381</v>
      </c>
      <c r="DX79" s="1126">
        <f>DX52-DX77</f>
        <v>3341242672.1879716</v>
      </c>
      <c r="DY79" s="1126">
        <f>DY52-DY77</f>
        <v>2509158824.6398802</v>
      </c>
      <c r="DZ79" s="1126">
        <f>DZ52-DZ77</f>
        <v>2391913507.4916844</v>
      </c>
      <c r="EA79" s="1074"/>
      <c r="EE79" s="1126">
        <f>EE52-EE77</f>
        <v>8242315004.3195381</v>
      </c>
      <c r="EF79" s="1126">
        <f>EF52-EF77</f>
        <v>3341242672.1879716</v>
      </c>
      <c r="EG79" s="1126">
        <f>EG52-EG77</f>
        <v>2509158824.6398802</v>
      </c>
      <c r="EH79" s="1126">
        <f>EH52-EH77</f>
        <v>2391913507.4916844</v>
      </c>
      <c r="EI79" s="1074"/>
      <c r="EM79" s="1126">
        <f>EM52-EM77</f>
        <v>8242315004.3195381</v>
      </c>
      <c r="EN79" s="1126">
        <f>EN52-EN77</f>
        <v>3341242672.1879716</v>
      </c>
      <c r="EO79" s="1126">
        <f>EO52-EO77</f>
        <v>2509158824.6398802</v>
      </c>
      <c r="EP79" s="1126">
        <f>EP52-EP77</f>
        <v>2391913507.4916844</v>
      </c>
      <c r="EQ79" s="1074"/>
      <c r="EU79" s="1126">
        <f>EU52-EU77</f>
        <v>8242315004.3195381</v>
      </c>
      <c r="EV79" s="1126">
        <f>EV52-EV77</f>
        <v>3341242672.1879716</v>
      </c>
      <c r="EW79" s="1126">
        <f>EW52-EW77</f>
        <v>2509158824.6398802</v>
      </c>
      <c r="EX79" s="1126">
        <f>EX52-EX77</f>
        <v>2391913507.4916844</v>
      </c>
      <c r="EY79" s="1074"/>
      <c r="FC79" s="1126">
        <f>FC52-FC77</f>
        <v>8242315004.3195381</v>
      </c>
      <c r="FD79" s="1126">
        <f>FD52-FD77</f>
        <v>3341242672.1879716</v>
      </c>
      <c r="FE79" s="1126">
        <f>FE52-FE77</f>
        <v>2509158824.6398802</v>
      </c>
      <c r="FF79" s="1126">
        <f>FF52-FF77</f>
        <v>2391913507.4916844</v>
      </c>
      <c r="FG79" s="1074"/>
      <c r="FK79" s="1126">
        <f>FK52-FK77</f>
        <v>8242315004.3195381</v>
      </c>
      <c r="FL79" s="1126">
        <f>FL52-FL77</f>
        <v>3341242672.1879716</v>
      </c>
      <c r="FM79" s="1126">
        <f>FM52-FM77</f>
        <v>2509158824.6398802</v>
      </c>
      <c r="FN79" s="1126">
        <f>FN52-FN77</f>
        <v>2391913507.4916844</v>
      </c>
      <c r="FO79" s="1074"/>
    </row>
    <row r="80" spans="1:171" x14ac:dyDescent="0.25">
      <c r="A80" s="213" t="s">
        <v>84</v>
      </c>
      <c r="B80" s="64"/>
      <c r="C80" s="55"/>
      <c r="D80" s="55"/>
      <c r="E80" s="930"/>
      <c r="F80" s="930"/>
      <c r="G80" s="911"/>
      <c r="H80" s="911"/>
      <c r="I80" s="911"/>
      <c r="J80" s="222"/>
      <c r="K80" s="904"/>
      <c r="O80" s="1080"/>
      <c r="P80" s="1080"/>
      <c r="Q80" s="1080"/>
      <c r="R80" s="1080"/>
      <c r="S80" s="1074"/>
      <c r="W80" s="1080"/>
      <c r="X80" s="1080"/>
      <c r="Y80" s="1080"/>
      <c r="Z80" s="1080"/>
      <c r="AA80" s="1074"/>
      <c r="AE80" s="1080"/>
      <c r="AF80" s="1080"/>
      <c r="AG80" s="1080"/>
      <c r="AH80" s="1080"/>
      <c r="AI80" s="1074"/>
      <c r="AM80" s="1080"/>
      <c r="AN80" s="1080"/>
      <c r="AO80" s="1080"/>
      <c r="AP80" s="1080"/>
      <c r="AQ80" s="1074"/>
      <c r="AU80" s="1080"/>
      <c r="AV80" s="1080"/>
      <c r="AW80" s="1080"/>
      <c r="AX80" s="1080"/>
      <c r="AY80" s="1074"/>
      <c r="BC80" s="1080"/>
      <c r="BD80" s="1080"/>
      <c r="BE80" s="1080"/>
      <c r="BF80" s="1080"/>
      <c r="BG80" s="1074"/>
      <c r="BK80" s="1080"/>
      <c r="BL80" s="1080"/>
      <c r="BM80" s="1080"/>
      <c r="BN80" s="1080"/>
      <c r="BO80" s="1074"/>
      <c r="BS80" s="1080"/>
      <c r="BT80" s="1080"/>
      <c r="BU80" s="1080"/>
      <c r="BV80" s="1080"/>
      <c r="BW80" s="1074"/>
      <c r="CA80" s="1080"/>
      <c r="CB80" s="1080"/>
      <c r="CC80" s="1080"/>
      <c r="CD80" s="1080"/>
      <c r="CE80" s="1074"/>
      <c r="CI80" s="1080"/>
      <c r="CJ80" s="1080"/>
      <c r="CK80" s="1080"/>
      <c r="CL80" s="1080"/>
      <c r="CM80" s="1074"/>
      <c r="CQ80" s="1080"/>
      <c r="CR80" s="1080"/>
      <c r="CS80" s="1080"/>
      <c r="CT80" s="1080"/>
      <c r="CU80" s="1074"/>
      <c r="CY80" s="1080"/>
      <c r="CZ80" s="1080"/>
      <c r="DA80" s="1080"/>
      <c r="DB80" s="1080"/>
      <c r="DC80" s="1074"/>
      <c r="DG80" s="1080"/>
      <c r="DH80" s="1080"/>
      <c r="DI80" s="1080"/>
      <c r="DJ80" s="1080"/>
      <c r="DK80" s="1074"/>
      <c r="DO80" s="1080"/>
      <c r="DP80" s="1080"/>
      <c r="DQ80" s="1080"/>
      <c r="DR80" s="1080"/>
      <c r="DS80" s="1074"/>
      <c r="DW80" s="1080"/>
      <c r="DX80" s="1080"/>
      <c r="DY80" s="1080"/>
      <c r="DZ80" s="1080"/>
      <c r="EA80" s="1074"/>
      <c r="EE80" s="1080"/>
      <c r="EF80" s="1080"/>
      <c r="EG80" s="1080"/>
      <c r="EH80" s="1080"/>
      <c r="EI80" s="1074"/>
      <c r="EM80" s="1080"/>
      <c r="EN80" s="1080"/>
      <c r="EO80" s="1080"/>
      <c r="EP80" s="1080"/>
      <c r="EQ80" s="1074"/>
      <c r="EU80" s="1080"/>
      <c r="EV80" s="1080"/>
      <c r="EW80" s="1080"/>
      <c r="EX80" s="1080"/>
      <c r="EY80" s="1074"/>
      <c r="FC80" s="1080"/>
      <c r="FD80" s="1080"/>
      <c r="FE80" s="1080"/>
      <c r="FF80" s="1080"/>
      <c r="FG80" s="1074"/>
      <c r="FK80" s="1080"/>
      <c r="FL80" s="1080"/>
      <c r="FM80" s="1080"/>
      <c r="FN80" s="1080"/>
      <c r="FO80" s="1074"/>
    </row>
    <row r="81" spans="1:171" ht="16.5" thickBot="1" x14ac:dyDescent="0.3">
      <c r="A81" s="931"/>
      <c r="B81" s="932"/>
      <c r="C81" s="933"/>
      <c r="D81" s="933"/>
      <c r="E81" s="934"/>
      <c r="F81" s="934"/>
      <c r="G81" s="935"/>
      <c r="H81" s="935"/>
      <c r="I81" s="935"/>
      <c r="J81" s="936"/>
      <c r="K81" s="904"/>
      <c r="O81" s="1080"/>
      <c r="P81" s="1080"/>
      <c r="Q81" s="1080"/>
      <c r="R81" s="1080"/>
      <c r="S81" s="1074"/>
      <c r="W81" s="1080"/>
      <c r="X81" s="1080"/>
      <c r="Y81" s="1080"/>
      <c r="Z81" s="1080"/>
      <c r="AA81" s="1074"/>
      <c r="AE81" s="1080"/>
      <c r="AF81" s="1080"/>
      <c r="AG81" s="1080"/>
      <c r="AH81" s="1080"/>
      <c r="AI81" s="1074"/>
      <c r="AM81" s="1080"/>
      <c r="AN81" s="1080"/>
      <c r="AO81" s="1080"/>
      <c r="AP81" s="1080"/>
      <c r="AQ81" s="1074"/>
      <c r="AU81" s="1080"/>
      <c r="AV81" s="1080"/>
      <c r="AW81" s="1080"/>
      <c r="AX81" s="1080"/>
      <c r="AY81" s="1074"/>
      <c r="BC81" s="1080"/>
      <c r="BD81" s="1080"/>
      <c r="BE81" s="1080"/>
      <c r="BF81" s="1080"/>
      <c r="BG81" s="1074"/>
      <c r="BK81" s="1080"/>
      <c r="BL81" s="1080"/>
      <c r="BM81" s="1080"/>
      <c r="BN81" s="1080"/>
      <c r="BO81" s="1074"/>
      <c r="BS81" s="1080"/>
      <c r="BT81" s="1080"/>
      <c r="BU81" s="1080"/>
      <c r="BV81" s="1080"/>
      <c r="BW81" s="1074"/>
      <c r="CA81" s="1080"/>
      <c r="CB81" s="1080"/>
      <c r="CC81" s="1080"/>
      <c r="CD81" s="1080"/>
      <c r="CE81" s="1074"/>
      <c r="CI81" s="1080"/>
      <c r="CJ81" s="1080"/>
      <c r="CK81" s="1080"/>
      <c r="CL81" s="1080"/>
      <c r="CM81" s="1074"/>
      <c r="CQ81" s="1080"/>
      <c r="CR81" s="1080"/>
      <c r="CS81" s="1080"/>
      <c r="CT81" s="1080"/>
      <c r="CU81" s="1074"/>
      <c r="CY81" s="1080"/>
      <c r="CZ81" s="1080"/>
      <c r="DA81" s="1080"/>
      <c r="DB81" s="1080"/>
      <c r="DC81" s="1074"/>
      <c r="DG81" s="1080"/>
      <c r="DH81" s="1080"/>
      <c r="DI81" s="1080"/>
      <c r="DJ81" s="1080"/>
      <c r="DK81" s="1074"/>
      <c r="DO81" s="1080"/>
      <c r="DP81" s="1080"/>
      <c r="DQ81" s="1080"/>
      <c r="DR81" s="1080"/>
      <c r="DS81" s="1074"/>
      <c r="DW81" s="1080"/>
      <c r="DX81" s="1080"/>
      <c r="DY81" s="1080"/>
      <c r="DZ81" s="1080"/>
      <c r="EA81" s="1074"/>
      <c r="EE81" s="1080"/>
      <c r="EF81" s="1080"/>
      <c r="EG81" s="1080"/>
      <c r="EH81" s="1080"/>
      <c r="EI81" s="1074"/>
      <c r="EM81" s="1080"/>
      <c r="EN81" s="1080"/>
      <c r="EO81" s="1080"/>
      <c r="EP81" s="1080"/>
      <c r="EQ81" s="1074"/>
      <c r="EU81" s="1080"/>
      <c r="EV81" s="1080"/>
      <c r="EW81" s="1080"/>
      <c r="EX81" s="1080"/>
      <c r="EY81" s="1074"/>
      <c r="FC81" s="1080"/>
      <c r="FD81" s="1080"/>
      <c r="FE81" s="1080"/>
      <c r="FF81" s="1080"/>
      <c r="FG81" s="1074"/>
      <c r="FK81" s="1080"/>
      <c r="FL81" s="1080"/>
      <c r="FM81" s="1080"/>
      <c r="FN81" s="1080"/>
      <c r="FO81" s="1074"/>
    </row>
    <row r="82" spans="1:171" ht="16.5" thickTop="1" x14ac:dyDescent="0.25">
      <c r="A82" s="160" t="s">
        <v>76</v>
      </c>
      <c r="B82" s="64"/>
      <c r="C82" s="55"/>
      <c r="D82" s="55"/>
      <c r="E82" s="930"/>
      <c r="F82" s="930"/>
      <c r="G82" s="911"/>
      <c r="H82" s="911"/>
      <c r="I82" s="911"/>
      <c r="J82" s="222"/>
      <c r="K82" s="904"/>
      <c r="O82" s="1080"/>
      <c r="P82" s="1080"/>
      <c r="Q82" s="1080"/>
      <c r="R82" s="1080"/>
      <c r="S82" s="1074"/>
      <c r="W82" s="1080"/>
      <c r="X82" s="1080"/>
      <c r="Y82" s="1080"/>
      <c r="Z82" s="1080"/>
      <c r="AA82" s="1074"/>
      <c r="AE82" s="1080"/>
      <c r="AF82" s="1080"/>
      <c r="AG82" s="1080"/>
      <c r="AH82" s="1080"/>
      <c r="AI82" s="1074"/>
      <c r="AM82" s="1080"/>
      <c r="AN82" s="1080"/>
      <c r="AO82" s="1080"/>
      <c r="AP82" s="1080"/>
      <c r="AQ82" s="1074"/>
      <c r="AU82" s="1080"/>
      <c r="AV82" s="1080"/>
      <c r="AW82" s="1080"/>
      <c r="AX82" s="1080"/>
      <c r="AY82" s="1074"/>
      <c r="BC82" s="1080"/>
      <c r="BD82" s="1080"/>
      <c r="BE82" s="1080"/>
      <c r="BF82" s="1080"/>
      <c r="BG82" s="1074"/>
      <c r="BK82" s="1080"/>
      <c r="BL82" s="1080"/>
      <c r="BM82" s="1080"/>
      <c r="BN82" s="1080"/>
      <c r="BO82" s="1074"/>
      <c r="BS82" s="1080"/>
      <c r="BT82" s="1080"/>
      <c r="BU82" s="1080"/>
      <c r="BV82" s="1080"/>
      <c r="BW82" s="1074"/>
      <c r="CA82" s="1080"/>
      <c r="CB82" s="1080"/>
      <c r="CC82" s="1080"/>
      <c r="CD82" s="1080"/>
      <c r="CE82" s="1074"/>
      <c r="CI82" s="1080"/>
      <c r="CJ82" s="1080"/>
      <c r="CK82" s="1080"/>
      <c r="CL82" s="1080"/>
      <c r="CM82" s="1074"/>
      <c r="CQ82" s="1080"/>
      <c r="CR82" s="1080"/>
      <c r="CS82" s="1080"/>
      <c r="CT82" s="1080"/>
      <c r="CU82" s="1074"/>
      <c r="CY82" s="1080"/>
      <c r="CZ82" s="1080"/>
      <c r="DA82" s="1080"/>
      <c r="DB82" s="1080"/>
      <c r="DC82" s="1074"/>
      <c r="DG82" s="1080"/>
      <c r="DH82" s="1080"/>
      <c r="DI82" s="1080"/>
      <c r="DJ82" s="1080"/>
      <c r="DK82" s="1074"/>
      <c r="DO82" s="1080"/>
      <c r="DP82" s="1080"/>
      <c r="DQ82" s="1080"/>
      <c r="DR82" s="1080"/>
      <c r="DS82" s="1074"/>
      <c r="DW82" s="1080"/>
      <c r="DX82" s="1080"/>
      <c r="DY82" s="1080"/>
      <c r="DZ82" s="1080"/>
      <c r="EA82" s="1074"/>
      <c r="EE82" s="1080"/>
      <c r="EF82" s="1080"/>
      <c r="EG82" s="1080"/>
      <c r="EH82" s="1080"/>
      <c r="EI82" s="1074"/>
      <c r="EM82" s="1080"/>
      <c r="EN82" s="1080"/>
      <c r="EO82" s="1080"/>
      <c r="EP82" s="1080"/>
      <c r="EQ82" s="1074"/>
      <c r="EU82" s="1080"/>
      <c r="EV82" s="1080"/>
      <c r="EW82" s="1080"/>
      <c r="EX82" s="1080"/>
      <c r="EY82" s="1074"/>
      <c r="FC82" s="1080"/>
      <c r="FD82" s="1080"/>
      <c r="FE82" s="1080"/>
      <c r="FF82" s="1080"/>
      <c r="FG82" s="1074"/>
      <c r="FK82" s="1080"/>
      <c r="FL82" s="1080"/>
      <c r="FM82" s="1080"/>
      <c r="FN82" s="1080"/>
      <c r="FO82" s="1074"/>
    </row>
    <row r="83" spans="1:171" x14ac:dyDescent="0.25">
      <c r="A83" s="160"/>
      <c r="B83" s="64"/>
      <c r="C83" s="55"/>
      <c r="D83" s="55"/>
      <c r="E83" s="930"/>
      <c r="F83" s="930"/>
      <c r="G83" s="886"/>
      <c r="H83" s="886"/>
      <c r="I83" s="886"/>
      <c r="J83" s="937"/>
      <c r="K83" s="904"/>
      <c r="O83" s="1080"/>
      <c r="P83" s="1080"/>
      <c r="Q83" s="1080"/>
      <c r="R83" s="1080"/>
      <c r="S83" s="1074"/>
      <c r="W83" s="1080"/>
      <c r="X83" s="1080"/>
      <c r="Y83" s="1080"/>
      <c r="Z83" s="1080"/>
      <c r="AA83" s="1074"/>
      <c r="AE83" s="1080"/>
      <c r="AF83" s="1080"/>
      <c r="AG83" s="1080"/>
      <c r="AH83" s="1080"/>
      <c r="AI83" s="1074"/>
      <c r="AM83" s="1080"/>
      <c r="AN83" s="1080"/>
      <c r="AO83" s="1080"/>
      <c r="AP83" s="1080"/>
      <c r="AQ83" s="1074"/>
      <c r="AU83" s="1080"/>
      <c r="AV83" s="1080"/>
      <c r="AW83" s="1080"/>
      <c r="AX83" s="1080"/>
      <c r="AY83" s="1074"/>
      <c r="BC83" s="1080"/>
      <c r="BD83" s="1080"/>
      <c r="BE83" s="1080"/>
      <c r="BF83" s="1080"/>
      <c r="BG83" s="1074"/>
      <c r="BK83" s="1080"/>
      <c r="BL83" s="1080"/>
      <c r="BM83" s="1080"/>
      <c r="BN83" s="1080"/>
      <c r="BO83" s="1074"/>
      <c r="BS83" s="1080"/>
      <c r="BT83" s="1080"/>
      <c r="BU83" s="1080"/>
      <c r="BV83" s="1080"/>
      <c r="BW83" s="1074"/>
      <c r="CA83" s="1080"/>
      <c r="CB83" s="1080"/>
      <c r="CC83" s="1080"/>
      <c r="CD83" s="1080"/>
      <c r="CE83" s="1074"/>
      <c r="CI83" s="1080"/>
      <c r="CJ83" s="1080"/>
      <c r="CK83" s="1080"/>
      <c r="CL83" s="1080"/>
      <c r="CM83" s="1074"/>
      <c r="CQ83" s="1080"/>
      <c r="CR83" s="1080"/>
      <c r="CS83" s="1080"/>
      <c r="CT83" s="1080"/>
      <c r="CU83" s="1074"/>
      <c r="CY83" s="1080"/>
      <c r="CZ83" s="1080"/>
      <c r="DA83" s="1080"/>
      <c r="DB83" s="1080"/>
      <c r="DC83" s="1074"/>
      <c r="DG83" s="1080"/>
      <c r="DH83" s="1080"/>
      <c r="DI83" s="1080"/>
      <c r="DJ83" s="1080"/>
      <c r="DK83" s="1074"/>
      <c r="DO83" s="1080"/>
      <c r="DP83" s="1080"/>
      <c r="DQ83" s="1080"/>
      <c r="DR83" s="1080"/>
      <c r="DS83" s="1074"/>
      <c r="DW83" s="1080"/>
      <c r="DX83" s="1080"/>
      <c r="DY83" s="1080"/>
      <c r="DZ83" s="1080"/>
      <c r="EA83" s="1074"/>
      <c r="EE83" s="1080"/>
      <c r="EF83" s="1080"/>
      <c r="EG83" s="1080"/>
      <c r="EH83" s="1080"/>
      <c r="EI83" s="1074"/>
      <c r="EM83" s="1080"/>
      <c r="EN83" s="1080"/>
      <c r="EO83" s="1080"/>
      <c r="EP83" s="1080"/>
      <c r="EQ83" s="1074"/>
      <c r="EU83" s="1080"/>
      <c r="EV83" s="1080"/>
      <c r="EW83" s="1080"/>
      <c r="EX83" s="1080"/>
      <c r="EY83" s="1074"/>
      <c r="FC83" s="1080"/>
      <c r="FD83" s="1080"/>
      <c r="FE83" s="1080"/>
      <c r="FF83" s="1080"/>
      <c r="FG83" s="1074"/>
      <c r="FK83" s="1080"/>
      <c r="FL83" s="1080"/>
      <c r="FM83" s="1080"/>
      <c r="FN83" s="1080"/>
      <c r="FO83" s="1074"/>
    </row>
    <row r="84" spans="1:171" x14ac:dyDescent="0.25">
      <c r="A84" s="267" t="s">
        <v>144</v>
      </c>
      <c r="B84" s="938"/>
      <c r="C84" s="889" t="s">
        <v>621</v>
      </c>
      <c r="D84" s="889"/>
      <c r="E84" s="182">
        <f>'Sch 1- Rate Base '!E84</f>
        <v>0</v>
      </c>
      <c r="F84" s="890"/>
      <c r="G84" s="182">
        <f>'Sch 1- Rate Base '!G84</f>
        <v>181575345.50577956</v>
      </c>
      <c r="H84" s="182">
        <f>'Sch 1- Rate Base '!H84</f>
        <v>79592024.492308259</v>
      </c>
      <c r="I84" s="182">
        <f>'Sch 1- Rate Base '!I84</f>
        <v>23892855.711776573</v>
      </c>
      <c r="J84" s="183">
        <f>'Sch 1- Rate Base '!J84</f>
        <v>78090465.301694751</v>
      </c>
      <c r="K84" s="904"/>
      <c r="O84" s="1127">
        <f>(O196+O202+O207+O215+O235-(O176+O180+O187+O191+O194+O195+$G$85))/8</f>
        <v>181575345.50577956</v>
      </c>
      <c r="P84" s="1127">
        <f>(P196+P202+P207+P215+P235-(P176+P180+P187+P191+P194+P195+$H$85))/8</f>
        <v>87836042.04533717</v>
      </c>
      <c r="Q84" s="1127">
        <f>(Q196+Q202+Q207+Q215+Q235-(Q176+Q180+Q187+Q191+Q194+Q195))/8</f>
        <v>6918146.4432932949</v>
      </c>
      <c r="R84" s="1127">
        <f>(R196+R202+R207+R215+R235-(R176+R180+R187+R191+R194+R195))/8</f>
        <v>86821157.017149121</v>
      </c>
      <c r="S84" s="1074"/>
      <c r="W84" s="1127">
        <f>(W196+W202+W207+W215+W235-(W176+W180+W187+W191+W194+W195+$G$85))/8</f>
        <v>181575345.50577956</v>
      </c>
      <c r="X84" s="1127">
        <f>(X196+X202+X207+X215+X235-(X176+X180+X187+X191+X194+X195+$H$85))/8</f>
        <v>87836042.04533717</v>
      </c>
      <c r="Y84" s="1127">
        <f>(Y196+Y202+Y207+Y215+Y235-(Y176+Y180+Y187+Y191+Y194+Y195))/8</f>
        <v>6918146.4432932949</v>
      </c>
      <c r="Z84" s="1127">
        <f>(Z196+Z202+Z207+Z215+Z235-(Z176+Z180+Z187+Z191+Z194+Z195))/8</f>
        <v>86821157.017149121</v>
      </c>
      <c r="AA84" s="1074"/>
      <c r="AE84" s="1127">
        <f>(AE196+AE202+AE207+AE215+AE235-(AE176+AE180+AE187+AE191+AE194+AE195+$G$85))/8</f>
        <v>181575345.50577956</v>
      </c>
      <c r="AF84" s="1127">
        <f>(AF196+AF202+AF207+AF215+AF235-(AF176+AF180+AF187+AF191+AF194+AF195+$H$85))/8</f>
        <v>87836042.04533717</v>
      </c>
      <c r="AG84" s="1127">
        <f>(AG196+AG202+AG207+AG215+AG235-(AG176+AG180+AG187+AG191+AG194+AG195))/8</f>
        <v>6918146.4432932949</v>
      </c>
      <c r="AH84" s="1127">
        <f>(AH196+AH202+AH207+AH215+AH235-(AH176+AH180+AH187+AH191+AH194+AH195))/8</f>
        <v>86821157.017149121</v>
      </c>
      <c r="AI84" s="1074"/>
      <c r="AM84" s="1127">
        <f>(AM196+AM202+AM207+AM215+AM235-(AM176+AM180+AM187+AM191+AM194+AM195+$G$85))/8</f>
        <v>181575345.50577956</v>
      </c>
      <c r="AN84" s="1127">
        <f>(AN196+AN202+AN207+AN215+AN235-(AN176+AN180+AN187+AN191+AN194+AN195+$H$85))/8</f>
        <v>87836042.04533717</v>
      </c>
      <c r="AO84" s="1127">
        <f>(AO196+AO202+AO207+AO215+AO235-(AO176+AO180+AO187+AO191+AO194+AO195))/8</f>
        <v>6918146.4432932949</v>
      </c>
      <c r="AP84" s="1127">
        <f>(AP196+AP202+AP207+AP215+AP235-(AP176+AP180+AP187+AP191+AP194+AP195))/8</f>
        <v>86821157.017149121</v>
      </c>
      <c r="AQ84" s="1074"/>
      <c r="AU84" s="1127">
        <f>(AU196+AU202+AU207+AU215+AU235-(AU176+AU180+AU187+AU191+AU194+AU195+$G$85))/8</f>
        <v>181575345.50577956</v>
      </c>
      <c r="AV84" s="1127">
        <f>(AV196+AV202+AV207+AV215+AV235-(AV176+AV180+AV187+AV191+AV194+AV195+$H$85))/8</f>
        <v>87836042.04533717</v>
      </c>
      <c r="AW84" s="1127">
        <f>(AW196+AW202+AW207+AW215+AW235-(AW176+AW180+AW187+AW191+AW194+AW195))/8</f>
        <v>6918146.4432932949</v>
      </c>
      <c r="AX84" s="1127">
        <f>(AX196+AX202+AX207+AX215+AX235-(AX176+AX180+AX187+AX191+AX194+AX195))/8</f>
        <v>86821157.017149121</v>
      </c>
      <c r="AY84" s="1074"/>
      <c r="BC84" s="1127">
        <f>(BC196+BC202+BC207+BC215+BC235-(BC176+BC180+BC187+BC191+BC194+BC195+$G$85))/8</f>
        <v>181575345.50577956</v>
      </c>
      <c r="BD84" s="1127">
        <f>(BD196+BD202+BD207+BD215+BD235-(BD176+BD180+BD187+BD191+BD194+BD195+$H$85))/8</f>
        <v>87836042.04533717</v>
      </c>
      <c r="BE84" s="1127">
        <f>(BE196+BE202+BE207+BE215+BE235-(BE176+BE180+BE187+BE191+BE194+BE195))/8</f>
        <v>6918146.4432932949</v>
      </c>
      <c r="BF84" s="1127">
        <f>(BF196+BF202+BF207+BF215+BF235-(BF176+BF180+BF187+BF191+BF194+BF195))/8</f>
        <v>86821157.017149121</v>
      </c>
      <c r="BG84" s="1074"/>
      <c r="BK84" s="1127">
        <f>(BK196+BK202+BK207+BK215+BK235-(BK176+BK180+BK187+BK191+BK194+BK195+$G$85))/8</f>
        <v>181575345.50577956</v>
      </c>
      <c r="BL84" s="1127">
        <f>(BL196+BL202+BL207+BL215+BL235-(BL176+BL180+BL187+BL191+BL194+BL195+$H$85))/8</f>
        <v>87836042.04533717</v>
      </c>
      <c r="BM84" s="1127">
        <f>(BM196+BM202+BM207+BM215+BM235-(BM176+BM180+BM187+BM191+BM194+BM195))/8</f>
        <v>6918146.4432932949</v>
      </c>
      <c r="BN84" s="1127">
        <f>(BN196+BN202+BN207+BN215+BN235-(BN176+BN180+BN187+BN191+BN194+BN195))/8</f>
        <v>86821157.017149121</v>
      </c>
      <c r="BO84" s="1074"/>
      <c r="BS84" s="1127">
        <f>(BS196+BS202+BS207+BS215+BS235-(BS176+BS180+BS187+BS191+BS194+BS195+$G$85))/8</f>
        <v>181575345.50577956</v>
      </c>
      <c r="BT84" s="1127">
        <f>(BT196+BT202+BT207+BT215+BT235-(BT176+BT180+BT187+BT191+BT194+BT195+$H$85))/8</f>
        <v>87836042.04533717</v>
      </c>
      <c r="BU84" s="1127">
        <f>(BU196+BU202+BU207+BU215+BU235-(BU176+BU180+BU187+BU191+BU194+BU195))/8</f>
        <v>6918146.4432932949</v>
      </c>
      <c r="BV84" s="1127">
        <f>(BV196+BV202+BV207+BV215+BV235-(BV176+BV180+BV187+BV191+BV194+BV195))/8</f>
        <v>86821157.017149121</v>
      </c>
      <c r="BW84" s="1074"/>
      <c r="CA84" s="1127">
        <f>(CA196+CA202+CA207+CA215+CA235-(CA176+CA180+CA187+CA191+CA194+CA195+$G$85))/8</f>
        <v>181575345.50577956</v>
      </c>
      <c r="CB84" s="1127">
        <f>(CB196+CB202+CB207+CB215+CB235-(CB176+CB180+CB187+CB191+CB194+CB195+$H$85))/8</f>
        <v>87836042.04533717</v>
      </c>
      <c r="CC84" s="1127">
        <f>(CC196+CC202+CC207+CC215+CC235-(CC176+CC180+CC187+CC191+CC194+CC195))/8</f>
        <v>6918146.4432932949</v>
      </c>
      <c r="CD84" s="1127">
        <f>(CD196+CD202+CD207+CD215+CD235-(CD176+CD180+CD187+CD191+CD194+CD195))/8</f>
        <v>86821157.017149121</v>
      </c>
      <c r="CE84" s="1074"/>
      <c r="CI84" s="1127">
        <f>(CI196+CI202+CI207+CI215+CI235-(CI176+CI180+CI187+CI191+CI194+CI195+$G$85))/8</f>
        <v>181575345.50577956</v>
      </c>
      <c r="CJ84" s="1127">
        <f>(CJ196+CJ202+CJ207+CJ215+CJ235-(CJ176+CJ180+CJ187+CJ191+CJ194+CJ195+$H$85))/8</f>
        <v>87836042.04533717</v>
      </c>
      <c r="CK84" s="1127">
        <f>(CK196+CK202+CK207+CK215+CK235-(CK176+CK180+CK187+CK191+CK194+CK195))/8</f>
        <v>6918146.4432932949</v>
      </c>
      <c r="CL84" s="1127">
        <f>(CL196+CL202+CL207+CL215+CL235-(CL176+CL180+CL187+CL191+CL194+CL195))/8</f>
        <v>86821157.017149121</v>
      </c>
      <c r="CM84" s="1074"/>
      <c r="CQ84" s="1127">
        <f>(CQ196+CQ202+CQ207+CQ215+CQ235-(CQ176+CQ180+CQ187+CQ191+CQ194+CQ195+$G$85))/8</f>
        <v>181575345.50577956</v>
      </c>
      <c r="CR84" s="1127">
        <f>(CR196+CR202+CR207+CR215+CR235-(CR176+CR180+CR187+CR191+CR194+CR195+$H$85))/8</f>
        <v>87836042.04533717</v>
      </c>
      <c r="CS84" s="1127">
        <f>(CS196+CS202+CS207+CS215+CS235-(CS176+CS180+CS187+CS191+CS194+CS195))/8</f>
        <v>6918146.4432932949</v>
      </c>
      <c r="CT84" s="1127">
        <f>(CT196+CT202+CT207+CT215+CT235-(CT176+CT180+CT187+CT191+CT194+CT195))/8</f>
        <v>86821157.017149121</v>
      </c>
      <c r="CU84" s="1074"/>
      <c r="CY84" s="1127">
        <f>(CY196+CY202+CY207+CY215+CY235-(CY176+CY180+CY187+CY191+CY194+CY195+$G$85))/8</f>
        <v>181575345.50577956</v>
      </c>
      <c r="CZ84" s="1127">
        <f>(CZ196+CZ202+CZ207+CZ215+CZ235-(CZ176+CZ180+CZ187+CZ191+CZ194+CZ195+$H$85))/8</f>
        <v>87836042.04533717</v>
      </c>
      <c r="DA84" s="1127">
        <f>(DA196+DA202+DA207+DA215+DA235-(DA176+DA180+DA187+DA191+DA194+DA195))/8</f>
        <v>6918146.4432932949</v>
      </c>
      <c r="DB84" s="1127">
        <f>(DB196+DB202+DB207+DB215+DB235-(DB176+DB180+DB187+DB191+DB194+DB195))/8</f>
        <v>86821157.017149121</v>
      </c>
      <c r="DC84" s="1074"/>
      <c r="DG84" s="1127">
        <f>(DG196+DG202+DG207+DG215+DG235-(DG176+DG180+DG187+DG191+DG194+DG195+$G$85))/8</f>
        <v>181575345.50577956</v>
      </c>
      <c r="DH84" s="1127">
        <f>(DH196+DH202+DH207+DH215+DH235-(DH176+DH180+DH187+DH191+DH194+DH195+$H$85))/8</f>
        <v>87836042.04533717</v>
      </c>
      <c r="DI84" s="1127">
        <f>(DI196+DI202+DI207+DI215+DI235-(DI176+DI180+DI187+DI191+DI194+DI195))/8</f>
        <v>6918146.4432932949</v>
      </c>
      <c r="DJ84" s="1127">
        <f>(DJ196+DJ202+DJ207+DJ215+DJ235-(DJ176+DJ180+DJ187+DJ191+DJ194+DJ195))/8</f>
        <v>86821157.017149121</v>
      </c>
      <c r="DK84" s="1074"/>
      <c r="DO84" s="1127">
        <f>(DO196+DO202+DO207+DO215+DO235-(DO176+DO180+DO187+DO191+DO194+DO195+$G$85))/8</f>
        <v>181575345.50577956</v>
      </c>
      <c r="DP84" s="1127">
        <f>(DP196+DP202+DP207+DP215+DP235-(DP176+DP180+DP187+DP191+DP194+DP195+$H$85))/8</f>
        <v>87836042.04533717</v>
      </c>
      <c r="DQ84" s="1127">
        <f>(DQ196+DQ202+DQ207+DQ215+DQ235-(DQ176+DQ180+DQ187+DQ191+DQ194+DQ195))/8</f>
        <v>6918146.4432932949</v>
      </c>
      <c r="DR84" s="1127">
        <f>(DR196+DR202+DR207+DR215+DR235-(DR176+DR180+DR187+DR191+DR194+DR195))/8</f>
        <v>86821157.017149121</v>
      </c>
      <c r="DS84" s="1074"/>
      <c r="DW84" s="1127">
        <f>(DW196+DW202+DW207+DW215+DW235-(DW176+DW180+DW187+DW191+DW194+DW195+$G$85))/8</f>
        <v>181575345.50577956</v>
      </c>
      <c r="DX84" s="1127">
        <f>(DX196+DX202+DX207+DX215+DX235-(DX176+DX180+DX187+DX191+DX194+DX195+$H$85))/8</f>
        <v>87836042.04533717</v>
      </c>
      <c r="DY84" s="1127">
        <f>(DY196+DY202+DY207+DY215+DY235-(DY176+DY180+DY187+DY191+DY194+DY195))/8</f>
        <v>6918146.4432932949</v>
      </c>
      <c r="DZ84" s="1127">
        <f>(DZ196+DZ202+DZ207+DZ215+DZ235-(DZ176+DZ180+DZ187+DZ191+DZ194+DZ195))/8</f>
        <v>86821157.017149121</v>
      </c>
      <c r="EA84" s="1074"/>
      <c r="EE84" s="1127">
        <f>(EE196+EE202+EE207+EE215+EE235-(EE176+EE180+EE187+EE191+EE194+EE195+$G$85))/8</f>
        <v>181575345.50577956</v>
      </c>
      <c r="EF84" s="1127">
        <f>(EF196+EF202+EF207+EF215+EF235-(EF176+EF180+EF187+EF191+EF194+EF195+$H$85))/8</f>
        <v>87836042.04533717</v>
      </c>
      <c r="EG84" s="1127">
        <f>(EG196+EG202+EG207+EG215+EG235-(EG176+EG180+EG187+EG191+EG194+EG195))/8</f>
        <v>6918146.4432932949</v>
      </c>
      <c r="EH84" s="1127">
        <f>(EH196+EH202+EH207+EH215+EH235-(EH176+EH180+EH187+EH191+EH194+EH195))/8</f>
        <v>86821157.017149121</v>
      </c>
      <c r="EI84" s="1074"/>
      <c r="EM84" s="1127">
        <f>(EM196+EM202+EM207+EM215+EM235-(EM176+EM180+EM187+EM191+EM194+EM195+$G$85))/8</f>
        <v>181575345.50577956</v>
      </c>
      <c r="EN84" s="1127">
        <f>(EN196+EN202+EN207+EN215+EN235-(EN176+EN180+EN187+EN191+EN194+EN195+$H$85))/8</f>
        <v>87836042.04533717</v>
      </c>
      <c r="EO84" s="1127">
        <f>(EO196+EO202+EO207+EO215+EO235-(EO176+EO180+EO187+EO191+EO194+EO195))/8</f>
        <v>6918146.4432932949</v>
      </c>
      <c r="EP84" s="1127">
        <f>(EP196+EP202+EP207+EP215+EP235-(EP176+EP180+EP187+EP191+EP194+EP195))/8</f>
        <v>86821157.017149121</v>
      </c>
      <c r="EQ84" s="1074"/>
      <c r="EU84" s="1127">
        <f>(EU196+EU202+EU207+EU215+EU235-(EU176+EU180+EU187+EU191+EU194+EU195+$G$85))/8</f>
        <v>181575345.50577956</v>
      </c>
      <c r="EV84" s="1127">
        <f>(EV196+EV202+EV207+EV215+EV235-(EV176+EV180+EV187+EV191+EV194+EV195+$H$85))/8</f>
        <v>87836042.04533717</v>
      </c>
      <c r="EW84" s="1127">
        <f>(EW196+EW202+EW207+EW215+EW235-(EW176+EW180+EW187+EW191+EW194+EW195))/8</f>
        <v>6918146.4432932949</v>
      </c>
      <c r="EX84" s="1127">
        <f>(EX196+EX202+EX207+EX215+EX235-(EX176+EX180+EX187+EX191+EX194+EX195))/8</f>
        <v>86821157.017149121</v>
      </c>
      <c r="EY84" s="1074"/>
      <c r="FC84" s="1127">
        <f>(FC196+FC202+FC207+FC215+FC235-(FC176+FC180+FC187+FC191+FC194+FC195+$G$85))/8</f>
        <v>181575345.50577956</v>
      </c>
      <c r="FD84" s="1127">
        <f>(FD196+FD202+FD207+FD215+FD235-(FD176+FD180+FD187+FD191+FD194+FD195+$H$85))/8</f>
        <v>87836042.04533717</v>
      </c>
      <c r="FE84" s="1127">
        <f>(FE196+FE202+FE207+FE215+FE235-(FE176+FE180+FE187+FE191+FE194+FE195))/8</f>
        <v>6918146.4432932949</v>
      </c>
      <c r="FF84" s="1127">
        <f>(FF196+FF202+FF207+FF215+FF235-(FF176+FF180+FF187+FF191+FF194+FF195))/8</f>
        <v>86821157.017149121</v>
      </c>
      <c r="FG84" s="1074"/>
      <c r="FK84" s="1127">
        <f>(FK196+FK202+FK207+FK215+FK235-(FK176+FK180+FK187+FK191+FK194+FK195+$G$85))/8</f>
        <v>181575345.50577956</v>
      </c>
      <c r="FL84" s="1127">
        <f>(FL196+FL202+FL207+FL215+FL235-(FL176+FL180+FL187+FL191+FL194+FL195+$H$85))/8</f>
        <v>87836042.04533717</v>
      </c>
      <c r="FM84" s="1127">
        <f>(FM196+FM202+FM207+FM215+FM235-(FM176+FM180+FM187+FM191+FM194+FM195))/8</f>
        <v>6918146.4432932949</v>
      </c>
      <c r="FN84" s="1127">
        <f>(FN196+FN202+FN207+FN215+FN235-(FN176+FN180+FN187+FN191+FN194+FN195))/8</f>
        <v>86821157.017149121</v>
      </c>
      <c r="FO84" s="1074"/>
    </row>
    <row r="85" spans="1:171" x14ac:dyDescent="0.25">
      <c r="A85" s="913"/>
      <c r="B85" s="10"/>
      <c r="C85" s="55"/>
      <c r="D85" s="1548" t="s">
        <v>752</v>
      </c>
      <c r="E85" s="1630"/>
      <c r="F85" s="196"/>
      <c r="G85" s="1631">
        <f>'Sch 1A - Cash Working Capital'!$G$30</f>
        <v>0</v>
      </c>
      <c r="H85" s="1631">
        <f>'Sch 1A - Cash Working Capital'!$H$30</f>
        <v>0</v>
      </c>
      <c r="I85" s="939"/>
      <c r="J85" s="940"/>
      <c r="K85" s="904"/>
      <c r="S85" s="1074"/>
      <c r="AA85" s="1074"/>
      <c r="AI85" s="1074"/>
      <c r="AQ85" s="1074"/>
      <c r="AY85" s="1074"/>
      <c r="BG85" s="1074"/>
      <c r="BO85" s="1074"/>
      <c r="BW85" s="1074"/>
      <c r="CE85" s="1074"/>
      <c r="CM85" s="1074"/>
      <c r="CU85" s="1074"/>
      <c r="DC85" s="1074"/>
      <c r="DK85" s="1074"/>
      <c r="DS85" s="1074"/>
      <c r="EA85" s="1074"/>
      <c r="EI85" s="1074"/>
      <c r="EQ85" s="1074"/>
      <c r="EY85" s="1074"/>
      <c r="FG85" s="1074"/>
      <c r="FO85" s="1074"/>
    </row>
    <row r="86" spans="1:171" x14ac:dyDescent="0.25">
      <c r="A86" s="268" t="s">
        <v>274</v>
      </c>
      <c r="B86" s="79"/>
      <c r="C86" s="941"/>
      <c r="D86" s="196"/>
      <c r="E86" s="196"/>
      <c r="F86" s="196"/>
      <c r="G86" s="942"/>
      <c r="H86" s="943"/>
      <c r="I86" s="943"/>
      <c r="J86" s="944"/>
      <c r="K86" s="904"/>
      <c r="S86" s="1074"/>
      <c r="AA86" s="1074"/>
      <c r="AI86" s="1074"/>
      <c r="AQ86" s="1074"/>
      <c r="AY86" s="1074"/>
      <c r="BG86" s="1074"/>
      <c r="BO86" s="1074"/>
      <c r="BW86" s="1074"/>
      <c r="CE86" s="1074"/>
      <c r="CM86" s="1074"/>
      <c r="CU86" s="1074"/>
      <c r="DC86" s="1074"/>
      <c r="DK86" s="1074"/>
      <c r="DS86" s="1074"/>
      <c r="EA86" s="1074"/>
      <c r="EI86" s="1074"/>
      <c r="EQ86" s="1074"/>
      <c r="EY86" s="1074"/>
      <c r="FG86" s="1074"/>
      <c r="FO86" s="1074"/>
    </row>
    <row r="87" spans="1:171" x14ac:dyDescent="0.25">
      <c r="A87" s="945"/>
      <c r="B87" s="10" t="s">
        <v>433</v>
      </c>
      <c r="C87" s="889" t="s">
        <v>69</v>
      </c>
      <c r="D87" s="889">
        <v>105</v>
      </c>
      <c r="E87" s="182" t="str">
        <f>'Sch 1- Rate Base '!E87</f>
        <v>DIST</v>
      </c>
      <c r="F87" s="890"/>
      <c r="G87" s="182">
        <f>'Sch 1- Rate Base '!G87</f>
        <v>7741084.2436203277</v>
      </c>
      <c r="H87" s="182">
        <f>'Sch 1- Rate Base '!H87</f>
        <v>0</v>
      </c>
      <c r="I87" s="182">
        <f>'Sch 1- Rate Base '!I87</f>
        <v>0</v>
      </c>
      <c r="J87" s="183">
        <f>'Sch 1- Rate Base '!J87</f>
        <v>7741084.2436203277</v>
      </c>
      <c r="K87" s="904">
        <f t="shared" ref="K87:K92" si="163">IF($E87="DIRECT",0,1)</f>
        <v>1</v>
      </c>
      <c r="O87" s="1117">
        <f t="shared" ref="O87:O92" si="164">$G87</f>
        <v>7741084.2436203277</v>
      </c>
      <c r="P87" s="1118">
        <f t="shared" ref="P87:P92" si="165">VLOOKUP($E87,O$442:R$453,2,FALSE)*O87*($K87)+IF($G87&gt;0,($H87/$G87)*O87,0)*(1-$K87)</f>
        <v>0</v>
      </c>
      <c r="Q87" s="1118">
        <f t="shared" ref="Q87:Q92" si="166">VLOOKUP($E87,O$442:R$453,3,FALSE)*O87*($K87)+IF($G87&gt;0,($I87/$G87)*O87,0)*(1-$K87)</f>
        <v>0</v>
      </c>
      <c r="R87" s="1118">
        <f t="shared" ref="R87:R92" si="167">VLOOKUP($E87,O$442:R$453,4,FALSE)*O87*($K87)+(O87-P87-Q87)*(1-$K87)</f>
        <v>7741084.2436203277</v>
      </c>
      <c r="S87" s="1119"/>
      <c r="W87" s="1117">
        <f t="shared" ref="W87:W92" si="168">$G87</f>
        <v>7741084.2436203277</v>
      </c>
      <c r="X87" s="1118">
        <f t="shared" ref="X87:X92" si="169">VLOOKUP($E87,W$442:Z$453,2,FALSE)*W87*($K87)+IF($G87&gt;0,($H87/$G87)*W87,0)*(1-$K87)</f>
        <v>0</v>
      </c>
      <c r="Y87" s="1118">
        <f t="shared" ref="Y87:Y92" si="170">VLOOKUP($E87,W$442:Z$453,3,FALSE)*W87*($K87)+IF($G87&gt;0,($I87/$G87)*W87,0)*(1-$K87)</f>
        <v>0</v>
      </c>
      <c r="Z87" s="1118">
        <f t="shared" ref="Z87:Z92" si="171">VLOOKUP($E87,W$442:Z$453,4,FALSE)*W87*($K87)+(W87-X87-Y87)*(1-$K87)</f>
        <v>7741084.2436203277</v>
      </c>
      <c r="AA87" s="1119"/>
      <c r="AE87" s="1117">
        <f t="shared" ref="AE87:AE92" si="172">$G87</f>
        <v>7741084.2436203277</v>
      </c>
      <c r="AF87" s="1118">
        <f t="shared" ref="AF87:AF92" si="173">VLOOKUP($E87,AE$442:AH$453,2,FALSE)*AE87*($K87)+IF($G87&gt;0,($H87/$G87)*AE87,0)*(1-$K87)</f>
        <v>0</v>
      </c>
      <c r="AG87" s="1118">
        <f t="shared" ref="AG87:AG92" si="174">VLOOKUP($E87,AE$442:AH$453,3,FALSE)*AE87*($K87)+IF($G87&gt;0,($I87/$G87)*AE87,0)*(1-$K87)</f>
        <v>0</v>
      </c>
      <c r="AH87" s="1118">
        <f t="shared" ref="AH87:AH92" si="175">VLOOKUP($E87,AE$442:AH$453,4,FALSE)*AE87*($K87)+(AE87-AF87-AG87)*(1-$K87)</f>
        <v>7741084.2436203277</v>
      </c>
      <c r="AI87" s="1119"/>
      <c r="AM87" s="1117">
        <f t="shared" ref="AM87:AM92" si="176">$G87</f>
        <v>7741084.2436203277</v>
      </c>
      <c r="AN87" s="1118">
        <f t="shared" ref="AN87:AN92" si="177">VLOOKUP($E87,AM$442:AP$453,2,FALSE)*AM87*($K87)+IF($G87&gt;0,($H87/$G87)*AM87,0)*(1-$K87)</f>
        <v>0</v>
      </c>
      <c r="AO87" s="1118">
        <f t="shared" ref="AO87:AO92" si="178">VLOOKUP($E87,AM$442:AP$453,3,FALSE)*AM87*($K87)+IF($G87&gt;0,($I87/$G87)*AM87,0)*(1-$K87)</f>
        <v>0</v>
      </c>
      <c r="AP87" s="1118">
        <f t="shared" ref="AP87:AP92" si="179">VLOOKUP($E87,AM$442:AP$453,4,FALSE)*AM87*($K87)+(AM87-AN87-AO87)*(1-$K87)</f>
        <v>7741084.2436203277</v>
      </c>
      <c r="AQ87" s="1119"/>
      <c r="AU87" s="1117">
        <f t="shared" ref="AU87:AU92" si="180">$G87</f>
        <v>7741084.2436203277</v>
      </c>
      <c r="AV87" s="1118">
        <f t="shared" ref="AV87:AV92" si="181">VLOOKUP($E87,AU$442:AX$453,2,FALSE)*AU87*($K87)+IF($G87&gt;0,($H87/$G87)*AU87,0)*(1-$K87)</f>
        <v>0</v>
      </c>
      <c r="AW87" s="1118">
        <f t="shared" ref="AW87:AW92" si="182">VLOOKUP($E87,AU$442:AX$453,3,FALSE)*AU87*($K87)+IF($G87&gt;0,($I87/$G87)*AU87,0)*(1-$K87)</f>
        <v>0</v>
      </c>
      <c r="AX87" s="1118">
        <f t="shared" ref="AX87:AX92" si="183">VLOOKUP($E87,AU$442:AX$453,4,FALSE)*AU87*($K87)+(AU87-AV87-AW87)*(1-$K87)</f>
        <v>7741084.2436203277</v>
      </c>
      <c r="AY87" s="1119"/>
      <c r="BC87" s="1117">
        <f t="shared" ref="BC87:BC92" si="184">$G87</f>
        <v>7741084.2436203277</v>
      </c>
      <c r="BD87" s="1118">
        <f t="shared" ref="BD87:BD92" si="185">VLOOKUP($E87,BC$442:BF$453,2,FALSE)*BC87*($K87)+IF($G87&gt;0,($H87/$G87)*BC87,0)*(1-$K87)</f>
        <v>0</v>
      </c>
      <c r="BE87" s="1118">
        <f t="shared" ref="BE87:BE92" si="186">VLOOKUP($E87,BC$442:BF$453,3,FALSE)*BC87*($K87)+IF($G87&gt;0,($I87/$G87)*BC87,0)*(1-$K87)</f>
        <v>0</v>
      </c>
      <c r="BF87" s="1118">
        <f t="shared" ref="BF87:BF92" si="187">VLOOKUP($E87,BC$442:BF$453,4,FALSE)*BC87*($K87)+(BC87-BD87-BE87)*(1-$K87)</f>
        <v>7741084.2436203277</v>
      </c>
      <c r="BG87" s="1119"/>
      <c r="BK87" s="1117">
        <f t="shared" ref="BK87:BK92" si="188">$G87</f>
        <v>7741084.2436203277</v>
      </c>
      <c r="BL87" s="1118">
        <f t="shared" ref="BL87:BL92" si="189">VLOOKUP($E87,BK$442:BN$453,2,FALSE)*BK87*($K87)+IF($G87&gt;0,($H87/$G87)*BK87,0)*(1-$K87)</f>
        <v>0</v>
      </c>
      <c r="BM87" s="1118">
        <f t="shared" ref="BM87:BM92" si="190">VLOOKUP($E87,BK$442:BN$453,3,FALSE)*BK87*($K87)+IF($G87&gt;0,($I87/$G87)*BK87,0)*(1-$K87)</f>
        <v>0</v>
      </c>
      <c r="BN87" s="1118">
        <f t="shared" ref="BN87:BN92" si="191">VLOOKUP($E87,BK$442:BN$453,4,FALSE)*BK87*($K87)+(BK87-BL87-BM87)*(1-$K87)</f>
        <v>7741084.2436203277</v>
      </c>
      <c r="BO87" s="1119"/>
      <c r="BS87" s="1117">
        <f t="shared" ref="BS87:BS92" si="192">$G87</f>
        <v>7741084.2436203277</v>
      </c>
      <c r="BT87" s="1118">
        <f t="shared" ref="BT87:BT92" si="193">VLOOKUP($E87,BS$442:BV$453,2,FALSE)*BS87*($K87)+IF($G87&gt;0,($H87/$G87)*BS87,0)*(1-$K87)</f>
        <v>0</v>
      </c>
      <c r="BU87" s="1118">
        <f t="shared" ref="BU87:BU92" si="194">VLOOKUP($E87,BS$442:BV$453,3,FALSE)*BS87*($K87)+IF($G87&gt;0,($I87/$G87)*BS87,0)*(1-$K87)</f>
        <v>0</v>
      </c>
      <c r="BV87" s="1118">
        <f t="shared" ref="BV87:BV92" si="195">VLOOKUP($E87,BS$442:BV$453,4,FALSE)*BS87*($K87)+(BS87-BT87-BU87)*(1-$K87)</f>
        <v>7741084.2436203277</v>
      </c>
      <c r="BW87" s="1119"/>
      <c r="CA87" s="1117">
        <f t="shared" ref="CA87:CA92" si="196">$G87</f>
        <v>7741084.2436203277</v>
      </c>
      <c r="CB87" s="1118">
        <f t="shared" ref="CB87:CB92" si="197">VLOOKUP($E87,CA$442:CD$453,2,FALSE)*CA87*($K87)+IF($G87&gt;0,($H87/$G87)*CA87,0)*(1-$K87)</f>
        <v>0</v>
      </c>
      <c r="CC87" s="1118">
        <f t="shared" ref="CC87:CC92" si="198">VLOOKUP($E87,CA$442:CD$453,3,FALSE)*CA87*($K87)+IF($G87&gt;0,($I87/$G87)*CA87,0)*(1-$K87)</f>
        <v>0</v>
      </c>
      <c r="CD87" s="1118">
        <f t="shared" ref="CD87:CD92" si="199">VLOOKUP($E87,CA$442:CD$453,4,FALSE)*CA87*($K87)+(CA87-CB87-CC87)*(1-$K87)</f>
        <v>7741084.2436203277</v>
      </c>
      <c r="CE87" s="1119"/>
      <c r="CI87" s="1117">
        <f t="shared" ref="CI87:CI92" si="200">$G87</f>
        <v>7741084.2436203277</v>
      </c>
      <c r="CJ87" s="1118">
        <f t="shared" ref="CJ87:CJ92" si="201">VLOOKUP($E87,CI$442:CL$453,2,FALSE)*CI87*($K87)+IF($G87&gt;0,($H87/$G87)*CI87,0)*(1-$K87)</f>
        <v>0</v>
      </c>
      <c r="CK87" s="1118">
        <f t="shared" ref="CK87:CK92" si="202">VLOOKUP($E87,CI$442:CL$453,3,FALSE)*CI87*($K87)+IF($G87&gt;0,($I87/$G87)*CI87,0)*(1-$K87)</f>
        <v>0</v>
      </c>
      <c r="CL87" s="1118">
        <f t="shared" ref="CL87:CL92" si="203">VLOOKUP($E87,CI$442:CL$453,4,FALSE)*CI87*($K87)+(CI87-CJ87-CK87)*(1-$K87)</f>
        <v>7741084.2436203277</v>
      </c>
      <c r="CM87" s="1119"/>
      <c r="CQ87" s="1117">
        <f t="shared" ref="CQ87:CQ92" si="204">$G87</f>
        <v>7741084.2436203277</v>
      </c>
      <c r="CR87" s="1118">
        <f t="shared" ref="CR87:CR92" si="205">VLOOKUP($E87,CQ$442:CT$453,2,FALSE)*CQ87*($K87)+IF($G87&gt;0,($H87/$G87)*CQ87,0)*(1-$K87)</f>
        <v>0</v>
      </c>
      <c r="CS87" s="1118">
        <f t="shared" ref="CS87:CS92" si="206">VLOOKUP($E87,CQ$442:CT$453,3,FALSE)*CQ87*($K87)+IF($G87&gt;0,($I87/$G87)*CQ87,0)*(1-$K87)</f>
        <v>0</v>
      </c>
      <c r="CT87" s="1118">
        <f t="shared" ref="CT87:CT92" si="207">VLOOKUP($E87,CQ$442:CT$453,4,FALSE)*CQ87*($K87)+(CQ87-CR87-CS87)*(1-$K87)</f>
        <v>7741084.2436203277</v>
      </c>
      <c r="CU87" s="1119"/>
      <c r="CY87" s="1117">
        <f t="shared" ref="CY87:CY92" si="208">$G87</f>
        <v>7741084.2436203277</v>
      </c>
      <c r="CZ87" s="1118">
        <f t="shared" ref="CZ87:CZ92" si="209">VLOOKUP($E87,CY$442:DB$453,2,FALSE)*CY87*($K87)+IF($G87&gt;0,($H87/$G87)*CY87,0)*(1-$K87)</f>
        <v>0</v>
      </c>
      <c r="DA87" s="1118">
        <f t="shared" ref="DA87:DA92" si="210">VLOOKUP($E87,CY$442:DB$453,3,FALSE)*CY87*($K87)+IF($G87&gt;0,($I87/$G87)*CY87,0)*(1-$K87)</f>
        <v>0</v>
      </c>
      <c r="DB87" s="1118">
        <f t="shared" ref="DB87:DB92" si="211">VLOOKUP($E87,CY$442:DB$453,4,FALSE)*CY87*($K87)+(CY87-CZ87-DA87)*(1-$K87)</f>
        <v>7741084.2436203277</v>
      </c>
      <c r="DC87" s="1119"/>
      <c r="DG87" s="1117">
        <f t="shared" ref="DG87:DG92" si="212">$G87</f>
        <v>7741084.2436203277</v>
      </c>
      <c r="DH87" s="1118">
        <f t="shared" ref="DH87:DH92" si="213">VLOOKUP($E87,DG$442:DJ$453,2,FALSE)*DG87*($K87)+IF($G87&gt;0,($H87/$G87)*DG87,0)*(1-$K87)</f>
        <v>0</v>
      </c>
      <c r="DI87" s="1118">
        <f t="shared" ref="DI87:DI92" si="214">VLOOKUP($E87,DG$442:DJ$453,3,FALSE)*DG87*($K87)+IF($G87&gt;0,($I87/$G87)*DG87,0)*(1-$K87)</f>
        <v>0</v>
      </c>
      <c r="DJ87" s="1118">
        <f t="shared" ref="DJ87:DJ92" si="215">VLOOKUP($E87,DG$442:DJ$453,4,FALSE)*DG87*($K87)+(DG87-DH87-DI87)*(1-$K87)</f>
        <v>7741084.2436203277</v>
      </c>
      <c r="DK87" s="1119"/>
      <c r="DO87" s="1117">
        <f t="shared" ref="DO87:DO92" si="216">$G87</f>
        <v>7741084.2436203277</v>
      </c>
      <c r="DP87" s="1118">
        <f t="shared" ref="DP87:DP92" si="217">VLOOKUP($E87,DO$442:DR$453,2,FALSE)*DO87*($K87)+IF($G87&gt;0,($H87/$G87)*DO87,0)*(1-$K87)</f>
        <v>0</v>
      </c>
      <c r="DQ87" s="1118">
        <f t="shared" ref="DQ87:DQ92" si="218">VLOOKUP($E87,DO$442:DR$453,3,FALSE)*DO87*($K87)+IF($G87&gt;0,($I87/$G87)*DO87,0)*(1-$K87)</f>
        <v>0</v>
      </c>
      <c r="DR87" s="1118">
        <f t="shared" ref="DR87:DR92" si="219">VLOOKUP($E87,DO$442:DR$453,4,FALSE)*DO87*($K87)+(DO87-DP87-DQ87)*(1-$K87)</f>
        <v>7741084.2436203277</v>
      </c>
      <c r="DS87" s="1119"/>
      <c r="DW87" s="1117">
        <f t="shared" ref="DW87:DW92" si="220">$G87</f>
        <v>7741084.2436203277</v>
      </c>
      <c r="DX87" s="1118">
        <f t="shared" ref="DX87:DX92" si="221">VLOOKUP($E87,DW$442:DZ$453,2,FALSE)*DW87*($K87)+IF($G87&gt;0,($H87/$G87)*DW87,0)*(1-$K87)</f>
        <v>0</v>
      </c>
      <c r="DY87" s="1118">
        <f t="shared" ref="DY87:DY92" si="222">VLOOKUP($E87,DW$442:DZ$453,3,FALSE)*DW87*($K87)+IF($G87&gt;0,($I87/$G87)*DW87,0)*(1-$K87)</f>
        <v>0</v>
      </c>
      <c r="DZ87" s="1118">
        <f t="shared" ref="DZ87:DZ92" si="223">VLOOKUP($E87,DW$442:DZ$453,4,FALSE)*DW87*($K87)+(DW87-DX87-DY87)*(1-$K87)</f>
        <v>7741084.2436203277</v>
      </c>
      <c r="EA87" s="1119"/>
      <c r="EE87" s="1117">
        <f t="shared" ref="EE87:EE92" si="224">$G87</f>
        <v>7741084.2436203277</v>
      </c>
      <c r="EF87" s="1118">
        <f t="shared" ref="EF87:EF92" si="225">VLOOKUP($E87,EE$442:EH$453,2,FALSE)*EE87*($K87)+IF($G87&gt;0,($H87/$G87)*EE87,0)*(1-$K87)</f>
        <v>0</v>
      </c>
      <c r="EG87" s="1118">
        <f t="shared" ref="EG87:EG92" si="226">VLOOKUP($E87,EE$442:EH$453,3,FALSE)*EE87*($K87)+IF($G87&gt;0,($I87/$G87)*EE87,0)*(1-$K87)</f>
        <v>0</v>
      </c>
      <c r="EH87" s="1118">
        <f t="shared" ref="EH87:EH92" si="227">VLOOKUP($E87,EE$442:EH$453,4,FALSE)*EE87*($K87)+(EE87-EF87-EG87)*(1-$K87)</f>
        <v>7741084.2436203277</v>
      </c>
      <c r="EI87" s="1119"/>
      <c r="EM87" s="1117">
        <f t="shared" ref="EM87:EM92" si="228">$G87</f>
        <v>7741084.2436203277</v>
      </c>
      <c r="EN87" s="1118">
        <f t="shared" ref="EN87:EN92" si="229">VLOOKUP($E87,EM$442:EP$453,2,FALSE)*EM87*($K87)+IF($G87&gt;0,($H87/$G87)*EM87,0)*(1-$K87)</f>
        <v>0</v>
      </c>
      <c r="EO87" s="1118">
        <f t="shared" ref="EO87:EO92" si="230">VLOOKUP($E87,EM$442:EP$453,3,FALSE)*EM87*($K87)+IF($G87&gt;0,($I87/$G87)*EM87,0)*(1-$K87)</f>
        <v>0</v>
      </c>
      <c r="EP87" s="1118">
        <f t="shared" ref="EP87:EP92" si="231">VLOOKUP($E87,EM$442:EP$453,4,FALSE)*EM87*($K87)+(EM87-EN87-EO87)*(1-$K87)</f>
        <v>7741084.2436203277</v>
      </c>
      <c r="EQ87" s="1119"/>
      <c r="EU87" s="1117">
        <f t="shared" ref="EU87:EU92" si="232">$G87</f>
        <v>7741084.2436203277</v>
      </c>
      <c r="EV87" s="1118">
        <f t="shared" ref="EV87:EV92" si="233">VLOOKUP($E87,EU$442:EX$453,2,FALSE)*EU87*($K87)+IF($G87&gt;0,($H87/$G87)*EU87,0)*(1-$K87)</f>
        <v>0</v>
      </c>
      <c r="EW87" s="1118">
        <f t="shared" ref="EW87:EW92" si="234">VLOOKUP($E87,EU$442:EX$453,3,FALSE)*EU87*($K87)+IF($G87&gt;0,($I87/$G87)*EU87,0)*(1-$K87)</f>
        <v>0</v>
      </c>
      <c r="EX87" s="1118">
        <f t="shared" ref="EX87:EX92" si="235">VLOOKUP($E87,EU$442:EX$453,4,FALSE)*EU87*($K87)+(EU87-EV87-EW87)*(1-$K87)</f>
        <v>7741084.2436203277</v>
      </c>
      <c r="EY87" s="1119"/>
      <c r="FC87" s="1117">
        <f t="shared" ref="FC87:FC92" si="236">$G87</f>
        <v>7741084.2436203277</v>
      </c>
      <c r="FD87" s="1118">
        <f t="shared" ref="FD87:FD92" si="237">VLOOKUP($E87,FC$442:FF$453,2,FALSE)*FC87*($K87)+IF($G87&gt;0,($H87/$G87)*FC87,0)*(1-$K87)</f>
        <v>0</v>
      </c>
      <c r="FE87" s="1118">
        <f t="shared" ref="FE87:FE92" si="238">VLOOKUP($E87,FC$442:FF$453,3,FALSE)*FC87*($K87)+IF($G87&gt;0,($I87/$G87)*FC87,0)*(1-$K87)</f>
        <v>0</v>
      </c>
      <c r="FF87" s="1118">
        <f t="shared" ref="FF87:FF92" si="239">VLOOKUP($E87,FC$442:FF$453,4,FALSE)*FC87*($K87)+(FC87-FD87-FE87)*(1-$K87)</f>
        <v>7741084.2436203277</v>
      </c>
      <c r="FG87" s="1119"/>
      <c r="FK87" s="1117">
        <f t="shared" ref="FK87:FK92" si="240">$G87</f>
        <v>7741084.2436203277</v>
      </c>
      <c r="FL87" s="1118">
        <f t="shared" ref="FL87:FL92" si="241">VLOOKUP($E87,FK$442:FN$453,2,FALSE)*FK87*($K87)+IF($G87&gt;0,($H87/$G87)*FK87,0)*(1-$K87)</f>
        <v>0</v>
      </c>
      <c r="FM87" s="1118">
        <f t="shared" ref="FM87:FM92" si="242">VLOOKUP($E87,FK$442:FN$453,3,FALSE)*FK87*($K87)+IF($G87&gt;0,($I87/$G87)*FK87,0)*(1-$K87)</f>
        <v>0</v>
      </c>
      <c r="FN87" s="1118">
        <f t="shared" ref="FN87:FN92" si="243">VLOOKUP($E87,FK$442:FN$453,4,FALSE)*FK87*($K87)+(FK87-FL87-FM87)*(1-$K87)</f>
        <v>7741084.2436203277</v>
      </c>
      <c r="FO87" s="1119"/>
    </row>
    <row r="88" spans="1:171" x14ac:dyDescent="0.25">
      <c r="A88" s="945"/>
      <c r="B88" s="10" t="s">
        <v>77</v>
      </c>
      <c r="C88" s="889" t="s">
        <v>69</v>
      </c>
      <c r="D88" s="889">
        <v>106</v>
      </c>
      <c r="E88" s="182" t="str">
        <f>'Sch 1- Rate Base '!E88</f>
        <v>PTD</v>
      </c>
      <c r="F88" s="890"/>
      <c r="G88" s="182">
        <f>'Sch 1- Rate Base '!G88</f>
        <v>223281401.39533675</v>
      </c>
      <c r="H88" s="182">
        <f>'Sch 1- Rate Base '!H88</f>
        <v>98287611.875579029</v>
      </c>
      <c r="I88" s="182">
        <f>'Sch 1- Rate Base '!I88</f>
        <v>0</v>
      </c>
      <c r="J88" s="183">
        <f>'Sch 1- Rate Base '!J88</f>
        <v>124993789.51975769</v>
      </c>
      <c r="K88" s="904">
        <f t="shared" si="163"/>
        <v>1</v>
      </c>
      <c r="O88" s="1117">
        <f t="shared" si="164"/>
        <v>223281401.39533675</v>
      </c>
      <c r="P88" s="1118">
        <f t="shared" si="165"/>
        <v>98287611.875579029</v>
      </c>
      <c r="Q88" s="1118">
        <f t="shared" si="166"/>
        <v>58029122.786991686</v>
      </c>
      <c r="R88" s="1118">
        <f t="shared" si="167"/>
        <v>66964666.73276601</v>
      </c>
      <c r="S88" s="1119"/>
      <c r="W88" s="1117">
        <f t="shared" si="168"/>
        <v>223281401.39533675</v>
      </c>
      <c r="X88" s="1118">
        <f t="shared" si="169"/>
        <v>98287611.875579029</v>
      </c>
      <c r="Y88" s="1118">
        <f t="shared" si="170"/>
        <v>58029122.786991686</v>
      </c>
      <c r="Z88" s="1118">
        <f t="shared" si="171"/>
        <v>66964666.73276601</v>
      </c>
      <c r="AA88" s="1119"/>
      <c r="AE88" s="1117">
        <f t="shared" si="172"/>
        <v>223281401.39533675</v>
      </c>
      <c r="AF88" s="1118">
        <f t="shared" si="173"/>
        <v>98287611.875579029</v>
      </c>
      <c r="AG88" s="1118">
        <f t="shared" si="174"/>
        <v>58029122.786991686</v>
      </c>
      <c r="AH88" s="1118">
        <f t="shared" si="175"/>
        <v>66964666.73276601</v>
      </c>
      <c r="AI88" s="1119"/>
      <c r="AM88" s="1117">
        <f t="shared" si="176"/>
        <v>223281401.39533675</v>
      </c>
      <c r="AN88" s="1118">
        <f t="shared" si="177"/>
        <v>98287611.875579029</v>
      </c>
      <c r="AO88" s="1118">
        <f t="shared" si="178"/>
        <v>58029122.786991686</v>
      </c>
      <c r="AP88" s="1118">
        <f t="shared" si="179"/>
        <v>66964666.73276601</v>
      </c>
      <c r="AQ88" s="1119"/>
      <c r="AU88" s="1117">
        <f t="shared" si="180"/>
        <v>223281401.39533675</v>
      </c>
      <c r="AV88" s="1118">
        <f t="shared" si="181"/>
        <v>98287611.875579029</v>
      </c>
      <c r="AW88" s="1118">
        <f t="shared" si="182"/>
        <v>58029122.786991686</v>
      </c>
      <c r="AX88" s="1118">
        <f t="shared" si="183"/>
        <v>66964666.73276601</v>
      </c>
      <c r="AY88" s="1119"/>
      <c r="BC88" s="1117">
        <f t="shared" si="184"/>
        <v>223281401.39533675</v>
      </c>
      <c r="BD88" s="1118">
        <f t="shared" si="185"/>
        <v>98287611.875579029</v>
      </c>
      <c r="BE88" s="1118">
        <f t="shared" si="186"/>
        <v>58029122.786991686</v>
      </c>
      <c r="BF88" s="1118">
        <f t="shared" si="187"/>
        <v>66964666.73276601</v>
      </c>
      <c r="BG88" s="1119"/>
      <c r="BK88" s="1117">
        <f t="shared" si="188"/>
        <v>223281401.39533675</v>
      </c>
      <c r="BL88" s="1118">
        <f t="shared" si="189"/>
        <v>98287611.875579029</v>
      </c>
      <c r="BM88" s="1118">
        <f t="shared" si="190"/>
        <v>58029122.786991686</v>
      </c>
      <c r="BN88" s="1118">
        <f t="shared" si="191"/>
        <v>66964666.73276601</v>
      </c>
      <c r="BO88" s="1119"/>
      <c r="BS88" s="1117">
        <f t="shared" si="192"/>
        <v>223281401.39533675</v>
      </c>
      <c r="BT88" s="1118">
        <f t="shared" si="193"/>
        <v>98287611.875579029</v>
      </c>
      <c r="BU88" s="1118">
        <f t="shared" si="194"/>
        <v>58029122.786991686</v>
      </c>
      <c r="BV88" s="1118">
        <f t="shared" si="195"/>
        <v>66964666.73276601</v>
      </c>
      <c r="BW88" s="1119"/>
      <c r="CA88" s="1117">
        <f t="shared" si="196"/>
        <v>223281401.39533675</v>
      </c>
      <c r="CB88" s="1118">
        <f t="shared" si="197"/>
        <v>98287611.875579029</v>
      </c>
      <c r="CC88" s="1118">
        <f t="shared" si="198"/>
        <v>58029122.786991686</v>
      </c>
      <c r="CD88" s="1118">
        <f t="shared" si="199"/>
        <v>66964666.73276601</v>
      </c>
      <c r="CE88" s="1119"/>
      <c r="CI88" s="1117">
        <f t="shared" si="200"/>
        <v>223281401.39533675</v>
      </c>
      <c r="CJ88" s="1118">
        <f t="shared" si="201"/>
        <v>98287611.875579029</v>
      </c>
      <c r="CK88" s="1118">
        <f t="shared" si="202"/>
        <v>58029122.786991686</v>
      </c>
      <c r="CL88" s="1118">
        <f t="shared" si="203"/>
        <v>66964666.73276601</v>
      </c>
      <c r="CM88" s="1119"/>
      <c r="CQ88" s="1117">
        <f t="shared" si="204"/>
        <v>223281401.39533675</v>
      </c>
      <c r="CR88" s="1118">
        <f t="shared" si="205"/>
        <v>98287611.875579029</v>
      </c>
      <c r="CS88" s="1118">
        <f t="shared" si="206"/>
        <v>58029122.786991686</v>
      </c>
      <c r="CT88" s="1118">
        <f t="shared" si="207"/>
        <v>66964666.73276601</v>
      </c>
      <c r="CU88" s="1119"/>
      <c r="CY88" s="1117">
        <f t="shared" si="208"/>
        <v>223281401.39533675</v>
      </c>
      <c r="CZ88" s="1118">
        <f t="shared" si="209"/>
        <v>98287611.875579029</v>
      </c>
      <c r="DA88" s="1118">
        <f t="shared" si="210"/>
        <v>58029122.786991686</v>
      </c>
      <c r="DB88" s="1118">
        <f t="shared" si="211"/>
        <v>66964666.73276601</v>
      </c>
      <c r="DC88" s="1119"/>
      <c r="DG88" s="1117">
        <f t="shared" si="212"/>
        <v>223281401.39533675</v>
      </c>
      <c r="DH88" s="1118">
        <f t="shared" si="213"/>
        <v>98287611.875579029</v>
      </c>
      <c r="DI88" s="1118">
        <f t="shared" si="214"/>
        <v>58029122.786991686</v>
      </c>
      <c r="DJ88" s="1118">
        <f t="shared" si="215"/>
        <v>66964666.73276601</v>
      </c>
      <c r="DK88" s="1119"/>
      <c r="DO88" s="1117">
        <f t="shared" si="216"/>
        <v>223281401.39533675</v>
      </c>
      <c r="DP88" s="1118">
        <f t="shared" si="217"/>
        <v>98287611.875579029</v>
      </c>
      <c r="DQ88" s="1118">
        <f t="shared" si="218"/>
        <v>58029122.786991686</v>
      </c>
      <c r="DR88" s="1118">
        <f t="shared" si="219"/>
        <v>66964666.73276601</v>
      </c>
      <c r="DS88" s="1119"/>
      <c r="DW88" s="1117">
        <f t="shared" si="220"/>
        <v>223281401.39533675</v>
      </c>
      <c r="DX88" s="1118">
        <f t="shared" si="221"/>
        <v>98287611.875579029</v>
      </c>
      <c r="DY88" s="1118">
        <f t="shared" si="222"/>
        <v>58029122.786991686</v>
      </c>
      <c r="DZ88" s="1118">
        <f t="shared" si="223"/>
        <v>66964666.73276601</v>
      </c>
      <c r="EA88" s="1119"/>
      <c r="EE88" s="1117">
        <f t="shared" si="224"/>
        <v>223281401.39533675</v>
      </c>
      <c r="EF88" s="1118">
        <f t="shared" si="225"/>
        <v>98287611.875579029</v>
      </c>
      <c r="EG88" s="1118">
        <f t="shared" si="226"/>
        <v>58029122.786991686</v>
      </c>
      <c r="EH88" s="1118">
        <f t="shared" si="227"/>
        <v>66964666.73276601</v>
      </c>
      <c r="EI88" s="1119"/>
      <c r="EM88" s="1117">
        <f t="shared" si="228"/>
        <v>223281401.39533675</v>
      </c>
      <c r="EN88" s="1118">
        <f t="shared" si="229"/>
        <v>98287611.875579029</v>
      </c>
      <c r="EO88" s="1118">
        <f t="shared" si="230"/>
        <v>58029122.786991686</v>
      </c>
      <c r="EP88" s="1118">
        <f t="shared" si="231"/>
        <v>66964666.73276601</v>
      </c>
      <c r="EQ88" s="1119"/>
      <c r="EU88" s="1117">
        <f t="shared" si="232"/>
        <v>223281401.39533675</v>
      </c>
      <c r="EV88" s="1118">
        <f t="shared" si="233"/>
        <v>98287611.875579029</v>
      </c>
      <c r="EW88" s="1118">
        <f t="shared" si="234"/>
        <v>58029122.786991686</v>
      </c>
      <c r="EX88" s="1118">
        <f t="shared" si="235"/>
        <v>66964666.73276601</v>
      </c>
      <c r="EY88" s="1119"/>
      <c r="FC88" s="1117">
        <f t="shared" si="236"/>
        <v>223281401.39533675</v>
      </c>
      <c r="FD88" s="1118">
        <f t="shared" si="237"/>
        <v>98287611.875579029</v>
      </c>
      <c r="FE88" s="1118">
        <f t="shared" si="238"/>
        <v>58029122.786991686</v>
      </c>
      <c r="FF88" s="1118">
        <f t="shared" si="239"/>
        <v>66964666.73276601</v>
      </c>
      <c r="FG88" s="1119"/>
      <c r="FK88" s="1117">
        <f t="shared" si="240"/>
        <v>223281401.39533675</v>
      </c>
      <c r="FL88" s="1118">
        <f t="shared" si="241"/>
        <v>98287611.875579029</v>
      </c>
      <c r="FM88" s="1118">
        <f t="shared" si="242"/>
        <v>58029122.786991686</v>
      </c>
      <c r="FN88" s="1118">
        <f t="shared" si="243"/>
        <v>66964666.73276601</v>
      </c>
      <c r="FO88" s="1119"/>
    </row>
    <row r="89" spans="1:171" x14ac:dyDescent="0.25">
      <c r="A89" s="945"/>
      <c r="B89" s="64" t="s">
        <v>476</v>
      </c>
      <c r="C89" s="889"/>
      <c r="D89" s="889" t="s">
        <v>257</v>
      </c>
      <c r="E89" s="182" t="str">
        <f>'Sch 1- Rate Base '!E89</f>
        <v>PROD</v>
      </c>
      <c r="F89" s="890"/>
      <c r="G89" s="182">
        <f>'Sch 1- Rate Base '!G89</f>
        <v>0</v>
      </c>
      <c r="H89" s="182">
        <f>'Sch 1- Rate Base '!H89</f>
        <v>0</v>
      </c>
      <c r="I89" s="182">
        <f>'Sch 1- Rate Base '!I89</f>
        <v>0</v>
      </c>
      <c r="J89" s="183">
        <f>'Sch 1- Rate Base '!J89</f>
        <v>0</v>
      </c>
      <c r="K89" s="904">
        <f t="shared" si="163"/>
        <v>1</v>
      </c>
      <c r="O89" s="1117">
        <f t="shared" si="164"/>
        <v>0</v>
      </c>
      <c r="P89" s="1118">
        <f t="shared" si="165"/>
        <v>0</v>
      </c>
      <c r="Q89" s="1118">
        <f t="shared" si="166"/>
        <v>0</v>
      </c>
      <c r="R89" s="1118">
        <f t="shared" si="167"/>
        <v>0</v>
      </c>
      <c r="S89" s="1119"/>
      <c r="W89" s="1117">
        <f t="shared" si="168"/>
        <v>0</v>
      </c>
      <c r="X89" s="1118">
        <f t="shared" si="169"/>
        <v>0</v>
      </c>
      <c r="Y89" s="1118">
        <f t="shared" si="170"/>
        <v>0</v>
      </c>
      <c r="Z89" s="1118">
        <f t="shared" si="171"/>
        <v>0</v>
      </c>
      <c r="AA89" s="1119"/>
      <c r="AE89" s="1117">
        <f t="shared" si="172"/>
        <v>0</v>
      </c>
      <c r="AF89" s="1118">
        <f t="shared" si="173"/>
        <v>0</v>
      </c>
      <c r="AG89" s="1118">
        <f t="shared" si="174"/>
        <v>0</v>
      </c>
      <c r="AH89" s="1118">
        <f t="shared" si="175"/>
        <v>0</v>
      </c>
      <c r="AI89" s="1119"/>
      <c r="AM89" s="1117">
        <f t="shared" si="176"/>
        <v>0</v>
      </c>
      <c r="AN89" s="1118">
        <f t="shared" si="177"/>
        <v>0</v>
      </c>
      <c r="AO89" s="1118">
        <f t="shared" si="178"/>
        <v>0</v>
      </c>
      <c r="AP89" s="1118">
        <f t="shared" si="179"/>
        <v>0</v>
      </c>
      <c r="AQ89" s="1119"/>
      <c r="AU89" s="1117">
        <f t="shared" si="180"/>
        <v>0</v>
      </c>
      <c r="AV89" s="1118">
        <f t="shared" si="181"/>
        <v>0</v>
      </c>
      <c r="AW89" s="1118">
        <f t="shared" si="182"/>
        <v>0</v>
      </c>
      <c r="AX89" s="1118">
        <f t="shared" si="183"/>
        <v>0</v>
      </c>
      <c r="AY89" s="1119"/>
      <c r="BC89" s="1117">
        <f t="shared" si="184"/>
        <v>0</v>
      </c>
      <c r="BD89" s="1118">
        <f t="shared" si="185"/>
        <v>0</v>
      </c>
      <c r="BE89" s="1118">
        <f t="shared" si="186"/>
        <v>0</v>
      </c>
      <c r="BF89" s="1118">
        <f t="shared" si="187"/>
        <v>0</v>
      </c>
      <c r="BG89" s="1119"/>
      <c r="BK89" s="1117">
        <f t="shared" si="188"/>
        <v>0</v>
      </c>
      <c r="BL89" s="1118">
        <f t="shared" si="189"/>
        <v>0</v>
      </c>
      <c r="BM89" s="1118">
        <f t="shared" si="190"/>
        <v>0</v>
      </c>
      <c r="BN89" s="1118">
        <f t="shared" si="191"/>
        <v>0</v>
      </c>
      <c r="BO89" s="1119"/>
      <c r="BS89" s="1117">
        <f t="shared" si="192"/>
        <v>0</v>
      </c>
      <c r="BT89" s="1118">
        <f t="shared" si="193"/>
        <v>0</v>
      </c>
      <c r="BU89" s="1118">
        <f t="shared" si="194"/>
        <v>0</v>
      </c>
      <c r="BV89" s="1118">
        <f t="shared" si="195"/>
        <v>0</v>
      </c>
      <c r="BW89" s="1119"/>
      <c r="CA89" s="1117">
        <f t="shared" si="196"/>
        <v>0</v>
      </c>
      <c r="CB89" s="1118">
        <f t="shared" si="197"/>
        <v>0</v>
      </c>
      <c r="CC89" s="1118">
        <f t="shared" si="198"/>
        <v>0</v>
      </c>
      <c r="CD89" s="1118">
        <f t="shared" si="199"/>
        <v>0</v>
      </c>
      <c r="CE89" s="1119"/>
      <c r="CI89" s="1117">
        <f t="shared" si="200"/>
        <v>0</v>
      </c>
      <c r="CJ89" s="1118">
        <f t="shared" si="201"/>
        <v>0</v>
      </c>
      <c r="CK89" s="1118">
        <f t="shared" si="202"/>
        <v>0</v>
      </c>
      <c r="CL89" s="1118">
        <f t="shared" si="203"/>
        <v>0</v>
      </c>
      <c r="CM89" s="1119"/>
      <c r="CQ89" s="1117">
        <f t="shared" si="204"/>
        <v>0</v>
      </c>
      <c r="CR89" s="1118">
        <f t="shared" si="205"/>
        <v>0</v>
      </c>
      <c r="CS89" s="1118">
        <f t="shared" si="206"/>
        <v>0</v>
      </c>
      <c r="CT89" s="1118">
        <f t="shared" si="207"/>
        <v>0</v>
      </c>
      <c r="CU89" s="1119"/>
      <c r="CY89" s="1117">
        <f t="shared" si="208"/>
        <v>0</v>
      </c>
      <c r="CZ89" s="1118">
        <f t="shared" si="209"/>
        <v>0</v>
      </c>
      <c r="DA89" s="1118">
        <f t="shared" si="210"/>
        <v>0</v>
      </c>
      <c r="DB89" s="1118">
        <f t="shared" si="211"/>
        <v>0</v>
      </c>
      <c r="DC89" s="1119"/>
      <c r="DG89" s="1117">
        <f t="shared" si="212"/>
        <v>0</v>
      </c>
      <c r="DH89" s="1118">
        <f t="shared" si="213"/>
        <v>0</v>
      </c>
      <c r="DI89" s="1118">
        <f t="shared" si="214"/>
        <v>0</v>
      </c>
      <c r="DJ89" s="1118">
        <f t="shared" si="215"/>
        <v>0</v>
      </c>
      <c r="DK89" s="1119"/>
      <c r="DO89" s="1117">
        <f t="shared" si="216"/>
        <v>0</v>
      </c>
      <c r="DP89" s="1118">
        <f t="shared" si="217"/>
        <v>0</v>
      </c>
      <c r="DQ89" s="1118">
        <f t="shared" si="218"/>
        <v>0</v>
      </c>
      <c r="DR89" s="1118">
        <f t="shared" si="219"/>
        <v>0</v>
      </c>
      <c r="DS89" s="1119"/>
      <c r="DW89" s="1117">
        <f t="shared" si="220"/>
        <v>0</v>
      </c>
      <c r="DX89" s="1118">
        <f t="shared" si="221"/>
        <v>0</v>
      </c>
      <c r="DY89" s="1118">
        <f t="shared" si="222"/>
        <v>0</v>
      </c>
      <c r="DZ89" s="1118">
        <f t="shared" si="223"/>
        <v>0</v>
      </c>
      <c r="EA89" s="1119"/>
      <c r="EE89" s="1117">
        <f t="shared" si="224"/>
        <v>0</v>
      </c>
      <c r="EF89" s="1118">
        <f t="shared" si="225"/>
        <v>0</v>
      </c>
      <c r="EG89" s="1118">
        <f t="shared" si="226"/>
        <v>0</v>
      </c>
      <c r="EH89" s="1118">
        <f t="shared" si="227"/>
        <v>0</v>
      </c>
      <c r="EI89" s="1119"/>
      <c r="EM89" s="1117">
        <f t="shared" si="228"/>
        <v>0</v>
      </c>
      <c r="EN89" s="1118">
        <f t="shared" si="229"/>
        <v>0</v>
      </c>
      <c r="EO89" s="1118">
        <f t="shared" si="230"/>
        <v>0</v>
      </c>
      <c r="EP89" s="1118">
        <f t="shared" si="231"/>
        <v>0</v>
      </c>
      <c r="EQ89" s="1119"/>
      <c r="EU89" s="1117">
        <f t="shared" si="232"/>
        <v>0</v>
      </c>
      <c r="EV89" s="1118">
        <f t="shared" si="233"/>
        <v>0</v>
      </c>
      <c r="EW89" s="1118">
        <f t="shared" si="234"/>
        <v>0</v>
      </c>
      <c r="EX89" s="1118">
        <f t="shared" si="235"/>
        <v>0</v>
      </c>
      <c r="EY89" s="1119"/>
      <c r="FC89" s="1117">
        <f t="shared" si="236"/>
        <v>0</v>
      </c>
      <c r="FD89" s="1118">
        <f t="shared" si="237"/>
        <v>0</v>
      </c>
      <c r="FE89" s="1118">
        <f t="shared" si="238"/>
        <v>0</v>
      </c>
      <c r="FF89" s="1118">
        <f t="shared" si="239"/>
        <v>0</v>
      </c>
      <c r="FG89" s="1119"/>
      <c r="FK89" s="1117">
        <f t="shared" si="240"/>
        <v>0</v>
      </c>
      <c r="FL89" s="1118">
        <f t="shared" si="241"/>
        <v>0</v>
      </c>
      <c r="FM89" s="1118">
        <f t="shared" si="242"/>
        <v>0</v>
      </c>
      <c r="FN89" s="1118">
        <f t="shared" si="243"/>
        <v>0</v>
      </c>
      <c r="FO89" s="1119"/>
    </row>
    <row r="90" spans="1:171" x14ac:dyDescent="0.25">
      <c r="A90" s="945"/>
      <c r="B90" s="10" t="s">
        <v>80</v>
      </c>
      <c r="C90" s="889" t="s">
        <v>69</v>
      </c>
      <c r="D90" s="889" t="s">
        <v>258</v>
      </c>
      <c r="E90" s="182" t="str">
        <f>'Sch 1- Rate Base '!E90</f>
        <v>DIST</v>
      </c>
      <c r="F90" s="890"/>
      <c r="G90" s="182">
        <f>'Sch 1- Rate Base '!G90</f>
        <v>1893858706.006402</v>
      </c>
      <c r="H90" s="182">
        <f>'Sch 1- Rate Base '!H90</f>
        <v>0</v>
      </c>
      <c r="I90" s="182">
        <f>'Sch 1- Rate Base '!I90</f>
        <v>0</v>
      </c>
      <c r="J90" s="183">
        <f>'Sch 1- Rate Base '!J90</f>
        <v>1893858706.006402</v>
      </c>
      <c r="K90" s="904">
        <f t="shared" si="163"/>
        <v>1</v>
      </c>
      <c r="O90" s="1117">
        <f t="shared" si="164"/>
        <v>1893858706.006402</v>
      </c>
      <c r="P90" s="1118">
        <f t="shared" si="165"/>
        <v>0</v>
      </c>
      <c r="Q90" s="1118">
        <f t="shared" si="166"/>
        <v>0</v>
      </c>
      <c r="R90" s="1118">
        <f t="shared" si="167"/>
        <v>1893858706.006402</v>
      </c>
      <c r="S90" s="1119"/>
      <c r="W90" s="1117">
        <f t="shared" si="168"/>
        <v>1893858706.006402</v>
      </c>
      <c r="X90" s="1118">
        <f t="shared" si="169"/>
        <v>0</v>
      </c>
      <c r="Y90" s="1118">
        <f t="shared" si="170"/>
        <v>0</v>
      </c>
      <c r="Z90" s="1118">
        <f t="shared" si="171"/>
        <v>1893858706.006402</v>
      </c>
      <c r="AA90" s="1119"/>
      <c r="AE90" s="1117">
        <f t="shared" si="172"/>
        <v>1893858706.006402</v>
      </c>
      <c r="AF90" s="1118">
        <f t="shared" si="173"/>
        <v>0</v>
      </c>
      <c r="AG90" s="1118">
        <f t="shared" si="174"/>
        <v>0</v>
      </c>
      <c r="AH90" s="1118">
        <f t="shared" si="175"/>
        <v>1893858706.006402</v>
      </c>
      <c r="AI90" s="1119"/>
      <c r="AM90" s="1117">
        <f t="shared" si="176"/>
        <v>1893858706.006402</v>
      </c>
      <c r="AN90" s="1118">
        <f t="shared" si="177"/>
        <v>0</v>
      </c>
      <c r="AO90" s="1118">
        <f t="shared" si="178"/>
        <v>0</v>
      </c>
      <c r="AP90" s="1118">
        <f t="shared" si="179"/>
        <v>1893858706.006402</v>
      </c>
      <c r="AQ90" s="1119"/>
      <c r="AU90" s="1117">
        <f t="shared" si="180"/>
        <v>1893858706.006402</v>
      </c>
      <c r="AV90" s="1118">
        <f t="shared" si="181"/>
        <v>0</v>
      </c>
      <c r="AW90" s="1118">
        <f t="shared" si="182"/>
        <v>0</v>
      </c>
      <c r="AX90" s="1118">
        <f t="shared" si="183"/>
        <v>1893858706.006402</v>
      </c>
      <c r="AY90" s="1119"/>
      <c r="BC90" s="1117">
        <f t="shared" si="184"/>
        <v>1893858706.006402</v>
      </c>
      <c r="BD90" s="1118">
        <f t="shared" si="185"/>
        <v>0</v>
      </c>
      <c r="BE90" s="1118">
        <f t="shared" si="186"/>
        <v>0</v>
      </c>
      <c r="BF90" s="1118">
        <f t="shared" si="187"/>
        <v>1893858706.006402</v>
      </c>
      <c r="BG90" s="1119"/>
      <c r="BK90" s="1117">
        <f t="shared" si="188"/>
        <v>1893858706.006402</v>
      </c>
      <c r="BL90" s="1118">
        <f t="shared" si="189"/>
        <v>0</v>
      </c>
      <c r="BM90" s="1118">
        <f t="shared" si="190"/>
        <v>0</v>
      </c>
      <c r="BN90" s="1118">
        <f t="shared" si="191"/>
        <v>1893858706.006402</v>
      </c>
      <c r="BO90" s="1119"/>
      <c r="BS90" s="1117">
        <f t="shared" si="192"/>
        <v>1893858706.006402</v>
      </c>
      <c r="BT90" s="1118">
        <f t="shared" si="193"/>
        <v>0</v>
      </c>
      <c r="BU90" s="1118">
        <f t="shared" si="194"/>
        <v>0</v>
      </c>
      <c r="BV90" s="1118">
        <f t="shared" si="195"/>
        <v>1893858706.006402</v>
      </c>
      <c r="BW90" s="1119"/>
      <c r="CA90" s="1117">
        <f t="shared" si="196"/>
        <v>1893858706.006402</v>
      </c>
      <c r="CB90" s="1118">
        <f t="shared" si="197"/>
        <v>0</v>
      </c>
      <c r="CC90" s="1118">
        <f t="shared" si="198"/>
        <v>0</v>
      </c>
      <c r="CD90" s="1118">
        <f t="shared" si="199"/>
        <v>1893858706.006402</v>
      </c>
      <c r="CE90" s="1119"/>
      <c r="CI90" s="1117">
        <f t="shared" si="200"/>
        <v>1893858706.006402</v>
      </c>
      <c r="CJ90" s="1118">
        <f t="shared" si="201"/>
        <v>0</v>
      </c>
      <c r="CK90" s="1118">
        <f t="shared" si="202"/>
        <v>0</v>
      </c>
      <c r="CL90" s="1118">
        <f t="shared" si="203"/>
        <v>1893858706.006402</v>
      </c>
      <c r="CM90" s="1119"/>
      <c r="CQ90" s="1117">
        <f t="shared" si="204"/>
        <v>1893858706.006402</v>
      </c>
      <c r="CR90" s="1118">
        <f t="shared" si="205"/>
        <v>0</v>
      </c>
      <c r="CS90" s="1118">
        <f t="shared" si="206"/>
        <v>0</v>
      </c>
      <c r="CT90" s="1118">
        <f t="shared" si="207"/>
        <v>1893858706.006402</v>
      </c>
      <c r="CU90" s="1119"/>
      <c r="CY90" s="1117">
        <f t="shared" si="208"/>
        <v>1893858706.006402</v>
      </c>
      <c r="CZ90" s="1118">
        <f t="shared" si="209"/>
        <v>0</v>
      </c>
      <c r="DA90" s="1118">
        <f t="shared" si="210"/>
        <v>0</v>
      </c>
      <c r="DB90" s="1118">
        <f t="shared" si="211"/>
        <v>1893858706.006402</v>
      </c>
      <c r="DC90" s="1119"/>
      <c r="DG90" s="1117">
        <f t="shared" si="212"/>
        <v>1893858706.006402</v>
      </c>
      <c r="DH90" s="1118">
        <f t="shared" si="213"/>
        <v>0</v>
      </c>
      <c r="DI90" s="1118">
        <f t="shared" si="214"/>
        <v>0</v>
      </c>
      <c r="DJ90" s="1118">
        <f t="shared" si="215"/>
        <v>1893858706.006402</v>
      </c>
      <c r="DK90" s="1119"/>
      <c r="DO90" s="1117">
        <f t="shared" si="216"/>
        <v>1893858706.006402</v>
      </c>
      <c r="DP90" s="1118">
        <f t="shared" si="217"/>
        <v>0</v>
      </c>
      <c r="DQ90" s="1118">
        <f t="shared" si="218"/>
        <v>0</v>
      </c>
      <c r="DR90" s="1118">
        <f t="shared" si="219"/>
        <v>1893858706.006402</v>
      </c>
      <c r="DS90" s="1119"/>
      <c r="DW90" s="1117">
        <f t="shared" si="220"/>
        <v>1893858706.006402</v>
      </c>
      <c r="DX90" s="1118">
        <f t="shared" si="221"/>
        <v>0</v>
      </c>
      <c r="DY90" s="1118">
        <f t="shared" si="222"/>
        <v>0</v>
      </c>
      <c r="DZ90" s="1118">
        <f t="shared" si="223"/>
        <v>1893858706.006402</v>
      </c>
      <c r="EA90" s="1119"/>
      <c r="EE90" s="1117">
        <f t="shared" si="224"/>
        <v>1893858706.006402</v>
      </c>
      <c r="EF90" s="1118">
        <f t="shared" si="225"/>
        <v>0</v>
      </c>
      <c r="EG90" s="1118">
        <f t="shared" si="226"/>
        <v>0</v>
      </c>
      <c r="EH90" s="1118">
        <f t="shared" si="227"/>
        <v>1893858706.006402</v>
      </c>
      <c r="EI90" s="1119"/>
      <c r="EM90" s="1117">
        <f t="shared" si="228"/>
        <v>1893858706.006402</v>
      </c>
      <c r="EN90" s="1118">
        <f t="shared" si="229"/>
        <v>0</v>
      </c>
      <c r="EO90" s="1118">
        <f t="shared" si="230"/>
        <v>0</v>
      </c>
      <c r="EP90" s="1118">
        <f t="shared" si="231"/>
        <v>1893858706.006402</v>
      </c>
      <c r="EQ90" s="1119"/>
      <c r="EU90" s="1117">
        <f t="shared" si="232"/>
        <v>1893858706.006402</v>
      </c>
      <c r="EV90" s="1118">
        <f t="shared" si="233"/>
        <v>0</v>
      </c>
      <c r="EW90" s="1118">
        <f t="shared" si="234"/>
        <v>0</v>
      </c>
      <c r="EX90" s="1118">
        <f t="shared" si="235"/>
        <v>1893858706.006402</v>
      </c>
      <c r="EY90" s="1119"/>
      <c r="FC90" s="1117">
        <f t="shared" si="236"/>
        <v>1893858706.006402</v>
      </c>
      <c r="FD90" s="1118">
        <f t="shared" si="237"/>
        <v>0</v>
      </c>
      <c r="FE90" s="1118">
        <f t="shared" si="238"/>
        <v>0</v>
      </c>
      <c r="FF90" s="1118">
        <f t="shared" si="239"/>
        <v>1893858706.006402</v>
      </c>
      <c r="FG90" s="1119"/>
      <c r="FK90" s="1117">
        <f t="shared" si="240"/>
        <v>1893858706.006402</v>
      </c>
      <c r="FL90" s="1118">
        <f t="shared" si="241"/>
        <v>0</v>
      </c>
      <c r="FM90" s="1118">
        <f t="shared" si="242"/>
        <v>0</v>
      </c>
      <c r="FN90" s="1118">
        <f t="shared" si="243"/>
        <v>1893858706.006402</v>
      </c>
      <c r="FO90" s="1119"/>
    </row>
    <row r="91" spans="1:171" x14ac:dyDescent="0.25">
      <c r="A91" s="945"/>
      <c r="B91" s="10" t="s">
        <v>224</v>
      </c>
      <c r="C91" s="889" t="s">
        <v>225</v>
      </c>
      <c r="D91" s="889"/>
      <c r="E91" s="182" t="str">
        <f>'Sch 1- Rate Base '!E91</f>
        <v>DIRECT</v>
      </c>
      <c r="F91" s="890"/>
      <c r="G91" s="182">
        <f>'Sch 1- Rate Base '!G91</f>
        <v>0</v>
      </c>
      <c r="H91" s="182">
        <f>'Sch 1- Rate Base '!H91</f>
        <v>0</v>
      </c>
      <c r="I91" s="182">
        <f>'Sch 1- Rate Base '!I91</f>
        <v>0</v>
      </c>
      <c r="J91" s="183">
        <f>'Sch 1- Rate Base '!J91</f>
        <v>0</v>
      </c>
      <c r="K91" s="904">
        <f t="shared" si="163"/>
        <v>0</v>
      </c>
      <c r="O91" s="1117">
        <f t="shared" si="164"/>
        <v>0</v>
      </c>
      <c r="P91" s="1118">
        <f t="shared" si="165"/>
        <v>0</v>
      </c>
      <c r="Q91" s="1118">
        <f t="shared" si="166"/>
        <v>0</v>
      </c>
      <c r="R91" s="1118">
        <f t="shared" si="167"/>
        <v>0</v>
      </c>
      <c r="S91" s="1119"/>
      <c r="W91" s="1117">
        <f t="shared" si="168"/>
        <v>0</v>
      </c>
      <c r="X91" s="1118">
        <f t="shared" si="169"/>
        <v>0</v>
      </c>
      <c r="Y91" s="1118">
        <f t="shared" si="170"/>
        <v>0</v>
      </c>
      <c r="Z91" s="1118">
        <f t="shared" si="171"/>
        <v>0</v>
      </c>
      <c r="AA91" s="1119"/>
      <c r="AE91" s="1117">
        <f t="shared" si="172"/>
        <v>0</v>
      </c>
      <c r="AF91" s="1118">
        <f t="shared" si="173"/>
        <v>0</v>
      </c>
      <c r="AG91" s="1118">
        <f t="shared" si="174"/>
        <v>0</v>
      </c>
      <c r="AH91" s="1118">
        <f t="shared" si="175"/>
        <v>0</v>
      </c>
      <c r="AI91" s="1119"/>
      <c r="AM91" s="1117">
        <f t="shared" si="176"/>
        <v>0</v>
      </c>
      <c r="AN91" s="1118">
        <f t="shared" si="177"/>
        <v>0</v>
      </c>
      <c r="AO91" s="1118">
        <f t="shared" si="178"/>
        <v>0</v>
      </c>
      <c r="AP91" s="1118">
        <f t="shared" si="179"/>
        <v>0</v>
      </c>
      <c r="AQ91" s="1119"/>
      <c r="AU91" s="1117">
        <f t="shared" si="180"/>
        <v>0</v>
      </c>
      <c r="AV91" s="1118">
        <f t="shared" si="181"/>
        <v>0</v>
      </c>
      <c r="AW91" s="1118">
        <f t="shared" si="182"/>
        <v>0</v>
      </c>
      <c r="AX91" s="1118">
        <f t="shared" si="183"/>
        <v>0</v>
      </c>
      <c r="AY91" s="1119"/>
      <c r="BC91" s="1117">
        <f t="shared" si="184"/>
        <v>0</v>
      </c>
      <c r="BD91" s="1118">
        <f t="shared" si="185"/>
        <v>0</v>
      </c>
      <c r="BE91" s="1118">
        <f t="shared" si="186"/>
        <v>0</v>
      </c>
      <c r="BF91" s="1118">
        <f t="shared" si="187"/>
        <v>0</v>
      </c>
      <c r="BG91" s="1119"/>
      <c r="BK91" s="1117">
        <f t="shared" si="188"/>
        <v>0</v>
      </c>
      <c r="BL91" s="1118">
        <f t="shared" si="189"/>
        <v>0</v>
      </c>
      <c r="BM91" s="1118">
        <f t="shared" si="190"/>
        <v>0</v>
      </c>
      <c r="BN91" s="1118">
        <f t="shared" si="191"/>
        <v>0</v>
      </c>
      <c r="BO91" s="1119"/>
      <c r="BS91" s="1117">
        <f t="shared" si="192"/>
        <v>0</v>
      </c>
      <c r="BT91" s="1118">
        <f t="shared" si="193"/>
        <v>0</v>
      </c>
      <c r="BU91" s="1118">
        <f t="shared" si="194"/>
        <v>0</v>
      </c>
      <c r="BV91" s="1118">
        <f t="shared" si="195"/>
        <v>0</v>
      </c>
      <c r="BW91" s="1119"/>
      <c r="CA91" s="1117">
        <f t="shared" si="196"/>
        <v>0</v>
      </c>
      <c r="CB91" s="1118">
        <f t="shared" si="197"/>
        <v>0</v>
      </c>
      <c r="CC91" s="1118">
        <f t="shared" si="198"/>
        <v>0</v>
      </c>
      <c r="CD91" s="1118">
        <f t="shared" si="199"/>
        <v>0</v>
      </c>
      <c r="CE91" s="1119"/>
      <c r="CI91" s="1117">
        <f t="shared" si="200"/>
        <v>0</v>
      </c>
      <c r="CJ91" s="1118">
        <f t="shared" si="201"/>
        <v>0</v>
      </c>
      <c r="CK91" s="1118">
        <f t="shared" si="202"/>
        <v>0</v>
      </c>
      <c r="CL91" s="1118">
        <f t="shared" si="203"/>
        <v>0</v>
      </c>
      <c r="CM91" s="1119"/>
      <c r="CQ91" s="1117">
        <f t="shared" si="204"/>
        <v>0</v>
      </c>
      <c r="CR91" s="1118">
        <f t="shared" si="205"/>
        <v>0</v>
      </c>
      <c r="CS91" s="1118">
        <f t="shared" si="206"/>
        <v>0</v>
      </c>
      <c r="CT91" s="1118">
        <f t="shared" si="207"/>
        <v>0</v>
      </c>
      <c r="CU91" s="1119"/>
      <c r="CY91" s="1117">
        <f t="shared" si="208"/>
        <v>0</v>
      </c>
      <c r="CZ91" s="1118">
        <f t="shared" si="209"/>
        <v>0</v>
      </c>
      <c r="DA91" s="1118">
        <f t="shared" si="210"/>
        <v>0</v>
      </c>
      <c r="DB91" s="1118">
        <f t="shared" si="211"/>
        <v>0</v>
      </c>
      <c r="DC91" s="1119"/>
      <c r="DG91" s="1117">
        <f t="shared" si="212"/>
        <v>0</v>
      </c>
      <c r="DH91" s="1118">
        <f t="shared" si="213"/>
        <v>0</v>
      </c>
      <c r="DI91" s="1118">
        <f t="shared" si="214"/>
        <v>0</v>
      </c>
      <c r="DJ91" s="1118">
        <f t="shared" si="215"/>
        <v>0</v>
      </c>
      <c r="DK91" s="1119"/>
      <c r="DO91" s="1117">
        <f t="shared" si="216"/>
        <v>0</v>
      </c>
      <c r="DP91" s="1118">
        <f t="shared" si="217"/>
        <v>0</v>
      </c>
      <c r="DQ91" s="1118">
        <f t="shared" si="218"/>
        <v>0</v>
      </c>
      <c r="DR91" s="1118">
        <f t="shared" si="219"/>
        <v>0</v>
      </c>
      <c r="DS91" s="1119"/>
      <c r="DW91" s="1117">
        <f t="shared" si="220"/>
        <v>0</v>
      </c>
      <c r="DX91" s="1118">
        <f t="shared" si="221"/>
        <v>0</v>
      </c>
      <c r="DY91" s="1118">
        <f t="shared" si="222"/>
        <v>0</v>
      </c>
      <c r="DZ91" s="1118">
        <f t="shared" si="223"/>
        <v>0</v>
      </c>
      <c r="EA91" s="1119"/>
      <c r="EE91" s="1117">
        <f t="shared" si="224"/>
        <v>0</v>
      </c>
      <c r="EF91" s="1118">
        <f t="shared" si="225"/>
        <v>0</v>
      </c>
      <c r="EG91" s="1118">
        <f t="shared" si="226"/>
        <v>0</v>
      </c>
      <c r="EH91" s="1118">
        <f t="shared" si="227"/>
        <v>0</v>
      </c>
      <c r="EI91" s="1119"/>
      <c r="EM91" s="1117">
        <f t="shared" si="228"/>
        <v>0</v>
      </c>
      <c r="EN91" s="1118">
        <f t="shared" si="229"/>
        <v>0</v>
      </c>
      <c r="EO91" s="1118">
        <f t="shared" si="230"/>
        <v>0</v>
      </c>
      <c r="EP91" s="1118">
        <f t="shared" si="231"/>
        <v>0</v>
      </c>
      <c r="EQ91" s="1119"/>
      <c r="EU91" s="1117">
        <f t="shared" si="232"/>
        <v>0</v>
      </c>
      <c r="EV91" s="1118">
        <f t="shared" si="233"/>
        <v>0</v>
      </c>
      <c r="EW91" s="1118">
        <f t="shared" si="234"/>
        <v>0</v>
      </c>
      <c r="EX91" s="1118">
        <f t="shared" si="235"/>
        <v>0</v>
      </c>
      <c r="EY91" s="1119"/>
      <c r="FC91" s="1117">
        <f t="shared" si="236"/>
        <v>0</v>
      </c>
      <c r="FD91" s="1118">
        <f t="shared" si="237"/>
        <v>0</v>
      </c>
      <c r="FE91" s="1118">
        <f t="shared" si="238"/>
        <v>0</v>
      </c>
      <c r="FF91" s="1118">
        <f t="shared" si="239"/>
        <v>0</v>
      </c>
      <c r="FG91" s="1119"/>
      <c r="FK91" s="1117">
        <f t="shared" si="240"/>
        <v>0</v>
      </c>
      <c r="FL91" s="1118">
        <f t="shared" si="241"/>
        <v>0</v>
      </c>
      <c r="FM91" s="1118">
        <f t="shared" si="242"/>
        <v>0</v>
      </c>
      <c r="FN91" s="1118">
        <f t="shared" si="243"/>
        <v>0</v>
      </c>
      <c r="FO91" s="1119"/>
    </row>
    <row r="92" spans="1:171" x14ac:dyDescent="0.25">
      <c r="A92" s="945"/>
      <c r="B92" s="10" t="s">
        <v>71</v>
      </c>
      <c r="C92" s="889" t="s">
        <v>69</v>
      </c>
      <c r="D92" s="889">
        <v>114</v>
      </c>
      <c r="E92" s="182" t="str">
        <f>'Sch 1- Rate Base '!E92</f>
        <v>DIRECT</v>
      </c>
      <c r="F92" s="890"/>
      <c r="G92" s="182">
        <f>'Sch 1- Rate Base '!G92</f>
        <v>58063393.551475897</v>
      </c>
      <c r="H92" s="182">
        <f>'Sch 1- Rate Base '!H92</f>
        <v>58063393.549999997</v>
      </c>
      <c r="I92" s="182">
        <f>'Sch 1- Rate Base '!I92</f>
        <v>0</v>
      </c>
      <c r="J92" s="183">
        <f>'Sch 1- Rate Base '!J92</f>
        <v>0</v>
      </c>
      <c r="K92" s="904">
        <f t="shared" si="163"/>
        <v>0</v>
      </c>
      <c r="O92" s="1117">
        <f t="shared" si="164"/>
        <v>58063393.551475897</v>
      </c>
      <c r="P92" s="1118">
        <f t="shared" si="165"/>
        <v>58063393.549999997</v>
      </c>
      <c r="Q92" s="1118">
        <f t="shared" si="166"/>
        <v>0</v>
      </c>
      <c r="R92" s="1118">
        <f t="shared" si="167"/>
        <v>1.475900411605835E-3</v>
      </c>
      <c r="S92" s="1119"/>
      <c r="W92" s="1117">
        <f t="shared" si="168"/>
        <v>58063393.551475897</v>
      </c>
      <c r="X92" s="1118">
        <f t="shared" si="169"/>
        <v>58063393.549999997</v>
      </c>
      <c r="Y92" s="1118">
        <f t="shared" si="170"/>
        <v>0</v>
      </c>
      <c r="Z92" s="1118">
        <f t="shared" si="171"/>
        <v>1.475900411605835E-3</v>
      </c>
      <c r="AA92" s="1119"/>
      <c r="AE92" s="1117">
        <f t="shared" si="172"/>
        <v>58063393.551475897</v>
      </c>
      <c r="AF92" s="1118">
        <f t="shared" si="173"/>
        <v>58063393.549999997</v>
      </c>
      <c r="AG92" s="1118">
        <f t="shared" si="174"/>
        <v>0</v>
      </c>
      <c r="AH92" s="1118">
        <f t="shared" si="175"/>
        <v>1.475900411605835E-3</v>
      </c>
      <c r="AI92" s="1119"/>
      <c r="AM92" s="1117">
        <f t="shared" si="176"/>
        <v>58063393.551475897</v>
      </c>
      <c r="AN92" s="1118">
        <f t="shared" si="177"/>
        <v>58063393.549999997</v>
      </c>
      <c r="AO92" s="1118">
        <f t="shared" si="178"/>
        <v>0</v>
      </c>
      <c r="AP92" s="1118">
        <f t="shared" si="179"/>
        <v>1.475900411605835E-3</v>
      </c>
      <c r="AQ92" s="1119"/>
      <c r="AU92" s="1117">
        <f t="shared" si="180"/>
        <v>58063393.551475897</v>
      </c>
      <c r="AV92" s="1118">
        <f t="shared" si="181"/>
        <v>58063393.549999997</v>
      </c>
      <c r="AW92" s="1118">
        <f t="shared" si="182"/>
        <v>0</v>
      </c>
      <c r="AX92" s="1118">
        <f t="shared" si="183"/>
        <v>1.475900411605835E-3</v>
      </c>
      <c r="AY92" s="1119"/>
      <c r="BC92" s="1117">
        <f t="shared" si="184"/>
        <v>58063393.551475897</v>
      </c>
      <c r="BD92" s="1118">
        <f t="shared" si="185"/>
        <v>58063393.549999997</v>
      </c>
      <c r="BE92" s="1118">
        <f t="shared" si="186"/>
        <v>0</v>
      </c>
      <c r="BF92" s="1118">
        <f t="shared" si="187"/>
        <v>1.475900411605835E-3</v>
      </c>
      <c r="BG92" s="1119"/>
      <c r="BK92" s="1117">
        <f t="shared" si="188"/>
        <v>58063393.551475897</v>
      </c>
      <c r="BL92" s="1118">
        <f t="shared" si="189"/>
        <v>58063393.549999997</v>
      </c>
      <c r="BM92" s="1118">
        <f t="shared" si="190"/>
        <v>0</v>
      </c>
      <c r="BN92" s="1118">
        <f t="shared" si="191"/>
        <v>1.475900411605835E-3</v>
      </c>
      <c r="BO92" s="1119"/>
      <c r="BS92" s="1117">
        <f t="shared" si="192"/>
        <v>58063393.551475897</v>
      </c>
      <c r="BT92" s="1118">
        <f t="shared" si="193"/>
        <v>58063393.549999997</v>
      </c>
      <c r="BU92" s="1118">
        <f t="shared" si="194"/>
        <v>0</v>
      </c>
      <c r="BV92" s="1118">
        <f t="shared" si="195"/>
        <v>1.475900411605835E-3</v>
      </c>
      <c r="BW92" s="1119"/>
      <c r="CA92" s="1117">
        <f t="shared" si="196"/>
        <v>58063393.551475897</v>
      </c>
      <c r="CB92" s="1118">
        <f t="shared" si="197"/>
        <v>58063393.549999997</v>
      </c>
      <c r="CC92" s="1118">
        <f t="shared" si="198"/>
        <v>0</v>
      </c>
      <c r="CD92" s="1118">
        <f t="shared" si="199"/>
        <v>1.475900411605835E-3</v>
      </c>
      <c r="CE92" s="1119"/>
      <c r="CI92" s="1117">
        <f t="shared" si="200"/>
        <v>58063393.551475897</v>
      </c>
      <c r="CJ92" s="1118">
        <f t="shared" si="201"/>
        <v>58063393.549999997</v>
      </c>
      <c r="CK92" s="1118">
        <f t="shared" si="202"/>
        <v>0</v>
      </c>
      <c r="CL92" s="1118">
        <f t="shared" si="203"/>
        <v>1.475900411605835E-3</v>
      </c>
      <c r="CM92" s="1119"/>
      <c r="CQ92" s="1117">
        <f t="shared" si="204"/>
        <v>58063393.551475897</v>
      </c>
      <c r="CR92" s="1118">
        <f t="shared" si="205"/>
        <v>58063393.549999997</v>
      </c>
      <c r="CS92" s="1118">
        <f t="shared" si="206"/>
        <v>0</v>
      </c>
      <c r="CT92" s="1118">
        <f t="shared" si="207"/>
        <v>1.475900411605835E-3</v>
      </c>
      <c r="CU92" s="1119"/>
      <c r="CY92" s="1117">
        <f t="shared" si="208"/>
        <v>58063393.551475897</v>
      </c>
      <c r="CZ92" s="1118">
        <f t="shared" si="209"/>
        <v>58063393.549999997</v>
      </c>
      <c r="DA92" s="1118">
        <f t="shared" si="210"/>
        <v>0</v>
      </c>
      <c r="DB92" s="1118">
        <f t="shared" si="211"/>
        <v>1.475900411605835E-3</v>
      </c>
      <c r="DC92" s="1119"/>
      <c r="DG92" s="1117">
        <f t="shared" si="212"/>
        <v>58063393.551475897</v>
      </c>
      <c r="DH92" s="1118">
        <f t="shared" si="213"/>
        <v>58063393.549999997</v>
      </c>
      <c r="DI92" s="1118">
        <f t="shared" si="214"/>
        <v>0</v>
      </c>
      <c r="DJ92" s="1118">
        <f t="shared" si="215"/>
        <v>1.475900411605835E-3</v>
      </c>
      <c r="DK92" s="1119"/>
      <c r="DO92" s="1117">
        <f t="shared" si="216"/>
        <v>58063393.551475897</v>
      </c>
      <c r="DP92" s="1118">
        <f t="shared" si="217"/>
        <v>58063393.549999997</v>
      </c>
      <c r="DQ92" s="1118">
        <f t="shared" si="218"/>
        <v>0</v>
      </c>
      <c r="DR92" s="1118">
        <f t="shared" si="219"/>
        <v>1.475900411605835E-3</v>
      </c>
      <c r="DS92" s="1119"/>
      <c r="DW92" s="1117">
        <f t="shared" si="220"/>
        <v>58063393.551475897</v>
      </c>
      <c r="DX92" s="1118">
        <f t="shared" si="221"/>
        <v>58063393.549999997</v>
      </c>
      <c r="DY92" s="1118">
        <f t="shared" si="222"/>
        <v>0</v>
      </c>
      <c r="DZ92" s="1118">
        <f t="shared" si="223"/>
        <v>1.475900411605835E-3</v>
      </c>
      <c r="EA92" s="1119"/>
      <c r="EE92" s="1117">
        <f t="shared" si="224"/>
        <v>58063393.551475897</v>
      </c>
      <c r="EF92" s="1118">
        <f t="shared" si="225"/>
        <v>58063393.549999997</v>
      </c>
      <c r="EG92" s="1118">
        <f t="shared" si="226"/>
        <v>0</v>
      </c>
      <c r="EH92" s="1118">
        <f t="shared" si="227"/>
        <v>1.475900411605835E-3</v>
      </c>
      <c r="EI92" s="1119"/>
      <c r="EM92" s="1117">
        <f t="shared" si="228"/>
        <v>58063393.551475897</v>
      </c>
      <c r="EN92" s="1118">
        <f t="shared" si="229"/>
        <v>58063393.549999997</v>
      </c>
      <c r="EO92" s="1118">
        <f t="shared" si="230"/>
        <v>0</v>
      </c>
      <c r="EP92" s="1118">
        <f t="shared" si="231"/>
        <v>1.475900411605835E-3</v>
      </c>
      <c r="EQ92" s="1119"/>
      <c r="EU92" s="1117">
        <f t="shared" si="232"/>
        <v>58063393.551475897</v>
      </c>
      <c r="EV92" s="1118">
        <f t="shared" si="233"/>
        <v>58063393.549999997</v>
      </c>
      <c r="EW92" s="1118">
        <f t="shared" si="234"/>
        <v>0</v>
      </c>
      <c r="EX92" s="1118">
        <f t="shared" si="235"/>
        <v>1.475900411605835E-3</v>
      </c>
      <c r="EY92" s="1119"/>
      <c r="FC92" s="1117">
        <f t="shared" si="236"/>
        <v>58063393.551475897</v>
      </c>
      <c r="FD92" s="1118">
        <f t="shared" si="237"/>
        <v>58063393.549999997</v>
      </c>
      <c r="FE92" s="1118">
        <f t="shared" si="238"/>
        <v>0</v>
      </c>
      <c r="FF92" s="1118">
        <f t="shared" si="239"/>
        <v>1.475900411605835E-3</v>
      </c>
      <c r="FG92" s="1119"/>
      <c r="FK92" s="1117">
        <f t="shared" si="240"/>
        <v>58063393.551475897</v>
      </c>
      <c r="FL92" s="1118">
        <f t="shared" si="241"/>
        <v>58063393.549999997</v>
      </c>
      <c r="FM92" s="1118">
        <f t="shared" si="242"/>
        <v>0</v>
      </c>
      <c r="FN92" s="1118">
        <f t="shared" si="243"/>
        <v>1.475900411605835E-3</v>
      </c>
      <c r="FO92" s="1119"/>
    </row>
    <row r="93" spans="1:171" x14ac:dyDescent="0.25">
      <c r="A93" s="945"/>
      <c r="B93" s="848" t="s">
        <v>104</v>
      </c>
      <c r="C93" s="915"/>
      <c r="D93" s="916"/>
      <c r="E93" s="916"/>
      <c r="F93" s="917"/>
      <c r="G93" s="924">
        <f>SUM(G87:G92)</f>
        <v>2182944585.196835</v>
      </c>
      <c r="H93" s="924">
        <f>SUM(H87:H92)</f>
        <v>156351005.42557901</v>
      </c>
      <c r="I93" s="924">
        <f>SUM(I87:I92)</f>
        <v>0</v>
      </c>
      <c r="J93" s="1391">
        <f>SUM(J87:J92)</f>
        <v>2026593579.7697799</v>
      </c>
      <c r="K93" s="904"/>
      <c r="O93" s="1127">
        <f>SUM(O87:O92)</f>
        <v>2182944585.196835</v>
      </c>
      <c r="P93" s="1127">
        <f>SUM(P87:P92)</f>
        <v>156351005.42557901</v>
      </c>
      <c r="Q93" s="1127">
        <f>SUM(Q87:Q92)</f>
        <v>58029122.786991686</v>
      </c>
      <c r="R93" s="1127">
        <f>SUM(R87:R92)</f>
        <v>1968564456.9842641</v>
      </c>
      <c r="S93" s="1119"/>
      <c r="W93" s="1127">
        <f>SUM(W87:W92)</f>
        <v>2182944585.196835</v>
      </c>
      <c r="X93" s="1127">
        <f>SUM(X87:X92)</f>
        <v>156351005.42557901</v>
      </c>
      <c r="Y93" s="1127">
        <f>SUM(Y87:Y92)</f>
        <v>58029122.786991686</v>
      </c>
      <c r="Z93" s="1127">
        <f>SUM(Z87:Z92)</f>
        <v>1968564456.9842641</v>
      </c>
      <c r="AA93" s="1119"/>
      <c r="AE93" s="1127">
        <f>SUM(AE87:AE92)</f>
        <v>2182944585.196835</v>
      </c>
      <c r="AF93" s="1127">
        <f>SUM(AF87:AF92)</f>
        <v>156351005.42557901</v>
      </c>
      <c r="AG93" s="1127">
        <f>SUM(AG87:AG92)</f>
        <v>58029122.786991686</v>
      </c>
      <c r="AH93" s="1127">
        <f>SUM(AH87:AH92)</f>
        <v>1968564456.9842641</v>
      </c>
      <c r="AI93" s="1119"/>
      <c r="AM93" s="1127">
        <f>SUM(AM87:AM92)</f>
        <v>2182944585.196835</v>
      </c>
      <c r="AN93" s="1127">
        <f>SUM(AN87:AN92)</f>
        <v>156351005.42557901</v>
      </c>
      <c r="AO93" s="1127">
        <f>SUM(AO87:AO92)</f>
        <v>58029122.786991686</v>
      </c>
      <c r="AP93" s="1127">
        <f>SUM(AP87:AP92)</f>
        <v>1968564456.9842641</v>
      </c>
      <c r="AQ93" s="1119"/>
      <c r="AU93" s="1127">
        <f>SUM(AU87:AU92)</f>
        <v>2182944585.196835</v>
      </c>
      <c r="AV93" s="1127">
        <f>SUM(AV87:AV92)</f>
        <v>156351005.42557901</v>
      </c>
      <c r="AW93" s="1127">
        <f>SUM(AW87:AW92)</f>
        <v>58029122.786991686</v>
      </c>
      <c r="AX93" s="1127">
        <f>SUM(AX87:AX92)</f>
        <v>1968564456.9842641</v>
      </c>
      <c r="AY93" s="1119"/>
      <c r="BC93" s="1127">
        <f>SUM(BC87:BC92)</f>
        <v>2182944585.196835</v>
      </c>
      <c r="BD93" s="1127">
        <f>SUM(BD87:BD92)</f>
        <v>156351005.42557901</v>
      </c>
      <c r="BE93" s="1127">
        <f>SUM(BE87:BE92)</f>
        <v>58029122.786991686</v>
      </c>
      <c r="BF93" s="1127">
        <f>SUM(BF87:BF92)</f>
        <v>1968564456.9842641</v>
      </c>
      <c r="BG93" s="1119"/>
      <c r="BK93" s="1127">
        <f>SUM(BK87:BK92)</f>
        <v>2182944585.196835</v>
      </c>
      <c r="BL93" s="1127">
        <f>SUM(BL87:BL92)</f>
        <v>156351005.42557901</v>
      </c>
      <c r="BM93" s="1127">
        <f>SUM(BM87:BM92)</f>
        <v>58029122.786991686</v>
      </c>
      <c r="BN93" s="1127">
        <f>SUM(BN87:BN92)</f>
        <v>1968564456.9842641</v>
      </c>
      <c r="BO93" s="1119"/>
      <c r="BS93" s="1127">
        <f>SUM(BS87:BS92)</f>
        <v>2182944585.196835</v>
      </c>
      <c r="BT93" s="1127">
        <f>SUM(BT87:BT92)</f>
        <v>156351005.42557901</v>
      </c>
      <c r="BU93" s="1127">
        <f>SUM(BU87:BU92)</f>
        <v>58029122.786991686</v>
      </c>
      <c r="BV93" s="1127">
        <f>SUM(BV87:BV92)</f>
        <v>1968564456.9842641</v>
      </c>
      <c r="BW93" s="1119"/>
      <c r="CA93" s="1127">
        <f>SUM(CA87:CA92)</f>
        <v>2182944585.196835</v>
      </c>
      <c r="CB93" s="1127">
        <f>SUM(CB87:CB92)</f>
        <v>156351005.42557901</v>
      </c>
      <c r="CC93" s="1127">
        <f>SUM(CC87:CC92)</f>
        <v>58029122.786991686</v>
      </c>
      <c r="CD93" s="1127">
        <f>SUM(CD87:CD92)</f>
        <v>1968564456.9842641</v>
      </c>
      <c r="CE93" s="1119"/>
      <c r="CI93" s="1127">
        <f>SUM(CI87:CI92)</f>
        <v>2182944585.196835</v>
      </c>
      <c r="CJ93" s="1127">
        <f>SUM(CJ87:CJ92)</f>
        <v>156351005.42557901</v>
      </c>
      <c r="CK93" s="1127">
        <f>SUM(CK87:CK92)</f>
        <v>58029122.786991686</v>
      </c>
      <c r="CL93" s="1127">
        <f>SUM(CL87:CL92)</f>
        <v>1968564456.9842641</v>
      </c>
      <c r="CM93" s="1119"/>
      <c r="CQ93" s="1127">
        <f>SUM(CQ87:CQ92)</f>
        <v>2182944585.196835</v>
      </c>
      <c r="CR93" s="1127">
        <f>SUM(CR87:CR92)</f>
        <v>156351005.42557901</v>
      </c>
      <c r="CS93" s="1127">
        <f>SUM(CS87:CS92)</f>
        <v>58029122.786991686</v>
      </c>
      <c r="CT93" s="1127">
        <f>SUM(CT87:CT92)</f>
        <v>1968564456.9842641</v>
      </c>
      <c r="CU93" s="1119"/>
      <c r="CY93" s="1127">
        <f>SUM(CY87:CY92)</f>
        <v>2182944585.196835</v>
      </c>
      <c r="CZ93" s="1127">
        <f>SUM(CZ87:CZ92)</f>
        <v>156351005.42557901</v>
      </c>
      <c r="DA93" s="1127">
        <f>SUM(DA87:DA92)</f>
        <v>58029122.786991686</v>
      </c>
      <c r="DB93" s="1127">
        <f>SUM(DB87:DB92)</f>
        <v>1968564456.9842641</v>
      </c>
      <c r="DC93" s="1119"/>
      <c r="DG93" s="1127">
        <f>SUM(DG87:DG92)</f>
        <v>2182944585.196835</v>
      </c>
      <c r="DH93" s="1127">
        <f>SUM(DH87:DH92)</f>
        <v>156351005.42557901</v>
      </c>
      <c r="DI93" s="1127">
        <f>SUM(DI87:DI92)</f>
        <v>58029122.786991686</v>
      </c>
      <c r="DJ93" s="1127">
        <f>SUM(DJ87:DJ92)</f>
        <v>1968564456.9842641</v>
      </c>
      <c r="DK93" s="1119"/>
      <c r="DO93" s="1127">
        <f>SUM(DO87:DO92)</f>
        <v>2182944585.196835</v>
      </c>
      <c r="DP93" s="1127">
        <f>SUM(DP87:DP92)</f>
        <v>156351005.42557901</v>
      </c>
      <c r="DQ93" s="1127">
        <f>SUM(DQ87:DQ92)</f>
        <v>58029122.786991686</v>
      </c>
      <c r="DR93" s="1127">
        <f>SUM(DR87:DR92)</f>
        <v>1968564456.9842641</v>
      </c>
      <c r="DS93" s="1119"/>
      <c r="DW93" s="1127">
        <f>SUM(DW87:DW92)</f>
        <v>2182944585.196835</v>
      </c>
      <c r="DX93" s="1127">
        <f>SUM(DX87:DX92)</f>
        <v>156351005.42557901</v>
      </c>
      <c r="DY93" s="1127">
        <f>SUM(DY87:DY92)</f>
        <v>58029122.786991686</v>
      </c>
      <c r="DZ93" s="1127">
        <f>SUM(DZ87:DZ92)</f>
        <v>1968564456.9842641</v>
      </c>
      <c r="EA93" s="1119"/>
      <c r="EE93" s="1127">
        <f>SUM(EE87:EE92)</f>
        <v>2182944585.196835</v>
      </c>
      <c r="EF93" s="1127">
        <f>SUM(EF87:EF92)</f>
        <v>156351005.42557901</v>
      </c>
      <c r="EG93" s="1127">
        <f>SUM(EG87:EG92)</f>
        <v>58029122.786991686</v>
      </c>
      <c r="EH93" s="1127">
        <f>SUM(EH87:EH92)</f>
        <v>1968564456.9842641</v>
      </c>
      <c r="EI93" s="1119"/>
      <c r="EM93" s="1127">
        <f>SUM(EM87:EM92)</f>
        <v>2182944585.196835</v>
      </c>
      <c r="EN93" s="1127">
        <f>SUM(EN87:EN92)</f>
        <v>156351005.42557901</v>
      </c>
      <c r="EO93" s="1127">
        <f>SUM(EO87:EO92)</f>
        <v>58029122.786991686</v>
      </c>
      <c r="EP93" s="1127">
        <f>SUM(EP87:EP92)</f>
        <v>1968564456.9842641</v>
      </c>
      <c r="EQ93" s="1119"/>
      <c r="EU93" s="1127">
        <f>SUM(EU87:EU92)</f>
        <v>2182944585.196835</v>
      </c>
      <c r="EV93" s="1127">
        <f>SUM(EV87:EV92)</f>
        <v>156351005.42557901</v>
      </c>
      <c r="EW93" s="1127">
        <f>SUM(EW87:EW92)</f>
        <v>58029122.786991686</v>
      </c>
      <c r="EX93" s="1127">
        <f>SUM(EX87:EX92)</f>
        <v>1968564456.9842641</v>
      </c>
      <c r="EY93" s="1119"/>
      <c r="FC93" s="1127">
        <f>SUM(FC87:FC92)</f>
        <v>2182944585.196835</v>
      </c>
      <c r="FD93" s="1127">
        <f>SUM(FD87:FD92)</f>
        <v>156351005.42557901</v>
      </c>
      <c r="FE93" s="1127">
        <f>SUM(FE87:FE92)</f>
        <v>58029122.786991686</v>
      </c>
      <c r="FF93" s="1127">
        <f>SUM(FF87:FF92)</f>
        <v>1968564456.9842641</v>
      </c>
      <c r="FG93" s="1119"/>
      <c r="FK93" s="1127">
        <f>SUM(FK87:FK92)</f>
        <v>2182944585.196835</v>
      </c>
      <c r="FL93" s="1127">
        <f>SUM(FL87:FL92)</f>
        <v>156351005.42557901</v>
      </c>
      <c r="FM93" s="1127">
        <f>SUM(FM87:FM92)</f>
        <v>58029122.786991686</v>
      </c>
      <c r="FN93" s="1127">
        <f>SUM(FN87:FN92)</f>
        <v>1968564456.9842641</v>
      </c>
      <c r="FO93" s="1119"/>
    </row>
    <row r="94" spans="1:171" x14ac:dyDescent="0.25">
      <c r="A94" s="945"/>
      <c r="B94" s="848"/>
      <c r="C94" s="946"/>
      <c r="D94" s="947"/>
      <c r="E94" s="196"/>
      <c r="F94" s="196"/>
      <c r="G94" s="948"/>
      <c r="H94" s="948"/>
      <c r="I94" s="948"/>
      <c r="J94" s="949"/>
      <c r="K94" s="904"/>
      <c r="O94" s="948"/>
      <c r="S94" s="1119"/>
      <c r="W94" s="948"/>
      <c r="AA94" s="1119"/>
      <c r="AE94" s="948"/>
      <c r="AI94" s="1119"/>
      <c r="AM94" s="948"/>
      <c r="AQ94" s="1119"/>
      <c r="AU94" s="948"/>
      <c r="AY94" s="1119"/>
      <c r="BC94" s="948"/>
      <c r="BG94" s="1119"/>
      <c r="BK94" s="948"/>
      <c r="BO94" s="1119"/>
      <c r="BS94" s="948"/>
      <c r="BW94" s="1119"/>
      <c r="CA94" s="948"/>
      <c r="CE94" s="1119"/>
      <c r="CI94" s="948"/>
      <c r="CM94" s="1119"/>
      <c r="CQ94" s="948"/>
      <c r="CU94" s="1119"/>
      <c r="CY94" s="948"/>
      <c r="DC94" s="1119"/>
      <c r="DG94" s="948"/>
      <c r="DK94" s="1119"/>
      <c r="DO94" s="948"/>
      <c r="DS94" s="1119"/>
      <c r="DW94" s="948"/>
      <c r="EA94" s="1119"/>
      <c r="EE94" s="948"/>
      <c r="EI94" s="1119"/>
      <c r="EM94" s="948"/>
      <c r="EQ94" s="1119"/>
      <c r="EU94" s="948"/>
      <c r="EY94" s="1119"/>
      <c r="FC94" s="948"/>
      <c r="FG94" s="1119"/>
      <c r="FK94" s="948"/>
      <c r="FO94" s="1119"/>
    </row>
    <row r="95" spans="1:171" x14ac:dyDescent="0.25">
      <c r="A95" s="269" t="s">
        <v>275</v>
      </c>
      <c r="B95" s="79"/>
      <c r="C95" s="941"/>
      <c r="D95" s="196"/>
      <c r="E95" s="196"/>
      <c r="F95" s="196"/>
      <c r="G95" s="950"/>
      <c r="H95" s="950"/>
      <c r="I95" s="950"/>
      <c r="J95" s="951"/>
      <c r="K95" s="904"/>
      <c r="O95" s="1080"/>
      <c r="S95" s="1119"/>
      <c r="W95" s="1080"/>
      <c r="AA95" s="1119"/>
      <c r="AE95" s="1080"/>
      <c r="AI95" s="1119"/>
      <c r="AM95" s="1080"/>
      <c r="AQ95" s="1119"/>
      <c r="AU95" s="1080"/>
      <c r="AY95" s="1119"/>
      <c r="BC95" s="1080"/>
      <c r="BG95" s="1119"/>
      <c r="BK95" s="1080"/>
      <c r="BO95" s="1119"/>
      <c r="BS95" s="1080"/>
      <c r="BW95" s="1119"/>
      <c r="CA95" s="1080"/>
      <c r="CE95" s="1119"/>
      <c r="CI95" s="1080"/>
      <c r="CM95" s="1119"/>
      <c r="CQ95" s="1080"/>
      <c r="CU95" s="1119"/>
      <c r="CY95" s="1080"/>
      <c r="DC95" s="1119"/>
      <c r="DG95" s="1080"/>
      <c r="DK95" s="1119"/>
      <c r="DO95" s="1080"/>
      <c r="DS95" s="1119"/>
      <c r="DW95" s="1080"/>
      <c r="EA95" s="1119"/>
      <c r="EE95" s="1080"/>
      <c r="EI95" s="1119"/>
      <c r="EM95" s="1080"/>
      <c r="EQ95" s="1119"/>
      <c r="EU95" s="1080"/>
      <c r="EY95" s="1119"/>
      <c r="FC95" s="1080"/>
      <c r="FG95" s="1119"/>
      <c r="FK95" s="1080"/>
      <c r="FO95" s="1119"/>
    </row>
    <row r="96" spans="1:171" x14ac:dyDescent="0.25">
      <c r="A96" s="913"/>
      <c r="B96" s="914" t="s">
        <v>444</v>
      </c>
      <c r="C96" s="889" t="s">
        <v>78</v>
      </c>
      <c r="D96" s="889">
        <v>123</v>
      </c>
      <c r="E96" s="182" t="str">
        <f>'Sch 1- Rate Base '!E96</f>
        <v>DIRECT</v>
      </c>
      <c r="F96" s="890"/>
      <c r="G96" s="182">
        <f>'Sch 1- Rate Base '!G96</f>
        <v>62858540.484995149</v>
      </c>
      <c r="H96" s="182">
        <f>'Sch 1- Rate Base '!H96</f>
        <v>0</v>
      </c>
      <c r="I96" s="182">
        <f>'Sch 1- Rate Base '!I96</f>
        <v>0</v>
      </c>
      <c r="J96" s="183">
        <f>'Sch 1- Rate Base '!J96</f>
        <v>62858540.484995149</v>
      </c>
      <c r="K96" s="904">
        <f>IF($E96="DIRECT",0,1)</f>
        <v>0</v>
      </c>
      <c r="O96" s="1117">
        <f>$G96</f>
        <v>62858540.484995149</v>
      </c>
      <c r="P96" s="1118">
        <f>VLOOKUP($E96,O$442:R$453,2,FALSE)*O96*($K96)+IF($G96&gt;0,($H96/$G96)*O96,0)*(1-$K96)</f>
        <v>0</v>
      </c>
      <c r="Q96" s="1118">
        <f>VLOOKUP($E96,O$442:R$453,3,FALSE)*O96*($K96)+IF($G96&gt;0,($I96/$G96)*O96,0)*(1-$K96)</f>
        <v>0</v>
      </c>
      <c r="R96" s="1118">
        <f>VLOOKUP($E96,O$442:R$453,4,FALSE)*O96*($K96)+(O96-P96-Q96)*(1-$K96)</f>
        <v>62858540.484995149</v>
      </c>
      <c r="S96" s="1119"/>
      <c r="W96" s="1117">
        <f>$G96</f>
        <v>62858540.484995149</v>
      </c>
      <c r="X96" s="1118">
        <f>VLOOKUP($E96,W$442:Z$453,2,FALSE)*W96*($K96)+IF($G96&gt;0,($H96/$G96)*W96,0)*(1-$K96)</f>
        <v>0</v>
      </c>
      <c r="Y96" s="1118">
        <f>VLOOKUP($E96,W$442:Z$453,3,FALSE)*W96*($K96)+IF($G96&gt;0,($I96/$G96)*W96,0)*(1-$K96)</f>
        <v>0</v>
      </c>
      <c r="Z96" s="1118">
        <f>VLOOKUP($E96,W$442:Z$453,4,FALSE)*W96*($K96)+(W96-X96-Y96)*(1-$K96)</f>
        <v>62858540.484995149</v>
      </c>
      <c r="AA96" s="1119"/>
      <c r="AE96" s="1117">
        <f>$G96</f>
        <v>62858540.484995149</v>
      </c>
      <c r="AF96" s="1118">
        <f>VLOOKUP($E96,AE$442:AH$453,2,FALSE)*AE96*($K96)+IF($G96&gt;0,($H96/$G96)*AE96,0)*(1-$K96)</f>
        <v>0</v>
      </c>
      <c r="AG96" s="1118">
        <f>VLOOKUP($E96,AE$442:AH$453,3,FALSE)*AE96*($K96)+IF($G96&gt;0,($I96/$G96)*AE96,0)*(1-$K96)</f>
        <v>0</v>
      </c>
      <c r="AH96" s="1118">
        <f>VLOOKUP($E96,AE$442:AH$453,4,FALSE)*AE96*($K96)+(AE96-AF96-AG96)*(1-$K96)</f>
        <v>62858540.484995149</v>
      </c>
      <c r="AI96" s="1119"/>
      <c r="AM96" s="1117">
        <f>$G96</f>
        <v>62858540.484995149</v>
      </c>
      <c r="AN96" s="1118">
        <f>VLOOKUP($E96,AM$442:AP$453,2,FALSE)*AM96*($K96)+IF($G96&gt;0,($H96/$G96)*AM96,0)*(1-$K96)</f>
        <v>0</v>
      </c>
      <c r="AO96" s="1118">
        <f>VLOOKUP($E96,AM$442:AP$453,3,FALSE)*AM96*($K96)+IF($G96&gt;0,($I96/$G96)*AM96,0)*(1-$K96)</f>
        <v>0</v>
      </c>
      <c r="AP96" s="1118">
        <f>VLOOKUP($E96,AM$442:AP$453,4,FALSE)*AM96*($K96)+(AM96-AN96-AO96)*(1-$K96)</f>
        <v>62858540.484995149</v>
      </c>
      <c r="AQ96" s="1119"/>
      <c r="AU96" s="1117">
        <f>$G96</f>
        <v>62858540.484995149</v>
      </c>
      <c r="AV96" s="1118">
        <f>VLOOKUP($E96,AU$442:AX$453,2,FALSE)*AU96*($K96)+IF($G96&gt;0,($H96/$G96)*AU96,0)*(1-$K96)</f>
        <v>0</v>
      </c>
      <c r="AW96" s="1118">
        <f>VLOOKUP($E96,AU$442:AX$453,3,FALSE)*AU96*($K96)+IF($G96&gt;0,($I96/$G96)*AU96,0)*(1-$K96)</f>
        <v>0</v>
      </c>
      <c r="AX96" s="1118">
        <f>VLOOKUP($E96,AU$442:AX$453,4,FALSE)*AU96*($K96)+(AU96-AV96-AW96)*(1-$K96)</f>
        <v>62858540.484995149</v>
      </c>
      <c r="AY96" s="1119"/>
      <c r="BC96" s="1117">
        <f>$G96</f>
        <v>62858540.484995149</v>
      </c>
      <c r="BD96" s="1118">
        <f>VLOOKUP($E96,BC$442:BF$453,2,FALSE)*BC96*($K96)+IF($G96&gt;0,($H96/$G96)*BC96,0)*(1-$K96)</f>
        <v>0</v>
      </c>
      <c r="BE96" s="1118">
        <f>VLOOKUP($E96,BC$442:BF$453,3,FALSE)*BC96*($K96)+IF($G96&gt;0,($I96/$G96)*BC96,0)*(1-$K96)</f>
        <v>0</v>
      </c>
      <c r="BF96" s="1118">
        <f>VLOOKUP($E96,BC$442:BF$453,4,FALSE)*BC96*($K96)+(BC96-BD96-BE96)*(1-$K96)</f>
        <v>62858540.484995149</v>
      </c>
      <c r="BG96" s="1119"/>
      <c r="BK96" s="1117">
        <f>$G96</f>
        <v>62858540.484995149</v>
      </c>
      <c r="BL96" s="1118">
        <f>VLOOKUP($E96,BK$442:BN$453,2,FALSE)*BK96*($K96)+IF($G96&gt;0,($H96/$G96)*BK96,0)*(1-$K96)</f>
        <v>0</v>
      </c>
      <c r="BM96" s="1118">
        <f>VLOOKUP($E96,BK$442:BN$453,3,FALSE)*BK96*($K96)+IF($G96&gt;0,($I96/$G96)*BK96,0)*(1-$K96)</f>
        <v>0</v>
      </c>
      <c r="BN96" s="1118">
        <f>VLOOKUP($E96,BK$442:BN$453,4,FALSE)*BK96*($K96)+(BK96-BL96-BM96)*(1-$K96)</f>
        <v>62858540.484995149</v>
      </c>
      <c r="BO96" s="1119"/>
      <c r="BS96" s="1117">
        <f>$G96</f>
        <v>62858540.484995149</v>
      </c>
      <c r="BT96" s="1118">
        <f>VLOOKUP($E96,BS$442:BV$453,2,FALSE)*BS96*($K96)+IF($G96&gt;0,($H96/$G96)*BS96,0)*(1-$K96)</f>
        <v>0</v>
      </c>
      <c r="BU96" s="1118">
        <f>VLOOKUP($E96,BS$442:BV$453,3,FALSE)*BS96*($K96)+IF($G96&gt;0,($I96/$G96)*BS96,0)*(1-$K96)</f>
        <v>0</v>
      </c>
      <c r="BV96" s="1118">
        <f>VLOOKUP($E96,BS$442:BV$453,4,FALSE)*BS96*($K96)+(BS96-BT96-BU96)*(1-$K96)</f>
        <v>62858540.484995149</v>
      </c>
      <c r="BW96" s="1119"/>
      <c r="CA96" s="1117">
        <f>$G96</f>
        <v>62858540.484995149</v>
      </c>
      <c r="CB96" s="1118">
        <f>VLOOKUP($E96,CA$442:CD$453,2,FALSE)*CA96*($K96)+IF($G96&gt;0,($H96/$G96)*CA96,0)*(1-$K96)</f>
        <v>0</v>
      </c>
      <c r="CC96" s="1118">
        <f>VLOOKUP($E96,CA$442:CD$453,3,FALSE)*CA96*($K96)+IF($G96&gt;0,($I96/$G96)*CA96,0)*(1-$K96)</f>
        <v>0</v>
      </c>
      <c r="CD96" s="1118">
        <f>VLOOKUP($E96,CA$442:CD$453,4,FALSE)*CA96*($K96)+(CA96-CB96-CC96)*(1-$K96)</f>
        <v>62858540.484995149</v>
      </c>
      <c r="CE96" s="1119"/>
      <c r="CI96" s="1117">
        <f>$G96</f>
        <v>62858540.484995149</v>
      </c>
      <c r="CJ96" s="1118">
        <f>VLOOKUP($E96,CI$442:CL$453,2,FALSE)*CI96*($K96)+IF($G96&gt;0,($H96/$G96)*CI96,0)*(1-$K96)</f>
        <v>0</v>
      </c>
      <c r="CK96" s="1118">
        <f>VLOOKUP($E96,CI$442:CL$453,3,FALSE)*CI96*($K96)+IF($G96&gt;0,($I96/$G96)*CI96,0)*(1-$K96)</f>
        <v>0</v>
      </c>
      <c r="CL96" s="1118">
        <f>VLOOKUP($E96,CI$442:CL$453,4,FALSE)*CI96*($K96)+(CI96-CJ96-CK96)*(1-$K96)</f>
        <v>62858540.484995149</v>
      </c>
      <c r="CM96" s="1119"/>
      <c r="CQ96" s="1117">
        <f>$G96</f>
        <v>62858540.484995149</v>
      </c>
      <c r="CR96" s="1118">
        <f>VLOOKUP($E96,CQ$442:CT$453,2,FALSE)*CQ96*($K96)+IF($G96&gt;0,($H96/$G96)*CQ96,0)*(1-$K96)</f>
        <v>0</v>
      </c>
      <c r="CS96" s="1118">
        <f>VLOOKUP($E96,CQ$442:CT$453,3,FALSE)*CQ96*($K96)+IF($G96&gt;0,($I96/$G96)*CQ96,0)*(1-$K96)</f>
        <v>0</v>
      </c>
      <c r="CT96" s="1118">
        <f>VLOOKUP($E96,CQ$442:CT$453,4,FALSE)*CQ96*($K96)+(CQ96-CR96-CS96)*(1-$K96)</f>
        <v>62858540.484995149</v>
      </c>
      <c r="CU96" s="1119"/>
      <c r="CY96" s="1117">
        <f>$G96</f>
        <v>62858540.484995149</v>
      </c>
      <c r="CZ96" s="1118">
        <f>VLOOKUP($E96,CY$442:DB$453,2,FALSE)*CY96*($K96)+IF($G96&gt;0,($H96/$G96)*CY96,0)*(1-$K96)</f>
        <v>0</v>
      </c>
      <c r="DA96" s="1118">
        <f>VLOOKUP($E96,CY$442:DB$453,3,FALSE)*CY96*($K96)+IF($G96&gt;0,($I96/$G96)*CY96,0)*(1-$K96)</f>
        <v>0</v>
      </c>
      <c r="DB96" s="1118">
        <f>VLOOKUP($E96,CY$442:DB$453,4,FALSE)*CY96*($K96)+(CY96-CZ96-DA96)*(1-$K96)</f>
        <v>62858540.484995149</v>
      </c>
      <c r="DC96" s="1119"/>
      <c r="DG96" s="1117">
        <f>$G96</f>
        <v>62858540.484995149</v>
      </c>
      <c r="DH96" s="1118">
        <f>VLOOKUP($E96,DG$442:DJ$453,2,FALSE)*DG96*($K96)+IF($G96&gt;0,($H96/$G96)*DG96,0)*(1-$K96)</f>
        <v>0</v>
      </c>
      <c r="DI96" s="1118">
        <f>VLOOKUP($E96,DG$442:DJ$453,3,FALSE)*DG96*($K96)+IF($G96&gt;0,($I96/$G96)*DG96,0)*(1-$K96)</f>
        <v>0</v>
      </c>
      <c r="DJ96" s="1118">
        <f>VLOOKUP($E96,DG$442:DJ$453,4,FALSE)*DG96*($K96)+(DG96-DH96-DI96)*(1-$K96)</f>
        <v>62858540.484995149</v>
      </c>
      <c r="DK96" s="1119"/>
      <c r="DO96" s="1117">
        <f>$G96</f>
        <v>62858540.484995149</v>
      </c>
      <c r="DP96" s="1118">
        <f>VLOOKUP($E96,DO$442:DR$453,2,FALSE)*DO96*($K96)+IF($G96&gt;0,($H96/$G96)*DO96,0)*(1-$K96)</f>
        <v>0</v>
      </c>
      <c r="DQ96" s="1118">
        <f>VLOOKUP($E96,DO$442:DR$453,3,FALSE)*DO96*($K96)+IF($G96&gt;0,($I96/$G96)*DO96,0)*(1-$K96)</f>
        <v>0</v>
      </c>
      <c r="DR96" s="1118">
        <f>VLOOKUP($E96,DO$442:DR$453,4,FALSE)*DO96*($K96)+(DO96-DP96-DQ96)*(1-$K96)</f>
        <v>62858540.484995149</v>
      </c>
      <c r="DS96" s="1119"/>
      <c r="DW96" s="1117">
        <f>$G96</f>
        <v>62858540.484995149</v>
      </c>
      <c r="DX96" s="1118">
        <f>VLOOKUP($E96,DW$442:DZ$453,2,FALSE)*DW96*($K96)+IF($G96&gt;0,($H96/$G96)*DW96,0)*(1-$K96)</f>
        <v>0</v>
      </c>
      <c r="DY96" s="1118">
        <f>VLOOKUP($E96,DW$442:DZ$453,3,FALSE)*DW96*($K96)+IF($G96&gt;0,($I96/$G96)*DW96,0)*(1-$K96)</f>
        <v>0</v>
      </c>
      <c r="DZ96" s="1118">
        <f>VLOOKUP($E96,DW$442:DZ$453,4,FALSE)*DW96*($K96)+(DW96-DX96-DY96)*(1-$K96)</f>
        <v>62858540.484995149</v>
      </c>
      <c r="EA96" s="1119"/>
      <c r="EE96" s="1117">
        <f>$G96</f>
        <v>62858540.484995149</v>
      </c>
      <c r="EF96" s="1118">
        <f>VLOOKUP($E96,EE$442:EH$453,2,FALSE)*EE96*($K96)+IF($G96&gt;0,($H96/$G96)*EE96,0)*(1-$K96)</f>
        <v>0</v>
      </c>
      <c r="EG96" s="1118">
        <f>VLOOKUP($E96,EE$442:EH$453,3,FALSE)*EE96*($K96)+IF($G96&gt;0,($I96/$G96)*EE96,0)*(1-$K96)</f>
        <v>0</v>
      </c>
      <c r="EH96" s="1118">
        <f>VLOOKUP($E96,EE$442:EH$453,4,FALSE)*EE96*($K96)+(EE96-EF96-EG96)*(1-$K96)</f>
        <v>62858540.484995149</v>
      </c>
      <c r="EI96" s="1119"/>
      <c r="EM96" s="1117">
        <f>$G96</f>
        <v>62858540.484995149</v>
      </c>
      <c r="EN96" s="1118">
        <f>VLOOKUP($E96,EM$442:EP$453,2,FALSE)*EM96*($K96)+IF($G96&gt;0,($H96/$G96)*EM96,0)*(1-$K96)</f>
        <v>0</v>
      </c>
      <c r="EO96" s="1118">
        <f>VLOOKUP($E96,EM$442:EP$453,3,FALSE)*EM96*($K96)+IF($G96&gt;0,($I96/$G96)*EM96,0)*(1-$K96)</f>
        <v>0</v>
      </c>
      <c r="EP96" s="1118">
        <f>VLOOKUP($E96,EM$442:EP$453,4,FALSE)*EM96*($K96)+(EM96-EN96-EO96)*(1-$K96)</f>
        <v>62858540.484995149</v>
      </c>
      <c r="EQ96" s="1119"/>
      <c r="EU96" s="1117">
        <f>$G96</f>
        <v>62858540.484995149</v>
      </c>
      <c r="EV96" s="1118">
        <f>VLOOKUP($E96,EU$442:EX$453,2,FALSE)*EU96*($K96)+IF($G96&gt;0,($H96/$G96)*EU96,0)*(1-$K96)</f>
        <v>0</v>
      </c>
      <c r="EW96" s="1118">
        <f>VLOOKUP($E96,EU$442:EX$453,3,FALSE)*EU96*($K96)+IF($G96&gt;0,($I96/$G96)*EU96,0)*(1-$K96)</f>
        <v>0</v>
      </c>
      <c r="EX96" s="1118">
        <f>VLOOKUP($E96,EU$442:EX$453,4,FALSE)*EU96*($K96)+(EU96-EV96-EW96)*(1-$K96)</f>
        <v>62858540.484995149</v>
      </c>
      <c r="EY96" s="1119"/>
      <c r="FC96" s="1117">
        <f>$G96</f>
        <v>62858540.484995149</v>
      </c>
      <c r="FD96" s="1118">
        <f>VLOOKUP($E96,FC$442:FF$453,2,FALSE)*FC96*($K96)+IF($G96&gt;0,($H96/$G96)*FC96,0)*(1-$K96)</f>
        <v>0</v>
      </c>
      <c r="FE96" s="1118">
        <f>VLOOKUP($E96,FC$442:FF$453,3,FALSE)*FC96*($K96)+IF($G96&gt;0,($I96/$G96)*FC96,0)*(1-$K96)</f>
        <v>0</v>
      </c>
      <c r="FF96" s="1118">
        <f>VLOOKUP($E96,FC$442:FF$453,4,FALSE)*FC96*($K96)+(FC96-FD96-FE96)*(1-$K96)</f>
        <v>62858540.484995149</v>
      </c>
      <c r="FG96" s="1119"/>
      <c r="FK96" s="1117">
        <f>$G96</f>
        <v>62858540.484995149</v>
      </c>
      <c r="FL96" s="1118">
        <f>VLOOKUP($E96,FK$442:FN$453,2,FALSE)*FK96*($K96)+IF($G96&gt;0,($H96/$G96)*FK96,0)*(1-$K96)</f>
        <v>0</v>
      </c>
      <c r="FM96" s="1118">
        <f>VLOOKUP($E96,FK$442:FN$453,3,FALSE)*FK96*($K96)+IF($G96&gt;0,($I96/$G96)*FK96,0)*(1-$K96)</f>
        <v>0</v>
      </c>
      <c r="FN96" s="1118">
        <f>VLOOKUP($E96,FK$442:FN$453,4,FALSE)*FK96*($K96)+(FK96-FL96-FM96)*(1-$K96)</f>
        <v>62858540.484995149</v>
      </c>
      <c r="FO96" s="1119"/>
    </row>
    <row r="97" spans="1:171" x14ac:dyDescent="0.25">
      <c r="A97" s="913"/>
      <c r="B97" s="10" t="s">
        <v>477</v>
      </c>
      <c r="C97" s="889" t="s">
        <v>78</v>
      </c>
      <c r="D97" s="889">
        <v>124</v>
      </c>
      <c r="E97" s="182" t="str">
        <f>'Sch 1- Rate Base '!E97</f>
        <v>DIST</v>
      </c>
      <c r="F97" s="890"/>
      <c r="G97" s="182">
        <f>'Sch 1- Rate Base '!G97</f>
        <v>44548812.661816128</v>
      </c>
      <c r="H97" s="182">
        <f>'Sch 1- Rate Base '!H97</f>
        <v>0</v>
      </c>
      <c r="I97" s="182">
        <f>'Sch 1- Rate Base '!I97</f>
        <v>0</v>
      </c>
      <c r="J97" s="183">
        <f>'Sch 1- Rate Base '!J97</f>
        <v>44548812.661816128</v>
      </c>
      <c r="K97" s="904">
        <f>IF($E97="DIRECT",0,1)</f>
        <v>1</v>
      </c>
      <c r="O97" s="1117">
        <f>$G97</f>
        <v>44548812.661816128</v>
      </c>
      <c r="P97" s="1118">
        <f>VLOOKUP($E97,O$442:R$453,2,FALSE)*O97*($K97)+IF($G97&gt;0,($H97/$G97)*O97,0)*(1-$K97)</f>
        <v>0</v>
      </c>
      <c r="Q97" s="1118">
        <f>VLOOKUP($E97,O$442:R$453,3,FALSE)*O97*($K97)+IF($G97&gt;0,($I97/$G97)*O97,0)*(1-$K97)</f>
        <v>0</v>
      </c>
      <c r="R97" s="1118">
        <f>VLOOKUP($E97,O$442:R$453,4,FALSE)*O97*($K97)+(O97-P97-Q97)*(1-$K97)</f>
        <v>44548812.661816128</v>
      </c>
      <c r="S97" s="1119"/>
      <c r="W97" s="1117">
        <f>$G97</f>
        <v>44548812.661816128</v>
      </c>
      <c r="X97" s="1118">
        <f>VLOOKUP($E97,W$442:Z$453,2,FALSE)*W97*($K97)+IF($G97&gt;0,($H97/$G97)*W97,0)*(1-$K97)</f>
        <v>0</v>
      </c>
      <c r="Y97" s="1118">
        <f>VLOOKUP($E97,W$442:Z$453,3,FALSE)*W97*($K97)+IF($G97&gt;0,($I97/$G97)*W97,0)*(1-$K97)</f>
        <v>0</v>
      </c>
      <c r="Z97" s="1118">
        <f>VLOOKUP($E97,W$442:Z$453,4,FALSE)*W97*($K97)+(W97-X97-Y97)*(1-$K97)</f>
        <v>44548812.661816128</v>
      </c>
      <c r="AA97" s="1119"/>
      <c r="AE97" s="1117">
        <f>$G97</f>
        <v>44548812.661816128</v>
      </c>
      <c r="AF97" s="1118">
        <f>VLOOKUP($E97,AE$442:AH$453,2,FALSE)*AE97*($K97)+IF($G97&gt;0,($H97/$G97)*AE97,0)*(1-$K97)</f>
        <v>0</v>
      </c>
      <c r="AG97" s="1118">
        <f>VLOOKUP($E97,AE$442:AH$453,3,FALSE)*AE97*($K97)+IF($G97&gt;0,($I97/$G97)*AE97,0)*(1-$K97)</f>
        <v>0</v>
      </c>
      <c r="AH97" s="1118">
        <f>VLOOKUP($E97,AE$442:AH$453,4,FALSE)*AE97*($K97)+(AE97-AF97-AG97)*(1-$K97)</f>
        <v>44548812.661816128</v>
      </c>
      <c r="AI97" s="1119"/>
      <c r="AM97" s="1117">
        <f>$G97</f>
        <v>44548812.661816128</v>
      </c>
      <c r="AN97" s="1118">
        <f>VLOOKUP($E97,AM$442:AP$453,2,FALSE)*AM97*($K97)+IF($G97&gt;0,($H97/$G97)*AM97,0)*(1-$K97)</f>
        <v>0</v>
      </c>
      <c r="AO97" s="1118">
        <f>VLOOKUP($E97,AM$442:AP$453,3,FALSE)*AM97*($K97)+IF($G97&gt;0,($I97/$G97)*AM97,0)*(1-$K97)</f>
        <v>0</v>
      </c>
      <c r="AP97" s="1118">
        <f>VLOOKUP($E97,AM$442:AP$453,4,FALSE)*AM97*($K97)+(AM97-AN97-AO97)*(1-$K97)</f>
        <v>44548812.661816128</v>
      </c>
      <c r="AQ97" s="1119"/>
      <c r="AU97" s="1117">
        <f>$G97</f>
        <v>44548812.661816128</v>
      </c>
      <c r="AV97" s="1118">
        <f>VLOOKUP($E97,AU$442:AX$453,2,FALSE)*AU97*($K97)+IF($G97&gt;0,($H97/$G97)*AU97,0)*(1-$K97)</f>
        <v>0</v>
      </c>
      <c r="AW97" s="1118">
        <f>VLOOKUP($E97,AU$442:AX$453,3,FALSE)*AU97*($K97)+IF($G97&gt;0,($I97/$G97)*AU97,0)*(1-$K97)</f>
        <v>0</v>
      </c>
      <c r="AX97" s="1118">
        <f>VLOOKUP($E97,AU$442:AX$453,4,FALSE)*AU97*($K97)+(AU97-AV97-AW97)*(1-$K97)</f>
        <v>44548812.661816128</v>
      </c>
      <c r="AY97" s="1119"/>
      <c r="BC97" s="1117">
        <f>$G97</f>
        <v>44548812.661816128</v>
      </c>
      <c r="BD97" s="1118">
        <f>VLOOKUP($E97,BC$442:BF$453,2,FALSE)*BC97*($K97)+IF($G97&gt;0,($H97/$G97)*BC97,0)*(1-$K97)</f>
        <v>0</v>
      </c>
      <c r="BE97" s="1118">
        <f>VLOOKUP($E97,BC$442:BF$453,3,FALSE)*BC97*($K97)+IF($G97&gt;0,($I97/$G97)*BC97,0)*(1-$K97)</f>
        <v>0</v>
      </c>
      <c r="BF97" s="1118">
        <f>VLOOKUP($E97,BC$442:BF$453,4,FALSE)*BC97*($K97)+(BC97-BD97-BE97)*(1-$K97)</f>
        <v>44548812.661816128</v>
      </c>
      <c r="BG97" s="1119"/>
      <c r="BK97" s="1117">
        <f>$G97</f>
        <v>44548812.661816128</v>
      </c>
      <c r="BL97" s="1118">
        <f>VLOOKUP($E97,BK$442:BN$453,2,FALSE)*BK97*($K97)+IF($G97&gt;0,($H97/$G97)*BK97,0)*(1-$K97)</f>
        <v>0</v>
      </c>
      <c r="BM97" s="1118">
        <f>VLOOKUP($E97,BK$442:BN$453,3,FALSE)*BK97*($K97)+IF($G97&gt;0,($I97/$G97)*BK97,0)*(1-$K97)</f>
        <v>0</v>
      </c>
      <c r="BN97" s="1118">
        <f>VLOOKUP($E97,BK$442:BN$453,4,FALSE)*BK97*($K97)+(BK97-BL97-BM97)*(1-$K97)</f>
        <v>44548812.661816128</v>
      </c>
      <c r="BO97" s="1119"/>
      <c r="BS97" s="1117">
        <f>$G97</f>
        <v>44548812.661816128</v>
      </c>
      <c r="BT97" s="1118">
        <f>VLOOKUP($E97,BS$442:BV$453,2,FALSE)*BS97*($K97)+IF($G97&gt;0,($H97/$G97)*BS97,0)*(1-$K97)</f>
        <v>0</v>
      </c>
      <c r="BU97" s="1118">
        <f>VLOOKUP($E97,BS$442:BV$453,3,FALSE)*BS97*($K97)+IF($G97&gt;0,($I97/$G97)*BS97,0)*(1-$K97)</f>
        <v>0</v>
      </c>
      <c r="BV97" s="1118">
        <f>VLOOKUP($E97,BS$442:BV$453,4,FALSE)*BS97*($K97)+(BS97-BT97-BU97)*(1-$K97)</f>
        <v>44548812.661816128</v>
      </c>
      <c r="BW97" s="1119"/>
      <c r="CA97" s="1117">
        <f>$G97</f>
        <v>44548812.661816128</v>
      </c>
      <c r="CB97" s="1118">
        <f>VLOOKUP($E97,CA$442:CD$453,2,FALSE)*CA97*($K97)+IF($G97&gt;0,($H97/$G97)*CA97,0)*(1-$K97)</f>
        <v>0</v>
      </c>
      <c r="CC97" s="1118">
        <f>VLOOKUP($E97,CA$442:CD$453,3,FALSE)*CA97*($K97)+IF($G97&gt;0,($I97/$G97)*CA97,0)*(1-$K97)</f>
        <v>0</v>
      </c>
      <c r="CD97" s="1118">
        <f>VLOOKUP($E97,CA$442:CD$453,4,FALSE)*CA97*($K97)+(CA97-CB97-CC97)*(1-$K97)</f>
        <v>44548812.661816128</v>
      </c>
      <c r="CE97" s="1119"/>
      <c r="CI97" s="1117">
        <f>$G97</f>
        <v>44548812.661816128</v>
      </c>
      <c r="CJ97" s="1118">
        <f>VLOOKUP($E97,CI$442:CL$453,2,FALSE)*CI97*($K97)+IF($G97&gt;0,($H97/$G97)*CI97,0)*(1-$K97)</f>
        <v>0</v>
      </c>
      <c r="CK97" s="1118">
        <f>VLOOKUP($E97,CI$442:CL$453,3,FALSE)*CI97*($K97)+IF($G97&gt;0,($I97/$G97)*CI97,0)*(1-$K97)</f>
        <v>0</v>
      </c>
      <c r="CL97" s="1118">
        <f>VLOOKUP($E97,CI$442:CL$453,4,FALSE)*CI97*($K97)+(CI97-CJ97-CK97)*(1-$K97)</f>
        <v>44548812.661816128</v>
      </c>
      <c r="CM97" s="1119"/>
      <c r="CQ97" s="1117">
        <f>$G97</f>
        <v>44548812.661816128</v>
      </c>
      <c r="CR97" s="1118">
        <f>VLOOKUP($E97,CQ$442:CT$453,2,FALSE)*CQ97*($K97)+IF($G97&gt;0,($H97/$G97)*CQ97,0)*(1-$K97)</f>
        <v>0</v>
      </c>
      <c r="CS97" s="1118">
        <f>VLOOKUP($E97,CQ$442:CT$453,3,FALSE)*CQ97*($K97)+IF($G97&gt;0,($I97/$G97)*CQ97,0)*(1-$K97)</f>
        <v>0</v>
      </c>
      <c r="CT97" s="1118">
        <f>VLOOKUP($E97,CQ$442:CT$453,4,FALSE)*CQ97*($K97)+(CQ97-CR97-CS97)*(1-$K97)</f>
        <v>44548812.661816128</v>
      </c>
      <c r="CU97" s="1119"/>
      <c r="CY97" s="1117">
        <f>$G97</f>
        <v>44548812.661816128</v>
      </c>
      <c r="CZ97" s="1118">
        <f>VLOOKUP($E97,CY$442:DB$453,2,FALSE)*CY97*($K97)+IF($G97&gt;0,($H97/$G97)*CY97,0)*(1-$K97)</f>
        <v>0</v>
      </c>
      <c r="DA97" s="1118">
        <f>VLOOKUP($E97,CY$442:DB$453,3,FALSE)*CY97*($K97)+IF($G97&gt;0,($I97/$G97)*CY97,0)*(1-$K97)</f>
        <v>0</v>
      </c>
      <c r="DB97" s="1118">
        <f>VLOOKUP($E97,CY$442:DB$453,4,FALSE)*CY97*($K97)+(CY97-CZ97-DA97)*(1-$K97)</f>
        <v>44548812.661816128</v>
      </c>
      <c r="DC97" s="1119"/>
      <c r="DG97" s="1117">
        <f>$G97</f>
        <v>44548812.661816128</v>
      </c>
      <c r="DH97" s="1118">
        <f>VLOOKUP($E97,DG$442:DJ$453,2,FALSE)*DG97*($K97)+IF($G97&gt;0,($H97/$G97)*DG97,0)*(1-$K97)</f>
        <v>0</v>
      </c>
      <c r="DI97" s="1118">
        <f>VLOOKUP($E97,DG$442:DJ$453,3,FALSE)*DG97*($K97)+IF($G97&gt;0,($I97/$G97)*DG97,0)*(1-$K97)</f>
        <v>0</v>
      </c>
      <c r="DJ97" s="1118">
        <f>VLOOKUP($E97,DG$442:DJ$453,4,FALSE)*DG97*($K97)+(DG97-DH97-DI97)*(1-$K97)</f>
        <v>44548812.661816128</v>
      </c>
      <c r="DK97" s="1119"/>
      <c r="DO97" s="1117">
        <f>$G97</f>
        <v>44548812.661816128</v>
      </c>
      <c r="DP97" s="1118">
        <f>VLOOKUP($E97,DO$442:DR$453,2,FALSE)*DO97*($K97)+IF($G97&gt;0,($H97/$G97)*DO97,0)*(1-$K97)</f>
        <v>0</v>
      </c>
      <c r="DQ97" s="1118">
        <f>VLOOKUP($E97,DO$442:DR$453,3,FALSE)*DO97*($K97)+IF($G97&gt;0,($I97/$G97)*DO97,0)*(1-$K97)</f>
        <v>0</v>
      </c>
      <c r="DR97" s="1118">
        <f>VLOOKUP($E97,DO$442:DR$453,4,FALSE)*DO97*($K97)+(DO97-DP97-DQ97)*(1-$K97)</f>
        <v>44548812.661816128</v>
      </c>
      <c r="DS97" s="1119"/>
      <c r="DW97" s="1117">
        <f>$G97</f>
        <v>44548812.661816128</v>
      </c>
      <c r="DX97" s="1118">
        <f>VLOOKUP($E97,DW$442:DZ$453,2,FALSE)*DW97*($K97)+IF($G97&gt;0,($H97/$G97)*DW97,0)*(1-$K97)</f>
        <v>0</v>
      </c>
      <c r="DY97" s="1118">
        <f>VLOOKUP($E97,DW$442:DZ$453,3,FALSE)*DW97*($K97)+IF($G97&gt;0,($I97/$G97)*DW97,0)*(1-$K97)</f>
        <v>0</v>
      </c>
      <c r="DZ97" s="1118">
        <f>VLOOKUP($E97,DW$442:DZ$453,4,FALSE)*DW97*($K97)+(DW97-DX97-DY97)*(1-$K97)</f>
        <v>44548812.661816128</v>
      </c>
      <c r="EA97" s="1119"/>
      <c r="EE97" s="1117">
        <f>$G97</f>
        <v>44548812.661816128</v>
      </c>
      <c r="EF97" s="1118">
        <f>VLOOKUP($E97,EE$442:EH$453,2,FALSE)*EE97*($K97)+IF($G97&gt;0,($H97/$G97)*EE97,0)*(1-$K97)</f>
        <v>0</v>
      </c>
      <c r="EG97" s="1118">
        <f>VLOOKUP($E97,EE$442:EH$453,3,FALSE)*EE97*($K97)+IF($G97&gt;0,($I97/$G97)*EE97,0)*(1-$K97)</f>
        <v>0</v>
      </c>
      <c r="EH97" s="1118">
        <f>VLOOKUP($E97,EE$442:EH$453,4,FALSE)*EE97*($K97)+(EE97-EF97-EG97)*(1-$K97)</f>
        <v>44548812.661816128</v>
      </c>
      <c r="EI97" s="1119"/>
      <c r="EM97" s="1117">
        <f>$G97</f>
        <v>44548812.661816128</v>
      </c>
      <c r="EN97" s="1118">
        <f>VLOOKUP($E97,EM$442:EP$453,2,FALSE)*EM97*($K97)+IF($G97&gt;0,($H97/$G97)*EM97,0)*(1-$K97)</f>
        <v>0</v>
      </c>
      <c r="EO97" s="1118">
        <f>VLOOKUP($E97,EM$442:EP$453,3,FALSE)*EM97*($K97)+IF($G97&gt;0,($I97/$G97)*EM97,0)*(1-$K97)</f>
        <v>0</v>
      </c>
      <c r="EP97" s="1118">
        <f>VLOOKUP($E97,EM$442:EP$453,4,FALSE)*EM97*($K97)+(EM97-EN97-EO97)*(1-$K97)</f>
        <v>44548812.661816128</v>
      </c>
      <c r="EQ97" s="1119"/>
      <c r="EU97" s="1117">
        <f>$G97</f>
        <v>44548812.661816128</v>
      </c>
      <c r="EV97" s="1118">
        <f>VLOOKUP($E97,EU$442:EX$453,2,FALSE)*EU97*($K97)+IF($G97&gt;0,($H97/$G97)*EU97,0)*(1-$K97)</f>
        <v>0</v>
      </c>
      <c r="EW97" s="1118">
        <f>VLOOKUP($E97,EU$442:EX$453,3,FALSE)*EU97*($K97)+IF($G97&gt;0,($I97/$G97)*EU97,0)*(1-$K97)</f>
        <v>0</v>
      </c>
      <c r="EX97" s="1118">
        <f>VLOOKUP($E97,EU$442:EX$453,4,FALSE)*EU97*($K97)+(EU97-EV97-EW97)*(1-$K97)</f>
        <v>44548812.661816128</v>
      </c>
      <c r="EY97" s="1119"/>
      <c r="FC97" s="1117">
        <f>$G97</f>
        <v>44548812.661816128</v>
      </c>
      <c r="FD97" s="1118">
        <f>VLOOKUP($E97,FC$442:FF$453,2,FALSE)*FC97*($K97)+IF($G97&gt;0,($H97/$G97)*FC97,0)*(1-$K97)</f>
        <v>0</v>
      </c>
      <c r="FE97" s="1118">
        <f>VLOOKUP($E97,FC$442:FF$453,3,FALSE)*FC97*($K97)+IF($G97&gt;0,($I97/$G97)*FC97,0)*(1-$K97)</f>
        <v>0</v>
      </c>
      <c r="FF97" s="1118">
        <f>VLOOKUP($E97,FC$442:FF$453,4,FALSE)*FC97*($K97)+(FC97-FD97-FE97)*(1-$K97)</f>
        <v>44548812.661816128</v>
      </c>
      <c r="FG97" s="1119"/>
      <c r="FK97" s="1117">
        <f>$G97</f>
        <v>44548812.661816128</v>
      </c>
      <c r="FL97" s="1118">
        <f>VLOOKUP($E97,FK$442:FN$453,2,FALSE)*FK97*($K97)+IF($G97&gt;0,($H97/$G97)*FK97,0)*(1-$K97)</f>
        <v>0</v>
      </c>
      <c r="FM97" s="1118">
        <f>VLOOKUP($E97,FK$442:FN$453,3,FALSE)*FK97*($K97)+IF($G97&gt;0,($I97/$G97)*FK97,0)*(1-$K97)</f>
        <v>0</v>
      </c>
      <c r="FN97" s="1118">
        <f>VLOOKUP($E97,FK$442:FN$453,4,FALSE)*FK97*($K97)+(FK97-FL97-FM97)*(1-$K97)</f>
        <v>44548812.661816128</v>
      </c>
      <c r="FO97" s="1119"/>
    </row>
    <row r="98" spans="1:171" x14ac:dyDescent="0.25">
      <c r="A98" s="913"/>
      <c r="B98" s="79" t="s">
        <v>6</v>
      </c>
      <c r="C98" s="889" t="s">
        <v>78</v>
      </c>
      <c r="D98" s="889">
        <v>175</v>
      </c>
      <c r="E98" s="182" t="str">
        <f>'Sch 1- Rate Base '!E98</f>
        <v>DIST</v>
      </c>
      <c r="F98" s="890"/>
      <c r="G98" s="182">
        <f>'Sch 1- Rate Base '!G98</f>
        <v>882802.55718482344</v>
      </c>
      <c r="H98" s="182">
        <f>'Sch 1- Rate Base '!H98</f>
        <v>0</v>
      </c>
      <c r="I98" s="182">
        <f>'Sch 1- Rate Base '!I98</f>
        <v>0</v>
      </c>
      <c r="J98" s="183">
        <f>'Sch 1- Rate Base '!J98</f>
        <v>882802.55718482344</v>
      </c>
      <c r="K98" s="904">
        <f>IF($E98="DIRECT",0,1)</f>
        <v>1</v>
      </c>
      <c r="O98" s="1117">
        <f>$G98</f>
        <v>882802.55718482344</v>
      </c>
      <c r="P98" s="1118">
        <f>VLOOKUP($E98,O$442:R$453,2,FALSE)*O98*($K98)+IF($G98&gt;0,($H98/$G98)*O98,0)*(1-$K98)</f>
        <v>0</v>
      </c>
      <c r="Q98" s="1118">
        <f>VLOOKUP($E98,O$442:R$453,3,FALSE)*O98*($K98)+IF($G98&gt;0,($I98/$G98)*O98,0)*(1-$K98)</f>
        <v>0</v>
      </c>
      <c r="R98" s="1118">
        <f>VLOOKUP($E98,O$442:R$453,4,FALSE)*O98*($K98)+(O98-P98-Q98)*(1-$K98)</f>
        <v>882802.55718482344</v>
      </c>
      <c r="S98" s="1119"/>
      <c r="W98" s="1117">
        <f>$G98</f>
        <v>882802.55718482344</v>
      </c>
      <c r="X98" s="1118">
        <f>VLOOKUP($E98,W$442:Z$453,2,FALSE)*W98*($K98)+IF($G98&gt;0,($H98/$G98)*W98,0)*(1-$K98)</f>
        <v>0</v>
      </c>
      <c r="Y98" s="1118">
        <f>VLOOKUP($E98,W$442:Z$453,3,FALSE)*W98*($K98)+IF($G98&gt;0,($I98/$G98)*W98,0)*(1-$K98)</f>
        <v>0</v>
      </c>
      <c r="Z98" s="1118">
        <f>VLOOKUP($E98,W$442:Z$453,4,FALSE)*W98*($K98)+(W98-X98-Y98)*(1-$K98)</f>
        <v>882802.55718482344</v>
      </c>
      <c r="AA98" s="1119"/>
      <c r="AE98" s="1117">
        <f>$G98</f>
        <v>882802.55718482344</v>
      </c>
      <c r="AF98" s="1118">
        <f>VLOOKUP($E98,AE$442:AH$453,2,FALSE)*AE98*($K98)+IF($G98&gt;0,($H98/$G98)*AE98,0)*(1-$K98)</f>
        <v>0</v>
      </c>
      <c r="AG98" s="1118">
        <f>VLOOKUP($E98,AE$442:AH$453,3,FALSE)*AE98*($K98)+IF($G98&gt;0,($I98/$G98)*AE98,0)*(1-$K98)</f>
        <v>0</v>
      </c>
      <c r="AH98" s="1118">
        <f>VLOOKUP($E98,AE$442:AH$453,4,FALSE)*AE98*($K98)+(AE98-AF98-AG98)*(1-$K98)</f>
        <v>882802.55718482344</v>
      </c>
      <c r="AI98" s="1119"/>
      <c r="AM98" s="1117">
        <f>$G98</f>
        <v>882802.55718482344</v>
      </c>
      <c r="AN98" s="1118">
        <f>VLOOKUP($E98,AM$442:AP$453,2,FALSE)*AM98*($K98)+IF($G98&gt;0,($H98/$G98)*AM98,0)*(1-$K98)</f>
        <v>0</v>
      </c>
      <c r="AO98" s="1118">
        <f>VLOOKUP($E98,AM$442:AP$453,3,FALSE)*AM98*($K98)+IF($G98&gt;0,($I98/$G98)*AM98,0)*(1-$K98)</f>
        <v>0</v>
      </c>
      <c r="AP98" s="1118">
        <f>VLOOKUP($E98,AM$442:AP$453,4,FALSE)*AM98*($K98)+(AM98-AN98-AO98)*(1-$K98)</f>
        <v>882802.55718482344</v>
      </c>
      <c r="AQ98" s="1119"/>
      <c r="AU98" s="1117">
        <f>$G98</f>
        <v>882802.55718482344</v>
      </c>
      <c r="AV98" s="1118">
        <f>VLOOKUP($E98,AU$442:AX$453,2,FALSE)*AU98*($K98)+IF($G98&gt;0,($H98/$G98)*AU98,0)*(1-$K98)</f>
        <v>0</v>
      </c>
      <c r="AW98" s="1118">
        <f>VLOOKUP($E98,AU$442:AX$453,3,FALSE)*AU98*($K98)+IF($G98&gt;0,($I98/$G98)*AU98,0)*(1-$K98)</f>
        <v>0</v>
      </c>
      <c r="AX98" s="1118">
        <f>VLOOKUP($E98,AU$442:AX$453,4,FALSE)*AU98*($K98)+(AU98-AV98-AW98)*(1-$K98)</f>
        <v>882802.55718482344</v>
      </c>
      <c r="AY98" s="1119"/>
      <c r="BC98" s="1117">
        <f>$G98</f>
        <v>882802.55718482344</v>
      </c>
      <c r="BD98" s="1118">
        <f>VLOOKUP($E98,BC$442:BF$453,2,FALSE)*BC98*($K98)+IF($G98&gt;0,($H98/$G98)*BC98,0)*(1-$K98)</f>
        <v>0</v>
      </c>
      <c r="BE98" s="1118">
        <f>VLOOKUP($E98,BC$442:BF$453,3,FALSE)*BC98*($K98)+IF($G98&gt;0,($I98/$G98)*BC98,0)*(1-$K98)</f>
        <v>0</v>
      </c>
      <c r="BF98" s="1118">
        <f>VLOOKUP($E98,BC$442:BF$453,4,FALSE)*BC98*($K98)+(BC98-BD98-BE98)*(1-$K98)</f>
        <v>882802.55718482344</v>
      </c>
      <c r="BG98" s="1119"/>
      <c r="BK98" s="1117">
        <f>$G98</f>
        <v>882802.55718482344</v>
      </c>
      <c r="BL98" s="1118">
        <f>VLOOKUP($E98,BK$442:BN$453,2,FALSE)*BK98*($K98)+IF($G98&gt;0,($H98/$G98)*BK98,0)*(1-$K98)</f>
        <v>0</v>
      </c>
      <c r="BM98" s="1118">
        <f>VLOOKUP($E98,BK$442:BN$453,3,FALSE)*BK98*($K98)+IF($G98&gt;0,($I98/$G98)*BK98,0)*(1-$K98)</f>
        <v>0</v>
      </c>
      <c r="BN98" s="1118">
        <f>VLOOKUP($E98,BK$442:BN$453,4,FALSE)*BK98*($K98)+(BK98-BL98-BM98)*(1-$K98)</f>
        <v>882802.55718482344</v>
      </c>
      <c r="BO98" s="1119"/>
      <c r="BS98" s="1117">
        <f>$G98</f>
        <v>882802.55718482344</v>
      </c>
      <c r="BT98" s="1118">
        <f>VLOOKUP($E98,BS$442:BV$453,2,FALSE)*BS98*($K98)+IF($G98&gt;0,($H98/$G98)*BS98,0)*(1-$K98)</f>
        <v>0</v>
      </c>
      <c r="BU98" s="1118">
        <f>VLOOKUP($E98,BS$442:BV$453,3,FALSE)*BS98*($K98)+IF($G98&gt;0,($I98/$G98)*BS98,0)*(1-$K98)</f>
        <v>0</v>
      </c>
      <c r="BV98" s="1118">
        <f>VLOOKUP($E98,BS$442:BV$453,4,FALSE)*BS98*($K98)+(BS98-BT98-BU98)*(1-$K98)</f>
        <v>882802.55718482344</v>
      </c>
      <c r="BW98" s="1119"/>
      <c r="CA98" s="1117">
        <f>$G98</f>
        <v>882802.55718482344</v>
      </c>
      <c r="CB98" s="1118">
        <f>VLOOKUP($E98,CA$442:CD$453,2,FALSE)*CA98*($K98)+IF($G98&gt;0,($H98/$G98)*CA98,0)*(1-$K98)</f>
        <v>0</v>
      </c>
      <c r="CC98" s="1118">
        <f>VLOOKUP($E98,CA$442:CD$453,3,FALSE)*CA98*($K98)+IF($G98&gt;0,($I98/$G98)*CA98,0)*(1-$K98)</f>
        <v>0</v>
      </c>
      <c r="CD98" s="1118">
        <f>VLOOKUP($E98,CA$442:CD$453,4,FALSE)*CA98*($K98)+(CA98-CB98-CC98)*(1-$K98)</f>
        <v>882802.55718482344</v>
      </c>
      <c r="CE98" s="1119"/>
      <c r="CI98" s="1117">
        <f>$G98</f>
        <v>882802.55718482344</v>
      </c>
      <c r="CJ98" s="1118">
        <f>VLOOKUP($E98,CI$442:CL$453,2,FALSE)*CI98*($K98)+IF($G98&gt;0,($H98/$G98)*CI98,0)*(1-$K98)</f>
        <v>0</v>
      </c>
      <c r="CK98" s="1118">
        <f>VLOOKUP($E98,CI$442:CL$453,3,FALSE)*CI98*($K98)+IF($G98&gt;0,($I98/$G98)*CI98,0)*(1-$K98)</f>
        <v>0</v>
      </c>
      <c r="CL98" s="1118">
        <f>VLOOKUP($E98,CI$442:CL$453,4,FALSE)*CI98*($K98)+(CI98-CJ98-CK98)*(1-$K98)</f>
        <v>882802.55718482344</v>
      </c>
      <c r="CM98" s="1119"/>
      <c r="CQ98" s="1117">
        <f>$G98</f>
        <v>882802.55718482344</v>
      </c>
      <c r="CR98" s="1118">
        <f>VLOOKUP($E98,CQ$442:CT$453,2,FALSE)*CQ98*($K98)+IF($G98&gt;0,($H98/$G98)*CQ98,0)*(1-$K98)</f>
        <v>0</v>
      </c>
      <c r="CS98" s="1118">
        <f>VLOOKUP($E98,CQ$442:CT$453,3,FALSE)*CQ98*($K98)+IF($G98&gt;0,($I98/$G98)*CQ98,0)*(1-$K98)</f>
        <v>0</v>
      </c>
      <c r="CT98" s="1118">
        <f>VLOOKUP($E98,CQ$442:CT$453,4,FALSE)*CQ98*($K98)+(CQ98-CR98-CS98)*(1-$K98)</f>
        <v>882802.55718482344</v>
      </c>
      <c r="CU98" s="1119"/>
      <c r="CY98" s="1117">
        <f>$G98</f>
        <v>882802.55718482344</v>
      </c>
      <c r="CZ98" s="1118">
        <f>VLOOKUP($E98,CY$442:DB$453,2,FALSE)*CY98*($K98)+IF($G98&gt;0,($H98/$G98)*CY98,0)*(1-$K98)</f>
        <v>0</v>
      </c>
      <c r="DA98" s="1118">
        <f>VLOOKUP($E98,CY$442:DB$453,3,FALSE)*CY98*($K98)+IF($G98&gt;0,($I98/$G98)*CY98,0)*(1-$K98)</f>
        <v>0</v>
      </c>
      <c r="DB98" s="1118">
        <f>VLOOKUP($E98,CY$442:DB$453,4,FALSE)*CY98*($K98)+(CY98-CZ98-DA98)*(1-$K98)</f>
        <v>882802.55718482344</v>
      </c>
      <c r="DC98" s="1119"/>
      <c r="DG98" s="1117">
        <f>$G98</f>
        <v>882802.55718482344</v>
      </c>
      <c r="DH98" s="1118">
        <f>VLOOKUP($E98,DG$442:DJ$453,2,FALSE)*DG98*($K98)+IF($G98&gt;0,($H98/$G98)*DG98,0)*(1-$K98)</f>
        <v>0</v>
      </c>
      <c r="DI98" s="1118">
        <f>VLOOKUP($E98,DG$442:DJ$453,3,FALSE)*DG98*($K98)+IF($G98&gt;0,($I98/$G98)*DG98,0)*(1-$K98)</f>
        <v>0</v>
      </c>
      <c r="DJ98" s="1118">
        <f>VLOOKUP($E98,DG$442:DJ$453,4,FALSE)*DG98*($K98)+(DG98-DH98-DI98)*(1-$K98)</f>
        <v>882802.55718482344</v>
      </c>
      <c r="DK98" s="1119"/>
      <c r="DO98" s="1117">
        <f>$G98</f>
        <v>882802.55718482344</v>
      </c>
      <c r="DP98" s="1118">
        <f>VLOOKUP($E98,DO$442:DR$453,2,FALSE)*DO98*($K98)+IF($G98&gt;0,($H98/$G98)*DO98,0)*(1-$K98)</f>
        <v>0</v>
      </c>
      <c r="DQ98" s="1118">
        <f>VLOOKUP($E98,DO$442:DR$453,3,FALSE)*DO98*($K98)+IF($G98&gt;0,($I98/$G98)*DO98,0)*(1-$K98)</f>
        <v>0</v>
      </c>
      <c r="DR98" s="1118">
        <f>VLOOKUP($E98,DO$442:DR$453,4,FALSE)*DO98*($K98)+(DO98-DP98-DQ98)*(1-$K98)</f>
        <v>882802.55718482344</v>
      </c>
      <c r="DS98" s="1119"/>
      <c r="DW98" s="1117">
        <f>$G98</f>
        <v>882802.55718482344</v>
      </c>
      <c r="DX98" s="1118">
        <f>VLOOKUP($E98,DW$442:DZ$453,2,FALSE)*DW98*($K98)+IF($G98&gt;0,($H98/$G98)*DW98,0)*(1-$K98)</f>
        <v>0</v>
      </c>
      <c r="DY98" s="1118">
        <f>VLOOKUP($E98,DW$442:DZ$453,3,FALSE)*DW98*($K98)+IF($G98&gt;0,($I98/$G98)*DW98,0)*(1-$K98)</f>
        <v>0</v>
      </c>
      <c r="DZ98" s="1118">
        <f>VLOOKUP($E98,DW$442:DZ$453,4,FALSE)*DW98*($K98)+(DW98-DX98-DY98)*(1-$K98)</f>
        <v>882802.55718482344</v>
      </c>
      <c r="EA98" s="1119"/>
      <c r="EE98" s="1117">
        <f>$G98</f>
        <v>882802.55718482344</v>
      </c>
      <c r="EF98" s="1118">
        <f>VLOOKUP($E98,EE$442:EH$453,2,FALSE)*EE98*($K98)+IF($G98&gt;0,($H98/$G98)*EE98,0)*(1-$K98)</f>
        <v>0</v>
      </c>
      <c r="EG98" s="1118">
        <f>VLOOKUP($E98,EE$442:EH$453,3,FALSE)*EE98*($K98)+IF($G98&gt;0,($I98/$G98)*EE98,0)*(1-$K98)</f>
        <v>0</v>
      </c>
      <c r="EH98" s="1118">
        <f>VLOOKUP($E98,EE$442:EH$453,4,FALSE)*EE98*($K98)+(EE98-EF98-EG98)*(1-$K98)</f>
        <v>882802.55718482344</v>
      </c>
      <c r="EI98" s="1119"/>
      <c r="EM98" s="1117">
        <f>$G98</f>
        <v>882802.55718482344</v>
      </c>
      <c r="EN98" s="1118">
        <f>VLOOKUP($E98,EM$442:EP$453,2,FALSE)*EM98*($K98)+IF($G98&gt;0,($H98/$G98)*EM98,0)*(1-$K98)</f>
        <v>0</v>
      </c>
      <c r="EO98" s="1118">
        <f>VLOOKUP($E98,EM$442:EP$453,3,FALSE)*EM98*($K98)+IF($G98&gt;0,($I98/$G98)*EM98,0)*(1-$K98)</f>
        <v>0</v>
      </c>
      <c r="EP98" s="1118">
        <f>VLOOKUP($E98,EM$442:EP$453,4,FALSE)*EM98*($K98)+(EM98-EN98-EO98)*(1-$K98)</f>
        <v>882802.55718482344</v>
      </c>
      <c r="EQ98" s="1119"/>
      <c r="EU98" s="1117">
        <f>$G98</f>
        <v>882802.55718482344</v>
      </c>
      <c r="EV98" s="1118">
        <f>VLOOKUP($E98,EU$442:EX$453,2,FALSE)*EU98*($K98)+IF($G98&gt;0,($H98/$G98)*EU98,0)*(1-$K98)</f>
        <v>0</v>
      </c>
      <c r="EW98" s="1118">
        <f>VLOOKUP($E98,EU$442:EX$453,3,FALSE)*EU98*($K98)+IF($G98&gt;0,($I98/$G98)*EU98,0)*(1-$K98)</f>
        <v>0</v>
      </c>
      <c r="EX98" s="1118">
        <f>VLOOKUP($E98,EU$442:EX$453,4,FALSE)*EU98*($K98)+(EU98-EV98-EW98)*(1-$K98)</f>
        <v>882802.55718482344</v>
      </c>
      <c r="EY98" s="1119"/>
      <c r="FC98" s="1117">
        <f>$G98</f>
        <v>882802.55718482344</v>
      </c>
      <c r="FD98" s="1118">
        <f>VLOOKUP($E98,FC$442:FF$453,2,FALSE)*FC98*($K98)+IF($G98&gt;0,($H98/$G98)*FC98,0)*(1-$K98)</f>
        <v>0</v>
      </c>
      <c r="FE98" s="1118">
        <f>VLOOKUP($E98,FC$442:FF$453,3,FALSE)*FC98*($K98)+IF($G98&gt;0,($I98/$G98)*FC98,0)*(1-$K98)</f>
        <v>0</v>
      </c>
      <c r="FF98" s="1118">
        <f>VLOOKUP($E98,FC$442:FF$453,4,FALSE)*FC98*($K98)+(FC98-FD98-FE98)*(1-$K98)</f>
        <v>882802.55718482344</v>
      </c>
      <c r="FG98" s="1119"/>
      <c r="FK98" s="1117">
        <f>$G98</f>
        <v>882802.55718482344</v>
      </c>
      <c r="FL98" s="1118">
        <f>VLOOKUP($E98,FK$442:FN$453,2,FALSE)*FK98*($K98)+IF($G98&gt;0,($H98/$G98)*FK98,0)*(1-$K98)</f>
        <v>0</v>
      </c>
      <c r="FM98" s="1118">
        <f>VLOOKUP($E98,FK$442:FN$453,3,FALSE)*FK98*($K98)+IF($G98&gt;0,($I98/$G98)*FK98,0)*(1-$K98)</f>
        <v>0</v>
      </c>
      <c r="FN98" s="1118">
        <f>VLOOKUP($E98,FK$442:FN$453,4,FALSE)*FK98*($K98)+(FK98-FL98-FM98)*(1-$K98)</f>
        <v>882802.55718482344</v>
      </c>
      <c r="FO98" s="1119"/>
    </row>
    <row r="99" spans="1:171" x14ac:dyDescent="0.25">
      <c r="A99" s="913"/>
      <c r="B99" s="79" t="s">
        <v>372</v>
      </c>
      <c r="C99" s="889" t="s">
        <v>78</v>
      </c>
      <c r="D99" s="889">
        <v>176</v>
      </c>
      <c r="E99" s="182" t="str">
        <f>'Sch 1- Rate Base '!E99</f>
        <v>DIST</v>
      </c>
      <c r="F99" s="890"/>
      <c r="G99" s="182">
        <f>'Sch 1- Rate Base '!G99</f>
        <v>0</v>
      </c>
      <c r="H99" s="182">
        <f>'Sch 1- Rate Base '!H99</f>
        <v>0</v>
      </c>
      <c r="I99" s="182">
        <f>'Sch 1- Rate Base '!I99</f>
        <v>0</v>
      </c>
      <c r="J99" s="183">
        <f>'Sch 1- Rate Base '!J99</f>
        <v>0</v>
      </c>
      <c r="K99" s="904">
        <f>IF($E99="DIRECT",0,1)</f>
        <v>1</v>
      </c>
      <c r="O99" s="1117">
        <f>$G99</f>
        <v>0</v>
      </c>
      <c r="P99" s="1118">
        <f>VLOOKUP($E99,O$442:R$453,2,FALSE)*O99*($K99)+IF($G99&gt;0,($H99/$G99)*O99,0)*(1-$K99)</f>
        <v>0</v>
      </c>
      <c r="Q99" s="1118">
        <f>VLOOKUP($E99,O$442:R$453,3,FALSE)*O99*($K99)+IF($G99&gt;0,($I99/$G99)*O99,0)*(1-$K99)</f>
        <v>0</v>
      </c>
      <c r="R99" s="1118">
        <f>VLOOKUP($E99,O$442:R$453,4,FALSE)*O99*($K99)+(O99-P99-Q99)*(1-$K99)</f>
        <v>0</v>
      </c>
      <c r="S99" s="1119"/>
      <c r="W99" s="1117">
        <f>$G99</f>
        <v>0</v>
      </c>
      <c r="X99" s="1118">
        <f>VLOOKUP($E99,W$442:Z$453,2,FALSE)*W99*($K99)+IF($G99&gt;0,($H99/$G99)*W99,0)*(1-$K99)</f>
        <v>0</v>
      </c>
      <c r="Y99" s="1118">
        <f>VLOOKUP($E99,W$442:Z$453,3,FALSE)*W99*($K99)+IF($G99&gt;0,($I99/$G99)*W99,0)*(1-$K99)</f>
        <v>0</v>
      </c>
      <c r="Z99" s="1118">
        <f>VLOOKUP($E99,W$442:Z$453,4,FALSE)*W99*($K99)+(W99-X99-Y99)*(1-$K99)</f>
        <v>0</v>
      </c>
      <c r="AA99" s="1119"/>
      <c r="AE99" s="1117">
        <f>$G99</f>
        <v>0</v>
      </c>
      <c r="AF99" s="1118">
        <f>VLOOKUP($E99,AE$442:AH$453,2,FALSE)*AE99*($K99)+IF($G99&gt;0,($H99/$G99)*AE99,0)*(1-$K99)</f>
        <v>0</v>
      </c>
      <c r="AG99" s="1118">
        <f>VLOOKUP($E99,AE$442:AH$453,3,FALSE)*AE99*($K99)+IF($G99&gt;0,($I99/$G99)*AE99,0)*(1-$K99)</f>
        <v>0</v>
      </c>
      <c r="AH99" s="1118">
        <f>VLOOKUP($E99,AE$442:AH$453,4,FALSE)*AE99*($K99)+(AE99-AF99-AG99)*(1-$K99)</f>
        <v>0</v>
      </c>
      <c r="AI99" s="1119"/>
      <c r="AM99" s="1117">
        <f>$G99</f>
        <v>0</v>
      </c>
      <c r="AN99" s="1118">
        <f>VLOOKUP($E99,AM$442:AP$453,2,FALSE)*AM99*($K99)+IF($G99&gt;0,($H99/$G99)*AM99,0)*(1-$K99)</f>
        <v>0</v>
      </c>
      <c r="AO99" s="1118">
        <f>VLOOKUP($E99,AM$442:AP$453,3,FALSE)*AM99*($K99)+IF($G99&gt;0,($I99/$G99)*AM99,0)*(1-$K99)</f>
        <v>0</v>
      </c>
      <c r="AP99" s="1118">
        <f>VLOOKUP($E99,AM$442:AP$453,4,FALSE)*AM99*($K99)+(AM99-AN99-AO99)*(1-$K99)</f>
        <v>0</v>
      </c>
      <c r="AQ99" s="1119"/>
      <c r="AU99" s="1117">
        <f>$G99</f>
        <v>0</v>
      </c>
      <c r="AV99" s="1118">
        <f>VLOOKUP($E99,AU$442:AX$453,2,FALSE)*AU99*($K99)+IF($G99&gt;0,($H99/$G99)*AU99,0)*(1-$K99)</f>
        <v>0</v>
      </c>
      <c r="AW99" s="1118">
        <f>VLOOKUP($E99,AU$442:AX$453,3,FALSE)*AU99*($K99)+IF($G99&gt;0,($I99/$G99)*AU99,0)*(1-$K99)</f>
        <v>0</v>
      </c>
      <c r="AX99" s="1118">
        <f>VLOOKUP($E99,AU$442:AX$453,4,FALSE)*AU99*($K99)+(AU99-AV99-AW99)*(1-$K99)</f>
        <v>0</v>
      </c>
      <c r="AY99" s="1119"/>
      <c r="BC99" s="1117">
        <f>$G99</f>
        <v>0</v>
      </c>
      <c r="BD99" s="1118">
        <f>VLOOKUP($E99,BC$442:BF$453,2,FALSE)*BC99*($K99)+IF($G99&gt;0,($H99/$G99)*BC99,0)*(1-$K99)</f>
        <v>0</v>
      </c>
      <c r="BE99" s="1118">
        <f>VLOOKUP($E99,BC$442:BF$453,3,FALSE)*BC99*($K99)+IF($G99&gt;0,($I99/$G99)*BC99,0)*(1-$K99)</f>
        <v>0</v>
      </c>
      <c r="BF99" s="1118">
        <f>VLOOKUP($E99,BC$442:BF$453,4,FALSE)*BC99*($K99)+(BC99-BD99-BE99)*(1-$K99)</f>
        <v>0</v>
      </c>
      <c r="BG99" s="1119"/>
      <c r="BK99" s="1117">
        <f>$G99</f>
        <v>0</v>
      </c>
      <c r="BL99" s="1118">
        <f>VLOOKUP($E99,BK$442:BN$453,2,FALSE)*BK99*($K99)+IF($G99&gt;0,($H99/$G99)*BK99,0)*(1-$K99)</f>
        <v>0</v>
      </c>
      <c r="BM99" s="1118">
        <f>VLOOKUP($E99,BK$442:BN$453,3,FALSE)*BK99*($K99)+IF($G99&gt;0,($I99/$G99)*BK99,0)*(1-$K99)</f>
        <v>0</v>
      </c>
      <c r="BN99" s="1118">
        <f>VLOOKUP($E99,BK$442:BN$453,4,FALSE)*BK99*($K99)+(BK99-BL99-BM99)*(1-$K99)</f>
        <v>0</v>
      </c>
      <c r="BO99" s="1119"/>
      <c r="BS99" s="1117">
        <f>$G99</f>
        <v>0</v>
      </c>
      <c r="BT99" s="1118">
        <f>VLOOKUP($E99,BS$442:BV$453,2,FALSE)*BS99*($K99)+IF($G99&gt;0,($H99/$G99)*BS99,0)*(1-$K99)</f>
        <v>0</v>
      </c>
      <c r="BU99" s="1118">
        <f>VLOOKUP($E99,BS$442:BV$453,3,FALSE)*BS99*($K99)+IF($G99&gt;0,($I99/$G99)*BS99,0)*(1-$K99)</f>
        <v>0</v>
      </c>
      <c r="BV99" s="1118">
        <f>VLOOKUP($E99,BS$442:BV$453,4,FALSE)*BS99*($K99)+(BS99-BT99-BU99)*(1-$K99)</f>
        <v>0</v>
      </c>
      <c r="BW99" s="1119"/>
      <c r="CA99" s="1117">
        <f>$G99</f>
        <v>0</v>
      </c>
      <c r="CB99" s="1118">
        <f>VLOOKUP($E99,CA$442:CD$453,2,FALSE)*CA99*($K99)+IF($G99&gt;0,($H99/$G99)*CA99,0)*(1-$K99)</f>
        <v>0</v>
      </c>
      <c r="CC99" s="1118">
        <f>VLOOKUP($E99,CA$442:CD$453,3,FALSE)*CA99*($K99)+IF($G99&gt;0,($I99/$G99)*CA99,0)*(1-$K99)</f>
        <v>0</v>
      </c>
      <c r="CD99" s="1118">
        <f>VLOOKUP($E99,CA$442:CD$453,4,FALSE)*CA99*($K99)+(CA99-CB99-CC99)*(1-$K99)</f>
        <v>0</v>
      </c>
      <c r="CE99" s="1119"/>
      <c r="CI99" s="1117">
        <f>$G99</f>
        <v>0</v>
      </c>
      <c r="CJ99" s="1118">
        <f>VLOOKUP($E99,CI$442:CL$453,2,FALSE)*CI99*($K99)+IF($G99&gt;0,($H99/$G99)*CI99,0)*(1-$K99)</f>
        <v>0</v>
      </c>
      <c r="CK99" s="1118">
        <f>VLOOKUP($E99,CI$442:CL$453,3,FALSE)*CI99*($K99)+IF($G99&gt;0,($I99/$G99)*CI99,0)*(1-$K99)</f>
        <v>0</v>
      </c>
      <c r="CL99" s="1118">
        <f>VLOOKUP($E99,CI$442:CL$453,4,FALSE)*CI99*($K99)+(CI99-CJ99-CK99)*(1-$K99)</f>
        <v>0</v>
      </c>
      <c r="CM99" s="1119"/>
      <c r="CQ99" s="1117">
        <f>$G99</f>
        <v>0</v>
      </c>
      <c r="CR99" s="1118">
        <f>VLOOKUP($E99,CQ$442:CT$453,2,FALSE)*CQ99*($K99)+IF($G99&gt;0,($H99/$G99)*CQ99,0)*(1-$K99)</f>
        <v>0</v>
      </c>
      <c r="CS99" s="1118">
        <f>VLOOKUP($E99,CQ$442:CT$453,3,FALSE)*CQ99*($K99)+IF($G99&gt;0,($I99/$G99)*CQ99,0)*(1-$K99)</f>
        <v>0</v>
      </c>
      <c r="CT99" s="1118">
        <f>VLOOKUP($E99,CQ$442:CT$453,4,FALSE)*CQ99*($K99)+(CQ99-CR99-CS99)*(1-$K99)</f>
        <v>0</v>
      </c>
      <c r="CU99" s="1119"/>
      <c r="CY99" s="1117">
        <f>$G99</f>
        <v>0</v>
      </c>
      <c r="CZ99" s="1118">
        <f>VLOOKUP($E99,CY$442:DB$453,2,FALSE)*CY99*($K99)+IF($G99&gt;0,($H99/$G99)*CY99,0)*(1-$K99)</f>
        <v>0</v>
      </c>
      <c r="DA99" s="1118">
        <f>VLOOKUP($E99,CY$442:DB$453,3,FALSE)*CY99*($K99)+IF($G99&gt;0,($I99/$G99)*CY99,0)*(1-$K99)</f>
        <v>0</v>
      </c>
      <c r="DB99" s="1118">
        <f>VLOOKUP($E99,CY$442:DB$453,4,FALSE)*CY99*($K99)+(CY99-CZ99-DA99)*(1-$K99)</f>
        <v>0</v>
      </c>
      <c r="DC99" s="1119"/>
      <c r="DG99" s="1117">
        <f>$G99</f>
        <v>0</v>
      </c>
      <c r="DH99" s="1118">
        <f>VLOOKUP($E99,DG$442:DJ$453,2,FALSE)*DG99*($K99)+IF($G99&gt;0,($H99/$G99)*DG99,0)*(1-$K99)</f>
        <v>0</v>
      </c>
      <c r="DI99" s="1118">
        <f>VLOOKUP($E99,DG$442:DJ$453,3,FALSE)*DG99*($K99)+IF($G99&gt;0,($I99/$G99)*DG99,0)*(1-$K99)</f>
        <v>0</v>
      </c>
      <c r="DJ99" s="1118">
        <f>VLOOKUP($E99,DG$442:DJ$453,4,FALSE)*DG99*($K99)+(DG99-DH99-DI99)*(1-$K99)</f>
        <v>0</v>
      </c>
      <c r="DK99" s="1119"/>
      <c r="DO99" s="1117">
        <f>$G99</f>
        <v>0</v>
      </c>
      <c r="DP99" s="1118">
        <f>VLOOKUP($E99,DO$442:DR$453,2,FALSE)*DO99*($K99)+IF($G99&gt;0,($H99/$G99)*DO99,0)*(1-$K99)</f>
        <v>0</v>
      </c>
      <c r="DQ99" s="1118">
        <f>VLOOKUP($E99,DO$442:DR$453,3,FALSE)*DO99*($K99)+IF($G99&gt;0,($I99/$G99)*DO99,0)*(1-$K99)</f>
        <v>0</v>
      </c>
      <c r="DR99" s="1118">
        <f>VLOOKUP($E99,DO$442:DR$453,4,FALSE)*DO99*($K99)+(DO99-DP99-DQ99)*(1-$K99)</f>
        <v>0</v>
      </c>
      <c r="DS99" s="1119"/>
      <c r="DW99" s="1117">
        <f>$G99</f>
        <v>0</v>
      </c>
      <c r="DX99" s="1118">
        <f>VLOOKUP($E99,DW$442:DZ$453,2,FALSE)*DW99*($K99)+IF($G99&gt;0,($H99/$G99)*DW99,0)*(1-$K99)</f>
        <v>0</v>
      </c>
      <c r="DY99" s="1118">
        <f>VLOOKUP($E99,DW$442:DZ$453,3,FALSE)*DW99*($K99)+IF($G99&gt;0,($I99/$G99)*DW99,0)*(1-$K99)</f>
        <v>0</v>
      </c>
      <c r="DZ99" s="1118">
        <f>VLOOKUP($E99,DW$442:DZ$453,4,FALSE)*DW99*($K99)+(DW99-DX99-DY99)*(1-$K99)</f>
        <v>0</v>
      </c>
      <c r="EA99" s="1119"/>
      <c r="EE99" s="1117">
        <f>$G99</f>
        <v>0</v>
      </c>
      <c r="EF99" s="1118">
        <f>VLOOKUP($E99,EE$442:EH$453,2,FALSE)*EE99*($K99)+IF($G99&gt;0,($H99/$G99)*EE99,0)*(1-$K99)</f>
        <v>0</v>
      </c>
      <c r="EG99" s="1118">
        <f>VLOOKUP($E99,EE$442:EH$453,3,FALSE)*EE99*($K99)+IF($G99&gt;0,($I99/$G99)*EE99,0)*(1-$K99)</f>
        <v>0</v>
      </c>
      <c r="EH99" s="1118">
        <f>VLOOKUP($E99,EE$442:EH$453,4,FALSE)*EE99*($K99)+(EE99-EF99-EG99)*(1-$K99)</f>
        <v>0</v>
      </c>
      <c r="EI99" s="1119"/>
      <c r="EM99" s="1117">
        <f>$G99</f>
        <v>0</v>
      </c>
      <c r="EN99" s="1118">
        <f>VLOOKUP($E99,EM$442:EP$453,2,FALSE)*EM99*($K99)+IF($G99&gt;0,($H99/$G99)*EM99,0)*(1-$K99)</f>
        <v>0</v>
      </c>
      <c r="EO99" s="1118">
        <f>VLOOKUP($E99,EM$442:EP$453,3,FALSE)*EM99*($K99)+IF($G99&gt;0,($I99/$G99)*EM99,0)*(1-$K99)</f>
        <v>0</v>
      </c>
      <c r="EP99" s="1118">
        <f>VLOOKUP($E99,EM$442:EP$453,4,FALSE)*EM99*($K99)+(EM99-EN99-EO99)*(1-$K99)</f>
        <v>0</v>
      </c>
      <c r="EQ99" s="1119"/>
      <c r="EU99" s="1117">
        <f>$G99</f>
        <v>0</v>
      </c>
      <c r="EV99" s="1118">
        <f>VLOOKUP($E99,EU$442:EX$453,2,FALSE)*EU99*($K99)+IF($G99&gt;0,($H99/$G99)*EU99,0)*(1-$K99)</f>
        <v>0</v>
      </c>
      <c r="EW99" s="1118">
        <f>VLOOKUP($E99,EU$442:EX$453,3,FALSE)*EU99*($K99)+IF($G99&gt;0,($I99/$G99)*EU99,0)*(1-$K99)</f>
        <v>0</v>
      </c>
      <c r="EX99" s="1118">
        <f>VLOOKUP($E99,EU$442:EX$453,4,FALSE)*EU99*($K99)+(EU99-EV99-EW99)*(1-$K99)</f>
        <v>0</v>
      </c>
      <c r="EY99" s="1119"/>
      <c r="FC99" s="1117">
        <f>$G99</f>
        <v>0</v>
      </c>
      <c r="FD99" s="1118">
        <f>VLOOKUP($E99,FC$442:FF$453,2,FALSE)*FC99*($K99)+IF($G99&gt;0,($H99/$G99)*FC99,0)*(1-$K99)</f>
        <v>0</v>
      </c>
      <c r="FE99" s="1118">
        <f>VLOOKUP($E99,FC$442:FF$453,3,FALSE)*FC99*($K99)+IF($G99&gt;0,($I99/$G99)*FC99,0)*(1-$K99)</f>
        <v>0</v>
      </c>
      <c r="FF99" s="1118">
        <f>VLOOKUP($E99,FC$442:FF$453,4,FALSE)*FC99*($K99)+(FC99-FD99-FE99)*(1-$K99)</f>
        <v>0</v>
      </c>
      <c r="FG99" s="1119"/>
      <c r="FK99" s="1117">
        <f>$G99</f>
        <v>0</v>
      </c>
      <c r="FL99" s="1118">
        <f>VLOOKUP($E99,FK$442:FN$453,2,FALSE)*FK99*($K99)+IF($G99&gt;0,($H99/$G99)*FK99,0)*(1-$K99)</f>
        <v>0</v>
      </c>
      <c r="FM99" s="1118">
        <f>VLOOKUP($E99,FK$442:FN$453,3,FALSE)*FK99*($K99)+IF($G99&gt;0,($I99/$G99)*FK99,0)*(1-$K99)</f>
        <v>0</v>
      </c>
      <c r="FN99" s="1118">
        <f>VLOOKUP($E99,FK$442:FN$453,4,FALSE)*FK99*($K99)+(FK99-FL99-FM99)*(1-$K99)</f>
        <v>0</v>
      </c>
      <c r="FO99" s="1119"/>
    </row>
    <row r="100" spans="1:171" x14ac:dyDescent="0.25">
      <c r="A100" s="913"/>
      <c r="B100" s="848" t="s">
        <v>104</v>
      </c>
      <c r="C100" s="915"/>
      <c r="D100" s="916"/>
      <c r="E100" s="916"/>
      <c r="F100" s="917"/>
      <c r="G100" s="924">
        <f>SUM(G96:G99)</f>
        <v>108290155.70399611</v>
      </c>
      <c r="H100" s="924">
        <f>SUM(H96:H99)</f>
        <v>0</v>
      </c>
      <c r="I100" s="924">
        <f>SUM(I96:I99)</f>
        <v>0</v>
      </c>
      <c r="J100" s="1391">
        <f>SUM(J96:J99)</f>
        <v>108290155.70399611</v>
      </c>
      <c r="K100" s="904"/>
      <c r="O100" s="1128">
        <f>SUM(O96:O99)</f>
        <v>108290155.70399611</v>
      </c>
      <c r="P100" s="1128">
        <f>SUM(P96:P99)</f>
        <v>0</v>
      </c>
      <c r="Q100" s="1128">
        <f>SUM(Q96:Q99)</f>
        <v>0</v>
      </c>
      <c r="R100" s="1128">
        <f>SUM(R96:R99)</f>
        <v>108290155.70399611</v>
      </c>
      <c r="S100" s="1119"/>
      <c r="W100" s="1128">
        <f>SUM(W96:W99)</f>
        <v>108290155.70399611</v>
      </c>
      <c r="X100" s="1128">
        <f>SUM(X96:X99)</f>
        <v>0</v>
      </c>
      <c r="Y100" s="1128">
        <f>SUM(Y96:Y99)</f>
        <v>0</v>
      </c>
      <c r="Z100" s="1128">
        <f>SUM(Z96:Z99)</f>
        <v>108290155.70399611</v>
      </c>
      <c r="AA100" s="1119"/>
      <c r="AE100" s="1128">
        <f>SUM(AE96:AE99)</f>
        <v>108290155.70399611</v>
      </c>
      <c r="AF100" s="1128">
        <f>SUM(AF96:AF99)</f>
        <v>0</v>
      </c>
      <c r="AG100" s="1128">
        <f>SUM(AG96:AG99)</f>
        <v>0</v>
      </c>
      <c r="AH100" s="1128">
        <f>SUM(AH96:AH99)</f>
        <v>108290155.70399611</v>
      </c>
      <c r="AI100" s="1119"/>
      <c r="AM100" s="1128">
        <f>SUM(AM96:AM99)</f>
        <v>108290155.70399611</v>
      </c>
      <c r="AN100" s="1128">
        <f>SUM(AN96:AN99)</f>
        <v>0</v>
      </c>
      <c r="AO100" s="1128">
        <f>SUM(AO96:AO99)</f>
        <v>0</v>
      </c>
      <c r="AP100" s="1128">
        <f>SUM(AP96:AP99)</f>
        <v>108290155.70399611</v>
      </c>
      <c r="AQ100" s="1119"/>
      <c r="AU100" s="1128">
        <f>SUM(AU96:AU99)</f>
        <v>108290155.70399611</v>
      </c>
      <c r="AV100" s="1128">
        <f>SUM(AV96:AV99)</f>
        <v>0</v>
      </c>
      <c r="AW100" s="1128">
        <f>SUM(AW96:AW99)</f>
        <v>0</v>
      </c>
      <c r="AX100" s="1128">
        <f>SUM(AX96:AX99)</f>
        <v>108290155.70399611</v>
      </c>
      <c r="AY100" s="1119"/>
      <c r="BC100" s="1128">
        <f>SUM(BC96:BC99)</f>
        <v>108290155.70399611</v>
      </c>
      <c r="BD100" s="1128">
        <f>SUM(BD96:BD99)</f>
        <v>0</v>
      </c>
      <c r="BE100" s="1128">
        <f>SUM(BE96:BE99)</f>
        <v>0</v>
      </c>
      <c r="BF100" s="1128">
        <f>SUM(BF96:BF99)</f>
        <v>108290155.70399611</v>
      </c>
      <c r="BG100" s="1119"/>
      <c r="BK100" s="1128">
        <f>SUM(BK96:BK99)</f>
        <v>108290155.70399611</v>
      </c>
      <c r="BL100" s="1128">
        <f>SUM(BL96:BL99)</f>
        <v>0</v>
      </c>
      <c r="BM100" s="1128">
        <f>SUM(BM96:BM99)</f>
        <v>0</v>
      </c>
      <c r="BN100" s="1128">
        <f>SUM(BN96:BN99)</f>
        <v>108290155.70399611</v>
      </c>
      <c r="BO100" s="1119"/>
      <c r="BS100" s="1128">
        <f>SUM(BS96:BS99)</f>
        <v>108290155.70399611</v>
      </c>
      <c r="BT100" s="1128">
        <f>SUM(BT96:BT99)</f>
        <v>0</v>
      </c>
      <c r="BU100" s="1128">
        <f>SUM(BU96:BU99)</f>
        <v>0</v>
      </c>
      <c r="BV100" s="1128">
        <f>SUM(BV96:BV99)</f>
        <v>108290155.70399611</v>
      </c>
      <c r="BW100" s="1119"/>
      <c r="CA100" s="1128">
        <f>SUM(CA96:CA99)</f>
        <v>108290155.70399611</v>
      </c>
      <c r="CB100" s="1128">
        <f>SUM(CB96:CB99)</f>
        <v>0</v>
      </c>
      <c r="CC100" s="1128">
        <f>SUM(CC96:CC99)</f>
        <v>0</v>
      </c>
      <c r="CD100" s="1128">
        <f>SUM(CD96:CD99)</f>
        <v>108290155.70399611</v>
      </c>
      <c r="CE100" s="1119"/>
      <c r="CI100" s="1128">
        <f>SUM(CI96:CI99)</f>
        <v>108290155.70399611</v>
      </c>
      <c r="CJ100" s="1128">
        <f>SUM(CJ96:CJ99)</f>
        <v>0</v>
      </c>
      <c r="CK100" s="1128">
        <f>SUM(CK96:CK99)</f>
        <v>0</v>
      </c>
      <c r="CL100" s="1128">
        <f>SUM(CL96:CL99)</f>
        <v>108290155.70399611</v>
      </c>
      <c r="CM100" s="1119"/>
      <c r="CQ100" s="1128">
        <f>SUM(CQ96:CQ99)</f>
        <v>108290155.70399611</v>
      </c>
      <c r="CR100" s="1128">
        <f>SUM(CR96:CR99)</f>
        <v>0</v>
      </c>
      <c r="CS100" s="1128">
        <f>SUM(CS96:CS99)</f>
        <v>0</v>
      </c>
      <c r="CT100" s="1128">
        <f>SUM(CT96:CT99)</f>
        <v>108290155.70399611</v>
      </c>
      <c r="CU100" s="1119"/>
      <c r="CY100" s="1128">
        <f>SUM(CY96:CY99)</f>
        <v>108290155.70399611</v>
      </c>
      <c r="CZ100" s="1128">
        <f>SUM(CZ96:CZ99)</f>
        <v>0</v>
      </c>
      <c r="DA100" s="1128">
        <f>SUM(DA96:DA99)</f>
        <v>0</v>
      </c>
      <c r="DB100" s="1128">
        <f>SUM(DB96:DB99)</f>
        <v>108290155.70399611</v>
      </c>
      <c r="DC100" s="1119"/>
      <c r="DG100" s="1128">
        <f>SUM(DG96:DG99)</f>
        <v>108290155.70399611</v>
      </c>
      <c r="DH100" s="1128">
        <f>SUM(DH96:DH99)</f>
        <v>0</v>
      </c>
      <c r="DI100" s="1128">
        <f>SUM(DI96:DI99)</f>
        <v>0</v>
      </c>
      <c r="DJ100" s="1128">
        <f>SUM(DJ96:DJ99)</f>
        <v>108290155.70399611</v>
      </c>
      <c r="DK100" s="1119"/>
      <c r="DO100" s="1128">
        <f>SUM(DO96:DO99)</f>
        <v>108290155.70399611</v>
      </c>
      <c r="DP100" s="1128">
        <f>SUM(DP96:DP99)</f>
        <v>0</v>
      </c>
      <c r="DQ100" s="1128">
        <f>SUM(DQ96:DQ99)</f>
        <v>0</v>
      </c>
      <c r="DR100" s="1128">
        <f>SUM(DR96:DR99)</f>
        <v>108290155.70399611</v>
      </c>
      <c r="DS100" s="1119"/>
      <c r="DW100" s="1128">
        <f>SUM(DW96:DW99)</f>
        <v>108290155.70399611</v>
      </c>
      <c r="DX100" s="1128">
        <f>SUM(DX96:DX99)</f>
        <v>0</v>
      </c>
      <c r="DY100" s="1128">
        <f>SUM(DY96:DY99)</f>
        <v>0</v>
      </c>
      <c r="DZ100" s="1128">
        <f>SUM(DZ96:DZ99)</f>
        <v>108290155.70399611</v>
      </c>
      <c r="EA100" s="1119"/>
      <c r="EE100" s="1128">
        <f>SUM(EE96:EE99)</f>
        <v>108290155.70399611</v>
      </c>
      <c r="EF100" s="1128">
        <f>SUM(EF96:EF99)</f>
        <v>0</v>
      </c>
      <c r="EG100" s="1128">
        <f>SUM(EG96:EG99)</f>
        <v>0</v>
      </c>
      <c r="EH100" s="1128">
        <f>SUM(EH96:EH99)</f>
        <v>108290155.70399611</v>
      </c>
      <c r="EI100" s="1119"/>
      <c r="EM100" s="1128">
        <f>SUM(EM96:EM99)</f>
        <v>108290155.70399611</v>
      </c>
      <c r="EN100" s="1128">
        <f>SUM(EN96:EN99)</f>
        <v>0</v>
      </c>
      <c r="EO100" s="1128">
        <f>SUM(EO96:EO99)</f>
        <v>0</v>
      </c>
      <c r="EP100" s="1128">
        <f>SUM(EP96:EP99)</f>
        <v>108290155.70399611</v>
      </c>
      <c r="EQ100" s="1119"/>
      <c r="EU100" s="1128">
        <f>SUM(EU96:EU99)</f>
        <v>108290155.70399611</v>
      </c>
      <c r="EV100" s="1128">
        <f>SUM(EV96:EV99)</f>
        <v>0</v>
      </c>
      <c r="EW100" s="1128">
        <f>SUM(EW96:EW99)</f>
        <v>0</v>
      </c>
      <c r="EX100" s="1128">
        <f>SUM(EX96:EX99)</f>
        <v>108290155.70399611</v>
      </c>
      <c r="EY100" s="1119"/>
      <c r="FC100" s="1128">
        <f>SUM(FC96:FC99)</f>
        <v>108290155.70399611</v>
      </c>
      <c r="FD100" s="1128">
        <f>SUM(FD96:FD99)</f>
        <v>0</v>
      </c>
      <c r="FE100" s="1128">
        <f>SUM(FE96:FE99)</f>
        <v>0</v>
      </c>
      <c r="FF100" s="1128">
        <f>SUM(FF96:FF99)</f>
        <v>108290155.70399611</v>
      </c>
      <c r="FG100" s="1119"/>
      <c r="FK100" s="1128">
        <f>SUM(FK96:FK99)</f>
        <v>108290155.70399611</v>
      </c>
      <c r="FL100" s="1128">
        <f>SUM(FL96:FL99)</f>
        <v>0</v>
      </c>
      <c r="FM100" s="1128">
        <f>SUM(FM96:FM99)</f>
        <v>0</v>
      </c>
      <c r="FN100" s="1128">
        <f>SUM(FN96:FN99)</f>
        <v>108290155.70399611</v>
      </c>
      <c r="FO100" s="1119"/>
    </row>
    <row r="101" spans="1:171" x14ac:dyDescent="0.25">
      <c r="A101" s="952"/>
      <c r="B101" s="948"/>
      <c r="C101" s="948"/>
      <c r="D101" s="948"/>
      <c r="E101" s="948"/>
      <c r="F101" s="948"/>
      <c r="G101" s="948"/>
      <c r="H101" s="948"/>
      <c r="I101" s="948"/>
      <c r="J101" s="949"/>
      <c r="K101" s="904"/>
      <c r="S101" s="1119"/>
      <c r="AA101" s="1119"/>
      <c r="AI101" s="1119"/>
      <c r="AQ101" s="1119"/>
      <c r="AY101" s="1119"/>
      <c r="BG101" s="1119"/>
      <c r="BO101" s="1119"/>
      <c r="BW101" s="1119"/>
      <c r="CE101" s="1119"/>
      <c r="CM101" s="1119"/>
      <c r="CU101" s="1119"/>
      <c r="DC101" s="1119"/>
      <c r="DK101" s="1119"/>
      <c r="DS101" s="1119"/>
      <c r="EA101" s="1119"/>
      <c r="EI101" s="1119"/>
      <c r="EQ101" s="1119"/>
      <c r="EY101" s="1119"/>
      <c r="FG101" s="1119"/>
      <c r="FO101" s="1119"/>
    </row>
    <row r="102" spans="1:171" x14ac:dyDescent="0.25">
      <c r="A102" s="268" t="s">
        <v>177</v>
      </c>
      <c r="B102" s="79"/>
      <c r="C102" s="941"/>
      <c r="D102" s="196"/>
      <c r="E102" s="196"/>
      <c r="F102" s="196"/>
      <c r="G102" s="953"/>
      <c r="H102" s="953"/>
      <c r="I102" s="953"/>
      <c r="J102" s="954"/>
      <c r="K102" s="904"/>
      <c r="S102" s="1119"/>
      <c r="AA102" s="1119"/>
      <c r="AI102" s="1119"/>
      <c r="AQ102" s="1119"/>
      <c r="AY102" s="1119"/>
      <c r="BG102" s="1119"/>
      <c r="BO102" s="1119"/>
      <c r="BW102" s="1119"/>
      <c r="CE102" s="1119"/>
      <c r="CM102" s="1119"/>
      <c r="CU102" s="1119"/>
      <c r="DC102" s="1119"/>
      <c r="DK102" s="1119"/>
      <c r="DS102" s="1119"/>
      <c r="EA102" s="1119"/>
      <c r="EI102" s="1119"/>
      <c r="EQ102" s="1119"/>
      <c r="EY102" s="1119"/>
      <c r="FG102" s="1119"/>
      <c r="FO102" s="1119"/>
    </row>
    <row r="103" spans="1:171" x14ac:dyDescent="0.25">
      <c r="A103" s="1390">
        <v>92400</v>
      </c>
      <c r="B103" s="10" t="s">
        <v>436</v>
      </c>
      <c r="C103" s="889" t="s">
        <v>78</v>
      </c>
      <c r="D103" s="889">
        <v>151</v>
      </c>
      <c r="E103" s="182" t="str">
        <f>'Sch 1- Rate Base '!E103</f>
        <v>PROD</v>
      </c>
      <c r="F103" s="890"/>
      <c r="G103" s="182">
        <f>'Sch 1- Rate Base '!G103</f>
        <v>40405127.127832949</v>
      </c>
      <c r="H103" s="182">
        <f>'Sch 1- Rate Base '!H103</f>
        <v>40405127.127832949</v>
      </c>
      <c r="I103" s="182">
        <f>'Sch 1- Rate Base '!I103</f>
        <v>0</v>
      </c>
      <c r="J103" s="183">
        <f>'Sch 1- Rate Base '!J103</f>
        <v>0</v>
      </c>
      <c r="K103" s="904">
        <f t="shared" ref="K103:K115" si="244">IF($E103="DIRECT",0,1)</f>
        <v>1</v>
      </c>
      <c r="N103" s="1130">
        <f>VLOOKUP($A103,'New Resources - Individual'!$A$4:$Y$133,N$2,FALSE)*N$1</f>
        <v>0</v>
      </c>
      <c r="O103" s="1117">
        <f t="shared" ref="O103:O108" si="245">$G103+N103</f>
        <v>40405127.127832949</v>
      </c>
      <c r="P103" s="1118">
        <f t="shared" ref="P103:P109" si="246">VLOOKUP($E103,O$442:R$453,2,FALSE)*O103*($K103)+IF($G103&gt;0,($H103/$G103)*O103,0)*(1-$K103)</f>
        <v>40405127.127832949</v>
      </c>
      <c r="Q103" s="1118">
        <f t="shared" ref="Q103:Q109" si="247">VLOOKUP($E103,O$442:R$453,3,FALSE)*O103*($K103)+IF($G103&gt;0,($I103/$G103)*O103,0)*(1-$K103)</f>
        <v>0</v>
      </c>
      <c r="R103" s="1118">
        <f t="shared" ref="R103:R110" si="248">VLOOKUP($E103,O$442:R$453,4,FALSE)*O103*($K103)+(O103-P103-Q103)*(1-$K103)</f>
        <v>0</v>
      </c>
      <c r="S103" s="1119"/>
      <c r="V103" s="1130">
        <f>VLOOKUP($A103,'New Resources - Individual'!$A$4:$Y$133,V$2,FALSE)*V$1</f>
        <v>0</v>
      </c>
      <c r="W103" s="1117">
        <f t="shared" ref="W103:W108" si="249">$G103+V103</f>
        <v>40405127.127832949</v>
      </c>
      <c r="X103" s="1118">
        <f t="shared" ref="X103:X109" si="250">VLOOKUP($E103,W$442:Z$453,2,FALSE)*W103*($K103)+IF($G103&gt;0,($H103/$G103)*W103,0)*(1-$K103)</f>
        <v>40405127.127832949</v>
      </c>
      <c r="Y103" s="1118">
        <f t="shared" ref="Y103:Y109" si="251">VLOOKUP($E103,W$442:Z$453,3,FALSE)*W103*($K103)+IF($G103&gt;0,($I103/$G103)*W103,0)*(1-$K103)</f>
        <v>0</v>
      </c>
      <c r="Z103" s="1118">
        <f t="shared" ref="Z103:Z110" si="252">VLOOKUP($E103,W$442:Z$453,4,FALSE)*W103*($K103)+(W103-X103-Y103)*(1-$K103)</f>
        <v>0</v>
      </c>
      <c r="AA103" s="1119"/>
      <c r="AD103" s="1130">
        <f>VLOOKUP($A103,'New Resources - Individual'!$A$4:$Y$133,AD$2,FALSE)*AD$1</f>
        <v>0</v>
      </c>
      <c r="AE103" s="1117">
        <f t="shared" ref="AE103:AE108" si="253">$G103+AD103</f>
        <v>40405127.127832949</v>
      </c>
      <c r="AF103" s="1118">
        <f t="shared" ref="AF103:AF109" si="254">VLOOKUP($E103,AE$442:AH$453,2,FALSE)*AE103*($K103)+IF($G103&gt;0,($H103/$G103)*AE103,0)*(1-$K103)</f>
        <v>40405127.127832949</v>
      </c>
      <c r="AG103" s="1118">
        <f t="shared" ref="AG103:AG109" si="255">VLOOKUP($E103,AE$442:AH$453,3,FALSE)*AE103*($K103)+IF($G103&gt;0,($I103/$G103)*AE103,0)*(1-$K103)</f>
        <v>0</v>
      </c>
      <c r="AH103" s="1118">
        <f t="shared" ref="AH103:AH110" si="256">VLOOKUP($E103,AE$442:AH$453,4,FALSE)*AE103*($K103)+(AE103-AF103-AG103)*(1-$K103)</f>
        <v>0</v>
      </c>
      <c r="AI103" s="1119"/>
      <c r="AL103" s="1130">
        <f>VLOOKUP($A103,'New Resources - Individual'!$A$4:$Y$133,AL$2,FALSE)*AL$1</f>
        <v>0</v>
      </c>
      <c r="AM103" s="1117">
        <f t="shared" ref="AM103:AM108" si="257">$G103+AL103</f>
        <v>40405127.127832949</v>
      </c>
      <c r="AN103" s="1118">
        <f t="shared" ref="AN103:AN109" si="258">VLOOKUP($E103,AM$442:AP$453,2,FALSE)*AM103*($K103)+IF($G103&gt;0,($H103/$G103)*AM103,0)*(1-$K103)</f>
        <v>40405127.127832949</v>
      </c>
      <c r="AO103" s="1118">
        <f t="shared" ref="AO103:AO109" si="259">VLOOKUP($E103,AM$442:AP$453,3,FALSE)*AM103*($K103)+IF($G103&gt;0,($I103/$G103)*AM103,0)*(1-$K103)</f>
        <v>0</v>
      </c>
      <c r="AP103" s="1118">
        <f t="shared" ref="AP103:AP110" si="260">VLOOKUP($E103,AM$442:AP$453,4,FALSE)*AM103*($K103)+(AM103-AN103-AO103)*(1-$K103)</f>
        <v>0</v>
      </c>
      <c r="AQ103" s="1119"/>
      <c r="AT103" s="1130">
        <f>VLOOKUP($A103,'New Resources - Individual'!$A$4:$Y$133,AT$2,FALSE)*AT$1</f>
        <v>0</v>
      </c>
      <c r="AU103" s="1117">
        <f t="shared" ref="AU103:AU108" si="261">$G103+AT103</f>
        <v>40405127.127832949</v>
      </c>
      <c r="AV103" s="1118">
        <f t="shared" ref="AV103:AV109" si="262">VLOOKUP($E103,AU$442:AX$453,2,FALSE)*AU103*($K103)+IF($G103&gt;0,($H103/$G103)*AU103,0)*(1-$K103)</f>
        <v>40405127.127832949</v>
      </c>
      <c r="AW103" s="1118">
        <f t="shared" ref="AW103:AW109" si="263">VLOOKUP($E103,AU$442:AX$453,3,FALSE)*AU103*($K103)+IF($G103&gt;0,($I103/$G103)*AU103,0)*(1-$K103)</f>
        <v>0</v>
      </c>
      <c r="AX103" s="1118">
        <f t="shared" ref="AX103:AX110" si="264">VLOOKUP($E103,AU$442:AX$453,4,FALSE)*AU103*($K103)+(AU103-AV103-AW103)*(1-$K103)</f>
        <v>0</v>
      </c>
      <c r="AY103" s="1119"/>
      <c r="BB103" s="1130">
        <f>VLOOKUP($A103,'New Resources - Individual'!$A$4:$Y$133,BB$2,FALSE)*BB$1</f>
        <v>0</v>
      </c>
      <c r="BC103" s="1117">
        <f t="shared" ref="BC103:BC108" si="265">$G103+BB103</f>
        <v>40405127.127832949</v>
      </c>
      <c r="BD103" s="1118">
        <f t="shared" ref="BD103:BD109" si="266">VLOOKUP($E103,BC$442:BF$453,2,FALSE)*BC103*($K103)+IF($G103&gt;0,($H103/$G103)*BC103,0)*(1-$K103)</f>
        <v>40405127.127832949</v>
      </c>
      <c r="BE103" s="1118">
        <f t="shared" ref="BE103:BE109" si="267">VLOOKUP($E103,BC$442:BF$453,3,FALSE)*BC103*($K103)+IF($G103&gt;0,($I103/$G103)*BC103,0)*(1-$K103)</f>
        <v>0</v>
      </c>
      <c r="BF103" s="1118">
        <f t="shared" ref="BF103:BF110" si="268">VLOOKUP($E103,BC$442:BF$453,4,FALSE)*BC103*($K103)+(BC103-BD103-BE103)*(1-$K103)</f>
        <v>0</v>
      </c>
      <c r="BG103" s="1119"/>
      <c r="BJ103" s="1130">
        <f>VLOOKUP($A103,'New Resources - Individual'!$A$4:$Y$133,BJ$2,FALSE)*BJ$1</f>
        <v>0</v>
      </c>
      <c r="BK103" s="1117">
        <f t="shared" ref="BK103:BK108" si="269">$G103+BJ103</f>
        <v>40405127.127832949</v>
      </c>
      <c r="BL103" s="1118">
        <f t="shared" ref="BL103:BL109" si="270">VLOOKUP($E103,BK$442:BN$453,2,FALSE)*BK103*($K103)+IF($G103&gt;0,($H103/$G103)*BK103,0)*(1-$K103)</f>
        <v>40405127.127832949</v>
      </c>
      <c r="BM103" s="1118">
        <f t="shared" ref="BM103:BM109" si="271">VLOOKUP($E103,BK$442:BN$453,3,FALSE)*BK103*($K103)+IF($G103&gt;0,($I103/$G103)*BK103,0)*(1-$K103)</f>
        <v>0</v>
      </c>
      <c r="BN103" s="1118">
        <f t="shared" ref="BN103:BN110" si="272">VLOOKUP($E103,BK$442:BN$453,4,FALSE)*BK103*($K103)+(BK103-BL103-BM103)*(1-$K103)</f>
        <v>0</v>
      </c>
      <c r="BO103" s="1119"/>
      <c r="BR103" s="1130">
        <f>VLOOKUP($A103,'New Resources - Individual'!$A$4:$Y$133,BR$2,FALSE)*BR$1</f>
        <v>0</v>
      </c>
      <c r="BS103" s="1117">
        <f t="shared" ref="BS103:BS108" si="273">$G103+BR103</f>
        <v>40405127.127832949</v>
      </c>
      <c r="BT103" s="1118">
        <f t="shared" ref="BT103:BT109" si="274">VLOOKUP($E103,BS$442:BV$453,2,FALSE)*BS103*($K103)+IF($G103&gt;0,($H103/$G103)*BS103,0)*(1-$K103)</f>
        <v>40405127.127832949</v>
      </c>
      <c r="BU103" s="1118">
        <f t="shared" ref="BU103:BU109" si="275">VLOOKUP($E103,BS$442:BV$453,3,FALSE)*BS103*($K103)+IF($G103&gt;0,($I103/$G103)*BS103,0)*(1-$K103)</f>
        <v>0</v>
      </c>
      <c r="BV103" s="1118">
        <f t="shared" ref="BV103:BV110" si="276">VLOOKUP($E103,BS$442:BV$453,4,FALSE)*BS103*($K103)+(BS103-BT103-BU103)*(1-$K103)</f>
        <v>0</v>
      </c>
      <c r="BW103" s="1119"/>
      <c r="BZ103" s="1130">
        <f>VLOOKUP($A103,'New Resources - Individual'!$A$4:$Y$133,BZ$2,FALSE)*BZ$1</f>
        <v>0</v>
      </c>
      <c r="CA103" s="1117">
        <f t="shared" ref="CA103:CA108" si="277">$G103+BZ103</f>
        <v>40405127.127832949</v>
      </c>
      <c r="CB103" s="1118">
        <f t="shared" ref="CB103:CB109" si="278">VLOOKUP($E103,CA$442:CD$453,2,FALSE)*CA103*($K103)+IF($G103&gt;0,($H103/$G103)*CA103,0)*(1-$K103)</f>
        <v>40405127.127832949</v>
      </c>
      <c r="CC103" s="1118">
        <f t="shared" ref="CC103:CC109" si="279">VLOOKUP($E103,CA$442:CD$453,3,FALSE)*CA103*($K103)+IF($G103&gt;0,($I103/$G103)*CA103,0)*(1-$K103)</f>
        <v>0</v>
      </c>
      <c r="CD103" s="1118">
        <f t="shared" ref="CD103:CD110" si="280">VLOOKUP($E103,CA$442:CD$453,4,FALSE)*CA103*($K103)+(CA103-CB103-CC103)*(1-$K103)</f>
        <v>0</v>
      </c>
      <c r="CE103" s="1119"/>
      <c r="CH103" s="1130">
        <f>VLOOKUP($A103,'New Resources - Individual'!$A$4:$Y$133,CH$2,FALSE)*CH$1</f>
        <v>0</v>
      </c>
      <c r="CI103" s="1117">
        <f t="shared" ref="CI103:CI108" si="281">$G103+CH103</f>
        <v>40405127.127832949</v>
      </c>
      <c r="CJ103" s="1118">
        <f t="shared" ref="CJ103:CJ109" si="282">VLOOKUP($E103,CI$442:CL$453,2,FALSE)*CI103*($K103)+IF($G103&gt;0,($H103/$G103)*CI103,0)*(1-$K103)</f>
        <v>40405127.127832949</v>
      </c>
      <c r="CK103" s="1118">
        <f t="shared" ref="CK103:CK109" si="283">VLOOKUP($E103,CI$442:CL$453,3,FALSE)*CI103*($K103)+IF($G103&gt;0,($I103/$G103)*CI103,0)*(1-$K103)</f>
        <v>0</v>
      </c>
      <c r="CL103" s="1118">
        <f t="shared" ref="CL103:CL110" si="284">VLOOKUP($E103,CI$442:CL$453,4,FALSE)*CI103*($K103)+(CI103-CJ103-CK103)*(1-$K103)</f>
        <v>0</v>
      </c>
      <c r="CM103" s="1119"/>
      <c r="CP103" s="1130">
        <f>VLOOKUP($A103,'New Resources - Individual'!$A$4:$Y$133,CP$2,FALSE)*CP$1</f>
        <v>0</v>
      </c>
      <c r="CQ103" s="1117">
        <f t="shared" ref="CQ103:CQ108" si="285">$G103+CP103</f>
        <v>40405127.127832949</v>
      </c>
      <c r="CR103" s="1118">
        <f t="shared" ref="CR103:CR109" si="286">VLOOKUP($E103,CQ$442:CT$453,2,FALSE)*CQ103*($K103)+IF($G103&gt;0,($H103/$G103)*CQ103,0)*(1-$K103)</f>
        <v>40405127.127832949</v>
      </c>
      <c r="CS103" s="1118">
        <f t="shared" ref="CS103:CS109" si="287">VLOOKUP($E103,CQ$442:CT$453,3,FALSE)*CQ103*($K103)+IF($G103&gt;0,($I103/$G103)*CQ103,0)*(1-$K103)</f>
        <v>0</v>
      </c>
      <c r="CT103" s="1118">
        <f t="shared" ref="CT103:CT110" si="288">VLOOKUP($E103,CQ$442:CT$453,4,FALSE)*CQ103*($K103)+(CQ103-CR103-CS103)*(1-$K103)</f>
        <v>0</v>
      </c>
      <c r="CU103" s="1119"/>
      <c r="CX103" s="1130">
        <f>VLOOKUP($A103,'New Resources - Individual'!$A$4:$Y$133,CX$2,FALSE)*CX$1</f>
        <v>0</v>
      </c>
      <c r="CY103" s="1117">
        <f t="shared" ref="CY103:CY108" si="289">$G103+CX103</f>
        <v>40405127.127832949</v>
      </c>
      <c r="CZ103" s="1118">
        <f t="shared" ref="CZ103:CZ109" si="290">VLOOKUP($E103,CY$442:DB$453,2,FALSE)*CY103*($K103)+IF($G103&gt;0,($H103/$G103)*CY103,0)*(1-$K103)</f>
        <v>40405127.127832949</v>
      </c>
      <c r="DA103" s="1118">
        <f t="shared" ref="DA103:DA109" si="291">VLOOKUP($E103,CY$442:DB$453,3,FALSE)*CY103*($K103)+IF($G103&gt;0,($I103/$G103)*CY103,0)*(1-$K103)</f>
        <v>0</v>
      </c>
      <c r="DB103" s="1118">
        <f t="shared" ref="DB103:DB110" si="292">VLOOKUP($E103,CY$442:DB$453,4,FALSE)*CY103*($K103)+(CY103-CZ103-DA103)*(1-$K103)</f>
        <v>0</v>
      </c>
      <c r="DC103" s="1119"/>
      <c r="DF103" s="1130">
        <f>VLOOKUP($A103,'New Resources - Individual'!$A$4:$Y$133,DF$2,FALSE)*DF$1</f>
        <v>0</v>
      </c>
      <c r="DG103" s="1117">
        <f t="shared" ref="DG103:DG108" si="293">$G103+DF103</f>
        <v>40405127.127832949</v>
      </c>
      <c r="DH103" s="1118">
        <f t="shared" ref="DH103:DH109" si="294">VLOOKUP($E103,DG$442:DJ$453,2,FALSE)*DG103*($K103)+IF($G103&gt;0,($H103/$G103)*DG103,0)*(1-$K103)</f>
        <v>40405127.127832949</v>
      </c>
      <c r="DI103" s="1118">
        <f t="shared" ref="DI103:DI109" si="295">VLOOKUP($E103,DG$442:DJ$453,3,FALSE)*DG103*($K103)+IF($G103&gt;0,($I103/$G103)*DG103,0)*(1-$K103)</f>
        <v>0</v>
      </c>
      <c r="DJ103" s="1118">
        <f t="shared" ref="DJ103:DJ110" si="296">VLOOKUP($E103,DG$442:DJ$453,4,FALSE)*DG103*($K103)+(DG103-DH103-DI103)*(1-$K103)</f>
        <v>0</v>
      </c>
      <c r="DK103" s="1119"/>
      <c r="DN103" s="1130">
        <f>VLOOKUP($A103,'New Resources - Individual'!$A$4:$Y$133,DN$2,FALSE)*DN$1</f>
        <v>0</v>
      </c>
      <c r="DO103" s="1117">
        <f t="shared" ref="DO103:DO108" si="297">$G103+DN103</f>
        <v>40405127.127832949</v>
      </c>
      <c r="DP103" s="1118">
        <f t="shared" ref="DP103:DP109" si="298">VLOOKUP($E103,DO$442:DR$453,2,FALSE)*DO103*($K103)+IF($G103&gt;0,($H103/$G103)*DO103,0)*(1-$K103)</f>
        <v>40405127.127832949</v>
      </c>
      <c r="DQ103" s="1118">
        <f t="shared" ref="DQ103:DQ109" si="299">VLOOKUP($E103,DO$442:DR$453,3,FALSE)*DO103*($K103)+IF($G103&gt;0,($I103/$G103)*DO103,0)*(1-$K103)</f>
        <v>0</v>
      </c>
      <c r="DR103" s="1118">
        <f t="shared" ref="DR103:DR110" si="300">VLOOKUP($E103,DO$442:DR$453,4,FALSE)*DO103*($K103)+(DO103-DP103-DQ103)*(1-$K103)</f>
        <v>0</v>
      </c>
      <c r="DS103" s="1119"/>
      <c r="DV103" s="1130">
        <f>VLOOKUP($A103,'New Resources - Individual'!$A$4:$Y$133,DV$2,FALSE)*DV$1</f>
        <v>0</v>
      </c>
      <c r="DW103" s="1117">
        <f t="shared" ref="DW103:DW108" si="301">$G103+DV103</f>
        <v>40405127.127832949</v>
      </c>
      <c r="DX103" s="1118">
        <f t="shared" ref="DX103:DX109" si="302">VLOOKUP($E103,DW$442:DZ$453,2,FALSE)*DW103*($K103)+IF($G103&gt;0,($H103/$G103)*DW103,0)*(1-$K103)</f>
        <v>40405127.127832949</v>
      </c>
      <c r="DY103" s="1118">
        <f t="shared" ref="DY103:DY109" si="303">VLOOKUP($E103,DW$442:DZ$453,3,FALSE)*DW103*($K103)+IF($G103&gt;0,($I103/$G103)*DW103,0)*(1-$K103)</f>
        <v>0</v>
      </c>
      <c r="DZ103" s="1118">
        <f t="shared" ref="DZ103:DZ110" si="304">VLOOKUP($E103,DW$442:DZ$453,4,FALSE)*DW103*($K103)+(DW103-DX103-DY103)*(1-$K103)</f>
        <v>0</v>
      </c>
      <c r="EA103" s="1119"/>
      <c r="ED103" s="1130">
        <f>VLOOKUP($A103,'New Resources - Individual'!$A$4:$Y$133,ED$2,FALSE)*ED$1</f>
        <v>0</v>
      </c>
      <c r="EE103" s="1117">
        <f t="shared" ref="EE103:EE108" si="305">$G103+ED103</f>
        <v>40405127.127832949</v>
      </c>
      <c r="EF103" s="1118">
        <f t="shared" ref="EF103:EF109" si="306">VLOOKUP($E103,EE$442:EH$453,2,FALSE)*EE103*($K103)+IF($G103&gt;0,($H103/$G103)*EE103,0)*(1-$K103)</f>
        <v>40405127.127832949</v>
      </c>
      <c r="EG103" s="1118">
        <f t="shared" ref="EG103:EG109" si="307">VLOOKUP($E103,EE$442:EH$453,3,FALSE)*EE103*($K103)+IF($G103&gt;0,($I103/$G103)*EE103,0)*(1-$K103)</f>
        <v>0</v>
      </c>
      <c r="EH103" s="1118">
        <f t="shared" ref="EH103:EH110" si="308">VLOOKUP($E103,EE$442:EH$453,4,FALSE)*EE103*($K103)+(EE103-EF103-EG103)*(1-$K103)</f>
        <v>0</v>
      </c>
      <c r="EI103" s="1119"/>
      <c r="EL103" s="1130">
        <f>VLOOKUP($A103,'New Resources - Individual'!$A$4:$Y$133,EL$2,FALSE)*EL$1</f>
        <v>0</v>
      </c>
      <c r="EM103" s="1117">
        <f t="shared" ref="EM103:EM108" si="309">$G103+EL103</f>
        <v>40405127.127832949</v>
      </c>
      <c r="EN103" s="1118">
        <f t="shared" ref="EN103:EN109" si="310">VLOOKUP($E103,EM$442:EP$453,2,FALSE)*EM103*($K103)+IF($G103&gt;0,($H103/$G103)*EM103,0)*(1-$K103)</f>
        <v>40405127.127832949</v>
      </c>
      <c r="EO103" s="1118">
        <f t="shared" ref="EO103:EO109" si="311">VLOOKUP($E103,EM$442:EP$453,3,FALSE)*EM103*($K103)+IF($G103&gt;0,($I103/$G103)*EM103,0)*(1-$K103)</f>
        <v>0</v>
      </c>
      <c r="EP103" s="1118">
        <f t="shared" ref="EP103:EP110" si="312">VLOOKUP($E103,EM$442:EP$453,4,FALSE)*EM103*($K103)+(EM103-EN103-EO103)*(1-$K103)</f>
        <v>0</v>
      </c>
      <c r="EQ103" s="1119"/>
      <c r="ET103" s="1130">
        <f>VLOOKUP($A103,'New Resources - Individual'!$A$4:$Y$133,ET$2,FALSE)*ET$1</f>
        <v>0</v>
      </c>
      <c r="EU103" s="1117">
        <f t="shared" ref="EU103:EU108" si="313">$G103+ET103</f>
        <v>40405127.127832949</v>
      </c>
      <c r="EV103" s="1118">
        <f t="shared" ref="EV103:EV109" si="314">VLOOKUP($E103,EU$442:EX$453,2,FALSE)*EU103*($K103)+IF($G103&gt;0,($H103/$G103)*EU103,0)*(1-$K103)</f>
        <v>40405127.127832949</v>
      </c>
      <c r="EW103" s="1118">
        <f t="shared" ref="EW103:EW109" si="315">VLOOKUP($E103,EU$442:EX$453,3,FALSE)*EU103*($K103)+IF($G103&gt;0,($I103/$G103)*EU103,0)*(1-$K103)</f>
        <v>0</v>
      </c>
      <c r="EX103" s="1118">
        <f t="shared" ref="EX103:EX110" si="316">VLOOKUP($E103,EU$442:EX$453,4,FALSE)*EU103*($K103)+(EU103-EV103-EW103)*(1-$K103)</f>
        <v>0</v>
      </c>
      <c r="EY103" s="1119"/>
      <c r="FB103" s="1130">
        <f>VLOOKUP($A103,'New Resources - Individual'!$A$4:$Y$133,FB$2,FALSE)*FB$1</f>
        <v>0</v>
      </c>
      <c r="FC103" s="1117">
        <f t="shared" ref="FC103:FC108" si="317">$G103+FB103</f>
        <v>40405127.127832949</v>
      </c>
      <c r="FD103" s="1118">
        <f t="shared" ref="FD103:FD109" si="318">VLOOKUP($E103,FC$442:FF$453,2,FALSE)*FC103*($K103)+IF($G103&gt;0,($H103/$G103)*FC103,0)*(1-$K103)</f>
        <v>40405127.127832949</v>
      </c>
      <c r="FE103" s="1118">
        <f t="shared" ref="FE103:FE109" si="319">VLOOKUP($E103,FC$442:FF$453,3,FALSE)*FC103*($K103)+IF($G103&gt;0,($I103/$G103)*FC103,0)*(1-$K103)</f>
        <v>0</v>
      </c>
      <c r="FF103" s="1118">
        <f t="shared" ref="FF103:FF110" si="320">VLOOKUP($E103,FC$442:FF$453,4,FALSE)*FC103*($K103)+(FC103-FD103-FE103)*(1-$K103)</f>
        <v>0</v>
      </c>
      <c r="FG103" s="1119"/>
      <c r="FJ103" s="1130">
        <f>VLOOKUP($A103,'New Resources - Individual'!$A$4:$Y$133,FJ$2,FALSE)*FJ$1</f>
        <v>0</v>
      </c>
      <c r="FK103" s="1117">
        <f t="shared" ref="FK103:FK108" si="321">$G103+FJ103</f>
        <v>40405127.127832949</v>
      </c>
      <c r="FL103" s="1118">
        <f t="shared" ref="FL103:FL109" si="322">VLOOKUP($E103,FK$442:FN$453,2,FALSE)*FK103*($K103)+IF($G103&gt;0,($H103/$G103)*FK103,0)*(1-$K103)</f>
        <v>40405127.127832949</v>
      </c>
      <c r="FM103" s="1118">
        <f t="shared" ref="FM103:FM109" si="323">VLOOKUP($E103,FK$442:FN$453,3,FALSE)*FK103*($K103)+IF($G103&gt;0,($I103/$G103)*FK103,0)*(1-$K103)</f>
        <v>0</v>
      </c>
      <c r="FN103" s="1118">
        <f t="shared" ref="FN103:FN110" si="324">VLOOKUP($E103,FK$442:FN$453,4,FALSE)*FK103*($K103)+(FK103-FL103-FM103)*(1-$K103)</f>
        <v>0</v>
      </c>
      <c r="FO103" s="1119"/>
    </row>
    <row r="104" spans="1:171" x14ac:dyDescent="0.25">
      <c r="A104" s="1392"/>
      <c r="B104" s="79" t="s">
        <v>7</v>
      </c>
      <c r="C104" s="889" t="s">
        <v>78</v>
      </c>
      <c r="D104" s="889">
        <v>152</v>
      </c>
      <c r="E104" s="182" t="str">
        <f>'Sch 1- Rate Base '!E104</f>
        <v>PROD</v>
      </c>
      <c r="F104" s="890"/>
      <c r="G104" s="182">
        <f>'Sch 1- Rate Base '!G104</f>
        <v>0</v>
      </c>
      <c r="H104" s="182">
        <f>'Sch 1- Rate Base '!H104</f>
        <v>0</v>
      </c>
      <c r="I104" s="182">
        <f>'Sch 1- Rate Base '!I104</f>
        <v>0</v>
      </c>
      <c r="J104" s="183">
        <f>'Sch 1- Rate Base '!J104</f>
        <v>0</v>
      </c>
      <c r="K104" s="904">
        <f t="shared" si="244"/>
        <v>1</v>
      </c>
      <c r="N104" s="1117"/>
      <c r="O104" s="1117">
        <f t="shared" si="245"/>
        <v>0</v>
      </c>
      <c r="P104" s="1118">
        <f t="shared" si="246"/>
        <v>0</v>
      </c>
      <c r="Q104" s="1118">
        <f t="shared" si="247"/>
        <v>0</v>
      </c>
      <c r="R104" s="1118">
        <f t="shared" si="248"/>
        <v>0</v>
      </c>
      <c r="S104" s="1119"/>
      <c r="V104" s="1117"/>
      <c r="W104" s="1117">
        <f t="shared" si="249"/>
        <v>0</v>
      </c>
      <c r="X104" s="1118">
        <f t="shared" si="250"/>
        <v>0</v>
      </c>
      <c r="Y104" s="1118">
        <f t="shared" si="251"/>
        <v>0</v>
      </c>
      <c r="Z104" s="1118">
        <f t="shared" si="252"/>
        <v>0</v>
      </c>
      <c r="AA104" s="1119"/>
      <c r="AD104" s="1117"/>
      <c r="AE104" s="1117">
        <f t="shared" si="253"/>
        <v>0</v>
      </c>
      <c r="AF104" s="1118">
        <f t="shared" si="254"/>
        <v>0</v>
      </c>
      <c r="AG104" s="1118">
        <f t="shared" si="255"/>
        <v>0</v>
      </c>
      <c r="AH104" s="1118">
        <f t="shared" si="256"/>
        <v>0</v>
      </c>
      <c r="AI104" s="1119"/>
      <c r="AL104" s="1117"/>
      <c r="AM104" s="1117">
        <f t="shared" si="257"/>
        <v>0</v>
      </c>
      <c r="AN104" s="1118">
        <f t="shared" si="258"/>
        <v>0</v>
      </c>
      <c r="AO104" s="1118">
        <f t="shared" si="259"/>
        <v>0</v>
      </c>
      <c r="AP104" s="1118">
        <f t="shared" si="260"/>
        <v>0</v>
      </c>
      <c r="AQ104" s="1119"/>
      <c r="AT104" s="1117"/>
      <c r="AU104" s="1117">
        <f t="shared" si="261"/>
        <v>0</v>
      </c>
      <c r="AV104" s="1118">
        <f t="shared" si="262"/>
        <v>0</v>
      </c>
      <c r="AW104" s="1118">
        <f t="shared" si="263"/>
        <v>0</v>
      </c>
      <c r="AX104" s="1118">
        <f t="shared" si="264"/>
        <v>0</v>
      </c>
      <c r="AY104" s="1119"/>
      <c r="BB104" s="1117"/>
      <c r="BC104" s="1117">
        <f t="shared" si="265"/>
        <v>0</v>
      </c>
      <c r="BD104" s="1118">
        <f t="shared" si="266"/>
        <v>0</v>
      </c>
      <c r="BE104" s="1118">
        <f t="shared" si="267"/>
        <v>0</v>
      </c>
      <c r="BF104" s="1118">
        <f t="shared" si="268"/>
        <v>0</v>
      </c>
      <c r="BG104" s="1119"/>
      <c r="BJ104" s="1117"/>
      <c r="BK104" s="1117">
        <f t="shared" si="269"/>
        <v>0</v>
      </c>
      <c r="BL104" s="1118">
        <f t="shared" si="270"/>
        <v>0</v>
      </c>
      <c r="BM104" s="1118">
        <f t="shared" si="271"/>
        <v>0</v>
      </c>
      <c r="BN104" s="1118">
        <f t="shared" si="272"/>
        <v>0</v>
      </c>
      <c r="BO104" s="1119"/>
      <c r="BR104" s="1117"/>
      <c r="BS104" s="1117">
        <f t="shared" si="273"/>
        <v>0</v>
      </c>
      <c r="BT104" s="1118">
        <f t="shared" si="274"/>
        <v>0</v>
      </c>
      <c r="BU104" s="1118">
        <f t="shared" si="275"/>
        <v>0</v>
      </c>
      <c r="BV104" s="1118">
        <f t="shared" si="276"/>
        <v>0</v>
      </c>
      <c r="BW104" s="1119"/>
      <c r="BZ104" s="1117"/>
      <c r="CA104" s="1117">
        <f t="shared" si="277"/>
        <v>0</v>
      </c>
      <c r="CB104" s="1118">
        <f t="shared" si="278"/>
        <v>0</v>
      </c>
      <c r="CC104" s="1118">
        <f t="shared" si="279"/>
        <v>0</v>
      </c>
      <c r="CD104" s="1118">
        <f t="shared" si="280"/>
        <v>0</v>
      </c>
      <c r="CE104" s="1119"/>
      <c r="CH104" s="1117"/>
      <c r="CI104" s="1117">
        <f t="shared" si="281"/>
        <v>0</v>
      </c>
      <c r="CJ104" s="1118">
        <f t="shared" si="282"/>
        <v>0</v>
      </c>
      <c r="CK104" s="1118">
        <f t="shared" si="283"/>
        <v>0</v>
      </c>
      <c r="CL104" s="1118">
        <f t="shared" si="284"/>
        <v>0</v>
      </c>
      <c r="CM104" s="1119"/>
      <c r="CP104" s="1117"/>
      <c r="CQ104" s="1117">
        <f t="shared" si="285"/>
        <v>0</v>
      </c>
      <c r="CR104" s="1118">
        <f t="shared" si="286"/>
        <v>0</v>
      </c>
      <c r="CS104" s="1118">
        <f t="shared" si="287"/>
        <v>0</v>
      </c>
      <c r="CT104" s="1118">
        <f t="shared" si="288"/>
        <v>0</v>
      </c>
      <c r="CU104" s="1119"/>
      <c r="CX104" s="1117"/>
      <c r="CY104" s="1117">
        <f t="shared" si="289"/>
        <v>0</v>
      </c>
      <c r="CZ104" s="1118">
        <f t="shared" si="290"/>
        <v>0</v>
      </c>
      <c r="DA104" s="1118">
        <f t="shared" si="291"/>
        <v>0</v>
      </c>
      <c r="DB104" s="1118">
        <f t="shared" si="292"/>
        <v>0</v>
      </c>
      <c r="DC104" s="1119"/>
      <c r="DF104" s="1117"/>
      <c r="DG104" s="1117">
        <f t="shared" si="293"/>
        <v>0</v>
      </c>
      <c r="DH104" s="1118">
        <f t="shared" si="294"/>
        <v>0</v>
      </c>
      <c r="DI104" s="1118">
        <f t="shared" si="295"/>
        <v>0</v>
      </c>
      <c r="DJ104" s="1118">
        <f t="shared" si="296"/>
        <v>0</v>
      </c>
      <c r="DK104" s="1119"/>
      <c r="DN104" s="1117"/>
      <c r="DO104" s="1117">
        <f t="shared" si="297"/>
        <v>0</v>
      </c>
      <c r="DP104" s="1118">
        <f t="shared" si="298"/>
        <v>0</v>
      </c>
      <c r="DQ104" s="1118">
        <f t="shared" si="299"/>
        <v>0</v>
      </c>
      <c r="DR104" s="1118">
        <f t="shared" si="300"/>
        <v>0</v>
      </c>
      <c r="DS104" s="1119"/>
      <c r="DV104" s="1117"/>
      <c r="DW104" s="1117">
        <f t="shared" si="301"/>
        <v>0</v>
      </c>
      <c r="DX104" s="1118">
        <f t="shared" si="302"/>
        <v>0</v>
      </c>
      <c r="DY104" s="1118">
        <f t="shared" si="303"/>
        <v>0</v>
      </c>
      <c r="DZ104" s="1118">
        <f t="shared" si="304"/>
        <v>0</v>
      </c>
      <c r="EA104" s="1119"/>
      <c r="ED104" s="1117"/>
      <c r="EE104" s="1117">
        <f t="shared" si="305"/>
        <v>0</v>
      </c>
      <c r="EF104" s="1118">
        <f t="shared" si="306"/>
        <v>0</v>
      </c>
      <c r="EG104" s="1118">
        <f t="shared" si="307"/>
        <v>0</v>
      </c>
      <c r="EH104" s="1118">
        <f t="shared" si="308"/>
        <v>0</v>
      </c>
      <c r="EI104" s="1119"/>
      <c r="EL104" s="1117"/>
      <c r="EM104" s="1117">
        <f t="shared" si="309"/>
        <v>0</v>
      </c>
      <c r="EN104" s="1118">
        <f t="shared" si="310"/>
        <v>0</v>
      </c>
      <c r="EO104" s="1118">
        <f t="shared" si="311"/>
        <v>0</v>
      </c>
      <c r="EP104" s="1118">
        <f t="shared" si="312"/>
        <v>0</v>
      </c>
      <c r="EQ104" s="1119"/>
      <c r="ET104" s="1117"/>
      <c r="EU104" s="1117">
        <f t="shared" si="313"/>
        <v>0</v>
      </c>
      <c r="EV104" s="1118">
        <f t="shared" si="314"/>
        <v>0</v>
      </c>
      <c r="EW104" s="1118">
        <f t="shared" si="315"/>
        <v>0</v>
      </c>
      <c r="EX104" s="1118">
        <f t="shared" si="316"/>
        <v>0</v>
      </c>
      <c r="EY104" s="1119"/>
      <c r="FB104" s="1117"/>
      <c r="FC104" s="1117">
        <f t="shared" si="317"/>
        <v>0</v>
      </c>
      <c r="FD104" s="1118">
        <f t="shared" si="318"/>
        <v>0</v>
      </c>
      <c r="FE104" s="1118">
        <f t="shared" si="319"/>
        <v>0</v>
      </c>
      <c r="FF104" s="1118">
        <f t="shared" si="320"/>
        <v>0</v>
      </c>
      <c r="FG104" s="1119"/>
      <c r="FJ104" s="1117"/>
      <c r="FK104" s="1117">
        <f t="shared" si="321"/>
        <v>0</v>
      </c>
      <c r="FL104" s="1118">
        <f t="shared" si="322"/>
        <v>0</v>
      </c>
      <c r="FM104" s="1118">
        <f t="shared" si="323"/>
        <v>0</v>
      </c>
      <c r="FN104" s="1118">
        <f t="shared" si="324"/>
        <v>0</v>
      </c>
      <c r="FO104" s="1119"/>
    </row>
    <row r="105" spans="1:171" x14ac:dyDescent="0.25">
      <c r="A105" s="1390">
        <v>92000</v>
      </c>
      <c r="B105" s="10" t="s">
        <v>79</v>
      </c>
      <c r="C105" s="889" t="s">
        <v>78</v>
      </c>
      <c r="D105" s="889">
        <v>154</v>
      </c>
      <c r="E105" s="182" t="str">
        <f>'Sch 1- Rate Base '!E105</f>
        <v>PTD</v>
      </c>
      <c r="F105" s="890"/>
      <c r="G105" s="182">
        <f>'Sch 1- Rate Base '!G105</f>
        <v>206715401.61593622</v>
      </c>
      <c r="H105" s="182">
        <f>'Sch 1- Rate Base '!H105</f>
        <v>90995322.654562652</v>
      </c>
      <c r="I105" s="182">
        <f>'Sch 1- Rate Base '!I105</f>
        <v>0</v>
      </c>
      <c r="J105" s="183">
        <f>'Sch 1- Rate Base '!J105</f>
        <v>115720078.96137355</v>
      </c>
      <c r="K105" s="904">
        <f t="shared" si="244"/>
        <v>1</v>
      </c>
      <c r="N105" s="1130">
        <f>VLOOKUP($A105,'New Resources - Individual'!$A$4:$Y$133,N$2,FALSE)*N$1</f>
        <v>0</v>
      </c>
      <c r="O105" s="1117">
        <f t="shared" si="245"/>
        <v>206715401.61593622</v>
      </c>
      <c r="P105" s="1118">
        <f t="shared" si="246"/>
        <v>90995322.654562652</v>
      </c>
      <c r="Q105" s="1118">
        <f t="shared" si="247"/>
        <v>53723746.569892272</v>
      </c>
      <c r="R105" s="1118">
        <f t="shared" si="248"/>
        <v>61996332.39148128</v>
      </c>
      <c r="S105" s="1119"/>
      <c r="V105" s="1130">
        <f>VLOOKUP($A105,'New Resources - Individual'!$A$4:$Y$133,V$2,FALSE)*V$1</f>
        <v>0</v>
      </c>
      <c r="W105" s="1117">
        <f t="shared" si="249"/>
        <v>206715401.61593622</v>
      </c>
      <c r="X105" s="1118">
        <f t="shared" si="250"/>
        <v>90995322.654562652</v>
      </c>
      <c r="Y105" s="1118">
        <f t="shared" si="251"/>
        <v>53723746.569892272</v>
      </c>
      <c r="Z105" s="1118">
        <f t="shared" si="252"/>
        <v>61996332.39148128</v>
      </c>
      <c r="AA105" s="1119"/>
      <c r="AD105" s="1130">
        <f>VLOOKUP($A105,'New Resources - Individual'!$A$4:$Y$133,AD$2,FALSE)*AD$1</f>
        <v>0</v>
      </c>
      <c r="AE105" s="1117">
        <f t="shared" si="253"/>
        <v>206715401.61593622</v>
      </c>
      <c r="AF105" s="1118">
        <f t="shared" si="254"/>
        <v>90995322.654562652</v>
      </c>
      <c r="AG105" s="1118">
        <f t="shared" si="255"/>
        <v>53723746.569892272</v>
      </c>
      <c r="AH105" s="1118">
        <f t="shared" si="256"/>
        <v>61996332.39148128</v>
      </c>
      <c r="AI105" s="1119"/>
      <c r="AL105" s="1130">
        <f>VLOOKUP($A105,'New Resources - Individual'!$A$4:$Y$133,AL$2,FALSE)*AL$1</f>
        <v>0</v>
      </c>
      <c r="AM105" s="1117">
        <f t="shared" si="257"/>
        <v>206715401.61593622</v>
      </c>
      <c r="AN105" s="1118">
        <f t="shared" si="258"/>
        <v>90995322.654562652</v>
      </c>
      <c r="AO105" s="1118">
        <f t="shared" si="259"/>
        <v>53723746.569892272</v>
      </c>
      <c r="AP105" s="1118">
        <f t="shared" si="260"/>
        <v>61996332.39148128</v>
      </c>
      <c r="AQ105" s="1119"/>
      <c r="AT105" s="1130">
        <f>VLOOKUP($A105,'New Resources - Individual'!$A$4:$Y$133,AT$2,FALSE)*AT$1</f>
        <v>0</v>
      </c>
      <c r="AU105" s="1117">
        <f t="shared" si="261"/>
        <v>206715401.61593622</v>
      </c>
      <c r="AV105" s="1118">
        <f t="shared" si="262"/>
        <v>90995322.654562652</v>
      </c>
      <c r="AW105" s="1118">
        <f t="shared" si="263"/>
        <v>53723746.569892272</v>
      </c>
      <c r="AX105" s="1118">
        <f t="shared" si="264"/>
        <v>61996332.39148128</v>
      </c>
      <c r="AY105" s="1119"/>
      <c r="BB105" s="1130">
        <f>VLOOKUP($A105,'New Resources - Individual'!$A$4:$Y$133,BB$2,FALSE)*BB$1</f>
        <v>0</v>
      </c>
      <c r="BC105" s="1117">
        <f t="shared" si="265"/>
        <v>206715401.61593622</v>
      </c>
      <c r="BD105" s="1118">
        <f t="shared" si="266"/>
        <v>90995322.654562652</v>
      </c>
      <c r="BE105" s="1118">
        <f t="shared" si="267"/>
        <v>53723746.569892272</v>
      </c>
      <c r="BF105" s="1118">
        <f t="shared" si="268"/>
        <v>61996332.39148128</v>
      </c>
      <c r="BG105" s="1119"/>
      <c r="BJ105" s="1130">
        <f>VLOOKUP($A105,'New Resources - Individual'!$A$4:$Y$133,BJ$2,FALSE)*BJ$1</f>
        <v>0</v>
      </c>
      <c r="BK105" s="1117">
        <f t="shared" si="269"/>
        <v>206715401.61593622</v>
      </c>
      <c r="BL105" s="1118">
        <f t="shared" si="270"/>
        <v>90995322.654562652</v>
      </c>
      <c r="BM105" s="1118">
        <f t="shared" si="271"/>
        <v>53723746.569892272</v>
      </c>
      <c r="BN105" s="1118">
        <f t="shared" si="272"/>
        <v>61996332.39148128</v>
      </c>
      <c r="BO105" s="1119"/>
      <c r="BR105" s="1130">
        <f>VLOOKUP($A105,'New Resources - Individual'!$A$4:$Y$133,BR$2,FALSE)*BR$1</f>
        <v>0</v>
      </c>
      <c r="BS105" s="1117">
        <f t="shared" si="273"/>
        <v>206715401.61593622</v>
      </c>
      <c r="BT105" s="1118">
        <f t="shared" si="274"/>
        <v>90995322.654562652</v>
      </c>
      <c r="BU105" s="1118">
        <f t="shared" si="275"/>
        <v>53723746.569892272</v>
      </c>
      <c r="BV105" s="1118">
        <f t="shared" si="276"/>
        <v>61996332.39148128</v>
      </c>
      <c r="BW105" s="1119"/>
      <c r="BZ105" s="1130">
        <f>VLOOKUP($A105,'New Resources - Individual'!$A$4:$Y$133,BZ$2,FALSE)*BZ$1</f>
        <v>0</v>
      </c>
      <c r="CA105" s="1117">
        <f t="shared" si="277"/>
        <v>206715401.61593622</v>
      </c>
      <c r="CB105" s="1118">
        <f t="shared" si="278"/>
        <v>90995322.654562652</v>
      </c>
      <c r="CC105" s="1118">
        <f t="shared" si="279"/>
        <v>53723746.569892272</v>
      </c>
      <c r="CD105" s="1118">
        <f t="shared" si="280"/>
        <v>61996332.39148128</v>
      </c>
      <c r="CE105" s="1119"/>
      <c r="CH105" s="1130">
        <f>VLOOKUP($A105,'New Resources - Individual'!$A$4:$Y$133,CH$2,FALSE)*CH$1</f>
        <v>0</v>
      </c>
      <c r="CI105" s="1117">
        <f t="shared" si="281"/>
        <v>206715401.61593622</v>
      </c>
      <c r="CJ105" s="1118">
        <f t="shared" si="282"/>
        <v>90995322.654562652</v>
      </c>
      <c r="CK105" s="1118">
        <f t="shared" si="283"/>
        <v>53723746.569892272</v>
      </c>
      <c r="CL105" s="1118">
        <f t="shared" si="284"/>
        <v>61996332.39148128</v>
      </c>
      <c r="CM105" s="1119"/>
      <c r="CP105" s="1130">
        <f>VLOOKUP($A105,'New Resources - Individual'!$A$4:$Y$133,CP$2,FALSE)*CP$1</f>
        <v>0</v>
      </c>
      <c r="CQ105" s="1117">
        <f t="shared" si="285"/>
        <v>206715401.61593622</v>
      </c>
      <c r="CR105" s="1118">
        <f t="shared" si="286"/>
        <v>90995322.654562652</v>
      </c>
      <c r="CS105" s="1118">
        <f t="shared" si="287"/>
        <v>53723746.569892272</v>
      </c>
      <c r="CT105" s="1118">
        <f t="shared" si="288"/>
        <v>61996332.39148128</v>
      </c>
      <c r="CU105" s="1119"/>
      <c r="CX105" s="1130">
        <f>VLOOKUP($A105,'New Resources - Individual'!$A$4:$Y$133,CX$2,FALSE)*CX$1</f>
        <v>0</v>
      </c>
      <c r="CY105" s="1117">
        <f t="shared" si="289"/>
        <v>206715401.61593622</v>
      </c>
      <c r="CZ105" s="1118">
        <f t="shared" si="290"/>
        <v>90995322.654562652</v>
      </c>
      <c r="DA105" s="1118">
        <f t="shared" si="291"/>
        <v>53723746.569892272</v>
      </c>
      <c r="DB105" s="1118">
        <f t="shared" si="292"/>
        <v>61996332.39148128</v>
      </c>
      <c r="DC105" s="1119"/>
      <c r="DF105" s="1130">
        <f>VLOOKUP($A105,'New Resources - Individual'!$A$4:$Y$133,DF$2,FALSE)*DF$1</f>
        <v>0</v>
      </c>
      <c r="DG105" s="1117">
        <f t="shared" si="293"/>
        <v>206715401.61593622</v>
      </c>
      <c r="DH105" s="1118">
        <f t="shared" si="294"/>
        <v>90995322.654562652</v>
      </c>
      <c r="DI105" s="1118">
        <f t="shared" si="295"/>
        <v>53723746.569892272</v>
      </c>
      <c r="DJ105" s="1118">
        <f t="shared" si="296"/>
        <v>61996332.39148128</v>
      </c>
      <c r="DK105" s="1119"/>
      <c r="DN105" s="1130">
        <f>VLOOKUP($A105,'New Resources - Individual'!$A$4:$Y$133,DN$2,FALSE)*DN$1</f>
        <v>0</v>
      </c>
      <c r="DO105" s="1117">
        <f t="shared" si="297"/>
        <v>206715401.61593622</v>
      </c>
      <c r="DP105" s="1118">
        <f t="shared" si="298"/>
        <v>90995322.654562652</v>
      </c>
      <c r="DQ105" s="1118">
        <f t="shared" si="299"/>
        <v>53723746.569892272</v>
      </c>
      <c r="DR105" s="1118">
        <f t="shared" si="300"/>
        <v>61996332.39148128</v>
      </c>
      <c r="DS105" s="1119"/>
      <c r="DV105" s="1130">
        <f>VLOOKUP($A105,'New Resources - Individual'!$A$4:$Y$133,DV$2,FALSE)*DV$1</f>
        <v>0</v>
      </c>
      <c r="DW105" s="1117">
        <f t="shared" si="301"/>
        <v>206715401.61593622</v>
      </c>
      <c r="DX105" s="1118">
        <f t="shared" si="302"/>
        <v>90995322.654562652</v>
      </c>
      <c r="DY105" s="1118">
        <f t="shared" si="303"/>
        <v>53723746.569892272</v>
      </c>
      <c r="DZ105" s="1118">
        <f t="shared" si="304"/>
        <v>61996332.39148128</v>
      </c>
      <c r="EA105" s="1119"/>
      <c r="ED105" s="1130">
        <f>VLOOKUP($A105,'New Resources - Individual'!$A$4:$Y$133,ED$2,FALSE)*ED$1</f>
        <v>0</v>
      </c>
      <c r="EE105" s="1117">
        <f t="shared" si="305"/>
        <v>206715401.61593622</v>
      </c>
      <c r="EF105" s="1118">
        <f t="shared" si="306"/>
        <v>90995322.654562652</v>
      </c>
      <c r="EG105" s="1118">
        <f t="shared" si="307"/>
        <v>53723746.569892272</v>
      </c>
      <c r="EH105" s="1118">
        <f t="shared" si="308"/>
        <v>61996332.39148128</v>
      </c>
      <c r="EI105" s="1119"/>
      <c r="EL105" s="1130">
        <f>VLOOKUP($A105,'New Resources - Individual'!$A$4:$Y$133,EL$2,FALSE)*EL$1</f>
        <v>0</v>
      </c>
      <c r="EM105" s="1117">
        <f t="shared" si="309"/>
        <v>206715401.61593622</v>
      </c>
      <c r="EN105" s="1118">
        <f t="shared" si="310"/>
        <v>90995322.654562652</v>
      </c>
      <c r="EO105" s="1118">
        <f t="shared" si="311"/>
        <v>53723746.569892272</v>
      </c>
      <c r="EP105" s="1118">
        <f t="shared" si="312"/>
        <v>61996332.39148128</v>
      </c>
      <c r="EQ105" s="1119"/>
      <c r="ET105" s="1130">
        <f>VLOOKUP($A105,'New Resources - Individual'!$A$4:$Y$133,ET$2,FALSE)*ET$1</f>
        <v>0</v>
      </c>
      <c r="EU105" s="1117">
        <f t="shared" si="313"/>
        <v>206715401.61593622</v>
      </c>
      <c r="EV105" s="1118">
        <f t="shared" si="314"/>
        <v>90995322.654562652</v>
      </c>
      <c r="EW105" s="1118">
        <f t="shared" si="315"/>
        <v>53723746.569892272</v>
      </c>
      <c r="EX105" s="1118">
        <f t="shared" si="316"/>
        <v>61996332.39148128</v>
      </c>
      <c r="EY105" s="1119"/>
      <c r="FB105" s="1130">
        <f>VLOOKUP($A105,'New Resources - Individual'!$A$4:$Y$133,FB$2,FALSE)*FB$1</f>
        <v>0</v>
      </c>
      <c r="FC105" s="1117">
        <f t="shared" si="317"/>
        <v>206715401.61593622</v>
      </c>
      <c r="FD105" s="1118">
        <f t="shared" si="318"/>
        <v>90995322.654562652</v>
      </c>
      <c r="FE105" s="1118">
        <f t="shared" si="319"/>
        <v>53723746.569892272</v>
      </c>
      <c r="FF105" s="1118">
        <f t="shared" si="320"/>
        <v>61996332.39148128</v>
      </c>
      <c r="FG105" s="1119"/>
      <c r="FJ105" s="1130">
        <f>VLOOKUP($A105,'New Resources - Individual'!$A$4:$Y$133,FJ$2,FALSE)*FJ$1</f>
        <v>0</v>
      </c>
      <c r="FK105" s="1117">
        <f t="shared" si="321"/>
        <v>206715401.61593622</v>
      </c>
      <c r="FL105" s="1118">
        <f t="shared" si="322"/>
        <v>90995322.654562652</v>
      </c>
      <c r="FM105" s="1118">
        <f t="shared" si="323"/>
        <v>53723746.569892272</v>
      </c>
      <c r="FN105" s="1118">
        <f t="shared" si="324"/>
        <v>61996332.39148128</v>
      </c>
      <c r="FO105" s="1119"/>
    </row>
    <row r="106" spans="1:171" x14ac:dyDescent="0.25">
      <c r="A106" s="1392"/>
      <c r="B106" s="10" t="s">
        <v>355</v>
      </c>
      <c r="C106" s="889" t="s">
        <v>255</v>
      </c>
      <c r="D106" s="889">
        <v>155</v>
      </c>
      <c r="E106" s="182" t="str">
        <f>'Sch 1- Rate Base '!E106</f>
        <v>DIST</v>
      </c>
      <c r="F106" s="890"/>
      <c r="G106" s="182">
        <f>'Sch 1- Rate Base '!G106</f>
        <v>0</v>
      </c>
      <c r="H106" s="182">
        <f>'Sch 1- Rate Base '!H106</f>
        <v>0</v>
      </c>
      <c r="I106" s="182">
        <f>'Sch 1- Rate Base '!I106</f>
        <v>0</v>
      </c>
      <c r="J106" s="183">
        <f>'Sch 1- Rate Base '!J106</f>
        <v>0</v>
      </c>
      <c r="K106" s="904">
        <f t="shared" si="244"/>
        <v>1</v>
      </c>
      <c r="N106" s="1117"/>
      <c r="O106" s="1117">
        <f t="shared" si="245"/>
        <v>0</v>
      </c>
      <c r="P106" s="1118">
        <f t="shared" si="246"/>
        <v>0</v>
      </c>
      <c r="Q106" s="1118">
        <f t="shared" si="247"/>
        <v>0</v>
      </c>
      <c r="R106" s="1118">
        <f t="shared" si="248"/>
        <v>0</v>
      </c>
      <c r="S106" s="1119"/>
      <c r="V106" s="1117"/>
      <c r="W106" s="1117">
        <f t="shared" si="249"/>
        <v>0</v>
      </c>
      <c r="X106" s="1118">
        <f t="shared" si="250"/>
        <v>0</v>
      </c>
      <c r="Y106" s="1118">
        <f t="shared" si="251"/>
        <v>0</v>
      </c>
      <c r="Z106" s="1118">
        <f t="shared" si="252"/>
        <v>0</v>
      </c>
      <c r="AA106" s="1119"/>
      <c r="AD106" s="1117"/>
      <c r="AE106" s="1117">
        <f t="shared" si="253"/>
        <v>0</v>
      </c>
      <c r="AF106" s="1118">
        <f t="shared" si="254"/>
        <v>0</v>
      </c>
      <c r="AG106" s="1118">
        <f t="shared" si="255"/>
        <v>0</v>
      </c>
      <c r="AH106" s="1118">
        <f t="shared" si="256"/>
        <v>0</v>
      </c>
      <c r="AI106" s="1119"/>
      <c r="AL106" s="1117"/>
      <c r="AM106" s="1117">
        <f t="shared" si="257"/>
        <v>0</v>
      </c>
      <c r="AN106" s="1118">
        <f t="shared" si="258"/>
        <v>0</v>
      </c>
      <c r="AO106" s="1118">
        <f t="shared" si="259"/>
        <v>0</v>
      </c>
      <c r="AP106" s="1118">
        <f t="shared" si="260"/>
        <v>0</v>
      </c>
      <c r="AQ106" s="1119"/>
      <c r="AT106" s="1117"/>
      <c r="AU106" s="1117">
        <f t="shared" si="261"/>
        <v>0</v>
      </c>
      <c r="AV106" s="1118">
        <f t="shared" si="262"/>
        <v>0</v>
      </c>
      <c r="AW106" s="1118">
        <f t="shared" si="263"/>
        <v>0</v>
      </c>
      <c r="AX106" s="1118">
        <f t="shared" si="264"/>
        <v>0</v>
      </c>
      <c r="AY106" s="1119"/>
      <c r="BB106" s="1117"/>
      <c r="BC106" s="1117">
        <f t="shared" si="265"/>
        <v>0</v>
      </c>
      <c r="BD106" s="1118">
        <f t="shared" si="266"/>
        <v>0</v>
      </c>
      <c r="BE106" s="1118">
        <f t="shared" si="267"/>
        <v>0</v>
      </c>
      <c r="BF106" s="1118">
        <f t="shared" si="268"/>
        <v>0</v>
      </c>
      <c r="BG106" s="1119"/>
      <c r="BJ106" s="1117"/>
      <c r="BK106" s="1117">
        <f t="shared" si="269"/>
        <v>0</v>
      </c>
      <c r="BL106" s="1118">
        <f t="shared" si="270"/>
        <v>0</v>
      </c>
      <c r="BM106" s="1118">
        <f t="shared" si="271"/>
        <v>0</v>
      </c>
      <c r="BN106" s="1118">
        <f t="shared" si="272"/>
        <v>0</v>
      </c>
      <c r="BO106" s="1119"/>
      <c r="BR106" s="1117"/>
      <c r="BS106" s="1117">
        <f t="shared" si="273"/>
        <v>0</v>
      </c>
      <c r="BT106" s="1118">
        <f t="shared" si="274"/>
        <v>0</v>
      </c>
      <c r="BU106" s="1118">
        <f t="shared" si="275"/>
        <v>0</v>
      </c>
      <c r="BV106" s="1118">
        <f t="shared" si="276"/>
        <v>0</v>
      </c>
      <c r="BW106" s="1119"/>
      <c r="BZ106" s="1117"/>
      <c r="CA106" s="1117">
        <f t="shared" si="277"/>
        <v>0</v>
      </c>
      <c r="CB106" s="1118">
        <f t="shared" si="278"/>
        <v>0</v>
      </c>
      <c r="CC106" s="1118">
        <f t="shared" si="279"/>
        <v>0</v>
      </c>
      <c r="CD106" s="1118">
        <f t="shared" si="280"/>
        <v>0</v>
      </c>
      <c r="CE106" s="1119"/>
      <c r="CH106" s="1117"/>
      <c r="CI106" s="1117">
        <f t="shared" si="281"/>
        <v>0</v>
      </c>
      <c r="CJ106" s="1118">
        <f t="shared" si="282"/>
        <v>0</v>
      </c>
      <c r="CK106" s="1118">
        <f t="shared" si="283"/>
        <v>0</v>
      </c>
      <c r="CL106" s="1118">
        <f t="shared" si="284"/>
        <v>0</v>
      </c>
      <c r="CM106" s="1119"/>
      <c r="CP106" s="1117"/>
      <c r="CQ106" s="1117">
        <f t="shared" si="285"/>
        <v>0</v>
      </c>
      <c r="CR106" s="1118">
        <f t="shared" si="286"/>
        <v>0</v>
      </c>
      <c r="CS106" s="1118">
        <f t="shared" si="287"/>
        <v>0</v>
      </c>
      <c r="CT106" s="1118">
        <f t="shared" si="288"/>
        <v>0</v>
      </c>
      <c r="CU106" s="1119"/>
      <c r="CX106" s="1117"/>
      <c r="CY106" s="1117">
        <f t="shared" si="289"/>
        <v>0</v>
      </c>
      <c r="CZ106" s="1118">
        <f t="shared" si="290"/>
        <v>0</v>
      </c>
      <c r="DA106" s="1118">
        <f t="shared" si="291"/>
        <v>0</v>
      </c>
      <c r="DB106" s="1118">
        <f t="shared" si="292"/>
        <v>0</v>
      </c>
      <c r="DC106" s="1119"/>
      <c r="DF106" s="1117"/>
      <c r="DG106" s="1117">
        <f t="shared" si="293"/>
        <v>0</v>
      </c>
      <c r="DH106" s="1118">
        <f t="shared" si="294"/>
        <v>0</v>
      </c>
      <c r="DI106" s="1118">
        <f t="shared" si="295"/>
        <v>0</v>
      </c>
      <c r="DJ106" s="1118">
        <f t="shared" si="296"/>
        <v>0</v>
      </c>
      <c r="DK106" s="1119"/>
      <c r="DN106" s="1117"/>
      <c r="DO106" s="1117">
        <f t="shared" si="297"/>
        <v>0</v>
      </c>
      <c r="DP106" s="1118">
        <f t="shared" si="298"/>
        <v>0</v>
      </c>
      <c r="DQ106" s="1118">
        <f t="shared" si="299"/>
        <v>0</v>
      </c>
      <c r="DR106" s="1118">
        <f t="shared" si="300"/>
        <v>0</v>
      </c>
      <c r="DS106" s="1119"/>
      <c r="DV106" s="1117"/>
      <c r="DW106" s="1117">
        <f t="shared" si="301"/>
        <v>0</v>
      </c>
      <c r="DX106" s="1118">
        <f t="shared" si="302"/>
        <v>0</v>
      </c>
      <c r="DY106" s="1118">
        <f t="shared" si="303"/>
        <v>0</v>
      </c>
      <c r="DZ106" s="1118">
        <f t="shared" si="304"/>
        <v>0</v>
      </c>
      <c r="EA106" s="1119"/>
      <c r="ED106" s="1117"/>
      <c r="EE106" s="1117">
        <f t="shared" si="305"/>
        <v>0</v>
      </c>
      <c r="EF106" s="1118">
        <f t="shared" si="306"/>
        <v>0</v>
      </c>
      <c r="EG106" s="1118">
        <f t="shared" si="307"/>
        <v>0</v>
      </c>
      <c r="EH106" s="1118">
        <f t="shared" si="308"/>
        <v>0</v>
      </c>
      <c r="EI106" s="1119"/>
      <c r="EL106" s="1117"/>
      <c r="EM106" s="1117">
        <f t="shared" si="309"/>
        <v>0</v>
      </c>
      <c r="EN106" s="1118">
        <f t="shared" si="310"/>
        <v>0</v>
      </c>
      <c r="EO106" s="1118">
        <f t="shared" si="311"/>
        <v>0</v>
      </c>
      <c r="EP106" s="1118">
        <f t="shared" si="312"/>
        <v>0</v>
      </c>
      <c r="EQ106" s="1119"/>
      <c r="ET106" s="1117"/>
      <c r="EU106" s="1117">
        <f t="shared" si="313"/>
        <v>0</v>
      </c>
      <c r="EV106" s="1118">
        <f t="shared" si="314"/>
        <v>0</v>
      </c>
      <c r="EW106" s="1118">
        <f t="shared" si="315"/>
        <v>0</v>
      </c>
      <c r="EX106" s="1118">
        <f t="shared" si="316"/>
        <v>0</v>
      </c>
      <c r="EY106" s="1119"/>
      <c r="FB106" s="1117"/>
      <c r="FC106" s="1117">
        <f t="shared" si="317"/>
        <v>0</v>
      </c>
      <c r="FD106" s="1118">
        <f t="shared" si="318"/>
        <v>0</v>
      </c>
      <c r="FE106" s="1118">
        <f t="shared" si="319"/>
        <v>0</v>
      </c>
      <c r="FF106" s="1118">
        <f t="shared" si="320"/>
        <v>0</v>
      </c>
      <c r="FG106" s="1119"/>
      <c r="FJ106" s="1117"/>
      <c r="FK106" s="1117">
        <f t="shared" si="321"/>
        <v>0</v>
      </c>
      <c r="FL106" s="1118">
        <f t="shared" si="322"/>
        <v>0</v>
      </c>
      <c r="FM106" s="1118">
        <f t="shared" si="323"/>
        <v>0</v>
      </c>
      <c r="FN106" s="1118">
        <f t="shared" si="324"/>
        <v>0</v>
      </c>
      <c r="FO106" s="1119"/>
    </row>
    <row r="107" spans="1:171" x14ac:dyDescent="0.25">
      <c r="A107" s="1392"/>
      <c r="B107" s="10" t="s">
        <v>356</v>
      </c>
      <c r="C107" s="889" t="s">
        <v>78</v>
      </c>
      <c r="D107" s="889">
        <v>156</v>
      </c>
      <c r="E107" s="182" t="str">
        <f>'Sch 1- Rate Base '!E107</f>
        <v>DIST</v>
      </c>
      <c r="F107" s="890"/>
      <c r="G107" s="182">
        <f>'Sch 1- Rate Base '!G107</f>
        <v>0</v>
      </c>
      <c r="H107" s="182">
        <f>'Sch 1- Rate Base '!H107</f>
        <v>0</v>
      </c>
      <c r="I107" s="182">
        <f>'Sch 1- Rate Base '!I107</f>
        <v>0</v>
      </c>
      <c r="J107" s="183">
        <f>'Sch 1- Rate Base '!J107</f>
        <v>0</v>
      </c>
      <c r="K107" s="904">
        <f t="shared" si="244"/>
        <v>1</v>
      </c>
      <c r="N107" s="1117"/>
      <c r="O107" s="1117">
        <f t="shared" si="245"/>
        <v>0</v>
      </c>
      <c r="P107" s="1118">
        <f t="shared" si="246"/>
        <v>0</v>
      </c>
      <c r="Q107" s="1118">
        <f t="shared" si="247"/>
        <v>0</v>
      </c>
      <c r="R107" s="1118">
        <f t="shared" si="248"/>
        <v>0</v>
      </c>
      <c r="S107" s="1119"/>
      <c r="V107" s="1117"/>
      <c r="W107" s="1117">
        <f t="shared" si="249"/>
        <v>0</v>
      </c>
      <c r="X107" s="1118">
        <f t="shared" si="250"/>
        <v>0</v>
      </c>
      <c r="Y107" s="1118">
        <f t="shared" si="251"/>
        <v>0</v>
      </c>
      <c r="Z107" s="1118">
        <f t="shared" si="252"/>
        <v>0</v>
      </c>
      <c r="AA107" s="1119"/>
      <c r="AD107" s="1117"/>
      <c r="AE107" s="1117">
        <f t="shared" si="253"/>
        <v>0</v>
      </c>
      <c r="AF107" s="1118">
        <f t="shared" si="254"/>
        <v>0</v>
      </c>
      <c r="AG107" s="1118">
        <f t="shared" si="255"/>
        <v>0</v>
      </c>
      <c r="AH107" s="1118">
        <f t="shared" si="256"/>
        <v>0</v>
      </c>
      <c r="AI107" s="1119"/>
      <c r="AL107" s="1117"/>
      <c r="AM107" s="1117">
        <f t="shared" si="257"/>
        <v>0</v>
      </c>
      <c r="AN107" s="1118">
        <f t="shared" si="258"/>
        <v>0</v>
      </c>
      <c r="AO107" s="1118">
        <f t="shared" si="259"/>
        <v>0</v>
      </c>
      <c r="AP107" s="1118">
        <f t="shared" si="260"/>
        <v>0</v>
      </c>
      <c r="AQ107" s="1119"/>
      <c r="AT107" s="1117"/>
      <c r="AU107" s="1117">
        <f t="shared" si="261"/>
        <v>0</v>
      </c>
      <c r="AV107" s="1118">
        <f t="shared" si="262"/>
        <v>0</v>
      </c>
      <c r="AW107" s="1118">
        <f t="shared" si="263"/>
        <v>0</v>
      </c>
      <c r="AX107" s="1118">
        <f t="shared" si="264"/>
        <v>0</v>
      </c>
      <c r="AY107" s="1119"/>
      <c r="BB107" s="1117"/>
      <c r="BC107" s="1117">
        <f t="shared" si="265"/>
        <v>0</v>
      </c>
      <c r="BD107" s="1118">
        <f t="shared" si="266"/>
        <v>0</v>
      </c>
      <c r="BE107" s="1118">
        <f t="shared" si="267"/>
        <v>0</v>
      </c>
      <c r="BF107" s="1118">
        <f t="shared" si="268"/>
        <v>0</v>
      </c>
      <c r="BG107" s="1119"/>
      <c r="BJ107" s="1117"/>
      <c r="BK107" s="1117">
        <f t="shared" si="269"/>
        <v>0</v>
      </c>
      <c r="BL107" s="1118">
        <f t="shared" si="270"/>
        <v>0</v>
      </c>
      <c r="BM107" s="1118">
        <f t="shared" si="271"/>
        <v>0</v>
      </c>
      <c r="BN107" s="1118">
        <f t="shared" si="272"/>
        <v>0</v>
      </c>
      <c r="BO107" s="1119"/>
      <c r="BR107" s="1117"/>
      <c r="BS107" s="1117">
        <f t="shared" si="273"/>
        <v>0</v>
      </c>
      <c r="BT107" s="1118">
        <f t="shared" si="274"/>
        <v>0</v>
      </c>
      <c r="BU107" s="1118">
        <f t="shared" si="275"/>
        <v>0</v>
      </c>
      <c r="BV107" s="1118">
        <f t="shared" si="276"/>
        <v>0</v>
      </c>
      <c r="BW107" s="1119"/>
      <c r="BZ107" s="1117"/>
      <c r="CA107" s="1117">
        <f t="shared" si="277"/>
        <v>0</v>
      </c>
      <c r="CB107" s="1118">
        <f t="shared" si="278"/>
        <v>0</v>
      </c>
      <c r="CC107" s="1118">
        <f t="shared" si="279"/>
        <v>0</v>
      </c>
      <c r="CD107" s="1118">
        <f t="shared" si="280"/>
        <v>0</v>
      </c>
      <c r="CE107" s="1119"/>
      <c r="CH107" s="1117"/>
      <c r="CI107" s="1117">
        <f t="shared" si="281"/>
        <v>0</v>
      </c>
      <c r="CJ107" s="1118">
        <f t="shared" si="282"/>
        <v>0</v>
      </c>
      <c r="CK107" s="1118">
        <f t="shared" si="283"/>
        <v>0</v>
      </c>
      <c r="CL107" s="1118">
        <f t="shared" si="284"/>
        <v>0</v>
      </c>
      <c r="CM107" s="1119"/>
      <c r="CP107" s="1117"/>
      <c r="CQ107" s="1117">
        <f t="shared" si="285"/>
        <v>0</v>
      </c>
      <c r="CR107" s="1118">
        <f t="shared" si="286"/>
        <v>0</v>
      </c>
      <c r="CS107" s="1118">
        <f t="shared" si="287"/>
        <v>0</v>
      </c>
      <c r="CT107" s="1118">
        <f t="shared" si="288"/>
        <v>0</v>
      </c>
      <c r="CU107" s="1119"/>
      <c r="CX107" s="1117"/>
      <c r="CY107" s="1117">
        <f t="shared" si="289"/>
        <v>0</v>
      </c>
      <c r="CZ107" s="1118">
        <f t="shared" si="290"/>
        <v>0</v>
      </c>
      <c r="DA107" s="1118">
        <f t="shared" si="291"/>
        <v>0</v>
      </c>
      <c r="DB107" s="1118">
        <f t="shared" si="292"/>
        <v>0</v>
      </c>
      <c r="DC107" s="1119"/>
      <c r="DF107" s="1117"/>
      <c r="DG107" s="1117">
        <f t="shared" si="293"/>
        <v>0</v>
      </c>
      <c r="DH107" s="1118">
        <f t="shared" si="294"/>
        <v>0</v>
      </c>
      <c r="DI107" s="1118">
        <f t="shared" si="295"/>
        <v>0</v>
      </c>
      <c r="DJ107" s="1118">
        <f t="shared" si="296"/>
        <v>0</v>
      </c>
      <c r="DK107" s="1119"/>
      <c r="DN107" s="1117"/>
      <c r="DO107" s="1117">
        <f t="shared" si="297"/>
        <v>0</v>
      </c>
      <c r="DP107" s="1118">
        <f t="shared" si="298"/>
        <v>0</v>
      </c>
      <c r="DQ107" s="1118">
        <f t="shared" si="299"/>
        <v>0</v>
      </c>
      <c r="DR107" s="1118">
        <f t="shared" si="300"/>
        <v>0</v>
      </c>
      <c r="DS107" s="1119"/>
      <c r="DV107" s="1117"/>
      <c r="DW107" s="1117">
        <f t="shared" si="301"/>
        <v>0</v>
      </c>
      <c r="DX107" s="1118">
        <f t="shared" si="302"/>
        <v>0</v>
      </c>
      <c r="DY107" s="1118">
        <f t="shared" si="303"/>
        <v>0</v>
      </c>
      <c r="DZ107" s="1118">
        <f t="shared" si="304"/>
        <v>0</v>
      </c>
      <c r="EA107" s="1119"/>
      <c r="ED107" s="1117"/>
      <c r="EE107" s="1117">
        <f t="shared" si="305"/>
        <v>0</v>
      </c>
      <c r="EF107" s="1118">
        <f t="shared" si="306"/>
        <v>0</v>
      </c>
      <c r="EG107" s="1118">
        <f t="shared" si="307"/>
        <v>0</v>
      </c>
      <c r="EH107" s="1118">
        <f t="shared" si="308"/>
        <v>0</v>
      </c>
      <c r="EI107" s="1119"/>
      <c r="EL107" s="1117"/>
      <c r="EM107" s="1117">
        <f t="shared" si="309"/>
        <v>0</v>
      </c>
      <c r="EN107" s="1118">
        <f t="shared" si="310"/>
        <v>0</v>
      </c>
      <c r="EO107" s="1118">
        <f t="shared" si="311"/>
        <v>0</v>
      </c>
      <c r="EP107" s="1118">
        <f t="shared" si="312"/>
        <v>0</v>
      </c>
      <c r="EQ107" s="1119"/>
      <c r="ET107" s="1117"/>
      <c r="EU107" s="1117">
        <f t="shared" si="313"/>
        <v>0</v>
      </c>
      <c r="EV107" s="1118">
        <f t="shared" si="314"/>
        <v>0</v>
      </c>
      <c r="EW107" s="1118">
        <f t="shared" si="315"/>
        <v>0</v>
      </c>
      <c r="EX107" s="1118">
        <f t="shared" si="316"/>
        <v>0</v>
      </c>
      <c r="EY107" s="1119"/>
      <c r="FB107" s="1117"/>
      <c r="FC107" s="1117">
        <f t="shared" si="317"/>
        <v>0</v>
      </c>
      <c r="FD107" s="1118">
        <f t="shared" si="318"/>
        <v>0</v>
      </c>
      <c r="FE107" s="1118">
        <f t="shared" si="319"/>
        <v>0</v>
      </c>
      <c r="FF107" s="1118">
        <f t="shared" si="320"/>
        <v>0</v>
      </c>
      <c r="FG107" s="1119"/>
      <c r="FJ107" s="1117"/>
      <c r="FK107" s="1117">
        <f t="shared" si="321"/>
        <v>0</v>
      </c>
      <c r="FL107" s="1118">
        <f t="shared" si="322"/>
        <v>0</v>
      </c>
      <c r="FM107" s="1118">
        <f t="shared" si="323"/>
        <v>0</v>
      </c>
      <c r="FN107" s="1118">
        <f t="shared" si="324"/>
        <v>0</v>
      </c>
      <c r="FO107" s="1119"/>
    </row>
    <row r="108" spans="1:171" x14ac:dyDescent="0.25">
      <c r="A108" s="1390">
        <v>93000</v>
      </c>
      <c r="B108" s="10" t="s">
        <v>357</v>
      </c>
      <c r="C108" s="889" t="s">
        <v>255</v>
      </c>
      <c r="D108" s="889">
        <v>158.1</v>
      </c>
      <c r="E108" s="182" t="str">
        <f>'Sch 1- Rate Base '!E108</f>
        <v>PROD</v>
      </c>
      <c r="F108" s="890"/>
      <c r="G108" s="182">
        <f>'Sch 1- Rate Base '!G108</f>
        <v>1242891.2703915152</v>
      </c>
      <c r="H108" s="182">
        <f>'Sch 1- Rate Base '!H108</f>
        <v>1242891.2703915152</v>
      </c>
      <c r="I108" s="182">
        <f>'Sch 1- Rate Base '!I108</f>
        <v>0</v>
      </c>
      <c r="J108" s="183">
        <f>'Sch 1- Rate Base '!J108</f>
        <v>0</v>
      </c>
      <c r="K108" s="904">
        <f t="shared" si="244"/>
        <v>1</v>
      </c>
      <c r="N108" s="1130">
        <f>VLOOKUP($A108,'New Resources - Individual'!$A$4:$Y$133,N$2,FALSE)*N$1</f>
        <v>0</v>
      </c>
      <c r="O108" s="1117">
        <f t="shared" si="245"/>
        <v>1242891.2703915152</v>
      </c>
      <c r="P108" s="1118">
        <f t="shared" si="246"/>
        <v>1242891.2703915152</v>
      </c>
      <c r="Q108" s="1118">
        <f t="shared" si="247"/>
        <v>0</v>
      </c>
      <c r="R108" s="1118">
        <f t="shared" si="248"/>
        <v>0</v>
      </c>
      <c r="S108" s="1119"/>
      <c r="V108" s="1130">
        <f>VLOOKUP($A108,'New Resources - Individual'!$A$4:$Y$133,V$2,FALSE)*V$1</f>
        <v>0</v>
      </c>
      <c r="W108" s="1117">
        <f t="shared" si="249"/>
        <v>1242891.2703915152</v>
      </c>
      <c r="X108" s="1118">
        <f t="shared" si="250"/>
        <v>1242891.2703915152</v>
      </c>
      <c r="Y108" s="1118">
        <f t="shared" si="251"/>
        <v>0</v>
      </c>
      <c r="Z108" s="1118">
        <f t="shared" si="252"/>
        <v>0</v>
      </c>
      <c r="AA108" s="1119"/>
      <c r="AD108" s="1130">
        <f>VLOOKUP($A108,'New Resources - Individual'!$A$4:$Y$133,AD$2,FALSE)*AD$1</f>
        <v>0</v>
      </c>
      <c r="AE108" s="1117">
        <f t="shared" si="253"/>
        <v>1242891.2703915152</v>
      </c>
      <c r="AF108" s="1118">
        <f t="shared" si="254"/>
        <v>1242891.2703915152</v>
      </c>
      <c r="AG108" s="1118">
        <f t="shared" si="255"/>
        <v>0</v>
      </c>
      <c r="AH108" s="1118">
        <f t="shared" si="256"/>
        <v>0</v>
      </c>
      <c r="AI108" s="1119"/>
      <c r="AL108" s="1130">
        <f>VLOOKUP($A108,'New Resources - Individual'!$A$4:$Y$133,AL$2,FALSE)*AL$1</f>
        <v>0</v>
      </c>
      <c r="AM108" s="1117">
        <f t="shared" si="257"/>
        <v>1242891.2703915152</v>
      </c>
      <c r="AN108" s="1118">
        <f t="shared" si="258"/>
        <v>1242891.2703915152</v>
      </c>
      <c r="AO108" s="1118">
        <f t="shared" si="259"/>
        <v>0</v>
      </c>
      <c r="AP108" s="1118">
        <f t="shared" si="260"/>
        <v>0</v>
      </c>
      <c r="AQ108" s="1119"/>
      <c r="AT108" s="1130">
        <f>VLOOKUP($A108,'New Resources - Individual'!$A$4:$Y$133,AT$2,FALSE)*AT$1</f>
        <v>0</v>
      </c>
      <c r="AU108" s="1117">
        <f t="shared" si="261"/>
        <v>1242891.2703915152</v>
      </c>
      <c r="AV108" s="1118">
        <f t="shared" si="262"/>
        <v>1242891.2703915152</v>
      </c>
      <c r="AW108" s="1118">
        <f t="shared" si="263"/>
        <v>0</v>
      </c>
      <c r="AX108" s="1118">
        <f t="shared" si="264"/>
        <v>0</v>
      </c>
      <c r="AY108" s="1119"/>
      <c r="BB108" s="1130">
        <f>VLOOKUP($A108,'New Resources - Individual'!$A$4:$Y$133,BB$2,FALSE)*BB$1</f>
        <v>0</v>
      </c>
      <c r="BC108" s="1117">
        <f t="shared" si="265"/>
        <v>1242891.2703915152</v>
      </c>
      <c r="BD108" s="1118">
        <f t="shared" si="266"/>
        <v>1242891.2703915152</v>
      </c>
      <c r="BE108" s="1118">
        <f t="shared" si="267"/>
        <v>0</v>
      </c>
      <c r="BF108" s="1118">
        <f t="shared" si="268"/>
        <v>0</v>
      </c>
      <c r="BG108" s="1119"/>
      <c r="BJ108" s="1130">
        <f>VLOOKUP($A108,'New Resources - Individual'!$A$4:$Y$133,BJ$2,FALSE)*BJ$1</f>
        <v>0</v>
      </c>
      <c r="BK108" s="1117">
        <f t="shared" si="269"/>
        <v>1242891.2703915152</v>
      </c>
      <c r="BL108" s="1118">
        <f t="shared" si="270"/>
        <v>1242891.2703915152</v>
      </c>
      <c r="BM108" s="1118">
        <f t="shared" si="271"/>
        <v>0</v>
      </c>
      <c r="BN108" s="1118">
        <f t="shared" si="272"/>
        <v>0</v>
      </c>
      <c r="BO108" s="1119"/>
      <c r="BR108" s="1130">
        <f>VLOOKUP($A108,'New Resources - Individual'!$A$4:$Y$133,BR$2,FALSE)*BR$1</f>
        <v>0</v>
      </c>
      <c r="BS108" s="1117">
        <f t="shared" si="273"/>
        <v>1242891.2703915152</v>
      </c>
      <c r="BT108" s="1118">
        <f t="shared" si="274"/>
        <v>1242891.2703915152</v>
      </c>
      <c r="BU108" s="1118">
        <f t="shared" si="275"/>
        <v>0</v>
      </c>
      <c r="BV108" s="1118">
        <f t="shared" si="276"/>
        <v>0</v>
      </c>
      <c r="BW108" s="1119"/>
      <c r="BZ108" s="1130">
        <f>VLOOKUP($A108,'New Resources - Individual'!$A$4:$Y$133,BZ$2,FALSE)*BZ$1</f>
        <v>0</v>
      </c>
      <c r="CA108" s="1117">
        <f t="shared" si="277"/>
        <v>1242891.2703915152</v>
      </c>
      <c r="CB108" s="1118">
        <f t="shared" si="278"/>
        <v>1242891.2703915152</v>
      </c>
      <c r="CC108" s="1118">
        <f t="shared" si="279"/>
        <v>0</v>
      </c>
      <c r="CD108" s="1118">
        <f t="shared" si="280"/>
        <v>0</v>
      </c>
      <c r="CE108" s="1119"/>
      <c r="CH108" s="1130">
        <f>VLOOKUP($A108,'New Resources - Individual'!$A$4:$Y$133,CH$2,FALSE)*CH$1</f>
        <v>0</v>
      </c>
      <c r="CI108" s="1117">
        <f t="shared" si="281"/>
        <v>1242891.2703915152</v>
      </c>
      <c r="CJ108" s="1118">
        <f t="shared" si="282"/>
        <v>1242891.2703915152</v>
      </c>
      <c r="CK108" s="1118">
        <f t="shared" si="283"/>
        <v>0</v>
      </c>
      <c r="CL108" s="1118">
        <f t="shared" si="284"/>
        <v>0</v>
      </c>
      <c r="CM108" s="1119"/>
      <c r="CP108" s="1130">
        <f>VLOOKUP($A108,'New Resources - Individual'!$A$4:$Y$133,CP$2,FALSE)*CP$1</f>
        <v>0</v>
      </c>
      <c r="CQ108" s="1117">
        <f t="shared" si="285"/>
        <v>1242891.2703915152</v>
      </c>
      <c r="CR108" s="1118">
        <f t="shared" si="286"/>
        <v>1242891.2703915152</v>
      </c>
      <c r="CS108" s="1118">
        <f t="shared" si="287"/>
        <v>0</v>
      </c>
      <c r="CT108" s="1118">
        <f t="shared" si="288"/>
        <v>0</v>
      </c>
      <c r="CU108" s="1119"/>
      <c r="CX108" s="1130">
        <f>VLOOKUP($A108,'New Resources - Individual'!$A$4:$Y$133,CX$2,FALSE)*CX$1</f>
        <v>0</v>
      </c>
      <c r="CY108" s="1117">
        <f t="shared" si="289"/>
        <v>1242891.2703915152</v>
      </c>
      <c r="CZ108" s="1118">
        <f t="shared" si="290"/>
        <v>1242891.2703915152</v>
      </c>
      <c r="DA108" s="1118">
        <f t="shared" si="291"/>
        <v>0</v>
      </c>
      <c r="DB108" s="1118">
        <f t="shared" si="292"/>
        <v>0</v>
      </c>
      <c r="DC108" s="1119"/>
      <c r="DF108" s="1130">
        <f>VLOOKUP($A108,'New Resources - Individual'!$A$4:$Y$133,DF$2,FALSE)*DF$1</f>
        <v>0</v>
      </c>
      <c r="DG108" s="1117">
        <f t="shared" si="293"/>
        <v>1242891.2703915152</v>
      </c>
      <c r="DH108" s="1118">
        <f t="shared" si="294"/>
        <v>1242891.2703915152</v>
      </c>
      <c r="DI108" s="1118">
        <f t="shared" si="295"/>
        <v>0</v>
      </c>
      <c r="DJ108" s="1118">
        <f t="shared" si="296"/>
        <v>0</v>
      </c>
      <c r="DK108" s="1119"/>
      <c r="DN108" s="1130">
        <f>VLOOKUP($A108,'New Resources - Individual'!$A$4:$Y$133,DN$2,FALSE)*DN$1</f>
        <v>0</v>
      </c>
      <c r="DO108" s="1117">
        <f t="shared" si="297"/>
        <v>1242891.2703915152</v>
      </c>
      <c r="DP108" s="1118">
        <f t="shared" si="298"/>
        <v>1242891.2703915152</v>
      </c>
      <c r="DQ108" s="1118">
        <f t="shared" si="299"/>
        <v>0</v>
      </c>
      <c r="DR108" s="1118">
        <f t="shared" si="300"/>
        <v>0</v>
      </c>
      <c r="DS108" s="1119"/>
      <c r="DV108" s="1130">
        <f>VLOOKUP($A108,'New Resources - Individual'!$A$4:$Y$133,DV$2,FALSE)*DV$1</f>
        <v>0</v>
      </c>
      <c r="DW108" s="1117">
        <f t="shared" si="301"/>
        <v>1242891.2703915152</v>
      </c>
      <c r="DX108" s="1118">
        <f t="shared" si="302"/>
        <v>1242891.2703915152</v>
      </c>
      <c r="DY108" s="1118">
        <f t="shared" si="303"/>
        <v>0</v>
      </c>
      <c r="DZ108" s="1118">
        <f t="shared" si="304"/>
        <v>0</v>
      </c>
      <c r="EA108" s="1119"/>
      <c r="ED108" s="1130">
        <f>VLOOKUP($A108,'New Resources - Individual'!$A$4:$Y$133,ED$2,FALSE)*ED$1</f>
        <v>0</v>
      </c>
      <c r="EE108" s="1117">
        <f t="shared" si="305"/>
        <v>1242891.2703915152</v>
      </c>
      <c r="EF108" s="1118">
        <f t="shared" si="306"/>
        <v>1242891.2703915152</v>
      </c>
      <c r="EG108" s="1118">
        <f t="shared" si="307"/>
        <v>0</v>
      </c>
      <c r="EH108" s="1118">
        <f t="shared" si="308"/>
        <v>0</v>
      </c>
      <c r="EI108" s="1119"/>
      <c r="EL108" s="1130">
        <f>VLOOKUP($A108,'New Resources - Individual'!$A$4:$Y$133,EL$2,FALSE)*EL$1</f>
        <v>0</v>
      </c>
      <c r="EM108" s="1117">
        <f t="shared" si="309"/>
        <v>1242891.2703915152</v>
      </c>
      <c r="EN108" s="1118">
        <f t="shared" si="310"/>
        <v>1242891.2703915152</v>
      </c>
      <c r="EO108" s="1118">
        <f t="shared" si="311"/>
        <v>0</v>
      </c>
      <c r="EP108" s="1118">
        <f t="shared" si="312"/>
        <v>0</v>
      </c>
      <c r="EQ108" s="1119"/>
      <c r="ET108" s="1130">
        <f>VLOOKUP($A108,'New Resources - Individual'!$A$4:$Y$133,ET$2,FALSE)*ET$1</f>
        <v>0</v>
      </c>
      <c r="EU108" s="1117">
        <f t="shared" si="313"/>
        <v>1242891.2703915152</v>
      </c>
      <c r="EV108" s="1118">
        <f t="shared" si="314"/>
        <v>1242891.2703915152</v>
      </c>
      <c r="EW108" s="1118">
        <f t="shared" si="315"/>
        <v>0</v>
      </c>
      <c r="EX108" s="1118">
        <f t="shared" si="316"/>
        <v>0</v>
      </c>
      <c r="EY108" s="1119"/>
      <c r="FB108" s="1130">
        <f>VLOOKUP($A108,'New Resources - Individual'!$A$4:$Y$133,FB$2,FALSE)*FB$1</f>
        <v>0</v>
      </c>
      <c r="FC108" s="1117">
        <f t="shared" si="317"/>
        <v>1242891.2703915152</v>
      </c>
      <c r="FD108" s="1118">
        <f t="shared" si="318"/>
        <v>1242891.2703915152</v>
      </c>
      <c r="FE108" s="1118">
        <f t="shared" si="319"/>
        <v>0</v>
      </c>
      <c r="FF108" s="1118">
        <f t="shared" si="320"/>
        <v>0</v>
      </c>
      <c r="FG108" s="1119"/>
      <c r="FJ108" s="1130">
        <f>VLOOKUP($A108,'New Resources - Individual'!$A$4:$Y$133,FJ$2,FALSE)*FJ$1</f>
        <v>0</v>
      </c>
      <c r="FK108" s="1117">
        <f t="shared" si="321"/>
        <v>1242891.2703915152</v>
      </c>
      <c r="FL108" s="1118">
        <f t="shared" si="322"/>
        <v>1242891.2703915152</v>
      </c>
      <c r="FM108" s="1118">
        <f t="shared" si="323"/>
        <v>0</v>
      </c>
      <c r="FN108" s="1118">
        <f t="shared" si="324"/>
        <v>0</v>
      </c>
      <c r="FO108" s="1119"/>
    </row>
    <row r="109" spans="1:171" x14ac:dyDescent="0.25">
      <c r="A109" s="913"/>
      <c r="B109" s="10" t="s">
        <v>178</v>
      </c>
      <c r="C109" s="889" t="s">
        <v>255</v>
      </c>
      <c r="D109" s="889">
        <v>158.19999999999999</v>
      </c>
      <c r="E109" s="182" t="str">
        <f>'Sch 1- Rate Base '!E109</f>
        <v>PROD</v>
      </c>
      <c r="F109" s="890"/>
      <c r="G109" s="182">
        <f>'Sch 1- Rate Base '!G109</f>
        <v>0</v>
      </c>
      <c r="H109" s="182">
        <f>'Sch 1- Rate Base '!H109</f>
        <v>0</v>
      </c>
      <c r="I109" s="182">
        <f>'Sch 1- Rate Base '!I109</f>
        <v>0</v>
      </c>
      <c r="J109" s="183">
        <f>'Sch 1- Rate Base '!J109</f>
        <v>0</v>
      </c>
      <c r="K109" s="904">
        <f t="shared" si="244"/>
        <v>1</v>
      </c>
      <c r="O109" s="1117">
        <f t="shared" ref="O109:O115" si="325">$G109</f>
        <v>0</v>
      </c>
      <c r="P109" s="1118">
        <f t="shared" si="246"/>
        <v>0</v>
      </c>
      <c r="Q109" s="1118">
        <f t="shared" si="247"/>
        <v>0</v>
      </c>
      <c r="R109" s="1118">
        <f t="shared" si="248"/>
        <v>0</v>
      </c>
      <c r="S109" s="1119"/>
      <c r="W109" s="1117">
        <f t="shared" ref="W109:W115" si="326">$G109</f>
        <v>0</v>
      </c>
      <c r="X109" s="1118">
        <f t="shared" si="250"/>
        <v>0</v>
      </c>
      <c r="Y109" s="1118">
        <f t="shared" si="251"/>
        <v>0</v>
      </c>
      <c r="Z109" s="1118">
        <f t="shared" si="252"/>
        <v>0</v>
      </c>
      <c r="AA109" s="1119"/>
      <c r="AE109" s="1117">
        <f t="shared" ref="AE109:AE115" si="327">$G109</f>
        <v>0</v>
      </c>
      <c r="AF109" s="1118">
        <f t="shared" si="254"/>
        <v>0</v>
      </c>
      <c r="AG109" s="1118">
        <f t="shared" si="255"/>
        <v>0</v>
      </c>
      <c r="AH109" s="1118">
        <f t="shared" si="256"/>
        <v>0</v>
      </c>
      <c r="AI109" s="1119"/>
      <c r="AM109" s="1117">
        <f t="shared" ref="AM109:AM115" si="328">$G109</f>
        <v>0</v>
      </c>
      <c r="AN109" s="1118">
        <f t="shared" si="258"/>
        <v>0</v>
      </c>
      <c r="AO109" s="1118">
        <f t="shared" si="259"/>
        <v>0</v>
      </c>
      <c r="AP109" s="1118">
        <f t="shared" si="260"/>
        <v>0</v>
      </c>
      <c r="AQ109" s="1119"/>
      <c r="AU109" s="1117">
        <f t="shared" ref="AU109:AU115" si="329">$G109</f>
        <v>0</v>
      </c>
      <c r="AV109" s="1118">
        <f t="shared" si="262"/>
        <v>0</v>
      </c>
      <c r="AW109" s="1118">
        <f t="shared" si="263"/>
        <v>0</v>
      </c>
      <c r="AX109" s="1118">
        <f t="shared" si="264"/>
        <v>0</v>
      </c>
      <c r="AY109" s="1119"/>
      <c r="BC109" s="1117">
        <f t="shared" ref="BC109:BC115" si="330">$G109</f>
        <v>0</v>
      </c>
      <c r="BD109" s="1118">
        <f t="shared" si="266"/>
        <v>0</v>
      </c>
      <c r="BE109" s="1118">
        <f t="shared" si="267"/>
        <v>0</v>
      </c>
      <c r="BF109" s="1118">
        <f t="shared" si="268"/>
        <v>0</v>
      </c>
      <c r="BG109" s="1119"/>
      <c r="BK109" s="1117">
        <f t="shared" ref="BK109:BK115" si="331">$G109</f>
        <v>0</v>
      </c>
      <c r="BL109" s="1118">
        <f t="shared" si="270"/>
        <v>0</v>
      </c>
      <c r="BM109" s="1118">
        <f t="shared" si="271"/>
        <v>0</v>
      </c>
      <c r="BN109" s="1118">
        <f t="shared" si="272"/>
        <v>0</v>
      </c>
      <c r="BO109" s="1119"/>
      <c r="BS109" s="1117">
        <f t="shared" ref="BS109:BS115" si="332">$G109</f>
        <v>0</v>
      </c>
      <c r="BT109" s="1118">
        <f t="shared" si="274"/>
        <v>0</v>
      </c>
      <c r="BU109" s="1118">
        <f t="shared" si="275"/>
        <v>0</v>
      </c>
      <c r="BV109" s="1118">
        <f t="shared" si="276"/>
        <v>0</v>
      </c>
      <c r="BW109" s="1119"/>
      <c r="CA109" s="1117">
        <f t="shared" ref="CA109:CA115" si="333">$G109</f>
        <v>0</v>
      </c>
      <c r="CB109" s="1118">
        <f t="shared" si="278"/>
        <v>0</v>
      </c>
      <c r="CC109" s="1118">
        <f t="shared" si="279"/>
        <v>0</v>
      </c>
      <c r="CD109" s="1118">
        <f t="shared" si="280"/>
        <v>0</v>
      </c>
      <c r="CE109" s="1119"/>
      <c r="CI109" s="1117">
        <f t="shared" ref="CI109:CI115" si="334">$G109</f>
        <v>0</v>
      </c>
      <c r="CJ109" s="1118">
        <f t="shared" si="282"/>
        <v>0</v>
      </c>
      <c r="CK109" s="1118">
        <f t="shared" si="283"/>
        <v>0</v>
      </c>
      <c r="CL109" s="1118">
        <f t="shared" si="284"/>
        <v>0</v>
      </c>
      <c r="CM109" s="1119"/>
      <c r="CQ109" s="1117">
        <f t="shared" ref="CQ109:CQ115" si="335">$G109</f>
        <v>0</v>
      </c>
      <c r="CR109" s="1118">
        <f t="shared" si="286"/>
        <v>0</v>
      </c>
      <c r="CS109" s="1118">
        <f t="shared" si="287"/>
        <v>0</v>
      </c>
      <c r="CT109" s="1118">
        <f t="shared" si="288"/>
        <v>0</v>
      </c>
      <c r="CU109" s="1119"/>
      <c r="CY109" s="1117">
        <f t="shared" ref="CY109:CY115" si="336">$G109</f>
        <v>0</v>
      </c>
      <c r="CZ109" s="1118">
        <f t="shared" si="290"/>
        <v>0</v>
      </c>
      <c r="DA109" s="1118">
        <f t="shared" si="291"/>
        <v>0</v>
      </c>
      <c r="DB109" s="1118">
        <f t="shared" si="292"/>
        <v>0</v>
      </c>
      <c r="DC109" s="1119"/>
      <c r="DG109" s="1117">
        <f t="shared" ref="DG109:DG115" si="337">$G109</f>
        <v>0</v>
      </c>
      <c r="DH109" s="1118">
        <f t="shared" si="294"/>
        <v>0</v>
      </c>
      <c r="DI109" s="1118">
        <f t="shared" si="295"/>
        <v>0</v>
      </c>
      <c r="DJ109" s="1118">
        <f t="shared" si="296"/>
        <v>0</v>
      </c>
      <c r="DK109" s="1119"/>
      <c r="DO109" s="1117">
        <f t="shared" ref="DO109:DO115" si="338">$G109</f>
        <v>0</v>
      </c>
      <c r="DP109" s="1118">
        <f t="shared" si="298"/>
        <v>0</v>
      </c>
      <c r="DQ109" s="1118">
        <f t="shared" si="299"/>
        <v>0</v>
      </c>
      <c r="DR109" s="1118">
        <f t="shared" si="300"/>
        <v>0</v>
      </c>
      <c r="DS109" s="1119"/>
      <c r="DW109" s="1117">
        <f t="shared" ref="DW109:DW115" si="339">$G109</f>
        <v>0</v>
      </c>
      <c r="DX109" s="1118">
        <f t="shared" si="302"/>
        <v>0</v>
      </c>
      <c r="DY109" s="1118">
        <f t="shared" si="303"/>
        <v>0</v>
      </c>
      <c r="DZ109" s="1118">
        <f t="shared" si="304"/>
        <v>0</v>
      </c>
      <c r="EA109" s="1119"/>
      <c r="EE109" s="1117">
        <f t="shared" ref="EE109:EE115" si="340">$G109</f>
        <v>0</v>
      </c>
      <c r="EF109" s="1118">
        <f t="shared" si="306"/>
        <v>0</v>
      </c>
      <c r="EG109" s="1118">
        <f t="shared" si="307"/>
        <v>0</v>
      </c>
      <c r="EH109" s="1118">
        <f t="shared" si="308"/>
        <v>0</v>
      </c>
      <c r="EI109" s="1119"/>
      <c r="EM109" s="1117">
        <f t="shared" ref="EM109:EM115" si="341">$G109</f>
        <v>0</v>
      </c>
      <c r="EN109" s="1118">
        <f t="shared" si="310"/>
        <v>0</v>
      </c>
      <c r="EO109" s="1118">
        <f t="shared" si="311"/>
        <v>0</v>
      </c>
      <c r="EP109" s="1118">
        <f t="shared" si="312"/>
        <v>0</v>
      </c>
      <c r="EQ109" s="1119"/>
      <c r="EU109" s="1117">
        <f t="shared" ref="EU109:EU115" si="342">$G109</f>
        <v>0</v>
      </c>
      <c r="EV109" s="1118">
        <f t="shared" si="314"/>
        <v>0</v>
      </c>
      <c r="EW109" s="1118">
        <f t="shared" si="315"/>
        <v>0</v>
      </c>
      <c r="EX109" s="1118">
        <f t="shared" si="316"/>
        <v>0</v>
      </c>
      <c r="EY109" s="1119"/>
      <c r="FC109" s="1117">
        <f t="shared" ref="FC109:FC115" si="343">$G109</f>
        <v>0</v>
      </c>
      <c r="FD109" s="1118">
        <f t="shared" si="318"/>
        <v>0</v>
      </c>
      <c r="FE109" s="1118">
        <f t="shared" si="319"/>
        <v>0</v>
      </c>
      <c r="FF109" s="1118">
        <f t="shared" si="320"/>
        <v>0</v>
      </c>
      <c r="FG109" s="1119"/>
      <c r="FK109" s="1117">
        <f t="shared" ref="FK109:FK115" si="344">$G109</f>
        <v>0</v>
      </c>
      <c r="FL109" s="1118">
        <f t="shared" si="322"/>
        <v>0</v>
      </c>
      <c r="FM109" s="1118">
        <f t="shared" si="323"/>
        <v>0</v>
      </c>
      <c r="FN109" s="1118">
        <f t="shared" si="324"/>
        <v>0</v>
      </c>
      <c r="FO109" s="1119"/>
    </row>
    <row r="110" spans="1:171" x14ac:dyDescent="0.25">
      <c r="A110" s="913"/>
      <c r="B110" s="10" t="s">
        <v>55</v>
      </c>
      <c r="C110" s="889" t="s">
        <v>78</v>
      </c>
      <c r="D110" s="889">
        <v>163</v>
      </c>
      <c r="E110" s="182" t="str">
        <f>'Sch 1- Rate Base '!E110</f>
        <v>PTD</v>
      </c>
      <c r="F110" s="890"/>
      <c r="G110" s="182">
        <f>'Sch 1- Rate Base '!G110</f>
        <v>0</v>
      </c>
      <c r="H110" s="182">
        <f>'Sch 1- Rate Base '!H110</f>
        <v>0</v>
      </c>
      <c r="I110" s="182">
        <f>'Sch 1- Rate Base '!I110</f>
        <v>0</v>
      </c>
      <c r="J110" s="183">
        <f>'Sch 1- Rate Base '!J110</f>
        <v>0</v>
      </c>
      <c r="K110" s="904">
        <f t="shared" si="244"/>
        <v>1</v>
      </c>
      <c r="O110" s="1117">
        <f t="shared" si="325"/>
        <v>0</v>
      </c>
      <c r="P110" s="1118">
        <f t="shared" ref="P110:P115" si="345">VLOOKUP($E110,O$442:R$453,2,FALSE)*O110*($K110)+IF($G110&lt;&gt;0,($H110/$G110)*O110,0)*(1-$K110)</f>
        <v>0</v>
      </c>
      <c r="Q110" s="1118">
        <f t="shared" ref="Q110:Q115" si="346">VLOOKUP($E110,O$442:R$453,3,FALSE)*O110*($K110)+IF($G110&lt;&gt;0,($I110/$G110)*O110,0)*(1-$K110)</f>
        <v>0</v>
      </c>
      <c r="R110" s="1118">
        <f t="shared" si="248"/>
        <v>0</v>
      </c>
      <c r="S110" s="1119"/>
      <c r="W110" s="1117">
        <f t="shared" si="326"/>
        <v>0</v>
      </c>
      <c r="X110" s="1118">
        <f t="shared" ref="X110:X115" si="347">VLOOKUP($E110,W$442:Z$453,2,FALSE)*W110*($K110)+IF($G110&lt;&gt;0,($H110/$G110)*W110,0)*(1-$K110)</f>
        <v>0</v>
      </c>
      <c r="Y110" s="1118">
        <f t="shared" ref="Y110:Y115" si="348">VLOOKUP($E110,W$442:Z$453,3,FALSE)*W110*($K110)+IF($G110&lt;&gt;0,($I110/$G110)*W110,0)*(1-$K110)</f>
        <v>0</v>
      </c>
      <c r="Z110" s="1118">
        <f t="shared" si="252"/>
        <v>0</v>
      </c>
      <c r="AA110" s="1119"/>
      <c r="AE110" s="1117">
        <f t="shared" si="327"/>
        <v>0</v>
      </c>
      <c r="AF110" s="1118">
        <f t="shared" ref="AF110:AF115" si="349">VLOOKUP($E110,AE$442:AH$453,2,FALSE)*AE110*($K110)+IF($G110&lt;&gt;0,($H110/$G110)*AE110,0)*(1-$K110)</f>
        <v>0</v>
      </c>
      <c r="AG110" s="1118">
        <f t="shared" ref="AG110:AG115" si="350">VLOOKUP($E110,AE$442:AH$453,3,FALSE)*AE110*($K110)+IF($G110&lt;&gt;0,($I110/$G110)*AE110,0)*(1-$K110)</f>
        <v>0</v>
      </c>
      <c r="AH110" s="1118">
        <f t="shared" si="256"/>
        <v>0</v>
      </c>
      <c r="AI110" s="1119"/>
      <c r="AM110" s="1117">
        <f t="shared" si="328"/>
        <v>0</v>
      </c>
      <c r="AN110" s="1118">
        <f t="shared" ref="AN110:AN115" si="351">VLOOKUP($E110,AM$442:AP$453,2,FALSE)*AM110*($K110)+IF($G110&lt;&gt;0,($H110/$G110)*AM110,0)*(1-$K110)</f>
        <v>0</v>
      </c>
      <c r="AO110" s="1118">
        <f t="shared" ref="AO110:AO115" si="352">VLOOKUP($E110,AM$442:AP$453,3,FALSE)*AM110*($K110)+IF($G110&lt;&gt;0,($I110/$G110)*AM110,0)*(1-$K110)</f>
        <v>0</v>
      </c>
      <c r="AP110" s="1118">
        <f t="shared" si="260"/>
        <v>0</v>
      </c>
      <c r="AQ110" s="1119"/>
      <c r="AU110" s="1117">
        <f t="shared" si="329"/>
        <v>0</v>
      </c>
      <c r="AV110" s="1118">
        <f t="shared" ref="AV110:AV115" si="353">VLOOKUP($E110,AU$442:AX$453,2,FALSE)*AU110*($K110)+IF($G110&lt;&gt;0,($H110/$G110)*AU110,0)*(1-$K110)</f>
        <v>0</v>
      </c>
      <c r="AW110" s="1118">
        <f t="shared" ref="AW110:AW115" si="354">VLOOKUP($E110,AU$442:AX$453,3,FALSE)*AU110*($K110)+IF($G110&lt;&gt;0,($I110/$G110)*AU110,0)*(1-$K110)</f>
        <v>0</v>
      </c>
      <c r="AX110" s="1118">
        <f t="shared" si="264"/>
        <v>0</v>
      </c>
      <c r="AY110" s="1119"/>
      <c r="BC110" s="1117">
        <f t="shared" si="330"/>
        <v>0</v>
      </c>
      <c r="BD110" s="1118">
        <f t="shared" ref="BD110:BD115" si="355">VLOOKUP($E110,BC$442:BF$453,2,FALSE)*BC110*($K110)+IF($G110&lt;&gt;0,($H110/$G110)*BC110,0)*(1-$K110)</f>
        <v>0</v>
      </c>
      <c r="BE110" s="1118">
        <f t="shared" ref="BE110:BE115" si="356">VLOOKUP($E110,BC$442:BF$453,3,FALSE)*BC110*($K110)+IF($G110&lt;&gt;0,($I110/$G110)*BC110,0)*(1-$K110)</f>
        <v>0</v>
      </c>
      <c r="BF110" s="1118">
        <f t="shared" si="268"/>
        <v>0</v>
      </c>
      <c r="BG110" s="1119"/>
      <c r="BK110" s="1117">
        <f t="shared" si="331"/>
        <v>0</v>
      </c>
      <c r="BL110" s="1118">
        <f t="shared" ref="BL110:BL115" si="357">VLOOKUP($E110,BK$442:BN$453,2,FALSE)*BK110*($K110)+IF($G110&lt;&gt;0,($H110/$G110)*BK110,0)*(1-$K110)</f>
        <v>0</v>
      </c>
      <c r="BM110" s="1118">
        <f t="shared" ref="BM110:BM115" si="358">VLOOKUP($E110,BK$442:BN$453,3,FALSE)*BK110*($K110)+IF($G110&lt;&gt;0,($I110/$G110)*BK110,0)*(1-$K110)</f>
        <v>0</v>
      </c>
      <c r="BN110" s="1118">
        <f t="shared" si="272"/>
        <v>0</v>
      </c>
      <c r="BO110" s="1119"/>
      <c r="BS110" s="1117">
        <f t="shared" si="332"/>
        <v>0</v>
      </c>
      <c r="BT110" s="1118">
        <f t="shared" ref="BT110:BT115" si="359">VLOOKUP($E110,BS$442:BV$453,2,FALSE)*BS110*($K110)+IF($G110&lt;&gt;0,($H110/$G110)*BS110,0)*(1-$K110)</f>
        <v>0</v>
      </c>
      <c r="BU110" s="1118">
        <f t="shared" ref="BU110:BU115" si="360">VLOOKUP($E110,BS$442:BV$453,3,FALSE)*BS110*($K110)+IF($G110&lt;&gt;0,($I110/$G110)*BS110,0)*(1-$K110)</f>
        <v>0</v>
      </c>
      <c r="BV110" s="1118">
        <f t="shared" si="276"/>
        <v>0</v>
      </c>
      <c r="BW110" s="1119"/>
      <c r="CA110" s="1117">
        <f t="shared" si="333"/>
        <v>0</v>
      </c>
      <c r="CB110" s="1118">
        <f t="shared" ref="CB110:CB115" si="361">VLOOKUP($E110,CA$442:CD$453,2,FALSE)*CA110*($K110)+IF($G110&lt;&gt;0,($H110/$G110)*CA110,0)*(1-$K110)</f>
        <v>0</v>
      </c>
      <c r="CC110" s="1118">
        <f t="shared" ref="CC110:CC115" si="362">VLOOKUP($E110,CA$442:CD$453,3,FALSE)*CA110*($K110)+IF($G110&lt;&gt;0,($I110/$G110)*CA110,0)*(1-$K110)</f>
        <v>0</v>
      </c>
      <c r="CD110" s="1118">
        <f t="shared" si="280"/>
        <v>0</v>
      </c>
      <c r="CE110" s="1119"/>
      <c r="CI110" s="1117">
        <f t="shared" si="334"/>
        <v>0</v>
      </c>
      <c r="CJ110" s="1118">
        <f t="shared" ref="CJ110:CJ115" si="363">VLOOKUP($E110,CI$442:CL$453,2,FALSE)*CI110*($K110)+IF($G110&lt;&gt;0,($H110/$G110)*CI110,0)*(1-$K110)</f>
        <v>0</v>
      </c>
      <c r="CK110" s="1118">
        <f t="shared" ref="CK110:CK115" si="364">VLOOKUP($E110,CI$442:CL$453,3,FALSE)*CI110*($K110)+IF($G110&lt;&gt;0,($I110/$G110)*CI110,0)*(1-$K110)</f>
        <v>0</v>
      </c>
      <c r="CL110" s="1118">
        <f t="shared" si="284"/>
        <v>0</v>
      </c>
      <c r="CM110" s="1119"/>
      <c r="CQ110" s="1117">
        <f t="shared" si="335"/>
        <v>0</v>
      </c>
      <c r="CR110" s="1118">
        <f t="shared" ref="CR110:CR115" si="365">VLOOKUP($E110,CQ$442:CT$453,2,FALSE)*CQ110*($K110)+IF($G110&lt;&gt;0,($H110/$G110)*CQ110,0)*(1-$K110)</f>
        <v>0</v>
      </c>
      <c r="CS110" s="1118">
        <f t="shared" ref="CS110:CS115" si="366">VLOOKUP($E110,CQ$442:CT$453,3,FALSE)*CQ110*($K110)+IF($G110&lt;&gt;0,($I110/$G110)*CQ110,0)*(1-$K110)</f>
        <v>0</v>
      </c>
      <c r="CT110" s="1118">
        <f t="shared" si="288"/>
        <v>0</v>
      </c>
      <c r="CU110" s="1119"/>
      <c r="CY110" s="1117">
        <f t="shared" si="336"/>
        <v>0</v>
      </c>
      <c r="CZ110" s="1118">
        <f t="shared" ref="CZ110:CZ115" si="367">VLOOKUP($E110,CY$442:DB$453,2,FALSE)*CY110*($K110)+IF($G110&lt;&gt;0,($H110/$G110)*CY110,0)*(1-$K110)</f>
        <v>0</v>
      </c>
      <c r="DA110" s="1118">
        <f t="shared" ref="DA110:DA115" si="368">VLOOKUP($E110,CY$442:DB$453,3,FALSE)*CY110*($K110)+IF($G110&lt;&gt;0,($I110/$G110)*CY110,0)*(1-$K110)</f>
        <v>0</v>
      </c>
      <c r="DB110" s="1118">
        <f t="shared" si="292"/>
        <v>0</v>
      </c>
      <c r="DC110" s="1119"/>
      <c r="DG110" s="1117">
        <f t="shared" si="337"/>
        <v>0</v>
      </c>
      <c r="DH110" s="1118">
        <f t="shared" ref="DH110:DH115" si="369">VLOOKUP($E110,DG$442:DJ$453,2,FALSE)*DG110*($K110)+IF($G110&lt;&gt;0,($H110/$G110)*DG110,0)*(1-$K110)</f>
        <v>0</v>
      </c>
      <c r="DI110" s="1118">
        <f t="shared" ref="DI110:DI115" si="370">VLOOKUP($E110,DG$442:DJ$453,3,FALSE)*DG110*($K110)+IF($G110&lt;&gt;0,($I110/$G110)*DG110,0)*(1-$K110)</f>
        <v>0</v>
      </c>
      <c r="DJ110" s="1118">
        <f t="shared" si="296"/>
        <v>0</v>
      </c>
      <c r="DK110" s="1119"/>
      <c r="DO110" s="1117">
        <f t="shared" si="338"/>
        <v>0</v>
      </c>
      <c r="DP110" s="1118">
        <f t="shared" ref="DP110:DP115" si="371">VLOOKUP($E110,DO$442:DR$453,2,FALSE)*DO110*($K110)+IF($G110&lt;&gt;0,($H110/$G110)*DO110,0)*(1-$K110)</f>
        <v>0</v>
      </c>
      <c r="DQ110" s="1118">
        <f t="shared" ref="DQ110:DQ115" si="372">VLOOKUP($E110,DO$442:DR$453,3,FALSE)*DO110*($K110)+IF($G110&lt;&gt;0,($I110/$G110)*DO110,0)*(1-$K110)</f>
        <v>0</v>
      </c>
      <c r="DR110" s="1118">
        <f t="shared" si="300"/>
        <v>0</v>
      </c>
      <c r="DS110" s="1119"/>
      <c r="DW110" s="1117">
        <f t="shared" si="339"/>
        <v>0</v>
      </c>
      <c r="DX110" s="1118">
        <f t="shared" ref="DX110:DX115" si="373">VLOOKUP($E110,DW$442:DZ$453,2,FALSE)*DW110*($K110)+IF($G110&lt;&gt;0,($H110/$G110)*DW110,0)*(1-$K110)</f>
        <v>0</v>
      </c>
      <c r="DY110" s="1118">
        <f t="shared" ref="DY110:DY115" si="374">VLOOKUP($E110,DW$442:DZ$453,3,FALSE)*DW110*($K110)+IF($G110&lt;&gt;0,($I110/$G110)*DW110,0)*(1-$K110)</f>
        <v>0</v>
      </c>
      <c r="DZ110" s="1118">
        <f t="shared" si="304"/>
        <v>0</v>
      </c>
      <c r="EA110" s="1119"/>
      <c r="EE110" s="1117">
        <f t="shared" si="340"/>
        <v>0</v>
      </c>
      <c r="EF110" s="1118">
        <f t="shared" ref="EF110:EF115" si="375">VLOOKUP($E110,EE$442:EH$453,2,FALSE)*EE110*($K110)+IF($G110&lt;&gt;0,($H110/$G110)*EE110,0)*(1-$K110)</f>
        <v>0</v>
      </c>
      <c r="EG110" s="1118">
        <f t="shared" ref="EG110:EG115" si="376">VLOOKUP($E110,EE$442:EH$453,3,FALSE)*EE110*($K110)+IF($G110&lt;&gt;0,($I110/$G110)*EE110,0)*(1-$K110)</f>
        <v>0</v>
      </c>
      <c r="EH110" s="1118">
        <f t="shared" si="308"/>
        <v>0</v>
      </c>
      <c r="EI110" s="1119"/>
      <c r="EM110" s="1117">
        <f t="shared" si="341"/>
        <v>0</v>
      </c>
      <c r="EN110" s="1118">
        <f t="shared" ref="EN110:EN115" si="377">VLOOKUP($E110,EM$442:EP$453,2,FALSE)*EM110*($K110)+IF($G110&lt;&gt;0,($H110/$G110)*EM110,0)*(1-$K110)</f>
        <v>0</v>
      </c>
      <c r="EO110" s="1118">
        <f t="shared" ref="EO110:EO115" si="378">VLOOKUP($E110,EM$442:EP$453,3,FALSE)*EM110*($K110)+IF($G110&lt;&gt;0,($I110/$G110)*EM110,0)*(1-$K110)</f>
        <v>0</v>
      </c>
      <c r="EP110" s="1118">
        <f t="shared" si="312"/>
        <v>0</v>
      </c>
      <c r="EQ110" s="1119"/>
      <c r="EU110" s="1117">
        <f t="shared" si="342"/>
        <v>0</v>
      </c>
      <c r="EV110" s="1118">
        <f t="shared" ref="EV110:EV115" si="379">VLOOKUP($E110,EU$442:EX$453,2,FALSE)*EU110*($K110)+IF($G110&lt;&gt;0,($H110/$G110)*EU110,0)*(1-$K110)</f>
        <v>0</v>
      </c>
      <c r="EW110" s="1118">
        <f t="shared" ref="EW110:EW115" si="380">VLOOKUP($E110,EU$442:EX$453,3,FALSE)*EU110*($K110)+IF($G110&lt;&gt;0,($I110/$G110)*EU110,0)*(1-$K110)</f>
        <v>0</v>
      </c>
      <c r="EX110" s="1118">
        <f t="shared" si="316"/>
        <v>0</v>
      </c>
      <c r="EY110" s="1119"/>
      <c r="FC110" s="1117">
        <f t="shared" si="343"/>
        <v>0</v>
      </c>
      <c r="FD110" s="1118">
        <f t="shared" ref="FD110:FD115" si="381">VLOOKUP($E110,FC$442:FF$453,2,FALSE)*FC110*($K110)+IF($G110&lt;&gt;0,($H110/$G110)*FC110,0)*(1-$K110)</f>
        <v>0</v>
      </c>
      <c r="FE110" s="1118">
        <f t="shared" ref="FE110:FE115" si="382">VLOOKUP($E110,FC$442:FF$453,3,FALSE)*FC110*($K110)+IF($G110&lt;&gt;0,($I110/$G110)*FC110,0)*(1-$K110)</f>
        <v>0</v>
      </c>
      <c r="FF110" s="1118">
        <f t="shared" si="320"/>
        <v>0</v>
      </c>
      <c r="FG110" s="1119"/>
      <c r="FK110" s="1117">
        <f t="shared" si="344"/>
        <v>0</v>
      </c>
      <c r="FL110" s="1118">
        <f t="shared" ref="FL110:FL115" si="383">VLOOKUP($E110,FK$442:FN$453,2,FALSE)*FK110*($K110)+IF($G110&lt;&gt;0,($H110/$G110)*FK110,0)*(1-$K110)</f>
        <v>0</v>
      </c>
      <c r="FM110" s="1118">
        <f t="shared" ref="FM110:FM115" si="384">VLOOKUP($E110,FK$442:FN$453,3,FALSE)*FK110*($K110)+IF($G110&lt;&gt;0,($I110/$G110)*FK110,0)*(1-$K110)</f>
        <v>0</v>
      </c>
      <c r="FN110" s="1118">
        <f t="shared" si="324"/>
        <v>0</v>
      </c>
      <c r="FO110" s="1119"/>
    </row>
    <row r="111" spans="1:171" x14ac:dyDescent="0.25">
      <c r="A111" s="913"/>
      <c r="B111" s="10" t="s">
        <v>8</v>
      </c>
      <c r="C111" s="889" t="s">
        <v>78</v>
      </c>
      <c r="D111" s="889">
        <v>165</v>
      </c>
      <c r="E111" s="182" t="str">
        <f>'Sch 1- Rate Base '!E111</f>
        <v>PTD</v>
      </c>
      <c r="F111" s="890"/>
      <c r="G111" s="182">
        <f>'Sch 1- Rate Base '!G111</f>
        <v>56015642.483825237</v>
      </c>
      <c r="H111" s="182">
        <f>'Sch 1- Rate Base '!H111</f>
        <v>24657869.813631494</v>
      </c>
      <c r="I111" s="182">
        <f>'Sch 1- Rate Base '!I111</f>
        <v>0</v>
      </c>
      <c r="J111" s="183">
        <f>'Sch 1- Rate Base '!J111</f>
        <v>31357772.670193736</v>
      </c>
      <c r="K111" s="904">
        <f t="shared" si="244"/>
        <v>1</v>
      </c>
      <c r="O111" s="1117">
        <f t="shared" si="325"/>
        <v>56015642.483825237</v>
      </c>
      <c r="P111" s="1118">
        <f t="shared" si="345"/>
        <v>24657869.813631494</v>
      </c>
      <c r="Q111" s="1118">
        <f t="shared" si="346"/>
        <v>14558035.623982832</v>
      </c>
      <c r="R111" s="1118">
        <f>VLOOKUP($E111,O$442:R$453,4,FALSE)*O111*($K111)+(O111-P111-Q111)*(1-$K111)</f>
        <v>16799737.046210904</v>
      </c>
      <c r="S111" s="1119"/>
      <c r="W111" s="1117">
        <f t="shared" si="326"/>
        <v>56015642.483825237</v>
      </c>
      <c r="X111" s="1118">
        <f t="shared" si="347"/>
        <v>24657869.813631494</v>
      </c>
      <c r="Y111" s="1118">
        <f t="shared" si="348"/>
        <v>14558035.623982832</v>
      </c>
      <c r="Z111" s="1118">
        <f>VLOOKUP($E111,W$442:Z$453,4,FALSE)*W111*($K111)+(W111-X111-Y111)*(1-$K111)</f>
        <v>16799737.046210904</v>
      </c>
      <c r="AA111" s="1119"/>
      <c r="AE111" s="1117">
        <f t="shared" si="327"/>
        <v>56015642.483825237</v>
      </c>
      <c r="AF111" s="1118">
        <f t="shared" si="349"/>
        <v>24657869.813631494</v>
      </c>
      <c r="AG111" s="1118">
        <f t="shared" si="350"/>
        <v>14558035.623982832</v>
      </c>
      <c r="AH111" s="1118">
        <f>VLOOKUP($E111,AE$442:AH$453,4,FALSE)*AE111*($K111)+(AE111-AF111-AG111)*(1-$K111)</f>
        <v>16799737.046210904</v>
      </c>
      <c r="AI111" s="1119"/>
      <c r="AM111" s="1117">
        <f t="shared" si="328"/>
        <v>56015642.483825237</v>
      </c>
      <c r="AN111" s="1118">
        <f t="shared" si="351"/>
        <v>24657869.813631494</v>
      </c>
      <c r="AO111" s="1118">
        <f t="shared" si="352"/>
        <v>14558035.623982832</v>
      </c>
      <c r="AP111" s="1118">
        <f>VLOOKUP($E111,AM$442:AP$453,4,FALSE)*AM111*($K111)+(AM111-AN111-AO111)*(1-$K111)</f>
        <v>16799737.046210904</v>
      </c>
      <c r="AQ111" s="1119"/>
      <c r="AU111" s="1117">
        <f t="shared" si="329"/>
        <v>56015642.483825237</v>
      </c>
      <c r="AV111" s="1118">
        <f t="shared" si="353"/>
        <v>24657869.813631494</v>
      </c>
      <c r="AW111" s="1118">
        <f t="shared" si="354"/>
        <v>14558035.623982832</v>
      </c>
      <c r="AX111" s="1118">
        <f>VLOOKUP($E111,AU$442:AX$453,4,FALSE)*AU111*($K111)+(AU111-AV111-AW111)*(1-$K111)</f>
        <v>16799737.046210904</v>
      </c>
      <c r="AY111" s="1119"/>
      <c r="BC111" s="1117">
        <f t="shared" si="330"/>
        <v>56015642.483825237</v>
      </c>
      <c r="BD111" s="1118">
        <f t="shared" si="355"/>
        <v>24657869.813631494</v>
      </c>
      <c r="BE111" s="1118">
        <f t="shared" si="356"/>
        <v>14558035.623982832</v>
      </c>
      <c r="BF111" s="1118">
        <f>VLOOKUP($E111,BC$442:BF$453,4,FALSE)*BC111*($K111)+(BC111-BD111-BE111)*(1-$K111)</f>
        <v>16799737.046210904</v>
      </c>
      <c r="BG111" s="1119"/>
      <c r="BK111" s="1117">
        <f t="shared" si="331"/>
        <v>56015642.483825237</v>
      </c>
      <c r="BL111" s="1118">
        <f t="shared" si="357"/>
        <v>24657869.813631494</v>
      </c>
      <c r="BM111" s="1118">
        <f t="shared" si="358"/>
        <v>14558035.623982832</v>
      </c>
      <c r="BN111" s="1118">
        <f>VLOOKUP($E111,BK$442:BN$453,4,FALSE)*BK111*($K111)+(BK111-BL111-BM111)*(1-$K111)</f>
        <v>16799737.046210904</v>
      </c>
      <c r="BO111" s="1119"/>
      <c r="BS111" s="1117">
        <f t="shared" si="332"/>
        <v>56015642.483825237</v>
      </c>
      <c r="BT111" s="1118">
        <f t="shared" si="359"/>
        <v>24657869.813631494</v>
      </c>
      <c r="BU111" s="1118">
        <f t="shared" si="360"/>
        <v>14558035.623982832</v>
      </c>
      <c r="BV111" s="1118">
        <f>VLOOKUP($E111,BS$442:BV$453,4,FALSE)*BS111*($K111)+(BS111-BT111-BU111)*(1-$K111)</f>
        <v>16799737.046210904</v>
      </c>
      <c r="BW111" s="1119"/>
      <c r="CA111" s="1117">
        <f t="shared" si="333"/>
        <v>56015642.483825237</v>
      </c>
      <c r="CB111" s="1118">
        <f t="shared" si="361"/>
        <v>24657869.813631494</v>
      </c>
      <c r="CC111" s="1118">
        <f t="shared" si="362"/>
        <v>14558035.623982832</v>
      </c>
      <c r="CD111" s="1118">
        <f>VLOOKUP($E111,CA$442:CD$453,4,FALSE)*CA111*($K111)+(CA111-CB111-CC111)*(1-$K111)</f>
        <v>16799737.046210904</v>
      </c>
      <c r="CE111" s="1119"/>
      <c r="CI111" s="1117">
        <f t="shared" si="334"/>
        <v>56015642.483825237</v>
      </c>
      <c r="CJ111" s="1118">
        <f t="shared" si="363"/>
        <v>24657869.813631494</v>
      </c>
      <c r="CK111" s="1118">
        <f t="shared" si="364"/>
        <v>14558035.623982832</v>
      </c>
      <c r="CL111" s="1118">
        <f>VLOOKUP($E111,CI$442:CL$453,4,FALSE)*CI111*($K111)+(CI111-CJ111-CK111)*(1-$K111)</f>
        <v>16799737.046210904</v>
      </c>
      <c r="CM111" s="1119"/>
      <c r="CQ111" s="1117">
        <f t="shared" si="335"/>
        <v>56015642.483825237</v>
      </c>
      <c r="CR111" s="1118">
        <f t="shared" si="365"/>
        <v>24657869.813631494</v>
      </c>
      <c r="CS111" s="1118">
        <f t="shared" si="366"/>
        <v>14558035.623982832</v>
      </c>
      <c r="CT111" s="1118">
        <f>VLOOKUP($E111,CQ$442:CT$453,4,FALSE)*CQ111*($K111)+(CQ111-CR111-CS111)*(1-$K111)</f>
        <v>16799737.046210904</v>
      </c>
      <c r="CU111" s="1119"/>
      <c r="CY111" s="1117">
        <f t="shared" si="336"/>
        <v>56015642.483825237</v>
      </c>
      <c r="CZ111" s="1118">
        <f t="shared" si="367"/>
        <v>24657869.813631494</v>
      </c>
      <c r="DA111" s="1118">
        <f t="shared" si="368"/>
        <v>14558035.623982832</v>
      </c>
      <c r="DB111" s="1118">
        <f>VLOOKUP($E111,CY$442:DB$453,4,FALSE)*CY111*($K111)+(CY111-CZ111-DA111)*(1-$K111)</f>
        <v>16799737.046210904</v>
      </c>
      <c r="DC111" s="1119"/>
      <c r="DG111" s="1117">
        <f t="shared" si="337"/>
        <v>56015642.483825237</v>
      </c>
      <c r="DH111" s="1118">
        <f t="shared" si="369"/>
        <v>24657869.813631494</v>
      </c>
      <c r="DI111" s="1118">
        <f t="shared" si="370"/>
        <v>14558035.623982832</v>
      </c>
      <c r="DJ111" s="1118">
        <f>VLOOKUP($E111,DG$442:DJ$453,4,FALSE)*DG111*($K111)+(DG111-DH111-DI111)*(1-$K111)</f>
        <v>16799737.046210904</v>
      </c>
      <c r="DK111" s="1119"/>
      <c r="DO111" s="1117">
        <f t="shared" si="338"/>
        <v>56015642.483825237</v>
      </c>
      <c r="DP111" s="1118">
        <f t="shared" si="371"/>
        <v>24657869.813631494</v>
      </c>
      <c r="DQ111" s="1118">
        <f t="shared" si="372"/>
        <v>14558035.623982832</v>
      </c>
      <c r="DR111" s="1118">
        <f>VLOOKUP($E111,DO$442:DR$453,4,FALSE)*DO111*($K111)+(DO111-DP111-DQ111)*(1-$K111)</f>
        <v>16799737.046210904</v>
      </c>
      <c r="DS111" s="1119"/>
      <c r="DW111" s="1117">
        <f t="shared" si="339"/>
        <v>56015642.483825237</v>
      </c>
      <c r="DX111" s="1118">
        <f t="shared" si="373"/>
        <v>24657869.813631494</v>
      </c>
      <c r="DY111" s="1118">
        <f t="shared" si="374"/>
        <v>14558035.623982832</v>
      </c>
      <c r="DZ111" s="1118">
        <f>VLOOKUP($E111,DW$442:DZ$453,4,FALSE)*DW111*($K111)+(DW111-DX111-DY111)*(1-$K111)</f>
        <v>16799737.046210904</v>
      </c>
      <c r="EA111" s="1119"/>
      <c r="EE111" s="1117">
        <f t="shared" si="340"/>
        <v>56015642.483825237</v>
      </c>
      <c r="EF111" s="1118">
        <f t="shared" si="375"/>
        <v>24657869.813631494</v>
      </c>
      <c r="EG111" s="1118">
        <f t="shared" si="376"/>
        <v>14558035.623982832</v>
      </c>
      <c r="EH111" s="1118">
        <f>VLOOKUP($E111,EE$442:EH$453,4,FALSE)*EE111*($K111)+(EE111-EF111-EG111)*(1-$K111)</f>
        <v>16799737.046210904</v>
      </c>
      <c r="EI111" s="1119"/>
      <c r="EM111" s="1117">
        <f t="shared" si="341"/>
        <v>56015642.483825237</v>
      </c>
      <c r="EN111" s="1118">
        <f t="shared" si="377"/>
        <v>24657869.813631494</v>
      </c>
      <c r="EO111" s="1118">
        <f t="shared" si="378"/>
        <v>14558035.623982832</v>
      </c>
      <c r="EP111" s="1118">
        <f>VLOOKUP($E111,EM$442:EP$453,4,FALSE)*EM111*($K111)+(EM111-EN111-EO111)*(1-$K111)</f>
        <v>16799737.046210904</v>
      </c>
      <c r="EQ111" s="1119"/>
      <c r="EU111" s="1117">
        <f t="shared" si="342"/>
        <v>56015642.483825237</v>
      </c>
      <c r="EV111" s="1118">
        <f t="shared" si="379"/>
        <v>24657869.813631494</v>
      </c>
      <c r="EW111" s="1118">
        <f t="shared" si="380"/>
        <v>14558035.623982832</v>
      </c>
      <c r="EX111" s="1118">
        <f>VLOOKUP($E111,EU$442:EX$453,4,FALSE)*EU111*($K111)+(EU111-EV111-EW111)*(1-$K111)</f>
        <v>16799737.046210904</v>
      </c>
      <c r="EY111" s="1119"/>
      <c r="FC111" s="1117">
        <f t="shared" si="343"/>
        <v>56015642.483825237</v>
      </c>
      <c r="FD111" s="1118">
        <f t="shared" si="381"/>
        <v>24657869.813631494</v>
      </c>
      <c r="FE111" s="1118">
        <f t="shared" si="382"/>
        <v>14558035.623982832</v>
      </c>
      <c r="FF111" s="1118">
        <f>VLOOKUP($E111,FC$442:FF$453,4,FALSE)*FC111*($K111)+(FC111-FD111-FE111)*(1-$K111)</f>
        <v>16799737.046210904</v>
      </c>
      <c r="FG111" s="1119"/>
      <c r="FK111" s="1117">
        <f t="shared" si="344"/>
        <v>56015642.483825237</v>
      </c>
      <c r="FL111" s="1118">
        <f t="shared" si="383"/>
        <v>24657869.813631494</v>
      </c>
      <c r="FM111" s="1118">
        <f t="shared" si="384"/>
        <v>14558035.623982832</v>
      </c>
      <c r="FN111" s="1118">
        <f>VLOOKUP($E111,FK$442:FN$453,4,FALSE)*FK111*($K111)+(FK111-FL111-FM111)*(1-$K111)</f>
        <v>16799737.046210904</v>
      </c>
      <c r="FO111" s="1119"/>
    </row>
    <row r="112" spans="1:171" x14ac:dyDescent="0.25">
      <c r="A112" s="913"/>
      <c r="B112" s="79" t="s">
        <v>9</v>
      </c>
      <c r="C112" s="889" t="s">
        <v>78</v>
      </c>
      <c r="D112" s="889">
        <v>175</v>
      </c>
      <c r="E112" s="182" t="str">
        <f>'Sch 1- Rate Base '!E112</f>
        <v>DIST</v>
      </c>
      <c r="F112" s="890"/>
      <c r="G112" s="182">
        <f>'Sch 1- Rate Base '!G112</f>
        <v>7016382.5368689988</v>
      </c>
      <c r="H112" s="182">
        <f>'Sch 1- Rate Base '!H112</f>
        <v>0</v>
      </c>
      <c r="I112" s="182">
        <f>'Sch 1- Rate Base '!I112</f>
        <v>0</v>
      </c>
      <c r="J112" s="183">
        <f>'Sch 1- Rate Base '!J112</f>
        <v>7016382.5368689988</v>
      </c>
      <c r="K112" s="904">
        <f t="shared" si="244"/>
        <v>1</v>
      </c>
      <c r="O112" s="1117">
        <f t="shared" si="325"/>
        <v>7016382.5368689988</v>
      </c>
      <c r="P112" s="1118">
        <f t="shared" si="345"/>
        <v>0</v>
      </c>
      <c r="Q112" s="1118">
        <f t="shared" si="346"/>
        <v>0</v>
      </c>
      <c r="R112" s="1118">
        <f>VLOOKUP($E112,O$442:R$453,4,FALSE)*O112*($K112)+(O112-P112-Q112)*(1-$K112)</f>
        <v>7016382.5368689988</v>
      </c>
      <c r="S112" s="1119"/>
      <c r="W112" s="1117">
        <f t="shared" si="326"/>
        <v>7016382.5368689988</v>
      </c>
      <c r="X112" s="1118">
        <f t="shared" si="347"/>
        <v>0</v>
      </c>
      <c r="Y112" s="1118">
        <f t="shared" si="348"/>
        <v>0</v>
      </c>
      <c r="Z112" s="1118">
        <f>VLOOKUP($E112,W$442:Z$453,4,FALSE)*W112*($K112)+(W112-X112-Y112)*(1-$K112)</f>
        <v>7016382.5368689988</v>
      </c>
      <c r="AA112" s="1119"/>
      <c r="AE112" s="1117">
        <f t="shared" si="327"/>
        <v>7016382.5368689988</v>
      </c>
      <c r="AF112" s="1118">
        <f t="shared" si="349"/>
        <v>0</v>
      </c>
      <c r="AG112" s="1118">
        <f t="shared" si="350"/>
        <v>0</v>
      </c>
      <c r="AH112" s="1118">
        <f>VLOOKUP($E112,AE$442:AH$453,4,FALSE)*AE112*($K112)+(AE112-AF112-AG112)*(1-$K112)</f>
        <v>7016382.5368689988</v>
      </c>
      <c r="AI112" s="1119"/>
      <c r="AM112" s="1117">
        <f t="shared" si="328"/>
        <v>7016382.5368689988</v>
      </c>
      <c r="AN112" s="1118">
        <f t="shared" si="351"/>
        <v>0</v>
      </c>
      <c r="AO112" s="1118">
        <f t="shared" si="352"/>
        <v>0</v>
      </c>
      <c r="AP112" s="1118">
        <f>VLOOKUP($E112,AM$442:AP$453,4,FALSE)*AM112*($K112)+(AM112-AN112-AO112)*(1-$K112)</f>
        <v>7016382.5368689988</v>
      </c>
      <c r="AQ112" s="1119"/>
      <c r="AU112" s="1117">
        <f t="shared" si="329"/>
        <v>7016382.5368689988</v>
      </c>
      <c r="AV112" s="1118">
        <f t="shared" si="353"/>
        <v>0</v>
      </c>
      <c r="AW112" s="1118">
        <f t="shared" si="354"/>
        <v>0</v>
      </c>
      <c r="AX112" s="1118">
        <f>VLOOKUP($E112,AU$442:AX$453,4,FALSE)*AU112*($K112)+(AU112-AV112-AW112)*(1-$K112)</f>
        <v>7016382.5368689988</v>
      </c>
      <c r="AY112" s="1119"/>
      <c r="BC112" s="1117">
        <f t="shared" si="330"/>
        <v>7016382.5368689988</v>
      </c>
      <c r="BD112" s="1118">
        <f t="shared" si="355"/>
        <v>0</v>
      </c>
      <c r="BE112" s="1118">
        <f t="shared" si="356"/>
        <v>0</v>
      </c>
      <c r="BF112" s="1118">
        <f>VLOOKUP($E112,BC$442:BF$453,4,FALSE)*BC112*($K112)+(BC112-BD112-BE112)*(1-$K112)</f>
        <v>7016382.5368689988</v>
      </c>
      <c r="BG112" s="1119"/>
      <c r="BK112" s="1117">
        <f t="shared" si="331"/>
        <v>7016382.5368689988</v>
      </c>
      <c r="BL112" s="1118">
        <f t="shared" si="357"/>
        <v>0</v>
      </c>
      <c r="BM112" s="1118">
        <f t="shared" si="358"/>
        <v>0</v>
      </c>
      <c r="BN112" s="1118">
        <f>VLOOKUP($E112,BK$442:BN$453,4,FALSE)*BK112*($K112)+(BK112-BL112-BM112)*(1-$K112)</f>
        <v>7016382.5368689988</v>
      </c>
      <c r="BO112" s="1119"/>
      <c r="BS112" s="1117">
        <f t="shared" si="332"/>
        <v>7016382.5368689988</v>
      </c>
      <c r="BT112" s="1118">
        <f t="shared" si="359"/>
        <v>0</v>
      </c>
      <c r="BU112" s="1118">
        <f t="shared" si="360"/>
        <v>0</v>
      </c>
      <c r="BV112" s="1118">
        <f>VLOOKUP($E112,BS$442:BV$453,4,FALSE)*BS112*($K112)+(BS112-BT112-BU112)*(1-$K112)</f>
        <v>7016382.5368689988</v>
      </c>
      <c r="BW112" s="1119"/>
      <c r="CA112" s="1117">
        <f t="shared" si="333"/>
        <v>7016382.5368689988</v>
      </c>
      <c r="CB112" s="1118">
        <f t="shared" si="361"/>
        <v>0</v>
      </c>
      <c r="CC112" s="1118">
        <f t="shared" si="362"/>
        <v>0</v>
      </c>
      <c r="CD112" s="1118">
        <f>VLOOKUP($E112,CA$442:CD$453,4,FALSE)*CA112*($K112)+(CA112-CB112-CC112)*(1-$K112)</f>
        <v>7016382.5368689988</v>
      </c>
      <c r="CE112" s="1119"/>
      <c r="CI112" s="1117">
        <f t="shared" si="334"/>
        <v>7016382.5368689988</v>
      </c>
      <c r="CJ112" s="1118">
        <f t="shared" si="363"/>
        <v>0</v>
      </c>
      <c r="CK112" s="1118">
        <f t="shared" si="364"/>
        <v>0</v>
      </c>
      <c r="CL112" s="1118">
        <f>VLOOKUP($E112,CI$442:CL$453,4,FALSE)*CI112*($K112)+(CI112-CJ112-CK112)*(1-$K112)</f>
        <v>7016382.5368689988</v>
      </c>
      <c r="CM112" s="1119"/>
      <c r="CQ112" s="1117">
        <f t="shared" si="335"/>
        <v>7016382.5368689988</v>
      </c>
      <c r="CR112" s="1118">
        <f t="shared" si="365"/>
        <v>0</v>
      </c>
      <c r="CS112" s="1118">
        <f t="shared" si="366"/>
        <v>0</v>
      </c>
      <c r="CT112" s="1118">
        <f>VLOOKUP($E112,CQ$442:CT$453,4,FALSE)*CQ112*($K112)+(CQ112-CR112-CS112)*(1-$K112)</f>
        <v>7016382.5368689988</v>
      </c>
      <c r="CU112" s="1119"/>
      <c r="CY112" s="1117">
        <f t="shared" si="336"/>
        <v>7016382.5368689988</v>
      </c>
      <c r="CZ112" s="1118">
        <f t="shared" si="367"/>
        <v>0</v>
      </c>
      <c r="DA112" s="1118">
        <f t="shared" si="368"/>
        <v>0</v>
      </c>
      <c r="DB112" s="1118">
        <f>VLOOKUP($E112,CY$442:DB$453,4,FALSE)*CY112*($K112)+(CY112-CZ112-DA112)*(1-$K112)</f>
        <v>7016382.5368689988</v>
      </c>
      <c r="DC112" s="1119"/>
      <c r="DG112" s="1117">
        <f t="shared" si="337"/>
        <v>7016382.5368689988</v>
      </c>
      <c r="DH112" s="1118">
        <f t="shared" si="369"/>
        <v>0</v>
      </c>
      <c r="DI112" s="1118">
        <f t="shared" si="370"/>
        <v>0</v>
      </c>
      <c r="DJ112" s="1118">
        <f>VLOOKUP($E112,DG$442:DJ$453,4,FALSE)*DG112*($K112)+(DG112-DH112-DI112)*(1-$K112)</f>
        <v>7016382.5368689988</v>
      </c>
      <c r="DK112" s="1119"/>
      <c r="DO112" s="1117">
        <f t="shared" si="338"/>
        <v>7016382.5368689988</v>
      </c>
      <c r="DP112" s="1118">
        <f t="shared" si="371"/>
        <v>0</v>
      </c>
      <c r="DQ112" s="1118">
        <f t="shared" si="372"/>
        <v>0</v>
      </c>
      <c r="DR112" s="1118">
        <f>VLOOKUP($E112,DO$442:DR$453,4,FALSE)*DO112*($K112)+(DO112-DP112-DQ112)*(1-$K112)</f>
        <v>7016382.5368689988</v>
      </c>
      <c r="DS112" s="1119"/>
      <c r="DW112" s="1117">
        <f t="shared" si="339"/>
        <v>7016382.5368689988</v>
      </c>
      <c r="DX112" s="1118">
        <f t="shared" si="373"/>
        <v>0</v>
      </c>
      <c r="DY112" s="1118">
        <f t="shared" si="374"/>
        <v>0</v>
      </c>
      <c r="DZ112" s="1118">
        <f>VLOOKUP($E112,DW$442:DZ$453,4,FALSE)*DW112*($K112)+(DW112-DX112-DY112)*(1-$K112)</f>
        <v>7016382.5368689988</v>
      </c>
      <c r="EA112" s="1119"/>
      <c r="EE112" s="1117">
        <f t="shared" si="340"/>
        <v>7016382.5368689988</v>
      </c>
      <c r="EF112" s="1118">
        <f t="shared" si="375"/>
        <v>0</v>
      </c>
      <c r="EG112" s="1118">
        <f t="shared" si="376"/>
        <v>0</v>
      </c>
      <c r="EH112" s="1118">
        <f>VLOOKUP($E112,EE$442:EH$453,4,FALSE)*EE112*($K112)+(EE112-EF112-EG112)*(1-$K112)</f>
        <v>7016382.5368689988</v>
      </c>
      <c r="EI112" s="1119"/>
      <c r="EM112" s="1117">
        <f t="shared" si="341"/>
        <v>7016382.5368689988</v>
      </c>
      <c r="EN112" s="1118">
        <f t="shared" si="377"/>
        <v>0</v>
      </c>
      <c r="EO112" s="1118">
        <f t="shared" si="378"/>
        <v>0</v>
      </c>
      <c r="EP112" s="1118">
        <f>VLOOKUP($E112,EM$442:EP$453,4,FALSE)*EM112*($K112)+(EM112-EN112-EO112)*(1-$K112)</f>
        <v>7016382.5368689988</v>
      </c>
      <c r="EQ112" s="1119"/>
      <c r="EU112" s="1117">
        <f t="shared" si="342"/>
        <v>7016382.5368689988</v>
      </c>
      <c r="EV112" s="1118">
        <f t="shared" si="379"/>
        <v>0</v>
      </c>
      <c r="EW112" s="1118">
        <f t="shared" si="380"/>
        <v>0</v>
      </c>
      <c r="EX112" s="1118">
        <f>VLOOKUP($E112,EU$442:EX$453,4,FALSE)*EU112*($K112)+(EU112-EV112-EW112)*(1-$K112)</f>
        <v>7016382.5368689988</v>
      </c>
      <c r="EY112" s="1119"/>
      <c r="FC112" s="1117">
        <f t="shared" si="343"/>
        <v>7016382.5368689988</v>
      </c>
      <c r="FD112" s="1118">
        <f t="shared" si="381"/>
        <v>0</v>
      </c>
      <c r="FE112" s="1118">
        <f t="shared" si="382"/>
        <v>0</v>
      </c>
      <c r="FF112" s="1118">
        <f>VLOOKUP($E112,FC$442:FF$453,4,FALSE)*FC112*($K112)+(FC112-FD112-FE112)*(1-$K112)</f>
        <v>7016382.5368689988</v>
      </c>
      <c r="FG112" s="1119"/>
      <c r="FK112" s="1117">
        <f t="shared" si="344"/>
        <v>7016382.5368689988</v>
      </c>
      <c r="FL112" s="1118">
        <f t="shared" si="383"/>
        <v>0</v>
      </c>
      <c r="FM112" s="1118">
        <f t="shared" si="384"/>
        <v>0</v>
      </c>
      <c r="FN112" s="1118">
        <f>VLOOKUP($E112,FK$442:FN$453,4,FALSE)*FK112*($K112)+(FK112-FL112-FM112)*(1-$K112)</f>
        <v>7016382.5368689988</v>
      </c>
      <c r="FO112" s="1119"/>
    </row>
    <row r="113" spans="1:171" x14ac:dyDescent="0.25">
      <c r="A113" s="913"/>
      <c r="B113" s="79" t="s">
        <v>622</v>
      </c>
      <c r="C113" s="889" t="s">
        <v>255</v>
      </c>
      <c r="D113" s="889">
        <v>175</v>
      </c>
      <c r="E113" s="182" t="str">
        <f>'Sch 1- Rate Base '!E113</f>
        <v>DIST</v>
      </c>
      <c r="F113" s="890"/>
      <c r="G113" s="182">
        <f>'Sch 1- Rate Base '!G113</f>
        <v>882802.55718482344</v>
      </c>
      <c r="H113" s="182">
        <f>'Sch 1- Rate Base '!H113</f>
        <v>0</v>
      </c>
      <c r="I113" s="182">
        <f>'Sch 1- Rate Base '!I113</f>
        <v>0</v>
      </c>
      <c r="J113" s="183">
        <f>'Sch 1- Rate Base '!J113</f>
        <v>882802.55718482344</v>
      </c>
      <c r="K113" s="904">
        <f t="shared" si="244"/>
        <v>1</v>
      </c>
      <c r="O113" s="1117">
        <f t="shared" si="325"/>
        <v>882802.55718482344</v>
      </c>
      <c r="P113" s="1118">
        <f t="shared" si="345"/>
        <v>0</v>
      </c>
      <c r="Q113" s="1118">
        <f t="shared" si="346"/>
        <v>0</v>
      </c>
      <c r="R113" s="1118">
        <f>VLOOKUP($E113,O$442:R$453,4,FALSE)*O113*($K113)+(O113-P113-Q113)*(1-$K113)</f>
        <v>882802.55718482344</v>
      </c>
      <c r="S113" s="1119"/>
      <c r="W113" s="1117">
        <f t="shared" si="326"/>
        <v>882802.55718482344</v>
      </c>
      <c r="X113" s="1118">
        <f t="shared" si="347"/>
        <v>0</v>
      </c>
      <c r="Y113" s="1118">
        <f t="shared" si="348"/>
        <v>0</v>
      </c>
      <c r="Z113" s="1118">
        <f>VLOOKUP($E113,W$442:Z$453,4,FALSE)*W113*($K113)+(W113-X113-Y113)*(1-$K113)</f>
        <v>882802.55718482344</v>
      </c>
      <c r="AA113" s="1119"/>
      <c r="AE113" s="1117">
        <f t="shared" si="327"/>
        <v>882802.55718482344</v>
      </c>
      <c r="AF113" s="1118">
        <f t="shared" si="349"/>
        <v>0</v>
      </c>
      <c r="AG113" s="1118">
        <f t="shared" si="350"/>
        <v>0</v>
      </c>
      <c r="AH113" s="1118">
        <f>VLOOKUP($E113,AE$442:AH$453,4,FALSE)*AE113*($K113)+(AE113-AF113-AG113)*(1-$K113)</f>
        <v>882802.55718482344</v>
      </c>
      <c r="AI113" s="1119"/>
      <c r="AM113" s="1117">
        <f t="shared" si="328"/>
        <v>882802.55718482344</v>
      </c>
      <c r="AN113" s="1118">
        <f t="shared" si="351"/>
        <v>0</v>
      </c>
      <c r="AO113" s="1118">
        <f t="shared" si="352"/>
        <v>0</v>
      </c>
      <c r="AP113" s="1118">
        <f>VLOOKUP($E113,AM$442:AP$453,4,FALSE)*AM113*($K113)+(AM113-AN113-AO113)*(1-$K113)</f>
        <v>882802.55718482344</v>
      </c>
      <c r="AQ113" s="1119"/>
      <c r="AU113" s="1117">
        <f t="shared" si="329"/>
        <v>882802.55718482344</v>
      </c>
      <c r="AV113" s="1118">
        <f t="shared" si="353"/>
        <v>0</v>
      </c>
      <c r="AW113" s="1118">
        <f t="shared" si="354"/>
        <v>0</v>
      </c>
      <c r="AX113" s="1118">
        <f>VLOOKUP($E113,AU$442:AX$453,4,FALSE)*AU113*($K113)+(AU113-AV113-AW113)*(1-$K113)</f>
        <v>882802.55718482344</v>
      </c>
      <c r="AY113" s="1119"/>
      <c r="BC113" s="1117">
        <f t="shared" si="330"/>
        <v>882802.55718482344</v>
      </c>
      <c r="BD113" s="1118">
        <f t="shared" si="355"/>
        <v>0</v>
      </c>
      <c r="BE113" s="1118">
        <f t="shared" si="356"/>
        <v>0</v>
      </c>
      <c r="BF113" s="1118">
        <f>VLOOKUP($E113,BC$442:BF$453,4,FALSE)*BC113*($K113)+(BC113-BD113-BE113)*(1-$K113)</f>
        <v>882802.55718482344</v>
      </c>
      <c r="BG113" s="1119"/>
      <c r="BK113" s="1117">
        <f t="shared" si="331"/>
        <v>882802.55718482344</v>
      </c>
      <c r="BL113" s="1118">
        <f t="shared" si="357"/>
        <v>0</v>
      </c>
      <c r="BM113" s="1118">
        <f t="shared" si="358"/>
        <v>0</v>
      </c>
      <c r="BN113" s="1118">
        <f>VLOOKUP($E113,BK$442:BN$453,4,FALSE)*BK113*($K113)+(BK113-BL113-BM113)*(1-$K113)</f>
        <v>882802.55718482344</v>
      </c>
      <c r="BO113" s="1119"/>
      <c r="BS113" s="1117">
        <f t="shared" si="332"/>
        <v>882802.55718482344</v>
      </c>
      <c r="BT113" s="1118">
        <f t="shared" si="359"/>
        <v>0</v>
      </c>
      <c r="BU113" s="1118">
        <f t="shared" si="360"/>
        <v>0</v>
      </c>
      <c r="BV113" s="1118">
        <f>VLOOKUP($E113,BS$442:BV$453,4,FALSE)*BS113*($K113)+(BS113-BT113-BU113)*(1-$K113)</f>
        <v>882802.55718482344</v>
      </c>
      <c r="BW113" s="1119"/>
      <c r="CA113" s="1117">
        <f t="shared" si="333"/>
        <v>882802.55718482344</v>
      </c>
      <c r="CB113" s="1118">
        <f t="shared" si="361"/>
        <v>0</v>
      </c>
      <c r="CC113" s="1118">
        <f t="shared" si="362"/>
        <v>0</v>
      </c>
      <c r="CD113" s="1118">
        <f>VLOOKUP($E113,CA$442:CD$453,4,FALSE)*CA113*($K113)+(CA113-CB113-CC113)*(1-$K113)</f>
        <v>882802.55718482344</v>
      </c>
      <c r="CE113" s="1119"/>
      <c r="CI113" s="1117">
        <f t="shared" si="334"/>
        <v>882802.55718482344</v>
      </c>
      <c r="CJ113" s="1118">
        <f t="shared" si="363"/>
        <v>0</v>
      </c>
      <c r="CK113" s="1118">
        <f t="shared" si="364"/>
        <v>0</v>
      </c>
      <c r="CL113" s="1118">
        <f>VLOOKUP($E113,CI$442:CL$453,4,FALSE)*CI113*($K113)+(CI113-CJ113-CK113)*(1-$K113)</f>
        <v>882802.55718482344</v>
      </c>
      <c r="CM113" s="1119"/>
      <c r="CQ113" s="1117">
        <f t="shared" si="335"/>
        <v>882802.55718482344</v>
      </c>
      <c r="CR113" s="1118">
        <f t="shared" si="365"/>
        <v>0</v>
      </c>
      <c r="CS113" s="1118">
        <f t="shared" si="366"/>
        <v>0</v>
      </c>
      <c r="CT113" s="1118">
        <f>VLOOKUP($E113,CQ$442:CT$453,4,FALSE)*CQ113*($K113)+(CQ113-CR113-CS113)*(1-$K113)</f>
        <v>882802.55718482344</v>
      </c>
      <c r="CU113" s="1119"/>
      <c r="CY113" s="1117">
        <f t="shared" si="336"/>
        <v>882802.55718482344</v>
      </c>
      <c r="CZ113" s="1118">
        <f t="shared" si="367"/>
        <v>0</v>
      </c>
      <c r="DA113" s="1118">
        <f t="shared" si="368"/>
        <v>0</v>
      </c>
      <c r="DB113" s="1118">
        <f>VLOOKUP($E113,CY$442:DB$453,4,FALSE)*CY113*($K113)+(CY113-CZ113-DA113)*(1-$K113)</f>
        <v>882802.55718482344</v>
      </c>
      <c r="DC113" s="1119"/>
      <c r="DG113" s="1117">
        <f t="shared" si="337"/>
        <v>882802.55718482344</v>
      </c>
      <c r="DH113" s="1118">
        <f t="shared" si="369"/>
        <v>0</v>
      </c>
      <c r="DI113" s="1118">
        <f t="shared" si="370"/>
        <v>0</v>
      </c>
      <c r="DJ113" s="1118">
        <f>VLOOKUP($E113,DG$442:DJ$453,4,FALSE)*DG113*($K113)+(DG113-DH113-DI113)*(1-$K113)</f>
        <v>882802.55718482344</v>
      </c>
      <c r="DK113" s="1119"/>
      <c r="DO113" s="1117">
        <f t="shared" si="338"/>
        <v>882802.55718482344</v>
      </c>
      <c r="DP113" s="1118">
        <f t="shared" si="371"/>
        <v>0</v>
      </c>
      <c r="DQ113" s="1118">
        <f t="shared" si="372"/>
        <v>0</v>
      </c>
      <c r="DR113" s="1118">
        <f>VLOOKUP($E113,DO$442:DR$453,4,FALSE)*DO113*($K113)+(DO113-DP113-DQ113)*(1-$K113)</f>
        <v>882802.55718482344</v>
      </c>
      <c r="DS113" s="1119"/>
      <c r="DW113" s="1117">
        <f t="shared" si="339"/>
        <v>882802.55718482344</v>
      </c>
      <c r="DX113" s="1118">
        <f t="shared" si="373"/>
        <v>0</v>
      </c>
      <c r="DY113" s="1118">
        <f t="shared" si="374"/>
        <v>0</v>
      </c>
      <c r="DZ113" s="1118">
        <f>VLOOKUP($E113,DW$442:DZ$453,4,FALSE)*DW113*($K113)+(DW113-DX113-DY113)*(1-$K113)</f>
        <v>882802.55718482344</v>
      </c>
      <c r="EA113" s="1119"/>
      <c r="EE113" s="1117">
        <f t="shared" si="340"/>
        <v>882802.55718482344</v>
      </c>
      <c r="EF113" s="1118">
        <f t="shared" si="375"/>
        <v>0</v>
      </c>
      <c r="EG113" s="1118">
        <f t="shared" si="376"/>
        <v>0</v>
      </c>
      <c r="EH113" s="1118">
        <f>VLOOKUP($E113,EE$442:EH$453,4,FALSE)*EE113*($K113)+(EE113-EF113-EG113)*(1-$K113)</f>
        <v>882802.55718482344</v>
      </c>
      <c r="EI113" s="1119"/>
      <c r="EM113" s="1117">
        <f t="shared" si="341"/>
        <v>882802.55718482344</v>
      </c>
      <c r="EN113" s="1118">
        <f t="shared" si="377"/>
        <v>0</v>
      </c>
      <c r="EO113" s="1118">
        <f t="shared" si="378"/>
        <v>0</v>
      </c>
      <c r="EP113" s="1118">
        <f>VLOOKUP($E113,EM$442:EP$453,4,FALSE)*EM113*($K113)+(EM113-EN113-EO113)*(1-$K113)</f>
        <v>882802.55718482344</v>
      </c>
      <c r="EQ113" s="1119"/>
      <c r="EU113" s="1117">
        <f t="shared" si="342"/>
        <v>882802.55718482344</v>
      </c>
      <c r="EV113" s="1118">
        <f t="shared" si="379"/>
        <v>0</v>
      </c>
      <c r="EW113" s="1118">
        <f t="shared" si="380"/>
        <v>0</v>
      </c>
      <c r="EX113" s="1118">
        <f>VLOOKUP($E113,EU$442:EX$453,4,FALSE)*EU113*($K113)+(EU113-EV113-EW113)*(1-$K113)</f>
        <v>882802.55718482344</v>
      </c>
      <c r="EY113" s="1119"/>
      <c r="FC113" s="1117">
        <f t="shared" si="343"/>
        <v>882802.55718482344</v>
      </c>
      <c r="FD113" s="1118">
        <f t="shared" si="381"/>
        <v>0</v>
      </c>
      <c r="FE113" s="1118">
        <f t="shared" si="382"/>
        <v>0</v>
      </c>
      <c r="FF113" s="1118">
        <f>VLOOKUP($E113,FC$442:FF$453,4,FALSE)*FC113*($K113)+(FC113-FD113-FE113)*(1-$K113)</f>
        <v>882802.55718482344</v>
      </c>
      <c r="FG113" s="1119"/>
      <c r="FK113" s="1117">
        <f t="shared" si="344"/>
        <v>882802.55718482344</v>
      </c>
      <c r="FL113" s="1118">
        <f t="shared" si="383"/>
        <v>0</v>
      </c>
      <c r="FM113" s="1118">
        <f t="shared" si="384"/>
        <v>0</v>
      </c>
      <c r="FN113" s="1118">
        <f>VLOOKUP($E113,FK$442:FN$453,4,FALSE)*FK113*($K113)+(FK113-FL113-FM113)*(1-$K113)</f>
        <v>882802.55718482344</v>
      </c>
      <c r="FO113" s="1119"/>
    </row>
    <row r="114" spans="1:171" x14ac:dyDescent="0.25">
      <c r="A114" s="913"/>
      <c r="B114" s="79" t="s">
        <v>334</v>
      </c>
      <c r="C114" s="955" t="s">
        <v>78</v>
      </c>
      <c r="D114" s="955">
        <v>176</v>
      </c>
      <c r="E114" s="182" t="str">
        <f>'Sch 1- Rate Base '!E114</f>
        <v>DIST</v>
      </c>
      <c r="F114" s="890"/>
      <c r="G114" s="182">
        <f>'Sch 1- Rate Base '!G114</f>
        <v>0</v>
      </c>
      <c r="H114" s="182">
        <f>'Sch 1- Rate Base '!H114</f>
        <v>0</v>
      </c>
      <c r="I114" s="182">
        <f>'Sch 1- Rate Base '!I114</f>
        <v>0</v>
      </c>
      <c r="J114" s="183">
        <f>'Sch 1- Rate Base '!J114</f>
        <v>0</v>
      </c>
      <c r="K114" s="904">
        <f t="shared" si="244"/>
        <v>1</v>
      </c>
      <c r="O114" s="1117">
        <f t="shared" si="325"/>
        <v>0</v>
      </c>
      <c r="P114" s="1118">
        <f t="shared" si="345"/>
        <v>0</v>
      </c>
      <c r="Q114" s="1118">
        <f t="shared" si="346"/>
        <v>0</v>
      </c>
      <c r="R114" s="1118">
        <f>VLOOKUP($E114,O$442:R$453,4,FALSE)*O114*($K114)+(O114-P114-Q114)*(1-$K114)</f>
        <v>0</v>
      </c>
      <c r="S114" s="1119"/>
      <c r="W114" s="1117">
        <f t="shared" si="326"/>
        <v>0</v>
      </c>
      <c r="X114" s="1118">
        <f t="shared" si="347"/>
        <v>0</v>
      </c>
      <c r="Y114" s="1118">
        <f t="shared" si="348"/>
        <v>0</v>
      </c>
      <c r="Z114" s="1118">
        <f>VLOOKUP($E114,W$442:Z$453,4,FALSE)*W114*($K114)+(W114-X114-Y114)*(1-$K114)</f>
        <v>0</v>
      </c>
      <c r="AA114" s="1119"/>
      <c r="AE114" s="1117">
        <f t="shared" si="327"/>
        <v>0</v>
      </c>
      <c r="AF114" s="1118">
        <f t="shared" si="349"/>
        <v>0</v>
      </c>
      <c r="AG114" s="1118">
        <f t="shared" si="350"/>
        <v>0</v>
      </c>
      <c r="AH114" s="1118">
        <f>VLOOKUP($E114,AE$442:AH$453,4,FALSE)*AE114*($K114)+(AE114-AF114-AG114)*(1-$K114)</f>
        <v>0</v>
      </c>
      <c r="AI114" s="1119"/>
      <c r="AM114" s="1117">
        <f t="shared" si="328"/>
        <v>0</v>
      </c>
      <c r="AN114" s="1118">
        <f t="shared" si="351"/>
        <v>0</v>
      </c>
      <c r="AO114" s="1118">
        <f t="shared" si="352"/>
        <v>0</v>
      </c>
      <c r="AP114" s="1118">
        <f>VLOOKUP($E114,AM$442:AP$453,4,FALSE)*AM114*($K114)+(AM114-AN114-AO114)*(1-$K114)</f>
        <v>0</v>
      </c>
      <c r="AQ114" s="1119"/>
      <c r="AU114" s="1117">
        <f t="shared" si="329"/>
        <v>0</v>
      </c>
      <c r="AV114" s="1118">
        <f t="shared" si="353"/>
        <v>0</v>
      </c>
      <c r="AW114" s="1118">
        <f t="shared" si="354"/>
        <v>0</v>
      </c>
      <c r="AX114" s="1118">
        <f>VLOOKUP($E114,AU$442:AX$453,4,FALSE)*AU114*($K114)+(AU114-AV114-AW114)*(1-$K114)</f>
        <v>0</v>
      </c>
      <c r="AY114" s="1119"/>
      <c r="BC114" s="1117">
        <f t="shared" si="330"/>
        <v>0</v>
      </c>
      <c r="BD114" s="1118">
        <f t="shared" si="355"/>
        <v>0</v>
      </c>
      <c r="BE114" s="1118">
        <f t="shared" si="356"/>
        <v>0</v>
      </c>
      <c r="BF114" s="1118">
        <f>VLOOKUP($E114,BC$442:BF$453,4,FALSE)*BC114*($K114)+(BC114-BD114-BE114)*(1-$K114)</f>
        <v>0</v>
      </c>
      <c r="BG114" s="1119"/>
      <c r="BK114" s="1117">
        <f t="shared" si="331"/>
        <v>0</v>
      </c>
      <c r="BL114" s="1118">
        <f t="shared" si="357"/>
        <v>0</v>
      </c>
      <c r="BM114" s="1118">
        <f t="shared" si="358"/>
        <v>0</v>
      </c>
      <c r="BN114" s="1118">
        <f>VLOOKUP($E114,BK$442:BN$453,4,FALSE)*BK114*($K114)+(BK114-BL114-BM114)*(1-$K114)</f>
        <v>0</v>
      </c>
      <c r="BO114" s="1119"/>
      <c r="BS114" s="1117">
        <f t="shared" si="332"/>
        <v>0</v>
      </c>
      <c r="BT114" s="1118">
        <f t="shared" si="359"/>
        <v>0</v>
      </c>
      <c r="BU114" s="1118">
        <f t="shared" si="360"/>
        <v>0</v>
      </c>
      <c r="BV114" s="1118">
        <f>VLOOKUP($E114,BS$442:BV$453,4,FALSE)*BS114*($K114)+(BS114-BT114-BU114)*(1-$K114)</f>
        <v>0</v>
      </c>
      <c r="BW114" s="1119"/>
      <c r="CA114" s="1117">
        <f t="shared" si="333"/>
        <v>0</v>
      </c>
      <c r="CB114" s="1118">
        <f t="shared" si="361"/>
        <v>0</v>
      </c>
      <c r="CC114" s="1118">
        <f t="shared" si="362"/>
        <v>0</v>
      </c>
      <c r="CD114" s="1118">
        <f>VLOOKUP($E114,CA$442:CD$453,4,FALSE)*CA114*($K114)+(CA114-CB114-CC114)*(1-$K114)</f>
        <v>0</v>
      </c>
      <c r="CE114" s="1119"/>
      <c r="CI114" s="1117">
        <f t="shared" si="334"/>
        <v>0</v>
      </c>
      <c r="CJ114" s="1118">
        <f t="shared" si="363"/>
        <v>0</v>
      </c>
      <c r="CK114" s="1118">
        <f t="shared" si="364"/>
        <v>0</v>
      </c>
      <c r="CL114" s="1118">
        <f>VLOOKUP($E114,CI$442:CL$453,4,FALSE)*CI114*($K114)+(CI114-CJ114-CK114)*(1-$K114)</f>
        <v>0</v>
      </c>
      <c r="CM114" s="1119"/>
      <c r="CQ114" s="1117">
        <f t="shared" si="335"/>
        <v>0</v>
      </c>
      <c r="CR114" s="1118">
        <f t="shared" si="365"/>
        <v>0</v>
      </c>
      <c r="CS114" s="1118">
        <f t="shared" si="366"/>
        <v>0</v>
      </c>
      <c r="CT114" s="1118">
        <f>VLOOKUP($E114,CQ$442:CT$453,4,FALSE)*CQ114*($K114)+(CQ114-CR114-CS114)*(1-$K114)</f>
        <v>0</v>
      </c>
      <c r="CU114" s="1119"/>
      <c r="CY114" s="1117">
        <f t="shared" si="336"/>
        <v>0</v>
      </c>
      <c r="CZ114" s="1118">
        <f t="shared" si="367"/>
        <v>0</v>
      </c>
      <c r="DA114" s="1118">
        <f t="shared" si="368"/>
        <v>0</v>
      </c>
      <c r="DB114" s="1118">
        <f>VLOOKUP($E114,CY$442:DB$453,4,FALSE)*CY114*($K114)+(CY114-CZ114-DA114)*(1-$K114)</f>
        <v>0</v>
      </c>
      <c r="DC114" s="1119"/>
      <c r="DG114" s="1117">
        <f t="shared" si="337"/>
        <v>0</v>
      </c>
      <c r="DH114" s="1118">
        <f t="shared" si="369"/>
        <v>0</v>
      </c>
      <c r="DI114" s="1118">
        <f t="shared" si="370"/>
        <v>0</v>
      </c>
      <c r="DJ114" s="1118">
        <f>VLOOKUP($E114,DG$442:DJ$453,4,FALSE)*DG114*($K114)+(DG114-DH114-DI114)*(1-$K114)</f>
        <v>0</v>
      </c>
      <c r="DK114" s="1119"/>
      <c r="DO114" s="1117">
        <f t="shared" si="338"/>
        <v>0</v>
      </c>
      <c r="DP114" s="1118">
        <f t="shared" si="371"/>
        <v>0</v>
      </c>
      <c r="DQ114" s="1118">
        <f t="shared" si="372"/>
        <v>0</v>
      </c>
      <c r="DR114" s="1118">
        <f>VLOOKUP($E114,DO$442:DR$453,4,FALSE)*DO114*($K114)+(DO114-DP114-DQ114)*(1-$K114)</f>
        <v>0</v>
      </c>
      <c r="DS114" s="1119"/>
      <c r="DW114" s="1117">
        <f t="shared" si="339"/>
        <v>0</v>
      </c>
      <c r="DX114" s="1118">
        <f t="shared" si="373"/>
        <v>0</v>
      </c>
      <c r="DY114" s="1118">
        <f t="shared" si="374"/>
        <v>0</v>
      </c>
      <c r="DZ114" s="1118">
        <f>VLOOKUP($E114,DW$442:DZ$453,4,FALSE)*DW114*($K114)+(DW114-DX114-DY114)*(1-$K114)</f>
        <v>0</v>
      </c>
      <c r="EA114" s="1119"/>
      <c r="EE114" s="1117">
        <f t="shared" si="340"/>
        <v>0</v>
      </c>
      <c r="EF114" s="1118">
        <f t="shared" si="375"/>
        <v>0</v>
      </c>
      <c r="EG114" s="1118">
        <f t="shared" si="376"/>
        <v>0</v>
      </c>
      <c r="EH114" s="1118">
        <f>VLOOKUP($E114,EE$442:EH$453,4,FALSE)*EE114*($K114)+(EE114-EF114-EG114)*(1-$K114)</f>
        <v>0</v>
      </c>
      <c r="EI114" s="1119"/>
      <c r="EM114" s="1117">
        <f t="shared" si="341"/>
        <v>0</v>
      </c>
      <c r="EN114" s="1118">
        <f t="shared" si="377"/>
        <v>0</v>
      </c>
      <c r="EO114" s="1118">
        <f t="shared" si="378"/>
        <v>0</v>
      </c>
      <c r="EP114" s="1118">
        <f>VLOOKUP($E114,EM$442:EP$453,4,FALSE)*EM114*($K114)+(EM114-EN114-EO114)*(1-$K114)</f>
        <v>0</v>
      </c>
      <c r="EQ114" s="1119"/>
      <c r="EU114" s="1117">
        <f t="shared" si="342"/>
        <v>0</v>
      </c>
      <c r="EV114" s="1118">
        <f t="shared" si="379"/>
        <v>0</v>
      </c>
      <c r="EW114" s="1118">
        <f t="shared" si="380"/>
        <v>0</v>
      </c>
      <c r="EX114" s="1118">
        <f>VLOOKUP($E114,EU$442:EX$453,4,FALSE)*EU114*($K114)+(EU114-EV114-EW114)*(1-$K114)</f>
        <v>0</v>
      </c>
      <c r="EY114" s="1119"/>
      <c r="FC114" s="1117">
        <f t="shared" si="343"/>
        <v>0</v>
      </c>
      <c r="FD114" s="1118">
        <f t="shared" si="381"/>
        <v>0</v>
      </c>
      <c r="FE114" s="1118">
        <f t="shared" si="382"/>
        <v>0</v>
      </c>
      <c r="FF114" s="1118">
        <f>VLOOKUP($E114,FC$442:FF$453,4,FALSE)*FC114*($K114)+(FC114-FD114-FE114)*(1-$K114)</f>
        <v>0</v>
      </c>
      <c r="FG114" s="1119"/>
      <c r="FK114" s="1117">
        <f t="shared" si="344"/>
        <v>0</v>
      </c>
      <c r="FL114" s="1118">
        <f t="shared" si="383"/>
        <v>0</v>
      </c>
      <c r="FM114" s="1118">
        <f t="shared" si="384"/>
        <v>0</v>
      </c>
      <c r="FN114" s="1118">
        <f>VLOOKUP($E114,FK$442:FN$453,4,FALSE)*FK114*($K114)+(FK114-FL114-FM114)*(1-$K114)</f>
        <v>0</v>
      </c>
      <c r="FO114" s="1119"/>
    </row>
    <row r="115" spans="1:171" x14ac:dyDescent="0.25">
      <c r="A115" s="913"/>
      <c r="B115" s="79" t="s">
        <v>623</v>
      </c>
      <c r="C115" s="955" t="s">
        <v>255</v>
      </c>
      <c r="D115" s="955">
        <v>176</v>
      </c>
      <c r="E115" s="182" t="str">
        <f>'Sch 1- Rate Base '!E115</f>
        <v>DIST</v>
      </c>
      <c r="F115" s="890"/>
      <c r="G115" s="182">
        <f>'Sch 1- Rate Base '!G115</f>
        <v>0</v>
      </c>
      <c r="H115" s="182">
        <f>'Sch 1- Rate Base '!H115</f>
        <v>0</v>
      </c>
      <c r="I115" s="182">
        <f>'Sch 1- Rate Base '!I115</f>
        <v>0</v>
      </c>
      <c r="J115" s="183">
        <f>'Sch 1- Rate Base '!J115</f>
        <v>0</v>
      </c>
      <c r="K115" s="904">
        <f t="shared" si="244"/>
        <v>1</v>
      </c>
      <c r="O115" s="1117">
        <f t="shared" si="325"/>
        <v>0</v>
      </c>
      <c r="P115" s="1118">
        <f t="shared" si="345"/>
        <v>0</v>
      </c>
      <c r="Q115" s="1118">
        <f t="shared" si="346"/>
        <v>0</v>
      </c>
      <c r="R115" s="1118">
        <f>VLOOKUP($E115,O$442:R$453,4,FALSE)*O115*($K115)+(O115-P115-Q115)*(1-$K115)</f>
        <v>0</v>
      </c>
      <c r="S115" s="1119"/>
      <c r="W115" s="1117">
        <f t="shared" si="326"/>
        <v>0</v>
      </c>
      <c r="X115" s="1118">
        <f t="shared" si="347"/>
        <v>0</v>
      </c>
      <c r="Y115" s="1118">
        <f t="shared" si="348"/>
        <v>0</v>
      </c>
      <c r="Z115" s="1118">
        <f>VLOOKUP($E115,W$442:Z$453,4,FALSE)*W115*($K115)+(W115-X115-Y115)*(1-$K115)</f>
        <v>0</v>
      </c>
      <c r="AA115" s="1119"/>
      <c r="AE115" s="1117">
        <f t="shared" si="327"/>
        <v>0</v>
      </c>
      <c r="AF115" s="1118">
        <f t="shared" si="349"/>
        <v>0</v>
      </c>
      <c r="AG115" s="1118">
        <f t="shared" si="350"/>
        <v>0</v>
      </c>
      <c r="AH115" s="1118">
        <f>VLOOKUP($E115,AE$442:AH$453,4,FALSE)*AE115*($K115)+(AE115-AF115-AG115)*(1-$K115)</f>
        <v>0</v>
      </c>
      <c r="AI115" s="1119"/>
      <c r="AM115" s="1117">
        <f t="shared" si="328"/>
        <v>0</v>
      </c>
      <c r="AN115" s="1118">
        <f t="shared" si="351"/>
        <v>0</v>
      </c>
      <c r="AO115" s="1118">
        <f t="shared" si="352"/>
        <v>0</v>
      </c>
      <c r="AP115" s="1118">
        <f>VLOOKUP($E115,AM$442:AP$453,4,FALSE)*AM115*($K115)+(AM115-AN115-AO115)*(1-$K115)</f>
        <v>0</v>
      </c>
      <c r="AQ115" s="1119"/>
      <c r="AU115" s="1117">
        <f t="shared" si="329"/>
        <v>0</v>
      </c>
      <c r="AV115" s="1118">
        <f t="shared" si="353"/>
        <v>0</v>
      </c>
      <c r="AW115" s="1118">
        <f t="shared" si="354"/>
        <v>0</v>
      </c>
      <c r="AX115" s="1118">
        <f>VLOOKUP($E115,AU$442:AX$453,4,FALSE)*AU115*($K115)+(AU115-AV115-AW115)*(1-$K115)</f>
        <v>0</v>
      </c>
      <c r="AY115" s="1119"/>
      <c r="BC115" s="1117">
        <f t="shared" si="330"/>
        <v>0</v>
      </c>
      <c r="BD115" s="1118">
        <f t="shared" si="355"/>
        <v>0</v>
      </c>
      <c r="BE115" s="1118">
        <f t="shared" si="356"/>
        <v>0</v>
      </c>
      <c r="BF115" s="1118">
        <f>VLOOKUP($E115,BC$442:BF$453,4,FALSE)*BC115*($K115)+(BC115-BD115-BE115)*(1-$K115)</f>
        <v>0</v>
      </c>
      <c r="BG115" s="1119"/>
      <c r="BK115" s="1117">
        <f t="shared" si="331"/>
        <v>0</v>
      </c>
      <c r="BL115" s="1118">
        <f t="shared" si="357"/>
        <v>0</v>
      </c>
      <c r="BM115" s="1118">
        <f t="shared" si="358"/>
        <v>0</v>
      </c>
      <c r="BN115" s="1118">
        <f>VLOOKUP($E115,BK$442:BN$453,4,FALSE)*BK115*($K115)+(BK115-BL115-BM115)*(1-$K115)</f>
        <v>0</v>
      </c>
      <c r="BO115" s="1119"/>
      <c r="BS115" s="1117">
        <f t="shared" si="332"/>
        <v>0</v>
      </c>
      <c r="BT115" s="1118">
        <f t="shared" si="359"/>
        <v>0</v>
      </c>
      <c r="BU115" s="1118">
        <f t="shared" si="360"/>
        <v>0</v>
      </c>
      <c r="BV115" s="1118">
        <f>VLOOKUP($E115,BS$442:BV$453,4,FALSE)*BS115*($K115)+(BS115-BT115-BU115)*(1-$K115)</f>
        <v>0</v>
      </c>
      <c r="BW115" s="1119"/>
      <c r="CA115" s="1117">
        <f t="shared" si="333"/>
        <v>0</v>
      </c>
      <c r="CB115" s="1118">
        <f t="shared" si="361"/>
        <v>0</v>
      </c>
      <c r="CC115" s="1118">
        <f t="shared" si="362"/>
        <v>0</v>
      </c>
      <c r="CD115" s="1118">
        <f>VLOOKUP($E115,CA$442:CD$453,4,FALSE)*CA115*($K115)+(CA115-CB115-CC115)*(1-$K115)</f>
        <v>0</v>
      </c>
      <c r="CE115" s="1119"/>
      <c r="CI115" s="1117">
        <f t="shared" si="334"/>
        <v>0</v>
      </c>
      <c r="CJ115" s="1118">
        <f t="shared" si="363"/>
        <v>0</v>
      </c>
      <c r="CK115" s="1118">
        <f t="shared" si="364"/>
        <v>0</v>
      </c>
      <c r="CL115" s="1118">
        <f>VLOOKUP($E115,CI$442:CL$453,4,FALSE)*CI115*($K115)+(CI115-CJ115-CK115)*(1-$K115)</f>
        <v>0</v>
      </c>
      <c r="CM115" s="1119"/>
      <c r="CQ115" s="1117">
        <f t="shared" si="335"/>
        <v>0</v>
      </c>
      <c r="CR115" s="1118">
        <f t="shared" si="365"/>
        <v>0</v>
      </c>
      <c r="CS115" s="1118">
        <f t="shared" si="366"/>
        <v>0</v>
      </c>
      <c r="CT115" s="1118">
        <f>VLOOKUP($E115,CQ$442:CT$453,4,FALSE)*CQ115*($K115)+(CQ115-CR115-CS115)*(1-$K115)</f>
        <v>0</v>
      </c>
      <c r="CU115" s="1119"/>
      <c r="CY115" s="1117">
        <f t="shared" si="336"/>
        <v>0</v>
      </c>
      <c r="CZ115" s="1118">
        <f t="shared" si="367"/>
        <v>0</v>
      </c>
      <c r="DA115" s="1118">
        <f t="shared" si="368"/>
        <v>0</v>
      </c>
      <c r="DB115" s="1118">
        <f>VLOOKUP($E115,CY$442:DB$453,4,FALSE)*CY115*($K115)+(CY115-CZ115-DA115)*(1-$K115)</f>
        <v>0</v>
      </c>
      <c r="DC115" s="1119"/>
      <c r="DG115" s="1117">
        <f t="shared" si="337"/>
        <v>0</v>
      </c>
      <c r="DH115" s="1118">
        <f t="shared" si="369"/>
        <v>0</v>
      </c>
      <c r="DI115" s="1118">
        <f t="shared" si="370"/>
        <v>0</v>
      </c>
      <c r="DJ115" s="1118">
        <f>VLOOKUP($E115,DG$442:DJ$453,4,FALSE)*DG115*($K115)+(DG115-DH115-DI115)*(1-$K115)</f>
        <v>0</v>
      </c>
      <c r="DK115" s="1119"/>
      <c r="DO115" s="1117">
        <f t="shared" si="338"/>
        <v>0</v>
      </c>
      <c r="DP115" s="1118">
        <f t="shared" si="371"/>
        <v>0</v>
      </c>
      <c r="DQ115" s="1118">
        <f t="shared" si="372"/>
        <v>0</v>
      </c>
      <c r="DR115" s="1118">
        <f>VLOOKUP($E115,DO$442:DR$453,4,FALSE)*DO115*($K115)+(DO115-DP115-DQ115)*(1-$K115)</f>
        <v>0</v>
      </c>
      <c r="DS115" s="1119"/>
      <c r="DW115" s="1117">
        <f t="shared" si="339"/>
        <v>0</v>
      </c>
      <c r="DX115" s="1118">
        <f t="shared" si="373"/>
        <v>0</v>
      </c>
      <c r="DY115" s="1118">
        <f t="shared" si="374"/>
        <v>0</v>
      </c>
      <c r="DZ115" s="1118">
        <f>VLOOKUP($E115,DW$442:DZ$453,4,FALSE)*DW115*($K115)+(DW115-DX115-DY115)*(1-$K115)</f>
        <v>0</v>
      </c>
      <c r="EA115" s="1119"/>
      <c r="EE115" s="1117">
        <f t="shared" si="340"/>
        <v>0</v>
      </c>
      <c r="EF115" s="1118">
        <f t="shared" si="375"/>
        <v>0</v>
      </c>
      <c r="EG115" s="1118">
        <f t="shared" si="376"/>
        <v>0</v>
      </c>
      <c r="EH115" s="1118">
        <f>VLOOKUP($E115,EE$442:EH$453,4,FALSE)*EE115*($K115)+(EE115-EF115-EG115)*(1-$K115)</f>
        <v>0</v>
      </c>
      <c r="EI115" s="1119"/>
      <c r="EM115" s="1117">
        <f t="shared" si="341"/>
        <v>0</v>
      </c>
      <c r="EN115" s="1118">
        <f t="shared" si="377"/>
        <v>0</v>
      </c>
      <c r="EO115" s="1118">
        <f t="shared" si="378"/>
        <v>0</v>
      </c>
      <c r="EP115" s="1118">
        <f>VLOOKUP($E115,EM$442:EP$453,4,FALSE)*EM115*($K115)+(EM115-EN115-EO115)*(1-$K115)</f>
        <v>0</v>
      </c>
      <c r="EQ115" s="1119"/>
      <c r="EU115" s="1117">
        <f t="shared" si="342"/>
        <v>0</v>
      </c>
      <c r="EV115" s="1118">
        <f t="shared" si="379"/>
        <v>0</v>
      </c>
      <c r="EW115" s="1118">
        <f t="shared" si="380"/>
        <v>0</v>
      </c>
      <c r="EX115" s="1118">
        <f>VLOOKUP($E115,EU$442:EX$453,4,FALSE)*EU115*($K115)+(EU115-EV115-EW115)*(1-$K115)</f>
        <v>0</v>
      </c>
      <c r="EY115" s="1119"/>
      <c r="FC115" s="1117">
        <f t="shared" si="343"/>
        <v>0</v>
      </c>
      <c r="FD115" s="1118">
        <f t="shared" si="381"/>
        <v>0</v>
      </c>
      <c r="FE115" s="1118">
        <f t="shared" si="382"/>
        <v>0</v>
      </c>
      <c r="FF115" s="1118">
        <f>VLOOKUP($E115,FC$442:FF$453,4,FALSE)*FC115*($K115)+(FC115-FD115-FE115)*(1-$K115)</f>
        <v>0</v>
      </c>
      <c r="FG115" s="1119"/>
      <c r="FK115" s="1117">
        <f t="shared" si="344"/>
        <v>0</v>
      </c>
      <c r="FL115" s="1118">
        <f t="shared" si="383"/>
        <v>0</v>
      </c>
      <c r="FM115" s="1118">
        <f t="shared" si="384"/>
        <v>0</v>
      </c>
      <c r="FN115" s="1118">
        <f>VLOOKUP($E115,FK$442:FN$453,4,FALSE)*FK115*($K115)+(FK115-FL115-FM115)*(1-$K115)</f>
        <v>0</v>
      </c>
      <c r="FO115" s="1119"/>
    </row>
    <row r="116" spans="1:171" x14ac:dyDescent="0.25">
      <c r="A116" s="913"/>
      <c r="B116" s="848" t="s">
        <v>104</v>
      </c>
      <c r="C116" s="915"/>
      <c r="D116" s="916"/>
      <c r="E116" s="916"/>
      <c r="F116" s="917"/>
      <c r="G116" s="924">
        <f>SUM(G103:G112,G114)-G113-G115</f>
        <v>310512642.47767013</v>
      </c>
      <c r="H116" s="924">
        <f>SUM(H103:H112,H114)-H113-H115</f>
        <v>157301210.8664186</v>
      </c>
      <c r="I116" s="924">
        <f>SUM(I103:I112,I114)-I113-I115</f>
        <v>0</v>
      </c>
      <c r="J116" s="1391">
        <f>SUM(J103:J112,J114)-J113-J115</f>
        <v>153211431.61125147</v>
      </c>
      <c r="K116" s="904"/>
      <c r="O116" s="1128">
        <f>SUM(O103:O112,O114)-O113-O115</f>
        <v>310512642.47767013</v>
      </c>
      <c r="P116" s="1128">
        <f>SUM(P103:P112,P114)-P113-P115</f>
        <v>157301210.8664186</v>
      </c>
      <c r="Q116" s="1128">
        <f>SUM(Q103:Q112,Q114)-Q113-Q115</f>
        <v>68281782.193875104</v>
      </c>
      <c r="R116" s="1128">
        <f>SUM(R103:R112,R114)-R113-R115</f>
        <v>84929649.417376354</v>
      </c>
      <c r="S116" s="1119"/>
      <c r="W116" s="1128">
        <f>SUM(W103:W112,W114)-W113-W115</f>
        <v>310512642.47767013</v>
      </c>
      <c r="X116" s="1128">
        <f>SUM(X103:X112,X114)-X113-X115</f>
        <v>157301210.8664186</v>
      </c>
      <c r="Y116" s="1128">
        <f>SUM(Y103:Y112,Y114)-Y113-Y115</f>
        <v>68281782.193875104</v>
      </c>
      <c r="Z116" s="1128">
        <f>SUM(Z103:Z112,Z114)-Z113-Z115</f>
        <v>84929649.417376354</v>
      </c>
      <c r="AA116" s="1119"/>
      <c r="AE116" s="1128">
        <f>SUM(AE103:AE112,AE114)-AE113-AE115</f>
        <v>310512642.47767013</v>
      </c>
      <c r="AF116" s="1128">
        <f>SUM(AF103:AF112,AF114)-AF113-AF115</f>
        <v>157301210.8664186</v>
      </c>
      <c r="AG116" s="1128">
        <f>SUM(AG103:AG112,AG114)-AG113-AG115</f>
        <v>68281782.193875104</v>
      </c>
      <c r="AH116" s="1128">
        <f>SUM(AH103:AH112,AH114)-AH113-AH115</f>
        <v>84929649.417376354</v>
      </c>
      <c r="AI116" s="1119"/>
      <c r="AM116" s="1128">
        <f>SUM(AM103:AM112,AM114)-AM113-AM115</f>
        <v>310512642.47767013</v>
      </c>
      <c r="AN116" s="1128">
        <f>SUM(AN103:AN112,AN114)-AN113-AN115</f>
        <v>157301210.8664186</v>
      </c>
      <c r="AO116" s="1128">
        <f>SUM(AO103:AO112,AO114)-AO113-AO115</f>
        <v>68281782.193875104</v>
      </c>
      <c r="AP116" s="1128">
        <f>SUM(AP103:AP112,AP114)-AP113-AP115</f>
        <v>84929649.417376354</v>
      </c>
      <c r="AQ116" s="1119"/>
      <c r="AU116" s="1128">
        <f>SUM(AU103:AU112,AU114)-AU113-AU115</f>
        <v>310512642.47767013</v>
      </c>
      <c r="AV116" s="1128">
        <f>SUM(AV103:AV112,AV114)-AV113-AV115</f>
        <v>157301210.8664186</v>
      </c>
      <c r="AW116" s="1128">
        <f>SUM(AW103:AW112,AW114)-AW113-AW115</f>
        <v>68281782.193875104</v>
      </c>
      <c r="AX116" s="1128">
        <f>SUM(AX103:AX112,AX114)-AX113-AX115</f>
        <v>84929649.417376354</v>
      </c>
      <c r="AY116" s="1119"/>
      <c r="BC116" s="1128">
        <f>SUM(BC103:BC112,BC114)-BC113-BC115</f>
        <v>310512642.47767013</v>
      </c>
      <c r="BD116" s="1128">
        <f>SUM(BD103:BD112,BD114)-BD113-BD115</f>
        <v>157301210.8664186</v>
      </c>
      <c r="BE116" s="1128">
        <f>SUM(BE103:BE112,BE114)-BE113-BE115</f>
        <v>68281782.193875104</v>
      </c>
      <c r="BF116" s="1128">
        <f>SUM(BF103:BF112,BF114)-BF113-BF115</f>
        <v>84929649.417376354</v>
      </c>
      <c r="BG116" s="1119"/>
      <c r="BK116" s="1128">
        <f>SUM(BK103:BK112,BK114)-BK113-BK115</f>
        <v>310512642.47767013</v>
      </c>
      <c r="BL116" s="1128">
        <f>SUM(BL103:BL112,BL114)-BL113-BL115</f>
        <v>157301210.8664186</v>
      </c>
      <c r="BM116" s="1128">
        <f>SUM(BM103:BM112,BM114)-BM113-BM115</f>
        <v>68281782.193875104</v>
      </c>
      <c r="BN116" s="1128">
        <f>SUM(BN103:BN112,BN114)-BN113-BN115</f>
        <v>84929649.417376354</v>
      </c>
      <c r="BO116" s="1119"/>
      <c r="BS116" s="1128">
        <f>SUM(BS103:BS112,BS114)-BS113-BS115</f>
        <v>310512642.47767013</v>
      </c>
      <c r="BT116" s="1128">
        <f>SUM(BT103:BT112,BT114)-BT113-BT115</f>
        <v>157301210.8664186</v>
      </c>
      <c r="BU116" s="1128">
        <f>SUM(BU103:BU112,BU114)-BU113-BU115</f>
        <v>68281782.193875104</v>
      </c>
      <c r="BV116" s="1128">
        <f>SUM(BV103:BV112,BV114)-BV113-BV115</f>
        <v>84929649.417376354</v>
      </c>
      <c r="BW116" s="1119"/>
      <c r="CA116" s="1128">
        <f>SUM(CA103:CA112,CA114)-CA113-CA115</f>
        <v>310512642.47767013</v>
      </c>
      <c r="CB116" s="1128">
        <f>SUM(CB103:CB112,CB114)-CB113-CB115</f>
        <v>157301210.8664186</v>
      </c>
      <c r="CC116" s="1128">
        <f>SUM(CC103:CC112,CC114)-CC113-CC115</f>
        <v>68281782.193875104</v>
      </c>
      <c r="CD116" s="1128">
        <f>SUM(CD103:CD112,CD114)-CD113-CD115</f>
        <v>84929649.417376354</v>
      </c>
      <c r="CE116" s="1119"/>
      <c r="CI116" s="1128">
        <f>SUM(CI103:CI112,CI114)-CI113-CI115</f>
        <v>310512642.47767013</v>
      </c>
      <c r="CJ116" s="1128">
        <f>SUM(CJ103:CJ112,CJ114)-CJ113-CJ115</f>
        <v>157301210.8664186</v>
      </c>
      <c r="CK116" s="1128">
        <f>SUM(CK103:CK112,CK114)-CK113-CK115</f>
        <v>68281782.193875104</v>
      </c>
      <c r="CL116" s="1128">
        <f>SUM(CL103:CL112,CL114)-CL113-CL115</f>
        <v>84929649.417376354</v>
      </c>
      <c r="CM116" s="1119"/>
      <c r="CQ116" s="1128">
        <f>SUM(CQ103:CQ112,CQ114)-CQ113-CQ115</f>
        <v>310512642.47767013</v>
      </c>
      <c r="CR116" s="1128">
        <f>SUM(CR103:CR112,CR114)-CR113-CR115</f>
        <v>157301210.8664186</v>
      </c>
      <c r="CS116" s="1128">
        <f>SUM(CS103:CS112,CS114)-CS113-CS115</f>
        <v>68281782.193875104</v>
      </c>
      <c r="CT116" s="1128">
        <f>SUM(CT103:CT112,CT114)-CT113-CT115</f>
        <v>84929649.417376354</v>
      </c>
      <c r="CU116" s="1119"/>
      <c r="CY116" s="1128">
        <f>SUM(CY103:CY112,CY114)-CY113-CY115</f>
        <v>310512642.47767013</v>
      </c>
      <c r="CZ116" s="1128">
        <f>SUM(CZ103:CZ112,CZ114)-CZ113-CZ115</f>
        <v>157301210.8664186</v>
      </c>
      <c r="DA116" s="1128">
        <f>SUM(DA103:DA112,DA114)-DA113-DA115</f>
        <v>68281782.193875104</v>
      </c>
      <c r="DB116" s="1128">
        <f>SUM(DB103:DB112,DB114)-DB113-DB115</f>
        <v>84929649.417376354</v>
      </c>
      <c r="DC116" s="1119"/>
      <c r="DG116" s="1128">
        <f>SUM(DG103:DG112,DG114)-DG113-DG115</f>
        <v>310512642.47767013</v>
      </c>
      <c r="DH116" s="1128">
        <f>SUM(DH103:DH112,DH114)-DH113-DH115</f>
        <v>157301210.8664186</v>
      </c>
      <c r="DI116" s="1128">
        <f>SUM(DI103:DI112,DI114)-DI113-DI115</f>
        <v>68281782.193875104</v>
      </c>
      <c r="DJ116" s="1128">
        <f>SUM(DJ103:DJ112,DJ114)-DJ113-DJ115</f>
        <v>84929649.417376354</v>
      </c>
      <c r="DK116" s="1119"/>
      <c r="DO116" s="1128">
        <f>SUM(DO103:DO112,DO114)-DO113-DO115</f>
        <v>310512642.47767013</v>
      </c>
      <c r="DP116" s="1128">
        <f>SUM(DP103:DP112,DP114)-DP113-DP115</f>
        <v>157301210.8664186</v>
      </c>
      <c r="DQ116" s="1128">
        <f>SUM(DQ103:DQ112,DQ114)-DQ113-DQ115</f>
        <v>68281782.193875104</v>
      </c>
      <c r="DR116" s="1128">
        <f>SUM(DR103:DR112,DR114)-DR113-DR115</f>
        <v>84929649.417376354</v>
      </c>
      <c r="DS116" s="1119"/>
      <c r="DW116" s="1128">
        <f>SUM(DW103:DW112,DW114)-DW113-DW115</f>
        <v>310512642.47767013</v>
      </c>
      <c r="DX116" s="1128">
        <f>SUM(DX103:DX112,DX114)-DX113-DX115</f>
        <v>157301210.8664186</v>
      </c>
      <c r="DY116" s="1128">
        <f>SUM(DY103:DY112,DY114)-DY113-DY115</f>
        <v>68281782.193875104</v>
      </c>
      <c r="DZ116" s="1128">
        <f>SUM(DZ103:DZ112,DZ114)-DZ113-DZ115</f>
        <v>84929649.417376354</v>
      </c>
      <c r="EA116" s="1119"/>
      <c r="EE116" s="1128">
        <f>SUM(EE103:EE112,EE114)-EE113-EE115</f>
        <v>310512642.47767013</v>
      </c>
      <c r="EF116" s="1128">
        <f>SUM(EF103:EF112,EF114)-EF113-EF115</f>
        <v>157301210.8664186</v>
      </c>
      <c r="EG116" s="1128">
        <f>SUM(EG103:EG112,EG114)-EG113-EG115</f>
        <v>68281782.193875104</v>
      </c>
      <c r="EH116" s="1128">
        <f>SUM(EH103:EH112,EH114)-EH113-EH115</f>
        <v>84929649.417376354</v>
      </c>
      <c r="EI116" s="1119"/>
      <c r="EM116" s="1128">
        <f>SUM(EM103:EM112,EM114)-EM113-EM115</f>
        <v>310512642.47767013</v>
      </c>
      <c r="EN116" s="1128">
        <f>SUM(EN103:EN112,EN114)-EN113-EN115</f>
        <v>157301210.8664186</v>
      </c>
      <c r="EO116" s="1128">
        <f>SUM(EO103:EO112,EO114)-EO113-EO115</f>
        <v>68281782.193875104</v>
      </c>
      <c r="EP116" s="1128">
        <f>SUM(EP103:EP112,EP114)-EP113-EP115</f>
        <v>84929649.417376354</v>
      </c>
      <c r="EQ116" s="1119"/>
      <c r="EU116" s="1128">
        <f>SUM(EU103:EU112,EU114)-EU113-EU115</f>
        <v>310512642.47767013</v>
      </c>
      <c r="EV116" s="1128">
        <f>SUM(EV103:EV112,EV114)-EV113-EV115</f>
        <v>157301210.8664186</v>
      </c>
      <c r="EW116" s="1128">
        <f>SUM(EW103:EW112,EW114)-EW113-EW115</f>
        <v>68281782.193875104</v>
      </c>
      <c r="EX116" s="1128">
        <f>SUM(EX103:EX112,EX114)-EX113-EX115</f>
        <v>84929649.417376354</v>
      </c>
      <c r="EY116" s="1119"/>
      <c r="FC116" s="1128">
        <f>SUM(FC103:FC112,FC114)-FC113-FC115</f>
        <v>310512642.47767013</v>
      </c>
      <c r="FD116" s="1128">
        <f>SUM(FD103:FD112,FD114)-FD113-FD115</f>
        <v>157301210.8664186</v>
      </c>
      <c r="FE116" s="1128">
        <f>SUM(FE103:FE112,FE114)-FE113-FE115</f>
        <v>68281782.193875104</v>
      </c>
      <c r="FF116" s="1128">
        <f>SUM(FF103:FF112,FF114)-FF113-FF115</f>
        <v>84929649.417376354</v>
      </c>
      <c r="FG116" s="1119"/>
      <c r="FK116" s="1128">
        <f>SUM(FK103:FK112,FK114)-FK113-FK115</f>
        <v>310512642.47767013</v>
      </c>
      <c r="FL116" s="1128">
        <f>SUM(FL103:FL112,FL114)-FL113-FL115</f>
        <v>157301210.8664186</v>
      </c>
      <c r="FM116" s="1128">
        <f>SUM(FM103:FM112,FM114)-FM113-FM115</f>
        <v>68281782.193875104</v>
      </c>
      <c r="FN116" s="1128">
        <f>SUM(FN103:FN112,FN114)-FN113-FN115</f>
        <v>84929649.417376354</v>
      </c>
      <c r="FO116" s="1119"/>
    </row>
    <row r="117" spans="1:171" ht="16.5" thickBot="1" x14ac:dyDescent="0.3">
      <c r="A117" s="956"/>
      <c r="B117" s="957"/>
      <c r="C117" s="958"/>
      <c r="D117" s="958"/>
      <c r="E117" s="958"/>
      <c r="F117" s="958"/>
      <c r="G117" s="959"/>
      <c r="H117" s="959"/>
      <c r="I117" s="959"/>
      <c r="J117" s="960"/>
      <c r="K117" s="904"/>
      <c r="S117" s="1119"/>
      <c r="AA117" s="1119"/>
      <c r="AI117" s="1119"/>
      <c r="AQ117" s="1119"/>
      <c r="AY117" s="1119"/>
      <c r="BG117" s="1119"/>
      <c r="BO117" s="1119"/>
      <c r="BW117" s="1119"/>
      <c r="CE117" s="1119"/>
      <c r="CM117" s="1119"/>
      <c r="CU117" s="1119"/>
      <c r="DC117" s="1119"/>
      <c r="DK117" s="1119"/>
      <c r="DS117" s="1119"/>
      <c r="EA117" s="1119"/>
      <c r="EI117" s="1119"/>
      <c r="EQ117" s="1119"/>
      <c r="EY117" s="1119"/>
      <c r="FG117" s="1119"/>
      <c r="FO117" s="1119"/>
    </row>
    <row r="118" spans="1:171" ht="16.5" thickTop="1" x14ac:dyDescent="0.25">
      <c r="A118" s="961" t="s">
        <v>179</v>
      </c>
      <c r="B118" s="79"/>
      <c r="C118" s="941"/>
      <c r="D118" s="196"/>
      <c r="E118" s="196"/>
      <c r="F118" s="196"/>
      <c r="G118" s="922"/>
      <c r="H118" s="198"/>
      <c r="I118" s="198"/>
      <c r="J118" s="200"/>
      <c r="K118" s="904"/>
      <c r="S118" s="1119"/>
      <c r="AA118" s="1119"/>
      <c r="AI118" s="1119"/>
      <c r="AQ118" s="1119"/>
      <c r="AY118" s="1119"/>
      <c r="BG118" s="1119"/>
      <c r="BO118" s="1119"/>
      <c r="BW118" s="1119"/>
      <c r="CE118" s="1119"/>
      <c r="CM118" s="1119"/>
      <c r="CU118" s="1119"/>
      <c r="DC118" s="1119"/>
      <c r="DK118" s="1119"/>
      <c r="DS118" s="1119"/>
      <c r="EA118" s="1119"/>
      <c r="EI118" s="1119"/>
      <c r="EQ118" s="1119"/>
      <c r="EY118" s="1119"/>
      <c r="FG118" s="1119"/>
      <c r="FO118" s="1119"/>
    </row>
    <row r="119" spans="1:171" x14ac:dyDescent="0.25">
      <c r="A119" s="913"/>
      <c r="B119" s="79" t="s">
        <v>10</v>
      </c>
      <c r="C119" s="889" t="s">
        <v>78</v>
      </c>
      <c r="D119" s="889">
        <v>181</v>
      </c>
      <c r="E119" s="182" t="str">
        <f>'Sch 1- Rate Base '!E119</f>
        <v>PTDG</v>
      </c>
      <c r="F119" s="890"/>
      <c r="G119" s="182">
        <f>'Sch 1- Rate Base '!G119</f>
        <v>23084661.294751231</v>
      </c>
      <c r="H119" s="182">
        <f>'Sch 1- Rate Base '!H119</f>
        <v>10028311.633164721</v>
      </c>
      <c r="I119" s="182">
        <f>'Sch 1- Rate Base '!I119</f>
        <v>0</v>
      </c>
      <c r="J119" s="183">
        <f>'Sch 1- Rate Base '!J119</f>
        <v>13058659.838991489</v>
      </c>
      <c r="K119" s="904">
        <f t="shared" ref="K119:K132" si="385">IF($E119="DIRECT",0,1)</f>
        <v>1</v>
      </c>
      <c r="O119" s="1117">
        <f t="shared" ref="O119:O132" si="386">$G119</f>
        <v>23084661.294751231</v>
      </c>
      <c r="P119" s="1118">
        <f>VLOOKUP($E119,O$442:R$453,2,FALSE)*O119*($K119)+IF($G119&lt;&gt;0,($H119/$G119)*O119,0)*(1-$K119)</f>
        <v>10028311.633164721</v>
      </c>
      <c r="Q119" s="1118">
        <f>VLOOKUP($E119,O$442:R$453,3,FALSE)*O119*($K119)+IF($G119&lt;&gt;0,($I119/$G119)*O119,0)*(1-$K119)</f>
        <v>5842751.327451501</v>
      </c>
      <c r="R119" s="1118">
        <f>VLOOKUP($E119,O$442:R$453,4,FALSE)*O119*($K119)+(O119-P119-Q119)*(1-$K119)</f>
        <v>7213598.3341350071</v>
      </c>
      <c r="S119" s="1119"/>
      <c r="W119" s="1117">
        <f t="shared" ref="W119:W132" si="387">$G119</f>
        <v>23084661.294751231</v>
      </c>
      <c r="X119" s="1118">
        <f>VLOOKUP($E119,W$442:Z$453,2,FALSE)*W119*($K119)+IF($G119&lt;&gt;0,($H119/$G119)*W119,0)*(1-$K119)</f>
        <v>10028311.633164721</v>
      </c>
      <c r="Y119" s="1118">
        <f>VLOOKUP($E119,W$442:Z$453,3,FALSE)*W119*($K119)+IF($G119&lt;&gt;0,($I119/$G119)*W119,0)*(1-$K119)</f>
        <v>5842751.327451501</v>
      </c>
      <c r="Z119" s="1118">
        <f>VLOOKUP($E119,W$442:Z$453,4,FALSE)*W119*($K119)+(W119-X119-Y119)*(1-$K119)</f>
        <v>7213598.3341350071</v>
      </c>
      <c r="AA119" s="1119"/>
      <c r="AE119" s="1117">
        <f t="shared" ref="AE119:AE132" si="388">$G119</f>
        <v>23084661.294751231</v>
      </c>
      <c r="AF119" s="1118">
        <f>VLOOKUP($E119,AE$442:AH$453,2,FALSE)*AE119*($K119)+IF($G119&lt;&gt;0,($H119/$G119)*AE119,0)*(1-$K119)</f>
        <v>10028311.633164721</v>
      </c>
      <c r="AG119" s="1118">
        <f>VLOOKUP($E119,AE$442:AH$453,3,FALSE)*AE119*($K119)+IF($G119&lt;&gt;0,($I119/$G119)*AE119,0)*(1-$K119)</f>
        <v>5842751.327451501</v>
      </c>
      <c r="AH119" s="1118">
        <f>VLOOKUP($E119,AE$442:AH$453,4,FALSE)*AE119*($K119)+(AE119-AF119-AG119)*(1-$K119)</f>
        <v>7213598.3341350071</v>
      </c>
      <c r="AI119" s="1119"/>
      <c r="AM119" s="1117">
        <f t="shared" ref="AM119:AM132" si="389">$G119</f>
        <v>23084661.294751231</v>
      </c>
      <c r="AN119" s="1118">
        <f>VLOOKUP($E119,AM$442:AP$453,2,FALSE)*AM119*($K119)+IF($G119&lt;&gt;0,($H119/$G119)*AM119,0)*(1-$K119)</f>
        <v>10028311.633164721</v>
      </c>
      <c r="AO119" s="1118">
        <f>VLOOKUP($E119,AM$442:AP$453,3,FALSE)*AM119*($K119)+IF($G119&lt;&gt;0,($I119/$G119)*AM119,0)*(1-$K119)</f>
        <v>5842751.327451501</v>
      </c>
      <c r="AP119" s="1118">
        <f>VLOOKUP($E119,AM$442:AP$453,4,FALSE)*AM119*($K119)+(AM119-AN119-AO119)*(1-$K119)</f>
        <v>7213598.3341350071</v>
      </c>
      <c r="AQ119" s="1119"/>
      <c r="AU119" s="1117">
        <f t="shared" ref="AU119:AU132" si="390">$G119</f>
        <v>23084661.294751231</v>
      </c>
      <c r="AV119" s="1118">
        <f>VLOOKUP($E119,AU$442:AX$453,2,FALSE)*AU119*($K119)+IF($G119&lt;&gt;0,($H119/$G119)*AU119,0)*(1-$K119)</f>
        <v>10028311.633164721</v>
      </c>
      <c r="AW119" s="1118">
        <f>VLOOKUP($E119,AU$442:AX$453,3,FALSE)*AU119*($K119)+IF($G119&lt;&gt;0,($I119/$G119)*AU119,0)*(1-$K119)</f>
        <v>5842751.327451501</v>
      </c>
      <c r="AX119" s="1118">
        <f>VLOOKUP($E119,AU$442:AX$453,4,FALSE)*AU119*($K119)+(AU119-AV119-AW119)*(1-$K119)</f>
        <v>7213598.3341350071</v>
      </c>
      <c r="AY119" s="1119"/>
      <c r="BC119" s="1117">
        <f t="shared" ref="BC119:BC132" si="391">$G119</f>
        <v>23084661.294751231</v>
      </c>
      <c r="BD119" s="1118">
        <f>VLOOKUP($E119,BC$442:BF$453,2,FALSE)*BC119*($K119)+IF($G119&lt;&gt;0,($H119/$G119)*BC119,0)*(1-$K119)</f>
        <v>10028311.633164721</v>
      </c>
      <c r="BE119" s="1118">
        <f>VLOOKUP($E119,BC$442:BF$453,3,FALSE)*BC119*($K119)+IF($G119&lt;&gt;0,($I119/$G119)*BC119,0)*(1-$K119)</f>
        <v>5842751.327451501</v>
      </c>
      <c r="BF119" s="1118">
        <f>VLOOKUP($E119,BC$442:BF$453,4,FALSE)*BC119*($K119)+(BC119-BD119-BE119)*(1-$K119)</f>
        <v>7213598.3341350071</v>
      </c>
      <c r="BG119" s="1119"/>
      <c r="BK119" s="1117">
        <f t="shared" ref="BK119:BK132" si="392">$G119</f>
        <v>23084661.294751231</v>
      </c>
      <c r="BL119" s="1118">
        <f>VLOOKUP($E119,BK$442:BN$453,2,FALSE)*BK119*($K119)+IF($G119&lt;&gt;0,($H119/$G119)*BK119,0)*(1-$K119)</f>
        <v>10028311.633164721</v>
      </c>
      <c r="BM119" s="1118">
        <f>VLOOKUP($E119,BK$442:BN$453,3,FALSE)*BK119*($K119)+IF($G119&lt;&gt;0,($I119/$G119)*BK119,0)*(1-$K119)</f>
        <v>5842751.327451501</v>
      </c>
      <c r="BN119" s="1118">
        <f>VLOOKUP($E119,BK$442:BN$453,4,FALSE)*BK119*($K119)+(BK119-BL119-BM119)*(1-$K119)</f>
        <v>7213598.3341350071</v>
      </c>
      <c r="BO119" s="1119"/>
      <c r="BS119" s="1117">
        <f t="shared" ref="BS119:BS132" si="393">$G119</f>
        <v>23084661.294751231</v>
      </c>
      <c r="BT119" s="1118">
        <f>VLOOKUP($E119,BS$442:BV$453,2,FALSE)*BS119*($K119)+IF($G119&lt;&gt;0,($H119/$G119)*BS119,0)*(1-$K119)</f>
        <v>10028311.633164721</v>
      </c>
      <c r="BU119" s="1118">
        <f>VLOOKUP($E119,BS$442:BV$453,3,FALSE)*BS119*($K119)+IF($G119&lt;&gt;0,($I119/$G119)*BS119,0)*(1-$K119)</f>
        <v>5842751.327451501</v>
      </c>
      <c r="BV119" s="1118">
        <f>VLOOKUP($E119,BS$442:BV$453,4,FALSE)*BS119*($K119)+(BS119-BT119-BU119)*(1-$K119)</f>
        <v>7213598.3341350071</v>
      </c>
      <c r="BW119" s="1119"/>
      <c r="CA119" s="1117">
        <f t="shared" ref="CA119:CA132" si="394">$G119</f>
        <v>23084661.294751231</v>
      </c>
      <c r="CB119" s="1118">
        <f>VLOOKUP($E119,CA$442:CD$453,2,FALSE)*CA119*($K119)+IF($G119&lt;&gt;0,($H119/$G119)*CA119,0)*(1-$K119)</f>
        <v>10028311.633164721</v>
      </c>
      <c r="CC119" s="1118">
        <f>VLOOKUP($E119,CA$442:CD$453,3,FALSE)*CA119*($K119)+IF($G119&lt;&gt;0,($I119/$G119)*CA119,0)*(1-$K119)</f>
        <v>5842751.327451501</v>
      </c>
      <c r="CD119" s="1118">
        <f>VLOOKUP($E119,CA$442:CD$453,4,FALSE)*CA119*($K119)+(CA119-CB119-CC119)*(1-$K119)</f>
        <v>7213598.3341350071</v>
      </c>
      <c r="CE119" s="1119"/>
      <c r="CI119" s="1117">
        <f t="shared" ref="CI119:CI132" si="395">$G119</f>
        <v>23084661.294751231</v>
      </c>
      <c r="CJ119" s="1118">
        <f>VLOOKUP($E119,CI$442:CL$453,2,FALSE)*CI119*($K119)+IF($G119&lt;&gt;0,($H119/$G119)*CI119,0)*(1-$K119)</f>
        <v>10028311.633164721</v>
      </c>
      <c r="CK119" s="1118">
        <f>VLOOKUP($E119,CI$442:CL$453,3,FALSE)*CI119*($K119)+IF($G119&lt;&gt;0,($I119/$G119)*CI119,0)*(1-$K119)</f>
        <v>5842751.327451501</v>
      </c>
      <c r="CL119" s="1118">
        <f>VLOOKUP($E119,CI$442:CL$453,4,FALSE)*CI119*($K119)+(CI119-CJ119-CK119)*(1-$K119)</f>
        <v>7213598.3341350071</v>
      </c>
      <c r="CM119" s="1119"/>
      <c r="CQ119" s="1117">
        <f t="shared" ref="CQ119:CQ132" si="396">$G119</f>
        <v>23084661.294751231</v>
      </c>
      <c r="CR119" s="1118">
        <f>VLOOKUP($E119,CQ$442:CT$453,2,FALSE)*CQ119*($K119)+IF($G119&lt;&gt;0,($H119/$G119)*CQ119,0)*(1-$K119)</f>
        <v>10028311.633164721</v>
      </c>
      <c r="CS119" s="1118">
        <f>VLOOKUP($E119,CQ$442:CT$453,3,FALSE)*CQ119*($K119)+IF($G119&lt;&gt;0,($I119/$G119)*CQ119,0)*(1-$K119)</f>
        <v>5842751.327451501</v>
      </c>
      <c r="CT119" s="1118">
        <f>VLOOKUP($E119,CQ$442:CT$453,4,FALSE)*CQ119*($K119)+(CQ119-CR119-CS119)*(1-$K119)</f>
        <v>7213598.3341350071</v>
      </c>
      <c r="CU119" s="1119"/>
      <c r="CY119" s="1117">
        <f t="shared" ref="CY119:CY132" si="397">$G119</f>
        <v>23084661.294751231</v>
      </c>
      <c r="CZ119" s="1118">
        <f>VLOOKUP($E119,CY$442:DB$453,2,FALSE)*CY119*($K119)+IF($G119&lt;&gt;0,($H119/$G119)*CY119,0)*(1-$K119)</f>
        <v>10028311.633164721</v>
      </c>
      <c r="DA119" s="1118">
        <f>VLOOKUP($E119,CY$442:DB$453,3,FALSE)*CY119*($K119)+IF($G119&lt;&gt;0,($I119/$G119)*CY119,0)*(1-$K119)</f>
        <v>5842751.327451501</v>
      </c>
      <c r="DB119" s="1118">
        <f>VLOOKUP($E119,CY$442:DB$453,4,FALSE)*CY119*($K119)+(CY119-CZ119-DA119)*(1-$K119)</f>
        <v>7213598.3341350071</v>
      </c>
      <c r="DC119" s="1119"/>
      <c r="DG119" s="1117">
        <f t="shared" ref="DG119:DG132" si="398">$G119</f>
        <v>23084661.294751231</v>
      </c>
      <c r="DH119" s="1118">
        <f>VLOOKUP($E119,DG$442:DJ$453,2,FALSE)*DG119*($K119)+IF($G119&lt;&gt;0,($H119/$G119)*DG119,0)*(1-$K119)</f>
        <v>10028311.633164721</v>
      </c>
      <c r="DI119" s="1118">
        <f>VLOOKUP($E119,DG$442:DJ$453,3,FALSE)*DG119*($K119)+IF($G119&lt;&gt;0,($I119/$G119)*DG119,0)*(1-$K119)</f>
        <v>5842751.327451501</v>
      </c>
      <c r="DJ119" s="1118">
        <f>VLOOKUP($E119,DG$442:DJ$453,4,FALSE)*DG119*($K119)+(DG119-DH119-DI119)*(1-$K119)</f>
        <v>7213598.3341350071</v>
      </c>
      <c r="DK119" s="1119"/>
      <c r="DO119" s="1117">
        <f t="shared" ref="DO119:DO132" si="399">$G119</f>
        <v>23084661.294751231</v>
      </c>
      <c r="DP119" s="1118">
        <f>VLOOKUP($E119,DO$442:DR$453,2,FALSE)*DO119*($K119)+IF($G119&lt;&gt;0,($H119/$G119)*DO119,0)*(1-$K119)</f>
        <v>10028311.633164721</v>
      </c>
      <c r="DQ119" s="1118">
        <f>VLOOKUP($E119,DO$442:DR$453,3,FALSE)*DO119*($K119)+IF($G119&lt;&gt;0,($I119/$G119)*DO119,0)*(1-$K119)</f>
        <v>5842751.327451501</v>
      </c>
      <c r="DR119" s="1118">
        <f>VLOOKUP($E119,DO$442:DR$453,4,FALSE)*DO119*($K119)+(DO119-DP119-DQ119)*(1-$K119)</f>
        <v>7213598.3341350071</v>
      </c>
      <c r="DS119" s="1119"/>
      <c r="DW119" s="1117">
        <f t="shared" ref="DW119:DW132" si="400">$G119</f>
        <v>23084661.294751231</v>
      </c>
      <c r="DX119" s="1118">
        <f>VLOOKUP($E119,DW$442:DZ$453,2,FALSE)*DW119*($K119)+IF($G119&lt;&gt;0,($H119/$G119)*DW119,0)*(1-$K119)</f>
        <v>10028311.633164721</v>
      </c>
      <c r="DY119" s="1118">
        <f>VLOOKUP($E119,DW$442:DZ$453,3,FALSE)*DW119*($K119)+IF($G119&lt;&gt;0,($I119/$G119)*DW119,0)*(1-$K119)</f>
        <v>5842751.327451501</v>
      </c>
      <c r="DZ119" s="1118">
        <f>VLOOKUP($E119,DW$442:DZ$453,4,FALSE)*DW119*($K119)+(DW119-DX119-DY119)*(1-$K119)</f>
        <v>7213598.3341350071</v>
      </c>
      <c r="EA119" s="1119"/>
      <c r="EE119" s="1117">
        <f t="shared" ref="EE119:EE132" si="401">$G119</f>
        <v>23084661.294751231</v>
      </c>
      <c r="EF119" s="1118">
        <f>VLOOKUP($E119,EE$442:EH$453,2,FALSE)*EE119*($K119)+IF($G119&lt;&gt;0,($H119/$G119)*EE119,0)*(1-$K119)</f>
        <v>10028311.633164721</v>
      </c>
      <c r="EG119" s="1118">
        <f>VLOOKUP($E119,EE$442:EH$453,3,FALSE)*EE119*($K119)+IF($G119&lt;&gt;0,($I119/$G119)*EE119,0)*(1-$K119)</f>
        <v>5842751.327451501</v>
      </c>
      <c r="EH119" s="1118">
        <f>VLOOKUP($E119,EE$442:EH$453,4,FALSE)*EE119*($K119)+(EE119-EF119-EG119)*(1-$K119)</f>
        <v>7213598.3341350071</v>
      </c>
      <c r="EI119" s="1119"/>
      <c r="EM119" s="1117">
        <f t="shared" ref="EM119:EM132" si="402">$G119</f>
        <v>23084661.294751231</v>
      </c>
      <c r="EN119" s="1118">
        <f>VLOOKUP($E119,EM$442:EP$453,2,FALSE)*EM119*($K119)+IF($G119&lt;&gt;0,($H119/$G119)*EM119,0)*(1-$K119)</f>
        <v>10028311.633164721</v>
      </c>
      <c r="EO119" s="1118">
        <f>VLOOKUP($E119,EM$442:EP$453,3,FALSE)*EM119*($K119)+IF($G119&lt;&gt;0,($I119/$G119)*EM119,0)*(1-$K119)</f>
        <v>5842751.327451501</v>
      </c>
      <c r="EP119" s="1118">
        <f>VLOOKUP($E119,EM$442:EP$453,4,FALSE)*EM119*($K119)+(EM119-EN119-EO119)*(1-$K119)</f>
        <v>7213598.3341350071</v>
      </c>
      <c r="EQ119" s="1119"/>
      <c r="EU119" s="1117">
        <f t="shared" ref="EU119:EU132" si="403">$G119</f>
        <v>23084661.294751231</v>
      </c>
      <c r="EV119" s="1118">
        <f>VLOOKUP($E119,EU$442:EX$453,2,FALSE)*EU119*($K119)+IF($G119&lt;&gt;0,($H119/$G119)*EU119,0)*(1-$K119)</f>
        <v>10028311.633164721</v>
      </c>
      <c r="EW119" s="1118">
        <f>VLOOKUP($E119,EU$442:EX$453,3,FALSE)*EU119*($K119)+IF($G119&lt;&gt;0,($I119/$G119)*EU119,0)*(1-$K119)</f>
        <v>5842751.327451501</v>
      </c>
      <c r="EX119" s="1118">
        <f>VLOOKUP($E119,EU$442:EX$453,4,FALSE)*EU119*($K119)+(EU119-EV119-EW119)*(1-$K119)</f>
        <v>7213598.3341350071</v>
      </c>
      <c r="EY119" s="1119"/>
      <c r="FC119" s="1117">
        <f t="shared" ref="FC119:FC132" si="404">$G119</f>
        <v>23084661.294751231</v>
      </c>
      <c r="FD119" s="1118">
        <f>VLOOKUP($E119,FC$442:FF$453,2,FALSE)*FC119*($K119)+IF($G119&lt;&gt;0,($H119/$G119)*FC119,0)*(1-$K119)</f>
        <v>10028311.633164721</v>
      </c>
      <c r="FE119" s="1118">
        <f>VLOOKUP($E119,FC$442:FF$453,3,FALSE)*FC119*($K119)+IF($G119&lt;&gt;0,($I119/$G119)*FC119,0)*(1-$K119)</f>
        <v>5842751.327451501</v>
      </c>
      <c r="FF119" s="1118">
        <f>VLOOKUP($E119,FC$442:FF$453,4,FALSE)*FC119*($K119)+(FC119-FD119-FE119)*(1-$K119)</f>
        <v>7213598.3341350071</v>
      </c>
      <c r="FG119" s="1119"/>
      <c r="FK119" s="1117">
        <f t="shared" ref="FK119:FK132" si="405">$G119</f>
        <v>23084661.294751231</v>
      </c>
      <c r="FL119" s="1118">
        <f>VLOOKUP($E119,FK$442:FN$453,2,FALSE)*FK119*($K119)+IF($G119&lt;&gt;0,($H119/$G119)*FK119,0)*(1-$K119)</f>
        <v>10028311.633164721</v>
      </c>
      <c r="FM119" s="1118">
        <f>VLOOKUP($E119,FK$442:FN$453,3,FALSE)*FK119*($K119)+IF($G119&lt;&gt;0,($I119/$G119)*FK119,0)*(1-$K119)</f>
        <v>5842751.327451501</v>
      </c>
      <c r="FN119" s="1118">
        <f>VLOOKUP($E119,FK$442:FN$453,4,FALSE)*FK119*($K119)+(FK119-FL119-FM119)*(1-$K119)</f>
        <v>7213598.3341350071</v>
      </c>
      <c r="FO119" s="1119"/>
    </row>
    <row r="120" spans="1:171" x14ac:dyDescent="0.25">
      <c r="A120" s="913"/>
      <c r="B120" s="79" t="s">
        <v>11</v>
      </c>
      <c r="C120" s="889" t="s">
        <v>78</v>
      </c>
      <c r="D120" s="889">
        <v>182.1</v>
      </c>
      <c r="E120" s="182" t="str">
        <f>'Sch 1- Rate Base '!E120</f>
        <v>DIRECT</v>
      </c>
      <c r="F120" s="890"/>
      <c r="G120" s="182">
        <f>'Sch 1- Rate Base '!G120</f>
        <v>0</v>
      </c>
      <c r="H120" s="182">
        <f>'Sch 1- Rate Base '!H120</f>
        <v>0</v>
      </c>
      <c r="I120" s="182">
        <f>'Sch 1- Rate Base '!I120</f>
        <v>0</v>
      </c>
      <c r="J120" s="183">
        <f>'Sch 1- Rate Base '!J120</f>
        <v>0</v>
      </c>
      <c r="K120" s="904">
        <f t="shared" si="385"/>
        <v>0</v>
      </c>
      <c r="O120" s="1117">
        <f t="shared" si="386"/>
        <v>0</v>
      </c>
      <c r="P120" s="1118">
        <f t="shared" ref="P120:P132" si="406">VLOOKUP($E120,O$442:R$453,2,FALSE)*O120*($K120)+IF($G120&lt;&gt;0,($H120/$G120)*O120,0)*(1-$K120)</f>
        <v>0</v>
      </c>
      <c r="Q120" s="1118">
        <f t="shared" ref="Q120:Q132" si="407">VLOOKUP($E120,O$442:R$453,3,FALSE)*O120*($K120)+IF($G120&lt;&gt;0,($I120/$G120)*O120,0)*(1-$K120)</f>
        <v>0</v>
      </c>
      <c r="R120" s="1118">
        <f t="shared" ref="R120:R132" si="408">VLOOKUP($E120,O$442:R$453,4,FALSE)*O120*($K120)+(O120-P120-Q120)*(1-$K120)</f>
        <v>0</v>
      </c>
      <c r="S120" s="1119"/>
      <c r="W120" s="1117">
        <f t="shared" si="387"/>
        <v>0</v>
      </c>
      <c r="X120" s="1118">
        <f t="shared" ref="X120:X132" si="409">VLOOKUP($E120,W$442:Z$453,2,FALSE)*W120*($K120)+IF($G120&lt;&gt;0,($H120/$G120)*W120,0)*(1-$K120)</f>
        <v>0</v>
      </c>
      <c r="Y120" s="1118">
        <f t="shared" ref="Y120:Y132" si="410">VLOOKUP($E120,W$442:Z$453,3,FALSE)*W120*($K120)+IF($G120&lt;&gt;0,($I120/$G120)*W120,0)*(1-$K120)</f>
        <v>0</v>
      </c>
      <c r="Z120" s="1118">
        <f t="shared" ref="Z120:Z132" si="411">VLOOKUP($E120,W$442:Z$453,4,FALSE)*W120*($K120)+(W120-X120-Y120)*(1-$K120)</f>
        <v>0</v>
      </c>
      <c r="AA120" s="1119"/>
      <c r="AE120" s="1117">
        <f t="shared" si="388"/>
        <v>0</v>
      </c>
      <c r="AF120" s="1118">
        <f t="shared" ref="AF120:AF132" si="412">VLOOKUP($E120,AE$442:AH$453,2,FALSE)*AE120*($K120)+IF($G120&lt;&gt;0,($H120/$G120)*AE120,0)*(1-$K120)</f>
        <v>0</v>
      </c>
      <c r="AG120" s="1118">
        <f t="shared" ref="AG120:AG132" si="413">VLOOKUP($E120,AE$442:AH$453,3,FALSE)*AE120*($K120)+IF($G120&lt;&gt;0,($I120/$G120)*AE120,0)*(1-$K120)</f>
        <v>0</v>
      </c>
      <c r="AH120" s="1118">
        <f t="shared" ref="AH120:AH132" si="414">VLOOKUP($E120,AE$442:AH$453,4,FALSE)*AE120*($K120)+(AE120-AF120-AG120)*(1-$K120)</f>
        <v>0</v>
      </c>
      <c r="AI120" s="1119"/>
      <c r="AM120" s="1117">
        <f t="shared" si="389"/>
        <v>0</v>
      </c>
      <c r="AN120" s="1118">
        <f t="shared" ref="AN120:AN132" si="415">VLOOKUP($E120,AM$442:AP$453,2,FALSE)*AM120*($K120)+IF($G120&lt;&gt;0,($H120/$G120)*AM120,0)*(1-$K120)</f>
        <v>0</v>
      </c>
      <c r="AO120" s="1118">
        <f t="shared" ref="AO120:AO132" si="416">VLOOKUP($E120,AM$442:AP$453,3,FALSE)*AM120*($K120)+IF($G120&lt;&gt;0,($I120/$G120)*AM120,0)*(1-$K120)</f>
        <v>0</v>
      </c>
      <c r="AP120" s="1118">
        <f t="shared" ref="AP120:AP132" si="417">VLOOKUP($E120,AM$442:AP$453,4,FALSE)*AM120*($K120)+(AM120-AN120-AO120)*(1-$K120)</f>
        <v>0</v>
      </c>
      <c r="AQ120" s="1119"/>
      <c r="AU120" s="1117">
        <f t="shared" si="390"/>
        <v>0</v>
      </c>
      <c r="AV120" s="1118">
        <f t="shared" ref="AV120:AV132" si="418">VLOOKUP($E120,AU$442:AX$453,2,FALSE)*AU120*($K120)+IF($G120&lt;&gt;0,($H120/$G120)*AU120,0)*(1-$K120)</f>
        <v>0</v>
      </c>
      <c r="AW120" s="1118">
        <f t="shared" ref="AW120:AW132" si="419">VLOOKUP($E120,AU$442:AX$453,3,FALSE)*AU120*($K120)+IF($G120&lt;&gt;0,($I120/$G120)*AU120,0)*(1-$K120)</f>
        <v>0</v>
      </c>
      <c r="AX120" s="1118">
        <f t="shared" ref="AX120:AX132" si="420">VLOOKUP($E120,AU$442:AX$453,4,FALSE)*AU120*($K120)+(AU120-AV120-AW120)*(1-$K120)</f>
        <v>0</v>
      </c>
      <c r="AY120" s="1119"/>
      <c r="BC120" s="1117">
        <f t="shared" si="391"/>
        <v>0</v>
      </c>
      <c r="BD120" s="1118">
        <f t="shared" ref="BD120:BD132" si="421">VLOOKUP($E120,BC$442:BF$453,2,FALSE)*BC120*($K120)+IF($G120&lt;&gt;0,($H120/$G120)*BC120,0)*(1-$K120)</f>
        <v>0</v>
      </c>
      <c r="BE120" s="1118">
        <f t="shared" ref="BE120:BE132" si="422">VLOOKUP($E120,BC$442:BF$453,3,FALSE)*BC120*($K120)+IF($G120&lt;&gt;0,($I120/$G120)*BC120,0)*(1-$K120)</f>
        <v>0</v>
      </c>
      <c r="BF120" s="1118">
        <f t="shared" ref="BF120:BF132" si="423">VLOOKUP($E120,BC$442:BF$453,4,FALSE)*BC120*($K120)+(BC120-BD120-BE120)*(1-$K120)</f>
        <v>0</v>
      </c>
      <c r="BG120" s="1119"/>
      <c r="BK120" s="1117">
        <f t="shared" si="392"/>
        <v>0</v>
      </c>
      <c r="BL120" s="1118">
        <f t="shared" ref="BL120:BL132" si="424">VLOOKUP($E120,BK$442:BN$453,2,FALSE)*BK120*($K120)+IF($G120&lt;&gt;0,($H120/$G120)*BK120,0)*(1-$K120)</f>
        <v>0</v>
      </c>
      <c r="BM120" s="1118">
        <f t="shared" ref="BM120:BM132" si="425">VLOOKUP($E120,BK$442:BN$453,3,FALSE)*BK120*($K120)+IF($G120&lt;&gt;0,($I120/$G120)*BK120,0)*(1-$K120)</f>
        <v>0</v>
      </c>
      <c r="BN120" s="1118">
        <f t="shared" ref="BN120:BN132" si="426">VLOOKUP($E120,BK$442:BN$453,4,FALSE)*BK120*($K120)+(BK120-BL120-BM120)*(1-$K120)</f>
        <v>0</v>
      </c>
      <c r="BO120" s="1119"/>
      <c r="BS120" s="1117">
        <f t="shared" si="393"/>
        <v>0</v>
      </c>
      <c r="BT120" s="1118">
        <f t="shared" ref="BT120:BT132" si="427">VLOOKUP($E120,BS$442:BV$453,2,FALSE)*BS120*($K120)+IF($G120&lt;&gt;0,($H120/$G120)*BS120,0)*(1-$K120)</f>
        <v>0</v>
      </c>
      <c r="BU120" s="1118">
        <f t="shared" ref="BU120:BU132" si="428">VLOOKUP($E120,BS$442:BV$453,3,FALSE)*BS120*($K120)+IF($G120&lt;&gt;0,($I120/$G120)*BS120,0)*(1-$K120)</f>
        <v>0</v>
      </c>
      <c r="BV120" s="1118">
        <f t="shared" ref="BV120:BV132" si="429">VLOOKUP($E120,BS$442:BV$453,4,FALSE)*BS120*($K120)+(BS120-BT120-BU120)*(1-$K120)</f>
        <v>0</v>
      </c>
      <c r="BW120" s="1119"/>
      <c r="CA120" s="1117">
        <f t="shared" si="394"/>
        <v>0</v>
      </c>
      <c r="CB120" s="1118">
        <f t="shared" ref="CB120:CB132" si="430">VLOOKUP($E120,CA$442:CD$453,2,FALSE)*CA120*($K120)+IF($G120&lt;&gt;0,($H120/$G120)*CA120,0)*(1-$K120)</f>
        <v>0</v>
      </c>
      <c r="CC120" s="1118">
        <f t="shared" ref="CC120:CC132" si="431">VLOOKUP($E120,CA$442:CD$453,3,FALSE)*CA120*($K120)+IF($G120&lt;&gt;0,($I120/$G120)*CA120,0)*(1-$K120)</f>
        <v>0</v>
      </c>
      <c r="CD120" s="1118">
        <f t="shared" ref="CD120:CD132" si="432">VLOOKUP($E120,CA$442:CD$453,4,FALSE)*CA120*($K120)+(CA120-CB120-CC120)*(1-$K120)</f>
        <v>0</v>
      </c>
      <c r="CE120" s="1119"/>
      <c r="CI120" s="1117">
        <f t="shared" si="395"/>
        <v>0</v>
      </c>
      <c r="CJ120" s="1118">
        <f t="shared" ref="CJ120:CJ132" si="433">VLOOKUP($E120,CI$442:CL$453,2,FALSE)*CI120*($K120)+IF($G120&lt;&gt;0,($H120/$G120)*CI120,0)*(1-$K120)</f>
        <v>0</v>
      </c>
      <c r="CK120" s="1118">
        <f t="shared" ref="CK120:CK132" si="434">VLOOKUP($E120,CI$442:CL$453,3,FALSE)*CI120*($K120)+IF($G120&lt;&gt;0,($I120/$G120)*CI120,0)*(1-$K120)</f>
        <v>0</v>
      </c>
      <c r="CL120" s="1118">
        <f t="shared" ref="CL120:CL132" si="435">VLOOKUP($E120,CI$442:CL$453,4,FALSE)*CI120*($K120)+(CI120-CJ120-CK120)*(1-$K120)</f>
        <v>0</v>
      </c>
      <c r="CM120" s="1119"/>
      <c r="CQ120" s="1117">
        <f t="shared" si="396"/>
        <v>0</v>
      </c>
      <c r="CR120" s="1118">
        <f t="shared" ref="CR120:CR132" si="436">VLOOKUP($E120,CQ$442:CT$453,2,FALSE)*CQ120*($K120)+IF($G120&lt;&gt;0,($H120/$G120)*CQ120,0)*(1-$K120)</f>
        <v>0</v>
      </c>
      <c r="CS120" s="1118">
        <f t="shared" ref="CS120:CS132" si="437">VLOOKUP($E120,CQ$442:CT$453,3,FALSE)*CQ120*($K120)+IF($G120&lt;&gt;0,($I120/$G120)*CQ120,0)*(1-$K120)</f>
        <v>0</v>
      </c>
      <c r="CT120" s="1118">
        <f t="shared" ref="CT120:CT132" si="438">VLOOKUP($E120,CQ$442:CT$453,4,FALSE)*CQ120*($K120)+(CQ120-CR120-CS120)*(1-$K120)</f>
        <v>0</v>
      </c>
      <c r="CU120" s="1119"/>
      <c r="CY120" s="1117">
        <f t="shared" si="397"/>
        <v>0</v>
      </c>
      <c r="CZ120" s="1118">
        <f t="shared" ref="CZ120:CZ132" si="439">VLOOKUP($E120,CY$442:DB$453,2,FALSE)*CY120*($K120)+IF($G120&lt;&gt;0,($H120/$G120)*CY120,0)*(1-$K120)</f>
        <v>0</v>
      </c>
      <c r="DA120" s="1118">
        <f t="shared" ref="DA120:DA132" si="440">VLOOKUP($E120,CY$442:DB$453,3,FALSE)*CY120*($K120)+IF($G120&lt;&gt;0,($I120/$G120)*CY120,0)*(1-$K120)</f>
        <v>0</v>
      </c>
      <c r="DB120" s="1118">
        <f t="shared" ref="DB120:DB132" si="441">VLOOKUP($E120,CY$442:DB$453,4,FALSE)*CY120*($K120)+(CY120-CZ120-DA120)*(1-$K120)</f>
        <v>0</v>
      </c>
      <c r="DC120" s="1119"/>
      <c r="DG120" s="1117">
        <f t="shared" si="398"/>
        <v>0</v>
      </c>
      <c r="DH120" s="1118">
        <f t="shared" ref="DH120:DH132" si="442">VLOOKUP($E120,DG$442:DJ$453,2,FALSE)*DG120*($K120)+IF($G120&lt;&gt;0,($H120/$G120)*DG120,0)*(1-$K120)</f>
        <v>0</v>
      </c>
      <c r="DI120" s="1118">
        <f t="shared" ref="DI120:DI132" si="443">VLOOKUP($E120,DG$442:DJ$453,3,FALSE)*DG120*($K120)+IF($G120&lt;&gt;0,($I120/$G120)*DG120,0)*(1-$K120)</f>
        <v>0</v>
      </c>
      <c r="DJ120" s="1118">
        <f t="shared" ref="DJ120:DJ132" si="444">VLOOKUP($E120,DG$442:DJ$453,4,FALSE)*DG120*($K120)+(DG120-DH120-DI120)*(1-$K120)</f>
        <v>0</v>
      </c>
      <c r="DK120" s="1119"/>
      <c r="DO120" s="1117">
        <f t="shared" si="399"/>
        <v>0</v>
      </c>
      <c r="DP120" s="1118">
        <f t="shared" ref="DP120:DP132" si="445">VLOOKUP($E120,DO$442:DR$453,2,FALSE)*DO120*($K120)+IF($G120&lt;&gt;0,($H120/$G120)*DO120,0)*(1-$K120)</f>
        <v>0</v>
      </c>
      <c r="DQ120" s="1118">
        <f t="shared" ref="DQ120:DQ132" si="446">VLOOKUP($E120,DO$442:DR$453,3,FALSE)*DO120*($K120)+IF($G120&lt;&gt;0,($I120/$G120)*DO120,0)*(1-$K120)</f>
        <v>0</v>
      </c>
      <c r="DR120" s="1118">
        <f t="shared" ref="DR120:DR132" si="447">VLOOKUP($E120,DO$442:DR$453,4,FALSE)*DO120*($K120)+(DO120-DP120-DQ120)*(1-$K120)</f>
        <v>0</v>
      </c>
      <c r="DS120" s="1119"/>
      <c r="DW120" s="1117">
        <f t="shared" si="400"/>
        <v>0</v>
      </c>
      <c r="DX120" s="1118">
        <f t="shared" ref="DX120:DX132" si="448">VLOOKUP($E120,DW$442:DZ$453,2,FALSE)*DW120*($K120)+IF($G120&lt;&gt;0,($H120/$G120)*DW120,0)*(1-$K120)</f>
        <v>0</v>
      </c>
      <c r="DY120" s="1118">
        <f t="shared" ref="DY120:DY132" si="449">VLOOKUP($E120,DW$442:DZ$453,3,FALSE)*DW120*($K120)+IF($G120&lt;&gt;0,($I120/$G120)*DW120,0)*(1-$K120)</f>
        <v>0</v>
      </c>
      <c r="DZ120" s="1118">
        <f t="shared" ref="DZ120:DZ132" si="450">VLOOKUP($E120,DW$442:DZ$453,4,FALSE)*DW120*($K120)+(DW120-DX120-DY120)*(1-$K120)</f>
        <v>0</v>
      </c>
      <c r="EA120" s="1119"/>
      <c r="EE120" s="1117">
        <f t="shared" si="401"/>
        <v>0</v>
      </c>
      <c r="EF120" s="1118">
        <f t="shared" ref="EF120:EF132" si="451">VLOOKUP($E120,EE$442:EH$453,2,FALSE)*EE120*($K120)+IF($G120&lt;&gt;0,($H120/$G120)*EE120,0)*(1-$K120)</f>
        <v>0</v>
      </c>
      <c r="EG120" s="1118">
        <f t="shared" ref="EG120:EG132" si="452">VLOOKUP($E120,EE$442:EH$453,3,FALSE)*EE120*($K120)+IF($G120&lt;&gt;0,($I120/$G120)*EE120,0)*(1-$K120)</f>
        <v>0</v>
      </c>
      <c r="EH120" s="1118">
        <f t="shared" ref="EH120:EH132" si="453">VLOOKUP($E120,EE$442:EH$453,4,FALSE)*EE120*($K120)+(EE120-EF120-EG120)*(1-$K120)</f>
        <v>0</v>
      </c>
      <c r="EI120" s="1119"/>
      <c r="EM120" s="1117">
        <f t="shared" si="402"/>
        <v>0</v>
      </c>
      <c r="EN120" s="1118">
        <f t="shared" ref="EN120:EN132" si="454">VLOOKUP($E120,EM$442:EP$453,2,FALSE)*EM120*($K120)+IF($G120&lt;&gt;0,($H120/$G120)*EM120,0)*(1-$K120)</f>
        <v>0</v>
      </c>
      <c r="EO120" s="1118">
        <f t="shared" ref="EO120:EO132" si="455">VLOOKUP($E120,EM$442:EP$453,3,FALSE)*EM120*($K120)+IF($G120&lt;&gt;0,($I120/$G120)*EM120,0)*(1-$K120)</f>
        <v>0</v>
      </c>
      <c r="EP120" s="1118">
        <f t="shared" ref="EP120:EP132" si="456">VLOOKUP($E120,EM$442:EP$453,4,FALSE)*EM120*($K120)+(EM120-EN120-EO120)*(1-$K120)</f>
        <v>0</v>
      </c>
      <c r="EQ120" s="1119"/>
      <c r="EU120" s="1117">
        <f t="shared" si="403"/>
        <v>0</v>
      </c>
      <c r="EV120" s="1118">
        <f t="shared" ref="EV120:EV132" si="457">VLOOKUP($E120,EU$442:EX$453,2,FALSE)*EU120*($K120)+IF($G120&lt;&gt;0,($H120/$G120)*EU120,0)*(1-$K120)</f>
        <v>0</v>
      </c>
      <c r="EW120" s="1118">
        <f t="shared" ref="EW120:EW132" si="458">VLOOKUP($E120,EU$442:EX$453,3,FALSE)*EU120*($K120)+IF($G120&lt;&gt;0,($I120/$G120)*EU120,0)*(1-$K120)</f>
        <v>0</v>
      </c>
      <c r="EX120" s="1118">
        <f t="shared" ref="EX120:EX132" si="459">VLOOKUP($E120,EU$442:EX$453,4,FALSE)*EU120*($K120)+(EU120-EV120-EW120)*(1-$K120)</f>
        <v>0</v>
      </c>
      <c r="EY120" s="1119"/>
      <c r="FC120" s="1117">
        <f t="shared" si="404"/>
        <v>0</v>
      </c>
      <c r="FD120" s="1118">
        <f t="shared" ref="FD120:FD132" si="460">VLOOKUP($E120,FC$442:FF$453,2,FALSE)*FC120*($K120)+IF($G120&lt;&gt;0,($H120/$G120)*FC120,0)*(1-$K120)</f>
        <v>0</v>
      </c>
      <c r="FE120" s="1118">
        <f t="shared" ref="FE120:FE132" si="461">VLOOKUP($E120,FC$442:FF$453,3,FALSE)*FC120*($K120)+IF($G120&lt;&gt;0,($I120/$G120)*FC120,0)*(1-$K120)</f>
        <v>0</v>
      </c>
      <c r="FF120" s="1118">
        <f t="shared" ref="FF120:FF132" si="462">VLOOKUP($E120,FC$442:FF$453,4,FALSE)*FC120*($K120)+(FC120-FD120-FE120)*(1-$K120)</f>
        <v>0</v>
      </c>
      <c r="FG120" s="1119"/>
      <c r="FK120" s="1117">
        <f t="shared" si="405"/>
        <v>0</v>
      </c>
      <c r="FL120" s="1118">
        <f t="shared" ref="FL120:FL132" si="463">VLOOKUP($E120,FK$442:FN$453,2,FALSE)*FK120*($K120)+IF($G120&lt;&gt;0,($H120/$G120)*FK120,0)*(1-$K120)</f>
        <v>0</v>
      </c>
      <c r="FM120" s="1118">
        <f t="shared" ref="FM120:FM132" si="464">VLOOKUP($E120,FK$442:FN$453,3,FALSE)*FK120*($K120)+IF($G120&lt;&gt;0,($I120/$G120)*FK120,0)*(1-$K120)</f>
        <v>0</v>
      </c>
      <c r="FN120" s="1118">
        <f t="shared" ref="FN120:FN132" si="465">VLOOKUP($E120,FK$442:FN$453,4,FALSE)*FK120*($K120)+(FK120-FL120-FM120)*(1-$K120)</f>
        <v>0</v>
      </c>
      <c r="FO120" s="1119"/>
    </row>
    <row r="121" spans="1:171" x14ac:dyDescent="0.25">
      <c r="A121" s="913"/>
      <c r="B121" s="79" t="s">
        <v>12</v>
      </c>
      <c r="C121" s="889" t="s">
        <v>78</v>
      </c>
      <c r="D121" s="889">
        <v>182.2</v>
      </c>
      <c r="E121" s="182" t="str">
        <f>'Sch 1- Rate Base '!E121</f>
        <v>DIRECT</v>
      </c>
      <c r="F121" s="890"/>
      <c r="G121" s="182">
        <f>'Sch 1- Rate Base '!G121</f>
        <v>0</v>
      </c>
      <c r="H121" s="182">
        <f>'Sch 1- Rate Base '!H121</f>
        <v>0</v>
      </c>
      <c r="I121" s="182">
        <f>'Sch 1- Rate Base '!I121</f>
        <v>0</v>
      </c>
      <c r="J121" s="183">
        <f>'Sch 1- Rate Base '!J121</f>
        <v>0</v>
      </c>
      <c r="K121" s="904">
        <f t="shared" si="385"/>
        <v>0</v>
      </c>
      <c r="O121" s="1117">
        <f t="shared" si="386"/>
        <v>0</v>
      </c>
      <c r="P121" s="1118">
        <f t="shared" si="406"/>
        <v>0</v>
      </c>
      <c r="Q121" s="1118">
        <f t="shared" si="407"/>
        <v>0</v>
      </c>
      <c r="R121" s="1118">
        <f t="shared" si="408"/>
        <v>0</v>
      </c>
      <c r="S121" s="1119"/>
      <c r="W121" s="1117">
        <f t="shared" si="387"/>
        <v>0</v>
      </c>
      <c r="X121" s="1118">
        <f t="shared" si="409"/>
        <v>0</v>
      </c>
      <c r="Y121" s="1118">
        <f t="shared" si="410"/>
        <v>0</v>
      </c>
      <c r="Z121" s="1118">
        <f t="shared" si="411"/>
        <v>0</v>
      </c>
      <c r="AA121" s="1119"/>
      <c r="AE121" s="1117">
        <f t="shared" si="388"/>
        <v>0</v>
      </c>
      <c r="AF121" s="1118">
        <f t="shared" si="412"/>
        <v>0</v>
      </c>
      <c r="AG121" s="1118">
        <f t="shared" si="413"/>
        <v>0</v>
      </c>
      <c r="AH121" s="1118">
        <f t="shared" si="414"/>
        <v>0</v>
      </c>
      <c r="AI121" s="1119"/>
      <c r="AM121" s="1117">
        <f t="shared" si="389"/>
        <v>0</v>
      </c>
      <c r="AN121" s="1118">
        <f t="shared" si="415"/>
        <v>0</v>
      </c>
      <c r="AO121" s="1118">
        <f t="shared" si="416"/>
        <v>0</v>
      </c>
      <c r="AP121" s="1118">
        <f t="shared" si="417"/>
        <v>0</v>
      </c>
      <c r="AQ121" s="1119"/>
      <c r="AU121" s="1117">
        <f t="shared" si="390"/>
        <v>0</v>
      </c>
      <c r="AV121" s="1118">
        <f t="shared" si="418"/>
        <v>0</v>
      </c>
      <c r="AW121" s="1118">
        <f t="shared" si="419"/>
        <v>0</v>
      </c>
      <c r="AX121" s="1118">
        <f t="shared" si="420"/>
        <v>0</v>
      </c>
      <c r="AY121" s="1119"/>
      <c r="BC121" s="1117">
        <f t="shared" si="391"/>
        <v>0</v>
      </c>
      <c r="BD121" s="1118">
        <f t="shared" si="421"/>
        <v>0</v>
      </c>
      <c r="BE121" s="1118">
        <f t="shared" si="422"/>
        <v>0</v>
      </c>
      <c r="BF121" s="1118">
        <f t="shared" si="423"/>
        <v>0</v>
      </c>
      <c r="BG121" s="1119"/>
      <c r="BK121" s="1117">
        <f t="shared" si="392"/>
        <v>0</v>
      </c>
      <c r="BL121" s="1118">
        <f t="shared" si="424"/>
        <v>0</v>
      </c>
      <c r="BM121" s="1118">
        <f t="shared" si="425"/>
        <v>0</v>
      </c>
      <c r="BN121" s="1118">
        <f t="shared" si="426"/>
        <v>0</v>
      </c>
      <c r="BO121" s="1119"/>
      <c r="BS121" s="1117">
        <f t="shared" si="393"/>
        <v>0</v>
      </c>
      <c r="BT121" s="1118">
        <f t="shared" si="427"/>
        <v>0</v>
      </c>
      <c r="BU121" s="1118">
        <f t="shared" si="428"/>
        <v>0</v>
      </c>
      <c r="BV121" s="1118">
        <f t="shared" si="429"/>
        <v>0</v>
      </c>
      <c r="BW121" s="1119"/>
      <c r="CA121" s="1117">
        <f t="shared" si="394"/>
        <v>0</v>
      </c>
      <c r="CB121" s="1118">
        <f t="shared" si="430"/>
        <v>0</v>
      </c>
      <c r="CC121" s="1118">
        <f t="shared" si="431"/>
        <v>0</v>
      </c>
      <c r="CD121" s="1118">
        <f t="shared" si="432"/>
        <v>0</v>
      </c>
      <c r="CE121" s="1119"/>
      <c r="CI121" s="1117">
        <f t="shared" si="395"/>
        <v>0</v>
      </c>
      <c r="CJ121" s="1118">
        <f t="shared" si="433"/>
        <v>0</v>
      </c>
      <c r="CK121" s="1118">
        <f t="shared" si="434"/>
        <v>0</v>
      </c>
      <c r="CL121" s="1118">
        <f t="shared" si="435"/>
        <v>0</v>
      </c>
      <c r="CM121" s="1119"/>
      <c r="CQ121" s="1117">
        <f t="shared" si="396"/>
        <v>0</v>
      </c>
      <c r="CR121" s="1118">
        <f t="shared" si="436"/>
        <v>0</v>
      </c>
      <c r="CS121" s="1118">
        <f t="shared" si="437"/>
        <v>0</v>
      </c>
      <c r="CT121" s="1118">
        <f t="shared" si="438"/>
        <v>0</v>
      </c>
      <c r="CU121" s="1119"/>
      <c r="CY121" s="1117">
        <f t="shared" si="397"/>
        <v>0</v>
      </c>
      <c r="CZ121" s="1118">
        <f t="shared" si="439"/>
        <v>0</v>
      </c>
      <c r="DA121" s="1118">
        <f t="shared" si="440"/>
        <v>0</v>
      </c>
      <c r="DB121" s="1118">
        <f t="shared" si="441"/>
        <v>0</v>
      </c>
      <c r="DC121" s="1119"/>
      <c r="DG121" s="1117">
        <f t="shared" si="398"/>
        <v>0</v>
      </c>
      <c r="DH121" s="1118">
        <f t="shared" si="442"/>
        <v>0</v>
      </c>
      <c r="DI121" s="1118">
        <f t="shared" si="443"/>
        <v>0</v>
      </c>
      <c r="DJ121" s="1118">
        <f t="shared" si="444"/>
        <v>0</v>
      </c>
      <c r="DK121" s="1119"/>
      <c r="DO121" s="1117">
        <f t="shared" si="399"/>
        <v>0</v>
      </c>
      <c r="DP121" s="1118">
        <f t="shared" si="445"/>
        <v>0</v>
      </c>
      <c r="DQ121" s="1118">
        <f t="shared" si="446"/>
        <v>0</v>
      </c>
      <c r="DR121" s="1118">
        <f t="shared" si="447"/>
        <v>0</v>
      </c>
      <c r="DS121" s="1119"/>
      <c r="DW121" s="1117">
        <f t="shared" si="400"/>
        <v>0</v>
      </c>
      <c r="DX121" s="1118">
        <f t="shared" si="448"/>
        <v>0</v>
      </c>
      <c r="DY121" s="1118">
        <f t="shared" si="449"/>
        <v>0</v>
      </c>
      <c r="DZ121" s="1118">
        <f t="shared" si="450"/>
        <v>0</v>
      </c>
      <c r="EA121" s="1119"/>
      <c r="EE121" s="1117">
        <f t="shared" si="401"/>
        <v>0</v>
      </c>
      <c r="EF121" s="1118">
        <f t="shared" si="451"/>
        <v>0</v>
      </c>
      <c r="EG121" s="1118">
        <f t="shared" si="452"/>
        <v>0</v>
      </c>
      <c r="EH121" s="1118">
        <f t="shared" si="453"/>
        <v>0</v>
      </c>
      <c r="EI121" s="1119"/>
      <c r="EM121" s="1117">
        <f t="shared" si="402"/>
        <v>0</v>
      </c>
      <c r="EN121" s="1118">
        <f t="shared" si="454"/>
        <v>0</v>
      </c>
      <c r="EO121" s="1118">
        <f t="shared" si="455"/>
        <v>0</v>
      </c>
      <c r="EP121" s="1118">
        <f t="shared" si="456"/>
        <v>0</v>
      </c>
      <c r="EQ121" s="1119"/>
      <c r="EU121" s="1117">
        <f t="shared" si="403"/>
        <v>0</v>
      </c>
      <c r="EV121" s="1118">
        <f t="shared" si="457"/>
        <v>0</v>
      </c>
      <c r="EW121" s="1118">
        <f t="shared" si="458"/>
        <v>0</v>
      </c>
      <c r="EX121" s="1118">
        <f t="shared" si="459"/>
        <v>0</v>
      </c>
      <c r="EY121" s="1119"/>
      <c r="FC121" s="1117">
        <f t="shared" si="404"/>
        <v>0</v>
      </c>
      <c r="FD121" s="1118">
        <f t="shared" si="460"/>
        <v>0</v>
      </c>
      <c r="FE121" s="1118">
        <f t="shared" si="461"/>
        <v>0</v>
      </c>
      <c r="FF121" s="1118">
        <f t="shared" si="462"/>
        <v>0</v>
      </c>
      <c r="FG121" s="1119"/>
      <c r="FK121" s="1117">
        <f t="shared" si="405"/>
        <v>0</v>
      </c>
      <c r="FL121" s="1118">
        <f t="shared" si="463"/>
        <v>0</v>
      </c>
      <c r="FM121" s="1118">
        <f t="shared" si="464"/>
        <v>0</v>
      </c>
      <c r="FN121" s="1118">
        <f t="shared" si="465"/>
        <v>0</v>
      </c>
      <c r="FO121" s="1119"/>
    </row>
    <row r="122" spans="1:171" x14ac:dyDescent="0.25">
      <c r="A122" s="913"/>
      <c r="B122" s="79" t="s">
        <v>13</v>
      </c>
      <c r="C122" s="889" t="s">
        <v>78</v>
      </c>
      <c r="D122" s="889">
        <v>182.3</v>
      </c>
      <c r="E122" s="182" t="str">
        <f>'Sch 1- Rate Base '!E122</f>
        <v>DIRECT</v>
      </c>
      <c r="F122" s="890"/>
      <c r="G122" s="182">
        <f>'Sch 1- Rate Base '!G122</f>
        <v>672768352.85708964</v>
      </c>
      <c r="H122" s="182">
        <f>'Sch 1- Rate Base '!H122</f>
        <v>353419883.65590286</v>
      </c>
      <c r="I122" s="182">
        <f>'Sch 1- Rate Base '!I122</f>
        <v>0</v>
      </c>
      <c r="J122" s="183">
        <f>'Sch 1- Rate Base '!J122</f>
        <v>319348469.20118666</v>
      </c>
      <c r="K122" s="904">
        <f t="shared" si="385"/>
        <v>0</v>
      </c>
      <c r="O122" s="1117">
        <f t="shared" si="386"/>
        <v>672768352.85708964</v>
      </c>
      <c r="P122" s="1118">
        <f t="shared" si="406"/>
        <v>353419883.65590286</v>
      </c>
      <c r="Q122" s="1118">
        <f t="shared" si="407"/>
        <v>0</v>
      </c>
      <c r="R122" s="1118">
        <f t="shared" si="408"/>
        <v>319348469.20118678</v>
      </c>
      <c r="S122" s="1119"/>
      <c r="W122" s="1117">
        <f t="shared" si="387"/>
        <v>672768352.85708964</v>
      </c>
      <c r="X122" s="1118">
        <f t="shared" si="409"/>
        <v>353419883.65590286</v>
      </c>
      <c r="Y122" s="1118">
        <f t="shared" si="410"/>
        <v>0</v>
      </c>
      <c r="Z122" s="1118">
        <f t="shared" si="411"/>
        <v>319348469.20118678</v>
      </c>
      <c r="AA122" s="1119"/>
      <c r="AE122" s="1117">
        <f t="shared" si="388"/>
        <v>672768352.85708964</v>
      </c>
      <c r="AF122" s="1118">
        <f t="shared" si="412"/>
        <v>353419883.65590286</v>
      </c>
      <c r="AG122" s="1118">
        <f t="shared" si="413"/>
        <v>0</v>
      </c>
      <c r="AH122" s="1118">
        <f t="shared" si="414"/>
        <v>319348469.20118678</v>
      </c>
      <c r="AI122" s="1119"/>
      <c r="AM122" s="1117">
        <f t="shared" si="389"/>
        <v>672768352.85708964</v>
      </c>
      <c r="AN122" s="1118">
        <f t="shared" si="415"/>
        <v>353419883.65590286</v>
      </c>
      <c r="AO122" s="1118">
        <f t="shared" si="416"/>
        <v>0</v>
      </c>
      <c r="AP122" s="1118">
        <f t="shared" si="417"/>
        <v>319348469.20118678</v>
      </c>
      <c r="AQ122" s="1119"/>
      <c r="AU122" s="1117">
        <f t="shared" si="390"/>
        <v>672768352.85708964</v>
      </c>
      <c r="AV122" s="1118">
        <f t="shared" si="418"/>
        <v>353419883.65590286</v>
      </c>
      <c r="AW122" s="1118">
        <f t="shared" si="419"/>
        <v>0</v>
      </c>
      <c r="AX122" s="1118">
        <f t="shared" si="420"/>
        <v>319348469.20118678</v>
      </c>
      <c r="AY122" s="1119"/>
      <c r="BC122" s="1117">
        <f t="shared" si="391"/>
        <v>672768352.85708964</v>
      </c>
      <c r="BD122" s="1118">
        <f t="shared" si="421"/>
        <v>353419883.65590286</v>
      </c>
      <c r="BE122" s="1118">
        <f t="shared" si="422"/>
        <v>0</v>
      </c>
      <c r="BF122" s="1118">
        <f t="shared" si="423"/>
        <v>319348469.20118678</v>
      </c>
      <c r="BG122" s="1119"/>
      <c r="BK122" s="1117">
        <f t="shared" si="392"/>
        <v>672768352.85708964</v>
      </c>
      <c r="BL122" s="1118">
        <f t="shared" si="424"/>
        <v>353419883.65590286</v>
      </c>
      <c r="BM122" s="1118">
        <f t="shared" si="425"/>
        <v>0</v>
      </c>
      <c r="BN122" s="1118">
        <f t="shared" si="426"/>
        <v>319348469.20118678</v>
      </c>
      <c r="BO122" s="1119"/>
      <c r="BS122" s="1117">
        <f t="shared" si="393"/>
        <v>672768352.85708964</v>
      </c>
      <c r="BT122" s="1118">
        <f t="shared" si="427"/>
        <v>353419883.65590286</v>
      </c>
      <c r="BU122" s="1118">
        <f t="shared" si="428"/>
        <v>0</v>
      </c>
      <c r="BV122" s="1118">
        <f t="shared" si="429"/>
        <v>319348469.20118678</v>
      </c>
      <c r="BW122" s="1119"/>
      <c r="CA122" s="1117">
        <f t="shared" si="394"/>
        <v>672768352.85708964</v>
      </c>
      <c r="CB122" s="1118">
        <f t="shared" si="430"/>
        <v>353419883.65590286</v>
      </c>
      <c r="CC122" s="1118">
        <f t="shared" si="431"/>
        <v>0</v>
      </c>
      <c r="CD122" s="1118">
        <f t="shared" si="432"/>
        <v>319348469.20118678</v>
      </c>
      <c r="CE122" s="1119"/>
      <c r="CI122" s="1117">
        <f t="shared" si="395"/>
        <v>672768352.85708964</v>
      </c>
      <c r="CJ122" s="1118">
        <f t="shared" si="433"/>
        <v>353419883.65590286</v>
      </c>
      <c r="CK122" s="1118">
        <f t="shared" si="434"/>
        <v>0</v>
      </c>
      <c r="CL122" s="1118">
        <f t="shared" si="435"/>
        <v>319348469.20118678</v>
      </c>
      <c r="CM122" s="1119"/>
      <c r="CQ122" s="1117">
        <f t="shared" si="396"/>
        <v>672768352.85708964</v>
      </c>
      <c r="CR122" s="1118">
        <f t="shared" si="436"/>
        <v>353419883.65590286</v>
      </c>
      <c r="CS122" s="1118">
        <f t="shared" si="437"/>
        <v>0</v>
      </c>
      <c r="CT122" s="1118">
        <f t="shared" si="438"/>
        <v>319348469.20118678</v>
      </c>
      <c r="CU122" s="1119"/>
      <c r="CY122" s="1117">
        <f t="shared" si="397"/>
        <v>672768352.85708964</v>
      </c>
      <c r="CZ122" s="1118">
        <f t="shared" si="439"/>
        <v>353419883.65590286</v>
      </c>
      <c r="DA122" s="1118">
        <f t="shared" si="440"/>
        <v>0</v>
      </c>
      <c r="DB122" s="1118">
        <f t="shared" si="441"/>
        <v>319348469.20118678</v>
      </c>
      <c r="DC122" s="1119"/>
      <c r="DG122" s="1117">
        <f t="shared" si="398"/>
        <v>672768352.85708964</v>
      </c>
      <c r="DH122" s="1118">
        <f t="shared" si="442"/>
        <v>353419883.65590286</v>
      </c>
      <c r="DI122" s="1118">
        <f t="shared" si="443"/>
        <v>0</v>
      </c>
      <c r="DJ122" s="1118">
        <f t="shared" si="444"/>
        <v>319348469.20118678</v>
      </c>
      <c r="DK122" s="1119"/>
      <c r="DO122" s="1117">
        <f t="shared" si="399"/>
        <v>672768352.85708964</v>
      </c>
      <c r="DP122" s="1118">
        <f t="shared" si="445"/>
        <v>353419883.65590286</v>
      </c>
      <c r="DQ122" s="1118">
        <f t="shared" si="446"/>
        <v>0</v>
      </c>
      <c r="DR122" s="1118">
        <f t="shared" si="447"/>
        <v>319348469.20118678</v>
      </c>
      <c r="DS122" s="1119"/>
      <c r="DW122" s="1117">
        <f t="shared" si="400"/>
        <v>672768352.85708964</v>
      </c>
      <c r="DX122" s="1118">
        <f t="shared" si="448"/>
        <v>353419883.65590286</v>
      </c>
      <c r="DY122" s="1118">
        <f t="shared" si="449"/>
        <v>0</v>
      </c>
      <c r="DZ122" s="1118">
        <f t="shared" si="450"/>
        <v>319348469.20118678</v>
      </c>
      <c r="EA122" s="1119"/>
      <c r="EE122" s="1117">
        <f t="shared" si="401"/>
        <v>672768352.85708964</v>
      </c>
      <c r="EF122" s="1118">
        <f t="shared" si="451"/>
        <v>353419883.65590286</v>
      </c>
      <c r="EG122" s="1118">
        <f t="shared" si="452"/>
        <v>0</v>
      </c>
      <c r="EH122" s="1118">
        <f t="shared" si="453"/>
        <v>319348469.20118678</v>
      </c>
      <c r="EI122" s="1119"/>
      <c r="EM122" s="1117">
        <f t="shared" si="402"/>
        <v>672768352.85708964</v>
      </c>
      <c r="EN122" s="1118">
        <f t="shared" si="454"/>
        <v>353419883.65590286</v>
      </c>
      <c r="EO122" s="1118">
        <f t="shared" si="455"/>
        <v>0</v>
      </c>
      <c r="EP122" s="1118">
        <f t="shared" si="456"/>
        <v>319348469.20118678</v>
      </c>
      <c r="EQ122" s="1119"/>
      <c r="EU122" s="1117">
        <f t="shared" si="403"/>
        <v>672768352.85708964</v>
      </c>
      <c r="EV122" s="1118">
        <f t="shared" si="457"/>
        <v>353419883.65590286</v>
      </c>
      <c r="EW122" s="1118">
        <f t="shared" si="458"/>
        <v>0</v>
      </c>
      <c r="EX122" s="1118">
        <f t="shared" si="459"/>
        <v>319348469.20118678</v>
      </c>
      <c r="EY122" s="1119"/>
      <c r="FC122" s="1117">
        <f t="shared" si="404"/>
        <v>672768352.85708964</v>
      </c>
      <c r="FD122" s="1118">
        <f t="shared" si="460"/>
        <v>353419883.65590286</v>
      </c>
      <c r="FE122" s="1118">
        <f t="shared" si="461"/>
        <v>0</v>
      </c>
      <c r="FF122" s="1118">
        <f t="shared" si="462"/>
        <v>319348469.20118678</v>
      </c>
      <c r="FG122" s="1119"/>
      <c r="FK122" s="1117">
        <f t="shared" si="405"/>
        <v>672768352.85708964</v>
      </c>
      <c r="FL122" s="1118">
        <f t="shared" si="463"/>
        <v>353419883.65590286</v>
      </c>
      <c r="FM122" s="1118">
        <f t="shared" si="464"/>
        <v>0</v>
      </c>
      <c r="FN122" s="1118">
        <f t="shared" si="465"/>
        <v>319348469.20118678</v>
      </c>
      <c r="FO122" s="1119"/>
    </row>
    <row r="123" spans="1:171" x14ac:dyDescent="0.25">
      <c r="A123" s="913"/>
      <c r="B123" s="79" t="s">
        <v>624</v>
      </c>
      <c r="C123" s="889" t="s">
        <v>78</v>
      </c>
      <c r="D123" s="889">
        <v>183</v>
      </c>
      <c r="E123" s="182" t="str">
        <f>'Sch 1- Rate Base '!E123</f>
        <v>DIST</v>
      </c>
      <c r="F123" s="890"/>
      <c r="G123" s="182">
        <f>'Sch 1- Rate Base '!G123</f>
        <v>10625524.390141297</v>
      </c>
      <c r="H123" s="182">
        <f>'Sch 1- Rate Base '!H123</f>
        <v>0</v>
      </c>
      <c r="I123" s="182">
        <f>'Sch 1- Rate Base '!I123</f>
        <v>0</v>
      </c>
      <c r="J123" s="183">
        <f>'Sch 1- Rate Base '!J123</f>
        <v>10625524.390141297</v>
      </c>
      <c r="K123" s="904">
        <f t="shared" si="385"/>
        <v>1</v>
      </c>
      <c r="O123" s="1117">
        <f t="shared" si="386"/>
        <v>10625524.390141297</v>
      </c>
      <c r="P123" s="1118">
        <f t="shared" si="406"/>
        <v>0</v>
      </c>
      <c r="Q123" s="1118">
        <f t="shared" si="407"/>
        <v>0</v>
      </c>
      <c r="R123" s="1118">
        <f t="shared" si="408"/>
        <v>10625524.390141297</v>
      </c>
      <c r="S123" s="1119"/>
      <c r="W123" s="1117">
        <f t="shared" si="387"/>
        <v>10625524.390141297</v>
      </c>
      <c r="X123" s="1118">
        <f t="shared" si="409"/>
        <v>0</v>
      </c>
      <c r="Y123" s="1118">
        <f t="shared" si="410"/>
        <v>0</v>
      </c>
      <c r="Z123" s="1118">
        <f t="shared" si="411"/>
        <v>10625524.390141297</v>
      </c>
      <c r="AA123" s="1119"/>
      <c r="AE123" s="1117">
        <f t="shared" si="388"/>
        <v>10625524.390141297</v>
      </c>
      <c r="AF123" s="1118">
        <f t="shared" si="412"/>
        <v>0</v>
      </c>
      <c r="AG123" s="1118">
        <f t="shared" si="413"/>
        <v>0</v>
      </c>
      <c r="AH123" s="1118">
        <f t="shared" si="414"/>
        <v>10625524.390141297</v>
      </c>
      <c r="AI123" s="1119"/>
      <c r="AM123" s="1117">
        <f t="shared" si="389"/>
        <v>10625524.390141297</v>
      </c>
      <c r="AN123" s="1118">
        <f t="shared" si="415"/>
        <v>0</v>
      </c>
      <c r="AO123" s="1118">
        <f t="shared" si="416"/>
        <v>0</v>
      </c>
      <c r="AP123" s="1118">
        <f t="shared" si="417"/>
        <v>10625524.390141297</v>
      </c>
      <c r="AQ123" s="1119"/>
      <c r="AU123" s="1117">
        <f t="shared" si="390"/>
        <v>10625524.390141297</v>
      </c>
      <c r="AV123" s="1118">
        <f t="shared" si="418"/>
        <v>0</v>
      </c>
      <c r="AW123" s="1118">
        <f t="shared" si="419"/>
        <v>0</v>
      </c>
      <c r="AX123" s="1118">
        <f t="shared" si="420"/>
        <v>10625524.390141297</v>
      </c>
      <c r="AY123" s="1119"/>
      <c r="BC123" s="1117">
        <f t="shared" si="391"/>
        <v>10625524.390141297</v>
      </c>
      <c r="BD123" s="1118">
        <f t="shared" si="421"/>
        <v>0</v>
      </c>
      <c r="BE123" s="1118">
        <f t="shared" si="422"/>
        <v>0</v>
      </c>
      <c r="BF123" s="1118">
        <f t="shared" si="423"/>
        <v>10625524.390141297</v>
      </c>
      <c r="BG123" s="1119"/>
      <c r="BK123" s="1117">
        <f t="shared" si="392"/>
        <v>10625524.390141297</v>
      </c>
      <c r="BL123" s="1118">
        <f t="shared" si="424"/>
        <v>0</v>
      </c>
      <c r="BM123" s="1118">
        <f t="shared" si="425"/>
        <v>0</v>
      </c>
      <c r="BN123" s="1118">
        <f t="shared" si="426"/>
        <v>10625524.390141297</v>
      </c>
      <c r="BO123" s="1119"/>
      <c r="BS123" s="1117">
        <f t="shared" si="393"/>
        <v>10625524.390141297</v>
      </c>
      <c r="BT123" s="1118">
        <f t="shared" si="427"/>
        <v>0</v>
      </c>
      <c r="BU123" s="1118">
        <f t="shared" si="428"/>
        <v>0</v>
      </c>
      <c r="BV123" s="1118">
        <f t="shared" si="429"/>
        <v>10625524.390141297</v>
      </c>
      <c r="BW123" s="1119"/>
      <c r="CA123" s="1117">
        <f t="shared" si="394"/>
        <v>10625524.390141297</v>
      </c>
      <c r="CB123" s="1118">
        <f t="shared" si="430"/>
        <v>0</v>
      </c>
      <c r="CC123" s="1118">
        <f t="shared" si="431"/>
        <v>0</v>
      </c>
      <c r="CD123" s="1118">
        <f t="shared" si="432"/>
        <v>10625524.390141297</v>
      </c>
      <c r="CE123" s="1119"/>
      <c r="CI123" s="1117">
        <f t="shared" si="395"/>
        <v>10625524.390141297</v>
      </c>
      <c r="CJ123" s="1118">
        <f t="shared" si="433"/>
        <v>0</v>
      </c>
      <c r="CK123" s="1118">
        <f t="shared" si="434"/>
        <v>0</v>
      </c>
      <c r="CL123" s="1118">
        <f t="shared" si="435"/>
        <v>10625524.390141297</v>
      </c>
      <c r="CM123" s="1119"/>
      <c r="CQ123" s="1117">
        <f t="shared" si="396"/>
        <v>10625524.390141297</v>
      </c>
      <c r="CR123" s="1118">
        <f t="shared" si="436"/>
        <v>0</v>
      </c>
      <c r="CS123" s="1118">
        <f t="shared" si="437"/>
        <v>0</v>
      </c>
      <c r="CT123" s="1118">
        <f t="shared" si="438"/>
        <v>10625524.390141297</v>
      </c>
      <c r="CU123" s="1119"/>
      <c r="CY123" s="1117">
        <f t="shared" si="397"/>
        <v>10625524.390141297</v>
      </c>
      <c r="CZ123" s="1118">
        <f t="shared" si="439"/>
        <v>0</v>
      </c>
      <c r="DA123" s="1118">
        <f t="shared" si="440"/>
        <v>0</v>
      </c>
      <c r="DB123" s="1118">
        <f t="shared" si="441"/>
        <v>10625524.390141297</v>
      </c>
      <c r="DC123" s="1119"/>
      <c r="DG123" s="1117">
        <f t="shared" si="398"/>
        <v>10625524.390141297</v>
      </c>
      <c r="DH123" s="1118">
        <f t="shared" si="442"/>
        <v>0</v>
      </c>
      <c r="DI123" s="1118">
        <f t="shared" si="443"/>
        <v>0</v>
      </c>
      <c r="DJ123" s="1118">
        <f t="shared" si="444"/>
        <v>10625524.390141297</v>
      </c>
      <c r="DK123" s="1119"/>
      <c r="DO123" s="1117">
        <f t="shared" si="399"/>
        <v>10625524.390141297</v>
      </c>
      <c r="DP123" s="1118">
        <f t="shared" si="445"/>
        <v>0</v>
      </c>
      <c r="DQ123" s="1118">
        <f t="shared" si="446"/>
        <v>0</v>
      </c>
      <c r="DR123" s="1118">
        <f t="shared" si="447"/>
        <v>10625524.390141297</v>
      </c>
      <c r="DS123" s="1119"/>
      <c r="DW123" s="1117">
        <f t="shared" si="400"/>
        <v>10625524.390141297</v>
      </c>
      <c r="DX123" s="1118">
        <f t="shared" si="448"/>
        <v>0</v>
      </c>
      <c r="DY123" s="1118">
        <f t="shared" si="449"/>
        <v>0</v>
      </c>
      <c r="DZ123" s="1118">
        <f t="shared" si="450"/>
        <v>10625524.390141297</v>
      </c>
      <c r="EA123" s="1119"/>
      <c r="EE123" s="1117">
        <f t="shared" si="401"/>
        <v>10625524.390141297</v>
      </c>
      <c r="EF123" s="1118">
        <f t="shared" si="451"/>
        <v>0</v>
      </c>
      <c r="EG123" s="1118">
        <f t="shared" si="452"/>
        <v>0</v>
      </c>
      <c r="EH123" s="1118">
        <f t="shared" si="453"/>
        <v>10625524.390141297</v>
      </c>
      <c r="EI123" s="1119"/>
      <c r="EM123" s="1117">
        <f t="shared" si="402"/>
        <v>10625524.390141297</v>
      </c>
      <c r="EN123" s="1118">
        <f t="shared" si="454"/>
        <v>0</v>
      </c>
      <c r="EO123" s="1118">
        <f t="shared" si="455"/>
        <v>0</v>
      </c>
      <c r="EP123" s="1118">
        <f t="shared" si="456"/>
        <v>10625524.390141297</v>
      </c>
      <c r="EQ123" s="1119"/>
      <c r="EU123" s="1117">
        <f t="shared" si="403"/>
        <v>10625524.390141297</v>
      </c>
      <c r="EV123" s="1118">
        <f t="shared" si="457"/>
        <v>0</v>
      </c>
      <c r="EW123" s="1118">
        <f t="shared" si="458"/>
        <v>0</v>
      </c>
      <c r="EX123" s="1118">
        <f t="shared" si="459"/>
        <v>10625524.390141297</v>
      </c>
      <c r="EY123" s="1119"/>
      <c r="FC123" s="1117">
        <f t="shared" si="404"/>
        <v>10625524.390141297</v>
      </c>
      <c r="FD123" s="1118">
        <f t="shared" si="460"/>
        <v>0</v>
      </c>
      <c r="FE123" s="1118">
        <f t="shared" si="461"/>
        <v>0</v>
      </c>
      <c r="FF123" s="1118">
        <f t="shared" si="462"/>
        <v>10625524.390141297</v>
      </c>
      <c r="FG123" s="1119"/>
      <c r="FK123" s="1117">
        <f t="shared" si="405"/>
        <v>10625524.390141297</v>
      </c>
      <c r="FL123" s="1118">
        <f t="shared" si="463"/>
        <v>0</v>
      </c>
      <c r="FM123" s="1118">
        <f t="shared" si="464"/>
        <v>0</v>
      </c>
      <c r="FN123" s="1118">
        <f t="shared" si="465"/>
        <v>10625524.390141297</v>
      </c>
      <c r="FO123" s="1119"/>
    </row>
    <row r="124" spans="1:171" x14ac:dyDescent="0.25">
      <c r="A124" s="913"/>
      <c r="B124" s="79" t="s">
        <v>14</v>
      </c>
      <c r="C124" s="889" t="s">
        <v>78</v>
      </c>
      <c r="D124" s="889">
        <v>183.1</v>
      </c>
      <c r="E124" s="182" t="str">
        <f>'Sch 1- Rate Base '!E124</f>
        <v>DIST</v>
      </c>
      <c r="F124" s="890"/>
      <c r="G124" s="182">
        <f>'Sch 1- Rate Base '!G124</f>
        <v>0</v>
      </c>
      <c r="H124" s="182">
        <f>'Sch 1- Rate Base '!H124</f>
        <v>0</v>
      </c>
      <c r="I124" s="182">
        <f>'Sch 1- Rate Base '!I124</f>
        <v>0</v>
      </c>
      <c r="J124" s="183">
        <f>'Sch 1- Rate Base '!J124</f>
        <v>0</v>
      </c>
      <c r="K124" s="904">
        <f t="shared" si="385"/>
        <v>1</v>
      </c>
      <c r="O124" s="1117">
        <f t="shared" si="386"/>
        <v>0</v>
      </c>
      <c r="P124" s="1118">
        <f t="shared" si="406"/>
        <v>0</v>
      </c>
      <c r="Q124" s="1118">
        <f t="shared" si="407"/>
        <v>0</v>
      </c>
      <c r="R124" s="1118">
        <f t="shared" si="408"/>
        <v>0</v>
      </c>
      <c r="S124" s="1119"/>
      <c r="W124" s="1117">
        <f t="shared" si="387"/>
        <v>0</v>
      </c>
      <c r="X124" s="1118">
        <f t="shared" si="409"/>
        <v>0</v>
      </c>
      <c r="Y124" s="1118">
        <f t="shared" si="410"/>
        <v>0</v>
      </c>
      <c r="Z124" s="1118">
        <f t="shared" si="411"/>
        <v>0</v>
      </c>
      <c r="AA124" s="1119"/>
      <c r="AE124" s="1117">
        <f t="shared" si="388"/>
        <v>0</v>
      </c>
      <c r="AF124" s="1118">
        <f t="shared" si="412"/>
        <v>0</v>
      </c>
      <c r="AG124" s="1118">
        <f t="shared" si="413"/>
        <v>0</v>
      </c>
      <c r="AH124" s="1118">
        <f t="shared" si="414"/>
        <v>0</v>
      </c>
      <c r="AI124" s="1119"/>
      <c r="AM124" s="1117">
        <f t="shared" si="389"/>
        <v>0</v>
      </c>
      <c r="AN124" s="1118">
        <f t="shared" si="415"/>
        <v>0</v>
      </c>
      <c r="AO124" s="1118">
        <f t="shared" si="416"/>
        <v>0</v>
      </c>
      <c r="AP124" s="1118">
        <f t="shared" si="417"/>
        <v>0</v>
      </c>
      <c r="AQ124" s="1119"/>
      <c r="AU124" s="1117">
        <f t="shared" si="390"/>
        <v>0</v>
      </c>
      <c r="AV124" s="1118">
        <f t="shared" si="418"/>
        <v>0</v>
      </c>
      <c r="AW124" s="1118">
        <f t="shared" si="419"/>
        <v>0</v>
      </c>
      <c r="AX124" s="1118">
        <f t="shared" si="420"/>
        <v>0</v>
      </c>
      <c r="AY124" s="1119"/>
      <c r="BC124" s="1117">
        <f t="shared" si="391"/>
        <v>0</v>
      </c>
      <c r="BD124" s="1118">
        <f t="shared" si="421"/>
        <v>0</v>
      </c>
      <c r="BE124" s="1118">
        <f t="shared" si="422"/>
        <v>0</v>
      </c>
      <c r="BF124" s="1118">
        <f t="shared" si="423"/>
        <v>0</v>
      </c>
      <c r="BG124" s="1119"/>
      <c r="BK124" s="1117">
        <f t="shared" si="392"/>
        <v>0</v>
      </c>
      <c r="BL124" s="1118">
        <f t="shared" si="424"/>
        <v>0</v>
      </c>
      <c r="BM124" s="1118">
        <f t="shared" si="425"/>
        <v>0</v>
      </c>
      <c r="BN124" s="1118">
        <f t="shared" si="426"/>
        <v>0</v>
      </c>
      <c r="BO124" s="1119"/>
      <c r="BS124" s="1117">
        <f t="shared" si="393"/>
        <v>0</v>
      </c>
      <c r="BT124" s="1118">
        <f t="shared" si="427"/>
        <v>0</v>
      </c>
      <c r="BU124" s="1118">
        <f t="shared" si="428"/>
        <v>0</v>
      </c>
      <c r="BV124" s="1118">
        <f t="shared" si="429"/>
        <v>0</v>
      </c>
      <c r="BW124" s="1119"/>
      <c r="CA124" s="1117">
        <f t="shared" si="394"/>
        <v>0</v>
      </c>
      <c r="CB124" s="1118">
        <f t="shared" si="430"/>
        <v>0</v>
      </c>
      <c r="CC124" s="1118">
        <f t="shared" si="431"/>
        <v>0</v>
      </c>
      <c r="CD124" s="1118">
        <f t="shared" si="432"/>
        <v>0</v>
      </c>
      <c r="CE124" s="1119"/>
      <c r="CI124" s="1117">
        <f t="shared" si="395"/>
        <v>0</v>
      </c>
      <c r="CJ124" s="1118">
        <f t="shared" si="433"/>
        <v>0</v>
      </c>
      <c r="CK124" s="1118">
        <f t="shared" si="434"/>
        <v>0</v>
      </c>
      <c r="CL124" s="1118">
        <f t="shared" si="435"/>
        <v>0</v>
      </c>
      <c r="CM124" s="1119"/>
      <c r="CQ124" s="1117">
        <f t="shared" si="396"/>
        <v>0</v>
      </c>
      <c r="CR124" s="1118">
        <f t="shared" si="436"/>
        <v>0</v>
      </c>
      <c r="CS124" s="1118">
        <f t="shared" si="437"/>
        <v>0</v>
      </c>
      <c r="CT124" s="1118">
        <f t="shared" si="438"/>
        <v>0</v>
      </c>
      <c r="CU124" s="1119"/>
      <c r="CY124" s="1117">
        <f t="shared" si="397"/>
        <v>0</v>
      </c>
      <c r="CZ124" s="1118">
        <f t="shared" si="439"/>
        <v>0</v>
      </c>
      <c r="DA124" s="1118">
        <f t="shared" si="440"/>
        <v>0</v>
      </c>
      <c r="DB124" s="1118">
        <f t="shared" si="441"/>
        <v>0</v>
      </c>
      <c r="DC124" s="1119"/>
      <c r="DG124" s="1117">
        <f t="shared" si="398"/>
        <v>0</v>
      </c>
      <c r="DH124" s="1118">
        <f t="shared" si="442"/>
        <v>0</v>
      </c>
      <c r="DI124" s="1118">
        <f t="shared" si="443"/>
        <v>0</v>
      </c>
      <c r="DJ124" s="1118">
        <f t="shared" si="444"/>
        <v>0</v>
      </c>
      <c r="DK124" s="1119"/>
      <c r="DO124" s="1117">
        <f t="shared" si="399"/>
        <v>0</v>
      </c>
      <c r="DP124" s="1118">
        <f t="shared" si="445"/>
        <v>0</v>
      </c>
      <c r="DQ124" s="1118">
        <f t="shared" si="446"/>
        <v>0</v>
      </c>
      <c r="DR124" s="1118">
        <f t="shared" si="447"/>
        <v>0</v>
      </c>
      <c r="DS124" s="1119"/>
      <c r="DW124" s="1117">
        <f t="shared" si="400"/>
        <v>0</v>
      </c>
      <c r="DX124" s="1118">
        <f t="shared" si="448"/>
        <v>0</v>
      </c>
      <c r="DY124" s="1118">
        <f t="shared" si="449"/>
        <v>0</v>
      </c>
      <c r="DZ124" s="1118">
        <f t="shared" si="450"/>
        <v>0</v>
      </c>
      <c r="EA124" s="1119"/>
      <c r="EE124" s="1117">
        <f t="shared" si="401"/>
        <v>0</v>
      </c>
      <c r="EF124" s="1118">
        <f t="shared" si="451"/>
        <v>0</v>
      </c>
      <c r="EG124" s="1118">
        <f t="shared" si="452"/>
        <v>0</v>
      </c>
      <c r="EH124" s="1118">
        <f t="shared" si="453"/>
        <v>0</v>
      </c>
      <c r="EI124" s="1119"/>
      <c r="EM124" s="1117">
        <f t="shared" si="402"/>
        <v>0</v>
      </c>
      <c r="EN124" s="1118">
        <f t="shared" si="454"/>
        <v>0</v>
      </c>
      <c r="EO124" s="1118">
        <f t="shared" si="455"/>
        <v>0</v>
      </c>
      <c r="EP124" s="1118">
        <f t="shared" si="456"/>
        <v>0</v>
      </c>
      <c r="EQ124" s="1119"/>
      <c r="EU124" s="1117">
        <f t="shared" si="403"/>
        <v>0</v>
      </c>
      <c r="EV124" s="1118">
        <f t="shared" si="457"/>
        <v>0</v>
      </c>
      <c r="EW124" s="1118">
        <f t="shared" si="458"/>
        <v>0</v>
      </c>
      <c r="EX124" s="1118">
        <f t="shared" si="459"/>
        <v>0</v>
      </c>
      <c r="EY124" s="1119"/>
      <c r="FC124" s="1117">
        <f t="shared" si="404"/>
        <v>0</v>
      </c>
      <c r="FD124" s="1118">
        <f t="shared" si="460"/>
        <v>0</v>
      </c>
      <c r="FE124" s="1118">
        <f t="shared" si="461"/>
        <v>0</v>
      </c>
      <c r="FF124" s="1118">
        <f t="shared" si="462"/>
        <v>0</v>
      </c>
      <c r="FG124" s="1119"/>
      <c r="FK124" s="1117">
        <f t="shared" si="405"/>
        <v>0</v>
      </c>
      <c r="FL124" s="1118">
        <f t="shared" si="463"/>
        <v>0</v>
      </c>
      <c r="FM124" s="1118">
        <f t="shared" si="464"/>
        <v>0</v>
      </c>
      <c r="FN124" s="1118">
        <f t="shared" si="465"/>
        <v>0</v>
      </c>
      <c r="FO124" s="1119"/>
    </row>
    <row r="125" spans="1:171" x14ac:dyDescent="0.25">
      <c r="A125" s="913"/>
      <c r="B125" s="79" t="s">
        <v>445</v>
      </c>
      <c r="C125" s="889" t="s">
        <v>78</v>
      </c>
      <c r="D125" s="889">
        <v>183.2</v>
      </c>
      <c r="E125" s="182" t="str">
        <f>'Sch 1- Rate Base '!E125</f>
        <v>DIST</v>
      </c>
      <c r="F125" s="890"/>
      <c r="G125" s="182">
        <f>'Sch 1- Rate Base '!G125</f>
        <v>0</v>
      </c>
      <c r="H125" s="182">
        <f>'Sch 1- Rate Base '!H125</f>
        <v>0</v>
      </c>
      <c r="I125" s="182">
        <f>'Sch 1- Rate Base '!I125</f>
        <v>0</v>
      </c>
      <c r="J125" s="183">
        <f>'Sch 1- Rate Base '!J125</f>
        <v>0</v>
      </c>
      <c r="K125" s="904">
        <f t="shared" si="385"/>
        <v>1</v>
      </c>
      <c r="O125" s="1117">
        <f t="shared" si="386"/>
        <v>0</v>
      </c>
      <c r="P125" s="1118">
        <f t="shared" si="406"/>
        <v>0</v>
      </c>
      <c r="Q125" s="1118">
        <f t="shared" si="407"/>
        <v>0</v>
      </c>
      <c r="R125" s="1118">
        <f t="shared" si="408"/>
        <v>0</v>
      </c>
      <c r="S125" s="1119"/>
      <c r="W125" s="1117">
        <f t="shared" si="387"/>
        <v>0</v>
      </c>
      <c r="X125" s="1118">
        <f t="shared" si="409"/>
        <v>0</v>
      </c>
      <c r="Y125" s="1118">
        <f t="shared" si="410"/>
        <v>0</v>
      </c>
      <c r="Z125" s="1118">
        <f t="shared" si="411"/>
        <v>0</v>
      </c>
      <c r="AA125" s="1119"/>
      <c r="AE125" s="1117">
        <f t="shared" si="388"/>
        <v>0</v>
      </c>
      <c r="AF125" s="1118">
        <f t="shared" si="412"/>
        <v>0</v>
      </c>
      <c r="AG125" s="1118">
        <f t="shared" si="413"/>
        <v>0</v>
      </c>
      <c r="AH125" s="1118">
        <f t="shared" si="414"/>
        <v>0</v>
      </c>
      <c r="AI125" s="1119"/>
      <c r="AM125" s="1117">
        <f t="shared" si="389"/>
        <v>0</v>
      </c>
      <c r="AN125" s="1118">
        <f t="shared" si="415"/>
        <v>0</v>
      </c>
      <c r="AO125" s="1118">
        <f t="shared" si="416"/>
        <v>0</v>
      </c>
      <c r="AP125" s="1118">
        <f t="shared" si="417"/>
        <v>0</v>
      </c>
      <c r="AQ125" s="1119"/>
      <c r="AU125" s="1117">
        <f t="shared" si="390"/>
        <v>0</v>
      </c>
      <c r="AV125" s="1118">
        <f t="shared" si="418"/>
        <v>0</v>
      </c>
      <c r="AW125" s="1118">
        <f t="shared" si="419"/>
        <v>0</v>
      </c>
      <c r="AX125" s="1118">
        <f t="shared" si="420"/>
        <v>0</v>
      </c>
      <c r="AY125" s="1119"/>
      <c r="BC125" s="1117">
        <f t="shared" si="391"/>
        <v>0</v>
      </c>
      <c r="BD125" s="1118">
        <f t="shared" si="421"/>
        <v>0</v>
      </c>
      <c r="BE125" s="1118">
        <f t="shared" si="422"/>
        <v>0</v>
      </c>
      <c r="BF125" s="1118">
        <f t="shared" si="423"/>
        <v>0</v>
      </c>
      <c r="BG125" s="1119"/>
      <c r="BK125" s="1117">
        <f t="shared" si="392"/>
        <v>0</v>
      </c>
      <c r="BL125" s="1118">
        <f t="shared" si="424"/>
        <v>0</v>
      </c>
      <c r="BM125" s="1118">
        <f t="shared" si="425"/>
        <v>0</v>
      </c>
      <c r="BN125" s="1118">
        <f t="shared" si="426"/>
        <v>0</v>
      </c>
      <c r="BO125" s="1119"/>
      <c r="BS125" s="1117">
        <f t="shared" si="393"/>
        <v>0</v>
      </c>
      <c r="BT125" s="1118">
        <f t="shared" si="427"/>
        <v>0</v>
      </c>
      <c r="BU125" s="1118">
        <f t="shared" si="428"/>
        <v>0</v>
      </c>
      <c r="BV125" s="1118">
        <f t="shared" si="429"/>
        <v>0</v>
      </c>
      <c r="BW125" s="1119"/>
      <c r="CA125" s="1117">
        <f t="shared" si="394"/>
        <v>0</v>
      </c>
      <c r="CB125" s="1118">
        <f t="shared" si="430"/>
        <v>0</v>
      </c>
      <c r="CC125" s="1118">
        <f t="shared" si="431"/>
        <v>0</v>
      </c>
      <c r="CD125" s="1118">
        <f t="shared" si="432"/>
        <v>0</v>
      </c>
      <c r="CE125" s="1119"/>
      <c r="CI125" s="1117">
        <f t="shared" si="395"/>
        <v>0</v>
      </c>
      <c r="CJ125" s="1118">
        <f t="shared" si="433"/>
        <v>0</v>
      </c>
      <c r="CK125" s="1118">
        <f t="shared" si="434"/>
        <v>0</v>
      </c>
      <c r="CL125" s="1118">
        <f t="shared" si="435"/>
        <v>0</v>
      </c>
      <c r="CM125" s="1119"/>
      <c r="CQ125" s="1117">
        <f t="shared" si="396"/>
        <v>0</v>
      </c>
      <c r="CR125" s="1118">
        <f t="shared" si="436"/>
        <v>0</v>
      </c>
      <c r="CS125" s="1118">
        <f t="shared" si="437"/>
        <v>0</v>
      </c>
      <c r="CT125" s="1118">
        <f t="shared" si="438"/>
        <v>0</v>
      </c>
      <c r="CU125" s="1119"/>
      <c r="CY125" s="1117">
        <f t="shared" si="397"/>
        <v>0</v>
      </c>
      <c r="CZ125" s="1118">
        <f t="shared" si="439"/>
        <v>0</v>
      </c>
      <c r="DA125" s="1118">
        <f t="shared" si="440"/>
        <v>0</v>
      </c>
      <c r="DB125" s="1118">
        <f t="shared" si="441"/>
        <v>0</v>
      </c>
      <c r="DC125" s="1119"/>
      <c r="DG125" s="1117">
        <f t="shared" si="398"/>
        <v>0</v>
      </c>
      <c r="DH125" s="1118">
        <f t="shared" si="442"/>
        <v>0</v>
      </c>
      <c r="DI125" s="1118">
        <f t="shared" si="443"/>
        <v>0</v>
      </c>
      <c r="DJ125" s="1118">
        <f t="shared" si="444"/>
        <v>0</v>
      </c>
      <c r="DK125" s="1119"/>
      <c r="DO125" s="1117">
        <f t="shared" si="399"/>
        <v>0</v>
      </c>
      <c r="DP125" s="1118">
        <f t="shared" si="445"/>
        <v>0</v>
      </c>
      <c r="DQ125" s="1118">
        <f t="shared" si="446"/>
        <v>0</v>
      </c>
      <c r="DR125" s="1118">
        <f t="shared" si="447"/>
        <v>0</v>
      </c>
      <c r="DS125" s="1119"/>
      <c r="DW125" s="1117">
        <f t="shared" si="400"/>
        <v>0</v>
      </c>
      <c r="DX125" s="1118">
        <f t="shared" si="448"/>
        <v>0</v>
      </c>
      <c r="DY125" s="1118">
        <f t="shared" si="449"/>
        <v>0</v>
      </c>
      <c r="DZ125" s="1118">
        <f t="shared" si="450"/>
        <v>0</v>
      </c>
      <c r="EA125" s="1119"/>
      <c r="EE125" s="1117">
        <f t="shared" si="401"/>
        <v>0</v>
      </c>
      <c r="EF125" s="1118">
        <f t="shared" si="451"/>
        <v>0</v>
      </c>
      <c r="EG125" s="1118">
        <f t="shared" si="452"/>
        <v>0</v>
      </c>
      <c r="EH125" s="1118">
        <f t="shared" si="453"/>
        <v>0</v>
      </c>
      <c r="EI125" s="1119"/>
      <c r="EM125" s="1117">
        <f t="shared" si="402"/>
        <v>0</v>
      </c>
      <c r="EN125" s="1118">
        <f t="shared" si="454"/>
        <v>0</v>
      </c>
      <c r="EO125" s="1118">
        <f t="shared" si="455"/>
        <v>0</v>
      </c>
      <c r="EP125" s="1118">
        <f t="shared" si="456"/>
        <v>0</v>
      </c>
      <c r="EQ125" s="1119"/>
      <c r="EU125" s="1117">
        <f t="shared" si="403"/>
        <v>0</v>
      </c>
      <c r="EV125" s="1118">
        <f t="shared" si="457"/>
        <v>0</v>
      </c>
      <c r="EW125" s="1118">
        <f t="shared" si="458"/>
        <v>0</v>
      </c>
      <c r="EX125" s="1118">
        <f t="shared" si="459"/>
        <v>0</v>
      </c>
      <c r="EY125" s="1119"/>
      <c r="FC125" s="1117">
        <f t="shared" si="404"/>
        <v>0</v>
      </c>
      <c r="FD125" s="1118">
        <f t="shared" si="460"/>
        <v>0</v>
      </c>
      <c r="FE125" s="1118">
        <f t="shared" si="461"/>
        <v>0</v>
      </c>
      <c r="FF125" s="1118">
        <f t="shared" si="462"/>
        <v>0</v>
      </c>
      <c r="FG125" s="1119"/>
      <c r="FK125" s="1117">
        <f t="shared" si="405"/>
        <v>0</v>
      </c>
      <c r="FL125" s="1118">
        <f t="shared" si="463"/>
        <v>0</v>
      </c>
      <c r="FM125" s="1118">
        <f t="shared" si="464"/>
        <v>0</v>
      </c>
      <c r="FN125" s="1118">
        <f t="shared" si="465"/>
        <v>0</v>
      </c>
      <c r="FO125" s="1119"/>
    </row>
    <row r="126" spans="1:171" x14ac:dyDescent="0.25">
      <c r="A126" s="913"/>
      <c r="B126" s="79" t="s">
        <v>15</v>
      </c>
      <c r="C126" s="889" t="s">
        <v>78</v>
      </c>
      <c r="D126" s="889">
        <v>184</v>
      </c>
      <c r="E126" s="182" t="str">
        <f>'Sch 1- Rate Base '!E126</f>
        <v>DIST</v>
      </c>
      <c r="F126" s="890"/>
      <c r="G126" s="182">
        <f>'Sch 1- Rate Base '!G126</f>
        <v>2867.363757145788</v>
      </c>
      <c r="H126" s="182">
        <f>'Sch 1- Rate Base '!H126</f>
        <v>0</v>
      </c>
      <c r="I126" s="182">
        <f>'Sch 1- Rate Base '!I126</f>
        <v>0</v>
      </c>
      <c r="J126" s="183">
        <f>'Sch 1- Rate Base '!J126</f>
        <v>2867.363757145788</v>
      </c>
      <c r="K126" s="904">
        <f t="shared" si="385"/>
        <v>1</v>
      </c>
      <c r="O126" s="1117">
        <f t="shared" si="386"/>
        <v>2867.363757145788</v>
      </c>
      <c r="P126" s="1118">
        <f t="shared" si="406"/>
        <v>0</v>
      </c>
      <c r="Q126" s="1118">
        <f t="shared" si="407"/>
        <v>0</v>
      </c>
      <c r="R126" s="1118">
        <f t="shared" si="408"/>
        <v>2867.363757145788</v>
      </c>
      <c r="S126" s="1119"/>
      <c r="W126" s="1117">
        <f t="shared" si="387"/>
        <v>2867.363757145788</v>
      </c>
      <c r="X126" s="1118">
        <f t="shared" si="409"/>
        <v>0</v>
      </c>
      <c r="Y126" s="1118">
        <f t="shared" si="410"/>
        <v>0</v>
      </c>
      <c r="Z126" s="1118">
        <f t="shared" si="411"/>
        <v>2867.363757145788</v>
      </c>
      <c r="AA126" s="1119"/>
      <c r="AE126" s="1117">
        <f t="shared" si="388"/>
        <v>2867.363757145788</v>
      </c>
      <c r="AF126" s="1118">
        <f t="shared" si="412"/>
        <v>0</v>
      </c>
      <c r="AG126" s="1118">
        <f t="shared" si="413"/>
        <v>0</v>
      </c>
      <c r="AH126" s="1118">
        <f t="shared" si="414"/>
        <v>2867.363757145788</v>
      </c>
      <c r="AI126" s="1119"/>
      <c r="AM126" s="1117">
        <f t="shared" si="389"/>
        <v>2867.363757145788</v>
      </c>
      <c r="AN126" s="1118">
        <f t="shared" si="415"/>
        <v>0</v>
      </c>
      <c r="AO126" s="1118">
        <f t="shared" si="416"/>
        <v>0</v>
      </c>
      <c r="AP126" s="1118">
        <f t="shared" si="417"/>
        <v>2867.363757145788</v>
      </c>
      <c r="AQ126" s="1119"/>
      <c r="AU126" s="1117">
        <f t="shared" si="390"/>
        <v>2867.363757145788</v>
      </c>
      <c r="AV126" s="1118">
        <f t="shared" si="418"/>
        <v>0</v>
      </c>
      <c r="AW126" s="1118">
        <f t="shared" si="419"/>
        <v>0</v>
      </c>
      <c r="AX126" s="1118">
        <f t="shared" si="420"/>
        <v>2867.363757145788</v>
      </c>
      <c r="AY126" s="1119"/>
      <c r="BC126" s="1117">
        <f t="shared" si="391"/>
        <v>2867.363757145788</v>
      </c>
      <c r="BD126" s="1118">
        <f t="shared" si="421"/>
        <v>0</v>
      </c>
      <c r="BE126" s="1118">
        <f t="shared" si="422"/>
        <v>0</v>
      </c>
      <c r="BF126" s="1118">
        <f t="shared" si="423"/>
        <v>2867.363757145788</v>
      </c>
      <c r="BG126" s="1119"/>
      <c r="BK126" s="1117">
        <f t="shared" si="392"/>
        <v>2867.363757145788</v>
      </c>
      <c r="BL126" s="1118">
        <f t="shared" si="424"/>
        <v>0</v>
      </c>
      <c r="BM126" s="1118">
        <f t="shared" si="425"/>
        <v>0</v>
      </c>
      <c r="BN126" s="1118">
        <f t="shared" si="426"/>
        <v>2867.363757145788</v>
      </c>
      <c r="BO126" s="1119"/>
      <c r="BS126" s="1117">
        <f t="shared" si="393"/>
        <v>2867.363757145788</v>
      </c>
      <c r="BT126" s="1118">
        <f t="shared" si="427"/>
        <v>0</v>
      </c>
      <c r="BU126" s="1118">
        <f t="shared" si="428"/>
        <v>0</v>
      </c>
      <c r="BV126" s="1118">
        <f t="shared" si="429"/>
        <v>2867.363757145788</v>
      </c>
      <c r="BW126" s="1119"/>
      <c r="CA126" s="1117">
        <f t="shared" si="394"/>
        <v>2867.363757145788</v>
      </c>
      <c r="CB126" s="1118">
        <f t="shared" si="430"/>
        <v>0</v>
      </c>
      <c r="CC126" s="1118">
        <f t="shared" si="431"/>
        <v>0</v>
      </c>
      <c r="CD126" s="1118">
        <f t="shared" si="432"/>
        <v>2867.363757145788</v>
      </c>
      <c r="CE126" s="1119"/>
      <c r="CI126" s="1117">
        <f t="shared" si="395"/>
        <v>2867.363757145788</v>
      </c>
      <c r="CJ126" s="1118">
        <f t="shared" si="433"/>
        <v>0</v>
      </c>
      <c r="CK126" s="1118">
        <f t="shared" si="434"/>
        <v>0</v>
      </c>
      <c r="CL126" s="1118">
        <f t="shared" si="435"/>
        <v>2867.363757145788</v>
      </c>
      <c r="CM126" s="1119"/>
      <c r="CQ126" s="1117">
        <f t="shared" si="396"/>
        <v>2867.363757145788</v>
      </c>
      <c r="CR126" s="1118">
        <f t="shared" si="436"/>
        <v>0</v>
      </c>
      <c r="CS126" s="1118">
        <f t="shared" si="437"/>
        <v>0</v>
      </c>
      <c r="CT126" s="1118">
        <f t="shared" si="438"/>
        <v>2867.363757145788</v>
      </c>
      <c r="CU126" s="1119"/>
      <c r="CY126" s="1117">
        <f t="shared" si="397"/>
        <v>2867.363757145788</v>
      </c>
      <c r="CZ126" s="1118">
        <f t="shared" si="439"/>
        <v>0</v>
      </c>
      <c r="DA126" s="1118">
        <f t="shared" si="440"/>
        <v>0</v>
      </c>
      <c r="DB126" s="1118">
        <f t="shared" si="441"/>
        <v>2867.363757145788</v>
      </c>
      <c r="DC126" s="1119"/>
      <c r="DG126" s="1117">
        <f t="shared" si="398"/>
        <v>2867.363757145788</v>
      </c>
      <c r="DH126" s="1118">
        <f t="shared" si="442"/>
        <v>0</v>
      </c>
      <c r="DI126" s="1118">
        <f t="shared" si="443"/>
        <v>0</v>
      </c>
      <c r="DJ126" s="1118">
        <f t="shared" si="444"/>
        <v>2867.363757145788</v>
      </c>
      <c r="DK126" s="1119"/>
      <c r="DO126" s="1117">
        <f t="shared" si="399"/>
        <v>2867.363757145788</v>
      </c>
      <c r="DP126" s="1118">
        <f t="shared" si="445"/>
        <v>0</v>
      </c>
      <c r="DQ126" s="1118">
        <f t="shared" si="446"/>
        <v>0</v>
      </c>
      <c r="DR126" s="1118">
        <f t="shared" si="447"/>
        <v>2867.363757145788</v>
      </c>
      <c r="DS126" s="1119"/>
      <c r="DW126" s="1117">
        <f t="shared" si="400"/>
        <v>2867.363757145788</v>
      </c>
      <c r="DX126" s="1118">
        <f t="shared" si="448"/>
        <v>0</v>
      </c>
      <c r="DY126" s="1118">
        <f t="shared" si="449"/>
        <v>0</v>
      </c>
      <c r="DZ126" s="1118">
        <f t="shared" si="450"/>
        <v>2867.363757145788</v>
      </c>
      <c r="EA126" s="1119"/>
      <c r="EE126" s="1117">
        <f t="shared" si="401"/>
        <v>2867.363757145788</v>
      </c>
      <c r="EF126" s="1118">
        <f t="shared" si="451"/>
        <v>0</v>
      </c>
      <c r="EG126" s="1118">
        <f t="shared" si="452"/>
        <v>0</v>
      </c>
      <c r="EH126" s="1118">
        <f t="shared" si="453"/>
        <v>2867.363757145788</v>
      </c>
      <c r="EI126" s="1119"/>
      <c r="EM126" s="1117">
        <f t="shared" si="402"/>
        <v>2867.363757145788</v>
      </c>
      <c r="EN126" s="1118">
        <f t="shared" si="454"/>
        <v>0</v>
      </c>
      <c r="EO126" s="1118">
        <f t="shared" si="455"/>
        <v>0</v>
      </c>
      <c r="EP126" s="1118">
        <f t="shared" si="456"/>
        <v>2867.363757145788</v>
      </c>
      <c r="EQ126" s="1119"/>
      <c r="EU126" s="1117">
        <f t="shared" si="403"/>
        <v>2867.363757145788</v>
      </c>
      <c r="EV126" s="1118">
        <f t="shared" si="457"/>
        <v>0</v>
      </c>
      <c r="EW126" s="1118">
        <f t="shared" si="458"/>
        <v>0</v>
      </c>
      <c r="EX126" s="1118">
        <f t="shared" si="459"/>
        <v>2867.363757145788</v>
      </c>
      <c r="EY126" s="1119"/>
      <c r="FC126" s="1117">
        <f t="shared" si="404"/>
        <v>2867.363757145788</v>
      </c>
      <c r="FD126" s="1118">
        <f t="shared" si="460"/>
        <v>0</v>
      </c>
      <c r="FE126" s="1118">
        <f t="shared" si="461"/>
        <v>0</v>
      </c>
      <c r="FF126" s="1118">
        <f t="shared" si="462"/>
        <v>2867.363757145788</v>
      </c>
      <c r="FG126" s="1119"/>
      <c r="FK126" s="1117">
        <f t="shared" si="405"/>
        <v>2867.363757145788</v>
      </c>
      <c r="FL126" s="1118">
        <f t="shared" si="463"/>
        <v>0</v>
      </c>
      <c r="FM126" s="1118">
        <f t="shared" si="464"/>
        <v>0</v>
      </c>
      <c r="FN126" s="1118">
        <f t="shared" si="465"/>
        <v>2867.363757145788</v>
      </c>
      <c r="FO126" s="1119"/>
    </row>
    <row r="127" spans="1:171" x14ac:dyDescent="0.25">
      <c r="A127" s="913"/>
      <c r="B127" s="79" t="s">
        <v>16</v>
      </c>
      <c r="C127" s="889" t="s">
        <v>78</v>
      </c>
      <c r="D127" s="889">
        <v>185</v>
      </c>
      <c r="E127" s="182" t="str">
        <f>'Sch 1- Rate Base '!E127</f>
        <v>PTDG</v>
      </c>
      <c r="F127" s="890"/>
      <c r="G127" s="182">
        <f>'Sch 1- Rate Base '!G127</f>
        <v>63231.269284363545</v>
      </c>
      <c r="H127" s="182">
        <f>'Sch 1- Rate Base '!H127</f>
        <v>27468.580337729723</v>
      </c>
      <c r="I127" s="182">
        <f>'Sch 1- Rate Base '!I127</f>
        <v>0</v>
      </c>
      <c r="J127" s="183">
        <f>'Sch 1- Rate Base '!J127</f>
        <v>19431.59572434863</v>
      </c>
      <c r="K127" s="904">
        <f t="shared" si="385"/>
        <v>1</v>
      </c>
      <c r="O127" s="1117">
        <f t="shared" si="386"/>
        <v>63231.269284363545</v>
      </c>
      <c r="P127" s="1118">
        <f t="shared" si="406"/>
        <v>27468.580337729723</v>
      </c>
      <c r="Q127" s="1118">
        <f t="shared" si="407"/>
        <v>16003.898772023967</v>
      </c>
      <c r="R127" s="1118">
        <f t="shared" si="408"/>
        <v>19758.790174609851</v>
      </c>
      <c r="S127" s="1119"/>
      <c r="W127" s="1117">
        <f t="shared" si="387"/>
        <v>63231.269284363545</v>
      </c>
      <c r="X127" s="1118">
        <f t="shared" si="409"/>
        <v>27468.580337729723</v>
      </c>
      <c r="Y127" s="1118">
        <f t="shared" si="410"/>
        <v>16003.898772023967</v>
      </c>
      <c r="Z127" s="1118">
        <f t="shared" si="411"/>
        <v>19758.790174609851</v>
      </c>
      <c r="AA127" s="1119"/>
      <c r="AE127" s="1117">
        <f t="shared" si="388"/>
        <v>63231.269284363545</v>
      </c>
      <c r="AF127" s="1118">
        <f t="shared" si="412"/>
        <v>27468.580337729723</v>
      </c>
      <c r="AG127" s="1118">
        <f t="shared" si="413"/>
        <v>16003.898772023967</v>
      </c>
      <c r="AH127" s="1118">
        <f t="shared" si="414"/>
        <v>19758.790174609851</v>
      </c>
      <c r="AI127" s="1119"/>
      <c r="AM127" s="1117">
        <f t="shared" si="389"/>
        <v>63231.269284363545</v>
      </c>
      <c r="AN127" s="1118">
        <f t="shared" si="415"/>
        <v>27468.580337729723</v>
      </c>
      <c r="AO127" s="1118">
        <f t="shared" si="416"/>
        <v>16003.898772023967</v>
      </c>
      <c r="AP127" s="1118">
        <f t="shared" si="417"/>
        <v>19758.790174609851</v>
      </c>
      <c r="AQ127" s="1119"/>
      <c r="AU127" s="1117">
        <f t="shared" si="390"/>
        <v>63231.269284363545</v>
      </c>
      <c r="AV127" s="1118">
        <f t="shared" si="418"/>
        <v>27468.580337729723</v>
      </c>
      <c r="AW127" s="1118">
        <f t="shared" si="419"/>
        <v>16003.898772023967</v>
      </c>
      <c r="AX127" s="1118">
        <f t="shared" si="420"/>
        <v>19758.790174609851</v>
      </c>
      <c r="AY127" s="1119"/>
      <c r="BC127" s="1117">
        <f t="shared" si="391"/>
        <v>63231.269284363545</v>
      </c>
      <c r="BD127" s="1118">
        <f t="shared" si="421"/>
        <v>27468.580337729723</v>
      </c>
      <c r="BE127" s="1118">
        <f t="shared" si="422"/>
        <v>16003.898772023967</v>
      </c>
      <c r="BF127" s="1118">
        <f t="shared" si="423"/>
        <v>19758.790174609851</v>
      </c>
      <c r="BG127" s="1119"/>
      <c r="BK127" s="1117">
        <f t="shared" si="392"/>
        <v>63231.269284363545</v>
      </c>
      <c r="BL127" s="1118">
        <f t="shared" si="424"/>
        <v>27468.580337729723</v>
      </c>
      <c r="BM127" s="1118">
        <f t="shared" si="425"/>
        <v>16003.898772023967</v>
      </c>
      <c r="BN127" s="1118">
        <f t="shared" si="426"/>
        <v>19758.790174609851</v>
      </c>
      <c r="BO127" s="1119"/>
      <c r="BS127" s="1117">
        <f t="shared" si="393"/>
        <v>63231.269284363545</v>
      </c>
      <c r="BT127" s="1118">
        <f t="shared" si="427"/>
        <v>27468.580337729723</v>
      </c>
      <c r="BU127" s="1118">
        <f t="shared" si="428"/>
        <v>16003.898772023967</v>
      </c>
      <c r="BV127" s="1118">
        <f t="shared" si="429"/>
        <v>19758.790174609851</v>
      </c>
      <c r="BW127" s="1119"/>
      <c r="CA127" s="1117">
        <f t="shared" si="394"/>
        <v>63231.269284363545</v>
      </c>
      <c r="CB127" s="1118">
        <f t="shared" si="430"/>
        <v>27468.580337729723</v>
      </c>
      <c r="CC127" s="1118">
        <f t="shared" si="431"/>
        <v>16003.898772023967</v>
      </c>
      <c r="CD127" s="1118">
        <f t="shared" si="432"/>
        <v>19758.790174609851</v>
      </c>
      <c r="CE127" s="1119"/>
      <c r="CI127" s="1117">
        <f t="shared" si="395"/>
        <v>63231.269284363545</v>
      </c>
      <c r="CJ127" s="1118">
        <f t="shared" si="433"/>
        <v>27468.580337729723</v>
      </c>
      <c r="CK127" s="1118">
        <f t="shared" si="434"/>
        <v>16003.898772023967</v>
      </c>
      <c r="CL127" s="1118">
        <f t="shared" si="435"/>
        <v>19758.790174609851</v>
      </c>
      <c r="CM127" s="1119"/>
      <c r="CQ127" s="1117">
        <f t="shared" si="396"/>
        <v>63231.269284363545</v>
      </c>
      <c r="CR127" s="1118">
        <f t="shared" si="436"/>
        <v>27468.580337729723</v>
      </c>
      <c r="CS127" s="1118">
        <f t="shared" si="437"/>
        <v>16003.898772023967</v>
      </c>
      <c r="CT127" s="1118">
        <f t="shared" si="438"/>
        <v>19758.790174609851</v>
      </c>
      <c r="CU127" s="1119"/>
      <c r="CY127" s="1117">
        <f t="shared" si="397"/>
        <v>63231.269284363545</v>
      </c>
      <c r="CZ127" s="1118">
        <f t="shared" si="439"/>
        <v>27468.580337729723</v>
      </c>
      <c r="DA127" s="1118">
        <f t="shared" si="440"/>
        <v>16003.898772023967</v>
      </c>
      <c r="DB127" s="1118">
        <f t="shared" si="441"/>
        <v>19758.790174609851</v>
      </c>
      <c r="DC127" s="1119"/>
      <c r="DG127" s="1117">
        <f t="shared" si="398"/>
        <v>63231.269284363545</v>
      </c>
      <c r="DH127" s="1118">
        <f t="shared" si="442"/>
        <v>27468.580337729723</v>
      </c>
      <c r="DI127" s="1118">
        <f t="shared" si="443"/>
        <v>16003.898772023967</v>
      </c>
      <c r="DJ127" s="1118">
        <f t="shared" si="444"/>
        <v>19758.790174609851</v>
      </c>
      <c r="DK127" s="1119"/>
      <c r="DO127" s="1117">
        <f t="shared" si="399"/>
        <v>63231.269284363545</v>
      </c>
      <c r="DP127" s="1118">
        <f t="shared" si="445"/>
        <v>27468.580337729723</v>
      </c>
      <c r="DQ127" s="1118">
        <f t="shared" si="446"/>
        <v>16003.898772023967</v>
      </c>
      <c r="DR127" s="1118">
        <f t="shared" si="447"/>
        <v>19758.790174609851</v>
      </c>
      <c r="DS127" s="1119"/>
      <c r="DW127" s="1117">
        <f t="shared" si="400"/>
        <v>63231.269284363545</v>
      </c>
      <c r="DX127" s="1118">
        <f t="shared" si="448"/>
        <v>27468.580337729723</v>
      </c>
      <c r="DY127" s="1118">
        <f t="shared" si="449"/>
        <v>16003.898772023967</v>
      </c>
      <c r="DZ127" s="1118">
        <f t="shared" si="450"/>
        <v>19758.790174609851</v>
      </c>
      <c r="EA127" s="1119"/>
      <c r="EE127" s="1117">
        <f t="shared" si="401"/>
        <v>63231.269284363545</v>
      </c>
      <c r="EF127" s="1118">
        <f t="shared" si="451"/>
        <v>27468.580337729723</v>
      </c>
      <c r="EG127" s="1118">
        <f t="shared" si="452"/>
        <v>16003.898772023967</v>
      </c>
      <c r="EH127" s="1118">
        <f t="shared" si="453"/>
        <v>19758.790174609851</v>
      </c>
      <c r="EI127" s="1119"/>
      <c r="EM127" s="1117">
        <f t="shared" si="402"/>
        <v>63231.269284363545</v>
      </c>
      <c r="EN127" s="1118">
        <f t="shared" si="454"/>
        <v>27468.580337729723</v>
      </c>
      <c r="EO127" s="1118">
        <f t="shared" si="455"/>
        <v>16003.898772023967</v>
      </c>
      <c r="EP127" s="1118">
        <f t="shared" si="456"/>
        <v>19758.790174609851</v>
      </c>
      <c r="EQ127" s="1119"/>
      <c r="EU127" s="1117">
        <f t="shared" si="403"/>
        <v>63231.269284363545</v>
      </c>
      <c r="EV127" s="1118">
        <f t="shared" si="457"/>
        <v>27468.580337729723</v>
      </c>
      <c r="EW127" s="1118">
        <f t="shared" si="458"/>
        <v>16003.898772023967</v>
      </c>
      <c r="EX127" s="1118">
        <f t="shared" si="459"/>
        <v>19758.790174609851</v>
      </c>
      <c r="EY127" s="1119"/>
      <c r="FC127" s="1117">
        <f t="shared" si="404"/>
        <v>63231.269284363545</v>
      </c>
      <c r="FD127" s="1118">
        <f t="shared" si="460"/>
        <v>27468.580337729723</v>
      </c>
      <c r="FE127" s="1118">
        <f t="shared" si="461"/>
        <v>16003.898772023967</v>
      </c>
      <c r="FF127" s="1118">
        <f t="shared" si="462"/>
        <v>19758.790174609851</v>
      </c>
      <c r="FG127" s="1119"/>
      <c r="FK127" s="1117">
        <f t="shared" si="405"/>
        <v>63231.269284363545</v>
      </c>
      <c r="FL127" s="1118">
        <f t="shared" si="463"/>
        <v>27468.580337729723</v>
      </c>
      <c r="FM127" s="1118">
        <f t="shared" si="464"/>
        <v>16003.898772023967</v>
      </c>
      <c r="FN127" s="1118">
        <f t="shared" si="465"/>
        <v>19758.790174609851</v>
      </c>
      <c r="FO127" s="1119"/>
    </row>
    <row r="128" spans="1:171" x14ac:dyDescent="0.25">
      <c r="A128" s="913"/>
      <c r="B128" s="79" t="s">
        <v>17</v>
      </c>
      <c r="C128" s="889" t="s">
        <v>78</v>
      </c>
      <c r="D128" s="889">
        <v>186</v>
      </c>
      <c r="E128" s="182" t="str">
        <f>'Sch 1- Rate Base '!E128</f>
        <v>DIRECT</v>
      </c>
      <c r="F128" s="890"/>
      <c r="G128" s="182">
        <f>'Sch 1- Rate Base '!G128</f>
        <v>51060663.808693767</v>
      </c>
      <c r="H128" s="182">
        <f>'Sch 1- Rate Base '!H128</f>
        <v>48216918.364726976</v>
      </c>
      <c r="I128" s="182">
        <f>'Sch 1- Rate Base '!I128</f>
        <v>0</v>
      </c>
      <c r="J128" s="183">
        <f>'Sch 1- Rate Base '!J128</f>
        <v>2843745.443966785</v>
      </c>
      <c r="K128" s="904">
        <f t="shared" si="385"/>
        <v>0</v>
      </c>
      <c r="O128" s="1117">
        <f t="shared" si="386"/>
        <v>51060663.808693767</v>
      </c>
      <c r="P128" s="1118">
        <f t="shared" si="406"/>
        <v>48216918.364726976</v>
      </c>
      <c r="Q128" s="1118">
        <f t="shared" si="407"/>
        <v>0</v>
      </c>
      <c r="R128" s="1118">
        <f t="shared" si="408"/>
        <v>2843745.443966791</v>
      </c>
      <c r="S128" s="1119"/>
      <c r="W128" s="1117">
        <f t="shared" si="387"/>
        <v>51060663.808693767</v>
      </c>
      <c r="X128" s="1118">
        <f t="shared" si="409"/>
        <v>48216918.364726976</v>
      </c>
      <c r="Y128" s="1118">
        <f t="shared" si="410"/>
        <v>0</v>
      </c>
      <c r="Z128" s="1118">
        <f t="shared" si="411"/>
        <v>2843745.443966791</v>
      </c>
      <c r="AA128" s="1119"/>
      <c r="AE128" s="1117">
        <f t="shared" si="388"/>
        <v>51060663.808693767</v>
      </c>
      <c r="AF128" s="1118">
        <f t="shared" si="412"/>
        <v>48216918.364726976</v>
      </c>
      <c r="AG128" s="1118">
        <f t="shared" si="413"/>
        <v>0</v>
      </c>
      <c r="AH128" s="1118">
        <f t="shared" si="414"/>
        <v>2843745.443966791</v>
      </c>
      <c r="AI128" s="1119"/>
      <c r="AM128" s="1117">
        <f t="shared" si="389"/>
        <v>51060663.808693767</v>
      </c>
      <c r="AN128" s="1118">
        <f t="shared" si="415"/>
        <v>48216918.364726976</v>
      </c>
      <c r="AO128" s="1118">
        <f t="shared" si="416"/>
        <v>0</v>
      </c>
      <c r="AP128" s="1118">
        <f t="shared" si="417"/>
        <v>2843745.443966791</v>
      </c>
      <c r="AQ128" s="1119"/>
      <c r="AU128" s="1117">
        <f t="shared" si="390"/>
        <v>51060663.808693767</v>
      </c>
      <c r="AV128" s="1118">
        <f t="shared" si="418"/>
        <v>48216918.364726976</v>
      </c>
      <c r="AW128" s="1118">
        <f t="shared" si="419"/>
        <v>0</v>
      </c>
      <c r="AX128" s="1118">
        <f t="shared" si="420"/>
        <v>2843745.443966791</v>
      </c>
      <c r="AY128" s="1119"/>
      <c r="BC128" s="1117">
        <f t="shared" si="391"/>
        <v>51060663.808693767</v>
      </c>
      <c r="BD128" s="1118">
        <f t="shared" si="421"/>
        <v>48216918.364726976</v>
      </c>
      <c r="BE128" s="1118">
        <f t="shared" si="422"/>
        <v>0</v>
      </c>
      <c r="BF128" s="1118">
        <f t="shared" si="423"/>
        <v>2843745.443966791</v>
      </c>
      <c r="BG128" s="1119"/>
      <c r="BK128" s="1117">
        <f t="shared" si="392"/>
        <v>51060663.808693767</v>
      </c>
      <c r="BL128" s="1118">
        <f t="shared" si="424"/>
        <v>48216918.364726976</v>
      </c>
      <c r="BM128" s="1118">
        <f t="shared" si="425"/>
        <v>0</v>
      </c>
      <c r="BN128" s="1118">
        <f t="shared" si="426"/>
        <v>2843745.443966791</v>
      </c>
      <c r="BO128" s="1119"/>
      <c r="BS128" s="1117">
        <f t="shared" si="393"/>
        <v>51060663.808693767</v>
      </c>
      <c r="BT128" s="1118">
        <f t="shared" si="427"/>
        <v>48216918.364726976</v>
      </c>
      <c r="BU128" s="1118">
        <f t="shared" si="428"/>
        <v>0</v>
      </c>
      <c r="BV128" s="1118">
        <f t="shared" si="429"/>
        <v>2843745.443966791</v>
      </c>
      <c r="BW128" s="1119"/>
      <c r="CA128" s="1117">
        <f t="shared" si="394"/>
        <v>51060663.808693767</v>
      </c>
      <c r="CB128" s="1118">
        <f t="shared" si="430"/>
        <v>48216918.364726976</v>
      </c>
      <c r="CC128" s="1118">
        <f t="shared" si="431"/>
        <v>0</v>
      </c>
      <c r="CD128" s="1118">
        <f t="shared" si="432"/>
        <v>2843745.443966791</v>
      </c>
      <c r="CE128" s="1119"/>
      <c r="CI128" s="1117">
        <f t="shared" si="395"/>
        <v>51060663.808693767</v>
      </c>
      <c r="CJ128" s="1118">
        <f t="shared" si="433"/>
        <v>48216918.364726976</v>
      </c>
      <c r="CK128" s="1118">
        <f t="shared" si="434"/>
        <v>0</v>
      </c>
      <c r="CL128" s="1118">
        <f t="shared" si="435"/>
        <v>2843745.443966791</v>
      </c>
      <c r="CM128" s="1119"/>
      <c r="CQ128" s="1117">
        <f t="shared" si="396"/>
        <v>51060663.808693767</v>
      </c>
      <c r="CR128" s="1118">
        <f t="shared" si="436"/>
        <v>48216918.364726976</v>
      </c>
      <c r="CS128" s="1118">
        <f t="shared" si="437"/>
        <v>0</v>
      </c>
      <c r="CT128" s="1118">
        <f t="shared" si="438"/>
        <v>2843745.443966791</v>
      </c>
      <c r="CU128" s="1119"/>
      <c r="CY128" s="1117">
        <f t="shared" si="397"/>
        <v>51060663.808693767</v>
      </c>
      <c r="CZ128" s="1118">
        <f t="shared" si="439"/>
        <v>48216918.364726976</v>
      </c>
      <c r="DA128" s="1118">
        <f t="shared" si="440"/>
        <v>0</v>
      </c>
      <c r="DB128" s="1118">
        <f t="shared" si="441"/>
        <v>2843745.443966791</v>
      </c>
      <c r="DC128" s="1119"/>
      <c r="DG128" s="1117">
        <f t="shared" si="398"/>
        <v>51060663.808693767</v>
      </c>
      <c r="DH128" s="1118">
        <f t="shared" si="442"/>
        <v>48216918.364726976</v>
      </c>
      <c r="DI128" s="1118">
        <f t="shared" si="443"/>
        <v>0</v>
      </c>
      <c r="DJ128" s="1118">
        <f t="shared" si="444"/>
        <v>2843745.443966791</v>
      </c>
      <c r="DK128" s="1119"/>
      <c r="DO128" s="1117">
        <f t="shared" si="399"/>
        <v>51060663.808693767</v>
      </c>
      <c r="DP128" s="1118">
        <f t="shared" si="445"/>
        <v>48216918.364726976</v>
      </c>
      <c r="DQ128" s="1118">
        <f t="shared" si="446"/>
        <v>0</v>
      </c>
      <c r="DR128" s="1118">
        <f t="shared" si="447"/>
        <v>2843745.443966791</v>
      </c>
      <c r="DS128" s="1119"/>
      <c r="DW128" s="1117">
        <f t="shared" si="400"/>
        <v>51060663.808693767</v>
      </c>
      <c r="DX128" s="1118">
        <f t="shared" si="448"/>
        <v>48216918.364726976</v>
      </c>
      <c r="DY128" s="1118">
        <f t="shared" si="449"/>
        <v>0</v>
      </c>
      <c r="DZ128" s="1118">
        <f t="shared" si="450"/>
        <v>2843745.443966791</v>
      </c>
      <c r="EA128" s="1119"/>
      <c r="EE128" s="1117">
        <f t="shared" si="401"/>
        <v>51060663.808693767</v>
      </c>
      <c r="EF128" s="1118">
        <f t="shared" si="451"/>
        <v>48216918.364726976</v>
      </c>
      <c r="EG128" s="1118">
        <f t="shared" si="452"/>
        <v>0</v>
      </c>
      <c r="EH128" s="1118">
        <f t="shared" si="453"/>
        <v>2843745.443966791</v>
      </c>
      <c r="EI128" s="1119"/>
      <c r="EM128" s="1117">
        <f t="shared" si="402"/>
        <v>51060663.808693767</v>
      </c>
      <c r="EN128" s="1118">
        <f t="shared" si="454"/>
        <v>48216918.364726976</v>
      </c>
      <c r="EO128" s="1118">
        <f t="shared" si="455"/>
        <v>0</v>
      </c>
      <c r="EP128" s="1118">
        <f t="shared" si="456"/>
        <v>2843745.443966791</v>
      </c>
      <c r="EQ128" s="1119"/>
      <c r="EU128" s="1117">
        <f t="shared" si="403"/>
        <v>51060663.808693767</v>
      </c>
      <c r="EV128" s="1118">
        <f t="shared" si="457"/>
        <v>48216918.364726976</v>
      </c>
      <c r="EW128" s="1118">
        <f t="shared" si="458"/>
        <v>0</v>
      </c>
      <c r="EX128" s="1118">
        <f t="shared" si="459"/>
        <v>2843745.443966791</v>
      </c>
      <c r="EY128" s="1119"/>
      <c r="FC128" s="1117">
        <f t="shared" si="404"/>
        <v>51060663.808693767</v>
      </c>
      <c r="FD128" s="1118">
        <f t="shared" si="460"/>
        <v>48216918.364726976</v>
      </c>
      <c r="FE128" s="1118">
        <f t="shared" si="461"/>
        <v>0</v>
      </c>
      <c r="FF128" s="1118">
        <f t="shared" si="462"/>
        <v>2843745.443966791</v>
      </c>
      <c r="FG128" s="1119"/>
      <c r="FK128" s="1117">
        <f t="shared" si="405"/>
        <v>51060663.808693767</v>
      </c>
      <c r="FL128" s="1118">
        <f t="shared" si="463"/>
        <v>48216918.364726976</v>
      </c>
      <c r="FM128" s="1118">
        <f t="shared" si="464"/>
        <v>0</v>
      </c>
      <c r="FN128" s="1118">
        <f t="shared" si="465"/>
        <v>2843745.443966791</v>
      </c>
      <c r="FO128" s="1119"/>
    </row>
    <row r="129" spans="1:171" x14ac:dyDescent="0.25">
      <c r="A129" s="913"/>
      <c r="B129" s="79" t="s">
        <v>18</v>
      </c>
      <c r="C129" s="889" t="s">
        <v>78</v>
      </c>
      <c r="D129" s="889">
        <v>187</v>
      </c>
      <c r="E129" s="182" t="str">
        <f>'Sch 1- Rate Base '!E129</f>
        <v>DIRECT</v>
      </c>
      <c r="F129" s="890"/>
      <c r="G129" s="182">
        <f>'Sch 1- Rate Base '!G129</f>
        <v>0</v>
      </c>
      <c r="H129" s="182">
        <f>'Sch 1- Rate Base '!H129</f>
        <v>0</v>
      </c>
      <c r="I129" s="182">
        <f>'Sch 1- Rate Base '!I129</f>
        <v>0</v>
      </c>
      <c r="J129" s="183">
        <f>'Sch 1- Rate Base '!J129</f>
        <v>0</v>
      </c>
      <c r="K129" s="904">
        <f t="shared" si="385"/>
        <v>0</v>
      </c>
      <c r="O129" s="1117">
        <f t="shared" si="386"/>
        <v>0</v>
      </c>
      <c r="P129" s="1118">
        <f t="shared" si="406"/>
        <v>0</v>
      </c>
      <c r="Q129" s="1118">
        <f t="shared" si="407"/>
        <v>0</v>
      </c>
      <c r="R129" s="1118">
        <f t="shared" si="408"/>
        <v>0</v>
      </c>
      <c r="S129" s="1119"/>
      <c r="W129" s="1117">
        <f t="shared" si="387"/>
        <v>0</v>
      </c>
      <c r="X129" s="1118">
        <f t="shared" si="409"/>
        <v>0</v>
      </c>
      <c r="Y129" s="1118">
        <f t="shared" si="410"/>
        <v>0</v>
      </c>
      <c r="Z129" s="1118">
        <f t="shared" si="411"/>
        <v>0</v>
      </c>
      <c r="AA129" s="1119"/>
      <c r="AE129" s="1117">
        <f t="shared" si="388"/>
        <v>0</v>
      </c>
      <c r="AF129" s="1118">
        <f t="shared" si="412"/>
        <v>0</v>
      </c>
      <c r="AG129" s="1118">
        <f t="shared" si="413"/>
        <v>0</v>
      </c>
      <c r="AH129" s="1118">
        <f t="shared" si="414"/>
        <v>0</v>
      </c>
      <c r="AI129" s="1119"/>
      <c r="AM129" s="1117">
        <f t="shared" si="389"/>
        <v>0</v>
      </c>
      <c r="AN129" s="1118">
        <f t="shared" si="415"/>
        <v>0</v>
      </c>
      <c r="AO129" s="1118">
        <f t="shared" si="416"/>
        <v>0</v>
      </c>
      <c r="AP129" s="1118">
        <f t="shared" si="417"/>
        <v>0</v>
      </c>
      <c r="AQ129" s="1119"/>
      <c r="AU129" s="1117">
        <f t="shared" si="390"/>
        <v>0</v>
      </c>
      <c r="AV129" s="1118">
        <f t="shared" si="418"/>
        <v>0</v>
      </c>
      <c r="AW129" s="1118">
        <f t="shared" si="419"/>
        <v>0</v>
      </c>
      <c r="AX129" s="1118">
        <f t="shared" si="420"/>
        <v>0</v>
      </c>
      <c r="AY129" s="1119"/>
      <c r="BC129" s="1117">
        <f t="shared" si="391"/>
        <v>0</v>
      </c>
      <c r="BD129" s="1118">
        <f t="shared" si="421"/>
        <v>0</v>
      </c>
      <c r="BE129" s="1118">
        <f t="shared" si="422"/>
        <v>0</v>
      </c>
      <c r="BF129" s="1118">
        <f t="shared" si="423"/>
        <v>0</v>
      </c>
      <c r="BG129" s="1119"/>
      <c r="BK129" s="1117">
        <f t="shared" si="392"/>
        <v>0</v>
      </c>
      <c r="BL129" s="1118">
        <f t="shared" si="424"/>
        <v>0</v>
      </c>
      <c r="BM129" s="1118">
        <f t="shared" si="425"/>
        <v>0</v>
      </c>
      <c r="BN129" s="1118">
        <f t="shared" si="426"/>
        <v>0</v>
      </c>
      <c r="BO129" s="1119"/>
      <c r="BS129" s="1117">
        <f t="shared" si="393"/>
        <v>0</v>
      </c>
      <c r="BT129" s="1118">
        <f t="shared" si="427"/>
        <v>0</v>
      </c>
      <c r="BU129" s="1118">
        <f t="shared" si="428"/>
        <v>0</v>
      </c>
      <c r="BV129" s="1118">
        <f t="shared" si="429"/>
        <v>0</v>
      </c>
      <c r="BW129" s="1119"/>
      <c r="CA129" s="1117">
        <f t="shared" si="394"/>
        <v>0</v>
      </c>
      <c r="CB129" s="1118">
        <f t="shared" si="430"/>
        <v>0</v>
      </c>
      <c r="CC129" s="1118">
        <f t="shared" si="431"/>
        <v>0</v>
      </c>
      <c r="CD129" s="1118">
        <f t="shared" si="432"/>
        <v>0</v>
      </c>
      <c r="CE129" s="1119"/>
      <c r="CI129" s="1117">
        <f t="shared" si="395"/>
        <v>0</v>
      </c>
      <c r="CJ129" s="1118">
        <f t="shared" si="433"/>
        <v>0</v>
      </c>
      <c r="CK129" s="1118">
        <f t="shared" si="434"/>
        <v>0</v>
      </c>
      <c r="CL129" s="1118">
        <f t="shared" si="435"/>
        <v>0</v>
      </c>
      <c r="CM129" s="1119"/>
      <c r="CQ129" s="1117">
        <f t="shared" si="396"/>
        <v>0</v>
      </c>
      <c r="CR129" s="1118">
        <f t="shared" si="436"/>
        <v>0</v>
      </c>
      <c r="CS129" s="1118">
        <f t="shared" si="437"/>
        <v>0</v>
      </c>
      <c r="CT129" s="1118">
        <f t="shared" si="438"/>
        <v>0</v>
      </c>
      <c r="CU129" s="1119"/>
      <c r="CY129" s="1117">
        <f t="shared" si="397"/>
        <v>0</v>
      </c>
      <c r="CZ129" s="1118">
        <f t="shared" si="439"/>
        <v>0</v>
      </c>
      <c r="DA129" s="1118">
        <f t="shared" si="440"/>
        <v>0</v>
      </c>
      <c r="DB129" s="1118">
        <f t="shared" si="441"/>
        <v>0</v>
      </c>
      <c r="DC129" s="1119"/>
      <c r="DG129" s="1117">
        <f t="shared" si="398"/>
        <v>0</v>
      </c>
      <c r="DH129" s="1118">
        <f t="shared" si="442"/>
        <v>0</v>
      </c>
      <c r="DI129" s="1118">
        <f t="shared" si="443"/>
        <v>0</v>
      </c>
      <c r="DJ129" s="1118">
        <f t="shared" si="444"/>
        <v>0</v>
      </c>
      <c r="DK129" s="1119"/>
      <c r="DO129" s="1117">
        <f t="shared" si="399"/>
        <v>0</v>
      </c>
      <c r="DP129" s="1118">
        <f t="shared" si="445"/>
        <v>0</v>
      </c>
      <c r="DQ129" s="1118">
        <f t="shared" si="446"/>
        <v>0</v>
      </c>
      <c r="DR129" s="1118">
        <f t="shared" si="447"/>
        <v>0</v>
      </c>
      <c r="DS129" s="1119"/>
      <c r="DW129" s="1117">
        <f t="shared" si="400"/>
        <v>0</v>
      </c>
      <c r="DX129" s="1118">
        <f t="shared" si="448"/>
        <v>0</v>
      </c>
      <c r="DY129" s="1118">
        <f t="shared" si="449"/>
        <v>0</v>
      </c>
      <c r="DZ129" s="1118">
        <f t="shared" si="450"/>
        <v>0</v>
      </c>
      <c r="EA129" s="1119"/>
      <c r="EE129" s="1117">
        <f t="shared" si="401"/>
        <v>0</v>
      </c>
      <c r="EF129" s="1118">
        <f t="shared" si="451"/>
        <v>0</v>
      </c>
      <c r="EG129" s="1118">
        <f t="shared" si="452"/>
        <v>0</v>
      </c>
      <c r="EH129" s="1118">
        <f t="shared" si="453"/>
        <v>0</v>
      </c>
      <c r="EI129" s="1119"/>
      <c r="EM129" s="1117">
        <f t="shared" si="402"/>
        <v>0</v>
      </c>
      <c r="EN129" s="1118">
        <f t="shared" si="454"/>
        <v>0</v>
      </c>
      <c r="EO129" s="1118">
        <f t="shared" si="455"/>
        <v>0</v>
      </c>
      <c r="EP129" s="1118">
        <f t="shared" si="456"/>
        <v>0</v>
      </c>
      <c r="EQ129" s="1119"/>
      <c r="EU129" s="1117">
        <f t="shared" si="403"/>
        <v>0</v>
      </c>
      <c r="EV129" s="1118">
        <f t="shared" si="457"/>
        <v>0</v>
      </c>
      <c r="EW129" s="1118">
        <f t="shared" si="458"/>
        <v>0</v>
      </c>
      <c r="EX129" s="1118">
        <f t="shared" si="459"/>
        <v>0</v>
      </c>
      <c r="EY129" s="1119"/>
      <c r="FC129" s="1117">
        <f t="shared" si="404"/>
        <v>0</v>
      </c>
      <c r="FD129" s="1118">
        <f t="shared" si="460"/>
        <v>0</v>
      </c>
      <c r="FE129" s="1118">
        <f t="shared" si="461"/>
        <v>0</v>
      </c>
      <c r="FF129" s="1118">
        <f t="shared" si="462"/>
        <v>0</v>
      </c>
      <c r="FG129" s="1119"/>
      <c r="FK129" s="1117">
        <f t="shared" si="405"/>
        <v>0</v>
      </c>
      <c r="FL129" s="1118">
        <f t="shared" si="463"/>
        <v>0</v>
      </c>
      <c r="FM129" s="1118">
        <f t="shared" si="464"/>
        <v>0</v>
      </c>
      <c r="FN129" s="1118">
        <f t="shared" si="465"/>
        <v>0</v>
      </c>
      <c r="FO129" s="1119"/>
    </row>
    <row r="130" spans="1:171" x14ac:dyDescent="0.25">
      <c r="A130" s="913"/>
      <c r="B130" s="79" t="s">
        <v>19</v>
      </c>
      <c r="C130" s="889" t="s">
        <v>78</v>
      </c>
      <c r="D130" s="889">
        <v>188</v>
      </c>
      <c r="E130" s="182" t="str">
        <f>'Sch 1- Rate Base '!E130</f>
        <v>DIST</v>
      </c>
      <c r="F130" s="890"/>
      <c r="G130" s="182">
        <f>'Sch 1- Rate Base '!G130</f>
        <v>0</v>
      </c>
      <c r="H130" s="182">
        <f>'Sch 1- Rate Base '!H130</f>
        <v>0</v>
      </c>
      <c r="I130" s="182">
        <f>'Sch 1- Rate Base '!I130</f>
        <v>0</v>
      </c>
      <c r="J130" s="183">
        <f>'Sch 1- Rate Base '!J130</f>
        <v>0</v>
      </c>
      <c r="K130" s="904">
        <f t="shared" si="385"/>
        <v>1</v>
      </c>
      <c r="O130" s="1117">
        <f t="shared" si="386"/>
        <v>0</v>
      </c>
      <c r="P130" s="1118">
        <f t="shared" si="406"/>
        <v>0</v>
      </c>
      <c r="Q130" s="1118">
        <f t="shared" si="407"/>
        <v>0</v>
      </c>
      <c r="R130" s="1118">
        <f t="shared" si="408"/>
        <v>0</v>
      </c>
      <c r="S130" s="1119"/>
      <c r="W130" s="1117">
        <f t="shared" si="387"/>
        <v>0</v>
      </c>
      <c r="X130" s="1118">
        <f t="shared" si="409"/>
        <v>0</v>
      </c>
      <c r="Y130" s="1118">
        <f t="shared" si="410"/>
        <v>0</v>
      </c>
      <c r="Z130" s="1118">
        <f t="shared" si="411"/>
        <v>0</v>
      </c>
      <c r="AA130" s="1119"/>
      <c r="AE130" s="1117">
        <f t="shared" si="388"/>
        <v>0</v>
      </c>
      <c r="AF130" s="1118">
        <f t="shared" si="412"/>
        <v>0</v>
      </c>
      <c r="AG130" s="1118">
        <f t="shared" si="413"/>
        <v>0</v>
      </c>
      <c r="AH130" s="1118">
        <f t="shared" si="414"/>
        <v>0</v>
      </c>
      <c r="AI130" s="1119"/>
      <c r="AM130" s="1117">
        <f t="shared" si="389"/>
        <v>0</v>
      </c>
      <c r="AN130" s="1118">
        <f t="shared" si="415"/>
        <v>0</v>
      </c>
      <c r="AO130" s="1118">
        <f t="shared" si="416"/>
        <v>0</v>
      </c>
      <c r="AP130" s="1118">
        <f t="shared" si="417"/>
        <v>0</v>
      </c>
      <c r="AQ130" s="1119"/>
      <c r="AU130" s="1117">
        <f t="shared" si="390"/>
        <v>0</v>
      </c>
      <c r="AV130" s="1118">
        <f t="shared" si="418"/>
        <v>0</v>
      </c>
      <c r="AW130" s="1118">
        <f t="shared" si="419"/>
        <v>0</v>
      </c>
      <c r="AX130" s="1118">
        <f t="shared" si="420"/>
        <v>0</v>
      </c>
      <c r="AY130" s="1119"/>
      <c r="BC130" s="1117">
        <f t="shared" si="391"/>
        <v>0</v>
      </c>
      <c r="BD130" s="1118">
        <f t="shared" si="421"/>
        <v>0</v>
      </c>
      <c r="BE130" s="1118">
        <f t="shared" si="422"/>
        <v>0</v>
      </c>
      <c r="BF130" s="1118">
        <f t="shared" si="423"/>
        <v>0</v>
      </c>
      <c r="BG130" s="1119"/>
      <c r="BK130" s="1117">
        <f t="shared" si="392"/>
        <v>0</v>
      </c>
      <c r="BL130" s="1118">
        <f t="shared" si="424"/>
        <v>0</v>
      </c>
      <c r="BM130" s="1118">
        <f t="shared" si="425"/>
        <v>0</v>
      </c>
      <c r="BN130" s="1118">
        <f t="shared" si="426"/>
        <v>0</v>
      </c>
      <c r="BO130" s="1119"/>
      <c r="BS130" s="1117">
        <f t="shared" si="393"/>
        <v>0</v>
      </c>
      <c r="BT130" s="1118">
        <f t="shared" si="427"/>
        <v>0</v>
      </c>
      <c r="BU130" s="1118">
        <f t="shared" si="428"/>
        <v>0</v>
      </c>
      <c r="BV130" s="1118">
        <f t="shared" si="429"/>
        <v>0</v>
      </c>
      <c r="BW130" s="1119"/>
      <c r="CA130" s="1117">
        <f t="shared" si="394"/>
        <v>0</v>
      </c>
      <c r="CB130" s="1118">
        <f t="shared" si="430"/>
        <v>0</v>
      </c>
      <c r="CC130" s="1118">
        <f t="shared" si="431"/>
        <v>0</v>
      </c>
      <c r="CD130" s="1118">
        <f t="shared" si="432"/>
        <v>0</v>
      </c>
      <c r="CE130" s="1119"/>
      <c r="CI130" s="1117">
        <f t="shared" si="395"/>
        <v>0</v>
      </c>
      <c r="CJ130" s="1118">
        <f t="shared" si="433"/>
        <v>0</v>
      </c>
      <c r="CK130" s="1118">
        <f t="shared" si="434"/>
        <v>0</v>
      </c>
      <c r="CL130" s="1118">
        <f t="shared" si="435"/>
        <v>0</v>
      </c>
      <c r="CM130" s="1119"/>
      <c r="CQ130" s="1117">
        <f t="shared" si="396"/>
        <v>0</v>
      </c>
      <c r="CR130" s="1118">
        <f t="shared" si="436"/>
        <v>0</v>
      </c>
      <c r="CS130" s="1118">
        <f t="shared" si="437"/>
        <v>0</v>
      </c>
      <c r="CT130" s="1118">
        <f t="shared" si="438"/>
        <v>0</v>
      </c>
      <c r="CU130" s="1119"/>
      <c r="CY130" s="1117">
        <f t="shared" si="397"/>
        <v>0</v>
      </c>
      <c r="CZ130" s="1118">
        <f t="shared" si="439"/>
        <v>0</v>
      </c>
      <c r="DA130" s="1118">
        <f t="shared" si="440"/>
        <v>0</v>
      </c>
      <c r="DB130" s="1118">
        <f t="shared" si="441"/>
        <v>0</v>
      </c>
      <c r="DC130" s="1119"/>
      <c r="DG130" s="1117">
        <f t="shared" si="398"/>
        <v>0</v>
      </c>
      <c r="DH130" s="1118">
        <f t="shared" si="442"/>
        <v>0</v>
      </c>
      <c r="DI130" s="1118">
        <f t="shared" si="443"/>
        <v>0</v>
      </c>
      <c r="DJ130" s="1118">
        <f t="shared" si="444"/>
        <v>0</v>
      </c>
      <c r="DK130" s="1119"/>
      <c r="DO130" s="1117">
        <f t="shared" si="399"/>
        <v>0</v>
      </c>
      <c r="DP130" s="1118">
        <f t="shared" si="445"/>
        <v>0</v>
      </c>
      <c r="DQ130" s="1118">
        <f t="shared" si="446"/>
        <v>0</v>
      </c>
      <c r="DR130" s="1118">
        <f t="shared" si="447"/>
        <v>0</v>
      </c>
      <c r="DS130" s="1119"/>
      <c r="DW130" s="1117">
        <f t="shared" si="400"/>
        <v>0</v>
      </c>
      <c r="DX130" s="1118">
        <f t="shared" si="448"/>
        <v>0</v>
      </c>
      <c r="DY130" s="1118">
        <f t="shared" si="449"/>
        <v>0</v>
      </c>
      <c r="DZ130" s="1118">
        <f t="shared" si="450"/>
        <v>0</v>
      </c>
      <c r="EA130" s="1119"/>
      <c r="EE130" s="1117">
        <f t="shared" si="401"/>
        <v>0</v>
      </c>
      <c r="EF130" s="1118">
        <f t="shared" si="451"/>
        <v>0</v>
      </c>
      <c r="EG130" s="1118">
        <f t="shared" si="452"/>
        <v>0</v>
      </c>
      <c r="EH130" s="1118">
        <f t="shared" si="453"/>
        <v>0</v>
      </c>
      <c r="EI130" s="1119"/>
      <c r="EM130" s="1117">
        <f t="shared" si="402"/>
        <v>0</v>
      </c>
      <c r="EN130" s="1118">
        <f t="shared" si="454"/>
        <v>0</v>
      </c>
      <c r="EO130" s="1118">
        <f t="shared" si="455"/>
        <v>0</v>
      </c>
      <c r="EP130" s="1118">
        <f t="shared" si="456"/>
        <v>0</v>
      </c>
      <c r="EQ130" s="1119"/>
      <c r="EU130" s="1117">
        <f t="shared" si="403"/>
        <v>0</v>
      </c>
      <c r="EV130" s="1118">
        <f t="shared" si="457"/>
        <v>0</v>
      </c>
      <c r="EW130" s="1118">
        <f t="shared" si="458"/>
        <v>0</v>
      </c>
      <c r="EX130" s="1118">
        <f t="shared" si="459"/>
        <v>0</v>
      </c>
      <c r="EY130" s="1119"/>
      <c r="FC130" s="1117">
        <f t="shared" si="404"/>
        <v>0</v>
      </c>
      <c r="FD130" s="1118">
        <f t="shared" si="460"/>
        <v>0</v>
      </c>
      <c r="FE130" s="1118">
        <f t="shared" si="461"/>
        <v>0</v>
      </c>
      <c r="FF130" s="1118">
        <f t="shared" si="462"/>
        <v>0</v>
      </c>
      <c r="FG130" s="1119"/>
      <c r="FK130" s="1117">
        <f t="shared" si="405"/>
        <v>0</v>
      </c>
      <c r="FL130" s="1118">
        <f t="shared" si="463"/>
        <v>0</v>
      </c>
      <c r="FM130" s="1118">
        <f t="shared" si="464"/>
        <v>0</v>
      </c>
      <c r="FN130" s="1118">
        <f t="shared" si="465"/>
        <v>0</v>
      </c>
      <c r="FO130" s="1119"/>
    </row>
    <row r="131" spans="1:171" x14ac:dyDescent="0.25">
      <c r="A131" s="913"/>
      <c r="B131" s="79" t="s">
        <v>20</v>
      </c>
      <c r="C131" s="889" t="s">
        <v>78</v>
      </c>
      <c r="D131" s="889">
        <v>189</v>
      </c>
      <c r="E131" s="182" t="str">
        <f>'Sch 1- Rate Base '!E131</f>
        <v>PTDG</v>
      </c>
      <c r="F131" s="890"/>
      <c r="G131" s="182">
        <f>'Sch 1- Rate Base '!G131</f>
        <v>801630.402326782</v>
      </c>
      <c r="H131" s="182">
        <f>'Sch 1- Rate Base '!H131</f>
        <v>348239.87177061226</v>
      </c>
      <c r="I131" s="182">
        <f>'Sch 1- Rate Base '!I131</f>
        <v>0</v>
      </c>
      <c r="J131" s="183">
        <f>'Sch 1- Rate Base '!J131</f>
        <v>246348.96744375481</v>
      </c>
      <c r="K131" s="904">
        <f t="shared" si="385"/>
        <v>1</v>
      </c>
      <c r="O131" s="1117">
        <f t="shared" si="386"/>
        <v>801630.402326782</v>
      </c>
      <c r="P131" s="1118">
        <f t="shared" si="406"/>
        <v>348239.87177061226</v>
      </c>
      <c r="Q131" s="1118">
        <f t="shared" si="407"/>
        <v>202893.47274873065</v>
      </c>
      <c r="R131" s="1118">
        <f t="shared" si="408"/>
        <v>250497.05780743907</v>
      </c>
      <c r="S131" s="1119"/>
      <c r="W131" s="1117">
        <f t="shared" si="387"/>
        <v>801630.402326782</v>
      </c>
      <c r="X131" s="1118">
        <f t="shared" si="409"/>
        <v>348239.87177061226</v>
      </c>
      <c r="Y131" s="1118">
        <f t="shared" si="410"/>
        <v>202893.47274873065</v>
      </c>
      <c r="Z131" s="1118">
        <f t="shared" si="411"/>
        <v>250497.05780743907</v>
      </c>
      <c r="AA131" s="1119"/>
      <c r="AE131" s="1117">
        <f t="shared" si="388"/>
        <v>801630.402326782</v>
      </c>
      <c r="AF131" s="1118">
        <f t="shared" si="412"/>
        <v>348239.87177061226</v>
      </c>
      <c r="AG131" s="1118">
        <f t="shared" si="413"/>
        <v>202893.47274873065</v>
      </c>
      <c r="AH131" s="1118">
        <f t="shared" si="414"/>
        <v>250497.05780743907</v>
      </c>
      <c r="AI131" s="1119"/>
      <c r="AM131" s="1117">
        <f t="shared" si="389"/>
        <v>801630.402326782</v>
      </c>
      <c r="AN131" s="1118">
        <f t="shared" si="415"/>
        <v>348239.87177061226</v>
      </c>
      <c r="AO131" s="1118">
        <f t="shared" si="416"/>
        <v>202893.47274873065</v>
      </c>
      <c r="AP131" s="1118">
        <f t="shared" si="417"/>
        <v>250497.05780743907</v>
      </c>
      <c r="AQ131" s="1119"/>
      <c r="AU131" s="1117">
        <f t="shared" si="390"/>
        <v>801630.402326782</v>
      </c>
      <c r="AV131" s="1118">
        <f t="shared" si="418"/>
        <v>348239.87177061226</v>
      </c>
      <c r="AW131" s="1118">
        <f t="shared" si="419"/>
        <v>202893.47274873065</v>
      </c>
      <c r="AX131" s="1118">
        <f t="shared" si="420"/>
        <v>250497.05780743907</v>
      </c>
      <c r="AY131" s="1119"/>
      <c r="BC131" s="1117">
        <f t="shared" si="391"/>
        <v>801630.402326782</v>
      </c>
      <c r="BD131" s="1118">
        <f t="shared" si="421"/>
        <v>348239.87177061226</v>
      </c>
      <c r="BE131" s="1118">
        <f t="shared" si="422"/>
        <v>202893.47274873065</v>
      </c>
      <c r="BF131" s="1118">
        <f t="shared" si="423"/>
        <v>250497.05780743907</v>
      </c>
      <c r="BG131" s="1119"/>
      <c r="BK131" s="1117">
        <f t="shared" si="392"/>
        <v>801630.402326782</v>
      </c>
      <c r="BL131" s="1118">
        <f t="shared" si="424"/>
        <v>348239.87177061226</v>
      </c>
      <c r="BM131" s="1118">
        <f t="shared" si="425"/>
        <v>202893.47274873065</v>
      </c>
      <c r="BN131" s="1118">
        <f t="shared" si="426"/>
        <v>250497.05780743907</v>
      </c>
      <c r="BO131" s="1119"/>
      <c r="BS131" s="1117">
        <f t="shared" si="393"/>
        <v>801630.402326782</v>
      </c>
      <c r="BT131" s="1118">
        <f t="shared" si="427"/>
        <v>348239.87177061226</v>
      </c>
      <c r="BU131" s="1118">
        <f t="shared" si="428"/>
        <v>202893.47274873065</v>
      </c>
      <c r="BV131" s="1118">
        <f t="shared" si="429"/>
        <v>250497.05780743907</v>
      </c>
      <c r="BW131" s="1119"/>
      <c r="CA131" s="1117">
        <f t="shared" si="394"/>
        <v>801630.402326782</v>
      </c>
      <c r="CB131" s="1118">
        <f t="shared" si="430"/>
        <v>348239.87177061226</v>
      </c>
      <c r="CC131" s="1118">
        <f t="shared" si="431"/>
        <v>202893.47274873065</v>
      </c>
      <c r="CD131" s="1118">
        <f t="shared" si="432"/>
        <v>250497.05780743907</v>
      </c>
      <c r="CE131" s="1119"/>
      <c r="CI131" s="1117">
        <f t="shared" si="395"/>
        <v>801630.402326782</v>
      </c>
      <c r="CJ131" s="1118">
        <f t="shared" si="433"/>
        <v>348239.87177061226</v>
      </c>
      <c r="CK131" s="1118">
        <f t="shared" si="434"/>
        <v>202893.47274873065</v>
      </c>
      <c r="CL131" s="1118">
        <f t="shared" si="435"/>
        <v>250497.05780743907</v>
      </c>
      <c r="CM131" s="1119"/>
      <c r="CQ131" s="1117">
        <f t="shared" si="396"/>
        <v>801630.402326782</v>
      </c>
      <c r="CR131" s="1118">
        <f t="shared" si="436"/>
        <v>348239.87177061226</v>
      </c>
      <c r="CS131" s="1118">
        <f t="shared" si="437"/>
        <v>202893.47274873065</v>
      </c>
      <c r="CT131" s="1118">
        <f t="shared" si="438"/>
        <v>250497.05780743907</v>
      </c>
      <c r="CU131" s="1119"/>
      <c r="CY131" s="1117">
        <f t="shared" si="397"/>
        <v>801630.402326782</v>
      </c>
      <c r="CZ131" s="1118">
        <f t="shared" si="439"/>
        <v>348239.87177061226</v>
      </c>
      <c r="DA131" s="1118">
        <f t="shared" si="440"/>
        <v>202893.47274873065</v>
      </c>
      <c r="DB131" s="1118">
        <f t="shared" si="441"/>
        <v>250497.05780743907</v>
      </c>
      <c r="DC131" s="1119"/>
      <c r="DG131" s="1117">
        <f t="shared" si="398"/>
        <v>801630.402326782</v>
      </c>
      <c r="DH131" s="1118">
        <f t="shared" si="442"/>
        <v>348239.87177061226</v>
      </c>
      <c r="DI131" s="1118">
        <f t="shared" si="443"/>
        <v>202893.47274873065</v>
      </c>
      <c r="DJ131" s="1118">
        <f t="shared" si="444"/>
        <v>250497.05780743907</v>
      </c>
      <c r="DK131" s="1119"/>
      <c r="DO131" s="1117">
        <f t="shared" si="399"/>
        <v>801630.402326782</v>
      </c>
      <c r="DP131" s="1118">
        <f t="shared" si="445"/>
        <v>348239.87177061226</v>
      </c>
      <c r="DQ131" s="1118">
        <f t="shared" si="446"/>
        <v>202893.47274873065</v>
      </c>
      <c r="DR131" s="1118">
        <f t="shared" si="447"/>
        <v>250497.05780743907</v>
      </c>
      <c r="DS131" s="1119"/>
      <c r="DW131" s="1117">
        <f t="shared" si="400"/>
        <v>801630.402326782</v>
      </c>
      <c r="DX131" s="1118">
        <f t="shared" si="448"/>
        <v>348239.87177061226</v>
      </c>
      <c r="DY131" s="1118">
        <f t="shared" si="449"/>
        <v>202893.47274873065</v>
      </c>
      <c r="DZ131" s="1118">
        <f t="shared" si="450"/>
        <v>250497.05780743907</v>
      </c>
      <c r="EA131" s="1119"/>
      <c r="EE131" s="1117">
        <f t="shared" si="401"/>
        <v>801630.402326782</v>
      </c>
      <c r="EF131" s="1118">
        <f t="shared" si="451"/>
        <v>348239.87177061226</v>
      </c>
      <c r="EG131" s="1118">
        <f t="shared" si="452"/>
        <v>202893.47274873065</v>
      </c>
      <c r="EH131" s="1118">
        <f t="shared" si="453"/>
        <v>250497.05780743907</v>
      </c>
      <c r="EI131" s="1119"/>
      <c r="EM131" s="1117">
        <f t="shared" si="402"/>
        <v>801630.402326782</v>
      </c>
      <c r="EN131" s="1118">
        <f t="shared" si="454"/>
        <v>348239.87177061226</v>
      </c>
      <c r="EO131" s="1118">
        <f t="shared" si="455"/>
        <v>202893.47274873065</v>
      </c>
      <c r="EP131" s="1118">
        <f t="shared" si="456"/>
        <v>250497.05780743907</v>
      </c>
      <c r="EQ131" s="1119"/>
      <c r="EU131" s="1117">
        <f t="shared" si="403"/>
        <v>801630.402326782</v>
      </c>
      <c r="EV131" s="1118">
        <f t="shared" si="457"/>
        <v>348239.87177061226</v>
      </c>
      <c r="EW131" s="1118">
        <f t="shared" si="458"/>
        <v>202893.47274873065</v>
      </c>
      <c r="EX131" s="1118">
        <f t="shared" si="459"/>
        <v>250497.05780743907</v>
      </c>
      <c r="EY131" s="1119"/>
      <c r="FC131" s="1117">
        <f t="shared" si="404"/>
        <v>801630.402326782</v>
      </c>
      <c r="FD131" s="1118">
        <f t="shared" si="460"/>
        <v>348239.87177061226</v>
      </c>
      <c r="FE131" s="1118">
        <f t="shared" si="461"/>
        <v>202893.47274873065</v>
      </c>
      <c r="FF131" s="1118">
        <f t="shared" si="462"/>
        <v>250497.05780743907</v>
      </c>
      <c r="FG131" s="1119"/>
      <c r="FK131" s="1117">
        <f t="shared" si="405"/>
        <v>801630.402326782</v>
      </c>
      <c r="FL131" s="1118">
        <f t="shared" si="463"/>
        <v>348239.87177061226</v>
      </c>
      <c r="FM131" s="1118">
        <f t="shared" si="464"/>
        <v>202893.47274873065</v>
      </c>
      <c r="FN131" s="1118">
        <f t="shared" si="465"/>
        <v>250497.05780743907</v>
      </c>
      <c r="FO131" s="1119"/>
    </row>
    <row r="132" spans="1:171" x14ac:dyDescent="0.25">
      <c r="A132" s="913"/>
      <c r="B132" s="79" t="s">
        <v>21</v>
      </c>
      <c r="C132" s="889" t="s">
        <v>78</v>
      </c>
      <c r="D132" s="889">
        <v>190</v>
      </c>
      <c r="E132" s="182" t="str">
        <f>'Sch 1- Rate Base '!E132</f>
        <v>DIST</v>
      </c>
      <c r="F132" s="890"/>
      <c r="G132" s="182">
        <f>'Sch 1- Rate Base '!G132</f>
        <v>367007945.82677501</v>
      </c>
      <c r="H132" s="182">
        <f>'Sch 1- Rate Base '!H132</f>
        <v>0</v>
      </c>
      <c r="I132" s="182">
        <f>'Sch 1- Rate Base '!I132</f>
        <v>0</v>
      </c>
      <c r="J132" s="183">
        <f>'Sch 1- Rate Base '!J132</f>
        <v>367007945.82677501</v>
      </c>
      <c r="K132" s="904">
        <f t="shared" si="385"/>
        <v>1</v>
      </c>
      <c r="O132" s="1117">
        <f t="shared" si="386"/>
        <v>367007945.82677501</v>
      </c>
      <c r="P132" s="1118">
        <f t="shared" si="406"/>
        <v>0</v>
      </c>
      <c r="Q132" s="1118">
        <f t="shared" si="407"/>
        <v>0</v>
      </c>
      <c r="R132" s="1118">
        <f t="shared" si="408"/>
        <v>367007945.82677501</v>
      </c>
      <c r="S132" s="1119"/>
      <c r="W132" s="1117">
        <f t="shared" si="387"/>
        <v>367007945.82677501</v>
      </c>
      <c r="X132" s="1118">
        <f t="shared" si="409"/>
        <v>0</v>
      </c>
      <c r="Y132" s="1118">
        <f t="shared" si="410"/>
        <v>0</v>
      </c>
      <c r="Z132" s="1118">
        <f t="shared" si="411"/>
        <v>367007945.82677501</v>
      </c>
      <c r="AA132" s="1119"/>
      <c r="AE132" s="1117">
        <f t="shared" si="388"/>
        <v>367007945.82677501</v>
      </c>
      <c r="AF132" s="1118">
        <f t="shared" si="412"/>
        <v>0</v>
      </c>
      <c r="AG132" s="1118">
        <f t="shared" si="413"/>
        <v>0</v>
      </c>
      <c r="AH132" s="1118">
        <f t="shared" si="414"/>
        <v>367007945.82677501</v>
      </c>
      <c r="AI132" s="1119"/>
      <c r="AM132" s="1117">
        <f t="shared" si="389"/>
        <v>367007945.82677501</v>
      </c>
      <c r="AN132" s="1118">
        <f t="shared" si="415"/>
        <v>0</v>
      </c>
      <c r="AO132" s="1118">
        <f t="shared" si="416"/>
        <v>0</v>
      </c>
      <c r="AP132" s="1118">
        <f t="shared" si="417"/>
        <v>367007945.82677501</v>
      </c>
      <c r="AQ132" s="1119"/>
      <c r="AU132" s="1117">
        <f t="shared" si="390"/>
        <v>367007945.82677501</v>
      </c>
      <c r="AV132" s="1118">
        <f t="shared" si="418"/>
        <v>0</v>
      </c>
      <c r="AW132" s="1118">
        <f t="shared" si="419"/>
        <v>0</v>
      </c>
      <c r="AX132" s="1118">
        <f t="shared" si="420"/>
        <v>367007945.82677501</v>
      </c>
      <c r="AY132" s="1119"/>
      <c r="BC132" s="1117">
        <f t="shared" si="391"/>
        <v>367007945.82677501</v>
      </c>
      <c r="BD132" s="1118">
        <f t="shared" si="421"/>
        <v>0</v>
      </c>
      <c r="BE132" s="1118">
        <f t="shared" si="422"/>
        <v>0</v>
      </c>
      <c r="BF132" s="1118">
        <f t="shared" si="423"/>
        <v>367007945.82677501</v>
      </c>
      <c r="BG132" s="1119"/>
      <c r="BK132" s="1117">
        <f t="shared" si="392"/>
        <v>367007945.82677501</v>
      </c>
      <c r="BL132" s="1118">
        <f t="shared" si="424"/>
        <v>0</v>
      </c>
      <c r="BM132" s="1118">
        <f t="shared" si="425"/>
        <v>0</v>
      </c>
      <c r="BN132" s="1118">
        <f t="shared" si="426"/>
        <v>367007945.82677501</v>
      </c>
      <c r="BO132" s="1119"/>
      <c r="BS132" s="1117">
        <f t="shared" si="393"/>
        <v>367007945.82677501</v>
      </c>
      <c r="BT132" s="1118">
        <f t="shared" si="427"/>
        <v>0</v>
      </c>
      <c r="BU132" s="1118">
        <f t="shared" si="428"/>
        <v>0</v>
      </c>
      <c r="BV132" s="1118">
        <f t="shared" si="429"/>
        <v>367007945.82677501</v>
      </c>
      <c r="BW132" s="1119"/>
      <c r="CA132" s="1117">
        <f t="shared" si="394"/>
        <v>367007945.82677501</v>
      </c>
      <c r="CB132" s="1118">
        <f t="shared" si="430"/>
        <v>0</v>
      </c>
      <c r="CC132" s="1118">
        <f t="shared" si="431"/>
        <v>0</v>
      </c>
      <c r="CD132" s="1118">
        <f t="shared" si="432"/>
        <v>367007945.82677501</v>
      </c>
      <c r="CE132" s="1119"/>
      <c r="CI132" s="1117">
        <f t="shared" si="395"/>
        <v>367007945.82677501</v>
      </c>
      <c r="CJ132" s="1118">
        <f t="shared" si="433"/>
        <v>0</v>
      </c>
      <c r="CK132" s="1118">
        <f t="shared" si="434"/>
        <v>0</v>
      </c>
      <c r="CL132" s="1118">
        <f t="shared" si="435"/>
        <v>367007945.82677501</v>
      </c>
      <c r="CM132" s="1119"/>
      <c r="CQ132" s="1117">
        <f t="shared" si="396"/>
        <v>367007945.82677501</v>
      </c>
      <c r="CR132" s="1118">
        <f t="shared" si="436"/>
        <v>0</v>
      </c>
      <c r="CS132" s="1118">
        <f t="shared" si="437"/>
        <v>0</v>
      </c>
      <c r="CT132" s="1118">
        <f t="shared" si="438"/>
        <v>367007945.82677501</v>
      </c>
      <c r="CU132" s="1119"/>
      <c r="CY132" s="1117">
        <f t="shared" si="397"/>
        <v>367007945.82677501</v>
      </c>
      <c r="CZ132" s="1118">
        <f t="shared" si="439"/>
        <v>0</v>
      </c>
      <c r="DA132" s="1118">
        <f t="shared" si="440"/>
        <v>0</v>
      </c>
      <c r="DB132" s="1118">
        <f t="shared" si="441"/>
        <v>367007945.82677501</v>
      </c>
      <c r="DC132" s="1119"/>
      <c r="DG132" s="1117">
        <f t="shared" si="398"/>
        <v>367007945.82677501</v>
      </c>
      <c r="DH132" s="1118">
        <f t="shared" si="442"/>
        <v>0</v>
      </c>
      <c r="DI132" s="1118">
        <f t="shared" si="443"/>
        <v>0</v>
      </c>
      <c r="DJ132" s="1118">
        <f t="shared" si="444"/>
        <v>367007945.82677501</v>
      </c>
      <c r="DK132" s="1119"/>
      <c r="DO132" s="1117">
        <f t="shared" si="399"/>
        <v>367007945.82677501</v>
      </c>
      <c r="DP132" s="1118">
        <f t="shared" si="445"/>
        <v>0</v>
      </c>
      <c r="DQ132" s="1118">
        <f t="shared" si="446"/>
        <v>0</v>
      </c>
      <c r="DR132" s="1118">
        <f t="shared" si="447"/>
        <v>367007945.82677501</v>
      </c>
      <c r="DS132" s="1119"/>
      <c r="DW132" s="1117">
        <f t="shared" si="400"/>
        <v>367007945.82677501</v>
      </c>
      <c r="DX132" s="1118">
        <f t="shared" si="448"/>
        <v>0</v>
      </c>
      <c r="DY132" s="1118">
        <f t="shared" si="449"/>
        <v>0</v>
      </c>
      <c r="DZ132" s="1118">
        <f t="shared" si="450"/>
        <v>367007945.82677501</v>
      </c>
      <c r="EA132" s="1119"/>
      <c r="EE132" s="1117">
        <f t="shared" si="401"/>
        <v>367007945.82677501</v>
      </c>
      <c r="EF132" s="1118">
        <f t="shared" si="451"/>
        <v>0</v>
      </c>
      <c r="EG132" s="1118">
        <f t="shared" si="452"/>
        <v>0</v>
      </c>
      <c r="EH132" s="1118">
        <f t="shared" si="453"/>
        <v>367007945.82677501</v>
      </c>
      <c r="EI132" s="1119"/>
      <c r="EM132" s="1117">
        <f t="shared" si="402"/>
        <v>367007945.82677501</v>
      </c>
      <c r="EN132" s="1118">
        <f t="shared" si="454"/>
        <v>0</v>
      </c>
      <c r="EO132" s="1118">
        <f t="shared" si="455"/>
        <v>0</v>
      </c>
      <c r="EP132" s="1118">
        <f t="shared" si="456"/>
        <v>367007945.82677501</v>
      </c>
      <c r="EQ132" s="1119"/>
      <c r="EU132" s="1117">
        <f t="shared" si="403"/>
        <v>367007945.82677501</v>
      </c>
      <c r="EV132" s="1118">
        <f t="shared" si="457"/>
        <v>0</v>
      </c>
      <c r="EW132" s="1118">
        <f t="shared" si="458"/>
        <v>0</v>
      </c>
      <c r="EX132" s="1118">
        <f t="shared" si="459"/>
        <v>367007945.82677501</v>
      </c>
      <c r="EY132" s="1119"/>
      <c r="FC132" s="1117">
        <f t="shared" si="404"/>
        <v>367007945.82677501</v>
      </c>
      <c r="FD132" s="1118">
        <f t="shared" si="460"/>
        <v>0</v>
      </c>
      <c r="FE132" s="1118">
        <f t="shared" si="461"/>
        <v>0</v>
      </c>
      <c r="FF132" s="1118">
        <f t="shared" si="462"/>
        <v>367007945.82677501</v>
      </c>
      <c r="FG132" s="1119"/>
      <c r="FK132" s="1117">
        <f t="shared" si="405"/>
        <v>367007945.82677501</v>
      </c>
      <c r="FL132" s="1118">
        <f t="shared" si="463"/>
        <v>0</v>
      </c>
      <c r="FM132" s="1118">
        <f t="shared" si="464"/>
        <v>0</v>
      </c>
      <c r="FN132" s="1118">
        <f t="shared" si="465"/>
        <v>367007945.82677501</v>
      </c>
      <c r="FO132" s="1119"/>
    </row>
    <row r="133" spans="1:171" x14ac:dyDescent="0.25">
      <c r="A133" s="160"/>
      <c r="B133" s="848" t="s">
        <v>104</v>
      </c>
      <c r="C133" s="915"/>
      <c r="D133" s="916"/>
      <c r="E133" s="916"/>
      <c r="F133" s="917"/>
      <c r="G133" s="924">
        <f>SUM(G119:G132)</f>
        <v>1125414877.2128193</v>
      </c>
      <c r="H133" s="924">
        <f>SUM(H119:H132)</f>
        <v>412040822.10590285</v>
      </c>
      <c r="I133" s="924">
        <f>SUM(I119:I132)</f>
        <v>0</v>
      </c>
      <c r="J133" s="1391">
        <f>SUM(J119:J132)</f>
        <v>713152992.62798643</v>
      </c>
      <c r="K133" s="904"/>
      <c r="O133" s="1131">
        <f>SUM(O119:O132)</f>
        <v>1125414877.2128193</v>
      </c>
      <c r="P133" s="1131">
        <f>SUM(P119:P132)</f>
        <v>412040822.10590285</v>
      </c>
      <c r="Q133" s="1131">
        <f>SUM(Q119:Q132)</f>
        <v>6061648.698972255</v>
      </c>
      <c r="R133" s="1131">
        <f>SUM(R119:R132)</f>
        <v>707312406.40794408</v>
      </c>
      <c r="S133" s="1119"/>
      <c r="W133" s="1131">
        <f>SUM(W119:W132)</f>
        <v>1125414877.2128193</v>
      </c>
      <c r="X133" s="1131">
        <f>SUM(X119:X132)</f>
        <v>412040822.10590285</v>
      </c>
      <c r="Y133" s="1131">
        <f>SUM(Y119:Y132)</f>
        <v>6061648.698972255</v>
      </c>
      <c r="Z133" s="1131">
        <f>SUM(Z119:Z132)</f>
        <v>707312406.40794408</v>
      </c>
      <c r="AA133" s="1119"/>
      <c r="AE133" s="1131">
        <f>SUM(AE119:AE132)</f>
        <v>1125414877.2128193</v>
      </c>
      <c r="AF133" s="1131">
        <f>SUM(AF119:AF132)</f>
        <v>412040822.10590285</v>
      </c>
      <c r="AG133" s="1131">
        <f>SUM(AG119:AG132)</f>
        <v>6061648.698972255</v>
      </c>
      <c r="AH133" s="1131">
        <f>SUM(AH119:AH132)</f>
        <v>707312406.40794408</v>
      </c>
      <c r="AI133" s="1119"/>
      <c r="AM133" s="1131">
        <f>SUM(AM119:AM132)</f>
        <v>1125414877.2128193</v>
      </c>
      <c r="AN133" s="1131">
        <f>SUM(AN119:AN132)</f>
        <v>412040822.10590285</v>
      </c>
      <c r="AO133" s="1131">
        <f>SUM(AO119:AO132)</f>
        <v>6061648.698972255</v>
      </c>
      <c r="AP133" s="1131">
        <f>SUM(AP119:AP132)</f>
        <v>707312406.40794408</v>
      </c>
      <c r="AQ133" s="1119"/>
      <c r="AU133" s="1131">
        <f>SUM(AU119:AU132)</f>
        <v>1125414877.2128193</v>
      </c>
      <c r="AV133" s="1131">
        <f>SUM(AV119:AV132)</f>
        <v>412040822.10590285</v>
      </c>
      <c r="AW133" s="1131">
        <f>SUM(AW119:AW132)</f>
        <v>6061648.698972255</v>
      </c>
      <c r="AX133" s="1131">
        <f>SUM(AX119:AX132)</f>
        <v>707312406.40794408</v>
      </c>
      <c r="AY133" s="1119"/>
      <c r="BC133" s="1131">
        <f>SUM(BC119:BC132)</f>
        <v>1125414877.2128193</v>
      </c>
      <c r="BD133" s="1131">
        <f>SUM(BD119:BD132)</f>
        <v>412040822.10590285</v>
      </c>
      <c r="BE133" s="1131">
        <f>SUM(BE119:BE132)</f>
        <v>6061648.698972255</v>
      </c>
      <c r="BF133" s="1131">
        <f>SUM(BF119:BF132)</f>
        <v>707312406.40794408</v>
      </c>
      <c r="BG133" s="1119"/>
      <c r="BK133" s="1131">
        <f>SUM(BK119:BK132)</f>
        <v>1125414877.2128193</v>
      </c>
      <c r="BL133" s="1131">
        <f>SUM(BL119:BL132)</f>
        <v>412040822.10590285</v>
      </c>
      <c r="BM133" s="1131">
        <f>SUM(BM119:BM132)</f>
        <v>6061648.698972255</v>
      </c>
      <c r="BN133" s="1131">
        <f>SUM(BN119:BN132)</f>
        <v>707312406.40794408</v>
      </c>
      <c r="BO133" s="1119"/>
      <c r="BS133" s="1131">
        <f>SUM(BS119:BS132)</f>
        <v>1125414877.2128193</v>
      </c>
      <c r="BT133" s="1131">
        <f>SUM(BT119:BT132)</f>
        <v>412040822.10590285</v>
      </c>
      <c r="BU133" s="1131">
        <f>SUM(BU119:BU132)</f>
        <v>6061648.698972255</v>
      </c>
      <c r="BV133" s="1131">
        <f>SUM(BV119:BV132)</f>
        <v>707312406.40794408</v>
      </c>
      <c r="BW133" s="1119"/>
      <c r="CA133" s="1131">
        <f>SUM(CA119:CA132)</f>
        <v>1125414877.2128193</v>
      </c>
      <c r="CB133" s="1131">
        <f>SUM(CB119:CB132)</f>
        <v>412040822.10590285</v>
      </c>
      <c r="CC133" s="1131">
        <f>SUM(CC119:CC132)</f>
        <v>6061648.698972255</v>
      </c>
      <c r="CD133" s="1131">
        <f>SUM(CD119:CD132)</f>
        <v>707312406.40794408</v>
      </c>
      <c r="CE133" s="1119"/>
      <c r="CI133" s="1131">
        <f>SUM(CI119:CI132)</f>
        <v>1125414877.2128193</v>
      </c>
      <c r="CJ133" s="1131">
        <f>SUM(CJ119:CJ132)</f>
        <v>412040822.10590285</v>
      </c>
      <c r="CK133" s="1131">
        <f>SUM(CK119:CK132)</f>
        <v>6061648.698972255</v>
      </c>
      <c r="CL133" s="1131">
        <f>SUM(CL119:CL132)</f>
        <v>707312406.40794408</v>
      </c>
      <c r="CM133" s="1119"/>
      <c r="CQ133" s="1131">
        <f>SUM(CQ119:CQ132)</f>
        <v>1125414877.2128193</v>
      </c>
      <c r="CR133" s="1131">
        <f>SUM(CR119:CR132)</f>
        <v>412040822.10590285</v>
      </c>
      <c r="CS133" s="1131">
        <f>SUM(CS119:CS132)</f>
        <v>6061648.698972255</v>
      </c>
      <c r="CT133" s="1131">
        <f>SUM(CT119:CT132)</f>
        <v>707312406.40794408</v>
      </c>
      <c r="CU133" s="1119"/>
      <c r="CY133" s="1131">
        <f>SUM(CY119:CY132)</f>
        <v>1125414877.2128193</v>
      </c>
      <c r="CZ133" s="1131">
        <f>SUM(CZ119:CZ132)</f>
        <v>412040822.10590285</v>
      </c>
      <c r="DA133" s="1131">
        <f>SUM(DA119:DA132)</f>
        <v>6061648.698972255</v>
      </c>
      <c r="DB133" s="1131">
        <f>SUM(DB119:DB132)</f>
        <v>707312406.40794408</v>
      </c>
      <c r="DC133" s="1119"/>
      <c r="DG133" s="1131">
        <f>SUM(DG119:DG132)</f>
        <v>1125414877.2128193</v>
      </c>
      <c r="DH133" s="1131">
        <f>SUM(DH119:DH132)</f>
        <v>412040822.10590285</v>
      </c>
      <c r="DI133" s="1131">
        <f>SUM(DI119:DI132)</f>
        <v>6061648.698972255</v>
      </c>
      <c r="DJ133" s="1131">
        <f>SUM(DJ119:DJ132)</f>
        <v>707312406.40794408</v>
      </c>
      <c r="DK133" s="1119"/>
      <c r="DO133" s="1131">
        <f>SUM(DO119:DO132)</f>
        <v>1125414877.2128193</v>
      </c>
      <c r="DP133" s="1131">
        <f>SUM(DP119:DP132)</f>
        <v>412040822.10590285</v>
      </c>
      <c r="DQ133" s="1131">
        <f>SUM(DQ119:DQ132)</f>
        <v>6061648.698972255</v>
      </c>
      <c r="DR133" s="1131">
        <f>SUM(DR119:DR132)</f>
        <v>707312406.40794408</v>
      </c>
      <c r="DS133" s="1119"/>
      <c r="DW133" s="1131">
        <f>SUM(DW119:DW132)</f>
        <v>1125414877.2128193</v>
      </c>
      <c r="DX133" s="1131">
        <f>SUM(DX119:DX132)</f>
        <v>412040822.10590285</v>
      </c>
      <c r="DY133" s="1131">
        <f>SUM(DY119:DY132)</f>
        <v>6061648.698972255</v>
      </c>
      <c r="DZ133" s="1131">
        <f>SUM(DZ119:DZ132)</f>
        <v>707312406.40794408</v>
      </c>
      <c r="EA133" s="1119"/>
      <c r="EE133" s="1131">
        <f>SUM(EE119:EE132)</f>
        <v>1125414877.2128193</v>
      </c>
      <c r="EF133" s="1131">
        <f>SUM(EF119:EF132)</f>
        <v>412040822.10590285</v>
      </c>
      <c r="EG133" s="1131">
        <f>SUM(EG119:EG132)</f>
        <v>6061648.698972255</v>
      </c>
      <c r="EH133" s="1131">
        <f>SUM(EH119:EH132)</f>
        <v>707312406.40794408</v>
      </c>
      <c r="EI133" s="1119"/>
      <c r="EM133" s="1131">
        <f>SUM(EM119:EM132)</f>
        <v>1125414877.2128193</v>
      </c>
      <c r="EN133" s="1131">
        <f>SUM(EN119:EN132)</f>
        <v>412040822.10590285</v>
      </c>
      <c r="EO133" s="1131">
        <f>SUM(EO119:EO132)</f>
        <v>6061648.698972255</v>
      </c>
      <c r="EP133" s="1131">
        <f>SUM(EP119:EP132)</f>
        <v>707312406.40794408</v>
      </c>
      <c r="EQ133" s="1119"/>
      <c r="EU133" s="1131">
        <f>SUM(EU119:EU132)</f>
        <v>1125414877.2128193</v>
      </c>
      <c r="EV133" s="1131">
        <f>SUM(EV119:EV132)</f>
        <v>412040822.10590285</v>
      </c>
      <c r="EW133" s="1131">
        <f>SUM(EW119:EW132)</f>
        <v>6061648.698972255</v>
      </c>
      <c r="EX133" s="1131">
        <f>SUM(EX119:EX132)</f>
        <v>707312406.40794408</v>
      </c>
      <c r="EY133" s="1119"/>
      <c r="FC133" s="1131">
        <f>SUM(FC119:FC132)</f>
        <v>1125414877.2128193</v>
      </c>
      <c r="FD133" s="1131">
        <f>SUM(FD119:FD132)</f>
        <v>412040822.10590285</v>
      </c>
      <c r="FE133" s="1131">
        <f>SUM(FE119:FE132)</f>
        <v>6061648.698972255</v>
      </c>
      <c r="FF133" s="1131">
        <f>SUM(FF119:FF132)</f>
        <v>707312406.40794408</v>
      </c>
      <c r="FG133" s="1119"/>
      <c r="FK133" s="1131">
        <f>SUM(FK119:FK132)</f>
        <v>1125414877.2128193</v>
      </c>
      <c r="FL133" s="1131">
        <f>SUM(FL119:FL132)</f>
        <v>412040822.10590285</v>
      </c>
      <c r="FM133" s="1131">
        <f>SUM(FM119:FM132)</f>
        <v>6061648.698972255</v>
      </c>
      <c r="FN133" s="1131">
        <f>SUM(FN119:FN132)</f>
        <v>707312406.40794408</v>
      </c>
      <c r="FO133" s="1119"/>
    </row>
    <row r="134" spans="1:171" x14ac:dyDescent="0.25">
      <c r="A134" s="962"/>
      <c r="B134" s="938"/>
      <c r="C134" s="946"/>
      <c r="D134" s="947"/>
      <c r="E134" s="196"/>
      <c r="F134" s="196"/>
      <c r="G134" s="334"/>
      <c r="H134" s="334"/>
      <c r="I134" s="334"/>
      <c r="J134" s="963"/>
      <c r="K134" s="904"/>
      <c r="O134" s="1080"/>
      <c r="S134" s="1119"/>
      <c r="W134" s="1080"/>
      <c r="AA134" s="1119"/>
      <c r="AE134" s="1080"/>
      <c r="AI134" s="1119"/>
      <c r="AM134" s="1080"/>
      <c r="AQ134" s="1119"/>
      <c r="AU134" s="1080"/>
      <c r="AY134" s="1119"/>
      <c r="BC134" s="1080"/>
      <c r="BG134" s="1119"/>
      <c r="BK134" s="1080"/>
      <c r="BO134" s="1119"/>
      <c r="BS134" s="1080"/>
      <c r="BW134" s="1119"/>
      <c r="CA134" s="1080"/>
      <c r="CE134" s="1119"/>
      <c r="CI134" s="1080"/>
      <c r="CM134" s="1119"/>
      <c r="CQ134" s="1080"/>
      <c r="CU134" s="1119"/>
      <c r="CY134" s="1080"/>
      <c r="DC134" s="1119"/>
      <c r="DG134" s="1080"/>
      <c r="DK134" s="1119"/>
      <c r="DO134" s="1080"/>
      <c r="DS134" s="1119"/>
      <c r="DW134" s="1080"/>
      <c r="EA134" s="1119"/>
      <c r="EE134" s="1080"/>
      <c r="EI134" s="1119"/>
      <c r="EM134" s="1080"/>
      <c r="EQ134" s="1119"/>
      <c r="EU134" s="1080"/>
      <c r="EY134" s="1119"/>
      <c r="FC134" s="1080"/>
      <c r="FG134" s="1119"/>
      <c r="FK134" s="1080"/>
      <c r="FO134" s="1119"/>
    </row>
    <row r="135" spans="1:171" x14ac:dyDescent="0.25">
      <c r="A135" s="964" t="s">
        <v>74</v>
      </c>
      <c r="B135" s="64"/>
      <c r="C135" s="915"/>
      <c r="D135" s="916"/>
      <c r="E135" s="916"/>
      <c r="F135" s="917"/>
      <c r="G135" s="924">
        <f>+G84+G93+G100+G116+G133</f>
        <v>3908737606.0971003</v>
      </c>
      <c r="H135" s="924">
        <f>+H84+H93+H100+H116+H133</f>
        <v>805285062.89020872</v>
      </c>
      <c r="I135" s="924">
        <f>+I84+I93+I100+I116+I133</f>
        <v>23892855.711776573</v>
      </c>
      <c r="J135" s="1391">
        <f>+J84+J93+J100+J116+J133</f>
        <v>3079338625.0147085</v>
      </c>
      <c r="K135" s="904"/>
      <c r="O135" s="1132">
        <f>+O84+O93+O100+O116+O133</f>
        <v>3908737606.0971003</v>
      </c>
      <c r="P135" s="1132">
        <f>+P84+P93+P100+P116+P133</f>
        <v>813529080.44323754</v>
      </c>
      <c r="Q135" s="1132">
        <f>+Q84+Q93+Q100+Q116+Q133</f>
        <v>139290700.12313235</v>
      </c>
      <c r="R135" s="1132">
        <f>+R84+R93+R100+R116+R133</f>
        <v>2955917825.5307302</v>
      </c>
      <c r="S135" s="1119"/>
      <c r="W135" s="1132">
        <f>+W84+W93+W100+W116+W133</f>
        <v>3908737606.0971003</v>
      </c>
      <c r="X135" s="1132">
        <f>+X84+X93+X100+X116+X133</f>
        <v>813529080.44323754</v>
      </c>
      <c r="Y135" s="1132">
        <f>+Y84+Y93+Y100+Y116+Y133</f>
        <v>139290700.12313235</v>
      </c>
      <c r="Z135" s="1132">
        <f>+Z84+Z93+Z100+Z116+Z133</f>
        <v>2955917825.5307302</v>
      </c>
      <c r="AA135" s="1119"/>
      <c r="AE135" s="1132">
        <f>+AE84+AE93+AE100+AE116+AE133</f>
        <v>3908737606.0971003</v>
      </c>
      <c r="AF135" s="1132">
        <f>+AF84+AF93+AF100+AF116+AF133</f>
        <v>813529080.44323754</v>
      </c>
      <c r="AG135" s="1132">
        <f>+AG84+AG93+AG100+AG116+AG133</f>
        <v>139290700.12313235</v>
      </c>
      <c r="AH135" s="1132">
        <f>+AH84+AH93+AH100+AH116+AH133</f>
        <v>2955917825.5307302</v>
      </c>
      <c r="AI135" s="1119"/>
      <c r="AM135" s="1132">
        <f>+AM84+AM93+AM100+AM116+AM133</f>
        <v>3908737606.0971003</v>
      </c>
      <c r="AN135" s="1132">
        <f>+AN84+AN93+AN100+AN116+AN133</f>
        <v>813529080.44323754</v>
      </c>
      <c r="AO135" s="1132">
        <f>+AO84+AO93+AO100+AO116+AO133</f>
        <v>139290700.12313235</v>
      </c>
      <c r="AP135" s="1132">
        <f>+AP84+AP93+AP100+AP116+AP133</f>
        <v>2955917825.5307302</v>
      </c>
      <c r="AQ135" s="1119"/>
      <c r="AU135" s="1132">
        <f>+AU84+AU93+AU100+AU116+AU133</f>
        <v>3908737606.0971003</v>
      </c>
      <c r="AV135" s="1132">
        <f>+AV84+AV93+AV100+AV116+AV133</f>
        <v>813529080.44323754</v>
      </c>
      <c r="AW135" s="1132">
        <f>+AW84+AW93+AW100+AW116+AW133</f>
        <v>139290700.12313235</v>
      </c>
      <c r="AX135" s="1132">
        <f>+AX84+AX93+AX100+AX116+AX133</f>
        <v>2955917825.5307302</v>
      </c>
      <c r="AY135" s="1119"/>
      <c r="BC135" s="1132">
        <f>+BC84+BC93+BC100+BC116+BC133</f>
        <v>3908737606.0971003</v>
      </c>
      <c r="BD135" s="1132">
        <f>+BD84+BD93+BD100+BD116+BD133</f>
        <v>813529080.44323754</v>
      </c>
      <c r="BE135" s="1132">
        <f>+BE84+BE93+BE100+BE116+BE133</f>
        <v>139290700.12313235</v>
      </c>
      <c r="BF135" s="1132">
        <f>+BF84+BF93+BF100+BF116+BF133</f>
        <v>2955917825.5307302</v>
      </c>
      <c r="BG135" s="1119"/>
      <c r="BK135" s="1132">
        <f>+BK84+BK93+BK100+BK116+BK133</f>
        <v>3908737606.0971003</v>
      </c>
      <c r="BL135" s="1132">
        <f>+BL84+BL93+BL100+BL116+BL133</f>
        <v>813529080.44323754</v>
      </c>
      <c r="BM135" s="1132">
        <f>+BM84+BM93+BM100+BM116+BM133</f>
        <v>139290700.12313235</v>
      </c>
      <c r="BN135" s="1132">
        <f>+BN84+BN93+BN100+BN116+BN133</f>
        <v>2955917825.5307302</v>
      </c>
      <c r="BO135" s="1119"/>
      <c r="BS135" s="1132">
        <f>+BS84+BS93+BS100+BS116+BS133</f>
        <v>3908737606.0971003</v>
      </c>
      <c r="BT135" s="1132">
        <f>+BT84+BT93+BT100+BT116+BT133</f>
        <v>813529080.44323754</v>
      </c>
      <c r="BU135" s="1132">
        <f>+BU84+BU93+BU100+BU116+BU133</f>
        <v>139290700.12313235</v>
      </c>
      <c r="BV135" s="1132">
        <f>+BV84+BV93+BV100+BV116+BV133</f>
        <v>2955917825.5307302</v>
      </c>
      <c r="BW135" s="1119"/>
      <c r="CA135" s="1132">
        <f>+CA84+CA93+CA100+CA116+CA133</f>
        <v>3908737606.0971003</v>
      </c>
      <c r="CB135" s="1132">
        <f>+CB84+CB93+CB100+CB116+CB133</f>
        <v>813529080.44323754</v>
      </c>
      <c r="CC135" s="1132">
        <f>+CC84+CC93+CC100+CC116+CC133</f>
        <v>139290700.12313235</v>
      </c>
      <c r="CD135" s="1132">
        <f>+CD84+CD93+CD100+CD116+CD133</f>
        <v>2955917825.5307302</v>
      </c>
      <c r="CE135" s="1119"/>
      <c r="CI135" s="1132">
        <f>+CI84+CI93+CI100+CI116+CI133</f>
        <v>3908737606.0971003</v>
      </c>
      <c r="CJ135" s="1132">
        <f>+CJ84+CJ93+CJ100+CJ116+CJ133</f>
        <v>813529080.44323754</v>
      </c>
      <c r="CK135" s="1132">
        <f>+CK84+CK93+CK100+CK116+CK133</f>
        <v>139290700.12313235</v>
      </c>
      <c r="CL135" s="1132">
        <f>+CL84+CL93+CL100+CL116+CL133</f>
        <v>2955917825.5307302</v>
      </c>
      <c r="CM135" s="1119"/>
      <c r="CQ135" s="1132">
        <f>+CQ84+CQ93+CQ100+CQ116+CQ133</f>
        <v>3908737606.0971003</v>
      </c>
      <c r="CR135" s="1132">
        <f>+CR84+CR93+CR100+CR116+CR133</f>
        <v>813529080.44323754</v>
      </c>
      <c r="CS135" s="1132">
        <f>+CS84+CS93+CS100+CS116+CS133</f>
        <v>139290700.12313235</v>
      </c>
      <c r="CT135" s="1132">
        <f>+CT84+CT93+CT100+CT116+CT133</f>
        <v>2955917825.5307302</v>
      </c>
      <c r="CU135" s="1119"/>
      <c r="CY135" s="1132">
        <f>+CY84+CY93+CY100+CY116+CY133</f>
        <v>3908737606.0971003</v>
      </c>
      <c r="CZ135" s="1132">
        <f>+CZ84+CZ93+CZ100+CZ116+CZ133</f>
        <v>813529080.44323754</v>
      </c>
      <c r="DA135" s="1132">
        <f>+DA84+DA93+DA100+DA116+DA133</f>
        <v>139290700.12313235</v>
      </c>
      <c r="DB135" s="1132">
        <f>+DB84+DB93+DB100+DB116+DB133</f>
        <v>2955917825.5307302</v>
      </c>
      <c r="DC135" s="1119"/>
      <c r="DG135" s="1132">
        <f>+DG84+DG93+DG100+DG116+DG133</f>
        <v>3908737606.0971003</v>
      </c>
      <c r="DH135" s="1132">
        <f>+DH84+DH93+DH100+DH116+DH133</f>
        <v>813529080.44323754</v>
      </c>
      <c r="DI135" s="1132">
        <f>+DI84+DI93+DI100+DI116+DI133</f>
        <v>139290700.12313235</v>
      </c>
      <c r="DJ135" s="1132">
        <f>+DJ84+DJ93+DJ100+DJ116+DJ133</f>
        <v>2955917825.5307302</v>
      </c>
      <c r="DK135" s="1119"/>
      <c r="DO135" s="1132">
        <f>+DO84+DO93+DO100+DO116+DO133</f>
        <v>3908737606.0971003</v>
      </c>
      <c r="DP135" s="1132">
        <f>+DP84+DP93+DP100+DP116+DP133</f>
        <v>813529080.44323754</v>
      </c>
      <c r="DQ135" s="1132">
        <f>+DQ84+DQ93+DQ100+DQ116+DQ133</f>
        <v>139290700.12313235</v>
      </c>
      <c r="DR135" s="1132">
        <f>+DR84+DR93+DR100+DR116+DR133</f>
        <v>2955917825.5307302</v>
      </c>
      <c r="DS135" s="1119"/>
      <c r="DW135" s="1132">
        <f>+DW84+DW93+DW100+DW116+DW133</f>
        <v>3908737606.0971003</v>
      </c>
      <c r="DX135" s="1132">
        <f>+DX84+DX93+DX100+DX116+DX133</f>
        <v>813529080.44323754</v>
      </c>
      <c r="DY135" s="1132">
        <f>+DY84+DY93+DY100+DY116+DY133</f>
        <v>139290700.12313235</v>
      </c>
      <c r="DZ135" s="1132">
        <f>+DZ84+DZ93+DZ100+DZ116+DZ133</f>
        <v>2955917825.5307302</v>
      </c>
      <c r="EA135" s="1119"/>
      <c r="EE135" s="1132">
        <f>+EE84+EE93+EE100+EE116+EE133</f>
        <v>3908737606.0971003</v>
      </c>
      <c r="EF135" s="1132">
        <f>+EF84+EF93+EF100+EF116+EF133</f>
        <v>813529080.44323754</v>
      </c>
      <c r="EG135" s="1132">
        <f>+EG84+EG93+EG100+EG116+EG133</f>
        <v>139290700.12313235</v>
      </c>
      <c r="EH135" s="1132">
        <f>+EH84+EH93+EH100+EH116+EH133</f>
        <v>2955917825.5307302</v>
      </c>
      <c r="EI135" s="1119"/>
      <c r="EM135" s="1132">
        <f>+EM84+EM93+EM100+EM116+EM133</f>
        <v>3908737606.0971003</v>
      </c>
      <c r="EN135" s="1132">
        <f>+EN84+EN93+EN100+EN116+EN133</f>
        <v>813529080.44323754</v>
      </c>
      <c r="EO135" s="1132">
        <f>+EO84+EO93+EO100+EO116+EO133</f>
        <v>139290700.12313235</v>
      </c>
      <c r="EP135" s="1132">
        <f>+EP84+EP93+EP100+EP116+EP133</f>
        <v>2955917825.5307302</v>
      </c>
      <c r="EQ135" s="1119"/>
      <c r="EU135" s="1132">
        <f>+EU84+EU93+EU100+EU116+EU133</f>
        <v>3908737606.0971003</v>
      </c>
      <c r="EV135" s="1132">
        <f>+EV84+EV93+EV100+EV116+EV133</f>
        <v>813529080.44323754</v>
      </c>
      <c r="EW135" s="1132">
        <f>+EW84+EW93+EW100+EW116+EW133</f>
        <v>139290700.12313235</v>
      </c>
      <c r="EX135" s="1132">
        <f>+EX84+EX93+EX100+EX116+EX133</f>
        <v>2955917825.5307302</v>
      </c>
      <c r="EY135" s="1119"/>
      <c r="FC135" s="1132">
        <f>+FC84+FC93+FC100+FC116+FC133</f>
        <v>3908737606.0971003</v>
      </c>
      <c r="FD135" s="1132">
        <f>+FD84+FD93+FD100+FD116+FD133</f>
        <v>813529080.44323754</v>
      </c>
      <c r="FE135" s="1132">
        <f>+FE84+FE93+FE100+FE116+FE133</f>
        <v>139290700.12313235</v>
      </c>
      <c r="FF135" s="1132">
        <f>+FF84+FF93+FF100+FF116+FF133</f>
        <v>2955917825.5307302</v>
      </c>
      <c r="FG135" s="1119"/>
      <c r="FK135" s="1132">
        <f>+FK84+FK93+FK100+FK116+FK133</f>
        <v>3908737606.0971003</v>
      </c>
      <c r="FL135" s="1132">
        <f>+FL84+FL93+FL100+FL116+FL133</f>
        <v>813529080.44323754</v>
      </c>
      <c r="FM135" s="1132">
        <f>+FM84+FM93+FM100+FM116+FM133</f>
        <v>139290700.12313235</v>
      </c>
      <c r="FN135" s="1132">
        <f>+FN84+FN93+FN100+FN116+FN133</f>
        <v>2955917825.5307302</v>
      </c>
      <c r="FO135" s="1119"/>
    </row>
    <row r="136" spans="1:171" ht="16.5" thickBot="1" x14ac:dyDescent="0.3">
      <c r="A136" s="965"/>
      <c r="B136" s="932"/>
      <c r="C136" s="933"/>
      <c r="D136" s="933"/>
      <c r="E136" s="932"/>
      <c r="F136" s="932"/>
      <c r="G136" s="966"/>
      <c r="H136" s="966"/>
      <c r="I136" s="966"/>
      <c r="J136" s="967"/>
      <c r="K136" s="904"/>
      <c r="S136" s="1119"/>
      <c r="AA136" s="1119"/>
      <c r="AI136" s="1119"/>
      <c r="AQ136" s="1119"/>
      <c r="AY136" s="1119"/>
      <c r="BG136" s="1119"/>
      <c r="BO136" s="1119"/>
      <c r="BW136" s="1119"/>
      <c r="CE136" s="1119"/>
      <c r="CM136" s="1119"/>
      <c r="CU136" s="1119"/>
      <c r="DC136" s="1119"/>
      <c r="DK136" s="1119"/>
      <c r="DS136" s="1119"/>
      <c r="EA136" s="1119"/>
      <c r="EI136" s="1119"/>
      <c r="EQ136" s="1119"/>
      <c r="EY136" s="1119"/>
      <c r="FG136" s="1119"/>
      <c r="FO136" s="1119"/>
    </row>
    <row r="137" spans="1:171" ht="16.5" thickTop="1" x14ac:dyDescent="0.25">
      <c r="A137" s="968" t="s">
        <v>75</v>
      </c>
      <c r="B137" s="64"/>
      <c r="C137" s="55"/>
      <c r="D137" s="196"/>
      <c r="E137" s="196"/>
      <c r="F137" s="196"/>
      <c r="G137" s="911"/>
      <c r="H137" s="911"/>
      <c r="I137" s="911"/>
      <c r="J137" s="912"/>
      <c r="K137" s="904"/>
      <c r="S137" s="1119"/>
      <c r="AA137" s="1119"/>
      <c r="AI137" s="1119"/>
      <c r="AQ137" s="1119"/>
      <c r="AY137" s="1119"/>
      <c r="BG137" s="1119"/>
      <c r="BO137" s="1119"/>
      <c r="BW137" s="1119"/>
      <c r="CE137" s="1119"/>
      <c r="CM137" s="1119"/>
      <c r="CU137" s="1119"/>
      <c r="DC137" s="1119"/>
      <c r="DK137" s="1119"/>
      <c r="DS137" s="1119"/>
      <c r="EA137" s="1119"/>
      <c r="EI137" s="1119"/>
      <c r="EQ137" s="1119"/>
      <c r="EY137" s="1119"/>
      <c r="FG137" s="1119"/>
      <c r="FO137" s="1119"/>
    </row>
    <row r="138" spans="1:171" x14ac:dyDescent="0.25">
      <c r="A138" s="913"/>
      <c r="B138" s="848" t="s">
        <v>434</v>
      </c>
      <c r="C138" s="196"/>
      <c r="D138" s="969"/>
      <c r="E138" s="196"/>
      <c r="F138" s="196"/>
      <c r="G138" s="198"/>
      <c r="H138" s="198"/>
      <c r="I138" s="198"/>
      <c r="J138" s="200"/>
      <c r="K138" s="904"/>
      <c r="S138" s="1119"/>
      <c r="AA138" s="1119"/>
      <c r="AI138" s="1119"/>
      <c r="AQ138" s="1119"/>
      <c r="AY138" s="1119"/>
      <c r="BG138" s="1119"/>
      <c r="BO138" s="1119"/>
      <c r="BW138" s="1119"/>
      <c r="CE138" s="1119"/>
      <c r="CM138" s="1119"/>
      <c r="CU138" s="1119"/>
      <c r="DC138" s="1119"/>
      <c r="DK138" s="1119"/>
      <c r="DS138" s="1119"/>
      <c r="EA138" s="1119"/>
      <c r="EI138" s="1119"/>
      <c r="EQ138" s="1119"/>
      <c r="EY138" s="1119"/>
      <c r="FG138" s="1119"/>
      <c r="FO138" s="1119"/>
    </row>
    <row r="139" spans="1:171" x14ac:dyDescent="0.25">
      <c r="A139" s="945"/>
      <c r="B139" s="79" t="s">
        <v>332</v>
      </c>
      <c r="C139" s="889" t="s">
        <v>81</v>
      </c>
      <c r="D139" s="889">
        <v>244</v>
      </c>
      <c r="E139" s="182" t="str">
        <f>'Sch 1- Rate Base '!E139</f>
        <v>DIST</v>
      </c>
      <c r="F139" s="890"/>
      <c r="G139" s="182">
        <f>'Sch 1- Rate Base '!G139</f>
        <v>33532868.969462179</v>
      </c>
      <c r="H139" s="182">
        <f>'Sch 1- Rate Base '!H139</f>
        <v>0</v>
      </c>
      <c r="I139" s="182">
        <f>'Sch 1- Rate Base '!I139</f>
        <v>0</v>
      </c>
      <c r="J139" s="183">
        <f>'Sch 1- Rate Base '!J139</f>
        <v>33532868.969462179</v>
      </c>
      <c r="K139" s="904">
        <f>IF($E139="DIRECT",0,1)</f>
        <v>1</v>
      </c>
      <c r="O139" s="1117">
        <f>$G139</f>
        <v>33532868.969462179</v>
      </c>
      <c r="P139" s="1118">
        <f>VLOOKUP($E139,O$442:R$453,2,FALSE)*O139*($K139)+IF($G139&lt;&gt;0,($H139/$G139)*O139,0)*(1-$K139)</f>
        <v>0</v>
      </c>
      <c r="Q139" s="1118">
        <f>VLOOKUP($E139,O$442:R$453,3,FALSE)*O139*($K139)+IF($G139&lt;&gt;0,($I139/$G139)*O139,0)*(1-$K139)</f>
        <v>0</v>
      </c>
      <c r="R139" s="1118">
        <f>VLOOKUP($E139,O$442:R$453,4,FALSE)*O139*($K139)+(O139-P139-Q139)*(1-$K139)</f>
        <v>33532868.969462179</v>
      </c>
      <c r="S139" s="1119"/>
      <c r="W139" s="1117">
        <f>$G139</f>
        <v>33532868.969462179</v>
      </c>
      <c r="X139" s="1118">
        <f>VLOOKUP($E139,W$442:Z$453,2,FALSE)*W139*($K139)+IF($G139&lt;&gt;0,($H139/$G139)*W139,0)*(1-$K139)</f>
        <v>0</v>
      </c>
      <c r="Y139" s="1118">
        <f>VLOOKUP($E139,W$442:Z$453,3,FALSE)*W139*($K139)+IF($G139&lt;&gt;0,($I139/$G139)*W139,0)*(1-$K139)</f>
        <v>0</v>
      </c>
      <c r="Z139" s="1118">
        <f>VLOOKUP($E139,W$442:Z$453,4,FALSE)*W139*($K139)+(W139-X139-Y139)*(1-$K139)</f>
        <v>33532868.969462179</v>
      </c>
      <c r="AA139" s="1119"/>
      <c r="AE139" s="1117">
        <f>$G139</f>
        <v>33532868.969462179</v>
      </c>
      <c r="AF139" s="1118">
        <f>VLOOKUP($E139,AE$442:AH$453,2,FALSE)*AE139*($K139)+IF($G139&lt;&gt;0,($H139/$G139)*AE139,0)*(1-$K139)</f>
        <v>0</v>
      </c>
      <c r="AG139" s="1118">
        <f>VLOOKUP($E139,AE$442:AH$453,3,FALSE)*AE139*($K139)+IF($G139&lt;&gt;0,($I139/$G139)*AE139,0)*(1-$K139)</f>
        <v>0</v>
      </c>
      <c r="AH139" s="1118">
        <f>VLOOKUP($E139,AE$442:AH$453,4,FALSE)*AE139*($K139)+(AE139-AF139-AG139)*(1-$K139)</f>
        <v>33532868.969462179</v>
      </c>
      <c r="AI139" s="1119"/>
      <c r="AM139" s="1117">
        <f>$G139</f>
        <v>33532868.969462179</v>
      </c>
      <c r="AN139" s="1118">
        <f>VLOOKUP($E139,AM$442:AP$453,2,FALSE)*AM139*($K139)+IF($G139&lt;&gt;0,($H139/$G139)*AM139,0)*(1-$K139)</f>
        <v>0</v>
      </c>
      <c r="AO139" s="1118">
        <f>VLOOKUP($E139,AM$442:AP$453,3,FALSE)*AM139*($K139)+IF($G139&lt;&gt;0,($I139/$G139)*AM139,0)*(1-$K139)</f>
        <v>0</v>
      </c>
      <c r="AP139" s="1118">
        <f>VLOOKUP($E139,AM$442:AP$453,4,FALSE)*AM139*($K139)+(AM139-AN139-AO139)*(1-$K139)</f>
        <v>33532868.969462179</v>
      </c>
      <c r="AQ139" s="1119"/>
      <c r="AU139" s="1117">
        <f>$G139</f>
        <v>33532868.969462179</v>
      </c>
      <c r="AV139" s="1118">
        <f>VLOOKUP($E139,AU$442:AX$453,2,FALSE)*AU139*($K139)+IF($G139&lt;&gt;0,($H139/$G139)*AU139,0)*(1-$K139)</f>
        <v>0</v>
      </c>
      <c r="AW139" s="1118">
        <f>VLOOKUP($E139,AU$442:AX$453,3,FALSE)*AU139*($K139)+IF($G139&lt;&gt;0,($I139/$G139)*AU139,0)*(1-$K139)</f>
        <v>0</v>
      </c>
      <c r="AX139" s="1118">
        <f>VLOOKUP($E139,AU$442:AX$453,4,FALSE)*AU139*($K139)+(AU139-AV139-AW139)*(1-$K139)</f>
        <v>33532868.969462179</v>
      </c>
      <c r="AY139" s="1119"/>
      <c r="BC139" s="1117">
        <f>$G139</f>
        <v>33532868.969462179</v>
      </c>
      <c r="BD139" s="1118">
        <f>VLOOKUP($E139,BC$442:BF$453,2,FALSE)*BC139*($K139)+IF($G139&lt;&gt;0,($H139/$G139)*BC139,0)*(1-$K139)</f>
        <v>0</v>
      </c>
      <c r="BE139" s="1118">
        <f>VLOOKUP($E139,BC$442:BF$453,3,FALSE)*BC139*($K139)+IF($G139&lt;&gt;0,($I139/$G139)*BC139,0)*(1-$K139)</f>
        <v>0</v>
      </c>
      <c r="BF139" s="1118">
        <f>VLOOKUP($E139,BC$442:BF$453,4,FALSE)*BC139*($K139)+(BC139-BD139-BE139)*(1-$K139)</f>
        <v>33532868.969462179</v>
      </c>
      <c r="BG139" s="1119"/>
      <c r="BK139" s="1117">
        <f>$G139</f>
        <v>33532868.969462179</v>
      </c>
      <c r="BL139" s="1118">
        <f>VLOOKUP($E139,BK$442:BN$453,2,FALSE)*BK139*($K139)+IF($G139&lt;&gt;0,($H139/$G139)*BK139,0)*(1-$K139)</f>
        <v>0</v>
      </c>
      <c r="BM139" s="1118">
        <f>VLOOKUP($E139,BK$442:BN$453,3,FALSE)*BK139*($K139)+IF($G139&lt;&gt;0,($I139/$G139)*BK139,0)*(1-$K139)</f>
        <v>0</v>
      </c>
      <c r="BN139" s="1118">
        <f>VLOOKUP($E139,BK$442:BN$453,4,FALSE)*BK139*($K139)+(BK139-BL139-BM139)*(1-$K139)</f>
        <v>33532868.969462179</v>
      </c>
      <c r="BO139" s="1119"/>
      <c r="BS139" s="1117">
        <f>$G139</f>
        <v>33532868.969462179</v>
      </c>
      <c r="BT139" s="1118">
        <f>VLOOKUP($E139,BS$442:BV$453,2,FALSE)*BS139*($K139)+IF($G139&lt;&gt;0,($H139/$G139)*BS139,0)*(1-$K139)</f>
        <v>0</v>
      </c>
      <c r="BU139" s="1118">
        <f>VLOOKUP($E139,BS$442:BV$453,3,FALSE)*BS139*($K139)+IF($G139&lt;&gt;0,($I139/$G139)*BS139,0)*(1-$K139)</f>
        <v>0</v>
      </c>
      <c r="BV139" s="1118">
        <f>VLOOKUP($E139,BS$442:BV$453,4,FALSE)*BS139*($K139)+(BS139-BT139-BU139)*(1-$K139)</f>
        <v>33532868.969462179</v>
      </c>
      <c r="BW139" s="1119"/>
      <c r="CA139" s="1117">
        <f>$G139</f>
        <v>33532868.969462179</v>
      </c>
      <c r="CB139" s="1118">
        <f>VLOOKUP($E139,CA$442:CD$453,2,FALSE)*CA139*($K139)+IF($G139&lt;&gt;0,($H139/$G139)*CA139,0)*(1-$K139)</f>
        <v>0</v>
      </c>
      <c r="CC139" s="1118">
        <f>VLOOKUP($E139,CA$442:CD$453,3,FALSE)*CA139*($K139)+IF($G139&lt;&gt;0,($I139/$G139)*CA139,0)*(1-$K139)</f>
        <v>0</v>
      </c>
      <c r="CD139" s="1118">
        <f>VLOOKUP($E139,CA$442:CD$453,4,FALSE)*CA139*($K139)+(CA139-CB139-CC139)*(1-$K139)</f>
        <v>33532868.969462179</v>
      </c>
      <c r="CE139" s="1119"/>
      <c r="CI139" s="1117">
        <f>$G139</f>
        <v>33532868.969462179</v>
      </c>
      <c r="CJ139" s="1118">
        <f>VLOOKUP($E139,CI$442:CL$453,2,FALSE)*CI139*($K139)+IF($G139&lt;&gt;0,($H139/$G139)*CI139,0)*(1-$K139)</f>
        <v>0</v>
      </c>
      <c r="CK139" s="1118">
        <f>VLOOKUP($E139,CI$442:CL$453,3,FALSE)*CI139*($K139)+IF($G139&lt;&gt;0,($I139/$G139)*CI139,0)*(1-$K139)</f>
        <v>0</v>
      </c>
      <c r="CL139" s="1118">
        <f>VLOOKUP($E139,CI$442:CL$453,4,FALSE)*CI139*($K139)+(CI139-CJ139-CK139)*(1-$K139)</f>
        <v>33532868.969462179</v>
      </c>
      <c r="CM139" s="1119"/>
      <c r="CQ139" s="1117">
        <f>$G139</f>
        <v>33532868.969462179</v>
      </c>
      <c r="CR139" s="1118">
        <f>VLOOKUP($E139,CQ$442:CT$453,2,FALSE)*CQ139*($K139)+IF($G139&lt;&gt;0,($H139/$G139)*CQ139,0)*(1-$K139)</f>
        <v>0</v>
      </c>
      <c r="CS139" s="1118">
        <f>VLOOKUP($E139,CQ$442:CT$453,3,FALSE)*CQ139*($K139)+IF($G139&lt;&gt;0,($I139/$G139)*CQ139,0)*(1-$K139)</f>
        <v>0</v>
      </c>
      <c r="CT139" s="1118">
        <f>VLOOKUP($E139,CQ$442:CT$453,4,FALSE)*CQ139*($K139)+(CQ139-CR139-CS139)*(1-$K139)</f>
        <v>33532868.969462179</v>
      </c>
      <c r="CU139" s="1119"/>
      <c r="CY139" s="1117">
        <f>$G139</f>
        <v>33532868.969462179</v>
      </c>
      <c r="CZ139" s="1118">
        <f>VLOOKUP($E139,CY$442:DB$453,2,FALSE)*CY139*($K139)+IF($G139&lt;&gt;0,($H139/$G139)*CY139,0)*(1-$K139)</f>
        <v>0</v>
      </c>
      <c r="DA139" s="1118">
        <f>VLOOKUP($E139,CY$442:DB$453,3,FALSE)*CY139*($K139)+IF($G139&lt;&gt;0,($I139/$G139)*CY139,0)*(1-$K139)</f>
        <v>0</v>
      </c>
      <c r="DB139" s="1118">
        <f>VLOOKUP($E139,CY$442:DB$453,4,FALSE)*CY139*($K139)+(CY139-CZ139-DA139)*(1-$K139)</f>
        <v>33532868.969462179</v>
      </c>
      <c r="DC139" s="1119"/>
      <c r="DG139" s="1117">
        <f>$G139</f>
        <v>33532868.969462179</v>
      </c>
      <c r="DH139" s="1118">
        <f>VLOOKUP($E139,DG$442:DJ$453,2,FALSE)*DG139*($K139)+IF($G139&lt;&gt;0,($H139/$G139)*DG139,0)*(1-$K139)</f>
        <v>0</v>
      </c>
      <c r="DI139" s="1118">
        <f>VLOOKUP($E139,DG$442:DJ$453,3,FALSE)*DG139*($K139)+IF($G139&lt;&gt;0,($I139/$G139)*DG139,0)*(1-$K139)</f>
        <v>0</v>
      </c>
      <c r="DJ139" s="1118">
        <f>VLOOKUP($E139,DG$442:DJ$453,4,FALSE)*DG139*($K139)+(DG139-DH139-DI139)*(1-$K139)</f>
        <v>33532868.969462179</v>
      </c>
      <c r="DK139" s="1119"/>
      <c r="DO139" s="1117">
        <f>$G139</f>
        <v>33532868.969462179</v>
      </c>
      <c r="DP139" s="1118">
        <f>VLOOKUP($E139,DO$442:DR$453,2,FALSE)*DO139*($K139)+IF($G139&lt;&gt;0,($H139/$G139)*DO139,0)*(1-$K139)</f>
        <v>0</v>
      </c>
      <c r="DQ139" s="1118">
        <f>VLOOKUP($E139,DO$442:DR$453,3,FALSE)*DO139*($K139)+IF($G139&lt;&gt;0,($I139/$G139)*DO139,0)*(1-$K139)</f>
        <v>0</v>
      </c>
      <c r="DR139" s="1118">
        <f>VLOOKUP($E139,DO$442:DR$453,4,FALSE)*DO139*($K139)+(DO139-DP139-DQ139)*(1-$K139)</f>
        <v>33532868.969462179</v>
      </c>
      <c r="DS139" s="1119"/>
      <c r="DW139" s="1117">
        <f>$G139</f>
        <v>33532868.969462179</v>
      </c>
      <c r="DX139" s="1118">
        <f>VLOOKUP($E139,DW$442:DZ$453,2,FALSE)*DW139*($K139)+IF($G139&lt;&gt;0,($H139/$G139)*DW139,0)*(1-$K139)</f>
        <v>0</v>
      </c>
      <c r="DY139" s="1118">
        <f>VLOOKUP($E139,DW$442:DZ$453,3,FALSE)*DW139*($K139)+IF($G139&lt;&gt;0,($I139/$G139)*DW139,0)*(1-$K139)</f>
        <v>0</v>
      </c>
      <c r="DZ139" s="1118">
        <f>VLOOKUP($E139,DW$442:DZ$453,4,FALSE)*DW139*($K139)+(DW139-DX139-DY139)*(1-$K139)</f>
        <v>33532868.969462179</v>
      </c>
      <c r="EA139" s="1119"/>
      <c r="EE139" s="1117">
        <f>$G139</f>
        <v>33532868.969462179</v>
      </c>
      <c r="EF139" s="1118">
        <f>VLOOKUP($E139,EE$442:EH$453,2,FALSE)*EE139*($K139)+IF($G139&lt;&gt;0,($H139/$G139)*EE139,0)*(1-$K139)</f>
        <v>0</v>
      </c>
      <c r="EG139" s="1118">
        <f>VLOOKUP($E139,EE$442:EH$453,3,FALSE)*EE139*($K139)+IF($G139&lt;&gt;0,($I139/$G139)*EE139,0)*(1-$K139)</f>
        <v>0</v>
      </c>
      <c r="EH139" s="1118">
        <f>VLOOKUP($E139,EE$442:EH$453,4,FALSE)*EE139*($K139)+(EE139-EF139-EG139)*(1-$K139)</f>
        <v>33532868.969462179</v>
      </c>
      <c r="EI139" s="1119"/>
      <c r="EM139" s="1117">
        <f>$G139</f>
        <v>33532868.969462179</v>
      </c>
      <c r="EN139" s="1118">
        <f>VLOOKUP($E139,EM$442:EP$453,2,FALSE)*EM139*($K139)+IF($G139&lt;&gt;0,($H139/$G139)*EM139,0)*(1-$K139)</f>
        <v>0</v>
      </c>
      <c r="EO139" s="1118">
        <f>VLOOKUP($E139,EM$442:EP$453,3,FALSE)*EM139*($K139)+IF($G139&lt;&gt;0,($I139/$G139)*EM139,0)*(1-$K139)</f>
        <v>0</v>
      </c>
      <c r="EP139" s="1118">
        <f>VLOOKUP($E139,EM$442:EP$453,4,FALSE)*EM139*($K139)+(EM139-EN139-EO139)*(1-$K139)</f>
        <v>33532868.969462179</v>
      </c>
      <c r="EQ139" s="1119"/>
      <c r="EU139" s="1117">
        <f>$G139</f>
        <v>33532868.969462179</v>
      </c>
      <c r="EV139" s="1118">
        <f>VLOOKUP($E139,EU$442:EX$453,2,FALSE)*EU139*($K139)+IF($G139&lt;&gt;0,($H139/$G139)*EU139,0)*(1-$K139)</f>
        <v>0</v>
      </c>
      <c r="EW139" s="1118">
        <f>VLOOKUP($E139,EU$442:EX$453,3,FALSE)*EU139*($K139)+IF($G139&lt;&gt;0,($I139/$G139)*EU139,0)*(1-$K139)</f>
        <v>0</v>
      </c>
      <c r="EX139" s="1118">
        <f>VLOOKUP($E139,EU$442:EX$453,4,FALSE)*EU139*($K139)+(EU139-EV139-EW139)*(1-$K139)</f>
        <v>33532868.969462179</v>
      </c>
      <c r="EY139" s="1119"/>
      <c r="FC139" s="1117">
        <f>$G139</f>
        <v>33532868.969462179</v>
      </c>
      <c r="FD139" s="1118">
        <f>VLOOKUP($E139,FC$442:FF$453,2,FALSE)*FC139*($K139)+IF($G139&lt;&gt;0,($H139/$G139)*FC139,0)*(1-$K139)</f>
        <v>0</v>
      </c>
      <c r="FE139" s="1118">
        <f>VLOOKUP($E139,FC$442:FF$453,3,FALSE)*FC139*($K139)+IF($G139&lt;&gt;0,($I139/$G139)*FC139,0)*(1-$K139)</f>
        <v>0</v>
      </c>
      <c r="FF139" s="1118">
        <f>VLOOKUP($E139,FC$442:FF$453,4,FALSE)*FC139*($K139)+(FC139-FD139-FE139)*(1-$K139)</f>
        <v>33532868.969462179</v>
      </c>
      <c r="FG139" s="1119"/>
      <c r="FK139" s="1117">
        <f>$G139</f>
        <v>33532868.969462179</v>
      </c>
      <c r="FL139" s="1118">
        <f>VLOOKUP($E139,FK$442:FN$453,2,FALSE)*FK139*($K139)+IF($G139&lt;&gt;0,($H139/$G139)*FK139,0)*(1-$K139)</f>
        <v>0</v>
      </c>
      <c r="FM139" s="1118">
        <f>VLOOKUP($E139,FK$442:FN$453,3,FALSE)*FK139*($K139)+IF($G139&lt;&gt;0,($I139/$G139)*FK139,0)*(1-$K139)</f>
        <v>0</v>
      </c>
      <c r="FN139" s="1118">
        <f>VLOOKUP($E139,FK$442:FN$453,4,FALSE)*FK139*($K139)+(FK139-FL139-FM139)*(1-$K139)</f>
        <v>33532868.969462179</v>
      </c>
      <c r="FO139" s="1119"/>
    </row>
    <row r="140" spans="1:171" x14ac:dyDescent="0.25">
      <c r="A140" s="945"/>
      <c r="B140" s="970" t="s">
        <v>625</v>
      </c>
      <c r="C140" s="889" t="s">
        <v>348</v>
      </c>
      <c r="D140" s="889">
        <v>244</v>
      </c>
      <c r="E140" s="182" t="str">
        <f>'Sch 1- Rate Base '!E140</f>
        <v>DIST</v>
      </c>
      <c r="F140" s="890"/>
      <c r="G140" s="182">
        <f>'Sch 1- Rate Base '!G140</f>
        <v>8023897.7622972047</v>
      </c>
      <c r="H140" s="182">
        <f>'Sch 1- Rate Base '!H140</f>
        <v>0</v>
      </c>
      <c r="I140" s="182">
        <f>'Sch 1- Rate Base '!I140</f>
        <v>0</v>
      </c>
      <c r="J140" s="183">
        <f>'Sch 1- Rate Base '!J140</f>
        <v>8023897.7622972047</v>
      </c>
      <c r="K140" s="904">
        <f>IF($E140="DIRECT",0,1)</f>
        <v>1</v>
      </c>
      <c r="O140" s="1117">
        <f>$G140</f>
        <v>8023897.7622972047</v>
      </c>
      <c r="P140" s="1118">
        <f>VLOOKUP($E140,O$442:R$453,2,FALSE)*O140*($K140)+IF($G140&lt;&gt;0,($H140/$G140)*O140,0)*(1-$K140)</f>
        <v>0</v>
      </c>
      <c r="Q140" s="1118">
        <f>VLOOKUP($E140,O$442:R$453,3,FALSE)*O140*($K140)+IF($G140&lt;&gt;0,($I140/$G140)*O140,0)*(1-$K140)</f>
        <v>0</v>
      </c>
      <c r="R140" s="1118">
        <f>VLOOKUP($E140,O$442:R$453,4,FALSE)*O140*($K140)+(O140-P140-Q140)*(1-$K140)</f>
        <v>8023897.7622972047</v>
      </c>
      <c r="S140" s="1119"/>
      <c r="W140" s="1117">
        <f>$G140</f>
        <v>8023897.7622972047</v>
      </c>
      <c r="X140" s="1118">
        <f>VLOOKUP($E140,W$442:Z$453,2,FALSE)*W140*($K140)+IF($G140&lt;&gt;0,($H140/$G140)*W140,0)*(1-$K140)</f>
        <v>0</v>
      </c>
      <c r="Y140" s="1118">
        <f>VLOOKUP($E140,W$442:Z$453,3,FALSE)*W140*($K140)+IF($G140&lt;&gt;0,($I140/$G140)*W140,0)*(1-$K140)</f>
        <v>0</v>
      </c>
      <c r="Z140" s="1118">
        <f>VLOOKUP($E140,W$442:Z$453,4,FALSE)*W140*($K140)+(W140-X140-Y140)*(1-$K140)</f>
        <v>8023897.7622972047</v>
      </c>
      <c r="AA140" s="1119"/>
      <c r="AE140" s="1117">
        <f>$G140</f>
        <v>8023897.7622972047</v>
      </c>
      <c r="AF140" s="1118">
        <f>VLOOKUP($E140,AE$442:AH$453,2,FALSE)*AE140*($K140)+IF($G140&lt;&gt;0,($H140/$G140)*AE140,0)*(1-$K140)</f>
        <v>0</v>
      </c>
      <c r="AG140" s="1118">
        <f>VLOOKUP($E140,AE$442:AH$453,3,FALSE)*AE140*($K140)+IF($G140&lt;&gt;0,($I140/$G140)*AE140,0)*(1-$K140)</f>
        <v>0</v>
      </c>
      <c r="AH140" s="1118">
        <f>VLOOKUP($E140,AE$442:AH$453,4,FALSE)*AE140*($K140)+(AE140-AF140-AG140)*(1-$K140)</f>
        <v>8023897.7622972047</v>
      </c>
      <c r="AI140" s="1119"/>
      <c r="AM140" s="1117">
        <f>$G140</f>
        <v>8023897.7622972047</v>
      </c>
      <c r="AN140" s="1118">
        <f>VLOOKUP($E140,AM$442:AP$453,2,FALSE)*AM140*($K140)+IF($G140&lt;&gt;0,($H140/$G140)*AM140,0)*(1-$K140)</f>
        <v>0</v>
      </c>
      <c r="AO140" s="1118">
        <f>VLOOKUP($E140,AM$442:AP$453,3,FALSE)*AM140*($K140)+IF($G140&lt;&gt;0,($I140/$G140)*AM140,0)*(1-$K140)</f>
        <v>0</v>
      </c>
      <c r="AP140" s="1118">
        <f>VLOOKUP($E140,AM$442:AP$453,4,FALSE)*AM140*($K140)+(AM140-AN140-AO140)*(1-$K140)</f>
        <v>8023897.7622972047</v>
      </c>
      <c r="AQ140" s="1119"/>
      <c r="AU140" s="1117">
        <f>$G140</f>
        <v>8023897.7622972047</v>
      </c>
      <c r="AV140" s="1118">
        <f>VLOOKUP($E140,AU$442:AX$453,2,FALSE)*AU140*($K140)+IF($G140&lt;&gt;0,($H140/$G140)*AU140,0)*(1-$K140)</f>
        <v>0</v>
      </c>
      <c r="AW140" s="1118">
        <f>VLOOKUP($E140,AU$442:AX$453,3,FALSE)*AU140*($K140)+IF($G140&lt;&gt;0,($I140/$G140)*AU140,0)*(1-$K140)</f>
        <v>0</v>
      </c>
      <c r="AX140" s="1118">
        <f>VLOOKUP($E140,AU$442:AX$453,4,FALSE)*AU140*($K140)+(AU140-AV140-AW140)*(1-$K140)</f>
        <v>8023897.7622972047</v>
      </c>
      <c r="AY140" s="1119"/>
      <c r="BC140" s="1117">
        <f>$G140</f>
        <v>8023897.7622972047</v>
      </c>
      <c r="BD140" s="1118">
        <f>VLOOKUP($E140,BC$442:BF$453,2,FALSE)*BC140*($K140)+IF($G140&lt;&gt;0,($H140/$G140)*BC140,0)*(1-$K140)</f>
        <v>0</v>
      </c>
      <c r="BE140" s="1118">
        <f>VLOOKUP($E140,BC$442:BF$453,3,FALSE)*BC140*($K140)+IF($G140&lt;&gt;0,($I140/$G140)*BC140,0)*(1-$K140)</f>
        <v>0</v>
      </c>
      <c r="BF140" s="1118">
        <f>VLOOKUP($E140,BC$442:BF$453,4,FALSE)*BC140*($K140)+(BC140-BD140-BE140)*(1-$K140)</f>
        <v>8023897.7622972047</v>
      </c>
      <c r="BG140" s="1119"/>
      <c r="BK140" s="1117">
        <f>$G140</f>
        <v>8023897.7622972047</v>
      </c>
      <c r="BL140" s="1118">
        <f>VLOOKUP($E140,BK$442:BN$453,2,FALSE)*BK140*($K140)+IF($G140&lt;&gt;0,($H140/$G140)*BK140,0)*(1-$K140)</f>
        <v>0</v>
      </c>
      <c r="BM140" s="1118">
        <f>VLOOKUP($E140,BK$442:BN$453,3,FALSE)*BK140*($K140)+IF($G140&lt;&gt;0,($I140/$G140)*BK140,0)*(1-$K140)</f>
        <v>0</v>
      </c>
      <c r="BN140" s="1118">
        <f>VLOOKUP($E140,BK$442:BN$453,4,FALSE)*BK140*($K140)+(BK140-BL140-BM140)*(1-$K140)</f>
        <v>8023897.7622972047</v>
      </c>
      <c r="BO140" s="1119"/>
      <c r="BS140" s="1117">
        <f>$G140</f>
        <v>8023897.7622972047</v>
      </c>
      <c r="BT140" s="1118">
        <f>VLOOKUP($E140,BS$442:BV$453,2,FALSE)*BS140*($K140)+IF($G140&lt;&gt;0,($H140/$G140)*BS140,0)*(1-$K140)</f>
        <v>0</v>
      </c>
      <c r="BU140" s="1118">
        <f>VLOOKUP($E140,BS$442:BV$453,3,FALSE)*BS140*($K140)+IF($G140&lt;&gt;0,($I140/$G140)*BS140,0)*(1-$K140)</f>
        <v>0</v>
      </c>
      <c r="BV140" s="1118">
        <f>VLOOKUP($E140,BS$442:BV$453,4,FALSE)*BS140*($K140)+(BS140-BT140-BU140)*(1-$K140)</f>
        <v>8023897.7622972047</v>
      </c>
      <c r="BW140" s="1119"/>
      <c r="CA140" s="1117">
        <f>$G140</f>
        <v>8023897.7622972047</v>
      </c>
      <c r="CB140" s="1118">
        <f>VLOOKUP($E140,CA$442:CD$453,2,FALSE)*CA140*($K140)+IF($G140&lt;&gt;0,($H140/$G140)*CA140,0)*(1-$K140)</f>
        <v>0</v>
      </c>
      <c r="CC140" s="1118">
        <f>VLOOKUP($E140,CA$442:CD$453,3,FALSE)*CA140*($K140)+IF($G140&lt;&gt;0,($I140/$G140)*CA140,0)*(1-$K140)</f>
        <v>0</v>
      </c>
      <c r="CD140" s="1118">
        <f>VLOOKUP($E140,CA$442:CD$453,4,FALSE)*CA140*($K140)+(CA140-CB140-CC140)*(1-$K140)</f>
        <v>8023897.7622972047</v>
      </c>
      <c r="CE140" s="1119"/>
      <c r="CI140" s="1117">
        <f>$G140</f>
        <v>8023897.7622972047</v>
      </c>
      <c r="CJ140" s="1118">
        <f>VLOOKUP($E140,CI$442:CL$453,2,FALSE)*CI140*($K140)+IF($G140&lt;&gt;0,($H140/$G140)*CI140,0)*(1-$K140)</f>
        <v>0</v>
      </c>
      <c r="CK140" s="1118">
        <f>VLOOKUP($E140,CI$442:CL$453,3,FALSE)*CI140*($K140)+IF($G140&lt;&gt;0,($I140/$G140)*CI140,0)*(1-$K140)</f>
        <v>0</v>
      </c>
      <c r="CL140" s="1118">
        <f>VLOOKUP($E140,CI$442:CL$453,4,FALSE)*CI140*($K140)+(CI140-CJ140-CK140)*(1-$K140)</f>
        <v>8023897.7622972047</v>
      </c>
      <c r="CM140" s="1119"/>
      <c r="CQ140" s="1117">
        <f>$G140</f>
        <v>8023897.7622972047</v>
      </c>
      <c r="CR140" s="1118">
        <f>VLOOKUP($E140,CQ$442:CT$453,2,FALSE)*CQ140*($K140)+IF($G140&lt;&gt;0,($H140/$G140)*CQ140,0)*(1-$K140)</f>
        <v>0</v>
      </c>
      <c r="CS140" s="1118">
        <f>VLOOKUP($E140,CQ$442:CT$453,3,FALSE)*CQ140*($K140)+IF($G140&lt;&gt;0,($I140/$G140)*CQ140,0)*(1-$K140)</f>
        <v>0</v>
      </c>
      <c r="CT140" s="1118">
        <f>VLOOKUP($E140,CQ$442:CT$453,4,FALSE)*CQ140*($K140)+(CQ140-CR140-CS140)*(1-$K140)</f>
        <v>8023897.7622972047</v>
      </c>
      <c r="CU140" s="1119"/>
      <c r="CY140" s="1117">
        <f>$G140</f>
        <v>8023897.7622972047</v>
      </c>
      <c r="CZ140" s="1118">
        <f>VLOOKUP($E140,CY$442:DB$453,2,FALSE)*CY140*($K140)+IF($G140&lt;&gt;0,($H140/$G140)*CY140,0)*(1-$K140)</f>
        <v>0</v>
      </c>
      <c r="DA140" s="1118">
        <f>VLOOKUP($E140,CY$442:DB$453,3,FALSE)*CY140*($K140)+IF($G140&lt;&gt;0,($I140/$G140)*CY140,0)*(1-$K140)</f>
        <v>0</v>
      </c>
      <c r="DB140" s="1118">
        <f>VLOOKUP($E140,CY$442:DB$453,4,FALSE)*CY140*($K140)+(CY140-CZ140-DA140)*(1-$K140)</f>
        <v>8023897.7622972047</v>
      </c>
      <c r="DC140" s="1119"/>
      <c r="DG140" s="1117">
        <f>$G140</f>
        <v>8023897.7622972047</v>
      </c>
      <c r="DH140" s="1118">
        <f>VLOOKUP($E140,DG$442:DJ$453,2,FALSE)*DG140*($K140)+IF($G140&lt;&gt;0,($H140/$G140)*DG140,0)*(1-$K140)</f>
        <v>0</v>
      </c>
      <c r="DI140" s="1118">
        <f>VLOOKUP($E140,DG$442:DJ$453,3,FALSE)*DG140*($K140)+IF($G140&lt;&gt;0,($I140/$G140)*DG140,0)*(1-$K140)</f>
        <v>0</v>
      </c>
      <c r="DJ140" s="1118">
        <f>VLOOKUP($E140,DG$442:DJ$453,4,FALSE)*DG140*($K140)+(DG140-DH140-DI140)*(1-$K140)</f>
        <v>8023897.7622972047</v>
      </c>
      <c r="DK140" s="1119"/>
      <c r="DO140" s="1117">
        <f>$G140</f>
        <v>8023897.7622972047</v>
      </c>
      <c r="DP140" s="1118">
        <f>VLOOKUP($E140,DO$442:DR$453,2,FALSE)*DO140*($K140)+IF($G140&lt;&gt;0,($H140/$G140)*DO140,0)*(1-$K140)</f>
        <v>0</v>
      </c>
      <c r="DQ140" s="1118">
        <f>VLOOKUP($E140,DO$442:DR$453,3,FALSE)*DO140*($K140)+IF($G140&lt;&gt;0,($I140/$G140)*DO140,0)*(1-$K140)</f>
        <v>0</v>
      </c>
      <c r="DR140" s="1118">
        <f>VLOOKUP($E140,DO$442:DR$453,4,FALSE)*DO140*($K140)+(DO140-DP140-DQ140)*(1-$K140)</f>
        <v>8023897.7622972047</v>
      </c>
      <c r="DS140" s="1119"/>
      <c r="DW140" s="1117">
        <f>$G140</f>
        <v>8023897.7622972047</v>
      </c>
      <c r="DX140" s="1118">
        <f>VLOOKUP($E140,DW$442:DZ$453,2,FALSE)*DW140*($K140)+IF($G140&lt;&gt;0,($H140/$G140)*DW140,0)*(1-$K140)</f>
        <v>0</v>
      </c>
      <c r="DY140" s="1118">
        <f>VLOOKUP($E140,DW$442:DZ$453,3,FALSE)*DW140*($K140)+IF($G140&lt;&gt;0,($I140/$G140)*DW140,0)*(1-$K140)</f>
        <v>0</v>
      </c>
      <c r="DZ140" s="1118">
        <f>VLOOKUP($E140,DW$442:DZ$453,4,FALSE)*DW140*($K140)+(DW140-DX140-DY140)*(1-$K140)</f>
        <v>8023897.7622972047</v>
      </c>
      <c r="EA140" s="1119"/>
      <c r="EE140" s="1117">
        <f>$G140</f>
        <v>8023897.7622972047</v>
      </c>
      <c r="EF140" s="1118">
        <f>VLOOKUP($E140,EE$442:EH$453,2,FALSE)*EE140*($K140)+IF($G140&lt;&gt;0,($H140/$G140)*EE140,0)*(1-$K140)</f>
        <v>0</v>
      </c>
      <c r="EG140" s="1118">
        <f>VLOOKUP($E140,EE$442:EH$453,3,FALSE)*EE140*($K140)+IF($G140&lt;&gt;0,($I140/$G140)*EE140,0)*(1-$K140)</f>
        <v>0</v>
      </c>
      <c r="EH140" s="1118">
        <f>VLOOKUP($E140,EE$442:EH$453,4,FALSE)*EE140*($K140)+(EE140-EF140-EG140)*(1-$K140)</f>
        <v>8023897.7622972047</v>
      </c>
      <c r="EI140" s="1119"/>
      <c r="EM140" s="1117">
        <f>$G140</f>
        <v>8023897.7622972047</v>
      </c>
      <c r="EN140" s="1118">
        <f>VLOOKUP($E140,EM$442:EP$453,2,FALSE)*EM140*($K140)+IF($G140&lt;&gt;0,($H140/$G140)*EM140,0)*(1-$K140)</f>
        <v>0</v>
      </c>
      <c r="EO140" s="1118">
        <f>VLOOKUP($E140,EM$442:EP$453,3,FALSE)*EM140*($K140)+IF($G140&lt;&gt;0,($I140/$G140)*EM140,0)*(1-$K140)</f>
        <v>0</v>
      </c>
      <c r="EP140" s="1118">
        <f>VLOOKUP($E140,EM$442:EP$453,4,FALSE)*EM140*($K140)+(EM140-EN140-EO140)*(1-$K140)</f>
        <v>8023897.7622972047</v>
      </c>
      <c r="EQ140" s="1119"/>
      <c r="EU140" s="1117">
        <f>$G140</f>
        <v>8023897.7622972047</v>
      </c>
      <c r="EV140" s="1118">
        <f>VLOOKUP($E140,EU$442:EX$453,2,FALSE)*EU140*($K140)+IF($G140&lt;&gt;0,($H140/$G140)*EU140,0)*(1-$K140)</f>
        <v>0</v>
      </c>
      <c r="EW140" s="1118">
        <f>VLOOKUP($E140,EU$442:EX$453,3,FALSE)*EU140*($K140)+IF($G140&lt;&gt;0,($I140/$G140)*EU140,0)*(1-$K140)</f>
        <v>0</v>
      </c>
      <c r="EX140" s="1118">
        <f>VLOOKUP($E140,EU$442:EX$453,4,FALSE)*EU140*($K140)+(EU140-EV140-EW140)*(1-$K140)</f>
        <v>8023897.7622972047</v>
      </c>
      <c r="EY140" s="1119"/>
      <c r="FC140" s="1117">
        <f>$G140</f>
        <v>8023897.7622972047</v>
      </c>
      <c r="FD140" s="1118">
        <f>VLOOKUP($E140,FC$442:FF$453,2,FALSE)*FC140*($K140)+IF($G140&lt;&gt;0,($H140/$G140)*FC140,0)*(1-$K140)</f>
        <v>0</v>
      </c>
      <c r="FE140" s="1118">
        <f>VLOOKUP($E140,FC$442:FF$453,3,FALSE)*FC140*($K140)+IF($G140&lt;&gt;0,($I140/$G140)*FC140,0)*(1-$K140)</f>
        <v>0</v>
      </c>
      <c r="FF140" s="1118">
        <f>VLOOKUP($E140,FC$442:FF$453,4,FALSE)*FC140*($K140)+(FC140-FD140-FE140)*(1-$K140)</f>
        <v>8023897.7622972047</v>
      </c>
      <c r="FG140" s="1119"/>
      <c r="FK140" s="1117">
        <f>$G140</f>
        <v>8023897.7622972047</v>
      </c>
      <c r="FL140" s="1118">
        <f>VLOOKUP($E140,FK$442:FN$453,2,FALSE)*FK140*($K140)+IF($G140&lt;&gt;0,($H140/$G140)*FK140,0)*(1-$K140)</f>
        <v>0</v>
      </c>
      <c r="FM140" s="1118">
        <f>VLOOKUP($E140,FK$442:FN$453,3,FALSE)*FK140*($K140)+IF($G140&lt;&gt;0,($I140/$G140)*FK140,0)*(1-$K140)</f>
        <v>0</v>
      </c>
      <c r="FN140" s="1118">
        <f>VLOOKUP($E140,FK$442:FN$453,4,FALSE)*FK140*($K140)+(FK140-FL140-FM140)*(1-$K140)</f>
        <v>8023897.7622972047</v>
      </c>
      <c r="FO140" s="1119"/>
    </row>
    <row r="141" spans="1:171" x14ac:dyDescent="0.25">
      <c r="A141" s="945"/>
      <c r="B141" s="79" t="s">
        <v>333</v>
      </c>
      <c r="C141" s="889" t="s">
        <v>373</v>
      </c>
      <c r="D141" s="889">
        <v>245</v>
      </c>
      <c r="E141" s="182" t="str">
        <f>'Sch 1- Rate Base '!E141</f>
        <v>DIST</v>
      </c>
      <c r="F141" s="890"/>
      <c r="G141" s="182">
        <f>'Sch 1- Rate Base '!G141</f>
        <v>0</v>
      </c>
      <c r="H141" s="182">
        <f>'Sch 1- Rate Base '!H141</f>
        <v>0</v>
      </c>
      <c r="I141" s="182">
        <f>'Sch 1- Rate Base '!I141</f>
        <v>0</v>
      </c>
      <c r="J141" s="183">
        <f>'Sch 1- Rate Base '!J141</f>
        <v>0</v>
      </c>
      <c r="K141" s="904">
        <f>IF($E141="DIRECT",0,1)</f>
        <v>1</v>
      </c>
      <c r="O141" s="1117">
        <f>$G141</f>
        <v>0</v>
      </c>
      <c r="P141" s="1118">
        <f>VLOOKUP($E141,O$442:R$453,2,FALSE)*O141*($K141)+IF($G141&lt;&gt;0,($H141/$G141)*O141,0)*(1-$K141)</f>
        <v>0</v>
      </c>
      <c r="Q141" s="1118">
        <f>VLOOKUP($E141,O$442:R$453,3,FALSE)*O141*($K141)+IF($G141&lt;&gt;0,($I141/$G141)*O141,0)*(1-$K141)</f>
        <v>0</v>
      </c>
      <c r="R141" s="1118">
        <f>VLOOKUP($E141,O$442:R$453,4,FALSE)*O141*($K141)+(O141-P141-Q141)*(1-$K141)</f>
        <v>0</v>
      </c>
      <c r="S141" s="1119"/>
      <c r="W141" s="1117">
        <f>$G141</f>
        <v>0</v>
      </c>
      <c r="X141" s="1118">
        <f>VLOOKUP($E141,W$442:Z$453,2,FALSE)*W141*($K141)+IF($G141&lt;&gt;0,($H141/$G141)*W141,0)*(1-$K141)</f>
        <v>0</v>
      </c>
      <c r="Y141" s="1118">
        <f>VLOOKUP($E141,W$442:Z$453,3,FALSE)*W141*($K141)+IF($G141&lt;&gt;0,($I141/$G141)*W141,0)*(1-$K141)</f>
        <v>0</v>
      </c>
      <c r="Z141" s="1118">
        <f>VLOOKUP($E141,W$442:Z$453,4,FALSE)*W141*($K141)+(W141-X141-Y141)*(1-$K141)</f>
        <v>0</v>
      </c>
      <c r="AA141" s="1119"/>
      <c r="AE141" s="1117">
        <f>$G141</f>
        <v>0</v>
      </c>
      <c r="AF141" s="1118">
        <f>VLOOKUP($E141,AE$442:AH$453,2,FALSE)*AE141*($K141)+IF($G141&lt;&gt;0,($H141/$G141)*AE141,0)*(1-$K141)</f>
        <v>0</v>
      </c>
      <c r="AG141" s="1118">
        <f>VLOOKUP($E141,AE$442:AH$453,3,FALSE)*AE141*($K141)+IF($G141&lt;&gt;0,($I141/$G141)*AE141,0)*(1-$K141)</f>
        <v>0</v>
      </c>
      <c r="AH141" s="1118">
        <f>VLOOKUP($E141,AE$442:AH$453,4,FALSE)*AE141*($K141)+(AE141-AF141-AG141)*(1-$K141)</f>
        <v>0</v>
      </c>
      <c r="AI141" s="1119"/>
      <c r="AM141" s="1117">
        <f>$G141</f>
        <v>0</v>
      </c>
      <c r="AN141" s="1118">
        <f>VLOOKUP($E141,AM$442:AP$453,2,FALSE)*AM141*($K141)+IF($G141&lt;&gt;0,($H141/$G141)*AM141,0)*(1-$K141)</f>
        <v>0</v>
      </c>
      <c r="AO141" s="1118">
        <f>VLOOKUP($E141,AM$442:AP$453,3,FALSE)*AM141*($K141)+IF($G141&lt;&gt;0,($I141/$G141)*AM141,0)*(1-$K141)</f>
        <v>0</v>
      </c>
      <c r="AP141" s="1118">
        <f>VLOOKUP($E141,AM$442:AP$453,4,FALSE)*AM141*($K141)+(AM141-AN141-AO141)*(1-$K141)</f>
        <v>0</v>
      </c>
      <c r="AQ141" s="1119"/>
      <c r="AU141" s="1117">
        <f>$G141</f>
        <v>0</v>
      </c>
      <c r="AV141" s="1118">
        <f>VLOOKUP($E141,AU$442:AX$453,2,FALSE)*AU141*($K141)+IF($G141&lt;&gt;0,($H141/$G141)*AU141,0)*(1-$K141)</f>
        <v>0</v>
      </c>
      <c r="AW141" s="1118">
        <f>VLOOKUP($E141,AU$442:AX$453,3,FALSE)*AU141*($K141)+IF($G141&lt;&gt;0,($I141/$G141)*AU141,0)*(1-$K141)</f>
        <v>0</v>
      </c>
      <c r="AX141" s="1118">
        <f>VLOOKUP($E141,AU$442:AX$453,4,FALSE)*AU141*($K141)+(AU141-AV141-AW141)*(1-$K141)</f>
        <v>0</v>
      </c>
      <c r="AY141" s="1119"/>
      <c r="BC141" s="1117">
        <f>$G141</f>
        <v>0</v>
      </c>
      <c r="BD141" s="1118">
        <f>VLOOKUP($E141,BC$442:BF$453,2,FALSE)*BC141*($K141)+IF($G141&lt;&gt;0,($H141/$G141)*BC141,0)*(1-$K141)</f>
        <v>0</v>
      </c>
      <c r="BE141" s="1118">
        <f>VLOOKUP($E141,BC$442:BF$453,3,FALSE)*BC141*($K141)+IF($G141&lt;&gt;0,($I141/$G141)*BC141,0)*(1-$K141)</f>
        <v>0</v>
      </c>
      <c r="BF141" s="1118">
        <f>VLOOKUP($E141,BC$442:BF$453,4,FALSE)*BC141*($K141)+(BC141-BD141-BE141)*(1-$K141)</f>
        <v>0</v>
      </c>
      <c r="BG141" s="1119"/>
      <c r="BK141" s="1117">
        <f>$G141</f>
        <v>0</v>
      </c>
      <c r="BL141" s="1118">
        <f>VLOOKUP($E141,BK$442:BN$453,2,FALSE)*BK141*($K141)+IF($G141&lt;&gt;0,($H141/$G141)*BK141,0)*(1-$K141)</f>
        <v>0</v>
      </c>
      <c r="BM141" s="1118">
        <f>VLOOKUP($E141,BK$442:BN$453,3,FALSE)*BK141*($K141)+IF($G141&lt;&gt;0,($I141/$G141)*BK141,0)*(1-$K141)</f>
        <v>0</v>
      </c>
      <c r="BN141" s="1118">
        <f>VLOOKUP($E141,BK$442:BN$453,4,FALSE)*BK141*($K141)+(BK141-BL141-BM141)*(1-$K141)</f>
        <v>0</v>
      </c>
      <c r="BO141" s="1119"/>
      <c r="BS141" s="1117">
        <f>$G141</f>
        <v>0</v>
      </c>
      <c r="BT141" s="1118">
        <f>VLOOKUP($E141,BS$442:BV$453,2,FALSE)*BS141*($K141)+IF($G141&lt;&gt;0,($H141/$G141)*BS141,0)*(1-$K141)</f>
        <v>0</v>
      </c>
      <c r="BU141" s="1118">
        <f>VLOOKUP($E141,BS$442:BV$453,3,FALSE)*BS141*($K141)+IF($G141&lt;&gt;0,($I141/$G141)*BS141,0)*(1-$K141)</f>
        <v>0</v>
      </c>
      <c r="BV141" s="1118">
        <f>VLOOKUP($E141,BS$442:BV$453,4,FALSE)*BS141*($K141)+(BS141-BT141-BU141)*(1-$K141)</f>
        <v>0</v>
      </c>
      <c r="BW141" s="1119"/>
      <c r="CA141" s="1117">
        <f>$G141</f>
        <v>0</v>
      </c>
      <c r="CB141" s="1118">
        <f>VLOOKUP($E141,CA$442:CD$453,2,FALSE)*CA141*($K141)+IF($G141&lt;&gt;0,($H141/$G141)*CA141,0)*(1-$K141)</f>
        <v>0</v>
      </c>
      <c r="CC141" s="1118">
        <f>VLOOKUP($E141,CA$442:CD$453,3,FALSE)*CA141*($K141)+IF($G141&lt;&gt;0,($I141/$G141)*CA141,0)*(1-$K141)</f>
        <v>0</v>
      </c>
      <c r="CD141" s="1118">
        <f>VLOOKUP($E141,CA$442:CD$453,4,FALSE)*CA141*($K141)+(CA141-CB141-CC141)*(1-$K141)</f>
        <v>0</v>
      </c>
      <c r="CE141" s="1119"/>
      <c r="CI141" s="1117">
        <f>$G141</f>
        <v>0</v>
      </c>
      <c r="CJ141" s="1118">
        <f>VLOOKUP($E141,CI$442:CL$453,2,FALSE)*CI141*($K141)+IF($G141&lt;&gt;0,($H141/$G141)*CI141,0)*(1-$K141)</f>
        <v>0</v>
      </c>
      <c r="CK141" s="1118">
        <f>VLOOKUP($E141,CI$442:CL$453,3,FALSE)*CI141*($K141)+IF($G141&lt;&gt;0,($I141/$G141)*CI141,0)*(1-$K141)</f>
        <v>0</v>
      </c>
      <c r="CL141" s="1118">
        <f>VLOOKUP($E141,CI$442:CL$453,4,FALSE)*CI141*($K141)+(CI141-CJ141-CK141)*(1-$K141)</f>
        <v>0</v>
      </c>
      <c r="CM141" s="1119"/>
      <c r="CQ141" s="1117">
        <f>$G141</f>
        <v>0</v>
      </c>
      <c r="CR141" s="1118">
        <f>VLOOKUP($E141,CQ$442:CT$453,2,FALSE)*CQ141*($K141)+IF($G141&lt;&gt;0,($H141/$G141)*CQ141,0)*(1-$K141)</f>
        <v>0</v>
      </c>
      <c r="CS141" s="1118">
        <f>VLOOKUP($E141,CQ$442:CT$453,3,FALSE)*CQ141*($K141)+IF($G141&lt;&gt;0,($I141/$G141)*CQ141,0)*(1-$K141)</f>
        <v>0</v>
      </c>
      <c r="CT141" s="1118">
        <f>VLOOKUP($E141,CQ$442:CT$453,4,FALSE)*CQ141*($K141)+(CQ141-CR141-CS141)*(1-$K141)</f>
        <v>0</v>
      </c>
      <c r="CU141" s="1119"/>
      <c r="CY141" s="1117">
        <f>$G141</f>
        <v>0</v>
      </c>
      <c r="CZ141" s="1118">
        <f>VLOOKUP($E141,CY$442:DB$453,2,FALSE)*CY141*($K141)+IF($G141&lt;&gt;0,($H141/$G141)*CY141,0)*(1-$K141)</f>
        <v>0</v>
      </c>
      <c r="DA141" s="1118">
        <f>VLOOKUP($E141,CY$442:DB$453,3,FALSE)*CY141*($K141)+IF($G141&lt;&gt;0,($I141/$G141)*CY141,0)*(1-$K141)</f>
        <v>0</v>
      </c>
      <c r="DB141" s="1118">
        <f>VLOOKUP($E141,CY$442:DB$453,4,FALSE)*CY141*($K141)+(CY141-CZ141-DA141)*(1-$K141)</f>
        <v>0</v>
      </c>
      <c r="DC141" s="1119"/>
      <c r="DG141" s="1117">
        <f>$G141</f>
        <v>0</v>
      </c>
      <c r="DH141" s="1118">
        <f>VLOOKUP($E141,DG$442:DJ$453,2,FALSE)*DG141*($K141)+IF($G141&lt;&gt;0,($H141/$G141)*DG141,0)*(1-$K141)</f>
        <v>0</v>
      </c>
      <c r="DI141" s="1118">
        <f>VLOOKUP($E141,DG$442:DJ$453,3,FALSE)*DG141*($K141)+IF($G141&lt;&gt;0,($I141/$G141)*DG141,0)*(1-$K141)</f>
        <v>0</v>
      </c>
      <c r="DJ141" s="1118">
        <f>VLOOKUP($E141,DG$442:DJ$453,4,FALSE)*DG141*($K141)+(DG141-DH141-DI141)*(1-$K141)</f>
        <v>0</v>
      </c>
      <c r="DK141" s="1119"/>
      <c r="DO141" s="1117">
        <f>$G141</f>
        <v>0</v>
      </c>
      <c r="DP141" s="1118">
        <f>VLOOKUP($E141,DO$442:DR$453,2,FALSE)*DO141*($K141)+IF($G141&lt;&gt;0,($H141/$G141)*DO141,0)*(1-$K141)</f>
        <v>0</v>
      </c>
      <c r="DQ141" s="1118">
        <f>VLOOKUP($E141,DO$442:DR$453,3,FALSE)*DO141*($K141)+IF($G141&lt;&gt;0,($I141/$G141)*DO141,0)*(1-$K141)</f>
        <v>0</v>
      </c>
      <c r="DR141" s="1118">
        <f>VLOOKUP($E141,DO$442:DR$453,4,FALSE)*DO141*($K141)+(DO141-DP141-DQ141)*(1-$K141)</f>
        <v>0</v>
      </c>
      <c r="DS141" s="1119"/>
      <c r="DW141" s="1117">
        <f>$G141</f>
        <v>0</v>
      </c>
      <c r="DX141" s="1118">
        <f>VLOOKUP($E141,DW$442:DZ$453,2,FALSE)*DW141*($K141)+IF($G141&lt;&gt;0,($H141/$G141)*DW141,0)*(1-$K141)</f>
        <v>0</v>
      </c>
      <c r="DY141" s="1118">
        <f>VLOOKUP($E141,DW$442:DZ$453,3,FALSE)*DW141*($K141)+IF($G141&lt;&gt;0,($I141/$G141)*DW141,0)*(1-$K141)</f>
        <v>0</v>
      </c>
      <c r="DZ141" s="1118">
        <f>VLOOKUP($E141,DW$442:DZ$453,4,FALSE)*DW141*($K141)+(DW141-DX141-DY141)*(1-$K141)</f>
        <v>0</v>
      </c>
      <c r="EA141" s="1119"/>
      <c r="EE141" s="1117">
        <f>$G141</f>
        <v>0</v>
      </c>
      <c r="EF141" s="1118">
        <f>VLOOKUP($E141,EE$442:EH$453,2,FALSE)*EE141*($K141)+IF($G141&lt;&gt;0,($H141/$G141)*EE141,0)*(1-$K141)</f>
        <v>0</v>
      </c>
      <c r="EG141" s="1118">
        <f>VLOOKUP($E141,EE$442:EH$453,3,FALSE)*EE141*($K141)+IF($G141&lt;&gt;0,($I141/$G141)*EE141,0)*(1-$K141)</f>
        <v>0</v>
      </c>
      <c r="EH141" s="1118">
        <f>VLOOKUP($E141,EE$442:EH$453,4,FALSE)*EE141*($K141)+(EE141-EF141-EG141)*(1-$K141)</f>
        <v>0</v>
      </c>
      <c r="EI141" s="1119"/>
      <c r="EM141" s="1117">
        <f>$G141</f>
        <v>0</v>
      </c>
      <c r="EN141" s="1118">
        <f>VLOOKUP($E141,EM$442:EP$453,2,FALSE)*EM141*($K141)+IF($G141&lt;&gt;0,($H141/$G141)*EM141,0)*(1-$K141)</f>
        <v>0</v>
      </c>
      <c r="EO141" s="1118">
        <f>VLOOKUP($E141,EM$442:EP$453,3,FALSE)*EM141*($K141)+IF($G141&lt;&gt;0,($I141/$G141)*EM141,0)*(1-$K141)</f>
        <v>0</v>
      </c>
      <c r="EP141" s="1118">
        <f>VLOOKUP($E141,EM$442:EP$453,4,FALSE)*EM141*($K141)+(EM141-EN141-EO141)*(1-$K141)</f>
        <v>0</v>
      </c>
      <c r="EQ141" s="1119"/>
      <c r="EU141" s="1117">
        <f>$G141</f>
        <v>0</v>
      </c>
      <c r="EV141" s="1118">
        <f>VLOOKUP($E141,EU$442:EX$453,2,FALSE)*EU141*($K141)+IF($G141&lt;&gt;0,($H141/$G141)*EU141,0)*(1-$K141)</f>
        <v>0</v>
      </c>
      <c r="EW141" s="1118">
        <f>VLOOKUP($E141,EU$442:EX$453,3,FALSE)*EU141*($K141)+IF($G141&lt;&gt;0,($I141/$G141)*EU141,0)*(1-$K141)</f>
        <v>0</v>
      </c>
      <c r="EX141" s="1118">
        <f>VLOOKUP($E141,EU$442:EX$453,4,FALSE)*EU141*($K141)+(EU141-EV141-EW141)*(1-$K141)</f>
        <v>0</v>
      </c>
      <c r="EY141" s="1119"/>
      <c r="FC141" s="1117">
        <f>$G141</f>
        <v>0</v>
      </c>
      <c r="FD141" s="1118">
        <f>VLOOKUP($E141,FC$442:FF$453,2,FALSE)*FC141*($K141)+IF($G141&lt;&gt;0,($H141/$G141)*FC141,0)*(1-$K141)</f>
        <v>0</v>
      </c>
      <c r="FE141" s="1118">
        <f>VLOOKUP($E141,FC$442:FF$453,3,FALSE)*FC141*($K141)+IF($G141&lt;&gt;0,($I141/$G141)*FC141,0)*(1-$K141)</f>
        <v>0</v>
      </c>
      <c r="FF141" s="1118">
        <f>VLOOKUP($E141,FC$442:FF$453,4,FALSE)*FC141*($K141)+(FC141-FD141-FE141)*(1-$K141)</f>
        <v>0</v>
      </c>
      <c r="FG141" s="1119"/>
      <c r="FK141" s="1117">
        <f>$G141</f>
        <v>0</v>
      </c>
      <c r="FL141" s="1118">
        <f>VLOOKUP($E141,FK$442:FN$453,2,FALSE)*FK141*($K141)+IF($G141&lt;&gt;0,($H141/$G141)*FK141,0)*(1-$K141)</f>
        <v>0</v>
      </c>
      <c r="FM141" s="1118">
        <f>VLOOKUP($E141,FK$442:FN$453,3,FALSE)*FK141*($K141)+IF($G141&lt;&gt;0,($I141/$G141)*FK141,0)*(1-$K141)</f>
        <v>0</v>
      </c>
      <c r="FN141" s="1118">
        <f>VLOOKUP($E141,FK$442:FN$453,4,FALSE)*FK141*($K141)+(FK141-FL141-FM141)*(1-$K141)</f>
        <v>0</v>
      </c>
      <c r="FO141" s="1119"/>
    </row>
    <row r="142" spans="1:171" x14ac:dyDescent="0.25">
      <c r="A142" s="945"/>
      <c r="B142" s="970" t="s">
        <v>626</v>
      </c>
      <c r="C142" s="889" t="s">
        <v>348</v>
      </c>
      <c r="D142" s="889">
        <v>245</v>
      </c>
      <c r="E142" s="182" t="str">
        <f>'Sch 1- Rate Base '!E142</f>
        <v>DIST</v>
      </c>
      <c r="F142" s="890"/>
      <c r="G142" s="182">
        <f>'Sch 1- Rate Base '!G142</f>
        <v>0</v>
      </c>
      <c r="H142" s="182">
        <f>'Sch 1- Rate Base '!H142</f>
        <v>0</v>
      </c>
      <c r="I142" s="182">
        <f>'Sch 1- Rate Base '!I142</f>
        <v>0</v>
      </c>
      <c r="J142" s="183">
        <f>'Sch 1- Rate Base '!J142</f>
        <v>0</v>
      </c>
      <c r="K142" s="904">
        <f>IF($E142="DIRECT",0,1)</f>
        <v>1</v>
      </c>
      <c r="O142" s="1117">
        <f>$G142</f>
        <v>0</v>
      </c>
      <c r="P142" s="1118">
        <f>VLOOKUP($E142,O$442:R$453,2,FALSE)*O142*($K142)+IF($G142&lt;&gt;0,($H142/$G142)*O142,0)*(1-$K142)</f>
        <v>0</v>
      </c>
      <c r="Q142" s="1118">
        <f>VLOOKUP($E142,O$442:R$453,3,FALSE)*O142*($K142)+IF($G142&lt;&gt;0,($I142/$G142)*O142,0)*(1-$K142)</f>
        <v>0</v>
      </c>
      <c r="R142" s="1118">
        <f>VLOOKUP($E142,O$442:R$453,4,FALSE)*O142*($K142)+(O142-P142-Q142)*(1-$K142)</f>
        <v>0</v>
      </c>
      <c r="S142" s="1119"/>
      <c r="W142" s="1117">
        <f>$G142</f>
        <v>0</v>
      </c>
      <c r="X142" s="1118">
        <f>VLOOKUP($E142,W$442:Z$453,2,FALSE)*W142*($K142)+IF($G142&lt;&gt;0,($H142/$G142)*W142,0)*(1-$K142)</f>
        <v>0</v>
      </c>
      <c r="Y142" s="1118">
        <f>VLOOKUP($E142,W$442:Z$453,3,FALSE)*W142*($K142)+IF($G142&lt;&gt;0,($I142/$G142)*W142,0)*(1-$K142)</f>
        <v>0</v>
      </c>
      <c r="Z142" s="1118">
        <f>VLOOKUP($E142,W$442:Z$453,4,FALSE)*W142*($K142)+(W142-X142-Y142)*(1-$K142)</f>
        <v>0</v>
      </c>
      <c r="AA142" s="1119"/>
      <c r="AE142" s="1117">
        <f>$G142</f>
        <v>0</v>
      </c>
      <c r="AF142" s="1118">
        <f>VLOOKUP($E142,AE$442:AH$453,2,FALSE)*AE142*($K142)+IF($G142&lt;&gt;0,($H142/$G142)*AE142,0)*(1-$K142)</f>
        <v>0</v>
      </c>
      <c r="AG142" s="1118">
        <f>VLOOKUP($E142,AE$442:AH$453,3,FALSE)*AE142*($K142)+IF($G142&lt;&gt;0,($I142/$G142)*AE142,0)*(1-$K142)</f>
        <v>0</v>
      </c>
      <c r="AH142" s="1118">
        <f>VLOOKUP($E142,AE$442:AH$453,4,FALSE)*AE142*($K142)+(AE142-AF142-AG142)*(1-$K142)</f>
        <v>0</v>
      </c>
      <c r="AI142" s="1119"/>
      <c r="AM142" s="1117">
        <f>$G142</f>
        <v>0</v>
      </c>
      <c r="AN142" s="1118">
        <f>VLOOKUP($E142,AM$442:AP$453,2,FALSE)*AM142*($K142)+IF($G142&lt;&gt;0,($H142/$G142)*AM142,0)*(1-$K142)</f>
        <v>0</v>
      </c>
      <c r="AO142" s="1118">
        <f>VLOOKUP($E142,AM$442:AP$453,3,FALSE)*AM142*($K142)+IF($G142&lt;&gt;0,($I142/$G142)*AM142,0)*(1-$K142)</f>
        <v>0</v>
      </c>
      <c r="AP142" s="1118">
        <f>VLOOKUP($E142,AM$442:AP$453,4,FALSE)*AM142*($K142)+(AM142-AN142-AO142)*(1-$K142)</f>
        <v>0</v>
      </c>
      <c r="AQ142" s="1119"/>
      <c r="AU142" s="1117">
        <f>$G142</f>
        <v>0</v>
      </c>
      <c r="AV142" s="1118">
        <f>VLOOKUP($E142,AU$442:AX$453,2,FALSE)*AU142*($K142)+IF($G142&lt;&gt;0,($H142/$G142)*AU142,0)*(1-$K142)</f>
        <v>0</v>
      </c>
      <c r="AW142" s="1118">
        <f>VLOOKUP($E142,AU$442:AX$453,3,FALSE)*AU142*($K142)+IF($G142&lt;&gt;0,($I142/$G142)*AU142,0)*(1-$K142)</f>
        <v>0</v>
      </c>
      <c r="AX142" s="1118">
        <f>VLOOKUP($E142,AU$442:AX$453,4,FALSE)*AU142*($K142)+(AU142-AV142-AW142)*(1-$K142)</f>
        <v>0</v>
      </c>
      <c r="AY142" s="1119"/>
      <c r="BC142" s="1117">
        <f>$G142</f>
        <v>0</v>
      </c>
      <c r="BD142" s="1118">
        <f>VLOOKUP($E142,BC$442:BF$453,2,FALSE)*BC142*($K142)+IF($G142&lt;&gt;0,($H142/$G142)*BC142,0)*(1-$K142)</f>
        <v>0</v>
      </c>
      <c r="BE142" s="1118">
        <f>VLOOKUP($E142,BC$442:BF$453,3,FALSE)*BC142*($K142)+IF($G142&lt;&gt;0,($I142/$G142)*BC142,0)*(1-$K142)</f>
        <v>0</v>
      </c>
      <c r="BF142" s="1118">
        <f>VLOOKUP($E142,BC$442:BF$453,4,FALSE)*BC142*($K142)+(BC142-BD142-BE142)*(1-$K142)</f>
        <v>0</v>
      </c>
      <c r="BG142" s="1119"/>
      <c r="BK142" s="1117">
        <f>$G142</f>
        <v>0</v>
      </c>
      <c r="BL142" s="1118">
        <f>VLOOKUP($E142,BK$442:BN$453,2,FALSE)*BK142*($K142)+IF($G142&lt;&gt;0,($H142/$G142)*BK142,0)*(1-$K142)</f>
        <v>0</v>
      </c>
      <c r="BM142" s="1118">
        <f>VLOOKUP($E142,BK$442:BN$453,3,FALSE)*BK142*($K142)+IF($G142&lt;&gt;0,($I142/$G142)*BK142,0)*(1-$K142)</f>
        <v>0</v>
      </c>
      <c r="BN142" s="1118">
        <f>VLOOKUP($E142,BK$442:BN$453,4,FALSE)*BK142*($K142)+(BK142-BL142-BM142)*(1-$K142)</f>
        <v>0</v>
      </c>
      <c r="BO142" s="1119"/>
      <c r="BS142" s="1117">
        <f>$G142</f>
        <v>0</v>
      </c>
      <c r="BT142" s="1118">
        <f>VLOOKUP($E142,BS$442:BV$453,2,FALSE)*BS142*($K142)+IF($G142&lt;&gt;0,($H142/$G142)*BS142,0)*(1-$K142)</f>
        <v>0</v>
      </c>
      <c r="BU142" s="1118">
        <f>VLOOKUP($E142,BS$442:BV$453,3,FALSE)*BS142*($K142)+IF($G142&lt;&gt;0,($I142/$G142)*BS142,0)*(1-$K142)</f>
        <v>0</v>
      </c>
      <c r="BV142" s="1118">
        <f>VLOOKUP($E142,BS$442:BV$453,4,FALSE)*BS142*($K142)+(BS142-BT142-BU142)*(1-$K142)</f>
        <v>0</v>
      </c>
      <c r="BW142" s="1119"/>
      <c r="CA142" s="1117">
        <f>$G142</f>
        <v>0</v>
      </c>
      <c r="CB142" s="1118">
        <f>VLOOKUP($E142,CA$442:CD$453,2,FALSE)*CA142*($K142)+IF($G142&lt;&gt;0,($H142/$G142)*CA142,0)*(1-$K142)</f>
        <v>0</v>
      </c>
      <c r="CC142" s="1118">
        <f>VLOOKUP($E142,CA$442:CD$453,3,FALSE)*CA142*($K142)+IF($G142&lt;&gt;0,($I142/$G142)*CA142,0)*(1-$K142)</f>
        <v>0</v>
      </c>
      <c r="CD142" s="1118">
        <f>VLOOKUP($E142,CA$442:CD$453,4,FALSE)*CA142*($K142)+(CA142-CB142-CC142)*(1-$K142)</f>
        <v>0</v>
      </c>
      <c r="CE142" s="1119"/>
      <c r="CI142" s="1117">
        <f>$G142</f>
        <v>0</v>
      </c>
      <c r="CJ142" s="1118">
        <f>VLOOKUP($E142,CI$442:CL$453,2,FALSE)*CI142*($K142)+IF($G142&lt;&gt;0,($H142/$G142)*CI142,0)*(1-$K142)</f>
        <v>0</v>
      </c>
      <c r="CK142" s="1118">
        <f>VLOOKUP($E142,CI$442:CL$453,3,FALSE)*CI142*($K142)+IF($G142&lt;&gt;0,($I142/$G142)*CI142,0)*(1-$K142)</f>
        <v>0</v>
      </c>
      <c r="CL142" s="1118">
        <f>VLOOKUP($E142,CI$442:CL$453,4,FALSE)*CI142*($K142)+(CI142-CJ142-CK142)*(1-$K142)</f>
        <v>0</v>
      </c>
      <c r="CM142" s="1119"/>
      <c r="CQ142" s="1117">
        <f>$G142</f>
        <v>0</v>
      </c>
      <c r="CR142" s="1118">
        <f>VLOOKUP($E142,CQ$442:CT$453,2,FALSE)*CQ142*($K142)+IF($G142&lt;&gt;0,($H142/$G142)*CQ142,0)*(1-$K142)</f>
        <v>0</v>
      </c>
      <c r="CS142" s="1118">
        <f>VLOOKUP($E142,CQ$442:CT$453,3,FALSE)*CQ142*($K142)+IF($G142&lt;&gt;0,($I142/$G142)*CQ142,0)*(1-$K142)</f>
        <v>0</v>
      </c>
      <c r="CT142" s="1118">
        <f>VLOOKUP($E142,CQ$442:CT$453,4,FALSE)*CQ142*($K142)+(CQ142-CR142-CS142)*(1-$K142)</f>
        <v>0</v>
      </c>
      <c r="CU142" s="1119"/>
      <c r="CY142" s="1117">
        <f>$G142</f>
        <v>0</v>
      </c>
      <c r="CZ142" s="1118">
        <f>VLOOKUP($E142,CY$442:DB$453,2,FALSE)*CY142*($K142)+IF($G142&lt;&gt;0,($H142/$G142)*CY142,0)*(1-$K142)</f>
        <v>0</v>
      </c>
      <c r="DA142" s="1118">
        <f>VLOOKUP($E142,CY$442:DB$453,3,FALSE)*CY142*($K142)+IF($G142&lt;&gt;0,($I142/$G142)*CY142,0)*(1-$K142)</f>
        <v>0</v>
      </c>
      <c r="DB142" s="1118">
        <f>VLOOKUP($E142,CY$442:DB$453,4,FALSE)*CY142*($K142)+(CY142-CZ142-DA142)*(1-$K142)</f>
        <v>0</v>
      </c>
      <c r="DC142" s="1119"/>
      <c r="DG142" s="1117">
        <f>$G142</f>
        <v>0</v>
      </c>
      <c r="DH142" s="1118">
        <f>VLOOKUP($E142,DG$442:DJ$453,2,FALSE)*DG142*($K142)+IF($G142&lt;&gt;0,($H142/$G142)*DG142,0)*(1-$K142)</f>
        <v>0</v>
      </c>
      <c r="DI142" s="1118">
        <f>VLOOKUP($E142,DG$442:DJ$453,3,FALSE)*DG142*($K142)+IF($G142&lt;&gt;0,($I142/$G142)*DG142,0)*(1-$K142)</f>
        <v>0</v>
      </c>
      <c r="DJ142" s="1118">
        <f>VLOOKUP($E142,DG$442:DJ$453,4,FALSE)*DG142*($K142)+(DG142-DH142-DI142)*(1-$K142)</f>
        <v>0</v>
      </c>
      <c r="DK142" s="1119"/>
      <c r="DO142" s="1117">
        <f>$G142</f>
        <v>0</v>
      </c>
      <c r="DP142" s="1118">
        <f>VLOOKUP($E142,DO$442:DR$453,2,FALSE)*DO142*($K142)+IF($G142&lt;&gt;0,($H142/$G142)*DO142,0)*(1-$K142)</f>
        <v>0</v>
      </c>
      <c r="DQ142" s="1118">
        <f>VLOOKUP($E142,DO$442:DR$453,3,FALSE)*DO142*($K142)+IF($G142&lt;&gt;0,($I142/$G142)*DO142,0)*(1-$K142)</f>
        <v>0</v>
      </c>
      <c r="DR142" s="1118">
        <f>VLOOKUP($E142,DO$442:DR$453,4,FALSE)*DO142*($K142)+(DO142-DP142-DQ142)*(1-$K142)</f>
        <v>0</v>
      </c>
      <c r="DS142" s="1119"/>
      <c r="DW142" s="1117">
        <f>$G142</f>
        <v>0</v>
      </c>
      <c r="DX142" s="1118">
        <f>VLOOKUP($E142,DW$442:DZ$453,2,FALSE)*DW142*($K142)+IF($G142&lt;&gt;0,($H142/$G142)*DW142,0)*(1-$K142)</f>
        <v>0</v>
      </c>
      <c r="DY142" s="1118">
        <f>VLOOKUP($E142,DW$442:DZ$453,3,FALSE)*DW142*($K142)+IF($G142&lt;&gt;0,($I142/$G142)*DW142,0)*(1-$K142)</f>
        <v>0</v>
      </c>
      <c r="DZ142" s="1118">
        <f>VLOOKUP($E142,DW$442:DZ$453,4,FALSE)*DW142*($K142)+(DW142-DX142-DY142)*(1-$K142)</f>
        <v>0</v>
      </c>
      <c r="EA142" s="1119"/>
      <c r="EE142" s="1117">
        <f>$G142</f>
        <v>0</v>
      </c>
      <c r="EF142" s="1118">
        <f>VLOOKUP($E142,EE$442:EH$453,2,FALSE)*EE142*($K142)+IF($G142&lt;&gt;0,($H142/$G142)*EE142,0)*(1-$K142)</f>
        <v>0</v>
      </c>
      <c r="EG142" s="1118">
        <f>VLOOKUP($E142,EE$442:EH$453,3,FALSE)*EE142*($K142)+IF($G142&lt;&gt;0,($I142/$G142)*EE142,0)*(1-$K142)</f>
        <v>0</v>
      </c>
      <c r="EH142" s="1118">
        <f>VLOOKUP($E142,EE$442:EH$453,4,FALSE)*EE142*($K142)+(EE142-EF142-EG142)*(1-$K142)</f>
        <v>0</v>
      </c>
      <c r="EI142" s="1119"/>
      <c r="EM142" s="1117">
        <f>$G142</f>
        <v>0</v>
      </c>
      <c r="EN142" s="1118">
        <f>VLOOKUP($E142,EM$442:EP$453,2,FALSE)*EM142*($K142)+IF($G142&lt;&gt;0,($H142/$G142)*EM142,0)*(1-$K142)</f>
        <v>0</v>
      </c>
      <c r="EO142" s="1118">
        <f>VLOOKUP($E142,EM$442:EP$453,3,FALSE)*EM142*($K142)+IF($G142&lt;&gt;0,($I142/$G142)*EM142,0)*(1-$K142)</f>
        <v>0</v>
      </c>
      <c r="EP142" s="1118">
        <f>VLOOKUP($E142,EM$442:EP$453,4,FALSE)*EM142*($K142)+(EM142-EN142-EO142)*(1-$K142)</f>
        <v>0</v>
      </c>
      <c r="EQ142" s="1119"/>
      <c r="EU142" s="1117">
        <f>$G142</f>
        <v>0</v>
      </c>
      <c r="EV142" s="1118">
        <f>VLOOKUP($E142,EU$442:EX$453,2,FALSE)*EU142*($K142)+IF($G142&lt;&gt;0,($H142/$G142)*EU142,0)*(1-$K142)</f>
        <v>0</v>
      </c>
      <c r="EW142" s="1118">
        <f>VLOOKUP($E142,EU$442:EX$453,3,FALSE)*EU142*($K142)+IF($G142&lt;&gt;0,($I142/$G142)*EU142,0)*(1-$K142)</f>
        <v>0</v>
      </c>
      <c r="EX142" s="1118">
        <f>VLOOKUP($E142,EU$442:EX$453,4,FALSE)*EU142*($K142)+(EU142-EV142-EW142)*(1-$K142)</f>
        <v>0</v>
      </c>
      <c r="EY142" s="1119"/>
      <c r="FC142" s="1117">
        <f>$G142</f>
        <v>0</v>
      </c>
      <c r="FD142" s="1118">
        <f>VLOOKUP($E142,FC$442:FF$453,2,FALSE)*FC142*($K142)+IF($G142&lt;&gt;0,($H142/$G142)*FC142,0)*(1-$K142)</f>
        <v>0</v>
      </c>
      <c r="FE142" s="1118">
        <f>VLOOKUP($E142,FC$442:FF$453,3,FALSE)*FC142*($K142)+IF($G142&lt;&gt;0,($I142/$G142)*FC142,0)*(1-$K142)</f>
        <v>0</v>
      </c>
      <c r="FF142" s="1118">
        <f>VLOOKUP($E142,FC$442:FF$453,4,FALSE)*FC142*($K142)+(FC142-FD142-FE142)*(1-$K142)</f>
        <v>0</v>
      </c>
      <c r="FG142" s="1119"/>
      <c r="FK142" s="1117">
        <f>$G142</f>
        <v>0</v>
      </c>
      <c r="FL142" s="1118">
        <f>VLOOKUP($E142,FK$442:FN$453,2,FALSE)*FK142*($K142)+IF($G142&lt;&gt;0,($H142/$G142)*FK142,0)*(1-$K142)</f>
        <v>0</v>
      </c>
      <c r="FM142" s="1118">
        <f>VLOOKUP($E142,FK$442:FN$453,3,FALSE)*FK142*($K142)+IF($G142&lt;&gt;0,($I142/$G142)*FK142,0)*(1-$K142)</f>
        <v>0</v>
      </c>
      <c r="FN142" s="1118">
        <f>VLOOKUP($E142,FK$442:FN$453,4,FALSE)*FK142*($K142)+(FK142-FL142-FM142)*(1-$K142)</f>
        <v>0</v>
      </c>
      <c r="FO142" s="1119"/>
    </row>
    <row r="143" spans="1:171" x14ac:dyDescent="0.25">
      <c r="A143" s="945"/>
      <c r="B143" s="848" t="s">
        <v>104</v>
      </c>
      <c r="C143" s="915"/>
      <c r="D143" s="916"/>
      <c r="E143" s="916"/>
      <c r="F143" s="917"/>
      <c r="G143" s="924">
        <f>G139-G140+G141-G142</f>
        <v>25508971.207164973</v>
      </c>
      <c r="H143" s="924">
        <f>H139-H140+H141-H142</f>
        <v>0</v>
      </c>
      <c r="I143" s="924">
        <f>I139-I140+I141-I142</f>
        <v>0</v>
      </c>
      <c r="J143" s="1391">
        <f>J139-J140+J141-J142</f>
        <v>25508971.207164973</v>
      </c>
      <c r="K143" s="904"/>
      <c r="O143" s="1133">
        <f>O139-O140+O141-O142</f>
        <v>25508971.207164973</v>
      </c>
      <c r="P143" s="1133">
        <f>P139-P140+P141-P142</f>
        <v>0</v>
      </c>
      <c r="Q143" s="1133">
        <f>Q139-Q140+Q141-Q142</f>
        <v>0</v>
      </c>
      <c r="R143" s="1133">
        <f>R139-R140+R141-R142</f>
        <v>25508971.207164973</v>
      </c>
      <c r="S143" s="1119"/>
      <c r="W143" s="1133">
        <f>W139-W140+W141-W142</f>
        <v>25508971.207164973</v>
      </c>
      <c r="X143" s="1133">
        <f>X139-X140+X141-X142</f>
        <v>0</v>
      </c>
      <c r="Y143" s="1133">
        <f>Y139-Y140+Y141-Y142</f>
        <v>0</v>
      </c>
      <c r="Z143" s="1133">
        <f>Z139-Z140+Z141-Z142</f>
        <v>25508971.207164973</v>
      </c>
      <c r="AA143" s="1119"/>
      <c r="AE143" s="1133">
        <f>AE139-AE140+AE141-AE142</f>
        <v>25508971.207164973</v>
      </c>
      <c r="AF143" s="1133">
        <f>AF139-AF140+AF141-AF142</f>
        <v>0</v>
      </c>
      <c r="AG143" s="1133">
        <f>AG139-AG140+AG141-AG142</f>
        <v>0</v>
      </c>
      <c r="AH143" s="1133">
        <f>AH139-AH140+AH141-AH142</f>
        <v>25508971.207164973</v>
      </c>
      <c r="AI143" s="1119"/>
      <c r="AM143" s="1133">
        <f>AM139-AM140+AM141-AM142</f>
        <v>25508971.207164973</v>
      </c>
      <c r="AN143" s="1133">
        <f>AN139-AN140+AN141-AN142</f>
        <v>0</v>
      </c>
      <c r="AO143" s="1133">
        <f>AO139-AO140+AO141-AO142</f>
        <v>0</v>
      </c>
      <c r="AP143" s="1133">
        <f>AP139-AP140+AP141-AP142</f>
        <v>25508971.207164973</v>
      </c>
      <c r="AQ143" s="1119"/>
      <c r="AU143" s="1133">
        <f>AU139-AU140+AU141-AU142</f>
        <v>25508971.207164973</v>
      </c>
      <c r="AV143" s="1133">
        <f>AV139-AV140+AV141-AV142</f>
        <v>0</v>
      </c>
      <c r="AW143" s="1133">
        <f>AW139-AW140+AW141-AW142</f>
        <v>0</v>
      </c>
      <c r="AX143" s="1133">
        <f>AX139-AX140+AX141-AX142</f>
        <v>25508971.207164973</v>
      </c>
      <c r="AY143" s="1119"/>
      <c r="BC143" s="1133">
        <f>BC139-BC140+BC141-BC142</f>
        <v>25508971.207164973</v>
      </c>
      <c r="BD143" s="1133">
        <f>BD139-BD140+BD141-BD142</f>
        <v>0</v>
      </c>
      <c r="BE143" s="1133">
        <f>BE139-BE140+BE141-BE142</f>
        <v>0</v>
      </c>
      <c r="BF143" s="1133">
        <f>BF139-BF140+BF141-BF142</f>
        <v>25508971.207164973</v>
      </c>
      <c r="BG143" s="1119"/>
      <c r="BK143" s="1133">
        <f>BK139-BK140+BK141-BK142</f>
        <v>25508971.207164973</v>
      </c>
      <c r="BL143" s="1133">
        <f>BL139-BL140+BL141-BL142</f>
        <v>0</v>
      </c>
      <c r="BM143" s="1133">
        <f>BM139-BM140+BM141-BM142</f>
        <v>0</v>
      </c>
      <c r="BN143" s="1133">
        <f>BN139-BN140+BN141-BN142</f>
        <v>25508971.207164973</v>
      </c>
      <c r="BO143" s="1119"/>
      <c r="BS143" s="1133">
        <f>BS139-BS140+BS141-BS142</f>
        <v>25508971.207164973</v>
      </c>
      <c r="BT143" s="1133">
        <f>BT139-BT140+BT141-BT142</f>
        <v>0</v>
      </c>
      <c r="BU143" s="1133">
        <f>BU139-BU140+BU141-BU142</f>
        <v>0</v>
      </c>
      <c r="BV143" s="1133">
        <f>BV139-BV140+BV141-BV142</f>
        <v>25508971.207164973</v>
      </c>
      <c r="BW143" s="1119"/>
      <c r="CA143" s="1133">
        <f>CA139-CA140+CA141-CA142</f>
        <v>25508971.207164973</v>
      </c>
      <c r="CB143" s="1133">
        <f>CB139-CB140+CB141-CB142</f>
        <v>0</v>
      </c>
      <c r="CC143" s="1133">
        <f>CC139-CC140+CC141-CC142</f>
        <v>0</v>
      </c>
      <c r="CD143" s="1133">
        <f>CD139-CD140+CD141-CD142</f>
        <v>25508971.207164973</v>
      </c>
      <c r="CE143" s="1119"/>
      <c r="CI143" s="1133">
        <f>CI139-CI140+CI141-CI142</f>
        <v>25508971.207164973</v>
      </c>
      <c r="CJ143" s="1133">
        <f>CJ139-CJ140+CJ141-CJ142</f>
        <v>0</v>
      </c>
      <c r="CK143" s="1133">
        <f>CK139-CK140+CK141-CK142</f>
        <v>0</v>
      </c>
      <c r="CL143" s="1133">
        <f>CL139-CL140+CL141-CL142</f>
        <v>25508971.207164973</v>
      </c>
      <c r="CM143" s="1119"/>
      <c r="CQ143" s="1133">
        <f>CQ139-CQ140+CQ141-CQ142</f>
        <v>25508971.207164973</v>
      </c>
      <c r="CR143" s="1133">
        <f>CR139-CR140+CR141-CR142</f>
        <v>0</v>
      </c>
      <c r="CS143" s="1133">
        <f>CS139-CS140+CS141-CS142</f>
        <v>0</v>
      </c>
      <c r="CT143" s="1133">
        <f>CT139-CT140+CT141-CT142</f>
        <v>25508971.207164973</v>
      </c>
      <c r="CU143" s="1119"/>
      <c r="CY143" s="1133">
        <f>CY139-CY140+CY141-CY142</f>
        <v>25508971.207164973</v>
      </c>
      <c r="CZ143" s="1133">
        <f>CZ139-CZ140+CZ141-CZ142</f>
        <v>0</v>
      </c>
      <c r="DA143" s="1133">
        <f>DA139-DA140+DA141-DA142</f>
        <v>0</v>
      </c>
      <c r="DB143" s="1133">
        <f>DB139-DB140+DB141-DB142</f>
        <v>25508971.207164973</v>
      </c>
      <c r="DC143" s="1119"/>
      <c r="DG143" s="1133">
        <f>DG139-DG140+DG141-DG142</f>
        <v>25508971.207164973</v>
      </c>
      <c r="DH143" s="1133">
        <f>DH139-DH140+DH141-DH142</f>
        <v>0</v>
      </c>
      <c r="DI143" s="1133">
        <f>DI139-DI140+DI141-DI142</f>
        <v>0</v>
      </c>
      <c r="DJ143" s="1133">
        <f>DJ139-DJ140+DJ141-DJ142</f>
        <v>25508971.207164973</v>
      </c>
      <c r="DK143" s="1119"/>
      <c r="DO143" s="1133">
        <f>DO139-DO140+DO141-DO142</f>
        <v>25508971.207164973</v>
      </c>
      <c r="DP143" s="1133">
        <f>DP139-DP140+DP141-DP142</f>
        <v>0</v>
      </c>
      <c r="DQ143" s="1133">
        <f>DQ139-DQ140+DQ141-DQ142</f>
        <v>0</v>
      </c>
      <c r="DR143" s="1133">
        <f>DR139-DR140+DR141-DR142</f>
        <v>25508971.207164973</v>
      </c>
      <c r="DS143" s="1119"/>
      <c r="DW143" s="1133">
        <f>DW139-DW140+DW141-DW142</f>
        <v>25508971.207164973</v>
      </c>
      <c r="DX143" s="1133">
        <f>DX139-DX140+DX141-DX142</f>
        <v>0</v>
      </c>
      <c r="DY143" s="1133">
        <f>DY139-DY140+DY141-DY142</f>
        <v>0</v>
      </c>
      <c r="DZ143" s="1133">
        <f>DZ139-DZ140+DZ141-DZ142</f>
        <v>25508971.207164973</v>
      </c>
      <c r="EA143" s="1119"/>
      <c r="EE143" s="1133">
        <f>EE139-EE140+EE141-EE142</f>
        <v>25508971.207164973</v>
      </c>
      <c r="EF143" s="1133">
        <f>EF139-EF140+EF141-EF142</f>
        <v>0</v>
      </c>
      <c r="EG143" s="1133">
        <f>EG139-EG140+EG141-EG142</f>
        <v>0</v>
      </c>
      <c r="EH143" s="1133">
        <f>EH139-EH140+EH141-EH142</f>
        <v>25508971.207164973</v>
      </c>
      <c r="EI143" s="1119"/>
      <c r="EM143" s="1133">
        <f>EM139-EM140+EM141-EM142</f>
        <v>25508971.207164973</v>
      </c>
      <c r="EN143" s="1133">
        <f>EN139-EN140+EN141-EN142</f>
        <v>0</v>
      </c>
      <c r="EO143" s="1133">
        <f>EO139-EO140+EO141-EO142</f>
        <v>0</v>
      </c>
      <c r="EP143" s="1133">
        <f>EP139-EP140+EP141-EP142</f>
        <v>25508971.207164973</v>
      </c>
      <c r="EQ143" s="1119"/>
      <c r="EU143" s="1133">
        <f>EU139-EU140+EU141-EU142</f>
        <v>25508971.207164973</v>
      </c>
      <c r="EV143" s="1133">
        <f>EV139-EV140+EV141-EV142</f>
        <v>0</v>
      </c>
      <c r="EW143" s="1133">
        <f>EW139-EW140+EW141-EW142</f>
        <v>0</v>
      </c>
      <c r="EX143" s="1133">
        <f>EX139-EX140+EX141-EX142</f>
        <v>25508971.207164973</v>
      </c>
      <c r="EY143" s="1119"/>
      <c r="FC143" s="1133">
        <f>FC139-FC140+FC141-FC142</f>
        <v>25508971.207164973</v>
      </c>
      <c r="FD143" s="1133">
        <f>FD139-FD140+FD141-FD142</f>
        <v>0</v>
      </c>
      <c r="FE143" s="1133">
        <f>FE139-FE140+FE141-FE142</f>
        <v>0</v>
      </c>
      <c r="FF143" s="1133">
        <f>FF139-FF140+FF141-FF142</f>
        <v>25508971.207164973</v>
      </c>
      <c r="FG143" s="1119"/>
      <c r="FK143" s="1133">
        <f>FK139-FK140+FK141-FK142</f>
        <v>25508971.207164973</v>
      </c>
      <c r="FL143" s="1133">
        <f>FL139-FL140+FL141-FL142</f>
        <v>0</v>
      </c>
      <c r="FM143" s="1133">
        <f>FM139-FM140+FM141-FM142</f>
        <v>0</v>
      </c>
      <c r="FN143" s="1133">
        <f>FN139-FN140+FN141-FN142</f>
        <v>25508971.207164973</v>
      </c>
      <c r="FO143" s="1119"/>
    </row>
    <row r="144" spans="1:171" x14ac:dyDescent="0.25">
      <c r="A144" s="945"/>
      <c r="B144" s="848" t="s">
        <v>435</v>
      </c>
      <c r="C144" s="196"/>
      <c r="D144" s="969"/>
      <c r="E144" s="196"/>
      <c r="F144" s="196"/>
      <c r="G144" s="911"/>
      <c r="H144" s="198"/>
      <c r="I144" s="198"/>
      <c r="J144" s="200"/>
      <c r="K144" s="904"/>
      <c r="O144" s="1080"/>
      <c r="S144" s="1119"/>
      <c r="W144" s="1080"/>
      <c r="AA144" s="1119"/>
      <c r="AE144" s="1080"/>
      <c r="AI144" s="1119"/>
      <c r="AM144" s="1080"/>
      <c r="AQ144" s="1119"/>
      <c r="AU144" s="1080"/>
      <c r="AY144" s="1119"/>
      <c r="BC144" s="1080"/>
      <c r="BG144" s="1119"/>
      <c r="BK144" s="1080"/>
      <c r="BO144" s="1119"/>
      <c r="BS144" s="1080"/>
      <c r="BW144" s="1119"/>
      <c r="CA144" s="1080"/>
      <c r="CE144" s="1119"/>
      <c r="CI144" s="1080"/>
      <c r="CM144" s="1119"/>
      <c r="CQ144" s="1080"/>
      <c r="CU144" s="1119"/>
      <c r="CY144" s="1080"/>
      <c r="DC144" s="1119"/>
      <c r="DG144" s="1080"/>
      <c r="DK144" s="1119"/>
      <c r="DO144" s="1080"/>
      <c r="DS144" s="1119"/>
      <c r="DW144" s="1080"/>
      <c r="EA144" s="1119"/>
      <c r="EE144" s="1080"/>
      <c r="EI144" s="1119"/>
      <c r="EM144" s="1080"/>
      <c r="EQ144" s="1119"/>
      <c r="EU144" s="1080"/>
      <c r="EY144" s="1119"/>
      <c r="FC144" s="1080"/>
      <c r="FG144" s="1119"/>
      <c r="FK144" s="1080"/>
      <c r="FO144" s="1119"/>
    </row>
    <row r="145" spans="1:171" x14ac:dyDescent="0.25">
      <c r="A145" s="913"/>
      <c r="B145" s="79" t="s">
        <v>374</v>
      </c>
      <c r="C145" s="889" t="s">
        <v>81</v>
      </c>
      <c r="D145" s="889">
        <v>244</v>
      </c>
      <c r="E145" s="182" t="str">
        <f>'Sch 1- Rate Base '!E145</f>
        <v>DIST</v>
      </c>
      <c r="F145" s="890"/>
      <c r="G145" s="182">
        <f>'Sch 1- Rate Base '!G145</f>
        <v>0</v>
      </c>
      <c r="H145" s="182">
        <f>'Sch 1- Rate Base '!H145</f>
        <v>0</v>
      </c>
      <c r="I145" s="182">
        <f>'Sch 1- Rate Base '!I145</f>
        <v>0</v>
      </c>
      <c r="J145" s="183">
        <f>'Sch 1- Rate Base '!J145</f>
        <v>0</v>
      </c>
      <c r="K145" s="904">
        <f t="shared" ref="K145:K155" si="466">IF($E145="DIRECT",0,1)</f>
        <v>1</v>
      </c>
      <c r="O145" s="1117"/>
      <c r="S145" s="1119"/>
      <c r="W145" s="1117"/>
      <c r="AA145" s="1119"/>
      <c r="AE145" s="1117"/>
      <c r="AI145" s="1119"/>
      <c r="AM145" s="1117"/>
      <c r="AQ145" s="1119"/>
      <c r="AU145" s="1117"/>
      <c r="AY145" s="1119"/>
      <c r="BC145" s="1117"/>
      <c r="BG145" s="1119"/>
      <c r="BK145" s="1117"/>
      <c r="BO145" s="1119"/>
      <c r="BS145" s="1117"/>
      <c r="BW145" s="1119"/>
      <c r="CA145" s="1117"/>
      <c r="CE145" s="1119"/>
      <c r="CI145" s="1117"/>
      <c r="CM145" s="1119"/>
      <c r="CQ145" s="1117"/>
      <c r="CU145" s="1119"/>
      <c r="CY145" s="1117"/>
      <c r="DC145" s="1119"/>
      <c r="DG145" s="1117"/>
      <c r="DK145" s="1119"/>
      <c r="DO145" s="1117"/>
      <c r="DS145" s="1119"/>
      <c r="DW145" s="1117"/>
      <c r="EA145" s="1119"/>
      <c r="EE145" s="1117"/>
      <c r="EI145" s="1119"/>
      <c r="EM145" s="1117"/>
      <c r="EQ145" s="1119"/>
      <c r="EU145" s="1117"/>
      <c r="EY145" s="1119"/>
      <c r="FC145" s="1117"/>
      <c r="FG145" s="1119"/>
      <c r="FK145" s="1117"/>
      <c r="FO145" s="1119"/>
    </row>
    <row r="146" spans="1:171" x14ac:dyDescent="0.25">
      <c r="A146" s="913"/>
      <c r="B146" s="79" t="s">
        <v>375</v>
      </c>
      <c r="C146" s="889" t="s">
        <v>348</v>
      </c>
      <c r="D146" s="889">
        <v>245</v>
      </c>
      <c r="E146" s="182" t="str">
        <f>'Sch 1- Rate Base '!E146</f>
        <v>DIST</v>
      </c>
      <c r="F146" s="890"/>
      <c r="G146" s="182">
        <f>'Sch 1- Rate Base '!G146</f>
        <v>0</v>
      </c>
      <c r="H146" s="182">
        <f>'Sch 1- Rate Base '!H146</f>
        <v>0</v>
      </c>
      <c r="I146" s="182">
        <f>'Sch 1- Rate Base '!I146</f>
        <v>0</v>
      </c>
      <c r="J146" s="183">
        <f>'Sch 1- Rate Base '!J146</f>
        <v>0</v>
      </c>
      <c r="K146" s="904">
        <f t="shared" si="466"/>
        <v>1</v>
      </c>
      <c r="O146" s="1117"/>
      <c r="S146" s="1119"/>
      <c r="W146" s="1117"/>
      <c r="AA146" s="1119"/>
      <c r="AE146" s="1117"/>
      <c r="AI146" s="1119"/>
      <c r="AM146" s="1117"/>
      <c r="AQ146" s="1119"/>
      <c r="AU146" s="1117"/>
      <c r="AY146" s="1119"/>
      <c r="BC146" s="1117"/>
      <c r="BG146" s="1119"/>
      <c r="BK146" s="1117"/>
      <c r="BO146" s="1119"/>
      <c r="BS146" s="1117"/>
      <c r="BW146" s="1119"/>
      <c r="CA146" s="1117"/>
      <c r="CE146" s="1119"/>
      <c r="CI146" s="1117"/>
      <c r="CM146" s="1119"/>
      <c r="CQ146" s="1117"/>
      <c r="CU146" s="1119"/>
      <c r="CY146" s="1117"/>
      <c r="DC146" s="1119"/>
      <c r="DG146" s="1117"/>
      <c r="DK146" s="1119"/>
      <c r="DO146" s="1117"/>
      <c r="DS146" s="1119"/>
      <c r="DW146" s="1117"/>
      <c r="EA146" s="1119"/>
      <c r="EE146" s="1117"/>
      <c r="EI146" s="1119"/>
      <c r="EM146" s="1117"/>
      <c r="EQ146" s="1119"/>
      <c r="EU146" s="1117"/>
      <c r="EY146" s="1119"/>
      <c r="FC146" s="1117"/>
      <c r="FG146" s="1119"/>
      <c r="FK146" s="1117"/>
      <c r="FO146" s="1119"/>
    </row>
    <row r="147" spans="1:171" x14ac:dyDescent="0.25">
      <c r="A147" s="913"/>
      <c r="B147" s="79" t="s">
        <v>22</v>
      </c>
      <c r="C147" s="889" t="s">
        <v>81</v>
      </c>
      <c r="D147" s="889">
        <v>252</v>
      </c>
      <c r="E147" s="182" t="str">
        <f>'Sch 1- Rate Base '!E147</f>
        <v>DIST</v>
      </c>
      <c r="F147" s="890"/>
      <c r="G147" s="182">
        <f>'Sch 1- Rate Base '!G147</f>
        <v>140066801.77948469</v>
      </c>
      <c r="H147" s="182">
        <f>'Sch 1- Rate Base '!H147</f>
        <v>0</v>
      </c>
      <c r="I147" s="182">
        <f>'Sch 1- Rate Base '!I147</f>
        <v>0</v>
      </c>
      <c r="J147" s="183">
        <f>'Sch 1- Rate Base '!J147</f>
        <v>140066801.77948469</v>
      </c>
      <c r="K147" s="904">
        <f t="shared" si="466"/>
        <v>1</v>
      </c>
      <c r="O147" s="1117">
        <f t="shared" ref="O147:O155" si="467">$G147</f>
        <v>140066801.77948469</v>
      </c>
      <c r="P147" s="1118">
        <f t="shared" ref="P147:P155" si="468">VLOOKUP($E147,O$442:R$453,2,FALSE)*O147*($K147)+IF($G147&lt;&gt;0,($H147/$G147)*O147,0)*(1-$K147)</f>
        <v>0</v>
      </c>
      <c r="Q147" s="1118">
        <f t="shared" ref="Q147:Q155" si="469">VLOOKUP($E147,O$442:R$453,3,FALSE)*O147*($K147)+IF($G147&lt;&gt;0,($I147/$G147)*O147,0)*(1-$K147)</f>
        <v>0</v>
      </c>
      <c r="R147" s="1118">
        <f t="shared" ref="R147:R155" si="470">VLOOKUP($E147,O$442:R$453,4,FALSE)*O147*($K147)+(O147-P147-Q147)*(1-$K147)</f>
        <v>140066801.77948469</v>
      </c>
      <c r="S147" s="1119"/>
      <c r="W147" s="1117">
        <f t="shared" ref="W147:W155" si="471">$G147</f>
        <v>140066801.77948469</v>
      </c>
      <c r="X147" s="1118">
        <f t="shared" ref="X147:X155" si="472">VLOOKUP($E147,W$442:Z$453,2,FALSE)*W147*($K147)+IF($G147&lt;&gt;0,($H147/$G147)*W147,0)*(1-$K147)</f>
        <v>0</v>
      </c>
      <c r="Y147" s="1118">
        <f t="shared" ref="Y147:Y155" si="473">VLOOKUP($E147,W$442:Z$453,3,FALSE)*W147*($K147)+IF($G147&lt;&gt;0,($I147/$G147)*W147,0)*(1-$K147)</f>
        <v>0</v>
      </c>
      <c r="Z147" s="1118">
        <f t="shared" ref="Z147:Z155" si="474">VLOOKUP($E147,W$442:Z$453,4,FALSE)*W147*($K147)+(W147-X147-Y147)*(1-$K147)</f>
        <v>140066801.77948469</v>
      </c>
      <c r="AA147" s="1119"/>
      <c r="AE147" s="1117">
        <f t="shared" ref="AE147:AE155" si="475">$G147</f>
        <v>140066801.77948469</v>
      </c>
      <c r="AF147" s="1118">
        <f t="shared" ref="AF147:AF155" si="476">VLOOKUP($E147,AE$442:AH$453,2,FALSE)*AE147*($K147)+IF($G147&lt;&gt;0,($H147/$G147)*AE147,0)*(1-$K147)</f>
        <v>0</v>
      </c>
      <c r="AG147" s="1118">
        <f t="shared" ref="AG147:AG155" si="477">VLOOKUP($E147,AE$442:AH$453,3,FALSE)*AE147*($K147)+IF($G147&lt;&gt;0,($I147/$G147)*AE147,0)*(1-$K147)</f>
        <v>0</v>
      </c>
      <c r="AH147" s="1118">
        <f t="shared" ref="AH147:AH155" si="478">VLOOKUP($E147,AE$442:AH$453,4,FALSE)*AE147*($K147)+(AE147-AF147-AG147)*(1-$K147)</f>
        <v>140066801.77948469</v>
      </c>
      <c r="AI147" s="1119"/>
      <c r="AM147" s="1117">
        <f t="shared" ref="AM147:AM155" si="479">$G147</f>
        <v>140066801.77948469</v>
      </c>
      <c r="AN147" s="1118">
        <f t="shared" ref="AN147:AN155" si="480">VLOOKUP($E147,AM$442:AP$453,2,FALSE)*AM147*($K147)+IF($G147&lt;&gt;0,($H147/$G147)*AM147,0)*(1-$K147)</f>
        <v>0</v>
      </c>
      <c r="AO147" s="1118">
        <f t="shared" ref="AO147:AO155" si="481">VLOOKUP($E147,AM$442:AP$453,3,FALSE)*AM147*($K147)+IF($G147&lt;&gt;0,($I147/$G147)*AM147,0)*(1-$K147)</f>
        <v>0</v>
      </c>
      <c r="AP147" s="1118">
        <f t="shared" ref="AP147:AP155" si="482">VLOOKUP($E147,AM$442:AP$453,4,FALSE)*AM147*($K147)+(AM147-AN147-AO147)*(1-$K147)</f>
        <v>140066801.77948469</v>
      </c>
      <c r="AQ147" s="1119"/>
      <c r="AU147" s="1117">
        <f t="shared" ref="AU147:AU155" si="483">$G147</f>
        <v>140066801.77948469</v>
      </c>
      <c r="AV147" s="1118">
        <f t="shared" ref="AV147:AV155" si="484">VLOOKUP($E147,AU$442:AX$453,2,FALSE)*AU147*($K147)+IF($G147&lt;&gt;0,($H147/$G147)*AU147,0)*(1-$K147)</f>
        <v>0</v>
      </c>
      <c r="AW147" s="1118">
        <f t="shared" ref="AW147:AW155" si="485">VLOOKUP($E147,AU$442:AX$453,3,FALSE)*AU147*($K147)+IF($G147&lt;&gt;0,($I147/$G147)*AU147,0)*(1-$K147)</f>
        <v>0</v>
      </c>
      <c r="AX147" s="1118">
        <f t="shared" ref="AX147:AX155" si="486">VLOOKUP($E147,AU$442:AX$453,4,FALSE)*AU147*($K147)+(AU147-AV147-AW147)*(1-$K147)</f>
        <v>140066801.77948469</v>
      </c>
      <c r="AY147" s="1119"/>
      <c r="BC147" s="1117">
        <f t="shared" ref="BC147:BC155" si="487">$G147</f>
        <v>140066801.77948469</v>
      </c>
      <c r="BD147" s="1118">
        <f t="shared" ref="BD147:BD155" si="488">VLOOKUP($E147,BC$442:BF$453,2,FALSE)*BC147*($K147)+IF($G147&lt;&gt;0,($H147/$G147)*BC147,0)*(1-$K147)</f>
        <v>0</v>
      </c>
      <c r="BE147" s="1118">
        <f t="shared" ref="BE147:BE155" si="489">VLOOKUP($E147,BC$442:BF$453,3,FALSE)*BC147*($K147)+IF($G147&lt;&gt;0,($I147/$G147)*BC147,0)*(1-$K147)</f>
        <v>0</v>
      </c>
      <c r="BF147" s="1118">
        <f t="shared" ref="BF147:BF155" si="490">VLOOKUP($E147,BC$442:BF$453,4,FALSE)*BC147*($K147)+(BC147-BD147-BE147)*(1-$K147)</f>
        <v>140066801.77948469</v>
      </c>
      <c r="BG147" s="1119"/>
      <c r="BK147" s="1117">
        <f t="shared" ref="BK147:BK155" si="491">$G147</f>
        <v>140066801.77948469</v>
      </c>
      <c r="BL147" s="1118">
        <f t="shared" ref="BL147:BL155" si="492">VLOOKUP($E147,BK$442:BN$453,2,FALSE)*BK147*($K147)+IF($G147&lt;&gt;0,($H147/$G147)*BK147,0)*(1-$K147)</f>
        <v>0</v>
      </c>
      <c r="BM147" s="1118">
        <f t="shared" ref="BM147:BM155" si="493">VLOOKUP($E147,BK$442:BN$453,3,FALSE)*BK147*($K147)+IF($G147&lt;&gt;0,($I147/$G147)*BK147,0)*(1-$K147)</f>
        <v>0</v>
      </c>
      <c r="BN147" s="1118">
        <f t="shared" ref="BN147:BN155" si="494">VLOOKUP($E147,BK$442:BN$453,4,FALSE)*BK147*($K147)+(BK147-BL147-BM147)*(1-$K147)</f>
        <v>140066801.77948469</v>
      </c>
      <c r="BO147" s="1119"/>
      <c r="BS147" s="1117">
        <f t="shared" ref="BS147:BS155" si="495">$G147</f>
        <v>140066801.77948469</v>
      </c>
      <c r="BT147" s="1118">
        <f t="shared" ref="BT147:BT155" si="496">VLOOKUP($E147,BS$442:BV$453,2,FALSE)*BS147*($K147)+IF($G147&lt;&gt;0,($H147/$G147)*BS147,0)*(1-$K147)</f>
        <v>0</v>
      </c>
      <c r="BU147" s="1118">
        <f t="shared" ref="BU147:BU155" si="497">VLOOKUP($E147,BS$442:BV$453,3,FALSE)*BS147*($K147)+IF($G147&lt;&gt;0,($I147/$G147)*BS147,0)*(1-$K147)</f>
        <v>0</v>
      </c>
      <c r="BV147" s="1118">
        <f t="shared" ref="BV147:BV155" si="498">VLOOKUP($E147,BS$442:BV$453,4,FALSE)*BS147*($K147)+(BS147-BT147-BU147)*(1-$K147)</f>
        <v>140066801.77948469</v>
      </c>
      <c r="BW147" s="1119"/>
      <c r="CA147" s="1117">
        <f t="shared" ref="CA147:CA155" si="499">$G147</f>
        <v>140066801.77948469</v>
      </c>
      <c r="CB147" s="1118">
        <f t="shared" ref="CB147:CB155" si="500">VLOOKUP($E147,CA$442:CD$453,2,FALSE)*CA147*($K147)+IF($G147&lt;&gt;0,($H147/$G147)*CA147,0)*(1-$K147)</f>
        <v>0</v>
      </c>
      <c r="CC147" s="1118">
        <f t="shared" ref="CC147:CC155" si="501">VLOOKUP($E147,CA$442:CD$453,3,FALSE)*CA147*($K147)+IF($G147&lt;&gt;0,($I147/$G147)*CA147,0)*(1-$K147)</f>
        <v>0</v>
      </c>
      <c r="CD147" s="1118">
        <f t="shared" ref="CD147:CD155" si="502">VLOOKUP($E147,CA$442:CD$453,4,FALSE)*CA147*($K147)+(CA147-CB147-CC147)*(1-$K147)</f>
        <v>140066801.77948469</v>
      </c>
      <c r="CE147" s="1119"/>
      <c r="CI147" s="1117">
        <f t="shared" ref="CI147:CI155" si="503">$G147</f>
        <v>140066801.77948469</v>
      </c>
      <c r="CJ147" s="1118">
        <f t="shared" ref="CJ147:CJ155" si="504">VLOOKUP($E147,CI$442:CL$453,2,FALSE)*CI147*($K147)+IF($G147&lt;&gt;0,($H147/$G147)*CI147,0)*(1-$K147)</f>
        <v>0</v>
      </c>
      <c r="CK147" s="1118">
        <f t="shared" ref="CK147:CK155" si="505">VLOOKUP($E147,CI$442:CL$453,3,FALSE)*CI147*($K147)+IF($G147&lt;&gt;0,($I147/$G147)*CI147,0)*(1-$K147)</f>
        <v>0</v>
      </c>
      <c r="CL147" s="1118">
        <f t="shared" ref="CL147:CL155" si="506">VLOOKUP($E147,CI$442:CL$453,4,FALSE)*CI147*($K147)+(CI147-CJ147-CK147)*(1-$K147)</f>
        <v>140066801.77948469</v>
      </c>
      <c r="CM147" s="1119"/>
      <c r="CQ147" s="1117">
        <f t="shared" ref="CQ147:CQ155" si="507">$G147</f>
        <v>140066801.77948469</v>
      </c>
      <c r="CR147" s="1118">
        <f t="shared" ref="CR147:CR155" si="508">VLOOKUP($E147,CQ$442:CT$453,2,FALSE)*CQ147*($K147)+IF($G147&lt;&gt;0,($H147/$G147)*CQ147,0)*(1-$K147)</f>
        <v>0</v>
      </c>
      <c r="CS147" s="1118">
        <f t="shared" ref="CS147:CS155" si="509">VLOOKUP($E147,CQ$442:CT$453,3,FALSE)*CQ147*($K147)+IF($G147&lt;&gt;0,($I147/$G147)*CQ147,0)*(1-$K147)</f>
        <v>0</v>
      </c>
      <c r="CT147" s="1118">
        <f t="shared" ref="CT147:CT155" si="510">VLOOKUP($E147,CQ$442:CT$453,4,FALSE)*CQ147*($K147)+(CQ147-CR147-CS147)*(1-$K147)</f>
        <v>140066801.77948469</v>
      </c>
      <c r="CU147" s="1119"/>
      <c r="CY147" s="1117">
        <f t="shared" ref="CY147:CY155" si="511">$G147</f>
        <v>140066801.77948469</v>
      </c>
      <c r="CZ147" s="1118">
        <f t="shared" ref="CZ147:CZ155" si="512">VLOOKUP($E147,CY$442:DB$453,2,FALSE)*CY147*($K147)+IF($G147&lt;&gt;0,($H147/$G147)*CY147,0)*(1-$K147)</f>
        <v>0</v>
      </c>
      <c r="DA147" s="1118">
        <f t="shared" ref="DA147:DA155" si="513">VLOOKUP($E147,CY$442:DB$453,3,FALSE)*CY147*($K147)+IF($G147&lt;&gt;0,($I147/$G147)*CY147,0)*(1-$K147)</f>
        <v>0</v>
      </c>
      <c r="DB147" s="1118">
        <f t="shared" ref="DB147:DB155" si="514">VLOOKUP($E147,CY$442:DB$453,4,FALSE)*CY147*($K147)+(CY147-CZ147-DA147)*(1-$K147)</f>
        <v>140066801.77948469</v>
      </c>
      <c r="DC147" s="1119"/>
      <c r="DG147" s="1117">
        <f t="shared" ref="DG147:DG155" si="515">$G147</f>
        <v>140066801.77948469</v>
      </c>
      <c r="DH147" s="1118">
        <f t="shared" ref="DH147:DH155" si="516">VLOOKUP($E147,DG$442:DJ$453,2,FALSE)*DG147*($K147)+IF($G147&lt;&gt;0,($H147/$G147)*DG147,0)*(1-$K147)</f>
        <v>0</v>
      </c>
      <c r="DI147" s="1118">
        <f t="shared" ref="DI147:DI155" si="517">VLOOKUP($E147,DG$442:DJ$453,3,FALSE)*DG147*($K147)+IF($G147&lt;&gt;0,($I147/$G147)*DG147,0)*(1-$K147)</f>
        <v>0</v>
      </c>
      <c r="DJ147" s="1118">
        <f t="shared" ref="DJ147:DJ155" si="518">VLOOKUP($E147,DG$442:DJ$453,4,FALSE)*DG147*($K147)+(DG147-DH147-DI147)*(1-$K147)</f>
        <v>140066801.77948469</v>
      </c>
      <c r="DK147" s="1119"/>
      <c r="DO147" s="1117">
        <f t="shared" ref="DO147:DO155" si="519">$G147</f>
        <v>140066801.77948469</v>
      </c>
      <c r="DP147" s="1118">
        <f t="shared" ref="DP147:DP155" si="520">VLOOKUP($E147,DO$442:DR$453,2,FALSE)*DO147*($K147)+IF($G147&lt;&gt;0,($H147/$G147)*DO147,0)*(1-$K147)</f>
        <v>0</v>
      </c>
      <c r="DQ147" s="1118">
        <f t="shared" ref="DQ147:DQ155" si="521">VLOOKUP($E147,DO$442:DR$453,3,FALSE)*DO147*($K147)+IF($G147&lt;&gt;0,($I147/$G147)*DO147,0)*(1-$K147)</f>
        <v>0</v>
      </c>
      <c r="DR147" s="1118">
        <f t="shared" ref="DR147:DR155" si="522">VLOOKUP($E147,DO$442:DR$453,4,FALSE)*DO147*($K147)+(DO147-DP147-DQ147)*(1-$K147)</f>
        <v>140066801.77948469</v>
      </c>
      <c r="DS147" s="1119"/>
      <c r="DW147" s="1117">
        <f t="shared" ref="DW147:DW155" si="523">$G147</f>
        <v>140066801.77948469</v>
      </c>
      <c r="DX147" s="1118">
        <f t="shared" ref="DX147:DX155" si="524">VLOOKUP($E147,DW$442:DZ$453,2,FALSE)*DW147*($K147)+IF($G147&lt;&gt;0,($H147/$G147)*DW147,0)*(1-$K147)</f>
        <v>0</v>
      </c>
      <c r="DY147" s="1118">
        <f t="shared" ref="DY147:DY155" si="525">VLOOKUP($E147,DW$442:DZ$453,3,FALSE)*DW147*($K147)+IF($G147&lt;&gt;0,($I147/$G147)*DW147,0)*(1-$K147)</f>
        <v>0</v>
      </c>
      <c r="DZ147" s="1118">
        <f t="shared" ref="DZ147:DZ155" si="526">VLOOKUP($E147,DW$442:DZ$453,4,FALSE)*DW147*($K147)+(DW147-DX147-DY147)*(1-$K147)</f>
        <v>140066801.77948469</v>
      </c>
      <c r="EA147" s="1119"/>
      <c r="EE147" s="1117">
        <f t="shared" ref="EE147:EE155" si="527">$G147</f>
        <v>140066801.77948469</v>
      </c>
      <c r="EF147" s="1118">
        <f t="shared" ref="EF147:EF155" si="528">VLOOKUP($E147,EE$442:EH$453,2,FALSE)*EE147*($K147)+IF($G147&lt;&gt;0,($H147/$G147)*EE147,0)*(1-$K147)</f>
        <v>0</v>
      </c>
      <c r="EG147" s="1118">
        <f t="shared" ref="EG147:EG155" si="529">VLOOKUP($E147,EE$442:EH$453,3,FALSE)*EE147*($K147)+IF($G147&lt;&gt;0,($I147/$G147)*EE147,0)*(1-$K147)</f>
        <v>0</v>
      </c>
      <c r="EH147" s="1118">
        <f t="shared" ref="EH147:EH155" si="530">VLOOKUP($E147,EE$442:EH$453,4,FALSE)*EE147*($K147)+(EE147-EF147-EG147)*(1-$K147)</f>
        <v>140066801.77948469</v>
      </c>
      <c r="EI147" s="1119"/>
      <c r="EM147" s="1117">
        <f t="shared" ref="EM147:EM155" si="531">$G147</f>
        <v>140066801.77948469</v>
      </c>
      <c r="EN147" s="1118">
        <f t="shared" ref="EN147:EN155" si="532">VLOOKUP($E147,EM$442:EP$453,2,FALSE)*EM147*($K147)+IF($G147&lt;&gt;0,($H147/$G147)*EM147,0)*(1-$K147)</f>
        <v>0</v>
      </c>
      <c r="EO147" s="1118">
        <f t="shared" ref="EO147:EO155" si="533">VLOOKUP($E147,EM$442:EP$453,3,FALSE)*EM147*($K147)+IF($G147&lt;&gt;0,($I147/$G147)*EM147,0)*(1-$K147)</f>
        <v>0</v>
      </c>
      <c r="EP147" s="1118">
        <f t="shared" ref="EP147:EP155" si="534">VLOOKUP($E147,EM$442:EP$453,4,FALSE)*EM147*($K147)+(EM147-EN147-EO147)*(1-$K147)</f>
        <v>140066801.77948469</v>
      </c>
      <c r="EQ147" s="1119"/>
      <c r="EU147" s="1117">
        <f t="shared" ref="EU147:EU155" si="535">$G147</f>
        <v>140066801.77948469</v>
      </c>
      <c r="EV147" s="1118">
        <f t="shared" ref="EV147:EV155" si="536">VLOOKUP($E147,EU$442:EX$453,2,FALSE)*EU147*($K147)+IF($G147&lt;&gt;0,($H147/$G147)*EU147,0)*(1-$K147)</f>
        <v>0</v>
      </c>
      <c r="EW147" s="1118">
        <f t="shared" ref="EW147:EW155" si="537">VLOOKUP($E147,EU$442:EX$453,3,FALSE)*EU147*($K147)+IF($G147&lt;&gt;0,($I147/$G147)*EU147,0)*(1-$K147)</f>
        <v>0</v>
      </c>
      <c r="EX147" s="1118">
        <f t="shared" ref="EX147:EX155" si="538">VLOOKUP($E147,EU$442:EX$453,4,FALSE)*EU147*($K147)+(EU147-EV147-EW147)*(1-$K147)</f>
        <v>140066801.77948469</v>
      </c>
      <c r="EY147" s="1119"/>
      <c r="FC147" s="1117">
        <f t="shared" ref="FC147:FC155" si="539">$G147</f>
        <v>140066801.77948469</v>
      </c>
      <c r="FD147" s="1118">
        <f t="shared" ref="FD147:FD155" si="540">VLOOKUP($E147,FC$442:FF$453,2,FALSE)*FC147*($K147)+IF($G147&lt;&gt;0,($H147/$G147)*FC147,0)*(1-$K147)</f>
        <v>0</v>
      </c>
      <c r="FE147" s="1118">
        <f t="shared" ref="FE147:FE155" si="541">VLOOKUP($E147,FC$442:FF$453,3,FALSE)*FC147*($K147)+IF($G147&lt;&gt;0,($I147/$G147)*FC147,0)*(1-$K147)</f>
        <v>0</v>
      </c>
      <c r="FF147" s="1118">
        <f t="shared" ref="FF147:FF155" si="542">VLOOKUP($E147,FC$442:FF$453,4,FALSE)*FC147*($K147)+(FC147-FD147-FE147)*(1-$K147)</f>
        <v>140066801.77948469</v>
      </c>
      <c r="FG147" s="1119"/>
      <c r="FK147" s="1117">
        <f t="shared" ref="FK147:FK155" si="543">$G147</f>
        <v>140066801.77948469</v>
      </c>
      <c r="FL147" s="1118">
        <f t="shared" ref="FL147:FL155" si="544">VLOOKUP($E147,FK$442:FN$453,2,FALSE)*FK147*($K147)+IF($G147&lt;&gt;0,($H147/$G147)*FK147,0)*(1-$K147)</f>
        <v>0</v>
      </c>
      <c r="FM147" s="1118">
        <f t="shared" ref="FM147:FM155" si="545">VLOOKUP($E147,FK$442:FN$453,3,FALSE)*FK147*($K147)+IF($G147&lt;&gt;0,($I147/$G147)*FK147,0)*(1-$K147)</f>
        <v>0</v>
      </c>
      <c r="FN147" s="1118">
        <f t="shared" ref="FN147:FN155" si="546">VLOOKUP($E147,FK$442:FN$453,4,FALSE)*FK147*($K147)+(FK147-FL147-FM147)*(1-$K147)</f>
        <v>140066801.77948469</v>
      </c>
      <c r="FO147" s="1119"/>
    </row>
    <row r="148" spans="1:171" x14ac:dyDescent="0.25">
      <c r="A148" s="913"/>
      <c r="B148" s="79" t="s">
        <v>25</v>
      </c>
      <c r="C148" s="889" t="s">
        <v>81</v>
      </c>
      <c r="D148" s="889">
        <v>253</v>
      </c>
      <c r="E148" s="182" t="str">
        <f>'Sch 1- Rate Base '!E148</f>
        <v>DIRECT</v>
      </c>
      <c r="F148" s="890"/>
      <c r="G148" s="182">
        <f>'Sch 1- Rate Base '!G148</f>
        <v>139827822.78011093</v>
      </c>
      <c r="H148" s="182">
        <f>'Sch 1- Rate Base '!H148</f>
        <v>38305646.080497444</v>
      </c>
      <c r="I148" s="182">
        <f>'Sch 1- Rate Base '!I148</f>
        <v>0</v>
      </c>
      <c r="J148" s="183">
        <f>'Sch 1- Rate Base '!J148</f>
        <v>101522176.6996135</v>
      </c>
      <c r="K148" s="904">
        <f t="shared" si="466"/>
        <v>0</v>
      </c>
      <c r="O148" s="1117">
        <f t="shared" si="467"/>
        <v>139827822.78011093</v>
      </c>
      <c r="P148" s="1118">
        <f t="shared" si="468"/>
        <v>38305646.080497444</v>
      </c>
      <c r="Q148" s="1118">
        <f t="shared" si="469"/>
        <v>0</v>
      </c>
      <c r="R148" s="1118">
        <f t="shared" si="470"/>
        <v>101522176.69961348</v>
      </c>
      <c r="S148" s="1119"/>
      <c r="W148" s="1117">
        <f t="shared" si="471"/>
        <v>139827822.78011093</v>
      </c>
      <c r="X148" s="1118">
        <f t="shared" si="472"/>
        <v>38305646.080497444</v>
      </c>
      <c r="Y148" s="1118">
        <f t="shared" si="473"/>
        <v>0</v>
      </c>
      <c r="Z148" s="1118">
        <f t="shared" si="474"/>
        <v>101522176.69961348</v>
      </c>
      <c r="AA148" s="1119"/>
      <c r="AE148" s="1117">
        <f t="shared" si="475"/>
        <v>139827822.78011093</v>
      </c>
      <c r="AF148" s="1118">
        <f t="shared" si="476"/>
        <v>38305646.080497444</v>
      </c>
      <c r="AG148" s="1118">
        <f t="shared" si="477"/>
        <v>0</v>
      </c>
      <c r="AH148" s="1118">
        <f t="shared" si="478"/>
        <v>101522176.69961348</v>
      </c>
      <c r="AI148" s="1119"/>
      <c r="AM148" s="1117">
        <f t="shared" si="479"/>
        <v>139827822.78011093</v>
      </c>
      <c r="AN148" s="1118">
        <f t="shared" si="480"/>
        <v>38305646.080497444</v>
      </c>
      <c r="AO148" s="1118">
        <f t="shared" si="481"/>
        <v>0</v>
      </c>
      <c r="AP148" s="1118">
        <f t="shared" si="482"/>
        <v>101522176.69961348</v>
      </c>
      <c r="AQ148" s="1119"/>
      <c r="AU148" s="1117">
        <f t="shared" si="483"/>
        <v>139827822.78011093</v>
      </c>
      <c r="AV148" s="1118">
        <f t="shared" si="484"/>
        <v>38305646.080497444</v>
      </c>
      <c r="AW148" s="1118">
        <f t="shared" si="485"/>
        <v>0</v>
      </c>
      <c r="AX148" s="1118">
        <f t="shared" si="486"/>
        <v>101522176.69961348</v>
      </c>
      <c r="AY148" s="1119"/>
      <c r="BC148" s="1117">
        <f t="shared" si="487"/>
        <v>139827822.78011093</v>
      </c>
      <c r="BD148" s="1118">
        <f t="shared" si="488"/>
        <v>38305646.080497444</v>
      </c>
      <c r="BE148" s="1118">
        <f t="shared" si="489"/>
        <v>0</v>
      </c>
      <c r="BF148" s="1118">
        <f t="shared" si="490"/>
        <v>101522176.69961348</v>
      </c>
      <c r="BG148" s="1119"/>
      <c r="BK148" s="1117">
        <f t="shared" si="491"/>
        <v>139827822.78011093</v>
      </c>
      <c r="BL148" s="1118">
        <f t="shared" si="492"/>
        <v>38305646.080497444</v>
      </c>
      <c r="BM148" s="1118">
        <f t="shared" si="493"/>
        <v>0</v>
      </c>
      <c r="BN148" s="1118">
        <f t="shared" si="494"/>
        <v>101522176.69961348</v>
      </c>
      <c r="BO148" s="1119"/>
      <c r="BS148" s="1117">
        <f t="shared" si="495"/>
        <v>139827822.78011093</v>
      </c>
      <c r="BT148" s="1118">
        <f t="shared" si="496"/>
        <v>38305646.080497444</v>
      </c>
      <c r="BU148" s="1118">
        <f t="shared" si="497"/>
        <v>0</v>
      </c>
      <c r="BV148" s="1118">
        <f t="shared" si="498"/>
        <v>101522176.69961348</v>
      </c>
      <c r="BW148" s="1119"/>
      <c r="CA148" s="1117">
        <f t="shared" si="499"/>
        <v>139827822.78011093</v>
      </c>
      <c r="CB148" s="1118">
        <f t="shared" si="500"/>
        <v>38305646.080497444</v>
      </c>
      <c r="CC148" s="1118">
        <f t="shared" si="501"/>
        <v>0</v>
      </c>
      <c r="CD148" s="1118">
        <f t="shared" si="502"/>
        <v>101522176.69961348</v>
      </c>
      <c r="CE148" s="1119"/>
      <c r="CI148" s="1117">
        <f t="shared" si="503"/>
        <v>139827822.78011093</v>
      </c>
      <c r="CJ148" s="1118">
        <f t="shared" si="504"/>
        <v>38305646.080497444</v>
      </c>
      <c r="CK148" s="1118">
        <f t="shared" si="505"/>
        <v>0</v>
      </c>
      <c r="CL148" s="1118">
        <f t="shared" si="506"/>
        <v>101522176.69961348</v>
      </c>
      <c r="CM148" s="1119"/>
      <c r="CQ148" s="1117">
        <f t="shared" si="507"/>
        <v>139827822.78011093</v>
      </c>
      <c r="CR148" s="1118">
        <f t="shared" si="508"/>
        <v>38305646.080497444</v>
      </c>
      <c r="CS148" s="1118">
        <f t="shared" si="509"/>
        <v>0</v>
      </c>
      <c r="CT148" s="1118">
        <f t="shared" si="510"/>
        <v>101522176.69961348</v>
      </c>
      <c r="CU148" s="1119"/>
      <c r="CY148" s="1117">
        <f t="shared" si="511"/>
        <v>139827822.78011093</v>
      </c>
      <c r="CZ148" s="1118">
        <f t="shared" si="512"/>
        <v>38305646.080497444</v>
      </c>
      <c r="DA148" s="1118">
        <f t="shared" si="513"/>
        <v>0</v>
      </c>
      <c r="DB148" s="1118">
        <f t="shared" si="514"/>
        <v>101522176.69961348</v>
      </c>
      <c r="DC148" s="1119"/>
      <c r="DG148" s="1117">
        <f t="shared" si="515"/>
        <v>139827822.78011093</v>
      </c>
      <c r="DH148" s="1118">
        <f t="shared" si="516"/>
        <v>38305646.080497444</v>
      </c>
      <c r="DI148" s="1118">
        <f t="shared" si="517"/>
        <v>0</v>
      </c>
      <c r="DJ148" s="1118">
        <f t="shared" si="518"/>
        <v>101522176.69961348</v>
      </c>
      <c r="DK148" s="1119"/>
      <c r="DO148" s="1117">
        <f t="shared" si="519"/>
        <v>139827822.78011093</v>
      </c>
      <c r="DP148" s="1118">
        <f t="shared" si="520"/>
        <v>38305646.080497444</v>
      </c>
      <c r="DQ148" s="1118">
        <f t="shared" si="521"/>
        <v>0</v>
      </c>
      <c r="DR148" s="1118">
        <f t="shared" si="522"/>
        <v>101522176.69961348</v>
      </c>
      <c r="DS148" s="1119"/>
      <c r="DW148" s="1117">
        <f t="shared" si="523"/>
        <v>139827822.78011093</v>
      </c>
      <c r="DX148" s="1118">
        <f t="shared" si="524"/>
        <v>38305646.080497444</v>
      </c>
      <c r="DY148" s="1118">
        <f t="shared" si="525"/>
        <v>0</v>
      </c>
      <c r="DZ148" s="1118">
        <f t="shared" si="526"/>
        <v>101522176.69961348</v>
      </c>
      <c r="EA148" s="1119"/>
      <c r="EE148" s="1117">
        <f t="shared" si="527"/>
        <v>139827822.78011093</v>
      </c>
      <c r="EF148" s="1118">
        <f t="shared" si="528"/>
        <v>38305646.080497444</v>
      </c>
      <c r="EG148" s="1118">
        <f t="shared" si="529"/>
        <v>0</v>
      </c>
      <c r="EH148" s="1118">
        <f t="shared" si="530"/>
        <v>101522176.69961348</v>
      </c>
      <c r="EI148" s="1119"/>
      <c r="EM148" s="1117">
        <f t="shared" si="531"/>
        <v>139827822.78011093</v>
      </c>
      <c r="EN148" s="1118">
        <f t="shared" si="532"/>
        <v>38305646.080497444</v>
      </c>
      <c r="EO148" s="1118">
        <f t="shared" si="533"/>
        <v>0</v>
      </c>
      <c r="EP148" s="1118">
        <f t="shared" si="534"/>
        <v>101522176.69961348</v>
      </c>
      <c r="EQ148" s="1119"/>
      <c r="EU148" s="1117">
        <f t="shared" si="535"/>
        <v>139827822.78011093</v>
      </c>
      <c r="EV148" s="1118">
        <f t="shared" si="536"/>
        <v>38305646.080497444</v>
      </c>
      <c r="EW148" s="1118">
        <f t="shared" si="537"/>
        <v>0</v>
      </c>
      <c r="EX148" s="1118">
        <f t="shared" si="538"/>
        <v>101522176.69961348</v>
      </c>
      <c r="EY148" s="1119"/>
      <c r="FC148" s="1117">
        <f t="shared" si="539"/>
        <v>139827822.78011093</v>
      </c>
      <c r="FD148" s="1118">
        <f t="shared" si="540"/>
        <v>38305646.080497444</v>
      </c>
      <c r="FE148" s="1118">
        <f t="shared" si="541"/>
        <v>0</v>
      </c>
      <c r="FF148" s="1118">
        <f t="shared" si="542"/>
        <v>101522176.69961348</v>
      </c>
      <c r="FG148" s="1119"/>
      <c r="FK148" s="1117">
        <f t="shared" si="543"/>
        <v>139827822.78011093</v>
      </c>
      <c r="FL148" s="1118">
        <f t="shared" si="544"/>
        <v>38305646.080497444</v>
      </c>
      <c r="FM148" s="1118">
        <f t="shared" si="545"/>
        <v>0</v>
      </c>
      <c r="FN148" s="1118">
        <f t="shared" si="546"/>
        <v>101522176.69961348</v>
      </c>
      <c r="FO148" s="1119"/>
    </row>
    <row r="149" spans="1:171" x14ac:dyDescent="0.25">
      <c r="A149" s="913"/>
      <c r="B149" s="79" t="s">
        <v>26</v>
      </c>
      <c r="C149" s="889" t="s">
        <v>81</v>
      </c>
      <c r="D149" s="889">
        <v>254</v>
      </c>
      <c r="E149" s="182" t="str">
        <f>'Sch 1- Rate Base '!E149</f>
        <v>DIRECT</v>
      </c>
      <c r="F149" s="890"/>
      <c r="G149" s="182">
        <f>'Sch 1- Rate Base '!G149</f>
        <v>540639201.34976745</v>
      </c>
      <c r="H149" s="182">
        <f>'Sch 1- Rate Base '!H149</f>
        <v>49323245.608887903</v>
      </c>
      <c r="I149" s="182">
        <f>'Sch 1- Rate Base '!I149</f>
        <v>0</v>
      </c>
      <c r="J149" s="183">
        <f>'Sch 1- Rate Base '!J149</f>
        <v>491315955.74087965</v>
      </c>
      <c r="K149" s="904">
        <f t="shared" si="466"/>
        <v>0</v>
      </c>
      <c r="O149" s="1117">
        <f t="shared" si="467"/>
        <v>540639201.34976745</v>
      </c>
      <c r="P149" s="1118">
        <f t="shared" si="468"/>
        <v>49323245.608887903</v>
      </c>
      <c r="Q149" s="1118">
        <f t="shared" si="469"/>
        <v>0</v>
      </c>
      <c r="R149" s="1118">
        <f t="shared" si="470"/>
        <v>491315955.74087954</v>
      </c>
      <c r="S149" s="1119"/>
      <c r="W149" s="1117">
        <f t="shared" si="471"/>
        <v>540639201.34976745</v>
      </c>
      <c r="X149" s="1118">
        <f t="shared" si="472"/>
        <v>49323245.608887903</v>
      </c>
      <c r="Y149" s="1118">
        <f t="shared" si="473"/>
        <v>0</v>
      </c>
      <c r="Z149" s="1118">
        <f t="shared" si="474"/>
        <v>491315955.74087954</v>
      </c>
      <c r="AA149" s="1119"/>
      <c r="AE149" s="1117">
        <f t="shared" si="475"/>
        <v>540639201.34976745</v>
      </c>
      <c r="AF149" s="1118">
        <f t="shared" si="476"/>
        <v>49323245.608887903</v>
      </c>
      <c r="AG149" s="1118">
        <f t="shared" si="477"/>
        <v>0</v>
      </c>
      <c r="AH149" s="1118">
        <f t="shared" si="478"/>
        <v>491315955.74087954</v>
      </c>
      <c r="AI149" s="1119"/>
      <c r="AM149" s="1117">
        <f t="shared" si="479"/>
        <v>540639201.34976745</v>
      </c>
      <c r="AN149" s="1118">
        <f t="shared" si="480"/>
        <v>49323245.608887903</v>
      </c>
      <c r="AO149" s="1118">
        <f t="shared" si="481"/>
        <v>0</v>
      </c>
      <c r="AP149" s="1118">
        <f t="shared" si="482"/>
        <v>491315955.74087954</v>
      </c>
      <c r="AQ149" s="1119"/>
      <c r="AU149" s="1117">
        <f t="shared" si="483"/>
        <v>540639201.34976745</v>
      </c>
      <c r="AV149" s="1118">
        <f t="shared" si="484"/>
        <v>49323245.608887903</v>
      </c>
      <c r="AW149" s="1118">
        <f t="shared" si="485"/>
        <v>0</v>
      </c>
      <c r="AX149" s="1118">
        <f t="shared" si="486"/>
        <v>491315955.74087954</v>
      </c>
      <c r="AY149" s="1119"/>
      <c r="BC149" s="1117">
        <f t="shared" si="487"/>
        <v>540639201.34976745</v>
      </c>
      <c r="BD149" s="1118">
        <f t="shared" si="488"/>
        <v>49323245.608887903</v>
      </c>
      <c r="BE149" s="1118">
        <f t="shared" si="489"/>
        <v>0</v>
      </c>
      <c r="BF149" s="1118">
        <f t="shared" si="490"/>
        <v>491315955.74087954</v>
      </c>
      <c r="BG149" s="1119"/>
      <c r="BK149" s="1117">
        <f t="shared" si="491"/>
        <v>540639201.34976745</v>
      </c>
      <c r="BL149" s="1118">
        <f t="shared" si="492"/>
        <v>49323245.608887903</v>
      </c>
      <c r="BM149" s="1118">
        <f t="shared" si="493"/>
        <v>0</v>
      </c>
      <c r="BN149" s="1118">
        <f t="shared" si="494"/>
        <v>491315955.74087954</v>
      </c>
      <c r="BO149" s="1119"/>
      <c r="BS149" s="1117">
        <f t="shared" si="495"/>
        <v>540639201.34976745</v>
      </c>
      <c r="BT149" s="1118">
        <f t="shared" si="496"/>
        <v>49323245.608887903</v>
      </c>
      <c r="BU149" s="1118">
        <f t="shared" si="497"/>
        <v>0</v>
      </c>
      <c r="BV149" s="1118">
        <f t="shared" si="498"/>
        <v>491315955.74087954</v>
      </c>
      <c r="BW149" s="1119"/>
      <c r="CA149" s="1117">
        <f t="shared" si="499"/>
        <v>540639201.34976745</v>
      </c>
      <c r="CB149" s="1118">
        <f t="shared" si="500"/>
        <v>49323245.608887903</v>
      </c>
      <c r="CC149" s="1118">
        <f t="shared" si="501"/>
        <v>0</v>
      </c>
      <c r="CD149" s="1118">
        <f t="shared" si="502"/>
        <v>491315955.74087954</v>
      </c>
      <c r="CE149" s="1119"/>
      <c r="CI149" s="1117">
        <f t="shared" si="503"/>
        <v>540639201.34976745</v>
      </c>
      <c r="CJ149" s="1118">
        <f t="shared" si="504"/>
        <v>49323245.608887903</v>
      </c>
      <c r="CK149" s="1118">
        <f t="shared" si="505"/>
        <v>0</v>
      </c>
      <c r="CL149" s="1118">
        <f t="shared" si="506"/>
        <v>491315955.74087954</v>
      </c>
      <c r="CM149" s="1119"/>
      <c r="CQ149" s="1117">
        <f t="shared" si="507"/>
        <v>540639201.34976745</v>
      </c>
      <c r="CR149" s="1118">
        <f t="shared" si="508"/>
        <v>49323245.608887903</v>
      </c>
      <c r="CS149" s="1118">
        <f t="shared" si="509"/>
        <v>0</v>
      </c>
      <c r="CT149" s="1118">
        <f t="shared" si="510"/>
        <v>491315955.74087954</v>
      </c>
      <c r="CU149" s="1119"/>
      <c r="CY149" s="1117">
        <f t="shared" si="511"/>
        <v>540639201.34976745</v>
      </c>
      <c r="CZ149" s="1118">
        <f t="shared" si="512"/>
        <v>49323245.608887903</v>
      </c>
      <c r="DA149" s="1118">
        <f t="shared" si="513"/>
        <v>0</v>
      </c>
      <c r="DB149" s="1118">
        <f t="shared" si="514"/>
        <v>491315955.74087954</v>
      </c>
      <c r="DC149" s="1119"/>
      <c r="DG149" s="1117">
        <f t="shared" si="515"/>
        <v>540639201.34976745</v>
      </c>
      <c r="DH149" s="1118">
        <f t="shared" si="516"/>
        <v>49323245.608887903</v>
      </c>
      <c r="DI149" s="1118">
        <f t="shared" si="517"/>
        <v>0</v>
      </c>
      <c r="DJ149" s="1118">
        <f t="shared" si="518"/>
        <v>491315955.74087954</v>
      </c>
      <c r="DK149" s="1119"/>
      <c r="DO149" s="1117">
        <f t="shared" si="519"/>
        <v>540639201.34976745</v>
      </c>
      <c r="DP149" s="1118">
        <f t="shared" si="520"/>
        <v>49323245.608887903</v>
      </c>
      <c r="DQ149" s="1118">
        <f t="shared" si="521"/>
        <v>0</v>
      </c>
      <c r="DR149" s="1118">
        <f t="shared" si="522"/>
        <v>491315955.74087954</v>
      </c>
      <c r="DS149" s="1119"/>
      <c r="DW149" s="1117">
        <f t="shared" si="523"/>
        <v>540639201.34976745</v>
      </c>
      <c r="DX149" s="1118">
        <f t="shared" si="524"/>
        <v>49323245.608887903</v>
      </c>
      <c r="DY149" s="1118">
        <f t="shared" si="525"/>
        <v>0</v>
      </c>
      <c r="DZ149" s="1118">
        <f t="shared" si="526"/>
        <v>491315955.74087954</v>
      </c>
      <c r="EA149" s="1119"/>
      <c r="EE149" s="1117">
        <f t="shared" si="527"/>
        <v>540639201.34976745</v>
      </c>
      <c r="EF149" s="1118">
        <f t="shared" si="528"/>
        <v>49323245.608887903</v>
      </c>
      <c r="EG149" s="1118">
        <f t="shared" si="529"/>
        <v>0</v>
      </c>
      <c r="EH149" s="1118">
        <f t="shared" si="530"/>
        <v>491315955.74087954</v>
      </c>
      <c r="EI149" s="1119"/>
      <c r="EM149" s="1117">
        <f t="shared" si="531"/>
        <v>540639201.34976745</v>
      </c>
      <c r="EN149" s="1118">
        <f t="shared" si="532"/>
        <v>49323245.608887903</v>
      </c>
      <c r="EO149" s="1118">
        <f t="shared" si="533"/>
        <v>0</v>
      </c>
      <c r="EP149" s="1118">
        <f t="shared" si="534"/>
        <v>491315955.74087954</v>
      </c>
      <c r="EQ149" s="1119"/>
      <c r="EU149" s="1117">
        <f t="shared" si="535"/>
        <v>540639201.34976745</v>
      </c>
      <c r="EV149" s="1118">
        <f t="shared" si="536"/>
        <v>49323245.608887903</v>
      </c>
      <c r="EW149" s="1118">
        <f t="shared" si="537"/>
        <v>0</v>
      </c>
      <c r="EX149" s="1118">
        <f t="shared" si="538"/>
        <v>491315955.74087954</v>
      </c>
      <c r="EY149" s="1119"/>
      <c r="FC149" s="1117">
        <f t="shared" si="539"/>
        <v>540639201.34976745</v>
      </c>
      <c r="FD149" s="1118">
        <f t="shared" si="540"/>
        <v>49323245.608887903</v>
      </c>
      <c r="FE149" s="1118">
        <f t="shared" si="541"/>
        <v>0</v>
      </c>
      <c r="FF149" s="1118">
        <f t="shared" si="542"/>
        <v>491315955.74087954</v>
      </c>
      <c r="FG149" s="1119"/>
      <c r="FK149" s="1117">
        <f t="shared" si="543"/>
        <v>540639201.34976745</v>
      </c>
      <c r="FL149" s="1118">
        <f t="shared" si="544"/>
        <v>49323245.608887903</v>
      </c>
      <c r="FM149" s="1118">
        <f t="shared" si="545"/>
        <v>0</v>
      </c>
      <c r="FN149" s="1118">
        <f t="shared" si="546"/>
        <v>491315955.74087954</v>
      </c>
      <c r="FO149" s="1119"/>
    </row>
    <row r="150" spans="1:171" x14ac:dyDescent="0.25">
      <c r="A150" s="913"/>
      <c r="B150" s="79" t="s">
        <v>23</v>
      </c>
      <c r="C150" s="889" t="s">
        <v>81</v>
      </c>
      <c r="D150" s="889">
        <v>255</v>
      </c>
      <c r="E150" s="182" t="str">
        <f>'Sch 1- Rate Base '!E150</f>
        <v>DIST</v>
      </c>
      <c r="F150" s="890"/>
      <c r="G150" s="182">
        <f>'Sch 1- Rate Base '!G150</f>
        <v>380033.94867876318</v>
      </c>
      <c r="H150" s="182">
        <f>'Sch 1- Rate Base '!H150</f>
        <v>0</v>
      </c>
      <c r="I150" s="182">
        <f>'Sch 1- Rate Base '!I150</f>
        <v>0</v>
      </c>
      <c r="J150" s="183">
        <f>'Sch 1- Rate Base '!J150</f>
        <v>380033.94867876318</v>
      </c>
      <c r="K150" s="904">
        <f t="shared" si="466"/>
        <v>1</v>
      </c>
      <c r="O150" s="1117">
        <f t="shared" si="467"/>
        <v>380033.94867876318</v>
      </c>
      <c r="P150" s="1118">
        <f t="shared" si="468"/>
        <v>0</v>
      </c>
      <c r="Q150" s="1118">
        <f t="shared" si="469"/>
        <v>0</v>
      </c>
      <c r="R150" s="1118">
        <f t="shared" si="470"/>
        <v>380033.94867876318</v>
      </c>
      <c r="S150" s="1119"/>
      <c r="W150" s="1117">
        <f t="shared" si="471"/>
        <v>380033.94867876318</v>
      </c>
      <c r="X150" s="1118">
        <f t="shared" si="472"/>
        <v>0</v>
      </c>
      <c r="Y150" s="1118">
        <f t="shared" si="473"/>
        <v>0</v>
      </c>
      <c r="Z150" s="1118">
        <f t="shared" si="474"/>
        <v>380033.94867876318</v>
      </c>
      <c r="AA150" s="1119"/>
      <c r="AE150" s="1117">
        <f t="shared" si="475"/>
        <v>380033.94867876318</v>
      </c>
      <c r="AF150" s="1118">
        <f t="shared" si="476"/>
        <v>0</v>
      </c>
      <c r="AG150" s="1118">
        <f t="shared" si="477"/>
        <v>0</v>
      </c>
      <c r="AH150" s="1118">
        <f t="shared" si="478"/>
        <v>380033.94867876318</v>
      </c>
      <c r="AI150" s="1119"/>
      <c r="AM150" s="1117">
        <f t="shared" si="479"/>
        <v>380033.94867876318</v>
      </c>
      <c r="AN150" s="1118">
        <f t="shared" si="480"/>
        <v>0</v>
      </c>
      <c r="AO150" s="1118">
        <f t="shared" si="481"/>
        <v>0</v>
      </c>
      <c r="AP150" s="1118">
        <f t="shared" si="482"/>
        <v>380033.94867876318</v>
      </c>
      <c r="AQ150" s="1119"/>
      <c r="AU150" s="1117">
        <f t="shared" si="483"/>
        <v>380033.94867876318</v>
      </c>
      <c r="AV150" s="1118">
        <f t="shared" si="484"/>
        <v>0</v>
      </c>
      <c r="AW150" s="1118">
        <f t="shared" si="485"/>
        <v>0</v>
      </c>
      <c r="AX150" s="1118">
        <f t="shared" si="486"/>
        <v>380033.94867876318</v>
      </c>
      <c r="AY150" s="1119"/>
      <c r="BC150" s="1117">
        <f t="shared" si="487"/>
        <v>380033.94867876318</v>
      </c>
      <c r="BD150" s="1118">
        <f t="shared" si="488"/>
        <v>0</v>
      </c>
      <c r="BE150" s="1118">
        <f t="shared" si="489"/>
        <v>0</v>
      </c>
      <c r="BF150" s="1118">
        <f t="shared" si="490"/>
        <v>380033.94867876318</v>
      </c>
      <c r="BG150" s="1119"/>
      <c r="BK150" s="1117">
        <f t="shared" si="491"/>
        <v>380033.94867876318</v>
      </c>
      <c r="BL150" s="1118">
        <f t="shared" si="492"/>
        <v>0</v>
      </c>
      <c r="BM150" s="1118">
        <f t="shared" si="493"/>
        <v>0</v>
      </c>
      <c r="BN150" s="1118">
        <f t="shared" si="494"/>
        <v>380033.94867876318</v>
      </c>
      <c r="BO150" s="1119"/>
      <c r="BS150" s="1117">
        <f t="shared" si="495"/>
        <v>380033.94867876318</v>
      </c>
      <c r="BT150" s="1118">
        <f t="shared" si="496"/>
        <v>0</v>
      </c>
      <c r="BU150" s="1118">
        <f t="shared" si="497"/>
        <v>0</v>
      </c>
      <c r="BV150" s="1118">
        <f t="shared" si="498"/>
        <v>380033.94867876318</v>
      </c>
      <c r="BW150" s="1119"/>
      <c r="CA150" s="1117">
        <f t="shared" si="499"/>
        <v>380033.94867876318</v>
      </c>
      <c r="CB150" s="1118">
        <f t="shared" si="500"/>
        <v>0</v>
      </c>
      <c r="CC150" s="1118">
        <f t="shared" si="501"/>
        <v>0</v>
      </c>
      <c r="CD150" s="1118">
        <f t="shared" si="502"/>
        <v>380033.94867876318</v>
      </c>
      <c r="CE150" s="1119"/>
      <c r="CI150" s="1117">
        <f t="shared" si="503"/>
        <v>380033.94867876318</v>
      </c>
      <c r="CJ150" s="1118">
        <f t="shared" si="504"/>
        <v>0</v>
      </c>
      <c r="CK150" s="1118">
        <f t="shared" si="505"/>
        <v>0</v>
      </c>
      <c r="CL150" s="1118">
        <f t="shared" si="506"/>
        <v>380033.94867876318</v>
      </c>
      <c r="CM150" s="1119"/>
      <c r="CQ150" s="1117">
        <f t="shared" si="507"/>
        <v>380033.94867876318</v>
      </c>
      <c r="CR150" s="1118">
        <f t="shared" si="508"/>
        <v>0</v>
      </c>
      <c r="CS150" s="1118">
        <f t="shared" si="509"/>
        <v>0</v>
      </c>
      <c r="CT150" s="1118">
        <f t="shared" si="510"/>
        <v>380033.94867876318</v>
      </c>
      <c r="CU150" s="1119"/>
      <c r="CY150" s="1117">
        <f t="shared" si="511"/>
        <v>380033.94867876318</v>
      </c>
      <c r="CZ150" s="1118">
        <f t="shared" si="512"/>
        <v>0</v>
      </c>
      <c r="DA150" s="1118">
        <f t="shared" si="513"/>
        <v>0</v>
      </c>
      <c r="DB150" s="1118">
        <f t="shared" si="514"/>
        <v>380033.94867876318</v>
      </c>
      <c r="DC150" s="1119"/>
      <c r="DG150" s="1117">
        <f t="shared" si="515"/>
        <v>380033.94867876318</v>
      </c>
      <c r="DH150" s="1118">
        <f t="shared" si="516"/>
        <v>0</v>
      </c>
      <c r="DI150" s="1118">
        <f t="shared" si="517"/>
        <v>0</v>
      </c>
      <c r="DJ150" s="1118">
        <f t="shared" si="518"/>
        <v>380033.94867876318</v>
      </c>
      <c r="DK150" s="1119"/>
      <c r="DO150" s="1117">
        <f t="shared" si="519"/>
        <v>380033.94867876318</v>
      </c>
      <c r="DP150" s="1118">
        <f t="shared" si="520"/>
        <v>0</v>
      </c>
      <c r="DQ150" s="1118">
        <f t="shared" si="521"/>
        <v>0</v>
      </c>
      <c r="DR150" s="1118">
        <f t="shared" si="522"/>
        <v>380033.94867876318</v>
      </c>
      <c r="DS150" s="1119"/>
      <c r="DW150" s="1117">
        <f t="shared" si="523"/>
        <v>380033.94867876318</v>
      </c>
      <c r="DX150" s="1118">
        <f t="shared" si="524"/>
        <v>0</v>
      </c>
      <c r="DY150" s="1118">
        <f t="shared" si="525"/>
        <v>0</v>
      </c>
      <c r="DZ150" s="1118">
        <f t="shared" si="526"/>
        <v>380033.94867876318</v>
      </c>
      <c r="EA150" s="1119"/>
      <c r="EE150" s="1117">
        <f t="shared" si="527"/>
        <v>380033.94867876318</v>
      </c>
      <c r="EF150" s="1118">
        <f t="shared" si="528"/>
        <v>0</v>
      </c>
      <c r="EG150" s="1118">
        <f t="shared" si="529"/>
        <v>0</v>
      </c>
      <c r="EH150" s="1118">
        <f t="shared" si="530"/>
        <v>380033.94867876318</v>
      </c>
      <c r="EI150" s="1119"/>
      <c r="EM150" s="1117">
        <f t="shared" si="531"/>
        <v>380033.94867876318</v>
      </c>
      <c r="EN150" s="1118">
        <f t="shared" si="532"/>
        <v>0</v>
      </c>
      <c r="EO150" s="1118">
        <f t="shared" si="533"/>
        <v>0</v>
      </c>
      <c r="EP150" s="1118">
        <f t="shared" si="534"/>
        <v>380033.94867876318</v>
      </c>
      <c r="EQ150" s="1119"/>
      <c r="EU150" s="1117">
        <f t="shared" si="535"/>
        <v>380033.94867876318</v>
      </c>
      <c r="EV150" s="1118">
        <f t="shared" si="536"/>
        <v>0</v>
      </c>
      <c r="EW150" s="1118">
        <f t="shared" si="537"/>
        <v>0</v>
      </c>
      <c r="EX150" s="1118">
        <f t="shared" si="538"/>
        <v>380033.94867876318</v>
      </c>
      <c r="EY150" s="1119"/>
      <c r="FC150" s="1117">
        <f t="shared" si="539"/>
        <v>380033.94867876318</v>
      </c>
      <c r="FD150" s="1118">
        <f t="shared" si="540"/>
        <v>0</v>
      </c>
      <c r="FE150" s="1118">
        <f t="shared" si="541"/>
        <v>0</v>
      </c>
      <c r="FF150" s="1118">
        <f t="shared" si="542"/>
        <v>380033.94867876318</v>
      </c>
      <c r="FG150" s="1119"/>
      <c r="FK150" s="1117">
        <f t="shared" si="543"/>
        <v>380033.94867876318</v>
      </c>
      <c r="FL150" s="1118">
        <f t="shared" si="544"/>
        <v>0</v>
      </c>
      <c r="FM150" s="1118">
        <f t="shared" si="545"/>
        <v>0</v>
      </c>
      <c r="FN150" s="1118">
        <f t="shared" si="546"/>
        <v>380033.94867876318</v>
      </c>
      <c r="FO150" s="1119"/>
    </row>
    <row r="151" spans="1:171" x14ac:dyDescent="0.25">
      <c r="A151" s="913"/>
      <c r="B151" s="79" t="s">
        <v>24</v>
      </c>
      <c r="C151" s="889" t="s">
        <v>81</v>
      </c>
      <c r="D151" s="889">
        <v>256</v>
      </c>
      <c r="E151" s="182" t="str">
        <f>'Sch 1- Rate Base '!E151</f>
        <v>DIRECT</v>
      </c>
      <c r="F151" s="890"/>
      <c r="G151" s="182">
        <f>'Sch 1- Rate Base '!G151</f>
        <v>0</v>
      </c>
      <c r="H151" s="182">
        <f>'Sch 1- Rate Base '!H151</f>
        <v>0</v>
      </c>
      <c r="I151" s="182">
        <f>'Sch 1- Rate Base '!I151</f>
        <v>0</v>
      </c>
      <c r="J151" s="183">
        <f>'Sch 1- Rate Base '!J151</f>
        <v>0</v>
      </c>
      <c r="K151" s="904">
        <f t="shared" si="466"/>
        <v>0</v>
      </c>
      <c r="O151" s="1117">
        <f t="shared" si="467"/>
        <v>0</v>
      </c>
      <c r="P151" s="1118">
        <f t="shared" si="468"/>
        <v>0</v>
      </c>
      <c r="Q151" s="1118">
        <f t="shared" si="469"/>
        <v>0</v>
      </c>
      <c r="R151" s="1118">
        <f t="shared" si="470"/>
        <v>0</v>
      </c>
      <c r="S151" s="1119"/>
      <c r="W151" s="1117">
        <f t="shared" si="471"/>
        <v>0</v>
      </c>
      <c r="X151" s="1118">
        <f t="shared" si="472"/>
        <v>0</v>
      </c>
      <c r="Y151" s="1118">
        <f t="shared" si="473"/>
        <v>0</v>
      </c>
      <c r="Z151" s="1118">
        <f t="shared" si="474"/>
        <v>0</v>
      </c>
      <c r="AA151" s="1119"/>
      <c r="AE151" s="1117">
        <f t="shared" si="475"/>
        <v>0</v>
      </c>
      <c r="AF151" s="1118">
        <f t="shared" si="476"/>
        <v>0</v>
      </c>
      <c r="AG151" s="1118">
        <f t="shared" si="477"/>
        <v>0</v>
      </c>
      <c r="AH151" s="1118">
        <f t="shared" si="478"/>
        <v>0</v>
      </c>
      <c r="AI151" s="1119"/>
      <c r="AM151" s="1117">
        <f t="shared" si="479"/>
        <v>0</v>
      </c>
      <c r="AN151" s="1118">
        <f t="shared" si="480"/>
        <v>0</v>
      </c>
      <c r="AO151" s="1118">
        <f t="shared" si="481"/>
        <v>0</v>
      </c>
      <c r="AP151" s="1118">
        <f t="shared" si="482"/>
        <v>0</v>
      </c>
      <c r="AQ151" s="1119"/>
      <c r="AU151" s="1117">
        <f t="shared" si="483"/>
        <v>0</v>
      </c>
      <c r="AV151" s="1118">
        <f t="shared" si="484"/>
        <v>0</v>
      </c>
      <c r="AW151" s="1118">
        <f t="shared" si="485"/>
        <v>0</v>
      </c>
      <c r="AX151" s="1118">
        <f t="shared" si="486"/>
        <v>0</v>
      </c>
      <c r="AY151" s="1119"/>
      <c r="BC151" s="1117">
        <f t="shared" si="487"/>
        <v>0</v>
      </c>
      <c r="BD151" s="1118">
        <f t="shared" si="488"/>
        <v>0</v>
      </c>
      <c r="BE151" s="1118">
        <f t="shared" si="489"/>
        <v>0</v>
      </c>
      <c r="BF151" s="1118">
        <f t="shared" si="490"/>
        <v>0</v>
      </c>
      <c r="BG151" s="1119"/>
      <c r="BK151" s="1117">
        <f t="shared" si="491"/>
        <v>0</v>
      </c>
      <c r="BL151" s="1118">
        <f t="shared" si="492"/>
        <v>0</v>
      </c>
      <c r="BM151" s="1118">
        <f t="shared" si="493"/>
        <v>0</v>
      </c>
      <c r="BN151" s="1118">
        <f t="shared" si="494"/>
        <v>0</v>
      </c>
      <c r="BO151" s="1119"/>
      <c r="BS151" s="1117">
        <f t="shared" si="495"/>
        <v>0</v>
      </c>
      <c r="BT151" s="1118">
        <f t="shared" si="496"/>
        <v>0</v>
      </c>
      <c r="BU151" s="1118">
        <f t="shared" si="497"/>
        <v>0</v>
      </c>
      <c r="BV151" s="1118">
        <f t="shared" si="498"/>
        <v>0</v>
      </c>
      <c r="BW151" s="1119"/>
      <c r="CA151" s="1117">
        <f t="shared" si="499"/>
        <v>0</v>
      </c>
      <c r="CB151" s="1118">
        <f t="shared" si="500"/>
        <v>0</v>
      </c>
      <c r="CC151" s="1118">
        <f t="shared" si="501"/>
        <v>0</v>
      </c>
      <c r="CD151" s="1118">
        <f t="shared" si="502"/>
        <v>0</v>
      </c>
      <c r="CE151" s="1119"/>
      <c r="CI151" s="1117">
        <f t="shared" si="503"/>
        <v>0</v>
      </c>
      <c r="CJ151" s="1118">
        <f t="shared" si="504"/>
        <v>0</v>
      </c>
      <c r="CK151" s="1118">
        <f t="shared" si="505"/>
        <v>0</v>
      </c>
      <c r="CL151" s="1118">
        <f t="shared" si="506"/>
        <v>0</v>
      </c>
      <c r="CM151" s="1119"/>
      <c r="CQ151" s="1117">
        <f t="shared" si="507"/>
        <v>0</v>
      </c>
      <c r="CR151" s="1118">
        <f t="shared" si="508"/>
        <v>0</v>
      </c>
      <c r="CS151" s="1118">
        <f t="shared" si="509"/>
        <v>0</v>
      </c>
      <c r="CT151" s="1118">
        <f t="shared" si="510"/>
        <v>0</v>
      </c>
      <c r="CU151" s="1119"/>
      <c r="CY151" s="1117">
        <f t="shared" si="511"/>
        <v>0</v>
      </c>
      <c r="CZ151" s="1118">
        <f t="shared" si="512"/>
        <v>0</v>
      </c>
      <c r="DA151" s="1118">
        <f t="shared" si="513"/>
        <v>0</v>
      </c>
      <c r="DB151" s="1118">
        <f t="shared" si="514"/>
        <v>0</v>
      </c>
      <c r="DC151" s="1119"/>
      <c r="DG151" s="1117">
        <f t="shared" si="515"/>
        <v>0</v>
      </c>
      <c r="DH151" s="1118">
        <f t="shared" si="516"/>
        <v>0</v>
      </c>
      <c r="DI151" s="1118">
        <f t="shared" si="517"/>
        <v>0</v>
      </c>
      <c r="DJ151" s="1118">
        <f t="shared" si="518"/>
        <v>0</v>
      </c>
      <c r="DK151" s="1119"/>
      <c r="DO151" s="1117">
        <f t="shared" si="519"/>
        <v>0</v>
      </c>
      <c r="DP151" s="1118">
        <f t="shared" si="520"/>
        <v>0</v>
      </c>
      <c r="DQ151" s="1118">
        <f t="shared" si="521"/>
        <v>0</v>
      </c>
      <c r="DR151" s="1118">
        <f t="shared" si="522"/>
        <v>0</v>
      </c>
      <c r="DS151" s="1119"/>
      <c r="DW151" s="1117">
        <f t="shared" si="523"/>
        <v>0</v>
      </c>
      <c r="DX151" s="1118">
        <f t="shared" si="524"/>
        <v>0</v>
      </c>
      <c r="DY151" s="1118">
        <f t="shared" si="525"/>
        <v>0</v>
      </c>
      <c r="DZ151" s="1118">
        <f t="shared" si="526"/>
        <v>0</v>
      </c>
      <c r="EA151" s="1119"/>
      <c r="EE151" s="1117">
        <f t="shared" si="527"/>
        <v>0</v>
      </c>
      <c r="EF151" s="1118">
        <f t="shared" si="528"/>
        <v>0</v>
      </c>
      <c r="EG151" s="1118">
        <f t="shared" si="529"/>
        <v>0</v>
      </c>
      <c r="EH151" s="1118">
        <f t="shared" si="530"/>
        <v>0</v>
      </c>
      <c r="EI151" s="1119"/>
      <c r="EM151" s="1117">
        <f t="shared" si="531"/>
        <v>0</v>
      </c>
      <c r="EN151" s="1118">
        <f t="shared" si="532"/>
        <v>0</v>
      </c>
      <c r="EO151" s="1118">
        <f t="shared" si="533"/>
        <v>0</v>
      </c>
      <c r="EP151" s="1118">
        <f t="shared" si="534"/>
        <v>0</v>
      </c>
      <c r="EQ151" s="1119"/>
      <c r="EU151" s="1117">
        <f t="shared" si="535"/>
        <v>0</v>
      </c>
      <c r="EV151" s="1118">
        <f t="shared" si="536"/>
        <v>0</v>
      </c>
      <c r="EW151" s="1118">
        <f t="shared" si="537"/>
        <v>0</v>
      </c>
      <c r="EX151" s="1118">
        <f t="shared" si="538"/>
        <v>0</v>
      </c>
      <c r="EY151" s="1119"/>
      <c r="FC151" s="1117">
        <f t="shared" si="539"/>
        <v>0</v>
      </c>
      <c r="FD151" s="1118">
        <f t="shared" si="540"/>
        <v>0</v>
      </c>
      <c r="FE151" s="1118">
        <f t="shared" si="541"/>
        <v>0</v>
      </c>
      <c r="FF151" s="1118">
        <f t="shared" si="542"/>
        <v>0</v>
      </c>
      <c r="FG151" s="1119"/>
      <c r="FK151" s="1117">
        <f t="shared" si="543"/>
        <v>0</v>
      </c>
      <c r="FL151" s="1118">
        <f t="shared" si="544"/>
        <v>0</v>
      </c>
      <c r="FM151" s="1118">
        <f t="shared" si="545"/>
        <v>0</v>
      </c>
      <c r="FN151" s="1118">
        <f t="shared" si="546"/>
        <v>0</v>
      </c>
      <c r="FO151" s="1119"/>
    </row>
    <row r="152" spans="1:171" x14ac:dyDescent="0.25">
      <c r="A152" s="913"/>
      <c r="B152" s="79" t="s">
        <v>27</v>
      </c>
      <c r="C152" s="889" t="s">
        <v>81</v>
      </c>
      <c r="D152" s="889">
        <v>257</v>
      </c>
      <c r="E152" s="182" t="str">
        <f>'Sch 1- Rate Base '!E152</f>
        <v>PTDG</v>
      </c>
      <c r="F152" s="890"/>
      <c r="G152" s="182">
        <f>'Sch 1- Rate Base '!G152</f>
        <v>0</v>
      </c>
      <c r="H152" s="182">
        <f>'Sch 1- Rate Base '!H152</f>
        <v>0</v>
      </c>
      <c r="I152" s="182">
        <f>'Sch 1- Rate Base '!I152</f>
        <v>0</v>
      </c>
      <c r="J152" s="183">
        <f>'Sch 1- Rate Base '!J152</f>
        <v>0</v>
      </c>
      <c r="K152" s="904">
        <f t="shared" si="466"/>
        <v>1</v>
      </c>
      <c r="O152" s="1117">
        <f t="shared" si="467"/>
        <v>0</v>
      </c>
      <c r="P152" s="1118">
        <f t="shared" si="468"/>
        <v>0</v>
      </c>
      <c r="Q152" s="1118">
        <f t="shared" si="469"/>
        <v>0</v>
      </c>
      <c r="R152" s="1118">
        <f t="shared" si="470"/>
        <v>0</v>
      </c>
      <c r="S152" s="1119"/>
      <c r="W152" s="1117">
        <f t="shared" si="471"/>
        <v>0</v>
      </c>
      <c r="X152" s="1118">
        <f t="shared" si="472"/>
        <v>0</v>
      </c>
      <c r="Y152" s="1118">
        <f t="shared" si="473"/>
        <v>0</v>
      </c>
      <c r="Z152" s="1118">
        <f t="shared" si="474"/>
        <v>0</v>
      </c>
      <c r="AA152" s="1119"/>
      <c r="AE152" s="1117">
        <f t="shared" si="475"/>
        <v>0</v>
      </c>
      <c r="AF152" s="1118">
        <f t="shared" si="476"/>
        <v>0</v>
      </c>
      <c r="AG152" s="1118">
        <f t="shared" si="477"/>
        <v>0</v>
      </c>
      <c r="AH152" s="1118">
        <f t="shared" si="478"/>
        <v>0</v>
      </c>
      <c r="AI152" s="1119"/>
      <c r="AM152" s="1117">
        <f t="shared" si="479"/>
        <v>0</v>
      </c>
      <c r="AN152" s="1118">
        <f t="shared" si="480"/>
        <v>0</v>
      </c>
      <c r="AO152" s="1118">
        <f t="shared" si="481"/>
        <v>0</v>
      </c>
      <c r="AP152" s="1118">
        <f t="shared" si="482"/>
        <v>0</v>
      </c>
      <c r="AQ152" s="1119"/>
      <c r="AU152" s="1117">
        <f t="shared" si="483"/>
        <v>0</v>
      </c>
      <c r="AV152" s="1118">
        <f t="shared" si="484"/>
        <v>0</v>
      </c>
      <c r="AW152" s="1118">
        <f t="shared" si="485"/>
        <v>0</v>
      </c>
      <c r="AX152" s="1118">
        <f t="shared" si="486"/>
        <v>0</v>
      </c>
      <c r="AY152" s="1119"/>
      <c r="BC152" s="1117">
        <f t="shared" si="487"/>
        <v>0</v>
      </c>
      <c r="BD152" s="1118">
        <f t="shared" si="488"/>
        <v>0</v>
      </c>
      <c r="BE152" s="1118">
        <f t="shared" si="489"/>
        <v>0</v>
      </c>
      <c r="BF152" s="1118">
        <f t="shared" si="490"/>
        <v>0</v>
      </c>
      <c r="BG152" s="1119"/>
      <c r="BK152" s="1117">
        <f t="shared" si="491"/>
        <v>0</v>
      </c>
      <c r="BL152" s="1118">
        <f t="shared" si="492"/>
        <v>0</v>
      </c>
      <c r="BM152" s="1118">
        <f t="shared" si="493"/>
        <v>0</v>
      </c>
      <c r="BN152" s="1118">
        <f t="shared" si="494"/>
        <v>0</v>
      </c>
      <c r="BO152" s="1119"/>
      <c r="BS152" s="1117">
        <f t="shared" si="495"/>
        <v>0</v>
      </c>
      <c r="BT152" s="1118">
        <f t="shared" si="496"/>
        <v>0</v>
      </c>
      <c r="BU152" s="1118">
        <f t="shared" si="497"/>
        <v>0</v>
      </c>
      <c r="BV152" s="1118">
        <f t="shared" si="498"/>
        <v>0</v>
      </c>
      <c r="BW152" s="1119"/>
      <c r="CA152" s="1117">
        <f t="shared" si="499"/>
        <v>0</v>
      </c>
      <c r="CB152" s="1118">
        <f t="shared" si="500"/>
        <v>0</v>
      </c>
      <c r="CC152" s="1118">
        <f t="shared" si="501"/>
        <v>0</v>
      </c>
      <c r="CD152" s="1118">
        <f t="shared" si="502"/>
        <v>0</v>
      </c>
      <c r="CE152" s="1119"/>
      <c r="CI152" s="1117">
        <f t="shared" si="503"/>
        <v>0</v>
      </c>
      <c r="CJ152" s="1118">
        <f t="shared" si="504"/>
        <v>0</v>
      </c>
      <c r="CK152" s="1118">
        <f t="shared" si="505"/>
        <v>0</v>
      </c>
      <c r="CL152" s="1118">
        <f t="shared" si="506"/>
        <v>0</v>
      </c>
      <c r="CM152" s="1119"/>
      <c r="CQ152" s="1117">
        <f t="shared" si="507"/>
        <v>0</v>
      </c>
      <c r="CR152" s="1118">
        <f t="shared" si="508"/>
        <v>0</v>
      </c>
      <c r="CS152" s="1118">
        <f t="shared" si="509"/>
        <v>0</v>
      </c>
      <c r="CT152" s="1118">
        <f t="shared" si="510"/>
        <v>0</v>
      </c>
      <c r="CU152" s="1119"/>
      <c r="CY152" s="1117">
        <f t="shared" si="511"/>
        <v>0</v>
      </c>
      <c r="CZ152" s="1118">
        <f t="shared" si="512"/>
        <v>0</v>
      </c>
      <c r="DA152" s="1118">
        <f t="shared" si="513"/>
        <v>0</v>
      </c>
      <c r="DB152" s="1118">
        <f t="shared" si="514"/>
        <v>0</v>
      </c>
      <c r="DC152" s="1119"/>
      <c r="DG152" s="1117">
        <f t="shared" si="515"/>
        <v>0</v>
      </c>
      <c r="DH152" s="1118">
        <f t="shared" si="516"/>
        <v>0</v>
      </c>
      <c r="DI152" s="1118">
        <f t="shared" si="517"/>
        <v>0</v>
      </c>
      <c r="DJ152" s="1118">
        <f t="shared" si="518"/>
        <v>0</v>
      </c>
      <c r="DK152" s="1119"/>
      <c r="DO152" s="1117">
        <f t="shared" si="519"/>
        <v>0</v>
      </c>
      <c r="DP152" s="1118">
        <f t="shared" si="520"/>
        <v>0</v>
      </c>
      <c r="DQ152" s="1118">
        <f t="shared" si="521"/>
        <v>0</v>
      </c>
      <c r="DR152" s="1118">
        <f t="shared" si="522"/>
        <v>0</v>
      </c>
      <c r="DS152" s="1119"/>
      <c r="DW152" s="1117">
        <f t="shared" si="523"/>
        <v>0</v>
      </c>
      <c r="DX152" s="1118">
        <f t="shared" si="524"/>
        <v>0</v>
      </c>
      <c r="DY152" s="1118">
        <f t="shared" si="525"/>
        <v>0</v>
      </c>
      <c r="DZ152" s="1118">
        <f t="shared" si="526"/>
        <v>0</v>
      </c>
      <c r="EA152" s="1119"/>
      <c r="EE152" s="1117">
        <f t="shared" si="527"/>
        <v>0</v>
      </c>
      <c r="EF152" s="1118">
        <f t="shared" si="528"/>
        <v>0</v>
      </c>
      <c r="EG152" s="1118">
        <f t="shared" si="529"/>
        <v>0</v>
      </c>
      <c r="EH152" s="1118">
        <f t="shared" si="530"/>
        <v>0</v>
      </c>
      <c r="EI152" s="1119"/>
      <c r="EM152" s="1117">
        <f t="shared" si="531"/>
        <v>0</v>
      </c>
      <c r="EN152" s="1118">
        <f t="shared" si="532"/>
        <v>0</v>
      </c>
      <c r="EO152" s="1118">
        <f t="shared" si="533"/>
        <v>0</v>
      </c>
      <c r="EP152" s="1118">
        <f t="shared" si="534"/>
        <v>0</v>
      </c>
      <c r="EQ152" s="1119"/>
      <c r="EU152" s="1117">
        <f t="shared" si="535"/>
        <v>0</v>
      </c>
      <c r="EV152" s="1118">
        <f t="shared" si="536"/>
        <v>0</v>
      </c>
      <c r="EW152" s="1118">
        <f t="shared" si="537"/>
        <v>0</v>
      </c>
      <c r="EX152" s="1118">
        <f t="shared" si="538"/>
        <v>0</v>
      </c>
      <c r="EY152" s="1119"/>
      <c r="FC152" s="1117">
        <f t="shared" si="539"/>
        <v>0</v>
      </c>
      <c r="FD152" s="1118">
        <f t="shared" si="540"/>
        <v>0</v>
      </c>
      <c r="FE152" s="1118">
        <f t="shared" si="541"/>
        <v>0</v>
      </c>
      <c r="FF152" s="1118">
        <f t="shared" si="542"/>
        <v>0</v>
      </c>
      <c r="FG152" s="1119"/>
      <c r="FK152" s="1117">
        <f t="shared" si="543"/>
        <v>0</v>
      </c>
      <c r="FL152" s="1118">
        <f t="shared" si="544"/>
        <v>0</v>
      </c>
      <c r="FM152" s="1118">
        <f t="shared" si="545"/>
        <v>0</v>
      </c>
      <c r="FN152" s="1118">
        <f t="shared" si="546"/>
        <v>0</v>
      </c>
      <c r="FO152" s="1119"/>
    </row>
    <row r="153" spans="1:171" x14ac:dyDescent="0.25">
      <c r="A153" s="913"/>
      <c r="B153" s="79" t="s">
        <v>31</v>
      </c>
      <c r="C153" s="889" t="s">
        <v>81</v>
      </c>
      <c r="D153" s="889">
        <v>281</v>
      </c>
      <c r="E153" s="182" t="str">
        <f>'Sch 1- Rate Base '!E153</f>
        <v>DIST</v>
      </c>
      <c r="F153" s="890"/>
      <c r="G153" s="182">
        <f>'Sch 1- Rate Base '!G153</f>
        <v>49345436.339833371</v>
      </c>
      <c r="H153" s="182">
        <f>'Sch 1- Rate Base '!H153</f>
        <v>0</v>
      </c>
      <c r="I153" s="182">
        <f>'Sch 1- Rate Base '!I153</f>
        <v>0</v>
      </c>
      <c r="J153" s="183">
        <f>'Sch 1- Rate Base '!J153</f>
        <v>49345436.339833371</v>
      </c>
      <c r="K153" s="904">
        <f t="shared" si="466"/>
        <v>1</v>
      </c>
      <c r="O153" s="1117">
        <f t="shared" si="467"/>
        <v>49345436.339833371</v>
      </c>
      <c r="P153" s="1118">
        <f t="shared" si="468"/>
        <v>0</v>
      </c>
      <c r="Q153" s="1118">
        <f t="shared" si="469"/>
        <v>0</v>
      </c>
      <c r="R153" s="1118">
        <f t="shared" si="470"/>
        <v>49345436.339833371</v>
      </c>
      <c r="S153" s="1119"/>
      <c r="W153" s="1117">
        <f t="shared" si="471"/>
        <v>49345436.339833371</v>
      </c>
      <c r="X153" s="1118">
        <f t="shared" si="472"/>
        <v>0</v>
      </c>
      <c r="Y153" s="1118">
        <f t="shared" si="473"/>
        <v>0</v>
      </c>
      <c r="Z153" s="1118">
        <f t="shared" si="474"/>
        <v>49345436.339833371</v>
      </c>
      <c r="AA153" s="1119"/>
      <c r="AE153" s="1117">
        <f t="shared" si="475"/>
        <v>49345436.339833371</v>
      </c>
      <c r="AF153" s="1118">
        <f t="shared" si="476"/>
        <v>0</v>
      </c>
      <c r="AG153" s="1118">
        <f t="shared" si="477"/>
        <v>0</v>
      </c>
      <c r="AH153" s="1118">
        <f t="shared" si="478"/>
        <v>49345436.339833371</v>
      </c>
      <c r="AI153" s="1119"/>
      <c r="AM153" s="1117">
        <f t="shared" si="479"/>
        <v>49345436.339833371</v>
      </c>
      <c r="AN153" s="1118">
        <f t="shared" si="480"/>
        <v>0</v>
      </c>
      <c r="AO153" s="1118">
        <f t="shared" si="481"/>
        <v>0</v>
      </c>
      <c r="AP153" s="1118">
        <f t="shared" si="482"/>
        <v>49345436.339833371</v>
      </c>
      <c r="AQ153" s="1119"/>
      <c r="AU153" s="1117">
        <f t="shared" si="483"/>
        <v>49345436.339833371</v>
      </c>
      <c r="AV153" s="1118">
        <f t="shared" si="484"/>
        <v>0</v>
      </c>
      <c r="AW153" s="1118">
        <f t="shared" si="485"/>
        <v>0</v>
      </c>
      <c r="AX153" s="1118">
        <f t="shared" si="486"/>
        <v>49345436.339833371</v>
      </c>
      <c r="AY153" s="1119"/>
      <c r="BC153" s="1117">
        <f t="shared" si="487"/>
        <v>49345436.339833371</v>
      </c>
      <c r="BD153" s="1118">
        <f t="shared" si="488"/>
        <v>0</v>
      </c>
      <c r="BE153" s="1118">
        <f t="shared" si="489"/>
        <v>0</v>
      </c>
      <c r="BF153" s="1118">
        <f t="shared" si="490"/>
        <v>49345436.339833371</v>
      </c>
      <c r="BG153" s="1119"/>
      <c r="BK153" s="1117">
        <f t="shared" si="491"/>
        <v>49345436.339833371</v>
      </c>
      <c r="BL153" s="1118">
        <f t="shared" si="492"/>
        <v>0</v>
      </c>
      <c r="BM153" s="1118">
        <f t="shared" si="493"/>
        <v>0</v>
      </c>
      <c r="BN153" s="1118">
        <f t="shared" si="494"/>
        <v>49345436.339833371</v>
      </c>
      <c r="BO153" s="1119"/>
      <c r="BS153" s="1117">
        <f t="shared" si="495"/>
        <v>49345436.339833371</v>
      </c>
      <c r="BT153" s="1118">
        <f t="shared" si="496"/>
        <v>0</v>
      </c>
      <c r="BU153" s="1118">
        <f t="shared" si="497"/>
        <v>0</v>
      </c>
      <c r="BV153" s="1118">
        <f t="shared" si="498"/>
        <v>49345436.339833371</v>
      </c>
      <c r="BW153" s="1119"/>
      <c r="CA153" s="1117">
        <f t="shared" si="499"/>
        <v>49345436.339833371</v>
      </c>
      <c r="CB153" s="1118">
        <f t="shared" si="500"/>
        <v>0</v>
      </c>
      <c r="CC153" s="1118">
        <f t="shared" si="501"/>
        <v>0</v>
      </c>
      <c r="CD153" s="1118">
        <f t="shared" si="502"/>
        <v>49345436.339833371</v>
      </c>
      <c r="CE153" s="1119"/>
      <c r="CI153" s="1117">
        <f t="shared" si="503"/>
        <v>49345436.339833371</v>
      </c>
      <c r="CJ153" s="1118">
        <f t="shared" si="504"/>
        <v>0</v>
      </c>
      <c r="CK153" s="1118">
        <f t="shared" si="505"/>
        <v>0</v>
      </c>
      <c r="CL153" s="1118">
        <f t="shared" si="506"/>
        <v>49345436.339833371</v>
      </c>
      <c r="CM153" s="1119"/>
      <c r="CQ153" s="1117">
        <f t="shared" si="507"/>
        <v>49345436.339833371</v>
      </c>
      <c r="CR153" s="1118">
        <f t="shared" si="508"/>
        <v>0</v>
      </c>
      <c r="CS153" s="1118">
        <f t="shared" si="509"/>
        <v>0</v>
      </c>
      <c r="CT153" s="1118">
        <f t="shared" si="510"/>
        <v>49345436.339833371</v>
      </c>
      <c r="CU153" s="1119"/>
      <c r="CY153" s="1117">
        <f t="shared" si="511"/>
        <v>49345436.339833371</v>
      </c>
      <c r="CZ153" s="1118">
        <f t="shared" si="512"/>
        <v>0</v>
      </c>
      <c r="DA153" s="1118">
        <f t="shared" si="513"/>
        <v>0</v>
      </c>
      <c r="DB153" s="1118">
        <f t="shared" si="514"/>
        <v>49345436.339833371</v>
      </c>
      <c r="DC153" s="1119"/>
      <c r="DG153" s="1117">
        <f t="shared" si="515"/>
        <v>49345436.339833371</v>
      </c>
      <c r="DH153" s="1118">
        <f t="shared" si="516"/>
        <v>0</v>
      </c>
      <c r="DI153" s="1118">
        <f t="shared" si="517"/>
        <v>0</v>
      </c>
      <c r="DJ153" s="1118">
        <f t="shared" si="518"/>
        <v>49345436.339833371</v>
      </c>
      <c r="DK153" s="1119"/>
      <c r="DO153" s="1117">
        <f t="shared" si="519"/>
        <v>49345436.339833371</v>
      </c>
      <c r="DP153" s="1118">
        <f t="shared" si="520"/>
        <v>0</v>
      </c>
      <c r="DQ153" s="1118">
        <f t="shared" si="521"/>
        <v>0</v>
      </c>
      <c r="DR153" s="1118">
        <f t="shared" si="522"/>
        <v>49345436.339833371</v>
      </c>
      <c r="DS153" s="1119"/>
      <c r="DW153" s="1117">
        <f t="shared" si="523"/>
        <v>49345436.339833371</v>
      </c>
      <c r="DX153" s="1118">
        <f t="shared" si="524"/>
        <v>0</v>
      </c>
      <c r="DY153" s="1118">
        <f t="shared" si="525"/>
        <v>0</v>
      </c>
      <c r="DZ153" s="1118">
        <f t="shared" si="526"/>
        <v>49345436.339833371</v>
      </c>
      <c r="EA153" s="1119"/>
      <c r="EE153" s="1117">
        <f t="shared" si="527"/>
        <v>49345436.339833371</v>
      </c>
      <c r="EF153" s="1118">
        <f t="shared" si="528"/>
        <v>0</v>
      </c>
      <c r="EG153" s="1118">
        <f t="shared" si="529"/>
        <v>0</v>
      </c>
      <c r="EH153" s="1118">
        <f t="shared" si="530"/>
        <v>49345436.339833371</v>
      </c>
      <c r="EI153" s="1119"/>
      <c r="EM153" s="1117">
        <f t="shared" si="531"/>
        <v>49345436.339833371</v>
      </c>
      <c r="EN153" s="1118">
        <f t="shared" si="532"/>
        <v>0</v>
      </c>
      <c r="EO153" s="1118">
        <f t="shared" si="533"/>
        <v>0</v>
      </c>
      <c r="EP153" s="1118">
        <f t="shared" si="534"/>
        <v>49345436.339833371</v>
      </c>
      <c r="EQ153" s="1119"/>
      <c r="EU153" s="1117">
        <f t="shared" si="535"/>
        <v>49345436.339833371</v>
      </c>
      <c r="EV153" s="1118">
        <f t="shared" si="536"/>
        <v>0</v>
      </c>
      <c r="EW153" s="1118">
        <f t="shared" si="537"/>
        <v>0</v>
      </c>
      <c r="EX153" s="1118">
        <f t="shared" si="538"/>
        <v>49345436.339833371</v>
      </c>
      <c r="EY153" s="1119"/>
      <c r="FC153" s="1117">
        <f t="shared" si="539"/>
        <v>49345436.339833371</v>
      </c>
      <c r="FD153" s="1118">
        <f t="shared" si="540"/>
        <v>0</v>
      </c>
      <c r="FE153" s="1118">
        <f t="shared" si="541"/>
        <v>0</v>
      </c>
      <c r="FF153" s="1118">
        <f t="shared" si="542"/>
        <v>49345436.339833371</v>
      </c>
      <c r="FG153" s="1119"/>
      <c r="FK153" s="1117">
        <f t="shared" si="543"/>
        <v>49345436.339833371</v>
      </c>
      <c r="FL153" s="1118">
        <f t="shared" si="544"/>
        <v>0</v>
      </c>
      <c r="FM153" s="1118">
        <f t="shared" si="545"/>
        <v>0</v>
      </c>
      <c r="FN153" s="1118">
        <f t="shared" si="546"/>
        <v>49345436.339833371</v>
      </c>
      <c r="FO153" s="1119"/>
    </row>
    <row r="154" spans="1:171" x14ac:dyDescent="0.25">
      <c r="A154" s="913"/>
      <c r="B154" s="79" t="s">
        <v>32</v>
      </c>
      <c r="C154" s="889" t="s">
        <v>81</v>
      </c>
      <c r="D154" s="889">
        <v>282</v>
      </c>
      <c r="E154" s="182" t="str">
        <f>'Sch 1- Rate Base '!E154</f>
        <v>DIST</v>
      </c>
      <c r="F154" s="890"/>
      <c r="G154" s="182">
        <f>'Sch 1- Rate Base '!G154</f>
        <v>1235537678.297518</v>
      </c>
      <c r="H154" s="182">
        <f>'Sch 1- Rate Base '!H154</f>
        <v>0</v>
      </c>
      <c r="I154" s="182">
        <f>'Sch 1- Rate Base '!I154</f>
        <v>0</v>
      </c>
      <c r="J154" s="183">
        <f>'Sch 1- Rate Base '!J154</f>
        <v>1235537678.297518</v>
      </c>
      <c r="K154" s="904">
        <f t="shared" si="466"/>
        <v>1</v>
      </c>
      <c r="O154" s="1117">
        <f t="shared" si="467"/>
        <v>1235537678.297518</v>
      </c>
      <c r="P154" s="1118">
        <f t="shared" si="468"/>
        <v>0</v>
      </c>
      <c r="Q154" s="1118">
        <f t="shared" si="469"/>
        <v>0</v>
      </c>
      <c r="R154" s="1118">
        <f t="shared" si="470"/>
        <v>1235537678.297518</v>
      </c>
      <c r="S154" s="1119"/>
      <c r="W154" s="1117">
        <f t="shared" si="471"/>
        <v>1235537678.297518</v>
      </c>
      <c r="X154" s="1118">
        <f t="shared" si="472"/>
        <v>0</v>
      </c>
      <c r="Y154" s="1118">
        <f t="shared" si="473"/>
        <v>0</v>
      </c>
      <c r="Z154" s="1118">
        <f t="shared" si="474"/>
        <v>1235537678.297518</v>
      </c>
      <c r="AA154" s="1119"/>
      <c r="AE154" s="1117">
        <f t="shared" si="475"/>
        <v>1235537678.297518</v>
      </c>
      <c r="AF154" s="1118">
        <f t="shared" si="476"/>
        <v>0</v>
      </c>
      <c r="AG154" s="1118">
        <f t="shared" si="477"/>
        <v>0</v>
      </c>
      <c r="AH154" s="1118">
        <f t="shared" si="478"/>
        <v>1235537678.297518</v>
      </c>
      <c r="AI154" s="1119"/>
      <c r="AM154" s="1117">
        <f t="shared" si="479"/>
        <v>1235537678.297518</v>
      </c>
      <c r="AN154" s="1118">
        <f t="shared" si="480"/>
        <v>0</v>
      </c>
      <c r="AO154" s="1118">
        <f t="shared" si="481"/>
        <v>0</v>
      </c>
      <c r="AP154" s="1118">
        <f t="shared" si="482"/>
        <v>1235537678.297518</v>
      </c>
      <c r="AQ154" s="1119"/>
      <c r="AU154" s="1117">
        <f t="shared" si="483"/>
        <v>1235537678.297518</v>
      </c>
      <c r="AV154" s="1118">
        <f t="shared" si="484"/>
        <v>0</v>
      </c>
      <c r="AW154" s="1118">
        <f t="shared" si="485"/>
        <v>0</v>
      </c>
      <c r="AX154" s="1118">
        <f t="shared" si="486"/>
        <v>1235537678.297518</v>
      </c>
      <c r="AY154" s="1119"/>
      <c r="BC154" s="1117">
        <f t="shared" si="487"/>
        <v>1235537678.297518</v>
      </c>
      <c r="BD154" s="1118">
        <f t="shared" si="488"/>
        <v>0</v>
      </c>
      <c r="BE154" s="1118">
        <f t="shared" si="489"/>
        <v>0</v>
      </c>
      <c r="BF154" s="1118">
        <f t="shared" si="490"/>
        <v>1235537678.297518</v>
      </c>
      <c r="BG154" s="1119"/>
      <c r="BK154" s="1117">
        <f t="shared" si="491"/>
        <v>1235537678.297518</v>
      </c>
      <c r="BL154" s="1118">
        <f t="shared" si="492"/>
        <v>0</v>
      </c>
      <c r="BM154" s="1118">
        <f t="shared" si="493"/>
        <v>0</v>
      </c>
      <c r="BN154" s="1118">
        <f t="shared" si="494"/>
        <v>1235537678.297518</v>
      </c>
      <c r="BO154" s="1119"/>
      <c r="BS154" s="1117">
        <f t="shared" si="495"/>
        <v>1235537678.297518</v>
      </c>
      <c r="BT154" s="1118">
        <f t="shared" si="496"/>
        <v>0</v>
      </c>
      <c r="BU154" s="1118">
        <f t="shared" si="497"/>
        <v>0</v>
      </c>
      <c r="BV154" s="1118">
        <f t="shared" si="498"/>
        <v>1235537678.297518</v>
      </c>
      <c r="BW154" s="1119"/>
      <c r="CA154" s="1117">
        <f t="shared" si="499"/>
        <v>1235537678.297518</v>
      </c>
      <c r="CB154" s="1118">
        <f t="shared" si="500"/>
        <v>0</v>
      </c>
      <c r="CC154" s="1118">
        <f t="shared" si="501"/>
        <v>0</v>
      </c>
      <c r="CD154" s="1118">
        <f t="shared" si="502"/>
        <v>1235537678.297518</v>
      </c>
      <c r="CE154" s="1119"/>
      <c r="CI154" s="1117">
        <f t="shared" si="503"/>
        <v>1235537678.297518</v>
      </c>
      <c r="CJ154" s="1118">
        <f t="shared" si="504"/>
        <v>0</v>
      </c>
      <c r="CK154" s="1118">
        <f t="shared" si="505"/>
        <v>0</v>
      </c>
      <c r="CL154" s="1118">
        <f t="shared" si="506"/>
        <v>1235537678.297518</v>
      </c>
      <c r="CM154" s="1119"/>
      <c r="CQ154" s="1117">
        <f t="shared" si="507"/>
        <v>1235537678.297518</v>
      </c>
      <c r="CR154" s="1118">
        <f t="shared" si="508"/>
        <v>0</v>
      </c>
      <c r="CS154" s="1118">
        <f t="shared" si="509"/>
        <v>0</v>
      </c>
      <c r="CT154" s="1118">
        <f t="shared" si="510"/>
        <v>1235537678.297518</v>
      </c>
      <c r="CU154" s="1119"/>
      <c r="CY154" s="1117">
        <f t="shared" si="511"/>
        <v>1235537678.297518</v>
      </c>
      <c r="CZ154" s="1118">
        <f t="shared" si="512"/>
        <v>0</v>
      </c>
      <c r="DA154" s="1118">
        <f t="shared" si="513"/>
        <v>0</v>
      </c>
      <c r="DB154" s="1118">
        <f t="shared" si="514"/>
        <v>1235537678.297518</v>
      </c>
      <c r="DC154" s="1119"/>
      <c r="DG154" s="1117">
        <f t="shared" si="515"/>
        <v>1235537678.297518</v>
      </c>
      <c r="DH154" s="1118">
        <f t="shared" si="516"/>
        <v>0</v>
      </c>
      <c r="DI154" s="1118">
        <f t="shared" si="517"/>
        <v>0</v>
      </c>
      <c r="DJ154" s="1118">
        <f t="shared" si="518"/>
        <v>1235537678.297518</v>
      </c>
      <c r="DK154" s="1119"/>
      <c r="DO154" s="1117">
        <f t="shared" si="519"/>
        <v>1235537678.297518</v>
      </c>
      <c r="DP154" s="1118">
        <f t="shared" si="520"/>
        <v>0</v>
      </c>
      <c r="DQ154" s="1118">
        <f t="shared" si="521"/>
        <v>0</v>
      </c>
      <c r="DR154" s="1118">
        <f t="shared" si="522"/>
        <v>1235537678.297518</v>
      </c>
      <c r="DS154" s="1119"/>
      <c r="DW154" s="1117">
        <f t="shared" si="523"/>
        <v>1235537678.297518</v>
      </c>
      <c r="DX154" s="1118">
        <f t="shared" si="524"/>
        <v>0</v>
      </c>
      <c r="DY154" s="1118">
        <f t="shared" si="525"/>
        <v>0</v>
      </c>
      <c r="DZ154" s="1118">
        <f t="shared" si="526"/>
        <v>1235537678.297518</v>
      </c>
      <c r="EA154" s="1119"/>
      <c r="EE154" s="1117">
        <f t="shared" si="527"/>
        <v>1235537678.297518</v>
      </c>
      <c r="EF154" s="1118">
        <f t="shared" si="528"/>
        <v>0</v>
      </c>
      <c r="EG154" s="1118">
        <f t="shared" si="529"/>
        <v>0</v>
      </c>
      <c r="EH154" s="1118">
        <f t="shared" si="530"/>
        <v>1235537678.297518</v>
      </c>
      <c r="EI154" s="1119"/>
      <c r="EM154" s="1117">
        <f t="shared" si="531"/>
        <v>1235537678.297518</v>
      </c>
      <c r="EN154" s="1118">
        <f t="shared" si="532"/>
        <v>0</v>
      </c>
      <c r="EO154" s="1118">
        <f t="shared" si="533"/>
        <v>0</v>
      </c>
      <c r="EP154" s="1118">
        <f t="shared" si="534"/>
        <v>1235537678.297518</v>
      </c>
      <c r="EQ154" s="1119"/>
      <c r="EU154" s="1117">
        <f t="shared" si="535"/>
        <v>1235537678.297518</v>
      </c>
      <c r="EV154" s="1118">
        <f t="shared" si="536"/>
        <v>0</v>
      </c>
      <c r="EW154" s="1118">
        <f t="shared" si="537"/>
        <v>0</v>
      </c>
      <c r="EX154" s="1118">
        <f t="shared" si="538"/>
        <v>1235537678.297518</v>
      </c>
      <c r="EY154" s="1119"/>
      <c r="FC154" s="1117">
        <f t="shared" si="539"/>
        <v>1235537678.297518</v>
      </c>
      <c r="FD154" s="1118">
        <f t="shared" si="540"/>
        <v>0</v>
      </c>
      <c r="FE154" s="1118">
        <f t="shared" si="541"/>
        <v>0</v>
      </c>
      <c r="FF154" s="1118">
        <f t="shared" si="542"/>
        <v>1235537678.297518</v>
      </c>
      <c r="FG154" s="1119"/>
      <c r="FK154" s="1117">
        <f t="shared" si="543"/>
        <v>1235537678.297518</v>
      </c>
      <c r="FL154" s="1118">
        <f t="shared" si="544"/>
        <v>0</v>
      </c>
      <c r="FM154" s="1118">
        <f t="shared" si="545"/>
        <v>0</v>
      </c>
      <c r="FN154" s="1118">
        <f t="shared" si="546"/>
        <v>1235537678.297518</v>
      </c>
      <c r="FO154" s="1119"/>
    </row>
    <row r="155" spans="1:171" x14ac:dyDescent="0.25">
      <c r="A155" s="913"/>
      <c r="B155" s="79" t="s">
        <v>33</v>
      </c>
      <c r="C155" s="889" t="s">
        <v>81</v>
      </c>
      <c r="D155" s="889">
        <v>283</v>
      </c>
      <c r="E155" s="182" t="str">
        <f>'Sch 1- Rate Base '!E155</f>
        <v>DIST</v>
      </c>
      <c r="F155" s="890"/>
      <c r="G155" s="182">
        <f>'Sch 1- Rate Base '!G155</f>
        <v>92165168.090324983</v>
      </c>
      <c r="H155" s="182">
        <f>'Sch 1- Rate Base '!H155</f>
        <v>0</v>
      </c>
      <c r="I155" s="182">
        <f>'Sch 1- Rate Base '!I155</f>
        <v>0</v>
      </c>
      <c r="J155" s="183">
        <f>'Sch 1- Rate Base '!J155</f>
        <v>92165168.090324983</v>
      </c>
      <c r="K155" s="904">
        <f t="shared" si="466"/>
        <v>1</v>
      </c>
      <c r="O155" s="1117">
        <f t="shared" si="467"/>
        <v>92165168.090324983</v>
      </c>
      <c r="P155" s="1118">
        <f t="shared" si="468"/>
        <v>0</v>
      </c>
      <c r="Q155" s="1118">
        <f t="shared" si="469"/>
        <v>0</v>
      </c>
      <c r="R155" s="1118">
        <f t="shared" si="470"/>
        <v>92165168.090324983</v>
      </c>
      <c r="S155" s="1119"/>
      <c r="W155" s="1117">
        <f t="shared" si="471"/>
        <v>92165168.090324983</v>
      </c>
      <c r="X155" s="1118">
        <f t="shared" si="472"/>
        <v>0</v>
      </c>
      <c r="Y155" s="1118">
        <f t="shared" si="473"/>
        <v>0</v>
      </c>
      <c r="Z155" s="1118">
        <f t="shared" si="474"/>
        <v>92165168.090324983</v>
      </c>
      <c r="AA155" s="1119"/>
      <c r="AE155" s="1117">
        <f t="shared" si="475"/>
        <v>92165168.090324983</v>
      </c>
      <c r="AF155" s="1118">
        <f t="shared" si="476"/>
        <v>0</v>
      </c>
      <c r="AG155" s="1118">
        <f t="shared" si="477"/>
        <v>0</v>
      </c>
      <c r="AH155" s="1118">
        <f t="shared" si="478"/>
        <v>92165168.090324983</v>
      </c>
      <c r="AI155" s="1119"/>
      <c r="AM155" s="1117">
        <f t="shared" si="479"/>
        <v>92165168.090324983</v>
      </c>
      <c r="AN155" s="1118">
        <f t="shared" si="480"/>
        <v>0</v>
      </c>
      <c r="AO155" s="1118">
        <f t="shared" si="481"/>
        <v>0</v>
      </c>
      <c r="AP155" s="1118">
        <f t="shared" si="482"/>
        <v>92165168.090324983</v>
      </c>
      <c r="AQ155" s="1119"/>
      <c r="AU155" s="1117">
        <f t="shared" si="483"/>
        <v>92165168.090324983</v>
      </c>
      <c r="AV155" s="1118">
        <f t="shared" si="484"/>
        <v>0</v>
      </c>
      <c r="AW155" s="1118">
        <f t="shared" si="485"/>
        <v>0</v>
      </c>
      <c r="AX155" s="1118">
        <f t="shared" si="486"/>
        <v>92165168.090324983</v>
      </c>
      <c r="AY155" s="1119"/>
      <c r="BC155" s="1117">
        <f t="shared" si="487"/>
        <v>92165168.090324983</v>
      </c>
      <c r="BD155" s="1118">
        <f t="shared" si="488"/>
        <v>0</v>
      </c>
      <c r="BE155" s="1118">
        <f t="shared" si="489"/>
        <v>0</v>
      </c>
      <c r="BF155" s="1118">
        <f t="shared" si="490"/>
        <v>92165168.090324983</v>
      </c>
      <c r="BG155" s="1119"/>
      <c r="BK155" s="1117">
        <f t="shared" si="491"/>
        <v>92165168.090324983</v>
      </c>
      <c r="BL155" s="1118">
        <f t="shared" si="492"/>
        <v>0</v>
      </c>
      <c r="BM155" s="1118">
        <f t="shared" si="493"/>
        <v>0</v>
      </c>
      <c r="BN155" s="1118">
        <f t="shared" si="494"/>
        <v>92165168.090324983</v>
      </c>
      <c r="BO155" s="1119"/>
      <c r="BS155" s="1117">
        <f t="shared" si="495"/>
        <v>92165168.090324983</v>
      </c>
      <c r="BT155" s="1118">
        <f t="shared" si="496"/>
        <v>0</v>
      </c>
      <c r="BU155" s="1118">
        <f t="shared" si="497"/>
        <v>0</v>
      </c>
      <c r="BV155" s="1118">
        <f t="shared" si="498"/>
        <v>92165168.090324983</v>
      </c>
      <c r="BW155" s="1119"/>
      <c r="CA155" s="1117">
        <f t="shared" si="499"/>
        <v>92165168.090324983</v>
      </c>
      <c r="CB155" s="1118">
        <f t="shared" si="500"/>
        <v>0</v>
      </c>
      <c r="CC155" s="1118">
        <f t="shared" si="501"/>
        <v>0</v>
      </c>
      <c r="CD155" s="1118">
        <f t="shared" si="502"/>
        <v>92165168.090324983</v>
      </c>
      <c r="CE155" s="1119"/>
      <c r="CI155" s="1117">
        <f t="shared" si="503"/>
        <v>92165168.090324983</v>
      </c>
      <c r="CJ155" s="1118">
        <f t="shared" si="504"/>
        <v>0</v>
      </c>
      <c r="CK155" s="1118">
        <f t="shared" si="505"/>
        <v>0</v>
      </c>
      <c r="CL155" s="1118">
        <f t="shared" si="506"/>
        <v>92165168.090324983</v>
      </c>
      <c r="CM155" s="1119"/>
      <c r="CQ155" s="1117">
        <f t="shared" si="507"/>
        <v>92165168.090324983</v>
      </c>
      <c r="CR155" s="1118">
        <f t="shared" si="508"/>
        <v>0</v>
      </c>
      <c r="CS155" s="1118">
        <f t="shared" si="509"/>
        <v>0</v>
      </c>
      <c r="CT155" s="1118">
        <f t="shared" si="510"/>
        <v>92165168.090324983</v>
      </c>
      <c r="CU155" s="1119"/>
      <c r="CY155" s="1117">
        <f t="shared" si="511"/>
        <v>92165168.090324983</v>
      </c>
      <c r="CZ155" s="1118">
        <f t="shared" si="512"/>
        <v>0</v>
      </c>
      <c r="DA155" s="1118">
        <f t="shared" si="513"/>
        <v>0</v>
      </c>
      <c r="DB155" s="1118">
        <f t="shared" si="514"/>
        <v>92165168.090324983</v>
      </c>
      <c r="DC155" s="1119"/>
      <c r="DG155" s="1117">
        <f t="shared" si="515"/>
        <v>92165168.090324983</v>
      </c>
      <c r="DH155" s="1118">
        <f t="shared" si="516"/>
        <v>0</v>
      </c>
      <c r="DI155" s="1118">
        <f t="shared" si="517"/>
        <v>0</v>
      </c>
      <c r="DJ155" s="1118">
        <f t="shared" si="518"/>
        <v>92165168.090324983</v>
      </c>
      <c r="DK155" s="1119"/>
      <c r="DO155" s="1117">
        <f t="shared" si="519"/>
        <v>92165168.090324983</v>
      </c>
      <c r="DP155" s="1118">
        <f t="shared" si="520"/>
        <v>0</v>
      </c>
      <c r="DQ155" s="1118">
        <f t="shared" si="521"/>
        <v>0</v>
      </c>
      <c r="DR155" s="1118">
        <f t="shared" si="522"/>
        <v>92165168.090324983</v>
      </c>
      <c r="DS155" s="1119"/>
      <c r="DW155" s="1117">
        <f t="shared" si="523"/>
        <v>92165168.090324983</v>
      </c>
      <c r="DX155" s="1118">
        <f t="shared" si="524"/>
        <v>0</v>
      </c>
      <c r="DY155" s="1118">
        <f t="shared" si="525"/>
        <v>0</v>
      </c>
      <c r="DZ155" s="1118">
        <f t="shared" si="526"/>
        <v>92165168.090324983</v>
      </c>
      <c r="EA155" s="1119"/>
      <c r="EE155" s="1117">
        <f t="shared" si="527"/>
        <v>92165168.090324983</v>
      </c>
      <c r="EF155" s="1118">
        <f t="shared" si="528"/>
        <v>0</v>
      </c>
      <c r="EG155" s="1118">
        <f t="shared" si="529"/>
        <v>0</v>
      </c>
      <c r="EH155" s="1118">
        <f t="shared" si="530"/>
        <v>92165168.090324983</v>
      </c>
      <c r="EI155" s="1119"/>
      <c r="EM155" s="1117">
        <f t="shared" si="531"/>
        <v>92165168.090324983</v>
      </c>
      <c r="EN155" s="1118">
        <f t="shared" si="532"/>
        <v>0</v>
      </c>
      <c r="EO155" s="1118">
        <f t="shared" si="533"/>
        <v>0</v>
      </c>
      <c r="EP155" s="1118">
        <f t="shared" si="534"/>
        <v>92165168.090324983</v>
      </c>
      <c r="EQ155" s="1119"/>
      <c r="EU155" s="1117">
        <f t="shared" si="535"/>
        <v>92165168.090324983</v>
      </c>
      <c r="EV155" s="1118">
        <f t="shared" si="536"/>
        <v>0</v>
      </c>
      <c r="EW155" s="1118">
        <f t="shared" si="537"/>
        <v>0</v>
      </c>
      <c r="EX155" s="1118">
        <f t="shared" si="538"/>
        <v>92165168.090324983</v>
      </c>
      <c r="EY155" s="1119"/>
      <c r="FC155" s="1117">
        <f t="shared" si="539"/>
        <v>92165168.090324983</v>
      </c>
      <c r="FD155" s="1118">
        <f t="shared" si="540"/>
        <v>0</v>
      </c>
      <c r="FE155" s="1118">
        <f t="shared" si="541"/>
        <v>0</v>
      </c>
      <c r="FF155" s="1118">
        <f t="shared" si="542"/>
        <v>92165168.090324983</v>
      </c>
      <c r="FG155" s="1119"/>
      <c r="FK155" s="1117">
        <f t="shared" si="543"/>
        <v>92165168.090324983</v>
      </c>
      <c r="FL155" s="1118">
        <f t="shared" si="544"/>
        <v>0</v>
      </c>
      <c r="FM155" s="1118">
        <f t="shared" si="545"/>
        <v>0</v>
      </c>
      <c r="FN155" s="1118">
        <f t="shared" si="546"/>
        <v>92165168.090324983</v>
      </c>
      <c r="FO155" s="1119"/>
    </row>
    <row r="156" spans="1:171" x14ac:dyDescent="0.25">
      <c r="A156" s="913"/>
      <c r="B156" s="848" t="s">
        <v>104</v>
      </c>
      <c r="C156" s="915"/>
      <c r="D156" s="916"/>
      <c r="E156" s="916"/>
      <c r="F156" s="917"/>
      <c r="G156" s="924">
        <f>SUM(G147:G155)</f>
        <v>2197962142.5857182</v>
      </c>
      <c r="H156" s="924">
        <f>SUM(H147:H155)</f>
        <v>87628891.689385355</v>
      </c>
      <c r="I156" s="924">
        <f>SUM(I147:I155)</f>
        <v>0</v>
      </c>
      <c r="J156" s="1391">
        <f>SUM(J147:J155)</f>
        <v>2110333250.8963327</v>
      </c>
      <c r="K156" s="904"/>
      <c r="O156" s="1127">
        <f>SUM(O147:O155)</f>
        <v>2197962142.5857182</v>
      </c>
      <c r="P156" s="1127">
        <f>SUM(P147:P155)</f>
        <v>87628891.689385355</v>
      </c>
      <c r="Q156" s="1127">
        <f>SUM(Q147:Q155)</f>
        <v>0</v>
      </c>
      <c r="R156" s="1127">
        <f>SUM(R147:R155)</f>
        <v>2110333250.8963327</v>
      </c>
      <c r="S156" s="1119"/>
      <c r="W156" s="1127">
        <f>SUM(W147:W155)</f>
        <v>2197962142.5857182</v>
      </c>
      <c r="X156" s="1127">
        <f>SUM(X147:X155)</f>
        <v>87628891.689385355</v>
      </c>
      <c r="Y156" s="1127">
        <f>SUM(Y147:Y155)</f>
        <v>0</v>
      </c>
      <c r="Z156" s="1127">
        <f>SUM(Z147:Z155)</f>
        <v>2110333250.8963327</v>
      </c>
      <c r="AA156" s="1119"/>
      <c r="AE156" s="1127">
        <f>SUM(AE147:AE155)</f>
        <v>2197962142.5857182</v>
      </c>
      <c r="AF156" s="1127">
        <f>SUM(AF147:AF155)</f>
        <v>87628891.689385355</v>
      </c>
      <c r="AG156" s="1127">
        <f>SUM(AG147:AG155)</f>
        <v>0</v>
      </c>
      <c r="AH156" s="1127">
        <f>SUM(AH147:AH155)</f>
        <v>2110333250.8963327</v>
      </c>
      <c r="AI156" s="1119"/>
      <c r="AM156" s="1127">
        <f>SUM(AM147:AM155)</f>
        <v>2197962142.5857182</v>
      </c>
      <c r="AN156" s="1127">
        <f>SUM(AN147:AN155)</f>
        <v>87628891.689385355</v>
      </c>
      <c r="AO156" s="1127">
        <f>SUM(AO147:AO155)</f>
        <v>0</v>
      </c>
      <c r="AP156" s="1127">
        <f>SUM(AP147:AP155)</f>
        <v>2110333250.8963327</v>
      </c>
      <c r="AQ156" s="1119"/>
      <c r="AU156" s="1127">
        <f>SUM(AU147:AU155)</f>
        <v>2197962142.5857182</v>
      </c>
      <c r="AV156" s="1127">
        <f>SUM(AV147:AV155)</f>
        <v>87628891.689385355</v>
      </c>
      <c r="AW156" s="1127">
        <f>SUM(AW147:AW155)</f>
        <v>0</v>
      </c>
      <c r="AX156" s="1127">
        <f>SUM(AX147:AX155)</f>
        <v>2110333250.8963327</v>
      </c>
      <c r="AY156" s="1119"/>
      <c r="BC156" s="1127">
        <f>SUM(BC147:BC155)</f>
        <v>2197962142.5857182</v>
      </c>
      <c r="BD156" s="1127">
        <f>SUM(BD147:BD155)</f>
        <v>87628891.689385355</v>
      </c>
      <c r="BE156" s="1127">
        <f>SUM(BE147:BE155)</f>
        <v>0</v>
      </c>
      <c r="BF156" s="1127">
        <f>SUM(BF147:BF155)</f>
        <v>2110333250.8963327</v>
      </c>
      <c r="BG156" s="1119"/>
      <c r="BK156" s="1127">
        <f>SUM(BK147:BK155)</f>
        <v>2197962142.5857182</v>
      </c>
      <c r="BL156" s="1127">
        <f>SUM(BL147:BL155)</f>
        <v>87628891.689385355</v>
      </c>
      <c r="BM156" s="1127">
        <f>SUM(BM147:BM155)</f>
        <v>0</v>
      </c>
      <c r="BN156" s="1127">
        <f>SUM(BN147:BN155)</f>
        <v>2110333250.8963327</v>
      </c>
      <c r="BO156" s="1119"/>
      <c r="BS156" s="1127">
        <f>SUM(BS147:BS155)</f>
        <v>2197962142.5857182</v>
      </c>
      <c r="BT156" s="1127">
        <f>SUM(BT147:BT155)</f>
        <v>87628891.689385355</v>
      </c>
      <c r="BU156" s="1127">
        <f>SUM(BU147:BU155)</f>
        <v>0</v>
      </c>
      <c r="BV156" s="1127">
        <f>SUM(BV147:BV155)</f>
        <v>2110333250.8963327</v>
      </c>
      <c r="BW156" s="1119"/>
      <c r="CA156" s="1127">
        <f>SUM(CA147:CA155)</f>
        <v>2197962142.5857182</v>
      </c>
      <c r="CB156" s="1127">
        <f>SUM(CB147:CB155)</f>
        <v>87628891.689385355</v>
      </c>
      <c r="CC156" s="1127">
        <f>SUM(CC147:CC155)</f>
        <v>0</v>
      </c>
      <c r="CD156" s="1127">
        <f>SUM(CD147:CD155)</f>
        <v>2110333250.8963327</v>
      </c>
      <c r="CE156" s="1119"/>
      <c r="CI156" s="1127">
        <f>SUM(CI147:CI155)</f>
        <v>2197962142.5857182</v>
      </c>
      <c r="CJ156" s="1127">
        <f>SUM(CJ147:CJ155)</f>
        <v>87628891.689385355</v>
      </c>
      <c r="CK156" s="1127">
        <f>SUM(CK147:CK155)</f>
        <v>0</v>
      </c>
      <c r="CL156" s="1127">
        <f>SUM(CL147:CL155)</f>
        <v>2110333250.8963327</v>
      </c>
      <c r="CM156" s="1119"/>
      <c r="CQ156" s="1127">
        <f>SUM(CQ147:CQ155)</f>
        <v>2197962142.5857182</v>
      </c>
      <c r="CR156" s="1127">
        <f>SUM(CR147:CR155)</f>
        <v>87628891.689385355</v>
      </c>
      <c r="CS156" s="1127">
        <f>SUM(CS147:CS155)</f>
        <v>0</v>
      </c>
      <c r="CT156" s="1127">
        <f>SUM(CT147:CT155)</f>
        <v>2110333250.8963327</v>
      </c>
      <c r="CU156" s="1119"/>
      <c r="CY156" s="1127">
        <f>SUM(CY147:CY155)</f>
        <v>2197962142.5857182</v>
      </c>
      <c r="CZ156" s="1127">
        <f>SUM(CZ147:CZ155)</f>
        <v>87628891.689385355</v>
      </c>
      <c r="DA156" s="1127">
        <f>SUM(DA147:DA155)</f>
        <v>0</v>
      </c>
      <c r="DB156" s="1127">
        <f>SUM(DB147:DB155)</f>
        <v>2110333250.8963327</v>
      </c>
      <c r="DC156" s="1119"/>
      <c r="DG156" s="1127">
        <f>SUM(DG147:DG155)</f>
        <v>2197962142.5857182</v>
      </c>
      <c r="DH156" s="1127">
        <f>SUM(DH147:DH155)</f>
        <v>87628891.689385355</v>
      </c>
      <c r="DI156" s="1127">
        <f>SUM(DI147:DI155)</f>
        <v>0</v>
      </c>
      <c r="DJ156" s="1127">
        <f>SUM(DJ147:DJ155)</f>
        <v>2110333250.8963327</v>
      </c>
      <c r="DK156" s="1119"/>
      <c r="DO156" s="1127">
        <f>SUM(DO147:DO155)</f>
        <v>2197962142.5857182</v>
      </c>
      <c r="DP156" s="1127">
        <f>SUM(DP147:DP155)</f>
        <v>87628891.689385355</v>
      </c>
      <c r="DQ156" s="1127">
        <f>SUM(DQ147:DQ155)</f>
        <v>0</v>
      </c>
      <c r="DR156" s="1127">
        <f>SUM(DR147:DR155)</f>
        <v>2110333250.8963327</v>
      </c>
      <c r="DS156" s="1119"/>
      <c r="DW156" s="1127">
        <f>SUM(DW147:DW155)</f>
        <v>2197962142.5857182</v>
      </c>
      <c r="DX156" s="1127">
        <f>SUM(DX147:DX155)</f>
        <v>87628891.689385355</v>
      </c>
      <c r="DY156" s="1127">
        <f>SUM(DY147:DY155)</f>
        <v>0</v>
      </c>
      <c r="DZ156" s="1127">
        <f>SUM(DZ147:DZ155)</f>
        <v>2110333250.8963327</v>
      </c>
      <c r="EA156" s="1119"/>
      <c r="EE156" s="1127">
        <f>SUM(EE147:EE155)</f>
        <v>2197962142.5857182</v>
      </c>
      <c r="EF156" s="1127">
        <f>SUM(EF147:EF155)</f>
        <v>87628891.689385355</v>
      </c>
      <c r="EG156" s="1127">
        <f>SUM(EG147:EG155)</f>
        <v>0</v>
      </c>
      <c r="EH156" s="1127">
        <f>SUM(EH147:EH155)</f>
        <v>2110333250.8963327</v>
      </c>
      <c r="EI156" s="1119"/>
      <c r="EM156" s="1127">
        <f>SUM(EM147:EM155)</f>
        <v>2197962142.5857182</v>
      </c>
      <c r="EN156" s="1127">
        <f>SUM(EN147:EN155)</f>
        <v>87628891.689385355</v>
      </c>
      <c r="EO156" s="1127">
        <f>SUM(EO147:EO155)</f>
        <v>0</v>
      </c>
      <c r="EP156" s="1127">
        <f>SUM(EP147:EP155)</f>
        <v>2110333250.8963327</v>
      </c>
      <c r="EQ156" s="1119"/>
      <c r="EU156" s="1127">
        <f>SUM(EU147:EU155)</f>
        <v>2197962142.5857182</v>
      </c>
      <c r="EV156" s="1127">
        <f>SUM(EV147:EV155)</f>
        <v>87628891.689385355</v>
      </c>
      <c r="EW156" s="1127">
        <f>SUM(EW147:EW155)</f>
        <v>0</v>
      </c>
      <c r="EX156" s="1127">
        <f>SUM(EX147:EX155)</f>
        <v>2110333250.8963327</v>
      </c>
      <c r="EY156" s="1119"/>
      <c r="FC156" s="1127">
        <f>SUM(FC147:FC155)</f>
        <v>2197962142.5857182</v>
      </c>
      <c r="FD156" s="1127">
        <f>SUM(FD147:FD155)</f>
        <v>87628891.689385355</v>
      </c>
      <c r="FE156" s="1127">
        <f>SUM(FE147:FE155)</f>
        <v>0</v>
      </c>
      <c r="FF156" s="1127">
        <f>SUM(FF147:FF155)</f>
        <v>2110333250.8963327</v>
      </c>
      <c r="FG156" s="1119"/>
      <c r="FK156" s="1127">
        <f>SUM(FK147:FK155)</f>
        <v>2197962142.5857182</v>
      </c>
      <c r="FL156" s="1127">
        <f>SUM(FL147:FL155)</f>
        <v>87628891.689385355</v>
      </c>
      <c r="FM156" s="1127">
        <f>SUM(FM147:FM155)</f>
        <v>0</v>
      </c>
      <c r="FN156" s="1127">
        <f>SUM(FN147:FN155)</f>
        <v>2110333250.8963327</v>
      </c>
      <c r="FO156" s="1119"/>
    </row>
    <row r="157" spans="1:171" x14ac:dyDescent="0.25">
      <c r="A157" s="913"/>
      <c r="B157" s="79"/>
      <c r="C157" s="196"/>
      <c r="D157" s="969"/>
      <c r="E157" s="196"/>
      <c r="F157" s="196"/>
      <c r="G157" s="971"/>
      <c r="H157" s="972"/>
      <c r="I157" s="972"/>
      <c r="J157" s="973"/>
      <c r="K157" s="904"/>
      <c r="O157" s="1080"/>
      <c r="S157" s="1119"/>
      <c r="W157" s="1080"/>
      <c r="AA157" s="1119"/>
      <c r="AE157" s="1080"/>
      <c r="AI157" s="1119"/>
      <c r="AM157" s="1080"/>
      <c r="AQ157" s="1119"/>
      <c r="AU157" s="1080"/>
      <c r="AY157" s="1119"/>
      <c r="BC157" s="1080"/>
      <c r="BG157" s="1119"/>
      <c r="BK157" s="1080"/>
      <c r="BO157" s="1119"/>
      <c r="BS157" s="1080"/>
      <c r="BW157" s="1119"/>
      <c r="CA157" s="1080"/>
      <c r="CE157" s="1119"/>
      <c r="CI157" s="1080"/>
      <c r="CM157" s="1119"/>
      <c r="CQ157" s="1080"/>
      <c r="CU157" s="1119"/>
      <c r="CY157" s="1080"/>
      <c r="DC157" s="1119"/>
      <c r="DG157" s="1080"/>
      <c r="DK157" s="1119"/>
      <c r="DO157" s="1080"/>
      <c r="DS157" s="1119"/>
      <c r="DW157" s="1080"/>
      <c r="EA157" s="1119"/>
      <c r="EE157" s="1080"/>
      <c r="EI157" s="1119"/>
      <c r="EM157" s="1080"/>
      <c r="EQ157" s="1119"/>
      <c r="EU157" s="1080"/>
      <c r="EY157" s="1119"/>
      <c r="FC157" s="1080"/>
      <c r="FG157" s="1119"/>
      <c r="FK157" s="1080"/>
      <c r="FO157" s="1119"/>
    </row>
    <row r="158" spans="1:171" x14ac:dyDescent="0.25">
      <c r="A158" s="209" t="s">
        <v>73</v>
      </c>
      <c r="B158" s="64"/>
      <c r="C158" s="915"/>
      <c r="D158" s="916"/>
      <c r="E158" s="916"/>
      <c r="F158" s="917"/>
      <c r="G158" s="924">
        <f>+G156+G143</f>
        <v>2223471113.7928829</v>
      </c>
      <c r="H158" s="924">
        <f>+H156+H143</f>
        <v>87628891.689385355</v>
      </c>
      <c r="I158" s="924">
        <f>+I156+I143</f>
        <v>0</v>
      </c>
      <c r="J158" s="1391">
        <f>+J156+J143</f>
        <v>2135842222.1034977</v>
      </c>
      <c r="K158" s="904"/>
      <c r="O158" s="1134">
        <f>+O156+O143</f>
        <v>2223471113.7928829</v>
      </c>
      <c r="P158" s="1134">
        <f>+P156+P143</f>
        <v>87628891.689385355</v>
      </c>
      <c r="Q158" s="1134">
        <f>+Q156+Q143</f>
        <v>0</v>
      </c>
      <c r="R158" s="1134">
        <f>+R156+R143</f>
        <v>2135842222.1034977</v>
      </c>
      <c r="S158" s="1119"/>
      <c r="W158" s="1134">
        <f>+W156+W143</f>
        <v>2223471113.7928829</v>
      </c>
      <c r="X158" s="1134">
        <f>+X156+X143</f>
        <v>87628891.689385355</v>
      </c>
      <c r="Y158" s="1134">
        <f>+Y156+Y143</f>
        <v>0</v>
      </c>
      <c r="Z158" s="1134">
        <f>+Z156+Z143</f>
        <v>2135842222.1034977</v>
      </c>
      <c r="AA158" s="1119"/>
      <c r="AE158" s="1134">
        <f>+AE156+AE143</f>
        <v>2223471113.7928829</v>
      </c>
      <c r="AF158" s="1134">
        <f>+AF156+AF143</f>
        <v>87628891.689385355</v>
      </c>
      <c r="AG158" s="1134">
        <f>+AG156+AG143</f>
        <v>0</v>
      </c>
      <c r="AH158" s="1134">
        <f>+AH156+AH143</f>
        <v>2135842222.1034977</v>
      </c>
      <c r="AI158" s="1119"/>
      <c r="AM158" s="1134">
        <f>+AM156+AM143</f>
        <v>2223471113.7928829</v>
      </c>
      <c r="AN158" s="1134">
        <f>+AN156+AN143</f>
        <v>87628891.689385355</v>
      </c>
      <c r="AO158" s="1134">
        <f>+AO156+AO143</f>
        <v>0</v>
      </c>
      <c r="AP158" s="1134">
        <f>+AP156+AP143</f>
        <v>2135842222.1034977</v>
      </c>
      <c r="AQ158" s="1119"/>
      <c r="AU158" s="1134">
        <f>+AU156+AU143</f>
        <v>2223471113.7928829</v>
      </c>
      <c r="AV158" s="1134">
        <f>+AV156+AV143</f>
        <v>87628891.689385355</v>
      </c>
      <c r="AW158" s="1134">
        <f>+AW156+AW143</f>
        <v>0</v>
      </c>
      <c r="AX158" s="1134">
        <f>+AX156+AX143</f>
        <v>2135842222.1034977</v>
      </c>
      <c r="AY158" s="1119"/>
      <c r="BC158" s="1134">
        <f>+BC156+BC143</f>
        <v>2223471113.7928829</v>
      </c>
      <c r="BD158" s="1134">
        <f>+BD156+BD143</f>
        <v>87628891.689385355</v>
      </c>
      <c r="BE158" s="1134">
        <f>+BE156+BE143</f>
        <v>0</v>
      </c>
      <c r="BF158" s="1134">
        <f>+BF156+BF143</f>
        <v>2135842222.1034977</v>
      </c>
      <c r="BG158" s="1119"/>
      <c r="BK158" s="1134">
        <f>+BK156+BK143</f>
        <v>2223471113.7928829</v>
      </c>
      <c r="BL158" s="1134">
        <f>+BL156+BL143</f>
        <v>87628891.689385355</v>
      </c>
      <c r="BM158" s="1134">
        <f>+BM156+BM143</f>
        <v>0</v>
      </c>
      <c r="BN158" s="1134">
        <f>+BN156+BN143</f>
        <v>2135842222.1034977</v>
      </c>
      <c r="BO158" s="1119"/>
      <c r="BS158" s="1134">
        <f>+BS156+BS143</f>
        <v>2223471113.7928829</v>
      </c>
      <c r="BT158" s="1134">
        <f>+BT156+BT143</f>
        <v>87628891.689385355</v>
      </c>
      <c r="BU158" s="1134">
        <f>+BU156+BU143</f>
        <v>0</v>
      </c>
      <c r="BV158" s="1134">
        <f>+BV156+BV143</f>
        <v>2135842222.1034977</v>
      </c>
      <c r="BW158" s="1119"/>
      <c r="CA158" s="1134">
        <f>+CA156+CA143</f>
        <v>2223471113.7928829</v>
      </c>
      <c r="CB158" s="1134">
        <f>+CB156+CB143</f>
        <v>87628891.689385355</v>
      </c>
      <c r="CC158" s="1134">
        <f>+CC156+CC143</f>
        <v>0</v>
      </c>
      <c r="CD158" s="1134">
        <f>+CD156+CD143</f>
        <v>2135842222.1034977</v>
      </c>
      <c r="CE158" s="1119"/>
      <c r="CI158" s="1134">
        <f>+CI156+CI143</f>
        <v>2223471113.7928829</v>
      </c>
      <c r="CJ158" s="1134">
        <f>+CJ156+CJ143</f>
        <v>87628891.689385355</v>
      </c>
      <c r="CK158" s="1134">
        <f>+CK156+CK143</f>
        <v>0</v>
      </c>
      <c r="CL158" s="1134">
        <f>+CL156+CL143</f>
        <v>2135842222.1034977</v>
      </c>
      <c r="CM158" s="1119"/>
      <c r="CQ158" s="1134">
        <f>+CQ156+CQ143</f>
        <v>2223471113.7928829</v>
      </c>
      <c r="CR158" s="1134">
        <f>+CR156+CR143</f>
        <v>87628891.689385355</v>
      </c>
      <c r="CS158" s="1134">
        <f>+CS156+CS143</f>
        <v>0</v>
      </c>
      <c r="CT158" s="1134">
        <f>+CT156+CT143</f>
        <v>2135842222.1034977</v>
      </c>
      <c r="CU158" s="1119"/>
      <c r="CY158" s="1134">
        <f>+CY156+CY143</f>
        <v>2223471113.7928829</v>
      </c>
      <c r="CZ158" s="1134">
        <f>+CZ156+CZ143</f>
        <v>87628891.689385355</v>
      </c>
      <c r="DA158" s="1134">
        <f>+DA156+DA143</f>
        <v>0</v>
      </c>
      <c r="DB158" s="1134">
        <f>+DB156+DB143</f>
        <v>2135842222.1034977</v>
      </c>
      <c r="DC158" s="1119"/>
      <c r="DG158" s="1134">
        <f>+DG156+DG143</f>
        <v>2223471113.7928829</v>
      </c>
      <c r="DH158" s="1134">
        <f>+DH156+DH143</f>
        <v>87628891.689385355</v>
      </c>
      <c r="DI158" s="1134">
        <f>+DI156+DI143</f>
        <v>0</v>
      </c>
      <c r="DJ158" s="1134">
        <f>+DJ156+DJ143</f>
        <v>2135842222.1034977</v>
      </c>
      <c r="DK158" s="1119"/>
      <c r="DO158" s="1134">
        <f>+DO156+DO143</f>
        <v>2223471113.7928829</v>
      </c>
      <c r="DP158" s="1134">
        <f>+DP156+DP143</f>
        <v>87628891.689385355</v>
      </c>
      <c r="DQ158" s="1134">
        <f>+DQ156+DQ143</f>
        <v>0</v>
      </c>
      <c r="DR158" s="1134">
        <f>+DR156+DR143</f>
        <v>2135842222.1034977</v>
      </c>
      <c r="DS158" s="1119"/>
      <c r="DW158" s="1134">
        <f>+DW156+DW143</f>
        <v>2223471113.7928829</v>
      </c>
      <c r="DX158" s="1134">
        <f>+DX156+DX143</f>
        <v>87628891.689385355</v>
      </c>
      <c r="DY158" s="1134">
        <f>+DY156+DY143</f>
        <v>0</v>
      </c>
      <c r="DZ158" s="1134">
        <f>+DZ156+DZ143</f>
        <v>2135842222.1034977</v>
      </c>
      <c r="EA158" s="1119"/>
      <c r="EE158" s="1134">
        <f>+EE156+EE143</f>
        <v>2223471113.7928829</v>
      </c>
      <c r="EF158" s="1134">
        <f>+EF156+EF143</f>
        <v>87628891.689385355</v>
      </c>
      <c r="EG158" s="1134">
        <f>+EG156+EG143</f>
        <v>0</v>
      </c>
      <c r="EH158" s="1134">
        <f>+EH156+EH143</f>
        <v>2135842222.1034977</v>
      </c>
      <c r="EI158" s="1119"/>
      <c r="EM158" s="1134">
        <f>+EM156+EM143</f>
        <v>2223471113.7928829</v>
      </c>
      <c r="EN158" s="1134">
        <f>+EN156+EN143</f>
        <v>87628891.689385355</v>
      </c>
      <c r="EO158" s="1134">
        <f>+EO156+EO143</f>
        <v>0</v>
      </c>
      <c r="EP158" s="1134">
        <f>+EP156+EP143</f>
        <v>2135842222.1034977</v>
      </c>
      <c r="EQ158" s="1119"/>
      <c r="EU158" s="1134">
        <f>+EU156+EU143</f>
        <v>2223471113.7928829</v>
      </c>
      <c r="EV158" s="1134">
        <f>+EV156+EV143</f>
        <v>87628891.689385355</v>
      </c>
      <c r="EW158" s="1134">
        <f>+EW156+EW143</f>
        <v>0</v>
      </c>
      <c r="EX158" s="1134">
        <f>+EX156+EX143</f>
        <v>2135842222.1034977</v>
      </c>
      <c r="EY158" s="1119"/>
      <c r="FC158" s="1134">
        <f>+FC156+FC143</f>
        <v>2223471113.7928829</v>
      </c>
      <c r="FD158" s="1134">
        <f>+FD156+FD143</f>
        <v>87628891.689385355</v>
      </c>
      <c r="FE158" s="1134">
        <f>+FE156+FE143</f>
        <v>0</v>
      </c>
      <c r="FF158" s="1134">
        <f>+FF156+FF143</f>
        <v>2135842222.1034977</v>
      </c>
      <c r="FG158" s="1119"/>
      <c r="FK158" s="1134">
        <f>+FK156+FK143</f>
        <v>2223471113.7928829</v>
      </c>
      <c r="FL158" s="1134">
        <f>+FL156+FL143</f>
        <v>87628891.689385355</v>
      </c>
      <c r="FM158" s="1134">
        <f>+FM156+FM143</f>
        <v>0</v>
      </c>
      <c r="FN158" s="1134">
        <f>+FN156+FN143</f>
        <v>2135842222.1034977</v>
      </c>
      <c r="FO158" s="1119"/>
    </row>
    <row r="159" spans="1:171" x14ac:dyDescent="0.25">
      <c r="A159" s="228"/>
      <c r="B159" s="64"/>
      <c r="C159" s="55"/>
      <c r="D159" s="55"/>
      <c r="E159" s="55"/>
      <c r="F159" s="55"/>
      <c r="G159" s="334"/>
      <c r="H159" s="334"/>
      <c r="I159" s="334"/>
      <c r="J159" s="963"/>
      <c r="K159" s="904"/>
      <c r="S159" s="1119"/>
      <c r="AA159" s="1119"/>
      <c r="AI159" s="1119"/>
      <c r="AQ159" s="1119"/>
      <c r="AY159" s="1119"/>
      <c r="BG159" s="1119"/>
      <c r="BO159" s="1119"/>
      <c r="BW159" s="1119"/>
      <c r="CE159" s="1119"/>
      <c r="CM159" s="1119"/>
      <c r="CU159" s="1119"/>
      <c r="DC159" s="1119"/>
      <c r="DK159" s="1119"/>
      <c r="DS159" s="1119"/>
      <c r="EA159" s="1119"/>
      <c r="EI159" s="1119"/>
      <c r="EQ159" s="1119"/>
      <c r="EY159" s="1119"/>
      <c r="FG159" s="1119"/>
      <c r="FO159" s="1119"/>
    </row>
    <row r="160" spans="1:171" x14ac:dyDescent="0.25">
      <c r="A160" s="170"/>
      <c r="B160" s="79"/>
      <c r="C160" s="969"/>
      <c r="D160" s="969"/>
      <c r="E160" s="79"/>
      <c r="F160" s="79"/>
      <c r="G160" s="974"/>
      <c r="H160" s="974"/>
      <c r="I160" s="974"/>
      <c r="J160" s="975"/>
      <c r="K160" s="904"/>
      <c r="S160" s="1119"/>
      <c r="AA160" s="1119"/>
      <c r="AI160" s="1119"/>
      <c r="AQ160" s="1119"/>
      <c r="AY160" s="1119"/>
      <c r="BG160" s="1119"/>
      <c r="BO160" s="1119"/>
      <c r="BW160" s="1119"/>
      <c r="CE160" s="1119"/>
      <c r="CM160" s="1119"/>
      <c r="CU160" s="1119"/>
      <c r="DC160" s="1119"/>
      <c r="DK160" s="1119"/>
      <c r="DS160" s="1119"/>
      <c r="EA160" s="1119"/>
      <c r="EI160" s="1119"/>
      <c r="EQ160" s="1119"/>
      <c r="EY160" s="1119"/>
      <c r="FG160" s="1119"/>
      <c r="FO160" s="1119"/>
    </row>
    <row r="161" spans="1:171" x14ac:dyDescent="0.25">
      <c r="A161" s="163" t="s">
        <v>478</v>
      </c>
      <c r="B161" s="64"/>
      <c r="C161" s="915"/>
      <c r="D161" s="916"/>
      <c r="E161" s="916"/>
      <c r="F161" s="917"/>
      <c r="G161" s="924">
        <f>G79+G135-G158</f>
        <v>9927581496.6237545</v>
      </c>
      <c r="H161" s="924">
        <f>H79+H135-H158</f>
        <v>4058898843.3887949</v>
      </c>
      <c r="I161" s="924">
        <f>I79+I135-I158</f>
        <v>23892855.711776573</v>
      </c>
      <c r="J161" s="1391">
        <f>J79+J135-J158</f>
        <v>5843780386.2489052</v>
      </c>
      <c r="K161" s="904"/>
      <c r="O161" s="1131">
        <f>O79+O135-O158</f>
        <v>9927581496.6237545</v>
      </c>
      <c r="P161" s="1131">
        <f>P79+P135-P158</f>
        <v>4067142860.941824</v>
      </c>
      <c r="Q161" s="1131">
        <f>Q79+Q135-Q158</f>
        <v>2648449524.7630124</v>
      </c>
      <c r="R161" s="1131">
        <f>R79+R135-R158</f>
        <v>3211989110.9189177</v>
      </c>
      <c r="S161" s="1074"/>
      <c r="W161" s="1131">
        <f>W79+W135-W158</f>
        <v>9927581496.6237545</v>
      </c>
      <c r="X161" s="1131">
        <f>X79+X135-X158</f>
        <v>4067142860.941824</v>
      </c>
      <c r="Y161" s="1131">
        <f>Y79+Y135-Y158</f>
        <v>2648449524.7630124</v>
      </c>
      <c r="Z161" s="1131">
        <f>Z79+Z135-Z158</f>
        <v>3211989110.9189177</v>
      </c>
      <c r="AA161" s="1074"/>
      <c r="AE161" s="1131">
        <f>AE79+AE135-AE158</f>
        <v>9927581496.6237545</v>
      </c>
      <c r="AF161" s="1131">
        <f>AF79+AF135-AF158</f>
        <v>4067142860.941824</v>
      </c>
      <c r="AG161" s="1131">
        <f>AG79+AG135-AG158</f>
        <v>2648449524.7630124</v>
      </c>
      <c r="AH161" s="1131">
        <f>AH79+AH135-AH158</f>
        <v>3211989110.9189177</v>
      </c>
      <c r="AI161" s="1074"/>
      <c r="AM161" s="1131">
        <f>AM79+AM135-AM158</f>
        <v>9927581496.6237545</v>
      </c>
      <c r="AN161" s="1131">
        <f>AN79+AN135-AN158</f>
        <v>4067142860.941824</v>
      </c>
      <c r="AO161" s="1131">
        <f>AO79+AO135-AO158</f>
        <v>2648449524.7630124</v>
      </c>
      <c r="AP161" s="1131">
        <f>AP79+AP135-AP158</f>
        <v>3211989110.9189177</v>
      </c>
      <c r="AQ161" s="1074"/>
      <c r="AU161" s="1131">
        <f>AU79+AU135-AU158</f>
        <v>9927581496.6237545</v>
      </c>
      <c r="AV161" s="1131">
        <f>AV79+AV135-AV158</f>
        <v>4067142860.941824</v>
      </c>
      <c r="AW161" s="1131">
        <f>AW79+AW135-AW158</f>
        <v>2648449524.7630124</v>
      </c>
      <c r="AX161" s="1131">
        <f>AX79+AX135-AX158</f>
        <v>3211989110.9189177</v>
      </c>
      <c r="AY161" s="1074"/>
      <c r="BC161" s="1131">
        <f>BC79+BC135-BC158</f>
        <v>9927581496.6237545</v>
      </c>
      <c r="BD161" s="1131">
        <f>BD79+BD135-BD158</f>
        <v>4067142860.941824</v>
      </c>
      <c r="BE161" s="1131">
        <f>BE79+BE135-BE158</f>
        <v>2648449524.7630124</v>
      </c>
      <c r="BF161" s="1131">
        <f>BF79+BF135-BF158</f>
        <v>3211989110.9189177</v>
      </c>
      <c r="BG161" s="1074"/>
      <c r="BK161" s="1131">
        <f>BK79+BK135-BK158</f>
        <v>9927581496.6237545</v>
      </c>
      <c r="BL161" s="1131">
        <f>BL79+BL135-BL158</f>
        <v>4067142860.941824</v>
      </c>
      <c r="BM161" s="1131">
        <f>BM79+BM135-BM158</f>
        <v>2648449524.7630124</v>
      </c>
      <c r="BN161" s="1131">
        <f>BN79+BN135-BN158</f>
        <v>3211989110.9189177</v>
      </c>
      <c r="BO161" s="1074"/>
      <c r="BS161" s="1131">
        <f>BS79+BS135-BS158</f>
        <v>9927581496.6237545</v>
      </c>
      <c r="BT161" s="1131">
        <f>BT79+BT135-BT158</f>
        <v>4067142860.941824</v>
      </c>
      <c r="BU161" s="1131">
        <f>BU79+BU135-BU158</f>
        <v>2648449524.7630124</v>
      </c>
      <c r="BV161" s="1131">
        <f>BV79+BV135-BV158</f>
        <v>3211989110.9189177</v>
      </c>
      <c r="BW161" s="1074"/>
      <c r="CA161" s="1131">
        <f>CA79+CA135-CA158</f>
        <v>9927581496.6237545</v>
      </c>
      <c r="CB161" s="1131">
        <f>CB79+CB135-CB158</f>
        <v>4067142860.941824</v>
      </c>
      <c r="CC161" s="1131">
        <f>CC79+CC135-CC158</f>
        <v>2648449524.7630124</v>
      </c>
      <c r="CD161" s="1131">
        <f>CD79+CD135-CD158</f>
        <v>3211989110.9189177</v>
      </c>
      <c r="CE161" s="1074"/>
      <c r="CI161" s="1131">
        <f>CI79+CI135-CI158</f>
        <v>9927581496.6237545</v>
      </c>
      <c r="CJ161" s="1131">
        <f>CJ79+CJ135-CJ158</f>
        <v>4067142860.941824</v>
      </c>
      <c r="CK161" s="1131">
        <f>CK79+CK135-CK158</f>
        <v>2648449524.7630124</v>
      </c>
      <c r="CL161" s="1131">
        <f>CL79+CL135-CL158</f>
        <v>3211989110.9189177</v>
      </c>
      <c r="CM161" s="1074"/>
      <c r="CQ161" s="1131">
        <f>CQ79+CQ135-CQ158</f>
        <v>9927581496.6237545</v>
      </c>
      <c r="CR161" s="1131">
        <f>CR79+CR135-CR158</f>
        <v>4067142860.941824</v>
      </c>
      <c r="CS161" s="1131">
        <f>CS79+CS135-CS158</f>
        <v>2648449524.7630124</v>
      </c>
      <c r="CT161" s="1131">
        <f>CT79+CT135-CT158</f>
        <v>3211989110.9189177</v>
      </c>
      <c r="CU161" s="1074"/>
      <c r="CY161" s="1131">
        <f>CY79+CY135-CY158</f>
        <v>9927581496.6237545</v>
      </c>
      <c r="CZ161" s="1131">
        <f>CZ79+CZ135-CZ158</f>
        <v>4067142860.941824</v>
      </c>
      <c r="DA161" s="1131">
        <f>DA79+DA135-DA158</f>
        <v>2648449524.7630124</v>
      </c>
      <c r="DB161" s="1131">
        <f>DB79+DB135-DB158</f>
        <v>3211989110.9189177</v>
      </c>
      <c r="DC161" s="1074"/>
      <c r="DG161" s="1131">
        <f>DG79+DG135-DG158</f>
        <v>9927581496.6237545</v>
      </c>
      <c r="DH161" s="1131">
        <f>DH79+DH135-DH158</f>
        <v>4067142860.941824</v>
      </c>
      <c r="DI161" s="1131">
        <f>DI79+DI135-DI158</f>
        <v>2648449524.7630124</v>
      </c>
      <c r="DJ161" s="1131">
        <f>DJ79+DJ135-DJ158</f>
        <v>3211989110.9189177</v>
      </c>
      <c r="DK161" s="1074"/>
      <c r="DO161" s="1131">
        <f>DO79+DO135-DO158</f>
        <v>9927581496.6237545</v>
      </c>
      <c r="DP161" s="1131">
        <f>DP79+DP135-DP158</f>
        <v>4067142860.941824</v>
      </c>
      <c r="DQ161" s="1131">
        <f>DQ79+DQ135-DQ158</f>
        <v>2648449524.7630124</v>
      </c>
      <c r="DR161" s="1131">
        <f>DR79+DR135-DR158</f>
        <v>3211989110.9189177</v>
      </c>
      <c r="DS161" s="1074"/>
      <c r="DW161" s="1131">
        <f>DW79+DW135-DW158</f>
        <v>9927581496.6237545</v>
      </c>
      <c r="DX161" s="1131">
        <f>DX79+DX135-DX158</f>
        <v>4067142860.941824</v>
      </c>
      <c r="DY161" s="1131">
        <f>DY79+DY135-DY158</f>
        <v>2648449524.7630124</v>
      </c>
      <c r="DZ161" s="1131">
        <f>DZ79+DZ135-DZ158</f>
        <v>3211989110.9189177</v>
      </c>
      <c r="EA161" s="1074"/>
      <c r="EE161" s="1131">
        <f>EE79+EE135-EE158</f>
        <v>9927581496.6237545</v>
      </c>
      <c r="EF161" s="1131">
        <f>EF79+EF135-EF158</f>
        <v>4067142860.941824</v>
      </c>
      <c r="EG161" s="1131">
        <f>EG79+EG135-EG158</f>
        <v>2648449524.7630124</v>
      </c>
      <c r="EH161" s="1131">
        <f>EH79+EH135-EH158</f>
        <v>3211989110.9189177</v>
      </c>
      <c r="EI161" s="1074"/>
      <c r="EM161" s="1131">
        <f>EM79+EM135-EM158</f>
        <v>9927581496.6237545</v>
      </c>
      <c r="EN161" s="1131">
        <f>EN79+EN135-EN158</f>
        <v>4067142860.941824</v>
      </c>
      <c r="EO161" s="1131">
        <f>EO79+EO135-EO158</f>
        <v>2648449524.7630124</v>
      </c>
      <c r="EP161" s="1131">
        <f>EP79+EP135-EP158</f>
        <v>3211989110.9189177</v>
      </c>
      <c r="EQ161" s="1074"/>
      <c r="EU161" s="1131">
        <f>EU79+EU135-EU158</f>
        <v>9927581496.6237545</v>
      </c>
      <c r="EV161" s="1131">
        <f>EV79+EV135-EV158</f>
        <v>4067142860.941824</v>
      </c>
      <c r="EW161" s="1131">
        <f>EW79+EW135-EW158</f>
        <v>2648449524.7630124</v>
      </c>
      <c r="EX161" s="1131">
        <f>EX79+EX135-EX158</f>
        <v>3211989110.9189177</v>
      </c>
      <c r="EY161" s="1074"/>
      <c r="FC161" s="1131">
        <f>FC79+FC135-FC158</f>
        <v>9927581496.6237545</v>
      </c>
      <c r="FD161" s="1131">
        <f>FD79+FD135-FD158</f>
        <v>4067142860.941824</v>
      </c>
      <c r="FE161" s="1131">
        <f>FE79+FE135-FE158</f>
        <v>2648449524.7630124</v>
      </c>
      <c r="FF161" s="1131">
        <f>FF79+FF135-FF158</f>
        <v>3211989110.9189177</v>
      </c>
      <c r="FG161" s="1074"/>
      <c r="FK161" s="1131">
        <f>FK79+FK135-FK158</f>
        <v>9927581496.6237545</v>
      </c>
      <c r="FL161" s="1131">
        <f>FL79+FL135-FL158</f>
        <v>4067142860.941824</v>
      </c>
      <c r="FM161" s="1131">
        <f>FM79+FM135-FM158</f>
        <v>2648449524.7630124</v>
      </c>
      <c r="FN161" s="1131">
        <f>FN79+FN135-FN158</f>
        <v>3211989110.9189177</v>
      </c>
      <c r="FO161" s="1074"/>
    </row>
    <row r="162" spans="1:171" x14ac:dyDescent="0.25">
      <c r="A162" s="923" t="s">
        <v>83</v>
      </c>
      <c r="B162" s="64"/>
      <c r="C162" s="55"/>
      <c r="D162" s="55"/>
      <c r="E162" s="55"/>
      <c r="F162" s="55"/>
      <c r="G162" s="911"/>
      <c r="H162" s="886"/>
      <c r="I162" s="56"/>
      <c r="J162" s="270"/>
      <c r="K162" s="904"/>
      <c r="S162" s="1074"/>
      <c r="AA162" s="1074"/>
      <c r="AI162" s="1074"/>
      <c r="AQ162" s="1074"/>
      <c r="AY162" s="1074"/>
      <c r="BG162" s="1074"/>
      <c r="BO162" s="1074"/>
      <c r="BW162" s="1074"/>
      <c r="CE162" s="1074"/>
      <c r="CM162" s="1074"/>
      <c r="CU162" s="1074"/>
      <c r="DC162" s="1074"/>
      <c r="DK162" s="1074"/>
      <c r="DS162" s="1074"/>
      <c r="EA162" s="1074"/>
      <c r="EI162" s="1074"/>
      <c r="EQ162" s="1074"/>
      <c r="EY162" s="1074"/>
      <c r="FG162" s="1074"/>
      <c r="FO162" s="1074"/>
    </row>
    <row r="163" spans="1:171" ht="16.5" thickBot="1" x14ac:dyDescent="0.3">
      <c r="A163" s="931"/>
      <c r="B163" s="932"/>
      <c r="C163" s="933"/>
      <c r="D163" s="933"/>
      <c r="E163" s="933"/>
      <c r="F163" s="933"/>
      <c r="G163" s="935"/>
      <c r="H163" s="976"/>
      <c r="I163" s="977"/>
      <c r="J163" s="273"/>
      <c r="K163" s="904"/>
      <c r="S163" s="1074"/>
      <c r="AA163" s="1074"/>
      <c r="AI163" s="1074"/>
      <c r="AQ163" s="1074"/>
      <c r="AY163" s="1074"/>
      <c r="BG163" s="1074"/>
      <c r="BO163" s="1074"/>
      <c r="BW163" s="1074"/>
      <c r="CE163" s="1074"/>
      <c r="CM163" s="1074"/>
      <c r="CU163" s="1074"/>
      <c r="DC163" s="1074"/>
      <c r="DK163" s="1074"/>
      <c r="DS163" s="1074"/>
      <c r="EA163" s="1074"/>
      <c r="EI163" s="1074"/>
      <c r="EQ163" s="1074"/>
      <c r="EY163" s="1074"/>
      <c r="FG163" s="1074"/>
      <c r="FO163" s="1074"/>
    </row>
    <row r="164" spans="1:171" ht="16.5" thickTop="1" x14ac:dyDescent="0.25">
      <c r="A164" s="923"/>
      <c r="B164" s="64"/>
      <c r="C164" s="55"/>
      <c r="D164" s="55"/>
      <c r="E164" s="55"/>
      <c r="F164" s="55"/>
      <c r="G164" s="911"/>
      <c r="H164" s="886"/>
      <c r="I164" s="56"/>
      <c r="J164" s="270"/>
      <c r="K164" s="904"/>
      <c r="S164" s="1074"/>
      <c r="AA164" s="1074"/>
      <c r="AI164" s="1074"/>
      <c r="AQ164" s="1074"/>
      <c r="AY164" s="1074"/>
      <c r="BG164" s="1074"/>
      <c r="BO164" s="1074"/>
      <c r="BW164" s="1074"/>
      <c r="CE164" s="1074"/>
      <c r="CM164" s="1074"/>
      <c r="CU164" s="1074"/>
      <c r="DC164" s="1074"/>
      <c r="DK164" s="1074"/>
      <c r="DS164" s="1074"/>
      <c r="EA164" s="1074"/>
      <c r="EI164" s="1074"/>
      <c r="EQ164" s="1074"/>
      <c r="EY164" s="1074"/>
      <c r="FG164" s="1074"/>
      <c r="FO164" s="1074"/>
    </row>
    <row r="165" spans="1:171" x14ac:dyDescent="0.25">
      <c r="A165" s="907" t="s">
        <v>63</v>
      </c>
      <c r="B165" s="1"/>
      <c r="C165" s="1"/>
      <c r="D165" s="1"/>
      <c r="E165" s="1"/>
      <c r="F165" s="1"/>
      <c r="G165" s="978">
        <f>'Sch 2 -Rate of Return'!E14</f>
        <v>8.4185220942944408E-2</v>
      </c>
      <c r="H165" s="993">
        <f>G165</f>
        <v>8.4185220942944408E-2</v>
      </c>
      <c r="I165" s="993">
        <f>G165</f>
        <v>8.4185220942944408E-2</v>
      </c>
      <c r="J165" s="994">
        <f>G165</f>
        <v>8.4185220942944408E-2</v>
      </c>
      <c r="K165" s="904"/>
      <c r="O165" s="1135">
        <f>$G$165</f>
        <v>8.4185220942944408E-2</v>
      </c>
      <c r="P165" s="1135">
        <f>$G$165</f>
        <v>8.4185220942944408E-2</v>
      </c>
      <c r="Q165" s="1135">
        <f>$G$165</f>
        <v>8.4185220942944408E-2</v>
      </c>
      <c r="R165" s="1135">
        <f>$G$165</f>
        <v>8.4185220942944408E-2</v>
      </c>
      <c r="S165" s="1074"/>
      <c r="W165" s="1135">
        <f>$G$165</f>
        <v>8.4185220942944408E-2</v>
      </c>
      <c r="X165" s="1135">
        <f>$G$165</f>
        <v>8.4185220942944408E-2</v>
      </c>
      <c r="Y165" s="1135">
        <f>$G$165</f>
        <v>8.4185220942944408E-2</v>
      </c>
      <c r="Z165" s="1135">
        <f>$G$165</f>
        <v>8.4185220942944408E-2</v>
      </c>
      <c r="AA165" s="1074"/>
      <c r="AE165" s="1135">
        <f>$G$165</f>
        <v>8.4185220942944408E-2</v>
      </c>
      <c r="AF165" s="1135">
        <f>$G$165</f>
        <v>8.4185220942944408E-2</v>
      </c>
      <c r="AG165" s="1135">
        <f>$G$165</f>
        <v>8.4185220942944408E-2</v>
      </c>
      <c r="AH165" s="1135">
        <f>$G$165</f>
        <v>8.4185220942944408E-2</v>
      </c>
      <c r="AI165" s="1074"/>
      <c r="AM165" s="1135">
        <f>$G$165</f>
        <v>8.4185220942944408E-2</v>
      </c>
      <c r="AN165" s="1135">
        <f>$G$165</f>
        <v>8.4185220942944408E-2</v>
      </c>
      <c r="AO165" s="1135">
        <f>$G$165</f>
        <v>8.4185220942944408E-2</v>
      </c>
      <c r="AP165" s="1135">
        <f>$G$165</f>
        <v>8.4185220942944408E-2</v>
      </c>
      <c r="AQ165" s="1074"/>
      <c r="AU165" s="1135">
        <f>$G$165</f>
        <v>8.4185220942944408E-2</v>
      </c>
      <c r="AV165" s="1135">
        <f>$G$165</f>
        <v>8.4185220942944408E-2</v>
      </c>
      <c r="AW165" s="1135">
        <f>$G$165</f>
        <v>8.4185220942944408E-2</v>
      </c>
      <c r="AX165" s="1135">
        <f>$G$165</f>
        <v>8.4185220942944408E-2</v>
      </c>
      <c r="AY165" s="1074"/>
      <c r="BC165" s="1135">
        <f>$G$165</f>
        <v>8.4185220942944408E-2</v>
      </c>
      <c r="BD165" s="1135">
        <f>$G$165</f>
        <v>8.4185220942944408E-2</v>
      </c>
      <c r="BE165" s="1135">
        <f>$G$165</f>
        <v>8.4185220942944408E-2</v>
      </c>
      <c r="BF165" s="1135">
        <f>$G$165</f>
        <v>8.4185220942944408E-2</v>
      </c>
      <c r="BG165" s="1074"/>
      <c r="BK165" s="1135">
        <f>$G$165</f>
        <v>8.4185220942944408E-2</v>
      </c>
      <c r="BL165" s="1135">
        <f>$G$165</f>
        <v>8.4185220942944408E-2</v>
      </c>
      <c r="BM165" s="1135">
        <f>$G$165</f>
        <v>8.4185220942944408E-2</v>
      </c>
      <c r="BN165" s="1135">
        <f>$G$165</f>
        <v>8.4185220942944408E-2</v>
      </c>
      <c r="BO165" s="1074"/>
      <c r="BS165" s="1135">
        <f>$G$165</f>
        <v>8.4185220942944408E-2</v>
      </c>
      <c r="BT165" s="1135">
        <f>$G$165</f>
        <v>8.4185220942944408E-2</v>
      </c>
      <c r="BU165" s="1135">
        <f>$G$165</f>
        <v>8.4185220942944408E-2</v>
      </c>
      <c r="BV165" s="1135">
        <f>$G$165</f>
        <v>8.4185220942944408E-2</v>
      </c>
      <c r="BW165" s="1074"/>
      <c r="CA165" s="1135">
        <f>$G$165</f>
        <v>8.4185220942944408E-2</v>
      </c>
      <c r="CB165" s="1135">
        <f>$G$165</f>
        <v>8.4185220942944408E-2</v>
      </c>
      <c r="CC165" s="1135">
        <f>$G$165</f>
        <v>8.4185220942944408E-2</v>
      </c>
      <c r="CD165" s="1135">
        <f>$G$165</f>
        <v>8.4185220942944408E-2</v>
      </c>
      <c r="CE165" s="1074"/>
      <c r="CI165" s="1135">
        <f>$G$165</f>
        <v>8.4185220942944408E-2</v>
      </c>
      <c r="CJ165" s="1135">
        <f>$G$165</f>
        <v>8.4185220942944408E-2</v>
      </c>
      <c r="CK165" s="1135">
        <f>$G$165</f>
        <v>8.4185220942944408E-2</v>
      </c>
      <c r="CL165" s="1135">
        <f>$G$165</f>
        <v>8.4185220942944408E-2</v>
      </c>
      <c r="CM165" s="1074"/>
      <c r="CQ165" s="1135">
        <f>$G$165</f>
        <v>8.4185220942944408E-2</v>
      </c>
      <c r="CR165" s="1135">
        <f>$G$165</f>
        <v>8.4185220942944408E-2</v>
      </c>
      <c r="CS165" s="1135">
        <f>$G$165</f>
        <v>8.4185220942944408E-2</v>
      </c>
      <c r="CT165" s="1135">
        <f>$G$165</f>
        <v>8.4185220942944408E-2</v>
      </c>
      <c r="CU165" s="1074"/>
      <c r="CY165" s="1135">
        <f>$G$165</f>
        <v>8.4185220942944408E-2</v>
      </c>
      <c r="CZ165" s="1135">
        <f>$G$165</f>
        <v>8.4185220942944408E-2</v>
      </c>
      <c r="DA165" s="1135">
        <f>$G$165</f>
        <v>8.4185220942944408E-2</v>
      </c>
      <c r="DB165" s="1135">
        <f>$G$165</f>
        <v>8.4185220942944408E-2</v>
      </c>
      <c r="DC165" s="1074"/>
      <c r="DG165" s="1135">
        <f>$G$165</f>
        <v>8.4185220942944408E-2</v>
      </c>
      <c r="DH165" s="1135">
        <f>$G$165</f>
        <v>8.4185220942944408E-2</v>
      </c>
      <c r="DI165" s="1135">
        <f>$G$165</f>
        <v>8.4185220942944408E-2</v>
      </c>
      <c r="DJ165" s="1135">
        <f>$G$165</f>
        <v>8.4185220942944408E-2</v>
      </c>
      <c r="DK165" s="1074"/>
      <c r="DO165" s="1135">
        <f>$G$165</f>
        <v>8.4185220942944408E-2</v>
      </c>
      <c r="DP165" s="1135">
        <f>$G$165</f>
        <v>8.4185220942944408E-2</v>
      </c>
      <c r="DQ165" s="1135">
        <f>$G$165</f>
        <v>8.4185220942944408E-2</v>
      </c>
      <c r="DR165" s="1135">
        <f>$G$165</f>
        <v>8.4185220942944408E-2</v>
      </c>
      <c r="DS165" s="1074"/>
      <c r="DW165" s="1135">
        <f>$G$165</f>
        <v>8.4185220942944408E-2</v>
      </c>
      <c r="DX165" s="1135">
        <f>$G$165</f>
        <v>8.4185220942944408E-2</v>
      </c>
      <c r="DY165" s="1135">
        <f>$G$165</f>
        <v>8.4185220942944408E-2</v>
      </c>
      <c r="DZ165" s="1135">
        <f>$G$165</f>
        <v>8.4185220942944408E-2</v>
      </c>
      <c r="EA165" s="1074"/>
      <c r="EE165" s="1135">
        <f>$G$165</f>
        <v>8.4185220942944408E-2</v>
      </c>
      <c r="EF165" s="1135">
        <f>$G$165</f>
        <v>8.4185220942944408E-2</v>
      </c>
      <c r="EG165" s="1135">
        <f>$G$165</f>
        <v>8.4185220942944408E-2</v>
      </c>
      <c r="EH165" s="1135">
        <f>$G$165</f>
        <v>8.4185220942944408E-2</v>
      </c>
      <c r="EI165" s="1074"/>
      <c r="EM165" s="1135">
        <f>$G$165</f>
        <v>8.4185220942944408E-2</v>
      </c>
      <c r="EN165" s="1135">
        <f>$G$165</f>
        <v>8.4185220942944408E-2</v>
      </c>
      <c r="EO165" s="1135">
        <f>$G$165</f>
        <v>8.4185220942944408E-2</v>
      </c>
      <c r="EP165" s="1135">
        <f>$G$165</f>
        <v>8.4185220942944408E-2</v>
      </c>
      <c r="EQ165" s="1074"/>
      <c r="EU165" s="1135">
        <f>$G$165</f>
        <v>8.4185220942944408E-2</v>
      </c>
      <c r="EV165" s="1135">
        <f>$G$165</f>
        <v>8.4185220942944408E-2</v>
      </c>
      <c r="EW165" s="1135">
        <f>$G$165</f>
        <v>8.4185220942944408E-2</v>
      </c>
      <c r="EX165" s="1135">
        <f>$G$165</f>
        <v>8.4185220942944408E-2</v>
      </c>
      <c r="EY165" s="1074"/>
      <c r="FC165" s="1135">
        <f>$G$165</f>
        <v>8.4185220942944408E-2</v>
      </c>
      <c r="FD165" s="1135">
        <f>$G$165</f>
        <v>8.4185220942944408E-2</v>
      </c>
      <c r="FE165" s="1135">
        <f>$G$165</f>
        <v>8.4185220942944408E-2</v>
      </c>
      <c r="FF165" s="1135">
        <f>$G$165</f>
        <v>8.4185220942944408E-2</v>
      </c>
      <c r="FG165" s="1074"/>
      <c r="FK165" s="1135">
        <f>$G$165</f>
        <v>8.4185220942944408E-2</v>
      </c>
      <c r="FL165" s="1135">
        <f>$G$165</f>
        <v>8.4185220942944408E-2</v>
      </c>
      <c r="FM165" s="1135">
        <f>$G$165</f>
        <v>8.4185220942944408E-2</v>
      </c>
      <c r="FN165" s="1135">
        <f>$G$165</f>
        <v>8.4185220942944408E-2</v>
      </c>
      <c r="FO165" s="1074"/>
    </row>
    <row r="166" spans="1:171" x14ac:dyDescent="0.25">
      <c r="A166" s="214"/>
      <c r="B166" s="1"/>
      <c r="C166" s="1"/>
      <c r="D166" s="1"/>
      <c r="E166" s="1"/>
      <c r="F166" s="1"/>
      <c r="G166" s="1"/>
      <c r="H166" s="1"/>
      <c r="I166" s="1"/>
      <c r="J166" s="171"/>
      <c r="K166" s="904"/>
      <c r="S166" s="1074"/>
      <c r="AA166" s="1074"/>
      <c r="AI166" s="1074"/>
      <c r="AQ166" s="1074"/>
      <c r="AY166" s="1074"/>
      <c r="BG166" s="1074"/>
      <c r="BO166" s="1074"/>
      <c r="BW166" s="1074"/>
      <c r="CE166" s="1074"/>
      <c r="CM166" s="1074"/>
      <c r="CU166" s="1074"/>
      <c r="DC166" s="1074"/>
      <c r="DK166" s="1074"/>
      <c r="DS166" s="1074"/>
      <c r="EA166" s="1074"/>
      <c r="EI166" s="1074"/>
      <c r="EQ166" s="1074"/>
      <c r="EY166" s="1074"/>
      <c r="FG166" s="1074"/>
      <c r="FO166" s="1074"/>
    </row>
    <row r="167" spans="1:171" x14ac:dyDescent="0.25">
      <c r="A167" s="979" t="s">
        <v>141</v>
      </c>
      <c r="B167" s="1"/>
      <c r="C167" s="1"/>
      <c r="D167" s="1"/>
      <c r="E167" s="1"/>
      <c r="F167" s="1"/>
      <c r="G167" s="980">
        <f>G161*G165</f>
        <v>835755641.72235751</v>
      </c>
      <c r="H167" s="980">
        <f>H161*H165</f>
        <v>341699295.91574723</v>
      </c>
      <c r="I167" s="980">
        <f>I161*I165</f>
        <v>2011425.3370538021</v>
      </c>
      <c r="J167" s="981">
        <f>J161*J165</f>
        <v>491959942.95840907</v>
      </c>
      <c r="K167" s="904"/>
      <c r="O167" s="1131">
        <f>O161*O165</f>
        <v>835755641.72235751</v>
      </c>
      <c r="P167" s="1131">
        <f>P161*P165</f>
        <v>342393320.3549065</v>
      </c>
      <c r="Q167" s="1131">
        <f>Q161*Q165</f>
        <v>222960308.39841032</v>
      </c>
      <c r="R167" s="1131">
        <f>R161*R165</f>
        <v>270402012.96904063</v>
      </c>
      <c r="S167" s="1074"/>
      <c r="W167" s="1131">
        <f>W161*W165</f>
        <v>835755641.72235751</v>
      </c>
      <c r="X167" s="1131">
        <f>X161*X165</f>
        <v>342393320.3549065</v>
      </c>
      <c r="Y167" s="1131">
        <f>Y161*Y165</f>
        <v>222960308.39841032</v>
      </c>
      <c r="Z167" s="1131">
        <f>Z161*Z165</f>
        <v>270402012.96904063</v>
      </c>
      <c r="AA167" s="1074"/>
      <c r="AE167" s="1131">
        <f>AE161*AE165</f>
        <v>835755641.72235751</v>
      </c>
      <c r="AF167" s="1131">
        <f>AF161*AF165</f>
        <v>342393320.3549065</v>
      </c>
      <c r="AG167" s="1131">
        <f>AG161*AG165</f>
        <v>222960308.39841032</v>
      </c>
      <c r="AH167" s="1131">
        <f>AH161*AH165</f>
        <v>270402012.96904063</v>
      </c>
      <c r="AI167" s="1074"/>
      <c r="AM167" s="1131">
        <f>AM161*AM165</f>
        <v>835755641.72235751</v>
      </c>
      <c r="AN167" s="1131">
        <f>AN161*AN165</f>
        <v>342393320.3549065</v>
      </c>
      <c r="AO167" s="1131">
        <f>AO161*AO165</f>
        <v>222960308.39841032</v>
      </c>
      <c r="AP167" s="1131">
        <f>AP161*AP165</f>
        <v>270402012.96904063</v>
      </c>
      <c r="AQ167" s="1074"/>
      <c r="AU167" s="1131">
        <f>AU161*AU165</f>
        <v>835755641.72235751</v>
      </c>
      <c r="AV167" s="1131">
        <f>AV161*AV165</f>
        <v>342393320.3549065</v>
      </c>
      <c r="AW167" s="1131">
        <f>AW161*AW165</f>
        <v>222960308.39841032</v>
      </c>
      <c r="AX167" s="1131">
        <f>AX161*AX165</f>
        <v>270402012.96904063</v>
      </c>
      <c r="AY167" s="1074"/>
      <c r="BC167" s="1131">
        <f>BC161*BC165</f>
        <v>835755641.72235751</v>
      </c>
      <c r="BD167" s="1131">
        <f>BD161*BD165</f>
        <v>342393320.3549065</v>
      </c>
      <c r="BE167" s="1131">
        <f>BE161*BE165</f>
        <v>222960308.39841032</v>
      </c>
      <c r="BF167" s="1131">
        <f>BF161*BF165</f>
        <v>270402012.96904063</v>
      </c>
      <c r="BG167" s="1074"/>
      <c r="BK167" s="1131">
        <f>BK161*BK165</f>
        <v>835755641.72235751</v>
      </c>
      <c r="BL167" s="1131">
        <f>BL161*BL165</f>
        <v>342393320.3549065</v>
      </c>
      <c r="BM167" s="1131">
        <f>BM161*BM165</f>
        <v>222960308.39841032</v>
      </c>
      <c r="BN167" s="1131">
        <f>BN161*BN165</f>
        <v>270402012.96904063</v>
      </c>
      <c r="BO167" s="1074"/>
      <c r="BS167" s="1131">
        <f>BS161*BS165</f>
        <v>835755641.72235751</v>
      </c>
      <c r="BT167" s="1131">
        <f>BT161*BT165</f>
        <v>342393320.3549065</v>
      </c>
      <c r="BU167" s="1131">
        <f>BU161*BU165</f>
        <v>222960308.39841032</v>
      </c>
      <c r="BV167" s="1131">
        <f>BV161*BV165</f>
        <v>270402012.96904063</v>
      </c>
      <c r="BW167" s="1074"/>
      <c r="CA167" s="1131">
        <f>CA161*CA165</f>
        <v>835755641.72235751</v>
      </c>
      <c r="CB167" s="1131">
        <f>CB161*CB165</f>
        <v>342393320.3549065</v>
      </c>
      <c r="CC167" s="1131">
        <f>CC161*CC165</f>
        <v>222960308.39841032</v>
      </c>
      <c r="CD167" s="1131">
        <f>CD161*CD165</f>
        <v>270402012.96904063</v>
      </c>
      <c r="CE167" s="1074"/>
      <c r="CI167" s="1131">
        <f>CI161*CI165</f>
        <v>835755641.72235751</v>
      </c>
      <c r="CJ167" s="1131">
        <f>CJ161*CJ165</f>
        <v>342393320.3549065</v>
      </c>
      <c r="CK167" s="1131">
        <f>CK161*CK165</f>
        <v>222960308.39841032</v>
      </c>
      <c r="CL167" s="1131">
        <f>CL161*CL165</f>
        <v>270402012.96904063</v>
      </c>
      <c r="CM167" s="1074"/>
      <c r="CQ167" s="1131">
        <f>CQ161*CQ165</f>
        <v>835755641.72235751</v>
      </c>
      <c r="CR167" s="1131">
        <f>CR161*CR165</f>
        <v>342393320.3549065</v>
      </c>
      <c r="CS167" s="1131">
        <f>CS161*CS165</f>
        <v>222960308.39841032</v>
      </c>
      <c r="CT167" s="1131">
        <f>CT161*CT165</f>
        <v>270402012.96904063</v>
      </c>
      <c r="CU167" s="1074"/>
      <c r="CY167" s="1131">
        <f>CY161*CY165</f>
        <v>835755641.72235751</v>
      </c>
      <c r="CZ167" s="1131">
        <f>CZ161*CZ165</f>
        <v>342393320.3549065</v>
      </c>
      <c r="DA167" s="1131">
        <f>DA161*DA165</f>
        <v>222960308.39841032</v>
      </c>
      <c r="DB167" s="1131">
        <f>DB161*DB165</f>
        <v>270402012.96904063</v>
      </c>
      <c r="DC167" s="1074"/>
      <c r="DG167" s="1131">
        <f>DG161*DG165</f>
        <v>835755641.72235751</v>
      </c>
      <c r="DH167" s="1131">
        <f>DH161*DH165</f>
        <v>342393320.3549065</v>
      </c>
      <c r="DI167" s="1131">
        <f>DI161*DI165</f>
        <v>222960308.39841032</v>
      </c>
      <c r="DJ167" s="1131">
        <f>DJ161*DJ165</f>
        <v>270402012.96904063</v>
      </c>
      <c r="DK167" s="1074"/>
      <c r="DO167" s="1131">
        <f>DO161*DO165</f>
        <v>835755641.72235751</v>
      </c>
      <c r="DP167" s="1131">
        <f>DP161*DP165</f>
        <v>342393320.3549065</v>
      </c>
      <c r="DQ167" s="1131">
        <f>DQ161*DQ165</f>
        <v>222960308.39841032</v>
      </c>
      <c r="DR167" s="1131">
        <f>DR161*DR165</f>
        <v>270402012.96904063</v>
      </c>
      <c r="DS167" s="1074"/>
      <c r="DW167" s="1131">
        <f>DW161*DW165</f>
        <v>835755641.72235751</v>
      </c>
      <c r="DX167" s="1131">
        <f>DX161*DX165</f>
        <v>342393320.3549065</v>
      </c>
      <c r="DY167" s="1131">
        <f>DY161*DY165</f>
        <v>222960308.39841032</v>
      </c>
      <c r="DZ167" s="1131">
        <f>DZ161*DZ165</f>
        <v>270402012.96904063</v>
      </c>
      <c r="EA167" s="1074"/>
      <c r="EE167" s="1131">
        <f>EE161*EE165</f>
        <v>835755641.72235751</v>
      </c>
      <c r="EF167" s="1131">
        <f>EF161*EF165</f>
        <v>342393320.3549065</v>
      </c>
      <c r="EG167" s="1131">
        <f>EG161*EG165</f>
        <v>222960308.39841032</v>
      </c>
      <c r="EH167" s="1131">
        <f>EH161*EH165</f>
        <v>270402012.96904063</v>
      </c>
      <c r="EI167" s="1074"/>
      <c r="EM167" s="1131">
        <f>EM161*EM165</f>
        <v>835755641.72235751</v>
      </c>
      <c r="EN167" s="1131">
        <f>EN161*EN165</f>
        <v>342393320.3549065</v>
      </c>
      <c r="EO167" s="1131">
        <f>EO161*EO165</f>
        <v>222960308.39841032</v>
      </c>
      <c r="EP167" s="1131">
        <f>EP161*EP165</f>
        <v>270402012.96904063</v>
      </c>
      <c r="EQ167" s="1074"/>
      <c r="EU167" s="1131">
        <f>EU161*EU165</f>
        <v>835755641.72235751</v>
      </c>
      <c r="EV167" s="1131">
        <f>EV161*EV165</f>
        <v>342393320.3549065</v>
      </c>
      <c r="EW167" s="1131">
        <f>EW161*EW165</f>
        <v>222960308.39841032</v>
      </c>
      <c r="EX167" s="1131">
        <f>EX161*EX165</f>
        <v>270402012.96904063</v>
      </c>
      <c r="EY167" s="1074"/>
      <c r="FC167" s="1131">
        <f>FC161*FC165</f>
        <v>835755641.72235751</v>
      </c>
      <c r="FD167" s="1131">
        <f>FD161*FD165</f>
        <v>342393320.3549065</v>
      </c>
      <c r="FE167" s="1131">
        <f>FE161*FE165</f>
        <v>222960308.39841032</v>
      </c>
      <c r="FF167" s="1131">
        <f>FF161*FF165</f>
        <v>270402012.96904063</v>
      </c>
      <c r="FG167" s="1074"/>
      <c r="FK167" s="1131">
        <f>FK161*FK165</f>
        <v>835755641.72235751</v>
      </c>
      <c r="FL167" s="1131">
        <f>FL161*FL165</f>
        <v>342393320.3549065</v>
      </c>
      <c r="FM167" s="1131">
        <f>FM161*FM165</f>
        <v>222960308.39841032</v>
      </c>
      <c r="FN167" s="1131">
        <f>FN161*FN165</f>
        <v>270402012.96904063</v>
      </c>
      <c r="FO167" s="1074"/>
    </row>
    <row r="168" spans="1:171" x14ac:dyDescent="0.25">
      <c r="A168" s="214"/>
      <c r="B168" s="1"/>
      <c r="C168" s="1"/>
      <c r="D168" s="1"/>
      <c r="E168" s="1"/>
      <c r="F168" s="1"/>
      <c r="G168" s="1"/>
      <c r="H168" s="1"/>
      <c r="I168" s="1"/>
      <c r="J168" s="171"/>
      <c r="K168" s="904"/>
      <c r="S168" s="1074"/>
      <c r="AA168" s="1074"/>
      <c r="AI168" s="1074"/>
      <c r="AQ168" s="1074"/>
      <c r="AY168" s="1074"/>
      <c r="BG168" s="1074"/>
      <c r="BO168" s="1074"/>
      <c r="BW168" s="1074"/>
      <c r="CE168" s="1074"/>
      <c r="CM168" s="1074"/>
      <c r="CU168" s="1074"/>
      <c r="DC168" s="1074"/>
      <c r="DK168" s="1074"/>
      <c r="DS168" s="1074"/>
      <c r="EA168" s="1074"/>
      <c r="EI168" s="1074"/>
      <c r="EQ168" s="1074"/>
      <c r="EY168" s="1074"/>
      <c r="FG168" s="1074"/>
      <c r="FO168" s="1074"/>
    </row>
    <row r="169" spans="1:171" ht="16.5" thickBot="1" x14ac:dyDescent="0.3">
      <c r="A169" s="214"/>
      <c r="B169" s="1"/>
      <c r="C169" s="1"/>
      <c r="D169" s="1"/>
      <c r="E169" s="1"/>
      <c r="F169" s="1"/>
      <c r="G169" s="1"/>
      <c r="H169" s="1"/>
      <c r="I169" s="1"/>
      <c r="J169" s="171"/>
      <c r="K169" s="904"/>
      <c r="S169" s="1074"/>
      <c r="AA169" s="1074"/>
      <c r="AI169" s="1074"/>
      <c r="AQ169" s="1074"/>
      <c r="AY169" s="1074"/>
      <c r="BG169" s="1074"/>
      <c r="BO169" s="1074"/>
      <c r="BW169" s="1074"/>
      <c r="CE169" s="1074"/>
      <c r="CM169" s="1074"/>
      <c r="CU169" s="1074"/>
      <c r="DC169" s="1074"/>
      <c r="DK169" s="1074"/>
      <c r="DS169" s="1074"/>
      <c r="EA169" s="1074"/>
      <c r="EI169" s="1074"/>
      <c r="EQ169" s="1074"/>
      <c r="EY169" s="1074"/>
      <c r="FG169" s="1074"/>
      <c r="FO169" s="1074"/>
    </row>
    <row r="170" spans="1:171" ht="17.25" thickTop="1" thickBot="1" x14ac:dyDescent="0.3">
      <c r="A170" s="982" t="s">
        <v>82</v>
      </c>
      <c r="B170" s="983"/>
      <c r="C170" s="983"/>
      <c r="D170" s="983"/>
      <c r="E170" s="984"/>
      <c r="F170" s="984"/>
      <c r="G170" s="985"/>
      <c r="H170" s="986"/>
      <c r="I170" s="986"/>
      <c r="J170" s="987"/>
      <c r="K170" s="904"/>
      <c r="S170" s="1074"/>
      <c r="AA170" s="1074"/>
      <c r="AI170" s="1074"/>
      <c r="AQ170" s="1074"/>
      <c r="AY170" s="1074"/>
      <c r="BG170" s="1074"/>
      <c r="BO170" s="1074"/>
      <c r="BW170" s="1074"/>
      <c r="CE170" s="1074"/>
      <c r="CM170" s="1074"/>
      <c r="CU170" s="1074"/>
      <c r="DC170" s="1074"/>
      <c r="DK170" s="1074"/>
      <c r="DS170" s="1074"/>
      <c r="EA170" s="1074"/>
      <c r="EI170" s="1074"/>
      <c r="EQ170" s="1074"/>
      <c r="EY170" s="1074"/>
      <c r="FG170" s="1074"/>
      <c r="FO170" s="1074"/>
    </row>
    <row r="171" spans="1:171" ht="17.25" thickTop="1" thickBot="1" x14ac:dyDescent="0.3">
      <c r="A171" s="988"/>
      <c r="B171" s="3675" t="s">
        <v>100</v>
      </c>
      <c r="C171" s="325" t="s">
        <v>323</v>
      </c>
      <c r="D171" s="325"/>
      <c r="E171" s="3758" t="s">
        <v>354</v>
      </c>
      <c r="F171" s="3759"/>
      <c r="G171" s="3762" t="s">
        <v>104</v>
      </c>
      <c r="H171" s="3765" t="s">
        <v>105</v>
      </c>
      <c r="I171" s="3768" t="s">
        <v>106</v>
      </c>
      <c r="J171" s="326"/>
      <c r="K171" s="904"/>
      <c r="S171" s="1074"/>
      <c r="AA171" s="1074"/>
      <c r="AI171" s="1074"/>
      <c r="AQ171" s="1074"/>
      <c r="AY171" s="1074"/>
      <c r="BG171" s="1074"/>
      <c r="BO171" s="1074"/>
      <c r="BW171" s="1074"/>
      <c r="CE171" s="1074"/>
      <c r="CM171" s="1074"/>
      <c r="CU171" s="1074"/>
      <c r="DC171" s="1074"/>
      <c r="DK171" s="1074"/>
      <c r="DS171" s="1074"/>
      <c r="EA171" s="1074"/>
      <c r="EI171" s="1074"/>
      <c r="EQ171" s="1074"/>
      <c r="EY171" s="1074"/>
      <c r="FG171" s="1074"/>
      <c r="FO171" s="1074"/>
    </row>
    <row r="172" spans="1:171" ht="16.5" thickBot="1" x14ac:dyDescent="0.3">
      <c r="A172" s="865"/>
      <c r="B172" s="3756"/>
      <c r="C172" s="322" t="s">
        <v>272</v>
      </c>
      <c r="D172" s="322" t="s">
        <v>96</v>
      </c>
      <c r="E172" s="3760"/>
      <c r="F172" s="3761"/>
      <c r="G172" s="3763"/>
      <c r="H172" s="3766"/>
      <c r="I172" s="3754"/>
      <c r="J172" s="310" t="s">
        <v>98</v>
      </c>
      <c r="K172" s="904"/>
      <c r="S172" s="1074"/>
      <c r="AA172" s="1074"/>
      <c r="AI172" s="1074"/>
      <c r="AQ172" s="1074"/>
      <c r="AY172" s="1074"/>
      <c r="BG172" s="1074"/>
      <c r="BO172" s="1074"/>
      <c r="BW172" s="1074"/>
      <c r="CE172" s="1074"/>
      <c r="CM172" s="1074"/>
      <c r="CU172" s="1074"/>
      <c r="DC172" s="1074"/>
      <c r="DK172" s="1074"/>
      <c r="DS172" s="1074"/>
      <c r="EA172" s="1074"/>
      <c r="EI172" s="1074"/>
      <c r="EQ172" s="1074"/>
      <c r="EY172" s="1074"/>
      <c r="FG172" s="1074"/>
      <c r="FO172" s="1074"/>
    </row>
    <row r="173" spans="1:171" ht="16.5" thickBot="1" x14ac:dyDescent="0.3">
      <c r="A173" s="989"/>
      <c r="B173" s="3757"/>
      <c r="C173" s="311" t="s">
        <v>273</v>
      </c>
      <c r="D173" s="311" t="s">
        <v>252</v>
      </c>
      <c r="E173" s="311" t="s">
        <v>450</v>
      </c>
      <c r="F173" s="311" t="s">
        <v>619</v>
      </c>
      <c r="G173" s="3764"/>
      <c r="H173" s="3767"/>
      <c r="I173" s="3769"/>
      <c r="J173" s="314" t="s">
        <v>107</v>
      </c>
      <c r="K173" s="904"/>
      <c r="S173" s="1074"/>
      <c r="AA173" s="1074"/>
      <c r="AI173" s="1074"/>
      <c r="AQ173" s="1074"/>
      <c r="AY173" s="1074"/>
      <c r="BG173" s="1074"/>
      <c r="BO173" s="1074"/>
      <c r="BW173" s="1074"/>
      <c r="CE173" s="1074"/>
      <c r="CM173" s="1074"/>
      <c r="CU173" s="1074"/>
      <c r="DC173" s="1074"/>
      <c r="DK173" s="1074"/>
      <c r="DS173" s="1074"/>
      <c r="EA173" s="1074"/>
      <c r="EI173" s="1074"/>
      <c r="EQ173" s="1074"/>
      <c r="EY173" s="1074"/>
      <c r="FG173" s="1074"/>
      <c r="FO173" s="1074"/>
    </row>
    <row r="174" spans="1:171" ht="16.5" thickTop="1" x14ac:dyDescent="0.25">
      <c r="A174" s="160" t="s">
        <v>456</v>
      </c>
      <c r="B174" s="64"/>
      <c r="C174" s="55"/>
      <c r="D174" s="55"/>
      <c r="E174" s="55"/>
      <c r="F174" s="55"/>
      <c r="G174" s="990"/>
      <c r="H174" s="886"/>
      <c r="I174" s="886"/>
      <c r="J174" s="937"/>
      <c r="K174" s="904"/>
      <c r="S174" s="1074"/>
      <c r="AA174" s="1074"/>
      <c r="AI174" s="1074"/>
      <c r="AQ174" s="1074"/>
      <c r="AY174" s="1074"/>
      <c r="BG174" s="1074"/>
      <c r="BO174" s="1074"/>
      <c r="BW174" s="1074"/>
      <c r="CE174" s="1074"/>
      <c r="CM174" s="1074"/>
      <c r="CU174" s="1074"/>
      <c r="DC174" s="1074"/>
      <c r="DK174" s="1074"/>
      <c r="DS174" s="1074"/>
      <c r="EA174" s="1074"/>
      <c r="EI174" s="1074"/>
      <c r="EQ174" s="1074"/>
      <c r="EY174" s="1074"/>
      <c r="FG174" s="1074"/>
      <c r="FO174" s="1074"/>
    </row>
    <row r="175" spans="1:171" x14ac:dyDescent="0.25">
      <c r="A175" s="913"/>
      <c r="B175" s="180" t="s">
        <v>457</v>
      </c>
      <c r="C175" s="55"/>
      <c r="D175" s="55"/>
      <c r="E175" s="55"/>
      <c r="F175" s="55"/>
      <c r="G175" s="990"/>
      <c r="H175" s="886"/>
      <c r="I175" s="886"/>
      <c r="J175" s="937"/>
      <c r="K175" s="904"/>
      <c r="S175" s="1074"/>
      <c r="AA175" s="1074"/>
      <c r="AI175" s="1074"/>
      <c r="AQ175" s="1074"/>
      <c r="AY175" s="1074"/>
      <c r="BG175" s="1074"/>
      <c r="BO175" s="1074"/>
      <c r="BW175" s="1074"/>
      <c r="CE175" s="1074"/>
      <c r="CM175" s="1074"/>
      <c r="CU175" s="1074"/>
      <c r="DC175" s="1074"/>
      <c r="DK175" s="1074"/>
      <c r="DS175" s="1074"/>
      <c r="EA175" s="1074"/>
      <c r="EI175" s="1074"/>
      <c r="EQ175" s="1074"/>
      <c r="EY175" s="1074"/>
      <c r="FG175" s="1074"/>
      <c r="FO175" s="1074"/>
    </row>
    <row r="176" spans="1:171" x14ac:dyDescent="0.25">
      <c r="A176" s="1390">
        <v>160</v>
      </c>
      <c r="B176" s="220" t="s">
        <v>259</v>
      </c>
      <c r="C176" s="889" t="s">
        <v>72</v>
      </c>
      <c r="D176" s="889">
        <v>501</v>
      </c>
      <c r="E176" s="182" t="str">
        <f>'Sch 3 - Expenses'!E16</f>
        <v>PROD</v>
      </c>
      <c r="F176" s="890"/>
      <c r="G176" s="182">
        <f>'Sch 3 - Expenses'!G16</f>
        <v>252388860.8429752</v>
      </c>
      <c r="H176" s="182">
        <f>'Sch 3 - Expenses'!H16</f>
        <v>252388860.8429752</v>
      </c>
      <c r="I176" s="182">
        <f>'Sch 3 - Expenses'!I16</f>
        <v>0</v>
      </c>
      <c r="J176" s="183">
        <f>'Sch 3 - Expenses'!J16</f>
        <v>0</v>
      </c>
      <c r="K176" s="904">
        <f t="shared" ref="K176:K195" si="547">IF($E176="DIRECT",0,1)</f>
        <v>1</v>
      </c>
      <c r="N176" s="1156">
        <f>VLOOKUP($A176,'New Resources - Individual'!$A$4:$Y$133,N$2,FALSE)*N$1</f>
        <v>0</v>
      </c>
      <c r="O176" s="1117">
        <f>$G176+N176</f>
        <v>252388860.8429752</v>
      </c>
      <c r="P176" s="1118">
        <f>VLOOKUP($E176,O$442:R$453,2,FALSE)*O176*($K176)+IF($G176&lt;&gt;0,($H176/$G176)*O176,0)*(1-$K176)</f>
        <v>252388860.8429752</v>
      </c>
      <c r="Q176" s="1118">
        <f>VLOOKUP($E176,O$442:R$453,3,FALSE)*O176*($K176)+IF($G176&lt;&gt;0,($I176/$G176)*O176,0)*(1-$K176)</f>
        <v>0</v>
      </c>
      <c r="R176" s="1118">
        <f>VLOOKUP($E176,O$442:R$453,4,FALSE)*O176*($K176)+(O176-P176-Q176)*(1-$K176)</f>
        <v>0</v>
      </c>
      <c r="S176" s="1074"/>
      <c r="V176" s="1156">
        <f>VLOOKUP($A176,'New Resources - Individual'!$A$4:$Y$133,V$2,FALSE)*V$1</f>
        <v>0</v>
      </c>
      <c r="W176" s="1117">
        <f>$G176+V176</f>
        <v>252388860.8429752</v>
      </c>
      <c r="X176" s="1118">
        <f>VLOOKUP($E176,W$442:Z$453,2,FALSE)*W176*($K176)+IF($G176&lt;&gt;0,($H176/$G176)*W176,0)*(1-$K176)</f>
        <v>252388860.8429752</v>
      </c>
      <c r="Y176" s="1118">
        <f>VLOOKUP($E176,W$442:Z$453,3,FALSE)*W176*($K176)+IF($G176&lt;&gt;0,($I176/$G176)*W176,0)*(1-$K176)</f>
        <v>0</v>
      </c>
      <c r="Z176" s="1118">
        <f>VLOOKUP($E176,W$442:Z$453,4,FALSE)*W176*($K176)+(W176-X176-Y176)*(1-$K176)</f>
        <v>0</v>
      </c>
      <c r="AA176" s="1074"/>
      <c r="AD176" s="1156">
        <f>VLOOKUP($A176,'New Resources - Individual'!$A$4:$Y$133,AD$2,FALSE)*AD$1</f>
        <v>0</v>
      </c>
      <c r="AE176" s="1117">
        <f>$G176+AD176</f>
        <v>252388860.8429752</v>
      </c>
      <c r="AF176" s="1118">
        <f>VLOOKUP($E176,AE$442:AH$453,2,FALSE)*AE176*($K176)+IF($G176&lt;&gt;0,($H176/$G176)*AE176,0)*(1-$K176)</f>
        <v>252388860.8429752</v>
      </c>
      <c r="AG176" s="1118">
        <f>VLOOKUP($E176,AE$442:AH$453,3,FALSE)*AE176*($K176)+IF($G176&lt;&gt;0,($I176/$G176)*AE176,0)*(1-$K176)</f>
        <v>0</v>
      </c>
      <c r="AH176" s="1118">
        <f>VLOOKUP($E176,AE$442:AH$453,4,FALSE)*AE176*($K176)+(AE176-AF176-AG176)*(1-$K176)</f>
        <v>0</v>
      </c>
      <c r="AI176" s="1074"/>
      <c r="AL176" s="1156">
        <f>VLOOKUP($A176,'New Resources - Individual'!$A$4:$Y$133,AL$2,FALSE)*AL$1</f>
        <v>0</v>
      </c>
      <c r="AM176" s="1117">
        <f>$G176+AL176</f>
        <v>252388860.8429752</v>
      </c>
      <c r="AN176" s="1118">
        <f>VLOOKUP($E176,AM$442:AP$453,2,FALSE)*AM176*($K176)+IF($G176&lt;&gt;0,($H176/$G176)*AM176,0)*(1-$K176)</f>
        <v>252388860.8429752</v>
      </c>
      <c r="AO176" s="1118">
        <f>VLOOKUP($E176,AM$442:AP$453,3,FALSE)*AM176*($K176)+IF($G176&lt;&gt;0,($I176/$G176)*AM176,0)*(1-$K176)</f>
        <v>0</v>
      </c>
      <c r="AP176" s="1118">
        <f>VLOOKUP($E176,AM$442:AP$453,4,FALSE)*AM176*($K176)+(AM176-AN176-AO176)*(1-$K176)</f>
        <v>0</v>
      </c>
      <c r="AQ176" s="1074"/>
      <c r="AT176" s="1156">
        <f>VLOOKUP($A176,'New Resources - Individual'!$A$4:$Y$133,AT$2,FALSE)*AT$1</f>
        <v>0</v>
      </c>
      <c r="AU176" s="1117">
        <f>$G176+AT176</f>
        <v>252388860.8429752</v>
      </c>
      <c r="AV176" s="1118">
        <f>VLOOKUP($E176,AU$442:AX$453,2,FALSE)*AU176*($K176)+IF($G176&lt;&gt;0,($H176/$G176)*AU176,0)*(1-$K176)</f>
        <v>252388860.8429752</v>
      </c>
      <c r="AW176" s="1118">
        <f>VLOOKUP($E176,AU$442:AX$453,3,FALSE)*AU176*($K176)+IF($G176&lt;&gt;0,($I176/$G176)*AU176,0)*(1-$K176)</f>
        <v>0</v>
      </c>
      <c r="AX176" s="1118">
        <f>VLOOKUP($E176,AU$442:AX$453,4,FALSE)*AU176*($K176)+(AU176-AV176-AW176)*(1-$K176)</f>
        <v>0</v>
      </c>
      <c r="AY176" s="1074"/>
      <c r="BB176" s="1156">
        <f>VLOOKUP($A176,'New Resources - Individual'!$A$4:$Y$133,BB$2,FALSE)*BB$1</f>
        <v>0</v>
      </c>
      <c r="BC176" s="1117">
        <f>$G176+BB176</f>
        <v>252388860.8429752</v>
      </c>
      <c r="BD176" s="1118">
        <f>VLOOKUP($E176,BC$442:BF$453,2,FALSE)*BC176*($K176)+IF($G176&lt;&gt;0,($H176/$G176)*BC176,0)*(1-$K176)</f>
        <v>252388860.8429752</v>
      </c>
      <c r="BE176" s="1118">
        <f>VLOOKUP($E176,BC$442:BF$453,3,FALSE)*BC176*($K176)+IF($G176&lt;&gt;0,($I176/$G176)*BC176,0)*(1-$K176)</f>
        <v>0</v>
      </c>
      <c r="BF176" s="1118">
        <f>VLOOKUP($E176,BC$442:BF$453,4,FALSE)*BC176*($K176)+(BC176-BD176-BE176)*(1-$K176)</f>
        <v>0</v>
      </c>
      <c r="BG176" s="1074"/>
      <c r="BJ176" s="1156">
        <f>VLOOKUP($A176,'New Resources - Individual'!$A$4:$Y$133,BJ$2,FALSE)*BJ$1</f>
        <v>0</v>
      </c>
      <c r="BK176" s="1117">
        <f>$G176+BJ176</f>
        <v>252388860.8429752</v>
      </c>
      <c r="BL176" s="1118">
        <f>VLOOKUP($E176,BK$442:BN$453,2,FALSE)*BK176*($K176)+IF($G176&lt;&gt;0,($H176/$G176)*BK176,0)*(1-$K176)</f>
        <v>252388860.8429752</v>
      </c>
      <c r="BM176" s="1118">
        <f>VLOOKUP($E176,BK$442:BN$453,3,FALSE)*BK176*($K176)+IF($G176&lt;&gt;0,($I176/$G176)*BK176,0)*(1-$K176)</f>
        <v>0</v>
      </c>
      <c r="BN176" s="1118">
        <f>VLOOKUP($E176,BK$442:BN$453,4,FALSE)*BK176*($K176)+(BK176-BL176-BM176)*(1-$K176)</f>
        <v>0</v>
      </c>
      <c r="BO176" s="1074"/>
      <c r="BR176" s="1156">
        <f>VLOOKUP($A176,'New Resources - Individual'!$A$4:$Y$133,BR$2,FALSE)*BR$1</f>
        <v>0</v>
      </c>
      <c r="BS176" s="1117">
        <f>$G176+BR176</f>
        <v>252388860.8429752</v>
      </c>
      <c r="BT176" s="1118">
        <f>VLOOKUP($E176,BS$442:BV$453,2,FALSE)*BS176*($K176)+IF($G176&lt;&gt;0,($H176/$G176)*BS176,0)*(1-$K176)</f>
        <v>252388860.8429752</v>
      </c>
      <c r="BU176" s="1118">
        <f>VLOOKUP($E176,BS$442:BV$453,3,FALSE)*BS176*($K176)+IF($G176&lt;&gt;0,($I176/$G176)*BS176,0)*(1-$K176)</f>
        <v>0</v>
      </c>
      <c r="BV176" s="1118">
        <f>VLOOKUP($E176,BS$442:BV$453,4,FALSE)*BS176*($K176)+(BS176-BT176-BU176)*(1-$K176)</f>
        <v>0</v>
      </c>
      <c r="BW176" s="1074"/>
      <c r="BZ176" s="1156">
        <f>VLOOKUP($A176,'New Resources - Individual'!$A$4:$Y$133,BZ$2,FALSE)*BZ$1</f>
        <v>0</v>
      </c>
      <c r="CA176" s="1117">
        <f>$G176+BZ176</f>
        <v>252388860.8429752</v>
      </c>
      <c r="CB176" s="1118">
        <f>VLOOKUP($E176,CA$442:CD$453,2,FALSE)*CA176*($K176)+IF($G176&lt;&gt;0,($H176/$G176)*CA176,0)*(1-$K176)</f>
        <v>252388860.8429752</v>
      </c>
      <c r="CC176" s="1118">
        <f>VLOOKUP($E176,CA$442:CD$453,3,FALSE)*CA176*($K176)+IF($G176&lt;&gt;0,($I176/$G176)*CA176,0)*(1-$K176)</f>
        <v>0</v>
      </c>
      <c r="CD176" s="1118">
        <f>VLOOKUP($E176,CA$442:CD$453,4,FALSE)*CA176*($K176)+(CA176-CB176-CC176)*(1-$K176)</f>
        <v>0</v>
      </c>
      <c r="CE176" s="1074"/>
      <c r="CH176" s="1156">
        <f>VLOOKUP($A176,'New Resources - Individual'!$A$4:$Y$133,CH$2,FALSE)*CH$1</f>
        <v>0</v>
      </c>
      <c r="CI176" s="1117">
        <f>$G176+CH176</f>
        <v>252388860.8429752</v>
      </c>
      <c r="CJ176" s="1118">
        <f>VLOOKUP($E176,CI$442:CL$453,2,FALSE)*CI176*($K176)+IF($G176&lt;&gt;0,($H176/$G176)*CI176,0)*(1-$K176)</f>
        <v>252388860.8429752</v>
      </c>
      <c r="CK176" s="1118">
        <f>VLOOKUP($E176,CI$442:CL$453,3,FALSE)*CI176*($K176)+IF($G176&lt;&gt;0,($I176/$G176)*CI176,0)*(1-$K176)</f>
        <v>0</v>
      </c>
      <c r="CL176" s="1118">
        <f>VLOOKUP($E176,CI$442:CL$453,4,FALSE)*CI176*($K176)+(CI176-CJ176-CK176)*(1-$K176)</f>
        <v>0</v>
      </c>
      <c r="CM176" s="1074"/>
      <c r="CP176" s="1156">
        <f>VLOOKUP($A176,'New Resources - Individual'!$A$4:$Y$133,CP$2,FALSE)*CP$1</f>
        <v>0</v>
      </c>
      <c r="CQ176" s="1117">
        <f>$G176+CP176</f>
        <v>252388860.8429752</v>
      </c>
      <c r="CR176" s="1118">
        <f>VLOOKUP($E176,CQ$442:CT$453,2,FALSE)*CQ176*($K176)+IF($G176&lt;&gt;0,($H176/$G176)*CQ176,0)*(1-$K176)</f>
        <v>252388860.8429752</v>
      </c>
      <c r="CS176" s="1118">
        <f>VLOOKUP($E176,CQ$442:CT$453,3,FALSE)*CQ176*($K176)+IF($G176&lt;&gt;0,($I176/$G176)*CQ176,0)*(1-$K176)</f>
        <v>0</v>
      </c>
      <c r="CT176" s="1118">
        <f>VLOOKUP($E176,CQ$442:CT$453,4,FALSE)*CQ176*($K176)+(CQ176-CR176-CS176)*(1-$K176)</f>
        <v>0</v>
      </c>
      <c r="CU176" s="1074"/>
      <c r="CX176" s="1156">
        <f>VLOOKUP($A176,'New Resources - Individual'!$A$4:$Y$133,CX$2,FALSE)*CX$1</f>
        <v>0</v>
      </c>
      <c r="CY176" s="1117">
        <f>$G176+CX176</f>
        <v>252388860.8429752</v>
      </c>
      <c r="CZ176" s="1118">
        <f>VLOOKUP($E176,CY$442:DB$453,2,FALSE)*CY176*($K176)+IF($G176&lt;&gt;0,($H176/$G176)*CY176,0)*(1-$K176)</f>
        <v>252388860.8429752</v>
      </c>
      <c r="DA176" s="1118">
        <f>VLOOKUP($E176,CY$442:DB$453,3,FALSE)*CY176*($K176)+IF($G176&lt;&gt;0,($I176/$G176)*CY176,0)*(1-$K176)</f>
        <v>0</v>
      </c>
      <c r="DB176" s="1118">
        <f>VLOOKUP($E176,CY$442:DB$453,4,FALSE)*CY176*($K176)+(CY176-CZ176-DA176)*(1-$K176)</f>
        <v>0</v>
      </c>
      <c r="DC176" s="1074"/>
      <c r="DF176" s="1156">
        <f>VLOOKUP($A176,'New Resources - Individual'!$A$4:$Y$133,DF$2,FALSE)*DF$1</f>
        <v>0</v>
      </c>
      <c r="DG176" s="1117">
        <f>$G176+DF176</f>
        <v>252388860.8429752</v>
      </c>
      <c r="DH176" s="1118">
        <f>VLOOKUP($E176,DG$442:DJ$453,2,FALSE)*DG176*($K176)+IF($G176&lt;&gt;0,($H176/$G176)*DG176,0)*(1-$K176)</f>
        <v>252388860.8429752</v>
      </c>
      <c r="DI176" s="1118">
        <f>VLOOKUP($E176,DG$442:DJ$453,3,FALSE)*DG176*($K176)+IF($G176&lt;&gt;0,($I176/$G176)*DG176,0)*(1-$K176)</f>
        <v>0</v>
      </c>
      <c r="DJ176" s="1118">
        <f>VLOOKUP($E176,DG$442:DJ$453,4,FALSE)*DG176*($K176)+(DG176-DH176-DI176)*(1-$K176)</f>
        <v>0</v>
      </c>
      <c r="DK176" s="1074"/>
      <c r="DN176" s="1156">
        <f>VLOOKUP($A176,'New Resources - Individual'!$A$4:$Y$133,DN$2,FALSE)*DN$1</f>
        <v>0</v>
      </c>
      <c r="DO176" s="1117">
        <f>$G176+DN176</f>
        <v>252388860.8429752</v>
      </c>
      <c r="DP176" s="1118">
        <f>VLOOKUP($E176,DO$442:DR$453,2,FALSE)*DO176*($K176)+IF($G176&lt;&gt;0,($H176/$G176)*DO176,0)*(1-$K176)</f>
        <v>252388860.8429752</v>
      </c>
      <c r="DQ176" s="1118">
        <f>VLOOKUP($E176,DO$442:DR$453,3,FALSE)*DO176*($K176)+IF($G176&lt;&gt;0,($I176/$G176)*DO176,0)*(1-$K176)</f>
        <v>0</v>
      </c>
      <c r="DR176" s="1118">
        <f>VLOOKUP($E176,DO$442:DR$453,4,FALSE)*DO176*($K176)+(DO176-DP176-DQ176)*(1-$K176)</f>
        <v>0</v>
      </c>
      <c r="DS176" s="1074"/>
      <c r="DV176" s="1156">
        <f>VLOOKUP($A176,'New Resources - Individual'!$A$4:$Y$133,DV$2,FALSE)*DV$1</f>
        <v>0</v>
      </c>
      <c r="DW176" s="1117">
        <f>$G176+DV176</f>
        <v>252388860.8429752</v>
      </c>
      <c r="DX176" s="1118">
        <f>VLOOKUP($E176,DW$442:DZ$453,2,FALSE)*DW176*($K176)+IF($G176&lt;&gt;0,($H176/$G176)*DW176,0)*(1-$K176)</f>
        <v>252388860.8429752</v>
      </c>
      <c r="DY176" s="1118">
        <f>VLOOKUP($E176,DW$442:DZ$453,3,FALSE)*DW176*($K176)+IF($G176&lt;&gt;0,($I176/$G176)*DW176,0)*(1-$K176)</f>
        <v>0</v>
      </c>
      <c r="DZ176" s="1118">
        <f>VLOOKUP($E176,DW$442:DZ$453,4,FALSE)*DW176*($K176)+(DW176-DX176-DY176)*(1-$K176)</f>
        <v>0</v>
      </c>
      <c r="EA176" s="1074"/>
      <c r="ED176" s="1156">
        <f>VLOOKUP($A176,'New Resources - Individual'!$A$4:$Y$133,ED$2,FALSE)*ED$1</f>
        <v>0</v>
      </c>
      <c r="EE176" s="1117">
        <f>$G176+ED176</f>
        <v>252388860.8429752</v>
      </c>
      <c r="EF176" s="1118">
        <f>VLOOKUP($E176,EE$442:EH$453,2,FALSE)*EE176*($K176)+IF($G176&lt;&gt;0,($H176/$G176)*EE176,0)*(1-$K176)</f>
        <v>252388860.8429752</v>
      </c>
      <c r="EG176" s="1118">
        <f>VLOOKUP($E176,EE$442:EH$453,3,FALSE)*EE176*($K176)+IF($G176&lt;&gt;0,($I176/$G176)*EE176,0)*(1-$K176)</f>
        <v>0</v>
      </c>
      <c r="EH176" s="1118">
        <f>VLOOKUP($E176,EE$442:EH$453,4,FALSE)*EE176*($K176)+(EE176-EF176-EG176)*(1-$K176)</f>
        <v>0</v>
      </c>
      <c r="EI176" s="1074"/>
      <c r="EL176" s="1156">
        <f>VLOOKUP($A176,'New Resources - Individual'!$A$4:$Y$133,EL$2,FALSE)*EL$1</f>
        <v>0</v>
      </c>
      <c r="EM176" s="1117">
        <f>$G176+EL176</f>
        <v>252388860.8429752</v>
      </c>
      <c r="EN176" s="1118">
        <f>VLOOKUP($E176,EM$442:EP$453,2,FALSE)*EM176*($K176)+IF($G176&lt;&gt;0,($H176/$G176)*EM176,0)*(1-$K176)</f>
        <v>252388860.8429752</v>
      </c>
      <c r="EO176" s="1118">
        <f>VLOOKUP($E176,EM$442:EP$453,3,FALSE)*EM176*($K176)+IF($G176&lt;&gt;0,($I176/$G176)*EM176,0)*(1-$K176)</f>
        <v>0</v>
      </c>
      <c r="EP176" s="1118">
        <f>VLOOKUP($E176,EM$442:EP$453,4,FALSE)*EM176*($K176)+(EM176-EN176-EO176)*(1-$K176)</f>
        <v>0</v>
      </c>
      <c r="EQ176" s="1074"/>
      <c r="ET176" s="1156">
        <f>VLOOKUP($A176,'New Resources - Individual'!$A$4:$Y$133,ET$2,FALSE)*ET$1</f>
        <v>0</v>
      </c>
      <c r="EU176" s="1117">
        <f>$G176+ET176</f>
        <v>252388860.8429752</v>
      </c>
      <c r="EV176" s="1118">
        <f>VLOOKUP($E176,EU$442:EX$453,2,FALSE)*EU176*($K176)+IF($G176&lt;&gt;0,($H176/$G176)*EU176,0)*(1-$K176)</f>
        <v>252388860.8429752</v>
      </c>
      <c r="EW176" s="1118">
        <f>VLOOKUP($E176,EU$442:EX$453,3,FALSE)*EU176*($K176)+IF($G176&lt;&gt;0,($I176/$G176)*EU176,0)*(1-$K176)</f>
        <v>0</v>
      </c>
      <c r="EX176" s="1118">
        <f>VLOOKUP($E176,EU$442:EX$453,4,FALSE)*EU176*($K176)+(EU176-EV176-EW176)*(1-$K176)</f>
        <v>0</v>
      </c>
      <c r="EY176" s="1074"/>
      <c r="FB176" s="1156">
        <f>VLOOKUP($A176,'New Resources - Individual'!$A$4:$Y$133,FB$2,FALSE)*FB$1</f>
        <v>0</v>
      </c>
      <c r="FC176" s="1117">
        <f>$G176+FB176</f>
        <v>252388860.8429752</v>
      </c>
      <c r="FD176" s="1118">
        <f>VLOOKUP($E176,FC$442:FF$453,2,FALSE)*FC176*($K176)+IF($G176&lt;&gt;0,($H176/$G176)*FC176,0)*(1-$K176)</f>
        <v>252388860.8429752</v>
      </c>
      <c r="FE176" s="1118">
        <f>VLOOKUP($E176,FC$442:FF$453,3,FALSE)*FC176*($K176)+IF($G176&lt;&gt;0,($I176/$G176)*FC176,0)*(1-$K176)</f>
        <v>0</v>
      </c>
      <c r="FF176" s="1118">
        <f>VLOOKUP($E176,FC$442:FF$453,4,FALSE)*FC176*($K176)+(FC176-FD176-FE176)*(1-$K176)</f>
        <v>0</v>
      </c>
      <c r="FG176" s="1074"/>
      <c r="FJ176" s="1156">
        <f>VLOOKUP($A176,'New Resources - Individual'!$A$4:$Y$133,FJ$2,FALSE)*FJ$1</f>
        <v>0</v>
      </c>
      <c r="FK176" s="1117">
        <f>$G176+FJ176</f>
        <v>252388860.8429752</v>
      </c>
      <c r="FL176" s="1118">
        <f>VLOOKUP($E176,FK$442:FN$453,2,FALSE)*FK176*($K176)+IF($G176&lt;&gt;0,($H176/$G176)*FK176,0)*(1-$K176)</f>
        <v>252388860.8429752</v>
      </c>
      <c r="FM176" s="1118">
        <f>VLOOKUP($E176,FK$442:FN$453,3,FALSE)*FK176*($K176)+IF($G176&lt;&gt;0,($I176/$G176)*FK176,0)*(1-$K176)</f>
        <v>0</v>
      </c>
      <c r="FN176" s="1118">
        <f>VLOOKUP($E176,FK$442:FN$453,4,FALSE)*FK176*($K176)+(FK176-FL176-FM176)*(1-$K176)</f>
        <v>0</v>
      </c>
      <c r="FO176" s="1074"/>
    </row>
    <row r="177" spans="1:171" x14ac:dyDescent="0.25">
      <c r="A177" s="1390">
        <v>170</v>
      </c>
      <c r="B177" s="220" t="s">
        <v>260</v>
      </c>
      <c r="C177" s="889" t="s">
        <v>72</v>
      </c>
      <c r="D177" s="889" t="s">
        <v>452</v>
      </c>
      <c r="E177" s="182" t="str">
        <f>'Sch 3 - Expenses'!E17</f>
        <v>PROD</v>
      </c>
      <c r="F177" s="890"/>
      <c r="G177" s="182">
        <f>'Sch 3 - Expenses'!G17</f>
        <v>54995738.093448065</v>
      </c>
      <c r="H177" s="182">
        <f>'Sch 3 - Expenses'!H17</f>
        <v>54995738.093448065</v>
      </c>
      <c r="I177" s="182">
        <f>'Sch 3 - Expenses'!I17</f>
        <v>0</v>
      </c>
      <c r="J177" s="183">
        <f>'Sch 3 - Expenses'!J17</f>
        <v>0</v>
      </c>
      <c r="K177" s="904">
        <f t="shared" si="547"/>
        <v>1</v>
      </c>
      <c r="N177" s="1130">
        <f>VLOOKUP($A177,'New Resources - Individual'!$A$4:$Y$133,N$2,FALSE)*N$1</f>
        <v>0</v>
      </c>
      <c r="O177" s="1117">
        <f>$G177+N177</f>
        <v>54995738.093448065</v>
      </c>
      <c r="P177" s="1118">
        <f>VLOOKUP($E177,O$442:R$453,2,FALSE)*O177*($K177)+IF($G177&lt;&gt;0,($H177/$G177)*O177,0)*(1-$K177)</f>
        <v>54995738.093448065</v>
      </c>
      <c r="Q177" s="1118">
        <f>VLOOKUP($E177,O$442:R$453,3,FALSE)*O177*($K177)+IF($G177&lt;&gt;0,($I177/$G177)*O177,0)*(1-$K177)</f>
        <v>0</v>
      </c>
      <c r="R177" s="1118">
        <f>VLOOKUP($E177,O$442:R$453,4,FALSE)*O177*($K177)+(O177-P177-Q177)*(1-$K177)</f>
        <v>0</v>
      </c>
      <c r="S177" s="1074"/>
      <c r="V177" s="1130">
        <f>VLOOKUP($A177,'New Resources - Individual'!$A$4:$Y$133,V$2,FALSE)*V$1</f>
        <v>0</v>
      </c>
      <c r="W177" s="1117">
        <f>$G177+V177</f>
        <v>54995738.093448065</v>
      </c>
      <c r="X177" s="1118">
        <f>VLOOKUP($E177,W$442:Z$453,2,FALSE)*W177*($K177)+IF($G177&lt;&gt;0,($H177/$G177)*W177,0)*(1-$K177)</f>
        <v>54995738.093448065</v>
      </c>
      <c r="Y177" s="1118">
        <f>VLOOKUP($E177,W$442:Z$453,3,FALSE)*W177*($K177)+IF($G177&lt;&gt;0,($I177/$G177)*W177,0)*(1-$K177)</f>
        <v>0</v>
      </c>
      <c r="Z177" s="1118">
        <f>VLOOKUP($E177,W$442:Z$453,4,FALSE)*W177*($K177)+(W177-X177-Y177)*(1-$K177)</f>
        <v>0</v>
      </c>
      <c r="AA177" s="1074"/>
      <c r="AD177" s="1130">
        <f>VLOOKUP($A177,'New Resources - Individual'!$A$4:$Y$133,AD$2,FALSE)*AD$1</f>
        <v>0</v>
      </c>
      <c r="AE177" s="1117">
        <f>$G177+AD177</f>
        <v>54995738.093448065</v>
      </c>
      <c r="AF177" s="1118">
        <f>VLOOKUP($E177,AE$442:AH$453,2,FALSE)*AE177*($K177)+IF($G177&lt;&gt;0,($H177/$G177)*AE177,0)*(1-$K177)</f>
        <v>54995738.093448065</v>
      </c>
      <c r="AG177" s="1118">
        <f>VLOOKUP($E177,AE$442:AH$453,3,FALSE)*AE177*($K177)+IF($G177&lt;&gt;0,($I177/$G177)*AE177,0)*(1-$K177)</f>
        <v>0</v>
      </c>
      <c r="AH177" s="1118">
        <f>VLOOKUP($E177,AE$442:AH$453,4,FALSE)*AE177*($K177)+(AE177-AF177-AG177)*(1-$K177)</f>
        <v>0</v>
      </c>
      <c r="AI177" s="1074"/>
      <c r="AL177" s="1130">
        <f>VLOOKUP($A177,'New Resources - Individual'!$A$4:$Y$133,AL$2,FALSE)*AL$1</f>
        <v>0</v>
      </c>
      <c r="AM177" s="1117">
        <f>$G177+AL177</f>
        <v>54995738.093448065</v>
      </c>
      <c r="AN177" s="1118">
        <f>VLOOKUP($E177,AM$442:AP$453,2,FALSE)*AM177*($K177)+IF($G177&lt;&gt;0,($H177/$G177)*AM177,0)*(1-$K177)</f>
        <v>54995738.093448065</v>
      </c>
      <c r="AO177" s="1118">
        <f>VLOOKUP($E177,AM$442:AP$453,3,FALSE)*AM177*($K177)+IF($G177&lt;&gt;0,($I177/$G177)*AM177,0)*(1-$K177)</f>
        <v>0</v>
      </c>
      <c r="AP177" s="1118">
        <f>VLOOKUP($E177,AM$442:AP$453,4,FALSE)*AM177*($K177)+(AM177-AN177-AO177)*(1-$K177)</f>
        <v>0</v>
      </c>
      <c r="AQ177" s="1074"/>
      <c r="AT177" s="1130">
        <f>VLOOKUP($A177,'New Resources - Individual'!$A$4:$Y$133,AT$2,FALSE)*AT$1</f>
        <v>0</v>
      </c>
      <c r="AU177" s="1117">
        <f>$G177+AT177</f>
        <v>54995738.093448065</v>
      </c>
      <c r="AV177" s="1118">
        <f>VLOOKUP($E177,AU$442:AX$453,2,FALSE)*AU177*($K177)+IF($G177&lt;&gt;0,($H177/$G177)*AU177,0)*(1-$K177)</f>
        <v>54995738.093448065</v>
      </c>
      <c r="AW177" s="1118">
        <f>VLOOKUP($E177,AU$442:AX$453,3,FALSE)*AU177*($K177)+IF($G177&lt;&gt;0,($I177/$G177)*AU177,0)*(1-$K177)</f>
        <v>0</v>
      </c>
      <c r="AX177" s="1118">
        <f>VLOOKUP($E177,AU$442:AX$453,4,FALSE)*AU177*($K177)+(AU177-AV177-AW177)*(1-$K177)</f>
        <v>0</v>
      </c>
      <c r="AY177" s="1074"/>
      <c r="BB177" s="1130">
        <f>VLOOKUP($A177,'New Resources - Individual'!$A$4:$Y$133,BB$2,FALSE)*BB$1</f>
        <v>0</v>
      </c>
      <c r="BC177" s="1117">
        <f>$G177+BB177</f>
        <v>54995738.093448065</v>
      </c>
      <c r="BD177" s="1118">
        <f>VLOOKUP($E177,BC$442:BF$453,2,FALSE)*BC177*($K177)+IF($G177&lt;&gt;0,($H177/$G177)*BC177,0)*(1-$K177)</f>
        <v>54995738.093448065</v>
      </c>
      <c r="BE177" s="1118">
        <f>VLOOKUP($E177,BC$442:BF$453,3,FALSE)*BC177*($K177)+IF($G177&lt;&gt;0,($I177/$G177)*BC177,0)*(1-$K177)</f>
        <v>0</v>
      </c>
      <c r="BF177" s="1118">
        <f>VLOOKUP($E177,BC$442:BF$453,4,FALSE)*BC177*($K177)+(BC177-BD177-BE177)*(1-$K177)</f>
        <v>0</v>
      </c>
      <c r="BG177" s="1074"/>
      <c r="BJ177" s="1130">
        <f>VLOOKUP($A177,'New Resources - Individual'!$A$4:$Y$133,BJ$2,FALSE)*BJ$1</f>
        <v>0</v>
      </c>
      <c r="BK177" s="1117">
        <f>$G177+BJ177</f>
        <v>54995738.093448065</v>
      </c>
      <c r="BL177" s="1118">
        <f>VLOOKUP($E177,BK$442:BN$453,2,FALSE)*BK177*($K177)+IF($G177&lt;&gt;0,($H177/$G177)*BK177,0)*(1-$K177)</f>
        <v>54995738.093448065</v>
      </c>
      <c r="BM177" s="1118">
        <f>VLOOKUP($E177,BK$442:BN$453,3,FALSE)*BK177*($K177)+IF($G177&lt;&gt;0,($I177/$G177)*BK177,0)*(1-$K177)</f>
        <v>0</v>
      </c>
      <c r="BN177" s="1118">
        <f>VLOOKUP($E177,BK$442:BN$453,4,FALSE)*BK177*($K177)+(BK177-BL177-BM177)*(1-$K177)</f>
        <v>0</v>
      </c>
      <c r="BO177" s="1074"/>
      <c r="BR177" s="1130">
        <f>VLOOKUP($A177,'New Resources - Individual'!$A$4:$Y$133,BR$2,FALSE)*BR$1</f>
        <v>0</v>
      </c>
      <c r="BS177" s="1117">
        <f>$G177+BR177</f>
        <v>54995738.093448065</v>
      </c>
      <c r="BT177" s="1118">
        <f>VLOOKUP($E177,BS$442:BV$453,2,FALSE)*BS177*($K177)+IF($G177&lt;&gt;0,($H177/$G177)*BS177,0)*(1-$K177)</f>
        <v>54995738.093448065</v>
      </c>
      <c r="BU177" s="1118">
        <f>VLOOKUP($E177,BS$442:BV$453,3,FALSE)*BS177*($K177)+IF($G177&lt;&gt;0,($I177/$G177)*BS177,0)*(1-$K177)</f>
        <v>0</v>
      </c>
      <c r="BV177" s="1118">
        <f>VLOOKUP($E177,BS$442:BV$453,4,FALSE)*BS177*($K177)+(BS177-BT177-BU177)*(1-$K177)</f>
        <v>0</v>
      </c>
      <c r="BW177" s="1074"/>
      <c r="BZ177" s="1130">
        <f>VLOOKUP($A177,'New Resources - Individual'!$A$4:$Y$133,BZ$2,FALSE)*BZ$1</f>
        <v>0</v>
      </c>
      <c r="CA177" s="1117">
        <f>$G177+BZ177</f>
        <v>54995738.093448065</v>
      </c>
      <c r="CB177" s="1118">
        <f>VLOOKUP($E177,CA$442:CD$453,2,FALSE)*CA177*($K177)+IF($G177&lt;&gt;0,($H177/$G177)*CA177,0)*(1-$K177)</f>
        <v>54995738.093448065</v>
      </c>
      <c r="CC177" s="1118">
        <f>VLOOKUP($E177,CA$442:CD$453,3,FALSE)*CA177*($K177)+IF($G177&lt;&gt;0,($I177/$G177)*CA177,0)*(1-$K177)</f>
        <v>0</v>
      </c>
      <c r="CD177" s="1118">
        <f>VLOOKUP($E177,CA$442:CD$453,4,FALSE)*CA177*($K177)+(CA177-CB177-CC177)*(1-$K177)</f>
        <v>0</v>
      </c>
      <c r="CE177" s="1074"/>
      <c r="CH177" s="1130">
        <f>VLOOKUP($A177,'New Resources - Individual'!$A$4:$Y$133,CH$2,FALSE)*CH$1</f>
        <v>0</v>
      </c>
      <c r="CI177" s="1117">
        <f>$G177+CH177</f>
        <v>54995738.093448065</v>
      </c>
      <c r="CJ177" s="1118">
        <f>VLOOKUP($E177,CI$442:CL$453,2,FALSE)*CI177*($K177)+IF($G177&lt;&gt;0,($H177/$G177)*CI177,0)*(1-$K177)</f>
        <v>54995738.093448065</v>
      </c>
      <c r="CK177" s="1118">
        <f>VLOOKUP($E177,CI$442:CL$453,3,FALSE)*CI177*($K177)+IF($G177&lt;&gt;0,($I177/$G177)*CI177,0)*(1-$K177)</f>
        <v>0</v>
      </c>
      <c r="CL177" s="1118">
        <f>VLOOKUP($E177,CI$442:CL$453,4,FALSE)*CI177*($K177)+(CI177-CJ177-CK177)*(1-$K177)</f>
        <v>0</v>
      </c>
      <c r="CM177" s="1074"/>
      <c r="CP177" s="1130">
        <f>VLOOKUP($A177,'New Resources - Individual'!$A$4:$Y$133,CP$2,FALSE)*CP$1</f>
        <v>0</v>
      </c>
      <c r="CQ177" s="1117">
        <f>$G177+CP177</f>
        <v>54995738.093448065</v>
      </c>
      <c r="CR177" s="1118">
        <f>VLOOKUP($E177,CQ$442:CT$453,2,FALSE)*CQ177*($K177)+IF($G177&lt;&gt;0,($H177/$G177)*CQ177,0)*(1-$K177)</f>
        <v>54995738.093448065</v>
      </c>
      <c r="CS177" s="1118">
        <f>VLOOKUP($E177,CQ$442:CT$453,3,FALSE)*CQ177*($K177)+IF($G177&lt;&gt;0,($I177/$G177)*CQ177,0)*(1-$K177)</f>
        <v>0</v>
      </c>
      <c r="CT177" s="1118">
        <f>VLOOKUP($E177,CQ$442:CT$453,4,FALSE)*CQ177*($K177)+(CQ177-CR177-CS177)*(1-$K177)</f>
        <v>0</v>
      </c>
      <c r="CU177" s="1074"/>
      <c r="CX177" s="1130">
        <f>VLOOKUP($A177,'New Resources - Individual'!$A$4:$Y$133,CX$2,FALSE)*CX$1</f>
        <v>0</v>
      </c>
      <c r="CY177" s="1117">
        <f>$G177+CX177</f>
        <v>54995738.093448065</v>
      </c>
      <c r="CZ177" s="1118">
        <f>VLOOKUP($E177,CY$442:DB$453,2,FALSE)*CY177*($K177)+IF($G177&lt;&gt;0,($H177/$G177)*CY177,0)*(1-$K177)</f>
        <v>54995738.093448065</v>
      </c>
      <c r="DA177" s="1118">
        <f>VLOOKUP($E177,CY$442:DB$453,3,FALSE)*CY177*($K177)+IF($G177&lt;&gt;0,($I177/$G177)*CY177,0)*(1-$K177)</f>
        <v>0</v>
      </c>
      <c r="DB177" s="1118">
        <f>VLOOKUP($E177,CY$442:DB$453,4,FALSE)*CY177*($K177)+(CY177-CZ177-DA177)*(1-$K177)</f>
        <v>0</v>
      </c>
      <c r="DC177" s="1074"/>
      <c r="DF177" s="1130">
        <f>VLOOKUP($A177,'New Resources - Individual'!$A$4:$Y$133,DF$2,FALSE)*DF$1</f>
        <v>0</v>
      </c>
      <c r="DG177" s="1117">
        <f>$G177+DF177</f>
        <v>54995738.093448065</v>
      </c>
      <c r="DH177" s="1118">
        <f>VLOOKUP($E177,DG$442:DJ$453,2,FALSE)*DG177*($K177)+IF($G177&lt;&gt;0,($H177/$G177)*DG177,0)*(1-$K177)</f>
        <v>54995738.093448065</v>
      </c>
      <c r="DI177" s="1118">
        <f>VLOOKUP($E177,DG$442:DJ$453,3,FALSE)*DG177*($K177)+IF($G177&lt;&gt;0,($I177/$G177)*DG177,0)*(1-$K177)</f>
        <v>0</v>
      </c>
      <c r="DJ177" s="1118">
        <f>VLOOKUP($E177,DG$442:DJ$453,4,FALSE)*DG177*($K177)+(DG177-DH177-DI177)*(1-$K177)</f>
        <v>0</v>
      </c>
      <c r="DK177" s="1074"/>
      <c r="DN177" s="1130">
        <f>VLOOKUP($A177,'New Resources - Individual'!$A$4:$Y$133,DN$2,FALSE)*DN$1</f>
        <v>0</v>
      </c>
      <c r="DO177" s="1117">
        <f>$G177+DN177</f>
        <v>54995738.093448065</v>
      </c>
      <c r="DP177" s="1118">
        <f>VLOOKUP($E177,DO$442:DR$453,2,FALSE)*DO177*($K177)+IF($G177&lt;&gt;0,($H177/$G177)*DO177,0)*(1-$K177)</f>
        <v>54995738.093448065</v>
      </c>
      <c r="DQ177" s="1118">
        <f>VLOOKUP($E177,DO$442:DR$453,3,FALSE)*DO177*($K177)+IF($G177&lt;&gt;0,($I177/$G177)*DO177,0)*(1-$K177)</f>
        <v>0</v>
      </c>
      <c r="DR177" s="1118">
        <f>VLOOKUP($E177,DO$442:DR$453,4,FALSE)*DO177*($K177)+(DO177-DP177-DQ177)*(1-$K177)</f>
        <v>0</v>
      </c>
      <c r="DS177" s="1074"/>
      <c r="DV177" s="1130">
        <f>VLOOKUP($A177,'New Resources - Individual'!$A$4:$Y$133,DV$2,FALSE)*DV$1</f>
        <v>0</v>
      </c>
      <c r="DW177" s="1117">
        <f>$G177+DV177</f>
        <v>54995738.093448065</v>
      </c>
      <c r="DX177" s="1118">
        <f>VLOOKUP($E177,DW$442:DZ$453,2,FALSE)*DW177*($K177)+IF($G177&lt;&gt;0,($H177/$G177)*DW177,0)*(1-$K177)</f>
        <v>54995738.093448065</v>
      </c>
      <c r="DY177" s="1118">
        <f>VLOOKUP($E177,DW$442:DZ$453,3,FALSE)*DW177*($K177)+IF($G177&lt;&gt;0,($I177/$G177)*DW177,0)*(1-$K177)</f>
        <v>0</v>
      </c>
      <c r="DZ177" s="1118">
        <f>VLOOKUP($E177,DW$442:DZ$453,4,FALSE)*DW177*($K177)+(DW177-DX177-DY177)*(1-$K177)</f>
        <v>0</v>
      </c>
      <c r="EA177" s="1074"/>
      <c r="ED177" s="1130">
        <f>VLOOKUP($A177,'New Resources - Individual'!$A$4:$Y$133,ED$2,FALSE)*ED$1</f>
        <v>0</v>
      </c>
      <c r="EE177" s="1117">
        <f>$G177+ED177</f>
        <v>54995738.093448065</v>
      </c>
      <c r="EF177" s="1118">
        <f>VLOOKUP($E177,EE$442:EH$453,2,FALSE)*EE177*($K177)+IF($G177&lt;&gt;0,($H177/$G177)*EE177,0)*(1-$K177)</f>
        <v>54995738.093448065</v>
      </c>
      <c r="EG177" s="1118">
        <f>VLOOKUP($E177,EE$442:EH$453,3,FALSE)*EE177*($K177)+IF($G177&lt;&gt;0,($I177/$G177)*EE177,0)*(1-$K177)</f>
        <v>0</v>
      </c>
      <c r="EH177" s="1118">
        <f>VLOOKUP($E177,EE$442:EH$453,4,FALSE)*EE177*($K177)+(EE177-EF177-EG177)*(1-$K177)</f>
        <v>0</v>
      </c>
      <c r="EI177" s="1074"/>
      <c r="EL177" s="1130">
        <f>VLOOKUP($A177,'New Resources - Individual'!$A$4:$Y$133,EL$2,FALSE)*EL$1</f>
        <v>0</v>
      </c>
      <c r="EM177" s="1117">
        <f>$G177+EL177</f>
        <v>54995738.093448065</v>
      </c>
      <c r="EN177" s="1118">
        <f>VLOOKUP($E177,EM$442:EP$453,2,FALSE)*EM177*($K177)+IF($G177&lt;&gt;0,($H177/$G177)*EM177,0)*(1-$K177)</f>
        <v>54995738.093448065</v>
      </c>
      <c r="EO177" s="1118">
        <f>VLOOKUP($E177,EM$442:EP$453,3,FALSE)*EM177*($K177)+IF($G177&lt;&gt;0,($I177/$G177)*EM177,0)*(1-$K177)</f>
        <v>0</v>
      </c>
      <c r="EP177" s="1118">
        <f>VLOOKUP($E177,EM$442:EP$453,4,FALSE)*EM177*($K177)+(EM177-EN177-EO177)*(1-$K177)</f>
        <v>0</v>
      </c>
      <c r="EQ177" s="1074"/>
      <c r="ET177" s="1130">
        <f>VLOOKUP($A177,'New Resources - Individual'!$A$4:$Y$133,ET$2,FALSE)*ET$1</f>
        <v>0</v>
      </c>
      <c r="EU177" s="1117">
        <f>$G177+ET177</f>
        <v>54995738.093448065</v>
      </c>
      <c r="EV177" s="1118">
        <f>VLOOKUP($E177,EU$442:EX$453,2,FALSE)*EU177*($K177)+IF($G177&lt;&gt;0,($H177/$G177)*EU177,0)*(1-$K177)</f>
        <v>54995738.093448065</v>
      </c>
      <c r="EW177" s="1118">
        <f>VLOOKUP($E177,EU$442:EX$453,3,FALSE)*EU177*($K177)+IF($G177&lt;&gt;0,($I177/$G177)*EU177,0)*(1-$K177)</f>
        <v>0</v>
      </c>
      <c r="EX177" s="1118">
        <f>VLOOKUP($E177,EU$442:EX$453,4,FALSE)*EU177*($K177)+(EU177-EV177-EW177)*(1-$K177)</f>
        <v>0</v>
      </c>
      <c r="EY177" s="1074"/>
      <c r="FB177" s="1130">
        <f>VLOOKUP($A177,'New Resources - Individual'!$A$4:$Y$133,FB$2,FALSE)*FB$1</f>
        <v>0</v>
      </c>
      <c r="FC177" s="1117">
        <f>$G177+FB177</f>
        <v>54995738.093448065</v>
      </c>
      <c r="FD177" s="1118">
        <f>VLOOKUP($E177,FC$442:FF$453,2,FALSE)*FC177*($K177)+IF($G177&lt;&gt;0,($H177/$G177)*FC177,0)*(1-$K177)</f>
        <v>54995738.093448065</v>
      </c>
      <c r="FE177" s="1118">
        <f>VLOOKUP($E177,FC$442:FF$453,3,FALSE)*FC177*($K177)+IF($G177&lt;&gt;0,($I177/$G177)*FC177,0)*(1-$K177)</f>
        <v>0</v>
      </c>
      <c r="FF177" s="1118">
        <f>VLOOKUP($E177,FC$442:FF$453,4,FALSE)*FC177*($K177)+(FC177-FD177-FE177)*(1-$K177)</f>
        <v>0</v>
      </c>
      <c r="FG177" s="1074"/>
      <c r="FJ177" s="1130">
        <f>VLOOKUP($A177,'New Resources - Individual'!$A$4:$Y$133,FJ$2,FALSE)*FJ$1</f>
        <v>0</v>
      </c>
      <c r="FK177" s="1117">
        <f>$G177+FJ177</f>
        <v>54995738.093448065</v>
      </c>
      <c r="FL177" s="1118">
        <f>VLOOKUP($E177,FK$442:FN$453,2,FALSE)*FK177*($K177)+IF($G177&lt;&gt;0,($H177/$G177)*FK177,0)*(1-$K177)</f>
        <v>54995738.093448065</v>
      </c>
      <c r="FM177" s="1118">
        <f>VLOOKUP($E177,FK$442:FN$453,3,FALSE)*FK177*($K177)+IF($G177&lt;&gt;0,($I177/$G177)*FK177,0)*(1-$K177)</f>
        <v>0</v>
      </c>
      <c r="FN177" s="1118">
        <f>VLOOKUP($E177,FK$442:FN$453,4,FALSE)*FK177*($K177)+(FK177-FL177-FM177)*(1-$K177)</f>
        <v>0</v>
      </c>
      <c r="FO177" s="1074"/>
    </row>
    <row r="178" spans="1:171" x14ac:dyDescent="0.25">
      <c r="A178" s="1390">
        <v>180</v>
      </c>
      <c r="B178" s="220" t="s">
        <v>261</v>
      </c>
      <c r="C178" s="889" t="s">
        <v>72</v>
      </c>
      <c r="D178" s="889" t="s">
        <v>262</v>
      </c>
      <c r="E178" s="182" t="str">
        <f>'Sch 3 - Expenses'!E18</f>
        <v>PROD</v>
      </c>
      <c r="F178" s="890"/>
      <c r="G178" s="182">
        <f>'Sch 3 - Expenses'!G18</f>
        <v>67931640.829523325</v>
      </c>
      <c r="H178" s="182">
        <f>'Sch 3 - Expenses'!H18</f>
        <v>67931640.829523325</v>
      </c>
      <c r="I178" s="182">
        <f>'Sch 3 - Expenses'!I18</f>
        <v>0</v>
      </c>
      <c r="J178" s="183">
        <f>'Sch 3 - Expenses'!J18</f>
        <v>0</v>
      </c>
      <c r="K178" s="904">
        <f t="shared" si="547"/>
        <v>1</v>
      </c>
      <c r="N178" s="1130">
        <f>VLOOKUP($A178,'New Resources - Individual'!$A$4:$Y$133,N$2,FALSE)*N$1</f>
        <v>0</v>
      </c>
      <c r="O178" s="1117">
        <f>$G178+N178</f>
        <v>67931640.829523325</v>
      </c>
      <c r="P178" s="1118">
        <f>VLOOKUP($E178,O$442:R$453,2,FALSE)*O178*($K178)+IF($G178&lt;&gt;0,($H178/$G178)*O178,0)*(1-$K178)</f>
        <v>67931640.829523325</v>
      </c>
      <c r="Q178" s="1118">
        <f>VLOOKUP($E178,O$442:R$453,3,FALSE)*O178*($K178)+IF($G178&lt;&gt;0,($I178/$G178)*O178,0)*(1-$K178)</f>
        <v>0</v>
      </c>
      <c r="R178" s="1118">
        <f>VLOOKUP($E178,O$442:R$453,4,FALSE)*O178*($K178)+(O178-P178-Q178)*(1-$K178)</f>
        <v>0</v>
      </c>
      <c r="S178" s="1074"/>
      <c r="V178" s="1130">
        <f>VLOOKUP($A178,'New Resources - Individual'!$A$4:$Y$133,V$2,FALSE)*V$1</f>
        <v>0</v>
      </c>
      <c r="W178" s="1117">
        <f>$G178+V178</f>
        <v>67931640.829523325</v>
      </c>
      <c r="X178" s="1118">
        <f>VLOOKUP($E178,W$442:Z$453,2,FALSE)*W178*($K178)+IF($G178&lt;&gt;0,($H178/$G178)*W178,0)*(1-$K178)</f>
        <v>67931640.829523325</v>
      </c>
      <c r="Y178" s="1118">
        <f>VLOOKUP($E178,W$442:Z$453,3,FALSE)*W178*($K178)+IF($G178&lt;&gt;0,($I178/$G178)*W178,0)*(1-$K178)</f>
        <v>0</v>
      </c>
      <c r="Z178" s="1118">
        <f>VLOOKUP($E178,W$442:Z$453,4,FALSE)*W178*($K178)+(W178-X178-Y178)*(1-$K178)</f>
        <v>0</v>
      </c>
      <c r="AA178" s="1074"/>
      <c r="AD178" s="1130">
        <f>VLOOKUP($A178,'New Resources - Individual'!$A$4:$Y$133,AD$2,FALSE)*AD$1</f>
        <v>0</v>
      </c>
      <c r="AE178" s="1117">
        <f>$G178+AD178</f>
        <v>67931640.829523325</v>
      </c>
      <c r="AF178" s="1118">
        <f>VLOOKUP($E178,AE$442:AH$453,2,FALSE)*AE178*($K178)+IF($G178&lt;&gt;0,($H178/$G178)*AE178,0)*(1-$K178)</f>
        <v>67931640.829523325</v>
      </c>
      <c r="AG178" s="1118">
        <f>VLOOKUP($E178,AE$442:AH$453,3,FALSE)*AE178*($K178)+IF($G178&lt;&gt;0,($I178/$G178)*AE178,0)*(1-$K178)</f>
        <v>0</v>
      </c>
      <c r="AH178" s="1118">
        <f>VLOOKUP($E178,AE$442:AH$453,4,FALSE)*AE178*($K178)+(AE178-AF178-AG178)*(1-$K178)</f>
        <v>0</v>
      </c>
      <c r="AI178" s="1074"/>
      <c r="AL178" s="1130">
        <f>VLOOKUP($A178,'New Resources - Individual'!$A$4:$Y$133,AL$2,FALSE)*AL$1</f>
        <v>0</v>
      </c>
      <c r="AM178" s="1117">
        <f>$G178+AL178</f>
        <v>67931640.829523325</v>
      </c>
      <c r="AN178" s="1118">
        <f>VLOOKUP($E178,AM$442:AP$453,2,FALSE)*AM178*($K178)+IF($G178&lt;&gt;0,($H178/$G178)*AM178,0)*(1-$K178)</f>
        <v>67931640.829523325</v>
      </c>
      <c r="AO178" s="1118">
        <f>VLOOKUP($E178,AM$442:AP$453,3,FALSE)*AM178*($K178)+IF($G178&lt;&gt;0,($I178/$G178)*AM178,0)*(1-$K178)</f>
        <v>0</v>
      </c>
      <c r="AP178" s="1118">
        <f>VLOOKUP($E178,AM$442:AP$453,4,FALSE)*AM178*($K178)+(AM178-AN178-AO178)*(1-$K178)</f>
        <v>0</v>
      </c>
      <c r="AQ178" s="1074"/>
      <c r="AT178" s="1130">
        <f>VLOOKUP($A178,'New Resources - Individual'!$A$4:$Y$133,AT$2,FALSE)*AT$1</f>
        <v>0</v>
      </c>
      <c r="AU178" s="1117">
        <f>$G178+AT178</f>
        <v>67931640.829523325</v>
      </c>
      <c r="AV178" s="1118">
        <f>VLOOKUP($E178,AU$442:AX$453,2,FALSE)*AU178*($K178)+IF($G178&lt;&gt;0,($H178/$G178)*AU178,0)*(1-$K178)</f>
        <v>67931640.829523325</v>
      </c>
      <c r="AW178" s="1118">
        <f>VLOOKUP($E178,AU$442:AX$453,3,FALSE)*AU178*($K178)+IF($G178&lt;&gt;0,($I178/$G178)*AU178,0)*(1-$K178)</f>
        <v>0</v>
      </c>
      <c r="AX178" s="1118">
        <f>VLOOKUP($E178,AU$442:AX$453,4,FALSE)*AU178*($K178)+(AU178-AV178-AW178)*(1-$K178)</f>
        <v>0</v>
      </c>
      <c r="AY178" s="1074"/>
      <c r="BB178" s="1130">
        <f>VLOOKUP($A178,'New Resources - Individual'!$A$4:$Y$133,BB$2,FALSE)*BB$1</f>
        <v>0</v>
      </c>
      <c r="BC178" s="1117">
        <f>$G178+BB178</f>
        <v>67931640.829523325</v>
      </c>
      <c r="BD178" s="1118">
        <f>VLOOKUP($E178,BC$442:BF$453,2,FALSE)*BC178*($K178)+IF($G178&lt;&gt;0,($H178/$G178)*BC178,0)*(1-$K178)</f>
        <v>67931640.829523325</v>
      </c>
      <c r="BE178" s="1118">
        <f>VLOOKUP($E178,BC$442:BF$453,3,FALSE)*BC178*($K178)+IF($G178&lt;&gt;0,($I178/$G178)*BC178,0)*(1-$K178)</f>
        <v>0</v>
      </c>
      <c r="BF178" s="1118">
        <f>VLOOKUP($E178,BC$442:BF$453,4,FALSE)*BC178*($K178)+(BC178-BD178-BE178)*(1-$K178)</f>
        <v>0</v>
      </c>
      <c r="BG178" s="1074"/>
      <c r="BJ178" s="1130">
        <f>VLOOKUP($A178,'New Resources - Individual'!$A$4:$Y$133,BJ$2,FALSE)*BJ$1</f>
        <v>0</v>
      </c>
      <c r="BK178" s="1117">
        <f>$G178+BJ178</f>
        <v>67931640.829523325</v>
      </c>
      <c r="BL178" s="1118">
        <f>VLOOKUP($E178,BK$442:BN$453,2,FALSE)*BK178*($K178)+IF($G178&lt;&gt;0,($H178/$G178)*BK178,0)*(1-$K178)</f>
        <v>67931640.829523325</v>
      </c>
      <c r="BM178" s="1118">
        <f>VLOOKUP($E178,BK$442:BN$453,3,FALSE)*BK178*($K178)+IF($G178&lt;&gt;0,($I178/$G178)*BK178,0)*(1-$K178)</f>
        <v>0</v>
      </c>
      <c r="BN178" s="1118">
        <f>VLOOKUP($E178,BK$442:BN$453,4,FALSE)*BK178*($K178)+(BK178-BL178-BM178)*(1-$K178)</f>
        <v>0</v>
      </c>
      <c r="BO178" s="1074"/>
      <c r="BR178" s="1130">
        <f>VLOOKUP($A178,'New Resources - Individual'!$A$4:$Y$133,BR$2,FALSE)*BR$1</f>
        <v>0</v>
      </c>
      <c r="BS178" s="1117">
        <f>$G178+BR178</f>
        <v>67931640.829523325</v>
      </c>
      <c r="BT178" s="1118">
        <f>VLOOKUP($E178,BS$442:BV$453,2,FALSE)*BS178*($K178)+IF($G178&lt;&gt;0,($H178/$G178)*BS178,0)*(1-$K178)</f>
        <v>67931640.829523325</v>
      </c>
      <c r="BU178" s="1118">
        <f>VLOOKUP($E178,BS$442:BV$453,3,FALSE)*BS178*($K178)+IF($G178&lt;&gt;0,($I178/$G178)*BS178,0)*(1-$K178)</f>
        <v>0</v>
      </c>
      <c r="BV178" s="1118">
        <f>VLOOKUP($E178,BS$442:BV$453,4,FALSE)*BS178*($K178)+(BS178-BT178-BU178)*(1-$K178)</f>
        <v>0</v>
      </c>
      <c r="BW178" s="1074"/>
      <c r="BZ178" s="1130">
        <f>VLOOKUP($A178,'New Resources - Individual'!$A$4:$Y$133,BZ$2,FALSE)*BZ$1</f>
        <v>0</v>
      </c>
      <c r="CA178" s="1117">
        <f>$G178+BZ178</f>
        <v>67931640.829523325</v>
      </c>
      <c r="CB178" s="1118">
        <f>VLOOKUP($E178,CA$442:CD$453,2,FALSE)*CA178*($K178)+IF($G178&lt;&gt;0,($H178/$G178)*CA178,0)*(1-$K178)</f>
        <v>67931640.829523325</v>
      </c>
      <c r="CC178" s="1118">
        <f>VLOOKUP($E178,CA$442:CD$453,3,FALSE)*CA178*($K178)+IF($G178&lt;&gt;0,($I178/$G178)*CA178,0)*(1-$K178)</f>
        <v>0</v>
      </c>
      <c r="CD178" s="1118">
        <f>VLOOKUP($E178,CA$442:CD$453,4,FALSE)*CA178*($K178)+(CA178-CB178-CC178)*(1-$K178)</f>
        <v>0</v>
      </c>
      <c r="CE178" s="1074"/>
      <c r="CH178" s="1130">
        <f>VLOOKUP($A178,'New Resources - Individual'!$A$4:$Y$133,CH$2,FALSE)*CH$1</f>
        <v>0</v>
      </c>
      <c r="CI178" s="1117">
        <f>$G178+CH178</f>
        <v>67931640.829523325</v>
      </c>
      <c r="CJ178" s="1118">
        <f>VLOOKUP($E178,CI$442:CL$453,2,FALSE)*CI178*($K178)+IF($G178&lt;&gt;0,($H178/$G178)*CI178,0)*(1-$K178)</f>
        <v>67931640.829523325</v>
      </c>
      <c r="CK178" s="1118">
        <f>VLOOKUP($E178,CI$442:CL$453,3,FALSE)*CI178*($K178)+IF($G178&lt;&gt;0,($I178/$G178)*CI178,0)*(1-$K178)</f>
        <v>0</v>
      </c>
      <c r="CL178" s="1118">
        <f>VLOOKUP($E178,CI$442:CL$453,4,FALSE)*CI178*($K178)+(CI178-CJ178-CK178)*(1-$K178)</f>
        <v>0</v>
      </c>
      <c r="CM178" s="1074"/>
      <c r="CP178" s="1130">
        <f>VLOOKUP($A178,'New Resources - Individual'!$A$4:$Y$133,CP$2,FALSE)*CP$1</f>
        <v>0</v>
      </c>
      <c r="CQ178" s="1117">
        <f>$G178+CP178</f>
        <v>67931640.829523325</v>
      </c>
      <c r="CR178" s="1118">
        <f>VLOOKUP($E178,CQ$442:CT$453,2,FALSE)*CQ178*($K178)+IF($G178&lt;&gt;0,($H178/$G178)*CQ178,0)*(1-$K178)</f>
        <v>67931640.829523325</v>
      </c>
      <c r="CS178" s="1118">
        <f>VLOOKUP($E178,CQ$442:CT$453,3,FALSE)*CQ178*($K178)+IF($G178&lt;&gt;0,($I178/$G178)*CQ178,0)*(1-$K178)</f>
        <v>0</v>
      </c>
      <c r="CT178" s="1118">
        <f>VLOOKUP($E178,CQ$442:CT$453,4,FALSE)*CQ178*($K178)+(CQ178-CR178-CS178)*(1-$K178)</f>
        <v>0</v>
      </c>
      <c r="CU178" s="1074"/>
      <c r="CX178" s="1130">
        <f>VLOOKUP($A178,'New Resources - Individual'!$A$4:$Y$133,CX$2,FALSE)*CX$1</f>
        <v>0</v>
      </c>
      <c r="CY178" s="1117">
        <f>$G178+CX178</f>
        <v>67931640.829523325</v>
      </c>
      <c r="CZ178" s="1118">
        <f>VLOOKUP($E178,CY$442:DB$453,2,FALSE)*CY178*($K178)+IF($G178&lt;&gt;0,($H178/$G178)*CY178,0)*(1-$K178)</f>
        <v>67931640.829523325</v>
      </c>
      <c r="DA178" s="1118">
        <f>VLOOKUP($E178,CY$442:DB$453,3,FALSE)*CY178*($K178)+IF($G178&lt;&gt;0,($I178/$G178)*CY178,0)*(1-$K178)</f>
        <v>0</v>
      </c>
      <c r="DB178" s="1118">
        <f>VLOOKUP($E178,CY$442:DB$453,4,FALSE)*CY178*($K178)+(CY178-CZ178-DA178)*(1-$K178)</f>
        <v>0</v>
      </c>
      <c r="DC178" s="1074"/>
      <c r="DF178" s="1130">
        <f>VLOOKUP($A178,'New Resources - Individual'!$A$4:$Y$133,DF$2,FALSE)*DF$1</f>
        <v>0</v>
      </c>
      <c r="DG178" s="1117">
        <f>$G178+DF178</f>
        <v>67931640.829523325</v>
      </c>
      <c r="DH178" s="1118">
        <f>VLOOKUP($E178,DG$442:DJ$453,2,FALSE)*DG178*($K178)+IF($G178&lt;&gt;0,($H178/$G178)*DG178,0)*(1-$K178)</f>
        <v>67931640.829523325</v>
      </c>
      <c r="DI178" s="1118">
        <f>VLOOKUP($E178,DG$442:DJ$453,3,FALSE)*DG178*($K178)+IF($G178&lt;&gt;0,($I178/$G178)*DG178,0)*(1-$K178)</f>
        <v>0</v>
      </c>
      <c r="DJ178" s="1118">
        <f>VLOOKUP($E178,DG$442:DJ$453,4,FALSE)*DG178*($K178)+(DG178-DH178-DI178)*(1-$K178)</f>
        <v>0</v>
      </c>
      <c r="DK178" s="1074"/>
      <c r="DN178" s="1130">
        <f>VLOOKUP($A178,'New Resources - Individual'!$A$4:$Y$133,DN$2,FALSE)*DN$1</f>
        <v>0</v>
      </c>
      <c r="DO178" s="1117">
        <f>$G178+DN178</f>
        <v>67931640.829523325</v>
      </c>
      <c r="DP178" s="1118">
        <f>VLOOKUP($E178,DO$442:DR$453,2,FALSE)*DO178*($K178)+IF($G178&lt;&gt;0,($H178/$G178)*DO178,0)*(1-$K178)</f>
        <v>67931640.829523325</v>
      </c>
      <c r="DQ178" s="1118">
        <f>VLOOKUP($E178,DO$442:DR$453,3,FALSE)*DO178*($K178)+IF($G178&lt;&gt;0,($I178/$G178)*DO178,0)*(1-$K178)</f>
        <v>0</v>
      </c>
      <c r="DR178" s="1118">
        <f>VLOOKUP($E178,DO$442:DR$453,4,FALSE)*DO178*($K178)+(DO178-DP178-DQ178)*(1-$K178)</f>
        <v>0</v>
      </c>
      <c r="DS178" s="1074"/>
      <c r="DV178" s="1130">
        <f>VLOOKUP($A178,'New Resources - Individual'!$A$4:$Y$133,DV$2,FALSE)*DV$1</f>
        <v>0</v>
      </c>
      <c r="DW178" s="1117">
        <f>$G178+DV178</f>
        <v>67931640.829523325</v>
      </c>
      <c r="DX178" s="1118">
        <f>VLOOKUP($E178,DW$442:DZ$453,2,FALSE)*DW178*($K178)+IF($G178&lt;&gt;0,($H178/$G178)*DW178,0)*(1-$K178)</f>
        <v>67931640.829523325</v>
      </c>
      <c r="DY178" s="1118">
        <f>VLOOKUP($E178,DW$442:DZ$453,3,FALSE)*DW178*($K178)+IF($G178&lt;&gt;0,($I178/$G178)*DW178,0)*(1-$K178)</f>
        <v>0</v>
      </c>
      <c r="DZ178" s="1118">
        <f>VLOOKUP($E178,DW$442:DZ$453,4,FALSE)*DW178*($K178)+(DW178-DX178-DY178)*(1-$K178)</f>
        <v>0</v>
      </c>
      <c r="EA178" s="1074"/>
      <c r="ED178" s="1130">
        <f>VLOOKUP($A178,'New Resources - Individual'!$A$4:$Y$133,ED$2,FALSE)*ED$1</f>
        <v>0</v>
      </c>
      <c r="EE178" s="1117">
        <f>$G178+ED178</f>
        <v>67931640.829523325</v>
      </c>
      <c r="EF178" s="1118">
        <f>VLOOKUP($E178,EE$442:EH$453,2,FALSE)*EE178*($K178)+IF($G178&lt;&gt;0,($H178/$G178)*EE178,0)*(1-$K178)</f>
        <v>67931640.829523325</v>
      </c>
      <c r="EG178" s="1118">
        <f>VLOOKUP($E178,EE$442:EH$453,3,FALSE)*EE178*($K178)+IF($G178&lt;&gt;0,($I178/$G178)*EE178,0)*(1-$K178)</f>
        <v>0</v>
      </c>
      <c r="EH178" s="1118">
        <f>VLOOKUP($E178,EE$442:EH$453,4,FALSE)*EE178*($K178)+(EE178-EF178-EG178)*(1-$K178)</f>
        <v>0</v>
      </c>
      <c r="EI178" s="1074"/>
      <c r="EL178" s="1130">
        <f>VLOOKUP($A178,'New Resources - Individual'!$A$4:$Y$133,EL$2,FALSE)*EL$1</f>
        <v>0</v>
      </c>
      <c r="EM178" s="1117">
        <f>$G178+EL178</f>
        <v>67931640.829523325</v>
      </c>
      <c r="EN178" s="1118">
        <f>VLOOKUP($E178,EM$442:EP$453,2,FALSE)*EM178*($K178)+IF($G178&lt;&gt;0,($H178/$G178)*EM178,0)*(1-$K178)</f>
        <v>67931640.829523325</v>
      </c>
      <c r="EO178" s="1118">
        <f>VLOOKUP($E178,EM$442:EP$453,3,FALSE)*EM178*($K178)+IF($G178&lt;&gt;0,($I178/$G178)*EM178,0)*(1-$K178)</f>
        <v>0</v>
      </c>
      <c r="EP178" s="1118">
        <f>VLOOKUP($E178,EM$442:EP$453,4,FALSE)*EM178*($K178)+(EM178-EN178-EO178)*(1-$K178)</f>
        <v>0</v>
      </c>
      <c r="EQ178" s="1074"/>
      <c r="ET178" s="1130">
        <f>VLOOKUP($A178,'New Resources - Individual'!$A$4:$Y$133,ET$2,FALSE)*ET$1</f>
        <v>0</v>
      </c>
      <c r="EU178" s="1117">
        <f>$G178+ET178</f>
        <v>67931640.829523325</v>
      </c>
      <c r="EV178" s="1118">
        <f>VLOOKUP($E178,EU$442:EX$453,2,FALSE)*EU178*($K178)+IF($G178&lt;&gt;0,($H178/$G178)*EU178,0)*(1-$K178)</f>
        <v>67931640.829523325</v>
      </c>
      <c r="EW178" s="1118">
        <f>VLOOKUP($E178,EU$442:EX$453,3,FALSE)*EU178*($K178)+IF($G178&lt;&gt;0,($I178/$G178)*EU178,0)*(1-$K178)</f>
        <v>0</v>
      </c>
      <c r="EX178" s="1118">
        <f>VLOOKUP($E178,EU$442:EX$453,4,FALSE)*EU178*($K178)+(EU178-EV178-EW178)*(1-$K178)</f>
        <v>0</v>
      </c>
      <c r="EY178" s="1074"/>
      <c r="FB178" s="1130">
        <f>VLOOKUP($A178,'New Resources - Individual'!$A$4:$Y$133,FB$2,FALSE)*FB$1</f>
        <v>0</v>
      </c>
      <c r="FC178" s="1117">
        <f>$G178+FB178</f>
        <v>67931640.829523325</v>
      </c>
      <c r="FD178" s="1118">
        <f>VLOOKUP($E178,FC$442:FF$453,2,FALSE)*FC178*($K178)+IF($G178&lt;&gt;0,($H178/$G178)*FC178,0)*(1-$K178)</f>
        <v>67931640.829523325</v>
      </c>
      <c r="FE178" s="1118">
        <f>VLOOKUP($E178,FC$442:FF$453,3,FALSE)*FC178*($K178)+IF($G178&lt;&gt;0,($I178/$G178)*FC178,0)*(1-$K178)</f>
        <v>0</v>
      </c>
      <c r="FF178" s="1118">
        <f>VLOOKUP($E178,FC$442:FF$453,4,FALSE)*FC178*($K178)+(FC178-FD178-FE178)*(1-$K178)</f>
        <v>0</v>
      </c>
      <c r="FG178" s="1074"/>
      <c r="FJ178" s="1130">
        <f>VLOOKUP($A178,'New Resources - Individual'!$A$4:$Y$133,FJ$2,FALSE)*FJ$1</f>
        <v>0</v>
      </c>
      <c r="FK178" s="1117">
        <f>$G178+FJ178</f>
        <v>67931640.829523325</v>
      </c>
      <c r="FL178" s="1118">
        <f>VLOOKUP($E178,FK$442:FN$453,2,FALSE)*FK178*($K178)+IF($G178&lt;&gt;0,($H178/$G178)*FK178,0)*(1-$K178)</f>
        <v>67931640.829523325</v>
      </c>
      <c r="FM178" s="1118">
        <f>VLOOKUP($E178,FK$442:FN$453,3,FALSE)*FK178*($K178)+IF($G178&lt;&gt;0,($I178/$G178)*FK178,0)*(1-$K178)</f>
        <v>0</v>
      </c>
      <c r="FN178" s="1118">
        <f>VLOOKUP($E178,FK$442:FN$453,4,FALSE)*FK178*($K178)+(FK178-FL178-FM178)*(1-$K178)</f>
        <v>0</v>
      </c>
      <c r="FO178" s="1074"/>
    </row>
    <row r="179" spans="1:171" x14ac:dyDescent="0.25">
      <c r="A179" s="1392"/>
      <c r="B179" s="991" t="s">
        <v>458</v>
      </c>
      <c r="C179" s="55"/>
      <c r="D179" s="55"/>
      <c r="E179" s="196"/>
      <c r="F179" s="196"/>
      <c r="G179" s="68"/>
      <c r="H179" s="68"/>
      <c r="I179" s="68"/>
      <c r="J179" s="992"/>
      <c r="K179" s="904"/>
      <c r="S179" s="1074"/>
      <c r="AA179" s="1074"/>
      <c r="AI179" s="1074"/>
      <c r="AQ179" s="1074"/>
      <c r="AY179" s="1074"/>
      <c r="BG179" s="1074"/>
      <c r="BO179" s="1074"/>
      <c r="BW179" s="1074"/>
      <c r="CE179" s="1074"/>
      <c r="CM179" s="1074"/>
      <c r="CU179" s="1074"/>
      <c r="DC179" s="1074"/>
      <c r="DK179" s="1074"/>
      <c r="DS179" s="1074"/>
      <c r="EA179" s="1074"/>
      <c r="EI179" s="1074"/>
      <c r="EQ179" s="1074"/>
      <c r="EY179" s="1074"/>
      <c r="FG179" s="1074"/>
      <c r="FO179" s="1074"/>
    </row>
    <row r="180" spans="1:171" x14ac:dyDescent="0.25">
      <c r="A180" s="1390">
        <v>290</v>
      </c>
      <c r="B180" s="220" t="s">
        <v>85</v>
      </c>
      <c r="C180" s="889" t="s">
        <v>72</v>
      </c>
      <c r="D180" s="889">
        <v>518</v>
      </c>
      <c r="E180" s="182" t="str">
        <f>'Sch 3 - Expenses'!E20</f>
        <v>PROD</v>
      </c>
      <c r="F180" s="890"/>
      <c r="G180" s="182">
        <f>'Sch 3 - Expenses'!G20</f>
        <v>0</v>
      </c>
      <c r="H180" s="182">
        <f>'Sch 3 - Expenses'!H20</f>
        <v>0</v>
      </c>
      <c r="I180" s="182">
        <f>'Sch 3 - Expenses'!I20</f>
        <v>0</v>
      </c>
      <c r="J180" s="183">
        <f>'Sch 3 - Expenses'!J20</f>
        <v>0</v>
      </c>
      <c r="K180" s="904">
        <f t="shared" si="547"/>
        <v>1</v>
      </c>
      <c r="N180" s="1130">
        <f>VLOOKUP($A180,'New Resources - Individual'!$A$4:$Y$133,N$2,FALSE)*N$1</f>
        <v>0</v>
      </c>
      <c r="O180" s="1117">
        <f>$G180+N180</f>
        <v>0</v>
      </c>
      <c r="P180" s="1118">
        <f>VLOOKUP($E180,O$442:R$453,2,FALSE)*O180*($K180)+IF($G180&lt;&gt;0,($H180/$G180)*O180,0)*(1-$K180)</f>
        <v>0</v>
      </c>
      <c r="Q180" s="1118">
        <f>VLOOKUP($E180,O$442:R$453,3,FALSE)*O180*($K180)+IF($G180&lt;&gt;0,($I180/$G180)*O180,0)*(1-$K180)</f>
        <v>0</v>
      </c>
      <c r="R180" s="1118">
        <f>VLOOKUP($E180,O$442:R$453,4,FALSE)*O180*($K180)+(O180-P180-Q180)*(1-$K180)</f>
        <v>0</v>
      </c>
      <c r="S180" s="1074"/>
      <c r="V180" s="1130">
        <f>VLOOKUP($A180,'New Resources - Individual'!$A$4:$Y$133,V$2,FALSE)*V$1</f>
        <v>0</v>
      </c>
      <c r="W180" s="1117">
        <f>$G180+V180</f>
        <v>0</v>
      </c>
      <c r="X180" s="1118">
        <f>VLOOKUP($E180,W$442:Z$453,2,FALSE)*W180*($K180)+IF($G180&lt;&gt;0,($H180/$G180)*W180,0)*(1-$K180)</f>
        <v>0</v>
      </c>
      <c r="Y180" s="1118">
        <f>VLOOKUP($E180,W$442:Z$453,3,FALSE)*W180*($K180)+IF($G180&lt;&gt;0,($I180/$G180)*W180,0)*(1-$K180)</f>
        <v>0</v>
      </c>
      <c r="Z180" s="1118">
        <f>VLOOKUP($E180,W$442:Z$453,4,FALSE)*W180*($K180)+(W180-X180-Y180)*(1-$K180)</f>
        <v>0</v>
      </c>
      <c r="AA180" s="1074"/>
      <c r="AD180" s="1130">
        <f>VLOOKUP($A180,'New Resources - Individual'!$A$4:$Y$133,AD$2,FALSE)*AD$1</f>
        <v>0</v>
      </c>
      <c r="AE180" s="1117">
        <f>$G180+AD180</f>
        <v>0</v>
      </c>
      <c r="AF180" s="1118">
        <f>VLOOKUP($E180,AE$442:AH$453,2,FALSE)*AE180*($K180)+IF($G180&lt;&gt;0,($H180/$G180)*AE180,0)*(1-$K180)</f>
        <v>0</v>
      </c>
      <c r="AG180" s="1118">
        <f>VLOOKUP($E180,AE$442:AH$453,3,FALSE)*AE180*($K180)+IF($G180&lt;&gt;0,($I180/$G180)*AE180,0)*(1-$K180)</f>
        <v>0</v>
      </c>
      <c r="AH180" s="1118">
        <f>VLOOKUP($E180,AE$442:AH$453,4,FALSE)*AE180*($K180)+(AE180-AF180-AG180)*(1-$K180)</f>
        <v>0</v>
      </c>
      <c r="AI180" s="1074"/>
      <c r="AL180" s="1130">
        <f>VLOOKUP($A180,'New Resources - Individual'!$A$4:$Y$133,AL$2,FALSE)*AL$1</f>
        <v>0</v>
      </c>
      <c r="AM180" s="1117">
        <f>$G180+AL180</f>
        <v>0</v>
      </c>
      <c r="AN180" s="1118">
        <f>VLOOKUP($E180,AM$442:AP$453,2,FALSE)*AM180*($K180)+IF($G180&lt;&gt;0,($H180/$G180)*AM180,0)*(1-$K180)</f>
        <v>0</v>
      </c>
      <c r="AO180" s="1118">
        <f>VLOOKUP($E180,AM$442:AP$453,3,FALSE)*AM180*($K180)+IF($G180&lt;&gt;0,($I180/$G180)*AM180,0)*(1-$K180)</f>
        <v>0</v>
      </c>
      <c r="AP180" s="1118">
        <f>VLOOKUP($E180,AM$442:AP$453,4,FALSE)*AM180*($K180)+(AM180-AN180-AO180)*(1-$K180)</f>
        <v>0</v>
      </c>
      <c r="AQ180" s="1074"/>
      <c r="AT180" s="1130">
        <f>VLOOKUP($A180,'New Resources - Individual'!$A$4:$Y$133,AT$2,FALSE)*AT$1</f>
        <v>0</v>
      </c>
      <c r="AU180" s="1117">
        <f>$G180+AT180</f>
        <v>0</v>
      </c>
      <c r="AV180" s="1118">
        <f>VLOOKUP($E180,AU$442:AX$453,2,FALSE)*AU180*($K180)+IF($G180&lt;&gt;0,($H180/$G180)*AU180,0)*(1-$K180)</f>
        <v>0</v>
      </c>
      <c r="AW180" s="1118">
        <f>VLOOKUP($E180,AU$442:AX$453,3,FALSE)*AU180*($K180)+IF($G180&lt;&gt;0,($I180/$G180)*AU180,0)*(1-$K180)</f>
        <v>0</v>
      </c>
      <c r="AX180" s="1118">
        <f>VLOOKUP($E180,AU$442:AX$453,4,FALSE)*AU180*($K180)+(AU180-AV180-AW180)*(1-$K180)</f>
        <v>0</v>
      </c>
      <c r="AY180" s="1074"/>
      <c r="BB180" s="1130">
        <f>VLOOKUP($A180,'New Resources - Individual'!$A$4:$Y$133,BB$2,FALSE)*BB$1</f>
        <v>0</v>
      </c>
      <c r="BC180" s="1117">
        <f>$G180+BB180</f>
        <v>0</v>
      </c>
      <c r="BD180" s="1118">
        <f>VLOOKUP($E180,BC$442:BF$453,2,FALSE)*BC180*($K180)+IF($G180&lt;&gt;0,($H180/$G180)*BC180,0)*(1-$K180)</f>
        <v>0</v>
      </c>
      <c r="BE180" s="1118">
        <f>VLOOKUP($E180,BC$442:BF$453,3,FALSE)*BC180*($K180)+IF($G180&lt;&gt;0,($I180/$G180)*BC180,0)*(1-$K180)</f>
        <v>0</v>
      </c>
      <c r="BF180" s="1118">
        <f>VLOOKUP($E180,BC$442:BF$453,4,FALSE)*BC180*($K180)+(BC180-BD180-BE180)*(1-$K180)</f>
        <v>0</v>
      </c>
      <c r="BG180" s="1074"/>
      <c r="BJ180" s="1130">
        <f>VLOOKUP($A180,'New Resources - Individual'!$A$4:$Y$133,BJ$2,FALSE)*BJ$1</f>
        <v>0</v>
      </c>
      <c r="BK180" s="1117">
        <f>$G180+BJ180</f>
        <v>0</v>
      </c>
      <c r="BL180" s="1118">
        <f>VLOOKUP($E180,BK$442:BN$453,2,FALSE)*BK180*($K180)+IF($G180&lt;&gt;0,($H180/$G180)*BK180,0)*(1-$K180)</f>
        <v>0</v>
      </c>
      <c r="BM180" s="1118">
        <f>VLOOKUP($E180,BK$442:BN$453,3,FALSE)*BK180*($K180)+IF($G180&lt;&gt;0,($I180/$G180)*BK180,0)*(1-$K180)</f>
        <v>0</v>
      </c>
      <c r="BN180" s="1118">
        <f>VLOOKUP($E180,BK$442:BN$453,4,FALSE)*BK180*($K180)+(BK180-BL180-BM180)*(1-$K180)</f>
        <v>0</v>
      </c>
      <c r="BO180" s="1074"/>
      <c r="BR180" s="1130">
        <f>VLOOKUP($A180,'New Resources - Individual'!$A$4:$Y$133,BR$2,FALSE)*BR$1</f>
        <v>0</v>
      </c>
      <c r="BS180" s="1117">
        <f>$G180+BR180</f>
        <v>0</v>
      </c>
      <c r="BT180" s="1118">
        <f>VLOOKUP($E180,BS$442:BV$453,2,FALSE)*BS180*($K180)+IF($G180&lt;&gt;0,($H180/$G180)*BS180,0)*(1-$K180)</f>
        <v>0</v>
      </c>
      <c r="BU180" s="1118">
        <f>VLOOKUP($E180,BS$442:BV$453,3,FALSE)*BS180*($K180)+IF($G180&lt;&gt;0,($I180/$G180)*BS180,0)*(1-$K180)</f>
        <v>0</v>
      </c>
      <c r="BV180" s="1118">
        <f>VLOOKUP($E180,BS$442:BV$453,4,FALSE)*BS180*($K180)+(BS180-BT180-BU180)*(1-$K180)</f>
        <v>0</v>
      </c>
      <c r="BW180" s="1074"/>
      <c r="BZ180" s="1130">
        <f>VLOOKUP($A180,'New Resources - Individual'!$A$4:$Y$133,BZ$2,FALSE)*BZ$1</f>
        <v>0</v>
      </c>
      <c r="CA180" s="1117">
        <f>$G180+BZ180</f>
        <v>0</v>
      </c>
      <c r="CB180" s="1118">
        <f>VLOOKUP($E180,CA$442:CD$453,2,FALSE)*CA180*($K180)+IF($G180&lt;&gt;0,($H180/$G180)*CA180,0)*(1-$K180)</f>
        <v>0</v>
      </c>
      <c r="CC180" s="1118">
        <f>VLOOKUP($E180,CA$442:CD$453,3,FALSE)*CA180*($K180)+IF($G180&lt;&gt;0,($I180/$G180)*CA180,0)*(1-$K180)</f>
        <v>0</v>
      </c>
      <c r="CD180" s="1118">
        <f>VLOOKUP($E180,CA$442:CD$453,4,FALSE)*CA180*($K180)+(CA180-CB180-CC180)*(1-$K180)</f>
        <v>0</v>
      </c>
      <c r="CE180" s="1074"/>
      <c r="CH180" s="1130">
        <f>VLOOKUP($A180,'New Resources - Individual'!$A$4:$Y$133,CH$2,FALSE)*CH$1</f>
        <v>0</v>
      </c>
      <c r="CI180" s="1117">
        <f>$G180+CH180</f>
        <v>0</v>
      </c>
      <c r="CJ180" s="1118">
        <f>VLOOKUP($E180,CI$442:CL$453,2,FALSE)*CI180*($K180)+IF($G180&lt;&gt;0,($H180/$G180)*CI180,0)*(1-$K180)</f>
        <v>0</v>
      </c>
      <c r="CK180" s="1118">
        <f>VLOOKUP($E180,CI$442:CL$453,3,FALSE)*CI180*($K180)+IF($G180&lt;&gt;0,($I180/$G180)*CI180,0)*(1-$K180)</f>
        <v>0</v>
      </c>
      <c r="CL180" s="1118">
        <f>VLOOKUP($E180,CI$442:CL$453,4,FALSE)*CI180*($K180)+(CI180-CJ180-CK180)*(1-$K180)</f>
        <v>0</v>
      </c>
      <c r="CM180" s="1074"/>
      <c r="CP180" s="1130">
        <f>VLOOKUP($A180,'New Resources - Individual'!$A$4:$Y$133,CP$2,FALSE)*CP$1</f>
        <v>0</v>
      </c>
      <c r="CQ180" s="1117">
        <f>$G180+CP180</f>
        <v>0</v>
      </c>
      <c r="CR180" s="1118">
        <f>VLOOKUP($E180,CQ$442:CT$453,2,FALSE)*CQ180*($K180)+IF($G180&lt;&gt;0,($H180/$G180)*CQ180,0)*(1-$K180)</f>
        <v>0</v>
      </c>
      <c r="CS180" s="1118">
        <f>VLOOKUP($E180,CQ$442:CT$453,3,FALSE)*CQ180*($K180)+IF($G180&lt;&gt;0,($I180/$G180)*CQ180,0)*(1-$K180)</f>
        <v>0</v>
      </c>
      <c r="CT180" s="1118">
        <f>VLOOKUP($E180,CQ$442:CT$453,4,FALSE)*CQ180*($K180)+(CQ180-CR180-CS180)*(1-$K180)</f>
        <v>0</v>
      </c>
      <c r="CU180" s="1074"/>
      <c r="CX180" s="1130">
        <f>VLOOKUP($A180,'New Resources - Individual'!$A$4:$Y$133,CX$2,FALSE)*CX$1</f>
        <v>0</v>
      </c>
      <c r="CY180" s="1117">
        <f>$G180+CX180</f>
        <v>0</v>
      </c>
      <c r="CZ180" s="1118">
        <f>VLOOKUP($E180,CY$442:DB$453,2,FALSE)*CY180*($K180)+IF($G180&lt;&gt;0,($H180/$G180)*CY180,0)*(1-$K180)</f>
        <v>0</v>
      </c>
      <c r="DA180" s="1118">
        <f>VLOOKUP($E180,CY$442:DB$453,3,FALSE)*CY180*($K180)+IF($G180&lt;&gt;0,($I180/$G180)*CY180,0)*(1-$K180)</f>
        <v>0</v>
      </c>
      <c r="DB180" s="1118">
        <f>VLOOKUP($E180,CY$442:DB$453,4,FALSE)*CY180*($K180)+(CY180-CZ180-DA180)*(1-$K180)</f>
        <v>0</v>
      </c>
      <c r="DC180" s="1074"/>
      <c r="DF180" s="1130">
        <f>VLOOKUP($A180,'New Resources - Individual'!$A$4:$Y$133,DF$2,FALSE)*DF$1</f>
        <v>0</v>
      </c>
      <c r="DG180" s="1117">
        <f>$G180+DF180</f>
        <v>0</v>
      </c>
      <c r="DH180" s="1118">
        <f>VLOOKUP($E180,DG$442:DJ$453,2,FALSE)*DG180*($K180)+IF($G180&lt;&gt;0,($H180/$G180)*DG180,0)*(1-$K180)</f>
        <v>0</v>
      </c>
      <c r="DI180" s="1118">
        <f>VLOOKUP($E180,DG$442:DJ$453,3,FALSE)*DG180*($K180)+IF($G180&lt;&gt;0,($I180/$G180)*DG180,0)*(1-$K180)</f>
        <v>0</v>
      </c>
      <c r="DJ180" s="1118">
        <f>VLOOKUP($E180,DG$442:DJ$453,4,FALSE)*DG180*($K180)+(DG180-DH180-DI180)*(1-$K180)</f>
        <v>0</v>
      </c>
      <c r="DK180" s="1074"/>
      <c r="DN180" s="1130">
        <f>VLOOKUP($A180,'New Resources - Individual'!$A$4:$Y$133,DN$2,FALSE)*DN$1</f>
        <v>0</v>
      </c>
      <c r="DO180" s="1117">
        <f>$G180+DN180</f>
        <v>0</v>
      </c>
      <c r="DP180" s="1118">
        <f>VLOOKUP($E180,DO$442:DR$453,2,FALSE)*DO180*($K180)+IF($G180&lt;&gt;0,($H180/$G180)*DO180,0)*(1-$K180)</f>
        <v>0</v>
      </c>
      <c r="DQ180" s="1118">
        <f>VLOOKUP($E180,DO$442:DR$453,3,FALSE)*DO180*($K180)+IF($G180&lt;&gt;0,($I180/$G180)*DO180,0)*(1-$K180)</f>
        <v>0</v>
      </c>
      <c r="DR180" s="1118">
        <f>VLOOKUP($E180,DO$442:DR$453,4,FALSE)*DO180*($K180)+(DO180-DP180-DQ180)*(1-$K180)</f>
        <v>0</v>
      </c>
      <c r="DS180" s="1074"/>
      <c r="DV180" s="1130">
        <f>VLOOKUP($A180,'New Resources - Individual'!$A$4:$Y$133,DV$2,FALSE)*DV$1</f>
        <v>0</v>
      </c>
      <c r="DW180" s="1117">
        <f>$G180+DV180</f>
        <v>0</v>
      </c>
      <c r="DX180" s="1118">
        <f>VLOOKUP($E180,DW$442:DZ$453,2,FALSE)*DW180*($K180)+IF($G180&lt;&gt;0,($H180/$G180)*DW180,0)*(1-$K180)</f>
        <v>0</v>
      </c>
      <c r="DY180" s="1118">
        <f>VLOOKUP($E180,DW$442:DZ$453,3,FALSE)*DW180*($K180)+IF($G180&lt;&gt;0,($I180/$G180)*DW180,0)*(1-$K180)</f>
        <v>0</v>
      </c>
      <c r="DZ180" s="1118">
        <f>VLOOKUP($E180,DW$442:DZ$453,4,FALSE)*DW180*($K180)+(DW180-DX180-DY180)*(1-$K180)</f>
        <v>0</v>
      </c>
      <c r="EA180" s="1074"/>
      <c r="ED180" s="1130">
        <f>VLOOKUP($A180,'New Resources - Individual'!$A$4:$Y$133,ED$2,FALSE)*ED$1</f>
        <v>0</v>
      </c>
      <c r="EE180" s="1117">
        <f>$G180+ED180</f>
        <v>0</v>
      </c>
      <c r="EF180" s="1118">
        <f>VLOOKUP($E180,EE$442:EH$453,2,FALSE)*EE180*($K180)+IF($G180&lt;&gt;0,($H180/$G180)*EE180,0)*(1-$K180)</f>
        <v>0</v>
      </c>
      <c r="EG180" s="1118">
        <f>VLOOKUP($E180,EE$442:EH$453,3,FALSE)*EE180*($K180)+IF($G180&lt;&gt;0,($I180/$G180)*EE180,0)*(1-$K180)</f>
        <v>0</v>
      </c>
      <c r="EH180" s="1118">
        <f>VLOOKUP($E180,EE$442:EH$453,4,FALSE)*EE180*($K180)+(EE180-EF180-EG180)*(1-$K180)</f>
        <v>0</v>
      </c>
      <c r="EI180" s="1074"/>
      <c r="EL180" s="1130">
        <f>VLOOKUP($A180,'New Resources - Individual'!$A$4:$Y$133,EL$2,FALSE)*EL$1</f>
        <v>0</v>
      </c>
      <c r="EM180" s="1117">
        <f>$G180+EL180</f>
        <v>0</v>
      </c>
      <c r="EN180" s="1118">
        <f>VLOOKUP($E180,EM$442:EP$453,2,FALSE)*EM180*($K180)+IF($G180&lt;&gt;0,($H180/$G180)*EM180,0)*(1-$K180)</f>
        <v>0</v>
      </c>
      <c r="EO180" s="1118">
        <f>VLOOKUP($E180,EM$442:EP$453,3,FALSE)*EM180*($K180)+IF($G180&lt;&gt;0,($I180/$G180)*EM180,0)*(1-$K180)</f>
        <v>0</v>
      </c>
      <c r="EP180" s="1118">
        <f>VLOOKUP($E180,EM$442:EP$453,4,FALSE)*EM180*($K180)+(EM180-EN180-EO180)*(1-$K180)</f>
        <v>0</v>
      </c>
      <c r="EQ180" s="1074"/>
      <c r="ET180" s="1130">
        <f>VLOOKUP($A180,'New Resources - Individual'!$A$4:$Y$133,ET$2,FALSE)*ET$1</f>
        <v>0</v>
      </c>
      <c r="EU180" s="1117">
        <f>$G180+ET180</f>
        <v>0</v>
      </c>
      <c r="EV180" s="1118">
        <f>VLOOKUP($E180,EU$442:EX$453,2,FALSE)*EU180*($K180)+IF($G180&lt;&gt;0,($H180/$G180)*EU180,0)*(1-$K180)</f>
        <v>0</v>
      </c>
      <c r="EW180" s="1118">
        <f>VLOOKUP($E180,EU$442:EX$453,3,FALSE)*EU180*($K180)+IF($G180&lt;&gt;0,($I180/$G180)*EU180,0)*(1-$K180)</f>
        <v>0</v>
      </c>
      <c r="EX180" s="1118">
        <f>VLOOKUP($E180,EU$442:EX$453,4,FALSE)*EU180*($K180)+(EU180-EV180-EW180)*(1-$K180)</f>
        <v>0</v>
      </c>
      <c r="EY180" s="1074"/>
      <c r="FB180" s="1130">
        <f>VLOOKUP($A180,'New Resources - Individual'!$A$4:$Y$133,FB$2,FALSE)*FB$1</f>
        <v>0</v>
      </c>
      <c r="FC180" s="1117">
        <f>$G180+FB180</f>
        <v>0</v>
      </c>
      <c r="FD180" s="1118">
        <f>VLOOKUP($E180,FC$442:FF$453,2,FALSE)*FC180*($K180)+IF($G180&lt;&gt;0,($H180/$G180)*FC180,0)*(1-$K180)</f>
        <v>0</v>
      </c>
      <c r="FE180" s="1118">
        <f>VLOOKUP($E180,FC$442:FF$453,3,FALSE)*FC180*($K180)+IF($G180&lt;&gt;0,($I180/$G180)*FC180,0)*(1-$K180)</f>
        <v>0</v>
      </c>
      <c r="FF180" s="1118">
        <f>VLOOKUP($E180,FC$442:FF$453,4,FALSE)*FC180*($K180)+(FC180-FD180-FE180)*(1-$K180)</f>
        <v>0</v>
      </c>
      <c r="FG180" s="1074"/>
      <c r="FJ180" s="1130">
        <f>VLOOKUP($A180,'New Resources - Individual'!$A$4:$Y$133,FJ$2,FALSE)*FJ$1</f>
        <v>0</v>
      </c>
      <c r="FK180" s="1117">
        <f>$G180+FJ180</f>
        <v>0</v>
      </c>
      <c r="FL180" s="1118">
        <f>VLOOKUP($E180,FK$442:FN$453,2,FALSE)*FK180*($K180)+IF($G180&lt;&gt;0,($H180/$G180)*FK180,0)*(1-$K180)</f>
        <v>0</v>
      </c>
      <c r="FM180" s="1118">
        <f>VLOOKUP($E180,FK$442:FN$453,3,FALSE)*FK180*($K180)+IF($G180&lt;&gt;0,($I180/$G180)*FK180,0)*(1-$K180)</f>
        <v>0</v>
      </c>
      <c r="FN180" s="1118">
        <f>VLOOKUP($E180,FK$442:FN$453,4,FALSE)*FK180*($K180)+(FK180-FL180-FM180)*(1-$K180)</f>
        <v>0</v>
      </c>
      <c r="FO180" s="1074"/>
    </row>
    <row r="181" spans="1:171" x14ac:dyDescent="0.25">
      <c r="A181" s="1390">
        <v>300</v>
      </c>
      <c r="B181" s="914" t="s">
        <v>264</v>
      </c>
      <c r="C181" s="889" t="s">
        <v>72</v>
      </c>
      <c r="D181" s="889" t="s">
        <v>453</v>
      </c>
      <c r="E181" s="182" t="str">
        <f>'Sch 3 - Expenses'!E21</f>
        <v>PROD</v>
      </c>
      <c r="F181" s="890"/>
      <c r="G181" s="182">
        <f>'Sch 3 - Expenses'!G21</f>
        <v>0</v>
      </c>
      <c r="H181" s="182">
        <f>'Sch 3 - Expenses'!H21</f>
        <v>0</v>
      </c>
      <c r="I181" s="182">
        <f>'Sch 3 - Expenses'!I21</f>
        <v>0</v>
      </c>
      <c r="J181" s="183">
        <f>'Sch 3 - Expenses'!J21</f>
        <v>0</v>
      </c>
      <c r="K181" s="904">
        <f t="shared" si="547"/>
        <v>1</v>
      </c>
      <c r="N181" s="1130">
        <f>VLOOKUP($A181,'New Resources - Individual'!$A$4:$Y$133,N$2,FALSE)*N$1</f>
        <v>0</v>
      </c>
      <c r="O181" s="1117">
        <f>$G181+N181</f>
        <v>0</v>
      </c>
      <c r="P181" s="1118">
        <f>VLOOKUP($E181,O$442:R$453,2,FALSE)*O181*($K181)+IF($G181&lt;&gt;0,($H181/$G181)*O181,0)*(1-$K181)</f>
        <v>0</v>
      </c>
      <c r="Q181" s="1118">
        <f>VLOOKUP($E181,O$442:R$453,3,FALSE)*O181*($K181)+IF($G181&lt;&gt;0,($I181/$G181)*O181,0)*(1-$K181)</f>
        <v>0</v>
      </c>
      <c r="R181" s="1118">
        <f>VLOOKUP($E181,O$442:R$453,4,FALSE)*O181*($K181)+(O181-P181-Q181)*(1-$K181)</f>
        <v>0</v>
      </c>
      <c r="S181" s="1074"/>
      <c r="V181" s="1130">
        <f>VLOOKUP($A181,'New Resources - Individual'!$A$4:$Y$133,V$2,FALSE)*V$1</f>
        <v>0</v>
      </c>
      <c r="W181" s="1117">
        <f>$G181+V181</f>
        <v>0</v>
      </c>
      <c r="X181" s="1118">
        <f>VLOOKUP($E181,W$442:Z$453,2,FALSE)*W181*($K181)+IF($G181&lt;&gt;0,($H181/$G181)*W181,0)*(1-$K181)</f>
        <v>0</v>
      </c>
      <c r="Y181" s="1118">
        <f>VLOOKUP($E181,W$442:Z$453,3,FALSE)*W181*($K181)+IF($G181&lt;&gt;0,($I181/$G181)*W181,0)*(1-$K181)</f>
        <v>0</v>
      </c>
      <c r="Z181" s="1118">
        <f>VLOOKUP($E181,W$442:Z$453,4,FALSE)*W181*($K181)+(W181-X181-Y181)*(1-$K181)</f>
        <v>0</v>
      </c>
      <c r="AA181" s="1074"/>
      <c r="AD181" s="1130">
        <f>VLOOKUP($A181,'New Resources - Individual'!$A$4:$Y$133,AD$2,FALSE)*AD$1</f>
        <v>0</v>
      </c>
      <c r="AE181" s="1117">
        <f>$G181+AD181</f>
        <v>0</v>
      </c>
      <c r="AF181" s="1118">
        <f>VLOOKUP($E181,AE$442:AH$453,2,FALSE)*AE181*($K181)+IF($G181&lt;&gt;0,($H181/$G181)*AE181,0)*(1-$K181)</f>
        <v>0</v>
      </c>
      <c r="AG181" s="1118">
        <f>VLOOKUP($E181,AE$442:AH$453,3,FALSE)*AE181*($K181)+IF($G181&lt;&gt;0,($I181/$G181)*AE181,0)*(1-$K181)</f>
        <v>0</v>
      </c>
      <c r="AH181" s="1118">
        <f>VLOOKUP($E181,AE$442:AH$453,4,FALSE)*AE181*($K181)+(AE181-AF181-AG181)*(1-$K181)</f>
        <v>0</v>
      </c>
      <c r="AI181" s="1074"/>
      <c r="AL181" s="1130">
        <f>VLOOKUP($A181,'New Resources - Individual'!$A$4:$Y$133,AL$2,FALSE)*AL$1</f>
        <v>0</v>
      </c>
      <c r="AM181" s="1117">
        <f>$G181+AL181</f>
        <v>0</v>
      </c>
      <c r="AN181" s="1118">
        <f>VLOOKUP($E181,AM$442:AP$453,2,FALSE)*AM181*($K181)+IF($G181&lt;&gt;0,($H181/$G181)*AM181,0)*(1-$K181)</f>
        <v>0</v>
      </c>
      <c r="AO181" s="1118">
        <f>VLOOKUP($E181,AM$442:AP$453,3,FALSE)*AM181*($K181)+IF($G181&lt;&gt;0,($I181/$G181)*AM181,0)*(1-$K181)</f>
        <v>0</v>
      </c>
      <c r="AP181" s="1118">
        <f>VLOOKUP($E181,AM$442:AP$453,4,FALSE)*AM181*($K181)+(AM181-AN181-AO181)*(1-$K181)</f>
        <v>0</v>
      </c>
      <c r="AQ181" s="1074"/>
      <c r="AT181" s="1130">
        <f>VLOOKUP($A181,'New Resources - Individual'!$A$4:$Y$133,AT$2,FALSE)*AT$1</f>
        <v>0</v>
      </c>
      <c r="AU181" s="1117">
        <f>$G181+AT181</f>
        <v>0</v>
      </c>
      <c r="AV181" s="1118">
        <f>VLOOKUP($E181,AU$442:AX$453,2,FALSE)*AU181*($K181)+IF($G181&lt;&gt;0,($H181/$G181)*AU181,0)*(1-$K181)</f>
        <v>0</v>
      </c>
      <c r="AW181" s="1118">
        <f>VLOOKUP($E181,AU$442:AX$453,3,FALSE)*AU181*($K181)+IF($G181&lt;&gt;0,($I181/$G181)*AU181,0)*(1-$K181)</f>
        <v>0</v>
      </c>
      <c r="AX181" s="1118">
        <f>VLOOKUP($E181,AU$442:AX$453,4,FALSE)*AU181*($K181)+(AU181-AV181-AW181)*(1-$K181)</f>
        <v>0</v>
      </c>
      <c r="AY181" s="1074"/>
      <c r="BB181" s="1130">
        <f>VLOOKUP($A181,'New Resources - Individual'!$A$4:$Y$133,BB$2,FALSE)*BB$1</f>
        <v>0</v>
      </c>
      <c r="BC181" s="1117">
        <f>$G181+BB181</f>
        <v>0</v>
      </c>
      <c r="BD181" s="1118">
        <f>VLOOKUP($E181,BC$442:BF$453,2,FALSE)*BC181*($K181)+IF($G181&lt;&gt;0,($H181/$G181)*BC181,0)*(1-$K181)</f>
        <v>0</v>
      </c>
      <c r="BE181" s="1118">
        <f>VLOOKUP($E181,BC$442:BF$453,3,FALSE)*BC181*($K181)+IF($G181&lt;&gt;0,($I181/$G181)*BC181,0)*(1-$K181)</f>
        <v>0</v>
      </c>
      <c r="BF181" s="1118">
        <f>VLOOKUP($E181,BC$442:BF$453,4,FALSE)*BC181*($K181)+(BC181-BD181-BE181)*(1-$K181)</f>
        <v>0</v>
      </c>
      <c r="BG181" s="1074"/>
      <c r="BJ181" s="1130">
        <f>VLOOKUP($A181,'New Resources - Individual'!$A$4:$Y$133,BJ$2,FALSE)*BJ$1</f>
        <v>0</v>
      </c>
      <c r="BK181" s="1117">
        <f>$G181+BJ181</f>
        <v>0</v>
      </c>
      <c r="BL181" s="1118">
        <f>VLOOKUP($E181,BK$442:BN$453,2,FALSE)*BK181*($K181)+IF($G181&lt;&gt;0,($H181/$G181)*BK181,0)*(1-$K181)</f>
        <v>0</v>
      </c>
      <c r="BM181" s="1118">
        <f>VLOOKUP($E181,BK$442:BN$453,3,FALSE)*BK181*($K181)+IF($G181&lt;&gt;0,($I181/$G181)*BK181,0)*(1-$K181)</f>
        <v>0</v>
      </c>
      <c r="BN181" s="1118">
        <f>VLOOKUP($E181,BK$442:BN$453,4,FALSE)*BK181*($K181)+(BK181-BL181-BM181)*(1-$K181)</f>
        <v>0</v>
      </c>
      <c r="BO181" s="1074"/>
      <c r="BR181" s="1130">
        <f>VLOOKUP($A181,'New Resources - Individual'!$A$4:$Y$133,BR$2,FALSE)*BR$1</f>
        <v>0</v>
      </c>
      <c r="BS181" s="1117">
        <f>$G181+BR181</f>
        <v>0</v>
      </c>
      <c r="BT181" s="1118">
        <f>VLOOKUP($E181,BS$442:BV$453,2,FALSE)*BS181*($K181)+IF($G181&lt;&gt;0,($H181/$G181)*BS181,0)*(1-$K181)</f>
        <v>0</v>
      </c>
      <c r="BU181" s="1118">
        <f>VLOOKUP($E181,BS$442:BV$453,3,FALSE)*BS181*($K181)+IF($G181&lt;&gt;0,($I181/$G181)*BS181,0)*(1-$K181)</f>
        <v>0</v>
      </c>
      <c r="BV181" s="1118">
        <f>VLOOKUP($E181,BS$442:BV$453,4,FALSE)*BS181*($K181)+(BS181-BT181-BU181)*(1-$K181)</f>
        <v>0</v>
      </c>
      <c r="BW181" s="1074"/>
      <c r="BZ181" s="1130">
        <f>VLOOKUP($A181,'New Resources - Individual'!$A$4:$Y$133,BZ$2,FALSE)*BZ$1</f>
        <v>0</v>
      </c>
      <c r="CA181" s="1117">
        <f>$G181+BZ181</f>
        <v>0</v>
      </c>
      <c r="CB181" s="1118">
        <f>VLOOKUP($E181,CA$442:CD$453,2,FALSE)*CA181*($K181)+IF($G181&lt;&gt;0,($H181/$G181)*CA181,0)*(1-$K181)</f>
        <v>0</v>
      </c>
      <c r="CC181" s="1118">
        <f>VLOOKUP($E181,CA$442:CD$453,3,FALSE)*CA181*($K181)+IF($G181&lt;&gt;0,($I181/$G181)*CA181,0)*(1-$K181)</f>
        <v>0</v>
      </c>
      <c r="CD181" s="1118">
        <f>VLOOKUP($E181,CA$442:CD$453,4,FALSE)*CA181*($K181)+(CA181-CB181-CC181)*(1-$K181)</f>
        <v>0</v>
      </c>
      <c r="CE181" s="1074"/>
      <c r="CH181" s="1130">
        <f>VLOOKUP($A181,'New Resources - Individual'!$A$4:$Y$133,CH$2,FALSE)*CH$1</f>
        <v>0</v>
      </c>
      <c r="CI181" s="1117">
        <f>$G181+CH181</f>
        <v>0</v>
      </c>
      <c r="CJ181" s="1118">
        <f>VLOOKUP($E181,CI$442:CL$453,2,FALSE)*CI181*($K181)+IF($G181&lt;&gt;0,($H181/$G181)*CI181,0)*(1-$K181)</f>
        <v>0</v>
      </c>
      <c r="CK181" s="1118">
        <f>VLOOKUP($E181,CI$442:CL$453,3,FALSE)*CI181*($K181)+IF($G181&lt;&gt;0,($I181/$G181)*CI181,0)*(1-$K181)</f>
        <v>0</v>
      </c>
      <c r="CL181" s="1118">
        <f>VLOOKUP($E181,CI$442:CL$453,4,FALSE)*CI181*($K181)+(CI181-CJ181-CK181)*(1-$K181)</f>
        <v>0</v>
      </c>
      <c r="CM181" s="1074"/>
      <c r="CP181" s="1130">
        <f>VLOOKUP($A181,'New Resources - Individual'!$A$4:$Y$133,CP$2,FALSE)*CP$1</f>
        <v>0</v>
      </c>
      <c r="CQ181" s="1117">
        <f>$G181+CP181</f>
        <v>0</v>
      </c>
      <c r="CR181" s="1118">
        <f>VLOOKUP($E181,CQ$442:CT$453,2,FALSE)*CQ181*($K181)+IF($G181&lt;&gt;0,($H181/$G181)*CQ181,0)*(1-$K181)</f>
        <v>0</v>
      </c>
      <c r="CS181" s="1118">
        <f>VLOOKUP($E181,CQ$442:CT$453,3,FALSE)*CQ181*($K181)+IF($G181&lt;&gt;0,($I181/$G181)*CQ181,0)*(1-$K181)</f>
        <v>0</v>
      </c>
      <c r="CT181" s="1118">
        <f>VLOOKUP($E181,CQ$442:CT$453,4,FALSE)*CQ181*($K181)+(CQ181-CR181-CS181)*(1-$K181)</f>
        <v>0</v>
      </c>
      <c r="CU181" s="1074"/>
      <c r="CX181" s="1130">
        <f>VLOOKUP($A181,'New Resources - Individual'!$A$4:$Y$133,CX$2,FALSE)*CX$1</f>
        <v>0</v>
      </c>
      <c r="CY181" s="1117">
        <f>$G181+CX181</f>
        <v>0</v>
      </c>
      <c r="CZ181" s="1118">
        <f>VLOOKUP($E181,CY$442:DB$453,2,FALSE)*CY181*($K181)+IF($G181&lt;&gt;0,($H181/$G181)*CY181,0)*(1-$K181)</f>
        <v>0</v>
      </c>
      <c r="DA181" s="1118">
        <f>VLOOKUP($E181,CY$442:DB$453,3,FALSE)*CY181*($K181)+IF($G181&lt;&gt;0,($I181/$G181)*CY181,0)*(1-$K181)</f>
        <v>0</v>
      </c>
      <c r="DB181" s="1118">
        <f>VLOOKUP($E181,CY$442:DB$453,4,FALSE)*CY181*($K181)+(CY181-CZ181-DA181)*(1-$K181)</f>
        <v>0</v>
      </c>
      <c r="DC181" s="1074"/>
      <c r="DF181" s="1130">
        <f>VLOOKUP($A181,'New Resources - Individual'!$A$4:$Y$133,DF$2,FALSE)*DF$1</f>
        <v>0</v>
      </c>
      <c r="DG181" s="1117">
        <f>$G181+DF181</f>
        <v>0</v>
      </c>
      <c r="DH181" s="1118">
        <f>VLOOKUP($E181,DG$442:DJ$453,2,FALSE)*DG181*($K181)+IF($G181&lt;&gt;0,($H181/$G181)*DG181,0)*(1-$K181)</f>
        <v>0</v>
      </c>
      <c r="DI181" s="1118">
        <f>VLOOKUP($E181,DG$442:DJ$453,3,FALSE)*DG181*($K181)+IF($G181&lt;&gt;0,($I181/$G181)*DG181,0)*(1-$K181)</f>
        <v>0</v>
      </c>
      <c r="DJ181" s="1118">
        <f>VLOOKUP($E181,DG$442:DJ$453,4,FALSE)*DG181*($K181)+(DG181-DH181-DI181)*(1-$K181)</f>
        <v>0</v>
      </c>
      <c r="DK181" s="1074"/>
      <c r="DN181" s="1130">
        <f>VLOOKUP($A181,'New Resources - Individual'!$A$4:$Y$133,DN$2,FALSE)*DN$1</f>
        <v>0</v>
      </c>
      <c r="DO181" s="1117">
        <f>$G181+DN181</f>
        <v>0</v>
      </c>
      <c r="DP181" s="1118">
        <f>VLOOKUP($E181,DO$442:DR$453,2,FALSE)*DO181*($K181)+IF($G181&lt;&gt;0,($H181/$G181)*DO181,0)*(1-$K181)</f>
        <v>0</v>
      </c>
      <c r="DQ181" s="1118">
        <f>VLOOKUP($E181,DO$442:DR$453,3,FALSE)*DO181*($K181)+IF($G181&lt;&gt;0,($I181/$G181)*DO181,0)*(1-$K181)</f>
        <v>0</v>
      </c>
      <c r="DR181" s="1118">
        <f>VLOOKUP($E181,DO$442:DR$453,4,FALSE)*DO181*($K181)+(DO181-DP181-DQ181)*(1-$K181)</f>
        <v>0</v>
      </c>
      <c r="DS181" s="1074"/>
      <c r="DV181" s="1130">
        <f>VLOOKUP($A181,'New Resources - Individual'!$A$4:$Y$133,DV$2,FALSE)*DV$1</f>
        <v>0</v>
      </c>
      <c r="DW181" s="1117">
        <f>$G181+DV181</f>
        <v>0</v>
      </c>
      <c r="DX181" s="1118">
        <f>VLOOKUP($E181,DW$442:DZ$453,2,FALSE)*DW181*($K181)+IF($G181&lt;&gt;0,($H181/$G181)*DW181,0)*(1-$K181)</f>
        <v>0</v>
      </c>
      <c r="DY181" s="1118">
        <f>VLOOKUP($E181,DW$442:DZ$453,3,FALSE)*DW181*($K181)+IF($G181&lt;&gt;0,($I181/$G181)*DW181,0)*(1-$K181)</f>
        <v>0</v>
      </c>
      <c r="DZ181" s="1118">
        <f>VLOOKUP($E181,DW$442:DZ$453,4,FALSE)*DW181*($K181)+(DW181-DX181-DY181)*(1-$K181)</f>
        <v>0</v>
      </c>
      <c r="EA181" s="1074"/>
      <c r="ED181" s="1130">
        <f>VLOOKUP($A181,'New Resources - Individual'!$A$4:$Y$133,ED$2,FALSE)*ED$1</f>
        <v>0</v>
      </c>
      <c r="EE181" s="1117">
        <f>$G181+ED181</f>
        <v>0</v>
      </c>
      <c r="EF181" s="1118">
        <f>VLOOKUP($E181,EE$442:EH$453,2,FALSE)*EE181*($K181)+IF($G181&lt;&gt;0,($H181/$G181)*EE181,0)*(1-$K181)</f>
        <v>0</v>
      </c>
      <c r="EG181" s="1118">
        <f>VLOOKUP($E181,EE$442:EH$453,3,FALSE)*EE181*($K181)+IF($G181&lt;&gt;0,($I181/$G181)*EE181,0)*(1-$K181)</f>
        <v>0</v>
      </c>
      <c r="EH181" s="1118">
        <f>VLOOKUP($E181,EE$442:EH$453,4,FALSE)*EE181*($K181)+(EE181-EF181-EG181)*(1-$K181)</f>
        <v>0</v>
      </c>
      <c r="EI181" s="1074"/>
      <c r="EL181" s="1130">
        <f>VLOOKUP($A181,'New Resources - Individual'!$A$4:$Y$133,EL$2,FALSE)*EL$1</f>
        <v>0</v>
      </c>
      <c r="EM181" s="1117">
        <f>$G181+EL181</f>
        <v>0</v>
      </c>
      <c r="EN181" s="1118">
        <f>VLOOKUP($E181,EM$442:EP$453,2,FALSE)*EM181*($K181)+IF($G181&lt;&gt;0,($H181/$G181)*EM181,0)*(1-$K181)</f>
        <v>0</v>
      </c>
      <c r="EO181" s="1118">
        <f>VLOOKUP($E181,EM$442:EP$453,3,FALSE)*EM181*($K181)+IF($G181&lt;&gt;0,($I181/$G181)*EM181,0)*(1-$K181)</f>
        <v>0</v>
      </c>
      <c r="EP181" s="1118">
        <f>VLOOKUP($E181,EM$442:EP$453,4,FALSE)*EM181*($K181)+(EM181-EN181-EO181)*(1-$K181)</f>
        <v>0</v>
      </c>
      <c r="EQ181" s="1074"/>
      <c r="ET181" s="1130">
        <f>VLOOKUP($A181,'New Resources - Individual'!$A$4:$Y$133,ET$2,FALSE)*ET$1</f>
        <v>0</v>
      </c>
      <c r="EU181" s="1117">
        <f>$G181+ET181</f>
        <v>0</v>
      </c>
      <c r="EV181" s="1118">
        <f>VLOOKUP($E181,EU$442:EX$453,2,FALSE)*EU181*($K181)+IF($G181&lt;&gt;0,($H181/$G181)*EU181,0)*(1-$K181)</f>
        <v>0</v>
      </c>
      <c r="EW181" s="1118">
        <f>VLOOKUP($E181,EU$442:EX$453,3,FALSE)*EU181*($K181)+IF($G181&lt;&gt;0,($I181/$G181)*EU181,0)*(1-$K181)</f>
        <v>0</v>
      </c>
      <c r="EX181" s="1118">
        <f>VLOOKUP($E181,EU$442:EX$453,4,FALSE)*EU181*($K181)+(EU181-EV181-EW181)*(1-$K181)</f>
        <v>0</v>
      </c>
      <c r="EY181" s="1074"/>
      <c r="FB181" s="1130">
        <f>VLOOKUP($A181,'New Resources - Individual'!$A$4:$Y$133,FB$2,FALSE)*FB$1</f>
        <v>0</v>
      </c>
      <c r="FC181" s="1117">
        <f>$G181+FB181</f>
        <v>0</v>
      </c>
      <c r="FD181" s="1118">
        <f>VLOOKUP($E181,FC$442:FF$453,2,FALSE)*FC181*($K181)+IF($G181&lt;&gt;0,($H181/$G181)*FC181,0)*(1-$K181)</f>
        <v>0</v>
      </c>
      <c r="FE181" s="1118">
        <f>VLOOKUP($E181,FC$442:FF$453,3,FALSE)*FC181*($K181)+IF($G181&lt;&gt;0,($I181/$G181)*FC181,0)*(1-$K181)</f>
        <v>0</v>
      </c>
      <c r="FF181" s="1118">
        <f>VLOOKUP($E181,FC$442:FF$453,4,FALSE)*FC181*($K181)+(FC181-FD181-FE181)*(1-$K181)</f>
        <v>0</v>
      </c>
      <c r="FG181" s="1074"/>
      <c r="FJ181" s="1130">
        <f>VLOOKUP($A181,'New Resources - Individual'!$A$4:$Y$133,FJ$2,FALSE)*FJ$1</f>
        <v>0</v>
      </c>
      <c r="FK181" s="1117">
        <f>$G181+FJ181</f>
        <v>0</v>
      </c>
      <c r="FL181" s="1118">
        <f>VLOOKUP($E181,FK$442:FN$453,2,FALSE)*FK181*($K181)+IF($G181&lt;&gt;0,($H181/$G181)*FK181,0)*(1-$K181)</f>
        <v>0</v>
      </c>
      <c r="FM181" s="1118">
        <f>VLOOKUP($E181,FK$442:FN$453,3,FALSE)*FK181*($K181)+IF($G181&lt;&gt;0,($I181/$G181)*FK181,0)*(1-$K181)</f>
        <v>0</v>
      </c>
      <c r="FN181" s="1118">
        <f>VLOOKUP($E181,FK$442:FN$453,4,FALSE)*FK181*($K181)+(FK181-FL181-FM181)*(1-$K181)</f>
        <v>0</v>
      </c>
      <c r="FO181" s="1074"/>
    </row>
    <row r="182" spans="1:171" x14ac:dyDescent="0.25">
      <c r="A182" s="1390">
        <v>310</v>
      </c>
      <c r="B182" s="10" t="s">
        <v>479</v>
      </c>
      <c r="C182" s="889" t="s">
        <v>72</v>
      </c>
      <c r="D182" s="889" t="s">
        <v>480</v>
      </c>
      <c r="E182" s="182" t="str">
        <f>'Sch 3 - Expenses'!E22</f>
        <v>PROD</v>
      </c>
      <c r="F182" s="890"/>
      <c r="G182" s="182">
        <f>'Sch 3 - Expenses'!G22</f>
        <v>0</v>
      </c>
      <c r="H182" s="182">
        <f>'Sch 3 - Expenses'!H22</f>
        <v>0</v>
      </c>
      <c r="I182" s="182">
        <f>'Sch 3 - Expenses'!I22</f>
        <v>0</v>
      </c>
      <c r="J182" s="183">
        <f>'Sch 3 - Expenses'!J22</f>
        <v>0</v>
      </c>
      <c r="K182" s="904">
        <f t="shared" si="547"/>
        <v>1</v>
      </c>
      <c r="N182" s="1130">
        <f>VLOOKUP($A182,'New Resources - Individual'!$A$4:$Y$133,N$2,FALSE)*N$1</f>
        <v>0</v>
      </c>
      <c r="O182" s="1117">
        <f>$G182+N182</f>
        <v>0</v>
      </c>
      <c r="P182" s="1118">
        <f>VLOOKUP($E182,O$442:R$453,2,FALSE)*O182*($K182)+IF($G182&lt;&gt;0,($H182/$G182)*O182,0)*(1-$K182)</f>
        <v>0</v>
      </c>
      <c r="Q182" s="1118">
        <f>VLOOKUP($E182,O$442:R$453,3,FALSE)*O182*($K182)+IF($G182&lt;&gt;0,($I182/$G182)*O182,0)*(1-$K182)</f>
        <v>0</v>
      </c>
      <c r="R182" s="1118">
        <f>VLOOKUP($E182,O$442:R$453,4,FALSE)*O182*($K182)+(O182-P182-Q182)*(1-$K182)</f>
        <v>0</v>
      </c>
      <c r="S182" s="1074"/>
      <c r="V182" s="1130">
        <f>VLOOKUP($A182,'New Resources - Individual'!$A$4:$Y$133,V$2,FALSE)*V$1</f>
        <v>0</v>
      </c>
      <c r="W182" s="1117">
        <f>$G182+V182</f>
        <v>0</v>
      </c>
      <c r="X182" s="1118">
        <f>VLOOKUP($E182,W$442:Z$453,2,FALSE)*W182*($K182)+IF($G182&lt;&gt;0,($H182/$G182)*W182,0)*(1-$K182)</f>
        <v>0</v>
      </c>
      <c r="Y182" s="1118">
        <f>VLOOKUP($E182,W$442:Z$453,3,FALSE)*W182*($K182)+IF($G182&lt;&gt;0,($I182/$G182)*W182,0)*(1-$K182)</f>
        <v>0</v>
      </c>
      <c r="Z182" s="1118">
        <f>VLOOKUP($E182,W$442:Z$453,4,FALSE)*W182*($K182)+(W182-X182-Y182)*(1-$K182)</f>
        <v>0</v>
      </c>
      <c r="AA182" s="1074"/>
      <c r="AD182" s="1130">
        <f>VLOOKUP($A182,'New Resources - Individual'!$A$4:$Y$133,AD$2,FALSE)*AD$1</f>
        <v>0</v>
      </c>
      <c r="AE182" s="1117">
        <f>$G182+AD182</f>
        <v>0</v>
      </c>
      <c r="AF182" s="1118">
        <f>VLOOKUP($E182,AE$442:AH$453,2,FALSE)*AE182*($K182)+IF($G182&lt;&gt;0,($H182/$G182)*AE182,0)*(1-$K182)</f>
        <v>0</v>
      </c>
      <c r="AG182" s="1118">
        <f>VLOOKUP($E182,AE$442:AH$453,3,FALSE)*AE182*($K182)+IF($G182&lt;&gt;0,($I182/$G182)*AE182,0)*(1-$K182)</f>
        <v>0</v>
      </c>
      <c r="AH182" s="1118">
        <f>VLOOKUP($E182,AE$442:AH$453,4,FALSE)*AE182*($K182)+(AE182-AF182-AG182)*(1-$K182)</f>
        <v>0</v>
      </c>
      <c r="AI182" s="1074"/>
      <c r="AL182" s="1130">
        <f>VLOOKUP($A182,'New Resources - Individual'!$A$4:$Y$133,AL$2,FALSE)*AL$1</f>
        <v>0</v>
      </c>
      <c r="AM182" s="1117">
        <f>$G182+AL182</f>
        <v>0</v>
      </c>
      <c r="AN182" s="1118">
        <f>VLOOKUP($E182,AM$442:AP$453,2,FALSE)*AM182*($K182)+IF($G182&lt;&gt;0,($H182/$G182)*AM182,0)*(1-$K182)</f>
        <v>0</v>
      </c>
      <c r="AO182" s="1118">
        <f>VLOOKUP($E182,AM$442:AP$453,3,FALSE)*AM182*($K182)+IF($G182&lt;&gt;0,($I182/$G182)*AM182,0)*(1-$K182)</f>
        <v>0</v>
      </c>
      <c r="AP182" s="1118">
        <f>VLOOKUP($E182,AM$442:AP$453,4,FALSE)*AM182*($K182)+(AM182-AN182-AO182)*(1-$K182)</f>
        <v>0</v>
      </c>
      <c r="AQ182" s="1074"/>
      <c r="AT182" s="1130">
        <f>VLOOKUP($A182,'New Resources - Individual'!$A$4:$Y$133,AT$2,FALSE)*AT$1</f>
        <v>0</v>
      </c>
      <c r="AU182" s="1117">
        <f>$G182+AT182</f>
        <v>0</v>
      </c>
      <c r="AV182" s="1118">
        <f>VLOOKUP($E182,AU$442:AX$453,2,FALSE)*AU182*($K182)+IF($G182&lt;&gt;0,($H182/$G182)*AU182,0)*(1-$K182)</f>
        <v>0</v>
      </c>
      <c r="AW182" s="1118">
        <f>VLOOKUP($E182,AU$442:AX$453,3,FALSE)*AU182*($K182)+IF($G182&lt;&gt;0,($I182/$G182)*AU182,0)*(1-$K182)</f>
        <v>0</v>
      </c>
      <c r="AX182" s="1118">
        <f>VLOOKUP($E182,AU$442:AX$453,4,FALSE)*AU182*($K182)+(AU182-AV182-AW182)*(1-$K182)</f>
        <v>0</v>
      </c>
      <c r="AY182" s="1074"/>
      <c r="BB182" s="1130">
        <f>VLOOKUP($A182,'New Resources - Individual'!$A$4:$Y$133,BB$2,FALSE)*BB$1</f>
        <v>0</v>
      </c>
      <c r="BC182" s="1117">
        <f>$G182+BB182</f>
        <v>0</v>
      </c>
      <c r="BD182" s="1118">
        <f>VLOOKUP($E182,BC$442:BF$453,2,FALSE)*BC182*($K182)+IF($G182&lt;&gt;0,($H182/$G182)*BC182,0)*(1-$K182)</f>
        <v>0</v>
      </c>
      <c r="BE182" s="1118">
        <f>VLOOKUP($E182,BC$442:BF$453,3,FALSE)*BC182*($K182)+IF($G182&lt;&gt;0,($I182/$G182)*BC182,0)*(1-$K182)</f>
        <v>0</v>
      </c>
      <c r="BF182" s="1118">
        <f>VLOOKUP($E182,BC$442:BF$453,4,FALSE)*BC182*($K182)+(BC182-BD182-BE182)*(1-$K182)</f>
        <v>0</v>
      </c>
      <c r="BG182" s="1074"/>
      <c r="BJ182" s="1130">
        <f>VLOOKUP($A182,'New Resources - Individual'!$A$4:$Y$133,BJ$2,FALSE)*BJ$1</f>
        <v>0</v>
      </c>
      <c r="BK182" s="1117">
        <f>$G182+BJ182</f>
        <v>0</v>
      </c>
      <c r="BL182" s="1118">
        <f>VLOOKUP($E182,BK$442:BN$453,2,FALSE)*BK182*($K182)+IF($G182&lt;&gt;0,($H182/$G182)*BK182,0)*(1-$K182)</f>
        <v>0</v>
      </c>
      <c r="BM182" s="1118">
        <f>VLOOKUP($E182,BK$442:BN$453,3,FALSE)*BK182*($K182)+IF($G182&lt;&gt;0,($I182/$G182)*BK182,0)*(1-$K182)</f>
        <v>0</v>
      </c>
      <c r="BN182" s="1118">
        <f>VLOOKUP($E182,BK$442:BN$453,4,FALSE)*BK182*($K182)+(BK182-BL182-BM182)*(1-$K182)</f>
        <v>0</v>
      </c>
      <c r="BO182" s="1074"/>
      <c r="BR182" s="1130">
        <f>VLOOKUP($A182,'New Resources - Individual'!$A$4:$Y$133,BR$2,FALSE)*BR$1</f>
        <v>0</v>
      </c>
      <c r="BS182" s="1117">
        <f>$G182+BR182</f>
        <v>0</v>
      </c>
      <c r="BT182" s="1118">
        <f>VLOOKUP($E182,BS$442:BV$453,2,FALSE)*BS182*($K182)+IF($G182&lt;&gt;0,($H182/$G182)*BS182,0)*(1-$K182)</f>
        <v>0</v>
      </c>
      <c r="BU182" s="1118">
        <f>VLOOKUP($E182,BS$442:BV$453,3,FALSE)*BS182*($K182)+IF($G182&lt;&gt;0,($I182/$G182)*BS182,0)*(1-$K182)</f>
        <v>0</v>
      </c>
      <c r="BV182" s="1118">
        <f>VLOOKUP($E182,BS$442:BV$453,4,FALSE)*BS182*($K182)+(BS182-BT182-BU182)*(1-$K182)</f>
        <v>0</v>
      </c>
      <c r="BW182" s="1074"/>
      <c r="BZ182" s="1130">
        <f>VLOOKUP($A182,'New Resources - Individual'!$A$4:$Y$133,BZ$2,FALSE)*BZ$1</f>
        <v>0</v>
      </c>
      <c r="CA182" s="1117">
        <f>$G182+BZ182</f>
        <v>0</v>
      </c>
      <c r="CB182" s="1118">
        <f>VLOOKUP($E182,CA$442:CD$453,2,FALSE)*CA182*($K182)+IF($G182&lt;&gt;0,($H182/$G182)*CA182,0)*(1-$K182)</f>
        <v>0</v>
      </c>
      <c r="CC182" s="1118">
        <f>VLOOKUP($E182,CA$442:CD$453,3,FALSE)*CA182*($K182)+IF($G182&lt;&gt;0,($I182/$G182)*CA182,0)*(1-$K182)</f>
        <v>0</v>
      </c>
      <c r="CD182" s="1118">
        <f>VLOOKUP($E182,CA$442:CD$453,4,FALSE)*CA182*($K182)+(CA182-CB182-CC182)*(1-$K182)</f>
        <v>0</v>
      </c>
      <c r="CE182" s="1074"/>
      <c r="CH182" s="1130">
        <f>VLOOKUP($A182,'New Resources - Individual'!$A$4:$Y$133,CH$2,FALSE)*CH$1</f>
        <v>0</v>
      </c>
      <c r="CI182" s="1117">
        <f>$G182+CH182</f>
        <v>0</v>
      </c>
      <c r="CJ182" s="1118">
        <f>VLOOKUP($E182,CI$442:CL$453,2,FALSE)*CI182*($K182)+IF($G182&lt;&gt;0,($H182/$G182)*CI182,0)*(1-$K182)</f>
        <v>0</v>
      </c>
      <c r="CK182" s="1118">
        <f>VLOOKUP($E182,CI$442:CL$453,3,FALSE)*CI182*($K182)+IF($G182&lt;&gt;0,($I182/$G182)*CI182,0)*(1-$K182)</f>
        <v>0</v>
      </c>
      <c r="CL182" s="1118">
        <f>VLOOKUP($E182,CI$442:CL$453,4,FALSE)*CI182*($K182)+(CI182-CJ182-CK182)*(1-$K182)</f>
        <v>0</v>
      </c>
      <c r="CM182" s="1074"/>
      <c r="CP182" s="1130">
        <f>VLOOKUP($A182,'New Resources - Individual'!$A$4:$Y$133,CP$2,FALSE)*CP$1</f>
        <v>0</v>
      </c>
      <c r="CQ182" s="1117">
        <f>$G182+CP182</f>
        <v>0</v>
      </c>
      <c r="CR182" s="1118">
        <f>VLOOKUP($E182,CQ$442:CT$453,2,FALSE)*CQ182*($K182)+IF($G182&lt;&gt;0,($H182/$G182)*CQ182,0)*(1-$K182)</f>
        <v>0</v>
      </c>
      <c r="CS182" s="1118">
        <f>VLOOKUP($E182,CQ$442:CT$453,3,FALSE)*CQ182*($K182)+IF($G182&lt;&gt;0,($I182/$G182)*CQ182,0)*(1-$K182)</f>
        <v>0</v>
      </c>
      <c r="CT182" s="1118">
        <f>VLOOKUP($E182,CQ$442:CT$453,4,FALSE)*CQ182*($K182)+(CQ182-CR182-CS182)*(1-$K182)</f>
        <v>0</v>
      </c>
      <c r="CU182" s="1074"/>
      <c r="CX182" s="1130">
        <f>VLOOKUP($A182,'New Resources - Individual'!$A$4:$Y$133,CX$2,FALSE)*CX$1</f>
        <v>0</v>
      </c>
      <c r="CY182" s="1117">
        <f>$G182+CX182</f>
        <v>0</v>
      </c>
      <c r="CZ182" s="1118">
        <f>VLOOKUP($E182,CY$442:DB$453,2,FALSE)*CY182*($K182)+IF($G182&lt;&gt;0,($H182/$G182)*CY182,0)*(1-$K182)</f>
        <v>0</v>
      </c>
      <c r="DA182" s="1118">
        <f>VLOOKUP($E182,CY$442:DB$453,3,FALSE)*CY182*($K182)+IF($G182&lt;&gt;0,($I182/$G182)*CY182,0)*(1-$K182)</f>
        <v>0</v>
      </c>
      <c r="DB182" s="1118">
        <f>VLOOKUP($E182,CY$442:DB$453,4,FALSE)*CY182*($K182)+(CY182-CZ182-DA182)*(1-$K182)</f>
        <v>0</v>
      </c>
      <c r="DC182" s="1074"/>
      <c r="DF182" s="1130">
        <f>VLOOKUP($A182,'New Resources - Individual'!$A$4:$Y$133,DF$2,FALSE)*DF$1</f>
        <v>0</v>
      </c>
      <c r="DG182" s="1117">
        <f>$G182+DF182</f>
        <v>0</v>
      </c>
      <c r="DH182" s="1118">
        <f>VLOOKUP($E182,DG$442:DJ$453,2,FALSE)*DG182*($K182)+IF($G182&lt;&gt;0,($H182/$G182)*DG182,0)*(1-$K182)</f>
        <v>0</v>
      </c>
      <c r="DI182" s="1118">
        <f>VLOOKUP($E182,DG$442:DJ$453,3,FALSE)*DG182*($K182)+IF($G182&lt;&gt;0,($I182/$G182)*DG182,0)*(1-$K182)</f>
        <v>0</v>
      </c>
      <c r="DJ182" s="1118">
        <f>VLOOKUP($E182,DG$442:DJ$453,4,FALSE)*DG182*($K182)+(DG182-DH182-DI182)*(1-$K182)</f>
        <v>0</v>
      </c>
      <c r="DK182" s="1074"/>
      <c r="DN182" s="1130">
        <f>VLOOKUP($A182,'New Resources - Individual'!$A$4:$Y$133,DN$2,FALSE)*DN$1</f>
        <v>0</v>
      </c>
      <c r="DO182" s="1117">
        <f>$G182+DN182</f>
        <v>0</v>
      </c>
      <c r="DP182" s="1118">
        <f>VLOOKUP($E182,DO$442:DR$453,2,FALSE)*DO182*($K182)+IF($G182&lt;&gt;0,($H182/$G182)*DO182,0)*(1-$K182)</f>
        <v>0</v>
      </c>
      <c r="DQ182" s="1118">
        <f>VLOOKUP($E182,DO$442:DR$453,3,FALSE)*DO182*($K182)+IF($G182&lt;&gt;0,($I182/$G182)*DO182,0)*(1-$K182)</f>
        <v>0</v>
      </c>
      <c r="DR182" s="1118">
        <f>VLOOKUP($E182,DO$442:DR$453,4,FALSE)*DO182*($K182)+(DO182-DP182-DQ182)*(1-$K182)</f>
        <v>0</v>
      </c>
      <c r="DS182" s="1074"/>
      <c r="DV182" s="1130">
        <f>VLOOKUP($A182,'New Resources - Individual'!$A$4:$Y$133,DV$2,FALSE)*DV$1</f>
        <v>0</v>
      </c>
      <c r="DW182" s="1117">
        <f>$G182+DV182</f>
        <v>0</v>
      </c>
      <c r="DX182" s="1118">
        <f>VLOOKUP($E182,DW$442:DZ$453,2,FALSE)*DW182*($K182)+IF($G182&lt;&gt;0,($H182/$G182)*DW182,0)*(1-$K182)</f>
        <v>0</v>
      </c>
      <c r="DY182" s="1118">
        <f>VLOOKUP($E182,DW$442:DZ$453,3,FALSE)*DW182*($K182)+IF($G182&lt;&gt;0,($I182/$G182)*DW182,0)*(1-$K182)</f>
        <v>0</v>
      </c>
      <c r="DZ182" s="1118">
        <f>VLOOKUP($E182,DW$442:DZ$453,4,FALSE)*DW182*($K182)+(DW182-DX182-DY182)*(1-$K182)</f>
        <v>0</v>
      </c>
      <c r="EA182" s="1074"/>
      <c r="ED182" s="1130">
        <f>VLOOKUP($A182,'New Resources - Individual'!$A$4:$Y$133,ED$2,FALSE)*ED$1</f>
        <v>0</v>
      </c>
      <c r="EE182" s="1117">
        <f>$G182+ED182</f>
        <v>0</v>
      </c>
      <c r="EF182" s="1118">
        <f>VLOOKUP($E182,EE$442:EH$453,2,FALSE)*EE182*($K182)+IF($G182&lt;&gt;0,($H182/$G182)*EE182,0)*(1-$K182)</f>
        <v>0</v>
      </c>
      <c r="EG182" s="1118">
        <f>VLOOKUP($E182,EE$442:EH$453,3,FALSE)*EE182*($K182)+IF($G182&lt;&gt;0,($I182/$G182)*EE182,0)*(1-$K182)</f>
        <v>0</v>
      </c>
      <c r="EH182" s="1118">
        <f>VLOOKUP($E182,EE$442:EH$453,4,FALSE)*EE182*($K182)+(EE182-EF182-EG182)*(1-$K182)</f>
        <v>0</v>
      </c>
      <c r="EI182" s="1074"/>
      <c r="EL182" s="1130">
        <f>VLOOKUP($A182,'New Resources - Individual'!$A$4:$Y$133,EL$2,FALSE)*EL$1</f>
        <v>0</v>
      </c>
      <c r="EM182" s="1117">
        <f>$G182+EL182</f>
        <v>0</v>
      </c>
      <c r="EN182" s="1118">
        <f>VLOOKUP($E182,EM$442:EP$453,2,FALSE)*EM182*($K182)+IF($G182&lt;&gt;0,($H182/$G182)*EM182,0)*(1-$K182)</f>
        <v>0</v>
      </c>
      <c r="EO182" s="1118">
        <f>VLOOKUP($E182,EM$442:EP$453,3,FALSE)*EM182*($K182)+IF($G182&lt;&gt;0,($I182/$G182)*EM182,0)*(1-$K182)</f>
        <v>0</v>
      </c>
      <c r="EP182" s="1118">
        <f>VLOOKUP($E182,EM$442:EP$453,4,FALSE)*EM182*($K182)+(EM182-EN182-EO182)*(1-$K182)</f>
        <v>0</v>
      </c>
      <c r="EQ182" s="1074"/>
      <c r="ET182" s="1130">
        <f>VLOOKUP($A182,'New Resources - Individual'!$A$4:$Y$133,ET$2,FALSE)*ET$1</f>
        <v>0</v>
      </c>
      <c r="EU182" s="1117">
        <f>$G182+ET182</f>
        <v>0</v>
      </c>
      <c r="EV182" s="1118">
        <f>VLOOKUP($E182,EU$442:EX$453,2,FALSE)*EU182*($K182)+IF($G182&lt;&gt;0,($H182/$G182)*EU182,0)*(1-$K182)</f>
        <v>0</v>
      </c>
      <c r="EW182" s="1118">
        <f>VLOOKUP($E182,EU$442:EX$453,3,FALSE)*EU182*($K182)+IF($G182&lt;&gt;0,($I182/$G182)*EU182,0)*(1-$K182)</f>
        <v>0</v>
      </c>
      <c r="EX182" s="1118">
        <f>VLOOKUP($E182,EU$442:EX$453,4,FALSE)*EU182*($K182)+(EU182-EV182-EW182)*(1-$K182)</f>
        <v>0</v>
      </c>
      <c r="EY182" s="1074"/>
      <c r="FB182" s="1130">
        <f>VLOOKUP($A182,'New Resources - Individual'!$A$4:$Y$133,FB$2,FALSE)*FB$1</f>
        <v>0</v>
      </c>
      <c r="FC182" s="1117">
        <f>$G182+FB182</f>
        <v>0</v>
      </c>
      <c r="FD182" s="1118">
        <f>VLOOKUP($E182,FC$442:FF$453,2,FALSE)*FC182*($K182)+IF($G182&lt;&gt;0,($H182/$G182)*FC182,0)*(1-$K182)</f>
        <v>0</v>
      </c>
      <c r="FE182" s="1118">
        <f>VLOOKUP($E182,FC$442:FF$453,3,FALSE)*FC182*($K182)+IF($G182&lt;&gt;0,($I182/$G182)*FC182,0)*(1-$K182)</f>
        <v>0</v>
      </c>
      <c r="FF182" s="1118">
        <f>VLOOKUP($E182,FC$442:FF$453,4,FALSE)*FC182*($K182)+(FC182-FD182-FE182)*(1-$K182)</f>
        <v>0</v>
      </c>
      <c r="FG182" s="1074"/>
      <c r="FJ182" s="1130">
        <f>VLOOKUP($A182,'New Resources - Individual'!$A$4:$Y$133,FJ$2,FALSE)*FJ$1</f>
        <v>0</v>
      </c>
      <c r="FK182" s="1117">
        <f>$G182+FJ182</f>
        <v>0</v>
      </c>
      <c r="FL182" s="1118">
        <f>VLOOKUP($E182,FK$442:FN$453,2,FALSE)*FK182*($K182)+IF($G182&lt;&gt;0,($H182/$G182)*FK182,0)*(1-$K182)</f>
        <v>0</v>
      </c>
      <c r="FM182" s="1118">
        <f>VLOOKUP($E182,FK$442:FN$453,3,FALSE)*FK182*($K182)+IF($G182&lt;&gt;0,($I182/$G182)*FK182,0)*(1-$K182)</f>
        <v>0</v>
      </c>
      <c r="FN182" s="1118">
        <f>VLOOKUP($E182,FK$442:FN$453,4,FALSE)*FK182*($K182)+(FK182-FL182-FM182)*(1-$K182)</f>
        <v>0</v>
      </c>
      <c r="FO182" s="1074"/>
    </row>
    <row r="183" spans="1:171" x14ac:dyDescent="0.25">
      <c r="A183" s="1393"/>
      <c r="B183" s="991" t="s">
        <v>459</v>
      </c>
      <c r="C183" s="55"/>
      <c r="D183" s="55"/>
      <c r="E183" s="196"/>
      <c r="F183" s="196"/>
      <c r="G183" s="68"/>
      <c r="H183" s="68"/>
      <c r="I183" s="68"/>
      <c r="J183" s="992"/>
      <c r="K183" s="904"/>
      <c r="S183" s="1074"/>
      <c r="AA183" s="1074"/>
      <c r="AI183" s="1074"/>
      <c r="AQ183" s="1074"/>
      <c r="AY183" s="1074"/>
      <c r="BG183" s="1074"/>
      <c r="BO183" s="1074"/>
      <c r="BW183" s="1074"/>
      <c r="CE183" s="1074"/>
      <c r="CM183" s="1074"/>
      <c r="CU183" s="1074"/>
      <c r="DC183" s="1074"/>
      <c r="DK183" s="1074"/>
      <c r="DS183" s="1074"/>
      <c r="EA183" s="1074"/>
      <c r="EI183" s="1074"/>
      <c r="EQ183" s="1074"/>
      <c r="EY183" s="1074"/>
      <c r="FG183" s="1074"/>
      <c r="FO183" s="1074"/>
    </row>
    <row r="184" spans="1:171" x14ac:dyDescent="0.25">
      <c r="A184" s="1390">
        <v>410</v>
      </c>
      <c r="B184" s="914" t="s">
        <v>86</v>
      </c>
      <c r="C184" s="889" t="s">
        <v>72</v>
      </c>
      <c r="D184" s="889" t="s">
        <v>606</v>
      </c>
      <c r="E184" s="182" t="str">
        <f>'Sch 3 - Expenses'!E24</f>
        <v>PROD</v>
      </c>
      <c r="F184" s="890"/>
      <c r="G184" s="182">
        <f>'Sch 3 - Expenses'!G24</f>
        <v>19964758.009745862</v>
      </c>
      <c r="H184" s="182">
        <f>'Sch 3 - Expenses'!H24</f>
        <v>19964758.009745862</v>
      </c>
      <c r="I184" s="182">
        <f>'Sch 3 - Expenses'!I24</f>
        <v>0</v>
      </c>
      <c r="J184" s="183">
        <f>'Sch 3 - Expenses'!J24</f>
        <v>0</v>
      </c>
      <c r="K184" s="904">
        <f t="shared" si="547"/>
        <v>1</v>
      </c>
      <c r="N184" s="1130">
        <f>VLOOKUP($A184,'New Resources - Individual'!$A$4:$Y$133,N$2,FALSE)*N$1</f>
        <v>0</v>
      </c>
      <c r="O184" s="1117">
        <f>$G184+N184</f>
        <v>19964758.009745862</v>
      </c>
      <c r="P184" s="1118">
        <f>VLOOKUP($E184,O$442:R$453,2,FALSE)*O184*($K184)+IF($G184&lt;&gt;0,($H184/$G184)*O184,0)*(1-$K184)</f>
        <v>19964758.009745862</v>
      </c>
      <c r="Q184" s="1118">
        <f>VLOOKUP($E184,O$442:R$453,3,FALSE)*O184*($K184)+IF($G184&lt;&gt;0,($I184/$G184)*O184,0)*(1-$K184)</f>
        <v>0</v>
      </c>
      <c r="R184" s="1118">
        <f>VLOOKUP($E184,O$442:R$453,4,FALSE)*O184*($K184)+(O184-P184-Q184)*(1-$K184)</f>
        <v>0</v>
      </c>
      <c r="S184" s="1074"/>
      <c r="V184" s="1130">
        <f>VLOOKUP($A184,'New Resources - Individual'!$A$4:$Y$133,V$2,FALSE)*V$1</f>
        <v>0</v>
      </c>
      <c r="W184" s="1117">
        <f>$G184+V184</f>
        <v>19964758.009745862</v>
      </c>
      <c r="X184" s="1118">
        <f>VLOOKUP($E184,W$442:Z$453,2,FALSE)*W184*($K184)+IF($G184&lt;&gt;0,($H184/$G184)*W184,0)*(1-$K184)</f>
        <v>19964758.009745862</v>
      </c>
      <c r="Y184" s="1118">
        <f>VLOOKUP($E184,W$442:Z$453,3,FALSE)*W184*($K184)+IF($G184&lt;&gt;0,($I184/$G184)*W184,0)*(1-$K184)</f>
        <v>0</v>
      </c>
      <c r="Z184" s="1118">
        <f>VLOOKUP($E184,W$442:Z$453,4,FALSE)*W184*($K184)+(W184-X184-Y184)*(1-$K184)</f>
        <v>0</v>
      </c>
      <c r="AA184" s="1074"/>
      <c r="AD184" s="1130">
        <f>VLOOKUP($A184,'New Resources - Individual'!$A$4:$Y$133,AD$2,FALSE)*AD$1</f>
        <v>0</v>
      </c>
      <c r="AE184" s="1117">
        <f>$G184+AD184</f>
        <v>19964758.009745862</v>
      </c>
      <c r="AF184" s="1118">
        <f>VLOOKUP($E184,AE$442:AH$453,2,FALSE)*AE184*($K184)+IF($G184&lt;&gt;0,($H184/$G184)*AE184,0)*(1-$K184)</f>
        <v>19964758.009745862</v>
      </c>
      <c r="AG184" s="1118">
        <f>VLOOKUP($E184,AE$442:AH$453,3,FALSE)*AE184*($K184)+IF($G184&lt;&gt;0,($I184/$G184)*AE184,0)*(1-$K184)</f>
        <v>0</v>
      </c>
      <c r="AH184" s="1118">
        <f>VLOOKUP($E184,AE$442:AH$453,4,FALSE)*AE184*($K184)+(AE184-AF184-AG184)*(1-$K184)</f>
        <v>0</v>
      </c>
      <c r="AI184" s="1074"/>
      <c r="AL184" s="1130">
        <f>VLOOKUP($A184,'New Resources - Individual'!$A$4:$Y$133,AL$2,FALSE)*AL$1</f>
        <v>0</v>
      </c>
      <c r="AM184" s="1117">
        <f>$G184+AL184</f>
        <v>19964758.009745862</v>
      </c>
      <c r="AN184" s="1118">
        <f>VLOOKUP($E184,AM$442:AP$453,2,FALSE)*AM184*($K184)+IF($G184&lt;&gt;0,($H184/$G184)*AM184,0)*(1-$K184)</f>
        <v>19964758.009745862</v>
      </c>
      <c r="AO184" s="1118">
        <f>VLOOKUP($E184,AM$442:AP$453,3,FALSE)*AM184*($K184)+IF($G184&lt;&gt;0,($I184/$G184)*AM184,0)*(1-$K184)</f>
        <v>0</v>
      </c>
      <c r="AP184" s="1118">
        <f>VLOOKUP($E184,AM$442:AP$453,4,FALSE)*AM184*($K184)+(AM184-AN184-AO184)*(1-$K184)</f>
        <v>0</v>
      </c>
      <c r="AQ184" s="1074"/>
      <c r="AT184" s="1130">
        <f>VLOOKUP($A184,'New Resources - Individual'!$A$4:$Y$133,AT$2,FALSE)*AT$1</f>
        <v>0</v>
      </c>
      <c r="AU184" s="1117">
        <f>$G184+AT184</f>
        <v>19964758.009745862</v>
      </c>
      <c r="AV184" s="1118">
        <f>VLOOKUP($E184,AU$442:AX$453,2,FALSE)*AU184*($K184)+IF($G184&lt;&gt;0,($H184/$G184)*AU184,0)*(1-$K184)</f>
        <v>19964758.009745862</v>
      </c>
      <c r="AW184" s="1118">
        <f>VLOOKUP($E184,AU$442:AX$453,3,FALSE)*AU184*($K184)+IF($G184&lt;&gt;0,($I184/$G184)*AU184,0)*(1-$K184)</f>
        <v>0</v>
      </c>
      <c r="AX184" s="1118">
        <f>VLOOKUP($E184,AU$442:AX$453,4,FALSE)*AU184*($K184)+(AU184-AV184-AW184)*(1-$K184)</f>
        <v>0</v>
      </c>
      <c r="AY184" s="1074"/>
      <c r="BB184" s="1130">
        <f>VLOOKUP($A184,'New Resources - Individual'!$A$4:$Y$133,BB$2,FALSE)*BB$1</f>
        <v>0</v>
      </c>
      <c r="BC184" s="1117">
        <f>$G184+BB184</f>
        <v>19964758.009745862</v>
      </c>
      <c r="BD184" s="1118">
        <f>VLOOKUP($E184,BC$442:BF$453,2,FALSE)*BC184*($K184)+IF($G184&lt;&gt;0,($H184/$G184)*BC184,0)*(1-$K184)</f>
        <v>19964758.009745862</v>
      </c>
      <c r="BE184" s="1118">
        <f>VLOOKUP($E184,BC$442:BF$453,3,FALSE)*BC184*($K184)+IF($G184&lt;&gt;0,($I184/$G184)*BC184,0)*(1-$K184)</f>
        <v>0</v>
      </c>
      <c r="BF184" s="1118">
        <f>VLOOKUP($E184,BC$442:BF$453,4,FALSE)*BC184*($K184)+(BC184-BD184-BE184)*(1-$K184)</f>
        <v>0</v>
      </c>
      <c r="BG184" s="1074"/>
      <c r="BJ184" s="1130">
        <f>VLOOKUP($A184,'New Resources - Individual'!$A$4:$Y$133,BJ$2,FALSE)*BJ$1</f>
        <v>0</v>
      </c>
      <c r="BK184" s="1117">
        <f>$G184+BJ184</f>
        <v>19964758.009745862</v>
      </c>
      <c r="BL184" s="1118">
        <f>VLOOKUP($E184,BK$442:BN$453,2,FALSE)*BK184*($K184)+IF($G184&lt;&gt;0,($H184/$G184)*BK184,0)*(1-$K184)</f>
        <v>19964758.009745862</v>
      </c>
      <c r="BM184" s="1118">
        <f>VLOOKUP($E184,BK$442:BN$453,3,FALSE)*BK184*($K184)+IF($G184&lt;&gt;0,($I184/$G184)*BK184,0)*(1-$K184)</f>
        <v>0</v>
      </c>
      <c r="BN184" s="1118">
        <f>VLOOKUP($E184,BK$442:BN$453,4,FALSE)*BK184*($K184)+(BK184-BL184-BM184)*(1-$K184)</f>
        <v>0</v>
      </c>
      <c r="BO184" s="1074"/>
      <c r="BR184" s="1130">
        <f>VLOOKUP($A184,'New Resources - Individual'!$A$4:$Y$133,BR$2,FALSE)*BR$1</f>
        <v>0</v>
      </c>
      <c r="BS184" s="1117">
        <f>$G184+BR184</f>
        <v>19964758.009745862</v>
      </c>
      <c r="BT184" s="1118">
        <f>VLOOKUP($E184,BS$442:BV$453,2,FALSE)*BS184*($K184)+IF($G184&lt;&gt;0,($H184/$G184)*BS184,0)*(1-$K184)</f>
        <v>19964758.009745862</v>
      </c>
      <c r="BU184" s="1118">
        <f>VLOOKUP($E184,BS$442:BV$453,3,FALSE)*BS184*($K184)+IF($G184&lt;&gt;0,($I184/$G184)*BS184,0)*(1-$K184)</f>
        <v>0</v>
      </c>
      <c r="BV184" s="1118">
        <f>VLOOKUP($E184,BS$442:BV$453,4,FALSE)*BS184*($K184)+(BS184-BT184-BU184)*(1-$K184)</f>
        <v>0</v>
      </c>
      <c r="BW184" s="1074"/>
      <c r="BZ184" s="1130">
        <f>VLOOKUP($A184,'New Resources - Individual'!$A$4:$Y$133,BZ$2,FALSE)*BZ$1</f>
        <v>0</v>
      </c>
      <c r="CA184" s="1117">
        <f>$G184+BZ184</f>
        <v>19964758.009745862</v>
      </c>
      <c r="CB184" s="1118">
        <f>VLOOKUP($E184,CA$442:CD$453,2,FALSE)*CA184*($K184)+IF($G184&lt;&gt;0,($H184/$G184)*CA184,0)*(1-$K184)</f>
        <v>19964758.009745862</v>
      </c>
      <c r="CC184" s="1118">
        <f>VLOOKUP($E184,CA$442:CD$453,3,FALSE)*CA184*($K184)+IF($G184&lt;&gt;0,($I184/$G184)*CA184,0)*(1-$K184)</f>
        <v>0</v>
      </c>
      <c r="CD184" s="1118">
        <f>VLOOKUP($E184,CA$442:CD$453,4,FALSE)*CA184*($K184)+(CA184-CB184-CC184)*(1-$K184)</f>
        <v>0</v>
      </c>
      <c r="CE184" s="1074"/>
      <c r="CH184" s="1130">
        <f>VLOOKUP($A184,'New Resources - Individual'!$A$4:$Y$133,CH$2,FALSE)*CH$1</f>
        <v>0</v>
      </c>
      <c r="CI184" s="1117">
        <f>$G184+CH184</f>
        <v>19964758.009745862</v>
      </c>
      <c r="CJ184" s="1118">
        <f>VLOOKUP($E184,CI$442:CL$453,2,FALSE)*CI184*($K184)+IF($G184&lt;&gt;0,($H184/$G184)*CI184,0)*(1-$K184)</f>
        <v>19964758.009745862</v>
      </c>
      <c r="CK184" s="1118">
        <f>VLOOKUP($E184,CI$442:CL$453,3,FALSE)*CI184*($K184)+IF($G184&lt;&gt;0,($I184/$G184)*CI184,0)*(1-$K184)</f>
        <v>0</v>
      </c>
      <c r="CL184" s="1118">
        <f>VLOOKUP($E184,CI$442:CL$453,4,FALSE)*CI184*($K184)+(CI184-CJ184-CK184)*(1-$K184)</f>
        <v>0</v>
      </c>
      <c r="CM184" s="1074"/>
      <c r="CP184" s="1130">
        <f>VLOOKUP($A184,'New Resources - Individual'!$A$4:$Y$133,CP$2,FALSE)*CP$1</f>
        <v>0</v>
      </c>
      <c r="CQ184" s="1117">
        <f>$G184+CP184</f>
        <v>19964758.009745862</v>
      </c>
      <c r="CR184" s="1118">
        <f>VLOOKUP($E184,CQ$442:CT$453,2,FALSE)*CQ184*($K184)+IF($G184&lt;&gt;0,($H184/$G184)*CQ184,0)*(1-$K184)</f>
        <v>19964758.009745862</v>
      </c>
      <c r="CS184" s="1118">
        <f>VLOOKUP($E184,CQ$442:CT$453,3,FALSE)*CQ184*($K184)+IF($G184&lt;&gt;0,($I184/$G184)*CQ184,0)*(1-$K184)</f>
        <v>0</v>
      </c>
      <c r="CT184" s="1118">
        <f>VLOOKUP($E184,CQ$442:CT$453,4,FALSE)*CQ184*($K184)+(CQ184-CR184-CS184)*(1-$K184)</f>
        <v>0</v>
      </c>
      <c r="CU184" s="1074"/>
      <c r="CX184" s="1130">
        <f>VLOOKUP($A184,'New Resources - Individual'!$A$4:$Y$133,CX$2,FALSE)*CX$1</f>
        <v>0</v>
      </c>
      <c r="CY184" s="1117">
        <f>$G184+CX184</f>
        <v>19964758.009745862</v>
      </c>
      <c r="CZ184" s="1118">
        <f>VLOOKUP($E184,CY$442:DB$453,2,FALSE)*CY184*($K184)+IF($G184&lt;&gt;0,($H184/$G184)*CY184,0)*(1-$K184)</f>
        <v>19964758.009745862</v>
      </c>
      <c r="DA184" s="1118">
        <f>VLOOKUP($E184,CY$442:DB$453,3,FALSE)*CY184*($K184)+IF($G184&lt;&gt;0,($I184/$G184)*CY184,0)*(1-$K184)</f>
        <v>0</v>
      </c>
      <c r="DB184" s="1118">
        <f>VLOOKUP($E184,CY$442:DB$453,4,FALSE)*CY184*($K184)+(CY184-CZ184-DA184)*(1-$K184)</f>
        <v>0</v>
      </c>
      <c r="DC184" s="1074"/>
      <c r="DF184" s="1130">
        <f>VLOOKUP($A184,'New Resources - Individual'!$A$4:$Y$133,DF$2,FALSE)*DF$1</f>
        <v>0</v>
      </c>
      <c r="DG184" s="1117">
        <f>$G184+DF184</f>
        <v>19964758.009745862</v>
      </c>
      <c r="DH184" s="1118">
        <f>VLOOKUP($E184,DG$442:DJ$453,2,FALSE)*DG184*($K184)+IF($G184&lt;&gt;0,($H184/$G184)*DG184,0)*(1-$K184)</f>
        <v>19964758.009745862</v>
      </c>
      <c r="DI184" s="1118">
        <f>VLOOKUP($E184,DG$442:DJ$453,3,FALSE)*DG184*($K184)+IF($G184&lt;&gt;0,($I184/$G184)*DG184,0)*(1-$K184)</f>
        <v>0</v>
      </c>
      <c r="DJ184" s="1118">
        <f>VLOOKUP($E184,DG$442:DJ$453,4,FALSE)*DG184*($K184)+(DG184-DH184-DI184)*(1-$K184)</f>
        <v>0</v>
      </c>
      <c r="DK184" s="1074"/>
      <c r="DN184" s="1130">
        <f>VLOOKUP($A184,'New Resources - Individual'!$A$4:$Y$133,DN$2,FALSE)*DN$1</f>
        <v>0</v>
      </c>
      <c r="DO184" s="1117">
        <f>$G184+DN184</f>
        <v>19964758.009745862</v>
      </c>
      <c r="DP184" s="1118">
        <f>VLOOKUP($E184,DO$442:DR$453,2,FALSE)*DO184*($K184)+IF($G184&lt;&gt;0,($H184/$G184)*DO184,0)*(1-$K184)</f>
        <v>19964758.009745862</v>
      </c>
      <c r="DQ184" s="1118">
        <f>VLOOKUP($E184,DO$442:DR$453,3,FALSE)*DO184*($K184)+IF($G184&lt;&gt;0,($I184/$G184)*DO184,0)*(1-$K184)</f>
        <v>0</v>
      </c>
      <c r="DR184" s="1118">
        <f>VLOOKUP($E184,DO$442:DR$453,4,FALSE)*DO184*($K184)+(DO184-DP184-DQ184)*(1-$K184)</f>
        <v>0</v>
      </c>
      <c r="DS184" s="1074"/>
      <c r="DV184" s="1130">
        <f>VLOOKUP($A184,'New Resources - Individual'!$A$4:$Y$133,DV$2,FALSE)*DV$1</f>
        <v>0</v>
      </c>
      <c r="DW184" s="1117">
        <f>$G184+DV184</f>
        <v>19964758.009745862</v>
      </c>
      <c r="DX184" s="1118">
        <f>VLOOKUP($E184,DW$442:DZ$453,2,FALSE)*DW184*($K184)+IF($G184&lt;&gt;0,($H184/$G184)*DW184,0)*(1-$K184)</f>
        <v>19964758.009745862</v>
      </c>
      <c r="DY184" s="1118">
        <f>VLOOKUP($E184,DW$442:DZ$453,3,FALSE)*DW184*($K184)+IF($G184&lt;&gt;0,($I184/$G184)*DW184,0)*(1-$K184)</f>
        <v>0</v>
      </c>
      <c r="DZ184" s="1118">
        <f>VLOOKUP($E184,DW$442:DZ$453,4,FALSE)*DW184*($K184)+(DW184-DX184-DY184)*(1-$K184)</f>
        <v>0</v>
      </c>
      <c r="EA184" s="1074"/>
      <c r="ED184" s="1130">
        <f>VLOOKUP($A184,'New Resources - Individual'!$A$4:$Y$133,ED$2,FALSE)*ED$1</f>
        <v>0</v>
      </c>
      <c r="EE184" s="1117">
        <f>$G184+ED184</f>
        <v>19964758.009745862</v>
      </c>
      <c r="EF184" s="1118">
        <f>VLOOKUP($E184,EE$442:EH$453,2,FALSE)*EE184*($K184)+IF($G184&lt;&gt;0,($H184/$G184)*EE184,0)*(1-$K184)</f>
        <v>19964758.009745862</v>
      </c>
      <c r="EG184" s="1118">
        <f>VLOOKUP($E184,EE$442:EH$453,3,FALSE)*EE184*($K184)+IF($G184&lt;&gt;0,($I184/$G184)*EE184,0)*(1-$K184)</f>
        <v>0</v>
      </c>
      <c r="EH184" s="1118">
        <f>VLOOKUP($E184,EE$442:EH$453,4,FALSE)*EE184*($K184)+(EE184-EF184-EG184)*(1-$K184)</f>
        <v>0</v>
      </c>
      <c r="EI184" s="1074"/>
      <c r="EL184" s="1130">
        <f>VLOOKUP($A184,'New Resources - Individual'!$A$4:$Y$133,EL$2,FALSE)*EL$1</f>
        <v>0</v>
      </c>
      <c r="EM184" s="1117">
        <f>$G184+EL184</f>
        <v>19964758.009745862</v>
      </c>
      <c r="EN184" s="1118">
        <f>VLOOKUP($E184,EM$442:EP$453,2,FALSE)*EM184*($K184)+IF($G184&lt;&gt;0,($H184/$G184)*EM184,0)*(1-$K184)</f>
        <v>19964758.009745862</v>
      </c>
      <c r="EO184" s="1118">
        <f>VLOOKUP($E184,EM$442:EP$453,3,FALSE)*EM184*($K184)+IF($G184&lt;&gt;0,($I184/$G184)*EM184,0)*(1-$K184)</f>
        <v>0</v>
      </c>
      <c r="EP184" s="1118">
        <f>VLOOKUP($E184,EM$442:EP$453,4,FALSE)*EM184*($K184)+(EM184-EN184-EO184)*(1-$K184)</f>
        <v>0</v>
      </c>
      <c r="EQ184" s="1074"/>
      <c r="ET184" s="1130">
        <f>VLOOKUP($A184,'New Resources - Individual'!$A$4:$Y$133,ET$2,FALSE)*ET$1</f>
        <v>0</v>
      </c>
      <c r="EU184" s="1117">
        <f>$G184+ET184</f>
        <v>19964758.009745862</v>
      </c>
      <c r="EV184" s="1118">
        <f>VLOOKUP($E184,EU$442:EX$453,2,FALSE)*EU184*($K184)+IF($G184&lt;&gt;0,($H184/$G184)*EU184,0)*(1-$K184)</f>
        <v>19964758.009745862</v>
      </c>
      <c r="EW184" s="1118">
        <f>VLOOKUP($E184,EU$442:EX$453,3,FALSE)*EU184*($K184)+IF($G184&lt;&gt;0,($I184/$G184)*EU184,0)*(1-$K184)</f>
        <v>0</v>
      </c>
      <c r="EX184" s="1118">
        <f>VLOOKUP($E184,EU$442:EX$453,4,FALSE)*EU184*($K184)+(EU184-EV184-EW184)*(1-$K184)</f>
        <v>0</v>
      </c>
      <c r="EY184" s="1074"/>
      <c r="FB184" s="1130">
        <f>VLOOKUP($A184,'New Resources - Individual'!$A$4:$Y$133,FB$2,FALSE)*FB$1</f>
        <v>0</v>
      </c>
      <c r="FC184" s="1117">
        <f>$G184+FB184</f>
        <v>19964758.009745862</v>
      </c>
      <c r="FD184" s="1118">
        <f>VLOOKUP($E184,FC$442:FF$453,2,FALSE)*FC184*($K184)+IF($G184&lt;&gt;0,($H184/$G184)*FC184,0)*(1-$K184)</f>
        <v>19964758.009745862</v>
      </c>
      <c r="FE184" s="1118">
        <f>VLOOKUP($E184,FC$442:FF$453,3,FALSE)*FC184*($K184)+IF($G184&lt;&gt;0,($I184/$G184)*FC184,0)*(1-$K184)</f>
        <v>0</v>
      </c>
      <c r="FF184" s="1118">
        <f>VLOOKUP($E184,FC$442:FF$453,4,FALSE)*FC184*($K184)+(FC184-FD184-FE184)*(1-$K184)</f>
        <v>0</v>
      </c>
      <c r="FG184" s="1074"/>
      <c r="FJ184" s="1130">
        <f>VLOOKUP($A184,'New Resources - Individual'!$A$4:$Y$133,FJ$2,FALSE)*FJ$1</f>
        <v>0</v>
      </c>
      <c r="FK184" s="1117">
        <f>$G184+FJ184</f>
        <v>19964758.009745862</v>
      </c>
      <c r="FL184" s="1118">
        <f>VLOOKUP($E184,FK$442:FN$453,2,FALSE)*FK184*($K184)+IF($G184&lt;&gt;0,($H184/$G184)*FK184,0)*(1-$K184)</f>
        <v>19964758.009745862</v>
      </c>
      <c r="FM184" s="1118">
        <f>VLOOKUP($E184,FK$442:FN$453,3,FALSE)*FK184*($K184)+IF($G184&lt;&gt;0,($I184/$G184)*FK184,0)*(1-$K184)</f>
        <v>0</v>
      </c>
      <c r="FN184" s="1118">
        <f>VLOOKUP($E184,FK$442:FN$453,4,FALSE)*FK184*($K184)+(FK184-FL184-FM184)*(1-$K184)</f>
        <v>0</v>
      </c>
      <c r="FO184" s="1074"/>
    </row>
    <row r="185" spans="1:171" x14ac:dyDescent="0.25">
      <c r="A185" s="1390">
        <v>420</v>
      </c>
      <c r="B185" s="914" t="s">
        <v>87</v>
      </c>
      <c r="C185" s="889" t="s">
        <v>72</v>
      </c>
      <c r="D185" s="889" t="s">
        <v>607</v>
      </c>
      <c r="E185" s="182" t="str">
        <f>'Sch 3 - Expenses'!E25</f>
        <v>PROD</v>
      </c>
      <c r="F185" s="890"/>
      <c r="G185" s="182">
        <f>'Sch 3 - Expenses'!G25</f>
        <v>3239558.2457506307</v>
      </c>
      <c r="H185" s="182">
        <f>'Sch 3 - Expenses'!H25</f>
        <v>3239558.2457506307</v>
      </c>
      <c r="I185" s="182">
        <f>'Sch 3 - Expenses'!I25</f>
        <v>0</v>
      </c>
      <c r="J185" s="183">
        <f>'Sch 3 - Expenses'!J25</f>
        <v>0</v>
      </c>
      <c r="K185" s="904">
        <f t="shared" si="547"/>
        <v>1</v>
      </c>
      <c r="N185" s="1130">
        <f>VLOOKUP($A185,'New Resources - Individual'!$A$4:$Y$133,N$2,FALSE)*N$1</f>
        <v>0</v>
      </c>
      <c r="O185" s="1117">
        <f>$G185+N185</f>
        <v>3239558.2457506307</v>
      </c>
      <c r="P185" s="1118">
        <f>VLOOKUP($E185,O$442:R$453,2,FALSE)*O185*($K185)+IF($G185&lt;&gt;0,($H185/$G185)*O185,0)*(1-$K185)</f>
        <v>3239558.2457506307</v>
      </c>
      <c r="Q185" s="1118">
        <f>VLOOKUP($E185,O$442:R$453,3,FALSE)*O185*($K185)+IF($G185&lt;&gt;0,($I185/$G185)*O185,0)*(1-$K185)</f>
        <v>0</v>
      </c>
      <c r="R185" s="1118">
        <f>VLOOKUP($E185,O$442:R$453,4,FALSE)*O185*($K185)+(O185-P185-Q185)*(1-$K185)</f>
        <v>0</v>
      </c>
      <c r="S185" s="1074"/>
      <c r="V185" s="1130">
        <f>VLOOKUP($A185,'New Resources - Individual'!$A$4:$Y$133,V$2,FALSE)*V$1</f>
        <v>0</v>
      </c>
      <c r="W185" s="1117">
        <f>$G185+V185</f>
        <v>3239558.2457506307</v>
      </c>
      <c r="X185" s="1118">
        <f>VLOOKUP($E185,W$442:Z$453,2,FALSE)*W185*($K185)+IF($G185&lt;&gt;0,($H185/$G185)*W185,0)*(1-$K185)</f>
        <v>3239558.2457506307</v>
      </c>
      <c r="Y185" s="1118">
        <f>VLOOKUP($E185,W$442:Z$453,3,FALSE)*W185*($K185)+IF($G185&lt;&gt;0,($I185/$G185)*W185,0)*(1-$K185)</f>
        <v>0</v>
      </c>
      <c r="Z185" s="1118">
        <f>VLOOKUP($E185,W$442:Z$453,4,FALSE)*W185*($K185)+(W185-X185-Y185)*(1-$K185)</f>
        <v>0</v>
      </c>
      <c r="AA185" s="1074"/>
      <c r="AD185" s="1130">
        <f>VLOOKUP($A185,'New Resources - Individual'!$A$4:$Y$133,AD$2,FALSE)*AD$1</f>
        <v>0</v>
      </c>
      <c r="AE185" s="1117">
        <f>$G185+AD185</f>
        <v>3239558.2457506307</v>
      </c>
      <c r="AF185" s="1118">
        <f>VLOOKUP($E185,AE$442:AH$453,2,FALSE)*AE185*($K185)+IF($G185&lt;&gt;0,($H185/$G185)*AE185,0)*(1-$K185)</f>
        <v>3239558.2457506307</v>
      </c>
      <c r="AG185" s="1118">
        <f>VLOOKUP($E185,AE$442:AH$453,3,FALSE)*AE185*($K185)+IF($G185&lt;&gt;0,($I185/$G185)*AE185,0)*(1-$K185)</f>
        <v>0</v>
      </c>
      <c r="AH185" s="1118">
        <f>VLOOKUP($E185,AE$442:AH$453,4,FALSE)*AE185*($K185)+(AE185-AF185-AG185)*(1-$K185)</f>
        <v>0</v>
      </c>
      <c r="AI185" s="1074"/>
      <c r="AL185" s="1130">
        <f>VLOOKUP($A185,'New Resources - Individual'!$A$4:$Y$133,AL$2,FALSE)*AL$1</f>
        <v>0</v>
      </c>
      <c r="AM185" s="1117">
        <f>$G185+AL185</f>
        <v>3239558.2457506307</v>
      </c>
      <c r="AN185" s="1118">
        <f>VLOOKUP($E185,AM$442:AP$453,2,FALSE)*AM185*($K185)+IF($G185&lt;&gt;0,($H185/$G185)*AM185,0)*(1-$K185)</f>
        <v>3239558.2457506307</v>
      </c>
      <c r="AO185" s="1118">
        <f>VLOOKUP($E185,AM$442:AP$453,3,FALSE)*AM185*($K185)+IF($G185&lt;&gt;0,($I185/$G185)*AM185,0)*(1-$K185)</f>
        <v>0</v>
      </c>
      <c r="AP185" s="1118">
        <f>VLOOKUP($E185,AM$442:AP$453,4,FALSE)*AM185*($K185)+(AM185-AN185-AO185)*(1-$K185)</f>
        <v>0</v>
      </c>
      <c r="AQ185" s="1074"/>
      <c r="AT185" s="1130">
        <f>VLOOKUP($A185,'New Resources - Individual'!$A$4:$Y$133,AT$2,FALSE)*AT$1</f>
        <v>0</v>
      </c>
      <c r="AU185" s="1117">
        <f>$G185+AT185</f>
        <v>3239558.2457506307</v>
      </c>
      <c r="AV185" s="1118">
        <f>VLOOKUP($E185,AU$442:AX$453,2,FALSE)*AU185*($K185)+IF($G185&lt;&gt;0,($H185/$G185)*AU185,0)*(1-$K185)</f>
        <v>3239558.2457506307</v>
      </c>
      <c r="AW185" s="1118">
        <f>VLOOKUP($E185,AU$442:AX$453,3,FALSE)*AU185*($K185)+IF($G185&lt;&gt;0,($I185/$G185)*AU185,0)*(1-$K185)</f>
        <v>0</v>
      </c>
      <c r="AX185" s="1118">
        <f>VLOOKUP($E185,AU$442:AX$453,4,FALSE)*AU185*($K185)+(AU185-AV185-AW185)*(1-$K185)</f>
        <v>0</v>
      </c>
      <c r="AY185" s="1074"/>
      <c r="BB185" s="1130">
        <f>VLOOKUP($A185,'New Resources - Individual'!$A$4:$Y$133,BB$2,FALSE)*BB$1</f>
        <v>0</v>
      </c>
      <c r="BC185" s="1117">
        <f>$G185+BB185</f>
        <v>3239558.2457506307</v>
      </c>
      <c r="BD185" s="1118">
        <f>VLOOKUP($E185,BC$442:BF$453,2,FALSE)*BC185*($K185)+IF($G185&lt;&gt;0,($H185/$G185)*BC185,0)*(1-$K185)</f>
        <v>3239558.2457506307</v>
      </c>
      <c r="BE185" s="1118">
        <f>VLOOKUP($E185,BC$442:BF$453,3,FALSE)*BC185*($K185)+IF($G185&lt;&gt;0,($I185/$G185)*BC185,0)*(1-$K185)</f>
        <v>0</v>
      </c>
      <c r="BF185" s="1118">
        <f>VLOOKUP($E185,BC$442:BF$453,4,FALSE)*BC185*($K185)+(BC185-BD185-BE185)*(1-$K185)</f>
        <v>0</v>
      </c>
      <c r="BG185" s="1074"/>
      <c r="BJ185" s="1130">
        <f>VLOOKUP($A185,'New Resources - Individual'!$A$4:$Y$133,BJ$2,FALSE)*BJ$1</f>
        <v>0</v>
      </c>
      <c r="BK185" s="1117">
        <f>$G185+BJ185</f>
        <v>3239558.2457506307</v>
      </c>
      <c r="BL185" s="1118">
        <f>VLOOKUP($E185,BK$442:BN$453,2,FALSE)*BK185*($K185)+IF($G185&lt;&gt;0,($H185/$G185)*BK185,0)*(1-$K185)</f>
        <v>3239558.2457506307</v>
      </c>
      <c r="BM185" s="1118">
        <f>VLOOKUP($E185,BK$442:BN$453,3,FALSE)*BK185*($K185)+IF($G185&lt;&gt;0,($I185/$G185)*BK185,0)*(1-$K185)</f>
        <v>0</v>
      </c>
      <c r="BN185" s="1118">
        <f>VLOOKUP($E185,BK$442:BN$453,4,FALSE)*BK185*($K185)+(BK185-BL185-BM185)*(1-$K185)</f>
        <v>0</v>
      </c>
      <c r="BO185" s="1074"/>
      <c r="BR185" s="1130">
        <f>VLOOKUP($A185,'New Resources - Individual'!$A$4:$Y$133,BR$2,FALSE)*BR$1</f>
        <v>0</v>
      </c>
      <c r="BS185" s="1117">
        <f>$G185+BR185</f>
        <v>3239558.2457506307</v>
      </c>
      <c r="BT185" s="1118">
        <f>VLOOKUP($E185,BS$442:BV$453,2,FALSE)*BS185*($K185)+IF($G185&lt;&gt;0,($H185/$G185)*BS185,0)*(1-$K185)</f>
        <v>3239558.2457506307</v>
      </c>
      <c r="BU185" s="1118">
        <f>VLOOKUP($E185,BS$442:BV$453,3,FALSE)*BS185*($K185)+IF($G185&lt;&gt;0,($I185/$G185)*BS185,0)*(1-$K185)</f>
        <v>0</v>
      </c>
      <c r="BV185" s="1118">
        <f>VLOOKUP($E185,BS$442:BV$453,4,FALSE)*BS185*($K185)+(BS185-BT185-BU185)*(1-$K185)</f>
        <v>0</v>
      </c>
      <c r="BW185" s="1074"/>
      <c r="BZ185" s="1130">
        <f>VLOOKUP($A185,'New Resources - Individual'!$A$4:$Y$133,BZ$2,FALSE)*BZ$1</f>
        <v>0</v>
      </c>
      <c r="CA185" s="1117">
        <f>$G185+BZ185</f>
        <v>3239558.2457506307</v>
      </c>
      <c r="CB185" s="1118">
        <f>VLOOKUP($E185,CA$442:CD$453,2,FALSE)*CA185*($K185)+IF($G185&lt;&gt;0,($H185/$G185)*CA185,0)*(1-$K185)</f>
        <v>3239558.2457506307</v>
      </c>
      <c r="CC185" s="1118">
        <f>VLOOKUP($E185,CA$442:CD$453,3,FALSE)*CA185*($K185)+IF($G185&lt;&gt;0,($I185/$G185)*CA185,0)*(1-$K185)</f>
        <v>0</v>
      </c>
      <c r="CD185" s="1118">
        <f>VLOOKUP($E185,CA$442:CD$453,4,FALSE)*CA185*($K185)+(CA185-CB185-CC185)*(1-$K185)</f>
        <v>0</v>
      </c>
      <c r="CE185" s="1074"/>
      <c r="CH185" s="1130">
        <f>VLOOKUP($A185,'New Resources - Individual'!$A$4:$Y$133,CH$2,FALSE)*CH$1</f>
        <v>0</v>
      </c>
      <c r="CI185" s="1117">
        <f>$G185+CH185</f>
        <v>3239558.2457506307</v>
      </c>
      <c r="CJ185" s="1118">
        <f>VLOOKUP($E185,CI$442:CL$453,2,FALSE)*CI185*($K185)+IF($G185&lt;&gt;0,($H185/$G185)*CI185,0)*(1-$K185)</f>
        <v>3239558.2457506307</v>
      </c>
      <c r="CK185" s="1118">
        <f>VLOOKUP($E185,CI$442:CL$453,3,FALSE)*CI185*($K185)+IF($G185&lt;&gt;0,($I185/$G185)*CI185,0)*(1-$K185)</f>
        <v>0</v>
      </c>
      <c r="CL185" s="1118">
        <f>VLOOKUP($E185,CI$442:CL$453,4,FALSE)*CI185*($K185)+(CI185-CJ185-CK185)*(1-$K185)</f>
        <v>0</v>
      </c>
      <c r="CM185" s="1074"/>
      <c r="CP185" s="1130">
        <f>VLOOKUP($A185,'New Resources - Individual'!$A$4:$Y$133,CP$2,FALSE)*CP$1</f>
        <v>0</v>
      </c>
      <c r="CQ185" s="1117">
        <f>$G185+CP185</f>
        <v>3239558.2457506307</v>
      </c>
      <c r="CR185" s="1118">
        <f>VLOOKUP($E185,CQ$442:CT$453,2,FALSE)*CQ185*($K185)+IF($G185&lt;&gt;0,($H185/$G185)*CQ185,0)*(1-$K185)</f>
        <v>3239558.2457506307</v>
      </c>
      <c r="CS185" s="1118">
        <f>VLOOKUP($E185,CQ$442:CT$453,3,FALSE)*CQ185*($K185)+IF($G185&lt;&gt;0,($I185/$G185)*CQ185,0)*(1-$K185)</f>
        <v>0</v>
      </c>
      <c r="CT185" s="1118">
        <f>VLOOKUP($E185,CQ$442:CT$453,4,FALSE)*CQ185*($K185)+(CQ185-CR185-CS185)*(1-$K185)</f>
        <v>0</v>
      </c>
      <c r="CU185" s="1074"/>
      <c r="CX185" s="1130">
        <f>VLOOKUP($A185,'New Resources - Individual'!$A$4:$Y$133,CX$2,FALSE)*CX$1</f>
        <v>0</v>
      </c>
      <c r="CY185" s="1117">
        <f>$G185+CX185</f>
        <v>3239558.2457506307</v>
      </c>
      <c r="CZ185" s="1118">
        <f>VLOOKUP($E185,CY$442:DB$453,2,FALSE)*CY185*($K185)+IF($G185&lt;&gt;0,($H185/$G185)*CY185,0)*(1-$K185)</f>
        <v>3239558.2457506307</v>
      </c>
      <c r="DA185" s="1118">
        <f>VLOOKUP($E185,CY$442:DB$453,3,FALSE)*CY185*($K185)+IF($G185&lt;&gt;0,($I185/$G185)*CY185,0)*(1-$K185)</f>
        <v>0</v>
      </c>
      <c r="DB185" s="1118">
        <f>VLOOKUP($E185,CY$442:DB$453,4,FALSE)*CY185*($K185)+(CY185-CZ185-DA185)*(1-$K185)</f>
        <v>0</v>
      </c>
      <c r="DC185" s="1074"/>
      <c r="DF185" s="1130">
        <f>VLOOKUP($A185,'New Resources - Individual'!$A$4:$Y$133,DF$2,FALSE)*DF$1</f>
        <v>0</v>
      </c>
      <c r="DG185" s="1117">
        <f>$G185+DF185</f>
        <v>3239558.2457506307</v>
      </c>
      <c r="DH185" s="1118">
        <f>VLOOKUP($E185,DG$442:DJ$453,2,FALSE)*DG185*($K185)+IF($G185&lt;&gt;0,($H185/$G185)*DG185,0)*(1-$K185)</f>
        <v>3239558.2457506307</v>
      </c>
      <c r="DI185" s="1118">
        <f>VLOOKUP($E185,DG$442:DJ$453,3,FALSE)*DG185*($K185)+IF($G185&lt;&gt;0,($I185/$G185)*DG185,0)*(1-$K185)</f>
        <v>0</v>
      </c>
      <c r="DJ185" s="1118">
        <f>VLOOKUP($E185,DG$442:DJ$453,4,FALSE)*DG185*($K185)+(DG185-DH185-DI185)*(1-$K185)</f>
        <v>0</v>
      </c>
      <c r="DK185" s="1074"/>
      <c r="DN185" s="1130">
        <f>VLOOKUP($A185,'New Resources - Individual'!$A$4:$Y$133,DN$2,FALSE)*DN$1</f>
        <v>0</v>
      </c>
      <c r="DO185" s="1117">
        <f>$G185+DN185</f>
        <v>3239558.2457506307</v>
      </c>
      <c r="DP185" s="1118">
        <f>VLOOKUP($E185,DO$442:DR$453,2,FALSE)*DO185*($K185)+IF($G185&lt;&gt;0,($H185/$G185)*DO185,0)*(1-$K185)</f>
        <v>3239558.2457506307</v>
      </c>
      <c r="DQ185" s="1118">
        <f>VLOOKUP($E185,DO$442:DR$453,3,FALSE)*DO185*($K185)+IF($G185&lt;&gt;0,($I185/$G185)*DO185,0)*(1-$K185)</f>
        <v>0</v>
      </c>
      <c r="DR185" s="1118">
        <f>VLOOKUP($E185,DO$442:DR$453,4,FALSE)*DO185*($K185)+(DO185-DP185-DQ185)*(1-$K185)</f>
        <v>0</v>
      </c>
      <c r="DS185" s="1074"/>
      <c r="DV185" s="1130">
        <f>VLOOKUP($A185,'New Resources - Individual'!$A$4:$Y$133,DV$2,FALSE)*DV$1</f>
        <v>0</v>
      </c>
      <c r="DW185" s="1117">
        <f>$G185+DV185</f>
        <v>3239558.2457506307</v>
      </c>
      <c r="DX185" s="1118">
        <f>VLOOKUP($E185,DW$442:DZ$453,2,FALSE)*DW185*($K185)+IF($G185&lt;&gt;0,($H185/$G185)*DW185,0)*(1-$K185)</f>
        <v>3239558.2457506307</v>
      </c>
      <c r="DY185" s="1118">
        <f>VLOOKUP($E185,DW$442:DZ$453,3,FALSE)*DW185*($K185)+IF($G185&lt;&gt;0,($I185/$G185)*DW185,0)*(1-$K185)</f>
        <v>0</v>
      </c>
      <c r="DZ185" s="1118">
        <f>VLOOKUP($E185,DW$442:DZ$453,4,FALSE)*DW185*($K185)+(DW185-DX185-DY185)*(1-$K185)</f>
        <v>0</v>
      </c>
      <c r="EA185" s="1074"/>
      <c r="ED185" s="1130">
        <f>VLOOKUP($A185,'New Resources - Individual'!$A$4:$Y$133,ED$2,FALSE)*ED$1</f>
        <v>0</v>
      </c>
      <c r="EE185" s="1117">
        <f>$G185+ED185</f>
        <v>3239558.2457506307</v>
      </c>
      <c r="EF185" s="1118">
        <f>VLOOKUP($E185,EE$442:EH$453,2,FALSE)*EE185*($K185)+IF($G185&lt;&gt;0,($H185/$G185)*EE185,0)*(1-$K185)</f>
        <v>3239558.2457506307</v>
      </c>
      <c r="EG185" s="1118">
        <f>VLOOKUP($E185,EE$442:EH$453,3,FALSE)*EE185*($K185)+IF($G185&lt;&gt;0,($I185/$G185)*EE185,0)*(1-$K185)</f>
        <v>0</v>
      </c>
      <c r="EH185" s="1118">
        <f>VLOOKUP($E185,EE$442:EH$453,4,FALSE)*EE185*($K185)+(EE185-EF185-EG185)*(1-$K185)</f>
        <v>0</v>
      </c>
      <c r="EI185" s="1074"/>
      <c r="EL185" s="1130">
        <f>VLOOKUP($A185,'New Resources - Individual'!$A$4:$Y$133,EL$2,FALSE)*EL$1</f>
        <v>0</v>
      </c>
      <c r="EM185" s="1117">
        <f>$G185+EL185</f>
        <v>3239558.2457506307</v>
      </c>
      <c r="EN185" s="1118">
        <f>VLOOKUP($E185,EM$442:EP$453,2,FALSE)*EM185*($K185)+IF($G185&lt;&gt;0,($H185/$G185)*EM185,0)*(1-$K185)</f>
        <v>3239558.2457506307</v>
      </c>
      <c r="EO185" s="1118">
        <f>VLOOKUP($E185,EM$442:EP$453,3,FALSE)*EM185*($K185)+IF($G185&lt;&gt;0,($I185/$G185)*EM185,0)*(1-$K185)</f>
        <v>0</v>
      </c>
      <c r="EP185" s="1118">
        <f>VLOOKUP($E185,EM$442:EP$453,4,FALSE)*EM185*($K185)+(EM185-EN185-EO185)*(1-$K185)</f>
        <v>0</v>
      </c>
      <c r="EQ185" s="1074"/>
      <c r="ET185" s="1130">
        <f>VLOOKUP($A185,'New Resources - Individual'!$A$4:$Y$133,ET$2,FALSE)*ET$1</f>
        <v>0</v>
      </c>
      <c r="EU185" s="1117">
        <f>$G185+ET185</f>
        <v>3239558.2457506307</v>
      </c>
      <c r="EV185" s="1118">
        <f>VLOOKUP($E185,EU$442:EX$453,2,FALSE)*EU185*($K185)+IF($G185&lt;&gt;0,($H185/$G185)*EU185,0)*(1-$K185)</f>
        <v>3239558.2457506307</v>
      </c>
      <c r="EW185" s="1118">
        <f>VLOOKUP($E185,EU$442:EX$453,3,FALSE)*EU185*($K185)+IF($G185&lt;&gt;0,($I185/$G185)*EU185,0)*(1-$K185)</f>
        <v>0</v>
      </c>
      <c r="EX185" s="1118">
        <f>VLOOKUP($E185,EU$442:EX$453,4,FALSE)*EU185*($K185)+(EU185-EV185-EW185)*(1-$K185)</f>
        <v>0</v>
      </c>
      <c r="EY185" s="1074"/>
      <c r="FB185" s="1130">
        <f>VLOOKUP($A185,'New Resources - Individual'!$A$4:$Y$133,FB$2,FALSE)*FB$1</f>
        <v>0</v>
      </c>
      <c r="FC185" s="1117">
        <f>$G185+FB185</f>
        <v>3239558.2457506307</v>
      </c>
      <c r="FD185" s="1118">
        <f>VLOOKUP($E185,FC$442:FF$453,2,FALSE)*FC185*($K185)+IF($G185&lt;&gt;0,($H185/$G185)*FC185,0)*(1-$K185)</f>
        <v>3239558.2457506307</v>
      </c>
      <c r="FE185" s="1118">
        <f>VLOOKUP($E185,FC$442:FF$453,3,FALSE)*FC185*($K185)+IF($G185&lt;&gt;0,($I185/$G185)*FC185,0)*(1-$K185)</f>
        <v>0</v>
      </c>
      <c r="FF185" s="1118">
        <f>VLOOKUP($E185,FC$442:FF$453,4,FALSE)*FC185*($K185)+(FC185-FD185-FE185)*(1-$K185)</f>
        <v>0</v>
      </c>
      <c r="FG185" s="1074"/>
      <c r="FJ185" s="1130">
        <f>VLOOKUP($A185,'New Resources - Individual'!$A$4:$Y$133,FJ$2,FALSE)*FJ$1</f>
        <v>0</v>
      </c>
      <c r="FK185" s="1117">
        <f>$G185+FJ185</f>
        <v>3239558.2457506307</v>
      </c>
      <c r="FL185" s="1118">
        <f>VLOOKUP($E185,FK$442:FN$453,2,FALSE)*FK185*($K185)+IF($G185&lt;&gt;0,($H185/$G185)*FK185,0)*(1-$K185)</f>
        <v>3239558.2457506307</v>
      </c>
      <c r="FM185" s="1118">
        <f>VLOOKUP($E185,FK$442:FN$453,3,FALSE)*FK185*($K185)+IF($G185&lt;&gt;0,($I185/$G185)*FK185,0)*(1-$K185)</f>
        <v>0</v>
      </c>
      <c r="FN185" s="1118">
        <f>VLOOKUP($E185,FK$442:FN$453,4,FALSE)*FK185*($K185)+(FK185-FL185-FM185)*(1-$K185)</f>
        <v>0</v>
      </c>
      <c r="FO185" s="1074"/>
    </row>
    <row r="186" spans="1:171" x14ac:dyDescent="0.25">
      <c r="A186" s="1393"/>
      <c r="B186" s="991" t="s">
        <v>460</v>
      </c>
      <c r="C186" s="55"/>
      <c r="D186" s="55"/>
      <c r="E186" s="196"/>
      <c r="F186" s="196"/>
      <c r="G186" s="68"/>
      <c r="H186" s="68"/>
      <c r="I186" s="68"/>
      <c r="J186" s="992"/>
      <c r="K186" s="904"/>
      <c r="S186" s="1074"/>
      <c r="AA186" s="1074"/>
      <c r="AI186" s="1074"/>
      <c r="AQ186" s="1074"/>
      <c r="AY186" s="1074"/>
      <c r="BG186" s="1074"/>
      <c r="BO186" s="1074"/>
      <c r="BW186" s="1074"/>
      <c r="CE186" s="1074"/>
      <c r="CM186" s="1074"/>
      <c r="CU186" s="1074"/>
      <c r="DC186" s="1074"/>
      <c r="DK186" s="1074"/>
      <c r="DS186" s="1074"/>
      <c r="EA186" s="1074"/>
      <c r="EI186" s="1074"/>
      <c r="EQ186" s="1074"/>
      <c r="EY186" s="1074"/>
      <c r="FG186" s="1074"/>
      <c r="FO186" s="1074"/>
    </row>
    <row r="187" spans="1:171" x14ac:dyDescent="0.25">
      <c r="A187" s="1390">
        <v>560</v>
      </c>
      <c r="B187" s="220" t="s">
        <v>451</v>
      </c>
      <c r="C187" s="889" t="s">
        <v>72</v>
      </c>
      <c r="D187" s="889">
        <v>547</v>
      </c>
      <c r="E187" s="182" t="str">
        <f>'Sch 3 - Expenses'!E27</f>
        <v>PROD</v>
      </c>
      <c r="F187" s="890"/>
      <c r="G187" s="182">
        <f>'Sch 3 - Expenses'!G27</f>
        <v>189151086.82142362</v>
      </c>
      <c r="H187" s="182">
        <f>'Sch 3 - Expenses'!H27</f>
        <v>189151086.82142362</v>
      </c>
      <c r="I187" s="182">
        <f>'Sch 3 - Expenses'!I27</f>
        <v>0</v>
      </c>
      <c r="J187" s="183">
        <f>'Sch 3 - Expenses'!J27</f>
        <v>0</v>
      </c>
      <c r="K187" s="904">
        <f t="shared" si="547"/>
        <v>1</v>
      </c>
      <c r="N187" s="1130">
        <f>VLOOKUP($A187,'New Resources - Individual'!$A$4:$Y$133,N$2,FALSE)*N$1</f>
        <v>0</v>
      </c>
      <c r="O187" s="1117">
        <f>$G187+N187</f>
        <v>189151086.82142362</v>
      </c>
      <c r="P187" s="1118">
        <f>VLOOKUP($E187,O$442:R$453,2,FALSE)*O187*($K187)+IF($G187&lt;&gt;0,($H187/$G187)*O187,0)*(1-$K187)</f>
        <v>189151086.82142362</v>
      </c>
      <c r="Q187" s="1118">
        <f>VLOOKUP($E187,O$442:R$453,3,FALSE)*O187*($K187)+IF($G187&lt;&gt;0,($I187/$G187)*O187,0)*(1-$K187)</f>
        <v>0</v>
      </c>
      <c r="R187" s="1118">
        <f>VLOOKUP($E187,O$442:R$453,4,FALSE)*O187*($K187)+(O187-P187-Q187)*(1-$K187)</f>
        <v>0</v>
      </c>
      <c r="S187" s="1074"/>
      <c r="V187" s="1130">
        <f>VLOOKUP($A187,'New Resources - Individual'!$A$4:$Y$133,V$2,FALSE)*V$1</f>
        <v>0</v>
      </c>
      <c r="W187" s="1117">
        <f>$G187+V187</f>
        <v>189151086.82142362</v>
      </c>
      <c r="X187" s="1118">
        <f>VLOOKUP($E187,W$442:Z$453,2,FALSE)*W187*($K187)+IF($G187&lt;&gt;0,($H187/$G187)*W187,0)*(1-$K187)</f>
        <v>189151086.82142362</v>
      </c>
      <c r="Y187" s="1118">
        <f>VLOOKUP($E187,W$442:Z$453,3,FALSE)*W187*($K187)+IF($G187&lt;&gt;0,($I187/$G187)*W187,0)*(1-$K187)</f>
        <v>0</v>
      </c>
      <c r="Z187" s="1118">
        <f>VLOOKUP($E187,W$442:Z$453,4,FALSE)*W187*($K187)+(W187-X187-Y187)*(1-$K187)</f>
        <v>0</v>
      </c>
      <c r="AA187" s="1074"/>
      <c r="AD187" s="1130">
        <f>VLOOKUP($A187,'New Resources - Individual'!$A$4:$Y$133,AD$2,FALSE)*AD$1</f>
        <v>0</v>
      </c>
      <c r="AE187" s="1117">
        <f>$G187+AD187</f>
        <v>189151086.82142362</v>
      </c>
      <c r="AF187" s="1118">
        <f>VLOOKUP($E187,AE$442:AH$453,2,FALSE)*AE187*($K187)+IF($G187&lt;&gt;0,($H187/$G187)*AE187,0)*(1-$K187)</f>
        <v>189151086.82142362</v>
      </c>
      <c r="AG187" s="1118">
        <f>VLOOKUP($E187,AE$442:AH$453,3,FALSE)*AE187*($K187)+IF($G187&lt;&gt;0,($I187/$G187)*AE187,0)*(1-$K187)</f>
        <v>0</v>
      </c>
      <c r="AH187" s="1118">
        <f>VLOOKUP($E187,AE$442:AH$453,4,FALSE)*AE187*($K187)+(AE187-AF187-AG187)*(1-$K187)</f>
        <v>0</v>
      </c>
      <c r="AI187" s="1074"/>
      <c r="AL187" s="1130">
        <f>VLOOKUP($A187,'New Resources - Individual'!$A$4:$Y$133,AL$2,FALSE)*AL$1</f>
        <v>0</v>
      </c>
      <c r="AM187" s="1117">
        <f>$G187+AL187</f>
        <v>189151086.82142362</v>
      </c>
      <c r="AN187" s="1118">
        <f>VLOOKUP($E187,AM$442:AP$453,2,FALSE)*AM187*($K187)+IF($G187&lt;&gt;0,($H187/$G187)*AM187,0)*(1-$K187)</f>
        <v>189151086.82142362</v>
      </c>
      <c r="AO187" s="1118">
        <f>VLOOKUP($E187,AM$442:AP$453,3,FALSE)*AM187*($K187)+IF($G187&lt;&gt;0,($I187/$G187)*AM187,0)*(1-$K187)</f>
        <v>0</v>
      </c>
      <c r="AP187" s="1118">
        <f>VLOOKUP($E187,AM$442:AP$453,4,FALSE)*AM187*($K187)+(AM187-AN187-AO187)*(1-$K187)</f>
        <v>0</v>
      </c>
      <c r="AQ187" s="1074"/>
      <c r="AT187" s="1130">
        <f>VLOOKUP($A187,'New Resources - Individual'!$A$4:$Y$133,AT$2,FALSE)*AT$1</f>
        <v>0</v>
      </c>
      <c r="AU187" s="1117">
        <f>$G187+AT187</f>
        <v>189151086.82142362</v>
      </c>
      <c r="AV187" s="1118">
        <f>VLOOKUP($E187,AU$442:AX$453,2,FALSE)*AU187*($K187)+IF($G187&lt;&gt;0,($H187/$G187)*AU187,0)*(1-$K187)</f>
        <v>189151086.82142362</v>
      </c>
      <c r="AW187" s="1118">
        <f>VLOOKUP($E187,AU$442:AX$453,3,FALSE)*AU187*($K187)+IF($G187&lt;&gt;0,($I187/$G187)*AU187,0)*(1-$K187)</f>
        <v>0</v>
      </c>
      <c r="AX187" s="1118">
        <f>VLOOKUP($E187,AU$442:AX$453,4,FALSE)*AU187*($K187)+(AU187-AV187-AW187)*(1-$K187)</f>
        <v>0</v>
      </c>
      <c r="AY187" s="1074"/>
      <c r="BB187" s="1130">
        <f>VLOOKUP($A187,'New Resources - Individual'!$A$4:$Y$133,BB$2,FALSE)*BB$1</f>
        <v>0</v>
      </c>
      <c r="BC187" s="1117">
        <f>$G187+BB187</f>
        <v>189151086.82142362</v>
      </c>
      <c r="BD187" s="1118">
        <f>VLOOKUP($E187,BC$442:BF$453,2,FALSE)*BC187*($K187)+IF($G187&lt;&gt;0,($H187/$G187)*BC187,0)*(1-$K187)</f>
        <v>189151086.82142362</v>
      </c>
      <c r="BE187" s="1118">
        <f>VLOOKUP($E187,BC$442:BF$453,3,FALSE)*BC187*($K187)+IF($G187&lt;&gt;0,($I187/$G187)*BC187,0)*(1-$K187)</f>
        <v>0</v>
      </c>
      <c r="BF187" s="1118">
        <f>VLOOKUP($E187,BC$442:BF$453,4,FALSE)*BC187*($K187)+(BC187-BD187-BE187)*(1-$K187)</f>
        <v>0</v>
      </c>
      <c r="BG187" s="1074"/>
      <c r="BJ187" s="1130">
        <f>VLOOKUP($A187,'New Resources - Individual'!$A$4:$Y$133,BJ$2,FALSE)*BJ$1</f>
        <v>0</v>
      </c>
      <c r="BK187" s="1117">
        <f>$G187+BJ187</f>
        <v>189151086.82142362</v>
      </c>
      <c r="BL187" s="1118">
        <f>VLOOKUP($E187,BK$442:BN$453,2,FALSE)*BK187*($K187)+IF($G187&lt;&gt;0,($H187/$G187)*BK187,0)*(1-$K187)</f>
        <v>189151086.82142362</v>
      </c>
      <c r="BM187" s="1118">
        <f>VLOOKUP($E187,BK$442:BN$453,3,FALSE)*BK187*($K187)+IF($G187&lt;&gt;0,($I187/$G187)*BK187,0)*(1-$K187)</f>
        <v>0</v>
      </c>
      <c r="BN187" s="1118">
        <f>VLOOKUP($E187,BK$442:BN$453,4,FALSE)*BK187*($K187)+(BK187-BL187-BM187)*(1-$K187)</f>
        <v>0</v>
      </c>
      <c r="BO187" s="1074"/>
      <c r="BR187" s="1130">
        <f>VLOOKUP($A187,'New Resources - Individual'!$A$4:$Y$133,BR$2,FALSE)*BR$1</f>
        <v>0</v>
      </c>
      <c r="BS187" s="1117">
        <f>$G187+BR187</f>
        <v>189151086.82142362</v>
      </c>
      <c r="BT187" s="1118">
        <f>VLOOKUP($E187,BS$442:BV$453,2,FALSE)*BS187*($K187)+IF($G187&lt;&gt;0,($H187/$G187)*BS187,0)*(1-$K187)</f>
        <v>189151086.82142362</v>
      </c>
      <c r="BU187" s="1118">
        <f>VLOOKUP($E187,BS$442:BV$453,3,FALSE)*BS187*($K187)+IF($G187&lt;&gt;0,($I187/$G187)*BS187,0)*(1-$K187)</f>
        <v>0</v>
      </c>
      <c r="BV187" s="1118">
        <f>VLOOKUP($E187,BS$442:BV$453,4,FALSE)*BS187*($K187)+(BS187-BT187-BU187)*(1-$K187)</f>
        <v>0</v>
      </c>
      <c r="BW187" s="1074"/>
      <c r="BZ187" s="1130">
        <f>VLOOKUP($A187,'New Resources - Individual'!$A$4:$Y$133,BZ$2,FALSE)*BZ$1</f>
        <v>0</v>
      </c>
      <c r="CA187" s="1117">
        <f>$G187+BZ187</f>
        <v>189151086.82142362</v>
      </c>
      <c r="CB187" s="1118">
        <f>VLOOKUP($E187,CA$442:CD$453,2,FALSE)*CA187*($K187)+IF($G187&lt;&gt;0,($H187/$G187)*CA187,0)*(1-$K187)</f>
        <v>189151086.82142362</v>
      </c>
      <c r="CC187" s="1118">
        <f>VLOOKUP($E187,CA$442:CD$453,3,FALSE)*CA187*($K187)+IF($G187&lt;&gt;0,($I187/$G187)*CA187,0)*(1-$K187)</f>
        <v>0</v>
      </c>
      <c r="CD187" s="1118">
        <f>VLOOKUP($E187,CA$442:CD$453,4,FALSE)*CA187*($K187)+(CA187-CB187-CC187)*(1-$K187)</f>
        <v>0</v>
      </c>
      <c r="CE187" s="1074"/>
      <c r="CH187" s="1130">
        <f>VLOOKUP($A187,'New Resources - Individual'!$A$4:$Y$133,CH$2,FALSE)*CH$1</f>
        <v>0</v>
      </c>
      <c r="CI187" s="1117">
        <f>$G187+CH187</f>
        <v>189151086.82142362</v>
      </c>
      <c r="CJ187" s="1118">
        <f>VLOOKUP($E187,CI$442:CL$453,2,FALSE)*CI187*($K187)+IF($G187&lt;&gt;0,($H187/$G187)*CI187,0)*(1-$K187)</f>
        <v>189151086.82142362</v>
      </c>
      <c r="CK187" s="1118">
        <f>VLOOKUP($E187,CI$442:CL$453,3,FALSE)*CI187*($K187)+IF($G187&lt;&gt;0,($I187/$G187)*CI187,0)*(1-$K187)</f>
        <v>0</v>
      </c>
      <c r="CL187" s="1118">
        <f>VLOOKUP($E187,CI$442:CL$453,4,FALSE)*CI187*($K187)+(CI187-CJ187-CK187)*(1-$K187)</f>
        <v>0</v>
      </c>
      <c r="CM187" s="1074"/>
      <c r="CP187" s="1130">
        <f>VLOOKUP($A187,'New Resources - Individual'!$A$4:$Y$133,CP$2,FALSE)*CP$1</f>
        <v>0</v>
      </c>
      <c r="CQ187" s="1117">
        <f>$G187+CP187</f>
        <v>189151086.82142362</v>
      </c>
      <c r="CR187" s="1118">
        <f>VLOOKUP($E187,CQ$442:CT$453,2,FALSE)*CQ187*($K187)+IF($G187&lt;&gt;0,($H187/$G187)*CQ187,0)*(1-$K187)</f>
        <v>189151086.82142362</v>
      </c>
      <c r="CS187" s="1118">
        <f>VLOOKUP($E187,CQ$442:CT$453,3,FALSE)*CQ187*($K187)+IF($G187&lt;&gt;0,($I187/$G187)*CQ187,0)*(1-$K187)</f>
        <v>0</v>
      </c>
      <c r="CT187" s="1118">
        <f>VLOOKUP($E187,CQ$442:CT$453,4,FALSE)*CQ187*($K187)+(CQ187-CR187-CS187)*(1-$K187)</f>
        <v>0</v>
      </c>
      <c r="CU187" s="1074"/>
      <c r="CX187" s="1130">
        <f>VLOOKUP($A187,'New Resources - Individual'!$A$4:$Y$133,CX$2,FALSE)*CX$1</f>
        <v>0</v>
      </c>
      <c r="CY187" s="1117">
        <f>$G187+CX187</f>
        <v>189151086.82142362</v>
      </c>
      <c r="CZ187" s="1118">
        <f>VLOOKUP($E187,CY$442:DB$453,2,FALSE)*CY187*($K187)+IF($G187&lt;&gt;0,($H187/$G187)*CY187,0)*(1-$K187)</f>
        <v>189151086.82142362</v>
      </c>
      <c r="DA187" s="1118">
        <f>VLOOKUP($E187,CY$442:DB$453,3,FALSE)*CY187*($K187)+IF($G187&lt;&gt;0,($I187/$G187)*CY187,0)*(1-$K187)</f>
        <v>0</v>
      </c>
      <c r="DB187" s="1118">
        <f>VLOOKUP($E187,CY$442:DB$453,4,FALSE)*CY187*($K187)+(CY187-CZ187-DA187)*(1-$K187)</f>
        <v>0</v>
      </c>
      <c r="DC187" s="1074"/>
      <c r="DF187" s="1130">
        <f>VLOOKUP($A187,'New Resources - Individual'!$A$4:$Y$133,DF$2,FALSE)*DF$1</f>
        <v>0</v>
      </c>
      <c r="DG187" s="1117">
        <f>$G187+DF187</f>
        <v>189151086.82142362</v>
      </c>
      <c r="DH187" s="1118">
        <f>VLOOKUP($E187,DG$442:DJ$453,2,FALSE)*DG187*($K187)+IF($G187&lt;&gt;0,($H187/$G187)*DG187,0)*(1-$K187)</f>
        <v>189151086.82142362</v>
      </c>
      <c r="DI187" s="1118">
        <f>VLOOKUP($E187,DG$442:DJ$453,3,FALSE)*DG187*($K187)+IF($G187&lt;&gt;0,($I187/$G187)*DG187,0)*(1-$K187)</f>
        <v>0</v>
      </c>
      <c r="DJ187" s="1118">
        <f>VLOOKUP($E187,DG$442:DJ$453,4,FALSE)*DG187*($K187)+(DG187-DH187-DI187)*(1-$K187)</f>
        <v>0</v>
      </c>
      <c r="DK187" s="1074"/>
      <c r="DN187" s="1130">
        <f>VLOOKUP($A187,'New Resources - Individual'!$A$4:$Y$133,DN$2,FALSE)*DN$1</f>
        <v>0</v>
      </c>
      <c r="DO187" s="1117">
        <f>$G187+DN187</f>
        <v>189151086.82142362</v>
      </c>
      <c r="DP187" s="1118">
        <f>VLOOKUP($E187,DO$442:DR$453,2,FALSE)*DO187*($K187)+IF($G187&lt;&gt;0,($H187/$G187)*DO187,0)*(1-$K187)</f>
        <v>189151086.82142362</v>
      </c>
      <c r="DQ187" s="1118">
        <f>VLOOKUP($E187,DO$442:DR$453,3,FALSE)*DO187*($K187)+IF($G187&lt;&gt;0,($I187/$G187)*DO187,0)*(1-$K187)</f>
        <v>0</v>
      </c>
      <c r="DR187" s="1118">
        <f>VLOOKUP($E187,DO$442:DR$453,4,FALSE)*DO187*($K187)+(DO187-DP187-DQ187)*(1-$K187)</f>
        <v>0</v>
      </c>
      <c r="DS187" s="1074"/>
      <c r="DV187" s="1130">
        <f>VLOOKUP($A187,'New Resources - Individual'!$A$4:$Y$133,DV$2,FALSE)*DV$1</f>
        <v>0</v>
      </c>
      <c r="DW187" s="1117">
        <f>$G187+DV187</f>
        <v>189151086.82142362</v>
      </c>
      <c r="DX187" s="1118">
        <f>VLOOKUP($E187,DW$442:DZ$453,2,FALSE)*DW187*($K187)+IF($G187&lt;&gt;0,($H187/$G187)*DW187,0)*(1-$K187)</f>
        <v>189151086.82142362</v>
      </c>
      <c r="DY187" s="1118">
        <f>VLOOKUP($E187,DW$442:DZ$453,3,FALSE)*DW187*($K187)+IF($G187&lt;&gt;0,($I187/$G187)*DW187,0)*(1-$K187)</f>
        <v>0</v>
      </c>
      <c r="DZ187" s="1118">
        <f>VLOOKUP($E187,DW$442:DZ$453,4,FALSE)*DW187*($K187)+(DW187-DX187-DY187)*(1-$K187)</f>
        <v>0</v>
      </c>
      <c r="EA187" s="1074"/>
      <c r="ED187" s="1130">
        <f>VLOOKUP($A187,'New Resources - Individual'!$A$4:$Y$133,ED$2,FALSE)*ED$1</f>
        <v>0</v>
      </c>
      <c r="EE187" s="1117">
        <f>$G187+ED187</f>
        <v>189151086.82142362</v>
      </c>
      <c r="EF187" s="1118">
        <f>VLOOKUP($E187,EE$442:EH$453,2,FALSE)*EE187*($K187)+IF($G187&lt;&gt;0,($H187/$G187)*EE187,0)*(1-$K187)</f>
        <v>189151086.82142362</v>
      </c>
      <c r="EG187" s="1118">
        <f>VLOOKUP($E187,EE$442:EH$453,3,FALSE)*EE187*($K187)+IF($G187&lt;&gt;0,($I187/$G187)*EE187,0)*(1-$K187)</f>
        <v>0</v>
      </c>
      <c r="EH187" s="1118">
        <f>VLOOKUP($E187,EE$442:EH$453,4,FALSE)*EE187*($K187)+(EE187-EF187-EG187)*(1-$K187)</f>
        <v>0</v>
      </c>
      <c r="EI187" s="1074"/>
      <c r="EL187" s="1130">
        <f>VLOOKUP($A187,'New Resources - Individual'!$A$4:$Y$133,EL$2,FALSE)*EL$1</f>
        <v>0</v>
      </c>
      <c r="EM187" s="1117">
        <f>$G187+EL187</f>
        <v>189151086.82142362</v>
      </c>
      <c r="EN187" s="1118">
        <f>VLOOKUP($E187,EM$442:EP$453,2,FALSE)*EM187*($K187)+IF($G187&lt;&gt;0,($H187/$G187)*EM187,0)*(1-$K187)</f>
        <v>189151086.82142362</v>
      </c>
      <c r="EO187" s="1118">
        <f>VLOOKUP($E187,EM$442:EP$453,3,FALSE)*EM187*($K187)+IF($G187&lt;&gt;0,($I187/$G187)*EM187,0)*(1-$K187)</f>
        <v>0</v>
      </c>
      <c r="EP187" s="1118">
        <f>VLOOKUP($E187,EM$442:EP$453,4,FALSE)*EM187*($K187)+(EM187-EN187-EO187)*(1-$K187)</f>
        <v>0</v>
      </c>
      <c r="EQ187" s="1074"/>
      <c r="ET187" s="1130">
        <f>VLOOKUP($A187,'New Resources - Individual'!$A$4:$Y$133,ET$2,FALSE)*ET$1</f>
        <v>0</v>
      </c>
      <c r="EU187" s="1117">
        <f>$G187+ET187</f>
        <v>189151086.82142362</v>
      </c>
      <c r="EV187" s="1118">
        <f>VLOOKUP($E187,EU$442:EX$453,2,FALSE)*EU187*($K187)+IF($G187&lt;&gt;0,($H187/$G187)*EU187,0)*(1-$K187)</f>
        <v>189151086.82142362</v>
      </c>
      <c r="EW187" s="1118">
        <f>VLOOKUP($E187,EU$442:EX$453,3,FALSE)*EU187*($K187)+IF($G187&lt;&gt;0,($I187/$G187)*EU187,0)*(1-$K187)</f>
        <v>0</v>
      </c>
      <c r="EX187" s="1118">
        <f>VLOOKUP($E187,EU$442:EX$453,4,FALSE)*EU187*($K187)+(EU187-EV187-EW187)*(1-$K187)</f>
        <v>0</v>
      </c>
      <c r="EY187" s="1074"/>
      <c r="FB187" s="1130">
        <f>VLOOKUP($A187,'New Resources - Individual'!$A$4:$Y$133,FB$2,FALSE)*FB$1</f>
        <v>0</v>
      </c>
      <c r="FC187" s="1117">
        <f>$G187+FB187</f>
        <v>189151086.82142362</v>
      </c>
      <c r="FD187" s="1118">
        <f>VLOOKUP($E187,FC$442:FF$453,2,FALSE)*FC187*($K187)+IF($G187&lt;&gt;0,($H187/$G187)*FC187,0)*(1-$K187)</f>
        <v>189151086.82142362</v>
      </c>
      <c r="FE187" s="1118">
        <f>VLOOKUP($E187,FC$442:FF$453,3,FALSE)*FC187*($K187)+IF($G187&lt;&gt;0,($I187/$G187)*FC187,0)*(1-$K187)</f>
        <v>0</v>
      </c>
      <c r="FF187" s="1118">
        <f>VLOOKUP($E187,FC$442:FF$453,4,FALSE)*FC187*($K187)+(FC187-FD187-FE187)*(1-$K187)</f>
        <v>0</v>
      </c>
      <c r="FG187" s="1074"/>
      <c r="FJ187" s="1130">
        <f>VLOOKUP($A187,'New Resources - Individual'!$A$4:$Y$133,FJ$2,FALSE)*FJ$1</f>
        <v>0</v>
      </c>
      <c r="FK187" s="1117">
        <f>$G187+FJ187</f>
        <v>189151086.82142362</v>
      </c>
      <c r="FL187" s="1118">
        <f>VLOOKUP($E187,FK$442:FN$453,2,FALSE)*FK187*($K187)+IF($G187&lt;&gt;0,($H187/$G187)*FK187,0)*(1-$K187)</f>
        <v>189151086.82142362</v>
      </c>
      <c r="FM187" s="1118">
        <f>VLOOKUP($E187,FK$442:FN$453,3,FALSE)*FK187*($K187)+IF($G187&lt;&gt;0,($I187/$G187)*FK187,0)*(1-$K187)</f>
        <v>0</v>
      </c>
      <c r="FN187" s="1118">
        <f>VLOOKUP($E187,FK$442:FN$453,4,FALSE)*FK187*($K187)+(FK187-FL187-FM187)*(1-$K187)</f>
        <v>0</v>
      </c>
      <c r="FO187" s="1074"/>
    </row>
    <row r="188" spans="1:171" x14ac:dyDescent="0.25">
      <c r="A188" s="1390">
        <v>570</v>
      </c>
      <c r="B188" s="914" t="s">
        <v>263</v>
      </c>
      <c r="C188" s="889" t="s">
        <v>72</v>
      </c>
      <c r="D188" s="889" t="s">
        <v>611</v>
      </c>
      <c r="E188" s="182" t="str">
        <f>'Sch 3 - Expenses'!E28</f>
        <v>PROD</v>
      </c>
      <c r="F188" s="890"/>
      <c r="G188" s="182">
        <f>'Sch 3 - Expenses'!G28</f>
        <v>21057680.08986957</v>
      </c>
      <c r="H188" s="182">
        <f>'Sch 3 - Expenses'!H28</f>
        <v>21057680.08986957</v>
      </c>
      <c r="I188" s="182">
        <f>'Sch 3 - Expenses'!I28</f>
        <v>0</v>
      </c>
      <c r="J188" s="183">
        <f>'Sch 3 - Expenses'!J28</f>
        <v>0</v>
      </c>
      <c r="K188" s="904">
        <f t="shared" si="547"/>
        <v>1</v>
      </c>
      <c r="N188" s="1130">
        <f>VLOOKUP($A188,'New Resources - Individual'!$A$4:$Y$133,N$2,FALSE)*N$1</f>
        <v>0</v>
      </c>
      <c r="O188" s="1117">
        <f>$G188+N188</f>
        <v>21057680.08986957</v>
      </c>
      <c r="P188" s="1118">
        <f>VLOOKUP($E188,O$442:R$453,2,FALSE)*O188*($K188)+IF($G188&lt;&gt;0,($H188/$G188)*O188,0)*(1-$K188)</f>
        <v>21057680.08986957</v>
      </c>
      <c r="Q188" s="1118">
        <f>VLOOKUP($E188,O$442:R$453,3,FALSE)*O188*($K188)+IF($G188&lt;&gt;0,($I188/$G188)*O188,0)*(1-$K188)</f>
        <v>0</v>
      </c>
      <c r="R188" s="1118">
        <f>VLOOKUP($E188,O$442:R$453,4,FALSE)*O188*($K188)+(O188-P188-Q188)*(1-$K188)</f>
        <v>0</v>
      </c>
      <c r="S188" s="1074"/>
      <c r="V188" s="1130">
        <f>VLOOKUP($A188,'New Resources - Individual'!$A$4:$Y$133,V$2,FALSE)*V$1</f>
        <v>0</v>
      </c>
      <c r="W188" s="1117">
        <f>$G188+V188</f>
        <v>21057680.08986957</v>
      </c>
      <c r="X188" s="1118">
        <f>VLOOKUP($E188,W$442:Z$453,2,FALSE)*W188*($K188)+IF($G188&lt;&gt;0,($H188/$G188)*W188,0)*(1-$K188)</f>
        <v>21057680.08986957</v>
      </c>
      <c r="Y188" s="1118">
        <f>VLOOKUP($E188,W$442:Z$453,3,FALSE)*W188*($K188)+IF($G188&lt;&gt;0,($I188/$G188)*W188,0)*(1-$K188)</f>
        <v>0</v>
      </c>
      <c r="Z188" s="1118">
        <f>VLOOKUP($E188,W$442:Z$453,4,FALSE)*W188*($K188)+(W188-X188-Y188)*(1-$K188)</f>
        <v>0</v>
      </c>
      <c r="AA188" s="1074"/>
      <c r="AD188" s="1130">
        <f>VLOOKUP($A188,'New Resources - Individual'!$A$4:$Y$133,AD$2,FALSE)*AD$1</f>
        <v>0</v>
      </c>
      <c r="AE188" s="1117">
        <f>$G188+AD188</f>
        <v>21057680.08986957</v>
      </c>
      <c r="AF188" s="1118">
        <f>VLOOKUP($E188,AE$442:AH$453,2,FALSE)*AE188*($K188)+IF($G188&lt;&gt;0,($H188/$G188)*AE188,0)*(1-$K188)</f>
        <v>21057680.08986957</v>
      </c>
      <c r="AG188" s="1118">
        <f>VLOOKUP($E188,AE$442:AH$453,3,FALSE)*AE188*($K188)+IF($G188&lt;&gt;0,($I188/$G188)*AE188,0)*(1-$K188)</f>
        <v>0</v>
      </c>
      <c r="AH188" s="1118">
        <f>VLOOKUP($E188,AE$442:AH$453,4,FALSE)*AE188*($K188)+(AE188-AF188-AG188)*(1-$K188)</f>
        <v>0</v>
      </c>
      <c r="AI188" s="1074"/>
      <c r="AL188" s="1130">
        <f>VLOOKUP($A188,'New Resources - Individual'!$A$4:$Y$133,AL$2,FALSE)*AL$1</f>
        <v>0</v>
      </c>
      <c r="AM188" s="1117">
        <f>$G188+AL188</f>
        <v>21057680.08986957</v>
      </c>
      <c r="AN188" s="1118">
        <f>VLOOKUP($E188,AM$442:AP$453,2,FALSE)*AM188*($K188)+IF($G188&lt;&gt;0,($H188/$G188)*AM188,0)*(1-$K188)</f>
        <v>21057680.08986957</v>
      </c>
      <c r="AO188" s="1118">
        <f>VLOOKUP($E188,AM$442:AP$453,3,FALSE)*AM188*($K188)+IF($G188&lt;&gt;0,($I188/$G188)*AM188,0)*(1-$K188)</f>
        <v>0</v>
      </c>
      <c r="AP188" s="1118">
        <f>VLOOKUP($E188,AM$442:AP$453,4,FALSE)*AM188*($K188)+(AM188-AN188-AO188)*(1-$K188)</f>
        <v>0</v>
      </c>
      <c r="AQ188" s="1074"/>
      <c r="AT188" s="1130">
        <f>VLOOKUP($A188,'New Resources - Individual'!$A$4:$Y$133,AT$2,FALSE)*AT$1</f>
        <v>0</v>
      </c>
      <c r="AU188" s="1117">
        <f>$G188+AT188</f>
        <v>21057680.08986957</v>
      </c>
      <c r="AV188" s="1118">
        <f>VLOOKUP($E188,AU$442:AX$453,2,FALSE)*AU188*($K188)+IF($G188&lt;&gt;0,($H188/$G188)*AU188,0)*(1-$K188)</f>
        <v>21057680.08986957</v>
      </c>
      <c r="AW188" s="1118">
        <f>VLOOKUP($E188,AU$442:AX$453,3,FALSE)*AU188*($K188)+IF($G188&lt;&gt;0,($I188/$G188)*AU188,0)*(1-$K188)</f>
        <v>0</v>
      </c>
      <c r="AX188" s="1118">
        <f>VLOOKUP($E188,AU$442:AX$453,4,FALSE)*AU188*($K188)+(AU188-AV188-AW188)*(1-$K188)</f>
        <v>0</v>
      </c>
      <c r="AY188" s="1074"/>
      <c r="BB188" s="1130">
        <f>VLOOKUP($A188,'New Resources - Individual'!$A$4:$Y$133,BB$2,FALSE)*BB$1</f>
        <v>0</v>
      </c>
      <c r="BC188" s="1117">
        <f>$G188+BB188</f>
        <v>21057680.08986957</v>
      </c>
      <c r="BD188" s="1118">
        <f>VLOOKUP($E188,BC$442:BF$453,2,FALSE)*BC188*($K188)+IF($G188&lt;&gt;0,($H188/$G188)*BC188,0)*(1-$K188)</f>
        <v>21057680.08986957</v>
      </c>
      <c r="BE188" s="1118">
        <f>VLOOKUP($E188,BC$442:BF$453,3,FALSE)*BC188*($K188)+IF($G188&lt;&gt;0,($I188/$G188)*BC188,0)*(1-$K188)</f>
        <v>0</v>
      </c>
      <c r="BF188" s="1118">
        <f>VLOOKUP($E188,BC$442:BF$453,4,FALSE)*BC188*($K188)+(BC188-BD188-BE188)*(1-$K188)</f>
        <v>0</v>
      </c>
      <c r="BG188" s="1074"/>
      <c r="BJ188" s="1130">
        <f>VLOOKUP($A188,'New Resources - Individual'!$A$4:$Y$133,BJ$2,FALSE)*BJ$1</f>
        <v>0</v>
      </c>
      <c r="BK188" s="1117">
        <f>$G188+BJ188</f>
        <v>21057680.08986957</v>
      </c>
      <c r="BL188" s="1118">
        <f>VLOOKUP($E188,BK$442:BN$453,2,FALSE)*BK188*($K188)+IF($G188&lt;&gt;0,($H188/$G188)*BK188,0)*(1-$K188)</f>
        <v>21057680.08986957</v>
      </c>
      <c r="BM188" s="1118">
        <f>VLOOKUP($E188,BK$442:BN$453,3,FALSE)*BK188*($K188)+IF($G188&lt;&gt;0,($I188/$G188)*BK188,0)*(1-$K188)</f>
        <v>0</v>
      </c>
      <c r="BN188" s="1118">
        <f>VLOOKUP($E188,BK$442:BN$453,4,FALSE)*BK188*($K188)+(BK188-BL188-BM188)*(1-$K188)</f>
        <v>0</v>
      </c>
      <c r="BO188" s="1074"/>
      <c r="BR188" s="1130">
        <f>VLOOKUP($A188,'New Resources - Individual'!$A$4:$Y$133,BR$2,FALSE)*BR$1</f>
        <v>0</v>
      </c>
      <c r="BS188" s="1117">
        <f>$G188+BR188</f>
        <v>21057680.08986957</v>
      </c>
      <c r="BT188" s="1118">
        <f>VLOOKUP($E188,BS$442:BV$453,2,FALSE)*BS188*($K188)+IF($G188&lt;&gt;0,($H188/$G188)*BS188,0)*(1-$K188)</f>
        <v>21057680.08986957</v>
      </c>
      <c r="BU188" s="1118">
        <f>VLOOKUP($E188,BS$442:BV$453,3,FALSE)*BS188*($K188)+IF($G188&lt;&gt;0,($I188/$G188)*BS188,0)*(1-$K188)</f>
        <v>0</v>
      </c>
      <c r="BV188" s="1118">
        <f>VLOOKUP($E188,BS$442:BV$453,4,FALSE)*BS188*($K188)+(BS188-BT188-BU188)*(1-$K188)</f>
        <v>0</v>
      </c>
      <c r="BW188" s="1074"/>
      <c r="BZ188" s="1130">
        <f>VLOOKUP($A188,'New Resources - Individual'!$A$4:$Y$133,BZ$2,FALSE)*BZ$1</f>
        <v>0</v>
      </c>
      <c r="CA188" s="1117">
        <f>$G188+BZ188</f>
        <v>21057680.08986957</v>
      </c>
      <c r="CB188" s="1118">
        <f>VLOOKUP($E188,CA$442:CD$453,2,FALSE)*CA188*($K188)+IF($G188&lt;&gt;0,($H188/$G188)*CA188,0)*(1-$K188)</f>
        <v>21057680.08986957</v>
      </c>
      <c r="CC188" s="1118">
        <f>VLOOKUP($E188,CA$442:CD$453,3,FALSE)*CA188*($K188)+IF($G188&lt;&gt;0,($I188/$G188)*CA188,0)*(1-$K188)</f>
        <v>0</v>
      </c>
      <c r="CD188" s="1118">
        <f>VLOOKUP($E188,CA$442:CD$453,4,FALSE)*CA188*($K188)+(CA188-CB188-CC188)*(1-$K188)</f>
        <v>0</v>
      </c>
      <c r="CE188" s="1074"/>
      <c r="CH188" s="1130">
        <f>VLOOKUP($A188,'New Resources - Individual'!$A$4:$Y$133,CH$2,FALSE)*CH$1</f>
        <v>0</v>
      </c>
      <c r="CI188" s="1117">
        <f>$G188+CH188</f>
        <v>21057680.08986957</v>
      </c>
      <c r="CJ188" s="1118">
        <f>VLOOKUP($E188,CI$442:CL$453,2,FALSE)*CI188*($K188)+IF($G188&lt;&gt;0,($H188/$G188)*CI188,0)*(1-$K188)</f>
        <v>21057680.08986957</v>
      </c>
      <c r="CK188" s="1118">
        <f>VLOOKUP($E188,CI$442:CL$453,3,FALSE)*CI188*($K188)+IF($G188&lt;&gt;0,($I188/$G188)*CI188,0)*(1-$K188)</f>
        <v>0</v>
      </c>
      <c r="CL188" s="1118">
        <f>VLOOKUP($E188,CI$442:CL$453,4,FALSE)*CI188*($K188)+(CI188-CJ188-CK188)*(1-$K188)</f>
        <v>0</v>
      </c>
      <c r="CM188" s="1074"/>
      <c r="CP188" s="1130">
        <f>VLOOKUP($A188,'New Resources - Individual'!$A$4:$Y$133,CP$2,FALSE)*CP$1</f>
        <v>0</v>
      </c>
      <c r="CQ188" s="1117">
        <f>$G188+CP188</f>
        <v>21057680.08986957</v>
      </c>
      <c r="CR188" s="1118">
        <f>VLOOKUP($E188,CQ$442:CT$453,2,FALSE)*CQ188*($K188)+IF($G188&lt;&gt;0,($H188/$G188)*CQ188,0)*(1-$K188)</f>
        <v>21057680.08986957</v>
      </c>
      <c r="CS188" s="1118">
        <f>VLOOKUP($E188,CQ$442:CT$453,3,FALSE)*CQ188*($K188)+IF($G188&lt;&gt;0,($I188/$G188)*CQ188,0)*(1-$K188)</f>
        <v>0</v>
      </c>
      <c r="CT188" s="1118">
        <f>VLOOKUP($E188,CQ$442:CT$453,4,FALSE)*CQ188*($K188)+(CQ188-CR188-CS188)*(1-$K188)</f>
        <v>0</v>
      </c>
      <c r="CU188" s="1074"/>
      <c r="CX188" s="1130">
        <f>VLOOKUP($A188,'New Resources - Individual'!$A$4:$Y$133,CX$2,FALSE)*CX$1</f>
        <v>0</v>
      </c>
      <c r="CY188" s="1117">
        <f>$G188+CX188</f>
        <v>21057680.08986957</v>
      </c>
      <c r="CZ188" s="1118">
        <f>VLOOKUP($E188,CY$442:DB$453,2,FALSE)*CY188*($K188)+IF($G188&lt;&gt;0,($H188/$G188)*CY188,0)*(1-$K188)</f>
        <v>21057680.08986957</v>
      </c>
      <c r="DA188" s="1118">
        <f>VLOOKUP($E188,CY$442:DB$453,3,FALSE)*CY188*($K188)+IF($G188&lt;&gt;0,($I188/$G188)*CY188,0)*(1-$K188)</f>
        <v>0</v>
      </c>
      <c r="DB188" s="1118">
        <f>VLOOKUP($E188,CY$442:DB$453,4,FALSE)*CY188*($K188)+(CY188-CZ188-DA188)*(1-$K188)</f>
        <v>0</v>
      </c>
      <c r="DC188" s="1074"/>
      <c r="DF188" s="1130">
        <f>VLOOKUP($A188,'New Resources - Individual'!$A$4:$Y$133,DF$2,FALSE)*DF$1</f>
        <v>0</v>
      </c>
      <c r="DG188" s="1117">
        <f>$G188+DF188</f>
        <v>21057680.08986957</v>
      </c>
      <c r="DH188" s="1118">
        <f>VLOOKUP($E188,DG$442:DJ$453,2,FALSE)*DG188*($K188)+IF($G188&lt;&gt;0,($H188/$G188)*DG188,0)*(1-$K188)</f>
        <v>21057680.08986957</v>
      </c>
      <c r="DI188" s="1118">
        <f>VLOOKUP($E188,DG$442:DJ$453,3,FALSE)*DG188*($K188)+IF($G188&lt;&gt;0,($I188/$G188)*DG188,0)*(1-$K188)</f>
        <v>0</v>
      </c>
      <c r="DJ188" s="1118">
        <f>VLOOKUP($E188,DG$442:DJ$453,4,FALSE)*DG188*($K188)+(DG188-DH188-DI188)*(1-$K188)</f>
        <v>0</v>
      </c>
      <c r="DK188" s="1074"/>
      <c r="DN188" s="1130">
        <f>VLOOKUP($A188,'New Resources - Individual'!$A$4:$Y$133,DN$2,FALSE)*DN$1</f>
        <v>0</v>
      </c>
      <c r="DO188" s="1117">
        <f>$G188+DN188</f>
        <v>21057680.08986957</v>
      </c>
      <c r="DP188" s="1118">
        <f>VLOOKUP($E188,DO$442:DR$453,2,FALSE)*DO188*($K188)+IF($G188&lt;&gt;0,($H188/$G188)*DO188,0)*(1-$K188)</f>
        <v>21057680.08986957</v>
      </c>
      <c r="DQ188" s="1118">
        <f>VLOOKUP($E188,DO$442:DR$453,3,FALSE)*DO188*($K188)+IF($G188&lt;&gt;0,($I188/$G188)*DO188,0)*(1-$K188)</f>
        <v>0</v>
      </c>
      <c r="DR188" s="1118">
        <f>VLOOKUP($E188,DO$442:DR$453,4,FALSE)*DO188*($K188)+(DO188-DP188-DQ188)*(1-$K188)</f>
        <v>0</v>
      </c>
      <c r="DS188" s="1074"/>
      <c r="DV188" s="1130">
        <f>VLOOKUP($A188,'New Resources - Individual'!$A$4:$Y$133,DV$2,FALSE)*DV$1</f>
        <v>0</v>
      </c>
      <c r="DW188" s="1117">
        <f>$G188+DV188</f>
        <v>21057680.08986957</v>
      </c>
      <c r="DX188" s="1118">
        <f>VLOOKUP($E188,DW$442:DZ$453,2,FALSE)*DW188*($K188)+IF($G188&lt;&gt;0,($H188/$G188)*DW188,0)*(1-$K188)</f>
        <v>21057680.08986957</v>
      </c>
      <c r="DY188" s="1118">
        <f>VLOOKUP($E188,DW$442:DZ$453,3,FALSE)*DW188*($K188)+IF($G188&lt;&gt;0,($I188/$G188)*DW188,0)*(1-$K188)</f>
        <v>0</v>
      </c>
      <c r="DZ188" s="1118">
        <f>VLOOKUP($E188,DW$442:DZ$453,4,FALSE)*DW188*($K188)+(DW188-DX188-DY188)*(1-$K188)</f>
        <v>0</v>
      </c>
      <c r="EA188" s="1074"/>
      <c r="ED188" s="1130">
        <f>VLOOKUP($A188,'New Resources - Individual'!$A$4:$Y$133,ED$2,FALSE)*ED$1</f>
        <v>0</v>
      </c>
      <c r="EE188" s="1117">
        <f>$G188+ED188</f>
        <v>21057680.08986957</v>
      </c>
      <c r="EF188" s="1118">
        <f>VLOOKUP($E188,EE$442:EH$453,2,FALSE)*EE188*($K188)+IF($G188&lt;&gt;0,($H188/$G188)*EE188,0)*(1-$K188)</f>
        <v>21057680.08986957</v>
      </c>
      <c r="EG188" s="1118">
        <f>VLOOKUP($E188,EE$442:EH$453,3,FALSE)*EE188*($K188)+IF($G188&lt;&gt;0,($I188/$G188)*EE188,0)*(1-$K188)</f>
        <v>0</v>
      </c>
      <c r="EH188" s="1118">
        <f>VLOOKUP($E188,EE$442:EH$453,4,FALSE)*EE188*($K188)+(EE188-EF188-EG188)*(1-$K188)</f>
        <v>0</v>
      </c>
      <c r="EI188" s="1074"/>
      <c r="EL188" s="1130">
        <f>VLOOKUP($A188,'New Resources - Individual'!$A$4:$Y$133,EL$2,FALSE)*EL$1</f>
        <v>0</v>
      </c>
      <c r="EM188" s="1117">
        <f>$G188+EL188</f>
        <v>21057680.08986957</v>
      </c>
      <c r="EN188" s="1118">
        <f>VLOOKUP($E188,EM$442:EP$453,2,FALSE)*EM188*($K188)+IF($G188&lt;&gt;0,($H188/$G188)*EM188,0)*(1-$K188)</f>
        <v>21057680.08986957</v>
      </c>
      <c r="EO188" s="1118">
        <f>VLOOKUP($E188,EM$442:EP$453,3,FALSE)*EM188*($K188)+IF($G188&lt;&gt;0,($I188/$G188)*EM188,0)*(1-$K188)</f>
        <v>0</v>
      </c>
      <c r="EP188" s="1118">
        <f>VLOOKUP($E188,EM$442:EP$453,4,FALSE)*EM188*($K188)+(EM188-EN188-EO188)*(1-$K188)</f>
        <v>0</v>
      </c>
      <c r="EQ188" s="1074"/>
      <c r="ET188" s="1130">
        <f>VLOOKUP($A188,'New Resources - Individual'!$A$4:$Y$133,ET$2,FALSE)*ET$1</f>
        <v>0</v>
      </c>
      <c r="EU188" s="1117">
        <f>$G188+ET188</f>
        <v>21057680.08986957</v>
      </c>
      <c r="EV188" s="1118">
        <f>VLOOKUP($E188,EU$442:EX$453,2,FALSE)*EU188*($K188)+IF($G188&lt;&gt;0,($H188/$G188)*EU188,0)*(1-$K188)</f>
        <v>21057680.08986957</v>
      </c>
      <c r="EW188" s="1118">
        <f>VLOOKUP($E188,EU$442:EX$453,3,FALSE)*EU188*($K188)+IF($G188&lt;&gt;0,($I188/$G188)*EU188,0)*(1-$K188)</f>
        <v>0</v>
      </c>
      <c r="EX188" s="1118">
        <f>VLOOKUP($E188,EU$442:EX$453,4,FALSE)*EU188*($K188)+(EU188-EV188-EW188)*(1-$K188)</f>
        <v>0</v>
      </c>
      <c r="EY188" s="1074"/>
      <c r="FB188" s="1130">
        <f>VLOOKUP($A188,'New Resources - Individual'!$A$4:$Y$133,FB$2,FALSE)*FB$1</f>
        <v>0</v>
      </c>
      <c r="FC188" s="1117">
        <f>$G188+FB188</f>
        <v>21057680.08986957</v>
      </c>
      <c r="FD188" s="1118">
        <f>VLOOKUP($E188,FC$442:FF$453,2,FALSE)*FC188*($K188)+IF($G188&lt;&gt;0,($H188/$G188)*FC188,0)*(1-$K188)</f>
        <v>21057680.08986957</v>
      </c>
      <c r="FE188" s="1118">
        <f>VLOOKUP($E188,FC$442:FF$453,3,FALSE)*FC188*($K188)+IF($G188&lt;&gt;0,($I188/$G188)*FC188,0)*(1-$K188)</f>
        <v>0</v>
      </c>
      <c r="FF188" s="1118">
        <f>VLOOKUP($E188,FC$442:FF$453,4,FALSE)*FC188*($K188)+(FC188-FD188-FE188)*(1-$K188)</f>
        <v>0</v>
      </c>
      <c r="FG188" s="1074"/>
      <c r="FJ188" s="1130">
        <f>VLOOKUP($A188,'New Resources - Individual'!$A$4:$Y$133,FJ$2,FALSE)*FJ$1</f>
        <v>0</v>
      </c>
      <c r="FK188" s="1117">
        <f>$G188+FJ188</f>
        <v>21057680.08986957</v>
      </c>
      <c r="FL188" s="1118">
        <f>VLOOKUP($E188,FK$442:FN$453,2,FALSE)*FK188*($K188)+IF($G188&lt;&gt;0,($H188/$G188)*FK188,0)*(1-$K188)</f>
        <v>21057680.08986957</v>
      </c>
      <c r="FM188" s="1118">
        <f>VLOOKUP($E188,FK$442:FN$453,3,FALSE)*FK188*($K188)+IF($G188&lt;&gt;0,($I188/$G188)*FK188,0)*(1-$K188)</f>
        <v>0</v>
      </c>
      <c r="FN188" s="1118">
        <f>VLOOKUP($E188,FK$442:FN$453,4,FALSE)*FK188*($K188)+(FK188-FL188-FM188)*(1-$K188)</f>
        <v>0</v>
      </c>
      <c r="FO188" s="1074"/>
    </row>
    <row r="189" spans="1:171" x14ac:dyDescent="0.25">
      <c r="A189" s="1390">
        <v>580</v>
      </c>
      <c r="B189" s="914" t="s">
        <v>265</v>
      </c>
      <c r="C189" s="889" t="s">
        <v>72</v>
      </c>
      <c r="D189" s="889" t="s">
        <v>612</v>
      </c>
      <c r="E189" s="182" t="str">
        <f>'Sch 3 - Expenses'!E29</f>
        <v>PROD</v>
      </c>
      <c r="F189" s="890"/>
      <c r="G189" s="182">
        <f>'Sch 3 - Expenses'!G29</f>
        <v>15505411.633040059</v>
      </c>
      <c r="H189" s="182">
        <f>'Sch 3 - Expenses'!H29</f>
        <v>15505411.633040059</v>
      </c>
      <c r="I189" s="182">
        <f>'Sch 3 - Expenses'!I29</f>
        <v>0</v>
      </c>
      <c r="J189" s="183">
        <f>'Sch 3 - Expenses'!J29</f>
        <v>0</v>
      </c>
      <c r="K189" s="904">
        <f t="shared" si="547"/>
        <v>1</v>
      </c>
      <c r="N189" s="1130">
        <f>VLOOKUP($A189,'New Resources - Individual'!$A$4:$Y$133,N$2,FALSE)*N$1</f>
        <v>0</v>
      </c>
      <c r="O189" s="1117">
        <f>$G189+N189</f>
        <v>15505411.633040059</v>
      </c>
      <c r="P189" s="1118">
        <f>VLOOKUP($E189,O$442:R$453,2,FALSE)*O189*($K189)+IF($G189&lt;&gt;0,($H189/$G189)*O189,0)*(1-$K189)</f>
        <v>15505411.633040059</v>
      </c>
      <c r="Q189" s="1118">
        <f>VLOOKUP($E189,O$442:R$453,3,FALSE)*O189*($K189)+IF($G189&lt;&gt;0,($I189/$G189)*O189,0)*(1-$K189)</f>
        <v>0</v>
      </c>
      <c r="R189" s="1118">
        <f>VLOOKUP($E189,O$442:R$453,4,FALSE)*O189*($K189)+(O189-P189-Q189)*(1-$K189)</f>
        <v>0</v>
      </c>
      <c r="S189" s="1074"/>
      <c r="V189" s="1130">
        <f>VLOOKUP($A189,'New Resources - Individual'!$A$4:$Y$133,V$2,FALSE)*V$1</f>
        <v>0</v>
      </c>
      <c r="W189" s="1117">
        <f>$G189+V189</f>
        <v>15505411.633040059</v>
      </c>
      <c r="X189" s="1118">
        <f>VLOOKUP($E189,W$442:Z$453,2,FALSE)*W189*($K189)+IF($G189&lt;&gt;0,($H189/$G189)*W189,0)*(1-$K189)</f>
        <v>15505411.633040059</v>
      </c>
      <c r="Y189" s="1118">
        <f>VLOOKUP($E189,W$442:Z$453,3,FALSE)*W189*($K189)+IF($G189&lt;&gt;0,($I189/$G189)*W189,0)*(1-$K189)</f>
        <v>0</v>
      </c>
      <c r="Z189" s="1118">
        <f>VLOOKUP($E189,W$442:Z$453,4,FALSE)*W189*($K189)+(W189-X189-Y189)*(1-$K189)</f>
        <v>0</v>
      </c>
      <c r="AA189" s="1074"/>
      <c r="AD189" s="1130">
        <f>VLOOKUP($A189,'New Resources - Individual'!$A$4:$Y$133,AD$2,FALSE)*AD$1</f>
        <v>0</v>
      </c>
      <c r="AE189" s="1117">
        <f>$G189+AD189</f>
        <v>15505411.633040059</v>
      </c>
      <c r="AF189" s="1118">
        <f>VLOOKUP($E189,AE$442:AH$453,2,FALSE)*AE189*($K189)+IF($G189&lt;&gt;0,($H189/$G189)*AE189,0)*(1-$K189)</f>
        <v>15505411.633040059</v>
      </c>
      <c r="AG189" s="1118">
        <f>VLOOKUP($E189,AE$442:AH$453,3,FALSE)*AE189*($K189)+IF($G189&lt;&gt;0,($I189/$G189)*AE189,0)*(1-$K189)</f>
        <v>0</v>
      </c>
      <c r="AH189" s="1118">
        <f>VLOOKUP($E189,AE$442:AH$453,4,FALSE)*AE189*($K189)+(AE189-AF189-AG189)*(1-$K189)</f>
        <v>0</v>
      </c>
      <c r="AI189" s="1074"/>
      <c r="AL189" s="1130">
        <f>VLOOKUP($A189,'New Resources - Individual'!$A$4:$Y$133,AL$2,FALSE)*AL$1</f>
        <v>0</v>
      </c>
      <c r="AM189" s="1117">
        <f>$G189+AL189</f>
        <v>15505411.633040059</v>
      </c>
      <c r="AN189" s="1118">
        <f>VLOOKUP($E189,AM$442:AP$453,2,FALSE)*AM189*($K189)+IF($G189&lt;&gt;0,($H189/$G189)*AM189,0)*(1-$K189)</f>
        <v>15505411.633040059</v>
      </c>
      <c r="AO189" s="1118">
        <f>VLOOKUP($E189,AM$442:AP$453,3,FALSE)*AM189*($K189)+IF($G189&lt;&gt;0,($I189/$G189)*AM189,0)*(1-$K189)</f>
        <v>0</v>
      </c>
      <c r="AP189" s="1118">
        <f>VLOOKUP($E189,AM$442:AP$453,4,FALSE)*AM189*($K189)+(AM189-AN189-AO189)*(1-$K189)</f>
        <v>0</v>
      </c>
      <c r="AQ189" s="1074"/>
      <c r="AT189" s="1130">
        <f>VLOOKUP($A189,'New Resources - Individual'!$A$4:$Y$133,AT$2,FALSE)*AT$1</f>
        <v>0</v>
      </c>
      <c r="AU189" s="1117">
        <f>$G189+AT189</f>
        <v>15505411.633040059</v>
      </c>
      <c r="AV189" s="1118">
        <f>VLOOKUP($E189,AU$442:AX$453,2,FALSE)*AU189*($K189)+IF($G189&lt;&gt;0,($H189/$G189)*AU189,0)*(1-$K189)</f>
        <v>15505411.633040059</v>
      </c>
      <c r="AW189" s="1118">
        <f>VLOOKUP($E189,AU$442:AX$453,3,FALSE)*AU189*($K189)+IF($G189&lt;&gt;0,($I189/$G189)*AU189,0)*(1-$K189)</f>
        <v>0</v>
      </c>
      <c r="AX189" s="1118">
        <f>VLOOKUP($E189,AU$442:AX$453,4,FALSE)*AU189*($K189)+(AU189-AV189-AW189)*(1-$K189)</f>
        <v>0</v>
      </c>
      <c r="AY189" s="1074"/>
      <c r="BB189" s="1130">
        <f>VLOOKUP($A189,'New Resources - Individual'!$A$4:$Y$133,BB$2,FALSE)*BB$1</f>
        <v>0</v>
      </c>
      <c r="BC189" s="1117">
        <f>$G189+BB189</f>
        <v>15505411.633040059</v>
      </c>
      <c r="BD189" s="1118">
        <f>VLOOKUP($E189,BC$442:BF$453,2,FALSE)*BC189*($K189)+IF($G189&lt;&gt;0,($H189/$G189)*BC189,0)*(1-$K189)</f>
        <v>15505411.633040059</v>
      </c>
      <c r="BE189" s="1118">
        <f>VLOOKUP($E189,BC$442:BF$453,3,FALSE)*BC189*($K189)+IF($G189&lt;&gt;0,($I189/$G189)*BC189,0)*(1-$K189)</f>
        <v>0</v>
      </c>
      <c r="BF189" s="1118">
        <f>VLOOKUP($E189,BC$442:BF$453,4,FALSE)*BC189*($K189)+(BC189-BD189-BE189)*(1-$K189)</f>
        <v>0</v>
      </c>
      <c r="BG189" s="1074"/>
      <c r="BJ189" s="1130">
        <f>VLOOKUP($A189,'New Resources - Individual'!$A$4:$Y$133,BJ$2,FALSE)*BJ$1</f>
        <v>0</v>
      </c>
      <c r="BK189" s="1117">
        <f>$G189+BJ189</f>
        <v>15505411.633040059</v>
      </c>
      <c r="BL189" s="1118">
        <f>VLOOKUP($E189,BK$442:BN$453,2,FALSE)*BK189*($K189)+IF($G189&lt;&gt;0,($H189/$G189)*BK189,0)*(1-$K189)</f>
        <v>15505411.633040059</v>
      </c>
      <c r="BM189" s="1118">
        <f>VLOOKUP($E189,BK$442:BN$453,3,FALSE)*BK189*($K189)+IF($G189&lt;&gt;0,($I189/$G189)*BK189,0)*(1-$K189)</f>
        <v>0</v>
      </c>
      <c r="BN189" s="1118">
        <f>VLOOKUP($E189,BK$442:BN$453,4,FALSE)*BK189*($K189)+(BK189-BL189-BM189)*(1-$K189)</f>
        <v>0</v>
      </c>
      <c r="BO189" s="1074"/>
      <c r="BR189" s="1130">
        <f>VLOOKUP($A189,'New Resources - Individual'!$A$4:$Y$133,BR$2,FALSE)*BR$1</f>
        <v>0</v>
      </c>
      <c r="BS189" s="1117">
        <f>$G189+BR189</f>
        <v>15505411.633040059</v>
      </c>
      <c r="BT189" s="1118">
        <f>VLOOKUP($E189,BS$442:BV$453,2,FALSE)*BS189*($K189)+IF($G189&lt;&gt;0,($H189/$G189)*BS189,0)*(1-$K189)</f>
        <v>15505411.633040059</v>
      </c>
      <c r="BU189" s="1118">
        <f>VLOOKUP($E189,BS$442:BV$453,3,FALSE)*BS189*($K189)+IF($G189&lt;&gt;0,($I189/$G189)*BS189,0)*(1-$K189)</f>
        <v>0</v>
      </c>
      <c r="BV189" s="1118">
        <f>VLOOKUP($E189,BS$442:BV$453,4,FALSE)*BS189*($K189)+(BS189-BT189-BU189)*(1-$K189)</f>
        <v>0</v>
      </c>
      <c r="BW189" s="1074"/>
      <c r="BZ189" s="1130">
        <f>VLOOKUP($A189,'New Resources - Individual'!$A$4:$Y$133,BZ$2,FALSE)*BZ$1</f>
        <v>0</v>
      </c>
      <c r="CA189" s="1117">
        <f>$G189+BZ189</f>
        <v>15505411.633040059</v>
      </c>
      <c r="CB189" s="1118">
        <f>VLOOKUP($E189,CA$442:CD$453,2,FALSE)*CA189*($K189)+IF($G189&lt;&gt;0,($H189/$G189)*CA189,0)*(1-$K189)</f>
        <v>15505411.633040059</v>
      </c>
      <c r="CC189" s="1118">
        <f>VLOOKUP($E189,CA$442:CD$453,3,FALSE)*CA189*($K189)+IF($G189&lt;&gt;0,($I189/$G189)*CA189,0)*(1-$K189)</f>
        <v>0</v>
      </c>
      <c r="CD189" s="1118">
        <f>VLOOKUP($E189,CA$442:CD$453,4,FALSE)*CA189*($K189)+(CA189-CB189-CC189)*(1-$K189)</f>
        <v>0</v>
      </c>
      <c r="CE189" s="1074"/>
      <c r="CH189" s="1130">
        <f>VLOOKUP($A189,'New Resources - Individual'!$A$4:$Y$133,CH$2,FALSE)*CH$1</f>
        <v>0</v>
      </c>
      <c r="CI189" s="1117">
        <f>$G189+CH189</f>
        <v>15505411.633040059</v>
      </c>
      <c r="CJ189" s="1118">
        <f>VLOOKUP($E189,CI$442:CL$453,2,FALSE)*CI189*($K189)+IF($G189&lt;&gt;0,($H189/$G189)*CI189,0)*(1-$K189)</f>
        <v>15505411.633040059</v>
      </c>
      <c r="CK189" s="1118">
        <f>VLOOKUP($E189,CI$442:CL$453,3,FALSE)*CI189*($K189)+IF($G189&lt;&gt;0,($I189/$G189)*CI189,0)*(1-$K189)</f>
        <v>0</v>
      </c>
      <c r="CL189" s="1118">
        <f>VLOOKUP($E189,CI$442:CL$453,4,FALSE)*CI189*($K189)+(CI189-CJ189-CK189)*(1-$K189)</f>
        <v>0</v>
      </c>
      <c r="CM189" s="1074"/>
      <c r="CP189" s="1130">
        <f>VLOOKUP($A189,'New Resources - Individual'!$A$4:$Y$133,CP$2,FALSE)*CP$1</f>
        <v>0</v>
      </c>
      <c r="CQ189" s="1117">
        <f>$G189+CP189</f>
        <v>15505411.633040059</v>
      </c>
      <c r="CR189" s="1118">
        <f>VLOOKUP($E189,CQ$442:CT$453,2,FALSE)*CQ189*($K189)+IF($G189&lt;&gt;0,($H189/$G189)*CQ189,0)*(1-$K189)</f>
        <v>15505411.633040059</v>
      </c>
      <c r="CS189" s="1118">
        <f>VLOOKUP($E189,CQ$442:CT$453,3,FALSE)*CQ189*($K189)+IF($G189&lt;&gt;0,($I189/$G189)*CQ189,0)*(1-$K189)</f>
        <v>0</v>
      </c>
      <c r="CT189" s="1118">
        <f>VLOOKUP($E189,CQ$442:CT$453,4,FALSE)*CQ189*($K189)+(CQ189-CR189-CS189)*(1-$K189)</f>
        <v>0</v>
      </c>
      <c r="CU189" s="1074"/>
      <c r="CX189" s="1130">
        <f>VLOOKUP($A189,'New Resources - Individual'!$A$4:$Y$133,CX$2,FALSE)*CX$1</f>
        <v>0</v>
      </c>
      <c r="CY189" s="1117">
        <f>$G189+CX189</f>
        <v>15505411.633040059</v>
      </c>
      <c r="CZ189" s="1118">
        <f>VLOOKUP($E189,CY$442:DB$453,2,FALSE)*CY189*($K189)+IF($G189&lt;&gt;0,($H189/$G189)*CY189,0)*(1-$K189)</f>
        <v>15505411.633040059</v>
      </c>
      <c r="DA189" s="1118">
        <f>VLOOKUP($E189,CY$442:DB$453,3,FALSE)*CY189*($K189)+IF($G189&lt;&gt;0,($I189/$G189)*CY189,0)*(1-$K189)</f>
        <v>0</v>
      </c>
      <c r="DB189" s="1118">
        <f>VLOOKUP($E189,CY$442:DB$453,4,FALSE)*CY189*($K189)+(CY189-CZ189-DA189)*(1-$K189)</f>
        <v>0</v>
      </c>
      <c r="DC189" s="1074"/>
      <c r="DF189" s="1130">
        <f>VLOOKUP($A189,'New Resources - Individual'!$A$4:$Y$133,DF$2,FALSE)*DF$1</f>
        <v>0</v>
      </c>
      <c r="DG189" s="1117">
        <f>$G189+DF189</f>
        <v>15505411.633040059</v>
      </c>
      <c r="DH189" s="1118">
        <f>VLOOKUP($E189,DG$442:DJ$453,2,FALSE)*DG189*($K189)+IF($G189&lt;&gt;0,($H189/$G189)*DG189,0)*(1-$K189)</f>
        <v>15505411.633040059</v>
      </c>
      <c r="DI189" s="1118">
        <f>VLOOKUP($E189,DG$442:DJ$453,3,FALSE)*DG189*($K189)+IF($G189&lt;&gt;0,($I189/$G189)*DG189,0)*(1-$K189)</f>
        <v>0</v>
      </c>
      <c r="DJ189" s="1118">
        <f>VLOOKUP($E189,DG$442:DJ$453,4,FALSE)*DG189*($K189)+(DG189-DH189-DI189)*(1-$K189)</f>
        <v>0</v>
      </c>
      <c r="DK189" s="1074"/>
      <c r="DN189" s="1130">
        <f>VLOOKUP($A189,'New Resources - Individual'!$A$4:$Y$133,DN$2,FALSE)*DN$1</f>
        <v>0</v>
      </c>
      <c r="DO189" s="1117">
        <f>$G189+DN189</f>
        <v>15505411.633040059</v>
      </c>
      <c r="DP189" s="1118">
        <f>VLOOKUP($E189,DO$442:DR$453,2,FALSE)*DO189*($K189)+IF($G189&lt;&gt;0,($H189/$G189)*DO189,0)*(1-$K189)</f>
        <v>15505411.633040059</v>
      </c>
      <c r="DQ189" s="1118">
        <f>VLOOKUP($E189,DO$442:DR$453,3,FALSE)*DO189*($K189)+IF($G189&lt;&gt;0,($I189/$G189)*DO189,0)*(1-$K189)</f>
        <v>0</v>
      </c>
      <c r="DR189" s="1118">
        <f>VLOOKUP($E189,DO$442:DR$453,4,FALSE)*DO189*($K189)+(DO189-DP189-DQ189)*(1-$K189)</f>
        <v>0</v>
      </c>
      <c r="DS189" s="1074"/>
      <c r="DV189" s="1130">
        <f>VLOOKUP($A189,'New Resources - Individual'!$A$4:$Y$133,DV$2,FALSE)*DV$1</f>
        <v>0</v>
      </c>
      <c r="DW189" s="1117">
        <f>$G189+DV189</f>
        <v>15505411.633040059</v>
      </c>
      <c r="DX189" s="1118">
        <f>VLOOKUP($E189,DW$442:DZ$453,2,FALSE)*DW189*($K189)+IF($G189&lt;&gt;0,($H189/$G189)*DW189,0)*(1-$K189)</f>
        <v>15505411.633040059</v>
      </c>
      <c r="DY189" s="1118">
        <f>VLOOKUP($E189,DW$442:DZ$453,3,FALSE)*DW189*($K189)+IF($G189&lt;&gt;0,($I189/$G189)*DW189,0)*(1-$K189)</f>
        <v>0</v>
      </c>
      <c r="DZ189" s="1118">
        <f>VLOOKUP($E189,DW$442:DZ$453,4,FALSE)*DW189*($K189)+(DW189-DX189-DY189)*(1-$K189)</f>
        <v>0</v>
      </c>
      <c r="EA189" s="1074"/>
      <c r="ED189" s="1130">
        <f>VLOOKUP($A189,'New Resources - Individual'!$A$4:$Y$133,ED$2,FALSE)*ED$1</f>
        <v>0</v>
      </c>
      <c r="EE189" s="1117">
        <f>$G189+ED189</f>
        <v>15505411.633040059</v>
      </c>
      <c r="EF189" s="1118">
        <f>VLOOKUP($E189,EE$442:EH$453,2,FALSE)*EE189*($K189)+IF($G189&lt;&gt;0,($H189/$G189)*EE189,0)*(1-$K189)</f>
        <v>15505411.633040059</v>
      </c>
      <c r="EG189" s="1118">
        <f>VLOOKUP($E189,EE$442:EH$453,3,FALSE)*EE189*($K189)+IF($G189&lt;&gt;0,($I189/$G189)*EE189,0)*(1-$K189)</f>
        <v>0</v>
      </c>
      <c r="EH189" s="1118">
        <f>VLOOKUP($E189,EE$442:EH$453,4,FALSE)*EE189*($K189)+(EE189-EF189-EG189)*(1-$K189)</f>
        <v>0</v>
      </c>
      <c r="EI189" s="1074"/>
      <c r="EL189" s="1130">
        <f>VLOOKUP($A189,'New Resources - Individual'!$A$4:$Y$133,EL$2,FALSE)*EL$1</f>
        <v>0</v>
      </c>
      <c r="EM189" s="1117">
        <f>$G189+EL189</f>
        <v>15505411.633040059</v>
      </c>
      <c r="EN189" s="1118">
        <f>VLOOKUP($E189,EM$442:EP$453,2,FALSE)*EM189*($K189)+IF($G189&lt;&gt;0,($H189/$G189)*EM189,0)*(1-$K189)</f>
        <v>15505411.633040059</v>
      </c>
      <c r="EO189" s="1118">
        <f>VLOOKUP($E189,EM$442:EP$453,3,FALSE)*EM189*($K189)+IF($G189&lt;&gt;0,($I189/$G189)*EM189,0)*(1-$K189)</f>
        <v>0</v>
      </c>
      <c r="EP189" s="1118">
        <f>VLOOKUP($E189,EM$442:EP$453,4,FALSE)*EM189*($K189)+(EM189-EN189-EO189)*(1-$K189)</f>
        <v>0</v>
      </c>
      <c r="EQ189" s="1074"/>
      <c r="ET189" s="1130">
        <f>VLOOKUP($A189,'New Resources - Individual'!$A$4:$Y$133,ET$2,FALSE)*ET$1</f>
        <v>0</v>
      </c>
      <c r="EU189" s="1117">
        <f>$G189+ET189</f>
        <v>15505411.633040059</v>
      </c>
      <c r="EV189" s="1118">
        <f>VLOOKUP($E189,EU$442:EX$453,2,FALSE)*EU189*($K189)+IF($G189&lt;&gt;0,($H189/$G189)*EU189,0)*(1-$K189)</f>
        <v>15505411.633040059</v>
      </c>
      <c r="EW189" s="1118">
        <f>VLOOKUP($E189,EU$442:EX$453,3,FALSE)*EU189*($K189)+IF($G189&lt;&gt;0,($I189/$G189)*EU189,0)*(1-$K189)</f>
        <v>0</v>
      </c>
      <c r="EX189" s="1118">
        <f>VLOOKUP($E189,EU$442:EX$453,4,FALSE)*EU189*($K189)+(EU189-EV189-EW189)*(1-$K189)</f>
        <v>0</v>
      </c>
      <c r="EY189" s="1074"/>
      <c r="FB189" s="1130">
        <f>VLOOKUP($A189,'New Resources - Individual'!$A$4:$Y$133,FB$2,FALSE)*FB$1</f>
        <v>0</v>
      </c>
      <c r="FC189" s="1117">
        <f>$G189+FB189</f>
        <v>15505411.633040059</v>
      </c>
      <c r="FD189" s="1118">
        <f>VLOOKUP($E189,FC$442:FF$453,2,FALSE)*FC189*($K189)+IF($G189&lt;&gt;0,($H189/$G189)*FC189,0)*(1-$K189)</f>
        <v>15505411.633040059</v>
      </c>
      <c r="FE189" s="1118">
        <f>VLOOKUP($E189,FC$442:FF$453,3,FALSE)*FC189*($K189)+IF($G189&lt;&gt;0,($I189/$G189)*FC189,0)*(1-$K189)</f>
        <v>0</v>
      </c>
      <c r="FF189" s="1118">
        <f>VLOOKUP($E189,FC$442:FF$453,4,FALSE)*FC189*($K189)+(FC189-FD189-FE189)*(1-$K189)</f>
        <v>0</v>
      </c>
      <c r="FG189" s="1074"/>
      <c r="FJ189" s="1130">
        <f>VLOOKUP($A189,'New Resources - Individual'!$A$4:$Y$133,FJ$2,FALSE)*FJ$1</f>
        <v>0</v>
      </c>
      <c r="FK189" s="1117">
        <f>$G189+FJ189</f>
        <v>15505411.633040059</v>
      </c>
      <c r="FL189" s="1118">
        <f>VLOOKUP($E189,FK$442:FN$453,2,FALSE)*FK189*($K189)+IF($G189&lt;&gt;0,($H189/$G189)*FK189,0)*(1-$K189)</f>
        <v>15505411.633040059</v>
      </c>
      <c r="FM189" s="1118">
        <f>VLOOKUP($E189,FK$442:FN$453,3,FALSE)*FK189*($K189)+IF($G189&lt;&gt;0,($I189/$G189)*FK189,0)*(1-$K189)</f>
        <v>0</v>
      </c>
      <c r="FN189" s="1118">
        <f>VLOOKUP($E189,FK$442:FN$453,4,FALSE)*FK189*($K189)+(FK189-FL189-FM189)*(1-$K189)</f>
        <v>0</v>
      </c>
      <c r="FO189" s="1074"/>
    </row>
    <row r="190" spans="1:171" x14ac:dyDescent="0.25">
      <c r="A190" s="1393"/>
      <c r="B190" s="991" t="s">
        <v>454</v>
      </c>
      <c r="C190" s="55"/>
      <c r="D190" s="55"/>
      <c r="E190" s="196"/>
      <c r="F190" s="196"/>
      <c r="G190" s="68"/>
      <c r="H190" s="68"/>
      <c r="I190" s="68"/>
      <c r="J190" s="992"/>
      <c r="K190" s="904"/>
      <c r="S190" s="1074"/>
      <c r="AA190" s="1074"/>
      <c r="AI190" s="1074"/>
      <c r="AQ190" s="1074"/>
      <c r="AY190" s="1074"/>
      <c r="BG190" s="1074"/>
      <c r="BO190" s="1074"/>
      <c r="BW190" s="1074"/>
      <c r="CE190" s="1074"/>
      <c r="CM190" s="1074"/>
      <c r="CU190" s="1074"/>
      <c r="DC190" s="1074"/>
      <c r="DK190" s="1074"/>
      <c r="DS190" s="1074"/>
      <c r="EA190" s="1074"/>
      <c r="EI190" s="1074"/>
      <c r="EQ190" s="1074"/>
      <c r="EY190" s="1074"/>
      <c r="FG190" s="1074"/>
      <c r="FO190" s="1074"/>
    </row>
    <row r="191" spans="1:171" x14ac:dyDescent="0.25">
      <c r="B191" s="220" t="s">
        <v>266</v>
      </c>
      <c r="C191" s="889" t="s">
        <v>72</v>
      </c>
      <c r="D191" s="889">
        <v>555</v>
      </c>
      <c r="E191" s="182" t="str">
        <f>'Sch 3 - Expenses'!E31</f>
        <v>PROD</v>
      </c>
      <c r="F191" s="890"/>
      <c r="G191" s="182">
        <f>'Sch 3 - Expenses'!G31</f>
        <v>882712895.7098341</v>
      </c>
      <c r="H191" s="182">
        <f>'Sch 3 - Expenses'!H31</f>
        <v>882712895.7098341</v>
      </c>
      <c r="I191" s="182">
        <f>'Sch 3 - Expenses'!I31</f>
        <v>0</v>
      </c>
      <c r="J191" s="183">
        <f>'Sch 3 - Expenses'!J31</f>
        <v>0</v>
      </c>
      <c r="K191" s="904">
        <f t="shared" si="547"/>
        <v>1</v>
      </c>
      <c r="O191" s="1146">
        <f>O465</f>
        <v>882712895.70983398</v>
      </c>
      <c r="P191" s="1118">
        <f>VLOOKUP($E191,O$442:R$453,2,FALSE)*O191*($K191)+IF($G191&lt;&gt;0,($H191/$G191)*O191,0)*(1-$K191)</f>
        <v>882712895.70983398</v>
      </c>
      <c r="Q191" s="1118">
        <f>VLOOKUP($E191,O$442:R$453,3,FALSE)*O191*($K191)+IF($G191&lt;&gt;0,($I191/$G191)*O191,0)*(1-$K191)</f>
        <v>0</v>
      </c>
      <c r="R191" s="1118">
        <f>VLOOKUP($E191,O$442:R$453,4,FALSE)*O191*($K191)+(O191-P191-Q191)*(1-$K191)</f>
        <v>0</v>
      </c>
      <c r="S191" s="1074"/>
      <c r="W191" s="1146">
        <f>W465</f>
        <v>882712895.70983398</v>
      </c>
      <c r="X191" s="1118">
        <f>VLOOKUP($E191,W$442:Z$453,2,FALSE)*W191*($K191)+IF($G191&lt;&gt;0,($H191/$G191)*W191,0)*(1-$K191)</f>
        <v>882712895.70983398</v>
      </c>
      <c r="Y191" s="1118">
        <f>VLOOKUP($E191,W$442:Z$453,3,FALSE)*W191*($K191)+IF($G191&lt;&gt;0,($I191/$G191)*W191,0)*(1-$K191)</f>
        <v>0</v>
      </c>
      <c r="Z191" s="1118">
        <f>VLOOKUP($E191,W$442:Z$453,4,FALSE)*W191*($K191)+(W191-X191-Y191)*(1-$K191)</f>
        <v>0</v>
      </c>
      <c r="AA191" s="1074"/>
      <c r="AE191" s="1146">
        <f>AE465</f>
        <v>882712895.70983398</v>
      </c>
      <c r="AF191" s="1118">
        <f>VLOOKUP($E191,AE$442:AH$453,2,FALSE)*AE191*($K191)+IF($G191&lt;&gt;0,($H191/$G191)*AE191,0)*(1-$K191)</f>
        <v>882712895.70983398</v>
      </c>
      <c r="AG191" s="1118">
        <f>VLOOKUP($E191,AE$442:AH$453,3,FALSE)*AE191*($K191)+IF($G191&lt;&gt;0,($I191/$G191)*AE191,0)*(1-$K191)</f>
        <v>0</v>
      </c>
      <c r="AH191" s="1118">
        <f>VLOOKUP($E191,AE$442:AH$453,4,FALSE)*AE191*($K191)+(AE191-AF191-AG191)*(1-$K191)</f>
        <v>0</v>
      </c>
      <c r="AI191" s="1074"/>
      <c r="AM191" s="1146">
        <f>AM465</f>
        <v>882712895.70983398</v>
      </c>
      <c r="AN191" s="1118">
        <f>VLOOKUP($E191,AM$442:AP$453,2,FALSE)*AM191*($K191)+IF($G191&lt;&gt;0,($H191/$G191)*AM191,0)*(1-$K191)</f>
        <v>882712895.70983398</v>
      </c>
      <c r="AO191" s="1118">
        <f>VLOOKUP($E191,AM$442:AP$453,3,FALSE)*AM191*($K191)+IF($G191&lt;&gt;0,($I191/$G191)*AM191,0)*(1-$K191)</f>
        <v>0</v>
      </c>
      <c r="AP191" s="1118">
        <f>VLOOKUP($E191,AM$442:AP$453,4,FALSE)*AM191*($K191)+(AM191-AN191-AO191)*(1-$K191)</f>
        <v>0</v>
      </c>
      <c r="AQ191" s="1074"/>
      <c r="AU191" s="1146">
        <f>AU465</f>
        <v>882712895.70983398</v>
      </c>
      <c r="AV191" s="1118">
        <f>VLOOKUP($E191,AU$442:AX$453,2,FALSE)*AU191*($K191)+IF($G191&lt;&gt;0,($H191/$G191)*AU191,0)*(1-$K191)</f>
        <v>882712895.70983398</v>
      </c>
      <c r="AW191" s="1118">
        <f>VLOOKUP($E191,AU$442:AX$453,3,FALSE)*AU191*($K191)+IF($G191&lt;&gt;0,($I191/$G191)*AU191,0)*(1-$K191)</f>
        <v>0</v>
      </c>
      <c r="AX191" s="1118">
        <f>VLOOKUP($E191,AU$442:AX$453,4,FALSE)*AU191*($K191)+(AU191-AV191-AW191)*(1-$K191)</f>
        <v>0</v>
      </c>
      <c r="AY191" s="1074"/>
      <c r="BC191" s="1146">
        <f>BC465</f>
        <v>882712895.70983398</v>
      </c>
      <c r="BD191" s="1118">
        <f>VLOOKUP($E191,BC$442:BF$453,2,FALSE)*BC191*($K191)+IF($G191&lt;&gt;0,($H191/$G191)*BC191,0)*(1-$K191)</f>
        <v>882712895.70983398</v>
      </c>
      <c r="BE191" s="1118">
        <f>VLOOKUP($E191,BC$442:BF$453,3,FALSE)*BC191*($K191)+IF($G191&lt;&gt;0,($I191/$G191)*BC191,0)*(1-$K191)</f>
        <v>0</v>
      </c>
      <c r="BF191" s="1118">
        <f>VLOOKUP($E191,BC$442:BF$453,4,FALSE)*BC191*($K191)+(BC191-BD191-BE191)*(1-$K191)</f>
        <v>0</v>
      </c>
      <c r="BG191" s="1074"/>
      <c r="BK191" s="1146">
        <f>BK465</f>
        <v>882712895.70983398</v>
      </c>
      <c r="BL191" s="1118">
        <f>VLOOKUP($E191,BK$442:BN$453,2,FALSE)*BK191*($K191)+IF($G191&lt;&gt;0,($H191/$G191)*BK191,0)*(1-$K191)</f>
        <v>882712895.70983398</v>
      </c>
      <c r="BM191" s="1118">
        <f>VLOOKUP($E191,BK$442:BN$453,3,FALSE)*BK191*($K191)+IF($G191&lt;&gt;0,($I191/$G191)*BK191,0)*(1-$K191)</f>
        <v>0</v>
      </c>
      <c r="BN191" s="1118">
        <f>VLOOKUP($E191,BK$442:BN$453,4,FALSE)*BK191*($K191)+(BK191-BL191-BM191)*(1-$K191)</f>
        <v>0</v>
      </c>
      <c r="BO191" s="1074"/>
      <c r="BS191" s="1146">
        <f>BS465</f>
        <v>882712895.70983398</v>
      </c>
      <c r="BT191" s="1118">
        <f>VLOOKUP($E191,BS$442:BV$453,2,FALSE)*BS191*($K191)+IF($G191&lt;&gt;0,($H191/$G191)*BS191,0)*(1-$K191)</f>
        <v>882712895.70983398</v>
      </c>
      <c r="BU191" s="1118">
        <f>VLOOKUP($E191,BS$442:BV$453,3,FALSE)*BS191*($K191)+IF($G191&lt;&gt;0,($I191/$G191)*BS191,0)*(1-$K191)</f>
        <v>0</v>
      </c>
      <c r="BV191" s="1118">
        <f>VLOOKUP($E191,BS$442:BV$453,4,FALSE)*BS191*($K191)+(BS191-BT191-BU191)*(1-$K191)</f>
        <v>0</v>
      </c>
      <c r="BW191" s="1074"/>
      <c r="CA191" s="1146">
        <f>CA465</f>
        <v>882712895.70983398</v>
      </c>
      <c r="CB191" s="1118">
        <f>VLOOKUP($E191,CA$442:CD$453,2,FALSE)*CA191*($K191)+IF($G191&lt;&gt;0,($H191/$G191)*CA191,0)*(1-$K191)</f>
        <v>882712895.70983398</v>
      </c>
      <c r="CC191" s="1118">
        <f>VLOOKUP($E191,CA$442:CD$453,3,FALSE)*CA191*($K191)+IF($G191&lt;&gt;0,($I191/$G191)*CA191,0)*(1-$K191)</f>
        <v>0</v>
      </c>
      <c r="CD191" s="1118">
        <f>VLOOKUP($E191,CA$442:CD$453,4,FALSE)*CA191*($K191)+(CA191-CB191-CC191)*(1-$K191)</f>
        <v>0</v>
      </c>
      <c r="CE191" s="1074"/>
      <c r="CI191" s="1146">
        <f>CI465</f>
        <v>882712895.70983398</v>
      </c>
      <c r="CJ191" s="1118">
        <f>VLOOKUP($E191,CI$442:CL$453,2,FALSE)*CI191*($K191)+IF($G191&lt;&gt;0,($H191/$G191)*CI191,0)*(1-$K191)</f>
        <v>882712895.70983398</v>
      </c>
      <c r="CK191" s="1118">
        <f>VLOOKUP($E191,CI$442:CL$453,3,FALSE)*CI191*($K191)+IF($G191&lt;&gt;0,($I191/$G191)*CI191,0)*(1-$K191)</f>
        <v>0</v>
      </c>
      <c r="CL191" s="1118">
        <f>VLOOKUP($E191,CI$442:CL$453,4,FALSE)*CI191*($K191)+(CI191-CJ191-CK191)*(1-$K191)</f>
        <v>0</v>
      </c>
      <c r="CM191" s="1074"/>
      <c r="CQ191" s="1146">
        <f>CQ465</f>
        <v>882712895.70983398</v>
      </c>
      <c r="CR191" s="1118">
        <f>VLOOKUP($E191,CQ$442:CT$453,2,FALSE)*CQ191*($K191)+IF($G191&lt;&gt;0,($H191/$G191)*CQ191,0)*(1-$K191)</f>
        <v>882712895.70983398</v>
      </c>
      <c r="CS191" s="1118">
        <f>VLOOKUP($E191,CQ$442:CT$453,3,FALSE)*CQ191*($K191)+IF($G191&lt;&gt;0,($I191/$G191)*CQ191,0)*(1-$K191)</f>
        <v>0</v>
      </c>
      <c r="CT191" s="1118">
        <f>VLOOKUP($E191,CQ$442:CT$453,4,FALSE)*CQ191*($K191)+(CQ191-CR191-CS191)*(1-$K191)</f>
        <v>0</v>
      </c>
      <c r="CU191" s="1074"/>
      <c r="CY191" s="1146">
        <f>CY465</f>
        <v>882712895.70983398</v>
      </c>
      <c r="CZ191" s="1118">
        <f>VLOOKUP($E191,CY$442:DB$453,2,FALSE)*CY191*($K191)+IF($G191&lt;&gt;0,($H191/$G191)*CY191,0)*(1-$K191)</f>
        <v>882712895.70983398</v>
      </c>
      <c r="DA191" s="1118">
        <f>VLOOKUP($E191,CY$442:DB$453,3,FALSE)*CY191*($K191)+IF($G191&lt;&gt;0,($I191/$G191)*CY191,0)*(1-$K191)</f>
        <v>0</v>
      </c>
      <c r="DB191" s="1118">
        <f>VLOOKUP($E191,CY$442:DB$453,4,FALSE)*CY191*($K191)+(CY191-CZ191-DA191)*(1-$K191)</f>
        <v>0</v>
      </c>
      <c r="DC191" s="1074"/>
      <c r="DG191" s="1146">
        <f>DG465</f>
        <v>882712895.70983398</v>
      </c>
      <c r="DH191" s="1118">
        <f>VLOOKUP($E191,DG$442:DJ$453,2,FALSE)*DG191*($K191)+IF($G191&lt;&gt;0,($H191/$G191)*DG191,0)*(1-$K191)</f>
        <v>882712895.70983398</v>
      </c>
      <c r="DI191" s="1118">
        <f>VLOOKUP($E191,DG$442:DJ$453,3,FALSE)*DG191*($K191)+IF($G191&lt;&gt;0,($I191/$G191)*DG191,0)*(1-$K191)</f>
        <v>0</v>
      </c>
      <c r="DJ191" s="1118">
        <f>VLOOKUP($E191,DG$442:DJ$453,4,FALSE)*DG191*($K191)+(DG191-DH191-DI191)*(1-$K191)</f>
        <v>0</v>
      </c>
      <c r="DK191" s="1074"/>
      <c r="DO191" s="1146">
        <f>DO465</f>
        <v>882712895.70983398</v>
      </c>
      <c r="DP191" s="1118">
        <f>VLOOKUP($E191,DO$442:DR$453,2,FALSE)*DO191*($K191)+IF($G191&lt;&gt;0,($H191/$G191)*DO191,0)*(1-$K191)</f>
        <v>882712895.70983398</v>
      </c>
      <c r="DQ191" s="1118">
        <f>VLOOKUP($E191,DO$442:DR$453,3,FALSE)*DO191*($K191)+IF($G191&lt;&gt;0,($I191/$G191)*DO191,0)*(1-$K191)</f>
        <v>0</v>
      </c>
      <c r="DR191" s="1118">
        <f>VLOOKUP($E191,DO$442:DR$453,4,FALSE)*DO191*($K191)+(DO191-DP191-DQ191)*(1-$K191)</f>
        <v>0</v>
      </c>
      <c r="DS191" s="1074"/>
      <c r="DW191" s="1146">
        <f>DW465</f>
        <v>882712895.70983398</v>
      </c>
      <c r="DX191" s="1118">
        <f>VLOOKUP($E191,DW$442:DZ$453,2,FALSE)*DW191*($K191)+IF($G191&lt;&gt;0,($H191/$G191)*DW191,0)*(1-$K191)</f>
        <v>882712895.70983398</v>
      </c>
      <c r="DY191" s="1118">
        <f>VLOOKUP($E191,DW$442:DZ$453,3,FALSE)*DW191*($K191)+IF($G191&lt;&gt;0,($I191/$G191)*DW191,0)*(1-$K191)</f>
        <v>0</v>
      </c>
      <c r="DZ191" s="1118">
        <f>VLOOKUP($E191,DW$442:DZ$453,4,FALSE)*DW191*($K191)+(DW191-DX191-DY191)*(1-$K191)</f>
        <v>0</v>
      </c>
      <c r="EA191" s="1074"/>
      <c r="EE191" s="1146">
        <f>EE465</f>
        <v>882712895.70983398</v>
      </c>
      <c r="EF191" s="1118">
        <f>VLOOKUP($E191,EE$442:EH$453,2,FALSE)*EE191*($K191)+IF($G191&lt;&gt;0,($H191/$G191)*EE191,0)*(1-$K191)</f>
        <v>882712895.70983398</v>
      </c>
      <c r="EG191" s="1118">
        <f>VLOOKUP($E191,EE$442:EH$453,3,FALSE)*EE191*($K191)+IF($G191&lt;&gt;0,($I191/$G191)*EE191,0)*(1-$K191)</f>
        <v>0</v>
      </c>
      <c r="EH191" s="1118">
        <f>VLOOKUP($E191,EE$442:EH$453,4,FALSE)*EE191*($K191)+(EE191-EF191-EG191)*(1-$K191)</f>
        <v>0</v>
      </c>
      <c r="EI191" s="1074"/>
      <c r="EM191" s="1146">
        <f>EM465</f>
        <v>882712895.70983398</v>
      </c>
      <c r="EN191" s="1118">
        <f>VLOOKUP($E191,EM$442:EP$453,2,FALSE)*EM191*($K191)+IF($G191&lt;&gt;0,($H191/$G191)*EM191,0)*(1-$K191)</f>
        <v>882712895.70983398</v>
      </c>
      <c r="EO191" s="1118">
        <f>VLOOKUP($E191,EM$442:EP$453,3,FALSE)*EM191*($K191)+IF($G191&lt;&gt;0,($I191/$G191)*EM191,0)*(1-$K191)</f>
        <v>0</v>
      </c>
      <c r="EP191" s="1118">
        <f>VLOOKUP($E191,EM$442:EP$453,4,FALSE)*EM191*($K191)+(EM191-EN191-EO191)*(1-$K191)</f>
        <v>0</v>
      </c>
      <c r="EQ191" s="1074"/>
      <c r="EU191" s="1146">
        <f>EU465</f>
        <v>882712895.70983398</v>
      </c>
      <c r="EV191" s="1118">
        <f>VLOOKUP($E191,EU$442:EX$453,2,FALSE)*EU191*($K191)+IF($G191&lt;&gt;0,($H191/$G191)*EU191,0)*(1-$K191)</f>
        <v>882712895.70983398</v>
      </c>
      <c r="EW191" s="1118">
        <f>VLOOKUP($E191,EU$442:EX$453,3,FALSE)*EU191*($K191)+IF($G191&lt;&gt;0,($I191/$G191)*EU191,0)*(1-$K191)</f>
        <v>0</v>
      </c>
      <c r="EX191" s="1118">
        <f>VLOOKUP($E191,EU$442:EX$453,4,FALSE)*EU191*($K191)+(EU191-EV191-EW191)*(1-$K191)</f>
        <v>0</v>
      </c>
      <c r="EY191" s="1074"/>
      <c r="FC191" s="1146">
        <f>FC465</f>
        <v>882712895.70983398</v>
      </c>
      <c r="FD191" s="1118">
        <f>VLOOKUP($E191,FC$442:FF$453,2,FALSE)*FC191*($K191)+IF($G191&lt;&gt;0,($H191/$G191)*FC191,0)*(1-$K191)</f>
        <v>882712895.70983398</v>
      </c>
      <c r="FE191" s="1118">
        <f>VLOOKUP($E191,FC$442:FF$453,3,FALSE)*FC191*($K191)+IF($G191&lt;&gt;0,($I191/$G191)*FC191,0)*(1-$K191)</f>
        <v>0</v>
      </c>
      <c r="FF191" s="1118">
        <f>VLOOKUP($E191,FC$442:FF$453,4,FALSE)*FC191*($K191)+(FC191-FD191-FE191)*(1-$K191)</f>
        <v>0</v>
      </c>
      <c r="FG191" s="1074"/>
      <c r="FK191" s="1146">
        <f>FK465</f>
        <v>882712895.70983398</v>
      </c>
      <c r="FL191" s="1118">
        <f>VLOOKUP($E191,FK$442:FN$453,2,FALSE)*FK191*($K191)+IF($G191&lt;&gt;0,($H191/$G191)*FK191,0)*(1-$K191)</f>
        <v>882712895.70983398</v>
      </c>
      <c r="FM191" s="1118">
        <f>VLOOKUP($E191,FK$442:FN$453,3,FALSE)*FK191*($K191)+IF($G191&lt;&gt;0,($I191/$G191)*FK191,0)*(1-$K191)</f>
        <v>0</v>
      </c>
      <c r="FN191" s="1118">
        <f>VLOOKUP($E191,FK$442:FN$453,4,FALSE)*FK191*($K191)+(FK191-FL191-FM191)*(1-$K191)</f>
        <v>0</v>
      </c>
      <c r="FO191" s="1074"/>
    </row>
    <row r="192" spans="1:171" x14ac:dyDescent="0.25">
      <c r="A192" s="1390">
        <v>810</v>
      </c>
      <c r="B192" s="914" t="s">
        <v>455</v>
      </c>
      <c r="C192" s="889" t="s">
        <v>72</v>
      </c>
      <c r="D192" s="889">
        <v>556</v>
      </c>
      <c r="E192" s="182" t="str">
        <f>'Sch 3 - Expenses'!E32</f>
        <v>PROD</v>
      </c>
      <c r="F192" s="890"/>
      <c r="G192" s="182">
        <f>'Sch 3 - Expenses'!G32</f>
        <v>1404247.5549966942</v>
      </c>
      <c r="H192" s="182">
        <f>'Sch 3 - Expenses'!H32</f>
        <v>1404247.5549966942</v>
      </c>
      <c r="I192" s="182">
        <f>'Sch 3 - Expenses'!I32</f>
        <v>0</v>
      </c>
      <c r="J192" s="183">
        <f>'Sch 3 - Expenses'!J32</f>
        <v>0</v>
      </c>
      <c r="K192" s="904">
        <f t="shared" si="547"/>
        <v>1</v>
      </c>
      <c r="N192" s="1130">
        <f>VLOOKUP($A192,'New Resources - Individual'!$A$4:$Y$133,N$2,FALSE)*N$1</f>
        <v>0</v>
      </c>
      <c r="O192" s="1117">
        <f>$G192+N192</f>
        <v>1404247.5549966942</v>
      </c>
      <c r="P192" s="1118">
        <f>VLOOKUP($E192,O$442:R$453,2,FALSE)*O192*($K192)+IF($G192&lt;&gt;0,($H192/$G192)*O192,0)*(1-$K192)</f>
        <v>1404247.5549966942</v>
      </c>
      <c r="Q192" s="1118">
        <f>VLOOKUP($E192,O$442:R$453,3,FALSE)*O192*($K192)+IF($G192&lt;&gt;0,($I192/$G192)*O192,0)*(1-$K192)</f>
        <v>0</v>
      </c>
      <c r="R192" s="1118">
        <f>VLOOKUP($E192,O$442:R$453,4,FALSE)*O192*($K192)+(O192-P192-Q192)*(1-$K192)</f>
        <v>0</v>
      </c>
      <c r="S192" s="1074"/>
      <c r="V192" s="1130">
        <f>VLOOKUP($A192,'New Resources - Individual'!$A$4:$Y$133,V$2,FALSE)*V$1</f>
        <v>0</v>
      </c>
      <c r="W192" s="1117">
        <f>$G192+V192</f>
        <v>1404247.5549966942</v>
      </c>
      <c r="X192" s="1118">
        <f>VLOOKUP($E192,W$442:Z$453,2,FALSE)*W192*($K192)+IF($G192&lt;&gt;0,($H192/$G192)*W192,0)*(1-$K192)</f>
        <v>1404247.5549966942</v>
      </c>
      <c r="Y192" s="1118">
        <f>VLOOKUP($E192,W$442:Z$453,3,FALSE)*W192*($K192)+IF($G192&lt;&gt;0,($I192/$G192)*W192,0)*(1-$K192)</f>
        <v>0</v>
      </c>
      <c r="Z192" s="1118">
        <f>VLOOKUP($E192,W$442:Z$453,4,FALSE)*W192*($K192)+(W192-X192-Y192)*(1-$K192)</f>
        <v>0</v>
      </c>
      <c r="AA192" s="1074"/>
      <c r="AD192" s="1130">
        <f>VLOOKUP($A192,'New Resources - Individual'!$A$4:$Y$133,AD$2,FALSE)*AD$1</f>
        <v>0</v>
      </c>
      <c r="AE192" s="1117">
        <f>$G192+AD192</f>
        <v>1404247.5549966942</v>
      </c>
      <c r="AF192" s="1118">
        <f>VLOOKUP($E192,AE$442:AH$453,2,FALSE)*AE192*($K192)+IF($G192&lt;&gt;0,($H192/$G192)*AE192,0)*(1-$K192)</f>
        <v>1404247.5549966942</v>
      </c>
      <c r="AG192" s="1118">
        <f>VLOOKUP($E192,AE$442:AH$453,3,FALSE)*AE192*($K192)+IF($G192&lt;&gt;0,($I192/$G192)*AE192,0)*(1-$K192)</f>
        <v>0</v>
      </c>
      <c r="AH192" s="1118">
        <f>VLOOKUP($E192,AE$442:AH$453,4,FALSE)*AE192*($K192)+(AE192-AF192-AG192)*(1-$K192)</f>
        <v>0</v>
      </c>
      <c r="AI192" s="1074"/>
      <c r="AL192" s="1130">
        <f>VLOOKUP($A192,'New Resources - Individual'!$A$4:$Y$133,AL$2,FALSE)*AL$1</f>
        <v>0</v>
      </c>
      <c r="AM192" s="1117">
        <f>$G192+AL192</f>
        <v>1404247.5549966942</v>
      </c>
      <c r="AN192" s="1118">
        <f>VLOOKUP($E192,AM$442:AP$453,2,FALSE)*AM192*($K192)+IF($G192&lt;&gt;0,($H192/$G192)*AM192,0)*(1-$K192)</f>
        <v>1404247.5549966942</v>
      </c>
      <c r="AO192" s="1118">
        <f>VLOOKUP($E192,AM$442:AP$453,3,FALSE)*AM192*($K192)+IF($G192&lt;&gt;0,($I192/$G192)*AM192,0)*(1-$K192)</f>
        <v>0</v>
      </c>
      <c r="AP192" s="1118">
        <f>VLOOKUP($E192,AM$442:AP$453,4,FALSE)*AM192*($K192)+(AM192-AN192-AO192)*(1-$K192)</f>
        <v>0</v>
      </c>
      <c r="AQ192" s="1074"/>
      <c r="AT192" s="1130">
        <f>VLOOKUP($A192,'New Resources - Individual'!$A$4:$Y$133,AT$2,FALSE)*AT$1</f>
        <v>0</v>
      </c>
      <c r="AU192" s="1117">
        <f>$G192+AT192</f>
        <v>1404247.5549966942</v>
      </c>
      <c r="AV192" s="1118">
        <f>VLOOKUP($E192,AU$442:AX$453,2,FALSE)*AU192*($K192)+IF($G192&lt;&gt;0,($H192/$G192)*AU192,0)*(1-$K192)</f>
        <v>1404247.5549966942</v>
      </c>
      <c r="AW192" s="1118">
        <f>VLOOKUP($E192,AU$442:AX$453,3,FALSE)*AU192*($K192)+IF($G192&lt;&gt;0,($I192/$G192)*AU192,0)*(1-$K192)</f>
        <v>0</v>
      </c>
      <c r="AX192" s="1118">
        <f>VLOOKUP($E192,AU$442:AX$453,4,FALSE)*AU192*($K192)+(AU192-AV192-AW192)*(1-$K192)</f>
        <v>0</v>
      </c>
      <c r="AY192" s="1074"/>
      <c r="BB192" s="1130">
        <f>VLOOKUP($A192,'New Resources - Individual'!$A$4:$Y$133,BB$2,FALSE)*BB$1</f>
        <v>0</v>
      </c>
      <c r="BC192" s="1117">
        <f>$G192+BB192</f>
        <v>1404247.5549966942</v>
      </c>
      <c r="BD192" s="1118">
        <f>VLOOKUP($E192,BC$442:BF$453,2,FALSE)*BC192*($K192)+IF($G192&lt;&gt;0,($H192/$G192)*BC192,0)*(1-$K192)</f>
        <v>1404247.5549966942</v>
      </c>
      <c r="BE192" s="1118">
        <f>VLOOKUP($E192,BC$442:BF$453,3,FALSE)*BC192*($K192)+IF($G192&lt;&gt;0,($I192/$G192)*BC192,0)*(1-$K192)</f>
        <v>0</v>
      </c>
      <c r="BF192" s="1118">
        <f>VLOOKUP($E192,BC$442:BF$453,4,FALSE)*BC192*($K192)+(BC192-BD192-BE192)*(1-$K192)</f>
        <v>0</v>
      </c>
      <c r="BG192" s="1074"/>
      <c r="BJ192" s="1130">
        <f>VLOOKUP($A192,'New Resources - Individual'!$A$4:$Y$133,BJ$2,FALSE)*BJ$1</f>
        <v>0</v>
      </c>
      <c r="BK192" s="1117">
        <f>$G192+BJ192</f>
        <v>1404247.5549966942</v>
      </c>
      <c r="BL192" s="1118">
        <f>VLOOKUP($E192,BK$442:BN$453,2,FALSE)*BK192*($K192)+IF($G192&lt;&gt;0,($H192/$G192)*BK192,0)*(1-$K192)</f>
        <v>1404247.5549966942</v>
      </c>
      <c r="BM192" s="1118">
        <f>VLOOKUP($E192,BK$442:BN$453,3,FALSE)*BK192*($K192)+IF($G192&lt;&gt;0,($I192/$G192)*BK192,0)*(1-$K192)</f>
        <v>0</v>
      </c>
      <c r="BN192" s="1118">
        <f>VLOOKUP($E192,BK$442:BN$453,4,FALSE)*BK192*($K192)+(BK192-BL192-BM192)*(1-$K192)</f>
        <v>0</v>
      </c>
      <c r="BO192" s="1074"/>
      <c r="BR192" s="1130">
        <f>VLOOKUP($A192,'New Resources - Individual'!$A$4:$Y$133,BR$2,FALSE)*BR$1</f>
        <v>0</v>
      </c>
      <c r="BS192" s="1117">
        <f>$G192+BR192</f>
        <v>1404247.5549966942</v>
      </c>
      <c r="BT192" s="1118">
        <f>VLOOKUP($E192,BS$442:BV$453,2,FALSE)*BS192*($K192)+IF($G192&lt;&gt;0,($H192/$G192)*BS192,0)*(1-$K192)</f>
        <v>1404247.5549966942</v>
      </c>
      <c r="BU192" s="1118">
        <f>VLOOKUP($E192,BS$442:BV$453,3,FALSE)*BS192*($K192)+IF($G192&lt;&gt;0,($I192/$G192)*BS192,0)*(1-$K192)</f>
        <v>0</v>
      </c>
      <c r="BV192" s="1118">
        <f>VLOOKUP($E192,BS$442:BV$453,4,FALSE)*BS192*($K192)+(BS192-BT192-BU192)*(1-$K192)</f>
        <v>0</v>
      </c>
      <c r="BW192" s="1074"/>
      <c r="BZ192" s="1130">
        <f>VLOOKUP($A192,'New Resources - Individual'!$A$4:$Y$133,BZ$2,FALSE)*BZ$1</f>
        <v>0</v>
      </c>
      <c r="CA192" s="1117">
        <f>$G192+BZ192</f>
        <v>1404247.5549966942</v>
      </c>
      <c r="CB192" s="1118">
        <f>VLOOKUP($E192,CA$442:CD$453,2,FALSE)*CA192*($K192)+IF($G192&lt;&gt;0,($H192/$G192)*CA192,0)*(1-$K192)</f>
        <v>1404247.5549966942</v>
      </c>
      <c r="CC192" s="1118">
        <f>VLOOKUP($E192,CA$442:CD$453,3,FALSE)*CA192*($K192)+IF($G192&lt;&gt;0,($I192/$G192)*CA192,0)*(1-$K192)</f>
        <v>0</v>
      </c>
      <c r="CD192" s="1118">
        <f>VLOOKUP($E192,CA$442:CD$453,4,FALSE)*CA192*($K192)+(CA192-CB192-CC192)*(1-$K192)</f>
        <v>0</v>
      </c>
      <c r="CE192" s="1074"/>
      <c r="CH192" s="1130">
        <f>VLOOKUP($A192,'New Resources - Individual'!$A$4:$Y$133,CH$2,FALSE)*CH$1</f>
        <v>0</v>
      </c>
      <c r="CI192" s="1117">
        <f>$G192+CH192</f>
        <v>1404247.5549966942</v>
      </c>
      <c r="CJ192" s="1118">
        <f>VLOOKUP($E192,CI$442:CL$453,2,FALSE)*CI192*($K192)+IF($G192&lt;&gt;0,($H192/$G192)*CI192,0)*(1-$K192)</f>
        <v>1404247.5549966942</v>
      </c>
      <c r="CK192" s="1118">
        <f>VLOOKUP($E192,CI$442:CL$453,3,FALSE)*CI192*($K192)+IF($G192&lt;&gt;0,($I192/$G192)*CI192,0)*(1-$K192)</f>
        <v>0</v>
      </c>
      <c r="CL192" s="1118">
        <f>VLOOKUP($E192,CI$442:CL$453,4,FALSE)*CI192*($K192)+(CI192-CJ192-CK192)*(1-$K192)</f>
        <v>0</v>
      </c>
      <c r="CM192" s="1074"/>
      <c r="CP192" s="1130">
        <f>VLOOKUP($A192,'New Resources - Individual'!$A$4:$Y$133,CP$2,FALSE)*CP$1</f>
        <v>0</v>
      </c>
      <c r="CQ192" s="1117">
        <f>$G192+CP192</f>
        <v>1404247.5549966942</v>
      </c>
      <c r="CR192" s="1118">
        <f>VLOOKUP($E192,CQ$442:CT$453,2,FALSE)*CQ192*($K192)+IF($G192&lt;&gt;0,($H192/$G192)*CQ192,0)*(1-$K192)</f>
        <v>1404247.5549966942</v>
      </c>
      <c r="CS192" s="1118">
        <f>VLOOKUP($E192,CQ$442:CT$453,3,FALSE)*CQ192*($K192)+IF($G192&lt;&gt;0,($I192/$G192)*CQ192,0)*(1-$K192)</f>
        <v>0</v>
      </c>
      <c r="CT192" s="1118">
        <f>VLOOKUP($E192,CQ$442:CT$453,4,FALSE)*CQ192*($K192)+(CQ192-CR192-CS192)*(1-$K192)</f>
        <v>0</v>
      </c>
      <c r="CU192" s="1074"/>
      <c r="CX192" s="1130">
        <f>VLOOKUP($A192,'New Resources - Individual'!$A$4:$Y$133,CX$2,FALSE)*CX$1</f>
        <v>0</v>
      </c>
      <c r="CY192" s="1117">
        <f>$G192+CX192</f>
        <v>1404247.5549966942</v>
      </c>
      <c r="CZ192" s="1118">
        <f>VLOOKUP($E192,CY$442:DB$453,2,FALSE)*CY192*($K192)+IF($G192&lt;&gt;0,($H192/$G192)*CY192,0)*(1-$K192)</f>
        <v>1404247.5549966942</v>
      </c>
      <c r="DA192" s="1118">
        <f>VLOOKUP($E192,CY$442:DB$453,3,FALSE)*CY192*($K192)+IF($G192&lt;&gt;0,($I192/$G192)*CY192,0)*(1-$K192)</f>
        <v>0</v>
      </c>
      <c r="DB192" s="1118">
        <f>VLOOKUP($E192,CY$442:DB$453,4,FALSE)*CY192*($K192)+(CY192-CZ192-DA192)*(1-$K192)</f>
        <v>0</v>
      </c>
      <c r="DC192" s="1074"/>
      <c r="DF192" s="1130">
        <f>VLOOKUP($A192,'New Resources - Individual'!$A$4:$Y$133,DF$2,FALSE)*DF$1</f>
        <v>0</v>
      </c>
      <c r="DG192" s="1117">
        <f>$G192+DF192</f>
        <v>1404247.5549966942</v>
      </c>
      <c r="DH192" s="1118">
        <f>VLOOKUP($E192,DG$442:DJ$453,2,FALSE)*DG192*($K192)+IF($G192&lt;&gt;0,($H192/$G192)*DG192,0)*(1-$K192)</f>
        <v>1404247.5549966942</v>
      </c>
      <c r="DI192" s="1118">
        <f>VLOOKUP($E192,DG$442:DJ$453,3,FALSE)*DG192*($K192)+IF($G192&lt;&gt;0,($I192/$G192)*DG192,0)*(1-$K192)</f>
        <v>0</v>
      </c>
      <c r="DJ192" s="1118">
        <f>VLOOKUP($E192,DG$442:DJ$453,4,FALSE)*DG192*($K192)+(DG192-DH192-DI192)*(1-$K192)</f>
        <v>0</v>
      </c>
      <c r="DK192" s="1074"/>
      <c r="DN192" s="1130">
        <f>VLOOKUP($A192,'New Resources - Individual'!$A$4:$Y$133,DN$2,FALSE)*DN$1</f>
        <v>0</v>
      </c>
      <c r="DO192" s="1117">
        <f>$G192+DN192</f>
        <v>1404247.5549966942</v>
      </c>
      <c r="DP192" s="1118">
        <f>VLOOKUP($E192,DO$442:DR$453,2,FALSE)*DO192*($K192)+IF($G192&lt;&gt;0,($H192/$G192)*DO192,0)*(1-$K192)</f>
        <v>1404247.5549966942</v>
      </c>
      <c r="DQ192" s="1118">
        <f>VLOOKUP($E192,DO$442:DR$453,3,FALSE)*DO192*($K192)+IF($G192&lt;&gt;0,($I192/$G192)*DO192,0)*(1-$K192)</f>
        <v>0</v>
      </c>
      <c r="DR192" s="1118">
        <f>VLOOKUP($E192,DO$442:DR$453,4,FALSE)*DO192*($K192)+(DO192-DP192-DQ192)*(1-$K192)</f>
        <v>0</v>
      </c>
      <c r="DS192" s="1074"/>
      <c r="DV192" s="1130">
        <f>VLOOKUP($A192,'New Resources - Individual'!$A$4:$Y$133,DV$2,FALSE)*DV$1</f>
        <v>0</v>
      </c>
      <c r="DW192" s="1117">
        <f>$G192+DV192</f>
        <v>1404247.5549966942</v>
      </c>
      <c r="DX192" s="1118">
        <f>VLOOKUP($E192,DW$442:DZ$453,2,FALSE)*DW192*($K192)+IF($G192&lt;&gt;0,($H192/$G192)*DW192,0)*(1-$K192)</f>
        <v>1404247.5549966942</v>
      </c>
      <c r="DY192" s="1118">
        <f>VLOOKUP($E192,DW$442:DZ$453,3,FALSE)*DW192*($K192)+IF($G192&lt;&gt;0,($I192/$G192)*DW192,0)*(1-$K192)</f>
        <v>0</v>
      </c>
      <c r="DZ192" s="1118">
        <f>VLOOKUP($E192,DW$442:DZ$453,4,FALSE)*DW192*($K192)+(DW192-DX192-DY192)*(1-$K192)</f>
        <v>0</v>
      </c>
      <c r="EA192" s="1074"/>
      <c r="ED192" s="1130">
        <f>VLOOKUP($A192,'New Resources - Individual'!$A$4:$Y$133,ED$2,FALSE)*ED$1</f>
        <v>0</v>
      </c>
      <c r="EE192" s="1117">
        <f>$G192+ED192</f>
        <v>1404247.5549966942</v>
      </c>
      <c r="EF192" s="1118">
        <f>VLOOKUP($E192,EE$442:EH$453,2,FALSE)*EE192*($K192)+IF($G192&lt;&gt;0,($H192/$G192)*EE192,0)*(1-$K192)</f>
        <v>1404247.5549966942</v>
      </c>
      <c r="EG192" s="1118">
        <f>VLOOKUP($E192,EE$442:EH$453,3,FALSE)*EE192*($K192)+IF($G192&lt;&gt;0,($I192/$G192)*EE192,0)*(1-$K192)</f>
        <v>0</v>
      </c>
      <c r="EH192" s="1118">
        <f>VLOOKUP($E192,EE$442:EH$453,4,FALSE)*EE192*($K192)+(EE192-EF192-EG192)*(1-$K192)</f>
        <v>0</v>
      </c>
      <c r="EI192" s="1074"/>
      <c r="EL192" s="1130">
        <f>VLOOKUP($A192,'New Resources - Individual'!$A$4:$Y$133,EL$2,FALSE)*EL$1</f>
        <v>0</v>
      </c>
      <c r="EM192" s="1117">
        <f>$G192+EL192</f>
        <v>1404247.5549966942</v>
      </c>
      <c r="EN192" s="1118">
        <f>VLOOKUP($E192,EM$442:EP$453,2,FALSE)*EM192*($K192)+IF($G192&lt;&gt;0,($H192/$G192)*EM192,0)*(1-$K192)</f>
        <v>1404247.5549966942</v>
      </c>
      <c r="EO192" s="1118">
        <f>VLOOKUP($E192,EM$442:EP$453,3,FALSE)*EM192*($K192)+IF($G192&lt;&gt;0,($I192/$G192)*EM192,0)*(1-$K192)</f>
        <v>0</v>
      </c>
      <c r="EP192" s="1118">
        <f>VLOOKUP($E192,EM$442:EP$453,4,FALSE)*EM192*($K192)+(EM192-EN192-EO192)*(1-$K192)</f>
        <v>0</v>
      </c>
      <c r="EQ192" s="1074"/>
      <c r="ET192" s="1130">
        <f>VLOOKUP($A192,'New Resources - Individual'!$A$4:$Y$133,ET$2,FALSE)*ET$1</f>
        <v>0</v>
      </c>
      <c r="EU192" s="1117">
        <f>$G192+ET192</f>
        <v>1404247.5549966942</v>
      </c>
      <c r="EV192" s="1118">
        <f>VLOOKUP($E192,EU$442:EX$453,2,FALSE)*EU192*($K192)+IF($G192&lt;&gt;0,($H192/$G192)*EU192,0)*(1-$K192)</f>
        <v>1404247.5549966942</v>
      </c>
      <c r="EW192" s="1118">
        <f>VLOOKUP($E192,EU$442:EX$453,3,FALSE)*EU192*($K192)+IF($G192&lt;&gt;0,($I192/$G192)*EU192,0)*(1-$K192)</f>
        <v>0</v>
      </c>
      <c r="EX192" s="1118">
        <f>VLOOKUP($E192,EU$442:EX$453,4,FALSE)*EU192*($K192)+(EU192-EV192-EW192)*(1-$K192)</f>
        <v>0</v>
      </c>
      <c r="EY192" s="1074"/>
      <c r="FB192" s="1130">
        <f>VLOOKUP($A192,'New Resources - Individual'!$A$4:$Y$133,FB$2,FALSE)*FB$1</f>
        <v>0</v>
      </c>
      <c r="FC192" s="1117">
        <f>$G192+FB192</f>
        <v>1404247.5549966942</v>
      </c>
      <c r="FD192" s="1118">
        <f>VLOOKUP($E192,FC$442:FF$453,2,FALSE)*FC192*($K192)+IF($G192&lt;&gt;0,($H192/$G192)*FC192,0)*(1-$K192)</f>
        <v>1404247.5549966942</v>
      </c>
      <c r="FE192" s="1118">
        <f>VLOOKUP($E192,FC$442:FF$453,3,FALSE)*FC192*($K192)+IF($G192&lt;&gt;0,($I192/$G192)*FC192,0)*(1-$K192)</f>
        <v>0</v>
      </c>
      <c r="FF192" s="1118">
        <f>VLOOKUP($E192,FC$442:FF$453,4,FALSE)*FC192*($K192)+(FC192-FD192-FE192)*(1-$K192)</f>
        <v>0</v>
      </c>
      <c r="FG192" s="1074"/>
      <c r="FJ192" s="1130">
        <f>VLOOKUP($A192,'New Resources - Individual'!$A$4:$Y$133,FJ$2,FALSE)*FJ$1</f>
        <v>0</v>
      </c>
      <c r="FK192" s="1117">
        <f>$G192+FJ192</f>
        <v>1404247.5549966942</v>
      </c>
      <c r="FL192" s="1118">
        <f>VLOOKUP($E192,FK$442:FN$453,2,FALSE)*FK192*($K192)+IF($G192&lt;&gt;0,($H192/$G192)*FK192,0)*(1-$K192)</f>
        <v>1404247.5549966942</v>
      </c>
      <c r="FM192" s="1118">
        <f>VLOOKUP($E192,FK$442:FN$453,3,FALSE)*FK192*($K192)+IF($G192&lt;&gt;0,($I192/$G192)*FK192,0)*(1-$K192)</f>
        <v>0</v>
      </c>
      <c r="FN192" s="1118">
        <f>VLOOKUP($E192,FK$442:FN$453,4,FALSE)*FK192*($K192)+(FK192-FL192-FM192)*(1-$K192)</f>
        <v>0</v>
      </c>
      <c r="FO192" s="1074"/>
    </row>
    <row r="193" spans="1:171" x14ac:dyDescent="0.25">
      <c r="A193" s="1390">
        <v>820</v>
      </c>
      <c r="B193" s="914" t="s">
        <v>267</v>
      </c>
      <c r="C193" s="889" t="s">
        <v>72</v>
      </c>
      <c r="D193" s="889">
        <v>557</v>
      </c>
      <c r="E193" s="182" t="str">
        <f>'Sch 3 - Expenses'!E33</f>
        <v>PROD</v>
      </c>
      <c r="F193" s="890"/>
      <c r="G193" s="182">
        <f>'Sch 3 - Expenses'!G33</f>
        <v>27307851.333301872</v>
      </c>
      <c r="H193" s="182">
        <f>'Sch 3 - Expenses'!H33</f>
        <v>27307851.333301872</v>
      </c>
      <c r="I193" s="182">
        <f>'Sch 3 - Expenses'!I33</f>
        <v>0</v>
      </c>
      <c r="J193" s="183">
        <f>'Sch 3 - Expenses'!J33</f>
        <v>0</v>
      </c>
      <c r="K193" s="904">
        <f t="shared" si="547"/>
        <v>1</v>
      </c>
      <c r="N193" s="1158">
        <f>VLOOKUP($A193,'New Resources - Individual'!$A$4:$Y$133,N$2,FALSE)*N$1</f>
        <v>0</v>
      </c>
      <c r="O193" s="1117">
        <f>$G193+N193</f>
        <v>27307851.333301872</v>
      </c>
      <c r="P193" s="1118">
        <f>VLOOKUP($E193,O$442:R$453,2,FALSE)*O193*($K193)+IF($G193&lt;&gt;0,($H193/$G193)*O193,0)*(1-$K193)</f>
        <v>27307851.333301872</v>
      </c>
      <c r="Q193" s="1118">
        <f>VLOOKUP($E193,O$442:R$453,3,FALSE)*O193*($K193)+IF($G193&lt;&gt;0,($I193/$G193)*O193,0)*(1-$K193)</f>
        <v>0</v>
      </c>
      <c r="R193" s="1118">
        <f>VLOOKUP($E193,O$442:R$453,4,FALSE)*O193*($K193)+(O193-P193-Q193)*(1-$K193)</f>
        <v>0</v>
      </c>
      <c r="S193" s="1074"/>
      <c r="V193" s="1158">
        <f>VLOOKUP($A193,'New Resources - Individual'!$A$4:$Y$133,V$2,FALSE)*V$1</f>
        <v>0</v>
      </c>
      <c r="W193" s="1117">
        <f>$G193+V193</f>
        <v>27307851.333301872</v>
      </c>
      <c r="X193" s="1118">
        <f>VLOOKUP($E193,W$442:Z$453,2,FALSE)*W193*($K193)+IF($G193&lt;&gt;0,($H193/$G193)*W193,0)*(1-$K193)</f>
        <v>27307851.333301872</v>
      </c>
      <c r="Y193" s="1118">
        <f>VLOOKUP($E193,W$442:Z$453,3,FALSE)*W193*($K193)+IF($G193&lt;&gt;0,($I193/$G193)*W193,0)*(1-$K193)</f>
        <v>0</v>
      </c>
      <c r="Z193" s="1118">
        <f>VLOOKUP($E193,W$442:Z$453,4,FALSE)*W193*($K193)+(W193-X193-Y193)*(1-$K193)</f>
        <v>0</v>
      </c>
      <c r="AA193" s="1074"/>
      <c r="AD193" s="1158">
        <f>VLOOKUP($A193,'New Resources - Individual'!$A$4:$Y$133,AD$2,FALSE)*AD$1</f>
        <v>0</v>
      </c>
      <c r="AE193" s="1117">
        <f>$G193+AD193</f>
        <v>27307851.333301872</v>
      </c>
      <c r="AF193" s="1118">
        <f>VLOOKUP($E193,AE$442:AH$453,2,FALSE)*AE193*($K193)+IF($G193&lt;&gt;0,($H193/$G193)*AE193,0)*(1-$K193)</f>
        <v>27307851.333301872</v>
      </c>
      <c r="AG193" s="1118">
        <f>VLOOKUP($E193,AE$442:AH$453,3,FALSE)*AE193*($K193)+IF($G193&lt;&gt;0,($I193/$G193)*AE193,0)*(1-$K193)</f>
        <v>0</v>
      </c>
      <c r="AH193" s="1118">
        <f>VLOOKUP($E193,AE$442:AH$453,4,FALSE)*AE193*($K193)+(AE193-AF193-AG193)*(1-$K193)</f>
        <v>0</v>
      </c>
      <c r="AI193" s="1074"/>
      <c r="AL193" s="1158">
        <f>VLOOKUP($A193,'New Resources - Individual'!$A$4:$Y$133,AL$2,FALSE)*AL$1</f>
        <v>0</v>
      </c>
      <c r="AM193" s="1117">
        <f>$G193+AL193</f>
        <v>27307851.333301872</v>
      </c>
      <c r="AN193" s="1118">
        <f>VLOOKUP($E193,AM$442:AP$453,2,FALSE)*AM193*($K193)+IF($G193&lt;&gt;0,($H193/$G193)*AM193,0)*(1-$K193)</f>
        <v>27307851.333301872</v>
      </c>
      <c r="AO193" s="1118">
        <f>VLOOKUP($E193,AM$442:AP$453,3,FALSE)*AM193*($K193)+IF($G193&lt;&gt;0,($I193/$G193)*AM193,0)*(1-$K193)</f>
        <v>0</v>
      </c>
      <c r="AP193" s="1118">
        <f>VLOOKUP($E193,AM$442:AP$453,4,FALSE)*AM193*($K193)+(AM193-AN193-AO193)*(1-$K193)</f>
        <v>0</v>
      </c>
      <c r="AQ193" s="1074"/>
      <c r="AT193" s="1158">
        <f>VLOOKUP($A193,'New Resources - Individual'!$A$4:$Y$133,AT$2,FALSE)*AT$1</f>
        <v>0</v>
      </c>
      <c r="AU193" s="1117">
        <f>$G193+AT193</f>
        <v>27307851.333301872</v>
      </c>
      <c r="AV193" s="1118">
        <f>VLOOKUP($E193,AU$442:AX$453,2,FALSE)*AU193*($K193)+IF($G193&lt;&gt;0,($H193/$G193)*AU193,0)*(1-$K193)</f>
        <v>27307851.333301872</v>
      </c>
      <c r="AW193" s="1118">
        <f>VLOOKUP($E193,AU$442:AX$453,3,FALSE)*AU193*($K193)+IF($G193&lt;&gt;0,($I193/$G193)*AU193,0)*(1-$K193)</f>
        <v>0</v>
      </c>
      <c r="AX193" s="1118">
        <f>VLOOKUP($E193,AU$442:AX$453,4,FALSE)*AU193*($K193)+(AU193-AV193-AW193)*(1-$K193)</f>
        <v>0</v>
      </c>
      <c r="AY193" s="1074"/>
      <c r="BB193" s="1158">
        <f>VLOOKUP($A193,'New Resources - Individual'!$A$4:$Y$133,BB$2,FALSE)*BB$1</f>
        <v>0</v>
      </c>
      <c r="BC193" s="1117">
        <f>$G193+BB193</f>
        <v>27307851.333301872</v>
      </c>
      <c r="BD193" s="1118">
        <f>VLOOKUP($E193,BC$442:BF$453,2,FALSE)*BC193*($K193)+IF($G193&lt;&gt;0,($H193/$G193)*BC193,0)*(1-$K193)</f>
        <v>27307851.333301872</v>
      </c>
      <c r="BE193" s="1118">
        <f>VLOOKUP($E193,BC$442:BF$453,3,FALSE)*BC193*($K193)+IF($G193&lt;&gt;0,($I193/$G193)*BC193,0)*(1-$K193)</f>
        <v>0</v>
      </c>
      <c r="BF193" s="1118">
        <f>VLOOKUP($E193,BC$442:BF$453,4,FALSE)*BC193*($K193)+(BC193-BD193-BE193)*(1-$K193)</f>
        <v>0</v>
      </c>
      <c r="BG193" s="1074"/>
      <c r="BJ193" s="1158">
        <f>VLOOKUP($A193,'New Resources - Individual'!$A$4:$Y$133,BJ$2,FALSE)*BJ$1</f>
        <v>0</v>
      </c>
      <c r="BK193" s="1117">
        <f>$G193+BJ193</f>
        <v>27307851.333301872</v>
      </c>
      <c r="BL193" s="1118">
        <f>VLOOKUP($E193,BK$442:BN$453,2,FALSE)*BK193*($K193)+IF($G193&lt;&gt;0,($H193/$G193)*BK193,0)*(1-$K193)</f>
        <v>27307851.333301872</v>
      </c>
      <c r="BM193" s="1118">
        <f>VLOOKUP($E193,BK$442:BN$453,3,FALSE)*BK193*($K193)+IF($G193&lt;&gt;0,($I193/$G193)*BK193,0)*(1-$K193)</f>
        <v>0</v>
      </c>
      <c r="BN193" s="1118">
        <f>VLOOKUP($E193,BK$442:BN$453,4,FALSE)*BK193*($K193)+(BK193-BL193-BM193)*(1-$K193)</f>
        <v>0</v>
      </c>
      <c r="BO193" s="1074"/>
      <c r="BR193" s="1158">
        <f>VLOOKUP($A193,'New Resources - Individual'!$A$4:$Y$133,BR$2,FALSE)*BR$1</f>
        <v>0</v>
      </c>
      <c r="BS193" s="1117">
        <f>$G193+BR193</f>
        <v>27307851.333301872</v>
      </c>
      <c r="BT193" s="1118">
        <f>VLOOKUP($E193,BS$442:BV$453,2,FALSE)*BS193*($K193)+IF($G193&lt;&gt;0,($H193/$G193)*BS193,0)*(1-$K193)</f>
        <v>27307851.333301872</v>
      </c>
      <c r="BU193" s="1118">
        <f>VLOOKUP($E193,BS$442:BV$453,3,FALSE)*BS193*($K193)+IF($G193&lt;&gt;0,($I193/$G193)*BS193,0)*(1-$K193)</f>
        <v>0</v>
      </c>
      <c r="BV193" s="1118">
        <f>VLOOKUP($E193,BS$442:BV$453,4,FALSE)*BS193*($K193)+(BS193-BT193-BU193)*(1-$K193)</f>
        <v>0</v>
      </c>
      <c r="BW193" s="1074"/>
      <c r="BZ193" s="1158">
        <f>VLOOKUP($A193,'New Resources - Individual'!$A$4:$Y$133,BZ$2,FALSE)*BZ$1</f>
        <v>0</v>
      </c>
      <c r="CA193" s="1117">
        <f>$G193+BZ193</f>
        <v>27307851.333301872</v>
      </c>
      <c r="CB193" s="1118">
        <f>VLOOKUP($E193,CA$442:CD$453,2,FALSE)*CA193*($K193)+IF($G193&lt;&gt;0,($H193/$G193)*CA193,0)*(1-$K193)</f>
        <v>27307851.333301872</v>
      </c>
      <c r="CC193" s="1118">
        <f>VLOOKUP($E193,CA$442:CD$453,3,FALSE)*CA193*($K193)+IF($G193&lt;&gt;0,($I193/$G193)*CA193,0)*(1-$K193)</f>
        <v>0</v>
      </c>
      <c r="CD193" s="1118">
        <f>VLOOKUP($E193,CA$442:CD$453,4,FALSE)*CA193*($K193)+(CA193-CB193-CC193)*(1-$K193)</f>
        <v>0</v>
      </c>
      <c r="CE193" s="1074"/>
      <c r="CH193" s="1158">
        <f>VLOOKUP($A193,'New Resources - Individual'!$A$4:$Y$133,CH$2,FALSE)*CH$1</f>
        <v>0</v>
      </c>
      <c r="CI193" s="1117">
        <f>$G193+CH193</f>
        <v>27307851.333301872</v>
      </c>
      <c r="CJ193" s="1118">
        <f>VLOOKUP($E193,CI$442:CL$453,2,FALSE)*CI193*($K193)+IF($G193&lt;&gt;0,($H193/$G193)*CI193,0)*(1-$K193)</f>
        <v>27307851.333301872</v>
      </c>
      <c r="CK193" s="1118">
        <f>VLOOKUP($E193,CI$442:CL$453,3,FALSE)*CI193*($K193)+IF($G193&lt;&gt;0,($I193/$G193)*CI193,0)*(1-$K193)</f>
        <v>0</v>
      </c>
      <c r="CL193" s="1118">
        <f>VLOOKUP($E193,CI$442:CL$453,4,FALSE)*CI193*($K193)+(CI193-CJ193-CK193)*(1-$K193)</f>
        <v>0</v>
      </c>
      <c r="CM193" s="1074"/>
      <c r="CP193" s="1158">
        <f>VLOOKUP($A193,'New Resources - Individual'!$A$4:$Y$133,CP$2,FALSE)*CP$1</f>
        <v>0</v>
      </c>
      <c r="CQ193" s="1117">
        <f>$G193+CP193</f>
        <v>27307851.333301872</v>
      </c>
      <c r="CR193" s="1118">
        <f>VLOOKUP($E193,CQ$442:CT$453,2,FALSE)*CQ193*($K193)+IF($G193&lt;&gt;0,($H193/$G193)*CQ193,0)*(1-$K193)</f>
        <v>27307851.333301872</v>
      </c>
      <c r="CS193" s="1118">
        <f>VLOOKUP($E193,CQ$442:CT$453,3,FALSE)*CQ193*($K193)+IF($G193&lt;&gt;0,($I193/$G193)*CQ193,0)*(1-$K193)</f>
        <v>0</v>
      </c>
      <c r="CT193" s="1118">
        <f>VLOOKUP($E193,CQ$442:CT$453,4,FALSE)*CQ193*($K193)+(CQ193-CR193-CS193)*(1-$K193)</f>
        <v>0</v>
      </c>
      <c r="CU193" s="1074"/>
      <c r="CX193" s="1158">
        <f>VLOOKUP($A193,'New Resources - Individual'!$A$4:$Y$133,CX$2,FALSE)*CX$1</f>
        <v>0</v>
      </c>
      <c r="CY193" s="1117">
        <f>$G193+CX193</f>
        <v>27307851.333301872</v>
      </c>
      <c r="CZ193" s="1118">
        <f>VLOOKUP($E193,CY$442:DB$453,2,FALSE)*CY193*($K193)+IF($G193&lt;&gt;0,($H193/$G193)*CY193,0)*(1-$K193)</f>
        <v>27307851.333301872</v>
      </c>
      <c r="DA193" s="1118">
        <f>VLOOKUP($E193,CY$442:DB$453,3,FALSE)*CY193*($K193)+IF($G193&lt;&gt;0,($I193/$G193)*CY193,0)*(1-$K193)</f>
        <v>0</v>
      </c>
      <c r="DB193" s="1118">
        <f>VLOOKUP($E193,CY$442:DB$453,4,FALSE)*CY193*($K193)+(CY193-CZ193-DA193)*(1-$K193)</f>
        <v>0</v>
      </c>
      <c r="DC193" s="1074"/>
      <c r="DF193" s="1158">
        <f>VLOOKUP($A193,'New Resources - Individual'!$A$4:$Y$133,DF$2,FALSE)*DF$1</f>
        <v>0</v>
      </c>
      <c r="DG193" s="1117">
        <f>$G193+DF193</f>
        <v>27307851.333301872</v>
      </c>
      <c r="DH193" s="1118">
        <f>VLOOKUP($E193,DG$442:DJ$453,2,FALSE)*DG193*($K193)+IF($G193&lt;&gt;0,($H193/$G193)*DG193,0)*(1-$K193)</f>
        <v>27307851.333301872</v>
      </c>
      <c r="DI193" s="1118">
        <f>VLOOKUP($E193,DG$442:DJ$453,3,FALSE)*DG193*($K193)+IF($G193&lt;&gt;0,($I193/$G193)*DG193,0)*(1-$K193)</f>
        <v>0</v>
      </c>
      <c r="DJ193" s="1118">
        <f>VLOOKUP($E193,DG$442:DJ$453,4,FALSE)*DG193*($K193)+(DG193-DH193-DI193)*(1-$K193)</f>
        <v>0</v>
      </c>
      <c r="DK193" s="1074"/>
      <c r="DN193" s="1158">
        <f>VLOOKUP($A193,'New Resources - Individual'!$A$4:$Y$133,DN$2,FALSE)*DN$1</f>
        <v>0</v>
      </c>
      <c r="DO193" s="1117">
        <f>$G193+DN193</f>
        <v>27307851.333301872</v>
      </c>
      <c r="DP193" s="1118">
        <f>VLOOKUP($E193,DO$442:DR$453,2,FALSE)*DO193*($K193)+IF($G193&lt;&gt;0,($H193/$G193)*DO193,0)*(1-$K193)</f>
        <v>27307851.333301872</v>
      </c>
      <c r="DQ193" s="1118">
        <f>VLOOKUP($E193,DO$442:DR$453,3,FALSE)*DO193*($K193)+IF($G193&lt;&gt;0,($I193/$G193)*DO193,0)*(1-$K193)</f>
        <v>0</v>
      </c>
      <c r="DR193" s="1118">
        <f>VLOOKUP($E193,DO$442:DR$453,4,FALSE)*DO193*($K193)+(DO193-DP193-DQ193)*(1-$K193)</f>
        <v>0</v>
      </c>
      <c r="DS193" s="1074"/>
      <c r="DV193" s="1158">
        <f>VLOOKUP($A193,'New Resources - Individual'!$A$4:$Y$133,DV$2,FALSE)*DV$1</f>
        <v>0</v>
      </c>
      <c r="DW193" s="1117">
        <f>$G193+DV193</f>
        <v>27307851.333301872</v>
      </c>
      <c r="DX193" s="1118">
        <f>VLOOKUP($E193,DW$442:DZ$453,2,FALSE)*DW193*($K193)+IF($G193&lt;&gt;0,($H193/$G193)*DW193,0)*(1-$K193)</f>
        <v>27307851.333301872</v>
      </c>
      <c r="DY193" s="1118">
        <f>VLOOKUP($E193,DW$442:DZ$453,3,FALSE)*DW193*($K193)+IF($G193&lt;&gt;0,($I193/$G193)*DW193,0)*(1-$K193)</f>
        <v>0</v>
      </c>
      <c r="DZ193" s="1118">
        <f>VLOOKUP($E193,DW$442:DZ$453,4,FALSE)*DW193*($K193)+(DW193-DX193-DY193)*(1-$K193)</f>
        <v>0</v>
      </c>
      <c r="EA193" s="1074"/>
      <c r="ED193" s="1158">
        <f>VLOOKUP($A193,'New Resources - Individual'!$A$4:$Y$133,ED$2,FALSE)*ED$1</f>
        <v>0</v>
      </c>
      <c r="EE193" s="1117">
        <f>$G193+ED193</f>
        <v>27307851.333301872</v>
      </c>
      <c r="EF193" s="1118">
        <f>VLOOKUP($E193,EE$442:EH$453,2,FALSE)*EE193*($K193)+IF($G193&lt;&gt;0,($H193/$G193)*EE193,0)*(1-$K193)</f>
        <v>27307851.333301872</v>
      </c>
      <c r="EG193" s="1118">
        <f>VLOOKUP($E193,EE$442:EH$453,3,FALSE)*EE193*($K193)+IF($G193&lt;&gt;0,($I193/$G193)*EE193,0)*(1-$K193)</f>
        <v>0</v>
      </c>
      <c r="EH193" s="1118">
        <f>VLOOKUP($E193,EE$442:EH$453,4,FALSE)*EE193*($K193)+(EE193-EF193-EG193)*(1-$K193)</f>
        <v>0</v>
      </c>
      <c r="EI193" s="1074"/>
      <c r="EL193" s="1158">
        <f>VLOOKUP($A193,'New Resources - Individual'!$A$4:$Y$133,EL$2,FALSE)*EL$1</f>
        <v>0</v>
      </c>
      <c r="EM193" s="1117">
        <f>$G193+EL193</f>
        <v>27307851.333301872</v>
      </c>
      <c r="EN193" s="1118">
        <f>VLOOKUP($E193,EM$442:EP$453,2,FALSE)*EM193*($K193)+IF($G193&lt;&gt;0,($H193/$G193)*EM193,0)*(1-$K193)</f>
        <v>27307851.333301872</v>
      </c>
      <c r="EO193" s="1118">
        <f>VLOOKUP($E193,EM$442:EP$453,3,FALSE)*EM193*($K193)+IF($G193&lt;&gt;0,($I193/$G193)*EM193,0)*(1-$K193)</f>
        <v>0</v>
      </c>
      <c r="EP193" s="1118">
        <f>VLOOKUP($E193,EM$442:EP$453,4,FALSE)*EM193*($K193)+(EM193-EN193-EO193)*(1-$K193)</f>
        <v>0</v>
      </c>
      <c r="EQ193" s="1074"/>
      <c r="ET193" s="1158">
        <f>VLOOKUP($A193,'New Resources - Individual'!$A$4:$Y$133,ET$2,FALSE)*ET$1</f>
        <v>0</v>
      </c>
      <c r="EU193" s="1117">
        <f>$G193+ET193</f>
        <v>27307851.333301872</v>
      </c>
      <c r="EV193" s="1118">
        <f>VLOOKUP($E193,EU$442:EX$453,2,FALSE)*EU193*($K193)+IF($G193&lt;&gt;0,($H193/$G193)*EU193,0)*(1-$K193)</f>
        <v>27307851.333301872</v>
      </c>
      <c r="EW193" s="1118">
        <f>VLOOKUP($E193,EU$442:EX$453,3,FALSE)*EU193*($K193)+IF($G193&lt;&gt;0,($I193/$G193)*EU193,0)*(1-$K193)</f>
        <v>0</v>
      </c>
      <c r="EX193" s="1118">
        <f>VLOOKUP($E193,EU$442:EX$453,4,FALSE)*EU193*($K193)+(EU193-EV193-EW193)*(1-$K193)</f>
        <v>0</v>
      </c>
      <c r="EY193" s="1074"/>
      <c r="FB193" s="1158">
        <f>VLOOKUP($A193,'New Resources - Individual'!$A$4:$Y$133,FB$2,FALSE)*FB$1</f>
        <v>0</v>
      </c>
      <c r="FC193" s="1117">
        <f>$G193+FB193</f>
        <v>27307851.333301872</v>
      </c>
      <c r="FD193" s="1118">
        <f>VLOOKUP($E193,FC$442:FF$453,2,FALSE)*FC193*($K193)+IF($G193&lt;&gt;0,($H193/$G193)*FC193,0)*(1-$K193)</f>
        <v>27307851.333301872</v>
      </c>
      <c r="FE193" s="1118">
        <f>VLOOKUP($E193,FC$442:FF$453,3,FALSE)*FC193*($K193)+IF($G193&lt;&gt;0,($I193/$G193)*FC193,0)*(1-$K193)</f>
        <v>0</v>
      </c>
      <c r="FF193" s="1118">
        <f>VLOOKUP($E193,FC$442:FF$453,4,FALSE)*FC193*($K193)+(FC193-FD193-FE193)*(1-$K193)</f>
        <v>0</v>
      </c>
      <c r="FG193" s="1074"/>
      <c r="FJ193" s="1158">
        <f>VLOOKUP($A193,'New Resources - Individual'!$A$4:$Y$133,FJ$2,FALSE)*FJ$1</f>
        <v>0</v>
      </c>
      <c r="FK193" s="1117">
        <f>$G193+FJ193</f>
        <v>27307851.333301872</v>
      </c>
      <c r="FL193" s="1118">
        <f>VLOOKUP($E193,FK$442:FN$453,2,FALSE)*FK193*($K193)+IF($G193&lt;&gt;0,($H193/$G193)*FK193,0)*(1-$K193)</f>
        <v>27307851.333301872</v>
      </c>
      <c r="FM193" s="1118">
        <f>VLOOKUP($E193,FK$442:FN$453,3,FALSE)*FK193*($K193)+IF($G193&lt;&gt;0,($I193/$G193)*FK193,0)*(1-$K193)</f>
        <v>0</v>
      </c>
      <c r="FN193" s="1118">
        <f>VLOOKUP($E193,FK$442:FN$453,4,FALSE)*FK193*($K193)+(FK193-FL193-FM193)*(1-$K193)</f>
        <v>0</v>
      </c>
      <c r="FO193" s="1074"/>
    </row>
    <row r="194" spans="1:171" x14ac:dyDescent="0.25">
      <c r="A194" s="913"/>
      <c r="B194" s="220" t="s">
        <v>52</v>
      </c>
      <c r="C194" s="889">
        <v>327</v>
      </c>
      <c r="D194" s="889">
        <v>555</v>
      </c>
      <c r="E194" s="182" t="str">
        <f>'Sch 3 - Expenses'!E34</f>
        <v>PROD</v>
      </c>
      <c r="F194" s="890"/>
      <c r="G194" s="182">
        <f>'Sch 3 - Expenses'!G34</f>
        <v>0</v>
      </c>
      <c r="H194" s="182">
        <f>'Sch 3 - Expenses'!H34</f>
        <v>0</v>
      </c>
      <c r="I194" s="182">
        <f>'Sch 3 - Expenses'!I34</f>
        <v>0</v>
      </c>
      <c r="J194" s="183">
        <f>'Sch 3 - Expenses'!J34</f>
        <v>0</v>
      </c>
      <c r="K194" s="904">
        <f t="shared" si="547"/>
        <v>1</v>
      </c>
      <c r="O194" s="1117">
        <f>$G194</f>
        <v>0</v>
      </c>
      <c r="P194" s="1118">
        <f>VLOOKUP($E194,O$442:R$453,2,FALSE)*O194*($K194)+IF($G194&lt;&gt;0,($H194/$G194)*O194,0)*(1-$K194)</f>
        <v>0</v>
      </c>
      <c r="Q194" s="1118">
        <f>VLOOKUP($E194,O$442:R$453,3,FALSE)*O194*($K194)+IF($G194&lt;&gt;0,($I194/$G194)*O194,0)*(1-$K194)</f>
        <v>0</v>
      </c>
      <c r="R194" s="1118">
        <f>VLOOKUP($E194,O$442:R$453,4,FALSE)*O194*($K194)+(O194-P194-Q194)*(1-$K194)</f>
        <v>0</v>
      </c>
      <c r="S194" s="1074"/>
      <c r="W194" s="1117">
        <f>$G194</f>
        <v>0</v>
      </c>
      <c r="X194" s="1118">
        <f>VLOOKUP($E194,W$442:Z$453,2,FALSE)*W194*($K194)+IF($G194&lt;&gt;0,($H194/$G194)*W194,0)*(1-$K194)</f>
        <v>0</v>
      </c>
      <c r="Y194" s="1118">
        <f>VLOOKUP($E194,W$442:Z$453,3,FALSE)*W194*($K194)+IF($G194&lt;&gt;0,($I194/$G194)*W194,0)*(1-$K194)</f>
        <v>0</v>
      </c>
      <c r="Z194" s="1118">
        <f>VLOOKUP($E194,W$442:Z$453,4,FALSE)*W194*($K194)+(W194-X194-Y194)*(1-$K194)</f>
        <v>0</v>
      </c>
      <c r="AA194" s="1074"/>
      <c r="AE194" s="1117">
        <f>$G194</f>
        <v>0</v>
      </c>
      <c r="AF194" s="1118">
        <f>VLOOKUP($E194,AE$442:AH$453,2,FALSE)*AE194*($K194)+IF($G194&lt;&gt;0,($H194/$G194)*AE194,0)*(1-$K194)</f>
        <v>0</v>
      </c>
      <c r="AG194" s="1118">
        <f>VLOOKUP($E194,AE$442:AH$453,3,FALSE)*AE194*($K194)+IF($G194&lt;&gt;0,($I194/$G194)*AE194,0)*(1-$K194)</f>
        <v>0</v>
      </c>
      <c r="AH194" s="1118">
        <f>VLOOKUP($E194,AE$442:AH$453,4,FALSE)*AE194*($K194)+(AE194-AF194-AG194)*(1-$K194)</f>
        <v>0</v>
      </c>
      <c r="AI194" s="1074"/>
      <c r="AM194" s="1117">
        <f>$G194</f>
        <v>0</v>
      </c>
      <c r="AN194" s="1118">
        <f>VLOOKUP($E194,AM$442:AP$453,2,FALSE)*AM194*($K194)+IF($G194&lt;&gt;0,($H194/$G194)*AM194,0)*(1-$K194)</f>
        <v>0</v>
      </c>
      <c r="AO194" s="1118">
        <f>VLOOKUP($E194,AM$442:AP$453,3,FALSE)*AM194*($K194)+IF($G194&lt;&gt;0,($I194/$G194)*AM194,0)*(1-$K194)</f>
        <v>0</v>
      </c>
      <c r="AP194" s="1118">
        <f>VLOOKUP($E194,AM$442:AP$453,4,FALSE)*AM194*($K194)+(AM194-AN194-AO194)*(1-$K194)</f>
        <v>0</v>
      </c>
      <c r="AQ194" s="1074"/>
      <c r="AU194" s="1117">
        <f>$G194</f>
        <v>0</v>
      </c>
      <c r="AV194" s="1118">
        <f>VLOOKUP($E194,AU$442:AX$453,2,FALSE)*AU194*($K194)+IF($G194&lt;&gt;0,($H194/$G194)*AU194,0)*(1-$K194)</f>
        <v>0</v>
      </c>
      <c r="AW194" s="1118">
        <f>VLOOKUP($E194,AU$442:AX$453,3,FALSE)*AU194*($K194)+IF($G194&lt;&gt;0,($I194/$G194)*AU194,0)*(1-$K194)</f>
        <v>0</v>
      </c>
      <c r="AX194" s="1118">
        <f>VLOOKUP($E194,AU$442:AX$453,4,FALSE)*AU194*($K194)+(AU194-AV194-AW194)*(1-$K194)</f>
        <v>0</v>
      </c>
      <c r="AY194" s="1074"/>
      <c r="BC194" s="1117">
        <f>$G194</f>
        <v>0</v>
      </c>
      <c r="BD194" s="1118">
        <f>VLOOKUP($E194,BC$442:BF$453,2,FALSE)*BC194*($K194)+IF($G194&lt;&gt;0,($H194/$G194)*BC194,0)*(1-$K194)</f>
        <v>0</v>
      </c>
      <c r="BE194" s="1118">
        <f>VLOOKUP($E194,BC$442:BF$453,3,FALSE)*BC194*($K194)+IF($G194&lt;&gt;0,($I194/$G194)*BC194,0)*(1-$K194)</f>
        <v>0</v>
      </c>
      <c r="BF194" s="1118">
        <f>VLOOKUP($E194,BC$442:BF$453,4,FALSE)*BC194*($K194)+(BC194-BD194-BE194)*(1-$K194)</f>
        <v>0</v>
      </c>
      <c r="BG194" s="1074"/>
      <c r="BK194" s="1117">
        <f>$G194</f>
        <v>0</v>
      </c>
      <c r="BL194" s="1118">
        <f>VLOOKUP($E194,BK$442:BN$453,2,FALSE)*BK194*($K194)+IF($G194&lt;&gt;0,($H194/$G194)*BK194,0)*(1-$K194)</f>
        <v>0</v>
      </c>
      <c r="BM194" s="1118">
        <f>VLOOKUP($E194,BK$442:BN$453,3,FALSE)*BK194*($K194)+IF($G194&lt;&gt;0,($I194/$G194)*BK194,0)*(1-$K194)</f>
        <v>0</v>
      </c>
      <c r="BN194" s="1118">
        <f>VLOOKUP($E194,BK$442:BN$453,4,FALSE)*BK194*($K194)+(BK194-BL194-BM194)*(1-$K194)</f>
        <v>0</v>
      </c>
      <c r="BO194" s="1074"/>
      <c r="BS194" s="1117">
        <f>$G194</f>
        <v>0</v>
      </c>
      <c r="BT194" s="1118">
        <f>VLOOKUP($E194,BS$442:BV$453,2,FALSE)*BS194*($K194)+IF($G194&lt;&gt;0,($H194/$G194)*BS194,0)*(1-$K194)</f>
        <v>0</v>
      </c>
      <c r="BU194" s="1118">
        <f>VLOOKUP($E194,BS$442:BV$453,3,FALSE)*BS194*($K194)+IF($G194&lt;&gt;0,($I194/$G194)*BS194,0)*(1-$K194)</f>
        <v>0</v>
      </c>
      <c r="BV194" s="1118">
        <f>VLOOKUP($E194,BS$442:BV$453,4,FALSE)*BS194*($K194)+(BS194-BT194-BU194)*(1-$K194)</f>
        <v>0</v>
      </c>
      <c r="BW194" s="1074"/>
      <c r="CA194" s="1117">
        <f>$G194</f>
        <v>0</v>
      </c>
      <c r="CB194" s="1118">
        <f>VLOOKUP($E194,CA$442:CD$453,2,FALSE)*CA194*($K194)+IF($G194&lt;&gt;0,($H194/$G194)*CA194,0)*(1-$K194)</f>
        <v>0</v>
      </c>
      <c r="CC194" s="1118">
        <f>VLOOKUP($E194,CA$442:CD$453,3,FALSE)*CA194*($K194)+IF($G194&lt;&gt;0,($I194/$G194)*CA194,0)*(1-$K194)</f>
        <v>0</v>
      </c>
      <c r="CD194" s="1118">
        <f>VLOOKUP($E194,CA$442:CD$453,4,FALSE)*CA194*($K194)+(CA194-CB194-CC194)*(1-$K194)</f>
        <v>0</v>
      </c>
      <c r="CE194" s="1074"/>
      <c r="CI194" s="1117">
        <f>$G194</f>
        <v>0</v>
      </c>
      <c r="CJ194" s="1118">
        <f>VLOOKUP($E194,CI$442:CL$453,2,FALSE)*CI194*($K194)+IF($G194&lt;&gt;0,($H194/$G194)*CI194,0)*(1-$K194)</f>
        <v>0</v>
      </c>
      <c r="CK194" s="1118">
        <f>VLOOKUP($E194,CI$442:CL$453,3,FALSE)*CI194*($K194)+IF($G194&lt;&gt;0,($I194/$G194)*CI194,0)*(1-$K194)</f>
        <v>0</v>
      </c>
      <c r="CL194" s="1118">
        <f>VLOOKUP($E194,CI$442:CL$453,4,FALSE)*CI194*($K194)+(CI194-CJ194-CK194)*(1-$K194)</f>
        <v>0</v>
      </c>
      <c r="CM194" s="1074"/>
      <c r="CQ194" s="1117">
        <f>$G194</f>
        <v>0</v>
      </c>
      <c r="CR194" s="1118">
        <f>VLOOKUP($E194,CQ$442:CT$453,2,FALSE)*CQ194*($K194)+IF($G194&lt;&gt;0,($H194/$G194)*CQ194,0)*(1-$K194)</f>
        <v>0</v>
      </c>
      <c r="CS194" s="1118">
        <f>VLOOKUP($E194,CQ$442:CT$453,3,FALSE)*CQ194*($K194)+IF($G194&lt;&gt;0,($I194/$G194)*CQ194,0)*(1-$K194)</f>
        <v>0</v>
      </c>
      <c r="CT194" s="1118">
        <f>VLOOKUP($E194,CQ$442:CT$453,4,FALSE)*CQ194*($K194)+(CQ194-CR194-CS194)*(1-$K194)</f>
        <v>0</v>
      </c>
      <c r="CU194" s="1074"/>
      <c r="CY194" s="1117">
        <f>$G194</f>
        <v>0</v>
      </c>
      <c r="CZ194" s="1118">
        <f>VLOOKUP($E194,CY$442:DB$453,2,FALSE)*CY194*($K194)+IF($G194&lt;&gt;0,($H194/$G194)*CY194,0)*(1-$K194)</f>
        <v>0</v>
      </c>
      <c r="DA194" s="1118">
        <f>VLOOKUP($E194,CY$442:DB$453,3,FALSE)*CY194*($K194)+IF($G194&lt;&gt;0,($I194/$G194)*CY194,0)*(1-$K194)</f>
        <v>0</v>
      </c>
      <c r="DB194" s="1118">
        <f>VLOOKUP($E194,CY$442:DB$453,4,FALSE)*CY194*($K194)+(CY194-CZ194-DA194)*(1-$K194)</f>
        <v>0</v>
      </c>
      <c r="DC194" s="1074"/>
      <c r="DG194" s="1117">
        <f>$G194</f>
        <v>0</v>
      </c>
      <c r="DH194" s="1118">
        <f>VLOOKUP($E194,DG$442:DJ$453,2,FALSE)*DG194*($K194)+IF($G194&lt;&gt;0,($H194/$G194)*DG194,0)*(1-$K194)</f>
        <v>0</v>
      </c>
      <c r="DI194" s="1118">
        <f>VLOOKUP($E194,DG$442:DJ$453,3,FALSE)*DG194*($K194)+IF($G194&lt;&gt;0,($I194/$G194)*DG194,0)*(1-$K194)</f>
        <v>0</v>
      </c>
      <c r="DJ194" s="1118">
        <f>VLOOKUP($E194,DG$442:DJ$453,4,FALSE)*DG194*($K194)+(DG194-DH194-DI194)*(1-$K194)</f>
        <v>0</v>
      </c>
      <c r="DK194" s="1074"/>
      <c r="DO194" s="1117">
        <f>$G194</f>
        <v>0</v>
      </c>
      <c r="DP194" s="1118">
        <f>VLOOKUP($E194,DO$442:DR$453,2,FALSE)*DO194*($K194)+IF($G194&lt;&gt;0,($H194/$G194)*DO194,0)*(1-$K194)</f>
        <v>0</v>
      </c>
      <c r="DQ194" s="1118">
        <f>VLOOKUP($E194,DO$442:DR$453,3,FALSE)*DO194*($K194)+IF($G194&lt;&gt;0,($I194/$G194)*DO194,0)*(1-$K194)</f>
        <v>0</v>
      </c>
      <c r="DR194" s="1118">
        <f>VLOOKUP($E194,DO$442:DR$453,4,FALSE)*DO194*($K194)+(DO194-DP194-DQ194)*(1-$K194)</f>
        <v>0</v>
      </c>
      <c r="DS194" s="1074"/>
      <c r="DW194" s="1117">
        <f>$G194</f>
        <v>0</v>
      </c>
      <c r="DX194" s="1118">
        <f>VLOOKUP($E194,DW$442:DZ$453,2,FALSE)*DW194*($K194)+IF($G194&lt;&gt;0,($H194/$G194)*DW194,0)*(1-$K194)</f>
        <v>0</v>
      </c>
      <c r="DY194" s="1118">
        <f>VLOOKUP($E194,DW$442:DZ$453,3,FALSE)*DW194*($K194)+IF($G194&lt;&gt;0,($I194/$G194)*DW194,0)*(1-$K194)</f>
        <v>0</v>
      </c>
      <c r="DZ194" s="1118">
        <f>VLOOKUP($E194,DW$442:DZ$453,4,FALSE)*DW194*($K194)+(DW194-DX194-DY194)*(1-$K194)</f>
        <v>0</v>
      </c>
      <c r="EA194" s="1074"/>
      <c r="EE194" s="1117">
        <f>$G194</f>
        <v>0</v>
      </c>
      <c r="EF194" s="1118">
        <f>VLOOKUP($E194,EE$442:EH$453,2,FALSE)*EE194*($K194)+IF($G194&lt;&gt;0,($H194/$G194)*EE194,0)*(1-$K194)</f>
        <v>0</v>
      </c>
      <c r="EG194" s="1118">
        <f>VLOOKUP($E194,EE$442:EH$453,3,FALSE)*EE194*($K194)+IF($G194&lt;&gt;0,($I194/$G194)*EE194,0)*(1-$K194)</f>
        <v>0</v>
      </c>
      <c r="EH194" s="1118">
        <f>VLOOKUP($E194,EE$442:EH$453,4,FALSE)*EE194*($K194)+(EE194-EF194-EG194)*(1-$K194)</f>
        <v>0</v>
      </c>
      <c r="EI194" s="1074"/>
      <c r="EM194" s="1117">
        <f>$G194</f>
        <v>0</v>
      </c>
      <c r="EN194" s="1118">
        <f>VLOOKUP($E194,EM$442:EP$453,2,FALSE)*EM194*($K194)+IF($G194&lt;&gt;0,($H194/$G194)*EM194,0)*(1-$K194)</f>
        <v>0</v>
      </c>
      <c r="EO194" s="1118">
        <f>VLOOKUP($E194,EM$442:EP$453,3,FALSE)*EM194*($K194)+IF($G194&lt;&gt;0,($I194/$G194)*EM194,0)*(1-$K194)</f>
        <v>0</v>
      </c>
      <c r="EP194" s="1118">
        <f>VLOOKUP($E194,EM$442:EP$453,4,FALSE)*EM194*($K194)+(EM194-EN194-EO194)*(1-$K194)</f>
        <v>0</v>
      </c>
      <c r="EQ194" s="1074"/>
      <c r="EU194" s="1117">
        <f>$G194</f>
        <v>0</v>
      </c>
      <c r="EV194" s="1118">
        <f>VLOOKUP($E194,EU$442:EX$453,2,FALSE)*EU194*($K194)+IF($G194&lt;&gt;0,($H194/$G194)*EU194,0)*(1-$K194)</f>
        <v>0</v>
      </c>
      <c r="EW194" s="1118">
        <f>VLOOKUP($E194,EU$442:EX$453,3,FALSE)*EU194*($K194)+IF($G194&lt;&gt;0,($I194/$G194)*EU194,0)*(1-$K194)</f>
        <v>0</v>
      </c>
      <c r="EX194" s="1118">
        <f>VLOOKUP($E194,EU$442:EX$453,4,FALSE)*EU194*($K194)+(EU194-EV194-EW194)*(1-$K194)</f>
        <v>0</v>
      </c>
      <c r="EY194" s="1074"/>
      <c r="FC194" s="1117">
        <f>$G194</f>
        <v>0</v>
      </c>
      <c r="FD194" s="1118">
        <f>VLOOKUP($E194,FC$442:FF$453,2,FALSE)*FC194*($K194)+IF($G194&lt;&gt;0,($H194/$G194)*FC194,0)*(1-$K194)</f>
        <v>0</v>
      </c>
      <c r="FE194" s="1118">
        <f>VLOOKUP($E194,FC$442:FF$453,3,FALSE)*FC194*($K194)+IF($G194&lt;&gt;0,($I194/$G194)*FC194,0)*(1-$K194)</f>
        <v>0</v>
      </c>
      <c r="FF194" s="1118">
        <f>VLOOKUP($E194,FC$442:FF$453,4,FALSE)*FC194*($K194)+(FC194-FD194-FE194)*(1-$K194)</f>
        <v>0</v>
      </c>
      <c r="FG194" s="1074"/>
      <c r="FK194" s="1117">
        <f>$G194</f>
        <v>0</v>
      </c>
      <c r="FL194" s="1118">
        <f>VLOOKUP($E194,FK$442:FN$453,2,FALSE)*FK194*($K194)+IF($G194&lt;&gt;0,($H194/$G194)*FK194,0)*(1-$K194)</f>
        <v>0</v>
      </c>
      <c r="FM194" s="1118">
        <f>VLOOKUP($E194,FK$442:FN$453,3,FALSE)*FK194*($K194)+IF($G194&lt;&gt;0,($I194/$G194)*FK194,0)*(1-$K194)</f>
        <v>0</v>
      </c>
      <c r="FN194" s="1118">
        <f>VLOOKUP($E194,FK$442:FN$453,4,FALSE)*FK194*($K194)+(FK194-FL194-FM194)*(1-$K194)</f>
        <v>0</v>
      </c>
      <c r="FO194" s="1074"/>
    </row>
    <row r="195" spans="1:171" x14ac:dyDescent="0.25">
      <c r="A195" s="913"/>
      <c r="B195" s="914" t="s">
        <v>502</v>
      </c>
      <c r="C195" s="889"/>
      <c r="D195" s="890"/>
      <c r="E195" s="182" t="str">
        <f>'Sch 3 - Expenses'!E35</f>
        <v>DIRECT</v>
      </c>
      <c r="F195" s="890"/>
      <c r="G195" s="182">
        <f>'Sch 3 - Expenses'!G35</f>
        <v>24259860.620000005</v>
      </c>
      <c r="H195" s="182">
        <f>'Sch 3 - Expenses'!H35</f>
        <v>21995615.060000006</v>
      </c>
      <c r="I195" s="182">
        <f>'Sch 3 - Expenses'!I35</f>
        <v>0</v>
      </c>
      <c r="J195" s="183">
        <f>'Sch 3 - Expenses'!J35</f>
        <v>2264245.5599999996</v>
      </c>
      <c r="K195" s="904">
        <f t="shared" si="547"/>
        <v>0</v>
      </c>
      <c r="O195" s="1117">
        <f>$G195</f>
        <v>24259860.620000005</v>
      </c>
      <c r="P195" s="1118">
        <f>VLOOKUP($E195,O$442:R$453,2,FALSE)*O195*($K195)+IF($G195&lt;&gt;0,($H195/$G195)*O195,0)*(1-$K195)</f>
        <v>21995615.060000006</v>
      </c>
      <c r="Q195" s="1118">
        <f>VLOOKUP($E195,O$442:R$453,3,FALSE)*O195*($K195)+IF($G195&lt;&gt;0,($I195/$G195)*O195,0)*(1-$K195)</f>
        <v>0</v>
      </c>
      <c r="R195" s="1118">
        <f>VLOOKUP($E195,O$442:R$453,4,FALSE)*O195*($K195)+(O195-P195-Q195)*(1-$K195)</f>
        <v>2264245.5599999987</v>
      </c>
      <c r="S195" s="1074"/>
      <c r="W195" s="1117">
        <f>$G195</f>
        <v>24259860.620000005</v>
      </c>
      <c r="X195" s="1118">
        <f>VLOOKUP($E195,W$442:Z$453,2,FALSE)*W195*($K195)+IF($G195&lt;&gt;0,($H195/$G195)*W195,0)*(1-$K195)</f>
        <v>21995615.060000006</v>
      </c>
      <c r="Y195" s="1118">
        <f>VLOOKUP($E195,W$442:Z$453,3,FALSE)*W195*($K195)+IF($G195&lt;&gt;0,($I195/$G195)*W195,0)*(1-$K195)</f>
        <v>0</v>
      </c>
      <c r="Z195" s="1118">
        <f>VLOOKUP($E195,W$442:Z$453,4,FALSE)*W195*($K195)+(W195-X195-Y195)*(1-$K195)</f>
        <v>2264245.5599999987</v>
      </c>
      <c r="AA195" s="1074"/>
      <c r="AE195" s="1117">
        <f>$G195</f>
        <v>24259860.620000005</v>
      </c>
      <c r="AF195" s="1118">
        <f>VLOOKUP($E195,AE$442:AH$453,2,FALSE)*AE195*($K195)+IF($G195&lt;&gt;0,($H195/$G195)*AE195,0)*(1-$K195)</f>
        <v>21995615.060000006</v>
      </c>
      <c r="AG195" s="1118">
        <f>VLOOKUP($E195,AE$442:AH$453,3,FALSE)*AE195*($K195)+IF($G195&lt;&gt;0,($I195/$G195)*AE195,0)*(1-$K195)</f>
        <v>0</v>
      </c>
      <c r="AH195" s="1118">
        <f>VLOOKUP($E195,AE$442:AH$453,4,FALSE)*AE195*($K195)+(AE195-AF195-AG195)*(1-$K195)</f>
        <v>2264245.5599999987</v>
      </c>
      <c r="AI195" s="1074"/>
      <c r="AM195" s="1117">
        <f>$G195</f>
        <v>24259860.620000005</v>
      </c>
      <c r="AN195" s="1118">
        <f>VLOOKUP($E195,AM$442:AP$453,2,FALSE)*AM195*($K195)+IF($G195&lt;&gt;0,($H195/$G195)*AM195,0)*(1-$K195)</f>
        <v>21995615.060000006</v>
      </c>
      <c r="AO195" s="1118">
        <f>VLOOKUP($E195,AM$442:AP$453,3,FALSE)*AM195*($K195)+IF($G195&lt;&gt;0,($I195/$G195)*AM195,0)*(1-$K195)</f>
        <v>0</v>
      </c>
      <c r="AP195" s="1118">
        <f>VLOOKUP($E195,AM$442:AP$453,4,FALSE)*AM195*($K195)+(AM195-AN195-AO195)*(1-$K195)</f>
        <v>2264245.5599999987</v>
      </c>
      <c r="AQ195" s="1074"/>
      <c r="AU195" s="1117">
        <f>$G195</f>
        <v>24259860.620000005</v>
      </c>
      <c r="AV195" s="1118">
        <f>VLOOKUP($E195,AU$442:AX$453,2,FALSE)*AU195*($K195)+IF($G195&lt;&gt;0,($H195/$G195)*AU195,0)*(1-$K195)</f>
        <v>21995615.060000006</v>
      </c>
      <c r="AW195" s="1118">
        <f>VLOOKUP($E195,AU$442:AX$453,3,FALSE)*AU195*($K195)+IF($G195&lt;&gt;0,($I195/$G195)*AU195,0)*(1-$K195)</f>
        <v>0</v>
      </c>
      <c r="AX195" s="1118">
        <f>VLOOKUP($E195,AU$442:AX$453,4,FALSE)*AU195*($K195)+(AU195-AV195-AW195)*(1-$K195)</f>
        <v>2264245.5599999987</v>
      </c>
      <c r="AY195" s="1074"/>
      <c r="BC195" s="1117">
        <f>$G195</f>
        <v>24259860.620000005</v>
      </c>
      <c r="BD195" s="1118">
        <f>VLOOKUP($E195,BC$442:BF$453,2,FALSE)*BC195*($K195)+IF($G195&lt;&gt;0,($H195/$G195)*BC195,0)*(1-$K195)</f>
        <v>21995615.060000006</v>
      </c>
      <c r="BE195" s="1118">
        <f>VLOOKUP($E195,BC$442:BF$453,3,FALSE)*BC195*($K195)+IF($G195&lt;&gt;0,($I195/$G195)*BC195,0)*(1-$K195)</f>
        <v>0</v>
      </c>
      <c r="BF195" s="1118">
        <f>VLOOKUP($E195,BC$442:BF$453,4,FALSE)*BC195*($K195)+(BC195-BD195-BE195)*(1-$K195)</f>
        <v>2264245.5599999987</v>
      </c>
      <c r="BG195" s="1074"/>
      <c r="BK195" s="1117">
        <f>$G195</f>
        <v>24259860.620000005</v>
      </c>
      <c r="BL195" s="1118">
        <f>VLOOKUP($E195,BK$442:BN$453,2,FALSE)*BK195*($K195)+IF($G195&lt;&gt;0,($H195/$G195)*BK195,0)*(1-$K195)</f>
        <v>21995615.060000006</v>
      </c>
      <c r="BM195" s="1118">
        <f>VLOOKUP($E195,BK$442:BN$453,3,FALSE)*BK195*($K195)+IF($G195&lt;&gt;0,($I195/$G195)*BK195,0)*(1-$K195)</f>
        <v>0</v>
      </c>
      <c r="BN195" s="1118">
        <f>VLOOKUP($E195,BK$442:BN$453,4,FALSE)*BK195*($K195)+(BK195-BL195-BM195)*(1-$K195)</f>
        <v>2264245.5599999987</v>
      </c>
      <c r="BO195" s="1074"/>
      <c r="BS195" s="1117">
        <f>$G195</f>
        <v>24259860.620000005</v>
      </c>
      <c r="BT195" s="1118">
        <f>VLOOKUP($E195,BS$442:BV$453,2,FALSE)*BS195*($K195)+IF($G195&lt;&gt;0,($H195/$G195)*BS195,0)*(1-$K195)</f>
        <v>21995615.060000006</v>
      </c>
      <c r="BU195" s="1118">
        <f>VLOOKUP($E195,BS$442:BV$453,3,FALSE)*BS195*($K195)+IF($G195&lt;&gt;0,($I195/$G195)*BS195,0)*(1-$K195)</f>
        <v>0</v>
      </c>
      <c r="BV195" s="1118">
        <f>VLOOKUP($E195,BS$442:BV$453,4,FALSE)*BS195*($K195)+(BS195-BT195-BU195)*(1-$K195)</f>
        <v>2264245.5599999987</v>
      </c>
      <c r="BW195" s="1074"/>
      <c r="CA195" s="1117">
        <f>$G195</f>
        <v>24259860.620000005</v>
      </c>
      <c r="CB195" s="1118">
        <f>VLOOKUP($E195,CA$442:CD$453,2,FALSE)*CA195*($K195)+IF($G195&lt;&gt;0,($H195/$G195)*CA195,0)*(1-$K195)</f>
        <v>21995615.060000006</v>
      </c>
      <c r="CC195" s="1118">
        <f>VLOOKUP($E195,CA$442:CD$453,3,FALSE)*CA195*($K195)+IF($G195&lt;&gt;0,($I195/$G195)*CA195,0)*(1-$K195)</f>
        <v>0</v>
      </c>
      <c r="CD195" s="1118">
        <f>VLOOKUP($E195,CA$442:CD$453,4,FALSE)*CA195*($K195)+(CA195-CB195-CC195)*(1-$K195)</f>
        <v>2264245.5599999987</v>
      </c>
      <c r="CE195" s="1074"/>
      <c r="CI195" s="1117">
        <f>$G195</f>
        <v>24259860.620000005</v>
      </c>
      <c r="CJ195" s="1118">
        <f>VLOOKUP($E195,CI$442:CL$453,2,FALSE)*CI195*($K195)+IF($G195&lt;&gt;0,($H195/$G195)*CI195,0)*(1-$K195)</f>
        <v>21995615.060000006</v>
      </c>
      <c r="CK195" s="1118">
        <f>VLOOKUP($E195,CI$442:CL$453,3,FALSE)*CI195*($K195)+IF($G195&lt;&gt;0,($I195/$G195)*CI195,0)*(1-$K195)</f>
        <v>0</v>
      </c>
      <c r="CL195" s="1118">
        <f>VLOOKUP($E195,CI$442:CL$453,4,FALSE)*CI195*($K195)+(CI195-CJ195-CK195)*(1-$K195)</f>
        <v>2264245.5599999987</v>
      </c>
      <c r="CM195" s="1074"/>
      <c r="CQ195" s="1117">
        <f>$G195</f>
        <v>24259860.620000005</v>
      </c>
      <c r="CR195" s="1118">
        <f>VLOOKUP($E195,CQ$442:CT$453,2,FALSE)*CQ195*($K195)+IF($G195&lt;&gt;0,($H195/$G195)*CQ195,0)*(1-$K195)</f>
        <v>21995615.060000006</v>
      </c>
      <c r="CS195" s="1118">
        <f>VLOOKUP($E195,CQ$442:CT$453,3,FALSE)*CQ195*($K195)+IF($G195&lt;&gt;0,($I195/$G195)*CQ195,0)*(1-$K195)</f>
        <v>0</v>
      </c>
      <c r="CT195" s="1118">
        <f>VLOOKUP($E195,CQ$442:CT$453,4,FALSE)*CQ195*($K195)+(CQ195-CR195-CS195)*(1-$K195)</f>
        <v>2264245.5599999987</v>
      </c>
      <c r="CU195" s="1074"/>
      <c r="CY195" s="1117">
        <f>$G195</f>
        <v>24259860.620000005</v>
      </c>
      <c r="CZ195" s="1118">
        <f>VLOOKUP($E195,CY$442:DB$453,2,FALSE)*CY195*($K195)+IF($G195&lt;&gt;0,($H195/$G195)*CY195,0)*(1-$K195)</f>
        <v>21995615.060000006</v>
      </c>
      <c r="DA195" s="1118">
        <f>VLOOKUP($E195,CY$442:DB$453,3,FALSE)*CY195*($K195)+IF($G195&lt;&gt;0,($I195/$G195)*CY195,0)*(1-$K195)</f>
        <v>0</v>
      </c>
      <c r="DB195" s="1118">
        <f>VLOOKUP($E195,CY$442:DB$453,4,FALSE)*CY195*($K195)+(CY195-CZ195-DA195)*(1-$K195)</f>
        <v>2264245.5599999987</v>
      </c>
      <c r="DC195" s="1074"/>
      <c r="DG195" s="1117">
        <f>$G195</f>
        <v>24259860.620000005</v>
      </c>
      <c r="DH195" s="1118">
        <f>VLOOKUP($E195,DG$442:DJ$453,2,FALSE)*DG195*($K195)+IF($G195&lt;&gt;0,($H195/$G195)*DG195,0)*(1-$K195)</f>
        <v>21995615.060000006</v>
      </c>
      <c r="DI195" s="1118">
        <f>VLOOKUP($E195,DG$442:DJ$453,3,FALSE)*DG195*($K195)+IF($G195&lt;&gt;0,($I195/$G195)*DG195,0)*(1-$K195)</f>
        <v>0</v>
      </c>
      <c r="DJ195" s="1118">
        <f>VLOOKUP($E195,DG$442:DJ$453,4,FALSE)*DG195*($K195)+(DG195-DH195-DI195)*(1-$K195)</f>
        <v>2264245.5599999987</v>
      </c>
      <c r="DK195" s="1074"/>
      <c r="DO195" s="1117">
        <f>$G195</f>
        <v>24259860.620000005</v>
      </c>
      <c r="DP195" s="1118">
        <f>VLOOKUP($E195,DO$442:DR$453,2,FALSE)*DO195*($K195)+IF($G195&lt;&gt;0,($H195/$G195)*DO195,0)*(1-$K195)</f>
        <v>21995615.060000006</v>
      </c>
      <c r="DQ195" s="1118">
        <f>VLOOKUP($E195,DO$442:DR$453,3,FALSE)*DO195*($K195)+IF($G195&lt;&gt;0,($I195/$G195)*DO195,0)*(1-$K195)</f>
        <v>0</v>
      </c>
      <c r="DR195" s="1118">
        <f>VLOOKUP($E195,DO$442:DR$453,4,FALSE)*DO195*($K195)+(DO195-DP195-DQ195)*(1-$K195)</f>
        <v>2264245.5599999987</v>
      </c>
      <c r="DS195" s="1074"/>
      <c r="DW195" s="1117">
        <f>$G195</f>
        <v>24259860.620000005</v>
      </c>
      <c r="DX195" s="1118">
        <f>VLOOKUP($E195,DW$442:DZ$453,2,FALSE)*DW195*($K195)+IF($G195&lt;&gt;0,($H195/$G195)*DW195,0)*(1-$K195)</f>
        <v>21995615.060000006</v>
      </c>
      <c r="DY195" s="1118">
        <f>VLOOKUP($E195,DW$442:DZ$453,3,FALSE)*DW195*($K195)+IF($G195&lt;&gt;0,($I195/$G195)*DW195,0)*(1-$K195)</f>
        <v>0</v>
      </c>
      <c r="DZ195" s="1118">
        <f>VLOOKUP($E195,DW$442:DZ$453,4,FALSE)*DW195*($K195)+(DW195-DX195-DY195)*(1-$K195)</f>
        <v>2264245.5599999987</v>
      </c>
      <c r="EA195" s="1074"/>
      <c r="EE195" s="1117">
        <f>$G195</f>
        <v>24259860.620000005</v>
      </c>
      <c r="EF195" s="1118">
        <f>VLOOKUP($E195,EE$442:EH$453,2,FALSE)*EE195*($K195)+IF($G195&lt;&gt;0,($H195/$G195)*EE195,0)*(1-$K195)</f>
        <v>21995615.060000006</v>
      </c>
      <c r="EG195" s="1118">
        <f>VLOOKUP($E195,EE$442:EH$453,3,FALSE)*EE195*($K195)+IF($G195&lt;&gt;0,($I195/$G195)*EE195,0)*(1-$K195)</f>
        <v>0</v>
      </c>
      <c r="EH195" s="1118">
        <f>VLOOKUP($E195,EE$442:EH$453,4,FALSE)*EE195*($K195)+(EE195-EF195-EG195)*(1-$K195)</f>
        <v>2264245.5599999987</v>
      </c>
      <c r="EI195" s="1074"/>
      <c r="EM195" s="1117">
        <f>$G195</f>
        <v>24259860.620000005</v>
      </c>
      <c r="EN195" s="1118">
        <f>VLOOKUP($E195,EM$442:EP$453,2,FALSE)*EM195*($K195)+IF($G195&lt;&gt;0,($H195/$G195)*EM195,0)*(1-$K195)</f>
        <v>21995615.060000006</v>
      </c>
      <c r="EO195" s="1118">
        <f>VLOOKUP($E195,EM$442:EP$453,3,FALSE)*EM195*($K195)+IF($G195&lt;&gt;0,($I195/$G195)*EM195,0)*(1-$K195)</f>
        <v>0</v>
      </c>
      <c r="EP195" s="1118">
        <f>VLOOKUP($E195,EM$442:EP$453,4,FALSE)*EM195*($K195)+(EM195-EN195-EO195)*(1-$K195)</f>
        <v>2264245.5599999987</v>
      </c>
      <c r="EQ195" s="1074"/>
      <c r="EU195" s="1117">
        <f>$G195</f>
        <v>24259860.620000005</v>
      </c>
      <c r="EV195" s="1118">
        <f>VLOOKUP($E195,EU$442:EX$453,2,FALSE)*EU195*($K195)+IF($G195&lt;&gt;0,($H195/$G195)*EU195,0)*(1-$K195)</f>
        <v>21995615.060000006</v>
      </c>
      <c r="EW195" s="1118">
        <f>VLOOKUP($E195,EU$442:EX$453,3,FALSE)*EU195*($K195)+IF($G195&lt;&gt;0,($I195/$G195)*EU195,0)*(1-$K195)</f>
        <v>0</v>
      </c>
      <c r="EX195" s="1118">
        <f>VLOOKUP($E195,EU$442:EX$453,4,FALSE)*EU195*($K195)+(EU195-EV195-EW195)*(1-$K195)</f>
        <v>2264245.5599999987</v>
      </c>
      <c r="EY195" s="1074"/>
      <c r="FC195" s="1117">
        <f>$G195</f>
        <v>24259860.620000005</v>
      </c>
      <c r="FD195" s="1118">
        <f>VLOOKUP($E195,FC$442:FF$453,2,FALSE)*FC195*($K195)+IF($G195&lt;&gt;0,($H195/$G195)*FC195,0)*(1-$K195)</f>
        <v>21995615.060000006</v>
      </c>
      <c r="FE195" s="1118">
        <f>VLOOKUP($E195,FC$442:FF$453,3,FALSE)*FC195*($K195)+IF($G195&lt;&gt;0,($I195/$G195)*FC195,0)*(1-$K195)</f>
        <v>0</v>
      </c>
      <c r="FF195" s="1118">
        <f>VLOOKUP($E195,FC$442:FF$453,4,FALSE)*FC195*($K195)+(FC195-FD195-FE195)*(1-$K195)</f>
        <v>2264245.5599999987</v>
      </c>
      <c r="FG195" s="1074"/>
      <c r="FK195" s="1117">
        <f>$G195</f>
        <v>24259860.620000005</v>
      </c>
      <c r="FL195" s="1118">
        <f>VLOOKUP($E195,FK$442:FN$453,2,FALSE)*FK195*($K195)+IF($G195&lt;&gt;0,($H195/$G195)*FK195,0)*(1-$K195)</f>
        <v>21995615.060000006</v>
      </c>
      <c r="FM195" s="1118">
        <f>VLOOKUP($E195,FK$442:FN$453,3,FALSE)*FK195*($K195)+IF($G195&lt;&gt;0,($I195/$G195)*FK195,0)*(1-$K195)</f>
        <v>0</v>
      </c>
      <c r="FN195" s="1118">
        <f>VLOOKUP($E195,FK$442:FN$453,4,FALSE)*FK195*($K195)+(FK195-FL195-FM195)*(1-$K195)</f>
        <v>2264245.5599999987</v>
      </c>
      <c r="FO195" s="1074"/>
    </row>
    <row r="196" spans="1:171" x14ac:dyDescent="0.25">
      <c r="A196" s="163" t="s">
        <v>481</v>
      </c>
      <c r="B196" s="10"/>
      <c r="C196" s="915"/>
      <c r="D196" s="916"/>
      <c r="E196" s="916"/>
      <c r="F196" s="917"/>
      <c r="G196" s="924">
        <f>SUM(G176:G195)</f>
        <v>1559919589.7839088</v>
      </c>
      <c r="H196" s="924">
        <f>SUM(H176:H195)</f>
        <v>1557655344.2239089</v>
      </c>
      <c r="I196" s="924">
        <f>SUM(I176:I195)</f>
        <v>0</v>
      </c>
      <c r="J196" s="1391">
        <f>SUM(J176:J195)</f>
        <v>2264245.5599999996</v>
      </c>
      <c r="K196" s="904"/>
      <c r="O196" s="1136">
        <f>SUM(O176:O195)</f>
        <v>1559919589.7839088</v>
      </c>
      <c r="P196" s="1136">
        <f>SUM(P176:P195)</f>
        <v>1557655344.2239089</v>
      </c>
      <c r="Q196" s="1136">
        <f>SUM(Q176:Q195)</f>
        <v>0</v>
      </c>
      <c r="R196" s="1136">
        <f>SUM(R176:R195)</f>
        <v>2264245.5599999987</v>
      </c>
      <c r="S196" s="1074"/>
      <c r="W196" s="1136">
        <f>SUM(W176:W195)</f>
        <v>1559919589.7839088</v>
      </c>
      <c r="X196" s="1136">
        <f>SUM(X176:X195)</f>
        <v>1557655344.2239089</v>
      </c>
      <c r="Y196" s="1136">
        <f>SUM(Y176:Y195)</f>
        <v>0</v>
      </c>
      <c r="Z196" s="1136">
        <f>SUM(Z176:Z195)</f>
        <v>2264245.5599999987</v>
      </c>
      <c r="AA196" s="1074"/>
      <c r="AE196" s="1136">
        <f>SUM(AE176:AE195)</f>
        <v>1559919589.7839088</v>
      </c>
      <c r="AF196" s="1136">
        <f>SUM(AF176:AF195)</f>
        <v>1557655344.2239089</v>
      </c>
      <c r="AG196" s="1136">
        <f>SUM(AG176:AG195)</f>
        <v>0</v>
      </c>
      <c r="AH196" s="1136">
        <f>SUM(AH176:AH195)</f>
        <v>2264245.5599999987</v>
      </c>
      <c r="AI196" s="1074"/>
      <c r="AM196" s="1136">
        <f>SUM(AM176:AM195)</f>
        <v>1559919589.7839088</v>
      </c>
      <c r="AN196" s="1136">
        <f>SUM(AN176:AN195)</f>
        <v>1557655344.2239089</v>
      </c>
      <c r="AO196" s="1136">
        <f>SUM(AO176:AO195)</f>
        <v>0</v>
      </c>
      <c r="AP196" s="1136">
        <f>SUM(AP176:AP195)</f>
        <v>2264245.5599999987</v>
      </c>
      <c r="AQ196" s="1074"/>
      <c r="AU196" s="1136">
        <f>SUM(AU176:AU195)</f>
        <v>1559919589.7839088</v>
      </c>
      <c r="AV196" s="1136">
        <f>SUM(AV176:AV195)</f>
        <v>1557655344.2239089</v>
      </c>
      <c r="AW196" s="1136">
        <f>SUM(AW176:AW195)</f>
        <v>0</v>
      </c>
      <c r="AX196" s="1136">
        <f>SUM(AX176:AX195)</f>
        <v>2264245.5599999987</v>
      </c>
      <c r="AY196" s="1074"/>
      <c r="BC196" s="1136">
        <f>SUM(BC176:BC195)</f>
        <v>1559919589.7839088</v>
      </c>
      <c r="BD196" s="1136">
        <f>SUM(BD176:BD195)</f>
        <v>1557655344.2239089</v>
      </c>
      <c r="BE196" s="1136">
        <f>SUM(BE176:BE195)</f>
        <v>0</v>
      </c>
      <c r="BF196" s="1136">
        <f>SUM(BF176:BF195)</f>
        <v>2264245.5599999987</v>
      </c>
      <c r="BG196" s="1074"/>
      <c r="BK196" s="1136">
        <f>SUM(BK176:BK195)</f>
        <v>1559919589.7839088</v>
      </c>
      <c r="BL196" s="1136">
        <f>SUM(BL176:BL195)</f>
        <v>1557655344.2239089</v>
      </c>
      <c r="BM196" s="1136">
        <f>SUM(BM176:BM195)</f>
        <v>0</v>
      </c>
      <c r="BN196" s="1136">
        <f>SUM(BN176:BN195)</f>
        <v>2264245.5599999987</v>
      </c>
      <c r="BO196" s="1074"/>
      <c r="BS196" s="1136">
        <f>SUM(BS176:BS195)</f>
        <v>1559919589.7839088</v>
      </c>
      <c r="BT196" s="1136">
        <f>SUM(BT176:BT195)</f>
        <v>1557655344.2239089</v>
      </c>
      <c r="BU196" s="1136">
        <f>SUM(BU176:BU195)</f>
        <v>0</v>
      </c>
      <c r="BV196" s="1136">
        <f>SUM(BV176:BV195)</f>
        <v>2264245.5599999987</v>
      </c>
      <c r="BW196" s="1074"/>
      <c r="CA196" s="1136">
        <f>SUM(CA176:CA195)</f>
        <v>1559919589.7839088</v>
      </c>
      <c r="CB196" s="1136">
        <f>SUM(CB176:CB195)</f>
        <v>1557655344.2239089</v>
      </c>
      <c r="CC196" s="1136">
        <f>SUM(CC176:CC195)</f>
        <v>0</v>
      </c>
      <c r="CD196" s="1136">
        <f>SUM(CD176:CD195)</f>
        <v>2264245.5599999987</v>
      </c>
      <c r="CE196" s="1074"/>
      <c r="CI196" s="1136">
        <f>SUM(CI176:CI195)</f>
        <v>1559919589.7839088</v>
      </c>
      <c r="CJ196" s="1136">
        <f>SUM(CJ176:CJ195)</f>
        <v>1557655344.2239089</v>
      </c>
      <c r="CK196" s="1136">
        <f>SUM(CK176:CK195)</f>
        <v>0</v>
      </c>
      <c r="CL196" s="1136">
        <f>SUM(CL176:CL195)</f>
        <v>2264245.5599999987</v>
      </c>
      <c r="CM196" s="1074"/>
      <c r="CQ196" s="1136">
        <f>SUM(CQ176:CQ195)</f>
        <v>1559919589.7839088</v>
      </c>
      <c r="CR196" s="1136">
        <f>SUM(CR176:CR195)</f>
        <v>1557655344.2239089</v>
      </c>
      <c r="CS196" s="1136">
        <f>SUM(CS176:CS195)</f>
        <v>0</v>
      </c>
      <c r="CT196" s="1136">
        <f>SUM(CT176:CT195)</f>
        <v>2264245.5599999987</v>
      </c>
      <c r="CU196" s="1074"/>
      <c r="CY196" s="1136">
        <f>SUM(CY176:CY195)</f>
        <v>1559919589.7839088</v>
      </c>
      <c r="CZ196" s="1136">
        <f>SUM(CZ176:CZ195)</f>
        <v>1557655344.2239089</v>
      </c>
      <c r="DA196" s="1136">
        <f>SUM(DA176:DA195)</f>
        <v>0</v>
      </c>
      <c r="DB196" s="1136">
        <f>SUM(DB176:DB195)</f>
        <v>2264245.5599999987</v>
      </c>
      <c r="DC196" s="1074"/>
      <c r="DG196" s="1136">
        <f>SUM(DG176:DG195)</f>
        <v>1559919589.7839088</v>
      </c>
      <c r="DH196" s="1136">
        <f>SUM(DH176:DH195)</f>
        <v>1557655344.2239089</v>
      </c>
      <c r="DI196" s="1136">
        <f>SUM(DI176:DI195)</f>
        <v>0</v>
      </c>
      <c r="DJ196" s="1136">
        <f>SUM(DJ176:DJ195)</f>
        <v>2264245.5599999987</v>
      </c>
      <c r="DK196" s="1074"/>
      <c r="DO196" s="1136">
        <f>SUM(DO176:DO195)</f>
        <v>1559919589.7839088</v>
      </c>
      <c r="DP196" s="1136">
        <f>SUM(DP176:DP195)</f>
        <v>1557655344.2239089</v>
      </c>
      <c r="DQ196" s="1136">
        <f>SUM(DQ176:DQ195)</f>
        <v>0</v>
      </c>
      <c r="DR196" s="1136">
        <f>SUM(DR176:DR195)</f>
        <v>2264245.5599999987</v>
      </c>
      <c r="DS196" s="1074"/>
      <c r="DW196" s="1136">
        <f>SUM(DW176:DW195)</f>
        <v>1559919589.7839088</v>
      </c>
      <c r="DX196" s="1136">
        <f>SUM(DX176:DX195)</f>
        <v>1557655344.2239089</v>
      </c>
      <c r="DY196" s="1136">
        <f>SUM(DY176:DY195)</f>
        <v>0</v>
      </c>
      <c r="DZ196" s="1136">
        <f>SUM(DZ176:DZ195)</f>
        <v>2264245.5599999987</v>
      </c>
      <c r="EA196" s="1074"/>
      <c r="EE196" s="1136">
        <f>SUM(EE176:EE195)</f>
        <v>1559919589.7839088</v>
      </c>
      <c r="EF196" s="1136">
        <f>SUM(EF176:EF195)</f>
        <v>1557655344.2239089</v>
      </c>
      <c r="EG196" s="1136">
        <f>SUM(EG176:EG195)</f>
        <v>0</v>
      </c>
      <c r="EH196" s="1136">
        <f>SUM(EH176:EH195)</f>
        <v>2264245.5599999987</v>
      </c>
      <c r="EI196" s="1074"/>
      <c r="EM196" s="1136">
        <f>SUM(EM176:EM195)</f>
        <v>1559919589.7839088</v>
      </c>
      <c r="EN196" s="1136">
        <f>SUM(EN176:EN195)</f>
        <v>1557655344.2239089</v>
      </c>
      <c r="EO196" s="1136">
        <f>SUM(EO176:EO195)</f>
        <v>0</v>
      </c>
      <c r="EP196" s="1136">
        <f>SUM(EP176:EP195)</f>
        <v>2264245.5599999987</v>
      </c>
      <c r="EQ196" s="1074"/>
      <c r="EU196" s="1136">
        <f>SUM(EU176:EU195)</f>
        <v>1559919589.7839088</v>
      </c>
      <c r="EV196" s="1136">
        <f>SUM(EV176:EV195)</f>
        <v>1557655344.2239089</v>
      </c>
      <c r="EW196" s="1136">
        <f>SUM(EW176:EW195)</f>
        <v>0</v>
      </c>
      <c r="EX196" s="1136">
        <f>SUM(EX176:EX195)</f>
        <v>2264245.5599999987</v>
      </c>
      <c r="EY196" s="1074"/>
      <c r="FC196" s="1136">
        <f>SUM(FC176:FC195)</f>
        <v>1559919589.7839088</v>
      </c>
      <c r="FD196" s="1136">
        <f>SUM(FD176:FD195)</f>
        <v>1557655344.2239089</v>
      </c>
      <c r="FE196" s="1136">
        <f>SUM(FE176:FE195)</f>
        <v>0</v>
      </c>
      <c r="FF196" s="1136">
        <f>SUM(FF176:FF195)</f>
        <v>2264245.5599999987</v>
      </c>
      <c r="FG196" s="1074"/>
      <c r="FK196" s="1136">
        <f>SUM(FK176:FK195)</f>
        <v>1559919589.7839088</v>
      </c>
      <c r="FL196" s="1136">
        <f>SUM(FL176:FL195)</f>
        <v>1557655344.2239089</v>
      </c>
      <c r="FM196" s="1136">
        <f>SUM(FM176:FM195)</f>
        <v>0</v>
      </c>
      <c r="FN196" s="1136">
        <f>SUM(FN176:FN195)</f>
        <v>2264245.5599999987</v>
      </c>
      <c r="FO196" s="1074"/>
    </row>
    <row r="197" spans="1:171" x14ac:dyDescent="0.25">
      <c r="A197" s="228"/>
      <c r="B197" s="10"/>
      <c r="C197" s="55"/>
      <c r="D197" s="55"/>
      <c r="E197" s="64"/>
      <c r="F197" s="64"/>
      <c r="G197" s="990"/>
      <c r="H197" s="886"/>
      <c r="I197" s="886"/>
      <c r="J197" s="937"/>
      <c r="K197" s="904"/>
      <c r="S197" s="1074"/>
      <c r="AA197" s="1074"/>
      <c r="AI197" s="1074"/>
      <c r="AQ197" s="1074"/>
      <c r="AY197" s="1074"/>
      <c r="BG197" s="1074"/>
      <c r="BO197" s="1074"/>
      <c r="BW197" s="1074"/>
      <c r="CE197" s="1074"/>
      <c r="CM197" s="1074"/>
      <c r="CU197" s="1074"/>
      <c r="DC197" s="1074"/>
      <c r="DK197" s="1074"/>
      <c r="DS197" s="1074"/>
      <c r="EA197" s="1074"/>
      <c r="EI197" s="1074"/>
      <c r="EQ197" s="1074"/>
      <c r="EY197" s="1074"/>
      <c r="FG197" s="1074"/>
      <c r="FO197" s="1074"/>
    </row>
    <row r="198" spans="1:171" x14ac:dyDescent="0.25">
      <c r="A198" s="160" t="s">
        <v>501</v>
      </c>
      <c r="B198" s="10"/>
      <c r="C198" s="55"/>
      <c r="D198" s="196"/>
      <c r="E198" s="10"/>
      <c r="F198" s="10"/>
      <c r="G198" s="990"/>
      <c r="H198" s="886"/>
      <c r="I198" s="886"/>
      <c r="J198" s="937"/>
      <c r="K198" s="904"/>
      <c r="S198" s="1074"/>
      <c r="AA198" s="1074"/>
      <c r="AI198" s="1074"/>
      <c r="AQ198" s="1074"/>
      <c r="AY198" s="1074"/>
      <c r="BG198" s="1074"/>
      <c r="BO198" s="1074"/>
      <c r="BW198" s="1074"/>
      <c r="CE198" s="1074"/>
      <c r="CM198" s="1074"/>
      <c r="CU198" s="1074"/>
      <c r="DC198" s="1074"/>
      <c r="DK198" s="1074"/>
      <c r="DS198" s="1074"/>
      <c r="EA198" s="1074"/>
      <c r="EI198" s="1074"/>
      <c r="EQ198" s="1074"/>
      <c r="EY198" s="1074"/>
      <c r="FG198" s="1074"/>
      <c r="FO198" s="1074"/>
    </row>
    <row r="199" spans="1:171" x14ac:dyDescent="0.25">
      <c r="A199" s="1390">
        <v>870</v>
      </c>
      <c r="B199" s="914" t="s">
        <v>398</v>
      </c>
      <c r="C199" s="889" t="s">
        <v>72</v>
      </c>
      <c r="D199" s="890" t="s">
        <v>482</v>
      </c>
      <c r="E199" s="182" t="str">
        <f>'Sch 3 - Expenses'!E39</f>
        <v>prod</v>
      </c>
      <c r="F199" s="890"/>
      <c r="G199" s="182">
        <f>'Sch 3 - Expenses'!G39</f>
        <v>65955211.648190439</v>
      </c>
      <c r="H199" s="182">
        <f>'Sch 3 - Expenses'!H39</f>
        <v>65955211.648190439</v>
      </c>
      <c r="I199" s="182">
        <f>'Sch 3 - Expenses'!I39</f>
        <v>0</v>
      </c>
      <c r="J199" s="183">
        <f>'Sch 3 - Expenses'!J39</f>
        <v>0</v>
      </c>
      <c r="K199" s="904">
        <f>IF($E199="DIRECT",0,1)</f>
        <v>1</v>
      </c>
      <c r="N199" s="1130">
        <f>VLOOKUP($A199,'New Resources - Individual'!$A$4:$Y$133,N$2,FALSE)*N$1</f>
        <v>0</v>
      </c>
      <c r="O199" s="1117">
        <f>$G199+N199</f>
        <v>65955211.648190439</v>
      </c>
      <c r="P199" s="1118">
        <f>VLOOKUP($E199,O$442:R$453,2,FALSE)*O199*($K199)+IF($G199&lt;&gt;0,($H199/$G199)*O199,0)*(1-$K199)</f>
        <v>65955211.648190439</v>
      </c>
      <c r="Q199" s="1118">
        <f>VLOOKUP($E199,O$442:R$453,3,FALSE)*O199*($K199)+IF($G199&lt;&gt;0,($I199/$G199)*O199,0)*(1-$K199)</f>
        <v>0</v>
      </c>
      <c r="R199" s="1118">
        <f>VLOOKUP($E199,O$442:R$453,4,FALSE)*O199*($K199)+(O199-P199-Q199)*(1-$K199)</f>
        <v>0</v>
      </c>
      <c r="S199" s="1074"/>
      <c r="V199" s="1130">
        <f>VLOOKUP($A199,'New Resources - Individual'!$A$4:$Y$133,V$2,FALSE)*V$1</f>
        <v>0</v>
      </c>
      <c r="W199" s="1117">
        <f>$G199+V199</f>
        <v>65955211.648190439</v>
      </c>
      <c r="X199" s="1118">
        <f>VLOOKUP($E199,W$442:Z$453,2,FALSE)*W199*($K199)+IF($G199&lt;&gt;0,($H199/$G199)*W199,0)*(1-$K199)</f>
        <v>65955211.648190439</v>
      </c>
      <c r="Y199" s="1118">
        <f>VLOOKUP($E199,W$442:Z$453,3,FALSE)*W199*($K199)+IF($G199&lt;&gt;0,($I199/$G199)*W199,0)*(1-$K199)</f>
        <v>0</v>
      </c>
      <c r="Z199" s="1118">
        <f>VLOOKUP($E199,W$442:Z$453,4,FALSE)*W199*($K199)+(W199-X199-Y199)*(1-$K199)</f>
        <v>0</v>
      </c>
      <c r="AA199" s="1074"/>
      <c r="AD199" s="1130">
        <f>VLOOKUP($A199,'New Resources - Individual'!$A$4:$Y$133,AD$2,FALSE)*AD$1</f>
        <v>0</v>
      </c>
      <c r="AE199" s="1117">
        <f>$G199+AD199</f>
        <v>65955211.648190439</v>
      </c>
      <c r="AF199" s="1118">
        <f>VLOOKUP($E199,AE$442:AH$453,2,FALSE)*AE199*($K199)+IF($G199&lt;&gt;0,($H199/$G199)*AE199,0)*(1-$K199)</f>
        <v>65955211.648190439</v>
      </c>
      <c r="AG199" s="1118">
        <f>VLOOKUP($E199,AE$442:AH$453,3,FALSE)*AE199*($K199)+IF($G199&lt;&gt;0,($I199/$G199)*AE199,0)*(1-$K199)</f>
        <v>0</v>
      </c>
      <c r="AH199" s="1118">
        <f>VLOOKUP($E199,AE$442:AH$453,4,FALSE)*AE199*($K199)+(AE199-AF199-AG199)*(1-$K199)</f>
        <v>0</v>
      </c>
      <c r="AI199" s="1074"/>
      <c r="AL199" s="1130">
        <f>VLOOKUP($A199,'New Resources - Individual'!$A$4:$Y$133,AL$2,FALSE)*AL$1</f>
        <v>0</v>
      </c>
      <c r="AM199" s="1117">
        <f>$G199+AL199</f>
        <v>65955211.648190439</v>
      </c>
      <c r="AN199" s="1118">
        <f>VLOOKUP($E199,AM$442:AP$453,2,FALSE)*AM199*($K199)+IF($G199&lt;&gt;0,($H199/$G199)*AM199,0)*(1-$K199)</f>
        <v>65955211.648190439</v>
      </c>
      <c r="AO199" s="1118">
        <f>VLOOKUP($E199,AM$442:AP$453,3,FALSE)*AM199*($K199)+IF($G199&lt;&gt;0,($I199/$G199)*AM199,0)*(1-$K199)</f>
        <v>0</v>
      </c>
      <c r="AP199" s="1118">
        <f>VLOOKUP($E199,AM$442:AP$453,4,FALSE)*AM199*($K199)+(AM199-AN199-AO199)*(1-$K199)</f>
        <v>0</v>
      </c>
      <c r="AQ199" s="1074"/>
      <c r="AT199" s="1130">
        <f>VLOOKUP($A199,'New Resources - Individual'!$A$4:$Y$133,AT$2,FALSE)*AT$1</f>
        <v>0</v>
      </c>
      <c r="AU199" s="1117">
        <f>$G199+AT199</f>
        <v>65955211.648190439</v>
      </c>
      <c r="AV199" s="1118">
        <f>VLOOKUP($E199,AU$442:AX$453,2,FALSE)*AU199*($K199)+IF($G199&lt;&gt;0,($H199/$G199)*AU199,0)*(1-$K199)</f>
        <v>65955211.648190439</v>
      </c>
      <c r="AW199" s="1118">
        <f>VLOOKUP($E199,AU$442:AX$453,3,FALSE)*AU199*($K199)+IF($G199&lt;&gt;0,($I199/$G199)*AU199,0)*(1-$K199)</f>
        <v>0</v>
      </c>
      <c r="AX199" s="1118">
        <f>VLOOKUP($E199,AU$442:AX$453,4,FALSE)*AU199*($K199)+(AU199-AV199-AW199)*(1-$K199)</f>
        <v>0</v>
      </c>
      <c r="AY199" s="1074"/>
      <c r="BB199" s="1130">
        <f>VLOOKUP($A199,'New Resources - Individual'!$A$4:$Y$133,BB$2,FALSE)*BB$1</f>
        <v>0</v>
      </c>
      <c r="BC199" s="1117">
        <f>$G199+BB199</f>
        <v>65955211.648190439</v>
      </c>
      <c r="BD199" s="1118">
        <f>VLOOKUP($E199,BC$442:BF$453,2,FALSE)*BC199*($K199)+IF($G199&lt;&gt;0,($H199/$G199)*BC199,0)*(1-$K199)</f>
        <v>65955211.648190439</v>
      </c>
      <c r="BE199" s="1118">
        <f>VLOOKUP($E199,BC$442:BF$453,3,FALSE)*BC199*($K199)+IF($G199&lt;&gt;0,($I199/$G199)*BC199,0)*(1-$K199)</f>
        <v>0</v>
      </c>
      <c r="BF199" s="1118">
        <f>VLOOKUP($E199,BC$442:BF$453,4,FALSE)*BC199*($K199)+(BC199-BD199-BE199)*(1-$K199)</f>
        <v>0</v>
      </c>
      <c r="BG199" s="1074"/>
      <c r="BJ199" s="1130">
        <f>VLOOKUP($A199,'New Resources - Individual'!$A$4:$Y$133,BJ$2,FALSE)*BJ$1</f>
        <v>0</v>
      </c>
      <c r="BK199" s="1117">
        <f>$G199+BJ199</f>
        <v>65955211.648190439</v>
      </c>
      <c r="BL199" s="1118">
        <f>VLOOKUP($E199,BK$442:BN$453,2,FALSE)*BK199*($K199)+IF($G199&lt;&gt;0,($H199/$G199)*BK199,0)*(1-$K199)</f>
        <v>65955211.648190439</v>
      </c>
      <c r="BM199" s="1118">
        <f>VLOOKUP($E199,BK$442:BN$453,3,FALSE)*BK199*($K199)+IF($G199&lt;&gt;0,($I199/$G199)*BK199,0)*(1-$K199)</f>
        <v>0</v>
      </c>
      <c r="BN199" s="1118">
        <f>VLOOKUP($E199,BK$442:BN$453,4,FALSE)*BK199*($K199)+(BK199-BL199-BM199)*(1-$K199)</f>
        <v>0</v>
      </c>
      <c r="BO199" s="1074"/>
      <c r="BR199" s="1130">
        <f>VLOOKUP($A199,'New Resources - Individual'!$A$4:$Y$133,BR$2,FALSE)*BR$1</f>
        <v>0</v>
      </c>
      <c r="BS199" s="1117">
        <f>$G199+BR199</f>
        <v>65955211.648190439</v>
      </c>
      <c r="BT199" s="1118">
        <f>VLOOKUP($E199,BS$442:BV$453,2,FALSE)*BS199*($K199)+IF($G199&lt;&gt;0,($H199/$G199)*BS199,0)*(1-$K199)</f>
        <v>65955211.648190439</v>
      </c>
      <c r="BU199" s="1118">
        <f>VLOOKUP($E199,BS$442:BV$453,3,FALSE)*BS199*($K199)+IF($G199&lt;&gt;0,($I199/$G199)*BS199,0)*(1-$K199)</f>
        <v>0</v>
      </c>
      <c r="BV199" s="1118">
        <f>VLOOKUP($E199,BS$442:BV$453,4,FALSE)*BS199*($K199)+(BS199-BT199-BU199)*(1-$K199)</f>
        <v>0</v>
      </c>
      <c r="BW199" s="1074"/>
      <c r="BZ199" s="1130">
        <f>VLOOKUP($A199,'New Resources - Individual'!$A$4:$Y$133,BZ$2,FALSE)*BZ$1</f>
        <v>0</v>
      </c>
      <c r="CA199" s="1117">
        <f>$G199+BZ199</f>
        <v>65955211.648190439</v>
      </c>
      <c r="CB199" s="1118">
        <f>VLOOKUP($E199,CA$442:CD$453,2,FALSE)*CA199*($K199)+IF($G199&lt;&gt;0,($H199/$G199)*CA199,0)*(1-$K199)</f>
        <v>65955211.648190439</v>
      </c>
      <c r="CC199" s="1118">
        <f>VLOOKUP($E199,CA$442:CD$453,3,FALSE)*CA199*($K199)+IF($G199&lt;&gt;0,($I199/$G199)*CA199,0)*(1-$K199)</f>
        <v>0</v>
      </c>
      <c r="CD199" s="1118">
        <f>VLOOKUP($E199,CA$442:CD$453,4,FALSE)*CA199*($K199)+(CA199-CB199-CC199)*(1-$K199)</f>
        <v>0</v>
      </c>
      <c r="CE199" s="1074"/>
      <c r="CH199" s="1130">
        <f>VLOOKUP($A199,'New Resources - Individual'!$A$4:$Y$133,CH$2,FALSE)*CH$1</f>
        <v>0</v>
      </c>
      <c r="CI199" s="1117">
        <f>$G199+CH199</f>
        <v>65955211.648190439</v>
      </c>
      <c r="CJ199" s="1118">
        <f>VLOOKUP($E199,CI$442:CL$453,2,FALSE)*CI199*($K199)+IF($G199&lt;&gt;0,($H199/$G199)*CI199,0)*(1-$K199)</f>
        <v>65955211.648190439</v>
      </c>
      <c r="CK199" s="1118">
        <f>VLOOKUP($E199,CI$442:CL$453,3,FALSE)*CI199*($K199)+IF($G199&lt;&gt;0,($I199/$G199)*CI199,0)*(1-$K199)</f>
        <v>0</v>
      </c>
      <c r="CL199" s="1118">
        <f>VLOOKUP($E199,CI$442:CL$453,4,FALSE)*CI199*($K199)+(CI199-CJ199-CK199)*(1-$K199)</f>
        <v>0</v>
      </c>
      <c r="CM199" s="1074"/>
      <c r="CP199" s="1130">
        <f>VLOOKUP($A199,'New Resources - Individual'!$A$4:$Y$133,CP$2,FALSE)*CP$1</f>
        <v>0</v>
      </c>
      <c r="CQ199" s="1117">
        <f>$G199+CP199</f>
        <v>65955211.648190439</v>
      </c>
      <c r="CR199" s="1118">
        <f>VLOOKUP($E199,CQ$442:CT$453,2,FALSE)*CQ199*($K199)+IF($G199&lt;&gt;0,($H199/$G199)*CQ199,0)*(1-$K199)</f>
        <v>65955211.648190439</v>
      </c>
      <c r="CS199" s="1118">
        <f>VLOOKUP($E199,CQ$442:CT$453,3,FALSE)*CQ199*($K199)+IF($G199&lt;&gt;0,($I199/$G199)*CQ199,0)*(1-$K199)</f>
        <v>0</v>
      </c>
      <c r="CT199" s="1118">
        <f>VLOOKUP($E199,CQ$442:CT$453,4,FALSE)*CQ199*($K199)+(CQ199-CR199-CS199)*(1-$K199)</f>
        <v>0</v>
      </c>
      <c r="CU199" s="1074"/>
      <c r="CX199" s="1130">
        <f>VLOOKUP($A199,'New Resources - Individual'!$A$4:$Y$133,CX$2,FALSE)*CX$1</f>
        <v>0</v>
      </c>
      <c r="CY199" s="1117">
        <f>$G199+CX199</f>
        <v>65955211.648190439</v>
      </c>
      <c r="CZ199" s="1118">
        <f>VLOOKUP($E199,CY$442:DB$453,2,FALSE)*CY199*($K199)+IF($G199&lt;&gt;0,($H199/$G199)*CY199,0)*(1-$K199)</f>
        <v>65955211.648190439</v>
      </c>
      <c r="DA199" s="1118">
        <f>VLOOKUP($E199,CY$442:DB$453,3,FALSE)*CY199*($K199)+IF($G199&lt;&gt;0,($I199/$G199)*CY199,0)*(1-$K199)</f>
        <v>0</v>
      </c>
      <c r="DB199" s="1118">
        <f>VLOOKUP($E199,CY$442:DB$453,4,FALSE)*CY199*($K199)+(CY199-CZ199-DA199)*(1-$K199)</f>
        <v>0</v>
      </c>
      <c r="DC199" s="1074"/>
      <c r="DF199" s="1130">
        <f>VLOOKUP($A199,'New Resources - Individual'!$A$4:$Y$133,DF$2,FALSE)*DF$1</f>
        <v>0</v>
      </c>
      <c r="DG199" s="1117">
        <f>$G199+DF199</f>
        <v>65955211.648190439</v>
      </c>
      <c r="DH199" s="1118">
        <f>VLOOKUP($E199,DG$442:DJ$453,2,FALSE)*DG199*($K199)+IF($G199&lt;&gt;0,($H199/$G199)*DG199,0)*(1-$K199)</f>
        <v>65955211.648190439</v>
      </c>
      <c r="DI199" s="1118">
        <f>VLOOKUP($E199,DG$442:DJ$453,3,FALSE)*DG199*($K199)+IF($G199&lt;&gt;0,($I199/$G199)*DG199,0)*(1-$K199)</f>
        <v>0</v>
      </c>
      <c r="DJ199" s="1118">
        <f>VLOOKUP($E199,DG$442:DJ$453,4,FALSE)*DG199*($K199)+(DG199-DH199-DI199)*(1-$K199)</f>
        <v>0</v>
      </c>
      <c r="DK199" s="1074"/>
      <c r="DN199" s="1130">
        <f>VLOOKUP($A199,'New Resources - Individual'!$A$4:$Y$133,DN$2,FALSE)*DN$1</f>
        <v>0</v>
      </c>
      <c r="DO199" s="1117">
        <f>$G199+DN199</f>
        <v>65955211.648190439</v>
      </c>
      <c r="DP199" s="1118">
        <f>VLOOKUP($E199,DO$442:DR$453,2,FALSE)*DO199*($K199)+IF($G199&lt;&gt;0,($H199/$G199)*DO199,0)*(1-$K199)</f>
        <v>65955211.648190439</v>
      </c>
      <c r="DQ199" s="1118">
        <f>VLOOKUP($E199,DO$442:DR$453,3,FALSE)*DO199*($K199)+IF($G199&lt;&gt;0,($I199/$G199)*DO199,0)*(1-$K199)</f>
        <v>0</v>
      </c>
      <c r="DR199" s="1118">
        <f>VLOOKUP($E199,DO$442:DR$453,4,FALSE)*DO199*($K199)+(DO199-DP199-DQ199)*(1-$K199)</f>
        <v>0</v>
      </c>
      <c r="DS199" s="1074"/>
      <c r="DV199" s="1130">
        <f>VLOOKUP($A199,'New Resources - Individual'!$A$4:$Y$133,DV$2,FALSE)*DV$1</f>
        <v>0</v>
      </c>
      <c r="DW199" s="1117">
        <f>$G199+DV199</f>
        <v>65955211.648190439</v>
      </c>
      <c r="DX199" s="1118">
        <f>VLOOKUP($E199,DW$442:DZ$453,2,FALSE)*DW199*($K199)+IF($G199&lt;&gt;0,($H199/$G199)*DW199,0)*(1-$K199)</f>
        <v>65955211.648190439</v>
      </c>
      <c r="DY199" s="1118">
        <f>VLOOKUP($E199,DW$442:DZ$453,3,FALSE)*DW199*($K199)+IF($G199&lt;&gt;0,($I199/$G199)*DW199,0)*(1-$K199)</f>
        <v>0</v>
      </c>
      <c r="DZ199" s="1118">
        <f>VLOOKUP($E199,DW$442:DZ$453,4,FALSE)*DW199*($K199)+(DW199-DX199-DY199)*(1-$K199)</f>
        <v>0</v>
      </c>
      <c r="EA199" s="1074"/>
      <c r="ED199" s="1130">
        <f>VLOOKUP($A199,'New Resources - Individual'!$A$4:$Y$133,ED$2,FALSE)*ED$1</f>
        <v>0</v>
      </c>
      <c r="EE199" s="1117">
        <f>$G199+ED199</f>
        <v>65955211.648190439</v>
      </c>
      <c r="EF199" s="1118">
        <f>VLOOKUP($E199,EE$442:EH$453,2,FALSE)*EE199*($K199)+IF($G199&lt;&gt;0,($H199/$G199)*EE199,0)*(1-$K199)</f>
        <v>65955211.648190439</v>
      </c>
      <c r="EG199" s="1118">
        <f>VLOOKUP($E199,EE$442:EH$453,3,FALSE)*EE199*($K199)+IF($G199&lt;&gt;0,($I199/$G199)*EE199,0)*(1-$K199)</f>
        <v>0</v>
      </c>
      <c r="EH199" s="1118">
        <f>VLOOKUP($E199,EE$442:EH$453,4,FALSE)*EE199*($K199)+(EE199-EF199-EG199)*(1-$K199)</f>
        <v>0</v>
      </c>
      <c r="EI199" s="1074"/>
      <c r="EL199" s="1130">
        <f>VLOOKUP($A199,'New Resources - Individual'!$A$4:$Y$133,EL$2,FALSE)*EL$1</f>
        <v>0</v>
      </c>
      <c r="EM199" s="1117">
        <f>$G199+EL199</f>
        <v>65955211.648190439</v>
      </c>
      <c r="EN199" s="1118">
        <f>VLOOKUP($E199,EM$442:EP$453,2,FALSE)*EM199*($K199)+IF($G199&lt;&gt;0,($H199/$G199)*EM199,0)*(1-$K199)</f>
        <v>65955211.648190439</v>
      </c>
      <c r="EO199" s="1118">
        <f>VLOOKUP($E199,EM$442:EP$453,3,FALSE)*EM199*($K199)+IF($G199&lt;&gt;0,($I199/$G199)*EM199,0)*(1-$K199)</f>
        <v>0</v>
      </c>
      <c r="EP199" s="1118">
        <f>VLOOKUP($E199,EM$442:EP$453,4,FALSE)*EM199*($K199)+(EM199-EN199-EO199)*(1-$K199)</f>
        <v>0</v>
      </c>
      <c r="EQ199" s="1074"/>
      <c r="ET199" s="1130">
        <f>VLOOKUP($A199,'New Resources - Individual'!$A$4:$Y$133,ET$2,FALSE)*ET$1</f>
        <v>0</v>
      </c>
      <c r="EU199" s="1117">
        <f>$G199+ET199</f>
        <v>65955211.648190439</v>
      </c>
      <c r="EV199" s="1118">
        <f>VLOOKUP($E199,EU$442:EX$453,2,FALSE)*EU199*($K199)+IF($G199&lt;&gt;0,($H199/$G199)*EU199,0)*(1-$K199)</f>
        <v>65955211.648190439</v>
      </c>
      <c r="EW199" s="1118">
        <f>VLOOKUP($E199,EU$442:EX$453,3,FALSE)*EU199*($K199)+IF($G199&lt;&gt;0,($I199/$G199)*EU199,0)*(1-$K199)</f>
        <v>0</v>
      </c>
      <c r="EX199" s="1118">
        <f>VLOOKUP($E199,EU$442:EX$453,4,FALSE)*EU199*($K199)+(EU199-EV199-EW199)*(1-$K199)</f>
        <v>0</v>
      </c>
      <c r="EY199" s="1074"/>
      <c r="FB199" s="1130">
        <f>VLOOKUP($A199,'New Resources - Individual'!$A$4:$Y$133,FB$2,FALSE)*FB$1</f>
        <v>0</v>
      </c>
      <c r="FC199" s="1117">
        <f>$G199+FB199</f>
        <v>65955211.648190439</v>
      </c>
      <c r="FD199" s="1118">
        <f>VLOOKUP($E199,FC$442:FF$453,2,FALSE)*FC199*($K199)+IF($G199&lt;&gt;0,($H199/$G199)*FC199,0)*(1-$K199)</f>
        <v>65955211.648190439</v>
      </c>
      <c r="FE199" s="1118">
        <f>VLOOKUP($E199,FC$442:FF$453,3,FALSE)*FC199*($K199)+IF($G199&lt;&gt;0,($I199/$G199)*FC199,0)*(1-$K199)</f>
        <v>0</v>
      </c>
      <c r="FF199" s="1118">
        <f>VLOOKUP($E199,FC$442:FF$453,4,FALSE)*FC199*($K199)+(FC199-FD199-FE199)*(1-$K199)</f>
        <v>0</v>
      </c>
      <c r="FG199" s="1074"/>
      <c r="FJ199" s="1130">
        <f>VLOOKUP($A199,'New Resources - Individual'!$A$4:$Y$133,FJ$2,FALSE)*FJ$1</f>
        <v>0</v>
      </c>
      <c r="FK199" s="1117">
        <f>$G199+FJ199</f>
        <v>65955211.648190439</v>
      </c>
      <c r="FL199" s="1118">
        <f>VLOOKUP($E199,FK$442:FN$453,2,FALSE)*FK199*($K199)+IF($G199&lt;&gt;0,($H199/$G199)*FK199,0)*(1-$K199)</f>
        <v>65955211.648190439</v>
      </c>
      <c r="FM199" s="1118">
        <f>VLOOKUP($E199,FK$442:FN$453,3,FALSE)*FK199*($K199)+IF($G199&lt;&gt;0,($I199/$G199)*FK199,0)*(1-$K199)</f>
        <v>0</v>
      </c>
      <c r="FN199" s="1118">
        <f>VLOOKUP($E199,FK$442:FN$453,4,FALSE)*FK199*($K199)+(FK199-FL199-FM199)*(1-$K199)</f>
        <v>0</v>
      </c>
      <c r="FO199" s="1074"/>
    </row>
    <row r="200" spans="1:171" x14ac:dyDescent="0.25">
      <c r="A200" s="1390">
        <v>880</v>
      </c>
      <c r="B200" s="914" t="s">
        <v>461</v>
      </c>
      <c r="C200" s="889" t="s">
        <v>72</v>
      </c>
      <c r="D200" s="890" t="s">
        <v>302</v>
      </c>
      <c r="E200" s="182" t="str">
        <f>'Sch 3 - Expenses'!E40</f>
        <v>TRANS</v>
      </c>
      <c r="F200" s="890"/>
      <c r="G200" s="182">
        <f>'Sch 3 - Expenses'!G40</f>
        <v>17122103.721672125</v>
      </c>
      <c r="H200" s="182">
        <f>'Sch 3 - Expenses'!H40</f>
        <v>0</v>
      </c>
      <c r="I200" s="182">
        <f>'Sch 3 - Expenses'!I40</f>
        <v>0</v>
      </c>
      <c r="J200" s="183">
        <f>'Sch 3 - Expenses'!J40</f>
        <v>17122103.721672125</v>
      </c>
      <c r="K200" s="904">
        <f>IF($E200="DIRECT",0,1)</f>
        <v>1</v>
      </c>
      <c r="N200" s="1130">
        <f>VLOOKUP($A200,'New Resources - Individual'!$A$4:$Y$133,N$2,FALSE)*N$1</f>
        <v>0</v>
      </c>
      <c r="O200" s="1117">
        <f>$G200+N200</f>
        <v>17122103.721672125</v>
      </c>
      <c r="P200" s="1118">
        <f>VLOOKUP($E200,O$442:R$453,2,FALSE)*O200*($K200)+IF($G200&lt;&gt;0,($H200/$G200)*O200,0)*(1-$K200)</f>
        <v>0</v>
      </c>
      <c r="Q200" s="1118">
        <f>VLOOKUP($E200,O$442:R$453,3,FALSE)*O200*($K200)+IF($G200&lt;&gt;0,($I200/$G200)*O200,0)*(1-$K200)</f>
        <v>17122103.721672125</v>
      </c>
      <c r="R200" s="1118">
        <f>VLOOKUP($E200,O$442:R$453,4,FALSE)*O200*($K200)+(O200-P200-Q200)*(1-$K200)</f>
        <v>0</v>
      </c>
      <c r="S200" s="1074"/>
      <c r="V200" s="1130">
        <f>VLOOKUP($A200,'New Resources - Individual'!$A$4:$Y$133,V$2,FALSE)*V$1</f>
        <v>0</v>
      </c>
      <c r="W200" s="1117">
        <f>$G200+V200</f>
        <v>17122103.721672125</v>
      </c>
      <c r="X200" s="1118">
        <f>VLOOKUP($E200,W$442:Z$453,2,FALSE)*W200*($K200)+IF($G200&lt;&gt;0,($H200/$G200)*W200,0)*(1-$K200)</f>
        <v>0</v>
      </c>
      <c r="Y200" s="1118">
        <f>VLOOKUP($E200,W$442:Z$453,3,FALSE)*W200*($K200)+IF($G200&lt;&gt;0,($I200/$G200)*W200,0)*(1-$K200)</f>
        <v>17122103.721672125</v>
      </c>
      <c r="Z200" s="1118">
        <f>VLOOKUP($E200,W$442:Z$453,4,FALSE)*W200*($K200)+(W200-X200-Y200)*(1-$K200)</f>
        <v>0</v>
      </c>
      <c r="AA200" s="1074"/>
      <c r="AD200" s="1130">
        <f>VLOOKUP($A200,'New Resources - Individual'!$A$4:$Y$133,AD$2,FALSE)*AD$1</f>
        <v>0</v>
      </c>
      <c r="AE200" s="1117">
        <f>$G200+AD200</f>
        <v>17122103.721672125</v>
      </c>
      <c r="AF200" s="1118">
        <f>VLOOKUP($E200,AE$442:AH$453,2,FALSE)*AE200*($K200)+IF($G200&lt;&gt;0,($H200/$G200)*AE200,0)*(1-$K200)</f>
        <v>0</v>
      </c>
      <c r="AG200" s="1118">
        <f>VLOOKUP($E200,AE$442:AH$453,3,FALSE)*AE200*($K200)+IF($G200&lt;&gt;0,($I200/$G200)*AE200,0)*(1-$K200)</f>
        <v>17122103.721672125</v>
      </c>
      <c r="AH200" s="1118">
        <f>VLOOKUP($E200,AE$442:AH$453,4,FALSE)*AE200*($K200)+(AE200-AF200-AG200)*(1-$K200)</f>
        <v>0</v>
      </c>
      <c r="AI200" s="1074"/>
      <c r="AL200" s="1130">
        <f>VLOOKUP($A200,'New Resources - Individual'!$A$4:$Y$133,AL$2,FALSE)*AL$1</f>
        <v>0</v>
      </c>
      <c r="AM200" s="1117">
        <f>$G200+AL200</f>
        <v>17122103.721672125</v>
      </c>
      <c r="AN200" s="1118">
        <f>VLOOKUP($E200,AM$442:AP$453,2,FALSE)*AM200*($K200)+IF($G200&lt;&gt;0,($H200/$G200)*AM200,0)*(1-$K200)</f>
        <v>0</v>
      </c>
      <c r="AO200" s="1118">
        <f>VLOOKUP($E200,AM$442:AP$453,3,FALSE)*AM200*($K200)+IF($G200&lt;&gt;0,($I200/$G200)*AM200,0)*(1-$K200)</f>
        <v>17122103.721672125</v>
      </c>
      <c r="AP200" s="1118">
        <f>VLOOKUP($E200,AM$442:AP$453,4,FALSE)*AM200*($K200)+(AM200-AN200-AO200)*(1-$K200)</f>
        <v>0</v>
      </c>
      <c r="AQ200" s="1074"/>
      <c r="AT200" s="1130">
        <f>VLOOKUP($A200,'New Resources - Individual'!$A$4:$Y$133,AT$2,FALSE)*AT$1</f>
        <v>0</v>
      </c>
      <c r="AU200" s="1117">
        <f>$G200+AT200</f>
        <v>17122103.721672125</v>
      </c>
      <c r="AV200" s="1118">
        <f>VLOOKUP($E200,AU$442:AX$453,2,FALSE)*AU200*($K200)+IF($G200&lt;&gt;0,($H200/$G200)*AU200,0)*(1-$K200)</f>
        <v>0</v>
      </c>
      <c r="AW200" s="1118">
        <f>VLOOKUP($E200,AU$442:AX$453,3,FALSE)*AU200*($K200)+IF($G200&lt;&gt;0,($I200/$G200)*AU200,0)*(1-$K200)</f>
        <v>17122103.721672125</v>
      </c>
      <c r="AX200" s="1118">
        <f>VLOOKUP($E200,AU$442:AX$453,4,FALSE)*AU200*($K200)+(AU200-AV200-AW200)*(1-$K200)</f>
        <v>0</v>
      </c>
      <c r="AY200" s="1074"/>
      <c r="BB200" s="1130">
        <f>VLOOKUP($A200,'New Resources - Individual'!$A$4:$Y$133,BB$2,FALSE)*BB$1</f>
        <v>0</v>
      </c>
      <c r="BC200" s="1117">
        <f>$G200+BB200</f>
        <v>17122103.721672125</v>
      </c>
      <c r="BD200" s="1118">
        <f>VLOOKUP($E200,BC$442:BF$453,2,FALSE)*BC200*($K200)+IF($G200&lt;&gt;0,($H200/$G200)*BC200,0)*(1-$K200)</f>
        <v>0</v>
      </c>
      <c r="BE200" s="1118">
        <f>VLOOKUP($E200,BC$442:BF$453,3,FALSE)*BC200*($K200)+IF($G200&lt;&gt;0,($I200/$G200)*BC200,0)*(1-$K200)</f>
        <v>17122103.721672125</v>
      </c>
      <c r="BF200" s="1118">
        <f>VLOOKUP($E200,BC$442:BF$453,4,FALSE)*BC200*($K200)+(BC200-BD200-BE200)*(1-$K200)</f>
        <v>0</v>
      </c>
      <c r="BG200" s="1074"/>
      <c r="BJ200" s="1130">
        <f>VLOOKUP($A200,'New Resources - Individual'!$A$4:$Y$133,BJ$2,FALSE)*BJ$1</f>
        <v>0</v>
      </c>
      <c r="BK200" s="1117">
        <f>$G200+BJ200</f>
        <v>17122103.721672125</v>
      </c>
      <c r="BL200" s="1118">
        <f>VLOOKUP($E200,BK$442:BN$453,2,FALSE)*BK200*($K200)+IF($G200&lt;&gt;0,($H200/$G200)*BK200,0)*(1-$K200)</f>
        <v>0</v>
      </c>
      <c r="BM200" s="1118">
        <f>VLOOKUP($E200,BK$442:BN$453,3,FALSE)*BK200*($K200)+IF($G200&lt;&gt;0,($I200/$G200)*BK200,0)*(1-$K200)</f>
        <v>17122103.721672125</v>
      </c>
      <c r="BN200" s="1118">
        <f>VLOOKUP($E200,BK$442:BN$453,4,FALSE)*BK200*($K200)+(BK200-BL200-BM200)*(1-$K200)</f>
        <v>0</v>
      </c>
      <c r="BO200" s="1074"/>
      <c r="BR200" s="1130">
        <f>VLOOKUP($A200,'New Resources - Individual'!$A$4:$Y$133,BR$2,FALSE)*BR$1</f>
        <v>0</v>
      </c>
      <c r="BS200" s="1117">
        <f>$G200+BR200</f>
        <v>17122103.721672125</v>
      </c>
      <c r="BT200" s="1118">
        <f>VLOOKUP($E200,BS$442:BV$453,2,FALSE)*BS200*($K200)+IF($G200&lt;&gt;0,($H200/$G200)*BS200,0)*(1-$K200)</f>
        <v>0</v>
      </c>
      <c r="BU200" s="1118">
        <f>VLOOKUP($E200,BS$442:BV$453,3,FALSE)*BS200*($K200)+IF($G200&lt;&gt;0,($I200/$G200)*BS200,0)*(1-$K200)</f>
        <v>17122103.721672125</v>
      </c>
      <c r="BV200" s="1118">
        <f>VLOOKUP($E200,BS$442:BV$453,4,FALSE)*BS200*($K200)+(BS200-BT200-BU200)*(1-$K200)</f>
        <v>0</v>
      </c>
      <c r="BW200" s="1074"/>
      <c r="BZ200" s="1130">
        <f>VLOOKUP($A200,'New Resources - Individual'!$A$4:$Y$133,BZ$2,FALSE)*BZ$1</f>
        <v>0</v>
      </c>
      <c r="CA200" s="1117">
        <f>$G200+BZ200</f>
        <v>17122103.721672125</v>
      </c>
      <c r="CB200" s="1118">
        <f>VLOOKUP($E200,CA$442:CD$453,2,FALSE)*CA200*($K200)+IF($G200&lt;&gt;0,($H200/$G200)*CA200,0)*(1-$K200)</f>
        <v>0</v>
      </c>
      <c r="CC200" s="1118">
        <f>VLOOKUP($E200,CA$442:CD$453,3,FALSE)*CA200*($K200)+IF($G200&lt;&gt;0,($I200/$G200)*CA200,0)*(1-$K200)</f>
        <v>17122103.721672125</v>
      </c>
      <c r="CD200" s="1118">
        <f>VLOOKUP($E200,CA$442:CD$453,4,FALSE)*CA200*($K200)+(CA200-CB200-CC200)*(1-$K200)</f>
        <v>0</v>
      </c>
      <c r="CE200" s="1074"/>
      <c r="CH200" s="1130">
        <f>VLOOKUP($A200,'New Resources - Individual'!$A$4:$Y$133,CH$2,FALSE)*CH$1</f>
        <v>0</v>
      </c>
      <c r="CI200" s="1117">
        <f>$G200+CH200</f>
        <v>17122103.721672125</v>
      </c>
      <c r="CJ200" s="1118">
        <f>VLOOKUP($E200,CI$442:CL$453,2,FALSE)*CI200*($K200)+IF($G200&lt;&gt;0,($H200/$G200)*CI200,0)*(1-$K200)</f>
        <v>0</v>
      </c>
      <c r="CK200" s="1118">
        <f>VLOOKUP($E200,CI$442:CL$453,3,FALSE)*CI200*($K200)+IF($G200&lt;&gt;0,($I200/$G200)*CI200,0)*(1-$K200)</f>
        <v>17122103.721672125</v>
      </c>
      <c r="CL200" s="1118">
        <f>VLOOKUP($E200,CI$442:CL$453,4,FALSE)*CI200*($K200)+(CI200-CJ200-CK200)*(1-$K200)</f>
        <v>0</v>
      </c>
      <c r="CM200" s="1074"/>
      <c r="CP200" s="1130">
        <f>VLOOKUP($A200,'New Resources - Individual'!$A$4:$Y$133,CP$2,FALSE)*CP$1</f>
        <v>0</v>
      </c>
      <c r="CQ200" s="1117">
        <f>$G200+CP200</f>
        <v>17122103.721672125</v>
      </c>
      <c r="CR200" s="1118">
        <f>VLOOKUP($E200,CQ$442:CT$453,2,FALSE)*CQ200*($K200)+IF($G200&lt;&gt;0,($H200/$G200)*CQ200,0)*(1-$K200)</f>
        <v>0</v>
      </c>
      <c r="CS200" s="1118">
        <f>VLOOKUP($E200,CQ$442:CT$453,3,FALSE)*CQ200*($K200)+IF($G200&lt;&gt;0,($I200/$G200)*CQ200,0)*(1-$K200)</f>
        <v>17122103.721672125</v>
      </c>
      <c r="CT200" s="1118">
        <f>VLOOKUP($E200,CQ$442:CT$453,4,FALSE)*CQ200*($K200)+(CQ200-CR200-CS200)*(1-$K200)</f>
        <v>0</v>
      </c>
      <c r="CU200" s="1074"/>
      <c r="CX200" s="1130">
        <f>VLOOKUP($A200,'New Resources - Individual'!$A$4:$Y$133,CX$2,FALSE)*CX$1</f>
        <v>0</v>
      </c>
      <c r="CY200" s="1117">
        <f>$G200+CX200</f>
        <v>17122103.721672125</v>
      </c>
      <c r="CZ200" s="1118">
        <f>VLOOKUP($E200,CY$442:DB$453,2,FALSE)*CY200*($K200)+IF($G200&lt;&gt;0,($H200/$G200)*CY200,0)*(1-$K200)</f>
        <v>0</v>
      </c>
      <c r="DA200" s="1118">
        <f>VLOOKUP($E200,CY$442:DB$453,3,FALSE)*CY200*($K200)+IF($G200&lt;&gt;0,($I200/$G200)*CY200,0)*(1-$K200)</f>
        <v>17122103.721672125</v>
      </c>
      <c r="DB200" s="1118">
        <f>VLOOKUP($E200,CY$442:DB$453,4,FALSE)*CY200*($K200)+(CY200-CZ200-DA200)*(1-$K200)</f>
        <v>0</v>
      </c>
      <c r="DC200" s="1074"/>
      <c r="DF200" s="1130">
        <f>VLOOKUP($A200,'New Resources - Individual'!$A$4:$Y$133,DF$2,FALSE)*DF$1</f>
        <v>0</v>
      </c>
      <c r="DG200" s="1117">
        <f>$G200+DF200</f>
        <v>17122103.721672125</v>
      </c>
      <c r="DH200" s="1118">
        <f>VLOOKUP($E200,DG$442:DJ$453,2,FALSE)*DG200*($K200)+IF($G200&lt;&gt;0,($H200/$G200)*DG200,0)*(1-$K200)</f>
        <v>0</v>
      </c>
      <c r="DI200" s="1118">
        <f>VLOOKUP($E200,DG$442:DJ$453,3,FALSE)*DG200*($K200)+IF($G200&lt;&gt;0,($I200/$G200)*DG200,0)*(1-$K200)</f>
        <v>17122103.721672125</v>
      </c>
      <c r="DJ200" s="1118">
        <f>VLOOKUP($E200,DG$442:DJ$453,4,FALSE)*DG200*($K200)+(DG200-DH200-DI200)*(1-$K200)</f>
        <v>0</v>
      </c>
      <c r="DK200" s="1074"/>
      <c r="DN200" s="1130">
        <f>VLOOKUP($A200,'New Resources - Individual'!$A$4:$Y$133,DN$2,FALSE)*DN$1</f>
        <v>0</v>
      </c>
      <c r="DO200" s="1117">
        <f>$G200+DN200</f>
        <v>17122103.721672125</v>
      </c>
      <c r="DP200" s="1118">
        <f>VLOOKUP($E200,DO$442:DR$453,2,FALSE)*DO200*($K200)+IF($G200&lt;&gt;0,($H200/$G200)*DO200,0)*(1-$K200)</f>
        <v>0</v>
      </c>
      <c r="DQ200" s="1118">
        <f>VLOOKUP($E200,DO$442:DR$453,3,FALSE)*DO200*($K200)+IF($G200&lt;&gt;0,($I200/$G200)*DO200,0)*(1-$K200)</f>
        <v>17122103.721672125</v>
      </c>
      <c r="DR200" s="1118">
        <f>VLOOKUP($E200,DO$442:DR$453,4,FALSE)*DO200*($K200)+(DO200-DP200-DQ200)*(1-$K200)</f>
        <v>0</v>
      </c>
      <c r="DS200" s="1074"/>
      <c r="DV200" s="1130">
        <f>VLOOKUP($A200,'New Resources - Individual'!$A$4:$Y$133,DV$2,FALSE)*DV$1</f>
        <v>0</v>
      </c>
      <c r="DW200" s="1117">
        <f>$G200+DV200</f>
        <v>17122103.721672125</v>
      </c>
      <c r="DX200" s="1118">
        <f>VLOOKUP($E200,DW$442:DZ$453,2,FALSE)*DW200*($K200)+IF($G200&lt;&gt;0,($H200/$G200)*DW200,0)*(1-$K200)</f>
        <v>0</v>
      </c>
      <c r="DY200" s="1118">
        <f>VLOOKUP($E200,DW$442:DZ$453,3,FALSE)*DW200*($K200)+IF($G200&lt;&gt;0,($I200/$G200)*DW200,0)*(1-$K200)</f>
        <v>17122103.721672125</v>
      </c>
      <c r="DZ200" s="1118">
        <f>VLOOKUP($E200,DW$442:DZ$453,4,FALSE)*DW200*($K200)+(DW200-DX200-DY200)*(1-$K200)</f>
        <v>0</v>
      </c>
      <c r="EA200" s="1074"/>
      <c r="ED200" s="1130">
        <f>VLOOKUP($A200,'New Resources - Individual'!$A$4:$Y$133,ED$2,FALSE)*ED$1</f>
        <v>0</v>
      </c>
      <c r="EE200" s="1117">
        <f>$G200+ED200</f>
        <v>17122103.721672125</v>
      </c>
      <c r="EF200" s="1118">
        <f>VLOOKUP($E200,EE$442:EH$453,2,FALSE)*EE200*($K200)+IF($G200&lt;&gt;0,($H200/$G200)*EE200,0)*(1-$K200)</f>
        <v>0</v>
      </c>
      <c r="EG200" s="1118">
        <f>VLOOKUP($E200,EE$442:EH$453,3,FALSE)*EE200*($K200)+IF($G200&lt;&gt;0,($I200/$G200)*EE200,0)*(1-$K200)</f>
        <v>17122103.721672125</v>
      </c>
      <c r="EH200" s="1118">
        <f>VLOOKUP($E200,EE$442:EH$453,4,FALSE)*EE200*($K200)+(EE200-EF200-EG200)*(1-$K200)</f>
        <v>0</v>
      </c>
      <c r="EI200" s="1074"/>
      <c r="EL200" s="1130">
        <f>VLOOKUP($A200,'New Resources - Individual'!$A$4:$Y$133,EL$2,FALSE)*EL$1</f>
        <v>0</v>
      </c>
      <c r="EM200" s="1117">
        <f>$G200+EL200</f>
        <v>17122103.721672125</v>
      </c>
      <c r="EN200" s="1118">
        <f>VLOOKUP($E200,EM$442:EP$453,2,FALSE)*EM200*($K200)+IF($G200&lt;&gt;0,($H200/$G200)*EM200,0)*(1-$K200)</f>
        <v>0</v>
      </c>
      <c r="EO200" s="1118">
        <f>VLOOKUP($E200,EM$442:EP$453,3,FALSE)*EM200*($K200)+IF($G200&lt;&gt;0,($I200/$G200)*EM200,0)*(1-$K200)</f>
        <v>17122103.721672125</v>
      </c>
      <c r="EP200" s="1118">
        <f>VLOOKUP($E200,EM$442:EP$453,4,FALSE)*EM200*($K200)+(EM200-EN200-EO200)*(1-$K200)</f>
        <v>0</v>
      </c>
      <c r="EQ200" s="1074"/>
      <c r="ET200" s="1130">
        <f>VLOOKUP($A200,'New Resources - Individual'!$A$4:$Y$133,ET$2,FALSE)*ET$1</f>
        <v>0</v>
      </c>
      <c r="EU200" s="1117">
        <f>$G200+ET200</f>
        <v>17122103.721672125</v>
      </c>
      <c r="EV200" s="1118">
        <f>VLOOKUP($E200,EU$442:EX$453,2,FALSE)*EU200*($K200)+IF($G200&lt;&gt;0,($H200/$G200)*EU200,0)*(1-$K200)</f>
        <v>0</v>
      </c>
      <c r="EW200" s="1118">
        <f>VLOOKUP($E200,EU$442:EX$453,3,FALSE)*EU200*($K200)+IF($G200&lt;&gt;0,($I200/$G200)*EU200,0)*(1-$K200)</f>
        <v>17122103.721672125</v>
      </c>
      <c r="EX200" s="1118">
        <f>VLOOKUP($E200,EU$442:EX$453,4,FALSE)*EU200*($K200)+(EU200-EV200-EW200)*(1-$K200)</f>
        <v>0</v>
      </c>
      <c r="EY200" s="1074"/>
      <c r="FB200" s="1130">
        <f>VLOOKUP($A200,'New Resources - Individual'!$A$4:$Y$133,FB$2,FALSE)*FB$1</f>
        <v>0</v>
      </c>
      <c r="FC200" s="1117">
        <f>$G200+FB200</f>
        <v>17122103.721672125</v>
      </c>
      <c r="FD200" s="1118">
        <f>VLOOKUP($E200,FC$442:FF$453,2,FALSE)*FC200*($K200)+IF($G200&lt;&gt;0,($H200/$G200)*FC200,0)*(1-$K200)</f>
        <v>0</v>
      </c>
      <c r="FE200" s="1118">
        <f>VLOOKUP($E200,FC$442:FF$453,3,FALSE)*FC200*($K200)+IF($G200&lt;&gt;0,($I200/$G200)*FC200,0)*(1-$K200)</f>
        <v>17122103.721672125</v>
      </c>
      <c r="FF200" s="1118">
        <f>VLOOKUP($E200,FC$442:FF$453,4,FALSE)*FC200*($K200)+(FC200-FD200-FE200)*(1-$K200)</f>
        <v>0</v>
      </c>
      <c r="FG200" s="1074"/>
      <c r="FJ200" s="1130">
        <f>VLOOKUP($A200,'New Resources - Individual'!$A$4:$Y$133,FJ$2,FALSE)*FJ$1</f>
        <v>0</v>
      </c>
      <c r="FK200" s="1117">
        <f>$G200+FJ200</f>
        <v>17122103.721672125</v>
      </c>
      <c r="FL200" s="1118">
        <f>VLOOKUP($E200,FK$442:FN$453,2,FALSE)*FK200*($K200)+IF($G200&lt;&gt;0,($H200/$G200)*FK200,0)*(1-$K200)</f>
        <v>0</v>
      </c>
      <c r="FM200" s="1118">
        <f>VLOOKUP($E200,FK$442:FN$453,3,FALSE)*FK200*($K200)+IF($G200&lt;&gt;0,($I200/$G200)*FK200,0)*(1-$K200)</f>
        <v>17122103.721672125</v>
      </c>
      <c r="FN200" s="1118">
        <f>VLOOKUP($E200,FK$442:FN$453,4,FALSE)*FK200*($K200)+(FK200-FL200-FM200)*(1-$K200)</f>
        <v>0</v>
      </c>
      <c r="FO200" s="1074"/>
    </row>
    <row r="201" spans="1:171" x14ac:dyDescent="0.25">
      <c r="A201" s="1390">
        <v>890</v>
      </c>
      <c r="B201" s="914" t="s">
        <v>462</v>
      </c>
      <c r="C201" s="889" t="s">
        <v>72</v>
      </c>
      <c r="D201" s="890" t="s">
        <v>303</v>
      </c>
      <c r="E201" s="182" t="str">
        <f>'Sch 3 - Expenses'!E41</f>
        <v>TRANS</v>
      </c>
      <c r="F201" s="890"/>
      <c r="G201" s="182">
        <f>'Sch 3 - Expenses'!G41</f>
        <v>20375940.386021726</v>
      </c>
      <c r="H201" s="182">
        <f>'Sch 3 - Expenses'!H41</f>
        <v>0</v>
      </c>
      <c r="I201" s="182">
        <f>'Sch 3 - Expenses'!I41</f>
        <v>0</v>
      </c>
      <c r="J201" s="183">
        <f>'Sch 3 - Expenses'!J41</f>
        <v>20375940.386021726</v>
      </c>
      <c r="K201" s="904">
        <f>IF($E201="DIRECT",0,1)</f>
        <v>1</v>
      </c>
      <c r="N201" s="1130">
        <f>VLOOKUP($A201,'New Resources - Individual'!$A$4:$Y$133,N$2,FALSE)*N$1</f>
        <v>0</v>
      </c>
      <c r="O201" s="1117">
        <f>$G201+N201</f>
        <v>20375940.386021726</v>
      </c>
      <c r="P201" s="1118">
        <f>VLOOKUP($E201,O$442:R$453,2,FALSE)*O201*($K201)+IF($G201&lt;&gt;0,($H201/$G201)*O201,0)*(1-$K201)</f>
        <v>0</v>
      </c>
      <c r="Q201" s="1118">
        <f>VLOOKUP($E201,O$442:R$453,3,FALSE)*O201*($K201)+IF($G201&lt;&gt;0,($I201/$G201)*O201,0)*(1-$K201)</f>
        <v>20375940.386021726</v>
      </c>
      <c r="R201" s="1118">
        <f>VLOOKUP($E201,O$442:R$453,4,FALSE)*O201*($K201)+(O201-P201-Q201)*(1-$K201)</f>
        <v>0</v>
      </c>
      <c r="S201" s="1074"/>
      <c r="V201" s="1130">
        <f>VLOOKUP($A201,'New Resources - Individual'!$A$4:$Y$133,V$2,FALSE)*V$1</f>
        <v>0</v>
      </c>
      <c r="W201" s="1117">
        <f>$G201+V201</f>
        <v>20375940.386021726</v>
      </c>
      <c r="X201" s="1118">
        <f>VLOOKUP($E201,W$442:Z$453,2,FALSE)*W201*($K201)+IF($G201&lt;&gt;0,($H201/$G201)*W201,0)*(1-$K201)</f>
        <v>0</v>
      </c>
      <c r="Y201" s="1118">
        <f>VLOOKUP($E201,W$442:Z$453,3,FALSE)*W201*($K201)+IF($G201&lt;&gt;0,($I201/$G201)*W201,0)*(1-$K201)</f>
        <v>20375940.386021726</v>
      </c>
      <c r="Z201" s="1118">
        <f>VLOOKUP($E201,W$442:Z$453,4,FALSE)*W201*($K201)+(W201-X201-Y201)*(1-$K201)</f>
        <v>0</v>
      </c>
      <c r="AA201" s="1074"/>
      <c r="AD201" s="1130">
        <f>VLOOKUP($A201,'New Resources - Individual'!$A$4:$Y$133,AD$2,FALSE)*AD$1</f>
        <v>0</v>
      </c>
      <c r="AE201" s="1117">
        <f>$G201+AD201</f>
        <v>20375940.386021726</v>
      </c>
      <c r="AF201" s="1118">
        <f>VLOOKUP($E201,AE$442:AH$453,2,FALSE)*AE201*($K201)+IF($G201&lt;&gt;0,($H201/$G201)*AE201,0)*(1-$K201)</f>
        <v>0</v>
      </c>
      <c r="AG201" s="1118">
        <f>VLOOKUP($E201,AE$442:AH$453,3,FALSE)*AE201*($K201)+IF($G201&lt;&gt;0,($I201/$G201)*AE201,0)*(1-$K201)</f>
        <v>20375940.386021726</v>
      </c>
      <c r="AH201" s="1118">
        <f>VLOOKUP($E201,AE$442:AH$453,4,FALSE)*AE201*($K201)+(AE201-AF201-AG201)*(1-$K201)</f>
        <v>0</v>
      </c>
      <c r="AI201" s="1074"/>
      <c r="AL201" s="1130">
        <f>VLOOKUP($A201,'New Resources - Individual'!$A$4:$Y$133,AL$2,FALSE)*AL$1</f>
        <v>0</v>
      </c>
      <c r="AM201" s="1117">
        <f>$G201+AL201</f>
        <v>20375940.386021726</v>
      </c>
      <c r="AN201" s="1118">
        <f>VLOOKUP($E201,AM$442:AP$453,2,FALSE)*AM201*($K201)+IF($G201&lt;&gt;0,($H201/$G201)*AM201,0)*(1-$K201)</f>
        <v>0</v>
      </c>
      <c r="AO201" s="1118">
        <f>VLOOKUP($E201,AM$442:AP$453,3,FALSE)*AM201*($K201)+IF($G201&lt;&gt;0,($I201/$G201)*AM201,0)*(1-$K201)</f>
        <v>20375940.386021726</v>
      </c>
      <c r="AP201" s="1118">
        <f>VLOOKUP($E201,AM$442:AP$453,4,FALSE)*AM201*($K201)+(AM201-AN201-AO201)*(1-$K201)</f>
        <v>0</v>
      </c>
      <c r="AQ201" s="1074"/>
      <c r="AT201" s="1130">
        <f>VLOOKUP($A201,'New Resources - Individual'!$A$4:$Y$133,AT$2,FALSE)*AT$1</f>
        <v>0</v>
      </c>
      <c r="AU201" s="1117">
        <f>$G201+AT201</f>
        <v>20375940.386021726</v>
      </c>
      <c r="AV201" s="1118">
        <f>VLOOKUP($E201,AU$442:AX$453,2,FALSE)*AU201*($K201)+IF($G201&lt;&gt;0,($H201/$G201)*AU201,0)*(1-$K201)</f>
        <v>0</v>
      </c>
      <c r="AW201" s="1118">
        <f>VLOOKUP($E201,AU$442:AX$453,3,FALSE)*AU201*($K201)+IF($G201&lt;&gt;0,($I201/$G201)*AU201,0)*(1-$K201)</f>
        <v>20375940.386021726</v>
      </c>
      <c r="AX201" s="1118">
        <f>VLOOKUP($E201,AU$442:AX$453,4,FALSE)*AU201*($K201)+(AU201-AV201-AW201)*(1-$K201)</f>
        <v>0</v>
      </c>
      <c r="AY201" s="1074"/>
      <c r="BB201" s="1130">
        <f>VLOOKUP($A201,'New Resources - Individual'!$A$4:$Y$133,BB$2,FALSE)*BB$1</f>
        <v>0</v>
      </c>
      <c r="BC201" s="1117">
        <f>$G201+BB201</f>
        <v>20375940.386021726</v>
      </c>
      <c r="BD201" s="1118">
        <f>VLOOKUP($E201,BC$442:BF$453,2,FALSE)*BC201*($K201)+IF($G201&lt;&gt;0,($H201/$G201)*BC201,0)*(1-$K201)</f>
        <v>0</v>
      </c>
      <c r="BE201" s="1118">
        <f>VLOOKUP($E201,BC$442:BF$453,3,FALSE)*BC201*($K201)+IF($G201&lt;&gt;0,($I201/$G201)*BC201,0)*(1-$K201)</f>
        <v>20375940.386021726</v>
      </c>
      <c r="BF201" s="1118">
        <f>VLOOKUP($E201,BC$442:BF$453,4,FALSE)*BC201*($K201)+(BC201-BD201-BE201)*(1-$K201)</f>
        <v>0</v>
      </c>
      <c r="BG201" s="1074"/>
      <c r="BJ201" s="1130">
        <f>VLOOKUP($A201,'New Resources - Individual'!$A$4:$Y$133,BJ$2,FALSE)*BJ$1</f>
        <v>0</v>
      </c>
      <c r="BK201" s="1117">
        <f>$G201+BJ201</f>
        <v>20375940.386021726</v>
      </c>
      <c r="BL201" s="1118">
        <f>VLOOKUP($E201,BK$442:BN$453,2,FALSE)*BK201*($K201)+IF($G201&lt;&gt;0,($H201/$G201)*BK201,0)*(1-$K201)</f>
        <v>0</v>
      </c>
      <c r="BM201" s="1118">
        <f>VLOOKUP($E201,BK$442:BN$453,3,FALSE)*BK201*($K201)+IF($G201&lt;&gt;0,($I201/$G201)*BK201,0)*(1-$K201)</f>
        <v>20375940.386021726</v>
      </c>
      <c r="BN201" s="1118">
        <f>VLOOKUP($E201,BK$442:BN$453,4,FALSE)*BK201*($K201)+(BK201-BL201-BM201)*(1-$K201)</f>
        <v>0</v>
      </c>
      <c r="BO201" s="1074"/>
      <c r="BR201" s="1130">
        <f>VLOOKUP($A201,'New Resources - Individual'!$A$4:$Y$133,BR$2,FALSE)*BR$1</f>
        <v>0</v>
      </c>
      <c r="BS201" s="1117">
        <f>$G201+BR201</f>
        <v>20375940.386021726</v>
      </c>
      <c r="BT201" s="1118">
        <f>VLOOKUP($E201,BS$442:BV$453,2,FALSE)*BS201*($K201)+IF($G201&lt;&gt;0,($H201/$G201)*BS201,0)*(1-$K201)</f>
        <v>0</v>
      </c>
      <c r="BU201" s="1118">
        <f>VLOOKUP($E201,BS$442:BV$453,3,FALSE)*BS201*($K201)+IF($G201&lt;&gt;0,($I201/$G201)*BS201,0)*(1-$K201)</f>
        <v>20375940.386021726</v>
      </c>
      <c r="BV201" s="1118">
        <f>VLOOKUP($E201,BS$442:BV$453,4,FALSE)*BS201*($K201)+(BS201-BT201-BU201)*(1-$K201)</f>
        <v>0</v>
      </c>
      <c r="BW201" s="1074"/>
      <c r="BZ201" s="1130">
        <f>VLOOKUP($A201,'New Resources - Individual'!$A$4:$Y$133,BZ$2,FALSE)*BZ$1</f>
        <v>0</v>
      </c>
      <c r="CA201" s="1117">
        <f>$G201+BZ201</f>
        <v>20375940.386021726</v>
      </c>
      <c r="CB201" s="1118">
        <f>VLOOKUP($E201,CA$442:CD$453,2,FALSE)*CA201*($K201)+IF($G201&lt;&gt;0,($H201/$G201)*CA201,0)*(1-$K201)</f>
        <v>0</v>
      </c>
      <c r="CC201" s="1118">
        <f>VLOOKUP($E201,CA$442:CD$453,3,FALSE)*CA201*($K201)+IF($G201&lt;&gt;0,($I201/$G201)*CA201,0)*(1-$K201)</f>
        <v>20375940.386021726</v>
      </c>
      <c r="CD201" s="1118">
        <f>VLOOKUP($E201,CA$442:CD$453,4,FALSE)*CA201*($K201)+(CA201-CB201-CC201)*(1-$K201)</f>
        <v>0</v>
      </c>
      <c r="CE201" s="1074"/>
      <c r="CH201" s="1130">
        <f>VLOOKUP($A201,'New Resources - Individual'!$A$4:$Y$133,CH$2,FALSE)*CH$1</f>
        <v>0</v>
      </c>
      <c r="CI201" s="1117">
        <f>$G201+CH201</f>
        <v>20375940.386021726</v>
      </c>
      <c r="CJ201" s="1118">
        <f>VLOOKUP($E201,CI$442:CL$453,2,FALSE)*CI201*($K201)+IF($G201&lt;&gt;0,($H201/$G201)*CI201,0)*(1-$K201)</f>
        <v>0</v>
      </c>
      <c r="CK201" s="1118">
        <f>VLOOKUP($E201,CI$442:CL$453,3,FALSE)*CI201*($K201)+IF($G201&lt;&gt;0,($I201/$G201)*CI201,0)*(1-$K201)</f>
        <v>20375940.386021726</v>
      </c>
      <c r="CL201" s="1118">
        <f>VLOOKUP($E201,CI$442:CL$453,4,FALSE)*CI201*($K201)+(CI201-CJ201-CK201)*(1-$K201)</f>
        <v>0</v>
      </c>
      <c r="CM201" s="1074"/>
      <c r="CP201" s="1130">
        <f>VLOOKUP($A201,'New Resources - Individual'!$A$4:$Y$133,CP$2,FALSE)*CP$1</f>
        <v>0</v>
      </c>
      <c r="CQ201" s="1117">
        <f>$G201+CP201</f>
        <v>20375940.386021726</v>
      </c>
      <c r="CR201" s="1118">
        <f>VLOOKUP($E201,CQ$442:CT$453,2,FALSE)*CQ201*($K201)+IF($G201&lt;&gt;0,($H201/$G201)*CQ201,0)*(1-$K201)</f>
        <v>0</v>
      </c>
      <c r="CS201" s="1118">
        <f>VLOOKUP($E201,CQ$442:CT$453,3,FALSE)*CQ201*($K201)+IF($G201&lt;&gt;0,($I201/$G201)*CQ201,0)*(1-$K201)</f>
        <v>20375940.386021726</v>
      </c>
      <c r="CT201" s="1118">
        <f>VLOOKUP($E201,CQ$442:CT$453,4,FALSE)*CQ201*($K201)+(CQ201-CR201-CS201)*(1-$K201)</f>
        <v>0</v>
      </c>
      <c r="CU201" s="1074"/>
      <c r="CX201" s="1130">
        <f>VLOOKUP($A201,'New Resources - Individual'!$A$4:$Y$133,CX$2,FALSE)*CX$1</f>
        <v>0</v>
      </c>
      <c r="CY201" s="1117">
        <f>$G201+CX201</f>
        <v>20375940.386021726</v>
      </c>
      <c r="CZ201" s="1118">
        <f>VLOOKUP($E201,CY$442:DB$453,2,FALSE)*CY201*($K201)+IF($G201&lt;&gt;0,($H201/$G201)*CY201,0)*(1-$K201)</f>
        <v>0</v>
      </c>
      <c r="DA201" s="1118">
        <f>VLOOKUP($E201,CY$442:DB$453,3,FALSE)*CY201*($K201)+IF($G201&lt;&gt;0,($I201/$G201)*CY201,0)*(1-$K201)</f>
        <v>20375940.386021726</v>
      </c>
      <c r="DB201" s="1118">
        <f>VLOOKUP($E201,CY$442:DB$453,4,FALSE)*CY201*($K201)+(CY201-CZ201-DA201)*(1-$K201)</f>
        <v>0</v>
      </c>
      <c r="DC201" s="1074"/>
      <c r="DF201" s="1130">
        <f>VLOOKUP($A201,'New Resources - Individual'!$A$4:$Y$133,DF$2,FALSE)*DF$1</f>
        <v>0</v>
      </c>
      <c r="DG201" s="1117">
        <f>$G201+DF201</f>
        <v>20375940.386021726</v>
      </c>
      <c r="DH201" s="1118">
        <f>VLOOKUP($E201,DG$442:DJ$453,2,FALSE)*DG201*($K201)+IF($G201&lt;&gt;0,($H201/$G201)*DG201,0)*(1-$K201)</f>
        <v>0</v>
      </c>
      <c r="DI201" s="1118">
        <f>VLOOKUP($E201,DG$442:DJ$453,3,FALSE)*DG201*($K201)+IF($G201&lt;&gt;0,($I201/$G201)*DG201,0)*(1-$K201)</f>
        <v>20375940.386021726</v>
      </c>
      <c r="DJ201" s="1118">
        <f>VLOOKUP($E201,DG$442:DJ$453,4,FALSE)*DG201*($K201)+(DG201-DH201-DI201)*(1-$K201)</f>
        <v>0</v>
      </c>
      <c r="DK201" s="1074"/>
      <c r="DN201" s="1130">
        <f>VLOOKUP($A201,'New Resources - Individual'!$A$4:$Y$133,DN$2,FALSE)*DN$1</f>
        <v>0</v>
      </c>
      <c r="DO201" s="1117">
        <f>$G201+DN201</f>
        <v>20375940.386021726</v>
      </c>
      <c r="DP201" s="1118">
        <f>VLOOKUP($E201,DO$442:DR$453,2,FALSE)*DO201*($K201)+IF($G201&lt;&gt;0,($H201/$G201)*DO201,0)*(1-$K201)</f>
        <v>0</v>
      </c>
      <c r="DQ201" s="1118">
        <f>VLOOKUP($E201,DO$442:DR$453,3,FALSE)*DO201*($K201)+IF($G201&lt;&gt;0,($I201/$G201)*DO201,0)*(1-$K201)</f>
        <v>20375940.386021726</v>
      </c>
      <c r="DR201" s="1118">
        <f>VLOOKUP($E201,DO$442:DR$453,4,FALSE)*DO201*($K201)+(DO201-DP201-DQ201)*(1-$K201)</f>
        <v>0</v>
      </c>
      <c r="DS201" s="1074"/>
      <c r="DV201" s="1130">
        <f>VLOOKUP($A201,'New Resources - Individual'!$A$4:$Y$133,DV$2,FALSE)*DV$1</f>
        <v>0</v>
      </c>
      <c r="DW201" s="1117">
        <f>$G201+DV201</f>
        <v>20375940.386021726</v>
      </c>
      <c r="DX201" s="1118">
        <f>VLOOKUP($E201,DW$442:DZ$453,2,FALSE)*DW201*($K201)+IF($G201&lt;&gt;0,($H201/$G201)*DW201,0)*(1-$K201)</f>
        <v>0</v>
      </c>
      <c r="DY201" s="1118">
        <f>VLOOKUP($E201,DW$442:DZ$453,3,FALSE)*DW201*($K201)+IF($G201&lt;&gt;0,($I201/$G201)*DW201,0)*(1-$K201)</f>
        <v>20375940.386021726</v>
      </c>
      <c r="DZ201" s="1118">
        <f>VLOOKUP($E201,DW$442:DZ$453,4,FALSE)*DW201*($K201)+(DW201-DX201-DY201)*(1-$K201)</f>
        <v>0</v>
      </c>
      <c r="EA201" s="1074"/>
      <c r="ED201" s="1130">
        <f>VLOOKUP($A201,'New Resources - Individual'!$A$4:$Y$133,ED$2,FALSE)*ED$1</f>
        <v>0</v>
      </c>
      <c r="EE201" s="1117">
        <f>$G201+ED201</f>
        <v>20375940.386021726</v>
      </c>
      <c r="EF201" s="1118">
        <f>VLOOKUP($E201,EE$442:EH$453,2,FALSE)*EE201*($K201)+IF($G201&lt;&gt;0,($H201/$G201)*EE201,0)*(1-$K201)</f>
        <v>0</v>
      </c>
      <c r="EG201" s="1118">
        <f>VLOOKUP($E201,EE$442:EH$453,3,FALSE)*EE201*($K201)+IF($G201&lt;&gt;0,($I201/$G201)*EE201,0)*(1-$K201)</f>
        <v>20375940.386021726</v>
      </c>
      <c r="EH201" s="1118">
        <f>VLOOKUP($E201,EE$442:EH$453,4,FALSE)*EE201*($K201)+(EE201-EF201-EG201)*(1-$K201)</f>
        <v>0</v>
      </c>
      <c r="EI201" s="1074"/>
      <c r="EL201" s="1130">
        <f>VLOOKUP($A201,'New Resources - Individual'!$A$4:$Y$133,EL$2,FALSE)*EL$1</f>
        <v>0</v>
      </c>
      <c r="EM201" s="1117">
        <f>$G201+EL201</f>
        <v>20375940.386021726</v>
      </c>
      <c r="EN201" s="1118">
        <f>VLOOKUP($E201,EM$442:EP$453,2,FALSE)*EM201*($K201)+IF($G201&lt;&gt;0,($H201/$G201)*EM201,0)*(1-$K201)</f>
        <v>0</v>
      </c>
      <c r="EO201" s="1118">
        <f>VLOOKUP($E201,EM$442:EP$453,3,FALSE)*EM201*($K201)+IF($G201&lt;&gt;0,($I201/$G201)*EM201,0)*(1-$K201)</f>
        <v>20375940.386021726</v>
      </c>
      <c r="EP201" s="1118">
        <f>VLOOKUP($E201,EM$442:EP$453,4,FALSE)*EM201*($K201)+(EM201-EN201-EO201)*(1-$K201)</f>
        <v>0</v>
      </c>
      <c r="EQ201" s="1074"/>
      <c r="ET201" s="1130">
        <f>VLOOKUP($A201,'New Resources - Individual'!$A$4:$Y$133,ET$2,FALSE)*ET$1</f>
        <v>0</v>
      </c>
      <c r="EU201" s="1117">
        <f>$G201+ET201</f>
        <v>20375940.386021726</v>
      </c>
      <c r="EV201" s="1118">
        <f>VLOOKUP($E201,EU$442:EX$453,2,FALSE)*EU201*($K201)+IF($G201&lt;&gt;0,($H201/$G201)*EU201,0)*(1-$K201)</f>
        <v>0</v>
      </c>
      <c r="EW201" s="1118">
        <f>VLOOKUP($E201,EU$442:EX$453,3,FALSE)*EU201*($K201)+IF($G201&lt;&gt;0,($I201/$G201)*EU201,0)*(1-$K201)</f>
        <v>20375940.386021726</v>
      </c>
      <c r="EX201" s="1118">
        <f>VLOOKUP($E201,EU$442:EX$453,4,FALSE)*EU201*($K201)+(EU201-EV201-EW201)*(1-$K201)</f>
        <v>0</v>
      </c>
      <c r="EY201" s="1074"/>
      <c r="FB201" s="1130">
        <f>VLOOKUP($A201,'New Resources - Individual'!$A$4:$Y$133,FB$2,FALSE)*FB$1</f>
        <v>0</v>
      </c>
      <c r="FC201" s="1117">
        <f>$G201+FB201</f>
        <v>20375940.386021726</v>
      </c>
      <c r="FD201" s="1118">
        <f>VLOOKUP($E201,FC$442:FF$453,2,FALSE)*FC201*($K201)+IF($G201&lt;&gt;0,($H201/$G201)*FC201,0)*(1-$K201)</f>
        <v>0</v>
      </c>
      <c r="FE201" s="1118">
        <f>VLOOKUP($E201,FC$442:FF$453,3,FALSE)*FC201*($K201)+IF($G201&lt;&gt;0,($I201/$G201)*FC201,0)*(1-$K201)</f>
        <v>20375940.386021726</v>
      </c>
      <c r="FF201" s="1118">
        <f>VLOOKUP($E201,FC$442:FF$453,4,FALSE)*FC201*($K201)+(FC201-FD201-FE201)*(1-$K201)</f>
        <v>0</v>
      </c>
      <c r="FG201" s="1074"/>
      <c r="FJ201" s="1130">
        <f>VLOOKUP($A201,'New Resources - Individual'!$A$4:$Y$133,FJ$2,FALSE)*FJ$1</f>
        <v>0</v>
      </c>
      <c r="FK201" s="1117">
        <f>$G201+FJ201</f>
        <v>20375940.386021726</v>
      </c>
      <c r="FL201" s="1118">
        <f>VLOOKUP($E201,FK$442:FN$453,2,FALSE)*FK201*($K201)+IF($G201&lt;&gt;0,($H201/$G201)*FK201,0)*(1-$K201)</f>
        <v>0</v>
      </c>
      <c r="FM201" s="1118">
        <f>VLOOKUP($E201,FK$442:FN$453,3,FALSE)*FK201*($K201)+IF($G201&lt;&gt;0,($I201/$G201)*FK201,0)*(1-$K201)</f>
        <v>20375940.386021726</v>
      </c>
      <c r="FN201" s="1118">
        <f>VLOOKUP($E201,FK$442:FN$453,4,FALSE)*FK201*($K201)+(FK201-FL201-FM201)*(1-$K201)</f>
        <v>0</v>
      </c>
      <c r="FO201" s="1074"/>
    </row>
    <row r="202" spans="1:171" x14ac:dyDescent="0.25">
      <c r="A202" s="163" t="s">
        <v>483</v>
      </c>
      <c r="B202" s="10"/>
      <c r="C202" s="915"/>
      <c r="D202" s="916"/>
      <c r="E202" s="916"/>
      <c r="F202" s="917"/>
      <c r="G202" s="924">
        <f>SUM(G199:G201)</f>
        <v>103453255.75588429</v>
      </c>
      <c r="H202" s="924">
        <f>SUM(H199:H201)</f>
        <v>65955211.648190439</v>
      </c>
      <c r="I202" s="924">
        <f>SUM(I199:I201)</f>
        <v>0</v>
      </c>
      <c r="J202" s="1391">
        <f>SUM(J199:J201)</f>
        <v>37498044.107693851</v>
      </c>
      <c r="K202" s="904"/>
      <c r="O202" s="1136">
        <f>SUM(O199:O201)</f>
        <v>103453255.75588429</v>
      </c>
      <c r="P202" s="1136">
        <f>SUM(P199:P201)</f>
        <v>65955211.648190439</v>
      </c>
      <c r="Q202" s="1136">
        <f>SUM(Q199:Q201)</f>
        <v>37498044.107693851</v>
      </c>
      <c r="R202" s="1136">
        <f>SUM(R199:R201)</f>
        <v>0</v>
      </c>
      <c r="S202" s="1074"/>
      <c r="W202" s="1136">
        <f>SUM(W199:W201)</f>
        <v>103453255.75588429</v>
      </c>
      <c r="X202" s="1136">
        <f>SUM(X199:X201)</f>
        <v>65955211.648190439</v>
      </c>
      <c r="Y202" s="1136">
        <f>SUM(Y199:Y201)</f>
        <v>37498044.107693851</v>
      </c>
      <c r="Z202" s="1136">
        <f>SUM(Z199:Z201)</f>
        <v>0</v>
      </c>
      <c r="AA202" s="1074"/>
      <c r="AE202" s="1136">
        <f>SUM(AE199:AE201)</f>
        <v>103453255.75588429</v>
      </c>
      <c r="AF202" s="1136">
        <f>SUM(AF199:AF201)</f>
        <v>65955211.648190439</v>
      </c>
      <c r="AG202" s="1136">
        <f>SUM(AG199:AG201)</f>
        <v>37498044.107693851</v>
      </c>
      <c r="AH202" s="1136">
        <f>SUM(AH199:AH201)</f>
        <v>0</v>
      </c>
      <c r="AI202" s="1074"/>
      <c r="AM202" s="1136">
        <f>SUM(AM199:AM201)</f>
        <v>103453255.75588429</v>
      </c>
      <c r="AN202" s="1136">
        <f>SUM(AN199:AN201)</f>
        <v>65955211.648190439</v>
      </c>
      <c r="AO202" s="1136">
        <f>SUM(AO199:AO201)</f>
        <v>37498044.107693851</v>
      </c>
      <c r="AP202" s="1136">
        <f>SUM(AP199:AP201)</f>
        <v>0</v>
      </c>
      <c r="AQ202" s="1074"/>
      <c r="AU202" s="1136">
        <f>SUM(AU199:AU201)</f>
        <v>103453255.75588429</v>
      </c>
      <c r="AV202" s="1136">
        <f>SUM(AV199:AV201)</f>
        <v>65955211.648190439</v>
      </c>
      <c r="AW202" s="1136">
        <f>SUM(AW199:AW201)</f>
        <v>37498044.107693851</v>
      </c>
      <c r="AX202" s="1136">
        <f>SUM(AX199:AX201)</f>
        <v>0</v>
      </c>
      <c r="AY202" s="1074"/>
      <c r="BC202" s="1136">
        <f>SUM(BC199:BC201)</f>
        <v>103453255.75588429</v>
      </c>
      <c r="BD202" s="1136">
        <f>SUM(BD199:BD201)</f>
        <v>65955211.648190439</v>
      </c>
      <c r="BE202" s="1136">
        <f>SUM(BE199:BE201)</f>
        <v>37498044.107693851</v>
      </c>
      <c r="BF202" s="1136">
        <f>SUM(BF199:BF201)</f>
        <v>0</v>
      </c>
      <c r="BG202" s="1074"/>
      <c r="BK202" s="1136">
        <f>SUM(BK199:BK201)</f>
        <v>103453255.75588429</v>
      </c>
      <c r="BL202" s="1136">
        <f>SUM(BL199:BL201)</f>
        <v>65955211.648190439</v>
      </c>
      <c r="BM202" s="1136">
        <f>SUM(BM199:BM201)</f>
        <v>37498044.107693851</v>
      </c>
      <c r="BN202" s="1136">
        <f>SUM(BN199:BN201)</f>
        <v>0</v>
      </c>
      <c r="BO202" s="1074"/>
      <c r="BS202" s="1136">
        <f>SUM(BS199:BS201)</f>
        <v>103453255.75588429</v>
      </c>
      <c r="BT202" s="1136">
        <f>SUM(BT199:BT201)</f>
        <v>65955211.648190439</v>
      </c>
      <c r="BU202" s="1136">
        <f>SUM(BU199:BU201)</f>
        <v>37498044.107693851</v>
      </c>
      <c r="BV202" s="1136">
        <f>SUM(BV199:BV201)</f>
        <v>0</v>
      </c>
      <c r="BW202" s="1074"/>
      <c r="CA202" s="1136">
        <f>SUM(CA199:CA201)</f>
        <v>103453255.75588429</v>
      </c>
      <c r="CB202" s="1136">
        <f>SUM(CB199:CB201)</f>
        <v>65955211.648190439</v>
      </c>
      <c r="CC202" s="1136">
        <f>SUM(CC199:CC201)</f>
        <v>37498044.107693851</v>
      </c>
      <c r="CD202" s="1136">
        <f>SUM(CD199:CD201)</f>
        <v>0</v>
      </c>
      <c r="CE202" s="1074"/>
      <c r="CI202" s="1136">
        <f>SUM(CI199:CI201)</f>
        <v>103453255.75588429</v>
      </c>
      <c r="CJ202" s="1136">
        <f>SUM(CJ199:CJ201)</f>
        <v>65955211.648190439</v>
      </c>
      <c r="CK202" s="1136">
        <f>SUM(CK199:CK201)</f>
        <v>37498044.107693851</v>
      </c>
      <c r="CL202" s="1136">
        <f>SUM(CL199:CL201)</f>
        <v>0</v>
      </c>
      <c r="CM202" s="1074"/>
      <c r="CQ202" s="1136">
        <f>SUM(CQ199:CQ201)</f>
        <v>103453255.75588429</v>
      </c>
      <c r="CR202" s="1136">
        <f>SUM(CR199:CR201)</f>
        <v>65955211.648190439</v>
      </c>
      <c r="CS202" s="1136">
        <f>SUM(CS199:CS201)</f>
        <v>37498044.107693851</v>
      </c>
      <c r="CT202" s="1136">
        <f>SUM(CT199:CT201)</f>
        <v>0</v>
      </c>
      <c r="CU202" s="1074"/>
      <c r="CY202" s="1136">
        <f>SUM(CY199:CY201)</f>
        <v>103453255.75588429</v>
      </c>
      <c r="CZ202" s="1136">
        <f>SUM(CZ199:CZ201)</f>
        <v>65955211.648190439</v>
      </c>
      <c r="DA202" s="1136">
        <f>SUM(DA199:DA201)</f>
        <v>37498044.107693851</v>
      </c>
      <c r="DB202" s="1136">
        <f>SUM(DB199:DB201)</f>
        <v>0</v>
      </c>
      <c r="DC202" s="1074"/>
      <c r="DG202" s="1136">
        <f>SUM(DG199:DG201)</f>
        <v>103453255.75588429</v>
      </c>
      <c r="DH202" s="1136">
        <f>SUM(DH199:DH201)</f>
        <v>65955211.648190439</v>
      </c>
      <c r="DI202" s="1136">
        <f>SUM(DI199:DI201)</f>
        <v>37498044.107693851</v>
      </c>
      <c r="DJ202" s="1136">
        <f>SUM(DJ199:DJ201)</f>
        <v>0</v>
      </c>
      <c r="DK202" s="1074"/>
      <c r="DO202" s="1136">
        <f>SUM(DO199:DO201)</f>
        <v>103453255.75588429</v>
      </c>
      <c r="DP202" s="1136">
        <f>SUM(DP199:DP201)</f>
        <v>65955211.648190439</v>
      </c>
      <c r="DQ202" s="1136">
        <f>SUM(DQ199:DQ201)</f>
        <v>37498044.107693851</v>
      </c>
      <c r="DR202" s="1136">
        <f>SUM(DR199:DR201)</f>
        <v>0</v>
      </c>
      <c r="DS202" s="1074"/>
      <c r="DW202" s="1136">
        <f>SUM(DW199:DW201)</f>
        <v>103453255.75588429</v>
      </c>
      <c r="DX202" s="1136">
        <f>SUM(DX199:DX201)</f>
        <v>65955211.648190439</v>
      </c>
      <c r="DY202" s="1136">
        <f>SUM(DY199:DY201)</f>
        <v>37498044.107693851</v>
      </c>
      <c r="DZ202" s="1136">
        <f>SUM(DZ199:DZ201)</f>
        <v>0</v>
      </c>
      <c r="EA202" s="1074"/>
      <c r="EE202" s="1136">
        <f>SUM(EE199:EE201)</f>
        <v>103453255.75588429</v>
      </c>
      <c r="EF202" s="1136">
        <f>SUM(EF199:EF201)</f>
        <v>65955211.648190439</v>
      </c>
      <c r="EG202" s="1136">
        <f>SUM(EG199:EG201)</f>
        <v>37498044.107693851</v>
      </c>
      <c r="EH202" s="1136">
        <f>SUM(EH199:EH201)</f>
        <v>0</v>
      </c>
      <c r="EI202" s="1074"/>
      <c r="EM202" s="1136">
        <f>SUM(EM199:EM201)</f>
        <v>103453255.75588429</v>
      </c>
      <c r="EN202" s="1136">
        <f>SUM(EN199:EN201)</f>
        <v>65955211.648190439</v>
      </c>
      <c r="EO202" s="1136">
        <f>SUM(EO199:EO201)</f>
        <v>37498044.107693851</v>
      </c>
      <c r="EP202" s="1136">
        <f>SUM(EP199:EP201)</f>
        <v>0</v>
      </c>
      <c r="EQ202" s="1074"/>
      <c r="EU202" s="1136">
        <f>SUM(EU199:EU201)</f>
        <v>103453255.75588429</v>
      </c>
      <c r="EV202" s="1136">
        <f>SUM(EV199:EV201)</f>
        <v>65955211.648190439</v>
      </c>
      <c r="EW202" s="1136">
        <f>SUM(EW199:EW201)</f>
        <v>37498044.107693851</v>
      </c>
      <c r="EX202" s="1136">
        <f>SUM(EX199:EX201)</f>
        <v>0</v>
      </c>
      <c r="EY202" s="1074"/>
      <c r="FC202" s="1136">
        <f>SUM(FC199:FC201)</f>
        <v>103453255.75588429</v>
      </c>
      <c r="FD202" s="1136">
        <f>SUM(FD199:FD201)</f>
        <v>65955211.648190439</v>
      </c>
      <c r="FE202" s="1136">
        <f>SUM(FE199:FE201)</f>
        <v>37498044.107693851</v>
      </c>
      <c r="FF202" s="1136">
        <f>SUM(FF199:FF201)</f>
        <v>0</v>
      </c>
      <c r="FG202" s="1074"/>
      <c r="FK202" s="1136">
        <f>SUM(FK199:FK201)</f>
        <v>103453255.75588429</v>
      </c>
      <c r="FL202" s="1136">
        <f>SUM(FL199:FL201)</f>
        <v>65955211.648190439</v>
      </c>
      <c r="FM202" s="1136">
        <f>SUM(FM199:FM201)</f>
        <v>37498044.107693851</v>
      </c>
      <c r="FN202" s="1136">
        <f>SUM(FN199:FN201)</f>
        <v>0</v>
      </c>
      <c r="FO202" s="1074"/>
    </row>
    <row r="203" spans="1:171" ht="16.5" thickBot="1" x14ac:dyDescent="0.3">
      <c r="A203" s="995"/>
      <c r="B203" s="996"/>
      <c r="C203" s="933"/>
      <c r="D203" s="933"/>
      <c r="E203" s="932"/>
      <c r="F203" s="932"/>
      <c r="G203" s="997"/>
      <c r="H203" s="976"/>
      <c r="I203" s="976"/>
      <c r="J203" s="998"/>
      <c r="K203" s="904"/>
      <c r="S203" s="1074"/>
      <c r="AA203" s="1074"/>
      <c r="AI203" s="1074"/>
      <c r="AQ203" s="1074"/>
      <c r="AY203" s="1074"/>
      <c r="BG203" s="1074"/>
      <c r="BO203" s="1074"/>
      <c r="BW203" s="1074"/>
      <c r="CE203" s="1074"/>
      <c r="CM203" s="1074"/>
      <c r="CU203" s="1074"/>
      <c r="DC203" s="1074"/>
      <c r="DK203" s="1074"/>
      <c r="DS203" s="1074"/>
      <c r="EA203" s="1074"/>
      <c r="EI203" s="1074"/>
      <c r="EQ203" s="1074"/>
      <c r="EY203" s="1074"/>
      <c r="FG203" s="1074"/>
      <c r="FO203" s="1074"/>
    </row>
    <row r="204" spans="1:171" ht="16.5" thickTop="1" x14ac:dyDescent="0.25">
      <c r="A204" s="160" t="s">
        <v>484</v>
      </c>
      <c r="B204" s="10"/>
      <c r="C204" s="55"/>
      <c r="D204" s="196"/>
      <c r="E204" s="10"/>
      <c r="F204" s="10"/>
      <c r="G204" s="990"/>
      <c r="H204" s="886"/>
      <c r="I204" s="886"/>
      <c r="J204" s="937"/>
      <c r="K204" s="904"/>
      <c r="S204" s="1074"/>
      <c r="AA204" s="1074"/>
      <c r="AI204" s="1074"/>
      <c r="AQ204" s="1074"/>
      <c r="AY204" s="1074"/>
      <c r="BG204" s="1074"/>
      <c r="BO204" s="1074"/>
      <c r="BW204" s="1074"/>
      <c r="CE204" s="1074"/>
      <c r="CM204" s="1074"/>
      <c r="CU204" s="1074"/>
      <c r="DC204" s="1074"/>
      <c r="DK204" s="1074"/>
      <c r="DS204" s="1074"/>
      <c r="EA204" s="1074"/>
      <c r="EI204" s="1074"/>
      <c r="EQ204" s="1074"/>
      <c r="EY204" s="1074"/>
      <c r="FG204" s="1074"/>
      <c r="FO204" s="1074"/>
    </row>
    <row r="205" spans="1:171" x14ac:dyDescent="0.25">
      <c r="A205" s="913"/>
      <c r="B205" s="914" t="s">
        <v>463</v>
      </c>
      <c r="C205" s="889" t="s">
        <v>72</v>
      </c>
      <c r="D205" s="890" t="s">
        <v>485</v>
      </c>
      <c r="E205" s="182" t="str">
        <f>'Sch 3 - Expenses'!E45</f>
        <v>DIST</v>
      </c>
      <c r="F205" s="890"/>
      <c r="G205" s="182">
        <f>'Sch 3 - Expenses'!G45</f>
        <v>34234230.504148312</v>
      </c>
      <c r="H205" s="182">
        <f>'Sch 3 - Expenses'!H45</f>
        <v>0</v>
      </c>
      <c r="I205" s="182">
        <f>'Sch 3 - Expenses'!I45</f>
        <v>0</v>
      </c>
      <c r="J205" s="183">
        <f>'Sch 3 - Expenses'!J45</f>
        <v>34234230.504148312</v>
      </c>
      <c r="K205" s="904">
        <f>IF($E205="DIRECT",0,1)</f>
        <v>1</v>
      </c>
      <c r="O205" s="1117">
        <f>$G205</f>
        <v>34234230.504148312</v>
      </c>
      <c r="P205" s="1118">
        <f>VLOOKUP($E205,O$442:R$453,2,FALSE)*O205*($K205)+IF($G205&lt;&gt;0,($H205/$G205)*O205,0)*(1-$K205)</f>
        <v>0</v>
      </c>
      <c r="Q205" s="1118">
        <f>VLOOKUP($E205,O$442:R$453,3,FALSE)*O205*($K205)+IF($G205&lt;&gt;0,($I205/$G205)*O205,0)*(1-$K205)</f>
        <v>0</v>
      </c>
      <c r="R205" s="1118">
        <f>VLOOKUP($E205,O$442:R$453,4,FALSE)*O205*($K205)+(O205-P205-Q205)*(1-$K205)</f>
        <v>34234230.504148312</v>
      </c>
      <c r="S205" s="1074"/>
      <c r="W205" s="1117">
        <f>$G205</f>
        <v>34234230.504148312</v>
      </c>
      <c r="X205" s="1118">
        <f>VLOOKUP($E205,W$442:Z$453,2,FALSE)*W205*($K205)+IF($G205&lt;&gt;0,($H205/$G205)*W205,0)*(1-$K205)</f>
        <v>0</v>
      </c>
      <c r="Y205" s="1118">
        <f>VLOOKUP($E205,W$442:Z$453,3,FALSE)*W205*($K205)+IF($G205&lt;&gt;0,($I205/$G205)*W205,0)*(1-$K205)</f>
        <v>0</v>
      </c>
      <c r="Z205" s="1118">
        <f>VLOOKUP($E205,W$442:Z$453,4,FALSE)*W205*($K205)+(W205-X205-Y205)*(1-$K205)</f>
        <v>34234230.504148312</v>
      </c>
      <c r="AA205" s="1074"/>
      <c r="AE205" s="1117">
        <f>$G205</f>
        <v>34234230.504148312</v>
      </c>
      <c r="AF205" s="1118">
        <f>VLOOKUP($E205,AE$442:AH$453,2,FALSE)*AE205*($K205)+IF($G205&lt;&gt;0,($H205/$G205)*AE205,0)*(1-$K205)</f>
        <v>0</v>
      </c>
      <c r="AG205" s="1118">
        <f>VLOOKUP($E205,AE$442:AH$453,3,FALSE)*AE205*($K205)+IF($G205&lt;&gt;0,($I205/$G205)*AE205,0)*(1-$K205)</f>
        <v>0</v>
      </c>
      <c r="AH205" s="1118">
        <f>VLOOKUP($E205,AE$442:AH$453,4,FALSE)*AE205*($K205)+(AE205-AF205-AG205)*(1-$K205)</f>
        <v>34234230.504148312</v>
      </c>
      <c r="AI205" s="1074"/>
      <c r="AM205" s="1117">
        <f>$G205</f>
        <v>34234230.504148312</v>
      </c>
      <c r="AN205" s="1118">
        <f>VLOOKUP($E205,AM$442:AP$453,2,FALSE)*AM205*($K205)+IF($G205&lt;&gt;0,($H205/$G205)*AM205,0)*(1-$K205)</f>
        <v>0</v>
      </c>
      <c r="AO205" s="1118">
        <f>VLOOKUP($E205,AM$442:AP$453,3,FALSE)*AM205*($K205)+IF($G205&lt;&gt;0,($I205/$G205)*AM205,0)*(1-$K205)</f>
        <v>0</v>
      </c>
      <c r="AP205" s="1118">
        <f>VLOOKUP($E205,AM$442:AP$453,4,FALSE)*AM205*($K205)+(AM205-AN205-AO205)*(1-$K205)</f>
        <v>34234230.504148312</v>
      </c>
      <c r="AQ205" s="1074"/>
      <c r="AU205" s="1117">
        <f>$G205</f>
        <v>34234230.504148312</v>
      </c>
      <c r="AV205" s="1118">
        <f>VLOOKUP($E205,AU$442:AX$453,2,FALSE)*AU205*($K205)+IF($G205&lt;&gt;0,($H205/$G205)*AU205,0)*(1-$K205)</f>
        <v>0</v>
      </c>
      <c r="AW205" s="1118">
        <f>VLOOKUP($E205,AU$442:AX$453,3,FALSE)*AU205*($K205)+IF($G205&lt;&gt;0,($I205/$G205)*AU205,0)*(1-$K205)</f>
        <v>0</v>
      </c>
      <c r="AX205" s="1118">
        <f>VLOOKUP($E205,AU$442:AX$453,4,FALSE)*AU205*($K205)+(AU205-AV205-AW205)*(1-$K205)</f>
        <v>34234230.504148312</v>
      </c>
      <c r="AY205" s="1074"/>
      <c r="BC205" s="1117">
        <f>$G205</f>
        <v>34234230.504148312</v>
      </c>
      <c r="BD205" s="1118">
        <f>VLOOKUP($E205,BC$442:BF$453,2,FALSE)*BC205*($K205)+IF($G205&lt;&gt;0,($H205/$G205)*BC205,0)*(1-$K205)</f>
        <v>0</v>
      </c>
      <c r="BE205" s="1118">
        <f>VLOOKUP($E205,BC$442:BF$453,3,FALSE)*BC205*($K205)+IF($G205&lt;&gt;0,($I205/$G205)*BC205,0)*(1-$K205)</f>
        <v>0</v>
      </c>
      <c r="BF205" s="1118">
        <f>VLOOKUP($E205,BC$442:BF$453,4,FALSE)*BC205*($K205)+(BC205-BD205-BE205)*(1-$K205)</f>
        <v>34234230.504148312</v>
      </c>
      <c r="BG205" s="1074"/>
      <c r="BK205" s="1117">
        <f>$G205</f>
        <v>34234230.504148312</v>
      </c>
      <c r="BL205" s="1118">
        <f>VLOOKUP($E205,BK$442:BN$453,2,FALSE)*BK205*($K205)+IF($G205&lt;&gt;0,($H205/$G205)*BK205,0)*(1-$K205)</f>
        <v>0</v>
      </c>
      <c r="BM205" s="1118">
        <f>VLOOKUP($E205,BK$442:BN$453,3,FALSE)*BK205*($K205)+IF($G205&lt;&gt;0,($I205/$G205)*BK205,0)*(1-$K205)</f>
        <v>0</v>
      </c>
      <c r="BN205" s="1118">
        <f>VLOOKUP($E205,BK$442:BN$453,4,FALSE)*BK205*($K205)+(BK205-BL205-BM205)*(1-$K205)</f>
        <v>34234230.504148312</v>
      </c>
      <c r="BO205" s="1074"/>
      <c r="BS205" s="1117">
        <f>$G205</f>
        <v>34234230.504148312</v>
      </c>
      <c r="BT205" s="1118">
        <f>VLOOKUP($E205,BS$442:BV$453,2,FALSE)*BS205*($K205)+IF($G205&lt;&gt;0,($H205/$G205)*BS205,0)*(1-$K205)</f>
        <v>0</v>
      </c>
      <c r="BU205" s="1118">
        <f>VLOOKUP($E205,BS$442:BV$453,3,FALSE)*BS205*($K205)+IF($G205&lt;&gt;0,($I205/$G205)*BS205,0)*(1-$K205)</f>
        <v>0</v>
      </c>
      <c r="BV205" s="1118">
        <f>VLOOKUP($E205,BS$442:BV$453,4,FALSE)*BS205*($K205)+(BS205-BT205-BU205)*(1-$K205)</f>
        <v>34234230.504148312</v>
      </c>
      <c r="BW205" s="1074"/>
      <c r="CA205" s="1117">
        <f>$G205</f>
        <v>34234230.504148312</v>
      </c>
      <c r="CB205" s="1118">
        <f>VLOOKUP($E205,CA$442:CD$453,2,FALSE)*CA205*($K205)+IF($G205&lt;&gt;0,($H205/$G205)*CA205,0)*(1-$K205)</f>
        <v>0</v>
      </c>
      <c r="CC205" s="1118">
        <f>VLOOKUP($E205,CA$442:CD$453,3,FALSE)*CA205*($K205)+IF($G205&lt;&gt;0,($I205/$G205)*CA205,0)*(1-$K205)</f>
        <v>0</v>
      </c>
      <c r="CD205" s="1118">
        <f>VLOOKUP($E205,CA$442:CD$453,4,FALSE)*CA205*($K205)+(CA205-CB205-CC205)*(1-$K205)</f>
        <v>34234230.504148312</v>
      </c>
      <c r="CE205" s="1074"/>
      <c r="CI205" s="1117">
        <f>$G205</f>
        <v>34234230.504148312</v>
      </c>
      <c r="CJ205" s="1118">
        <f>VLOOKUP($E205,CI$442:CL$453,2,FALSE)*CI205*($K205)+IF($G205&lt;&gt;0,($H205/$G205)*CI205,0)*(1-$K205)</f>
        <v>0</v>
      </c>
      <c r="CK205" s="1118">
        <f>VLOOKUP($E205,CI$442:CL$453,3,FALSE)*CI205*($K205)+IF($G205&lt;&gt;0,($I205/$G205)*CI205,0)*(1-$K205)</f>
        <v>0</v>
      </c>
      <c r="CL205" s="1118">
        <f>VLOOKUP($E205,CI$442:CL$453,4,FALSE)*CI205*($K205)+(CI205-CJ205-CK205)*(1-$K205)</f>
        <v>34234230.504148312</v>
      </c>
      <c r="CM205" s="1074"/>
      <c r="CQ205" s="1117">
        <f>$G205</f>
        <v>34234230.504148312</v>
      </c>
      <c r="CR205" s="1118">
        <f>VLOOKUP($E205,CQ$442:CT$453,2,FALSE)*CQ205*($K205)+IF($G205&lt;&gt;0,($H205/$G205)*CQ205,0)*(1-$K205)</f>
        <v>0</v>
      </c>
      <c r="CS205" s="1118">
        <f>VLOOKUP($E205,CQ$442:CT$453,3,FALSE)*CQ205*($K205)+IF($G205&lt;&gt;0,($I205/$G205)*CQ205,0)*(1-$K205)</f>
        <v>0</v>
      </c>
      <c r="CT205" s="1118">
        <f>VLOOKUP($E205,CQ$442:CT$453,4,FALSE)*CQ205*($K205)+(CQ205-CR205-CS205)*(1-$K205)</f>
        <v>34234230.504148312</v>
      </c>
      <c r="CU205" s="1074"/>
      <c r="CY205" s="1117">
        <f>$G205</f>
        <v>34234230.504148312</v>
      </c>
      <c r="CZ205" s="1118">
        <f>VLOOKUP($E205,CY$442:DB$453,2,FALSE)*CY205*($K205)+IF($G205&lt;&gt;0,($H205/$G205)*CY205,0)*(1-$K205)</f>
        <v>0</v>
      </c>
      <c r="DA205" s="1118">
        <f>VLOOKUP($E205,CY$442:DB$453,3,FALSE)*CY205*($K205)+IF($G205&lt;&gt;0,($I205/$G205)*CY205,0)*(1-$K205)</f>
        <v>0</v>
      </c>
      <c r="DB205" s="1118">
        <f>VLOOKUP($E205,CY$442:DB$453,4,FALSE)*CY205*($K205)+(CY205-CZ205-DA205)*(1-$K205)</f>
        <v>34234230.504148312</v>
      </c>
      <c r="DC205" s="1074"/>
      <c r="DG205" s="1117">
        <f>$G205</f>
        <v>34234230.504148312</v>
      </c>
      <c r="DH205" s="1118">
        <f>VLOOKUP($E205,DG$442:DJ$453,2,FALSE)*DG205*($K205)+IF($G205&lt;&gt;0,($H205/$G205)*DG205,0)*(1-$K205)</f>
        <v>0</v>
      </c>
      <c r="DI205" s="1118">
        <f>VLOOKUP($E205,DG$442:DJ$453,3,FALSE)*DG205*($K205)+IF($G205&lt;&gt;0,($I205/$G205)*DG205,0)*(1-$K205)</f>
        <v>0</v>
      </c>
      <c r="DJ205" s="1118">
        <f>VLOOKUP($E205,DG$442:DJ$453,4,FALSE)*DG205*($K205)+(DG205-DH205-DI205)*(1-$K205)</f>
        <v>34234230.504148312</v>
      </c>
      <c r="DK205" s="1074"/>
      <c r="DO205" s="1117">
        <f>$G205</f>
        <v>34234230.504148312</v>
      </c>
      <c r="DP205" s="1118">
        <f>VLOOKUP($E205,DO$442:DR$453,2,FALSE)*DO205*($K205)+IF($G205&lt;&gt;0,($H205/$G205)*DO205,0)*(1-$K205)</f>
        <v>0</v>
      </c>
      <c r="DQ205" s="1118">
        <f>VLOOKUP($E205,DO$442:DR$453,3,FALSE)*DO205*($K205)+IF($G205&lt;&gt;0,($I205/$G205)*DO205,0)*(1-$K205)</f>
        <v>0</v>
      </c>
      <c r="DR205" s="1118">
        <f>VLOOKUP($E205,DO$442:DR$453,4,FALSE)*DO205*($K205)+(DO205-DP205-DQ205)*(1-$K205)</f>
        <v>34234230.504148312</v>
      </c>
      <c r="DS205" s="1074"/>
      <c r="DW205" s="1117">
        <f>$G205</f>
        <v>34234230.504148312</v>
      </c>
      <c r="DX205" s="1118">
        <f>VLOOKUP($E205,DW$442:DZ$453,2,FALSE)*DW205*($K205)+IF($G205&lt;&gt;0,($H205/$G205)*DW205,0)*(1-$K205)</f>
        <v>0</v>
      </c>
      <c r="DY205" s="1118">
        <f>VLOOKUP($E205,DW$442:DZ$453,3,FALSE)*DW205*($K205)+IF($G205&lt;&gt;0,($I205/$G205)*DW205,0)*(1-$K205)</f>
        <v>0</v>
      </c>
      <c r="DZ205" s="1118">
        <f>VLOOKUP($E205,DW$442:DZ$453,4,FALSE)*DW205*($K205)+(DW205-DX205-DY205)*(1-$K205)</f>
        <v>34234230.504148312</v>
      </c>
      <c r="EA205" s="1074"/>
      <c r="EE205" s="1117">
        <f>$G205</f>
        <v>34234230.504148312</v>
      </c>
      <c r="EF205" s="1118">
        <f>VLOOKUP($E205,EE$442:EH$453,2,FALSE)*EE205*($K205)+IF($G205&lt;&gt;0,($H205/$G205)*EE205,0)*(1-$K205)</f>
        <v>0</v>
      </c>
      <c r="EG205" s="1118">
        <f>VLOOKUP($E205,EE$442:EH$453,3,FALSE)*EE205*($K205)+IF($G205&lt;&gt;0,($I205/$G205)*EE205,0)*(1-$K205)</f>
        <v>0</v>
      </c>
      <c r="EH205" s="1118">
        <f>VLOOKUP($E205,EE$442:EH$453,4,FALSE)*EE205*($K205)+(EE205-EF205-EG205)*(1-$K205)</f>
        <v>34234230.504148312</v>
      </c>
      <c r="EI205" s="1074"/>
      <c r="EM205" s="1117">
        <f>$G205</f>
        <v>34234230.504148312</v>
      </c>
      <c r="EN205" s="1118">
        <f>VLOOKUP($E205,EM$442:EP$453,2,FALSE)*EM205*($K205)+IF($G205&lt;&gt;0,($H205/$G205)*EM205,0)*(1-$K205)</f>
        <v>0</v>
      </c>
      <c r="EO205" s="1118">
        <f>VLOOKUP($E205,EM$442:EP$453,3,FALSE)*EM205*($K205)+IF($G205&lt;&gt;0,($I205/$G205)*EM205,0)*(1-$K205)</f>
        <v>0</v>
      </c>
      <c r="EP205" s="1118">
        <f>VLOOKUP($E205,EM$442:EP$453,4,FALSE)*EM205*($K205)+(EM205-EN205-EO205)*(1-$K205)</f>
        <v>34234230.504148312</v>
      </c>
      <c r="EQ205" s="1074"/>
      <c r="EU205" s="1117">
        <f>$G205</f>
        <v>34234230.504148312</v>
      </c>
      <c r="EV205" s="1118">
        <f>VLOOKUP($E205,EU$442:EX$453,2,FALSE)*EU205*($K205)+IF($G205&lt;&gt;0,($H205/$G205)*EU205,0)*(1-$K205)</f>
        <v>0</v>
      </c>
      <c r="EW205" s="1118">
        <f>VLOOKUP($E205,EU$442:EX$453,3,FALSE)*EU205*($K205)+IF($G205&lt;&gt;0,($I205/$G205)*EU205,0)*(1-$K205)</f>
        <v>0</v>
      </c>
      <c r="EX205" s="1118">
        <f>VLOOKUP($E205,EU$442:EX$453,4,FALSE)*EU205*($K205)+(EU205-EV205-EW205)*(1-$K205)</f>
        <v>34234230.504148312</v>
      </c>
      <c r="EY205" s="1074"/>
      <c r="FC205" s="1117">
        <f>$G205</f>
        <v>34234230.504148312</v>
      </c>
      <c r="FD205" s="1118">
        <f>VLOOKUP($E205,FC$442:FF$453,2,FALSE)*FC205*($K205)+IF($G205&lt;&gt;0,($H205/$G205)*FC205,0)*(1-$K205)</f>
        <v>0</v>
      </c>
      <c r="FE205" s="1118">
        <f>VLOOKUP($E205,FC$442:FF$453,3,FALSE)*FC205*($K205)+IF($G205&lt;&gt;0,($I205/$G205)*FC205,0)*(1-$K205)</f>
        <v>0</v>
      </c>
      <c r="FF205" s="1118">
        <f>VLOOKUP($E205,FC$442:FF$453,4,FALSE)*FC205*($K205)+(FC205-FD205-FE205)*(1-$K205)</f>
        <v>34234230.504148312</v>
      </c>
      <c r="FG205" s="1074"/>
      <c r="FK205" s="1117">
        <f>$G205</f>
        <v>34234230.504148312</v>
      </c>
      <c r="FL205" s="1118">
        <f>VLOOKUP($E205,FK$442:FN$453,2,FALSE)*FK205*($K205)+IF($G205&lt;&gt;0,($H205/$G205)*FK205,0)*(1-$K205)</f>
        <v>0</v>
      </c>
      <c r="FM205" s="1118">
        <f>VLOOKUP($E205,FK$442:FN$453,3,FALSE)*FK205*($K205)+IF($G205&lt;&gt;0,($I205/$G205)*FK205,0)*(1-$K205)</f>
        <v>0</v>
      </c>
      <c r="FN205" s="1118">
        <f>VLOOKUP($E205,FK$442:FN$453,4,FALSE)*FK205*($K205)+(FK205-FL205-FM205)*(1-$K205)</f>
        <v>34234230.504148312</v>
      </c>
      <c r="FO205" s="1074"/>
    </row>
    <row r="206" spans="1:171" x14ac:dyDescent="0.25">
      <c r="A206" s="913"/>
      <c r="B206" s="914" t="s">
        <v>462</v>
      </c>
      <c r="C206" s="889" t="s">
        <v>72</v>
      </c>
      <c r="D206" s="890" t="s">
        <v>486</v>
      </c>
      <c r="E206" s="182" t="str">
        <f>'Sch 3 - Expenses'!E46</f>
        <v>DIST</v>
      </c>
      <c r="F206" s="890"/>
      <c r="G206" s="182">
        <f>'Sch 3 - Expenses'!G46</f>
        <v>143846056.44384444</v>
      </c>
      <c r="H206" s="182">
        <f>'Sch 3 - Expenses'!H46</f>
        <v>0</v>
      </c>
      <c r="I206" s="182">
        <f>'Sch 3 - Expenses'!I46</f>
        <v>0</v>
      </c>
      <c r="J206" s="183">
        <f>'Sch 3 - Expenses'!J46</f>
        <v>143846056.44384444</v>
      </c>
      <c r="K206" s="904">
        <f>IF($E206="DIRECT",0,1)</f>
        <v>1</v>
      </c>
      <c r="O206" s="1117">
        <f>$G206</f>
        <v>143846056.44384444</v>
      </c>
      <c r="P206" s="1118">
        <f>VLOOKUP($E206,O$442:R$453,2,FALSE)*O206*($K206)+IF($G206&lt;&gt;0,($H206/$G206)*O206,0)*(1-$K206)</f>
        <v>0</v>
      </c>
      <c r="Q206" s="1118">
        <f>VLOOKUP($E206,O$442:R$453,3,FALSE)*O206*($K206)+IF($G206&lt;&gt;0,($I206/$G206)*O206,0)*(1-$K206)</f>
        <v>0</v>
      </c>
      <c r="R206" s="1118">
        <f>VLOOKUP($E206,O$442:R$453,4,FALSE)*O206*($K206)+(O206-P206-Q206)*(1-$K206)</f>
        <v>143846056.44384444</v>
      </c>
      <c r="S206" s="1074"/>
      <c r="W206" s="1117">
        <f>$G206</f>
        <v>143846056.44384444</v>
      </c>
      <c r="X206" s="1118">
        <f>VLOOKUP($E206,W$442:Z$453,2,FALSE)*W206*($K206)+IF($G206&lt;&gt;0,($H206/$G206)*W206,0)*(1-$K206)</f>
        <v>0</v>
      </c>
      <c r="Y206" s="1118">
        <f>VLOOKUP($E206,W$442:Z$453,3,FALSE)*W206*($K206)+IF($G206&lt;&gt;0,($I206/$G206)*W206,0)*(1-$K206)</f>
        <v>0</v>
      </c>
      <c r="Z206" s="1118">
        <f>VLOOKUP($E206,W$442:Z$453,4,FALSE)*W206*($K206)+(W206-X206-Y206)*(1-$K206)</f>
        <v>143846056.44384444</v>
      </c>
      <c r="AA206" s="1074"/>
      <c r="AE206" s="1117">
        <f>$G206</f>
        <v>143846056.44384444</v>
      </c>
      <c r="AF206" s="1118">
        <f>VLOOKUP($E206,AE$442:AH$453,2,FALSE)*AE206*($K206)+IF($G206&lt;&gt;0,($H206/$G206)*AE206,0)*(1-$K206)</f>
        <v>0</v>
      </c>
      <c r="AG206" s="1118">
        <f>VLOOKUP($E206,AE$442:AH$453,3,FALSE)*AE206*($K206)+IF($G206&lt;&gt;0,($I206/$G206)*AE206,0)*(1-$K206)</f>
        <v>0</v>
      </c>
      <c r="AH206" s="1118">
        <f>VLOOKUP($E206,AE$442:AH$453,4,FALSE)*AE206*($K206)+(AE206-AF206-AG206)*(1-$K206)</f>
        <v>143846056.44384444</v>
      </c>
      <c r="AI206" s="1074"/>
      <c r="AM206" s="1117">
        <f>$G206</f>
        <v>143846056.44384444</v>
      </c>
      <c r="AN206" s="1118">
        <f>VLOOKUP($E206,AM$442:AP$453,2,FALSE)*AM206*($K206)+IF($G206&lt;&gt;0,($H206/$G206)*AM206,0)*(1-$K206)</f>
        <v>0</v>
      </c>
      <c r="AO206" s="1118">
        <f>VLOOKUP($E206,AM$442:AP$453,3,FALSE)*AM206*($K206)+IF($G206&lt;&gt;0,($I206/$G206)*AM206,0)*(1-$K206)</f>
        <v>0</v>
      </c>
      <c r="AP206" s="1118">
        <f>VLOOKUP($E206,AM$442:AP$453,4,FALSE)*AM206*($K206)+(AM206-AN206-AO206)*(1-$K206)</f>
        <v>143846056.44384444</v>
      </c>
      <c r="AQ206" s="1074"/>
      <c r="AU206" s="1117">
        <f>$G206</f>
        <v>143846056.44384444</v>
      </c>
      <c r="AV206" s="1118">
        <f>VLOOKUP($E206,AU$442:AX$453,2,FALSE)*AU206*($K206)+IF($G206&lt;&gt;0,($H206/$G206)*AU206,0)*(1-$K206)</f>
        <v>0</v>
      </c>
      <c r="AW206" s="1118">
        <f>VLOOKUP($E206,AU$442:AX$453,3,FALSE)*AU206*($K206)+IF($G206&lt;&gt;0,($I206/$G206)*AU206,0)*(1-$K206)</f>
        <v>0</v>
      </c>
      <c r="AX206" s="1118">
        <f>VLOOKUP($E206,AU$442:AX$453,4,FALSE)*AU206*($K206)+(AU206-AV206-AW206)*(1-$K206)</f>
        <v>143846056.44384444</v>
      </c>
      <c r="AY206" s="1074"/>
      <c r="BC206" s="1117">
        <f>$G206</f>
        <v>143846056.44384444</v>
      </c>
      <c r="BD206" s="1118">
        <f>VLOOKUP($E206,BC$442:BF$453,2,FALSE)*BC206*($K206)+IF($G206&lt;&gt;0,($H206/$G206)*BC206,0)*(1-$K206)</f>
        <v>0</v>
      </c>
      <c r="BE206" s="1118">
        <f>VLOOKUP($E206,BC$442:BF$453,3,FALSE)*BC206*($K206)+IF($G206&lt;&gt;0,($I206/$G206)*BC206,0)*(1-$K206)</f>
        <v>0</v>
      </c>
      <c r="BF206" s="1118">
        <f>VLOOKUP($E206,BC$442:BF$453,4,FALSE)*BC206*($K206)+(BC206-BD206-BE206)*(1-$K206)</f>
        <v>143846056.44384444</v>
      </c>
      <c r="BG206" s="1074"/>
      <c r="BK206" s="1117">
        <f>$G206</f>
        <v>143846056.44384444</v>
      </c>
      <c r="BL206" s="1118">
        <f>VLOOKUP($E206,BK$442:BN$453,2,FALSE)*BK206*($K206)+IF($G206&lt;&gt;0,($H206/$G206)*BK206,0)*(1-$K206)</f>
        <v>0</v>
      </c>
      <c r="BM206" s="1118">
        <f>VLOOKUP($E206,BK$442:BN$453,3,FALSE)*BK206*($K206)+IF($G206&lt;&gt;0,($I206/$G206)*BK206,0)*(1-$K206)</f>
        <v>0</v>
      </c>
      <c r="BN206" s="1118">
        <f>VLOOKUP($E206,BK$442:BN$453,4,FALSE)*BK206*($K206)+(BK206-BL206-BM206)*(1-$K206)</f>
        <v>143846056.44384444</v>
      </c>
      <c r="BO206" s="1074"/>
      <c r="BS206" s="1117">
        <f>$G206</f>
        <v>143846056.44384444</v>
      </c>
      <c r="BT206" s="1118">
        <f>VLOOKUP($E206,BS$442:BV$453,2,FALSE)*BS206*($K206)+IF($G206&lt;&gt;0,($H206/$G206)*BS206,0)*(1-$K206)</f>
        <v>0</v>
      </c>
      <c r="BU206" s="1118">
        <f>VLOOKUP($E206,BS$442:BV$453,3,FALSE)*BS206*($K206)+IF($G206&lt;&gt;0,($I206/$G206)*BS206,0)*(1-$K206)</f>
        <v>0</v>
      </c>
      <c r="BV206" s="1118">
        <f>VLOOKUP($E206,BS$442:BV$453,4,FALSE)*BS206*($K206)+(BS206-BT206-BU206)*(1-$K206)</f>
        <v>143846056.44384444</v>
      </c>
      <c r="BW206" s="1074"/>
      <c r="CA206" s="1117">
        <f>$G206</f>
        <v>143846056.44384444</v>
      </c>
      <c r="CB206" s="1118">
        <f>VLOOKUP($E206,CA$442:CD$453,2,FALSE)*CA206*($K206)+IF($G206&lt;&gt;0,($H206/$G206)*CA206,0)*(1-$K206)</f>
        <v>0</v>
      </c>
      <c r="CC206" s="1118">
        <f>VLOOKUP($E206,CA$442:CD$453,3,FALSE)*CA206*($K206)+IF($G206&lt;&gt;0,($I206/$G206)*CA206,0)*(1-$K206)</f>
        <v>0</v>
      </c>
      <c r="CD206" s="1118">
        <f>VLOOKUP($E206,CA$442:CD$453,4,FALSE)*CA206*($K206)+(CA206-CB206-CC206)*(1-$K206)</f>
        <v>143846056.44384444</v>
      </c>
      <c r="CE206" s="1074"/>
      <c r="CI206" s="1117">
        <f>$G206</f>
        <v>143846056.44384444</v>
      </c>
      <c r="CJ206" s="1118">
        <f>VLOOKUP($E206,CI$442:CL$453,2,FALSE)*CI206*($K206)+IF($G206&lt;&gt;0,($H206/$G206)*CI206,0)*(1-$K206)</f>
        <v>0</v>
      </c>
      <c r="CK206" s="1118">
        <f>VLOOKUP($E206,CI$442:CL$453,3,FALSE)*CI206*($K206)+IF($G206&lt;&gt;0,($I206/$G206)*CI206,0)*(1-$K206)</f>
        <v>0</v>
      </c>
      <c r="CL206" s="1118">
        <f>VLOOKUP($E206,CI$442:CL$453,4,FALSE)*CI206*($K206)+(CI206-CJ206-CK206)*(1-$K206)</f>
        <v>143846056.44384444</v>
      </c>
      <c r="CM206" s="1074"/>
      <c r="CQ206" s="1117">
        <f>$G206</f>
        <v>143846056.44384444</v>
      </c>
      <c r="CR206" s="1118">
        <f>VLOOKUP($E206,CQ$442:CT$453,2,FALSE)*CQ206*($K206)+IF($G206&lt;&gt;0,($H206/$G206)*CQ206,0)*(1-$K206)</f>
        <v>0</v>
      </c>
      <c r="CS206" s="1118">
        <f>VLOOKUP($E206,CQ$442:CT$453,3,FALSE)*CQ206*($K206)+IF($G206&lt;&gt;0,($I206/$G206)*CQ206,0)*(1-$K206)</f>
        <v>0</v>
      </c>
      <c r="CT206" s="1118">
        <f>VLOOKUP($E206,CQ$442:CT$453,4,FALSE)*CQ206*($K206)+(CQ206-CR206-CS206)*(1-$K206)</f>
        <v>143846056.44384444</v>
      </c>
      <c r="CU206" s="1074"/>
      <c r="CY206" s="1117">
        <f>$G206</f>
        <v>143846056.44384444</v>
      </c>
      <c r="CZ206" s="1118">
        <f>VLOOKUP($E206,CY$442:DB$453,2,FALSE)*CY206*($K206)+IF($G206&lt;&gt;0,($H206/$G206)*CY206,0)*(1-$K206)</f>
        <v>0</v>
      </c>
      <c r="DA206" s="1118">
        <f>VLOOKUP($E206,CY$442:DB$453,3,FALSE)*CY206*($K206)+IF($G206&lt;&gt;0,($I206/$G206)*CY206,0)*(1-$K206)</f>
        <v>0</v>
      </c>
      <c r="DB206" s="1118">
        <f>VLOOKUP($E206,CY$442:DB$453,4,FALSE)*CY206*($K206)+(CY206-CZ206-DA206)*(1-$K206)</f>
        <v>143846056.44384444</v>
      </c>
      <c r="DC206" s="1074"/>
      <c r="DG206" s="1117">
        <f>$G206</f>
        <v>143846056.44384444</v>
      </c>
      <c r="DH206" s="1118">
        <f>VLOOKUP($E206,DG$442:DJ$453,2,FALSE)*DG206*($K206)+IF($G206&lt;&gt;0,($H206/$G206)*DG206,0)*(1-$K206)</f>
        <v>0</v>
      </c>
      <c r="DI206" s="1118">
        <f>VLOOKUP($E206,DG$442:DJ$453,3,FALSE)*DG206*($K206)+IF($G206&lt;&gt;0,($I206/$G206)*DG206,0)*(1-$K206)</f>
        <v>0</v>
      </c>
      <c r="DJ206" s="1118">
        <f>VLOOKUP($E206,DG$442:DJ$453,4,FALSE)*DG206*($K206)+(DG206-DH206-DI206)*(1-$K206)</f>
        <v>143846056.44384444</v>
      </c>
      <c r="DK206" s="1074"/>
      <c r="DO206" s="1117">
        <f>$G206</f>
        <v>143846056.44384444</v>
      </c>
      <c r="DP206" s="1118">
        <f>VLOOKUP($E206,DO$442:DR$453,2,FALSE)*DO206*($K206)+IF($G206&lt;&gt;0,($H206/$G206)*DO206,0)*(1-$K206)</f>
        <v>0</v>
      </c>
      <c r="DQ206" s="1118">
        <f>VLOOKUP($E206,DO$442:DR$453,3,FALSE)*DO206*($K206)+IF($G206&lt;&gt;0,($I206/$G206)*DO206,0)*(1-$K206)</f>
        <v>0</v>
      </c>
      <c r="DR206" s="1118">
        <f>VLOOKUP($E206,DO$442:DR$453,4,FALSE)*DO206*($K206)+(DO206-DP206-DQ206)*(1-$K206)</f>
        <v>143846056.44384444</v>
      </c>
      <c r="DS206" s="1074"/>
      <c r="DW206" s="1117">
        <f>$G206</f>
        <v>143846056.44384444</v>
      </c>
      <c r="DX206" s="1118">
        <f>VLOOKUP($E206,DW$442:DZ$453,2,FALSE)*DW206*($K206)+IF($G206&lt;&gt;0,($H206/$G206)*DW206,0)*(1-$K206)</f>
        <v>0</v>
      </c>
      <c r="DY206" s="1118">
        <f>VLOOKUP($E206,DW$442:DZ$453,3,FALSE)*DW206*($K206)+IF($G206&lt;&gt;0,($I206/$G206)*DW206,0)*(1-$K206)</f>
        <v>0</v>
      </c>
      <c r="DZ206" s="1118">
        <f>VLOOKUP($E206,DW$442:DZ$453,4,FALSE)*DW206*($K206)+(DW206-DX206-DY206)*(1-$K206)</f>
        <v>143846056.44384444</v>
      </c>
      <c r="EA206" s="1074"/>
      <c r="EE206" s="1117">
        <f>$G206</f>
        <v>143846056.44384444</v>
      </c>
      <c r="EF206" s="1118">
        <f>VLOOKUP($E206,EE$442:EH$453,2,FALSE)*EE206*($K206)+IF($G206&lt;&gt;0,($H206/$G206)*EE206,0)*(1-$K206)</f>
        <v>0</v>
      </c>
      <c r="EG206" s="1118">
        <f>VLOOKUP($E206,EE$442:EH$453,3,FALSE)*EE206*($K206)+IF($G206&lt;&gt;0,($I206/$G206)*EE206,0)*(1-$K206)</f>
        <v>0</v>
      </c>
      <c r="EH206" s="1118">
        <f>VLOOKUP($E206,EE$442:EH$453,4,FALSE)*EE206*($K206)+(EE206-EF206-EG206)*(1-$K206)</f>
        <v>143846056.44384444</v>
      </c>
      <c r="EI206" s="1074"/>
      <c r="EM206" s="1117">
        <f>$G206</f>
        <v>143846056.44384444</v>
      </c>
      <c r="EN206" s="1118">
        <f>VLOOKUP($E206,EM$442:EP$453,2,FALSE)*EM206*($K206)+IF($G206&lt;&gt;0,($H206/$G206)*EM206,0)*(1-$K206)</f>
        <v>0</v>
      </c>
      <c r="EO206" s="1118">
        <f>VLOOKUP($E206,EM$442:EP$453,3,FALSE)*EM206*($K206)+IF($G206&lt;&gt;0,($I206/$G206)*EM206,0)*(1-$K206)</f>
        <v>0</v>
      </c>
      <c r="EP206" s="1118">
        <f>VLOOKUP($E206,EM$442:EP$453,4,FALSE)*EM206*($K206)+(EM206-EN206-EO206)*(1-$K206)</f>
        <v>143846056.44384444</v>
      </c>
      <c r="EQ206" s="1074"/>
      <c r="EU206" s="1117">
        <f>$G206</f>
        <v>143846056.44384444</v>
      </c>
      <c r="EV206" s="1118">
        <f>VLOOKUP($E206,EU$442:EX$453,2,FALSE)*EU206*($K206)+IF($G206&lt;&gt;0,($H206/$G206)*EU206,0)*(1-$K206)</f>
        <v>0</v>
      </c>
      <c r="EW206" s="1118">
        <f>VLOOKUP($E206,EU$442:EX$453,3,FALSE)*EU206*($K206)+IF($G206&lt;&gt;0,($I206/$G206)*EU206,0)*(1-$K206)</f>
        <v>0</v>
      </c>
      <c r="EX206" s="1118">
        <f>VLOOKUP($E206,EU$442:EX$453,4,FALSE)*EU206*($K206)+(EU206-EV206-EW206)*(1-$K206)</f>
        <v>143846056.44384444</v>
      </c>
      <c r="EY206" s="1074"/>
      <c r="FC206" s="1117">
        <f>$G206</f>
        <v>143846056.44384444</v>
      </c>
      <c r="FD206" s="1118">
        <f>VLOOKUP($E206,FC$442:FF$453,2,FALSE)*FC206*($K206)+IF($G206&lt;&gt;0,($H206/$G206)*FC206,0)*(1-$K206)</f>
        <v>0</v>
      </c>
      <c r="FE206" s="1118">
        <f>VLOOKUP($E206,FC$442:FF$453,3,FALSE)*FC206*($K206)+IF($G206&lt;&gt;0,($I206/$G206)*FC206,0)*(1-$K206)</f>
        <v>0</v>
      </c>
      <c r="FF206" s="1118">
        <f>VLOOKUP($E206,FC$442:FF$453,4,FALSE)*FC206*($K206)+(FC206-FD206-FE206)*(1-$K206)</f>
        <v>143846056.44384444</v>
      </c>
      <c r="FG206" s="1074"/>
      <c r="FK206" s="1117">
        <f>$G206</f>
        <v>143846056.44384444</v>
      </c>
      <c r="FL206" s="1118">
        <f>VLOOKUP($E206,FK$442:FN$453,2,FALSE)*FK206*($K206)+IF($G206&lt;&gt;0,($H206/$G206)*FK206,0)*(1-$K206)</f>
        <v>0</v>
      </c>
      <c r="FM206" s="1118">
        <f>VLOOKUP($E206,FK$442:FN$453,3,FALSE)*FK206*($K206)+IF($G206&lt;&gt;0,($I206/$G206)*FK206,0)*(1-$K206)</f>
        <v>0</v>
      </c>
      <c r="FN206" s="1118">
        <f>VLOOKUP($E206,FK$442:FN$453,4,FALSE)*FK206*($K206)+(FK206-FL206-FM206)*(1-$K206)</f>
        <v>143846056.44384444</v>
      </c>
      <c r="FO206" s="1074"/>
    </row>
    <row r="207" spans="1:171" x14ac:dyDescent="0.25">
      <c r="A207" s="163" t="s">
        <v>487</v>
      </c>
      <c r="B207" s="10"/>
      <c r="C207" s="915"/>
      <c r="D207" s="916"/>
      <c r="E207" s="916"/>
      <c r="F207" s="917"/>
      <c r="G207" s="924">
        <f>SUM(G205:G206)</f>
        <v>178080286.94799274</v>
      </c>
      <c r="H207" s="924">
        <f>SUM(H205:H206)</f>
        <v>0</v>
      </c>
      <c r="I207" s="924">
        <f>SUM(I205:I206)</f>
        <v>0</v>
      </c>
      <c r="J207" s="1391">
        <f>SUM(J205:J206)</f>
        <v>178080286.94799274</v>
      </c>
      <c r="K207" s="904"/>
      <c r="O207" s="1136">
        <f>SUM(O205:O206)</f>
        <v>178080286.94799274</v>
      </c>
      <c r="P207" s="1136">
        <f>SUM(P205:P206)</f>
        <v>0</v>
      </c>
      <c r="Q207" s="1136">
        <f>SUM(Q205:Q206)</f>
        <v>0</v>
      </c>
      <c r="R207" s="1136">
        <f>SUM(R205:R206)</f>
        <v>178080286.94799274</v>
      </c>
      <c r="S207" s="1074"/>
      <c r="W207" s="1136">
        <f>SUM(W205:W206)</f>
        <v>178080286.94799274</v>
      </c>
      <c r="X207" s="1136">
        <f>SUM(X205:X206)</f>
        <v>0</v>
      </c>
      <c r="Y207" s="1136">
        <f>SUM(Y205:Y206)</f>
        <v>0</v>
      </c>
      <c r="Z207" s="1136">
        <f>SUM(Z205:Z206)</f>
        <v>178080286.94799274</v>
      </c>
      <c r="AA207" s="1074"/>
      <c r="AE207" s="1136">
        <f>SUM(AE205:AE206)</f>
        <v>178080286.94799274</v>
      </c>
      <c r="AF207" s="1136">
        <f>SUM(AF205:AF206)</f>
        <v>0</v>
      </c>
      <c r="AG207" s="1136">
        <f>SUM(AG205:AG206)</f>
        <v>0</v>
      </c>
      <c r="AH207" s="1136">
        <f>SUM(AH205:AH206)</f>
        <v>178080286.94799274</v>
      </c>
      <c r="AI207" s="1074"/>
      <c r="AM207" s="1136">
        <f>SUM(AM205:AM206)</f>
        <v>178080286.94799274</v>
      </c>
      <c r="AN207" s="1136">
        <f>SUM(AN205:AN206)</f>
        <v>0</v>
      </c>
      <c r="AO207" s="1136">
        <f>SUM(AO205:AO206)</f>
        <v>0</v>
      </c>
      <c r="AP207" s="1136">
        <f>SUM(AP205:AP206)</f>
        <v>178080286.94799274</v>
      </c>
      <c r="AQ207" s="1074"/>
      <c r="AU207" s="1136">
        <f>SUM(AU205:AU206)</f>
        <v>178080286.94799274</v>
      </c>
      <c r="AV207" s="1136">
        <f>SUM(AV205:AV206)</f>
        <v>0</v>
      </c>
      <c r="AW207" s="1136">
        <f>SUM(AW205:AW206)</f>
        <v>0</v>
      </c>
      <c r="AX207" s="1136">
        <f>SUM(AX205:AX206)</f>
        <v>178080286.94799274</v>
      </c>
      <c r="AY207" s="1074"/>
      <c r="BC207" s="1136">
        <f>SUM(BC205:BC206)</f>
        <v>178080286.94799274</v>
      </c>
      <c r="BD207" s="1136">
        <f>SUM(BD205:BD206)</f>
        <v>0</v>
      </c>
      <c r="BE207" s="1136">
        <f>SUM(BE205:BE206)</f>
        <v>0</v>
      </c>
      <c r="BF207" s="1136">
        <f>SUM(BF205:BF206)</f>
        <v>178080286.94799274</v>
      </c>
      <c r="BG207" s="1074"/>
      <c r="BK207" s="1136">
        <f>SUM(BK205:BK206)</f>
        <v>178080286.94799274</v>
      </c>
      <c r="BL207" s="1136">
        <f>SUM(BL205:BL206)</f>
        <v>0</v>
      </c>
      <c r="BM207" s="1136">
        <f>SUM(BM205:BM206)</f>
        <v>0</v>
      </c>
      <c r="BN207" s="1136">
        <f>SUM(BN205:BN206)</f>
        <v>178080286.94799274</v>
      </c>
      <c r="BO207" s="1074"/>
      <c r="BS207" s="1136">
        <f>SUM(BS205:BS206)</f>
        <v>178080286.94799274</v>
      </c>
      <c r="BT207" s="1136">
        <f>SUM(BT205:BT206)</f>
        <v>0</v>
      </c>
      <c r="BU207" s="1136">
        <f>SUM(BU205:BU206)</f>
        <v>0</v>
      </c>
      <c r="BV207" s="1136">
        <f>SUM(BV205:BV206)</f>
        <v>178080286.94799274</v>
      </c>
      <c r="BW207" s="1074"/>
      <c r="CA207" s="1136">
        <f>SUM(CA205:CA206)</f>
        <v>178080286.94799274</v>
      </c>
      <c r="CB207" s="1136">
        <f>SUM(CB205:CB206)</f>
        <v>0</v>
      </c>
      <c r="CC207" s="1136">
        <f>SUM(CC205:CC206)</f>
        <v>0</v>
      </c>
      <c r="CD207" s="1136">
        <f>SUM(CD205:CD206)</f>
        <v>178080286.94799274</v>
      </c>
      <c r="CE207" s="1074"/>
      <c r="CI207" s="1136">
        <f>SUM(CI205:CI206)</f>
        <v>178080286.94799274</v>
      </c>
      <c r="CJ207" s="1136">
        <f>SUM(CJ205:CJ206)</f>
        <v>0</v>
      </c>
      <c r="CK207" s="1136">
        <f>SUM(CK205:CK206)</f>
        <v>0</v>
      </c>
      <c r="CL207" s="1136">
        <f>SUM(CL205:CL206)</f>
        <v>178080286.94799274</v>
      </c>
      <c r="CM207" s="1074"/>
      <c r="CQ207" s="1136">
        <f>SUM(CQ205:CQ206)</f>
        <v>178080286.94799274</v>
      </c>
      <c r="CR207" s="1136">
        <f>SUM(CR205:CR206)</f>
        <v>0</v>
      </c>
      <c r="CS207" s="1136">
        <f>SUM(CS205:CS206)</f>
        <v>0</v>
      </c>
      <c r="CT207" s="1136">
        <f>SUM(CT205:CT206)</f>
        <v>178080286.94799274</v>
      </c>
      <c r="CU207" s="1074"/>
      <c r="CY207" s="1136">
        <f>SUM(CY205:CY206)</f>
        <v>178080286.94799274</v>
      </c>
      <c r="CZ207" s="1136">
        <f>SUM(CZ205:CZ206)</f>
        <v>0</v>
      </c>
      <c r="DA207" s="1136">
        <f>SUM(DA205:DA206)</f>
        <v>0</v>
      </c>
      <c r="DB207" s="1136">
        <f>SUM(DB205:DB206)</f>
        <v>178080286.94799274</v>
      </c>
      <c r="DC207" s="1074"/>
      <c r="DG207" s="1136">
        <f>SUM(DG205:DG206)</f>
        <v>178080286.94799274</v>
      </c>
      <c r="DH207" s="1136">
        <f>SUM(DH205:DH206)</f>
        <v>0</v>
      </c>
      <c r="DI207" s="1136">
        <f>SUM(DI205:DI206)</f>
        <v>0</v>
      </c>
      <c r="DJ207" s="1136">
        <f>SUM(DJ205:DJ206)</f>
        <v>178080286.94799274</v>
      </c>
      <c r="DK207" s="1074"/>
      <c r="DO207" s="1136">
        <f>SUM(DO205:DO206)</f>
        <v>178080286.94799274</v>
      </c>
      <c r="DP207" s="1136">
        <f>SUM(DP205:DP206)</f>
        <v>0</v>
      </c>
      <c r="DQ207" s="1136">
        <f>SUM(DQ205:DQ206)</f>
        <v>0</v>
      </c>
      <c r="DR207" s="1136">
        <f>SUM(DR205:DR206)</f>
        <v>178080286.94799274</v>
      </c>
      <c r="DS207" s="1074"/>
      <c r="DW207" s="1136">
        <f>SUM(DW205:DW206)</f>
        <v>178080286.94799274</v>
      </c>
      <c r="DX207" s="1136">
        <f>SUM(DX205:DX206)</f>
        <v>0</v>
      </c>
      <c r="DY207" s="1136">
        <f>SUM(DY205:DY206)</f>
        <v>0</v>
      </c>
      <c r="DZ207" s="1136">
        <f>SUM(DZ205:DZ206)</f>
        <v>178080286.94799274</v>
      </c>
      <c r="EA207" s="1074"/>
      <c r="EE207" s="1136">
        <f>SUM(EE205:EE206)</f>
        <v>178080286.94799274</v>
      </c>
      <c r="EF207" s="1136">
        <f>SUM(EF205:EF206)</f>
        <v>0</v>
      </c>
      <c r="EG207" s="1136">
        <f>SUM(EG205:EG206)</f>
        <v>0</v>
      </c>
      <c r="EH207" s="1136">
        <f>SUM(EH205:EH206)</f>
        <v>178080286.94799274</v>
      </c>
      <c r="EI207" s="1074"/>
      <c r="EM207" s="1136">
        <f>SUM(EM205:EM206)</f>
        <v>178080286.94799274</v>
      </c>
      <c r="EN207" s="1136">
        <f>SUM(EN205:EN206)</f>
        <v>0</v>
      </c>
      <c r="EO207" s="1136">
        <f>SUM(EO205:EO206)</f>
        <v>0</v>
      </c>
      <c r="EP207" s="1136">
        <f>SUM(EP205:EP206)</f>
        <v>178080286.94799274</v>
      </c>
      <c r="EQ207" s="1074"/>
      <c r="EU207" s="1136">
        <f>SUM(EU205:EU206)</f>
        <v>178080286.94799274</v>
      </c>
      <c r="EV207" s="1136">
        <f>SUM(EV205:EV206)</f>
        <v>0</v>
      </c>
      <c r="EW207" s="1136">
        <f>SUM(EW205:EW206)</f>
        <v>0</v>
      </c>
      <c r="EX207" s="1136">
        <f>SUM(EX205:EX206)</f>
        <v>178080286.94799274</v>
      </c>
      <c r="EY207" s="1074"/>
      <c r="FC207" s="1136">
        <f>SUM(FC205:FC206)</f>
        <v>178080286.94799274</v>
      </c>
      <c r="FD207" s="1136">
        <f>SUM(FD205:FD206)</f>
        <v>0</v>
      </c>
      <c r="FE207" s="1136">
        <f>SUM(FE205:FE206)</f>
        <v>0</v>
      </c>
      <c r="FF207" s="1136">
        <f>SUM(FF205:FF206)</f>
        <v>178080286.94799274</v>
      </c>
      <c r="FG207" s="1074"/>
      <c r="FK207" s="1136">
        <f>SUM(FK205:FK206)</f>
        <v>178080286.94799274</v>
      </c>
      <c r="FL207" s="1136">
        <f>SUM(FL205:FL206)</f>
        <v>0</v>
      </c>
      <c r="FM207" s="1136">
        <f>SUM(FM205:FM206)</f>
        <v>0</v>
      </c>
      <c r="FN207" s="1136">
        <f>SUM(FN205:FN206)</f>
        <v>178080286.94799274</v>
      </c>
      <c r="FO207" s="1074"/>
    </row>
    <row r="208" spans="1:171" x14ac:dyDescent="0.25">
      <c r="A208" s="228"/>
      <c r="B208" s="10"/>
      <c r="C208" s="55"/>
      <c r="D208" s="55"/>
      <c r="E208" s="55"/>
      <c r="F208" s="55"/>
      <c r="G208" s="999"/>
      <c r="H208" s="56"/>
      <c r="I208" s="56"/>
      <c r="J208" s="1000"/>
      <c r="K208" s="904"/>
      <c r="O208" s="1080"/>
      <c r="S208" s="1074"/>
      <c r="W208" s="1080"/>
      <c r="AA208" s="1074"/>
      <c r="AE208" s="1080"/>
      <c r="AI208" s="1074"/>
      <c r="AM208" s="1080"/>
      <c r="AQ208" s="1074"/>
      <c r="AU208" s="1080"/>
      <c r="AY208" s="1074"/>
      <c r="BC208" s="1080"/>
      <c r="BG208" s="1074"/>
      <c r="BK208" s="1080"/>
      <c r="BO208" s="1074"/>
      <c r="BS208" s="1080"/>
      <c r="BW208" s="1074"/>
      <c r="CA208" s="1080"/>
      <c r="CE208" s="1074"/>
      <c r="CI208" s="1080"/>
      <c r="CM208" s="1074"/>
      <c r="CQ208" s="1080"/>
      <c r="CU208" s="1074"/>
      <c r="CY208" s="1080"/>
      <c r="DC208" s="1074"/>
      <c r="DG208" s="1080"/>
      <c r="DK208" s="1074"/>
      <c r="DO208" s="1080"/>
      <c r="DS208" s="1074"/>
      <c r="DW208" s="1080"/>
      <c r="EA208" s="1074"/>
      <c r="EE208" s="1080"/>
      <c r="EI208" s="1074"/>
      <c r="EM208" s="1080"/>
      <c r="EQ208" s="1074"/>
      <c r="EU208" s="1080"/>
      <c r="EY208" s="1074"/>
      <c r="FC208" s="1080"/>
      <c r="FG208" s="1074"/>
      <c r="FK208" s="1080"/>
      <c r="FO208" s="1074"/>
    </row>
    <row r="209" spans="1:171" x14ac:dyDescent="0.25">
      <c r="A209" s="160" t="s">
        <v>488</v>
      </c>
      <c r="B209" s="10"/>
      <c r="C209" s="55"/>
      <c r="D209" s="55"/>
      <c r="E209" s="55"/>
      <c r="F209" s="55"/>
      <c r="G209" s="999"/>
      <c r="H209" s="56"/>
      <c r="I209" s="56"/>
      <c r="J209" s="1000"/>
      <c r="K209" s="904"/>
      <c r="O209" s="1080"/>
      <c r="S209" s="1074"/>
      <c r="W209" s="1080"/>
      <c r="AA209" s="1074"/>
      <c r="AE209" s="1080"/>
      <c r="AI209" s="1074"/>
      <c r="AM209" s="1080"/>
      <c r="AQ209" s="1074"/>
      <c r="AU209" s="1080"/>
      <c r="AY209" s="1074"/>
      <c r="BC209" s="1080"/>
      <c r="BG209" s="1074"/>
      <c r="BK209" s="1080"/>
      <c r="BO209" s="1074"/>
      <c r="BS209" s="1080"/>
      <c r="BW209" s="1074"/>
      <c r="CA209" s="1080"/>
      <c r="CE209" s="1074"/>
      <c r="CI209" s="1080"/>
      <c r="CM209" s="1074"/>
      <c r="CQ209" s="1080"/>
      <c r="CU209" s="1074"/>
      <c r="CY209" s="1080"/>
      <c r="DC209" s="1074"/>
      <c r="DG209" s="1080"/>
      <c r="DK209" s="1074"/>
      <c r="DO209" s="1080"/>
      <c r="DS209" s="1074"/>
      <c r="DW209" s="1080"/>
      <c r="EA209" s="1074"/>
      <c r="EE209" s="1080"/>
      <c r="EI209" s="1074"/>
      <c r="EM209" s="1080"/>
      <c r="EQ209" s="1074"/>
      <c r="EU209" s="1080"/>
      <c r="EY209" s="1074"/>
      <c r="FC209" s="1080"/>
      <c r="FG209" s="1074"/>
      <c r="FK209" s="1080"/>
      <c r="FO209" s="1074"/>
    </row>
    <row r="210" spans="1:171" x14ac:dyDescent="0.25">
      <c r="A210" s="913"/>
      <c r="B210" s="914" t="s">
        <v>464</v>
      </c>
      <c r="C210" s="889" t="s">
        <v>72</v>
      </c>
      <c r="D210" s="889" t="s">
        <v>489</v>
      </c>
      <c r="E210" s="182" t="str">
        <f>'Sch 3 - Expenses'!E50</f>
        <v>DIST</v>
      </c>
      <c r="F210" s="890"/>
      <c r="G210" s="182">
        <f>'Sch 3 - Expenses'!G50</f>
        <v>45368831.838585906</v>
      </c>
      <c r="H210" s="182">
        <f>'Sch 3 - Expenses'!H50</f>
        <v>0</v>
      </c>
      <c r="I210" s="182">
        <f>'Sch 3 - Expenses'!I50</f>
        <v>0</v>
      </c>
      <c r="J210" s="183">
        <f>'Sch 3 - Expenses'!J50</f>
        <v>45368831.838585906</v>
      </c>
      <c r="K210" s="904">
        <f>IF($E210="DIRECT",0,1)</f>
        <v>1</v>
      </c>
      <c r="O210" s="1117">
        <f>$G210</f>
        <v>45368831.838585906</v>
      </c>
      <c r="P210" s="1118">
        <f>VLOOKUP($E210,O$442:R$453,2,FALSE)*O210*($K210)+IF($G210&lt;&gt;0,($H210/$G210)*O210,0)*(1-$K210)</f>
        <v>0</v>
      </c>
      <c r="Q210" s="1118">
        <f>VLOOKUP($E210,O$442:R$453,3,FALSE)*O210*($K210)+IF($G210&lt;&gt;0,($I210/$G210)*O210,0)*(1-$K210)</f>
        <v>0</v>
      </c>
      <c r="R210" s="1118">
        <f>VLOOKUP($E210,O$442:R$453,4,FALSE)*O210*($K210)+(O210-P210-Q210)*(1-$K210)</f>
        <v>45368831.838585906</v>
      </c>
      <c r="S210" s="1074"/>
      <c r="W210" s="1117">
        <f>$G210</f>
        <v>45368831.838585906</v>
      </c>
      <c r="X210" s="1118">
        <f>VLOOKUP($E210,W$442:Z$453,2,FALSE)*W210*($K210)+IF($G210&lt;&gt;0,($H210/$G210)*W210,0)*(1-$K210)</f>
        <v>0</v>
      </c>
      <c r="Y210" s="1118">
        <f>VLOOKUP($E210,W$442:Z$453,3,FALSE)*W210*($K210)+IF($G210&lt;&gt;0,($I210/$G210)*W210,0)*(1-$K210)</f>
        <v>0</v>
      </c>
      <c r="Z210" s="1118">
        <f>VLOOKUP($E210,W$442:Z$453,4,FALSE)*W210*($K210)+(W210-X210-Y210)*(1-$K210)</f>
        <v>45368831.838585906</v>
      </c>
      <c r="AA210" s="1074"/>
      <c r="AE210" s="1117">
        <f>$G210</f>
        <v>45368831.838585906</v>
      </c>
      <c r="AF210" s="1118">
        <f>VLOOKUP($E210,AE$442:AH$453,2,FALSE)*AE210*($K210)+IF($G210&lt;&gt;0,($H210/$G210)*AE210,0)*(1-$K210)</f>
        <v>0</v>
      </c>
      <c r="AG210" s="1118">
        <f>VLOOKUP($E210,AE$442:AH$453,3,FALSE)*AE210*($K210)+IF($G210&lt;&gt;0,($I210/$G210)*AE210,0)*(1-$K210)</f>
        <v>0</v>
      </c>
      <c r="AH210" s="1118">
        <f>VLOOKUP($E210,AE$442:AH$453,4,FALSE)*AE210*($K210)+(AE210-AF210-AG210)*(1-$K210)</f>
        <v>45368831.838585906</v>
      </c>
      <c r="AI210" s="1074"/>
      <c r="AM210" s="1117">
        <f>$G210</f>
        <v>45368831.838585906</v>
      </c>
      <c r="AN210" s="1118">
        <f>VLOOKUP($E210,AM$442:AP$453,2,FALSE)*AM210*($K210)+IF($G210&lt;&gt;0,($H210/$G210)*AM210,0)*(1-$K210)</f>
        <v>0</v>
      </c>
      <c r="AO210" s="1118">
        <f>VLOOKUP($E210,AM$442:AP$453,3,FALSE)*AM210*($K210)+IF($G210&lt;&gt;0,($I210/$G210)*AM210,0)*(1-$K210)</f>
        <v>0</v>
      </c>
      <c r="AP210" s="1118">
        <f>VLOOKUP($E210,AM$442:AP$453,4,FALSE)*AM210*($K210)+(AM210-AN210-AO210)*(1-$K210)</f>
        <v>45368831.838585906</v>
      </c>
      <c r="AQ210" s="1074"/>
      <c r="AU210" s="1117">
        <f>$G210</f>
        <v>45368831.838585906</v>
      </c>
      <c r="AV210" s="1118">
        <f>VLOOKUP($E210,AU$442:AX$453,2,FALSE)*AU210*($K210)+IF($G210&lt;&gt;0,($H210/$G210)*AU210,0)*(1-$K210)</f>
        <v>0</v>
      </c>
      <c r="AW210" s="1118">
        <f>VLOOKUP($E210,AU$442:AX$453,3,FALSE)*AU210*($K210)+IF($G210&lt;&gt;0,($I210/$G210)*AU210,0)*(1-$K210)</f>
        <v>0</v>
      </c>
      <c r="AX210" s="1118">
        <f>VLOOKUP($E210,AU$442:AX$453,4,FALSE)*AU210*($K210)+(AU210-AV210-AW210)*(1-$K210)</f>
        <v>45368831.838585906</v>
      </c>
      <c r="AY210" s="1074"/>
      <c r="BC210" s="1117">
        <f>$G210</f>
        <v>45368831.838585906</v>
      </c>
      <c r="BD210" s="1118">
        <f>VLOOKUP($E210,BC$442:BF$453,2,FALSE)*BC210*($K210)+IF($G210&lt;&gt;0,($H210/$G210)*BC210,0)*(1-$K210)</f>
        <v>0</v>
      </c>
      <c r="BE210" s="1118">
        <f>VLOOKUP($E210,BC$442:BF$453,3,FALSE)*BC210*($K210)+IF($G210&lt;&gt;0,($I210/$G210)*BC210,0)*(1-$K210)</f>
        <v>0</v>
      </c>
      <c r="BF210" s="1118">
        <f>VLOOKUP($E210,BC$442:BF$453,4,FALSE)*BC210*($K210)+(BC210-BD210-BE210)*(1-$K210)</f>
        <v>45368831.838585906</v>
      </c>
      <c r="BG210" s="1074"/>
      <c r="BK210" s="1117">
        <f>$G210</f>
        <v>45368831.838585906</v>
      </c>
      <c r="BL210" s="1118">
        <f>VLOOKUP($E210,BK$442:BN$453,2,FALSE)*BK210*($K210)+IF($G210&lt;&gt;0,($H210/$G210)*BK210,0)*(1-$K210)</f>
        <v>0</v>
      </c>
      <c r="BM210" s="1118">
        <f>VLOOKUP($E210,BK$442:BN$453,3,FALSE)*BK210*($K210)+IF($G210&lt;&gt;0,($I210/$G210)*BK210,0)*(1-$K210)</f>
        <v>0</v>
      </c>
      <c r="BN210" s="1118">
        <f>VLOOKUP($E210,BK$442:BN$453,4,FALSE)*BK210*($K210)+(BK210-BL210-BM210)*(1-$K210)</f>
        <v>45368831.838585906</v>
      </c>
      <c r="BO210" s="1074"/>
      <c r="BS210" s="1117">
        <f>$G210</f>
        <v>45368831.838585906</v>
      </c>
      <c r="BT210" s="1118">
        <f>VLOOKUP($E210,BS$442:BV$453,2,FALSE)*BS210*($K210)+IF($G210&lt;&gt;0,($H210/$G210)*BS210,0)*(1-$K210)</f>
        <v>0</v>
      </c>
      <c r="BU210" s="1118">
        <f>VLOOKUP($E210,BS$442:BV$453,3,FALSE)*BS210*($K210)+IF($G210&lt;&gt;0,($I210/$G210)*BS210,0)*(1-$K210)</f>
        <v>0</v>
      </c>
      <c r="BV210" s="1118">
        <f>VLOOKUP($E210,BS$442:BV$453,4,FALSE)*BS210*($K210)+(BS210-BT210-BU210)*(1-$K210)</f>
        <v>45368831.838585906</v>
      </c>
      <c r="BW210" s="1074"/>
      <c r="CA210" s="1117">
        <f>$G210</f>
        <v>45368831.838585906</v>
      </c>
      <c r="CB210" s="1118">
        <f>VLOOKUP($E210,CA$442:CD$453,2,FALSE)*CA210*($K210)+IF($G210&lt;&gt;0,($H210/$G210)*CA210,0)*(1-$K210)</f>
        <v>0</v>
      </c>
      <c r="CC210" s="1118">
        <f>VLOOKUP($E210,CA$442:CD$453,3,FALSE)*CA210*($K210)+IF($G210&lt;&gt;0,($I210/$G210)*CA210,0)*(1-$K210)</f>
        <v>0</v>
      </c>
      <c r="CD210" s="1118">
        <f>VLOOKUP($E210,CA$442:CD$453,4,FALSE)*CA210*($K210)+(CA210-CB210-CC210)*(1-$K210)</f>
        <v>45368831.838585906</v>
      </c>
      <c r="CE210" s="1074"/>
      <c r="CI210" s="1117">
        <f>$G210</f>
        <v>45368831.838585906</v>
      </c>
      <c r="CJ210" s="1118">
        <f>VLOOKUP($E210,CI$442:CL$453,2,FALSE)*CI210*($K210)+IF($G210&lt;&gt;0,($H210/$G210)*CI210,0)*(1-$K210)</f>
        <v>0</v>
      </c>
      <c r="CK210" s="1118">
        <f>VLOOKUP($E210,CI$442:CL$453,3,FALSE)*CI210*($K210)+IF($G210&lt;&gt;0,($I210/$G210)*CI210,0)*(1-$K210)</f>
        <v>0</v>
      </c>
      <c r="CL210" s="1118">
        <f>VLOOKUP($E210,CI$442:CL$453,4,FALSE)*CI210*($K210)+(CI210-CJ210-CK210)*(1-$K210)</f>
        <v>45368831.838585906</v>
      </c>
      <c r="CM210" s="1074"/>
      <c r="CQ210" s="1117">
        <f>$G210</f>
        <v>45368831.838585906</v>
      </c>
      <c r="CR210" s="1118">
        <f>VLOOKUP($E210,CQ$442:CT$453,2,FALSE)*CQ210*($K210)+IF($G210&lt;&gt;0,($H210/$G210)*CQ210,0)*(1-$K210)</f>
        <v>0</v>
      </c>
      <c r="CS210" s="1118">
        <f>VLOOKUP($E210,CQ$442:CT$453,3,FALSE)*CQ210*($K210)+IF($G210&lt;&gt;0,($I210/$G210)*CQ210,0)*(1-$K210)</f>
        <v>0</v>
      </c>
      <c r="CT210" s="1118">
        <f>VLOOKUP($E210,CQ$442:CT$453,4,FALSE)*CQ210*($K210)+(CQ210-CR210-CS210)*(1-$K210)</f>
        <v>45368831.838585906</v>
      </c>
      <c r="CU210" s="1074"/>
      <c r="CY210" s="1117">
        <f>$G210</f>
        <v>45368831.838585906</v>
      </c>
      <c r="CZ210" s="1118">
        <f>VLOOKUP($E210,CY$442:DB$453,2,FALSE)*CY210*($K210)+IF($G210&lt;&gt;0,($H210/$G210)*CY210,0)*(1-$K210)</f>
        <v>0</v>
      </c>
      <c r="DA210" s="1118">
        <f>VLOOKUP($E210,CY$442:DB$453,3,FALSE)*CY210*($K210)+IF($G210&lt;&gt;0,($I210/$G210)*CY210,0)*(1-$K210)</f>
        <v>0</v>
      </c>
      <c r="DB210" s="1118">
        <f>VLOOKUP($E210,CY$442:DB$453,4,FALSE)*CY210*($K210)+(CY210-CZ210-DA210)*(1-$K210)</f>
        <v>45368831.838585906</v>
      </c>
      <c r="DC210" s="1074"/>
      <c r="DG210" s="1117">
        <f>$G210</f>
        <v>45368831.838585906</v>
      </c>
      <c r="DH210" s="1118">
        <f>VLOOKUP($E210,DG$442:DJ$453,2,FALSE)*DG210*($K210)+IF($G210&lt;&gt;0,($H210/$G210)*DG210,0)*(1-$K210)</f>
        <v>0</v>
      </c>
      <c r="DI210" s="1118">
        <f>VLOOKUP($E210,DG$442:DJ$453,3,FALSE)*DG210*($K210)+IF($G210&lt;&gt;0,($I210/$G210)*DG210,0)*(1-$K210)</f>
        <v>0</v>
      </c>
      <c r="DJ210" s="1118">
        <f>VLOOKUP($E210,DG$442:DJ$453,4,FALSE)*DG210*($K210)+(DG210-DH210-DI210)*(1-$K210)</f>
        <v>45368831.838585906</v>
      </c>
      <c r="DK210" s="1074"/>
      <c r="DO210" s="1117">
        <f>$G210</f>
        <v>45368831.838585906</v>
      </c>
      <c r="DP210" s="1118">
        <f>VLOOKUP($E210,DO$442:DR$453,2,FALSE)*DO210*($K210)+IF($G210&lt;&gt;0,($H210/$G210)*DO210,0)*(1-$K210)</f>
        <v>0</v>
      </c>
      <c r="DQ210" s="1118">
        <f>VLOOKUP($E210,DO$442:DR$453,3,FALSE)*DO210*($K210)+IF($G210&lt;&gt;0,($I210/$G210)*DO210,0)*(1-$K210)</f>
        <v>0</v>
      </c>
      <c r="DR210" s="1118">
        <f>VLOOKUP($E210,DO$442:DR$453,4,FALSE)*DO210*($K210)+(DO210-DP210-DQ210)*(1-$K210)</f>
        <v>45368831.838585906</v>
      </c>
      <c r="DS210" s="1074"/>
      <c r="DW210" s="1117">
        <f>$G210</f>
        <v>45368831.838585906</v>
      </c>
      <c r="DX210" s="1118">
        <f>VLOOKUP($E210,DW$442:DZ$453,2,FALSE)*DW210*($K210)+IF($G210&lt;&gt;0,($H210/$G210)*DW210,0)*(1-$K210)</f>
        <v>0</v>
      </c>
      <c r="DY210" s="1118">
        <f>VLOOKUP($E210,DW$442:DZ$453,3,FALSE)*DW210*($K210)+IF($G210&lt;&gt;0,($I210/$G210)*DW210,0)*(1-$K210)</f>
        <v>0</v>
      </c>
      <c r="DZ210" s="1118">
        <f>VLOOKUP($E210,DW$442:DZ$453,4,FALSE)*DW210*($K210)+(DW210-DX210-DY210)*(1-$K210)</f>
        <v>45368831.838585906</v>
      </c>
      <c r="EA210" s="1074"/>
      <c r="EE210" s="1117">
        <f>$G210</f>
        <v>45368831.838585906</v>
      </c>
      <c r="EF210" s="1118">
        <f>VLOOKUP($E210,EE$442:EH$453,2,FALSE)*EE210*($K210)+IF($G210&lt;&gt;0,($H210/$G210)*EE210,0)*(1-$K210)</f>
        <v>0</v>
      </c>
      <c r="EG210" s="1118">
        <f>VLOOKUP($E210,EE$442:EH$453,3,FALSE)*EE210*($K210)+IF($G210&lt;&gt;0,($I210/$G210)*EE210,0)*(1-$K210)</f>
        <v>0</v>
      </c>
      <c r="EH210" s="1118">
        <f>VLOOKUP($E210,EE$442:EH$453,4,FALSE)*EE210*($K210)+(EE210-EF210-EG210)*(1-$K210)</f>
        <v>45368831.838585906</v>
      </c>
      <c r="EI210" s="1074"/>
      <c r="EM210" s="1117">
        <f>$G210</f>
        <v>45368831.838585906</v>
      </c>
      <c r="EN210" s="1118">
        <f>VLOOKUP($E210,EM$442:EP$453,2,FALSE)*EM210*($K210)+IF($G210&lt;&gt;0,($H210/$G210)*EM210,0)*(1-$K210)</f>
        <v>0</v>
      </c>
      <c r="EO210" s="1118">
        <f>VLOOKUP($E210,EM$442:EP$453,3,FALSE)*EM210*($K210)+IF($G210&lt;&gt;0,($I210/$G210)*EM210,0)*(1-$K210)</f>
        <v>0</v>
      </c>
      <c r="EP210" s="1118">
        <f>VLOOKUP($E210,EM$442:EP$453,4,FALSE)*EM210*($K210)+(EM210-EN210-EO210)*(1-$K210)</f>
        <v>45368831.838585906</v>
      </c>
      <c r="EQ210" s="1074"/>
      <c r="EU210" s="1117">
        <f>$G210</f>
        <v>45368831.838585906</v>
      </c>
      <c r="EV210" s="1118">
        <f>VLOOKUP($E210,EU$442:EX$453,2,FALSE)*EU210*($K210)+IF($G210&lt;&gt;0,($H210/$G210)*EU210,0)*(1-$K210)</f>
        <v>0</v>
      </c>
      <c r="EW210" s="1118">
        <f>VLOOKUP($E210,EU$442:EX$453,3,FALSE)*EU210*($K210)+IF($G210&lt;&gt;0,($I210/$G210)*EU210,0)*(1-$K210)</f>
        <v>0</v>
      </c>
      <c r="EX210" s="1118">
        <f>VLOOKUP($E210,EU$442:EX$453,4,FALSE)*EU210*($K210)+(EU210-EV210-EW210)*(1-$K210)</f>
        <v>45368831.838585906</v>
      </c>
      <c r="EY210" s="1074"/>
      <c r="FC210" s="1117">
        <f>$G210</f>
        <v>45368831.838585906</v>
      </c>
      <c r="FD210" s="1118">
        <f>VLOOKUP($E210,FC$442:FF$453,2,FALSE)*FC210*($K210)+IF($G210&lt;&gt;0,($H210/$G210)*FC210,0)*(1-$K210)</f>
        <v>0</v>
      </c>
      <c r="FE210" s="1118">
        <f>VLOOKUP($E210,FC$442:FF$453,3,FALSE)*FC210*($K210)+IF($G210&lt;&gt;0,($I210/$G210)*FC210,0)*(1-$K210)</f>
        <v>0</v>
      </c>
      <c r="FF210" s="1118">
        <f>VLOOKUP($E210,FC$442:FF$453,4,FALSE)*FC210*($K210)+(FC210-FD210-FE210)*(1-$K210)</f>
        <v>45368831.838585906</v>
      </c>
      <c r="FG210" s="1074"/>
      <c r="FK210" s="1117">
        <f>$G210</f>
        <v>45368831.838585906</v>
      </c>
      <c r="FL210" s="1118">
        <f>VLOOKUP($E210,FK$442:FN$453,2,FALSE)*FK210*($K210)+IF($G210&lt;&gt;0,($H210/$G210)*FK210,0)*(1-$K210)</f>
        <v>0</v>
      </c>
      <c r="FM210" s="1118">
        <f>VLOOKUP($E210,FK$442:FN$453,3,FALSE)*FK210*($K210)+IF($G210&lt;&gt;0,($I210/$G210)*FK210,0)*(1-$K210)</f>
        <v>0</v>
      </c>
      <c r="FN210" s="1118">
        <f>VLOOKUP($E210,FK$442:FN$453,4,FALSE)*FK210*($K210)+(FK210-FL210-FM210)*(1-$K210)</f>
        <v>45368831.838585906</v>
      </c>
      <c r="FO210" s="1074"/>
    </row>
    <row r="211" spans="1:171" x14ac:dyDescent="0.25">
      <c r="A211" s="913"/>
      <c r="B211" s="914" t="s">
        <v>172</v>
      </c>
      <c r="C211" s="889" t="s">
        <v>72</v>
      </c>
      <c r="D211" s="889" t="s">
        <v>395</v>
      </c>
      <c r="E211" s="182" t="str">
        <f>'Sch 3 - Expenses'!E51</f>
        <v>DIST</v>
      </c>
      <c r="F211" s="890"/>
      <c r="G211" s="182">
        <f>'Sch 3 - Expenses'!G51</f>
        <v>0</v>
      </c>
      <c r="H211" s="182">
        <f>'Sch 3 - Expenses'!H51</f>
        <v>0</v>
      </c>
      <c r="I211" s="182">
        <f>'Sch 3 - Expenses'!I51</f>
        <v>0</v>
      </c>
      <c r="J211" s="183">
        <f>'Sch 3 - Expenses'!J51</f>
        <v>0</v>
      </c>
      <c r="K211" s="904">
        <f>IF($E211="DIRECT",0,1)</f>
        <v>1</v>
      </c>
      <c r="O211" s="1117">
        <f>$G211</f>
        <v>0</v>
      </c>
      <c r="P211" s="1118">
        <f>VLOOKUP($E211,O$442:R$453,2,FALSE)*O211*($K211)+IF($G211&lt;&gt;0,($H211/$G211)*O211,0)*(1-$K211)</f>
        <v>0</v>
      </c>
      <c r="Q211" s="1118">
        <f>VLOOKUP($E211,O$442:R$453,3,FALSE)*O211*($K211)+IF($G211&lt;&gt;0,($I211/$G211)*O211,0)*(1-$K211)</f>
        <v>0</v>
      </c>
      <c r="R211" s="1118">
        <f>VLOOKUP($E211,O$442:R$453,4,FALSE)*O211*($K211)+(O211-P211-Q211)*(1-$K211)</f>
        <v>0</v>
      </c>
      <c r="S211" s="1074"/>
      <c r="W211" s="1117">
        <f>$G211</f>
        <v>0</v>
      </c>
      <c r="X211" s="1118">
        <f>VLOOKUP($E211,W$442:Z$453,2,FALSE)*W211*($K211)+IF($G211&lt;&gt;0,($H211/$G211)*W211,0)*(1-$K211)</f>
        <v>0</v>
      </c>
      <c r="Y211" s="1118">
        <f>VLOOKUP($E211,W$442:Z$453,3,FALSE)*W211*($K211)+IF($G211&lt;&gt;0,($I211/$G211)*W211,0)*(1-$K211)</f>
        <v>0</v>
      </c>
      <c r="Z211" s="1118">
        <f>VLOOKUP($E211,W$442:Z$453,4,FALSE)*W211*($K211)+(W211-X211-Y211)*(1-$K211)</f>
        <v>0</v>
      </c>
      <c r="AA211" s="1074"/>
      <c r="AE211" s="1117">
        <f>$G211</f>
        <v>0</v>
      </c>
      <c r="AF211" s="1118">
        <f>VLOOKUP($E211,AE$442:AH$453,2,FALSE)*AE211*($K211)+IF($G211&lt;&gt;0,($H211/$G211)*AE211,0)*(1-$K211)</f>
        <v>0</v>
      </c>
      <c r="AG211" s="1118">
        <f>VLOOKUP($E211,AE$442:AH$453,3,FALSE)*AE211*($K211)+IF($G211&lt;&gt;0,($I211/$G211)*AE211,0)*(1-$K211)</f>
        <v>0</v>
      </c>
      <c r="AH211" s="1118">
        <f>VLOOKUP($E211,AE$442:AH$453,4,FALSE)*AE211*($K211)+(AE211-AF211-AG211)*(1-$K211)</f>
        <v>0</v>
      </c>
      <c r="AI211" s="1074"/>
      <c r="AM211" s="1117">
        <f>$G211</f>
        <v>0</v>
      </c>
      <c r="AN211" s="1118">
        <f>VLOOKUP($E211,AM$442:AP$453,2,FALSE)*AM211*($K211)+IF($G211&lt;&gt;0,($H211/$G211)*AM211,0)*(1-$K211)</f>
        <v>0</v>
      </c>
      <c r="AO211" s="1118">
        <f>VLOOKUP($E211,AM$442:AP$453,3,FALSE)*AM211*($K211)+IF($G211&lt;&gt;0,($I211/$G211)*AM211,0)*(1-$K211)</f>
        <v>0</v>
      </c>
      <c r="AP211" s="1118">
        <f>VLOOKUP($E211,AM$442:AP$453,4,FALSE)*AM211*($K211)+(AM211-AN211-AO211)*(1-$K211)</f>
        <v>0</v>
      </c>
      <c r="AQ211" s="1074"/>
      <c r="AU211" s="1117">
        <f>$G211</f>
        <v>0</v>
      </c>
      <c r="AV211" s="1118">
        <f>VLOOKUP($E211,AU$442:AX$453,2,FALSE)*AU211*($K211)+IF($G211&lt;&gt;0,($H211/$G211)*AU211,0)*(1-$K211)</f>
        <v>0</v>
      </c>
      <c r="AW211" s="1118">
        <f>VLOOKUP($E211,AU$442:AX$453,3,FALSE)*AU211*($K211)+IF($G211&lt;&gt;0,($I211/$G211)*AU211,0)*(1-$K211)</f>
        <v>0</v>
      </c>
      <c r="AX211" s="1118">
        <f>VLOOKUP($E211,AU$442:AX$453,4,FALSE)*AU211*($K211)+(AU211-AV211-AW211)*(1-$K211)</f>
        <v>0</v>
      </c>
      <c r="AY211" s="1074"/>
      <c r="BC211" s="1117">
        <f>$G211</f>
        <v>0</v>
      </c>
      <c r="BD211" s="1118">
        <f>VLOOKUP($E211,BC$442:BF$453,2,FALSE)*BC211*($K211)+IF($G211&lt;&gt;0,($H211/$G211)*BC211,0)*(1-$K211)</f>
        <v>0</v>
      </c>
      <c r="BE211" s="1118">
        <f>VLOOKUP($E211,BC$442:BF$453,3,FALSE)*BC211*($K211)+IF($G211&lt;&gt;0,($I211/$G211)*BC211,0)*(1-$K211)</f>
        <v>0</v>
      </c>
      <c r="BF211" s="1118">
        <f>VLOOKUP($E211,BC$442:BF$453,4,FALSE)*BC211*($K211)+(BC211-BD211-BE211)*(1-$K211)</f>
        <v>0</v>
      </c>
      <c r="BG211" s="1074"/>
      <c r="BK211" s="1117">
        <f>$G211</f>
        <v>0</v>
      </c>
      <c r="BL211" s="1118">
        <f>VLOOKUP($E211,BK$442:BN$453,2,FALSE)*BK211*($K211)+IF($G211&lt;&gt;0,($H211/$G211)*BK211,0)*(1-$K211)</f>
        <v>0</v>
      </c>
      <c r="BM211" s="1118">
        <f>VLOOKUP($E211,BK$442:BN$453,3,FALSE)*BK211*($K211)+IF($G211&lt;&gt;0,($I211/$G211)*BK211,0)*(1-$K211)</f>
        <v>0</v>
      </c>
      <c r="BN211" s="1118">
        <f>VLOOKUP($E211,BK$442:BN$453,4,FALSE)*BK211*($K211)+(BK211-BL211-BM211)*(1-$K211)</f>
        <v>0</v>
      </c>
      <c r="BO211" s="1074"/>
      <c r="BS211" s="1117">
        <f>$G211</f>
        <v>0</v>
      </c>
      <c r="BT211" s="1118">
        <f>VLOOKUP($E211,BS$442:BV$453,2,FALSE)*BS211*($K211)+IF($G211&lt;&gt;0,($H211/$G211)*BS211,0)*(1-$K211)</f>
        <v>0</v>
      </c>
      <c r="BU211" s="1118">
        <f>VLOOKUP($E211,BS$442:BV$453,3,FALSE)*BS211*($K211)+IF($G211&lt;&gt;0,($I211/$G211)*BS211,0)*(1-$K211)</f>
        <v>0</v>
      </c>
      <c r="BV211" s="1118">
        <f>VLOOKUP($E211,BS$442:BV$453,4,FALSE)*BS211*($K211)+(BS211-BT211-BU211)*(1-$K211)</f>
        <v>0</v>
      </c>
      <c r="BW211" s="1074"/>
      <c r="CA211" s="1117">
        <f>$G211</f>
        <v>0</v>
      </c>
      <c r="CB211" s="1118">
        <f>VLOOKUP($E211,CA$442:CD$453,2,FALSE)*CA211*($K211)+IF($G211&lt;&gt;0,($H211/$G211)*CA211,0)*(1-$K211)</f>
        <v>0</v>
      </c>
      <c r="CC211" s="1118">
        <f>VLOOKUP($E211,CA$442:CD$453,3,FALSE)*CA211*($K211)+IF($G211&lt;&gt;0,($I211/$G211)*CA211,0)*(1-$K211)</f>
        <v>0</v>
      </c>
      <c r="CD211" s="1118">
        <f>VLOOKUP($E211,CA$442:CD$453,4,FALSE)*CA211*($K211)+(CA211-CB211-CC211)*(1-$K211)</f>
        <v>0</v>
      </c>
      <c r="CE211" s="1074"/>
      <c r="CI211" s="1117">
        <f>$G211</f>
        <v>0</v>
      </c>
      <c r="CJ211" s="1118">
        <f>VLOOKUP($E211,CI$442:CL$453,2,FALSE)*CI211*($K211)+IF($G211&lt;&gt;0,($H211/$G211)*CI211,0)*(1-$K211)</f>
        <v>0</v>
      </c>
      <c r="CK211" s="1118">
        <f>VLOOKUP($E211,CI$442:CL$453,3,FALSE)*CI211*($K211)+IF($G211&lt;&gt;0,($I211/$G211)*CI211,0)*(1-$K211)</f>
        <v>0</v>
      </c>
      <c r="CL211" s="1118">
        <f>VLOOKUP($E211,CI$442:CL$453,4,FALSE)*CI211*($K211)+(CI211-CJ211-CK211)*(1-$K211)</f>
        <v>0</v>
      </c>
      <c r="CM211" s="1074"/>
      <c r="CQ211" s="1117">
        <f>$G211</f>
        <v>0</v>
      </c>
      <c r="CR211" s="1118">
        <f>VLOOKUP($E211,CQ$442:CT$453,2,FALSE)*CQ211*($K211)+IF($G211&lt;&gt;0,($H211/$G211)*CQ211,0)*(1-$K211)</f>
        <v>0</v>
      </c>
      <c r="CS211" s="1118">
        <f>VLOOKUP($E211,CQ$442:CT$453,3,FALSE)*CQ211*($K211)+IF($G211&lt;&gt;0,($I211/$G211)*CQ211,0)*(1-$K211)</f>
        <v>0</v>
      </c>
      <c r="CT211" s="1118">
        <f>VLOOKUP($E211,CQ$442:CT$453,4,FALSE)*CQ211*($K211)+(CQ211-CR211-CS211)*(1-$K211)</f>
        <v>0</v>
      </c>
      <c r="CU211" s="1074"/>
      <c r="CY211" s="1117">
        <f>$G211</f>
        <v>0</v>
      </c>
      <c r="CZ211" s="1118">
        <f>VLOOKUP($E211,CY$442:DB$453,2,FALSE)*CY211*($K211)+IF($G211&lt;&gt;0,($H211/$G211)*CY211,0)*(1-$K211)</f>
        <v>0</v>
      </c>
      <c r="DA211" s="1118">
        <f>VLOOKUP($E211,CY$442:DB$453,3,FALSE)*CY211*($K211)+IF($G211&lt;&gt;0,($I211/$G211)*CY211,0)*(1-$K211)</f>
        <v>0</v>
      </c>
      <c r="DB211" s="1118">
        <f>VLOOKUP($E211,CY$442:DB$453,4,FALSE)*CY211*($K211)+(CY211-CZ211-DA211)*(1-$K211)</f>
        <v>0</v>
      </c>
      <c r="DC211" s="1074"/>
      <c r="DG211" s="1117">
        <f>$G211</f>
        <v>0</v>
      </c>
      <c r="DH211" s="1118">
        <f>VLOOKUP($E211,DG$442:DJ$453,2,FALSE)*DG211*($K211)+IF($G211&lt;&gt;0,($H211/$G211)*DG211,0)*(1-$K211)</f>
        <v>0</v>
      </c>
      <c r="DI211" s="1118">
        <f>VLOOKUP($E211,DG$442:DJ$453,3,FALSE)*DG211*($K211)+IF($G211&lt;&gt;0,($I211/$G211)*DG211,0)*(1-$K211)</f>
        <v>0</v>
      </c>
      <c r="DJ211" s="1118">
        <f>VLOOKUP($E211,DG$442:DJ$453,4,FALSE)*DG211*($K211)+(DG211-DH211-DI211)*(1-$K211)</f>
        <v>0</v>
      </c>
      <c r="DK211" s="1074"/>
      <c r="DO211" s="1117">
        <f>$G211</f>
        <v>0</v>
      </c>
      <c r="DP211" s="1118">
        <f>VLOOKUP($E211,DO$442:DR$453,2,FALSE)*DO211*($K211)+IF($G211&lt;&gt;0,($H211/$G211)*DO211,0)*(1-$K211)</f>
        <v>0</v>
      </c>
      <c r="DQ211" s="1118">
        <f>VLOOKUP($E211,DO$442:DR$453,3,FALSE)*DO211*($K211)+IF($G211&lt;&gt;0,($I211/$G211)*DO211,0)*(1-$K211)</f>
        <v>0</v>
      </c>
      <c r="DR211" s="1118">
        <f>VLOOKUP($E211,DO$442:DR$453,4,FALSE)*DO211*($K211)+(DO211-DP211-DQ211)*(1-$K211)</f>
        <v>0</v>
      </c>
      <c r="DS211" s="1074"/>
      <c r="DW211" s="1117">
        <f>$G211</f>
        <v>0</v>
      </c>
      <c r="DX211" s="1118">
        <f>VLOOKUP($E211,DW$442:DZ$453,2,FALSE)*DW211*($K211)+IF($G211&lt;&gt;0,($H211/$G211)*DW211,0)*(1-$K211)</f>
        <v>0</v>
      </c>
      <c r="DY211" s="1118">
        <f>VLOOKUP($E211,DW$442:DZ$453,3,FALSE)*DW211*($K211)+IF($G211&lt;&gt;0,($I211/$G211)*DW211,0)*(1-$K211)</f>
        <v>0</v>
      </c>
      <c r="DZ211" s="1118">
        <f>VLOOKUP($E211,DW$442:DZ$453,4,FALSE)*DW211*($K211)+(DW211-DX211-DY211)*(1-$K211)</f>
        <v>0</v>
      </c>
      <c r="EA211" s="1074"/>
      <c r="EE211" s="1117">
        <f>$G211</f>
        <v>0</v>
      </c>
      <c r="EF211" s="1118">
        <f>VLOOKUP($E211,EE$442:EH$453,2,FALSE)*EE211*($K211)+IF($G211&lt;&gt;0,($H211/$G211)*EE211,0)*(1-$K211)</f>
        <v>0</v>
      </c>
      <c r="EG211" s="1118">
        <f>VLOOKUP($E211,EE$442:EH$453,3,FALSE)*EE211*($K211)+IF($G211&lt;&gt;0,($I211/$G211)*EE211,0)*(1-$K211)</f>
        <v>0</v>
      </c>
      <c r="EH211" s="1118">
        <f>VLOOKUP($E211,EE$442:EH$453,4,FALSE)*EE211*($K211)+(EE211-EF211-EG211)*(1-$K211)</f>
        <v>0</v>
      </c>
      <c r="EI211" s="1074"/>
      <c r="EM211" s="1117">
        <f>$G211</f>
        <v>0</v>
      </c>
      <c r="EN211" s="1118">
        <f>VLOOKUP($E211,EM$442:EP$453,2,FALSE)*EM211*($K211)+IF($G211&lt;&gt;0,($H211/$G211)*EM211,0)*(1-$K211)</f>
        <v>0</v>
      </c>
      <c r="EO211" s="1118">
        <f>VLOOKUP($E211,EM$442:EP$453,3,FALSE)*EM211*($K211)+IF($G211&lt;&gt;0,($I211/$G211)*EM211,0)*(1-$K211)</f>
        <v>0</v>
      </c>
      <c r="EP211" s="1118">
        <f>VLOOKUP($E211,EM$442:EP$453,4,FALSE)*EM211*($K211)+(EM211-EN211-EO211)*(1-$K211)</f>
        <v>0</v>
      </c>
      <c r="EQ211" s="1074"/>
      <c r="EU211" s="1117">
        <f>$G211</f>
        <v>0</v>
      </c>
      <c r="EV211" s="1118">
        <f>VLOOKUP($E211,EU$442:EX$453,2,FALSE)*EU211*($K211)+IF($G211&lt;&gt;0,($H211/$G211)*EU211,0)*(1-$K211)</f>
        <v>0</v>
      </c>
      <c r="EW211" s="1118">
        <f>VLOOKUP($E211,EU$442:EX$453,3,FALSE)*EU211*($K211)+IF($G211&lt;&gt;0,($I211/$G211)*EU211,0)*(1-$K211)</f>
        <v>0</v>
      </c>
      <c r="EX211" s="1118">
        <f>VLOOKUP($E211,EU$442:EX$453,4,FALSE)*EU211*($K211)+(EU211-EV211-EW211)*(1-$K211)</f>
        <v>0</v>
      </c>
      <c r="EY211" s="1074"/>
      <c r="FC211" s="1117">
        <f>$G211</f>
        <v>0</v>
      </c>
      <c r="FD211" s="1118">
        <f>VLOOKUP($E211,FC$442:FF$453,2,FALSE)*FC211*($K211)+IF($G211&lt;&gt;0,($H211/$G211)*FC211,0)*(1-$K211)</f>
        <v>0</v>
      </c>
      <c r="FE211" s="1118">
        <f>VLOOKUP($E211,FC$442:FF$453,3,FALSE)*FC211*($K211)+IF($G211&lt;&gt;0,($I211/$G211)*FC211,0)*(1-$K211)</f>
        <v>0</v>
      </c>
      <c r="FF211" s="1118">
        <f>VLOOKUP($E211,FC$442:FF$453,4,FALSE)*FC211*($K211)+(FC211-FD211-FE211)*(1-$K211)</f>
        <v>0</v>
      </c>
      <c r="FG211" s="1074"/>
      <c r="FK211" s="1117">
        <f>$G211</f>
        <v>0</v>
      </c>
      <c r="FL211" s="1118">
        <f>VLOOKUP($E211,FK$442:FN$453,2,FALSE)*FK211*($K211)+IF($G211&lt;&gt;0,($H211/$G211)*FK211,0)*(1-$K211)</f>
        <v>0</v>
      </c>
      <c r="FM211" s="1118">
        <f>VLOOKUP($E211,FK$442:FN$453,3,FALSE)*FK211*($K211)+IF($G211&lt;&gt;0,($I211/$G211)*FK211,0)*(1-$K211)</f>
        <v>0</v>
      </c>
      <c r="FN211" s="1118">
        <f>VLOOKUP($E211,FK$442:FN$453,4,FALSE)*FK211*($K211)+(FK211-FL211-FM211)*(1-$K211)</f>
        <v>0</v>
      </c>
      <c r="FO211" s="1074"/>
    </row>
    <row r="212" spans="1:171" x14ac:dyDescent="0.25">
      <c r="A212" s="913"/>
      <c r="B212" s="914" t="s">
        <v>627</v>
      </c>
      <c r="C212" s="889" t="s">
        <v>72</v>
      </c>
      <c r="D212" s="889">
        <v>908</v>
      </c>
      <c r="E212" s="182" t="str">
        <f>'Sch 3 - Expenses'!E52</f>
        <v>direct</v>
      </c>
      <c r="F212" s="890"/>
      <c r="G212" s="182">
        <f>'Sch 3 - Expenses'!G52</f>
        <v>95586516.719410077</v>
      </c>
      <c r="H212" s="182">
        <f>'Sch 3 - Expenses'!H52</f>
        <v>92632457.840870231</v>
      </c>
      <c r="I212" s="182">
        <f>'Sch 3 - Expenses'!I52</f>
        <v>0</v>
      </c>
      <c r="J212" s="183">
        <f>'Sch 3 - Expenses'!J52</f>
        <v>2954058.8785398346</v>
      </c>
      <c r="K212" s="904">
        <f>IF($E212="DIRECT",0,1)</f>
        <v>0</v>
      </c>
      <c r="O212" s="1117">
        <f>$G212</f>
        <v>95586516.719410077</v>
      </c>
      <c r="P212" s="1118">
        <f>VLOOKUP($E212,O$442:R$453,2,FALSE)*O212*($K212)+IF($G212&lt;&gt;0,($H212/$G212)*O212,0)*(1-$K212)</f>
        <v>92632457.840870231</v>
      </c>
      <c r="Q212" s="1118">
        <f>VLOOKUP($E212,O$442:R$453,3,FALSE)*O212*($K212)+IF($G212&lt;&gt;0,($I212/$G212)*O212,0)*(1-$K212)</f>
        <v>0</v>
      </c>
      <c r="R212" s="1118">
        <f>VLOOKUP($E212,O$442:R$453,4,FALSE)*O212*($K212)+(O212-P212-Q212)*(1-$K212)</f>
        <v>2954058.8785398453</v>
      </c>
      <c r="S212" s="1074"/>
      <c r="W212" s="1117">
        <f>$G212</f>
        <v>95586516.719410077</v>
      </c>
      <c r="X212" s="1118">
        <f>VLOOKUP($E212,W$442:Z$453,2,FALSE)*W212*($K212)+IF($G212&lt;&gt;0,($H212/$G212)*W212,0)*(1-$K212)</f>
        <v>92632457.840870231</v>
      </c>
      <c r="Y212" s="1118">
        <f>VLOOKUP($E212,W$442:Z$453,3,FALSE)*W212*($K212)+IF($G212&lt;&gt;0,($I212/$G212)*W212,0)*(1-$K212)</f>
        <v>0</v>
      </c>
      <c r="Z212" s="1118">
        <f>VLOOKUP($E212,W$442:Z$453,4,FALSE)*W212*($K212)+(W212-X212-Y212)*(1-$K212)</f>
        <v>2954058.8785398453</v>
      </c>
      <c r="AA212" s="1074"/>
      <c r="AE212" s="1117">
        <f>$G212</f>
        <v>95586516.719410077</v>
      </c>
      <c r="AF212" s="1118">
        <f>VLOOKUP($E212,AE$442:AH$453,2,FALSE)*AE212*($K212)+IF($G212&lt;&gt;0,($H212/$G212)*AE212,0)*(1-$K212)</f>
        <v>92632457.840870231</v>
      </c>
      <c r="AG212" s="1118">
        <f>VLOOKUP($E212,AE$442:AH$453,3,FALSE)*AE212*($K212)+IF($G212&lt;&gt;0,($I212/$G212)*AE212,0)*(1-$K212)</f>
        <v>0</v>
      </c>
      <c r="AH212" s="1118">
        <f>VLOOKUP($E212,AE$442:AH$453,4,FALSE)*AE212*($K212)+(AE212-AF212-AG212)*(1-$K212)</f>
        <v>2954058.8785398453</v>
      </c>
      <c r="AI212" s="1074"/>
      <c r="AM212" s="1117">
        <f>$G212</f>
        <v>95586516.719410077</v>
      </c>
      <c r="AN212" s="1118">
        <f>VLOOKUP($E212,AM$442:AP$453,2,FALSE)*AM212*($K212)+IF($G212&lt;&gt;0,($H212/$G212)*AM212,0)*(1-$K212)</f>
        <v>92632457.840870231</v>
      </c>
      <c r="AO212" s="1118">
        <f>VLOOKUP($E212,AM$442:AP$453,3,FALSE)*AM212*($K212)+IF($G212&lt;&gt;0,($I212/$G212)*AM212,0)*(1-$K212)</f>
        <v>0</v>
      </c>
      <c r="AP212" s="1118">
        <f>VLOOKUP($E212,AM$442:AP$453,4,FALSE)*AM212*($K212)+(AM212-AN212-AO212)*(1-$K212)</f>
        <v>2954058.8785398453</v>
      </c>
      <c r="AQ212" s="1074"/>
      <c r="AU212" s="1117">
        <f>$G212</f>
        <v>95586516.719410077</v>
      </c>
      <c r="AV212" s="1118">
        <f>VLOOKUP($E212,AU$442:AX$453,2,FALSE)*AU212*($K212)+IF($G212&lt;&gt;0,($H212/$G212)*AU212,0)*(1-$K212)</f>
        <v>92632457.840870231</v>
      </c>
      <c r="AW212" s="1118">
        <f>VLOOKUP($E212,AU$442:AX$453,3,FALSE)*AU212*($K212)+IF($G212&lt;&gt;0,($I212/$G212)*AU212,0)*(1-$K212)</f>
        <v>0</v>
      </c>
      <c r="AX212" s="1118">
        <f>VLOOKUP($E212,AU$442:AX$453,4,FALSE)*AU212*($K212)+(AU212-AV212-AW212)*(1-$K212)</f>
        <v>2954058.8785398453</v>
      </c>
      <c r="AY212" s="1074"/>
      <c r="BC212" s="1117">
        <f>$G212</f>
        <v>95586516.719410077</v>
      </c>
      <c r="BD212" s="1118">
        <f>VLOOKUP($E212,BC$442:BF$453,2,FALSE)*BC212*($K212)+IF($G212&lt;&gt;0,($H212/$G212)*BC212,0)*(1-$K212)</f>
        <v>92632457.840870231</v>
      </c>
      <c r="BE212" s="1118">
        <f>VLOOKUP($E212,BC$442:BF$453,3,FALSE)*BC212*($K212)+IF($G212&lt;&gt;0,($I212/$G212)*BC212,0)*(1-$K212)</f>
        <v>0</v>
      </c>
      <c r="BF212" s="1118">
        <f>VLOOKUP($E212,BC$442:BF$453,4,FALSE)*BC212*($K212)+(BC212-BD212-BE212)*(1-$K212)</f>
        <v>2954058.8785398453</v>
      </c>
      <c r="BG212" s="1074"/>
      <c r="BK212" s="1117">
        <f>$G212</f>
        <v>95586516.719410077</v>
      </c>
      <c r="BL212" s="1118">
        <f>VLOOKUP($E212,BK$442:BN$453,2,FALSE)*BK212*($K212)+IF($G212&lt;&gt;0,($H212/$G212)*BK212,0)*(1-$K212)</f>
        <v>92632457.840870231</v>
      </c>
      <c r="BM212" s="1118">
        <f>VLOOKUP($E212,BK$442:BN$453,3,FALSE)*BK212*($K212)+IF($G212&lt;&gt;0,($I212/$G212)*BK212,0)*(1-$K212)</f>
        <v>0</v>
      </c>
      <c r="BN212" s="1118">
        <f>VLOOKUP($E212,BK$442:BN$453,4,FALSE)*BK212*($K212)+(BK212-BL212-BM212)*(1-$K212)</f>
        <v>2954058.8785398453</v>
      </c>
      <c r="BO212" s="1074"/>
      <c r="BS212" s="1117">
        <f>$G212</f>
        <v>95586516.719410077</v>
      </c>
      <c r="BT212" s="1118">
        <f>VLOOKUP($E212,BS$442:BV$453,2,FALSE)*BS212*($K212)+IF($G212&lt;&gt;0,($H212/$G212)*BS212,0)*(1-$K212)</f>
        <v>92632457.840870231</v>
      </c>
      <c r="BU212" s="1118">
        <f>VLOOKUP($E212,BS$442:BV$453,3,FALSE)*BS212*($K212)+IF($G212&lt;&gt;0,($I212/$G212)*BS212,0)*(1-$K212)</f>
        <v>0</v>
      </c>
      <c r="BV212" s="1118">
        <f>VLOOKUP($E212,BS$442:BV$453,4,FALSE)*BS212*($K212)+(BS212-BT212-BU212)*(1-$K212)</f>
        <v>2954058.8785398453</v>
      </c>
      <c r="BW212" s="1074"/>
      <c r="CA212" s="1117">
        <f>$G212</f>
        <v>95586516.719410077</v>
      </c>
      <c r="CB212" s="1118">
        <f>VLOOKUP($E212,CA$442:CD$453,2,FALSE)*CA212*($K212)+IF($G212&lt;&gt;0,($H212/$G212)*CA212,0)*(1-$K212)</f>
        <v>92632457.840870231</v>
      </c>
      <c r="CC212" s="1118">
        <f>VLOOKUP($E212,CA$442:CD$453,3,FALSE)*CA212*($K212)+IF($G212&lt;&gt;0,($I212/$G212)*CA212,0)*(1-$K212)</f>
        <v>0</v>
      </c>
      <c r="CD212" s="1118">
        <f>VLOOKUP($E212,CA$442:CD$453,4,FALSE)*CA212*($K212)+(CA212-CB212-CC212)*(1-$K212)</f>
        <v>2954058.8785398453</v>
      </c>
      <c r="CE212" s="1074"/>
      <c r="CI212" s="1117">
        <f>$G212</f>
        <v>95586516.719410077</v>
      </c>
      <c r="CJ212" s="1118">
        <f>VLOOKUP($E212,CI$442:CL$453,2,FALSE)*CI212*($K212)+IF($G212&lt;&gt;0,($H212/$G212)*CI212,0)*(1-$K212)</f>
        <v>92632457.840870231</v>
      </c>
      <c r="CK212" s="1118">
        <f>VLOOKUP($E212,CI$442:CL$453,3,FALSE)*CI212*($K212)+IF($G212&lt;&gt;0,($I212/$G212)*CI212,0)*(1-$K212)</f>
        <v>0</v>
      </c>
      <c r="CL212" s="1118">
        <f>VLOOKUP($E212,CI$442:CL$453,4,FALSE)*CI212*($K212)+(CI212-CJ212-CK212)*(1-$K212)</f>
        <v>2954058.8785398453</v>
      </c>
      <c r="CM212" s="1074"/>
      <c r="CQ212" s="1117">
        <f>$G212</f>
        <v>95586516.719410077</v>
      </c>
      <c r="CR212" s="1118">
        <f>VLOOKUP($E212,CQ$442:CT$453,2,FALSE)*CQ212*($K212)+IF($G212&lt;&gt;0,($H212/$G212)*CQ212,0)*(1-$K212)</f>
        <v>92632457.840870231</v>
      </c>
      <c r="CS212" s="1118">
        <f>VLOOKUP($E212,CQ$442:CT$453,3,FALSE)*CQ212*($K212)+IF($G212&lt;&gt;0,($I212/$G212)*CQ212,0)*(1-$K212)</f>
        <v>0</v>
      </c>
      <c r="CT212" s="1118">
        <f>VLOOKUP($E212,CQ$442:CT$453,4,FALSE)*CQ212*($K212)+(CQ212-CR212-CS212)*(1-$K212)</f>
        <v>2954058.8785398453</v>
      </c>
      <c r="CU212" s="1074"/>
      <c r="CY212" s="1117">
        <f>$G212</f>
        <v>95586516.719410077</v>
      </c>
      <c r="CZ212" s="1118">
        <f>VLOOKUP($E212,CY$442:DB$453,2,FALSE)*CY212*($K212)+IF($G212&lt;&gt;0,($H212/$G212)*CY212,0)*(1-$K212)</f>
        <v>92632457.840870231</v>
      </c>
      <c r="DA212" s="1118">
        <f>VLOOKUP($E212,CY$442:DB$453,3,FALSE)*CY212*($K212)+IF($G212&lt;&gt;0,($I212/$G212)*CY212,0)*(1-$K212)</f>
        <v>0</v>
      </c>
      <c r="DB212" s="1118">
        <f>VLOOKUP($E212,CY$442:DB$453,4,FALSE)*CY212*($K212)+(CY212-CZ212-DA212)*(1-$K212)</f>
        <v>2954058.8785398453</v>
      </c>
      <c r="DC212" s="1074"/>
      <c r="DG212" s="1117">
        <f>$G212</f>
        <v>95586516.719410077</v>
      </c>
      <c r="DH212" s="1118">
        <f>VLOOKUP($E212,DG$442:DJ$453,2,FALSE)*DG212*($K212)+IF($G212&lt;&gt;0,($H212/$G212)*DG212,0)*(1-$K212)</f>
        <v>92632457.840870231</v>
      </c>
      <c r="DI212" s="1118">
        <f>VLOOKUP($E212,DG$442:DJ$453,3,FALSE)*DG212*($K212)+IF($G212&lt;&gt;0,($I212/$G212)*DG212,0)*(1-$K212)</f>
        <v>0</v>
      </c>
      <c r="DJ212" s="1118">
        <f>VLOOKUP($E212,DG$442:DJ$453,4,FALSE)*DG212*($K212)+(DG212-DH212-DI212)*(1-$K212)</f>
        <v>2954058.8785398453</v>
      </c>
      <c r="DK212" s="1074"/>
      <c r="DO212" s="1117">
        <f>$G212</f>
        <v>95586516.719410077</v>
      </c>
      <c r="DP212" s="1118">
        <f>VLOOKUP($E212,DO$442:DR$453,2,FALSE)*DO212*($K212)+IF($G212&lt;&gt;0,($H212/$G212)*DO212,0)*(1-$K212)</f>
        <v>92632457.840870231</v>
      </c>
      <c r="DQ212" s="1118">
        <f>VLOOKUP($E212,DO$442:DR$453,3,FALSE)*DO212*($K212)+IF($G212&lt;&gt;0,($I212/$G212)*DO212,0)*(1-$K212)</f>
        <v>0</v>
      </c>
      <c r="DR212" s="1118">
        <f>VLOOKUP($E212,DO$442:DR$453,4,FALSE)*DO212*($K212)+(DO212-DP212-DQ212)*(1-$K212)</f>
        <v>2954058.8785398453</v>
      </c>
      <c r="DS212" s="1074"/>
      <c r="DW212" s="1117">
        <f>$G212</f>
        <v>95586516.719410077</v>
      </c>
      <c r="DX212" s="1118">
        <f>VLOOKUP($E212,DW$442:DZ$453,2,FALSE)*DW212*($K212)+IF($G212&lt;&gt;0,($H212/$G212)*DW212,0)*(1-$K212)</f>
        <v>92632457.840870231</v>
      </c>
      <c r="DY212" s="1118">
        <f>VLOOKUP($E212,DW$442:DZ$453,3,FALSE)*DW212*($K212)+IF($G212&lt;&gt;0,($I212/$G212)*DW212,0)*(1-$K212)</f>
        <v>0</v>
      </c>
      <c r="DZ212" s="1118">
        <f>VLOOKUP($E212,DW$442:DZ$453,4,FALSE)*DW212*($K212)+(DW212-DX212-DY212)*(1-$K212)</f>
        <v>2954058.8785398453</v>
      </c>
      <c r="EA212" s="1074"/>
      <c r="EE212" s="1117">
        <f>$G212</f>
        <v>95586516.719410077</v>
      </c>
      <c r="EF212" s="1118">
        <f>VLOOKUP($E212,EE$442:EH$453,2,FALSE)*EE212*($K212)+IF($G212&lt;&gt;0,($H212/$G212)*EE212,0)*(1-$K212)</f>
        <v>92632457.840870231</v>
      </c>
      <c r="EG212" s="1118">
        <f>VLOOKUP($E212,EE$442:EH$453,3,FALSE)*EE212*($K212)+IF($G212&lt;&gt;0,($I212/$G212)*EE212,0)*(1-$K212)</f>
        <v>0</v>
      </c>
      <c r="EH212" s="1118">
        <f>VLOOKUP($E212,EE$442:EH$453,4,FALSE)*EE212*($K212)+(EE212-EF212-EG212)*(1-$K212)</f>
        <v>2954058.8785398453</v>
      </c>
      <c r="EI212" s="1074"/>
      <c r="EM212" s="1117">
        <f>$G212</f>
        <v>95586516.719410077</v>
      </c>
      <c r="EN212" s="1118">
        <f>VLOOKUP($E212,EM$442:EP$453,2,FALSE)*EM212*($K212)+IF($G212&lt;&gt;0,($H212/$G212)*EM212,0)*(1-$K212)</f>
        <v>92632457.840870231</v>
      </c>
      <c r="EO212" s="1118">
        <f>VLOOKUP($E212,EM$442:EP$453,3,FALSE)*EM212*($K212)+IF($G212&lt;&gt;0,($I212/$G212)*EM212,0)*(1-$K212)</f>
        <v>0</v>
      </c>
      <c r="EP212" s="1118">
        <f>VLOOKUP($E212,EM$442:EP$453,4,FALSE)*EM212*($K212)+(EM212-EN212-EO212)*(1-$K212)</f>
        <v>2954058.8785398453</v>
      </c>
      <c r="EQ212" s="1074"/>
      <c r="EU212" s="1117">
        <f>$G212</f>
        <v>95586516.719410077</v>
      </c>
      <c r="EV212" s="1118">
        <f>VLOOKUP($E212,EU$442:EX$453,2,FALSE)*EU212*($K212)+IF($G212&lt;&gt;0,($H212/$G212)*EU212,0)*(1-$K212)</f>
        <v>92632457.840870231</v>
      </c>
      <c r="EW212" s="1118">
        <f>VLOOKUP($E212,EU$442:EX$453,3,FALSE)*EU212*($K212)+IF($G212&lt;&gt;0,($I212/$G212)*EU212,0)*(1-$K212)</f>
        <v>0</v>
      </c>
      <c r="EX212" s="1118">
        <f>VLOOKUP($E212,EU$442:EX$453,4,FALSE)*EU212*($K212)+(EU212-EV212-EW212)*(1-$K212)</f>
        <v>2954058.8785398453</v>
      </c>
      <c r="EY212" s="1074"/>
      <c r="FC212" s="1117">
        <f>$G212</f>
        <v>95586516.719410077</v>
      </c>
      <c r="FD212" s="1118">
        <f>VLOOKUP($E212,FC$442:FF$453,2,FALSE)*FC212*($K212)+IF($G212&lt;&gt;0,($H212/$G212)*FC212,0)*(1-$K212)</f>
        <v>92632457.840870231</v>
      </c>
      <c r="FE212" s="1118">
        <f>VLOOKUP($E212,FC$442:FF$453,3,FALSE)*FC212*($K212)+IF($G212&lt;&gt;0,($I212/$G212)*FC212,0)*(1-$K212)</f>
        <v>0</v>
      </c>
      <c r="FF212" s="1118">
        <f>VLOOKUP($E212,FC$442:FF$453,4,FALSE)*FC212*($K212)+(FC212-FD212-FE212)*(1-$K212)</f>
        <v>2954058.8785398453</v>
      </c>
      <c r="FG212" s="1074"/>
      <c r="FK212" s="1117">
        <f>$G212</f>
        <v>95586516.719410077</v>
      </c>
      <c r="FL212" s="1118">
        <f>VLOOKUP($E212,FK$442:FN$453,2,FALSE)*FK212*($K212)+IF($G212&lt;&gt;0,($H212/$G212)*FK212,0)*(1-$K212)</f>
        <v>92632457.840870231</v>
      </c>
      <c r="FM212" s="1118">
        <f>VLOOKUP($E212,FK$442:FN$453,3,FALSE)*FK212*($K212)+IF($G212&lt;&gt;0,($I212/$G212)*FK212,0)*(1-$K212)</f>
        <v>0</v>
      </c>
      <c r="FN212" s="1118">
        <f>VLOOKUP($E212,FK$442:FN$453,4,FALSE)*FK212*($K212)+(FK212-FL212-FM212)*(1-$K212)</f>
        <v>2954058.8785398453</v>
      </c>
      <c r="FO212" s="1074"/>
    </row>
    <row r="213" spans="1:171" x14ac:dyDescent="0.25">
      <c r="A213" s="913"/>
      <c r="B213" s="914" t="s">
        <v>172</v>
      </c>
      <c r="C213" s="889" t="s">
        <v>72</v>
      </c>
      <c r="D213" s="889" t="s">
        <v>5710</v>
      </c>
      <c r="E213" s="182" t="str">
        <f>'Sch 3 - Expenses'!E53</f>
        <v>DIST</v>
      </c>
      <c r="F213" s="890"/>
      <c r="G213" s="182">
        <f>'Sch 3 - Expenses'!G53</f>
        <v>2369458.8863290716</v>
      </c>
      <c r="H213" s="182">
        <f>'Sch 3 - Expenses'!H53</f>
        <v>0</v>
      </c>
      <c r="I213" s="182">
        <f>'Sch 3 - Expenses'!I53</f>
        <v>0</v>
      </c>
      <c r="J213" s="183">
        <f>'Sch 3 - Expenses'!J53</f>
        <v>2369458.8863290716</v>
      </c>
      <c r="K213" s="904">
        <f>IF($E213="DIRECT",0,1)</f>
        <v>1</v>
      </c>
      <c r="O213" s="1117">
        <f>$G213</f>
        <v>2369458.8863290716</v>
      </c>
      <c r="P213" s="1118">
        <f>VLOOKUP($E213,O$442:R$453,2,FALSE)*O213*($K213)+IF($G213&lt;&gt;0,($H213/$G213)*O213,0)*(1-$K213)</f>
        <v>0</v>
      </c>
      <c r="Q213" s="1118">
        <f>VLOOKUP($E213,O$442:R$453,3,FALSE)*O213*($K213)+IF($G213&lt;&gt;0,($I213/$G213)*O213,0)*(1-$K213)</f>
        <v>0</v>
      </c>
      <c r="R213" s="1118">
        <f>VLOOKUP($E213,O$442:R$453,4,FALSE)*O213*($K213)+(O213-P213-Q213)*(1-$K213)</f>
        <v>2369458.8863290716</v>
      </c>
      <c r="S213" s="1074"/>
      <c r="W213" s="1117">
        <f>$G213</f>
        <v>2369458.8863290716</v>
      </c>
      <c r="X213" s="1118">
        <f>VLOOKUP($E213,W$442:Z$453,2,FALSE)*W213*($K213)+IF($G213&lt;&gt;0,($H213/$G213)*W213,0)*(1-$K213)</f>
        <v>0</v>
      </c>
      <c r="Y213" s="1118">
        <f>VLOOKUP($E213,W$442:Z$453,3,FALSE)*W213*($K213)+IF($G213&lt;&gt;0,($I213/$G213)*W213,0)*(1-$K213)</f>
        <v>0</v>
      </c>
      <c r="Z213" s="1118">
        <f>VLOOKUP($E213,W$442:Z$453,4,FALSE)*W213*($K213)+(W213-X213-Y213)*(1-$K213)</f>
        <v>2369458.8863290716</v>
      </c>
      <c r="AA213" s="1074"/>
      <c r="AE213" s="1117">
        <f>$G213</f>
        <v>2369458.8863290716</v>
      </c>
      <c r="AF213" s="1118">
        <f>VLOOKUP($E213,AE$442:AH$453,2,FALSE)*AE213*($K213)+IF($G213&lt;&gt;0,($H213/$G213)*AE213,0)*(1-$K213)</f>
        <v>0</v>
      </c>
      <c r="AG213" s="1118">
        <f>VLOOKUP($E213,AE$442:AH$453,3,FALSE)*AE213*($K213)+IF($G213&lt;&gt;0,($I213/$G213)*AE213,0)*(1-$K213)</f>
        <v>0</v>
      </c>
      <c r="AH213" s="1118">
        <f>VLOOKUP($E213,AE$442:AH$453,4,FALSE)*AE213*($K213)+(AE213-AF213-AG213)*(1-$K213)</f>
        <v>2369458.8863290716</v>
      </c>
      <c r="AI213" s="1074"/>
      <c r="AM213" s="1117">
        <f>$G213</f>
        <v>2369458.8863290716</v>
      </c>
      <c r="AN213" s="1118">
        <f>VLOOKUP($E213,AM$442:AP$453,2,FALSE)*AM213*($K213)+IF($G213&lt;&gt;0,($H213/$G213)*AM213,0)*(1-$K213)</f>
        <v>0</v>
      </c>
      <c r="AO213" s="1118">
        <f>VLOOKUP($E213,AM$442:AP$453,3,FALSE)*AM213*($K213)+IF($G213&lt;&gt;0,($I213/$G213)*AM213,0)*(1-$K213)</f>
        <v>0</v>
      </c>
      <c r="AP213" s="1118">
        <f>VLOOKUP($E213,AM$442:AP$453,4,FALSE)*AM213*($K213)+(AM213-AN213-AO213)*(1-$K213)</f>
        <v>2369458.8863290716</v>
      </c>
      <c r="AQ213" s="1074"/>
      <c r="AU213" s="1117">
        <f>$G213</f>
        <v>2369458.8863290716</v>
      </c>
      <c r="AV213" s="1118">
        <f>VLOOKUP($E213,AU$442:AX$453,2,FALSE)*AU213*($K213)+IF($G213&lt;&gt;0,($H213/$G213)*AU213,0)*(1-$K213)</f>
        <v>0</v>
      </c>
      <c r="AW213" s="1118">
        <f>VLOOKUP($E213,AU$442:AX$453,3,FALSE)*AU213*($K213)+IF($G213&lt;&gt;0,($I213/$G213)*AU213,0)*(1-$K213)</f>
        <v>0</v>
      </c>
      <c r="AX213" s="1118">
        <f>VLOOKUP($E213,AU$442:AX$453,4,FALSE)*AU213*($K213)+(AU213-AV213-AW213)*(1-$K213)</f>
        <v>2369458.8863290716</v>
      </c>
      <c r="AY213" s="1074"/>
      <c r="BC213" s="1117">
        <f>$G213</f>
        <v>2369458.8863290716</v>
      </c>
      <c r="BD213" s="1118">
        <f>VLOOKUP($E213,BC$442:BF$453,2,FALSE)*BC213*($K213)+IF($G213&lt;&gt;0,($H213/$G213)*BC213,0)*(1-$K213)</f>
        <v>0</v>
      </c>
      <c r="BE213" s="1118">
        <f>VLOOKUP($E213,BC$442:BF$453,3,FALSE)*BC213*($K213)+IF($G213&lt;&gt;0,($I213/$G213)*BC213,0)*(1-$K213)</f>
        <v>0</v>
      </c>
      <c r="BF213" s="1118">
        <f>VLOOKUP($E213,BC$442:BF$453,4,FALSE)*BC213*($K213)+(BC213-BD213-BE213)*(1-$K213)</f>
        <v>2369458.8863290716</v>
      </c>
      <c r="BG213" s="1074"/>
      <c r="BK213" s="1117">
        <f>$G213</f>
        <v>2369458.8863290716</v>
      </c>
      <c r="BL213" s="1118">
        <f>VLOOKUP($E213,BK$442:BN$453,2,FALSE)*BK213*($K213)+IF($G213&lt;&gt;0,($H213/$G213)*BK213,0)*(1-$K213)</f>
        <v>0</v>
      </c>
      <c r="BM213" s="1118">
        <f>VLOOKUP($E213,BK$442:BN$453,3,FALSE)*BK213*($K213)+IF($G213&lt;&gt;0,($I213/$G213)*BK213,0)*(1-$K213)</f>
        <v>0</v>
      </c>
      <c r="BN213" s="1118">
        <f>VLOOKUP($E213,BK$442:BN$453,4,FALSE)*BK213*($K213)+(BK213-BL213-BM213)*(1-$K213)</f>
        <v>2369458.8863290716</v>
      </c>
      <c r="BO213" s="1074"/>
      <c r="BS213" s="1117">
        <f>$G213</f>
        <v>2369458.8863290716</v>
      </c>
      <c r="BT213" s="1118">
        <f>VLOOKUP($E213,BS$442:BV$453,2,FALSE)*BS213*($K213)+IF($G213&lt;&gt;0,($H213/$G213)*BS213,0)*(1-$K213)</f>
        <v>0</v>
      </c>
      <c r="BU213" s="1118">
        <f>VLOOKUP($E213,BS$442:BV$453,3,FALSE)*BS213*($K213)+IF($G213&lt;&gt;0,($I213/$G213)*BS213,0)*(1-$K213)</f>
        <v>0</v>
      </c>
      <c r="BV213" s="1118">
        <f>VLOOKUP($E213,BS$442:BV$453,4,FALSE)*BS213*($K213)+(BS213-BT213-BU213)*(1-$K213)</f>
        <v>2369458.8863290716</v>
      </c>
      <c r="BW213" s="1074"/>
      <c r="CA213" s="1117">
        <f>$G213</f>
        <v>2369458.8863290716</v>
      </c>
      <c r="CB213" s="1118">
        <f>VLOOKUP($E213,CA$442:CD$453,2,FALSE)*CA213*($K213)+IF($G213&lt;&gt;0,($H213/$G213)*CA213,0)*(1-$K213)</f>
        <v>0</v>
      </c>
      <c r="CC213" s="1118">
        <f>VLOOKUP($E213,CA$442:CD$453,3,FALSE)*CA213*($K213)+IF($G213&lt;&gt;0,($I213/$G213)*CA213,0)*(1-$K213)</f>
        <v>0</v>
      </c>
      <c r="CD213" s="1118">
        <f>VLOOKUP($E213,CA$442:CD$453,4,FALSE)*CA213*($K213)+(CA213-CB213-CC213)*(1-$K213)</f>
        <v>2369458.8863290716</v>
      </c>
      <c r="CE213" s="1074"/>
      <c r="CI213" s="1117">
        <f>$G213</f>
        <v>2369458.8863290716</v>
      </c>
      <c r="CJ213" s="1118">
        <f>VLOOKUP($E213,CI$442:CL$453,2,FALSE)*CI213*($K213)+IF($G213&lt;&gt;0,($H213/$G213)*CI213,0)*(1-$K213)</f>
        <v>0</v>
      </c>
      <c r="CK213" s="1118">
        <f>VLOOKUP($E213,CI$442:CL$453,3,FALSE)*CI213*($K213)+IF($G213&lt;&gt;0,($I213/$G213)*CI213,0)*(1-$K213)</f>
        <v>0</v>
      </c>
      <c r="CL213" s="1118">
        <f>VLOOKUP($E213,CI$442:CL$453,4,FALSE)*CI213*($K213)+(CI213-CJ213-CK213)*(1-$K213)</f>
        <v>2369458.8863290716</v>
      </c>
      <c r="CM213" s="1074"/>
      <c r="CQ213" s="1117">
        <f>$G213</f>
        <v>2369458.8863290716</v>
      </c>
      <c r="CR213" s="1118">
        <f>VLOOKUP($E213,CQ$442:CT$453,2,FALSE)*CQ213*($K213)+IF($G213&lt;&gt;0,($H213/$G213)*CQ213,0)*(1-$K213)</f>
        <v>0</v>
      </c>
      <c r="CS213" s="1118">
        <f>VLOOKUP($E213,CQ$442:CT$453,3,FALSE)*CQ213*($K213)+IF($G213&lt;&gt;0,($I213/$G213)*CQ213,0)*(1-$K213)</f>
        <v>0</v>
      </c>
      <c r="CT213" s="1118">
        <f>VLOOKUP($E213,CQ$442:CT$453,4,FALSE)*CQ213*($K213)+(CQ213-CR213-CS213)*(1-$K213)</f>
        <v>2369458.8863290716</v>
      </c>
      <c r="CU213" s="1074"/>
      <c r="CY213" s="1117">
        <f>$G213</f>
        <v>2369458.8863290716</v>
      </c>
      <c r="CZ213" s="1118">
        <f>VLOOKUP($E213,CY$442:DB$453,2,FALSE)*CY213*($K213)+IF($G213&lt;&gt;0,($H213/$G213)*CY213,0)*(1-$K213)</f>
        <v>0</v>
      </c>
      <c r="DA213" s="1118">
        <f>VLOOKUP($E213,CY$442:DB$453,3,FALSE)*CY213*($K213)+IF($G213&lt;&gt;0,($I213/$G213)*CY213,0)*(1-$K213)</f>
        <v>0</v>
      </c>
      <c r="DB213" s="1118">
        <f>VLOOKUP($E213,CY$442:DB$453,4,FALSE)*CY213*($K213)+(CY213-CZ213-DA213)*(1-$K213)</f>
        <v>2369458.8863290716</v>
      </c>
      <c r="DC213" s="1074"/>
      <c r="DG213" s="1117">
        <f>$G213</f>
        <v>2369458.8863290716</v>
      </c>
      <c r="DH213" s="1118">
        <f>VLOOKUP($E213,DG$442:DJ$453,2,FALSE)*DG213*($K213)+IF($G213&lt;&gt;0,($H213/$G213)*DG213,0)*(1-$K213)</f>
        <v>0</v>
      </c>
      <c r="DI213" s="1118">
        <f>VLOOKUP($E213,DG$442:DJ$453,3,FALSE)*DG213*($K213)+IF($G213&lt;&gt;0,($I213/$G213)*DG213,0)*(1-$K213)</f>
        <v>0</v>
      </c>
      <c r="DJ213" s="1118">
        <f>VLOOKUP($E213,DG$442:DJ$453,4,FALSE)*DG213*($K213)+(DG213-DH213-DI213)*(1-$K213)</f>
        <v>2369458.8863290716</v>
      </c>
      <c r="DK213" s="1074"/>
      <c r="DO213" s="1117">
        <f>$G213</f>
        <v>2369458.8863290716</v>
      </c>
      <c r="DP213" s="1118">
        <f>VLOOKUP($E213,DO$442:DR$453,2,FALSE)*DO213*($K213)+IF($G213&lt;&gt;0,($H213/$G213)*DO213,0)*(1-$K213)</f>
        <v>0</v>
      </c>
      <c r="DQ213" s="1118">
        <f>VLOOKUP($E213,DO$442:DR$453,3,FALSE)*DO213*($K213)+IF($G213&lt;&gt;0,($I213/$G213)*DO213,0)*(1-$K213)</f>
        <v>0</v>
      </c>
      <c r="DR213" s="1118">
        <f>VLOOKUP($E213,DO$442:DR$453,4,FALSE)*DO213*($K213)+(DO213-DP213-DQ213)*(1-$K213)</f>
        <v>2369458.8863290716</v>
      </c>
      <c r="DS213" s="1074"/>
      <c r="DW213" s="1117">
        <f>$G213</f>
        <v>2369458.8863290716</v>
      </c>
      <c r="DX213" s="1118">
        <f>VLOOKUP($E213,DW$442:DZ$453,2,FALSE)*DW213*($K213)+IF($G213&lt;&gt;0,($H213/$G213)*DW213,0)*(1-$K213)</f>
        <v>0</v>
      </c>
      <c r="DY213" s="1118">
        <f>VLOOKUP($E213,DW$442:DZ$453,3,FALSE)*DW213*($K213)+IF($G213&lt;&gt;0,($I213/$G213)*DW213,0)*(1-$K213)</f>
        <v>0</v>
      </c>
      <c r="DZ213" s="1118">
        <f>VLOOKUP($E213,DW$442:DZ$453,4,FALSE)*DW213*($K213)+(DW213-DX213-DY213)*(1-$K213)</f>
        <v>2369458.8863290716</v>
      </c>
      <c r="EA213" s="1074"/>
      <c r="EE213" s="1117">
        <f>$G213</f>
        <v>2369458.8863290716</v>
      </c>
      <c r="EF213" s="1118">
        <f>VLOOKUP($E213,EE$442:EH$453,2,FALSE)*EE213*($K213)+IF($G213&lt;&gt;0,($H213/$G213)*EE213,0)*(1-$K213)</f>
        <v>0</v>
      </c>
      <c r="EG213" s="1118">
        <f>VLOOKUP($E213,EE$442:EH$453,3,FALSE)*EE213*($K213)+IF($G213&lt;&gt;0,($I213/$G213)*EE213,0)*(1-$K213)</f>
        <v>0</v>
      </c>
      <c r="EH213" s="1118">
        <f>VLOOKUP($E213,EE$442:EH$453,4,FALSE)*EE213*($K213)+(EE213-EF213-EG213)*(1-$K213)</f>
        <v>2369458.8863290716</v>
      </c>
      <c r="EI213" s="1074"/>
      <c r="EM213" s="1117">
        <f>$G213</f>
        <v>2369458.8863290716</v>
      </c>
      <c r="EN213" s="1118">
        <f>VLOOKUP($E213,EM$442:EP$453,2,FALSE)*EM213*($K213)+IF($G213&lt;&gt;0,($H213/$G213)*EM213,0)*(1-$K213)</f>
        <v>0</v>
      </c>
      <c r="EO213" s="1118">
        <f>VLOOKUP($E213,EM$442:EP$453,3,FALSE)*EM213*($K213)+IF($G213&lt;&gt;0,($I213/$G213)*EM213,0)*(1-$K213)</f>
        <v>0</v>
      </c>
      <c r="EP213" s="1118">
        <f>VLOOKUP($E213,EM$442:EP$453,4,FALSE)*EM213*($K213)+(EM213-EN213-EO213)*(1-$K213)</f>
        <v>2369458.8863290716</v>
      </c>
      <c r="EQ213" s="1074"/>
      <c r="EU213" s="1117">
        <f>$G213</f>
        <v>2369458.8863290716</v>
      </c>
      <c r="EV213" s="1118">
        <f>VLOOKUP($E213,EU$442:EX$453,2,FALSE)*EU213*($K213)+IF($G213&lt;&gt;0,($H213/$G213)*EU213,0)*(1-$K213)</f>
        <v>0</v>
      </c>
      <c r="EW213" s="1118">
        <f>VLOOKUP($E213,EU$442:EX$453,3,FALSE)*EU213*($K213)+IF($G213&lt;&gt;0,($I213/$G213)*EU213,0)*(1-$K213)</f>
        <v>0</v>
      </c>
      <c r="EX213" s="1118">
        <f>VLOOKUP($E213,EU$442:EX$453,4,FALSE)*EU213*($K213)+(EU213-EV213-EW213)*(1-$K213)</f>
        <v>2369458.8863290716</v>
      </c>
      <c r="EY213" s="1074"/>
      <c r="FC213" s="1117">
        <f>$G213</f>
        <v>2369458.8863290716</v>
      </c>
      <c r="FD213" s="1118">
        <f>VLOOKUP($E213,FC$442:FF$453,2,FALSE)*FC213*($K213)+IF($G213&lt;&gt;0,($H213/$G213)*FC213,0)*(1-$K213)</f>
        <v>0</v>
      </c>
      <c r="FE213" s="1118">
        <f>VLOOKUP($E213,FC$442:FF$453,3,FALSE)*FC213*($K213)+IF($G213&lt;&gt;0,($I213/$G213)*FC213,0)*(1-$K213)</f>
        <v>0</v>
      </c>
      <c r="FF213" s="1118">
        <f>VLOOKUP($E213,FC$442:FF$453,4,FALSE)*FC213*($K213)+(FC213-FD213-FE213)*(1-$K213)</f>
        <v>2369458.8863290716</v>
      </c>
      <c r="FG213" s="1074"/>
      <c r="FK213" s="1117">
        <f>$G213</f>
        <v>2369458.8863290716</v>
      </c>
      <c r="FL213" s="1118">
        <f>VLOOKUP($E213,FK$442:FN$453,2,FALSE)*FK213*($K213)+IF($G213&lt;&gt;0,($H213/$G213)*FK213,0)*(1-$K213)</f>
        <v>0</v>
      </c>
      <c r="FM213" s="1118">
        <f>VLOOKUP($E213,FK$442:FN$453,3,FALSE)*FK213*($K213)+IF($G213&lt;&gt;0,($I213/$G213)*FK213,0)*(1-$K213)</f>
        <v>0</v>
      </c>
      <c r="FN213" s="1118">
        <f>VLOOKUP($E213,FK$442:FN$453,4,FALSE)*FK213*($K213)+(FK213-FL213-FM213)*(1-$K213)</f>
        <v>2369458.8863290716</v>
      </c>
      <c r="FO213" s="1074"/>
    </row>
    <row r="214" spans="1:171" x14ac:dyDescent="0.25">
      <c r="A214" s="913"/>
      <c r="B214" s="914" t="s">
        <v>396</v>
      </c>
      <c r="C214" s="889" t="s">
        <v>72</v>
      </c>
      <c r="D214" s="889" t="s">
        <v>397</v>
      </c>
      <c r="E214" s="182" t="str">
        <f>'Sch 3 - Expenses'!E54</f>
        <v>DIST</v>
      </c>
      <c r="F214" s="890"/>
      <c r="G214" s="182">
        <f>'Sch 3 - Expenses'!G54</f>
        <v>0</v>
      </c>
      <c r="H214" s="182">
        <f>'Sch 3 - Expenses'!H54</f>
        <v>0</v>
      </c>
      <c r="I214" s="182">
        <f>'Sch 3 - Expenses'!I54</f>
        <v>0</v>
      </c>
      <c r="J214" s="183">
        <f>'Sch 3 - Expenses'!J54</f>
        <v>0</v>
      </c>
      <c r="K214" s="904">
        <f>IF($E214="DIRECT",0,1)</f>
        <v>1</v>
      </c>
      <c r="O214" s="1117">
        <f>$G214</f>
        <v>0</v>
      </c>
      <c r="P214" s="1118">
        <f>VLOOKUP($E214,O$442:R$453,2,FALSE)*O214*($K214)+IF($G214&lt;&gt;0,($H214/$G214)*O214,0)*(1-$K214)</f>
        <v>0</v>
      </c>
      <c r="Q214" s="1118">
        <f>VLOOKUP($E214,O$442:R$453,3,FALSE)*O214*($K214)+IF($G214&lt;&gt;0,($I214/$G214)*O214,0)*(1-$K214)</f>
        <v>0</v>
      </c>
      <c r="R214" s="1118">
        <f>VLOOKUP($E214,O$442:R$453,4,FALSE)*O214*($K214)+(O214-P214-Q214)*(1-$K214)</f>
        <v>0</v>
      </c>
      <c r="S214" s="1074"/>
      <c r="W214" s="1117">
        <f>$G214</f>
        <v>0</v>
      </c>
      <c r="X214" s="1118">
        <f>VLOOKUP($E214,W$442:Z$453,2,FALSE)*W214*($K214)+IF($G214&lt;&gt;0,($H214/$G214)*W214,0)*(1-$K214)</f>
        <v>0</v>
      </c>
      <c r="Y214" s="1118">
        <f>VLOOKUP($E214,W$442:Z$453,3,FALSE)*W214*($K214)+IF($G214&lt;&gt;0,($I214/$G214)*W214,0)*(1-$K214)</f>
        <v>0</v>
      </c>
      <c r="Z214" s="1118">
        <f>VLOOKUP($E214,W$442:Z$453,4,FALSE)*W214*($K214)+(W214-X214-Y214)*(1-$K214)</f>
        <v>0</v>
      </c>
      <c r="AA214" s="1074"/>
      <c r="AE214" s="1117">
        <f>$G214</f>
        <v>0</v>
      </c>
      <c r="AF214" s="1118">
        <f>VLOOKUP($E214,AE$442:AH$453,2,FALSE)*AE214*($K214)+IF($G214&lt;&gt;0,($H214/$G214)*AE214,0)*(1-$K214)</f>
        <v>0</v>
      </c>
      <c r="AG214" s="1118">
        <f>VLOOKUP($E214,AE$442:AH$453,3,FALSE)*AE214*($K214)+IF($G214&lt;&gt;0,($I214/$G214)*AE214,0)*(1-$K214)</f>
        <v>0</v>
      </c>
      <c r="AH214" s="1118">
        <f>VLOOKUP($E214,AE$442:AH$453,4,FALSE)*AE214*($K214)+(AE214-AF214-AG214)*(1-$K214)</f>
        <v>0</v>
      </c>
      <c r="AI214" s="1074"/>
      <c r="AM214" s="1117">
        <f>$G214</f>
        <v>0</v>
      </c>
      <c r="AN214" s="1118">
        <f>VLOOKUP($E214,AM$442:AP$453,2,FALSE)*AM214*($K214)+IF($G214&lt;&gt;0,($H214/$G214)*AM214,0)*(1-$K214)</f>
        <v>0</v>
      </c>
      <c r="AO214" s="1118">
        <f>VLOOKUP($E214,AM$442:AP$453,3,FALSE)*AM214*($K214)+IF($G214&lt;&gt;0,($I214/$G214)*AM214,0)*(1-$K214)</f>
        <v>0</v>
      </c>
      <c r="AP214" s="1118">
        <f>VLOOKUP($E214,AM$442:AP$453,4,FALSE)*AM214*($K214)+(AM214-AN214-AO214)*(1-$K214)</f>
        <v>0</v>
      </c>
      <c r="AQ214" s="1074"/>
      <c r="AU214" s="1117">
        <f>$G214</f>
        <v>0</v>
      </c>
      <c r="AV214" s="1118">
        <f>VLOOKUP($E214,AU$442:AX$453,2,FALSE)*AU214*($K214)+IF($G214&lt;&gt;0,($H214/$G214)*AU214,0)*(1-$K214)</f>
        <v>0</v>
      </c>
      <c r="AW214" s="1118">
        <f>VLOOKUP($E214,AU$442:AX$453,3,FALSE)*AU214*($K214)+IF($G214&lt;&gt;0,($I214/$G214)*AU214,0)*(1-$K214)</f>
        <v>0</v>
      </c>
      <c r="AX214" s="1118">
        <f>VLOOKUP($E214,AU$442:AX$453,4,FALSE)*AU214*($K214)+(AU214-AV214-AW214)*(1-$K214)</f>
        <v>0</v>
      </c>
      <c r="AY214" s="1074"/>
      <c r="BC214" s="1117">
        <f>$G214</f>
        <v>0</v>
      </c>
      <c r="BD214" s="1118">
        <f>VLOOKUP($E214,BC$442:BF$453,2,FALSE)*BC214*($K214)+IF($G214&lt;&gt;0,($H214/$G214)*BC214,0)*(1-$K214)</f>
        <v>0</v>
      </c>
      <c r="BE214" s="1118">
        <f>VLOOKUP($E214,BC$442:BF$453,3,FALSE)*BC214*($K214)+IF($G214&lt;&gt;0,($I214/$G214)*BC214,0)*(1-$K214)</f>
        <v>0</v>
      </c>
      <c r="BF214" s="1118">
        <f>VLOOKUP($E214,BC$442:BF$453,4,FALSE)*BC214*($K214)+(BC214-BD214-BE214)*(1-$K214)</f>
        <v>0</v>
      </c>
      <c r="BG214" s="1074"/>
      <c r="BK214" s="1117">
        <f>$G214</f>
        <v>0</v>
      </c>
      <c r="BL214" s="1118">
        <f>VLOOKUP($E214,BK$442:BN$453,2,FALSE)*BK214*($K214)+IF($G214&lt;&gt;0,($H214/$G214)*BK214,0)*(1-$K214)</f>
        <v>0</v>
      </c>
      <c r="BM214" s="1118">
        <f>VLOOKUP($E214,BK$442:BN$453,3,FALSE)*BK214*($K214)+IF($G214&lt;&gt;0,($I214/$G214)*BK214,0)*(1-$K214)</f>
        <v>0</v>
      </c>
      <c r="BN214" s="1118">
        <f>VLOOKUP($E214,BK$442:BN$453,4,FALSE)*BK214*($K214)+(BK214-BL214-BM214)*(1-$K214)</f>
        <v>0</v>
      </c>
      <c r="BO214" s="1074"/>
      <c r="BS214" s="1117">
        <f>$G214</f>
        <v>0</v>
      </c>
      <c r="BT214" s="1118">
        <f>VLOOKUP($E214,BS$442:BV$453,2,FALSE)*BS214*($K214)+IF($G214&lt;&gt;0,($H214/$G214)*BS214,0)*(1-$K214)</f>
        <v>0</v>
      </c>
      <c r="BU214" s="1118">
        <f>VLOOKUP($E214,BS$442:BV$453,3,FALSE)*BS214*($K214)+IF($G214&lt;&gt;0,($I214/$G214)*BS214,0)*(1-$K214)</f>
        <v>0</v>
      </c>
      <c r="BV214" s="1118">
        <f>VLOOKUP($E214,BS$442:BV$453,4,FALSE)*BS214*($K214)+(BS214-BT214-BU214)*(1-$K214)</f>
        <v>0</v>
      </c>
      <c r="BW214" s="1074"/>
      <c r="CA214" s="1117">
        <f>$G214</f>
        <v>0</v>
      </c>
      <c r="CB214" s="1118">
        <f>VLOOKUP($E214,CA$442:CD$453,2,FALSE)*CA214*($K214)+IF($G214&lt;&gt;0,($H214/$G214)*CA214,0)*(1-$K214)</f>
        <v>0</v>
      </c>
      <c r="CC214" s="1118">
        <f>VLOOKUP($E214,CA$442:CD$453,3,FALSE)*CA214*($K214)+IF($G214&lt;&gt;0,($I214/$G214)*CA214,0)*(1-$K214)</f>
        <v>0</v>
      </c>
      <c r="CD214" s="1118">
        <f>VLOOKUP($E214,CA$442:CD$453,4,FALSE)*CA214*($K214)+(CA214-CB214-CC214)*(1-$K214)</f>
        <v>0</v>
      </c>
      <c r="CE214" s="1074"/>
      <c r="CI214" s="1117">
        <f>$G214</f>
        <v>0</v>
      </c>
      <c r="CJ214" s="1118">
        <f>VLOOKUP($E214,CI$442:CL$453,2,FALSE)*CI214*($K214)+IF($G214&lt;&gt;0,($H214/$G214)*CI214,0)*(1-$K214)</f>
        <v>0</v>
      </c>
      <c r="CK214" s="1118">
        <f>VLOOKUP($E214,CI$442:CL$453,3,FALSE)*CI214*($K214)+IF($G214&lt;&gt;0,($I214/$G214)*CI214,0)*(1-$K214)</f>
        <v>0</v>
      </c>
      <c r="CL214" s="1118">
        <f>VLOOKUP($E214,CI$442:CL$453,4,FALSE)*CI214*($K214)+(CI214-CJ214-CK214)*(1-$K214)</f>
        <v>0</v>
      </c>
      <c r="CM214" s="1074"/>
      <c r="CQ214" s="1117">
        <f>$G214</f>
        <v>0</v>
      </c>
      <c r="CR214" s="1118">
        <f>VLOOKUP($E214,CQ$442:CT$453,2,FALSE)*CQ214*($K214)+IF($G214&lt;&gt;0,($H214/$G214)*CQ214,0)*(1-$K214)</f>
        <v>0</v>
      </c>
      <c r="CS214" s="1118">
        <f>VLOOKUP($E214,CQ$442:CT$453,3,FALSE)*CQ214*($K214)+IF($G214&lt;&gt;0,($I214/$G214)*CQ214,0)*(1-$K214)</f>
        <v>0</v>
      </c>
      <c r="CT214" s="1118">
        <f>VLOOKUP($E214,CQ$442:CT$453,4,FALSE)*CQ214*($K214)+(CQ214-CR214-CS214)*(1-$K214)</f>
        <v>0</v>
      </c>
      <c r="CU214" s="1074"/>
      <c r="CY214" s="1117">
        <f>$G214</f>
        <v>0</v>
      </c>
      <c r="CZ214" s="1118">
        <f>VLOOKUP($E214,CY$442:DB$453,2,FALSE)*CY214*($K214)+IF($G214&lt;&gt;0,($H214/$G214)*CY214,0)*(1-$K214)</f>
        <v>0</v>
      </c>
      <c r="DA214" s="1118">
        <f>VLOOKUP($E214,CY$442:DB$453,3,FALSE)*CY214*($K214)+IF($G214&lt;&gt;0,($I214/$G214)*CY214,0)*(1-$K214)</f>
        <v>0</v>
      </c>
      <c r="DB214" s="1118">
        <f>VLOOKUP($E214,CY$442:DB$453,4,FALSE)*CY214*($K214)+(CY214-CZ214-DA214)*(1-$K214)</f>
        <v>0</v>
      </c>
      <c r="DC214" s="1074"/>
      <c r="DG214" s="1117">
        <f>$G214</f>
        <v>0</v>
      </c>
      <c r="DH214" s="1118">
        <f>VLOOKUP($E214,DG$442:DJ$453,2,FALSE)*DG214*($K214)+IF($G214&lt;&gt;0,($H214/$G214)*DG214,0)*(1-$K214)</f>
        <v>0</v>
      </c>
      <c r="DI214" s="1118">
        <f>VLOOKUP($E214,DG$442:DJ$453,3,FALSE)*DG214*($K214)+IF($G214&lt;&gt;0,($I214/$G214)*DG214,0)*(1-$K214)</f>
        <v>0</v>
      </c>
      <c r="DJ214" s="1118">
        <f>VLOOKUP($E214,DG$442:DJ$453,4,FALSE)*DG214*($K214)+(DG214-DH214-DI214)*(1-$K214)</f>
        <v>0</v>
      </c>
      <c r="DK214" s="1074"/>
      <c r="DO214" s="1117">
        <f>$G214</f>
        <v>0</v>
      </c>
      <c r="DP214" s="1118">
        <f>VLOOKUP($E214,DO$442:DR$453,2,FALSE)*DO214*($K214)+IF($G214&lt;&gt;0,($H214/$G214)*DO214,0)*(1-$K214)</f>
        <v>0</v>
      </c>
      <c r="DQ214" s="1118">
        <f>VLOOKUP($E214,DO$442:DR$453,3,FALSE)*DO214*($K214)+IF($G214&lt;&gt;0,($I214/$G214)*DO214,0)*(1-$K214)</f>
        <v>0</v>
      </c>
      <c r="DR214" s="1118">
        <f>VLOOKUP($E214,DO$442:DR$453,4,FALSE)*DO214*($K214)+(DO214-DP214-DQ214)*(1-$K214)</f>
        <v>0</v>
      </c>
      <c r="DS214" s="1074"/>
      <c r="DW214" s="1117">
        <f>$G214</f>
        <v>0</v>
      </c>
      <c r="DX214" s="1118">
        <f>VLOOKUP($E214,DW$442:DZ$453,2,FALSE)*DW214*($K214)+IF($G214&lt;&gt;0,($H214/$G214)*DW214,0)*(1-$K214)</f>
        <v>0</v>
      </c>
      <c r="DY214" s="1118">
        <f>VLOOKUP($E214,DW$442:DZ$453,3,FALSE)*DW214*($K214)+IF($G214&lt;&gt;0,($I214/$G214)*DW214,0)*(1-$K214)</f>
        <v>0</v>
      </c>
      <c r="DZ214" s="1118">
        <f>VLOOKUP($E214,DW$442:DZ$453,4,FALSE)*DW214*($K214)+(DW214-DX214-DY214)*(1-$K214)</f>
        <v>0</v>
      </c>
      <c r="EA214" s="1074"/>
      <c r="EE214" s="1117">
        <f>$G214</f>
        <v>0</v>
      </c>
      <c r="EF214" s="1118">
        <f>VLOOKUP($E214,EE$442:EH$453,2,FALSE)*EE214*($K214)+IF($G214&lt;&gt;0,($H214/$G214)*EE214,0)*(1-$K214)</f>
        <v>0</v>
      </c>
      <c r="EG214" s="1118">
        <f>VLOOKUP($E214,EE$442:EH$453,3,FALSE)*EE214*($K214)+IF($G214&lt;&gt;0,($I214/$G214)*EE214,0)*(1-$K214)</f>
        <v>0</v>
      </c>
      <c r="EH214" s="1118">
        <f>VLOOKUP($E214,EE$442:EH$453,4,FALSE)*EE214*($K214)+(EE214-EF214-EG214)*(1-$K214)</f>
        <v>0</v>
      </c>
      <c r="EI214" s="1074"/>
      <c r="EM214" s="1117">
        <f>$G214</f>
        <v>0</v>
      </c>
      <c r="EN214" s="1118">
        <f>VLOOKUP($E214,EM$442:EP$453,2,FALSE)*EM214*($K214)+IF($G214&lt;&gt;0,($H214/$G214)*EM214,0)*(1-$K214)</f>
        <v>0</v>
      </c>
      <c r="EO214" s="1118">
        <f>VLOOKUP($E214,EM$442:EP$453,3,FALSE)*EM214*($K214)+IF($G214&lt;&gt;0,($I214/$G214)*EM214,0)*(1-$K214)</f>
        <v>0</v>
      </c>
      <c r="EP214" s="1118">
        <f>VLOOKUP($E214,EM$442:EP$453,4,FALSE)*EM214*($K214)+(EM214-EN214-EO214)*(1-$K214)</f>
        <v>0</v>
      </c>
      <c r="EQ214" s="1074"/>
      <c r="EU214" s="1117">
        <f>$G214</f>
        <v>0</v>
      </c>
      <c r="EV214" s="1118">
        <f>VLOOKUP($E214,EU$442:EX$453,2,FALSE)*EU214*($K214)+IF($G214&lt;&gt;0,($H214/$G214)*EU214,0)*(1-$K214)</f>
        <v>0</v>
      </c>
      <c r="EW214" s="1118">
        <f>VLOOKUP($E214,EU$442:EX$453,3,FALSE)*EU214*($K214)+IF($G214&lt;&gt;0,($I214/$G214)*EU214,0)*(1-$K214)</f>
        <v>0</v>
      </c>
      <c r="EX214" s="1118">
        <f>VLOOKUP($E214,EU$442:EX$453,4,FALSE)*EU214*($K214)+(EU214-EV214-EW214)*(1-$K214)</f>
        <v>0</v>
      </c>
      <c r="EY214" s="1074"/>
      <c r="FC214" s="1117">
        <f>$G214</f>
        <v>0</v>
      </c>
      <c r="FD214" s="1118">
        <f>VLOOKUP($E214,FC$442:FF$453,2,FALSE)*FC214*($K214)+IF($G214&lt;&gt;0,($H214/$G214)*FC214,0)*(1-$K214)</f>
        <v>0</v>
      </c>
      <c r="FE214" s="1118">
        <f>VLOOKUP($E214,FC$442:FF$453,3,FALSE)*FC214*($K214)+IF($G214&lt;&gt;0,($I214/$G214)*FC214,0)*(1-$K214)</f>
        <v>0</v>
      </c>
      <c r="FF214" s="1118">
        <f>VLOOKUP($E214,FC$442:FF$453,4,FALSE)*FC214*($K214)+(FC214-FD214-FE214)*(1-$K214)</f>
        <v>0</v>
      </c>
      <c r="FG214" s="1074"/>
      <c r="FK214" s="1117">
        <f>$G214</f>
        <v>0</v>
      </c>
      <c r="FL214" s="1118">
        <f>VLOOKUP($E214,FK$442:FN$453,2,FALSE)*FK214*($K214)+IF($G214&lt;&gt;0,($H214/$G214)*FK214,0)*(1-$K214)</f>
        <v>0</v>
      </c>
      <c r="FM214" s="1118">
        <f>VLOOKUP($E214,FK$442:FN$453,3,FALSE)*FK214*($K214)+IF($G214&lt;&gt;0,($I214/$G214)*FK214,0)*(1-$K214)</f>
        <v>0</v>
      </c>
      <c r="FN214" s="1118">
        <f>VLOOKUP($E214,FK$442:FN$453,4,FALSE)*FK214*($K214)+(FK214-FL214-FM214)*(1-$K214)</f>
        <v>0</v>
      </c>
      <c r="FO214" s="1074"/>
    </row>
    <row r="215" spans="1:171" x14ac:dyDescent="0.25">
      <c r="A215" s="163" t="s">
        <v>490</v>
      </c>
      <c r="B215" s="10"/>
      <c r="C215" s="915"/>
      <c r="D215" s="916"/>
      <c r="E215" s="916"/>
      <c r="F215" s="917"/>
      <c r="G215" s="924">
        <f>SUM(G210:G214)</f>
        <v>143324807.44432506</v>
      </c>
      <c r="H215" s="924">
        <f>SUM(H210:H214)</f>
        <v>92632457.840870231</v>
      </c>
      <c r="I215" s="924">
        <f>SUM(I210:I214)</f>
        <v>0</v>
      </c>
      <c r="J215" s="1391">
        <f>SUM(J210:J214)</f>
        <v>50692349.603454813</v>
      </c>
      <c r="K215" s="904"/>
      <c r="O215" s="1137">
        <f>SUM(O210:O214)</f>
        <v>143324807.44432506</v>
      </c>
      <c r="P215" s="1137">
        <f>SUM(P210:P214)</f>
        <v>92632457.840870231</v>
      </c>
      <c r="Q215" s="1137">
        <f>SUM(Q210:Q214)</f>
        <v>0</v>
      </c>
      <c r="R215" s="1137">
        <f>SUM(R210:R214)</f>
        <v>50692349.603454821</v>
      </c>
      <c r="S215" s="1074"/>
      <c r="W215" s="1137">
        <f>SUM(W210:W214)</f>
        <v>143324807.44432506</v>
      </c>
      <c r="X215" s="1137">
        <f>SUM(X210:X214)</f>
        <v>92632457.840870231</v>
      </c>
      <c r="Y215" s="1137">
        <f>SUM(Y210:Y214)</f>
        <v>0</v>
      </c>
      <c r="Z215" s="1137">
        <f>SUM(Z210:Z214)</f>
        <v>50692349.603454821</v>
      </c>
      <c r="AA215" s="1074"/>
      <c r="AE215" s="1137">
        <f>SUM(AE210:AE214)</f>
        <v>143324807.44432506</v>
      </c>
      <c r="AF215" s="1137">
        <f>SUM(AF210:AF214)</f>
        <v>92632457.840870231</v>
      </c>
      <c r="AG215" s="1137">
        <f>SUM(AG210:AG214)</f>
        <v>0</v>
      </c>
      <c r="AH215" s="1137">
        <f>SUM(AH210:AH214)</f>
        <v>50692349.603454821</v>
      </c>
      <c r="AI215" s="1074"/>
      <c r="AM215" s="1137">
        <f>SUM(AM210:AM214)</f>
        <v>143324807.44432506</v>
      </c>
      <c r="AN215" s="1137">
        <f>SUM(AN210:AN214)</f>
        <v>92632457.840870231</v>
      </c>
      <c r="AO215" s="1137">
        <f>SUM(AO210:AO214)</f>
        <v>0</v>
      </c>
      <c r="AP215" s="1137">
        <f>SUM(AP210:AP214)</f>
        <v>50692349.603454821</v>
      </c>
      <c r="AQ215" s="1074"/>
      <c r="AU215" s="1137">
        <f>SUM(AU210:AU214)</f>
        <v>143324807.44432506</v>
      </c>
      <c r="AV215" s="1137">
        <f>SUM(AV210:AV214)</f>
        <v>92632457.840870231</v>
      </c>
      <c r="AW215" s="1137">
        <f>SUM(AW210:AW214)</f>
        <v>0</v>
      </c>
      <c r="AX215" s="1137">
        <f>SUM(AX210:AX214)</f>
        <v>50692349.603454821</v>
      </c>
      <c r="AY215" s="1074"/>
      <c r="BC215" s="1137">
        <f>SUM(BC210:BC214)</f>
        <v>143324807.44432506</v>
      </c>
      <c r="BD215" s="1137">
        <f>SUM(BD210:BD214)</f>
        <v>92632457.840870231</v>
      </c>
      <c r="BE215" s="1137">
        <f>SUM(BE210:BE214)</f>
        <v>0</v>
      </c>
      <c r="BF215" s="1137">
        <f>SUM(BF210:BF214)</f>
        <v>50692349.603454821</v>
      </c>
      <c r="BG215" s="1074"/>
      <c r="BK215" s="1137">
        <f>SUM(BK210:BK214)</f>
        <v>143324807.44432506</v>
      </c>
      <c r="BL215" s="1137">
        <f>SUM(BL210:BL214)</f>
        <v>92632457.840870231</v>
      </c>
      <c r="BM215" s="1137">
        <f>SUM(BM210:BM214)</f>
        <v>0</v>
      </c>
      <c r="BN215" s="1137">
        <f>SUM(BN210:BN214)</f>
        <v>50692349.603454821</v>
      </c>
      <c r="BO215" s="1074"/>
      <c r="BS215" s="1137">
        <f>SUM(BS210:BS214)</f>
        <v>143324807.44432506</v>
      </c>
      <c r="BT215" s="1137">
        <f>SUM(BT210:BT214)</f>
        <v>92632457.840870231</v>
      </c>
      <c r="BU215" s="1137">
        <f>SUM(BU210:BU214)</f>
        <v>0</v>
      </c>
      <c r="BV215" s="1137">
        <f>SUM(BV210:BV214)</f>
        <v>50692349.603454821</v>
      </c>
      <c r="BW215" s="1074"/>
      <c r="CA215" s="1137">
        <f>SUM(CA210:CA214)</f>
        <v>143324807.44432506</v>
      </c>
      <c r="CB215" s="1137">
        <f>SUM(CB210:CB214)</f>
        <v>92632457.840870231</v>
      </c>
      <c r="CC215" s="1137">
        <f>SUM(CC210:CC214)</f>
        <v>0</v>
      </c>
      <c r="CD215" s="1137">
        <f>SUM(CD210:CD214)</f>
        <v>50692349.603454821</v>
      </c>
      <c r="CE215" s="1074"/>
      <c r="CI215" s="1137">
        <f>SUM(CI210:CI214)</f>
        <v>143324807.44432506</v>
      </c>
      <c r="CJ215" s="1137">
        <f>SUM(CJ210:CJ214)</f>
        <v>92632457.840870231</v>
      </c>
      <c r="CK215" s="1137">
        <f>SUM(CK210:CK214)</f>
        <v>0</v>
      </c>
      <c r="CL215" s="1137">
        <f>SUM(CL210:CL214)</f>
        <v>50692349.603454821</v>
      </c>
      <c r="CM215" s="1074"/>
      <c r="CQ215" s="1137">
        <f>SUM(CQ210:CQ214)</f>
        <v>143324807.44432506</v>
      </c>
      <c r="CR215" s="1137">
        <f>SUM(CR210:CR214)</f>
        <v>92632457.840870231</v>
      </c>
      <c r="CS215" s="1137">
        <f>SUM(CS210:CS214)</f>
        <v>0</v>
      </c>
      <c r="CT215" s="1137">
        <f>SUM(CT210:CT214)</f>
        <v>50692349.603454821</v>
      </c>
      <c r="CU215" s="1074"/>
      <c r="CY215" s="1137">
        <f>SUM(CY210:CY214)</f>
        <v>143324807.44432506</v>
      </c>
      <c r="CZ215" s="1137">
        <f>SUM(CZ210:CZ214)</f>
        <v>92632457.840870231</v>
      </c>
      <c r="DA215" s="1137">
        <f>SUM(DA210:DA214)</f>
        <v>0</v>
      </c>
      <c r="DB215" s="1137">
        <f>SUM(DB210:DB214)</f>
        <v>50692349.603454821</v>
      </c>
      <c r="DC215" s="1074"/>
      <c r="DG215" s="1137">
        <f>SUM(DG210:DG214)</f>
        <v>143324807.44432506</v>
      </c>
      <c r="DH215" s="1137">
        <f>SUM(DH210:DH214)</f>
        <v>92632457.840870231</v>
      </c>
      <c r="DI215" s="1137">
        <f>SUM(DI210:DI214)</f>
        <v>0</v>
      </c>
      <c r="DJ215" s="1137">
        <f>SUM(DJ210:DJ214)</f>
        <v>50692349.603454821</v>
      </c>
      <c r="DK215" s="1074"/>
      <c r="DO215" s="1137">
        <f>SUM(DO210:DO214)</f>
        <v>143324807.44432506</v>
      </c>
      <c r="DP215" s="1137">
        <f>SUM(DP210:DP214)</f>
        <v>92632457.840870231</v>
      </c>
      <c r="DQ215" s="1137">
        <f>SUM(DQ210:DQ214)</f>
        <v>0</v>
      </c>
      <c r="DR215" s="1137">
        <f>SUM(DR210:DR214)</f>
        <v>50692349.603454821</v>
      </c>
      <c r="DS215" s="1074"/>
      <c r="DW215" s="1137">
        <f>SUM(DW210:DW214)</f>
        <v>143324807.44432506</v>
      </c>
      <c r="DX215" s="1137">
        <f>SUM(DX210:DX214)</f>
        <v>92632457.840870231</v>
      </c>
      <c r="DY215" s="1137">
        <f>SUM(DY210:DY214)</f>
        <v>0</v>
      </c>
      <c r="DZ215" s="1137">
        <f>SUM(DZ210:DZ214)</f>
        <v>50692349.603454821</v>
      </c>
      <c r="EA215" s="1074"/>
      <c r="EE215" s="1137">
        <f>SUM(EE210:EE214)</f>
        <v>143324807.44432506</v>
      </c>
      <c r="EF215" s="1137">
        <f>SUM(EF210:EF214)</f>
        <v>92632457.840870231</v>
      </c>
      <c r="EG215" s="1137">
        <f>SUM(EG210:EG214)</f>
        <v>0</v>
      </c>
      <c r="EH215" s="1137">
        <f>SUM(EH210:EH214)</f>
        <v>50692349.603454821</v>
      </c>
      <c r="EI215" s="1074"/>
      <c r="EM215" s="1137">
        <f>SUM(EM210:EM214)</f>
        <v>143324807.44432506</v>
      </c>
      <c r="EN215" s="1137">
        <f>SUM(EN210:EN214)</f>
        <v>92632457.840870231</v>
      </c>
      <c r="EO215" s="1137">
        <f>SUM(EO210:EO214)</f>
        <v>0</v>
      </c>
      <c r="EP215" s="1137">
        <f>SUM(EP210:EP214)</f>
        <v>50692349.603454821</v>
      </c>
      <c r="EQ215" s="1074"/>
      <c r="EU215" s="1137">
        <f>SUM(EU210:EU214)</f>
        <v>143324807.44432506</v>
      </c>
      <c r="EV215" s="1137">
        <f>SUM(EV210:EV214)</f>
        <v>92632457.840870231</v>
      </c>
      <c r="EW215" s="1137">
        <f>SUM(EW210:EW214)</f>
        <v>0</v>
      </c>
      <c r="EX215" s="1137">
        <f>SUM(EX210:EX214)</f>
        <v>50692349.603454821</v>
      </c>
      <c r="EY215" s="1074"/>
      <c r="FC215" s="1137">
        <f>SUM(FC210:FC214)</f>
        <v>143324807.44432506</v>
      </c>
      <c r="FD215" s="1137">
        <f>SUM(FD210:FD214)</f>
        <v>92632457.840870231</v>
      </c>
      <c r="FE215" s="1137">
        <f>SUM(FE210:FE214)</f>
        <v>0</v>
      </c>
      <c r="FF215" s="1137">
        <f>SUM(FF210:FF214)</f>
        <v>50692349.603454821</v>
      </c>
      <c r="FG215" s="1074"/>
      <c r="FK215" s="1137">
        <f>SUM(FK210:FK214)</f>
        <v>143324807.44432506</v>
      </c>
      <c r="FL215" s="1137">
        <f>SUM(FL210:FL214)</f>
        <v>92632457.840870231</v>
      </c>
      <c r="FM215" s="1137">
        <f>SUM(FM210:FM214)</f>
        <v>0</v>
      </c>
      <c r="FN215" s="1137">
        <f>SUM(FN210:FN214)</f>
        <v>50692349.603454821</v>
      </c>
      <c r="FO215" s="1074"/>
    </row>
    <row r="216" spans="1:171" x14ac:dyDescent="0.25">
      <c r="A216" s="228"/>
      <c r="B216" s="10"/>
      <c r="C216" s="55"/>
      <c r="D216" s="196"/>
      <c r="E216" s="196"/>
      <c r="F216" s="196"/>
      <c r="G216" s="999"/>
      <c r="H216" s="56"/>
      <c r="I216" s="56"/>
      <c r="J216" s="1000"/>
      <c r="K216" s="904"/>
      <c r="O216" s="1080"/>
      <c r="S216" s="1074"/>
      <c r="W216" s="1080"/>
      <c r="AA216" s="1074"/>
      <c r="AE216" s="1080"/>
      <c r="AI216" s="1074"/>
      <c r="AM216" s="1080"/>
      <c r="AQ216" s="1074"/>
      <c r="AU216" s="1080"/>
      <c r="AY216" s="1074"/>
      <c r="BC216" s="1080"/>
      <c r="BG216" s="1074"/>
      <c r="BK216" s="1080"/>
      <c r="BO216" s="1074"/>
      <c r="BS216" s="1080"/>
      <c r="BW216" s="1074"/>
      <c r="CA216" s="1080"/>
      <c r="CE216" s="1074"/>
      <c r="CI216" s="1080"/>
      <c r="CM216" s="1074"/>
      <c r="CQ216" s="1080"/>
      <c r="CU216" s="1074"/>
      <c r="CY216" s="1080"/>
      <c r="DC216" s="1074"/>
      <c r="DG216" s="1080"/>
      <c r="DK216" s="1074"/>
      <c r="DO216" s="1080"/>
      <c r="DS216" s="1074"/>
      <c r="DW216" s="1080"/>
      <c r="EA216" s="1074"/>
      <c r="EE216" s="1080"/>
      <c r="EI216" s="1074"/>
      <c r="EM216" s="1080"/>
      <c r="EQ216" s="1074"/>
      <c r="EU216" s="1080"/>
      <c r="EY216" s="1074"/>
      <c r="FC216" s="1080"/>
      <c r="FG216" s="1074"/>
      <c r="FK216" s="1080"/>
      <c r="FO216" s="1074"/>
    </row>
    <row r="217" spans="1:171" x14ac:dyDescent="0.25">
      <c r="A217" s="160" t="s">
        <v>491</v>
      </c>
      <c r="B217" s="10"/>
      <c r="C217" s="55"/>
      <c r="D217" s="196"/>
      <c r="E217" s="10"/>
      <c r="F217" s="10"/>
      <c r="G217" s="990"/>
      <c r="H217" s="886"/>
      <c r="I217" s="886"/>
      <c r="J217" s="937"/>
      <c r="K217" s="904"/>
      <c r="O217" s="1080"/>
      <c r="S217" s="1074"/>
      <c r="W217" s="1080"/>
      <c r="AA217" s="1074"/>
      <c r="AE217" s="1080"/>
      <c r="AI217" s="1074"/>
      <c r="AM217" s="1080"/>
      <c r="AQ217" s="1074"/>
      <c r="AU217" s="1080"/>
      <c r="AY217" s="1074"/>
      <c r="BC217" s="1080"/>
      <c r="BG217" s="1074"/>
      <c r="BK217" s="1080"/>
      <c r="BO217" s="1074"/>
      <c r="BS217" s="1080"/>
      <c r="BW217" s="1074"/>
      <c r="CA217" s="1080"/>
      <c r="CE217" s="1074"/>
      <c r="CI217" s="1080"/>
      <c r="CM217" s="1074"/>
      <c r="CQ217" s="1080"/>
      <c r="CU217" s="1074"/>
      <c r="CY217" s="1080"/>
      <c r="DC217" s="1074"/>
      <c r="DG217" s="1080"/>
      <c r="DK217" s="1074"/>
      <c r="DO217" s="1080"/>
      <c r="DS217" s="1074"/>
      <c r="DW217" s="1080"/>
      <c r="EA217" s="1074"/>
      <c r="EE217" s="1080"/>
      <c r="EI217" s="1074"/>
      <c r="EM217" s="1080"/>
      <c r="EQ217" s="1074"/>
      <c r="EU217" s="1080"/>
      <c r="EY217" s="1074"/>
      <c r="FC217" s="1080"/>
      <c r="FG217" s="1074"/>
      <c r="FK217" s="1080"/>
      <c r="FO217" s="1074"/>
    </row>
    <row r="218" spans="1:171" x14ac:dyDescent="0.25">
      <c r="A218" s="160"/>
      <c r="B218" s="991" t="s">
        <v>437</v>
      </c>
      <c r="C218" s="55"/>
      <c r="D218" s="196"/>
      <c r="E218" s="10"/>
      <c r="F218" s="10"/>
      <c r="G218" s="990"/>
      <c r="H218" s="886"/>
      <c r="I218" s="886"/>
      <c r="J218" s="937"/>
      <c r="K218" s="904"/>
      <c r="O218" s="1080"/>
      <c r="S218" s="1074"/>
      <c r="W218" s="1080"/>
      <c r="AA218" s="1074"/>
      <c r="AE218" s="1080"/>
      <c r="AI218" s="1074"/>
      <c r="AM218" s="1080"/>
      <c r="AQ218" s="1074"/>
      <c r="AU218" s="1080"/>
      <c r="AY218" s="1074"/>
      <c r="BC218" s="1080"/>
      <c r="BG218" s="1074"/>
      <c r="BK218" s="1080"/>
      <c r="BO218" s="1074"/>
      <c r="BS218" s="1080"/>
      <c r="BW218" s="1074"/>
      <c r="CA218" s="1080"/>
      <c r="CE218" s="1074"/>
      <c r="CI218" s="1080"/>
      <c r="CM218" s="1074"/>
      <c r="CQ218" s="1080"/>
      <c r="CU218" s="1074"/>
      <c r="CY218" s="1080"/>
      <c r="DC218" s="1074"/>
      <c r="DG218" s="1080"/>
      <c r="DK218" s="1074"/>
      <c r="DO218" s="1080"/>
      <c r="DS218" s="1074"/>
      <c r="DW218" s="1080"/>
      <c r="EA218" s="1074"/>
      <c r="EE218" s="1080"/>
      <c r="EI218" s="1074"/>
      <c r="EM218" s="1080"/>
      <c r="EQ218" s="1074"/>
      <c r="EU218" s="1080"/>
      <c r="EY218" s="1074"/>
      <c r="FC218" s="1080"/>
      <c r="FG218" s="1074"/>
      <c r="FK218" s="1080"/>
      <c r="FO218" s="1074"/>
    </row>
    <row r="219" spans="1:171" x14ac:dyDescent="0.25">
      <c r="A219" s="913"/>
      <c r="B219" s="914" t="s">
        <v>163</v>
      </c>
      <c r="C219" s="889" t="s">
        <v>72</v>
      </c>
      <c r="D219" s="889">
        <v>920</v>
      </c>
      <c r="E219" s="182" t="str">
        <f>'Sch 3 - Expenses'!E59</f>
        <v>LABOR</v>
      </c>
      <c r="F219" s="890"/>
      <c r="G219" s="182">
        <f>'Sch 3 - Expenses'!G59</f>
        <v>33958085.334903657</v>
      </c>
      <c r="H219" s="182">
        <f>'Sch 3 - Expenses'!H59</f>
        <v>14155543.390048165</v>
      </c>
      <c r="I219" s="182">
        <f>'Sch 3 - Expenses'!I59</f>
        <v>0</v>
      </c>
      <c r="J219" s="183">
        <f>'Sch 3 - Expenses'!J59</f>
        <v>19802541.944855493</v>
      </c>
      <c r="K219" s="904">
        <f t="shared" ref="K219:K234" si="548">IF($E219="DIRECT",0,1)</f>
        <v>1</v>
      </c>
      <c r="O219" s="1117">
        <f t="shared" ref="O219:O232" si="549">$G219</f>
        <v>33958085.334903657</v>
      </c>
      <c r="P219" s="1118">
        <f t="shared" ref="P219:P234" si="550">VLOOKUP($E219,O$442:R$453,2,FALSE)*O219*($K219)+IF($G219&lt;&gt;0,($H219/$G219)*O219,0)*(1-$K219)</f>
        <v>14155543.390048165</v>
      </c>
      <c r="Q219" s="1118">
        <f t="shared" ref="Q219:Q234" si="551">VLOOKUP($E219,O$442:R$453,3,FALSE)*O219*($K219)+IF($G219&lt;&gt;0,($I219/$G219)*O219,0)*(1-$K219)</f>
        <v>917186.14490737079</v>
      </c>
      <c r="R219" s="1118">
        <f t="shared" ref="R219:R234" si="552">VLOOKUP($E219,O$442:R$453,4,FALSE)*O219*($K219)+(O219-P219-Q219)*(1-$K219)</f>
        <v>18885355.799948119</v>
      </c>
      <c r="S219" s="1074"/>
      <c r="W219" s="1117">
        <f t="shared" ref="W219:W232" si="553">$G219</f>
        <v>33958085.334903657</v>
      </c>
      <c r="X219" s="1118">
        <f t="shared" ref="X219:X232" si="554">VLOOKUP($E219,W$442:Z$453,2,FALSE)*W219*($K219)+IF($G219&lt;&gt;0,($H219/$G219)*W219,0)*(1-$K219)</f>
        <v>14155543.390048165</v>
      </c>
      <c r="Y219" s="1118">
        <f t="shared" ref="Y219:Y232" si="555">VLOOKUP($E219,W$442:Z$453,3,FALSE)*W219*($K219)+IF($G219&lt;&gt;0,($I219/$G219)*W219,0)*(1-$K219)</f>
        <v>917186.14490737079</v>
      </c>
      <c r="Z219" s="1118">
        <f t="shared" ref="Z219:Z232" si="556">VLOOKUP($E219,W$442:Z$453,4,FALSE)*W219*($K219)+(W219-X219-Y219)*(1-$K219)</f>
        <v>18885355.799948119</v>
      </c>
      <c r="AA219" s="1074"/>
      <c r="AE219" s="1117">
        <f t="shared" ref="AE219:AE232" si="557">$G219</f>
        <v>33958085.334903657</v>
      </c>
      <c r="AF219" s="1118">
        <f t="shared" ref="AF219:AF232" si="558">VLOOKUP($E219,AE$442:AH$453,2,FALSE)*AE219*($K219)+IF($G219&lt;&gt;0,($H219/$G219)*AE219,0)*(1-$K219)</f>
        <v>14155543.390048165</v>
      </c>
      <c r="AG219" s="1118">
        <f t="shared" ref="AG219:AG232" si="559">VLOOKUP($E219,AE$442:AH$453,3,FALSE)*AE219*($K219)+IF($G219&lt;&gt;0,($I219/$G219)*AE219,0)*(1-$K219)</f>
        <v>917186.14490737079</v>
      </c>
      <c r="AH219" s="1118">
        <f t="shared" ref="AH219:AH232" si="560">VLOOKUP($E219,AE$442:AH$453,4,FALSE)*AE219*($K219)+(AE219-AF219-AG219)*(1-$K219)</f>
        <v>18885355.799948119</v>
      </c>
      <c r="AI219" s="1074"/>
      <c r="AM219" s="1117">
        <f t="shared" ref="AM219:AM232" si="561">$G219</f>
        <v>33958085.334903657</v>
      </c>
      <c r="AN219" s="1118">
        <f t="shared" ref="AN219:AN232" si="562">VLOOKUP($E219,AM$442:AP$453,2,FALSE)*AM219*($K219)+IF($G219&lt;&gt;0,($H219/$G219)*AM219,0)*(1-$K219)</f>
        <v>14155543.390048165</v>
      </c>
      <c r="AO219" s="1118">
        <f t="shared" ref="AO219:AO232" si="563">VLOOKUP($E219,AM$442:AP$453,3,FALSE)*AM219*($K219)+IF($G219&lt;&gt;0,($I219/$G219)*AM219,0)*(1-$K219)</f>
        <v>917186.14490737079</v>
      </c>
      <c r="AP219" s="1118">
        <f t="shared" ref="AP219:AP232" si="564">VLOOKUP($E219,AM$442:AP$453,4,FALSE)*AM219*($K219)+(AM219-AN219-AO219)*(1-$K219)</f>
        <v>18885355.799948119</v>
      </c>
      <c r="AQ219" s="1074"/>
      <c r="AU219" s="1117">
        <f t="shared" ref="AU219:AU232" si="565">$G219</f>
        <v>33958085.334903657</v>
      </c>
      <c r="AV219" s="1118">
        <f t="shared" ref="AV219:AV232" si="566">VLOOKUP($E219,AU$442:AX$453,2,FALSE)*AU219*($K219)+IF($G219&lt;&gt;0,($H219/$G219)*AU219,0)*(1-$K219)</f>
        <v>14155543.390048165</v>
      </c>
      <c r="AW219" s="1118">
        <f t="shared" ref="AW219:AW232" si="567">VLOOKUP($E219,AU$442:AX$453,3,FALSE)*AU219*($K219)+IF($G219&lt;&gt;0,($I219/$G219)*AU219,0)*(1-$K219)</f>
        <v>917186.14490737079</v>
      </c>
      <c r="AX219" s="1118">
        <f t="shared" ref="AX219:AX232" si="568">VLOOKUP($E219,AU$442:AX$453,4,FALSE)*AU219*($K219)+(AU219-AV219-AW219)*(1-$K219)</f>
        <v>18885355.799948119</v>
      </c>
      <c r="AY219" s="1074"/>
      <c r="BC219" s="1117">
        <f t="shared" ref="BC219:BC232" si="569">$G219</f>
        <v>33958085.334903657</v>
      </c>
      <c r="BD219" s="1118">
        <f t="shared" ref="BD219:BD232" si="570">VLOOKUP($E219,BC$442:BF$453,2,FALSE)*BC219*($K219)+IF($G219&lt;&gt;0,($H219/$G219)*BC219,0)*(1-$K219)</f>
        <v>14155543.390048165</v>
      </c>
      <c r="BE219" s="1118">
        <f t="shared" ref="BE219:BE232" si="571">VLOOKUP($E219,BC$442:BF$453,3,FALSE)*BC219*($K219)+IF($G219&lt;&gt;0,($I219/$G219)*BC219,0)*(1-$K219)</f>
        <v>917186.14490737079</v>
      </c>
      <c r="BF219" s="1118">
        <f t="shared" ref="BF219:BF232" si="572">VLOOKUP($E219,BC$442:BF$453,4,FALSE)*BC219*($K219)+(BC219-BD219-BE219)*(1-$K219)</f>
        <v>18885355.799948119</v>
      </c>
      <c r="BG219" s="1074"/>
      <c r="BK219" s="1117">
        <f t="shared" ref="BK219:BK232" si="573">$G219</f>
        <v>33958085.334903657</v>
      </c>
      <c r="BL219" s="1118">
        <f t="shared" ref="BL219:BL232" si="574">VLOOKUP($E219,BK$442:BN$453,2,FALSE)*BK219*($K219)+IF($G219&lt;&gt;0,($H219/$G219)*BK219,0)*(1-$K219)</f>
        <v>14155543.390048165</v>
      </c>
      <c r="BM219" s="1118">
        <f t="shared" ref="BM219:BM232" si="575">VLOOKUP($E219,BK$442:BN$453,3,FALSE)*BK219*($K219)+IF($G219&lt;&gt;0,($I219/$G219)*BK219,0)*(1-$K219)</f>
        <v>917186.14490737079</v>
      </c>
      <c r="BN219" s="1118">
        <f t="shared" ref="BN219:BN232" si="576">VLOOKUP($E219,BK$442:BN$453,4,FALSE)*BK219*($K219)+(BK219-BL219-BM219)*(1-$K219)</f>
        <v>18885355.799948119</v>
      </c>
      <c r="BO219" s="1074"/>
      <c r="BS219" s="1117">
        <f t="shared" ref="BS219:BS232" si="577">$G219</f>
        <v>33958085.334903657</v>
      </c>
      <c r="BT219" s="1118">
        <f t="shared" ref="BT219:BT232" si="578">VLOOKUP($E219,BS$442:BV$453,2,FALSE)*BS219*($K219)+IF($G219&lt;&gt;0,($H219/$G219)*BS219,0)*(1-$K219)</f>
        <v>14155543.390048165</v>
      </c>
      <c r="BU219" s="1118">
        <f t="shared" ref="BU219:BU232" si="579">VLOOKUP($E219,BS$442:BV$453,3,FALSE)*BS219*($K219)+IF($G219&lt;&gt;0,($I219/$G219)*BS219,0)*(1-$K219)</f>
        <v>917186.14490737079</v>
      </c>
      <c r="BV219" s="1118">
        <f t="shared" ref="BV219:BV232" si="580">VLOOKUP($E219,BS$442:BV$453,4,FALSE)*BS219*($K219)+(BS219-BT219-BU219)*(1-$K219)</f>
        <v>18885355.799948119</v>
      </c>
      <c r="BW219" s="1074"/>
      <c r="CA219" s="1117">
        <f t="shared" ref="CA219:CA232" si="581">$G219</f>
        <v>33958085.334903657</v>
      </c>
      <c r="CB219" s="1118">
        <f t="shared" ref="CB219:CB232" si="582">VLOOKUP($E219,CA$442:CD$453,2,FALSE)*CA219*($K219)+IF($G219&lt;&gt;0,($H219/$G219)*CA219,0)*(1-$K219)</f>
        <v>14155543.390048165</v>
      </c>
      <c r="CC219" s="1118">
        <f t="shared" ref="CC219:CC232" si="583">VLOOKUP($E219,CA$442:CD$453,3,FALSE)*CA219*($K219)+IF($G219&lt;&gt;0,($I219/$G219)*CA219,0)*(1-$K219)</f>
        <v>917186.14490737079</v>
      </c>
      <c r="CD219" s="1118">
        <f t="shared" ref="CD219:CD232" si="584">VLOOKUP($E219,CA$442:CD$453,4,FALSE)*CA219*($K219)+(CA219-CB219-CC219)*(1-$K219)</f>
        <v>18885355.799948119</v>
      </c>
      <c r="CE219" s="1074"/>
      <c r="CI219" s="1117">
        <f t="shared" ref="CI219:CI232" si="585">$G219</f>
        <v>33958085.334903657</v>
      </c>
      <c r="CJ219" s="1118">
        <f t="shared" ref="CJ219:CJ232" si="586">VLOOKUP($E219,CI$442:CL$453,2,FALSE)*CI219*($K219)+IF($G219&lt;&gt;0,($H219/$G219)*CI219,0)*(1-$K219)</f>
        <v>14155543.390048165</v>
      </c>
      <c r="CK219" s="1118">
        <f t="shared" ref="CK219:CK232" si="587">VLOOKUP($E219,CI$442:CL$453,3,FALSE)*CI219*($K219)+IF($G219&lt;&gt;0,($I219/$G219)*CI219,0)*(1-$K219)</f>
        <v>917186.14490737079</v>
      </c>
      <c r="CL219" s="1118">
        <f t="shared" ref="CL219:CL232" si="588">VLOOKUP($E219,CI$442:CL$453,4,FALSE)*CI219*($K219)+(CI219-CJ219-CK219)*(1-$K219)</f>
        <v>18885355.799948119</v>
      </c>
      <c r="CM219" s="1074"/>
      <c r="CQ219" s="1117">
        <f t="shared" ref="CQ219:CQ232" si="589">$G219</f>
        <v>33958085.334903657</v>
      </c>
      <c r="CR219" s="1118">
        <f t="shared" ref="CR219:CR232" si="590">VLOOKUP($E219,CQ$442:CT$453,2,FALSE)*CQ219*($K219)+IF($G219&lt;&gt;0,($H219/$G219)*CQ219,0)*(1-$K219)</f>
        <v>14155543.390048165</v>
      </c>
      <c r="CS219" s="1118">
        <f t="shared" ref="CS219:CS232" si="591">VLOOKUP($E219,CQ$442:CT$453,3,FALSE)*CQ219*($K219)+IF($G219&lt;&gt;0,($I219/$G219)*CQ219,0)*(1-$K219)</f>
        <v>917186.14490737079</v>
      </c>
      <c r="CT219" s="1118">
        <f t="shared" ref="CT219:CT232" si="592">VLOOKUP($E219,CQ$442:CT$453,4,FALSE)*CQ219*($K219)+(CQ219-CR219-CS219)*(1-$K219)</f>
        <v>18885355.799948119</v>
      </c>
      <c r="CU219" s="1074"/>
      <c r="CY219" s="1117">
        <f t="shared" ref="CY219:CY232" si="593">$G219</f>
        <v>33958085.334903657</v>
      </c>
      <c r="CZ219" s="1118">
        <f t="shared" ref="CZ219:CZ232" si="594">VLOOKUP($E219,CY$442:DB$453,2,FALSE)*CY219*($K219)+IF($G219&lt;&gt;0,($H219/$G219)*CY219,0)*(1-$K219)</f>
        <v>14155543.390048165</v>
      </c>
      <c r="DA219" s="1118">
        <f t="shared" ref="DA219:DA232" si="595">VLOOKUP($E219,CY$442:DB$453,3,FALSE)*CY219*($K219)+IF($G219&lt;&gt;0,($I219/$G219)*CY219,0)*(1-$K219)</f>
        <v>917186.14490737079</v>
      </c>
      <c r="DB219" s="1118">
        <f t="shared" ref="DB219:DB232" si="596">VLOOKUP($E219,CY$442:DB$453,4,FALSE)*CY219*($K219)+(CY219-CZ219-DA219)*(1-$K219)</f>
        <v>18885355.799948119</v>
      </c>
      <c r="DC219" s="1074"/>
      <c r="DG219" s="1117">
        <f t="shared" ref="DG219:DG232" si="597">$G219</f>
        <v>33958085.334903657</v>
      </c>
      <c r="DH219" s="1118">
        <f t="shared" ref="DH219:DH232" si="598">VLOOKUP($E219,DG$442:DJ$453,2,FALSE)*DG219*($K219)+IF($G219&lt;&gt;0,($H219/$G219)*DG219,0)*(1-$K219)</f>
        <v>14155543.390048165</v>
      </c>
      <c r="DI219" s="1118">
        <f t="shared" ref="DI219:DI232" si="599">VLOOKUP($E219,DG$442:DJ$453,3,FALSE)*DG219*($K219)+IF($G219&lt;&gt;0,($I219/$G219)*DG219,0)*(1-$K219)</f>
        <v>917186.14490737079</v>
      </c>
      <c r="DJ219" s="1118">
        <f t="shared" ref="DJ219:DJ232" si="600">VLOOKUP($E219,DG$442:DJ$453,4,FALSE)*DG219*($K219)+(DG219-DH219-DI219)*(1-$K219)</f>
        <v>18885355.799948119</v>
      </c>
      <c r="DK219" s="1074"/>
      <c r="DO219" s="1117">
        <f t="shared" ref="DO219:DO232" si="601">$G219</f>
        <v>33958085.334903657</v>
      </c>
      <c r="DP219" s="1118">
        <f t="shared" ref="DP219:DP232" si="602">VLOOKUP($E219,DO$442:DR$453,2,FALSE)*DO219*($K219)+IF($G219&lt;&gt;0,($H219/$G219)*DO219,0)*(1-$K219)</f>
        <v>14155543.390048165</v>
      </c>
      <c r="DQ219" s="1118">
        <f t="shared" ref="DQ219:DQ232" si="603">VLOOKUP($E219,DO$442:DR$453,3,FALSE)*DO219*($K219)+IF($G219&lt;&gt;0,($I219/$G219)*DO219,0)*(1-$K219)</f>
        <v>917186.14490737079</v>
      </c>
      <c r="DR219" s="1118">
        <f t="shared" ref="DR219:DR232" si="604">VLOOKUP($E219,DO$442:DR$453,4,FALSE)*DO219*($K219)+(DO219-DP219-DQ219)*(1-$K219)</f>
        <v>18885355.799948119</v>
      </c>
      <c r="DS219" s="1074"/>
      <c r="DW219" s="1117">
        <f t="shared" ref="DW219:DW232" si="605">$G219</f>
        <v>33958085.334903657</v>
      </c>
      <c r="DX219" s="1118">
        <f t="shared" ref="DX219:DX232" si="606">VLOOKUP($E219,DW$442:DZ$453,2,FALSE)*DW219*($K219)+IF($G219&lt;&gt;0,($H219/$G219)*DW219,0)*(1-$K219)</f>
        <v>14155543.390048165</v>
      </c>
      <c r="DY219" s="1118">
        <f t="shared" ref="DY219:DY232" si="607">VLOOKUP($E219,DW$442:DZ$453,3,FALSE)*DW219*($K219)+IF($G219&lt;&gt;0,($I219/$G219)*DW219,0)*(1-$K219)</f>
        <v>917186.14490737079</v>
      </c>
      <c r="DZ219" s="1118">
        <f t="shared" ref="DZ219:DZ232" si="608">VLOOKUP($E219,DW$442:DZ$453,4,FALSE)*DW219*($K219)+(DW219-DX219-DY219)*(1-$K219)</f>
        <v>18885355.799948119</v>
      </c>
      <c r="EA219" s="1074"/>
      <c r="EE219" s="1117">
        <f t="shared" ref="EE219:EE232" si="609">$G219</f>
        <v>33958085.334903657</v>
      </c>
      <c r="EF219" s="1118">
        <f t="shared" ref="EF219:EF232" si="610">VLOOKUP($E219,EE$442:EH$453,2,FALSE)*EE219*($K219)+IF($G219&lt;&gt;0,($H219/$G219)*EE219,0)*(1-$K219)</f>
        <v>14155543.390048165</v>
      </c>
      <c r="EG219" s="1118">
        <f t="shared" ref="EG219:EG232" si="611">VLOOKUP($E219,EE$442:EH$453,3,FALSE)*EE219*($K219)+IF($G219&lt;&gt;0,($I219/$G219)*EE219,0)*(1-$K219)</f>
        <v>917186.14490737079</v>
      </c>
      <c r="EH219" s="1118">
        <f t="shared" ref="EH219:EH232" si="612">VLOOKUP($E219,EE$442:EH$453,4,FALSE)*EE219*($K219)+(EE219-EF219-EG219)*(1-$K219)</f>
        <v>18885355.799948119</v>
      </c>
      <c r="EI219" s="1074"/>
      <c r="EM219" s="1117">
        <f t="shared" ref="EM219:EM232" si="613">$G219</f>
        <v>33958085.334903657</v>
      </c>
      <c r="EN219" s="1118">
        <f t="shared" ref="EN219:EN232" si="614">VLOOKUP($E219,EM$442:EP$453,2,FALSE)*EM219*($K219)+IF($G219&lt;&gt;0,($H219/$G219)*EM219,0)*(1-$K219)</f>
        <v>14155543.390048165</v>
      </c>
      <c r="EO219" s="1118">
        <f t="shared" ref="EO219:EO232" si="615">VLOOKUP($E219,EM$442:EP$453,3,FALSE)*EM219*($K219)+IF($G219&lt;&gt;0,($I219/$G219)*EM219,0)*(1-$K219)</f>
        <v>917186.14490737079</v>
      </c>
      <c r="EP219" s="1118">
        <f t="shared" ref="EP219:EP232" si="616">VLOOKUP($E219,EM$442:EP$453,4,FALSE)*EM219*($K219)+(EM219-EN219-EO219)*(1-$K219)</f>
        <v>18885355.799948119</v>
      </c>
      <c r="EQ219" s="1074"/>
      <c r="EU219" s="1117">
        <f t="shared" ref="EU219:EU232" si="617">$G219</f>
        <v>33958085.334903657</v>
      </c>
      <c r="EV219" s="1118">
        <f t="shared" ref="EV219:EV232" si="618">VLOOKUP($E219,EU$442:EX$453,2,FALSE)*EU219*($K219)+IF($G219&lt;&gt;0,($H219/$G219)*EU219,0)*(1-$K219)</f>
        <v>14155543.390048165</v>
      </c>
      <c r="EW219" s="1118">
        <f t="shared" ref="EW219:EW232" si="619">VLOOKUP($E219,EU$442:EX$453,3,FALSE)*EU219*($K219)+IF($G219&lt;&gt;0,($I219/$G219)*EU219,0)*(1-$K219)</f>
        <v>917186.14490737079</v>
      </c>
      <c r="EX219" s="1118">
        <f t="shared" ref="EX219:EX232" si="620">VLOOKUP($E219,EU$442:EX$453,4,FALSE)*EU219*($K219)+(EU219-EV219-EW219)*(1-$K219)</f>
        <v>18885355.799948119</v>
      </c>
      <c r="EY219" s="1074"/>
      <c r="FC219" s="1117">
        <f t="shared" ref="FC219:FC232" si="621">$G219</f>
        <v>33958085.334903657</v>
      </c>
      <c r="FD219" s="1118">
        <f t="shared" ref="FD219:FD232" si="622">VLOOKUP($E219,FC$442:FF$453,2,FALSE)*FC219*($K219)+IF($G219&lt;&gt;0,($H219/$G219)*FC219,0)*(1-$K219)</f>
        <v>14155543.390048165</v>
      </c>
      <c r="FE219" s="1118">
        <f t="shared" ref="FE219:FE232" si="623">VLOOKUP($E219,FC$442:FF$453,3,FALSE)*FC219*($K219)+IF($G219&lt;&gt;0,($I219/$G219)*FC219,0)*(1-$K219)</f>
        <v>917186.14490737079</v>
      </c>
      <c r="FF219" s="1118">
        <f t="shared" ref="FF219:FF232" si="624">VLOOKUP($E219,FC$442:FF$453,4,FALSE)*FC219*($K219)+(FC219-FD219-FE219)*(1-$K219)</f>
        <v>18885355.799948119</v>
      </c>
      <c r="FG219" s="1074"/>
      <c r="FK219" s="1117">
        <f t="shared" ref="FK219:FK232" si="625">$G219</f>
        <v>33958085.334903657</v>
      </c>
      <c r="FL219" s="1118">
        <f t="shared" ref="FL219:FL232" si="626">VLOOKUP($E219,FK$442:FN$453,2,FALSE)*FK219*($K219)+IF($G219&lt;&gt;0,($H219/$G219)*FK219,0)*(1-$K219)</f>
        <v>14155543.390048165</v>
      </c>
      <c r="FM219" s="1118">
        <f t="shared" ref="FM219:FM232" si="627">VLOOKUP($E219,FK$442:FN$453,3,FALSE)*FK219*($K219)+IF($G219&lt;&gt;0,($I219/$G219)*FK219,0)*(1-$K219)</f>
        <v>917186.14490737079</v>
      </c>
      <c r="FN219" s="1118">
        <f t="shared" ref="FN219:FN232" si="628">VLOOKUP($E219,FK$442:FN$453,4,FALSE)*FK219*($K219)+(FK219-FL219-FM219)*(1-$K219)</f>
        <v>18885355.799948119</v>
      </c>
      <c r="FO219" s="1074"/>
    </row>
    <row r="220" spans="1:171" x14ac:dyDescent="0.25">
      <c r="A220" s="913"/>
      <c r="B220" s="914" t="s">
        <v>164</v>
      </c>
      <c r="C220" s="889" t="s">
        <v>72</v>
      </c>
      <c r="D220" s="889">
        <v>921</v>
      </c>
      <c r="E220" s="182" t="str">
        <f>'Sch 3 - Expenses'!E60</f>
        <v>LABOR</v>
      </c>
      <c r="F220" s="890"/>
      <c r="G220" s="182">
        <f>'Sch 3 - Expenses'!G60</f>
        <v>6088941.7066276213</v>
      </c>
      <c r="H220" s="182">
        <f>'Sch 3 - Expenses'!H60</f>
        <v>2538196.0636941125</v>
      </c>
      <c r="I220" s="182">
        <f>'Sch 3 - Expenses'!I60</f>
        <v>0</v>
      </c>
      <c r="J220" s="183">
        <f>'Sch 3 - Expenses'!J60</f>
        <v>3550745.6429335093</v>
      </c>
      <c r="K220" s="904">
        <f t="shared" si="548"/>
        <v>1</v>
      </c>
      <c r="O220" s="1117">
        <f t="shared" si="549"/>
        <v>6088941.7066276213</v>
      </c>
      <c r="P220" s="1118">
        <f t="shared" si="550"/>
        <v>2538196.0636941125</v>
      </c>
      <c r="Q220" s="1118">
        <f t="shared" si="551"/>
        <v>164458.41735156061</v>
      </c>
      <c r="R220" s="1118">
        <f t="shared" si="552"/>
        <v>3386287.2255819482</v>
      </c>
      <c r="S220" s="1074"/>
      <c r="W220" s="1117">
        <f t="shared" si="553"/>
        <v>6088941.7066276213</v>
      </c>
      <c r="X220" s="1118">
        <f t="shared" si="554"/>
        <v>2538196.0636941125</v>
      </c>
      <c r="Y220" s="1118">
        <f t="shared" si="555"/>
        <v>164458.41735156061</v>
      </c>
      <c r="Z220" s="1118">
        <f t="shared" si="556"/>
        <v>3386287.2255819482</v>
      </c>
      <c r="AA220" s="1074"/>
      <c r="AE220" s="1117">
        <f t="shared" si="557"/>
        <v>6088941.7066276213</v>
      </c>
      <c r="AF220" s="1118">
        <f t="shared" si="558"/>
        <v>2538196.0636941125</v>
      </c>
      <c r="AG220" s="1118">
        <f t="shared" si="559"/>
        <v>164458.41735156061</v>
      </c>
      <c r="AH220" s="1118">
        <f t="shared" si="560"/>
        <v>3386287.2255819482</v>
      </c>
      <c r="AI220" s="1074"/>
      <c r="AM220" s="1117">
        <f t="shared" si="561"/>
        <v>6088941.7066276213</v>
      </c>
      <c r="AN220" s="1118">
        <f t="shared" si="562"/>
        <v>2538196.0636941125</v>
      </c>
      <c r="AO220" s="1118">
        <f t="shared" si="563"/>
        <v>164458.41735156061</v>
      </c>
      <c r="AP220" s="1118">
        <f t="shared" si="564"/>
        <v>3386287.2255819482</v>
      </c>
      <c r="AQ220" s="1074"/>
      <c r="AU220" s="1117">
        <f t="shared" si="565"/>
        <v>6088941.7066276213</v>
      </c>
      <c r="AV220" s="1118">
        <f t="shared" si="566"/>
        <v>2538196.0636941125</v>
      </c>
      <c r="AW220" s="1118">
        <f t="shared" si="567"/>
        <v>164458.41735156061</v>
      </c>
      <c r="AX220" s="1118">
        <f t="shared" si="568"/>
        <v>3386287.2255819482</v>
      </c>
      <c r="AY220" s="1074"/>
      <c r="BC220" s="1117">
        <f t="shared" si="569"/>
        <v>6088941.7066276213</v>
      </c>
      <c r="BD220" s="1118">
        <f t="shared" si="570"/>
        <v>2538196.0636941125</v>
      </c>
      <c r="BE220" s="1118">
        <f t="shared" si="571"/>
        <v>164458.41735156061</v>
      </c>
      <c r="BF220" s="1118">
        <f t="shared" si="572"/>
        <v>3386287.2255819482</v>
      </c>
      <c r="BG220" s="1074"/>
      <c r="BK220" s="1117">
        <f t="shared" si="573"/>
        <v>6088941.7066276213</v>
      </c>
      <c r="BL220" s="1118">
        <f t="shared" si="574"/>
        <v>2538196.0636941125</v>
      </c>
      <c r="BM220" s="1118">
        <f t="shared" si="575"/>
        <v>164458.41735156061</v>
      </c>
      <c r="BN220" s="1118">
        <f t="shared" si="576"/>
        <v>3386287.2255819482</v>
      </c>
      <c r="BO220" s="1074"/>
      <c r="BS220" s="1117">
        <f t="shared" si="577"/>
        <v>6088941.7066276213</v>
      </c>
      <c r="BT220" s="1118">
        <f t="shared" si="578"/>
        <v>2538196.0636941125</v>
      </c>
      <c r="BU220" s="1118">
        <f t="shared" si="579"/>
        <v>164458.41735156061</v>
      </c>
      <c r="BV220" s="1118">
        <f t="shared" si="580"/>
        <v>3386287.2255819482</v>
      </c>
      <c r="BW220" s="1074"/>
      <c r="CA220" s="1117">
        <f t="shared" si="581"/>
        <v>6088941.7066276213</v>
      </c>
      <c r="CB220" s="1118">
        <f t="shared" si="582"/>
        <v>2538196.0636941125</v>
      </c>
      <c r="CC220" s="1118">
        <f t="shared" si="583"/>
        <v>164458.41735156061</v>
      </c>
      <c r="CD220" s="1118">
        <f t="shared" si="584"/>
        <v>3386287.2255819482</v>
      </c>
      <c r="CE220" s="1074"/>
      <c r="CI220" s="1117">
        <f t="shared" si="585"/>
        <v>6088941.7066276213</v>
      </c>
      <c r="CJ220" s="1118">
        <f t="shared" si="586"/>
        <v>2538196.0636941125</v>
      </c>
      <c r="CK220" s="1118">
        <f t="shared" si="587"/>
        <v>164458.41735156061</v>
      </c>
      <c r="CL220" s="1118">
        <f t="shared" si="588"/>
        <v>3386287.2255819482</v>
      </c>
      <c r="CM220" s="1074"/>
      <c r="CQ220" s="1117">
        <f t="shared" si="589"/>
        <v>6088941.7066276213</v>
      </c>
      <c r="CR220" s="1118">
        <f t="shared" si="590"/>
        <v>2538196.0636941125</v>
      </c>
      <c r="CS220" s="1118">
        <f t="shared" si="591"/>
        <v>164458.41735156061</v>
      </c>
      <c r="CT220" s="1118">
        <f t="shared" si="592"/>
        <v>3386287.2255819482</v>
      </c>
      <c r="CU220" s="1074"/>
      <c r="CY220" s="1117">
        <f t="shared" si="593"/>
        <v>6088941.7066276213</v>
      </c>
      <c r="CZ220" s="1118">
        <f t="shared" si="594"/>
        <v>2538196.0636941125</v>
      </c>
      <c r="DA220" s="1118">
        <f t="shared" si="595"/>
        <v>164458.41735156061</v>
      </c>
      <c r="DB220" s="1118">
        <f t="shared" si="596"/>
        <v>3386287.2255819482</v>
      </c>
      <c r="DC220" s="1074"/>
      <c r="DG220" s="1117">
        <f t="shared" si="597"/>
        <v>6088941.7066276213</v>
      </c>
      <c r="DH220" s="1118">
        <f t="shared" si="598"/>
        <v>2538196.0636941125</v>
      </c>
      <c r="DI220" s="1118">
        <f t="shared" si="599"/>
        <v>164458.41735156061</v>
      </c>
      <c r="DJ220" s="1118">
        <f t="shared" si="600"/>
        <v>3386287.2255819482</v>
      </c>
      <c r="DK220" s="1074"/>
      <c r="DO220" s="1117">
        <f t="shared" si="601"/>
        <v>6088941.7066276213</v>
      </c>
      <c r="DP220" s="1118">
        <f t="shared" si="602"/>
        <v>2538196.0636941125</v>
      </c>
      <c r="DQ220" s="1118">
        <f t="shared" si="603"/>
        <v>164458.41735156061</v>
      </c>
      <c r="DR220" s="1118">
        <f t="shared" si="604"/>
        <v>3386287.2255819482</v>
      </c>
      <c r="DS220" s="1074"/>
      <c r="DW220" s="1117">
        <f t="shared" si="605"/>
        <v>6088941.7066276213</v>
      </c>
      <c r="DX220" s="1118">
        <f t="shared" si="606"/>
        <v>2538196.0636941125</v>
      </c>
      <c r="DY220" s="1118">
        <f t="shared" si="607"/>
        <v>164458.41735156061</v>
      </c>
      <c r="DZ220" s="1118">
        <f t="shared" si="608"/>
        <v>3386287.2255819482</v>
      </c>
      <c r="EA220" s="1074"/>
      <c r="EE220" s="1117">
        <f t="shared" si="609"/>
        <v>6088941.7066276213</v>
      </c>
      <c r="EF220" s="1118">
        <f t="shared" si="610"/>
        <v>2538196.0636941125</v>
      </c>
      <c r="EG220" s="1118">
        <f t="shared" si="611"/>
        <v>164458.41735156061</v>
      </c>
      <c r="EH220" s="1118">
        <f t="shared" si="612"/>
        <v>3386287.2255819482</v>
      </c>
      <c r="EI220" s="1074"/>
      <c r="EM220" s="1117">
        <f t="shared" si="613"/>
        <v>6088941.7066276213</v>
      </c>
      <c r="EN220" s="1118">
        <f t="shared" si="614"/>
        <v>2538196.0636941125</v>
      </c>
      <c r="EO220" s="1118">
        <f t="shared" si="615"/>
        <v>164458.41735156061</v>
      </c>
      <c r="EP220" s="1118">
        <f t="shared" si="616"/>
        <v>3386287.2255819482</v>
      </c>
      <c r="EQ220" s="1074"/>
      <c r="EU220" s="1117">
        <f t="shared" si="617"/>
        <v>6088941.7066276213</v>
      </c>
      <c r="EV220" s="1118">
        <f t="shared" si="618"/>
        <v>2538196.0636941125</v>
      </c>
      <c r="EW220" s="1118">
        <f t="shared" si="619"/>
        <v>164458.41735156061</v>
      </c>
      <c r="EX220" s="1118">
        <f t="shared" si="620"/>
        <v>3386287.2255819482</v>
      </c>
      <c r="EY220" s="1074"/>
      <c r="FC220" s="1117">
        <f t="shared" si="621"/>
        <v>6088941.7066276213</v>
      </c>
      <c r="FD220" s="1118">
        <f t="shared" si="622"/>
        <v>2538196.0636941125</v>
      </c>
      <c r="FE220" s="1118">
        <f t="shared" si="623"/>
        <v>164458.41735156061</v>
      </c>
      <c r="FF220" s="1118">
        <f t="shared" si="624"/>
        <v>3386287.2255819482</v>
      </c>
      <c r="FG220" s="1074"/>
      <c r="FK220" s="1117">
        <f t="shared" si="625"/>
        <v>6088941.7066276213</v>
      </c>
      <c r="FL220" s="1118">
        <f t="shared" si="626"/>
        <v>2538196.0636941125</v>
      </c>
      <c r="FM220" s="1118">
        <f t="shared" si="627"/>
        <v>164458.41735156061</v>
      </c>
      <c r="FN220" s="1118">
        <f t="shared" si="628"/>
        <v>3386287.2255819482</v>
      </c>
      <c r="FO220" s="1074"/>
    </row>
    <row r="221" spans="1:171" x14ac:dyDescent="0.25">
      <c r="A221" s="913"/>
      <c r="B221" s="914" t="s">
        <v>165</v>
      </c>
      <c r="C221" s="889" t="s">
        <v>72</v>
      </c>
      <c r="D221" s="889">
        <v>922</v>
      </c>
      <c r="E221" s="182" t="str">
        <f>'Sch 3 - Expenses'!E61</f>
        <v>LABOR</v>
      </c>
      <c r="F221" s="890"/>
      <c r="G221" s="182">
        <f>'Sch 3 - Expenses'!G61</f>
        <v>21046791.182086881</v>
      </c>
      <c r="H221" s="182">
        <f>'Sch 3 - Expenses'!H61</f>
        <v>8773426.5009661578</v>
      </c>
      <c r="I221" s="182">
        <f>'Sch 3 - Expenses'!I61</f>
        <v>0</v>
      </c>
      <c r="J221" s="183">
        <f>'Sch 3 - Expenses'!J61</f>
        <v>12273364.681120725</v>
      </c>
      <c r="K221" s="904">
        <f t="shared" si="548"/>
        <v>1</v>
      </c>
      <c r="O221" s="1117">
        <f t="shared" si="549"/>
        <v>21046791.182086881</v>
      </c>
      <c r="P221" s="1118">
        <f t="shared" si="550"/>
        <v>8773426.5009661578</v>
      </c>
      <c r="Q221" s="1118">
        <f t="shared" si="551"/>
        <v>568460.3556587263</v>
      </c>
      <c r="R221" s="1118">
        <f t="shared" si="552"/>
        <v>11704904.325461997</v>
      </c>
      <c r="S221" s="1074"/>
      <c r="W221" s="1117">
        <f t="shared" si="553"/>
        <v>21046791.182086881</v>
      </c>
      <c r="X221" s="1118">
        <f t="shared" si="554"/>
        <v>8773426.5009661578</v>
      </c>
      <c r="Y221" s="1118">
        <f t="shared" si="555"/>
        <v>568460.3556587263</v>
      </c>
      <c r="Z221" s="1118">
        <f t="shared" si="556"/>
        <v>11704904.325461997</v>
      </c>
      <c r="AA221" s="1074"/>
      <c r="AE221" s="1117">
        <f t="shared" si="557"/>
        <v>21046791.182086881</v>
      </c>
      <c r="AF221" s="1118">
        <f t="shared" si="558"/>
        <v>8773426.5009661578</v>
      </c>
      <c r="AG221" s="1118">
        <f t="shared" si="559"/>
        <v>568460.3556587263</v>
      </c>
      <c r="AH221" s="1118">
        <f t="shared" si="560"/>
        <v>11704904.325461997</v>
      </c>
      <c r="AI221" s="1074"/>
      <c r="AM221" s="1117">
        <f t="shared" si="561"/>
        <v>21046791.182086881</v>
      </c>
      <c r="AN221" s="1118">
        <f t="shared" si="562"/>
        <v>8773426.5009661578</v>
      </c>
      <c r="AO221" s="1118">
        <f t="shared" si="563"/>
        <v>568460.3556587263</v>
      </c>
      <c r="AP221" s="1118">
        <f t="shared" si="564"/>
        <v>11704904.325461997</v>
      </c>
      <c r="AQ221" s="1074"/>
      <c r="AU221" s="1117">
        <f t="shared" si="565"/>
        <v>21046791.182086881</v>
      </c>
      <c r="AV221" s="1118">
        <f t="shared" si="566"/>
        <v>8773426.5009661578</v>
      </c>
      <c r="AW221" s="1118">
        <f t="shared" si="567"/>
        <v>568460.3556587263</v>
      </c>
      <c r="AX221" s="1118">
        <f t="shared" si="568"/>
        <v>11704904.325461997</v>
      </c>
      <c r="AY221" s="1074"/>
      <c r="BC221" s="1117">
        <f t="shared" si="569"/>
        <v>21046791.182086881</v>
      </c>
      <c r="BD221" s="1118">
        <f t="shared" si="570"/>
        <v>8773426.5009661578</v>
      </c>
      <c r="BE221" s="1118">
        <f t="shared" si="571"/>
        <v>568460.3556587263</v>
      </c>
      <c r="BF221" s="1118">
        <f t="shared" si="572"/>
        <v>11704904.325461997</v>
      </c>
      <c r="BG221" s="1074"/>
      <c r="BK221" s="1117">
        <f t="shared" si="573"/>
        <v>21046791.182086881</v>
      </c>
      <c r="BL221" s="1118">
        <f t="shared" si="574"/>
        <v>8773426.5009661578</v>
      </c>
      <c r="BM221" s="1118">
        <f t="shared" si="575"/>
        <v>568460.3556587263</v>
      </c>
      <c r="BN221" s="1118">
        <f t="shared" si="576"/>
        <v>11704904.325461997</v>
      </c>
      <c r="BO221" s="1074"/>
      <c r="BS221" s="1117">
        <f t="shared" si="577"/>
        <v>21046791.182086881</v>
      </c>
      <c r="BT221" s="1118">
        <f t="shared" si="578"/>
        <v>8773426.5009661578</v>
      </c>
      <c r="BU221" s="1118">
        <f t="shared" si="579"/>
        <v>568460.3556587263</v>
      </c>
      <c r="BV221" s="1118">
        <f t="shared" si="580"/>
        <v>11704904.325461997</v>
      </c>
      <c r="BW221" s="1074"/>
      <c r="CA221" s="1117">
        <f t="shared" si="581"/>
        <v>21046791.182086881</v>
      </c>
      <c r="CB221" s="1118">
        <f t="shared" si="582"/>
        <v>8773426.5009661578</v>
      </c>
      <c r="CC221" s="1118">
        <f t="shared" si="583"/>
        <v>568460.3556587263</v>
      </c>
      <c r="CD221" s="1118">
        <f t="shared" si="584"/>
        <v>11704904.325461997</v>
      </c>
      <c r="CE221" s="1074"/>
      <c r="CI221" s="1117">
        <f t="shared" si="585"/>
        <v>21046791.182086881</v>
      </c>
      <c r="CJ221" s="1118">
        <f t="shared" si="586"/>
        <v>8773426.5009661578</v>
      </c>
      <c r="CK221" s="1118">
        <f t="shared" si="587"/>
        <v>568460.3556587263</v>
      </c>
      <c r="CL221" s="1118">
        <f t="shared" si="588"/>
        <v>11704904.325461997</v>
      </c>
      <c r="CM221" s="1074"/>
      <c r="CQ221" s="1117">
        <f t="shared" si="589"/>
        <v>21046791.182086881</v>
      </c>
      <c r="CR221" s="1118">
        <f t="shared" si="590"/>
        <v>8773426.5009661578</v>
      </c>
      <c r="CS221" s="1118">
        <f t="shared" si="591"/>
        <v>568460.3556587263</v>
      </c>
      <c r="CT221" s="1118">
        <f t="shared" si="592"/>
        <v>11704904.325461997</v>
      </c>
      <c r="CU221" s="1074"/>
      <c r="CY221" s="1117">
        <f t="shared" si="593"/>
        <v>21046791.182086881</v>
      </c>
      <c r="CZ221" s="1118">
        <f t="shared" si="594"/>
        <v>8773426.5009661578</v>
      </c>
      <c r="DA221" s="1118">
        <f t="shared" si="595"/>
        <v>568460.3556587263</v>
      </c>
      <c r="DB221" s="1118">
        <f t="shared" si="596"/>
        <v>11704904.325461997</v>
      </c>
      <c r="DC221" s="1074"/>
      <c r="DG221" s="1117">
        <f t="shared" si="597"/>
        <v>21046791.182086881</v>
      </c>
      <c r="DH221" s="1118">
        <f t="shared" si="598"/>
        <v>8773426.5009661578</v>
      </c>
      <c r="DI221" s="1118">
        <f t="shared" si="599"/>
        <v>568460.3556587263</v>
      </c>
      <c r="DJ221" s="1118">
        <f t="shared" si="600"/>
        <v>11704904.325461997</v>
      </c>
      <c r="DK221" s="1074"/>
      <c r="DO221" s="1117">
        <f t="shared" si="601"/>
        <v>21046791.182086881</v>
      </c>
      <c r="DP221" s="1118">
        <f t="shared" si="602"/>
        <v>8773426.5009661578</v>
      </c>
      <c r="DQ221" s="1118">
        <f t="shared" si="603"/>
        <v>568460.3556587263</v>
      </c>
      <c r="DR221" s="1118">
        <f t="shared" si="604"/>
        <v>11704904.325461997</v>
      </c>
      <c r="DS221" s="1074"/>
      <c r="DW221" s="1117">
        <f t="shared" si="605"/>
        <v>21046791.182086881</v>
      </c>
      <c r="DX221" s="1118">
        <f t="shared" si="606"/>
        <v>8773426.5009661578</v>
      </c>
      <c r="DY221" s="1118">
        <f t="shared" si="607"/>
        <v>568460.3556587263</v>
      </c>
      <c r="DZ221" s="1118">
        <f t="shared" si="608"/>
        <v>11704904.325461997</v>
      </c>
      <c r="EA221" s="1074"/>
      <c r="EE221" s="1117">
        <f t="shared" si="609"/>
        <v>21046791.182086881</v>
      </c>
      <c r="EF221" s="1118">
        <f t="shared" si="610"/>
        <v>8773426.5009661578</v>
      </c>
      <c r="EG221" s="1118">
        <f t="shared" si="611"/>
        <v>568460.3556587263</v>
      </c>
      <c r="EH221" s="1118">
        <f t="shared" si="612"/>
        <v>11704904.325461997</v>
      </c>
      <c r="EI221" s="1074"/>
      <c r="EM221" s="1117">
        <f t="shared" si="613"/>
        <v>21046791.182086881</v>
      </c>
      <c r="EN221" s="1118">
        <f t="shared" si="614"/>
        <v>8773426.5009661578</v>
      </c>
      <c r="EO221" s="1118">
        <f t="shared" si="615"/>
        <v>568460.3556587263</v>
      </c>
      <c r="EP221" s="1118">
        <f t="shared" si="616"/>
        <v>11704904.325461997</v>
      </c>
      <c r="EQ221" s="1074"/>
      <c r="EU221" s="1117">
        <f t="shared" si="617"/>
        <v>21046791.182086881</v>
      </c>
      <c r="EV221" s="1118">
        <f t="shared" si="618"/>
        <v>8773426.5009661578</v>
      </c>
      <c r="EW221" s="1118">
        <f t="shared" si="619"/>
        <v>568460.3556587263</v>
      </c>
      <c r="EX221" s="1118">
        <f t="shared" si="620"/>
        <v>11704904.325461997</v>
      </c>
      <c r="EY221" s="1074"/>
      <c r="FC221" s="1117">
        <f t="shared" si="621"/>
        <v>21046791.182086881</v>
      </c>
      <c r="FD221" s="1118">
        <f t="shared" si="622"/>
        <v>8773426.5009661578</v>
      </c>
      <c r="FE221" s="1118">
        <f t="shared" si="623"/>
        <v>568460.3556587263</v>
      </c>
      <c r="FF221" s="1118">
        <f t="shared" si="624"/>
        <v>11704904.325461997</v>
      </c>
      <c r="FG221" s="1074"/>
      <c r="FK221" s="1117">
        <f t="shared" si="625"/>
        <v>21046791.182086881</v>
      </c>
      <c r="FL221" s="1118">
        <f t="shared" si="626"/>
        <v>8773426.5009661578</v>
      </c>
      <c r="FM221" s="1118">
        <f t="shared" si="627"/>
        <v>568460.3556587263</v>
      </c>
      <c r="FN221" s="1118">
        <f t="shared" si="628"/>
        <v>11704904.325461997</v>
      </c>
      <c r="FO221" s="1074"/>
    </row>
    <row r="222" spans="1:171" x14ac:dyDescent="0.25">
      <c r="A222" s="913"/>
      <c r="B222" s="914" t="s">
        <v>166</v>
      </c>
      <c r="C222" s="889" t="s">
        <v>72</v>
      </c>
      <c r="D222" s="889">
        <v>923</v>
      </c>
      <c r="E222" s="182" t="str">
        <f>'Sch 3 - Expenses'!E62</f>
        <v>LABOR</v>
      </c>
      <c r="F222" s="890"/>
      <c r="G222" s="182">
        <f>'Sch 3 - Expenses'!G62</f>
        <v>18867079.710774634</v>
      </c>
      <c r="H222" s="182">
        <f>'Sch 3 - Expenses'!H62</f>
        <v>7864806.3592341943</v>
      </c>
      <c r="I222" s="182">
        <f>'Sch 3 - Expenses'!I62</f>
        <v>0</v>
      </c>
      <c r="J222" s="183">
        <f>'Sch 3 - Expenses'!J62</f>
        <v>11002273.351540441</v>
      </c>
      <c r="K222" s="904">
        <f t="shared" si="548"/>
        <v>1</v>
      </c>
      <c r="O222" s="1117">
        <f t="shared" si="549"/>
        <v>18867079.710774634</v>
      </c>
      <c r="P222" s="1118">
        <f t="shared" si="550"/>
        <v>7864806.3592341943</v>
      </c>
      <c r="Q222" s="1118">
        <f t="shared" si="551"/>
        <v>509587.74427128799</v>
      </c>
      <c r="R222" s="1118">
        <f t="shared" si="552"/>
        <v>10492685.607269151</v>
      </c>
      <c r="S222" s="1074"/>
      <c r="W222" s="1117">
        <f t="shared" si="553"/>
        <v>18867079.710774634</v>
      </c>
      <c r="X222" s="1118">
        <f t="shared" si="554"/>
        <v>7864806.3592341943</v>
      </c>
      <c r="Y222" s="1118">
        <f t="shared" si="555"/>
        <v>509587.74427128799</v>
      </c>
      <c r="Z222" s="1118">
        <f t="shared" si="556"/>
        <v>10492685.607269151</v>
      </c>
      <c r="AA222" s="1074"/>
      <c r="AE222" s="1117">
        <f t="shared" si="557"/>
        <v>18867079.710774634</v>
      </c>
      <c r="AF222" s="1118">
        <f t="shared" si="558"/>
        <v>7864806.3592341943</v>
      </c>
      <c r="AG222" s="1118">
        <f t="shared" si="559"/>
        <v>509587.74427128799</v>
      </c>
      <c r="AH222" s="1118">
        <f t="shared" si="560"/>
        <v>10492685.607269151</v>
      </c>
      <c r="AI222" s="1074"/>
      <c r="AM222" s="1117">
        <f t="shared" si="561"/>
        <v>18867079.710774634</v>
      </c>
      <c r="AN222" s="1118">
        <f t="shared" si="562"/>
        <v>7864806.3592341943</v>
      </c>
      <c r="AO222" s="1118">
        <f t="shared" si="563"/>
        <v>509587.74427128799</v>
      </c>
      <c r="AP222" s="1118">
        <f t="shared" si="564"/>
        <v>10492685.607269151</v>
      </c>
      <c r="AQ222" s="1074"/>
      <c r="AU222" s="1117">
        <f t="shared" si="565"/>
        <v>18867079.710774634</v>
      </c>
      <c r="AV222" s="1118">
        <f t="shared" si="566"/>
        <v>7864806.3592341943</v>
      </c>
      <c r="AW222" s="1118">
        <f t="shared" si="567"/>
        <v>509587.74427128799</v>
      </c>
      <c r="AX222" s="1118">
        <f t="shared" si="568"/>
        <v>10492685.607269151</v>
      </c>
      <c r="AY222" s="1074"/>
      <c r="BC222" s="1117">
        <f t="shared" si="569"/>
        <v>18867079.710774634</v>
      </c>
      <c r="BD222" s="1118">
        <f t="shared" si="570"/>
        <v>7864806.3592341943</v>
      </c>
      <c r="BE222" s="1118">
        <f t="shared" si="571"/>
        <v>509587.74427128799</v>
      </c>
      <c r="BF222" s="1118">
        <f t="shared" si="572"/>
        <v>10492685.607269151</v>
      </c>
      <c r="BG222" s="1074"/>
      <c r="BK222" s="1117">
        <f t="shared" si="573"/>
        <v>18867079.710774634</v>
      </c>
      <c r="BL222" s="1118">
        <f t="shared" si="574"/>
        <v>7864806.3592341943</v>
      </c>
      <c r="BM222" s="1118">
        <f t="shared" si="575"/>
        <v>509587.74427128799</v>
      </c>
      <c r="BN222" s="1118">
        <f t="shared" si="576"/>
        <v>10492685.607269151</v>
      </c>
      <c r="BO222" s="1074"/>
      <c r="BS222" s="1117">
        <f t="shared" si="577"/>
        <v>18867079.710774634</v>
      </c>
      <c r="BT222" s="1118">
        <f t="shared" si="578"/>
        <v>7864806.3592341943</v>
      </c>
      <c r="BU222" s="1118">
        <f t="shared" si="579"/>
        <v>509587.74427128799</v>
      </c>
      <c r="BV222" s="1118">
        <f t="shared" si="580"/>
        <v>10492685.607269151</v>
      </c>
      <c r="BW222" s="1074"/>
      <c r="CA222" s="1117">
        <f t="shared" si="581"/>
        <v>18867079.710774634</v>
      </c>
      <c r="CB222" s="1118">
        <f t="shared" si="582"/>
        <v>7864806.3592341943</v>
      </c>
      <c r="CC222" s="1118">
        <f t="shared" si="583"/>
        <v>509587.74427128799</v>
      </c>
      <c r="CD222" s="1118">
        <f t="shared" si="584"/>
        <v>10492685.607269151</v>
      </c>
      <c r="CE222" s="1074"/>
      <c r="CI222" s="1117">
        <f t="shared" si="585"/>
        <v>18867079.710774634</v>
      </c>
      <c r="CJ222" s="1118">
        <f t="shared" si="586"/>
        <v>7864806.3592341943</v>
      </c>
      <c r="CK222" s="1118">
        <f t="shared" si="587"/>
        <v>509587.74427128799</v>
      </c>
      <c r="CL222" s="1118">
        <f t="shared" si="588"/>
        <v>10492685.607269151</v>
      </c>
      <c r="CM222" s="1074"/>
      <c r="CQ222" s="1117">
        <f t="shared" si="589"/>
        <v>18867079.710774634</v>
      </c>
      <c r="CR222" s="1118">
        <f t="shared" si="590"/>
        <v>7864806.3592341943</v>
      </c>
      <c r="CS222" s="1118">
        <f t="shared" si="591"/>
        <v>509587.74427128799</v>
      </c>
      <c r="CT222" s="1118">
        <f t="shared" si="592"/>
        <v>10492685.607269151</v>
      </c>
      <c r="CU222" s="1074"/>
      <c r="CY222" s="1117">
        <f t="shared" si="593"/>
        <v>18867079.710774634</v>
      </c>
      <c r="CZ222" s="1118">
        <f t="shared" si="594"/>
        <v>7864806.3592341943</v>
      </c>
      <c r="DA222" s="1118">
        <f t="shared" si="595"/>
        <v>509587.74427128799</v>
      </c>
      <c r="DB222" s="1118">
        <f t="shared" si="596"/>
        <v>10492685.607269151</v>
      </c>
      <c r="DC222" s="1074"/>
      <c r="DG222" s="1117">
        <f t="shared" si="597"/>
        <v>18867079.710774634</v>
      </c>
      <c r="DH222" s="1118">
        <f t="shared" si="598"/>
        <v>7864806.3592341943</v>
      </c>
      <c r="DI222" s="1118">
        <f t="shared" si="599"/>
        <v>509587.74427128799</v>
      </c>
      <c r="DJ222" s="1118">
        <f t="shared" si="600"/>
        <v>10492685.607269151</v>
      </c>
      <c r="DK222" s="1074"/>
      <c r="DO222" s="1117">
        <f t="shared" si="601"/>
        <v>18867079.710774634</v>
      </c>
      <c r="DP222" s="1118">
        <f t="shared" si="602"/>
        <v>7864806.3592341943</v>
      </c>
      <c r="DQ222" s="1118">
        <f t="shared" si="603"/>
        <v>509587.74427128799</v>
      </c>
      <c r="DR222" s="1118">
        <f t="shared" si="604"/>
        <v>10492685.607269151</v>
      </c>
      <c r="DS222" s="1074"/>
      <c r="DW222" s="1117">
        <f t="shared" si="605"/>
        <v>18867079.710774634</v>
      </c>
      <c r="DX222" s="1118">
        <f t="shared" si="606"/>
        <v>7864806.3592341943</v>
      </c>
      <c r="DY222" s="1118">
        <f t="shared" si="607"/>
        <v>509587.74427128799</v>
      </c>
      <c r="DZ222" s="1118">
        <f t="shared" si="608"/>
        <v>10492685.607269151</v>
      </c>
      <c r="EA222" s="1074"/>
      <c r="EE222" s="1117">
        <f t="shared" si="609"/>
        <v>18867079.710774634</v>
      </c>
      <c r="EF222" s="1118">
        <f t="shared" si="610"/>
        <v>7864806.3592341943</v>
      </c>
      <c r="EG222" s="1118">
        <f t="shared" si="611"/>
        <v>509587.74427128799</v>
      </c>
      <c r="EH222" s="1118">
        <f t="shared" si="612"/>
        <v>10492685.607269151</v>
      </c>
      <c r="EI222" s="1074"/>
      <c r="EM222" s="1117">
        <f t="shared" si="613"/>
        <v>18867079.710774634</v>
      </c>
      <c r="EN222" s="1118">
        <f t="shared" si="614"/>
        <v>7864806.3592341943</v>
      </c>
      <c r="EO222" s="1118">
        <f t="shared" si="615"/>
        <v>509587.74427128799</v>
      </c>
      <c r="EP222" s="1118">
        <f t="shared" si="616"/>
        <v>10492685.607269151</v>
      </c>
      <c r="EQ222" s="1074"/>
      <c r="EU222" s="1117">
        <f t="shared" si="617"/>
        <v>18867079.710774634</v>
      </c>
      <c r="EV222" s="1118">
        <f t="shared" si="618"/>
        <v>7864806.3592341943</v>
      </c>
      <c r="EW222" s="1118">
        <f t="shared" si="619"/>
        <v>509587.74427128799</v>
      </c>
      <c r="EX222" s="1118">
        <f t="shared" si="620"/>
        <v>10492685.607269151</v>
      </c>
      <c r="EY222" s="1074"/>
      <c r="FC222" s="1117">
        <f t="shared" si="621"/>
        <v>18867079.710774634</v>
      </c>
      <c r="FD222" s="1118">
        <f t="shared" si="622"/>
        <v>7864806.3592341943</v>
      </c>
      <c r="FE222" s="1118">
        <f t="shared" si="623"/>
        <v>509587.74427128799</v>
      </c>
      <c r="FF222" s="1118">
        <f t="shared" si="624"/>
        <v>10492685.607269151</v>
      </c>
      <c r="FG222" s="1074"/>
      <c r="FK222" s="1117">
        <f t="shared" si="625"/>
        <v>18867079.710774634</v>
      </c>
      <c r="FL222" s="1118">
        <f t="shared" si="626"/>
        <v>7864806.3592341943</v>
      </c>
      <c r="FM222" s="1118">
        <f t="shared" si="627"/>
        <v>509587.74427128799</v>
      </c>
      <c r="FN222" s="1118">
        <f t="shared" si="628"/>
        <v>10492685.607269151</v>
      </c>
      <c r="FO222" s="1074"/>
    </row>
    <row r="223" spans="1:171" x14ac:dyDescent="0.25">
      <c r="A223" s="1390">
        <v>94000</v>
      </c>
      <c r="B223" s="914" t="s">
        <v>167</v>
      </c>
      <c r="C223" s="889" t="s">
        <v>72</v>
      </c>
      <c r="D223" s="889">
        <v>924</v>
      </c>
      <c r="E223" s="182" t="str">
        <f>'Sch 3 - Expenses'!E63</f>
        <v>PTDG</v>
      </c>
      <c r="F223" s="890"/>
      <c r="G223" s="182">
        <f>'Sch 3 - Expenses'!G63</f>
        <v>28178553.189763118</v>
      </c>
      <c r="H223" s="182">
        <f>'Sch 3 - Expenses'!H63</f>
        <v>12241172.142426167</v>
      </c>
      <c r="I223" s="182">
        <f>'Sch 3 - Expenses'!I63</f>
        <v>0</v>
      </c>
      <c r="J223" s="183">
        <f>'Sch 3 - Expenses'!J63</f>
        <v>15940200.991543749</v>
      </c>
      <c r="K223" s="904">
        <f t="shared" si="548"/>
        <v>1</v>
      </c>
      <c r="N223" s="1130">
        <f>VLOOKUP($A223,'New Resources - Individual'!$A$4:$Y$133,N$2,FALSE)*N$1</f>
        <v>0</v>
      </c>
      <c r="O223" s="1117">
        <f>$G223+N223</f>
        <v>28178553.189763118</v>
      </c>
      <c r="P223" s="1118">
        <f t="shared" si="550"/>
        <v>12241172.142426167</v>
      </c>
      <c r="Q223" s="1118">
        <f t="shared" si="551"/>
        <v>7132020.5634806305</v>
      </c>
      <c r="R223" s="1118">
        <f t="shared" si="552"/>
        <v>8805360.4838563185</v>
      </c>
      <c r="S223" s="1074"/>
      <c r="V223" s="1130">
        <f>VLOOKUP($A223,'New Resources - Individual'!$A$4:$Y$133,V$2,FALSE)*V$1</f>
        <v>0</v>
      </c>
      <c r="W223" s="1117">
        <f>$G223+V223</f>
        <v>28178553.189763118</v>
      </c>
      <c r="X223" s="1118">
        <f t="shared" si="554"/>
        <v>12241172.142426167</v>
      </c>
      <c r="Y223" s="1118">
        <f t="shared" si="555"/>
        <v>7132020.5634806305</v>
      </c>
      <c r="Z223" s="1118">
        <f t="shared" si="556"/>
        <v>8805360.4838563185</v>
      </c>
      <c r="AA223" s="1074"/>
      <c r="AD223" s="1130">
        <f>VLOOKUP($A223,'New Resources - Individual'!$A$4:$Y$133,AD$2,FALSE)*AD$1</f>
        <v>0</v>
      </c>
      <c r="AE223" s="1117">
        <f>$G223+AD223</f>
        <v>28178553.189763118</v>
      </c>
      <c r="AF223" s="1118">
        <f t="shared" si="558"/>
        <v>12241172.142426167</v>
      </c>
      <c r="AG223" s="1118">
        <f t="shared" si="559"/>
        <v>7132020.5634806305</v>
      </c>
      <c r="AH223" s="1118">
        <f t="shared" si="560"/>
        <v>8805360.4838563185</v>
      </c>
      <c r="AI223" s="1074"/>
      <c r="AL223" s="1130">
        <f>VLOOKUP($A223,'New Resources - Individual'!$A$4:$Y$133,AL$2,FALSE)*AL$1</f>
        <v>0</v>
      </c>
      <c r="AM223" s="1117">
        <f>$G223+AL223</f>
        <v>28178553.189763118</v>
      </c>
      <c r="AN223" s="1118">
        <f t="shared" si="562"/>
        <v>12241172.142426167</v>
      </c>
      <c r="AO223" s="1118">
        <f t="shared" si="563"/>
        <v>7132020.5634806305</v>
      </c>
      <c r="AP223" s="1118">
        <f t="shared" si="564"/>
        <v>8805360.4838563185</v>
      </c>
      <c r="AQ223" s="1074"/>
      <c r="AT223" s="1130">
        <f>VLOOKUP($A223,'New Resources - Individual'!$A$4:$Y$133,AT$2,FALSE)*AT$1</f>
        <v>0</v>
      </c>
      <c r="AU223" s="1117">
        <f>$G223+AT223</f>
        <v>28178553.189763118</v>
      </c>
      <c r="AV223" s="1118">
        <f t="shared" si="566"/>
        <v>12241172.142426167</v>
      </c>
      <c r="AW223" s="1118">
        <f t="shared" si="567"/>
        <v>7132020.5634806305</v>
      </c>
      <c r="AX223" s="1118">
        <f t="shared" si="568"/>
        <v>8805360.4838563185</v>
      </c>
      <c r="AY223" s="1074"/>
      <c r="BB223" s="1130">
        <f>VLOOKUP($A223,'New Resources - Individual'!$A$4:$Y$133,BB$2,FALSE)*BB$1</f>
        <v>0</v>
      </c>
      <c r="BC223" s="1117">
        <f>$G223+BB223</f>
        <v>28178553.189763118</v>
      </c>
      <c r="BD223" s="1118">
        <f t="shared" si="570"/>
        <v>12241172.142426167</v>
      </c>
      <c r="BE223" s="1118">
        <f t="shared" si="571"/>
        <v>7132020.5634806305</v>
      </c>
      <c r="BF223" s="1118">
        <f t="shared" si="572"/>
        <v>8805360.4838563185</v>
      </c>
      <c r="BG223" s="1074"/>
      <c r="BJ223" s="1130">
        <f>VLOOKUP($A223,'New Resources - Individual'!$A$4:$Y$133,BJ$2,FALSE)*BJ$1</f>
        <v>0</v>
      </c>
      <c r="BK223" s="1117">
        <f>$G223+BJ223</f>
        <v>28178553.189763118</v>
      </c>
      <c r="BL223" s="1118">
        <f t="shared" si="574"/>
        <v>12241172.142426167</v>
      </c>
      <c r="BM223" s="1118">
        <f t="shared" si="575"/>
        <v>7132020.5634806305</v>
      </c>
      <c r="BN223" s="1118">
        <f t="shared" si="576"/>
        <v>8805360.4838563185</v>
      </c>
      <c r="BO223" s="1074"/>
      <c r="BR223" s="1130">
        <f>VLOOKUP($A223,'New Resources - Individual'!$A$4:$Y$133,BR$2,FALSE)*BR$1</f>
        <v>0</v>
      </c>
      <c r="BS223" s="1117">
        <f>$G223+BR223</f>
        <v>28178553.189763118</v>
      </c>
      <c r="BT223" s="1118">
        <f t="shared" si="578"/>
        <v>12241172.142426167</v>
      </c>
      <c r="BU223" s="1118">
        <f t="shared" si="579"/>
        <v>7132020.5634806305</v>
      </c>
      <c r="BV223" s="1118">
        <f t="shared" si="580"/>
        <v>8805360.4838563185</v>
      </c>
      <c r="BW223" s="1074"/>
      <c r="BZ223" s="1130">
        <f>VLOOKUP($A223,'New Resources - Individual'!$A$4:$Y$133,BZ$2,FALSE)*BZ$1</f>
        <v>0</v>
      </c>
      <c r="CA223" s="1117">
        <f>$G223+BZ223</f>
        <v>28178553.189763118</v>
      </c>
      <c r="CB223" s="1118">
        <f t="shared" si="582"/>
        <v>12241172.142426167</v>
      </c>
      <c r="CC223" s="1118">
        <f t="shared" si="583"/>
        <v>7132020.5634806305</v>
      </c>
      <c r="CD223" s="1118">
        <f t="shared" si="584"/>
        <v>8805360.4838563185</v>
      </c>
      <c r="CE223" s="1074"/>
      <c r="CH223" s="1130">
        <f>VLOOKUP($A223,'New Resources - Individual'!$A$4:$Y$133,CH$2,FALSE)*CH$1</f>
        <v>0</v>
      </c>
      <c r="CI223" s="1117">
        <f>$G223+CH223</f>
        <v>28178553.189763118</v>
      </c>
      <c r="CJ223" s="1118">
        <f t="shared" si="586"/>
        <v>12241172.142426167</v>
      </c>
      <c r="CK223" s="1118">
        <f t="shared" si="587"/>
        <v>7132020.5634806305</v>
      </c>
      <c r="CL223" s="1118">
        <f t="shared" si="588"/>
        <v>8805360.4838563185</v>
      </c>
      <c r="CM223" s="1074"/>
      <c r="CP223" s="1130">
        <f>VLOOKUP($A223,'New Resources - Individual'!$A$4:$Y$133,CP$2,FALSE)*CP$1</f>
        <v>0</v>
      </c>
      <c r="CQ223" s="1117">
        <f>$G223+CP223</f>
        <v>28178553.189763118</v>
      </c>
      <c r="CR223" s="1118">
        <f t="shared" si="590"/>
        <v>12241172.142426167</v>
      </c>
      <c r="CS223" s="1118">
        <f t="shared" si="591"/>
        <v>7132020.5634806305</v>
      </c>
      <c r="CT223" s="1118">
        <f t="shared" si="592"/>
        <v>8805360.4838563185</v>
      </c>
      <c r="CU223" s="1074"/>
      <c r="CX223" s="1130">
        <f>VLOOKUP($A223,'New Resources - Individual'!$A$4:$Y$133,CX$2,FALSE)*CX$1</f>
        <v>0</v>
      </c>
      <c r="CY223" s="1117">
        <f>$G223+CX223</f>
        <v>28178553.189763118</v>
      </c>
      <c r="CZ223" s="1118">
        <f t="shared" si="594"/>
        <v>12241172.142426167</v>
      </c>
      <c r="DA223" s="1118">
        <f t="shared" si="595"/>
        <v>7132020.5634806305</v>
      </c>
      <c r="DB223" s="1118">
        <f t="shared" si="596"/>
        <v>8805360.4838563185</v>
      </c>
      <c r="DC223" s="1074"/>
      <c r="DF223" s="1130">
        <f>VLOOKUP($A223,'New Resources - Individual'!$A$4:$Y$133,DF$2,FALSE)*DF$1</f>
        <v>0</v>
      </c>
      <c r="DG223" s="1117">
        <f>$G223+DF223</f>
        <v>28178553.189763118</v>
      </c>
      <c r="DH223" s="1118">
        <f t="shared" si="598"/>
        <v>12241172.142426167</v>
      </c>
      <c r="DI223" s="1118">
        <f t="shared" si="599"/>
        <v>7132020.5634806305</v>
      </c>
      <c r="DJ223" s="1118">
        <f t="shared" si="600"/>
        <v>8805360.4838563185</v>
      </c>
      <c r="DK223" s="1074"/>
      <c r="DN223" s="1130">
        <f>VLOOKUP($A223,'New Resources - Individual'!$A$4:$Y$133,DN$2,FALSE)*DN$1</f>
        <v>0</v>
      </c>
      <c r="DO223" s="1117">
        <f>$G223+DN223</f>
        <v>28178553.189763118</v>
      </c>
      <c r="DP223" s="1118">
        <f t="shared" si="602"/>
        <v>12241172.142426167</v>
      </c>
      <c r="DQ223" s="1118">
        <f t="shared" si="603"/>
        <v>7132020.5634806305</v>
      </c>
      <c r="DR223" s="1118">
        <f t="shared" si="604"/>
        <v>8805360.4838563185</v>
      </c>
      <c r="DS223" s="1074"/>
      <c r="DV223" s="1130">
        <f>VLOOKUP($A223,'New Resources - Individual'!$A$4:$Y$133,DV$2,FALSE)*DV$1</f>
        <v>0</v>
      </c>
      <c r="DW223" s="1117">
        <f>$G223+DV223</f>
        <v>28178553.189763118</v>
      </c>
      <c r="DX223" s="1118">
        <f t="shared" si="606"/>
        <v>12241172.142426167</v>
      </c>
      <c r="DY223" s="1118">
        <f t="shared" si="607"/>
        <v>7132020.5634806305</v>
      </c>
      <c r="DZ223" s="1118">
        <f t="shared" si="608"/>
        <v>8805360.4838563185</v>
      </c>
      <c r="EA223" s="1074"/>
      <c r="ED223" s="1130">
        <f>VLOOKUP($A223,'New Resources - Individual'!$A$4:$Y$133,ED$2,FALSE)*ED$1</f>
        <v>0</v>
      </c>
      <c r="EE223" s="1117">
        <f>$G223+ED223</f>
        <v>28178553.189763118</v>
      </c>
      <c r="EF223" s="1118">
        <f t="shared" si="610"/>
        <v>12241172.142426167</v>
      </c>
      <c r="EG223" s="1118">
        <f t="shared" si="611"/>
        <v>7132020.5634806305</v>
      </c>
      <c r="EH223" s="1118">
        <f t="shared" si="612"/>
        <v>8805360.4838563185</v>
      </c>
      <c r="EI223" s="1074"/>
      <c r="EL223" s="1130">
        <f>VLOOKUP($A223,'New Resources - Individual'!$A$4:$Y$133,EL$2,FALSE)*EL$1</f>
        <v>0</v>
      </c>
      <c r="EM223" s="1117">
        <f>$G223+EL223</f>
        <v>28178553.189763118</v>
      </c>
      <c r="EN223" s="1118">
        <f t="shared" si="614"/>
        <v>12241172.142426167</v>
      </c>
      <c r="EO223" s="1118">
        <f t="shared" si="615"/>
        <v>7132020.5634806305</v>
      </c>
      <c r="EP223" s="1118">
        <f t="shared" si="616"/>
        <v>8805360.4838563185</v>
      </c>
      <c r="EQ223" s="1074"/>
      <c r="ET223" s="1130">
        <f>VLOOKUP($A223,'New Resources - Individual'!$A$4:$Y$133,ET$2,FALSE)*ET$1</f>
        <v>0</v>
      </c>
      <c r="EU223" s="1117">
        <f>$G223+ET223</f>
        <v>28178553.189763118</v>
      </c>
      <c r="EV223" s="1118">
        <f t="shared" si="618"/>
        <v>12241172.142426167</v>
      </c>
      <c r="EW223" s="1118">
        <f t="shared" si="619"/>
        <v>7132020.5634806305</v>
      </c>
      <c r="EX223" s="1118">
        <f t="shared" si="620"/>
        <v>8805360.4838563185</v>
      </c>
      <c r="EY223" s="1074"/>
      <c r="FB223" s="1130">
        <f>VLOOKUP($A223,'New Resources - Individual'!$A$4:$Y$133,FB$2,FALSE)*FB$1</f>
        <v>0</v>
      </c>
      <c r="FC223" s="1117">
        <f>$G223+FB223</f>
        <v>28178553.189763118</v>
      </c>
      <c r="FD223" s="1118">
        <f t="shared" si="622"/>
        <v>12241172.142426167</v>
      </c>
      <c r="FE223" s="1118">
        <f t="shared" si="623"/>
        <v>7132020.5634806305</v>
      </c>
      <c r="FF223" s="1118">
        <f t="shared" si="624"/>
        <v>8805360.4838563185</v>
      </c>
      <c r="FG223" s="1074"/>
      <c r="FJ223" s="1130">
        <f>VLOOKUP($A223,'New Resources - Individual'!$A$4:$Y$133,FJ$2,FALSE)*FJ$1</f>
        <v>0</v>
      </c>
      <c r="FK223" s="1117">
        <f>$G223+FJ223</f>
        <v>28178553.189763118</v>
      </c>
      <c r="FL223" s="1118">
        <f t="shared" si="626"/>
        <v>12241172.142426167</v>
      </c>
      <c r="FM223" s="1118">
        <f t="shared" si="627"/>
        <v>7132020.5634806305</v>
      </c>
      <c r="FN223" s="1118">
        <f t="shared" si="628"/>
        <v>8805360.4838563185</v>
      </c>
      <c r="FO223" s="1074"/>
    </row>
    <row r="224" spans="1:171" x14ac:dyDescent="0.25">
      <c r="A224" s="913"/>
      <c r="B224" s="914" t="s">
        <v>465</v>
      </c>
      <c r="C224" s="889" t="s">
        <v>72</v>
      </c>
      <c r="D224" s="889">
        <v>925</v>
      </c>
      <c r="E224" s="182" t="str">
        <f>'Sch 3 - Expenses'!E64</f>
        <v>Labor</v>
      </c>
      <c r="F224" s="890"/>
      <c r="G224" s="182">
        <f>'Sch 3 - Expenses'!G64</f>
        <v>727189313.6231035</v>
      </c>
      <c r="H224" s="182">
        <f>'Sch 3 - Expenses'!H64</f>
        <v>303131339.12737983</v>
      </c>
      <c r="I224" s="182">
        <f>'Sch 3 - Expenses'!I64</f>
        <v>0</v>
      </c>
      <c r="J224" s="183">
        <f>'Sch 3 - Expenses'!J64</f>
        <v>424057974.49572366</v>
      </c>
      <c r="K224" s="904">
        <f t="shared" si="548"/>
        <v>1</v>
      </c>
      <c r="O224" s="1117">
        <f t="shared" si="549"/>
        <v>727189313.6231035</v>
      </c>
      <c r="P224" s="1118">
        <f t="shared" si="550"/>
        <v>303131339.12737983</v>
      </c>
      <c r="Q224" s="1118">
        <f t="shared" si="551"/>
        <v>19640917.813887212</v>
      </c>
      <c r="R224" s="1118">
        <f t="shared" si="552"/>
        <v>404417056.68183643</v>
      </c>
      <c r="S224" s="1074"/>
      <c r="W224" s="1117">
        <f t="shared" si="553"/>
        <v>727189313.6231035</v>
      </c>
      <c r="X224" s="1118">
        <f t="shared" si="554"/>
        <v>303131339.12737983</v>
      </c>
      <c r="Y224" s="1118">
        <f t="shared" si="555"/>
        <v>19640917.813887212</v>
      </c>
      <c r="Z224" s="1118">
        <f t="shared" si="556"/>
        <v>404417056.68183643</v>
      </c>
      <c r="AA224" s="1074"/>
      <c r="AE224" s="1117">
        <f t="shared" si="557"/>
        <v>727189313.6231035</v>
      </c>
      <c r="AF224" s="1118">
        <f t="shared" si="558"/>
        <v>303131339.12737983</v>
      </c>
      <c r="AG224" s="1118">
        <f t="shared" si="559"/>
        <v>19640917.813887212</v>
      </c>
      <c r="AH224" s="1118">
        <f t="shared" si="560"/>
        <v>404417056.68183643</v>
      </c>
      <c r="AI224" s="1074"/>
      <c r="AM224" s="1117">
        <f t="shared" si="561"/>
        <v>727189313.6231035</v>
      </c>
      <c r="AN224" s="1118">
        <f t="shared" si="562"/>
        <v>303131339.12737983</v>
      </c>
      <c r="AO224" s="1118">
        <f t="shared" si="563"/>
        <v>19640917.813887212</v>
      </c>
      <c r="AP224" s="1118">
        <f t="shared" si="564"/>
        <v>404417056.68183643</v>
      </c>
      <c r="AQ224" s="1074"/>
      <c r="AU224" s="1117">
        <f t="shared" si="565"/>
        <v>727189313.6231035</v>
      </c>
      <c r="AV224" s="1118">
        <f t="shared" si="566"/>
        <v>303131339.12737983</v>
      </c>
      <c r="AW224" s="1118">
        <f t="shared" si="567"/>
        <v>19640917.813887212</v>
      </c>
      <c r="AX224" s="1118">
        <f t="shared" si="568"/>
        <v>404417056.68183643</v>
      </c>
      <c r="AY224" s="1074"/>
      <c r="BC224" s="1117">
        <f t="shared" si="569"/>
        <v>727189313.6231035</v>
      </c>
      <c r="BD224" s="1118">
        <f t="shared" si="570"/>
        <v>303131339.12737983</v>
      </c>
      <c r="BE224" s="1118">
        <f t="shared" si="571"/>
        <v>19640917.813887212</v>
      </c>
      <c r="BF224" s="1118">
        <f t="shared" si="572"/>
        <v>404417056.68183643</v>
      </c>
      <c r="BG224" s="1074"/>
      <c r="BK224" s="1117">
        <f t="shared" si="573"/>
        <v>727189313.6231035</v>
      </c>
      <c r="BL224" s="1118">
        <f t="shared" si="574"/>
        <v>303131339.12737983</v>
      </c>
      <c r="BM224" s="1118">
        <f t="shared" si="575"/>
        <v>19640917.813887212</v>
      </c>
      <c r="BN224" s="1118">
        <f t="shared" si="576"/>
        <v>404417056.68183643</v>
      </c>
      <c r="BO224" s="1074"/>
      <c r="BS224" s="1117">
        <f t="shared" si="577"/>
        <v>727189313.6231035</v>
      </c>
      <c r="BT224" s="1118">
        <f t="shared" si="578"/>
        <v>303131339.12737983</v>
      </c>
      <c r="BU224" s="1118">
        <f t="shared" si="579"/>
        <v>19640917.813887212</v>
      </c>
      <c r="BV224" s="1118">
        <f t="shared" si="580"/>
        <v>404417056.68183643</v>
      </c>
      <c r="BW224" s="1074"/>
      <c r="CA224" s="1117">
        <f t="shared" si="581"/>
        <v>727189313.6231035</v>
      </c>
      <c r="CB224" s="1118">
        <f t="shared" si="582"/>
        <v>303131339.12737983</v>
      </c>
      <c r="CC224" s="1118">
        <f t="shared" si="583"/>
        <v>19640917.813887212</v>
      </c>
      <c r="CD224" s="1118">
        <f t="shared" si="584"/>
        <v>404417056.68183643</v>
      </c>
      <c r="CE224" s="1074"/>
      <c r="CI224" s="1117">
        <f t="shared" si="585"/>
        <v>727189313.6231035</v>
      </c>
      <c r="CJ224" s="1118">
        <f t="shared" si="586"/>
        <v>303131339.12737983</v>
      </c>
      <c r="CK224" s="1118">
        <f t="shared" si="587"/>
        <v>19640917.813887212</v>
      </c>
      <c r="CL224" s="1118">
        <f t="shared" si="588"/>
        <v>404417056.68183643</v>
      </c>
      <c r="CM224" s="1074"/>
      <c r="CQ224" s="1117">
        <f t="shared" si="589"/>
        <v>727189313.6231035</v>
      </c>
      <c r="CR224" s="1118">
        <f t="shared" si="590"/>
        <v>303131339.12737983</v>
      </c>
      <c r="CS224" s="1118">
        <f t="shared" si="591"/>
        <v>19640917.813887212</v>
      </c>
      <c r="CT224" s="1118">
        <f t="shared" si="592"/>
        <v>404417056.68183643</v>
      </c>
      <c r="CU224" s="1074"/>
      <c r="CY224" s="1117">
        <f t="shared" si="593"/>
        <v>727189313.6231035</v>
      </c>
      <c r="CZ224" s="1118">
        <f t="shared" si="594"/>
        <v>303131339.12737983</v>
      </c>
      <c r="DA224" s="1118">
        <f t="shared" si="595"/>
        <v>19640917.813887212</v>
      </c>
      <c r="DB224" s="1118">
        <f t="shared" si="596"/>
        <v>404417056.68183643</v>
      </c>
      <c r="DC224" s="1074"/>
      <c r="DG224" s="1117">
        <f t="shared" si="597"/>
        <v>727189313.6231035</v>
      </c>
      <c r="DH224" s="1118">
        <f t="shared" si="598"/>
        <v>303131339.12737983</v>
      </c>
      <c r="DI224" s="1118">
        <f t="shared" si="599"/>
        <v>19640917.813887212</v>
      </c>
      <c r="DJ224" s="1118">
        <f t="shared" si="600"/>
        <v>404417056.68183643</v>
      </c>
      <c r="DK224" s="1074"/>
      <c r="DO224" s="1117">
        <f t="shared" si="601"/>
        <v>727189313.6231035</v>
      </c>
      <c r="DP224" s="1118">
        <f t="shared" si="602"/>
        <v>303131339.12737983</v>
      </c>
      <c r="DQ224" s="1118">
        <f t="shared" si="603"/>
        <v>19640917.813887212</v>
      </c>
      <c r="DR224" s="1118">
        <f t="shared" si="604"/>
        <v>404417056.68183643</v>
      </c>
      <c r="DS224" s="1074"/>
      <c r="DW224" s="1117">
        <f t="shared" si="605"/>
        <v>727189313.6231035</v>
      </c>
      <c r="DX224" s="1118">
        <f t="shared" si="606"/>
        <v>303131339.12737983</v>
      </c>
      <c r="DY224" s="1118">
        <f t="shared" si="607"/>
        <v>19640917.813887212</v>
      </c>
      <c r="DZ224" s="1118">
        <f t="shared" si="608"/>
        <v>404417056.68183643</v>
      </c>
      <c r="EA224" s="1074"/>
      <c r="EE224" s="1117">
        <f t="shared" si="609"/>
        <v>727189313.6231035</v>
      </c>
      <c r="EF224" s="1118">
        <f t="shared" si="610"/>
        <v>303131339.12737983</v>
      </c>
      <c r="EG224" s="1118">
        <f t="shared" si="611"/>
        <v>19640917.813887212</v>
      </c>
      <c r="EH224" s="1118">
        <f t="shared" si="612"/>
        <v>404417056.68183643</v>
      </c>
      <c r="EI224" s="1074"/>
      <c r="EM224" s="1117">
        <f t="shared" si="613"/>
        <v>727189313.6231035</v>
      </c>
      <c r="EN224" s="1118">
        <f t="shared" si="614"/>
        <v>303131339.12737983</v>
      </c>
      <c r="EO224" s="1118">
        <f t="shared" si="615"/>
        <v>19640917.813887212</v>
      </c>
      <c r="EP224" s="1118">
        <f t="shared" si="616"/>
        <v>404417056.68183643</v>
      </c>
      <c r="EQ224" s="1074"/>
      <c r="EU224" s="1117">
        <f t="shared" si="617"/>
        <v>727189313.6231035</v>
      </c>
      <c r="EV224" s="1118">
        <f t="shared" si="618"/>
        <v>303131339.12737983</v>
      </c>
      <c r="EW224" s="1118">
        <f t="shared" si="619"/>
        <v>19640917.813887212</v>
      </c>
      <c r="EX224" s="1118">
        <f t="shared" si="620"/>
        <v>404417056.68183643</v>
      </c>
      <c r="EY224" s="1074"/>
      <c r="FC224" s="1117">
        <f t="shared" si="621"/>
        <v>727189313.6231035</v>
      </c>
      <c r="FD224" s="1118">
        <f t="shared" si="622"/>
        <v>303131339.12737983</v>
      </c>
      <c r="FE224" s="1118">
        <f t="shared" si="623"/>
        <v>19640917.813887212</v>
      </c>
      <c r="FF224" s="1118">
        <f t="shared" si="624"/>
        <v>404417056.68183643</v>
      </c>
      <c r="FG224" s="1074"/>
      <c r="FK224" s="1117">
        <f t="shared" si="625"/>
        <v>727189313.6231035</v>
      </c>
      <c r="FL224" s="1118">
        <f t="shared" si="626"/>
        <v>303131339.12737983</v>
      </c>
      <c r="FM224" s="1118">
        <f t="shared" si="627"/>
        <v>19640917.813887212</v>
      </c>
      <c r="FN224" s="1118">
        <f t="shared" si="628"/>
        <v>404417056.68183643</v>
      </c>
      <c r="FO224" s="1074"/>
    </row>
    <row r="225" spans="1:171" x14ac:dyDescent="0.25">
      <c r="A225" s="913"/>
      <c r="B225" s="914" t="s">
        <v>466</v>
      </c>
      <c r="C225" s="889" t="s">
        <v>72</v>
      </c>
      <c r="D225" s="889">
        <v>926</v>
      </c>
      <c r="E225" s="182" t="str">
        <f>'Sch 3 - Expenses'!E65</f>
        <v>LABOR</v>
      </c>
      <c r="F225" s="890"/>
      <c r="G225" s="182">
        <f>'Sch 3 - Expenses'!G65</f>
        <v>48983683.126018636</v>
      </c>
      <c r="H225" s="182">
        <f>'Sch 3 - Expenses'!H65</f>
        <v>20419014.943166677</v>
      </c>
      <c r="I225" s="182">
        <f>'Sch 3 - Expenses'!I65</f>
        <v>0</v>
      </c>
      <c r="J225" s="183">
        <f>'Sch 3 - Expenses'!J65</f>
        <v>28564668.182851963</v>
      </c>
      <c r="K225" s="904">
        <f t="shared" si="548"/>
        <v>1</v>
      </c>
      <c r="O225" s="1117">
        <f t="shared" si="549"/>
        <v>48983683.126018636</v>
      </c>
      <c r="P225" s="1118">
        <f t="shared" si="550"/>
        <v>20419014.943166677</v>
      </c>
      <c r="Q225" s="1118">
        <f t="shared" si="551"/>
        <v>1323017.9218478817</v>
      </c>
      <c r="R225" s="1118">
        <f t="shared" si="552"/>
        <v>27241650.261004075</v>
      </c>
      <c r="S225" s="1074"/>
      <c r="W225" s="1117">
        <f t="shared" si="553"/>
        <v>48983683.126018636</v>
      </c>
      <c r="X225" s="1118">
        <f t="shared" si="554"/>
        <v>20419014.943166677</v>
      </c>
      <c r="Y225" s="1118">
        <f t="shared" si="555"/>
        <v>1323017.9218478817</v>
      </c>
      <c r="Z225" s="1118">
        <f t="shared" si="556"/>
        <v>27241650.261004075</v>
      </c>
      <c r="AA225" s="1074"/>
      <c r="AE225" s="1117">
        <f t="shared" si="557"/>
        <v>48983683.126018636</v>
      </c>
      <c r="AF225" s="1118">
        <f t="shared" si="558"/>
        <v>20419014.943166677</v>
      </c>
      <c r="AG225" s="1118">
        <f t="shared" si="559"/>
        <v>1323017.9218478817</v>
      </c>
      <c r="AH225" s="1118">
        <f t="shared" si="560"/>
        <v>27241650.261004075</v>
      </c>
      <c r="AI225" s="1074"/>
      <c r="AM225" s="1117">
        <f t="shared" si="561"/>
        <v>48983683.126018636</v>
      </c>
      <c r="AN225" s="1118">
        <f t="shared" si="562"/>
        <v>20419014.943166677</v>
      </c>
      <c r="AO225" s="1118">
        <f t="shared" si="563"/>
        <v>1323017.9218478817</v>
      </c>
      <c r="AP225" s="1118">
        <f t="shared" si="564"/>
        <v>27241650.261004075</v>
      </c>
      <c r="AQ225" s="1074"/>
      <c r="AU225" s="1117">
        <f t="shared" si="565"/>
        <v>48983683.126018636</v>
      </c>
      <c r="AV225" s="1118">
        <f t="shared" si="566"/>
        <v>20419014.943166677</v>
      </c>
      <c r="AW225" s="1118">
        <f t="shared" si="567"/>
        <v>1323017.9218478817</v>
      </c>
      <c r="AX225" s="1118">
        <f t="shared" si="568"/>
        <v>27241650.261004075</v>
      </c>
      <c r="AY225" s="1074"/>
      <c r="BC225" s="1117">
        <f t="shared" si="569"/>
        <v>48983683.126018636</v>
      </c>
      <c r="BD225" s="1118">
        <f t="shared" si="570"/>
        <v>20419014.943166677</v>
      </c>
      <c r="BE225" s="1118">
        <f t="shared" si="571"/>
        <v>1323017.9218478817</v>
      </c>
      <c r="BF225" s="1118">
        <f t="shared" si="572"/>
        <v>27241650.261004075</v>
      </c>
      <c r="BG225" s="1074"/>
      <c r="BK225" s="1117">
        <f t="shared" si="573"/>
        <v>48983683.126018636</v>
      </c>
      <c r="BL225" s="1118">
        <f t="shared" si="574"/>
        <v>20419014.943166677</v>
      </c>
      <c r="BM225" s="1118">
        <f t="shared" si="575"/>
        <v>1323017.9218478817</v>
      </c>
      <c r="BN225" s="1118">
        <f t="shared" si="576"/>
        <v>27241650.261004075</v>
      </c>
      <c r="BO225" s="1074"/>
      <c r="BS225" s="1117">
        <f t="shared" si="577"/>
        <v>48983683.126018636</v>
      </c>
      <c r="BT225" s="1118">
        <f t="shared" si="578"/>
        <v>20419014.943166677</v>
      </c>
      <c r="BU225" s="1118">
        <f t="shared" si="579"/>
        <v>1323017.9218478817</v>
      </c>
      <c r="BV225" s="1118">
        <f t="shared" si="580"/>
        <v>27241650.261004075</v>
      </c>
      <c r="BW225" s="1074"/>
      <c r="CA225" s="1117">
        <f t="shared" si="581"/>
        <v>48983683.126018636</v>
      </c>
      <c r="CB225" s="1118">
        <f t="shared" si="582"/>
        <v>20419014.943166677</v>
      </c>
      <c r="CC225" s="1118">
        <f t="shared" si="583"/>
        <v>1323017.9218478817</v>
      </c>
      <c r="CD225" s="1118">
        <f t="shared" si="584"/>
        <v>27241650.261004075</v>
      </c>
      <c r="CE225" s="1074"/>
      <c r="CI225" s="1117">
        <f t="shared" si="585"/>
        <v>48983683.126018636</v>
      </c>
      <c r="CJ225" s="1118">
        <f t="shared" si="586"/>
        <v>20419014.943166677</v>
      </c>
      <c r="CK225" s="1118">
        <f t="shared" si="587"/>
        <v>1323017.9218478817</v>
      </c>
      <c r="CL225" s="1118">
        <f t="shared" si="588"/>
        <v>27241650.261004075</v>
      </c>
      <c r="CM225" s="1074"/>
      <c r="CQ225" s="1117">
        <f t="shared" si="589"/>
        <v>48983683.126018636</v>
      </c>
      <c r="CR225" s="1118">
        <f t="shared" si="590"/>
        <v>20419014.943166677</v>
      </c>
      <c r="CS225" s="1118">
        <f t="shared" si="591"/>
        <v>1323017.9218478817</v>
      </c>
      <c r="CT225" s="1118">
        <f t="shared" si="592"/>
        <v>27241650.261004075</v>
      </c>
      <c r="CU225" s="1074"/>
      <c r="CY225" s="1117">
        <f t="shared" si="593"/>
        <v>48983683.126018636</v>
      </c>
      <c r="CZ225" s="1118">
        <f t="shared" si="594"/>
        <v>20419014.943166677</v>
      </c>
      <c r="DA225" s="1118">
        <f t="shared" si="595"/>
        <v>1323017.9218478817</v>
      </c>
      <c r="DB225" s="1118">
        <f t="shared" si="596"/>
        <v>27241650.261004075</v>
      </c>
      <c r="DC225" s="1074"/>
      <c r="DG225" s="1117">
        <f t="shared" si="597"/>
        <v>48983683.126018636</v>
      </c>
      <c r="DH225" s="1118">
        <f t="shared" si="598"/>
        <v>20419014.943166677</v>
      </c>
      <c r="DI225" s="1118">
        <f t="shared" si="599"/>
        <v>1323017.9218478817</v>
      </c>
      <c r="DJ225" s="1118">
        <f t="shared" si="600"/>
        <v>27241650.261004075</v>
      </c>
      <c r="DK225" s="1074"/>
      <c r="DO225" s="1117">
        <f t="shared" si="601"/>
        <v>48983683.126018636</v>
      </c>
      <c r="DP225" s="1118">
        <f t="shared" si="602"/>
        <v>20419014.943166677</v>
      </c>
      <c r="DQ225" s="1118">
        <f t="shared" si="603"/>
        <v>1323017.9218478817</v>
      </c>
      <c r="DR225" s="1118">
        <f t="shared" si="604"/>
        <v>27241650.261004075</v>
      </c>
      <c r="DS225" s="1074"/>
      <c r="DW225" s="1117">
        <f t="shared" si="605"/>
        <v>48983683.126018636</v>
      </c>
      <c r="DX225" s="1118">
        <f t="shared" si="606"/>
        <v>20419014.943166677</v>
      </c>
      <c r="DY225" s="1118">
        <f t="shared" si="607"/>
        <v>1323017.9218478817</v>
      </c>
      <c r="DZ225" s="1118">
        <f t="shared" si="608"/>
        <v>27241650.261004075</v>
      </c>
      <c r="EA225" s="1074"/>
      <c r="EE225" s="1117">
        <f t="shared" si="609"/>
        <v>48983683.126018636</v>
      </c>
      <c r="EF225" s="1118">
        <f t="shared" si="610"/>
        <v>20419014.943166677</v>
      </c>
      <c r="EG225" s="1118">
        <f t="shared" si="611"/>
        <v>1323017.9218478817</v>
      </c>
      <c r="EH225" s="1118">
        <f t="shared" si="612"/>
        <v>27241650.261004075</v>
      </c>
      <c r="EI225" s="1074"/>
      <c r="EM225" s="1117">
        <f t="shared" si="613"/>
        <v>48983683.126018636</v>
      </c>
      <c r="EN225" s="1118">
        <f t="shared" si="614"/>
        <v>20419014.943166677</v>
      </c>
      <c r="EO225" s="1118">
        <f t="shared" si="615"/>
        <v>1323017.9218478817</v>
      </c>
      <c r="EP225" s="1118">
        <f t="shared" si="616"/>
        <v>27241650.261004075</v>
      </c>
      <c r="EQ225" s="1074"/>
      <c r="EU225" s="1117">
        <f t="shared" si="617"/>
        <v>48983683.126018636</v>
      </c>
      <c r="EV225" s="1118">
        <f t="shared" si="618"/>
        <v>20419014.943166677</v>
      </c>
      <c r="EW225" s="1118">
        <f t="shared" si="619"/>
        <v>1323017.9218478817</v>
      </c>
      <c r="EX225" s="1118">
        <f t="shared" si="620"/>
        <v>27241650.261004075</v>
      </c>
      <c r="EY225" s="1074"/>
      <c r="FC225" s="1117">
        <f t="shared" si="621"/>
        <v>48983683.126018636</v>
      </c>
      <c r="FD225" s="1118">
        <f t="shared" si="622"/>
        <v>20419014.943166677</v>
      </c>
      <c r="FE225" s="1118">
        <f t="shared" si="623"/>
        <v>1323017.9218478817</v>
      </c>
      <c r="FF225" s="1118">
        <f t="shared" si="624"/>
        <v>27241650.261004075</v>
      </c>
      <c r="FG225" s="1074"/>
      <c r="FK225" s="1117">
        <f t="shared" si="625"/>
        <v>48983683.126018636</v>
      </c>
      <c r="FL225" s="1118">
        <f t="shared" si="626"/>
        <v>20419014.943166677</v>
      </c>
      <c r="FM225" s="1118">
        <f t="shared" si="627"/>
        <v>1323017.9218478817</v>
      </c>
      <c r="FN225" s="1118">
        <f t="shared" si="628"/>
        <v>27241650.261004075</v>
      </c>
      <c r="FO225" s="1074"/>
    </row>
    <row r="226" spans="1:171" x14ac:dyDescent="0.25">
      <c r="A226" s="913"/>
      <c r="B226" s="914" t="s">
        <v>467</v>
      </c>
      <c r="C226" s="889" t="s">
        <v>72</v>
      </c>
      <c r="D226" s="889">
        <v>927</v>
      </c>
      <c r="E226" s="182" t="str">
        <f>'Sch 3 - Expenses'!E66</f>
        <v>DIST</v>
      </c>
      <c r="F226" s="890"/>
      <c r="G226" s="182">
        <f>'Sch 3 - Expenses'!G66</f>
        <v>0</v>
      </c>
      <c r="H226" s="182">
        <f>'Sch 3 - Expenses'!H66</f>
        <v>0</v>
      </c>
      <c r="I226" s="182">
        <f>'Sch 3 - Expenses'!I66</f>
        <v>0</v>
      </c>
      <c r="J226" s="183">
        <f>'Sch 3 - Expenses'!J66</f>
        <v>0</v>
      </c>
      <c r="K226" s="904">
        <f t="shared" si="548"/>
        <v>1</v>
      </c>
      <c r="O226" s="1117">
        <f t="shared" si="549"/>
        <v>0</v>
      </c>
      <c r="P226" s="1118">
        <f t="shared" si="550"/>
        <v>0</v>
      </c>
      <c r="Q226" s="1118">
        <f t="shared" si="551"/>
        <v>0</v>
      </c>
      <c r="R226" s="1118">
        <f t="shared" si="552"/>
        <v>0</v>
      </c>
      <c r="S226" s="1074"/>
      <c r="W226" s="1117">
        <f t="shared" si="553"/>
        <v>0</v>
      </c>
      <c r="X226" s="1118">
        <f t="shared" si="554"/>
        <v>0</v>
      </c>
      <c r="Y226" s="1118">
        <f t="shared" si="555"/>
        <v>0</v>
      </c>
      <c r="Z226" s="1118">
        <f t="shared" si="556"/>
        <v>0</v>
      </c>
      <c r="AA226" s="1074"/>
      <c r="AE226" s="1117">
        <f t="shared" si="557"/>
        <v>0</v>
      </c>
      <c r="AF226" s="1118">
        <f t="shared" si="558"/>
        <v>0</v>
      </c>
      <c r="AG226" s="1118">
        <f t="shared" si="559"/>
        <v>0</v>
      </c>
      <c r="AH226" s="1118">
        <f t="shared" si="560"/>
        <v>0</v>
      </c>
      <c r="AI226" s="1074"/>
      <c r="AM226" s="1117">
        <f t="shared" si="561"/>
        <v>0</v>
      </c>
      <c r="AN226" s="1118">
        <f t="shared" si="562"/>
        <v>0</v>
      </c>
      <c r="AO226" s="1118">
        <f t="shared" si="563"/>
        <v>0</v>
      </c>
      <c r="AP226" s="1118">
        <f t="shared" si="564"/>
        <v>0</v>
      </c>
      <c r="AQ226" s="1074"/>
      <c r="AU226" s="1117">
        <f t="shared" si="565"/>
        <v>0</v>
      </c>
      <c r="AV226" s="1118">
        <f t="shared" si="566"/>
        <v>0</v>
      </c>
      <c r="AW226" s="1118">
        <f t="shared" si="567"/>
        <v>0</v>
      </c>
      <c r="AX226" s="1118">
        <f t="shared" si="568"/>
        <v>0</v>
      </c>
      <c r="AY226" s="1074"/>
      <c r="BC226" s="1117">
        <f t="shared" si="569"/>
        <v>0</v>
      </c>
      <c r="BD226" s="1118">
        <f t="shared" si="570"/>
        <v>0</v>
      </c>
      <c r="BE226" s="1118">
        <f t="shared" si="571"/>
        <v>0</v>
      </c>
      <c r="BF226" s="1118">
        <f t="shared" si="572"/>
        <v>0</v>
      </c>
      <c r="BG226" s="1074"/>
      <c r="BK226" s="1117">
        <f t="shared" si="573"/>
        <v>0</v>
      </c>
      <c r="BL226" s="1118">
        <f t="shared" si="574"/>
        <v>0</v>
      </c>
      <c r="BM226" s="1118">
        <f t="shared" si="575"/>
        <v>0</v>
      </c>
      <c r="BN226" s="1118">
        <f t="shared" si="576"/>
        <v>0</v>
      </c>
      <c r="BO226" s="1074"/>
      <c r="BS226" s="1117">
        <f t="shared" si="577"/>
        <v>0</v>
      </c>
      <c r="BT226" s="1118">
        <f t="shared" si="578"/>
        <v>0</v>
      </c>
      <c r="BU226" s="1118">
        <f t="shared" si="579"/>
        <v>0</v>
      </c>
      <c r="BV226" s="1118">
        <f t="shared" si="580"/>
        <v>0</v>
      </c>
      <c r="BW226" s="1074"/>
      <c r="CA226" s="1117">
        <f t="shared" si="581"/>
        <v>0</v>
      </c>
      <c r="CB226" s="1118">
        <f t="shared" si="582"/>
        <v>0</v>
      </c>
      <c r="CC226" s="1118">
        <f t="shared" si="583"/>
        <v>0</v>
      </c>
      <c r="CD226" s="1118">
        <f t="shared" si="584"/>
        <v>0</v>
      </c>
      <c r="CE226" s="1074"/>
      <c r="CI226" s="1117">
        <f t="shared" si="585"/>
        <v>0</v>
      </c>
      <c r="CJ226" s="1118">
        <f t="shared" si="586"/>
        <v>0</v>
      </c>
      <c r="CK226" s="1118">
        <f t="shared" si="587"/>
        <v>0</v>
      </c>
      <c r="CL226" s="1118">
        <f t="shared" si="588"/>
        <v>0</v>
      </c>
      <c r="CM226" s="1074"/>
      <c r="CQ226" s="1117">
        <f t="shared" si="589"/>
        <v>0</v>
      </c>
      <c r="CR226" s="1118">
        <f t="shared" si="590"/>
        <v>0</v>
      </c>
      <c r="CS226" s="1118">
        <f t="shared" si="591"/>
        <v>0</v>
      </c>
      <c r="CT226" s="1118">
        <f t="shared" si="592"/>
        <v>0</v>
      </c>
      <c r="CU226" s="1074"/>
      <c r="CY226" s="1117">
        <f t="shared" si="593"/>
        <v>0</v>
      </c>
      <c r="CZ226" s="1118">
        <f t="shared" si="594"/>
        <v>0</v>
      </c>
      <c r="DA226" s="1118">
        <f t="shared" si="595"/>
        <v>0</v>
      </c>
      <c r="DB226" s="1118">
        <f t="shared" si="596"/>
        <v>0</v>
      </c>
      <c r="DC226" s="1074"/>
      <c r="DG226" s="1117">
        <f t="shared" si="597"/>
        <v>0</v>
      </c>
      <c r="DH226" s="1118">
        <f t="shared" si="598"/>
        <v>0</v>
      </c>
      <c r="DI226" s="1118">
        <f t="shared" si="599"/>
        <v>0</v>
      </c>
      <c r="DJ226" s="1118">
        <f t="shared" si="600"/>
        <v>0</v>
      </c>
      <c r="DK226" s="1074"/>
      <c r="DO226" s="1117">
        <f t="shared" si="601"/>
        <v>0</v>
      </c>
      <c r="DP226" s="1118">
        <f t="shared" si="602"/>
        <v>0</v>
      </c>
      <c r="DQ226" s="1118">
        <f t="shared" si="603"/>
        <v>0</v>
      </c>
      <c r="DR226" s="1118">
        <f t="shared" si="604"/>
        <v>0</v>
      </c>
      <c r="DS226" s="1074"/>
      <c r="DW226" s="1117">
        <f t="shared" si="605"/>
        <v>0</v>
      </c>
      <c r="DX226" s="1118">
        <f t="shared" si="606"/>
        <v>0</v>
      </c>
      <c r="DY226" s="1118">
        <f t="shared" si="607"/>
        <v>0</v>
      </c>
      <c r="DZ226" s="1118">
        <f t="shared" si="608"/>
        <v>0</v>
      </c>
      <c r="EA226" s="1074"/>
      <c r="EE226" s="1117">
        <f t="shared" si="609"/>
        <v>0</v>
      </c>
      <c r="EF226" s="1118">
        <f t="shared" si="610"/>
        <v>0</v>
      </c>
      <c r="EG226" s="1118">
        <f t="shared" si="611"/>
        <v>0</v>
      </c>
      <c r="EH226" s="1118">
        <f t="shared" si="612"/>
        <v>0</v>
      </c>
      <c r="EI226" s="1074"/>
      <c r="EM226" s="1117">
        <f t="shared" si="613"/>
        <v>0</v>
      </c>
      <c r="EN226" s="1118">
        <f t="shared" si="614"/>
        <v>0</v>
      </c>
      <c r="EO226" s="1118">
        <f t="shared" si="615"/>
        <v>0</v>
      </c>
      <c r="EP226" s="1118">
        <f t="shared" si="616"/>
        <v>0</v>
      </c>
      <c r="EQ226" s="1074"/>
      <c r="EU226" s="1117">
        <f t="shared" si="617"/>
        <v>0</v>
      </c>
      <c r="EV226" s="1118">
        <f t="shared" si="618"/>
        <v>0</v>
      </c>
      <c r="EW226" s="1118">
        <f t="shared" si="619"/>
        <v>0</v>
      </c>
      <c r="EX226" s="1118">
        <f t="shared" si="620"/>
        <v>0</v>
      </c>
      <c r="EY226" s="1074"/>
      <c r="FC226" s="1117">
        <f t="shared" si="621"/>
        <v>0</v>
      </c>
      <c r="FD226" s="1118">
        <f t="shared" si="622"/>
        <v>0</v>
      </c>
      <c r="FE226" s="1118">
        <f t="shared" si="623"/>
        <v>0</v>
      </c>
      <c r="FF226" s="1118">
        <f t="shared" si="624"/>
        <v>0</v>
      </c>
      <c r="FG226" s="1074"/>
      <c r="FK226" s="1117">
        <f t="shared" si="625"/>
        <v>0</v>
      </c>
      <c r="FL226" s="1118">
        <f t="shared" si="626"/>
        <v>0</v>
      </c>
      <c r="FM226" s="1118">
        <f t="shared" si="627"/>
        <v>0</v>
      </c>
      <c r="FN226" s="1118">
        <f t="shared" si="628"/>
        <v>0</v>
      </c>
      <c r="FO226" s="1074"/>
    </row>
    <row r="227" spans="1:171" x14ac:dyDescent="0.25">
      <c r="A227" s="913"/>
      <c r="B227" s="914" t="s">
        <v>469</v>
      </c>
      <c r="C227" s="889" t="s">
        <v>72</v>
      </c>
      <c r="D227" s="889">
        <v>928</v>
      </c>
      <c r="E227" s="182" t="str">
        <f>'Sch 3 - Expenses'!E67</f>
        <v>DIST</v>
      </c>
      <c r="F227" s="890"/>
      <c r="G227" s="182">
        <f>'Sch 3 - Expenses'!G67</f>
        <v>15830390.456935205</v>
      </c>
      <c r="H227" s="182">
        <f>'Sch 3 - Expenses'!H67</f>
        <v>0</v>
      </c>
      <c r="I227" s="182">
        <f>'Sch 3 - Expenses'!I67</f>
        <v>0</v>
      </c>
      <c r="J227" s="183">
        <f>'Sch 3 - Expenses'!J67</f>
        <v>15830390.456935205</v>
      </c>
      <c r="K227" s="904">
        <f t="shared" si="548"/>
        <v>1</v>
      </c>
      <c r="O227" s="1117">
        <f t="shared" si="549"/>
        <v>15830390.456935205</v>
      </c>
      <c r="P227" s="1118">
        <f t="shared" si="550"/>
        <v>0</v>
      </c>
      <c r="Q227" s="1118">
        <f t="shared" si="551"/>
        <v>0</v>
      </c>
      <c r="R227" s="1118">
        <f t="shared" si="552"/>
        <v>15830390.456935205</v>
      </c>
      <c r="S227" s="1074"/>
      <c r="W227" s="1117">
        <f t="shared" si="553"/>
        <v>15830390.456935205</v>
      </c>
      <c r="X227" s="1118">
        <f t="shared" si="554"/>
        <v>0</v>
      </c>
      <c r="Y227" s="1118">
        <f t="shared" si="555"/>
        <v>0</v>
      </c>
      <c r="Z227" s="1118">
        <f t="shared" si="556"/>
        <v>15830390.456935205</v>
      </c>
      <c r="AA227" s="1074"/>
      <c r="AE227" s="1117">
        <f t="shared" si="557"/>
        <v>15830390.456935205</v>
      </c>
      <c r="AF227" s="1118">
        <f t="shared" si="558"/>
        <v>0</v>
      </c>
      <c r="AG227" s="1118">
        <f t="shared" si="559"/>
        <v>0</v>
      </c>
      <c r="AH227" s="1118">
        <f t="shared" si="560"/>
        <v>15830390.456935205</v>
      </c>
      <c r="AI227" s="1074"/>
      <c r="AM227" s="1117">
        <f t="shared" si="561"/>
        <v>15830390.456935205</v>
      </c>
      <c r="AN227" s="1118">
        <f t="shared" si="562"/>
        <v>0</v>
      </c>
      <c r="AO227" s="1118">
        <f t="shared" si="563"/>
        <v>0</v>
      </c>
      <c r="AP227" s="1118">
        <f t="shared" si="564"/>
        <v>15830390.456935205</v>
      </c>
      <c r="AQ227" s="1074"/>
      <c r="AU227" s="1117">
        <f t="shared" si="565"/>
        <v>15830390.456935205</v>
      </c>
      <c r="AV227" s="1118">
        <f t="shared" si="566"/>
        <v>0</v>
      </c>
      <c r="AW227" s="1118">
        <f t="shared" si="567"/>
        <v>0</v>
      </c>
      <c r="AX227" s="1118">
        <f t="shared" si="568"/>
        <v>15830390.456935205</v>
      </c>
      <c r="AY227" s="1074"/>
      <c r="BC227" s="1117">
        <f t="shared" si="569"/>
        <v>15830390.456935205</v>
      </c>
      <c r="BD227" s="1118">
        <f t="shared" si="570"/>
        <v>0</v>
      </c>
      <c r="BE227" s="1118">
        <f t="shared" si="571"/>
        <v>0</v>
      </c>
      <c r="BF227" s="1118">
        <f t="shared" si="572"/>
        <v>15830390.456935205</v>
      </c>
      <c r="BG227" s="1074"/>
      <c r="BK227" s="1117">
        <f t="shared" si="573"/>
        <v>15830390.456935205</v>
      </c>
      <c r="BL227" s="1118">
        <f t="shared" si="574"/>
        <v>0</v>
      </c>
      <c r="BM227" s="1118">
        <f t="shared" si="575"/>
        <v>0</v>
      </c>
      <c r="BN227" s="1118">
        <f t="shared" si="576"/>
        <v>15830390.456935205</v>
      </c>
      <c r="BO227" s="1074"/>
      <c r="BS227" s="1117">
        <f t="shared" si="577"/>
        <v>15830390.456935205</v>
      </c>
      <c r="BT227" s="1118">
        <f t="shared" si="578"/>
        <v>0</v>
      </c>
      <c r="BU227" s="1118">
        <f t="shared" si="579"/>
        <v>0</v>
      </c>
      <c r="BV227" s="1118">
        <f t="shared" si="580"/>
        <v>15830390.456935205</v>
      </c>
      <c r="BW227" s="1074"/>
      <c r="CA227" s="1117">
        <f t="shared" si="581"/>
        <v>15830390.456935205</v>
      </c>
      <c r="CB227" s="1118">
        <f t="shared" si="582"/>
        <v>0</v>
      </c>
      <c r="CC227" s="1118">
        <f t="shared" si="583"/>
        <v>0</v>
      </c>
      <c r="CD227" s="1118">
        <f t="shared" si="584"/>
        <v>15830390.456935205</v>
      </c>
      <c r="CE227" s="1074"/>
      <c r="CI227" s="1117">
        <f t="shared" si="585"/>
        <v>15830390.456935205</v>
      </c>
      <c r="CJ227" s="1118">
        <f t="shared" si="586"/>
        <v>0</v>
      </c>
      <c r="CK227" s="1118">
        <f t="shared" si="587"/>
        <v>0</v>
      </c>
      <c r="CL227" s="1118">
        <f t="shared" si="588"/>
        <v>15830390.456935205</v>
      </c>
      <c r="CM227" s="1074"/>
      <c r="CQ227" s="1117">
        <f t="shared" si="589"/>
        <v>15830390.456935205</v>
      </c>
      <c r="CR227" s="1118">
        <f t="shared" si="590"/>
        <v>0</v>
      </c>
      <c r="CS227" s="1118">
        <f t="shared" si="591"/>
        <v>0</v>
      </c>
      <c r="CT227" s="1118">
        <f t="shared" si="592"/>
        <v>15830390.456935205</v>
      </c>
      <c r="CU227" s="1074"/>
      <c r="CY227" s="1117">
        <f t="shared" si="593"/>
        <v>15830390.456935205</v>
      </c>
      <c r="CZ227" s="1118">
        <f t="shared" si="594"/>
        <v>0</v>
      </c>
      <c r="DA227" s="1118">
        <f t="shared" si="595"/>
        <v>0</v>
      </c>
      <c r="DB227" s="1118">
        <f t="shared" si="596"/>
        <v>15830390.456935205</v>
      </c>
      <c r="DC227" s="1074"/>
      <c r="DG227" s="1117">
        <f t="shared" si="597"/>
        <v>15830390.456935205</v>
      </c>
      <c r="DH227" s="1118">
        <f t="shared" si="598"/>
        <v>0</v>
      </c>
      <c r="DI227" s="1118">
        <f t="shared" si="599"/>
        <v>0</v>
      </c>
      <c r="DJ227" s="1118">
        <f t="shared" si="600"/>
        <v>15830390.456935205</v>
      </c>
      <c r="DK227" s="1074"/>
      <c r="DO227" s="1117">
        <f t="shared" si="601"/>
        <v>15830390.456935205</v>
      </c>
      <c r="DP227" s="1118">
        <f t="shared" si="602"/>
        <v>0</v>
      </c>
      <c r="DQ227" s="1118">
        <f t="shared" si="603"/>
        <v>0</v>
      </c>
      <c r="DR227" s="1118">
        <f t="shared" si="604"/>
        <v>15830390.456935205</v>
      </c>
      <c r="DS227" s="1074"/>
      <c r="DW227" s="1117">
        <f t="shared" si="605"/>
        <v>15830390.456935205</v>
      </c>
      <c r="DX227" s="1118">
        <f t="shared" si="606"/>
        <v>0</v>
      </c>
      <c r="DY227" s="1118">
        <f t="shared" si="607"/>
        <v>0</v>
      </c>
      <c r="DZ227" s="1118">
        <f t="shared" si="608"/>
        <v>15830390.456935205</v>
      </c>
      <c r="EA227" s="1074"/>
      <c r="EE227" s="1117">
        <f t="shared" si="609"/>
        <v>15830390.456935205</v>
      </c>
      <c r="EF227" s="1118">
        <f t="shared" si="610"/>
        <v>0</v>
      </c>
      <c r="EG227" s="1118">
        <f t="shared" si="611"/>
        <v>0</v>
      </c>
      <c r="EH227" s="1118">
        <f t="shared" si="612"/>
        <v>15830390.456935205</v>
      </c>
      <c r="EI227" s="1074"/>
      <c r="EM227" s="1117">
        <f t="shared" si="613"/>
        <v>15830390.456935205</v>
      </c>
      <c r="EN227" s="1118">
        <f t="shared" si="614"/>
        <v>0</v>
      </c>
      <c r="EO227" s="1118">
        <f t="shared" si="615"/>
        <v>0</v>
      </c>
      <c r="EP227" s="1118">
        <f t="shared" si="616"/>
        <v>15830390.456935205</v>
      </c>
      <c r="EQ227" s="1074"/>
      <c r="EU227" s="1117">
        <f t="shared" si="617"/>
        <v>15830390.456935205</v>
      </c>
      <c r="EV227" s="1118">
        <f t="shared" si="618"/>
        <v>0</v>
      </c>
      <c r="EW227" s="1118">
        <f t="shared" si="619"/>
        <v>0</v>
      </c>
      <c r="EX227" s="1118">
        <f t="shared" si="620"/>
        <v>15830390.456935205</v>
      </c>
      <c r="EY227" s="1074"/>
      <c r="FC227" s="1117">
        <f t="shared" si="621"/>
        <v>15830390.456935205</v>
      </c>
      <c r="FD227" s="1118">
        <f t="shared" si="622"/>
        <v>0</v>
      </c>
      <c r="FE227" s="1118">
        <f t="shared" si="623"/>
        <v>0</v>
      </c>
      <c r="FF227" s="1118">
        <f t="shared" si="624"/>
        <v>15830390.456935205</v>
      </c>
      <c r="FG227" s="1074"/>
      <c r="FK227" s="1117">
        <f t="shared" si="625"/>
        <v>15830390.456935205</v>
      </c>
      <c r="FL227" s="1118">
        <f t="shared" si="626"/>
        <v>0</v>
      </c>
      <c r="FM227" s="1118">
        <f t="shared" si="627"/>
        <v>0</v>
      </c>
      <c r="FN227" s="1118">
        <f t="shared" si="628"/>
        <v>15830390.456935205</v>
      </c>
      <c r="FO227" s="1074"/>
    </row>
    <row r="228" spans="1:171" x14ac:dyDescent="0.25">
      <c r="A228" s="913"/>
      <c r="B228" s="914" t="s">
        <v>168</v>
      </c>
      <c r="C228" s="889" t="s">
        <v>72</v>
      </c>
      <c r="D228" s="889">
        <v>929</v>
      </c>
      <c r="E228" s="182" t="str">
        <f>'Sch 3 - Expenses'!E68</f>
        <v>PTDG</v>
      </c>
      <c r="F228" s="890"/>
      <c r="G228" s="182">
        <f>'Sch 3 - Expenses'!G68</f>
        <v>58868042.536690846</v>
      </c>
      <c r="H228" s="182">
        <f>'Sch 3 - Expenses'!H68</f>
        <v>25573131.364355773</v>
      </c>
      <c r="I228" s="182">
        <f>'Sch 3 - Expenses'!I68</f>
        <v>0</v>
      </c>
      <c r="J228" s="183">
        <f>'Sch 3 - Expenses'!J68</f>
        <v>33300802.340501122</v>
      </c>
      <c r="K228" s="904">
        <f t="shared" si="548"/>
        <v>1</v>
      </c>
      <c r="O228" s="1117">
        <f t="shared" si="549"/>
        <v>58868042.536690846</v>
      </c>
      <c r="P228" s="1118">
        <f t="shared" si="550"/>
        <v>25573131.364355773</v>
      </c>
      <c r="Q228" s="1118">
        <f t="shared" si="551"/>
        <v>14899561.630298913</v>
      </c>
      <c r="R228" s="1118">
        <f t="shared" si="552"/>
        <v>18395349.542036157</v>
      </c>
      <c r="S228" s="1074"/>
      <c r="W228" s="1117">
        <f t="shared" si="553"/>
        <v>58868042.536690846</v>
      </c>
      <c r="X228" s="1118">
        <f t="shared" si="554"/>
        <v>25573131.364355773</v>
      </c>
      <c r="Y228" s="1118">
        <f t="shared" si="555"/>
        <v>14899561.630298913</v>
      </c>
      <c r="Z228" s="1118">
        <f t="shared" si="556"/>
        <v>18395349.542036157</v>
      </c>
      <c r="AA228" s="1074"/>
      <c r="AE228" s="1117">
        <f t="shared" si="557"/>
        <v>58868042.536690846</v>
      </c>
      <c r="AF228" s="1118">
        <f t="shared" si="558"/>
        <v>25573131.364355773</v>
      </c>
      <c r="AG228" s="1118">
        <f t="shared" si="559"/>
        <v>14899561.630298913</v>
      </c>
      <c r="AH228" s="1118">
        <f t="shared" si="560"/>
        <v>18395349.542036157</v>
      </c>
      <c r="AI228" s="1074"/>
      <c r="AM228" s="1117">
        <f t="shared" si="561"/>
        <v>58868042.536690846</v>
      </c>
      <c r="AN228" s="1118">
        <f t="shared" si="562"/>
        <v>25573131.364355773</v>
      </c>
      <c r="AO228" s="1118">
        <f t="shared" si="563"/>
        <v>14899561.630298913</v>
      </c>
      <c r="AP228" s="1118">
        <f t="shared" si="564"/>
        <v>18395349.542036157</v>
      </c>
      <c r="AQ228" s="1074"/>
      <c r="AU228" s="1117">
        <f t="shared" si="565"/>
        <v>58868042.536690846</v>
      </c>
      <c r="AV228" s="1118">
        <f t="shared" si="566"/>
        <v>25573131.364355773</v>
      </c>
      <c r="AW228" s="1118">
        <f t="shared" si="567"/>
        <v>14899561.630298913</v>
      </c>
      <c r="AX228" s="1118">
        <f t="shared" si="568"/>
        <v>18395349.542036157</v>
      </c>
      <c r="AY228" s="1074"/>
      <c r="BC228" s="1117">
        <f t="shared" si="569"/>
        <v>58868042.536690846</v>
      </c>
      <c r="BD228" s="1118">
        <f t="shared" si="570"/>
        <v>25573131.364355773</v>
      </c>
      <c r="BE228" s="1118">
        <f t="shared" si="571"/>
        <v>14899561.630298913</v>
      </c>
      <c r="BF228" s="1118">
        <f t="shared" si="572"/>
        <v>18395349.542036157</v>
      </c>
      <c r="BG228" s="1074"/>
      <c r="BK228" s="1117">
        <f t="shared" si="573"/>
        <v>58868042.536690846</v>
      </c>
      <c r="BL228" s="1118">
        <f t="shared" si="574"/>
        <v>25573131.364355773</v>
      </c>
      <c r="BM228" s="1118">
        <f t="shared" si="575"/>
        <v>14899561.630298913</v>
      </c>
      <c r="BN228" s="1118">
        <f t="shared" si="576"/>
        <v>18395349.542036157</v>
      </c>
      <c r="BO228" s="1074"/>
      <c r="BS228" s="1117">
        <f t="shared" si="577"/>
        <v>58868042.536690846</v>
      </c>
      <c r="BT228" s="1118">
        <f t="shared" si="578"/>
        <v>25573131.364355773</v>
      </c>
      <c r="BU228" s="1118">
        <f t="shared" si="579"/>
        <v>14899561.630298913</v>
      </c>
      <c r="BV228" s="1118">
        <f t="shared" si="580"/>
        <v>18395349.542036157</v>
      </c>
      <c r="BW228" s="1074"/>
      <c r="CA228" s="1117">
        <f t="shared" si="581"/>
        <v>58868042.536690846</v>
      </c>
      <c r="CB228" s="1118">
        <f t="shared" si="582"/>
        <v>25573131.364355773</v>
      </c>
      <c r="CC228" s="1118">
        <f t="shared" si="583"/>
        <v>14899561.630298913</v>
      </c>
      <c r="CD228" s="1118">
        <f t="shared" si="584"/>
        <v>18395349.542036157</v>
      </c>
      <c r="CE228" s="1074"/>
      <c r="CI228" s="1117">
        <f t="shared" si="585"/>
        <v>58868042.536690846</v>
      </c>
      <c r="CJ228" s="1118">
        <f t="shared" si="586"/>
        <v>25573131.364355773</v>
      </c>
      <c r="CK228" s="1118">
        <f t="shared" si="587"/>
        <v>14899561.630298913</v>
      </c>
      <c r="CL228" s="1118">
        <f t="shared" si="588"/>
        <v>18395349.542036157</v>
      </c>
      <c r="CM228" s="1074"/>
      <c r="CQ228" s="1117">
        <f t="shared" si="589"/>
        <v>58868042.536690846</v>
      </c>
      <c r="CR228" s="1118">
        <f t="shared" si="590"/>
        <v>25573131.364355773</v>
      </c>
      <c r="CS228" s="1118">
        <f t="shared" si="591"/>
        <v>14899561.630298913</v>
      </c>
      <c r="CT228" s="1118">
        <f t="shared" si="592"/>
        <v>18395349.542036157</v>
      </c>
      <c r="CU228" s="1074"/>
      <c r="CY228" s="1117">
        <f t="shared" si="593"/>
        <v>58868042.536690846</v>
      </c>
      <c r="CZ228" s="1118">
        <f t="shared" si="594"/>
        <v>25573131.364355773</v>
      </c>
      <c r="DA228" s="1118">
        <f t="shared" si="595"/>
        <v>14899561.630298913</v>
      </c>
      <c r="DB228" s="1118">
        <f t="shared" si="596"/>
        <v>18395349.542036157</v>
      </c>
      <c r="DC228" s="1074"/>
      <c r="DG228" s="1117">
        <f t="shared" si="597"/>
        <v>58868042.536690846</v>
      </c>
      <c r="DH228" s="1118">
        <f t="shared" si="598"/>
        <v>25573131.364355773</v>
      </c>
      <c r="DI228" s="1118">
        <f t="shared" si="599"/>
        <v>14899561.630298913</v>
      </c>
      <c r="DJ228" s="1118">
        <f t="shared" si="600"/>
        <v>18395349.542036157</v>
      </c>
      <c r="DK228" s="1074"/>
      <c r="DO228" s="1117">
        <f t="shared" si="601"/>
        <v>58868042.536690846</v>
      </c>
      <c r="DP228" s="1118">
        <f t="shared" si="602"/>
        <v>25573131.364355773</v>
      </c>
      <c r="DQ228" s="1118">
        <f t="shared" si="603"/>
        <v>14899561.630298913</v>
      </c>
      <c r="DR228" s="1118">
        <f t="shared" si="604"/>
        <v>18395349.542036157</v>
      </c>
      <c r="DS228" s="1074"/>
      <c r="DW228" s="1117">
        <f t="shared" si="605"/>
        <v>58868042.536690846</v>
      </c>
      <c r="DX228" s="1118">
        <f t="shared" si="606"/>
        <v>25573131.364355773</v>
      </c>
      <c r="DY228" s="1118">
        <f t="shared" si="607"/>
        <v>14899561.630298913</v>
      </c>
      <c r="DZ228" s="1118">
        <f t="shared" si="608"/>
        <v>18395349.542036157</v>
      </c>
      <c r="EA228" s="1074"/>
      <c r="EE228" s="1117">
        <f t="shared" si="609"/>
        <v>58868042.536690846</v>
      </c>
      <c r="EF228" s="1118">
        <f t="shared" si="610"/>
        <v>25573131.364355773</v>
      </c>
      <c r="EG228" s="1118">
        <f t="shared" si="611"/>
        <v>14899561.630298913</v>
      </c>
      <c r="EH228" s="1118">
        <f t="shared" si="612"/>
        <v>18395349.542036157</v>
      </c>
      <c r="EI228" s="1074"/>
      <c r="EM228" s="1117">
        <f t="shared" si="613"/>
        <v>58868042.536690846</v>
      </c>
      <c r="EN228" s="1118">
        <f t="shared" si="614"/>
        <v>25573131.364355773</v>
      </c>
      <c r="EO228" s="1118">
        <f t="shared" si="615"/>
        <v>14899561.630298913</v>
      </c>
      <c r="EP228" s="1118">
        <f t="shared" si="616"/>
        <v>18395349.542036157</v>
      </c>
      <c r="EQ228" s="1074"/>
      <c r="EU228" s="1117">
        <f t="shared" si="617"/>
        <v>58868042.536690846</v>
      </c>
      <c r="EV228" s="1118">
        <f t="shared" si="618"/>
        <v>25573131.364355773</v>
      </c>
      <c r="EW228" s="1118">
        <f t="shared" si="619"/>
        <v>14899561.630298913</v>
      </c>
      <c r="EX228" s="1118">
        <f t="shared" si="620"/>
        <v>18395349.542036157</v>
      </c>
      <c r="EY228" s="1074"/>
      <c r="FC228" s="1117">
        <f t="shared" si="621"/>
        <v>58868042.536690846</v>
      </c>
      <c r="FD228" s="1118">
        <f t="shared" si="622"/>
        <v>25573131.364355773</v>
      </c>
      <c r="FE228" s="1118">
        <f t="shared" si="623"/>
        <v>14899561.630298913</v>
      </c>
      <c r="FF228" s="1118">
        <f t="shared" si="624"/>
        <v>18395349.542036157</v>
      </c>
      <c r="FG228" s="1074"/>
      <c r="FK228" s="1117">
        <f t="shared" si="625"/>
        <v>58868042.536690846</v>
      </c>
      <c r="FL228" s="1118">
        <f t="shared" si="626"/>
        <v>25573131.364355773</v>
      </c>
      <c r="FM228" s="1118">
        <f t="shared" si="627"/>
        <v>14899561.630298913</v>
      </c>
      <c r="FN228" s="1118">
        <f t="shared" si="628"/>
        <v>18395349.542036157</v>
      </c>
      <c r="FO228" s="1074"/>
    </row>
    <row r="229" spans="1:171" x14ac:dyDescent="0.25">
      <c r="A229" s="913"/>
      <c r="B229" s="914" t="s">
        <v>169</v>
      </c>
      <c r="C229" s="889" t="s">
        <v>72</v>
      </c>
      <c r="D229" s="889">
        <v>930.1</v>
      </c>
      <c r="E229" s="182" t="str">
        <f>'Sch 3 - Expenses'!E69</f>
        <v>DIST</v>
      </c>
      <c r="F229" s="890"/>
      <c r="G229" s="182">
        <f>'Sch 3 - Expenses'!G69</f>
        <v>19956.572503887328</v>
      </c>
      <c r="H229" s="182">
        <f>'Sch 3 - Expenses'!H69</f>
        <v>0</v>
      </c>
      <c r="I229" s="182">
        <f>'Sch 3 - Expenses'!I69</f>
        <v>0</v>
      </c>
      <c r="J229" s="183">
        <f>'Sch 3 - Expenses'!J69</f>
        <v>19956.572503887328</v>
      </c>
      <c r="K229" s="904">
        <f t="shared" si="548"/>
        <v>1</v>
      </c>
      <c r="O229" s="1117">
        <f t="shared" si="549"/>
        <v>19956.572503887328</v>
      </c>
      <c r="P229" s="1118">
        <f t="shared" si="550"/>
        <v>0</v>
      </c>
      <c r="Q229" s="1118">
        <f t="shared" si="551"/>
        <v>0</v>
      </c>
      <c r="R229" s="1118">
        <f t="shared" si="552"/>
        <v>19956.572503887328</v>
      </c>
      <c r="S229" s="1074"/>
      <c r="W229" s="1117">
        <f t="shared" si="553"/>
        <v>19956.572503887328</v>
      </c>
      <c r="X229" s="1118">
        <f t="shared" si="554"/>
        <v>0</v>
      </c>
      <c r="Y229" s="1118">
        <f t="shared" si="555"/>
        <v>0</v>
      </c>
      <c r="Z229" s="1118">
        <f t="shared" si="556"/>
        <v>19956.572503887328</v>
      </c>
      <c r="AA229" s="1074"/>
      <c r="AE229" s="1117">
        <f t="shared" si="557"/>
        <v>19956.572503887328</v>
      </c>
      <c r="AF229" s="1118">
        <f t="shared" si="558"/>
        <v>0</v>
      </c>
      <c r="AG229" s="1118">
        <f t="shared" si="559"/>
        <v>0</v>
      </c>
      <c r="AH229" s="1118">
        <f t="shared" si="560"/>
        <v>19956.572503887328</v>
      </c>
      <c r="AI229" s="1074"/>
      <c r="AM229" s="1117">
        <f t="shared" si="561"/>
        <v>19956.572503887328</v>
      </c>
      <c r="AN229" s="1118">
        <f t="shared" si="562"/>
        <v>0</v>
      </c>
      <c r="AO229" s="1118">
        <f t="shared" si="563"/>
        <v>0</v>
      </c>
      <c r="AP229" s="1118">
        <f t="shared" si="564"/>
        <v>19956.572503887328</v>
      </c>
      <c r="AQ229" s="1074"/>
      <c r="AU229" s="1117">
        <f t="shared" si="565"/>
        <v>19956.572503887328</v>
      </c>
      <c r="AV229" s="1118">
        <f t="shared" si="566"/>
        <v>0</v>
      </c>
      <c r="AW229" s="1118">
        <f t="shared" si="567"/>
        <v>0</v>
      </c>
      <c r="AX229" s="1118">
        <f t="shared" si="568"/>
        <v>19956.572503887328</v>
      </c>
      <c r="AY229" s="1074"/>
      <c r="BC229" s="1117">
        <f t="shared" si="569"/>
        <v>19956.572503887328</v>
      </c>
      <c r="BD229" s="1118">
        <f t="shared" si="570"/>
        <v>0</v>
      </c>
      <c r="BE229" s="1118">
        <f t="shared" si="571"/>
        <v>0</v>
      </c>
      <c r="BF229" s="1118">
        <f t="shared" si="572"/>
        <v>19956.572503887328</v>
      </c>
      <c r="BG229" s="1074"/>
      <c r="BK229" s="1117">
        <f t="shared" si="573"/>
        <v>19956.572503887328</v>
      </c>
      <c r="BL229" s="1118">
        <f t="shared" si="574"/>
        <v>0</v>
      </c>
      <c r="BM229" s="1118">
        <f t="shared" si="575"/>
        <v>0</v>
      </c>
      <c r="BN229" s="1118">
        <f t="shared" si="576"/>
        <v>19956.572503887328</v>
      </c>
      <c r="BO229" s="1074"/>
      <c r="BS229" s="1117">
        <f t="shared" si="577"/>
        <v>19956.572503887328</v>
      </c>
      <c r="BT229" s="1118">
        <f t="shared" si="578"/>
        <v>0</v>
      </c>
      <c r="BU229" s="1118">
        <f t="shared" si="579"/>
        <v>0</v>
      </c>
      <c r="BV229" s="1118">
        <f t="shared" si="580"/>
        <v>19956.572503887328</v>
      </c>
      <c r="BW229" s="1074"/>
      <c r="CA229" s="1117">
        <f t="shared" si="581"/>
        <v>19956.572503887328</v>
      </c>
      <c r="CB229" s="1118">
        <f t="shared" si="582"/>
        <v>0</v>
      </c>
      <c r="CC229" s="1118">
        <f t="shared" si="583"/>
        <v>0</v>
      </c>
      <c r="CD229" s="1118">
        <f t="shared" si="584"/>
        <v>19956.572503887328</v>
      </c>
      <c r="CE229" s="1074"/>
      <c r="CI229" s="1117">
        <f t="shared" si="585"/>
        <v>19956.572503887328</v>
      </c>
      <c r="CJ229" s="1118">
        <f t="shared" si="586"/>
        <v>0</v>
      </c>
      <c r="CK229" s="1118">
        <f t="shared" si="587"/>
        <v>0</v>
      </c>
      <c r="CL229" s="1118">
        <f t="shared" si="588"/>
        <v>19956.572503887328</v>
      </c>
      <c r="CM229" s="1074"/>
      <c r="CQ229" s="1117">
        <f t="shared" si="589"/>
        <v>19956.572503887328</v>
      </c>
      <c r="CR229" s="1118">
        <f t="shared" si="590"/>
        <v>0</v>
      </c>
      <c r="CS229" s="1118">
        <f t="shared" si="591"/>
        <v>0</v>
      </c>
      <c r="CT229" s="1118">
        <f t="shared" si="592"/>
        <v>19956.572503887328</v>
      </c>
      <c r="CU229" s="1074"/>
      <c r="CY229" s="1117">
        <f t="shared" si="593"/>
        <v>19956.572503887328</v>
      </c>
      <c r="CZ229" s="1118">
        <f t="shared" si="594"/>
        <v>0</v>
      </c>
      <c r="DA229" s="1118">
        <f t="shared" si="595"/>
        <v>0</v>
      </c>
      <c r="DB229" s="1118">
        <f t="shared" si="596"/>
        <v>19956.572503887328</v>
      </c>
      <c r="DC229" s="1074"/>
      <c r="DG229" s="1117">
        <f t="shared" si="597"/>
        <v>19956.572503887328</v>
      </c>
      <c r="DH229" s="1118">
        <f t="shared" si="598"/>
        <v>0</v>
      </c>
      <c r="DI229" s="1118">
        <f t="shared" si="599"/>
        <v>0</v>
      </c>
      <c r="DJ229" s="1118">
        <f t="shared" si="600"/>
        <v>19956.572503887328</v>
      </c>
      <c r="DK229" s="1074"/>
      <c r="DO229" s="1117">
        <f t="shared" si="601"/>
        <v>19956.572503887328</v>
      </c>
      <c r="DP229" s="1118">
        <f t="shared" si="602"/>
        <v>0</v>
      </c>
      <c r="DQ229" s="1118">
        <f t="shared" si="603"/>
        <v>0</v>
      </c>
      <c r="DR229" s="1118">
        <f t="shared" si="604"/>
        <v>19956.572503887328</v>
      </c>
      <c r="DS229" s="1074"/>
      <c r="DW229" s="1117">
        <f t="shared" si="605"/>
        <v>19956.572503887328</v>
      </c>
      <c r="DX229" s="1118">
        <f t="shared" si="606"/>
        <v>0</v>
      </c>
      <c r="DY229" s="1118">
        <f t="shared" si="607"/>
        <v>0</v>
      </c>
      <c r="DZ229" s="1118">
        <f t="shared" si="608"/>
        <v>19956.572503887328</v>
      </c>
      <c r="EA229" s="1074"/>
      <c r="EE229" s="1117">
        <f t="shared" si="609"/>
        <v>19956.572503887328</v>
      </c>
      <c r="EF229" s="1118">
        <f t="shared" si="610"/>
        <v>0</v>
      </c>
      <c r="EG229" s="1118">
        <f t="shared" si="611"/>
        <v>0</v>
      </c>
      <c r="EH229" s="1118">
        <f t="shared" si="612"/>
        <v>19956.572503887328</v>
      </c>
      <c r="EI229" s="1074"/>
      <c r="EM229" s="1117">
        <f t="shared" si="613"/>
        <v>19956.572503887328</v>
      </c>
      <c r="EN229" s="1118">
        <f t="shared" si="614"/>
        <v>0</v>
      </c>
      <c r="EO229" s="1118">
        <f t="shared" si="615"/>
        <v>0</v>
      </c>
      <c r="EP229" s="1118">
        <f t="shared" si="616"/>
        <v>19956.572503887328</v>
      </c>
      <c r="EQ229" s="1074"/>
      <c r="EU229" s="1117">
        <f t="shared" si="617"/>
        <v>19956.572503887328</v>
      </c>
      <c r="EV229" s="1118">
        <f t="shared" si="618"/>
        <v>0</v>
      </c>
      <c r="EW229" s="1118">
        <f t="shared" si="619"/>
        <v>0</v>
      </c>
      <c r="EX229" s="1118">
        <f t="shared" si="620"/>
        <v>19956.572503887328</v>
      </c>
      <c r="EY229" s="1074"/>
      <c r="FC229" s="1117">
        <f t="shared" si="621"/>
        <v>19956.572503887328</v>
      </c>
      <c r="FD229" s="1118">
        <f t="shared" si="622"/>
        <v>0</v>
      </c>
      <c r="FE229" s="1118">
        <f t="shared" si="623"/>
        <v>0</v>
      </c>
      <c r="FF229" s="1118">
        <f t="shared" si="624"/>
        <v>19956.572503887328</v>
      </c>
      <c r="FG229" s="1074"/>
      <c r="FK229" s="1117">
        <f t="shared" si="625"/>
        <v>19956.572503887328</v>
      </c>
      <c r="FL229" s="1118">
        <f t="shared" si="626"/>
        <v>0</v>
      </c>
      <c r="FM229" s="1118">
        <f t="shared" si="627"/>
        <v>0</v>
      </c>
      <c r="FN229" s="1118">
        <f t="shared" si="628"/>
        <v>19956.572503887328</v>
      </c>
      <c r="FO229" s="1074"/>
    </row>
    <row r="230" spans="1:171" x14ac:dyDescent="0.25">
      <c r="A230" s="913"/>
      <c r="B230" s="914" t="s">
        <v>468</v>
      </c>
      <c r="C230" s="889" t="s">
        <v>72</v>
      </c>
      <c r="D230" s="889">
        <v>930.2</v>
      </c>
      <c r="E230" s="182" t="str">
        <f>'Sch 3 - Expenses'!E70</f>
        <v>DIST</v>
      </c>
      <c r="F230" s="890"/>
      <c r="G230" s="182">
        <f>'Sch 3 - Expenses'!G70</f>
        <v>1105627.4233341326</v>
      </c>
      <c r="H230" s="182">
        <f>'Sch 3 - Expenses'!H70</f>
        <v>0</v>
      </c>
      <c r="I230" s="182">
        <f>'Sch 3 - Expenses'!I70</f>
        <v>0</v>
      </c>
      <c r="J230" s="183">
        <f>'Sch 3 - Expenses'!J70</f>
        <v>1105627.4233341326</v>
      </c>
      <c r="K230" s="904">
        <f t="shared" si="548"/>
        <v>1</v>
      </c>
      <c r="O230" s="1117">
        <f t="shared" si="549"/>
        <v>1105627.4233341326</v>
      </c>
      <c r="P230" s="1118">
        <f t="shared" si="550"/>
        <v>0</v>
      </c>
      <c r="Q230" s="1118">
        <f t="shared" si="551"/>
        <v>0</v>
      </c>
      <c r="R230" s="1118">
        <f t="shared" si="552"/>
        <v>1105627.4233341326</v>
      </c>
      <c r="S230" s="1074"/>
      <c r="W230" s="1117">
        <f t="shared" si="553"/>
        <v>1105627.4233341326</v>
      </c>
      <c r="X230" s="1118">
        <f t="shared" si="554"/>
        <v>0</v>
      </c>
      <c r="Y230" s="1118">
        <f t="shared" si="555"/>
        <v>0</v>
      </c>
      <c r="Z230" s="1118">
        <f t="shared" si="556"/>
        <v>1105627.4233341326</v>
      </c>
      <c r="AA230" s="1074"/>
      <c r="AE230" s="1117">
        <f t="shared" si="557"/>
        <v>1105627.4233341326</v>
      </c>
      <c r="AF230" s="1118">
        <f t="shared" si="558"/>
        <v>0</v>
      </c>
      <c r="AG230" s="1118">
        <f t="shared" si="559"/>
        <v>0</v>
      </c>
      <c r="AH230" s="1118">
        <f t="shared" si="560"/>
        <v>1105627.4233341326</v>
      </c>
      <c r="AI230" s="1074"/>
      <c r="AM230" s="1117">
        <f t="shared" si="561"/>
        <v>1105627.4233341326</v>
      </c>
      <c r="AN230" s="1118">
        <f t="shared" si="562"/>
        <v>0</v>
      </c>
      <c r="AO230" s="1118">
        <f t="shared" si="563"/>
        <v>0</v>
      </c>
      <c r="AP230" s="1118">
        <f t="shared" si="564"/>
        <v>1105627.4233341326</v>
      </c>
      <c r="AQ230" s="1074"/>
      <c r="AU230" s="1117">
        <f t="shared" si="565"/>
        <v>1105627.4233341326</v>
      </c>
      <c r="AV230" s="1118">
        <f t="shared" si="566"/>
        <v>0</v>
      </c>
      <c r="AW230" s="1118">
        <f t="shared" si="567"/>
        <v>0</v>
      </c>
      <c r="AX230" s="1118">
        <f t="shared" si="568"/>
        <v>1105627.4233341326</v>
      </c>
      <c r="AY230" s="1074"/>
      <c r="BC230" s="1117">
        <f t="shared" si="569"/>
        <v>1105627.4233341326</v>
      </c>
      <c r="BD230" s="1118">
        <f t="shared" si="570"/>
        <v>0</v>
      </c>
      <c r="BE230" s="1118">
        <f t="shared" si="571"/>
        <v>0</v>
      </c>
      <c r="BF230" s="1118">
        <f t="shared" si="572"/>
        <v>1105627.4233341326</v>
      </c>
      <c r="BG230" s="1074"/>
      <c r="BK230" s="1117">
        <f t="shared" si="573"/>
        <v>1105627.4233341326</v>
      </c>
      <c r="BL230" s="1118">
        <f t="shared" si="574"/>
        <v>0</v>
      </c>
      <c r="BM230" s="1118">
        <f t="shared" si="575"/>
        <v>0</v>
      </c>
      <c r="BN230" s="1118">
        <f t="shared" si="576"/>
        <v>1105627.4233341326</v>
      </c>
      <c r="BO230" s="1074"/>
      <c r="BS230" s="1117">
        <f t="shared" si="577"/>
        <v>1105627.4233341326</v>
      </c>
      <c r="BT230" s="1118">
        <f t="shared" si="578"/>
        <v>0</v>
      </c>
      <c r="BU230" s="1118">
        <f t="shared" si="579"/>
        <v>0</v>
      </c>
      <c r="BV230" s="1118">
        <f t="shared" si="580"/>
        <v>1105627.4233341326</v>
      </c>
      <c r="BW230" s="1074"/>
      <c r="CA230" s="1117">
        <f t="shared" si="581"/>
        <v>1105627.4233341326</v>
      </c>
      <c r="CB230" s="1118">
        <f t="shared" si="582"/>
        <v>0</v>
      </c>
      <c r="CC230" s="1118">
        <f t="shared" si="583"/>
        <v>0</v>
      </c>
      <c r="CD230" s="1118">
        <f t="shared" si="584"/>
        <v>1105627.4233341326</v>
      </c>
      <c r="CE230" s="1074"/>
      <c r="CI230" s="1117">
        <f t="shared" si="585"/>
        <v>1105627.4233341326</v>
      </c>
      <c r="CJ230" s="1118">
        <f t="shared" si="586"/>
        <v>0</v>
      </c>
      <c r="CK230" s="1118">
        <f t="shared" si="587"/>
        <v>0</v>
      </c>
      <c r="CL230" s="1118">
        <f t="shared" si="588"/>
        <v>1105627.4233341326</v>
      </c>
      <c r="CM230" s="1074"/>
      <c r="CQ230" s="1117">
        <f t="shared" si="589"/>
        <v>1105627.4233341326</v>
      </c>
      <c r="CR230" s="1118">
        <f t="shared" si="590"/>
        <v>0</v>
      </c>
      <c r="CS230" s="1118">
        <f t="shared" si="591"/>
        <v>0</v>
      </c>
      <c r="CT230" s="1118">
        <f t="shared" si="592"/>
        <v>1105627.4233341326</v>
      </c>
      <c r="CU230" s="1074"/>
      <c r="CY230" s="1117">
        <f t="shared" si="593"/>
        <v>1105627.4233341326</v>
      </c>
      <c r="CZ230" s="1118">
        <f t="shared" si="594"/>
        <v>0</v>
      </c>
      <c r="DA230" s="1118">
        <f t="shared" si="595"/>
        <v>0</v>
      </c>
      <c r="DB230" s="1118">
        <f t="shared" si="596"/>
        <v>1105627.4233341326</v>
      </c>
      <c r="DC230" s="1074"/>
      <c r="DG230" s="1117">
        <f t="shared" si="597"/>
        <v>1105627.4233341326</v>
      </c>
      <c r="DH230" s="1118">
        <f t="shared" si="598"/>
        <v>0</v>
      </c>
      <c r="DI230" s="1118">
        <f t="shared" si="599"/>
        <v>0</v>
      </c>
      <c r="DJ230" s="1118">
        <f t="shared" si="600"/>
        <v>1105627.4233341326</v>
      </c>
      <c r="DK230" s="1074"/>
      <c r="DO230" s="1117">
        <f t="shared" si="601"/>
        <v>1105627.4233341326</v>
      </c>
      <c r="DP230" s="1118">
        <f t="shared" si="602"/>
        <v>0</v>
      </c>
      <c r="DQ230" s="1118">
        <f t="shared" si="603"/>
        <v>0</v>
      </c>
      <c r="DR230" s="1118">
        <f t="shared" si="604"/>
        <v>1105627.4233341326</v>
      </c>
      <c r="DS230" s="1074"/>
      <c r="DW230" s="1117">
        <f t="shared" si="605"/>
        <v>1105627.4233341326</v>
      </c>
      <c r="DX230" s="1118">
        <f t="shared" si="606"/>
        <v>0</v>
      </c>
      <c r="DY230" s="1118">
        <f t="shared" si="607"/>
        <v>0</v>
      </c>
      <c r="DZ230" s="1118">
        <f t="shared" si="608"/>
        <v>1105627.4233341326</v>
      </c>
      <c r="EA230" s="1074"/>
      <c r="EE230" s="1117">
        <f t="shared" si="609"/>
        <v>1105627.4233341326</v>
      </c>
      <c r="EF230" s="1118">
        <f t="shared" si="610"/>
        <v>0</v>
      </c>
      <c r="EG230" s="1118">
        <f t="shared" si="611"/>
        <v>0</v>
      </c>
      <c r="EH230" s="1118">
        <f t="shared" si="612"/>
        <v>1105627.4233341326</v>
      </c>
      <c r="EI230" s="1074"/>
      <c r="EM230" s="1117">
        <f t="shared" si="613"/>
        <v>1105627.4233341326</v>
      </c>
      <c r="EN230" s="1118">
        <f t="shared" si="614"/>
        <v>0</v>
      </c>
      <c r="EO230" s="1118">
        <f t="shared" si="615"/>
        <v>0</v>
      </c>
      <c r="EP230" s="1118">
        <f t="shared" si="616"/>
        <v>1105627.4233341326</v>
      </c>
      <c r="EQ230" s="1074"/>
      <c r="EU230" s="1117">
        <f t="shared" si="617"/>
        <v>1105627.4233341326</v>
      </c>
      <c r="EV230" s="1118">
        <f t="shared" si="618"/>
        <v>0</v>
      </c>
      <c r="EW230" s="1118">
        <f t="shared" si="619"/>
        <v>0</v>
      </c>
      <c r="EX230" s="1118">
        <f t="shared" si="620"/>
        <v>1105627.4233341326</v>
      </c>
      <c r="EY230" s="1074"/>
      <c r="FC230" s="1117">
        <f t="shared" si="621"/>
        <v>1105627.4233341326</v>
      </c>
      <c r="FD230" s="1118">
        <f t="shared" si="622"/>
        <v>0</v>
      </c>
      <c r="FE230" s="1118">
        <f t="shared" si="623"/>
        <v>0</v>
      </c>
      <c r="FF230" s="1118">
        <f t="shared" si="624"/>
        <v>1105627.4233341326</v>
      </c>
      <c r="FG230" s="1074"/>
      <c r="FK230" s="1117">
        <f t="shared" si="625"/>
        <v>1105627.4233341326</v>
      </c>
      <c r="FL230" s="1118">
        <f t="shared" si="626"/>
        <v>0</v>
      </c>
      <c r="FM230" s="1118">
        <f t="shared" si="627"/>
        <v>0</v>
      </c>
      <c r="FN230" s="1118">
        <f t="shared" si="628"/>
        <v>1105627.4233341326</v>
      </c>
      <c r="FO230" s="1074"/>
    </row>
    <row r="231" spans="1:171" x14ac:dyDescent="0.25">
      <c r="A231" s="913"/>
      <c r="B231" s="914" t="s">
        <v>492</v>
      </c>
      <c r="C231" s="889" t="s">
        <v>72</v>
      </c>
      <c r="D231" s="889">
        <v>931</v>
      </c>
      <c r="E231" s="182" t="str">
        <f>'Sch 3 - Expenses'!E71</f>
        <v>DIST</v>
      </c>
      <c r="F231" s="890"/>
      <c r="G231" s="182">
        <f>'Sch 3 - Expenses'!G71</f>
        <v>754426.30276668374</v>
      </c>
      <c r="H231" s="182">
        <f>'Sch 3 - Expenses'!H71</f>
        <v>0</v>
      </c>
      <c r="I231" s="182">
        <f>'Sch 3 - Expenses'!I71</f>
        <v>0</v>
      </c>
      <c r="J231" s="183">
        <f>'Sch 3 - Expenses'!J71</f>
        <v>754426.30276668374</v>
      </c>
      <c r="K231" s="904">
        <f t="shared" si="548"/>
        <v>1</v>
      </c>
      <c r="O231" s="1117">
        <f t="shared" si="549"/>
        <v>754426.30276668374</v>
      </c>
      <c r="P231" s="1118">
        <f t="shared" si="550"/>
        <v>0</v>
      </c>
      <c r="Q231" s="1118">
        <f t="shared" si="551"/>
        <v>0</v>
      </c>
      <c r="R231" s="1118">
        <f t="shared" si="552"/>
        <v>754426.30276668374</v>
      </c>
      <c r="S231" s="1074"/>
      <c r="W231" s="1117">
        <f t="shared" si="553"/>
        <v>754426.30276668374</v>
      </c>
      <c r="X231" s="1118">
        <f t="shared" si="554"/>
        <v>0</v>
      </c>
      <c r="Y231" s="1118">
        <f t="shared" si="555"/>
        <v>0</v>
      </c>
      <c r="Z231" s="1118">
        <f t="shared" si="556"/>
        <v>754426.30276668374</v>
      </c>
      <c r="AA231" s="1074"/>
      <c r="AE231" s="1117">
        <f t="shared" si="557"/>
        <v>754426.30276668374</v>
      </c>
      <c r="AF231" s="1118">
        <f t="shared" si="558"/>
        <v>0</v>
      </c>
      <c r="AG231" s="1118">
        <f t="shared" si="559"/>
        <v>0</v>
      </c>
      <c r="AH231" s="1118">
        <f t="shared" si="560"/>
        <v>754426.30276668374</v>
      </c>
      <c r="AI231" s="1074"/>
      <c r="AM231" s="1117">
        <f t="shared" si="561"/>
        <v>754426.30276668374</v>
      </c>
      <c r="AN231" s="1118">
        <f t="shared" si="562"/>
        <v>0</v>
      </c>
      <c r="AO231" s="1118">
        <f t="shared" si="563"/>
        <v>0</v>
      </c>
      <c r="AP231" s="1118">
        <f t="shared" si="564"/>
        <v>754426.30276668374</v>
      </c>
      <c r="AQ231" s="1074"/>
      <c r="AU231" s="1117">
        <f t="shared" si="565"/>
        <v>754426.30276668374</v>
      </c>
      <c r="AV231" s="1118">
        <f t="shared" si="566"/>
        <v>0</v>
      </c>
      <c r="AW231" s="1118">
        <f t="shared" si="567"/>
        <v>0</v>
      </c>
      <c r="AX231" s="1118">
        <f t="shared" si="568"/>
        <v>754426.30276668374</v>
      </c>
      <c r="AY231" s="1074"/>
      <c r="BC231" s="1117">
        <f t="shared" si="569"/>
        <v>754426.30276668374</v>
      </c>
      <c r="BD231" s="1118">
        <f t="shared" si="570"/>
        <v>0</v>
      </c>
      <c r="BE231" s="1118">
        <f t="shared" si="571"/>
        <v>0</v>
      </c>
      <c r="BF231" s="1118">
        <f t="shared" si="572"/>
        <v>754426.30276668374</v>
      </c>
      <c r="BG231" s="1074"/>
      <c r="BK231" s="1117">
        <f t="shared" si="573"/>
        <v>754426.30276668374</v>
      </c>
      <c r="BL231" s="1118">
        <f t="shared" si="574"/>
        <v>0</v>
      </c>
      <c r="BM231" s="1118">
        <f t="shared" si="575"/>
        <v>0</v>
      </c>
      <c r="BN231" s="1118">
        <f t="shared" si="576"/>
        <v>754426.30276668374</v>
      </c>
      <c r="BO231" s="1074"/>
      <c r="BS231" s="1117">
        <f t="shared" si="577"/>
        <v>754426.30276668374</v>
      </c>
      <c r="BT231" s="1118">
        <f t="shared" si="578"/>
        <v>0</v>
      </c>
      <c r="BU231" s="1118">
        <f t="shared" si="579"/>
        <v>0</v>
      </c>
      <c r="BV231" s="1118">
        <f t="shared" si="580"/>
        <v>754426.30276668374</v>
      </c>
      <c r="BW231" s="1074"/>
      <c r="CA231" s="1117">
        <f t="shared" si="581"/>
        <v>754426.30276668374</v>
      </c>
      <c r="CB231" s="1118">
        <f t="shared" si="582"/>
        <v>0</v>
      </c>
      <c r="CC231" s="1118">
        <f t="shared" si="583"/>
        <v>0</v>
      </c>
      <c r="CD231" s="1118">
        <f t="shared" si="584"/>
        <v>754426.30276668374</v>
      </c>
      <c r="CE231" s="1074"/>
      <c r="CI231" s="1117">
        <f t="shared" si="585"/>
        <v>754426.30276668374</v>
      </c>
      <c r="CJ231" s="1118">
        <f t="shared" si="586"/>
        <v>0</v>
      </c>
      <c r="CK231" s="1118">
        <f t="shared" si="587"/>
        <v>0</v>
      </c>
      <c r="CL231" s="1118">
        <f t="shared" si="588"/>
        <v>754426.30276668374</v>
      </c>
      <c r="CM231" s="1074"/>
      <c r="CQ231" s="1117">
        <f t="shared" si="589"/>
        <v>754426.30276668374</v>
      </c>
      <c r="CR231" s="1118">
        <f t="shared" si="590"/>
        <v>0</v>
      </c>
      <c r="CS231" s="1118">
        <f t="shared" si="591"/>
        <v>0</v>
      </c>
      <c r="CT231" s="1118">
        <f t="shared" si="592"/>
        <v>754426.30276668374</v>
      </c>
      <c r="CU231" s="1074"/>
      <c r="CY231" s="1117">
        <f t="shared" si="593"/>
        <v>754426.30276668374</v>
      </c>
      <c r="CZ231" s="1118">
        <f t="shared" si="594"/>
        <v>0</v>
      </c>
      <c r="DA231" s="1118">
        <f t="shared" si="595"/>
        <v>0</v>
      </c>
      <c r="DB231" s="1118">
        <f t="shared" si="596"/>
        <v>754426.30276668374</v>
      </c>
      <c r="DC231" s="1074"/>
      <c r="DG231" s="1117">
        <f t="shared" si="597"/>
        <v>754426.30276668374</v>
      </c>
      <c r="DH231" s="1118">
        <f t="shared" si="598"/>
        <v>0</v>
      </c>
      <c r="DI231" s="1118">
        <f t="shared" si="599"/>
        <v>0</v>
      </c>
      <c r="DJ231" s="1118">
        <f t="shared" si="600"/>
        <v>754426.30276668374</v>
      </c>
      <c r="DK231" s="1074"/>
      <c r="DO231" s="1117">
        <f t="shared" si="601"/>
        <v>754426.30276668374</v>
      </c>
      <c r="DP231" s="1118">
        <f t="shared" si="602"/>
        <v>0</v>
      </c>
      <c r="DQ231" s="1118">
        <f t="shared" si="603"/>
        <v>0</v>
      </c>
      <c r="DR231" s="1118">
        <f t="shared" si="604"/>
        <v>754426.30276668374</v>
      </c>
      <c r="DS231" s="1074"/>
      <c r="DW231" s="1117">
        <f t="shared" si="605"/>
        <v>754426.30276668374</v>
      </c>
      <c r="DX231" s="1118">
        <f t="shared" si="606"/>
        <v>0</v>
      </c>
      <c r="DY231" s="1118">
        <f t="shared" si="607"/>
        <v>0</v>
      </c>
      <c r="DZ231" s="1118">
        <f t="shared" si="608"/>
        <v>754426.30276668374</v>
      </c>
      <c r="EA231" s="1074"/>
      <c r="EE231" s="1117">
        <f t="shared" si="609"/>
        <v>754426.30276668374</v>
      </c>
      <c r="EF231" s="1118">
        <f t="shared" si="610"/>
        <v>0</v>
      </c>
      <c r="EG231" s="1118">
        <f t="shared" si="611"/>
        <v>0</v>
      </c>
      <c r="EH231" s="1118">
        <f t="shared" si="612"/>
        <v>754426.30276668374</v>
      </c>
      <c r="EI231" s="1074"/>
      <c r="EM231" s="1117">
        <f t="shared" si="613"/>
        <v>754426.30276668374</v>
      </c>
      <c r="EN231" s="1118">
        <f t="shared" si="614"/>
        <v>0</v>
      </c>
      <c r="EO231" s="1118">
        <f t="shared" si="615"/>
        <v>0</v>
      </c>
      <c r="EP231" s="1118">
        <f t="shared" si="616"/>
        <v>754426.30276668374</v>
      </c>
      <c r="EQ231" s="1074"/>
      <c r="EU231" s="1117">
        <f t="shared" si="617"/>
        <v>754426.30276668374</v>
      </c>
      <c r="EV231" s="1118">
        <f t="shared" si="618"/>
        <v>0</v>
      </c>
      <c r="EW231" s="1118">
        <f t="shared" si="619"/>
        <v>0</v>
      </c>
      <c r="EX231" s="1118">
        <f t="shared" si="620"/>
        <v>754426.30276668374</v>
      </c>
      <c r="EY231" s="1074"/>
      <c r="FC231" s="1117">
        <f t="shared" si="621"/>
        <v>754426.30276668374</v>
      </c>
      <c r="FD231" s="1118">
        <f t="shared" si="622"/>
        <v>0</v>
      </c>
      <c r="FE231" s="1118">
        <f t="shared" si="623"/>
        <v>0</v>
      </c>
      <c r="FF231" s="1118">
        <f t="shared" si="624"/>
        <v>754426.30276668374</v>
      </c>
      <c r="FG231" s="1074"/>
      <c r="FK231" s="1117">
        <f t="shared" si="625"/>
        <v>754426.30276668374</v>
      </c>
      <c r="FL231" s="1118">
        <f t="shared" si="626"/>
        <v>0</v>
      </c>
      <c r="FM231" s="1118">
        <f t="shared" si="627"/>
        <v>0</v>
      </c>
      <c r="FN231" s="1118">
        <f t="shared" si="628"/>
        <v>754426.30276668374</v>
      </c>
      <c r="FO231" s="1074"/>
    </row>
    <row r="232" spans="1:171" x14ac:dyDescent="0.25">
      <c r="A232" s="913"/>
      <c r="B232" s="914" t="s">
        <v>269</v>
      </c>
      <c r="C232" s="889" t="s">
        <v>268</v>
      </c>
      <c r="D232" s="889">
        <v>933</v>
      </c>
      <c r="E232" s="182" t="str">
        <f>'Sch 3 - Expenses'!E72</f>
        <v>DIST</v>
      </c>
      <c r="F232" s="890"/>
      <c r="G232" s="182">
        <f>'Sch 3 - Expenses'!G72</f>
        <v>0</v>
      </c>
      <c r="H232" s="182">
        <f>'Sch 3 - Expenses'!H72</f>
        <v>0</v>
      </c>
      <c r="I232" s="182">
        <f>'Sch 3 - Expenses'!I72</f>
        <v>0</v>
      </c>
      <c r="J232" s="183">
        <f>'Sch 3 - Expenses'!J72</f>
        <v>0</v>
      </c>
      <c r="K232" s="904">
        <f t="shared" si="548"/>
        <v>1</v>
      </c>
      <c r="O232" s="1117">
        <f t="shared" si="549"/>
        <v>0</v>
      </c>
      <c r="P232" s="1118">
        <f t="shared" si="550"/>
        <v>0</v>
      </c>
      <c r="Q232" s="1118">
        <f t="shared" si="551"/>
        <v>0</v>
      </c>
      <c r="R232" s="1118">
        <f t="shared" si="552"/>
        <v>0</v>
      </c>
      <c r="S232" s="1074"/>
      <c r="W232" s="1117">
        <f t="shared" si="553"/>
        <v>0</v>
      </c>
      <c r="X232" s="1118">
        <f t="shared" si="554"/>
        <v>0</v>
      </c>
      <c r="Y232" s="1118">
        <f t="shared" si="555"/>
        <v>0</v>
      </c>
      <c r="Z232" s="1118">
        <f t="shared" si="556"/>
        <v>0</v>
      </c>
      <c r="AA232" s="1074"/>
      <c r="AE232" s="1117">
        <f t="shared" si="557"/>
        <v>0</v>
      </c>
      <c r="AF232" s="1118">
        <f t="shared" si="558"/>
        <v>0</v>
      </c>
      <c r="AG232" s="1118">
        <f t="shared" si="559"/>
        <v>0</v>
      </c>
      <c r="AH232" s="1118">
        <f t="shared" si="560"/>
        <v>0</v>
      </c>
      <c r="AI232" s="1074"/>
      <c r="AM232" s="1117">
        <f t="shared" si="561"/>
        <v>0</v>
      </c>
      <c r="AN232" s="1118">
        <f t="shared" si="562"/>
        <v>0</v>
      </c>
      <c r="AO232" s="1118">
        <f t="shared" si="563"/>
        <v>0</v>
      </c>
      <c r="AP232" s="1118">
        <f t="shared" si="564"/>
        <v>0</v>
      </c>
      <c r="AQ232" s="1074"/>
      <c r="AU232" s="1117">
        <f t="shared" si="565"/>
        <v>0</v>
      </c>
      <c r="AV232" s="1118">
        <f t="shared" si="566"/>
        <v>0</v>
      </c>
      <c r="AW232" s="1118">
        <f t="shared" si="567"/>
        <v>0</v>
      </c>
      <c r="AX232" s="1118">
        <f t="shared" si="568"/>
        <v>0</v>
      </c>
      <c r="AY232" s="1074"/>
      <c r="BC232" s="1117">
        <f t="shared" si="569"/>
        <v>0</v>
      </c>
      <c r="BD232" s="1118">
        <f t="shared" si="570"/>
        <v>0</v>
      </c>
      <c r="BE232" s="1118">
        <f t="shared" si="571"/>
        <v>0</v>
      </c>
      <c r="BF232" s="1118">
        <f t="shared" si="572"/>
        <v>0</v>
      </c>
      <c r="BG232" s="1074"/>
      <c r="BK232" s="1117">
        <f t="shared" si="573"/>
        <v>0</v>
      </c>
      <c r="BL232" s="1118">
        <f t="shared" si="574"/>
        <v>0</v>
      </c>
      <c r="BM232" s="1118">
        <f t="shared" si="575"/>
        <v>0</v>
      </c>
      <c r="BN232" s="1118">
        <f t="shared" si="576"/>
        <v>0</v>
      </c>
      <c r="BO232" s="1074"/>
      <c r="BS232" s="1117">
        <f t="shared" si="577"/>
        <v>0</v>
      </c>
      <c r="BT232" s="1118">
        <f t="shared" si="578"/>
        <v>0</v>
      </c>
      <c r="BU232" s="1118">
        <f t="shared" si="579"/>
        <v>0</v>
      </c>
      <c r="BV232" s="1118">
        <f t="shared" si="580"/>
        <v>0</v>
      </c>
      <c r="BW232" s="1074"/>
      <c r="CA232" s="1117">
        <f t="shared" si="581"/>
        <v>0</v>
      </c>
      <c r="CB232" s="1118">
        <f t="shared" si="582"/>
        <v>0</v>
      </c>
      <c r="CC232" s="1118">
        <f t="shared" si="583"/>
        <v>0</v>
      </c>
      <c r="CD232" s="1118">
        <f t="shared" si="584"/>
        <v>0</v>
      </c>
      <c r="CE232" s="1074"/>
      <c r="CI232" s="1117">
        <f t="shared" si="585"/>
        <v>0</v>
      </c>
      <c r="CJ232" s="1118">
        <f t="shared" si="586"/>
        <v>0</v>
      </c>
      <c r="CK232" s="1118">
        <f t="shared" si="587"/>
        <v>0</v>
      </c>
      <c r="CL232" s="1118">
        <f t="shared" si="588"/>
        <v>0</v>
      </c>
      <c r="CM232" s="1074"/>
      <c r="CQ232" s="1117">
        <f t="shared" si="589"/>
        <v>0</v>
      </c>
      <c r="CR232" s="1118">
        <f t="shared" si="590"/>
        <v>0</v>
      </c>
      <c r="CS232" s="1118">
        <f t="shared" si="591"/>
        <v>0</v>
      </c>
      <c r="CT232" s="1118">
        <f t="shared" si="592"/>
        <v>0</v>
      </c>
      <c r="CU232" s="1074"/>
      <c r="CY232" s="1117">
        <f t="shared" si="593"/>
        <v>0</v>
      </c>
      <c r="CZ232" s="1118">
        <f t="shared" si="594"/>
        <v>0</v>
      </c>
      <c r="DA232" s="1118">
        <f t="shared" si="595"/>
        <v>0</v>
      </c>
      <c r="DB232" s="1118">
        <f t="shared" si="596"/>
        <v>0</v>
      </c>
      <c r="DC232" s="1074"/>
      <c r="DG232" s="1117">
        <f t="shared" si="597"/>
        <v>0</v>
      </c>
      <c r="DH232" s="1118">
        <f t="shared" si="598"/>
        <v>0</v>
      </c>
      <c r="DI232" s="1118">
        <f t="shared" si="599"/>
        <v>0</v>
      </c>
      <c r="DJ232" s="1118">
        <f t="shared" si="600"/>
        <v>0</v>
      </c>
      <c r="DK232" s="1074"/>
      <c r="DO232" s="1117">
        <f t="shared" si="601"/>
        <v>0</v>
      </c>
      <c r="DP232" s="1118">
        <f t="shared" si="602"/>
        <v>0</v>
      </c>
      <c r="DQ232" s="1118">
        <f t="shared" si="603"/>
        <v>0</v>
      </c>
      <c r="DR232" s="1118">
        <f t="shared" si="604"/>
        <v>0</v>
      </c>
      <c r="DS232" s="1074"/>
      <c r="DW232" s="1117">
        <f t="shared" si="605"/>
        <v>0</v>
      </c>
      <c r="DX232" s="1118">
        <f t="shared" si="606"/>
        <v>0</v>
      </c>
      <c r="DY232" s="1118">
        <f t="shared" si="607"/>
        <v>0</v>
      </c>
      <c r="DZ232" s="1118">
        <f t="shared" si="608"/>
        <v>0</v>
      </c>
      <c r="EA232" s="1074"/>
      <c r="EE232" s="1117">
        <f t="shared" si="609"/>
        <v>0</v>
      </c>
      <c r="EF232" s="1118">
        <f t="shared" si="610"/>
        <v>0</v>
      </c>
      <c r="EG232" s="1118">
        <f t="shared" si="611"/>
        <v>0</v>
      </c>
      <c r="EH232" s="1118">
        <f t="shared" si="612"/>
        <v>0</v>
      </c>
      <c r="EI232" s="1074"/>
      <c r="EM232" s="1117">
        <f t="shared" si="613"/>
        <v>0</v>
      </c>
      <c r="EN232" s="1118">
        <f t="shared" si="614"/>
        <v>0</v>
      </c>
      <c r="EO232" s="1118">
        <f t="shared" si="615"/>
        <v>0</v>
      </c>
      <c r="EP232" s="1118">
        <f t="shared" si="616"/>
        <v>0</v>
      </c>
      <c r="EQ232" s="1074"/>
      <c r="EU232" s="1117">
        <f t="shared" si="617"/>
        <v>0</v>
      </c>
      <c r="EV232" s="1118">
        <f t="shared" si="618"/>
        <v>0</v>
      </c>
      <c r="EW232" s="1118">
        <f t="shared" si="619"/>
        <v>0</v>
      </c>
      <c r="EX232" s="1118">
        <f t="shared" si="620"/>
        <v>0</v>
      </c>
      <c r="EY232" s="1074"/>
      <c r="FC232" s="1117">
        <f t="shared" si="621"/>
        <v>0</v>
      </c>
      <c r="FD232" s="1118">
        <f t="shared" si="622"/>
        <v>0</v>
      </c>
      <c r="FE232" s="1118">
        <f t="shared" si="623"/>
        <v>0</v>
      </c>
      <c r="FF232" s="1118">
        <f t="shared" si="624"/>
        <v>0</v>
      </c>
      <c r="FG232" s="1074"/>
      <c r="FK232" s="1117">
        <f t="shared" si="625"/>
        <v>0</v>
      </c>
      <c r="FL232" s="1118">
        <f t="shared" si="626"/>
        <v>0</v>
      </c>
      <c r="FM232" s="1118">
        <f t="shared" si="627"/>
        <v>0</v>
      </c>
      <c r="FN232" s="1118">
        <f t="shared" si="628"/>
        <v>0</v>
      </c>
      <c r="FO232" s="1074"/>
    </row>
    <row r="233" spans="1:171" x14ac:dyDescent="0.25">
      <c r="A233" s="913"/>
      <c r="B233" s="991" t="s">
        <v>438</v>
      </c>
      <c r="C233" s="55"/>
      <c r="D233" s="196"/>
      <c r="E233" s="196"/>
      <c r="F233" s="196"/>
      <c r="G233" s="68"/>
      <c r="H233" s="68"/>
      <c r="I233" s="68"/>
      <c r="J233" s="992"/>
      <c r="K233" s="904"/>
      <c r="O233" s="1117"/>
      <c r="S233" s="1074"/>
      <c r="W233" s="1117"/>
      <c r="AA233" s="1074"/>
      <c r="AE233" s="1117"/>
      <c r="AI233" s="1074"/>
      <c r="AM233" s="1117"/>
      <c r="AQ233" s="1074"/>
      <c r="AU233" s="1117"/>
      <c r="AY233" s="1074"/>
      <c r="BC233" s="1117"/>
      <c r="BG233" s="1074"/>
      <c r="BK233" s="1117"/>
      <c r="BO233" s="1074"/>
      <c r="BS233" s="1117"/>
      <c r="BW233" s="1074"/>
      <c r="CA233" s="1117"/>
      <c r="CE233" s="1074"/>
      <c r="CI233" s="1117"/>
      <c r="CM233" s="1074"/>
      <c r="CQ233" s="1117"/>
      <c r="CU233" s="1074"/>
      <c r="CY233" s="1117"/>
      <c r="DC233" s="1074"/>
      <c r="DG233" s="1117"/>
      <c r="DK233" s="1074"/>
      <c r="DO233" s="1117"/>
      <c r="DS233" s="1074"/>
      <c r="DW233" s="1117"/>
      <c r="EA233" s="1074"/>
      <c r="EE233" s="1117"/>
      <c r="EI233" s="1074"/>
      <c r="EM233" s="1117"/>
      <c r="EQ233" s="1074"/>
      <c r="EU233" s="1117"/>
      <c r="EY233" s="1074"/>
      <c r="FC233" s="1117"/>
      <c r="FG233" s="1074"/>
      <c r="FK233" s="1117"/>
      <c r="FO233" s="1074"/>
    </row>
    <row r="234" spans="1:171" x14ac:dyDescent="0.25">
      <c r="A234" s="913"/>
      <c r="B234" s="914" t="s">
        <v>94</v>
      </c>
      <c r="C234" s="889" t="s">
        <v>72</v>
      </c>
      <c r="D234" s="889">
        <v>935</v>
      </c>
      <c r="E234" s="182" t="str">
        <f>'Sch 3 - Expenses'!E74</f>
        <v>GPM</v>
      </c>
      <c r="F234" s="890"/>
      <c r="G234" s="182">
        <f>'Sch 3 - Expenses'!G74</f>
        <v>15276304.380404986</v>
      </c>
      <c r="H234" s="182">
        <f>'Sch 3 - Expenses'!H74</f>
        <v>6690266.9233332537</v>
      </c>
      <c r="I234" s="182">
        <f>'Sch 3 - Expenses'!I74</f>
        <v>0</v>
      </c>
      <c r="J234" s="183">
        <f>'Sch 3 - Expenses'!J74</f>
        <v>8586037.4570717309</v>
      </c>
      <c r="K234" s="904">
        <f t="shared" si="548"/>
        <v>1</v>
      </c>
      <c r="O234" s="1117">
        <f>$G234</f>
        <v>15276304.380404986</v>
      </c>
      <c r="P234" s="1118">
        <f t="shared" si="550"/>
        <v>6690266.9233332537</v>
      </c>
      <c r="Q234" s="1118">
        <f t="shared" si="551"/>
        <v>3627960.8188642049</v>
      </c>
      <c r="R234" s="1118">
        <f t="shared" si="552"/>
        <v>4958076.638207525</v>
      </c>
      <c r="S234" s="1074"/>
      <c r="W234" s="1117">
        <f>$G234</f>
        <v>15276304.380404986</v>
      </c>
      <c r="X234" s="1118">
        <f>VLOOKUP($E234,W$442:Z$453,2,FALSE)*W234*($K234)+IF($G234&lt;&gt;0,($H234/$G234)*W234,0)*(1-$K234)</f>
        <v>6690266.9233332537</v>
      </c>
      <c r="Y234" s="1118">
        <f>VLOOKUP($E234,W$442:Z$453,3,FALSE)*W234*($K234)+IF($G234&lt;&gt;0,($I234/$G234)*W234,0)*(1-$K234)</f>
        <v>3627960.8188642049</v>
      </c>
      <c r="Z234" s="1118">
        <f>VLOOKUP($E234,W$442:Z$453,4,FALSE)*W234*($K234)+(W234-X234-Y234)*(1-$K234)</f>
        <v>4958076.638207525</v>
      </c>
      <c r="AA234" s="1074"/>
      <c r="AE234" s="1117">
        <f>$G234</f>
        <v>15276304.380404986</v>
      </c>
      <c r="AF234" s="1118">
        <f>VLOOKUP($E234,AE$442:AH$453,2,FALSE)*AE234*($K234)+IF($G234&lt;&gt;0,($H234/$G234)*AE234,0)*(1-$K234)</f>
        <v>6690266.9233332537</v>
      </c>
      <c r="AG234" s="1118">
        <f>VLOOKUP($E234,AE$442:AH$453,3,FALSE)*AE234*($K234)+IF($G234&lt;&gt;0,($I234/$G234)*AE234,0)*(1-$K234)</f>
        <v>3627960.8188642049</v>
      </c>
      <c r="AH234" s="1118">
        <f>VLOOKUP($E234,AE$442:AH$453,4,FALSE)*AE234*($K234)+(AE234-AF234-AG234)*(1-$K234)</f>
        <v>4958076.638207525</v>
      </c>
      <c r="AI234" s="1074"/>
      <c r="AM234" s="1117">
        <f>$G234</f>
        <v>15276304.380404986</v>
      </c>
      <c r="AN234" s="1118">
        <f>VLOOKUP($E234,AM$442:AP$453,2,FALSE)*AM234*($K234)+IF($G234&lt;&gt;0,($H234/$G234)*AM234,0)*(1-$K234)</f>
        <v>6690266.9233332537</v>
      </c>
      <c r="AO234" s="1118">
        <f>VLOOKUP($E234,AM$442:AP$453,3,FALSE)*AM234*($K234)+IF($G234&lt;&gt;0,($I234/$G234)*AM234,0)*(1-$K234)</f>
        <v>3627960.8188642049</v>
      </c>
      <c r="AP234" s="1118">
        <f>VLOOKUP($E234,AM$442:AP$453,4,FALSE)*AM234*($K234)+(AM234-AN234-AO234)*(1-$K234)</f>
        <v>4958076.638207525</v>
      </c>
      <c r="AQ234" s="1074"/>
      <c r="AU234" s="1117">
        <f>$G234</f>
        <v>15276304.380404986</v>
      </c>
      <c r="AV234" s="1118">
        <f>VLOOKUP($E234,AU$442:AX$453,2,FALSE)*AU234*($K234)+IF($G234&lt;&gt;0,($H234/$G234)*AU234,0)*(1-$K234)</f>
        <v>6690266.9233332537</v>
      </c>
      <c r="AW234" s="1118">
        <f>VLOOKUP($E234,AU$442:AX$453,3,FALSE)*AU234*($K234)+IF($G234&lt;&gt;0,($I234/$G234)*AU234,0)*(1-$K234)</f>
        <v>3627960.8188642049</v>
      </c>
      <c r="AX234" s="1118">
        <f>VLOOKUP($E234,AU$442:AX$453,4,FALSE)*AU234*($K234)+(AU234-AV234-AW234)*(1-$K234)</f>
        <v>4958076.638207525</v>
      </c>
      <c r="AY234" s="1074"/>
      <c r="BC234" s="1117">
        <f>$G234</f>
        <v>15276304.380404986</v>
      </c>
      <c r="BD234" s="1118">
        <f>VLOOKUP($E234,BC$442:BF$453,2,FALSE)*BC234*($K234)+IF($G234&lt;&gt;0,($H234/$G234)*BC234,0)*(1-$K234)</f>
        <v>6690266.9233332537</v>
      </c>
      <c r="BE234" s="1118">
        <f>VLOOKUP($E234,BC$442:BF$453,3,FALSE)*BC234*($K234)+IF($G234&lt;&gt;0,($I234/$G234)*BC234,0)*(1-$K234)</f>
        <v>3627960.8188642049</v>
      </c>
      <c r="BF234" s="1118">
        <f>VLOOKUP($E234,BC$442:BF$453,4,FALSE)*BC234*($K234)+(BC234-BD234-BE234)*(1-$K234)</f>
        <v>4958076.638207525</v>
      </c>
      <c r="BG234" s="1074"/>
      <c r="BK234" s="1117">
        <f>$G234</f>
        <v>15276304.380404986</v>
      </c>
      <c r="BL234" s="1118">
        <f>VLOOKUP($E234,BK$442:BN$453,2,FALSE)*BK234*($K234)+IF($G234&lt;&gt;0,($H234/$G234)*BK234,0)*(1-$K234)</f>
        <v>6690266.9233332537</v>
      </c>
      <c r="BM234" s="1118">
        <f>VLOOKUP($E234,BK$442:BN$453,3,FALSE)*BK234*($K234)+IF($G234&lt;&gt;0,($I234/$G234)*BK234,0)*(1-$K234)</f>
        <v>3627960.8188642049</v>
      </c>
      <c r="BN234" s="1118">
        <f>VLOOKUP($E234,BK$442:BN$453,4,FALSE)*BK234*($K234)+(BK234-BL234-BM234)*(1-$K234)</f>
        <v>4958076.638207525</v>
      </c>
      <c r="BO234" s="1074"/>
      <c r="BS234" s="1117">
        <f>$G234</f>
        <v>15276304.380404986</v>
      </c>
      <c r="BT234" s="1118">
        <f>VLOOKUP($E234,BS$442:BV$453,2,FALSE)*BS234*($K234)+IF($G234&lt;&gt;0,($H234/$G234)*BS234,0)*(1-$K234)</f>
        <v>6690266.9233332537</v>
      </c>
      <c r="BU234" s="1118">
        <f>VLOOKUP($E234,BS$442:BV$453,3,FALSE)*BS234*($K234)+IF($G234&lt;&gt;0,($I234/$G234)*BS234,0)*(1-$K234)</f>
        <v>3627960.8188642049</v>
      </c>
      <c r="BV234" s="1118">
        <f>VLOOKUP($E234,BS$442:BV$453,4,FALSE)*BS234*($K234)+(BS234-BT234-BU234)*(1-$K234)</f>
        <v>4958076.638207525</v>
      </c>
      <c r="BW234" s="1074"/>
      <c r="CA234" s="1117">
        <f>$G234</f>
        <v>15276304.380404986</v>
      </c>
      <c r="CB234" s="1118">
        <f>VLOOKUP($E234,CA$442:CD$453,2,FALSE)*CA234*($K234)+IF($G234&lt;&gt;0,($H234/$G234)*CA234,0)*(1-$K234)</f>
        <v>6690266.9233332537</v>
      </c>
      <c r="CC234" s="1118">
        <f>VLOOKUP($E234,CA$442:CD$453,3,FALSE)*CA234*($K234)+IF($G234&lt;&gt;0,($I234/$G234)*CA234,0)*(1-$K234)</f>
        <v>3627960.8188642049</v>
      </c>
      <c r="CD234" s="1118">
        <f>VLOOKUP($E234,CA$442:CD$453,4,FALSE)*CA234*($K234)+(CA234-CB234-CC234)*(1-$K234)</f>
        <v>4958076.638207525</v>
      </c>
      <c r="CE234" s="1074"/>
      <c r="CI234" s="1117">
        <f>$G234</f>
        <v>15276304.380404986</v>
      </c>
      <c r="CJ234" s="1118">
        <f>VLOOKUP($E234,CI$442:CL$453,2,FALSE)*CI234*($K234)+IF($G234&lt;&gt;0,($H234/$G234)*CI234,0)*(1-$K234)</f>
        <v>6690266.9233332537</v>
      </c>
      <c r="CK234" s="1118">
        <f>VLOOKUP($E234,CI$442:CL$453,3,FALSE)*CI234*($K234)+IF($G234&lt;&gt;0,($I234/$G234)*CI234,0)*(1-$K234)</f>
        <v>3627960.8188642049</v>
      </c>
      <c r="CL234" s="1118">
        <f>VLOOKUP($E234,CI$442:CL$453,4,FALSE)*CI234*($K234)+(CI234-CJ234-CK234)*(1-$K234)</f>
        <v>4958076.638207525</v>
      </c>
      <c r="CM234" s="1074"/>
      <c r="CQ234" s="1117">
        <f>$G234</f>
        <v>15276304.380404986</v>
      </c>
      <c r="CR234" s="1118">
        <f>VLOOKUP($E234,CQ$442:CT$453,2,FALSE)*CQ234*($K234)+IF($G234&lt;&gt;0,($H234/$G234)*CQ234,0)*(1-$K234)</f>
        <v>6690266.9233332537</v>
      </c>
      <c r="CS234" s="1118">
        <f>VLOOKUP($E234,CQ$442:CT$453,3,FALSE)*CQ234*($K234)+IF($G234&lt;&gt;0,($I234/$G234)*CQ234,0)*(1-$K234)</f>
        <v>3627960.8188642049</v>
      </c>
      <c r="CT234" s="1118">
        <f>VLOOKUP($E234,CQ$442:CT$453,4,FALSE)*CQ234*($K234)+(CQ234-CR234-CS234)*(1-$K234)</f>
        <v>4958076.638207525</v>
      </c>
      <c r="CU234" s="1074"/>
      <c r="CY234" s="1117">
        <f>$G234</f>
        <v>15276304.380404986</v>
      </c>
      <c r="CZ234" s="1118">
        <f>VLOOKUP($E234,CY$442:DB$453,2,FALSE)*CY234*($K234)+IF($G234&lt;&gt;0,($H234/$G234)*CY234,0)*(1-$K234)</f>
        <v>6690266.9233332537</v>
      </c>
      <c r="DA234" s="1118">
        <f>VLOOKUP($E234,CY$442:DB$453,3,FALSE)*CY234*($K234)+IF($G234&lt;&gt;0,($I234/$G234)*CY234,0)*(1-$K234)</f>
        <v>3627960.8188642049</v>
      </c>
      <c r="DB234" s="1118">
        <f>VLOOKUP($E234,CY$442:DB$453,4,FALSE)*CY234*($K234)+(CY234-CZ234-DA234)*(1-$K234)</f>
        <v>4958076.638207525</v>
      </c>
      <c r="DC234" s="1074"/>
      <c r="DG234" s="1117">
        <f>$G234</f>
        <v>15276304.380404986</v>
      </c>
      <c r="DH234" s="1118">
        <f>VLOOKUP($E234,DG$442:DJ$453,2,FALSE)*DG234*($K234)+IF($G234&lt;&gt;0,($H234/$G234)*DG234,0)*(1-$K234)</f>
        <v>6690266.9233332537</v>
      </c>
      <c r="DI234" s="1118">
        <f>VLOOKUP($E234,DG$442:DJ$453,3,FALSE)*DG234*($K234)+IF($G234&lt;&gt;0,($I234/$G234)*DG234,0)*(1-$K234)</f>
        <v>3627960.8188642049</v>
      </c>
      <c r="DJ234" s="1118">
        <f>VLOOKUP($E234,DG$442:DJ$453,4,FALSE)*DG234*($K234)+(DG234-DH234-DI234)*(1-$K234)</f>
        <v>4958076.638207525</v>
      </c>
      <c r="DK234" s="1074"/>
      <c r="DO234" s="1117">
        <f>$G234</f>
        <v>15276304.380404986</v>
      </c>
      <c r="DP234" s="1118">
        <f>VLOOKUP($E234,DO$442:DR$453,2,FALSE)*DO234*($K234)+IF($G234&lt;&gt;0,($H234/$G234)*DO234,0)*(1-$K234)</f>
        <v>6690266.9233332537</v>
      </c>
      <c r="DQ234" s="1118">
        <f>VLOOKUP($E234,DO$442:DR$453,3,FALSE)*DO234*($K234)+IF($G234&lt;&gt;0,($I234/$G234)*DO234,0)*(1-$K234)</f>
        <v>3627960.8188642049</v>
      </c>
      <c r="DR234" s="1118">
        <f>VLOOKUP($E234,DO$442:DR$453,4,FALSE)*DO234*($K234)+(DO234-DP234-DQ234)*(1-$K234)</f>
        <v>4958076.638207525</v>
      </c>
      <c r="DS234" s="1074"/>
      <c r="DW234" s="1117">
        <f>$G234</f>
        <v>15276304.380404986</v>
      </c>
      <c r="DX234" s="1118">
        <f>VLOOKUP($E234,DW$442:DZ$453,2,FALSE)*DW234*($K234)+IF($G234&lt;&gt;0,($H234/$G234)*DW234,0)*(1-$K234)</f>
        <v>6690266.9233332537</v>
      </c>
      <c r="DY234" s="1118">
        <f>VLOOKUP($E234,DW$442:DZ$453,3,FALSE)*DW234*($K234)+IF($G234&lt;&gt;0,($I234/$G234)*DW234,0)*(1-$K234)</f>
        <v>3627960.8188642049</v>
      </c>
      <c r="DZ234" s="1118">
        <f>VLOOKUP($E234,DW$442:DZ$453,4,FALSE)*DW234*($K234)+(DW234-DX234-DY234)*(1-$K234)</f>
        <v>4958076.638207525</v>
      </c>
      <c r="EA234" s="1074"/>
      <c r="EE234" s="1117">
        <f>$G234</f>
        <v>15276304.380404986</v>
      </c>
      <c r="EF234" s="1118">
        <f>VLOOKUP($E234,EE$442:EH$453,2,FALSE)*EE234*($K234)+IF($G234&lt;&gt;0,($H234/$G234)*EE234,0)*(1-$K234)</f>
        <v>6690266.9233332537</v>
      </c>
      <c r="EG234" s="1118">
        <f>VLOOKUP($E234,EE$442:EH$453,3,FALSE)*EE234*($K234)+IF($G234&lt;&gt;0,($I234/$G234)*EE234,0)*(1-$K234)</f>
        <v>3627960.8188642049</v>
      </c>
      <c r="EH234" s="1118">
        <f>VLOOKUP($E234,EE$442:EH$453,4,FALSE)*EE234*($K234)+(EE234-EF234-EG234)*(1-$K234)</f>
        <v>4958076.638207525</v>
      </c>
      <c r="EI234" s="1074"/>
      <c r="EM234" s="1117">
        <f>$G234</f>
        <v>15276304.380404986</v>
      </c>
      <c r="EN234" s="1118">
        <f>VLOOKUP($E234,EM$442:EP$453,2,FALSE)*EM234*($K234)+IF($G234&lt;&gt;0,($H234/$G234)*EM234,0)*(1-$K234)</f>
        <v>6690266.9233332537</v>
      </c>
      <c r="EO234" s="1118">
        <f>VLOOKUP($E234,EM$442:EP$453,3,FALSE)*EM234*($K234)+IF($G234&lt;&gt;0,($I234/$G234)*EM234,0)*(1-$K234)</f>
        <v>3627960.8188642049</v>
      </c>
      <c r="EP234" s="1118">
        <f>VLOOKUP($E234,EM$442:EP$453,4,FALSE)*EM234*($K234)+(EM234-EN234-EO234)*(1-$K234)</f>
        <v>4958076.638207525</v>
      </c>
      <c r="EQ234" s="1074"/>
      <c r="EU234" s="1117">
        <f>$G234</f>
        <v>15276304.380404986</v>
      </c>
      <c r="EV234" s="1118">
        <f>VLOOKUP($E234,EU$442:EX$453,2,FALSE)*EU234*($K234)+IF($G234&lt;&gt;0,($H234/$G234)*EU234,0)*(1-$K234)</f>
        <v>6690266.9233332537</v>
      </c>
      <c r="EW234" s="1118">
        <f>VLOOKUP($E234,EU$442:EX$453,3,FALSE)*EU234*($K234)+IF($G234&lt;&gt;0,($I234/$G234)*EU234,0)*(1-$K234)</f>
        <v>3627960.8188642049</v>
      </c>
      <c r="EX234" s="1118">
        <f>VLOOKUP($E234,EU$442:EX$453,4,FALSE)*EU234*($K234)+(EU234-EV234-EW234)*(1-$K234)</f>
        <v>4958076.638207525</v>
      </c>
      <c r="EY234" s="1074"/>
      <c r="FC234" s="1117">
        <f>$G234</f>
        <v>15276304.380404986</v>
      </c>
      <c r="FD234" s="1118">
        <f>VLOOKUP($E234,FC$442:FF$453,2,FALSE)*FC234*($K234)+IF($G234&lt;&gt;0,($H234/$G234)*FC234,0)*(1-$K234)</f>
        <v>6690266.9233332537</v>
      </c>
      <c r="FE234" s="1118">
        <f>VLOOKUP($E234,FC$442:FF$453,3,FALSE)*FC234*($K234)+IF($G234&lt;&gt;0,($I234/$G234)*FC234,0)*(1-$K234)</f>
        <v>3627960.8188642049</v>
      </c>
      <c r="FF234" s="1118">
        <f>VLOOKUP($E234,FC$442:FF$453,4,FALSE)*FC234*($K234)+(FC234-FD234-FE234)*(1-$K234)</f>
        <v>4958076.638207525</v>
      </c>
      <c r="FG234" s="1074"/>
      <c r="FK234" s="1117">
        <f>$G234</f>
        <v>15276304.380404986</v>
      </c>
      <c r="FL234" s="1118">
        <f>VLOOKUP($E234,FK$442:FN$453,2,FALSE)*FK234*($K234)+IF($G234&lt;&gt;0,($H234/$G234)*FK234,0)*(1-$K234)</f>
        <v>6690266.9233332537</v>
      </c>
      <c r="FM234" s="1118">
        <f>VLOOKUP($E234,FK$442:FN$453,3,FALSE)*FK234*($K234)+IF($G234&lt;&gt;0,($I234/$G234)*FK234,0)*(1-$K234)</f>
        <v>3627960.8188642049</v>
      </c>
      <c r="FN234" s="1118">
        <f>VLOOKUP($E234,FK$442:FN$453,4,FALSE)*FK234*($K234)+(FK234-FL234-FM234)*(1-$K234)</f>
        <v>4958076.638207525</v>
      </c>
      <c r="FO234" s="1074"/>
    </row>
    <row r="235" spans="1:171" x14ac:dyDescent="0.25">
      <c r="A235" s="163" t="s">
        <v>493</v>
      </c>
      <c r="B235" s="10"/>
      <c r="C235" s="915"/>
      <c r="D235" s="916"/>
      <c r="E235" s="916"/>
      <c r="F235" s="917"/>
      <c r="G235" s="924">
        <f>SUM(G219:G220,G222:G227,G229:G232,G234)-G221-G228</f>
        <v>816337528.10835838</v>
      </c>
      <c r="H235" s="924">
        <f>SUM(H219:H220,H222:H227,H229:H232,H234)-H221-H228</f>
        <v>332693781.08396053</v>
      </c>
      <c r="I235" s="924">
        <f>SUM(I219:I220,I222:I227,I229:I232,I234)-I221-I228</f>
        <v>0</v>
      </c>
      <c r="J235" s="1391">
        <f>SUM(J219:J220,J222:J227,J229:J232,J234)-J221-J228</f>
        <v>483640675.80043858</v>
      </c>
      <c r="K235" s="904"/>
      <c r="O235" s="1137">
        <f>SUM(O219:O220,O222:O227,O229:O232,O234)-O221-O228</f>
        <v>816337528.10835838</v>
      </c>
      <c r="P235" s="1137">
        <f>SUM(P219:P220,P222:P227,P229:P232,P234)-P221-P228</f>
        <v>332693781.08396053</v>
      </c>
      <c r="Q235" s="1137">
        <f>SUM(Q219:Q220,Q222:Q227,Q229:Q232,Q234)-Q221-Q228</f>
        <v>17847127.438652508</v>
      </c>
      <c r="R235" s="1137">
        <f>SUM(R219:R220,R222:R227,R229:R232,R234)-R221-R228</f>
        <v>465796619.58574533</v>
      </c>
      <c r="S235" s="1074"/>
      <c r="W235" s="1137">
        <f>SUM(W219:W220,W222:W227,W229:W232,W234)-W221-W228</f>
        <v>816337528.10835838</v>
      </c>
      <c r="X235" s="1137">
        <f>SUM(X219:X220,X222:X227,X229:X232,X234)-X221-X228</f>
        <v>332693781.08396053</v>
      </c>
      <c r="Y235" s="1137">
        <f>SUM(Y219:Y220,Y222:Y227,Y229:Y232,Y234)-Y221-Y228</f>
        <v>17847127.438652508</v>
      </c>
      <c r="Z235" s="1137">
        <f>SUM(Z219:Z220,Z222:Z227,Z229:Z232,Z234)-Z221-Z228</f>
        <v>465796619.58574533</v>
      </c>
      <c r="AA235" s="1074"/>
      <c r="AE235" s="1137">
        <f>SUM(AE219:AE220,AE222:AE227,AE229:AE232,AE234)-AE221-AE228</f>
        <v>816337528.10835838</v>
      </c>
      <c r="AF235" s="1137">
        <f>SUM(AF219:AF220,AF222:AF227,AF229:AF232,AF234)-AF221-AF228</f>
        <v>332693781.08396053</v>
      </c>
      <c r="AG235" s="1137">
        <f>SUM(AG219:AG220,AG222:AG227,AG229:AG232,AG234)-AG221-AG228</f>
        <v>17847127.438652508</v>
      </c>
      <c r="AH235" s="1137">
        <f>SUM(AH219:AH220,AH222:AH227,AH229:AH232,AH234)-AH221-AH228</f>
        <v>465796619.58574533</v>
      </c>
      <c r="AI235" s="1074"/>
      <c r="AM235" s="1137">
        <f>SUM(AM219:AM220,AM222:AM227,AM229:AM232,AM234)-AM221-AM228</f>
        <v>816337528.10835838</v>
      </c>
      <c r="AN235" s="1137">
        <f>SUM(AN219:AN220,AN222:AN227,AN229:AN232,AN234)-AN221-AN228</f>
        <v>332693781.08396053</v>
      </c>
      <c r="AO235" s="1137">
        <f>SUM(AO219:AO220,AO222:AO227,AO229:AO232,AO234)-AO221-AO228</f>
        <v>17847127.438652508</v>
      </c>
      <c r="AP235" s="1137">
        <f>SUM(AP219:AP220,AP222:AP227,AP229:AP232,AP234)-AP221-AP228</f>
        <v>465796619.58574533</v>
      </c>
      <c r="AQ235" s="1074"/>
      <c r="AU235" s="1137">
        <f>SUM(AU219:AU220,AU222:AU227,AU229:AU232,AU234)-AU221-AU228</f>
        <v>816337528.10835838</v>
      </c>
      <c r="AV235" s="1137">
        <f>SUM(AV219:AV220,AV222:AV227,AV229:AV232,AV234)-AV221-AV228</f>
        <v>332693781.08396053</v>
      </c>
      <c r="AW235" s="1137">
        <f>SUM(AW219:AW220,AW222:AW227,AW229:AW232,AW234)-AW221-AW228</f>
        <v>17847127.438652508</v>
      </c>
      <c r="AX235" s="1137">
        <f>SUM(AX219:AX220,AX222:AX227,AX229:AX232,AX234)-AX221-AX228</f>
        <v>465796619.58574533</v>
      </c>
      <c r="AY235" s="1074"/>
      <c r="BC235" s="1137">
        <f>SUM(BC219:BC220,BC222:BC227,BC229:BC232,BC234)-BC221-BC228</f>
        <v>816337528.10835838</v>
      </c>
      <c r="BD235" s="1137">
        <f>SUM(BD219:BD220,BD222:BD227,BD229:BD232,BD234)-BD221-BD228</f>
        <v>332693781.08396053</v>
      </c>
      <c r="BE235" s="1137">
        <f>SUM(BE219:BE220,BE222:BE227,BE229:BE232,BE234)-BE221-BE228</f>
        <v>17847127.438652508</v>
      </c>
      <c r="BF235" s="1137">
        <f>SUM(BF219:BF220,BF222:BF227,BF229:BF232,BF234)-BF221-BF228</f>
        <v>465796619.58574533</v>
      </c>
      <c r="BG235" s="1074"/>
      <c r="BK235" s="1137">
        <f>SUM(BK219:BK220,BK222:BK227,BK229:BK232,BK234)-BK221-BK228</f>
        <v>816337528.10835838</v>
      </c>
      <c r="BL235" s="1137">
        <f>SUM(BL219:BL220,BL222:BL227,BL229:BL232,BL234)-BL221-BL228</f>
        <v>332693781.08396053</v>
      </c>
      <c r="BM235" s="1137">
        <f>SUM(BM219:BM220,BM222:BM227,BM229:BM232,BM234)-BM221-BM228</f>
        <v>17847127.438652508</v>
      </c>
      <c r="BN235" s="1137">
        <f>SUM(BN219:BN220,BN222:BN227,BN229:BN232,BN234)-BN221-BN228</f>
        <v>465796619.58574533</v>
      </c>
      <c r="BO235" s="1074"/>
      <c r="BS235" s="1137">
        <f>SUM(BS219:BS220,BS222:BS227,BS229:BS232,BS234)-BS221-BS228</f>
        <v>816337528.10835838</v>
      </c>
      <c r="BT235" s="1137">
        <f>SUM(BT219:BT220,BT222:BT227,BT229:BT232,BT234)-BT221-BT228</f>
        <v>332693781.08396053</v>
      </c>
      <c r="BU235" s="1137">
        <f>SUM(BU219:BU220,BU222:BU227,BU229:BU232,BU234)-BU221-BU228</f>
        <v>17847127.438652508</v>
      </c>
      <c r="BV235" s="1137">
        <f>SUM(BV219:BV220,BV222:BV227,BV229:BV232,BV234)-BV221-BV228</f>
        <v>465796619.58574533</v>
      </c>
      <c r="BW235" s="1074"/>
      <c r="CA235" s="1137">
        <f>SUM(CA219:CA220,CA222:CA227,CA229:CA232,CA234)-CA221-CA228</f>
        <v>816337528.10835838</v>
      </c>
      <c r="CB235" s="1137">
        <f>SUM(CB219:CB220,CB222:CB227,CB229:CB232,CB234)-CB221-CB228</f>
        <v>332693781.08396053</v>
      </c>
      <c r="CC235" s="1137">
        <f>SUM(CC219:CC220,CC222:CC227,CC229:CC232,CC234)-CC221-CC228</f>
        <v>17847127.438652508</v>
      </c>
      <c r="CD235" s="1137">
        <f>SUM(CD219:CD220,CD222:CD227,CD229:CD232,CD234)-CD221-CD228</f>
        <v>465796619.58574533</v>
      </c>
      <c r="CE235" s="1074"/>
      <c r="CI235" s="1137">
        <f>SUM(CI219:CI220,CI222:CI227,CI229:CI232,CI234)-CI221-CI228</f>
        <v>816337528.10835838</v>
      </c>
      <c r="CJ235" s="1137">
        <f>SUM(CJ219:CJ220,CJ222:CJ227,CJ229:CJ232,CJ234)-CJ221-CJ228</f>
        <v>332693781.08396053</v>
      </c>
      <c r="CK235" s="1137">
        <f>SUM(CK219:CK220,CK222:CK227,CK229:CK232,CK234)-CK221-CK228</f>
        <v>17847127.438652508</v>
      </c>
      <c r="CL235" s="1137">
        <f>SUM(CL219:CL220,CL222:CL227,CL229:CL232,CL234)-CL221-CL228</f>
        <v>465796619.58574533</v>
      </c>
      <c r="CM235" s="1074"/>
      <c r="CQ235" s="1137">
        <f>SUM(CQ219:CQ220,CQ222:CQ227,CQ229:CQ232,CQ234)-CQ221-CQ228</f>
        <v>816337528.10835838</v>
      </c>
      <c r="CR235" s="1137">
        <f>SUM(CR219:CR220,CR222:CR227,CR229:CR232,CR234)-CR221-CR228</f>
        <v>332693781.08396053</v>
      </c>
      <c r="CS235" s="1137">
        <f>SUM(CS219:CS220,CS222:CS227,CS229:CS232,CS234)-CS221-CS228</f>
        <v>17847127.438652508</v>
      </c>
      <c r="CT235" s="1137">
        <f>SUM(CT219:CT220,CT222:CT227,CT229:CT232,CT234)-CT221-CT228</f>
        <v>465796619.58574533</v>
      </c>
      <c r="CU235" s="1074"/>
      <c r="CY235" s="1137">
        <f>SUM(CY219:CY220,CY222:CY227,CY229:CY232,CY234)-CY221-CY228</f>
        <v>816337528.10835838</v>
      </c>
      <c r="CZ235" s="1137">
        <f>SUM(CZ219:CZ220,CZ222:CZ227,CZ229:CZ232,CZ234)-CZ221-CZ228</f>
        <v>332693781.08396053</v>
      </c>
      <c r="DA235" s="1137">
        <f>SUM(DA219:DA220,DA222:DA227,DA229:DA232,DA234)-DA221-DA228</f>
        <v>17847127.438652508</v>
      </c>
      <c r="DB235" s="1137">
        <f>SUM(DB219:DB220,DB222:DB227,DB229:DB232,DB234)-DB221-DB228</f>
        <v>465796619.58574533</v>
      </c>
      <c r="DC235" s="1074"/>
      <c r="DG235" s="1137">
        <f>SUM(DG219:DG220,DG222:DG227,DG229:DG232,DG234)-DG221-DG228</f>
        <v>816337528.10835838</v>
      </c>
      <c r="DH235" s="1137">
        <f>SUM(DH219:DH220,DH222:DH227,DH229:DH232,DH234)-DH221-DH228</f>
        <v>332693781.08396053</v>
      </c>
      <c r="DI235" s="1137">
        <f>SUM(DI219:DI220,DI222:DI227,DI229:DI232,DI234)-DI221-DI228</f>
        <v>17847127.438652508</v>
      </c>
      <c r="DJ235" s="1137">
        <f>SUM(DJ219:DJ220,DJ222:DJ227,DJ229:DJ232,DJ234)-DJ221-DJ228</f>
        <v>465796619.58574533</v>
      </c>
      <c r="DK235" s="1074"/>
      <c r="DO235" s="1137">
        <f>SUM(DO219:DO220,DO222:DO227,DO229:DO232,DO234)-DO221-DO228</f>
        <v>816337528.10835838</v>
      </c>
      <c r="DP235" s="1137">
        <f>SUM(DP219:DP220,DP222:DP227,DP229:DP232,DP234)-DP221-DP228</f>
        <v>332693781.08396053</v>
      </c>
      <c r="DQ235" s="1137">
        <f>SUM(DQ219:DQ220,DQ222:DQ227,DQ229:DQ232,DQ234)-DQ221-DQ228</f>
        <v>17847127.438652508</v>
      </c>
      <c r="DR235" s="1137">
        <f>SUM(DR219:DR220,DR222:DR227,DR229:DR232,DR234)-DR221-DR228</f>
        <v>465796619.58574533</v>
      </c>
      <c r="DS235" s="1074"/>
      <c r="DW235" s="1137">
        <f>SUM(DW219:DW220,DW222:DW227,DW229:DW232,DW234)-DW221-DW228</f>
        <v>816337528.10835838</v>
      </c>
      <c r="DX235" s="1137">
        <f>SUM(DX219:DX220,DX222:DX227,DX229:DX232,DX234)-DX221-DX228</f>
        <v>332693781.08396053</v>
      </c>
      <c r="DY235" s="1137">
        <f>SUM(DY219:DY220,DY222:DY227,DY229:DY232,DY234)-DY221-DY228</f>
        <v>17847127.438652508</v>
      </c>
      <c r="DZ235" s="1137">
        <f>SUM(DZ219:DZ220,DZ222:DZ227,DZ229:DZ232,DZ234)-DZ221-DZ228</f>
        <v>465796619.58574533</v>
      </c>
      <c r="EA235" s="1074"/>
      <c r="EE235" s="1137">
        <f>SUM(EE219:EE220,EE222:EE227,EE229:EE232,EE234)-EE221-EE228</f>
        <v>816337528.10835838</v>
      </c>
      <c r="EF235" s="1137">
        <f>SUM(EF219:EF220,EF222:EF227,EF229:EF232,EF234)-EF221-EF228</f>
        <v>332693781.08396053</v>
      </c>
      <c r="EG235" s="1137">
        <f>SUM(EG219:EG220,EG222:EG227,EG229:EG232,EG234)-EG221-EG228</f>
        <v>17847127.438652508</v>
      </c>
      <c r="EH235" s="1137">
        <f>SUM(EH219:EH220,EH222:EH227,EH229:EH232,EH234)-EH221-EH228</f>
        <v>465796619.58574533</v>
      </c>
      <c r="EI235" s="1074"/>
      <c r="EM235" s="1137">
        <f>SUM(EM219:EM220,EM222:EM227,EM229:EM232,EM234)-EM221-EM228</f>
        <v>816337528.10835838</v>
      </c>
      <c r="EN235" s="1137">
        <f>SUM(EN219:EN220,EN222:EN227,EN229:EN232,EN234)-EN221-EN228</f>
        <v>332693781.08396053</v>
      </c>
      <c r="EO235" s="1137">
        <f>SUM(EO219:EO220,EO222:EO227,EO229:EO232,EO234)-EO221-EO228</f>
        <v>17847127.438652508</v>
      </c>
      <c r="EP235" s="1137">
        <f>SUM(EP219:EP220,EP222:EP227,EP229:EP232,EP234)-EP221-EP228</f>
        <v>465796619.58574533</v>
      </c>
      <c r="EQ235" s="1074"/>
      <c r="EU235" s="1137">
        <f>SUM(EU219:EU220,EU222:EU227,EU229:EU232,EU234)-EU221-EU228</f>
        <v>816337528.10835838</v>
      </c>
      <c r="EV235" s="1137">
        <f>SUM(EV219:EV220,EV222:EV227,EV229:EV232,EV234)-EV221-EV228</f>
        <v>332693781.08396053</v>
      </c>
      <c r="EW235" s="1137">
        <f>SUM(EW219:EW220,EW222:EW227,EW229:EW232,EW234)-EW221-EW228</f>
        <v>17847127.438652508</v>
      </c>
      <c r="EX235" s="1137">
        <f>SUM(EX219:EX220,EX222:EX227,EX229:EX232,EX234)-EX221-EX228</f>
        <v>465796619.58574533</v>
      </c>
      <c r="EY235" s="1074"/>
      <c r="FC235" s="1137">
        <f>SUM(FC219:FC220,FC222:FC227,FC229:FC232,FC234)-FC221-FC228</f>
        <v>816337528.10835838</v>
      </c>
      <c r="FD235" s="1137">
        <f>SUM(FD219:FD220,FD222:FD227,FD229:FD232,FD234)-FD221-FD228</f>
        <v>332693781.08396053</v>
      </c>
      <c r="FE235" s="1137">
        <f>SUM(FE219:FE220,FE222:FE227,FE229:FE232,FE234)-FE221-FE228</f>
        <v>17847127.438652508</v>
      </c>
      <c r="FF235" s="1137">
        <f>SUM(FF219:FF220,FF222:FF227,FF229:FF232,FF234)-FF221-FF228</f>
        <v>465796619.58574533</v>
      </c>
      <c r="FG235" s="1074"/>
      <c r="FK235" s="1137">
        <f>SUM(FK219:FK220,FK222:FK227,FK229:FK232,FK234)-FK221-FK228</f>
        <v>816337528.10835838</v>
      </c>
      <c r="FL235" s="1137">
        <f>SUM(FL219:FL220,FL222:FL227,FL229:FL232,FL234)-FL221-FL228</f>
        <v>332693781.08396053</v>
      </c>
      <c r="FM235" s="1137">
        <f>SUM(FM219:FM220,FM222:FM227,FM229:FM232,FM234)-FM221-FM228</f>
        <v>17847127.438652508</v>
      </c>
      <c r="FN235" s="1137">
        <f>SUM(FN219:FN220,FN222:FN227,FN229:FN232,FN234)-FN221-FN228</f>
        <v>465796619.58574533</v>
      </c>
      <c r="FO235" s="1074"/>
    </row>
    <row r="236" spans="1:171" ht="16.5" thickBot="1" x14ac:dyDescent="0.3">
      <c r="A236" s="191"/>
      <c r="B236" s="996"/>
      <c r="C236" s="933"/>
      <c r="D236" s="1001"/>
      <c r="E236" s="1001"/>
      <c r="F236" s="1001"/>
      <c r="G236" s="1002"/>
      <c r="H236" s="1003"/>
      <c r="I236" s="1003"/>
      <c r="J236" s="936"/>
      <c r="K236" s="904"/>
      <c r="O236" s="1080"/>
      <c r="S236" s="1074"/>
      <c r="W236" s="1080"/>
      <c r="AA236" s="1074"/>
      <c r="AE236" s="1080"/>
      <c r="AI236" s="1074"/>
      <c r="AM236" s="1080"/>
      <c r="AQ236" s="1074"/>
      <c r="AU236" s="1080"/>
      <c r="AY236" s="1074"/>
      <c r="BC236" s="1080"/>
      <c r="BG236" s="1074"/>
      <c r="BK236" s="1080"/>
      <c r="BO236" s="1074"/>
      <c r="BS236" s="1080"/>
      <c r="BW236" s="1074"/>
      <c r="CA236" s="1080"/>
      <c r="CE236" s="1074"/>
      <c r="CI236" s="1080"/>
      <c r="CM236" s="1074"/>
      <c r="CQ236" s="1080"/>
      <c r="CU236" s="1074"/>
      <c r="CY236" s="1080"/>
      <c r="DC236" s="1074"/>
      <c r="DG236" s="1080"/>
      <c r="DK236" s="1074"/>
      <c r="DO236" s="1080"/>
      <c r="DS236" s="1074"/>
      <c r="DW236" s="1080"/>
      <c r="EA236" s="1074"/>
      <c r="EE236" s="1080"/>
      <c r="EI236" s="1074"/>
      <c r="EM236" s="1080"/>
      <c r="EQ236" s="1074"/>
      <c r="EU236" s="1080"/>
      <c r="EY236" s="1074"/>
      <c r="FC236" s="1080"/>
      <c r="FG236" s="1074"/>
      <c r="FK236" s="1080"/>
      <c r="FO236" s="1074"/>
    </row>
    <row r="237" spans="1:171" ht="16.5" thickTop="1" x14ac:dyDescent="0.25">
      <c r="A237" s="163" t="s">
        <v>494</v>
      </c>
      <c r="B237" s="10"/>
      <c r="C237" s="915"/>
      <c r="D237" s="916"/>
      <c r="E237" s="916"/>
      <c r="F237" s="917"/>
      <c r="G237" s="924">
        <f>G196+G202+G207+G215+G235</f>
        <v>2801115468.0404692</v>
      </c>
      <c r="H237" s="924">
        <f>H196+H202+H207+H215+H235</f>
        <v>2048936794.7969301</v>
      </c>
      <c r="I237" s="924">
        <f>I196+I202+I207+I215+I235</f>
        <v>0</v>
      </c>
      <c r="J237" s="1391">
        <f>J196+J202+J207+J215+J235</f>
        <v>752175602.01958001</v>
      </c>
      <c r="K237" s="904"/>
      <c r="O237" s="1136">
        <f>O196+O202+O207+O215+O235</f>
        <v>2801115468.0404692</v>
      </c>
      <c r="P237" s="1136">
        <f>P196+P202+P207+P215+P235</f>
        <v>2048936794.7969301</v>
      </c>
      <c r="Q237" s="1136">
        <f>Q196+Q202+Q207+Q215+Q235</f>
        <v>55345171.546346359</v>
      </c>
      <c r="R237" s="1136">
        <f>R196+R202+R207+R215+R235</f>
        <v>696833501.69719291</v>
      </c>
      <c r="S237" s="1074"/>
      <c r="W237" s="1136">
        <f>W196+W202+W207+W215+W235</f>
        <v>2801115468.0404692</v>
      </c>
      <c r="X237" s="1136">
        <f>X196+X202+X207+X215+X235</f>
        <v>2048936794.7969301</v>
      </c>
      <c r="Y237" s="1136">
        <f>Y196+Y202+Y207+Y215+Y235</f>
        <v>55345171.546346359</v>
      </c>
      <c r="Z237" s="1136">
        <f>Z196+Z202+Z207+Z215+Z235</f>
        <v>696833501.69719291</v>
      </c>
      <c r="AA237" s="1074"/>
      <c r="AE237" s="1136">
        <f>AE196+AE202+AE207+AE215+AE235</f>
        <v>2801115468.0404692</v>
      </c>
      <c r="AF237" s="1136">
        <f>AF196+AF202+AF207+AF215+AF235</f>
        <v>2048936794.7969301</v>
      </c>
      <c r="AG237" s="1136">
        <f>AG196+AG202+AG207+AG215+AG235</f>
        <v>55345171.546346359</v>
      </c>
      <c r="AH237" s="1136">
        <f>AH196+AH202+AH207+AH215+AH235</f>
        <v>696833501.69719291</v>
      </c>
      <c r="AI237" s="1074"/>
      <c r="AM237" s="1136">
        <f>AM196+AM202+AM207+AM215+AM235</f>
        <v>2801115468.0404692</v>
      </c>
      <c r="AN237" s="1136">
        <f>AN196+AN202+AN207+AN215+AN235</f>
        <v>2048936794.7969301</v>
      </c>
      <c r="AO237" s="1136">
        <f>AO196+AO202+AO207+AO215+AO235</f>
        <v>55345171.546346359</v>
      </c>
      <c r="AP237" s="1136">
        <f>AP196+AP202+AP207+AP215+AP235</f>
        <v>696833501.69719291</v>
      </c>
      <c r="AQ237" s="1074"/>
      <c r="AU237" s="1136">
        <f>AU196+AU202+AU207+AU215+AU235</f>
        <v>2801115468.0404692</v>
      </c>
      <c r="AV237" s="1136">
        <f>AV196+AV202+AV207+AV215+AV235</f>
        <v>2048936794.7969301</v>
      </c>
      <c r="AW237" s="1136">
        <f>AW196+AW202+AW207+AW215+AW235</f>
        <v>55345171.546346359</v>
      </c>
      <c r="AX237" s="1136">
        <f>AX196+AX202+AX207+AX215+AX235</f>
        <v>696833501.69719291</v>
      </c>
      <c r="AY237" s="1074"/>
      <c r="BC237" s="1136">
        <f>BC196+BC202+BC207+BC215+BC235</f>
        <v>2801115468.0404692</v>
      </c>
      <c r="BD237" s="1136">
        <f>BD196+BD202+BD207+BD215+BD235</f>
        <v>2048936794.7969301</v>
      </c>
      <c r="BE237" s="1136">
        <f>BE196+BE202+BE207+BE215+BE235</f>
        <v>55345171.546346359</v>
      </c>
      <c r="BF237" s="1136">
        <f>BF196+BF202+BF207+BF215+BF235</f>
        <v>696833501.69719291</v>
      </c>
      <c r="BG237" s="1074"/>
      <c r="BK237" s="1136">
        <f>BK196+BK202+BK207+BK215+BK235</f>
        <v>2801115468.0404692</v>
      </c>
      <c r="BL237" s="1136">
        <f>BL196+BL202+BL207+BL215+BL235</f>
        <v>2048936794.7969301</v>
      </c>
      <c r="BM237" s="1136">
        <f>BM196+BM202+BM207+BM215+BM235</f>
        <v>55345171.546346359</v>
      </c>
      <c r="BN237" s="1136">
        <f>BN196+BN202+BN207+BN215+BN235</f>
        <v>696833501.69719291</v>
      </c>
      <c r="BO237" s="1074"/>
      <c r="BS237" s="1136">
        <f>BS196+BS202+BS207+BS215+BS235</f>
        <v>2801115468.0404692</v>
      </c>
      <c r="BT237" s="1136">
        <f>BT196+BT202+BT207+BT215+BT235</f>
        <v>2048936794.7969301</v>
      </c>
      <c r="BU237" s="1136">
        <f>BU196+BU202+BU207+BU215+BU235</f>
        <v>55345171.546346359</v>
      </c>
      <c r="BV237" s="1136">
        <f>BV196+BV202+BV207+BV215+BV235</f>
        <v>696833501.69719291</v>
      </c>
      <c r="BW237" s="1074"/>
      <c r="CA237" s="1136">
        <f>CA196+CA202+CA207+CA215+CA235</f>
        <v>2801115468.0404692</v>
      </c>
      <c r="CB237" s="1136">
        <f>CB196+CB202+CB207+CB215+CB235</f>
        <v>2048936794.7969301</v>
      </c>
      <c r="CC237" s="1136">
        <f>CC196+CC202+CC207+CC215+CC235</f>
        <v>55345171.546346359</v>
      </c>
      <c r="CD237" s="1136">
        <f>CD196+CD202+CD207+CD215+CD235</f>
        <v>696833501.69719291</v>
      </c>
      <c r="CE237" s="1074"/>
      <c r="CI237" s="1136">
        <f>CI196+CI202+CI207+CI215+CI235</f>
        <v>2801115468.0404692</v>
      </c>
      <c r="CJ237" s="1136">
        <f>CJ196+CJ202+CJ207+CJ215+CJ235</f>
        <v>2048936794.7969301</v>
      </c>
      <c r="CK237" s="1136">
        <f>CK196+CK202+CK207+CK215+CK235</f>
        <v>55345171.546346359</v>
      </c>
      <c r="CL237" s="1136">
        <f>CL196+CL202+CL207+CL215+CL235</f>
        <v>696833501.69719291</v>
      </c>
      <c r="CM237" s="1074"/>
      <c r="CQ237" s="1136">
        <f>CQ196+CQ202+CQ207+CQ215+CQ235</f>
        <v>2801115468.0404692</v>
      </c>
      <c r="CR237" s="1136">
        <f>CR196+CR202+CR207+CR215+CR235</f>
        <v>2048936794.7969301</v>
      </c>
      <c r="CS237" s="1136">
        <f>CS196+CS202+CS207+CS215+CS235</f>
        <v>55345171.546346359</v>
      </c>
      <c r="CT237" s="1136">
        <f>CT196+CT202+CT207+CT215+CT235</f>
        <v>696833501.69719291</v>
      </c>
      <c r="CU237" s="1074"/>
      <c r="CY237" s="1136">
        <f>CY196+CY202+CY207+CY215+CY235</f>
        <v>2801115468.0404692</v>
      </c>
      <c r="CZ237" s="1136">
        <f>CZ196+CZ202+CZ207+CZ215+CZ235</f>
        <v>2048936794.7969301</v>
      </c>
      <c r="DA237" s="1136">
        <f>DA196+DA202+DA207+DA215+DA235</f>
        <v>55345171.546346359</v>
      </c>
      <c r="DB237" s="1136">
        <f>DB196+DB202+DB207+DB215+DB235</f>
        <v>696833501.69719291</v>
      </c>
      <c r="DC237" s="1074"/>
      <c r="DG237" s="1136">
        <f>DG196+DG202+DG207+DG215+DG235</f>
        <v>2801115468.0404692</v>
      </c>
      <c r="DH237" s="1136">
        <f>DH196+DH202+DH207+DH215+DH235</f>
        <v>2048936794.7969301</v>
      </c>
      <c r="DI237" s="1136">
        <f>DI196+DI202+DI207+DI215+DI235</f>
        <v>55345171.546346359</v>
      </c>
      <c r="DJ237" s="1136">
        <f>DJ196+DJ202+DJ207+DJ215+DJ235</f>
        <v>696833501.69719291</v>
      </c>
      <c r="DK237" s="1074"/>
      <c r="DO237" s="1136">
        <f>DO196+DO202+DO207+DO215+DO235</f>
        <v>2801115468.0404692</v>
      </c>
      <c r="DP237" s="1136">
        <f>DP196+DP202+DP207+DP215+DP235</f>
        <v>2048936794.7969301</v>
      </c>
      <c r="DQ237" s="1136">
        <f>DQ196+DQ202+DQ207+DQ215+DQ235</f>
        <v>55345171.546346359</v>
      </c>
      <c r="DR237" s="1136">
        <f>DR196+DR202+DR207+DR215+DR235</f>
        <v>696833501.69719291</v>
      </c>
      <c r="DS237" s="1074"/>
      <c r="DW237" s="1136">
        <f>DW196+DW202+DW207+DW215+DW235</f>
        <v>2801115468.0404692</v>
      </c>
      <c r="DX237" s="1136">
        <f>DX196+DX202+DX207+DX215+DX235</f>
        <v>2048936794.7969301</v>
      </c>
      <c r="DY237" s="1136">
        <f>DY196+DY202+DY207+DY215+DY235</f>
        <v>55345171.546346359</v>
      </c>
      <c r="DZ237" s="1136">
        <f>DZ196+DZ202+DZ207+DZ215+DZ235</f>
        <v>696833501.69719291</v>
      </c>
      <c r="EA237" s="1074"/>
      <c r="EE237" s="1136">
        <f>EE196+EE202+EE207+EE215+EE235</f>
        <v>2801115468.0404692</v>
      </c>
      <c r="EF237" s="1136">
        <f>EF196+EF202+EF207+EF215+EF235</f>
        <v>2048936794.7969301</v>
      </c>
      <c r="EG237" s="1136">
        <f>EG196+EG202+EG207+EG215+EG235</f>
        <v>55345171.546346359</v>
      </c>
      <c r="EH237" s="1136">
        <f>EH196+EH202+EH207+EH215+EH235</f>
        <v>696833501.69719291</v>
      </c>
      <c r="EI237" s="1074"/>
      <c r="EM237" s="1136">
        <f>EM196+EM202+EM207+EM215+EM235</f>
        <v>2801115468.0404692</v>
      </c>
      <c r="EN237" s="1136">
        <f>EN196+EN202+EN207+EN215+EN235</f>
        <v>2048936794.7969301</v>
      </c>
      <c r="EO237" s="1136">
        <f>EO196+EO202+EO207+EO215+EO235</f>
        <v>55345171.546346359</v>
      </c>
      <c r="EP237" s="1136">
        <f>EP196+EP202+EP207+EP215+EP235</f>
        <v>696833501.69719291</v>
      </c>
      <c r="EQ237" s="1074"/>
      <c r="EU237" s="1136">
        <f>EU196+EU202+EU207+EU215+EU235</f>
        <v>2801115468.0404692</v>
      </c>
      <c r="EV237" s="1136">
        <f>EV196+EV202+EV207+EV215+EV235</f>
        <v>2048936794.7969301</v>
      </c>
      <c r="EW237" s="1136">
        <f>EW196+EW202+EW207+EW215+EW235</f>
        <v>55345171.546346359</v>
      </c>
      <c r="EX237" s="1136">
        <f>EX196+EX202+EX207+EX215+EX235</f>
        <v>696833501.69719291</v>
      </c>
      <c r="EY237" s="1074"/>
      <c r="FC237" s="1136">
        <f>FC196+FC202+FC207+FC215+FC235</f>
        <v>2801115468.0404692</v>
      </c>
      <c r="FD237" s="1136">
        <f>FD196+FD202+FD207+FD215+FD235</f>
        <v>2048936794.7969301</v>
      </c>
      <c r="FE237" s="1136">
        <f>FE196+FE202+FE207+FE215+FE235</f>
        <v>55345171.546346359</v>
      </c>
      <c r="FF237" s="1136">
        <f>FF196+FF202+FF207+FF215+FF235</f>
        <v>696833501.69719291</v>
      </c>
      <c r="FG237" s="1074"/>
      <c r="FK237" s="1136">
        <f>FK196+FK202+FK207+FK215+FK235</f>
        <v>2801115468.0404692</v>
      </c>
      <c r="FL237" s="1136">
        <f>FL196+FL202+FL207+FL215+FL235</f>
        <v>2048936794.7969301</v>
      </c>
      <c r="FM237" s="1136">
        <f>FM196+FM202+FM207+FM215+FM235</f>
        <v>55345171.546346359</v>
      </c>
      <c r="FN237" s="1136">
        <f>FN196+FN202+FN207+FN215+FN235</f>
        <v>696833501.69719291</v>
      </c>
      <c r="FO237" s="1074"/>
    </row>
    <row r="238" spans="1:171" x14ac:dyDescent="0.25">
      <c r="A238" s="167" t="s">
        <v>429</v>
      </c>
      <c r="B238" s="1004"/>
      <c r="C238" s="85"/>
      <c r="D238" s="914"/>
      <c r="E238" s="914"/>
      <c r="F238" s="914"/>
      <c r="G238" s="999"/>
      <c r="H238" s="1005"/>
      <c r="I238" s="1005"/>
      <c r="J238" s="1006"/>
      <c r="K238" s="904"/>
      <c r="S238" s="1074"/>
      <c r="AA238" s="1074"/>
      <c r="AI238" s="1074"/>
      <c r="AQ238" s="1074"/>
      <c r="AY238" s="1074"/>
      <c r="BG238" s="1074"/>
      <c r="BO238" s="1074"/>
      <c r="BW238" s="1074"/>
      <c r="CE238" s="1074"/>
      <c r="CM238" s="1074"/>
      <c r="CU238" s="1074"/>
      <c r="DC238" s="1074"/>
      <c r="DK238" s="1074"/>
      <c r="DS238" s="1074"/>
      <c r="EA238" s="1074"/>
      <c r="EI238" s="1074"/>
      <c r="EQ238" s="1074"/>
      <c r="EY238" s="1074"/>
      <c r="FG238" s="1074"/>
      <c r="FO238" s="1074"/>
    </row>
    <row r="239" spans="1:171" x14ac:dyDescent="0.25">
      <c r="A239" s="952"/>
      <c r="B239" s="948"/>
      <c r="C239" s="1007"/>
      <c r="D239" s="1008"/>
      <c r="E239" s="1007"/>
      <c r="F239" s="1007"/>
      <c r="G239" s="1009"/>
      <c r="H239" s="1010"/>
      <c r="I239" s="1010"/>
      <c r="J239" s="1011"/>
      <c r="K239" s="904"/>
      <c r="S239" s="1074"/>
      <c r="AA239" s="1074"/>
      <c r="AI239" s="1074"/>
      <c r="AQ239" s="1074"/>
      <c r="AY239" s="1074"/>
      <c r="BG239" s="1074"/>
      <c r="BO239" s="1074"/>
      <c r="BW239" s="1074"/>
      <c r="CE239" s="1074"/>
      <c r="CM239" s="1074"/>
      <c r="CU239" s="1074"/>
      <c r="DC239" s="1074"/>
      <c r="DK239" s="1074"/>
      <c r="DS239" s="1074"/>
      <c r="EA239" s="1074"/>
      <c r="EI239" s="1074"/>
      <c r="EQ239" s="1074"/>
      <c r="EY239" s="1074"/>
      <c r="FG239" s="1074"/>
      <c r="FO239" s="1074"/>
    </row>
    <row r="240" spans="1:171" x14ac:dyDescent="0.25">
      <c r="A240" s="160" t="s">
        <v>40</v>
      </c>
      <c r="B240" s="1012"/>
      <c r="C240" s="1013"/>
      <c r="D240" s="1013"/>
      <c r="E240" s="1013"/>
      <c r="F240" s="10"/>
      <c r="G240" s="1014"/>
      <c r="H240" s="990"/>
      <c r="I240" s="990"/>
      <c r="J240" s="1015"/>
      <c r="K240" s="904"/>
      <c r="S240" s="1074"/>
      <c r="AA240" s="1074"/>
      <c r="AI240" s="1074"/>
      <c r="AQ240" s="1074"/>
      <c r="AY240" s="1074"/>
      <c r="BG240" s="1074"/>
      <c r="BO240" s="1074"/>
      <c r="BW240" s="1074"/>
      <c r="CE240" s="1074"/>
      <c r="CM240" s="1074"/>
      <c r="CU240" s="1074"/>
      <c r="DC240" s="1074"/>
      <c r="DK240" s="1074"/>
      <c r="DS240" s="1074"/>
      <c r="EA240" s="1074"/>
      <c r="EI240" s="1074"/>
      <c r="EQ240" s="1074"/>
      <c r="EY240" s="1074"/>
      <c r="FG240" s="1074"/>
      <c r="FO240" s="1074"/>
    </row>
    <row r="241" spans="1:171" x14ac:dyDescent="0.25">
      <c r="A241" s="945"/>
      <c r="B241" s="914" t="s">
        <v>370</v>
      </c>
      <c r="C241" s="889">
        <v>336</v>
      </c>
      <c r="D241" s="889">
        <v>403</v>
      </c>
      <c r="E241" s="182" t="str">
        <f>'Sch 3 - Expenses'!E81</f>
        <v>DIST</v>
      </c>
      <c r="F241" s="890"/>
      <c r="G241" s="182">
        <f>'Sch 3 - Expenses'!G81</f>
        <v>0</v>
      </c>
      <c r="H241" s="182">
        <f>'Sch 3 - Expenses'!H81</f>
        <v>0</v>
      </c>
      <c r="I241" s="182">
        <f>'Sch 3 - Expenses'!I81</f>
        <v>0</v>
      </c>
      <c r="J241" s="183">
        <f>'Sch 3 - Expenses'!J81</f>
        <v>0</v>
      </c>
      <c r="K241" s="904">
        <f t="shared" ref="K241:K256" si="629">IF($E241="DIRECT",0,1)</f>
        <v>1</v>
      </c>
      <c r="O241" s="1117">
        <f>$G241</f>
        <v>0</v>
      </c>
      <c r="P241" s="1118">
        <f t="shared" ref="P241:P256" si="630">VLOOKUP($E241,O$442:R$453,2,FALSE)*O241*($K241)+IF($G241&lt;&gt;0,($H241/$G241)*O241,0)*(1-$K241)</f>
        <v>0</v>
      </c>
      <c r="Q241" s="1118">
        <f t="shared" ref="Q241:Q256" si="631">VLOOKUP($E241,O$442:R$453,3,FALSE)*O241*($K241)+IF($G241&lt;&gt;0,($I241/$G241)*O241,0)*(1-$K241)</f>
        <v>0</v>
      </c>
      <c r="R241" s="1118">
        <f t="shared" ref="R241:R256" si="632">VLOOKUP($E241,O$442:R$453,4,FALSE)*O241*($K241)+(O241-P241-Q241)*(1-$K241)</f>
        <v>0</v>
      </c>
      <c r="S241" s="1074"/>
      <c r="W241" s="1117">
        <f>$G241</f>
        <v>0</v>
      </c>
      <c r="X241" s="1118">
        <f t="shared" ref="X241:X256" si="633">VLOOKUP($E241,W$442:Z$453,2,FALSE)*W241*($K241)+IF($G241&lt;&gt;0,($H241/$G241)*W241,0)*(1-$K241)</f>
        <v>0</v>
      </c>
      <c r="Y241" s="1118">
        <f t="shared" ref="Y241:Y256" si="634">VLOOKUP($E241,W$442:Z$453,3,FALSE)*W241*($K241)+IF($G241&lt;&gt;0,($I241/$G241)*W241,0)*(1-$K241)</f>
        <v>0</v>
      </c>
      <c r="Z241" s="1118">
        <f t="shared" ref="Z241:Z256" si="635">VLOOKUP($E241,W$442:Z$453,4,FALSE)*W241*($K241)+(W241-X241-Y241)*(1-$K241)</f>
        <v>0</v>
      </c>
      <c r="AA241" s="1074"/>
      <c r="AE241" s="1117">
        <f>$G241</f>
        <v>0</v>
      </c>
      <c r="AF241" s="1118">
        <f t="shared" ref="AF241:AF256" si="636">VLOOKUP($E241,AE$442:AH$453,2,FALSE)*AE241*($K241)+IF($G241&lt;&gt;0,($H241/$G241)*AE241,0)*(1-$K241)</f>
        <v>0</v>
      </c>
      <c r="AG241" s="1118">
        <f t="shared" ref="AG241:AG256" si="637">VLOOKUP($E241,AE$442:AH$453,3,FALSE)*AE241*($K241)+IF($G241&lt;&gt;0,($I241/$G241)*AE241,0)*(1-$K241)</f>
        <v>0</v>
      </c>
      <c r="AH241" s="1118">
        <f t="shared" ref="AH241:AH256" si="638">VLOOKUP($E241,AE$442:AH$453,4,FALSE)*AE241*($K241)+(AE241-AF241-AG241)*(1-$K241)</f>
        <v>0</v>
      </c>
      <c r="AI241" s="1074"/>
      <c r="AM241" s="1117">
        <f>$G241</f>
        <v>0</v>
      </c>
      <c r="AN241" s="1118">
        <f t="shared" ref="AN241:AN256" si="639">VLOOKUP($E241,AM$442:AP$453,2,FALSE)*AM241*($K241)+IF($G241&lt;&gt;0,($H241/$G241)*AM241,0)*(1-$K241)</f>
        <v>0</v>
      </c>
      <c r="AO241" s="1118">
        <f t="shared" ref="AO241:AO256" si="640">VLOOKUP($E241,AM$442:AP$453,3,FALSE)*AM241*($K241)+IF($G241&lt;&gt;0,($I241/$G241)*AM241,0)*(1-$K241)</f>
        <v>0</v>
      </c>
      <c r="AP241" s="1118">
        <f t="shared" ref="AP241:AP256" si="641">VLOOKUP($E241,AM$442:AP$453,4,FALSE)*AM241*($K241)+(AM241-AN241-AO241)*(1-$K241)</f>
        <v>0</v>
      </c>
      <c r="AQ241" s="1074"/>
      <c r="AU241" s="1117">
        <f>$G241</f>
        <v>0</v>
      </c>
      <c r="AV241" s="1118">
        <f t="shared" ref="AV241:AV256" si="642">VLOOKUP($E241,AU$442:AX$453,2,FALSE)*AU241*($K241)+IF($G241&lt;&gt;0,($H241/$G241)*AU241,0)*(1-$K241)</f>
        <v>0</v>
      </c>
      <c r="AW241" s="1118">
        <f t="shared" ref="AW241:AW256" si="643">VLOOKUP($E241,AU$442:AX$453,3,FALSE)*AU241*($K241)+IF($G241&lt;&gt;0,($I241/$G241)*AU241,0)*(1-$K241)</f>
        <v>0</v>
      </c>
      <c r="AX241" s="1118">
        <f t="shared" ref="AX241:AX256" si="644">VLOOKUP($E241,AU$442:AX$453,4,FALSE)*AU241*($K241)+(AU241-AV241-AW241)*(1-$K241)</f>
        <v>0</v>
      </c>
      <c r="AY241" s="1074"/>
      <c r="BC241" s="1117">
        <f>$G241</f>
        <v>0</v>
      </c>
      <c r="BD241" s="1118">
        <f t="shared" ref="BD241:BD256" si="645">VLOOKUP($E241,BC$442:BF$453,2,FALSE)*BC241*($K241)+IF($G241&lt;&gt;0,($H241/$G241)*BC241,0)*(1-$K241)</f>
        <v>0</v>
      </c>
      <c r="BE241" s="1118">
        <f t="shared" ref="BE241:BE256" si="646">VLOOKUP($E241,BC$442:BF$453,3,FALSE)*BC241*($K241)+IF($G241&lt;&gt;0,($I241/$G241)*BC241,0)*(1-$K241)</f>
        <v>0</v>
      </c>
      <c r="BF241" s="1118">
        <f t="shared" ref="BF241:BF256" si="647">VLOOKUP($E241,BC$442:BF$453,4,FALSE)*BC241*($K241)+(BC241-BD241-BE241)*(1-$K241)</f>
        <v>0</v>
      </c>
      <c r="BG241" s="1074"/>
      <c r="BK241" s="1117">
        <f>$G241</f>
        <v>0</v>
      </c>
      <c r="BL241" s="1118">
        <f t="shared" ref="BL241:BL256" si="648">VLOOKUP($E241,BK$442:BN$453,2,FALSE)*BK241*($K241)+IF($G241&lt;&gt;0,($H241/$G241)*BK241,0)*(1-$K241)</f>
        <v>0</v>
      </c>
      <c r="BM241" s="1118">
        <f t="shared" ref="BM241:BM256" si="649">VLOOKUP($E241,BK$442:BN$453,3,FALSE)*BK241*($K241)+IF($G241&lt;&gt;0,($I241/$G241)*BK241,0)*(1-$K241)</f>
        <v>0</v>
      </c>
      <c r="BN241" s="1118">
        <f t="shared" ref="BN241:BN256" si="650">VLOOKUP($E241,BK$442:BN$453,4,FALSE)*BK241*($K241)+(BK241-BL241-BM241)*(1-$K241)</f>
        <v>0</v>
      </c>
      <c r="BO241" s="1074"/>
      <c r="BS241" s="1117">
        <f>$G241</f>
        <v>0</v>
      </c>
      <c r="BT241" s="1118">
        <f t="shared" ref="BT241:BT256" si="651">VLOOKUP($E241,BS$442:BV$453,2,FALSE)*BS241*($K241)+IF($G241&lt;&gt;0,($H241/$G241)*BS241,0)*(1-$K241)</f>
        <v>0</v>
      </c>
      <c r="BU241" s="1118">
        <f t="shared" ref="BU241:BU256" si="652">VLOOKUP($E241,BS$442:BV$453,3,FALSE)*BS241*($K241)+IF($G241&lt;&gt;0,($I241/$G241)*BS241,0)*(1-$K241)</f>
        <v>0</v>
      </c>
      <c r="BV241" s="1118">
        <f t="shared" ref="BV241:BV256" si="653">VLOOKUP($E241,BS$442:BV$453,4,FALSE)*BS241*($K241)+(BS241-BT241-BU241)*(1-$K241)</f>
        <v>0</v>
      </c>
      <c r="BW241" s="1074"/>
      <c r="CA241" s="1117">
        <f>$G241</f>
        <v>0</v>
      </c>
      <c r="CB241" s="1118">
        <f t="shared" ref="CB241:CB256" si="654">VLOOKUP($E241,CA$442:CD$453,2,FALSE)*CA241*($K241)+IF($G241&lt;&gt;0,($H241/$G241)*CA241,0)*(1-$K241)</f>
        <v>0</v>
      </c>
      <c r="CC241" s="1118">
        <f t="shared" ref="CC241:CC256" si="655">VLOOKUP($E241,CA$442:CD$453,3,FALSE)*CA241*($K241)+IF($G241&lt;&gt;0,($I241/$G241)*CA241,0)*(1-$K241)</f>
        <v>0</v>
      </c>
      <c r="CD241" s="1118">
        <f t="shared" ref="CD241:CD256" si="656">VLOOKUP($E241,CA$442:CD$453,4,FALSE)*CA241*($K241)+(CA241-CB241-CC241)*(1-$K241)</f>
        <v>0</v>
      </c>
      <c r="CE241" s="1074"/>
      <c r="CI241" s="1117">
        <f>$G241</f>
        <v>0</v>
      </c>
      <c r="CJ241" s="1118">
        <f t="shared" ref="CJ241:CJ256" si="657">VLOOKUP($E241,CI$442:CL$453,2,FALSE)*CI241*($K241)+IF($G241&lt;&gt;0,($H241/$G241)*CI241,0)*(1-$K241)</f>
        <v>0</v>
      </c>
      <c r="CK241" s="1118">
        <f t="shared" ref="CK241:CK256" si="658">VLOOKUP($E241,CI$442:CL$453,3,FALSE)*CI241*($K241)+IF($G241&lt;&gt;0,($I241/$G241)*CI241,0)*(1-$K241)</f>
        <v>0</v>
      </c>
      <c r="CL241" s="1118">
        <f t="shared" ref="CL241:CL256" si="659">VLOOKUP($E241,CI$442:CL$453,4,FALSE)*CI241*($K241)+(CI241-CJ241-CK241)*(1-$K241)</f>
        <v>0</v>
      </c>
      <c r="CM241" s="1074"/>
      <c r="CQ241" s="1117">
        <f>$G241</f>
        <v>0</v>
      </c>
      <c r="CR241" s="1118">
        <f t="shared" ref="CR241:CR256" si="660">VLOOKUP($E241,CQ$442:CT$453,2,FALSE)*CQ241*($K241)+IF($G241&lt;&gt;0,($H241/$G241)*CQ241,0)*(1-$K241)</f>
        <v>0</v>
      </c>
      <c r="CS241" s="1118">
        <f t="shared" ref="CS241:CS256" si="661">VLOOKUP($E241,CQ$442:CT$453,3,FALSE)*CQ241*($K241)+IF($G241&lt;&gt;0,($I241/$G241)*CQ241,0)*(1-$K241)</f>
        <v>0</v>
      </c>
      <c r="CT241" s="1118">
        <f t="shared" ref="CT241:CT256" si="662">VLOOKUP($E241,CQ$442:CT$453,4,FALSE)*CQ241*($K241)+(CQ241-CR241-CS241)*(1-$K241)</f>
        <v>0</v>
      </c>
      <c r="CU241" s="1074"/>
      <c r="CY241" s="1117">
        <f>$G241</f>
        <v>0</v>
      </c>
      <c r="CZ241" s="1118">
        <f t="shared" ref="CZ241:CZ256" si="663">VLOOKUP($E241,CY$442:DB$453,2,FALSE)*CY241*($K241)+IF($G241&lt;&gt;0,($H241/$G241)*CY241,0)*(1-$K241)</f>
        <v>0</v>
      </c>
      <c r="DA241" s="1118">
        <f t="shared" ref="DA241:DA256" si="664">VLOOKUP($E241,CY$442:DB$453,3,FALSE)*CY241*($K241)+IF($G241&lt;&gt;0,($I241/$G241)*CY241,0)*(1-$K241)</f>
        <v>0</v>
      </c>
      <c r="DB241" s="1118">
        <f t="shared" ref="DB241:DB256" si="665">VLOOKUP($E241,CY$442:DB$453,4,FALSE)*CY241*($K241)+(CY241-CZ241-DA241)*(1-$K241)</f>
        <v>0</v>
      </c>
      <c r="DC241" s="1074"/>
      <c r="DG241" s="1117">
        <f>$G241</f>
        <v>0</v>
      </c>
      <c r="DH241" s="1118">
        <f t="shared" ref="DH241:DH256" si="666">VLOOKUP($E241,DG$442:DJ$453,2,FALSE)*DG241*($K241)+IF($G241&lt;&gt;0,($H241/$G241)*DG241,0)*(1-$K241)</f>
        <v>0</v>
      </c>
      <c r="DI241" s="1118">
        <f t="shared" ref="DI241:DI256" si="667">VLOOKUP($E241,DG$442:DJ$453,3,FALSE)*DG241*($K241)+IF($G241&lt;&gt;0,($I241/$G241)*DG241,0)*(1-$K241)</f>
        <v>0</v>
      </c>
      <c r="DJ241" s="1118">
        <f t="shared" ref="DJ241:DJ256" si="668">VLOOKUP($E241,DG$442:DJ$453,4,FALSE)*DG241*($K241)+(DG241-DH241-DI241)*(1-$K241)</f>
        <v>0</v>
      </c>
      <c r="DK241" s="1074"/>
      <c r="DO241" s="1117">
        <f>$G241</f>
        <v>0</v>
      </c>
      <c r="DP241" s="1118">
        <f t="shared" ref="DP241:DP256" si="669">VLOOKUP($E241,DO$442:DR$453,2,FALSE)*DO241*($K241)+IF($G241&lt;&gt;0,($H241/$G241)*DO241,0)*(1-$K241)</f>
        <v>0</v>
      </c>
      <c r="DQ241" s="1118">
        <f t="shared" ref="DQ241:DQ256" si="670">VLOOKUP($E241,DO$442:DR$453,3,FALSE)*DO241*($K241)+IF($G241&lt;&gt;0,($I241/$G241)*DO241,0)*(1-$K241)</f>
        <v>0</v>
      </c>
      <c r="DR241" s="1118">
        <f t="shared" ref="DR241:DR256" si="671">VLOOKUP($E241,DO$442:DR$453,4,FALSE)*DO241*($K241)+(DO241-DP241-DQ241)*(1-$K241)</f>
        <v>0</v>
      </c>
      <c r="DS241" s="1074"/>
      <c r="DW241" s="1117">
        <f>$G241</f>
        <v>0</v>
      </c>
      <c r="DX241" s="1118">
        <f t="shared" ref="DX241:DX256" si="672">VLOOKUP($E241,DW$442:DZ$453,2,FALSE)*DW241*($K241)+IF($G241&lt;&gt;0,($H241/$G241)*DW241,0)*(1-$K241)</f>
        <v>0</v>
      </c>
      <c r="DY241" s="1118">
        <f t="shared" ref="DY241:DY256" si="673">VLOOKUP($E241,DW$442:DZ$453,3,FALSE)*DW241*($K241)+IF($G241&lt;&gt;0,($I241/$G241)*DW241,0)*(1-$K241)</f>
        <v>0</v>
      </c>
      <c r="DZ241" s="1118">
        <f t="shared" ref="DZ241:DZ256" si="674">VLOOKUP($E241,DW$442:DZ$453,4,FALSE)*DW241*($K241)+(DW241-DX241-DY241)*(1-$K241)</f>
        <v>0</v>
      </c>
      <c r="EA241" s="1074"/>
      <c r="EE241" s="1117">
        <f>$G241</f>
        <v>0</v>
      </c>
      <c r="EF241" s="1118">
        <f t="shared" ref="EF241:EF256" si="675">VLOOKUP($E241,EE$442:EH$453,2,FALSE)*EE241*($K241)+IF($G241&lt;&gt;0,($H241/$G241)*EE241,0)*(1-$K241)</f>
        <v>0</v>
      </c>
      <c r="EG241" s="1118">
        <f t="shared" ref="EG241:EG256" si="676">VLOOKUP($E241,EE$442:EH$453,3,FALSE)*EE241*($K241)+IF($G241&lt;&gt;0,($I241/$G241)*EE241,0)*(1-$K241)</f>
        <v>0</v>
      </c>
      <c r="EH241" s="1118">
        <f t="shared" ref="EH241:EH256" si="677">VLOOKUP($E241,EE$442:EH$453,4,FALSE)*EE241*($K241)+(EE241-EF241-EG241)*(1-$K241)</f>
        <v>0</v>
      </c>
      <c r="EI241" s="1074"/>
      <c r="EM241" s="1117">
        <f>$G241</f>
        <v>0</v>
      </c>
      <c r="EN241" s="1118">
        <f t="shared" ref="EN241:EN256" si="678">VLOOKUP($E241,EM$442:EP$453,2,FALSE)*EM241*($K241)+IF($G241&lt;&gt;0,($H241/$G241)*EM241,0)*(1-$K241)</f>
        <v>0</v>
      </c>
      <c r="EO241" s="1118">
        <f t="shared" ref="EO241:EO256" si="679">VLOOKUP($E241,EM$442:EP$453,3,FALSE)*EM241*($K241)+IF($G241&lt;&gt;0,($I241/$G241)*EM241,0)*(1-$K241)</f>
        <v>0</v>
      </c>
      <c r="EP241" s="1118">
        <f t="shared" ref="EP241:EP256" si="680">VLOOKUP($E241,EM$442:EP$453,4,FALSE)*EM241*($K241)+(EM241-EN241-EO241)*(1-$K241)</f>
        <v>0</v>
      </c>
      <c r="EQ241" s="1074"/>
      <c r="EU241" s="1117">
        <f>$G241</f>
        <v>0</v>
      </c>
      <c r="EV241" s="1118">
        <f t="shared" ref="EV241:EV256" si="681">VLOOKUP($E241,EU$442:EX$453,2,FALSE)*EU241*($K241)+IF($G241&lt;&gt;0,($H241/$G241)*EU241,0)*(1-$K241)</f>
        <v>0</v>
      </c>
      <c r="EW241" s="1118">
        <f t="shared" ref="EW241:EW256" si="682">VLOOKUP($E241,EU$442:EX$453,3,FALSE)*EU241*($K241)+IF($G241&lt;&gt;0,($I241/$G241)*EU241,0)*(1-$K241)</f>
        <v>0</v>
      </c>
      <c r="EX241" s="1118">
        <f t="shared" ref="EX241:EX256" si="683">VLOOKUP($E241,EU$442:EX$453,4,FALSE)*EU241*($K241)+(EU241-EV241-EW241)*(1-$K241)</f>
        <v>0</v>
      </c>
      <c r="EY241" s="1074"/>
      <c r="FC241" s="1117">
        <f>$G241</f>
        <v>0</v>
      </c>
      <c r="FD241" s="1118">
        <f t="shared" ref="FD241:FD256" si="684">VLOOKUP($E241,FC$442:FF$453,2,FALSE)*FC241*($K241)+IF($G241&lt;&gt;0,($H241/$G241)*FC241,0)*(1-$K241)</f>
        <v>0</v>
      </c>
      <c r="FE241" s="1118">
        <f t="shared" ref="FE241:FE256" si="685">VLOOKUP($E241,FC$442:FF$453,3,FALSE)*FC241*($K241)+IF($G241&lt;&gt;0,($I241/$G241)*FC241,0)*(1-$K241)</f>
        <v>0</v>
      </c>
      <c r="FF241" s="1118">
        <f t="shared" ref="FF241:FF256" si="686">VLOOKUP($E241,FC$442:FF$453,4,FALSE)*FC241*($K241)+(FC241-FD241-FE241)*(1-$K241)</f>
        <v>0</v>
      </c>
      <c r="FG241" s="1074"/>
      <c r="FK241" s="1117">
        <f>$G241</f>
        <v>0</v>
      </c>
      <c r="FL241" s="1118">
        <f t="shared" ref="FL241:FL256" si="687">VLOOKUP($E241,FK$442:FN$453,2,FALSE)*FK241*($K241)+IF($G241&lt;&gt;0,($H241/$G241)*FK241,0)*(1-$K241)</f>
        <v>0</v>
      </c>
      <c r="FM241" s="1118">
        <f t="shared" ref="FM241:FM256" si="688">VLOOKUP($E241,FK$442:FN$453,3,FALSE)*FK241*($K241)+IF($G241&lt;&gt;0,($I241/$G241)*FK241,0)*(1-$K241)</f>
        <v>0</v>
      </c>
      <c r="FN241" s="1118">
        <f t="shared" ref="FN241:FN256" si="689">VLOOKUP($E241,FK$442:FN$453,4,FALSE)*FK241*($K241)+(FK241-FL241-FM241)*(1-$K241)</f>
        <v>0</v>
      </c>
      <c r="FO241" s="1074"/>
    </row>
    <row r="242" spans="1:171" x14ac:dyDescent="0.25">
      <c r="A242" s="945"/>
      <c r="B242" s="914" t="s">
        <v>371</v>
      </c>
      <c r="C242" s="889">
        <v>336</v>
      </c>
      <c r="D242" s="889">
        <v>403</v>
      </c>
      <c r="E242" s="182" t="str">
        <f>'Sch 3 - Expenses'!E82</f>
        <v>DIRECT</v>
      </c>
      <c r="F242" s="890"/>
      <c r="G242" s="182">
        <f>'Sch 3 - Expenses'!G82</f>
        <v>1472465.336227369</v>
      </c>
      <c r="H242" s="182">
        <f>'Sch 3 - Expenses'!H82</f>
        <v>1472465.336227369</v>
      </c>
      <c r="I242" s="182">
        <f>'Sch 3 - Expenses'!I82</f>
        <v>0</v>
      </c>
      <c r="J242" s="183">
        <f>'Sch 3 - Expenses'!J82</f>
        <v>28321.771611505512</v>
      </c>
      <c r="K242" s="904">
        <f t="shared" si="629"/>
        <v>0</v>
      </c>
      <c r="O242" s="1117">
        <f>$G242</f>
        <v>1472465.336227369</v>
      </c>
      <c r="P242" s="1118">
        <f t="shared" si="630"/>
        <v>1472465.336227369</v>
      </c>
      <c r="Q242" s="1118">
        <f t="shared" si="631"/>
        <v>0</v>
      </c>
      <c r="R242" s="1118">
        <f t="shared" si="632"/>
        <v>0</v>
      </c>
      <c r="S242" s="1074"/>
      <c r="W242" s="1117">
        <f>$G242</f>
        <v>1472465.336227369</v>
      </c>
      <c r="X242" s="1118">
        <f t="shared" si="633"/>
        <v>1472465.336227369</v>
      </c>
      <c r="Y242" s="1118">
        <f t="shared" si="634"/>
        <v>0</v>
      </c>
      <c r="Z242" s="1118">
        <f t="shared" si="635"/>
        <v>0</v>
      </c>
      <c r="AA242" s="1074"/>
      <c r="AE242" s="1117">
        <f>$G242</f>
        <v>1472465.336227369</v>
      </c>
      <c r="AF242" s="1118">
        <f t="shared" si="636"/>
        <v>1472465.336227369</v>
      </c>
      <c r="AG242" s="1118">
        <f t="shared" si="637"/>
        <v>0</v>
      </c>
      <c r="AH242" s="1118">
        <f t="shared" si="638"/>
        <v>0</v>
      </c>
      <c r="AI242" s="1074"/>
      <c r="AM242" s="1117">
        <f>$G242</f>
        <v>1472465.336227369</v>
      </c>
      <c r="AN242" s="1118">
        <f t="shared" si="639"/>
        <v>1472465.336227369</v>
      </c>
      <c r="AO242" s="1118">
        <f t="shared" si="640"/>
        <v>0</v>
      </c>
      <c r="AP242" s="1118">
        <f t="shared" si="641"/>
        <v>0</v>
      </c>
      <c r="AQ242" s="1074"/>
      <c r="AU242" s="1117">
        <f>$G242</f>
        <v>1472465.336227369</v>
      </c>
      <c r="AV242" s="1118">
        <f t="shared" si="642"/>
        <v>1472465.336227369</v>
      </c>
      <c r="AW242" s="1118">
        <f t="shared" si="643"/>
        <v>0</v>
      </c>
      <c r="AX242" s="1118">
        <f t="shared" si="644"/>
        <v>0</v>
      </c>
      <c r="AY242" s="1074"/>
      <c r="BC242" s="1117">
        <f>$G242</f>
        <v>1472465.336227369</v>
      </c>
      <c r="BD242" s="1118">
        <f t="shared" si="645"/>
        <v>1472465.336227369</v>
      </c>
      <c r="BE242" s="1118">
        <f t="shared" si="646"/>
        <v>0</v>
      </c>
      <c r="BF242" s="1118">
        <f t="shared" si="647"/>
        <v>0</v>
      </c>
      <c r="BG242" s="1074"/>
      <c r="BK242" s="1117">
        <f>$G242</f>
        <v>1472465.336227369</v>
      </c>
      <c r="BL242" s="1118">
        <f t="shared" si="648"/>
        <v>1472465.336227369</v>
      </c>
      <c r="BM242" s="1118">
        <f t="shared" si="649"/>
        <v>0</v>
      </c>
      <c r="BN242" s="1118">
        <f t="shared" si="650"/>
        <v>0</v>
      </c>
      <c r="BO242" s="1074"/>
      <c r="BS242" s="1117">
        <f>$G242</f>
        <v>1472465.336227369</v>
      </c>
      <c r="BT242" s="1118">
        <f t="shared" si="651"/>
        <v>1472465.336227369</v>
      </c>
      <c r="BU242" s="1118">
        <f t="shared" si="652"/>
        <v>0</v>
      </c>
      <c r="BV242" s="1118">
        <f t="shared" si="653"/>
        <v>0</v>
      </c>
      <c r="BW242" s="1074"/>
      <c r="CA242" s="1117">
        <f>$G242</f>
        <v>1472465.336227369</v>
      </c>
      <c r="CB242" s="1118">
        <f t="shared" si="654"/>
        <v>1472465.336227369</v>
      </c>
      <c r="CC242" s="1118">
        <f t="shared" si="655"/>
        <v>0</v>
      </c>
      <c r="CD242" s="1118">
        <f t="shared" si="656"/>
        <v>0</v>
      </c>
      <c r="CE242" s="1074"/>
      <c r="CI242" s="1117">
        <f>$G242</f>
        <v>1472465.336227369</v>
      </c>
      <c r="CJ242" s="1118">
        <f t="shared" si="657"/>
        <v>1472465.336227369</v>
      </c>
      <c r="CK242" s="1118">
        <f t="shared" si="658"/>
        <v>0</v>
      </c>
      <c r="CL242" s="1118">
        <f t="shared" si="659"/>
        <v>0</v>
      </c>
      <c r="CM242" s="1074"/>
      <c r="CQ242" s="1117">
        <f>$G242</f>
        <v>1472465.336227369</v>
      </c>
      <c r="CR242" s="1118">
        <f t="shared" si="660"/>
        <v>1472465.336227369</v>
      </c>
      <c r="CS242" s="1118">
        <f t="shared" si="661"/>
        <v>0</v>
      </c>
      <c r="CT242" s="1118">
        <f t="shared" si="662"/>
        <v>0</v>
      </c>
      <c r="CU242" s="1074"/>
      <c r="CY242" s="1117">
        <f>$G242</f>
        <v>1472465.336227369</v>
      </c>
      <c r="CZ242" s="1118">
        <f t="shared" si="663"/>
        <v>1472465.336227369</v>
      </c>
      <c r="DA242" s="1118">
        <f t="shared" si="664"/>
        <v>0</v>
      </c>
      <c r="DB242" s="1118">
        <f t="shared" si="665"/>
        <v>0</v>
      </c>
      <c r="DC242" s="1074"/>
      <c r="DG242" s="1117">
        <f>$G242</f>
        <v>1472465.336227369</v>
      </c>
      <c r="DH242" s="1118">
        <f t="shared" si="666"/>
        <v>1472465.336227369</v>
      </c>
      <c r="DI242" s="1118">
        <f t="shared" si="667"/>
        <v>0</v>
      </c>
      <c r="DJ242" s="1118">
        <f t="shared" si="668"/>
        <v>0</v>
      </c>
      <c r="DK242" s="1074"/>
      <c r="DO242" s="1117">
        <f>$G242</f>
        <v>1472465.336227369</v>
      </c>
      <c r="DP242" s="1118">
        <f t="shared" si="669"/>
        <v>1472465.336227369</v>
      </c>
      <c r="DQ242" s="1118">
        <f t="shared" si="670"/>
        <v>0</v>
      </c>
      <c r="DR242" s="1118">
        <f t="shared" si="671"/>
        <v>0</v>
      </c>
      <c r="DS242" s="1074"/>
      <c r="DW242" s="1117">
        <f>$G242</f>
        <v>1472465.336227369</v>
      </c>
      <c r="DX242" s="1118">
        <f t="shared" si="672"/>
        <v>1472465.336227369</v>
      </c>
      <c r="DY242" s="1118">
        <f t="shared" si="673"/>
        <v>0</v>
      </c>
      <c r="DZ242" s="1118">
        <f t="shared" si="674"/>
        <v>0</v>
      </c>
      <c r="EA242" s="1074"/>
      <c r="EE242" s="1117">
        <f>$G242</f>
        <v>1472465.336227369</v>
      </c>
      <c r="EF242" s="1118">
        <f t="shared" si="675"/>
        <v>1472465.336227369</v>
      </c>
      <c r="EG242" s="1118">
        <f t="shared" si="676"/>
        <v>0</v>
      </c>
      <c r="EH242" s="1118">
        <f t="shared" si="677"/>
        <v>0</v>
      </c>
      <c r="EI242" s="1074"/>
      <c r="EM242" s="1117">
        <f>$G242</f>
        <v>1472465.336227369</v>
      </c>
      <c r="EN242" s="1118">
        <f t="shared" si="678"/>
        <v>1472465.336227369</v>
      </c>
      <c r="EO242" s="1118">
        <f t="shared" si="679"/>
        <v>0</v>
      </c>
      <c r="EP242" s="1118">
        <f t="shared" si="680"/>
        <v>0</v>
      </c>
      <c r="EQ242" s="1074"/>
      <c r="EU242" s="1117">
        <f>$G242</f>
        <v>1472465.336227369</v>
      </c>
      <c r="EV242" s="1118">
        <f t="shared" si="681"/>
        <v>1472465.336227369</v>
      </c>
      <c r="EW242" s="1118">
        <f t="shared" si="682"/>
        <v>0</v>
      </c>
      <c r="EX242" s="1118">
        <f t="shared" si="683"/>
        <v>0</v>
      </c>
      <c r="EY242" s="1074"/>
      <c r="FC242" s="1117">
        <f>$G242</f>
        <v>1472465.336227369</v>
      </c>
      <c r="FD242" s="1118">
        <f t="shared" si="684"/>
        <v>1472465.336227369</v>
      </c>
      <c r="FE242" s="1118">
        <f t="shared" si="685"/>
        <v>0</v>
      </c>
      <c r="FF242" s="1118">
        <f t="shared" si="686"/>
        <v>0</v>
      </c>
      <c r="FG242" s="1074"/>
      <c r="FK242" s="1117">
        <f>$G242</f>
        <v>1472465.336227369</v>
      </c>
      <c r="FL242" s="1118">
        <f t="shared" si="687"/>
        <v>1472465.336227369</v>
      </c>
      <c r="FM242" s="1118">
        <f t="shared" si="688"/>
        <v>0</v>
      </c>
      <c r="FN242" s="1118">
        <f t="shared" si="689"/>
        <v>0</v>
      </c>
      <c r="FO242" s="1074"/>
    </row>
    <row r="243" spans="1:171" x14ac:dyDescent="0.25">
      <c r="A243" s="945"/>
      <c r="B243" s="914" t="s">
        <v>399</v>
      </c>
      <c r="C243" s="889">
        <v>336</v>
      </c>
      <c r="D243" s="889">
        <v>403</v>
      </c>
      <c r="E243" s="182" t="str">
        <f>'Sch 3 - Expenses'!E83</f>
        <v>DIRECT</v>
      </c>
      <c r="F243" s="890"/>
      <c r="G243" s="182">
        <f>'Sch 3 - Expenses'!G83</f>
        <v>23779220.607934885</v>
      </c>
      <c r="H243" s="182">
        <f>'Sch 3 - Expenses'!H83</f>
        <v>7894198.4267612863</v>
      </c>
      <c r="I243" s="182">
        <f>'Sch 3 - Expenses'!I83</f>
        <v>0</v>
      </c>
      <c r="J243" s="183">
        <f>'Sch 3 - Expenses'!J83</f>
        <v>15885022.181173598</v>
      </c>
      <c r="K243" s="904">
        <f t="shared" si="629"/>
        <v>0</v>
      </c>
      <c r="O243" s="1117">
        <f>$G243</f>
        <v>23779220.607934885</v>
      </c>
      <c r="P243" s="1118">
        <f t="shared" si="630"/>
        <v>7894198.4267612863</v>
      </c>
      <c r="Q243" s="1118">
        <f t="shared" si="631"/>
        <v>0</v>
      </c>
      <c r="R243" s="1118">
        <f t="shared" si="632"/>
        <v>15885022.181173598</v>
      </c>
      <c r="S243" s="1074"/>
      <c r="W243" s="1117">
        <f>$G243</f>
        <v>23779220.607934885</v>
      </c>
      <c r="X243" s="1118">
        <f t="shared" si="633"/>
        <v>7894198.4267612863</v>
      </c>
      <c r="Y243" s="1118">
        <f t="shared" si="634"/>
        <v>0</v>
      </c>
      <c r="Z243" s="1118">
        <f t="shared" si="635"/>
        <v>15885022.181173598</v>
      </c>
      <c r="AA243" s="1074"/>
      <c r="AE243" s="1117">
        <f>$G243</f>
        <v>23779220.607934885</v>
      </c>
      <c r="AF243" s="1118">
        <f t="shared" si="636"/>
        <v>7894198.4267612863</v>
      </c>
      <c r="AG243" s="1118">
        <f t="shared" si="637"/>
        <v>0</v>
      </c>
      <c r="AH243" s="1118">
        <f t="shared" si="638"/>
        <v>15885022.181173598</v>
      </c>
      <c r="AI243" s="1074"/>
      <c r="AM243" s="1117">
        <f>$G243</f>
        <v>23779220.607934885</v>
      </c>
      <c r="AN243" s="1118">
        <f t="shared" si="639"/>
        <v>7894198.4267612863</v>
      </c>
      <c r="AO243" s="1118">
        <f t="shared" si="640"/>
        <v>0</v>
      </c>
      <c r="AP243" s="1118">
        <f t="shared" si="641"/>
        <v>15885022.181173598</v>
      </c>
      <c r="AQ243" s="1074"/>
      <c r="AU243" s="1117">
        <f>$G243</f>
        <v>23779220.607934885</v>
      </c>
      <c r="AV243" s="1118">
        <f t="shared" si="642"/>
        <v>7894198.4267612863</v>
      </c>
      <c r="AW243" s="1118">
        <f t="shared" si="643"/>
        <v>0</v>
      </c>
      <c r="AX243" s="1118">
        <f t="shared" si="644"/>
        <v>15885022.181173598</v>
      </c>
      <c r="AY243" s="1074"/>
      <c r="BC243" s="1117">
        <f>$G243</f>
        <v>23779220.607934885</v>
      </c>
      <c r="BD243" s="1118">
        <f t="shared" si="645"/>
        <v>7894198.4267612863</v>
      </c>
      <c r="BE243" s="1118">
        <f t="shared" si="646"/>
        <v>0</v>
      </c>
      <c r="BF243" s="1118">
        <f t="shared" si="647"/>
        <v>15885022.181173598</v>
      </c>
      <c r="BG243" s="1074"/>
      <c r="BK243" s="1117">
        <f>$G243</f>
        <v>23779220.607934885</v>
      </c>
      <c r="BL243" s="1118">
        <f t="shared" si="648"/>
        <v>7894198.4267612863</v>
      </c>
      <c r="BM243" s="1118">
        <f t="shared" si="649"/>
        <v>0</v>
      </c>
      <c r="BN243" s="1118">
        <f t="shared" si="650"/>
        <v>15885022.181173598</v>
      </c>
      <c r="BO243" s="1074"/>
      <c r="BS243" s="1117">
        <f>$G243</f>
        <v>23779220.607934885</v>
      </c>
      <c r="BT243" s="1118">
        <f t="shared" si="651"/>
        <v>7894198.4267612863</v>
      </c>
      <c r="BU243" s="1118">
        <f t="shared" si="652"/>
        <v>0</v>
      </c>
      <c r="BV243" s="1118">
        <f t="shared" si="653"/>
        <v>15885022.181173598</v>
      </c>
      <c r="BW243" s="1074"/>
      <c r="CA243" s="1117">
        <f>$G243</f>
        <v>23779220.607934885</v>
      </c>
      <c r="CB243" s="1118">
        <f t="shared" si="654"/>
        <v>7894198.4267612863</v>
      </c>
      <c r="CC243" s="1118">
        <f t="shared" si="655"/>
        <v>0</v>
      </c>
      <c r="CD243" s="1118">
        <f t="shared" si="656"/>
        <v>15885022.181173598</v>
      </c>
      <c r="CE243" s="1074"/>
      <c r="CI243" s="1117">
        <f>$G243</f>
        <v>23779220.607934885</v>
      </c>
      <c r="CJ243" s="1118">
        <f t="shared" si="657"/>
        <v>7894198.4267612863</v>
      </c>
      <c r="CK243" s="1118">
        <f t="shared" si="658"/>
        <v>0</v>
      </c>
      <c r="CL243" s="1118">
        <f t="shared" si="659"/>
        <v>15885022.181173598</v>
      </c>
      <c r="CM243" s="1074"/>
      <c r="CQ243" s="1117">
        <f>$G243</f>
        <v>23779220.607934885</v>
      </c>
      <c r="CR243" s="1118">
        <f t="shared" si="660"/>
        <v>7894198.4267612863</v>
      </c>
      <c r="CS243" s="1118">
        <f t="shared" si="661"/>
        <v>0</v>
      </c>
      <c r="CT243" s="1118">
        <f t="shared" si="662"/>
        <v>15885022.181173598</v>
      </c>
      <c r="CU243" s="1074"/>
      <c r="CY243" s="1117">
        <f>$G243</f>
        <v>23779220.607934885</v>
      </c>
      <c r="CZ243" s="1118">
        <f t="shared" si="663"/>
        <v>7894198.4267612863</v>
      </c>
      <c r="DA243" s="1118">
        <f t="shared" si="664"/>
        <v>0</v>
      </c>
      <c r="DB243" s="1118">
        <f t="shared" si="665"/>
        <v>15885022.181173598</v>
      </c>
      <c r="DC243" s="1074"/>
      <c r="DG243" s="1117">
        <f>$G243</f>
        <v>23779220.607934885</v>
      </c>
      <c r="DH243" s="1118">
        <f t="shared" si="666"/>
        <v>7894198.4267612863</v>
      </c>
      <c r="DI243" s="1118">
        <f t="shared" si="667"/>
        <v>0</v>
      </c>
      <c r="DJ243" s="1118">
        <f t="shared" si="668"/>
        <v>15885022.181173598</v>
      </c>
      <c r="DK243" s="1074"/>
      <c r="DO243" s="1117">
        <f>$G243</f>
        <v>23779220.607934885</v>
      </c>
      <c r="DP243" s="1118">
        <f t="shared" si="669"/>
        <v>7894198.4267612863</v>
      </c>
      <c r="DQ243" s="1118">
        <f t="shared" si="670"/>
        <v>0</v>
      </c>
      <c r="DR243" s="1118">
        <f t="shared" si="671"/>
        <v>15885022.181173598</v>
      </c>
      <c r="DS243" s="1074"/>
      <c r="DW243" s="1117">
        <f>$G243</f>
        <v>23779220.607934885</v>
      </c>
      <c r="DX243" s="1118">
        <f t="shared" si="672"/>
        <v>7894198.4267612863</v>
      </c>
      <c r="DY243" s="1118">
        <f t="shared" si="673"/>
        <v>0</v>
      </c>
      <c r="DZ243" s="1118">
        <f t="shared" si="674"/>
        <v>15885022.181173598</v>
      </c>
      <c r="EA243" s="1074"/>
      <c r="EE243" s="1117">
        <f>$G243</f>
        <v>23779220.607934885</v>
      </c>
      <c r="EF243" s="1118">
        <f t="shared" si="675"/>
        <v>7894198.4267612863</v>
      </c>
      <c r="EG243" s="1118">
        <f t="shared" si="676"/>
        <v>0</v>
      </c>
      <c r="EH243" s="1118">
        <f t="shared" si="677"/>
        <v>15885022.181173598</v>
      </c>
      <c r="EI243" s="1074"/>
      <c r="EM243" s="1117">
        <f>$G243</f>
        <v>23779220.607934885</v>
      </c>
      <c r="EN243" s="1118">
        <f t="shared" si="678"/>
        <v>7894198.4267612863</v>
      </c>
      <c r="EO243" s="1118">
        <f t="shared" si="679"/>
        <v>0</v>
      </c>
      <c r="EP243" s="1118">
        <f t="shared" si="680"/>
        <v>15885022.181173598</v>
      </c>
      <c r="EQ243" s="1074"/>
      <c r="EU243" s="1117">
        <f>$G243</f>
        <v>23779220.607934885</v>
      </c>
      <c r="EV243" s="1118">
        <f t="shared" si="681"/>
        <v>7894198.4267612863</v>
      </c>
      <c r="EW243" s="1118">
        <f t="shared" si="682"/>
        <v>0</v>
      </c>
      <c r="EX243" s="1118">
        <f t="shared" si="683"/>
        <v>15885022.181173598</v>
      </c>
      <c r="EY243" s="1074"/>
      <c r="FC243" s="1117">
        <f>$G243</f>
        <v>23779220.607934885</v>
      </c>
      <c r="FD243" s="1118">
        <f t="shared" si="684"/>
        <v>7894198.4267612863</v>
      </c>
      <c r="FE243" s="1118">
        <f t="shared" si="685"/>
        <v>0</v>
      </c>
      <c r="FF243" s="1118">
        <f t="shared" si="686"/>
        <v>15885022.181173598</v>
      </c>
      <c r="FG243" s="1074"/>
      <c r="FK243" s="1117">
        <f>$G243</f>
        <v>23779220.607934885</v>
      </c>
      <c r="FL243" s="1118">
        <f t="shared" si="687"/>
        <v>7894198.4267612863</v>
      </c>
      <c r="FM243" s="1118">
        <f t="shared" si="688"/>
        <v>0</v>
      </c>
      <c r="FN243" s="1118">
        <f t="shared" si="689"/>
        <v>15885022.181173598</v>
      </c>
      <c r="FO243" s="1074"/>
    </row>
    <row r="244" spans="1:171" x14ac:dyDescent="0.25">
      <c r="A244" s="1390">
        <v>200</v>
      </c>
      <c r="B244" s="914" t="s">
        <v>88</v>
      </c>
      <c r="C244" s="889">
        <v>336</v>
      </c>
      <c r="D244" s="889">
        <v>403</v>
      </c>
      <c r="E244" s="182" t="str">
        <f>'Sch 3 - Expenses'!E84</f>
        <v>PROD</v>
      </c>
      <c r="F244" s="890"/>
      <c r="G244" s="182">
        <f>'Sch 3 - Expenses'!G84</f>
        <v>141723842.23824352</v>
      </c>
      <c r="H244" s="182">
        <f>'Sch 3 - Expenses'!H84</f>
        <v>141723842.23824352</v>
      </c>
      <c r="I244" s="182">
        <f>'Sch 3 - Expenses'!I84</f>
        <v>0</v>
      </c>
      <c r="J244" s="183">
        <f>'Sch 3 - Expenses'!J84</f>
        <v>0</v>
      </c>
      <c r="K244" s="904">
        <f t="shared" si="629"/>
        <v>1</v>
      </c>
      <c r="N244" s="1130">
        <f>VLOOKUP($A244,'New Resources - Individual'!$A$4:$Y$133,N$2,FALSE)*N$1</f>
        <v>0</v>
      </c>
      <c r="O244" s="1117">
        <f t="shared" ref="O244:O249" si="690">$G244+N244</f>
        <v>141723842.23824352</v>
      </c>
      <c r="P244" s="1118">
        <f t="shared" si="630"/>
        <v>141723842.23824352</v>
      </c>
      <c r="Q244" s="1118">
        <f t="shared" si="631"/>
        <v>0</v>
      </c>
      <c r="R244" s="1118">
        <f t="shared" si="632"/>
        <v>0</v>
      </c>
      <c r="S244" s="1074"/>
      <c r="V244" s="1130">
        <f>VLOOKUP($A244,'New Resources - Individual'!$A$4:$Y$133,V$2,FALSE)*V$1</f>
        <v>0</v>
      </c>
      <c r="W244" s="1117">
        <f t="shared" ref="W244:W249" si="691">$G244+V244</f>
        <v>141723842.23824352</v>
      </c>
      <c r="X244" s="1118">
        <f t="shared" si="633"/>
        <v>141723842.23824352</v>
      </c>
      <c r="Y244" s="1118">
        <f t="shared" si="634"/>
        <v>0</v>
      </c>
      <c r="Z244" s="1118">
        <f t="shared" si="635"/>
        <v>0</v>
      </c>
      <c r="AA244" s="1074"/>
      <c r="AD244" s="1130">
        <f>VLOOKUP($A244,'New Resources - Individual'!$A$4:$Y$133,AD$2,FALSE)*AD$1</f>
        <v>0</v>
      </c>
      <c r="AE244" s="1117">
        <f t="shared" ref="AE244:AE249" si="692">$G244+AD244</f>
        <v>141723842.23824352</v>
      </c>
      <c r="AF244" s="1118">
        <f t="shared" si="636"/>
        <v>141723842.23824352</v>
      </c>
      <c r="AG244" s="1118">
        <f t="shared" si="637"/>
        <v>0</v>
      </c>
      <c r="AH244" s="1118">
        <f t="shared" si="638"/>
        <v>0</v>
      </c>
      <c r="AI244" s="1074"/>
      <c r="AL244" s="1130">
        <f>VLOOKUP($A244,'New Resources - Individual'!$A$4:$Y$133,AL$2,FALSE)*AL$1</f>
        <v>0</v>
      </c>
      <c r="AM244" s="1117">
        <f t="shared" ref="AM244:AM249" si="693">$G244+AL244</f>
        <v>141723842.23824352</v>
      </c>
      <c r="AN244" s="1118">
        <f t="shared" si="639"/>
        <v>141723842.23824352</v>
      </c>
      <c r="AO244" s="1118">
        <f t="shared" si="640"/>
        <v>0</v>
      </c>
      <c r="AP244" s="1118">
        <f t="shared" si="641"/>
        <v>0</v>
      </c>
      <c r="AQ244" s="1074"/>
      <c r="AT244" s="1130">
        <f>VLOOKUP($A244,'New Resources - Individual'!$A$4:$Y$133,AT$2,FALSE)*AT$1</f>
        <v>0</v>
      </c>
      <c r="AU244" s="1117">
        <f t="shared" ref="AU244:AU249" si="694">$G244+AT244</f>
        <v>141723842.23824352</v>
      </c>
      <c r="AV244" s="1118">
        <f t="shared" si="642"/>
        <v>141723842.23824352</v>
      </c>
      <c r="AW244" s="1118">
        <f t="shared" si="643"/>
        <v>0</v>
      </c>
      <c r="AX244" s="1118">
        <f t="shared" si="644"/>
        <v>0</v>
      </c>
      <c r="AY244" s="1074"/>
      <c r="BB244" s="1130">
        <f>VLOOKUP($A244,'New Resources - Individual'!$A$4:$Y$133,BB$2,FALSE)*BB$1</f>
        <v>0</v>
      </c>
      <c r="BC244" s="1117">
        <f t="shared" ref="BC244:BC249" si="695">$G244+BB244</f>
        <v>141723842.23824352</v>
      </c>
      <c r="BD244" s="1118">
        <f t="shared" si="645"/>
        <v>141723842.23824352</v>
      </c>
      <c r="BE244" s="1118">
        <f t="shared" si="646"/>
        <v>0</v>
      </c>
      <c r="BF244" s="1118">
        <f t="shared" si="647"/>
        <v>0</v>
      </c>
      <c r="BG244" s="1074"/>
      <c r="BJ244" s="1130">
        <f>VLOOKUP($A244,'New Resources - Individual'!$A$4:$Y$133,BJ$2,FALSE)*BJ$1</f>
        <v>0</v>
      </c>
      <c r="BK244" s="1117">
        <f t="shared" ref="BK244:BK249" si="696">$G244+BJ244</f>
        <v>141723842.23824352</v>
      </c>
      <c r="BL244" s="1118">
        <f t="shared" si="648"/>
        <v>141723842.23824352</v>
      </c>
      <c r="BM244" s="1118">
        <f t="shared" si="649"/>
        <v>0</v>
      </c>
      <c r="BN244" s="1118">
        <f t="shared" si="650"/>
        <v>0</v>
      </c>
      <c r="BO244" s="1074"/>
      <c r="BR244" s="1130">
        <f>VLOOKUP($A244,'New Resources - Individual'!$A$4:$Y$133,BR$2,FALSE)*BR$1</f>
        <v>0</v>
      </c>
      <c r="BS244" s="1117">
        <f t="shared" ref="BS244:BS249" si="697">$G244+BR244</f>
        <v>141723842.23824352</v>
      </c>
      <c r="BT244" s="1118">
        <f t="shared" si="651"/>
        <v>141723842.23824352</v>
      </c>
      <c r="BU244" s="1118">
        <f t="shared" si="652"/>
        <v>0</v>
      </c>
      <c r="BV244" s="1118">
        <f t="shared" si="653"/>
        <v>0</v>
      </c>
      <c r="BW244" s="1074"/>
      <c r="BZ244" s="1130">
        <f>VLOOKUP($A244,'New Resources - Individual'!$A$4:$Y$133,BZ$2,FALSE)*BZ$1</f>
        <v>0</v>
      </c>
      <c r="CA244" s="1117">
        <f t="shared" ref="CA244:CA249" si="698">$G244+BZ244</f>
        <v>141723842.23824352</v>
      </c>
      <c r="CB244" s="1118">
        <f t="shared" si="654"/>
        <v>141723842.23824352</v>
      </c>
      <c r="CC244" s="1118">
        <f t="shared" si="655"/>
        <v>0</v>
      </c>
      <c r="CD244" s="1118">
        <f t="shared" si="656"/>
        <v>0</v>
      </c>
      <c r="CE244" s="1074"/>
      <c r="CH244" s="1130">
        <f>VLOOKUP($A244,'New Resources - Individual'!$A$4:$Y$133,CH$2,FALSE)*CH$1</f>
        <v>0</v>
      </c>
      <c r="CI244" s="1117">
        <f t="shared" ref="CI244:CI249" si="699">$G244+CH244</f>
        <v>141723842.23824352</v>
      </c>
      <c r="CJ244" s="1118">
        <f t="shared" si="657"/>
        <v>141723842.23824352</v>
      </c>
      <c r="CK244" s="1118">
        <f t="shared" si="658"/>
        <v>0</v>
      </c>
      <c r="CL244" s="1118">
        <f t="shared" si="659"/>
        <v>0</v>
      </c>
      <c r="CM244" s="1074"/>
      <c r="CP244" s="1130">
        <f>VLOOKUP($A244,'New Resources - Individual'!$A$4:$Y$133,CP$2,FALSE)*CP$1</f>
        <v>0</v>
      </c>
      <c r="CQ244" s="1117">
        <f t="shared" ref="CQ244:CQ249" si="700">$G244+CP244</f>
        <v>141723842.23824352</v>
      </c>
      <c r="CR244" s="1118">
        <f t="shared" si="660"/>
        <v>141723842.23824352</v>
      </c>
      <c r="CS244" s="1118">
        <f t="shared" si="661"/>
        <v>0</v>
      </c>
      <c r="CT244" s="1118">
        <f t="shared" si="662"/>
        <v>0</v>
      </c>
      <c r="CU244" s="1074"/>
      <c r="CX244" s="1130">
        <f>VLOOKUP($A244,'New Resources - Individual'!$A$4:$Y$133,CX$2,FALSE)*CX$1</f>
        <v>0</v>
      </c>
      <c r="CY244" s="1117">
        <f t="shared" ref="CY244:CY249" si="701">$G244+CX244</f>
        <v>141723842.23824352</v>
      </c>
      <c r="CZ244" s="1118">
        <f t="shared" si="663"/>
        <v>141723842.23824352</v>
      </c>
      <c r="DA244" s="1118">
        <f t="shared" si="664"/>
        <v>0</v>
      </c>
      <c r="DB244" s="1118">
        <f t="shared" si="665"/>
        <v>0</v>
      </c>
      <c r="DC244" s="1074"/>
      <c r="DF244" s="1130">
        <f>VLOOKUP($A244,'New Resources - Individual'!$A$4:$Y$133,DF$2,FALSE)*DF$1</f>
        <v>0</v>
      </c>
      <c r="DG244" s="1117">
        <f t="shared" ref="DG244:DG249" si="702">$G244+DF244</f>
        <v>141723842.23824352</v>
      </c>
      <c r="DH244" s="1118">
        <f t="shared" si="666"/>
        <v>141723842.23824352</v>
      </c>
      <c r="DI244" s="1118">
        <f t="shared" si="667"/>
        <v>0</v>
      </c>
      <c r="DJ244" s="1118">
        <f t="shared" si="668"/>
        <v>0</v>
      </c>
      <c r="DK244" s="1074"/>
      <c r="DN244" s="1130">
        <f>VLOOKUP($A244,'New Resources - Individual'!$A$4:$Y$133,DN$2,FALSE)*DN$1</f>
        <v>0</v>
      </c>
      <c r="DO244" s="1117">
        <f t="shared" ref="DO244:DO249" si="703">$G244+DN244</f>
        <v>141723842.23824352</v>
      </c>
      <c r="DP244" s="1118">
        <f t="shared" si="669"/>
        <v>141723842.23824352</v>
      </c>
      <c r="DQ244" s="1118">
        <f t="shared" si="670"/>
        <v>0</v>
      </c>
      <c r="DR244" s="1118">
        <f t="shared" si="671"/>
        <v>0</v>
      </c>
      <c r="DS244" s="1074"/>
      <c r="DV244" s="1130">
        <f>VLOOKUP($A244,'New Resources - Individual'!$A$4:$Y$133,DV$2,FALSE)*DV$1</f>
        <v>0</v>
      </c>
      <c r="DW244" s="1117">
        <f t="shared" ref="DW244:DW249" si="704">$G244+DV244</f>
        <v>141723842.23824352</v>
      </c>
      <c r="DX244" s="1118">
        <f t="shared" si="672"/>
        <v>141723842.23824352</v>
      </c>
      <c r="DY244" s="1118">
        <f t="shared" si="673"/>
        <v>0</v>
      </c>
      <c r="DZ244" s="1118">
        <f t="shared" si="674"/>
        <v>0</v>
      </c>
      <c r="EA244" s="1074"/>
      <c r="ED244" s="1130">
        <f>VLOOKUP($A244,'New Resources - Individual'!$A$4:$Y$133,ED$2,FALSE)*ED$1</f>
        <v>0</v>
      </c>
      <c r="EE244" s="1117">
        <f t="shared" ref="EE244:EE249" si="705">$G244+ED244</f>
        <v>141723842.23824352</v>
      </c>
      <c r="EF244" s="1118">
        <f t="shared" si="675"/>
        <v>141723842.23824352</v>
      </c>
      <c r="EG244" s="1118">
        <f t="shared" si="676"/>
        <v>0</v>
      </c>
      <c r="EH244" s="1118">
        <f t="shared" si="677"/>
        <v>0</v>
      </c>
      <c r="EI244" s="1074"/>
      <c r="EL244" s="1130">
        <f>VLOOKUP($A244,'New Resources - Individual'!$A$4:$Y$133,EL$2,FALSE)*EL$1</f>
        <v>0</v>
      </c>
      <c r="EM244" s="1117">
        <f t="shared" ref="EM244:EM249" si="706">$G244+EL244</f>
        <v>141723842.23824352</v>
      </c>
      <c r="EN244" s="1118">
        <f t="shared" si="678"/>
        <v>141723842.23824352</v>
      </c>
      <c r="EO244" s="1118">
        <f t="shared" si="679"/>
        <v>0</v>
      </c>
      <c r="EP244" s="1118">
        <f t="shared" si="680"/>
        <v>0</v>
      </c>
      <c r="EQ244" s="1074"/>
      <c r="ET244" s="1130">
        <f>VLOOKUP($A244,'New Resources - Individual'!$A$4:$Y$133,ET$2,FALSE)*ET$1</f>
        <v>0</v>
      </c>
      <c r="EU244" s="1117">
        <f t="shared" ref="EU244:EU249" si="707">$G244+ET244</f>
        <v>141723842.23824352</v>
      </c>
      <c r="EV244" s="1118">
        <f t="shared" si="681"/>
        <v>141723842.23824352</v>
      </c>
      <c r="EW244" s="1118">
        <f t="shared" si="682"/>
        <v>0</v>
      </c>
      <c r="EX244" s="1118">
        <f t="shared" si="683"/>
        <v>0</v>
      </c>
      <c r="EY244" s="1074"/>
      <c r="FB244" s="1130">
        <f>VLOOKUP($A244,'New Resources - Individual'!$A$4:$Y$133,FB$2,FALSE)*FB$1</f>
        <v>0</v>
      </c>
      <c r="FC244" s="1117">
        <f t="shared" ref="FC244:FC249" si="708">$G244+FB244</f>
        <v>141723842.23824352</v>
      </c>
      <c r="FD244" s="1118">
        <f t="shared" si="684"/>
        <v>141723842.23824352</v>
      </c>
      <c r="FE244" s="1118">
        <f t="shared" si="685"/>
        <v>0</v>
      </c>
      <c r="FF244" s="1118">
        <f t="shared" si="686"/>
        <v>0</v>
      </c>
      <c r="FG244" s="1074"/>
      <c r="FJ244" s="1130">
        <f>VLOOKUP($A244,'New Resources - Individual'!$A$4:$Y$133,FJ$2,FALSE)*FJ$1</f>
        <v>0</v>
      </c>
      <c r="FK244" s="1117">
        <f t="shared" ref="FK244:FK249" si="709">$G244+FJ244</f>
        <v>141723842.23824352</v>
      </c>
      <c r="FL244" s="1118">
        <f t="shared" si="687"/>
        <v>141723842.23824352</v>
      </c>
      <c r="FM244" s="1118">
        <f t="shared" si="688"/>
        <v>0</v>
      </c>
      <c r="FN244" s="1118">
        <f t="shared" si="689"/>
        <v>0</v>
      </c>
      <c r="FO244" s="1074"/>
    </row>
    <row r="245" spans="1:171" x14ac:dyDescent="0.25">
      <c r="A245" s="1390">
        <v>330</v>
      </c>
      <c r="B245" s="914" t="s">
        <v>89</v>
      </c>
      <c r="C245" s="889">
        <v>336</v>
      </c>
      <c r="D245" s="889">
        <v>403</v>
      </c>
      <c r="E245" s="182" t="str">
        <f>'Sch 3 - Expenses'!E85</f>
        <v>PROD</v>
      </c>
      <c r="F245" s="890"/>
      <c r="G245" s="182">
        <f>'Sch 3 - Expenses'!G85</f>
        <v>0</v>
      </c>
      <c r="H245" s="182">
        <f>'Sch 3 - Expenses'!H85</f>
        <v>0</v>
      </c>
      <c r="I245" s="182">
        <f>'Sch 3 - Expenses'!I85</f>
        <v>0</v>
      </c>
      <c r="J245" s="183">
        <f>'Sch 3 - Expenses'!J85</f>
        <v>0</v>
      </c>
      <c r="K245" s="904">
        <f t="shared" si="629"/>
        <v>1</v>
      </c>
      <c r="N245" s="1130">
        <f>VLOOKUP($A245,'New Resources - Individual'!$A$4:$Y$133,N$2,FALSE)*N$1</f>
        <v>0</v>
      </c>
      <c r="O245" s="1117">
        <f t="shared" si="690"/>
        <v>0</v>
      </c>
      <c r="P245" s="1118">
        <f t="shared" si="630"/>
        <v>0</v>
      </c>
      <c r="Q245" s="1118">
        <f t="shared" si="631"/>
        <v>0</v>
      </c>
      <c r="R245" s="1118">
        <f t="shared" si="632"/>
        <v>0</v>
      </c>
      <c r="S245" s="1074"/>
      <c r="V245" s="1130">
        <f>VLOOKUP($A245,'New Resources - Individual'!$A$4:$Y$133,V$2,FALSE)*V$1</f>
        <v>0</v>
      </c>
      <c r="W245" s="1117">
        <f t="shared" si="691"/>
        <v>0</v>
      </c>
      <c r="X245" s="1118">
        <f t="shared" si="633"/>
        <v>0</v>
      </c>
      <c r="Y245" s="1118">
        <f t="shared" si="634"/>
        <v>0</v>
      </c>
      <c r="Z245" s="1118">
        <f t="shared" si="635"/>
        <v>0</v>
      </c>
      <c r="AA245" s="1074"/>
      <c r="AD245" s="1130">
        <f>VLOOKUP($A245,'New Resources - Individual'!$A$4:$Y$133,AD$2,FALSE)*AD$1</f>
        <v>0</v>
      </c>
      <c r="AE245" s="1117">
        <f t="shared" si="692"/>
        <v>0</v>
      </c>
      <c r="AF245" s="1118">
        <f t="shared" si="636"/>
        <v>0</v>
      </c>
      <c r="AG245" s="1118">
        <f t="shared" si="637"/>
        <v>0</v>
      </c>
      <c r="AH245" s="1118">
        <f t="shared" si="638"/>
        <v>0</v>
      </c>
      <c r="AI245" s="1074"/>
      <c r="AL245" s="1130">
        <f>VLOOKUP($A245,'New Resources - Individual'!$A$4:$Y$133,AL$2,FALSE)*AL$1</f>
        <v>0</v>
      </c>
      <c r="AM245" s="1117">
        <f t="shared" si="693"/>
        <v>0</v>
      </c>
      <c r="AN245" s="1118">
        <f t="shared" si="639"/>
        <v>0</v>
      </c>
      <c r="AO245" s="1118">
        <f t="shared" si="640"/>
        <v>0</v>
      </c>
      <c r="AP245" s="1118">
        <f t="shared" si="641"/>
        <v>0</v>
      </c>
      <c r="AQ245" s="1074"/>
      <c r="AT245" s="1130">
        <f>VLOOKUP($A245,'New Resources - Individual'!$A$4:$Y$133,AT$2,FALSE)*AT$1</f>
        <v>0</v>
      </c>
      <c r="AU245" s="1117">
        <f t="shared" si="694"/>
        <v>0</v>
      </c>
      <c r="AV245" s="1118">
        <f t="shared" si="642"/>
        <v>0</v>
      </c>
      <c r="AW245" s="1118">
        <f t="shared" si="643"/>
        <v>0</v>
      </c>
      <c r="AX245" s="1118">
        <f t="shared" si="644"/>
        <v>0</v>
      </c>
      <c r="AY245" s="1074"/>
      <c r="BB245" s="1130">
        <f>VLOOKUP($A245,'New Resources - Individual'!$A$4:$Y$133,BB$2,FALSE)*BB$1</f>
        <v>0</v>
      </c>
      <c r="BC245" s="1117">
        <f t="shared" si="695"/>
        <v>0</v>
      </c>
      <c r="BD245" s="1118">
        <f t="shared" si="645"/>
        <v>0</v>
      </c>
      <c r="BE245" s="1118">
        <f t="shared" si="646"/>
        <v>0</v>
      </c>
      <c r="BF245" s="1118">
        <f t="shared" si="647"/>
        <v>0</v>
      </c>
      <c r="BG245" s="1074"/>
      <c r="BJ245" s="1130">
        <f>VLOOKUP($A245,'New Resources - Individual'!$A$4:$Y$133,BJ$2,FALSE)*BJ$1</f>
        <v>0</v>
      </c>
      <c r="BK245" s="1117">
        <f t="shared" si="696"/>
        <v>0</v>
      </c>
      <c r="BL245" s="1118">
        <f t="shared" si="648"/>
        <v>0</v>
      </c>
      <c r="BM245" s="1118">
        <f t="shared" si="649"/>
        <v>0</v>
      </c>
      <c r="BN245" s="1118">
        <f t="shared" si="650"/>
        <v>0</v>
      </c>
      <c r="BO245" s="1074"/>
      <c r="BR245" s="1130">
        <f>VLOOKUP($A245,'New Resources - Individual'!$A$4:$Y$133,BR$2,FALSE)*BR$1</f>
        <v>0</v>
      </c>
      <c r="BS245" s="1117">
        <f t="shared" si="697"/>
        <v>0</v>
      </c>
      <c r="BT245" s="1118">
        <f t="shared" si="651"/>
        <v>0</v>
      </c>
      <c r="BU245" s="1118">
        <f t="shared" si="652"/>
        <v>0</v>
      </c>
      <c r="BV245" s="1118">
        <f t="shared" si="653"/>
        <v>0</v>
      </c>
      <c r="BW245" s="1074"/>
      <c r="BZ245" s="1130">
        <f>VLOOKUP($A245,'New Resources - Individual'!$A$4:$Y$133,BZ$2,FALSE)*BZ$1</f>
        <v>0</v>
      </c>
      <c r="CA245" s="1117">
        <f t="shared" si="698"/>
        <v>0</v>
      </c>
      <c r="CB245" s="1118">
        <f t="shared" si="654"/>
        <v>0</v>
      </c>
      <c r="CC245" s="1118">
        <f t="shared" si="655"/>
        <v>0</v>
      </c>
      <c r="CD245" s="1118">
        <f t="shared" si="656"/>
        <v>0</v>
      </c>
      <c r="CE245" s="1074"/>
      <c r="CH245" s="1130">
        <f>VLOOKUP($A245,'New Resources - Individual'!$A$4:$Y$133,CH$2,FALSE)*CH$1</f>
        <v>0</v>
      </c>
      <c r="CI245" s="1117">
        <f t="shared" si="699"/>
        <v>0</v>
      </c>
      <c r="CJ245" s="1118">
        <f t="shared" si="657"/>
        <v>0</v>
      </c>
      <c r="CK245" s="1118">
        <f t="shared" si="658"/>
        <v>0</v>
      </c>
      <c r="CL245" s="1118">
        <f t="shared" si="659"/>
        <v>0</v>
      </c>
      <c r="CM245" s="1074"/>
      <c r="CP245" s="1130">
        <f>VLOOKUP($A245,'New Resources - Individual'!$A$4:$Y$133,CP$2,FALSE)*CP$1</f>
        <v>0</v>
      </c>
      <c r="CQ245" s="1117">
        <f t="shared" si="700"/>
        <v>0</v>
      </c>
      <c r="CR245" s="1118">
        <f t="shared" si="660"/>
        <v>0</v>
      </c>
      <c r="CS245" s="1118">
        <f t="shared" si="661"/>
        <v>0</v>
      </c>
      <c r="CT245" s="1118">
        <f t="shared" si="662"/>
        <v>0</v>
      </c>
      <c r="CU245" s="1074"/>
      <c r="CX245" s="1130">
        <f>VLOOKUP($A245,'New Resources - Individual'!$A$4:$Y$133,CX$2,FALSE)*CX$1</f>
        <v>0</v>
      </c>
      <c r="CY245" s="1117">
        <f t="shared" si="701"/>
        <v>0</v>
      </c>
      <c r="CZ245" s="1118">
        <f t="shared" si="663"/>
        <v>0</v>
      </c>
      <c r="DA245" s="1118">
        <f t="shared" si="664"/>
        <v>0</v>
      </c>
      <c r="DB245" s="1118">
        <f t="shared" si="665"/>
        <v>0</v>
      </c>
      <c r="DC245" s="1074"/>
      <c r="DF245" s="1130">
        <f>VLOOKUP($A245,'New Resources - Individual'!$A$4:$Y$133,DF$2,FALSE)*DF$1</f>
        <v>0</v>
      </c>
      <c r="DG245" s="1117">
        <f t="shared" si="702"/>
        <v>0</v>
      </c>
      <c r="DH245" s="1118">
        <f t="shared" si="666"/>
        <v>0</v>
      </c>
      <c r="DI245" s="1118">
        <f t="shared" si="667"/>
        <v>0</v>
      </c>
      <c r="DJ245" s="1118">
        <f t="shared" si="668"/>
        <v>0</v>
      </c>
      <c r="DK245" s="1074"/>
      <c r="DN245" s="1130">
        <f>VLOOKUP($A245,'New Resources - Individual'!$A$4:$Y$133,DN$2,FALSE)*DN$1</f>
        <v>0</v>
      </c>
      <c r="DO245" s="1117">
        <f t="shared" si="703"/>
        <v>0</v>
      </c>
      <c r="DP245" s="1118">
        <f t="shared" si="669"/>
        <v>0</v>
      </c>
      <c r="DQ245" s="1118">
        <f t="shared" si="670"/>
        <v>0</v>
      </c>
      <c r="DR245" s="1118">
        <f t="shared" si="671"/>
        <v>0</v>
      </c>
      <c r="DS245" s="1074"/>
      <c r="DV245" s="1130">
        <f>VLOOKUP($A245,'New Resources - Individual'!$A$4:$Y$133,DV$2,FALSE)*DV$1</f>
        <v>0</v>
      </c>
      <c r="DW245" s="1117">
        <f t="shared" si="704"/>
        <v>0</v>
      </c>
      <c r="DX245" s="1118">
        <f t="shared" si="672"/>
        <v>0</v>
      </c>
      <c r="DY245" s="1118">
        <f t="shared" si="673"/>
        <v>0</v>
      </c>
      <c r="DZ245" s="1118">
        <f t="shared" si="674"/>
        <v>0</v>
      </c>
      <c r="EA245" s="1074"/>
      <c r="ED245" s="1130">
        <f>VLOOKUP($A245,'New Resources - Individual'!$A$4:$Y$133,ED$2,FALSE)*ED$1</f>
        <v>0</v>
      </c>
      <c r="EE245" s="1117">
        <f t="shared" si="705"/>
        <v>0</v>
      </c>
      <c r="EF245" s="1118">
        <f t="shared" si="675"/>
        <v>0</v>
      </c>
      <c r="EG245" s="1118">
        <f t="shared" si="676"/>
        <v>0</v>
      </c>
      <c r="EH245" s="1118">
        <f t="shared" si="677"/>
        <v>0</v>
      </c>
      <c r="EI245" s="1074"/>
      <c r="EL245" s="1130">
        <f>VLOOKUP($A245,'New Resources - Individual'!$A$4:$Y$133,EL$2,FALSE)*EL$1</f>
        <v>0</v>
      </c>
      <c r="EM245" s="1117">
        <f t="shared" si="706"/>
        <v>0</v>
      </c>
      <c r="EN245" s="1118">
        <f t="shared" si="678"/>
        <v>0</v>
      </c>
      <c r="EO245" s="1118">
        <f t="shared" si="679"/>
        <v>0</v>
      </c>
      <c r="EP245" s="1118">
        <f t="shared" si="680"/>
        <v>0</v>
      </c>
      <c r="EQ245" s="1074"/>
      <c r="ET245" s="1130">
        <f>VLOOKUP($A245,'New Resources - Individual'!$A$4:$Y$133,ET$2,FALSE)*ET$1</f>
        <v>0</v>
      </c>
      <c r="EU245" s="1117">
        <f t="shared" si="707"/>
        <v>0</v>
      </c>
      <c r="EV245" s="1118">
        <f t="shared" si="681"/>
        <v>0</v>
      </c>
      <c r="EW245" s="1118">
        <f t="shared" si="682"/>
        <v>0</v>
      </c>
      <c r="EX245" s="1118">
        <f t="shared" si="683"/>
        <v>0</v>
      </c>
      <c r="EY245" s="1074"/>
      <c r="FB245" s="1130">
        <f>VLOOKUP($A245,'New Resources - Individual'!$A$4:$Y$133,FB$2,FALSE)*FB$1</f>
        <v>0</v>
      </c>
      <c r="FC245" s="1117">
        <f t="shared" si="708"/>
        <v>0</v>
      </c>
      <c r="FD245" s="1118">
        <f t="shared" si="684"/>
        <v>0</v>
      </c>
      <c r="FE245" s="1118">
        <f t="shared" si="685"/>
        <v>0</v>
      </c>
      <c r="FF245" s="1118">
        <f t="shared" si="686"/>
        <v>0</v>
      </c>
      <c r="FG245" s="1074"/>
      <c r="FJ245" s="1130">
        <f>VLOOKUP($A245,'New Resources - Individual'!$A$4:$Y$133,FJ$2,FALSE)*FJ$1</f>
        <v>0</v>
      </c>
      <c r="FK245" s="1117">
        <f t="shared" si="709"/>
        <v>0</v>
      </c>
      <c r="FL245" s="1118">
        <f t="shared" si="687"/>
        <v>0</v>
      </c>
      <c r="FM245" s="1118">
        <f t="shared" si="688"/>
        <v>0</v>
      </c>
      <c r="FN245" s="1118">
        <f t="shared" si="689"/>
        <v>0</v>
      </c>
      <c r="FO245" s="1074"/>
    </row>
    <row r="246" spans="1:171" x14ac:dyDescent="0.25">
      <c r="A246" s="1390">
        <v>450</v>
      </c>
      <c r="B246" s="914" t="s">
        <v>430</v>
      </c>
      <c r="C246" s="889">
        <v>336</v>
      </c>
      <c r="D246" s="889">
        <v>403</v>
      </c>
      <c r="E246" s="182" t="str">
        <f>'Sch 3 - Expenses'!E86</f>
        <v>PROD</v>
      </c>
      <c r="F246" s="890"/>
      <c r="G246" s="182">
        <f>'Sch 3 - Expenses'!G86</f>
        <v>12578940.113235414</v>
      </c>
      <c r="H246" s="182">
        <f>'Sch 3 - Expenses'!H86</f>
        <v>12578940.113235414</v>
      </c>
      <c r="I246" s="182">
        <f>'Sch 3 - Expenses'!I86</f>
        <v>0</v>
      </c>
      <c r="J246" s="183">
        <f>'Sch 3 - Expenses'!J86</f>
        <v>0</v>
      </c>
      <c r="K246" s="904">
        <f t="shared" si="629"/>
        <v>1</v>
      </c>
      <c r="N246" s="1130">
        <f>VLOOKUP($A246,'New Resources - Individual'!$A$4:$Y$133,N$2,FALSE)*N$1</f>
        <v>0</v>
      </c>
      <c r="O246" s="1117">
        <f t="shared" si="690"/>
        <v>12578940.113235414</v>
      </c>
      <c r="P246" s="1118">
        <f t="shared" si="630"/>
        <v>12578940.113235414</v>
      </c>
      <c r="Q246" s="1118">
        <f t="shared" si="631"/>
        <v>0</v>
      </c>
      <c r="R246" s="1118">
        <f t="shared" si="632"/>
        <v>0</v>
      </c>
      <c r="S246" s="1074"/>
      <c r="V246" s="1130">
        <f>VLOOKUP($A246,'New Resources - Individual'!$A$4:$Y$133,V$2,FALSE)*V$1</f>
        <v>0</v>
      </c>
      <c r="W246" s="1117">
        <f t="shared" si="691"/>
        <v>12578940.113235414</v>
      </c>
      <c r="X246" s="1118">
        <f t="shared" si="633"/>
        <v>12578940.113235414</v>
      </c>
      <c r="Y246" s="1118">
        <f t="shared" si="634"/>
        <v>0</v>
      </c>
      <c r="Z246" s="1118">
        <f t="shared" si="635"/>
        <v>0</v>
      </c>
      <c r="AA246" s="1074"/>
      <c r="AD246" s="1130">
        <f>VLOOKUP($A246,'New Resources - Individual'!$A$4:$Y$133,AD$2,FALSE)*AD$1</f>
        <v>0</v>
      </c>
      <c r="AE246" s="1117">
        <f t="shared" si="692"/>
        <v>12578940.113235414</v>
      </c>
      <c r="AF246" s="1118">
        <f t="shared" si="636"/>
        <v>12578940.113235414</v>
      </c>
      <c r="AG246" s="1118">
        <f t="shared" si="637"/>
        <v>0</v>
      </c>
      <c r="AH246" s="1118">
        <f t="shared" si="638"/>
        <v>0</v>
      </c>
      <c r="AI246" s="1074"/>
      <c r="AL246" s="1130">
        <f>VLOOKUP($A246,'New Resources - Individual'!$A$4:$Y$133,AL$2,FALSE)*AL$1</f>
        <v>0</v>
      </c>
      <c r="AM246" s="1117">
        <f t="shared" si="693"/>
        <v>12578940.113235414</v>
      </c>
      <c r="AN246" s="1118">
        <f t="shared" si="639"/>
        <v>12578940.113235414</v>
      </c>
      <c r="AO246" s="1118">
        <f t="shared" si="640"/>
        <v>0</v>
      </c>
      <c r="AP246" s="1118">
        <f t="shared" si="641"/>
        <v>0</v>
      </c>
      <c r="AQ246" s="1074"/>
      <c r="AT246" s="1130">
        <f>VLOOKUP($A246,'New Resources - Individual'!$A$4:$Y$133,AT$2,FALSE)*AT$1</f>
        <v>0</v>
      </c>
      <c r="AU246" s="1117">
        <f t="shared" si="694"/>
        <v>12578940.113235414</v>
      </c>
      <c r="AV246" s="1118">
        <f t="shared" si="642"/>
        <v>12578940.113235414</v>
      </c>
      <c r="AW246" s="1118">
        <f t="shared" si="643"/>
        <v>0</v>
      </c>
      <c r="AX246" s="1118">
        <f t="shared" si="644"/>
        <v>0</v>
      </c>
      <c r="AY246" s="1074"/>
      <c r="BB246" s="1130">
        <f>VLOOKUP($A246,'New Resources - Individual'!$A$4:$Y$133,BB$2,FALSE)*BB$1</f>
        <v>0</v>
      </c>
      <c r="BC246" s="1117">
        <f t="shared" si="695"/>
        <v>12578940.113235414</v>
      </c>
      <c r="BD246" s="1118">
        <f t="shared" si="645"/>
        <v>12578940.113235414</v>
      </c>
      <c r="BE246" s="1118">
        <f t="shared" si="646"/>
        <v>0</v>
      </c>
      <c r="BF246" s="1118">
        <f t="shared" si="647"/>
        <v>0</v>
      </c>
      <c r="BG246" s="1074"/>
      <c r="BJ246" s="1130">
        <f>VLOOKUP($A246,'New Resources - Individual'!$A$4:$Y$133,BJ$2,FALSE)*BJ$1</f>
        <v>0</v>
      </c>
      <c r="BK246" s="1117">
        <f t="shared" si="696"/>
        <v>12578940.113235414</v>
      </c>
      <c r="BL246" s="1118">
        <f t="shared" si="648"/>
        <v>12578940.113235414</v>
      </c>
      <c r="BM246" s="1118">
        <f t="shared" si="649"/>
        <v>0</v>
      </c>
      <c r="BN246" s="1118">
        <f t="shared" si="650"/>
        <v>0</v>
      </c>
      <c r="BO246" s="1074"/>
      <c r="BR246" s="1130">
        <f>VLOOKUP($A246,'New Resources - Individual'!$A$4:$Y$133,BR$2,FALSE)*BR$1</f>
        <v>0</v>
      </c>
      <c r="BS246" s="1117">
        <f t="shared" si="697"/>
        <v>12578940.113235414</v>
      </c>
      <c r="BT246" s="1118">
        <f t="shared" si="651"/>
        <v>12578940.113235414</v>
      </c>
      <c r="BU246" s="1118">
        <f t="shared" si="652"/>
        <v>0</v>
      </c>
      <c r="BV246" s="1118">
        <f t="shared" si="653"/>
        <v>0</v>
      </c>
      <c r="BW246" s="1074"/>
      <c r="BZ246" s="1130">
        <f>VLOOKUP($A246,'New Resources - Individual'!$A$4:$Y$133,BZ$2,FALSE)*BZ$1</f>
        <v>0</v>
      </c>
      <c r="CA246" s="1117">
        <f t="shared" si="698"/>
        <v>12578940.113235414</v>
      </c>
      <c r="CB246" s="1118">
        <f t="shared" si="654"/>
        <v>12578940.113235414</v>
      </c>
      <c r="CC246" s="1118">
        <f t="shared" si="655"/>
        <v>0</v>
      </c>
      <c r="CD246" s="1118">
        <f t="shared" si="656"/>
        <v>0</v>
      </c>
      <c r="CE246" s="1074"/>
      <c r="CH246" s="1130">
        <f>VLOOKUP($A246,'New Resources - Individual'!$A$4:$Y$133,CH$2,FALSE)*CH$1</f>
        <v>0</v>
      </c>
      <c r="CI246" s="1117">
        <f t="shared" si="699"/>
        <v>12578940.113235414</v>
      </c>
      <c r="CJ246" s="1118">
        <f t="shared" si="657"/>
        <v>12578940.113235414</v>
      </c>
      <c r="CK246" s="1118">
        <f t="shared" si="658"/>
        <v>0</v>
      </c>
      <c r="CL246" s="1118">
        <f t="shared" si="659"/>
        <v>0</v>
      </c>
      <c r="CM246" s="1074"/>
      <c r="CP246" s="1130">
        <f>VLOOKUP($A246,'New Resources - Individual'!$A$4:$Y$133,CP$2,FALSE)*CP$1</f>
        <v>0</v>
      </c>
      <c r="CQ246" s="1117">
        <f t="shared" si="700"/>
        <v>12578940.113235414</v>
      </c>
      <c r="CR246" s="1118">
        <f t="shared" si="660"/>
        <v>12578940.113235414</v>
      </c>
      <c r="CS246" s="1118">
        <f t="shared" si="661"/>
        <v>0</v>
      </c>
      <c r="CT246" s="1118">
        <f t="shared" si="662"/>
        <v>0</v>
      </c>
      <c r="CU246" s="1074"/>
      <c r="CX246" s="1130">
        <f>VLOOKUP($A246,'New Resources - Individual'!$A$4:$Y$133,CX$2,FALSE)*CX$1</f>
        <v>0</v>
      </c>
      <c r="CY246" s="1117">
        <f t="shared" si="701"/>
        <v>12578940.113235414</v>
      </c>
      <c r="CZ246" s="1118">
        <f t="shared" si="663"/>
        <v>12578940.113235414</v>
      </c>
      <c r="DA246" s="1118">
        <f t="shared" si="664"/>
        <v>0</v>
      </c>
      <c r="DB246" s="1118">
        <f t="shared" si="665"/>
        <v>0</v>
      </c>
      <c r="DC246" s="1074"/>
      <c r="DF246" s="1130">
        <f>VLOOKUP($A246,'New Resources - Individual'!$A$4:$Y$133,DF$2,FALSE)*DF$1</f>
        <v>0</v>
      </c>
      <c r="DG246" s="1117">
        <f t="shared" si="702"/>
        <v>12578940.113235414</v>
      </c>
      <c r="DH246" s="1118">
        <f t="shared" si="666"/>
        <v>12578940.113235414</v>
      </c>
      <c r="DI246" s="1118">
        <f t="shared" si="667"/>
        <v>0</v>
      </c>
      <c r="DJ246" s="1118">
        <f t="shared" si="668"/>
        <v>0</v>
      </c>
      <c r="DK246" s="1074"/>
      <c r="DN246" s="1130">
        <f>VLOOKUP($A246,'New Resources - Individual'!$A$4:$Y$133,DN$2,FALSE)*DN$1</f>
        <v>0</v>
      </c>
      <c r="DO246" s="1117">
        <f t="shared" si="703"/>
        <v>12578940.113235414</v>
      </c>
      <c r="DP246" s="1118">
        <f t="shared" si="669"/>
        <v>12578940.113235414</v>
      </c>
      <c r="DQ246" s="1118">
        <f t="shared" si="670"/>
        <v>0</v>
      </c>
      <c r="DR246" s="1118">
        <f t="shared" si="671"/>
        <v>0</v>
      </c>
      <c r="DS246" s="1074"/>
      <c r="DV246" s="1130">
        <f>VLOOKUP($A246,'New Resources - Individual'!$A$4:$Y$133,DV$2,FALSE)*DV$1</f>
        <v>0</v>
      </c>
      <c r="DW246" s="1117">
        <f t="shared" si="704"/>
        <v>12578940.113235414</v>
      </c>
      <c r="DX246" s="1118">
        <f t="shared" si="672"/>
        <v>12578940.113235414</v>
      </c>
      <c r="DY246" s="1118">
        <f t="shared" si="673"/>
        <v>0</v>
      </c>
      <c r="DZ246" s="1118">
        <f t="shared" si="674"/>
        <v>0</v>
      </c>
      <c r="EA246" s="1074"/>
      <c r="ED246" s="1130">
        <f>VLOOKUP($A246,'New Resources - Individual'!$A$4:$Y$133,ED$2,FALSE)*ED$1</f>
        <v>0</v>
      </c>
      <c r="EE246" s="1117">
        <f t="shared" si="705"/>
        <v>12578940.113235414</v>
      </c>
      <c r="EF246" s="1118">
        <f t="shared" si="675"/>
        <v>12578940.113235414</v>
      </c>
      <c r="EG246" s="1118">
        <f t="shared" si="676"/>
        <v>0</v>
      </c>
      <c r="EH246" s="1118">
        <f t="shared" si="677"/>
        <v>0</v>
      </c>
      <c r="EI246" s="1074"/>
      <c r="EL246" s="1130">
        <f>VLOOKUP($A246,'New Resources - Individual'!$A$4:$Y$133,EL$2,FALSE)*EL$1</f>
        <v>0</v>
      </c>
      <c r="EM246" s="1117">
        <f t="shared" si="706"/>
        <v>12578940.113235414</v>
      </c>
      <c r="EN246" s="1118">
        <f t="shared" si="678"/>
        <v>12578940.113235414</v>
      </c>
      <c r="EO246" s="1118">
        <f t="shared" si="679"/>
        <v>0</v>
      </c>
      <c r="EP246" s="1118">
        <f t="shared" si="680"/>
        <v>0</v>
      </c>
      <c r="EQ246" s="1074"/>
      <c r="ET246" s="1130">
        <f>VLOOKUP($A246,'New Resources - Individual'!$A$4:$Y$133,ET$2,FALSE)*ET$1</f>
        <v>0</v>
      </c>
      <c r="EU246" s="1117">
        <f t="shared" si="707"/>
        <v>12578940.113235414</v>
      </c>
      <c r="EV246" s="1118">
        <f t="shared" si="681"/>
        <v>12578940.113235414</v>
      </c>
      <c r="EW246" s="1118">
        <f t="shared" si="682"/>
        <v>0</v>
      </c>
      <c r="EX246" s="1118">
        <f t="shared" si="683"/>
        <v>0</v>
      </c>
      <c r="EY246" s="1074"/>
      <c r="FB246" s="1130">
        <f>VLOOKUP($A246,'New Resources - Individual'!$A$4:$Y$133,FB$2,FALSE)*FB$1</f>
        <v>0</v>
      </c>
      <c r="FC246" s="1117">
        <f t="shared" si="708"/>
        <v>12578940.113235414</v>
      </c>
      <c r="FD246" s="1118">
        <f t="shared" si="684"/>
        <v>12578940.113235414</v>
      </c>
      <c r="FE246" s="1118">
        <f t="shared" si="685"/>
        <v>0</v>
      </c>
      <c r="FF246" s="1118">
        <f t="shared" si="686"/>
        <v>0</v>
      </c>
      <c r="FG246" s="1074"/>
      <c r="FJ246" s="1130">
        <f>VLOOKUP($A246,'New Resources - Individual'!$A$4:$Y$133,FJ$2,FALSE)*FJ$1</f>
        <v>0</v>
      </c>
      <c r="FK246" s="1117">
        <f t="shared" si="709"/>
        <v>12578940.113235414</v>
      </c>
      <c r="FL246" s="1118">
        <f t="shared" si="687"/>
        <v>12578940.113235414</v>
      </c>
      <c r="FM246" s="1118">
        <f t="shared" si="688"/>
        <v>0</v>
      </c>
      <c r="FN246" s="1118">
        <f t="shared" si="689"/>
        <v>0</v>
      </c>
      <c r="FO246" s="1074"/>
    </row>
    <row r="247" spans="1:171" x14ac:dyDescent="0.25">
      <c r="A247" s="1390">
        <v>460</v>
      </c>
      <c r="B247" s="914" t="s">
        <v>431</v>
      </c>
      <c r="C247" s="889">
        <v>336</v>
      </c>
      <c r="D247" s="889">
        <v>403</v>
      </c>
      <c r="E247" s="182" t="str">
        <f>'Sch 3 - Expenses'!E87</f>
        <v>PROD</v>
      </c>
      <c r="F247" s="890"/>
      <c r="G247" s="182">
        <f>'Sch 3 - Expenses'!G87</f>
        <v>0</v>
      </c>
      <c r="H247" s="182">
        <f>'Sch 3 - Expenses'!H87</f>
        <v>0</v>
      </c>
      <c r="I247" s="182">
        <f>'Sch 3 - Expenses'!I87</f>
        <v>0</v>
      </c>
      <c r="J247" s="183">
        <f>'Sch 3 - Expenses'!J87</f>
        <v>0</v>
      </c>
      <c r="K247" s="904">
        <f t="shared" si="629"/>
        <v>1</v>
      </c>
      <c r="N247" s="1130">
        <f>VLOOKUP($A247,'New Resources - Individual'!$A$4:$Y$133,N$2,FALSE)*N$1</f>
        <v>0</v>
      </c>
      <c r="O247" s="1117">
        <f t="shared" si="690"/>
        <v>0</v>
      </c>
      <c r="P247" s="1118">
        <f t="shared" si="630"/>
        <v>0</v>
      </c>
      <c r="Q247" s="1118">
        <f t="shared" si="631"/>
        <v>0</v>
      </c>
      <c r="R247" s="1118">
        <f t="shared" si="632"/>
        <v>0</v>
      </c>
      <c r="S247" s="1074"/>
      <c r="V247" s="1130">
        <f>VLOOKUP($A247,'New Resources - Individual'!$A$4:$Y$133,V$2,FALSE)*V$1</f>
        <v>0</v>
      </c>
      <c r="W247" s="1117">
        <f t="shared" si="691"/>
        <v>0</v>
      </c>
      <c r="X247" s="1118">
        <f t="shared" si="633"/>
        <v>0</v>
      </c>
      <c r="Y247" s="1118">
        <f t="shared" si="634"/>
        <v>0</v>
      </c>
      <c r="Z247" s="1118">
        <f t="shared" si="635"/>
        <v>0</v>
      </c>
      <c r="AA247" s="1074"/>
      <c r="AD247" s="1130">
        <f>VLOOKUP($A247,'New Resources - Individual'!$A$4:$Y$133,AD$2,FALSE)*AD$1</f>
        <v>0</v>
      </c>
      <c r="AE247" s="1117">
        <f t="shared" si="692"/>
        <v>0</v>
      </c>
      <c r="AF247" s="1118">
        <f t="shared" si="636"/>
        <v>0</v>
      </c>
      <c r="AG247" s="1118">
        <f t="shared" si="637"/>
        <v>0</v>
      </c>
      <c r="AH247" s="1118">
        <f t="shared" si="638"/>
        <v>0</v>
      </c>
      <c r="AI247" s="1074"/>
      <c r="AL247" s="1130">
        <f>VLOOKUP($A247,'New Resources - Individual'!$A$4:$Y$133,AL$2,FALSE)*AL$1</f>
        <v>0</v>
      </c>
      <c r="AM247" s="1117">
        <f t="shared" si="693"/>
        <v>0</v>
      </c>
      <c r="AN247" s="1118">
        <f t="shared" si="639"/>
        <v>0</v>
      </c>
      <c r="AO247" s="1118">
        <f t="shared" si="640"/>
        <v>0</v>
      </c>
      <c r="AP247" s="1118">
        <f t="shared" si="641"/>
        <v>0</v>
      </c>
      <c r="AQ247" s="1074"/>
      <c r="AT247" s="1130">
        <f>VLOOKUP($A247,'New Resources - Individual'!$A$4:$Y$133,AT$2,FALSE)*AT$1</f>
        <v>0</v>
      </c>
      <c r="AU247" s="1117">
        <f t="shared" si="694"/>
        <v>0</v>
      </c>
      <c r="AV247" s="1118">
        <f t="shared" si="642"/>
        <v>0</v>
      </c>
      <c r="AW247" s="1118">
        <f t="shared" si="643"/>
        <v>0</v>
      </c>
      <c r="AX247" s="1118">
        <f t="shared" si="644"/>
        <v>0</v>
      </c>
      <c r="AY247" s="1074"/>
      <c r="BB247" s="1130">
        <f>VLOOKUP($A247,'New Resources - Individual'!$A$4:$Y$133,BB$2,FALSE)*BB$1</f>
        <v>0</v>
      </c>
      <c r="BC247" s="1117">
        <f t="shared" si="695"/>
        <v>0</v>
      </c>
      <c r="BD247" s="1118">
        <f t="shared" si="645"/>
        <v>0</v>
      </c>
      <c r="BE247" s="1118">
        <f t="shared" si="646"/>
        <v>0</v>
      </c>
      <c r="BF247" s="1118">
        <f t="shared" si="647"/>
        <v>0</v>
      </c>
      <c r="BG247" s="1074"/>
      <c r="BJ247" s="1130">
        <f>VLOOKUP($A247,'New Resources - Individual'!$A$4:$Y$133,BJ$2,FALSE)*BJ$1</f>
        <v>0</v>
      </c>
      <c r="BK247" s="1117">
        <f t="shared" si="696"/>
        <v>0</v>
      </c>
      <c r="BL247" s="1118">
        <f t="shared" si="648"/>
        <v>0</v>
      </c>
      <c r="BM247" s="1118">
        <f t="shared" si="649"/>
        <v>0</v>
      </c>
      <c r="BN247" s="1118">
        <f t="shared" si="650"/>
        <v>0</v>
      </c>
      <c r="BO247" s="1074"/>
      <c r="BR247" s="1130">
        <f>VLOOKUP($A247,'New Resources - Individual'!$A$4:$Y$133,BR$2,FALSE)*BR$1</f>
        <v>0</v>
      </c>
      <c r="BS247" s="1117">
        <f t="shared" si="697"/>
        <v>0</v>
      </c>
      <c r="BT247" s="1118">
        <f t="shared" si="651"/>
        <v>0</v>
      </c>
      <c r="BU247" s="1118">
        <f t="shared" si="652"/>
        <v>0</v>
      </c>
      <c r="BV247" s="1118">
        <f t="shared" si="653"/>
        <v>0</v>
      </c>
      <c r="BW247" s="1074"/>
      <c r="BZ247" s="1130">
        <f>VLOOKUP($A247,'New Resources - Individual'!$A$4:$Y$133,BZ$2,FALSE)*BZ$1</f>
        <v>0</v>
      </c>
      <c r="CA247" s="1117">
        <f t="shared" si="698"/>
        <v>0</v>
      </c>
      <c r="CB247" s="1118">
        <f t="shared" si="654"/>
        <v>0</v>
      </c>
      <c r="CC247" s="1118">
        <f t="shared" si="655"/>
        <v>0</v>
      </c>
      <c r="CD247" s="1118">
        <f t="shared" si="656"/>
        <v>0</v>
      </c>
      <c r="CE247" s="1074"/>
      <c r="CH247" s="1130">
        <f>VLOOKUP($A247,'New Resources - Individual'!$A$4:$Y$133,CH$2,FALSE)*CH$1</f>
        <v>0</v>
      </c>
      <c r="CI247" s="1117">
        <f t="shared" si="699"/>
        <v>0</v>
      </c>
      <c r="CJ247" s="1118">
        <f t="shared" si="657"/>
        <v>0</v>
      </c>
      <c r="CK247" s="1118">
        <f t="shared" si="658"/>
        <v>0</v>
      </c>
      <c r="CL247" s="1118">
        <f t="shared" si="659"/>
        <v>0</v>
      </c>
      <c r="CM247" s="1074"/>
      <c r="CP247" s="1130">
        <f>VLOOKUP($A247,'New Resources - Individual'!$A$4:$Y$133,CP$2,FALSE)*CP$1</f>
        <v>0</v>
      </c>
      <c r="CQ247" s="1117">
        <f t="shared" si="700"/>
        <v>0</v>
      </c>
      <c r="CR247" s="1118">
        <f t="shared" si="660"/>
        <v>0</v>
      </c>
      <c r="CS247" s="1118">
        <f t="shared" si="661"/>
        <v>0</v>
      </c>
      <c r="CT247" s="1118">
        <f t="shared" si="662"/>
        <v>0</v>
      </c>
      <c r="CU247" s="1074"/>
      <c r="CX247" s="1130">
        <f>VLOOKUP($A247,'New Resources - Individual'!$A$4:$Y$133,CX$2,FALSE)*CX$1</f>
        <v>0</v>
      </c>
      <c r="CY247" s="1117">
        <f t="shared" si="701"/>
        <v>0</v>
      </c>
      <c r="CZ247" s="1118">
        <f t="shared" si="663"/>
        <v>0</v>
      </c>
      <c r="DA247" s="1118">
        <f t="shared" si="664"/>
        <v>0</v>
      </c>
      <c r="DB247" s="1118">
        <f t="shared" si="665"/>
        <v>0</v>
      </c>
      <c r="DC247" s="1074"/>
      <c r="DF247" s="1130">
        <f>VLOOKUP($A247,'New Resources - Individual'!$A$4:$Y$133,DF$2,FALSE)*DF$1</f>
        <v>0</v>
      </c>
      <c r="DG247" s="1117">
        <f t="shared" si="702"/>
        <v>0</v>
      </c>
      <c r="DH247" s="1118">
        <f t="shared" si="666"/>
        <v>0</v>
      </c>
      <c r="DI247" s="1118">
        <f t="shared" si="667"/>
        <v>0</v>
      </c>
      <c r="DJ247" s="1118">
        <f t="shared" si="668"/>
        <v>0</v>
      </c>
      <c r="DK247" s="1074"/>
      <c r="DN247" s="1130">
        <f>VLOOKUP($A247,'New Resources - Individual'!$A$4:$Y$133,DN$2,FALSE)*DN$1</f>
        <v>0</v>
      </c>
      <c r="DO247" s="1117">
        <f t="shared" si="703"/>
        <v>0</v>
      </c>
      <c r="DP247" s="1118">
        <f t="shared" si="669"/>
        <v>0</v>
      </c>
      <c r="DQ247" s="1118">
        <f t="shared" si="670"/>
        <v>0</v>
      </c>
      <c r="DR247" s="1118">
        <f t="shared" si="671"/>
        <v>0</v>
      </c>
      <c r="DS247" s="1074"/>
      <c r="DV247" s="1130">
        <f>VLOOKUP($A247,'New Resources - Individual'!$A$4:$Y$133,DV$2,FALSE)*DV$1</f>
        <v>0</v>
      </c>
      <c r="DW247" s="1117">
        <f t="shared" si="704"/>
        <v>0</v>
      </c>
      <c r="DX247" s="1118">
        <f t="shared" si="672"/>
        <v>0</v>
      </c>
      <c r="DY247" s="1118">
        <f t="shared" si="673"/>
        <v>0</v>
      </c>
      <c r="DZ247" s="1118">
        <f t="shared" si="674"/>
        <v>0</v>
      </c>
      <c r="EA247" s="1074"/>
      <c r="ED247" s="1130">
        <f>VLOOKUP($A247,'New Resources - Individual'!$A$4:$Y$133,ED$2,FALSE)*ED$1</f>
        <v>0</v>
      </c>
      <c r="EE247" s="1117">
        <f t="shared" si="705"/>
        <v>0</v>
      </c>
      <c r="EF247" s="1118">
        <f t="shared" si="675"/>
        <v>0</v>
      </c>
      <c r="EG247" s="1118">
        <f t="shared" si="676"/>
        <v>0</v>
      </c>
      <c r="EH247" s="1118">
        <f t="shared" si="677"/>
        <v>0</v>
      </c>
      <c r="EI247" s="1074"/>
      <c r="EL247" s="1130">
        <f>VLOOKUP($A247,'New Resources - Individual'!$A$4:$Y$133,EL$2,FALSE)*EL$1</f>
        <v>0</v>
      </c>
      <c r="EM247" s="1117">
        <f t="shared" si="706"/>
        <v>0</v>
      </c>
      <c r="EN247" s="1118">
        <f t="shared" si="678"/>
        <v>0</v>
      </c>
      <c r="EO247" s="1118">
        <f t="shared" si="679"/>
        <v>0</v>
      </c>
      <c r="EP247" s="1118">
        <f t="shared" si="680"/>
        <v>0</v>
      </c>
      <c r="EQ247" s="1074"/>
      <c r="ET247" s="1130">
        <f>VLOOKUP($A247,'New Resources - Individual'!$A$4:$Y$133,ET$2,FALSE)*ET$1</f>
        <v>0</v>
      </c>
      <c r="EU247" s="1117">
        <f t="shared" si="707"/>
        <v>0</v>
      </c>
      <c r="EV247" s="1118">
        <f t="shared" si="681"/>
        <v>0</v>
      </c>
      <c r="EW247" s="1118">
        <f t="shared" si="682"/>
        <v>0</v>
      </c>
      <c r="EX247" s="1118">
        <f t="shared" si="683"/>
        <v>0</v>
      </c>
      <c r="EY247" s="1074"/>
      <c r="FB247" s="1130">
        <f>VLOOKUP($A247,'New Resources - Individual'!$A$4:$Y$133,FB$2,FALSE)*FB$1</f>
        <v>0</v>
      </c>
      <c r="FC247" s="1117">
        <f t="shared" si="708"/>
        <v>0</v>
      </c>
      <c r="FD247" s="1118">
        <f t="shared" si="684"/>
        <v>0</v>
      </c>
      <c r="FE247" s="1118">
        <f t="shared" si="685"/>
        <v>0</v>
      </c>
      <c r="FF247" s="1118">
        <f t="shared" si="686"/>
        <v>0</v>
      </c>
      <c r="FG247" s="1074"/>
      <c r="FJ247" s="1130">
        <f>VLOOKUP($A247,'New Resources - Individual'!$A$4:$Y$133,FJ$2,FALSE)*FJ$1</f>
        <v>0</v>
      </c>
      <c r="FK247" s="1117">
        <f t="shared" si="709"/>
        <v>0</v>
      </c>
      <c r="FL247" s="1118">
        <f t="shared" si="687"/>
        <v>0</v>
      </c>
      <c r="FM247" s="1118">
        <f t="shared" si="688"/>
        <v>0</v>
      </c>
      <c r="FN247" s="1118">
        <f t="shared" si="689"/>
        <v>0</v>
      </c>
      <c r="FO247" s="1074"/>
    </row>
    <row r="248" spans="1:171" x14ac:dyDescent="0.25">
      <c r="A248" s="1390">
        <v>600</v>
      </c>
      <c r="B248" s="914" t="s">
        <v>137</v>
      </c>
      <c r="C248" s="889">
        <v>336</v>
      </c>
      <c r="D248" s="889">
        <v>403</v>
      </c>
      <c r="E248" s="182" t="str">
        <f>'Sch 3 - Expenses'!E88</f>
        <v>PROD</v>
      </c>
      <c r="F248" s="890"/>
      <c r="G248" s="182">
        <f>'Sch 3 - Expenses'!G88</f>
        <v>86888185.679734245</v>
      </c>
      <c r="H248" s="182">
        <f>'Sch 3 - Expenses'!H88</f>
        <v>86888185.679734245</v>
      </c>
      <c r="I248" s="182">
        <f>'Sch 3 - Expenses'!I88</f>
        <v>0</v>
      </c>
      <c r="J248" s="183">
        <f>'Sch 3 - Expenses'!J88</f>
        <v>0</v>
      </c>
      <c r="K248" s="904">
        <f t="shared" si="629"/>
        <v>1</v>
      </c>
      <c r="N248" s="1130">
        <f>VLOOKUP($A248,'New Resources - Individual'!$A$4:$Y$133,N$2,FALSE)*N$1</f>
        <v>0</v>
      </c>
      <c r="O248" s="1117">
        <f t="shared" si="690"/>
        <v>86888185.679734245</v>
      </c>
      <c r="P248" s="1118">
        <f t="shared" si="630"/>
        <v>86888185.679734245</v>
      </c>
      <c r="Q248" s="1118">
        <f t="shared" si="631"/>
        <v>0</v>
      </c>
      <c r="R248" s="1118">
        <f t="shared" si="632"/>
        <v>0</v>
      </c>
      <c r="S248" s="1074"/>
      <c r="V248" s="1130">
        <f>VLOOKUP($A248,'New Resources - Individual'!$A$4:$Y$133,V$2,FALSE)*V$1</f>
        <v>0</v>
      </c>
      <c r="W248" s="1117">
        <f t="shared" si="691"/>
        <v>86888185.679734245</v>
      </c>
      <c r="X248" s="1118">
        <f t="shared" si="633"/>
        <v>86888185.679734245</v>
      </c>
      <c r="Y248" s="1118">
        <f t="shared" si="634"/>
        <v>0</v>
      </c>
      <c r="Z248" s="1118">
        <f t="shared" si="635"/>
        <v>0</v>
      </c>
      <c r="AA248" s="1074"/>
      <c r="AD248" s="1130">
        <f>VLOOKUP($A248,'New Resources - Individual'!$A$4:$Y$133,AD$2,FALSE)*AD$1</f>
        <v>0</v>
      </c>
      <c r="AE248" s="1117">
        <f t="shared" si="692"/>
        <v>86888185.679734245</v>
      </c>
      <c r="AF248" s="1118">
        <f t="shared" si="636"/>
        <v>86888185.679734245</v>
      </c>
      <c r="AG248" s="1118">
        <f t="shared" si="637"/>
        <v>0</v>
      </c>
      <c r="AH248" s="1118">
        <f t="shared" si="638"/>
        <v>0</v>
      </c>
      <c r="AI248" s="1074"/>
      <c r="AL248" s="1130">
        <f>VLOOKUP($A248,'New Resources - Individual'!$A$4:$Y$133,AL$2,FALSE)*AL$1</f>
        <v>0</v>
      </c>
      <c r="AM248" s="1117">
        <f t="shared" si="693"/>
        <v>86888185.679734245</v>
      </c>
      <c r="AN248" s="1118">
        <f t="shared" si="639"/>
        <v>86888185.679734245</v>
      </c>
      <c r="AO248" s="1118">
        <f t="shared" si="640"/>
        <v>0</v>
      </c>
      <c r="AP248" s="1118">
        <f t="shared" si="641"/>
        <v>0</v>
      </c>
      <c r="AQ248" s="1074"/>
      <c r="AT248" s="1130">
        <f>VLOOKUP($A248,'New Resources - Individual'!$A$4:$Y$133,AT$2,FALSE)*AT$1</f>
        <v>0</v>
      </c>
      <c r="AU248" s="1117">
        <f t="shared" si="694"/>
        <v>86888185.679734245</v>
      </c>
      <c r="AV248" s="1118">
        <f t="shared" si="642"/>
        <v>86888185.679734245</v>
      </c>
      <c r="AW248" s="1118">
        <f t="shared" si="643"/>
        <v>0</v>
      </c>
      <c r="AX248" s="1118">
        <f t="shared" si="644"/>
        <v>0</v>
      </c>
      <c r="AY248" s="1074"/>
      <c r="BB248" s="1130">
        <f>VLOOKUP($A248,'New Resources - Individual'!$A$4:$Y$133,BB$2,FALSE)*BB$1</f>
        <v>0</v>
      </c>
      <c r="BC248" s="1117">
        <f t="shared" si="695"/>
        <v>86888185.679734245</v>
      </c>
      <c r="BD248" s="1118">
        <f t="shared" si="645"/>
        <v>86888185.679734245</v>
      </c>
      <c r="BE248" s="1118">
        <f t="shared" si="646"/>
        <v>0</v>
      </c>
      <c r="BF248" s="1118">
        <f t="shared" si="647"/>
        <v>0</v>
      </c>
      <c r="BG248" s="1074"/>
      <c r="BJ248" s="1130">
        <f>VLOOKUP($A248,'New Resources - Individual'!$A$4:$Y$133,BJ$2,FALSE)*BJ$1</f>
        <v>0</v>
      </c>
      <c r="BK248" s="1117">
        <f t="shared" si="696"/>
        <v>86888185.679734245</v>
      </c>
      <c r="BL248" s="1118">
        <f t="shared" si="648"/>
        <v>86888185.679734245</v>
      </c>
      <c r="BM248" s="1118">
        <f t="shared" si="649"/>
        <v>0</v>
      </c>
      <c r="BN248" s="1118">
        <f t="shared" si="650"/>
        <v>0</v>
      </c>
      <c r="BO248" s="1074"/>
      <c r="BR248" s="1130">
        <f>VLOOKUP($A248,'New Resources - Individual'!$A$4:$Y$133,BR$2,FALSE)*BR$1</f>
        <v>0</v>
      </c>
      <c r="BS248" s="1117">
        <f t="shared" si="697"/>
        <v>86888185.679734245</v>
      </c>
      <c r="BT248" s="1118">
        <f t="shared" si="651"/>
        <v>86888185.679734245</v>
      </c>
      <c r="BU248" s="1118">
        <f t="shared" si="652"/>
        <v>0</v>
      </c>
      <c r="BV248" s="1118">
        <f t="shared" si="653"/>
        <v>0</v>
      </c>
      <c r="BW248" s="1074"/>
      <c r="BZ248" s="1130">
        <f>VLOOKUP($A248,'New Resources - Individual'!$A$4:$Y$133,BZ$2,FALSE)*BZ$1</f>
        <v>0</v>
      </c>
      <c r="CA248" s="1117">
        <f t="shared" si="698"/>
        <v>86888185.679734245</v>
      </c>
      <c r="CB248" s="1118">
        <f t="shared" si="654"/>
        <v>86888185.679734245</v>
      </c>
      <c r="CC248" s="1118">
        <f t="shared" si="655"/>
        <v>0</v>
      </c>
      <c r="CD248" s="1118">
        <f t="shared" si="656"/>
        <v>0</v>
      </c>
      <c r="CE248" s="1074"/>
      <c r="CH248" s="1130">
        <f>VLOOKUP($A248,'New Resources - Individual'!$A$4:$Y$133,CH$2,FALSE)*CH$1</f>
        <v>0</v>
      </c>
      <c r="CI248" s="1117">
        <f t="shared" si="699"/>
        <v>86888185.679734245</v>
      </c>
      <c r="CJ248" s="1118">
        <f t="shared" si="657"/>
        <v>86888185.679734245</v>
      </c>
      <c r="CK248" s="1118">
        <f t="shared" si="658"/>
        <v>0</v>
      </c>
      <c r="CL248" s="1118">
        <f t="shared" si="659"/>
        <v>0</v>
      </c>
      <c r="CM248" s="1074"/>
      <c r="CP248" s="1130">
        <f>VLOOKUP($A248,'New Resources - Individual'!$A$4:$Y$133,CP$2,FALSE)*CP$1</f>
        <v>0</v>
      </c>
      <c r="CQ248" s="1117">
        <f t="shared" si="700"/>
        <v>86888185.679734245</v>
      </c>
      <c r="CR248" s="1118">
        <f t="shared" si="660"/>
        <v>86888185.679734245</v>
      </c>
      <c r="CS248" s="1118">
        <f t="shared" si="661"/>
        <v>0</v>
      </c>
      <c r="CT248" s="1118">
        <f t="shared" si="662"/>
        <v>0</v>
      </c>
      <c r="CU248" s="1074"/>
      <c r="CX248" s="1130">
        <f>VLOOKUP($A248,'New Resources - Individual'!$A$4:$Y$133,CX$2,FALSE)*CX$1</f>
        <v>0</v>
      </c>
      <c r="CY248" s="1117">
        <f t="shared" si="701"/>
        <v>86888185.679734245</v>
      </c>
      <c r="CZ248" s="1118">
        <f t="shared" si="663"/>
        <v>86888185.679734245</v>
      </c>
      <c r="DA248" s="1118">
        <f t="shared" si="664"/>
        <v>0</v>
      </c>
      <c r="DB248" s="1118">
        <f t="shared" si="665"/>
        <v>0</v>
      </c>
      <c r="DC248" s="1074"/>
      <c r="DF248" s="1130">
        <f>VLOOKUP($A248,'New Resources - Individual'!$A$4:$Y$133,DF$2,FALSE)*DF$1</f>
        <v>0</v>
      </c>
      <c r="DG248" s="1117">
        <f t="shared" si="702"/>
        <v>86888185.679734245</v>
      </c>
      <c r="DH248" s="1118">
        <f t="shared" si="666"/>
        <v>86888185.679734245</v>
      </c>
      <c r="DI248" s="1118">
        <f t="shared" si="667"/>
        <v>0</v>
      </c>
      <c r="DJ248" s="1118">
        <f t="shared" si="668"/>
        <v>0</v>
      </c>
      <c r="DK248" s="1074"/>
      <c r="DN248" s="1130">
        <f>VLOOKUP($A248,'New Resources - Individual'!$A$4:$Y$133,DN$2,FALSE)*DN$1</f>
        <v>0</v>
      </c>
      <c r="DO248" s="1117">
        <f t="shared" si="703"/>
        <v>86888185.679734245</v>
      </c>
      <c r="DP248" s="1118">
        <f t="shared" si="669"/>
        <v>86888185.679734245</v>
      </c>
      <c r="DQ248" s="1118">
        <f t="shared" si="670"/>
        <v>0</v>
      </c>
      <c r="DR248" s="1118">
        <f t="shared" si="671"/>
        <v>0</v>
      </c>
      <c r="DS248" s="1074"/>
      <c r="DV248" s="1130">
        <f>VLOOKUP($A248,'New Resources - Individual'!$A$4:$Y$133,DV$2,FALSE)*DV$1</f>
        <v>0</v>
      </c>
      <c r="DW248" s="1117">
        <f t="shared" si="704"/>
        <v>86888185.679734245</v>
      </c>
      <c r="DX248" s="1118">
        <f t="shared" si="672"/>
        <v>86888185.679734245</v>
      </c>
      <c r="DY248" s="1118">
        <f t="shared" si="673"/>
        <v>0</v>
      </c>
      <c r="DZ248" s="1118">
        <f t="shared" si="674"/>
        <v>0</v>
      </c>
      <c r="EA248" s="1074"/>
      <c r="ED248" s="1130">
        <f>VLOOKUP($A248,'New Resources - Individual'!$A$4:$Y$133,ED$2,FALSE)*ED$1</f>
        <v>0</v>
      </c>
      <c r="EE248" s="1117">
        <f t="shared" si="705"/>
        <v>86888185.679734245</v>
      </c>
      <c r="EF248" s="1118">
        <f t="shared" si="675"/>
        <v>86888185.679734245</v>
      </c>
      <c r="EG248" s="1118">
        <f t="shared" si="676"/>
        <v>0</v>
      </c>
      <c r="EH248" s="1118">
        <f t="shared" si="677"/>
        <v>0</v>
      </c>
      <c r="EI248" s="1074"/>
      <c r="EL248" s="1130">
        <f>VLOOKUP($A248,'New Resources - Individual'!$A$4:$Y$133,EL$2,FALSE)*EL$1</f>
        <v>0</v>
      </c>
      <c r="EM248" s="1117">
        <f t="shared" si="706"/>
        <v>86888185.679734245</v>
      </c>
      <c r="EN248" s="1118">
        <f t="shared" si="678"/>
        <v>86888185.679734245</v>
      </c>
      <c r="EO248" s="1118">
        <f t="shared" si="679"/>
        <v>0</v>
      </c>
      <c r="EP248" s="1118">
        <f t="shared" si="680"/>
        <v>0</v>
      </c>
      <c r="EQ248" s="1074"/>
      <c r="ET248" s="1130">
        <f>VLOOKUP($A248,'New Resources - Individual'!$A$4:$Y$133,ET$2,FALSE)*ET$1</f>
        <v>0</v>
      </c>
      <c r="EU248" s="1117">
        <f t="shared" si="707"/>
        <v>86888185.679734245</v>
      </c>
      <c r="EV248" s="1118">
        <f t="shared" si="681"/>
        <v>86888185.679734245</v>
      </c>
      <c r="EW248" s="1118">
        <f t="shared" si="682"/>
        <v>0</v>
      </c>
      <c r="EX248" s="1118">
        <f t="shared" si="683"/>
        <v>0</v>
      </c>
      <c r="EY248" s="1074"/>
      <c r="FB248" s="1130">
        <f>VLOOKUP($A248,'New Resources - Individual'!$A$4:$Y$133,FB$2,FALSE)*FB$1</f>
        <v>0</v>
      </c>
      <c r="FC248" s="1117">
        <f t="shared" si="708"/>
        <v>86888185.679734245</v>
      </c>
      <c r="FD248" s="1118">
        <f t="shared" si="684"/>
        <v>86888185.679734245</v>
      </c>
      <c r="FE248" s="1118">
        <f t="shared" si="685"/>
        <v>0</v>
      </c>
      <c r="FF248" s="1118">
        <f t="shared" si="686"/>
        <v>0</v>
      </c>
      <c r="FG248" s="1074"/>
      <c r="FJ248" s="1130">
        <f>VLOOKUP($A248,'New Resources - Individual'!$A$4:$Y$133,FJ$2,FALSE)*FJ$1</f>
        <v>0</v>
      </c>
      <c r="FK248" s="1117">
        <f t="shared" si="709"/>
        <v>86888185.679734245</v>
      </c>
      <c r="FL248" s="1118">
        <f t="shared" si="687"/>
        <v>86888185.679734245</v>
      </c>
      <c r="FM248" s="1118">
        <f t="shared" si="688"/>
        <v>0</v>
      </c>
      <c r="FN248" s="1118">
        <f t="shared" si="689"/>
        <v>0</v>
      </c>
      <c r="FO248" s="1074"/>
    </row>
    <row r="249" spans="1:171" x14ac:dyDescent="0.25">
      <c r="A249" s="1390">
        <v>924</v>
      </c>
      <c r="B249" s="914" t="s">
        <v>143</v>
      </c>
      <c r="C249" s="889">
        <v>336</v>
      </c>
      <c r="D249" s="889">
        <v>403</v>
      </c>
      <c r="E249" s="182" t="str">
        <f>'Sch 3 - Expenses'!E89</f>
        <v>TRANS</v>
      </c>
      <c r="F249" s="890"/>
      <c r="G249" s="182">
        <f>'Sch 3 - Expenses'!G89</f>
        <v>54962239.888260253</v>
      </c>
      <c r="H249" s="182">
        <f>'Sch 3 - Expenses'!H89</f>
        <v>0</v>
      </c>
      <c r="I249" s="182">
        <f>'Sch 3 - Expenses'!I89</f>
        <v>0</v>
      </c>
      <c r="J249" s="183">
        <f>'Sch 3 - Expenses'!J89</f>
        <v>54962239.888260253</v>
      </c>
      <c r="K249" s="904">
        <f t="shared" si="629"/>
        <v>1</v>
      </c>
      <c r="N249" s="1130">
        <f>VLOOKUP($A249,'New Resources - Individual'!$A$4:$Y$133,N$2,FALSE)*N$1</f>
        <v>0</v>
      </c>
      <c r="O249" s="1117">
        <f t="shared" si="690"/>
        <v>54962239.888260253</v>
      </c>
      <c r="P249" s="1118">
        <f t="shared" si="630"/>
        <v>0</v>
      </c>
      <c r="Q249" s="1118">
        <f t="shared" si="631"/>
        <v>54962239.888260253</v>
      </c>
      <c r="R249" s="1118">
        <f t="shared" si="632"/>
        <v>0</v>
      </c>
      <c r="S249" s="1074"/>
      <c r="V249" s="1130">
        <f>VLOOKUP($A249,'New Resources - Individual'!$A$4:$Y$133,V$2,FALSE)*V$1</f>
        <v>0</v>
      </c>
      <c r="W249" s="1117">
        <f t="shared" si="691"/>
        <v>54962239.888260253</v>
      </c>
      <c r="X249" s="1118">
        <f t="shared" si="633"/>
        <v>0</v>
      </c>
      <c r="Y249" s="1118">
        <f t="shared" si="634"/>
        <v>54962239.888260253</v>
      </c>
      <c r="Z249" s="1118">
        <f t="shared" si="635"/>
        <v>0</v>
      </c>
      <c r="AA249" s="1074"/>
      <c r="AD249" s="1130">
        <f>VLOOKUP($A249,'New Resources - Individual'!$A$4:$Y$133,AD$2,FALSE)*AD$1</f>
        <v>0</v>
      </c>
      <c r="AE249" s="1117">
        <f t="shared" si="692"/>
        <v>54962239.888260253</v>
      </c>
      <c r="AF249" s="1118">
        <f t="shared" si="636"/>
        <v>0</v>
      </c>
      <c r="AG249" s="1118">
        <f t="shared" si="637"/>
        <v>54962239.888260253</v>
      </c>
      <c r="AH249" s="1118">
        <f t="shared" si="638"/>
        <v>0</v>
      </c>
      <c r="AI249" s="1074"/>
      <c r="AL249" s="1130">
        <f>VLOOKUP($A249,'New Resources - Individual'!$A$4:$Y$133,AL$2,FALSE)*AL$1</f>
        <v>0</v>
      </c>
      <c r="AM249" s="1117">
        <f t="shared" si="693"/>
        <v>54962239.888260253</v>
      </c>
      <c r="AN249" s="1118">
        <f t="shared" si="639"/>
        <v>0</v>
      </c>
      <c r="AO249" s="1118">
        <f t="shared" si="640"/>
        <v>54962239.888260253</v>
      </c>
      <c r="AP249" s="1118">
        <f t="shared" si="641"/>
        <v>0</v>
      </c>
      <c r="AQ249" s="1074"/>
      <c r="AT249" s="1130">
        <f>VLOOKUP($A249,'New Resources - Individual'!$A$4:$Y$133,AT$2,FALSE)*AT$1</f>
        <v>0</v>
      </c>
      <c r="AU249" s="1117">
        <f t="shared" si="694"/>
        <v>54962239.888260253</v>
      </c>
      <c r="AV249" s="1118">
        <f t="shared" si="642"/>
        <v>0</v>
      </c>
      <c r="AW249" s="1118">
        <f t="shared" si="643"/>
        <v>54962239.888260253</v>
      </c>
      <c r="AX249" s="1118">
        <f t="shared" si="644"/>
        <v>0</v>
      </c>
      <c r="AY249" s="1074"/>
      <c r="BB249" s="1130">
        <f>VLOOKUP($A249,'New Resources - Individual'!$A$4:$Y$133,BB$2,FALSE)*BB$1</f>
        <v>0</v>
      </c>
      <c r="BC249" s="1117">
        <f t="shared" si="695"/>
        <v>54962239.888260253</v>
      </c>
      <c r="BD249" s="1118">
        <f t="shared" si="645"/>
        <v>0</v>
      </c>
      <c r="BE249" s="1118">
        <f t="shared" si="646"/>
        <v>54962239.888260253</v>
      </c>
      <c r="BF249" s="1118">
        <f t="shared" si="647"/>
        <v>0</v>
      </c>
      <c r="BG249" s="1074"/>
      <c r="BJ249" s="1130">
        <f>VLOOKUP($A249,'New Resources - Individual'!$A$4:$Y$133,BJ$2,FALSE)*BJ$1</f>
        <v>0</v>
      </c>
      <c r="BK249" s="1117">
        <f t="shared" si="696"/>
        <v>54962239.888260253</v>
      </c>
      <c r="BL249" s="1118">
        <f t="shared" si="648"/>
        <v>0</v>
      </c>
      <c r="BM249" s="1118">
        <f t="shared" si="649"/>
        <v>54962239.888260253</v>
      </c>
      <c r="BN249" s="1118">
        <f t="shared" si="650"/>
        <v>0</v>
      </c>
      <c r="BO249" s="1074"/>
      <c r="BR249" s="1130">
        <f>VLOOKUP($A249,'New Resources - Individual'!$A$4:$Y$133,BR$2,FALSE)*BR$1</f>
        <v>0</v>
      </c>
      <c r="BS249" s="1117">
        <f t="shared" si="697"/>
        <v>54962239.888260253</v>
      </c>
      <c r="BT249" s="1118">
        <f t="shared" si="651"/>
        <v>0</v>
      </c>
      <c r="BU249" s="1118">
        <f t="shared" si="652"/>
        <v>54962239.888260253</v>
      </c>
      <c r="BV249" s="1118">
        <f t="shared" si="653"/>
        <v>0</v>
      </c>
      <c r="BW249" s="1074"/>
      <c r="BZ249" s="1130">
        <f>VLOOKUP($A249,'New Resources - Individual'!$A$4:$Y$133,BZ$2,FALSE)*BZ$1</f>
        <v>0</v>
      </c>
      <c r="CA249" s="1117">
        <f t="shared" si="698"/>
        <v>54962239.888260253</v>
      </c>
      <c r="CB249" s="1118">
        <f t="shared" si="654"/>
        <v>0</v>
      </c>
      <c r="CC249" s="1118">
        <f t="shared" si="655"/>
        <v>54962239.888260253</v>
      </c>
      <c r="CD249" s="1118">
        <f t="shared" si="656"/>
        <v>0</v>
      </c>
      <c r="CE249" s="1074"/>
      <c r="CH249" s="1130">
        <f>VLOOKUP($A249,'New Resources - Individual'!$A$4:$Y$133,CH$2,FALSE)*CH$1</f>
        <v>0</v>
      </c>
      <c r="CI249" s="1117">
        <f t="shared" si="699"/>
        <v>54962239.888260253</v>
      </c>
      <c r="CJ249" s="1118">
        <f t="shared" si="657"/>
        <v>0</v>
      </c>
      <c r="CK249" s="1118">
        <f t="shared" si="658"/>
        <v>54962239.888260253</v>
      </c>
      <c r="CL249" s="1118">
        <f t="shared" si="659"/>
        <v>0</v>
      </c>
      <c r="CM249" s="1074"/>
      <c r="CP249" s="1130">
        <f>VLOOKUP($A249,'New Resources - Individual'!$A$4:$Y$133,CP$2,FALSE)*CP$1</f>
        <v>0</v>
      </c>
      <c r="CQ249" s="1117">
        <f t="shared" si="700"/>
        <v>54962239.888260253</v>
      </c>
      <c r="CR249" s="1118">
        <f t="shared" si="660"/>
        <v>0</v>
      </c>
      <c r="CS249" s="1118">
        <f t="shared" si="661"/>
        <v>54962239.888260253</v>
      </c>
      <c r="CT249" s="1118">
        <f t="shared" si="662"/>
        <v>0</v>
      </c>
      <c r="CU249" s="1074"/>
      <c r="CX249" s="1130">
        <f>VLOOKUP($A249,'New Resources - Individual'!$A$4:$Y$133,CX$2,FALSE)*CX$1</f>
        <v>0</v>
      </c>
      <c r="CY249" s="1117">
        <f t="shared" si="701"/>
        <v>54962239.888260253</v>
      </c>
      <c r="CZ249" s="1118">
        <f t="shared" si="663"/>
        <v>0</v>
      </c>
      <c r="DA249" s="1118">
        <f t="shared" si="664"/>
        <v>54962239.888260253</v>
      </c>
      <c r="DB249" s="1118">
        <f t="shared" si="665"/>
        <v>0</v>
      </c>
      <c r="DC249" s="1074"/>
      <c r="DF249" s="1130">
        <f>VLOOKUP($A249,'New Resources - Individual'!$A$4:$Y$133,DF$2,FALSE)*DF$1</f>
        <v>0</v>
      </c>
      <c r="DG249" s="1117">
        <f t="shared" si="702"/>
        <v>54962239.888260253</v>
      </c>
      <c r="DH249" s="1118">
        <f t="shared" si="666"/>
        <v>0</v>
      </c>
      <c r="DI249" s="1118">
        <f t="shared" si="667"/>
        <v>54962239.888260253</v>
      </c>
      <c r="DJ249" s="1118">
        <f t="shared" si="668"/>
        <v>0</v>
      </c>
      <c r="DK249" s="1074"/>
      <c r="DN249" s="1130">
        <f>VLOOKUP($A249,'New Resources - Individual'!$A$4:$Y$133,DN$2,FALSE)*DN$1</f>
        <v>0</v>
      </c>
      <c r="DO249" s="1117">
        <f t="shared" si="703"/>
        <v>54962239.888260253</v>
      </c>
      <c r="DP249" s="1118">
        <f t="shared" si="669"/>
        <v>0</v>
      </c>
      <c r="DQ249" s="1118">
        <f t="shared" si="670"/>
        <v>54962239.888260253</v>
      </c>
      <c r="DR249" s="1118">
        <f t="shared" si="671"/>
        <v>0</v>
      </c>
      <c r="DS249" s="1074"/>
      <c r="DV249" s="1130">
        <f>VLOOKUP($A249,'New Resources - Individual'!$A$4:$Y$133,DV$2,FALSE)*DV$1</f>
        <v>0</v>
      </c>
      <c r="DW249" s="1117">
        <f t="shared" si="704"/>
        <v>54962239.888260253</v>
      </c>
      <c r="DX249" s="1118">
        <f t="shared" si="672"/>
        <v>0</v>
      </c>
      <c r="DY249" s="1118">
        <f t="shared" si="673"/>
        <v>54962239.888260253</v>
      </c>
      <c r="DZ249" s="1118">
        <f t="shared" si="674"/>
        <v>0</v>
      </c>
      <c r="EA249" s="1074"/>
      <c r="ED249" s="1130">
        <f>VLOOKUP($A249,'New Resources - Individual'!$A$4:$Y$133,ED$2,FALSE)*ED$1</f>
        <v>0</v>
      </c>
      <c r="EE249" s="1117">
        <f t="shared" si="705"/>
        <v>54962239.888260253</v>
      </c>
      <c r="EF249" s="1118">
        <f t="shared" si="675"/>
        <v>0</v>
      </c>
      <c r="EG249" s="1118">
        <f t="shared" si="676"/>
        <v>54962239.888260253</v>
      </c>
      <c r="EH249" s="1118">
        <f t="shared" si="677"/>
        <v>0</v>
      </c>
      <c r="EI249" s="1074"/>
      <c r="EL249" s="1130">
        <f>VLOOKUP($A249,'New Resources - Individual'!$A$4:$Y$133,EL$2,FALSE)*EL$1</f>
        <v>0</v>
      </c>
      <c r="EM249" s="1117">
        <f t="shared" si="706"/>
        <v>54962239.888260253</v>
      </c>
      <c r="EN249" s="1118">
        <f t="shared" si="678"/>
        <v>0</v>
      </c>
      <c r="EO249" s="1118">
        <f t="shared" si="679"/>
        <v>54962239.888260253</v>
      </c>
      <c r="EP249" s="1118">
        <f t="shared" si="680"/>
        <v>0</v>
      </c>
      <c r="EQ249" s="1074"/>
      <c r="ET249" s="1130">
        <f>VLOOKUP($A249,'New Resources - Individual'!$A$4:$Y$133,ET$2,FALSE)*ET$1</f>
        <v>0</v>
      </c>
      <c r="EU249" s="1117">
        <f t="shared" si="707"/>
        <v>54962239.888260253</v>
      </c>
      <c r="EV249" s="1118">
        <f t="shared" si="681"/>
        <v>0</v>
      </c>
      <c r="EW249" s="1118">
        <f t="shared" si="682"/>
        <v>54962239.888260253</v>
      </c>
      <c r="EX249" s="1118">
        <f t="shared" si="683"/>
        <v>0</v>
      </c>
      <c r="EY249" s="1074"/>
      <c r="FB249" s="1130">
        <f>VLOOKUP($A249,'New Resources - Individual'!$A$4:$Y$133,FB$2,FALSE)*FB$1</f>
        <v>0</v>
      </c>
      <c r="FC249" s="1117">
        <f t="shared" si="708"/>
        <v>54962239.888260253</v>
      </c>
      <c r="FD249" s="1118">
        <f t="shared" si="684"/>
        <v>0</v>
      </c>
      <c r="FE249" s="1118">
        <f t="shared" si="685"/>
        <v>54962239.888260253</v>
      </c>
      <c r="FF249" s="1118">
        <f t="shared" si="686"/>
        <v>0</v>
      </c>
      <c r="FG249" s="1074"/>
      <c r="FJ249" s="1130">
        <f>VLOOKUP($A249,'New Resources - Individual'!$A$4:$Y$133,FJ$2,FALSE)*FJ$1</f>
        <v>0</v>
      </c>
      <c r="FK249" s="1117">
        <f t="shared" si="709"/>
        <v>54962239.888260253</v>
      </c>
      <c r="FL249" s="1118">
        <f t="shared" si="687"/>
        <v>0</v>
      </c>
      <c r="FM249" s="1118">
        <f t="shared" si="688"/>
        <v>54962239.888260253</v>
      </c>
      <c r="FN249" s="1118">
        <f t="shared" si="689"/>
        <v>0</v>
      </c>
      <c r="FO249" s="1074"/>
    </row>
    <row r="250" spans="1:171" x14ac:dyDescent="0.25">
      <c r="A250" s="945"/>
      <c r="B250" s="914" t="s">
        <v>470</v>
      </c>
      <c r="C250" s="889">
        <v>336</v>
      </c>
      <c r="D250" s="889">
        <v>403</v>
      </c>
      <c r="E250" s="182" t="str">
        <f>'Sch 3 - Expenses'!E90</f>
        <v>DIST</v>
      </c>
      <c r="F250" s="890"/>
      <c r="G250" s="182">
        <f>'Sch 3 - Expenses'!G90</f>
        <v>85882444.570000008</v>
      </c>
      <c r="H250" s="182">
        <f>'Sch 3 - Expenses'!H90</f>
        <v>0</v>
      </c>
      <c r="I250" s="182">
        <f>'Sch 3 - Expenses'!I90</f>
        <v>0</v>
      </c>
      <c r="J250" s="183">
        <f>'Sch 3 - Expenses'!J90</f>
        <v>85882444.570000008</v>
      </c>
      <c r="K250" s="904">
        <f t="shared" si="629"/>
        <v>1</v>
      </c>
      <c r="O250" s="1117">
        <f t="shared" ref="O250:O256" si="710">$G250</f>
        <v>85882444.570000008</v>
      </c>
      <c r="P250" s="1118">
        <f t="shared" si="630"/>
        <v>0</v>
      </c>
      <c r="Q250" s="1118">
        <f t="shared" si="631"/>
        <v>0</v>
      </c>
      <c r="R250" s="1118">
        <f t="shared" si="632"/>
        <v>85882444.570000008</v>
      </c>
      <c r="S250" s="1074"/>
      <c r="W250" s="1117">
        <f t="shared" ref="W250:W256" si="711">$G250</f>
        <v>85882444.570000008</v>
      </c>
      <c r="X250" s="1118">
        <f t="shared" si="633"/>
        <v>0</v>
      </c>
      <c r="Y250" s="1118">
        <f t="shared" si="634"/>
        <v>0</v>
      </c>
      <c r="Z250" s="1118">
        <f t="shared" si="635"/>
        <v>85882444.570000008</v>
      </c>
      <c r="AA250" s="1074"/>
      <c r="AE250" s="1117">
        <f t="shared" ref="AE250:AE256" si="712">$G250</f>
        <v>85882444.570000008</v>
      </c>
      <c r="AF250" s="1118">
        <f t="shared" si="636"/>
        <v>0</v>
      </c>
      <c r="AG250" s="1118">
        <f t="shared" si="637"/>
        <v>0</v>
      </c>
      <c r="AH250" s="1118">
        <f t="shared" si="638"/>
        <v>85882444.570000008</v>
      </c>
      <c r="AI250" s="1074"/>
      <c r="AM250" s="1117">
        <f t="shared" ref="AM250:AM256" si="713">$G250</f>
        <v>85882444.570000008</v>
      </c>
      <c r="AN250" s="1118">
        <f t="shared" si="639"/>
        <v>0</v>
      </c>
      <c r="AO250" s="1118">
        <f t="shared" si="640"/>
        <v>0</v>
      </c>
      <c r="AP250" s="1118">
        <f t="shared" si="641"/>
        <v>85882444.570000008</v>
      </c>
      <c r="AQ250" s="1074"/>
      <c r="AU250" s="1117">
        <f t="shared" ref="AU250:AU256" si="714">$G250</f>
        <v>85882444.570000008</v>
      </c>
      <c r="AV250" s="1118">
        <f t="shared" si="642"/>
        <v>0</v>
      </c>
      <c r="AW250" s="1118">
        <f t="shared" si="643"/>
        <v>0</v>
      </c>
      <c r="AX250" s="1118">
        <f t="shared" si="644"/>
        <v>85882444.570000008</v>
      </c>
      <c r="AY250" s="1074"/>
      <c r="BC250" s="1117">
        <f t="shared" ref="BC250:BC256" si="715">$G250</f>
        <v>85882444.570000008</v>
      </c>
      <c r="BD250" s="1118">
        <f t="shared" si="645"/>
        <v>0</v>
      </c>
      <c r="BE250" s="1118">
        <f t="shared" si="646"/>
        <v>0</v>
      </c>
      <c r="BF250" s="1118">
        <f t="shared" si="647"/>
        <v>85882444.570000008</v>
      </c>
      <c r="BG250" s="1074"/>
      <c r="BK250" s="1117">
        <f t="shared" ref="BK250:BK256" si="716">$G250</f>
        <v>85882444.570000008</v>
      </c>
      <c r="BL250" s="1118">
        <f t="shared" si="648"/>
        <v>0</v>
      </c>
      <c r="BM250" s="1118">
        <f t="shared" si="649"/>
        <v>0</v>
      </c>
      <c r="BN250" s="1118">
        <f t="shared" si="650"/>
        <v>85882444.570000008</v>
      </c>
      <c r="BO250" s="1074"/>
      <c r="BS250" s="1117">
        <f t="shared" ref="BS250:BS256" si="717">$G250</f>
        <v>85882444.570000008</v>
      </c>
      <c r="BT250" s="1118">
        <f t="shared" si="651"/>
        <v>0</v>
      </c>
      <c r="BU250" s="1118">
        <f t="shared" si="652"/>
        <v>0</v>
      </c>
      <c r="BV250" s="1118">
        <f t="shared" si="653"/>
        <v>85882444.570000008</v>
      </c>
      <c r="BW250" s="1074"/>
      <c r="CA250" s="1117">
        <f t="shared" ref="CA250:CA256" si="718">$G250</f>
        <v>85882444.570000008</v>
      </c>
      <c r="CB250" s="1118">
        <f t="shared" si="654"/>
        <v>0</v>
      </c>
      <c r="CC250" s="1118">
        <f t="shared" si="655"/>
        <v>0</v>
      </c>
      <c r="CD250" s="1118">
        <f t="shared" si="656"/>
        <v>85882444.570000008</v>
      </c>
      <c r="CE250" s="1074"/>
      <c r="CI250" s="1117">
        <f t="shared" ref="CI250:CI256" si="719">$G250</f>
        <v>85882444.570000008</v>
      </c>
      <c r="CJ250" s="1118">
        <f t="shared" si="657"/>
        <v>0</v>
      </c>
      <c r="CK250" s="1118">
        <f t="shared" si="658"/>
        <v>0</v>
      </c>
      <c r="CL250" s="1118">
        <f t="shared" si="659"/>
        <v>85882444.570000008</v>
      </c>
      <c r="CM250" s="1074"/>
      <c r="CQ250" s="1117">
        <f t="shared" ref="CQ250:CQ256" si="720">$G250</f>
        <v>85882444.570000008</v>
      </c>
      <c r="CR250" s="1118">
        <f t="shared" si="660"/>
        <v>0</v>
      </c>
      <c r="CS250" s="1118">
        <f t="shared" si="661"/>
        <v>0</v>
      </c>
      <c r="CT250" s="1118">
        <f t="shared" si="662"/>
        <v>85882444.570000008</v>
      </c>
      <c r="CU250" s="1074"/>
      <c r="CY250" s="1117">
        <f t="shared" ref="CY250:CY256" si="721">$G250</f>
        <v>85882444.570000008</v>
      </c>
      <c r="CZ250" s="1118">
        <f t="shared" si="663"/>
        <v>0</v>
      </c>
      <c r="DA250" s="1118">
        <f t="shared" si="664"/>
        <v>0</v>
      </c>
      <c r="DB250" s="1118">
        <f t="shared" si="665"/>
        <v>85882444.570000008</v>
      </c>
      <c r="DC250" s="1074"/>
      <c r="DG250" s="1117">
        <f t="shared" ref="DG250:DG256" si="722">$G250</f>
        <v>85882444.570000008</v>
      </c>
      <c r="DH250" s="1118">
        <f t="shared" si="666"/>
        <v>0</v>
      </c>
      <c r="DI250" s="1118">
        <f t="shared" si="667"/>
        <v>0</v>
      </c>
      <c r="DJ250" s="1118">
        <f t="shared" si="668"/>
        <v>85882444.570000008</v>
      </c>
      <c r="DK250" s="1074"/>
      <c r="DO250" s="1117">
        <f t="shared" ref="DO250:DO256" si="723">$G250</f>
        <v>85882444.570000008</v>
      </c>
      <c r="DP250" s="1118">
        <f t="shared" si="669"/>
        <v>0</v>
      </c>
      <c r="DQ250" s="1118">
        <f t="shared" si="670"/>
        <v>0</v>
      </c>
      <c r="DR250" s="1118">
        <f t="shared" si="671"/>
        <v>85882444.570000008</v>
      </c>
      <c r="DS250" s="1074"/>
      <c r="DW250" s="1117">
        <f t="shared" ref="DW250:DW256" si="724">$G250</f>
        <v>85882444.570000008</v>
      </c>
      <c r="DX250" s="1118">
        <f t="shared" si="672"/>
        <v>0</v>
      </c>
      <c r="DY250" s="1118">
        <f t="shared" si="673"/>
        <v>0</v>
      </c>
      <c r="DZ250" s="1118">
        <f t="shared" si="674"/>
        <v>85882444.570000008</v>
      </c>
      <c r="EA250" s="1074"/>
      <c r="EE250" s="1117">
        <f t="shared" ref="EE250:EE256" si="725">$G250</f>
        <v>85882444.570000008</v>
      </c>
      <c r="EF250" s="1118">
        <f t="shared" si="675"/>
        <v>0</v>
      </c>
      <c r="EG250" s="1118">
        <f t="shared" si="676"/>
        <v>0</v>
      </c>
      <c r="EH250" s="1118">
        <f t="shared" si="677"/>
        <v>85882444.570000008</v>
      </c>
      <c r="EI250" s="1074"/>
      <c r="EM250" s="1117">
        <f t="shared" ref="EM250:EM256" si="726">$G250</f>
        <v>85882444.570000008</v>
      </c>
      <c r="EN250" s="1118">
        <f t="shared" si="678"/>
        <v>0</v>
      </c>
      <c r="EO250" s="1118">
        <f t="shared" si="679"/>
        <v>0</v>
      </c>
      <c r="EP250" s="1118">
        <f t="shared" si="680"/>
        <v>85882444.570000008</v>
      </c>
      <c r="EQ250" s="1074"/>
      <c r="EU250" s="1117">
        <f t="shared" ref="EU250:EU256" si="727">$G250</f>
        <v>85882444.570000008</v>
      </c>
      <c r="EV250" s="1118">
        <f t="shared" si="681"/>
        <v>0</v>
      </c>
      <c r="EW250" s="1118">
        <f t="shared" si="682"/>
        <v>0</v>
      </c>
      <c r="EX250" s="1118">
        <f t="shared" si="683"/>
        <v>85882444.570000008</v>
      </c>
      <c r="EY250" s="1074"/>
      <c r="FC250" s="1117">
        <f t="shared" ref="FC250:FC256" si="728">$G250</f>
        <v>85882444.570000008</v>
      </c>
      <c r="FD250" s="1118">
        <f t="shared" si="684"/>
        <v>0</v>
      </c>
      <c r="FE250" s="1118">
        <f t="shared" si="685"/>
        <v>0</v>
      </c>
      <c r="FF250" s="1118">
        <f t="shared" si="686"/>
        <v>85882444.570000008</v>
      </c>
      <c r="FG250" s="1074"/>
      <c r="FK250" s="1117">
        <f t="shared" ref="FK250:FK256" si="729">$G250</f>
        <v>85882444.570000008</v>
      </c>
      <c r="FL250" s="1118">
        <f t="shared" si="687"/>
        <v>0</v>
      </c>
      <c r="FM250" s="1118">
        <f t="shared" si="688"/>
        <v>0</v>
      </c>
      <c r="FN250" s="1118">
        <f t="shared" si="689"/>
        <v>85882444.570000008</v>
      </c>
      <c r="FO250" s="1074"/>
    </row>
    <row r="251" spans="1:171" x14ac:dyDescent="0.25">
      <c r="A251" s="945"/>
      <c r="B251" s="914" t="s">
        <v>92</v>
      </c>
      <c r="C251" s="889">
        <v>336</v>
      </c>
      <c r="D251" s="889">
        <v>403</v>
      </c>
      <c r="E251" s="182" t="str">
        <f>'Sch 3 - Expenses'!E91</f>
        <v>GP</v>
      </c>
      <c r="F251" s="890"/>
      <c r="G251" s="182">
        <f>'Sch 3 - Expenses'!G91</f>
        <v>20454459.004238889</v>
      </c>
      <c r="H251" s="182">
        <f>'Sch 3 - Expenses'!H91</f>
        <v>6557460.8322858298</v>
      </c>
      <c r="I251" s="182">
        <f>'Sch 3 - Expenses'!I91</f>
        <v>0</v>
      </c>
      <c r="J251" s="183">
        <f>'Sch 3 - Expenses'!J91</f>
        <v>13896998.171953062</v>
      </c>
      <c r="K251" s="904">
        <f t="shared" si="629"/>
        <v>1</v>
      </c>
      <c r="O251" s="1117">
        <f>($G251/$G50)*O50</f>
        <v>20454459.004238889</v>
      </c>
      <c r="P251" s="1118">
        <f t="shared" si="630"/>
        <v>6557460.8322858289</v>
      </c>
      <c r="Q251" s="1118">
        <f t="shared" si="631"/>
        <v>6154439.5515515935</v>
      </c>
      <c r="R251" s="1118">
        <f t="shared" si="632"/>
        <v>7742558.6204014644</v>
      </c>
      <c r="S251" s="1074"/>
      <c r="W251" s="1117">
        <f>($G251/$G50)*W50</f>
        <v>20454459.004238889</v>
      </c>
      <c r="X251" s="1118">
        <f t="shared" si="633"/>
        <v>6557460.8322858289</v>
      </c>
      <c r="Y251" s="1118">
        <f t="shared" si="634"/>
        <v>6154439.5515515935</v>
      </c>
      <c r="Z251" s="1118">
        <f t="shared" si="635"/>
        <v>7742558.6204014644</v>
      </c>
      <c r="AA251" s="1074"/>
      <c r="AE251" s="1117">
        <f>($G251/$G50)*AE50</f>
        <v>20454459.004238889</v>
      </c>
      <c r="AF251" s="1118">
        <f t="shared" si="636"/>
        <v>6557460.8322858289</v>
      </c>
      <c r="AG251" s="1118">
        <f t="shared" si="637"/>
        <v>6154439.5515515935</v>
      </c>
      <c r="AH251" s="1118">
        <f t="shared" si="638"/>
        <v>7742558.6204014644</v>
      </c>
      <c r="AI251" s="1074"/>
      <c r="AM251" s="1117">
        <f>($G251/$G50)*AM50</f>
        <v>20454459.004238889</v>
      </c>
      <c r="AN251" s="1118">
        <f t="shared" si="639"/>
        <v>6557460.8322858289</v>
      </c>
      <c r="AO251" s="1118">
        <f t="shared" si="640"/>
        <v>6154439.5515515935</v>
      </c>
      <c r="AP251" s="1118">
        <f t="shared" si="641"/>
        <v>7742558.6204014644</v>
      </c>
      <c r="AQ251" s="1074"/>
      <c r="AU251" s="1117">
        <f>($G251/$G50)*AU50</f>
        <v>20454459.004238889</v>
      </c>
      <c r="AV251" s="1118">
        <f t="shared" si="642"/>
        <v>6557460.8322858289</v>
      </c>
      <c r="AW251" s="1118">
        <f t="shared" si="643"/>
        <v>6154439.5515515935</v>
      </c>
      <c r="AX251" s="1118">
        <f t="shared" si="644"/>
        <v>7742558.6204014644</v>
      </c>
      <c r="AY251" s="1074"/>
      <c r="BC251" s="1117">
        <f>($G251/$G50)*BC50</f>
        <v>20454459.004238889</v>
      </c>
      <c r="BD251" s="1118">
        <f t="shared" si="645"/>
        <v>6557460.8322858289</v>
      </c>
      <c r="BE251" s="1118">
        <f t="shared" si="646"/>
        <v>6154439.5515515935</v>
      </c>
      <c r="BF251" s="1118">
        <f t="shared" si="647"/>
        <v>7742558.6204014644</v>
      </c>
      <c r="BG251" s="1074"/>
      <c r="BK251" s="1117">
        <f>($G251/$G50)*BK50</f>
        <v>20454459.004238889</v>
      </c>
      <c r="BL251" s="1118">
        <f t="shared" si="648"/>
        <v>6557460.8322858289</v>
      </c>
      <c r="BM251" s="1118">
        <f t="shared" si="649"/>
        <v>6154439.5515515935</v>
      </c>
      <c r="BN251" s="1118">
        <f t="shared" si="650"/>
        <v>7742558.6204014644</v>
      </c>
      <c r="BO251" s="1074"/>
      <c r="BS251" s="1117">
        <f>($G251/$G50)*BS50</f>
        <v>20454459.004238889</v>
      </c>
      <c r="BT251" s="1118">
        <f t="shared" si="651"/>
        <v>6557460.8322858289</v>
      </c>
      <c r="BU251" s="1118">
        <f t="shared" si="652"/>
        <v>6154439.5515515935</v>
      </c>
      <c r="BV251" s="1118">
        <f t="shared" si="653"/>
        <v>7742558.6204014644</v>
      </c>
      <c r="BW251" s="1074"/>
      <c r="CA251" s="1117">
        <f>($G251/$G50)*CA50</f>
        <v>20454459.004238889</v>
      </c>
      <c r="CB251" s="1118">
        <f t="shared" si="654"/>
        <v>6557460.8322858289</v>
      </c>
      <c r="CC251" s="1118">
        <f t="shared" si="655"/>
        <v>6154439.5515515935</v>
      </c>
      <c r="CD251" s="1118">
        <f t="shared" si="656"/>
        <v>7742558.6204014644</v>
      </c>
      <c r="CE251" s="1074"/>
      <c r="CI251" s="1117">
        <f>($G251/$G50)*CI50</f>
        <v>20454459.004238889</v>
      </c>
      <c r="CJ251" s="1118">
        <f t="shared" si="657"/>
        <v>6557460.8322858289</v>
      </c>
      <c r="CK251" s="1118">
        <f t="shared" si="658"/>
        <v>6154439.5515515935</v>
      </c>
      <c r="CL251" s="1118">
        <f t="shared" si="659"/>
        <v>7742558.6204014644</v>
      </c>
      <c r="CM251" s="1074"/>
      <c r="CQ251" s="1117">
        <f>($G251/$G50)*CQ50</f>
        <v>20454459.004238889</v>
      </c>
      <c r="CR251" s="1118">
        <f t="shared" si="660"/>
        <v>6557460.8322858289</v>
      </c>
      <c r="CS251" s="1118">
        <f t="shared" si="661"/>
        <v>6154439.5515515935</v>
      </c>
      <c r="CT251" s="1118">
        <f t="shared" si="662"/>
        <v>7742558.6204014644</v>
      </c>
      <c r="CU251" s="1074"/>
      <c r="CY251" s="1117">
        <f>($G251/$G50)*CY50</f>
        <v>20454459.004238889</v>
      </c>
      <c r="CZ251" s="1118">
        <f t="shared" si="663"/>
        <v>6557460.8322858289</v>
      </c>
      <c r="DA251" s="1118">
        <f t="shared" si="664"/>
        <v>6154439.5515515935</v>
      </c>
      <c r="DB251" s="1118">
        <f t="shared" si="665"/>
        <v>7742558.6204014644</v>
      </c>
      <c r="DC251" s="1074"/>
      <c r="DG251" s="1117">
        <f>($G251/$G50)*DG50</f>
        <v>20454459.004238889</v>
      </c>
      <c r="DH251" s="1118">
        <f t="shared" si="666"/>
        <v>6557460.8322858289</v>
      </c>
      <c r="DI251" s="1118">
        <f t="shared" si="667"/>
        <v>6154439.5515515935</v>
      </c>
      <c r="DJ251" s="1118">
        <f t="shared" si="668"/>
        <v>7742558.6204014644</v>
      </c>
      <c r="DK251" s="1074"/>
      <c r="DO251" s="1117">
        <f>($G251/$G50)*DO50</f>
        <v>20454459.004238889</v>
      </c>
      <c r="DP251" s="1118">
        <f t="shared" si="669"/>
        <v>6557460.8322858289</v>
      </c>
      <c r="DQ251" s="1118">
        <f t="shared" si="670"/>
        <v>6154439.5515515935</v>
      </c>
      <c r="DR251" s="1118">
        <f t="shared" si="671"/>
        <v>7742558.6204014644</v>
      </c>
      <c r="DS251" s="1074"/>
      <c r="DW251" s="1117">
        <f>($G251/$G50)*DW50</f>
        <v>20454459.004238889</v>
      </c>
      <c r="DX251" s="1118">
        <f t="shared" si="672"/>
        <v>6557460.8322858289</v>
      </c>
      <c r="DY251" s="1118">
        <f t="shared" si="673"/>
        <v>6154439.5515515935</v>
      </c>
      <c r="DZ251" s="1118">
        <f t="shared" si="674"/>
        <v>7742558.6204014644</v>
      </c>
      <c r="EA251" s="1074"/>
      <c r="EE251" s="1117">
        <f>($G251/$G50)*EE50</f>
        <v>20454459.004238889</v>
      </c>
      <c r="EF251" s="1118">
        <f t="shared" si="675"/>
        <v>6557460.8322858289</v>
      </c>
      <c r="EG251" s="1118">
        <f t="shared" si="676"/>
        <v>6154439.5515515935</v>
      </c>
      <c r="EH251" s="1118">
        <f t="shared" si="677"/>
        <v>7742558.6204014644</v>
      </c>
      <c r="EI251" s="1074"/>
      <c r="EM251" s="1117">
        <f>($G251/$G50)*EM50</f>
        <v>20454459.004238889</v>
      </c>
      <c r="EN251" s="1118">
        <f t="shared" si="678"/>
        <v>6557460.8322858289</v>
      </c>
      <c r="EO251" s="1118">
        <f t="shared" si="679"/>
        <v>6154439.5515515935</v>
      </c>
      <c r="EP251" s="1118">
        <f t="shared" si="680"/>
        <v>7742558.6204014644</v>
      </c>
      <c r="EQ251" s="1074"/>
      <c r="EU251" s="1117">
        <f>($G251/$G50)*EU50</f>
        <v>20454459.004238889</v>
      </c>
      <c r="EV251" s="1118">
        <f t="shared" si="681"/>
        <v>6557460.8322858289</v>
      </c>
      <c r="EW251" s="1118">
        <f t="shared" si="682"/>
        <v>6154439.5515515935</v>
      </c>
      <c r="EX251" s="1118">
        <f t="shared" si="683"/>
        <v>7742558.6204014644</v>
      </c>
      <c r="EY251" s="1074"/>
      <c r="FC251" s="1117">
        <f>($G251/$G50)*FC50</f>
        <v>20454459.004238889</v>
      </c>
      <c r="FD251" s="1118">
        <f t="shared" si="684"/>
        <v>6557460.8322858289</v>
      </c>
      <c r="FE251" s="1118">
        <f t="shared" si="685"/>
        <v>6154439.5515515935</v>
      </c>
      <c r="FF251" s="1118">
        <f t="shared" si="686"/>
        <v>7742558.6204014644</v>
      </c>
      <c r="FG251" s="1074"/>
      <c r="FK251" s="1117">
        <f>($G251/$G50)*FK50</f>
        <v>20454459.004238889</v>
      </c>
      <c r="FL251" s="1118">
        <f t="shared" si="687"/>
        <v>6557460.8322858289</v>
      </c>
      <c r="FM251" s="1118">
        <f t="shared" si="688"/>
        <v>6154439.5515515935</v>
      </c>
      <c r="FN251" s="1118">
        <f t="shared" si="689"/>
        <v>7742558.6204014644</v>
      </c>
      <c r="FO251" s="1074"/>
    </row>
    <row r="252" spans="1:171" x14ac:dyDescent="0.25">
      <c r="A252" s="945"/>
      <c r="B252" s="914" t="s">
        <v>432</v>
      </c>
      <c r="C252" s="889">
        <v>336</v>
      </c>
      <c r="D252" s="1016">
        <v>404</v>
      </c>
      <c r="E252" s="182" t="str">
        <f>'Sch 3 - Expenses'!E92</f>
        <v>DIRECT</v>
      </c>
      <c r="F252" s="890"/>
      <c r="G252" s="182">
        <f>'Sch 3 - Expenses'!G92</f>
        <v>0</v>
      </c>
      <c r="H252" s="182">
        <f>'Sch 3 - Expenses'!H92</f>
        <v>0</v>
      </c>
      <c r="I252" s="182">
        <f>'Sch 3 - Expenses'!I92</f>
        <v>0</v>
      </c>
      <c r="J252" s="183">
        <f>'Sch 3 - Expenses'!J92</f>
        <v>0</v>
      </c>
      <c r="K252" s="904">
        <f t="shared" si="629"/>
        <v>0</v>
      </c>
      <c r="O252" s="1117">
        <f t="shared" si="710"/>
        <v>0</v>
      </c>
      <c r="P252" s="1118">
        <f t="shared" si="630"/>
        <v>0</v>
      </c>
      <c r="Q252" s="1118">
        <f t="shared" si="631"/>
        <v>0</v>
      </c>
      <c r="R252" s="1118">
        <f t="shared" si="632"/>
        <v>0</v>
      </c>
      <c r="S252" s="1074"/>
      <c r="W252" s="1117">
        <f t="shared" si="711"/>
        <v>0</v>
      </c>
      <c r="X252" s="1118">
        <f t="shared" si="633"/>
        <v>0</v>
      </c>
      <c r="Y252" s="1118">
        <f t="shared" si="634"/>
        <v>0</v>
      </c>
      <c r="Z252" s="1118">
        <f t="shared" si="635"/>
        <v>0</v>
      </c>
      <c r="AA252" s="1074"/>
      <c r="AE252" s="1117">
        <f t="shared" si="712"/>
        <v>0</v>
      </c>
      <c r="AF252" s="1118">
        <f t="shared" si="636"/>
        <v>0</v>
      </c>
      <c r="AG252" s="1118">
        <f t="shared" si="637"/>
        <v>0</v>
      </c>
      <c r="AH252" s="1118">
        <f t="shared" si="638"/>
        <v>0</v>
      </c>
      <c r="AI252" s="1074"/>
      <c r="AM252" s="1117">
        <f t="shared" si="713"/>
        <v>0</v>
      </c>
      <c r="AN252" s="1118">
        <f t="shared" si="639"/>
        <v>0</v>
      </c>
      <c r="AO252" s="1118">
        <f t="shared" si="640"/>
        <v>0</v>
      </c>
      <c r="AP252" s="1118">
        <f t="shared" si="641"/>
        <v>0</v>
      </c>
      <c r="AQ252" s="1074"/>
      <c r="AU252" s="1117">
        <f t="shared" si="714"/>
        <v>0</v>
      </c>
      <c r="AV252" s="1118">
        <f t="shared" si="642"/>
        <v>0</v>
      </c>
      <c r="AW252" s="1118">
        <f t="shared" si="643"/>
        <v>0</v>
      </c>
      <c r="AX252" s="1118">
        <f t="shared" si="644"/>
        <v>0</v>
      </c>
      <c r="AY252" s="1074"/>
      <c r="BC252" s="1117">
        <f t="shared" si="715"/>
        <v>0</v>
      </c>
      <c r="BD252" s="1118">
        <f t="shared" si="645"/>
        <v>0</v>
      </c>
      <c r="BE252" s="1118">
        <f t="shared" si="646"/>
        <v>0</v>
      </c>
      <c r="BF252" s="1118">
        <f t="shared" si="647"/>
        <v>0</v>
      </c>
      <c r="BG252" s="1074"/>
      <c r="BK252" s="1117">
        <f t="shared" si="716"/>
        <v>0</v>
      </c>
      <c r="BL252" s="1118">
        <f t="shared" si="648"/>
        <v>0</v>
      </c>
      <c r="BM252" s="1118">
        <f t="shared" si="649"/>
        <v>0</v>
      </c>
      <c r="BN252" s="1118">
        <f t="shared" si="650"/>
        <v>0</v>
      </c>
      <c r="BO252" s="1074"/>
      <c r="BS252" s="1117">
        <f t="shared" si="717"/>
        <v>0</v>
      </c>
      <c r="BT252" s="1118">
        <f t="shared" si="651"/>
        <v>0</v>
      </c>
      <c r="BU252" s="1118">
        <f t="shared" si="652"/>
        <v>0</v>
      </c>
      <c r="BV252" s="1118">
        <f t="shared" si="653"/>
        <v>0</v>
      </c>
      <c r="BW252" s="1074"/>
      <c r="CA252" s="1117">
        <f t="shared" si="718"/>
        <v>0</v>
      </c>
      <c r="CB252" s="1118">
        <f t="shared" si="654"/>
        <v>0</v>
      </c>
      <c r="CC252" s="1118">
        <f t="shared" si="655"/>
        <v>0</v>
      </c>
      <c r="CD252" s="1118">
        <f t="shared" si="656"/>
        <v>0</v>
      </c>
      <c r="CE252" s="1074"/>
      <c r="CI252" s="1117">
        <f t="shared" si="719"/>
        <v>0</v>
      </c>
      <c r="CJ252" s="1118">
        <f t="shared" si="657"/>
        <v>0</v>
      </c>
      <c r="CK252" s="1118">
        <f t="shared" si="658"/>
        <v>0</v>
      </c>
      <c r="CL252" s="1118">
        <f t="shared" si="659"/>
        <v>0</v>
      </c>
      <c r="CM252" s="1074"/>
      <c r="CQ252" s="1117">
        <f t="shared" si="720"/>
        <v>0</v>
      </c>
      <c r="CR252" s="1118">
        <f t="shared" si="660"/>
        <v>0</v>
      </c>
      <c r="CS252" s="1118">
        <f t="shared" si="661"/>
        <v>0</v>
      </c>
      <c r="CT252" s="1118">
        <f t="shared" si="662"/>
        <v>0</v>
      </c>
      <c r="CU252" s="1074"/>
      <c r="CY252" s="1117">
        <f t="shared" si="721"/>
        <v>0</v>
      </c>
      <c r="CZ252" s="1118">
        <f t="shared" si="663"/>
        <v>0</v>
      </c>
      <c r="DA252" s="1118">
        <f t="shared" si="664"/>
        <v>0</v>
      </c>
      <c r="DB252" s="1118">
        <f t="shared" si="665"/>
        <v>0</v>
      </c>
      <c r="DC252" s="1074"/>
      <c r="DG252" s="1117">
        <f t="shared" si="722"/>
        <v>0</v>
      </c>
      <c r="DH252" s="1118">
        <f t="shared" si="666"/>
        <v>0</v>
      </c>
      <c r="DI252" s="1118">
        <f t="shared" si="667"/>
        <v>0</v>
      </c>
      <c r="DJ252" s="1118">
        <f t="shared" si="668"/>
        <v>0</v>
      </c>
      <c r="DK252" s="1074"/>
      <c r="DO252" s="1117">
        <f t="shared" si="723"/>
        <v>0</v>
      </c>
      <c r="DP252" s="1118">
        <f t="shared" si="669"/>
        <v>0</v>
      </c>
      <c r="DQ252" s="1118">
        <f t="shared" si="670"/>
        <v>0</v>
      </c>
      <c r="DR252" s="1118">
        <f t="shared" si="671"/>
        <v>0</v>
      </c>
      <c r="DS252" s="1074"/>
      <c r="DW252" s="1117">
        <f t="shared" si="724"/>
        <v>0</v>
      </c>
      <c r="DX252" s="1118">
        <f t="shared" si="672"/>
        <v>0</v>
      </c>
      <c r="DY252" s="1118">
        <f t="shared" si="673"/>
        <v>0</v>
      </c>
      <c r="DZ252" s="1118">
        <f t="shared" si="674"/>
        <v>0</v>
      </c>
      <c r="EA252" s="1074"/>
      <c r="EE252" s="1117">
        <f t="shared" si="725"/>
        <v>0</v>
      </c>
      <c r="EF252" s="1118">
        <f t="shared" si="675"/>
        <v>0</v>
      </c>
      <c r="EG252" s="1118">
        <f t="shared" si="676"/>
        <v>0</v>
      </c>
      <c r="EH252" s="1118">
        <f t="shared" si="677"/>
        <v>0</v>
      </c>
      <c r="EI252" s="1074"/>
      <c r="EM252" s="1117">
        <f t="shared" si="726"/>
        <v>0</v>
      </c>
      <c r="EN252" s="1118">
        <f t="shared" si="678"/>
        <v>0</v>
      </c>
      <c r="EO252" s="1118">
        <f t="shared" si="679"/>
        <v>0</v>
      </c>
      <c r="EP252" s="1118">
        <f t="shared" si="680"/>
        <v>0</v>
      </c>
      <c r="EQ252" s="1074"/>
      <c r="EU252" s="1117">
        <f t="shared" si="727"/>
        <v>0</v>
      </c>
      <c r="EV252" s="1118">
        <f t="shared" si="681"/>
        <v>0</v>
      </c>
      <c r="EW252" s="1118">
        <f t="shared" si="682"/>
        <v>0</v>
      </c>
      <c r="EX252" s="1118">
        <f t="shared" si="683"/>
        <v>0</v>
      </c>
      <c r="EY252" s="1074"/>
      <c r="FC252" s="1117">
        <f t="shared" si="728"/>
        <v>0</v>
      </c>
      <c r="FD252" s="1118">
        <f t="shared" si="684"/>
        <v>0</v>
      </c>
      <c r="FE252" s="1118">
        <f t="shared" si="685"/>
        <v>0</v>
      </c>
      <c r="FF252" s="1118">
        <f t="shared" si="686"/>
        <v>0</v>
      </c>
      <c r="FG252" s="1074"/>
      <c r="FK252" s="1117">
        <f t="shared" si="729"/>
        <v>0</v>
      </c>
      <c r="FL252" s="1118">
        <f t="shared" si="687"/>
        <v>0</v>
      </c>
      <c r="FM252" s="1118">
        <f t="shared" si="688"/>
        <v>0</v>
      </c>
      <c r="FN252" s="1118">
        <f t="shared" si="689"/>
        <v>0</v>
      </c>
      <c r="FO252" s="1074"/>
    </row>
    <row r="253" spans="1:171" x14ac:dyDescent="0.25">
      <c r="A253" s="945"/>
      <c r="B253" s="914" t="s">
        <v>432</v>
      </c>
      <c r="C253" s="889">
        <v>336</v>
      </c>
      <c r="D253" s="1016">
        <v>404</v>
      </c>
      <c r="E253" s="182" t="str">
        <f>'Sch 3 - Expenses'!E93</f>
        <v>DIRECT</v>
      </c>
      <c r="F253" s="890"/>
      <c r="G253" s="182">
        <f>'Sch 3 - Expenses'!G93</f>
        <v>0</v>
      </c>
      <c r="H253" s="182">
        <f>'Sch 3 - Expenses'!H93</f>
        <v>0</v>
      </c>
      <c r="I253" s="182">
        <f>'Sch 3 - Expenses'!I93</f>
        <v>0</v>
      </c>
      <c r="J253" s="183">
        <f>'Sch 3 - Expenses'!J93</f>
        <v>0</v>
      </c>
      <c r="K253" s="904">
        <f t="shared" si="629"/>
        <v>0</v>
      </c>
      <c r="O253" s="1117">
        <f t="shared" si="710"/>
        <v>0</v>
      </c>
      <c r="P253" s="1118">
        <f t="shared" si="630"/>
        <v>0</v>
      </c>
      <c r="Q253" s="1118">
        <f t="shared" si="631"/>
        <v>0</v>
      </c>
      <c r="R253" s="1118">
        <f t="shared" si="632"/>
        <v>0</v>
      </c>
      <c r="S253" s="1074"/>
      <c r="W253" s="1117">
        <f t="shared" si="711"/>
        <v>0</v>
      </c>
      <c r="X253" s="1118">
        <f t="shared" si="633"/>
        <v>0</v>
      </c>
      <c r="Y253" s="1118">
        <f t="shared" si="634"/>
        <v>0</v>
      </c>
      <c r="Z253" s="1118">
        <f t="shared" si="635"/>
        <v>0</v>
      </c>
      <c r="AA253" s="1074"/>
      <c r="AE253" s="1117">
        <f t="shared" si="712"/>
        <v>0</v>
      </c>
      <c r="AF253" s="1118">
        <f t="shared" si="636"/>
        <v>0</v>
      </c>
      <c r="AG253" s="1118">
        <f t="shared" si="637"/>
        <v>0</v>
      </c>
      <c r="AH253" s="1118">
        <f t="shared" si="638"/>
        <v>0</v>
      </c>
      <c r="AI253" s="1074"/>
      <c r="AM253" s="1117">
        <f t="shared" si="713"/>
        <v>0</v>
      </c>
      <c r="AN253" s="1118">
        <f t="shared" si="639"/>
        <v>0</v>
      </c>
      <c r="AO253" s="1118">
        <f t="shared" si="640"/>
        <v>0</v>
      </c>
      <c r="AP253" s="1118">
        <f t="shared" si="641"/>
        <v>0</v>
      </c>
      <c r="AQ253" s="1074"/>
      <c r="AU253" s="1117">
        <f t="shared" si="714"/>
        <v>0</v>
      </c>
      <c r="AV253" s="1118">
        <f t="shared" si="642"/>
        <v>0</v>
      </c>
      <c r="AW253" s="1118">
        <f t="shared" si="643"/>
        <v>0</v>
      </c>
      <c r="AX253" s="1118">
        <f t="shared" si="644"/>
        <v>0</v>
      </c>
      <c r="AY253" s="1074"/>
      <c r="BC253" s="1117">
        <f t="shared" si="715"/>
        <v>0</v>
      </c>
      <c r="BD253" s="1118">
        <f t="shared" si="645"/>
        <v>0</v>
      </c>
      <c r="BE253" s="1118">
        <f t="shared" si="646"/>
        <v>0</v>
      </c>
      <c r="BF253" s="1118">
        <f t="shared" si="647"/>
        <v>0</v>
      </c>
      <c r="BG253" s="1074"/>
      <c r="BK253" s="1117">
        <f t="shared" si="716"/>
        <v>0</v>
      </c>
      <c r="BL253" s="1118">
        <f t="shared" si="648"/>
        <v>0</v>
      </c>
      <c r="BM253" s="1118">
        <f t="shared" si="649"/>
        <v>0</v>
      </c>
      <c r="BN253" s="1118">
        <f t="shared" si="650"/>
        <v>0</v>
      </c>
      <c r="BO253" s="1074"/>
      <c r="BS253" s="1117">
        <f t="shared" si="717"/>
        <v>0</v>
      </c>
      <c r="BT253" s="1118">
        <f t="shared" si="651"/>
        <v>0</v>
      </c>
      <c r="BU253" s="1118">
        <f t="shared" si="652"/>
        <v>0</v>
      </c>
      <c r="BV253" s="1118">
        <f t="shared" si="653"/>
        <v>0</v>
      </c>
      <c r="BW253" s="1074"/>
      <c r="CA253" s="1117">
        <f t="shared" si="718"/>
        <v>0</v>
      </c>
      <c r="CB253" s="1118">
        <f t="shared" si="654"/>
        <v>0</v>
      </c>
      <c r="CC253" s="1118">
        <f t="shared" si="655"/>
        <v>0</v>
      </c>
      <c r="CD253" s="1118">
        <f t="shared" si="656"/>
        <v>0</v>
      </c>
      <c r="CE253" s="1074"/>
      <c r="CI253" s="1117">
        <f t="shared" si="719"/>
        <v>0</v>
      </c>
      <c r="CJ253" s="1118">
        <f t="shared" si="657"/>
        <v>0</v>
      </c>
      <c r="CK253" s="1118">
        <f t="shared" si="658"/>
        <v>0</v>
      </c>
      <c r="CL253" s="1118">
        <f t="shared" si="659"/>
        <v>0</v>
      </c>
      <c r="CM253" s="1074"/>
      <c r="CQ253" s="1117">
        <f t="shared" si="720"/>
        <v>0</v>
      </c>
      <c r="CR253" s="1118">
        <f t="shared" si="660"/>
        <v>0</v>
      </c>
      <c r="CS253" s="1118">
        <f t="shared" si="661"/>
        <v>0</v>
      </c>
      <c r="CT253" s="1118">
        <f t="shared" si="662"/>
        <v>0</v>
      </c>
      <c r="CU253" s="1074"/>
      <c r="CY253" s="1117">
        <f t="shared" si="721"/>
        <v>0</v>
      </c>
      <c r="CZ253" s="1118">
        <f t="shared" si="663"/>
        <v>0</v>
      </c>
      <c r="DA253" s="1118">
        <f t="shared" si="664"/>
        <v>0</v>
      </c>
      <c r="DB253" s="1118">
        <f t="shared" si="665"/>
        <v>0</v>
      </c>
      <c r="DC253" s="1074"/>
      <c r="DG253" s="1117">
        <f t="shared" si="722"/>
        <v>0</v>
      </c>
      <c r="DH253" s="1118">
        <f t="shared" si="666"/>
        <v>0</v>
      </c>
      <c r="DI253" s="1118">
        <f t="shared" si="667"/>
        <v>0</v>
      </c>
      <c r="DJ253" s="1118">
        <f t="shared" si="668"/>
        <v>0</v>
      </c>
      <c r="DK253" s="1074"/>
      <c r="DO253" s="1117">
        <f t="shared" si="723"/>
        <v>0</v>
      </c>
      <c r="DP253" s="1118">
        <f t="shared" si="669"/>
        <v>0</v>
      </c>
      <c r="DQ253" s="1118">
        <f t="shared" si="670"/>
        <v>0</v>
      </c>
      <c r="DR253" s="1118">
        <f t="shared" si="671"/>
        <v>0</v>
      </c>
      <c r="DS253" s="1074"/>
      <c r="DW253" s="1117">
        <f t="shared" si="724"/>
        <v>0</v>
      </c>
      <c r="DX253" s="1118">
        <f t="shared" si="672"/>
        <v>0</v>
      </c>
      <c r="DY253" s="1118">
        <f t="shared" si="673"/>
        <v>0</v>
      </c>
      <c r="DZ253" s="1118">
        <f t="shared" si="674"/>
        <v>0</v>
      </c>
      <c r="EA253" s="1074"/>
      <c r="EE253" s="1117">
        <f t="shared" si="725"/>
        <v>0</v>
      </c>
      <c r="EF253" s="1118">
        <f t="shared" si="675"/>
        <v>0</v>
      </c>
      <c r="EG253" s="1118">
        <f t="shared" si="676"/>
        <v>0</v>
      </c>
      <c r="EH253" s="1118">
        <f t="shared" si="677"/>
        <v>0</v>
      </c>
      <c r="EI253" s="1074"/>
      <c r="EM253" s="1117">
        <f t="shared" si="726"/>
        <v>0</v>
      </c>
      <c r="EN253" s="1118">
        <f t="shared" si="678"/>
        <v>0</v>
      </c>
      <c r="EO253" s="1118">
        <f t="shared" si="679"/>
        <v>0</v>
      </c>
      <c r="EP253" s="1118">
        <f t="shared" si="680"/>
        <v>0</v>
      </c>
      <c r="EQ253" s="1074"/>
      <c r="EU253" s="1117">
        <f t="shared" si="727"/>
        <v>0</v>
      </c>
      <c r="EV253" s="1118">
        <f t="shared" si="681"/>
        <v>0</v>
      </c>
      <c r="EW253" s="1118">
        <f t="shared" si="682"/>
        <v>0</v>
      </c>
      <c r="EX253" s="1118">
        <f t="shared" si="683"/>
        <v>0</v>
      </c>
      <c r="EY253" s="1074"/>
      <c r="FC253" s="1117">
        <f t="shared" si="728"/>
        <v>0</v>
      </c>
      <c r="FD253" s="1118">
        <f t="shared" si="684"/>
        <v>0</v>
      </c>
      <c r="FE253" s="1118">
        <f t="shared" si="685"/>
        <v>0</v>
      </c>
      <c r="FF253" s="1118">
        <f t="shared" si="686"/>
        <v>0</v>
      </c>
      <c r="FG253" s="1074"/>
      <c r="FK253" s="1117">
        <f t="shared" si="729"/>
        <v>0</v>
      </c>
      <c r="FL253" s="1118">
        <f t="shared" si="687"/>
        <v>0</v>
      </c>
      <c r="FM253" s="1118">
        <f t="shared" si="688"/>
        <v>0</v>
      </c>
      <c r="FN253" s="1118">
        <f t="shared" si="689"/>
        <v>0</v>
      </c>
      <c r="FO253" s="1074"/>
    </row>
    <row r="254" spans="1:171" x14ac:dyDescent="0.25">
      <c r="A254" s="945"/>
      <c r="B254" s="914" t="s">
        <v>564</v>
      </c>
      <c r="C254" s="889">
        <v>336</v>
      </c>
      <c r="D254" s="1016">
        <v>403.1</v>
      </c>
      <c r="E254" s="182" t="str">
        <f>'Sch 3 - Expenses'!E94</f>
        <v>DIRECT</v>
      </c>
      <c r="F254" s="890"/>
      <c r="G254" s="182">
        <f>'Sch 3 - Expenses'!G94</f>
        <v>0</v>
      </c>
      <c r="H254" s="182">
        <f>'Sch 3 - Expenses'!H94</f>
        <v>0</v>
      </c>
      <c r="I254" s="182">
        <f>'Sch 3 - Expenses'!I94</f>
        <v>0</v>
      </c>
      <c r="J254" s="183">
        <f>'Sch 3 - Expenses'!J94</f>
        <v>0</v>
      </c>
      <c r="K254" s="904">
        <f t="shared" si="629"/>
        <v>0</v>
      </c>
      <c r="O254" s="1117">
        <f t="shared" si="710"/>
        <v>0</v>
      </c>
      <c r="P254" s="1118">
        <f t="shared" si="630"/>
        <v>0</v>
      </c>
      <c r="Q254" s="1118">
        <f t="shared" si="631"/>
        <v>0</v>
      </c>
      <c r="R254" s="1118">
        <f t="shared" si="632"/>
        <v>0</v>
      </c>
      <c r="S254" s="1074"/>
      <c r="W254" s="1117">
        <f t="shared" si="711"/>
        <v>0</v>
      </c>
      <c r="X254" s="1118">
        <f t="shared" si="633"/>
        <v>0</v>
      </c>
      <c r="Y254" s="1118">
        <f t="shared" si="634"/>
        <v>0</v>
      </c>
      <c r="Z254" s="1118">
        <f t="shared" si="635"/>
        <v>0</v>
      </c>
      <c r="AA254" s="1074"/>
      <c r="AE254" s="1117">
        <f t="shared" si="712"/>
        <v>0</v>
      </c>
      <c r="AF254" s="1118">
        <f t="shared" si="636"/>
        <v>0</v>
      </c>
      <c r="AG254" s="1118">
        <f t="shared" si="637"/>
        <v>0</v>
      </c>
      <c r="AH254" s="1118">
        <f t="shared" si="638"/>
        <v>0</v>
      </c>
      <c r="AI254" s="1074"/>
      <c r="AM254" s="1117">
        <f t="shared" si="713"/>
        <v>0</v>
      </c>
      <c r="AN254" s="1118">
        <f t="shared" si="639"/>
        <v>0</v>
      </c>
      <c r="AO254" s="1118">
        <f t="shared" si="640"/>
        <v>0</v>
      </c>
      <c r="AP254" s="1118">
        <f t="shared" si="641"/>
        <v>0</v>
      </c>
      <c r="AQ254" s="1074"/>
      <c r="AU254" s="1117">
        <f t="shared" si="714"/>
        <v>0</v>
      </c>
      <c r="AV254" s="1118">
        <f t="shared" si="642"/>
        <v>0</v>
      </c>
      <c r="AW254" s="1118">
        <f t="shared" si="643"/>
        <v>0</v>
      </c>
      <c r="AX254" s="1118">
        <f t="shared" si="644"/>
        <v>0</v>
      </c>
      <c r="AY254" s="1074"/>
      <c r="BC254" s="1117">
        <f t="shared" si="715"/>
        <v>0</v>
      </c>
      <c r="BD254" s="1118">
        <f t="shared" si="645"/>
        <v>0</v>
      </c>
      <c r="BE254" s="1118">
        <f t="shared" si="646"/>
        <v>0</v>
      </c>
      <c r="BF254" s="1118">
        <f t="shared" si="647"/>
        <v>0</v>
      </c>
      <c r="BG254" s="1074"/>
      <c r="BK254" s="1117">
        <f t="shared" si="716"/>
        <v>0</v>
      </c>
      <c r="BL254" s="1118">
        <f t="shared" si="648"/>
        <v>0</v>
      </c>
      <c r="BM254" s="1118">
        <f t="shared" si="649"/>
        <v>0</v>
      </c>
      <c r="BN254" s="1118">
        <f t="shared" si="650"/>
        <v>0</v>
      </c>
      <c r="BO254" s="1074"/>
      <c r="BS254" s="1117">
        <f t="shared" si="717"/>
        <v>0</v>
      </c>
      <c r="BT254" s="1118">
        <f t="shared" si="651"/>
        <v>0</v>
      </c>
      <c r="BU254" s="1118">
        <f t="shared" si="652"/>
        <v>0</v>
      </c>
      <c r="BV254" s="1118">
        <f t="shared" si="653"/>
        <v>0</v>
      </c>
      <c r="BW254" s="1074"/>
      <c r="CA254" s="1117">
        <f t="shared" si="718"/>
        <v>0</v>
      </c>
      <c r="CB254" s="1118">
        <f t="shared" si="654"/>
        <v>0</v>
      </c>
      <c r="CC254" s="1118">
        <f t="shared" si="655"/>
        <v>0</v>
      </c>
      <c r="CD254" s="1118">
        <f t="shared" si="656"/>
        <v>0</v>
      </c>
      <c r="CE254" s="1074"/>
      <c r="CI254" s="1117">
        <f t="shared" si="719"/>
        <v>0</v>
      </c>
      <c r="CJ254" s="1118">
        <f t="shared" si="657"/>
        <v>0</v>
      </c>
      <c r="CK254" s="1118">
        <f t="shared" si="658"/>
        <v>0</v>
      </c>
      <c r="CL254" s="1118">
        <f t="shared" si="659"/>
        <v>0</v>
      </c>
      <c r="CM254" s="1074"/>
      <c r="CQ254" s="1117">
        <f t="shared" si="720"/>
        <v>0</v>
      </c>
      <c r="CR254" s="1118">
        <f t="shared" si="660"/>
        <v>0</v>
      </c>
      <c r="CS254" s="1118">
        <f t="shared" si="661"/>
        <v>0</v>
      </c>
      <c r="CT254" s="1118">
        <f t="shared" si="662"/>
        <v>0</v>
      </c>
      <c r="CU254" s="1074"/>
      <c r="CY254" s="1117">
        <f t="shared" si="721"/>
        <v>0</v>
      </c>
      <c r="CZ254" s="1118">
        <f t="shared" si="663"/>
        <v>0</v>
      </c>
      <c r="DA254" s="1118">
        <f t="shared" si="664"/>
        <v>0</v>
      </c>
      <c r="DB254" s="1118">
        <f t="shared" si="665"/>
        <v>0</v>
      </c>
      <c r="DC254" s="1074"/>
      <c r="DG254" s="1117">
        <f t="shared" si="722"/>
        <v>0</v>
      </c>
      <c r="DH254" s="1118">
        <f t="shared" si="666"/>
        <v>0</v>
      </c>
      <c r="DI254" s="1118">
        <f t="shared" si="667"/>
        <v>0</v>
      </c>
      <c r="DJ254" s="1118">
        <f t="shared" si="668"/>
        <v>0</v>
      </c>
      <c r="DK254" s="1074"/>
      <c r="DO254" s="1117">
        <f t="shared" si="723"/>
        <v>0</v>
      </c>
      <c r="DP254" s="1118">
        <f t="shared" si="669"/>
        <v>0</v>
      </c>
      <c r="DQ254" s="1118">
        <f t="shared" si="670"/>
        <v>0</v>
      </c>
      <c r="DR254" s="1118">
        <f t="shared" si="671"/>
        <v>0</v>
      </c>
      <c r="DS254" s="1074"/>
      <c r="DW254" s="1117">
        <f t="shared" si="724"/>
        <v>0</v>
      </c>
      <c r="DX254" s="1118">
        <f t="shared" si="672"/>
        <v>0</v>
      </c>
      <c r="DY254" s="1118">
        <f t="shared" si="673"/>
        <v>0</v>
      </c>
      <c r="DZ254" s="1118">
        <f t="shared" si="674"/>
        <v>0</v>
      </c>
      <c r="EA254" s="1074"/>
      <c r="EE254" s="1117">
        <f t="shared" si="725"/>
        <v>0</v>
      </c>
      <c r="EF254" s="1118">
        <f t="shared" si="675"/>
        <v>0</v>
      </c>
      <c r="EG254" s="1118">
        <f t="shared" si="676"/>
        <v>0</v>
      </c>
      <c r="EH254" s="1118">
        <f t="shared" si="677"/>
        <v>0</v>
      </c>
      <c r="EI254" s="1074"/>
      <c r="EM254" s="1117">
        <f t="shared" si="726"/>
        <v>0</v>
      </c>
      <c r="EN254" s="1118">
        <f t="shared" si="678"/>
        <v>0</v>
      </c>
      <c r="EO254" s="1118">
        <f t="shared" si="679"/>
        <v>0</v>
      </c>
      <c r="EP254" s="1118">
        <f t="shared" si="680"/>
        <v>0</v>
      </c>
      <c r="EQ254" s="1074"/>
      <c r="EU254" s="1117">
        <f t="shared" si="727"/>
        <v>0</v>
      </c>
      <c r="EV254" s="1118">
        <f t="shared" si="681"/>
        <v>0</v>
      </c>
      <c r="EW254" s="1118">
        <f t="shared" si="682"/>
        <v>0</v>
      </c>
      <c r="EX254" s="1118">
        <f t="shared" si="683"/>
        <v>0</v>
      </c>
      <c r="EY254" s="1074"/>
      <c r="FC254" s="1117">
        <f t="shared" si="728"/>
        <v>0</v>
      </c>
      <c r="FD254" s="1118">
        <f t="shared" si="684"/>
        <v>0</v>
      </c>
      <c r="FE254" s="1118">
        <f t="shared" si="685"/>
        <v>0</v>
      </c>
      <c r="FF254" s="1118">
        <f t="shared" si="686"/>
        <v>0</v>
      </c>
      <c r="FG254" s="1074"/>
      <c r="FK254" s="1117">
        <f t="shared" si="729"/>
        <v>0</v>
      </c>
      <c r="FL254" s="1118">
        <f t="shared" si="687"/>
        <v>0</v>
      </c>
      <c r="FM254" s="1118">
        <f t="shared" si="688"/>
        <v>0</v>
      </c>
      <c r="FN254" s="1118">
        <f t="shared" si="689"/>
        <v>0</v>
      </c>
      <c r="FO254" s="1074"/>
    </row>
    <row r="255" spans="1:171" x14ac:dyDescent="0.25">
      <c r="A255" s="945"/>
      <c r="B255" s="914" t="s">
        <v>565</v>
      </c>
      <c r="C255" s="889">
        <v>336</v>
      </c>
      <c r="D255" s="1016">
        <v>404</v>
      </c>
      <c r="E255" s="182" t="str">
        <f>'Sch 3 - Expenses'!E95</f>
        <v>DIRECT</v>
      </c>
      <c r="F255" s="890"/>
      <c r="G255" s="182">
        <f>'Sch 3 - Expenses'!G95</f>
        <v>668326.76052095089</v>
      </c>
      <c r="H255" s="182">
        <f>'Sch 3 - Expenses'!H95</f>
        <v>380607.82273420098</v>
      </c>
      <c r="I255" s="182">
        <f>'Sch 3 - Expenses'!I95</f>
        <v>0</v>
      </c>
      <c r="J255" s="183">
        <f>'Sch 3 - Expenses'!J95</f>
        <v>287718.93778674991</v>
      </c>
      <c r="K255" s="904">
        <f t="shared" si="629"/>
        <v>0</v>
      </c>
      <c r="O255" s="1117">
        <f t="shared" si="710"/>
        <v>668326.76052095089</v>
      </c>
      <c r="P255" s="1118">
        <f t="shared" si="630"/>
        <v>380607.82273420098</v>
      </c>
      <c r="Q255" s="1118">
        <f t="shared" si="631"/>
        <v>0</v>
      </c>
      <c r="R255" s="1118">
        <f t="shared" si="632"/>
        <v>287718.93778674991</v>
      </c>
      <c r="S255" s="1074"/>
      <c r="W255" s="1117">
        <f t="shared" si="711"/>
        <v>668326.76052095089</v>
      </c>
      <c r="X255" s="1118">
        <f t="shared" si="633"/>
        <v>380607.82273420098</v>
      </c>
      <c r="Y255" s="1118">
        <f t="shared" si="634"/>
        <v>0</v>
      </c>
      <c r="Z255" s="1118">
        <f t="shared" si="635"/>
        <v>287718.93778674991</v>
      </c>
      <c r="AA255" s="1074"/>
      <c r="AE255" s="1117">
        <f t="shared" si="712"/>
        <v>668326.76052095089</v>
      </c>
      <c r="AF255" s="1118">
        <f t="shared" si="636"/>
        <v>380607.82273420098</v>
      </c>
      <c r="AG255" s="1118">
        <f t="shared" si="637"/>
        <v>0</v>
      </c>
      <c r="AH255" s="1118">
        <f t="shared" si="638"/>
        <v>287718.93778674991</v>
      </c>
      <c r="AI255" s="1074"/>
      <c r="AM255" s="1117">
        <f t="shared" si="713"/>
        <v>668326.76052095089</v>
      </c>
      <c r="AN255" s="1118">
        <f t="shared" si="639"/>
        <v>380607.82273420098</v>
      </c>
      <c r="AO255" s="1118">
        <f t="shared" si="640"/>
        <v>0</v>
      </c>
      <c r="AP255" s="1118">
        <f t="shared" si="641"/>
        <v>287718.93778674991</v>
      </c>
      <c r="AQ255" s="1074"/>
      <c r="AU255" s="1117">
        <f t="shared" si="714"/>
        <v>668326.76052095089</v>
      </c>
      <c r="AV255" s="1118">
        <f t="shared" si="642"/>
        <v>380607.82273420098</v>
      </c>
      <c r="AW255" s="1118">
        <f t="shared" si="643"/>
        <v>0</v>
      </c>
      <c r="AX255" s="1118">
        <f t="shared" si="644"/>
        <v>287718.93778674991</v>
      </c>
      <c r="AY255" s="1074"/>
      <c r="BC255" s="1117">
        <f t="shared" si="715"/>
        <v>668326.76052095089</v>
      </c>
      <c r="BD255" s="1118">
        <f t="shared" si="645"/>
        <v>380607.82273420098</v>
      </c>
      <c r="BE255" s="1118">
        <f t="shared" si="646"/>
        <v>0</v>
      </c>
      <c r="BF255" s="1118">
        <f t="shared" si="647"/>
        <v>287718.93778674991</v>
      </c>
      <c r="BG255" s="1074"/>
      <c r="BK255" s="1117">
        <f t="shared" si="716"/>
        <v>668326.76052095089</v>
      </c>
      <c r="BL255" s="1118">
        <f t="shared" si="648"/>
        <v>380607.82273420098</v>
      </c>
      <c r="BM255" s="1118">
        <f t="shared" si="649"/>
        <v>0</v>
      </c>
      <c r="BN255" s="1118">
        <f t="shared" si="650"/>
        <v>287718.93778674991</v>
      </c>
      <c r="BO255" s="1074"/>
      <c r="BS255" s="1117">
        <f t="shared" si="717"/>
        <v>668326.76052095089</v>
      </c>
      <c r="BT255" s="1118">
        <f t="shared" si="651"/>
        <v>380607.82273420098</v>
      </c>
      <c r="BU255" s="1118">
        <f t="shared" si="652"/>
        <v>0</v>
      </c>
      <c r="BV255" s="1118">
        <f t="shared" si="653"/>
        <v>287718.93778674991</v>
      </c>
      <c r="BW255" s="1074"/>
      <c r="CA255" s="1117">
        <f t="shared" si="718"/>
        <v>668326.76052095089</v>
      </c>
      <c r="CB255" s="1118">
        <f t="shared" si="654"/>
        <v>380607.82273420098</v>
      </c>
      <c r="CC255" s="1118">
        <f t="shared" si="655"/>
        <v>0</v>
      </c>
      <c r="CD255" s="1118">
        <f t="shared" si="656"/>
        <v>287718.93778674991</v>
      </c>
      <c r="CE255" s="1074"/>
      <c r="CI255" s="1117">
        <f t="shared" si="719"/>
        <v>668326.76052095089</v>
      </c>
      <c r="CJ255" s="1118">
        <f t="shared" si="657"/>
        <v>380607.82273420098</v>
      </c>
      <c r="CK255" s="1118">
        <f t="shared" si="658"/>
        <v>0</v>
      </c>
      <c r="CL255" s="1118">
        <f t="shared" si="659"/>
        <v>287718.93778674991</v>
      </c>
      <c r="CM255" s="1074"/>
      <c r="CQ255" s="1117">
        <f t="shared" si="720"/>
        <v>668326.76052095089</v>
      </c>
      <c r="CR255" s="1118">
        <f t="shared" si="660"/>
        <v>380607.82273420098</v>
      </c>
      <c r="CS255" s="1118">
        <f t="shared" si="661"/>
        <v>0</v>
      </c>
      <c r="CT255" s="1118">
        <f t="shared" si="662"/>
        <v>287718.93778674991</v>
      </c>
      <c r="CU255" s="1074"/>
      <c r="CY255" s="1117">
        <f t="shared" si="721"/>
        <v>668326.76052095089</v>
      </c>
      <c r="CZ255" s="1118">
        <f t="shared" si="663"/>
        <v>380607.82273420098</v>
      </c>
      <c r="DA255" s="1118">
        <f t="shared" si="664"/>
        <v>0</v>
      </c>
      <c r="DB255" s="1118">
        <f t="shared" si="665"/>
        <v>287718.93778674991</v>
      </c>
      <c r="DC255" s="1074"/>
      <c r="DG255" s="1117">
        <f t="shared" si="722"/>
        <v>668326.76052095089</v>
      </c>
      <c r="DH255" s="1118">
        <f t="shared" si="666"/>
        <v>380607.82273420098</v>
      </c>
      <c r="DI255" s="1118">
        <f t="shared" si="667"/>
        <v>0</v>
      </c>
      <c r="DJ255" s="1118">
        <f t="shared" si="668"/>
        <v>287718.93778674991</v>
      </c>
      <c r="DK255" s="1074"/>
      <c r="DO255" s="1117">
        <f t="shared" si="723"/>
        <v>668326.76052095089</v>
      </c>
      <c r="DP255" s="1118">
        <f t="shared" si="669"/>
        <v>380607.82273420098</v>
      </c>
      <c r="DQ255" s="1118">
        <f t="shared" si="670"/>
        <v>0</v>
      </c>
      <c r="DR255" s="1118">
        <f t="shared" si="671"/>
        <v>287718.93778674991</v>
      </c>
      <c r="DS255" s="1074"/>
      <c r="DW255" s="1117">
        <f t="shared" si="724"/>
        <v>668326.76052095089</v>
      </c>
      <c r="DX255" s="1118">
        <f t="shared" si="672"/>
        <v>380607.82273420098</v>
      </c>
      <c r="DY255" s="1118">
        <f t="shared" si="673"/>
        <v>0</v>
      </c>
      <c r="DZ255" s="1118">
        <f t="shared" si="674"/>
        <v>287718.93778674991</v>
      </c>
      <c r="EA255" s="1074"/>
      <c r="EE255" s="1117">
        <f t="shared" si="725"/>
        <v>668326.76052095089</v>
      </c>
      <c r="EF255" s="1118">
        <f t="shared" si="675"/>
        <v>380607.82273420098</v>
      </c>
      <c r="EG255" s="1118">
        <f t="shared" si="676"/>
        <v>0</v>
      </c>
      <c r="EH255" s="1118">
        <f t="shared" si="677"/>
        <v>287718.93778674991</v>
      </c>
      <c r="EI255" s="1074"/>
      <c r="EM255" s="1117">
        <f t="shared" si="726"/>
        <v>668326.76052095089</v>
      </c>
      <c r="EN255" s="1118">
        <f t="shared" si="678"/>
        <v>380607.82273420098</v>
      </c>
      <c r="EO255" s="1118">
        <f t="shared" si="679"/>
        <v>0</v>
      </c>
      <c r="EP255" s="1118">
        <f t="shared" si="680"/>
        <v>287718.93778674991</v>
      </c>
      <c r="EQ255" s="1074"/>
      <c r="EU255" s="1117">
        <f t="shared" si="727"/>
        <v>668326.76052095089</v>
      </c>
      <c r="EV255" s="1118">
        <f t="shared" si="681"/>
        <v>380607.82273420098</v>
      </c>
      <c r="EW255" s="1118">
        <f t="shared" si="682"/>
        <v>0</v>
      </c>
      <c r="EX255" s="1118">
        <f t="shared" si="683"/>
        <v>287718.93778674991</v>
      </c>
      <c r="EY255" s="1074"/>
      <c r="FC255" s="1117">
        <f t="shared" si="728"/>
        <v>668326.76052095089</v>
      </c>
      <c r="FD255" s="1118">
        <f t="shared" si="684"/>
        <v>380607.82273420098</v>
      </c>
      <c r="FE255" s="1118">
        <f t="shared" si="685"/>
        <v>0</v>
      </c>
      <c r="FF255" s="1118">
        <f t="shared" si="686"/>
        <v>287718.93778674991</v>
      </c>
      <c r="FG255" s="1074"/>
      <c r="FK255" s="1117">
        <f t="shared" si="729"/>
        <v>668326.76052095089</v>
      </c>
      <c r="FL255" s="1118">
        <f t="shared" si="687"/>
        <v>380607.82273420098</v>
      </c>
      <c r="FM255" s="1118">
        <f t="shared" si="688"/>
        <v>0</v>
      </c>
      <c r="FN255" s="1118">
        <f t="shared" si="689"/>
        <v>287718.93778674991</v>
      </c>
      <c r="FO255" s="1074"/>
    </row>
    <row r="256" spans="1:171" x14ac:dyDescent="0.25">
      <c r="A256" s="945"/>
      <c r="B256" s="914" t="s">
        <v>30</v>
      </c>
      <c r="C256" s="889" t="s">
        <v>69</v>
      </c>
      <c r="D256" s="1016">
        <v>114</v>
      </c>
      <c r="E256" s="182" t="str">
        <f>'Sch 3 - Expenses'!E96</f>
        <v>DIRECT</v>
      </c>
      <c r="F256" s="890"/>
      <c r="G256" s="182">
        <f>'Sch 3 - Expenses'!G96</f>
        <v>30235.05476747407</v>
      </c>
      <c r="H256" s="182">
        <f>'Sch 3 - Expenses'!H96</f>
        <v>30235.05476747407</v>
      </c>
      <c r="I256" s="182">
        <f>'Sch 3 - Expenses'!I96</f>
        <v>0</v>
      </c>
      <c r="J256" s="183">
        <f>'Sch 3 - Expenses'!J96</f>
        <v>0</v>
      </c>
      <c r="K256" s="904">
        <f t="shared" si="629"/>
        <v>0</v>
      </c>
      <c r="O256" s="1117">
        <f t="shared" si="710"/>
        <v>30235.05476747407</v>
      </c>
      <c r="P256" s="1118">
        <f t="shared" si="630"/>
        <v>30235.05476747407</v>
      </c>
      <c r="Q256" s="1118">
        <f t="shared" si="631"/>
        <v>0</v>
      </c>
      <c r="R256" s="1118">
        <f t="shared" si="632"/>
        <v>0</v>
      </c>
      <c r="S256" s="1074"/>
      <c r="W256" s="1117">
        <f t="shared" si="711"/>
        <v>30235.05476747407</v>
      </c>
      <c r="X256" s="1118">
        <f t="shared" si="633"/>
        <v>30235.05476747407</v>
      </c>
      <c r="Y256" s="1118">
        <f t="shared" si="634"/>
        <v>0</v>
      </c>
      <c r="Z256" s="1118">
        <f t="shared" si="635"/>
        <v>0</v>
      </c>
      <c r="AA256" s="1074"/>
      <c r="AE256" s="1117">
        <f t="shared" si="712"/>
        <v>30235.05476747407</v>
      </c>
      <c r="AF256" s="1118">
        <f t="shared" si="636"/>
        <v>30235.05476747407</v>
      </c>
      <c r="AG256" s="1118">
        <f t="shared" si="637"/>
        <v>0</v>
      </c>
      <c r="AH256" s="1118">
        <f t="shared" si="638"/>
        <v>0</v>
      </c>
      <c r="AI256" s="1074"/>
      <c r="AM256" s="1117">
        <f t="shared" si="713"/>
        <v>30235.05476747407</v>
      </c>
      <c r="AN256" s="1118">
        <f t="shared" si="639"/>
        <v>30235.05476747407</v>
      </c>
      <c r="AO256" s="1118">
        <f t="shared" si="640"/>
        <v>0</v>
      </c>
      <c r="AP256" s="1118">
        <f t="shared" si="641"/>
        <v>0</v>
      </c>
      <c r="AQ256" s="1074"/>
      <c r="AU256" s="1117">
        <f t="shared" si="714"/>
        <v>30235.05476747407</v>
      </c>
      <c r="AV256" s="1118">
        <f t="shared" si="642"/>
        <v>30235.05476747407</v>
      </c>
      <c r="AW256" s="1118">
        <f t="shared" si="643"/>
        <v>0</v>
      </c>
      <c r="AX256" s="1118">
        <f t="shared" si="644"/>
        <v>0</v>
      </c>
      <c r="AY256" s="1074"/>
      <c r="BC256" s="1117">
        <f t="shared" si="715"/>
        <v>30235.05476747407</v>
      </c>
      <c r="BD256" s="1118">
        <f t="shared" si="645"/>
        <v>30235.05476747407</v>
      </c>
      <c r="BE256" s="1118">
        <f t="shared" si="646"/>
        <v>0</v>
      </c>
      <c r="BF256" s="1118">
        <f t="shared" si="647"/>
        <v>0</v>
      </c>
      <c r="BG256" s="1074"/>
      <c r="BK256" s="1117">
        <f t="shared" si="716"/>
        <v>30235.05476747407</v>
      </c>
      <c r="BL256" s="1118">
        <f t="shared" si="648"/>
        <v>30235.05476747407</v>
      </c>
      <c r="BM256" s="1118">
        <f t="shared" si="649"/>
        <v>0</v>
      </c>
      <c r="BN256" s="1118">
        <f t="shared" si="650"/>
        <v>0</v>
      </c>
      <c r="BO256" s="1074"/>
      <c r="BS256" s="1117">
        <f t="shared" si="717"/>
        <v>30235.05476747407</v>
      </c>
      <c r="BT256" s="1118">
        <f t="shared" si="651"/>
        <v>30235.05476747407</v>
      </c>
      <c r="BU256" s="1118">
        <f t="shared" si="652"/>
        <v>0</v>
      </c>
      <c r="BV256" s="1118">
        <f t="shared" si="653"/>
        <v>0</v>
      </c>
      <c r="BW256" s="1074"/>
      <c r="CA256" s="1117">
        <f t="shared" si="718"/>
        <v>30235.05476747407</v>
      </c>
      <c r="CB256" s="1118">
        <f t="shared" si="654"/>
        <v>30235.05476747407</v>
      </c>
      <c r="CC256" s="1118">
        <f t="shared" si="655"/>
        <v>0</v>
      </c>
      <c r="CD256" s="1118">
        <f t="shared" si="656"/>
        <v>0</v>
      </c>
      <c r="CE256" s="1074"/>
      <c r="CI256" s="1117">
        <f t="shared" si="719"/>
        <v>30235.05476747407</v>
      </c>
      <c r="CJ256" s="1118">
        <f t="shared" si="657"/>
        <v>30235.05476747407</v>
      </c>
      <c r="CK256" s="1118">
        <f t="shared" si="658"/>
        <v>0</v>
      </c>
      <c r="CL256" s="1118">
        <f t="shared" si="659"/>
        <v>0</v>
      </c>
      <c r="CM256" s="1074"/>
      <c r="CQ256" s="1117">
        <f t="shared" si="720"/>
        <v>30235.05476747407</v>
      </c>
      <c r="CR256" s="1118">
        <f t="shared" si="660"/>
        <v>30235.05476747407</v>
      </c>
      <c r="CS256" s="1118">
        <f t="shared" si="661"/>
        <v>0</v>
      </c>
      <c r="CT256" s="1118">
        <f t="shared" si="662"/>
        <v>0</v>
      </c>
      <c r="CU256" s="1074"/>
      <c r="CY256" s="1117">
        <f t="shared" si="721"/>
        <v>30235.05476747407</v>
      </c>
      <c r="CZ256" s="1118">
        <f t="shared" si="663"/>
        <v>30235.05476747407</v>
      </c>
      <c r="DA256" s="1118">
        <f t="shared" si="664"/>
        <v>0</v>
      </c>
      <c r="DB256" s="1118">
        <f t="shared" si="665"/>
        <v>0</v>
      </c>
      <c r="DC256" s="1074"/>
      <c r="DG256" s="1117">
        <f t="shared" si="722"/>
        <v>30235.05476747407</v>
      </c>
      <c r="DH256" s="1118">
        <f t="shared" si="666"/>
        <v>30235.05476747407</v>
      </c>
      <c r="DI256" s="1118">
        <f t="shared" si="667"/>
        <v>0</v>
      </c>
      <c r="DJ256" s="1118">
        <f t="shared" si="668"/>
        <v>0</v>
      </c>
      <c r="DK256" s="1074"/>
      <c r="DO256" s="1117">
        <f t="shared" si="723"/>
        <v>30235.05476747407</v>
      </c>
      <c r="DP256" s="1118">
        <f t="shared" si="669"/>
        <v>30235.05476747407</v>
      </c>
      <c r="DQ256" s="1118">
        <f t="shared" si="670"/>
        <v>0</v>
      </c>
      <c r="DR256" s="1118">
        <f t="shared" si="671"/>
        <v>0</v>
      </c>
      <c r="DS256" s="1074"/>
      <c r="DW256" s="1117">
        <f t="shared" si="724"/>
        <v>30235.05476747407</v>
      </c>
      <c r="DX256" s="1118">
        <f t="shared" si="672"/>
        <v>30235.05476747407</v>
      </c>
      <c r="DY256" s="1118">
        <f t="shared" si="673"/>
        <v>0</v>
      </c>
      <c r="DZ256" s="1118">
        <f t="shared" si="674"/>
        <v>0</v>
      </c>
      <c r="EA256" s="1074"/>
      <c r="EE256" s="1117">
        <f t="shared" si="725"/>
        <v>30235.05476747407</v>
      </c>
      <c r="EF256" s="1118">
        <f t="shared" si="675"/>
        <v>30235.05476747407</v>
      </c>
      <c r="EG256" s="1118">
        <f t="shared" si="676"/>
        <v>0</v>
      </c>
      <c r="EH256" s="1118">
        <f t="shared" si="677"/>
        <v>0</v>
      </c>
      <c r="EI256" s="1074"/>
      <c r="EM256" s="1117">
        <f t="shared" si="726"/>
        <v>30235.05476747407</v>
      </c>
      <c r="EN256" s="1118">
        <f t="shared" si="678"/>
        <v>30235.05476747407</v>
      </c>
      <c r="EO256" s="1118">
        <f t="shared" si="679"/>
        <v>0</v>
      </c>
      <c r="EP256" s="1118">
        <f t="shared" si="680"/>
        <v>0</v>
      </c>
      <c r="EQ256" s="1074"/>
      <c r="EU256" s="1117">
        <f t="shared" si="727"/>
        <v>30235.05476747407</v>
      </c>
      <c r="EV256" s="1118">
        <f t="shared" si="681"/>
        <v>30235.05476747407</v>
      </c>
      <c r="EW256" s="1118">
        <f t="shared" si="682"/>
        <v>0</v>
      </c>
      <c r="EX256" s="1118">
        <f t="shared" si="683"/>
        <v>0</v>
      </c>
      <c r="EY256" s="1074"/>
      <c r="FC256" s="1117">
        <f t="shared" si="728"/>
        <v>30235.05476747407</v>
      </c>
      <c r="FD256" s="1118">
        <f t="shared" si="684"/>
        <v>30235.05476747407</v>
      </c>
      <c r="FE256" s="1118">
        <f t="shared" si="685"/>
        <v>0</v>
      </c>
      <c r="FF256" s="1118">
        <f t="shared" si="686"/>
        <v>0</v>
      </c>
      <c r="FG256" s="1074"/>
      <c r="FK256" s="1117">
        <f t="shared" si="729"/>
        <v>30235.05476747407</v>
      </c>
      <c r="FL256" s="1118">
        <f t="shared" si="687"/>
        <v>30235.05476747407</v>
      </c>
      <c r="FM256" s="1118">
        <f t="shared" si="688"/>
        <v>0</v>
      </c>
      <c r="FN256" s="1118">
        <f t="shared" si="689"/>
        <v>0</v>
      </c>
      <c r="FO256" s="1074"/>
    </row>
    <row r="257" spans="1:171" x14ac:dyDescent="0.25">
      <c r="A257" s="163" t="s">
        <v>471</v>
      </c>
      <c r="B257" s="10"/>
      <c r="C257" s="915"/>
      <c r="D257" s="916"/>
      <c r="E257" s="916"/>
      <c r="F257" s="917"/>
      <c r="G257" s="924">
        <f>SUM(G241:G256)</f>
        <v>428440359.25316298</v>
      </c>
      <c r="H257" s="924">
        <f>SUM(H241:H256)</f>
        <v>257525935.50398934</v>
      </c>
      <c r="I257" s="924">
        <f>SUM(I241:I256)</f>
        <v>0</v>
      </c>
      <c r="J257" s="1391">
        <f>SUM(J241:J256)</f>
        <v>170942745.52078518</v>
      </c>
      <c r="K257" s="904"/>
      <c r="O257" s="1136">
        <f>SUM(O241:O256)</f>
        <v>428440359.25316298</v>
      </c>
      <c r="P257" s="1136">
        <f>SUM(P241:P256)</f>
        <v>257525935.50398934</v>
      </c>
      <c r="Q257" s="1136">
        <f>SUM(Q241:Q256)</f>
        <v>61116679.439811848</v>
      </c>
      <c r="R257" s="1136">
        <f>SUM(R241:R256)</f>
        <v>109797744.3093618</v>
      </c>
      <c r="S257" s="1074"/>
      <c r="W257" s="1136">
        <f>SUM(W241:W256)</f>
        <v>428440359.25316298</v>
      </c>
      <c r="X257" s="1136">
        <f>SUM(X241:X256)</f>
        <v>257525935.50398934</v>
      </c>
      <c r="Y257" s="1136">
        <f>SUM(Y241:Y256)</f>
        <v>61116679.439811848</v>
      </c>
      <c r="Z257" s="1136">
        <f>SUM(Z241:Z256)</f>
        <v>109797744.3093618</v>
      </c>
      <c r="AA257" s="1074"/>
      <c r="AE257" s="1136">
        <f>SUM(AE241:AE256)</f>
        <v>428440359.25316298</v>
      </c>
      <c r="AF257" s="1136">
        <f>SUM(AF241:AF256)</f>
        <v>257525935.50398934</v>
      </c>
      <c r="AG257" s="1136">
        <f>SUM(AG241:AG256)</f>
        <v>61116679.439811848</v>
      </c>
      <c r="AH257" s="1136">
        <f>SUM(AH241:AH256)</f>
        <v>109797744.3093618</v>
      </c>
      <c r="AI257" s="1074"/>
      <c r="AM257" s="1136">
        <f>SUM(AM241:AM256)</f>
        <v>428440359.25316298</v>
      </c>
      <c r="AN257" s="1136">
        <f>SUM(AN241:AN256)</f>
        <v>257525935.50398934</v>
      </c>
      <c r="AO257" s="1136">
        <f>SUM(AO241:AO256)</f>
        <v>61116679.439811848</v>
      </c>
      <c r="AP257" s="1136">
        <f>SUM(AP241:AP256)</f>
        <v>109797744.3093618</v>
      </c>
      <c r="AQ257" s="1074"/>
      <c r="AU257" s="1136">
        <f>SUM(AU241:AU256)</f>
        <v>428440359.25316298</v>
      </c>
      <c r="AV257" s="1136">
        <f>SUM(AV241:AV256)</f>
        <v>257525935.50398934</v>
      </c>
      <c r="AW257" s="1136">
        <f>SUM(AW241:AW256)</f>
        <v>61116679.439811848</v>
      </c>
      <c r="AX257" s="1136">
        <f>SUM(AX241:AX256)</f>
        <v>109797744.3093618</v>
      </c>
      <c r="AY257" s="1074"/>
      <c r="BC257" s="1136">
        <f>SUM(BC241:BC256)</f>
        <v>428440359.25316298</v>
      </c>
      <c r="BD257" s="1136">
        <f>SUM(BD241:BD256)</f>
        <v>257525935.50398934</v>
      </c>
      <c r="BE257" s="1136">
        <f>SUM(BE241:BE256)</f>
        <v>61116679.439811848</v>
      </c>
      <c r="BF257" s="1136">
        <f>SUM(BF241:BF256)</f>
        <v>109797744.3093618</v>
      </c>
      <c r="BG257" s="1074"/>
      <c r="BK257" s="1136">
        <f>SUM(BK241:BK256)</f>
        <v>428440359.25316298</v>
      </c>
      <c r="BL257" s="1136">
        <f>SUM(BL241:BL256)</f>
        <v>257525935.50398934</v>
      </c>
      <c r="BM257" s="1136">
        <f>SUM(BM241:BM256)</f>
        <v>61116679.439811848</v>
      </c>
      <c r="BN257" s="1136">
        <f>SUM(BN241:BN256)</f>
        <v>109797744.3093618</v>
      </c>
      <c r="BO257" s="1074"/>
      <c r="BS257" s="1136">
        <f>SUM(BS241:BS256)</f>
        <v>428440359.25316298</v>
      </c>
      <c r="BT257" s="1136">
        <f>SUM(BT241:BT256)</f>
        <v>257525935.50398934</v>
      </c>
      <c r="BU257" s="1136">
        <f>SUM(BU241:BU256)</f>
        <v>61116679.439811848</v>
      </c>
      <c r="BV257" s="1136">
        <f>SUM(BV241:BV256)</f>
        <v>109797744.3093618</v>
      </c>
      <c r="BW257" s="1074"/>
      <c r="CA257" s="1136">
        <f>SUM(CA241:CA256)</f>
        <v>428440359.25316298</v>
      </c>
      <c r="CB257" s="1136">
        <f>SUM(CB241:CB256)</f>
        <v>257525935.50398934</v>
      </c>
      <c r="CC257" s="1136">
        <f>SUM(CC241:CC256)</f>
        <v>61116679.439811848</v>
      </c>
      <c r="CD257" s="1136">
        <f>SUM(CD241:CD256)</f>
        <v>109797744.3093618</v>
      </c>
      <c r="CE257" s="1074"/>
      <c r="CI257" s="1136">
        <f>SUM(CI241:CI256)</f>
        <v>428440359.25316298</v>
      </c>
      <c r="CJ257" s="1136">
        <f>SUM(CJ241:CJ256)</f>
        <v>257525935.50398934</v>
      </c>
      <c r="CK257" s="1136">
        <f>SUM(CK241:CK256)</f>
        <v>61116679.439811848</v>
      </c>
      <c r="CL257" s="1136">
        <f>SUM(CL241:CL256)</f>
        <v>109797744.3093618</v>
      </c>
      <c r="CM257" s="1074"/>
      <c r="CQ257" s="1136">
        <f>SUM(CQ241:CQ256)</f>
        <v>428440359.25316298</v>
      </c>
      <c r="CR257" s="1136">
        <f>SUM(CR241:CR256)</f>
        <v>257525935.50398934</v>
      </c>
      <c r="CS257" s="1136">
        <f>SUM(CS241:CS256)</f>
        <v>61116679.439811848</v>
      </c>
      <c r="CT257" s="1136">
        <f>SUM(CT241:CT256)</f>
        <v>109797744.3093618</v>
      </c>
      <c r="CU257" s="1074"/>
      <c r="CY257" s="1136">
        <f>SUM(CY241:CY256)</f>
        <v>428440359.25316298</v>
      </c>
      <c r="CZ257" s="1136">
        <f>SUM(CZ241:CZ256)</f>
        <v>257525935.50398934</v>
      </c>
      <c r="DA257" s="1136">
        <f>SUM(DA241:DA256)</f>
        <v>61116679.439811848</v>
      </c>
      <c r="DB257" s="1136">
        <f>SUM(DB241:DB256)</f>
        <v>109797744.3093618</v>
      </c>
      <c r="DC257" s="1074"/>
      <c r="DG257" s="1136">
        <f>SUM(DG241:DG256)</f>
        <v>428440359.25316298</v>
      </c>
      <c r="DH257" s="1136">
        <f>SUM(DH241:DH256)</f>
        <v>257525935.50398934</v>
      </c>
      <c r="DI257" s="1136">
        <f>SUM(DI241:DI256)</f>
        <v>61116679.439811848</v>
      </c>
      <c r="DJ257" s="1136">
        <f>SUM(DJ241:DJ256)</f>
        <v>109797744.3093618</v>
      </c>
      <c r="DK257" s="1074"/>
      <c r="DO257" s="1136">
        <f>SUM(DO241:DO256)</f>
        <v>428440359.25316298</v>
      </c>
      <c r="DP257" s="1136">
        <f>SUM(DP241:DP256)</f>
        <v>257525935.50398934</v>
      </c>
      <c r="DQ257" s="1136">
        <f>SUM(DQ241:DQ256)</f>
        <v>61116679.439811848</v>
      </c>
      <c r="DR257" s="1136">
        <f>SUM(DR241:DR256)</f>
        <v>109797744.3093618</v>
      </c>
      <c r="DS257" s="1074"/>
      <c r="DW257" s="1136">
        <f>SUM(DW241:DW256)</f>
        <v>428440359.25316298</v>
      </c>
      <c r="DX257" s="1136">
        <f>SUM(DX241:DX256)</f>
        <v>257525935.50398934</v>
      </c>
      <c r="DY257" s="1136">
        <f>SUM(DY241:DY256)</f>
        <v>61116679.439811848</v>
      </c>
      <c r="DZ257" s="1136">
        <f>SUM(DZ241:DZ256)</f>
        <v>109797744.3093618</v>
      </c>
      <c r="EA257" s="1074"/>
      <c r="EE257" s="1136">
        <f>SUM(EE241:EE256)</f>
        <v>428440359.25316298</v>
      </c>
      <c r="EF257" s="1136">
        <f>SUM(EF241:EF256)</f>
        <v>257525935.50398934</v>
      </c>
      <c r="EG257" s="1136">
        <f>SUM(EG241:EG256)</f>
        <v>61116679.439811848</v>
      </c>
      <c r="EH257" s="1136">
        <f>SUM(EH241:EH256)</f>
        <v>109797744.3093618</v>
      </c>
      <c r="EI257" s="1074"/>
      <c r="EM257" s="1136">
        <f>SUM(EM241:EM256)</f>
        <v>428440359.25316298</v>
      </c>
      <c r="EN257" s="1136">
        <f>SUM(EN241:EN256)</f>
        <v>257525935.50398934</v>
      </c>
      <c r="EO257" s="1136">
        <f>SUM(EO241:EO256)</f>
        <v>61116679.439811848</v>
      </c>
      <c r="EP257" s="1136">
        <f>SUM(EP241:EP256)</f>
        <v>109797744.3093618</v>
      </c>
      <c r="EQ257" s="1074"/>
      <c r="EU257" s="1136">
        <f>SUM(EU241:EU256)</f>
        <v>428440359.25316298</v>
      </c>
      <c r="EV257" s="1136">
        <f>SUM(EV241:EV256)</f>
        <v>257525935.50398934</v>
      </c>
      <c r="EW257" s="1136">
        <f>SUM(EW241:EW256)</f>
        <v>61116679.439811848</v>
      </c>
      <c r="EX257" s="1136">
        <f>SUM(EX241:EX256)</f>
        <v>109797744.3093618</v>
      </c>
      <c r="EY257" s="1074"/>
      <c r="FC257" s="1136">
        <f>SUM(FC241:FC256)</f>
        <v>428440359.25316298</v>
      </c>
      <c r="FD257" s="1136">
        <f>SUM(FD241:FD256)</f>
        <v>257525935.50398934</v>
      </c>
      <c r="FE257" s="1136">
        <f>SUM(FE241:FE256)</f>
        <v>61116679.439811848</v>
      </c>
      <c r="FF257" s="1136">
        <f>SUM(FF241:FF256)</f>
        <v>109797744.3093618</v>
      </c>
      <c r="FG257" s="1074"/>
      <c r="FK257" s="1136">
        <f>SUM(FK241:FK256)</f>
        <v>428440359.25316298</v>
      </c>
      <c r="FL257" s="1136">
        <f>SUM(FL241:FL256)</f>
        <v>257525935.50398934</v>
      </c>
      <c r="FM257" s="1136">
        <f>SUM(FM241:FM256)</f>
        <v>61116679.439811848</v>
      </c>
      <c r="FN257" s="1136">
        <f>SUM(FN241:FN256)</f>
        <v>109797744.3093618</v>
      </c>
      <c r="FO257" s="1074"/>
    </row>
    <row r="258" spans="1:171" x14ac:dyDescent="0.25">
      <c r="A258" s="163"/>
      <c r="B258" s="10"/>
      <c r="C258" s="55"/>
      <c r="D258" s="196"/>
      <c r="E258" s="10"/>
      <c r="F258" s="10"/>
      <c r="G258" s="1017"/>
      <c r="H258" s="1018"/>
      <c r="I258" s="1018"/>
      <c r="J258" s="1019"/>
      <c r="K258" s="904"/>
      <c r="S258" s="1074"/>
      <c r="AA258" s="1074"/>
      <c r="AI258" s="1074"/>
      <c r="AQ258" s="1074"/>
      <c r="AY258" s="1074"/>
      <c r="BG258" s="1074"/>
      <c r="BO258" s="1074"/>
      <c r="BW258" s="1074"/>
      <c r="CE258" s="1074"/>
      <c r="CM258" s="1074"/>
      <c r="CU258" s="1074"/>
      <c r="DC258" s="1074"/>
      <c r="DK258" s="1074"/>
      <c r="DS258" s="1074"/>
      <c r="EA258" s="1074"/>
      <c r="EI258" s="1074"/>
      <c r="EQ258" s="1074"/>
      <c r="EY258" s="1074"/>
      <c r="FG258" s="1074"/>
      <c r="FO258" s="1074"/>
    </row>
    <row r="259" spans="1:171" x14ac:dyDescent="0.25">
      <c r="A259" s="170"/>
      <c r="B259" s="79"/>
      <c r="C259" s="79"/>
      <c r="D259" s="79"/>
      <c r="E259" s="79"/>
      <c r="F259" s="79"/>
      <c r="G259" s="1012"/>
      <c r="H259" s="1"/>
      <c r="I259" s="1"/>
      <c r="J259" s="171"/>
      <c r="K259" s="904"/>
      <c r="S259" s="1074"/>
      <c r="AA259" s="1074"/>
      <c r="AI259" s="1074"/>
      <c r="AQ259" s="1074"/>
      <c r="AY259" s="1074"/>
      <c r="BG259" s="1074"/>
      <c r="BO259" s="1074"/>
      <c r="BW259" s="1074"/>
      <c r="CE259" s="1074"/>
      <c r="CM259" s="1074"/>
      <c r="CU259" s="1074"/>
      <c r="DC259" s="1074"/>
      <c r="DK259" s="1074"/>
      <c r="DS259" s="1074"/>
      <c r="EA259" s="1074"/>
      <c r="EI259" s="1074"/>
      <c r="EQ259" s="1074"/>
      <c r="EY259" s="1074"/>
      <c r="FG259" s="1074"/>
      <c r="FO259" s="1074"/>
    </row>
    <row r="260" spans="1:171" x14ac:dyDescent="0.25">
      <c r="A260" s="163" t="s">
        <v>50</v>
      </c>
      <c r="B260" s="64"/>
      <c r="C260" s="915"/>
      <c r="D260" s="916"/>
      <c r="E260" s="916"/>
      <c r="F260" s="917"/>
      <c r="G260" s="924">
        <f>G237+G257</f>
        <v>3229555827.293632</v>
      </c>
      <c r="H260" s="924">
        <f>H237+H257</f>
        <v>2306462730.3009195</v>
      </c>
      <c r="I260" s="924">
        <f>I237+I257</f>
        <v>0</v>
      </c>
      <c r="J260" s="1391">
        <f>J237+J257</f>
        <v>923118347.54036522</v>
      </c>
      <c r="K260" s="904"/>
      <c r="O260" s="1137">
        <f>O237+O257</f>
        <v>3229555827.293632</v>
      </c>
      <c r="P260" s="1137">
        <f>P237+P257</f>
        <v>2306462730.3009195</v>
      </c>
      <c r="Q260" s="1137">
        <f>Q237+Q257</f>
        <v>116461850.98615821</v>
      </c>
      <c r="R260" s="1137">
        <f>R237+R257</f>
        <v>806631246.00655472</v>
      </c>
      <c r="S260" s="1074"/>
      <c r="W260" s="1137">
        <f>W237+W257</f>
        <v>3229555827.293632</v>
      </c>
      <c r="X260" s="1137">
        <f>X237+X257</f>
        <v>2306462730.3009195</v>
      </c>
      <c r="Y260" s="1137">
        <f>Y237+Y257</f>
        <v>116461850.98615821</v>
      </c>
      <c r="Z260" s="1137">
        <f>Z237+Z257</f>
        <v>806631246.00655472</v>
      </c>
      <c r="AA260" s="1074"/>
      <c r="AE260" s="1137">
        <f>AE237+AE257</f>
        <v>3229555827.293632</v>
      </c>
      <c r="AF260" s="1137">
        <f>AF237+AF257</f>
        <v>2306462730.3009195</v>
      </c>
      <c r="AG260" s="1137">
        <f>AG237+AG257</f>
        <v>116461850.98615821</v>
      </c>
      <c r="AH260" s="1137">
        <f>AH237+AH257</f>
        <v>806631246.00655472</v>
      </c>
      <c r="AI260" s="1074"/>
      <c r="AM260" s="1137">
        <f>AM237+AM257</f>
        <v>3229555827.293632</v>
      </c>
      <c r="AN260" s="1137">
        <f>AN237+AN257</f>
        <v>2306462730.3009195</v>
      </c>
      <c r="AO260" s="1137">
        <f>AO237+AO257</f>
        <v>116461850.98615821</v>
      </c>
      <c r="AP260" s="1137">
        <f>AP237+AP257</f>
        <v>806631246.00655472</v>
      </c>
      <c r="AQ260" s="1074"/>
      <c r="AU260" s="1137">
        <f>AU237+AU257</f>
        <v>3229555827.293632</v>
      </c>
      <c r="AV260" s="1137">
        <f>AV237+AV257</f>
        <v>2306462730.3009195</v>
      </c>
      <c r="AW260" s="1137">
        <f>AW237+AW257</f>
        <v>116461850.98615821</v>
      </c>
      <c r="AX260" s="1137">
        <f>AX237+AX257</f>
        <v>806631246.00655472</v>
      </c>
      <c r="AY260" s="1074"/>
      <c r="BC260" s="1137">
        <f>BC237+BC257</f>
        <v>3229555827.293632</v>
      </c>
      <c r="BD260" s="1137">
        <f>BD237+BD257</f>
        <v>2306462730.3009195</v>
      </c>
      <c r="BE260" s="1137">
        <f>BE237+BE257</f>
        <v>116461850.98615821</v>
      </c>
      <c r="BF260" s="1137">
        <f>BF237+BF257</f>
        <v>806631246.00655472</v>
      </c>
      <c r="BG260" s="1074"/>
      <c r="BK260" s="1137">
        <f>BK237+BK257</f>
        <v>3229555827.293632</v>
      </c>
      <c r="BL260" s="1137">
        <f>BL237+BL257</f>
        <v>2306462730.3009195</v>
      </c>
      <c r="BM260" s="1137">
        <f>BM237+BM257</f>
        <v>116461850.98615821</v>
      </c>
      <c r="BN260" s="1137">
        <f>BN237+BN257</f>
        <v>806631246.00655472</v>
      </c>
      <c r="BO260" s="1074"/>
      <c r="BS260" s="1137">
        <f>BS237+BS257</f>
        <v>3229555827.293632</v>
      </c>
      <c r="BT260" s="1137">
        <f>BT237+BT257</f>
        <v>2306462730.3009195</v>
      </c>
      <c r="BU260" s="1137">
        <f>BU237+BU257</f>
        <v>116461850.98615821</v>
      </c>
      <c r="BV260" s="1137">
        <f>BV237+BV257</f>
        <v>806631246.00655472</v>
      </c>
      <c r="BW260" s="1074"/>
      <c r="CA260" s="1137">
        <f>CA237+CA257</f>
        <v>3229555827.293632</v>
      </c>
      <c r="CB260" s="1137">
        <f>CB237+CB257</f>
        <v>2306462730.3009195</v>
      </c>
      <c r="CC260" s="1137">
        <f>CC237+CC257</f>
        <v>116461850.98615821</v>
      </c>
      <c r="CD260" s="1137">
        <f>CD237+CD257</f>
        <v>806631246.00655472</v>
      </c>
      <c r="CE260" s="1074"/>
      <c r="CI260" s="1137">
        <f>CI237+CI257</f>
        <v>3229555827.293632</v>
      </c>
      <c r="CJ260" s="1137">
        <f>CJ237+CJ257</f>
        <v>2306462730.3009195</v>
      </c>
      <c r="CK260" s="1137">
        <f>CK237+CK257</f>
        <v>116461850.98615821</v>
      </c>
      <c r="CL260" s="1137">
        <f>CL237+CL257</f>
        <v>806631246.00655472</v>
      </c>
      <c r="CM260" s="1074"/>
      <c r="CQ260" s="1137">
        <f>CQ237+CQ257</f>
        <v>3229555827.293632</v>
      </c>
      <c r="CR260" s="1137">
        <f>CR237+CR257</f>
        <v>2306462730.3009195</v>
      </c>
      <c r="CS260" s="1137">
        <f>CS237+CS257</f>
        <v>116461850.98615821</v>
      </c>
      <c r="CT260" s="1137">
        <f>CT237+CT257</f>
        <v>806631246.00655472</v>
      </c>
      <c r="CU260" s="1074"/>
      <c r="CY260" s="1137">
        <f>CY237+CY257</f>
        <v>3229555827.293632</v>
      </c>
      <c r="CZ260" s="1137">
        <f>CZ237+CZ257</f>
        <v>2306462730.3009195</v>
      </c>
      <c r="DA260" s="1137">
        <f>DA237+DA257</f>
        <v>116461850.98615821</v>
      </c>
      <c r="DB260" s="1137">
        <f>DB237+DB257</f>
        <v>806631246.00655472</v>
      </c>
      <c r="DC260" s="1074"/>
      <c r="DG260" s="1137">
        <f>DG237+DG257</f>
        <v>3229555827.293632</v>
      </c>
      <c r="DH260" s="1137">
        <f>DH237+DH257</f>
        <v>2306462730.3009195</v>
      </c>
      <c r="DI260" s="1137">
        <f>DI237+DI257</f>
        <v>116461850.98615821</v>
      </c>
      <c r="DJ260" s="1137">
        <f>DJ237+DJ257</f>
        <v>806631246.00655472</v>
      </c>
      <c r="DK260" s="1074"/>
      <c r="DO260" s="1137">
        <f>DO237+DO257</f>
        <v>3229555827.293632</v>
      </c>
      <c r="DP260" s="1137">
        <f>DP237+DP257</f>
        <v>2306462730.3009195</v>
      </c>
      <c r="DQ260" s="1137">
        <f>DQ237+DQ257</f>
        <v>116461850.98615821</v>
      </c>
      <c r="DR260" s="1137">
        <f>DR237+DR257</f>
        <v>806631246.00655472</v>
      </c>
      <c r="DS260" s="1074"/>
      <c r="DW260" s="1137">
        <f>DW237+DW257</f>
        <v>3229555827.293632</v>
      </c>
      <c r="DX260" s="1137">
        <f>DX237+DX257</f>
        <v>2306462730.3009195</v>
      </c>
      <c r="DY260" s="1137">
        <f>DY237+DY257</f>
        <v>116461850.98615821</v>
      </c>
      <c r="DZ260" s="1137">
        <f>DZ237+DZ257</f>
        <v>806631246.00655472</v>
      </c>
      <c r="EA260" s="1074"/>
      <c r="EE260" s="1137">
        <f>EE237+EE257</f>
        <v>3229555827.293632</v>
      </c>
      <c r="EF260" s="1137">
        <f>EF237+EF257</f>
        <v>2306462730.3009195</v>
      </c>
      <c r="EG260" s="1137">
        <f>EG237+EG257</f>
        <v>116461850.98615821</v>
      </c>
      <c r="EH260" s="1137">
        <f>EH237+EH257</f>
        <v>806631246.00655472</v>
      </c>
      <c r="EI260" s="1074"/>
      <c r="EM260" s="1137">
        <f>EM237+EM257</f>
        <v>3229555827.293632</v>
      </c>
      <c r="EN260" s="1137">
        <f>EN237+EN257</f>
        <v>2306462730.3009195</v>
      </c>
      <c r="EO260" s="1137">
        <f>EO237+EO257</f>
        <v>116461850.98615821</v>
      </c>
      <c r="EP260" s="1137">
        <f>EP237+EP257</f>
        <v>806631246.00655472</v>
      </c>
      <c r="EQ260" s="1074"/>
      <c r="EU260" s="1137">
        <f>EU237+EU257</f>
        <v>3229555827.293632</v>
      </c>
      <c r="EV260" s="1137">
        <f>EV237+EV257</f>
        <v>2306462730.3009195</v>
      </c>
      <c r="EW260" s="1137">
        <f>EW237+EW257</f>
        <v>116461850.98615821</v>
      </c>
      <c r="EX260" s="1137">
        <f>EX237+EX257</f>
        <v>806631246.00655472</v>
      </c>
      <c r="EY260" s="1074"/>
      <c r="FC260" s="1137">
        <f>FC237+FC257</f>
        <v>3229555827.293632</v>
      </c>
      <c r="FD260" s="1137">
        <f>FD237+FD257</f>
        <v>2306462730.3009195</v>
      </c>
      <c r="FE260" s="1137">
        <f>FE237+FE257</f>
        <v>116461850.98615821</v>
      </c>
      <c r="FF260" s="1137">
        <f>FF237+FF257</f>
        <v>806631246.00655472</v>
      </c>
      <c r="FG260" s="1074"/>
      <c r="FK260" s="1137">
        <f>FK237+FK257</f>
        <v>3229555827.293632</v>
      </c>
      <c r="FL260" s="1137">
        <f>FL237+FL257</f>
        <v>2306462730.3009195</v>
      </c>
      <c r="FM260" s="1137">
        <f>FM237+FM257</f>
        <v>116461850.98615821</v>
      </c>
      <c r="FN260" s="1137">
        <f>FN237+FN257</f>
        <v>806631246.00655472</v>
      </c>
      <c r="FO260" s="1074"/>
    </row>
    <row r="261" spans="1:171" ht="16.5" thickBot="1" x14ac:dyDescent="0.3">
      <c r="A261" s="172"/>
      <c r="B261" s="932"/>
      <c r="C261" s="933"/>
      <c r="D261" s="933"/>
      <c r="E261" s="933"/>
      <c r="F261" s="933"/>
      <c r="G261" s="1002"/>
      <c r="H261" s="1003"/>
      <c r="I261" s="1003"/>
      <c r="J261" s="936"/>
      <c r="K261" s="904"/>
      <c r="S261" s="1074"/>
      <c r="AA261" s="1074"/>
      <c r="AI261" s="1074"/>
      <c r="AQ261" s="1074"/>
      <c r="AY261" s="1074"/>
      <c r="BG261" s="1074"/>
      <c r="BO261" s="1074"/>
      <c r="BW261" s="1074"/>
      <c r="CE261" s="1074"/>
      <c r="CM261" s="1074"/>
      <c r="CU261" s="1074"/>
      <c r="DC261" s="1074"/>
      <c r="DK261" s="1074"/>
      <c r="DS261" s="1074"/>
      <c r="EA261" s="1074"/>
      <c r="EI261" s="1074"/>
      <c r="EQ261" s="1074"/>
      <c r="EY261" s="1074"/>
      <c r="FG261" s="1074"/>
      <c r="FO261" s="1074"/>
    </row>
    <row r="262" spans="1:171" ht="16.5" thickTop="1" x14ac:dyDescent="0.25">
      <c r="A262" s="214"/>
      <c r="B262" s="1"/>
      <c r="C262" s="1"/>
      <c r="D262" s="1"/>
      <c r="E262" s="1"/>
      <c r="F262" s="1"/>
      <c r="G262" s="1012"/>
      <c r="H262" s="1012"/>
      <c r="I262" s="1012"/>
      <c r="J262" s="1394"/>
      <c r="K262" s="904"/>
      <c r="S262" s="1074"/>
      <c r="AA262" s="1074"/>
      <c r="AI262" s="1074"/>
      <c r="AQ262" s="1074"/>
      <c r="AY262" s="1074"/>
      <c r="BG262" s="1074"/>
      <c r="BO262" s="1074"/>
      <c r="BW262" s="1074"/>
      <c r="CE262" s="1074"/>
      <c r="CM262" s="1074"/>
      <c r="CU262" s="1074"/>
      <c r="DC262" s="1074"/>
      <c r="DK262" s="1074"/>
      <c r="DS262" s="1074"/>
      <c r="EA262" s="1074"/>
      <c r="EI262" s="1074"/>
      <c r="EQ262" s="1074"/>
      <c r="EY262" s="1074"/>
      <c r="FG262" s="1074"/>
      <c r="FO262" s="1074"/>
    </row>
    <row r="263" spans="1:171" ht="16.5" thickBot="1" x14ac:dyDescent="0.3">
      <c r="A263" s="332" t="s">
        <v>148</v>
      </c>
      <c r="B263" s="1020"/>
      <c r="C263" s="1020"/>
      <c r="D263" s="1020"/>
      <c r="E263" s="147"/>
      <c r="F263" s="4"/>
      <c r="G263" s="1021"/>
      <c r="H263" s="1021"/>
      <c r="I263" s="1022"/>
      <c r="J263" s="1193"/>
      <c r="K263" s="904"/>
      <c r="S263" s="1074"/>
      <c r="AA263" s="1074"/>
      <c r="AI263" s="1074"/>
      <c r="AQ263" s="1074"/>
      <c r="AY263" s="1074"/>
      <c r="BG263" s="1074"/>
      <c r="BO263" s="1074"/>
      <c r="BW263" s="1074"/>
      <c r="CE263" s="1074"/>
      <c r="CM263" s="1074"/>
      <c r="CU263" s="1074"/>
      <c r="DC263" s="1074"/>
      <c r="DK263" s="1074"/>
      <c r="DS263" s="1074"/>
      <c r="EA263" s="1074"/>
      <c r="EI263" s="1074"/>
      <c r="EQ263" s="1074"/>
      <c r="EY263" s="1074"/>
      <c r="FG263" s="1074"/>
      <c r="FO263" s="1074"/>
    </row>
    <row r="264" spans="1:171" ht="17.25" thickTop="1" thickBot="1" x14ac:dyDescent="0.3">
      <c r="A264" s="988"/>
      <c r="B264" s="3675" t="s">
        <v>100</v>
      </c>
      <c r="C264" s="325" t="s">
        <v>323</v>
      </c>
      <c r="D264" s="325"/>
      <c r="E264" s="3783" t="s">
        <v>354</v>
      </c>
      <c r="F264" s="3774"/>
      <c r="G264" s="3775" t="s">
        <v>104</v>
      </c>
      <c r="H264" s="3777" t="s">
        <v>105</v>
      </c>
      <c r="I264" s="3753" t="s">
        <v>106</v>
      </c>
      <c r="J264" s="326"/>
      <c r="K264" s="904"/>
      <c r="S264" s="1074"/>
      <c r="AA264" s="1074"/>
      <c r="AI264" s="1074"/>
      <c r="AQ264" s="1074"/>
      <c r="AY264" s="1074"/>
      <c r="BG264" s="1074"/>
      <c r="BO264" s="1074"/>
      <c r="BW264" s="1074"/>
      <c r="CE264" s="1074"/>
      <c r="CM264" s="1074"/>
      <c r="CU264" s="1074"/>
      <c r="DC264" s="1074"/>
      <c r="DK264" s="1074"/>
      <c r="DS264" s="1074"/>
      <c r="EA264" s="1074"/>
      <c r="EI264" s="1074"/>
      <c r="EQ264" s="1074"/>
      <c r="EY264" s="1074"/>
      <c r="FG264" s="1074"/>
      <c r="FO264" s="1074"/>
    </row>
    <row r="265" spans="1:171" ht="16.5" thickBot="1" x14ac:dyDescent="0.3">
      <c r="A265" s="865"/>
      <c r="B265" s="3756"/>
      <c r="C265" s="322" t="s">
        <v>272</v>
      </c>
      <c r="D265" s="322" t="s">
        <v>96</v>
      </c>
      <c r="E265" s="3760"/>
      <c r="F265" s="3761"/>
      <c r="G265" s="3763"/>
      <c r="H265" s="3766"/>
      <c r="I265" s="3754"/>
      <c r="J265" s="310" t="s">
        <v>98</v>
      </c>
      <c r="K265" s="904"/>
      <c r="S265" s="1074"/>
      <c r="AA265" s="1074"/>
      <c r="AI265" s="1074"/>
      <c r="AQ265" s="1074"/>
      <c r="AY265" s="1074"/>
      <c r="BG265" s="1074"/>
      <c r="BO265" s="1074"/>
      <c r="BW265" s="1074"/>
      <c r="CE265" s="1074"/>
      <c r="CM265" s="1074"/>
      <c r="CU265" s="1074"/>
      <c r="DC265" s="1074"/>
      <c r="DK265" s="1074"/>
      <c r="DS265" s="1074"/>
      <c r="EA265" s="1074"/>
      <c r="EI265" s="1074"/>
      <c r="EQ265" s="1074"/>
      <c r="EY265" s="1074"/>
      <c r="FG265" s="1074"/>
      <c r="FO265" s="1074"/>
    </row>
    <row r="266" spans="1:171" ht="16.5" thickBot="1" x14ac:dyDescent="0.3">
      <c r="A266" s="989"/>
      <c r="B266" s="3757"/>
      <c r="C266" s="311" t="s">
        <v>273</v>
      </c>
      <c r="D266" s="311" t="s">
        <v>252</v>
      </c>
      <c r="E266" s="311" t="s">
        <v>450</v>
      </c>
      <c r="F266" s="311" t="s">
        <v>619</v>
      </c>
      <c r="G266" s="3764"/>
      <c r="H266" s="3767"/>
      <c r="I266" s="3769"/>
      <c r="J266" s="314" t="s">
        <v>107</v>
      </c>
      <c r="K266" s="904"/>
      <c r="S266" s="1074"/>
      <c r="AA266" s="1074"/>
      <c r="AI266" s="1074"/>
      <c r="AQ266" s="1074"/>
      <c r="AY266" s="1074"/>
      <c r="BG266" s="1074"/>
      <c r="BO266" s="1074"/>
      <c r="BW266" s="1074"/>
      <c r="CE266" s="1074"/>
      <c r="CM266" s="1074"/>
      <c r="CU266" s="1074"/>
      <c r="DC266" s="1074"/>
      <c r="DK266" s="1074"/>
      <c r="DS266" s="1074"/>
      <c r="EA266" s="1074"/>
      <c r="EI266" s="1074"/>
      <c r="EQ266" s="1074"/>
      <c r="EY266" s="1074"/>
      <c r="FG266" s="1074"/>
      <c r="FO266" s="1074"/>
    </row>
    <row r="267" spans="1:171" ht="16.5" thickTop="1" x14ac:dyDescent="0.25">
      <c r="A267" s="199" t="s">
        <v>149</v>
      </c>
      <c r="B267" s="79"/>
      <c r="C267" s="150"/>
      <c r="D267" s="195"/>
      <c r="E267" s="196"/>
      <c r="F267" s="196"/>
      <c r="G267" s="197"/>
      <c r="H267" s="198"/>
      <c r="I267" s="198"/>
      <c r="J267" s="200"/>
      <c r="K267" s="904"/>
      <c r="S267" s="1074"/>
      <c r="AA267" s="1074"/>
      <c r="AI267" s="1074"/>
      <c r="AQ267" s="1074"/>
      <c r="AY267" s="1074"/>
      <c r="BG267" s="1074"/>
      <c r="BO267" s="1074"/>
      <c r="BW267" s="1074"/>
      <c r="CE267" s="1074"/>
      <c r="CM267" s="1074"/>
      <c r="CU267" s="1074"/>
      <c r="DC267" s="1074"/>
      <c r="DK267" s="1074"/>
      <c r="DS267" s="1074"/>
      <c r="EA267" s="1074"/>
      <c r="EI267" s="1074"/>
      <c r="EQ267" s="1074"/>
      <c r="EY267" s="1074"/>
      <c r="FG267" s="1074"/>
      <c r="FO267" s="1074"/>
    </row>
    <row r="268" spans="1:171" x14ac:dyDescent="0.25">
      <c r="A268" s="170"/>
      <c r="B268" s="63" t="s">
        <v>35</v>
      </c>
      <c r="C268" s="1023">
        <v>262</v>
      </c>
      <c r="D268" s="1024">
        <v>409.1</v>
      </c>
      <c r="E268" s="182" t="str">
        <f>'Sch 3A - Taxes'!E16</f>
        <v>DIST</v>
      </c>
      <c r="F268" s="890"/>
      <c r="G268" s="182">
        <f>'Sch 3A - Taxes'!F16</f>
        <v>0</v>
      </c>
      <c r="H268" s="182">
        <f>'Sch 3A - Taxes'!G16</f>
        <v>0</v>
      </c>
      <c r="I268" s="182">
        <f>'Sch 3A - Taxes'!H16</f>
        <v>0</v>
      </c>
      <c r="J268" s="183">
        <f>'Sch 3A - Taxes'!I16</f>
        <v>0</v>
      </c>
      <c r="K268" s="904">
        <f>IF($E268="DIRECT",0,1)</f>
        <v>1</v>
      </c>
      <c r="O268" s="1117">
        <f>$G268</f>
        <v>0</v>
      </c>
      <c r="P268" s="1118">
        <f>VLOOKUP($E268,O$442:R$453,2,FALSE)*O268*($K268)+IF($G268&lt;&gt;0,($H268/$G268)*O268,0)*(1-$K268)</f>
        <v>0</v>
      </c>
      <c r="Q268" s="1118">
        <f>VLOOKUP($E268,O$442:R$453,3,FALSE)*O268*($K268)+IF($G268&lt;&gt;0,($I268/$G268)*O268,0)*(1-$K268)</f>
        <v>0</v>
      </c>
      <c r="R268" s="1118">
        <f>VLOOKUP($E268,O$442:R$453,4,FALSE)*O268*($K268)+(O268-P268-Q268)*(1-$K268)</f>
        <v>0</v>
      </c>
      <c r="S268" s="1074"/>
      <c r="W268" s="1117">
        <f>$G268</f>
        <v>0</v>
      </c>
      <c r="X268" s="1118">
        <f>VLOOKUP($E268,W$442:Z$453,2,FALSE)*W268*($K268)+IF($G268&lt;&gt;0,($H268/$G268)*W268,0)*(1-$K268)</f>
        <v>0</v>
      </c>
      <c r="Y268" s="1118">
        <f>VLOOKUP($E268,W$442:Z$453,3,FALSE)*W268*($K268)+IF($G268&lt;&gt;0,($I268/$G268)*W268,0)*(1-$K268)</f>
        <v>0</v>
      </c>
      <c r="Z268" s="1118">
        <f>VLOOKUP($E268,W$442:Z$453,4,FALSE)*W268*($K268)+(W268-X268-Y268)*(1-$K268)</f>
        <v>0</v>
      </c>
      <c r="AA268" s="1074"/>
      <c r="AE268" s="1117">
        <f>$G268</f>
        <v>0</v>
      </c>
      <c r="AF268" s="1118">
        <f>VLOOKUP($E268,AE$442:AH$453,2,FALSE)*AE268*($K268)+IF($G268&lt;&gt;0,($H268/$G268)*AE268,0)*(1-$K268)</f>
        <v>0</v>
      </c>
      <c r="AG268" s="1118">
        <f>VLOOKUP($E268,AE$442:AH$453,3,FALSE)*AE268*($K268)+IF($G268&lt;&gt;0,($I268/$G268)*AE268,0)*(1-$K268)</f>
        <v>0</v>
      </c>
      <c r="AH268" s="1118">
        <f>VLOOKUP($E268,AE$442:AH$453,4,FALSE)*AE268*($K268)+(AE268-AF268-AG268)*(1-$K268)</f>
        <v>0</v>
      </c>
      <c r="AI268" s="1074"/>
      <c r="AM268" s="1117">
        <f>$G268</f>
        <v>0</v>
      </c>
      <c r="AN268" s="1118">
        <f>VLOOKUP($E268,AM$442:AP$453,2,FALSE)*AM268*($K268)+IF($G268&lt;&gt;0,($H268/$G268)*AM268,0)*(1-$K268)</f>
        <v>0</v>
      </c>
      <c r="AO268" s="1118">
        <f>VLOOKUP($E268,AM$442:AP$453,3,FALSE)*AM268*($K268)+IF($G268&lt;&gt;0,($I268/$G268)*AM268,0)*(1-$K268)</f>
        <v>0</v>
      </c>
      <c r="AP268" s="1118">
        <f>VLOOKUP($E268,AM$442:AP$453,4,FALSE)*AM268*($K268)+(AM268-AN268-AO268)*(1-$K268)</f>
        <v>0</v>
      </c>
      <c r="AQ268" s="1074"/>
      <c r="AU268" s="1117">
        <f>$G268</f>
        <v>0</v>
      </c>
      <c r="AV268" s="1118">
        <f>VLOOKUP($E268,AU$442:AX$453,2,FALSE)*AU268*($K268)+IF($G268&lt;&gt;0,($H268/$G268)*AU268,0)*(1-$K268)</f>
        <v>0</v>
      </c>
      <c r="AW268" s="1118">
        <f>VLOOKUP($E268,AU$442:AX$453,3,FALSE)*AU268*($K268)+IF($G268&lt;&gt;0,($I268/$G268)*AU268,0)*(1-$K268)</f>
        <v>0</v>
      </c>
      <c r="AX268" s="1118">
        <f>VLOOKUP($E268,AU$442:AX$453,4,FALSE)*AU268*($K268)+(AU268-AV268-AW268)*(1-$K268)</f>
        <v>0</v>
      </c>
      <c r="AY268" s="1074"/>
      <c r="BC268" s="1117">
        <f>$G268</f>
        <v>0</v>
      </c>
      <c r="BD268" s="1118">
        <f>VLOOKUP($E268,BC$442:BF$453,2,FALSE)*BC268*($K268)+IF($G268&lt;&gt;0,($H268/$G268)*BC268,0)*(1-$K268)</f>
        <v>0</v>
      </c>
      <c r="BE268" s="1118">
        <f>VLOOKUP($E268,BC$442:BF$453,3,FALSE)*BC268*($K268)+IF($G268&lt;&gt;0,($I268/$G268)*BC268,0)*(1-$K268)</f>
        <v>0</v>
      </c>
      <c r="BF268" s="1118">
        <f>VLOOKUP($E268,BC$442:BF$453,4,FALSE)*BC268*($K268)+(BC268-BD268-BE268)*(1-$K268)</f>
        <v>0</v>
      </c>
      <c r="BG268" s="1074"/>
      <c r="BK268" s="1117">
        <f>$G268</f>
        <v>0</v>
      </c>
      <c r="BL268" s="1118">
        <f>VLOOKUP($E268,BK$442:BN$453,2,FALSE)*BK268*($K268)+IF($G268&lt;&gt;0,($H268/$G268)*BK268,0)*(1-$K268)</f>
        <v>0</v>
      </c>
      <c r="BM268" s="1118">
        <f>VLOOKUP($E268,BK$442:BN$453,3,FALSE)*BK268*($K268)+IF($G268&lt;&gt;0,($I268/$G268)*BK268,0)*(1-$K268)</f>
        <v>0</v>
      </c>
      <c r="BN268" s="1118">
        <f>VLOOKUP($E268,BK$442:BN$453,4,FALSE)*BK268*($K268)+(BK268-BL268-BM268)*(1-$K268)</f>
        <v>0</v>
      </c>
      <c r="BO268" s="1074"/>
      <c r="BS268" s="1117">
        <f>$G268</f>
        <v>0</v>
      </c>
      <c r="BT268" s="1118">
        <f>VLOOKUP($E268,BS$442:BV$453,2,FALSE)*BS268*($K268)+IF($G268&lt;&gt;0,($H268/$G268)*BS268,0)*(1-$K268)</f>
        <v>0</v>
      </c>
      <c r="BU268" s="1118">
        <f>VLOOKUP($E268,BS$442:BV$453,3,FALSE)*BS268*($K268)+IF($G268&lt;&gt;0,($I268/$G268)*BS268,0)*(1-$K268)</f>
        <v>0</v>
      </c>
      <c r="BV268" s="1118">
        <f>VLOOKUP($E268,BS$442:BV$453,4,FALSE)*BS268*($K268)+(BS268-BT268-BU268)*(1-$K268)</f>
        <v>0</v>
      </c>
      <c r="BW268" s="1074"/>
      <c r="CA268" s="1117">
        <f>$G268</f>
        <v>0</v>
      </c>
      <c r="CB268" s="1118">
        <f>VLOOKUP($E268,CA$442:CD$453,2,FALSE)*CA268*($K268)+IF($G268&lt;&gt;0,($H268/$G268)*CA268,0)*(1-$K268)</f>
        <v>0</v>
      </c>
      <c r="CC268" s="1118">
        <f>VLOOKUP($E268,CA$442:CD$453,3,FALSE)*CA268*($K268)+IF($G268&lt;&gt;0,($I268/$G268)*CA268,0)*(1-$K268)</f>
        <v>0</v>
      </c>
      <c r="CD268" s="1118">
        <f>VLOOKUP($E268,CA$442:CD$453,4,FALSE)*CA268*($K268)+(CA268-CB268-CC268)*(1-$K268)</f>
        <v>0</v>
      </c>
      <c r="CE268" s="1074"/>
      <c r="CI268" s="1117">
        <f>$G268</f>
        <v>0</v>
      </c>
      <c r="CJ268" s="1118">
        <f>VLOOKUP($E268,CI$442:CL$453,2,FALSE)*CI268*($K268)+IF($G268&lt;&gt;0,($H268/$G268)*CI268,0)*(1-$K268)</f>
        <v>0</v>
      </c>
      <c r="CK268" s="1118">
        <f>VLOOKUP($E268,CI$442:CL$453,3,FALSE)*CI268*($K268)+IF($G268&lt;&gt;0,($I268/$G268)*CI268,0)*(1-$K268)</f>
        <v>0</v>
      </c>
      <c r="CL268" s="1118">
        <f>VLOOKUP($E268,CI$442:CL$453,4,FALSE)*CI268*($K268)+(CI268-CJ268-CK268)*(1-$K268)</f>
        <v>0</v>
      </c>
      <c r="CM268" s="1074"/>
      <c r="CQ268" s="1117">
        <f>$G268</f>
        <v>0</v>
      </c>
      <c r="CR268" s="1118">
        <f>VLOOKUP($E268,CQ$442:CT$453,2,FALSE)*CQ268*($K268)+IF($G268&lt;&gt;0,($H268/$G268)*CQ268,0)*(1-$K268)</f>
        <v>0</v>
      </c>
      <c r="CS268" s="1118">
        <f>VLOOKUP($E268,CQ$442:CT$453,3,FALSE)*CQ268*($K268)+IF($G268&lt;&gt;0,($I268/$G268)*CQ268,0)*(1-$K268)</f>
        <v>0</v>
      </c>
      <c r="CT268" s="1118">
        <f>VLOOKUP($E268,CQ$442:CT$453,4,FALSE)*CQ268*($K268)+(CQ268-CR268-CS268)*(1-$K268)</f>
        <v>0</v>
      </c>
      <c r="CU268" s="1074"/>
      <c r="CY268" s="1117">
        <f>$G268</f>
        <v>0</v>
      </c>
      <c r="CZ268" s="1118">
        <f>VLOOKUP($E268,CY$442:DB$453,2,FALSE)*CY268*($K268)+IF($G268&lt;&gt;0,($H268/$G268)*CY268,0)*(1-$K268)</f>
        <v>0</v>
      </c>
      <c r="DA268" s="1118">
        <f>VLOOKUP($E268,CY$442:DB$453,3,FALSE)*CY268*($K268)+IF($G268&lt;&gt;0,($I268/$G268)*CY268,0)*(1-$K268)</f>
        <v>0</v>
      </c>
      <c r="DB268" s="1118">
        <f>VLOOKUP($E268,CY$442:DB$453,4,FALSE)*CY268*($K268)+(CY268-CZ268-DA268)*(1-$K268)</f>
        <v>0</v>
      </c>
      <c r="DC268" s="1074"/>
      <c r="DG268" s="1117">
        <f>$G268</f>
        <v>0</v>
      </c>
      <c r="DH268" s="1118">
        <f>VLOOKUP($E268,DG$442:DJ$453,2,FALSE)*DG268*($K268)+IF($G268&lt;&gt;0,($H268/$G268)*DG268,0)*(1-$K268)</f>
        <v>0</v>
      </c>
      <c r="DI268" s="1118">
        <f>VLOOKUP($E268,DG$442:DJ$453,3,FALSE)*DG268*($K268)+IF($G268&lt;&gt;0,($I268/$G268)*DG268,0)*(1-$K268)</f>
        <v>0</v>
      </c>
      <c r="DJ268" s="1118">
        <f>VLOOKUP($E268,DG$442:DJ$453,4,FALSE)*DG268*($K268)+(DG268-DH268-DI268)*(1-$K268)</f>
        <v>0</v>
      </c>
      <c r="DK268" s="1074"/>
      <c r="DO268" s="1117">
        <f>$G268</f>
        <v>0</v>
      </c>
      <c r="DP268" s="1118">
        <f>VLOOKUP($E268,DO$442:DR$453,2,FALSE)*DO268*($K268)+IF($G268&lt;&gt;0,($H268/$G268)*DO268,0)*(1-$K268)</f>
        <v>0</v>
      </c>
      <c r="DQ268" s="1118">
        <f>VLOOKUP($E268,DO$442:DR$453,3,FALSE)*DO268*($K268)+IF($G268&lt;&gt;0,($I268/$G268)*DO268,0)*(1-$K268)</f>
        <v>0</v>
      </c>
      <c r="DR268" s="1118">
        <f>VLOOKUP($E268,DO$442:DR$453,4,FALSE)*DO268*($K268)+(DO268-DP268-DQ268)*(1-$K268)</f>
        <v>0</v>
      </c>
      <c r="DS268" s="1074"/>
      <c r="DW268" s="1117">
        <f>$G268</f>
        <v>0</v>
      </c>
      <c r="DX268" s="1118">
        <f>VLOOKUP($E268,DW$442:DZ$453,2,FALSE)*DW268*($K268)+IF($G268&lt;&gt;0,($H268/$G268)*DW268,0)*(1-$K268)</f>
        <v>0</v>
      </c>
      <c r="DY268" s="1118">
        <f>VLOOKUP($E268,DW$442:DZ$453,3,FALSE)*DW268*($K268)+IF($G268&lt;&gt;0,($I268/$G268)*DW268,0)*(1-$K268)</f>
        <v>0</v>
      </c>
      <c r="DZ268" s="1118">
        <f>VLOOKUP($E268,DW$442:DZ$453,4,FALSE)*DW268*($K268)+(DW268-DX268-DY268)*(1-$K268)</f>
        <v>0</v>
      </c>
      <c r="EA268" s="1074"/>
      <c r="EE268" s="1117">
        <f>$G268</f>
        <v>0</v>
      </c>
      <c r="EF268" s="1118">
        <f>VLOOKUP($E268,EE$442:EH$453,2,FALSE)*EE268*($K268)+IF($G268&lt;&gt;0,($H268/$G268)*EE268,0)*(1-$K268)</f>
        <v>0</v>
      </c>
      <c r="EG268" s="1118">
        <f>VLOOKUP($E268,EE$442:EH$453,3,FALSE)*EE268*($K268)+IF($G268&lt;&gt;0,($I268/$G268)*EE268,0)*(1-$K268)</f>
        <v>0</v>
      </c>
      <c r="EH268" s="1118">
        <f>VLOOKUP($E268,EE$442:EH$453,4,FALSE)*EE268*($K268)+(EE268-EF268-EG268)*(1-$K268)</f>
        <v>0</v>
      </c>
      <c r="EI268" s="1074"/>
      <c r="EM268" s="1117">
        <f>$G268</f>
        <v>0</v>
      </c>
      <c r="EN268" s="1118">
        <f>VLOOKUP($E268,EM$442:EP$453,2,FALSE)*EM268*($K268)+IF($G268&lt;&gt;0,($H268/$G268)*EM268,0)*(1-$K268)</f>
        <v>0</v>
      </c>
      <c r="EO268" s="1118">
        <f>VLOOKUP($E268,EM$442:EP$453,3,FALSE)*EM268*($K268)+IF($G268&lt;&gt;0,($I268/$G268)*EM268,0)*(1-$K268)</f>
        <v>0</v>
      </c>
      <c r="EP268" s="1118">
        <f>VLOOKUP($E268,EM$442:EP$453,4,FALSE)*EM268*($K268)+(EM268-EN268-EO268)*(1-$K268)</f>
        <v>0</v>
      </c>
      <c r="EQ268" s="1074"/>
      <c r="EU268" s="1117">
        <f>$G268</f>
        <v>0</v>
      </c>
      <c r="EV268" s="1118">
        <f>VLOOKUP($E268,EU$442:EX$453,2,FALSE)*EU268*($K268)+IF($G268&lt;&gt;0,($H268/$G268)*EU268,0)*(1-$K268)</f>
        <v>0</v>
      </c>
      <c r="EW268" s="1118">
        <f>VLOOKUP($E268,EU$442:EX$453,3,FALSE)*EU268*($K268)+IF($G268&lt;&gt;0,($I268/$G268)*EU268,0)*(1-$K268)</f>
        <v>0</v>
      </c>
      <c r="EX268" s="1118">
        <f>VLOOKUP($E268,EU$442:EX$453,4,FALSE)*EU268*($K268)+(EU268-EV268-EW268)*(1-$K268)</f>
        <v>0</v>
      </c>
      <c r="EY268" s="1074"/>
      <c r="FC268" s="1117">
        <f>$G268</f>
        <v>0</v>
      </c>
      <c r="FD268" s="1118">
        <f>VLOOKUP($E268,FC$442:FF$453,2,FALSE)*FC268*($K268)+IF($G268&lt;&gt;0,($H268/$G268)*FC268,0)*(1-$K268)</f>
        <v>0</v>
      </c>
      <c r="FE268" s="1118">
        <f>VLOOKUP($E268,FC$442:FF$453,3,FALSE)*FC268*($K268)+IF($G268&lt;&gt;0,($I268/$G268)*FC268,0)*(1-$K268)</f>
        <v>0</v>
      </c>
      <c r="FF268" s="1118">
        <f>VLOOKUP($E268,FC$442:FF$453,4,FALSE)*FC268*($K268)+(FC268-FD268-FE268)*(1-$K268)</f>
        <v>0</v>
      </c>
      <c r="FG268" s="1074"/>
      <c r="FK268" s="1117">
        <f>$G268</f>
        <v>0</v>
      </c>
      <c r="FL268" s="1118">
        <f>VLOOKUP($E268,FK$442:FN$453,2,FALSE)*FK268*($K268)+IF($G268&lt;&gt;0,($H268/$G268)*FK268,0)*(1-$K268)</f>
        <v>0</v>
      </c>
      <c r="FM268" s="1118">
        <f>VLOOKUP($E268,FK$442:FN$453,3,FALSE)*FK268*($K268)+IF($G268&lt;&gt;0,($I268/$G268)*FK268,0)*(1-$K268)</f>
        <v>0</v>
      </c>
      <c r="FN268" s="1118">
        <f>VLOOKUP($E268,FK$442:FN$453,4,FALSE)*FK268*($K268)+(FK268-FL268-FM268)*(1-$K268)</f>
        <v>0</v>
      </c>
      <c r="FO268" s="1074"/>
    </row>
    <row r="269" spans="1:171" x14ac:dyDescent="0.25">
      <c r="A269" s="170"/>
      <c r="B269" s="63" t="s">
        <v>150</v>
      </c>
      <c r="C269" s="1023">
        <v>262</v>
      </c>
      <c r="D269" s="1024">
        <v>408.1</v>
      </c>
      <c r="E269" s="182" t="str">
        <f>'Sch 3A - Taxes'!E17</f>
        <v>LABOR</v>
      </c>
      <c r="F269" s="890"/>
      <c r="G269" s="182">
        <f>'Sch 3A - Taxes'!F17</f>
        <v>19019048.084836535</v>
      </c>
      <c r="H269" s="182">
        <f>'Sch 3A - Taxes'!G17</f>
        <v>7928154.892926028</v>
      </c>
      <c r="I269" s="182">
        <f>'Sch 3A - Taxes'!H17</f>
        <v>0</v>
      </c>
      <c r="J269" s="183">
        <f>'Sch 3A - Taxes'!I17</f>
        <v>11090893.191910507</v>
      </c>
      <c r="K269" s="904">
        <f>IF($E269="DIRECT",0,1)</f>
        <v>1</v>
      </c>
      <c r="O269" s="1117">
        <f>$G269</f>
        <v>19019048.084836535</v>
      </c>
      <c r="P269" s="1118">
        <f>VLOOKUP($E269,O$442:R$453,2,FALSE)*O269*($K269)+IF($G269&lt;&gt;0,($H269/$G269)*O269,0)*(1-$K269)</f>
        <v>7928154.892926028</v>
      </c>
      <c r="Q269" s="1118">
        <f>VLOOKUP($E269,O$442:R$453,3,FALSE)*O269*($K269)+IF($G269&lt;&gt;0,($I269/$G269)*O269,0)*(1-$K269)</f>
        <v>513692.31276444771</v>
      </c>
      <c r="R269" s="1118">
        <f>VLOOKUP($E269,O$442:R$453,4,FALSE)*O269*($K269)+(O269-P269-Q269)*(1-$K269)</f>
        <v>10577200.879146058</v>
      </c>
      <c r="S269" s="1074"/>
      <c r="W269" s="1117">
        <f>$G269</f>
        <v>19019048.084836535</v>
      </c>
      <c r="X269" s="1118">
        <f>VLOOKUP($E269,W$442:Z$453,2,FALSE)*W269*($K269)+IF($G269&lt;&gt;0,($H269/$G269)*W269,0)*(1-$K269)</f>
        <v>7928154.892926028</v>
      </c>
      <c r="Y269" s="1118">
        <f>VLOOKUP($E269,W$442:Z$453,3,FALSE)*W269*($K269)+IF($G269&lt;&gt;0,($I269/$G269)*W269,0)*(1-$K269)</f>
        <v>513692.31276444771</v>
      </c>
      <c r="Z269" s="1118">
        <f>VLOOKUP($E269,W$442:Z$453,4,FALSE)*W269*($K269)+(W269-X269-Y269)*(1-$K269)</f>
        <v>10577200.879146058</v>
      </c>
      <c r="AA269" s="1074"/>
      <c r="AE269" s="1117">
        <f>$G269</f>
        <v>19019048.084836535</v>
      </c>
      <c r="AF269" s="1118">
        <f>VLOOKUP($E269,AE$442:AH$453,2,FALSE)*AE269*($K269)+IF($G269&lt;&gt;0,($H269/$G269)*AE269,0)*(1-$K269)</f>
        <v>7928154.892926028</v>
      </c>
      <c r="AG269" s="1118">
        <f>VLOOKUP($E269,AE$442:AH$453,3,FALSE)*AE269*($K269)+IF($G269&lt;&gt;0,($I269/$G269)*AE269,0)*(1-$K269)</f>
        <v>513692.31276444771</v>
      </c>
      <c r="AH269" s="1118">
        <f>VLOOKUP($E269,AE$442:AH$453,4,FALSE)*AE269*($K269)+(AE269-AF269-AG269)*(1-$K269)</f>
        <v>10577200.879146058</v>
      </c>
      <c r="AI269" s="1074"/>
      <c r="AM269" s="1117">
        <f>$G269</f>
        <v>19019048.084836535</v>
      </c>
      <c r="AN269" s="1118">
        <f>VLOOKUP($E269,AM$442:AP$453,2,FALSE)*AM269*($K269)+IF($G269&lt;&gt;0,($H269/$G269)*AM269,0)*(1-$K269)</f>
        <v>7928154.892926028</v>
      </c>
      <c r="AO269" s="1118">
        <f>VLOOKUP($E269,AM$442:AP$453,3,FALSE)*AM269*($K269)+IF($G269&lt;&gt;0,($I269/$G269)*AM269,0)*(1-$K269)</f>
        <v>513692.31276444771</v>
      </c>
      <c r="AP269" s="1118">
        <f>VLOOKUP($E269,AM$442:AP$453,4,FALSE)*AM269*($K269)+(AM269-AN269-AO269)*(1-$K269)</f>
        <v>10577200.879146058</v>
      </c>
      <c r="AQ269" s="1074"/>
      <c r="AU269" s="1117">
        <f>$G269</f>
        <v>19019048.084836535</v>
      </c>
      <c r="AV269" s="1118">
        <f>VLOOKUP($E269,AU$442:AX$453,2,FALSE)*AU269*($K269)+IF($G269&lt;&gt;0,($H269/$G269)*AU269,0)*(1-$K269)</f>
        <v>7928154.892926028</v>
      </c>
      <c r="AW269" s="1118">
        <f>VLOOKUP($E269,AU$442:AX$453,3,FALSE)*AU269*($K269)+IF($G269&lt;&gt;0,($I269/$G269)*AU269,0)*(1-$K269)</f>
        <v>513692.31276444771</v>
      </c>
      <c r="AX269" s="1118">
        <f>VLOOKUP($E269,AU$442:AX$453,4,FALSE)*AU269*($K269)+(AU269-AV269-AW269)*(1-$K269)</f>
        <v>10577200.879146058</v>
      </c>
      <c r="AY269" s="1074"/>
      <c r="BC269" s="1117">
        <f>$G269</f>
        <v>19019048.084836535</v>
      </c>
      <c r="BD269" s="1118">
        <f>VLOOKUP($E269,BC$442:BF$453,2,FALSE)*BC269*($K269)+IF($G269&lt;&gt;0,($H269/$G269)*BC269,0)*(1-$K269)</f>
        <v>7928154.892926028</v>
      </c>
      <c r="BE269" s="1118">
        <f>VLOOKUP($E269,BC$442:BF$453,3,FALSE)*BC269*($K269)+IF($G269&lt;&gt;0,($I269/$G269)*BC269,0)*(1-$K269)</f>
        <v>513692.31276444771</v>
      </c>
      <c r="BF269" s="1118">
        <f>VLOOKUP($E269,BC$442:BF$453,4,FALSE)*BC269*($K269)+(BC269-BD269-BE269)*(1-$K269)</f>
        <v>10577200.879146058</v>
      </c>
      <c r="BG269" s="1074"/>
      <c r="BK269" s="1117">
        <f>$G269</f>
        <v>19019048.084836535</v>
      </c>
      <c r="BL269" s="1118">
        <f>VLOOKUP($E269,BK$442:BN$453,2,FALSE)*BK269*($K269)+IF($G269&lt;&gt;0,($H269/$G269)*BK269,0)*(1-$K269)</f>
        <v>7928154.892926028</v>
      </c>
      <c r="BM269" s="1118">
        <f>VLOOKUP($E269,BK$442:BN$453,3,FALSE)*BK269*($K269)+IF($G269&lt;&gt;0,($I269/$G269)*BK269,0)*(1-$K269)</f>
        <v>513692.31276444771</v>
      </c>
      <c r="BN269" s="1118">
        <f>VLOOKUP($E269,BK$442:BN$453,4,FALSE)*BK269*($K269)+(BK269-BL269-BM269)*(1-$K269)</f>
        <v>10577200.879146058</v>
      </c>
      <c r="BO269" s="1074"/>
      <c r="BS269" s="1117">
        <f>$G269</f>
        <v>19019048.084836535</v>
      </c>
      <c r="BT269" s="1118">
        <f>VLOOKUP($E269,BS$442:BV$453,2,FALSE)*BS269*($K269)+IF($G269&lt;&gt;0,($H269/$G269)*BS269,0)*(1-$K269)</f>
        <v>7928154.892926028</v>
      </c>
      <c r="BU269" s="1118">
        <f>VLOOKUP($E269,BS$442:BV$453,3,FALSE)*BS269*($K269)+IF($G269&lt;&gt;0,($I269/$G269)*BS269,0)*(1-$K269)</f>
        <v>513692.31276444771</v>
      </c>
      <c r="BV269" s="1118">
        <f>VLOOKUP($E269,BS$442:BV$453,4,FALSE)*BS269*($K269)+(BS269-BT269-BU269)*(1-$K269)</f>
        <v>10577200.879146058</v>
      </c>
      <c r="BW269" s="1074"/>
      <c r="CA269" s="1117">
        <f>$G269</f>
        <v>19019048.084836535</v>
      </c>
      <c r="CB269" s="1118">
        <f>VLOOKUP($E269,CA$442:CD$453,2,FALSE)*CA269*($K269)+IF($G269&lt;&gt;0,($H269/$G269)*CA269,0)*(1-$K269)</f>
        <v>7928154.892926028</v>
      </c>
      <c r="CC269" s="1118">
        <f>VLOOKUP($E269,CA$442:CD$453,3,FALSE)*CA269*($K269)+IF($G269&lt;&gt;0,($I269/$G269)*CA269,0)*(1-$K269)</f>
        <v>513692.31276444771</v>
      </c>
      <c r="CD269" s="1118">
        <f>VLOOKUP($E269,CA$442:CD$453,4,FALSE)*CA269*($K269)+(CA269-CB269-CC269)*(1-$K269)</f>
        <v>10577200.879146058</v>
      </c>
      <c r="CE269" s="1074"/>
      <c r="CI269" s="1117">
        <f>$G269</f>
        <v>19019048.084836535</v>
      </c>
      <c r="CJ269" s="1118">
        <f>VLOOKUP($E269,CI$442:CL$453,2,FALSE)*CI269*($K269)+IF($G269&lt;&gt;0,($H269/$G269)*CI269,0)*(1-$K269)</f>
        <v>7928154.892926028</v>
      </c>
      <c r="CK269" s="1118">
        <f>VLOOKUP($E269,CI$442:CL$453,3,FALSE)*CI269*($K269)+IF($G269&lt;&gt;0,($I269/$G269)*CI269,0)*(1-$K269)</f>
        <v>513692.31276444771</v>
      </c>
      <c r="CL269" s="1118">
        <f>VLOOKUP($E269,CI$442:CL$453,4,FALSE)*CI269*($K269)+(CI269-CJ269-CK269)*(1-$K269)</f>
        <v>10577200.879146058</v>
      </c>
      <c r="CM269" s="1074"/>
      <c r="CQ269" s="1117">
        <f>$G269</f>
        <v>19019048.084836535</v>
      </c>
      <c r="CR269" s="1118">
        <f>VLOOKUP($E269,CQ$442:CT$453,2,FALSE)*CQ269*($K269)+IF($G269&lt;&gt;0,($H269/$G269)*CQ269,0)*(1-$K269)</f>
        <v>7928154.892926028</v>
      </c>
      <c r="CS269" s="1118">
        <f>VLOOKUP($E269,CQ$442:CT$453,3,FALSE)*CQ269*($K269)+IF($G269&lt;&gt;0,($I269/$G269)*CQ269,0)*(1-$K269)</f>
        <v>513692.31276444771</v>
      </c>
      <c r="CT269" s="1118">
        <f>VLOOKUP($E269,CQ$442:CT$453,4,FALSE)*CQ269*($K269)+(CQ269-CR269-CS269)*(1-$K269)</f>
        <v>10577200.879146058</v>
      </c>
      <c r="CU269" s="1074"/>
      <c r="CY269" s="1117">
        <f>$G269</f>
        <v>19019048.084836535</v>
      </c>
      <c r="CZ269" s="1118">
        <f>VLOOKUP($E269,CY$442:DB$453,2,FALSE)*CY269*($K269)+IF($G269&lt;&gt;0,($H269/$G269)*CY269,0)*(1-$K269)</f>
        <v>7928154.892926028</v>
      </c>
      <c r="DA269" s="1118">
        <f>VLOOKUP($E269,CY$442:DB$453,3,FALSE)*CY269*($K269)+IF($G269&lt;&gt;0,($I269/$G269)*CY269,0)*(1-$K269)</f>
        <v>513692.31276444771</v>
      </c>
      <c r="DB269" s="1118">
        <f>VLOOKUP($E269,CY$442:DB$453,4,FALSE)*CY269*($K269)+(CY269-CZ269-DA269)*(1-$K269)</f>
        <v>10577200.879146058</v>
      </c>
      <c r="DC269" s="1074"/>
      <c r="DG269" s="1117">
        <f>$G269</f>
        <v>19019048.084836535</v>
      </c>
      <c r="DH269" s="1118">
        <f>VLOOKUP($E269,DG$442:DJ$453,2,FALSE)*DG269*($K269)+IF($G269&lt;&gt;0,($H269/$G269)*DG269,0)*(1-$K269)</f>
        <v>7928154.892926028</v>
      </c>
      <c r="DI269" s="1118">
        <f>VLOOKUP($E269,DG$442:DJ$453,3,FALSE)*DG269*($K269)+IF($G269&lt;&gt;0,($I269/$G269)*DG269,0)*(1-$K269)</f>
        <v>513692.31276444771</v>
      </c>
      <c r="DJ269" s="1118">
        <f>VLOOKUP($E269,DG$442:DJ$453,4,FALSE)*DG269*($K269)+(DG269-DH269-DI269)*(1-$K269)</f>
        <v>10577200.879146058</v>
      </c>
      <c r="DK269" s="1074"/>
      <c r="DO269" s="1117">
        <f>$G269</f>
        <v>19019048.084836535</v>
      </c>
      <c r="DP269" s="1118">
        <f>VLOOKUP($E269,DO$442:DR$453,2,FALSE)*DO269*($K269)+IF($G269&lt;&gt;0,($H269/$G269)*DO269,0)*(1-$K269)</f>
        <v>7928154.892926028</v>
      </c>
      <c r="DQ269" s="1118">
        <f>VLOOKUP($E269,DO$442:DR$453,3,FALSE)*DO269*($K269)+IF($G269&lt;&gt;0,($I269/$G269)*DO269,0)*(1-$K269)</f>
        <v>513692.31276444771</v>
      </c>
      <c r="DR269" s="1118">
        <f>VLOOKUP($E269,DO$442:DR$453,4,FALSE)*DO269*($K269)+(DO269-DP269-DQ269)*(1-$K269)</f>
        <v>10577200.879146058</v>
      </c>
      <c r="DS269" s="1074"/>
      <c r="DW269" s="1117">
        <f>$G269</f>
        <v>19019048.084836535</v>
      </c>
      <c r="DX269" s="1118">
        <f>VLOOKUP($E269,DW$442:DZ$453,2,FALSE)*DW269*($K269)+IF($G269&lt;&gt;0,($H269/$G269)*DW269,0)*(1-$K269)</f>
        <v>7928154.892926028</v>
      </c>
      <c r="DY269" s="1118">
        <f>VLOOKUP($E269,DW$442:DZ$453,3,FALSE)*DW269*($K269)+IF($G269&lt;&gt;0,($I269/$G269)*DW269,0)*(1-$K269)</f>
        <v>513692.31276444771</v>
      </c>
      <c r="DZ269" s="1118">
        <f>VLOOKUP($E269,DW$442:DZ$453,4,FALSE)*DW269*($K269)+(DW269-DX269-DY269)*(1-$K269)</f>
        <v>10577200.879146058</v>
      </c>
      <c r="EA269" s="1074"/>
      <c r="EE269" s="1117">
        <f>$G269</f>
        <v>19019048.084836535</v>
      </c>
      <c r="EF269" s="1118">
        <f>VLOOKUP($E269,EE$442:EH$453,2,FALSE)*EE269*($K269)+IF($G269&lt;&gt;0,($H269/$G269)*EE269,0)*(1-$K269)</f>
        <v>7928154.892926028</v>
      </c>
      <c r="EG269" s="1118">
        <f>VLOOKUP($E269,EE$442:EH$453,3,FALSE)*EE269*($K269)+IF($G269&lt;&gt;0,($I269/$G269)*EE269,0)*(1-$K269)</f>
        <v>513692.31276444771</v>
      </c>
      <c r="EH269" s="1118">
        <f>VLOOKUP($E269,EE$442:EH$453,4,FALSE)*EE269*($K269)+(EE269-EF269-EG269)*(1-$K269)</f>
        <v>10577200.879146058</v>
      </c>
      <c r="EI269" s="1074"/>
      <c r="EM269" s="1117">
        <f>$G269</f>
        <v>19019048.084836535</v>
      </c>
      <c r="EN269" s="1118">
        <f>VLOOKUP($E269,EM$442:EP$453,2,FALSE)*EM269*($K269)+IF($G269&lt;&gt;0,($H269/$G269)*EM269,0)*(1-$K269)</f>
        <v>7928154.892926028</v>
      </c>
      <c r="EO269" s="1118">
        <f>VLOOKUP($E269,EM$442:EP$453,3,FALSE)*EM269*($K269)+IF($G269&lt;&gt;0,($I269/$G269)*EM269,0)*(1-$K269)</f>
        <v>513692.31276444771</v>
      </c>
      <c r="EP269" s="1118">
        <f>VLOOKUP($E269,EM$442:EP$453,4,FALSE)*EM269*($K269)+(EM269-EN269-EO269)*(1-$K269)</f>
        <v>10577200.879146058</v>
      </c>
      <c r="EQ269" s="1074"/>
      <c r="EU269" s="1117">
        <f>$G269</f>
        <v>19019048.084836535</v>
      </c>
      <c r="EV269" s="1118">
        <f>VLOOKUP($E269,EU$442:EX$453,2,FALSE)*EU269*($K269)+IF($G269&lt;&gt;0,($H269/$G269)*EU269,0)*(1-$K269)</f>
        <v>7928154.892926028</v>
      </c>
      <c r="EW269" s="1118">
        <f>VLOOKUP($E269,EU$442:EX$453,3,FALSE)*EU269*($K269)+IF($G269&lt;&gt;0,($I269/$G269)*EU269,0)*(1-$K269)</f>
        <v>513692.31276444771</v>
      </c>
      <c r="EX269" s="1118">
        <f>VLOOKUP($E269,EU$442:EX$453,4,FALSE)*EU269*($K269)+(EU269-EV269-EW269)*(1-$K269)</f>
        <v>10577200.879146058</v>
      </c>
      <c r="EY269" s="1074"/>
      <c r="FC269" s="1117">
        <f>$G269</f>
        <v>19019048.084836535</v>
      </c>
      <c r="FD269" s="1118">
        <f>VLOOKUP($E269,FC$442:FF$453,2,FALSE)*FC269*($K269)+IF($G269&lt;&gt;0,($H269/$G269)*FC269,0)*(1-$K269)</f>
        <v>7928154.892926028</v>
      </c>
      <c r="FE269" s="1118">
        <f>VLOOKUP($E269,FC$442:FF$453,3,FALSE)*FC269*($K269)+IF($G269&lt;&gt;0,($I269/$G269)*FC269,0)*(1-$K269)</f>
        <v>513692.31276444771</v>
      </c>
      <c r="FF269" s="1118">
        <f>VLOOKUP($E269,FC$442:FF$453,4,FALSE)*FC269*($K269)+(FC269-FD269-FE269)*(1-$K269)</f>
        <v>10577200.879146058</v>
      </c>
      <c r="FG269" s="1074"/>
      <c r="FK269" s="1117">
        <f>$G269</f>
        <v>19019048.084836535</v>
      </c>
      <c r="FL269" s="1118">
        <f>VLOOKUP($E269,FK$442:FN$453,2,FALSE)*FK269*($K269)+IF($G269&lt;&gt;0,($H269/$G269)*FK269,0)*(1-$K269)</f>
        <v>7928154.892926028</v>
      </c>
      <c r="FM269" s="1118">
        <f>VLOOKUP($E269,FK$442:FN$453,3,FALSE)*FK269*($K269)+IF($G269&lt;&gt;0,($I269/$G269)*FK269,0)*(1-$K269)</f>
        <v>513692.31276444771</v>
      </c>
      <c r="FN269" s="1118">
        <f>VLOOKUP($E269,FK$442:FN$453,4,FALSE)*FK269*($K269)+(FK269-FL269-FM269)*(1-$K269)</f>
        <v>10577200.879146058</v>
      </c>
      <c r="FO269" s="1074"/>
    </row>
    <row r="270" spans="1:171" ht="16.5" thickBot="1" x14ac:dyDescent="0.3">
      <c r="A270" s="170"/>
      <c r="B270" s="63" t="s">
        <v>151</v>
      </c>
      <c r="C270" s="1023">
        <v>262</v>
      </c>
      <c r="D270" s="1024">
        <v>408.1</v>
      </c>
      <c r="E270" s="182" t="str">
        <f>'Sch 3A - Taxes'!E18</f>
        <v>DIST</v>
      </c>
      <c r="F270" s="890"/>
      <c r="G270" s="182">
        <f>'Sch 3A - Taxes'!F18</f>
        <v>0</v>
      </c>
      <c r="H270" s="182">
        <f>'Sch 3A - Taxes'!G18</f>
        <v>0</v>
      </c>
      <c r="I270" s="182">
        <f>'Sch 3A - Taxes'!H18</f>
        <v>0</v>
      </c>
      <c r="J270" s="183">
        <f>'Sch 3A - Taxes'!I18</f>
        <v>0</v>
      </c>
      <c r="K270" s="904">
        <f>IF($E270="DIRECT",0,1)</f>
        <v>1</v>
      </c>
      <c r="O270" s="1117">
        <f>$G270</f>
        <v>0</v>
      </c>
      <c r="P270" s="1118">
        <f>VLOOKUP($E270,O$442:R$453,2,FALSE)*O270*($K270)+IF($G270&lt;&gt;0,($H270/$G270)*O270,0)*(1-$K270)</f>
        <v>0</v>
      </c>
      <c r="Q270" s="1118">
        <f>VLOOKUP($E270,O$442:R$453,3,FALSE)*O270*($K270)+IF($G270&lt;&gt;0,($I270/$G270)*O270,0)*(1-$K270)</f>
        <v>0</v>
      </c>
      <c r="R270" s="1118">
        <f>VLOOKUP($E270,O$442:R$453,4,FALSE)*O270*($K270)+(O270-P270-Q270)*(1-$K270)</f>
        <v>0</v>
      </c>
      <c r="S270" s="1074"/>
      <c r="W270" s="1117">
        <f>$G270</f>
        <v>0</v>
      </c>
      <c r="X270" s="1118">
        <f>VLOOKUP($E270,W$442:Z$453,2,FALSE)*W270*($K270)+IF($G270&lt;&gt;0,($H270/$G270)*W270,0)*(1-$K270)</f>
        <v>0</v>
      </c>
      <c r="Y270" s="1118">
        <f>VLOOKUP($E270,W$442:Z$453,3,FALSE)*W270*($K270)+IF($G270&lt;&gt;0,($I270/$G270)*W270,0)*(1-$K270)</f>
        <v>0</v>
      </c>
      <c r="Z270" s="1118">
        <f>VLOOKUP($E270,W$442:Z$453,4,FALSE)*W270*($K270)+(W270-X270-Y270)*(1-$K270)</f>
        <v>0</v>
      </c>
      <c r="AA270" s="1074"/>
      <c r="AE270" s="1117">
        <f>$G270</f>
        <v>0</v>
      </c>
      <c r="AF270" s="1118">
        <f>VLOOKUP($E270,AE$442:AH$453,2,FALSE)*AE270*($K270)+IF($G270&lt;&gt;0,($H270/$G270)*AE270,0)*(1-$K270)</f>
        <v>0</v>
      </c>
      <c r="AG270" s="1118">
        <f>VLOOKUP($E270,AE$442:AH$453,3,FALSE)*AE270*($K270)+IF($G270&lt;&gt;0,($I270/$G270)*AE270,0)*(1-$K270)</f>
        <v>0</v>
      </c>
      <c r="AH270" s="1118">
        <f>VLOOKUP($E270,AE$442:AH$453,4,FALSE)*AE270*($K270)+(AE270-AF270-AG270)*(1-$K270)</f>
        <v>0</v>
      </c>
      <c r="AI270" s="1074"/>
      <c r="AM270" s="1117">
        <f>$G270</f>
        <v>0</v>
      </c>
      <c r="AN270" s="1118">
        <f>VLOOKUP($E270,AM$442:AP$453,2,FALSE)*AM270*($K270)+IF($G270&lt;&gt;0,($H270/$G270)*AM270,0)*(1-$K270)</f>
        <v>0</v>
      </c>
      <c r="AO270" s="1118">
        <f>VLOOKUP($E270,AM$442:AP$453,3,FALSE)*AM270*($K270)+IF($G270&lt;&gt;0,($I270/$G270)*AM270,0)*(1-$K270)</f>
        <v>0</v>
      </c>
      <c r="AP270" s="1118">
        <f>VLOOKUP($E270,AM$442:AP$453,4,FALSE)*AM270*($K270)+(AM270-AN270-AO270)*(1-$K270)</f>
        <v>0</v>
      </c>
      <c r="AQ270" s="1074"/>
      <c r="AU270" s="1117">
        <f>$G270</f>
        <v>0</v>
      </c>
      <c r="AV270" s="1118">
        <f>VLOOKUP($E270,AU$442:AX$453,2,FALSE)*AU270*($K270)+IF($G270&lt;&gt;0,($H270/$G270)*AU270,0)*(1-$K270)</f>
        <v>0</v>
      </c>
      <c r="AW270" s="1118">
        <f>VLOOKUP($E270,AU$442:AX$453,3,FALSE)*AU270*($K270)+IF($G270&lt;&gt;0,($I270/$G270)*AU270,0)*(1-$K270)</f>
        <v>0</v>
      </c>
      <c r="AX270" s="1118">
        <f>VLOOKUP($E270,AU$442:AX$453,4,FALSE)*AU270*($K270)+(AU270-AV270-AW270)*(1-$K270)</f>
        <v>0</v>
      </c>
      <c r="AY270" s="1074"/>
      <c r="BC270" s="1117">
        <f>$G270</f>
        <v>0</v>
      </c>
      <c r="BD270" s="1118">
        <f>VLOOKUP($E270,BC$442:BF$453,2,FALSE)*BC270*($K270)+IF($G270&lt;&gt;0,($H270/$G270)*BC270,0)*(1-$K270)</f>
        <v>0</v>
      </c>
      <c r="BE270" s="1118">
        <f>VLOOKUP($E270,BC$442:BF$453,3,FALSE)*BC270*($K270)+IF($G270&lt;&gt;0,($I270/$G270)*BC270,0)*(1-$K270)</f>
        <v>0</v>
      </c>
      <c r="BF270" s="1118">
        <f>VLOOKUP($E270,BC$442:BF$453,4,FALSE)*BC270*($K270)+(BC270-BD270-BE270)*(1-$K270)</f>
        <v>0</v>
      </c>
      <c r="BG270" s="1074"/>
      <c r="BK270" s="1117">
        <f>$G270</f>
        <v>0</v>
      </c>
      <c r="BL270" s="1118">
        <f>VLOOKUP($E270,BK$442:BN$453,2,FALSE)*BK270*($K270)+IF($G270&lt;&gt;0,($H270/$G270)*BK270,0)*(1-$K270)</f>
        <v>0</v>
      </c>
      <c r="BM270" s="1118">
        <f>VLOOKUP($E270,BK$442:BN$453,3,FALSE)*BK270*($K270)+IF($G270&lt;&gt;0,($I270/$G270)*BK270,0)*(1-$K270)</f>
        <v>0</v>
      </c>
      <c r="BN270" s="1118">
        <f>VLOOKUP($E270,BK$442:BN$453,4,FALSE)*BK270*($K270)+(BK270-BL270-BM270)*(1-$K270)</f>
        <v>0</v>
      </c>
      <c r="BO270" s="1074"/>
      <c r="BS270" s="1117">
        <f>$G270</f>
        <v>0</v>
      </c>
      <c r="BT270" s="1118">
        <f>VLOOKUP($E270,BS$442:BV$453,2,FALSE)*BS270*($K270)+IF($G270&lt;&gt;0,($H270/$G270)*BS270,0)*(1-$K270)</f>
        <v>0</v>
      </c>
      <c r="BU270" s="1118">
        <f>VLOOKUP($E270,BS$442:BV$453,3,FALSE)*BS270*($K270)+IF($G270&lt;&gt;0,($I270/$G270)*BS270,0)*(1-$K270)</f>
        <v>0</v>
      </c>
      <c r="BV270" s="1118">
        <f>VLOOKUP($E270,BS$442:BV$453,4,FALSE)*BS270*($K270)+(BS270-BT270-BU270)*(1-$K270)</f>
        <v>0</v>
      </c>
      <c r="BW270" s="1074"/>
      <c r="CA270" s="1117">
        <f>$G270</f>
        <v>0</v>
      </c>
      <c r="CB270" s="1118">
        <f>VLOOKUP($E270,CA$442:CD$453,2,FALSE)*CA270*($K270)+IF($G270&lt;&gt;0,($H270/$G270)*CA270,0)*(1-$K270)</f>
        <v>0</v>
      </c>
      <c r="CC270" s="1118">
        <f>VLOOKUP($E270,CA$442:CD$453,3,FALSE)*CA270*($K270)+IF($G270&lt;&gt;0,($I270/$G270)*CA270,0)*(1-$K270)</f>
        <v>0</v>
      </c>
      <c r="CD270" s="1118">
        <f>VLOOKUP($E270,CA$442:CD$453,4,FALSE)*CA270*($K270)+(CA270-CB270-CC270)*(1-$K270)</f>
        <v>0</v>
      </c>
      <c r="CE270" s="1074"/>
      <c r="CI270" s="1117">
        <f>$G270</f>
        <v>0</v>
      </c>
      <c r="CJ270" s="1118">
        <f>VLOOKUP($E270,CI$442:CL$453,2,FALSE)*CI270*($K270)+IF($G270&lt;&gt;0,($H270/$G270)*CI270,0)*(1-$K270)</f>
        <v>0</v>
      </c>
      <c r="CK270" s="1118">
        <f>VLOOKUP($E270,CI$442:CL$453,3,FALSE)*CI270*($K270)+IF($G270&lt;&gt;0,($I270/$G270)*CI270,0)*(1-$K270)</f>
        <v>0</v>
      </c>
      <c r="CL270" s="1118">
        <f>VLOOKUP($E270,CI$442:CL$453,4,FALSE)*CI270*($K270)+(CI270-CJ270-CK270)*(1-$K270)</f>
        <v>0</v>
      </c>
      <c r="CM270" s="1074"/>
      <c r="CQ270" s="1117">
        <f>$G270</f>
        <v>0</v>
      </c>
      <c r="CR270" s="1118">
        <f>VLOOKUP($E270,CQ$442:CT$453,2,FALSE)*CQ270*($K270)+IF($G270&lt;&gt;0,($H270/$G270)*CQ270,0)*(1-$K270)</f>
        <v>0</v>
      </c>
      <c r="CS270" s="1118">
        <f>VLOOKUP($E270,CQ$442:CT$453,3,FALSE)*CQ270*($K270)+IF($G270&lt;&gt;0,($I270/$G270)*CQ270,0)*(1-$K270)</f>
        <v>0</v>
      </c>
      <c r="CT270" s="1118">
        <f>VLOOKUP($E270,CQ$442:CT$453,4,FALSE)*CQ270*($K270)+(CQ270-CR270-CS270)*(1-$K270)</f>
        <v>0</v>
      </c>
      <c r="CU270" s="1074"/>
      <c r="CY270" s="1117">
        <f>$G270</f>
        <v>0</v>
      </c>
      <c r="CZ270" s="1118">
        <f>VLOOKUP($E270,CY$442:DB$453,2,FALSE)*CY270*($K270)+IF($G270&lt;&gt;0,($H270/$G270)*CY270,0)*(1-$K270)</f>
        <v>0</v>
      </c>
      <c r="DA270" s="1118">
        <f>VLOOKUP($E270,CY$442:DB$453,3,FALSE)*CY270*($K270)+IF($G270&lt;&gt;0,($I270/$G270)*CY270,0)*(1-$K270)</f>
        <v>0</v>
      </c>
      <c r="DB270" s="1118">
        <f>VLOOKUP($E270,CY$442:DB$453,4,FALSE)*CY270*($K270)+(CY270-CZ270-DA270)*(1-$K270)</f>
        <v>0</v>
      </c>
      <c r="DC270" s="1074"/>
      <c r="DG270" s="1117">
        <f>$G270</f>
        <v>0</v>
      </c>
      <c r="DH270" s="1118">
        <f>VLOOKUP($E270,DG$442:DJ$453,2,FALSE)*DG270*($K270)+IF($G270&lt;&gt;0,($H270/$G270)*DG270,0)*(1-$K270)</f>
        <v>0</v>
      </c>
      <c r="DI270" s="1118">
        <f>VLOOKUP($E270,DG$442:DJ$453,3,FALSE)*DG270*($K270)+IF($G270&lt;&gt;0,($I270/$G270)*DG270,0)*(1-$K270)</f>
        <v>0</v>
      </c>
      <c r="DJ270" s="1118">
        <f>VLOOKUP($E270,DG$442:DJ$453,4,FALSE)*DG270*($K270)+(DG270-DH270-DI270)*(1-$K270)</f>
        <v>0</v>
      </c>
      <c r="DK270" s="1074"/>
      <c r="DO270" s="1117">
        <f>$G270</f>
        <v>0</v>
      </c>
      <c r="DP270" s="1118">
        <f>VLOOKUP($E270,DO$442:DR$453,2,FALSE)*DO270*($K270)+IF($G270&lt;&gt;0,($H270/$G270)*DO270,0)*(1-$K270)</f>
        <v>0</v>
      </c>
      <c r="DQ270" s="1118">
        <f>VLOOKUP($E270,DO$442:DR$453,3,FALSE)*DO270*($K270)+IF($G270&lt;&gt;0,($I270/$G270)*DO270,0)*(1-$K270)</f>
        <v>0</v>
      </c>
      <c r="DR270" s="1118">
        <f>VLOOKUP($E270,DO$442:DR$453,4,FALSE)*DO270*($K270)+(DO270-DP270-DQ270)*(1-$K270)</f>
        <v>0</v>
      </c>
      <c r="DS270" s="1074"/>
      <c r="DW270" s="1117">
        <f>$G270</f>
        <v>0</v>
      </c>
      <c r="DX270" s="1118">
        <f>VLOOKUP($E270,DW$442:DZ$453,2,FALSE)*DW270*($K270)+IF($G270&lt;&gt;0,($H270/$G270)*DW270,0)*(1-$K270)</f>
        <v>0</v>
      </c>
      <c r="DY270" s="1118">
        <f>VLOOKUP($E270,DW$442:DZ$453,3,FALSE)*DW270*($K270)+IF($G270&lt;&gt;0,($I270/$G270)*DW270,0)*(1-$K270)</f>
        <v>0</v>
      </c>
      <c r="DZ270" s="1118">
        <f>VLOOKUP($E270,DW$442:DZ$453,4,FALSE)*DW270*($K270)+(DW270-DX270-DY270)*(1-$K270)</f>
        <v>0</v>
      </c>
      <c r="EA270" s="1074"/>
      <c r="EE270" s="1117">
        <f>$G270</f>
        <v>0</v>
      </c>
      <c r="EF270" s="1118">
        <f>VLOOKUP($E270,EE$442:EH$453,2,FALSE)*EE270*($K270)+IF($G270&lt;&gt;0,($H270/$G270)*EE270,0)*(1-$K270)</f>
        <v>0</v>
      </c>
      <c r="EG270" s="1118">
        <f>VLOOKUP($E270,EE$442:EH$453,3,FALSE)*EE270*($K270)+IF($G270&lt;&gt;0,($I270/$G270)*EE270,0)*(1-$K270)</f>
        <v>0</v>
      </c>
      <c r="EH270" s="1118">
        <f>VLOOKUP($E270,EE$442:EH$453,4,FALSE)*EE270*($K270)+(EE270-EF270-EG270)*(1-$K270)</f>
        <v>0</v>
      </c>
      <c r="EI270" s="1074"/>
      <c r="EM270" s="1117">
        <f>$G270</f>
        <v>0</v>
      </c>
      <c r="EN270" s="1118">
        <f>VLOOKUP($E270,EM$442:EP$453,2,FALSE)*EM270*($K270)+IF($G270&lt;&gt;0,($H270/$G270)*EM270,0)*(1-$K270)</f>
        <v>0</v>
      </c>
      <c r="EO270" s="1118">
        <f>VLOOKUP($E270,EM$442:EP$453,3,FALSE)*EM270*($K270)+IF($G270&lt;&gt;0,($I270/$G270)*EM270,0)*(1-$K270)</f>
        <v>0</v>
      </c>
      <c r="EP270" s="1118">
        <f>VLOOKUP($E270,EM$442:EP$453,4,FALSE)*EM270*($K270)+(EM270-EN270-EO270)*(1-$K270)</f>
        <v>0</v>
      </c>
      <c r="EQ270" s="1074"/>
      <c r="EU270" s="1117">
        <f>$G270</f>
        <v>0</v>
      </c>
      <c r="EV270" s="1118">
        <f>VLOOKUP($E270,EU$442:EX$453,2,FALSE)*EU270*($K270)+IF($G270&lt;&gt;0,($H270/$G270)*EU270,0)*(1-$K270)</f>
        <v>0</v>
      </c>
      <c r="EW270" s="1118">
        <f>VLOOKUP($E270,EU$442:EX$453,3,FALSE)*EU270*($K270)+IF($G270&lt;&gt;0,($I270/$G270)*EU270,0)*(1-$K270)</f>
        <v>0</v>
      </c>
      <c r="EX270" s="1118">
        <f>VLOOKUP($E270,EU$442:EX$453,4,FALSE)*EU270*($K270)+(EU270-EV270-EW270)*(1-$K270)</f>
        <v>0</v>
      </c>
      <c r="EY270" s="1074"/>
      <c r="FC270" s="1117">
        <f>$G270</f>
        <v>0</v>
      </c>
      <c r="FD270" s="1118">
        <f>VLOOKUP($E270,FC$442:FF$453,2,FALSE)*FC270*($K270)+IF($G270&lt;&gt;0,($H270/$G270)*FC270,0)*(1-$K270)</f>
        <v>0</v>
      </c>
      <c r="FE270" s="1118">
        <f>VLOOKUP($E270,FC$442:FF$453,3,FALSE)*FC270*($K270)+IF($G270&lt;&gt;0,($I270/$G270)*FC270,0)*(1-$K270)</f>
        <v>0</v>
      </c>
      <c r="FF270" s="1118">
        <f>VLOOKUP($E270,FC$442:FF$453,4,FALSE)*FC270*($K270)+(FC270-FD270-FE270)*(1-$K270)</f>
        <v>0</v>
      </c>
      <c r="FG270" s="1074"/>
      <c r="FK270" s="1117">
        <f>$G270</f>
        <v>0</v>
      </c>
      <c r="FL270" s="1118">
        <f>VLOOKUP($E270,FK$442:FN$453,2,FALSE)*FK270*($K270)+IF($G270&lt;&gt;0,($H270/$G270)*FK270,0)*(1-$K270)</f>
        <v>0</v>
      </c>
      <c r="FM270" s="1118">
        <f>VLOOKUP($E270,FK$442:FN$453,3,FALSE)*FK270*($K270)+IF($G270&lt;&gt;0,($I270/$G270)*FK270,0)*(1-$K270)</f>
        <v>0</v>
      </c>
      <c r="FN270" s="1118">
        <f>VLOOKUP($E270,FK$442:FN$453,4,FALSE)*FK270*($K270)+(FK270-FL270-FM270)*(1-$K270)</f>
        <v>0</v>
      </c>
      <c r="FO270" s="1074"/>
    </row>
    <row r="271" spans="1:171" ht="16.5" thickBot="1" x14ac:dyDescent="0.3">
      <c r="A271" s="201" t="s">
        <v>37</v>
      </c>
      <c r="B271" s="58"/>
      <c r="C271" s="915"/>
      <c r="D271" s="916"/>
      <c r="E271" s="916"/>
      <c r="F271" s="917"/>
      <c r="G271" s="924">
        <f>SUM(G268:G270)</f>
        <v>19019048.084836535</v>
      </c>
      <c r="H271" s="924">
        <f>SUM(H268:H270)</f>
        <v>7928154.892926028</v>
      </c>
      <c r="I271" s="924">
        <f>SUM(I268:I270)</f>
        <v>0</v>
      </c>
      <c r="J271" s="1391">
        <f>SUM(J268:J270)</f>
        <v>11090893.191910507</v>
      </c>
      <c r="K271" s="904"/>
      <c r="O271" s="1138">
        <f>SUM(O268:O270)</f>
        <v>19019048.084836535</v>
      </c>
      <c r="P271" s="1139">
        <f>SUM(P268:P270)</f>
        <v>7928154.892926028</v>
      </c>
      <c r="Q271" s="1139">
        <f>SUM(Q268:Q270)</f>
        <v>513692.31276444771</v>
      </c>
      <c r="R271" s="1139">
        <f>SUM(R268:R270)</f>
        <v>10577200.879146058</v>
      </c>
      <c r="S271" s="1074"/>
      <c r="W271" s="1138">
        <f>SUM(W268:W270)</f>
        <v>19019048.084836535</v>
      </c>
      <c r="X271" s="1139">
        <f>SUM(X268:X270)</f>
        <v>7928154.892926028</v>
      </c>
      <c r="Y271" s="1139">
        <f>SUM(Y268:Y270)</f>
        <v>513692.31276444771</v>
      </c>
      <c r="Z271" s="1139">
        <f>SUM(Z268:Z270)</f>
        <v>10577200.879146058</v>
      </c>
      <c r="AA271" s="1074"/>
      <c r="AE271" s="1138">
        <f>SUM(AE268:AE270)</f>
        <v>19019048.084836535</v>
      </c>
      <c r="AF271" s="1139">
        <f>SUM(AF268:AF270)</f>
        <v>7928154.892926028</v>
      </c>
      <c r="AG271" s="1139">
        <f>SUM(AG268:AG270)</f>
        <v>513692.31276444771</v>
      </c>
      <c r="AH271" s="1139">
        <f>SUM(AH268:AH270)</f>
        <v>10577200.879146058</v>
      </c>
      <c r="AI271" s="1074"/>
      <c r="AM271" s="1138">
        <f>SUM(AM268:AM270)</f>
        <v>19019048.084836535</v>
      </c>
      <c r="AN271" s="1139">
        <f>SUM(AN268:AN270)</f>
        <v>7928154.892926028</v>
      </c>
      <c r="AO271" s="1139">
        <f>SUM(AO268:AO270)</f>
        <v>513692.31276444771</v>
      </c>
      <c r="AP271" s="1139">
        <f>SUM(AP268:AP270)</f>
        <v>10577200.879146058</v>
      </c>
      <c r="AQ271" s="1074"/>
      <c r="AU271" s="1138">
        <f>SUM(AU268:AU270)</f>
        <v>19019048.084836535</v>
      </c>
      <c r="AV271" s="1139">
        <f>SUM(AV268:AV270)</f>
        <v>7928154.892926028</v>
      </c>
      <c r="AW271" s="1139">
        <f>SUM(AW268:AW270)</f>
        <v>513692.31276444771</v>
      </c>
      <c r="AX271" s="1139">
        <f>SUM(AX268:AX270)</f>
        <v>10577200.879146058</v>
      </c>
      <c r="AY271" s="1074"/>
      <c r="BC271" s="1138">
        <f>SUM(BC268:BC270)</f>
        <v>19019048.084836535</v>
      </c>
      <c r="BD271" s="1139">
        <f>SUM(BD268:BD270)</f>
        <v>7928154.892926028</v>
      </c>
      <c r="BE271" s="1139">
        <f>SUM(BE268:BE270)</f>
        <v>513692.31276444771</v>
      </c>
      <c r="BF271" s="1139">
        <f>SUM(BF268:BF270)</f>
        <v>10577200.879146058</v>
      </c>
      <c r="BG271" s="1074"/>
      <c r="BK271" s="1138">
        <f>SUM(BK268:BK270)</f>
        <v>19019048.084836535</v>
      </c>
      <c r="BL271" s="1139">
        <f>SUM(BL268:BL270)</f>
        <v>7928154.892926028</v>
      </c>
      <c r="BM271" s="1139">
        <f>SUM(BM268:BM270)</f>
        <v>513692.31276444771</v>
      </c>
      <c r="BN271" s="1139">
        <f>SUM(BN268:BN270)</f>
        <v>10577200.879146058</v>
      </c>
      <c r="BO271" s="1074"/>
      <c r="BS271" s="1138">
        <f>SUM(BS268:BS270)</f>
        <v>19019048.084836535</v>
      </c>
      <c r="BT271" s="1139">
        <f>SUM(BT268:BT270)</f>
        <v>7928154.892926028</v>
      </c>
      <c r="BU271" s="1139">
        <f>SUM(BU268:BU270)</f>
        <v>513692.31276444771</v>
      </c>
      <c r="BV271" s="1139">
        <f>SUM(BV268:BV270)</f>
        <v>10577200.879146058</v>
      </c>
      <c r="BW271" s="1074"/>
      <c r="CA271" s="1138">
        <f>SUM(CA268:CA270)</f>
        <v>19019048.084836535</v>
      </c>
      <c r="CB271" s="1139">
        <f>SUM(CB268:CB270)</f>
        <v>7928154.892926028</v>
      </c>
      <c r="CC271" s="1139">
        <f>SUM(CC268:CC270)</f>
        <v>513692.31276444771</v>
      </c>
      <c r="CD271" s="1139">
        <f>SUM(CD268:CD270)</f>
        <v>10577200.879146058</v>
      </c>
      <c r="CE271" s="1074"/>
      <c r="CI271" s="1138">
        <f>SUM(CI268:CI270)</f>
        <v>19019048.084836535</v>
      </c>
      <c r="CJ271" s="1139">
        <f>SUM(CJ268:CJ270)</f>
        <v>7928154.892926028</v>
      </c>
      <c r="CK271" s="1139">
        <f>SUM(CK268:CK270)</f>
        <v>513692.31276444771</v>
      </c>
      <c r="CL271" s="1139">
        <f>SUM(CL268:CL270)</f>
        <v>10577200.879146058</v>
      </c>
      <c r="CM271" s="1074"/>
      <c r="CQ271" s="1138">
        <f>SUM(CQ268:CQ270)</f>
        <v>19019048.084836535</v>
      </c>
      <c r="CR271" s="1139">
        <f>SUM(CR268:CR270)</f>
        <v>7928154.892926028</v>
      </c>
      <c r="CS271" s="1139">
        <f>SUM(CS268:CS270)</f>
        <v>513692.31276444771</v>
      </c>
      <c r="CT271" s="1139">
        <f>SUM(CT268:CT270)</f>
        <v>10577200.879146058</v>
      </c>
      <c r="CU271" s="1074"/>
      <c r="CY271" s="1138">
        <f>SUM(CY268:CY270)</f>
        <v>19019048.084836535</v>
      </c>
      <c r="CZ271" s="1139">
        <f>SUM(CZ268:CZ270)</f>
        <v>7928154.892926028</v>
      </c>
      <c r="DA271" s="1139">
        <f>SUM(DA268:DA270)</f>
        <v>513692.31276444771</v>
      </c>
      <c r="DB271" s="1139">
        <f>SUM(DB268:DB270)</f>
        <v>10577200.879146058</v>
      </c>
      <c r="DC271" s="1074"/>
      <c r="DG271" s="1138">
        <f>SUM(DG268:DG270)</f>
        <v>19019048.084836535</v>
      </c>
      <c r="DH271" s="1139">
        <f>SUM(DH268:DH270)</f>
        <v>7928154.892926028</v>
      </c>
      <c r="DI271" s="1139">
        <f>SUM(DI268:DI270)</f>
        <v>513692.31276444771</v>
      </c>
      <c r="DJ271" s="1139">
        <f>SUM(DJ268:DJ270)</f>
        <v>10577200.879146058</v>
      </c>
      <c r="DK271" s="1074"/>
      <c r="DO271" s="1138">
        <f>SUM(DO268:DO270)</f>
        <v>19019048.084836535</v>
      </c>
      <c r="DP271" s="1139">
        <f>SUM(DP268:DP270)</f>
        <v>7928154.892926028</v>
      </c>
      <c r="DQ271" s="1139">
        <f>SUM(DQ268:DQ270)</f>
        <v>513692.31276444771</v>
      </c>
      <c r="DR271" s="1139">
        <f>SUM(DR268:DR270)</f>
        <v>10577200.879146058</v>
      </c>
      <c r="DS271" s="1074"/>
      <c r="DW271" s="1138">
        <f>SUM(DW268:DW270)</f>
        <v>19019048.084836535</v>
      </c>
      <c r="DX271" s="1139">
        <f>SUM(DX268:DX270)</f>
        <v>7928154.892926028</v>
      </c>
      <c r="DY271" s="1139">
        <f>SUM(DY268:DY270)</f>
        <v>513692.31276444771</v>
      </c>
      <c r="DZ271" s="1139">
        <f>SUM(DZ268:DZ270)</f>
        <v>10577200.879146058</v>
      </c>
      <c r="EA271" s="1074"/>
      <c r="EE271" s="1138">
        <f>SUM(EE268:EE270)</f>
        <v>19019048.084836535</v>
      </c>
      <c r="EF271" s="1139">
        <f>SUM(EF268:EF270)</f>
        <v>7928154.892926028</v>
      </c>
      <c r="EG271" s="1139">
        <f>SUM(EG268:EG270)</f>
        <v>513692.31276444771</v>
      </c>
      <c r="EH271" s="1139">
        <f>SUM(EH268:EH270)</f>
        <v>10577200.879146058</v>
      </c>
      <c r="EI271" s="1074"/>
      <c r="EM271" s="1138">
        <f>SUM(EM268:EM270)</f>
        <v>19019048.084836535</v>
      </c>
      <c r="EN271" s="1139">
        <f>SUM(EN268:EN270)</f>
        <v>7928154.892926028</v>
      </c>
      <c r="EO271" s="1139">
        <f>SUM(EO268:EO270)</f>
        <v>513692.31276444771</v>
      </c>
      <c r="EP271" s="1139">
        <f>SUM(EP268:EP270)</f>
        <v>10577200.879146058</v>
      </c>
      <c r="EQ271" s="1074"/>
      <c r="EU271" s="1138">
        <f>SUM(EU268:EU270)</f>
        <v>19019048.084836535</v>
      </c>
      <c r="EV271" s="1139">
        <f>SUM(EV268:EV270)</f>
        <v>7928154.892926028</v>
      </c>
      <c r="EW271" s="1139">
        <f>SUM(EW268:EW270)</f>
        <v>513692.31276444771</v>
      </c>
      <c r="EX271" s="1139">
        <f>SUM(EX268:EX270)</f>
        <v>10577200.879146058</v>
      </c>
      <c r="EY271" s="1074"/>
      <c r="FC271" s="1138">
        <f>SUM(FC268:FC270)</f>
        <v>19019048.084836535</v>
      </c>
      <c r="FD271" s="1139">
        <f>SUM(FD268:FD270)</f>
        <v>7928154.892926028</v>
      </c>
      <c r="FE271" s="1139">
        <f>SUM(FE268:FE270)</f>
        <v>513692.31276444771</v>
      </c>
      <c r="FF271" s="1139">
        <f>SUM(FF268:FF270)</f>
        <v>10577200.879146058</v>
      </c>
      <c r="FG271" s="1074"/>
      <c r="FK271" s="1138">
        <f>SUM(FK268:FK270)</f>
        <v>19019048.084836535</v>
      </c>
      <c r="FL271" s="1139">
        <f>SUM(FL268:FL270)</f>
        <v>7928154.892926028</v>
      </c>
      <c r="FM271" s="1139">
        <f>SUM(FM268:FM270)</f>
        <v>513692.31276444771</v>
      </c>
      <c r="FN271" s="1139">
        <f>SUM(FN268:FN270)</f>
        <v>10577200.879146058</v>
      </c>
      <c r="FO271" s="1074"/>
    </row>
    <row r="272" spans="1:171" x14ac:dyDescent="0.25">
      <c r="A272" s="201"/>
      <c r="B272" s="58"/>
      <c r="C272" s="1025"/>
      <c r="D272" s="1026"/>
      <c r="E272" s="196"/>
      <c r="F272" s="196"/>
      <c r="G272" s="197"/>
      <c r="H272" s="197"/>
      <c r="I272" s="197"/>
      <c r="J272" s="1027"/>
      <c r="K272" s="904"/>
      <c r="S272" s="1074"/>
      <c r="AA272" s="1074"/>
      <c r="AI272" s="1074"/>
      <c r="AQ272" s="1074"/>
      <c r="AY272" s="1074"/>
      <c r="BG272" s="1074"/>
      <c r="BO272" s="1074"/>
      <c r="BW272" s="1074"/>
      <c r="CE272" s="1074"/>
      <c r="CM272" s="1074"/>
      <c r="CU272" s="1074"/>
      <c r="DC272" s="1074"/>
      <c r="DK272" s="1074"/>
      <c r="DS272" s="1074"/>
      <c r="EA272" s="1074"/>
      <c r="EI272" s="1074"/>
      <c r="EQ272" s="1074"/>
      <c r="EY272" s="1074"/>
      <c r="FG272" s="1074"/>
      <c r="FO272" s="1074"/>
    </row>
    <row r="273" spans="1:171" x14ac:dyDescent="0.25">
      <c r="A273" s="202" t="s">
        <v>38</v>
      </c>
      <c r="B273" s="63"/>
      <c r="C273" s="150"/>
      <c r="D273" s="195"/>
      <c r="E273" s="196"/>
      <c r="F273" s="196"/>
      <c r="G273" s="197"/>
      <c r="H273" s="197"/>
      <c r="I273" s="197"/>
      <c r="J273" s="1027"/>
      <c r="K273" s="904"/>
      <c r="S273" s="1074"/>
      <c r="AA273" s="1074"/>
      <c r="AI273" s="1074"/>
      <c r="AQ273" s="1074"/>
      <c r="AY273" s="1074"/>
      <c r="BG273" s="1074"/>
      <c r="BO273" s="1074"/>
      <c r="BW273" s="1074"/>
      <c r="CE273" s="1074"/>
      <c r="CM273" s="1074"/>
      <c r="CU273" s="1074"/>
      <c r="DC273" s="1074"/>
      <c r="DK273" s="1074"/>
      <c r="DS273" s="1074"/>
      <c r="EA273" s="1074"/>
      <c r="EI273" s="1074"/>
      <c r="EQ273" s="1074"/>
      <c r="EY273" s="1074"/>
      <c r="FG273" s="1074"/>
      <c r="FO273" s="1074"/>
    </row>
    <row r="274" spans="1:171" x14ac:dyDescent="0.25">
      <c r="A274" s="1390">
        <v>96000</v>
      </c>
      <c r="B274" s="63" t="s">
        <v>567</v>
      </c>
      <c r="C274" s="1023">
        <v>262</v>
      </c>
      <c r="D274" s="1024">
        <v>408.1</v>
      </c>
      <c r="E274" s="182" t="str">
        <f>'Sch 3A - Taxes'!E22</f>
        <v>PTDG</v>
      </c>
      <c r="F274" s="890"/>
      <c r="G274" s="182">
        <f>'Sch 3A - Taxes'!F22</f>
        <v>62757268.946259603</v>
      </c>
      <c r="H274" s="182">
        <f>'Sch 3A - Taxes'!G22</f>
        <v>27262667.717048887</v>
      </c>
      <c r="I274" s="182">
        <f>'Sch 3A - Taxes'!H22</f>
        <v>0</v>
      </c>
      <c r="J274" s="183">
        <f>'Sch 3A - Taxes'!I22</f>
        <v>35500881.608327694</v>
      </c>
      <c r="K274" s="904">
        <f t="shared" ref="K274:K280" si="730">IF($E274="DIRECT",0,1)</f>
        <v>1</v>
      </c>
      <c r="N274" s="1130">
        <f>VLOOKUP($A274,'New Resources - Individual'!$A$4:$Y$133,N$2,FALSE)*N$1</f>
        <v>0</v>
      </c>
      <c r="O274" s="1117">
        <f>$G274+N274</f>
        <v>62757268.946259603</v>
      </c>
      <c r="P274" s="1118">
        <f t="shared" ref="P274:P280" si="731">VLOOKUP($E274,O$442:R$453,2,FALSE)*O274*($K274)+IF($G274&lt;&gt;0,($H274/$G274)*O274,0)*(1-$K274)</f>
        <v>27262667.717048887</v>
      </c>
      <c r="Q274" s="1118">
        <f t="shared" ref="Q274:Q280" si="732">VLOOKUP($E274,O$442:R$453,3,FALSE)*O274*($K274)+IF($G274&lt;&gt;0,($I274/$G274)*O274,0)*(1-$K274)</f>
        <v>15883928.802817663</v>
      </c>
      <c r="R274" s="1118">
        <f t="shared" ref="R274:R280" si="733">VLOOKUP($E274,O$442:R$453,4,FALSE)*O274*($K274)+(O274-P274-Q274)*(1-$K274)</f>
        <v>19610672.426393051</v>
      </c>
      <c r="S274" s="1074"/>
      <c r="V274" s="1130">
        <f>VLOOKUP($A274,'New Resources - Individual'!$A$4:$Y$133,V$2,FALSE)*V$1</f>
        <v>0</v>
      </c>
      <c r="W274" s="1117">
        <f>$G274+V274</f>
        <v>62757268.946259603</v>
      </c>
      <c r="X274" s="1118">
        <f t="shared" ref="X274:X280" si="734">VLOOKUP($E274,W$442:Z$453,2,FALSE)*W274*($K274)+IF($G274&lt;&gt;0,($H274/$G274)*W274,0)*(1-$K274)</f>
        <v>27262667.717048887</v>
      </c>
      <c r="Y274" s="1118">
        <f t="shared" ref="Y274:Y280" si="735">VLOOKUP($E274,W$442:Z$453,3,FALSE)*W274*($K274)+IF($G274&lt;&gt;0,($I274/$G274)*W274,0)*(1-$K274)</f>
        <v>15883928.802817663</v>
      </c>
      <c r="Z274" s="1118">
        <f t="shared" ref="Z274:Z280" si="736">VLOOKUP($E274,W$442:Z$453,4,FALSE)*W274*($K274)+(W274-X274-Y274)*(1-$K274)</f>
        <v>19610672.426393051</v>
      </c>
      <c r="AA274" s="1074"/>
      <c r="AD274" s="1130">
        <f>VLOOKUP($A274,'New Resources - Individual'!$A$4:$Y$133,AD$2,FALSE)*AD$1</f>
        <v>0</v>
      </c>
      <c r="AE274" s="1117">
        <f>$G274+AD274</f>
        <v>62757268.946259603</v>
      </c>
      <c r="AF274" s="1118">
        <f t="shared" ref="AF274:AF280" si="737">VLOOKUP($E274,AE$442:AH$453,2,FALSE)*AE274*($K274)+IF($G274&lt;&gt;0,($H274/$G274)*AE274,0)*(1-$K274)</f>
        <v>27262667.717048887</v>
      </c>
      <c r="AG274" s="1118">
        <f t="shared" ref="AG274:AG280" si="738">VLOOKUP($E274,AE$442:AH$453,3,FALSE)*AE274*($K274)+IF($G274&lt;&gt;0,($I274/$G274)*AE274,0)*(1-$K274)</f>
        <v>15883928.802817663</v>
      </c>
      <c r="AH274" s="1118">
        <f t="shared" ref="AH274:AH280" si="739">VLOOKUP($E274,AE$442:AH$453,4,FALSE)*AE274*($K274)+(AE274-AF274-AG274)*(1-$K274)</f>
        <v>19610672.426393051</v>
      </c>
      <c r="AI274" s="1074"/>
      <c r="AL274" s="1130">
        <f>VLOOKUP($A274,'New Resources - Individual'!$A$4:$Y$133,AL$2,FALSE)*AL$1</f>
        <v>0</v>
      </c>
      <c r="AM274" s="1117">
        <f>$G274+AL274</f>
        <v>62757268.946259603</v>
      </c>
      <c r="AN274" s="1118">
        <f t="shared" ref="AN274:AN280" si="740">VLOOKUP($E274,AM$442:AP$453,2,FALSE)*AM274*($K274)+IF($G274&lt;&gt;0,($H274/$G274)*AM274,0)*(1-$K274)</f>
        <v>27262667.717048887</v>
      </c>
      <c r="AO274" s="1118">
        <f t="shared" ref="AO274:AO280" si="741">VLOOKUP($E274,AM$442:AP$453,3,FALSE)*AM274*($K274)+IF($G274&lt;&gt;0,($I274/$G274)*AM274,0)*(1-$K274)</f>
        <v>15883928.802817663</v>
      </c>
      <c r="AP274" s="1118">
        <f t="shared" ref="AP274:AP280" si="742">VLOOKUP($E274,AM$442:AP$453,4,FALSE)*AM274*($K274)+(AM274-AN274-AO274)*(1-$K274)</f>
        <v>19610672.426393051</v>
      </c>
      <c r="AQ274" s="1074"/>
      <c r="AT274" s="1130">
        <f>VLOOKUP($A274,'New Resources - Individual'!$A$4:$Y$133,AT$2,FALSE)*AT$1</f>
        <v>0</v>
      </c>
      <c r="AU274" s="1117">
        <f>$G274+AT274</f>
        <v>62757268.946259603</v>
      </c>
      <c r="AV274" s="1118">
        <f t="shared" ref="AV274:AV280" si="743">VLOOKUP($E274,AU$442:AX$453,2,FALSE)*AU274*($K274)+IF($G274&lt;&gt;0,($H274/$G274)*AU274,0)*(1-$K274)</f>
        <v>27262667.717048887</v>
      </c>
      <c r="AW274" s="1118">
        <f t="shared" ref="AW274:AW280" si="744">VLOOKUP($E274,AU$442:AX$453,3,FALSE)*AU274*($K274)+IF($G274&lt;&gt;0,($I274/$G274)*AU274,0)*(1-$K274)</f>
        <v>15883928.802817663</v>
      </c>
      <c r="AX274" s="1118">
        <f t="shared" ref="AX274:AX280" si="745">VLOOKUP($E274,AU$442:AX$453,4,FALSE)*AU274*($K274)+(AU274-AV274-AW274)*(1-$K274)</f>
        <v>19610672.426393051</v>
      </c>
      <c r="AY274" s="1074"/>
      <c r="BB274" s="1130">
        <f>VLOOKUP($A274,'New Resources - Individual'!$A$4:$Y$133,BB$2,FALSE)*BB$1</f>
        <v>0</v>
      </c>
      <c r="BC274" s="1117">
        <f>$G274+BB274</f>
        <v>62757268.946259603</v>
      </c>
      <c r="BD274" s="1118">
        <f t="shared" ref="BD274:BD280" si="746">VLOOKUP($E274,BC$442:BF$453,2,FALSE)*BC274*($K274)+IF($G274&lt;&gt;0,($H274/$G274)*BC274,0)*(1-$K274)</f>
        <v>27262667.717048887</v>
      </c>
      <c r="BE274" s="1118">
        <f t="shared" ref="BE274:BE280" si="747">VLOOKUP($E274,BC$442:BF$453,3,FALSE)*BC274*($K274)+IF($G274&lt;&gt;0,($I274/$G274)*BC274,0)*(1-$K274)</f>
        <v>15883928.802817663</v>
      </c>
      <c r="BF274" s="1118">
        <f t="shared" ref="BF274:BF280" si="748">VLOOKUP($E274,BC$442:BF$453,4,FALSE)*BC274*($K274)+(BC274-BD274-BE274)*(1-$K274)</f>
        <v>19610672.426393051</v>
      </c>
      <c r="BG274" s="1074"/>
      <c r="BJ274" s="1130">
        <f>VLOOKUP($A274,'New Resources - Individual'!$A$4:$Y$133,BJ$2,FALSE)*BJ$1</f>
        <v>0</v>
      </c>
      <c r="BK274" s="1117">
        <f>$G274+BJ274</f>
        <v>62757268.946259603</v>
      </c>
      <c r="BL274" s="1118">
        <f t="shared" ref="BL274:BL280" si="749">VLOOKUP($E274,BK$442:BN$453,2,FALSE)*BK274*($K274)+IF($G274&lt;&gt;0,($H274/$G274)*BK274,0)*(1-$K274)</f>
        <v>27262667.717048887</v>
      </c>
      <c r="BM274" s="1118">
        <f t="shared" ref="BM274:BM280" si="750">VLOOKUP($E274,BK$442:BN$453,3,FALSE)*BK274*($K274)+IF($G274&lt;&gt;0,($I274/$G274)*BK274,0)*(1-$K274)</f>
        <v>15883928.802817663</v>
      </c>
      <c r="BN274" s="1118">
        <f t="shared" ref="BN274:BN280" si="751">VLOOKUP($E274,BK$442:BN$453,4,FALSE)*BK274*($K274)+(BK274-BL274-BM274)*(1-$K274)</f>
        <v>19610672.426393051</v>
      </c>
      <c r="BO274" s="1074"/>
      <c r="BR274" s="1130">
        <f>VLOOKUP($A274,'New Resources - Individual'!$A$4:$Y$133,BR$2,FALSE)*BR$1</f>
        <v>0</v>
      </c>
      <c r="BS274" s="1117">
        <f>$G274+BR274</f>
        <v>62757268.946259603</v>
      </c>
      <c r="BT274" s="1118">
        <f t="shared" ref="BT274:BT280" si="752">VLOOKUP($E274,BS$442:BV$453,2,FALSE)*BS274*($K274)+IF($G274&lt;&gt;0,($H274/$G274)*BS274,0)*(1-$K274)</f>
        <v>27262667.717048887</v>
      </c>
      <c r="BU274" s="1118">
        <f t="shared" ref="BU274:BU280" si="753">VLOOKUP($E274,BS$442:BV$453,3,FALSE)*BS274*($K274)+IF($G274&lt;&gt;0,($I274/$G274)*BS274,0)*(1-$K274)</f>
        <v>15883928.802817663</v>
      </c>
      <c r="BV274" s="1118">
        <f t="shared" ref="BV274:BV280" si="754">VLOOKUP($E274,BS$442:BV$453,4,FALSE)*BS274*($K274)+(BS274-BT274-BU274)*(1-$K274)</f>
        <v>19610672.426393051</v>
      </c>
      <c r="BW274" s="1074"/>
      <c r="BZ274" s="1130">
        <f>VLOOKUP($A274,'New Resources - Individual'!$A$4:$Y$133,BZ$2,FALSE)*BZ$1</f>
        <v>0</v>
      </c>
      <c r="CA274" s="1117">
        <f>$G274+BZ274</f>
        <v>62757268.946259603</v>
      </c>
      <c r="CB274" s="1118">
        <f t="shared" ref="CB274:CB280" si="755">VLOOKUP($E274,CA$442:CD$453,2,FALSE)*CA274*($K274)+IF($G274&lt;&gt;0,($H274/$G274)*CA274,0)*(1-$K274)</f>
        <v>27262667.717048887</v>
      </c>
      <c r="CC274" s="1118">
        <f t="shared" ref="CC274:CC280" si="756">VLOOKUP($E274,CA$442:CD$453,3,FALSE)*CA274*($K274)+IF($G274&lt;&gt;0,($I274/$G274)*CA274,0)*(1-$K274)</f>
        <v>15883928.802817663</v>
      </c>
      <c r="CD274" s="1118">
        <f t="shared" ref="CD274:CD280" si="757">VLOOKUP($E274,CA$442:CD$453,4,FALSE)*CA274*($K274)+(CA274-CB274-CC274)*(1-$K274)</f>
        <v>19610672.426393051</v>
      </c>
      <c r="CE274" s="1074"/>
      <c r="CH274" s="1130">
        <f>VLOOKUP($A274,'New Resources - Individual'!$A$4:$Y$133,CH$2,FALSE)*CH$1</f>
        <v>0</v>
      </c>
      <c r="CI274" s="1117">
        <f>$G274+CH274</f>
        <v>62757268.946259603</v>
      </c>
      <c r="CJ274" s="1118">
        <f t="shared" ref="CJ274:CJ280" si="758">VLOOKUP($E274,CI$442:CL$453,2,FALSE)*CI274*($K274)+IF($G274&lt;&gt;0,($H274/$G274)*CI274,0)*(1-$K274)</f>
        <v>27262667.717048887</v>
      </c>
      <c r="CK274" s="1118">
        <f t="shared" ref="CK274:CK280" si="759">VLOOKUP($E274,CI$442:CL$453,3,FALSE)*CI274*($K274)+IF($G274&lt;&gt;0,($I274/$G274)*CI274,0)*(1-$K274)</f>
        <v>15883928.802817663</v>
      </c>
      <c r="CL274" s="1118">
        <f t="shared" ref="CL274:CL280" si="760">VLOOKUP($E274,CI$442:CL$453,4,FALSE)*CI274*($K274)+(CI274-CJ274-CK274)*(1-$K274)</f>
        <v>19610672.426393051</v>
      </c>
      <c r="CM274" s="1074"/>
      <c r="CP274" s="1130">
        <f>VLOOKUP($A274,'New Resources - Individual'!$A$4:$Y$133,CP$2,FALSE)*CP$1</f>
        <v>0</v>
      </c>
      <c r="CQ274" s="1117">
        <f>$G274+CP274</f>
        <v>62757268.946259603</v>
      </c>
      <c r="CR274" s="1118">
        <f t="shared" ref="CR274:CR280" si="761">VLOOKUP($E274,CQ$442:CT$453,2,FALSE)*CQ274*($K274)+IF($G274&lt;&gt;0,($H274/$G274)*CQ274,0)*(1-$K274)</f>
        <v>27262667.717048887</v>
      </c>
      <c r="CS274" s="1118">
        <f t="shared" ref="CS274:CS280" si="762">VLOOKUP($E274,CQ$442:CT$453,3,FALSE)*CQ274*($K274)+IF($G274&lt;&gt;0,($I274/$G274)*CQ274,0)*(1-$K274)</f>
        <v>15883928.802817663</v>
      </c>
      <c r="CT274" s="1118">
        <f t="shared" ref="CT274:CT280" si="763">VLOOKUP($E274,CQ$442:CT$453,4,FALSE)*CQ274*($K274)+(CQ274-CR274-CS274)*(1-$K274)</f>
        <v>19610672.426393051</v>
      </c>
      <c r="CU274" s="1074"/>
      <c r="CX274" s="1130">
        <f>VLOOKUP($A274,'New Resources - Individual'!$A$4:$Y$133,CX$2,FALSE)*CX$1</f>
        <v>0</v>
      </c>
      <c r="CY274" s="1117">
        <f>$G274+CX274</f>
        <v>62757268.946259603</v>
      </c>
      <c r="CZ274" s="1118">
        <f t="shared" ref="CZ274:CZ280" si="764">VLOOKUP($E274,CY$442:DB$453,2,FALSE)*CY274*($K274)+IF($G274&lt;&gt;0,($H274/$G274)*CY274,0)*(1-$K274)</f>
        <v>27262667.717048887</v>
      </c>
      <c r="DA274" s="1118">
        <f t="shared" ref="DA274:DA280" si="765">VLOOKUP($E274,CY$442:DB$453,3,FALSE)*CY274*($K274)+IF($G274&lt;&gt;0,($I274/$G274)*CY274,0)*(1-$K274)</f>
        <v>15883928.802817663</v>
      </c>
      <c r="DB274" s="1118">
        <f t="shared" ref="DB274:DB280" si="766">VLOOKUP($E274,CY$442:DB$453,4,FALSE)*CY274*($K274)+(CY274-CZ274-DA274)*(1-$K274)</f>
        <v>19610672.426393051</v>
      </c>
      <c r="DC274" s="1074"/>
      <c r="DF274" s="1130">
        <f>VLOOKUP($A274,'New Resources - Individual'!$A$4:$Y$133,DF$2,FALSE)*DF$1</f>
        <v>0</v>
      </c>
      <c r="DG274" s="1117">
        <f>$G274+DF274</f>
        <v>62757268.946259603</v>
      </c>
      <c r="DH274" s="1118">
        <f t="shared" ref="DH274:DH280" si="767">VLOOKUP($E274,DG$442:DJ$453,2,FALSE)*DG274*($K274)+IF($G274&lt;&gt;0,($H274/$G274)*DG274,0)*(1-$K274)</f>
        <v>27262667.717048887</v>
      </c>
      <c r="DI274" s="1118">
        <f t="shared" ref="DI274:DI280" si="768">VLOOKUP($E274,DG$442:DJ$453,3,FALSE)*DG274*($K274)+IF($G274&lt;&gt;0,($I274/$G274)*DG274,0)*(1-$K274)</f>
        <v>15883928.802817663</v>
      </c>
      <c r="DJ274" s="1118">
        <f t="shared" ref="DJ274:DJ280" si="769">VLOOKUP($E274,DG$442:DJ$453,4,FALSE)*DG274*($K274)+(DG274-DH274-DI274)*(1-$K274)</f>
        <v>19610672.426393051</v>
      </c>
      <c r="DK274" s="1074"/>
      <c r="DN274" s="1130">
        <f>VLOOKUP($A274,'New Resources - Individual'!$A$4:$Y$133,DN$2,FALSE)*DN$1</f>
        <v>0</v>
      </c>
      <c r="DO274" s="1117">
        <f>$G274+DN274</f>
        <v>62757268.946259603</v>
      </c>
      <c r="DP274" s="1118">
        <f t="shared" ref="DP274:DP280" si="770">VLOOKUP($E274,DO$442:DR$453,2,FALSE)*DO274*($K274)+IF($G274&lt;&gt;0,($H274/$G274)*DO274,0)*(1-$K274)</f>
        <v>27262667.717048887</v>
      </c>
      <c r="DQ274" s="1118">
        <f t="shared" ref="DQ274:DQ280" si="771">VLOOKUP($E274,DO$442:DR$453,3,FALSE)*DO274*($K274)+IF($G274&lt;&gt;0,($I274/$G274)*DO274,0)*(1-$K274)</f>
        <v>15883928.802817663</v>
      </c>
      <c r="DR274" s="1118">
        <f t="shared" ref="DR274:DR280" si="772">VLOOKUP($E274,DO$442:DR$453,4,FALSE)*DO274*($K274)+(DO274-DP274-DQ274)*(1-$K274)</f>
        <v>19610672.426393051</v>
      </c>
      <c r="DS274" s="1074"/>
      <c r="DV274" s="1130">
        <f>VLOOKUP($A274,'New Resources - Individual'!$A$4:$Y$133,DV$2,FALSE)*DV$1</f>
        <v>0</v>
      </c>
      <c r="DW274" s="1117">
        <f>$G274+DV274</f>
        <v>62757268.946259603</v>
      </c>
      <c r="DX274" s="1118">
        <f t="shared" ref="DX274:DX280" si="773">VLOOKUP($E274,DW$442:DZ$453,2,FALSE)*DW274*($K274)+IF($G274&lt;&gt;0,($H274/$G274)*DW274,0)*(1-$K274)</f>
        <v>27262667.717048887</v>
      </c>
      <c r="DY274" s="1118">
        <f t="shared" ref="DY274:DY280" si="774">VLOOKUP($E274,DW$442:DZ$453,3,FALSE)*DW274*($K274)+IF($G274&lt;&gt;0,($I274/$G274)*DW274,0)*(1-$K274)</f>
        <v>15883928.802817663</v>
      </c>
      <c r="DZ274" s="1118">
        <f t="shared" ref="DZ274:DZ280" si="775">VLOOKUP($E274,DW$442:DZ$453,4,FALSE)*DW274*($K274)+(DW274-DX274-DY274)*(1-$K274)</f>
        <v>19610672.426393051</v>
      </c>
      <c r="EA274" s="1074"/>
      <c r="ED274" s="1130">
        <f>VLOOKUP($A274,'New Resources - Individual'!$A$4:$Y$133,ED$2,FALSE)*ED$1</f>
        <v>0</v>
      </c>
      <c r="EE274" s="1117">
        <f>$G274+ED274</f>
        <v>62757268.946259603</v>
      </c>
      <c r="EF274" s="1118">
        <f t="shared" ref="EF274:EF280" si="776">VLOOKUP($E274,EE$442:EH$453,2,FALSE)*EE274*($K274)+IF($G274&lt;&gt;0,($H274/$G274)*EE274,0)*(1-$K274)</f>
        <v>27262667.717048887</v>
      </c>
      <c r="EG274" s="1118">
        <f t="shared" ref="EG274:EG280" si="777">VLOOKUP($E274,EE$442:EH$453,3,FALSE)*EE274*($K274)+IF($G274&lt;&gt;0,($I274/$G274)*EE274,0)*(1-$K274)</f>
        <v>15883928.802817663</v>
      </c>
      <c r="EH274" s="1118">
        <f t="shared" ref="EH274:EH280" si="778">VLOOKUP($E274,EE$442:EH$453,4,FALSE)*EE274*($K274)+(EE274-EF274-EG274)*(1-$K274)</f>
        <v>19610672.426393051</v>
      </c>
      <c r="EI274" s="1074"/>
      <c r="EL274" s="1130">
        <f>VLOOKUP($A274,'New Resources - Individual'!$A$4:$Y$133,EL$2,FALSE)*EL$1</f>
        <v>0</v>
      </c>
      <c r="EM274" s="1117">
        <f>$G274+EL274</f>
        <v>62757268.946259603</v>
      </c>
      <c r="EN274" s="1118">
        <f t="shared" ref="EN274:EN280" si="779">VLOOKUP($E274,EM$442:EP$453,2,FALSE)*EM274*($K274)+IF($G274&lt;&gt;0,($H274/$G274)*EM274,0)*(1-$K274)</f>
        <v>27262667.717048887</v>
      </c>
      <c r="EO274" s="1118">
        <f t="shared" ref="EO274:EO280" si="780">VLOOKUP($E274,EM$442:EP$453,3,FALSE)*EM274*($K274)+IF($G274&lt;&gt;0,($I274/$G274)*EM274,0)*(1-$K274)</f>
        <v>15883928.802817663</v>
      </c>
      <c r="EP274" s="1118">
        <f t="shared" ref="EP274:EP280" si="781">VLOOKUP($E274,EM$442:EP$453,4,FALSE)*EM274*($K274)+(EM274-EN274-EO274)*(1-$K274)</f>
        <v>19610672.426393051</v>
      </c>
      <c r="EQ274" s="1074"/>
      <c r="ET274" s="1130">
        <f>VLOOKUP($A274,'New Resources - Individual'!$A$4:$Y$133,ET$2,FALSE)*ET$1</f>
        <v>0</v>
      </c>
      <c r="EU274" s="1117">
        <f>$G274+ET274</f>
        <v>62757268.946259603</v>
      </c>
      <c r="EV274" s="1118">
        <f t="shared" ref="EV274:EV280" si="782">VLOOKUP($E274,EU$442:EX$453,2,FALSE)*EU274*($K274)+IF($G274&lt;&gt;0,($H274/$G274)*EU274,0)*(1-$K274)</f>
        <v>27262667.717048887</v>
      </c>
      <c r="EW274" s="1118">
        <f t="shared" ref="EW274:EW280" si="783">VLOOKUP($E274,EU$442:EX$453,3,FALSE)*EU274*($K274)+IF($G274&lt;&gt;0,($I274/$G274)*EU274,0)*(1-$K274)</f>
        <v>15883928.802817663</v>
      </c>
      <c r="EX274" s="1118">
        <f t="shared" ref="EX274:EX280" si="784">VLOOKUP($E274,EU$442:EX$453,4,FALSE)*EU274*($K274)+(EU274-EV274-EW274)*(1-$K274)</f>
        <v>19610672.426393051</v>
      </c>
      <c r="EY274" s="1074"/>
      <c r="FB274" s="1130">
        <f>VLOOKUP($A274,'New Resources - Individual'!$A$4:$Y$133,FB$2,FALSE)*FB$1</f>
        <v>0</v>
      </c>
      <c r="FC274" s="1117">
        <f>$G274+FB274</f>
        <v>62757268.946259603</v>
      </c>
      <c r="FD274" s="1118">
        <f t="shared" ref="FD274:FD280" si="785">VLOOKUP($E274,FC$442:FF$453,2,FALSE)*FC274*($K274)+IF($G274&lt;&gt;0,($H274/$G274)*FC274,0)*(1-$K274)</f>
        <v>27262667.717048887</v>
      </c>
      <c r="FE274" s="1118">
        <f t="shared" ref="FE274:FE280" si="786">VLOOKUP($E274,FC$442:FF$453,3,FALSE)*FC274*($K274)+IF($G274&lt;&gt;0,($I274/$G274)*FC274,0)*(1-$K274)</f>
        <v>15883928.802817663</v>
      </c>
      <c r="FF274" s="1118">
        <f t="shared" ref="FF274:FF280" si="787">VLOOKUP($E274,FC$442:FF$453,4,FALSE)*FC274*($K274)+(FC274-FD274-FE274)*(1-$K274)</f>
        <v>19610672.426393051</v>
      </c>
      <c r="FG274" s="1074"/>
      <c r="FJ274" s="1130">
        <f>VLOOKUP($A274,'New Resources - Individual'!$A$4:$Y$133,FJ$2,FALSE)*FJ$1</f>
        <v>0</v>
      </c>
      <c r="FK274" s="1117">
        <f>$G274+FJ274</f>
        <v>62757268.946259603</v>
      </c>
      <c r="FL274" s="1118">
        <f t="shared" ref="FL274:FL280" si="788">VLOOKUP($E274,FK$442:FN$453,2,FALSE)*FK274*($K274)+IF($G274&lt;&gt;0,($H274/$G274)*FK274,0)*(1-$K274)</f>
        <v>27262667.717048887</v>
      </c>
      <c r="FM274" s="1118">
        <f t="shared" ref="FM274:FM280" si="789">VLOOKUP($E274,FK$442:FN$453,3,FALSE)*FK274*($K274)+IF($G274&lt;&gt;0,($I274/$G274)*FK274,0)*(1-$K274)</f>
        <v>15883928.802817663</v>
      </c>
      <c r="FN274" s="1118">
        <f t="shared" ref="FN274:FN280" si="790">VLOOKUP($E274,FK$442:FN$453,4,FALSE)*FK274*($K274)+(FK274-FL274-FM274)*(1-$K274)</f>
        <v>19610672.426393051</v>
      </c>
      <c r="FO274" s="1074"/>
    </row>
    <row r="275" spans="1:171" x14ac:dyDescent="0.25">
      <c r="A275" s="170"/>
      <c r="B275" s="63" t="s">
        <v>152</v>
      </c>
      <c r="C275" s="1023">
        <v>262</v>
      </c>
      <c r="D275" s="1024">
        <v>408.1</v>
      </c>
      <c r="E275" s="182" t="str">
        <f>'Sch 3A - Taxes'!E23</f>
        <v>LABOR</v>
      </c>
      <c r="F275" s="890"/>
      <c r="G275" s="182">
        <f>'Sch 3A - Taxes'!F23</f>
        <v>1364754.9693939744</v>
      </c>
      <c r="H275" s="182">
        <f>'Sch 3A - Taxes'!G23</f>
        <v>568902.75159840868</v>
      </c>
      <c r="I275" s="182">
        <f>'Sch 3A - Taxes'!H23</f>
        <v>0</v>
      </c>
      <c r="J275" s="183">
        <f>'Sch 3A - Taxes'!I23</f>
        <v>795852.21779556572</v>
      </c>
      <c r="K275" s="904">
        <f t="shared" si="730"/>
        <v>1</v>
      </c>
      <c r="O275" s="1117">
        <f t="shared" ref="O275:O280" si="791">$G275</f>
        <v>1364754.9693939744</v>
      </c>
      <c r="P275" s="1118">
        <f t="shared" si="731"/>
        <v>568902.75159840868</v>
      </c>
      <c r="Q275" s="1118">
        <f t="shared" si="732"/>
        <v>36861.158006309823</v>
      </c>
      <c r="R275" s="1118">
        <f t="shared" si="733"/>
        <v>758991.05978925584</v>
      </c>
      <c r="S275" s="1074"/>
      <c r="W275" s="1117">
        <f t="shared" ref="W275:W280" si="792">$G275</f>
        <v>1364754.9693939744</v>
      </c>
      <c r="X275" s="1118">
        <f t="shared" si="734"/>
        <v>568902.75159840868</v>
      </c>
      <c r="Y275" s="1118">
        <f t="shared" si="735"/>
        <v>36861.158006309823</v>
      </c>
      <c r="Z275" s="1118">
        <f t="shared" si="736"/>
        <v>758991.05978925584</v>
      </c>
      <c r="AA275" s="1074"/>
      <c r="AE275" s="1117">
        <f t="shared" ref="AE275:AE280" si="793">$G275</f>
        <v>1364754.9693939744</v>
      </c>
      <c r="AF275" s="1118">
        <f t="shared" si="737"/>
        <v>568902.75159840868</v>
      </c>
      <c r="AG275" s="1118">
        <f t="shared" si="738"/>
        <v>36861.158006309823</v>
      </c>
      <c r="AH275" s="1118">
        <f t="shared" si="739"/>
        <v>758991.05978925584</v>
      </c>
      <c r="AI275" s="1074"/>
      <c r="AM275" s="1117">
        <f t="shared" ref="AM275:AM280" si="794">$G275</f>
        <v>1364754.9693939744</v>
      </c>
      <c r="AN275" s="1118">
        <f t="shared" si="740"/>
        <v>568902.75159840868</v>
      </c>
      <c r="AO275" s="1118">
        <f t="shared" si="741"/>
        <v>36861.158006309823</v>
      </c>
      <c r="AP275" s="1118">
        <f t="shared" si="742"/>
        <v>758991.05978925584</v>
      </c>
      <c r="AQ275" s="1074"/>
      <c r="AU275" s="1117">
        <f t="shared" ref="AU275:AU280" si="795">$G275</f>
        <v>1364754.9693939744</v>
      </c>
      <c r="AV275" s="1118">
        <f t="shared" si="743"/>
        <v>568902.75159840868</v>
      </c>
      <c r="AW275" s="1118">
        <f t="shared" si="744"/>
        <v>36861.158006309823</v>
      </c>
      <c r="AX275" s="1118">
        <f t="shared" si="745"/>
        <v>758991.05978925584</v>
      </c>
      <c r="AY275" s="1074"/>
      <c r="BC275" s="1117">
        <f t="shared" ref="BC275:BC280" si="796">$G275</f>
        <v>1364754.9693939744</v>
      </c>
      <c r="BD275" s="1118">
        <f t="shared" si="746"/>
        <v>568902.75159840868</v>
      </c>
      <c r="BE275" s="1118">
        <f t="shared" si="747"/>
        <v>36861.158006309823</v>
      </c>
      <c r="BF275" s="1118">
        <f t="shared" si="748"/>
        <v>758991.05978925584</v>
      </c>
      <c r="BG275" s="1074"/>
      <c r="BK275" s="1117">
        <f t="shared" ref="BK275:BK280" si="797">$G275</f>
        <v>1364754.9693939744</v>
      </c>
      <c r="BL275" s="1118">
        <f t="shared" si="749"/>
        <v>568902.75159840868</v>
      </c>
      <c r="BM275" s="1118">
        <f t="shared" si="750"/>
        <v>36861.158006309823</v>
      </c>
      <c r="BN275" s="1118">
        <f t="shared" si="751"/>
        <v>758991.05978925584</v>
      </c>
      <c r="BO275" s="1074"/>
      <c r="BS275" s="1117">
        <f t="shared" ref="BS275:BS280" si="798">$G275</f>
        <v>1364754.9693939744</v>
      </c>
      <c r="BT275" s="1118">
        <f t="shared" si="752"/>
        <v>568902.75159840868</v>
      </c>
      <c r="BU275" s="1118">
        <f t="shared" si="753"/>
        <v>36861.158006309823</v>
      </c>
      <c r="BV275" s="1118">
        <f t="shared" si="754"/>
        <v>758991.05978925584</v>
      </c>
      <c r="BW275" s="1074"/>
      <c r="CA275" s="1117">
        <f t="shared" ref="CA275:CA280" si="799">$G275</f>
        <v>1364754.9693939744</v>
      </c>
      <c r="CB275" s="1118">
        <f t="shared" si="755"/>
        <v>568902.75159840868</v>
      </c>
      <c r="CC275" s="1118">
        <f t="shared" si="756"/>
        <v>36861.158006309823</v>
      </c>
      <c r="CD275" s="1118">
        <f t="shared" si="757"/>
        <v>758991.05978925584</v>
      </c>
      <c r="CE275" s="1074"/>
      <c r="CI275" s="1117">
        <f t="shared" ref="CI275:CI280" si="800">$G275</f>
        <v>1364754.9693939744</v>
      </c>
      <c r="CJ275" s="1118">
        <f t="shared" si="758"/>
        <v>568902.75159840868</v>
      </c>
      <c r="CK275" s="1118">
        <f t="shared" si="759"/>
        <v>36861.158006309823</v>
      </c>
      <c r="CL275" s="1118">
        <f t="shared" si="760"/>
        <v>758991.05978925584</v>
      </c>
      <c r="CM275" s="1074"/>
      <c r="CQ275" s="1117">
        <f t="shared" ref="CQ275:CQ280" si="801">$G275</f>
        <v>1364754.9693939744</v>
      </c>
      <c r="CR275" s="1118">
        <f t="shared" si="761"/>
        <v>568902.75159840868</v>
      </c>
      <c r="CS275" s="1118">
        <f t="shared" si="762"/>
        <v>36861.158006309823</v>
      </c>
      <c r="CT275" s="1118">
        <f t="shared" si="763"/>
        <v>758991.05978925584</v>
      </c>
      <c r="CU275" s="1074"/>
      <c r="CY275" s="1117">
        <f t="shared" ref="CY275:CY280" si="802">$G275</f>
        <v>1364754.9693939744</v>
      </c>
      <c r="CZ275" s="1118">
        <f t="shared" si="764"/>
        <v>568902.75159840868</v>
      </c>
      <c r="DA275" s="1118">
        <f t="shared" si="765"/>
        <v>36861.158006309823</v>
      </c>
      <c r="DB275" s="1118">
        <f t="shared" si="766"/>
        <v>758991.05978925584</v>
      </c>
      <c r="DC275" s="1074"/>
      <c r="DG275" s="1117">
        <f t="shared" ref="DG275:DG280" si="803">$G275</f>
        <v>1364754.9693939744</v>
      </c>
      <c r="DH275" s="1118">
        <f t="shared" si="767"/>
        <v>568902.75159840868</v>
      </c>
      <c r="DI275" s="1118">
        <f t="shared" si="768"/>
        <v>36861.158006309823</v>
      </c>
      <c r="DJ275" s="1118">
        <f t="shared" si="769"/>
        <v>758991.05978925584</v>
      </c>
      <c r="DK275" s="1074"/>
      <c r="DO275" s="1117">
        <f t="shared" ref="DO275:DO280" si="804">$G275</f>
        <v>1364754.9693939744</v>
      </c>
      <c r="DP275" s="1118">
        <f t="shared" si="770"/>
        <v>568902.75159840868</v>
      </c>
      <c r="DQ275" s="1118">
        <f t="shared" si="771"/>
        <v>36861.158006309823</v>
      </c>
      <c r="DR275" s="1118">
        <f t="shared" si="772"/>
        <v>758991.05978925584</v>
      </c>
      <c r="DS275" s="1074"/>
      <c r="DW275" s="1117">
        <f t="shared" ref="DW275:DW280" si="805">$G275</f>
        <v>1364754.9693939744</v>
      </c>
      <c r="DX275" s="1118">
        <f t="shared" si="773"/>
        <v>568902.75159840868</v>
      </c>
      <c r="DY275" s="1118">
        <f t="shared" si="774"/>
        <v>36861.158006309823</v>
      </c>
      <c r="DZ275" s="1118">
        <f t="shared" si="775"/>
        <v>758991.05978925584</v>
      </c>
      <c r="EA275" s="1074"/>
      <c r="EE275" s="1117">
        <f t="shared" ref="EE275:EE280" si="806">$G275</f>
        <v>1364754.9693939744</v>
      </c>
      <c r="EF275" s="1118">
        <f t="shared" si="776"/>
        <v>568902.75159840868</v>
      </c>
      <c r="EG275" s="1118">
        <f t="shared" si="777"/>
        <v>36861.158006309823</v>
      </c>
      <c r="EH275" s="1118">
        <f t="shared" si="778"/>
        <v>758991.05978925584</v>
      </c>
      <c r="EI275" s="1074"/>
      <c r="EM275" s="1117">
        <f t="shared" ref="EM275:EM280" si="807">$G275</f>
        <v>1364754.9693939744</v>
      </c>
      <c r="EN275" s="1118">
        <f t="shared" si="779"/>
        <v>568902.75159840868</v>
      </c>
      <c r="EO275" s="1118">
        <f t="shared" si="780"/>
        <v>36861.158006309823</v>
      </c>
      <c r="EP275" s="1118">
        <f t="shared" si="781"/>
        <v>758991.05978925584</v>
      </c>
      <c r="EQ275" s="1074"/>
      <c r="EU275" s="1117">
        <f t="shared" ref="EU275:EU280" si="808">$G275</f>
        <v>1364754.9693939744</v>
      </c>
      <c r="EV275" s="1118">
        <f t="shared" si="782"/>
        <v>568902.75159840868</v>
      </c>
      <c r="EW275" s="1118">
        <f t="shared" si="783"/>
        <v>36861.158006309823</v>
      </c>
      <c r="EX275" s="1118">
        <f t="shared" si="784"/>
        <v>758991.05978925584</v>
      </c>
      <c r="EY275" s="1074"/>
      <c r="FC275" s="1117">
        <f t="shared" ref="FC275:FC280" si="809">$G275</f>
        <v>1364754.9693939744</v>
      </c>
      <c r="FD275" s="1118">
        <f t="shared" si="785"/>
        <v>568902.75159840868</v>
      </c>
      <c r="FE275" s="1118">
        <f t="shared" si="786"/>
        <v>36861.158006309823</v>
      </c>
      <c r="FF275" s="1118">
        <f t="shared" si="787"/>
        <v>758991.05978925584</v>
      </c>
      <c r="FG275" s="1074"/>
      <c r="FK275" s="1117">
        <f t="shared" ref="FK275:FK280" si="810">$G275</f>
        <v>1364754.9693939744</v>
      </c>
      <c r="FL275" s="1118">
        <f t="shared" si="788"/>
        <v>568902.75159840868</v>
      </c>
      <c r="FM275" s="1118">
        <f t="shared" si="789"/>
        <v>36861.158006309823</v>
      </c>
      <c r="FN275" s="1118">
        <f t="shared" si="790"/>
        <v>758991.05978925584</v>
      </c>
      <c r="FO275" s="1074"/>
    </row>
    <row r="276" spans="1:171" x14ac:dyDescent="0.25">
      <c r="A276" s="170"/>
      <c r="B276" s="63" t="s">
        <v>568</v>
      </c>
      <c r="C276" s="1023">
        <v>262</v>
      </c>
      <c r="D276" s="1024">
        <v>409.1</v>
      </c>
      <c r="E276" s="182" t="str">
        <f>'Sch 3A - Taxes'!E24</f>
        <v>DIST</v>
      </c>
      <c r="F276" s="890"/>
      <c r="G276" s="182">
        <f>'Sch 3A - Taxes'!F24</f>
        <v>1066334.5535052733</v>
      </c>
      <c r="H276" s="182">
        <f>'Sch 3A - Taxes'!G24</f>
        <v>0</v>
      </c>
      <c r="I276" s="182">
        <f>'Sch 3A - Taxes'!H24</f>
        <v>0</v>
      </c>
      <c r="J276" s="183">
        <f>'Sch 3A - Taxes'!I24</f>
        <v>1066334.5535052733</v>
      </c>
      <c r="K276" s="904">
        <f t="shared" si="730"/>
        <v>1</v>
      </c>
      <c r="O276" s="1117">
        <f t="shared" si="791"/>
        <v>1066334.5535052733</v>
      </c>
      <c r="P276" s="1118">
        <f t="shared" si="731"/>
        <v>0</v>
      </c>
      <c r="Q276" s="1118">
        <f t="shared" si="732"/>
        <v>0</v>
      </c>
      <c r="R276" s="1118">
        <f t="shared" si="733"/>
        <v>1066334.5535052733</v>
      </c>
      <c r="S276" s="1074"/>
      <c r="W276" s="1117">
        <f t="shared" si="792"/>
        <v>1066334.5535052733</v>
      </c>
      <c r="X276" s="1118">
        <f t="shared" si="734"/>
        <v>0</v>
      </c>
      <c r="Y276" s="1118">
        <f t="shared" si="735"/>
        <v>0</v>
      </c>
      <c r="Z276" s="1118">
        <f t="shared" si="736"/>
        <v>1066334.5535052733</v>
      </c>
      <c r="AA276" s="1074"/>
      <c r="AE276" s="1117">
        <f t="shared" si="793"/>
        <v>1066334.5535052733</v>
      </c>
      <c r="AF276" s="1118">
        <f t="shared" si="737"/>
        <v>0</v>
      </c>
      <c r="AG276" s="1118">
        <f t="shared" si="738"/>
        <v>0</v>
      </c>
      <c r="AH276" s="1118">
        <f t="shared" si="739"/>
        <v>1066334.5535052733</v>
      </c>
      <c r="AI276" s="1074"/>
      <c r="AM276" s="1117">
        <f t="shared" si="794"/>
        <v>1066334.5535052733</v>
      </c>
      <c r="AN276" s="1118">
        <f t="shared" si="740"/>
        <v>0</v>
      </c>
      <c r="AO276" s="1118">
        <f t="shared" si="741"/>
        <v>0</v>
      </c>
      <c r="AP276" s="1118">
        <f t="shared" si="742"/>
        <v>1066334.5535052733</v>
      </c>
      <c r="AQ276" s="1074"/>
      <c r="AU276" s="1117">
        <f t="shared" si="795"/>
        <v>1066334.5535052733</v>
      </c>
      <c r="AV276" s="1118">
        <f t="shared" si="743"/>
        <v>0</v>
      </c>
      <c r="AW276" s="1118">
        <f t="shared" si="744"/>
        <v>0</v>
      </c>
      <c r="AX276" s="1118">
        <f t="shared" si="745"/>
        <v>1066334.5535052733</v>
      </c>
      <c r="AY276" s="1074"/>
      <c r="BC276" s="1117">
        <f t="shared" si="796"/>
        <v>1066334.5535052733</v>
      </c>
      <c r="BD276" s="1118">
        <f t="shared" si="746"/>
        <v>0</v>
      </c>
      <c r="BE276" s="1118">
        <f t="shared" si="747"/>
        <v>0</v>
      </c>
      <c r="BF276" s="1118">
        <f t="shared" si="748"/>
        <v>1066334.5535052733</v>
      </c>
      <c r="BG276" s="1074"/>
      <c r="BK276" s="1117">
        <f t="shared" si="797"/>
        <v>1066334.5535052733</v>
      </c>
      <c r="BL276" s="1118">
        <f t="shared" si="749"/>
        <v>0</v>
      </c>
      <c r="BM276" s="1118">
        <f t="shared" si="750"/>
        <v>0</v>
      </c>
      <c r="BN276" s="1118">
        <f t="shared" si="751"/>
        <v>1066334.5535052733</v>
      </c>
      <c r="BO276" s="1074"/>
      <c r="BS276" s="1117">
        <f t="shared" si="798"/>
        <v>1066334.5535052733</v>
      </c>
      <c r="BT276" s="1118">
        <f t="shared" si="752"/>
        <v>0</v>
      </c>
      <c r="BU276" s="1118">
        <f t="shared" si="753"/>
        <v>0</v>
      </c>
      <c r="BV276" s="1118">
        <f t="shared" si="754"/>
        <v>1066334.5535052733</v>
      </c>
      <c r="BW276" s="1074"/>
      <c r="CA276" s="1117">
        <f t="shared" si="799"/>
        <v>1066334.5535052733</v>
      </c>
      <c r="CB276" s="1118">
        <f t="shared" si="755"/>
        <v>0</v>
      </c>
      <c r="CC276" s="1118">
        <f t="shared" si="756"/>
        <v>0</v>
      </c>
      <c r="CD276" s="1118">
        <f t="shared" si="757"/>
        <v>1066334.5535052733</v>
      </c>
      <c r="CE276" s="1074"/>
      <c r="CI276" s="1117">
        <f t="shared" si="800"/>
        <v>1066334.5535052733</v>
      </c>
      <c r="CJ276" s="1118">
        <f t="shared" si="758"/>
        <v>0</v>
      </c>
      <c r="CK276" s="1118">
        <f t="shared" si="759"/>
        <v>0</v>
      </c>
      <c r="CL276" s="1118">
        <f t="shared" si="760"/>
        <v>1066334.5535052733</v>
      </c>
      <c r="CM276" s="1074"/>
      <c r="CQ276" s="1117">
        <f t="shared" si="801"/>
        <v>1066334.5535052733</v>
      </c>
      <c r="CR276" s="1118">
        <f t="shared" si="761"/>
        <v>0</v>
      </c>
      <c r="CS276" s="1118">
        <f t="shared" si="762"/>
        <v>0</v>
      </c>
      <c r="CT276" s="1118">
        <f t="shared" si="763"/>
        <v>1066334.5535052733</v>
      </c>
      <c r="CU276" s="1074"/>
      <c r="CY276" s="1117">
        <f t="shared" si="802"/>
        <v>1066334.5535052733</v>
      </c>
      <c r="CZ276" s="1118">
        <f t="shared" si="764"/>
        <v>0</v>
      </c>
      <c r="DA276" s="1118">
        <f t="shared" si="765"/>
        <v>0</v>
      </c>
      <c r="DB276" s="1118">
        <f t="shared" si="766"/>
        <v>1066334.5535052733</v>
      </c>
      <c r="DC276" s="1074"/>
      <c r="DG276" s="1117">
        <f t="shared" si="803"/>
        <v>1066334.5535052733</v>
      </c>
      <c r="DH276" s="1118">
        <f t="shared" si="767"/>
        <v>0</v>
      </c>
      <c r="DI276" s="1118">
        <f t="shared" si="768"/>
        <v>0</v>
      </c>
      <c r="DJ276" s="1118">
        <f t="shared" si="769"/>
        <v>1066334.5535052733</v>
      </c>
      <c r="DK276" s="1074"/>
      <c r="DO276" s="1117">
        <f t="shared" si="804"/>
        <v>1066334.5535052733</v>
      </c>
      <c r="DP276" s="1118">
        <f t="shared" si="770"/>
        <v>0</v>
      </c>
      <c r="DQ276" s="1118">
        <f t="shared" si="771"/>
        <v>0</v>
      </c>
      <c r="DR276" s="1118">
        <f t="shared" si="772"/>
        <v>1066334.5535052733</v>
      </c>
      <c r="DS276" s="1074"/>
      <c r="DW276" s="1117">
        <f t="shared" si="805"/>
        <v>1066334.5535052733</v>
      </c>
      <c r="DX276" s="1118">
        <f t="shared" si="773"/>
        <v>0</v>
      </c>
      <c r="DY276" s="1118">
        <f t="shared" si="774"/>
        <v>0</v>
      </c>
      <c r="DZ276" s="1118">
        <f t="shared" si="775"/>
        <v>1066334.5535052733</v>
      </c>
      <c r="EA276" s="1074"/>
      <c r="EE276" s="1117">
        <f t="shared" si="806"/>
        <v>1066334.5535052733</v>
      </c>
      <c r="EF276" s="1118">
        <f t="shared" si="776"/>
        <v>0</v>
      </c>
      <c r="EG276" s="1118">
        <f t="shared" si="777"/>
        <v>0</v>
      </c>
      <c r="EH276" s="1118">
        <f t="shared" si="778"/>
        <v>1066334.5535052733</v>
      </c>
      <c r="EI276" s="1074"/>
      <c r="EM276" s="1117">
        <f t="shared" si="807"/>
        <v>1066334.5535052733</v>
      </c>
      <c r="EN276" s="1118">
        <f t="shared" si="779"/>
        <v>0</v>
      </c>
      <c r="EO276" s="1118">
        <f t="shared" si="780"/>
        <v>0</v>
      </c>
      <c r="EP276" s="1118">
        <f t="shared" si="781"/>
        <v>1066334.5535052733</v>
      </c>
      <c r="EQ276" s="1074"/>
      <c r="EU276" s="1117">
        <f t="shared" si="808"/>
        <v>1066334.5535052733</v>
      </c>
      <c r="EV276" s="1118">
        <f t="shared" si="782"/>
        <v>0</v>
      </c>
      <c r="EW276" s="1118">
        <f t="shared" si="783"/>
        <v>0</v>
      </c>
      <c r="EX276" s="1118">
        <f t="shared" si="784"/>
        <v>1066334.5535052733</v>
      </c>
      <c r="EY276" s="1074"/>
      <c r="FC276" s="1117">
        <f t="shared" si="809"/>
        <v>1066334.5535052733</v>
      </c>
      <c r="FD276" s="1118">
        <f t="shared" si="785"/>
        <v>0</v>
      </c>
      <c r="FE276" s="1118">
        <f t="shared" si="786"/>
        <v>0</v>
      </c>
      <c r="FF276" s="1118">
        <f t="shared" si="787"/>
        <v>1066334.5535052733</v>
      </c>
      <c r="FG276" s="1074"/>
      <c r="FK276" s="1117">
        <f t="shared" si="810"/>
        <v>1066334.5535052733</v>
      </c>
      <c r="FL276" s="1118">
        <f t="shared" si="788"/>
        <v>0</v>
      </c>
      <c r="FM276" s="1118">
        <f t="shared" si="789"/>
        <v>0</v>
      </c>
      <c r="FN276" s="1118">
        <f t="shared" si="790"/>
        <v>1066334.5535052733</v>
      </c>
      <c r="FO276" s="1074"/>
    </row>
    <row r="277" spans="1:171" x14ac:dyDescent="0.25">
      <c r="A277" s="170"/>
      <c r="B277" s="63" t="s">
        <v>569</v>
      </c>
      <c r="C277" s="1023">
        <v>262</v>
      </c>
      <c r="D277" s="1024">
        <v>408.1</v>
      </c>
      <c r="E277" s="182" t="str">
        <f>'Sch 3A - Taxes'!E25</f>
        <v>DIST</v>
      </c>
      <c r="F277" s="890"/>
      <c r="G277" s="182">
        <f>'Sch 3A - Taxes'!F25</f>
        <v>33981773.116844907</v>
      </c>
      <c r="H277" s="182">
        <f>'Sch 3A - Taxes'!G25</f>
        <v>0</v>
      </c>
      <c r="I277" s="182">
        <f>'Sch 3A - Taxes'!H25</f>
        <v>0</v>
      </c>
      <c r="J277" s="183">
        <f>'Sch 3A - Taxes'!I25</f>
        <v>33981773.116844907</v>
      </c>
      <c r="K277" s="904">
        <f t="shared" si="730"/>
        <v>1</v>
      </c>
      <c r="O277" s="1117">
        <f t="shared" si="791"/>
        <v>33981773.116844907</v>
      </c>
      <c r="P277" s="1118">
        <f t="shared" si="731"/>
        <v>0</v>
      </c>
      <c r="Q277" s="1118">
        <f t="shared" si="732"/>
        <v>0</v>
      </c>
      <c r="R277" s="1118">
        <f t="shared" si="733"/>
        <v>33981773.116844907</v>
      </c>
      <c r="S277" s="1074"/>
      <c r="W277" s="1117">
        <f t="shared" si="792"/>
        <v>33981773.116844907</v>
      </c>
      <c r="X277" s="1118">
        <f t="shared" si="734"/>
        <v>0</v>
      </c>
      <c r="Y277" s="1118">
        <f t="shared" si="735"/>
        <v>0</v>
      </c>
      <c r="Z277" s="1118">
        <f t="shared" si="736"/>
        <v>33981773.116844907</v>
      </c>
      <c r="AA277" s="1074"/>
      <c r="AE277" s="1117">
        <f t="shared" si="793"/>
        <v>33981773.116844907</v>
      </c>
      <c r="AF277" s="1118">
        <f t="shared" si="737"/>
        <v>0</v>
      </c>
      <c r="AG277" s="1118">
        <f t="shared" si="738"/>
        <v>0</v>
      </c>
      <c r="AH277" s="1118">
        <f t="shared" si="739"/>
        <v>33981773.116844907</v>
      </c>
      <c r="AI277" s="1074"/>
      <c r="AM277" s="1117">
        <f t="shared" si="794"/>
        <v>33981773.116844907</v>
      </c>
      <c r="AN277" s="1118">
        <f t="shared" si="740"/>
        <v>0</v>
      </c>
      <c r="AO277" s="1118">
        <f t="shared" si="741"/>
        <v>0</v>
      </c>
      <c r="AP277" s="1118">
        <f t="shared" si="742"/>
        <v>33981773.116844907</v>
      </c>
      <c r="AQ277" s="1074"/>
      <c r="AU277" s="1117">
        <f t="shared" si="795"/>
        <v>33981773.116844907</v>
      </c>
      <c r="AV277" s="1118">
        <f t="shared" si="743"/>
        <v>0</v>
      </c>
      <c r="AW277" s="1118">
        <f t="shared" si="744"/>
        <v>0</v>
      </c>
      <c r="AX277" s="1118">
        <f t="shared" si="745"/>
        <v>33981773.116844907</v>
      </c>
      <c r="AY277" s="1074"/>
      <c r="BC277" s="1117">
        <f t="shared" si="796"/>
        <v>33981773.116844907</v>
      </c>
      <c r="BD277" s="1118">
        <f t="shared" si="746"/>
        <v>0</v>
      </c>
      <c r="BE277" s="1118">
        <f t="shared" si="747"/>
        <v>0</v>
      </c>
      <c r="BF277" s="1118">
        <f t="shared" si="748"/>
        <v>33981773.116844907</v>
      </c>
      <c r="BG277" s="1074"/>
      <c r="BK277" s="1117">
        <f t="shared" si="797"/>
        <v>33981773.116844907</v>
      </c>
      <c r="BL277" s="1118">
        <f t="shared" si="749"/>
        <v>0</v>
      </c>
      <c r="BM277" s="1118">
        <f t="shared" si="750"/>
        <v>0</v>
      </c>
      <c r="BN277" s="1118">
        <f t="shared" si="751"/>
        <v>33981773.116844907</v>
      </c>
      <c r="BO277" s="1074"/>
      <c r="BS277" s="1117">
        <f t="shared" si="798"/>
        <v>33981773.116844907</v>
      </c>
      <c r="BT277" s="1118">
        <f t="shared" si="752"/>
        <v>0</v>
      </c>
      <c r="BU277" s="1118">
        <f t="shared" si="753"/>
        <v>0</v>
      </c>
      <c r="BV277" s="1118">
        <f t="shared" si="754"/>
        <v>33981773.116844907</v>
      </c>
      <c r="BW277" s="1074"/>
      <c r="CA277" s="1117">
        <f t="shared" si="799"/>
        <v>33981773.116844907</v>
      </c>
      <c r="CB277" s="1118">
        <f t="shared" si="755"/>
        <v>0</v>
      </c>
      <c r="CC277" s="1118">
        <f t="shared" si="756"/>
        <v>0</v>
      </c>
      <c r="CD277" s="1118">
        <f t="shared" si="757"/>
        <v>33981773.116844907</v>
      </c>
      <c r="CE277" s="1074"/>
      <c r="CI277" s="1117">
        <f t="shared" si="800"/>
        <v>33981773.116844907</v>
      </c>
      <c r="CJ277" s="1118">
        <f t="shared" si="758"/>
        <v>0</v>
      </c>
      <c r="CK277" s="1118">
        <f t="shared" si="759"/>
        <v>0</v>
      </c>
      <c r="CL277" s="1118">
        <f t="shared" si="760"/>
        <v>33981773.116844907</v>
      </c>
      <c r="CM277" s="1074"/>
      <c r="CQ277" s="1117">
        <f t="shared" si="801"/>
        <v>33981773.116844907</v>
      </c>
      <c r="CR277" s="1118">
        <f t="shared" si="761"/>
        <v>0</v>
      </c>
      <c r="CS277" s="1118">
        <f t="shared" si="762"/>
        <v>0</v>
      </c>
      <c r="CT277" s="1118">
        <f t="shared" si="763"/>
        <v>33981773.116844907</v>
      </c>
      <c r="CU277" s="1074"/>
      <c r="CY277" s="1117">
        <f t="shared" si="802"/>
        <v>33981773.116844907</v>
      </c>
      <c r="CZ277" s="1118">
        <f t="shared" si="764"/>
        <v>0</v>
      </c>
      <c r="DA277" s="1118">
        <f t="shared" si="765"/>
        <v>0</v>
      </c>
      <c r="DB277" s="1118">
        <f t="shared" si="766"/>
        <v>33981773.116844907</v>
      </c>
      <c r="DC277" s="1074"/>
      <c r="DG277" s="1117">
        <f t="shared" si="803"/>
        <v>33981773.116844907</v>
      </c>
      <c r="DH277" s="1118">
        <f t="shared" si="767"/>
        <v>0</v>
      </c>
      <c r="DI277" s="1118">
        <f t="shared" si="768"/>
        <v>0</v>
      </c>
      <c r="DJ277" s="1118">
        <f t="shared" si="769"/>
        <v>33981773.116844907</v>
      </c>
      <c r="DK277" s="1074"/>
      <c r="DO277" s="1117">
        <f t="shared" si="804"/>
        <v>33981773.116844907</v>
      </c>
      <c r="DP277" s="1118">
        <f t="shared" si="770"/>
        <v>0</v>
      </c>
      <c r="DQ277" s="1118">
        <f t="shared" si="771"/>
        <v>0</v>
      </c>
      <c r="DR277" s="1118">
        <f t="shared" si="772"/>
        <v>33981773.116844907</v>
      </c>
      <c r="DS277" s="1074"/>
      <c r="DW277" s="1117">
        <f t="shared" si="805"/>
        <v>33981773.116844907</v>
      </c>
      <c r="DX277" s="1118">
        <f t="shared" si="773"/>
        <v>0</v>
      </c>
      <c r="DY277" s="1118">
        <f t="shared" si="774"/>
        <v>0</v>
      </c>
      <c r="DZ277" s="1118">
        <f t="shared" si="775"/>
        <v>33981773.116844907</v>
      </c>
      <c r="EA277" s="1074"/>
      <c r="EE277" s="1117">
        <f t="shared" si="806"/>
        <v>33981773.116844907</v>
      </c>
      <c r="EF277" s="1118">
        <f t="shared" si="776"/>
        <v>0</v>
      </c>
      <c r="EG277" s="1118">
        <f t="shared" si="777"/>
        <v>0</v>
      </c>
      <c r="EH277" s="1118">
        <f t="shared" si="778"/>
        <v>33981773.116844907</v>
      </c>
      <c r="EI277" s="1074"/>
      <c r="EM277" s="1117">
        <f t="shared" si="807"/>
        <v>33981773.116844907</v>
      </c>
      <c r="EN277" s="1118">
        <f t="shared" si="779"/>
        <v>0</v>
      </c>
      <c r="EO277" s="1118">
        <f t="shared" si="780"/>
        <v>0</v>
      </c>
      <c r="EP277" s="1118">
        <f t="shared" si="781"/>
        <v>33981773.116844907</v>
      </c>
      <c r="EQ277" s="1074"/>
      <c r="EU277" s="1117">
        <f t="shared" si="808"/>
        <v>33981773.116844907</v>
      </c>
      <c r="EV277" s="1118">
        <f t="shared" si="782"/>
        <v>0</v>
      </c>
      <c r="EW277" s="1118">
        <f t="shared" si="783"/>
        <v>0</v>
      </c>
      <c r="EX277" s="1118">
        <f t="shared" si="784"/>
        <v>33981773.116844907</v>
      </c>
      <c r="EY277" s="1074"/>
      <c r="FC277" s="1117">
        <f t="shared" si="809"/>
        <v>33981773.116844907</v>
      </c>
      <c r="FD277" s="1118">
        <f t="shared" si="785"/>
        <v>0</v>
      </c>
      <c r="FE277" s="1118">
        <f t="shared" si="786"/>
        <v>0</v>
      </c>
      <c r="FF277" s="1118">
        <f t="shared" si="787"/>
        <v>33981773.116844907</v>
      </c>
      <c r="FG277" s="1074"/>
      <c r="FK277" s="1117">
        <f t="shared" si="810"/>
        <v>33981773.116844907</v>
      </c>
      <c r="FL277" s="1118">
        <f t="shared" si="788"/>
        <v>0</v>
      </c>
      <c r="FM277" s="1118">
        <f t="shared" si="789"/>
        <v>0</v>
      </c>
      <c r="FN277" s="1118">
        <f t="shared" si="790"/>
        <v>33981773.116844907</v>
      </c>
      <c r="FO277" s="1074"/>
    </row>
    <row r="278" spans="1:171" x14ac:dyDescent="0.25">
      <c r="A278" s="170"/>
      <c r="B278" s="63" t="s">
        <v>153</v>
      </c>
      <c r="C278" s="1023">
        <v>262</v>
      </c>
      <c r="D278" s="1024">
        <v>408.1</v>
      </c>
      <c r="E278" s="182" t="str">
        <f>'Sch 3A - Taxes'!E26</f>
        <v>DIST</v>
      </c>
      <c r="F278" s="890"/>
      <c r="G278" s="182">
        <f>'Sch 3A - Taxes'!F26</f>
        <v>7839988.4010800999</v>
      </c>
      <c r="H278" s="182">
        <f>'Sch 3A - Taxes'!G26</f>
        <v>0</v>
      </c>
      <c r="I278" s="182">
        <f>'Sch 3A - Taxes'!H26</f>
        <v>0</v>
      </c>
      <c r="J278" s="183">
        <f>'Sch 3A - Taxes'!I26</f>
        <v>7839988.4010800999</v>
      </c>
      <c r="K278" s="904">
        <f t="shared" si="730"/>
        <v>1</v>
      </c>
      <c r="O278" s="1117">
        <f t="shared" si="791"/>
        <v>7839988.4010800999</v>
      </c>
      <c r="P278" s="1118">
        <f t="shared" si="731"/>
        <v>0</v>
      </c>
      <c r="Q278" s="1118">
        <f t="shared" si="732"/>
        <v>0</v>
      </c>
      <c r="R278" s="1118">
        <f t="shared" si="733"/>
        <v>7839988.4010800999</v>
      </c>
      <c r="S278" s="1074"/>
      <c r="W278" s="1117">
        <f t="shared" si="792"/>
        <v>7839988.4010800999</v>
      </c>
      <c r="X278" s="1118">
        <f t="shared" si="734"/>
        <v>0</v>
      </c>
      <c r="Y278" s="1118">
        <f t="shared" si="735"/>
        <v>0</v>
      </c>
      <c r="Z278" s="1118">
        <f t="shared" si="736"/>
        <v>7839988.4010800999</v>
      </c>
      <c r="AA278" s="1074"/>
      <c r="AE278" s="1117">
        <f t="shared" si="793"/>
        <v>7839988.4010800999</v>
      </c>
      <c r="AF278" s="1118">
        <f t="shared" si="737"/>
        <v>0</v>
      </c>
      <c r="AG278" s="1118">
        <f t="shared" si="738"/>
        <v>0</v>
      </c>
      <c r="AH278" s="1118">
        <f t="shared" si="739"/>
        <v>7839988.4010800999</v>
      </c>
      <c r="AI278" s="1074"/>
      <c r="AM278" s="1117">
        <f t="shared" si="794"/>
        <v>7839988.4010800999</v>
      </c>
      <c r="AN278" s="1118">
        <f t="shared" si="740"/>
        <v>0</v>
      </c>
      <c r="AO278" s="1118">
        <f t="shared" si="741"/>
        <v>0</v>
      </c>
      <c r="AP278" s="1118">
        <f t="shared" si="742"/>
        <v>7839988.4010800999</v>
      </c>
      <c r="AQ278" s="1074"/>
      <c r="AU278" s="1117">
        <f t="shared" si="795"/>
        <v>7839988.4010800999</v>
      </c>
      <c r="AV278" s="1118">
        <f t="shared" si="743"/>
        <v>0</v>
      </c>
      <c r="AW278" s="1118">
        <f t="shared" si="744"/>
        <v>0</v>
      </c>
      <c r="AX278" s="1118">
        <f t="shared" si="745"/>
        <v>7839988.4010800999</v>
      </c>
      <c r="AY278" s="1074"/>
      <c r="BC278" s="1117">
        <f t="shared" si="796"/>
        <v>7839988.4010800999</v>
      </c>
      <c r="BD278" s="1118">
        <f t="shared" si="746"/>
        <v>0</v>
      </c>
      <c r="BE278" s="1118">
        <f t="shared" si="747"/>
        <v>0</v>
      </c>
      <c r="BF278" s="1118">
        <f t="shared" si="748"/>
        <v>7839988.4010800999</v>
      </c>
      <c r="BG278" s="1074"/>
      <c r="BK278" s="1117">
        <f t="shared" si="797"/>
        <v>7839988.4010800999</v>
      </c>
      <c r="BL278" s="1118">
        <f t="shared" si="749"/>
        <v>0</v>
      </c>
      <c r="BM278" s="1118">
        <f t="shared" si="750"/>
        <v>0</v>
      </c>
      <c r="BN278" s="1118">
        <f t="shared" si="751"/>
        <v>7839988.4010800999</v>
      </c>
      <c r="BO278" s="1074"/>
      <c r="BS278" s="1117">
        <f t="shared" si="798"/>
        <v>7839988.4010800999</v>
      </c>
      <c r="BT278" s="1118">
        <f t="shared" si="752"/>
        <v>0</v>
      </c>
      <c r="BU278" s="1118">
        <f t="shared" si="753"/>
        <v>0</v>
      </c>
      <c r="BV278" s="1118">
        <f t="shared" si="754"/>
        <v>7839988.4010800999</v>
      </c>
      <c r="BW278" s="1074"/>
      <c r="CA278" s="1117">
        <f t="shared" si="799"/>
        <v>7839988.4010800999</v>
      </c>
      <c r="CB278" s="1118">
        <f t="shared" si="755"/>
        <v>0</v>
      </c>
      <c r="CC278" s="1118">
        <f t="shared" si="756"/>
        <v>0</v>
      </c>
      <c r="CD278" s="1118">
        <f t="shared" si="757"/>
        <v>7839988.4010800999</v>
      </c>
      <c r="CE278" s="1074"/>
      <c r="CI278" s="1117">
        <f t="shared" si="800"/>
        <v>7839988.4010800999</v>
      </c>
      <c r="CJ278" s="1118">
        <f t="shared" si="758"/>
        <v>0</v>
      </c>
      <c r="CK278" s="1118">
        <f t="shared" si="759"/>
        <v>0</v>
      </c>
      <c r="CL278" s="1118">
        <f t="shared" si="760"/>
        <v>7839988.4010800999</v>
      </c>
      <c r="CM278" s="1074"/>
      <c r="CQ278" s="1117">
        <f t="shared" si="801"/>
        <v>7839988.4010800999</v>
      </c>
      <c r="CR278" s="1118">
        <f t="shared" si="761"/>
        <v>0</v>
      </c>
      <c r="CS278" s="1118">
        <f t="shared" si="762"/>
        <v>0</v>
      </c>
      <c r="CT278" s="1118">
        <f t="shared" si="763"/>
        <v>7839988.4010800999</v>
      </c>
      <c r="CU278" s="1074"/>
      <c r="CY278" s="1117">
        <f t="shared" si="802"/>
        <v>7839988.4010800999</v>
      </c>
      <c r="CZ278" s="1118">
        <f t="shared" si="764"/>
        <v>0</v>
      </c>
      <c r="DA278" s="1118">
        <f t="shared" si="765"/>
        <v>0</v>
      </c>
      <c r="DB278" s="1118">
        <f t="shared" si="766"/>
        <v>7839988.4010800999</v>
      </c>
      <c r="DC278" s="1074"/>
      <c r="DG278" s="1117">
        <f t="shared" si="803"/>
        <v>7839988.4010800999</v>
      </c>
      <c r="DH278" s="1118">
        <f t="shared" si="767"/>
        <v>0</v>
      </c>
      <c r="DI278" s="1118">
        <f t="shared" si="768"/>
        <v>0</v>
      </c>
      <c r="DJ278" s="1118">
        <f t="shared" si="769"/>
        <v>7839988.4010800999</v>
      </c>
      <c r="DK278" s="1074"/>
      <c r="DO278" s="1117">
        <f t="shared" si="804"/>
        <v>7839988.4010800999</v>
      </c>
      <c r="DP278" s="1118">
        <f t="shared" si="770"/>
        <v>0</v>
      </c>
      <c r="DQ278" s="1118">
        <f t="shared" si="771"/>
        <v>0</v>
      </c>
      <c r="DR278" s="1118">
        <f t="shared" si="772"/>
        <v>7839988.4010800999</v>
      </c>
      <c r="DS278" s="1074"/>
      <c r="DW278" s="1117">
        <f t="shared" si="805"/>
        <v>7839988.4010800999</v>
      </c>
      <c r="DX278" s="1118">
        <f t="shared" si="773"/>
        <v>0</v>
      </c>
      <c r="DY278" s="1118">
        <f t="shared" si="774"/>
        <v>0</v>
      </c>
      <c r="DZ278" s="1118">
        <f t="shared" si="775"/>
        <v>7839988.4010800999</v>
      </c>
      <c r="EA278" s="1074"/>
      <c r="EE278" s="1117">
        <f t="shared" si="806"/>
        <v>7839988.4010800999</v>
      </c>
      <c r="EF278" s="1118">
        <f t="shared" si="776"/>
        <v>0</v>
      </c>
      <c r="EG278" s="1118">
        <f t="shared" si="777"/>
        <v>0</v>
      </c>
      <c r="EH278" s="1118">
        <f t="shared" si="778"/>
        <v>7839988.4010800999</v>
      </c>
      <c r="EI278" s="1074"/>
      <c r="EM278" s="1117">
        <f t="shared" si="807"/>
        <v>7839988.4010800999</v>
      </c>
      <c r="EN278" s="1118">
        <f t="shared" si="779"/>
        <v>0</v>
      </c>
      <c r="EO278" s="1118">
        <f t="shared" si="780"/>
        <v>0</v>
      </c>
      <c r="EP278" s="1118">
        <f t="shared" si="781"/>
        <v>7839988.4010800999</v>
      </c>
      <c r="EQ278" s="1074"/>
      <c r="EU278" s="1117">
        <f t="shared" si="808"/>
        <v>7839988.4010800999</v>
      </c>
      <c r="EV278" s="1118">
        <f t="shared" si="782"/>
        <v>0</v>
      </c>
      <c r="EW278" s="1118">
        <f t="shared" si="783"/>
        <v>0</v>
      </c>
      <c r="EX278" s="1118">
        <f t="shared" si="784"/>
        <v>7839988.4010800999</v>
      </c>
      <c r="EY278" s="1074"/>
      <c r="FC278" s="1117">
        <f t="shared" si="809"/>
        <v>7839988.4010800999</v>
      </c>
      <c r="FD278" s="1118">
        <f t="shared" si="785"/>
        <v>0</v>
      </c>
      <c r="FE278" s="1118">
        <f t="shared" si="786"/>
        <v>0</v>
      </c>
      <c r="FF278" s="1118">
        <f t="shared" si="787"/>
        <v>7839988.4010800999</v>
      </c>
      <c r="FG278" s="1074"/>
      <c r="FK278" s="1117">
        <f t="shared" si="810"/>
        <v>7839988.4010800999</v>
      </c>
      <c r="FL278" s="1118">
        <f t="shared" si="788"/>
        <v>0</v>
      </c>
      <c r="FM278" s="1118">
        <f t="shared" si="789"/>
        <v>0</v>
      </c>
      <c r="FN278" s="1118">
        <f t="shared" si="790"/>
        <v>7839988.4010800999</v>
      </c>
      <c r="FO278" s="1074"/>
    </row>
    <row r="279" spans="1:171" x14ac:dyDescent="0.25">
      <c r="A279" s="170"/>
      <c r="B279" s="63" t="s">
        <v>570</v>
      </c>
      <c r="C279" s="1023">
        <v>262</v>
      </c>
      <c r="D279" s="1024">
        <v>408.1</v>
      </c>
      <c r="E279" s="182" t="str">
        <f>'Sch 3A - Taxes'!E27</f>
        <v>DIST</v>
      </c>
      <c r="F279" s="890"/>
      <c r="G279" s="182">
        <f>'Sch 3A - Taxes'!F27</f>
        <v>6706015.4391418342</v>
      </c>
      <c r="H279" s="182">
        <f>'Sch 3A - Taxes'!G27</f>
        <v>0</v>
      </c>
      <c r="I279" s="182">
        <f>'Sch 3A - Taxes'!H27</f>
        <v>0</v>
      </c>
      <c r="J279" s="183">
        <f>'Sch 3A - Taxes'!I27</f>
        <v>6706015.4391418342</v>
      </c>
      <c r="K279" s="904">
        <f t="shared" si="730"/>
        <v>1</v>
      </c>
      <c r="O279" s="1117">
        <f t="shared" si="791"/>
        <v>6706015.4391418342</v>
      </c>
      <c r="P279" s="1118">
        <f t="shared" si="731"/>
        <v>0</v>
      </c>
      <c r="Q279" s="1118">
        <f t="shared" si="732"/>
        <v>0</v>
      </c>
      <c r="R279" s="1118">
        <f t="shared" si="733"/>
        <v>6706015.4391418342</v>
      </c>
      <c r="S279" s="1074"/>
      <c r="W279" s="1117">
        <f t="shared" si="792"/>
        <v>6706015.4391418342</v>
      </c>
      <c r="X279" s="1118">
        <f t="shared" si="734"/>
        <v>0</v>
      </c>
      <c r="Y279" s="1118">
        <f t="shared" si="735"/>
        <v>0</v>
      </c>
      <c r="Z279" s="1118">
        <f t="shared" si="736"/>
        <v>6706015.4391418342</v>
      </c>
      <c r="AA279" s="1074"/>
      <c r="AE279" s="1117">
        <f t="shared" si="793"/>
        <v>6706015.4391418342</v>
      </c>
      <c r="AF279" s="1118">
        <f t="shared" si="737"/>
        <v>0</v>
      </c>
      <c r="AG279" s="1118">
        <f t="shared" si="738"/>
        <v>0</v>
      </c>
      <c r="AH279" s="1118">
        <f t="shared" si="739"/>
        <v>6706015.4391418342</v>
      </c>
      <c r="AI279" s="1074"/>
      <c r="AM279" s="1117">
        <f t="shared" si="794"/>
        <v>6706015.4391418342</v>
      </c>
      <c r="AN279" s="1118">
        <f t="shared" si="740"/>
        <v>0</v>
      </c>
      <c r="AO279" s="1118">
        <f t="shared" si="741"/>
        <v>0</v>
      </c>
      <c r="AP279" s="1118">
        <f t="shared" si="742"/>
        <v>6706015.4391418342</v>
      </c>
      <c r="AQ279" s="1074"/>
      <c r="AU279" s="1117">
        <f t="shared" si="795"/>
        <v>6706015.4391418342</v>
      </c>
      <c r="AV279" s="1118">
        <f t="shared" si="743"/>
        <v>0</v>
      </c>
      <c r="AW279" s="1118">
        <f t="shared" si="744"/>
        <v>0</v>
      </c>
      <c r="AX279" s="1118">
        <f t="shared" si="745"/>
        <v>6706015.4391418342</v>
      </c>
      <c r="AY279" s="1074"/>
      <c r="BC279" s="1117">
        <f t="shared" si="796"/>
        <v>6706015.4391418342</v>
      </c>
      <c r="BD279" s="1118">
        <f t="shared" si="746"/>
        <v>0</v>
      </c>
      <c r="BE279" s="1118">
        <f t="shared" si="747"/>
        <v>0</v>
      </c>
      <c r="BF279" s="1118">
        <f t="shared" si="748"/>
        <v>6706015.4391418342</v>
      </c>
      <c r="BG279" s="1074"/>
      <c r="BK279" s="1117">
        <f t="shared" si="797"/>
        <v>6706015.4391418342</v>
      </c>
      <c r="BL279" s="1118">
        <f t="shared" si="749"/>
        <v>0</v>
      </c>
      <c r="BM279" s="1118">
        <f t="shared" si="750"/>
        <v>0</v>
      </c>
      <c r="BN279" s="1118">
        <f t="shared" si="751"/>
        <v>6706015.4391418342</v>
      </c>
      <c r="BO279" s="1074"/>
      <c r="BS279" s="1117">
        <f t="shared" si="798"/>
        <v>6706015.4391418342</v>
      </c>
      <c r="BT279" s="1118">
        <f t="shared" si="752"/>
        <v>0</v>
      </c>
      <c r="BU279" s="1118">
        <f t="shared" si="753"/>
        <v>0</v>
      </c>
      <c r="BV279" s="1118">
        <f t="shared" si="754"/>
        <v>6706015.4391418342</v>
      </c>
      <c r="BW279" s="1074"/>
      <c r="CA279" s="1117">
        <f t="shared" si="799"/>
        <v>6706015.4391418342</v>
      </c>
      <c r="CB279" s="1118">
        <f t="shared" si="755"/>
        <v>0</v>
      </c>
      <c r="CC279" s="1118">
        <f t="shared" si="756"/>
        <v>0</v>
      </c>
      <c r="CD279" s="1118">
        <f t="shared" si="757"/>
        <v>6706015.4391418342</v>
      </c>
      <c r="CE279" s="1074"/>
      <c r="CI279" s="1117">
        <f t="shared" si="800"/>
        <v>6706015.4391418342</v>
      </c>
      <c r="CJ279" s="1118">
        <f t="shared" si="758"/>
        <v>0</v>
      </c>
      <c r="CK279" s="1118">
        <f t="shared" si="759"/>
        <v>0</v>
      </c>
      <c r="CL279" s="1118">
        <f t="shared" si="760"/>
        <v>6706015.4391418342</v>
      </c>
      <c r="CM279" s="1074"/>
      <c r="CQ279" s="1117">
        <f t="shared" si="801"/>
        <v>6706015.4391418342</v>
      </c>
      <c r="CR279" s="1118">
        <f t="shared" si="761"/>
        <v>0</v>
      </c>
      <c r="CS279" s="1118">
        <f t="shared" si="762"/>
        <v>0</v>
      </c>
      <c r="CT279" s="1118">
        <f t="shared" si="763"/>
        <v>6706015.4391418342</v>
      </c>
      <c r="CU279" s="1074"/>
      <c r="CY279" s="1117">
        <f t="shared" si="802"/>
        <v>6706015.4391418342</v>
      </c>
      <c r="CZ279" s="1118">
        <f t="shared" si="764"/>
        <v>0</v>
      </c>
      <c r="DA279" s="1118">
        <f t="shared" si="765"/>
        <v>0</v>
      </c>
      <c r="DB279" s="1118">
        <f t="shared" si="766"/>
        <v>6706015.4391418342</v>
      </c>
      <c r="DC279" s="1074"/>
      <c r="DG279" s="1117">
        <f t="shared" si="803"/>
        <v>6706015.4391418342</v>
      </c>
      <c r="DH279" s="1118">
        <f t="shared" si="767"/>
        <v>0</v>
      </c>
      <c r="DI279" s="1118">
        <f t="shared" si="768"/>
        <v>0</v>
      </c>
      <c r="DJ279" s="1118">
        <f t="shared" si="769"/>
        <v>6706015.4391418342</v>
      </c>
      <c r="DK279" s="1074"/>
      <c r="DO279" s="1117">
        <f t="shared" si="804"/>
        <v>6706015.4391418342</v>
      </c>
      <c r="DP279" s="1118">
        <f t="shared" si="770"/>
        <v>0</v>
      </c>
      <c r="DQ279" s="1118">
        <f t="shared" si="771"/>
        <v>0</v>
      </c>
      <c r="DR279" s="1118">
        <f t="shared" si="772"/>
        <v>6706015.4391418342</v>
      </c>
      <c r="DS279" s="1074"/>
      <c r="DW279" s="1117">
        <f t="shared" si="805"/>
        <v>6706015.4391418342</v>
      </c>
      <c r="DX279" s="1118">
        <f t="shared" si="773"/>
        <v>0</v>
      </c>
      <c r="DY279" s="1118">
        <f t="shared" si="774"/>
        <v>0</v>
      </c>
      <c r="DZ279" s="1118">
        <f t="shared" si="775"/>
        <v>6706015.4391418342</v>
      </c>
      <c r="EA279" s="1074"/>
      <c r="EE279" s="1117">
        <f t="shared" si="806"/>
        <v>6706015.4391418342</v>
      </c>
      <c r="EF279" s="1118">
        <f t="shared" si="776"/>
        <v>0</v>
      </c>
      <c r="EG279" s="1118">
        <f t="shared" si="777"/>
        <v>0</v>
      </c>
      <c r="EH279" s="1118">
        <f t="shared" si="778"/>
        <v>6706015.4391418342</v>
      </c>
      <c r="EI279" s="1074"/>
      <c r="EM279" s="1117">
        <f t="shared" si="807"/>
        <v>6706015.4391418342</v>
      </c>
      <c r="EN279" s="1118">
        <f t="shared" si="779"/>
        <v>0</v>
      </c>
      <c r="EO279" s="1118">
        <f t="shared" si="780"/>
        <v>0</v>
      </c>
      <c r="EP279" s="1118">
        <f t="shared" si="781"/>
        <v>6706015.4391418342</v>
      </c>
      <c r="EQ279" s="1074"/>
      <c r="EU279" s="1117">
        <f t="shared" si="808"/>
        <v>6706015.4391418342</v>
      </c>
      <c r="EV279" s="1118">
        <f t="shared" si="782"/>
        <v>0</v>
      </c>
      <c r="EW279" s="1118">
        <f t="shared" si="783"/>
        <v>0</v>
      </c>
      <c r="EX279" s="1118">
        <f t="shared" si="784"/>
        <v>6706015.4391418342</v>
      </c>
      <c r="EY279" s="1074"/>
      <c r="FC279" s="1117">
        <f t="shared" si="809"/>
        <v>6706015.4391418342</v>
      </c>
      <c r="FD279" s="1118">
        <f t="shared" si="785"/>
        <v>0</v>
      </c>
      <c r="FE279" s="1118">
        <f t="shared" si="786"/>
        <v>0</v>
      </c>
      <c r="FF279" s="1118">
        <f t="shared" si="787"/>
        <v>6706015.4391418342</v>
      </c>
      <c r="FG279" s="1074"/>
      <c r="FK279" s="1117">
        <f t="shared" si="810"/>
        <v>6706015.4391418342</v>
      </c>
      <c r="FL279" s="1118">
        <f t="shared" si="788"/>
        <v>0</v>
      </c>
      <c r="FM279" s="1118">
        <f t="shared" si="789"/>
        <v>0</v>
      </c>
      <c r="FN279" s="1118">
        <f t="shared" si="790"/>
        <v>6706015.4391418342</v>
      </c>
      <c r="FO279" s="1074"/>
    </row>
    <row r="280" spans="1:171" ht="16.5" thickBot="1" x14ac:dyDescent="0.3">
      <c r="A280" s="170"/>
      <c r="B280" s="63" t="s">
        <v>107</v>
      </c>
      <c r="C280" s="1023">
        <v>262</v>
      </c>
      <c r="D280" s="1024">
        <v>408.1</v>
      </c>
      <c r="E280" s="182" t="str">
        <f>'Sch 3A - Taxes'!E28</f>
        <v>DIST</v>
      </c>
      <c r="F280" s="890"/>
      <c r="G280" s="182">
        <f>'Sch 3A - Taxes'!F28</f>
        <v>5067613.3007748257</v>
      </c>
      <c r="H280" s="182">
        <f>'Sch 3A - Taxes'!G28</f>
        <v>0</v>
      </c>
      <c r="I280" s="182">
        <f>'Sch 3A - Taxes'!H28</f>
        <v>0</v>
      </c>
      <c r="J280" s="183">
        <f>'Sch 3A - Taxes'!I28</f>
        <v>5067613.3007748257</v>
      </c>
      <c r="K280" s="904">
        <f t="shared" si="730"/>
        <v>1</v>
      </c>
      <c r="O280" s="1117">
        <f t="shared" si="791"/>
        <v>5067613.3007748257</v>
      </c>
      <c r="P280" s="1118">
        <f t="shared" si="731"/>
        <v>0</v>
      </c>
      <c r="Q280" s="1118">
        <f t="shared" si="732"/>
        <v>0</v>
      </c>
      <c r="R280" s="1118">
        <f t="shared" si="733"/>
        <v>5067613.3007748257</v>
      </c>
      <c r="S280" s="1074"/>
      <c r="W280" s="1117">
        <f t="shared" si="792"/>
        <v>5067613.3007748257</v>
      </c>
      <c r="X280" s="1118">
        <f t="shared" si="734"/>
        <v>0</v>
      </c>
      <c r="Y280" s="1118">
        <f t="shared" si="735"/>
        <v>0</v>
      </c>
      <c r="Z280" s="1118">
        <f t="shared" si="736"/>
        <v>5067613.3007748257</v>
      </c>
      <c r="AA280" s="1074"/>
      <c r="AE280" s="1117">
        <f t="shared" si="793"/>
        <v>5067613.3007748257</v>
      </c>
      <c r="AF280" s="1118">
        <f t="shared" si="737"/>
        <v>0</v>
      </c>
      <c r="AG280" s="1118">
        <f t="shared" si="738"/>
        <v>0</v>
      </c>
      <c r="AH280" s="1118">
        <f t="shared" si="739"/>
        <v>5067613.3007748257</v>
      </c>
      <c r="AI280" s="1074"/>
      <c r="AM280" s="1117">
        <f t="shared" si="794"/>
        <v>5067613.3007748257</v>
      </c>
      <c r="AN280" s="1118">
        <f t="shared" si="740"/>
        <v>0</v>
      </c>
      <c r="AO280" s="1118">
        <f t="shared" si="741"/>
        <v>0</v>
      </c>
      <c r="AP280" s="1118">
        <f t="shared" si="742"/>
        <v>5067613.3007748257</v>
      </c>
      <c r="AQ280" s="1074"/>
      <c r="AU280" s="1117">
        <f t="shared" si="795"/>
        <v>5067613.3007748257</v>
      </c>
      <c r="AV280" s="1118">
        <f t="shared" si="743"/>
        <v>0</v>
      </c>
      <c r="AW280" s="1118">
        <f t="shared" si="744"/>
        <v>0</v>
      </c>
      <c r="AX280" s="1118">
        <f t="shared" si="745"/>
        <v>5067613.3007748257</v>
      </c>
      <c r="AY280" s="1074"/>
      <c r="BC280" s="1117">
        <f t="shared" si="796"/>
        <v>5067613.3007748257</v>
      </c>
      <c r="BD280" s="1118">
        <f t="shared" si="746"/>
        <v>0</v>
      </c>
      <c r="BE280" s="1118">
        <f t="shared" si="747"/>
        <v>0</v>
      </c>
      <c r="BF280" s="1118">
        <f t="shared" si="748"/>
        <v>5067613.3007748257</v>
      </c>
      <c r="BG280" s="1074"/>
      <c r="BK280" s="1117">
        <f t="shared" si="797"/>
        <v>5067613.3007748257</v>
      </c>
      <c r="BL280" s="1118">
        <f t="shared" si="749"/>
        <v>0</v>
      </c>
      <c r="BM280" s="1118">
        <f t="shared" si="750"/>
        <v>0</v>
      </c>
      <c r="BN280" s="1118">
        <f t="shared" si="751"/>
        <v>5067613.3007748257</v>
      </c>
      <c r="BO280" s="1074"/>
      <c r="BS280" s="1117">
        <f t="shared" si="798"/>
        <v>5067613.3007748257</v>
      </c>
      <c r="BT280" s="1118">
        <f t="shared" si="752"/>
        <v>0</v>
      </c>
      <c r="BU280" s="1118">
        <f t="shared" si="753"/>
        <v>0</v>
      </c>
      <c r="BV280" s="1118">
        <f t="shared" si="754"/>
        <v>5067613.3007748257</v>
      </c>
      <c r="BW280" s="1074"/>
      <c r="CA280" s="1117">
        <f t="shared" si="799"/>
        <v>5067613.3007748257</v>
      </c>
      <c r="CB280" s="1118">
        <f t="shared" si="755"/>
        <v>0</v>
      </c>
      <c r="CC280" s="1118">
        <f t="shared" si="756"/>
        <v>0</v>
      </c>
      <c r="CD280" s="1118">
        <f t="shared" si="757"/>
        <v>5067613.3007748257</v>
      </c>
      <c r="CE280" s="1074"/>
      <c r="CI280" s="1117">
        <f t="shared" si="800"/>
        <v>5067613.3007748257</v>
      </c>
      <c r="CJ280" s="1118">
        <f t="shared" si="758"/>
        <v>0</v>
      </c>
      <c r="CK280" s="1118">
        <f t="shared" si="759"/>
        <v>0</v>
      </c>
      <c r="CL280" s="1118">
        <f t="shared" si="760"/>
        <v>5067613.3007748257</v>
      </c>
      <c r="CM280" s="1074"/>
      <c r="CQ280" s="1117">
        <f t="shared" si="801"/>
        <v>5067613.3007748257</v>
      </c>
      <c r="CR280" s="1118">
        <f t="shared" si="761"/>
        <v>0</v>
      </c>
      <c r="CS280" s="1118">
        <f t="shared" si="762"/>
        <v>0</v>
      </c>
      <c r="CT280" s="1118">
        <f t="shared" si="763"/>
        <v>5067613.3007748257</v>
      </c>
      <c r="CU280" s="1074"/>
      <c r="CY280" s="1117">
        <f t="shared" si="802"/>
        <v>5067613.3007748257</v>
      </c>
      <c r="CZ280" s="1118">
        <f t="shared" si="764"/>
        <v>0</v>
      </c>
      <c r="DA280" s="1118">
        <f t="shared" si="765"/>
        <v>0</v>
      </c>
      <c r="DB280" s="1118">
        <f t="shared" si="766"/>
        <v>5067613.3007748257</v>
      </c>
      <c r="DC280" s="1074"/>
      <c r="DG280" s="1117">
        <f t="shared" si="803"/>
        <v>5067613.3007748257</v>
      </c>
      <c r="DH280" s="1118">
        <f t="shared" si="767"/>
        <v>0</v>
      </c>
      <c r="DI280" s="1118">
        <f t="shared" si="768"/>
        <v>0</v>
      </c>
      <c r="DJ280" s="1118">
        <f t="shared" si="769"/>
        <v>5067613.3007748257</v>
      </c>
      <c r="DK280" s="1074"/>
      <c r="DO280" s="1117">
        <f t="shared" si="804"/>
        <v>5067613.3007748257</v>
      </c>
      <c r="DP280" s="1118">
        <f t="shared" si="770"/>
        <v>0</v>
      </c>
      <c r="DQ280" s="1118">
        <f t="shared" si="771"/>
        <v>0</v>
      </c>
      <c r="DR280" s="1118">
        <f t="shared" si="772"/>
        <v>5067613.3007748257</v>
      </c>
      <c r="DS280" s="1074"/>
      <c r="DW280" s="1117">
        <f t="shared" si="805"/>
        <v>5067613.3007748257</v>
      </c>
      <c r="DX280" s="1118">
        <f t="shared" si="773"/>
        <v>0</v>
      </c>
      <c r="DY280" s="1118">
        <f t="shared" si="774"/>
        <v>0</v>
      </c>
      <c r="DZ280" s="1118">
        <f t="shared" si="775"/>
        <v>5067613.3007748257</v>
      </c>
      <c r="EA280" s="1074"/>
      <c r="EE280" s="1117">
        <f t="shared" si="806"/>
        <v>5067613.3007748257</v>
      </c>
      <c r="EF280" s="1118">
        <f t="shared" si="776"/>
        <v>0</v>
      </c>
      <c r="EG280" s="1118">
        <f t="shared" si="777"/>
        <v>0</v>
      </c>
      <c r="EH280" s="1118">
        <f t="shared" si="778"/>
        <v>5067613.3007748257</v>
      </c>
      <c r="EI280" s="1074"/>
      <c r="EM280" s="1117">
        <f t="shared" si="807"/>
        <v>5067613.3007748257</v>
      </c>
      <c r="EN280" s="1118">
        <f t="shared" si="779"/>
        <v>0</v>
      </c>
      <c r="EO280" s="1118">
        <f t="shared" si="780"/>
        <v>0</v>
      </c>
      <c r="EP280" s="1118">
        <f t="shared" si="781"/>
        <v>5067613.3007748257</v>
      </c>
      <c r="EQ280" s="1074"/>
      <c r="EU280" s="1117">
        <f t="shared" si="808"/>
        <v>5067613.3007748257</v>
      </c>
      <c r="EV280" s="1118">
        <f t="shared" si="782"/>
        <v>0</v>
      </c>
      <c r="EW280" s="1118">
        <f t="shared" si="783"/>
        <v>0</v>
      </c>
      <c r="EX280" s="1118">
        <f t="shared" si="784"/>
        <v>5067613.3007748257</v>
      </c>
      <c r="EY280" s="1074"/>
      <c r="FC280" s="1117">
        <f t="shared" si="809"/>
        <v>5067613.3007748257</v>
      </c>
      <c r="FD280" s="1118">
        <f t="shared" si="785"/>
        <v>0</v>
      </c>
      <c r="FE280" s="1118">
        <f t="shared" si="786"/>
        <v>0</v>
      </c>
      <c r="FF280" s="1118">
        <f t="shared" si="787"/>
        <v>5067613.3007748257</v>
      </c>
      <c r="FG280" s="1074"/>
      <c r="FK280" s="1117">
        <f t="shared" si="810"/>
        <v>5067613.3007748257</v>
      </c>
      <c r="FL280" s="1118">
        <f t="shared" si="788"/>
        <v>0</v>
      </c>
      <c r="FM280" s="1118">
        <f t="shared" si="789"/>
        <v>0</v>
      </c>
      <c r="FN280" s="1118">
        <f t="shared" si="790"/>
        <v>5067613.3007748257</v>
      </c>
      <c r="FO280" s="1074"/>
    </row>
    <row r="281" spans="1:171" ht="16.5" thickBot="1" x14ac:dyDescent="0.3">
      <c r="A281" s="201" t="s">
        <v>36</v>
      </c>
      <c r="B281" s="63"/>
      <c r="C281" s="915"/>
      <c r="D281" s="916"/>
      <c r="E281" s="916"/>
      <c r="F281" s="917"/>
      <c r="G281" s="924">
        <f>SUM(G274:G280)</f>
        <v>118783748.72700052</v>
      </c>
      <c r="H281" s="924">
        <f>SUM(H274:H280)</f>
        <v>27831570.468647297</v>
      </c>
      <c r="I281" s="924">
        <f>SUM(I274:I280)</f>
        <v>0</v>
      </c>
      <c r="J281" s="1391">
        <f>SUM(J274:J280)</f>
        <v>90958458.637470201</v>
      </c>
      <c r="K281" s="904"/>
      <c r="O281" s="1138">
        <f>SUM(O274:O280)</f>
        <v>118783748.72700052</v>
      </c>
      <c r="P281" s="1138">
        <f>SUM(P274:P280)</f>
        <v>27831570.468647297</v>
      </c>
      <c r="Q281" s="1138">
        <f>SUM(Q274:Q280)</f>
        <v>15920789.960823974</v>
      </c>
      <c r="R281" s="1138">
        <f>SUM(R274:R280)</f>
        <v>75031388.29752925</v>
      </c>
      <c r="S281" s="1074"/>
      <c r="W281" s="1138">
        <f>SUM(W274:W280)</f>
        <v>118783748.72700052</v>
      </c>
      <c r="X281" s="1138">
        <f>SUM(X274:X280)</f>
        <v>27831570.468647297</v>
      </c>
      <c r="Y281" s="1138">
        <f>SUM(Y274:Y280)</f>
        <v>15920789.960823974</v>
      </c>
      <c r="Z281" s="1138">
        <f>SUM(Z274:Z280)</f>
        <v>75031388.29752925</v>
      </c>
      <c r="AA281" s="1074"/>
      <c r="AE281" s="1138">
        <f>SUM(AE274:AE280)</f>
        <v>118783748.72700052</v>
      </c>
      <c r="AF281" s="1138">
        <f>SUM(AF274:AF280)</f>
        <v>27831570.468647297</v>
      </c>
      <c r="AG281" s="1138">
        <f>SUM(AG274:AG280)</f>
        <v>15920789.960823974</v>
      </c>
      <c r="AH281" s="1138">
        <f>SUM(AH274:AH280)</f>
        <v>75031388.29752925</v>
      </c>
      <c r="AI281" s="1074"/>
      <c r="AM281" s="1138">
        <f>SUM(AM274:AM280)</f>
        <v>118783748.72700052</v>
      </c>
      <c r="AN281" s="1138">
        <f>SUM(AN274:AN280)</f>
        <v>27831570.468647297</v>
      </c>
      <c r="AO281" s="1138">
        <f>SUM(AO274:AO280)</f>
        <v>15920789.960823974</v>
      </c>
      <c r="AP281" s="1138">
        <f>SUM(AP274:AP280)</f>
        <v>75031388.29752925</v>
      </c>
      <c r="AQ281" s="1074"/>
      <c r="AU281" s="1138">
        <f>SUM(AU274:AU280)</f>
        <v>118783748.72700052</v>
      </c>
      <c r="AV281" s="1138">
        <f>SUM(AV274:AV280)</f>
        <v>27831570.468647297</v>
      </c>
      <c r="AW281" s="1138">
        <f>SUM(AW274:AW280)</f>
        <v>15920789.960823974</v>
      </c>
      <c r="AX281" s="1138">
        <f>SUM(AX274:AX280)</f>
        <v>75031388.29752925</v>
      </c>
      <c r="AY281" s="1074"/>
      <c r="BC281" s="1138">
        <f>SUM(BC274:BC280)</f>
        <v>118783748.72700052</v>
      </c>
      <c r="BD281" s="1138">
        <f>SUM(BD274:BD280)</f>
        <v>27831570.468647297</v>
      </c>
      <c r="BE281" s="1138">
        <f>SUM(BE274:BE280)</f>
        <v>15920789.960823974</v>
      </c>
      <c r="BF281" s="1138">
        <f>SUM(BF274:BF280)</f>
        <v>75031388.29752925</v>
      </c>
      <c r="BG281" s="1074"/>
      <c r="BK281" s="1138">
        <f>SUM(BK274:BK280)</f>
        <v>118783748.72700052</v>
      </c>
      <c r="BL281" s="1138">
        <f>SUM(BL274:BL280)</f>
        <v>27831570.468647297</v>
      </c>
      <c r="BM281" s="1138">
        <f>SUM(BM274:BM280)</f>
        <v>15920789.960823974</v>
      </c>
      <c r="BN281" s="1138">
        <f>SUM(BN274:BN280)</f>
        <v>75031388.29752925</v>
      </c>
      <c r="BO281" s="1074"/>
      <c r="BS281" s="1138">
        <f>SUM(BS274:BS280)</f>
        <v>118783748.72700052</v>
      </c>
      <c r="BT281" s="1138">
        <f>SUM(BT274:BT280)</f>
        <v>27831570.468647297</v>
      </c>
      <c r="BU281" s="1138">
        <f>SUM(BU274:BU280)</f>
        <v>15920789.960823974</v>
      </c>
      <c r="BV281" s="1138">
        <f>SUM(BV274:BV280)</f>
        <v>75031388.29752925</v>
      </c>
      <c r="BW281" s="1074"/>
      <c r="CA281" s="1138">
        <f>SUM(CA274:CA280)</f>
        <v>118783748.72700052</v>
      </c>
      <c r="CB281" s="1138">
        <f>SUM(CB274:CB280)</f>
        <v>27831570.468647297</v>
      </c>
      <c r="CC281" s="1138">
        <f>SUM(CC274:CC280)</f>
        <v>15920789.960823974</v>
      </c>
      <c r="CD281" s="1138">
        <f>SUM(CD274:CD280)</f>
        <v>75031388.29752925</v>
      </c>
      <c r="CE281" s="1074"/>
      <c r="CI281" s="1138">
        <f>SUM(CI274:CI280)</f>
        <v>118783748.72700052</v>
      </c>
      <c r="CJ281" s="1138">
        <f>SUM(CJ274:CJ280)</f>
        <v>27831570.468647297</v>
      </c>
      <c r="CK281" s="1138">
        <f>SUM(CK274:CK280)</f>
        <v>15920789.960823974</v>
      </c>
      <c r="CL281" s="1138">
        <f>SUM(CL274:CL280)</f>
        <v>75031388.29752925</v>
      </c>
      <c r="CM281" s="1074"/>
      <c r="CQ281" s="1138">
        <f>SUM(CQ274:CQ280)</f>
        <v>118783748.72700052</v>
      </c>
      <c r="CR281" s="1138">
        <f>SUM(CR274:CR280)</f>
        <v>27831570.468647297</v>
      </c>
      <c r="CS281" s="1138">
        <f>SUM(CS274:CS280)</f>
        <v>15920789.960823974</v>
      </c>
      <c r="CT281" s="1138">
        <f>SUM(CT274:CT280)</f>
        <v>75031388.29752925</v>
      </c>
      <c r="CU281" s="1074"/>
      <c r="CY281" s="1138">
        <f>SUM(CY274:CY280)</f>
        <v>118783748.72700052</v>
      </c>
      <c r="CZ281" s="1138">
        <f>SUM(CZ274:CZ280)</f>
        <v>27831570.468647297</v>
      </c>
      <c r="DA281" s="1138">
        <f>SUM(DA274:DA280)</f>
        <v>15920789.960823974</v>
      </c>
      <c r="DB281" s="1138">
        <f>SUM(DB274:DB280)</f>
        <v>75031388.29752925</v>
      </c>
      <c r="DC281" s="1074"/>
      <c r="DG281" s="1138">
        <f>SUM(DG274:DG280)</f>
        <v>118783748.72700052</v>
      </c>
      <c r="DH281" s="1138">
        <f>SUM(DH274:DH280)</f>
        <v>27831570.468647297</v>
      </c>
      <c r="DI281" s="1138">
        <f>SUM(DI274:DI280)</f>
        <v>15920789.960823974</v>
      </c>
      <c r="DJ281" s="1138">
        <f>SUM(DJ274:DJ280)</f>
        <v>75031388.29752925</v>
      </c>
      <c r="DK281" s="1074"/>
      <c r="DO281" s="1138">
        <f>SUM(DO274:DO280)</f>
        <v>118783748.72700052</v>
      </c>
      <c r="DP281" s="1138">
        <f>SUM(DP274:DP280)</f>
        <v>27831570.468647297</v>
      </c>
      <c r="DQ281" s="1138">
        <f>SUM(DQ274:DQ280)</f>
        <v>15920789.960823974</v>
      </c>
      <c r="DR281" s="1138">
        <f>SUM(DR274:DR280)</f>
        <v>75031388.29752925</v>
      </c>
      <c r="DS281" s="1074"/>
      <c r="DW281" s="1138">
        <f>SUM(DW274:DW280)</f>
        <v>118783748.72700052</v>
      </c>
      <c r="DX281" s="1138">
        <f>SUM(DX274:DX280)</f>
        <v>27831570.468647297</v>
      </c>
      <c r="DY281" s="1138">
        <f>SUM(DY274:DY280)</f>
        <v>15920789.960823974</v>
      </c>
      <c r="DZ281" s="1138">
        <f>SUM(DZ274:DZ280)</f>
        <v>75031388.29752925</v>
      </c>
      <c r="EA281" s="1074"/>
      <c r="EE281" s="1138">
        <f>SUM(EE274:EE280)</f>
        <v>118783748.72700052</v>
      </c>
      <c r="EF281" s="1138">
        <f>SUM(EF274:EF280)</f>
        <v>27831570.468647297</v>
      </c>
      <c r="EG281" s="1138">
        <f>SUM(EG274:EG280)</f>
        <v>15920789.960823974</v>
      </c>
      <c r="EH281" s="1138">
        <f>SUM(EH274:EH280)</f>
        <v>75031388.29752925</v>
      </c>
      <c r="EI281" s="1074"/>
      <c r="EM281" s="1138">
        <f>SUM(EM274:EM280)</f>
        <v>118783748.72700052</v>
      </c>
      <c r="EN281" s="1138">
        <f>SUM(EN274:EN280)</f>
        <v>27831570.468647297</v>
      </c>
      <c r="EO281" s="1138">
        <f>SUM(EO274:EO280)</f>
        <v>15920789.960823974</v>
      </c>
      <c r="EP281" s="1138">
        <f>SUM(EP274:EP280)</f>
        <v>75031388.29752925</v>
      </c>
      <c r="EQ281" s="1074"/>
      <c r="EU281" s="1138">
        <f>SUM(EU274:EU280)</f>
        <v>118783748.72700052</v>
      </c>
      <c r="EV281" s="1138">
        <f>SUM(EV274:EV280)</f>
        <v>27831570.468647297</v>
      </c>
      <c r="EW281" s="1138">
        <f>SUM(EW274:EW280)</f>
        <v>15920789.960823974</v>
      </c>
      <c r="EX281" s="1138">
        <f>SUM(EX274:EX280)</f>
        <v>75031388.29752925</v>
      </c>
      <c r="EY281" s="1074"/>
      <c r="FC281" s="1138">
        <f>SUM(FC274:FC280)</f>
        <v>118783748.72700052</v>
      </c>
      <c r="FD281" s="1138">
        <f>SUM(FD274:FD280)</f>
        <v>27831570.468647297</v>
      </c>
      <c r="FE281" s="1138">
        <f>SUM(FE274:FE280)</f>
        <v>15920789.960823974</v>
      </c>
      <c r="FF281" s="1138">
        <f>SUM(FF274:FF280)</f>
        <v>75031388.29752925</v>
      </c>
      <c r="FG281" s="1074"/>
      <c r="FK281" s="1138">
        <f>SUM(FK274:FK280)</f>
        <v>118783748.72700052</v>
      </c>
      <c r="FL281" s="1138">
        <f>SUM(FL274:FL280)</f>
        <v>27831570.468647297</v>
      </c>
      <c r="FM281" s="1138">
        <f>SUM(FM274:FM280)</f>
        <v>15920789.960823974</v>
      </c>
      <c r="FN281" s="1138">
        <f>SUM(FN274:FN280)</f>
        <v>75031388.29752925</v>
      </c>
      <c r="FO281" s="1074"/>
    </row>
    <row r="282" spans="1:171" ht="16.5" thickBot="1" x14ac:dyDescent="0.3">
      <c r="A282" s="170"/>
      <c r="B282" s="63"/>
      <c r="C282" s="150"/>
      <c r="D282" s="195"/>
      <c r="E282" s="196"/>
      <c r="F282" s="196"/>
      <c r="G282" s="1028"/>
      <c r="H282" s="1028"/>
      <c r="I282" s="1028"/>
      <c r="J282" s="1029"/>
      <c r="K282" s="904"/>
      <c r="O282" s="1080"/>
      <c r="P282" s="1080"/>
      <c r="Q282" s="1080"/>
      <c r="R282" s="1080"/>
      <c r="S282" s="1074"/>
      <c r="W282" s="1080"/>
      <c r="X282" s="1080"/>
      <c r="Y282" s="1080"/>
      <c r="Z282" s="1080"/>
      <c r="AA282" s="1074"/>
      <c r="AE282" s="1080"/>
      <c r="AF282" s="1080"/>
      <c r="AG282" s="1080"/>
      <c r="AH282" s="1080"/>
      <c r="AI282" s="1074"/>
      <c r="AM282" s="1080"/>
      <c r="AN282" s="1080"/>
      <c r="AO282" s="1080"/>
      <c r="AP282" s="1080"/>
      <c r="AQ282" s="1074"/>
      <c r="AU282" s="1080"/>
      <c r="AV282" s="1080"/>
      <c r="AW282" s="1080"/>
      <c r="AX282" s="1080"/>
      <c r="AY282" s="1074"/>
      <c r="BC282" s="1080"/>
      <c r="BD282" s="1080"/>
      <c r="BE282" s="1080"/>
      <c r="BF282" s="1080"/>
      <c r="BG282" s="1074"/>
      <c r="BK282" s="1080"/>
      <c r="BL282" s="1080"/>
      <c r="BM282" s="1080"/>
      <c r="BN282" s="1080"/>
      <c r="BO282" s="1074"/>
      <c r="BS282" s="1080"/>
      <c r="BT282" s="1080"/>
      <c r="BU282" s="1080"/>
      <c r="BV282" s="1080"/>
      <c r="BW282" s="1074"/>
      <c r="CA282" s="1080"/>
      <c r="CB282" s="1080"/>
      <c r="CC282" s="1080"/>
      <c r="CD282" s="1080"/>
      <c r="CE282" s="1074"/>
      <c r="CI282" s="1080"/>
      <c r="CJ282" s="1080"/>
      <c r="CK282" s="1080"/>
      <c r="CL282" s="1080"/>
      <c r="CM282" s="1074"/>
      <c r="CQ282" s="1080"/>
      <c r="CR282" s="1080"/>
      <c r="CS282" s="1080"/>
      <c r="CT282" s="1080"/>
      <c r="CU282" s="1074"/>
      <c r="CY282" s="1080"/>
      <c r="CZ282" s="1080"/>
      <c r="DA282" s="1080"/>
      <c r="DB282" s="1080"/>
      <c r="DC282" s="1074"/>
      <c r="DG282" s="1080"/>
      <c r="DH282" s="1080"/>
      <c r="DI282" s="1080"/>
      <c r="DJ282" s="1080"/>
      <c r="DK282" s="1074"/>
      <c r="DO282" s="1080"/>
      <c r="DP282" s="1080"/>
      <c r="DQ282" s="1080"/>
      <c r="DR282" s="1080"/>
      <c r="DS282" s="1074"/>
      <c r="DW282" s="1080"/>
      <c r="DX282" s="1080"/>
      <c r="DY282" s="1080"/>
      <c r="DZ282" s="1080"/>
      <c r="EA282" s="1074"/>
      <c r="EE282" s="1080"/>
      <c r="EF282" s="1080"/>
      <c r="EG282" s="1080"/>
      <c r="EH282" s="1080"/>
      <c r="EI282" s="1074"/>
      <c r="EM282" s="1080"/>
      <c r="EN282" s="1080"/>
      <c r="EO282" s="1080"/>
      <c r="EP282" s="1080"/>
      <c r="EQ282" s="1074"/>
      <c r="EU282" s="1080"/>
      <c r="EV282" s="1080"/>
      <c r="EW282" s="1080"/>
      <c r="EX282" s="1080"/>
      <c r="EY282" s="1074"/>
      <c r="FC282" s="1080"/>
      <c r="FD282" s="1080"/>
      <c r="FE282" s="1080"/>
      <c r="FF282" s="1080"/>
      <c r="FG282" s="1074"/>
      <c r="FK282" s="1080"/>
      <c r="FL282" s="1080"/>
      <c r="FM282" s="1080"/>
      <c r="FN282" s="1080"/>
      <c r="FO282" s="1074"/>
    </row>
    <row r="283" spans="1:171" ht="16.5" thickBot="1" x14ac:dyDescent="0.3">
      <c r="A283" s="201" t="s">
        <v>571</v>
      </c>
      <c r="B283" s="79"/>
      <c r="C283" s="915"/>
      <c r="D283" s="916"/>
      <c r="E283" s="916"/>
      <c r="F283" s="917"/>
      <c r="G283" s="924">
        <f>SUM(G271,G281)</f>
        <v>137802796.81183705</v>
      </c>
      <c r="H283" s="924">
        <f>SUM(H271,H281)</f>
        <v>35759725.361573324</v>
      </c>
      <c r="I283" s="924">
        <f>SUM(I271,I281)</f>
        <v>0</v>
      </c>
      <c r="J283" s="1391">
        <f>SUM(J271,J281)</f>
        <v>102049351.82938071</v>
      </c>
      <c r="K283" s="904"/>
      <c r="O283" s="1138">
        <f>SUM(O271,O281)</f>
        <v>137802796.81183705</v>
      </c>
      <c r="P283" s="1138">
        <f>SUM(P271,P281)</f>
        <v>35759725.361573324</v>
      </c>
      <c r="Q283" s="1138">
        <f>SUM(Q271,Q281)</f>
        <v>16434482.273588421</v>
      </c>
      <c r="R283" s="1138">
        <f>SUM(R271,R281)</f>
        <v>85608589.176675305</v>
      </c>
      <c r="S283" s="1074"/>
      <c r="W283" s="1138">
        <f>SUM(W271,W281)</f>
        <v>137802796.81183705</v>
      </c>
      <c r="X283" s="1138">
        <f>SUM(X271,X281)</f>
        <v>35759725.361573324</v>
      </c>
      <c r="Y283" s="1138">
        <f>SUM(Y271,Y281)</f>
        <v>16434482.273588421</v>
      </c>
      <c r="Z283" s="1138">
        <f>SUM(Z271,Z281)</f>
        <v>85608589.176675305</v>
      </c>
      <c r="AA283" s="1074"/>
      <c r="AE283" s="1138">
        <f>SUM(AE271,AE281)</f>
        <v>137802796.81183705</v>
      </c>
      <c r="AF283" s="1138">
        <f>SUM(AF271,AF281)</f>
        <v>35759725.361573324</v>
      </c>
      <c r="AG283" s="1138">
        <f>SUM(AG271,AG281)</f>
        <v>16434482.273588421</v>
      </c>
      <c r="AH283" s="1138">
        <f>SUM(AH271,AH281)</f>
        <v>85608589.176675305</v>
      </c>
      <c r="AI283" s="1074"/>
      <c r="AM283" s="1138">
        <f>SUM(AM271,AM281)</f>
        <v>137802796.81183705</v>
      </c>
      <c r="AN283" s="1138">
        <f>SUM(AN271,AN281)</f>
        <v>35759725.361573324</v>
      </c>
      <c r="AO283" s="1138">
        <f>SUM(AO271,AO281)</f>
        <v>16434482.273588421</v>
      </c>
      <c r="AP283" s="1138">
        <f>SUM(AP271,AP281)</f>
        <v>85608589.176675305</v>
      </c>
      <c r="AQ283" s="1074"/>
      <c r="AU283" s="1138">
        <f>SUM(AU271,AU281)</f>
        <v>137802796.81183705</v>
      </c>
      <c r="AV283" s="1138">
        <f>SUM(AV271,AV281)</f>
        <v>35759725.361573324</v>
      </c>
      <c r="AW283" s="1138">
        <f>SUM(AW271,AW281)</f>
        <v>16434482.273588421</v>
      </c>
      <c r="AX283" s="1138">
        <f>SUM(AX271,AX281)</f>
        <v>85608589.176675305</v>
      </c>
      <c r="AY283" s="1074"/>
      <c r="BC283" s="1138">
        <f>SUM(BC271,BC281)</f>
        <v>137802796.81183705</v>
      </c>
      <c r="BD283" s="1138">
        <f>SUM(BD271,BD281)</f>
        <v>35759725.361573324</v>
      </c>
      <c r="BE283" s="1138">
        <f>SUM(BE271,BE281)</f>
        <v>16434482.273588421</v>
      </c>
      <c r="BF283" s="1138">
        <f>SUM(BF271,BF281)</f>
        <v>85608589.176675305</v>
      </c>
      <c r="BG283" s="1074"/>
      <c r="BK283" s="1138">
        <f>SUM(BK271,BK281)</f>
        <v>137802796.81183705</v>
      </c>
      <c r="BL283" s="1138">
        <f>SUM(BL271,BL281)</f>
        <v>35759725.361573324</v>
      </c>
      <c r="BM283" s="1138">
        <f>SUM(BM271,BM281)</f>
        <v>16434482.273588421</v>
      </c>
      <c r="BN283" s="1138">
        <f>SUM(BN271,BN281)</f>
        <v>85608589.176675305</v>
      </c>
      <c r="BO283" s="1074"/>
      <c r="BS283" s="1138">
        <f>SUM(BS271,BS281)</f>
        <v>137802796.81183705</v>
      </c>
      <c r="BT283" s="1138">
        <f>SUM(BT271,BT281)</f>
        <v>35759725.361573324</v>
      </c>
      <c r="BU283" s="1138">
        <f>SUM(BU271,BU281)</f>
        <v>16434482.273588421</v>
      </c>
      <c r="BV283" s="1138">
        <f>SUM(BV271,BV281)</f>
        <v>85608589.176675305</v>
      </c>
      <c r="BW283" s="1074"/>
      <c r="CA283" s="1138">
        <f>SUM(CA271,CA281)</f>
        <v>137802796.81183705</v>
      </c>
      <c r="CB283" s="1138">
        <f>SUM(CB271,CB281)</f>
        <v>35759725.361573324</v>
      </c>
      <c r="CC283" s="1138">
        <f>SUM(CC271,CC281)</f>
        <v>16434482.273588421</v>
      </c>
      <c r="CD283" s="1138">
        <f>SUM(CD271,CD281)</f>
        <v>85608589.176675305</v>
      </c>
      <c r="CE283" s="1074"/>
      <c r="CI283" s="1138">
        <f>SUM(CI271,CI281)</f>
        <v>137802796.81183705</v>
      </c>
      <c r="CJ283" s="1138">
        <f>SUM(CJ271,CJ281)</f>
        <v>35759725.361573324</v>
      </c>
      <c r="CK283" s="1138">
        <f>SUM(CK271,CK281)</f>
        <v>16434482.273588421</v>
      </c>
      <c r="CL283" s="1138">
        <f>SUM(CL271,CL281)</f>
        <v>85608589.176675305</v>
      </c>
      <c r="CM283" s="1074"/>
      <c r="CQ283" s="1138">
        <f>SUM(CQ271,CQ281)</f>
        <v>137802796.81183705</v>
      </c>
      <c r="CR283" s="1138">
        <f>SUM(CR271,CR281)</f>
        <v>35759725.361573324</v>
      </c>
      <c r="CS283" s="1138">
        <f>SUM(CS271,CS281)</f>
        <v>16434482.273588421</v>
      </c>
      <c r="CT283" s="1138">
        <f>SUM(CT271,CT281)</f>
        <v>85608589.176675305</v>
      </c>
      <c r="CU283" s="1074"/>
      <c r="CY283" s="1138">
        <f>SUM(CY271,CY281)</f>
        <v>137802796.81183705</v>
      </c>
      <c r="CZ283" s="1138">
        <f>SUM(CZ271,CZ281)</f>
        <v>35759725.361573324</v>
      </c>
      <c r="DA283" s="1138">
        <f>SUM(DA271,DA281)</f>
        <v>16434482.273588421</v>
      </c>
      <c r="DB283" s="1138">
        <f>SUM(DB271,DB281)</f>
        <v>85608589.176675305</v>
      </c>
      <c r="DC283" s="1074"/>
      <c r="DG283" s="1138">
        <f>SUM(DG271,DG281)</f>
        <v>137802796.81183705</v>
      </c>
      <c r="DH283" s="1138">
        <f>SUM(DH271,DH281)</f>
        <v>35759725.361573324</v>
      </c>
      <c r="DI283" s="1138">
        <f>SUM(DI271,DI281)</f>
        <v>16434482.273588421</v>
      </c>
      <c r="DJ283" s="1138">
        <f>SUM(DJ271,DJ281)</f>
        <v>85608589.176675305</v>
      </c>
      <c r="DK283" s="1074"/>
      <c r="DO283" s="1138">
        <f>SUM(DO271,DO281)</f>
        <v>137802796.81183705</v>
      </c>
      <c r="DP283" s="1138">
        <f>SUM(DP271,DP281)</f>
        <v>35759725.361573324</v>
      </c>
      <c r="DQ283" s="1138">
        <f>SUM(DQ271,DQ281)</f>
        <v>16434482.273588421</v>
      </c>
      <c r="DR283" s="1138">
        <f>SUM(DR271,DR281)</f>
        <v>85608589.176675305</v>
      </c>
      <c r="DS283" s="1074"/>
      <c r="DW283" s="1138">
        <f>SUM(DW271,DW281)</f>
        <v>137802796.81183705</v>
      </c>
      <c r="DX283" s="1138">
        <f>SUM(DX271,DX281)</f>
        <v>35759725.361573324</v>
      </c>
      <c r="DY283" s="1138">
        <f>SUM(DY271,DY281)</f>
        <v>16434482.273588421</v>
      </c>
      <c r="DZ283" s="1138">
        <f>SUM(DZ271,DZ281)</f>
        <v>85608589.176675305</v>
      </c>
      <c r="EA283" s="1074"/>
      <c r="EE283" s="1138">
        <f>SUM(EE271,EE281)</f>
        <v>137802796.81183705</v>
      </c>
      <c r="EF283" s="1138">
        <f>SUM(EF271,EF281)</f>
        <v>35759725.361573324</v>
      </c>
      <c r="EG283" s="1138">
        <f>SUM(EG271,EG281)</f>
        <v>16434482.273588421</v>
      </c>
      <c r="EH283" s="1138">
        <f>SUM(EH271,EH281)</f>
        <v>85608589.176675305</v>
      </c>
      <c r="EI283" s="1074"/>
      <c r="EM283" s="1138">
        <f>SUM(EM271,EM281)</f>
        <v>137802796.81183705</v>
      </c>
      <c r="EN283" s="1138">
        <f>SUM(EN271,EN281)</f>
        <v>35759725.361573324</v>
      </c>
      <c r="EO283" s="1138">
        <f>SUM(EO271,EO281)</f>
        <v>16434482.273588421</v>
      </c>
      <c r="EP283" s="1138">
        <f>SUM(EP271,EP281)</f>
        <v>85608589.176675305</v>
      </c>
      <c r="EQ283" s="1074"/>
      <c r="EU283" s="1138">
        <f>SUM(EU271,EU281)</f>
        <v>137802796.81183705</v>
      </c>
      <c r="EV283" s="1138">
        <f>SUM(EV271,EV281)</f>
        <v>35759725.361573324</v>
      </c>
      <c r="EW283" s="1138">
        <f>SUM(EW271,EW281)</f>
        <v>16434482.273588421</v>
      </c>
      <c r="EX283" s="1138">
        <f>SUM(EX271,EX281)</f>
        <v>85608589.176675305</v>
      </c>
      <c r="EY283" s="1074"/>
      <c r="FC283" s="1138">
        <f>SUM(FC271,FC281)</f>
        <v>137802796.81183705</v>
      </c>
      <c r="FD283" s="1138">
        <f>SUM(FD271,FD281)</f>
        <v>35759725.361573324</v>
      </c>
      <c r="FE283" s="1138">
        <f>SUM(FE271,FE281)</f>
        <v>16434482.273588421</v>
      </c>
      <c r="FF283" s="1138">
        <f>SUM(FF271,FF281)</f>
        <v>85608589.176675305</v>
      </c>
      <c r="FG283" s="1074"/>
      <c r="FK283" s="1138">
        <f>SUM(FK271,FK281)</f>
        <v>137802796.81183705</v>
      </c>
      <c r="FL283" s="1138">
        <f>SUM(FL271,FL281)</f>
        <v>35759725.361573324</v>
      </c>
      <c r="FM283" s="1138">
        <f>SUM(FM271,FM281)</f>
        <v>16434482.273588421</v>
      </c>
      <c r="FN283" s="1138">
        <f>SUM(FN271,FN281)</f>
        <v>85608589.176675305</v>
      </c>
      <c r="FO283" s="1074"/>
    </row>
    <row r="284" spans="1:171" ht="16.5" thickBot="1" x14ac:dyDescent="0.3">
      <c r="A284" s="191"/>
      <c r="B284" s="203"/>
      <c r="C284" s="203"/>
      <c r="D284" s="203"/>
      <c r="E284" s="203"/>
      <c r="F284" s="203"/>
      <c r="G284" s="203"/>
      <c r="H284" s="203"/>
      <c r="I284" s="203"/>
      <c r="J284" s="1030"/>
      <c r="K284" s="904"/>
      <c r="S284" s="1074"/>
      <c r="AA284" s="1074"/>
      <c r="AI284" s="1074"/>
      <c r="AQ284" s="1074"/>
      <c r="AY284" s="1074"/>
      <c r="BG284" s="1074"/>
      <c r="BO284" s="1074"/>
      <c r="BW284" s="1074"/>
      <c r="CE284" s="1074"/>
      <c r="CM284" s="1074"/>
      <c r="CU284" s="1074"/>
      <c r="DC284" s="1074"/>
      <c r="DK284" s="1074"/>
      <c r="DS284" s="1074"/>
      <c r="EA284" s="1074"/>
      <c r="EI284" s="1074"/>
      <c r="EQ284" s="1074"/>
      <c r="EY284" s="1074"/>
      <c r="FG284" s="1074"/>
      <c r="FO284" s="1074"/>
    </row>
    <row r="285" spans="1:171" ht="16.5" thickTop="1" x14ac:dyDescent="0.25">
      <c r="A285" s="214"/>
      <c r="B285" s="1"/>
      <c r="C285" s="1"/>
      <c r="D285" s="1"/>
      <c r="E285" s="1"/>
      <c r="F285" s="1"/>
      <c r="G285" s="1"/>
      <c r="H285" s="1"/>
      <c r="I285" s="1"/>
      <c r="J285" s="171"/>
      <c r="K285" s="904"/>
      <c r="S285" s="1074"/>
      <c r="AA285" s="1074"/>
      <c r="AI285" s="1074"/>
      <c r="AQ285" s="1074"/>
      <c r="AY285" s="1074"/>
      <c r="BG285" s="1074"/>
      <c r="BO285" s="1074"/>
      <c r="BW285" s="1074"/>
      <c r="CE285" s="1074"/>
      <c r="CM285" s="1074"/>
      <c r="CU285" s="1074"/>
      <c r="DC285" s="1074"/>
      <c r="DK285" s="1074"/>
      <c r="DS285" s="1074"/>
      <c r="EA285" s="1074"/>
      <c r="EI285" s="1074"/>
      <c r="EQ285" s="1074"/>
      <c r="EY285" s="1074"/>
      <c r="FG285" s="1074"/>
      <c r="FO285" s="1074"/>
    </row>
    <row r="286" spans="1:171" ht="16.5" thickBot="1" x14ac:dyDescent="0.3">
      <c r="A286" s="332" t="s">
        <v>628</v>
      </c>
      <c r="B286" s="1020"/>
      <c r="C286" s="1020"/>
      <c r="D286" s="1020"/>
      <c r="E286" s="147"/>
      <c r="F286" s="4"/>
      <c r="G286" s="1021"/>
      <c r="H286" s="1021"/>
      <c r="I286" s="1022"/>
      <c r="J286" s="1193"/>
      <c r="K286" s="904"/>
      <c r="S286" s="1074"/>
      <c r="AA286" s="1074"/>
      <c r="AI286" s="1074"/>
      <c r="AQ286" s="1074"/>
      <c r="AY286" s="1074"/>
      <c r="BG286" s="1074"/>
      <c r="BO286" s="1074"/>
      <c r="BW286" s="1074"/>
      <c r="CE286" s="1074"/>
      <c r="CM286" s="1074"/>
      <c r="CU286" s="1074"/>
      <c r="DC286" s="1074"/>
      <c r="DK286" s="1074"/>
      <c r="DS286" s="1074"/>
      <c r="EA286" s="1074"/>
      <c r="EI286" s="1074"/>
      <c r="EQ286" s="1074"/>
      <c r="EY286" s="1074"/>
      <c r="FG286" s="1074"/>
      <c r="FO286" s="1074"/>
    </row>
    <row r="287" spans="1:171" ht="17.25" thickTop="1" thickBot="1" x14ac:dyDescent="0.3">
      <c r="A287" s="988"/>
      <c r="B287" s="3675" t="s">
        <v>100</v>
      </c>
      <c r="C287" s="325" t="s">
        <v>323</v>
      </c>
      <c r="D287" s="325"/>
      <c r="E287" s="3783" t="s">
        <v>354</v>
      </c>
      <c r="F287" s="3774"/>
      <c r="G287" s="3775" t="s">
        <v>104</v>
      </c>
      <c r="H287" s="3777" t="s">
        <v>105</v>
      </c>
      <c r="I287" s="3753" t="s">
        <v>106</v>
      </c>
      <c r="J287" s="326"/>
      <c r="K287" s="904"/>
      <c r="S287" s="1074"/>
      <c r="AA287" s="1074"/>
      <c r="AI287" s="1074"/>
      <c r="AQ287" s="1074"/>
      <c r="AY287" s="1074"/>
      <c r="BG287" s="1074"/>
      <c r="BO287" s="1074"/>
      <c r="BW287" s="1074"/>
      <c r="CE287" s="1074"/>
      <c r="CM287" s="1074"/>
      <c r="CU287" s="1074"/>
      <c r="DC287" s="1074"/>
      <c r="DK287" s="1074"/>
      <c r="DS287" s="1074"/>
      <c r="EA287" s="1074"/>
      <c r="EI287" s="1074"/>
      <c r="EQ287" s="1074"/>
      <c r="EY287" s="1074"/>
      <c r="FG287" s="1074"/>
      <c r="FO287" s="1074"/>
    </row>
    <row r="288" spans="1:171" ht="16.5" thickBot="1" x14ac:dyDescent="0.3">
      <c r="A288" s="865"/>
      <c r="B288" s="3756"/>
      <c r="C288" s="322" t="s">
        <v>272</v>
      </c>
      <c r="D288" s="322" t="s">
        <v>96</v>
      </c>
      <c r="E288" s="3760"/>
      <c r="F288" s="3761"/>
      <c r="G288" s="3763"/>
      <c r="H288" s="3766"/>
      <c r="I288" s="3754"/>
      <c r="J288" s="310" t="s">
        <v>98</v>
      </c>
      <c r="K288" s="904"/>
      <c r="S288" s="1074"/>
      <c r="AA288" s="1074"/>
      <c r="AI288" s="1074"/>
      <c r="AQ288" s="1074"/>
      <c r="AY288" s="1074"/>
      <c r="BG288" s="1074"/>
      <c r="BO288" s="1074"/>
      <c r="BW288" s="1074"/>
      <c r="CE288" s="1074"/>
      <c r="CM288" s="1074"/>
      <c r="CU288" s="1074"/>
      <c r="DC288" s="1074"/>
      <c r="DK288" s="1074"/>
      <c r="DS288" s="1074"/>
      <c r="EA288" s="1074"/>
      <c r="EI288" s="1074"/>
      <c r="EQ288" s="1074"/>
      <c r="EY288" s="1074"/>
      <c r="FG288" s="1074"/>
      <c r="FO288" s="1074"/>
    </row>
    <row r="289" spans="1:171" ht="16.5" thickBot="1" x14ac:dyDescent="0.3">
      <c r="A289" s="989"/>
      <c r="B289" s="3757"/>
      <c r="C289" s="311" t="s">
        <v>273</v>
      </c>
      <c r="D289" s="311" t="s">
        <v>252</v>
      </c>
      <c r="E289" s="311" t="s">
        <v>450</v>
      </c>
      <c r="F289" s="311" t="s">
        <v>619</v>
      </c>
      <c r="G289" s="3764"/>
      <c r="H289" s="3767"/>
      <c r="I289" s="3769"/>
      <c r="J289" s="314" t="s">
        <v>107</v>
      </c>
      <c r="K289" s="904"/>
      <c r="S289" s="1074"/>
      <c r="AA289" s="1074"/>
      <c r="AI289" s="1074"/>
      <c r="AQ289" s="1074"/>
      <c r="AY289" s="1074"/>
      <c r="BG289" s="1074"/>
      <c r="BO289" s="1074"/>
      <c r="BW289" s="1074"/>
      <c r="CE289" s="1074"/>
      <c r="CM289" s="1074"/>
      <c r="CU289" s="1074"/>
      <c r="DC289" s="1074"/>
      <c r="DK289" s="1074"/>
      <c r="DS289" s="1074"/>
      <c r="EA289" s="1074"/>
      <c r="EI289" s="1074"/>
      <c r="EQ289" s="1074"/>
      <c r="EY289" s="1074"/>
      <c r="FG289" s="1074"/>
      <c r="FO289" s="1074"/>
    </row>
    <row r="290" spans="1:171" ht="16.5" thickTop="1" x14ac:dyDescent="0.25">
      <c r="A290" s="199" t="s">
        <v>41</v>
      </c>
      <c r="B290" s="10"/>
      <c r="C290" s="51"/>
      <c r="D290" s="947"/>
      <c r="E290" s="55"/>
      <c r="F290" s="55"/>
      <c r="G290" s="221"/>
      <c r="H290" s="221"/>
      <c r="I290" s="221"/>
      <c r="J290" s="222"/>
      <c r="K290" s="904"/>
      <c r="S290" s="1074"/>
      <c r="AA290" s="1074"/>
      <c r="AI290" s="1074"/>
      <c r="AQ290" s="1074"/>
      <c r="AY290" s="1074"/>
      <c r="BG290" s="1074"/>
      <c r="BO290" s="1074"/>
      <c r="BW290" s="1074"/>
      <c r="CE290" s="1074"/>
      <c r="CM290" s="1074"/>
      <c r="CU290" s="1074"/>
      <c r="DC290" s="1074"/>
      <c r="DK290" s="1074"/>
      <c r="DS290" s="1074"/>
      <c r="EA290" s="1074"/>
      <c r="EI290" s="1074"/>
      <c r="EQ290" s="1074"/>
      <c r="EY290" s="1074"/>
      <c r="FG290" s="1074"/>
      <c r="FO290" s="1074"/>
    </row>
    <row r="291" spans="1:171" x14ac:dyDescent="0.25">
      <c r="A291" s="199"/>
      <c r="B291" s="1031" t="s">
        <v>566</v>
      </c>
      <c r="C291" s="889">
        <v>114</v>
      </c>
      <c r="D291" s="890">
        <v>407.3</v>
      </c>
      <c r="E291" s="182" t="str">
        <f>'Sch 3B - Other Items'!E15</f>
        <v>DIRECT</v>
      </c>
      <c r="F291" s="890"/>
      <c r="G291" s="182">
        <f>'Sch 3B - Other Items'!G15</f>
        <v>0</v>
      </c>
      <c r="H291" s="182">
        <f>'Sch 3B - Other Items'!H15</f>
        <v>0</v>
      </c>
      <c r="I291" s="182">
        <f>'Sch 3B - Other Items'!I15</f>
        <v>0</v>
      </c>
      <c r="J291" s="183">
        <f>'Sch 3B - Other Items'!J15</f>
        <v>0</v>
      </c>
      <c r="K291" s="904">
        <f t="shared" ref="K291:K297" si="811">IF($E291="DIRECT",0,1)</f>
        <v>0</v>
      </c>
      <c r="O291" s="1117">
        <f t="shared" ref="O291:O297" si="812">$G291</f>
        <v>0</v>
      </c>
      <c r="P291" s="1118">
        <f t="shared" ref="P291:P297" si="813">VLOOKUP($E291,O$442:R$453,2,FALSE)*O291*($K291)+IF($G291&lt;&gt;0,($H291/$G291)*O291,0)*(1-$K291)</f>
        <v>0</v>
      </c>
      <c r="Q291" s="1118">
        <f t="shared" ref="Q291:Q297" si="814">VLOOKUP($E291,O$442:R$453,3,FALSE)*O291*($K291)+IF($G291&lt;&gt;0,($I291/$G291)*O291,0)*(1-$K291)</f>
        <v>0</v>
      </c>
      <c r="R291" s="1118">
        <f t="shared" ref="R291:R297" si="815">VLOOKUP($E291,O$442:R$453,4,FALSE)*O291*($K291)+(O291-P291-Q291)*(1-$K291)</f>
        <v>0</v>
      </c>
      <c r="S291" s="1074"/>
      <c r="W291" s="1117">
        <f t="shared" ref="W291:W297" si="816">$G291</f>
        <v>0</v>
      </c>
      <c r="X291" s="1118">
        <f t="shared" ref="X291:X297" si="817">VLOOKUP($E291,W$442:Z$453,2,FALSE)*W291*($K291)+IF($G291&lt;&gt;0,($H291/$G291)*W291,0)*(1-$K291)</f>
        <v>0</v>
      </c>
      <c r="Y291" s="1118">
        <f t="shared" ref="Y291:Y297" si="818">VLOOKUP($E291,W$442:Z$453,3,FALSE)*W291*($K291)+IF($G291&lt;&gt;0,($I291/$G291)*W291,0)*(1-$K291)</f>
        <v>0</v>
      </c>
      <c r="Z291" s="1118">
        <f t="shared" ref="Z291:Z297" si="819">VLOOKUP($E291,W$442:Z$453,4,FALSE)*W291*($K291)+(W291-X291-Y291)*(1-$K291)</f>
        <v>0</v>
      </c>
      <c r="AA291" s="1074"/>
      <c r="AE291" s="1117">
        <f t="shared" ref="AE291:AE297" si="820">$G291</f>
        <v>0</v>
      </c>
      <c r="AF291" s="1118">
        <f t="shared" ref="AF291:AF297" si="821">VLOOKUP($E291,AE$442:AH$453,2,FALSE)*AE291*($K291)+IF($G291&lt;&gt;0,($H291/$G291)*AE291,0)*(1-$K291)</f>
        <v>0</v>
      </c>
      <c r="AG291" s="1118">
        <f t="shared" ref="AG291:AG297" si="822">VLOOKUP($E291,AE$442:AH$453,3,FALSE)*AE291*($K291)+IF($G291&lt;&gt;0,($I291/$G291)*AE291,0)*(1-$K291)</f>
        <v>0</v>
      </c>
      <c r="AH291" s="1118">
        <f t="shared" ref="AH291:AH297" si="823">VLOOKUP($E291,AE$442:AH$453,4,FALSE)*AE291*($K291)+(AE291-AF291-AG291)*(1-$K291)</f>
        <v>0</v>
      </c>
      <c r="AI291" s="1074"/>
      <c r="AM291" s="1117">
        <f t="shared" ref="AM291:AM297" si="824">$G291</f>
        <v>0</v>
      </c>
      <c r="AN291" s="1118">
        <f t="shared" ref="AN291:AN297" si="825">VLOOKUP($E291,AM$442:AP$453,2,FALSE)*AM291*($K291)+IF($G291&lt;&gt;0,($H291/$G291)*AM291,0)*(1-$K291)</f>
        <v>0</v>
      </c>
      <c r="AO291" s="1118">
        <f t="shared" ref="AO291:AO297" si="826">VLOOKUP($E291,AM$442:AP$453,3,FALSE)*AM291*($K291)+IF($G291&lt;&gt;0,($I291/$G291)*AM291,0)*(1-$K291)</f>
        <v>0</v>
      </c>
      <c r="AP291" s="1118">
        <f t="shared" ref="AP291:AP297" si="827">VLOOKUP($E291,AM$442:AP$453,4,FALSE)*AM291*($K291)+(AM291-AN291-AO291)*(1-$K291)</f>
        <v>0</v>
      </c>
      <c r="AQ291" s="1074"/>
      <c r="AU291" s="1117">
        <f t="shared" ref="AU291:AU297" si="828">$G291</f>
        <v>0</v>
      </c>
      <c r="AV291" s="1118">
        <f t="shared" ref="AV291:AV297" si="829">VLOOKUP($E291,AU$442:AX$453,2,FALSE)*AU291*($K291)+IF($G291&lt;&gt;0,($H291/$G291)*AU291,0)*(1-$K291)</f>
        <v>0</v>
      </c>
      <c r="AW291" s="1118">
        <f t="shared" ref="AW291:AW297" si="830">VLOOKUP($E291,AU$442:AX$453,3,FALSE)*AU291*($K291)+IF($G291&lt;&gt;0,($I291/$G291)*AU291,0)*(1-$K291)</f>
        <v>0</v>
      </c>
      <c r="AX291" s="1118">
        <f t="shared" ref="AX291:AX297" si="831">VLOOKUP($E291,AU$442:AX$453,4,FALSE)*AU291*($K291)+(AU291-AV291-AW291)*(1-$K291)</f>
        <v>0</v>
      </c>
      <c r="AY291" s="1074"/>
      <c r="BC291" s="1117">
        <f t="shared" ref="BC291:BC297" si="832">$G291</f>
        <v>0</v>
      </c>
      <c r="BD291" s="1118">
        <f t="shared" ref="BD291:BD297" si="833">VLOOKUP($E291,BC$442:BF$453,2,FALSE)*BC291*($K291)+IF($G291&lt;&gt;0,($H291/$G291)*BC291,0)*(1-$K291)</f>
        <v>0</v>
      </c>
      <c r="BE291" s="1118">
        <f t="shared" ref="BE291:BE297" si="834">VLOOKUP($E291,BC$442:BF$453,3,FALSE)*BC291*($K291)+IF($G291&lt;&gt;0,($I291/$G291)*BC291,0)*(1-$K291)</f>
        <v>0</v>
      </c>
      <c r="BF291" s="1118">
        <f t="shared" ref="BF291:BF297" si="835">VLOOKUP($E291,BC$442:BF$453,4,FALSE)*BC291*($K291)+(BC291-BD291-BE291)*(1-$K291)</f>
        <v>0</v>
      </c>
      <c r="BG291" s="1074"/>
      <c r="BK291" s="1117">
        <f t="shared" ref="BK291:BK297" si="836">$G291</f>
        <v>0</v>
      </c>
      <c r="BL291" s="1118">
        <f t="shared" ref="BL291:BL297" si="837">VLOOKUP($E291,BK$442:BN$453,2,FALSE)*BK291*($K291)+IF($G291&lt;&gt;0,($H291/$G291)*BK291,0)*(1-$K291)</f>
        <v>0</v>
      </c>
      <c r="BM291" s="1118">
        <f t="shared" ref="BM291:BM297" si="838">VLOOKUP($E291,BK$442:BN$453,3,FALSE)*BK291*($K291)+IF($G291&lt;&gt;0,($I291/$G291)*BK291,0)*(1-$K291)</f>
        <v>0</v>
      </c>
      <c r="BN291" s="1118">
        <f t="shared" ref="BN291:BN297" si="839">VLOOKUP($E291,BK$442:BN$453,4,FALSE)*BK291*($K291)+(BK291-BL291-BM291)*(1-$K291)</f>
        <v>0</v>
      </c>
      <c r="BO291" s="1074"/>
      <c r="BS291" s="1117">
        <f t="shared" ref="BS291:BS297" si="840">$G291</f>
        <v>0</v>
      </c>
      <c r="BT291" s="1118">
        <f t="shared" ref="BT291:BT297" si="841">VLOOKUP($E291,BS$442:BV$453,2,FALSE)*BS291*($K291)+IF($G291&lt;&gt;0,($H291/$G291)*BS291,0)*(1-$K291)</f>
        <v>0</v>
      </c>
      <c r="BU291" s="1118">
        <f t="shared" ref="BU291:BU297" si="842">VLOOKUP($E291,BS$442:BV$453,3,FALSE)*BS291*($K291)+IF($G291&lt;&gt;0,($I291/$G291)*BS291,0)*(1-$K291)</f>
        <v>0</v>
      </c>
      <c r="BV291" s="1118">
        <f t="shared" ref="BV291:BV297" si="843">VLOOKUP($E291,BS$442:BV$453,4,FALSE)*BS291*($K291)+(BS291-BT291-BU291)*(1-$K291)</f>
        <v>0</v>
      </c>
      <c r="BW291" s="1074"/>
      <c r="CA291" s="1117">
        <f t="shared" ref="CA291:CA297" si="844">$G291</f>
        <v>0</v>
      </c>
      <c r="CB291" s="1118">
        <f t="shared" ref="CB291:CB297" si="845">VLOOKUP($E291,CA$442:CD$453,2,FALSE)*CA291*($K291)+IF($G291&lt;&gt;0,($H291/$G291)*CA291,0)*(1-$K291)</f>
        <v>0</v>
      </c>
      <c r="CC291" s="1118">
        <f t="shared" ref="CC291:CC297" si="846">VLOOKUP($E291,CA$442:CD$453,3,FALSE)*CA291*($K291)+IF($G291&lt;&gt;0,($I291/$G291)*CA291,0)*(1-$K291)</f>
        <v>0</v>
      </c>
      <c r="CD291" s="1118">
        <f t="shared" ref="CD291:CD297" si="847">VLOOKUP($E291,CA$442:CD$453,4,FALSE)*CA291*($K291)+(CA291-CB291-CC291)*(1-$K291)</f>
        <v>0</v>
      </c>
      <c r="CE291" s="1074"/>
      <c r="CI291" s="1117">
        <f t="shared" ref="CI291:CI297" si="848">$G291</f>
        <v>0</v>
      </c>
      <c r="CJ291" s="1118">
        <f t="shared" ref="CJ291:CJ297" si="849">VLOOKUP($E291,CI$442:CL$453,2,FALSE)*CI291*($K291)+IF($G291&lt;&gt;0,($H291/$G291)*CI291,0)*(1-$K291)</f>
        <v>0</v>
      </c>
      <c r="CK291" s="1118">
        <f t="shared" ref="CK291:CK297" si="850">VLOOKUP($E291,CI$442:CL$453,3,FALSE)*CI291*($K291)+IF($G291&lt;&gt;0,($I291/$G291)*CI291,0)*(1-$K291)</f>
        <v>0</v>
      </c>
      <c r="CL291" s="1118">
        <f t="shared" ref="CL291:CL297" si="851">VLOOKUP($E291,CI$442:CL$453,4,FALSE)*CI291*($K291)+(CI291-CJ291-CK291)*(1-$K291)</f>
        <v>0</v>
      </c>
      <c r="CM291" s="1074"/>
      <c r="CQ291" s="1117">
        <f t="shared" ref="CQ291:CQ297" si="852">$G291</f>
        <v>0</v>
      </c>
      <c r="CR291" s="1118">
        <f t="shared" ref="CR291:CR297" si="853">VLOOKUP($E291,CQ$442:CT$453,2,FALSE)*CQ291*($K291)+IF($G291&lt;&gt;0,($H291/$G291)*CQ291,0)*(1-$K291)</f>
        <v>0</v>
      </c>
      <c r="CS291" s="1118">
        <f t="shared" ref="CS291:CS297" si="854">VLOOKUP($E291,CQ$442:CT$453,3,FALSE)*CQ291*($K291)+IF($G291&lt;&gt;0,($I291/$G291)*CQ291,0)*(1-$K291)</f>
        <v>0</v>
      </c>
      <c r="CT291" s="1118">
        <f t="shared" ref="CT291:CT297" si="855">VLOOKUP($E291,CQ$442:CT$453,4,FALSE)*CQ291*($K291)+(CQ291-CR291-CS291)*(1-$K291)</f>
        <v>0</v>
      </c>
      <c r="CU291" s="1074"/>
      <c r="CY291" s="1117">
        <f t="shared" ref="CY291:CY297" si="856">$G291</f>
        <v>0</v>
      </c>
      <c r="CZ291" s="1118">
        <f t="shared" ref="CZ291:CZ297" si="857">VLOOKUP($E291,CY$442:DB$453,2,FALSE)*CY291*($K291)+IF($G291&lt;&gt;0,($H291/$G291)*CY291,0)*(1-$K291)</f>
        <v>0</v>
      </c>
      <c r="DA291" s="1118">
        <f t="shared" ref="DA291:DA297" si="858">VLOOKUP($E291,CY$442:DB$453,3,FALSE)*CY291*($K291)+IF($G291&lt;&gt;0,($I291/$G291)*CY291,0)*(1-$K291)</f>
        <v>0</v>
      </c>
      <c r="DB291" s="1118">
        <f t="shared" ref="DB291:DB297" si="859">VLOOKUP($E291,CY$442:DB$453,4,FALSE)*CY291*($K291)+(CY291-CZ291-DA291)*(1-$K291)</f>
        <v>0</v>
      </c>
      <c r="DC291" s="1074"/>
      <c r="DG291" s="1117">
        <f t="shared" ref="DG291:DG297" si="860">$G291</f>
        <v>0</v>
      </c>
      <c r="DH291" s="1118">
        <f t="shared" ref="DH291:DH297" si="861">VLOOKUP($E291,DG$442:DJ$453,2,FALSE)*DG291*($K291)+IF($G291&lt;&gt;0,($H291/$G291)*DG291,0)*(1-$K291)</f>
        <v>0</v>
      </c>
      <c r="DI291" s="1118">
        <f t="shared" ref="DI291:DI297" si="862">VLOOKUP($E291,DG$442:DJ$453,3,FALSE)*DG291*($K291)+IF($G291&lt;&gt;0,($I291/$G291)*DG291,0)*(1-$K291)</f>
        <v>0</v>
      </c>
      <c r="DJ291" s="1118">
        <f t="shared" ref="DJ291:DJ297" si="863">VLOOKUP($E291,DG$442:DJ$453,4,FALSE)*DG291*($K291)+(DG291-DH291-DI291)*(1-$K291)</f>
        <v>0</v>
      </c>
      <c r="DK291" s="1074"/>
      <c r="DO291" s="1117">
        <f t="shared" ref="DO291:DO297" si="864">$G291</f>
        <v>0</v>
      </c>
      <c r="DP291" s="1118">
        <f t="shared" ref="DP291:DP297" si="865">VLOOKUP($E291,DO$442:DR$453,2,FALSE)*DO291*($K291)+IF($G291&lt;&gt;0,($H291/$G291)*DO291,0)*(1-$K291)</f>
        <v>0</v>
      </c>
      <c r="DQ291" s="1118">
        <f t="shared" ref="DQ291:DQ297" si="866">VLOOKUP($E291,DO$442:DR$453,3,FALSE)*DO291*($K291)+IF($G291&lt;&gt;0,($I291/$G291)*DO291,0)*(1-$K291)</f>
        <v>0</v>
      </c>
      <c r="DR291" s="1118">
        <f t="shared" ref="DR291:DR297" si="867">VLOOKUP($E291,DO$442:DR$453,4,FALSE)*DO291*($K291)+(DO291-DP291-DQ291)*(1-$K291)</f>
        <v>0</v>
      </c>
      <c r="DS291" s="1074"/>
      <c r="DW291" s="1117">
        <f t="shared" ref="DW291:DW297" si="868">$G291</f>
        <v>0</v>
      </c>
      <c r="DX291" s="1118">
        <f t="shared" ref="DX291:DX297" si="869">VLOOKUP($E291,DW$442:DZ$453,2,FALSE)*DW291*($K291)+IF($G291&lt;&gt;0,($H291/$G291)*DW291,0)*(1-$K291)</f>
        <v>0</v>
      </c>
      <c r="DY291" s="1118">
        <f t="shared" ref="DY291:DY297" si="870">VLOOKUP($E291,DW$442:DZ$453,3,FALSE)*DW291*($K291)+IF($G291&lt;&gt;0,($I291/$G291)*DW291,0)*(1-$K291)</f>
        <v>0</v>
      </c>
      <c r="DZ291" s="1118">
        <f t="shared" ref="DZ291:DZ297" si="871">VLOOKUP($E291,DW$442:DZ$453,4,FALSE)*DW291*($K291)+(DW291-DX291-DY291)*(1-$K291)</f>
        <v>0</v>
      </c>
      <c r="EA291" s="1074"/>
      <c r="EE291" s="1117">
        <f t="shared" ref="EE291:EE297" si="872">$G291</f>
        <v>0</v>
      </c>
      <c r="EF291" s="1118">
        <f t="shared" ref="EF291:EF297" si="873">VLOOKUP($E291,EE$442:EH$453,2,FALSE)*EE291*($K291)+IF($G291&lt;&gt;0,($H291/$G291)*EE291,0)*(1-$K291)</f>
        <v>0</v>
      </c>
      <c r="EG291" s="1118">
        <f t="shared" ref="EG291:EG297" si="874">VLOOKUP($E291,EE$442:EH$453,3,FALSE)*EE291*($K291)+IF($G291&lt;&gt;0,($I291/$G291)*EE291,0)*(1-$K291)</f>
        <v>0</v>
      </c>
      <c r="EH291" s="1118">
        <f t="shared" ref="EH291:EH297" si="875">VLOOKUP($E291,EE$442:EH$453,4,FALSE)*EE291*($K291)+(EE291-EF291-EG291)*(1-$K291)</f>
        <v>0</v>
      </c>
      <c r="EI291" s="1074"/>
      <c r="EM291" s="1117">
        <f t="shared" ref="EM291:EM297" si="876">$G291</f>
        <v>0</v>
      </c>
      <c r="EN291" s="1118">
        <f t="shared" ref="EN291:EN297" si="877">VLOOKUP($E291,EM$442:EP$453,2,FALSE)*EM291*($K291)+IF($G291&lt;&gt;0,($H291/$G291)*EM291,0)*(1-$K291)</f>
        <v>0</v>
      </c>
      <c r="EO291" s="1118">
        <f t="shared" ref="EO291:EO297" si="878">VLOOKUP($E291,EM$442:EP$453,3,FALSE)*EM291*($K291)+IF($G291&lt;&gt;0,($I291/$G291)*EM291,0)*(1-$K291)</f>
        <v>0</v>
      </c>
      <c r="EP291" s="1118">
        <f t="shared" ref="EP291:EP297" si="879">VLOOKUP($E291,EM$442:EP$453,4,FALSE)*EM291*($K291)+(EM291-EN291-EO291)*(1-$K291)</f>
        <v>0</v>
      </c>
      <c r="EQ291" s="1074"/>
      <c r="EU291" s="1117">
        <f t="shared" ref="EU291:EU297" si="880">$G291</f>
        <v>0</v>
      </c>
      <c r="EV291" s="1118">
        <f t="shared" ref="EV291:EV297" si="881">VLOOKUP($E291,EU$442:EX$453,2,FALSE)*EU291*($K291)+IF($G291&lt;&gt;0,($H291/$G291)*EU291,0)*(1-$K291)</f>
        <v>0</v>
      </c>
      <c r="EW291" s="1118">
        <f t="shared" ref="EW291:EW297" si="882">VLOOKUP($E291,EU$442:EX$453,3,FALSE)*EU291*($K291)+IF($G291&lt;&gt;0,($I291/$G291)*EU291,0)*(1-$K291)</f>
        <v>0</v>
      </c>
      <c r="EX291" s="1118">
        <f t="shared" ref="EX291:EX297" si="883">VLOOKUP($E291,EU$442:EX$453,4,FALSE)*EU291*($K291)+(EU291-EV291-EW291)*(1-$K291)</f>
        <v>0</v>
      </c>
      <c r="EY291" s="1074"/>
      <c r="FC291" s="1117">
        <f t="shared" ref="FC291:FC297" si="884">$G291</f>
        <v>0</v>
      </c>
      <c r="FD291" s="1118">
        <f t="shared" ref="FD291:FD297" si="885">VLOOKUP($E291,FC$442:FF$453,2,FALSE)*FC291*($K291)+IF($G291&lt;&gt;0,($H291/$G291)*FC291,0)*(1-$K291)</f>
        <v>0</v>
      </c>
      <c r="FE291" s="1118">
        <f t="shared" ref="FE291:FE297" si="886">VLOOKUP($E291,FC$442:FF$453,3,FALSE)*FC291*($K291)+IF($G291&lt;&gt;0,($I291/$G291)*FC291,0)*(1-$K291)</f>
        <v>0</v>
      </c>
      <c r="FF291" s="1118">
        <f t="shared" ref="FF291:FF297" si="887">VLOOKUP($E291,FC$442:FF$453,4,FALSE)*FC291*($K291)+(FC291-FD291-FE291)*(1-$K291)</f>
        <v>0</v>
      </c>
      <c r="FG291" s="1074"/>
      <c r="FK291" s="1117">
        <f t="shared" ref="FK291:FK297" si="888">$G291</f>
        <v>0</v>
      </c>
      <c r="FL291" s="1118">
        <f t="shared" ref="FL291:FL297" si="889">VLOOKUP($E291,FK$442:FN$453,2,FALSE)*FK291*($K291)+IF($G291&lt;&gt;0,($H291/$G291)*FK291,0)*(1-$K291)</f>
        <v>0</v>
      </c>
      <c r="FM291" s="1118">
        <f t="shared" ref="FM291:FM297" si="890">VLOOKUP($E291,FK$442:FN$453,3,FALSE)*FK291*($K291)+IF($G291&lt;&gt;0,($I291/$G291)*FK291,0)*(1-$K291)</f>
        <v>0</v>
      </c>
      <c r="FN291" s="1118">
        <f t="shared" ref="FN291:FN297" si="891">VLOOKUP($E291,FK$442:FN$453,4,FALSE)*FK291*($K291)+(FK291-FL291-FM291)*(1-$K291)</f>
        <v>0</v>
      </c>
      <c r="FO291" s="1074"/>
    </row>
    <row r="292" spans="1:171" x14ac:dyDescent="0.25">
      <c r="A292" s="199"/>
      <c r="B292" s="1032" t="s">
        <v>629</v>
      </c>
      <c r="C292" s="889">
        <v>114</v>
      </c>
      <c r="D292" s="890">
        <v>407.4</v>
      </c>
      <c r="E292" s="182" t="str">
        <f>'Sch 3B - Other Items'!E16</f>
        <v>DIRECT</v>
      </c>
      <c r="F292" s="890"/>
      <c r="G292" s="182">
        <f>'Sch 3B - Other Items'!G16</f>
        <v>5441242.9300000006</v>
      </c>
      <c r="H292" s="182">
        <f>'Sch 3B - Other Items'!H16</f>
        <v>739917.129723388</v>
      </c>
      <c r="I292" s="182">
        <f>'Sch 3B - Other Items'!I16</f>
        <v>0</v>
      </c>
      <c r="J292" s="183">
        <f>'Sch 3B - Other Items'!J16</f>
        <v>4701325.8002766119</v>
      </c>
      <c r="K292" s="904">
        <f t="shared" si="811"/>
        <v>0</v>
      </c>
      <c r="O292" s="1117">
        <f t="shared" si="812"/>
        <v>5441242.9300000006</v>
      </c>
      <c r="P292" s="1118">
        <f t="shared" si="813"/>
        <v>739917.129723388</v>
      </c>
      <c r="Q292" s="1118">
        <f t="shared" si="814"/>
        <v>0</v>
      </c>
      <c r="R292" s="1118">
        <f t="shared" si="815"/>
        <v>4701325.8002766129</v>
      </c>
      <c r="S292" s="1074"/>
      <c r="W292" s="1117">
        <f t="shared" si="816"/>
        <v>5441242.9300000006</v>
      </c>
      <c r="X292" s="1118">
        <f t="shared" si="817"/>
        <v>739917.129723388</v>
      </c>
      <c r="Y292" s="1118">
        <f t="shared" si="818"/>
        <v>0</v>
      </c>
      <c r="Z292" s="1118">
        <f t="shared" si="819"/>
        <v>4701325.8002766129</v>
      </c>
      <c r="AA292" s="1074"/>
      <c r="AE292" s="1117">
        <f t="shared" si="820"/>
        <v>5441242.9300000006</v>
      </c>
      <c r="AF292" s="1118">
        <f t="shared" si="821"/>
        <v>739917.129723388</v>
      </c>
      <c r="AG292" s="1118">
        <f t="shared" si="822"/>
        <v>0</v>
      </c>
      <c r="AH292" s="1118">
        <f t="shared" si="823"/>
        <v>4701325.8002766129</v>
      </c>
      <c r="AI292" s="1074"/>
      <c r="AM292" s="1117">
        <f t="shared" si="824"/>
        <v>5441242.9300000006</v>
      </c>
      <c r="AN292" s="1118">
        <f t="shared" si="825"/>
        <v>739917.129723388</v>
      </c>
      <c r="AO292" s="1118">
        <f t="shared" si="826"/>
        <v>0</v>
      </c>
      <c r="AP292" s="1118">
        <f t="shared" si="827"/>
        <v>4701325.8002766129</v>
      </c>
      <c r="AQ292" s="1074"/>
      <c r="AU292" s="1117">
        <f t="shared" si="828"/>
        <v>5441242.9300000006</v>
      </c>
      <c r="AV292" s="1118">
        <f t="shared" si="829"/>
        <v>739917.129723388</v>
      </c>
      <c r="AW292" s="1118">
        <f t="shared" si="830"/>
        <v>0</v>
      </c>
      <c r="AX292" s="1118">
        <f t="shared" si="831"/>
        <v>4701325.8002766129</v>
      </c>
      <c r="AY292" s="1074"/>
      <c r="BC292" s="1117">
        <f t="shared" si="832"/>
        <v>5441242.9300000006</v>
      </c>
      <c r="BD292" s="1118">
        <f t="shared" si="833"/>
        <v>739917.129723388</v>
      </c>
      <c r="BE292" s="1118">
        <f t="shared" si="834"/>
        <v>0</v>
      </c>
      <c r="BF292" s="1118">
        <f t="shared" si="835"/>
        <v>4701325.8002766129</v>
      </c>
      <c r="BG292" s="1074"/>
      <c r="BK292" s="1117">
        <f t="shared" si="836"/>
        <v>5441242.9300000006</v>
      </c>
      <c r="BL292" s="1118">
        <f t="shared" si="837"/>
        <v>739917.129723388</v>
      </c>
      <c r="BM292" s="1118">
        <f t="shared" si="838"/>
        <v>0</v>
      </c>
      <c r="BN292" s="1118">
        <f t="shared" si="839"/>
        <v>4701325.8002766129</v>
      </c>
      <c r="BO292" s="1074"/>
      <c r="BS292" s="1117">
        <f t="shared" si="840"/>
        <v>5441242.9300000006</v>
      </c>
      <c r="BT292" s="1118">
        <f t="shared" si="841"/>
        <v>739917.129723388</v>
      </c>
      <c r="BU292" s="1118">
        <f t="shared" si="842"/>
        <v>0</v>
      </c>
      <c r="BV292" s="1118">
        <f t="shared" si="843"/>
        <v>4701325.8002766129</v>
      </c>
      <c r="BW292" s="1074"/>
      <c r="CA292" s="1117">
        <f t="shared" si="844"/>
        <v>5441242.9300000006</v>
      </c>
      <c r="CB292" s="1118">
        <f t="shared" si="845"/>
        <v>739917.129723388</v>
      </c>
      <c r="CC292" s="1118">
        <f t="shared" si="846"/>
        <v>0</v>
      </c>
      <c r="CD292" s="1118">
        <f t="shared" si="847"/>
        <v>4701325.8002766129</v>
      </c>
      <c r="CE292" s="1074"/>
      <c r="CI292" s="1117">
        <f t="shared" si="848"/>
        <v>5441242.9300000006</v>
      </c>
      <c r="CJ292" s="1118">
        <f t="shared" si="849"/>
        <v>739917.129723388</v>
      </c>
      <c r="CK292" s="1118">
        <f t="shared" si="850"/>
        <v>0</v>
      </c>
      <c r="CL292" s="1118">
        <f t="shared" si="851"/>
        <v>4701325.8002766129</v>
      </c>
      <c r="CM292" s="1074"/>
      <c r="CQ292" s="1117">
        <f t="shared" si="852"/>
        <v>5441242.9300000006</v>
      </c>
      <c r="CR292" s="1118">
        <f t="shared" si="853"/>
        <v>739917.129723388</v>
      </c>
      <c r="CS292" s="1118">
        <f t="shared" si="854"/>
        <v>0</v>
      </c>
      <c r="CT292" s="1118">
        <f t="shared" si="855"/>
        <v>4701325.8002766129</v>
      </c>
      <c r="CU292" s="1074"/>
      <c r="CY292" s="1117">
        <f t="shared" si="856"/>
        <v>5441242.9300000006</v>
      </c>
      <c r="CZ292" s="1118">
        <f t="shared" si="857"/>
        <v>739917.129723388</v>
      </c>
      <c r="DA292" s="1118">
        <f t="shared" si="858"/>
        <v>0</v>
      </c>
      <c r="DB292" s="1118">
        <f t="shared" si="859"/>
        <v>4701325.8002766129</v>
      </c>
      <c r="DC292" s="1074"/>
      <c r="DG292" s="1117">
        <f t="shared" si="860"/>
        <v>5441242.9300000006</v>
      </c>
      <c r="DH292" s="1118">
        <f t="shared" si="861"/>
        <v>739917.129723388</v>
      </c>
      <c r="DI292" s="1118">
        <f t="shared" si="862"/>
        <v>0</v>
      </c>
      <c r="DJ292" s="1118">
        <f t="shared" si="863"/>
        <v>4701325.8002766129</v>
      </c>
      <c r="DK292" s="1074"/>
      <c r="DO292" s="1117">
        <f t="shared" si="864"/>
        <v>5441242.9300000006</v>
      </c>
      <c r="DP292" s="1118">
        <f t="shared" si="865"/>
        <v>739917.129723388</v>
      </c>
      <c r="DQ292" s="1118">
        <f t="shared" si="866"/>
        <v>0</v>
      </c>
      <c r="DR292" s="1118">
        <f t="shared" si="867"/>
        <v>4701325.8002766129</v>
      </c>
      <c r="DS292" s="1074"/>
      <c r="DW292" s="1117">
        <f t="shared" si="868"/>
        <v>5441242.9300000006</v>
      </c>
      <c r="DX292" s="1118">
        <f t="shared" si="869"/>
        <v>739917.129723388</v>
      </c>
      <c r="DY292" s="1118">
        <f t="shared" si="870"/>
        <v>0</v>
      </c>
      <c r="DZ292" s="1118">
        <f t="shared" si="871"/>
        <v>4701325.8002766129</v>
      </c>
      <c r="EA292" s="1074"/>
      <c r="EE292" s="1117">
        <f t="shared" si="872"/>
        <v>5441242.9300000006</v>
      </c>
      <c r="EF292" s="1118">
        <f t="shared" si="873"/>
        <v>739917.129723388</v>
      </c>
      <c r="EG292" s="1118">
        <f t="shared" si="874"/>
        <v>0</v>
      </c>
      <c r="EH292" s="1118">
        <f t="shared" si="875"/>
        <v>4701325.8002766129</v>
      </c>
      <c r="EI292" s="1074"/>
      <c r="EM292" s="1117">
        <f t="shared" si="876"/>
        <v>5441242.9300000006</v>
      </c>
      <c r="EN292" s="1118">
        <f t="shared" si="877"/>
        <v>739917.129723388</v>
      </c>
      <c r="EO292" s="1118">
        <f t="shared" si="878"/>
        <v>0</v>
      </c>
      <c r="EP292" s="1118">
        <f t="shared" si="879"/>
        <v>4701325.8002766129</v>
      </c>
      <c r="EQ292" s="1074"/>
      <c r="EU292" s="1117">
        <f t="shared" si="880"/>
        <v>5441242.9300000006</v>
      </c>
      <c r="EV292" s="1118">
        <f t="shared" si="881"/>
        <v>739917.129723388</v>
      </c>
      <c r="EW292" s="1118">
        <f t="shared" si="882"/>
        <v>0</v>
      </c>
      <c r="EX292" s="1118">
        <f t="shared" si="883"/>
        <v>4701325.8002766129</v>
      </c>
      <c r="EY292" s="1074"/>
      <c r="FC292" s="1117">
        <f t="shared" si="884"/>
        <v>5441242.9300000006</v>
      </c>
      <c r="FD292" s="1118">
        <f t="shared" si="885"/>
        <v>739917.129723388</v>
      </c>
      <c r="FE292" s="1118">
        <f t="shared" si="886"/>
        <v>0</v>
      </c>
      <c r="FF292" s="1118">
        <f t="shared" si="887"/>
        <v>4701325.8002766129</v>
      </c>
      <c r="FG292" s="1074"/>
      <c r="FK292" s="1117">
        <f t="shared" si="888"/>
        <v>5441242.9300000006</v>
      </c>
      <c r="FL292" s="1118">
        <f t="shared" si="889"/>
        <v>739917.129723388</v>
      </c>
      <c r="FM292" s="1118">
        <f t="shared" si="890"/>
        <v>0</v>
      </c>
      <c r="FN292" s="1118">
        <f t="shared" si="891"/>
        <v>4701325.8002766129</v>
      </c>
      <c r="FO292" s="1074"/>
    </row>
    <row r="293" spans="1:171" x14ac:dyDescent="0.25">
      <c r="A293" s="913"/>
      <c r="B293" s="1033" t="s">
        <v>390</v>
      </c>
      <c r="C293" s="889">
        <v>114</v>
      </c>
      <c r="D293" s="890">
        <v>411.6</v>
      </c>
      <c r="E293" s="182" t="str">
        <f>'Sch 3B - Other Items'!E17</f>
        <v>DIRECT</v>
      </c>
      <c r="F293" s="890"/>
      <c r="G293" s="182">
        <f>'Sch 3B - Other Items'!G17</f>
        <v>0</v>
      </c>
      <c r="H293" s="182">
        <f>'Sch 3B - Other Items'!H17</f>
        <v>0</v>
      </c>
      <c r="I293" s="182">
        <f>'Sch 3B - Other Items'!I17</f>
        <v>0</v>
      </c>
      <c r="J293" s="183">
        <f>'Sch 3B - Other Items'!J17</f>
        <v>0</v>
      </c>
      <c r="K293" s="904">
        <f t="shared" si="811"/>
        <v>0</v>
      </c>
      <c r="O293" s="1117">
        <f t="shared" si="812"/>
        <v>0</v>
      </c>
      <c r="P293" s="1118">
        <f t="shared" si="813"/>
        <v>0</v>
      </c>
      <c r="Q293" s="1118">
        <f t="shared" si="814"/>
        <v>0</v>
      </c>
      <c r="R293" s="1118">
        <f t="shared" si="815"/>
        <v>0</v>
      </c>
      <c r="S293" s="1074"/>
      <c r="W293" s="1117">
        <f t="shared" si="816"/>
        <v>0</v>
      </c>
      <c r="X293" s="1118">
        <f t="shared" si="817"/>
        <v>0</v>
      </c>
      <c r="Y293" s="1118">
        <f t="shared" si="818"/>
        <v>0</v>
      </c>
      <c r="Z293" s="1118">
        <f t="shared" si="819"/>
        <v>0</v>
      </c>
      <c r="AA293" s="1074"/>
      <c r="AE293" s="1117">
        <f t="shared" si="820"/>
        <v>0</v>
      </c>
      <c r="AF293" s="1118">
        <f t="shared" si="821"/>
        <v>0</v>
      </c>
      <c r="AG293" s="1118">
        <f t="shared" si="822"/>
        <v>0</v>
      </c>
      <c r="AH293" s="1118">
        <f t="shared" si="823"/>
        <v>0</v>
      </c>
      <c r="AI293" s="1074"/>
      <c r="AM293" s="1117">
        <f t="shared" si="824"/>
        <v>0</v>
      </c>
      <c r="AN293" s="1118">
        <f t="shared" si="825"/>
        <v>0</v>
      </c>
      <c r="AO293" s="1118">
        <f t="shared" si="826"/>
        <v>0</v>
      </c>
      <c r="AP293" s="1118">
        <f t="shared" si="827"/>
        <v>0</v>
      </c>
      <c r="AQ293" s="1074"/>
      <c r="AU293" s="1117">
        <f t="shared" si="828"/>
        <v>0</v>
      </c>
      <c r="AV293" s="1118">
        <f t="shared" si="829"/>
        <v>0</v>
      </c>
      <c r="AW293" s="1118">
        <f t="shared" si="830"/>
        <v>0</v>
      </c>
      <c r="AX293" s="1118">
        <f t="shared" si="831"/>
        <v>0</v>
      </c>
      <c r="AY293" s="1074"/>
      <c r="BC293" s="1117">
        <f t="shared" si="832"/>
        <v>0</v>
      </c>
      <c r="BD293" s="1118">
        <f t="shared" si="833"/>
        <v>0</v>
      </c>
      <c r="BE293" s="1118">
        <f t="shared" si="834"/>
        <v>0</v>
      </c>
      <c r="BF293" s="1118">
        <f t="shared" si="835"/>
        <v>0</v>
      </c>
      <c r="BG293" s="1074"/>
      <c r="BK293" s="1117">
        <f t="shared" si="836"/>
        <v>0</v>
      </c>
      <c r="BL293" s="1118">
        <f t="shared" si="837"/>
        <v>0</v>
      </c>
      <c r="BM293" s="1118">
        <f t="shared" si="838"/>
        <v>0</v>
      </c>
      <c r="BN293" s="1118">
        <f t="shared" si="839"/>
        <v>0</v>
      </c>
      <c r="BO293" s="1074"/>
      <c r="BS293" s="1117">
        <f t="shared" si="840"/>
        <v>0</v>
      </c>
      <c r="BT293" s="1118">
        <f t="shared" si="841"/>
        <v>0</v>
      </c>
      <c r="BU293" s="1118">
        <f t="shared" si="842"/>
        <v>0</v>
      </c>
      <c r="BV293" s="1118">
        <f t="shared" si="843"/>
        <v>0</v>
      </c>
      <c r="BW293" s="1074"/>
      <c r="CA293" s="1117">
        <f t="shared" si="844"/>
        <v>0</v>
      </c>
      <c r="CB293" s="1118">
        <f t="shared" si="845"/>
        <v>0</v>
      </c>
      <c r="CC293" s="1118">
        <f t="shared" si="846"/>
        <v>0</v>
      </c>
      <c r="CD293" s="1118">
        <f t="shared" si="847"/>
        <v>0</v>
      </c>
      <c r="CE293" s="1074"/>
      <c r="CI293" s="1117">
        <f t="shared" si="848"/>
        <v>0</v>
      </c>
      <c r="CJ293" s="1118">
        <f t="shared" si="849"/>
        <v>0</v>
      </c>
      <c r="CK293" s="1118">
        <f t="shared" si="850"/>
        <v>0</v>
      </c>
      <c r="CL293" s="1118">
        <f t="shared" si="851"/>
        <v>0</v>
      </c>
      <c r="CM293" s="1074"/>
      <c r="CQ293" s="1117">
        <f t="shared" si="852"/>
        <v>0</v>
      </c>
      <c r="CR293" s="1118">
        <f t="shared" si="853"/>
        <v>0</v>
      </c>
      <c r="CS293" s="1118">
        <f t="shared" si="854"/>
        <v>0</v>
      </c>
      <c r="CT293" s="1118">
        <f t="shared" si="855"/>
        <v>0</v>
      </c>
      <c r="CU293" s="1074"/>
      <c r="CY293" s="1117">
        <f t="shared" si="856"/>
        <v>0</v>
      </c>
      <c r="CZ293" s="1118">
        <f t="shared" si="857"/>
        <v>0</v>
      </c>
      <c r="DA293" s="1118">
        <f t="shared" si="858"/>
        <v>0</v>
      </c>
      <c r="DB293" s="1118">
        <f t="shared" si="859"/>
        <v>0</v>
      </c>
      <c r="DC293" s="1074"/>
      <c r="DG293" s="1117">
        <f t="shared" si="860"/>
        <v>0</v>
      </c>
      <c r="DH293" s="1118">
        <f t="shared" si="861"/>
        <v>0</v>
      </c>
      <c r="DI293" s="1118">
        <f t="shared" si="862"/>
        <v>0</v>
      </c>
      <c r="DJ293" s="1118">
        <f t="shared" si="863"/>
        <v>0</v>
      </c>
      <c r="DK293" s="1074"/>
      <c r="DO293" s="1117">
        <f t="shared" si="864"/>
        <v>0</v>
      </c>
      <c r="DP293" s="1118">
        <f t="shared" si="865"/>
        <v>0</v>
      </c>
      <c r="DQ293" s="1118">
        <f t="shared" si="866"/>
        <v>0</v>
      </c>
      <c r="DR293" s="1118">
        <f t="shared" si="867"/>
        <v>0</v>
      </c>
      <c r="DS293" s="1074"/>
      <c r="DW293" s="1117">
        <f t="shared" si="868"/>
        <v>0</v>
      </c>
      <c r="DX293" s="1118">
        <f t="shared" si="869"/>
        <v>0</v>
      </c>
      <c r="DY293" s="1118">
        <f t="shared" si="870"/>
        <v>0</v>
      </c>
      <c r="DZ293" s="1118">
        <f t="shared" si="871"/>
        <v>0</v>
      </c>
      <c r="EA293" s="1074"/>
      <c r="EE293" s="1117">
        <f t="shared" si="872"/>
        <v>0</v>
      </c>
      <c r="EF293" s="1118">
        <f t="shared" si="873"/>
        <v>0</v>
      </c>
      <c r="EG293" s="1118">
        <f t="shared" si="874"/>
        <v>0</v>
      </c>
      <c r="EH293" s="1118">
        <f t="shared" si="875"/>
        <v>0</v>
      </c>
      <c r="EI293" s="1074"/>
      <c r="EM293" s="1117">
        <f t="shared" si="876"/>
        <v>0</v>
      </c>
      <c r="EN293" s="1118">
        <f t="shared" si="877"/>
        <v>0</v>
      </c>
      <c r="EO293" s="1118">
        <f t="shared" si="878"/>
        <v>0</v>
      </c>
      <c r="EP293" s="1118">
        <f t="shared" si="879"/>
        <v>0</v>
      </c>
      <c r="EQ293" s="1074"/>
      <c r="EU293" s="1117">
        <f t="shared" si="880"/>
        <v>0</v>
      </c>
      <c r="EV293" s="1118">
        <f t="shared" si="881"/>
        <v>0</v>
      </c>
      <c r="EW293" s="1118">
        <f t="shared" si="882"/>
        <v>0</v>
      </c>
      <c r="EX293" s="1118">
        <f t="shared" si="883"/>
        <v>0</v>
      </c>
      <c r="EY293" s="1074"/>
      <c r="FC293" s="1117">
        <f t="shared" si="884"/>
        <v>0</v>
      </c>
      <c r="FD293" s="1118">
        <f t="shared" si="885"/>
        <v>0</v>
      </c>
      <c r="FE293" s="1118">
        <f t="shared" si="886"/>
        <v>0</v>
      </c>
      <c r="FF293" s="1118">
        <f t="shared" si="887"/>
        <v>0</v>
      </c>
      <c r="FG293" s="1074"/>
      <c r="FK293" s="1117">
        <f t="shared" si="888"/>
        <v>0</v>
      </c>
      <c r="FL293" s="1118">
        <f t="shared" si="889"/>
        <v>0</v>
      </c>
      <c r="FM293" s="1118">
        <f t="shared" si="890"/>
        <v>0</v>
      </c>
      <c r="FN293" s="1118">
        <f t="shared" si="891"/>
        <v>0</v>
      </c>
      <c r="FO293" s="1074"/>
    </row>
    <row r="294" spans="1:171" x14ac:dyDescent="0.25">
      <c r="A294" s="913"/>
      <c r="B294" s="1034" t="s">
        <v>630</v>
      </c>
      <c r="C294" s="889">
        <v>114</v>
      </c>
      <c r="D294" s="890" t="s">
        <v>42</v>
      </c>
      <c r="E294" s="182" t="str">
        <f>'Sch 3B - Other Items'!E18</f>
        <v>DIRECT</v>
      </c>
      <c r="F294" s="890"/>
      <c r="G294" s="182">
        <f>'Sch 3B - Other Items'!G18</f>
        <v>0</v>
      </c>
      <c r="H294" s="182">
        <f>'Sch 3B - Other Items'!H18</f>
        <v>0</v>
      </c>
      <c r="I294" s="182">
        <f>'Sch 3B - Other Items'!I18</f>
        <v>0</v>
      </c>
      <c r="J294" s="183">
        <f>'Sch 3B - Other Items'!J18</f>
        <v>0</v>
      </c>
      <c r="K294" s="904">
        <f t="shared" si="811"/>
        <v>0</v>
      </c>
      <c r="O294" s="1117">
        <f t="shared" si="812"/>
        <v>0</v>
      </c>
      <c r="P294" s="1118">
        <f t="shared" si="813"/>
        <v>0</v>
      </c>
      <c r="Q294" s="1118">
        <f t="shared" si="814"/>
        <v>0</v>
      </c>
      <c r="R294" s="1118">
        <f t="shared" si="815"/>
        <v>0</v>
      </c>
      <c r="S294" s="1074"/>
      <c r="W294" s="1117">
        <f t="shared" si="816"/>
        <v>0</v>
      </c>
      <c r="X294" s="1118">
        <f t="shared" si="817"/>
        <v>0</v>
      </c>
      <c r="Y294" s="1118">
        <f t="shared" si="818"/>
        <v>0</v>
      </c>
      <c r="Z294" s="1118">
        <f t="shared" si="819"/>
        <v>0</v>
      </c>
      <c r="AA294" s="1074"/>
      <c r="AE294" s="1117">
        <f t="shared" si="820"/>
        <v>0</v>
      </c>
      <c r="AF294" s="1118">
        <f t="shared" si="821"/>
        <v>0</v>
      </c>
      <c r="AG294" s="1118">
        <f t="shared" si="822"/>
        <v>0</v>
      </c>
      <c r="AH294" s="1118">
        <f t="shared" si="823"/>
        <v>0</v>
      </c>
      <c r="AI294" s="1074"/>
      <c r="AM294" s="1117">
        <f t="shared" si="824"/>
        <v>0</v>
      </c>
      <c r="AN294" s="1118">
        <f t="shared" si="825"/>
        <v>0</v>
      </c>
      <c r="AO294" s="1118">
        <f t="shared" si="826"/>
        <v>0</v>
      </c>
      <c r="AP294" s="1118">
        <f t="shared" si="827"/>
        <v>0</v>
      </c>
      <c r="AQ294" s="1074"/>
      <c r="AU294" s="1117">
        <f t="shared" si="828"/>
        <v>0</v>
      </c>
      <c r="AV294" s="1118">
        <f t="shared" si="829"/>
        <v>0</v>
      </c>
      <c r="AW294" s="1118">
        <f t="shared" si="830"/>
        <v>0</v>
      </c>
      <c r="AX294" s="1118">
        <f t="shared" si="831"/>
        <v>0</v>
      </c>
      <c r="AY294" s="1074"/>
      <c r="BC294" s="1117">
        <f t="shared" si="832"/>
        <v>0</v>
      </c>
      <c r="BD294" s="1118">
        <f t="shared" si="833"/>
        <v>0</v>
      </c>
      <c r="BE294" s="1118">
        <f t="shared" si="834"/>
        <v>0</v>
      </c>
      <c r="BF294" s="1118">
        <f t="shared" si="835"/>
        <v>0</v>
      </c>
      <c r="BG294" s="1074"/>
      <c r="BK294" s="1117">
        <f t="shared" si="836"/>
        <v>0</v>
      </c>
      <c r="BL294" s="1118">
        <f t="shared" si="837"/>
        <v>0</v>
      </c>
      <c r="BM294" s="1118">
        <f t="shared" si="838"/>
        <v>0</v>
      </c>
      <c r="BN294" s="1118">
        <f t="shared" si="839"/>
        <v>0</v>
      </c>
      <c r="BO294" s="1074"/>
      <c r="BS294" s="1117">
        <f t="shared" si="840"/>
        <v>0</v>
      </c>
      <c r="BT294" s="1118">
        <f t="shared" si="841"/>
        <v>0</v>
      </c>
      <c r="BU294" s="1118">
        <f t="shared" si="842"/>
        <v>0</v>
      </c>
      <c r="BV294" s="1118">
        <f t="shared" si="843"/>
        <v>0</v>
      </c>
      <c r="BW294" s="1074"/>
      <c r="CA294" s="1117">
        <f t="shared" si="844"/>
        <v>0</v>
      </c>
      <c r="CB294" s="1118">
        <f t="shared" si="845"/>
        <v>0</v>
      </c>
      <c r="CC294" s="1118">
        <f t="shared" si="846"/>
        <v>0</v>
      </c>
      <c r="CD294" s="1118">
        <f t="shared" si="847"/>
        <v>0</v>
      </c>
      <c r="CE294" s="1074"/>
      <c r="CI294" s="1117">
        <f t="shared" si="848"/>
        <v>0</v>
      </c>
      <c r="CJ294" s="1118">
        <f t="shared" si="849"/>
        <v>0</v>
      </c>
      <c r="CK294" s="1118">
        <f t="shared" si="850"/>
        <v>0</v>
      </c>
      <c r="CL294" s="1118">
        <f t="shared" si="851"/>
        <v>0</v>
      </c>
      <c r="CM294" s="1074"/>
      <c r="CQ294" s="1117">
        <f t="shared" si="852"/>
        <v>0</v>
      </c>
      <c r="CR294" s="1118">
        <f t="shared" si="853"/>
        <v>0</v>
      </c>
      <c r="CS294" s="1118">
        <f t="shared" si="854"/>
        <v>0</v>
      </c>
      <c r="CT294" s="1118">
        <f t="shared" si="855"/>
        <v>0</v>
      </c>
      <c r="CU294" s="1074"/>
      <c r="CY294" s="1117">
        <f t="shared" si="856"/>
        <v>0</v>
      </c>
      <c r="CZ294" s="1118">
        <f t="shared" si="857"/>
        <v>0</v>
      </c>
      <c r="DA294" s="1118">
        <f t="shared" si="858"/>
        <v>0</v>
      </c>
      <c r="DB294" s="1118">
        <f t="shared" si="859"/>
        <v>0</v>
      </c>
      <c r="DC294" s="1074"/>
      <c r="DG294" s="1117">
        <f t="shared" si="860"/>
        <v>0</v>
      </c>
      <c r="DH294" s="1118">
        <f t="shared" si="861"/>
        <v>0</v>
      </c>
      <c r="DI294" s="1118">
        <f t="shared" si="862"/>
        <v>0</v>
      </c>
      <c r="DJ294" s="1118">
        <f t="shared" si="863"/>
        <v>0</v>
      </c>
      <c r="DK294" s="1074"/>
      <c r="DO294" s="1117">
        <f t="shared" si="864"/>
        <v>0</v>
      </c>
      <c r="DP294" s="1118">
        <f t="shared" si="865"/>
        <v>0</v>
      </c>
      <c r="DQ294" s="1118">
        <f t="shared" si="866"/>
        <v>0</v>
      </c>
      <c r="DR294" s="1118">
        <f t="shared" si="867"/>
        <v>0</v>
      </c>
      <c r="DS294" s="1074"/>
      <c r="DW294" s="1117">
        <f t="shared" si="868"/>
        <v>0</v>
      </c>
      <c r="DX294" s="1118">
        <f t="shared" si="869"/>
        <v>0</v>
      </c>
      <c r="DY294" s="1118">
        <f t="shared" si="870"/>
        <v>0</v>
      </c>
      <c r="DZ294" s="1118">
        <f t="shared" si="871"/>
        <v>0</v>
      </c>
      <c r="EA294" s="1074"/>
      <c r="EE294" s="1117">
        <f t="shared" si="872"/>
        <v>0</v>
      </c>
      <c r="EF294" s="1118">
        <f t="shared" si="873"/>
        <v>0</v>
      </c>
      <c r="EG294" s="1118">
        <f t="shared" si="874"/>
        <v>0</v>
      </c>
      <c r="EH294" s="1118">
        <f t="shared" si="875"/>
        <v>0</v>
      </c>
      <c r="EI294" s="1074"/>
      <c r="EM294" s="1117">
        <f t="shared" si="876"/>
        <v>0</v>
      </c>
      <c r="EN294" s="1118">
        <f t="shared" si="877"/>
        <v>0</v>
      </c>
      <c r="EO294" s="1118">
        <f t="shared" si="878"/>
        <v>0</v>
      </c>
      <c r="EP294" s="1118">
        <f t="shared" si="879"/>
        <v>0</v>
      </c>
      <c r="EQ294" s="1074"/>
      <c r="EU294" s="1117">
        <f t="shared" si="880"/>
        <v>0</v>
      </c>
      <c r="EV294" s="1118">
        <f t="shared" si="881"/>
        <v>0</v>
      </c>
      <c r="EW294" s="1118">
        <f t="shared" si="882"/>
        <v>0</v>
      </c>
      <c r="EX294" s="1118">
        <f t="shared" si="883"/>
        <v>0</v>
      </c>
      <c r="EY294" s="1074"/>
      <c r="FC294" s="1117">
        <f t="shared" si="884"/>
        <v>0</v>
      </c>
      <c r="FD294" s="1118">
        <f t="shared" si="885"/>
        <v>0</v>
      </c>
      <c r="FE294" s="1118">
        <f t="shared" si="886"/>
        <v>0</v>
      </c>
      <c r="FF294" s="1118">
        <f t="shared" si="887"/>
        <v>0</v>
      </c>
      <c r="FG294" s="1074"/>
      <c r="FK294" s="1117">
        <f t="shared" si="888"/>
        <v>0</v>
      </c>
      <c r="FL294" s="1118">
        <f t="shared" si="889"/>
        <v>0</v>
      </c>
      <c r="FM294" s="1118">
        <f t="shared" si="890"/>
        <v>0</v>
      </c>
      <c r="FN294" s="1118">
        <f t="shared" si="891"/>
        <v>0</v>
      </c>
      <c r="FO294" s="1074"/>
    </row>
    <row r="295" spans="1:171" x14ac:dyDescent="0.25">
      <c r="A295" s="913"/>
      <c r="B295" s="1033" t="s">
        <v>391</v>
      </c>
      <c r="C295" s="889">
        <v>114</v>
      </c>
      <c r="D295" s="890">
        <v>411.8</v>
      </c>
      <c r="E295" s="182" t="str">
        <f>'Sch 3B - Other Items'!E19</f>
        <v>PROD</v>
      </c>
      <c r="F295" s="890"/>
      <c r="G295" s="182">
        <f>'Sch 3B - Other Items'!G19</f>
        <v>36.514148040899343</v>
      </c>
      <c r="H295" s="182">
        <f>'Sch 3B - Other Items'!H19</f>
        <v>36.514148040899343</v>
      </c>
      <c r="I295" s="182">
        <f>'Sch 3B - Other Items'!I19</f>
        <v>0</v>
      </c>
      <c r="J295" s="183">
        <f>'Sch 3B - Other Items'!J19</f>
        <v>0</v>
      </c>
      <c r="K295" s="904">
        <f t="shared" si="811"/>
        <v>1</v>
      </c>
      <c r="O295" s="1117">
        <f t="shared" si="812"/>
        <v>36.514148040899343</v>
      </c>
      <c r="P295" s="1118">
        <f t="shared" si="813"/>
        <v>36.514148040899343</v>
      </c>
      <c r="Q295" s="1118">
        <f t="shared" si="814"/>
        <v>0</v>
      </c>
      <c r="R295" s="1118">
        <f t="shared" si="815"/>
        <v>0</v>
      </c>
      <c r="S295" s="1074"/>
      <c r="W295" s="1117">
        <f t="shared" si="816"/>
        <v>36.514148040899343</v>
      </c>
      <c r="X295" s="1118">
        <f t="shared" si="817"/>
        <v>36.514148040899343</v>
      </c>
      <c r="Y295" s="1118">
        <f t="shared" si="818"/>
        <v>0</v>
      </c>
      <c r="Z295" s="1118">
        <f t="shared" si="819"/>
        <v>0</v>
      </c>
      <c r="AA295" s="1074"/>
      <c r="AE295" s="1117">
        <f t="shared" si="820"/>
        <v>36.514148040899343</v>
      </c>
      <c r="AF295" s="1118">
        <f t="shared" si="821"/>
        <v>36.514148040899343</v>
      </c>
      <c r="AG295" s="1118">
        <f t="shared" si="822"/>
        <v>0</v>
      </c>
      <c r="AH295" s="1118">
        <f t="shared" si="823"/>
        <v>0</v>
      </c>
      <c r="AI295" s="1074"/>
      <c r="AM295" s="1117">
        <f t="shared" si="824"/>
        <v>36.514148040899343</v>
      </c>
      <c r="AN295" s="1118">
        <f t="shared" si="825"/>
        <v>36.514148040899343</v>
      </c>
      <c r="AO295" s="1118">
        <f t="shared" si="826"/>
        <v>0</v>
      </c>
      <c r="AP295" s="1118">
        <f t="shared" si="827"/>
        <v>0</v>
      </c>
      <c r="AQ295" s="1074"/>
      <c r="AU295" s="1117">
        <f t="shared" si="828"/>
        <v>36.514148040899343</v>
      </c>
      <c r="AV295" s="1118">
        <f t="shared" si="829"/>
        <v>36.514148040899343</v>
      </c>
      <c r="AW295" s="1118">
        <f t="shared" si="830"/>
        <v>0</v>
      </c>
      <c r="AX295" s="1118">
        <f t="shared" si="831"/>
        <v>0</v>
      </c>
      <c r="AY295" s="1074"/>
      <c r="BC295" s="1117">
        <f t="shared" si="832"/>
        <v>36.514148040899343</v>
      </c>
      <c r="BD295" s="1118">
        <f t="shared" si="833"/>
        <v>36.514148040899343</v>
      </c>
      <c r="BE295" s="1118">
        <f t="shared" si="834"/>
        <v>0</v>
      </c>
      <c r="BF295" s="1118">
        <f t="shared" si="835"/>
        <v>0</v>
      </c>
      <c r="BG295" s="1074"/>
      <c r="BK295" s="1117">
        <f t="shared" si="836"/>
        <v>36.514148040899343</v>
      </c>
      <c r="BL295" s="1118">
        <f t="shared" si="837"/>
        <v>36.514148040899343</v>
      </c>
      <c r="BM295" s="1118">
        <f t="shared" si="838"/>
        <v>0</v>
      </c>
      <c r="BN295" s="1118">
        <f t="shared" si="839"/>
        <v>0</v>
      </c>
      <c r="BO295" s="1074"/>
      <c r="BS295" s="1117">
        <f t="shared" si="840"/>
        <v>36.514148040899343</v>
      </c>
      <c r="BT295" s="1118">
        <f t="shared" si="841"/>
        <v>36.514148040899343</v>
      </c>
      <c r="BU295" s="1118">
        <f t="shared" si="842"/>
        <v>0</v>
      </c>
      <c r="BV295" s="1118">
        <f t="shared" si="843"/>
        <v>0</v>
      </c>
      <c r="BW295" s="1074"/>
      <c r="CA295" s="1117">
        <f t="shared" si="844"/>
        <v>36.514148040899343</v>
      </c>
      <c r="CB295" s="1118">
        <f t="shared" si="845"/>
        <v>36.514148040899343</v>
      </c>
      <c r="CC295" s="1118">
        <f t="shared" si="846"/>
        <v>0</v>
      </c>
      <c r="CD295" s="1118">
        <f t="shared" si="847"/>
        <v>0</v>
      </c>
      <c r="CE295" s="1074"/>
      <c r="CI295" s="1117">
        <f t="shared" si="848"/>
        <v>36.514148040899343</v>
      </c>
      <c r="CJ295" s="1118">
        <f t="shared" si="849"/>
        <v>36.514148040899343</v>
      </c>
      <c r="CK295" s="1118">
        <f t="shared" si="850"/>
        <v>0</v>
      </c>
      <c r="CL295" s="1118">
        <f t="shared" si="851"/>
        <v>0</v>
      </c>
      <c r="CM295" s="1074"/>
      <c r="CQ295" s="1117">
        <f t="shared" si="852"/>
        <v>36.514148040899343</v>
      </c>
      <c r="CR295" s="1118">
        <f t="shared" si="853"/>
        <v>36.514148040899343</v>
      </c>
      <c r="CS295" s="1118">
        <f t="shared" si="854"/>
        <v>0</v>
      </c>
      <c r="CT295" s="1118">
        <f t="shared" si="855"/>
        <v>0</v>
      </c>
      <c r="CU295" s="1074"/>
      <c r="CY295" s="1117">
        <f t="shared" si="856"/>
        <v>36.514148040899343</v>
      </c>
      <c r="CZ295" s="1118">
        <f t="shared" si="857"/>
        <v>36.514148040899343</v>
      </c>
      <c r="DA295" s="1118">
        <f t="shared" si="858"/>
        <v>0</v>
      </c>
      <c r="DB295" s="1118">
        <f t="shared" si="859"/>
        <v>0</v>
      </c>
      <c r="DC295" s="1074"/>
      <c r="DG295" s="1117">
        <f t="shared" si="860"/>
        <v>36.514148040899343</v>
      </c>
      <c r="DH295" s="1118">
        <f t="shared" si="861"/>
        <v>36.514148040899343</v>
      </c>
      <c r="DI295" s="1118">
        <f t="shared" si="862"/>
        <v>0</v>
      </c>
      <c r="DJ295" s="1118">
        <f t="shared" si="863"/>
        <v>0</v>
      </c>
      <c r="DK295" s="1074"/>
      <c r="DO295" s="1117">
        <f t="shared" si="864"/>
        <v>36.514148040899343</v>
      </c>
      <c r="DP295" s="1118">
        <f t="shared" si="865"/>
        <v>36.514148040899343</v>
      </c>
      <c r="DQ295" s="1118">
        <f t="shared" si="866"/>
        <v>0</v>
      </c>
      <c r="DR295" s="1118">
        <f t="shared" si="867"/>
        <v>0</v>
      </c>
      <c r="DS295" s="1074"/>
      <c r="DW295" s="1117">
        <f t="shared" si="868"/>
        <v>36.514148040899343</v>
      </c>
      <c r="DX295" s="1118">
        <f t="shared" si="869"/>
        <v>36.514148040899343</v>
      </c>
      <c r="DY295" s="1118">
        <f t="shared" si="870"/>
        <v>0</v>
      </c>
      <c r="DZ295" s="1118">
        <f t="shared" si="871"/>
        <v>0</v>
      </c>
      <c r="EA295" s="1074"/>
      <c r="EE295" s="1117">
        <f t="shared" si="872"/>
        <v>36.514148040899343</v>
      </c>
      <c r="EF295" s="1118">
        <f t="shared" si="873"/>
        <v>36.514148040899343</v>
      </c>
      <c r="EG295" s="1118">
        <f t="shared" si="874"/>
        <v>0</v>
      </c>
      <c r="EH295" s="1118">
        <f t="shared" si="875"/>
        <v>0</v>
      </c>
      <c r="EI295" s="1074"/>
      <c r="EM295" s="1117">
        <f t="shared" si="876"/>
        <v>36.514148040899343</v>
      </c>
      <c r="EN295" s="1118">
        <f t="shared" si="877"/>
        <v>36.514148040899343</v>
      </c>
      <c r="EO295" s="1118">
        <f t="shared" si="878"/>
        <v>0</v>
      </c>
      <c r="EP295" s="1118">
        <f t="shared" si="879"/>
        <v>0</v>
      </c>
      <c r="EQ295" s="1074"/>
      <c r="EU295" s="1117">
        <f t="shared" si="880"/>
        <v>36.514148040899343</v>
      </c>
      <c r="EV295" s="1118">
        <f t="shared" si="881"/>
        <v>36.514148040899343</v>
      </c>
      <c r="EW295" s="1118">
        <f t="shared" si="882"/>
        <v>0</v>
      </c>
      <c r="EX295" s="1118">
        <f t="shared" si="883"/>
        <v>0</v>
      </c>
      <c r="EY295" s="1074"/>
      <c r="FC295" s="1117">
        <f t="shared" si="884"/>
        <v>36.514148040899343</v>
      </c>
      <c r="FD295" s="1118">
        <f t="shared" si="885"/>
        <v>36.514148040899343</v>
      </c>
      <c r="FE295" s="1118">
        <f t="shared" si="886"/>
        <v>0</v>
      </c>
      <c r="FF295" s="1118">
        <f t="shared" si="887"/>
        <v>0</v>
      </c>
      <c r="FG295" s="1074"/>
      <c r="FK295" s="1117">
        <f t="shared" si="888"/>
        <v>36.514148040899343</v>
      </c>
      <c r="FL295" s="1118">
        <f t="shared" si="889"/>
        <v>36.514148040899343</v>
      </c>
      <c r="FM295" s="1118">
        <f t="shared" si="890"/>
        <v>0</v>
      </c>
      <c r="FN295" s="1118">
        <f t="shared" si="891"/>
        <v>0</v>
      </c>
      <c r="FO295" s="1074"/>
    </row>
    <row r="296" spans="1:171" x14ac:dyDescent="0.25">
      <c r="A296" s="913"/>
      <c r="B296" s="1034" t="s">
        <v>631</v>
      </c>
      <c r="C296" s="889">
        <v>114</v>
      </c>
      <c r="D296" s="890">
        <v>411.9</v>
      </c>
      <c r="E296" s="182" t="str">
        <f>'Sch 3B - Other Items'!E20</f>
        <v>PROD</v>
      </c>
      <c r="F296" s="890"/>
      <c r="G296" s="182">
        <f>'Sch 3B - Other Items'!G20</f>
        <v>0</v>
      </c>
      <c r="H296" s="182">
        <f>'Sch 3B - Other Items'!H20</f>
        <v>0</v>
      </c>
      <c r="I296" s="182">
        <f>'Sch 3B - Other Items'!I20</f>
        <v>0</v>
      </c>
      <c r="J296" s="183">
        <f>'Sch 3B - Other Items'!J20</f>
        <v>0</v>
      </c>
      <c r="K296" s="904">
        <f t="shared" si="811"/>
        <v>1</v>
      </c>
      <c r="O296" s="1117">
        <f t="shared" si="812"/>
        <v>0</v>
      </c>
      <c r="P296" s="1118">
        <f t="shared" si="813"/>
        <v>0</v>
      </c>
      <c r="Q296" s="1118">
        <f t="shared" si="814"/>
        <v>0</v>
      </c>
      <c r="R296" s="1118">
        <f t="shared" si="815"/>
        <v>0</v>
      </c>
      <c r="S296" s="1074"/>
      <c r="W296" s="1117">
        <f t="shared" si="816"/>
        <v>0</v>
      </c>
      <c r="X296" s="1118">
        <f t="shared" si="817"/>
        <v>0</v>
      </c>
      <c r="Y296" s="1118">
        <f t="shared" si="818"/>
        <v>0</v>
      </c>
      <c r="Z296" s="1118">
        <f t="shared" si="819"/>
        <v>0</v>
      </c>
      <c r="AA296" s="1074"/>
      <c r="AE296" s="1117">
        <f t="shared" si="820"/>
        <v>0</v>
      </c>
      <c r="AF296" s="1118">
        <f t="shared" si="821"/>
        <v>0</v>
      </c>
      <c r="AG296" s="1118">
        <f t="shared" si="822"/>
        <v>0</v>
      </c>
      <c r="AH296" s="1118">
        <f t="shared" si="823"/>
        <v>0</v>
      </c>
      <c r="AI296" s="1074"/>
      <c r="AM296" s="1117">
        <f t="shared" si="824"/>
        <v>0</v>
      </c>
      <c r="AN296" s="1118">
        <f t="shared" si="825"/>
        <v>0</v>
      </c>
      <c r="AO296" s="1118">
        <f t="shared" si="826"/>
        <v>0</v>
      </c>
      <c r="AP296" s="1118">
        <f t="shared" si="827"/>
        <v>0</v>
      </c>
      <c r="AQ296" s="1074"/>
      <c r="AU296" s="1117">
        <f t="shared" si="828"/>
        <v>0</v>
      </c>
      <c r="AV296" s="1118">
        <f t="shared" si="829"/>
        <v>0</v>
      </c>
      <c r="AW296" s="1118">
        <f t="shared" si="830"/>
        <v>0</v>
      </c>
      <c r="AX296" s="1118">
        <f t="shared" si="831"/>
        <v>0</v>
      </c>
      <c r="AY296" s="1074"/>
      <c r="BC296" s="1117">
        <f t="shared" si="832"/>
        <v>0</v>
      </c>
      <c r="BD296" s="1118">
        <f t="shared" si="833"/>
        <v>0</v>
      </c>
      <c r="BE296" s="1118">
        <f t="shared" si="834"/>
        <v>0</v>
      </c>
      <c r="BF296" s="1118">
        <f t="shared" si="835"/>
        <v>0</v>
      </c>
      <c r="BG296" s="1074"/>
      <c r="BK296" s="1117">
        <f t="shared" si="836"/>
        <v>0</v>
      </c>
      <c r="BL296" s="1118">
        <f t="shared" si="837"/>
        <v>0</v>
      </c>
      <c r="BM296" s="1118">
        <f t="shared" si="838"/>
        <v>0</v>
      </c>
      <c r="BN296" s="1118">
        <f t="shared" si="839"/>
        <v>0</v>
      </c>
      <c r="BO296" s="1074"/>
      <c r="BS296" s="1117">
        <f t="shared" si="840"/>
        <v>0</v>
      </c>
      <c r="BT296" s="1118">
        <f t="shared" si="841"/>
        <v>0</v>
      </c>
      <c r="BU296" s="1118">
        <f t="shared" si="842"/>
        <v>0</v>
      </c>
      <c r="BV296" s="1118">
        <f t="shared" si="843"/>
        <v>0</v>
      </c>
      <c r="BW296" s="1074"/>
      <c r="CA296" s="1117">
        <f t="shared" si="844"/>
        <v>0</v>
      </c>
      <c r="CB296" s="1118">
        <f t="shared" si="845"/>
        <v>0</v>
      </c>
      <c r="CC296" s="1118">
        <f t="shared" si="846"/>
        <v>0</v>
      </c>
      <c r="CD296" s="1118">
        <f t="shared" si="847"/>
        <v>0</v>
      </c>
      <c r="CE296" s="1074"/>
      <c r="CI296" s="1117">
        <f t="shared" si="848"/>
        <v>0</v>
      </c>
      <c r="CJ296" s="1118">
        <f t="shared" si="849"/>
        <v>0</v>
      </c>
      <c r="CK296" s="1118">
        <f t="shared" si="850"/>
        <v>0</v>
      </c>
      <c r="CL296" s="1118">
        <f t="shared" si="851"/>
        <v>0</v>
      </c>
      <c r="CM296" s="1074"/>
      <c r="CQ296" s="1117">
        <f t="shared" si="852"/>
        <v>0</v>
      </c>
      <c r="CR296" s="1118">
        <f t="shared" si="853"/>
        <v>0</v>
      </c>
      <c r="CS296" s="1118">
        <f t="shared" si="854"/>
        <v>0</v>
      </c>
      <c r="CT296" s="1118">
        <f t="shared" si="855"/>
        <v>0</v>
      </c>
      <c r="CU296" s="1074"/>
      <c r="CY296" s="1117">
        <f t="shared" si="856"/>
        <v>0</v>
      </c>
      <c r="CZ296" s="1118">
        <f t="shared" si="857"/>
        <v>0</v>
      </c>
      <c r="DA296" s="1118">
        <f t="shared" si="858"/>
        <v>0</v>
      </c>
      <c r="DB296" s="1118">
        <f t="shared" si="859"/>
        <v>0</v>
      </c>
      <c r="DC296" s="1074"/>
      <c r="DG296" s="1117">
        <f t="shared" si="860"/>
        <v>0</v>
      </c>
      <c r="DH296" s="1118">
        <f t="shared" si="861"/>
        <v>0</v>
      </c>
      <c r="DI296" s="1118">
        <f t="shared" si="862"/>
        <v>0</v>
      </c>
      <c r="DJ296" s="1118">
        <f t="shared" si="863"/>
        <v>0</v>
      </c>
      <c r="DK296" s="1074"/>
      <c r="DO296" s="1117">
        <f t="shared" si="864"/>
        <v>0</v>
      </c>
      <c r="DP296" s="1118">
        <f t="shared" si="865"/>
        <v>0</v>
      </c>
      <c r="DQ296" s="1118">
        <f t="shared" si="866"/>
        <v>0</v>
      </c>
      <c r="DR296" s="1118">
        <f t="shared" si="867"/>
        <v>0</v>
      </c>
      <c r="DS296" s="1074"/>
      <c r="DW296" s="1117">
        <f t="shared" si="868"/>
        <v>0</v>
      </c>
      <c r="DX296" s="1118">
        <f t="shared" si="869"/>
        <v>0</v>
      </c>
      <c r="DY296" s="1118">
        <f t="shared" si="870"/>
        <v>0</v>
      </c>
      <c r="DZ296" s="1118">
        <f t="shared" si="871"/>
        <v>0</v>
      </c>
      <c r="EA296" s="1074"/>
      <c r="EE296" s="1117">
        <f t="shared" si="872"/>
        <v>0</v>
      </c>
      <c r="EF296" s="1118">
        <f t="shared" si="873"/>
        <v>0</v>
      </c>
      <c r="EG296" s="1118">
        <f t="shared" si="874"/>
        <v>0</v>
      </c>
      <c r="EH296" s="1118">
        <f t="shared" si="875"/>
        <v>0</v>
      </c>
      <c r="EI296" s="1074"/>
      <c r="EM296" s="1117">
        <f t="shared" si="876"/>
        <v>0</v>
      </c>
      <c r="EN296" s="1118">
        <f t="shared" si="877"/>
        <v>0</v>
      </c>
      <c r="EO296" s="1118">
        <f t="shared" si="878"/>
        <v>0</v>
      </c>
      <c r="EP296" s="1118">
        <f t="shared" si="879"/>
        <v>0</v>
      </c>
      <c r="EQ296" s="1074"/>
      <c r="EU296" s="1117">
        <f t="shared" si="880"/>
        <v>0</v>
      </c>
      <c r="EV296" s="1118">
        <f t="shared" si="881"/>
        <v>0</v>
      </c>
      <c r="EW296" s="1118">
        <f t="shared" si="882"/>
        <v>0</v>
      </c>
      <c r="EX296" s="1118">
        <f t="shared" si="883"/>
        <v>0</v>
      </c>
      <c r="EY296" s="1074"/>
      <c r="FC296" s="1117">
        <f t="shared" si="884"/>
        <v>0</v>
      </c>
      <c r="FD296" s="1118">
        <f t="shared" si="885"/>
        <v>0</v>
      </c>
      <c r="FE296" s="1118">
        <f t="shared" si="886"/>
        <v>0</v>
      </c>
      <c r="FF296" s="1118">
        <f t="shared" si="887"/>
        <v>0</v>
      </c>
      <c r="FG296" s="1074"/>
      <c r="FK296" s="1117">
        <f t="shared" si="888"/>
        <v>0</v>
      </c>
      <c r="FL296" s="1118">
        <f t="shared" si="889"/>
        <v>0</v>
      </c>
      <c r="FM296" s="1118">
        <f t="shared" si="890"/>
        <v>0</v>
      </c>
      <c r="FN296" s="1118">
        <f t="shared" si="891"/>
        <v>0</v>
      </c>
      <c r="FO296" s="1074"/>
    </row>
    <row r="297" spans="1:171" x14ac:dyDescent="0.25">
      <c r="A297" s="913"/>
      <c r="B297" s="1033" t="s">
        <v>181</v>
      </c>
      <c r="C297" s="889">
        <v>114</v>
      </c>
      <c r="D297" s="890">
        <v>421</v>
      </c>
      <c r="E297" s="182" t="str">
        <f>'Sch 3B - Other Items'!E21</f>
        <v>DIRECT</v>
      </c>
      <c r="F297" s="890"/>
      <c r="G297" s="182">
        <f>'Sch 3B - Other Items'!G21</f>
        <v>989991</v>
      </c>
      <c r="H297" s="182">
        <f>'Sch 3B - Other Items'!H21</f>
        <v>1739</v>
      </c>
      <c r="I297" s="182">
        <f>'Sch 3B - Other Items'!I21</f>
        <v>0</v>
      </c>
      <c r="J297" s="183">
        <f>'Sch 3B - Other Items'!J21</f>
        <v>988252</v>
      </c>
      <c r="K297" s="904">
        <f t="shared" si="811"/>
        <v>0</v>
      </c>
      <c r="O297" s="1117">
        <f t="shared" si="812"/>
        <v>989991</v>
      </c>
      <c r="P297" s="1118">
        <f t="shared" si="813"/>
        <v>1739</v>
      </c>
      <c r="Q297" s="1118">
        <f t="shared" si="814"/>
        <v>0</v>
      </c>
      <c r="R297" s="1118">
        <f t="shared" si="815"/>
        <v>988252</v>
      </c>
      <c r="S297" s="1074"/>
      <c r="W297" s="1117">
        <f t="shared" si="816"/>
        <v>989991</v>
      </c>
      <c r="X297" s="1118">
        <f t="shared" si="817"/>
        <v>1739</v>
      </c>
      <c r="Y297" s="1118">
        <f t="shared" si="818"/>
        <v>0</v>
      </c>
      <c r="Z297" s="1118">
        <f t="shared" si="819"/>
        <v>988252</v>
      </c>
      <c r="AA297" s="1074"/>
      <c r="AE297" s="1117">
        <f t="shared" si="820"/>
        <v>989991</v>
      </c>
      <c r="AF297" s="1118">
        <f t="shared" si="821"/>
        <v>1739</v>
      </c>
      <c r="AG297" s="1118">
        <f t="shared" si="822"/>
        <v>0</v>
      </c>
      <c r="AH297" s="1118">
        <f t="shared" si="823"/>
        <v>988252</v>
      </c>
      <c r="AI297" s="1074"/>
      <c r="AM297" s="1117">
        <f t="shared" si="824"/>
        <v>989991</v>
      </c>
      <c r="AN297" s="1118">
        <f t="shared" si="825"/>
        <v>1739</v>
      </c>
      <c r="AO297" s="1118">
        <f t="shared" si="826"/>
        <v>0</v>
      </c>
      <c r="AP297" s="1118">
        <f t="shared" si="827"/>
        <v>988252</v>
      </c>
      <c r="AQ297" s="1074"/>
      <c r="AU297" s="1117">
        <f t="shared" si="828"/>
        <v>989991</v>
      </c>
      <c r="AV297" s="1118">
        <f t="shared" si="829"/>
        <v>1739</v>
      </c>
      <c r="AW297" s="1118">
        <f t="shared" si="830"/>
        <v>0</v>
      </c>
      <c r="AX297" s="1118">
        <f t="shared" si="831"/>
        <v>988252</v>
      </c>
      <c r="AY297" s="1074"/>
      <c r="BC297" s="1117">
        <f t="shared" si="832"/>
        <v>989991</v>
      </c>
      <c r="BD297" s="1118">
        <f t="shared" si="833"/>
        <v>1739</v>
      </c>
      <c r="BE297" s="1118">
        <f t="shared" si="834"/>
        <v>0</v>
      </c>
      <c r="BF297" s="1118">
        <f t="shared" si="835"/>
        <v>988252</v>
      </c>
      <c r="BG297" s="1074"/>
      <c r="BK297" s="1117">
        <f t="shared" si="836"/>
        <v>989991</v>
      </c>
      <c r="BL297" s="1118">
        <f t="shared" si="837"/>
        <v>1739</v>
      </c>
      <c r="BM297" s="1118">
        <f t="shared" si="838"/>
        <v>0</v>
      </c>
      <c r="BN297" s="1118">
        <f t="shared" si="839"/>
        <v>988252</v>
      </c>
      <c r="BO297" s="1074"/>
      <c r="BS297" s="1117">
        <f t="shared" si="840"/>
        <v>989991</v>
      </c>
      <c r="BT297" s="1118">
        <f t="shared" si="841"/>
        <v>1739</v>
      </c>
      <c r="BU297" s="1118">
        <f t="shared" si="842"/>
        <v>0</v>
      </c>
      <c r="BV297" s="1118">
        <f t="shared" si="843"/>
        <v>988252</v>
      </c>
      <c r="BW297" s="1074"/>
      <c r="CA297" s="1117">
        <f t="shared" si="844"/>
        <v>989991</v>
      </c>
      <c r="CB297" s="1118">
        <f t="shared" si="845"/>
        <v>1739</v>
      </c>
      <c r="CC297" s="1118">
        <f t="shared" si="846"/>
        <v>0</v>
      </c>
      <c r="CD297" s="1118">
        <f t="shared" si="847"/>
        <v>988252</v>
      </c>
      <c r="CE297" s="1074"/>
      <c r="CI297" s="1117">
        <f t="shared" si="848"/>
        <v>989991</v>
      </c>
      <c r="CJ297" s="1118">
        <f t="shared" si="849"/>
        <v>1739</v>
      </c>
      <c r="CK297" s="1118">
        <f t="shared" si="850"/>
        <v>0</v>
      </c>
      <c r="CL297" s="1118">
        <f t="shared" si="851"/>
        <v>988252</v>
      </c>
      <c r="CM297" s="1074"/>
      <c r="CQ297" s="1117">
        <f t="shared" si="852"/>
        <v>989991</v>
      </c>
      <c r="CR297" s="1118">
        <f t="shared" si="853"/>
        <v>1739</v>
      </c>
      <c r="CS297" s="1118">
        <f t="shared" si="854"/>
        <v>0</v>
      </c>
      <c r="CT297" s="1118">
        <f t="shared" si="855"/>
        <v>988252</v>
      </c>
      <c r="CU297" s="1074"/>
      <c r="CY297" s="1117">
        <f t="shared" si="856"/>
        <v>989991</v>
      </c>
      <c r="CZ297" s="1118">
        <f t="shared" si="857"/>
        <v>1739</v>
      </c>
      <c r="DA297" s="1118">
        <f t="shared" si="858"/>
        <v>0</v>
      </c>
      <c r="DB297" s="1118">
        <f t="shared" si="859"/>
        <v>988252</v>
      </c>
      <c r="DC297" s="1074"/>
      <c r="DG297" s="1117">
        <f t="shared" si="860"/>
        <v>989991</v>
      </c>
      <c r="DH297" s="1118">
        <f t="shared" si="861"/>
        <v>1739</v>
      </c>
      <c r="DI297" s="1118">
        <f t="shared" si="862"/>
        <v>0</v>
      </c>
      <c r="DJ297" s="1118">
        <f t="shared" si="863"/>
        <v>988252</v>
      </c>
      <c r="DK297" s="1074"/>
      <c r="DO297" s="1117">
        <f t="shared" si="864"/>
        <v>989991</v>
      </c>
      <c r="DP297" s="1118">
        <f t="shared" si="865"/>
        <v>1739</v>
      </c>
      <c r="DQ297" s="1118">
        <f t="shared" si="866"/>
        <v>0</v>
      </c>
      <c r="DR297" s="1118">
        <f t="shared" si="867"/>
        <v>988252</v>
      </c>
      <c r="DS297" s="1074"/>
      <c r="DW297" s="1117">
        <f t="shared" si="868"/>
        <v>989991</v>
      </c>
      <c r="DX297" s="1118">
        <f t="shared" si="869"/>
        <v>1739</v>
      </c>
      <c r="DY297" s="1118">
        <f t="shared" si="870"/>
        <v>0</v>
      </c>
      <c r="DZ297" s="1118">
        <f t="shared" si="871"/>
        <v>988252</v>
      </c>
      <c r="EA297" s="1074"/>
      <c r="EE297" s="1117">
        <f t="shared" si="872"/>
        <v>989991</v>
      </c>
      <c r="EF297" s="1118">
        <f t="shared" si="873"/>
        <v>1739</v>
      </c>
      <c r="EG297" s="1118">
        <f t="shared" si="874"/>
        <v>0</v>
      </c>
      <c r="EH297" s="1118">
        <f t="shared" si="875"/>
        <v>988252</v>
      </c>
      <c r="EI297" s="1074"/>
      <c r="EM297" s="1117">
        <f t="shared" si="876"/>
        <v>989991</v>
      </c>
      <c r="EN297" s="1118">
        <f t="shared" si="877"/>
        <v>1739</v>
      </c>
      <c r="EO297" s="1118">
        <f t="shared" si="878"/>
        <v>0</v>
      </c>
      <c r="EP297" s="1118">
        <f t="shared" si="879"/>
        <v>988252</v>
      </c>
      <c r="EQ297" s="1074"/>
      <c r="EU297" s="1117">
        <f t="shared" si="880"/>
        <v>989991</v>
      </c>
      <c r="EV297" s="1118">
        <f t="shared" si="881"/>
        <v>1739</v>
      </c>
      <c r="EW297" s="1118">
        <f t="shared" si="882"/>
        <v>0</v>
      </c>
      <c r="EX297" s="1118">
        <f t="shared" si="883"/>
        <v>988252</v>
      </c>
      <c r="EY297" s="1074"/>
      <c r="FC297" s="1117">
        <f t="shared" si="884"/>
        <v>989991</v>
      </c>
      <c r="FD297" s="1118">
        <f t="shared" si="885"/>
        <v>1739</v>
      </c>
      <c r="FE297" s="1118">
        <f t="shared" si="886"/>
        <v>0</v>
      </c>
      <c r="FF297" s="1118">
        <f t="shared" si="887"/>
        <v>988252</v>
      </c>
      <c r="FG297" s="1074"/>
      <c r="FK297" s="1117">
        <f t="shared" si="888"/>
        <v>989991</v>
      </c>
      <c r="FL297" s="1118">
        <f t="shared" si="889"/>
        <v>1739</v>
      </c>
      <c r="FM297" s="1118">
        <f t="shared" si="890"/>
        <v>0</v>
      </c>
      <c r="FN297" s="1118">
        <f t="shared" si="891"/>
        <v>988252</v>
      </c>
      <c r="FO297" s="1074"/>
    </row>
    <row r="298" spans="1:171" x14ac:dyDescent="0.25">
      <c r="A298" s="209" t="s">
        <v>49</v>
      </c>
      <c r="B298" s="220"/>
      <c r="C298" s="915"/>
      <c r="D298" s="916"/>
      <c r="E298" s="916"/>
      <c r="F298" s="917"/>
      <c r="G298" s="924">
        <f>G291-G292+G293-G294+G295-G296+G297</f>
        <v>-4451215.41585196</v>
      </c>
      <c r="H298" s="924">
        <f>H291-H292+H293-H294+H295-H296+H297</f>
        <v>-738141.6155753471</v>
      </c>
      <c r="I298" s="924">
        <f>I291-I292+I293-I294+I295-I296+I297</f>
        <v>0</v>
      </c>
      <c r="J298" s="1391">
        <f>J291-J292+J293-J294+J295-J296+J297</f>
        <v>-3713073.8002766119</v>
      </c>
      <c r="K298" s="904"/>
      <c r="O298" s="1134">
        <f>O291-O292+O293-O294+O295-O296+O297</f>
        <v>-4451215.41585196</v>
      </c>
      <c r="P298" s="1140">
        <f>P291-P292+P293-P294+P295-P296+P297</f>
        <v>-738141.6155753471</v>
      </c>
      <c r="Q298" s="1140">
        <f>Q291-Q292+Q293-Q294+Q295-Q296+Q297</f>
        <v>0</v>
      </c>
      <c r="R298" s="1140">
        <f>R291-R292+R293-R294+R295-R296+R297</f>
        <v>-3713073.8002766129</v>
      </c>
      <c r="S298" s="1074"/>
      <c r="W298" s="1134">
        <f>W291-W292+W293-W294+W295-W296+W297</f>
        <v>-4451215.41585196</v>
      </c>
      <c r="X298" s="1140">
        <f>X291-X292+X293-X294+X295-X296+X297</f>
        <v>-738141.6155753471</v>
      </c>
      <c r="Y298" s="1140">
        <f>Y291-Y292+Y293-Y294+Y295-Y296+Y297</f>
        <v>0</v>
      </c>
      <c r="Z298" s="1140">
        <f>Z291-Z292+Z293-Z294+Z295-Z296+Z297</f>
        <v>-3713073.8002766129</v>
      </c>
      <c r="AA298" s="1074"/>
      <c r="AE298" s="1134">
        <f>AE291-AE292+AE293-AE294+AE295-AE296+AE297</f>
        <v>-4451215.41585196</v>
      </c>
      <c r="AF298" s="1140">
        <f>AF291-AF292+AF293-AF294+AF295-AF296+AF297</f>
        <v>-738141.6155753471</v>
      </c>
      <c r="AG298" s="1140">
        <f>AG291-AG292+AG293-AG294+AG295-AG296+AG297</f>
        <v>0</v>
      </c>
      <c r="AH298" s="1140">
        <f>AH291-AH292+AH293-AH294+AH295-AH296+AH297</f>
        <v>-3713073.8002766129</v>
      </c>
      <c r="AI298" s="1074"/>
      <c r="AM298" s="1134">
        <f>AM291-AM292+AM293-AM294+AM295-AM296+AM297</f>
        <v>-4451215.41585196</v>
      </c>
      <c r="AN298" s="1140">
        <f>AN291-AN292+AN293-AN294+AN295-AN296+AN297</f>
        <v>-738141.6155753471</v>
      </c>
      <c r="AO298" s="1140">
        <f>AO291-AO292+AO293-AO294+AO295-AO296+AO297</f>
        <v>0</v>
      </c>
      <c r="AP298" s="1140">
        <f>AP291-AP292+AP293-AP294+AP295-AP296+AP297</f>
        <v>-3713073.8002766129</v>
      </c>
      <c r="AQ298" s="1074"/>
      <c r="AU298" s="1134">
        <f>AU291-AU292+AU293-AU294+AU295-AU296+AU297</f>
        <v>-4451215.41585196</v>
      </c>
      <c r="AV298" s="1140">
        <f>AV291-AV292+AV293-AV294+AV295-AV296+AV297</f>
        <v>-738141.6155753471</v>
      </c>
      <c r="AW298" s="1140">
        <f>AW291-AW292+AW293-AW294+AW295-AW296+AW297</f>
        <v>0</v>
      </c>
      <c r="AX298" s="1140">
        <f>AX291-AX292+AX293-AX294+AX295-AX296+AX297</f>
        <v>-3713073.8002766129</v>
      </c>
      <c r="AY298" s="1074"/>
      <c r="BC298" s="1134">
        <f>BC291-BC292+BC293-BC294+BC295-BC296+BC297</f>
        <v>-4451215.41585196</v>
      </c>
      <c r="BD298" s="1140">
        <f>BD291-BD292+BD293-BD294+BD295-BD296+BD297</f>
        <v>-738141.6155753471</v>
      </c>
      <c r="BE298" s="1140">
        <f>BE291-BE292+BE293-BE294+BE295-BE296+BE297</f>
        <v>0</v>
      </c>
      <c r="BF298" s="1140">
        <f>BF291-BF292+BF293-BF294+BF295-BF296+BF297</f>
        <v>-3713073.8002766129</v>
      </c>
      <c r="BG298" s="1074"/>
      <c r="BK298" s="1134">
        <f>BK291-BK292+BK293-BK294+BK295-BK296+BK297</f>
        <v>-4451215.41585196</v>
      </c>
      <c r="BL298" s="1140">
        <f>BL291-BL292+BL293-BL294+BL295-BL296+BL297</f>
        <v>-738141.6155753471</v>
      </c>
      <c r="BM298" s="1140">
        <f>BM291-BM292+BM293-BM294+BM295-BM296+BM297</f>
        <v>0</v>
      </c>
      <c r="BN298" s="1140">
        <f>BN291-BN292+BN293-BN294+BN295-BN296+BN297</f>
        <v>-3713073.8002766129</v>
      </c>
      <c r="BO298" s="1074"/>
      <c r="BS298" s="1134">
        <f>BS291-BS292+BS293-BS294+BS295-BS296+BS297</f>
        <v>-4451215.41585196</v>
      </c>
      <c r="BT298" s="1140">
        <f>BT291-BT292+BT293-BT294+BT295-BT296+BT297</f>
        <v>-738141.6155753471</v>
      </c>
      <c r="BU298" s="1140">
        <f>BU291-BU292+BU293-BU294+BU295-BU296+BU297</f>
        <v>0</v>
      </c>
      <c r="BV298" s="1140">
        <f>BV291-BV292+BV293-BV294+BV295-BV296+BV297</f>
        <v>-3713073.8002766129</v>
      </c>
      <c r="BW298" s="1074"/>
      <c r="CA298" s="1134">
        <f>CA291-CA292+CA293-CA294+CA295-CA296+CA297</f>
        <v>-4451215.41585196</v>
      </c>
      <c r="CB298" s="1140">
        <f>CB291-CB292+CB293-CB294+CB295-CB296+CB297</f>
        <v>-738141.6155753471</v>
      </c>
      <c r="CC298" s="1140">
        <f>CC291-CC292+CC293-CC294+CC295-CC296+CC297</f>
        <v>0</v>
      </c>
      <c r="CD298" s="1140">
        <f>CD291-CD292+CD293-CD294+CD295-CD296+CD297</f>
        <v>-3713073.8002766129</v>
      </c>
      <c r="CE298" s="1074"/>
      <c r="CI298" s="1134">
        <f>CI291-CI292+CI293-CI294+CI295-CI296+CI297</f>
        <v>-4451215.41585196</v>
      </c>
      <c r="CJ298" s="1140">
        <f>CJ291-CJ292+CJ293-CJ294+CJ295-CJ296+CJ297</f>
        <v>-738141.6155753471</v>
      </c>
      <c r="CK298" s="1140">
        <f>CK291-CK292+CK293-CK294+CK295-CK296+CK297</f>
        <v>0</v>
      </c>
      <c r="CL298" s="1140">
        <f>CL291-CL292+CL293-CL294+CL295-CL296+CL297</f>
        <v>-3713073.8002766129</v>
      </c>
      <c r="CM298" s="1074"/>
      <c r="CQ298" s="1134">
        <f>CQ291-CQ292+CQ293-CQ294+CQ295-CQ296+CQ297</f>
        <v>-4451215.41585196</v>
      </c>
      <c r="CR298" s="1140">
        <f>CR291-CR292+CR293-CR294+CR295-CR296+CR297</f>
        <v>-738141.6155753471</v>
      </c>
      <c r="CS298" s="1140">
        <f>CS291-CS292+CS293-CS294+CS295-CS296+CS297</f>
        <v>0</v>
      </c>
      <c r="CT298" s="1140">
        <f>CT291-CT292+CT293-CT294+CT295-CT296+CT297</f>
        <v>-3713073.8002766129</v>
      </c>
      <c r="CU298" s="1074"/>
      <c r="CY298" s="1134">
        <f>CY291-CY292+CY293-CY294+CY295-CY296+CY297</f>
        <v>-4451215.41585196</v>
      </c>
      <c r="CZ298" s="1140">
        <f>CZ291-CZ292+CZ293-CZ294+CZ295-CZ296+CZ297</f>
        <v>-738141.6155753471</v>
      </c>
      <c r="DA298" s="1140">
        <f>DA291-DA292+DA293-DA294+DA295-DA296+DA297</f>
        <v>0</v>
      </c>
      <c r="DB298" s="1140">
        <f>DB291-DB292+DB293-DB294+DB295-DB296+DB297</f>
        <v>-3713073.8002766129</v>
      </c>
      <c r="DC298" s="1074"/>
      <c r="DG298" s="1134">
        <f>DG291-DG292+DG293-DG294+DG295-DG296+DG297</f>
        <v>-4451215.41585196</v>
      </c>
      <c r="DH298" s="1140">
        <f>DH291-DH292+DH293-DH294+DH295-DH296+DH297</f>
        <v>-738141.6155753471</v>
      </c>
      <c r="DI298" s="1140">
        <f>DI291-DI292+DI293-DI294+DI295-DI296+DI297</f>
        <v>0</v>
      </c>
      <c r="DJ298" s="1140">
        <f>DJ291-DJ292+DJ293-DJ294+DJ295-DJ296+DJ297</f>
        <v>-3713073.8002766129</v>
      </c>
      <c r="DK298" s="1074"/>
      <c r="DO298" s="1134">
        <f>DO291-DO292+DO293-DO294+DO295-DO296+DO297</f>
        <v>-4451215.41585196</v>
      </c>
      <c r="DP298" s="1140">
        <f>DP291-DP292+DP293-DP294+DP295-DP296+DP297</f>
        <v>-738141.6155753471</v>
      </c>
      <c r="DQ298" s="1140">
        <f>DQ291-DQ292+DQ293-DQ294+DQ295-DQ296+DQ297</f>
        <v>0</v>
      </c>
      <c r="DR298" s="1140">
        <f>DR291-DR292+DR293-DR294+DR295-DR296+DR297</f>
        <v>-3713073.8002766129</v>
      </c>
      <c r="DS298" s="1074"/>
      <c r="DW298" s="1134">
        <f>DW291-DW292+DW293-DW294+DW295-DW296+DW297</f>
        <v>-4451215.41585196</v>
      </c>
      <c r="DX298" s="1140">
        <f>DX291-DX292+DX293-DX294+DX295-DX296+DX297</f>
        <v>-738141.6155753471</v>
      </c>
      <c r="DY298" s="1140">
        <f>DY291-DY292+DY293-DY294+DY295-DY296+DY297</f>
        <v>0</v>
      </c>
      <c r="DZ298" s="1140">
        <f>DZ291-DZ292+DZ293-DZ294+DZ295-DZ296+DZ297</f>
        <v>-3713073.8002766129</v>
      </c>
      <c r="EA298" s="1074"/>
      <c r="EE298" s="1134">
        <f>EE291-EE292+EE293-EE294+EE295-EE296+EE297</f>
        <v>-4451215.41585196</v>
      </c>
      <c r="EF298" s="1140">
        <f>EF291-EF292+EF293-EF294+EF295-EF296+EF297</f>
        <v>-738141.6155753471</v>
      </c>
      <c r="EG298" s="1140">
        <f>EG291-EG292+EG293-EG294+EG295-EG296+EG297</f>
        <v>0</v>
      </c>
      <c r="EH298" s="1140">
        <f>EH291-EH292+EH293-EH294+EH295-EH296+EH297</f>
        <v>-3713073.8002766129</v>
      </c>
      <c r="EI298" s="1074"/>
      <c r="EM298" s="1134">
        <f>EM291-EM292+EM293-EM294+EM295-EM296+EM297</f>
        <v>-4451215.41585196</v>
      </c>
      <c r="EN298" s="1140">
        <f>EN291-EN292+EN293-EN294+EN295-EN296+EN297</f>
        <v>-738141.6155753471</v>
      </c>
      <c r="EO298" s="1140">
        <f>EO291-EO292+EO293-EO294+EO295-EO296+EO297</f>
        <v>0</v>
      </c>
      <c r="EP298" s="1140">
        <f>EP291-EP292+EP293-EP294+EP295-EP296+EP297</f>
        <v>-3713073.8002766129</v>
      </c>
      <c r="EQ298" s="1074"/>
      <c r="EU298" s="1134">
        <f>EU291-EU292+EU293-EU294+EU295-EU296+EU297</f>
        <v>-4451215.41585196</v>
      </c>
      <c r="EV298" s="1140">
        <f>EV291-EV292+EV293-EV294+EV295-EV296+EV297</f>
        <v>-738141.6155753471</v>
      </c>
      <c r="EW298" s="1140">
        <f>EW291-EW292+EW293-EW294+EW295-EW296+EW297</f>
        <v>0</v>
      </c>
      <c r="EX298" s="1140">
        <f>EX291-EX292+EX293-EX294+EX295-EX296+EX297</f>
        <v>-3713073.8002766129</v>
      </c>
      <c r="EY298" s="1074"/>
      <c r="FC298" s="1134">
        <f>FC291-FC292+FC293-FC294+FC295-FC296+FC297</f>
        <v>-4451215.41585196</v>
      </c>
      <c r="FD298" s="1140">
        <f>FD291-FD292+FD293-FD294+FD295-FD296+FD297</f>
        <v>-738141.6155753471</v>
      </c>
      <c r="FE298" s="1140">
        <f>FE291-FE292+FE293-FE294+FE295-FE296+FE297</f>
        <v>0</v>
      </c>
      <c r="FF298" s="1140">
        <f>FF291-FF292+FF293-FF294+FF295-FF296+FF297</f>
        <v>-3713073.8002766129</v>
      </c>
      <c r="FG298" s="1074"/>
      <c r="FK298" s="1134">
        <f>FK291-FK292+FK293-FK294+FK295-FK296+FK297</f>
        <v>-4451215.41585196</v>
      </c>
      <c r="FL298" s="1140">
        <f>FL291-FL292+FL293-FL294+FL295-FL296+FL297</f>
        <v>-738141.6155753471</v>
      </c>
      <c r="FM298" s="1140">
        <f>FM291-FM292+FM293-FM294+FM295-FM296+FM297</f>
        <v>0</v>
      </c>
      <c r="FN298" s="1140">
        <f>FN291-FN292+FN293-FN294+FN295-FN296+FN297</f>
        <v>-3713073.8002766129</v>
      </c>
      <c r="FO298" s="1074"/>
    </row>
    <row r="299" spans="1:171" x14ac:dyDescent="0.25">
      <c r="A299" s="1035"/>
      <c r="B299" s="220"/>
      <c r="C299" s="51"/>
      <c r="D299" s="51"/>
      <c r="E299" s="55"/>
      <c r="F299" s="55"/>
      <c r="G299" s="221"/>
      <c r="H299" s="221"/>
      <c r="I299" s="221"/>
      <c r="J299" s="222"/>
      <c r="K299" s="904"/>
      <c r="S299" s="1074"/>
      <c r="AA299" s="1074"/>
      <c r="AI299" s="1074"/>
      <c r="AQ299" s="1074"/>
      <c r="AY299" s="1074"/>
      <c r="BG299" s="1074"/>
      <c r="BO299" s="1074"/>
      <c r="BW299" s="1074"/>
      <c r="CE299" s="1074"/>
      <c r="CM299" s="1074"/>
      <c r="CU299" s="1074"/>
      <c r="DC299" s="1074"/>
      <c r="DK299" s="1074"/>
      <c r="DS299" s="1074"/>
      <c r="EA299" s="1074"/>
      <c r="EI299" s="1074"/>
      <c r="EQ299" s="1074"/>
      <c r="EY299" s="1074"/>
      <c r="FG299" s="1074"/>
      <c r="FO299" s="1074"/>
    </row>
    <row r="300" spans="1:171" x14ac:dyDescent="0.25">
      <c r="A300" s="199" t="s">
        <v>632</v>
      </c>
      <c r="B300" s="220"/>
      <c r="C300" s="55"/>
      <c r="D300" s="55"/>
      <c r="E300" s="55"/>
      <c r="F300" s="55"/>
      <c r="G300" s="221"/>
      <c r="H300" s="221"/>
      <c r="I300" s="221"/>
      <c r="J300" s="222"/>
      <c r="K300" s="904"/>
      <c r="S300" s="1074"/>
      <c r="AA300" s="1074"/>
      <c r="AI300" s="1074"/>
      <c r="AQ300" s="1074"/>
      <c r="AY300" s="1074"/>
      <c r="BG300" s="1074"/>
      <c r="BO300" s="1074"/>
      <c r="BW300" s="1074"/>
      <c r="CE300" s="1074"/>
      <c r="CM300" s="1074"/>
      <c r="CU300" s="1074"/>
      <c r="DC300" s="1074"/>
      <c r="DK300" s="1074"/>
      <c r="DS300" s="1074"/>
      <c r="EA300" s="1074"/>
      <c r="EI300" s="1074"/>
      <c r="EQ300" s="1074"/>
      <c r="EY300" s="1074"/>
      <c r="FG300" s="1074"/>
      <c r="FO300" s="1074"/>
    </row>
    <row r="301" spans="1:171" x14ac:dyDescent="0.25">
      <c r="A301" s="199"/>
      <c r="B301" s="914" t="s">
        <v>64</v>
      </c>
      <c r="C301" s="889">
        <v>310</v>
      </c>
      <c r="D301" s="890">
        <v>447</v>
      </c>
      <c r="E301" s="182" t="str">
        <f>'Sch 3B - Other Items'!E25</f>
        <v>PROD</v>
      </c>
      <c r="F301" s="890"/>
      <c r="G301" s="182">
        <f>'Sch 3B - Other Items'!G25</f>
        <v>79486840.52681087</v>
      </c>
      <c r="H301" s="182">
        <f>'Sch 3B - Other Items'!H25</f>
        <v>79486840.52681087</v>
      </c>
      <c r="I301" s="182">
        <f>'Sch 3B - Other Items'!I25</f>
        <v>0</v>
      </c>
      <c r="J301" s="183">
        <f>'Sch 3B - Other Items'!J25</f>
        <v>0</v>
      </c>
      <c r="K301" s="904">
        <f>IF($E301="DIRECT",0,1)</f>
        <v>1</v>
      </c>
      <c r="O301" s="1146">
        <f>O466</f>
        <v>79486840.52681087</v>
      </c>
      <c r="P301" s="1118">
        <f>VLOOKUP($E301,O$442:R$453,2,FALSE)*O301*($K301)+IF($G301&lt;&gt;0,($H301/$G301)*O301,0)*(1-$K301)</f>
        <v>79486840.52681087</v>
      </c>
      <c r="Q301" s="1118">
        <f>VLOOKUP($E301,O$442:R$453,3,FALSE)*O301*($K301)+IF($G301&lt;&gt;0,($I301/$G301)*O301,0)*(1-$K301)</f>
        <v>0</v>
      </c>
      <c r="R301" s="1118">
        <f>VLOOKUP($E301,O$442:R$453,4,FALSE)*O301*($K301)+(O301-P301-Q301)*(1-$K301)</f>
        <v>0</v>
      </c>
      <c r="S301" s="1074"/>
      <c r="W301" s="1146">
        <f>W466</f>
        <v>79486840.52681087</v>
      </c>
      <c r="X301" s="1118">
        <f>VLOOKUP($E301,W$442:Z$453,2,FALSE)*W301*($K301)+IF($G301&lt;&gt;0,($H301/$G301)*W301,0)*(1-$K301)</f>
        <v>79486840.52681087</v>
      </c>
      <c r="Y301" s="1118">
        <f>VLOOKUP($E301,W$442:Z$453,3,FALSE)*W301*($K301)+IF($G301&lt;&gt;0,($I301/$G301)*W301,0)*(1-$K301)</f>
        <v>0</v>
      </c>
      <c r="Z301" s="1118">
        <f>VLOOKUP($E301,W$442:Z$453,4,FALSE)*W301*($K301)+(W301-X301-Y301)*(1-$K301)</f>
        <v>0</v>
      </c>
      <c r="AA301" s="1074"/>
      <c r="AE301" s="1146">
        <f>AE466</f>
        <v>79486840.52681087</v>
      </c>
      <c r="AF301" s="1118">
        <f>VLOOKUP($E301,AE$442:AH$453,2,FALSE)*AE301*($K301)+IF($G301&lt;&gt;0,($H301/$G301)*AE301,0)*(1-$K301)</f>
        <v>79486840.52681087</v>
      </c>
      <c r="AG301" s="1118">
        <f>VLOOKUP($E301,AE$442:AH$453,3,FALSE)*AE301*($K301)+IF($G301&lt;&gt;0,($I301/$G301)*AE301,0)*(1-$K301)</f>
        <v>0</v>
      </c>
      <c r="AH301" s="1118">
        <f>VLOOKUP($E301,AE$442:AH$453,4,FALSE)*AE301*($K301)+(AE301-AF301-AG301)*(1-$K301)</f>
        <v>0</v>
      </c>
      <c r="AI301" s="1074"/>
      <c r="AM301" s="1146">
        <f>AM466</f>
        <v>79486840.52681087</v>
      </c>
      <c r="AN301" s="1118">
        <f>VLOOKUP($E301,AM$442:AP$453,2,FALSE)*AM301*($K301)+IF($G301&lt;&gt;0,($H301/$G301)*AM301,0)*(1-$K301)</f>
        <v>79486840.52681087</v>
      </c>
      <c r="AO301" s="1118">
        <f>VLOOKUP($E301,AM$442:AP$453,3,FALSE)*AM301*($K301)+IF($G301&lt;&gt;0,($I301/$G301)*AM301,0)*(1-$K301)</f>
        <v>0</v>
      </c>
      <c r="AP301" s="1118">
        <f>VLOOKUP($E301,AM$442:AP$453,4,FALSE)*AM301*($K301)+(AM301-AN301-AO301)*(1-$K301)</f>
        <v>0</v>
      </c>
      <c r="AQ301" s="1074"/>
      <c r="AU301" s="1146">
        <f>AU466</f>
        <v>79486840.52681087</v>
      </c>
      <c r="AV301" s="1118">
        <f>VLOOKUP($E301,AU$442:AX$453,2,FALSE)*AU301*($K301)+IF($G301&lt;&gt;0,($H301/$G301)*AU301,0)*(1-$K301)</f>
        <v>79486840.52681087</v>
      </c>
      <c r="AW301" s="1118">
        <f>VLOOKUP($E301,AU$442:AX$453,3,FALSE)*AU301*($K301)+IF($G301&lt;&gt;0,($I301/$G301)*AU301,0)*(1-$K301)</f>
        <v>0</v>
      </c>
      <c r="AX301" s="1118">
        <f>VLOOKUP($E301,AU$442:AX$453,4,FALSE)*AU301*($K301)+(AU301-AV301-AW301)*(1-$K301)</f>
        <v>0</v>
      </c>
      <c r="AY301" s="1074"/>
      <c r="BC301" s="1146">
        <f>BC466</f>
        <v>79486840.52681087</v>
      </c>
      <c r="BD301" s="1118">
        <f>VLOOKUP($E301,BC$442:BF$453,2,FALSE)*BC301*($K301)+IF($G301&lt;&gt;0,($H301/$G301)*BC301,0)*(1-$K301)</f>
        <v>79486840.52681087</v>
      </c>
      <c r="BE301" s="1118">
        <f>VLOOKUP($E301,BC$442:BF$453,3,FALSE)*BC301*($K301)+IF($G301&lt;&gt;0,($I301/$G301)*BC301,0)*(1-$K301)</f>
        <v>0</v>
      </c>
      <c r="BF301" s="1118">
        <f>VLOOKUP($E301,BC$442:BF$453,4,FALSE)*BC301*($K301)+(BC301-BD301-BE301)*(1-$K301)</f>
        <v>0</v>
      </c>
      <c r="BG301" s="1074"/>
      <c r="BK301" s="1146">
        <f>BK466</f>
        <v>79486840.52681087</v>
      </c>
      <c r="BL301" s="1118">
        <f>VLOOKUP($E301,BK$442:BN$453,2,FALSE)*BK301*($K301)+IF($G301&lt;&gt;0,($H301/$G301)*BK301,0)*(1-$K301)</f>
        <v>79486840.52681087</v>
      </c>
      <c r="BM301" s="1118">
        <f>VLOOKUP($E301,BK$442:BN$453,3,FALSE)*BK301*($K301)+IF($G301&lt;&gt;0,($I301/$G301)*BK301,0)*(1-$K301)</f>
        <v>0</v>
      </c>
      <c r="BN301" s="1118">
        <f>VLOOKUP($E301,BK$442:BN$453,4,FALSE)*BK301*($K301)+(BK301-BL301-BM301)*(1-$K301)</f>
        <v>0</v>
      </c>
      <c r="BO301" s="1074"/>
      <c r="BS301" s="1146">
        <f>BS466</f>
        <v>79486840.52681087</v>
      </c>
      <c r="BT301" s="1118">
        <f>VLOOKUP($E301,BS$442:BV$453,2,FALSE)*BS301*($K301)+IF($G301&lt;&gt;0,($H301/$G301)*BS301,0)*(1-$K301)</f>
        <v>79486840.52681087</v>
      </c>
      <c r="BU301" s="1118">
        <f>VLOOKUP($E301,BS$442:BV$453,3,FALSE)*BS301*($K301)+IF($G301&lt;&gt;0,($I301/$G301)*BS301,0)*(1-$K301)</f>
        <v>0</v>
      </c>
      <c r="BV301" s="1118">
        <f>VLOOKUP($E301,BS$442:BV$453,4,FALSE)*BS301*($K301)+(BS301-BT301-BU301)*(1-$K301)</f>
        <v>0</v>
      </c>
      <c r="BW301" s="1074"/>
      <c r="CA301" s="1146">
        <f>CA466</f>
        <v>79486840.52681087</v>
      </c>
      <c r="CB301" s="1118">
        <f>VLOOKUP($E301,CA$442:CD$453,2,FALSE)*CA301*($K301)+IF($G301&lt;&gt;0,($H301/$G301)*CA301,0)*(1-$K301)</f>
        <v>79486840.52681087</v>
      </c>
      <c r="CC301" s="1118">
        <f>VLOOKUP($E301,CA$442:CD$453,3,FALSE)*CA301*($K301)+IF($G301&lt;&gt;0,($I301/$G301)*CA301,0)*(1-$K301)</f>
        <v>0</v>
      </c>
      <c r="CD301" s="1118">
        <f>VLOOKUP($E301,CA$442:CD$453,4,FALSE)*CA301*($K301)+(CA301-CB301-CC301)*(1-$K301)</f>
        <v>0</v>
      </c>
      <c r="CE301" s="1074"/>
      <c r="CI301" s="1146">
        <f>CI466</f>
        <v>79486840.52681087</v>
      </c>
      <c r="CJ301" s="1118">
        <f>VLOOKUP($E301,CI$442:CL$453,2,FALSE)*CI301*($K301)+IF($G301&lt;&gt;0,($H301/$G301)*CI301,0)*(1-$K301)</f>
        <v>79486840.52681087</v>
      </c>
      <c r="CK301" s="1118">
        <f>VLOOKUP($E301,CI$442:CL$453,3,FALSE)*CI301*($K301)+IF($G301&lt;&gt;0,($I301/$G301)*CI301,0)*(1-$K301)</f>
        <v>0</v>
      </c>
      <c r="CL301" s="1118">
        <f>VLOOKUP($E301,CI$442:CL$453,4,FALSE)*CI301*($K301)+(CI301-CJ301-CK301)*(1-$K301)</f>
        <v>0</v>
      </c>
      <c r="CM301" s="1074"/>
      <c r="CQ301" s="1146">
        <f>CQ466</f>
        <v>79486840.52681087</v>
      </c>
      <c r="CR301" s="1118">
        <f>VLOOKUP($E301,CQ$442:CT$453,2,FALSE)*CQ301*($K301)+IF($G301&lt;&gt;0,($H301/$G301)*CQ301,0)*(1-$K301)</f>
        <v>79486840.52681087</v>
      </c>
      <c r="CS301" s="1118">
        <f>VLOOKUP($E301,CQ$442:CT$453,3,FALSE)*CQ301*($K301)+IF($G301&lt;&gt;0,($I301/$G301)*CQ301,0)*(1-$K301)</f>
        <v>0</v>
      </c>
      <c r="CT301" s="1118">
        <f>VLOOKUP($E301,CQ$442:CT$453,4,FALSE)*CQ301*($K301)+(CQ301-CR301-CS301)*(1-$K301)</f>
        <v>0</v>
      </c>
      <c r="CU301" s="1074"/>
      <c r="CY301" s="1146">
        <f>CY466</f>
        <v>79486840.52681087</v>
      </c>
      <c r="CZ301" s="1118">
        <f>VLOOKUP($E301,CY$442:DB$453,2,FALSE)*CY301*($K301)+IF($G301&lt;&gt;0,($H301/$G301)*CY301,0)*(1-$K301)</f>
        <v>79486840.52681087</v>
      </c>
      <c r="DA301" s="1118">
        <f>VLOOKUP($E301,CY$442:DB$453,3,FALSE)*CY301*($K301)+IF($G301&lt;&gt;0,($I301/$G301)*CY301,0)*(1-$K301)</f>
        <v>0</v>
      </c>
      <c r="DB301" s="1118">
        <f>VLOOKUP($E301,CY$442:DB$453,4,FALSE)*CY301*($K301)+(CY301-CZ301-DA301)*(1-$K301)</f>
        <v>0</v>
      </c>
      <c r="DC301" s="1074"/>
      <c r="DG301" s="1146">
        <f>DG466</f>
        <v>79486840.52681087</v>
      </c>
      <c r="DH301" s="1118">
        <f>VLOOKUP($E301,DG$442:DJ$453,2,FALSE)*DG301*($K301)+IF($G301&lt;&gt;0,($H301/$G301)*DG301,0)*(1-$K301)</f>
        <v>79486840.52681087</v>
      </c>
      <c r="DI301" s="1118">
        <f>VLOOKUP($E301,DG$442:DJ$453,3,FALSE)*DG301*($K301)+IF($G301&lt;&gt;0,($I301/$G301)*DG301,0)*(1-$K301)</f>
        <v>0</v>
      </c>
      <c r="DJ301" s="1118">
        <f>VLOOKUP($E301,DG$442:DJ$453,4,FALSE)*DG301*($K301)+(DG301-DH301-DI301)*(1-$K301)</f>
        <v>0</v>
      </c>
      <c r="DK301" s="1074"/>
      <c r="DO301" s="1146">
        <f>DO466</f>
        <v>79486840.52681087</v>
      </c>
      <c r="DP301" s="1118">
        <f>VLOOKUP($E301,DO$442:DR$453,2,FALSE)*DO301*($K301)+IF($G301&lt;&gt;0,($H301/$G301)*DO301,0)*(1-$K301)</f>
        <v>79486840.52681087</v>
      </c>
      <c r="DQ301" s="1118">
        <f>VLOOKUP($E301,DO$442:DR$453,3,FALSE)*DO301*($K301)+IF($G301&lt;&gt;0,($I301/$G301)*DO301,0)*(1-$K301)</f>
        <v>0</v>
      </c>
      <c r="DR301" s="1118">
        <f>VLOOKUP($E301,DO$442:DR$453,4,FALSE)*DO301*($K301)+(DO301-DP301-DQ301)*(1-$K301)</f>
        <v>0</v>
      </c>
      <c r="DS301" s="1074"/>
      <c r="DW301" s="1146">
        <f>DW466</f>
        <v>79486840.52681087</v>
      </c>
      <c r="DX301" s="1118">
        <f>VLOOKUP($E301,DW$442:DZ$453,2,FALSE)*DW301*($K301)+IF($G301&lt;&gt;0,($H301/$G301)*DW301,0)*(1-$K301)</f>
        <v>79486840.52681087</v>
      </c>
      <c r="DY301" s="1118">
        <f>VLOOKUP($E301,DW$442:DZ$453,3,FALSE)*DW301*($K301)+IF($G301&lt;&gt;0,($I301/$G301)*DW301,0)*(1-$K301)</f>
        <v>0</v>
      </c>
      <c r="DZ301" s="1118">
        <f>VLOOKUP($E301,DW$442:DZ$453,4,FALSE)*DW301*($K301)+(DW301-DX301-DY301)*(1-$K301)</f>
        <v>0</v>
      </c>
      <c r="EA301" s="1074"/>
      <c r="EE301" s="1146">
        <f>EE466</f>
        <v>79486840.52681087</v>
      </c>
      <c r="EF301" s="1118">
        <f>VLOOKUP($E301,EE$442:EH$453,2,FALSE)*EE301*($K301)+IF($G301&lt;&gt;0,($H301/$G301)*EE301,0)*(1-$K301)</f>
        <v>79486840.52681087</v>
      </c>
      <c r="EG301" s="1118">
        <f>VLOOKUP($E301,EE$442:EH$453,3,FALSE)*EE301*($K301)+IF($G301&lt;&gt;0,($I301/$G301)*EE301,0)*(1-$K301)</f>
        <v>0</v>
      </c>
      <c r="EH301" s="1118">
        <f>VLOOKUP($E301,EE$442:EH$453,4,FALSE)*EE301*($K301)+(EE301-EF301-EG301)*(1-$K301)</f>
        <v>0</v>
      </c>
      <c r="EI301" s="1074"/>
      <c r="EM301" s="1146">
        <f>EM466</f>
        <v>79486840.52681087</v>
      </c>
      <c r="EN301" s="1118">
        <f>VLOOKUP($E301,EM$442:EP$453,2,FALSE)*EM301*($K301)+IF($G301&lt;&gt;0,($H301/$G301)*EM301,0)*(1-$K301)</f>
        <v>79486840.52681087</v>
      </c>
      <c r="EO301" s="1118">
        <f>VLOOKUP($E301,EM$442:EP$453,3,FALSE)*EM301*($K301)+IF($G301&lt;&gt;0,($I301/$G301)*EM301,0)*(1-$K301)</f>
        <v>0</v>
      </c>
      <c r="EP301" s="1118">
        <f>VLOOKUP($E301,EM$442:EP$453,4,FALSE)*EM301*($K301)+(EM301-EN301-EO301)*(1-$K301)</f>
        <v>0</v>
      </c>
      <c r="EQ301" s="1074"/>
      <c r="EU301" s="1146">
        <f>EU466</f>
        <v>79486840.52681087</v>
      </c>
      <c r="EV301" s="1118">
        <f>VLOOKUP($E301,EU$442:EX$453,2,FALSE)*EU301*($K301)+IF($G301&lt;&gt;0,($H301/$G301)*EU301,0)*(1-$K301)</f>
        <v>79486840.52681087</v>
      </c>
      <c r="EW301" s="1118">
        <f>VLOOKUP($E301,EU$442:EX$453,3,FALSE)*EU301*($K301)+IF($G301&lt;&gt;0,($I301/$G301)*EU301,0)*(1-$K301)</f>
        <v>0</v>
      </c>
      <c r="EX301" s="1118">
        <f>VLOOKUP($E301,EU$442:EX$453,4,FALSE)*EU301*($K301)+(EU301-EV301-EW301)*(1-$K301)</f>
        <v>0</v>
      </c>
      <c r="EY301" s="1074"/>
      <c r="FC301" s="1146">
        <f>FC466</f>
        <v>79486840.52681087</v>
      </c>
      <c r="FD301" s="1118">
        <f>VLOOKUP($E301,FC$442:FF$453,2,FALSE)*FC301*($K301)+IF($G301&lt;&gt;0,($H301/$G301)*FC301,0)*(1-$K301)</f>
        <v>79486840.52681087</v>
      </c>
      <c r="FE301" s="1118">
        <f>VLOOKUP($E301,FC$442:FF$453,3,FALSE)*FC301*($K301)+IF($G301&lt;&gt;0,($I301/$G301)*FC301,0)*(1-$K301)</f>
        <v>0</v>
      </c>
      <c r="FF301" s="1118">
        <f>VLOOKUP($E301,FC$442:FF$453,4,FALSE)*FC301*($K301)+(FC301-FD301-FE301)*(1-$K301)</f>
        <v>0</v>
      </c>
      <c r="FG301" s="1074"/>
      <c r="FK301" s="1146">
        <f>FK466</f>
        <v>79486840.52681087</v>
      </c>
      <c r="FL301" s="1118">
        <f>VLOOKUP($E301,FK$442:FN$453,2,FALSE)*FK301*($K301)+IF($G301&lt;&gt;0,($H301/$G301)*FK301,0)*(1-$K301)</f>
        <v>79486840.52681087</v>
      </c>
      <c r="FM301" s="1118">
        <f>VLOOKUP($E301,FK$442:FN$453,3,FALSE)*FK301*($K301)+IF($G301&lt;&gt;0,($I301/$G301)*FK301,0)*(1-$K301)</f>
        <v>0</v>
      </c>
      <c r="FN301" s="1118">
        <f>VLOOKUP($E301,FK$442:FN$453,4,FALSE)*FK301*($K301)+(FK301-FL301-FM301)*(1-$K301)</f>
        <v>0</v>
      </c>
      <c r="FO301" s="1074"/>
    </row>
    <row r="302" spans="1:171" x14ac:dyDescent="0.25">
      <c r="A302" s="163" t="s">
        <v>65</v>
      </c>
      <c r="B302" s="64"/>
      <c r="C302" s="915"/>
      <c r="D302" s="916"/>
      <c r="E302" s="916"/>
      <c r="F302" s="917"/>
      <c r="G302" s="924">
        <f>SUM(G301)</f>
        <v>79486840.52681087</v>
      </c>
      <c r="H302" s="924">
        <f>SUM(H301)</f>
        <v>79486840.52681087</v>
      </c>
      <c r="I302" s="924">
        <f>SUM(I301)</f>
        <v>0</v>
      </c>
      <c r="J302" s="1391">
        <f>SUM(J301)</f>
        <v>0</v>
      </c>
      <c r="K302" s="904"/>
      <c r="O302" s="1134">
        <f>SUM(O301)</f>
        <v>79486840.52681087</v>
      </c>
      <c r="P302" s="1140">
        <f>SUM(P301)</f>
        <v>79486840.52681087</v>
      </c>
      <c r="Q302" s="1140">
        <f>SUM(Q301)</f>
        <v>0</v>
      </c>
      <c r="R302" s="1140">
        <f>SUM(R301)</f>
        <v>0</v>
      </c>
      <c r="S302" s="1074"/>
      <c r="W302" s="1134">
        <f>SUM(W301)</f>
        <v>79486840.52681087</v>
      </c>
      <c r="X302" s="1140">
        <f>SUM(X301)</f>
        <v>79486840.52681087</v>
      </c>
      <c r="Y302" s="1140">
        <f>SUM(Y301)</f>
        <v>0</v>
      </c>
      <c r="Z302" s="1140">
        <f>SUM(Z301)</f>
        <v>0</v>
      </c>
      <c r="AA302" s="1074"/>
      <c r="AE302" s="1134">
        <f>SUM(AE301)</f>
        <v>79486840.52681087</v>
      </c>
      <c r="AF302" s="1140">
        <f>SUM(AF301)</f>
        <v>79486840.52681087</v>
      </c>
      <c r="AG302" s="1140">
        <f>SUM(AG301)</f>
        <v>0</v>
      </c>
      <c r="AH302" s="1140">
        <f>SUM(AH301)</f>
        <v>0</v>
      </c>
      <c r="AI302" s="1074"/>
      <c r="AM302" s="1134">
        <f>SUM(AM301)</f>
        <v>79486840.52681087</v>
      </c>
      <c r="AN302" s="1140">
        <f>SUM(AN301)</f>
        <v>79486840.52681087</v>
      </c>
      <c r="AO302" s="1140">
        <f>SUM(AO301)</f>
        <v>0</v>
      </c>
      <c r="AP302" s="1140">
        <f>SUM(AP301)</f>
        <v>0</v>
      </c>
      <c r="AQ302" s="1074"/>
      <c r="AU302" s="1134">
        <f>SUM(AU301)</f>
        <v>79486840.52681087</v>
      </c>
      <c r="AV302" s="1140">
        <f>SUM(AV301)</f>
        <v>79486840.52681087</v>
      </c>
      <c r="AW302" s="1140">
        <f>SUM(AW301)</f>
        <v>0</v>
      </c>
      <c r="AX302" s="1140">
        <f>SUM(AX301)</f>
        <v>0</v>
      </c>
      <c r="AY302" s="1074"/>
      <c r="BC302" s="1134">
        <f>SUM(BC301)</f>
        <v>79486840.52681087</v>
      </c>
      <c r="BD302" s="1140">
        <f>SUM(BD301)</f>
        <v>79486840.52681087</v>
      </c>
      <c r="BE302" s="1140">
        <f>SUM(BE301)</f>
        <v>0</v>
      </c>
      <c r="BF302" s="1140">
        <f>SUM(BF301)</f>
        <v>0</v>
      </c>
      <c r="BG302" s="1074"/>
      <c r="BK302" s="1134">
        <f>SUM(BK301)</f>
        <v>79486840.52681087</v>
      </c>
      <c r="BL302" s="1140">
        <f>SUM(BL301)</f>
        <v>79486840.52681087</v>
      </c>
      <c r="BM302" s="1140">
        <f>SUM(BM301)</f>
        <v>0</v>
      </c>
      <c r="BN302" s="1140">
        <f>SUM(BN301)</f>
        <v>0</v>
      </c>
      <c r="BO302" s="1074"/>
      <c r="BS302" s="1134">
        <f>SUM(BS301)</f>
        <v>79486840.52681087</v>
      </c>
      <c r="BT302" s="1140">
        <f>SUM(BT301)</f>
        <v>79486840.52681087</v>
      </c>
      <c r="BU302" s="1140">
        <f>SUM(BU301)</f>
        <v>0</v>
      </c>
      <c r="BV302" s="1140">
        <f>SUM(BV301)</f>
        <v>0</v>
      </c>
      <c r="BW302" s="1074"/>
      <c r="CA302" s="1134">
        <f>SUM(CA301)</f>
        <v>79486840.52681087</v>
      </c>
      <c r="CB302" s="1140">
        <f>SUM(CB301)</f>
        <v>79486840.52681087</v>
      </c>
      <c r="CC302" s="1140">
        <f>SUM(CC301)</f>
        <v>0</v>
      </c>
      <c r="CD302" s="1140">
        <f>SUM(CD301)</f>
        <v>0</v>
      </c>
      <c r="CE302" s="1074"/>
      <c r="CI302" s="1134">
        <f>SUM(CI301)</f>
        <v>79486840.52681087</v>
      </c>
      <c r="CJ302" s="1140">
        <f>SUM(CJ301)</f>
        <v>79486840.52681087</v>
      </c>
      <c r="CK302" s="1140">
        <f>SUM(CK301)</f>
        <v>0</v>
      </c>
      <c r="CL302" s="1140">
        <f>SUM(CL301)</f>
        <v>0</v>
      </c>
      <c r="CM302" s="1074"/>
      <c r="CQ302" s="1134">
        <f>SUM(CQ301)</f>
        <v>79486840.52681087</v>
      </c>
      <c r="CR302" s="1140">
        <f>SUM(CR301)</f>
        <v>79486840.52681087</v>
      </c>
      <c r="CS302" s="1140">
        <f>SUM(CS301)</f>
        <v>0</v>
      </c>
      <c r="CT302" s="1140">
        <f>SUM(CT301)</f>
        <v>0</v>
      </c>
      <c r="CU302" s="1074"/>
      <c r="CY302" s="1134">
        <f>SUM(CY301)</f>
        <v>79486840.52681087</v>
      </c>
      <c r="CZ302" s="1140">
        <f>SUM(CZ301)</f>
        <v>79486840.52681087</v>
      </c>
      <c r="DA302" s="1140">
        <f>SUM(DA301)</f>
        <v>0</v>
      </c>
      <c r="DB302" s="1140">
        <f>SUM(DB301)</f>
        <v>0</v>
      </c>
      <c r="DC302" s="1074"/>
      <c r="DG302" s="1134">
        <f>SUM(DG301)</f>
        <v>79486840.52681087</v>
      </c>
      <c r="DH302" s="1140">
        <f>SUM(DH301)</f>
        <v>79486840.52681087</v>
      </c>
      <c r="DI302" s="1140">
        <f>SUM(DI301)</f>
        <v>0</v>
      </c>
      <c r="DJ302" s="1140">
        <f>SUM(DJ301)</f>
        <v>0</v>
      </c>
      <c r="DK302" s="1074"/>
      <c r="DO302" s="1134">
        <f>SUM(DO301)</f>
        <v>79486840.52681087</v>
      </c>
      <c r="DP302" s="1140">
        <f>SUM(DP301)</f>
        <v>79486840.52681087</v>
      </c>
      <c r="DQ302" s="1140">
        <f>SUM(DQ301)</f>
        <v>0</v>
      </c>
      <c r="DR302" s="1140">
        <f>SUM(DR301)</f>
        <v>0</v>
      </c>
      <c r="DS302" s="1074"/>
      <c r="DW302" s="1134">
        <f>SUM(DW301)</f>
        <v>79486840.52681087</v>
      </c>
      <c r="DX302" s="1140">
        <f>SUM(DX301)</f>
        <v>79486840.52681087</v>
      </c>
      <c r="DY302" s="1140">
        <f>SUM(DY301)</f>
        <v>0</v>
      </c>
      <c r="DZ302" s="1140">
        <f>SUM(DZ301)</f>
        <v>0</v>
      </c>
      <c r="EA302" s="1074"/>
      <c r="EE302" s="1134">
        <f>SUM(EE301)</f>
        <v>79486840.52681087</v>
      </c>
      <c r="EF302" s="1140">
        <f>SUM(EF301)</f>
        <v>79486840.52681087</v>
      </c>
      <c r="EG302" s="1140">
        <f>SUM(EG301)</f>
        <v>0</v>
      </c>
      <c r="EH302" s="1140">
        <f>SUM(EH301)</f>
        <v>0</v>
      </c>
      <c r="EI302" s="1074"/>
      <c r="EM302" s="1134">
        <f>SUM(EM301)</f>
        <v>79486840.52681087</v>
      </c>
      <c r="EN302" s="1140">
        <f>SUM(EN301)</f>
        <v>79486840.52681087</v>
      </c>
      <c r="EO302" s="1140">
        <f>SUM(EO301)</f>
        <v>0</v>
      </c>
      <c r="EP302" s="1140">
        <f>SUM(EP301)</f>
        <v>0</v>
      </c>
      <c r="EQ302" s="1074"/>
      <c r="EU302" s="1134">
        <f>SUM(EU301)</f>
        <v>79486840.52681087</v>
      </c>
      <c r="EV302" s="1140">
        <f>SUM(EV301)</f>
        <v>79486840.52681087</v>
      </c>
      <c r="EW302" s="1140">
        <f>SUM(EW301)</f>
        <v>0</v>
      </c>
      <c r="EX302" s="1140">
        <f>SUM(EX301)</f>
        <v>0</v>
      </c>
      <c r="EY302" s="1074"/>
      <c r="FC302" s="1134">
        <f>SUM(FC301)</f>
        <v>79486840.52681087</v>
      </c>
      <c r="FD302" s="1140">
        <f>SUM(FD301)</f>
        <v>79486840.52681087</v>
      </c>
      <c r="FE302" s="1140">
        <f>SUM(FE301)</f>
        <v>0</v>
      </c>
      <c r="FF302" s="1140">
        <f>SUM(FF301)</f>
        <v>0</v>
      </c>
      <c r="FG302" s="1074"/>
      <c r="FK302" s="1134">
        <f>SUM(FK301)</f>
        <v>79486840.52681087</v>
      </c>
      <c r="FL302" s="1140">
        <f>SUM(FL301)</f>
        <v>79486840.52681087</v>
      </c>
      <c r="FM302" s="1140">
        <f>SUM(FM301)</f>
        <v>0</v>
      </c>
      <c r="FN302" s="1140">
        <f>SUM(FN301)</f>
        <v>0</v>
      </c>
      <c r="FO302" s="1074"/>
    </row>
    <row r="303" spans="1:171" x14ac:dyDescent="0.25">
      <c r="A303" s="228"/>
      <c r="B303" s="64"/>
      <c r="C303" s="55"/>
      <c r="D303" s="55"/>
      <c r="E303" s="55"/>
      <c r="F303" s="55"/>
      <c r="G303" s="221"/>
      <c r="H303" s="221"/>
      <c r="I303" s="221"/>
      <c r="J303" s="222"/>
      <c r="K303" s="904"/>
      <c r="S303" s="1074"/>
      <c r="AA303" s="1074"/>
      <c r="AI303" s="1074"/>
      <c r="AQ303" s="1074"/>
      <c r="AY303" s="1074"/>
      <c r="BG303" s="1074"/>
      <c r="BO303" s="1074"/>
      <c r="BW303" s="1074"/>
      <c r="CE303" s="1074"/>
      <c r="CM303" s="1074"/>
      <c r="CU303" s="1074"/>
      <c r="DC303" s="1074"/>
      <c r="DK303" s="1074"/>
      <c r="DS303" s="1074"/>
      <c r="EA303" s="1074"/>
      <c r="EI303" s="1074"/>
      <c r="EQ303" s="1074"/>
      <c r="EY303" s="1074"/>
      <c r="FG303" s="1074"/>
      <c r="FO303" s="1074"/>
    </row>
    <row r="304" spans="1:171" x14ac:dyDescent="0.25">
      <c r="A304" s="160" t="s">
        <v>43</v>
      </c>
      <c r="B304" s="64"/>
      <c r="C304" s="55"/>
      <c r="D304" s="55"/>
      <c r="E304" s="55"/>
      <c r="F304" s="55"/>
      <c r="G304" s="221"/>
      <c r="H304" s="221"/>
      <c r="I304" s="221"/>
      <c r="J304" s="222"/>
      <c r="K304" s="904"/>
      <c r="S304" s="1074"/>
      <c r="AA304" s="1074"/>
      <c r="AI304" s="1074"/>
      <c r="AQ304" s="1074"/>
      <c r="AY304" s="1074"/>
      <c r="BG304" s="1074"/>
      <c r="BO304" s="1074"/>
      <c r="BW304" s="1074"/>
      <c r="CE304" s="1074"/>
      <c r="CM304" s="1074"/>
      <c r="CU304" s="1074"/>
      <c r="DC304" s="1074"/>
      <c r="DK304" s="1074"/>
      <c r="DS304" s="1074"/>
      <c r="EA304" s="1074"/>
      <c r="EI304" s="1074"/>
      <c r="EQ304" s="1074"/>
      <c r="EY304" s="1074"/>
      <c r="FG304" s="1074"/>
      <c r="FO304" s="1074"/>
    </row>
    <row r="305" spans="1:171" x14ac:dyDescent="0.25">
      <c r="A305" s="913"/>
      <c r="B305" s="79" t="s">
        <v>327</v>
      </c>
      <c r="C305" s="889">
        <v>300</v>
      </c>
      <c r="D305" s="890">
        <v>450</v>
      </c>
      <c r="E305" s="182" t="str">
        <f>'Sch 3B - Other Items'!E29</f>
        <v>DIST</v>
      </c>
      <c r="F305" s="890"/>
      <c r="G305" s="182">
        <f>'Sch 3B - Other Items'!G29</f>
        <v>8515319.6916797031</v>
      </c>
      <c r="H305" s="182">
        <f>'Sch 3B - Other Items'!H29</f>
        <v>0</v>
      </c>
      <c r="I305" s="182">
        <f>'Sch 3B - Other Items'!I29</f>
        <v>0</v>
      </c>
      <c r="J305" s="183">
        <f>'Sch 3B - Other Items'!J29</f>
        <v>8515319.6916797031</v>
      </c>
      <c r="K305" s="904">
        <f t="shared" ref="K305:K311" si="892">IF($E305="DIRECT",0,1)</f>
        <v>1</v>
      </c>
      <c r="O305" s="1117">
        <f>$G305</f>
        <v>8515319.6916797031</v>
      </c>
      <c r="P305" s="1118">
        <f t="shared" ref="P305:P311" si="893">VLOOKUP($E305,O$442:R$453,2,FALSE)*O305*($K305)+IF($G305&lt;&gt;0,($H305/$G305)*O305,0)*(1-$K305)</f>
        <v>0</v>
      </c>
      <c r="Q305" s="1118">
        <f t="shared" ref="Q305:Q311" si="894">VLOOKUP($E305,O$442:R$453,3,FALSE)*O305*($K305)+IF($G305&lt;&gt;0,($I305/$G305)*O305,0)*(1-$K305)</f>
        <v>0</v>
      </c>
      <c r="R305" s="1118">
        <f t="shared" ref="R305:R311" si="895">VLOOKUP($E305,O$442:R$453,4,FALSE)*O305*($K305)+(O305-P305-Q305)*(1-$K305)</f>
        <v>8515319.6916797031</v>
      </c>
      <c r="S305" s="1074"/>
      <c r="W305" s="1117">
        <f>$G305</f>
        <v>8515319.6916797031</v>
      </c>
      <c r="X305" s="1118">
        <f t="shared" ref="X305:X311" si="896">VLOOKUP($E305,W$442:Z$453,2,FALSE)*W305*($K305)+IF($G305&lt;&gt;0,($H305/$G305)*W305,0)*(1-$K305)</f>
        <v>0</v>
      </c>
      <c r="Y305" s="1118">
        <f t="shared" ref="Y305:Y311" si="897">VLOOKUP($E305,W$442:Z$453,3,FALSE)*W305*($K305)+IF($G305&lt;&gt;0,($I305/$G305)*W305,0)*(1-$K305)</f>
        <v>0</v>
      </c>
      <c r="Z305" s="1118">
        <f t="shared" ref="Z305:Z311" si="898">VLOOKUP($E305,W$442:Z$453,4,FALSE)*W305*($K305)+(W305-X305-Y305)*(1-$K305)</f>
        <v>8515319.6916797031</v>
      </c>
      <c r="AA305" s="1074"/>
      <c r="AE305" s="1117">
        <f>$G305</f>
        <v>8515319.6916797031</v>
      </c>
      <c r="AF305" s="1118">
        <f t="shared" ref="AF305:AF311" si="899">VLOOKUP($E305,AE$442:AH$453,2,FALSE)*AE305*($K305)+IF($G305&lt;&gt;0,($H305/$G305)*AE305,0)*(1-$K305)</f>
        <v>0</v>
      </c>
      <c r="AG305" s="1118">
        <f t="shared" ref="AG305:AG311" si="900">VLOOKUP($E305,AE$442:AH$453,3,FALSE)*AE305*($K305)+IF($G305&lt;&gt;0,($I305/$G305)*AE305,0)*(1-$K305)</f>
        <v>0</v>
      </c>
      <c r="AH305" s="1118">
        <f t="shared" ref="AH305:AH311" si="901">VLOOKUP($E305,AE$442:AH$453,4,FALSE)*AE305*($K305)+(AE305-AF305-AG305)*(1-$K305)</f>
        <v>8515319.6916797031</v>
      </c>
      <c r="AI305" s="1074"/>
      <c r="AM305" s="1117">
        <f>$G305</f>
        <v>8515319.6916797031</v>
      </c>
      <c r="AN305" s="1118">
        <f t="shared" ref="AN305:AN311" si="902">VLOOKUP($E305,AM$442:AP$453,2,FALSE)*AM305*($K305)+IF($G305&lt;&gt;0,($H305/$G305)*AM305,0)*(1-$K305)</f>
        <v>0</v>
      </c>
      <c r="AO305" s="1118">
        <f t="shared" ref="AO305:AO311" si="903">VLOOKUP($E305,AM$442:AP$453,3,FALSE)*AM305*($K305)+IF($G305&lt;&gt;0,($I305/$G305)*AM305,0)*(1-$K305)</f>
        <v>0</v>
      </c>
      <c r="AP305" s="1118">
        <f t="shared" ref="AP305:AP311" si="904">VLOOKUP($E305,AM$442:AP$453,4,FALSE)*AM305*($K305)+(AM305-AN305-AO305)*(1-$K305)</f>
        <v>8515319.6916797031</v>
      </c>
      <c r="AQ305" s="1074"/>
      <c r="AU305" s="1117">
        <f>$G305</f>
        <v>8515319.6916797031</v>
      </c>
      <c r="AV305" s="1118">
        <f t="shared" ref="AV305:AV311" si="905">VLOOKUP($E305,AU$442:AX$453,2,FALSE)*AU305*($K305)+IF($G305&lt;&gt;0,($H305/$G305)*AU305,0)*(1-$K305)</f>
        <v>0</v>
      </c>
      <c r="AW305" s="1118">
        <f t="shared" ref="AW305:AW311" si="906">VLOOKUP($E305,AU$442:AX$453,3,FALSE)*AU305*($K305)+IF($G305&lt;&gt;0,($I305/$G305)*AU305,0)*(1-$K305)</f>
        <v>0</v>
      </c>
      <c r="AX305" s="1118">
        <f t="shared" ref="AX305:AX311" si="907">VLOOKUP($E305,AU$442:AX$453,4,FALSE)*AU305*($K305)+(AU305-AV305-AW305)*(1-$K305)</f>
        <v>8515319.6916797031</v>
      </c>
      <c r="AY305" s="1074"/>
      <c r="BC305" s="1117">
        <f>$G305</f>
        <v>8515319.6916797031</v>
      </c>
      <c r="BD305" s="1118">
        <f t="shared" ref="BD305:BD311" si="908">VLOOKUP($E305,BC$442:BF$453,2,FALSE)*BC305*($K305)+IF($G305&lt;&gt;0,($H305/$G305)*BC305,0)*(1-$K305)</f>
        <v>0</v>
      </c>
      <c r="BE305" s="1118">
        <f t="shared" ref="BE305:BE311" si="909">VLOOKUP($E305,BC$442:BF$453,3,FALSE)*BC305*($K305)+IF($G305&lt;&gt;0,($I305/$G305)*BC305,0)*(1-$K305)</f>
        <v>0</v>
      </c>
      <c r="BF305" s="1118">
        <f t="shared" ref="BF305:BF311" si="910">VLOOKUP($E305,BC$442:BF$453,4,FALSE)*BC305*($K305)+(BC305-BD305-BE305)*(1-$K305)</f>
        <v>8515319.6916797031</v>
      </c>
      <c r="BG305" s="1074"/>
      <c r="BK305" s="1117">
        <f>$G305</f>
        <v>8515319.6916797031</v>
      </c>
      <c r="BL305" s="1118">
        <f t="shared" ref="BL305:BL311" si="911">VLOOKUP($E305,BK$442:BN$453,2,FALSE)*BK305*($K305)+IF($G305&lt;&gt;0,($H305/$G305)*BK305,0)*(1-$K305)</f>
        <v>0</v>
      </c>
      <c r="BM305" s="1118">
        <f t="shared" ref="BM305:BM311" si="912">VLOOKUP($E305,BK$442:BN$453,3,FALSE)*BK305*($K305)+IF($G305&lt;&gt;0,($I305/$G305)*BK305,0)*(1-$K305)</f>
        <v>0</v>
      </c>
      <c r="BN305" s="1118">
        <f t="shared" ref="BN305:BN311" si="913">VLOOKUP($E305,BK$442:BN$453,4,FALSE)*BK305*($K305)+(BK305-BL305-BM305)*(1-$K305)</f>
        <v>8515319.6916797031</v>
      </c>
      <c r="BO305" s="1074"/>
      <c r="BS305" s="1117">
        <f>$G305</f>
        <v>8515319.6916797031</v>
      </c>
      <c r="BT305" s="1118">
        <f t="shared" ref="BT305:BT311" si="914">VLOOKUP($E305,BS$442:BV$453,2,FALSE)*BS305*($K305)+IF($G305&lt;&gt;0,($H305/$G305)*BS305,0)*(1-$K305)</f>
        <v>0</v>
      </c>
      <c r="BU305" s="1118">
        <f t="shared" ref="BU305:BU311" si="915">VLOOKUP($E305,BS$442:BV$453,3,FALSE)*BS305*($K305)+IF($G305&lt;&gt;0,($I305/$G305)*BS305,0)*(1-$K305)</f>
        <v>0</v>
      </c>
      <c r="BV305" s="1118">
        <f t="shared" ref="BV305:BV311" si="916">VLOOKUP($E305,BS$442:BV$453,4,FALSE)*BS305*($K305)+(BS305-BT305-BU305)*(1-$K305)</f>
        <v>8515319.6916797031</v>
      </c>
      <c r="BW305" s="1074"/>
      <c r="CA305" s="1117">
        <f>$G305</f>
        <v>8515319.6916797031</v>
      </c>
      <c r="CB305" s="1118">
        <f t="shared" ref="CB305:CB311" si="917">VLOOKUP($E305,CA$442:CD$453,2,FALSE)*CA305*($K305)+IF($G305&lt;&gt;0,($H305/$G305)*CA305,0)*(1-$K305)</f>
        <v>0</v>
      </c>
      <c r="CC305" s="1118">
        <f t="shared" ref="CC305:CC311" si="918">VLOOKUP($E305,CA$442:CD$453,3,FALSE)*CA305*($K305)+IF($G305&lt;&gt;0,($I305/$G305)*CA305,0)*(1-$K305)</f>
        <v>0</v>
      </c>
      <c r="CD305" s="1118">
        <f t="shared" ref="CD305:CD311" si="919">VLOOKUP($E305,CA$442:CD$453,4,FALSE)*CA305*($K305)+(CA305-CB305-CC305)*(1-$K305)</f>
        <v>8515319.6916797031</v>
      </c>
      <c r="CE305" s="1074"/>
      <c r="CI305" s="1117">
        <f>$G305</f>
        <v>8515319.6916797031</v>
      </c>
      <c r="CJ305" s="1118">
        <f t="shared" ref="CJ305:CJ311" si="920">VLOOKUP($E305,CI$442:CL$453,2,FALSE)*CI305*($K305)+IF($G305&lt;&gt;0,($H305/$G305)*CI305,0)*(1-$K305)</f>
        <v>0</v>
      </c>
      <c r="CK305" s="1118">
        <f t="shared" ref="CK305:CK311" si="921">VLOOKUP($E305,CI$442:CL$453,3,FALSE)*CI305*($K305)+IF($G305&lt;&gt;0,($I305/$G305)*CI305,0)*(1-$K305)</f>
        <v>0</v>
      </c>
      <c r="CL305" s="1118">
        <f t="shared" ref="CL305:CL311" si="922">VLOOKUP($E305,CI$442:CL$453,4,FALSE)*CI305*($K305)+(CI305-CJ305-CK305)*(1-$K305)</f>
        <v>8515319.6916797031</v>
      </c>
      <c r="CM305" s="1074"/>
      <c r="CQ305" s="1117">
        <f>$G305</f>
        <v>8515319.6916797031</v>
      </c>
      <c r="CR305" s="1118">
        <f t="shared" ref="CR305:CR311" si="923">VLOOKUP($E305,CQ$442:CT$453,2,FALSE)*CQ305*($K305)+IF($G305&lt;&gt;0,($H305/$G305)*CQ305,0)*(1-$K305)</f>
        <v>0</v>
      </c>
      <c r="CS305" s="1118">
        <f t="shared" ref="CS305:CS311" si="924">VLOOKUP($E305,CQ$442:CT$453,3,FALSE)*CQ305*($K305)+IF($G305&lt;&gt;0,($I305/$G305)*CQ305,0)*(1-$K305)</f>
        <v>0</v>
      </c>
      <c r="CT305" s="1118">
        <f t="shared" ref="CT305:CT311" si="925">VLOOKUP($E305,CQ$442:CT$453,4,FALSE)*CQ305*($K305)+(CQ305-CR305-CS305)*(1-$K305)</f>
        <v>8515319.6916797031</v>
      </c>
      <c r="CU305" s="1074"/>
      <c r="CY305" s="1117">
        <f>$G305</f>
        <v>8515319.6916797031</v>
      </c>
      <c r="CZ305" s="1118">
        <f t="shared" ref="CZ305:CZ311" si="926">VLOOKUP($E305,CY$442:DB$453,2,FALSE)*CY305*($K305)+IF($G305&lt;&gt;0,($H305/$G305)*CY305,0)*(1-$K305)</f>
        <v>0</v>
      </c>
      <c r="DA305" s="1118">
        <f t="shared" ref="DA305:DA311" si="927">VLOOKUP($E305,CY$442:DB$453,3,FALSE)*CY305*($K305)+IF($G305&lt;&gt;0,($I305/$G305)*CY305,0)*(1-$K305)</f>
        <v>0</v>
      </c>
      <c r="DB305" s="1118">
        <f t="shared" ref="DB305:DB311" si="928">VLOOKUP($E305,CY$442:DB$453,4,FALSE)*CY305*($K305)+(CY305-CZ305-DA305)*(1-$K305)</f>
        <v>8515319.6916797031</v>
      </c>
      <c r="DC305" s="1074"/>
      <c r="DG305" s="1117">
        <f>$G305</f>
        <v>8515319.6916797031</v>
      </c>
      <c r="DH305" s="1118">
        <f t="shared" ref="DH305:DH311" si="929">VLOOKUP($E305,DG$442:DJ$453,2,FALSE)*DG305*($K305)+IF($G305&lt;&gt;0,($H305/$G305)*DG305,0)*(1-$K305)</f>
        <v>0</v>
      </c>
      <c r="DI305" s="1118">
        <f t="shared" ref="DI305:DI311" si="930">VLOOKUP($E305,DG$442:DJ$453,3,FALSE)*DG305*($K305)+IF($G305&lt;&gt;0,($I305/$G305)*DG305,0)*(1-$K305)</f>
        <v>0</v>
      </c>
      <c r="DJ305" s="1118">
        <f t="shared" ref="DJ305:DJ311" si="931">VLOOKUP($E305,DG$442:DJ$453,4,FALSE)*DG305*($K305)+(DG305-DH305-DI305)*(1-$K305)</f>
        <v>8515319.6916797031</v>
      </c>
      <c r="DK305" s="1074"/>
      <c r="DO305" s="1117">
        <f>$G305</f>
        <v>8515319.6916797031</v>
      </c>
      <c r="DP305" s="1118">
        <f t="shared" ref="DP305:DP311" si="932">VLOOKUP($E305,DO$442:DR$453,2,FALSE)*DO305*($K305)+IF($G305&lt;&gt;0,($H305/$G305)*DO305,0)*(1-$K305)</f>
        <v>0</v>
      </c>
      <c r="DQ305" s="1118">
        <f t="shared" ref="DQ305:DQ311" si="933">VLOOKUP($E305,DO$442:DR$453,3,FALSE)*DO305*($K305)+IF($G305&lt;&gt;0,($I305/$G305)*DO305,0)*(1-$K305)</f>
        <v>0</v>
      </c>
      <c r="DR305" s="1118">
        <f t="shared" ref="DR305:DR311" si="934">VLOOKUP($E305,DO$442:DR$453,4,FALSE)*DO305*($K305)+(DO305-DP305-DQ305)*(1-$K305)</f>
        <v>8515319.6916797031</v>
      </c>
      <c r="DS305" s="1074"/>
      <c r="DW305" s="1117">
        <f>$G305</f>
        <v>8515319.6916797031</v>
      </c>
      <c r="DX305" s="1118">
        <f t="shared" ref="DX305:DX311" si="935">VLOOKUP($E305,DW$442:DZ$453,2,FALSE)*DW305*($K305)+IF($G305&lt;&gt;0,($H305/$G305)*DW305,0)*(1-$K305)</f>
        <v>0</v>
      </c>
      <c r="DY305" s="1118">
        <f t="shared" ref="DY305:DY311" si="936">VLOOKUP($E305,DW$442:DZ$453,3,FALSE)*DW305*($K305)+IF($G305&lt;&gt;0,($I305/$G305)*DW305,0)*(1-$K305)</f>
        <v>0</v>
      </c>
      <c r="DZ305" s="1118">
        <f t="shared" ref="DZ305:DZ311" si="937">VLOOKUP($E305,DW$442:DZ$453,4,FALSE)*DW305*($K305)+(DW305-DX305-DY305)*(1-$K305)</f>
        <v>8515319.6916797031</v>
      </c>
      <c r="EA305" s="1074"/>
      <c r="EE305" s="1117">
        <f>$G305</f>
        <v>8515319.6916797031</v>
      </c>
      <c r="EF305" s="1118">
        <f t="shared" ref="EF305:EF311" si="938">VLOOKUP($E305,EE$442:EH$453,2,FALSE)*EE305*($K305)+IF($G305&lt;&gt;0,($H305/$G305)*EE305,0)*(1-$K305)</f>
        <v>0</v>
      </c>
      <c r="EG305" s="1118">
        <f t="shared" ref="EG305:EG311" si="939">VLOOKUP($E305,EE$442:EH$453,3,FALSE)*EE305*($K305)+IF($G305&lt;&gt;0,($I305/$G305)*EE305,0)*(1-$K305)</f>
        <v>0</v>
      </c>
      <c r="EH305" s="1118">
        <f t="shared" ref="EH305:EH311" si="940">VLOOKUP($E305,EE$442:EH$453,4,FALSE)*EE305*($K305)+(EE305-EF305-EG305)*(1-$K305)</f>
        <v>8515319.6916797031</v>
      </c>
      <c r="EI305" s="1074"/>
      <c r="EM305" s="1117">
        <f>$G305</f>
        <v>8515319.6916797031</v>
      </c>
      <c r="EN305" s="1118">
        <f t="shared" ref="EN305:EN311" si="941">VLOOKUP($E305,EM$442:EP$453,2,FALSE)*EM305*($K305)+IF($G305&lt;&gt;0,($H305/$G305)*EM305,0)*(1-$K305)</f>
        <v>0</v>
      </c>
      <c r="EO305" s="1118">
        <f t="shared" ref="EO305:EO311" si="942">VLOOKUP($E305,EM$442:EP$453,3,FALSE)*EM305*($K305)+IF($G305&lt;&gt;0,($I305/$G305)*EM305,0)*(1-$K305)</f>
        <v>0</v>
      </c>
      <c r="EP305" s="1118">
        <f t="shared" ref="EP305:EP311" si="943">VLOOKUP($E305,EM$442:EP$453,4,FALSE)*EM305*($K305)+(EM305-EN305-EO305)*(1-$K305)</f>
        <v>8515319.6916797031</v>
      </c>
      <c r="EQ305" s="1074"/>
      <c r="EU305" s="1117">
        <f>$G305</f>
        <v>8515319.6916797031</v>
      </c>
      <c r="EV305" s="1118">
        <f t="shared" ref="EV305:EV311" si="944">VLOOKUP($E305,EU$442:EX$453,2,FALSE)*EU305*($K305)+IF($G305&lt;&gt;0,($H305/$G305)*EU305,0)*(1-$K305)</f>
        <v>0</v>
      </c>
      <c r="EW305" s="1118">
        <f t="shared" ref="EW305:EW311" si="945">VLOOKUP($E305,EU$442:EX$453,3,FALSE)*EU305*($K305)+IF($G305&lt;&gt;0,($I305/$G305)*EU305,0)*(1-$K305)</f>
        <v>0</v>
      </c>
      <c r="EX305" s="1118">
        <f t="shared" ref="EX305:EX311" si="946">VLOOKUP($E305,EU$442:EX$453,4,FALSE)*EU305*($K305)+(EU305-EV305-EW305)*(1-$K305)</f>
        <v>8515319.6916797031</v>
      </c>
      <c r="EY305" s="1074"/>
      <c r="FC305" s="1117">
        <f>$G305</f>
        <v>8515319.6916797031</v>
      </c>
      <c r="FD305" s="1118">
        <f t="shared" ref="FD305:FD311" si="947">VLOOKUP($E305,FC$442:FF$453,2,FALSE)*FC305*($K305)+IF($G305&lt;&gt;0,($H305/$G305)*FC305,0)*(1-$K305)</f>
        <v>0</v>
      </c>
      <c r="FE305" s="1118">
        <f t="shared" ref="FE305:FE311" si="948">VLOOKUP($E305,FC$442:FF$453,3,FALSE)*FC305*($K305)+IF($G305&lt;&gt;0,($I305/$G305)*FC305,0)*(1-$K305)</f>
        <v>0</v>
      </c>
      <c r="FF305" s="1118">
        <f t="shared" ref="FF305:FF311" si="949">VLOOKUP($E305,FC$442:FF$453,4,FALSE)*FC305*($K305)+(FC305-FD305-FE305)*(1-$K305)</f>
        <v>8515319.6916797031</v>
      </c>
      <c r="FG305" s="1074"/>
      <c r="FK305" s="1117">
        <f>$G305</f>
        <v>8515319.6916797031</v>
      </c>
      <c r="FL305" s="1118">
        <f t="shared" ref="FL305:FL311" si="950">VLOOKUP($E305,FK$442:FN$453,2,FALSE)*FK305*($K305)+IF($G305&lt;&gt;0,($H305/$G305)*FK305,0)*(1-$K305)</f>
        <v>0</v>
      </c>
      <c r="FM305" s="1118">
        <f t="shared" ref="FM305:FM311" si="951">VLOOKUP($E305,FK$442:FN$453,3,FALSE)*FK305*($K305)+IF($G305&lt;&gt;0,($I305/$G305)*FK305,0)*(1-$K305)</f>
        <v>0</v>
      </c>
      <c r="FN305" s="1118">
        <f t="shared" ref="FN305:FN311" si="952">VLOOKUP($E305,FK$442:FN$453,4,FALSE)*FK305*($K305)+(FK305-FL305-FM305)*(1-$K305)</f>
        <v>8515319.6916797031</v>
      </c>
      <c r="FO305" s="1074"/>
    </row>
    <row r="306" spans="1:171" x14ac:dyDescent="0.25">
      <c r="A306" s="913"/>
      <c r="B306" s="79" t="s">
        <v>546</v>
      </c>
      <c r="C306" s="889">
        <v>300</v>
      </c>
      <c r="D306" s="890" t="s">
        <v>44</v>
      </c>
      <c r="E306" s="182" t="str">
        <f>'Sch 3B - Other Items'!E30</f>
        <v>DIST</v>
      </c>
      <c r="F306" s="890"/>
      <c r="G306" s="182">
        <f>'Sch 3B - Other Items'!G30</f>
        <v>1980493.0813357825</v>
      </c>
      <c r="H306" s="182">
        <f>'Sch 3B - Other Items'!H30</f>
        <v>0</v>
      </c>
      <c r="I306" s="182">
        <f>'Sch 3B - Other Items'!I30</f>
        <v>0</v>
      </c>
      <c r="J306" s="183">
        <f>'Sch 3B - Other Items'!J30</f>
        <v>1980493.0813357825</v>
      </c>
      <c r="K306" s="904">
        <f t="shared" si="892"/>
        <v>1</v>
      </c>
      <c r="O306" s="1117">
        <f>$G306</f>
        <v>1980493.0813357825</v>
      </c>
      <c r="P306" s="1118">
        <f t="shared" si="893"/>
        <v>0</v>
      </c>
      <c r="Q306" s="1118">
        <f t="shared" si="894"/>
        <v>0</v>
      </c>
      <c r="R306" s="1118">
        <f t="shared" si="895"/>
        <v>1980493.0813357825</v>
      </c>
      <c r="S306" s="1074"/>
      <c r="W306" s="1117">
        <f>$G306</f>
        <v>1980493.0813357825</v>
      </c>
      <c r="X306" s="1118">
        <f t="shared" si="896"/>
        <v>0</v>
      </c>
      <c r="Y306" s="1118">
        <f t="shared" si="897"/>
        <v>0</v>
      </c>
      <c r="Z306" s="1118">
        <f t="shared" si="898"/>
        <v>1980493.0813357825</v>
      </c>
      <c r="AA306" s="1074"/>
      <c r="AE306" s="1117">
        <f>$G306</f>
        <v>1980493.0813357825</v>
      </c>
      <c r="AF306" s="1118">
        <f t="shared" si="899"/>
        <v>0</v>
      </c>
      <c r="AG306" s="1118">
        <f t="shared" si="900"/>
        <v>0</v>
      </c>
      <c r="AH306" s="1118">
        <f t="shared" si="901"/>
        <v>1980493.0813357825</v>
      </c>
      <c r="AI306" s="1074"/>
      <c r="AM306" s="1117">
        <f>$G306</f>
        <v>1980493.0813357825</v>
      </c>
      <c r="AN306" s="1118">
        <f t="shared" si="902"/>
        <v>0</v>
      </c>
      <c r="AO306" s="1118">
        <f t="shared" si="903"/>
        <v>0</v>
      </c>
      <c r="AP306" s="1118">
        <f t="shared" si="904"/>
        <v>1980493.0813357825</v>
      </c>
      <c r="AQ306" s="1074"/>
      <c r="AU306" s="1117">
        <f>$G306</f>
        <v>1980493.0813357825</v>
      </c>
      <c r="AV306" s="1118">
        <f t="shared" si="905"/>
        <v>0</v>
      </c>
      <c r="AW306" s="1118">
        <f t="shared" si="906"/>
        <v>0</v>
      </c>
      <c r="AX306" s="1118">
        <f t="shared" si="907"/>
        <v>1980493.0813357825</v>
      </c>
      <c r="AY306" s="1074"/>
      <c r="BC306" s="1117">
        <f>$G306</f>
        <v>1980493.0813357825</v>
      </c>
      <c r="BD306" s="1118">
        <f t="shared" si="908"/>
        <v>0</v>
      </c>
      <c r="BE306" s="1118">
        <f t="shared" si="909"/>
        <v>0</v>
      </c>
      <c r="BF306" s="1118">
        <f t="shared" si="910"/>
        <v>1980493.0813357825</v>
      </c>
      <c r="BG306" s="1074"/>
      <c r="BK306" s="1117">
        <f>$G306</f>
        <v>1980493.0813357825</v>
      </c>
      <c r="BL306" s="1118">
        <f t="shared" si="911"/>
        <v>0</v>
      </c>
      <c r="BM306" s="1118">
        <f t="shared" si="912"/>
        <v>0</v>
      </c>
      <c r="BN306" s="1118">
        <f t="shared" si="913"/>
        <v>1980493.0813357825</v>
      </c>
      <c r="BO306" s="1074"/>
      <c r="BS306" s="1117">
        <f>$G306</f>
        <v>1980493.0813357825</v>
      </c>
      <c r="BT306" s="1118">
        <f t="shared" si="914"/>
        <v>0</v>
      </c>
      <c r="BU306" s="1118">
        <f t="shared" si="915"/>
        <v>0</v>
      </c>
      <c r="BV306" s="1118">
        <f t="shared" si="916"/>
        <v>1980493.0813357825</v>
      </c>
      <c r="BW306" s="1074"/>
      <c r="CA306" s="1117">
        <f>$G306</f>
        <v>1980493.0813357825</v>
      </c>
      <c r="CB306" s="1118">
        <f t="shared" si="917"/>
        <v>0</v>
      </c>
      <c r="CC306" s="1118">
        <f t="shared" si="918"/>
        <v>0</v>
      </c>
      <c r="CD306" s="1118">
        <f t="shared" si="919"/>
        <v>1980493.0813357825</v>
      </c>
      <c r="CE306" s="1074"/>
      <c r="CI306" s="1117">
        <f>$G306</f>
        <v>1980493.0813357825</v>
      </c>
      <c r="CJ306" s="1118">
        <f t="shared" si="920"/>
        <v>0</v>
      </c>
      <c r="CK306" s="1118">
        <f t="shared" si="921"/>
        <v>0</v>
      </c>
      <c r="CL306" s="1118">
        <f t="shared" si="922"/>
        <v>1980493.0813357825</v>
      </c>
      <c r="CM306" s="1074"/>
      <c r="CQ306" s="1117">
        <f>$G306</f>
        <v>1980493.0813357825</v>
      </c>
      <c r="CR306" s="1118">
        <f t="shared" si="923"/>
        <v>0</v>
      </c>
      <c r="CS306" s="1118">
        <f t="shared" si="924"/>
        <v>0</v>
      </c>
      <c r="CT306" s="1118">
        <f t="shared" si="925"/>
        <v>1980493.0813357825</v>
      </c>
      <c r="CU306" s="1074"/>
      <c r="CY306" s="1117">
        <f>$G306</f>
        <v>1980493.0813357825</v>
      </c>
      <c r="CZ306" s="1118">
        <f t="shared" si="926"/>
        <v>0</v>
      </c>
      <c r="DA306" s="1118">
        <f t="shared" si="927"/>
        <v>0</v>
      </c>
      <c r="DB306" s="1118">
        <f t="shared" si="928"/>
        <v>1980493.0813357825</v>
      </c>
      <c r="DC306" s="1074"/>
      <c r="DG306" s="1117">
        <f>$G306</f>
        <v>1980493.0813357825</v>
      </c>
      <c r="DH306" s="1118">
        <f t="shared" si="929"/>
        <v>0</v>
      </c>
      <c r="DI306" s="1118">
        <f t="shared" si="930"/>
        <v>0</v>
      </c>
      <c r="DJ306" s="1118">
        <f t="shared" si="931"/>
        <v>1980493.0813357825</v>
      </c>
      <c r="DK306" s="1074"/>
      <c r="DO306" s="1117">
        <f>$G306</f>
        <v>1980493.0813357825</v>
      </c>
      <c r="DP306" s="1118">
        <f t="shared" si="932"/>
        <v>0</v>
      </c>
      <c r="DQ306" s="1118">
        <f t="shared" si="933"/>
        <v>0</v>
      </c>
      <c r="DR306" s="1118">
        <f t="shared" si="934"/>
        <v>1980493.0813357825</v>
      </c>
      <c r="DS306" s="1074"/>
      <c r="DW306" s="1117">
        <f>$G306</f>
        <v>1980493.0813357825</v>
      </c>
      <c r="DX306" s="1118">
        <f t="shared" si="935"/>
        <v>0</v>
      </c>
      <c r="DY306" s="1118">
        <f t="shared" si="936"/>
        <v>0</v>
      </c>
      <c r="DZ306" s="1118">
        <f t="shared" si="937"/>
        <v>1980493.0813357825</v>
      </c>
      <c r="EA306" s="1074"/>
      <c r="EE306" s="1117">
        <f>$G306</f>
        <v>1980493.0813357825</v>
      </c>
      <c r="EF306" s="1118">
        <f t="shared" si="938"/>
        <v>0</v>
      </c>
      <c r="EG306" s="1118">
        <f t="shared" si="939"/>
        <v>0</v>
      </c>
      <c r="EH306" s="1118">
        <f t="shared" si="940"/>
        <v>1980493.0813357825</v>
      </c>
      <c r="EI306" s="1074"/>
      <c r="EM306" s="1117">
        <f>$G306</f>
        <v>1980493.0813357825</v>
      </c>
      <c r="EN306" s="1118">
        <f t="shared" si="941"/>
        <v>0</v>
      </c>
      <c r="EO306" s="1118">
        <f t="shared" si="942"/>
        <v>0</v>
      </c>
      <c r="EP306" s="1118">
        <f t="shared" si="943"/>
        <v>1980493.0813357825</v>
      </c>
      <c r="EQ306" s="1074"/>
      <c r="EU306" s="1117">
        <f>$G306</f>
        <v>1980493.0813357825</v>
      </c>
      <c r="EV306" s="1118">
        <f t="shared" si="944"/>
        <v>0</v>
      </c>
      <c r="EW306" s="1118">
        <f t="shared" si="945"/>
        <v>0</v>
      </c>
      <c r="EX306" s="1118">
        <f t="shared" si="946"/>
        <v>1980493.0813357825</v>
      </c>
      <c r="EY306" s="1074"/>
      <c r="FC306" s="1117">
        <f>$G306</f>
        <v>1980493.0813357825</v>
      </c>
      <c r="FD306" s="1118">
        <f t="shared" si="947"/>
        <v>0</v>
      </c>
      <c r="FE306" s="1118">
        <f t="shared" si="948"/>
        <v>0</v>
      </c>
      <c r="FF306" s="1118">
        <f t="shared" si="949"/>
        <v>1980493.0813357825</v>
      </c>
      <c r="FG306" s="1074"/>
      <c r="FK306" s="1117">
        <f>$G306</f>
        <v>1980493.0813357825</v>
      </c>
      <c r="FL306" s="1118">
        <f t="shared" si="950"/>
        <v>0</v>
      </c>
      <c r="FM306" s="1118">
        <f t="shared" si="951"/>
        <v>0</v>
      </c>
      <c r="FN306" s="1118">
        <f t="shared" si="952"/>
        <v>1980493.0813357825</v>
      </c>
      <c r="FO306" s="1074"/>
    </row>
    <row r="307" spans="1:171" x14ac:dyDescent="0.25">
      <c r="A307" s="913"/>
      <c r="B307" s="79" t="s">
        <v>545</v>
      </c>
      <c r="C307" s="889">
        <v>300</v>
      </c>
      <c r="D307" s="890" t="s">
        <v>45</v>
      </c>
      <c r="E307" s="182" t="str">
        <f>'Sch 3B - Other Items'!E31</f>
        <v>PROD</v>
      </c>
      <c r="F307" s="890"/>
      <c r="G307" s="182">
        <f>'Sch 3B - Other Items'!G31</f>
        <v>0</v>
      </c>
      <c r="H307" s="182">
        <f>'Sch 3B - Other Items'!H31</f>
        <v>0</v>
      </c>
      <c r="I307" s="182">
        <f>'Sch 3B - Other Items'!I31</f>
        <v>0</v>
      </c>
      <c r="J307" s="183">
        <f>'Sch 3B - Other Items'!J31</f>
        <v>0</v>
      </c>
      <c r="K307" s="904">
        <f t="shared" si="892"/>
        <v>1</v>
      </c>
      <c r="O307" s="1117">
        <f>$G307</f>
        <v>0</v>
      </c>
      <c r="P307" s="1118">
        <f t="shared" si="893"/>
        <v>0</v>
      </c>
      <c r="Q307" s="1118">
        <f t="shared" si="894"/>
        <v>0</v>
      </c>
      <c r="R307" s="1118">
        <f t="shared" si="895"/>
        <v>0</v>
      </c>
      <c r="S307" s="1074"/>
      <c r="W307" s="1117">
        <f>$G307</f>
        <v>0</v>
      </c>
      <c r="X307" s="1118">
        <f t="shared" si="896"/>
        <v>0</v>
      </c>
      <c r="Y307" s="1118">
        <f t="shared" si="897"/>
        <v>0</v>
      </c>
      <c r="Z307" s="1118">
        <f t="shared" si="898"/>
        <v>0</v>
      </c>
      <c r="AA307" s="1074"/>
      <c r="AE307" s="1117">
        <f>$G307</f>
        <v>0</v>
      </c>
      <c r="AF307" s="1118">
        <f t="shared" si="899"/>
        <v>0</v>
      </c>
      <c r="AG307" s="1118">
        <f t="shared" si="900"/>
        <v>0</v>
      </c>
      <c r="AH307" s="1118">
        <f t="shared" si="901"/>
        <v>0</v>
      </c>
      <c r="AI307" s="1074"/>
      <c r="AM307" s="1117">
        <f>$G307</f>
        <v>0</v>
      </c>
      <c r="AN307" s="1118">
        <f t="shared" si="902"/>
        <v>0</v>
      </c>
      <c r="AO307" s="1118">
        <f t="shared" si="903"/>
        <v>0</v>
      </c>
      <c r="AP307" s="1118">
        <f t="shared" si="904"/>
        <v>0</v>
      </c>
      <c r="AQ307" s="1074"/>
      <c r="AU307" s="1117">
        <f>$G307</f>
        <v>0</v>
      </c>
      <c r="AV307" s="1118">
        <f t="shared" si="905"/>
        <v>0</v>
      </c>
      <c r="AW307" s="1118">
        <f t="shared" si="906"/>
        <v>0</v>
      </c>
      <c r="AX307" s="1118">
        <f t="shared" si="907"/>
        <v>0</v>
      </c>
      <c r="AY307" s="1074"/>
      <c r="BC307" s="1117">
        <f>$G307</f>
        <v>0</v>
      </c>
      <c r="BD307" s="1118">
        <f t="shared" si="908"/>
        <v>0</v>
      </c>
      <c r="BE307" s="1118">
        <f t="shared" si="909"/>
        <v>0</v>
      </c>
      <c r="BF307" s="1118">
        <f t="shared" si="910"/>
        <v>0</v>
      </c>
      <c r="BG307" s="1074"/>
      <c r="BK307" s="1117">
        <f>$G307</f>
        <v>0</v>
      </c>
      <c r="BL307" s="1118">
        <f t="shared" si="911"/>
        <v>0</v>
      </c>
      <c r="BM307" s="1118">
        <f t="shared" si="912"/>
        <v>0</v>
      </c>
      <c r="BN307" s="1118">
        <f t="shared" si="913"/>
        <v>0</v>
      </c>
      <c r="BO307" s="1074"/>
      <c r="BS307" s="1117">
        <f>$G307</f>
        <v>0</v>
      </c>
      <c r="BT307" s="1118">
        <f t="shared" si="914"/>
        <v>0</v>
      </c>
      <c r="BU307" s="1118">
        <f t="shared" si="915"/>
        <v>0</v>
      </c>
      <c r="BV307" s="1118">
        <f t="shared" si="916"/>
        <v>0</v>
      </c>
      <c r="BW307" s="1074"/>
      <c r="CA307" s="1117">
        <f>$G307</f>
        <v>0</v>
      </c>
      <c r="CB307" s="1118">
        <f t="shared" si="917"/>
        <v>0</v>
      </c>
      <c r="CC307" s="1118">
        <f t="shared" si="918"/>
        <v>0</v>
      </c>
      <c r="CD307" s="1118">
        <f t="shared" si="919"/>
        <v>0</v>
      </c>
      <c r="CE307" s="1074"/>
      <c r="CI307" s="1117">
        <f>$G307</f>
        <v>0</v>
      </c>
      <c r="CJ307" s="1118">
        <f t="shared" si="920"/>
        <v>0</v>
      </c>
      <c r="CK307" s="1118">
        <f t="shared" si="921"/>
        <v>0</v>
      </c>
      <c r="CL307" s="1118">
        <f t="shared" si="922"/>
        <v>0</v>
      </c>
      <c r="CM307" s="1074"/>
      <c r="CQ307" s="1117">
        <f>$G307</f>
        <v>0</v>
      </c>
      <c r="CR307" s="1118">
        <f t="shared" si="923"/>
        <v>0</v>
      </c>
      <c r="CS307" s="1118">
        <f t="shared" si="924"/>
        <v>0</v>
      </c>
      <c r="CT307" s="1118">
        <f t="shared" si="925"/>
        <v>0</v>
      </c>
      <c r="CU307" s="1074"/>
      <c r="CY307" s="1117">
        <f>$G307</f>
        <v>0</v>
      </c>
      <c r="CZ307" s="1118">
        <f t="shared" si="926"/>
        <v>0</v>
      </c>
      <c r="DA307" s="1118">
        <f t="shared" si="927"/>
        <v>0</v>
      </c>
      <c r="DB307" s="1118">
        <f t="shared" si="928"/>
        <v>0</v>
      </c>
      <c r="DC307" s="1074"/>
      <c r="DG307" s="1117">
        <f>$G307</f>
        <v>0</v>
      </c>
      <c r="DH307" s="1118">
        <f t="shared" si="929"/>
        <v>0</v>
      </c>
      <c r="DI307" s="1118">
        <f t="shared" si="930"/>
        <v>0</v>
      </c>
      <c r="DJ307" s="1118">
        <f t="shared" si="931"/>
        <v>0</v>
      </c>
      <c r="DK307" s="1074"/>
      <c r="DO307" s="1117">
        <f>$G307</f>
        <v>0</v>
      </c>
      <c r="DP307" s="1118">
        <f t="shared" si="932"/>
        <v>0</v>
      </c>
      <c r="DQ307" s="1118">
        <f t="shared" si="933"/>
        <v>0</v>
      </c>
      <c r="DR307" s="1118">
        <f t="shared" si="934"/>
        <v>0</v>
      </c>
      <c r="DS307" s="1074"/>
      <c r="DW307" s="1117">
        <f>$G307</f>
        <v>0</v>
      </c>
      <c r="DX307" s="1118">
        <f t="shared" si="935"/>
        <v>0</v>
      </c>
      <c r="DY307" s="1118">
        <f t="shared" si="936"/>
        <v>0</v>
      </c>
      <c r="DZ307" s="1118">
        <f t="shared" si="937"/>
        <v>0</v>
      </c>
      <c r="EA307" s="1074"/>
      <c r="EE307" s="1117">
        <f>$G307</f>
        <v>0</v>
      </c>
      <c r="EF307" s="1118">
        <f t="shared" si="938"/>
        <v>0</v>
      </c>
      <c r="EG307" s="1118">
        <f t="shared" si="939"/>
        <v>0</v>
      </c>
      <c r="EH307" s="1118">
        <f t="shared" si="940"/>
        <v>0</v>
      </c>
      <c r="EI307" s="1074"/>
      <c r="EM307" s="1117">
        <f>$G307</f>
        <v>0</v>
      </c>
      <c r="EN307" s="1118">
        <f t="shared" si="941"/>
        <v>0</v>
      </c>
      <c r="EO307" s="1118">
        <f t="shared" si="942"/>
        <v>0</v>
      </c>
      <c r="EP307" s="1118">
        <f t="shared" si="943"/>
        <v>0</v>
      </c>
      <c r="EQ307" s="1074"/>
      <c r="EU307" s="1117">
        <f>$G307</f>
        <v>0</v>
      </c>
      <c r="EV307" s="1118">
        <f t="shared" si="944"/>
        <v>0</v>
      </c>
      <c r="EW307" s="1118">
        <f t="shared" si="945"/>
        <v>0</v>
      </c>
      <c r="EX307" s="1118">
        <f t="shared" si="946"/>
        <v>0</v>
      </c>
      <c r="EY307" s="1074"/>
      <c r="FC307" s="1117">
        <f>$G307</f>
        <v>0</v>
      </c>
      <c r="FD307" s="1118">
        <f t="shared" si="947"/>
        <v>0</v>
      </c>
      <c r="FE307" s="1118">
        <f t="shared" si="948"/>
        <v>0</v>
      </c>
      <c r="FF307" s="1118">
        <f t="shared" si="949"/>
        <v>0</v>
      </c>
      <c r="FG307" s="1074"/>
      <c r="FK307" s="1117">
        <f>$G307</f>
        <v>0</v>
      </c>
      <c r="FL307" s="1118">
        <f t="shared" si="950"/>
        <v>0</v>
      </c>
      <c r="FM307" s="1118">
        <f t="shared" si="951"/>
        <v>0</v>
      </c>
      <c r="FN307" s="1118">
        <f t="shared" si="952"/>
        <v>0</v>
      </c>
      <c r="FO307" s="1074"/>
    </row>
    <row r="308" spans="1:171" x14ac:dyDescent="0.25">
      <c r="A308" s="913"/>
      <c r="B308" s="79" t="s">
        <v>544</v>
      </c>
      <c r="C308" s="889">
        <v>300</v>
      </c>
      <c r="D308" s="890" t="s">
        <v>46</v>
      </c>
      <c r="E308" s="182" t="str">
        <f>'Sch 3B - Other Items'!E32</f>
        <v>TD</v>
      </c>
      <c r="F308" s="890"/>
      <c r="G308" s="182">
        <f>'Sch 3B - Other Items'!G32</f>
        <v>9825273.839957241</v>
      </c>
      <c r="H308" s="182">
        <f>'Sch 3B - Other Items'!H32</f>
        <v>0</v>
      </c>
      <c r="I308" s="182">
        <f>'Sch 3B - Other Items'!I32</f>
        <v>0</v>
      </c>
      <c r="J308" s="183">
        <f>'Sch 3B - Other Items'!J32</f>
        <v>9825273.839957241</v>
      </c>
      <c r="K308" s="904">
        <f t="shared" si="892"/>
        <v>1</v>
      </c>
      <c r="O308" s="1117">
        <f>$G308</f>
        <v>9825273.839957241</v>
      </c>
      <c r="P308" s="1118">
        <f t="shared" si="893"/>
        <v>0</v>
      </c>
      <c r="Q308" s="1118">
        <f t="shared" si="894"/>
        <v>4561442.8066009823</v>
      </c>
      <c r="R308" s="1118">
        <f t="shared" si="895"/>
        <v>5263831.0333562586</v>
      </c>
      <c r="S308" s="1074"/>
      <c r="W308" s="1117">
        <f>$G308</f>
        <v>9825273.839957241</v>
      </c>
      <c r="X308" s="1118">
        <f t="shared" si="896"/>
        <v>0</v>
      </c>
      <c r="Y308" s="1118">
        <f t="shared" si="897"/>
        <v>4561442.8066009823</v>
      </c>
      <c r="Z308" s="1118">
        <f t="shared" si="898"/>
        <v>5263831.0333562586</v>
      </c>
      <c r="AA308" s="1074"/>
      <c r="AE308" s="1117">
        <f>$G308</f>
        <v>9825273.839957241</v>
      </c>
      <c r="AF308" s="1118">
        <f t="shared" si="899"/>
        <v>0</v>
      </c>
      <c r="AG308" s="1118">
        <f t="shared" si="900"/>
        <v>4561442.8066009823</v>
      </c>
      <c r="AH308" s="1118">
        <f t="shared" si="901"/>
        <v>5263831.0333562586</v>
      </c>
      <c r="AI308" s="1074"/>
      <c r="AM308" s="1117">
        <f>$G308</f>
        <v>9825273.839957241</v>
      </c>
      <c r="AN308" s="1118">
        <f t="shared" si="902"/>
        <v>0</v>
      </c>
      <c r="AO308" s="1118">
        <f t="shared" si="903"/>
        <v>4561442.8066009823</v>
      </c>
      <c r="AP308" s="1118">
        <f t="shared" si="904"/>
        <v>5263831.0333562586</v>
      </c>
      <c r="AQ308" s="1074"/>
      <c r="AU308" s="1117">
        <f>$G308</f>
        <v>9825273.839957241</v>
      </c>
      <c r="AV308" s="1118">
        <f t="shared" si="905"/>
        <v>0</v>
      </c>
      <c r="AW308" s="1118">
        <f t="shared" si="906"/>
        <v>4561442.8066009823</v>
      </c>
      <c r="AX308" s="1118">
        <f t="shared" si="907"/>
        <v>5263831.0333562586</v>
      </c>
      <c r="AY308" s="1074"/>
      <c r="BC308" s="1117">
        <f>$G308</f>
        <v>9825273.839957241</v>
      </c>
      <c r="BD308" s="1118">
        <f t="shared" si="908"/>
        <v>0</v>
      </c>
      <c r="BE308" s="1118">
        <f t="shared" si="909"/>
        <v>4561442.8066009823</v>
      </c>
      <c r="BF308" s="1118">
        <f t="shared" si="910"/>
        <v>5263831.0333562586</v>
      </c>
      <c r="BG308" s="1074"/>
      <c r="BK308" s="1117">
        <f>$G308</f>
        <v>9825273.839957241</v>
      </c>
      <c r="BL308" s="1118">
        <f t="shared" si="911"/>
        <v>0</v>
      </c>
      <c r="BM308" s="1118">
        <f t="shared" si="912"/>
        <v>4561442.8066009823</v>
      </c>
      <c r="BN308" s="1118">
        <f t="shared" si="913"/>
        <v>5263831.0333562586</v>
      </c>
      <c r="BO308" s="1074"/>
      <c r="BS308" s="1117">
        <f>$G308</f>
        <v>9825273.839957241</v>
      </c>
      <c r="BT308" s="1118">
        <f t="shared" si="914"/>
        <v>0</v>
      </c>
      <c r="BU308" s="1118">
        <f t="shared" si="915"/>
        <v>4561442.8066009823</v>
      </c>
      <c r="BV308" s="1118">
        <f t="shared" si="916"/>
        <v>5263831.0333562586</v>
      </c>
      <c r="BW308" s="1074"/>
      <c r="CA308" s="1117">
        <f>$G308</f>
        <v>9825273.839957241</v>
      </c>
      <c r="CB308" s="1118">
        <f t="shared" si="917"/>
        <v>0</v>
      </c>
      <c r="CC308" s="1118">
        <f t="shared" si="918"/>
        <v>4561442.8066009823</v>
      </c>
      <c r="CD308" s="1118">
        <f t="shared" si="919"/>
        <v>5263831.0333562586</v>
      </c>
      <c r="CE308" s="1074"/>
      <c r="CI308" s="1117">
        <f>$G308</f>
        <v>9825273.839957241</v>
      </c>
      <c r="CJ308" s="1118">
        <f t="shared" si="920"/>
        <v>0</v>
      </c>
      <c r="CK308" s="1118">
        <f t="shared" si="921"/>
        <v>4561442.8066009823</v>
      </c>
      <c r="CL308" s="1118">
        <f t="shared" si="922"/>
        <v>5263831.0333562586</v>
      </c>
      <c r="CM308" s="1074"/>
      <c r="CQ308" s="1117">
        <f>$G308</f>
        <v>9825273.839957241</v>
      </c>
      <c r="CR308" s="1118">
        <f t="shared" si="923"/>
        <v>0</v>
      </c>
      <c r="CS308" s="1118">
        <f t="shared" si="924"/>
        <v>4561442.8066009823</v>
      </c>
      <c r="CT308" s="1118">
        <f t="shared" si="925"/>
        <v>5263831.0333562586</v>
      </c>
      <c r="CU308" s="1074"/>
      <c r="CY308" s="1117">
        <f>$G308</f>
        <v>9825273.839957241</v>
      </c>
      <c r="CZ308" s="1118">
        <f t="shared" si="926"/>
        <v>0</v>
      </c>
      <c r="DA308" s="1118">
        <f t="shared" si="927"/>
        <v>4561442.8066009823</v>
      </c>
      <c r="DB308" s="1118">
        <f t="shared" si="928"/>
        <v>5263831.0333562586</v>
      </c>
      <c r="DC308" s="1074"/>
      <c r="DG308" s="1117">
        <f>$G308</f>
        <v>9825273.839957241</v>
      </c>
      <c r="DH308" s="1118">
        <f t="shared" si="929"/>
        <v>0</v>
      </c>
      <c r="DI308" s="1118">
        <f t="shared" si="930"/>
        <v>4561442.8066009823</v>
      </c>
      <c r="DJ308" s="1118">
        <f t="shared" si="931"/>
        <v>5263831.0333562586</v>
      </c>
      <c r="DK308" s="1074"/>
      <c r="DO308" s="1117">
        <f>$G308</f>
        <v>9825273.839957241</v>
      </c>
      <c r="DP308" s="1118">
        <f t="shared" si="932"/>
        <v>0</v>
      </c>
      <c r="DQ308" s="1118">
        <f t="shared" si="933"/>
        <v>4561442.8066009823</v>
      </c>
      <c r="DR308" s="1118">
        <f t="shared" si="934"/>
        <v>5263831.0333562586</v>
      </c>
      <c r="DS308" s="1074"/>
      <c r="DW308" s="1117">
        <f>$G308</f>
        <v>9825273.839957241</v>
      </c>
      <c r="DX308" s="1118">
        <f t="shared" si="935"/>
        <v>0</v>
      </c>
      <c r="DY308" s="1118">
        <f t="shared" si="936"/>
        <v>4561442.8066009823</v>
      </c>
      <c r="DZ308" s="1118">
        <f t="shared" si="937"/>
        <v>5263831.0333562586</v>
      </c>
      <c r="EA308" s="1074"/>
      <c r="EE308" s="1117">
        <f>$G308</f>
        <v>9825273.839957241</v>
      </c>
      <c r="EF308" s="1118">
        <f t="shared" si="938"/>
        <v>0</v>
      </c>
      <c r="EG308" s="1118">
        <f t="shared" si="939"/>
        <v>4561442.8066009823</v>
      </c>
      <c r="EH308" s="1118">
        <f t="shared" si="940"/>
        <v>5263831.0333562586</v>
      </c>
      <c r="EI308" s="1074"/>
      <c r="EM308" s="1117">
        <f>$G308</f>
        <v>9825273.839957241</v>
      </c>
      <c r="EN308" s="1118">
        <f t="shared" si="941"/>
        <v>0</v>
      </c>
      <c r="EO308" s="1118">
        <f t="shared" si="942"/>
        <v>4561442.8066009823</v>
      </c>
      <c r="EP308" s="1118">
        <f t="shared" si="943"/>
        <v>5263831.0333562586</v>
      </c>
      <c r="EQ308" s="1074"/>
      <c r="EU308" s="1117">
        <f>$G308</f>
        <v>9825273.839957241</v>
      </c>
      <c r="EV308" s="1118">
        <f t="shared" si="944"/>
        <v>0</v>
      </c>
      <c r="EW308" s="1118">
        <f t="shared" si="945"/>
        <v>4561442.8066009823</v>
      </c>
      <c r="EX308" s="1118">
        <f t="shared" si="946"/>
        <v>5263831.0333562586</v>
      </c>
      <c r="EY308" s="1074"/>
      <c r="FC308" s="1117">
        <f>$G308</f>
        <v>9825273.839957241</v>
      </c>
      <c r="FD308" s="1118">
        <f t="shared" si="947"/>
        <v>0</v>
      </c>
      <c r="FE308" s="1118">
        <f t="shared" si="948"/>
        <v>4561442.8066009823</v>
      </c>
      <c r="FF308" s="1118">
        <f t="shared" si="949"/>
        <v>5263831.0333562586</v>
      </c>
      <c r="FG308" s="1074"/>
      <c r="FK308" s="1117">
        <f>$G308</f>
        <v>9825273.839957241</v>
      </c>
      <c r="FL308" s="1118">
        <f t="shared" si="950"/>
        <v>0</v>
      </c>
      <c r="FM308" s="1118">
        <f t="shared" si="951"/>
        <v>4561442.8066009823</v>
      </c>
      <c r="FN308" s="1118">
        <f t="shared" si="952"/>
        <v>5263831.0333562586</v>
      </c>
      <c r="FO308" s="1074"/>
    </row>
    <row r="309" spans="1:171" x14ac:dyDescent="0.25">
      <c r="A309" s="913"/>
      <c r="B309" s="79" t="s">
        <v>329</v>
      </c>
      <c r="C309" s="889">
        <v>300</v>
      </c>
      <c r="D309" s="890">
        <v>455</v>
      </c>
      <c r="E309" s="182" t="str">
        <f>'Sch 3B - Other Items'!E33</f>
        <v>DIST</v>
      </c>
      <c r="F309" s="890"/>
      <c r="G309" s="182">
        <f>'Sch 3B - Other Items'!G33</f>
        <v>0</v>
      </c>
      <c r="H309" s="182">
        <f>'Sch 3B - Other Items'!H33</f>
        <v>0</v>
      </c>
      <c r="I309" s="182">
        <f>'Sch 3B - Other Items'!I33</f>
        <v>0</v>
      </c>
      <c r="J309" s="183">
        <f>'Sch 3B - Other Items'!J33</f>
        <v>0</v>
      </c>
      <c r="K309" s="904">
        <f t="shared" si="892"/>
        <v>1</v>
      </c>
      <c r="O309" s="1117">
        <f>$G309</f>
        <v>0</v>
      </c>
      <c r="P309" s="1118">
        <f t="shared" si="893"/>
        <v>0</v>
      </c>
      <c r="Q309" s="1118">
        <f t="shared" si="894"/>
        <v>0</v>
      </c>
      <c r="R309" s="1118">
        <f t="shared" si="895"/>
        <v>0</v>
      </c>
      <c r="S309" s="1074"/>
      <c r="W309" s="1117">
        <f>$G309</f>
        <v>0</v>
      </c>
      <c r="X309" s="1118">
        <f t="shared" si="896"/>
        <v>0</v>
      </c>
      <c r="Y309" s="1118">
        <f t="shared" si="897"/>
        <v>0</v>
      </c>
      <c r="Z309" s="1118">
        <f t="shared" si="898"/>
        <v>0</v>
      </c>
      <c r="AA309" s="1074"/>
      <c r="AE309" s="1117">
        <f>$G309</f>
        <v>0</v>
      </c>
      <c r="AF309" s="1118">
        <f t="shared" si="899"/>
        <v>0</v>
      </c>
      <c r="AG309" s="1118">
        <f t="shared" si="900"/>
        <v>0</v>
      </c>
      <c r="AH309" s="1118">
        <f t="shared" si="901"/>
        <v>0</v>
      </c>
      <c r="AI309" s="1074"/>
      <c r="AM309" s="1117">
        <f>$G309</f>
        <v>0</v>
      </c>
      <c r="AN309" s="1118">
        <f t="shared" si="902"/>
        <v>0</v>
      </c>
      <c r="AO309" s="1118">
        <f t="shared" si="903"/>
        <v>0</v>
      </c>
      <c r="AP309" s="1118">
        <f t="shared" si="904"/>
        <v>0</v>
      </c>
      <c r="AQ309" s="1074"/>
      <c r="AU309" s="1117">
        <f>$G309</f>
        <v>0</v>
      </c>
      <c r="AV309" s="1118">
        <f t="shared" si="905"/>
        <v>0</v>
      </c>
      <c r="AW309" s="1118">
        <f t="shared" si="906"/>
        <v>0</v>
      </c>
      <c r="AX309" s="1118">
        <f t="shared" si="907"/>
        <v>0</v>
      </c>
      <c r="AY309" s="1074"/>
      <c r="BC309" s="1117">
        <f>$G309</f>
        <v>0</v>
      </c>
      <c r="BD309" s="1118">
        <f t="shared" si="908"/>
        <v>0</v>
      </c>
      <c r="BE309" s="1118">
        <f t="shared" si="909"/>
        <v>0</v>
      </c>
      <c r="BF309" s="1118">
        <f t="shared" si="910"/>
        <v>0</v>
      </c>
      <c r="BG309" s="1074"/>
      <c r="BK309" s="1117">
        <f>$G309</f>
        <v>0</v>
      </c>
      <c r="BL309" s="1118">
        <f t="shared" si="911"/>
        <v>0</v>
      </c>
      <c r="BM309" s="1118">
        <f t="shared" si="912"/>
        <v>0</v>
      </c>
      <c r="BN309" s="1118">
        <f t="shared" si="913"/>
        <v>0</v>
      </c>
      <c r="BO309" s="1074"/>
      <c r="BS309" s="1117">
        <f>$G309</f>
        <v>0</v>
      </c>
      <c r="BT309" s="1118">
        <f t="shared" si="914"/>
        <v>0</v>
      </c>
      <c r="BU309" s="1118">
        <f t="shared" si="915"/>
        <v>0</v>
      </c>
      <c r="BV309" s="1118">
        <f t="shared" si="916"/>
        <v>0</v>
      </c>
      <c r="BW309" s="1074"/>
      <c r="CA309" s="1117">
        <f>$G309</f>
        <v>0</v>
      </c>
      <c r="CB309" s="1118">
        <f t="shared" si="917"/>
        <v>0</v>
      </c>
      <c r="CC309" s="1118">
        <f t="shared" si="918"/>
        <v>0</v>
      </c>
      <c r="CD309" s="1118">
        <f t="shared" si="919"/>
        <v>0</v>
      </c>
      <c r="CE309" s="1074"/>
      <c r="CI309" s="1117">
        <f>$G309</f>
        <v>0</v>
      </c>
      <c r="CJ309" s="1118">
        <f t="shared" si="920"/>
        <v>0</v>
      </c>
      <c r="CK309" s="1118">
        <f t="shared" si="921"/>
        <v>0</v>
      </c>
      <c r="CL309" s="1118">
        <f t="shared" si="922"/>
        <v>0</v>
      </c>
      <c r="CM309" s="1074"/>
      <c r="CQ309" s="1117">
        <f>$G309</f>
        <v>0</v>
      </c>
      <c r="CR309" s="1118">
        <f t="shared" si="923"/>
        <v>0</v>
      </c>
      <c r="CS309" s="1118">
        <f t="shared" si="924"/>
        <v>0</v>
      </c>
      <c r="CT309" s="1118">
        <f t="shared" si="925"/>
        <v>0</v>
      </c>
      <c r="CU309" s="1074"/>
      <c r="CY309" s="1117">
        <f>$G309</f>
        <v>0</v>
      </c>
      <c r="CZ309" s="1118">
        <f t="shared" si="926"/>
        <v>0</v>
      </c>
      <c r="DA309" s="1118">
        <f t="shared" si="927"/>
        <v>0</v>
      </c>
      <c r="DB309" s="1118">
        <f t="shared" si="928"/>
        <v>0</v>
      </c>
      <c r="DC309" s="1074"/>
      <c r="DG309" s="1117">
        <f>$G309</f>
        <v>0</v>
      </c>
      <c r="DH309" s="1118">
        <f t="shared" si="929"/>
        <v>0</v>
      </c>
      <c r="DI309" s="1118">
        <f t="shared" si="930"/>
        <v>0</v>
      </c>
      <c r="DJ309" s="1118">
        <f t="shared" si="931"/>
        <v>0</v>
      </c>
      <c r="DK309" s="1074"/>
      <c r="DO309" s="1117">
        <f>$G309</f>
        <v>0</v>
      </c>
      <c r="DP309" s="1118">
        <f t="shared" si="932"/>
        <v>0</v>
      </c>
      <c r="DQ309" s="1118">
        <f t="shared" si="933"/>
        <v>0</v>
      </c>
      <c r="DR309" s="1118">
        <f t="shared" si="934"/>
        <v>0</v>
      </c>
      <c r="DS309" s="1074"/>
      <c r="DW309" s="1117">
        <f>$G309</f>
        <v>0</v>
      </c>
      <c r="DX309" s="1118">
        <f t="shared" si="935"/>
        <v>0</v>
      </c>
      <c r="DY309" s="1118">
        <f t="shared" si="936"/>
        <v>0</v>
      </c>
      <c r="DZ309" s="1118">
        <f t="shared" si="937"/>
        <v>0</v>
      </c>
      <c r="EA309" s="1074"/>
      <c r="EE309" s="1117">
        <f>$G309</f>
        <v>0</v>
      </c>
      <c r="EF309" s="1118">
        <f t="shared" si="938"/>
        <v>0</v>
      </c>
      <c r="EG309" s="1118">
        <f t="shared" si="939"/>
        <v>0</v>
      </c>
      <c r="EH309" s="1118">
        <f t="shared" si="940"/>
        <v>0</v>
      </c>
      <c r="EI309" s="1074"/>
      <c r="EM309" s="1117">
        <f>$G309</f>
        <v>0</v>
      </c>
      <c r="EN309" s="1118">
        <f t="shared" si="941"/>
        <v>0</v>
      </c>
      <c r="EO309" s="1118">
        <f t="shared" si="942"/>
        <v>0</v>
      </c>
      <c r="EP309" s="1118">
        <f t="shared" si="943"/>
        <v>0</v>
      </c>
      <c r="EQ309" s="1074"/>
      <c r="EU309" s="1117">
        <f>$G309</f>
        <v>0</v>
      </c>
      <c r="EV309" s="1118">
        <f t="shared" si="944"/>
        <v>0</v>
      </c>
      <c r="EW309" s="1118">
        <f t="shared" si="945"/>
        <v>0</v>
      </c>
      <c r="EX309" s="1118">
        <f t="shared" si="946"/>
        <v>0</v>
      </c>
      <c r="EY309" s="1074"/>
      <c r="FC309" s="1117">
        <f>$G309</f>
        <v>0</v>
      </c>
      <c r="FD309" s="1118">
        <f t="shared" si="947"/>
        <v>0</v>
      </c>
      <c r="FE309" s="1118">
        <f t="shared" si="948"/>
        <v>0</v>
      </c>
      <c r="FF309" s="1118">
        <f t="shared" si="949"/>
        <v>0</v>
      </c>
      <c r="FG309" s="1074"/>
      <c r="FK309" s="1117">
        <f>$G309</f>
        <v>0</v>
      </c>
      <c r="FL309" s="1118">
        <f t="shared" si="950"/>
        <v>0</v>
      </c>
      <c r="FM309" s="1118">
        <f t="shared" si="951"/>
        <v>0</v>
      </c>
      <c r="FN309" s="1118">
        <f t="shared" si="952"/>
        <v>0</v>
      </c>
      <c r="FO309" s="1074"/>
    </row>
    <row r="310" spans="1:171" x14ac:dyDescent="0.25">
      <c r="A310" s="1390">
        <v>920</v>
      </c>
      <c r="B310" s="79" t="s">
        <v>328</v>
      </c>
      <c r="C310" s="889">
        <v>300</v>
      </c>
      <c r="D310" s="890" t="s">
        <v>47</v>
      </c>
      <c r="E310" s="182" t="str">
        <f>'Sch 3B - Other Items'!E34</f>
        <v>DIRECT</v>
      </c>
      <c r="F310" s="890"/>
      <c r="G310" s="182">
        <f>'Sch 3B - Other Items'!G34</f>
        <v>17726557.22997893</v>
      </c>
      <c r="H310" s="182">
        <f>'Sch 3B - Other Items'!H34</f>
        <v>16037718.522941926</v>
      </c>
      <c r="I310" s="182">
        <f>'Sch 3B - Other Items'!I34</f>
        <v>0</v>
      </c>
      <c r="J310" s="183">
        <f>'Sch 3B - Other Items'!J34</f>
        <v>1688838.7070370035</v>
      </c>
      <c r="K310" s="904">
        <f t="shared" si="892"/>
        <v>0</v>
      </c>
      <c r="N310" s="1130">
        <f>VLOOKUP($A310,'New Resources - Individual'!$A$4:$Y$133,N$2,FALSE)*N$1</f>
        <v>0</v>
      </c>
      <c r="O310" s="1117">
        <f>$G310+N310</f>
        <v>17726557.22997893</v>
      </c>
      <c r="P310" s="1118">
        <f t="shared" si="893"/>
        <v>16037718.522941926</v>
      </c>
      <c r="Q310" s="1118">
        <f t="shared" si="894"/>
        <v>0</v>
      </c>
      <c r="R310" s="1118">
        <f t="shared" si="895"/>
        <v>1688838.7070370037</v>
      </c>
      <c r="S310" s="1074"/>
      <c r="V310" s="1130">
        <f>VLOOKUP($A310,'New Resources - Individual'!$A$4:$Y$133,V$2,FALSE)*V$1</f>
        <v>0</v>
      </c>
      <c r="W310" s="1117">
        <f>$G310+V310</f>
        <v>17726557.22997893</v>
      </c>
      <c r="X310" s="1118">
        <f t="shared" si="896"/>
        <v>16037718.522941926</v>
      </c>
      <c r="Y310" s="1118">
        <f t="shared" si="897"/>
        <v>0</v>
      </c>
      <c r="Z310" s="1118">
        <f t="shared" si="898"/>
        <v>1688838.7070370037</v>
      </c>
      <c r="AA310" s="1074"/>
      <c r="AD310" s="1130">
        <f>VLOOKUP($A310,'New Resources - Individual'!$A$4:$Y$133,AD$2,FALSE)*AD$1</f>
        <v>0</v>
      </c>
      <c r="AE310" s="1117">
        <f>$G310+AD310</f>
        <v>17726557.22997893</v>
      </c>
      <c r="AF310" s="1118">
        <f t="shared" si="899"/>
        <v>16037718.522941926</v>
      </c>
      <c r="AG310" s="1118">
        <f t="shared" si="900"/>
        <v>0</v>
      </c>
      <c r="AH310" s="1118">
        <f t="shared" si="901"/>
        <v>1688838.7070370037</v>
      </c>
      <c r="AI310" s="1074"/>
      <c r="AL310" s="1130">
        <f>VLOOKUP($A310,'New Resources - Individual'!$A$4:$Y$133,AL$2,FALSE)*AL$1</f>
        <v>0</v>
      </c>
      <c r="AM310" s="1117">
        <f>$G310+AL310</f>
        <v>17726557.22997893</v>
      </c>
      <c r="AN310" s="1118">
        <f t="shared" si="902"/>
        <v>16037718.522941926</v>
      </c>
      <c r="AO310" s="1118">
        <f t="shared" si="903"/>
        <v>0</v>
      </c>
      <c r="AP310" s="1118">
        <f t="shared" si="904"/>
        <v>1688838.7070370037</v>
      </c>
      <c r="AQ310" s="1074"/>
      <c r="AT310" s="1130">
        <f>VLOOKUP($A310,'New Resources - Individual'!$A$4:$Y$133,AT$2,FALSE)*AT$1</f>
        <v>0</v>
      </c>
      <c r="AU310" s="1117">
        <f>$G310+AT310</f>
        <v>17726557.22997893</v>
      </c>
      <c r="AV310" s="1118">
        <f t="shared" si="905"/>
        <v>16037718.522941926</v>
      </c>
      <c r="AW310" s="1118">
        <f t="shared" si="906"/>
        <v>0</v>
      </c>
      <c r="AX310" s="1118">
        <f t="shared" si="907"/>
        <v>1688838.7070370037</v>
      </c>
      <c r="AY310" s="1074"/>
      <c r="BB310" s="1130">
        <f>VLOOKUP($A310,'New Resources - Individual'!$A$4:$Y$133,BB$2,FALSE)*BB$1</f>
        <v>0</v>
      </c>
      <c r="BC310" s="1117">
        <f>$G310+BB310</f>
        <v>17726557.22997893</v>
      </c>
      <c r="BD310" s="1118">
        <f t="shared" si="908"/>
        <v>16037718.522941926</v>
      </c>
      <c r="BE310" s="1118">
        <f t="shared" si="909"/>
        <v>0</v>
      </c>
      <c r="BF310" s="1118">
        <f t="shared" si="910"/>
        <v>1688838.7070370037</v>
      </c>
      <c r="BG310" s="1074"/>
      <c r="BJ310" s="1130">
        <f>VLOOKUP($A310,'New Resources - Individual'!$A$4:$Y$133,BJ$2,FALSE)*BJ$1</f>
        <v>0</v>
      </c>
      <c r="BK310" s="1117">
        <f>$G310+BJ310</f>
        <v>17726557.22997893</v>
      </c>
      <c r="BL310" s="1118">
        <f t="shared" si="911"/>
        <v>16037718.522941926</v>
      </c>
      <c r="BM310" s="1118">
        <f t="shared" si="912"/>
        <v>0</v>
      </c>
      <c r="BN310" s="1118">
        <f t="shared" si="913"/>
        <v>1688838.7070370037</v>
      </c>
      <c r="BO310" s="1074"/>
      <c r="BR310" s="1130">
        <f>VLOOKUP($A310,'New Resources - Individual'!$A$4:$Y$133,BR$2,FALSE)*BR$1</f>
        <v>0</v>
      </c>
      <c r="BS310" s="1117">
        <f>$G310+BR310</f>
        <v>17726557.22997893</v>
      </c>
      <c r="BT310" s="1118">
        <f t="shared" si="914"/>
        <v>16037718.522941926</v>
      </c>
      <c r="BU310" s="1118">
        <f t="shared" si="915"/>
        <v>0</v>
      </c>
      <c r="BV310" s="1118">
        <f t="shared" si="916"/>
        <v>1688838.7070370037</v>
      </c>
      <c r="BW310" s="1074"/>
      <c r="BZ310" s="1130">
        <f>VLOOKUP($A310,'New Resources - Individual'!$A$4:$Y$133,BZ$2,FALSE)*BZ$1</f>
        <v>0</v>
      </c>
      <c r="CA310" s="1117">
        <f>$G310+BZ310</f>
        <v>17726557.22997893</v>
      </c>
      <c r="CB310" s="1118">
        <f t="shared" si="917"/>
        <v>16037718.522941926</v>
      </c>
      <c r="CC310" s="1118">
        <f t="shared" si="918"/>
        <v>0</v>
      </c>
      <c r="CD310" s="1118">
        <f t="shared" si="919"/>
        <v>1688838.7070370037</v>
      </c>
      <c r="CE310" s="1074"/>
      <c r="CH310" s="1130">
        <f>VLOOKUP($A310,'New Resources - Individual'!$A$4:$Y$133,CH$2,FALSE)*CH$1</f>
        <v>0</v>
      </c>
      <c r="CI310" s="1117">
        <f>$G310+CH310</f>
        <v>17726557.22997893</v>
      </c>
      <c r="CJ310" s="1118">
        <f t="shared" si="920"/>
        <v>16037718.522941926</v>
      </c>
      <c r="CK310" s="1118">
        <f t="shared" si="921"/>
        <v>0</v>
      </c>
      <c r="CL310" s="1118">
        <f t="shared" si="922"/>
        <v>1688838.7070370037</v>
      </c>
      <c r="CM310" s="1074"/>
      <c r="CP310" s="1130">
        <f>VLOOKUP($A310,'New Resources - Individual'!$A$4:$Y$133,CP$2,FALSE)*CP$1</f>
        <v>0</v>
      </c>
      <c r="CQ310" s="1117">
        <f>$G310+CP310</f>
        <v>17726557.22997893</v>
      </c>
      <c r="CR310" s="1118">
        <f t="shared" si="923"/>
        <v>16037718.522941926</v>
      </c>
      <c r="CS310" s="1118">
        <f t="shared" si="924"/>
        <v>0</v>
      </c>
      <c r="CT310" s="1118">
        <f t="shared" si="925"/>
        <v>1688838.7070370037</v>
      </c>
      <c r="CU310" s="1074"/>
      <c r="CX310" s="1130">
        <f>VLOOKUP($A310,'New Resources - Individual'!$A$4:$Y$133,CX$2,FALSE)*CX$1</f>
        <v>0</v>
      </c>
      <c r="CY310" s="1117">
        <f>$G310+CX310</f>
        <v>17726557.22997893</v>
      </c>
      <c r="CZ310" s="1118">
        <f t="shared" si="926"/>
        <v>16037718.522941926</v>
      </c>
      <c r="DA310" s="1118">
        <f t="shared" si="927"/>
        <v>0</v>
      </c>
      <c r="DB310" s="1118">
        <f t="shared" si="928"/>
        <v>1688838.7070370037</v>
      </c>
      <c r="DC310" s="1074"/>
      <c r="DF310" s="1130">
        <f>VLOOKUP($A310,'New Resources - Individual'!$A$4:$Y$133,DF$2,FALSE)*DF$1</f>
        <v>0</v>
      </c>
      <c r="DG310" s="1117">
        <f>$G310+DF310</f>
        <v>17726557.22997893</v>
      </c>
      <c r="DH310" s="1118">
        <f t="shared" si="929"/>
        <v>16037718.522941926</v>
      </c>
      <c r="DI310" s="1118">
        <f t="shared" si="930"/>
        <v>0</v>
      </c>
      <c r="DJ310" s="1118">
        <f t="shared" si="931"/>
        <v>1688838.7070370037</v>
      </c>
      <c r="DK310" s="1074"/>
      <c r="DN310" s="1130">
        <f>VLOOKUP($A310,'New Resources - Individual'!$A$4:$Y$133,DN$2,FALSE)*DN$1</f>
        <v>0</v>
      </c>
      <c r="DO310" s="1117">
        <f>$G310+DN310</f>
        <v>17726557.22997893</v>
      </c>
      <c r="DP310" s="1118">
        <f t="shared" si="932"/>
        <v>16037718.522941926</v>
      </c>
      <c r="DQ310" s="1118">
        <f t="shared" si="933"/>
        <v>0</v>
      </c>
      <c r="DR310" s="1118">
        <f t="shared" si="934"/>
        <v>1688838.7070370037</v>
      </c>
      <c r="DS310" s="1074"/>
      <c r="DV310" s="1130">
        <f>VLOOKUP($A310,'New Resources - Individual'!$A$4:$Y$133,DV$2,FALSE)*DV$1</f>
        <v>0</v>
      </c>
      <c r="DW310" s="1117">
        <f>$G310+DV310</f>
        <v>17726557.22997893</v>
      </c>
      <c r="DX310" s="1118">
        <f t="shared" si="935"/>
        <v>16037718.522941926</v>
      </c>
      <c r="DY310" s="1118">
        <f t="shared" si="936"/>
        <v>0</v>
      </c>
      <c r="DZ310" s="1118">
        <f t="shared" si="937"/>
        <v>1688838.7070370037</v>
      </c>
      <c r="EA310" s="1074"/>
      <c r="ED310" s="1130">
        <f>VLOOKUP($A310,'New Resources - Individual'!$A$4:$Y$133,ED$2,FALSE)*ED$1</f>
        <v>0</v>
      </c>
      <c r="EE310" s="1117">
        <f>$G310+ED310</f>
        <v>17726557.22997893</v>
      </c>
      <c r="EF310" s="1118">
        <f t="shared" si="938"/>
        <v>16037718.522941926</v>
      </c>
      <c r="EG310" s="1118">
        <f t="shared" si="939"/>
        <v>0</v>
      </c>
      <c r="EH310" s="1118">
        <f t="shared" si="940"/>
        <v>1688838.7070370037</v>
      </c>
      <c r="EI310" s="1074"/>
      <c r="EL310" s="1130">
        <f>VLOOKUP($A310,'New Resources - Individual'!$A$4:$Y$133,EL$2,FALSE)*EL$1</f>
        <v>0</v>
      </c>
      <c r="EM310" s="1117">
        <f>$G310+EL310</f>
        <v>17726557.22997893</v>
      </c>
      <c r="EN310" s="1118">
        <f t="shared" si="941"/>
        <v>16037718.522941926</v>
      </c>
      <c r="EO310" s="1118">
        <f t="shared" si="942"/>
        <v>0</v>
      </c>
      <c r="EP310" s="1118">
        <f t="shared" si="943"/>
        <v>1688838.7070370037</v>
      </c>
      <c r="EQ310" s="1074"/>
      <c r="ET310" s="1130">
        <f>VLOOKUP($A310,'New Resources - Individual'!$A$4:$Y$133,ET$2,FALSE)*ET$1</f>
        <v>0</v>
      </c>
      <c r="EU310" s="1117">
        <f>$G310+ET310</f>
        <v>17726557.22997893</v>
      </c>
      <c r="EV310" s="1118">
        <f t="shared" si="944"/>
        <v>16037718.522941926</v>
      </c>
      <c r="EW310" s="1118">
        <f t="shared" si="945"/>
        <v>0</v>
      </c>
      <c r="EX310" s="1118">
        <f t="shared" si="946"/>
        <v>1688838.7070370037</v>
      </c>
      <c r="EY310" s="1074"/>
      <c r="FB310" s="1130">
        <f>VLOOKUP($A310,'New Resources - Individual'!$A$4:$Y$133,FB$2,FALSE)*FB$1</f>
        <v>0</v>
      </c>
      <c r="FC310" s="1117">
        <f>$G310+FB310</f>
        <v>17726557.22997893</v>
      </c>
      <c r="FD310" s="1118">
        <f t="shared" si="947"/>
        <v>16037718.522941926</v>
      </c>
      <c r="FE310" s="1118">
        <f t="shared" si="948"/>
        <v>0</v>
      </c>
      <c r="FF310" s="1118">
        <f t="shared" si="949"/>
        <v>1688838.7070370037</v>
      </c>
      <c r="FG310" s="1074"/>
      <c r="FJ310" s="1130">
        <f>VLOOKUP($A310,'New Resources - Individual'!$A$4:$Y$133,FJ$2,FALSE)*FJ$1</f>
        <v>0</v>
      </c>
      <c r="FK310" s="1117">
        <f>$G310+FJ310</f>
        <v>17726557.22997893</v>
      </c>
      <c r="FL310" s="1118">
        <f t="shared" si="950"/>
        <v>16037718.522941926</v>
      </c>
      <c r="FM310" s="1118">
        <f t="shared" si="951"/>
        <v>0</v>
      </c>
      <c r="FN310" s="1118">
        <f t="shared" si="952"/>
        <v>1688838.7070370037</v>
      </c>
      <c r="FO310" s="1074"/>
    </row>
    <row r="311" spans="1:171" x14ac:dyDescent="0.25">
      <c r="A311" s="1390">
        <v>930</v>
      </c>
      <c r="B311" s="79" t="s">
        <v>503</v>
      </c>
      <c r="C311" s="889">
        <v>330</v>
      </c>
      <c r="D311" s="889">
        <v>456.1</v>
      </c>
      <c r="E311" s="182" t="str">
        <f>'Sch 3B - Other Items'!E35</f>
        <v>TRANS</v>
      </c>
      <c r="F311" s="890"/>
      <c r="G311" s="182">
        <f>'Sch 3B - Other Items'!G35</f>
        <v>63773432.108888477</v>
      </c>
      <c r="H311" s="182">
        <f>'Sch 3B - Other Items'!H35</f>
        <v>0</v>
      </c>
      <c r="I311" s="182">
        <f>'Sch 3B - Other Items'!I35</f>
        <v>0</v>
      </c>
      <c r="J311" s="183">
        <f>'Sch 3B - Other Items'!J35</f>
        <v>63773432.108888477</v>
      </c>
      <c r="K311" s="904">
        <f t="shared" si="892"/>
        <v>1</v>
      </c>
      <c r="N311" s="1130">
        <f>VLOOKUP($A311,'New Resources - Individual'!$A$4:$Y$133,N$2,FALSE)*N$1</f>
        <v>0</v>
      </c>
      <c r="O311" s="1117">
        <f>$G311+N311</f>
        <v>63773432.108888477</v>
      </c>
      <c r="P311" s="1118">
        <f t="shared" si="893"/>
        <v>0</v>
      </c>
      <c r="Q311" s="1118">
        <f t="shared" si="894"/>
        <v>63773432.108888477</v>
      </c>
      <c r="R311" s="1118">
        <f t="shared" si="895"/>
        <v>0</v>
      </c>
      <c r="S311" s="1074"/>
      <c r="V311" s="1130">
        <f>VLOOKUP($A311,'New Resources - Individual'!$A$4:$Y$133,V$2,FALSE)*V$1</f>
        <v>0</v>
      </c>
      <c r="W311" s="1117">
        <f>$G311+V311</f>
        <v>63773432.108888477</v>
      </c>
      <c r="X311" s="1118">
        <f t="shared" si="896"/>
        <v>0</v>
      </c>
      <c r="Y311" s="1118">
        <f t="shared" si="897"/>
        <v>63773432.108888477</v>
      </c>
      <c r="Z311" s="1118">
        <f t="shared" si="898"/>
        <v>0</v>
      </c>
      <c r="AA311" s="1074"/>
      <c r="AD311" s="1130">
        <f>VLOOKUP($A311,'New Resources - Individual'!$A$4:$Y$133,AD$2,FALSE)*AD$1</f>
        <v>0</v>
      </c>
      <c r="AE311" s="1117">
        <f>$G311+AD311</f>
        <v>63773432.108888477</v>
      </c>
      <c r="AF311" s="1118">
        <f t="shared" si="899"/>
        <v>0</v>
      </c>
      <c r="AG311" s="1118">
        <f t="shared" si="900"/>
        <v>63773432.108888477</v>
      </c>
      <c r="AH311" s="1118">
        <f t="shared" si="901"/>
        <v>0</v>
      </c>
      <c r="AI311" s="1074"/>
      <c r="AL311" s="1130">
        <f>VLOOKUP($A311,'New Resources - Individual'!$A$4:$Y$133,AL$2,FALSE)*AL$1</f>
        <v>0</v>
      </c>
      <c r="AM311" s="1117">
        <f>$G311+AL311</f>
        <v>63773432.108888477</v>
      </c>
      <c r="AN311" s="1118">
        <f t="shared" si="902"/>
        <v>0</v>
      </c>
      <c r="AO311" s="1118">
        <f t="shared" si="903"/>
        <v>63773432.108888477</v>
      </c>
      <c r="AP311" s="1118">
        <f t="shared" si="904"/>
        <v>0</v>
      </c>
      <c r="AQ311" s="1074"/>
      <c r="AT311" s="1130">
        <f>VLOOKUP($A311,'New Resources - Individual'!$A$4:$Y$133,AT$2,FALSE)*AT$1</f>
        <v>0</v>
      </c>
      <c r="AU311" s="1117">
        <f>$G311+AT311</f>
        <v>63773432.108888477</v>
      </c>
      <c r="AV311" s="1118">
        <f t="shared" si="905"/>
        <v>0</v>
      </c>
      <c r="AW311" s="1118">
        <f t="shared" si="906"/>
        <v>63773432.108888477</v>
      </c>
      <c r="AX311" s="1118">
        <f t="shared" si="907"/>
        <v>0</v>
      </c>
      <c r="AY311" s="1074"/>
      <c r="BB311" s="1130">
        <f>VLOOKUP($A311,'New Resources - Individual'!$A$4:$Y$133,BB$2,FALSE)*BB$1</f>
        <v>0</v>
      </c>
      <c r="BC311" s="1117">
        <f>$G311+BB311</f>
        <v>63773432.108888477</v>
      </c>
      <c r="BD311" s="1118">
        <f t="shared" si="908"/>
        <v>0</v>
      </c>
      <c r="BE311" s="1118">
        <f t="shared" si="909"/>
        <v>63773432.108888477</v>
      </c>
      <c r="BF311" s="1118">
        <f t="shared" si="910"/>
        <v>0</v>
      </c>
      <c r="BG311" s="1074"/>
      <c r="BJ311" s="1130">
        <f>VLOOKUP($A311,'New Resources - Individual'!$A$4:$Y$133,BJ$2,FALSE)*BJ$1</f>
        <v>0</v>
      </c>
      <c r="BK311" s="1117">
        <f>$G311+BJ311</f>
        <v>63773432.108888477</v>
      </c>
      <c r="BL311" s="1118">
        <f t="shared" si="911"/>
        <v>0</v>
      </c>
      <c r="BM311" s="1118">
        <f t="shared" si="912"/>
        <v>63773432.108888477</v>
      </c>
      <c r="BN311" s="1118">
        <f t="shared" si="913"/>
        <v>0</v>
      </c>
      <c r="BO311" s="1074"/>
      <c r="BR311" s="1130">
        <f>VLOOKUP($A311,'New Resources - Individual'!$A$4:$Y$133,BR$2,FALSE)*BR$1</f>
        <v>0</v>
      </c>
      <c r="BS311" s="1117">
        <f>$G311+BR311</f>
        <v>63773432.108888477</v>
      </c>
      <c r="BT311" s="1118">
        <f t="shared" si="914"/>
        <v>0</v>
      </c>
      <c r="BU311" s="1118">
        <f t="shared" si="915"/>
        <v>63773432.108888477</v>
      </c>
      <c r="BV311" s="1118">
        <f t="shared" si="916"/>
        <v>0</v>
      </c>
      <c r="BW311" s="1074"/>
      <c r="BZ311" s="1130">
        <f>VLOOKUP($A311,'New Resources - Individual'!$A$4:$Y$133,BZ$2,FALSE)*BZ$1</f>
        <v>0</v>
      </c>
      <c r="CA311" s="1117">
        <f>$G311+BZ311</f>
        <v>63773432.108888477</v>
      </c>
      <c r="CB311" s="1118">
        <f t="shared" si="917"/>
        <v>0</v>
      </c>
      <c r="CC311" s="1118">
        <f t="shared" si="918"/>
        <v>63773432.108888477</v>
      </c>
      <c r="CD311" s="1118">
        <f t="shared" si="919"/>
        <v>0</v>
      </c>
      <c r="CE311" s="1074"/>
      <c r="CH311" s="1130">
        <f>VLOOKUP($A311,'New Resources - Individual'!$A$4:$Y$133,CH$2,FALSE)*CH$1</f>
        <v>0</v>
      </c>
      <c r="CI311" s="1117">
        <f>$G311+CH311</f>
        <v>63773432.108888477</v>
      </c>
      <c r="CJ311" s="1118">
        <f t="shared" si="920"/>
        <v>0</v>
      </c>
      <c r="CK311" s="1118">
        <f t="shared" si="921"/>
        <v>63773432.108888477</v>
      </c>
      <c r="CL311" s="1118">
        <f t="shared" si="922"/>
        <v>0</v>
      </c>
      <c r="CM311" s="1074"/>
      <c r="CP311" s="1130">
        <f>VLOOKUP($A311,'New Resources - Individual'!$A$4:$Y$133,CP$2,FALSE)*CP$1</f>
        <v>0</v>
      </c>
      <c r="CQ311" s="1117">
        <f>$G311+CP311</f>
        <v>63773432.108888477</v>
      </c>
      <c r="CR311" s="1118">
        <f t="shared" si="923"/>
        <v>0</v>
      </c>
      <c r="CS311" s="1118">
        <f t="shared" si="924"/>
        <v>63773432.108888477</v>
      </c>
      <c r="CT311" s="1118">
        <f t="shared" si="925"/>
        <v>0</v>
      </c>
      <c r="CU311" s="1074"/>
      <c r="CX311" s="1130">
        <f>VLOOKUP($A311,'New Resources - Individual'!$A$4:$Y$133,CX$2,FALSE)*CX$1</f>
        <v>0</v>
      </c>
      <c r="CY311" s="1117">
        <f>$G311+CX311</f>
        <v>63773432.108888477</v>
      </c>
      <c r="CZ311" s="1118">
        <f t="shared" si="926"/>
        <v>0</v>
      </c>
      <c r="DA311" s="1118">
        <f t="shared" si="927"/>
        <v>63773432.108888477</v>
      </c>
      <c r="DB311" s="1118">
        <f t="shared" si="928"/>
        <v>0</v>
      </c>
      <c r="DC311" s="1074"/>
      <c r="DF311" s="1130">
        <f>VLOOKUP($A311,'New Resources - Individual'!$A$4:$Y$133,DF$2,FALSE)*DF$1</f>
        <v>0</v>
      </c>
      <c r="DG311" s="1117">
        <f>$G311+DF311</f>
        <v>63773432.108888477</v>
      </c>
      <c r="DH311" s="1118">
        <f t="shared" si="929"/>
        <v>0</v>
      </c>
      <c r="DI311" s="1118">
        <f t="shared" si="930"/>
        <v>63773432.108888477</v>
      </c>
      <c r="DJ311" s="1118">
        <f t="shared" si="931"/>
        <v>0</v>
      </c>
      <c r="DK311" s="1074"/>
      <c r="DN311" s="1130">
        <f>VLOOKUP($A311,'New Resources - Individual'!$A$4:$Y$133,DN$2,FALSE)*DN$1</f>
        <v>0</v>
      </c>
      <c r="DO311" s="1117">
        <f>$G311+DN311</f>
        <v>63773432.108888477</v>
      </c>
      <c r="DP311" s="1118">
        <f t="shared" si="932"/>
        <v>0</v>
      </c>
      <c r="DQ311" s="1118">
        <f t="shared" si="933"/>
        <v>63773432.108888477</v>
      </c>
      <c r="DR311" s="1118">
        <f t="shared" si="934"/>
        <v>0</v>
      </c>
      <c r="DS311" s="1074"/>
      <c r="DV311" s="1130">
        <f>VLOOKUP($A311,'New Resources - Individual'!$A$4:$Y$133,DV$2,FALSE)*DV$1</f>
        <v>0</v>
      </c>
      <c r="DW311" s="1117">
        <f>$G311+DV311</f>
        <v>63773432.108888477</v>
      </c>
      <c r="DX311" s="1118">
        <f t="shared" si="935"/>
        <v>0</v>
      </c>
      <c r="DY311" s="1118">
        <f t="shared" si="936"/>
        <v>63773432.108888477</v>
      </c>
      <c r="DZ311" s="1118">
        <f t="shared" si="937"/>
        <v>0</v>
      </c>
      <c r="EA311" s="1074"/>
      <c r="ED311" s="1130">
        <f>VLOOKUP($A311,'New Resources - Individual'!$A$4:$Y$133,ED$2,FALSE)*ED$1</f>
        <v>0</v>
      </c>
      <c r="EE311" s="1117">
        <f>$G311+ED311</f>
        <v>63773432.108888477</v>
      </c>
      <c r="EF311" s="1118">
        <f t="shared" si="938"/>
        <v>0</v>
      </c>
      <c r="EG311" s="1118">
        <f t="shared" si="939"/>
        <v>63773432.108888477</v>
      </c>
      <c r="EH311" s="1118">
        <f t="shared" si="940"/>
        <v>0</v>
      </c>
      <c r="EI311" s="1074"/>
      <c r="EL311" s="1130">
        <f>VLOOKUP($A311,'New Resources - Individual'!$A$4:$Y$133,EL$2,FALSE)*EL$1</f>
        <v>0</v>
      </c>
      <c r="EM311" s="1117">
        <f>$G311+EL311</f>
        <v>63773432.108888477</v>
      </c>
      <c r="EN311" s="1118">
        <f t="shared" si="941"/>
        <v>0</v>
      </c>
      <c r="EO311" s="1118">
        <f t="shared" si="942"/>
        <v>63773432.108888477</v>
      </c>
      <c r="EP311" s="1118">
        <f t="shared" si="943"/>
        <v>0</v>
      </c>
      <c r="EQ311" s="1074"/>
      <c r="ET311" s="1130">
        <f>VLOOKUP($A311,'New Resources - Individual'!$A$4:$Y$133,ET$2,FALSE)*ET$1</f>
        <v>0</v>
      </c>
      <c r="EU311" s="1117">
        <f>$G311+ET311</f>
        <v>63773432.108888477</v>
      </c>
      <c r="EV311" s="1118">
        <f t="shared" si="944"/>
        <v>0</v>
      </c>
      <c r="EW311" s="1118">
        <f t="shared" si="945"/>
        <v>63773432.108888477</v>
      </c>
      <c r="EX311" s="1118">
        <f t="shared" si="946"/>
        <v>0</v>
      </c>
      <c r="EY311" s="1074"/>
      <c r="FB311" s="1130">
        <f>VLOOKUP($A311,'New Resources - Individual'!$A$4:$Y$133,FB$2,FALSE)*FB$1</f>
        <v>0</v>
      </c>
      <c r="FC311" s="1117">
        <f>$G311+FB311</f>
        <v>63773432.108888477</v>
      </c>
      <c r="FD311" s="1118">
        <f t="shared" si="947"/>
        <v>0</v>
      </c>
      <c r="FE311" s="1118">
        <f t="shared" si="948"/>
        <v>63773432.108888477</v>
      </c>
      <c r="FF311" s="1118">
        <f t="shared" si="949"/>
        <v>0</v>
      </c>
      <c r="FG311" s="1074"/>
      <c r="FJ311" s="1130">
        <f>VLOOKUP($A311,'New Resources - Individual'!$A$4:$Y$133,FJ$2,FALSE)*FJ$1</f>
        <v>0</v>
      </c>
      <c r="FK311" s="1117">
        <f>$G311+FJ311</f>
        <v>63773432.108888477</v>
      </c>
      <c r="FL311" s="1118">
        <f t="shared" si="950"/>
        <v>0</v>
      </c>
      <c r="FM311" s="1118">
        <f t="shared" si="951"/>
        <v>63773432.108888477</v>
      </c>
      <c r="FN311" s="1118">
        <f t="shared" si="952"/>
        <v>0</v>
      </c>
      <c r="FO311" s="1074"/>
    </row>
    <row r="312" spans="1:171" x14ac:dyDescent="0.25">
      <c r="A312" s="199"/>
      <c r="B312" s="79"/>
      <c r="C312" s="55"/>
      <c r="D312" s="196"/>
      <c r="E312" s="55"/>
      <c r="F312" s="55"/>
      <c r="G312" s="221"/>
      <c r="H312" s="221"/>
      <c r="I312" s="221"/>
      <c r="J312" s="222"/>
      <c r="K312" s="904"/>
      <c r="S312" s="1074"/>
      <c r="AA312" s="1074"/>
      <c r="AI312" s="1074"/>
      <c r="AQ312" s="1074"/>
      <c r="AY312" s="1074"/>
      <c r="BG312" s="1074"/>
      <c r="BO312" s="1074"/>
      <c r="BW312" s="1074"/>
      <c r="CE312" s="1074"/>
      <c r="CM312" s="1074"/>
      <c r="CU312" s="1074"/>
      <c r="DC312" s="1074"/>
      <c r="DK312" s="1074"/>
      <c r="DS312" s="1074"/>
      <c r="EA312" s="1074"/>
      <c r="EI312" s="1074"/>
      <c r="EQ312" s="1074"/>
      <c r="EY312" s="1074"/>
      <c r="FG312" s="1074"/>
      <c r="FO312" s="1074"/>
    </row>
    <row r="313" spans="1:171" x14ac:dyDescent="0.25">
      <c r="A313" s="163" t="s">
        <v>48</v>
      </c>
      <c r="B313" s="64"/>
      <c r="C313" s="915"/>
      <c r="D313" s="916"/>
      <c r="E313" s="916"/>
      <c r="F313" s="917"/>
      <c r="G313" s="924">
        <f>SUM(G305:G311)</f>
        <v>101821075.95184013</v>
      </c>
      <c r="H313" s="924">
        <f>SUM(H305:H311)</f>
        <v>16037718.522941926</v>
      </c>
      <c r="I313" s="924">
        <f>SUM(I305:I311)</f>
        <v>0</v>
      </c>
      <c r="J313" s="1391">
        <f>SUM(J305:J311)</f>
        <v>85783357.428898215</v>
      </c>
      <c r="K313" s="904"/>
      <c r="O313" s="1134">
        <f>SUM(O305:O311)</f>
        <v>101821075.95184013</v>
      </c>
      <c r="P313" s="1134">
        <f>SUM(P305:P311)</f>
        <v>16037718.522941926</v>
      </c>
      <c r="Q313" s="1134">
        <f>SUM(Q305:Q311)</f>
        <v>68334874.915489465</v>
      </c>
      <c r="R313" s="1134">
        <f>SUM(R305:R311)</f>
        <v>17448482.51340875</v>
      </c>
      <c r="S313" s="1074"/>
      <c r="W313" s="1134">
        <f>SUM(W305:W311)</f>
        <v>101821075.95184013</v>
      </c>
      <c r="X313" s="1134">
        <f>SUM(X305:X311)</f>
        <v>16037718.522941926</v>
      </c>
      <c r="Y313" s="1134">
        <f>SUM(Y305:Y311)</f>
        <v>68334874.915489465</v>
      </c>
      <c r="Z313" s="1134">
        <f>SUM(Z305:Z311)</f>
        <v>17448482.51340875</v>
      </c>
      <c r="AA313" s="1074"/>
      <c r="AE313" s="1134">
        <f>SUM(AE305:AE311)</f>
        <v>101821075.95184013</v>
      </c>
      <c r="AF313" s="1134">
        <f>SUM(AF305:AF311)</f>
        <v>16037718.522941926</v>
      </c>
      <c r="AG313" s="1134">
        <f>SUM(AG305:AG311)</f>
        <v>68334874.915489465</v>
      </c>
      <c r="AH313" s="1134">
        <f>SUM(AH305:AH311)</f>
        <v>17448482.51340875</v>
      </c>
      <c r="AI313" s="1074"/>
      <c r="AM313" s="1134">
        <f>SUM(AM305:AM311)</f>
        <v>101821075.95184013</v>
      </c>
      <c r="AN313" s="1134">
        <f>SUM(AN305:AN311)</f>
        <v>16037718.522941926</v>
      </c>
      <c r="AO313" s="1134">
        <f>SUM(AO305:AO311)</f>
        <v>68334874.915489465</v>
      </c>
      <c r="AP313" s="1134">
        <f>SUM(AP305:AP311)</f>
        <v>17448482.51340875</v>
      </c>
      <c r="AQ313" s="1074"/>
      <c r="AU313" s="1134">
        <f>SUM(AU305:AU311)</f>
        <v>101821075.95184013</v>
      </c>
      <c r="AV313" s="1134">
        <f>SUM(AV305:AV311)</f>
        <v>16037718.522941926</v>
      </c>
      <c r="AW313" s="1134">
        <f>SUM(AW305:AW311)</f>
        <v>68334874.915489465</v>
      </c>
      <c r="AX313" s="1134">
        <f>SUM(AX305:AX311)</f>
        <v>17448482.51340875</v>
      </c>
      <c r="AY313" s="1074"/>
      <c r="BC313" s="1134">
        <f>SUM(BC305:BC311)</f>
        <v>101821075.95184013</v>
      </c>
      <c r="BD313" s="1134">
        <f>SUM(BD305:BD311)</f>
        <v>16037718.522941926</v>
      </c>
      <c r="BE313" s="1134">
        <f>SUM(BE305:BE311)</f>
        <v>68334874.915489465</v>
      </c>
      <c r="BF313" s="1134">
        <f>SUM(BF305:BF311)</f>
        <v>17448482.51340875</v>
      </c>
      <c r="BG313" s="1074"/>
      <c r="BK313" s="1134">
        <f>SUM(BK305:BK311)</f>
        <v>101821075.95184013</v>
      </c>
      <c r="BL313" s="1134">
        <f>SUM(BL305:BL311)</f>
        <v>16037718.522941926</v>
      </c>
      <c r="BM313" s="1134">
        <f>SUM(BM305:BM311)</f>
        <v>68334874.915489465</v>
      </c>
      <c r="BN313" s="1134">
        <f>SUM(BN305:BN311)</f>
        <v>17448482.51340875</v>
      </c>
      <c r="BO313" s="1074"/>
      <c r="BS313" s="1134">
        <f>SUM(BS305:BS311)</f>
        <v>101821075.95184013</v>
      </c>
      <c r="BT313" s="1134">
        <f>SUM(BT305:BT311)</f>
        <v>16037718.522941926</v>
      </c>
      <c r="BU313" s="1134">
        <f>SUM(BU305:BU311)</f>
        <v>68334874.915489465</v>
      </c>
      <c r="BV313" s="1134">
        <f>SUM(BV305:BV311)</f>
        <v>17448482.51340875</v>
      </c>
      <c r="BW313" s="1074"/>
      <c r="CA313" s="1134">
        <f>SUM(CA305:CA311)</f>
        <v>101821075.95184013</v>
      </c>
      <c r="CB313" s="1134">
        <f>SUM(CB305:CB311)</f>
        <v>16037718.522941926</v>
      </c>
      <c r="CC313" s="1134">
        <f>SUM(CC305:CC311)</f>
        <v>68334874.915489465</v>
      </c>
      <c r="CD313" s="1134">
        <f>SUM(CD305:CD311)</f>
        <v>17448482.51340875</v>
      </c>
      <c r="CE313" s="1074"/>
      <c r="CI313" s="1134">
        <f>SUM(CI305:CI311)</f>
        <v>101821075.95184013</v>
      </c>
      <c r="CJ313" s="1134">
        <f>SUM(CJ305:CJ311)</f>
        <v>16037718.522941926</v>
      </c>
      <c r="CK313" s="1134">
        <f>SUM(CK305:CK311)</f>
        <v>68334874.915489465</v>
      </c>
      <c r="CL313" s="1134">
        <f>SUM(CL305:CL311)</f>
        <v>17448482.51340875</v>
      </c>
      <c r="CM313" s="1074"/>
      <c r="CQ313" s="1134">
        <f>SUM(CQ305:CQ311)</f>
        <v>101821075.95184013</v>
      </c>
      <c r="CR313" s="1134">
        <f>SUM(CR305:CR311)</f>
        <v>16037718.522941926</v>
      </c>
      <c r="CS313" s="1134">
        <f>SUM(CS305:CS311)</f>
        <v>68334874.915489465</v>
      </c>
      <c r="CT313" s="1134">
        <f>SUM(CT305:CT311)</f>
        <v>17448482.51340875</v>
      </c>
      <c r="CU313" s="1074"/>
      <c r="CY313" s="1134">
        <f>SUM(CY305:CY311)</f>
        <v>101821075.95184013</v>
      </c>
      <c r="CZ313" s="1134">
        <f>SUM(CZ305:CZ311)</f>
        <v>16037718.522941926</v>
      </c>
      <c r="DA313" s="1134">
        <f>SUM(DA305:DA311)</f>
        <v>68334874.915489465</v>
      </c>
      <c r="DB313" s="1134">
        <f>SUM(DB305:DB311)</f>
        <v>17448482.51340875</v>
      </c>
      <c r="DC313" s="1074"/>
      <c r="DG313" s="1134">
        <f>SUM(DG305:DG311)</f>
        <v>101821075.95184013</v>
      </c>
      <c r="DH313" s="1134">
        <f>SUM(DH305:DH311)</f>
        <v>16037718.522941926</v>
      </c>
      <c r="DI313" s="1134">
        <f>SUM(DI305:DI311)</f>
        <v>68334874.915489465</v>
      </c>
      <c r="DJ313" s="1134">
        <f>SUM(DJ305:DJ311)</f>
        <v>17448482.51340875</v>
      </c>
      <c r="DK313" s="1074"/>
      <c r="DO313" s="1134">
        <f>SUM(DO305:DO311)</f>
        <v>101821075.95184013</v>
      </c>
      <c r="DP313" s="1134">
        <f>SUM(DP305:DP311)</f>
        <v>16037718.522941926</v>
      </c>
      <c r="DQ313" s="1134">
        <f>SUM(DQ305:DQ311)</f>
        <v>68334874.915489465</v>
      </c>
      <c r="DR313" s="1134">
        <f>SUM(DR305:DR311)</f>
        <v>17448482.51340875</v>
      </c>
      <c r="DS313" s="1074"/>
      <c r="DW313" s="1134">
        <f>SUM(DW305:DW311)</f>
        <v>101821075.95184013</v>
      </c>
      <c r="DX313" s="1134">
        <f>SUM(DX305:DX311)</f>
        <v>16037718.522941926</v>
      </c>
      <c r="DY313" s="1134">
        <f>SUM(DY305:DY311)</f>
        <v>68334874.915489465</v>
      </c>
      <c r="DZ313" s="1134">
        <f>SUM(DZ305:DZ311)</f>
        <v>17448482.51340875</v>
      </c>
      <c r="EA313" s="1074"/>
      <c r="EE313" s="1134">
        <f>SUM(EE305:EE311)</f>
        <v>101821075.95184013</v>
      </c>
      <c r="EF313" s="1134">
        <f>SUM(EF305:EF311)</f>
        <v>16037718.522941926</v>
      </c>
      <c r="EG313" s="1134">
        <f>SUM(EG305:EG311)</f>
        <v>68334874.915489465</v>
      </c>
      <c r="EH313" s="1134">
        <f>SUM(EH305:EH311)</f>
        <v>17448482.51340875</v>
      </c>
      <c r="EI313" s="1074"/>
      <c r="EM313" s="1134">
        <f>SUM(EM305:EM311)</f>
        <v>101821075.95184013</v>
      </c>
      <c r="EN313" s="1134">
        <f>SUM(EN305:EN311)</f>
        <v>16037718.522941926</v>
      </c>
      <c r="EO313" s="1134">
        <f>SUM(EO305:EO311)</f>
        <v>68334874.915489465</v>
      </c>
      <c r="EP313" s="1134">
        <f>SUM(EP305:EP311)</f>
        <v>17448482.51340875</v>
      </c>
      <c r="EQ313" s="1074"/>
      <c r="EU313" s="1134">
        <f>SUM(EU305:EU311)</f>
        <v>101821075.95184013</v>
      </c>
      <c r="EV313" s="1134">
        <f>SUM(EV305:EV311)</f>
        <v>16037718.522941926</v>
      </c>
      <c r="EW313" s="1134">
        <f>SUM(EW305:EW311)</f>
        <v>68334874.915489465</v>
      </c>
      <c r="EX313" s="1134">
        <f>SUM(EX305:EX311)</f>
        <v>17448482.51340875</v>
      </c>
      <c r="EY313" s="1074"/>
      <c r="FC313" s="1134">
        <f>SUM(FC305:FC311)</f>
        <v>101821075.95184013</v>
      </c>
      <c r="FD313" s="1134">
        <f>SUM(FD305:FD311)</f>
        <v>16037718.522941926</v>
      </c>
      <c r="FE313" s="1134">
        <f>SUM(FE305:FE311)</f>
        <v>68334874.915489465</v>
      </c>
      <c r="FF313" s="1134">
        <f>SUM(FF305:FF311)</f>
        <v>17448482.51340875</v>
      </c>
      <c r="FG313" s="1074"/>
      <c r="FK313" s="1134">
        <f>SUM(FK305:FK311)</f>
        <v>101821075.95184013</v>
      </c>
      <c r="FL313" s="1134">
        <f>SUM(FL305:FL311)</f>
        <v>16037718.522941926</v>
      </c>
      <c r="FM313" s="1134">
        <f>SUM(FM305:FM311)</f>
        <v>68334874.915489465</v>
      </c>
      <c r="FN313" s="1134">
        <f>SUM(FN305:FN311)</f>
        <v>17448482.51340875</v>
      </c>
      <c r="FO313" s="1074"/>
    </row>
    <row r="314" spans="1:171" x14ac:dyDescent="0.25">
      <c r="A314" s="163"/>
      <c r="B314" s="64"/>
      <c r="C314" s="55"/>
      <c r="D314" s="55"/>
      <c r="E314" s="55"/>
      <c r="F314" s="55"/>
      <c r="G314" s="1036"/>
      <c r="H314" s="1036"/>
      <c r="I314" s="1036"/>
      <c r="J314" s="1037"/>
      <c r="K314" s="904"/>
      <c r="O314" s="1080"/>
      <c r="P314" s="1080"/>
      <c r="Q314" s="1080"/>
      <c r="R314" s="1080"/>
      <c r="S314" s="1074"/>
      <c r="W314" s="1080"/>
      <c r="X314" s="1080"/>
      <c r="Y314" s="1080"/>
      <c r="Z314" s="1080"/>
      <c r="AA314" s="1074"/>
      <c r="AE314" s="1080"/>
      <c r="AF314" s="1080"/>
      <c r="AG314" s="1080"/>
      <c r="AH314" s="1080"/>
      <c r="AI314" s="1074"/>
      <c r="AM314" s="1080"/>
      <c r="AN314" s="1080"/>
      <c r="AO314" s="1080"/>
      <c r="AP314" s="1080"/>
      <c r="AQ314" s="1074"/>
      <c r="AU314" s="1080"/>
      <c r="AV314" s="1080"/>
      <c r="AW314" s="1080"/>
      <c r="AX314" s="1080"/>
      <c r="AY314" s="1074"/>
      <c r="BC314" s="1080"/>
      <c r="BD314" s="1080"/>
      <c r="BE314" s="1080"/>
      <c r="BF314" s="1080"/>
      <c r="BG314" s="1074"/>
      <c r="BK314" s="1080"/>
      <c r="BL314" s="1080"/>
      <c r="BM314" s="1080"/>
      <c r="BN314" s="1080"/>
      <c r="BO314" s="1074"/>
      <c r="BS314" s="1080"/>
      <c r="BT314" s="1080"/>
      <c r="BU314" s="1080"/>
      <c r="BV314" s="1080"/>
      <c r="BW314" s="1074"/>
      <c r="CA314" s="1080"/>
      <c r="CB314" s="1080"/>
      <c r="CC314" s="1080"/>
      <c r="CD314" s="1080"/>
      <c r="CE314" s="1074"/>
      <c r="CI314" s="1080"/>
      <c r="CJ314" s="1080"/>
      <c r="CK314" s="1080"/>
      <c r="CL314" s="1080"/>
      <c r="CM314" s="1074"/>
      <c r="CQ314" s="1080"/>
      <c r="CR314" s="1080"/>
      <c r="CS314" s="1080"/>
      <c r="CT314" s="1080"/>
      <c r="CU314" s="1074"/>
      <c r="CY314" s="1080"/>
      <c r="CZ314" s="1080"/>
      <c r="DA314" s="1080"/>
      <c r="DB314" s="1080"/>
      <c r="DC314" s="1074"/>
      <c r="DG314" s="1080"/>
      <c r="DH314" s="1080"/>
      <c r="DI314" s="1080"/>
      <c r="DJ314" s="1080"/>
      <c r="DK314" s="1074"/>
      <c r="DO314" s="1080"/>
      <c r="DP314" s="1080"/>
      <c r="DQ314" s="1080"/>
      <c r="DR314" s="1080"/>
      <c r="DS314" s="1074"/>
      <c r="DW314" s="1080"/>
      <c r="DX314" s="1080"/>
      <c r="DY314" s="1080"/>
      <c r="DZ314" s="1080"/>
      <c r="EA314" s="1074"/>
      <c r="EE314" s="1080"/>
      <c r="EF314" s="1080"/>
      <c r="EG314" s="1080"/>
      <c r="EH314" s="1080"/>
      <c r="EI314" s="1074"/>
      <c r="EM314" s="1080"/>
      <c r="EN314" s="1080"/>
      <c r="EO314" s="1080"/>
      <c r="EP314" s="1080"/>
      <c r="EQ314" s="1074"/>
      <c r="EU314" s="1080"/>
      <c r="EV314" s="1080"/>
      <c r="EW314" s="1080"/>
      <c r="EX314" s="1080"/>
      <c r="EY314" s="1074"/>
      <c r="FC314" s="1080"/>
      <c r="FD314" s="1080"/>
      <c r="FE314" s="1080"/>
      <c r="FF314" s="1080"/>
      <c r="FG314" s="1074"/>
      <c r="FK314" s="1080"/>
      <c r="FL314" s="1080"/>
      <c r="FM314" s="1080"/>
      <c r="FN314" s="1080"/>
      <c r="FO314" s="1074"/>
    </row>
    <row r="315" spans="1:171" x14ac:dyDescent="0.25">
      <c r="A315" s="163" t="s">
        <v>49</v>
      </c>
      <c r="B315" s="64"/>
      <c r="C315" s="915"/>
      <c r="D315" s="916"/>
      <c r="E315" s="916"/>
      <c r="F315" s="917"/>
      <c r="G315" s="924">
        <f>+G313+G302+G298</f>
        <v>176856701.06279904</v>
      </c>
      <c r="H315" s="924">
        <f>+H313+H302+H298</f>
        <v>94786417.434177458</v>
      </c>
      <c r="I315" s="924">
        <f>+I313+I302+I298</f>
        <v>0</v>
      </c>
      <c r="J315" s="1391">
        <f>+J313+J302+J298</f>
        <v>82070283.628621608</v>
      </c>
      <c r="K315" s="904"/>
      <c r="O315" s="1134">
        <f>+O313+O302+O298</f>
        <v>176856701.06279904</v>
      </c>
      <c r="P315" s="1134">
        <f>+P313+P302+P298</f>
        <v>94786417.434177458</v>
      </c>
      <c r="Q315" s="1134">
        <f>+Q313+Q302+Q298</f>
        <v>68334874.915489465</v>
      </c>
      <c r="R315" s="1134">
        <f>+R313+R302+R298</f>
        <v>13735408.713132137</v>
      </c>
      <c r="S315" s="1074"/>
      <c r="W315" s="1134">
        <f>+W313+W302+W298</f>
        <v>176856701.06279904</v>
      </c>
      <c r="X315" s="1134">
        <f>+X313+X302+X298</f>
        <v>94786417.434177458</v>
      </c>
      <c r="Y315" s="1134">
        <f>+Y313+Y302+Y298</f>
        <v>68334874.915489465</v>
      </c>
      <c r="Z315" s="1134">
        <f>+Z313+Z302+Z298</f>
        <v>13735408.713132137</v>
      </c>
      <c r="AA315" s="1074"/>
      <c r="AE315" s="1134">
        <f>+AE313+AE302+AE298</f>
        <v>176856701.06279904</v>
      </c>
      <c r="AF315" s="1134">
        <f>+AF313+AF302+AF298</f>
        <v>94786417.434177458</v>
      </c>
      <c r="AG315" s="1134">
        <f>+AG313+AG302+AG298</f>
        <v>68334874.915489465</v>
      </c>
      <c r="AH315" s="1134">
        <f>+AH313+AH302+AH298</f>
        <v>13735408.713132137</v>
      </c>
      <c r="AI315" s="1074"/>
      <c r="AM315" s="1134">
        <f>+AM313+AM302+AM298</f>
        <v>176856701.06279904</v>
      </c>
      <c r="AN315" s="1134">
        <f>+AN313+AN302+AN298</f>
        <v>94786417.434177458</v>
      </c>
      <c r="AO315" s="1134">
        <f>+AO313+AO302+AO298</f>
        <v>68334874.915489465</v>
      </c>
      <c r="AP315" s="1134">
        <f>+AP313+AP302+AP298</f>
        <v>13735408.713132137</v>
      </c>
      <c r="AQ315" s="1074"/>
      <c r="AU315" s="1134">
        <f>+AU313+AU302+AU298</f>
        <v>176856701.06279904</v>
      </c>
      <c r="AV315" s="1134">
        <f>+AV313+AV302+AV298</f>
        <v>94786417.434177458</v>
      </c>
      <c r="AW315" s="1134">
        <f>+AW313+AW302+AW298</f>
        <v>68334874.915489465</v>
      </c>
      <c r="AX315" s="1134">
        <f>+AX313+AX302+AX298</f>
        <v>13735408.713132137</v>
      </c>
      <c r="AY315" s="1074"/>
      <c r="BC315" s="1134">
        <f>+BC313+BC302+BC298</f>
        <v>176856701.06279904</v>
      </c>
      <c r="BD315" s="1134">
        <f>+BD313+BD302+BD298</f>
        <v>94786417.434177458</v>
      </c>
      <c r="BE315" s="1134">
        <f>+BE313+BE302+BE298</f>
        <v>68334874.915489465</v>
      </c>
      <c r="BF315" s="1134">
        <f>+BF313+BF302+BF298</f>
        <v>13735408.713132137</v>
      </c>
      <c r="BG315" s="1074"/>
      <c r="BK315" s="1134">
        <f>+BK313+BK302+BK298</f>
        <v>176856701.06279904</v>
      </c>
      <c r="BL315" s="1134">
        <f>+BL313+BL302+BL298</f>
        <v>94786417.434177458</v>
      </c>
      <c r="BM315" s="1134">
        <f>+BM313+BM302+BM298</f>
        <v>68334874.915489465</v>
      </c>
      <c r="BN315" s="1134">
        <f>+BN313+BN302+BN298</f>
        <v>13735408.713132137</v>
      </c>
      <c r="BO315" s="1074"/>
      <c r="BS315" s="1134">
        <f>+BS313+BS302+BS298</f>
        <v>176856701.06279904</v>
      </c>
      <c r="BT315" s="1134">
        <f>+BT313+BT302+BT298</f>
        <v>94786417.434177458</v>
      </c>
      <c r="BU315" s="1134">
        <f>+BU313+BU302+BU298</f>
        <v>68334874.915489465</v>
      </c>
      <c r="BV315" s="1134">
        <f>+BV313+BV302+BV298</f>
        <v>13735408.713132137</v>
      </c>
      <c r="BW315" s="1074"/>
      <c r="CA315" s="1134">
        <f>+CA313+CA302+CA298</f>
        <v>176856701.06279904</v>
      </c>
      <c r="CB315" s="1134">
        <f>+CB313+CB302+CB298</f>
        <v>94786417.434177458</v>
      </c>
      <c r="CC315" s="1134">
        <f>+CC313+CC302+CC298</f>
        <v>68334874.915489465</v>
      </c>
      <c r="CD315" s="1134">
        <f>+CD313+CD302+CD298</f>
        <v>13735408.713132137</v>
      </c>
      <c r="CE315" s="1074"/>
      <c r="CI315" s="1134">
        <f>+CI313+CI302+CI298</f>
        <v>176856701.06279904</v>
      </c>
      <c r="CJ315" s="1134">
        <f>+CJ313+CJ302+CJ298</f>
        <v>94786417.434177458</v>
      </c>
      <c r="CK315" s="1134">
        <f>+CK313+CK302+CK298</f>
        <v>68334874.915489465</v>
      </c>
      <c r="CL315" s="1134">
        <f>+CL313+CL302+CL298</f>
        <v>13735408.713132137</v>
      </c>
      <c r="CM315" s="1074"/>
      <c r="CQ315" s="1134">
        <f>+CQ313+CQ302+CQ298</f>
        <v>176856701.06279904</v>
      </c>
      <c r="CR315" s="1134">
        <f>+CR313+CR302+CR298</f>
        <v>94786417.434177458</v>
      </c>
      <c r="CS315" s="1134">
        <f>+CS313+CS302+CS298</f>
        <v>68334874.915489465</v>
      </c>
      <c r="CT315" s="1134">
        <f>+CT313+CT302+CT298</f>
        <v>13735408.713132137</v>
      </c>
      <c r="CU315" s="1074"/>
      <c r="CY315" s="1134">
        <f>+CY313+CY302+CY298</f>
        <v>176856701.06279904</v>
      </c>
      <c r="CZ315" s="1134">
        <f>+CZ313+CZ302+CZ298</f>
        <v>94786417.434177458</v>
      </c>
      <c r="DA315" s="1134">
        <f>+DA313+DA302+DA298</f>
        <v>68334874.915489465</v>
      </c>
      <c r="DB315" s="1134">
        <f>+DB313+DB302+DB298</f>
        <v>13735408.713132137</v>
      </c>
      <c r="DC315" s="1074"/>
      <c r="DG315" s="1134">
        <f>+DG313+DG302+DG298</f>
        <v>176856701.06279904</v>
      </c>
      <c r="DH315" s="1134">
        <f>+DH313+DH302+DH298</f>
        <v>94786417.434177458</v>
      </c>
      <c r="DI315" s="1134">
        <f>+DI313+DI302+DI298</f>
        <v>68334874.915489465</v>
      </c>
      <c r="DJ315" s="1134">
        <f>+DJ313+DJ302+DJ298</f>
        <v>13735408.713132137</v>
      </c>
      <c r="DK315" s="1074"/>
      <c r="DO315" s="1134">
        <f>+DO313+DO302+DO298</f>
        <v>176856701.06279904</v>
      </c>
      <c r="DP315" s="1134">
        <f>+DP313+DP302+DP298</f>
        <v>94786417.434177458</v>
      </c>
      <c r="DQ315" s="1134">
        <f>+DQ313+DQ302+DQ298</f>
        <v>68334874.915489465</v>
      </c>
      <c r="DR315" s="1134">
        <f>+DR313+DR302+DR298</f>
        <v>13735408.713132137</v>
      </c>
      <c r="DS315" s="1074"/>
      <c r="DW315" s="1134">
        <f>+DW313+DW302+DW298</f>
        <v>176856701.06279904</v>
      </c>
      <c r="DX315" s="1134">
        <f>+DX313+DX302+DX298</f>
        <v>94786417.434177458</v>
      </c>
      <c r="DY315" s="1134">
        <f>+DY313+DY302+DY298</f>
        <v>68334874.915489465</v>
      </c>
      <c r="DZ315" s="1134">
        <f>+DZ313+DZ302+DZ298</f>
        <v>13735408.713132137</v>
      </c>
      <c r="EA315" s="1074"/>
      <c r="EE315" s="1134">
        <f>+EE313+EE302+EE298</f>
        <v>176856701.06279904</v>
      </c>
      <c r="EF315" s="1134">
        <f>+EF313+EF302+EF298</f>
        <v>94786417.434177458</v>
      </c>
      <c r="EG315" s="1134">
        <f>+EG313+EG302+EG298</f>
        <v>68334874.915489465</v>
      </c>
      <c r="EH315" s="1134">
        <f>+EH313+EH302+EH298</f>
        <v>13735408.713132137</v>
      </c>
      <c r="EI315" s="1074"/>
      <c r="EM315" s="1134">
        <f>+EM313+EM302+EM298</f>
        <v>176856701.06279904</v>
      </c>
      <c r="EN315" s="1134">
        <f>+EN313+EN302+EN298</f>
        <v>94786417.434177458</v>
      </c>
      <c r="EO315" s="1134">
        <f>+EO313+EO302+EO298</f>
        <v>68334874.915489465</v>
      </c>
      <c r="EP315" s="1134">
        <f>+EP313+EP302+EP298</f>
        <v>13735408.713132137</v>
      </c>
      <c r="EQ315" s="1074"/>
      <c r="EU315" s="1134">
        <f>+EU313+EU302+EU298</f>
        <v>176856701.06279904</v>
      </c>
      <c r="EV315" s="1134">
        <f>+EV313+EV302+EV298</f>
        <v>94786417.434177458</v>
      </c>
      <c r="EW315" s="1134">
        <f>+EW313+EW302+EW298</f>
        <v>68334874.915489465</v>
      </c>
      <c r="EX315" s="1134">
        <f>+EX313+EX302+EX298</f>
        <v>13735408.713132137</v>
      </c>
      <c r="EY315" s="1074"/>
      <c r="FC315" s="1134">
        <f>+FC313+FC302+FC298</f>
        <v>176856701.06279904</v>
      </c>
      <c r="FD315" s="1134">
        <f>+FD313+FD302+FD298</f>
        <v>94786417.434177458</v>
      </c>
      <c r="FE315" s="1134">
        <f>+FE313+FE302+FE298</f>
        <v>68334874.915489465</v>
      </c>
      <c r="FF315" s="1134">
        <f>+FF313+FF302+FF298</f>
        <v>13735408.713132137</v>
      </c>
      <c r="FG315" s="1074"/>
      <c r="FK315" s="1134">
        <f>+FK313+FK302+FK298</f>
        <v>176856701.06279904</v>
      </c>
      <c r="FL315" s="1134">
        <f>+FL313+FL302+FL298</f>
        <v>94786417.434177458</v>
      </c>
      <c r="FM315" s="1134">
        <f>+FM313+FM302+FM298</f>
        <v>68334874.915489465</v>
      </c>
      <c r="FN315" s="1134">
        <f>+FN313+FN302+FN298</f>
        <v>13735408.713132137</v>
      </c>
      <c r="FO315" s="1074"/>
    </row>
    <row r="316" spans="1:171" x14ac:dyDescent="0.25">
      <c r="A316" s="923" t="s">
        <v>67</v>
      </c>
      <c r="B316" s="64"/>
      <c r="C316" s="79"/>
      <c r="D316" s="79"/>
      <c r="E316" s="79"/>
      <c r="F316" s="79"/>
      <c r="G316" s="79"/>
      <c r="H316" s="79"/>
      <c r="I316" s="79"/>
      <c r="J316" s="1038"/>
      <c r="K316" s="904"/>
      <c r="S316" s="1074"/>
      <c r="AA316" s="1074"/>
      <c r="AI316" s="1074"/>
      <c r="AQ316" s="1074"/>
      <c r="AY316" s="1074"/>
      <c r="BG316" s="1074"/>
      <c r="BO316" s="1074"/>
      <c r="BW316" s="1074"/>
      <c r="CE316" s="1074"/>
      <c r="CM316" s="1074"/>
      <c r="CU316" s="1074"/>
      <c r="DC316" s="1074"/>
      <c r="DK316" s="1074"/>
      <c r="DS316" s="1074"/>
      <c r="EA316" s="1074"/>
      <c r="EI316" s="1074"/>
      <c r="EQ316" s="1074"/>
      <c r="EY316" s="1074"/>
      <c r="FG316" s="1074"/>
      <c r="FO316" s="1074"/>
    </row>
    <row r="317" spans="1:171" ht="16.5" thickBot="1" x14ac:dyDescent="0.3">
      <c r="A317" s="215"/>
      <c r="B317" s="216"/>
      <c r="C317" s="216"/>
      <c r="D317" s="216"/>
      <c r="E317" s="216"/>
      <c r="F317" s="216"/>
      <c r="G317" s="216"/>
      <c r="H317" s="216"/>
      <c r="I317" s="216"/>
      <c r="J317" s="204"/>
      <c r="K317" s="904"/>
      <c r="S317" s="1074"/>
      <c r="AA317" s="1074"/>
      <c r="AI317" s="1074"/>
      <c r="AQ317" s="1074"/>
      <c r="AY317" s="1074"/>
      <c r="BG317" s="1074"/>
      <c r="BO317" s="1074"/>
      <c r="BW317" s="1074"/>
      <c r="CE317" s="1074"/>
      <c r="CM317" s="1074"/>
      <c r="CU317" s="1074"/>
      <c r="DC317" s="1074"/>
      <c r="DK317" s="1074"/>
      <c r="DS317" s="1074"/>
      <c r="EA317" s="1074"/>
      <c r="EI317" s="1074"/>
      <c r="EQ317" s="1074"/>
      <c r="EY317" s="1074"/>
      <c r="FG317" s="1074"/>
      <c r="FO317" s="1074"/>
    </row>
    <row r="318" spans="1:171" ht="17.25" thickTop="1" thickBot="1" x14ac:dyDescent="0.3">
      <c r="A318" s="1039" t="s">
        <v>66</v>
      </c>
      <c r="B318" s="1040"/>
      <c r="C318" s="1040"/>
      <c r="D318" s="1040"/>
      <c r="E318" s="1040"/>
      <c r="F318" s="1041"/>
      <c r="G318" s="1041"/>
      <c r="H318" s="1041"/>
      <c r="I318" s="1040"/>
      <c r="J318" s="1040"/>
      <c r="K318" s="904"/>
      <c r="S318" s="1074"/>
      <c r="AA318" s="1074"/>
      <c r="AI318" s="1074"/>
      <c r="AQ318" s="1074"/>
      <c r="AY318" s="1074"/>
      <c r="BG318" s="1074"/>
      <c r="BO318" s="1074"/>
      <c r="BW318" s="1074"/>
      <c r="CE318" s="1074"/>
      <c r="CM318" s="1074"/>
      <c r="CU318" s="1074"/>
      <c r="DC318" s="1074"/>
      <c r="DK318" s="1074"/>
      <c r="DS318" s="1074"/>
      <c r="EA318" s="1074"/>
      <c r="EI318" s="1074"/>
      <c r="EQ318" s="1074"/>
      <c r="EY318" s="1074"/>
      <c r="FG318" s="1074"/>
      <c r="FO318" s="1074"/>
    </row>
    <row r="319" spans="1:171" x14ac:dyDescent="0.25">
      <c r="A319" s="1042"/>
      <c r="B319" s="1043"/>
      <c r="C319" s="1044"/>
      <c r="D319" s="1044"/>
      <c r="E319" s="1044"/>
      <c r="F319" s="1044"/>
      <c r="G319" s="1043"/>
      <c r="H319" s="1043"/>
      <c r="I319" s="1043"/>
      <c r="J319" s="1045"/>
      <c r="K319" s="904"/>
      <c r="S319" s="1074"/>
      <c r="AA319" s="1074"/>
      <c r="AI319" s="1074"/>
      <c r="AQ319" s="1074"/>
      <c r="AY319" s="1074"/>
      <c r="BG319" s="1074"/>
      <c r="BO319" s="1074"/>
      <c r="BW319" s="1074"/>
      <c r="CE319" s="1074"/>
      <c r="CM319" s="1074"/>
      <c r="CU319" s="1074"/>
      <c r="DC319" s="1074"/>
      <c r="DK319" s="1074"/>
      <c r="DS319" s="1074"/>
      <c r="EA319" s="1074"/>
      <c r="EI319" s="1074"/>
      <c r="EQ319" s="1074"/>
      <c r="EY319" s="1074"/>
      <c r="FG319" s="1074"/>
      <c r="FO319" s="1074"/>
    </row>
    <row r="320" spans="1:171" ht="16.5" thickBot="1" x14ac:dyDescent="0.3">
      <c r="A320" s="1046"/>
      <c r="B320" s="1020"/>
      <c r="C320" s="1"/>
      <c r="D320" s="1"/>
      <c r="E320" s="1"/>
      <c r="F320" s="1"/>
      <c r="G320" s="1047" t="s">
        <v>97</v>
      </c>
      <c r="H320" s="1047" t="s">
        <v>97</v>
      </c>
      <c r="I320" s="1047" t="s">
        <v>97</v>
      </c>
      <c r="J320" s="1048" t="s">
        <v>97</v>
      </c>
      <c r="K320" s="904"/>
      <c r="S320" s="1074"/>
      <c r="AA320" s="1074"/>
      <c r="AI320" s="1074"/>
      <c r="AQ320" s="1074"/>
      <c r="AY320" s="1074"/>
      <c r="BG320" s="1074"/>
      <c r="BO320" s="1074"/>
      <c r="BW320" s="1074"/>
      <c r="CE320" s="1074"/>
      <c r="CM320" s="1074"/>
      <c r="CU320" s="1074"/>
      <c r="DC320" s="1074"/>
      <c r="DK320" s="1074"/>
      <c r="DS320" s="1074"/>
      <c r="EA320" s="1074"/>
      <c r="EI320" s="1074"/>
      <c r="EQ320" s="1074"/>
      <c r="EY320" s="1074"/>
      <c r="FG320" s="1074"/>
      <c r="FO320" s="1074"/>
    </row>
    <row r="321" spans="1:171" ht="16.5" thickBot="1" x14ac:dyDescent="0.3">
      <c r="A321" s="1049"/>
      <c r="B321" s="1"/>
      <c r="C321" s="1"/>
      <c r="D321" s="1"/>
      <c r="E321" s="1"/>
      <c r="F321" s="1"/>
      <c r="G321" s="305" t="s">
        <v>104</v>
      </c>
      <c r="H321" s="305" t="s">
        <v>105</v>
      </c>
      <c r="I321" s="305" t="s">
        <v>106</v>
      </c>
      <c r="J321" s="305" t="s">
        <v>512</v>
      </c>
      <c r="K321" s="904"/>
      <c r="O321" s="305" t="s">
        <v>104</v>
      </c>
      <c r="P321" s="305" t="s">
        <v>105</v>
      </c>
      <c r="Q321" s="305" t="s">
        <v>106</v>
      </c>
      <c r="R321" s="305" t="s">
        <v>512</v>
      </c>
      <c r="S321" s="904"/>
      <c r="W321" s="305" t="s">
        <v>104</v>
      </c>
      <c r="X321" s="305" t="s">
        <v>105</v>
      </c>
      <c r="Y321" s="305" t="s">
        <v>106</v>
      </c>
      <c r="Z321" s="305" t="s">
        <v>512</v>
      </c>
      <c r="AA321" s="904"/>
      <c r="AE321" s="305" t="s">
        <v>104</v>
      </c>
      <c r="AF321" s="305" t="s">
        <v>105</v>
      </c>
      <c r="AG321" s="305" t="s">
        <v>106</v>
      </c>
      <c r="AH321" s="305" t="s">
        <v>512</v>
      </c>
      <c r="AI321" s="904"/>
      <c r="AM321" s="305" t="s">
        <v>104</v>
      </c>
      <c r="AN321" s="305" t="s">
        <v>105</v>
      </c>
      <c r="AO321" s="305" t="s">
        <v>106</v>
      </c>
      <c r="AP321" s="305" t="s">
        <v>512</v>
      </c>
      <c r="AQ321" s="904"/>
      <c r="AU321" s="305" t="s">
        <v>104</v>
      </c>
      <c r="AV321" s="305" t="s">
        <v>105</v>
      </c>
      <c r="AW321" s="305" t="s">
        <v>106</v>
      </c>
      <c r="AX321" s="305" t="s">
        <v>512</v>
      </c>
      <c r="AY321" s="904"/>
      <c r="BC321" s="305" t="s">
        <v>104</v>
      </c>
      <c r="BD321" s="305" t="s">
        <v>105</v>
      </c>
      <c r="BE321" s="305" t="s">
        <v>106</v>
      </c>
      <c r="BF321" s="305" t="s">
        <v>512</v>
      </c>
      <c r="BG321" s="904"/>
      <c r="BK321" s="305" t="s">
        <v>104</v>
      </c>
      <c r="BL321" s="305" t="s">
        <v>105</v>
      </c>
      <c r="BM321" s="305" t="s">
        <v>106</v>
      </c>
      <c r="BN321" s="305" t="s">
        <v>512</v>
      </c>
      <c r="BO321" s="904"/>
      <c r="BS321" s="305" t="s">
        <v>104</v>
      </c>
      <c r="BT321" s="305" t="s">
        <v>105</v>
      </c>
      <c r="BU321" s="305" t="s">
        <v>106</v>
      </c>
      <c r="BV321" s="305" t="s">
        <v>512</v>
      </c>
      <c r="BW321" s="904"/>
      <c r="CA321" s="305" t="s">
        <v>104</v>
      </c>
      <c r="CB321" s="305" t="s">
        <v>105</v>
      </c>
      <c r="CC321" s="305" t="s">
        <v>106</v>
      </c>
      <c r="CD321" s="305" t="s">
        <v>512</v>
      </c>
      <c r="CE321" s="904"/>
      <c r="CI321" s="305" t="s">
        <v>104</v>
      </c>
      <c r="CJ321" s="305" t="s">
        <v>105</v>
      </c>
      <c r="CK321" s="305" t="s">
        <v>106</v>
      </c>
      <c r="CL321" s="305" t="s">
        <v>512</v>
      </c>
      <c r="CM321" s="904"/>
      <c r="CQ321" s="305" t="s">
        <v>104</v>
      </c>
      <c r="CR321" s="305" t="s">
        <v>105</v>
      </c>
      <c r="CS321" s="305" t="s">
        <v>106</v>
      </c>
      <c r="CT321" s="305" t="s">
        <v>512</v>
      </c>
      <c r="CU321" s="904"/>
      <c r="CY321" s="305" t="s">
        <v>104</v>
      </c>
      <c r="CZ321" s="305" t="s">
        <v>105</v>
      </c>
      <c r="DA321" s="305" t="s">
        <v>106</v>
      </c>
      <c r="DB321" s="305" t="s">
        <v>512</v>
      </c>
      <c r="DC321" s="904"/>
      <c r="DG321" s="305" t="s">
        <v>104</v>
      </c>
      <c r="DH321" s="305" t="s">
        <v>105</v>
      </c>
      <c r="DI321" s="305" t="s">
        <v>106</v>
      </c>
      <c r="DJ321" s="305" t="s">
        <v>512</v>
      </c>
      <c r="DK321" s="904"/>
      <c r="DO321" s="305" t="s">
        <v>104</v>
      </c>
      <c r="DP321" s="305" t="s">
        <v>105</v>
      </c>
      <c r="DQ321" s="305" t="s">
        <v>106</v>
      </c>
      <c r="DR321" s="305" t="s">
        <v>512</v>
      </c>
      <c r="DS321" s="904"/>
      <c r="DW321" s="305" t="s">
        <v>104</v>
      </c>
      <c r="DX321" s="305" t="s">
        <v>105</v>
      </c>
      <c r="DY321" s="305" t="s">
        <v>106</v>
      </c>
      <c r="DZ321" s="305" t="s">
        <v>512</v>
      </c>
      <c r="EA321" s="904"/>
      <c r="EE321" s="305" t="s">
        <v>104</v>
      </c>
      <c r="EF321" s="305" t="s">
        <v>105</v>
      </c>
      <c r="EG321" s="305" t="s">
        <v>106</v>
      </c>
      <c r="EH321" s="305" t="s">
        <v>512</v>
      </c>
      <c r="EI321" s="904"/>
      <c r="EM321" s="305" t="s">
        <v>104</v>
      </c>
      <c r="EN321" s="305" t="s">
        <v>105</v>
      </c>
      <c r="EO321" s="305" t="s">
        <v>106</v>
      </c>
      <c r="EP321" s="305" t="s">
        <v>512</v>
      </c>
      <c r="EQ321" s="904"/>
      <c r="EU321" s="305" t="s">
        <v>104</v>
      </c>
      <c r="EV321" s="305" t="s">
        <v>105</v>
      </c>
      <c r="EW321" s="305" t="s">
        <v>106</v>
      </c>
      <c r="EX321" s="305" t="s">
        <v>512</v>
      </c>
      <c r="EY321" s="904"/>
      <c r="FC321" s="305" t="s">
        <v>104</v>
      </c>
      <c r="FD321" s="305" t="s">
        <v>105</v>
      </c>
      <c r="FE321" s="305" t="s">
        <v>106</v>
      </c>
      <c r="FF321" s="305" t="s">
        <v>512</v>
      </c>
      <c r="FG321" s="904"/>
      <c r="FK321" s="305" t="s">
        <v>104</v>
      </c>
      <c r="FL321" s="305" t="s">
        <v>105</v>
      </c>
      <c r="FM321" s="305" t="s">
        <v>106</v>
      </c>
      <c r="FN321" s="305" t="s">
        <v>512</v>
      </c>
      <c r="FO321" s="904"/>
    </row>
    <row r="322" spans="1:171" x14ac:dyDescent="0.25">
      <c r="A322" s="1050" t="s">
        <v>50</v>
      </c>
      <c r="B322" s="51"/>
      <c r="C322" s="1"/>
      <c r="D322" s="1"/>
      <c r="E322" s="1"/>
      <c r="F322" s="1"/>
      <c r="G322" s="924">
        <f>G260</f>
        <v>3229555827.293632</v>
      </c>
      <c r="H322" s="924">
        <f>H260</f>
        <v>2306462730.3009195</v>
      </c>
      <c r="I322" s="924">
        <f>I260</f>
        <v>0</v>
      </c>
      <c r="J322" s="924">
        <f>J260</f>
        <v>923118347.54036522</v>
      </c>
      <c r="K322" s="904"/>
      <c r="O322" s="924">
        <f>O260</f>
        <v>3229555827.293632</v>
      </c>
      <c r="P322" s="924">
        <f>P260</f>
        <v>2306462730.3009195</v>
      </c>
      <c r="Q322" s="924">
        <f>Q260</f>
        <v>116461850.98615821</v>
      </c>
      <c r="R322" s="924">
        <f>R260</f>
        <v>806631246.00655472</v>
      </c>
      <c r="S322" s="904"/>
      <c r="W322" s="924">
        <f>W260</f>
        <v>3229555827.293632</v>
      </c>
      <c r="X322" s="924">
        <f>X260</f>
        <v>2306462730.3009195</v>
      </c>
      <c r="Y322" s="924">
        <f>Y260</f>
        <v>116461850.98615821</v>
      </c>
      <c r="Z322" s="924">
        <f>Z260</f>
        <v>806631246.00655472</v>
      </c>
      <c r="AA322" s="904"/>
      <c r="AE322" s="924">
        <f>AE260</f>
        <v>3229555827.293632</v>
      </c>
      <c r="AF322" s="924">
        <f>AF260</f>
        <v>2306462730.3009195</v>
      </c>
      <c r="AG322" s="924">
        <f>AG260</f>
        <v>116461850.98615821</v>
      </c>
      <c r="AH322" s="924">
        <f>AH260</f>
        <v>806631246.00655472</v>
      </c>
      <c r="AI322" s="904"/>
      <c r="AM322" s="924">
        <f>AM260</f>
        <v>3229555827.293632</v>
      </c>
      <c r="AN322" s="924">
        <f>AN260</f>
        <v>2306462730.3009195</v>
      </c>
      <c r="AO322" s="924">
        <f>AO260</f>
        <v>116461850.98615821</v>
      </c>
      <c r="AP322" s="924">
        <f>AP260</f>
        <v>806631246.00655472</v>
      </c>
      <c r="AQ322" s="904"/>
      <c r="AU322" s="924">
        <f>AU260</f>
        <v>3229555827.293632</v>
      </c>
      <c r="AV322" s="924">
        <f>AV260</f>
        <v>2306462730.3009195</v>
      </c>
      <c r="AW322" s="924">
        <f>AW260</f>
        <v>116461850.98615821</v>
      </c>
      <c r="AX322" s="924">
        <f>AX260</f>
        <v>806631246.00655472</v>
      </c>
      <c r="AY322" s="904"/>
      <c r="BC322" s="924">
        <f>BC260</f>
        <v>3229555827.293632</v>
      </c>
      <c r="BD322" s="924">
        <f>BD260</f>
        <v>2306462730.3009195</v>
      </c>
      <c r="BE322" s="924">
        <f>BE260</f>
        <v>116461850.98615821</v>
      </c>
      <c r="BF322" s="924">
        <f>BF260</f>
        <v>806631246.00655472</v>
      </c>
      <c r="BG322" s="904"/>
      <c r="BK322" s="924">
        <f>BK260</f>
        <v>3229555827.293632</v>
      </c>
      <c r="BL322" s="924">
        <f>BL260</f>
        <v>2306462730.3009195</v>
      </c>
      <c r="BM322" s="924">
        <f>BM260</f>
        <v>116461850.98615821</v>
      </c>
      <c r="BN322" s="924">
        <f>BN260</f>
        <v>806631246.00655472</v>
      </c>
      <c r="BO322" s="904"/>
      <c r="BS322" s="924">
        <f>BS260</f>
        <v>3229555827.293632</v>
      </c>
      <c r="BT322" s="924">
        <f>BT260</f>
        <v>2306462730.3009195</v>
      </c>
      <c r="BU322" s="924">
        <f>BU260</f>
        <v>116461850.98615821</v>
      </c>
      <c r="BV322" s="924">
        <f>BV260</f>
        <v>806631246.00655472</v>
      </c>
      <c r="BW322" s="904"/>
      <c r="CA322" s="924">
        <f>CA260</f>
        <v>3229555827.293632</v>
      </c>
      <c r="CB322" s="924">
        <f>CB260</f>
        <v>2306462730.3009195</v>
      </c>
      <c r="CC322" s="924">
        <f>CC260</f>
        <v>116461850.98615821</v>
      </c>
      <c r="CD322" s="924">
        <f>CD260</f>
        <v>806631246.00655472</v>
      </c>
      <c r="CE322" s="904"/>
      <c r="CI322" s="924">
        <f>CI260</f>
        <v>3229555827.293632</v>
      </c>
      <c r="CJ322" s="924">
        <f>CJ260</f>
        <v>2306462730.3009195</v>
      </c>
      <c r="CK322" s="924">
        <f>CK260</f>
        <v>116461850.98615821</v>
      </c>
      <c r="CL322" s="924">
        <f>CL260</f>
        <v>806631246.00655472</v>
      </c>
      <c r="CM322" s="904"/>
      <c r="CQ322" s="924">
        <f>CQ260</f>
        <v>3229555827.293632</v>
      </c>
      <c r="CR322" s="924">
        <f>CR260</f>
        <v>2306462730.3009195</v>
      </c>
      <c r="CS322" s="924">
        <f>CS260</f>
        <v>116461850.98615821</v>
      </c>
      <c r="CT322" s="924">
        <f>CT260</f>
        <v>806631246.00655472</v>
      </c>
      <c r="CU322" s="904"/>
      <c r="CY322" s="924">
        <f>CY260</f>
        <v>3229555827.293632</v>
      </c>
      <c r="CZ322" s="924">
        <f>CZ260</f>
        <v>2306462730.3009195</v>
      </c>
      <c r="DA322" s="924">
        <f>DA260</f>
        <v>116461850.98615821</v>
      </c>
      <c r="DB322" s="924">
        <f>DB260</f>
        <v>806631246.00655472</v>
      </c>
      <c r="DC322" s="904"/>
      <c r="DG322" s="924">
        <f>DG260</f>
        <v>3229555827.293632</v>
      </c>
      <c r="DH322" s="924">
        <f>DH260</f>
        <v>2306462730.3009195</v>
      </c>
      <c r="DI322" s="924">
        <f>DI260</f>
        <v>116461850.98615821</v>
      </c>
      <c r="DJ322" s="924">
        <f>DJ260</f>
        <v>806631246.00655472</v>
      </c>
      <c r="DK322" s="904"/>
      <c r="DO322" s="924">
        <f>DO260</f>
        <v>3229555827.293632</v>
      </c>
      <c r="DP322" s="924">
        <f>DP260</f>
        <v>2306462730.3009195</v>
      </c>
      <c r="DQ322" s="924">
        <f>DQ260</f>
        <v>116461850.98615821</v>
      </c>
      <c r="DR322" s="924">
        <f>DR260</f>
        <v>806631246.00655472</v>
      </c>
      <c r="DS322" s="904"/>
      <c r="DW322" s="924">
        <f>DW260</f>
        <v>3229555827.293632</v>
      </c>
      <c r="DX322" s="924">
        <f>DX260</f>
        <v>2306462730.3009195</v>
      </c>
      <c r="DY322" s="924">
        <f>DY260</f>
        <v>116461850.98615821</v>
      </c>
      <c r="DZ322" s="924">
        <f>DZ260</f>
        <v>806631246.00655472</v>
      </c>
      <c r="EA322" s="904"/>
      <c r="EE322" s="924">
        <f>EE260</f>
        <v>3229555827.293632</v>
      </c>
      <c r="EF322" s="924">
        <f>EF260</f>
        <v>2306462730.3009195</v>
      </c>
      <c r="EG322" s="924">
        <f>EG260</f>
        <v>116461850.98615821</v>
      </c>
      <c r="EH322" s="924">
        <f>EH260</f>
        <v>806631246.00655472</v>
      </c>
      <c r="EI322" s="904"/>
      <c r="EM322" s="924">
        <f>EM260</f>
        <v>3229555827.293632</v>
      </c>
      <c r="EN322" s="924">
        <f>EN260</f>
        <v>2306462730.3009195</v>
      </c>
      <c r="EO322" s="924">
        <f>EO260</f>
        <v>116461850.98615821</v>
      </c>
      <c r="EP322" s="924">
        <f>EP260</f>
        <v>806631246.00655472</v>
      </c>
      <c r="EQ322" s="904"/>
      <c r="EU322" s="924">
        <f>EU260</f>
        <v>3229555827.293632</v>
      </c>
      <c r="EV322" s="924">
        <f>EV260</f>
        <v>2306462730.3009195</v>
      </c>
      <c r="EW322" s="924">
        <f>EW260</f>
        <v>116461850.98615821</v>
      </c>
      <c r="EX322" s="924">
        <f>EX260</f>
        <v>806631246.00655472</v>
      </c>
      <c r="EY322" s="904"/>
      <c r="FC322" s="924">
        <f>FC260</f>
        <v>3229555827.293632</v>
      </c>
      <c r="FD322" s="924">
        <f>FD260</f>
        <v>2306462730.3009195</v>
      </c>
      <c r="FE322" s="924">
        <f>FE260</f>
        <v>116461850.98615821</v>
      </c>
      <c r="FF322" s="924">
        <f>FF260</f>
        <v>806631246.00655472</v>
      </c>
      <c r="FG322" s="904"/>
      <c r="FK322" s="924">
        <f>FK260</f>
        <v>3229555827.293632</v>
      </c>
      <c r="FL322" s="924">
        <f>FL260</f>
        <v>2306462730.3009195</v>
      </c>
      <c r="FM322" s="924">
        <f>FM260</f>
        <v>116461850.98615821</v>
      </c>
      <c r="FN322" s="924">
        <f>FN260</f>
        <v>806631246.00655472</v>
      </c>
      <c r="FO322" s="904"/>
    </row>
    <row r="323" spans="1:171" x14ac:dyDescent="0.25">
      <c r="A323" s="1051" t="s">
        <v>68</v>
      </c>
      <c r="B323" s="51"/>
      <c r="C323" s="1"/>
      <c r="D323" s="1"/>
      <c r="E323" s="1"/>
      <c r="F323" s="1"/>
      <c r="G323" s="221"/>
      <c r="H323" s="221"/>
      <c r="I323" s="221"/>
      <c r="J323" s="1052"/>
      <c r="K323" s="904"/>
      <c r="O323" s="221"/>
      <c r="P323" s="221"/>
      <c r="Q323" s="221"/>
      <c r="R323" s="1052"/>
      <c r="S323" s="904"/>
      <c r="W323" s="221"/>
      <c r="X323" s="221"/>
      <c r="Y323" s="221"/>
      <c r="Z323" s="1052"/>
      <c r="AA323" s="904"/>
      <c r="AE323" s="221"/>
      <c r="AF323" s="221"/>
      <c r="AG323" s="221"/>
      <c r="AH323" s="1052"/>
      <c r="AI323" s="904"/>
      <c r="AM323" s="221"/>
      <c r="AN323" s="221"/>
      <c r="AO323" s="221"/>
      <c r="AP323" s="1052"/>
      <c r="AQ323" s="904"/>
      <c r="AU323" s="221"/>
      <c r="AV323" s="221"/>
      <c r="AW323" s="221"/>
      <c r="AX323" s="1052"/>
      <c r="AY323" s="904"/>
      <c r="BC323" s="221"/>
      <c r="BD323" s="221"/>
      <c r="BE323" s="221"/>
      <c r="BF323" s="1052"/>
      <c r="BG323" s="904"/>
      <c r="BK323" s="221"/>
      <c r="BL323" s="221"/>
      <c r="BM323" s="221"/>
      <c r="BN323" s="1052"/>
      <c r="BO323" s="904"/>
      <c r="BS323" s="221"/>
      <c r="BT323" s="221"/>
      <c r="BU323" s="221"/>
      <c r="BV323" s="1052"/>
      <c r="BW323" s="904"/>
      <c r="CA323" s="221"/>
      <c r="CB323" s="221"/>
      <c r="CC323" s="221"/>
      <c r="CD323" s="1052"/>
      <c r="CE323" s="904"/>
      <c r="CI323" s="221"/>
      <c r="CJ323" s="221"/>
      <c r="CK323" s="221"/>
      <c r="CL323" s="1052"/>
      <c r="CM323" s="904"/>
      <c r="CQ323" s="221"/>
      <c r="CR323" s="221"/>
      <c r="CS323" s="221"/>
      <c r="CT323" s="1052"/>
      <c r="CU323" s="904"/>
      <c r="CY323" s="221"/>
      <c r="CZ323" s="221"/>
      <c r="DA323" s="221"/>
      <c r="DB323" s="1052"/>
      <c r="DC323" s="904"/>
      <c r="DG323" s="221"/>
      <c r="DH323" s="221"/>
      <c r="DI323" s="221"/>
      <c r="DJ323" s="1052"/>
      <c r="DK323" s="904"/>
      <c r="DO323" s="221"/>
      <c r="DP323" s="221"/>
      <c r="DQ323" s="221"/>
      <c r="DR323" s="1052"/>
      <c r="DS323" s="904"/>
      <c r="DW323" s="221"/>
      <c r="DX323" s="221"/>
      <c r="DY323" s="221"/>
      <c r="DZ323" s="1052"/>
      <c r="EA323" s="904"/>
      <c r="EE323" s="221"/>
      <c r="EF323" s="221"/>
      <c r="EG323" s="221"/>
      <c r="EH323" s="1052"/>
      <c r="EI323" s="904"/>
      <c r="EM323" s="221"/>
      <c r="EN323" s="221"/>
      <c r="EO323" s="221"/>
      <c r="EP323" s="1052"/>
      <c r="EQ323" s="904"/>
      <c r="EU323" s="221"/>
      <c r="EV323" s="221"/>
      <c r="EW323" s="221"/>
      <c r="EX323" s="1052"/>
      <c r="EY323" s="904"/>
      <c r="FC323" s="221"/>
      <c r="FD323" s="221"/>
      <c r="FE323" s="221"/>
      <c r="FF323" s="1052"/>
      <c r="FG323" s="904"/>
      <c r="FK323" s="221"/>
      <c r="FL323" s="221"/>
      <c r="FM323" s="221"/>
      <c r="FN323" s="1052"/>
      <c r="FO323" s="904"/>
    </row>
    <row r="324" spans="1:171" x14ac:dyDescent="0.25">
      <c r="A324" s="1051"/>
      <c r="B324" s="51"/>
      <c r="C324" s="1"/>
      <c r="D324" s="1"/>
      <c r="E324" s="1"/>
      <c r="F324" s="1"/>
      <c r="G324" s="221"/>
      <c r="H324" s="221"/>
      <c r="I324" s="221"/>
      <c r="J324" s="1052"/>
      <c r="K324" s="904"/>
      <c r="O324" s="221"/>
      <c r="P324" s="221"/>
      <c r="Q324" s="221"/>
      <c r="R324" s="1052"/>
      <c r="S324" s="904"/>
      <c r="W324" s="221"/>
      <c r="X324" s="221"/>
      <c r="Y324" s="221"/>
      <c r="Z324" s="1052"/>
      <c r="AA324" s="904"/>
      <c r="AE324" s="221"/>
      <c r="AF324" s="221"/>
      <c r="AG324" s="221"/>
      <c r="AH324" s="1052"/>
      <c r="AI324" s="904"/>
      <c r="AM324" s="221"/>
      <c r="AN324" s="221"/>
      <c r="AO324" s="221"/>
      <c r="AP324" s="1052"/>
      <c r="AQ324" s="904"/>
      <c r="AU324" s="221"/>
      <c r="AV324" s="221"/>
      <c r="AW324" s="221"/>
      <c r="AX324" s="1052"/>
      <c r="AY324" s="904"/>
      <c r="BC324" s="221"/>
      <c r="BD324" s="221"/>
      <c r="BE324" s="221"/>
      <c r="BF324" s="1052"/>
      <c r="BG324" s="904"/>
      <c r="BK324" s="221"/>
      <c r="BL324" s="221"/>
      <c r="BM324" s="221"/>
      <c r="BN324" s="1052"/>
      <c r="BO324" s="904"/>
      <c r="BS324" s="221"/>
      <c r="BT324" s="221"/>
      <c r="BU324" s="221"/>
      <c r="BV324" s="1052"/>
      <c r="BW324" s="904"/>
      <c r="CA324" s="221"/>
      <c r="CB324" s="221"/>
      <c r="CC324" s="221"/>
      <c r="CD324" s="1052"/>
      <c r="CE324" s="904"/>
      <c r="CI324" s="221"/>
      <c r="CJ324" s="221"/>
      <c r="CK324" s="221"/>
      <c r="CL324" s="1052"/>
      <c r="CM324" s="904"/>
      <c r="CQ324" s="221"/>
      <c r="CR324" s="221"/>
      <c r="CS324" s="221"/>
      <c r="CT324" s="1052"/>
      <c r="CU324" s="904"/>
      <c r="CY324" s="221"/>
      <c r="CZ324" s="221"/>
      <c r="DA324" s="221"/>
      <c r="DB324" s="1052"/>
      <c r="DC324" s="904"/>
      <c r="DG324" s="221"/>
      <c r="DH324" s="221"/>
      <c r="DI324" s="221"/>
      <c r="DJ324" s="1052"/>
      <c r="DK324" s="904"/>
      <c r="DO324" s="221"/>
      <c r="DP324" s="221"/>
      <c r="DQ324" s="221"/>
      <c r="DR324" s="1052"/>
      <c r="DS324" s="904"/>
      <c r="DW324" s="221"/>
      <c r="DX324" s="221"/>
      <c r="DY324" s="221"/>
      <c r="DZ324" s="1052"/>
      <c r="EA324" s="904"/>
      <c r="EE324" s="221"/>
      <c r="EF324" s="221"/>
      <c r="EG324" s="221"/>
      <c r="EH324" s="1052"/>
      <c r="EI324" s="904"/>
      <c r="EM324" s="221"/>
      <c r="EN324" s="221"/>
      <c r="EO324" s="221"/>
      <c r="EP324" s="1052"/>
      <c r="EQ324" s="904"/>
      <c r="EU324" s="221"/>
      <c r="EV324" s="221"/>
      <c r="EW324" s="221"/>
      <c r="EX324" s="1052"/>
      <c r="EY324" s="904"/>
      <c r="FC324" s="221"/>
      <c r="FD324" s="221"/>
      <c r="FE324" s="221"/>
      <c r="FF324" s="1052"/>
      <c r="FG324" s="904"/>
      <c r="FK324" s="221"/>
      <c r="FL324" s="221"/>
      <c r="FM324" s="221"/>
      <c r="FN324" s="1052"/>
      <c r="FO324" s="904"/>
    </row>
    <row r="325" spans="1:171" x14ac:dyDescent="0.25">
      <c r="A325" s="1050" t="s">
        <v>141</v>
      </c>
      <c r="B325" s="51"/>
      <c r="C325" s="1"/>
      <c r="D325" s="1"/>
      <c r="E325" s="1"/>
      <c r="F325" s="1"/>
      <c r="G325" s="924">
        <f>G167</f>
        <v>835755641.72235751</v>
      </c>
      <c r="H325" s="924">
        <f>H167</f>
        <v>341699295.91574723</v>
      </c>
      <c r="I325" s="924">
        <f>I167</f>
        <v>2011425.3370538021</v>
      </c>
      <c r="J325" s="924">
        <f>J167</f>
        <v>491959942.95840907</v>
      </c>
      <c r="K325" s="904"/>
      <c r="O325" s="924">
        <f>O167</f>
        <v>835755641.72235751</v>
      </c>
      <c r="P325" s="924">
        <f>P167</f>
        <v>342393320.3549065</v>
      </c>
      <c r="Q325" s="924">
        <f>Q167</f>
        <v>222960308.39841032</v>
      </c>
      <c r="R325" s="924">
        <f>R167</f>
        <v>270402012.96904063</v>
      </c>
      <c r="S325" s="904"/>
      <c r="W325" s="924">
        <f>W167</f>
        <v>835755641.72235751</v>
      </c>
      <c r="X325" s="924">
        <f>X167</f>
        <v>342393320.3549065</v>
      </c>
      <c r="Y325" s="924">
        <f>Y167</f>
        <v>222960308.39841032</v>
      </c>
      <c r="Z325" s="924">
        <f>Z167</f>
        <v>270402012.96904063</v>
      </c>
      <c r="AA325" s="904"/>
      <c r="AE325" s="924">
        <f>AE167</f>
        <v>835755641.72235751</v>
      </c>
      <c r="AF325" s="924">
        <f>AF167</f>
        <v>342393320.3549065</v>
      </c>
      <c r="AG325" s="924">
        <f>AG167</f>
        <v>222960308.39841032</v>
      </c>
      <c r="AH325" s="924">
        <f>AH167</f>
        <v>270402012.96904063</v>
      </c>
      <c r="AI325" s="904"/>
      <c r="AM325" s="924">
        <f>AM167</f>
        <v>835755641.72235751</v>
      </c>
      <c r="AN325" s="924">
        <f>AN167</f>
        <v>342393320.3549065</v>
      </c>
      <c r="AO325" s="924">
        <f>AO167</f>
        <v>222960308.39841032</v>
      </c>
      <c r="AP325" s="924">
        <f>AP167</f>
        <v>270402012.96904063</v>
      </c>
      <c r="AQ325" s="904"/>
      <c r="AU325" s="924">
        <f>AU167</f>
        <v>835755641.72235751</v>
      </c>
      <c r="AV325" s="924">
        <f>AV167</f>
        <v>342393320.3549065</v>
      </c>
      <c r="AW325" s="924">
        <f>AW167</f>
        <v>222960308.39841032</v>
      </c>
      <c r="AX325" s="924">
        <f>AX167</f>
        <v>270402012.96904063</v>
      </c>
      <c r="AY325" s="904"/>
      <c r="BC325" s="924">
        <f>BC167</f>
        <v>835755641.72235751</v>
      </c>
      <c r="BD325" s="924">
        <f>BD167</f>
        <v>342393320.3549065</v>
      </c>
      <c r="BE325" s="924">
        <f>BE167</f>
        <v>222960308.39841032</v>
      </c>
      <c r="BF325" s="924">
        <f>BF167</f>
        <v>270402012.96904063</v>
      </c>
      <c r="BG325" s="904"/>
      <c r="BK325" s="924">
        <f>BK167</f>
        <v>835755641.72235751</v>
      </c>
      <c r="BL325" s="924">
        <f>BL167</f>
        <v>342393320.3549065</v>
      </c>
      <c r="BM325" s="924">
        <f>BM167</f>
        <v>222960308.39841032</v>
      </c>
      <c r="BN325" s="924">
        <f>BN167</f>
        <v>270402012.96904063</v>
      </c>
      <c r="BO325" s="904"/>
      <c r="BS325" s="924">
        <f>BS167</f>
        <v>835755641.72235751</v>
      </c>
      <c r="BT325" s="924">
        <f>BT167</f>
        <v>342393320.3549065</v>
      </c>
      <c r="BU325" s="924">
        <f>BU167</f>
        <v>222960308.39841032</v>
      </c>
      <c r="BV325" s="924">
        <f>BV167</f>
        <v>270402012.96904063</v>
      </c>
      <c r="BW325" s="904"/>
      <c r="CA325" s="924">
        <f>CA167</f>
        <v>835755641.72235751</v>
      </c>
      <c r="CB325" s="924">
        <f>CB167</f>
        <v>342393320.3549065</v>
      </c>
      <c r="CC325" s="924">
        <f>CC167</f>
        <v>222960308.39841032</v>
      </c>
      <c r="CD325" s="924">
        <f>CD167</f>
        <v>270402012.96904063</v>
      </c>
      <c r="CE325" s="904"/>
      <c r="CI325" s="924">
        <f>CI167</f>
        <v>835755641.72235751</v>
      </c>
      <c r="CJ325" s="924">
        <f>CJ167</f>
        <v>342393320.3549065</v>
      </c>
      <c r="CK325" s="924">
        <f>CK167</f>
        <v>222960308.39841032</v>
      </c>
      <c r="CL325" s="924">
        <f>CL167</f>
        <v>270402012.96904063</v>
      </c>
      <c r="CM325" s="904"/>
      <c r="CQ325" s="924">
        <f>CQ167</f>
        <v>835755641.72235751</v>
      </c>
      <c r="CR325" s="924">
        <f>CR167</f>
        <v>342393320.3549065</v>
      </c>
      <c r="CS325" s="924">
        <f>CS167</f>
        <v>222960308.39841032</v>
      </c>
      <c r="CT325" s="924">
        <f>CT167</f>
        <v>270402012.96904063</v>
      </c>
      <c r="CU325" s="904"/>
      <c r="CY325" s="924">
        <f>CY167</f>
        <v>835755641.72235751</v>
      </c>
      <c r="CZ325" s="924">
        <f>CZ167</f>
        <v>342393320.3549065</v>
      </c>
      <c r="DA325" s="924">
        <f>DA167</f>
        <v>222960308.39841032</v>
      </c>
      <c r="DB325" s="924">
        <f>DB167</f>
        <v>270402012.96904063</v>
      </c>
      <c r="DC325" s="904"/>
      <c r="DG325" s="924">
        <f>DG167</f>
        <v>835755641.72235751</v>
      </c>
      <c r="DH325" s="924">
        <f>DH167</f>
        <v>342393320.3549065</v>
      </c>
      <c r="DI325" s="924">
        <f>DI167</f>
        <v>222960308.39841032</v>
      </c>
      <c r="DJ325" s="924">
        <f>DJ167</f>
        <v>270402012.96904063</v>
      </c>
      <c r="DK325" s="904"/>
      <c r="DO325" s="924">
        <f>DO167</f>
        <v>835755641.72235751</v>
      </c>
      <c r="DP325" s="924">
        <f>DP167</f>
        <v>342393320.3549065</v>
      </c>
      <c r="DQ325" s="924">
        <f>DQ167</f>
        <v>222960308.39841032</v>
      </c>
      <c r="DR325" s="924">
        <f>DR167</f>
        <v>270402012.96904063</v>
      </c>
      <c r="DS325" s="904"/>
      <c r="DW325" s="924">
        <f>DW167</f>
        <v>835755641.72235751</v>
      </c>
      <c r="DX325" s="924">
        <f>DX167</f>
        <v>342393320.3549065</v>
      </c>
      <c r="DY325" s="924">
        <f>DY167</f>
        <v>222960308.39841032</v>
      </c>
      <c r="DZ325" s="924">
        <f>DZ167</f>
        <v>270402012.96904063</v>
      </c>
      <c r="EA325" s="904"/>
      <c r="EE325" s="924">
        <f>EE167</f>
        <v>835755641.72235751</v>
      </c>
      <c r="EF325" s="924">
        <f>EF167</f>
        <v>342393320.3549065</v>
      </c>
      <c r="EG325" s="924">
        <f>EG167</f>
        <v>222960308.39841032</v>
      </c>
      <c r="EH325" s="924">
        <f>EH167</f>
        <v>270402012.96904063</v>
      </c>
      <c r="EI325" s="904"/>
      <c r="EM325" s="924">
        <f>EM167</f>
        <v>835755641.72235751</v>
      </c>
      <c r="EN325" s="924">
        <f>EN167</f>
        <v>342393320.3549065</v>
      </c>
      <c r="EO325" s="924">
        <f>EO167</f>
        <v>222960308.39841032</v>
      </c>
      <c r="EP325" s="924">
        <f>EP167</f>
        <v>270402012.96904063</v>
      </c>
      <c r="EQ325" s="904"/>
      <c r="EU325" s="924">
        <f>EU167</f>
        <v>835755641.72235751</v>
      </c>
      <c r="EV325" s="924">
        <f>EV167</f>
        <v>342393320.3549065</v>
      </c>
      <c r="EW325" s="924">
        <f>EW167</f>
        <v>222960308.39841032</v>
      </c>
      <c r="EX325" s="924">
        <f>EX167</f>
        <v>270402012.96904063</v>
      </c>
      <c r="EY325" s="904"/>
      <c r="FC325" s="924">
        <f>FC167</f>
        <v>835755641.72235751</v>
      </c>
      <c r="FD325" s="924">
        <f>FD167</f>
        <v>342393320.3549065</v>
      </c>
      <c r="FE325" s="924">
        <f>FE167</f>
        <v>222960308.39841032</v>
      </c>
      <c r="FF325" s="924">
        <f>FF167</f>
        <v>270402012.96904063</v>
      </c>
      <c r="FG325" s="904"/>
      <c r="FK325" s="924">
        <f>FK167</f>
        <v>835755641.72235751</v>
      </c>
      <c r="FL325" s="924">
        <f>FL167</f>
        <v>342393320.3549065</v>
      </c>
      <c r="FM325" s="924">
        <f>FM167</f>
        <v>222960308.39841032</v>
      </c>
      <c r="FN325" s="924">
        <f>FN167</f>
        <v>270402012.96904063</v>
      </c>
      <c r="FO325" s="904"/>
    </row>
    <row r="326" spans="1:171" x14ac:dyDescent="0.25">
      <c r="A326" s="1051" t="s">
        <v>254</v>
      </c>
      <c r="B326" s="51"/>
      <c r="C326" s="1"/>
      <c r="D326" s="1"/>
      <c r="E326" s="1"/>
      <c r="F326" s="1"/>
      <c r="G326" s="221"/>
      <c r="H326" s="221"/>
      <c r="I326" s="221"/>
      <c r="J326" s="1052"/>
      <c r="K326" s="904"/>
      <c r="O326" s="221"/>
      <c r="P326" s="221"/>
      <c r="Q326" s="221"/>
      <c r="R326" s="1052"/>
      <c r="S326" s="904"/>
      <c r="W326" s="221"/>
      <c r="X326" s="221"/>
      <c r="Y326" s="221"/>
      <c r="Z326" s="1052"/>
      <c r="AA326" s="904"/>
      <c r="AE326" s="221"/>
      <c r="AF326" s="221"/>
      <c r="AG326" s="221"/>
      <c r="AH326" s="1052"/>
      <c r="AI326" s="904"/>
      <c r="AM326" s="221"/>
      <c r="AN326" s="221"/>
      <c r="AO326" s="221"/>
      <c r="AP326" s="1052"/>
      <c r="AQ326" s="904"/>
      <c r="AU326" s="221"/>
      <c r="AV326" s="221"/>
      <c r="AW326" s="221"/>
      <c r="AX326" s="1052"/>
      <c r="AY326" s="904"/>
      <c r="BC326" s="221"/>
      <c r="BD326" s="221"/>
      <c r="BE326" s="221"/>
      <c r="BF326" s="1052"/>
      <c r="BG326" s="904"/>
      <c r="BK326" s="221"/>
      <c r="BL326" s="221"/>
      <c r="BM326" s="221"/>
      <c r="BN326" s="1052"/>
      <c r="BO326" s="904"/>
      <c r="BS326" s="221"/>
      <c r="BT326" s="221"/>
      <c r="BU326" s="221"/>
      <c r="BV326" s="1052"/>
      <c r="BW326" s="904"/>
      <c r="CA326" s="221"/>
      <c r="CB326" s="221"/>
      <c r="CC326" s="221"/>
      <c r="CD326" s="1052"/>
      <c r="CE326" s="904"/>
      <c r="CI326" s="221"/>
      <c r="CJ326" s="221"/>
      <c r="CK326" s="221"/>
      <c r="CL326" s="1052"/>
      <c r="CM326" s="904"/>
      <c r="CQ326" s="221"/>
      <c r="CR326" s="221"/>
      <c r="CS326" s="221"/>
      <c r="CT326" s="1052"/>
      <c r="CU326" s="904"/>
      <c r="CY326" s="221"/>
      <c r="CZ326" s="221"/>
      <c r="DA326" s="221"/>
      <c r="DB326" s="1052"/>
      <c r="DC326" s="904"/>
      <c r="DG326" s="221"/>
      <c r="DH326" s="221"/>
      <c r="DI326" s="221"/>
      <c r="DJ326" s="1052"/>
      <c r="DK326" s="904"/>
      <c r="DO326" s="221"/>
      <c r="DP326" s="221"/>
      <c r="DQ326" s="221"/>
      <c r="DR326" s="1052"/>
      <c r="DS326" s="904"/>
      <c r="DW326" s="221"/>
      <c r="DX326" s="221"/>
      <c r="DY326" s="221"/>
      <c r="DZ326" s="1052"/>
      <c r="EA326" s="904"/>
      <c r="EE326" s="221"/>
      <c r="EF326" s="221"/>
      <c r="EG326" s="221"/>
      <c r="EH326" s="1052"/>
      <c r="EI326" s="904"/>
      <c r="EM326" s="221"/>
      <c r="EN326" s="221"/>
      <c r="EO326" s="221"/>
      <c r="EP326" s="1052"/>
      <c r="EQ326" s="904"/>
      <c r="EU326" s="221"/>
      <c r="EV326" s="221"/>
      <c r="EW326" s="221"/>
      <c r="EX326" s="1052"/>
      <c r="EY326" s="904"/>
      <c r="FC326" s="221"/>
      <c r="FD326" s="221"/>
      <c r="FE326" s="221"/>
      <c r="FF326" s="1052"/>
      <c r="FG326" s="904"/>
      <c r="FK326" s="221"/>
      <c r="FL326" s="221"/>
      <c r="FM326" s="221"/>
      <c r="FN326" s="1052"/>
      <c r="FO326" s="904"/>
    </row>
    <row r="327" spans="1:171" x14ac:dyDescent="0.25">
      <c r="A327" s="1051"/>
      <c r="B327" s="51"/>
      <c r="C327" s="1"/>
      <c r="D327" s="1"/>
      <c r="E327" s="1"/>
      <c r="F327" s="1"/>
      <c r="G327" s="221"/>
      <c r="H327" s="221"/>
      <c r="I327" s="221"/>
      <c r="J327" s="1052"/>
      <c r="K327" s="904"/>
      <c r="O327" s="221"/>
      <c r="P327" s="221"/>
      <c r="Q327" s="221"/>
      <c r="R327" s="1052"/>
      <c r="S327" s="904"/>
      <c r="W327" s="221"/>
      <c r="X327" s="221"/>
      <c r="Y327" s="221"/>
      <c r="Z327" s="1052"/>
      <c r="AA327" s="904"/>
      <c r="AE327" s="221"/>
      <c r="AF327" s="221"/>
      <c r="AG327" s="221"/>
      <c r="AH327" s="1052"/>
      <c r="AI327" s="904"/>
      <c r="AM327" s="221"/>
      <c r="AN327" s="221"/>
      <c r="AO327" s="221"/>
      <c r="AP327" s="1052"/>
      <c r="AQ327" s="904"/>
      <c r="AU327" s="221"/>
      <c r="AV327" s="221"/>
      <c r="AW327" s="221"/>
      <c r="AX327" s="1052"/>
      <c r="AY327" s="904"/>
      <c r="BC327" s="221"/>
      <c r="BD327" s="221"/>
      <c r="BE327" s="221"/>
      <c r="BF327" s="1052"/>
      <c r="BG327" s="904"/>
      <c r="BK327" s="221"/>
      <c r="BL327" s="221"/>
      <c r="BM327" s="221"/>
      <c r="BN327" s="1052"/>
      <c r="BO327" s="904"/>
      <c r="BS327" s="221"/>
      <c r="BT327" s="221"/>
      <c r="BU327" s="221"/>
      <c r="BV327" s="1052"/>
      <c r="BW327" s="904"/>
      <c r="CA327" s="221"/>
      <c r="CB327" s="221"/>
      <c r="CC327" s="221"/>
      <c r="CD327" s="1052"/>
      <c r="CE327" s="904"/>
      <c r="CI327" s="221"/>
      <c r="CJ327" s="221"/>
      <c r="CK327" s="221"/>
      <c r="CL327" s="1052"/>
      <c r="CM327" s="904"/>
      <c r="CQ327" s="221"/>
      <c r="CR327" s="221"/>
      <c r="CS327" s="221"/>
      <c r="CT327" s="1052"/>
      <c r="CU327" s="904"/>
      <c r="CY327" s="221"/>
      <c r="CZ327" s="221"/>
      <c r="DA327" s="221"/>
      <c r="DB327" s="1052"/>
      <c r="DC327" s="904"/>
      <c r="DG327" s="221"/>
      <c r="DH327" s="221"/>
      <c r="DI327" s="221"/>
      <c r="DJ327" s="1052"/>
      <c r="DK327" s="904"/>
      <c r="DO327" s="221"/>
      <c r="DP327" s="221"/>
      <c r="DQ327" s="221"/>
      <c r="DR327" s="1052"/>
      <c r="DS327" s="904"/>
      <c r="DW327" s="221"/>
      <c r="DX327" s="221"/>
      <c r="DY327" s="221"/>
      <c r="DZ327" s="1052"/>
      <c r="EA327" s="904"/>
      <c r="EE327" s="221"/>
      <c r="EF327" s="221"/>
      <c r="EG327" s="221"/>
      <c r="EH327" s="1052"/>
      <c r="EI327" s="904"/>
      <c r="EM327" s="221"/>
      <c r="EN327" s="221"/>
      <c r="EO327" s="221"/>
      <c r="EP327" s="1052"/>
      <c r="EQ327" s="904"/>
      <c r="EU327" s="221"/>
      <c r="EV327" s="221"/>
      <c r="EW327" s="221"/>
      <c r="EX327" s="1052"/>
      <c r="EY327" s="904"/>
      <c r="FC327" s="221"/>
      <c r="FD327" s="221"/>
      <c r="FE327" s="221"/>
      <c r="FF327" s="1052"/>
      <c r="FG327" s="904"/>
      <c r="FK327" s="221"/>
      <c r="FL327" s="221"/>
      <c r="FM327" s="221"/>
      <c r="FN327" s="1052"/>
      <c r="FO327" s="904"/>
    </row>
    <row r="328" spans="1:171" x14ac:dyDescent="0.25">
      <c r="A328" s="1050" t="s">
        <v>39</v>
      </c>
      <c r="B328" s="51"/>
      <c r="C328" s="1"/>
      <c r="D328" s="1"/>
      <c r="E328" s="1"/>
      <c r="F328" s="1"/>
      <c r="G328" s="924">
        <f>G283</f>
        <v>137802796.81183705</v>
      </c>
      <c r="H328" s="924">
        <f>H283</f>
        <v>35759725.361573324</v>
      </c>
      <c r="I328" s="924">
        <f>I283</f>
        <v>0</v>
      </c>
      <c r="J328" s="924">
        <f>J283</f>
        <v>102049351.82938071</v>
      </c>
      <c r="K328" s="904"/>
      <c r="O328" s="924">
        <f>O283</f>
        <v>137802796.81183705</v>
      </c>
      <c r="P328" s="924">
        <f>P283</f>
        <v>35759725.361573324</v>
      </c>
      <c r="Q328" s="924">
        <f>Q283</f>
        <v>16434482.273588421</v>
      </c>
      <c r="R328" s="924">
        <f>R283</f>
        <v>85608589.176675305</v>
      </c>
      <c r="S328" s="904"/>
      <c r="W328" s="924">
        <f>W283</f>
        <v>137802796.81183705</v>
      </c>
      <c r="X328" s="924">
        <f>X283</f>
        <v>35759725.361573324</v>
      </c>
      <c r="Y328" s="924">
        <f>Y283</f>
        <v>16434482.273588421</v>
      </c>
      <c r="Z328" s="924">
        <f>Z283</f>
        <v>85608589.176675305</v>
      </c>
      <c r="AA328" s="904"/>
      <c r="AE328" s="924">
        <f>AE283</f>
        <v>137802796.81183705</v>
      </c>
      <c r="AF328" s="924">
        <f>AF283</f>
        <v>35759725.361573324</v>
      </c>
      <c r="AG328" s="924">
        <f>AG283</f>
        <v>16434482.273588421</v>
      </c>
      <c r="AH328" s="924">
        <f>AH283</f>
        <v>85608589.176675305</v>
      </c>
      <c r="AI328" s="904"/>
      <c r="AM328" s="924">
        <f>AM283</f>
        <v>137802796.81183705</v>
      </c>
      <c r="AN328" s="924">
        <f>AN283</f>
        <v>35759725.361573324</v>
      </c>
      <c r="AO328" s="924">
        <f>AO283</f>
        <v>16434482.273588421</v>
      </c>
      <c r="AP328" s="924">
        <f>AP283</f>
        <v>85608589.176675305</v>
      </c>
      <c r="AQ328" s="904"/>
      <c r="AU328" s="924">
        <f>AU283</f>
        <v>137802796.81183705</v>
      </c>
      <c r="AV328" s="924">
        <f>AV283</f>
        <v>35759725.361573324</v>
      </c>
      <c r="AW328" s="924">
        <f>AW283</f>
        <v>16434482.273588421</v>
      </c>
      <c r="AX328" s="924">
        <f>AX283</f>
        <v>85608589.176675305</v>
      </c>
      <c r="AY328" s="904"/>
      <c r="BC328" s="924">
        <f>BC283</f>
        <v>137802796.81183705</v>
      </c>
      <c r="BD328" s="924">
        <f>BD283</f>
        <v>35759725.361573324</v>
      </c>
      <c r="BE328" s="924">
        <f>BE283</f>
        <v>16434482.273588421</v>
      </c>
      <c r="BF328" s="924">
        <f>BF283</f>
        <v>85608589.176675305</v>
      </c>
      <c r="BG328" s="904"/>
      <c r="BK328" s="924">
        <f>BK283</f>
        <v>137802796.81183705</v>
      </c>
      <c r="BL328" s="924">
        <f>BL283</f>
        <v>35759725.361573324</v>
      </c>
      <c r="BM328" s="924">
        <f>BM283</f>
        <v>16434482.273588421</v>
      </c>
      <c r="BN328" s="924">
        <f>BN283</f>
        <v>85608589.176675305</v>
      </c>
      <c r="BO328" s="904"/>
      <c r="BS328" s="924">
        <f>BS283</f>
        <v>137802796.81183705</v>
      </c>
      <c r="BT328" s="924">
        <f>BT283</f>
        <v>35759725.361573324</v>
      </c>
      <c r="BU328" s="924">
        <f>BU283</f>
        <v>16434482.273588421</v>
      </c>
      <c r="BV328" s="924">
        <f>BV283</f>
        <v>85608589.176675305</v>
      </c>
      <c r="BW328" s="904"/>
      <c r="CA328" s="924">
        <f>CA283</f>
        <v>137802796.81183705</v>
      </c>
      <c r="CB328" s="924">
        <f>CB283</f>
        <v>35759725.361573324</v>
      </c>
      <c r="CC328" s="924">
        <f>CC283</f>
        <v>16434482.273588421</v>
      </c>
      <c r="CD328" s="924">
        <f>CD283</f>
        <v>85608589.176675305</v>
      </c>
      <c r="CE328" s="904"/>
      <c r="CI328" s="924">
        <f>CI283</f>
        <v>137802796.81183705</v>
      </c>
      <c r="CJ328" s="924">
        <f>CJ283</f>
        <v>35759725.361573324</v>
      </c>
      <c r="CK328" s="924">
        <f>CK283</f>
        <v>16434482.273588421</v>
      </c>
      <c r="CL328" s="924">
        <f>CL283</f>
        <v>85608589.176675305</v>
      </c>
      <c r="CM328" s="904"/>
      <c r="CQ328" s="924">
        <f>CQ283</f>
        <v>137802796.81183705</v>
      </c>
      <c r="CR328" s="924">
        <f>CR283</f>
        <v>35759725.361573324</v>
      </c>
      <c r="CS328" s="924">
        <f>CS283</f>
        <v>16434482.273588421</v>
      </c>
      <c r="CT328" s="924">
        <f>CT283</f>
        <v>85608589.176675305</v>
      </c>
      <c r="CU328" s="904"/>
      <c r="CY328" s="924">
        <f>CY283</f>
        <v>137802796.81183705</v>
      </c>
      <c r="CZ328" s="924">
        <f>CZ283</f>
        <v>35759725.361573324</v>
      </c>
      <c r="DA328" s="924">
        <f>DA283</f>
        <v>16434482.273588421</v>
      </c>
      <c r="DB328" s="924">
        <f>DB283</f>
        <v>85608589.176675305</v>
      </c>
      <c r="DC328" s="904"/>
      <c r="DG328" s="924">
        <f>DG283</f>
        <v>137802796.81183705</v>
      </c>
      <c r="DH328" s="924">
        <f>DH283</f>
        <v>35759725.361573324</v>
      </c>
      <c r="DI328" s="924">
        <f>DI283</f>
        <v>16434482.273588421</v>
      </c>
      <c r="DJ328" s="924">
        <f>DJ283</f>
        <v>85608589.176675305</v>
      </c>
      <c r="DK328" s="904"/>
      <c r="DO328" s="924">
        <f>DO283</f>
        <v>137802796.81183705</v>
      </c>
      <c r="DP328" s="924">
        <f>DP283</f>
        <v>35759725.361573324</v>
      </c>
      <c r="DQ328" s="924">
        <f>DQ283</f>
        <v>16434482.273588421</v>
      </c>
      <c r="DR328" s="924">
        <f>DR283</f>
        <v>85608589.176675305</v>
      </c>
      <c r="DS328" s="904"/>
      <c r="DW328" s="924">
        <f>DW283</f>
        <v>137802796.81183705</v>
      </c>
      <c r="DX328" s="924">
        <f>DX283</f>
        <v>35759725.361573324</v>
      </c>
      <c r="DY328" s="924">
        <f>DY283</f>
        <v>16434482.273588421</v>
      </c>
      <c r="DZ328" s="924">
        <f>DZ283</f>
        <v>85608589.176675305</v>
      </c>
      <c r="EA328" s="904"/>
      <c r="EE328" s="924">
        <f>EE283</f>
        <v>137802796.81183705</v>
      </c>
      <c r="EF328" s="924">
        <f>EF283</f>
        <v>35759725.361573324</v>
      </c>
      <c r="EG328" s="924">
        <f>EG283</f>
        <v>16434482.273588421</v>
      </c>
      <c r="EH328" s="924">
        <f>EH283</f>
        <v>85608589.176675305</v>
      </c>
      <c r="EI328" s="904"/>
      <c r="EM328" s="924">
        <f>EM283</f>
        <v>137802796.81183705</v>
      </c>
      <c r="EN328" s="924">
        <f>EN283</f>
        <v>35759725.361573324</v>
      </c>
      <c r="EO328" s="924">
        <f>EO283</f>
        <v>16434482.273588421</v>
      </c>
      <c r="EP328" s="924">
        <f>EP283</f>
        <v>85608589.176675305</v>
      </c>
      <c r="EQ328" s="904"/>
      <c r="EU328" s="924">
        <f>EU283</f>
        <v>137802796.81183705</v>
      </c>
      <c r="EV328" s="924">
        <f>EV283</f>
        <v>35759725.361573324</v>
      </c>
      <c r="EW328" s="924">
        <f>EW283</f>
        <v>16434482.273588421</v>
      </c>
      <c r="EX328" s="924">
        <f>EX283</f>
        <v>85608589.176675305</v>
      </c>
      <c r="EY328" s="904"/>
      <c r="FC328" s="924">
        <f>FC283</f>
        <v>137802796.81183705</v>
      </c>
      <c r="FD328" s="924">
        <f>FD283</f>
        <v>35759725.361573324</v>
      </c>
      <c r="FE328" s="924">
        <f>FE283</f>
        <v>16434482.273588421</v>
      </c>
      <c r="FF328" s="924">
        <f>FF283</f>
        <v>85608589.176675305</v>
      </c>
      <c r="FG328" s="904"/>
      <c r="FK328" s="924">
        <f>FK283</f>
        <v>137802796.81183705</v>
      </c>
      <c r="FL328" s="924">
        <f>FL283</f>
        <v>35759725.361573324</v>
      </c>
      <c r="FM328" s="924">
        <f>FM283</f>
        <v>16434482.273588421</v>
      </c>
      <c r="FN328" s="924">
        <f>FN283</f>
        <v>85608589.176675305</v>
      </c>
      <c r="FO328" s="904"/>
    </row>
    <row r="329" spans="1:171" x14ac:dyDescent="0.25">
      <c r="A329" s="1051" t="s">
        <v>161</v>
      </c>
      <c r="B329" s="51"/>
      <c r="C329" s="1"/>
      <c r="D329" s="1"/>
      <c r="E329" s="1"/>
      <c r="F329" s="1"/>
      <c r="G329" s="221"/>
      <c r="H329" s="221"/>
      <c r="I329" s="221"/>
      <c r="J329" s="1052"/>
      <c r="K329" s="904"/>
      <c r="O329" s="221"/>
      <c r="P329" s="221"/>
      <c r="Q329" s="221"/>
      <c r="R329" s="1052"/>
      <c r="S329" s="904"/>
      <c r="W329" s="221"/>
      <c r="X329" s="221"/>
      <c r="Y329" s="221"/>
      <c r="Z329" s="1052"/>
      <c r="AA329" s="904"/>
      <c r="AE329" s="221"/>
      <c r="AF329" s="221"/>
      <c r="AG329" s="221"/>
      <c r="AH329" s="1052"/>
      <c r="AI329" s="904"/>
      <c r="AM329" s="221"/>
      <c r="AN329" s="221"/>
      <c r="AO329" s="221"/>
      <c r="AP329" s="1052"/>
      <c r="AQ329" s="904"/>
      <c r="AU329" s="221"/>
      <c r="AV329" s="221"/>
      <c r="AW329" s="221"/>
      <c r="AX329" s="1052"/>
      <c r="AY329" s="904"/>
      <c r="BC329" s="221"/>
      <c r="BD329" s="221"/>
      <c r="BE329" s="221"/>
      <c r="BF329" s="1052"/>
      <c r="BG329" s="904"/>
      <c r="BK329" s="221"/>
      <c r="BL329" s="221"/>
      <c r="BM329" s="221"/>
      <c r="BN329" s="1052"/>
      <c r="BO329" s="904"/>
      <c r="BS329" s="221"/>
      <c r="BT329" s="221"/>
      <c r="BU329" s="221"/>
      <c r="BV329" s="1052"/>
      <c r="BW329" s="904"/>
      <c r="CA329" s="221"/>
      <c r="CB329" s="221"/>
      <c r="CC329" s="221"/>
      <c r="CD329" s="1052"/>
      <c r="CE329" s="904"/>
      <c r="CI329" s="221"/>
      <c r="CJ329" s="221"/>
      <c r="CK329" s="221"/>
      <c r="CL329" s="1052"/>
      <c r="CM329" s="904"/>
      <c r="CQ329" s="221"/>
      <c r="CR329" s="221"/>
      <c r="CS329" s="221"/>
      <c r="CT329" s="1052"/>
      <c r="CU329" s="904"/>
      <c r="CY329" s="221"/>
      <c r="CZ329" s="221"/>
      <c r="DA329" s="221"/>
      <c r="DB329" s="1052"/>
      <c r="DC329" s="904"/>
      <c r="DG329" s="221"/>
      <c r="DH329" s="221"/>
      <c r="DI329" s="221"/>
      <c r="DJ329" s="1052"/>
      <c r="DK329" s="904"/>
      <c r="DO329" s="221"/>
      <c r="DP329" s="221"/>
      <c r="DQ329" s="221"/>
      <c r="DR329" s="1052"/>
      <c r="DS329" s="904"/>
      <c r="DW329" s="221"/>
      <c r="DX329" s="221"/>
      <c r="DY329" s="221"/>
      <c r="DZ329" s="1052"/>
      <c r="EA329" s="904"/>
      <c r="EE329" s="221"/>
      <c r="EF329" s="221"/>
      <c r="EG329" s="221"/>
      <c r="EH329" s="1052"/>
      <c r="EI329" s="904"/>
      <c r="EM329" s="221"/>
      <c r="EN329" s="221"/>
      <c r="EO329" s="221"/>
      <c r="EP329" s="1052"/>
      <c r="EQ329" s="904"/>
      <c r="EU329" s="221"/>
      <c r="EV329" s="221"/>
      <c r="EW329" s="221"/>
      <c r="EX329" s="1052"/>
      <c r="EY329" s="904"/>
      <c r="FC329" s="221"/>
      <c r="FD329" s="221"/>
      <c r="FE329" s="221"/>
      <c r="FF329" s="1052"/>
      <c r="FG329" s="904"/>
      <c r="FK329" s="221"/>
      <c r="FL329" s="221"/>
      <c r="FM329" s="221"/>
      <c r="FN329" s="1052"/>
      <c r="FO329" s="904"/>
    </row>
    <row r="330" spans="1:171" x14ac:dyDescent="0.25">
      <c r="A330" s="1051"/>
      <c r="B330" s="51"/>
      <c r="C330" s="1"/>
      <c r="D330" s="1"/>
      <c r="E330" s="1"/>
      <c r="F330" s="1"/>
      <c r="G330" s="221"/>
      <c r="H330" s="221"/>
      <c r="I330" s="221"/>
      <c r="J330" s="1052"/>
      <c r="K330" s="904"/>
      <c r="O330" s="221"/>
      <c r="P330" s="221"/>
      <c r="Q330" s="221"/>
      <c r="R330" s="1052"/>
      <c r="S330" s="904"/>
      <c r="W330" s="221"/>
      <c r="X330" s="221"/>
      <c r="Y330" s="221"/>
      <c r="Z330" s="1052"/>
      <c r="AA330" s="904"/>
      <c r="AE330" s="221"/>
      <c r="AF330" s="221"/>
      <c r="AG330" s="221"/>
      <c r="AH330" s="1052"/>
      <c r="AI330" s="904"/>
      <c r="AM330" s="221"/>
      <c r="AN330" s="221"/>
      <c r="AO330" s="221"/>
      <c r="AP330" s="1052"/>
      <c r="AQ330" s="904"/>
      <c r="AU330" s="221"/>
      <c r="AV330" s="221"/>
      <c r="AW330" s="221"/>
      <c r="AX330" s="1052"/>
      <c r="AY330" s="904"/>
      <c r="BC330" s="221"/>
      <c r="BD330" s="221"/>
      <c r="BE330" s="221"/>
      <c r="BF330" s="1052"/>
      <c r="BG330" s="904"/>
      <c r="BK330" s="221"/>
      <c r="BL330" s="221"/>
      <c r="BM330" s="221"/>
      <c r="BN330" s="1052"/>
      <c r="BO330" s="904"/>
      <c r="BS330" s="221"/>
      <c r="BT330" s="221"/>
      <c r="BU330" s="221"/>
      <c r="BV330" s="1052"/>
      <c r="BW330" s="904"/>
      <c r="CA330" s="221"/>
      <c r="CB330" s="221"/>
      <c r="CC330" s="221"/>
      <c r="CD330" s="1052"/>
      <c r="CE330" s="904"/>
      <c r="CI330" s="221"/>
      <c r="CJ330" s="221"/>
      <c r="CK330" s="221"/>
      <c r="CL330" s="1052"/>
      <c r="CM330" s="904"/>
      <c r="CQ330" s="221"/>
      <c r="CR330" s="221"/>
      <c r="CS330" s="221"/>
      <c r="CT330" s="1052"/>
      <c r="CU330" s="904"/>
      <c r="CY330" s="221"/>
      <c r="CZ330" s="221"/>
      <c r="DA330" s="221"/>
      <c r="DB330" s="1052"/>
      <c r="DC330" s="904"/>
      <c r="DG330" s="221"/>
      <c r="DH330" s="221"/>
      <c r="DI330" s="221"/>
      <c r="DJ330" s="1052"/>
      <c r="DK330" s="904"/>
      <c r="DO330" s="221"/>
      <c r="DP330" s="221"/>
      <c r="DQ330" s="221"/>
      <c r="DR330" s="1052"/>
      <c r="DS330" s="904"/>
      <c r="DW330" s="221"/>
      <c r="DX330" s="221"/>
      <c r="DY330" s="221"/>
      <c r="DZ330" s="1052"/>
      <c r="EA330" s="904"/>
      <c r="EE330" s="221"/>
      <c r="EF330" s="221"/>
      <c r="EG330" s="221"/>
      <c r="EH330" s="1052"/>
      <c r="EI330" s="904"/>
      <c r="EM330" s="221"/>
      <c r="EN330" s="221"/>
      <c r="EO330" s="221"/>
      <c r="EP330" s="1052"/>
      <c r="EQ330" s="904"/>
      <c r="EU330" s="221"/>
      <c r="EV330" s="221"/>
      <c r="EW330" s="221"/>
      <c r="EX330" s="1052"/>
      <c r="EY330" s="904"/>
      <c r="FC330" s="221"/>
      <c r="FD330" s="221"/>
      <c r="FE330" s="221"/>
      <c r="FF330" s="1052"/>
      <c r="FG330" s="904"/>
      <c r="FK330" s="221"/>
      <c r="FL330" s="221"/>
      <c r="FM330" s="221"/>
      <c r="FN330" s="1052"/>
      <c r="FO330" s="904"/>
    </row>
    <row r="331" spans="1:171" x14ac:dyDescent="0.25">
      <c r="A331" s="1050" t="s">
        <v>49</v>
      </c>
      <c r="B331" s="51"/>
      <c r="C331" s="1"/>
      <c r="D331" s="1"/>
      <c r="E331" s="1"/>
      <c r="F331" s="1"/>
      <c r="G331" s="924">
        <f>G315</f>
        <v>176856701.06279904</v>
      </c>
      <c r="H331" s="924">
        <f>H315</f>
        <v>94786417.434177458</v>
      </c>
      <c r="I331" s="924">
        <f>I315</f>
        <v>0</v>
      </c>
      <c r="J331" s="924">
        <f>J315</f>
        <v>82070283.628621608</v>
      </c>
      <c r="K331" s="904"/>
      <c r="O331" s="924">
        <f>O315</f>
        <v>176856701.06279904</v>
      </c>
      <c r="P331" s="924">
        <f>P315</f>
        <v>94786417.434177458</v>
      </c>
      <c r="Q331" s="924">
        <f>Q315</f>
        <v>68334874.915489465</v>
      </c>
      <c r="R331" s="924">
        <f>R315</f>
        <v>13735408.713132137</v>
      </c>
      <c r="S331" s="904"/>
      <c r="W331" s="924">
        <f>W315</f>
        <v>176856701.06279904</v>
      </c>
      <c r="X331" s="924">
        <f>X315</f>
        <v>94786417.434177458</v>
      </c>
      <c r="Y331" s="924">
        <f>Y315</f>
        <v>68334874.915489465</v>
      </c>
      <c r="Z331" s="924">
        <f>Z315</f>
        <v>13735408.713132137</v>
      </c>
      <c r="AA331" s="904"/>
      <c r="AE331" s="924">
        <f>AE315</f>
        <v>176856701.06279904</v>
      </c>
      <c r="AF331" s="924">
        <f>AF315</f>
        <v>94786417.434177458</v>
      </c>
      <c r="AG331" s="924">
        <f>AG315</f>
        <v>68334874.915489465</v>
      </c>
      <c r="AH331" s="924">
        <f>AH315</f>
        <v>13735408.713132137</v>
      </c>
      <c r="AI331" s="904"/>
      <c r="AM331" s="924">
        <f>AM315</f>
        <v>176856701.06279904</v>
      </c>
      <c r="AN331" s="924">
        <f>AN315</f>
        <v>94786417.434177458</v>
      </c>
      <c r="AO331" s="924">
        <f>AO315</f>
        <v>68334874.915489465</v>
      </c>
      <c r="AP331" s="924">
        <f>AP315</f>
        <v>13735408.713132137</v>
      </c>
      <c r="AQ331" s="904"/>
      <c r="AU331" s="924">
        <f>AU315</f>
        <v>176856701.06279904</v>
      </c>
      <c r="AV331" s="924">
        <f>AV315</f>
        <v>94786417.434177458</v>
      </c>
      <c r="AW331" s="924">
        <f>AW315</f>
        <v>68334874.915489465</v>
      </c>
      <c r="AX331" s="924">
        <f>AX315</f>
        <v>13735408.713132137</v>
      </c>
      <c r="AY331" s="904"/>
      <c r="BC331" s="924">
        <f>BC315</f>
        <v>176856701.06279904</v>
      </c>
      <c r="BD331" s="924">
        <f>BD315</f>
        <v>94786417.434177458</v>
      </c>
      <c r="BE331" s="924">
        <f>BE315</f>
        <v>68334874.915489465</v>
      </c>
      <c r="BF331" s="924">
        <f>BF315</f>
        <v>13735408.713132137</v>
      </c>
      <c r="BG331" s="904"/>
      <c r="BK331" s="924">
        <f>BK315</f>
        <v>176856701.06279904</v>
      </c>
      <c r="BL331" s="924">
        <f>BL315</f>
        <v>94786417.434177458</v>
      </c>
      <c r="BM331" s="924">
        <f>BM315</f>
        <v>68334874.915489465</v>
      </c>
      <c r="BN331" s="924">
        <f>BN315</f>
        <v>13735408.713132137</v>
      </c>
      <c r="BO331" s="904"/>
      <c r="BS331" s="924">
        <f>BS315</f>
        <v>176856701.06279904</v>
      </c>
      <c r="BT331" s="924">
        <f>BT315</f>
        <v>94786417.434177458</v>
      </c>
      <c r="BU331" s="924">
        <f>BU315</f>
        <v>68334874.915489465</v>
      </c>
      <c r="BV331" s="924">
        <f>BV315</f>
        <v>13735408.713132137</v>
      </c>
      <c r="BW331" s="904"/>
      <c r="CA331" s="924">
        <f>CA315</f>
        <v>176856701.06279904</v>
      </c>
      <c r="CB331" s="924">
        <f>CB315</f>
        <v>94786417.434177458</v>
      </c>
      <c r="CC331" s="924">
        <f>CC315</f>
        <v>68334874.915489465</v>
      </c>
      <c r="CD331" s="924">
        <f>CD315</f>
        <v>13735408.713132137</v>
      </c>
      <c r="CE331" s="904"/>
      <c r="CI331" s="924">
        <f>CI315</f>
        <v>176856701.06279904</v>
      </c>
      <c r="CJ331" s="924">
        <f>CJ315</f>
        <v>94786417.434177458</v>
      </c>
      <c r="CK331" s="924">
        <f>CK315</f>
        <v>68334874.915489465</v>
      </c>
      <c r="CL331" s="924">
        <f>CL315</f>
        <v>13735408.713132137</v>
      </c>
      <c r="CM331" s="904"/>
      <c r="CQ331" s="924">
        <f>CQ315</f>
        <v>176856701.06279904</v>
      </c>
      <c r="CR331" s="924">
        <f>CR315</f>
        <v>94786417.434177458</v>
      </c>
      <c r="CS331" s="924">
        <f>CS315</f>
        <v>68334874.915489465</v>
      </c>
      <c r="CT331" s="924">
        <f>CT315</f>
        <v>13735408.713132137</v>
      </c>
      <c r="CU331" s="904"/>
      <c r="CY331" s="924">
        <f>CY315</f>
        <v>176856701.06279904</v>
      </c>
      <c r="CZ331" s="924">
        <f>CZ315</f>
        <v>94786417.434177458</v>
      </c>
      <c r="DA331" s="924">
        <f>DA315</f>
        <v>68334874.915489465</v>
      </c>
      <c r="DB331" s="924">
        <f>DB315</f>
        <v>13735408.713132137</v>
      </c>
      <c r="DC331" s="904"/>
      <c r="DG331" s="924">
        <f>DG315</f>
        <v>176856701.06279904</v>
      </c>
      <c r="DH331" s="924">
        <f>DH315</f>
        <v>94786417.434177458</v>
      </c>
      <c r="DI331" s="924">
        <f>DI315</f>
        <v>68334874.915489465</v>
      </c>
      <c r="DJ331" s="924">
        <f>DJ315</f>
        <v>13735408.713132137</v>
      </c>
      <c r="DK331" s="904"/>
      <c r="DO331" s="924">
        <f>DO315</f>
        <v>176856701.06279904</v>
      </c>
      <c r="DP331" s="924">
        <f>DP315</f>
        <v>94786417.434177458</v>
      </c>
      <c r="DQ331" s="924">
        <f>DQ315</f>
        <v>68334874.915489465</v>
      </c>
      <c r="DR331" s="924">
        <f>DR315</f>
        <v>13735408.713132137</v>
      </c>
      <c r="DS331" s="904"/>
      <c r="DW331" s="924">
        <f>DW315</f>
        <v>176856701.06279904</v>
      </c>
      <c r="DX331" s="924">
        <f>DX315</f>
        <v>94786417.434177458</v>
      </c>
      <c r="DY331" s="924">
        <f>DY315</f>
        <v>68334874.915489465</v>
      </c>
      <c r="DZ331" s="924">
        <f>DZ315</f>
        <v>13735408.713132137</v>
      </c>
      <c r="EA331" s="904"/>
      <c r="EE331" s="924">
        <f>EE315</f>
        <v>176856701.06279904</v>
      </c>
      <c r="EF331" s="924">
        <f>EF315</f>
        <v>94786417.434177458</v>
      </c>
      <c r="EG331" s="924">
        <f>EG315</f>
        <v>68334874.915489465</v>
      </c>
      <c r="EH331" s="924">
        <f>EH315</f>
        <v>13735408.713132137</v>
      </c>
      <c r="EI331" s="904"/>
      <c r="EM331" s="924">
        <f>EM315</f>
        <v>176856701.06279904</v>
      </c>
      <c r="EN331" s="924">
        <f>EN315</f>
        <v>94786417.434177458</v>
      </c>
      <c r="EO331" s="924">
        <f>EO315</f>
        <v>68334874.915489465</v>
      </c>
      <c r="EP331" s="924">
        <f>EP315</f>
        <v>13735408.713132137</v>
      </c>
      <c r="EQ331" s="904"/>
      <c r="EU331" s="924">
        <f>EU315</f>
        <v>176856701.06279904</v>
      </c>
      <c r="EV331" s="924">
        <f>EV315</f>
        <v>94786417.434177458</v>
      </c>
      <c r="EW331" s="924">
        <f>EW315</f>
        <v>68334874.915489465</v>
      </c>
      <c r="EX331" s="924">
        <f>EX315</f>
        <v>13735408.713132137</v>
      </c>
      <c r="EY331" s="904"/>
      <c r="FC331" s="924">
        <f>FC315</f>
        <v>176856701.06279904</v>
      </c>
      <c r="FD331" s="924">
        <f>FD315</f>
        <v>94786417.434177458</v>
      </c>
      <c r="FE331" s="924">
        <f>FE315</f>
        <v>68334874.915489465</v>
      </c>
      <c r="FF331" s="924">
        <f>FF315</f>
        <v>13735408.713132137</v>
      </c>
      <c r="FG331" s="904"/>
      <c r="FK331" s="924">
        <f>FK315</f>
        <v>176856701.06279904</v>
      </c>
      <c r="FL331" s="924">
        <f>FL315</f>
        <v>94786417.434177458</v>
      </c>
      <c r="FM331" s="924">
        <f>FM315</f>
        <v>68334874.915489465</v>
      </c>
      <c r="FN331" s="924">
        <f>FN315</f>
        <v>13735408.713132137</v>
      </c>
      <c r="FO331" s="904"/>
    </row>
    <row r="332" spans="1:171" x14ac:dyDescent="0.25">
      <c r="A332" s="1051" t="s">
        <v>504</v>
      </c>
      <c r="B332" s="51"/>
      <c r="C332" s="1"/>
      <c r="D332" s="1"/>
      <c r="E332" s="1"/>
      <c r="F332" s="1"/>
      <c r="G332" s="221"/>
      <c r="H332" s="221"/>
      <c r="I332" s="221"/>
      <c r="J332" s="1052"/>
      <c r="K332" s="904"/>
      <c r="O332" s="221"/>
      <c r="P332" s="221"/>
      <c r="Q332" s="221"/>
      <c r="R332" s="1052"/>
      <c r="S332" s="904"/>
      <c r="W332" s="221"/>
      <c r="X332" s="221"/>
      <c r="Y332" s="221"/>
      <c r="Z332" s="1052"/>
      <c r="AA332" s="904"/>
      <c r="AE332" s="221"/>
      <c r="AF332" s="221"/>
      <c r="AG332" s="221"/>
      <c r="AH332" s="1052"/>
      <c r="AI332" s="904"/>
      <c r="AM332" s="221"/>
      <c r="AN332" s="221"/>
      <c r="AO332" s="221"/>
      <c r="AP332" s="1052"/>
      <c r="AQ332" s="904"/>
      <c r="AU332" s="221"/>
      <c r="AV332" s="221"/>
      <c r="AW332" s="221"/>
      <c r="AX332" s="1052"/>
      <c r="AY332" s="904"/>
      <c r="BC332" s="221"/>
      <c r="BD332" s="221"/>
      <c r="BE332" s="221"/>
      <c r="BF332" s="1052"/>
      <c r="BG332" s="904"/>
      <c r="BK332" s="221"/>
      <c r="BL332" s="221"/>
      <c r="BM332" s="221"/>
      <c r="BN332" s="1052"/>
      <c r="BO332" s="904"/>
      <c r="BS332" s="221"/>
      <c r="BT332" s="221"/>
      <c r="BU332" s="221"/>
      <c r="BV332" s="1052"/>
      <c r="BW332" s="904"/>
      <c r="CA332" s="221"/>
      <c r="CB332" s="221"/>
      <c r="CC332" s="221"/>
      <c r="CD332" s="1052"/>
      <c r="CE332" s="904"/>
      <c r="CI332" s="221"/>
      <c r="CJ332" s="221"/>
      <c r="CK332" s="221"/>
      <c r="CL332" s="1052"/>
      <c r="CM332" s="904"/>
      <c r="CQ332" s="221"/>
      <c r="CR332" s="221"/>
      <c r="CS332" s="221"/>
      <c r="CT332" s="1052"/>
      <c r="CU332" s="904"/>
      <c r="CY332" s="221"/>
      <c r="CZ332" s="221"/>
      <c r="DA332" s="221"/>
      <c r="DB332" s="1052"/>
      <c r="DC332" s="904"/>
      <c r="DG332" s="221"/>
      <c r="DH332" s="221"/>
      <c r="DI332" s="221"/>
      <c r="DJ332" s="1052"/>
      <c r="DK332" s="904"/>
      <c r="DO332" s="221"/>
      <c r="DP332" s="221"/>
      <c r="DQ332" s="221"/>
      <c r="DR332" s="1052"/>
      <c r="DS332" s="904"/>
      <c r="DW332" s="221"/>
      <c r="DX332" s="221"/>
      <c r="DY332" s="221"/>
      <c r="DZ332" s="1052"/>
      <c r="EA332" s="904"/>
      <c r="EE332" s="221"/>
      <c r="EF332" s="221"/>
      <c r="EG332" s="221"/>
      <c r="EH332" s="1052"/>
      <c r="EI332" s="904"/>
      <c r="EM332" s="221"/>
      <c r="EN332" s="221"/>
      <c r="EO332" s="221"/>
      <c r="EP332" s="1052"/>
      <c r="EQ332" s="904"/>
      <c r="EU332" s="221"/>
      <c r="EV332" s="221"/>
      <c r="EW332" s="221"/>
      <c r="EX332" s="1052"/>
      <c r="EY332" s="904"/>
      <c r="FC332" s="221"/>
      <c r="FD332" s="221"/>
      <c r="FE332" s="221"/>
      <c r="FF332" s="1052"/>
      <c r="FG332" s="904"/>
      <c r="FK332" s="221"/>
      <c r="FL332" s="221"/>
      <c r="FM332" s="221"/>
      <c r="FN332" s="1052"/>
      <c r="FO332" s="904"/>
    </row>
    <row r="333" spans="1:171" x14ac:dyDescent="0.25">
      <c r="A333" s="1051"/>
      <c r="B333" s="51"/>
      <c r="C333" s="1"/>
      <c r="D333" s="1"/>
      <c r="E333" s="1"/>
      <c r="F333" s="1"/>
      <c r="G333" s="221"/>
      <c r="H333" s="221"/>
      <c r="I333" s="221"/>
      <c r="J333" s="1052"/>
      <c r="K333" s="904"/>
      <c r="O333" s="221"/>
      <c r="P333" s="221"/>
      <c r="Q333" s="221"/>
      <c r="R333" s="1052"/>
      <c r="S333" s="904"/>
      <c r="W333" s="221"/>
      <c r="X333" s="221"/>
      <c r="Y333" s="221"/>
      <c r="Z333" s="1052"/>
      <c r="AA333" s="904"/>
      <c r="AE333" s="221"/>
      <c r="AF333" s="221"/>
      <c r="AG333" s="221"/>
      <c r="AH333" s="1052"/>
      <c r="AI333" s="904"/>
      <c r="AM333" s="221"/>
      <c r="AN333" s="221"/>
      <c r="AO333" s="221"/>
      <c r="AP333" s="1052"/>
      <c r="AQ333" s="904"/>
      <c r="AU333" s="221"/>
      <c r="AV333" s="221"/>
      <c r="AW333" s="221"/>
      <c r="AX333" s="1052"/>
      <c r="AY333" s="904"/>
      <c r="BC333" s="221"/>
      <c r="BD333" s="221"/>
      <c r="BE333" s="221"/>
      <c r="BF333" s="1052"/>
      <c r="BG333" s="904"/>
      <c r="BK333" s="221"/>
      <c r="BL333" s="221"/>
      <c r="BM333" s="221"/>
      <c r="BN333" s="1052"/>
      <c r="BO333" s="904"/>
      <c r="BS333" s="221"/>
      <c r="BT333" s="221"/>
      <c r="BU333" s="221"/>
      <c r="BV333" s="1052"/>
      <c r="BW333" s="904"/>
      <c r="CA333" s="221"/>
      <c r="CB333" s="221"/>
      <c r="CC333" s="221"/>
      <c r="CD333" s="1052"/>
      <c r="CE333" s="904"/>
      <c r="CI333" s="221"/>
      <c r="CJ333" s="221"/>
      <c r="CK333" s="221"/>
      <c r="CL333" s="1052"/>
      <c r="CM333" s="904"/>
      <c r="CQ333" s="221"/>
      <c r="CR333" s="221"/>
      <c r="CS333" s="221"/>
      <c r="CT333" s="1052"/>
      <c r="CU333" s="904"/>
      <c r="CY333" s="221"/>
      <c r="CZ333" s="221"/>
      <c r="DA333" s="221"/>
      <c r="DB333" s="1052"/>
      <c r="DC333" s="904"/>
      <c r="DG333" s="221"/>
      <c r="DH333" s="221"/>
      <c r="DI333" s="221"/>
      <c r="DJ333" s="1052"/>
      <c r="DK333" s="904"/>
      <c r="DO333" s="221"/>
      <c r="DP333" s="221"/>
      <c r="DQ333" s="221"/>
      <c r="DR333" s="1052"/>
      <c r="DS333" s="904"/>
      <c r="DW333" s="221"/>
      <c r="DX333" s="221"/>
      <c r="DY333" s="221"/>
      <c r="DZ333" s="1052"/>
      <c r="EA333" s="904"/>
      <c r="EE333" s="221"/>
      <c r="EF333" s="221"/>
      <c r="EG333" s="221"/>
      <c r="EH333" s="1052"/>
      <c r="EI333" s="904"/>
      <c r="EM333" s="221"/>
      <c r="EN333" s="221"/>
      <c r="EO333" s="221"/>
      <c r="EP333" s="1052"/>
      <c r="EQ333" s="904"/>
      <c r="EU333" s="221"/>
      <c r="EV333" s="221"/>
      <c r="EW333" s="221"/>
      <c r="EX333" s="1052"/>
      <c r="EY333" s="904"/>
      <c r="FC333" s="221"/>
      <c r="FD333" s="221"/>
      <c r="FE333" s="221"/>
      <c r="FF333" s="1052"/>
      <c r="FG333" s="904"/>
      <c r="FK333" s="221"/>
      <c r="FL333" s="221"/>
      <c r="FM333" s="221"/>
      <c r="FN333" s="1052"/>
      <c r="FO333" s="904"/>
    </row>
    <row r="334" spans="1:171" x14ac:dyDescent="0.25">
      <c r="A334" s="1050" t="s">
        <v>51</v>
      </c>
      <c r="B334" s="51"/>
      <c r="C334" s="1"/>
      <c r="D334" s="1"/>
      <c r="E334" s="1"/>
      <c r="F334" s="1"/>
      <c r="G334" s="924">
        <f>G322+G325+G328-G331</f>
        <v>4026257564.7650275</v>
      </c>
      <c r="H334" s="924">
        <f>H322+H325+H328-H331</f>
        <v>2589135334.1440625</v>
      </c>
      <c r="I334" s="924">
        <f>I322+I325+I328-I331</f>
        <v>2011425.3370538021</v>
      </c>
      <c r="J334" s="924">
        <f>J322+J325+J328-J331</f>
        <v>1435057358.6995335</v>
      </c>
      <c r="K334" s="904"/>
      <c r="O334" s="924">
        <f>O322+O325+O328-O331</f>
        <v>4026257564.7650275</v>
      </c>
      <c r="P334" s="924">
        <f>P322+P325+P328-P331</f>
        <v>2589829358.5832219</v>
      </c>
      <c r="Q334" s="924">
        <f>Q322+Q325+Q328-Q331</f>
        <v>287521766.74266744</v>
      </c>
      <c r="R334" s="924">
        <f>R322+R325+R328-R331</f>
        <v>1148906439.4391387</v>
      </c>
      <c r="S334" s="904"/>
      <c r="W334" s="924">
        <f>W322+W325+W328-W331</f>
        <v>4026257564.7650275</v>
      </c>
      <c r="X334" s="924">
        <f>X322+X325+X328-X331</f>
        <v>2589829358.5832219</v>
      </c>
      <c r="Y334" s="924">
        <f>Y322+Y325+Y328-Y331</f>
        <v>287521766.74266744</v>
      </c>
      <c r="Z334" s="924">
        <f>Z322+Z325+Z328-Z331</f>
        <v>1148906439.4391387</v>
      </c>
      <c r="AA334" s="904"/>
      <c r="AE334" s="924">
        <f>AE322+AE325+AE328-AE331</f>
        <v>4026257564.7650275</v>
      </c>
      <c r="AF334" s="924">
        <f>AF322+AF325+AF328-AF331</f>
        <v>2589829358.5832219</v>
      </c>
      <c r="AG334" s="924">
        <f>AG322+AG325+AG328-AG331</f>
        <v>287521766.74266744</v>
      </c>
      <c r="AH334" s="924">
        <f>AH322+AH325+AH328-AH331</f>
        <v>1148906439.4391387</v>
      </c>
      <c r="AI334" s="904"/>
      <c r="AM334" s="924">
        <f>AM322+AM325+AM328-AM331</f>
        <v>4026257564.7650275</v>
      </c>
      <c r="AN334" s="924">
        <f>AN322+AN325+AN328-AN331</f>
        <v>2589829358.5832219</v>
      </c>
      <c r="AO334" s="924">
        <f>AO322+AO325+AO328-AO331</f>
        <v>287521766.74266744</v>
      </c>
      <c r="AP334" s="924">
        <f>AP322+AP325+AP328-AP331</f>
        <v>1148906439.4391387</v>
      </c>
      <c r="AQ334" s="904"/>
      <c r="AU334" s="924">
        <f>AU322+AU325+AU328-AU331</f>
        <v>4026257564.7650275</v>
      </c>
      <c r="AV334" s="924">
        <f>AV322+AV325+AV328-AV331</f>
        <v>2589829358.5832219</v>
      </c>
      <c r="AW334" s="924">
        <f>AW322+AW325+AW328-AW331</f>
        <v>287521766.74266744</v>
      </c>
      <c r="AX334" s="924">
        <f>AX322+AX325+AX328-AX331</f>
        <v>1148906439.4391387</v>
      </c>
      <c r="AY334" s="904"/>
      <c r="BC334" s="924">
        <f>BC322+BC325+BC328-BC331</f>
        <v>4026257564.7650275</v>
      </c>
      <c r="BD334" s="924">
        <f>BD322+BD325+BD328-BD331</f>
        <v>2589829358.5832219</v>
      </c>
      <c r="BE334" s="924">
        <f>BE322+BE325+BE328-BE331</f>
        <v>287521766.74266744</v>
      </c>
      <c r="BF334" s="924">
        <f>BF322+BF325+BF328-BF331</f>
        <v>1148906439.4391387</v>
      </c>
      <c r="BG334" s="904"/>
      <c r="BK334" s="924">
        <f>BK322+BK325+BK328-BK331</f>
        <v>4026257564.7650275</v>
      </c>
      <c r="BL334" s="924">
        <f>BL322+BL325+BL328-BL331</f>
        <v>2589829358.5832219</v>
      </c>
      <c r="BM334" s="924">
        <f>BM322+BM325+BM328-BM331</f>
        <v>287521766.74266744</v>
      </c>
      <c r="BN334" s="924">
        <f>BN322+BN325+BN328-BN331</f>
        <v>1148906439.4391387</v>
      </c>
      <c r="BO334" s="904"/>
      <c r="BS334" s="924">
        <f>BS322+BS325+BS328-BS331</f>
        <v>4026257564.7650275</v>
      </c>
      <c r="BT334" s="924">
        <f>BT322+BT325+BT328-BT331</f>
        <v>2589829358.5832219</v>
      </c>
      <c r="BU334" s="924">
        <f>BU322+BU325+BU328-BU331</f>
        <v>287521766.74266744</v>
      </c>
      <c r="BV334" s="924">
        <f>BV322+BV325+BV328-BV331</f>
        <v>1148906439.4391387</v>
      </c>
      <c r="BW334" s="904"/>
      <c r="CA334" s="924">
        <f>CA322+CA325+CA328-CA331</f>
        <v>4026257564.7650275</v>
      </c>
      <c r="CB334" s="924">
        <f>CB322+CB325+CB328-CB331</f>
        <v>2589829358.5832219</v>
      </c>
      <c r="CC334" s="924">
        <f>CC322+CC325+CC328-CC331</f>
        <v>287521766.74266744</v>
      </c>
      <c r="CD334" s="924">
        <f>CD322+CD325+CD328-CD331</f>
        <v>1148906439.4391387</v>
      </c>
      <c r="CE334" s="904"/>
      <c r="CI334" s="924">
        <f>CI322+CI325+CI328-CI331</f>
        <v>4026257564.7650275</v>
      </c>
      <c r="CJ334" s="924">
        <f>CJ322+CJ325+CJ328-CJ331</f>
        <v>2589829358.5832219</v>
      </c>
      <c r="CK334" s="924">
        <f>CK322+CK325+CK328-CK331</f>
        <v>287521766.74266744</v>
      </c>
      <c r="CL334" s="924">
        <f>CL322+CL325+CL328-CL331</f>
        <v>1148906439.4391387</v>
      </c>
      <c r="CM334" s="904"/>
      <c r="CQ334" s="924">
        <f>CQ322+CQ325+CQ328-CQ331</f>
        <v>4026257564.7650275</v>
      </c>
      <c r="CR334" s="924">
        <f>CR322+CR325+CR328-CR331</f>
        <v>2589829358.5832219</v>
      </c>
      <c r="CS334" s="924">
        <f>CS322+CS325+CS328-CS331</f>
        <v>287521766.74266744</v>
      </c>
      <c r="CT334" s="924">
        <f>CT322+CT325+CT328-CT331</f>
        <v>1148906439.4391387</v>
      </c>
      <c r="CU334" s="904"/>
      <c r="CY334" s="924">
        <f>CY322+CY325+CY328-CY331</f>
        <v>4026257564.7650275</v>
      </c>
      <c r="CZ334" s="924">
        <f>CZ322+CZ325+CZ328-CZ331</f>
        <v>2589829358.5832219</v>
      </c>
      <c r="DA334" s="924">
        <f>DA322+DA325+DA328-DA331</f>
        <v>287521766.74266744</v>
      </c>
      <c r="DB334" s="924">
        <f>DB322+DB325+DB328-DB331</f>
        <v>1148906439.4391387</v>
      </c>
      <c r="DC334" s="904"/>
      <c r="DG334" s="924">
        <f>DG322+DG325+DG328-DG331</f>
        <v>4026257564.7650275</v>
      </c>
      <c r="DH334" s="924">
        <f>DH322+DH325+DH328-DH331</f>
        <v>2589829358.5832219</v>
      </c>
      <c r="DI334" s="924">
        <f>DI322+DI325+DI328-DI331</f>
        <v>287521766.74266744</v>
      </c>
      <c r="DJ334" s="924">
        <f>DJ322+DJ325+DJ328-DJ331</f>
        <v>1148906439.4391387</v>
      </c>
      <c r="DK334" s="904"/>
      <c r="DO334" s="924">
        <f>DO322+DO325+DO328-DO331</f>
        <v>4026257564.7650275</v>
      </c>
      <c r="DP334" s="924">
        <f>DP322+DP325+DP328-DP331</f>
        <v>2589829358.5832219</v>
      </c>
      <c r="DQ334" s="924">
        <f>DQ322+DQ325+DQ328-DQ331</f>
        <v>287521766.74266744</v>
      </c>
      <c r="DR334" s="924">
        <f>DR322+DR325+DR328-DR331</f>
        <v>1148906439.4391387</v>
      </c>
      <c r="DS334" s="904"/>
      <c r="DW334" s="924">
        <f>DW322+DW325+DW328-DW331</f>
        <v>4026257564.7650275</v>
      </c>
      <c r="DX334" s="924">
        <f>DX322+DX325+DX328-DX331</f>
        <v>2589829358.5832219</v>
      </c>
      <c r="DY334" s="924">
        <f>DY322+DY325+DY328-DY331</f>
        <v>287521766.74266744</v>
      </c>
      <c r="DZ334" s="924">
        <f>DZ322+DZ325+DZ328-DZ331</f>
        <v>1148906439.4391387</v>
      </c>
      <c r="EA334" s="904"/>
      <c r="EE334" s="924">
        <f>EE322+EE325+EE328-EE331</f>
        <v>4026257564.7650275</v>
      </c>
      <c r="EF334" s="924">
        <f>EF322+EF325+EF328-EF331</f>
        <v>2589829358.5832219</v>
      </c>
      <c r="EG334" s="924">
        <f>EG322+EG325+EG328-EG331</f>
        <v>287521766.74266744</v>
      </c>
      <c r="EH334" s="924">
        <f>EH322+EH325+EH328-EH331</f>
        <v>1148906439.4391387</v>
      </c>
      <c r="EI334" s="904"/>
      <c r="EM334" s="924">
        <f>EM322+EM325+EM328-EM331</f>
        <v>4026257564.7650275</v>
      </c>
      <c r="EN334" s="924">
        <f>EN322+EN325+EN328-EN331</f>
        <v>2589829358.5832219</v>
      </c>
      <c r="EO334" s="924">
        <f>EO322+EO325+EO328-EO331</f>
        <v>287521766.74266744</v>
      </c>
      <c r="EP334" s="924">
        <f>EP322+EP325+EP328-EP331</f>
        <v>1148906439.4391387</v>
      </c>
      <c r="EQ334" s="904"/>
      <c r="EU334" s="924">
        <f>EU322+EU325+EU328-EU331</f>
        <v>4026257564.7650275</v>
      </c>
      <c r="EV334" s="924">
        <f>EV322+EV325+EV328-EV331</f>
        <v>2589829358.5832219</v>
      </c>
      <c r="EW334" s="924">
        <f>EW322+EW325+EW328-EW331</f>
        <v>287521766.74266744</v>
      </c>
      <c r="EX334" s="924">
        <f>EX322+EX325+EX328-EX331</f>
        <v>1148906439.4391387</v>
      </c>
      <c r="EY334" s="904"/>
      <c r="FC334" s="924">
        <f>FC322+FC325+FC328-FC331</f>
        <v>4026257564.7650275</v>
      </c>
      <c r="FD334" s="924">
        <f>FD322+FD325+FD328-FD331</f>
        <v>2589829358.5832219</v>
      </c>
      <c r="FE334" s="924">
        <f>FE322+FE325+FE328-FE331</f>
        <v>287521766.74266744</v>
      </c>
      <c r="FF334" s="924">
        <f>FF322+FF325+FF328-FF331</f>
        <v>1148906439.4391387</v>
      </c>
      <c r="FG334" s="904"/>
      <c r="FK334" s="924">
        <f>FK322+FK325+FK328-FK331</f>
        <v>4026257564.7650275</v>
      </c>
      <c r="FL334" s="924">
        <f>FL322+FL325+FL328-FL331</f>
        <v>2589829358.5832219</v>
      </c>
      <c r="FM334" s="924">
        <f>FM322+FM325+FM328-FM331</f>
        <v>287521766.74266744</v>
      </c>
      <c r="FN334" s="924">
        <f>FN322+FN325+FN328-FN331</f>
        <v>1148906439.4391387</v>
      </c>
      <c r="FO334" s="904"/>
    </row>
    <row r="335" spans="1:171" x14ac:dyDescent="0.25">
      <c r="A335" s="1051" t="s">
        <v>251</v>
      </c>
      <c r="B335" s="64"/>
      <c r="C335" s="1"/>
      <c r="D335" s="1"/>
      <c r="E335" s="1"/>
      <c r="F335" s="1"/>
      <c r="G335" s="1053"/>
      <c r="H335" s="51"/>
      <c r="I335" s="51"/>
      <c r="J335" s="1054"/>
      <c r="K335" s="904"/>
      <c r="S335" s="1074"/>
      <c r="AA335" s="1074"/>
      <c r="AI335" s="1074"/>
      <c r="AQ335" s="1074"/>
      <c r="AY335" s="1074"/>
      <c r="BG335" s="1074"/>
      <c r="BO335" s="1074"/>
      <c r="BW335" s="1074"/>
      <c r="CE335" s="1074"/>
      <c r="CM335" s="1074"/>
      <c r="CU335" s="1074"/>
      <c r="DC335" s="1074"/>
      <c r="DK335" s="1074"/>
      <c r="DS335" s="1074"/>
      <c r="EA335" s="1074"/>
      <c r="EI335" s="1074"/>
      <c r="EQ335" s="1074"/>
      <c r="EY335" s="1074"/>
      <c r="FG335" s="1074"/>
      <c r="FO335" s="1074"/>
    </row>
    <row r="336" spans="1:171" x14ac:dyDescent="0.25">
      <c r="A336" s="1049"/>
      <c r="B336" s="1"/>
      <c r="C336" s="1"/>
      <c r="D336" s="1"/>
      <c r="E336" s="1"/>
      <c r="F336" s="1"/>
      <c r="G336" s="1"/>
      <c r="H336" s="1"/>
      <c r="I336" s="1"/>
      <c r="J336" s="1055"/>
      <c r="K336" s="904"/>
      <c r="S336" s="1074"/>
      <c r="AA336" s="1074"/>
      <c r="AI336" s="1074"/>
      <c r="AQ336" s="1074"/>
      <c r="AY336" s="1074"/>
      <c r="BG336" s="1074"/>
      <c r="BO336" s="1074"/>
      <c r="BW336" s="1074"/>
      <c r="CE336" s="1074"/>
      <c r="CM336" s="1074"/>
      <c r="CU336" s="1074"/>
      <c r="DC336" s="1074"/>
      <c r="DK336" s="1074"/>
      <c r="DS336" s="1074"/>
      <c r="EA336" s="1074"/>
      <c r="EI336" s="1074"/>
      <c r="EQ336" s="1074"/>
      <c r="EY336" s="1074"/>
      <c r="FG336" s="1074"/>
      <c r="FO336" s="1074"/>
    </row>
    <row r="337" spans="1:171" ht="16.5" thickBot="1" x14ac:dyDescent="0.3">
      <c r="A337" s="1056"/>
      <c r="B337" s="1057"/>
      <c r="C337" s="1057"/>
      <c r="D337" s="1057"/>
      <c r="E337" s="1057"/>
      <c r="F337" s="1057"/>
      <c r="G337" s="1057"/>
      <c r="H337" s="1057"/>
      <c r="I337" s="1057"/>
      <c r="J337" s="1058"/>
      <c r="K337" s="904"/>
      <c r="S337" s="1074"/>
      <c r="AA337" s="1074"/>
      <c r="AI337" s="1074"/>
      <c r="AQ337" s="1074"/>
      <c r="AY337" s="1074"/>
      <c r="BG337" s="1074"/>
      <c r="BO337" s="1074"/>
      <c r="BW337" s="1074"/>
      <c r="CE337" s="1074"/>
      <c r="CM337" s="1074"/>
      <c r="CU337" s="1074"/>
      <c r="DC337" s="1074"/>
      <c r="DK337" s="1074"/>
      <c r="DS337" s="1074"/>
      <c r="EA337" s="1074"/>
      <c r="EI337" s="1074"/>
      <c r="EQ337" s="1074"/>
      <c r="EY337" s="1074"/>
      <c r="FG337" s="1074"/>
      <c r="FO337" s="1074"/>
    </row>
    <row r="338" spans="1:171" ht="16.5" thickBot="1" x14ac:dyDescent="0.3">
      <c r="A338" s="1059" t="s">
        <v>505</v>
      </c>
      <c r="B338" s="1060"/>
      <c r="C338" s="51"/>
      <c r="D338" s="51"/>
      <c r="E338" s="51"/>
      <c r="F338" s="51"/>
      <c r="G338" s="51"/>
      <c r="H338" s="51"/>
      <c r="I338" s="51"/>
      <c r="J338" s="51"/>
      <c r="K338" s="904"/>
      <c r="S338" s="1074"/>
      <c r="AA338" s="1074"/>
      <c r="AI338" s="1074"/>
      <c r="AQ338" s="1074"/>
      <c r="AY338" s="1074"/>
      <c r="BG338" s="1074"/>
      <c r="BO338" s="1074"/>
      <c r="BW338" s="1074"/>
      <c r="CE338" s="1074"/>
      <c r="CM338" s="1074"/>
      <c r="CU338" s="1074"/>
      <c r="DC338" s="1074"/>
      <c r="DK338" s="1074"/>
      <c r="DS338" s="1074"/>
      <c r="EA338" s="1074"/>
      <c r="EI338" s="1074"/>
      <c r="EQ338" s="1074"/>
      <c r="EY338" s="1074"/>
      <c r="FG338" s="1074"/>
      <c r="FO338" s="1074"/>
    </row>
    <row r="339" spans="1:171" ht="16.5" thickTop="1" x14ac:dyDescent="0.25">
      <c r="A339" s="228" t="s">
        <v>319</v>
      </c>
      <c r="B339" s="51"/>
      <c r="C339" s="1"/>
      <c r="D339" s="1"/>
      <c r="E339" s="1"/>
      <c r="F339" s="1"/>
      <c r="G339" s="51"/>
      <c r="H339" s="1247">
        <f>H334</f>
        <v>2589135334.1440625</v>
      </c>
      <c r="I339" s="51"/>
      <c r="J339" s="51"/>
      <c r="K339" s="904"/>
      <c r="P339" s="1247">
        <f>P334</f>
        <v>2589829358.5832219</v>
      </c>
      <c r="S339" s="1074"/>
      <c r="X339" s="1247">
        <f>X334</f>
        <v>2589829358.5832219</v>
      </c>
      <c r="AA339" s="1074"/>
      <c r="AF339" s="1247">
        <f>AF334</f>
        <v>2589829358.5832219</v>
      </c>
      <c r="AI339" s="1074"/>
      <c r="AN339" s="1247">
        <f>AN334</f>
        <v>2589829358.5832219</v>
      </c>
      <c r="AQ339" s="1074"/>
      <c r="AV339" s="1247">
        <f>AV334</f>
        <v>2589829358.5832219</v>
      </c>
      <c r="AY339" s="1074"/>
      <c r="BD339" s="1247">
        <f>BD334</f>
        <v>2589829358.5832219</v>
      </c>
      <c r="BG339" s="1074"/>
      <c r="BL339" s="1247">
        <f>BL334</f>
        <v>2589829358.5832219</v>
      </c>
      <c r="BO339" s="1074"/>
      <c r="BT339" s="1247">
        <f>BT334</f>
        <v>2589829358.5832219</v>
      </c>
      <c r="BW339" s="1074"/>
      <c r="CB339" s="1247">
        <f>CB334</f>
        <v>2589829358.5832219</v>
      </c>
      <c r="CE339" s="1074"/>
      <c r="CJ339" s="1247">
        <f>CJ334</f>
        <v>2589829358.5832219</v>
      </c>
      <c r="CM339" s="1074"/>
      <c r="CR339" s="1247">
        <f>CR334</f>
        <v>2589829358.5832219</v>
      </c>
      <c r="CU339" s="1074"/>
      <c r="CZ339" s="1247">
        <f>CZ334</f>
        <v>2589829358.5832219</v>
      </c>
      <c r="DC339" s="1074"/>
      <c r="DH339" s="1247">
        <f>DH334</f>
        <v>2589829358.5832219</v>
      </c>
      <c r="DK339" s="1074"/>
      <c r="DP339" s="1247">
        <f>DP334</f>
        <v>2589829358.5832219</v>
      </c>
      <c r="DS339" s="1074"/>
      <c r="DX339" s="1247">
        <f>DX334</f>
        <v>2589829358.5832219</v>
      </c>
      <c r="EA339" s="1074"/>
      <c r="EF339" s="1247">
        <f>EF334</f>
        <v>2589829358.5832219</v>
      </c>
      <c r="EI339" s="1074"/>
      <c r="EN339" s="1247">
        <f>EN334</f>
        <v>2589829358.5832219</v>
      </c>
      <c r="EQ339" s="1074"/>
      <c r="EV339" s="1247">
        <f>EV334</f>
        <v>2589829358.5832219</v>
      </c>
      <c r="EY339" s="1074"/>
      <c r="FD339" s="1247">
        <f>FD334</f>
        <v>2589829358.5832219</v>
      </c>
      <c r="FG339" s="1074"/>
      <c r="FL339" s="1247">
        <f>FL334</f>
        <v>2589829358.5832219</v>
      </c>
      <c r="FO339" s="1074"/>
    </row>
    <row r="340" spans="1:171" x14ac:dyDescent="0.25">
      <c r="A340" s="228" t="s">
        <v>106</v>
      </c>
      <c r="B340" s="51"/>
      <c r="C340" s="1"/>
      <c r="D340" s="1"/>
      <c r="E340" s="1"/>
      <c r="F340" s="1"/>
      <c r="G340" s="51"/>
      <c r="H340" s="1248">
        <f>+I334</f>
        <v>2011425.3370538021</v>
      </c>
      <c r="I340" s="51"/>
      <c r="J340" s="51"/>
      <c r="K340" s="904"/>
      <c r="P340" s="1248">
        <f>Q334</f>
        <v>287521766.74266744</v>
      </c>
      <c r="S340" s="1074"/>
      <c r="X340" s="1248">
        <f>Y334</f>
        <v>287521766.74266744</v>
      </c>
      <c r="AA340" s="1074"/>
      <c r="AF340" s="1248">
        <f>AG334</f>
        <v>287521766.74266744</v>
      </c>
      <c r="AI340" s="1074"/>
      <c r="AN340" s="1248">
        <f>AO334</f>
        <v>287521766.74266744</v>
      </c>
      <c r="AQ340" s="1074"/>
      <c r="AV340" s="1248">
        <f>AW334</f>
        <v>287521766.74266744</v>
      </c>
      <c r="AY340" s="1074"/>
      <c r="BD340" s="1248">
        <f>BE334</f>
        <v>287521766.74266744</v>
      </c>
      <c r="BG340" s="1074"/>
      <c r="BL340" s="1248">
        <f>BM334</f>
        <v>287521766.74266744</v>
      </c>
      <c r="BO340" s="1074"/>
      <c r="BT340" s="1248">
        <f>BU334</f>
        <v>287521766.74266744</v>
      </c>
      <c r="BW340" s="1074"/>
      <c r="CB340" s="1248">
        <f>CC334</f>
        <v>287521766.74266744</v>
      </c>
      <c r="CE340" s="1074"/>
      <c r="CJ340" s="1248">
        <f>CK334</f>
        <v>287521766.74266744</v>
      </c>
      <c r="CM340" s="1074"/>
      <c r="CR340" s="1248">
        <f>CS334</f>
        <v>287521766.74266744</v>
      </c>
      <c r="CU340" s="1074"/>
      <c r="CZ340" s="1248">
        <f>DA334</f>
        <v>287521766.74266744</v>
      </c>
      <c r="DC340" s="1074"/>
      <c r="DH340" s="1248">
        <f>DI334</f>
        <v>287521766.74266744</v>
      </c>
      <c r="DK340" s="1074"/>
      <c r="DP340" s="1248">
        <f>DQ334</f>
        <v>287521766.74266744</v>
      </c>
      <c r="DS340" s="1074"/>
      <c r="DX340" s="1248">
        <f>DY334</f>
        <v>287521766.74266744</v>
      </c>
      <c r="EA340" s="1074"/>
      <c r="EF340" s="1248">
        <f>EG334</f>
        <v>287521766.74266744</v>
      </c>
      <c r="EI340" s="1074"/>
      <c r="EN340" s="1248">
        <f>EO334</f>
        <v>287521766.74266744</v>
      </c>
      <c r="EQ340" s="1074"/>
      <c r="EV340" s="1248">
        <f>EW334</f>
        <v>287521766.74266744</v>
      </c>
      <c r="EY340" s="1074"/>
      <c r="FD340" s="1248">
        <f>FE334</f>
        <v>287521766.74266744</v>
      </c>
      <c r="FG340" s="1074"/>
      <c r="FL340" s="1248">
        <f>FM334</f>
        <v>287521766.74266744</v>
      </c>
      <c r="FO340" s="1074"/>
    </row>
    <row r="341" spans="1:171" x14ac:dyDescent="0.25">
      <c r="A341" s="228" t="s">
        <v>509</v>
      </c>
      <c r="B341" s="51"/>
      <c r="C341" s="1"/>
      <c r="D341" s="1"/>
      <c r="E341" s="1"/>
      <c r="F341" s="1"/>
      <c r="G341" s="51"/>
      <c r="H341" s="891">
        <f>'Sch 4 - Average System Cost'!$D$34+'Sch 4 - Average System Cost'!$D$35</f>
        <v>0</v>
      </c>
      <c r="I341" s="51"/>
      <c r="J341" s="51"/>
      <c r="K341" s="904"/>
      <c r="P341" s="891">
        <f>$H$341</f>
        <v>0</v>
      </c>
      <c r="S341" s="1074"/>
      <c r="X341" s="891">
        <f>$H$341</f>
        <v>0</v>
      </c>
      <c r="AA341" s="1074"/>
      <c r="AF341" s="891">
        <f>$H$341</f>
        <v>0</v>
      </c>
      <c r="AI341" s="1074"/>
      <c r="AN341" s="891">
        <f>$H$341</f>
        <v>0</v>
      </c>
      <c r="AQ341" s="1074"/>
      <c r="AV341" s="891">
        <f>$H$341</f>
        <v>0</v>
      </c>
      <c r="AY341" s="1074"/>
      <c r="BD341" s="891">
        <f>$H$341</f>
        <v>0</v>
      </c>
      <c r="BG341" s="1074"/>
      <c r="BL341" s="891">
        <f>$H$341</f>
        <v>0</v>
      </c>
      <c r="BO341" s="1074"/>
      <c r="BT341" s="891">
        <f>$H$341</f>
        <v>0</v>
      </c>
      <c r="BW341" s="1074"/>
      <c r="CB341" s="891">
        <f>$H$341</f>
        <v>0</v>
      </c>
      <c r="CE341" s="1074"/>
      <c r="CJ341" s="891">
        <f>$H$341</f>
        <v>0</v>
      </c>
      <c r="CM341" s="1074"/>
      <c r="CR341" s="891">
        <f>$H$341</f>
        <v>0</v>
      </c>
      <c r="CU341" s="1074"/>
      <c r="CZ341" s="891">
        <f>$H$341</f>
        <v>0</v>
      </c>
      <c r="DC341" s="1074"/>
      <c r="DH341" s="891">
        <f>$H$341</f>
        <v>0</v>
      </c>
      <c r="DK341" s="1074"/>
      <c r="DP341" s="891">
        <f>$H$341</f>
        <v>0</v>
      </c>
      <c r="DS341" s="1074"/>
      <c r="DX341" s="891">
        <f>$H$341</f>
        <v>0</v>
      </c>
      <c r="EA341" s="1074"/>
      <c r="EF341" s="891">
        <f>$H$341</f>
        <v>0</v>
      </c>
      <c r="EI341" s="1074"/>
      <c r="EN341" s="891">
        <f>$H$341</f>
        <v>0</v>
      </c>
      <c r="EQ341" s="1074"/>
      <c r="EV341" s="891">
        <f>$H$341</f>
        <v>0</v>
      </c>
      <c r="EY341" s="1074"/>
      <c r="FD341" s="891">
        <f>$H$341</f>
        <v>0</v>
      </c>
      <c r="FG341" s="1074"/>
      <c r="FL341" s="891">
        <f>$H$341</f>
        <v>0</v>
      </c>
      <c r="FO341" s="1074"/>
    </row>
    <row r="342" spans="1:171" x14ac:dyDescent="0.25">
      <c r="A342" s="160" t="s">
        <v>506</v>
      </c>
      <c r="B342" s="51"/>
      <c r="C342" s="1"/>
      <c r="D342" s="1"/>
      <c r="E342" s="1"/>
      <c r="F342" s="1"/>
      <c r="G342" s="51"/>
      <c r="H342" s="1249">
        <f>H339+H340-H341</f>
        <v>2591146759.4811163</v>
      </c>
      <c r="I342" s="51"/>
      <c r="J342" s="51"/>
      <c r="K342" s="904"/>
      <c r="P342" s="924">
        <f>P339+P340-P341</f>
        <v>2877351125.3258896</v>
      </c>
      <c r="S342" s="1074"/>
      <c r="X342" s="924">
        <f>X339+X340-X341</f>
        <v>2877351125.3258896</v>
      </c>
      <c r="AA342" s="1074"/>
      <c r="AF342" s="924">
        <f>AF339+AF340-AF341</f>
        <v>2877351125.3258896</v>
      </c>
      <c r="AI342" s="1074"/>
      <c r="AN342" s="924">
        <f>AN339+AN340-AN341</f>
        <v>2877351125.3258896</v>
      </c>
      <c r="AQ342" s="1074"/>
      <c r="AV342" s="924">
        <f>AV339+AV340-AV341</f>
        <v>2877351125.3258896</v>
      </c>
      <c r="AY342" s="1074"/>
      <c r="BD342" s="924">
        <f>BD339+BD340-BD341</f>
        <v>2877351125.3258896</v>
      </c>
      <c r="BG342" s="1074"/>
      <c r="BL342" s="924">
        <f>BL339+BL340-BL341</f>
        <v>2877351125.3258896</v>
      </c>
      <c r="BO342" s="1074"/>
      <c r="BT342" s="924">
        <f>BT339+BT340-BT341</f>
        <v>2877351125.3258896</v>
      </c>
      <c r="BW342" s="1074"/>
      <c r="CB342" s="924">
        <f>CB339+CB340-CB341</f>
        <v>2877351125.3258896</v>
      </c>
      <c r="CE342" s="1074"/>
      <c r="CJ342" s="924">
        <f>CJ339+CJ340-CJ341</f>
        <v>2877351125.3258896</v>
      </c>
      <c r="CM342" s="1074"/>
      <c r="CR342" s="924">
        <f>CR339+CR340-CR341</f>
        <v>2877351125.3258896</v>
      </c>
      <c r="CU342" s="1074"/>
      <c r="CZ342" s="924">
        <f>CZ339+CZ340-CZ341</f>
        <v>2877351125.3258896</v>
      </c>
      <c r="DC342" s="1074"/>
      <c r="DH342" s="924">
        <f>DH339+DH340-DH341</f>
        <v>2877351125.3258896</v>
      </c>
      <c r="DK342" s="1074"/>
      <c r="DP342" s="924">
        <f>DP339+DP340-DP341</f>
        <v>2877351125.3258896</v>
      </c>
      <c r="DS342" s="1074"/>
      <c r="DX342" s="924">
        <f>DX339+DX340-DX341</f>
        <v>2877351125.3258896</v>
      </c>
      <c r="EA342" s="1074"/>
      <c r="EF342" s="924">
        <f>EF339+EF340-EF341</f>
        <v>2877351125.3258896</v>
      </c>
      <c r="EI342" s="1074"/>
      <c r="EN342" s="924">
        <f>EN339+EN340-EN341</f>
        <v>2877351125.3258896</v>
      </c>
      <c r="EQ342" s="1074"/>
      <c r="EV342" s="924">
        <f>EV339+EV340-EV341</f>
        <v>2877351125.3258896</v>
      </c>
      <c r="EY342" s="1074"/>
      <c r="FD342" s="924">
        <f>FD339+FD340-FD341</f>
        <v>2877351125.3258896</v>
      </c>
      <c r="FG342" s="1074"/>
      <c r="FL342" s="924">
        <f>FL339+FL340-FL341</f>
        <v>2877351125.3258896</v>
      </c>
      <c r="FO342" s="1074"/>
    </row>
    <row r="343" spans="1:171" ht="16.5" thickBot="1" x14ac:dyDescent="0.3">
      <c r="A343" s="1061"/>
      <c r="B343" s="51"/>
      <c r="C343" s="1"/>
      <c r="D343" s="1"/>
      <c r="E343" s="1"/>
      <c r="F343" s="1"/>
      <c r="G343" s="51"/>
      <c r="H343" s="595"/>
      <c r="I343" s="51"/>
      <c r="J343" s="51"/>
      <c r="K343" s="904"/>
      <c r="S343" s="1074"/>
      <c r="AA343" s="1074"/>
      <c r="AI343" s="1074"/>
      <c r="AQ343" s="1074"/>
      <c r="AY343" s="1074"/>
      <c r="BG343" s="1074"/>
      <c r="BO343" s="1074"/>
      <c r="BW343" s="1074"/>
      <c r="CE343" s="1074"/>
      <c r="CM343" s="1074"/>
      <c r="CU343" s="1074"/>
      <c r="DC343" s="1074"/>
      <c r="DK343" s="1074"/>
      <c r="DS343" s="1074"/>
      <c r="EA343" s="1074"/>
      <c r="EI343" s="1074"/>
      <c r="EQ343" s="1074"/>
      <c r="EY343" s="1074"/>
      <c r="FG343" s="1074"/>
      <c r="FO343" s="1074"/>
    </row>
    <row r="344" spans="1:171" ht="17.25" thickTop="1" thickBot="1" x14ac:dyDescent="0.3">
      <c r="A344" s="1062" t="s">
        <v>507</v>
      </c>
      <c r="B344" s="1063"/>
      <c r="C344" s="1"/>
      <c r="D344" s="1"/>
      <c r="E344" s="1"/>
      <c r="F344" s="1"/>
      <c r="G344" s="51"/>
      <c r="H344" s="595"/>
      <c r="I344" s="51"/>
      <c r="J344" s="51"/>
      <c r="K344" s="904"/>
      <c r="S344" s="1074"/>
      <c r="AA344" s="1074"/>
      <c r="AI344" s="1074"/>
      <c r="AQ344" s="1074"/>
      <c r="AY344" s="1074"/>
      <c r="BG344" s="1074"/>
      <c r="BO344" s="1074"/>
      <c r="BW344" s="1074"/>
      <c r="CE344" s="1074"/>
      <c r="CM344" s="1074"/>
      <c r="CU344" s="1074"/>
      <c r="DC344" s="1074"/>
      <c r="DK344" s="1074"/>
      <c r="DS344" s="1074"/>
      <c r="EA344" s="1074"/>
      <c r="EI344" s="1074"/>
      <c r="EQ344" s="1074"/>
      <c r="EY344" s="1074"/>
      <c r="FG344" s="1074"/>
      <c r="FO344" s="1074"/>
    </row>
    <row r="345" spans="1:171" ht="16.5" thickTop="1" x14ac:dyDescent="0.25">
      <c r="A345" s="228" t="s">
        <v>320</v>
      </c>
      <c r="B345" s="51"/>
      <c r="C345" s="1"/>
      <c r="D345" s="1"/>
      <c r="E345" s="1"/>
      <c r="F345" s="1"/>
      <c r="G345" s="51"/>
      <c r="H345" s="1064">
        <f>'Sch 4 - Average System Cost'!$D$39</f>
        <v>21294859</v>
      </c>
      <c r="I345" s="51"/>
      <c r="J345" s="51"/>
      <c r="K345" s="904"/>
      <c r="P345" s="1064">
        <f>$H$345</f>
        <v>21294859</v>
      </c>
      <c r="Q345" s="51"/>
      <c r="R345" s="51"/>
      <c r="S345" s="904"/>
      <c r="X345" s="1064">
        <f>$H$345</f>
        <v>21294859</v>
      </c>
      <c r="Y345" s="51"/>
      <c r="Z345" s="51"/>
      <c r="AA345" s="904"/>
      <c r="AF345" s="1064">
        <f>$H$345</f>
        <v>21294859</v>
      </c>
      <c r="AG345" s="51"/>
      <c r="AH345" s="51"/>
      <c r="AI345" s="904"/>
      <c r="AN345" s="1064">
        <f>$H$345</f>
        <v>21294859</v>
      </c>
      <c r="AO345" s="51"/>
      <c r="AP345" s="51"/>
      <c r="AQ345" s="904"/>
      <c r="AV345" s="1064">
        <f>$H$345</f>
        <v>21294859</v>
      </c>
      <c r="AW345" s="51"/>
      <c r="AX345" s="51"/>
      <c r="AY345" s="904"/>
      <c r="BD345" s="1064">
        <f>$H$345</f>
        <v>21294859</v>
      </c>
      <c r="BE345" s="51"/>
      <c r="BF345" s="51"/>
      <c r="BG345" s="904"/>
      <c r="BL345" s="1064">
        <f>$H$345</f>
        <v>21294859</v>
      </c>
      <c r="BM345" s="51"/>
      <c r="BN345" s="51"/>
      <c r="BO345" s="904"/>
      <c r="BT345" s="1064">
        <f>$H$345</f>
        <v>21294859</v>
      </c>
      <c r="BU345" s="51"/>
      <c r="BV345" s="51"/>
      <c r="BW345" s="904"/>
      <c r="CB345" s="1064">
        <f>$H$345</f>
        <v>21294859</v>
      </c>
      <c r="CC345" s="51"/>
      <c r="CD345" s="51"/>
      <c r="CE345" s="904"/>
      <c r="CJ345" s="1064">
        <f>$H$345</f>
        <v>21294859</v>
      </c>
      <c r="CK345" s="51"/>
      <c r="CL345" s="51"/>
      <c r="CM345" s="904"/>
      <c r="CR345" s="1064">
        <f>$H$345</f>
        <v>21294859</v>
      </c>
      <c r="CS345" s="51"/>
      <c r="CT345" s="51"/>
      <c r="CU345" s="904"/>
      <c r="CZ345" s="1064">
        <f>$H$345</f>
        <v>21294859</v>
      </c>
      <c r="DA345" s="51"/>
      <c r="DB345" s="51"/>
      <c r="DC345" s="904"/>
      <c r="DH345" s="1064">
        <f>$H$345</f>
        <v>21294859</v>
      </c>
      <c r="DI345" s="51"/>
      <c r="DJ345" s="51"/>
      <c r="DK345" s="904"/>
      <c r="DP345" s="1064">
        <f>$H$345</f>
        <v>21294859</v>
      </c>
      <c r="DQ345" s="51"/>
      <c r="DR345" s="51"/>
      <c r="DS345" s="904"/>
      <c r="DX345" s="1064">
        <f>$H$345</f>
        <v>21294859</v>
      </c>
      <c r="DY345" s="51"/>
      <c r="DZ345" s="51"/>
      <c r="EA345" s="904"/>
      <c r="EF345" s="1064">
        <f>$H$345</f>
        <v>21294859</v>
      </c>
      <c r="EG345" s="51"/>
      <c r="EH345" s="51"/>
      <c r="EI345" s="904"/>
      <c r="EN345" s="1064">
        <f>$H$345</f>
        <v>21294859</v>
      </c>
      <c r="EO345" s="51"/>
      <c r="EP345" s="51"/>
      <c r="EQ345" s="904"/>
      <c r="EV345" s="1064">
        <f>$H$345</f>
        <v>21294859</v>
      </c>
      <c r="EW345" s="51"/>
      <c r="EX345" s="51"/>
      <c r="EY345" s="904"/>
      <c r="FD345" s="1064">
        <f>$H$345</f>
        <v>21294859</v>
      </c>
      <c r="FE345" s="51"/>
      <c r="FF345" s="51"/>
      <c r="FG345" s="904"/>
      <c r="FL345" s="1064">
        <f>$H$345</f>
        <v>21294859</v>
      </c>
      <c r="FM345" s="51"/>
      <c r="FN345" s="51"/>
      <c r="FO345" s="904"/>
    </row>
    <row r="346" spans="1:171" x14ac:dyDescent="0.25">
      <c r="A346" s="228" t="s">
        <v>321</v>
      </c>
      <c r="B346" s="51"/>
      <c r="C346" s="1"/>
      <c r="D346" s="1"/>
      <c r="E346" s="1"/>
      <c r="F346" s="1"/>
      <c r="G346" s="51"/>
      <c r="H346" s="1064">
        <f>'Sch 4 - Average System Cost'!$D$40+'Sch 4 - Average System Cost'!$D$43</f>
        <v>0</v>
      </c>
      <c r="I346" s="1065" t="s">
        <v>633</v>
      </c>
      <c r="J346" s="1064">
        <v>0</v>
      </c>
      <c r="K346" s="904"/>
      <c r="P346" s="1064">
        <f>$H$346</f>
        <v>0</v>
      </c>
      <c r="Q346" s="1065" t="s">
        <v>633</v>
      </c>
      <c r="R346" s="1064">
        <v>0</v>
      </c>
      <c r="S346" s="904"/>
      <c r="X346" s="1064">
        <f>$H$346</f>
        <v>0</v>
      </c>
      <c r="Y346" s="1065" t="s">
        <v>633</v>
      </c>
      <c r="Z346" s="1064">
        <v>0</v>
      </c>
      <c r="AA346" s="904"/>
      <c r="AF346" s="1064">
        <f>$H$346</f>
        <v>0</v>
      </c>
      <c r="AG346" s="1065" t="s">
        <v>633</v>
      </c>
      <c r="AH346" s="1064">
        <v>0</v>
      </c>
      <c r="AI346" s="904"/>
      <c r="AN346" s="1064">
        <f>$H$346</f>
        <v>0</v>
      </c>
      <c r="AO346" s="1065" t="s">
        <v>633</v>
      </c>
      <c r="AP346" s="1064">
        <v>0</v>
      </c>
      <c r="AQ346" s="904"/>
      <c r="AV346" s="1064">
        <f>$H$346</f>
        <v>0</v>
      </c>
      <c r="AW346" s="1065" t="s">
        <v>633</v>
      </c>
      <c r="AX346" s="1064">
        <v>0</v>
      </c>
      <c r="AY346" s="904"/>
      <c r="BD346" s="1064">
        <f>$H$346</f>
        <v>0</v>
      </c>
      <c r="BE346" s="1065" t="s">
        <v>633</v>
      </c>
      <c r="BF346" s="1064">
        <v>0</v>
      </c>
      <c r="BG346" s="904"/>
      <c r="BL346" s="1064">
        <f>$H$346</f>
        <v>0</v>
      </c>
      <c r="BM346" s="1065" t="s">
        <v>633</v>
      </c>
      <c r="BN346" s="1064">
        <v>0</v>
      </c>
      <c r="BO346" s="904"/>
      <c r="BT346" s="1064">
        <f>$H$346</f>
        <v>0</v>
      </c>
      <c r="BU346" s="1065" t="s">
        <v>633</v>
      </c>
      <c r="BV346" s="1064">
        <v>0</v>
      </c>
      <c r="BW346" s="904"/>
      <c r="CB346" s="1064">
        <f>$H$346</f>
        <v>0</v>
      </c>
      <c r="CC346" s="1065" t="s">
        <v>633</v>
      </c>
      <c r="CD346" s="1064">
        <v>0</v>
      </c>
      <c r="CE346" s="904"/>
      <c r="CJ346" s="1064">
        <f>$H$346</f>
        <v>0</v>
      </c>
      <c r="CK346" s="1065" t="s">
        <v>633</v>
      </c>
      <c r="CL346" s="1064">
        <v>0</v>
      </c>
      <c r="CM346" s="904"/>
      <c r="CR346" s="1064">
        <f>$H$346</f>
        <v>0</v>
      </c>
      <c r="CS346" s="1065" t="s">
        <v>633</v>
      </c>
      <c r="CT346" s="1064">
        <v>0</v>
      </c>
      <c r="CU346" s="904"/>
      <c r="CZ346" s="1064">
        <f>$H$346</f>
        <v>0</v>
      </c>
      <c r="DA346" s="1065" t="s">
        <v>633</v>
      </c>
      <c r="DB346" s="1064">
        <v>0</v>
      </c>
      <c r="DC346" s="904"/>
      <c r="DH346" s="1064">
        <f>$H$346</f>
        <v>0</v>
      </c>
      <c r="DI346" s="1065" t="s">
        <v>633</v>
      </c>
      <c r="DJ346" s="1064">
        <v>0</v>
      </c>
      <c r="DK346" s="904"/>
      <c r="DP346" s="1064">
        <f>$H$346</f>
        <v>0</v>
      </c>
      <c r="DQ346" s="1065" t="s">
        <v>633</v>
      </c>
      <c r="DR346" s="1064">
        <v>0</v>
      </c>
      <c r="DS346" s="904"/>
      <c r="DX346" s="1064">
        <f>$H$346</f>
        <v>0</v>
      </c>
      <c r="DY346" s="1065" t="s">
        <v>633</v>
      </c>
      <c r="DZ346" s="1064">
        <v>0</v>
      </c>
      <c r="EA346" s="904"/>
      <c r="EF346" s="1064">
        <f>$H$346</f>
        <v>0</v>
      </c>
      <c r="EG346" s="1065" t="s">
        <v>633</v>
      </c>
      <c r="EH346" s="1064">
        <v>0</v>
      </c>
      <c r="EI346" s="904"/>
      <c r="EN346" s="1064">
        <f>$H$346</f>
        <v>0</v>
      </c>
      <c r="EO346" s="1065" t="s">
        <v>633</v>
      </c>
      <c r="EP346" s="1064">
        <v>0</v>
      </c>
      <c r="EQ346" s="904"/>
      <c r="EV346" s="1064">
        <f>$H$346</f>
        <v>0</v>
      </c>
      <c r="EW346" s="1065" t="s">
        <v>633</v>
      </c>
      <c r="EX346" s="1064">
        <v>0</v>
      </c>
      <c r="EY346" s="904"/>
      <c r="FD346" s="1064">
        <f>$H$346</f>
        <v>0</v>
      </c>
      <c r="FE346" s="1065" t="s">
        <v>633</v>
      </c>
      <c r="FF346" s="1064">
        <v>0</v>
      </c>
      <c r="FG346" s="904"/>
      <c r="FL346" s="1064">
        <f>$H$346</f>
        <v>0</v>
      </c>
      <c r="FM346" s="1065" t="s">
        <v>633</v>
      </c>
      <c r="FN346" s="1064">
        <v>0</v>
      </c>
      <c r="FO346" s="904"/>
    </row>
    <row r="347" spans="1:171" x14ac:dyDescent="0.25">
      <c r="A347" s="228" t="s">
        <v>510</v>
      </c>
      <c r="B347" s="51"/>
      <c r="C347" s="1"/>
      <c r="D347" s="1"/>
      <c r="E347" s="1"/>
      <c r="F347" s="1071"/>
      <c r="G347" s="51"/>
      <c r="H347" s="1068">
        <f>H345-H346</f>
        <v>21294859</v>
      </c>
      <c r="I347" s="51"/>
      <c r="J347" s="51"/>
      <c r="K347" s="904"/>
      <c r="P347" s="1068">
        <f>P345-P346</f>
        <v>21294859</v>
      </c>
      <c r="Q347" s="51"/>
      <c r="R347" s="51"/>
      <c r="S347" s="904"/>
      <c r="X347" s="1068">
        <f>X345-X346</f>
        <v>21294859</v>
      </c>
      <c r="Y347" s="51"/>
      <c r="Z347" s="51"/>
      <c r="AA347" s="904"/>
      <c r="AF347" s="1068">
        <f>AF345-AF346</f>
        <v>21294859</v>
      </c>
      <c r="AG347" s="51"/>
      <c r="AH347" s="51"/>
      <c r="AI347" s="904"/>
      <c r="AN347" s="1068">
        <f>AN345-AN346</f>
        <v>21294859</v>
      </c>
      <c r="AO347" s="51"/>
      <c r="AP347" s="51"/>
      <c r="AQ347" s="904"/>
      <c r="AV347" s="1068">
        <f>AV345-AV346</f>
        <v>21294859</v>
      </c>
      <c r="AW347" s="51"/>
      <c r="AX347" s="51"/>
      <c r="AY347" s="904"/>
      <c r="BD347" s="1068">
        <f>BD345-BD346</f>
        <v>21294859</v>
      </c>
      <c r="BE347" s="51"/>
      <c r="BF347" s="51"/>
      <c r="BG347" s="904"/>
      <c r="BL347" s="1068">
        <f>BL345-BL346</f>
        <v>21294859</v>
      </c>
      <c r="BM347" s="51"/>
      <c r="BN347" s="51"/>
      <c r="BO347" s="904"/>
      <c r="BT347" s="1068">
        <f>BT345-BT346</f>
        <v>21294859</v>
      </c>
      <c r="BU347" s="51"/>
      <c r="BV347" s="51"/>
      <c r="BW347" s="904"/>
      <c r="CB347" s="1068">
        <f>CB345-CB346</f>
        <v>21294859</v>
      </c>
      <c r="CC347" s="51"/>
      <c r="CD347" s="51"/>
      <c r="CE347" s="904"/>
      <c r="CJ347" s="1068">
        <f>CJ345-CJ346</f>
        <v>21294859</v>
      </c>
      <c r="CK347" s="51"/>
      <c r="CL347" s="51"/>
      <c r="CM347" s="904"/>
      <c r="CR347" s="1068">
        <f>CR345-CR346</f>
        <v>21294859</v>
      </c>
      <c r="CS347" s="51"/>
      <c r="CT347" s="51"/>
      <c r="CU347" s="904"/>
      <c r="CZ347" s="1068">
        <f>CZ345-CZ346</f>
        <v>21294859</v>
      </c>
      <c r="DA347" s="51"/>
      <c r="DB347" s="51"/>
      <c r="DC347" s="904"/>
      <c r="DH347" s="1068">
        <f>DH345-DH346</f>
        <v>21294859</v>
      </c>
      <c r="DI347" s="51"/>
      <c r="DJ347" s="51"/>
      <c r="DK347" s="904"/>
      <c r="DP347" s="1068">
        <f>DP345-DP346</f>
        <v>21294859</v>
      </c>
      <c r="DQ347" s="51"/>
      <c r="DR347" s="51"/>
      <c r="DS347" s="904"/>
      <c r="DX347" s="1068">
        <f>DX345-DX346</f>
        <v>21294859</v>
      </c>
      <c r="DY347" s="51"/>
      <c r="DZ347" s="51"/>
      <c r="EA347" s="904"/>
      <c r="EF347" s="1068">
        <f>EF345-EF346</f>
        <v>21294859</v>
      </c>
      <c r="EG347" s="51"/>
      <c r="EH347" s="51"/>
      <c r="EI347" s="904"/>
      <c r="EN347" s="1068">
        <f>EN345-EN346</f>
        <v>21294859</v>
      </c>
      <c r="EO347" s="51"/>
      <c r="EP347" s="51"/>
      <c r="EQ347" s="904"/>
      <c r="EV347" s="1068">
        <f>EV345-EV346</f>
        <v>21294859</v>
      </c>
      <c r="EW347" s="51"/>
      <c r="EX347" s="51"/>
      <c r="EY347" s="904"/>
      <c r="FD347" s="1068">
        <f>FD345-FD346</f>
        <v>21294859</v>
      </c>
      <c r="FE347" s="51"/>
      <c r="FF347" s="51"/>
      <c r="FG347" s="904"/>
      <c r="FL347" s="1068">
        <f>FL345-FL346</f>
        <v>21294859</v>
      </c>
      <c r="FM347" s="51"/>
      <c r="FN347" s="51"/>
      <c r="FO347" s="904"/>
    </row>
    <row r="348" spans="1:171" x14ac:dyDescent="0.25">
      <c r="A348" s="228" t="s">
        <v>634</v>
      </c>
      <c r="B348" s="51"/>
      <c r="C348" s="1"/>
      <c r="D348" s="1"/>
      <c r="E348" s="1"/>
      <c r="F348" s="1"/>
      <c r="G348" s="51"/>
      <c r="H348" s="1064">
        <f>'Sch 4 - Average System Cost'!$D$42</f>
        <v>1007459.77929</v>
      </c>
      <c r="I348" s="51"/>
      <c r="J348" s="51"/>
      <c r="K348" s="904"/>
      <c r="P348" s="1293">
        <f>$H$348</f>
        <v>1007459.77929</v>
      </c>
      <c r="Q348" s="51"/>
      <c r="R348" s="51"/>
      <c r="S348" s="904"/>
      <c r="X348" s="1293">
        <f>$H$348</f>
        <v>1007459.77929</v>
      </c>
      <c r="Y348" s="51"/>
      <c r="Z348" s="51"/>
      <c r="AA348" s="904"/>
      <c r="AF348" s="1293">
        <f>$H$348</f>
        <v>1007459.77929</v>
      </c>
      <c r="AG348" s="51"/>
      <c r="AH348" s="51"/>
      <c r="AI348" s="904"/>
      <c r="AN348" s="1293">
        <f>$H$348</f>
        <v>1007459.77929</v>
      </c>
      <c r="AO348" s="51"/>
      <c r="AP348" s="51"/>
      <c r="AQ348" s="904"/>
      <c r="AV348" s="1293">
        <f>$H$348</f>
        <v>1007459.77929</v>
      </c>
      <c r="AW348" s="51"/>
      <c r="AX348" s="51"/>
      <c r="AY348" s="904"/>
      <c r="BD348" s="1293">
        <f>$H$348</f>
        <v>1007459.77929</v>
      </c>
      <c r="BE348" s="51"/>
      <c r="BF348" s="51"/>
      <c r="BG348" s="904"/>
      <c r="BL348" s="1293">
        <f>$H$348</f>
        <v>1007459.77929</v>
      </c>
      <c r="BM348" s="51"/>
      <c r="BN348" s="51"/>
      <c r="BO348" s="904"/>
      <c r="BT348" s="1293">
        <f>$H$348</f>
        <v>1007459.77929</v>
      </c>
      <c r="BU348" s="51"/>
      <c r="BV348" s="51"/>
      <c r="BW348" s="904"/>
      <c r="CB348" s="1293">
        <f>$H$348</f>
        <v>1007459.77929</v>
      </c>
      <c r="CC348" s="51"/>
      <c r="CD348" s="51"/>
      <c r="CE348" s="904"/>
      <c r="CJ348" s="1293">
        <f>$H$348</f>
        <v>1007459.77929</v>
      </c>
      <c r="CK348" s="51"/>
      <c r="CL348" s="51"/>
      <c r="CM348" s="904"/>
      <c r="CR348" s="1293">
        <f>$H$348</f>
        <v>1007459.77929</v>
      </c>
      <c r="CS348" s="51"/>
      <c r="CT348" s="51"/>
      <c r="CU348" s="904"/>
      <c r="CZ348" s="1293">
        <f>$H$348</f>
        <v>1007459.77929</v>
      </c>
      <c r="DA348" s="51"/>
      <c r="DB348" s="51"/>
      <c r="DC348" s="904"/>
      <c r="DH348" s="1293">
        <f>$H$348</f>
        <v>1007459.77929</v>
      </c>
      <c r="DI348" s="51"/>
      <c r="DJ348" s="51"/>
      <c r="DK348" s="904"/>
      <c r="DP348" s="1293">
        <f>$H$348</f>
        <v>1007459.77929</v>
      </c>
      <c r="DQ348" s="51"/>
      <c r="DR348" s="51"/>
      <c r="DS348" s="904"/>
      <c r="DX348" s="1293">
        <f>$H$348</f>
        <v>1007459.77929</v>
      </c>
      <c r="DY348" s="51"/>
      <c r="DZ348" s="51"/>
      <c r="EA348" s="904"/>
      <c r="EF348" s="1293">
        <f>$H$348</f>
        <v>1007459.77929</v>
      </c>
      <c r="EG348" s="51"/>
      <c r="EH348" s="51"/>
      <c r="EI348" s="904"/>
      <c r="EN348" s="1293">
        <f>$H$348</f>
        <v>1007459.77929</v>
      </c>
      <c r="EO348" s="51"/>
      <c r="EP348" s="51"/>
      <c r="EQ348" s="904"/>
      <c r="EV348" s="1293">
        <f>$H$348</f>
        <v>1007459.77929</v>
      </c>
      <c r="EW348" s="51"/>
      <c r="EX348" s="51"/>
      <c r="EY348" s="904"/>
      <c r="FD348" s="1293">
        <f>$H$348</f>
        <v>1007459.77929</v>
      </c>
      <c r="FE348" s="51"/>
      <c r="FF348" s="51"/>
      <c r="FG348" s="904"/>
      <c r="FL348" s="1293">
        <f>$H$348</f>
        <v>1007459.77929</v>
      </c>
      <c r="FM348" s="51"/>
      <c r="FN348" s="51"/>
      <c r="FO348" s="904"/>
    </row>
    <row r="349" spans="1:171" x14ac:dyDescent="0.25">
      <c r="A349" s="160" t="s">
        <v>508</v>
      </c>
      <c r="B349" s="51"/>
      <c r="C349" s="1"/>
      <c r="D349" s="1"/>
      <c r="E349" s="1"/>
      <c r="F349" s="1"/>
      <c r="G349" s="51"/>
      <c r="H349" s="1250">
        <f>H347+H348</f>
        <v>22302318.779289998</v>
      </c>
      <c r="I349" s="51"/>
      <c r="J349" s="51"/>
      <c r="K349" s="904"/>
      <c r="P349" s="1250">
        <f>P347+P348</f>
        <v>22302318.779289998</v>
      </c>
      <c r="Q349" s="51"/>
      <c r="R349" s="51"/>
      <c r="S349" s="904"/>
      <c r="X349" s="1250">
        <f>X347+X348</f>
        <v>22302318.779289998</v>
      </c>
      <c r="Y349" s="51"/>
      <c r="Z349" s="51"/>
      <c r="AA349" s="904"/>
      <c r="AF349" s="1250">
        <f>AF347+AF348</f>
        <v>22302318.779289998</v>
      </c>
      <c r="AG349" s="51"/>
      <c r="AH349" s="51"/>
      <c r="AI349" s="904"/>
      <c r="AN349" s="1250">
        <f>AN347+AN348</f>
        <v>22302318.779289998</v>
      </c>
      <c r="AO349" s="51"/>
      <c r="AP349" s="51"/>
      <c r="AQ349" s="904"/>
      <c r="AV349" s="1250">
        <f>AV347+AV348</f>
        <v>22302318.779289998</v>
      </c>
      <c r="AW349" s="51"/>
      <c r="AX349" s="51"/>
      <c r="AY349" s="904"/>
      <c r="BD349" s="1250">
        <f>BD347+BD348</f>
        <v>22302318.779289998</v>
      </c>
      <c r="BE349" s="51"/>
      <c r="BF349" s="51"/>
      <c r="BG349" s="904"/>
      <c r="BL349" s="1250">
        <f>BL347+BL348</f>
        <v>22302318.779289998</v>
      </c>
      <c r="BM349" s="51"/>
      <c r="BN349" s="51"/>
      <c r="BO349" s="904"/>
      <c r="BT349" s="1250">
        <f>BT347+BT348</f>
        <v>22302318.779289998</v>
      </c>
      <c r="BU349" s="51"/>
      <c r="BV349" s="51"/>
      <c r="BW349" s="904"/>
      <c r="CB349" s="1250">
        <f>CB347+CB348</f>
        <v>22302318.779289998</v>
      </c>
      <c r="CC349" s="51"/>
      <c r="CD349" s="51"/>
      <c r="CE349" s="904"/>
      <c r="CJ349" s="1250">
        <f>CJ347+CJ348</f>
        <v>22302318.779289998</v>
      </c>
      <c r="CK349" s="51"/>
      <c r="CL349" s="51"/>
      <c r="CM349" s="904"/>
      <c r="CR349" s="1250">
        <f>CR347+CR348</f>
        <v>22302318.779289998</v>
      </c>
      <c r="CS349" s="51"/>
      <c r="CT349" s="51"/>
      <c r="CU349" s="904"/>
      <c r="CZ349" s="1250">
        <f>CZ347+CZ348</f>
        <v>22302318.779289998</v>
      </c>
      <c r="DA349" s="51"/>
      <c r="DB349" s="51"/>
      <c r="DC349" s="904"/>
      <c r="DH349" s="1250">
        <f>DH347+DH348</f>
        <v>22302318.779289998</v>
      </c>
      <c r="DI349" s="51"/>
      <c r="DJ349" s="51"/>
      <c r="DK349" s="904"/>
      <c r="DP349" s="1250">
        <f>DP347+DP348</f>
        <v>22302318.779289998</v>
      </c>
      <c r="DQ349" s="51"/>
      <c r="DR349" s="51"/>
      <c r="DS349" s="904"/>
      <c r="DX349" s="1250">
        <f>DX347+DX348</f>
        <v>22302318.779289998</v>
      </c>
      <c r="DY349" s="51"/>
      <c r="DZ349" s="51"/>
      <c r="EA349" s="904"/>
      <c r="EF349" s="1250">
        <f>EF347+EF348</f>
        <v>22302318.779289998</v>
      </c>
      <c r="EG349" s="51"/>
      <c r="EH349" s="51"/>
      <c r="EI349" s="904"/>
      <c r="EN349" s="1250">
        <f>EN347+EN348</f>
        <v>22302318.779289998</v>
      </c>
      <c r="EO349" s="51"/>
      <c r="EP349" s="51"/>
      <c r="EQ349" s="904"/>
      <c r="EV349" s="1250">
        <f>EV347+EV348</f>
        <v>22302318.779289998</v>
      </c>
      <c r="EW349" s="51"/>
      <c r="EX349" s="51"/>
      <c r="EY349" s="904"/>
      <c r="FD349" s="1250">
        <f>FD347+FD348</f>
        <v>22302318.779289998</v>
      </c>
      <c r="FE349" s="51"/>
      <c r="FF349" s="51"/>
      <c r="FG349" s="904"/>
      <c r="FL349" s="1250">
        <f>FL347+FL348</f>
        <v>22302318.779289998</v>
      </c>
      <c r="FM349" s="51"/>
      <c r="FN349" s="51"/>
      <c r="FO349" s="904"/>
    </row>
    <row r="350" spans="1:171" ht="16.5" thickBot="1" x14ac:dyDescent="0.3">
      <c r="A350" s="228"/>
      <c r="B350" s="51"/>
      <c r="C350" s="1"/>
      <c r="D350" s="1"/>
      <c r="E350" s="1"/>
      <c r="F350" s="1"/>
      <c r="G350" s="51"/>
      <c r="H350" s="56"/>
      <c r="I350" s="51"/>
      <c r="J350" s="51"/>
      <c r="K350" s="904"/>
      <c r="P350" s="56"/>
      <c r="Q350" s="51"/>
      <c r="R350" s="51"/>
      <c r="S350" s="904"/>
      <c r="X350" s="56"/>
      <c r="Y350" s="51"/>
      <c r="Z350" s="51"/>
      <c r="AA350" s="904"/>
      <c r="AF350" s="56"/>
      <c r="AG350" s="51"/>
      <c r="AH350" s="51"/>
      <c r="AI350" s="904"/>
      <c r="AN350" s="56"/>
      <c r="AO350" s="51"/>
      <c r="AP350" s="51"/>
      <c r="AQ350" s="904"/>
      <c r="AV350" s="56"/>
      <c r="AW350" s="51"/>
      <c r="AX350" s="51"/>
      <c r="AY350" s="904"/>
      <c r="BD350" s="56"/>
      <c r="BE350" s="51"/>
      <c r="BF350" s="51"/>
      <c r="BG350" s="904"/>
      <c r="BL350" s="56"/>
      <c r="BM350" s="51"/>
      <c r="BN350" s="51"/>
      <c r="BO350" s="904"/>
      <c r="BT350" s="56"/>
      <c r="BU350" s="51"/>
      <c r="BV350" s="51"/>
      <c r="BW350" s="904"/>
      <c r="CB350" s="56"/>
      <c r="CC350" s="51"/>
      <c r="CD350" s="51"/>
      <c r="CE350" s="904"/>
      <c r="CJ350" s="56"/>
      <c r="CK350" s="51"/>
      <c r="CL350" s="51"/>
      <c r="CM350" s="904"/>
      <c r="CR350" s="56"/>
      <c r="CS350" s="51"/>
      <c r="CT350" s="51"/>
      <c r="CU350" s="904"/>
      <c r="CZ350" s="56"/>
      <c r="DA350" s="51"/>
      <c r="DB350" s="51"/>
      <c r="DC350" s="904"/>
      <c r="DH350" s="56"/>
      <c r="DI350" s="51"/>
      <c r="DJ350" s="51"/>
      <c r="DK350" s="904"/>
      <c r="DP350" s="56"/>
      <c r="DQ350" s="51"/>
      <c r="DR350" s="51"/>
      <c r="DS350" s="904"/>
      <c r="DX350" s="56"/>
      <c r="DY350" s="51"/>
      <c r="DZ350" s="51"/>
      <c r="EA350" s="904"/>
      <c r="EF350" s="56"/>
      <c r="EG350" s="51"/>
      <c r="EH350" s="51"/>
      <c r="EI350" s="904"/>
      <c r="EN350" s="56"/>
      <c r="EO350" s="51"/>
      <c r="EP350" s="51"/>
      <c r="EQ350" s="904"/>
      <c r="EV350" s="56"/>
      <c r="EW350" s="51"/>
      <c r="EX350" s="51"/>
      <c r="EY350" s="904"/>
      <c r="FD350" s="56"/>
      <c r="FE350" s="51"/>
      <c r="FF350" s="51"/>
      <c r="FG350" s="904"/>
      <c r="FL350" s="56"/>
      <c r="FM350" s="51"/>
      <c r="FN350" s="51"/>
      <c r="FO350" s="904"/>
    </row>
    <row r="351" spans="1:171" ht="17.25" thickTop="1" thickBot="1" x14ac:dyDescent="0.3">
      <c r="A351" s="1062" t="s">
        <v>322</v>
      </c>
      <c r="B351" s="1063"/>
      <c r="C351" s="1"/>
      <c r="D351" s="1"/>
      <c r="E351" s="1"/>
      <c r="F351" s="1"/>
      <c r="G351" s="51"/>
      <c r="H351" s="1251">
        <f>H342/H349</f>
        <v>116.18284112624482</v>
      </c>
      <c r="I351" s="51"/>
      <c r="J351" s="51"/>
      <c r="K351" s="904"/>
      <c r="L351" s="1294" t="s">
        <v>322</v>
      </c>
      <c r="P351" s="1070">
        <f>P342/P349</f>
        <v>129.01578323765182</v>
      </c>
      <c r="Q351" s="51"/>
      <c r="R351" s="51"/>
      <c r="S351" s="904"/>
      <c r="T351" s="1294" t="s">
        <v>322</v>
      </c>
      <c r="X351" s="1070">
        <f>X342/X349</f>
        <v>129.01578323765182</v>
      </c>
      <c r="Y351" s="51"/>
      <c r="Z351" s="51"/>
      <c r="AA351" s="904"/>
      <c r="AB351" s="1294" t="s">
        <v>322</v>
      </c>
      <c r="AF351" s="1070">
        <f>AF342/AF349</f>
        <v>129.01578323765182</v>
      </c>
      <c r="AG351" s="51"/>
      <c r="AH351" s="51"/>
      <c r="AI351" s="904"/>
      <c r="AJ351" s="1294" t="s">
        <v>322</v>
      </c>
      <c r="AN351" s="1070">
        <f>AN342/AN349</f>
        <v>129.01578323765182</v>
      </c>
      <c r="AO351" s="51"/>
      <c r="AP351" s="51"/>
      <c r="AQ351" s="904"/>
      <c r="AR351" s="1294" t="s">
        <v>322</v>
      </c>
      <c r="AV351" s="1070">
        <f>AV342/AV349</f>
        <v>129.01578323765182</v>
      </c>
      <c r="AW351" s="51"/>
      <c r="AX351" s="51"/>
      <c r="AY351" s="904"/>
      <c r="AZ351" s="1294" t="s">
        <v>322</v>
      </c>
      <c r="BD351" s="1070">
        <f>BD342/BD349</f>
        <v>129.01578323765182</v>
      </c>
      <c r="BE351" s="51"/>
      <c r="BF351" s="51"/>
      <c r="BG351" s="904"/>
      <c r="BH351" s="1294" t="s">
        <v>322</v>
      </c>
      <c r="BL351" s="1070">
        <f>BL342/BL349</f>
        <v>129.01578323765182</v>
      </c>
      <c r="BM351" s="51"/>
      <c r="BN351" s="51"/>
      <c r="BO351" s="904"/>
      <c r="BP351" s="1294" t="s">
        <v>322</v>
      </c>
      <c r="BT351" s="1070">
        <f>BT342/BT349</f>
        <v>129.01578323765182</v>
      </c>
      <c r="BU351" s="51"/>
      <c r="BV351" s="51"/>
      <c r="BW351" s="904"/>
      <c r="BX351" s="1294" t="s">
        <v>322</v>
      </c>
      <c r="CB351" s="1070">
        <f>CB342/CB349</f>
        <v>129.01578323765182</v>
      </c>
      <c r="CC351" s="51"/>
      <c r="CD351" s="51"/>
      <c r="CE351" s="904"/>
      <c r="CF351" s="1294" t="s">
        <v>322</v>
      </c>
      <c r="CJ351" s="1070">
        <f>CJ342/CJ349</f>
        <v>129.01578323765182</v>
      </c>
      <c r="CK351" s="51"/>
      <c r="CL351" s="51"/>
      <c r="CM351" s="904"/>
      <c r="CN351" s="1294" t="s">
        <v>322</v>
      </c>
      <c r="CO351" s="603"/>
      <c r="CR351" s="1070">
        <f>CR342/CR349</f>
        <v>129.01578323765182</v>
      </c>
      <c r="CS351" s="51"/>
      <c r="CT351" s="51"/>
      <c r="CU351" s="904"/>
      <c r="CV351" s="1294" t="s">
        <v>322</v>
      </c>
      <c r="CZ351" s="1070">
        <f>CZ342/CZ349</f>
        <v>129.01578323765182</v>
      </c>
      <c r="DA351" s="51"/>
      <c r="DB351" s="51"/>
      <c r="DC351" s="904"/>
      <c r="DD351" s="1294" t="s">
        <v>322</v>
      </c>
      <c r="DH351" s="1070">
        <f>DH342/DH349</f>
        <v>129.01578323765182</v>
      </c>
      <c r="DI351" s="51"/>
      <c r="DJ351" s="51"/>
      <c r="DK351" s="904"/>
      <c r="DL351" s="1294" t="s">
        <v>322</v>
      </c>
      <c r="DP351" s="1070">
        <f>DP342/DP349</f>
        <v>129.01578323765182</v>
      </c>
      <c r="DQ351" s="51"/>
      <c r="DR351" s="51"/>
      <c r="DS351" s="904"/>
      <c r="DT351" s="1294" t="s">
        <v>322</v>
      </c>
      <c r="DX351" s="1070">
        <f>DX342/DX349</f>
        <v>129.01578323765182</v>
      </c>
      <c r="DY351" s="51"/>
      <c r="DZ351" s="51"/>
      <c r="EA351" s="904"/>
      <c r="EB351" s="1294" t="s">
        <v>322</v>
      </c>
      <c r="EF351" s="1070">
        <f>EF342/EF349</f>
        <v>129.01578323765182</v>
      </c>
      <c r="EG351" s="51"/>
      <c r="EH351" s="51"/>
      <c r="EI351" s="904"/>
      <c r="EJ351" s="1294" t="s">
        <v>322</v>
      </c>
      <c r="EN351" s="1070">
        <f>EN342/EN349</f>
        <v>129.01578323765182</v>
      </c>
      <c r="EO351" s="51"/>
      <c r="EP351" s="51"/>
      <c r="EQ351" s="904"/>
      <c r="ER351" s="1294" t="s">
        <v>322</v>
      </c>
      <c r="EV351" s="1070">
        <f>EV342/EV349</f>
        <v>129.01578323765182</v>
      </c>
      <c r="EW351" s="51"/>
      <c r="EX351" s="51"/>
      <c r="EY351" s="904"/>
      <c r="EZ351" s="1294" t="s">
        <v>322</v>
      </c>
      <c r="FD351" s="1070">
        <f>FD342/FD349</f>
        <v>129.01578323765182</v>
      </c>
      <c r="FE351" s="51"/>
      <c r="FF351" s="51"/>
      <c r="FG351" s="904"/>
      <c r="FH351" s="1294" t="s">
        <v>322</v>
      </c>
      <c r="FL351" s="1070">
        <f>FL342/FL349</f>
        <v>129.01578323765182</v>
      </c>
      <c r="FM351" s="51"/>
      <c r="FN351" s="51"/>
      <c r="FO351" s="904"/>
    </row>
    <row r="352" spans="1:171" ht="17.25" thickTop="1" thickBot="1" x14ac:dyDescent="0.3">
      <c r="A352" s="1"/>
      <c r="B352" s="1"/>
      <c r="C352" s="1"/>
      <c r="D352" s="1"/>
      <c r="E352" s="1"/>
      <c r="F352" s="1"/>
      <c r="G352" s="1"/>
      <c r="H352" s="1"/>
      <c r="I352" s="1"/>
      <c r="J352" s="1"/>
      <c r="K352" s="904"/>
      <c r="L352" s="1294" t="s">
        <v>683</v>
      </c>
      <c r="P352" s="1157">
        <f>(P351-$H351)/$H$351</f>
        <v>0.11045471075597693</v>
      </c>
      <c r="S352" s="904"/>
      <c r="T352" s="1294" t="s">
        <v>683</v>
      </c>
      <c r="X352" s="1157">
        <f>(X351-$H351)/$H$351</f>
        <v>0.11045471075597693</v>
      </c>
      <c r="AA352" s="904"/>
      <c r="AB352" s="1294" t="s">
        <v>683</v>
      </c>
      <c r="AF352" s="1157">
        <f>(AF351-$H351)/$H$351</f>
        <v>0.11045471075597693</v>
      </c>
      <c r="AI352" s="904"/>
      <c r="AJ352" s="1294" t="s">
        <v>683</v>
      </c>
      <c r="AN352" s="1157">
        <f>(AN351-$H351)/$H$351</f>
        <v>0.11045471075597693</v>
      </c>
      <c r="AQ352" s="904"/>
      <c r="AR352" s="1294" t="s">
        <v>683</v>
      </c>
      <c r="AV352" s="1157">
        <f>(AV351-$H351)/$H$351</f>
        <v>0.11045471075597693</v>
      </c>
      <c r="AY352" s="904"/>
      <c r="AZ352" s="1294" t="s">
        <v>683</v>
      </c>
      <c r="BD352" s="1157">
        <f>(BD351-$H351)/$H$351</f>
        <v>0.11045471075597693</v>
      </c>
      <c r="BG352" s="904"/>
      <c r="BH352" s="1294" t="s">
        <v>683</v>
      </c>
      <c r="BL352" s="1157">
        <f>(BL351-$H351)/$H$351</f>
        <v>0.11045471075597693</v>
      </c>
      <c r="BO352" s="904"/>
      <c r="BP352" s="1294" t="s">
        <v>683</v>
      </c>
      <c r="BT352" s="1157">
        <f>(BT351-$H351)/$H$351</f>
        <v>0.11045471075597693</v>
      </c>
      <c r="BW352" s="904"/>
      <c r="BX352" s="1294" t="s">
        <v>683</v>
      </c>
      <c r="CB352" s="1157">
        <f>(CB351-$H351)/$H$351</f>
        <v>0.11045471075597693</v>
      </c>
      <c r="CE352" s="904"/>
      <c r="CF352" s="1294" t="s">
        <v>683</v>
      </c>
      <c r="CJ352" s="1157">
        <f>(CJ351-$H351)/$H$351</f>
        <v>0.11045471075597693</v>
      </c>
      <c r="CM352" s="904"/>
      <c r="CN352" s="1294" t="s">
        <v>683</v>
      </c>
      <c r="CO352" s="603"/>
      <c r="CR352" s="1157">
        <f>(CR351-$H351)/$H$351</f>
        <v>0.11045471075597693</v>
      </c>
      <c r="CU352" s="904"/>
      <c r="CV352" s="1294" t="s">
        <v>683</v>
      </c>
      <c r="CZ352" s="1157">
        <f>(CZ351-$H351)/$H$351</f>
        <v>0.11045471075597693</v>
      </c>
      <c r="DC352" s="904"/>
      <c r="DD352" s="1294" t="s">
        <v>683</v>
      </c>
      <c r="DH352" s="1157">
        <f>(DH351-$H351)/$H$351</f>
        <v>0.11045471075597693</v>
      </c>
      <c r="DK352" s="904"/>
      <c r="DL352" s="1294" t="s">
        <v>683</v>
      </c>
      <c r="DP352" s="1157">
        <f>(DP351-$H351)/$H$351</f>
        <v>0.11045471075597693</v>
      </c>
      <c r="DS352" s="904"/>
      <c r="DT352" s="1294" t="s">
        <v>683</v>
      </c>
      <c r="DX352" s="1157">
        <f>(DX351-$H351)/$H$351</f>
        <v>0.11045471075597693</v>
      </c>
      <c r="EA352" s="904"/>
      <c r="EB352" s="1294" t="s">
        <v>683</v>
      </c>
      <c r="EF352" s="1157">
        <f>(EF351-$H351)/$H$351</f>
        <v>0.11045471075597693</v>
      </c>
      <c r="EI352" s="904"/>
      <c r="EJ352" s="1294" t="s">
        <v>683</v>
      </c>
      <c r="EN352" s="1157">
        <f>(EN351-$H351)/$H$351</f>
        <v>0.11045471075597693</v>
      </c>
      <c r="EQ352" s="904"/>
      <c r="ER352" s="1294" t="s">
        <v>683</v>
      </c>
      <c r="EV352" s="1157">
        <f>(EV351-$H351)/$H$351</f>
        <v>0.11045471075597693</v>
      </c>
      <c r="EY352" s="904"/>
      <c r="EZ352" s="1294" t="s">
        <v>683</v>
      </c>
      <c r="FD352" s="1157">
        <f>(FD351-$H351)/$H$351</f>
        <v>0.11045471075597693</v>
      </c>
      <c r="FG352" s="904"/>
      <c r="FH352" s="1294" t="s">
        <v>683</v>
      </c>
      <c r="FL352" s="1157">
        <f>(FL351-$H351)/$H$351</f>
        <v>0.11045471075597693</v>
      </c>
      <c r="FO352" s="904"/>
    </row>
    <row r="353" spans="11:171" ht="16.5" thickTop="1" x14ac:dyDescent="0.25">
      <c r="K353" s="904"/>
      <c r="S353" s="904"/>
      <c r="AA353" s="904"/>
      <c r="AI353" s="904"/>
      <c r="AQ353" s="904"/>
      <c r="AY353" s="904"/>
      <c r="BG353" s="904"/>
      <c r="BO353" s="904"/>
      <c r="BW353" s="904"/>
      <c r="CE353" s="904"/>
      <c r="CM353" s="904"/>
      <c r="CU353" s="904"/>
      <c r="DC353" s="904"/>
      <c r="DK353" s="904"/>
      <c r="DS353" s="904"/>
      <c r="EA353" s="904"/>
      <c r="EI353" s="904"/>
      <c r="EQ353" s="904"/>
      <c r="EY353" s="904"/>
      <c r="FG353" s="904"/>
      <c r="FO353" s="904"/>
    </row>
    <row r="354" spans="11:171" x14ac:dyDescent="0.25">
      <c r="K354" s="904"/>
      <c r="P354" s="1071" t="str">
        <f>IF(P352&gt;=0.025,"Material",IF(P352&gt;0.005,"Group","Not Material"))</f>
        <v>Material</v>
      </c>
      <c r="S354" s="904"/>
      <c r="X354" s="1071" t="str">
        <f>IF(X352&gt;=0.025,"Material",IF(X352&gt;0.005,"Group","Not Material"))</f>
        <v>Material</v>
      </c>
      <c r="AA354" s="904"/>
      <c r="AF354" s="1071" t="str">
        <f>IF(AF352&gt;=0.025,"Material",IF(AF352&gt;0.005,"Group","Not Material"))</f>
        <v>Material</v>
      </c>
      <c r="AI354" s="904"/>
      <c r="AN354" s="1071" t="str">
        <f>IF(AN352&gt;=0.025,"Material",IF(AN352&gt;0.005,"Group","Not Material"))</f>
        <v>Material</v>
      </c>
      <c r="AQ354" s="904"/>
      <c r="AV354" s="1071" t="str">
        <f>IF(AV352&gt;=0.025,"Material",IF(AV352&gt;0.005,"Group","Not Material"))</f>
        <v>Material</v>
      </c>
      <c r="AY354" s="904"/>
      <c r="BD354" s="1071" t="str">
        <f>IF(BD352&gt;=0.025,"Material",IF(BD352&gt;0.005,"Group","Not Material"))</f>
        <v>Material</v>
      </c>
      <c r="BG354" s="904"/>
      <c r="BL354" s="1071" t="str">
        <f>IF(BL352&gt;=0.025,"Material",IF(BL352&gt;0.005,"Group","Not Material"))</f>
        <v>Material</v>
      </c>
      <c r="BO354" s="904"/>
      <c r="BT354" s="1071" t="str">
        <f>IF(BT352&gt;=0.025,"Material",IF(BT352&gt;0.005,"Group","Not Material"))</f>
        <v>Material</v>
      </c>
      <c r="BW354" s="904"/>
      <c r="CB354" s="1071" t="str">
        <f>IF(CB352&gt;=0.025,"Material",IF(CB352&gt;0.005,"Group","Not Material"))</f>
        <v>Material</v>
      </c>
      <c r="CE354" s="904"/>
      <c r="CJ354" s="1071" t="str">
        <f>IF(CJ352&gt;=0.025,"Material",IF(CJ352&gt;0.005,"Group","Not Material"))</f>
        <v>Material</v>
      </c>
      <c r="CM354" s="904"/>
      <c r="CR354" s="1071" t="str">
        <f>IF(CR352&gt;=0.025,"Material",IF(CR352&gt;0.005,"Group","Not Material"))</f>
        <v>Material</v>
      </c>
      <c r="CU354" s="904"/>
      <c r="CZ354" s="1071" t="str">
        <f>IF(CZ352&gt;=0.025,"Material",IF(CZ352&gt;0.005,"Group","Not Material"))</f>
        <v>Material</v>
      </c>
      <c r="DC354" s="904"/>
      <c r="DH354" s="1071" t="str">
        <f>IF(DH352&gt;=0.025,"Material",IF(DH352&gt;0.005,"Group","Not Material"))</f>
        <v>Material</v>
      </c>
      <c r="DK354" s="904"/>
      <c r="DP354" s="1071" t="str">
        <f>IF(DP352&gt;=0.025,"Material",IF(DP352&gt;0.005,"Group","Not Material"))</f>
        <v>Material</v>
      </c>
      <c r="DS354" s="904"/>
      <c r="DX354" s="1071" t="str">
        <f>IF(DX352&gt;=0.025,"Material",IF(DX352&gt;0.005,"Group","Not Material"))</f>
        <v>Material</v>
      </c>
      <c r="EA354" s="904"/>
      <c r="EF354" s="1071" t="str">
        <f>IF(EF352&gt;=0.025,"Material",IF(EF352&gt;0.005,"Group","Not Material"))</f>
        <v>Material</v>
      </c>
      <c r="EI354" s="904"/>
      <c r="EN354" s="1071" t="str">
        <f>IF(EN352&gt;=0.025,"Material",IF(EN352&gt;0.005,"Group","Not Material"))</f>
        <v>Material</v>
      </c>
      <c r="EQ354" s="904"/>
      <c r="EV354" s="1071" t="str">
        <f>IF(EV352&gt;=0.025,"Material",IF(EV352&gt;0.005,"Group","Not Material"))</f>
        <v>Material</v>
      </c>
      <c r="EY354" s="904"/>
      <c r="FD354" s="1071" t="str">
        <f>IF(FD352&gt;=0.025,"Material",IF(FD352&gt;0.005,"Group","Not Material"))</f>
        <v>Material</v>
      </c>
      <c r="FG354" s="904"/>
      <c r="FL354" s="1071" t="str">
        <f>IF(FL352&gt;=0.025,"Material",IF(FL352&gt;0.005,"Group","Not Material"))</f>
        <v>Material</v>
      </c>
      <c r="FO354" s="904"/>
    </row>
    <row r="355" spans="11:171" x14ac:dyDescent="0.25">
      <c r="K355" s="904"/>
      <c r="S355" s="904"/>
      <c r="AA355" s="904"/>
      <c r="AI355" s="904"/>
      <c r="AQ355" s="904"/>
      <c r="AY355" s="904"/>
      <c r="BG355" s="904"/>
      <c r="BO355" s="904"/>
      <c r="BW355" s="904"/>
      <c r="CE355" s="904"/>
      <c r="CM355" s="904"/>
      <c r="CU355" s="904"/>
      <c r="DC355" s="904"/>
      <c r="DK355" s="904"/>
      <c r="DS355" s="904"/>
      <c r="EA355" s="904"/>
      <c r="EI355" s="904"/>
      <c r="EQ355" s="904"/>
      <c r="EY355" s="904"/>
      <c r="FG355" s="904"/>
      <c r="FO355" s="904"/>
    </row>
    <row r="356" spans="11:171" x14ac:dyDescent="0.25">
      <c r="K356" s="904"/>
      <c r="S356" s="904"/>
      <c r="AA356" s="904"/>
      <c r="AI356" s="904"/>
      <c r="AQ356" s="904"/>
      <c r="AY356" s="904"/>
      <c r="BG356" s="904"/>
      <c r="BO356" s="904"/>
      <c r="BW356" s="904"/>
      <c r="CE356" s="904"/>
      <c r="CM356" s="904"/>
      <c r="CU356" s="904"/>
      <c r="DC356" s="904"/>
      <c r="DK356" s="904"/>
      <c r="DS356" s="904"/>
      <c r="EA356" s="904"/>
      <c r="EI356" s="904"/>
      <c r="EQ356" s="904"/>
      <c r="EY356" s="904"/>
      <c r="FG356" s="904"/>
      <c r="FO356" s="904"/>
    </row>
    <row r="357" spans="11:171" x14ac:dyDescent="0.25">
      <c r="K357" s="904"/>
      <c r="S357" s="904"/>
      <c r="AA357" s="904"/>
      <c r="AI357" s="904"/>
      <c r="AQ357" s="904"/>
      <c r="AY357" s="904"/>
      <c r="BG357" s="904"/>
      <c r="BO357" s="904"/>
      <c r="BW357" s="904"/>
      <c r="CE357" s="904"/>
      <c r="CM357" s="904"/>
      <c r="CU357" s="904"/>
      <c r="DC357" s="904"/>
      <c r="DK357" s="904"/>
      <c r="DS357" s="904"/>
      <c r="EA357" s="904"/>
      <c r="EI357" s="904"/>
      <c r="EQ357" s="904"/>
      <c r="EY357" s="904"/>
      <c r="FG357" s="904"/>
      <c r="FO357" s="904"/>
    </row>
    <row r="358" spans="11:171" x14ac:dyDescent="0.25">
      <c r="K358" s="904"/>
      <c r="S358" s="904"/>
      <c r="AA358" s="904"/>
      <c r="AI358" s="904"/>
      <c r="AQ358" s="904"/>
      <c r="AY358" s="904"/>
      <c r="BG358" s="904"/>
      <c r="BO358" s="904"/>
      <c r="BW358" s="904"/>
      <c r="CE358" s="904"/>
      <c r="CM358" s="904"/>
      <c r="CU358" s="904"/>
      <c r="DC358" s="904"/>
      <c r="DK358" s="904"/>
      <c r="DS358" s="904"/>
      <c r="EA358" s="904"/>
      <c r="EI358" s="904"/>
      <c r="EQ358" s="904"/>
      <c r="EY358" s="904"/>
      <c r="FG358" s="904"/>
      <c r="FO358" s="904"/>
    </row>
    <row r="359" spans="11:171" x14ac:dyDescent="0.25">
      <c r="K359" s="904"/>
      <c r="S359" s="904"/>
      <c r="AA359" s="904"/>
      <c r="AI359" s="904"/>
      <c r="AQ359" s="904"/>
      <c r="AY359" s="904"/>
      <c r="BG359" s="904"/>
      <c r="BO359" s="904"/>
      <c r="BW359" s="904"/>
      <c r="CE359" s="904"/>
      <c r="CM359" s="904"/>
      <c r="CU359" s="904"/>
      <c r="DC359" s="904"/>
      <c r="DK359" s="904"/>
      <c r="DS359" s="904"/>
      <c r="EA359" s="904"/>
      <c r="EI359" s="904"/>
      <c r="EQ359" s="904"/>
      <c r="EY359" s="904"/>
      <c r="FG359" s="904"/>
      <c r="FO359" s="904"/>
    </row>
    <row r="360" spans="11:171" x14ac:dyDescent="0.25">
      <c r="K360" s="904"/>
      <c r="S360" s="904"/>
      <c r="AA360" s="904"/>
      <c r="AI360" s="904"/>
      <c r="AQ360" s="904"/>
      <c r="AY360" s="904"/>
      <c r="BG360" s="904"/>
      <c r="BO360" s="904"/>
      <c r="BW360" s="904"/>
      <c r="CE360" s="904"/>
      <c r="CM360" s="904"/>
      <c r="CU360" s="904"/>
      <c r="DC360" s="904"/>
      <c r="DK360" s="904"/>
      <c r="DS360" s="904"/>
      <c r="EA360" s="904"/>
      <c r="EI360" s="904"/>
      <c r="EQ360" s="904"/>
      <c r="EY360" s="904"/>
      <c r="FG360" s="904"/>
      <c r="FO360" s="904"/>
    </row>
    <row r="361" spans="11:171" x14ac:dyDescent="0.25">
      <c r="K361" s="904"/>
      <c r="S361" s="904"/>
      <c r="AA361" s="904"/>
      <c r="AI361" s="904"/>
      <c r="AQ361" s="904"/>
      <c r="AY361" s="904"/>
      <c r="BG361" s="904"/>
      <c r="BO361" s="904"/>
      <c r="BW361" s="904"/>
      <c r="CE361" s="904"/>
      <c r="CM361" s="904"/>
      <c r="CU361" s="904"/>
      <c r="DC361" s="904"/>
      <c r="DK361" s="904"/>
      <c r="DS361" s="904"/>
      <c r="EA361" s="904"/>
      <c r="EI361" s="904"/>
      <c r="EQ361" s="904"/>
      <c r="EY361" s="904"/>
      <c r="FG361" s="904"/>
      <c r="FO361" s="904"/>
    </row>
    <row r="362" spans="11:171" x14ac:dyDescent="0.25">
      <c r="K362" s="904"/>
      <c r="S362" s="904"/>
      <c r="AA362" s="904"/>
      <c r="AI362" s="904"/>
      <c r="AQ362" s="904"/>
      <c r="AY362" s="904"/>
      <c r="BG362" s="904"/>
      <c r="BO362" s="904"/>
      <c r="BW362" s="904"/>
      <c r="CE362" s="904"/>
      <c r="CM362" s="904"/>
      <c r="CU362" s="904"/>
      <c r="DC362" s="904"/>
      <c r="DK362" s="904"/>
      <c r="DS362" s="904"/>
      <c r="EA362" s="904"/>
      <c r="EI362" s="904"/>
      <c r="EQ362" s="904"/>
      <c r="EY362" s="904"/>
      <c r="FG362" s="904"/>
      <c r="FO362" s="904"/>
    </row>
    <row r="363" spans="11:171" x14ac:dyDescent="0.25">
      <c r="K363" s="904"/>
      <c r="S363" s="904"/>
      <c r="AA363" s="904"/>
      <c r="AI363" s="904"/>
      <c r="AQ363" s="904"/>
      <c r="AY363" s="904"/>
      <c r="BG363" s="904"/>
      <c r="BO363" s="904"/>
      <c r="BW363" s="904"/>
      <c r="CE363" s="904"/>
      <c r="CM363" s="904"/>
      <c r="CU363" s="904"/>
      <c r="DC363" s="904"/>
      <c r="DK363" s="904"/>
      <c r="DS363" s="904"/>
      <c r="EA363" s="904"/>
      <c r="EI363" s="904"/>
      <c r="EQ363" s="904"/>
      <c r="EY363" s="904"/>
      <c r="FG363" s="904"/>
      <c r="FO363" s="904"/>
    </row>
    <row r="364" spans="11:171" x14ac:dyDescent="0.25">
      <c r="K364" s="904"/>
      <c r="S364" s="904"/>
      <c r="AA364" s="904"/>
      <c r="AI364" s="904"/>
      <c r="AQ364" s="904"/>
      <c r="AY364" s="904"/>
      <c r="BG364" s="904"/>
      <c r="BO364" s="904"/>
      <c r="BW364" s="904"/>
      <c r="CE364" s="904"/>
      <c r="CM364" s="904"/>
      <c r="CU364" s="904"/>
      <c r="DC364" s="904"/>
      <c r="DK364" s="904"/>
      <c r="DS364" s="904"/>
      <c r="EA364" s="904"/>
      <c r="EI364" s="904"/>
      <c r="EQ364" s="904"/>
      <c r="EY364" s="904"/>
      <c r="FG364" s="904"/>
      <c r="FO364" s="904"/>
    </row>
    <row r="365" spans="11:171" x14ac:dyDescent="0.25">
      <c r="K365" s="904"/>
      <c r="S365" s="904"/>
      <c r="AA365" s="904"/>
      <c r="AI365" s="904"/>
      <c r="AQ365" s="904"/>
      <c r="AY365" s="904"/>
      <c r="BG365" s="904"/>
      <c r="BO365" s="904"/>
      <c r="BW365" s="904"/>
      <c r="CE365" s="904"/>
      <c r="CM365" s="904"/>
      <c r="CU365" s="904"/>
      <c r="DC365" s="904"/>
      <c r="DK365" s="904"/>
      <c r="DS365" s="904"/>
      <c r="EA365" s="904"/>
      <c r="EI365" s="904"/>
      <c r="EQ365" s="904"/>
      <c r="EY365" s="904"/>
      <c r="FG365" s="904"/>
      <c r="FO365" s="904"/>
    </row>
    <row r="366" spans="11:171" x14ac:dyDescent="0.25">
      <c r="K366" s="904"/>
      <c r="S366" s="904"/>
      <c r="AA366" s="904"/>
      <c r="AI366" s="904"/>
      <c r="AQ366" s="904"/>
      <c r="AY366" s="904"/>
      <c r="BG366" s="904"/>
      <c r="BO366" s="904"/>
      <c r="BW366" s="904"/>
      <c r="CE366" s="904"/>
      <c r="CM366" s="904"/>
      <c r="CU366" s="904"/>
      <c r="DC366" s="904"/>
      <c r="DK366" s="904"/>
      <c r="DS366" s="904"/>
      <c r="EA366" s="904"/>
      <c r="EI366" s="904"/>
      <c r="EQ366" s="904"/>
      <c r="EY366" s="904"/>
      <c r="FG366" s="904"/>
      <c r="FO366" s="904"/>
    </row>
    <row r="367" spans="11:171" x14ac:dyDescent="0.25">
      <c r="K367" s="904"/>
      <c r="S367" s="904"/>
      <c r="AA367" s="904"/>
      <c r="AI367" s="904"/>
      <c r="AQ367" s="904"/>
      <c r="AY367" s="904"/>
      <c r="BG367" s="904"/>
      <c r="BO367" s="904"/>
      <c r="BW367" s="904"/>
      <c r="CE367" s="904"/>
      <c r="CM367" s="904"/>
      <c r="CU367" s="904"/>
      <c r="DC367" s="904"/>
      <c r="DK367" s="904"/>
      <c r="DS367" s="904"/>
      <c r="EA367" s="904"/>
      <c r="EI367" s="904"/>
      <c r="EQ367" s="904"/>
      <c r="EY367" s="904"/>
      <c r="FG367" s="904"/>
      <c r="FO367" s="904"/>
    </row>
    <row r="368" spans="11:171" x14ac:dyDescent="0.25">
      <c r="K368" s="904"/>
      <c r="S368" s="904"/>
      <c r="AA368" s="904"/>
      <c r="AI368" s="904"/>
      <c r="AQ368" s="904"/>
      <c r="AY368" s="904"/>
      <c r="BG368" s="904"/>
      <c r="BO368" s="904"/>
      <c r="BW368" s="904"/>
      <c r="CE368" s="904"/>
      <c r="CM368" s="904"/>
      <c r="CU368" s="904"/>
      <c r="DC368" s="904"/>
      <c r="DK368" s="904"/>
      <c r="DS368" s="904"/>
      <c r="EA368" s="904"/>
      <c r="EI368" s="904"/>
      <c r="EQ368" s="904"/>
      <c r="EY368" s="904"/>
      <c r="FG368" s="904"/>
      <c r="FO368" s="904"/>
    </row>
    <row r="369" spans="2:171" ht="18.75" x14ac:dyDescent="0.3">
      <c r="D369" s="1633"/>
      <c r="E369" s="302" t="s">
        <v>521</v>
      </c>
      <c r="G369" s="303" t="s">
        <v>104</v>
      </c>
      <c r="H369" s="303" t="s">
        <v>105</v>
      </c>
      <c r="I369" s="303" t="s">
        <v>106</v>
      </c>
      <c r="J369" s="304" t="s">
        <v>512</v>
      </c>
      <c r="K369" s="904"/>
      <c r="O369" s="303" t="s">
        <v>104</v>
      </c>
      <c r="P369" s="303" t="s">
        <v>105</v>
      </c>
      <c r="Q369" s="303" t="s">
        <v>106</v>
      </c>
      <c r="R369" s="304" t="s">
        <v>512</v>
      </c>
      <c r="S369" s="904"/>
      <c r="W369" s="303" t="s">
        <v>104</v>
      </c>
      <c r="X369" s="303" t="s">
        <v>105</v>
      </c>
      <c r="Y369" s="303" t="s">
        <v>106</v>
      </c>
      <c r="Z369" s="304" t="s">
        <v>512</v>
      </c>
      <c r="AA369" s="904"/>
      <c r="AE369" s="303" t="s">
        <v>104</v>
      </c>
      <c r="AF369" s="303" t="s">
        <v>105</v>
      </c>
      <c r="AG369" s="303" t="s">
        <v>106</v>
      </c>
      <c r="AH369" s="304" t="s">
        <v>512</v>
      </c>
      <c r="AI369" s="904"/>
      <c r="AM369" s="303" t="s">
        <v>104</v>
      </c>
      <c r="AN369" s="303" t="s">
        <v>105</v>
      </c>
      <c r="AO369" s="303" t="s">
        <v>106</v>
      </c>
      <c r="AP369" s="304" t="s">
        <v>512</v>
      </c>
      <c r="AQ369" s="904"/>
      <c r="AU369" s="303" t="s">
        <v>104</v>
      </c>
      <c r="AV369" s="303" t="s">
        <v>105</v>
      </c>
      <c r="AW369" s="303" t="s">
        <v>106</v>
      </c>
      <c r="AX369" s="304" t="s">
        <v>512</v>
      </c>
      <c r="AY369" s="904"/>
      <c r="BC369" s="303" t="s">
        <v>104</v>
      </c>
      <c r="BD369" s="303" t="s">
        <v>105</v>
      </c>
      <c r="BE369" s="303" t="s">
        <v>106</v>
      </c>
      <c r="BF369" s="304" t="s">
        <v>512</v>
      </c>
      <c r="BG369" s="904"/>
      <c r="BK369" s="303" t="s">
        <v>104</v>
      </c>
      <c r="BL369" s="303" t="s">
        <v>105</v>
      </c>
      <c r="BM369" s="303" t="s">
        <v>106</v>
      </c>
      <c r="BN369" s="304" t="s">
        <v>512</v>
      </c>
      <c r="BO369" s="904"/>
      <c r="BS369" s="303" t="s">
        <v>104</v>
      </c>
      <c r="BT369" s="303" t="s">
        <v>105</v>
      </c>
      <c r="BU369" s="303" t="s">
        <v>106</v>
      </c>
      <c r="BV369" s="304" t="s">
        <v>512</v>
      </c>
      <c r="BW369" s="904"/>
      <c r="CA369" s="303" t="s">
        <v>104</v>
      </c>
      <c r="CB369" s="303" t="s">
        <v>105</v>
      </c>
      <c r="CC369" s="303" t="s">
        <v>106</v>
      </c>
      <c r="CD369" s="304" t="s">
        <v>512</v>
      </c>
      <c r="CE369" s="904"/>
      <c r="CI369" s="303" t="s">
        <v>104</v>
      </c>
      <c r="CJ369" s="303" t="s">
        <v>105</v>
      </c>
      <c r="CK369" s="303" t="s">
        <v>106</v>
      </c>
      <c r="CL369" s="304" t="s">
        <v>512</v>
      </c>
      <c r="CM369" s="904"/>
      <c r="CQ369" s="303" t="s">
        <v>104</v>
      </c>
      <c r="CR369" s="303" t="s">
        <v>105</v>
      </c>
      <c r="CS369" s="303" t="s">
        <v>106</v>
      </c>
      <c r="CT369" s="304" t="s">
        <v>512</v>
      </c>
      <c r="CU369" s="904"/>
      <c r="CY369" s="303" t="s">
        <v>104</v>
      </c>
      <c r="CZ369" s="303" t="s">
        <v>105</v>
      </c>
      <c r="DA369" s="303" t="s">
        <v>106</v>
      </c>
      <c r="DB369" s="304" t="s">
        <v>512</v>
      </c>
      <c r="DC369" s="904"/>
      <c r="DG369" s="303" t="s">
        <v>104</v>
      </c>
      <c r="DH369" s="303" t="s">
        <v>105</v>
      </c>
      <c r="DI369" s="303" t="s">
        <v>106</v>
      </c>
      <c r="DJ369" s="304" t="s">
        <v>512</v>
      </c>
      <c r="DK369" s="904"/>
      <c r="DO369" s="303" t="s">
        <v>104</v>
      </c>
      <c r="DP369" s="303" t="s">
        <v>105</v>
      </c>
      <c r="DQ369" s="303" t="s">
        <v>106</v>
      </c>
      <c r="DR369" s="304" t="s">
        <v>512</v>
      </c>
      <c r="DS369" s="904"/>
      <c r="DW369" s="303" t="s">
        <v>104</v>
      </c>
      <c r="DX369" s="303" t="s">
        <v>105</v>
      </c>
      <c r="DY369" s="303" t="s">
        <v>106</v>
      </c>
      <c r="DZ369" s="304" t="s">
        <v>512</v>
      </c>
      <c r="EA369" s="904"/>
      <c r="EE369" s="303" t="s">
        <v>104</v>
      </c>
      <c r="EF369" s="303" t="s">
        <v>105</v>
      </c>
      <c r="EG369" s="303" t="s">
        <v>106</v>
      </c>
      <c r="EH369" s="304" t="s">
        <v>512</v>
      </c>
      <c r="EI369" s="904"/>
      <c r="EM369" s="303" t="s">
        <v>104</v>
      </c>
      <c r="EN369" s="303" t="s">
        <v>105</v>
      </c>
      <c r="EO369" s="303" t="s">
        <v>106</v>
      </c>
      <c r="EP369" s="304" t="s">
        <v>512</v>
      </c>
      <c r="EQ369" s="904"/>
      <c r="EU369" s="303" t="s">
        <v>104</v>
      </c>
      <c r="EV369" s="303" t="s">
        <v>105</v>
      </c>
      <c r="EW369" s="303" t="s">
        <v>106</v>
      </c>
      <c r="EX369" s="304" t="s">
        <v>512</v>
      </c>
      <c r="EY369" s="904"/>
      <c r="FC369" s="303" t="s">
        <v>104</v>
      </c>
      <c r="FD369" s="303" t="s">
        <v>105</v>
      </c>
      <c r="FE369" s="303" t="s">
        <v>106</v>
      </c>
      <c r="FF369" s="304" t="s">
        <v>512</v>
      </c>
      <c r="FG369" s="904"/>
      <c r="FK369" s="303" t="s">
        <v>104</v>
      </c>
      <c r="FL369" s="303" t="s">
        <v>105</v>
      </c>
      <c r="FM369" s="303" t="s">
        <v>106</v>
      </c>
      <c r="FN369" s="304" t="s">
        <v>512</v>
      </c>
      <c r="FO369" s="904"/>
    </row>
    <row r="370" spans="2:171" ht="18.75" x14ac:dyDescent="0.3">
      <c r="B370" s="1632" t="s">
        <v>517</v>
      </c>
      <c r="C370" s="108" t="s">
        <v>105</v>
      </c>
      <c r="D370" s="108"/>
      <c r="E370" s="905" t="str">
        <f>Ratios!C13</f>
        <v>PROD</v>
      </c>
      <c r="G370" s="891">
        <f>Ratios!D13</f>
        <v>143401785</v>
      </c>
      <c r="H370" s="891">
        <f>Ratios!E13</f>
        <v>143401785</v>
      </c>
      <c r="I370" s="891">
        <f>Ratios!F13</f>
        <v>0</v>
      </c>
      <c r="J370" s="891">
        <f>Ratios!G13</f>
        <v>0</v>
      </c>
      <c r="K370" s="904">
        <f t="shared" ref="K370:K376" si="953">IF($E370="DIRECT",0,1)</f>
        <v>1</v>
      </c>
      <c r="O370" s="891">
        <f t="shared" ref="O370:O376" si="954">$G370</f>
        <v>143401785</v>
      </c>
      <c r="P370" s="891">
        <f t="shared" ref="P370:P375" si="955">$H370</f>
        <v>143401785</v>
      </c>
      <c r="Q370" s="891">
        <f t="shared" ref="Q370:Q375" si="956">$I370</f>
        <v>0</v>
      </c>
      <c r="R370" s="891">
        <f t="shared" ref="R370:R375" si="957">$J370</f>
        <v>0</v>
      </c>
      <c r="S370" s="904"/>
      <c r="W370" s="891">
        <f t="shared" ref="W370:W376" si="958">$G370</f>
        <v>143401785</v>
      </c>
      <c r="X370" s="891">
        <f t="shared" ref="X370:X375" si="959">$H370</f>
        <v>143401785</v>
      </c>
      <c r="Y370" s="891">
        <f t="shared" ref="Y370:Y375" si="960">$I370</f>
        <v>0</v>
      </c>
      <c r="Z370" s="891">
        <f t="shared" ref="Z370:Z375" si="961">$J370</f>
        <v>0</v>
      </c>
      <c r="AA370" s="904"/>
      <c r="AE370" s="891">
        <f t="shared" ref="AE370:AE376" si="962">$G370</f>
        <v>143401785</v>
      </c>
      <c r="AF370" s="891">
        <f t="shared" ref="AF370:AF375" si="963">$H370</f>
        <v>143401785</v>
      </c>
      <c r="AG370" s="891">
        <f t="shared" ref="AG370:AG375" si="964">$I370</f>
        <v>0</v>
      </c>
      <c r="AH370" s="891">
        <f t="shared" ref="AH370:AH375" si="965">$J370</f>
        <v>0</v>
      </c>
      <c r="AI370" s="904"/>
      <c r="AM370" s="891">
        <f t="shared" ref="AM370:AM376" si="966">$G370</f>
        <v>143401785</v>
      </c>
      <c r="AN370" s="891">
        <f t="shared" ref="AN370:AN375" si="967">$H370</f>
        <v>143401785</v>
      </c>
      <c r="AO370" s="891">
        <f t="shared" ref="AO370:AO375" si="968">$I370</f>
        <v>0</v>
      </c>
      <c r="AP370" s="891">
        <f t="shared" ref="AP370:AP375" si="969">$J370</f>
        <v>0</v>
      </c>
      <c r="AQ370" s="904"/>
      <c r="AU370" s="891">
        <f t="shared" ref="AU370:AU376" si="970">$G370</f>
        <v>143401785</v>
      </c>
      <c r="AV370" s="891">
        <f t="shared" ref="AV370:AV375" si="971">$H370</f>
        <v>143401785</v>
      </c>
      <c r="AW370" s="891">
        <f t="shared" ref="AW370:AW375" si="972">$I370</f>
        <v>0</v>
      </c>
      <c r="AX370" s="891">
        <f t="shared" ref="AX370:AX375" si="973">$J370</f>
        <v>0</v>
      </c>
      <c r="AY370" s="904"/>
      <c r="BC370" s="891">
        <f t="shared" ref="BC370:BC376" si="974">$G370</f>
        <v>143401785</v>
      </c>
      <c r="BD370" s="891">
        <f t="shared" ref="BD370:BD375" si="975">$H370</f>
        <v>143401785</v>
      </c>
      <c r="BE370" s="891">
        <f t="shared" ref="BE370:BE375" si="976">$I370</f>
        <v>0</v>
      </c>
      <c r="BF370" s="891">
        <f t="shared" ref="BF370:BF375" si="977">$J370</f>
        <v>0</v>
      </c>
      <c r="BG370" s="904"/>
      <c r="BK370" s="891">
        <f t="shared" ref="BK370:BK376" si="978">$G370</f>
        <v>143401785</v>
      </c>
      <c r="BL370" s="891">
        <f t="shared" ref="BL370:BL375" si="979">$H370</f>
        <v>143401785</v>
      </c>
      <c r="BM370" s="891">
        <f t="shared" ref="BM370:BM375" si="980">$I370</f>
        <v>0</v>
      </c>
      <c r="BN370" s="891">
        <f t="shared" ref="BN370:BN375" si="981">$J370</f>
        <v>0</v>
      </c>
      <c r="BO370" s="904"/>
      <c r="BS370" s="891">
        <f t="shared" ref="BS370:BS376" si="982">$G370</f>
        <v>143401785</v>
      </c>
      <c r="BT370" s="891">
        <f t="shared" ref="BT370:BT375" si="983">$H370</f>
        <v>143401785</v>
      </c>
      <c r="BU370" s="891">
        <f t="shared" ref="BU370:BU375" si="984">$I370</f>
        <v>0</v>
      </c>
      <c r="BV370" s="891">
        <f t="shared" ref="BV370:BV375" si="985">$J370</f>
        <v>0</v>
      </c>
      <c r="BW370" s="904"/>
      <c r="CA370" s="891">
        <f t="shared" ref="CA370:CA376" si="986">$G370</f>
        <v>143401785</v>
      </c>
      <c r="CB370" s="891">
        <f t="shared" ref="CB370:CB375" si="987">$H370</f>
        <v>143401785</v>
      </c>
      <c r="CC370" s="891">
        <f t="shared" ref="CC370:CC375" si="988">$I370</f>
        <v>0</v>
      </c>
      <c r="CD370" s="891">
        <f t="shared" ref="CD370:CD375" si="989">$J370</f>
        <v>0</v>
      </c>
      <c r="CE370" s="904"/>
      <c r="CI370" s="891">
        <f t="shared" ref="CI370:CI376" si="990">$G370</f>
        <v>143401785</v>
      </c>
      <c r="CJ370" s="891">
        <f t="shared" ref="CJ370:CJ375" si="991">$H370</f>
        <v>143401785</v>
      </c>
      <c r="CK370" s="891">
        <f t="shared" ref="CK370:CK375" si="992">$I370</f>
        <v>0</v>
      </c>
      <c r="CL370" s="891">
        <f t="shared" ref="CL370:CL375" si="993">$J370</f>
        <v>0</v>
      </c>
      <c r="CM370" s="904"/>
      <c r="CQ370" s="891">
        <f t="shared" ref="CQ370:CQ376" si="994">$G370</f>
        <v>143401785</v>
      </c>
      <c r="CR370" s="891">
        <f t="shared" ref="CR370:CR375" si="995">$H370</f>
        <v>143401785</v>
      </c>
      <c r="CS370" s="891">
        <f t="shared" ref="CS370:CS375" si="996">$I370</f>
        <v>0</v>
      </c>
      <c r="CT370" s="891">
        <f t="shared" ref="CT370:CT375" si="997">$J370</f>
        <v>0</v>
      </c>
      <c r="CU370" s="904"/>
      <c r="CY370" s="891">
        <f t="shared" ref="CY370:CY376" si="998">$G370</f>
        <v>143401785</v>
      </c>
      <c r="CZ370" s="891">
        <f t="shared" ref="CZ370:CZ375" si="999">$H370</f>
        <v>143401785</v>
      </c>
      <c r="DA370" s="891">
        <f t="shared" ref="DA370:DA375" si="1000">$I370</f>
        <v>0</v>
      </c>
      <c r="DB370" s="891">
        <f t="shared" ref="DB370:DB375" si="1001">$J370</f>
        <v>0</v>
      </c>
      <c r="DC370" s="904"/>
      <c r="DG370" s="891">
        <f t="shared" ref="DG370:DG376" si="1002">$G370</f>
        <v>143401785</v>
      </c>
      <c r="DH370" s="891">
        <f t="shared" ref="DH370:DH375" si="1003">$H370</f>
        <v>143401785</v>
      </c>
      <c r="DI370" s="891">
        <f t="shared" ref="DI370:DI375" si="1004">$I370</f>
        <v>0</v>
      </c>
      <c r="DJ370" s="891">
        <f t="shared" ref="DJ370:DJ375" si="1005">$J370</f>
        <v>0</v>
      </c>
      <c r="DK370" s="904"/>
      <c r="DO370" s="891">
        <f t="shared" ref="DO370:DO376" si="1006">$G370</f>
        <v>143401785</v>
      </c>
      <c r="DP370" s="891">
        <f t="shared" ref="DP370:DP375" si="1007">$H370</f>
        <v>143401785</v>
      </c>
      <c r="DQ370" s="891">
        <f t="shared" ref="DQ370:DQ375" si="1008">$I370</f>
        <v>0</v>
      </c>
      <c r="DR370" s="891">
        <f t="shared" ref="DR370:DR375" si="1009">$J370</f>
        <v>0</v>
      </c>
      <c r="DS370" s="904"/>
      <c r="DW370" s="891">
        <f t="shared" ref="DW370:DW376" si="1010">$G370</f>
        <v>143401785</v>
      </c>
      <c r="DX370" s="891">
        <f t="shared" ref="DX370:DX375" si="1011">$H370</f>
        <v>143401785</v>
      </c>
      <c r="DY370" s="891">
        <f t="shared" ref="DY370:DY375" si="1012">$I370</f>
        <v>0</v>
      </c>
      <c r="DZ370" s="891">
        <f t="shared" ref="DZ370:DZ375" si="1013">$J370</f>
        <v>0</v>
      </c>
      <c r="EA370" s="904"/>
      <c r="EE370" s="891">
        <f t="shared" ref="EE370:EE376" si="1014">$G370</f>
        <v>143401785</v>
      </c>
      <c r="EF370" s="891">
        <f t="shared" ref="EF370:EF375" si="1015">$H370</f>
        <v>143401785</v>
      </c>
      <c r="EG370" s="891">
        <f t="shared" ref="EG370:EG375" si="1016">$I370</f>
        <v>0</v>
      </c>
      <c r="EH370" s="891">
        <f t="shared" ref="EH370:EH375" si="1017">$J370</f>
        <v>0</v>
      </c>
      <c r="EI370" s="904"/>
      <c r="EM370" s="891">
        <f t="shared" ref="EM370:EM376" si="1018">$G370</f>
        <v>143401785</v>
      </c>
      <c r="EN370" s="891">
        <f t="shared" ref="EN370:EN375" si="1019">$H370</f>
        <v>143401785</v>
      </c>
      <c r="EO370" s="891">
        <f t="shared" ref="EO370:EO375" si="1020">$I370</f>
        <v>0</v>
      </c>
      <c r="EP370" s="891">
        <f t="shared" ref="EP370:EP375" si="1021">$J370</f>
        <v>0</v>
      </c>
      <c r="EQ370" s="904"/>
      <c r="EU370" s="891">
        <f t="shared" ref="EU370:EU376" si="1022">$G370</f>
        <v>143401785</v>
      </c>
      <c r="EV370" s="891">
        <f t="shared" ref="EV370:EV375" si="1023">$H370</f>
        <v>143401785</v>
      </c>
      <c r="EW370" s="891">
        <f t="shared" ref="EW370:EW375" si="1024">$I370</f>
        <v>0</v>
      </c>
      <c r="EX370" s="891">
        <f t="shared" ref="EX370:EX375" si="1025">$J370</f>
        <v>0</v>
      </c>
      <c r="EY370" s="904"/>
      <c r="FC370" s="891">
        <f t="shared" ref="FC370:FC376" si="1026">$G370</f>
        <v>143401785</v>
      </c>
      <c r="FD370" s="891">
        <f t="shared" ref="FD370:FD375" si="1027">$H370</f>
        <v>143401785</v>
      </c>
      <c r="FE370" s="891">
        <f t="shared" ref="FE370:FE375" si="1028">$I370</f>
        <v>0</v>
      </c>
      <c r="FF370" s="891">
        <f t="shared" ref="FF370:FF375" si="1029">$J370</f>
        <v>0</v>
      </c>
      <c r="FG370" s="904"/>
      <c r="FK370" s="891">
        <f t="shared" ref="FK370:FK376" si="1030">$G370</f>
        <v>143401785</v>
      </c>
      <c r="FL370" s="891">
        <f t="shared" ref="FL370:FL375" si="1031">$H370</f>
        <v>143401785</v>
      </c>
      <c r="FM370" s="891">
        <f t="shared" ref="FM370:FM375" si="1032">$I370</f>
        <v>0</v>
      </c>
      <c r="FN370" s="891">
        <f t="shared" ref="FN370:FN375" si="1033">$J370</f>
        <v>0</v>
      </c>
      <c r="FO370" s="904"/>
    </row>
    <row r="371" spans="2:171" x14ac:dyDescent="0.25">
      <c r="B371" s="113"/>
      <c r="C371" s="108" t="s">
        <v>106</v>
      </c>
      <c r="D371" s="108"/>
      <c r="E371" s="905" t="str">
        <f>Ratios!C14</f>
        <v>TRANS</v>
      </c>
      <c r="G371" s="891">
        <f>Ratios!D14</f>
        <v>33170529</v>
      </c>
      <c r="H371" s="891">
        <f>Ratios!E14</f>
        <v>0</v>
      </c>
      <c r="I371" s="891">
        <f>Ratios!F14</f>
        <v>0</v>
      </c>
      <c r="J371" s="891">
        <f>Ratios!G14</f>
        <v>33170529</v>
      </c>
      <c r="K371" s="904">
        <f t="shared" si="953"/>
        <v>1</v>
      </c>
      <c r="O371" s="891">
        <f t="shared" si="954"/>
        <v>33170529</v>
      </c>
      <c r="P371" s="891">
        <f t="shared" si="955"/>
        <v>0</v>
      </c>
      <c r="Q371" s="891">
        <f t="shared" si="956"/>
        <v>0</v>
      </c>
      <c r="R371" s="891">
        <f t="shared" si="957"/>
        <v>33170529</v>
      </c>
      <c r="S371" s="904"/>
      <c r="W371" s="891">
        <f t="shared" si="958"/>
        <v>33170529</v>
      </c>
      <c r="X371" s="891">
        <f t="shared" si="959"/>
        <v>0</v>
      </c>
      <c r="Y371" s="891">
        <f t="shared" si="960"/>
        <v>0</v>
      </c>
      <c r="Z371" s="891">
        <f t="shared" si="961"/>
        <v>33170529</v>
      </c>
      <c r="AA371" s="904"/>
      <c r="AE371" s="891">
        <f t="shared" si="962"/>
        <v>33170529</v>
      </c>
      <c r="AF371" s="891">
        <f t="shared" si="963"/>
        <v>0</v>
      </c>
      <c r="AG371" s="891">
        <f t="shared" si="964"/>
        <v>0</v>
      </c>
      <c r="AH371" s="891">
        <f t="shared" si="965"/>
        <v>33170529</v>
      </c>
      <c r="AI371" s="904"/>
      <c r="AM371" s="891">
        <f t="shared" si="966"/>
        <v>33170529</v>
      </c>
      <c r="AN371" s="891">
        <f t="shared" si="967"/>
        <v>0</v>
      </c>
      <c r="AO371" s="891">
        <f t="shared" si="968"/>
        <v>0</v>
      </c>
      <c r="AP371" s="891">
        <f t="shared" si="969"/>
        <v>33170529</v>
      </c>
      <c r="AQ371" s="904"/>
      <c r="AU371" s="891">
        <f t="shared" si="970"/>
        <v>33170529</v>
      </c>
      <c r="AV371" s="891">
        <f t="shared" si="971"/>
        <v>0</v>
      </c>
      <c r="AW371" s="891">
        <f t="shared" si="972"/>
        <v>0</v>
      </c>
      <c r="AX371" s="891">
        <f t="shared" si="973"/>
        <v>33170529</v>
      </c>
      <c r="AY371" s="904"/>
      <c r="BC371" s="891">
        <f t="shared" si="974"/>
        <v>33170529</v>
      </c>
      <c r="BD371" s="891">
        <f t="shared" si="975"/>
        <v>0</v>
      </c>
      <c r="BE371" s="891">
        <f t="shared" si="976"/>
        <v>0</v>
      </c>
      <c r="BF371" s="891">
        <f t="shared" si="977"/>
        <v>33170529</v>
      </c>
      <c r="BG371" s="904"/>
      <c r="BK371" s="891">
        <f t="shared" si="978"/>
        <v>33170529</v>
      </c>
      <c r="BL371" s="891">
        <f t="shared" si="979"/>
        <v>0</v>
      </c>
      <c r="BM371" s="891">
        <f t="shared" si="980"/>
        <v>0</v>
      </c>
      <c r="BN371" s="891">
        <f t="shared" si="981"/>
        <v>33170529</v>
      </c>
      <c r="BO371" s="904"/>
      <c r="BS371" s="891">
        <f t="shared" si="982"/>
        <v>33170529</v>
      </c>
      <c r="BT371" s="891">
        <f t="shared" si="983"/>
        <v>0</v>
      </c>
      <c r="BU371" s="891">
        <f t="shared" si="984"/>
        <v>0</v>
      </c>
      <c r="BV371" s="891">
        <f t="shared" si="985"/>
        <v>33170529</v>
      </c>
      <c r="BW371" s="904"/>
      <c r="CA371" s="891">
        <f t="shared" si="986"/>
        <v>33170529</v>
      </c>
      <c r="CB371" s="891">
        <f t="shared" si="987"/>
        <v>0</v>
      </c>
      <c r="CC371" s="891">
        <f t="shared" si="988"/>
        <v>0</v>
      </c>
      <c r="CD371" s="891">
        <f t="shared" si="989"/>
        <v>33170529</v>
      </c>
      <c r="CE371" s="904"/>
      <c r="CI371" s="891">
        <f t="shared" si="990"/>
        <v>33170529</v>
      </c>
      <c r="CJ371" s="891">
        <f t="shared" si="991"/>
        <v>0</v>
      </c>
      <c r="CK371" s="891">
        <f t="shared" si="992"/>
        <v>0</v>
      </c>
      <c r="CL371" s="891">
        <f t="shared" si="993"/>
        <v>33170529</v>
      </c>
      <c r="CM371" s="904"/>
      <c r="CQ371" s="891">
        <f t="shared" si="994"/>
        <v>33170529</v>
      </c>
      <c r="CR371" s="891">
        <f t="shared" si="995"/>
        <v>0</v>
      </c>
      <c r="CS371" s="891">
        <f t="shared" si="996"/>
        <v>0</v>
      </c>
      <c r="CT371" s="891">
        <f t="shared" si="997"/>
        <v>33170529</v>
      </c>
      <c r="CU371" s="904"/>
      <c r="CY371" s="891">
        <f t="shared" si="998"/>
        <v>33170529</v>
      </c>
      <c r="CZ371" s="891">
        <f t="shared" si="999"/>
        <v>0</v>
      </c>
      <c r="DA371" s="891">
        <f t="shared" si="1000"/>
        <v>0</v>
      </c>
      <c r="DB371" s="891">
        <f t="shared" si="1001"/>
        <v>33170529</v>
      </c>
      <c r="DC371" s="904"/>
      <c r="DG371" s="891">
        <f t="shared" si="1002"/>
        <v>33170529</v>
      </c>
      <c r="DH371" s="891">
        <f t="shared" si="1003"/>
        <v>0</v>
      </c>
      <c r="DI371" s="891">
        <f t="shared" si="1004"/>
        <v>0</v>
      </c>
      <c r="DJ371" s="891">
        <f t="shared" si="1005"/>
        <v>33170529</v>
      </c>
      <c r="DK371" s="904"/>
      <c r="DO371" s="891">
        <f t="shared" si="1006"/>
        <v>33170529</v>
      </c>
      <c r="DP371" s="891">
        <f t="shared" si="1007"/>
        <v>0</v>
      </c>
      <c r="DQ371" s="891">
        <f t="shared" si="1008"/>
        <v>0</v>
      </c>
      <c r="DR371" s="891">
        <f t="shared" si="1009"/>
        <v>33170529</v>
      </c>
      <c r="DS371" s="904"/>
      <c r="DW371" s="891">
        <f t="shared" si="1010"/>
        <v>33170529</v>
      </c>
      <c r="DX371" s="891">
        <f t="shared" si="1011"/>
        <v>0</v>
      </c>
      <c r="DY371" s="891">
        <f t="shared" si="1012"/>
        <v>0</v>
      </c>
      <c r="DZ371" s="891">
        <f t="shared" si="1013"/>
        <v>33170529</v>
      </c>
      <c r="EA371" s="904"/>
      <c r="EE371" s="891">
        <f t="shared" si="1014"/>
        <v>33170529</v>
      </c>
      <c r="EF371" s="891">
        <f t="shared" si="1015"/>
        <v>0</v>
      </c>
      <c r="EG371" s="891">
        <f t="shared" si="1016"/>
        <v>0</v>
      </c>
      <c r="EH371" s="891">
        <f t="shared" si="1017"/>
        <v>33170529</v>
      </c>
      <c r="EI371" s="904"/>
      <c r="EM371" s="891">
        <f t="shared" si="1018"/>
        <v>33170529</v>
      </c>
      <c r="EN371" s="891">
        <f t="shared" si="1019"/>
        <v>0</v>
      </c>
      <c r="EO371" s="891">
        <f t="shared" si="1020"/>
        <v>0</v>
      </c>
      <c r="EP371" s="891">
        <f t="shared" si="1021"/>
        <v>33170529</v>
      </c>
      <c r="EQ371" s="904"/>
      <c r="EU371" s="891">
        <f t="shared" si="1022"/>
        <v>33170529</v>
      </c>
      <c r="EV371" s="891">
        <f t="shared" si="1023"/>
        <v>0</v>
      </c>
      <c r="EW371" s="891">
        <f t="shared" si="1024"/>
        <v>0</v>
      </c>
      <c r="EX371" s="891">
        <f t="shared" si="1025"/>
        <v>33170529</v>
      </c>
      <c r="EY371" s="904"/>
      <c r="FC371" s="891">
        <f t="shared" si="1026"/>
        <v>33170529</v>
      </c>
      <c r="FD371" s="891">
        <f t="shared" si="1027"/>
        <v>0</v>
      </c>
      <c r="FE371" s="891">
        <f t="shared" si="1028"/>
        <v>0</v>
      </c>
      <c r="FF371" s="891">
        <f t="shared" si="1029"/>
        <v>33170529</v>
      </c>
      <c r="FG371" s="904"/>
      <c r="FK371" s="891">
        <f t="shared" si="1030"/>
        <v>33170529</v>
      </c>
      <c r="FL371" s="891">
        <f t="shared" si="1031"/>
        <v>0</v>
      </c>
      <c r="FM371" s="891">
        <f t="shared" si="1032"/>
        <v>0</v>
      </c>
      <c r="FN371" s="891">
        <f t="shared" si="1033"/>
        <v>33170529</v>
      </c>
      <c r="FO371" s="904"/>
    </row>
    <row r="372" spans="2:171" x14ac:dyDescent="0.25">
      <c r="B372" s="113"/>
      <c r="C372" s="108" t="s">
        <v>512</v>
      </c>
      <c r="D372" s="108"/>
      <c r="E372" s="905" t="str">
        <f>Ratios!C15</f>
        <v>DIST</v>
      </c>
      <c r="G372" s="891">
        <f>Ratios!D15</f>
        <v>131214060</v>
      </c>
      <c r="H372" s="891">
        <f>Ratios!E15</f>
        <v>0</v>
      </c>
      <c r="I372" s="891">
        <f>Ratios!F15</f>
        <v>0</v>
      </c>
      <c r="J372" s="891">
        <f>Ratios!G15</f>
        <v>131214060</v>
      </c>
      <c r="K372" s="904">
        <f t="shared" si="953"/>
        <v>1</v>
      </c>
      <c r="O372" s="891">
        <f t="shared" si="954"/>
        <v>131214060</v>
      </c>
      <c r="P372" s="891">
        <f t="shared" si="955"/>
        <v>0</v>
      </c>
      <c r="Q372" s="891">
        <f t="shared" si="956"/>
        <v>0</v>
      </c>
      <c r="R372" s="891">
        <f t="shared" si="957"/>
        <v>131214060</v>
      </c>
      <c r="S372" s="904"/>
      <c r="W372" s="891">
        <f t="shared" si="958"/>
        <v>131214060</v>
      </c>
      <c r="X372" s="891">
        <f t="shared" si="959"/>
        <v>0</v>
      </c>
      <c r="Y372" s="891">
        <f t="shared" si="960"/>
        <v>0</v>
      </c>
      <c r="Z372" s="891">
        <f t="shared" si="961"/>
        <v>131214060</v>
      </c>
      <c r="AA372" s="904"/>
      <c r="AE372" s="891">
        <f t="shared" si="962"/>
        <v>131214060</v>
      </c>
      <c r="AF372" s="891">
        <f t="shared" si="963"/>
        <v>0</v>
      </c>
      <c r="AG372" s="891">
        <f t="shared" si="964"/>
        <v>0</v>
      </c>
      <c r="AH372" s="891">
        <f t="shared" si="965"/>
        <v>131214060</v>
      </c>
      <c r="AI372" s="904"/>
      <c r="AM372" s="891">
        <f t="shared" si="966"/>
        <v>131214060</v>
      </c>
      <c r="AN372" s="891">
        <f t="shared" si="967"/>
        <v>0</v>
      </c>
      <c r="AO372" s="891">
        <f t="shared" si="968"/>
        <v>0</v>
      </c>
      <c r="AP372" s="891">
        <f t="shared" si="969"/>
        <v>131214060</v>
      </c>
      <c r="AQ372" s="904"/>
      <c r="AU372" s="891">
        <f t="shared" si="970"/>
        <v>131214060</v>
      </c>
      <c r="AV372" s="891">
        <f t="shared" si="971"/>
        <v>0</v>
      </c>
      <c r="AW372" s="891">
        <f t="shared" si="972"/>
        <v>0</v>
      </c>
      <c r="AX372" s="891">
        <f t="shared" si="973"/>
        <v>131214060</v>
      </c>
      <c r="AY372" s="904"/>
      <c r="BC372" s="891">
        <f t="shared" si="974"/>
        <v>131214060</v>
      </c>
      <c r="BD372" s="891">
        <f t="shared" si="975"/>
        <v>0</v>
      </c>
      <c r="BE372" s="891">
        <f t="shared" si="976"/>
        <v>0</v>
      </c>
      <c r="BF372" s="891">
        <f t="shared" si="977"/>
        <v>131214060</v>
      </c>
      <c r="BG372" s="904"/>
      <c r="BK372" s="891">
        <f t="shared" si="978"/>
        <v>131214060</v>
      </c>
      <c r="BL372" s="891">
        <f t="shared" si="979"/>
        <v>0</v>
      </c>
      <c r="BM372" s="891">
        <f t="shared" si="980"/>
        <v>0</v>
      </c>
      <c r="BN372" s="891">
        <f t="shared" si="981"/>
        <v>131214060</v>
      </c>
      <c r="BO372" s="904"/>
      <c r="BS372" s="891">
        <f t="shared" si="982"/>
        <v>131214060</v>
      </c>
      <c r="BT372" s="891">
        <f t="shared" si="983"/>
        <v>0</v>
      </c>
      <c r="BU372" s="891">
        <f t="shared" si="984"/>
        <v>0</v>
      </c>
      <c r="BV372" s="891">
        <f t="shared" si="985"/>
        <v>131214060</v>
      </c>
      <c r="BW372" s="904"/>
      <c r="CA372" s="891">
        <f t="shared" si="986"/>
        <v>131214060</v>
      </c>
      <c r="CB372" s="891">
        <f t="shared" si="987"/>
        <v>0</v>
      </c>
      <c r="CC372" s="891">
        <f t="shared" si="988"/>
        <v>0</v>
      </c>
      <c r="CD372" s="891">
        <f t="shared" si="989"/>
        <v>131214060</v>
      </c>
      <c r="CE372" s="904"/>
      <c r="CI372" s="891">
        <f t="shared" si="990"/>
        <v>131214060</v>
      </c>
      <c r="CJ372" s="891">
        <f t="shared" si="991"/>
        <v>0</v>
      </c>
      <c r="CK372" s="891">
        <f t="shared" si="992"/>
        <v>0</v>
      </c>
      <c r="CL372" s="891">
        <f t="shared" si="993"/>
        <v>131214060</v>
      </c>
      <c r="CM372" s="904"/>
      <c r="CQ372" s="891">
        <f t="shared" si="994"/>
        <v>131214060</v>
      </c>
      <c r="CR372" s="891">
        <f t="shared" si="995"/>
        <v>0</v>
      </c>
      <c r="CS372" s="891">
        <f t="shared" si="996"/>
        <v>0</v>
      </c>
      <c r="CT372" s="891">
        <f t="shared" si="997"/>
        <v>131214060</v>
      </c>
      <c r="CU372" s="904"/>
      <c r="CY372" s="891">
        <f t="shared" si="998"/>
        <v>131214060</v>
      </c>
      <c r="CZ372" s="891">
        <f t="shared" si="999"/>
        <v>0</v>
      </c>
      <c r="DA372" s="891">
        <f t="shared" si="1000"/>
        <v>0</v>
      </c>
      <c r="DB372" s="891">
        <f t="shared" si="1001"/>
        <v>131214060</v>
      </c>
      <c r="DC372" s="904"/>
      <c r="DG372" s="891">
        <f t="shared" si="1002"/>
        <v>131214060</v>
      </c>
      <c r="DH372" s="891">
        <f t="shared" si="1003"/>
        <v>0</v>
      </c>
      <c r="DI372" s="891">
        <f t="shared" si="1004"/>
        <v>0</v>
      </c>
      <c r="DJ372" s="891">
        <f t="shared" si="1005"/>
        <v>131214060</v>
      </c>
      <c r="DK372" s="904"/>
      <c r="DO372" s="891">
        <f t="shared" si="1006"/>
        <v>131214060</v>
      </c>
      <c r="DP372" s="891">
        <f t="shared" si="1007"/>
        <v>0</v>
      </c>
      <c r="DQ372" s="891">
        <f t="shared" si="1008"/>
        <v>0</v>
      </c>
      <c r="DR372" s="891">
        <f t="shared" si="1009"/>
        <v>131214060</v>
      </c>
      <c r="DS372" s="904"/>
      <c r="DW372" s="891">
        <f t="shared" si="1010"/>
        <v>131214060</v>
      </c>
      <c r="DX372" s="891">
        <f t="shared" si="1011"/>
        <v>0</v>
      </c>
      <c r="DY372" s="891">
        <f t="shared" si="1012"/>
        <v>0</v>
      </c>
      <c r="DZ372" s="891">
        <f t="shared" si="1013"/>
        <v>131214060</v>
      </c>
      <c r="EA372" s="904"/>
      <c r="EE372" s="891">
        <f t="shared" si="1014"/>
        <v>131214060</v>
      </c>
      <c r="EF372" s="891">
        <f t="shared" si="1015"/>
        <v>0</v>
      </c>
      <c r="EG372" s="891">
        <f t="shared" si="1016"/>
        <v>0</v>
      </c>
      <c r="EH372" s="891">
        <f t="shared" si="1017"/>
        <v>131214060</v>
      </c>
      <c r="EI372" s="904"/>
      <c r="EM372" s="891">
        <f t="shared" si="1018"/>
        <v>131214060</v>
      </c>
      <c r="EN372" s="891">
        <f t="shared" si="1019"/>
        <v>0</v>
      </c>
      <c r="EO372" s="891">
        <f t="shared" si="1020"/>
        <v>0</v>
      </c>
      <c r="EP372" s="891">
        <f t="shared" si="1021"/>
        <v>131214060</v>
      </c>
      <c r="EQ372" s="904"/>
      <c r="EU372" s="891">
        <f t="shared" si="1022"/>
        <v>131214060</v>
      </c>
      <c r="EV372" s="891">
        <f t="shared" si="1023"/>
        <v>0</v>
      </c>
      <c r="EW372" s="891">
        <f t="shared" si="1024"/>
        <v>0</v>
      </c>
      <c r="EX372" s="891">
        <f t="shared" si="1025"/>
        <v>131214060</v>
      </c>
      <c r="EY372" s="904"/>
      <c r="FC372" s="891">
        <f t="shared" si="1026"/>
        <v>131214060</v>
      </c>
      <c r="FD372" s="891">
        <f t="shared" si="1027"/>
        <v>0</v>
      </c>
      <c r="FE372" s="891">
        <f t="shared" si="1028"/>
        <v>0</v>
      </c>
      <c r="FF372" s="891">
        <f t="shared" si="1029"/>
        <v>131214060</v>
      </c>
      <c r="FG372" s="904"/>
      <c r="FK372" s="891">
        <f t="shared" si="1030"/>
        <v>131214060</v>
      </c>
      <c r="FL372" s="891">
        <f t="shared" si="1031"/>
        <v>0</v>
      </c>
      <c r="FM372" s="891">
        <f t="shared" si="1032"/>
        <v>0</v>
      </c>
      <c r="FN372" s="891">
        <f t="shared" si="1033"/>
        <v>131214060</v>
      </c>
      <c r="FO372" s="904"/>
    </row>
    <row r="373" spans="2:171" x14ac:dyDescent="0.25">
      <c r="B373" s="113"/>
      <c r="C373" s="108" t="s">
        <v>513</v>
      </c>
      <c r="D373" s="108"/>
      <c r="E373" s="905" t="str">
        <f>Ratios!C16</f>
        <v>DIST</v>
      </c>
      <c r="G373" s="891">
        <f>Ratios!D16</f>
        <v>29892118</v>
      </c>
      <c r="H373" s="891">
        <f>Ratios!E16</f>
        <v>0</v>
      </c>
      <c r="I373" s="891">
        <f>Ratios!F16</f>
        <v>0</v>
      </c>
      <c r="J373" s="891">
        <f>Ratios!G16</f>
        <v>29892118</v>
      </c>
      <c r="K373" s="904">
        <f t="shared" si="953"/>
        <v>1</v>
      </c>
      <c r="O373" s="891">
        <f t="shared" si="954"/>
        <v>29892118</v>
      </c>
      <c r="P373" s="891">
        <f t="shared" si="955"/>
        <v>0</v>
      </c>
      <c r="Q373" s="891">
        <f t="shared" si="956"/>
        <v>0</v>
      </c>
      <c r="R373" s="891">
        <f t="shared" si="957"/>
        <v>29892118</v>
      </c>
      <c r="S373" s="904"/>
      <c r="W373" s="891">
        <f t="shared" si="958"/>
        <v>29892118</v>
      </c>
      <c r="X373" s="891">
        <f t="shared" si="959"/>
        <v>0</v>
      </c>
      <c r="Y373" s="891">
        <f t="shared" si="960"/>
        <v>0</v>
      </c>
      <c r="Z373" s="891">
        <f t="shared" si="961"/>
        <v>29892118</v>
      </c>
      <c r="AA373" s="904"/>
      <c r="AE373" s="891">
        <f t="shared" si="962"/>
        <v>29892118</v>
      </c>
      <c r="AF373" s="891">
        <f t="shared" si="963"/>
        <v>0</v>
      </c>
      <c r="AG373" s="891">
        <f t="shared" si="964"/>
        <v>0</v>
      </c>
      <c r="AH373" s="891">
        <f t="shared" si="965"/>
        <v>29892118</v>
      </c>
      <c r="AI373" s="904"/>
      <c r="AM373" s="891">
        <f t="shared" si="966"/>
        <v>29892118</v>
      </c>
      <c r="AN373" s="891">
        <f t="shared" si="967"/>
        <v>0</v>
      </c>
      <c r="AO373" s="891">
        <f t="shared" si="968"/>
        <v>0</v>
      </c>
      <c r="AP373" s="891">
        <f t="shared" si="969"/>
        <v>29892118</v>
      </c>
      <c r="AQ373" s="904"/>
      <c r="AU373" s="891">
        <f t="shared" si="970"/>
        <v>29892118</v>
      </c>
      <c r="AV373" s="891">
        <f t="shared" si="971"/>
        <v>0</v>
      </c>
      <c r="AW373" s="891">
        <f t="shared" si="972"/>
        <v>0</v>
      </c>
      <c r="AX373" s="891">
        <f t="shared" si="973"/>
        <v>29892118</v>
      </c>
      <c r="AY373" s="904"/>
      <c r="BC373" s="891">
        <f t="shared" si="974"/>
        <v>29892118</v>
      </c>
      <c r="BD373" s="891">
        <f t="shared" si="975"/>
        <v>0</v>
      </c>
      <c r="BE373" s="891">
        <f t="shared" si="976"/>
        <v>0</v>
      </c>
      <c r="BF373" s="891">
        <f t="shared" si="977"/>
        <v>29892118</v>
      </c>
      <c r="BG373" s="904"/>
      <c r="BK373" s="891">
        <f t="shared" si="978"/>
        <v>29892118</v>
      </c>
      <c r="BL373" s="891">
        <f t="shared" si="979"/>
        <v>0</v>
      </c>
      <c r="BM373" s="891">
        <f t="shared" si="980"/>
        <v>0</v>
      </c>
      <c r="BN373" s="891">
        <f t="shared" si="981"/>
        <v>29892118</v>
      </c>
      <c r="BO373" s="904"/>
      <c r="BS373" s="891">
        <f t="shared" si="982"/>
        <v>29892118</v>
      </c>
      <c r="BT373" s="891">
        <f t="shared" si="983"/>
        <v>0</v>
      </c>
      <c r="BU373" s="891">
        <f t="shared" si="984"/>
        <v>0</v>
      </c>
      <c r="BV373" s="891">
        <f t="shared" si="985"/>
        <v>29892118</v>
      </c>
      <c r="BW373" s="904"/>
      <c r="CA373" s="891">
        <f t="shared" si="986"/>
        <v>29892118</v>
      </c>
      <c r="CB373" s="891">
        <f t="shared" si="987"/>
        <v>0</v>
      </c>
      <c r="CC373" s="891">
        <f t="shared" si="988"/>
        <v>0</v>
      </c>
      <c r="CD373" s="891">
        <f t="shared" si="989"/>
        <v>29892118</v>
      </c>
      <c r="CE373" s="904"/>
      <c r="CI373" s="891">
        <f t="shared" si="990"/>
        <v>29892118</v>
      </c>
      <c r="CJ373" s="891">
        <f t="shared" si="991"/>
        <v>0</v>
      </c>
      <c r="CK373" s="891">
        <f t="shared" si="992"/>
        <v>0</v>
      </c>
      <c r="CL373" s="891">
        <f t="shared" si="993"/>
        <v>29892118</v>
      </c>
      <c r="CM373" s="904"/>
      <c r="CQ373" s="891">
        <f t="shared" si="994"/>
        <v>29892118</v>
      </c>
      <c r="CR373" s="891">
        <f t="shared" si="995"/>
        <v>0</v>
      </c>
      <c r="CS373" s="891">
        <f t="shared" si="996"/>
        <v>0</v>
      </c>
      <c r="CT373" s="891">
        <f t="shared" si="997"/>
        <v>29892118</v>
      </c>
      <c r="CU373" s="904"/>
      <c r="CY373" s="891">
        <f t="shared" si="998"/>
        <v>29892118</v>
      </c>
      <c r="CZ373" s="891">
        <f t="shared" si="999"/>
        <v>0</v>
      </c>
      <c r="DA373" s="891">
        <f t="shared" si="1000"/>
        <v>0</v>
      </c>
      <c r="DB373" s="891">
        <f t="shared" si="1001"/>
        <v>29892118</v>
      </c>
      <c r="DC373" s="904"/>
      <c r="DG373" s="891">
        <f t="shared" si="1002"/>
        <v>29892118</v>
      </c>
      <c r="DH373" s="891">
        <f t="shared" si="1003"/>
        <v>0</v>
      </c>
      <c r="DI373" s="891">
        <f t="shared" si="1004"/>
        <v>0</v>
      </c>
      <c r="DJ373" s="891">
        <f t="shared" si="1005"/>
        <v>29892118</v>
      </c>
      <c r="DK373" s="904"/>
      <c r="DO373" s="891">
        <f t="shared" si="1006"/>
        <v>29892118</v>
      </c>
      <c r="DP373" s="891">
        <f t="shared" si="1007"/>
        <v>0</v>
      </c>
      <c r="DQ373" s="891">
        <f t="shared" si="1008"/>
        <v>0</v>
      </c>
      <c r="DR373" s="891">
        <f t="shared" si="1009"/>
        <v>29892118</v>
      </c>
      <c r="DS373" s="904"/>
      <c r="DW373" s="891">
        <f t="shared" si="1010"/>
        <v>29892118</v>
      </c>
      <c r="DX373" s="891">
        <f t="shared" si="1011"/>
        <v>0</v>
      </c>
      <c r="DY373" s="891">
        <f t="shared" si="1012"/>
        <v>0</v>
      </c>
      <c r="DZ373" s="891">
        <f t="shared" si="1013"/>
        <v>29892118</v>
      </c>
      <c r="EA373" s="904"/>
      <c r="EE373" s="891">
        <f t="shared" si="1014"/>
        <v>29892118</v>
      </c>
      <c r="EF373" s="891">
        <f t="shared" si="1015"/>
        <v>0</v>
      </c>
      <c r="EG373" s="891">
        <f t="shared" si="1016"/>
        <v>0</v>
      </c>
      <c r="EH373" s="891">
        <f t="shared" si="1017"/>
        <v>29892118</v>
      </c>
      <c r="EI373" s="904"/>
      <c r="EM373" s="891">
        <f t="shared" si="1018"/>
        <v>29892118</v>
      </c>
      <c r="EN373" s="891">
        <f t="shared" si="1019"/>
        <v>0</v>
      </c>
      <c r="EO373" s="891">
        <f t="shared" si="1020"/>
        <v>0</v>
      </c>
      <c r="EP373" s="891">
        <f t="shared" si="1021"/>
        <v>29892118</v>
      </c>
      <c r="EQ373" s="904"/>
      <c r="EU373" s="891">
        <f t="shared" si="1022"/>
        <v>29892118</v>
      </c>
      <c r="EV373" s="891">
        <f t="shared" si="1023"/>
        <v>0</v>
      </c>
      <c r="EW373" s="891">
        <f t="shared" si="1024"/>
        <v>0</v>
      </c>
      <c r="EX373" s="891">
        <f t="shared" si="1025"/>
        <v>29892118</v>
      </c>
      <c r="EY373" s="904"/>
      <c r="FC373" s="891">
        <f t="shared" si="1026"/>
        <v>29892118</v>
      </c>
      <c r="FD373" s="891">
        <f t="shared" si="1027"/>
        <v>0</v>
      </c>
      <c r="FE373" s="891">
        <f t="shared" si="1028"/>
        <v>0</v>
      </c>
      <c r="FF373" s="891">
        <f t="shared" si="1029"/>
        <v>29892118</v>
      </c>
      <c r="FG373" s="904"/>
      <c r="FK373" s="891">
        <f t="shared" si="1030"/>
        <v>29892118</v>
      </c>
      <c r="FL373" s="891">
        <f t="shared" si="1031"/>
        <v>0</v>
      </c>
      <c r="FM373" s="891">
        <f t="shared" si="1032"/>
        <v>0</v>
      </c>
      <c r="FN373" s="891">
        <f t="shared" si="1033"/>
        <v>29892118</v>
      </c>
      <c r="FO373" s="904"/>
    </row>
    <row r="374" spans="2:171" x14ac:dyDescent="0.25">
      <c r="B374" s="113"/>
      <c r="C374" s="1528" t="s">
        <v>514</v>
      </c>
      <c r="D374" s="1528"/>
      <c r="E374" s="905" t="str">
        <f>Ratios!C17</f>
        <v>DIST</v>
      </c>
      <c r="G374" s="891">
        <f>Ratios!D17</f>
        <v>8580394</v>
      </c>
      <c r="H374" s="891">
        <f>Ratios!E17</f>
        <v>0</v>
      </c>
      <c r="I374" s="891">
        <f>Ratios!F17</f>
        <v>0</v>
      </c>
      <c r="J374" s="891">
        <f>Ratios!G17</f>
        <v>8580394</v>
      </c>
      <c r="K374" s="904">
        <f t="shared" si="953"/>
        <v>1</v>
      </c>
      <c r="O374" s="891">
        <f t="shared" si="954"/>
        <v>8580394</v>
      </c>
      <c r="P374" s="891">
        <f t="shared" si="955"/>
        <v>0</v>
      </c>
      <c r="Q374" s="891">
        <f t="shared" si="956"/>
        <v>0</v>
      </c>
      <c r="R374" s="891">
        <f t="shared" si="957"/>
        <v>8580394</v>
      </c>
      <c r="S374" s="904"/>
      <c r="W374" s="891">
        <f t="shared" si="958"/>
        <v>8580394</v>
      </c>
      <c r="X374" s="891">
        <f t="shared" si="959"/>
        <v>0</v>
      </c>
      <c r="Y374" s="891">
        <f t="shared" si="960"/>
        <v>0</v>
      </c>
      <c r="Z374" s="891">
        <f t="shared" si="961"/>
        <v>8580394</v>
      </c>
      <c r="AA374" s="904"/>
      <c r="AE374" s="891">
        <f t="shared" si="962"/>
        <v>8580394</v>
      </c>
      <c r="AF374" s="891">
        <f t="shared" si="963"/>
        <v>0</v>
      </c>
      <c r="AG374" s="891">
        <f t="shared" si="964"/>
        <v>0</v>
      </c>
      <c r="AH374" s="891">
        <f t="shared" si="965"/>
        <v>8580394</v>
      </c>
      <c r="AI374" s="904"/>
      <c r="AM374" s="891">
        <f t="shared" si="966"/>
        <v>8580394</v>
      </c>
      <c r="AN374" s="891">
        <f t="shared" si="967"/>
        <v>0</v>
      </c>
      <c r="AO374" s="891">
        <f t="shared" si="968"/>
        <v>0</v>
      </c>
      <c r="AP374" s="891">
        <f t="shared" si="969"/>
        <v>8580394</v>
      </c>
      <c r="AQ374" s="904"/>
      <c r="AU374" s="891">
        <f t="shared" si="970"/>
        <v>8580394</v>
      </c>
      <c r="AV374" s="891">
        <f t="shared" si="971"/>
        <v>0</v>
      </c>
      <c r="AW374" s="891">
        <f t="shared" si="972"/>
        <v>0</v>
      </c>
      <c r="AX374" s="891">
        <f t="shared" si="973"/>
        <v>8580394</v>
      </c>
      <c r="AY374" s="904"/>
      <c r="BC374" s="891">
        <f t="shared" si="974"/>
        <v>8580394</v>
      </c>
      <c r="BD374" s="891">
        <f t="shared" si="975"/>
        <v>0</v>
      </c>
      <c r="BE374" s="891">
        <f t="shared" si="976"/>
        <v>0</v>
      </c>
      <c r="BF374" s="891">
        <f t="shared" si="977"/>
        <v>8580394</v>
      </c>
      <c r="BG374" s="904"/>
      <c r="BK374" s="891">
        <f t="shared" si="978"/>
        <v>8580394</v>
      </c>
      <c r="BL374" s="891">
        <f t="shared" si="979"/>
        <v>0</v>
      </c>
      <c r="BM374" s="891">
        <f t="shared" si="980"/>
        <v>0</v>
      </c>
      <c r="BN374" s="891">
        <f t="shared" si="981"/>
        <v>8580394</v>
      </c>
      <c r="BO374" s="904"/>
      <c r="BS374" s="891">
        <f t="shared" si="982"/>
        <v>8580394</v>
      </c>
      <c r="BT374" s="891">
        <f t="shared" si="983"/>
        <v>0</v>
      </c>
      <c r="BU374" s="891">
        <f t="shared" si="984"/>
        <v>0</v>
      </c>
      <c r="BV374" s="891">
        <f t="shared" si="985"/>
        <v>8580394</v>
      </c>
      <c r="BW374" s="904"/>
      <c r="CA374" s="891">
        <f t="shared" si="986"/>
        <v>8580394</v>
      </c>
      <c r="CB374" s="891">
        <f t="shared" si="987"/>
        <v>0</v>
      </c>
      <c r="CC374" s="891">
        <f t="shared" si="988"/>
        <v>0</v>
      </c>
      <c r="CD374" s="891">
        <f t="shared" si="989"/>
        <v>8580394</v>
      </c>
      <c r="CE374" s="904"/>
      <c r="CI374" s="891">
        <f t="shared" si="990"/>
        <v>8580394</v>
      </c>
      <c r="CJ374" s="891">
        <f t="shared" si="991"/>
        <v>0</v>
      </c>
      <c r="CK374" s="891">
        <f t="shared" si="992"/>
        <v>0</v>
      </c>
      <c r="CL374" s="891">
        <f t="shared" si="993"/>
        <v>8580394</v>
      </c>
      <c r="CM374" s="904"/>
      <c r="CQ374" s="891">
        <f t="shared" si="994"/>
        <v>8580394</v>
      </c>
      <c r="CR374" s="891">
        <f t="shared" si="995"/>
        <v>0</v>
      </c>
      <c r="CS374" s="891">
        <f t="shared" si="996"/>
        <v>0</v>
      </c>
      <c r="CT374" s="891">
        <f t="shared" si="997"/>
        <v>8580394</v>
      </c>
      <c r="CU374" s="904"/>
      <c r="CY374" s="891">
        <f t="shared" si="998"/>
        <v>8580394</v>
      </c>
      <c r="CZ374" s="891">
        <f t="shared" si="999"/>
        <v>0</v>
      </c>
      <c r="DA374" s="891">
        <f t="shared" si="1000"/>
        <v>0</v>
      </c>
      <c r="DB374" s="891">
        <f t="shared" si="1001"/>
        <v>8580394</v>
      </c>
      <c r="DC374" s="904"/>
      <c r="DG374" s="891">
        <f t="shared" si="1002"/>
        <v>8580394</v>
      </c>
      <c r="DH374" s="891">
        <f t="shared" si="1003"/>
        <v>0</v>
      </c>
      <c r="DI374" s="891">
        <f t="shared" si="1004"/>
        <v>0</v>
      </c>
      <c r="DJ374" s="891">
        <f t="shared" si="1005"/>
        <v>8580394</v>
      </c>
      <c r="DK374" s="904"/>
      <c r="DO374" s="891">
        <f t="shared" si="1006"/>
        <v>8580394</v>
      </c>
      <c r="DP374" s="891">
        <f t="shared" si="1007"/>
        <v>0</v>
      </c>
      <c r="DQ374" s="891">
        <f t="shared" si="1008"/>
        <v>0</v>
      </c>
      <c r="DR374" s="891">
        <f t="shared" si="1009"/>
        <v>8580394</v>
      </c>
      <c r="DS374" s="904"/>
      <c r="DW374" s="891">
        <f t="shared" si="1010"/>
        <v>8580394</v>
      </c>
      <c r="DX374" s="891">
        <f t="shared" si="1011"/>
        <v>0</v>
      </c>
      <c r="DY374" s="891">
        <f t="shared" si="1012"/>
        <v>0</v>
      </c>
      <c r="DZ374" s="891">
        <f t="shared" si="1013"/>
        <v>8580394</v>
      </c>
      <c r="EA374" s="904"/>
      <c r="EE374" s="891">
        <f t="shared" si="1014"/>
        <v>8580394</v>
      </c>
      <c r="EF374" s="891">
        <f t="shared" si="1015"/>
        <v>0</v>
      </c>
      <c r="EG374" s="891">
        <f t="shared" si="1016"/>
        <v>0</v>
      </c>
      <c r="EH374" s="891">
        <f t="shared" si="1017"/>
        <v>8580394</v>
      </c>
      <c r="EI374" s="904"/>
      <c r="EM374" s="891">
        <f t="shared" si="1018"/>
        <v>8580394</v>
      </c>
      <c r="EN374" s="891">
        <f t="shared" si="1019"/>
        <v>0</v>
      </c>
      <c r="EO374" s="891">
        <f t="shared" si="1020"/>
        <v>0</v>
      </c>
      <c r="EP374" s="891">
        <f t="shared" si="1021"/>
        <v>8580394</v>
      </c>
      <c r="EQ374" s="904"/>
      <c r="EU374" s="891">
        <f t="shared" si="1022"/>
        <v>8580394</v>
      </c>
      <c r="EV374" s="891">
        <f t="shared" si="1023"/>
        <v>0</v>
      </c>
      <c r="EW374" s="891">
        <f t="shared" si="1024"/>
        <v>0</v>
      </c>
      <c r="EX374" s="891">
        <f t="shared" si="1025"/>
        <v>8580394</v>
      </c>
      <c r="EY374" s="904"/>
      <c r="FC374" s="891">
        <f t="shared" si="1026"/>
        <v>8580394</v>
      </c>
      <c r="FD374" s="891">
        <f t="shared" si="1027"/>
        <v>0</v>
      </c>
      <c r="FE374" s="891">
        <f t="shared" si="1028"/>
        <v>0</v>
      </c>
      <c r="FF374" s="891">
        <f t="shared" si="1029"/>
        <v>8580394</v>
      </c>
      <c r="FG374" s="904"/>
      <c r="FK374" s="891">
        <f t="shared" si="1030"/>
        <v>8580394</v>
      </c>
      <c r="FL374" s="891">
        <f t="shared" si="1031"/>
        <v>0</v>
      </c>
      <c r="FM374" s="891">
        <f t="shared" si="1032"/>
        <v>0</v>
      </c>
      <c r="FN374" s="891">
        <f t="shared" si="1033"/>
        <v>8580394</v>
      </c>
      <c r="FO374" s="904"/>
    </row>
    <row r="375" spans="2:171" x14ac:dyDescent="0.25">
      <c r="B375" s="113"/>
      <c r="C375" s="108" t="s">
        <v>515</v>
      </c>
      <c r="D375" s="108"/>
      <c r="E375" s="905" t="str">
        <f>Ratios!C18</f>
        <v>DIST</v>
      </c>
      <c r="G375" s="891">
        <f>Ratios!D18</f>
        <v>0</v>
      </c>
      <c r="H375" s="891">
        <f>Ratios!E18</f>
        <v>0</v>
      </c>
      <c r="I375" s="891">
        <f>Ratios!F18</f>
        <v>0</v>
      </c>
      <c r="J375" s="891">
        <f>Ratios!G18</f>
        <v>0</v>
      </c>
      <c r="K375" s="904">
        <f t="shared" si="953"/>
        <v>1</v>
      </c>
      <c r="O375" s="891">
        <f t="shared" si="954"/>
        <v>0</v>
      </c>
      <c r="P375" s="891">
        <f t="shared" si="955"/>
        <v>0</v>
      </c>
      <c r="Q375" s="891">
        <f t="shared" si="956"/>
        <v>0</v>
      </c>
      <c r="R375" s="891">
        <f t="shared" si="957"/>
        <v>0</v>
      </c>
      <c r="S375" s="904"/>
      <c r="W375" s="891">
        <f t="shared" si="958"/>
        <v>0</v>
      </c>
      <c r="X375" s="891">
        <f t="shared" si="959"/>
        <v>0</v>
      </c>
      <c r="Y375" s="891">
        <f t="shared" si="960"/>
        <v>0</v>
      </c>
      <c r="Z375" s="891">
        <f t="shared" si="961"/>
        <v>0</v>
      </c>
      <c r="AA375" s="904"/>
      <c r="AE375" s="891">
        <f t="shared" si="962"/>
        <v>0</v>
      </c>
      <c r="AF375" s="891">
        <f t="shared" si="963"/>
        <v>0</v>
      </c>
      <c r="AG375" s="891">
        <f t="shared" si="964"/>
        <v>0</v>
      </c>
      <c r="AH375" s="891">
        <f t="shared" si="965"/>
        <v>0</v>
      </c>
      <c r="AI375" s="904"/>
      <c r="AM375" s="891">
        <f t="shared" si="966"/>
        <v>0</v>
      </c>
      <c r="AN375" s="891">
        <f t="shared" si="967"/>
        <v>0</v>
      </c>
      <c r="AO375" s="891">
        <f t="shared" si="968"/>
        <v>0</v>
      </c>
      <c r="AP375" s="891">
        <f t="shared" si="969"/>
        <v>0</v>
      </c>
      <c r="AQ375" s="904"/>
      <c r="AU375" s="891">
        <f t="shared" si="970"/>
        <v>0</v>
      </c>
      <c r="AV375" s="891">
        <f t="shared" si="971"/>
        <v>0</v>
      </c>
      <c r="AW375" s="891">
        <f t="shared" si="972"/>
        <v>0</v>
      </c>
      <c r="AX375" s="891">
        <f t="shared" si="973"/>
        <v>0</v>
      </c>
      <c r="AY375" s="904"/>
      <c r="BC375" s="891">
        <f t="shared" si="974"/>
        <v>0</v>
      </c>
      <c r="BD375" s="891">
        <f t="shared" si="975"/>
        <v>0</v>
      </c>
      <c r="BE375" s="891">
        <f t="shared" si="976"/>
        <v>0</v>
      </c>
      <c r="BF375" s="891">
        <f t="shared" si="977"/>
        <v>0</v>
      </c>
      <c r="BG375" s="904"/>
      <c r="BK375" s="891">
        <f t="shared" si="978"/>
        <v>0</v>
      </c>
      <c r="BL375" s="891">
        <f t="shared" si="979"/>
        <v>0</v>
      </c>
      <c r="BM375" s="891">
        <f t="shared" si="980"/>
        <v>0</v>
      </c>
      <c r="BN375" s="891">
        <f t="shared" si="981"/>
        <v>0</v>
      </c>
      <c r="BO375" s="904"/>
      <c r="BS375" s="891">
        <f t="shared" si="982"/>
        <v>0</v>
      </c>
      <c r="BT375" s="891">
        <f t="shared" si="983"/>
        <v>0</v>
      </c>
      <c r="BU375" s="891">
        <f t="shared" si="984"/>
        <v>0</v>
      </c>
      <c r="BV375" s="891">
        <f t="shared" si="985"/>
        <v>0</v>
      </c>
      <c r="BW375" s="904"/>
      <c r="CA375" s="891">
        <f t="shared" si="986"/>
        <v>0</v>
      </c>
      <c r="CB375" s="891">
        <f t="shared" si="987"/>
        <v>0</v>
      </c>
      <c r="CC375" s="891">
        <f t="shared" si="988"/>
        <v>0</v>
      </c>
      <c r="CD375" s="891">
        <f t="shared" si="989"/>
        <v>0</v>
      </c>
      <c r="CE375" s="904"/>
      <c r="CI375" s="891">
        <f t="shared" si="990"/>
        <v>0</v>
      </c>
      <c r="CJ375" s="891">
        <f t="shared" si="991"/>
        <v>0</v>
      </c>
      <c r="CK375" s="891">
        <f t="shared" si="992"/>
        <v>0</v>
      </c>
      <c r="CL375" s="891">
        <f t="shared" si="993"/>
        <v>0</v>
      </c>
      <c r="CM375" s="904"/>
      <c r="CQ375" s="891">
        <f t="shared" si="994"/>
        <v>0</v>
      </c>
      <c r="CR375" s="891">
        <f t="shared" si="995"/>
        <v>0</v>
      </c>
      <c r="CS375" s="891">
        <f t="shared" si="996"/>
        <v>0</v>
      </c>
      <c r="CT375" s="891">
        <f t="shared" si="997"/>
        <v>0</v>
      </c>
      <c r="CU375" s="904"/>
      <c r="CY375" s="891">
        <f t="shared" si="998"/>
        <v>0</v>
      </c>
      <c r="CZ375" s="891">
        <f t="shared" si="999"/>
        <v>0</v>
      </c>
      <c r="DA375" s="891">
        <f t="shared" si="1000"/>
        <v>0</v>
      </c>
      <c r="DB375" s="891">
        <f t="shared" si="1001"/>
        <v>0</v>
      </c>
      <c r="DC375" s="904"/>
      <c r="DG375" s="891">
        <f t="shared" si="1002"/>
        <v>0</v>
      </c>
      <c r="DH375" s="891">
        <f t="shared" si="1003"/>
        <v>0</v>
      </c>
      <c r="DI375" s="891">
        <f t="shared" si="1004"/>
        <v>0</v>
      </c>
      <c r="DJ375" s="891">
        <f t="shared" si="1005"/>
        <v>0</v>
      </c>
      <c r="DK375" s="904"/>
      <c r="DO375" s="891">
        <f t="shared" si="1006"/>
        <v>0</v>
      </c>
      <c r="DP375" s="891">
        <f t="shared" si="1007"/>
        <v>0</v>
      </c>
      <c r="DQ375" s="891">
        <f t="shared" si="1008"/>
        <v>0</v>
      </c>
      <c r="DR375" s="891">
        <f t="shared" si="1009"/>
        <v>0</v>
      </c>
      <c r="DS375" s="904"/>
      <c r="DW375" s="891">
        <f t="shared" si="1010"/>
        <v>0</v>
      </c>
      <c r="DX375" s="891">
        <f t="shared" si="1011"/>
        <v>0</v>
      </c>
      <c r="DY375" s="891">
        <f t="shared" si="1012"/>
        <v>0</v>
      </c>
      <c r="DZ375" s="891">
        <f t="shared" si="1013"/>
        <v>0</v>
      </c>
      <c r="EA375" s="904"/>
      <c r="EE375" s="891">
        <f t="shared" si="1014"/>
        <v>0</v>
      </c>
      <c r="EF375" s="891">
        <f t="shared" si="1015"/>
        <v>0</v>
      </c>
      <c r="EG375" s="891">
        <f t="shared" si="1016"/>
        <v>0</v>
      </c>
      <c r="EH375" s="891">
        <f t="shared" si="1017"/>
        <v>0</v>
      </c>
      <c r="EI375" s="904"/>
      <c r="EM375" s="891">
        <f t="shared" si="1018"/>
        <v>0</v>
      </c>
      <c r="EN375" s="891">
        <f t="shared" si="1019"/>
        <v>0</v>
      </c>
      <c r="EO375" s="891">
        <f t="shared" si="1020"/>
        <v>0</v>
      </c>
      <c r="EP375" s="891">
        <f t="shared" si="1021"/>
        <v>0</v>
      </c>
      <c r="EQ375" s="904"/>
      <c r="EU375" s="891">
        <f t="shared" si="1022"/>
        <v>0</v>
      </c>
      <c r="EV375" s="891">
        <f t="shared" si="1023"/>
        <v>0</v>
      </c>
      <c r="EW375" s="891">
        <f t="shared" si="1024"/>
        <v>0</v>
      </c>
      <c r="EX375" s="891">
        <f t="shared" si="1025"/>
        <v>0</v>
      </c>
      <c r="EY375" s="904"/>
      <c r="FC375" s="891">
        <f t="shared" si="1026"/>
        <v>0</v>
      </c>
      <c r="FD375" s="891">
        <f t="shared" si="1027"/>
        <v>0</v>
      </c>
      <c r="FE375" s="891">
        <f t="shared" si="1028"/>
        <v>0</v>
      </c>
      <c r="FF375" s="891">
        <f t="shared" si="1029"/>
        <v>0</v>
      </c>
      <c r="FG375" s="904"/>
      <c r="FK375" s="891">
        <f t="shared" si="1030"/>
        <v>0</v>
      </c>
      <c r="FL375" s="891">
        <f t="shared" si="1031"/>
        <v>0</v>
      </c>
      <c r="FM375" s="891">
        <f t="shared" si="1032"/>
        <v>0</v>
      </c>
      <c r="FN375" s="891">
        <f t="shared" si="1033"/>
        <v>0</v>
      </c>
      <c r="FO375" s="904"/>
    </row>
    <row r="376" spans="2:171" x14ac:dyDescent="0.25">
      <c r="B376" s="113"/>
      <c r="C376" s="108" t="s">
        <v>518</v>
      </c>
      <c r="D376" s="108"/>
      <c r="E376" s="905" t="str">
        <f>Ratios!C19</f>
        <v>PTD</v>
      </c>
      <c r="G376" s="891">
        <f>Ratios!D19</f>
        <v>40158501</v>
      </c>
      <c r="H376" s="891">
        <f>Ratios!E19</f>
        <v>17677617.280825108</v>
      </c>
      <c r="I376" s="891">
        <f>Ratios!F19</f>
        <v>0</v>
      </c>
      <c r="J376" s="891">
        <f>Ratios!G19</f>
        <v>22480883.719174888</v>
      </c>
      <c r="K376" s="904">
        <f t="shared" si="953"/>
        <v>1</v>
      </c>
      <c r="O376" s="891">
        <f t="shared" si="954"/>
        <v>40158501</v>
      </c>
      <c r="P376" s="891">
        <f>VLOOKUP($E376,O$442:R$453,2,FALSE)*O376*($K376)+IF($G376&lt;&gt;0,($H376/$G376)*O376,0)*(1-$K376)</f>
        <v>17677617.280825108</v>
      </c>
      <c r="Q376" s="891">
        <f>VLOOKUP($E376,O$442:R$453,3,FALSE)*O376*($K376)+IF($G376&lt;&gt;0,($I376/$G376)*O376,0)*(1-$K376)</f>
        <v>10436886.238206843</v>
      </c>
      <c r="R376" s="891">
        <f>VLOOKUP($E376,O$442:R$453,4,FALSE)*O376*($K376)+(O376-P376-Q376)*(1-$K376)</f>
        <v>12043997.480968043</v>
      </c>
      <c r="S376" s="904"/>
      <c r="W376" s="891">
        <f t="shared" si="958"/>
        <v>40158501</v>
      </c>
      <c r="X376" s="891">
        <f>VLOOKUP($E376,W$442:Z$453,2,FALSE)*W376*($K376)+IF($G376&lt;&gt;0,($H376/$G376)*W376,0)*(1-$K376)</f>
        <v>17677617.280825108</v>
      </c>
      <c r="Y376" s="891">
        <f>VLOOKUP($E376,W$442:Z$453,3,FALSE)*W376*($K376)+IF($G376&lt;&gt;0,($I376/$G376)*W376,0)*(1-$K376)</f>
        <v>10436886.238206843</v>
      </c>
      <c r="Z376" s="891">
        <f>VLOOKUP($E376,W$442:Z$453,4,FALSE)*W376*($K376)+(W376-X376-Y376)*(1-$K376)</f>
        <v>12043997.480968043</v>
      </c>
      <c r="AA376" s="904"/>
      <c r="AE376" s="891">
        <f t="shared" si="962"/>
        <v>40158501</v>
      </c>
      <c r="AF376" s="891">
        <f>VLOOKUP($E376,AE$442:AH$453,2,FALSE)*AE376*($K376)+IF($G376&lt;&gt;0,($H376/$G376)*AE376,0)*(1-$K376)</f>
        <v>17677617.280825108</v>
      </c>
      <c r="AG376" s="891">
        <f>VLOOKUP($E376,AE$442:AH$453,3,FALSE)*AE376*($K376)+IF($G376&lt;&gt;0,($I376/$G376)*AE376,0)*(1-$K376)</f>
        <v>10436886.238206843</v>
      </c>
      <c r="AH376" s="891">
        <f>VLOOKUP($E376,AE$442:AH$453,4,FALSE)*AE376*($K376)+(AE376-AF376-AG376)*(1-$K376)</f>
        <v>12043997.480968043</v>
      </c>
      <c r="AI376" s="904"/>
      <c r="AM376" s="891">
        <f t="shared" si="966"/>
        <v>40158501</v>
      </c>
      <c r="AN376" s="891">
        <f>VLOOKUP($E376,AM$442:AP$453,2,FALSE)*AM376*($K376)+IF($G376&lt;&gt;0,($H376/$G376)*AM376,0)*(1-$K376)</f>
        <v>17677617.280825108</v>
      </c>
      <c r="AO376" s="891">
        <f>VLOOKUP($E376,AM$442:AP$453,3,FALSE)*AM376*($K376)+IF($G376&lt;&gt;0,($I376/$G376)*AM376,0)*(1-$K376)</f>
        <v>10436886.238206843</v>
      </c>
      <c r="AP376" s="891">
        <f>VLOOKUP($E376,AM$442:AP$453,4,FALSE)*AM376*($K376)+(AM376-AN376-AO376)*(1-$K376)</f>
        <v>12043997.480968043</v>
      </c>
      <c r="AQ376" s="904"/>
      <c r="AU376" s="891">
        <f t="shared" si="970"/>
        <v>40158501</v>
      </c>
      <c r="AV376" s="891">
        <f>VLOOKUP($E376,AU$442:AX$453,2,FALSE)*AU376*($K376)+IF($G376&lt;&gt;0,($H376/$G376)*AU376,0)*(1-$K376)</f>
        <v>17677617.280825108</v>
      </c>
      <c r="AW376" s="891">
        <f>VLOOKUP($E376,AU$442:AX$453,3,FALSE)*AU376*($K376)+IF($G376&lt;&gt;0,($I376/$G376)*AU376,0)*(1-$K376)</f>
        <v>10436886.238206843</v>
      </c>
      <c r="AX376" s="891">
        <f>VLOOKUP($E376,AU$442:AX$453,4,FALSE)*AU376*($K376)+(AU376-AV376-AW376)*(1-$K376)</f>
        <v>12043997.480968043</v>
      </c>
      <c r="AY376" s="904"/>
      <c r="BC376" s="891">
        <f t="shared" si="974"/>
        <v>40158501</v>
      </c>
      <c r="BD376" s="891">
        <f>VLOOKUP($E376,BC$442:BF$453,2,FALSE)*BC376*($K376)+IF($G376&lt;&gt;0,($H376/$G376)*BC376,0)*(1-$K376)</f>
        <v>17677617.280825108</v>
      </c>
      <c r="BE376" s="891">
        <f>VLOOKUP($E376,BC$442:BF$453,3,FALSE)*BC376*($K376)+IF($G376&lt;&gt;0,($I376/$G376)*BC376,0)*(1-$K376)</f>
        <v>10436886.238206843</v>
      </c>
      <c r="BF376" s="891">
        <f>VLOOKUP($E376,BC$442:BF$453,4,FALSE)*BC376*($K376)+(BC376-BD376-BE376)*(1-$K376)</f>
        <v>12043997.480968043</v>
      </c>
      <c r="BG376" s="904"/>
      <c r="BK376" s="891">
        <f t="shared" si="978"/>
        <v>40158501</v>
      </c>
      <c r="BL376" s="891">
        <f>VLOOKUP($E376,BK$442:BN$453,2,FALSE)*BK376*($K376)+IF($G376&lt;&gt;0,($H376/$G376)*BK376,0)*(1-$K376)</f>
        <v>17677617.280825108</v>
      </c>
      <c r="BM376" s="891">
        <f>VLOOKUP($E376,BK$442:BN$453,3,FALSE)*BK376*($K376)+IF($G376&lt;&gt;0,($I376/$G376)*BK376,0)*(1-$K376)</f>
        <v>10436886.238206843</v>
      </c>
      <c r="BN376" s="891">
        <f>VLOOKUP($E376,BK$442:BN$453,4,FALSE)*BK376*($K376)+(BK376-BL376-BM376)*(1-$K376)</f>
        <v>12043997.480968043</v>
      </c>
      <c r="BO376" s="904"/>
      <c r="BS376" s="891">
        <f t="shared" si="982"/>
        <v>40158501</v>
      </c>
      <c r="BT376" s="891">
        <f>VLOOKUP($E376,BS$442:BV$453,2,FALSE)*BS376*($K376)+IF($G376&lt;&gt;0,($H376/$G376)*BS376,0)*(1-$K376)</f>
        <v>17677617.280825108</v>
      </c>
      <c r="BU376" s="891">
        <f>VLOOKUP($E376,BS$442:BV$453,3,FALSE)*BS376*($K376)+IF($G376&lt;&gt;0,($I376/$G376)*BS376,0)*(1-$K376)</f>
        <v>10436886.238206843</v>
      </c>
      <c r="BV376" s="891">
        <f>VLOOKUP($E376,BS$442:BV$453,4,FALSE)*BS376*($K376)+(BS376-BT376-BU376)*(1-$K376)</f>
        <v>12043997.480968043</v>
      </c>
      <c r="BW376" s="904"/>
      <c r="CA376" s="891">
        <f t="shared" si="986"/>
        <v>40158501</v>
      </c>
      <c r="CB376" s="891">
        <f>VLOOKUP($E376,CA$442:CD$453,2,FALSE)*CA376*($K376)+IF($G376&lt;&gt;0,($H376/$G376)*CA376,0)*(1-$K376)</f>
        <v>17677617.280825108</v>
      </c>
      <c r="CC376" s="891">
        <f>VLOOKUP($E376,CA$442:CD$453,3,FALSE)*CA376*($K376)+IF($G376&lt;&gt;0,($I376/$G376)*CA376,0)*(1-$K376)</f>
        <v>10436886.238206843</v>
      </c>
      <c r="CD376" s="891">
        <f>VLOOKUP($E376,CA$442:CD$453,4,FALSE)*CA376*($K376)+(CA376-CB376-CC376)*(1-$K376)</f>
        <v>12043997.480968043</v>
      </c>
      <c r="CE376" s="904"/>
      <c r="CI376" s="891">
        <f t="shared" si="990"/>
        <v>40158501</v>
      </c>
      <c r="CJ376" s="891">
        <f>VLOOKUP($E376,CI$442:CL$453,2,FALSE)*CI376*($K376)+IF($G376&lt;&gt;0,($H376/$G376)*CI376,0)*(1-$K376)</f>
        <v>17677617.280825108</v>
      </c>
      <c r="CK376" s="891">
        <f>VLOOKUP($E376,CI$442:CL$453,3,FALSE)*CI376*($K376)+IF($G376&lt;&gt;0,($I376/$G376)*CI376,0)*(1-$K376)</f>
        <v>10436886.238206843</v>
      </c>
      <c r="CL376" s="891">
        <f>VLOOKUP($E376,CI$442:CL$453,4,FALSE)*CI376*($K376)+(CI376-CJ376-CK376)*(1-$K376)</f>
        <v>12043997.480968043</v>
      </c>
      <c r="CM376" s="904"/>
      <c r="CQ376" s="891">
        <f t="shared" si="994"/>
        <v>40158501</v>
      </c>
      <c r="CR376" s="891">
        <f>VLOOKUP($E376,CQ$442:CT$453,2,FALSE)*CQ376*($K376)+IF($G376&lt;&gt;0,($H376/$G376)*CQ376,0)*(1-$K376)</f>
        <v>17677617.280825108</v>
      </c>
      <c r="CS376" s="891">
        <f>VLOOKUP($E376,CQ$442:CT$453,3,FALSE)*CQ376*($K376)+IF($G376&lt;&gt;0,($I376/$G376)*CQ376,0)*(1-$K376)</f>
        <v>10436886.238206843</v>
      </c>
      <c r="CT376" s="891">
        <f>VLOOKUP($E376,CQ$442:CT$453,4,FALSE)*CQ376*($K376)+(CQ376-CR376-CS376)*(1-$K376)</f>
        <v>12043997.480968043</v>
      </c>
      <c r="CU376" s="904"/>
      <c r="CY376" s="891">
        <f t="shared" si="998"/>
        <v>40158501</v>
      </c>
      <c r="CZ376" s="891">
        <f>VLOOKUP($E376,CY$442:DB$453,2,FALSE)*CY376*($K376)+IF($G376&lt;&gt;0,($H376/$G376)*CY376,0)*(1-$K376)</f>
        <v>17677617.280825108</v>
      </c>
      <c r="DA376" s="891">
        <f>VLOOKUP($E376,CY$442:DB$453,3,FALSE)*CY376*($K376)+IF($G376&lt;&gt;0,($I376/$G376)*CY376,0)*(1-$K376)</f>
        <v>10436886.238206843</v>
      </c>
      <c r="DB376" s="891">
        <f>VLOOKUP($E376,CY$442:DB$453,4,FALSE)*CY376*($K376)+(CY376-CZ376-DA376)*(1-$K376)</f>
        <v>12043997.480968043</v>
      </c>
      <c r="DC376" s="904"/>
      <c r="DG376" s="891">
        <f t="shared" si="1002"/>
        <v>40158501</v>
      </c>
      <c r="DH376" s="891">
        <f>VLOOKUP($E376,DG$442:DJ$453,2,FALSE)*DG376*($K376)+IF($G376&lt;&gt;0,($H376/$G376)*DG376,0)*(1-$K376)</f>
        <v>17677617.280825108</v>
      </c>
      <c r="DI376" s="891">
        <f>VLOOKUP($E376,DG$442:DJ$453,3,FALSE)*DG376*($K376)+IF($G376&lt;&gt;0,($I376/$G376)*DG376,0)*(1-$K376)</f>
        <v>10436886.238206843</v>
      </c>
      <c r="DJ376" s="891">
        <f>VLOOKUP($E376,DG$442:DJ$453,4,FALSE)*DG376*($K376)+(DG376-DH376-DI376)*(1-$K376)</f>
        <v>12043997.480968043</v>
      </c>
      <c r="DK376" s="904"/>
      <c r="DO376" s="891">
        <f t="shared" si="1006"/>
        <v>40158501</v>
      </c>
      <c r="DP376" s="891">
        <f>VLOOKUP($E376,DO$442:DR$453,2,FALSE)*DO376*($K376)+IF($G376&lt;&gt;0,($H376/$G376)*DO376,0)*(1-$K376)</f>
        <v>17677617.280825108</v>
      </c>
      <c r="DQ376" s="891">
        <f>VLOOKUP($E376,DO$442:DR$453,3,FALSE)*DO376*($K376)+IF($G376&lt;&gt;0,($I376/$G376)*DO376,0)*(1-$K376)</f>
        <v>10436886.238206843</v>
      </c>
      <c r="DR376" s="891">
        <f>VLOOKUP($E376,DO$442:DR$453,4,FALSE)*DO376*($K376)+(DO376-DP376-DQ376)*(1-$K376)</f>
        <v>12043997.480968043</v>
      </c>
      <c r="DS376" s="904"/>
      <c r="DW376" s="891">
        <f t="shared" si="1010"/>
        <v>40158501</v>
      </c>
      <c r="DX376" s="891">
        <f>VLOOKUP($E376,DW$442:DZ$453,2,FALSE)*DW376*($K376)+IF($G376&lt;&gt;0,($H376/$G376)*DW376,0)*(1-$K376)</f>
        <v>17677617.280825108</v>
      </c>
      <c r="DY376" s="891">
        <f>VLOOKUP($E376,DW$442:DZ$453,3,FALSE)*DW376*($K376)+IF($G376&lt;&gt;0,($I376/$G376)*DW376,0)*(1-$K376)</f>
        <v>10436886.238206843</v>
      </c>
      <c r="DZ376" s="891">
        <f>VLOOKUP($E376,DW$442:DZ$453,4,FALSE)*DW376*($K376)+(DW376-DX376-DY376)*(1-$K376)</f>
        <v>12043997.480968043</v>
      </c>
      <c r="EA376" s="904"/>
      <c r="EE376" s="891">
        <f t="shared" si="1014"/>
        <v>40158501</v>
      </c>
      <c r="EF376" s="891">
        <f>VLOOKUP($E376,EE$442:EH$453,2,FALSE)*EE376*($K376)+IF($G376&lt;&gt;0,($H376/$G376)*EE376,0)*(1-$K376)</f>
        <v>17677617.280825108</v>
      </c>
      <c r="EG376" s="891">
        <f>VLOOKUP($E376,EE$442:EH$453,3,FALSE)*EE376*($K376)+IF($G376&lt;&gt;0,($I376/$G376)*EE376,0)*(1-$K376)</f>
        <v>10436886.238206843</v>
      </c>
      <c r="EH376" s="891">
        <f>VLOOKUP($E376,EE$442:EH$453,4,FALSE)*EE376*($K376)+(EE376-EF376-EG376)*(1-$K376)</f>
        <v>12043997.480968043</v>
      </c>
      <c r="EI376" s="904"/>
      <c r="EM376" s="891">
        <f t="shared" si="1018"/>
        <v>40158501</v>
      </c>
      <c r="EN376" s="891">
        <f>VLOOKUP($E376,EM$442:EP$453,2,FALSE)*EM376*($K376)+IF($G376&lt;&gt;0,($H376/$G376)*EM376,0)*(1-$K376)</f>
        <v>17677617.280825108</v>
      </c>
      <c r="EO376" s="891">
        <f>VLOOKUP($E376,EM$442:EP$453,3,FALSE)*EM376*($K376)+IF($G376&lt;&gt;0,($I376/$G376)*EM376,0)*(1-$K376)</f>
        <v>10436886.238206843</v>
      </c>
      <c r="EP376" s="891">
        <f>VLOOKUP($E376,EM$442:EP$453,4,FALSE)*EM376*($K376)+(EM376-EN376-EO376)*(1-$K376)</f>
        <v>12043997.480968043</v>
      </c>
      <c r="EQ376" s="904"/>
      <c r="EU376" s="891">
        <f t="shared" si="1022"/>
        <v>40158501</v>
      </c>
      <c r="EV376" s="891">
        <f>VLOOKUP($E376,EU$442:EX$453,2,FALSE)*EU376*($K376)+IF($G376&lt;&gt;0,($H376/$G376)*EU376,0)*(1-$K376)</f>
        <v>17677617.280825108</v>
      </c>
      <c r="EW376" s="891">
        <f>VLOOKUP($E376,EU$442:EX$453,3,FALSE)*EU376*($K376)+IF($G376&lt;&gt;0,($I376/$G376)*EU376,0)*(1-$K376)</f>
        <v>10436886.238206843</v>
      </c>
      <c r="EX376" s="891">
        <f>VLOOKUP($E376,EU$442:EX$453,4,FALSE)*EU376*($K376)+(EU376-EV376-EW376)*(1-$K376)</f>
        <v>12043997.480968043</v>
      </c>
      <c r="EY376" s="904"/>
      <c r="FC376" s="891">
        <f t="shared" si="1026"/>
        <v>40158501</v>
      </c>
      <c r="FD376" s="891">
        <f>VLOOKUP($E376,FC$442:FF$453,2,FALSE)*FC376*($K376)+IF($G376&lt;&gt;0,($H376/$G376)*FC376,0)*(1-$K376)</f>
        <v>17677617.280825108</v>
      </c>
      <c r="FE376" s="891">
        <f>VLOOKUP($E376,FC$442:FF$453,3,FALSE)*FC376*($K376)+IF($G376&lt;&gt;0,($I376/$G376)*FC376,0)*(1-$K376)</f>
        <v>10436886.238206843</v>
      </c>
      <c r="FF376" s="891">
        <f>VLOOKUP($E376,FC$442:FF$453,4,FALSE)*FC376*($K376)+(FC376-FD376-FE376)*(1-$K376)</f>
        <v>12043997.480968043</v>
      </c>
      <c r="FG376" s="904"/>
      <c r="FK376" s="891">
        <f t="shared" si="1030"/>
        <v>40158501</v>
      </c>
      <c r="FL376" s="891">
        <f>VLOOKUP($E376,FK$442:FN$453,2,FALSE)*FK376*($K376)+IF($G376&lt;&gt;0,($H376/$G376)*FK376,0)*(1-$K376)</f>
        <v>17677617.280825108</v>
      </c>
      <c r="FM376" s="891">
        <f>VLOOKUP($E376,FK$442:FN$453,3,FALSE)*FK376*($K376)+IF($G376&lt;&gt;0,($I376/$G376)*FK376,0)*(1-$K376)</f>
        <v>10436886.238206843</v>
      </c>
      <c r="FN376" s="891">
        <f>VLOOKUP($E376,FK$442:FN$453,4,FALSE)*FK376*($K376)+(FK376-FL376-FM376)*(1-$K376)</f>
        <v>12043997.480968043</v>
      </c>
      <c r="FO376" s="904"/>
    </row>
    <row r="377" spans="2:171" x14ac:dyDescent="0.25">
      <c r="K377" s="904"/>
      <c r="S377" s="904"/>
      <c r="AA377" s="904"/>
      <c r="AI377" s="904"/>
      <c r="AQ377" s="904"/>
      <c r="AY377" s="904"/>
      <c r="BG377" s="904"/>
      <c r="BO377" s="904"/>
      <c r="BW377" s="904"/>
      <c r="CE377" s="904"/>
      <c r="CM377" s="904"/>
      <c r="CU377" s="904"/>
      <c r="DC377" s="904"/>
      <c r="DK377" s="904"/>
      <c r="DS377" s="904"/>
      <c r="EA377" s="904"/>
      <c r="EI377" s="904"/>
      <c r="EQ377" s="904"/>
      <c r="EY377" s="904"/>
      <c r="FG377" s="904"/>
      <c r="FO377" s="904"/>
    </row>
    <row r="378" spans="2:171" x14ac:dyDescent="0.25">
      <c r="C378" s="108" t="s">
        <v>523</v>
      </c>
      <c r="G378" s="1634">
        <f>SUM(G370:G377)</f>
        <v>386417387</v>
      </c>
      <c r="H378" s="1634">
        <f>SUM(H370:H377)</f>
        <v>161079402.28082511</v>
      </c>
      <c r="I378" s="1634">
        <f>SUM(I370:I377)</f>
        <v>0</v>
      </c>
      <c r="J378" s="1634">
        <f>SUM(J370:J377)</f>
        <v>225337984.71917489</v>
      </c>
      <c r="K378" s="904"/>
      <c r="O378" s="906">
        <f>SUM(O370:O377)</f>
        <v>386417387</v>
      </c>
      <c r="P378" s="906">
        <f>SUM(P370:P377)</f>
        <v>161079402.28082511</v>
      </c>
      <c r="Q378" s="906">
        <f>SUM(Q370:Q377)</f>
        <v>10436886.238206843</v>
      </c>
      <c r="R378" s="906">
        <f>SUM(R370:R377)</f>
        <v>214901098.48096806</v>
      </c>
      <c r="S378" s="904"/>
      <c r="W378" s="906">
        <f>SUM(W370:W377)</f>
        <v>386417387</v>
      </c>
      <c r="X378" s="906">
        <f>SUM(X370:X377)</f>
        <v>161079402.28082511</v>
      </c>
      <c r="Y378" s="906">
        <f>SUM(Y370:Y377)</f>
        <v>10436886.238206843</v>
      </c>
      <c r="Z378" s="906">
        <f>SUM(Z370:Z377)</f>
        <v>214901098.48096806</v>
      </c>
      <c r="AA378" s="904"/>
      <c r="AE378" s="906">
        <f>SUM(AE370:AE377)</f>
        <v>386417387</v>
      </c>
      <c r="AF378" s="906">
        <f>SUM(AF370:AF377)</f>
        <v>161079402.28082511</v>
      </c>
      <c r="AG378" s="906">
        <f>SUM(AG370:AG377)</f>
        <v>10436886.238206843</v>
      </c>
      <c r="AH378" s="906">
        <f>SUM(AH370:AH377)</f>
        <v>214901098.48096806</v>
      </c>
      <c r="AI378" s="904"/>
      <c r="AM378" s="906">
        <f>SUM(AM370:AM377)</f>
        <v>386417387</v>
      </c>
      <c r="AN378" s="906">
        <f>SUM(AN370:AN377)</f>
        <v>161079402.28082511</v>
      </c>
      <c r="AO378" s="906">
        <f>SUM(AO370:AO377)</f>
        <v>10436886.238206843</v>
      </c>
      <c r="AP378" s="906">
        <f>SUM(AP370:AP377)</f>
        <v>214901098.48096806</v>
      </c>
      <c r="AQ378" s="904"/>
      <c r="AU378" s="906">
        <f>SUM(AU370:AU377)</f>
        <v>386417387</v>
      </c>
      <c r="AV378" s="906">
        <f>SUM(AV370:AV377)</f>
        <v>161079402.28082511</v>
      </c>
      <c r="AW378" s="906">
        <f>SUM(AW370:AW377)</f>
        <v>10436886.238206843</v>
      </c>
      <c r="AX378" s="906">
        <f>SUM(AX370:AX377)</f>
        <v>214901098.48096806</v>
      </c>
      <c r="AY378" s="904"/>
      <c r="BC378" s="906">
        <f>SUM(BC370:BC377)</f>
        <v>386417387</v>
      </c>
      <c r="BD378" s="906">
        <f>SUM(BD370:BD377)</f>
        <v>161079402.28082511</v>
      </c>
      <c r="BE378" s="906">
        <f>SUM(BE370:BE377)</f>
        <v>10436886.238206843</v>
      </c>
      <c r="BF378" s="906">
        <f>SUM(BF370:BF377)</f>
        <v>214901098.48096806</v>
      </c>
      <c r="BG378" s="904"/>
      <c r="BK378" s="906">
        <f>SUM(BK370:BK377)</f>
        <v>386417387</v>
      </c>
      <c r="BL378" s="906">
        <f>SUM(BL370:BL377)</f>
        <v>161079402.28082511</v>
      </c>
      <c r="BM378" s="906">
        <f>SUM(BM370:BM377)</f>
        <v>10436886.238206843</v>
      </c>
      <c r="BN378" s="906">
        <f>SUM(BN370:BN377)</f>
        <v>214901098.48096806</v>
      </c>
      <c r="BO378" s="904"/>
      <c r="BS378" s="906">
        <f>SUM(BS370:BS377)</f>
        <v>386417387</v>
      </c>
      <c r="BT378" s="906">
        <f>SUM(BT370:BT377)</f>
        <v>161079402.28082511</v>
      </c>
      <c r="BU378" s="906">
        <f>SUM(BU370:BU377)</f>
        <v>10436886.238206843</v>
      </c>
      <c r="BV378" s="906">
        <f>SUM(BV370:BV377)</f>
        <v>214901098.48096806</v>
      </c>
      <c r="BW378" s="904"/>
      <c r="CA378" s="906">
        <f>SUM(CA370:CA377)</f>
        <v>386417387</v>
      </c>
      <c r="CB378" s="906">
        <f>SUM(CB370:CB377)</f>
        <v>161079402.28082511</v>
      </c>
      <c r="CC378" s="906">
        <f>SUM(CC370:CC377)</f>
        <v>10436886.238206843</v>
      </c>
      <c r="CD378" s="906">
        <f>SUM(CD370:CD377)</f>
        <v>214901098.48096806</v>
      </c>
      <c r="CE378" s="904"/>
      <c r="CI378" s="906">
        <f>SUM(CI370:CI377)</f>
        <v>386417387</v>
      </c>
      <c r="CJ378" s="906">
        <f>SUM(CJ370:CJ377)</f>
        <v>161079402.28082511</v>
      </c>
      <c r="CK378" s="906">
        <f>SUM(CK370:CK377)</f>
        <v>10436886.238206843</v>
      </c>
      <c r="CL378" s="906">
        <f>SUM(CL370:CL377)</f>
        <v>214901098.48096806</v>
      </c>
      <c r="CM378" s="904"/>
      <c r="CQ378" s="906">
        <f>SUM(CQ370:CQ377)</f>
        <v>386417387</v>
      </c>
      <c r="CR378" s="906">
        <f>SUM(CR370:CR377)</f>
        <v>161079402.28082511</v>
      </c>
      <c r="CS378" s="906">
        <f>SUM(CS370:CS377)</f>
        <v>10436886.238206843</v>
      </c>
      <c r="CT378" s="906">
        <f>SUM(CT370:CT377)</f>
        <v>214901098.48096806</v>
      </c>
      <c r="CU378" s="904"/>
      <c r="CY378" s="906">
        <f>SUM(CY370:CY377)</f>
        <v>386417387</v>
      </c>
      <c r="CZ378" s="906">
        <f>SUM(CZ370:CZ377)</f>
        <v>161079402.28082511</v>
      </c>
      <c r="DA378" s="906">
        <f>SUM(DA370:DA377)</f>
        <v>10436886.238206843</v>
      </c>
      <c r="DB378" s="906">
        <f>SUM(DB370:DB377)</f>
        <v>214901098.48096806</v>
      </c>
      <c r="DC378" s="904"/>
      <c r="DG378" s="906">
        <f>SUM(DG370:DG377)</f>
        <v>386417387</v>
      </c>
      <c r="DH378" s="906">
        <f>SUM(DH370:DH377)</f>
        <v>161079402.28082511</v>
      </c>
      <c r="DI378" s="906">
        <f>SUM(DI370:DI377)</f>
        <v>10436886.238206843</v>
      </c>
      <c r="DJ378" s="906">
        <f>SUM(DJ370:DJ377)</f>
        <v>214901098.48096806</v>
      </c>
      <c r="DK378" s="904"/>
      <c r="DO378" s="906">
        <f>SUM(DO370:DO377)</f>
        <v>386417387</v>
      </c>
      <c r="DP378" s="906">
        <f>SUM(DP370:DP377)</f>
        <v>161079402.28082511</v>
      </c>
      <c r="DQ378" s="906">
        <f>SUM(DQ370:DQ377)</f>
        <v>10436886.238206843</v>
      </c>
      <c r="DR378" s="906">
        <f>SUM(DR370:DR377)</f>
        <v>214901098.48096806</v>
      </c>
      <c r="DS378" s="904"/>
      <c r="DW378" s="906">
        <f>SUM(DW370:DW377)</f>
        <v>386417387</v>
      </c>
      <c r="DX378" s="906">
        <f>SUM(DX370:DX377)</f>
        <v>161079402.28082511</v>
      </c>
      <c r="DY378" s="906">
        <f>SUM(DY370:DY377)</f>
        <v>10436886.238206843</v>
      </c>
      <c r="DZ378" s="906">
        <f>SUM(DZ370:DZ377)</f>
        <v>214901098.48096806</v>
      </c>
      <c r="EA378" s="904"/>
      <c r="EE378" s="906">
        <f>SUM(EE370:EE377)</f>
        <v>386417387</v>
      </c>
      <c r="EF378" s="906">
        <f>SUM(EF370:EF377)</f>
        <v>161079402.28082511</v>
      </c>
      <c r="EG378" s="906">
        <f>SUM(EG370:EG377)</f>
        <v>10436886.238206843</v>
      </c>
      <c r="EH378" s="906">
        <f>SUM(EH370:EH377)</f>
        <v>214901098.48096806</v>
      </c>
      <c r="EI378" s="904"/>
      <c r="EM378" s="906">
        <f>SUM(EM370:EM377)</f>
        <v>386417387</v>
      </c>
      <c r="EN378" s="906">
        <f>SUM(EN370:EN377)</f>
        <v>161079402.28082511</v>
      </c>
      <c r="EO378" s="906">
        <f>SUM(EO370:EO377)</f>
        <v>10436886.238206843</v>
      </c>
      <c r="EP378" s="906">
        <f>SUM(EP370:EP377)</f>
        <v>214901098.48096806</v>
      </c>
      <c r="EQ378" s="904"/>
      <c r="EU378" s="906">
        <f>SUM(EU370:EU377)</f>
        <v>386417387</v>
      </c>
      <c r="EV378" s="906">
        <f>SUM(EV370:EV377)</f>
        <v>161079402.28082511</v>
      </c>
      <c r="EW378" s="906">
        <f>SUM(EW370:EW377)</f>
        <v>10436886.238206843</v>
      </c>
      <c r="EX378" s="906">
        <f>SUM(EX370:EX377)</f>
        <v>214901098.48096806</v>
      </c>
      <c r="EY378" s="904"/>
      <c r="FC378" s="906">
        <f>SUM(FC370:FC377)</f>
        <v>386417387</v>
      </c>
      <c r="FD378" s="906">
        <f>SUM(FD370:FD377)</f>
        <v>161079402.28082511</v>
      </c>
      <c r="FE378" s="906">
        <f>SUM(FE370:FE377)</f>
        <v>10436886.238206843</v>
      </c>
      <c r="FF378" s="906">
        <f>SUM(FF370:FF377)</f>
        <v>214901098.48096806</v>
      </c>
      <c r="FG378" s="904"/>
      <c r="FK378" s="906">
        <f>SUM(FK370:FK377)</f>
        <v>386417387</v>
      </c>
      <c r="FL378" s="906">
        <f>SUM(FL370:FL377)</f>
        <v>161079402.28082511</v>
      </c>
      <c r="FM378" s="906">
        <f>SUM(FM370:FM377)</f>
        <v>10436886.238206843</v>
      </c>
      <c r="FN378" s="906">
        <f>SUM(FN370:FN377)</f>
        <v>214901098.48096806</v>
      </c>
      <c r="FO378" s="904"/>
    </row>
    <row r="379" spans="2:171" x14ac:dyDescent="0.25">
      <c r="D379" s="1299" t="s">
        <v>639</v>
      </c>
      <c r="E379" s="1295"/>
      <c r="G379" s="1635">
        <f>SUM(H379:J379)</f>
        <v>1</v>
      </c>
      <c r="H379" s="1635">
        <f>H378/$G378</f>
        <v>0.41685340178759894</v>
      </c>
      <c r="I379" s="1635">
        <f>I378/$G378</f>
        <v>0</v>
      </c>
      <c r="J379" s="1635">
        <f>J378/$G378</f>
        <v>0.58314659821240111</v>
      </c>
      <c r="K379" s="904"/>
      <c r="L379" s="1075" t="s">
        <v>639</v>
      </c>
      <c r="O379" s="1078">
        <f>SUM(P379:R379)</f>
        <v>1</v>
      </c>
      <c r="P379" s="1078">
        <f>P378/$G378</f>
        <v>0.41685340178759894</v>
      </c>
      <c r="Q379" s="1078">
        <f>Q378/$G378</f>
        <v>2.7009359799347855E-2</v>
      </c>
      <c r="R379" s="1078">
        <f>R378/$G378</f>
        <v>0.55613723841305318</v>
      </c>
      <c r="S379" s="904"/>
      <c r="T379" s="1075" t="s">
        <v>639</v>
      </c>
      <c r="W379" s="1078">
        <f>SUM(X379:Z379)</f>
        <v>1</v>
      </c>
      <c r="X379" s="1078">
        <f>X378/$G378</f>
        <v>0.41685340178759894</v>
      </c>
      <c r="Y379" s="1078">
        <f>Y378/$G378</f>
        <v>2.7009359799347855E-2</v>
      </c>
      <c r="Z379" s="1078">
        <f>Z378/$G378</f>
        <v>0.55613723841305318</v>
      </c>
      <c r="AA379" s="904"/>
      <c r="AB379" s="1075" t="s">
        <v>639</v>
      </c>
      <c r="AE379" s="1078">
        <f>SUM(AF379:AH379)</f>
        <v>1</v>
      </c>
      <c r="AF379" s="1078">
        <f>AF378/$G378</f>
        <v>0.41685340178759894</v>
      </c>
      <c r="AG379" s="1078">
        <f>AG378/$G378</f>
        <v>2.7009359799347855E-2</v>
      </c>
      <c r="AH379" s="1078">
        <f>AH378/$G378</f>
        <v>0.55613723841305318</v>
      </c>
      <c r="AI379" s="904"/>
      <c r="AJ379" s="1075" t="s">
        <v>639</v>
      </c>
      <c r="AM379" s="1078">
        <f>SUM(AN379:AP379)</f>
        <v>1</v>
      </c>
      <c r="AN379" s="1078">
        <f>AN378/$G378</f>
        <v>0.41685340178759894</v>
      </c>
      <c r="AO379" s="1078">
        <f>AO378/$G378</f>
        <v>2.7009359799347855E-2</v>
      </c>
      <c r="AP379" s="1078">
        <f>AP378/$G378</f>
        <v>0.55613723841305318</v>
      </c>
      <c r="AQ379" s="904"/>
      <c r="AR379" s="1075" t="s">
        <v>639</v>
      </c>
      <c r="AU379" s="1078">
        <f>SUM(AV379:AX379)</f>
        <v>1</v>
      </c>
      <c r="AV379" s="1078">
        <f>AV378/$G378</f>
        <v>0.41685340178759894</v>
      </c>
      <c r="AW379" s="1078">
        <f>AW378/$G378</f>
        <v>2.7009359799347855E-2</v>
      </c>
      <c r="AX379" s="1078">
        <f>AX378/$G378</f>
        <v>0.55613723841305318</v>
      </c>
      <c r="AY379" s="904"/>
      <c r="AZ379" s="1075" t="s">
        <v>639</v>
      </c>
      <c r="BC379" s="1078">
        <f>SUM(BD379:BF379)</f>
        <v>1</v>
      </c>
      <c r="BD379" s="1078">
        <f>BD378/$G378</f>
        <v>0.41685340178759894</v>
      </c>
      <c r="BE379" s="1078">
        <f>BE378/$G378</f>
        <v>2.7009359799347855E-2</v>
      </c>
      <c r="BF379" s="1078">
        <f>BF378/$G378</f>
        <v>0.55613723841305318</v>
      </c>
      <c r="BG379" s="904"/>
      <c r="BH379" s="1075" t="s">
        <v>639</v>
      </c>
      <c r="BK379" s="1078">
        <f>SUM(BL379:BN379)</f>
        <v>1</v>
      </c>
      <c r="BL379" s="1078">
        <f>BL378/$G378</f>
        <v>0.41685340178759894</v>
      </c>
      <c r="BM379" s="1078">
        <f>BM378/$G378</f>
        <v>2.7009359799347855E-2</v>
      </c>
      <c r="BN379" s="1078">
        <f>BN378/$G378</f>
        <v>0.55613723841305318</v>
      </c>
      <c r="BO379" s="904"/>
      <c r="BP379" s="1075" t="s">
        <v>639</v>
      </c>
      <c r="BS379" s="1078">
        <f>SUM(BT379:BV379)</f>
        <v>1</v>
      </c>
      <c r="BT379" s="1078">
        <f>BT378/$G378</f>
        <v>0.41685340178759894</v>
      </c>
      <c r="BU379" s="1078">
        <f>BU378/$G378</f>
        <v>2.7009359799347855E-2</v>
      </c>
      <c r="BV379" s="1078">
        <f>BV378/$G378</f>
        <v>0.55613723841305318</v>
      </c>
      <c r="BW379" s="904"/>
      <c r="BX379" s="1075" t="s">
        <v>639</v>
      </c>
      <c r="CA379" s="1078">
        <f>SUM(CB379:CD379)</f>
        <v>1</v>
      </c>
      <c r="CB379" s="1078">
        <f>CB378/$G378</f>
        <v>0.41685340178759894</v>
      </c>
      <c r="CC379" s="1078">
        <f>CC378/$G378</f>
        <v>2.7009359799347855E-2</v>
      </c>
      <c r="CD379" s="1078">
        <f>CD378/$G378</f>
        <v>0.55613723841305318</v>
      </c>
      <c r="CE379" s="904"/>
      <c r="CF379" s="1075" t="s">
        <v>639</v>
      </c>
      <c r="CI379" s="1078">
        <f>SUM(CJ379:CL379)</f>
        <v>1</v>
      </c>
      <c r="CJ379" s="1078">
        <f>CJ378/$G378</f>
        <v>0.41685340178759894</v>
      </c>
      <c r="CK379" s="1078">
        <f>CK378/$G378</f>
        <v>2.7009359799347855E-2</v>
      </c>
      <c r="CL379" s="1078">
        <f>CL378/$G378</f>
        <v>0.55613723841305318</v>
      </c>
      <c r="CM379" s="904"/>
      <c r="CN379" s="1075" t="s">
        <v>639</v>
      </c>
      <c r="CQ379" s="1078">
        <f>SUM(CR379:CT379)</f>
        <v>1</v>
      </c>
      <c r="CR379" s="1078">
        <f>CR378/$G378</f>
        <v>0.41685340178759894</v>
      </c>
      <c r="CS379" s="1078">
        <f>CS378/$G378</f>
        <v>2.7009359799347855E-2</v>
      </c>
      <c r="CT379" s="1078">
        <f>CT378/$G378</f>
        <v>0.55613723841305318</v>
      </c>
      <c r="CU379" s="904"/>
      <c r="CV379" s="1075" t="s">
        <v>639</v>
      </c>
      <c r="CY379" s="1078">
        <f>SUM(CZ379:DB379)</f>
        <v>1</v>
      </c>
      <c r="CZ379" s="1078">
        <f>CZ378/$G378</f>
        <v>0.41685340178759894</v>
      </c>
      <c r="DA379" s="1078">
        <f>DA378/$G378</f>
        <v>2.7009359799347855E-2</v>
      </c>
      <c r="DB379" s="1078">
        <f>DB378/$G378</f>
        <v>0.55613723841305318</v>
      </c>
      <c r="DC379" s="904"/>
      <c r="DD379" s="1075" t="s">
        <v>639</v>
      </c>
      <c r="DG379" s="1078">
        <f>SUM(DH379:DJ379)</f>
        <v>1</v>
      </c>
      <c r="DH379" s="1078">
        <f>DH378/$G378</f>
        <v>0.41685340178759894</v>
      </c>
      <c r="DI379" s="1078">
        <f>DI378/$G378</f>
        <v>2.7009359799347855E-2</v>
      </c>
      <c r="DJ379" s="1078">
        <f>DJ378/$G378</f>
        <v>0.55613723841305318</v>
      </c>
      <c r="DK379" s="904"/>
      <c r="DL379" s="1075" t="s">
        <v>639</v>
      </c>
      <c r="DO379" s="1078">
        <f>SUM(DP379:DR379)</f>
        <v>1</v>
      </c>
      <c r="DP379" s="1078">
        <f>DP378/$G378</f>
        <v>0.41685340178759894</v>
      </c>
      <c r="DQ379" s="1078">
        <f>DQ378/$G378</f>
        <v>2.7009359799347855E-2</v>
      </c>
      <c r="DR379" s="1078">
        <f>DR378/$G378</f>
        <v>0.55613723841305318</v>
      </c>
      <c r="DS379" s="904"/>
      <c r="DT379" s="1075" t="s">
        <v>639</v>
      </c>
      <c r="DW379" s="1078">
        <f>SUM(DX379:DZ379)</f>
        <v>1</v>
      </c>
      <c r="DX379" s="1078">
        <f>DX378/$G378</f>
        <v>0.41685340178759894</v>
      </c>
      <c r="DY379" s="1078">
        <f>DY378/$G378</f>
        <v>2.7009359799347855E-2</v>
      </c>
      <c r="DZ379" s="1078">
        <f>DZ378/$G378</f>
        <v>0.55613723841305318</v>
      </c>
      <c r="EA379" s="904"/>
      <c r="EB379" s="1075" t="s">
        <v>639</v>
      </c>
      <c r="EE379" s="1078">
        <f>SUM(EF379:EH379)</f>
        <v>1</v>
      </c>
      <c r="EF379" s="1078">
        <f>EF378/$G378</f>
        <v>0.41685340178759894</v>
      </c>
      <c r="EG379" s="1078">
        <f>EG378/$G378</f>
        <v>2.7009359799347855E-2</v>
      </c>
      <c r="EH379" s="1078">
        <f>EH378/$G378</f>
        <v>0.55613723841305318</v>
      </c>
      <c r="EI379" s="904"/>
      <c r="EJ379" s="1075" t="s">
        <v>639</v>
      </c>
      <c r="EM379" s="1078">
        <f>SUM(EN379:EP379)</f>
        <v>1</v>
      </c>
      <c r="EN379" s="1078">
        <f>EN378/$G378</f>
        <v>0.41685340178759894</v>
      </c>
      <c r="EO379" s="1078">
        <f>EO378/$G378</f>
        <v>2.7009359799347855E-2</v>
      </c>
      <c r="EP379" s="1078">
        <f>EP378/$G378</f>
        <v>0.55613723841305318</v>
      </c>
      <c r="EQ379" s="904"/>
      <c r="ER379" s="1075" t="s">
        <v>639</v>
      </c>
      <c r="EU379" s="1078">
        <f>SUM(EV379:EX379)</f>
        <v>1</v>
      </c>
      <c r="EV379" s="1078">
        <f>EV378/$G378</f>
        <v>0.41685340178759894</v>
      </c>
      <c r="EW379" s="1078">
        <f>EW378/$G378</f>
        <v>2.7009359799347855E-2</v>
      </c>
      <c r="EX379" s="1078">
        <f>EX378/$G378</f>
        <v>0.55613723841305318</v>
      </c>
      <c r="EY379" s="904"/>
      <c r="EZ379" s="1075" t="s">
        <v>639</v>
      </c>
      <c r="FC379" s="1078">
        <f>SUM(FD379:FF379)</f>
        <v>1</v>
      </c>
      <c r="FD379" s="1078">
        <f>FD378/$G378</f>
        <v>0.41685340178759894</v>
      </c>
      <c r="FE379" s="1078">
        <f>FE378/$G378</f>
        <v>2.7009359799347855E-2</v>
      </c>
      <c r="FF379" s="1078">
        <f>FF378/$G378</f>
        <v>0.55613723841305318</v>
      </c>
      <c r="FG379" s="904"/>
      <c r="FH379" s="1075" t="s">
        <v>639</v>
      </c>
      <c r="FK379" s="1078">
        <f>SUM(FL379:FN379)</f>
        <v>1</v>
      </c>
      <c r="FL379" s="1078">
        <f>FL378/$G378</f>
        <v>0.41685340178759894</v>
      </c>
      <c r="FM379" s="1078">
        <f>FM378/$G378</f>
        <v>2.7009359799347855E-2</v>
      </c>
      <c r="FN379" s="1078">
        <f>FN378/$G378</f>
        <v>0.55613723841305318</v>
      </c>
      <c r="FO379" s="904"/>
    </row>
    <row r="380" spans="2:171" x14ac:dyDescent="0.25">
      <c r="K380" s="904"/>
      <c r="S380" s="904"/>
      <c r="AA380" s="904"/>
      <c r="AI380" s="904"/>
      <c r="AQ380" s="904"/>
      <c r="AY380" s="904"/>
      <c r="BG380" s="904"/>
      <c r="BO380" s="904"/>
      <c r="BW380" s="904"/>
      <c r="CE380" s="904"/>
      <c r="CM380" s="904"/>
      <c r="CU380" s="904"/>
      <c r="DC380" s="904"/>
      <c r="DK380" s="904"/>
      <c r="DS380" s="904"/>
      <c r="EA380" s="904"/>
      <c r="EI380" s="904"/>
      <c r="EQ380" s="904"/>
      <c r="EY380" s="904"/>
      <c r="FG380" s="904"/>
      <c r="FO380" s="904"/>
    </row>
    <row r="381" spans="2:171" x14ac:dyDescent="0.25">
      <c r="E381" s="302" t="s">
        <v>521</v>
      </c>
      <c r="G381" s="303" t="s">
        <v>104</v>
      </c>
      <c r="H381" s="303" t="s">
        <v>105</v>
      </c>
      <c r="I381" s="303" t="s">
        <v>106</v>
      </c>
      <c r="J381" s="304" t="s">
        <v>512</v>
      </c>
      <c r="K381" s="904"/>
      <c r="O381" s="303" t="s">
        <v>104</v>
      </c>
      <c r="P381" s="303" t="s">
        <v>105</v>
      </c>
      <c r="Q381" s="303" t="s">
        <v>106</v>
      </c>
      <c r="R381" s="304" t="s">
        <v>512</v>
      </c>
      <c r="S381" s="904"/>
      <c r="W381" s="303" t="s">
        <v>104</v>
      </c>
      <c r="X381" s="303" t="s">
        <v>105</v>
      </c>
      <c r="Y381" s="303" t="s">
        <v>106</v>
      </c>
      <c r="Z381" s="304" t="s">
        <v>512</v>
      </c>
      <c r="AA381" s="904"/>
      <c r="AE381" s="303" t="s">
        <v>104</v>
      </c>
      <c r="AF381" s="303" t="s">
        <v>105</v>
      </c>
      <c r="AG381" s="303" t="s">
        <v>106</v>
      </c>
      <c r="AH381" s="304" t="s">
        <v>512</v>
      </c>
      <c r="AI381" s="904"/>
      <c r="AM381" s="303" t="s">
        <v>104</v>
      </c>
      <c r="AN381" s="303" t="s">
        <v>105</v>
      </c>
      <c r="AO381" s="303" t="s">
        <v>106</v>
      </c>
      <c r="AP381" s="304" t="s">
        <v>512</v>
      </c>
      <c r="AQ381" s="904"/>
      <c r="AU381" s="303" t="s">
        <v>104</v>
      </c>
      <c r="AV381" s="303" t="s">
        <v>105</v>
      </c>
      <c r="AW381" s="303" t="s">
        <v>106</v>
      </c>
      <c r="AX381" s="304" t="s">
        <v>512</v>
      </c>
      <c r="AY381" s="904"/>
      <c r="BC381" s="303" t="s">
        <v>104</v>
      </c>
      <c r="BD381" s="303" t="s">
        <v>105</v>
      </c>
      <c r="BE381" s="303" t="s">
        <v>106</v>
      </c>
      <c r="BF381" s="304" t="s">
        <v>512</v>
      </c>
      <c r="BG381" s="904"/>
      <c r="BK381" s="303" t="s">
        <v>104</v>
      </c>
      <c r="BL381" s="303" t="s">
        <v>105</v>
      </c>
      <c r="BM381" s="303" t="s">
        <v>106</v>
      </c>
      <c r="BN381" s="304" t="s">
        <v>512</v>
      </c>
      <c r="BO381" s="904"/>
      <c r="BS381" s="303" t="s">
        <v>104</v>
      </c>
      <c r="BT381" s="303" t="s">
        <v>105</v>
      </c>
      <c r="BU381" s="303" t="s">
        <v>106</v>
      </c>
      <c r="BV381" s="304" t="s">
        <v>512</v>
      </c>
      <c r="BW381" s="904"/>
      <c r="CA381" s="303" t="s">
        <v>104</v>
      </c>
      <c r="CB381" s="303" t="s">
        <v>105</v>
      </c>
      <c r="CC381" s="303" t="s">
        <v>106</v>
      </c>
      <c r="CD381" s="304" t="s">
        <v>512</v>
      </c>
      <c r="CE381" s="904"/>
      <c r="CI381" s="303" t="s">
        <v>104</v>
      </c>
      <c r="CJ381" s="303" t="s">
        <v>105</v>
      </c>
      <c r="CK381" s="303" t="s">
        <v>106</v>
      </c>
      <c r="CL381" s="304" t="s">
        <v>512</v>
      </c>
      <c r="CM381" s="904"/>
      <c r="CQ381" s="303" t="s">
        <v>104</v>
      </c>
      <c r="CR381" s="303" t="s">
        <v>105</v>
      </c>
      <c r="CS381" s="303" t="s">
        <v>106</v>
      </c>
      <c r="CT381" s="304" t="s">
        <v>512</v>
      </c>
      <c r="CU381" s="904"/>
      <c r="CY381" s="303" t="s">
        <v>104</v>
      </c>
      <c r="CZ381" s="303" t="s">
        <v>105</v>
      </c>
      <c r="DA381" s="303" t="s">
        <v>106</v>
      </c>
      <c r="DB381" s="304" t="s">
        <v>512</v>
      </c>
      <c r="DC381" s="904"/>
      <c r="DG381" s="303" t="s">
        <v>104</v>
      </c>
      <c r="DH381" s="303" t="s">
        <v>105</v>
      </c>
      <c r="DI381" s="303" t="s">
        <v>106</v>
      </c>
      <c r="DJ381" s="304" t="s">
        <v>512</v>
      </c>
      <c r="DK381" s="904"/>
      <c r="DO381" s="303" t="s">
        <v>104</v>
      </c>
      <c r="DP381" s="303" t="s">
        <v>105</v>
      </c>
      <c r="DQ381" s="303" t="s">
        <v>106</v>
      </c>
      <c r="DR381" s="304" t="s">
        <v>512</v>
      </c>
      <c r="DS381" s="904"/>
      <c r="DW381" s="303" t="s">
        <v>104</v>
      </c>
      <c r="DX381" s="303" t="s">
        <v>105</v>
      </c>
      <c r="DY381" s="303" t="s">
        <v>106</v>
      </c>
      <c r="DZ381" s="304" t="s">
        <v>512</v>
      </c>
      <c r="EA381" s="904"/>
      <c r="EE381" s="303" t="s">
        <v>104</v>
      </c>
      <c r="EF381" s="303" t="s">
        <v>105</v>
      </c>
      <c r="EG381" s="303" t="s">
        <v>106</v>
      </c>
      <c r="EH381" s="304" t="s">
        <v>512</v>
      </c>
      <c r="EI381" s="904"/>
      <c r="EM381" s="303" t="s">
        <v>104</v>
      </c>
      <c r="EN381" s="303" t="s">
        <v>105</v>
      </c>
      <c r="EO381" s="303" t="s">
        <v>106</v>
      </c>
      <c r="EP381" s="304" t="s">
        <v>512</v>
      </c>
      <c r="EQ381" s="904"/>
      <c r="EU381" s="303" t="s">
        <v>104</v>
      </c>
      <c r="EV381" s="303" t="s">
        <v>105</v>
      </c>
      <c r="EW381" s="303" t="s">
        <v>106</v>
      </c>
      <c r="EX381" s="304" t="s">
        <v>512</v>
      </c>
      <c r="EY381" s="904"/>
      <c r="FC381" s="303" t="s">
        <v>104</v>
      </c>
      <c r="FD381" s="303" t="s">
        <v>105</v>
      </c>
      <c r="FE381" s="303" t="s">
        <v>106</v>
      </c>
      <c r="FF381" s="304" t="s">
        <v>512</v>
      </c>
      <c r="FG381" s="904"/>
      <c r="FK381" s="303" t="s">
        <v>104</v>
      </c>
      <c r="FL381" s="303" t="s">
        <v>105</v>
      </c>
      <c r="FM381" s="303" t="s">
        <v>106</v>
      </c>
      <c r="FN381" s="304" t="s">
        <v>512</v>
      </c>
      <c r="FO381" s="904"/>
    </row>
    <row r="382" spans="2:171" x14ac:dyDescent="0.25">
      <c r="B382" s="108"/>
      <c r="C382" s="108" t="s">
        <v>125</v>
      </c>
      <c r="D382" s="1072"/>
      <c r="E382" s="905" t="str">
        <f t="shared" ref="E382:E393" si="1034">E37</f>
        <v>PTD</v>
      </c>
      <c r="G382" s="891">
        <f t="shared" ref="G382:J393" si="1035">G37</f>
        <v>10980784.643303178</v>
      </c>
      <c r="H382" s="891">
        <f t="shared" si="1035"/>
        <v>4833699.0558356559</v>
      </c>
      <c r="I382" s="891">
        <f t="shared" si="1035"/>
        <v>0</v>
      </c>
      <c r="J382" s="891">
        <f t="shared" si="1035"/>
        <v>6147085.5874675214</v>
      </c>
      <c r="K382" s="1074">
        <f t="shared" ref="K382:K393" si="1036">IF($E382="DIRECT",0,1)</f>
        <v>1</v>
      </c>
      <c r="L382" s="1072"/>
      <c r="N382" s="1073"/>
      <c r="O382" s="891">
        <f t="shared" ref="O382:R382" si="1037">O37</f>
        <v>10980784.643303178</v>
      </c>
      <c r="P382" s="891">
        <f t="shared" si="1037"/>
        <v>4833699.0558356559</v>
      </c>
      <c r="Q382" s="891">
        <f t="shared" si="1037"/>
        <v>2853821.6635228484</v>
      </c>
      <c r="R382" s="891">
        <f t="shared" si="1037"/>
        <v>3293263.9239446726</v>
      </c>
      <c r="S382" s="1074"/>
      <c r="T382" s="1072"/>
      <c r="V382" s="1073"/>
      <c r="W382" s="891">
        <f t="shared" ref="W382:Z382" si="1038">W37</f>
        <v>10980784.643303178</v>
      </c>
      <c r="X382" s="891">
        <f t="shared" si="1038"/>
        <v>4833699.0558356559</v>
      </c>
      <c r="Y382" s="891">
        <f t="shared" si="1038"/>
        <v>2853821.6635228484</v>
      </c>
      <c r="Z382" s="891">
        <f t="shared" si="1038"/>
        <v>3293263.9239446726</v>
      </c>
      <c r="AA382" s="1074"/>
      <c r="AB382" s="1072"/>
      <c r="AD382" s="1073"/>
      <c r="AE382" s="891">
        <f t="shared" ref="AE382:AH382" si="1039">AE37</f>
        <v>10980784.643303178</v>
      </c>
      <c r="AF382" s="891">
        <f t="shared" si="1039"/>
        <v>4833699.0558356559</v>
      </c>
      <c r="AG382" s="891">
        <f t="shared" si="1039"/>
        <v>2853821.6635228484</v>
      </c>
      <c r="AH382" s="891">
        <f t="shared" si="1039"/>
        <v>3293263.9239446726</v>
      </c>
      <c r="AI382" s="1074"/>
      <c r="AJ382" s="1072"/>
      <c r="AL382" s="1073"/>
      <c r="AM382" s="891">
        <f t="shared" ref="AM382:AP382" si="1040">AM37</f>
        <v>10980784.643303178</v>
      </c>
      <c r="AN382" s="891">
        <f t="shared" si="1040"/>
        <v>4833699.0558356559</v>
      </c>
      <c r="AO382" s="891">
        <f t="shared" si="1040"/>
        <v>2853821.6635228484</v>
      </c>
      <c r="AP382" s="891">
        <f t="shared" si="1040"/>
        <v>3293263.9239446726</v>
      </c>
      <c r="AQ382" s="1074"/>
      <c r="AR382" s="1072"/>
      <c r="AT382" s="1073"/>
      <c r="AU382" s="891">
        <f t="shared" ref="AU382:AX382" si="1041">AU37</f>
        <v>10980784.643303178</v>
      </c>
      <c r="AV382" s="891">
        <f t="shared" si="1041"/>
        <v>4833699.0558356559</v>
      </c>
      <c r="AW382" s="891">
        <f t="shared" si="1041"/>
        <v>2853821.6635228484</v>
      </c>
      <c r="AX382" s="891">
        <f t="shared" si="1041"/>
        <v>3293263.9239446726</v>
      </c>
      <c r="AY382" s="1074"/>
      <c r="AZ382" s="1072"/>
      <c r="BB382" s="1073"/>
      <c r="BC382" s="891">
        <f t="shared" ref="BC382:BF382" si="1042">BC37</f>
        <v>10980784.643303178</v>
      </c>
      <c r="BD382" s="891">
        <f t="shared" si="1042"/>
        <v>4833699.0558356559</v>
      </c>
      <c r="BE382" s="891">
        <f t="shared" si="1042"/>
        <v>2853821.6635228484</v>
      </c>
      <c r="BF382" s="891">
        <f t="shared" si="1042"/>
        <v>3293263.9239446726</v>
      </c>
      <c r="BG382" s="1074"/>
      <c r="BH382" s="1072"/>
      <c r="BJ382" s="1073"/>
      <c r="BK382" s="891">
        <f t="shared" ref="BK382:BN382" si="1043">BK37</f>
        <v>10980784.643303178</v>
      </c>
      <c r="BL382" s="891">
        <f t="shared" si="1043"/>
        <v>4833699.0558356559</v>
      </c>
      <c r="BM382" s="891">
        <f t="shared" si="1043"/>
        <v>2853821.6635228484</v>
      </c>
      <c r="BN382" s="891">
        <f t="shared" si="1043"/>
        <v>3293263.9239446726</v>
      </c>
      <c r="BO382" s="1074"/>
      <c r="BP382" s="1072"/>
      <c r="BR382" s="1073"/>
      <c r="BS382" s="891">
        <f t="shared" ref="BS382:BV382" si="1044">BS37</f>
        <v>10980784.643303178</v>
      </c>
      <c r="BT382" s="891">
        <f t="shared" si="1044"/>
        <v>4833699.0558356559</v>
      </c>
      <c r="BU382" s="891">
        <f t="shared" si="1044"/>
        <v>2853821.6635228484</v>
      </c>
      <c r="BV382" s="891">
        <f t="shared" si="1044"/>
        <v>3293263.9239446726</v>
      </c>
      <c r="BW382" s="1074"/>
      <c r="BX382" s="1072"/>
      <c r="BZ382" s="1073"/>
      <c r="CA382" s="891">
        <f t="shared" ref="CA382:CD382" si="1045">CA37</f>
        <v>10980784.643303178</v>
      </c>
      <c r="CB382" s="891">
        <f t="shared" si="1045"/>
        <v>4833699.0558356559</v>
      </c>
      <c r="CC382" s="891">
        <f t="shared" si="1045"/>
        <v>2853821.6635228484</v>
      </c>
      <c r="CD382" s="891">
        <f t="shared" si="1045"/>
        <v>3293263.9239446726</v>
      </c>
      <c r="CE382" s="1074"/>
      <c r="CF382" s="1072"/>
      <c r="CH382" s="1073"/>
      <c r="CI382" s="891">
        <f t="shared" ref="CI382:CL382" si="1046">CI37</f>
        <v>10980784.643303178</v>
      </c>
      <c r="CJ382" s="891">
        <f t="shared" si="1046"/>
        <v>4833699.0558356559</v>
      </c>
      <c r="CK382" s="891">
        <f t="shared" si="1046"/>
        <v>2853821.6635228484</v>
      </c>
      <c r="CL382" s="891">
        <f t="shared" si="1046"/>
        <v>3293263.9239446726</v>
      </c>
      <c r="CM382" s="1074"/>
      <c r="CN382" s="1072"/>
      <c r="CP382" s="1073"/>
      <c r="CQ382" s="891">
        <f t="shared" ref="CQ382:CT382" si="1047">CQ37</f>
        <v>10980784.643303178</v>
      </c>
      <c r="CR382" s="891">
        <f t="shared" si="1047"/>
        <v>4833699.0558356559</v>
      </c>
      <c r="CS382" s="891">
        <f t="shared" si="1047"/>
        <v>2853821.6635228484</v>
      </c>
      <c r="CT382" s="891">
        <f t="shared" si="1047"/>
        <v>3293263.9239446726</v>
      </c>
      <c r="CU382" s="1074"/>
      <c r="CV382" s="1072"/>
      <c r="CX382" s="1073"/>
      <c r="CY382" s="891">
        <f t="shared" ref="CY382:DB382" si="1048">CY37</f>
        <v>10980784.643303178</v>
      </c>
      <c r="CZ382" s="891">
        <f t="shared" si="1048"/>
        <v>4833699.0558356559</v>
      </c>
      <c r="DA382" s="891">
        <f t="shared" si="1048"/>
        <v>2853821.6635228484</v>
      </c>
      <c r="DB382" s="891">
        <f t="shared" si="1048"/>
        <v>3293263.9239446726</v>
      </c>
      <c r="DC382" s="1074"/>
      <c r="DD382" s="1072"/>
      <c r="DF382" s="1073"/>
      <c r="DG382" s="891">
        <f t="shared" ref="DG382:DJ382" si="1049">DG37</f>
        <v>10980784.643303178</v>
      </c>
      <c r="DH382" s="891">
        <f t="shared" si="1049"/>
        <v>4833699.0558356559</v>
      </c>
      <c r="DI382" s="891">
        <f t="shared" si="1049"/>
        <v>2853821.6635228484</v>
      </c>
      <c r="DJ382" s="891">
        <f t="shared" si="1049"/>
        <v>3293263.9239446726</v>
      </c>
      <c r="DK382" s="1074"/>
      <c r="DL382" s="1072"/>
      <c r="DN382" s="1073"/>
      <c r="DO382" s="891">
        <f t="shared" ref="DO382:DR382" si="1050">DO37</f>
        <v>10980784.643303178</v>
      </c>
      <c r="DP382" s="891">
        <f t="shared" si="1050"/>
        <v>4833699.0558356559</v>
      </c>
      <c r="DQ382" s="891">
        <f t="shared" si="1050"/>
        <v>2853821.6635228484</v>
      </c>
      <c r="DR382" s="891">
        <f t="shared" si="1050"/>
        <v>3293263.9239446726</v>
      </c>
      <c r="DS382" s="1074"/>
      <c r="DT382" s="1072"/>
      <c r="DV382" s="1073"/>
      <c r="DW382" s="891">
        <f t="shared" ref="DW382:DZ382" si="1051">DW37</f>
        <v>10980784.643303178</v>
      </c>
      <c r="DX382" s="891">
        <f t="shared" si="1051"/>
        <v>4833699.0558356559</v>
      </c>
      <c r="DY382" s="891">
        <f t="shared" si="1051"/>
        <v>2853821.6635228484</v>
      </c>
      <c r="DZ382" s="891">
        <f t="shared" si="1051"/>
        <v>3293263.9239446726</v>
      </c>
      <c r="EA382" s="1074"/>
      <c r="EB382" s="1072"/>
      <c r="ED382" s="1073"/>
      <c r="EE382" s="891">
        <f t="shared" ref="EE382:EH382" si="1052">EE37</f>
        <v>10980784.643303178</v>
      </c>
      <c r="EF382" s="891">
        <f t="shared" si="1052"/>
        <v>4833699.0558356559</v>
      </c>
      <c r="EG382" s="891">
        <f t="shared" si="1052"/>
        <v>2853821.6635228484</v>
      </c>
      <c r="EH382" s="891">
        <f t="shared" si="1052"/>
        <v>3293263.9239446726</v>
      </c>
      <c r="EI382" s="1074"/>
      <c r="EJ382" s="1072"/>
      <c r="EL382" s="1073"/>
      <c r="EM382" s="891">
        <f t="shared" ref="EM382:EP382" si="1053">EM37</f>
        <v>10980784.643303178</v>
      </c>
      <c r="EN382" s="891">
        <f t="shared" si="1053"/>
        <v>4833699.0558356559</v>
      </c>
      <c r="EO382" s="891">
        <f t="shared" si="1053"/>
        <v>2853821.6635228484</v>
      </c>
      <c r="EP382" s="891">
        <f t="shared" si="1053"/>
        <v>3293263.9239446726</v>
      </c>
      <c r="EQ382" s="1074"/>
      <c r="ER382" s="1072"/>
      <c r="ET382" s="1073"/>
      <c r="EU382" s="891">
        <f t="shared" ref="EU382:EX382" si="1054">EU37</f>
        <v>10980784.643303178</v>
      </c>
      <c r="EV382" s="891">
        <f t="shared" si="1054"/>
        <v>4833699.0558356559</v>
      </c>
      <c r="EW382" s="891">
        <f t="shared" si="1054"/>
        <v>2853821.6635228484</v>
      </c>
      <c r="EX382" s="891">
        <f t="shared" si="1054"/>
        <v>3293263.9239446726</v>
      </c>
      <c r="EY382" s="1074"/>
      <c r="EZ382" s="1072"/>
      <c r="FB382" s="1073"/>
      <c r="FC382" s="891">
        <f t="shared" ref="FC382:FF382" si="1055">FC37</f>
        <v>10980784.643303178</v>
      </c>
      <c r="FD382" s="891">
        <f t="shared" si="1055"/>
        <v>4833699.0558356559</v>
      </c>
      <c r="FE382" s="891">
        <f t="shared" si="1055"/>
        <v>2853821.6635228484</v>
      </c>
      <c r="FF382" s="891">
        <f t="shared" si="1055"/>
        <v>3293263.9239446726</v>
      </c>
      <c r="FG382" s="1074"/>
      <c r="FH382" s="1072"/>
      <c r="FJ382" s="1073"/>
      <c r="FK382" s="891">
        <f t="shared" ref="FK382:FN382" si="1056">FK37</f>
        <v>10980784.643303178</v>
      </c>
      <c r="FL382" s="891">
        <f t="shared" si="1056"/>
        <v>4833699.0558356559</v>
      </c>
      <c r="FM382" s="891">
        <f t="shared" si="1056"/>
        <v>2853821.6635228484</v>
      </c>
      <c r="FN382" s="891">
        <f t="shared" si="1056"/>
        <v>3293263.9239446726</v>
      </c>
      <c r="FO382" s="1074"/>
    </row>
    <row r="383" spans="2:171" x14ac:dyDescent="0.25">
      <c r="B383" s="108"/>
      <c r="C383" s="108" t="s">
        <v>126</v>
      </c>
      <c r="D383" s="1072"/>
      <c r="E383" s="905" t="str">
        <f t="shared" si="1034"/>
        <v>PTD</v>
      </c>
      <c r="G383" s="891">
        <f t="shared" si="1035"/>
        <v>134526603.60952502</v>
      </c>
      <c r="H383" s="891">
        <f t="shared" si="1035"/>
        <v>59218092.146876924</v>
      </c>
      <c r="I383" s="891">
        <f t="shared" si="1035"/>
        <v>0</v>
      </c>
      <c r="J383" s="891">
        <f t="shared" si="1035"/>
        <v>75308511.462648094</v>
      </c>
      <c r="K383" s="1074">
        <f t="shared" si="1036"/>
        <v>1</v>
      </c>
      <c r="L383" s="1072"/>
      <c r="N383" s="1073"/>
      <c r="O383" s="891">
        <f t="shared" ref="O383:R383" si="1057">O38</f>
        <v>134526603.60952502</v>
      </c>
      <c r="P383" s="891">
        <f t="shared" si="1057"/>
        <v>59218092.146876924</v>
      </c>
      <c r="Q383" s="891">
        <f t="shared" si="1057"/>
        <v>34962431.936514728</v>
      </c>
      <c r="R383" s="891">
        <f t="shared" si="1057"/>
        <v>40346079.526133358</v>
      </c>
      <c r="S383" s="1074"/>
      <c r="T383" s="1072"/>
      <c r="V383" s="1073"/>
      <c r="W383" s="891">
        <f t="shared" ref="W383:Z383" si="1058">W38</f>
        <v>134526603.60952502</v>
      </c>
      <c r="X383" s="891">
        <f t="shared" si="1058"/>
        <v>59218092.146876924</v>
      </c>
      <c r="Y383" s="891">
        <f t="shared" si="1058"/>
        <v>34962431.936514728</v>
      </c>
      <c r="Z383" s="891">
        <f t="shared" si="1058"/>
        <v>40346079.526133358</v>
      </c>
      <c r="AA383" s="1074"/>
      <c r="AB383" s="1072"/>
      <c r="AD383" s="1073"/>
      <c r="AE383" s="891">
        <f t="shared" ref="AE383:AH383" si="1059">AE38</f>
        <v>134526603.60952502</v>
      </c>
      <c r="AF383" s="891">
        <f t="shared" si="1059"/>
        <v>59218092.146876924</v>
      </c>
      <c r="AG383" s="891">
        <f t="shared" si="1059"/>
        <v>34962431.936514728</v>
      </c>
      <c r="AH383" s="891">
        <f t="shared" si="1059"/>
        <v>40346079.526133358</v>
      </c>
      <c r="AI383" s="1074"/>
      <c r="AJ383" s="1072"/>
      <c r="AL383" s="1073"/>
      <c r="AM383" s="891">
        <f t="shared" ref="AM383:AP383" si="1060">AM38</f>
        <v>134526603.60952502</v>
      </c>
      <c r="AN383" s="891">
        <f t="shared" si="1060"/>
        <v>59218092.146876924</v>
      </c>
      <c r="AO383" s="891">
        <f t="shared" si="1060"/>
        <v>34962431.936514728</v>
      </c>
      <c r="AP383" s="891">
        <f t="shared" si="1060"/>
        <v>40346079.526133358</v>
      </c>
      <c r="AQ383" s="1074"/>
      <c r="AR383" s="1072"/>
      <c r="AT383" s="1073"/>
      <c r="AU383" s="891">
        <f t="shared" ref="AU383:AX383" si="1061">AU38</f>
        <v>134526603.60952502</v>
      </c>
      <c r="AV383" s="891">
        <f t="shared" si="1061"/>
        <v>59218092.146876924</v>
      </c>
      <c r="AW383" s="891">
        <f t="shared" si="1061"/>
        <v>34962431.936514728</v>
      </c>
      <c r="AX383" s="891">
        <f t="shared" si="1061"/>
        <v>40346079.526133358</v>
      </c>
      <c r="AY383" s="1074"/>
      <c r="AZ383" s="1072"/>
      <c r="BB383" s="1073"/>
      <c r="BC383" s="891">
        <f t="shared" ref="BC383:BF383" si="1062">BC38</f>
        <v>134526603.60952502</v>
      </c>
      <c r="BD383" s="891">
        <f t="shared" si="1062"/>
        <v>59218092.146876924</v>
      </c>
      <c r="BE383" s="891">
        <f t="shared" si="1062"/>
        <v>34962431.936514728</v>
      </c>
      <c r="BF383" s="891">
        <f t="shared" si="1062"/>
        <v>40346079.526133358</v>
      </c>
      <c r="BG383" s="1074"/>
      <c r="BH383" s="1072"/>
      <c r="BJ383" s="1073"/>
      <c r="BK383" s="891">
        <f t="shared" ref="BK383:BN383" si="1063">BK38</f>
        <v>134526603.60952502</v>
      </c>
      <c r="BL383" s="891">
        <f t="shared" si="1063"/>
        <v>59218092.146876924</v>
      </c>
      <c r="BM383" s="891">
        <f t="shared" si="1063"/>
        <v>34962431.936514728</v>
      </c>
      <c r="BN383" s="891">
        <f t="shared" si="1063"/>
        <v>40346079.526133358</v>
      </c>
      <c r="BO383" s="1074"/>
      <c r="BP383" s="1072"/>
      <c r="BR383" s="1073"/>
      <c r="BS383" s="891">
        <f t="shared" ref="BS383:BV383" si="1064">BS38</f>
        <v>134526603.60952502</v>
      </c>
      <c r="BT383" s="891">
        <f t="shared" si="1064"/>
        <v>59218092.146876924</v>
      </c>
      <c r="BU383" s="891">
        <f t="shared" si="1064"/>
        <v>34962431.936514728</v>
      </c>
      <c r="BV383" s="891">
        <f t="shared" si="1064"/>
        <v>40346079.526133358</v>
      </c>
      <c r="BW383" s="1074"/>
      <c r="BX383" s="1072"/>
      <c r="BZ383" s="1073"/>
      <c r="CA383" s="891">
        <f t="shared" ref="CA383:CD383" si="1065">CA38</f>
        <v>134526603.60952502</v>
      </c>
      <c r="CB383" s="891">
        <f t="shared" si="1065"/>
        <v>59218092.146876924</v>
      </c>
      <c r="CC383" s="891">
        <f t="shared" si="1065"/>
        <v>34962431.936514728</v>
      </c>
      <c r="CD383" s="891">
        <f t="shared" si="1065"/>
        <v>40346079.526133358</v>
      </c>
      <c r="CE383" s="1074"/>
      <c r="CF383" s="1072"/>
      <c r="CH383" s="1073"/>
      <c r="CI383" s="891">
        <f t="shared" ref="CI383:CL383" si="1066">CI38</f>
        <v>134526603.60952502</v>
      </c>
      <c r="CJ383" s="891">
        <f t="shared" si="1066"/>
        <v>59218092.146876924</v>
      </c>
      <c r="CK383" s="891">
        <f t="shared" si="1066"/>
        <v>34962431.936514728</v>
      </c>
      <c r="CL383" s="891">
        <f t="shared" si="1066"/>
        <v>40346079.526133358</v>
      </c>
      <c r="CM383" s="1074"/>
      <c r="CN383" s="1072"/>
      <c r="CP383" s="1073"/>
      <c r="CQ383" s="891">
        <f t="shared" ref="CQ383:CT383" si="1067">CQ38</f>
        <v>134526603.60952502</v>
      </c>
      <c r="CR383" s="891">
        <f t="shared" si="1067"/>
        <v>59218092.146876924</v>
      </c>
      <c r="CS383" s="891">
        <f t="shared" si="1067"/>
        <v>34962431.936514728</v>
      </c>
      <c r="CT383" s="891">
        <f t="shared" si="1067"/>
        <v>40346079.526133358</v>
      </c>
      <c r="CU383" s="1074"/>
      <c r="CV383" s="1072"/>
      <c r="CX383" s="1073"/>
      <c r="CY383" s="891">
        <f t="shared" ref="CY383:DB383" si="1068">CY38</f>
        <v>134526603.60952502</v>
      </c>
      <c r="CZ383" s="891">
        <f t="shared" si="1068"/>
        <v>59218092.146876924</v>
      </c>
      <c r="DA383" s="891">
        <f t="shared" si="1068"/>
        <v>34962431.936514728</v>
      </c>
      <c r="DB383" s="891">
        <f t="shared" si="1068"/>
        <v>40346079.526133358</v>
      </c>
      <c r="DC383" s="1074"/>
      <c r="DD383" s="1072"/>
      <c r="DF383" s="1073"/>
      <c r="DG383" s="891">
        <f t="shared" ref="DG383:DJ383" si="1069">DG38</f>
        <v>134526603.60952502</v>
      </c>
      <c r="DH383" s="891">
        <f t="shared" si="1069"/>
        <v>59218092.146876924</v>
      </c>
      <c r="DI383" s="891">
        <f t="shared" si="1069"/>
        <v>34962431.936514728</v>
      </c>
      <c r="DJ383" s="891">
        <f t="shared" si="1069"/>
        <v>40346079.526133358</v>
      </c>
      <c r="DK383" s="1074"/>
      <c r="DL383" s="1072"/>
      <c r="DN383" s="1073"/>
      <c r="DO383" s="891">
        <f t="shared" ref="DO383:DR383" si="1070">DO38</f>
        <v>134526603.60952502</v>
      </c>
      <c r="DP383" s="891">
        <f t="shared" si="1070"/>
        <v>59218092.146876924</v>
      </c>
      <c r="DQ383" s="891">
        <f t="shared" si="1070"/>
        <v>34962431.936514728</v>
      </c>
      <c r="DR383" s="891">
        <f t="shared" si="1070"/>
        <v>40346079.526133358</v>
      </c>
      <c r="DS383" s="1074"/>
      <c r="DT383" s="1072"/>
      <c r="DV383" s="1073"/>
      <c r="DW383" s="891">
        <f t="shared" ref="DW383:DZ383" si="1071">DW38</f>
        <v>134526603.60952502</v>
      </c>
      <c r="DX383" s="891">
        <f t="shared" si="1071"/>
        <v>59218092.146876924</v>
      </c>
      <c r="DY383" s="891">
        <f t="shared" si="1071"/>
        <v>34962431.936514728</v>
      </c>
      <c r="DZ383" s="891">
        <f t="shared" si="1071"/>
        <v>40346079.526133358</v>
      </c>
      <c r="EA383" s="1074"/>
      <c r="EB383" s="1072"/>
      <c r="ED383" s="1073"/>
      <c r="EE383" s="891">
        <f t="shared" ref="EE383:EH383" si="1072">EE38</f>
        <v>134526603.60952502</v>
      </c>
      <c r="EF383" s="891">
        <f t="shared" si="1072"/>
        <v>59218092.146876924</v>
      </c>
      <c r="EG383" s="891">
        <f t="shared" si="1072"/>
        <v>34962431.936514728</v>
      </c>
      <c r="EH383" s="891">
        <f t="shared" si="1072"/>
        <v>40346079.526133358</v>
      </c>
      <c r="EI383" s="1074"/>
      <c r="EJ383" s="1072"/>
      <c r="EL383" s="1073"/>
      <c r="EM383" s="891">
        <f t="shared" ref="EM383:EP383" si="1073">EM38</f>
        <v>134526603.60952502</v>
      </c>
      <c r="EN383" s="891">
        <f t="shared" si="1073"/>
        <v>59218092.146876924</v>
      </c>
      <c r="EO383" s="891">
        <f t="shared" si="1073"/>
        <v>34962431.936514728</v>
      </c>
      <c r="EP383" s="891">
        <f t="shared" si="1073"/>
        <v>40346079.526133358</v>
      </c>
      <c r="EQ383" s="1074"/>
      <c r="ER383" s="1072"/>
      <c r="ET383" s="1073"/>
      <c r="EU383" s="891">
        <f t="shared" ref="EU383:EX383" si="1074">EU38</f>
        <v>134526603.60952502</v>
      </c>
      <c r="EV383" s="891">
        <f t="shared" si="1074"/>
        <v>59218092.146876924</v>
      </c>
      <c r="EW383" s="891">
        <f t="shared" si="1074"/>
        <v>34962431.936514728</v>
      </c>
      <c r="EX383" s="891">
        <f t="shared" si="1074"/>
        <v>40346079.526133358</v>
      </c>
      <c r="EY383" s="1074"/>
      <c r="EZ383" s="1072"/>
      <c r="FB383" s="1073"/>
      <c r="FC383" s="891">
        <f t="shared" ref="FC383:FF383" si="1075">FC38</f>
        <v>134526603.60952502</v>
      </c>
      <c r="FD383" s="891">
        <f t="shared" si="1075"/>
        <v>59218092.146876924</v>
      </c>
      <c r="FE383" s="891">
        <f t="shared" si="1075"/>
        <v>34962431.936514728</v>
      </c>
      <c r="FF383" s="891">
        <f t="shared" si="1075"/>
        <v>40346079.526133358</v>
      </c>
      <c r="FG383" s="1074"/>
      <c r="FH383" s="1072"/>
      <c r="FJ383" s="1073"/>
      <c r="FK383" s="891">
        <f t="shared" ref="FK383:FN383" si="1076">FK38</f>
        <v>134526603.60952502</v>
      </c>
      <c r="FL383" s="891">
        <f t="shared" si="1076"/>
        <v>59218092.146876924</v>
      </c>
      <c r="FM383" s="891">
        <f t="shared" si="1076"/>
        <v>34962431.936514728</v>
      </c>
      <c r="FN383" s="891">
        <f t="shared" si="1076"/>
        <v>40346079.526133358</v>
      </c>
      <c r="FO383" s="1074"/>
    </row>
    <row r="384" spans="2:171" x14ac:dyDescent="0.25">
      <c r="B384" s="108"/>
      <c r="C384" s="108" t="s">
        <v>127</v>
      </c>
      <c r="D384" s="1072"/>
      <c r="E384" s="905" t="str">
        <f t="shared" si="1034"/>
        <v>LABOR</v>
      </c>
      <c r="G384" s="891">
        <f t="shared" si="1035"/>
        <v>38698718.859569281</v>
      </c>
      <c r="H384" s="891">
        <f t="shared" si="1035"/>
        <v>16131692.601433367</v>
      </c>
      <c r="I384" s="891">
        <f t="shared" si="1035"/>
        <v>0</v>
      </c>
      <c r="J384" s="891">
        <f t="shared" si="1035"/>
        <v>22567026.258135919</v>
      </c>
      <c r="K384" s="1074">
        <f t="shared" si="1036"/>
        <v>1</v>
      </c>
      <c r="L384" s="1072"/>
      <c r="N384" s="1073"/>
      <c r="O384" s="891">
        <f t="shared" ref="O384:R384" si="1077">O39</f>
        <v>38698718.859569281</v>
      </c>
      <c r="P384" s="891">
        <f t="shared" si="1077"/>
        <v>16131692.601433367</v>
      </c>
      <c r="Q384" s="891">
        <f t="shared" si="1077"/>
        <v>1045227.6214519152</v>
      </c>
      <c r="R384" s="891">
        <f t="shared" si="1077"/>
        <v>21521798.636684</v>
      </c>
      <c r="S384" s="1074"/>
      <c r="T384" s="1072"/>
      <c r="V384" s="1073"/>
      <c r="W384" s="891">
        <f t="shared" ref="W384:Z384" si="1078">W39</f>
        <v>38698718.859569281</v>
      </c>
      <c r="X384" s="891">
        <f t="shared" si="1078"/>
        <v>16131692.601433367</v>
      </c>
      <c r="Y384" s="891">
        <f t="shared" si="1078"/>
        <v>1045227.6214519152</v>
      </c>
      <c r="Z384" s="891">
        <f t="shared" si="1078"/>
        <v>21521798.636684</v>
      </c>
      <c r="AA384" s="1074"/>
      <c r="AB384" s="1072"/>
      <c r="AD384" s="1073"/>
      <c r="AE384" s="891">
        <f t="shared" ref="AE384:AH384" si="1079">AE39</f>
        <v>38698718.859569281</v>
      </c>
      <c r="AF384" s="891">
        <f t="shared" si="1079"/>
        <v>16131692.601433367</v>
      </c>
      <c r="AG384" s="891">
        <f t="shared" si="1079"/>
        <v>1045227.6214519152</v>
      </c>
      <c r="AH384" s="891">
        <f t="shared" si="1079"/>
        <v>21521798.636684</v>
      </c>
      <c r="AI384" s="1074"/>
      <c r="AJ384" s="1072"/>
      <c r="AL384" s="1073"/>
      <c r="AM384" s="891">
        <f t="shared" ref="AM384:AP384" si="1080">AM39</f>
        <v>38698718.859569281</v>
      </c>
      <c r="AN384" s="891">
        <f t="shared" si="1080"/>
        <v>16131692.601433367</v>
      </c>
      <c r="AO384" s="891">
        <f t="shared" si="1080"/>
        <v>1045227.6214519152</v>
      </c>
      <c r="AP384" s="891">
        <f t="shared" si="1080"/>
        <v>21521798.636684</v>
      </c>
      <c r="AQ384" s="1074"/>
      <c r="AR384" s="1072"/>
      <c r="AT384" s="1073"/>
      <c r="AU384" s="891">
        <f t="shared" ref="AU384:AX384" si="1081">AU39</f>
        <v>38698718.859569281</v>
      </c>
      <c r="AV384" s="891">
        <f t="shared" si="1081"/>
        <v>16131692.601433367</v>
      </c>
      <c r="AW384" s="891">
        <f t="shared" si="1081"/>
        <v>1045227.6214519152</v>
      </c>
      <c r="AX384" s="891">
        <f t="shared" si="1081"/>
        <v>21521798.636684</v>
      </c>
      <c r="AY384" s="1074"/>
      <c r="AZ384" s="1072"/>
      <c r="BB384" s="1073"/>
      <c r="BC384" s="891">
        <f t="shared" ref="BC384:BF384" si="1082">BC39</f>
        <v>38698718.859569281</v>
      </c>
      <c r="BD384" s="891">
        <f t="shared" si="1082"/>
        <v>16131692.601433367</v>
      </c>
      <c r="BE384" s="891">
        <f t="shared" si="1082"/>
        <v>1045227.6214519152</v>
      </c>
      <c r="BF384" s="891">
        <f t="shared" si="1082"/>
        <v>21521798.636684</v>
      </c>
      <c r="BG384" s="1074"/>
      <c r="BH384" s="1072"/>
      <c r="BJ384" s="1073"/>
      <c r="BK384" s="891">
        <f t="shared" ref="BK384:BN384" si="1083">BK39</f>
        <v>38698718.859569281</v>
      </c>
      <c r="BL384" s="891">
        <f t="shared" si="1083"/>
        <v>16131692.601433367</v>
      </c>
      <c r="BM384" s="891">
        <f t="shared" si="1083"/>
        <v>1045227.6214519152</v>
      </c>
      <c r="BN384" s="891">
        <f t="shared" si="1083"/>
        <v>21521798.636684</v>
      </c>
      <c r="BO384" s="1074"/>
      <c r="BP384" s="1072"/>
      <c r="BR384" s="1073"/>
      <c r="BS384" s="891">
        <f t="shared" ref="BS384:BV384" si="1084">BS39</f>
        <v>38698718.859569281</v>
      </c>
      <c r="BT384" s="891">
        <f t="shared" si="1084"/>
        <v>16131692.601433367</v>
      </c>
      <c r="BU384" s="891">
        <f t="shared" si="1084"/>
        <v>1045227.6214519152</v>
      </c>
      <c r="BV384" s="891">
        <f t="shared" si="1084"/>
        <v>21521798.636684</v>
      </c>
      <c r="BW384" s="1074"/>
      <c r="BX384" s="1072"/>
      <c r="BZ384" s="1073"/>
      <c r="CA384" s="891">
        <f t="shared" ref="CA384:CD384" si="1085">CA39</f>
        <v>38698718.859569281</v>
      </c>
      <c r="CB384" s="891">
        <f t="shared" si="1085"/>
        <v>16131692.601433367</v>
      </c>
      <c r="CC384" s="891">
        <f t="shared" si="1085"/>
        <v>1045227.6214519152</v>
      </c>
      <c r="CD384" s="891">
        <f t="shared" si="1085"/>
        <v>21521798.636684</v>
      </c>
      <c r="CE384" s="1074"/>
      <c r="CF384" s="1072"/>
      <c r="CH384" s="1073"/>
      <c r="CI384" s="891">
        <f t="shared" ref="CI384:CL384" si="1086">CI39</f>
        <v>38698718.859569281</v>
      </c>
      <c r="CJ384" s="891">
        <f t="shared" si="1086"/>
        <v>16131692.601433367</v>
      </c>
      <c r="CK384" s="891">
        <f t="shared" si="1086"/>
        <v>1045227.6214519152</v>
      </c>
      <c r="CL384" s="891">
        <f t="shared" si="1086"/>
        <v>21521798.636684</v>
      </c>
      <c r="CM384" s="1074"/>
      <c r="CN384" s="1072"/>
      <c r="CP384" s="1073"/>
      <c r="CQ384" s="891">
        <f t="shared" ref="CQ384:CT384" si="1087">CQ39</f>
        <v>38698718.859569281</v>
      </c>
      <c r="CR384" s="891">
        <f t="shared" si="1087"/>
        <v>16131692.601433367</v>
      </c>
      <c r="CS384" s="891">
        <f t="shared" si="1087"/>
        <v>1045227.6214519152</v>
      </c>
      <c r="CT384" s="891">
        <f t="shared" si="1087"/>
        <v>21521798.636684</v>
      </c>
      <c r="CU384" s="1074"/>
      <c r="CV384" s="1072"/>
      <c r="CX384" s="1073"/>
      <c r="CY384" s="891">
        <f t="shared" ref="CY384:DB384" si="1088">CY39</f>
        <v>38698718.859569281</v>
      </c>
      <c r="CZ384" s="891">
        <f t="shared" si="1088"/>
        <v>16131692.601433367</v>
      </c>
      <c r="DA384" s="891">
        <f t="shared" si="1088"/>
        <v>1045227.6214519152</v>
      </c>
      <c r="DB384" s="891">
        <f t="shared" si="1088"/>
        <v>21521798.636684</v>
      </c>
      <c r="DC384" s="1074"/>
      <c r="DD384" s="1072"/>
      <c r="DF384" s="1073"/>
      <c r="DG384" s="891">
        <f t="shared" ref="DG384:DJ384" si="1089">DG39</f>
        <v>38698718.859569281</v>
      </c>
      <c r="DH384" s="891">
        <f t="shared" si="1089"/>
        <v>16131692.601433367</v>
      </c>
      <c r="DI384" s="891">
        <f t="shared" si="1089"/>
        <v>1045227.6214519152</v>
      </c>
      <c r="DJ384" s="891">
        <f t="shared" si="1089"/>
        <v>21521798.636684</v>
      </c>
      <c r="DK384" s="1074"/>
      <c r="DL384" s="1072"/>
      <c r="DN384" s="1073"/>
      <c r="DO384" s="891">
        <f t="shared" ref="DO384:DR384" si="1090">DO39</f>
        <v>38698718.859569281</v>
      </c>
      <c r="DP384" s="891">
        <f t="shared" si="1090"/>
        <v>16131692.601433367</v>
      </c>
      <c r="DQ384" s="891">
        <f t="shared" si="1090"/>
        <v>1045227.6214519152</v>
      </c>
      <c r="DR384" s="891">
        <f t="shared" si="1090"/>
        <v>21521798.636684</v>
      </c>
      <c r="DS384" s="1074"/>
      <c r="DT384" s="1072"/>
      <c r="DV384" s="1073"/>
      <c r="DW384" s="891">
        <f t="shared" ref="DW384:DZ384" si="1091">DW39</f>
        <v>38698718.859569281</v>
      </c>
      <c r="DX384" s="891">
        <f t="shared" si="1091"/>
        <v>16131692.601433367</v>
      </c>
      <c r="DY384" s="891">
        <f t="shared" si="1091"/>
        <v>1045227.6214519152</v>
      </c>
      <c r="DZ384" s="891">
        <f t="shared" si="1091"/>
        <v>21521798.636684</v>
      </c>
      <c r="EA384" s="1074"/>
      <c r="EB384" s="1072"/>
      <c r="ED384" s="1073"/>
      <c r="EE384" s="891">
        <f t="shared" ref="EE384:EH384" si="1092">EE39</f>
        <v>38698718.859569281</v>
      </c>
      <c r="EF384" s="891">
        <f t="shared" si="1092"/>
        <v>16131692.601433367</v>
      </c>
      <c r="EG384" s="891">
        <f t="shared" si="1092"/>
        <v>1045227.6214519152</v>
      </c>
      <c r="EH384" s="891">
        <f t="shared" si="1092"/>
        <v>21521798.636684</v>
      </c>
      <c r="EI384" s="1074"/>
      <c r="EJ384" s="1072"/>
      <c r="EL384" s="1073"/>
      <c r="EM384" s="891">
        <f t="shared" ref="EM384:EP384" si="1093">EM39</f>
        <v>38698718.859569281</v>
      </c>
      <c r="EN384" s="891">
        <f t="shared" si="1093"/>
        <v>16131692.601433367</v>
      </c>
      <c r="EO384" s="891">
        <f t="shared" si="1093"/>
        <v>1045227.6214519152</v>
      </c>
      <c r="EP384" s="891">
        <f t="shared" si="1093"/>
        <v>21521798.636684</v>
      </c>
      <c r="EQ384" s="1074"/>
      <c r="ER384" s="1072"/>
      <c r="ET384" s="1073"/>
      <c r="EU384" s="891">
        <f t="shared" ref="EU384:EX384" si="1094">EU39</f>
        <v>38698718.859569281</v>
      </c>
      <c r="EV384" s="891">
        <f t="shared" si="1094"/>
        <v>16131692.601433367</v>
      </c>
      <c r="EW384" s="891">
        <f t="shared" si="1094"/>
        <v>1045227.6214519152</v>
      </c>
      <c r="EX384" s="891">
        <f t="shared" si="1094"/>
        <v>21521798.636684</v>
      </c>
      <c r="EY384" s="1074"/>
      <c r="EZ384" s="1072"/>
      <c r="FB384" s="1073"/>
      <c r="FC384" s="891">
        <f t="shared" ref="FC384:FF384" si="1095">FC39</f>
        <v>38698718.859569281</v>
      </c>
      <c r="FD384" s="891">
        <f t="shared" si="1095"/>
        <v>16131692.601433367</v>
      </c>
      <c r="FE384" s="891">
        <f t="shared" si="1095"/>
        <v>1045227.6214519152</v>
      </c>
      <c r="FF384" s="891">
        <f t="shared" si="1095"/>
        <v>21521798.636684</v>
      </c>
      <c r="FG384" s="1074"/>
      <c r="FH384" s="1072"/>
      <c r="FJ384" s="1073"/>
      <c r="FK384" s="891">
        <f t="shared" ref="FK384:FN384" si="1096">FK39</f>
        <v>38698718.859569281</v>
      </c>
      <c r="FL384" s="891">
        <f t="shared" si="1096"/>
        <v>16131692.601433367</v>
      </c>
      <c r="FM384" s="891">
        <f t="shared" si="1096"/>
        <v>1045227.6214519152</v>
      </c>
      <c r="FN384" s="891">
        <f t="shared" si="1096"/>
        <v>21521798.636684</v>
      </c>
      <c r="FO384" s="1074"/>
    </row>
    <row r="385" spans="2:171" x14ac:dyDescent="0.25">
      <c r="B385" s="108"/>
      <c r="C385" s="108" t="s">
        <v>128</v>
      </c>
      <c r="D385" s="1072"/>
      <c r="E385" s="905" t="str">
        <f t="shared" si="1034"/>
        <v>TD</v>
      </c>
      <c r="G385" s="891">
        <f t="shared" si="1035"/>
        <v>70926422.960104048</v>
      </c>
      <c r="H385" s="891">
        <f t="shared" si="1035"/>
        <v>0</v>
      </c>
      <c r="I385" s="891">
        <f t="shared" si="1035"/>
        <v>0</v>
      </c>
      <c r="J385" s="891">
        <f t="shared" si="1035"/>
        <v>70926422.960104048</v>
      </c>
      <c r="K385" s="1074">
        <f t="shared" si="1036"/>
        <v>1</v>
      </c>
      <c r="L385" s="1072"/>
      <c r="N385" s="1073"/>
      <c r="O385" s="891">
        <f t="shared" ref="O385:R385" si="1097">O40</f>
        <v>70926422.960104048</v>
      </c>
      <c r="P385" s="891">
        <f t="shared" si="1097"/>
        <v>0</v>
      </c>
      <c r="Q385" s="891">
        <f t="shared" si="1097"/>
        <v>32928020.844934877</v>
      </c>
      <c r="R385" s="891">
        <f t="shared" si="1097"/>
        <v>37998402.115169168</v>
      </c>
      <c r="S385" s="1074"/>
      <c r="T385" s="1072"/>
      <c r="V385" s="1073"/>
      <c r="W385" s="891">
        <f t="shared" ref="W385:Z385" si="1098">W40</f>
        <v>70926422.960104048</v>
      </c>
      <c r="X385" s="891">
        <f t="shared" si="1098"/>
        <v>0</v>
      </c>
      <c r="Y385" s="891">
        <f t="shared" si="1098"/>
        <v>32928020.844934877</v>
      </c>
      <c r="Z385" s="891">
        <f t="shared" si="1098"/>
        <v>37998402.115169168</v>
      </c>
      <c r="AA385" s="1074"/>
      <c r="AB385" s="1072"/>
      <c r="AD385" s="1073"/>
      <c r="AE385" s="891">
        <f t="shared" ref="AE385:AH385" si="1099">AE40</f>
        <v>70926422.960104048</v>
      </c>
      <c r="AF385" s="891">
        <f t="shared" si="1099"/>
        <v>0</v>
      </c>
      <c r="AG385" s="891">
        <f t="shared" si="1099"/>
        <v>32928020.844934877</v>
      </c>
      <c r="AH385" s="891">
        <f t="shared" si="1099"/>
        <v>37998402.115169168</v>
      </c>
      <c r="AI385" s="1074"/>
      <c r="AJ385" s="1072"/>
      <c r="AL385" s="1073"/>
      <c r="AM385" s="891">
        <f t="shared" ref="AM385:AP385" si="1100">AM40</f>
        <v>70926422.960104048</v>
      </c>
      <c r="AN385" s="891">
        <f t="shared" si="1100"/>
        <v>0</v>
      </c>
      <c r="AO385" s="891">
        <f t="shared" si="1100"/>
        <v>32928020.844934877</v>
      </c>
      <c r="AP385" s="891">
        <f t="shared" si="1100"/>
        <v>37998402.115169168</v>
      </c>
      <c r="AQ385" s="1074"/>
      <c r="AR385" s="1072"/>
      <c r="AT385" s="1073"/>
      <c r="AU385" s="891">
        <f t="shared" ref="AU385:AX385" si="1101">AU40</f>
        <v>70926422.960104048</v>
      </c>
      <c r="AV385" s="891">
        <f t="shared" si="1101"/>
        <v>0</v>
      </c>
      <c r="AW385" s="891">
        <f t="shared" si="1101"/>
        <v>32928020.844934877</v>
      </c>
      <c r="AX385" s="891">
        <f t="shared" si="1101"/>
        <v>37998402.115169168</v>
      </c>
      <c r="AY385" s="1074"/>
      <c r="AZ385" s="1072"/>
      <c r="BB385" s="1073"/>
      <c r="BC385" s="891">
        <f t="shared" ref="BC385:BF385" si="1102">BC40</f>
        <v>70926422.960104048</v>
      </c>
      <c r="BD385" s="891">
        <f t="shared" si="1102"/>
        <v>0</v>
      </c>
      <c r="BE385" s="891">
        <f t="shared" si="1102"/>
        <v>32928020.844934877</v>
      </c>
      <c r="BF385" s="891">
        <f t="shared" si="1102"/>
        <v>37998402.115169168</v>
      </c>
      <c r="BG385" s="1074"/>
      <c r="BH385" s="1072"/>
      <c r="BJ385" s="1073"/>
      <c r="BK385" s="891">
        <f t="shared" ref="BK385:BN385" si="1103">BK40</f>
        <v>70926422.960104048</v>
      </c>
      <c r="BL385" s="891">
        <f t="shared" si="1103"/>
        <v>0</v>
      </c>
      <c r="BM385" s="891">
        <f t="shared" si="1103"/>
        <v>32928020.844934877</v>
      </c>
      <c r="BN385" s="891">
        <f t="shared" si="1103"/>
        <v>37998402.115169168</v>
      </c>
      <c r="BO385" s="1074"/>
      <c r="BP385" s="1072"/>
      <c r="BR385" s="1073"/>
      <c r="BS385" s="891">
        <f t="shared" ref="BS385:BV385" si="1104">BS40</f>
        <v>70926422.960104048</v>
      </c>
      <c r="BT385" s="891">
        <f t="shared" si="1104"/>
        <v>0</v>
      </c>
      <c r="BU385" s="891">
        <f t="shared" si="1104"/>
        <v>32928020.844934877</v>
      </c>
      <c r="BV385" s="891">
        <f t="shared" si="1104"/>
        <v>37998402.115169168</v>
      </c>
      <c r="BW385" s="1074"/>
      <c r="BX385" s="1072"/>
      <c r="BZ385" s="1073"/>
      <c r="CA385" s="891">
        <f t="shared" ref="CA385:CD385" si="1105">CA40</f>
        <v>70926422.960104048</v>
      </c>
      <c r="CB385" s="891">
        <f t="shared" si="1105"/>
        <v>0</v>
      </c>
      <c r="CC385" s="891">
        <f t="shared" si="1105"/>
        <v>32928020.844934877</v>
      </c>
      <c r="CD385" s="891">
        <f t="shared" si="1105"/>
        <v>37998402.115169168</v>
      </c>
      <c r="CE385" s="1074"/>
      <c r="CF385" s="1072"/>
      <c r="CH385" s="1073"/>
      <c r="CI385" s="891">
        <f t="shared" ref="CI385:CL385" si="1106">CI40</f>
        <v>70926422.960104048</v>
      </c>
      <c r="CJ385" s="891">
        <f t="shared" si="1106"/>
        <v>0</v>
      </c>
      <c r="CK385" s="891">
        <f t="shared" si="1106"/>
        <v>32928020.844934877</v>
      </c>
      <c r="CL385" s="891">
        <f t="shared" si="1106"/>
        <v>37998402.115169168</v>
      </c>
      <c r="CM385" s="1074"/>
      <c r="CN385" s="1072"/>
      <c r="CP385" s="1073"/>
      <c r="CQ385" s="891">
        <f t="shared" ref="CQ385:CT385" si="1107">CQ40</f>
        <v>70926422.960104048</v>
      </c>
      <c r="CR385" s="891">
        <f t="shared" si="1107"/>
        <v>0</v>
      </c>
      <c r="CS385" s="891">
        <f t="shared" si="1107"/>
        <v>32928020.844934877</v>
      </c>
      <c r="CT385" s="891">
        <f t="shared" si="1107"/>
        <v>37998402.115169168</v>
      </c>
      <c r="CU385" s="1074"/>
      <c r="CV385" s="1072"/>
      <c r="CX385" s="1073"/>
      <c r="CY385" s="891">
        <f t="shared" ref="CY385:DB385" si="1108">CY40</f>
        <v>70926422.960104048</v>
      </c>
      <c r="CZ385" s="891">
        <f t="shared" si="1108"/>
        <v>0</v>
      </c>
      <c r="DA385" s="891">
        <f t="shared" si="1108"/>
        <v>32928020.844934877</v>
      </c>
      <c r="DB385" s="891">
        <f t="shared" si="1108"/>
        <v>37998402.115169168</v>
      </c>
      <c r="DC385" s="1074"/>
      <c r="DD385" s="1072"/>
      <c r="DF385" s="1073"/>
      <c r="DG385" s="891">
        <f t="shared" ref="DG385:DJ385" si="1109">DG40</f>
        <v>70926422.960104048</v>
      </c>
      <c r="DH385" s="891">
        <f t="shared" si="1109"/>
        <v>0</v>
      </c>
      <c r="DI385" s="891">
        <f t="shared" si="1109"/>
        <v>32928020.844934877</v>
      </c>
      <c r="DJ385" s="891">
        <f t="shared" si="1109"/>
        <v>37998402.115169168</v>
      </c>
      <c r="DK385" s="1074"/>
      <c r="DL385" s="1072"/>
      <c r="DN385" s="1073"/>
      <c r="DO385" s="891">
        <f t="shared" ref="DO385:DR385" si="1110">DO40</f>
        <v>70926422.960104048</v>
      </c>
      <c r="DP385" s="891">
        <f t="shared" si="1110"/>
        <v>0</v>
      </c>
      <c r="DQ385" s="891">
        <f t="shared" si="1110"/>
        <v>32928020.844934877</v>
      </c>
      <c r="DR385" s="891">
        <f t="shared" si="1110"/>
        <v>37998402.115169168</v>
      </c>
      <c r="DS385" s="1074"/>
      <c r="DT385" s="1072"/>
      <c r="DV385" s="1073"/>
      <c r="DW385" s="891">
        <f t="shared" ref="DW385:DZ385" si="1111">DW40</f>
        <v>70926422.960104048</v>
      </c>
      <c r="DX385" s="891">
        <f t="shared" si="1111"/>
        <v>0</v>
      </c>
      <c r="DY385" s="891">
        <f t="shared" si="1111"/>
        <v>32928020.844934877</v>
      </c>
      <c r="DZ385" s="891">
        <f t="shared" si="1111"/>
        <v>37998402.115169168</v>
      </c>
      <c r="EA385" s="1074"/>
      <c r="EB385" s="1072"/>
      <c r="ED385" s="1073"/>
      <c r="EE385" s="891">
        <f t="shared" ref="EE385:EH385" si="1112">EE40</f>
        <v>70926422.960104048</v>
      </c>
      <c r="EF385" s="891">
        <f t="shared" si="1112"/>
        <v>0</v>
      </c>
      <c r="EG385" s="891">
        <f t="shared" si="1112"/>
        <v>32928020.844934877</v>
      </c>
      <c r="EH385" s="891">
        <f t="shared" si="1112"/>
        <v>37998402.115169168</v>
      </c>
      <c r="EI385" s="1074"/>
      <c r="EJ385" s="1072"/>
      <c r="EL385" s="1073"/>
      <c r="EM385" s="891">
        <f t="shared" ref="EM385:EP385" si="1113">EM40</f>
        <v>70926422.960104048</v>
      </c>
      <c r="EN385" s="891">
        <f t="shared" si="1113"/>
        <v>0</v>
      </c>
      <c r="EO385" s="891">
        <f t="shared" si="1113"/>
        <v>32928020.844934877</v>
      </c>
      <c r="EP385" s="891">
        <f t="shared" si="1113"/>
        <v>37998402.115169168</v>
      </c>
      <c r="EQ385" s="1074"/>
      <c r="ER385" s="1072"/>
      <c r="ET385" s="1073"/>
      <c r="EU385" s="891">
        <f t="shared" ref="EU385:EX385" si="1114">EU40</f>
        <v>70926422.960104048</v>
      </c>
      <c r="EV385" s="891">
        <f t="shared" si="1114"/>
        <v>0</v>
      </c>
      <c r="EW385" s="891">
        <f t="shared" si="1114"/>
        <v>32928020.844934877</v>
      </c>
      <c r="EX385" s="891">
        <f t="shared" si="1114"/>
        <v>37998402.115169168</v>
      </c>
      <c r="EY385" s="1074"/>
      <c r="EZ385" s="1072"/>
      <c r="FB385" s="1073"/>
      <c r="FC385" s="891">
        <f t="shared" ref="FC385:FF385" si="1115">FC40</f>
        <v>70926422.960104048</v>
      </c>
      <c r="FD385" s="891">
        <f t="shared" si="1115"/>
        <v>0</v>
      </c>
      <c r="FE385" s="891">
        <f t="shared" si="1115"/>
        <v>32928020.844934877</v>
      </c>
      <c r="FF385" s="891">
        <f t="shared" si="1115"/>
        <v>37998402.115169168</v>
      </c>
      <c r="FG385" s="1074"/>
      <c r="FH385" s="1072"/>
      <c r="FJ385" s="1073"/>
      <c r="FK385" s="891">
        <f t="shared" ref="FK385:FN385" si="1116">FK40</f>
        <v>70926422.960104048</v>
      </c>
      <c r="FL385" s="891">
        <f t="shared" si="1116"/>
        <v>0</v>
      </c>
      <c r="FM385" s="891">
        <f t="shared" si="1116"/>
        <v>32928020.844934877</v>
      </c>
      <c r="FN385" s="891">
        <f t="shared" si="1116"/>
        <v>37998402.115169168</v>
      </c>
      <c r="FO385" s="1074"/>
    </row>
    <row r="386" spans="2:171" x14ac:dyDescent="0.25">
      <c r="B386" s="108"/>
      <c r="C386" s="108" t="s">
        <v>129</v>
      </c>
      <c r="D386" s="1072"/>
      <c r="E386" s="905" t="str">
        <f t="shared" si="1034"/>
        <v>PTD</v>
      </c>
      <c r="G386" s="891">
        <f t="shared" si="1035"/>
        <v>8843323.1563989222</v>
      </c>
      <c r="H386" s="891">
        <f t="shared" si="1035"/>
        <v>3892796.7517880816</v>
      </c>
      <c r="I386" s="891">
        <f t="shared" si="1035"/>
        <v>0</v>
      </c>
      <c r="J386" s="891">
        <f t="shared" si="1035"/>
        <v>4950526.4046108397</v>
      </c>
      <c r="K386" s="1074">
        <f t="shared" si="1036"/>
        <v>1</v>
      </c>
      <c r="L386" s="1072"/>
      <c r="N386" s="1073"/>
      <c r="O386" s="891">
        <f t="shared" ref="O386:R386" si="1117">O41</f>
        <v>8843323.1563989222</v>
      </c>
      <c r="P386" s="891">
        <f t="shared" si="1117"/>
        <v>3892796.7517880816</v>
      </c>
      <c r="Q386" s="891">
        <f t="shared" si="1117"/>
        <v>2298311.8257087287</v>
      </c>
      <c r="R386" s="891">
        <f t="shared" si="1117"/>
        <v>2652214.5789021105</v>
      </c>
      <c r="S386" s="1074"/>
      <c r="T386" s="1072"/>
      <c r="V386" s="1073"/>
      <c r="W386" s="891">
        <f t="shared" ref="W386:Z386" si="1118">W41</f>
        <v>8843323.1563989222</v>
      </c>
      <c r="X386" s="891">
        <f t="shared" si="1118"/>
        <v>3892796.7517880816</v>
      </c>
      <c r="Y386" s="891">
        <f t="shared" si="1118"/>
        <v>2298311.8257087287</v>
      </c>
      <c r="Z386" s="891">
        <f t="shared" si="1118"/>
        <v>2652214.5789021105</v>
      </c>
      <c r="AA386" s="1074"/>
      <c r="AB386" s="1072"/>
      <c r="AD386" s="1073"/>
      <c r="AE386" s="891">
        <f t="shared" ref="AE386:AH386" si="1119">AE41</f>
        <v>8843323.1563989222</v>
      </c>
      <c r="AF386" s="891">
        <f t="shared" si="1119"/>
        <v>3892796.7517880816</v>
      </c>
      <c r="AG386" s="891">
        <f t="shared" si="1119"/>
        <v>2298311.8257087287</v>
      </c>
      <c r="AH386" s="891">
        <f t="shared" si="1119"/>
        <v>2652214.5789021105</v>
      </c>
      <c r="AI386" s="1074"/>
      <c r="AJ386" s="1072"/>
      <c r="AL386" s="1073"/>
      <c r="AM386" s="891">
        <f t="shared" ref="AM386:AP386" si="1120">AM41</f>
        <v>8843323.1563989222</v>
      </c>
      <c r="AN386" s="891">
        <f t="shared" si="1120"/>
        <v>3892796.7517880816</v>
      </c>
      <c r="AO386" s="891">
        <f t="shared" si="1120"/>
        <v>2298311.8257087287</v>
      </c>
      <c r="AP386" s="891">
        <f t="shared" si="1120"/>
        <v>2652214.5789021105</v>
      </c>
      <c r="AQ386" s="1074"/>
      <c r="AR386" s="1072"/>
      <c r="AT386" s="1073"/>
      <c r="AU386" s="891">
        <f t="shared" ref="AU386:AX386" si="1121">AU41</f>
        <v>8843323.1563989222</v>
      </c>
      <c r="AV386" s="891">
        <f t="shared" si="1121"/>
        <v>3892796.7517880816</v>
      </c>
      <c r="AW386" s="891">
        <f t="shared" si="1121"/>
        <v>2298311.8257087287</v>
      </c>
      <c r="AX386" s="891">
        <f t="shared" si="1121"/>
        <v>2652214.5789021105</v>
      </c>
      <c r="AY386" s="1074"/>
      <c r="AZ386" s="1072"/>
      <c r="BB386" s="1073"/>
      <c r="BC386" s="891">
        <f t="shared" ref="BC386:BF386" si="1122">BC41</f>
        <v>8843323.1563989222</v>
      </c>
      <c r="BD386" s="891">
        <f t="shared" si="1122"/>
        <v>3892796.7517880816</v>
      </c>
      <c r="BE386" s="891">
        <f t="shared" si="1122"/>
        <v>2298311.8257087287</v>
      </c>
      <c r="BF386" s="891">
        <f t="shared" si="1122"/>
        <v>2652214.5789021105</v>
      </c>
      <c r="BG386" s="1074"/>
      <c r="BH386" s="1072"/>
      <c r="BJ386" s="1073"/>
      <c r="BK386" s="891">
        <f t="shared" ref="BK386:BN386" si="1123">BK41</f>
        <v>8843323.1563989222</v>
      </c>
      <c r="BL386" s="891">
        <f t="shared" si="1123"/>
        <v>3892796.7517880816</v>
      </c>
      <c r="BM386" s="891">
        <f t="shared" si="1123"/>
        <v>2298311.8257087287</v>
      </c>
      <c r="BN386" s="891">
        <f t="shared" si="1123"/>
        <v>2652214.5789021105</v>
      </c>
      <c r="BO386" s="1074"/>
      <c r="BP386" s="1072"/>
      <c r="BR386" s="1073"/>
      <c r="BS386" s="891">
        <f t="shared" ref="BS386:BV386" si="1124">BS41</f>
        <v>8843323.1563989222</v>
      </c>
      <c r="BT386" s="891">
        <f t="shared" si="1124"/>
        <v>3892796.7517880816</v>
      </c>
      <c r="BU386" s="891">
        <f t="shared" si="1124"/>
        <v>2298311.8257087287</v>
      </c>
      <c r="BV386" s="891">
        <f t="shared" si="1124"/>
        <v>2652214.5789021105</v>
      </c>
      <c r="BW386" s="1074"/>
      <c r="BX386" s="1072"/>
      <c r="BZ386" s="1073"/>
      <c r="CA386" s="891">
        <f t="shared" ref="CA386:CD386" si="1125">CA41</f>
        <v>8843323.1563989222</v>
      </c>
      <c r="CB386" s="891">
        <f t="shared" si="1125"/>
        <v>3892796.7517880816</v>
      </c>
      <c r="CC386" s="891">
        <f t="shared" si="1125"/>
        <v>2298311.8257087287</v>
      </c>
      <c r="CD386" s="891">
        <f t="shared" si="1125"/>
        <v>2652214.5789021105</v>
      </c>
      <c r="CE386" s="1074"/>
      <c r="CF386" s="1072"/>
      <c r="CH386" s="1073"/>
      <c r="CI386" s="891">
        <f t="shared" ref="CI386:CL386" si="1126">CI41</f>
        <v>8843323.1563989222</v>
      </c>
      <c r="CJ386" s="891">
        <f t="shared" si="1126"/>
        <v>3892796.7517880816</v>
      </c>
      <c r="CK386" s="891">
        <f t="shared" si="1126"/>
        <v>2298311.8257087287</v>
      </c>
      <c r="CL386" s="891">
        <f t="shared" si="1126"/>
        <v>2652214.5789021105</v>
      </c>
      <c r="CM386" s="1074"/>
      <c r="CN386" s="1072"/>
      <c r="CP386" s="1073"/>
      <c r="CQ386" s="891">
        <f t="shared" ref="CQ386:CT386" si="1127">CQ41</f>
        <v>8843323.1563989222</v>
      </c>
      <c r="CR386" s="891">
        <f t="shared" si="1127"/>
        <v>3892796.7517880816</v>
      </c>
      <c r="CS386" s="891">
        <f t="shared" si="1127"/>
        <v>2298311.8257087287</v>
      </c>
      <c r="CT386" s="891">
        <f t="shared" si="1127"/>
        <v>2652214.5789021105</v>
      </c>
      <c r="CU386" s="1074"/>
      <c r="CV386" s="1072"/>
      <c r="CX386" s="1073"/>
      <c r="CY386" s="891">
        <f t="shared" ref="CY386:DB386" si="1128">CY41</f>
        <v>8843323.1563989222</v>
      </c>
      <c r="CZ386" s="891">
        <f t="shared" si="1128"/>
        <v>3892796.7517880816</v>
      </c>
      <c r="DA386" s="891">
        <f t="shared" si="1128"/>
        <v>2298311.8257087287</v>
      </c>
      <c r="DB386" s="891">
        <f t="shared" si="1128"/>
        <v>2652214.5789021105</v>
      </c>
      <c r="DC386" s="1074"/>
      <c r="DD386" s="1072"/>
      <c r="DF386" s="1073"/>
      <c r="DG386" s="891">
        <f t="shared" ref="DG386:DJ386" si="1129">DG41</f>
        <v>8843323.1563989222</v>
      </c>
      <c r="DH386" s="891">
        <f t="shared" si="1129"/>
        <v>3892796.7517880816</v>
      </c>
      <c r="DI386" s="891">
        <f t="shared" si="1129"/>
        <v>2298311.8257087287</v>
      </c>
      <c r="DJ386" s="891">
        <f t="shared" si="1129"/>
        <v>2652214.5789021105</v>
      </c>
      <c r="DK386" s="1074"/>
      <c r="DL386" s="1072"/>
      <c r="DN386" s="1073"/>
      <c r="DO386" s="891">
        <f t="shared" ref="DO386:DR386" si="1130">DO41</f>
        <v>8843323.1563989222</v>
      </c>
      <c r="DP386" s="891">
        <f t="shared" si="1130"/>
        <v>3892796.7517880816</v>
      </c>
      <c r="DQ386" s="891">
        <f t="shared" si="1130"/>
        <v>2298311.8257087287</v>
      </c>
      <c r="DR386" s="891">
        <f t="shared" si="1130"/>
        <v>2652214.5789021105</v>
      </c>
      <c r="DS386" s="1074"/>
      <c r="DT386" s="1072"/>
      <c r="DV386" s="1073"/>
      <c r="DW386" s="891">
        <f t="shared" ref="DW386:DZ386" si="1131">DW41</f>
        <v>8843323.1563989222</v>
      </c>
      <c r="DX386" s="891">
        <f t="shared" si="1131"/>
        <v>3892796.7517880816</v>
      </c>
      <c r="DY386" s="891">
        <f t="shared" si="1131"/>
        <v>2298311.8257087287</v>
      </c>
      <c r="DZ386" s="891">
        <f t="shared" si="1131"/>
        <v>2652214.5789021105</v>
      </c>
      <c r="EA386" s="1074"/>
      <c r="EB386" s="1072"/>
      <c r="ED386" s="1073"/>
      <c r="EE386" s="891">
        <f t="shared" ref="EE386:EH386" si="1132">EE41</f>
        <v>8843323.1563989222</v>
      </c>
      <c r="EF386" s="891">
        <f t="shared" si="1132"/>
        <v>3892796.7517880816</v>
      </c>
      <c r="EG386" s="891">
        <f t="shared" si="1132"/>
        <v>2298311.8257087287</v>
      </c>
      <c r="EH386" s="891">
        <f t="shared" si="1132"/>
        <v>2652214.5789021105</v>
      </c>
      <c r="EI386" s="1074"/>
      <c r="EJ386" s="1072"/>
      <c r="EL386" s="1073"/>
      <c r="EM386" s="891">
        <f t="shared" ref="EM386:EP386" si="1133">EM41</f>
        <v>8843323.1563989222</v>
      </c>
      <c r="EN386" s="891">
        <f t="shared" si="1133"/>
        <v>3892796.7517880816</v>
      </c>
      <c r="EO386" s="891">
        <f t="shared" si="1133"/>
        <v>2298311.8257087287</v>
      </c>
      <c r="EP386" s="891">
        <f t="shared" si="1133"/>
        <v>2652214.5789021105</v>
      </c>
      <c r="EQ386" s="1074"/>
      <c r="ER386" s="1072"/>
      <c r="ET386" s="1073"/>
      <c r="EU386" s="891">
        <f t="shared" ref="EU386:EX386" si="1134">EU41</f>
        <v>8843323.1563989222</v>
      </c>
      <c r="EV386" s="891">
        <f t="shared" si="1134"/>
        <v>3892796.7517880816</v>
      </c>
      <c r="EW386" s="891">
        <f t="shared" si="1134"/>
        <v>2298311.8257087287</v>
      </c>
      <c r="EX386" s="891">
        <f t="shared" si="1134"/>
        <v>2652214.5789021105</v>
      </c>
      <c r="EY386" s="1074"/>
      <c r="EZ386" s="1072"/>
      <c r="FB386" s="1073"/>
      <c r="FC386" s="891">
        <f t="shared" ref="FC386:FF386" si="1135">FC41</f>
        <v>8843323.1563989222</v>
      </c>
      <c r="FD386" s="891">
        <f t="shared" si="1135"/>
        <v>3892796.7517880816</v>
      </c>
      <c r="FE386" s="891">
        <f t="shared" si="1135"/>
        <v>2298311.8257087287</v>
      </c>
      <c r="FF386" s="891">
        <f t="shared" si="1135"/>
        <v>2652214.5789021105</v>
      </c>
      <c r="FG386" s="1074"/>
      <c r="FH386" s="1072"/>
      <c r="FJ386" s="1073"/>
      <c r="FK386" s="891">
        <f t="shared" ref="FK386:FN386" si="1136">FK41</f>
        <v>8843323.1563989222</v>
      </c>
      <c r="FL386" s="891">
        <f t="shared" si="1136"/>
        <v>3892796.7517880816</v>
      </c>
      <c r="FM386" s="891">
        <f t="shared" si="1136"/>
        <v>2298311.8257087287</v>
      </c>
      <c r="FN386" s="891">
        <f t="shared" si="1136"/>
        <v>2652214.5789021105</v>
      </c>
      <c r="FO386" s="1074"/>
    </row>
    <row r="387" spans="2:171" x14ac:dyDescent="0.25">
      <c r="B387" s="108"/>
      <c r="C387" s="108" t="s">
        <v>130</v>
      </c>
      <c r="D387" s="1072"/>
      <c r="E387" s="905" t="str">
        <f t="shared" si="1034"/>
        <v>PTD</v>
      </c>
      <c r="G387" s="891">
        <f t="shared" si="1035"/>
        <v>28801735.62174933</v>
      </c>
      <c r="H387" s="891">
        <f t="shared" si="1035"/>
        <v>12678412.955324007</v>
      </c>
      <c r="I387" s="891">
        <f t="shared" si="1035"/>
        <v>0</v>
      </c>
      <c r="J387" s="891">
        <f t="shared" si="1035"/>
        <v>16123322.666425321</v>
      </c>
      <c r="K387" s="1074">
        <f t="shared" si="1036"/>
        <v>1</v>
      </c>
      <c r="L387" s="1072"/>
      <c r="N387" s="1073"/>
      <c r="O387" s="891">
        <f t="shared" ref="O387:R387" si="1137">O42</f>
        <v>28801735.621749327</v>
      </c>
      <c r="P387" s="891">
        <f t="shared" si="1137"/>
        <v>12678412.955324005</v>
      </c>
      <c r="Q387" s="891">
        <f t="shared" si="1137"/>
        <v>7485350.0669038258</v>
      </c>
      <c r="R387" s="891">
        <f t="shared" si="1137"/>
        <v>8637972.5995214917</v>
      </c>
      <c r="S387" s="1074"/>
      <c r="T387" s="1072"/>
      <c r="V387" s="1073"/>
      <c r="W387" s="891">
        <f t="shared" ref="W387:Z387" si="1138">W42</f>
        <v>28801735.621749327</v>
      </c>
      <c r="X387" s="891">
        <f t="shared" si="1138"/>
        <v>12678412.955324005</v>
      </c>
      <c r="Y387" s="891">
        <f t="shared" si="1138"/>
        <v>7485350.0669038258</v>
      </c>
      <c r="Z387" s="891">
        <f t="shared" si="1138"/>
        <v>8637972.5995214917</v>
      </c>
      <c r="AA387" s="1074"/>
      <c r="AB387" s="1072"/>
      <c r="AD387" s="1073"/>
      <c r="AE387" s="891">
        <f t="shared" ref="AE387:AH387" si="1139">AE42</f>
        <v>28801735.621749327</v>
      </c>
      <c r="AF387" s="891">
        <f t="shared" si="1139"/>
        <v>12678412.955324005</v>
      </c>
      <c r="AG387" s="891">
        <f t="shared" si="1139"/>
        <v>7485350.0669038258</v>
      </c>
      <c r="AH387" s="891">
        <f t="shared" si="1139"/>
        <v>8637972.5995214917</v>
      </c>
      <c r="AI387" s="1074"/>
      <c r="AJ387" s="1072"/>
      <c r="AL387" s="1073"/>
      <c r="AM387" s="891">
        <f t="shared" ref="AM387:AP387" si="1140">AM42</f>
        <v>28801735.621749327</v>
      </c>
      <c r="AN387" s="891">
        <f t="shared" si="1140"/>
        <v>12678412.955324005</v>
      </c>
      <c r="AO387" s="891">
        <f t="shared" si="1140"/>
        <v>7485350.0669038258</v>
      </c>
      <c r="AP387" s="891">
        <f t="shared" si="1140"/>
        <v>8637972.5995214917</v>
      </c>
      <c r="AQ387" s="1074"/>
      <c r="AR387" s="1072"/>
      <c r="AT387" s="1073"/>
      <c r="AU387" s="891">
        <f t="shared" ref="AU387:AX387" si="1141">AU42</f>
        <v>28801735.621749327</v>
      </c>
      <c r="AV387" s="891">
        <f t="shared" si="1141"/>
        <v>12678412.955324005</v>
      </c>
      <c r="AW387" s="891">
        <f t="shared" si="1141"/>
        <v>7485350.0669038258</v>
      </c>
      <c r="AX387" s="891">
        <f t="shared" si="1141"/>
        <v>8637972.5995214917</v>
      </c>
      <c r="AY387" s="1074"/>
      <c r="AZ387" s="1072"/>
      <c r="BB387" s="1073"/>
      <c r="BC387" s="891">
        <f t="shared" ref="BC387:BF387" si="1142">BC42</f>
        <v>28801735.621749327</v>
      </c>
      <c r="BD387" s="891">
        <f t="shared" si="1142"/>
        <v>12678412.955324005</v>
      </c>
      <c r="BE387" s="891">
        <f t="shared" si="1142"/>
        <v>7485350.0669038258</v>
      </c>
      <c r="BF387" s="891">
        <f t="shared" si="1142"/>
        <v>8637972.5995214917</v>
      </c>
      <c r="BG387" s="1074"/>
      <c r="BH387" s="1072"/>
      <c r="BJ387" s="1073"/>
      <c r="BK387" s="891">
        <f t="shared" ref="BK387:BN387" si="1143">BK42</f>
        <v>28801735.621749327</v>
      </c>
      <c r="BL387" s="891">
        <f t="shared" si="1143"/>
        <v>12678412.955324005</v>
      </c>
      <c r="BM387" s="891">
        <f t="shared" si="1143"/>
        <v>7485350.0669038258</v>
      </c>
      <c r="BN387" s="891">
        <f t="shared" si="1143"/>
        <v>8637972.5995214917</v>
      </c>
      <c r="BO387" s="1074"/>
      <c r="BP387" s="1072"/>
      <c r="BR387" s="1073"/>
      <c r="BS387" s="891">
        <f t="shared" ref="BS387:BV387" si="1144">BS42</f>
        <v>28801735.621749327</v>
      </c>
      <c r="BT387" s="891">
        <f t="shared" si="1144"/>
        <v>12678412.955324005</v>
      </c>
      <c r="BU387" s="891">
        <f t="shared" si="1144"/>
        <v>7485350.0669038258</v>
      </c>
      <c r="BV387" s="891">
        <f t="shared" si="1144"/>
        <v>8637972.5995214917</v>
      </c>
      <c r="BW387" s="1074"/>
      <c r="BX387" s="1072"/>
      <c r="BZ387" s="1073"/>
      <c r="CA387" s="891">
        <f t="shared" ref="CA387:CD387" si="1145">CA42</f>
        <v>28801735.621749327</v>
      </c>
      <c r="CB387" s="891">
        <f t="shared" si="1145"/>
        <v>12678412.955324005</v>
      </c>
      <c r="CC387" s="891">
        <f t="shared" si="1145"/>
        <v>7485350.0669038258</v>
      </c>
      <c r="CD387" s="891">
        <f t="shared" si="1145"/>
        <v>8637972.5995214917</v>
      </c>
      <c r="CE387" s="1074"/>
      <c r="CF387" s="1072"/>
      <c r="CH387" s="1073"/>
      <c r="CI387" s="891">
        <f t="shared" ref="CI387:CL387" si="1146">CI42</f>
        <v>28801735.621749327</v>
      </c>
      <c r="CJ387" s="891">
        <f t="shared" si="1146"/>
        <v>12678412.955324005</v>
      </c>
      <c r="CK387" s="891">
        <f t="shared" si="1146"/>
        <v>7485350.0669038258</v>
      </c>
      <c r="CL387" s="891">
        <f t="shared" si="1146"/>
        <v>8637972.5995214917</v>
      </c>
      <c r="CM387" s="1074"/>
      <c r="CN387" s="1072"/>
      <c r="CP387" s="1073"/>
      <c r="CQ387" s="891">
        <f t="shared" ref="CQ387:CT387" si="1147">CQ42</f>
        <v>28801735.621749327</v>
      </c>
      <c r="CR387" s="891">
        <f t="shared" si="1147"/>
        <v>12678412.955324005</v>
      </c>
      <c r="CS387" s="891">
        <f t="shared" si="1147"/>
        <v>7485350.0669038258</v>
      </c>
      <c r="CT387" s="891">
        <f t="shared" si="1147"/>
        <v>8637972.5995214917</v>
      </c>
      <c r="CU387" s="1074"/>
      <c r="CV387" s="1072"/>
      <c r="CX387" s="1073"/>
      <c r="CY387" s="891">
        <f t="shared" ref="CY387:DB387" si="1148">CY42</f>
        <v>28801735.621749327</v>
      </c>
      <c r="CZ387" s="891">
        <f t="shared" si="1148"/>
        <v>12678412.955324005</v>
      </c>
      <c r="DA387" s="891">
        <f t="shared" si="1148"/>
        <v>7485350.0669038258</v>
      </c>
      <c r="DB387" s="891">
        <f t="shared" si="1148"/>
        <v>8637972.5995214917</v>
      </c>
      <c r="DC387" s="1074"/>
      <c r="DD387" s="1072"/>
      <c r="DF387" s="1073"/>
      <c r="DG387" s="891">
        <f t="shared" ref="DG387:DJ387" si="1149">DG42</f>
        <v>28801735.621749327</v>
      </c>
      <c r="DH387" s="891">
        <f t="shared" si="1149"/>
        <v>12678412.955324005</v>
      </c>
      <c r="DI387" s="891">
        <f t="shared" si="1149"/>
        <v>7485350.0669038258</v>
      </c>
      <c r="DJ387" s="891">
        <f t="shared" si="1149"/>
        <v>8637972.5995214917</v>
      </c>
      <c r="DK387" s="1074"/>
      <c r="DL387" s="1072"/>
      <c r="DN387" s="1073"/>
      <c r="DO387" s="891">
        <f t="shared" ref="DO387:DR387" si="1150">DO42</f>
        <v>28801735.621749327</v>
      </c>
      <c r="DP387" s="891">
        <f t="shared" si="1150"/>
        <v>12678412.955324005</v>
      </c>
      <c r="DQ387" s="891">
        <f t="shared" si="1150"/>
        <v>7485350.0669038258</v>
      </c>
      <c r="DR387" s="891">
        <f t="shared" si="1150"/>
        <v>8637972.5995214917</v>
      </c>
      <c r="DS387" s="1074"/>
      <c r="DT387" s="1072"/>
      <c r="DV387" s="1073"/>
      <c r="DW387" s="891">
        <f t="shared" ref="DW387:DZ387" si="1151">DW42</f>
        <v>28801735.621749327</v>
      </c>
      <c r="DX387" s="891">
        <f t="shared" si="1151"/>
        <v>12678412.955324005</v>
      </c>
      <c r="DY387" s="891">
        <f t="shared" si="1151"/>
        <v>7485350.0669038258</v>
      </c>
      <c r="DZ387" s="891">
        <f t="shared" si="1151"/>
        <v>8637972.5995214917</v>
      </c>
      <c r="EA387" s="1074"/>
      <c r="EB387" s="1072"/>
      <c r="ED387" s="1073"/>
      <c r="EE387" s="891">
        <f t="shared" ref="EE387:EH387" si="1152">EE42</f>
        <v>28801735.621749327</v>
      </c>
      <c r="EF387" s="891">
        <f t="shared" si="1152"/>
        <v>12678412.955324005</v>
      </c>
      <c r="EG387" s="891">
        <f t="shared" si="1152"/>
        <v>7485350.0669038258</v>
      </c>
      <c r="EH387" s="891">
        <f t="shared" si="1152"/>
        <v>8637972.5995214917</v>
      </c>
      <c r="EI387" s="1074"/>
      <c r="EJ387" s="1072"/>
      <c r="EL387" s="1073"/>
      <c r="EM387" s="891">
        <f t="shared" ref="EM387:EP387" si="1153">EM42</f>
        <v>28801735.621749327</v>
      </c>
      <c r="EN387" s="891">
        <f t="shared" si="1153"/>
        <v>12678412.955324005</v>
      </c>
      <c r="EO387" s="891">
        <f t="shared" si="1153"/>
        <v>7485350.0669038258</v>
      </c>
      <c r="EP387" s="891">
        <f t="shared" si="1153"/>
        <v>8637972.5995214917</v>
      </c>
      <c r="EQ387" s="1074"/>
      <c r="ER387" s="1072"/>
      <c r="ET387" s="1073"/>
      <c r="EU387" s="891">
        <f t="shared" ref="EU387:EX387" si="1154">EU42</f>
        <v>28801735.621749327</v>
      </c>
      <c r="EV387" s="891">
        <f t="shared" si="1154"/>
        <v>12678412.955324005</v>
      </c>
      <c r="EW387" s="891">
        <f t="shared" si="1154"/>
        <v>7485350.0669038258</v>
      </c>
      <c r="EX387" s="891">
        <f t="shared" si="1154"/>
        <v>8637972.5995214917</v>
      </c>
      <c r="EY387" s="1074"/>
      <c r="EZ387" s="1072"/>
      <c r="FB387" s="1073"/>
      <c r="FC387" s="891">
        <f t="shared" ref="FC387:FF387" si="1155">FC42</f>
        <v>28801735.621749327</v>
      </c>
      <c r="FD387" s="891">
        <f t="shared" si="1155"/>
        <v>12678412.955324005</v>
      </c>
      <c r="FE387" s="891">
        <f t="shared" si="1155"/>
        <v>7485350.0669038258</v>
      </c>
      <c r="FF387" s="891">
        <f t="shared" si="1155"/>
        <v>8637972.5995214917</v>
      </c>
      <c r="FG387" s="1074"/>
      <c r="FH387" s="1072"/>
      <c r="FJ387" s="1073"/>
      <c r="FK387" s="891">
        <f t="shared" ref="FK387:FN387" si="1156">FK42</f>
        <v>28801735.621749327</v>
      </c>
      <c r="FL387" s="891">
        <f t="shared" si="1156"/>
        <v>12678412.955324005</v>
      </c>
      <c r="FM387" s="891">
        <f t="shared" si="1156"/>
        <v>7485350.0669038258</v>
      </c>
      <c r="FN387" s="891">
        <f t="shared" si="1156"/>
        <v>8637972.5995214917</v>
      </c>
      <c r="FO387" s="1074"/>
    </row>
    <row r="388" spans="2:171" x14ac:dyDescent="0.25">
      <c r="B388" s="108"/>
      <c r="C388" s="108" t="s">
        <v>131</v>
      </c>
      <c r="D388" s="1072"/>
      <c r="E388" s="905" t="str">
        <f t="shared" si="1034"/>
        <v>PTD</v>
      </c>
      <c r="G388" s="891">
        <f t="shared" si="1035"/>
        <v>22065131.008344457</v>
      </c>
      <c r="H388" s="891">
        <f t="shared" si="1035"/>
        <v>9712985.5822252911</v>
      </c>
      <c r="I388" s="891">
        <f t="shared" si="1035"/>
        <v>0</v>
      </c>
      <c r="J388" s="891">
        <f t="shared" si="1035"/>
        <v>12352145.426119164</v>
      </c>
      <c r="K388" s="1074">
        <f t="shared" si="1036"/>
        <v>1</v>
      </c>
      <c r="L388" s="1072"/>
      <c r="N388" s="1073"/>
      <c r="O388" s="891">
        <f t="shared" ref="O388:R388" si="1157">O43</f>
        <v>22065131.008344457</v>
      </c>
      <c r="P388" s="891">
        <f t="shared" si="1157"/>
        <v>9712985.5822252911</v>
      </c>
      <c r="Q388" s="891">
        <f t="shared" si="1157"/>
        <v>5734558.2238047514</v>
      </c>
      <c r="R388" s="891">
        <f t="shared" si="1157"/>
        <v>6617587.2023144113</v>
      </c>
      <c r="S388" s="1074"/>
      <c r="T388" s="1072"/>
      <c r="V388" s="1073"/>
      <c r="W388" s="891">
        <f t="shared" ref="W388:Z388" si="1158">W43</f>
        <v>22065131.008344457</v>
      </c>
      <c r="X388" s="891">
        <f t="shared" si="1158"/>
        <v>9712985.5822252911</v>
      </c>
      <c r="Y388" s="891">
        <f t="shared" si="1158"/>
        <v>5734558.2238047514</v>
      </c>
      <c r="Z388" s="891">
        <f t="shared" si="1158"/>
        <v>6617587.2023144113</v>
      </c>
      <c r="AA388" s="1074"/>
      <c r="AB388" s="1072"/>
      <c r="AD388" s="1073"/>
      <c r="AE388" s="891">
        <f t="shared" ref="AE388:AH388" si="1159">AE43</f>
        <v>22065131.008344457</v>
      </c>
      <c r="AF388" s="891">
        <f t="shared" si="1159"/>
        <v>9712985.5822252911</v>
      </c>
      <c r="AG388" s="891">
        <f t="shared" si="1159"/>
        <v>5734558.2238047514</v>
      </c>
      <c r="AH388" s="891">
        <f t="shared" si="1159"/>
        <v>6617587.2023144113</v>
      </c>
      <c r="AI388" s="1074"/>
      <c r="AJ388" s="1072"/>
      <c r="AL388" s="1073"/>
      <c r="AM388" s="891">
        <f t="shared" ref="AM388:AP388" si="1160">AM43</f>
        <v>22065131.008344457</v>
      </c>
      <c r="AN388" s="891">
        <f t="shared" si="1160"/>
        <v>9712985.5822252911</v>
      </c>
      <c r="AO388" s="891">
        <f t="shared" si="1160"/>
        <v>5734558.2238047514</v>
      </c>
      <c r="AP388" s="891">
        <f t="shared" si="1160"/>
        <v>6617587.2023144113</v>
      </c>
      <c r="AQ388" s="1074"/>
      <c r="AR388" s="1072"/>
      <c r="AT388" s="1073"/>
      <c r="AU388" s="891">
        <f t="shared" ref="AU388:AX388" si="1161">AU43</f>
        <v>22065131.008344457</v>
      </c>
      <c r="AV388" s="891">
        <f t="shared" si="1161"/>
        <v>9712985.5822252911</v>
      </c>
      <c r="AW388" s="891">
        <f t="shared" si="1161"/>
        <v>5734558.2238047514</v>
      </c>
      <c r="AX388" s="891">
        <f t="shared" si="1161"/>
        <v>6617587.2023144113</v>
      </c>
      <c r="AY388" s="1074"/>
      <c r="AZ388" s="1072"/>
      <c r="BB388" s="1073"/>
      <c r="BC388" s="891">
        <f t="shared" ref="BC388:BF388" si="1162">BC43</f>
        <v>22065131.008344457</v>
      </c>
      <c r="BD388" s="891">
        <f t="shared" si="1162"/>
        <v>9712985.5822252911</v>
      </c>
      <c r="BE388" s="891">
        <f t="shared" si="1162"/>
        <v>5734558.2238047514</v>
      </c>
      <c r="BF388" s="891">
        <f t="shared" si="1162"/>
        <v>6617587.2023144113</v>
      </c>
      <c r="BG388" s="1074"/>
      <c r="BH388" s="1072"/>
      <c r="BJ388" s="1073"/>
      <c r="BK388" s="891">
        <f t="shared" ref="BK388:BN388" si="1163">BK43</f>
        <v>22065131.008344457</v>
      </c>
      <c r="BL388" s="891">
        <f t="shared" si="1163"/>
        <v>9712985.5822252911</v>
      </c>
      <c r="BM388" s="891">
        <f t="shared" si="1163"/>
        <v>5734558.2238047514</v>
      </c>
      <c r="BN388" s="891">
        <f t="shared" si="1163"/>
        <v>6617587.2023144113</v>
      </c>
      <c r="BO388" s="1074"/>
      <c r="BP388" s="1072"/>
      <c r="BR388" s="1073"/>
      <c r="BS388" s="891">
        <f t="shared" ref="BS388:BV388" si="1164">BS43</f>
        <v>22065131.008344457</v>
      </c>
      <c r="BT388" s="891">
        <f t="shared" si="1164"/>
        <v>9712985.5822252911</v>
      </c>
      <c r="BU388" s="891">
        <f t="shared" si="1164"/>
        <v>5734558.2238047514</v>
      </c>
      <c r="BV388" s="891">
        <f t="shared" si="1164"/>
        <v>6617587.2023144113</v>
      </c>
      <c r="BW388" s="1074"/>
      <c r="BX388" s="1072"/>
      <c r="BZ388" s="1073"/>
      <c r="CA388" s="891">
        <f t="shared" ref="CA388:CD388" si="1165">CA43</f>
        <v>22065131.008344457</v>
      </c>
      <c r="CB388" s="891">
        <f t="shared" si="1165"/>
        <v>9712985.5822252911</v>
      </c>
      <c r="CC388" s="891">
        <f t="shared" si="1165"/>
        <v>5734558.2238047514</v>
      </c>
      <c r="CD388" s="891">
        <f t="shared" si="1165"/>
        <v>6617587.2023144113</v>
      </c>
      <c r="CE388" s="1074"/>
      <c r="CF388" s="1072"/>
      <c r="CH388" s="1073"/>
      <c r="CI388" s="891">
        <f t="shared" ref="CI388:CL388" si="1166">CI43</f>
        <v>22065131.008344457</v>
      </c>
      <c r="CJ388" s="891">
        <f t="shared" si="1166"/>
        <v>9712985.5822252911</v>
      </c>
      <c r="CK388" s="891">
        <f t="shared" si="1166"/>
        <v>5734558.2238047514</v>
      </c>
      <c r="CL388" s="891">
        <f t="shared" si="1166"/>
        <v>6617587.2023144113</v>
      </c>
      <c r="CM388" s="1074"/>
      <c r="CN388" s="1072"/>
      <c r="CP388" s="1073"/>
      <c r="CQ388" s="891">
        <f t="shared" ref="CQ388:CT388" si="1167">CQ43</f>
        <v>22065131.008344457</v>
      </c>
      <c r="CR388" s="891">
        <f t="shared" si="1167"/>
        <v>9712985.5822252911</v>
      </c>
      <c r="CS388" s="891">
        <f t="shared" si="1167"/>
        <v>5734558.2238047514</v>
      </c>
      <c r="CT388" s="891">
        <f t="shared" si="1167"/>
        <v>6617587.2023144113</v>
      </c>
      <c r="CU388" s="1074"/>
      <c r="CV388" s="1072"/>
      <c r="CX388" s="1073"/>
      <c r="CY388" s="891">
        <f t="shared" ref="CY388:DB388" si="1168">CY43</f>
        <v>22065131.008344457</v>
      </c>
      <c r="CZ388" s="891">
        <f t="shared" si="1168"/>
        <v>9712985.5822252911</v>
      </c>
      <c r="DA388" s="891">
        <f t="shared" si="1168"/>
        <v>5734558.2238047514</v>
      </c>
      <c r="DB388" s="891">
        <f t="shared" si="1168"/>
        <v>6617587.2023144113</v>
      </c>
      <c r="DC388" s="1074"/>
      <c r="DD388" s="1072"/>
      <c r="DF388" s="1073"/>
      <c r="DG388" s="891">
        <f t="shared" ref="DG388:DJ388" si="1169">DG43</f>
        <v>22065131.008344457</v>
      </c>
      <c r="DH388" s="891">
        <f t="shared" si="1169"/>
        <v>9712985.5822252911</v>
      </c>
      <c r="DI388" s="891">
        <f t="shared" si="1169"/>
        <v>5734558.2238047514</v>
      </c>
      <c r="DJ388" s="891">
        <f t="shared" si="1169"/>
        <v>6617587.2023144113</v>
      </c>
      <c r="DK388" s="1074"/>
      <c r="DL388" s="1072"/>
      <c r="DN388" s="1073"/>
      <c r="DO388" s="891">
        <f t="shared" ref="DO388:DR388" si="1170">DO43</f>
        <v>22065131.008344457</v>
      </c>
      <c r="DP388" s="891">
        <f t="shared" si="1170"/>
        <v>9712985.5822252911</v>
      </c>
      <c r="DQ388" s="891">
        <f t="shared" si="1170"/>
        <v>5734558.2238047514</v>
      </c>
      <c r="DR388" s="891">
        <f t="shared" si="1170"/>
        <v>6617587.2023144113</v>
      </c>
      <c r="DS388" s="1074"/>
      <c r="DT388" s="1072"/>
      <c r="DV388" s="1073"/>
      <c r="DW388" s="891">
        <f t="shared" ref="DW388:DZ388" si="1171">DW43</f>
        <v>22065131.008344457</v>
      </c>
      <c r="DX388" s="891">
        <f t="shared" si="1171"/>
        <v>9712985.5822252911</v>
      </c>
      <c r="DY388" s="891">
        <f t="shared" si="1171"/>
        <v>5734558.2238047514</v>
      </c>
      <c r="DZ388" s="891">
        <f t="shared" si="1171"/>
        <v>6617587.2023144113</v>
      </c>
      <c r="EA388" s="1074"/>
      <c r="EB388" s="1072"/>
      <c r="ED388" s="1073"/>
      <c r="EE388" s="891">
        <f t="shared" ref="EE388:EH388" si="1172">EE43</f>
        <v>22065131.008344457</v>
      </c>
      <c r="EF388" s="891">
        <f t="shared" si="1172"/>
        <v>9712985.5822252911</v>
      </c>
      <c r="EG388" s="891">
        <f t="shared" si="1172"/>
        <v>5734558.2238047514</v>
      </c>
      <c r="EH388" s="891">
        <f t="shared" si="1172"/>
        <v>6617587.2023144113</v>
      </c>
      <c r="EI388" s="1074"/>
      <c r="EJ388" s="1072"/>
      <c r="EL388" s="1073"/>
      <c r="EM388" s="891">
        <f t="shared" ref="EM388:EP388" si="1173">EM43</f>
        <v>22065131.008344457</v>
      </c>
      <c r="EN388" s="891">
        <f t="shared" si="1173"/>
        <v>9712985.5822252911</v>
      </c>
      <c r="EO388" s="891">
        <f t="shared" si="1173"/>
        <v>5734558.2238047514</v>
      </c>
      <c r="EP388" s="891">
        <f t="shared" si="1173"/>
        <v>6617587.2023144113</v>
      </c>
      <c r="EQ388" s="1074"/>
      <c r="ER388" s="1072"/>
      <c r="ET388" s="1073"/>
      <c r="EU388" s="891">
        <f t="shared" ref="EU388:EX388" si="1174">EU43</f>
        <v>22065131.008344457</v>
      </c>
      <c r="EV388" s="891">
        <f t="shared" si="1174"/>
        <v>9712985.5822252911</v>
      </c>
      <c r="EW388" s="891">
        <f t="shared" si="1174"/>
        <v>5734558.2238047514</v>
      </c>
      <c r="EX388" s="891">
        <f t="shared" si="1174"/>
        <v>6617587.2023144113</v>
      </c>
      <c r="EY388" s="1074"/>
      <c r="EZ388" s="1072"/>
      <c r="FB388" s="1073"/>
      <c r="FC388" s="891">
        <f t="shared" ref="FC388:FF388" si="1175">FC43</f>
        <v>22065131.008344457</v>
      </c>
      <c r="FD388" s="891">
        <f t="shared" si="1175"/>
        <v>9712985.5822252911</v>
      </c>
      <c r="FE388" s="891">
        <f t="shared" si="1175"/>
        <v>5734558.2238047514</v>
      </c>
      <c r="FF388" s="891">
        <f t="shared" si="1175"/>
        <v>6617587.2023144113</v>
      </c>
      <c r="FG388" s="1074"/>
      <c r="FH388" s="1072"/>
      <c r="FJ388" s="1073"/>
      <c r="FK388" s="891">
        <f t="shared" ref="FK388:FN388" si="1176">FK43</f>
        <v>22065131.008344457</v>
      </c>
      <c r="FL388" s="891">
        <f t="shared" si="1176"/>
        <v>9712985.5822252911</v>
      </c>
      <c r="FM388" s="891">
        <f t="shared" si="1176"/>
        <v>5734558.2238047514</v>
      </c>
      <c r="FN388" s="891">
        <f t="shared" si="1176"/>
        <v>6617587.2023144113</v>
      </c>
      <c r="FO388" s="1074"/>
    </row>
    <row r="389" spans="2:171" x14ac:dyDescent="0.25">
      <c r="B389" s="108"/>
      <c r="C389" s="108" t="s">
        <v>132</v>
      </c>
      <c r="D389" s="1072"/>
      <c r="E389" s="905" t="str">
        <f t="shared" si="1034"/>
        <v>TD</v>
      </c>
      <c r="G389" s="891">
        <f t="shared" si="1035"/>
        <v>104224382.24860385</v>
      </c>
      <c r="H389" s="891">
        <f t="shared" si="1035"/>
        <v>0</v>
      </c>
      <c r="I389" s="891">
        <f t="shared" si="1035"/>
        <v>0</v>
      </c>
      <c r="J389" s="891">
        <f t="shared" si="1035"/>
        <v>104224382.24860385</v>
      </c>
      <c r="K389" s="1074">
        <f t="shared" si="1036"/>
        <v>1</v>
      </c>
      <c r="L389" s="1072"/>
      <c r="N389" s="1073"/>
      <c r="O389" s="891">
        <f t="shared" ref="O389:R389" si="1177">O44</f>
        <v>104224382.24860385</v>
      </c>
      <c r="P389" s="891">
        <f t="shared" si="1177"/>
        <v>0</v>
      </c>
      <c r="Q389" s="891">
        <f t="shared" si="1177"/>
        <v>48386799.841335937</v>
      </c>
      <c r="R389" s="891">
        <f t="shared" si="1177"/>
        <v>55837582.407267913</v>
      </c>
      <c r="S389" s="1074"/>
      <c r="T389" s="1072"/>
      <c r="V389" s="1073"/>
      <c r="W389" s="891">
        <f t="shared" ref="W389:Z389" si="1178">W44</f>
        <v>104224382.24860385</v>
      </c>
      <c r="X389" s="891">
        <f t="shared" si="1178"/>
        <v>0</v>
      </c>
      <c r="Y389" s="891">
        <f t="shared" si="1178"/>
        <v>48386799.841335937</v>
      </c>
      <c r="Z389" s="891">
        <f t="shared" si="1178"/>
        <v>55837582.407267913</v>
      </c>
      <c r="AA389" s="1074"/>
      <c r="AB389" s="1072"/>
      <c r="AD389" s="1073"/>
      <c r="AE389" s="891">
        <f t="shared" ref="AE389:AH389" si="1179">AE44</f>
        <v>104224382.24860385</v>
      </c>
      <c r="AF389" s="891">
        <f t="shared" si="1179"/>
        <v>0</v>
      </c>
      <c r="AG389" s="891">
        <f t="shared" si="1179"/>
        <v>48386799.841335937</v>
      </c>
      <c r="AH389" s="891">
        <f t="shared" si="1179"/>
        <v>55837582.407267913</v>
      </c>
      <c r="AI389" s="1074"/>
      <c r="AJ389" s="1072"/>
      <c r="AL389" s="1073"/>
      <c r="AM389" s="891">
        <f t="shared" ref="AM389:AP389" si="1180">AM44</f>
        <v>104224382.24860385</v>
      </c>
      <c r="AN389" s="891">
        <f t="shared" si="1180"/>
        <v>0</v>
      </c>
      <c r="AO389" s="891">
        <f t="shared" si="1180"/>
        <v>48386799.841335937</v>
      </c>
      <c r="AP389" s="891">
        <f t="shared" si="1180"/>
        <v>55837582.407267913</v>
      </c>
      <c r="AQ389" s="1074"/>
      <c r="AR389" s="1072"/>
      <c r="AT389" s="1073"/>
      <c r="AU389" s="891">
        <f t="shared" ref="AU389:AX389" si="1181">AU44</f>
        <v>104224382.24860385</v>
      </c>
      <c r="AV389" s="891">
        <f t="shared" si="1181"/>
        <v>0</v>
      </c>
      <c r="AW389" s="891">
        <f t="shared" si="1181"/>
        <v>48386799.841335937</v>
      </c>
      <c r="AX389" s="891">
        <f t="shared" si="1181"/>
        <v>55837582.407267913</v>
      </c>
      <c r="AY389" s="1074"/>
      <c r="AZ389" s="1072"/>
      <c r="BB389" s="1073"/>
      <c r="BC389" s="891">
        <f t="shared" ref="BC389:BF389" si="1182">BC44</f>
        <v>104224382.24860385</v>
      </c>
      <c r="BD389" s="891">
        <f t="shared" si="1182"/>
        <v>0</v>
      </c>
      <c r="BE389" s="891">
        <f t="shared" si="1182"/>
        <v>48386799.841335937</v>
      </c>
      <c r="BF389" s="891">
        <f t="shared" si="1182"/>
        <v>55837582.407267913</v>
      </c>
      <c r="BG389" s="1074"/>
      <c r="BH389" s="1072"/>
      <c r="BJ389" s="1073"/>
      <c r="BK389" s="891">
        <f t="shared" ref="BK389:BN389" si="1183">BK44</f>
        <v>104224382.24860385</v>
      </c>
      <c r="BL389" s="891">
        <f t="shared" si="1183"/>
        <v>0</v>
      </c>
      <c r="BM389" s="891">
        <f t="shared" si="1183"/>
        <v>48386799.841335937</v>
      </c>
      <c r="BN389" s="891">
        <f t="shared" si="1183"/>
        <v>55837582.407267913</v>
      </c>
      <c r="BO389" s="1074"/>
      <c r="BP389" s="1072"/>
      <c r="BR389" s="1073"/>
      <c r="BS389" s="891">
        <f t="shared" ref="BS389:BV389" si="1184">BS44</f>
        <v>104224382.24860385</v>
      </c>
      <c r="BT389" s="891">
        <f t="shared" si="1184"/>
        <v>0</v>
      </c>
      <c r="BU389" s="891">
        <f t="shared" si="1184"/>
        <v>48386799.841335937</v>
      </c>
      <c r="BV389" s="891">
        <f t="shared" si="1184"/>
        <v>55837582.407267913</v>
      </c>
      <c r="BW389" s="1074"/>
      <c r="BX389" s="1072"/>
      <c r="BZ389" s="1073"/>
      <c r="CA389" s="891">
        <f t="shared" ref="CA389:CD389" si="1185">CA44</f>
        <v>104224382.24860385</v>
      </c>
      <c r="CB389" s="891">
        <f t="shared" si="1185"/>
        <v>0</v>
      </c>
      <c r="CC389" s="891">
        <f t="shared" si="1185"/>
        <v>48386799.841335937</v>
      </c>
      <c r="CD389" s="891">
        <f t="shared" si="1185"/>
        <v>55837582.407267913</v>
      </c>
      <c r="CE389" s="1074"/>
      <c r="CF389" s="1072"/>
      <c r="CH389" s="1073"/>
      <c r="CI389" s="891">
        <f t="shared" ref="CI389:CL389" si="1186">CI44</f>
        <v>104224382.24860385</v>
      </c>
      <c r="CJ389" s="891">
        <f t="shared" si="1186"/>
        <v>0</v>
      </c>
      <c r="CK389" s="891">
        <f t="shared" si="1186"/>
        <v>48386799.841335937</v>
      </c>
      <c r="CL389" s="891">
        <f t="shared" si="1186"/>
        <v>55837582.407267913</v>
      </c>
      <c r="CM389" s="1074"/>
      <c r="CN389" s="1072"/>
      <c r="CP389" s="1073"/>
      <c r="CQ389" s="891">
        <f t="shared" ref="CQ389:CT389" si="1187">CQ44</f>
        <v>104224382.24860385</v>
      </c>
      <c r="CR389" s="891">
        <f t="shared" si="1187"/>
        <v>0</v>
      </c>
      <c r="CS389" s="891">
        <f t="shared" si="1187"/>
        <v>48386799.841335937</v>
      </c>
      <c r="CT389" s="891">
        <f t="shared" si="1187"/>
        <v>55837582.407267913</v>
      </c>
      <c r="CU389" s="1074"/>
      <c r="CV389" s="1072"/>
      <c r="CX389" s="1073"/>
      <c r="CY389" s="891">
        <f t="shared" ref="CY389:DB389" si="1188">CY44</f>
        <v>104224382.24860385</v>
      </c>
      <c r="CZ389" s="891">
        <f t="shared" si="1188"/>
        <v>0</v>
      </c>
      <c r="DA389" s="891">
        <f t="shared" si="1188"/>
        <v>48386799.841335937</v>
      </c>
      <c r="DB389" s="891">
        <f t="shared" si="1188"/>
        <v>55837582.407267913</v>
      </c>
      <c r="DC389" s="1074"/>
      <c r="DD389" s="1072"/>
      <c r="DF389" s="1073"/>
      <c r="DG389" s="891">
        <f t="shared" ref="DG389:DJ389" si="1189">DG44</f>
        <v>104224382.24860385</v>
      </c>
      <c r="DH389" s="891">
        <f t="shared" si="1189"/>
        <v>0</v>
      </c>
      <c r="DI389" s="891">
        <f t="shared" si="1189"/>
        <v>48386799.841335937</v>
      </c>
      <c r="DJ389" s="891">
        <f t="shared" si="1189"/>
        <v>55837582.407267913</v>
      </c>
      <c r="DK389" s="1074"/>
      <c r="DL389" s="1072"/>
      <c r="DN389" s="1073"/>
      <c r="DO389" s="891">
        <f t="shared" ref="DO389:DR389" si="1190">DO44</f>
        <v>104224382.24860385</v>
      </c>
      <c r="DP389" s="891">
        <f t="shared" si="1190"/>
        <v>0</v>
      </c>
      <c r="DQ389" s="891">
        <f t="shared" si="1190"/>
        <v>48386799.841335937</v>
      </c>
      <c r="DR389" s="891">
        <f t="shared" si="1190"/>
        <v>55837582.407267913</v>
      </c>
      <c r="DS389" s="1074"/>
      <c r="DT389" s="1072"/>
      <c r="DV389" s="1073"/>
      <c r="DW389" s="891">
        <f t="shared" ref="DW389:DZ389" si="1191">DW44</f>
        <v>104224382.24860385</v>
      </c>
      <c r="DX389" s="891">
        <f t="shared" si="1191"/>
        <v>0</v>
      </c>
      <c r="DY389" s="891">
        <f t="shared" si="1191"/>
        <v>48386799.841335937</v>
      </c>
      <c r="DZ389" s="891">
        <f t="shared" si="1191"/>
        <v>55837582.407267913</v>
      </c>
      <c r="EA389" s="1074"/>
      <c r="EB389" s="1072"/>
      <c r="ED389" s="1073"/>
      <c r="EE389" s="891">
        <f t="shared" ref="EE389:EH389" si="1192">EE44</f>
        <v>104224382.24860385</v>
      </c>
      <c r="EF389" s="891">
        <f t="shared" si="1192"/>
        <v>0</v>
      </c>
      <c r="EG389" s="891">
        <f t="shared" si="1192"/>
        <v>48386799.841335937</v>
      </c>
      <c r="EH389" s="891">
        <f t="shared" si="1192"/>
        <v>55837582.407267913</v>
      </c>
      <c r="EI389" s="1074"/>
      <c r="EJ389" s="1072"/>
      <c r="EL389" s="1073"/>
      <c r="EM389" s="891">
        <f t="shared" ref="EM389:EP389" si="1193">EM44</f>
        <v>104224382.24860385</v>
      </c>
      <c r="EN389" s="891">
        <f t="shared" si="1193"/>
        <v>0</v>
      </c>
      <c r="EO389" s="891">
        <f t="shared" si="1193"/>
        <v>48386799.841335937</v>
      </c>
      <c r="EP389" s="891">
        <f t="shared" si="1193"/>
        <v>55837582.407267913</v>
      </c>
      <c r="EQ389" s="1074"/>
      <c r="ER389" s="1072"/>
      <c r="ET389" s="1073"/>
      <c r="EU389" s="891">
        <f t="shared" ref="EU389:EX389" si="1194">EU44</f>
        <v>104224382.24860385</v>
      </c>
      <c r="EV389" s="891">
        <f t="shared" si="1194"/>
        <v>0</v>
      </c>
      <c r="EW389" s="891">
        <f t="shared" si="1194"/>
        <v>48386799.841335937</v>
      </c>
      <c r="EX389" s="891">
        <f t="shared" si="1194"/>
        <v>55837582.407267913</v>
      </c>
      <c r="EY389" s="1074"/>
      <c r="EZ389" s="1072"/>
      <c r="FB389" s="1073"/>
      <c r="FC389" s="891">
        <f t="shared" ref="FC389:FF389" si="1195">FC44</f>
        <v>104224382.24860385</v>
      </c>
      <c r="FD389" s="891">
        <f t="shared" si="1195"/>
        <v>0</v>
      </c>
      <c r="FE389" s="891">
        <f t="shared" si="1195"/>
        <v>48386799.841335937</v>
      </c>
      <c r="FF389" s="891">
        <f t="shared" si="1195"/>
        <v>55837582.407267913</v>
      </c>
      <c r="FG389" s="1074"/>
      <c r="FH389" s="1072"/>
      <c r="FJ389" s="1073"/>
      <c r="FK389" s="891">
        <f t="shared" ref="FK389:FN389" si="1196">FK44</f>
        <v>104224382.24860385</v>
      </c>
      <c r="FL389" s="891">
        <f t="shared" si="1196"/>
        <v>0</v>
      </c>
      <c r="FM389" s="891">
        <f t="shared" si="1196"/>
        <v>48386799.841335937</v>
      </c>
      <c r="FN389" s="891">
        <f t="shared" si="1196"/>
        <v>55837582.407267913</v>
      </c>
      <c r="FO389" s="1074"/>
    </row>
    <row r="390" spans="2:171" x14ac:dyDescent="0.25">
      <c r="B390" s="108"/>
      <c r="C390" s="108" t="s">
        <v>133</v>
      </c>
      <c r="D390" s="1072"/>
      <c r="E390" s="905" t="str">
        <f t="shared" si="1034"/>
        <v>PTD</v>
      </c>
      <c r="G390" s="891">
        <f t="shared" si="1035"/>
        <v>225166384.95095226</v>
      </c>
      <c r="H390" s="891">
        <f t="shared" si="1035"/>
        <v>99117374.367879733</v>
      </c>
      <c r="I390" s="891">
        <f t="shared" si="1035"/>
        <v>0</v>
      </c>
      <c r="J390" s="891">
        <f t="shared" si="1035"/>
        <v>126049010.58307251</v>
      </c>
      <c r="K390" s="1074">
        <f t="shared" si="1036"/>
        <v>1</v>
      </c>
      <c r="L390" s="1072"/>
      <c r="N390" s="1073"/>
      <c r="O390" s="891">
        <f t="shared" ref="O390:R390" si="1197">O45</f>
        <v>225166384.95095223</v>
      </c>
      <c r="P390" s="891">
        <f t="shared" si="1197"/>
        <v>99117374.367879719</v>
      </c>
      <c r="Q390" s="891">
        <f t="shared" si="1197"/>
        <v>58519015.547950298</v>
      </c>
      <c r="R390" s="891">
        <f t="shared" si="1197"/>
        <v>67529995.035122186</v>
      </c>
      <c r="S390" s="1074"/>
      <c r="T390" s="1072"/>
      <c r="V390" s="1073"/>
      <c r="W390" s="891">
        <f t="shared" ref="W390:Z390" si="1198">W45</f>
        <v>225166384.95095223</v>
      </c>
      <c r="X390" s="891">
        <f t="shared" si="1198"/>
        <v>99117374.367879719</v>
      </c>
      <c r="Y390" s="891">
        <f t="shared" si="1198"/>
        <v>58519015.547950298</v>
      </c>
      <c r="Z390" s="891">
        <f t="shared" si="1198"/>
        <v>67529995.035122186</v>
      </c>
      <c r="AA390" s="1074"/>
      <c r="AB390" s="1072"/>
      <c r="AD390" s="1073"/>
      <c r="AE390" s="891">
        <f t="shared" ref="AE390:AH390" si="1199">AE45</f>
        <v>225166384.95095223</v>
      </c>
      <c r="AF390" s="891">
        <f t="shared" si="1199"/>
        <v>99117374.367879719</v>
      </c>
      <c r="AG390" s="891">
        <f t="shared" si="1199"/>
        <v>58519015.547950298</v>
      </c>
      <c r="AH390" s="891">
        <f t="shared" si="1199"/>
        <v>67529995.035122186</v>
      </c>
      <c r="AI390" s="1074"/>
      <c r="AJ390" s="1072"/>
      <c r="AL390" s="1073"/>
      <c r="AM390" s="891">
        <f t="shared" ref="AM390:AP390" si="1200">AM45</f>
        <v>225166384.95095223</v>
      </c>
      <c r="AN390" s="891">
        <f t="shared" si="1200"/>
        <v>99117374.367879719</v>
      </c>
      <c r="AO390" s="891">
        <f t="shared" si="1200"/>
        <v>58519015.547950298</v>
      </c>
      <c r="AP390" s="891">
        <f t="shared" si="1200"/>
        <v>67529995.035122186</v>
      </c>
      <c r="AQ390" s="1074"/>
      <c r="AR390" s="1072"/>
      <c r="AT390" s="1073"/>
      <c r="AU390" s="891">
        <f t="shared" ref="AU390:AX390" si="1201">AU45</f>
        <v>225166384.95095223</v>
      </c>
      <c r="AV390" s="891">
        <f t="shared" si="1201"/>
        <v>99117374.367879719</v>
      </c>
      <c r="AW390" s="891">
        <f t="shared" si="1201"/>
        <v>58519015.547950298</v>
      </c>
      <c r="AX390" s="891">
        <f t="shared" si="1201"/>
        <v>67529995.035122186</v>
      </c>
      <c r="AY390" s="1074"/>
      <c r="AZ390" s="1072"/>
      <c r="BB390" s="1073"/>
      <c r="BC390" s="891">
        <f t="shared" ref="BC390:BF390" si="1202">BC45</f>
        <v>225166384.95095223</v>
      </c>
      <c r="BD390" s="891">
        <f t="shared" si="1202"/>
        <v>99117374.367879719</v>
      </c>
      <c r="BE390" s="891">
        <f t="shared" si="1202"/>
        <v>58519015.547950298</v>
      </c>
      <c r="BF390" s="891">
        <f t="shared" si="1202"/>
        <v>67529995.035122186</v>
      </c>
      <c r="BG390" s="1074"/>
      <c r="BH390" s="1072"/>
      <c r="BJ390" s="1073"/>
      <c r="BK390" s="891">
        <f t="shared" ref="BK390:BN390" si="1203">BK45</f>
        <v>225166384.95095223</v>
      </c>
      <c r="BL390" s="891">
        <f t="shared" si="1203"/>
        <v>99117374.367879719</v>
      </c>
      <c r="BM390" s="891">
        <f t="shared" si="1203"/>
        <v>58519015.547950298</v>
      </c>
      <c r="BN390" s="891">
        <f t="shared" si="1203"/>
        <v>67529995.035122186</v>
      </c>
      <c r="BO390" s="1074"/>
      <c r="BP390" s="1072"/>
      <c r="BR390" s="1073"/>
      <c r="BS390" s="891">
        <f t="shared" ref="BS390:BV390" si="1204">BS45</f>
        <v>225166384.95095223</v>
      </c>
      <c r="BT390" s="891">
        <f t="shared" si="1204"/>
        <v>99117374.367879719</v>
      </c>
      <c r="BU390" s="891">
        <f t="shared" si="1204"/>
        <v>58519015.547950298</v>
      </c>
      <c r="BV390" s="891">
        <f t="shared" si="1204"/>
        <v>67529995.035122186</v>
      </c>
      <c r="BW390" s="1074"/>
      <c r="BX390" s="1072"/>
      <c r="BZ390" s="1073"/>
      <c r="CA390" s="891">
        <f t="shared" ref="CA390:CD390" si="1205">CA45</f>
        <v>225166384.95095223</v>
      </c>
      <c r="CB390" s="891">
        <f t="shared" si="1205"/>
        <v>99117374.367879719</v>
      </c>
      <c r="CC390" s="891">
        <f t="shared" si="1205"/>
        <v>58519015.547950298</v>
      </c>
      <c r="CD390" s="891">
        <f t="shared" si="1205"/>
        <v>67529995.035122186</v>
      </c>
      <c r="CE390" s="1074"/>
      <c r="CF390" s="1072"/>
      <c r="CH390" s="1073"/>
      <c r="CI390" s="891">
        <f t="shared" ref="CI390:CL390" si="1206">CI45</f>
        <v>225166384.95095223</v>
      </c>
      <c r="CJ390" s="891">
        <f t="shared" si="1206"/>
        <v>99117374.367879719</v>
      </c>
      <c r="CK390" s="891">
        <f t="shared" si="1206"/>
        <v>58519015.547950298</v>
      </c>
      <c r="CL390" s="891">
        <f t="shared" si="1206"/>
        <v>67529995.035122186</v>
      </c>
      <c r="CM390" s="1074"/>
      <c r="CN390" s="1072"/>
      <c r="CP390" s="1073"/>
      <c r="CQ390" s="891">
        <f t="shared" ref="CQ390:CT390" si="1207">CQ45</f>
        <v>225166384.95095223</v>
      </c>
      <c r="CR390" s="891">
        <f t="shared" si="1207"/>
        <v>99117374.367879719</v>
      </c>
      <c r="CS390" s="891">
        <f t="shared" si="1207"/>
        <v>58519015.547950298</v>
      </c>
      <c r="CT390" s="891">
        <f t="shared" si="1207"/>
        <v>67529995.035122186</v>
      </c>
      <c r="CU390" s="1074"/>
      <c r="CV390" s="1072"/>
      <c r="CX390" s="1073"/>
      <c r="CY390" s="891">
        <f t="shared" ref="CY390:DB390" si="1208">CY45</f>
        <v>225166384.95095223</v>
      </c>
      <c r="CZ390" s="891">
        <f t="shared" si="1208"/>
        <v>99117374.367879719</v>
      </c>
      <c r="DA390" s="891">
        <f t="shared" si="1208"/>
        <v>58519015.547950298</v>
      </c>
      <c r="DB390" s="891">
        <f t="shared" si="1208"/>
        <v>67529995.035122186</v>
      </c>
      <c r="DC390" s="1074"/>
      <c r="DD390" s="1072"/>
      <c r="DF390" s="1073"/>
      <c r="DG390" s="891">
        <f t="shared" ref="DG390:DJ390" si="1209">DG45</f>
        <v>225166384.95095223</v>
      </c>
      <c r="DH390" s="891">
        <f t="shared" si="1209"/>
        <v>99117374.367879719</v>
      </c>
      <c r="DI390" s="891">
        <f t="shared" si="1209"/>
        <v>58519015.547950298</v>
      </c>
      <c r="DJ390" s="891">
        <f t="shared" si="1209"/>
        <v>67529995.035122186</v>
      </c>
      <c r="DK390" s="1074"/>
      <c r="DL390" s="1072"/>
      <c r="DN390" s="1073"/>
      <c r="DO390" s="891">
        <f t="shared" ref="DO390:DR390" si="1210">DO45</f>
        <v>225166384.95095223</v>
      </c>
      <c r="DP390" s="891">
        <f t="shared" si="1210"/>
        <v>99117374.367879719</v>
      </c>
      <c r="DQ390" s="891">
        <f t="shared" si="1210"/>
        <v>58519015.547950298</v>
      </c>
      <c r="DR390" s="891">
        <f t="shared" si="1210"/>
        <v>67529995.035122186</v>
      </c>
      <c r="DS390" s="1074"/>
      <c r="DT390" s="1072"/>
      <c r="DV390" s="1073"/>
      <c r="DW390" s="891">
        <f t="shared" ref="DW390:DZ390" si="1211">DW45</f>
        <v>225166384.95095223</v>
      </c>
      <c r="DX390" s="891">
        <f t="shared" si="1211"/>
        <v>99117374.367879719</v>
      </c>
      <c r="DY390" s="891">
        <f t="shared" si="1211"/>
        <v>58519015.547950298</v>
      </c>
      <c r="DZ390" s="891">
        <f t="shared" si="1211"/>
        <v>67529995.035122186</v>
      </c>
      <c r="EA390" s="1074"/>
      <c r="EB390" s="1072"/>
      <c r="ED390" s="1073"/>
      <c r="EE390" s="891">
        <f t="shared" ref="EE390:EH390" si="1212">EE45</f>
        <v>225166384.95095223</v>
      </c>
      <c r="EF390" s="891">
        <f t="shared" si="1212"/>
        <v>99117374.367879719</v>
      </c>
      <c r="EG390" s="891">
        <f t="shared" si="1212"/>
        <v>58519015.547950298</v>
      </c>
      <c r="EH390" s="891">
        <f t="shared" si="1212"/>
        <v>67529995.035122186</v>
      </c>
      <c r="EI390" s="1074"/>
      <c r="EJ390" s="1072"/>
      <c r="EL390" s="1073"/>
      <c r="EM390" s="891">
        <f t="shared" ref="EM390:EP390" si="1213">EM45</f>
        <v>225166384.95095223</v>
      </c>
      <c r="EN390" s="891">
        <f t="shared" si="1213"/>
        <v>99117374.367879719</v>
      </c>
      <c r="EO390" s="891">
        <f t="shared" si="1213"/>
        <v>58519015.547950298</v>
      </c>
      <c r="EP390" s="891">
        <f t="shared" si="1213"/>
        <v>67529995.035122186</v>
      </c>
      <c r="EQ390" s="1074"/>
      <c r="ER390" s="1072"/>
      <c r="ET390" s="1073"/>
      <c r="EU390" s="891">
        <f t="shared" ref="EU390:EX390" si="1214">EU45</f>
        <v>225166384.95095223</v>
      </c>
      <c r="EV390" s="891">
        <f t="shared" si="1214"/>
        <v>99117374.367879719</v>
      </c>
      <c r="EW390" s="891">
        <f t="shared" si="1214"/>
        <v>58519015.547950298</v>
      </c>
      <c r="EX390" s="891">
        <f t="shared" si="1214"/>
        <v>67529995.035122186</v>
      </c>
      <c r="EY390" s="1074"/>
      <c r="EZ390" s="1072"/>
      <c r="FB390" s="1073"/>
      <c r="FC390" s="891">
        <f t="shared" ref="FC390:FF390" si="1215">FC45</f>
        <v>225166384.95095223</v>
      </c>
      <c r="FD390" s="891">
        <f t="shared" si="1215"/>
        <v>99117374.367879719</v>
      </c>
      <c r="FE390" s="891">
        <f t="shared" si="1215"/>
        <v>58519015.547950298</v>
      </c>
      <c r="FF390" s="891">
        <f t="shared" si="1215"/>
        <v>67529995.035122186</v>
      </c>
      <c r="FG390" s="1074"/>
      <c r="FH390" s="1072"/>
      <c r="FJ390" s="1073"/>
      <c r="FK390" s="891">
        <f t="shared" ref="FK390:FN390" si="1216">FK45</f>
        <v>225166384.95095223</v>
      </c>
      <c r="FL390" s="891">
        <f t="shared" si="1216"/>
        <v>99117374.367879719</v>
      </c>
      <c r="FM390" s="891">
        <f t="shared" si="1216"/>
        <v>58519015.547950298</v>
      </c>
      <c r="FN390" s="891">
        <f t="shared" si="1216"/>
        <v>67529995.035122186</v>
      </c>
      <c r="FO390" s="1074"/>
    </row>
    <row r="391" spans="2:171" x14ac:dyDescent="0.25">
      <c r="B391" s="108"/>
      <c r="C391" s="108" t="s">
        <v>134</v>
      </c>
      <c r="D391" s="1072"/>
      <c r="E391" s="905" t="str">
        <f t="shared" si="1034"/>
        <v>PTD</v>
      </c>
      <c r="G391" s="891">
        <f t="shared" si="1035"/>
        <v>3889871.2322740913</v>
      </c>
      <c r="H391" s="891">
        <f t="shared" si="1035"/>
        <v>1712306.316309788</v>
      </c>
      <c r="I391" s="891">
        <f t="shared" si="1035"/>
        <v>0</v>
      </c>
      <c r="J391" s="891">
        <f t="shared" si="1035"/>
        <v>2177564.9159643031</v>
      </c>
      <c r="K391" s="1074">
        <f t="shared" si="1036"/>
        <v>1</v>
      </c>
      <c r="L391" s="1072"/>
      <c r="N391" s="1073"/>
      <c r="O391" s="891">
        <f t="shared" ref="O391:R391" si="1217">O46</f>
        <v>3889871.2322740913</v>
      </c>
      <c r="P391" s="891">
        <f t="shared" si="1217"/>
        <v>1712306.316309788</v>
      </c>
      <c r="Q391" s="891">
        <f t="shared" si="1217"/>
        <v>1010947.6828459847</v>
      </c>
      <c r="R391" s="891">
        <f t="shared" si="1217"/>
        <v>1166617.2331183183</v>
      </c>
      <c r="S391" s="1074"/>
      <c r="T391" s="1072"/>
      <c r="V391" s="1073"/>
      <c r="W391" s="891">
        <f t="shared" ref="W391:Z391" si="1218">W46</f>
        <v>3889871.2322740913</v>
      </c>
      <c r="X391" s="891">
        <f t="shared" si="1218"/>
        <v>1712306.316309788</v>
      </c>
      <c r="Y391" s="891">
        <f t="shared" si="1218"/>
        <v>1010947.6828459847</v>
      </c>
      <c r="Z391" s="891">
        <f t="shared" si="1218"/>
        <v>1166617.2331183183</v>
      </c>
      <c r="AA391" s="1074"/>
      <c r="AB391" s="1072"/>
      <c r="AD391" s="1073"/>
      <c r="AE391" s="891">
        <f t="shared" ref="AE391:AH391" si="1219">AE46</f>
        <v>3889871.2322740913</v>
      </c>
      <c r="AF391" s="891">
        <f t="shared" si="1219"/>
        <v>1712306.316309788</v>
      </c>
      <c r="AG391" s="891">
        <f t="shared" si="1219"/>
        <v>1010947.6828459847</v>
      </c>
      <c r="AH391" s="891">
        <f t="shared" si="1219"/>
        <v>1166617.2331183183</v>
      </c>
      <c r="AI391" s="1074"/>
      <c r="AJ391" s="1072"/>
      <c r="AL391" s="1073"/>
      <c r="AM391" s="891">
        <f t="shared" ref="AM391:AP391" si="1220">AM46</f>
        <v>3889871.2322740913</v>
      </c>
      <c r="AN391" s="891">
        <f t="shared" si="1220"/>
        <v>1712306.316309788</v>
      </c>
      <c r="AO391" s="891">
        <f t="shared" si="1220"/>
        <v>1010947.6828459847</v>
      </c>
      <c r="AP391" s="891">
        <f t="shared" si="1220"/>
        <v>1166617.2331183183</v>
      </c>
      <c r="AQ391" s="1074"/>
      <c r="AR391" s="1072"/>
      <c r="AT391" s="1073"/>
      <c r="AU391" s="891">
        <f t="shared" ref="AU391:AX391" si="1221">AU46</f>
        <v>3889871.2322740913</v>
      </c>
      <c r="AV391" s="891">
        <f t="shared" si="1221"/>
        <v>1712306.316309788</v>
      </c>
      <c r="AW391" s="891">
        <f t="shared" si="1221"/>
        <v>1010947.6828459847</v>
      </c>
      <c r="AX391" s="891">
        <f t="shared" si="1221"/>
        <v>1166617.2331183183</v>
      </c>
      <c r="AY391" s="1074"/>
      <c r="AZ391" s="1072"/>
      <c r="BB391" s="1073"/>
      <c r="BC391" s="891">
        <f t="shared" ref="BC391:BF391" si="1222">BC46</f>
        <v>3889871.2322740913</v>
      </c>
      <c r="BD391" s="891">
        <f t="shared" si="1222"/>
        <v>1712306.316309788</v>
      </c>
      <c r="BE391" s="891">
        <f t="shared" si="1222"/>
        <v>1010947.6828459847</v>
      </c>
      <c r="BF391" s="891">
        <f t="shared" si="1222"/>
        <v>1166617.2331183183</v>
      </c>
      <c r="BG391" s="1074"/>
      <c r="BH391" s="1072"/>
      <c r="BJ391" s="1073"/>
      <c r="BK391" s="891">
        <f t="shared" ref="BK391:BN391" si="1223">BK46</f>
        <v>3889871.2322740913</v>
      </c>
      <c r="BL391" s="891">
        <f t="shared" si="1223"/>
        <v>1712306.316309788</v>
      </c>
      <c r="BM391" s="891">
        <f t="shared" si="1223"/>
        <v>1010947.6828459847</v>
      </c>
      <c r="BN391" s="891">
        <f t="shared" si="1223"/>
        <v>1166617.2331183183</v>
      </c>
      <c r="BO391" s="1074"/>
      <c r="BP391" s="1072"/>
      <c r="BR391" s="1073"/>
      <c r="BS391" s="891">
        <f t="shared" ref="BS391:BV391" si="1224">BS46</f>
        <v>3889871.2322740913</v>
      </c>
      <c r="BT391" s="891">
        <f t="shared" si="1224"/>
        <v>1712306.316309788</v>
      </c>
      <c r="BU391" s="891">
        <f t="shared" si="1224"/>
        <v>1010947.6828459847</v>
      </c>
      <c r="BV391" s="891">
        <f t="shared" si="1224"/>
        <v>1166617.2331183183</v>
      </c>
      <c r="BW391" s="1074"/>
      <c r="BX391" s="1072"/>
      <c r="BZ391" s="1073"/>
      <c r="CA391" s="891">
        <f t="shared" ref="CA391:CD391" si="1225">CA46</f>
        <v>3889871.2322740913</v>
      </c>
      <c r="CB391" s="891">
        <f t="shared" si="1225"/>
        <v>1712306.316309788</v>
      </c>
      <c r="CC391" s="891">
        <f t="shared" si="1225"/>
        <v>1010947.6828459847</v>
      </c>
      <c r="CD391" s="891">
        <f t="shared" si="1225"/>
        <v>1166617.2331183183</v>
      </c>
      <c r="CE391" s="1074"/>
      <c r="CF391" s="1072"/>
      <c r="CH391" s="1073"/>
      <c r="CI391" s="891">
        <f t="shared" ref="CI391:CL391" si="1226">CI46</f>
        <v>3889871.2322740913</v>
      </c>
      <c r="CJ391" s="891">
        <f t="shared" si="1226"/>
        <v>1712306.316309788</v>
      </c>
      <c r="CK391" s="891">
        <f t="shared" si="1226"/>
        <v>1010947.6828459847</v>
      </c>
      <c r="CL391" s="891">
        <f t="shared" si="1226"/>
        <v>1166617.2331183183</v>
      </c>
      <c r="CM391" s="1074"/>
      <c r="CN391" s="1072"/>
      <c r="CP391" s="1073"/>
      <c r="CQ391" s="891">
        <f t="shared" ref="CQ391:CT391" si="1227">CQ46</f>
        <v>3889871.2322740913</v>
      </c>
      <c r="CR391" s="891">
        <f t="shared" si="1227"/>
        <v>1712306.316309788</v>
      </c>
      <c r="CS391" s="891">
        <f t="shared" si="1227"/>
        <v>1010947.6828459847</v>
      </c>
      <c r="CT391" s="891">
        <f t="shared" si="1227"/>
        <v>1166617.2331183183</v>
      </c>
      <c r="CU391" s="1074"/>
      <c r="CV391" s="1072"/>
      <c r="CX391" s="1073"/>
      <c r="CY391" s="891">
        <f t="shared" ref="CY391:DB391" si="1228">CY46</f>
        <v>3889871.2322740913</v>
      </c>
      <c r="CZ391" s="891">
        <f t="shared" si="1228"/>
        <v>1712306.316309788</v>
      </c>
      <c r="DA391" s="891">
        <f t="shared" si="1228"/>
        <v>1010947.6828459847</v>
      </c>
      <c r="DB391" s="891">
        <f t="shared" si="1228"/>
        <v>1166617.2331183183</v>
      </c>
      <c r="DC391" s="1074"/>
      <c r="DD391" s="1072"/>
      <c r="DF391" s="1073"/>
      <c r="DG391" s="891">
        <f t="shared" ref="DG391:DJ391" si="1229">DG46</f>
        <v>3889871.2322740913</v>
      </c>
      <c r="DH391" s="891">
        <f t="shared" si="1229"/>
        <v>1712306.316309788</v>
      </c>
      <c r="DI391" s="891">
        <f t="shared" si="1229"/>
        <v>1010947.6828459847</v>
      </c>
      <c r="DJ391" s="891">
        <f t="shared" si="1229"/>
        <v>1166617.2331183183</v>
      </c>
      <c r="DK391" s="1074"/>
      <c r="DL391" s="1072"/>
      <c r="DN391" s="1073"/>
      <c r="DO391" s="891">
        <f t="shared" ref="DO391:DR391" si="1230">DO46</f>
        <v>3889871.2322740913</v>
      </c>
      <c r="DP391" s="891">
        <f t="shared" si="1230"/>
        <v>1712306.316309788</v>
      </c>
      <c r="DQ391" s="891">
        <f t="shared" si="1230"/>
        <v>1010947.6828459847</v>
      </c>
      <c r="DR391" s="891">
        <f t="shared" si="1230"/>
        <v>1166617.2331183183</v>
      </c>
      <c r="DS391" s="1074"/>
      <c r="DT391" s="1072"/>
      <c r="DV391" s="1073"/>
      <c r="DW391" s="891">
        <f t="shared" ref="DW391:DZ391" si="1231">DW46</f>
        <v>3889871.2322740913</v>
      </c>
      <c r="DX391" s="891">
        <f t="shared" si="1231"/>
        <v>1712306.316309788</v>
      </c>
      <c r="DY391" s="891">
        <f t="shared" si="1231"/>
        <v>1010947.6828459847</v>
      </c>
      <c r="DZ391" s="891">
        <f t="shared" si="1231"/>
        <v>1166617.2331183183</v>
      </c>
      <c r="EA391" s="1074"/>
      <c r="EB391" s="1072"/>
      <c r="ED391" s="1073"/>
      <c r="EE391" s="891">
        <f t="shared" ref="EE391:EH391" si="1232">EE46</f>
        <v>3889871.2322740913</v>
      </c>
      <c r="EF391" s="891">
        <f t="shared" si="1232"/>
        <v>1712306.316309788</v>
      </c>
      <c r="EG391" s="891">
        <f t="shared" si="1232"/>
        <v>1010947.6828459847</v>
      </c>
      <c r="EH391" s="891">
        <f t="shared" si="1232"/>
        <v>1166617.2331183183</v>
      </c>
      <c r="EI391" s="1074"/>
      <c r="EJ391" s="1072"/>
      <c r="EL391" s="1073"/>
      <c r="EM391" s="891">
        <f t="shared" ref="EM391:EP391" si="1233">EM46</f>
        <v>3889871.2322740913</v>
      </c>
      <c r="EN391" s="891">
        <f t="shared" si="1233"/>
        <v>1712306.316309788</v>
      </c>
      <c r="EO391" s="891">
        <f t="shared" si="1233"/>
        <v>1010947.6828459847</v>
      </c>
      <c r="EP391" s="891">
        <f t="shared" si="1233"/>
        <v>1166617.2331183183</v>
      </c>
      <c r="EQ391" s="1074"/>
      <c r="ER391" s="1072"/>
      <c r="ET391" s="1073"/>
      <c r="EU391" s="891">
        <f t="shared" ref="EU391:EX391" si="1234">EU46</f>
        <v>3889871.2322740913</v>
      </c>
      <c r="EV391" s="891">
        <f t="shared" si="1234"/>
        <v>1712306.316309788</v>
      </c>
      <c r="EW391" s="891">
        <f t="shared" si="1234"/>
        <v>1010947.6828459847</v>
      </c>
      <c r="EX391" s="891">
        <f t="shared" si="1234"/>
        <v>1166617.2331183183</v>
      </c>
      <c r="EY391" s="1074"/>
      <c r="EZ391" s="1072"/>
      <c r="FB391" s="1073"/>
      <c r="FC391" s="891">
        <f t="shared" ref="FC391:FF391" si="1235">FC46</f>
        <v>3889871.2322740913</v>
      </c>
      <c r="FD391" s="891">
        <f t="shared" si="1235"/>
        <v>1712306.316309788</v>
      </c>
      <c r="FE391" s="891">
        <f t="shared" si="1235"/>
        <v>1010947.6828459847</v>
      </c>
      <c r="FF391" s="891">
        <f t="shared" si="1235"/>
        <v>1166617.2331183183</v>
      </c>
      <c r="FG391" s="1074"/>
      <c r="FH391" s="1072"/>
      <c r="FJ391" s="1073"/>
      <c r="FK391" s="891">
        <f t="shared" ref="FK391:FN391" si="1236">FK46</f>
        <v>3889871.2322740913</v>
      </c>
      <c r="FL391" s="891">
        <f t="shared" si="1236"/>
        <v>1712306.316309788</v>
      </c>
      <c r="FM391" s="891">
        <f t="shared" si="1236"/>
        <v>1010947.6828459847</v>
      </c>
      <c r="FN391" s="891">
        <f t="shared" si="1236"/>
        <v>1166617.2331183183</v>
      </c>
      <c r="FO391" s="1074"/>
    </row>
    <row r="392" spans="2:171" x14ac:dyDescent="0.25">
      <c r="B392" s="108"/>
      <c r="C392" s="108" t="s">
        <v>256</v>
      </c>
      <c r="D392" s="1072"/>
      <c r="E392" s="905" t="str">
        <f t="shared" si="1034"/>
        <v>DIRECT</v>
      </c>
      <c r="G392" s="891">
        <f t="shared" si="1035"/>
        <v>708735.65050650423</v>
      </c>
      <c r="H392" s="891">
        <f t="shared" si="1035"/>
        <v>708735.65050650423</v>
      </c>
      <c r="I392" s="891">
        <f t="shared" si="1035"/>
        <v>0</v>
      </c>
      <c r="J392" s="891">
        <f t="shared" si="1035"/>
        <v>0</v>
      </c>
      <c r="K392" s="1074">
        <f t="shared" si="1036"/>
        <v>0</v>
      </c>
      <c r="L392" s="1072"/>
      <c r="N392" s="1073"/>
      <c r="O392" s="891">
        <f t="shared" ref="O392:R392" si="1237">O47</f>
        <v>708735.65050650423</v>
      </c>
      <c r="P392" s="891">
        <f t="shared" si="1237"/>
        <v>708735.65050650423</v>
      </c>
      <c r="Q392" s="891">
        <f t="shared" si="1237"/>
        <v>0</v>
      </c>
      <c r="R392" s="891">
        <f t="shared" si="1237"/>
        <v>0</v>
      </c>
      <c r="S392" s="1074"/>
      <c r="T392" s="1072"/>
      <c r="V392" s="1073"/>
      <c r="W392" s="891">
        <f t="shared" ref="W392:Z392" si="1238">W47</f>
        <v>708735.65050650423</v>
      </c>
      <c r="X392" s="891">
        <f t="shared" si="1238"/>
        <v>708735.65050650423</v>
      </c>
      <c r="Y392" s="891">
        <f t="shared" si="1238"/>
        <v>0</v>
      </c>
      <c r="Z392" s="891">
        <f t="shared" si="1238"/>
        <v>0</v>
      </c>
      <c r="AA392" s="1074"/>
      <c r="AB392" s="1072"/>
      <c r="AD392" s="1073"/>
      <c r="AE392" s="891">
        <f t="shared" ref="AE392:AH392" si="1239">AE47</f>
        <v>708735.65050650423</v>
      </c>
      <c r="AF392" s="891">
        <f t="shared" si="1239"/>
        <v>708735.65050650423</v>
      </c>
      <c r="AG392" s="891">
        <f t="shared" si="1239"/>
        <v>0</v>
      </c>
      <c r="AH392" s="891">
        <f t="shared" si="1239"/>
        <v>0</v>
      </c>
      <c r="AI392" s="1074"/>
      <c r="AJ392" s="1072"/>
      <c r="AL392" s="1073"/>
      <c r="AM392" s="891">
        <f t="shared" ref="AM392:AP392" si="1240">AM47</f>
        <v>708735.65050650423</v>
      </c>
      <c r="AN392" s="891">
        <f t="shared" si="1240"/>
        <v>708735.65050650423</v>
      </c>
      <c r="AO392" s="891">
        <f t="shared" si="1240"/>
        <v>0</v>
      </c>
      <c r="AP392" s="891">
        <f t="shared" si="1240"/>
        <v>0</v>
      </c>
      <c r="AQ392" s="1074"/>
      <c r="AR392" s="1072"/>
      <c r="AT392" s="1073"/>
      <c r="AU392" s="891">
        <f t="shared" ref="AU392:AX392" si="1241">AU47</f>
        <v>708735.65050650423</v>
      </c>
      <c r="AV392" s="891">
        <f t="shared" si="1241"/>
        <v>708735.65050650423</v>
      </c>
      <c r="AW392" s="891">
        <f t="shared" si="1241"/>
        <v>0</v>
      </c>
      <c r="AX392" s="891">
        <f t="shared" si="1241"/>
        <v>0</v>
      </c>
      <c r="AY392" s="1074"/>
      <c r="AZ392" s="1072"/>
      <c r="BB392" s="1073"/>
      <c r="BC392" s="891">
        <f t="shared" ref="BC392:BF392" si="1242">BC47</f>
        <v>708735.65050650423</v>
      </c>
      <c r="BD392" s="891">
        <f t="shared" si="1242"/>
        <v>708735.65050650423</v>
      </c>
      <c r="BE392" s="891">
        <f t="shared" si="1242"/>
        <v>0</v>
      </c>
      <c r="BF392" s="891">
        <f t="shared" si="1242"/>
        <v>0</v>
      </c>
      <c r="BG392" s="1074"/>
      <c r="BH392" s="1072"/>
      <c r="BJ392" s="1073"/>
      <c r="BK392" s="891">
        <f t="shared" ref="BK392:BN392" si="1243">BK47</f>
        <v>708735.65050650423</v>
      </c>
      <c r="BL392" s="891">
        <f t="shared" si="1243"/>
        <v>708735.65050650423</v>
      </c>
      <c r="BM392" s="891">
        <f t="shared" si="1243"/>
        <v>0</v>
      </c>
      <c r="BN392" s="891">
        <f t="shared" si="1243"/>
        <v>0</v>
      </c>
      <c r="BO392" s="1074"/>
      <c r="BP392" s="1072"/>
      <c r="BR392" s="1073"/>
      <c r="BS392" s="891">
        <f t="shared" ref="BS392:BV392" si="1244">BS47</f>
        <v>708735.65050650423</v>
      </c>
      <c r="BT392" s="891">
        <f t="shared" si="1244"/>
        <v>708735.65050650423</v>
      </c>
      <c r="BU392" s="891">
        <f t="shared" si="1244"/>
        <v>0</v>
      </c>
      <c r="BV392" s="891">
        <f t="shared" si="1244"/>
        <v>0</v>
      </c>
      <c r="BW392" s="1074"/>
      <c r="BX392" s="1072"/>
      <c r="BZ392" s="1073"/>
      <c r="CA392" s="891">
        <f t="shared" ref="CA392:CD392" si="1245">CA47</f>
        <v>708735.65050650423</v>
      </c>
      <c r="CB392" s="891">
        <f t="shared" si="1245"/>
        <v>708735.65050650423</v>
      </c>
      <c r="CC392" s="891">
        <f t="shared" si="1245"/>
        <v>0</v>
      </c>
      <c r="CD392" s="891">
        <f t="shared" si="1245"/>
        <v>0</v>
      </c>
      <c r="CE392" s="1074"/>
      <c r="CF392" s="1072"/>
      <c r="CH392" s="1073"/>
      <c r="CI392" s="891">
        <f t="shared" ref="CI392:CL392" si="1246">CI47</f>
        <v>708735.65050650423</v>
      </c>
      <c r="CJ392" s="891">
        <f t="shared" si="1246"/>
        <v>708735.65050650423</v>
      </c>
      <c r="CK392" s="891">
        <f t="shared" si="1246"/>
        <v>0</v>
      </c>
      <c r="CL392" s="891">
        <f t="shared" si="1246"/>
        <v>0</v>
      </c>
      <c r="CM392" s="1074"/>
      <c r="CN392" s="1072"/>
      <c r="CP392" s="1073"/>
      <c r="CQ392" s="891">
        <f t="shared" ref="CQ392:CT392" si="1247">CQ47</f>
        <v>708735.65050650423</v>
      </c>
      <c r="CR392" s="891">
        <f t="shared" si="1247"/>
        <v>708735.65050650423</v>
      </c>
      <c r="CS392" s="891">
        <f t="shared" si="1247"/>
        <v>0</v>
      </c>
      <c r="CT392" s="891">
        <f t="shared" si="1247"/>
        <v>0</v>
      </c>
      <c r="CU392" s="1074"/>
      <c r="CV392" s="1072"/>
      <c r="CX392" s="1073"/>
      <c r="CY392" s="891">
        <f t="shared" ref="CY392:DB392" si="1248">CY47</f>
        <v>708735.65050650423</v>
      </c>
      <c r="CZ392" s="891">
        <f t="shared" si="1248"/>
        <v>708735.65050650423</v>
      </c>
      <c r="DA392" s="891">
        <f t="shared" si="1248"/>
        <v>0</v>
      </c>
      <c r="DB392" s="891">
        <f t="shared" si="1248"/>
        <v>0</v>
      </c>
      <c r="DC392" s="1074"/>
      <c r="DD392" s="1072"/>
      <c r="DF392" s="1073"/>
      <c r="DG392" s="891">
        <f t="shared" ref="DG392:DJ392" si="1249">DG47</f>
        <v>708735.65050650423</v>
      </c>
      <c r="DH392" s="891">
        <f t="shared" si="1249"/>
        <v>708735.65050650423</v>
      </c>
      <c r="DI392" s="891">
        <f t="shared" si="1249"/>
        <v>0</v>
      </c>
      <c r="DJ392" s="891">
        <f t="shared" si="1249"/>
        <v>0</v>
      </c>
      <c r="DK392" s="1074"/>
      <c r="DL392" s="1072"/>
      <c r="DN392" s="1073"/>
      <c r="DO392" s="891">
        <f t="shared" ref="DO392:DR392" si="1250">DO47</f>
        <v>708735.65050650423</v>
      </c>
      <c r="DP392" s="891">
        <f t="shared" si="1250"/>
        <v>708735.65050650423</v>
      </c>
      <c r="DQ392" s="891">
        <f t="shared" si="1250"/>
        <v>0</v>
      </c>
      <c r="DR392" s="891">
        <f t="shared" si="1250"/>
        <v>0</v>
      </c>
      <c r="DS392" s="1074"/>
      <c r="DT392" s="1072"/>
      <c r="DV392" s="1073"/>
      <c r="DW392" s="891">
        <f t="shared" ref="DW392:DZ392" si="1251">DW47</f>
        <v>708735.65050650423</v>
      </c>
      <c r="DX392" s="891">
        <f t="shared" si="1251"/>
        <v>708735.65050650423</v>
      </c>
      <c r="DY392" s="891">
        <f t="shared" si="1251"/>
        <v>0</v>
      </c>
      <c r="DZ392" s="891">
        <f t="shared" si="1251"/>
        <v>0</v>
      </c>
      <c r="EA392" s="1074"/>
      <c r="EB392" s="1072"/>
      <c r="ED392" s="1073"/>
      <c r="EE392" s="891">
        <f t="shared" ref="EE392:EH392" si="1252">EE47</f>
        <v>708735.65050650423</v>
      </c>
      <c r="EF392" s="891">
        <f t="shared" si="1252"/>
        <v>708735.65050650423</v>
      </c>
      <c r="EG392" s="891">
        <f t="shared" si="1252"/>
        <v>0</v>
      </c>
      <c r="EH392" s="891">
        <f t="shared" si="1252"/>
        <v>0</v>
      </c>
      <c r="EI392" s="1074"/>
      <c r="EJ392" s="1072"/>
      <c r="EL392" s="1073"/>
      <c r="EM392" s="891">
        <f t="shared" ref="EM392:EP392" si="1253">EM47</f>
        <v>708735.65050650423</v>
      </c>
      <c r="EN392" s="891">
        <f t="shared" si="1253"/>
        <v>708735.65050650423</v>
      </c>
      <c r="EO392" s="891">
        <f t="shared" si="1253"/>
        <v>0</v>
      </c>
      <c r="EP392" s="891">
        <f t="shared" si="1253"/>
        <v>0</v>
      </c>
      <c r="EQ392" s="1074"/>
      <c r="ER392" s="1072"/>
      <c r="ET392" s="1073"/>
      <c r="EU392" s="891">
        <f t="shared" ref="EU392:EX392" si="1254">EU47</f>
        <v>708735.65050650423</v>
      </c>
      <c r="EV392" s="891">
        <f t="shared" si="1254"/>
        <v>708735.65050650423</v>
      </c>
      <c r="EW392" s="891">
        <f t="shared" si="1254"/>
        <v>0</v>
      </c>
      <c r="EX392" s="891">
        <f t="shared" si="1254"/>
        <v>0</v>
      </c>
      <c r="EY392" s="1074"/>
      <c r="EZ392" s="1072"/>
      <c r="FB392" s="1073"/>
      <c r="FC392" s="891">
        <f t="shared" ref="FC392:FF392" si="1255">FC47</f>
        <v>708735.65050650423</v>
      </c>
      <c r="FD392" s="891">
        <f t="shared" si="1255"/>
        <v>708735.65050650423</v>
      </c>
      <c r="FE392" s="891">
        <f t="shared" si="1255"/>
        <v>0</v>
      </c>
      <c r="FF392" s="891">
        <f t="shared" si="1255"/>
        <v>0</v>
      </c>
      <c r="FG392" s="1074"/>
      <c r="FH392" s="1072"/>
      <c r="FJ392" s="1073"/>
      <c r="FK392" s="891">
        <f t="shared" ref="FK392:FN392" si="1256">FK47</f>
        <v>708735.65050650423</v>
      </c>
      <c r="FL392" s="891">
        <f t="shared" si="1256"/>
        <v>708735.65050650423</v>
      </c>
      <c r="FM392" s="891">
        <f t="shared" si="1256"/>
        <v>0</v>
      </c>
      <c r="FN392" s="891">
        <f t="shared" si="1256"/>
        <v>0</v>
      </c>
      <c r="FO392" s="1074"/>
    </row>
    <row r="393" spans="2:171" x14ac:dyDescent="0.25">
      <c r="B393" s="108"/>
      <c r="C393" s="108" t="s">
        <v>442</v>
      </c>
      <c r="D393" s="1072"/>
      <c r="E393" s="905" t="str">
        <f t="shared" si="1034"/>
        <v>PTD</v>
      </c>
      <c r="G393" s="891">
        <f t="shared" si="1035"/>
        <v>15896.576261311178</v>
      </c>
      <c r="H393" s="891">
        <f t="shared" si="1035"/>
        <v>6997.6115697871464</v>
      </c>
      <c r="I393" s="891">
        <f t="shared" si="1035"/>
        <v>0</v>
      </c>
      <c r="J393" s="891">
        <f t="shared" si="1035"/>
        <v>8898.9646915240301</v>
      </c>
      <c r="K393" s="1074">
        <f t="shared" si="1036"/>
        <v>1</v>
      </c>
      <c r="L393" s="1072"/>
      <c r="N393" s="1073"/>
      <c r="O393" s="891">
        <f t="shared" ref="O393:R393" si="1257">O48</f>
        <v>15896.576261311178</v>
      </c>
      <c r="P393" s="891">
        <f t="shared" si="1257"/>
        <v>6997.6115697871464</v>
      </c>
      <c r="Q393" s="891">
        <f t="shared" si="1257"/>
        <v>4131.3981818266629</v>
      </c>
      <c r="R393" s="891">
        <f t="shared" si="1257"/>
        <v>4767.5665096973671</v>
      </c>
      <c r="S393" s="1074"/>
      <c r="T393" s="1072"/>
      <c r="V393" s="1073"/>
      <c r="W393" s="891">
        <f t="shared" ref="W393:Z393" si="1258">W48</f>
        <v>15896.576261311178</v>
      </c>
      <c r="X393" s="891">
        <f t="shared" si="1258"/>
        <v>6997.6115697871464</v>
      </c>
      <c r="Y393" s="891">
        <f t="shared" si="1258"/>
        <v>4131.3981818266629</v>
      </c>
      <c r="Z393" s="891">
        <f t="shared" si="1258"/>
        <v>4767.5665096973671</v>
      </c>
      <c r="AA393" s="1074"/>
      <c r="AB393" s="1072"/>
      <c r="AD393" s="1073"/>
      <c r="AE393" s="891">
        <f t="shared" ref="AE393:AH393" si="1259">AE48</f>
        <v>15896.576261311178</v>
      </c>
      <c r="AF393" s="891">
        <f t="shared" si="1259"/>
        <v>6997.6115697871464</v>
      </c>
      <c r="AG393" s="891">
        <f t="shared" si="1259"/>
        <v>4131.3981818266629</v>
      </c>
      <c r="AH393" s="891">
        <f t="shared" si="1259"/>
        <v>4767.5665096973671</v>
      </c>
      <c r="AI393" s="1074"/>
      <c r="AJ393" s="1072"/>
      <c r="AL393" s="1073"/>
      <c r="AM393" s="891">
        <f t="shared" ref="AM393:AP393" si="1260">AM48</f>
        <v>15896.576261311178</v>
      </c>
      <c r="AN393" s="891">
        <f t="shared" si="1260"/>
        <v>6997.6115697871464</v>
      </c>
      <c r="AO393" s="891">
        <f t="shared" si="1260"/>
        <v>4131.3981818266629</v>
      </c>
      <c r="AP393" s="891">
        <f t="shared" si="1260"/>
        <v>4767.5665096973671</v>
      </c>
      <c r="AQ393" s="1074"/>
      <c r="AR393" s="1072"/>
      <c r="AT393" s="1073"/>
      <c r="AU393" s="891">
        <f t="shared" ref="AU393:AX393" si="1261">AU48</f>
        <v>15896.576261311178</v>
      </c>
      <c r="AV393" s="891">
        <f t="shared" si="1261"/>
        <v>6997.6115697871464</v>
      </c>
      <c r="AW393" s="891">
        <f t="shared" si="1261"/>
        <v>4131.3981818266629</v>
      </c>
      <c r="AX393" s="891">
        <f t="shared" si="1261"/>
        <v>4767.5665096973671</v>
      </c>
      <c r="AY393" s="1074"/>
      <c r="AZ393" s="1072"/>
      <c r="BB393" s="1073"/>
      <c r="BC393" s="891">
        <f t="shared" ref="BC393:BF393" si="1262">BC48</f>
        <v>15896.576261311178</v>
      </c>
      <c r="BD393" s="891">
        <f t="shared" si="1262"/>
        <v>6997.6115697871464</v>
      </c>
      <c r="BE393" s="891">
        <f t="shared" si="1262"/>
        <v>4131.3981818266629</v>
      </c>
      <c r="BF393" s="891">
        <f t="shared" si="1262"/>
        <v>4767.5665096973671</v>
      </c>
      <c r="BG393" s="1074"/>
      <c r="BH393" s="1072"/>
      <c r="BJ393" s="1073"/>
      <c r="BK393" s="891">
        <f t="shared" ref="BK393:BN393" si="1263">BK48</f>
        <v>15896.576261311178</v>
      </c>
      <c r="BL393" s="891">
        <f t="shared" si="1263"/>
        <v>6997.6115697871464</v>
      </c>
      <c r="BM393" s="891">
        <f t="shared" si="1263"/>
        <v>4131.3981818266629</v>
      </c>
      <c r="BN393" s="891">
        <f t="shared" si="1263"/>
        <v>4767.5665096973671</v>
      </c>
      <c r="BO393" s="1074"/>
      <c r="BP393" s="1072"/>
      <c r="BR393" s="1073"/>
      <c r="BS393" s="891">
        <f t="shared" ref="BS393:BV393" si="1264">BS48</f>
        <v>15896.576261311178</v>
      </c>
      <c r="BT393" s="891">
        <f t="shared" si="1264"/>
        <v>6997.6115697871464</v>
      </c>
      <c r="BU393" s="891">
        <f t="shared" si="1264"/>
        <v>4131.3981818266629</v>
      </c>
      <c r="BV393" s="891">
        <f t="shared" si="1264"/>
        <v>4767.5665096973671</v>
      </c>
      <c r="BW393" s="1074"/>
      <c r="BX393" s="1072"/>
      <c r="BZ393" s="1073"/>
      <c r="CA393" s="891">
        <f t="shared" ref="CA393:CD393" si="1265">CA48</f>
        <v>15896.576261311178</v>
      </c>
      <c r="CB393" s="891">
        <f t="shared" si="1265"/>
        <v>6997.6115697871464</v>
      </c>
      <c r="CC393" s="891">
        <f t="shared" si="1265"/>
        <v>4131.3981818266629</v>
      </c>
      <c r="CD393" s="891">
        <f t="shared" si="1265"/>
        <v>4767.5665096973671</v>
      </c>
      <c r="CE393" s="1074"/>
      <c r="CF393" s="1072"/>
      <c r="CH393" s="1073"/>
      <c r="CI393" s="891">
        <f t="shared" ref="CI393:CL393" si="1266">CI48</f>
        <v>15896.576261311178</v>
      </c>
      <c r="CJ393" s="891">
        <f t="shared" si="1266"/>
        <v>6997.6115697871464</v>
      </c>
      <c r="CK393" s="891">
        <f t="shared" si="1266"/>
        <v>4131.3981818266629</v>
      </c>
      <c r="CL393" s="891">
        <f t="shared" si="1266"/>
        <v>4767.5665096973671</v>
      </c>
      <c r="CM393" s="1074"/>
      <c r="CN393" s="1072"/>
      <c r="CP393" s="1073"/>
      <c r="CQ393" s="891">
        <f t="shared" ref="CQ393:CT393" si="1267">CQ48</f>
        <v>15896.576261311178</v>
      </c>
      <c r="CR393" s="891">
        <f t="shared" si="1267"/>
        <v>6997.6115697871464</v>
      </c>
      <c r="CS393" s="891">
        <f t="shared" si="1267"/>
        <v>4131.3981818266629</v>
      </c>
      <c r="CT393" s="891">
        <f t="shared" si="1267"/>
        <v>4767.5665096973671</v>
      </c>
      <c r="CU393" s="1074"/>
      <c r="CV393" s="1072"/>
      <c r="CX393" s="1073"/>
      <c r="CY393" s="891">
        <f t="shared" ref="CY393:DB393" si="1268">CY48</f>
        <v>15896.576261311178</v>
      </c>
      <c r="CZ393" s="891">
        <f t="shared" si="1268"/>
        <v>6997.6115697871464</v>
      </c>
      <c r="DA393" s="891">
        <f t="shared" si="1268"/>
        <v>4131.3981818266629</v>
      </c>
      <c r="DB393" s="891">
        <f t="shared" si="1268"/>
        <v>4767.5665096973671</v>
      </c>
      <c r="DC393" s="1074"/>
      <c r="DD393" s="1072"/>
      <c r="DF393" s="1073"/>
      <c r="DG393" s="891">
        <f t="shared" ref="DG393:DJ393" si="1269">DG48</f>
        <v>15896.576261311178</v>
      </c>
      <c r="DH393" s="891">
        <f t="shared" si="1269"/>
        <v>6997.6115697871464</v>
      </c>
      <c r="DI393" s="891">
        <f t="shared" si="1269"/>
        <v>4131.3981818266629</v>
      </c>
      <c r="DJ393" s="891">
        <f t="shared" si="1269"/>
        <v>4767.5665096973671</v>
      </c>
      <c r="DK393" s="1074"/>
      <c r="DL393" s="1072"/>
      <c r="DN393" s="1073"/>
      <c r="DO393" s="891">
        <f t="shared" ref="DO393:DR393" si="1270">DO48</f>
        <v>15896.576261311178</v>
      </c>
      <c r="DP393" s="891">
        <f t="shared" si="1270"/>
        <v>6997.6115697871464</v>
      </c>
      <c r="DQ393" s="891">
        <f t="shared" si="1270"/>
        <v>4131.3981818266629</v>
      </c>
      <c r="DR393" s="891">
        <f t="shared" si="1270"/>
        <v>4767.5665096973671</v>
      </c>
      <c r="DS393" s="1074"/>
      <c r="DT393" s="1072"/>
      <c r="DV393" s="1073"/>
      <c r="DW393" s="891">
        <f t="shared" ref="DW393:DZ393" si="1271">DW48</f>
        <v>15896.576261311178</v>
      </c>
      <c r="DX393" s="891">
        <f t="shared" si="1271"/>
        <v>6997.6115697871464</v>
      </c>
      <c r="DY393" s="891">
        <f t="shared" si="1271"/>
        <v>4131.3981818266629</v>
      </c>
      <c r="DZ393" s="891">
        <f t="shared" si="1271"/>
        <v>4767.5665096973671</v>
      </c>
      <c r="EA393" s="1074"/>
      <c r="EB393" s="1072"/>
      <c r="ED393" s="1073"/>
      <c r="EE393" s="891">
        <f t="shared" ref="EE393:EH393" si="1272">EE48</f>
        <v>15896.576261311178</v>
      </c>
      <c r="EF393" s="891">
        <f t="shared" si="1272"/>
        <v>6997.6115697871464</v>
      </c>
      <c r="EG393" s="891">
        <f t="shared" si="1272"/>
        <v>4131.3981818266629</v>
      </c>
      <c r="EH393" s="891">
        <f t="shared" si="1272"/>
        <v>4767.5665096973671</v>
      </c>
      <c r="EI393" s="1074"/>
      <c r="EJ393" s="1072"/>
      <c r="EL393" s="1073"/>
      <c r="EM393" s="891">
        <f t="shared" ref="EM393:EP393" si="1273">EM48</f>
        <v>15896.576261311178</v>
      </c>
      <c r="EN393" s="891">
        <f t="shared" si="1273"/>
        <v>6997.6115697871464</v>
      </c>
      <c r="EO393" s="891">
        <f t="shared" si="1273"/>
        <v>4131.3981818266629</v>
      </c>
      <c r="EP393" s="891">
        <f t="shared" si="1273"/>
        <v>4767.5665096973671</v>
      </c>
      <c r="EQ393" s="1074"/>
      <c r="ER393" s="1072"/>
      <c r="ET393" s="1073"/>
      <c r="EU393" s="891">
        <f t="shared" ref="EU393:EX393" si="1274">EU48</f>
        <v>15896.576261311178</v>
      </c>
      <c r="EV393" s="891">
        <f t="shared" si="1274"/>
        <v>6997.6115697871464</v>
      </c>
      <c r="EW393" s="891">
        <f t="shared" si="1274"/>
        <v>4131.3981818266629</v>
      </c>
      <c r="EX393" s="891">
        <f t="shared" si="1274"/>
        <v>4767.5665096973671</v>
      </c>
      <c r="EY393" s="1074"/>
      <c r="EZ393" s="1072"/>
      <c r="FB393" s="1073"/>
      <c r="FC393" s="891">
        <f t="shared" ref="FC393:FF393" si="1275">FC48</f>
        <v>15896.576261311178</v>
      </c>
      <c r="FD393" s="891">
        <f t="shared" si="1275"/>
        <v>6997.6115697871464</v>
      </c>
      <c r="FE393" s="891">
        <f t="shared" si="1275"/>
        <v>4131.3981818266629</v>
      </c>
      <c r="FF393" s="891">
        <f t="shared" si="1275"/>
        <v>4767.5665096973671</v>
      </c>
      <c r="FG393" s="1074"/>
      <c r="FH393" s="1072"/>
      <c r="FJ393" s="1073"/>
      <c r="FK393" s="891">
        <f t="shared" ref="FK393:FN393" si="1276">FK48</f>
        <v>15896.576261311178</v>
      </c>
      <c r="FL393" s="891">
        <f t="shared" si="1276"/>
        <v>6997.6115697871464</v>
      </c>
      <c r="FM393" s="891">
        <f t="shared" si="1276"/>
        <v>4131.3981818266629</v>
      </c>
      <c r="FN393" s="891">
        <f t="shared" si="1276"/>
        <v>4767.5665096973671</v>
      </c>
      <c r="FO393" s="1074"/>
    </row>
    <row r="394" spans="2:171" x14ac:dyDescent="0.25">
      <c r="B394" s="108"/>
      <c r="C394" s="108" t="s">
        <v>523</v>
      </c>
      <c r="D394" s="1072"/>
      <c r="E394" s="1073"/>
      <c r="F394" s="1073"/>
      <c r="G394" s="1634">
        <f>SUM(G382:G393)</f>
        <v>648847990.51759219</v>
      </c>
      <c r="H394" s="1634">
        <f>SUM(H382:H393)</f>
        <v>208013093.03974915</v>
      </c>
      <c r="I394" s="1634">
        <f>SUM(I382:I393)</f>
        <v>0</v>
      </c>
      <c r="J394" s="1634">
        <f>SUM(J382:J393)</f>
        <v>440834897.47784311</v>
      </c>
      <c r="K394" s="1074"/>
      <c r="L394" s="1072"/>
      <c r="M394" s="1073"/>
      <c r="N394" s="1073"/>
      <c r="O394" s="1634">
        <f>SUM(O382:O393)</f>
        <v>648847990.51759219</v>
      </c>
      <c r="P394" s="1634">
        <f>SUM(P382:P393)</f>
        <v>208013093.03974912</v>
      </c>
      <c r="Q394" s="1634">
        <f>SUM(Q382:Q393)</f>
        <v>195228616.65315571</v>
      </c>
      <c r="R394" s="1634">
        <f>SUM(R382:R393)</f>
        <v>245606280.82468733</v>
      </c>
      <c r="S394" s="1074"/>
      <c r="T394" s="1072"/>
      <c r="U394" s="1073"/>
      <c r="V394" s="1073"/>
      <c r="W394" s="1634">
        <f>SUM(W382:W393)</f>
        <v>648847990.51759219</v>
      </c>
      <c r="X394" s="1634">
        <f>SUM(X382:X393)</f>
        <v>208013093.03974912</v>
      </c>
      <c r="Y394" s="1634">
        <f>SUM(Y382:Y393)</f>
        <v>195228616.65315571</v>
      </c>
      <c r="Z394" s="1634">
        <f>SUM(Z382:Z393)</f>
        <v>245606280.82468733</v>
      </c>
      <c r="AA394" s="1074"/>
      <c r="AB394" s="1072"/>
      <c r="AC394" s="1073"/>
      <c r="AD394" s="1073"/>
      <c r="AE394" s="1634">
        <f>SUM(AE382:AE393)</f>
        <v>648847990.51759219</v>
      </c>
      <c r="AF394" s="1634">
        <f>SUM(AF382:AF393)</f>
        <v>208013093.03974912</v>
      </c>
      <c r="AG394" s="1634">
        <f>SUM(AG382:AG393)</f>
        <v>195228616.65315571</v>
      </c>
      <c r="AH394" s="1634">
        <f>SUM(AH382:AH393)</f>
        <v>245606280.82468733</v>
      </c>
      <c r="AI394" s="1074"/>
      <c r="AJ394" s="1072"/>
      <c r="AK394" s="1073"/>
      <c r="AL394" s="1073"/>
      <c r="AM394" s="1634">
        <f>SUM(AM382:AM393)</f>
        <v>648847990.51759219</v>
      </c>
      <c r="AN394" s="1634">
        <f>SUM(AN382:AN393)</f>
        <v>208013093.03974912</v>
      </c>
      <c r="AO394" s="1634">
        <f>SUM(AO382:AO393)</f>
        <v>195228616.65315571</v>
      </c>
      <c r="AP394" s="1634">
        <f>SUM(AP382:AP393)</f>
        <v>245606280.82468733</v>
      </c>
      <c r="AQ394" s="1074"/>
      <c r="AR394" s="1072"/>
      <c r="AS394" s="1073"/>
      <c r="AT394" s="1073"/>
      <c r="AU394" s="1634">
        <f>SUM(AU382:AU393)</f>
        <v>648847990.51759219</v>
      </c>
      <c r="AV394" s="1634">
        <f>SUM(AV382:AV393)</f>
        <v>208013093.03974912</v>
      </c>
      <c r="AW394" s="1634">
        <f>SUM(AW382:AW393)</f>
        <v>195228616.65315571</v>
      </c>
      <c r="AX394" s="1634">
        <f>SUM(AX382:AX393)</f>
        <v>245606280.82468733</v>
      </c>
      <c r="AY394" s="1074"/>
      <c r="AZ394" s="1072"/>
      <c r="BA394" s="1073"/>
      <c r="BB394" s="1073"/>
      <c r="BC394" s="1634">
        <f>SUM(BC382:BC393)</f>
        <v>648847990.51759219</v>
      </c>
      <c r="BD394" s="1634">
        <f>SUM(BD382:BD393)</f>
        <v>208013093.03974912</v>
      </c>
      <c r="BE394" s="1634">
        <f>SUM(BE382:BE393)</f>
        <v>195228616.65315571</v>
      </c>
      <c r="BF394" s="1634">
        <f>SUM(BF382:BF393)</f>
        <v>245606280.82468733</v>
      </c>
      <c r="BG394" s="1074"/>
      <c r="BH394" s="1072"/>
      <c r="BI394" s="1073"/>
      <c r="BJ394" s="1073"/>
      <c r="BK394" s="1634">
        <f>SUM(BK382:BK393)</f>
        <v>648847990.51759219</v>
      </c>
      <c r="BL394" s="1634">
        <f>SUM(BL382:BL393)</f>
        <v>208013093.03974912</v>
      </c>
      <c r="BM394" s="1634">
        <f>SUM(BM382:BM393)</f>
        <v>195228616.65315571</v>
      </c>
      <c r="BN394" s="1634">
        <f>SUM(BN382:BN393)</f>
        <v>245606280.82468733</v>
      </c>
      <c r="BO394" s="1074"/>
      <c r="BP394" s="1072"/>
      <c r="BQ394" s="1073"/>
      <c r="BR394" s="1073"/>
      <c r="BS394" s="1634">
        <f>SUM(BS382:BS393)</f>
        <v>648847990.51759219</v>
      </c>
      <c r="BT394" s="1634">
        <f>SUM(BT382:BT393)</f>
        <v>208013093.03974912</v>
      </c>
      <c r="BU394" s="1634">
        <f>SUM(BU382:BU393)</f>
        <v>195228616.65315571</v>
      </c>
      <c r="BV394" s="1634">
        <f>SUM(BV382:BV393)</f>
        <v>245606280.82468733</v>
      </c>
      <c r="BW394" s="1074"/>
      <c r="BX394" s="1072"/>
      <c r="BY394" s="1073"/>
      <c r="BZ394" s="1073"/>
      <c r="CA394" s="1634">
        <f>SUM(CA382:CA393)</f>
        <v>648847990.51759219</v>
      </c>
      <c r="CB394" s="1634">
        <f>SUM(CB382:CB393)</f>
        <v>208013093.03974912</v>
      </c>
      <c r="CC394" s="1634">
        <f>SUM(CC382:CC393)</f>
        <v>195228616.65315571</v>
      </c>
      <c r="CD394" s="1634">
        <f>SUM(CD382:CD393)</f>
        <v>245606280.82468733</v>
      </c>
      <c r="CE394" s="1074"/>
      <c r="CF394" s="1072"/>
      <c r="CG394" s="1073"/>
      <c r="CH394" s="1073"/>
      <c r="CI394" s="1634">
        <f>SUM(CI382:CI393)</f>
        <v>648847990.51759219</v>
      </c>
      <c r="CJ394" s="1634">
        <f>SUM(CJ382:CJ393)</f>
        <v>208013093.03974912</v>
      </c>
      <c r="CK394" s="1634">
        <f>SUM(CK382:CK393)</f>
        <v>195228616.65315571</v>
      </c>
      <c r="CL394" s="1634">
        <f>SUM(CL382:CL393)</f>
        <v>245606280.82468733</v>
      </c>
      <c r="CM394" s="1074"/>
      <c r="CN394" s="1072"/>
      <c r="CO394" s="1073"/>
      <c r="CP394" s="1073"/>
      <c r="CQ394" s="1634">
        <f>SUM(CQ382:CQ393)</f>
        <v>648847990.51759219</v>
      </c>
      <c r="CR394" s="1634">
        <f>SUM(CR382:CR393)</f>
        <v>208013093.03974912</v>
      </c>
      <c r="CS394" s="1634">
        <f>SUM(CS382:CS393)</f>
        <v>195228616.65315571</v>
      </c>
      <c r="CT394" s="1634">
        <f>SUM(CT382:CT393)</f>
        <v>245606280.82468733</v>
      </c>
      <c r="CU394" s="1074"/>
      <c r="CV394" s="1072"/>
      <c r="CW394" s="1073"/>
      <c r="CX394" s="1073"/>
      <c r="CY394" s="1634">
        <f>SUM(CY382:CY393)</f>
        <v>648847990.51759219</v>
      </c>
      <c r="CZ394" s="1634">
        <f>SUM(CZ382:CZ393)</f>
        <v>208013093.03974912</v>
      </c>
      <c r="DA394" s="1634">
        <f>SUM(DA382:DA393)</f>
        <v>195228616.65315571</v>
      </c>
      <c r="DB394" s="1634">
        <f>SUM(DB382:DB393)</f>
        <v>245606280.82468733</v>
      </c>
      <c r="DC394" s="1074"/>
      <c r="DD394" s="1072"/>
      <c r="DE394" s="1073"/>
      <c r="DF394" s="1073"/>
      <c r="DG394" s="1634">
        <f>SUM(DG382:DG393)</f>
        <v>648847990.51759219</v>
      </c>
      <c r="DH394" s="1634">
        <f>SUM(DH382:DH393)</f>
        <v>208013093.03974912</v>
      </c>
      <c r="DI394" s="1634">
        <f>SUM(DI382:DI393)</f>
        <v>195228616.65315571</v>
      </c>
      <c r="DJ394" s="1634">
        <f>SUM(DJ382:DJ393)</f>
        <v>245606280.82468733</v>
      </c>
      <c r="DK394" s="1074"/>
      <c r="DL394" s="1072"/>
      <c r="DM394" s="1073"/>
      <c r="DN394" s="1073"/>
      <c r="DO394" s="1634">
        <f>SUM(DO382:DO393)</f>
        <v>648847990.51759219</v>
      </c>
      <c r="DP394" s="1634">
        <f>SUM(DP382:DP393)</f>
        <v>208013093.03974912</v>
      </c>
      <c r="DQ394" s="1634">
        <f>SUM(DQ382:DQ393)</f>
        <v>195228616.65315571</v>
      </c>
      <c r="DR394" s="1634">
        <f>SUM(DR382:DR393)</f>
        <v>245606280.82468733</v>
      </c>
      <c r="DS394" s="1074"/>
      <c r="DT394" s="1072"/>
      <c r="DU394" s="1073"/>
      <c r="DV394" s="1073"/>
      <c r="DW394" s="1634">
        <f>SUM(DW382:DW393)</f>
        <v>648847990.51759219</v>
      </c>
      <c r="DX394" s="1634">
        <f>SUM(DX382:DX393)</f>
        <v>208013093.03974912</v>
      </c>
      <c r="DY394" s="1634">
        <f>SUM(DY382:DY393)</f>
        <v>195228616.65315571</v>
      </c>
      <c r="DZ394" s="1634">
        <f>SUM(DZ382:DZ393)</f>
        <v>245606280.82468733</v>
      </c>
      <c r="EA394" s="1074"/>
      <c r="EB394" s="1072"/>
      <c r="EC394" s="1073"/>
      <c r="ED394" s="1073"/>
      <c r="EE394" s="1634">
        <f>SUM(EE382:EE393)</f>
        <v>648847990.51759219</v>
      </c>
      <c r="EF394" s="1634">
        <f>SUM(EF382:EF393)</f>
        <v>208013093.03974912</v>
      </c>
      <c r="EG394" s="1634">
        <f>SUM(EG382:EG393)</f>
        <v>195228616.65315571</v>
      </c>
      <c r="EH394" s="1634">
        <f>SUM(EH382:EH393)</f>
        <v>245606280.82468733</v>
      </c>
      <c r="EI394" s="1074"/>
      <c r="EJ394" s="1072"/>
      <c r="EK394" s="1073"/>
      <c r="EL394" s="1073"/>
      <c r="EM394" s="1634">
        <f>SUM(EM382:EM393)</f>
        <v>648847990.51759219</v>
      </c>
      <c r="EN394" s="1634">
        <f>SUM(EN382:EN393)</f>
        <v>208013093.03974912</v>
      </c>
      <c r="EO394" s="1634">
        <f>SUM(EO382:EO393)</f>
        <v>195228616.65315571</v>
      </c>
      <c r="EP394" s="1634">
        <f>SUM(EP382:EP393)</f>
        <v>245606280.82468733</v>
      </c>
      <c r="EQ394" s="1074"/>
      <c r="ER394" s="1072"/>
      <c r="ES394" s="1073"/>
      <c r="ET394" s="1073"/>
      <c r="EU394" s="1634">
        <f>SUM(EU382:EU393)</f>
        <v>648847990.51759219</v>
      </c>
      <c r="EV394" s="1634">
        <f>SUM(EV382:EV393)</f>
        <v>208013093.03974912</v>
      </c>
      <c r="EW394" s="1634">
        <f>SUM(EW382:EW393)</f>
        <v>195228616.65315571</v>
      </c>
      <c r="EX394" s="1634">
        <f>SUM(EX382:EX393)</f>
        <v>245606280.82468733</v>
      </c>
      <c r="EY394" s="1074"/>
      <c r="EZ394" s="1072"/>
      <c r="FA394" s="1073"/>
      <c r="FB394" s="1073"/>
      <c r="FC394" s="1634">
        <f>SUM(FC382:FC393)</f>
        <v>648847990.51759219</v>
      </c>
      <c r="FD394" s="1634">
        <f>SUM(FD382:FD393)</f>
        <v>208013093.03974912</v>
      </c>
      <c r="FE394" s="1634">
        <f>SUM(FE382:FE393)</f>
        <v>195228616.65315571</v>
      </c>
      <c r="FF394" s="1634">
        <f>SUM(FF382:FF393)</f>
        <v>245606280.82468733</v>
      </c>
      <c r="FG394" s="1074"/>
      <c r="FH394" s="1072"/>
      <c r="FI394" s="1073"/>
      <c r="FJ394" s="1073"/>
      <c r="FK394" s="1634">
        <f>SUM(FK382:FK393)</f>
        <v>648847990.51759219</v>
      </c>
      <c r="FL394" s="1634">
        <f>SUM(FL382:FL393)</f>
        <v>208013093.03974912</v>
      </c>
      <c r="FM394" s="1634">
        <f>SUM(FM382:FM393)</f>
        <v>195228616.65315571</v>
      </c>
      <c r="FN394" s="1634">
        <f>SUM(FN382:FN393)</f>
        <v>245606280.82468733</v>
      </c>
      <c r="FO394" s="1074"/>
    </row>
    <row r="395" spans="2:171" x14ac:dyDescent="0.25">
      <c r="B395" s="123"/>
      <c r="C395" s="123" t="s">
        <v>524</v>
      </c>
      <c r="D395" s="1296" t="s">
        <v>640</v>
      </c>
      <c r="E395" s="1095"/>
      <c r="F395" s="1095"/>
      <c r="G395" s="1635">
        <f>H395+I395+J395</f>
        <v>1</v>
      </c>
      <c r="H395" s="1635">
        <f>H394/G394</f>
        <v>0.32058832897642964</v>
      </c>
      <c r="I395" s="1635">
        <f>I394/G394</f>
        <v>0</v>
      </c>
      <c r="J395" s="1635">
        <f>J394/G394</f>
        <v>0.67941167102357047</v>
      </c>
      <c r="K395" s="1096"/>
      <c r="L395" s="1075" t="s">
        <v>640</v>
      </c>
      <c r="M395" s="1095"/>
      <c r="N395" s="1095"/>
      <c r="O395" s="1635">
        <f>P395+Q395+R395</f>
        <v>1</v>
      </c>
      <c r="P395" s="1635">
        <f>P394/O394</f>
        <v>0.32058832897642958</v>
      </c>
      <c r="Q395" s="1635">
        <f>Q394/O394</f>
        <v>0.30088498308736378</v>
      </c>
      <c r="R395" s="1635">
        <f>R394/O394</f>
        <v>0.37852668793620659</v>
      </c>
      <c r="S395" s="1096"/>
      <c r="T395" s="1075" t="s">
        <v>640</v>
      </c>
      <c r="U395" s="1095"/>
      <c r="V395" s="1095"/>
      <c r="W395" s="1635">
        <f>X395+Y395+Z395</f>
        <v>1</v>
      </c>
      <c r="X395" s="1635">
        <f>X394/W394</f>
        <v>0.32058832897642958</v>
      </c>
      <c r="Y395" s="1635">
        <f>Y394/W394</f>
        <v>0.30088498308736378</v>
      </c>
      <c r="Z395" s="1635">
        <f>Z394/W394</f>
        <v>0.37852668793620659</v>
      </c>
      <c r="AA395" s="1096"/>
      <c r="AB395" s="1075" t="s">
        <v>640</v>
      </c>
      <c r="AC395" s="1095"/>
      <c r="AD395" s="1095"/>
      <c r="AE395" s="1635">
        <f>AF395+AG395+AH395</f>
        <v>1</v>
      </c>
      <c r="AF395" s="1635">
        <f>AF394/AE394</f>
        <v>0.32058832897642958</v>
      </c>
      <c r="AG395" s="1635">
        <f>AG394/AE394</f>
        <v>0.30088498308736378</v>
      </c>
      <c r="AH395" s="1635">
        <f>AH394/AE394</f>
        <v>0.37852668793620659</v>
      </c>
      <c r="AI395" s="1096"/>
      <c r="AJ395" s="1075" t="s">
        <v>640</v>
      </c>
      <c r="AK395" s="1095"/>
      <c r="AL395" s="1095"/>
      <c r="AM395" s="1635">
        <f>AN395+AO395+AP395</f>
        <v>1</v>
      </c>
      <c r="AN395" s="1635">
        <f>AN394/AM394</f>
        <v>0.32058832897642958</v>
      </c>
      <c r="AO395" s="1635">
        <f>AO394/AM394</f>
        <v>0.30088498308736378</v>
      </c>
      <c r="AP395" s="1635">
        <f>AP394/AM394</f>
        <v>0.37852668793620659</v>
      </c>
      <c r="AQ395" s="1096"/>
      <c r="AR395" s="1075" t="s">
        <v>640</v>
      </c>
      <c r="AS395" s="1095"/>
      <c r="AT395" s="1095"/>
      <c r="AU395" s="1635">
        <f>AV395+AW395+AX395</f>
        <v>1</v>
      </c>
      <c r="AV395" s="1635">
        <f>AV394/AU394</f>
        <v>0.32058832897642958</v>
      </c>
      <c r="AW395" s="1635">
        <f>AW394/AU394</f>
        <v>0.30088498308736378</v>
      </c>
      <c r="AX395" s="1635">
        <f>AX394/AU394</f>
        <v>0.37852668793620659</v>
      </c>
      <c r="AY395" s="1096"/>
      <c r="AZ395" s="1075" t="s">
        <v>640</v>
      </c>
      <c r="BA395" s="1095"/>
      <c r="BB395" s="1095"/>
      <c r="BC395" s="1635">
        <f>BD395+BE395+BF395</f>
        <v>1</v>
      </c>
      <c r="BD395" s="1635">
        <f>BD394/BC394</f>
        <v>0.32058832897642958</v>
      </c>
      <c r="BE395" s="1635">
        <f>BE394/BC394</f>
        <v>0.30088498308736378</v>
      </c>
      <c r="BF395" s="1635">
        <f>BF394/BC394</f>
        <v>0.37852668793620659</v>
      </c>
      <c r="BG395" s="1096"/>
      <c r="BH395" s="1075" t="s">
        <v>640</v>
      </c>
      <c r="BI395" s="1095"/>
      <c r="BJ395" s="1095"/>
      <c r="BK395" s="1635">
        <f>BL395+BM395+BN395</f>
        <v>1</v>
      </c>
      <c r="BL395" s="1635">
        <f>BL394/BK394</f>
        <v>0.32058832897642958</v>
      </c>
      <c r="BM395" s="1635">
        <f>BM394/BK394</f>
        <v>0.30088498308736378</v>
      </c>
      <c r="BN395" s="1635">
        <f>BN394/BK394</f>
        <v>0.37852668793620659</v>
      </c>
      <c r="BO395" s="1096"/>
      <c r="BP395" s="1075" t="s">
        <v>640</v>
      </c>
      <c r="BQ395" s="1095"/>
      <c r="BR395" s="1095"/>
      <c r="BS395" s="1635">
        <f>BT395+BU395+BV395</f>
        <v>1</v>
      </c>
      <c r="BT395" s="1635">
        <f>BT394/BS394</f>
        <v>0.32058832897642958</v>
      </c>
      <c r="BU395" s="1635">
        <f>BU394/BS394</f>
        <v>0.30088498308736378</v>
      </c>
      <c r="BV395" s="1635">
        <f>BV394/BS394</f>
        <v>0.37852668793620659</v>
      </c>
      <c r="BW395" s="1096"/>
      <c r="BX395" s="1075" t="s">
        <v>640</v>
      </c>
      <c r="BY395" s="1095"/>
      <c r="BZ395" s="1095"/>
      <c r="CA395" s="1635">
        <f>CB395+CC395+CD395</f>
        <v>1</v>
      </c>
      <c r="CB395" s="1635">
        <f>CB394/CA394</f>
        <v>0.32058832897642958</v>
      </c>
      <c r="CC395" s="1635">
        <f>CC394/CA394</f>
        <v>0.30088498308736378</v>
      </c>
      <c r="CD395" s="1635">
        <f>CD394/CA394</f>
        <v>0.37852668793620659</v>
      </c>
      <c r="CE395" s="1096"/>
      <c r="CF395" s="1075" t="s">
        <v>640</v>
      </c>
      <c r="CG395" s="1095"/>
      <c r="CH395" s="1095"/>
      <c r="CI395" s="1635">
        <f>CJ395+CK395+CL395</f>
        <v>1</v>
      </c>
      <c r="CJ395" s="1635">
        <f>CJ394/CI394</f>
        <v>0.32058832897642958</v>
      </c>
      <c r="CK395" s="1635">
        <f>CK394/CI394</f>
        <v>0.30088498308736378</v>
      </c>
      <c r="CL395" s="1635">
        <f>CL394/CI394</f>
        <v>0.37852668793620659</v>
      </c>
      <c r="CM395" s="1096"/>
      <c r="CN395" s="1075" t="s">
        <v>640</v>
      </c>
      <c r="CO395" s="1095"/>
      <c r="CP395" s="1095"/>
      <c r="CQ395" s="1635">
        <f>CR395+CS395+CT395</f>
        <v>1</v>
      </c>
      <c r="CR395" s="1635">
        <f>CR394/CQ394</f>
        <v>0.32058832897642958</v>
      </c>
      <c r="CS395" s="1635">
        <f>CS394/CQ394</f>
        <v>0.30088498308736378</v>
      </c>
      <c r="CT395" s="1635">
        <f>CT394/CQ394</f>
        <v>0.37852668793620659</v>
      </c>
      <c r="CU395" s="1096"/>
      <c r="CV395" s="1075" t="s">
        <v>640</v>
      </c>
      <c r="CW395" s="1095"/>
      <c r="CX395" s="1095"/>
      <c r="CY395" s="1635">
        <f>CZ395+DA395+DB395</f>
        <v>1</v>
      </c>
      <c r="CZ395" s="1635">
        <f>CZ394/CY394</f>
        <v>0.32058832897642958</v>
      </c>
      <c r="DA395" s="1635">
        <f>DA394/CY394</f>
        <v>0.30088498308736378</v>
      </c>
      <c r="DB395" s="1635">
        <f>DB394/CY394</f>
        <v>0.37852668793620659</v>
      </c>
      <c r="DC395" s="1096"/>
      <c r="DD395" s="1075" t="s">
        <v>640</v>
      </c>
      <c r="DE395" s="1095"/>
      <c r="DF395" s="1095"/>
      <c r="DG395" s="1635">
        <f>DH395+DI395+DJ395</f>
        <v>1</v>
      </c>
      <c r="DH395" s="1635">
        <f>DH394/DG394</f>
        <v>0.32058832897642958</v>
      </c>
      <c r="DI395" s="1635">
        <f>DI394/DG394</f>
        <v>0.30088498308736378</v>
      </c>
      <c r="DJ395" s="1635">
        <f>DJ394/DG394</f>
        <v>0.37852668793620659</v>
      </c>
      <c r="DK395" s="1096"/>
      <c r="DL395" s="1075" t="s">
        <v>640</v>
      </c>
      <c r="DM395" s="1095"/>
      <c r="DN395" s="1095"/>
      <c r="DO395" s="1635">
        <f>DP395+DQ395+DR395</f>
        <v>1</v>
      </c>
      <c r="DP395" s="1635">
        <f>DP394/DO394</f>
        <v>0.32058832897642958</v>
      </c>
      <c r="DQ395" s="1635">
        <f>DQ394/DO394</f>
        <v>0.30088498308736378</v>
      </c>
      <c r="DR395" s="1635">
        <f>DR394/DO394</f>
        <v>0.37852668793620659</v>
      </c>
      <c r="DS395" s="1096"/>
      <c r="DT395" s="1075" t="s">
        <v>640</v>
      </c>
      <c r="DU395" s="1095"/>
      <c r="DV395" s="1095"/>
      <c r="DW395" s="1635">
        <f>DX395+DY395+DZ395</f>
        <v>1</v>
      </c>
      <c r="DX395" s="1635">
        <f>DX394/DW394</f>
        <v>0.32058832897642958</v>
      </c>
      <c r="DY395" s="1635">
        <f>DY394/DW394</f>
        <v>0.30088498308736378</v>
      </c>
      <c r="DZ395" s="1635">
        <f>DZ394/DW394</f>
        <v>0.37852668793620659</v>
      </c>
      <c r="EA395" s="1096"/>
      <c r="EB395" s="1075" t="s">
        <v>640</v>
      </c>
      <c r="EC395" s="1095"/>
      <c r="ED395" s="1095"/>
      <c r="EE395" s="1635">
        <f>EF395+EG395+EH395</f>
        <v>1</v>
      </c>
      <c r="EF395" s="1635">
        <f>EF394/EE394</f>
        <v>0.32058832897642958</v>
      </c>
      <c r="EG395" s="1635">
        <f>EG394/EE394</f>
        <v>0.30088498308736378</v>
      </c>
      <c r="EH395" s="1635">
        <f>EH394/EE394</f>
        <v>0.37852668793620659</v>
      </c>
      <c r="EI395" s="1096"/>
      <c r="EJ395" s="1075" t="s">
        <v>640</v>
      </c>
      <c r="EK395" s="1095"/>
      <c r="EL395" s="1095"/>
      <c r="EM395" s="1635">
        <f>EN395+EO395+EP395</f>
        <v>1</v>
      </c>
      <c r="EN395" s="1635">
        <f>EN394/EM394</f>
        <v>0.32058832897642958</v>
      </c>
      <c r="EO395" s="1635">
        <f>EO394/EM394</f>
        <v>0.30088498308736378</v>
      </c>
      <c r="EP395" s="1635">
        <f>EP394/EM394</f>
        <v>0.37852668793620659</v>
      </c>
      <c r="EQ395" s="1096"/>
      <c r="ER395" s="1075" t="s">
        <v>640</v>
      </c>
      <c r="ES395" s="1095"/>
      <c r="ET395" s="1095"/>
      <c r="EU395" s="1635">
        <f>EV395+EW395+EX395</f>
        <v>1</v>
      </c>
      <c r="EV395" s="1635">
        <f>EV394/EU394</f>
        <v>0.32058832897642958</v>
      </c>
      <c r="EW395" s="1635">
        <f>EW394/EU394</f>
        <v>0.30088498308736378</v>
      </c>
      <c r="EX395" s="1635">
        <f>EX394/EU394</f>
        <v>0.37852668793620659</v>
      </c>
      <c r="EY395" s="1096"/>
      <c r="EZ395" s="1075" t="s">
        <v>640</v>
      </c>
      <c r="FA395" s="1095"/>
      <c r="FB395" s="1095"/>
      <c r="FC395" s="1635">
        <f>FD395+FE395+FF395</f>
        <v>1</v>
      </c>
      <c r="FD395" s="1635">
        <f>FD394/FC394</f>
        <v>0.32058832897642958</v>
      </c>
      <c r="FE395" s="1635">
        <f>FE394/FC394</f>
        <v>0.30088498308736378</v>
      </c>
      <c r="FF395" s="1635">
        <f>FF394/FC394</f>
        <v>0.37852668793620659</v>
      </c>
      <c r="FG395" s="1096"/>
      <c r="FH395" s="1075" t="s">
        <v>640</v>
      </c>
      <c r="FI395" s="1095"/>
      <c r="FJ395" s="1095"/>
      <c r="FK395" s="1635">
        <f>FL395+FM395+FN395</f>
        <v>1</v>
      </c>
      <c r="FL395" s="1635">
        <f>FL394/FK394</f>
        <v>0.32058832897642958</v>
      </c>
      <c r="FM395" s="1635">
        <f>FM394/FK394</f>
        <v>0.30088498308736378</v>
      </c>
      <c r="FN395" s="1635">
        <f>FN394/FK394</f>
        <v>0.37852668793620659</v>
      </c>
      <c r="FO395" s="1096"/>
    </row>
    <row r="396" spans="2:171" x14ac:dyDescent="0.25">
      <c r="K396" s="1074"/>
      <c r="S396" s="1096"/>
      <c r="AA396" s="1096"/>
      <c r="AI396" s="1096"/>
      <c r="AQ396" s="1096"/>
      <c r="AY396" s="1096"/>
      <c r="BG396" s="1096"/>
      <c r="BO396" s="1096"/>
      <c r="BW396" s="1096"/>
      <c r="CE396" s="1096"/>
      <c r="CM396" s="1096"/>
      <c r="CU396" s="1096"/>
      <c r="DC396" s="1096"/>
      <c r="DK396" s="1096"/>
      <c r="DS396" s="1096"/>
      <c r="EA396" s="1096"/>
      <c r="EI396" s="1096"/>
      <c r="EQ396" s="1096"/>
      <c r="EY396" s="1096"/>
      <c r="FG396" s="1096"/>
      <c r="FO396" s="1096"/>
    </row>
    <row r="397" spans="2:171" x14ac:dyDescent="0.25">
      <c r="E397" s="302" t="s">
        <v>521</v>
      </c>
      <c r="G397" s="303" t="s">
        <v>104</v>
      </c>
      <c r="H397" s="303" t="s">
        <v>105</v>
      </c>
      <c r="I397" s="303" t="s">
        <v>106</v>
      </c>
      <c r="J397" s="304" t="s">
        <v>512</v>
      </c>
      <c r="K397" s="1074"/>
      <c r="O397" s="303" t="s">
        <v>104</v>
      </c>
      <c r="P397" s="303" t="s">
        <v>105</v>
      </c>
      <c r="Q397" s="303" t="s">
        <v>106</v>
      </c>
      <c r="R397" s="304" t="s">
        <v>512</v>
      </c>
      <c r="S397" s="1096"/>
      <c r="W397" s="303" t="s">
        <v>104</v>
      </c>
      <c r="X397" s="303" t="s">
        <v>105</v>
      </c>
      <c r="Y397" s="303" t="s">
        <v>106</v>
      </c>
      <c r="Z397" s="304" t="s">
        <v>512</v>
      </c>
      <c r="AA397" s="1096"/>
      <c r="AE397" s="303" t="s">
        <v>104</v>
      </c>
      <c r="AF397" s="303" t="s">
        <v>105</v>
      </c>
      <c r="AG397" s="303" t="s">
        <v>106</v>
      </c>
      <c r="AH397" s="304" t="s">
        <v>512</v>
      </c>
      <c r="AI397" s="1096"/>
      <c r="AM397" s="303" t="s">
        <v>104</v>
      </c>
      <c r="AN397" s="303" t="s">
        <v>105</v>
      </c>
      <c r="AO397" s="303" t="s">
        <v>106</v>
      </c>
      <c r="AP397" s="304" t="s">
        <v>512</v>
      </c>
      <c r="AQ397" s="1096"/>
      <c r="AU397" s="303" t="s">
        <v>104</v>
      </c>
      <c r="AV397" s="303" t="s">
        <v>105</v>
      </c>
      <c r="AW397" s="303" t="s">
        <v>106</v>
      </c>
      <c r="AX397" s="304" t="s">
        <v>512</v>
      </c>
      <c r="AY397" s="1096"/>
      <c r="BC397" s="303" t="s">
        <v>104</v>
      </c>
      <c r="BD397" s="303" t="s">
        <v>105</v>
      </c>
      <c r="BE397" s="303" t="s">
        <v>106</v>
      </c>
      <c r="BF397" s="304" t="s">
        <v>512</v>
      </c>
      <c r="BG397" s="1096"/>
      <c r="BK397" s="303" t="s">
        <v>104</v>
      </c>
      <c r="BL397" s="303" t="s">
        <v>105</v>
      </c>
      <c r="BM397" s="303" t="s">
        <v>106</v>
      </c>
      <c r="BN397" s="304" t="s">
        <v>512</v>
      </c>
      <c r="BO397" s="1096"/>
      <c r="BS397" s="303" t="s">
        <v>104</v>
      </c>
      <c r="BT397" s="303" t="s">
        <v>105</v>
      </c>
      <c r="BU397" s="303" t="s">
        <v>106</v>
      </c>
      <c r="BV397" s="304" t="s">
        <v>512</v>
      </c>
      <c r="BW397" s="1096"/>
      <c r="CA397" s="303" t="s">
        <v>104</v>
      </c>
      <c r="CB397" s="303" t="s">
        <v>105</v>
      </c>
      <c r="CC397" s="303" t="s">
        <v>106</v>
      </c>
      <c r="CD397" s="304" t="s">
        <v>512</v>
      </c>
      <c r="CE397" s="1096"/>
      <c r="CI397" s="303" t="s">
        <v>104</v>
      </c>
      <c r="CJ397" s="303" t="s">
        <v>105</v>
      </c>
      <c r="CK397" s="303" t="s">
        <v>106</v>
      </c>
      <c r="CL397" s="304" t="s">
        <v>512</v>
      </c>
      <c r="CM397" s="1096"/>
      <c r="CQ397" s="303" t="s">
        <v>104</v>
      </c>
      <c r="CR397" s="303" t="s">
        <v>105</v>
      </c>
      <c r="CS397" s="303" t="s">
        <v>106</v>
      </c>
      <c r="CT397" s="304" t="s">
        <v>512</v>
      </c>
      <c r="CU397" s="1096"/>
      <c r="CY397" s="303" t="s">
        <v>104</v>
      </c>
      <c r="CZ397" s="303" t="s">
        <v>105</v>
      </c>
      <c r="DA397" s="303" t="s">
        <v>106</v>
      </c>
      <c r="DB397" s="304" t="s">
        <v>512</v>
      </c>
      <c r="DC397" s="1096"/>
      <c r="DG397" s="303" t="s">
        <v>104</v>
      </c>
      <c r="DH397" s="303" t="s">
        <v>105</v>
      </c>
      <c r="DI397" s="303" t="s">
        <v>106</v>
      </c>
      <c r="DJ397" s="304" t="s">
        <v>512</v>
      </c>
      <c r="DK397" s="1096"/>
      <c r="DO397" s="303" t="s">
        <v>104</v>
      </c>
      <c r="DP397" s="303" t="s">
        <v>105</v>
      </c>
      <c r="DQ397" s="303" t="s">
        <v>106</v>
      </c>
      <c r="DR397" s="304" t="s">
        <v>512</v>
      </c>
      <c r="DS397" s="1096"/>
      <c r="DW397" s="303" t="s">
        <v>104</v>
      </c>
      <c r="DX397" s="303" t="s">
        <v>105</v>
      </c>
      <c r="DY397" s="303" t="s">
        <v>106</v>
      </c>
      <c r="DZ397" s="304" t="s">
        <v>512</v>
      </c>
      <c r="EA397" s="1096"/>
      <c r="EE397" s="303" t="s">
        <v>104</v>
      </c>
      <c r="EF397" s="303" t="s">
        <v>105</v>
      </c>
      <c r="EG397" s="303" t="s">
        <v>106</v>
      </c>
      <c r="EH397" s="304" t="s">
        <v>512</v>
      </c>
      <c r="EI397" s="1096"/>
      <c r="EM397" s="303" t="s">
        <v>104</v>
      </c>
      <c r="EN397" s="303" t="s">
        <v>105</v>
      </c>
      <c r="EO397" s="303" t="s">
        <v>106</v>
      </c>
      <c r="EP397" s="304" t="s">
        <v>512</v>
      </c>
      <c r="EQ397" s="1096"/>
      <c r="EU397" s="303" t="s">
        <v>104</v>
      </c>
      <c r="EV397" s="303" t="s">
        <v>105</v>
      </c>
      <c r="EW397" s="303" t="s">
        <v>106</v>
      </c>
      <c r="EX397" s="304" t="s">
        <v>512</v>
      </c>
      <c r="EY397" s="1096"/>
      <c r="FC397" s="303" t="s">
        <v>104</v>
      </c>
      <c r="FD397" s="303" t="s">
        <v>105</v>
      </c>
      <c r="FE397" s="303" t="s">
        <v>106</v>
      </c>
      <c r="FF397" s="304" t="s">
        <v>512</v>
      </c>
      <c r="FG397" s="1096"/>
      <c r="FK397" s="303" t="s">
        <v>104</v>
      </c>
      <c r="FL397" s="303" t="s">
        <v>105</v>
      </c>
      <c r="FM397" s="303" t="s">
        <v>106</v>
      </c>
      <c r="FN397" s="304" t="s">
        <v>512</v>
      </c>
      <c r="FO397" s="1096"/>
    </row>
    <row r="398" spans="2:171" x14ac:dyDescent="0.25">
      <c r="B398" s="108"/>
      <c r="C398" s="108" t="s">
        <v>111</v>
      </c>
      <c r="D398" s="1072"/>
      <c r="E398" s="905" t="s">
        <v>394</v>
      </c>
      <c r="G398" s="891">
        <f t="shared" ref="G398:G401" si="1277">G22</f>
        <v>2890625949.8270597</v>
      </c>
      <c r="H398" s="891">
        <f t="shared" ref="H398:J398" si="1278">H22</f>
        <v>2890625949.8270597</v>
      </c>
      <c r="I398" s="891">
        <f t="shared" si="1278"/>
        <v>0</v>
      </c>
      <c r="J398" s="891">
        <f t="shared" si="1278"/>
        <v>0</v>
      </c>
      <c r="K398" s="1074"/>
      <c r="L398" s="1072"/>
      <c r="M398" s="1073"/>
      <c r="N398" s="1073"/>
      <c r="O398" s="891">
        <f t="shared" ref="O398:R398" si="1279">O22</f>
        <v>2890625949.8270597</v>
      </c>
      <c r="P398" s="891">
        <f t="shared" si="1279"/>
        <v>2890625949.8270597</v>
      </c>
      <c r="Q398" s="891">
        <f t="shared" si="1279"/>
        <v>0</v>
      </c>
      <c r="R398" s="891">
        <f t="shared" si="1279"/>
        <v>0</v>
      </c>
      <c r="S398" s="1096"/>
      <c r="T398" s="1072"/>
      <c r="U398" s="1073"/>
      <c r="V398" s="1073"/>
      <c r="W398" s="891">
        <f t="shared" ref="W398:Z398" si="1280">W22</f>
        <v>2890625949.8270597</v>
      </c>
      <c r="X398" s="891">
        <f t="shared" si="1280"/>
        <v>2890625949.8270597</v>
      </c>
      <c r="Y398" s="891">
        <f t="shared" si="1280"/>
        <v>0</v>
      </c>
      <c r="Z398" s="891">
        <f t="shared" si="1280"/>
        <v>0</v>
      </c>
      <c r="AA398" s="1096"/>
      <c r="AB398" s="1072"/>
      <c r="AC398" s="1073"/>
      <c r="AD398" s="1073"/>
      <c r="AE398" s="891">
        <f t="shared" ref="AE398:AH398" si="1281">AE22</f>
        <v>2890625949.8270597</v>
      </c>
      <c r="AF398" s="891">
        <f t="shared" si="1281"/>
        <v>2890625949.8270597</v>
      </c>
      <c r="AG398" s="891">
        <f t="shared" si="1281"/>
        <v>0</v>
      </c>
      <c r="AH398" s="891">
        <f t="shared" si="1281"/>
        <v>0</v>
      </c>
      <c r="AI398" s="1096"/>
      <c r="AJ398" s="1072"/>
      <c r="AK398" s="1073"/>
      <c r="AL398" s="1073"/>
      <c r="AM398" s="891">
        <f t="shared" ref="AM398:AP398" si="1282">AM22</f>
        <v>2890625949.8270597</v>
      </c>
      <c r="AN398" s="891">
        <f t="shared" si="1282"/>
        <v>2890625949.8270597</v>
      </c>
      <c r="AO398" s="891">
        <f t="shared" si="1282"/>
        <v>0</v>
      </c>
      <c r="AP398" s="891">
        <f t="shared" si="1282"/>
        <v>0</v>
      </c>
      <c r="AQ398" s="1096"/>
      <c r="AR398" s="1072"/>
      <c r="AS398" s="1073"/>
      <c r="AT398" s="1073"/>
      <c r="AU398" s="891">
        <f t="shared" ref="AU398:AX398" si="1283">AU22</f>
        <v>2890625949.8270597</v>
      </c>
      <c r="AV398" s="891">
        <f t="shared" si="1283"/>
        <v>2890625949.8270597</v>
      </c>
      <c r="AW398" s="891">
        <f t="shared" si="1283"/>
        <v>0</v>
      </c>
      <c r="AX398" s="891">
        <f t="shared" si="1283"/>
        <v>0</v>
      </c>
      <c r="AY398" s="1096"/>
      <c r="AZ398" s="1072"/>
      <c r="BA398" s="1073"/>
      <c r="BB398" s="1073"/>
      <c r="BC398" s="891">
        <f t="shared" ref="BC398:BF398" si="1284">BC22</f>
        <v>2890625949.8270597</v>
      </c>
      <c r="BD398" s="891">
        <f t="shared" si="1284"/>
        <v>2890625949.8270597</v>
      </c>
      <c r="BE398" s="891">
        <f t="shared" si="1284"/>
        <v>0</v>
      </c>
      <c r="BF398" s="891">
        <f t="shared" si="1284"/>
        <v>0</v>
      </c>
      <c r="BG398" s="1096"/>
      <c r="BH398" s="1072"/>
      <c r="BI398" s="1073"/>
      <c r="BJ398" s="1073"/>
      <c r="BK398" s="891">
        <f t="shared" ref="BK398:BN398" si="1285">BK22</f>
        <v>2890625949.8270597</v>
      </c>
      <c r="BL398" s="891">
        <f t="shared" si="1285"/>
        <v>2890625949.8270597</v>
      </c>
      <c r="BM398" s="891">
        <f t="shared" si="1285"/>
        <v>0</v>
      </c>
      <c r="BN398" s="891">
        <f t="shared" si="1285"/>
        <v>0</v>
      </c>
      <c r="BO398" s="1096"/>
      <c r="BP398" s="1072"/>
      <c r="BQ398" s="1073"/>
      <c r="BR398" s="1073"/>
      <c r="BS398" s="891">
        <f t="shared" ref="BS398:BV398" si="1286">BS22</f>
        <v>2890625949.8270597</v>
      </c>
      <c r="BT398" s="891">
        <f t="shared" si="1286"/>
        <v>2890625949.8270597</v>
      </c>
      <c r="BU398" s="891">
        <f t="shared" si="1286"/>
        <v>0</v>
      </c>
      <c r="BV398" s="891">
        <f t="shared" si="1286"/>
        <v>0</v>
      </c>
      <c r="BW398" s="1096"/>
      <c r="BX398" s="1072"/>
      <c r="BY398" s="1073"/>
      <c r="BZ398" s="1073"/>
      <c r="CA398" s="891">
        <f t="shared" ref="CA398:CD398" si="1287">CA22</f>
        <v>2890625949.8270597</v>
      </c>
      <c r="CB398" s="891">
        <f t="shared" si="1287"/>
        <v>2890625949.8270597</v>
      </c>
      <c r="CC398" s="891">
        <f t="shared" si="1287"/>
        <v>0</v>
      </c>
      <c r="CD398" s="891">
        <f t="shared" si="1287"/>
        <v>0</v>
      </c>
      <c r="CE398" s="1096"/>
      <c r="CF398" s="1072"/>
      <c r="CG398" s="1073"/>
      <c r="CH398" s="1073"/>
      <c r="CI398" s="891">
        <f t="shared" ref="CI398:CL398" si="1288">CI22</f>
        <v>2890625949.8270597</v>
      </c>
      <c r="CJ398" s="891">
        <f t="shared" si="1288"/>
        <v>2890625949.8270597</v>
      </c>
      <c r="CK398" s="891">
        <f t="shared" si="1288"/>
        <v>0</v>
      </c>
      <c r="CL398" s="891">
        <f t="shared" si="1288"/>
        <v>0</v>
      </c>
      <c r="CM398" s="1096"/>
      <c r="CN398" s="1072"/>
      <c r="CO398" s="1073"/>
      <c r="CP398" s="1073"/>
      <c r="CQ398" s="891">
        <f t="shared" ref="CQ398:CT398" si="1289">CQ22</f>
        <v>2890625949.8270597</v>
      </c>
      <c r="CR398" s="891">
        <f t="shared" si="1289"/>
        <v>2890625949.8270597</v>
      </c>
      <c r="CS398" s="891">
        <f t="shared" si="1289"/>
        <v>0</v>
      </c>
      <c r="CT398" s="891">
        <f t="shared" si="1289"/>
        <v>0</v>
      </c>
      <c r="CU398" s="1096"/>
      <c r="CV398" s="1072"/>
      <c r="CW398" s="1073"/>
      <c r="CX398" s="1073"/>
      <c r="CY398" s="891">
        <f t="shared" ref="CY398:DB398" si="1290">CY22</f>
        <v>2890625949.8270597</v>
      </c>
      <c r="CZ398" s="891">
        <f t="shared" si="1290"/>
        <v>2890625949.8270597</v>
      </c>
      <c r="DA398" s="891">
        <f t="shared" si="1290"/>
        <v>0</v>
      </c>
      <c r="DB398" s="891">
        <f t="shared" si="1290"/>
        <v>0</v>
      </c>
      <c r="DC398" s="1096"/>
      <c r="DD398" s="1072"/>
      <c r="DE398" s="1073"/>
      <c r="DF398" s="1073"/>
      <c r="DG398" s="891">
        <f t="shared" ref="DG398:DJ398" si="1291">DG22</f>
        <v>2890625949.8270597</v>
      </c>
      <c r="DH398" s="891">
        <f t="shared" si="1291"/>
        <v>2890625949.8270597</v>
      </c>
      <c r="DI398" s="891">
        <f t="shared" si="1291"/>
        <v>0</v>
      </c>
      <c r="DJ398" s="891">
        <f t="shared" si="1291"/>
        <v>0</v>
      </c>
      <c r="DK398" s="1096"/>
      <c r="DL398" s="1072"/>
      <c r="DM398" s="1073"/>
      <c r="DN398" s="1073"/>
      <c r="DO398" s="891">
        <f t="shared" ref="DO398:DR398" si="1292">DO22</f>
        <v>2890625949.8270597</v>
      </c>
      <c r="DP398" s="891">
        <f t="shared" si="1292"/>
        <v>2890625949.8270597</v>
      </c>
      <c r="DQ398" s="891">
        <f t="shared" si="1292"/>
        <v>0</v>
      </c>
      <c r="DR398" s="891">
        <f t="shared" si="1292"/>
        <v>0</v>
      </c>
      <c r="DS398" s="1096"/>
      <c r="DT398" s="1072"/>
      <c r="DU398" s="1073"/>
      <c r="DV398" s="1073"/>
      <c r="DW398" s="891">
        <f t="shared" ref="DW398:DZ398" si="1293">DW22</f>
        <v>2890625949.8270597</v>
      </c>
      <c r="DX398" s="891">
        <f t="shared" si="1293"/>
        <v>2890625949.8270597</v>
      </c>
      <c r="DY398" s="891">
        <f t="shared" si="1293"/>
        <v>0</v>
      </c>
      <c r="DZ398" s="891">
        <f t="shared" si="1293"/>
        <v>0</v>
      </c>
      <c r="EA398" s="1096"/>
      <c r="EB398" s="1072"/>
      <c r="EC398" s="1073"/>
      <c r="ED398" s="1073"/>
      <c r="EE398" s="891">
        <f t="shared" ref="EE398:EH398" si="1294">EE22</f>
        <v>2890625949.8270597</v>
      </c>
      <c r="EF398" s="891">
        <f t="shared" si="1294"/>
        <v>2890625949.8270597</v>
      </c>
      <c r="EG398" s="891">
        <f t="shared" si="1294"/>
        <v>0</v>
      </c>
      <c r="EH398" s="891">
        <f t="shared" si="1294"/>
        <v>0</v>
      </c>
      <c r="EI398" s="1096"/>
      <c r="EJ398" s="1072"/>
      <c r="EK398" s="1073"/>
      <c r="EL398" s="1073"/>
      <c r="EM398" s="891">
        <f t="shared" ref="EM398:EP398" si="1295">EM22</f>
        <v>2890625949.8270597</v>
      </c>
      <c r="EN398" s="891">
        <f t="shared" si="1295"/>
        <v>2890625949.8270597</v>
      </c>
      <c r="EO398" s="891">
        <f t="shared" si="1295"/>
        <v>0</v>
      </c>
      <c r="EP398" s="891">
        <f t="shared" si="1295"/>
        <v>0</v>
      </c>
      <c r="EQ398" s="1096"/>
      <c r="ER398" s="1072"/>
      <c r="ES398" s="1073"/>
      <c r="ET398" s="1073"/>
      <c r="EU398" s="891">
        <f t="shared" ref="EU398:EX398" si="1296">EU22</f>
        <v>2890625949.8270597</v>
      </c>
      <c r="EV398" s="891">
        <f t="shared" si="1296"/>
        <v>2890625949.8270597</v>
      </c>
      <c r="EW398" s="891">
        <f t="shared" si="1296"/>
        <v>0</v>
      </c>
      <c r="EX398" s="891">
        <f t="shared" si="1296"/>
        <v>0</v>
      </c>
      <c r="EY398" s="1096"/>
      <c r="EZ398" s="1072"/>
      <c r="FA398" s="1073"/>
      <c r="FB398" s="1073"/>
      <c r="FC398" s="891">
        <f t="shared" ref="FC398:FF398" si="1297">FC22</f>
        <v>2890625949.8270597</v>
      </c>
      <c r="FD398" s="891">
        <f t="shared" si="1297"/>
        <v>2890625949.8270597</v>
      </c>
      <c r="FE398" s="891">
        <f t="shared" si="1297"/>
        <v>0</v>
      </c>
      <c r="FF398" s="891">
        <f t="shared" si="1297"/>
        <v>0</v>
      </c>
      <c r="FG398" s="1096"/>
      <c r="FH398" s="1072"/>
      <c r="FI398" s="1073"/>
      <c r="FJ398" s="1073"/>
      <c r="FK398" s="891">
        <f t="shared" ref="FK398:FN398" si="1298">FK22</f>
        <v>2890625949.8270597</v>
      </c>
      <c r="FL398" s="891">
        <f t="shared" si="1298"/>
        <v>2890625949.8270597</v>
      </c>
      <c r="FM398" s="891">
        <f t="shared" si="1298"/>
        <v>0</v>
      </c>
      <c r="FN398" s="891">
        <f t="shared" si="1298"/>
        <v>0</v>
      </c>
      <c r="FO398" s="1096"/>
    </row>
    <row r="399" spans="2:171" x14ac:dyDescent="0.25">
      <c r="B399" s="108"/>
      <c r="C399" s="108" t="s">
        <v>113</v>
      </c>
      <c r="D399" s="1072"/>
      <c r="E399" s="905" t="s">
        <v>394</v>
      </c>
      <c r="G399" s="891">
        <f t="shared" si="1277"/>
        <v>0</v>
      </c>
      <c r="H399" s="891">
        <f t="shared" ref="H399:J399" si="1299">H23</f>
        <v>0</v>
      </c>
      <c r="I399" s="891">
        <f t="shared" si="1299"/>
        <v>0</v>
      </c>
      <c r="J399" s="891">
        <f t="shared" si="1299"/>
        <v>0</v>
      </c>
      <c r="K399" s="1074"/>
      <c r="L399" s="1072"/>
      <c r="M399" s="1073"/>
      <c r="N399" s="1073"/>
      <c r="O399" s="891">
        <f t="shared" ref="O399:R399" si="1300">O23</f>
        <v>0</v>
      </c>
      <c r="P399" s="891">
        <f t="shared" si="1300"/>
        <v>0</v>
      </c>
      <c r="Q399" s="891">
        <f t="shared" si="1300"/>
        <v>0</v>
      </c>
      <c r="R399" s="891">
        <f t="shared" si="1300"/>
        <v>0</v>
      </c>
      <c r="S399" s="1074"/>
      <c r="T399" s="1072"/>
      <c r="U399" s="1073"/>
      <c r="V399" s="1073"/>
      <c r="W399" s="891">
        <f t="shared" ref="W399:Z399" si="1301">W23</f>
        <v>0</v>
      </c>
      <c r="X399" s="891">
        <f t="shared" si="1301"/>
        <v>0</v>
      </c>
      <c r="Y399" s="891">
        <f t="shared" si="1301"/>
        <v>0</v>
      </c>
      <c r="Z399" s="891">
        <f t="shared" si="1301"/>
        <v>0</v>
      </c>
      <c r="AA399" s="1074"/>
      <c r="AB399" s="1072"/>
      <c r="AC399" s="1073"/>
      <c r="AD399" s="1073"/>
      <c r="AE399" s="891">
        <f t="shared" ref="AE399:AH399" si="1302">AE23</f>
        <v>0</v>
      </c>
      <c r="AF399" s="891">
        <f t="shared" si="1302"/>
        <v>0</v>
      </c>
      <c r="AG399" s="891">
        <f t="shared" si="1302"/>
        <v>0</v>
      </c>
      <c r="AH399" s="891">
        <f t="shared" si="1302"/>
        <v>0</v>
      </c>
      <c r="AI399" s="1074"/>
      <c r="AJ399" s="1072"/>
      <c r="AK399" s="1073"/>
      <c r="AL399" s="1073"/>
      <c r="AM399" s="891">
        <f t="shared" ref="AM399:AP399" si="1303">AM23</f>
        <v>0</v>
      </c>
      <c r="AN399" s="891">
        <f t="shared" si="1303"/>
        <v>0</v>
      </c>
      <c r="AO399" s="891">
        <f t="shared" si="1303"/>
        <v>0</v>
      </c>
      <c r="AP399" s="891">
        <f t="shared" si="1303"/>
        <v>0</v>
      </c>
      <c r="AQ399" s="1074"/>
      <c r="AR399" s="1072"/>
      <c r="AS399" s="1073"/>
      <c r="AT399" s="1073"/>
      <c r="AU399" s="891">
        <f t="shared" ref="AU399:AX399" si="1304">AU23</f>
        <v>0</v>
      </c>
      <c r="AV399" s="891">
        <f t="shared" si="1304"/>
        <v>0</v>
      </c>
      <c r="AW399" s="891">
        <f t="shared" si="1304"/>
        <v>0</v>
      </c>
      <c r="AX399" s="891">
        <f t="shared" si="1304"/>
        <v>0</v>
      </c>
      <c r="AY399" s="1074"/>
      <c r="AZ399" s="1072"/>
      <c r="BA399" s="1073"/>
      <c r="BB399" s="1073"/>
      <c r="BC399" s="891">
        <f t="shared" ref="BC399:BF399" si="1305">BC23</f>
        <v>0</v>
      </c>
      <c r="BD399" s="891">
        <f t="shared" si="1305"/>
        <v>0</v>
      </c>
      <c r="BE399" s="891">
        <f t="shared" si="1305"/>
        <v>0</v>
      </c>
      <c r="BF399" s="891">
        <f t="shared" si="1305"/>
        <v>0</v>
      </c>
      <c r="BG399" s="1074"/>
      <c r="BH399" s="1072"/>
      <c r="BI399" s="1073"/>
      <c r="BJ399" s="1073"/>
      <c r="BK399" s="891">
        <f t="shared" ref="BK399:BN399" si="1306">BK23</f>
        <v>0</v>
      </c>
      <c r="BL399" s="891">
        <f t="shared" si="1306"/>
        <v>0</v>
      </c>
      <c r="BM399" s="891">
        <f t="shared" si="1306"/>
        <v>0</v>
      </c>
      <c r="BN399" s="891">
        <f t="shared" si="1306"/>
        <v>0</v>
      </c>
      <c r="BO399" s="1074"/>
      <c r="BP399" s="1072"/>
      <c r="BQ399" s="1073"/>
      <c r="BR399" s="1073"/>
      <c r="BS399" s="891">
        <f t="shared" ref="BS399:BV399" si="1307">BS23</f>
        <v>0</v>
      </c>
      <c r="BT399" s="891">
        <f t="shared" si="1307"/>
        <v>0</v>
      </c>
      <c r="BU399" s="891">
        <f t="shared" si="1307"/>
        <v>0</v>
      </c>
      <c r="BV399" s="891">
        <f t="shared" si="1307"/>
        <v>0</v>
      </c>
      <c r="BW399" s="1074"/>
      <c r="BX399" s="1072"/>
      <c r="BY399" s="1073"/>
      <c r="BZ399" s="1073"/>
      <c r="CA399" s="891">
        <f t="shared" ref="CA399:CD399" si="1308">CA23</f>
        <v>0</v>
      </c>
      <c r="CB399" s="891">
        <f t="shared" si="1308"/>
        <v>0</v>
      </c>
      <c r="CC399" s="891">
        <f t="shared" si="1308"/>
        <v>0</v>
      </c>
      <c r="CD399" s="891">
        <f t="shared" si="1308"/>
        <v>0</v>
      </c>
      <c r="CE399" s="1074"/>
      <c r="CF399" s="1072"/>
      <c r="CG399" s="1073"/>
      <c r="CH399" s="1073"/>
      <c r="CI399" s="891">
        <f t="shared" ref="CI399:CL399" si="1309">CI23</f>
        <v>0</v>
      </c>
      <c r="CJ399" s="891">
        <f t="shared" si="1309"/>
        <v>0</v>
      </c>
      <c r="CK399" s="891">
        <f t="shared" si="1309"/>
        <v>0</v>
      </c>
      <c r="CL399" s="891">
        <f t="shared" si="1309"/>
        <v>0</v>
      </c>
      <c r="CM399" s="1074"/>
      <c r="CN399" s="1072"/>
      <c r="CO399" s="1073"/>
      <c r="CP399" s="1073"/>
      <c r="CQ399" s="891">
        <f t="shared" ref="CQ399:CT399" si="1310">CQ23</f>
        <v>0</v>
      </c>
      <c r="CR399" s="891">
        <f t="shared" si="1310"/>
        <v>0</v>
      </c>
      <c r="CS399" s="891">
        <f t="shared" si="1310"/>
        <v>0</v>
      </c>
      <c r="CT399" s="891">
        <f t="shared" si="1310"/>
        <v>0</v>
      </c>
      <c r="CU399" s="1074"/>
      <c r="CV399" s="1072"/>
      <c r="CW399" s="1073"/>
      <c r="CX399" s="1073"/>
      <c r="CY399" s="891">
        <f t="shared" ref="CY399:DB399" si="1311">CY23</f>
        <v>0</v>
      </c>
      <c r="CZ399" s="891">
        <f t="shared" si="1311"/>
        <v>0</v>
      </c>
      <c r="DA399" s="891">
        <f t="shared" si="1311"/>
        <v>0</v>
      </c>
      <c r="DB399" s="891">
        <f t="shared" si="1311"/>
        <v>0</v>
      </c>
      <c r="DC399" s="1074"/>
      <c r="DD399" s="1072"/>
      <c r="DE399" s="1073"/>
      <c r="DF399" s="1073"/>
      <c r="DG399" s="891">
        <f t="shared" ref="DG399:DJ399" si="1312">DG23</f>
        <v>0</v>
      </c>
      <c r="DH399" s="891">
        <f t="shared" si="1312"/>
        <v>0</v>
      </c>
      <c r="DI399" s="891">
        <f t="shared" si="1312"/>
        <v>0</v>
      </c>
      <c r="DJ399" s="891">
        <f t="shared" si="1312"/>
        <v>0</v>
      </c>
      <c r="DK399" s="1074"/>
      <c r="DL399" s="1072"/>
      <c r="DM399" s="1073"/>
      <c r="DN399" s="1073"/>
      <c r="DO399" s="891">
        <f t="shared" ref="DO399:DR399" si="1313">DO23</f>
        <v>0</v>
      </c>
      <c r="DP399" s="891">
        <f t="shared" si="1313"/>
        <v>0</v>
      </c>
      <c r="DQ399" s="891">
        <f t="shared" si="1313"/>
        <v>0</v>
      </c>
      <c r="DR399" s="891">
        <f t="shared" si="1313"/>
        <v>0</v>
      </c>
      <c r="DS399" s="1074"/>
      <c r="DT399" s="1072"/>
      <c r="DU399" s="1073"/>
      <c r="DV399" s="1073"/>
      <c r="DW399" s="891">
        <f t="shared" ref="DW399:DZ399" si="1314">DW23</f>
        <v>0</v>
      </c>
      <c r="DX399" s="891">
        <f t="shared" si="1314"/>
        <v>0</v>
      </c>
      <c r="DY399" s="891">
        <f t="shared" si="1314"/>
        <v>0</v>
      </c>
      <c r="DZ399" s="891">
        <f t="shared" si="1314"/>
        <v>0</v>
      </c>
      <c r="EA399" s="1074"/>
      <c r="EB399" s="1072"/>
      <c r="EC399" s="1073"/>
      <c r="ED399" s="1073"/>
      <c r="EE399" s="891">
        <f t="shared" ref="EE399:EH399" si="1315">EE23</f>
        <v>0</v>
      </c>
      <c r="EF399" s="891">
        <f t="shared" si="1315"/>
        <v>0</v>
      </c>
      <c r="EG399" s="891">
        <f t="shared" si="1315"/>
        <v>0</v>
      </c>
      <c r="EH399" s="891">
        <f t="shared" si="1315"/>
        <v>0</v>
      </c>
      <c r="EI399" s="1074"/>
      <c r="EJ399" s="1072"/>
      <c r="EK399" s="1073"/>
      <c r="EL399" s="1073"/>
      <c r="EM399" s="891">
        <f t="shared" ref="EM399:EP399" si="1316">EM23</f>
        <v>0</v>
      </c>
      <c r="EN399" s="891">
        <f t="shared" si="1316"/>
        <v>0</v>
      </c>
      <c r="EO399" s="891">
        <f t="shared" si="1316"/>
        <v>0</v>
      </c>
      <c r="EP399" s="891">
        <f t="shared" si="1316"/>
        <v>0</v>
      </c>
      <c r="EQ399" s="1074"/>
      <c r="ER399" s="1072"/>
      <c r="ES399" s="1073"/>
      <c r="ET399" s="1073"/>
      <c r="EU399" s="891">
        <f t="shared" ref="EU399:EX399" si="1317">EU23</f>
        <v>0</v>
      </c>
      <c r="EV399" s="891">
        <f t="shared" si="1317"/>
        <v>0</v>
      </c>
      <c r="EW399" s="891">
        <f t="shared" si="1317"/>
        <v>0</v>
      </c>
      <c r="EX399" s="891">
        <f t="shared" si="1317"/>
        <v>0</v>
      </c>
      <c r="EY399" s="1074"/>
      <c r="EZ399" s="1072"/>
      <c r="FA399" s="1073"/>
      <c r="FB399" s="1073"/>
      <c r="FC399" s="891">
        <f t="shared" ref="FC399:FF399" si="1318">FC23</f>
        <v>0</v>
      </c>
      <c r="FD399" s="891">
        <f t="shared" si="1318"/>
        <v>0</v>
      </c>
      <c r="FE399" s="891">
        <f t="shared" si="1318"/>
        <v>0</v>
      </c>
      <c r="FF399" s="891">
        <f t="shared" si="1318"/>
        <v>0</v>
      </c>
      <c r="FG399" s="1074"/>
      <c r="FH399" s="1072"/>
      <c r="FI399" s="1073"/>
      <c r="FJ399" s="1073"/>
      <c r="FK399" s="891">
        <f t="shared" ref="FK399:FN399" si="1319">FK23</f>
        <v>0</v>
      </c>
      <c r="FL399" s="891">
        <f t="shared" si="1319"/>
        <v>0</v>
      </c>
      <c r="FM399" s="891">
        <f t="shared" si="1319"/>
        <v>0</v>
      </c>
      <c r="FN399" s="891">
        <f t="shared" si="1319"/>
        <v>0</v>
      </c>
      <c r="FO399" s="1074"/>
    </row>
    <row r="400" spans="2:171" x14ac:dyDescent="0.25">
      <c r="B400" s="108"/>
      <c r="C400" s="108" t="s">
        <v>115</v>
      </c>
      <c r="D400" s="1072"/>
      <c r="E400" s="905" t="s">
        <v>394</v>
      </c>
      <c r="G400" s="891">
        <f t="shared" si="1277"/>
        <v>433360289.62213159</v>
      </c>
      <c r="H400" s="891">
        <f t="shared" ref="H400:J400" si="1320">H24</f>
        <v>433360289.62213159</v>
      </c>
      <c r="I400" s="891">
        <f t="shared" si="1320"/>
        <v>0</v>
      </c>
      <c r="J400" s="891">
        <f t="shared" si="1320"/>
        <v>0</v>
      </c>
      <c r="K400" s="1074"/>
      <c r="L400" s="1072"/>
      <c r="M400" s="1073"/>
      <c r="N400" s="1073"/>
      <c r="O400" s="891">
        <f t="shared" ref="O400:R400" si="1321">O24</f>
        <v>433360289.62213159</v>
      </c>
      <c r="P400" s="891">
        <f t="shared" si="1321"/>
        <v>433360289.62213159</v>
      </c>
      <c r="Q400" s="891">
        <f t="shared" si="1321"/>
        <v>0</v>
      </c>
      <c r="R400" s="891">
        <f t="shared" si="1321"/>
        <v>0</v>
      </c>
      <c r="S400" s="1074"/>
      <c r="T400" s="1072"/>
      <c r="U400" s="1073"/>
      <c r="V400" s="1073"/>
      <c r="W400" s="891">
        <f t="shared" ref="W400:Z400" si="1322">W24</f>
        <v>433360289.62213159</v>
      </c>
      <c r="X400" s="891">
        <f t="shared" si="1322"/>
        <v>433360289.62213159</v>
      </c>
      <c r="Y400" s="891">
        <f t="shared" si="1322"/>
        <v>0</v>
      </c>
      <c r="Z400" s="891">
        <f t="shared" si="1322"/>
        <v>0</v>
      </c>
      <c r="AA400" s="1074"/>
      <c r="AB400" s="1072"/>
      <c r="AC400" s="1073"/>
      <c r="AD400" s="1073"/>
      <c r="AE400" s="891">
        <f t="shared" ref="AE400:AH400" si="1323">AE24</f>
        <v>433360289.62213159</v>
      </c>
      <c r="AF400" s="891">
        <f t="shared" si="1323"/>
        <v>433360289.62213159</v>
      </c>
      <c r="AG400" s="891">
        <f t="shared" si="1323"/>
        <v>0</v>
      </c>
      <c r="AH400" s="891">
        <f t="shared" si="1323"/>
        <v>0</v>
      </c>
      <c r="AI400" s="1074"/>
      <c r="AJ400" s="1072"/>
      <c r="AK400" s="1073"/>
      <c r="AL400" s="1073"/>
      <c r="AM400" s="891">
        <f t="shared" ref="AM400:AP400" si="1324">AM24</f>
        <v>433360289.62213159</v>
      </c>
      <c r="AN400" s="891">
        <f t="shared" si="1324"/>
        <v>433360289.62213159</v>
      </c>
      <c r="AO400" s="891">
        <f t="shared" si="1324"/>
        <v>0</v>
      </c>
      <c r="AP400" s="891">
        <f t="shared" si="1324"/>
        <v>0</v>
      </c>
      <c r="AQ400" s="1074"/>
      <c r="AR400" s="1072"/>
      <c r="AS400" s="1073"/>
      <c r="AT400" s="1073"/>
      <c r="AU400" s="891">
        <f t="shared" ref="AU400:AX400" si="1325">AU24</f>
        <v>433360289.62213159</v>
      </c>
      <c r="AV400" s="891">
        <f t="shared" si="1325"/>
        <v>433360289.62213159</v>
      </c>
      <c r="AW400" s="891">
        <f t="shared" si="1325"/>
        <v>0</v>
      </c>
      <c r="AX400" s="891">
        <f t="shared" si="1325"/>
        <v>0</v>
      </c>
      <c r="AY400" s="1074"/>
      <c r="AZ400" s="1072"/>
      <c r="BA400" s="1073"/>
      <c r="BB400" s="1073"/>
      <c r="BC400" s="891">
        <f t="shared" ref="BC400:BF400" si="1326">BC24</f>
        <v>433360289.62213159</v>
      </c>
      <c r="BD400" s="891">
        <f t="shared" si="1326"/>
        <v>433360289.62213159</v>
      </c>
      <c r="BE400" s="891">
        <f t="shared" si="1326"/>
        <v>0</v>
      </c>
      <c r="BF400" s="891">
        <f t="shared" si="1326"/>
        <v>0</v>
      </c>
      <c r="BG400" s="1074"/>
      <c r="BH400" s="1072"/>
      <c r="BI400" s="1073"/>
      <c r="BJ400" s="1073"/>
      <c r="BK400" s="891">
        <f t="shared" ref="BK400:BN400" si="1327">BK24</f>
        <v>433360289.62213159</v>
      </c>
      <c r="BL400" s="891">
        <f t="shared" si="1327"/>
        <v>433360289.62213159</v>
      </c>
      <c r="BM400" s="891">
        <f t="shared" si="1327"/>
        <v>0</v>
      </c>
      <c r="BN400" s="891">
        <f t="shared" si="1327"/>
        <v>0</v>
      </c>
      <c r="BO400" s="1074"/>
      <c r="BP400" s="1072"/>
      <c r="BQ400" s="1073"/>
      <c r="BR400" s="1073"/>
      <c r="BS400" s="891">
        <f t="shared" ref="BS400:BV400" si="1328">BS24</f>
        <v>433360289.62213159</v>
      </c>
      <c r="BT400" s="891">
        <f t="shared" si="1328"/>
        <v>433360289.62213159</v>
      </c>
      <c r="BU400" s="891">
        <f t="shared" si="1328"/>
        <v>0</v>
      </c>
      <c r="BV400" s="891">
        <f t="shared" si="1328"/>
        <v>0</v>
      </c>
      <c r="BW400" s="1074"/>
      <c r="BX400" s="1072"/>
      <c r="BY400" s="1073"/>
      <c r="BZ400" s="1073"/>
      <c r="CA400" s="891">
        <f t="shared" ref="CA400:CD400" si="1329">CA24</f>
        <v>433360289.62213159</v>
      </c>
      <c r="CB400" s="891">
        <f t="shared" si="1329"/>
        <v>433360289.62213159</v>
      </c>
      <c r="CC400" s="891">
        <f t="shared" si="1329"/>
        <v>0</v>
      </c>
      <c r="CD400" s="891">
        <f t="shared" si="1329"/>
        <v>0</v>
      </c>
      <c r="CE400" s="1074"/>
      <c r="CF400" s="1072"/>
      <c r="CG400" s="1073"/>
      <c r="CH400" s="1073"/>
      <c r="CI400" s="891">
        <f t="shared" ref="CI400:CL400" si="1330">CI24</f>
        <v>433360289.62213159</v>
      </c>
      <c r="CJ400" s="891">
        <f t="shared" si="1330"/>
        <v>433360289.62213159</v>
      </c>
      <c r="CK400" s="891">
        <f t="shared" si="1330"/>
        <v>0</v>
      </c>
      <c r="CL400" s="891">
        <f t="shared" si="1330"/>
        <v>0</v>
      </c>
      <c r="CM400" s="1074"/>
      <c r="CN400" s="1072"/>
      <c r="CO400" s="1073"/>
      <c r="CP400" s="1073"/>
      <c r="CQ400" s="891">
        <f t="shared" ref="CQ400:CT400" si="1331">CQ24</f>
        <v>433360289.62213159</v>
      </c>
      <c r="CR400" s="891">
        <f t="shared" si="1331"/>
        <v>433360289.62213159</v>
      </c>
      <c r="CS400" s="891">
        <f t="shared" si="1331"/>
        <v>0</v>
      </c>
      <c r="CT400" s="891">
        <f t="shared" si="1331"/>
        <v>0</v>
      </c>
      <c r="CU400" s="1074"/>
      <c r="CV400" s="1072"/>
      <c r="CW400" s="1073"/>
      <c r="CX400" s="1073"/>
      <c r="CY400" s="891">
        <f t="shared" ref="CY400:DB400" si="1332">CY24</f>
        <v>433360289.62213159</v>
      </c>
      <c r="CZ400" s="891">
        <f t="shared" si="1332"/>
        <v>433360289.62213159</v>
      </c>
      <c r="DA400" s="891">
        <f t="shared" si="1332"/>
        <v>0</v>
      </c>
      <c r="DB400" s="891">
        <f t="shared" si="1332"/>
        <v>0</v>
      </c>
      <c r="DC400" s="1074"/>
      <c r="DD400" s="1072"/>
      <c r="DE400" s="1073"/>
      <c r="DF400" s="1073"/>
      <c r="DG400" s="891">
        <f t="shared" ref="DG400:DJ400" si="1333">DG24</f>
        <v>433360289.62213159</v>
      </c>
      <c r="DH400" s="891">
        <f t="shared" si="1333"/>
        <v>433360289.62213159</v>
      </c>
      <c r="DI400" s="891">
        <f t="shared" si="1333"/>
        <v>0</v>
      </c>
      <c r="DJ400" s="891">
        <f t="shared" si="1333"/>
        <v>0</v>
      </c>
      <c r="DK400" s="1074"/>
      <c r="DL400" s="1072"/>
      <c r="DM400" s="1073"/>
      <c r="DN400" s="1073"/>
      <c r="DO400" s="891">
        <f t="shared" ref="DO400:DR400" si="1334">DO24</f>
        <v>433360289.62213159</v>
      </c>
      <c r="DP400" s="891">
        <f t="shared" si="1334"/>
        <v>433360289.62213159</v>
      </c>
      <c r="DQ400" s="891">
        <f t="shared" si="1334"/>
        <v>0</v>
      </c>
      <c r="DR400" s="891">
        <f t="shared" si="1334"/>
        <v>0</v>
      </c>
      <c r="DS400" s="1074"/>
      <c r="DT400" s="1072"/>
      <c r="DU400" s="1073"/>
      <c r="DV400" s="1073"/>
      <c r="DW400" s="891">
        <f t="shared" ref="DW400:DZ400" si="1335">DW24</f>
        <v>433360289.62213159</v>
      </c>
      <c r="DX400" s="891">
        <f t="shared" si="1335"/>
        <v>433360289.62213159</v>
      </c>
      <c r="DY400" s="891">
        <f t="shared" si="1335"/>
        <v>0</v>
      </c>
      <c r="DZ400" s="891">
        <f t="shared" si="1335"/>
        <v>0</v>
      </c>
      <c r="EA400" s="1074"/>
      <c r="EB400" s="1072"/>
      <c r="EC400" s="1073"/>
      <c r="ED400" s="1073"/>
      <c r="EE400" s="891">
        <f t="shared" ref="EE400:EH400" si="1336">EE24</f>
        <v>433360289.62213159</v>
      </c>
      <c r="EF400" s="891">
        <f t="shared" si="1336"/>
        <v>433360289.62213159</v>
      </c>
      <c r="EG400" s="891">
        <f t="shared" si="1336"/>
        <v>0</v>
      </c>
      <c r="EH400" s="891">
        <f t="shared" si="1336"/>
        <v>0</v>
      </c>
      <c r="EI400" s="1074"/>
      <c r="EJ400" s="1072"/>
      <c r="EK400" s="1073"/>
      <c r="EL400" s="1073"/>
      <c r="EM400" s="891">
        <f t="shared" ref="EM400:EP400" si="1337">EM24</f>
        <v>433360289.62213159</v>
      </c>
      <c r="EN400" s="891">
        <f t="shared" si="1337"/>
        <v>433360289.62213159</v>
      </c>
      <c r="EO400" s="891">
        <f t="shared" si="1337"/>
        <v>0</v>
      </c>
      <c r="EP400" s="891">
        <f t="shared" si="1337"/>
        <v>0</v>
      </c>
      <c r="EQ400" s="1074"/>
      <c r="ER400" s="1072"/>
      <c r="ES400" s="1073"/>
      <c r="ET400" s="1073"/>
      <c r="EU400" s="891">
        <f t="shared" ref="EU400:EX400" si="1338">EU24</f>
        <v>433360289.62213159</v>
      </c>
      <c r="EV400" s="891">
        <f t="shared" si="1338"/>
        <v>433360289.62213159</v>
      </c>
      <c r="EW400" s="891">
        <f t="shared" si="1338"/>
        <v>0</v>
      </c>
      <c r="EX400" s="891">
        <f t="shared" si="1338"/>
        <v>0</v>
      </c>
      <c r="EY400" s="1074"/>
      <c r="EZ400" s="1072"/>
      <c r="FA400" s="1073"/>
      <c r="FB400" s="1073"/>
      <c r="FC400" s="891">
        <f t="shared" ref="FC400:FF400" si="1339">FC24</f>
        <v>433360289.62213159</v>
      </c>
      <c r="FD400" s="891">
        <f t="shared" si="1339"/>
        <v>433360289.62213159</v>
      </c>
      <c r="FE400" s="891">
        <f t="shared" si="1339"/>
        <v>0</v>
      </c>
      <c r="FF400" s="891">
        <f t="shared" si="1339"/>
        <v>0</v>
      </c>
      <c r="FG400" s="1074"/>
      <c r="FH400" s="1072"/>
      <c r="FI400" s="1073"/>
      <c r="FJ400" s="1073"/>
      <c r="FK400" s="891">
        <f t="shared" ref="FK400:FN400" si="1340">FK24</f>
        <v>433360289.62213159</v>
      </c>
      <c r="FL400" s="891">
        <f t="shared" si="1340"/>
        <v>433360289.62213159</v>
      </c>
      <c r="FM400" s="891">
        <f t="shared" si="1340"/>
        <v>0</v>
      </c>
      <c r="FN400" s="891">
        <f t="shared" si="1340"/>
        <v>0</v>
      </c>
      <c r="FO400" s="1074"/>
    </row>
    <row r="401" spans="2:171" x14ac:dyDescent="0.25">
      <c r="B401" s="108"/>
      <c r="C401" s="108" t="s">
        <v>117</v>
      </c>
      <c r="D401" s="1072"/>
      <c r="E401" s="905" t="s">
        <v>394</v>
      </c>
      <c r="G401" s="891">
        <f t="shared" si="1277"/>
        <v>2258385628.1561666</v>
      </c>
      <c r="H401" s="891">
        <f t="shared" ref="H401:J401" si="1341">H25</f>
        <v>2258385628.1561666</v>
      </c>
      <c r="I401" s="891">
        <f t="shared" si="1341"/>
        <v>0</v>
      </c>
      <c r="J401" s="891">
        <f t="shared" si="1341"/>
        <v>0</v>
      </c>
      <c r="K401" s="1074"/>
      <c r="L401" s="1072"/>
      <c r="M401" s="1073"/>
      <c r="N401" s="1073"/>
      <c r="O401" s="891">
        <f t="shared" ref="O401:R401" si="1342">O25</f>
        <v>2258385628.1561666</v>
      </c>
      <c r="P401" s="891">
        <f t="shared" si="1342"/>
        <v>2258385628.1561666</v>
      </c>
      <c r="Q401" s="891">
        <f t="shared" si="1342"/>
        <v>0</v>
      </c>
      <c r="R401" s="891">
        <f t="shared" si="1342"/>
        <v>0</v>
      </c>
      <c r="S401" s="1074"/>
      <c r="T401" s="1072"/>
      <c r="U401" s="1073"/>
      <c r="V401" s="1073"/>
      <c r="W401" s="891">
        <f t="shared" ref="W401:Z401" si="1343">W25</f>
        <v>2258385628.1561666</v>
      </c>
      <c r="X401" s="891">
        <f t="shared" si="1343"/>
        <v>2258385628.1561666</v>
      </c>
      <c r="Y401" s="891">
        <f t="shared" si="1343"/>
        <v>0</v>
      </c>
      <c r="Z401" s="891">
        <f t="shared" si="1343"/>
        <v>0</v>
      </c>
      <c r="AA401" s="1074"/>
      <c r="AB401" s="1072"/>
      <c r="AC401" s="1073"/>
      <c r="AD401" s="1073"/>
      <c r="AE401" s="891">
        <f t="shared" ref="AE401:AH401" si="1344">AE25</f>
        <v>2258385628.1561666</v>
      </c>
      <c r="AF401" s="891">
        <f t="shared" si="1344"/>
        <v>2258385628.1561666</v>
      </c>
      <c r="AG401" s="891">
        <f t="shared" si="1344"/>
        <v>0</v>
      </c>
      <c r="AH401" s="891">
        <f t="shared" si="1344"/>
        <v>0</v>
      </c>
      <c r="AI401" s="1074"/>
      <c r="AJ401" s="1072"/>
      <c r="AK401" s="1073"/>
      <c r="AL401" s="1073"/>
      <c r="AM401" s="891">
        <f t="shared" ref="AM401:AP401" si="1345">AM25</f>
        <v>2258385628.1561666</v>
      </c>
      <c r="AN401" s="891">
        <f t="shared" si="1345"/>
        <v>2258385628.1561666</v>
      </c>
      <c r="AO401" s="891">
        <f t="shared" si="1345"/>
        <v>0</v>
      </c>
      <c r="AP401" s="891">
        <f t="shared" si="1345"/>
        <v>0</v>
      </c>
      <c r="AQ401" s="1074"/>
      <c r="AR401" s="1072"/>
      <c r="AS401" s="1073"/>
      <c r="AT401" s="1073"/>
      <c r="AU401" s="891">
        <f t="shared" ref="AU401:AX401" si="1346">AU25</f>
        <v>2258385628.1561666</v>
      </c>
      <c r="AV401" s="891">
        <f t="shared" si="1346"/>
        <v>2258385628.1561666</v>
      </c>
      <c r="AW401" s="891">
        <f t="shared" si="1346"/>
        <v>0</v>
      </c>
      <c r="AX401" s="891">
        <f t="shared" si="1346"/>
        <v>0</v>
      </c>
      <c r="AY401" s="1074"/>
      <c r="AZ401" s="1072"/>
      <c r="BA401" s="1073"/>
      <c r="BB401" s="1073"/>
      <c r="BC401" s="891">
        <f t="shared" ref="BC401:BF401" si="1347">BC25</f>
        <v>2258385628.1561666</v>
      </c>
      <c r="BD401" s="891">
        <f t="shared" si="1347"/>
        <v>2258385628.1561666</v>
      </c>
      <c r="BE401" s="891">
        <f t="shared" si="1347"/>
        <v>0</v>
      </c>
      <c r="BF401" s="891">
        <f t="shared" si="1347"/>
        <v>0</v>
      </c>
      <c r="BG401" s="1074"/>
      <c r="BH401" s="1072"/>
      <c r="BI401" s="1073"/>
      <c r="BJ401" s="1073"/>
      <c r="BK401" s="891">
        <f t="shared" ref="BK401:BN401" si="1348">BK25</f>
        <v>2258385628.1561666</v>
      </c>
      <c r="BL401" s="891">
        <f t="shared" si="1348"/>
        <v>2258385628.1561666</v>
      </c>
      <c r="BM401" s="891">
        <f t="shared" si="1348"/>
        <v>0</v>
      </c>
      <c r="BN401" s="891">
        <f t="shared" si="1348"/>
        <v>0</v>
      </c>
      <c r="BO401" s="1074"/>
      <c r="BP401" s="1072"/>
      <c r="BQ401" s="1073"/>
      <c r="BR401" s="1073"/>
      <c r="BS401" s="891">
        <f t="shared" ref="BS401:BV401" si="1349">BS25</f>
        <v>2258385628.1561666</v>
      </c>
      <c r="BT401" s="891">
        <f t="shared" si="1349"/>
        <v>2258385628.1561666</v>
      </c>
      <c r="BU401" s="891">
        <f t="shared" si="1349"/>
        <v>0</v>
      </c>
      <c r="BV401" s="891">
        <f t="shared" si="1349"/>
        <v>0</v>
      </c>
      <c r="BW401" s="1074"/>
      <c r="BX401" s="1072"/>
      <c r="BY401" s="1073"/>
      <c r="BZ401" s="1073"/>
      <c r="CA401" s="891">
        <f t="shared" ref="CA401:CD401" si="1350">CA25</f>
        <v>2258385628.1561666</v>
      </c>
      <c r="CB401" s="891">
        <f t="shared" si="1350"/>
        <v>2258385628.1561666</v>
      </c>
      <c r="CC401" s="891">
        <f t="shared" si="1350"/>
        <v>0</v>
      </c>
      <c r="CD401" s="891">
        <f t="shared" si="1350"/>
        <v>0</v>
      </c>
      <c r="CE401" s="1074"/>
      <c r="CF401" s="1072"/>
      <c r="CG401" s="1073"/>
      <c r="CH401" s="1073"/>
      <c r="CI401" s="891">
        <f t="shared" ref="CI401:CL401" si="1351">CI25</f>
        <v>2258385628.1561666</v>
      </c>
      <c r="CJ401" s="891">
        <f t="shared" si="1351"/>
        <v>2258385628.1561666</v>
      </c>
      <c r="CK401" s="891">
        <f t="shared" si="1351"/>
        <v>0</v>
      </c>
      <c r="CL401" s="891">
        <f t="shared" si="1351"/>
        <v>0</v>
      </c>
      <c r="CM401" s="1074"/>
      <c r="CN401" s="1072"/>
      <c r="CO401" s="1073"/>
      <c r="CP401" s="1073"/>
      <c r="CQ401" s="891">
        <f t="shared" ref="CQ401:CT401" si="1352">CQ25</f>
        <v>2258385628.1561666</v>
      </c>
      <c r="CR401" s="891">
        <f t="shared" si="1352"/>
        <v>2258385628.1561666</v>
      </c>
      <c r="CS401" s="891">
        <f t="shared" si="1352"/>
        <v>0</v>
      </c>
      <c r="CT401" s="891">
        <f t="shared" si="1352"/>
        <v>0</v>
      </c>
      <c r="CU401" s="1074"/>
      <c r="CV401" s="1072"/>
      <c r="CW401" s="1073"/>
      <c r="CX401" s="1073"/>
      <c r="CY401" s="891">
        <f t="shared" ref="CY401:DB401" si="1353">CY25</f>
        <v>2258385628.1561666</v>
      </c>
      <c r="CZ401" s="891">
        <f t="shared" si="1353"/>
        <v>2258385628.1561666</v>
      </c>
      <c r="DA401" s="891">
        <f t="shared" si="1353"/>
        <v>0</v>
      </c>
      <c r="DB401" s="891">
        <f t="shared" si="1353"/>
        <v>0</v>
      </c>
      <c r="DC401" s="1074"/>
      <c r="DD401" s="1072"/>
      <c r="DE401" s="1073"/>
      <c r="DF401" s="1073"/>
      <c r="DG401" s="891">
        <f t="shared" ref="DG401:DJ401" si="1354">DG25</f>
        <v>2258385628.1561666</v>
      </c>
      <c r="DH401" s="891">
        <f t="shared" si="1354"/>
        <v>2258385628.1561666</v>
      </c>
      <c r="DI401" s="891">
        <f t="shared" si="1354"/>
        <v>0</v>
      </c>
      <c r="DJ401" s="891">
        <f t="shared" si="1354"/>
        <v>0</v>
      </c>
      <c r="DK401" s="1074"/>
      <c r="DL401" s="1072"/>
      <c r="DM401" s="1073"/>
      <c r="DN401" s="1073"/>
      <c r="DO401" s="891">
        <f t="shared" ref="DO401:DR401" si="1355">DO25</f>
        <v>2258385628.1561666</v>
      </c>
      <c r="DP401" s="891">
        <f t="shared" si="1355"/>
        <v>2258385628.1561666</v>
      </c>
      <c r="DQ401" s="891">
        <f t="shared" si="1355"/>
        <v>0</v>
      </c>
      <c r="DR401" s="891">
        <f t="shared" si="1355"/>
        <v>0</v>
      </c>
      <c r="DS401" s="1074"/>
      <c r="DT401" s="1072"/>
      <c r="DU401" s="1073"/>
      <c r="DV401" s="1073"/>
      <c r="DW401" s="891">
        <f t="shared" ref="DW401:DZ401" si="1356">DW25</f>
        <v>2258385628.1561666</v>
      </c>
      <c r="DX401" s="891">
        <f t="shared" si="1356"/>
        <v>2258385628.1561666</v>
      </c>
      <c r="DY401" s="891">
        <f t="shared" si="1356"/>
        <v>0</v>
      </c>
      <c r="DZ401" s="891">
        <f t="shared" si="1356"/>
        <v>0</v>
      </c>
      <c r="EA401" s="1074"/>
      <c r="EB401" s="1072"/>
      <c r="EC401" s="1073"/>
      <c r="ED401" s="1073"/>
      <c r="EE401" s="891">
        <f t="shared" ref="EE401:EH401" si="1357">EE25</f>
        <v>2258385628.1561666</v>
      </c>
      <c r="EF401" s="891">
        <f t="shared" si="1357"/>
        <v>2258385628.1561666</v>
      </c>
      <c r="EG401" s="891">
        <f t="shared" si="1357"/>
        <v>0</v>
      </c>
      <c r="EH401" s="891">
        <f t="shared" si="1357"/>
        <v>0</v>
      </c>
      <c r="EI401" s="1074"/>
      <c r="EJ401" s="1072"/>
      <c r="EK401" s="1073"/>
      <c r="EL401" s="1073"/>
      <c r="EM401" s="891">
        <f t="shared" ref="EM401:EP401" si="1358">EM25</f>
        <v>2258385628.1561666</v>
      </c>
      <c r="EN401" s="891">
        <f t="shared" si="1358"/>
        <v>2258385628.1561666</v>
      </c>
      <c r="EO401" s="891">
        <f t="shared" si="1358"/>
        <v>0</v>
      </c>
      <c r="EP401" s="891">
        <f t="shared" si="1358"/>
        <v>0</v>
      </c>
      <c r="EQ401" s="1074"/>
      <c r="ER401" s="1072"/>
      <c r="ES401" s="1073"/>
      <c r="ET401" s="1073"/>
      <c r="EU401" s="891">
        <f t="shared" ref="EU401:EX401" si="1359">EU25</f>
        <v>2258385628.1561666</v>
      </c>
      <c r="EV401" s="891">
        <f t="shared" si="1359"/>
        <v>2258385628.1561666</v>
      </c>
      <c r="EW401" s="891">
        <f t="shared" si="1359"/>
        <v>0</v>
      </c>
      <c r="EX401" s="891">
        <f t="shared" si="1359"/>
        <v>0</v>
      </c>
      <c r="EY401" s="1074"/>
      <c r="EZ401" s="1072"/>
      <c r="FA401" s="1073"/>
      <c r="FB401" s="1073"/>
      <c r="FC401" s="891">
        <f t="shared" ref="FC401:FF401" si="1360">FC25</f>
        <v>2258385628.1561666</v>
      </c>
      <c r="FD401" s="891">
        <f t="shared" si="1360"/>
        <v>2258385628.1561666</v>
      </c>
      <c r="FE401" s="891">
        <f t="shared" si="1360"/>
        <v>0</v>
      </c>
      <c r="FF401" s="891">
        <f t="shared" si="1360"/>
        <v>0</v>
      </c>
      <c r="FG401" s="1074"/>
      <c r="FH401" s="1072"/>
      <c r="FI401" s="1073"/>
      <c r="FJ401" s="1073"/>
      <c r="FK401" s="891">
        <f t="shared" ref="FK401:FN401" si="1361">FK25</f>
        <v>2258385628.1561666</v>
      </c>
      <c r="FL401" s="891">
        <f t="shared" si="1361"/>
        <v>2258385628.1561666</v>
      </c>
      <c r="FM401" s="891">
        <f t="shared" si="1361"/>
        <v>0</v>
      </c>
      <c r="FN401" s="891">
        <f t="shared" si="1361"/>
        <v>0</v>
      </c>
      <c r="FO401" s="1074"/>
    </row>
    <row r="402" spans="2:171" x14ac:dyDescent="0.25">
      <c r="B402" s="108"/>
      <c r="C402" s="108" t="s">
        <v>119</v>
      </c>
      <c r="D402" s="1072"/>
      <c r="E402" s="905"/>
      <c r="G402" s="891">
        <f>SUM(G398:G401)</f>
        <v>5582371867.6053581</v>
      </c>
      <c r="H402" s="891">
        <f t="shared" ref="H402:J402" si="1362">SUM(H398:H401)</f>
        <v>5582371867.6053581</v>
      </c>
      <c r="I402" s="891">
        <f t="shared" si="1362"/>
        <v>0</v>
      </c>
      <c r="J402" s="891">
        <f t="shared" si="1362"/>
        <v>0</v>
      </c>
      <c r="K402" s="1074"/>
      <c r="L402" s="1072"/>
      <c r="M402" s="1073"/>
      <c r="N402" s="1073"/>
      <c r="O402" s="891">
        <f>SUM(O398:O401)</f>
        <v>5582371867.6053581</v>
      </c>
      <c r="P402" s="891">
        <f t="shared" ref="P402" si="1363">SUM(P398:P401)</f>
        <v>5582371867.6053581</v>
      </c>
      <c r="Q402" s="891">
        <f t="shared" ref="Q402" si="1364">SUM(Q398:Q401)</f>
        <v>0</v>
      </c>
      <c r="R402" s="891">
        <f t="shared" ref="R402" si="1365">SUM(R398:R401)</f>
        <v>0</v>
      </c>
      <c r="S402" s="1074"/>
      <c r="T402" s="1072"/>
      <c r="U402" s="1073"/>
      <c r="V402" s="1073"/>
      <c r="W402" s="891">
        <f>SUM(W398:W401)</f>
        <v>5582371867.6053581</v>
      </c>
      <c r="X402" s="891">
        <f t="shared" ref="X402:Z402" si="1366">SUM(X398:X401)</f>
        <v>5582371867.6053581</v>
      </c>
      <c r="Y402" s="891">
        <f t="shared" si="1366"/>
        <v>0</v>
      </c>
      <c r="Z402" s="891">
        <f t="shared" si="1366"/>
        <v>0</v>
      </c>
      <c r="AA402" s="1074"/>
      <c r="AB402" s="1072"/>
      <c r="AC402" s="1073"/>
      <c r="AD402" s="1073"/>
      <c r="AE402" s="891">
        <f>SUM(AE398:AE401)</f>
        <v>5582371867.6053581</v>
      </c>
      <c r="AF402" s="891">
        <f t="shared" ref="AF402:AH402" si="1367">SUM(AF398:AF401)</f>
        <v>5582371867.6053581</v>
      </c>
      <c r="AG402" s="891">
        <f t="shared" si="1367"/>
        <v>0</v>
      </c>
      <c r="AH402" s="891">
        <f t="shared" si="1367"/>
        <v>0</v>
      </c>
      <c r="AI402" s="1074"/>
      <c r="AJ402" s="1072"/>
      <c r="AK402" s="1073"/>
      <c r="AL402" s="1073"/>
      <c r="AM402" s="891">
        <f>SUM(AM398:AM401)</f>
        <v>5582371867.6053581</v>
      </c>
      <c r="AN402" s="891">
        <f t="shared" ref="AN402:AP402" si="1368">SUM(AN398:AN401)</f>
        <v>5582371867.6053581</v>
      </c>
      <c r="AO402" s="891">
        <f t="shared" si="1368"/>
        <v>0</v>
      </c>
      <c r="AP402" s="891">
        <f t="shared" si="1368"/>
        <v>0</v>
      </c>
      <c r="AQ402" s="1074"/>
      <c r="AR402" s="1072"/>
      <c r="AS402" s="1073"/>
      <c r="AT402" s="1073"/>
      <c r="AU402" s="891">
        <f>SUM(AU398:AU401)</f>
        <v>5582371867.6053581</v>
      </c>
      <c r="AV402" s="891">
        <f t="shared" ref="AV402:AX402" si="1369">SUM(AV398:AV401)</f>
        <v>5582371867.6053581</v>
      </c>
      <c r="AW402" s="891">
        <f t="shared" si="1369"/>
        <v>0</v>
      </c>
      <c r="AX402" s="891">
        <f t="shared" si="1369"/>
        <v>0</v>
      </c>
      <c r="AY402" s="1074"/>
      <c r="AZ402" s="1072"/>
      <c r="BA402" s="1073"/>
      <c r="BB402" s="1073"/>
      <c r="BC402" s="891">
        <f>SUM(BC398:BC401)</f>
        <v>5582371867.6053581</v>
      </c>
      <c r="BD402" s="891">
        <f t="shared" ref="BD402:BF402" si="1370">SUM(BD398:BD401)</f>
        <v>5582371867.6053581</v>
      </c>
      <c r="BE402" s="891">
        <f t="shared" si="1370"/>
        <v>0</v>
      </c>
      <c r="BF402" s="891">
        <f t="shared" si="1370"/>
        <v>0</v>
      </c>
      <c r="BG402" s="1074"/>
      <c r="BH402" s="1072"/>
      <c r="BI402" s="1073"/>
      <c r="BJ402" s="1073"/>
      <c r="BK402" s="891">
        <f>SUM(BK398:BK401)</f>
        <v>5582371867.6053581</v>
      </c>
      <c r="BL402" s="891">
        <f t="shared" ref="BL402:BN402" si="1371">SUM(BL398:BL401)</f>
        <v>5582371867.6053581</v>
      </c>
      <c r="BM402" s="891">
        <f t="shared" si="1371"/>
        <v>0</v>
      </c>
      <c r="BN402" s="891">
        <f t="shared" si="1371"/>
        <v>0</v>
      </c>
      <c r="BO402" s="1074"/>
      <c r="BP402" s="1072"/>
      <c r="BQ402" s="1073"/>
      <c r="BR402" s="1073"/>
      <c r="BS402" s="891">
        <f>SUM(BS398:BS401)</f>
        <v>5582371867.6053581</v>
      </c>
      <c r="BT402" s="891">
        <f t="shared" ref="BT402:BV402" si="1372">SUM(BT398:BT401)</f>
        <v>5582371867.6053581</v>
      </c>
      <c r="BU402" s="891">
        <f t="shared" si="1372"/>
        <v>0</v>
      </c>
      <c r="BV402" s="891">
        <f t="shared" si="1372"/>
        <v>0</v>
      </c>
      <c r="BW402" s="1074"/>
      <c r="BX402" s="1072"/>
      <c r="BY402" s="1073"/>
      <c r="BZ402" s="1073"/>
      <c r="CA402" s="891">
        <f>SUM(CA398:CA401)</f>
        <v>5582371867.6053581</v>
      </c>
      <c r="CB402" s="891">
        <f t="shared" ref="CB402:CD402" si="1373">SUM(CB398:CB401)</f>
        <v>5582371867.6053581</v>
      </c>
      <c r="CC402" s="891">
        <f t="shared" si="1373"/>
        <v>0</v>
      </c>
      <c r="CD402" s="891">
        <f t="shared" si="1373"/>
        <v>0</v>
      </c>
      <c r="CE402" s="1074"/>
      <c r="CF402" s="1072"/>
      <c r="CG402" s="1073"/>
      <c r="CH402" s="1073"/>
      <c r="CI402" s="891">
        <f>SUM(CI398:CI401)</f>
        <v>5582371867.6053581</v>
      </c>
      <c r="CJ402" s="891">
        <f t="shared" ref="CJ402:CL402" si="1374">SUM(CJ398:CJ401)</f>
        <v>5582371867.6053581</v>
      </c>
      <c r="CK402" s="891">
        <f t="shared" si="1374"/>
        <v>0</v>
      </c>
      <c r="CL402" s="891">
        <f t="shared" si="1374"/>
        <v>0</v>
      </c>
      <c r="CM402" s="1074"/>
      <c r="CN402" s="1072"/>
      <c r="CO402" s="1073"/>
      <c r="CP402" s="1073"/>
      <c r="CQ402" s="891">
        <f>SUM(CQ398:CQ401)</f>
        <v>5582371867.6053581</v>
      </c>
      <c r="CR402" s="891">
        <f t="shared" ref="CR402:CT402" si="1375">SUM(CR398:CR401)</f>
        <v>5582371867.6053581</v>
      </c>
      <c r="CS402" s="891">
        <f t="shared" si="1375"/>
        <v>0</v>
      </c>
      <c r="CT402" s="891">
        <f t="shared" si="1375"/>
        <v>0</v>
      </c>
      <c r="CU402" s="1074"/>
      <c r="CV402" s="1072"/>
      <c r="CW402" s="1073"/>
      <c r="CX402" s="1073"/>
      <c r="CY402" s="891">
        <f>SUM(CY398:CY401)</f>
        <v>5582371867.6053581</v>
      </c>
      <c r="CZ402" s="891">
        <f t="shared" ref="CZ402:DB402" si="1376">SUM(CZ398:CZ401)</f>
        <v>5582371867.6053581</v>
      </c>
      <c r="DA402" s="891">
        <f t="shared" si="1376"/>
        <v>0</v>
      </c>
      <c r="DB402" s="891">
        <f t="shared" si="1376"/>
        <v>0</v>
      </c>
      <c r="DC402" s="1074"/>
      <c r="DD402" s="1072"/>
      <c r="DE402" s="1073"/>
      <c r="DF402" s="1073"/>
      <c r="DG402" s="891">
        <f>SUM(DG398:DG401)</f>
        <v>5582371867.6053581</v>
      </c>
      <c r="DH402" s="891">
        <f t="shared" ref="DH402:DJ402" si="1377">SUM(DH398:DH401)</f>
        <v>5582371867.6053581</v>
      </c>
      <c r="DI402" s="891">
        <f t="shared" si="1377"/>
        <v>0</v>
      </c>
      <c r="DJ402" s="891">
        <f t="shared" si="1377"/>
        <v>0</v>
      </c>
      <c r="DK402" s="1074"/>
      <c r="DL402" s="1072"/>
      <c r="DM402" s="1073"/>
      <c r="DN402" s="1073"/>
      <c r="DO402" s="891">
        <f>SUM(DO398:DO401)</f>
        <v>5582371867.6053581</v>
      </c>
      <c r="DP402" s="891">
        <f t="shared" ref="DP402:DR402" si="1378">SUM(DP398:DP401)</f>
        <v>5582371867.6053581</v>
      </c>
      <c r="DQ402" s="891">
        <f t="shared" si="1378"/>
        <v>0</v>
      </c>
      <c r="DR402" s="891">
        <f t="shared" si="1378"/>
        <v>0</v>
      </c>
      <c r="DS402" s="1074"/>
      <c r="DT402" s="1072"/>
      <c r="DU402" s="1073"/>
      <c r="DV402" s="1073"/>
      <c r="DW402" s="891">
        <f>SUM(DW398:DW401)</f>
        <v>5582371867.6053581</v>
      </c>
      <c r="DX402" s="891">
        <f t="shared" ref="DX402:DZ402" si="1379">SUM(DX398:DX401)</f>
        <v>5582371867.6053581</v>
      </c>
      <c r="DY402" s="891">
        <f t="shared" si="1379"/>
        <v>0</v>
      </c>
      <c r="DZ402" s="891">
        <f t="shared" si="1379"/>
        <v>0</v>
      </c>
      <c r="EA402" s="1074"/>
      <c r="EB402" s="1072"/>
      <c r="EC402" s="1073"/>
      <c r="ED402" s="1073"/>
      <c r="EE402" s="891">
        <f>SUM(EE398:EE401)</f>
        <v>5582371867.6053581</v>
      </c>
      <c r="EF402" s="891">
        <f t="shared" ref="EF402:EH402" si="1380">SUM(EF398:EF401)</f>
        <v>5582371867.6053581</v>
      </c>
      <c r="EG402" s="891">
        <f t="shared" si="1380"/>
        <v>0</v>
      </c>
      <c r="EH402" s="891">
        <f t="shared" si="1380"/>
        <v>0</v>
      </c>
      <c r="EI402" s="1074"/>
      <c r="EJ402" s="1072"/>
      <c r="EK402" s="1073"/>
      <c r="EL402" s="1073"/>
      <c r="EM402" s="891">
        <f>SUM(EM398:EM401)</f>
        <v>5582371867.6053581</v>
      </c>
      <c r="EN402" s="891">
        <f t="shared" ref="EN402:EP402" si="1381">SUM(EN398:EN401)</f>
        <v>5582371867.6053581</v>
      </c>
      <c r="EO402" s="891">
        <f t="shared" si="1381"/>
        <v>0</v>
      </c>
      <c r="EP402" s="891">
        <f t="shared" si="1381"/>
        <v>0</v>
      </c>
      <c r="EQ402" s="1074"/>
      <c r="ER402" s="1072"/>
      <c r="ES402" s="1073"/>
      <c r="ET402" s="1073"/>
      <c r="EU402" s="891">
        <f>SUM(EU398:EU401)</f>
        <v>5582371867.6053581</v>
      </c>
      <c r="EV402" s="891">
        <f t="shared" ref="EV402:EX402" si="1382">SUM(EV398:EV401)</f>
        <v>5582371867.6053581</v>
      </c>
      <c r="EW402" s="891">
        <f t="shared" si="1382"/>
        <v>0</v>
      </c>
      <c r="EX402" s="891">
        <f t="shared" si="1382"/>
        <v>0</v>
      </c>
      <c r="EY402" s="1074"/>
      <c r="EZ402" s="1072"/>
      <c r="FA402" s="1073"/>
      <c r="FB402" s="1073"/>
      <c r="FC402" s="891">
        <f>SUM(FC398:FC401)</f>
        <v>5582371867.6053581</v>
      </c>
      <c r="FD402" s="891">
        <f t="shared" ref="FD402:FF402" si="1383">SUM(FD398:FD401)</f>
        <v>5582371867.6053581</v>
      </c>
      <c r="FE402" s="891">
        <f t="shared" si="1383"/>
        <v>0</v>
      </c>
      <c r="FF402" s="891">
        <f t="shared" si="1383"/>
        <v>0</v>
      </c>
      <c r="FG402" s="1074"/>
      <c r="FH402" s="1072"/>
      <c r="FI402" s="1073"/>
      <c r="FJ402" s="1073"/>
      <c r="FK402" s="891">
        <f>SUM(FK398:FK401)</f>
        <v>5582371867.6053581</v>
      </c>
      <c r="FL402" s="891">
        <f t="shared" ref="FL402:FN402" si="1384">SUM(FL398:FL401)</f>
        <v>5582371867.6053581</v>
      </c>
      <c r="FM402" s="891">
        <f t="shared" si="1384"/>
        <v>0</v>
      </c>
      <c r="FN402" s="891">
        <f t="shared" si="1384"/>
        <v>0</v>
      </c>
      <c r="FO402" s="1074"/>
    </row>
    <row r="403" spans="2:171" x14ac:dyDescent="0.25">
      <c r="B403" s="108"/>
      <c r="C403" s="108" t="s">
        <v>526</v>
      </c>
      <c r="D403" s="1072"/>
      <c r="E403" s="905" t="s">
        <v>393</v>
      </c>
      <c r="G403" s="891">
        <f>G30</f>
        <v>3295838980.7862144</v>
      </c>
      <c r="H403" s="891">
        <f t="shared" ref="H403:J403" si="1385">H30</f>
        <v>0</v>
      </c>
      <c r="I403" s="891">
        <f t="shared" si="1385"/>
        <v>0</v>
      </c>
      <c r="J403" s="891">
        <f t="shared" si="1385"/>
        <v>3295838980.7862144</v>
      </c>
      <c r="K403" s="1074"/>
      <c r="L403" s="1072"/>
      <c r="M403" s="1073"/>
      <c r="N403" s="1073"/>
      <c r="O403" s="891">
        <f>O30</f>
        <v>3295838980.7862144</v>
      </c>
      <c r="P403" s="891">
        <f t="shared" ref="P403:R403" si="1386">P30</f>
        <v>0</v>
      </c>
      <c r="Q403" s="891">
        <f t="shared" si="1386"/>
        <v>3295838980.7862144</v>
      </c>
      <c r="R403" s="891">
        <f t="shared" si="1386"/>
        <v>0</v>
      </c>
      <c r="S403" s="1074"/>
      <c r="T403" s="1072"/>
      <c r="U403" s="1073"/>
      <c r="V403" s="1073"/>
      <c r="W403" s="891">
        <f>W30</f>
        <v>3295838980.7862144</v>
      </c>
      <c r="X403" s="891">
        <f t="shared" ref="X403:Z403" si="1387">X30</f>
        <v>0</v>
      </c>
      <c r="Y403" s="891">
        <f t="shared" si="1387"/>
        <v>3295838980.7862144</v>
      </c>
      <c r="Z403" s="891">
        <f t="shared" si="1387"/>
        <v>0</v>
      </c>
      <c r="AA403" s="1074"/>
      <c r="AB403" s="1072"/>
      <c r="AC403" s="1073"/>
      <c r="AD403" s="1073"/>
      <c r="AE403" s="891">
        <f>AE30</f>
        <v>3295838980.7862144</v>
      </c>
      <c r="AF403" s="891">
        <f t="shared" ref="AF403:AH403" si="1388">AF30</f>
        <v>0</v>
      </c>
      <c r="AG403" s="891">
        <f t="shared" si="1388"/>
        <v>3295838980.7862144</v>
      </c>
      <c r="AH403" s="891">
        <f t="shared" si="1388"/>
        <v>0</v>
      </c>
      <c r="AI403" s="1074"/>
      <c r="AJ403" s="1072"/>
      <c r="AK403" s="1073"/>
      <c r="AL403" s="1073"/>
      <c r="AM403" s="891">
        <f>AM30</f>
        <v>3295838980.7862144</v>
      </c>
      <c r="AN403" s="891">
        <f t="shared" ref="AN403:AP403" si="1389">AN30</f>
        <v>0</v>
      </c>
      <c r="AO403" s="891">
        <f t="shared" si="1389"/>
        <v>3295838980.7862144</v>
      </c>
      <c r="AP403" s="891">
        <f t="shared" si="1389"/>
        <v>0</v>
      </c>
      <c r="AQ403" s="1074"/>
      <c r="AR403" s="1072"/>
      <c r="AS403" s="1073"/>
      <c r="AT403" s="1073"/>
      <c r="AU403" s="891">
        <f>AU30</f>
        <v>3295838980.7862144</v>
      </c>
      <c r="AV403" s="891">
        <f t="shared" ref="AV403:AX403" si="1390">AV30</f>
        <v>0</v>
      </c>
      <c r="AW403" s="891">
        <f t="shared" si="1390"/>
        <v>3295838980.7862144</v>
      </c>
      <c r="AX403" s="891">
        <f t="shared" si="1390"/>
        <v>0</v>
      </c>
      <c r="AY403" s="1074"/>
      <c r="AZ403" s="1072"/>
      <c r="BA403" s="1073"/>
      <c r="BB403" s="1073"/>
      <c r="BC403" s="891">
        <f>BC30</f>
        <v>3295838980.7862144</v>
      </c>
      <c r="BD403" s="891">
        <f t="shared" ref="BD403:BF403" si="1391">BD30</f>
        <v>0</v>
      </c>
      <c r="BE403" s="891">
        <f t="shared" si="1391"/>
        <v>3295838980.7862144</v>
      </c>
      <c r="BF403" s="891">
        <f t="shared" si="1391"/>
        <v>0</v>
      </c>
      <c r="BG403" s="1074"/>
      <c r="BH403" s="1072"/>
      <c r="BI403" s="1073"/>
      <c r="BJ403" s="1073"/>
      <c r="BK403" s="891">
        <f>BK30</f>
        <v>3295838980.7862144</v>
      </c>
      <c r="BL403" s="891">
        <f t="shared" ref="BL403:BN403" si="1392">BL30</f>
        <v>0</v>
      </c>
      <c r="BM403" s="891">
        <f t="shared" si="1392"/>
        <v>3295838980.7862144</v>
      </c>
      <c r="BN403" s="891">
        <f t="shared" si="1392"/>
        <v>0</v>
      </c>
      <c r="BO403" s="1074"/>
      <c r="BP403" s="1072"/>
      <c r="BQ403" s="1073"/>
      <c r="BR403" s="1073"/>
      <c r="BS403" s="891">
        <f>BS30</f>
        <v>3295838980.7862144</v>
      </c>
      <c r="BT403" s="891">
        <f t="shared" ref="BT403:BV403" si="1393">BT30</f>
        <v>0</v>
      </c>
      <c r="BU403" s="891">
        <f t="shared" si="1393"/>
        <v>3295838980.7862144</v>
      </c>
      <c r="BV403" s="891">
        <f t="shared" si="1393"/>
        <v>0</v>
      </c>
      <c r="BW403" s="1074"/>
      <c r="BX403" s="1072"/>
      <c r="BY403" s="1073"/>
      <c r="BZ403" s="1073"/>
      <c r="CA403" s="891">
        <f>CA30</f>
        <v>3295838980.7862144</v>
      </c>
      <c r="CB403" s="891">
        <f t="shared" ref="CB403:CD403" si="1394">CB30</f>
        <v>0</v>
      </c>
      <c r="CC403" s="891">
        <f t="shared" si="1394"/>
        <v>3295838980.7862144</v>
      </c>
      <c r="CD403" s="891">
        <f t="shared" si="1394"/>
        <v>0</v>
      </c>
      <c r="CE403" s="1074"/>
      <c r="CF403" s="1072"/>
      <c r="CG403" s="1073"/>
      <c r="CH403" s="1073"/>
      <c r="CI403" s="891">
        <f>CI30</f>
        <v>3295838980.7862144</v>
      </c>
      <c r="CJ403" s="891">
        <f t="shared" ref="CJ403:CL403" si="1395">CJ30</f>
        <v>0</v>
      </c>
      <c r="CK403" s="891">
        <f t="shared" si="1395"/>
        <v>3295838980.7862144</v>
      </c>
      <c r="CL403" s="891">
        <f t="shared" si="1395"/>
        <v>0</v>
      </c>
      <c r="CM403" s="1074"/>
      <c r="CN403" s="1072"/>
      <c r="CO403" s="1073"/>
      <c r="CP403" s="1073"/>
      <c r="CQ403" s="891">
        <f>CQ30</f>
        <v>3295838980.7862144</v>
      </c>
      <c r="CR403" s="891">
        <f t="shared" ref="CR403:CT403" si="1396">CR30</f>
        <v>0</v>
      </c>
      <c r="CS403" s="891">
        <f t="shared" si="1396"/>
        <v>3295838980.7862144</v>
      </c>
      <c r="CT403" s="891">
        <f t="shared" si="1396"/>
        <v>0</v>
      </c>
      <c r="CU403" s="1074"/>
      <c r="CV403" s="1072"/>
      <c r="CW403" s="1073"/>
      <c r="CX403" s="1073"/>
      <c r="CY403" s="891">
        <f>CY30</f>
        <v>3295838980.7862144</v>
      </c>
      <c r="CZ403" s="891">
        <f t="shared" ref="CZ403:DB403" si="1397">CZ30</f>
        <v>0</v>
      </c>
      <c r="DA403" s="891">
        <f t="shared" si="1397"/>
        <v>3295838980.7862144</v>
      </c>
      <c r="DB403" s="891">
        <f t="shared" si="1397"/>
        <v>0</v>
      </c>
      <c r="DC403" s="1074"/>
      <c r="DD403" s="1072"/>
      <c r="DE403" s="1073"/>
      <c r="DF403" s="1073"/>
      <c r="DG403" s="891">
        <f>DG30</f>
        <v>3295838980.7862144</v>
      </c>
      <c r="DH403" s="891">
        <f t="shared" ref="DH403:DJ403" si="1398">DH30</f>
        <v>0</v>
      </c>
      <c r="DI403" s="891">
        <f t="shared" si="1398"/>
        <v>3295838980.7862144</v>
      </c>
      <c r="DJ403" s="891">
        <f t="shared" si="1398"/>
        <v>0</v>
      </c>
      <c r="DK403" s="1074"/>
      <c r="DL403" s="1072"/>
      <c r="DM403" s="1073"/>
      <c r="DN403" s="1073"/>
      <c r="DO403" s="891">
        <f>DO30</f>
        <v>3295838980.7862144</v>
      </c>
      <c r="DP403" s="891">
        <f t="shared" ref="DP403:DR403" si="1399">DP30</f>
        <v>0</v>
      </c>
      <c r="DQ403" s="891">
        <f t="shared" si="1399"/>
        <v>3295838980.7862144</v>
      </c>
      <c r="DR403" s="891">
        <f t="shared" si="1399"/>
        <v>0</v>
      </c>
      <c r="DS403" s="1074"/>
      <c r="DT403" s="1072"/>
      <c r="DU403" s="1073"/>
      <c r="DV403" s="1073"/>
      <c r="DW403" s="891">
        <f>DW30</f>
        <v>3295838980.7862144</v>
      </c>
      <c r="DX403" s="891">
        <f t="shared" ref="DX403:DZ403" si="1400">DX30</f>
        <v>0</v>
      </c>
      <c r="DY403" s="891">
        <f t="shared" si="1400"/>
        <v>3295838980.7862144</v>
      </c>
      <c r="DZ403" s="891">
        <f t="shared" si="1400"/>
        <v>0</v>
      </c>
      <c r="EA403" s="1074"/>
      <c r="EB403" s="1072"/>
      <c r="EC403" s="1073"/>
      <c r="ED403" s="1073"/>
      <c r="EE403" s="891">
        <f>EE30</f>
        <v>3295838980.7862144</v>
      </c>
      <c r="EF403" s="891">
        <f t="shared" ref="EF403:EH403" si="1401">EF30</f>
        <v>0</v>
      </c>
      <c r="EG403" s="891">
        <f t="shared" si="1401"/>
        <v>3295838980.7862144</v>
      </c>
      <c r="EH403" s="891">
        <f t="shared" si="1401"/>
        <v>0</v>
      </c>
      <c r="EI403" s="1074"/>
      <c r="EJ403" s="1072"/>
      <c r="EK403" s="1073"/>
      <c r="EL403" s="1073"/>
      <c r="EM403" s="891">
        <f>EM30</f>
        <v>3295838980.7862144</v>
      </c>
      <c r="EN403" s="891">
        <f t="shared" ref="EN403:EP403" si="1402">EN30</f>
        <v>0</v>
      </c>
      <c r="EO403" s="891">
        <f t="shared" si="1402"/>
        <v>3295838980.7862144</v>
      </c>
      <c r="EP403" s="891">
        <f t="shared" si="1402"/>
        <v>0</v>
      </c>
      <c r="EQ403" s="1074"/>
      <c r="ER403" s="1072"/>
      <c r="ES403" s="1073"/>
      <c r="ET403" s="1073"/>
      <c r="EU403" s="891">
        <f>EU30</f>
        <v>3295838980.7862144</v>
      </c>
      <c r="EV403" s="891">
        <f t="shared" ref="EV403:EX403" si="1403">EV30</f>
        <v>0</v>
      </c>
      <c r="EW403" s="891">
        <f t="shared" si="1403"/>
        <v>3295838980.7862144</v>
      </c>
      <c r="EX403" s="891">
        <f t="shared" si="1403"/>
        <v>0</v>
      </c>
      <c r="EY403" s="1074"/>
      <c r="EZ403" s="1072"/>
      <c r="FA403" s="1073"/>
      <c r="FB403" s="1073"/>
      <c r="FC403" s="891">
        <f>FC30</f>
        <v>3295838980.7862144</v>
      </c>
      <c r="FD403" s="891">
        <f t="shared" ref="FD403:FF403" si="1404">FD30</f>
        <v>0</v>
      </c>
      <c r="FE403" s="891">
        <f t="shared" si="1404"/>
        <v>3295838980.7862144</v>
      </c>
      <c r="FF403" s="891">
        <f t="shared" si="1404"/>
        <v>0</v>
      </c>
      <c r="FG403" s="1074"/>
      <c r="FH403" s="1072"/>
      <c r="FI403" s="1073"/>
      <c r="FJ403" s="1073"/>
      <c r="FK403" s="891">
        <f>FK30</f>
        <v>3295838980.7862144</v>
      </c>
      <c r="FL403" s="891">
        <f t="shared" ref="FL403:FN403" si="1405">FL30</f>
        <v>0</v>
      </c>
      <c r="FM403" s="891">
        <f t="shared" si="1405"/>
        <v>3295838980.7862144</v>
      </c>
      <c r="FN403" s="891">
        <f t="shared" si="1405"/>
        <v>0</v>
      </c>
      <c r="FO403" s="1074"/>
    </row>
    <row r="404" spans="2:171" x14ac:dyDescent="0.25">
      <c r="B404" s="108"/>
      <c r="C404" s="108" t="s">
        <v>122</v>
      </c>
      <c r="D404" s="1072"/>
      <c r="E404" s="905" t="s">
        <v>392</v>
      </c>
      <c r="G404" s="891">
        <f>G33</f>
        <v>3803344740.5943408</v>
      </c>
      <c r="H404" s="891">
        <f t="shared" ref="H404:J404" si="1406">H33</f>
        <v>0</v>
      </c>
      <c r="I404" s="891">
        <f t="shared" si="1406"/>
        <v>0</v>
      </c>
      <c r="J404" s="891">
        <f t="shared" si="1406"/>
        <v>3803344740.5943408</v>
      </c>
      <c r="K404" s="1074"/>
      <c r="L404" s="1072"/>
      <c r="M404" s="1073"/>
      <c r="N404" s="1073"/>
      <c r="O404" s="891">
        <f>O33</f>
        <v>3803344740.5943408</v>
      </c>
      <c r="P404" s="891">
        <f t="shared" ref="P404:R404" si="1407">P33</f>
        <v>0</v>
      </c>
      <c r="Q404" s="891">
        <f t="shared" si="1407"/>
        <v>0</v>
      </c>
      <c r="R404" s="891">
        <f t="shared" si="1407"/>
        <v>3803344740.5943408</v>
      </c>
      <c r="S404" s="1074"/>
      <c r="T404" s="1072"/>
      <c r="U404" s="1073"/>
      <c r="V404" s="1073"/>
      <c r="W404" s="891">
        <f>W33</f>
        <v>3803344740.5943408</v>
      </c>
      <c r="X404" s="891">
        <f t="shared" ref="X404:Z404" si="1408">X33</f>
        <v>0</v>
      </c>
      <c r="Y404" s="891">
        <f t="shared" si="1408"/>
        <v>0</v>
      </c>
      <c r="Z404" s="891">
        <f t="shared" si="1408"/>
        <v>3803344740.5943408</v>
      </c>
      <c r="AA404" s="1074"/>
      <c r="AB404" s="1072"/>
      <c r="AC404" s="1073"/>
      <c r="AD404" s="1073"/>
      <c r="AE404" s="891">
        <f>AE33</f>
        <v>3803344740.5943408</v>
      </c>
      <c r="AF404" s="891">
        <f t="shared" ref="AF404:AH404" si="1409">AF33</f>
        <v>0</v>
      </c>
      <c r="AG404" s="891">
        <f t="shared" si="1409"/>
        <v>0</v>
      </c>
      <c r="AH404" s="891">
        <f t="shared" si="1409"/>
        <v>3803344740.5943408</v>
      </c>
      <c r="AI404" s="1074"/>
      <c r="AJ404" s="1072"/>
      <c r="AK404" s="1073"/>
      <c r="AL404" s="1073"/>
      <c r="AM404" s="891">
        <f>AM33</f>
        <v>3803344740.5943408</v>
      </c>
      <c r="AN404" s="891">
        <f t="shared" ref="AN404:AP404" si="1410">AN33</f>
        <v>0</v>
      </c>
      <c r="AO404" s="891">
        <f t="shared" si="1410"/>
        <v>0</v>
      </c>
      <c r="AP404" s="891">
        <f t="shared" si="1410"/>
        <v>3803344740.5943408</v>
      </c>
      <c r="AQ404" s="1074"/>
      <c r="AR404" s="1072"/>
      <c r="AS404" s="1073"/>
      <c r="AT404" s="1073"/>
      <c r="AU404" s="891">
        <f>AU33</f>
        <v>3803344740.5943408</v>
      </c>
      <c r="AV404" s="891">
        <f t="shared" ref="AV404:AX404" si="1411">AV33</f>
        <v>0</v>
      </c>
      <c r="AW404" s="891">
        <f t="shared" si="1411"/>
        <v>0</v>
      </c>
      <c r="AX404" s="891">
        <f t="shared" si="1411"/>
        <v>3803344740.5943408</v>
      </c>
      <c r="AY404" s="1074"/>
      <c r="AZ404" s="1072"/>
      <c r="BA404" s="1073"/>
      <c r="BB404" s="1073"/>
      <c r="BC404" s="891">
        <f>BC33</f>
        <v>3803344740.5943408</v>
      </c>
      <c r="BD404" s="891">
        <f t="shared" ref="BD404:BF404" si="1412">BD33</f>
        <v>0</v>
      </c>
      <c r="BE404" s="891">
        <f t="shared" si="1412"/>
        <v>0</v>
      </c>
      <c r="BF404" s="891">
        <f t="shared" si="1412"/>
        <v>3803344740.5943408</v>
      </c>
      <c r="BG404" s="1074"/>
      <c r="BH404" s="1072"/>
      <c r="BI404" s="1073"/>
      <c r="BJ404" s="1073"/>
      <c r="BK404" s="891">
        <f>BK33</f>
        <v>3803344740.5943408</v>
      </c>
      <c r="BL404" s="891">
        <f t="shared" ref="BL404:BN404" si="1413">BL33</f>
        <v>0</v>
      </c>
      <c r="BM404" s="891">
        <f t="shared" si="1413"/>
        <v>0</v>
      </c>
      <c r="BN404" s="891">
        <f t="shared" si="1413"/>
        <v>3803344740.5943408</v>
      </c>
      <c r="BO404" s="1074"/>
      <c r="BP404" s="1072"/>
      <c r="BQ404" s="1073"/>
      <c r="BR404" s="1073"/>
      <c r="BS404" s="891">
        <f>BS33</f>
        <v>3803344740.5943408</v>
      </c>
      <c r="BT404" s="891">
        <f t="shared" ref="BT404:BV404" si="1414">BT33</f>
        <v>0</v>
      </c>
      <c r="BU404" s="891">
        <f t="shared" si="1414"/>
        <v>0</v>
      </c>
      <c r="BV404" s="891">
        <f t="shared" si="1414"/>
        <v>3803344740.5943408</v>
      </c>
      <c r="BW404" s="1074"/>
      <c r="BX404" s="1072"/>
      <c r="BY404" s="1073"/>
      <c r="BZ404" s="1073"/>
      <c r="CA404" s="891">
        <f>CA33</f>
        <v>3803344740.5943408</v>
      </c>
      <c r="CB404" s="891">
        <f t="shared" ref="CB404:CD404" si="1415">CB33</f>
        <v>0</v>
      </c>
      <c r="CC404" s="891">
        <f t="shared" si="1415"/>
        <v>0</v>
      </c>
      <c r="CD404" s="891">
        <f t="shared" si="1415"/>
        <v>3803344740.5943408</v>
      </c>
      <c r="CE404" s="1074"/>
      <c r="CF404" s="1072"/>
      <c r="CG404" s="1073"/>
      <c r="CH404" s="1073"/>
      <c r="CI404" s="891">
        <f>CI33</f>
        <v>3803344740.5943408</v>
      </c>
      <c r="CJ404" s="891">
        <f t="shared" ref="CJ404:CL404" si="1416">CJ33</f>
        <v>0</v>
      </c>
      <c r="CK404" s="891">
        <f t="shared" si="1416"/>
        <v>0</v>
      </c>
      <c r="CL404" s="891">
        <f t="shared" si="1416"/>
        <v>3803344740.5943408</v>
      </c>
      <c r="CM404" s="1074"/>
      <c r="CN404" s="1072"/>
      <c r="CO404" s="1073"/>
      <c r="CP404" s="1073"/>
      <c r="CQ404" s="891">
        <f>CQ33</f>
        <v>3803344740.5943408</v>
      </c>
      <c r="CR404" s="891">
        <f t="shared" ref="CR404:CT404" si="1417">CR33</f>
        <v>0</v>
      </c>
      <c r="CS404" s="891">
        <f t="shared" si="1417"/>
        <v>0</v>
      </c>
      <c r="CT404" s="891">
        <f t="shared" si="1417"/>
        <v>3803344740.5943408</v>
      </c>
      <c r="CU404" s="1074"/>
      <c r="CV404" s="1072"/>
      <c r="CW404" s="1073"/>
      <c r="CX404" s="1073"/>
      <c r="CY404" s="891">
        <f>CY33</f>
        <v>3803344740.5943408</v>
      </c>
      <c r="CZ404" s="891">
        <f t="shared" ref="CZ404:DB404" si="1418">CZ33</f>
        <v>0</v>
      </c>
      <c r="DA404" s="891">
        <f t="shared" si="1418"/>
        <v>0</v>
      </c>
      <c r="DB404" s="891">
        <f t="shared" si="1418"/>
        <v>3803344740.5943408</v>
      </c>
      <c r="DC404" s="1074"/>
      <c r="DD404" s="1072"/>
      <c r="DE404" s="1073"/>
      <c r="DF404" s="1073"/>
      <c r="DG404" s="891">
        <f>DG33</f>
        <v>3803344740.5943408</v>
      </c>
      <c r="DH404" s="891">
        <f t="shared" ref="DH404:DJ404" si="1419">DH33</f>
        <v>0</v>
      </c>
      <c r="DI404" s="891">
        <f t="shared" si="1419"/>
        <v>0</v>
      </c>
      <c r="DJ404" s="891">
        <f t="shared" si="1419"/>
        <v>3803344740.5943408</v>
      </c>
      <c r="DK404" s="1074"/>
      <c r="DL404" s="1072"/>
      <c r="DM404" s="1073"/>
      <c r="DN404" s="1073"/>
      <c r="DO404" s="891">
        <f>DO33</f>
        <v>3803344740.5943408</v>
      </c>
      <c r="DP404" s="891">
        <f t="shared" ref="DP404:DR404" si="1420">DP33</f>
        <v>0</v>
      </c>
      <c r="DQ404" s="891">
        <f t="shared" si="1420"/>
        <v>0</v>
      </c>
      <c r="DR404" s="891">
        <f t="shared" si="1420"/>
        <v>3803344740.5943408</v>
      </c>
      <c r="DS404" s="1074"/>
      <c r="DT404" s="1072"/>
      <c r="DU404" s="1073"/>
      <c r="DV404" s="1073"/>
      <c r="DW404" s="891">
        <f>DW33</f>
        <v>3803344740.5943408</v>
      </c>
      <c r="DX404" s="891">
        <f t="shared" ref="DX404:DZ404" si="1421">DX33</f>
        <v>0</v>
      </c>
      <c r="DY404" s="891">
        <f t="shared" si="1421"/>
        <v>0</v>
      </c>
      <c r="DZ404" s="891">
        <f t="shared" si="1421"/>
        <v>3803344740.5943408</v>
      </c>
      <c r="EA404" s="1074"/>
      <c r="EB404" s="1072"/>
      <c r="EC404" s="1073"/>
      <c r="ED404" s="1073"/>
      <c r="EE404" s="891">
        <f>EE33</f>
        <v>3803344740.5943408</v>
      </c>
      <c r="EF404" s="891">
        <f t="shared" ref="EF404:EH404" si="1422">EF33</f>
        <v>0</v>
      </c>
      <c r="EG404" s="891">
        <f t="shared" si="1422"/>
        <v>0</v>
      </c>
      <c r="EH404" s="891">
        <f t="shared" si="1422"/>
        <v>3803344740.5943408</v>
      </c>
      <c r="EI404" s="1074"/>
      <c r="EJ404" s="1072"/>
      <c r="EK404" s="1073"/>
      <c r="EL404" s="1073"/>
      <c r="EM404" s="891">
        <f>EM33</f>
        <v>3803344740.5943408</v>
      </c>
      <c r="EN404" s="891">
        <f t="shared" ref="EN404:EP404" si="1423">EN33</f>
        <v>0</v>
      </c>
      <c r="EO404" s="891">
        <f t="shared" si="1423"/>
        <v>0</v>
      </c>
      <c r="EP404" s="891">
        <f t="shared" si="1423"/>
        <v>3803344740.5943408</v>
      </c>
      <c r="EQ404" s="1074"/>
      <c r="ER404" s="1072"/>
      <c r="ES404" s="1073"/>
      <c r="ET404" s="1073"/>
      <c r="EU404" s="891">
        <f>EU33</f>
        <v>3803344740.5943408</v>
      </c>
      <c r="EV404" s="891">
        <f t="shared" ref="EV404:EX404" si="1424">EV33</f>
        <v>0</v>
      </c>
      <c r="EW404" s="891">
        <f t="shared" si="1424"/>
        <v>0</v>
      </c>
      <c r="EX404" s="891">
        <f t="shared" si="1424"/>
        <v>3803344740.5943408</v>
      </c>
      <c r="EY404" s="1074"/>
      <c r="EZ404" s="1072"/>
      <c r="FA404" s="1073"/>
      <c r="FB404" s="1073"/>
      <c r="FC404" s="891">
        <f>FC33</f>
        <v>3803344740.5943408</v>
      </c>
      <c r="FD404" s="891">
        <f t="shared" ref="FD404:FF404" si="1425">FD33</f>
        <v>0</v>
      </c>
      <c r="FE404" s="891">
        <f t="shared" si="1425"/>
        <v>0</v>
      </c>
      <c r="FF404" s="891">
        <f t="shared" si="1425"/>
        <v>3803344740.5943408</v>
      </c>
      <c r="FG404" s="1074"/>
      <c r="FH404" s="1072"/>
      <c r="FI404" s="1073"/>
      <c r="FJ404" s="1073"/>
      <c r="FK404" s="891">
        <f>FK33</f>
        <v>3803344740.5943408</v>
      </c>
      <c r="FL404" s="891">
        <f t="shared" ref="FL404:FN404" si="1426">FL33</f>
        <v>0</v>
      </c>
      <c r="FM404" s="891">
        <f t="shared" si="1426"/>
        <v>0</v>
      </c>
      <c r="FN404" s="891">
        <f t="shared" si="1426"/>
        <v>3803344740.5943408</v>
      </c>
      <c r="FO404" s="1074"/>
    </row>
    <row r="405" spans="2:171" x14ac:dyDescent="0.25">
      <c r="B405" s="108"/>
      <c r="C405" s="108" t="s">
        <v>523</v>
      </c>
      <c r="D405" s="1072"/>
      <c r="E405" s="124"/>
      <c r="F405" s="1073"/>
      <c r="G405" s="1634">
        <f>G402+G403+G404</f>
        <v>12681555588.985914</v>
      </c>
      <c r="H405" s="1634">
        <f>H402+H403+H404</f>
        <v>5582371867.6053581</v>
      </c>
      <c r="I405" s="1634">
        <f>I402+I403+I404</f>
        <v>0</v>
      </c>
      <c r="J405" s="1634">
        <f>J402+J403+J404</f>
        <v>7099183721.3805552</v>
      </c>
      <c r="K405" s="1074"/>
      <c r="L405" s="1072"/>
      <c r="M405" s="1073"/>
      <c r="N405" s="1073"/>
      <c r="O405" s="1634">
        <f>O402+O403+O404</f>
        <v>12681555588.985914</v>
      </c>
      <c r="P405" s="1634">
        <f>P402+P403+P404</f>
        <v>5582371867.6053581</v>
      </c>
      <c r="Q405" s="1634">
        <f>Q402+Q403+Q404</f>
        <v>3295838980.7862144</v>
      </c>
      <c r="R405" s="1634">
        <f>R402+R403+R404</f>
        <v>3803344740.5943408</v>
      </c>
      <c r="S405" s="1074"/>
      <c r="T405" s="1072"/>
      <c r="U405" s="1073"/>
      <c r="V405" s="1073"/>
      <c r="W405" s="1634">
        <f>W402+W403+W404</f>
        <v>12681555588.985914</v>
      </c>
      <c r="X405" s="1634">
        <f>X402+X403+X404</f>
        <v>5582371867.6053581</v>
      </c>
      <c r="Y405" s="1634">
        <f>Y402+Y403+Y404</f>
        <v>3295838980.7862144</v>
      </c>
      <c r="Z405" s="1634">
        <f>Z402+Z403+Z404</f>
        <v>3803344740.5943408</v>
      </c>
      <c r="AA405" s="1074"/>
      <c r="AB405" s="1072"/>
      <c r="AC405" s="1073"/>
      <c r="AD405" s="1073"/>
      <c r="AE405" s="1634">
        <f>AE402+AE403+AE404</f>
        <v>12681555588.985914</v>
      </c>
      <c r="AF405" s="1634">
        <f>AF402+AF403+AF404</f>
        <v>5582371867.6053581</v>
      </c>
      <c r="AG405" s="1634">
        <f>AG402+AG403+AG404</f>
        <v>3295838980.7862144</v>
      </c>
      <c r="AH405" s="1634">
        <f>AH402+AH403+AH404</f>
        <v>3803344740.5943408</v>
      </c>
      <c r="AI405" s="1074"/>
      <c r="AJ405" s="1072"/>
      <c r="AK405" s="1073"/>
      <c r="AL405" s="1073"/>
      <c r="AM405" s="1634">
        <f>AM402+AM403+AM404</f>
        <v>12681555588.985914</v>
      </c>
      <c r="AN405" s="1634">
        <f>AN402+AN403+AN404</f>
        <v>5582371867.6053581</v>
      </c>
      <c r="AO405" s="1634">
        <f>AO402+AO403+AO404</f>
        <v>3295838980.7862144</v>
      </c>
      <c r="AP405" s="1634">
        <f>AP402+AP403+AP404</f>
        <v>3803344740.5943408</v>
      </c>
      <c r="AQ405" s="1074"/>
      <c r="AR405" s="1072"/>
      <c r="AS405" s="1073"/>
      <c r="AT405" s="1073"/>
      <c r="AU405" s="1634">
        <f>AU402+AU403+AU404</f>
        <v>12681555588.985914</v>
      </c>
      <c r="AV405" s="1634">
        <f>AV402+AV403+AV404</f>
        <v>5582371867.6053581</v>
      </c>
      <c r="AW405" s="1634">
        <f>AW402+AW403+AW404</f>
        <v>3295838980.7862144</v>
      </c>
      <c r="AX405" s="1634">
        <f>AX402+AX403+AX404</f>
        <v>3803344740.5943408</v>
      </c>
      <c r="AY405" s="1074"/>
      <c r="AZ405" s="1072"/>
      <c r="BA405" s="1073"/>
      <c r="BB405" s="1073"/>
      <c r="BC405" s="1634">
        <f>BC402+BC403+BC404</f>
        <v>12681555588.985914</v>
      </c>
      <c r="BD405" s="1634">
        <f>BD402+BD403+BD404</f>
        <v>5582371867.6053581</v>
      </c>
      <c r="BE405" s="1634">
        <f>BE402+BE403+BE404</f>
        <v>3295838980.7862144</v>
      </c>
      <c r="BF405" s="1634">
        <f>BF402+BF403+BF404</f>
        <v>3803344740.5943408</v>
      </c>
      <c r="BG405" s="1074"/>
      <c r="BH405" s="1072"/>
      <c r="BI405" s="1073"/>
      <c r="BJ405" s="1073"/>
      <c r="BK405" s="1634">
        <f>BK402+BK403+BK404</f>
        <v>12681555588.985914</v>
      </c>
      <c r="BL405" s="1634">
        <f>BL402+BL403+BL404</f>
        <v>5582371867.6053581</v>
      </c>
      <c r="BM405" s="1634">
        <f>BM402+BM403+BM404</f>
        <v>3295838980.7862144</v>
      </c>
      <c r="BN405" s="1634">
        <f>BN402+BN403+BN404</f>
        <v>3803344740.5943408</v>
      </c>
      <c r="BO405" s="1074"/>
      <c r="BP405" s="1072"/>
      <c r="BQ405" s="1073"/>
      <c r="BR405" s="1073"/>
      <c r="BS405" s="1634">
        <f>BS402+BS403+BS404</f>
        <v>12681555588.985914</v>
      </c>
      <c r="BT405" s="1634">
        <f>BT402+BT403+BT404</f>
        <v>5582371867.6053581</v>
      </c>
      <c r="BU405" s="1634">
        <f>BU402+BU403+BU404</f>
        <v>3295838980.7862144</v>
      </c>
      <c r="BV405" s="1634">
        <f>BV402+BV403+BV404</f>
        <v>3803344740.5943408</v>
      </c>
      <c r="BW405" s="1074"/>
      <c r="BX405" s="1072"/>
      <c r="BY405" s="1073"/>
      <c r="BZ405" s="1073"/>
      <c r="CA405" s="1634">
        <f>CA402+CA403+CA404</f>
        <v>12681555588.985914</v>
      </c>
      <c r="CB405" s="1634">
        <f>CB402+CB403+CB404</f>
        <v>5582371867.6053581</v>
      </c>
      <c r="CC405" s="1634">
        <f>CC402+CC403+CC404</f>
        <v>3295838980.7862144</v>
      </c>
      <c r="CD405" s="1634">
        <f>CD402+CD403+CD404</f>
        <v>3803344740.5943408</v>
      </c>
      <c r="CE405" s="1074"/>
      <c r="CF405" s="1072"/>
      <c r="CG405" s="1073"/>
      <c r="CH405" s="1073"/>
      <c r="CI405" s="1634">
        <f>CI402+CI403+CI404</f>
        <v>12681555588.985914</v>
      </c>
      <c r="CJ405" s="1634">
        <f>CJ402+CJ403+CJ404</f>
        <v>5582371867.6053581</v>
      </c>
      <c r="CK405" s="1634">
        <f>CK402+CK403+CK404</f>
        <v>3295838980.7862144</v>
      </c>
      <c r="CL405" s="1634">
        <f>CL402+CL403+CL404</f>
        <v>3803344740.5943408</v>
      </c>
      <c r="CM405" s="1074"/>
      <c r="CN405" s="1072"/>
      <c r="CO405" s="1073"/>
      <c r="CP405" s="1073"/>
      <c r="CQ405" s="1634">
        <f>CQ402+CQ403+CQ404</f>
        <v>12681555588.985914</v>
      </c>
      <c r="CR405" s="1634">
        <f>CR402+CR403+CR404</f>
        <v>5582371867.6053581</v>
      </c>
      <c r="CS405" s="1634">
        <f>CS402+CS403+CS404</f>
        <v>3295838980.7862144</v>
      </c>
      <c r="CT405" s="1634">
        <f>CT402+CT403+CT404</f>
        <v>3803344740.5943408</v>
      </c>
      <c r="CU405" s="1074"/>
      <c r="CV405" s="1072"/>
      <c r="CW405" s="1073"/>
      <c r="CX405" s="1073"/>
      <c r="CY405" s="1634">
        <f>CY402+CY403+CY404</f>
        <v>12681555588.985914</v>
      </c>
      <c r="CZ405" s="1634">
        <f>CZ402+CZ403+CZ404</f>
        <v>5582371867.6053581</v>
      </c>
      <c r="DA405" s="1634">
        <f>DA402+DA403+DA404</f>
        <v>3295838980.7862144</v>
      </c>
      <c r="DB405" s="1634">
        <f>DB402+DB403+DB404</f>
        <v>3803344740.5943408</v>
      </c>
      <c r="DC405" s="1074"/>
      <c r="DD405" s="1072"/>
      <c r="DE405" s="1073"/>
      <c r="DF405" s="1073"/>
      <c r="DG405" s="1634">
        <f>DG402+DG403+DG404</f>
        <v>12681555588.985914</v>
      </c>
      <c r="DH405" s="1634">
        <f>DH402+DH403+DH404</f>
        <v>5582371867.6053581</v>
      </c>
      <c r="DI405" s="1634">
        <f>DI402+DI403+DI404</f>
        <v>3295838980.7862144</v>
      </c>
      <c r="DJ405" s="1634">
        <f>DJ402+DJ403+DJ404</f>
        <v>3803344740.5943408</v>
      </c>
      <c r="DK405" s="1074"/>
      <c r="DL405" s="1072"/>
      <c r="DM405" s="1073"/>
      <c r="DN405" s="1073"/>
      <c r="DO405" s="1634">
        <f>DO402+DO403+DO404</f>
        <v>12681555588.985914</v>
      </c>
      <c r="DP405" s="1634">
        <f>DP402+DP403+DP404</f>
        <v>5582371867.6053581</v>
      </c>
      <c r="DQ405" s="1634">
        <f>DQ402+DQ403+DQ404</f>
        <v>3295838980.7862144</v>
      </c>
      <c r="DR405" s="1634">
        <f>DR402+DR403+DR404</f>
        <v>3803344740.5943408</v>
      </c>
      <c r="DS405" s="1074"/>
      <c r="DT405" s="1072"/>
      <c r="DU405" s="1073"/>
      <c r="DV405" s="1073"/>
      <c r="DW405" s="1634">
        <f>DW402+DW403+DW404</f>
        <v>12681555588.985914</v>
      </c>
      <c r="DX405" s="1634">
        <f>DX402+DX403+DX404</f>
        <v>5582371867.6053581</v>
      </c>
      <c r="DY405" s="1634">
        <f>DY402+DY403+DY404</f>
        <v>3295838980.7862144</v>
      </c>
      <c r="DZ405" s="1634">
        <f>DZ402+DZ403+DZ404</f>
        <v>3803344740.5943408</v>
      </c>
      <c r="EA405" s="1074"/>
      <c r="EB405" s="1072"/>
      <c r="EC405" s="1073"/>
      <c r="ED405" s="1073"/>
      <c r="EE405" s="1634">
        <f>EE402+EE403+EE404</f>
        <v>12681555588.985914</v>
      </c>
      <c r="EF405" s="1634">
        <f>EF402+EF403+EF404</f>
        <v>5582371867.6053581</v>
      </c>
      <c r="EG405" s="1634">
        <f>EG402+EG403+EG404</f>
        <v>3295838980.7862144</v>
      </c>
      <c r="EH405" s="1634">
        <f>EH402+EH403+EH404</f>
        <v>3803344740.5943408</v>
      </c>
      <c r="EI405" s="1074"/>
      <c r="EJ405" s="1072"/>
      <c r="EK405" s="1073"/>
      <c r="EL405" s="1073"/>
      <c r="EM405" s="1634">
        <f>EM402+EM403+EM404</f>
        <v>12681555588.985914</v>
      </c>
      <c r="EN405" s="1634">
        <f>EN402+EN403+EN404</f>
        <v>5582371867.6053581</v>
      </c>
      <c r="EO405" s="1634">
        <f>EO402+EO403+EO404</f>
        <v>3295838980.7862144</v>
      </c>
      <c r="EP405" s="1634">
        <f>EP402+EP403+EP404</f>
        <v>3803344740.5943408</v>
      </c>
      <c r="EQ405" s="1074"/>
      <c r="ER405" s="1072"/>
      <c r="ES405" s="1073"/>
      <c r="ET405" s="1073"/>
      <c r="EU405" s="1634">
        <f>EU402+EU403+EU404</f>
        <v>12681555588.985914</v>
      </c>
      <c r="EV405" s="1634">
        <f>EV402+EV403+EV404</f>
        <v>5582371867.6053581</v>
      </c>
      <c r="EW405" s="1634">
        <f>EW402+EW403+EW404</f>
        <v>3295838980.7862144</v>
      </c>
      <c r="EX405" s="1634">
        <f>EX402+EX403+EX404</f>
        <v>3803344740.5943408</v>
      </c>
      <c r="EY405" s="1074"/>
      <c r="EZ405" s="1072"/>
      <c r="FA405" s="1073"/>
      <c r="FB405" s="1073"/>
      <c r="FC405" s="1634">
        <f>FC402+FC403+FC404</f>
        <v>12681555588.985914</v>
      </c>
      <c r="FD405" s="1634">
        <f>FD402+FD403+FD404</f>
        <v>5582371867.6053581</v>
      </c>
      <c r="FE405" s="1634">
        <f>FE402+FE403+FE404</f>
        <v>3295838980.7862144</v>
      </c>
      <c r="FF405" s="1634">
        <f>FF402+FF403+FF404</f>
        <v>3803344740.5943408</v>
      </c>
      <c r="FG405" s="1074"/>
      <c r="FH405" s="1072"/>
      <c r="FI405" s="1073"/>
      <c r="FJ405" s="1073"/>
      <c r="FK405" s="1634">
        <f>FK402+FK403+FK404</f>
        <v>12681555588.985914</v>
      </c>
      <c r="FL405" s="1634">
        <f>FL402+FL403+FL404</f>
        <v>5582371867.6053581</v>
      </c>
      <c r="FM405" s="1634">
        <f>FM402+FM403+FM404</f>
        <v>3295838980.7862144</v>
      </c>
      <c r="FN405" s="1634">
        <f>FN402+FN403+FN404</f>
        <v>3803344740.5943408</v>
      </c>
      <c r="FO405" s="1074"/>
    </row>
    <row r="406" spans="2:171" x14ac:dyDescent="0.25">
      <c r="B406" s="123"/>
      <c r="C406" s="123" t="s">
        <v>339</v>
      </c>
      <c r="D406" s="1296" t="s">
        <v>635</v>
      </c>
      <c r="E406" s="564"/>
      <c r="F406" s="1077"/>
      <c r="G406" s="1635">
        <f>H406+I406+J406</f>
        <v>0.99999999999999989</v>
      </c>
      <c r="H406" s="1635">
        <f>IF($G405=0,0,H405/G405)</f>
        <v>0.44019614379593275</v>
      </c>
      <c r="I406" s="1635">
        <f>IF($G405=0,0,I405/G405)</f>
        <v>0</v>
      </c>
      <c r="J406" s="1635">
        <f>IF($G405=0,0,J405/G405)</f>
        <v>0.55980385620406714</v>
      </c>
      <c r="K406" s="1079"/>
      <c r="L406" s="1075" t="s">
        <v>635</v>
      </c>
      <c r="M406" s="1076"/>
      <c r="N406" s="1077"/>
      <c r="O406" s="1635">
        <f>P406+Q406+R406</f>
        <v>0.99999999999999989</v>
      </c>
      <c r="P406" s="1635">
        <f>IF($G405=0,0,P405/O405)</f>
        <v>0.44019614379593275</v>
      </c>
      <c r="Q406" s="1635">
        <f>IF($G405=0,0,Q405/O405)</f>
        <v>0.25989232611562973</v>
      </c>
      <c r="R406" s="1635">
        <f>IF($G405=0,0,R405/O405)</f>
        <v>0.29991153008843741</v>
      </c>
      <c r="S406" s="1079"/>
      <c r="T406" s="1075" t="s">
        <v>635</v>
      </c>
      <c r="U406" s="1076"/>
      <c r="V406" s="1077"/>
      <c r="W406" s="1635">
        <f>X406+Y406+Z406</f>
        <v>0.99999999999999989</v>
      </c>
      <c r="X406" s="1635">
        <f>IF($G405=0,0,X405/W405)</f>
        <v>0.44019614379593275</v>
      </c>
      <c r="Y406" s="1635">
        <f>IF($G405=0,0,Y405/W405)</f>
        <v>0.25989232611562973</v>
      </c>
      <c r="Z406" s="1635">
        <f>IF($G405=0,0,Z405/W405)</f>
        <v>0.29991153008843741</v>
      </c>
      <c r="AA406" s="1079"/>
      <c r="AB406" s="1075" t="s">
        <v>635</v>
      </c>
      <c r="AC406" s="1076"/>
      <c r="AD406" s="1077"/>
      <c r="AE406" s="1635">
        <f>AF406+AG406+AH406</f>
        <v>0.99999999999999989</v>
      </c>
      <c r="AF406" s="1635">
        <f>IF($G405=0,0,AF405/AE405)</f>
        <v>0.44019614379593275</v>
      </c>
      <c r="AG406" s="1635">
        <f>IF($G405=0,0,AG405/AE405)</f>
        <v>0.25989232611562973</v>
      </c>
      <c r="AH406" s="1635">
        <f>IF($G405=0,0,AH405/AE405)</f>
        <v>0.29991153008843741</v>
      </c>
      <c r="AI406" s="1079"/>
      <c r="AJ406" s="1075" t="s">
        <v>635</v>
      </c>
      <c r="AK406" s="1076"/>
      <c r="AL406" s="1077"/>
      <c r="AM406" s="1635">
        <f>AN406+AO406+AP406</f>
        <v>0.99999999999999989</v>
      </c>
      <c r="AN406" s="1635">
        <f>IF($G405=0,0,AN405/AM405)</f>
        <v>0.44019614379593275</v>
      </c>
      <c r="AO406" s="1635">
        <f>IF($G405=0,0,AO405/AM405)</f>
        <v>0.25989232611562973</v>
      </c>
      <c r="AP406" s="1635">
        <f>IF($G405=0,0,AP405/AM405)</f>
        <v>0.29991153008843741</v>
      </c>
      <c r="AQ406" s="1079"/>
      <c r="AR406" s="1075" t="s">
        <v>635</v>
      </c>
      <c r="AS406" s="1076"/>
      <c r="AT406" s="1077"/>
      <c r="AU406" s="1635">
        <f>AV406+AW406+AX406</f>
        <v>0.99999999999999989</v>
      </c>
      <c r="AV406" s="1635">
        <f>IF($G405=0,0,AV405/AU405)</f>
        <v>0.44019614379593275</v>
      </c>
      <c r="AW406" s="1635">
        <f>IF($G405=0,0,AW405/AU405)</f>
        <v>0.25989232611562973</v>
      </c>
      <c r="AX406" s="1635">
        <f>IF($G405=0,0,AX405/AU405)</f>
        <v>0.29991153008843741</v>
      </c>
      <c r="AY406" s="1079"/>
      <c r="AZ406" s="1075" t="s">
        <v>635</v>
      </c>
      <c r="BA406" s="1076"/>
      <c r="BB406" s="1077"/>
      <c r="BC406" s="1635">
        <f>BD406+BE406+BF406</f>
        <v>0.99999999999999989</v>
      </c>
      <c r="BD406" s="1635">
        <f>IF($G405=0,0,BD405/BC405)</f>
        <v>0.44019614379593275</v>
      </c>
      <c r="BE406" s="1635">
        <f>IF($G405=0,0,BE405/BC405)</f>
        <v>0.25989232611562973</v>
      </c>
      <c r="BF406" s="1635">
        <f>IF($G405=0,0,BF405/BC405)</f>
        <v>0.29991153008843741</v>
      </c>
      <c r="BG406" s="1079"/>
      <c r="BH406" s="1075" t="s">
        <v>635</v>
      </c>
      <c r="BI406" s="1076"/>
      <c r="BJ406" s="1077"/>
      <c r="BK406" s="1635">
        <f>BL406+BM406+BN406</f>
        <v>0.99999999999999989</v>
      </c>
      <c r="BL406" s="1635">
        <f>IF($G405=0,0,BL405/BK405)</f>
        <v>0.44019614379593275</v>
      </c>
      <c r="BM406" s="1635">
        <f>IF($G405=0,0,BM405/BK405)</f>
        <v>0.25989232611562973</v>
      </c>
      <c r="BN406" s="1635">
        <f>IF($G405=0,0,BN405/BK405)</f>
        <v>0.29991153008843741</v>
      </c>
      <c r="BO406" s="1079"/>
      <c r="BP406" s="1075" t="s">
        <v>635</v>
      </c>
      <c r="BQ406" s="1076"/>
      <c r="BR406" s="1077"/>
      <c r="BS406" s="1635">
        <f>BT406+BU406+BV406</f>
        <v>0.99999999999999989</v>
      </c>
      <c r="BT406" s="1635">
        <f>IF($G405=0,0,BT405/BS405)</f>
        <v>0.44019614379593275</v>
      </c>
      <c r="BU406" s="1635">
        <f>IF($G405=0,0,BU405/BS405)</f>
        <v>0.25989232611562973</v>
      </c>
      <c r="BV406" s="1635">
        <f>IF($G405=0,0,BV405/BS405)</f>
        <v>0.29991153008843741</v>
      </c>
      <c r="BW406" s="1079"/>
      <c r="BX406" s="1075" t="s">
        <v>635</v>
      </c>
      <c r="BY406" s="1076"/>
      <c r="BZ406" s="1077"/>
      <c r="CA406" s="1635">
        <f>CB406+CC406+CD406</f>
        <v>0.99999999999999989</v>
      </c>
      <c r="CB406" s="1635">
        <f>IF($G405=0,0,CB405/CA405)</f>
        <v>0.44019614379593275</v>
      </c>
      <c r="CC406" s="1635">
        <f>IF($G405=0,0,CC405/CA405)</f>
        <v>0.25989232611562973</v>
      </c>
      <c r="CD406" s="1635">
        <f>IF($G405=0,0,CD405/CA405)</f>
        <v>0.29991153008843741</v>
      </c>
      <c r="CE406" s="1079"/>
      <c r="CF406" s="1075" t="s">
        <v>635</v>
      </c>
      <c r="CG406" s="1076"/>
      <c r="CH406" s="1077"/>
      <c r="CI406" s="1635">
        <f>CJ406+CK406+CL406</f>
        <v>0.99999999999999989</v>
      </c>
      <c r="CJ406" s="1635">
        <f>IF($G405=0,0,CJ405/CI405)</f>
        <v>0.44019614379593275</v>
      </c>
      <c r="CK406" s="1635">
        <f>IF($G405=0,0,CK405/CI405)</f>
        <v>0.25989232611562973</v>
      </c>
      <c r="CL406" s="1635">
        <f>IF($G405=0,0,CL405/CI405)</f>
        <v>0.29991153008843741</v>
      </c>
      <c r="CM406" s="1079"/>
      <c r="CN406" s="1075" t="s">
        <v>635</v>
      </c>
      <c r="CO406" s="1076"/>
      <c r="CP406" s="1077"/>
      <c r="CQ406" s="1635">
        <f>CR406+CS406+CT406</f>
        <v>0.99999999999999989</v>
      </c>
      <c r="CR406" s="1635">
        <f>IF($G405=0,0,CR405/CQ405)</f>
        <v>0.44019614379593275</v>
      </c>
      <c r="CS406" s="1635">
        <f>IF($G405=0,0,CS405/CQ405)</f>
        <v>0.25989232611562973</v>
      </c>
      <c r="CT406" s="1635">
        <f>IF($G405=0,0,CT405/CQ405)</f>
        <v>0.29991153008843741</v>
      </c>
      <c r="CU406" s="1079"/>
      <c r="CV406" s="1075" t="s">
        <v>635</v>
      </c>
      <c r="CW406" s="1076"/>
      <c r="CX406" s="1077"/>
      <c r="CY406" s="1635">
        <f>CZ406+DA406+DB406</f>
        <v>0.99999999999999989</v>
      </c>
      <c r="CZ406" s="1635">
        <f>IF($G405=0,0,CZ405/CY405)</f>
        <v>0.44019614379593275</v>
      </c>
      <c r="DA406" s="1635">
        <f>IF($G405=0,0,DA405/CY405)</f>
        <v>0.25989232611562973</v>
      </c>
      <c r="DB406" s="1635">
        <f>IF($G405=0,0,DB405/CY405)</f>
        <v>0.29991153008843741</v>
      </c>
      <c r="DC406" s="1079"/>
      <c r="DD406" s="1075" t="s">
        <v>635</v>
      </c>
      <c r="DE406" s="1076"/>
      <c r="DF406" s="1077"/>
      <c r="DG406" s="1635">
        <f>DH406+DI406+DJ406</f>
        <v>0.99999999999999989</v>
      </c>
      <c r="DH406" s="1635">
        <f>IF($G405=0,0,DH405/DG405)</f>
        <v>0.44019614379593275</v>
      </c>
      <c r="DI406" s="1635">
        <f>IF($G405=0,0,DI405/DG405)</f>
        <v>0.25989232611562973</v>
      </c>
      <c r="DJ406" s="1635">
        <f>IF($G405=0,0,DJ405/DG405)</f>
        <v>0.29991153008843741</v>
      </c>
      <c r="DK406" s="1079"/>
      <c r="DL406" s="1075" t="s">
        <v>635</v>
      </c>
      <c r="DM406" s="1076"/>
      <c r="DN406" s="1077"/>
      <c r="DO406" s="1635">
        <f>DP406+DQ406+DR406</f>
        <v>0.99999999999999989</v>
      </c>
      <c r="DP406" s="1635">
        <f>IF($G405=0,0,DP405/DO405)</f>
        <v>0.44019614379593275</v>
      </c>
      <c r="DQ406" s="1635">
        <f>IF($G405=0,0,DQ405/DO405)</f>
        <v>0.25989232611562973</v>
      </c>
      <c r="DR406" s="1635">
        <f>IF($G405=0,0,DR405/DO405)</f>
        <v>0.29991153008843741</v>
      </c>
      <c r="DS406" s="1079"/>
      <c r="DT406" s="1075" t="s">
        <v>635</v>
      </c>
      <c r="DU406" s="1076"/>
      <c r="DV406" s="1077"/>
      <c r="DW406" s="1635">
        <f>DX406+DY406+DZ406</f>
        <v>0.99999999999999989</v>
      </c>
      <c r="DX406" s="1635">
        <f>IF($G405=0,0,DX405/DW405)</f>
        <v>0.44019614379593275</v>
      </c>
      <c r="DY406" s="1635">
        <f>IF($G405=0,0,DY405/DW405)</f>
        <v>0.25989232611562973</v>
      </c>
      <c r="DZ406" s="1635">
        <f>IF($G405=0,0,DZ405/DW405)</f>
        <v>0.29991153008843741</v>
      </c>
      <c r="EA406" s="1079"/>
      <c r="EB406" s="1075" t="s">
        <v>635</v>
      </c>
      <c r="EC406" s="1076"/>
      <c r="ED406" s="1077"/>
      <c r="EE406" s="1635">
        <f>EF406+EG406+EH406</f>
        <v>0.99999999999999989</v>
      </c>
      <c r="EF406" s="1635">
        <f>IF($G405=0,0,EF405/EE405)</f>
        <v>0.44019614379593275</v>
      </c>
      <c r="EG406" s="1635">
        <f>IF($G405=0,0,EG405/EE405)</f>
        <v>0.25989232611562973</v>
      </c>
      <c r="EH406" s="1635">
        <f>IF($G405=0,0,EH405/EE405)</f>
        <v>0.29991153008843741</v>
      </c>
      <c r="EI406" s="1079"/>
      <c r="EJ406" s="1075" t="s">
        <v>635</v>
      </c>
      <c r="EK406" s="1076"/>
      <c r="EL406" s="1077"/>
      <c r="EM406" s="1635">
        <f>EN406+EO406+EP406</f>
        <v>0.99999999999999989</v>
      </c>
      <c r="EN406" s="1635">
        <f>IF($G405=0,0,EN405/EM405)</f>
        <v>0.44019614379593275</v>
      </c>
      <c r="EO406" s="1635">
        <f>IF($G405=0,0,EO405/EM405)</f>
        <v>0.25989232611562973</v>
      </c>
      <c r="EP406" s="1635">
        <f>IF($G405=0,0,EP405/EM405)</f>
        <v>0.29991153008843741</v>
      </c>
      <c r="EQ406" s="1079"/>
      <c r="ER406" s="1075" t="s">
        <v>635</v>
      </c>
      <c r="ES406" s="1076"/>
      <c r="ET406" s="1077"/>
      <c r="EU406" s="1635">
        <f>EV406+EW406+EX406</f>
        <v>0.99999999999999989</v>
      </c>
      <c r="EV406" s="1635">
        <f>IF($G405=0,0,EV405/EU405)</f>
        <v>0.44019614379593275</v>
      </c>
      <c r="EW406" s="1635">
        <f>IF($G405=0,0,EW405/EU405)</f>
        <v>0.25989232611562973</v>
      </c>
      <c r="EX406" s="1635">
        <f>IF($G405=0,0,EX405/EU405)</f>
        <v>0.29991153008843741</v>
      </c>
      <c r="EY406" s="1079"/>
      <c r="EZ406" s="1075" t="s">
        <v>635</v>
      </c>
      <c r="FA406" s="1076"/>
      <c r="FB406" s="1077"/>
      <c r="FC406" s="1635">
        <f>FD406+FE406+FF406</f>
        <v>0.99999999999999989</v>
      </c>
      <c r="FD406" s="1635">
        <f>IF($G405=0,0,FD405/FC405)</f>
        <v>0.44019614379593275</v>
      </c>
      <c r="FE406" s="1635">
        <f>IF($G405=0,0,FE405/FC405)</f>
        <v>0.25989232611562973</v>
      </c>
      <c r="FF406" s="1635">
        <f>IF($G405=0,0,FF405/FC405)</f>
        <v>0.29991153008843741</v>
      </c>
      <c r="FG406" s="1079"/>
      <c r="FH406" s="1075" t="s">
        <v>635</v>
      </c>
      <c r="FI406" s="1076"/>
      <c r="FJ406" s="1077"/>
      <c r="FK406" s="1635">
        <f>FL406+FM406+FN406</f>
        <v>0.99999999999999989</v>
      </c>
      <c r="FL406" s="1635">
        <f>IF($G405=0,0,FL405/FK405)</f>
        <v>0.44019614379593275</v>
      </c>
      <c r="FM406" s="1635">
        <f>IF($G405=0,0,FM405/FK405)</f>
        <v>0.25989232611562973</v>
      </c>
      <c r="FN406" s="1635">
        <f>IF($G405=0,0,FN405/FK405)</f>
        <v>0.29991153008843741</v>
      </c>
      <c r="FO406" s="1079"/>
    </row>
    <row r="407" spans="2:171" x14ac:dyDescent="0.25">
      <c r="K407" s="1074"/>
      <c r="S407" s="1079"/>
      <c r="AA407" s="1079"/>
      <c r="AI407" s="1079"/>
      <c r="AQ407" s="1079"/>
      <c r="AY407" s="1079"/>
      <c r="BG407" s="1079"/>
      <c r="BO407" s="1079"/>
      <c r="BW407" s="1079"/>
      <c r="CE407" s="1079"/>
      <c r="CM407" s="1079"/>
      <c r="CU407" s="1079"/>
      <c r="DC407" s="1079"/>
      <c r="DK407" s="1079"/>
      <c r="DS407" s="1079"/>
      <c r="EA407" s="1079"/>
      <c r="EI407" s="1079"/>
      <c r="EQ407" s="1079"/>
      <c r="EY407" s="1079"/>
      <c r="FG407" s="1079"/>
      <c r="FO407" s="1079"/>
    </row>
    <row r="408" spans="2:171" x14ac:dyDescent="0.25">
      <c r="E408" s="302" t="s">
        <v>521</v>
      </c>
      <c r="G408" s="303" t="s">
        <v>104</v>
      </c>
      <c r="H408" s="303" t="s">
        <v>105</v>
      </c>
      <c r="I408" s="303" t="s">
        <v>106</v>
      </c>
      <c r="J408" s="304" t="s">
        <v>512</v>
      </c>
      <c r="K408" s="1074"/>
      <c r="O408" s="303" t="s">
        <v>104</v>
      </c>
      <c r="P408" s="303" t="s">
        <v>105</v>
      </c>
      <c r="Q408" s="303" t="s">
        <v>106</v>
      </c>
      <c r="R408" s="304" t="s">
        <v>512</v>
      </c>
      <c r="S408" s="1079"/>
      <c r="W408" s="303" t="s">
        <v>104</v>
      </c>
      <c r="X408" s="303" t="s">
        <v>105</v>
      </c>
      <c r="Y408" s="303" t="s">
        <v>106</v>
      </c>
      <c r="Z408" s="304" t="s">
        <v>512</v>
      </c>
      <c r="AA408" s="1079"/>
      <c r="AE408" s="303" t="s">
        <v>104</v>
      </c>
      <c r="AF408" s="303" t="s">
        <v>105</v>
      </c>
      <c r="AG408" s="303" t="s">
        <v>106</v>
      </c>
      <c r="AH408" s="304" t="s">
        <v>512</v>
      </c>
      <c r="AI408" s="1079"/>
      <c r="AM408" s="303" t="s">
        <v>104</v>
      </c>
      <c r="AN408" s="303" t="s">
        <v>105</v>
      </c>
      <c r="AO408" s="303" t="s">
        <v>106</v>
      </c>
      <c r="AP408" s="304" t="s">
        <v>512</v>
      </c>
      <c r="AQ408" s="1079"/>
      <c r="AU408" s="303" t="s">
        <v>104</v>
      </c>
      <c r="AV408" s="303" t="s">
        <v>105</v>
      </c>
      <c r="AW408" s="303" t="s">
        <v>106</v>
      </c>
      <c r="AX408" s="304" t="s">
        <v>512</v>
      </c>
      <c r="AY408" s="1079"/>
      <c r="BC408" s="303" t="s">
        <v>104</v>
      </c>
      <c r="BD408" s="303" t="s">
        <v>105</v>
      </c>
      <c r="BE408" s="303" t="s">
        <v>106</v>
      </c>
      <c r="BF408" s="304" t="s">
        <v>512</v>
      </c>
      <c r="BG408" s="1079"/>
      <c r="BK408" s="303" t="s">
        <v>104</v>
      </c>
      <c r="BL408" s="303" t="s">
        <v>105</v>
      </c>
      <c r="BM408" s="303" t="s">
        <v>106</v>
      </c>
      <c r="BN408" s="304" t="s">
        <v>512</v>
      </c>
      <c r="BO408" s="1079"/>
      <c r="BS408" s="303" t="s">
        <v>104</v>
      </c>
      <c r="BT408" s="303" t="s">
        <v>105</v>
      </c>
      <c r="BU408" s="303" t="s">
        <v>106</v>
      </c>
      <c r="BV408" s="304" t="s">
        <v>512</v>
      </c>
      <c r="BW408" s="1079"/>
      <c r="CA408" s="303" t="s">
        <v>104</v>
      </c>
      <c r="CB408" s="303" t="s">
        <v>105</v>
      </c>
      <c r="CC408" s="303" t="s">
        <v>106</v>
      </c>
      <c r="CD408" s="304" t="s">
        <v>512</v>
      </c>
      <c r="CE408" s="1079"/>
      <c r="CI408" s="303" t="s">
        <v>104</v>
      </c>
      <c r="CJ408" s="303" t="s">
        <v>105</v>
      </c>
      <c r="CK408" s="303" t="s">
        <v>106</v>
      </c>
      <c r="CL408" s="304" t="s">
        <v>512</v>
      </c>
      <c r="CM408" s="1079"/>
      <c r="CQ408" s="303" t="s">
        <v>104</v>
      </c>
      <c r="CR408" s="303" t="s">
        <v>105</v>
      </c>
      <c r="CS408" s="303" t="s">
        <v>106</v>
      </c>
      <c r="CT408" s="304" t="s">
        <v>512</v>
      </c>
      <c r="CU408" s="1079"/>
      <c r="CY408" s="303" t="s">
        <v>104</v>
      </c>
      <c r="CZ408" s="303" t="s">
        <v>105</v>
      </c>
      <c r="DA408" s="303" t="s">
        <v>106</v>
      </c>
      <c r="DB408" s="304" t="s">
        <v>512</v>
      </c>
      <c r="DC408" s="1079"/>
      <c r="DG408" s="303" t="s">
        <v>104</v>
      </c>
      <c r="DH408" s="303" t="s">
        <v>105</v>
      </c>
      <c r="DI408" s="303" t="s">
        <v>106</v>
      </c>
      <c r="DJ408" s="304" t="s">
        <v>512</v>
      </c>
      <c r="DK408" s="1079"/>
      <c r="DO408" s="303" t="s">
        <v>104</v>
      </c>
      <c r="DP408" s="303" t="s">
        <v>105</v>
      </c>
      <c r="DQ408" s="303" t="s">
        <v>106</v>
      </c>
      <c r="DR408" s="304" t="s">
        <v>512</v>
      </c>
      <c r="DS408" s="1079"/>
      <c r="DW408" s="303" t="s">
        <v>104</v>
      </c>
      <c r="DX408" s="303" t="s">
        <v>105</v>
      </c>
      <c r="DY408" s="303" t="s">
        <v>106</v>
      </c>
      <c r="DZ408" s="304" t="s">
        <v>512</v>
      </c>
      <c r="EA408" s="1079"/>
      <c r="EE408" s="303" t="s">
        <v>104</v>
      </c>
      <c r="EF408" s="303" t="s">
        <v>105</v>
      </c>
      <c r="EG408" s="303" t="s">
        <v>106</v>
      </c>
      <c r="EH408" s="304" t="s">
        <v>512</v>
      </c>
      <c r="EI408" s="1079"/>
      <c r="EM408" s="303" t="s">
        <v>104</v>
      </c>
      <c r="EN408" s="303" t="s">
        <v>105</v>
      </c>
      <c r="EO408" s="303" t="s">
        <v>106</v>
      </c>
      <c r="EP408" s="304" t="s">
        <v>512</v>
      </c>
      <c r="EQ408" s="1079"/>
      <c r="EU408" s="303" t="s">
        <v>104</v>
      </c>
      <c r="EV408" s="303" t="s">
        <v>105</v>
      </c>
      <c r="EW408" s="303" t="s">
        <v>106</v>
      </c>
      <c r="EX408" s="304" t="s">
        <v>512</v>
      </c>
      <c r="EY408" s="1079"/>
      <c r="FC408" s="303" t="s">
        <v>104</v>
      </c>
      <c r="FD408" s="303" t="s">
        <v>105</v>
      </c>
      <c r="FE408" s="303" t="s">
        <v>106</v>
      </c>
      <c r="FF408" s="304" t="s">
        <v>512</v>
      </c>
      <c r="FG408" s="1079"/>
      <c r="FK408" s="303" t="s">
        <v>104</v>
      </c>
      <c r="FL408" s="303" t="s">
        <v>105</v>
      </c>
      <c r="FM408" s="303" t="s">
        <v>106</v>
      </c>
      <c r="FN408" s="304" t="s">
        <v>512</v>
      </c>
      <c r="FO408" s="1079"/>
    </row>
    <row r="409" spans="2:171" x14ac:dyDescent="0.25">
      <c r="B409" s="108"/>
      <c r="C409" s="108" t="s">
        <v>527</v>
      </c>
      <c r="D409" s="1072"/>
      <c r="E409" s="905"/>
      <c r="G409" s="891">
        <f>G405</f>
        <v>12681555588.985914</v>
      </c>
      <c r="H409" s="891">
        <f t="shared" ref="H409:J409" si="1427">H405</f>
        <v>5582371867.6053581</v>
      </c>
      <c r="I409" s="891">
        <f t="shared" si="1427"/>
        <v>0</v>
      </c>
      <c r="J409" s="891">
        <f t="shared" si="1427"/>
        <v>7099183721.3805552</v>
      </c>
      <c r="K409" s="1079"/>
      <c r="L409" s="1072"/>
      <c r="M409" s="1073"/>
      <c r="N409" s="1073"/>
      <c r="O409" s="891">
        <f>O405</f>
        <v>12681555588.985914</v>
      </c>
      <c r="P409" s="891">
        <f t="shared" ref="P409:R409" si="1428">P405</f>
        <v>5582371867.6053581</v>
      </c>
      <c r="Q409" s="891">
        <f t="shared" si="1428"/>
        <v>3295838980.7862144</v>
      </c>
      <c r="R409" s="891">
        <f t="shared" si="1428"/>
        <v>3803344740.5943408</v>
      </c>
      <c r="S409" s="1079"/>
      <c r="T409" s="1072"/>
      <c r="U409" s="1073"/>
      <c r="V409" s="1073"/>
      <c r="W409" s="891">
        <f>W405</f>
        <v>12681555588.985914</v>
      </c>
      <c r="X409" s="891">
        <f t="shared" ref="X409:Z409" si="1429">X405</f>
        <v>5582371867.6053581</v>
      </c>
      <c r="Y409" s="891">
        <f t="shared" si="1429"/>
        <v>3295838980.7862144</v>
      </c>
      <c r="Z409" s="891">
        <f t="shared" si="1429"/>
        <v>3803344740.5943408</v>
      </c>
      <c r="AA409" s="1079"/>
      <c r="AB409" s="1072"/>
      <c r="AC409" s="1073"/>
      <c r="AD409" s="1073"/>
      <c r="AE409" s="891">
        <f>AE405</f>
        <v>12681555588.985914</v>
      </c>
      <c r="AF409" s="891">
        <f t="shared" ref="AF409:AH409" si="1430">AF405</f>
        <v>5582371867.6053581</v>
      </c>
      <c r="AG409" s="891">
        <f t="shared" si="1430"/>
        <v>3295838980.7862144</v>
      </c>
      <c r="AH409" s="891">
        <f t="shared" si="1430"/>
        <v>3803344740.5943408</v>
      </c>
      <c r="AI409" s="1079"/>
      <c r="AJ409" s="1072"/>
      <c r="AK409" s="1073"/>
      <c r="AL409" s="1073"/>
      <c r="AM409" s="891">
        <f>AM405</f>
        <v>12681555588.985914</v>
      </c>
      <c r="AN409" s="891">
        <f t="shared" ref="AN409:AP409" si="1431">AN405</f>
        <v>5582371867.6053581</v>
      </c>
      <c r="AO409" s="891">
        <f t="shared" si="1431"/>
        <v>3295838980.7862144</v>
      </c>
      <c r="AP409" s="891">
        <f t="shared" si="1431"/>
        <v>3803344740.5943408</v>
      </c>
      <c r="AQ409" s="1079"/>
      <c r="AR409" s="1072"/>
      <c r="AS409" s="1073"/>
      <c r="AT409" s="1073"/>
      <c r="AU409" s="891">
        <f>AU405</f>
        <v>12681555588.985914</v>
      </c>
      <c r="AV409" s="891">
        <f t="shared" ref="AV409:AX409" si="1432">AV405</f>
        <v>5582371867.6053581</v>
      </c>
      <c r="AW409" s="891">
        <f t="shared" si="1432"/>
        <v>3295838980.7862144</v>
      </c>
      <c r="AX409" s="891">
        <f t="shared" si="1432"/>
        <v>3803344740.5943408</v>
      </c>
      <c r="AY409" s="1079"/>
      <c r="AZ409" s="1072"/>
      <c r="BA409" s="1073"/>
      <c r="BB409" s="1073"/>
      <c r="BC409" s="891">
        <f>BC405</f>
        <v>12681555588.985914</v>
      </c>
      <c r="BD409" s="891">
        <f t="shared" ref="BD409:BF409" si="1433">BD405</f>
        <v>5582371867.6053581</v>
      </c>
      <c r="BE409" s="891">
        <f t="shared" si="1433"/>
        <v>3295838980.7862144</v>
      </c>
      <c r="BF409" s="891">
        <f t="shared" si="1433"/>
        <v>3803344740.5943408</v>
      </c>
      <c r="BG409" s="1079"/>
      <c r="BH409" s="1072"/>
      <c r="BI409" s="1073"/>
      <c r="BJ409" s="1073"/>
      <c r="BK409" s="891">
        <f>BK405</f>
        <v>12681555588.985914</v>
      </c>
      <c r="BL409" s="891">
        <f t="shared" ref="BL409:BN409" si="1434">BL405</f>
        <v>5582371867.6053581</v>
      </c>
      <c r="BM409" s="891">
        <f t="shared" si="1434"/>
        <v>3295838980.7862144</v>
      </c>
      <c r="BN409" s="891">
        <f t="shared" si="1434"/>
        <v>3803344740.5943408</v>
      </c>
      <c r="BO409" s="1079"/>
      <c r="BP409" s="1072"/>
      <c r="BQ409" s="1073"/>
      <c r="BR409" s="1073"/>
      <c r="BS409" s="891">
        <f>BS405</f>
        <v>12681555588.985914</v>
      </c>
      <c r="BT409" s="891">
        <f t="shared" ref="BT409:BV409" si="1435">BT405</f>
        <v>5582371867.6053581</v>
      </c>
      <c r="BU409" s="891">
        <f t="shared" si="1435"/>
        <v>3295838980.7862144</v>
      </c>
      <c r="BV409" s="891">
        <f t="shared" si="1435"/>
        <v>3803344740.5943408</v>
      </c>
      <c r="BW409" s="1079"/>
      <c r="BX409" s="1072"/>
      <c r="BY409" s="1073"/>
      <c r="BZ409" s="1073"/>
      <c r="CA409" s="891">
        <f>CA405</f>
        <v>12681555588.985914</v>
      </c>
      <c r="CB409" s="891">
        <f t="shared" ref="CB409:CD409" si="1436">CB405</f>
        <v>5582371867.6053581</v>
      </c>
      <c r="CC409" s="891">
        <f t="shared" si="1436"/>
        <v>3295838980.7862144</v>
      </c>
      <c r="CD409" s="891">
        <f t="shared" si="1436"/>
        <v>3803344740.5943408</v>
      </c>
      <c r="CE409" s="1079"/>
      <c r="CF409" s="1072"/>
      <c r="CG409" s="1073"/>
      <c r="CH409" s="1073"/>
      <c r="CI409" s="891">
        <f>CI405</f>
        <v>12681555588.985914</v>
      </c>
      <c r="CJ409" s="891">
        <f t="shared" ref="CJ409:CL409" si="1437">CJ405</f>
        <v>5582371867.6053581</v>
      </c>
      <c r="CK409" s="891">
        <f t="shared" si="1437"/>
        <v>3295838980.7862144</v>
      </c>
      <c r="CL409" s="891">
        <f t="shared" si="1437"/>
        <v>3803344740.5943408</v>
      </c>
      <c r="CM409" s="1079"/>
      <c r="CN409" s="1072"/>
      <c r="CO409" s="1073"/>
      <c r="CP409" s="1073"/>
      <c r="CQ409" s="891">
        <f>CQ405</f>
        <v>12681555588.985914</v>
      </c>
      <c r="CR409" s="891">
        <f t="shared" ref="CR409:CT409" si="1438">CR405</f>
        <v>5582371867.6053581</v>
      </c>
      <c r="CS409" s="891">
        <f t="shared" si="1438"/>
        <v>3295838980.7862144</v>
      </c>
      <c r="CT409" s="891">
        <f t="shared" si="1438"/>
        <v>3803344740.5943408</v>
      </c>
      <c r="CU409" s="1079"/>
      <c r="CV409" s="1072"/>
      <c r="CW409" s="1073"/>
      <c r="CX409" s="1073"/>
      <c r="CY409" s="891">
        <f>CY405</f>
        <v>12681555588.985914</v>
      </c>
      <c r="CZ409" s="891">
        <f t="shared" ref="CZ409:DB409" si="1439">CZ405</f>
        <v>5582371867.6053581</v>
      </c>
      <c r="DA409" s="891">
        <f t="shared" si="1439"/>
        <v>3295838980.7862144</v>
      </c>
      <c r="DB409" s="891">
        <f t="shared" si="1439"/>
        <v>3803344740.5943408</v>
      </c>
      <c r="DC409" s="1079"/>
      <c r="DD409" s="1072"/>
      <c r="DE409" s="1073"/>
      <c r="DF409" s="1073"/>
      <c r="DG409" s="891">
        <f>DG405</f>
        <v>12681555588.985914</v>
      </c>
      <c r="DH409" s="891">
        <f t="shared" ref="DH409:DJ409" si="1440">DH405</f>
        <v>5582371867.6053581</v>
      </c>
      <c r="DI409" s="891">
        <f t="shared" si="1440"/>
        <v>3295838980.7862144</v>
      </c>
      <c r="DJ409" s="891">
        <f t="shared" si="1440"/>
        <v>3803344740.5943408</v>
      </c>
      <c r="DK409" s="1079"/>
      <c r="DL409" s="1072"/>
      <c r="DM409" s="1073"/>
      <c r="DN409" s="1073"/>
      <c r="DO409" s="891">
        <f>DO405</f>
        <v>12681555588.985914</v>
      </c>
      <c r="DP409" s="891">
        <f t="shared" ref="DP409:DR409" si="1441">DP405</f>
        <v>5582371867.6053581</v>
      </c>
      <c r="DQ409" s="891">
        <f t="shared" si="1441"/>
        <v>3295838980.7862144</v>
      </c>
      <c r="DR409" s="891">
        <f t="shared" si="1441"/>
        <v>3803344740.5943408</v>
      </c>
      <c r="DS409" s="1079"/>
      <c r="DT409" s="1072"/>
      <c r="DU409" s="1073"/>
      <c r="DV409" s="1073"/>
      <c r="DW409" s="891">
        <f>DW405</f>
        <v>12681555588.985914</v>
      </c>
      <c r="DX409" s="891">
        <f t="shared" ref="DX409:DZ409" si="1442">DX405</f>
        <v>5582371867.6053581</v>
      </c>
      <c r="DY409" s="891">
        <f t="shared" si="1442"/>
        <v>3295838980.7862144</v>
      </c>
      <c r="DZ409" s="891">
        <f t="shared" si="1442"/>
        <v>3803344740.5943408</v>
      </c>
      <c r="EA409" s="1079"/>
      <c r="EB409" s="1072"/>
      <c r="EC409" s="1073"/>
      <c r="ED409" s="1073"/>
      <c r="EE409" s="891">
        <f>EE405</f>
        <v>12681555588.985914</v>
      </c>
      <c r="EF409" s="891">
        <f t="shared" ref="EF409:EH409" si="1443">EF405</f>
        <v>5582371867.6053581</v>
      </c>
      <c r="EG409" s="891">
        <f t="shared" si="1443"/>
        <v>3295838980.7862144</v>
      </c>
      <c r="EH409" s="891">
        <f t="shared" si="1443"/>
        <v>3803344740.5943408</v>
      </c>
      <c r="EI409" s="1079"/>
      <c r="EJ409" s="1072"/>
      <c r="EK409" s="1073"/>
      <c r="EL409" s="1073"/>
      <c r="EM409" s="891">
        <f>EM405</f>
        <v>12681555588.985914</v>
      </c>
      <c r="EN409" s="891">
        <f t="shared" ref="EN409:EP409" si="1444">EN405</f>
        <v>5582371867.6053581</v>
      </c>
      <c r="EO409" s="891">
        <f t="shared" si="1444"/>
        <v>3295838980.7862144</v>
      </c>
      <c r="EP409" s="891">
        <f t="shared" si="1444"/>
        <v>3803344740.5943408</v>
      </c>
      <c r="EQ409" s="1079"/>
      <c r="ER409" s="1072"/>
      <c r="ES409" s="1073"/>
      <c r="ET409" s="1073"/>
      <c r="EU409" s="891">
        <f>EU405</f>
        <v>12681555588.985914</v>
      </c>
      <c r="EV409" s="891">
        <f t="shared" ref="EV409:EX409" si="1445">EV405</f>
        <v>5582371867.6053581</v>
      </c>
      <c r="EW409" s="891">
        <f t="shared" si="1445"/>
        <v>3295838980.7862144</v>
      </c>
      <c r="EX409" s="891">
        <f t="shared" si="1445"/>
        <v>3803344740.5943408</v>
      </c>
      <c r="EY409" s="1079"/>
      <c r="EZ409" s="1072"/>
      <c r="FA409" s="1073"/>
      <c r="FB409" s="1073"/>
      <c r="FC409" s="891">
        <f>FC405</f>
        <v>12681555588.985914</v>
      </c>
      <c r="FD409" s="891">
        <f t="shared" ref="FD409:FF409" si="1446">FD405</f>
        <v>5582371867.6053581</v>
      </c>
      <c r="FE409" s="891">
        <f t="shared" si="1446"/>
        <v>3295838980.7862144</v>
      </c>
      <c r="FF409" s="891">
        <f t="shared" si="1446"/>
        <v>3803344740.5943408</v>
      </c>
      <c r="FG409" s="1079"/>
      <c r="FH409" s="1072"/>
      <c r="FI409" s="1073"/>
      <c r="FJ409" s="1073"/>
      <c r="FK409" s="891">
        <f>FK405</f>
        <v>12681555588.985914</v>
      </c>
      <c r="FL409" s="891">
        <f t="shared" ref="FL409:FN409" si="1447">FL405</f>
        <v>5582371867.6053581</v>
      </c>
      <c r="FM409" s="891">
        <f t="shared" si="1447"/>
        <v>3295838980.7862144</v>
      </c>
      <c r="FN409" s="891">
        <f t="shared" si="1447"/>
        <v>3803344740.5943408</v>
      </c>
      <c r="FO409" s="1079"/>
    </row>
    <row r="410" spans="2:171" x14ac:dyDescent="0.25">
      <c r="B410" s="108"/>
      <c r="C410" s="108" t="s">
        <v>528</v>
      </c>
      <c r="D410" s="1072"/>
      <c r="E410" s="905" t="str">
        <f>E16</f>
        <v>DIST</v>
      </c>
      <c r="G410" s="891">
        <f t="shared" ref="G410:G412" si="1448">G16</f>
        <v>0</v>
      </c>
      <c r="H410" s="891">
        <f t="shared" ref="H410:J410" si="1449">H16</f>
        <v>0</v>
      </c>
      <c r="I410" s="891">
        <f t="shared" si="1449"/>
        <v>0</v>
      </c>
      <c r="J410" s="891">
        <f t="shared" si="1449"/>
        <v>0</v>
      </c>
      <c r="K410" s="1074"/>
      <c r="L410" s="1072"/>
      <c r="M410" s="1073"/>
      <c r="N410" s="1073"/>
      <c r="O410" s="891">
        <f t="shared" ref="O410:R410" si="1450">O16</f>
        <v>0</v>
      </c>
      <c r="P410" s="891">
        <f t="shared" si="1450"/>
        <v>0</v>
      </c>
      <c r="Q410" s="891">
        <f t="shared" si="1450"/>
        <v>0</v>
      </c>
      <c r="R410" s="891">
        <f t="shared" si="1450"/>
        <v>0</v>
      </c>
      <c r="S410" s="1074"/>
      <c r="T410" s="1072"/>
      <c r="U410" s="1073"/>
      <c r="V410" s="1073"/>
      <c r="W410" s="891">
        <f t="shared" ref="W410:Z410" si="1451">W16</f>
        <v>0</v>
      </c>
      <c r="X410" s="891">
        <f t="shared" si="1451"/>
        <v>0</v>
      </c>
      <c r="Y410" s="891">
        <f t="shared" si="1451"/>
        <v>0</v>
      </c>
      <c r="Z410" s="891">
        <f t="shared" si="1451"/>
        <v>0</v>
      </c>
      <c r="AA410" s="1074"/>
      <c r="AB410" s="1072"/>
      <c r="AC410" s="1073"/>
      <c r="AD410" s="1073"/>
      <c r="AE410" s="891">
        <f t="shared" ref="AE410:AH410" si="1452">AE16</f>
        <v>0</v>
      </c>
      <c r="AF410" s="891">
        <f t="shared" si="1452"/>
        <v>0</v>
      </c>
      <c r="AG410" s="891">
        <f t="shared" si="1452"/>
        <v>0</v>
      </c>
      <c r="AH410" s="891">
        <f t="shared" si="1452"/>
        <v>0</v>
      </c>
      <c r="AI410" s="1074"/>
      <c r="AJ410" s="1072"/>
      <c r="AK410" s="1073"/>
      <c r="AL410" s="1073"/>
      <c r="AM410" s="891">
        <f t="shared" ref="AM410:AP410" si="1453">AM16</f>
        <v>0</v>
      </c>
      <c r="AN410" s="891">
        <f t="shared" si="1453"/>
        <v>0</v>
      </c>
      <c r="AO410" s="891">
        <f t="shared" si="1453"/>
        <v>0</v>
      </c>
      <c r="AP410" s="891">
        <f t="shared" si="1453"/>
        <v>0</v>
      </c>
      <c r="AQ410" s="1074"/>
      <c r="AR410" s="1072"/>
      <c r="AS410" s="1073"/>
      <c r="AT410" s="1073"/>
      <c r="AU410" s="891">
        <f t="shared" ref="AU410:AX410" si="1454">AU16</f>
        <v>0</v>
      </c>
      <c r="AV410" s="891">
        <f t="shared" si="1454"/>
        <v>0</v>
      </c>
      <c r="AW410" s="891">
        <f t="shared" si="1454"/>
        <v>0</v>
      </c>
      <c r="AX410" s="891">
        <f t="shared" si="1454"/>
        <v>0</v>
      </c>
      <c r="AY410" s="1074"/>
      <c r="AZ410" s="1072"/>
      <c r="BA410" s="1073"/>
      <c r="BB410" s="1073"/>
      <c r="BC410" s="891">
        <f t="shared" ref="BC410:BF410" si="1455">BC16</f>
        <v>0</v>
      </c>
      <c r="BD410" s="891">
        <f t="shared" si="1455"/>
        <v>0</v>
      </c>
      <c r="BE410" s="891">
        <f t="shared" si="1455"/>
        <v>0</v>
      </c>
      <c r="BF410" s="891">
        <f t="shared" si="1455"/>
        <v>0</v>
      </c>
      <c r="BG410" s="1074"/>
      <c r="BH410" s="1072"/>
      <c r="BI410" s="1073"/>
      <c r="BJ410" s="1073"/>
      <c r="BK410" s="891">
        <f t="shared" ref="BK410:BN410" si="1456">BK16</f>
        <v>0</v>
      </c>
      <c r="BL410" s="891">
        <f t="shared" si="1456"/>
        <v>0</v>
      </c>
      <c r="BM410" s="891">
        <f t="shared" si="1456"/>
        <v>0</v>
      </c>
      <c r="BN410" s="891">
        <f t="shared" si="1456"/>
        <v>0</v>
      </c>
      <c r="BO410" s="1074"/>
      <c r="BP410" s="1072"/>
      <c r="BQ410" s="1073"/>
      <c r="BR410" s="1073"/>
      <c r="BS410" s="891">
        <f t="shared" ref="BS410:BV410" si="1457">BS16</f>
        <v>0</v>
      </c>
      <c r="BT410" s="891">
        <f t="shared" si="1457"/>
        <v>0</v>
      </c>
      <c r="BU410" s="891">
        <f t="shared" si="1457"/>
        <v>0</v>
      </c>
      <c r="BV410" s="891">
        <f t="shared" si="1457"/>
        <v>0</v>
      </c>
      <c r="BW410" s="1074"/>
      <c r="BX410" s="1072"/>
      <c r="BY410" s="1073"/>
      <c r="BZ410" s="1073"/>
      <c r="CA410" s="891">
        <f t="shared" ref="CA410:CD410" si="1458">CA16</f>
        <v>0</v>
      </c>
      <c r="CB410" s="891">
        <f t="shared" si="1458"/>
        <v>0</v>
      </c>
      <c r="CC410" s="891">
        <f t="shared" si="1458"/>
        <v>0</v>
      </c>
      <c r="CD410" s="891">
        <f t="shared" si="1458"/>
        <v>0</v>
      </c>
      <c r="CE410" s="1074"/>
      <c r="CF410" s="1072"/>
      <c r="CG410" s="1073"/>
      <c r="CH410" s="1073"/>
      <c r="CI410" s="891">
        <f t="shared" ref="CI410:CL410" si="1459">CI16</f>
        <v>0</v>
      </c>
      <c r="CJ410" s="891">
        <f t="shared" si="1459"/>
        <v>0</v>
      </c>
      <c r="CK410" s="891">
        <f t="shared" si="1459"/>
        <v>0</v>
      </c>
      <c r="CL410" s="891">
        <f t="shared" si="1459"/>
        <v>0</v>
      </c>
      <c r="CM410" s="1074"/>
      <c r="CN410" s="1072"/>
      <c r="CO410" s="1073"/>
      <c r="CP410" s="1073"/>
      <c r="CQ410" s="891">
        <f t="shared" ref="CQ410:CT410" si="1460">CQ16</f>
        <v>0</v>
      </c>
      <c r="CR410" s="891">
        <f t="shared" si="1460"/>
        <v>0</v>
      </c>
      <c r="CS410" s="891">
        <f t="shared" si="1460"/>
        <v>0</v>
      </c>
      <c r="CT410" s="891">
        <f t="shared" si="1460"/>
        <v>0</v>
      </c>
      <c r="CU410" s="1074"/>
      <c r="CV410" s="1072"/>
      <c r="CW410" s="1073"/>
      <c r="CX410" s="1073"/>
      <c r="CY410" s="891">
        <f t="shared" ref="CY410:DB410" si="1461">CY16</f>
        <v>0</v>
      </c>
      <c r="CZ410" s="891">
        <f t="shared" si="1461"/>
        <v>0</v>
      </c>
      <c r="DA410" s="891">
        <f t="shared" si="1461"/>
        <v>0</v>
      </c>
      <c r="DB410" s="891">
        <f t="shared" si="1461"/>
        <v>0</v>
      </c>
      <c r="DC410" s="1074"/>
      <c r="DD410" s="1072"/>
      <c r="DE410" s="1073"/>
      <c r="DF410" s="1073"/>
      <c r="DG410" s="891">
        <f t="shared" ref="DG410:DJ410" si="1462">DG16</f>
        <v>0</v>
      </c>
      <c r="DH410" s="891">
        <f t="shared" si="1462"/>
        <v>0</v>
      </c>
      <c r="DI410" s="891">
        <f t="shared" si="1462"/>
        <v>0</v>
      </c>
      <c r="DJ410" s="891">
        <f t="shared" si="1462"/>
        <v>0</v>
      </c>
      <c r="DK410" s="1074"/>
      <c r="DL410" s="1072"/>
      <c r="DM410" s="1073"/>
      <c r="DN410" s="1073"/>
      <c r="DO410" s="891">
        <f t="shared" ref="DO410:DR410" si="1463">DO16</f>
        <v>0</v>
      </c>
      <c r="DP410" s="891">
        <f t="shared" si="1463"/>
        <v>0</v>
      </c>
      <c r="DQ410" s="891">
        <f t="shared" si="1463"/>
        <v>0</v>
      </c>
      <c r="DR410" s="891">
        <f t="shared" si="1463"/>
        <v>0</v>
      </c>
      <c r="DS410" s="1074"/>
      <c r="DT410" s="1072"/>
      <c r="DU410" s="1073"/>
      <c r="DV410" s="1073"/>
      <c r="DW410" s="891">
        <f t="shared" ref="DW410:DZ410" si="1464">DW16</f>
        <v>0</v>
      </c>
      <c r="DX410" s="891">
        <f t="shared" si="1464"/>
        <v>0</v>
      </c>
      <c r="DY410" s="891">
        <f t="shared" si="1464"/>
        <v>0</v>
      </c>
      <c r="DZ410" s="891">
        <f t="shared" si="1464"/>
        <v>0</v>
      </c>
      <c r="EA410" s="1074"/>
      <c r="EB410" s="1072"/>
      <c r="EC410" s="1073"/>
      <c r="ED410" s="1073"/>
      <c r="EE410" s="891">
        <f t="shared" ref="EE410:EH410" si="1465">EE16</f>
        <v>0</v>
      </c>
      <c r="EF410" s="891">
        <f t="shared" si="1465"/>
        <v>0</v>
      </c>
      <c r="EG410" s="891">
        <f t="shared" si="1465"/>
        <v>0</v>
      </c>
      <c r="EH410" s="891">
        <f t="shared" si="1465"/>
        <v>0</v>
      </c>
      <c r="EI410" s="1074"/>
      <c r="EJ410" s="1072"/>
      <c r="EK410" s="1073"/>
      <c r="EL410" s="1073"/>
      <c r="EM410" s="891">
        <f t="shared" ref="EM410:EP410" si="1466">EM16</f>
        <v>0</v>
      </c>
      <c r="EN410" s="891">
        <f t="shared" si="1466"/>
        <v>0</v>
      </c>
      <c r="EO410" s="891">
        <f t="shared" si="1466"/>
        <v>0</v>
      </c>
      <c r="EP410" s="891">
        <f t="shared" si="1466"/>
        <v>0</v>
      </c>
      <c r="EQ410" s="1074"/>
      <c r="ER410" s="1072"/>
      <c r="ES410" s="1073"/>
      <c r="ET410" s="1073"/>
      <c r="EU410" s="891">
        <f t="shared" ref="EU410:EX410" si="1467">EU16</f>
        <v>0</v>
      </c>
      <c r="EV410" s="891">
        <f t="shared" si="1467"/>
        <v>0</v>
      </c>
      <c r="EW410" s="891">
        <f t="shared" si="1467"/>
        <v>0</v>
      </c>
      <c r="EX410" s="891">
        <f t="shared" si="1467"/>
        <v>0</v>
      </c>
      <c r="EY410" s="1074"/>
      <c r="EZ410" s="1072"/>
      <c r="FA410" s="1073"/>
      <c r="FB410" s="1073"/>
      <c r="FC410" s="891">
        <f t="shared" ref="FC410:FF410" si="1468">FC16</f>
        <v>0</v>
      </c>
      <c r="FD410" s="891">
        <f t="shared" si="1468"/>
        <v>0</v>
      </c>
      <c r="FE410" s="891">
        <f t="shared" si="1468"/>
        <v>0</v>
      </c>
      <c r="FF410" s="891">
        <f t="shared" si="1468"/>
        <v>0</v>
      </c>
      <c r="FG410" s="1074"/>
      <c r="FH410" s="1072"/>
      <c r="FI410" s="1073"/>
      <c r="FJ410" s="1073"/>
      <c r="FK410" s="891">
        <f t="shared" ref="FK410:FN410" si="1469">FK16</f>
        <v>0</v>
      </c>
      <c r="FL410" s="891">
        <f t="shared" si="1469"/>
        <v>0</v>
      </c>
      <c r="FM410" s="891">
        <f t="shared" si="1469"/>
        <v>0</v>
      </c>
      <c r="FN410" s="891">
        <f t="shared" si="1469"/>
        <v>0</v>
      </c>
      <c r="FO410" s="1074"/>
    </row>
    <row r="411" spans="2:171" x14ac:dyDescent="0.25">
      <c r="B411" s="108"/>
      <c r="C411" s="108" t="s">
        <v>529</v>
      </c>
      <c r="D411" s="1072"/>
      <c r="E411" s="905" t="str">
        <f t="shared" ref="E411:E412" si="1470">E17</f>
        <v>DIRECT</v>
      </c>
      <c r="G411" s="891">
        <f t="shared" si="1448"/>
        <v>71764696.193237215</v>
      </c>
      <c r="H411" s="891">
        <f t="shared" ref="H411:J411" si="1471">H17</f>
        <v>71764696.193237215</v>
      </c>
      <c r="I411" s="891">
        <f t="shared" si="1471"/>
        <v>0</v>
      </c>
      <c r="J411" s="891">
        <f t="shared" si="1471"/>
        <v>1380340.3620770171</v>
      </c>
      <c r="K411" s="1074"/>
      <c r="L411" s="1072"/>
      <c r="M411" s="1073"/>
      <c r="N411" s="1073"/>
      <c r="O411" s="891">
        <f t="shared" ref="O411:R411" si="1472">O17</f>
        <v>71764696.193237215</v>
      </c>
      <c r="P411" s="891">
        <f t="shared" si="1472"/>
        <v>71764696.193237215</v>
      </c>
      <c r="Q411" s="891">
        <f t="shared" si="1472"/>
        <v>0</v>
      </c>
      <c r="R411" s="891">
        <f t="shared" si="1472"/>
        <v>0</v>
      </c>
      <c r="S411" s="1074"/>
      <c r="T411" s="1072"/>
      <c r="U411" s="1073"/>
      <c r="V411" s="1073"/>
      <c r="W411" s="891">
        <f t="shared" ref="W411:Z411" si="1473">W17</f>
        <v>71764696.193237215</v>
      </c>
      <c r="X411" s="891">
        <f t="shared" si="1473"/>
        <v>71764696.193237215</v>
      </c>
      <c r="Y411" s="891">
        <f t="shared" si="1473"/>
        <v>0</v>
      </c>
      <c r="Z411" s="891">
        <f t="shared" si="1473"/>
        <v>0</v>
      </c>
      <c r="AA411" s="1074"/>
      <c r="AB411" s="1072"/>
      <c r="AC411" s="1073"/>
      <c r="AD411" s="1073"/>
      <c r="AE411" s="891">
        <f t="shared" ref="AE411:AH411" si="1474">AE17</f>
        <v>71764696.193237215</v>
      </c>
      <c r="AF411" s="891">
        <f t="shared" si="1474"/>
        <v>71764696.193237215</v>
      </c>
      <c r="AG411" s="891">
        <f t="shared" si="1474"/>
        <v>0</v>
      </c>
      <c r="AH411" s="891">
        <f t="shared" si="1474"/>
        <v>0</v>
      </c>
      <c r="AI411" s="1074"/>
      <c r="AJ411" s="1072"/>
      <c r="AK411" s="1073"/>
      <c r="AL411" s="1073"/>
      <c r="AM411" s="891">
        <f t="shared" ref="AM411:AP411" si="1475">AM17</f>
        <v>71764696.193237215</v>
      </c>
      <c r="AN411" s="891">
        <f t="shared" si="1475"/>
        <v>71764696.193237215</v>
      </c>
      <c r="AO411" s="891">
        <f t="shared" si="1475"/>
        <v>0</v>
      </c>
      <c r="AP411" s="891">
        <f t="shared" si="1475"/>
        <v>0</v>
      </c>
      <c r="AQ411" s="1074"/>
      <c r="AR411" s="1072"/>
      <c r="AS411" s="1073"/>
      <c r="AT411" s="1073"/>
      <c r="AU411" s="891">
        <f t="shared" ref="AU411:AX411" si="1476">AU17</f>
        <v>71764696.193237215</v>
      </c>
      <c r="AV411" s="891">
        <f t="shared" si="1476"/>
        <v>71764696.193237215</v>
      </c>
      <c r="AW411" s="891">
        <f t="shared" si="1476"/>
        <v>0</v>
      </c>
      <c r="AX411" s="891">
        <f t="shared" si="1476"/>
        <v>0</v>
      </c>
      <c r="AY411" s="1074"/>
      <c r="AZ411" s="1072"/>
      <c r="BA411" s="1073"/>
      <c r="BB411" s="1073"/>
      <c r="BC411" s="891">
        <f t="shared" ref="BC411:BF411" si="1477">BC17</f>
        <v>71764696.193237215</v>
      </c>
      <c r="BD411" s="891">
        <f t="shared" si="1477"/>
        <v>71764696.193237215</v>
      </c>
      <c r="BE411" s="891">
        <f t="shared" si="1477"/>
        <v>0</v>
      </c>
      <c r="BF411" s="891">
        <f t="shared" si="1477"/>
        <v>0</v>
      </c>
      <c r="BG411" s="1074"/>
      <c r="BH411" s="1072"/>
      <c r="BI411" s="1073"/>
      <c r="BJ411" s="1073"/>
      <c r="BK411" s="891">
        <f t="shared" ref="BK411:BN411" si="1478">BK17</f>
        <v>71764696.193237215</v>
      </c>
      <c r="BL411" s="891">
        <f t="shared" si="1478"/>
        <v>71764696.193237215</v>
      </c>
      <c r="BM411" s="891">
        <f t="shared" si="1478"/>
        <v>0</v>
      </c>
      <c r="BN411" s="891">
        <f t="shared" si="1478"/>
        <v>0</v>
      </c>
      <c r="BO411" s="1074"/>
      <c r="BP411" s="1072"/>
      <c r="BQ411" s="1073"/>
      <c r="BR411" s="1073"/>
      <c r="BS411" s="891">
        <f t="shared" ref="BS411:BV411" si="1479">BS17</f>
        <v>71764696.193237215</v>
      </c>
      <c r="BT411" s="891">
        <f t="shared" si="1479"/>
        <v>71764696.193237215</v>
      </c>
      <c r="BU411" s="891">
        <f t="shared" si="1479"/>
        <v>0</v>
      </c>
      <c r="BV411" s="891">
        <f t="shared" si="1479"/>
        <v>0</v>
      </c>
      <c r="BW411" s="1074"/>
      <c r="BX411" s="1072"/>
      <c r="BY411" s="1073"/>
      <c r="BZ411" s="1073"/>
      <c r="CA411" s="891">
        <f t="shared" ref="CA411:CD411" si="1480">CA17</f>
        <v>71764696.193237215</v>
      </c>
      <c r="CB411" s="891">
        <f t="shared" si="1480"/>
        <v>71764696.193237215</v>
      </c>
      <c r="CC411" s="891">
        <f t="shared" si="1480"/>
        <v>0</v>
      </c>
      <c r="CD411" s="891">
        <f t="shared" si="1480"/>
        <v>0</v>
      </c>
      <c r="CE411" s="1074"/>
      <c r="CF411" s="1072"/>
      <c r="CG411" s="1073"/>
      <c r="CH411" s="1073"/>
      <c r="CI411" s="891">
        <f t="shared" ref="CI411:CL411" si="1481">CI17</f>
        <v>71764696.193237215</v>
      </c>
      <c r="CJ411" s="891">
        <f t="shared" si="1481"/>
        <v>71764696.193237215</v>
      </c>
      <c r="CK411" s="891">
        <f t="shared" si="1481"/>
        <v>0</v>
      </c>
      <c r="CL411" s="891">
        <f t="shared" si="1481"/>
        <v>0</v>
      </c>
      <c r="CM411" s="1074"/>
      <c r="CN411" s="1072"/>
      <c r="CO411" s="1073"/>
      <c r="CP411" s="1073"/>
      <c r="CQ411" s="891">
        <f t="shared" ref="CQ411:CT411" si="1482">CQ17</f>
        <v>71764696.193237215</v>
      </c>
      <c r="CR411" s="891">
        <f t="shared" si="1482"/>
        <v>71764696.193237215</v>
      </c>
      <c r="CS411" s="891">
        <f t="shared" si="1482"/>
        <v>0</v>
      </c>
      <c r="CT411" s="891">
        <f t="shared" si="1482"/>
        <v>0</v>
      </c>
      <c r="CU411" s="1074"/>
      <c r="CV411" s="1072"/>
      <c r="CW411" s="1073"/>
      <c r="CX411" s="1073"/>
      <c r="CY411" s="891">
        <f t="shared" ref="CY411:DB411" si="1483">CY17</f>
        <v>71764696.193237215</v>
      </c>
      <c r="CZ411" s="891">
        <f t="shared" si="1483"/>
        <v>71764696.193237215</v>
      </c>
      <c r="DA411" s="891">
        <f t="shared" si="1483"/>
        <v>0</v>
      </c>
      <c r="DB411" s="891">
        <f t="shared" si="1483"/>
        <v>0</v>
      </c>
      <c r="DC411" s="1074"/>
      <c r="DD411" s="1072"/>
      <c r="DE411" s="1073"/>
      <c r="DF411" s="1073"/>
      <c r="DG411" s="891">
        <f t="shared" ref="DG411:DJ411" si="1484">DG17</f>
        <v>71764696.193237215</v>
      </c>
      <c r="DH411" s="891">
        <f t="shared" si="1484"/>
        <v>71764696.193237215</v>
      </c>
      <c r="DI411" s="891">
        <f t="shared" si="1484"/>
        <v>0</v>
      </c>
      <c r="DJ411" s="891">
        <f t="shared" si="1484"/>
        <v>0</v>
      </c>
      <c r="DK411" s="1074"/>
      <c r="DL411" s="1072"/>
      <c r="DM411" s="1073"/>
      <c r="DN411" s="1073"/>
      <c r="DO411" s="891">
        <f t="shared" ref="DO411:DR411" si="1485">DO17</f>
        <v>71764696.193237215</v>
      </c>
      <c r="DP411" s="891">
        <f t="shared" si="1485"/>
        <v>71764696.193237215</v>
      </c>
      <c r="DQ411" s="891">
        <f t="shared" si="1485"/>
        <v>0</v>
      </c>
      <c r="DR411" s="891">
        <f t="shared" si="1485"/>
        <v>0</v>
      </c>
      <c r="DS411" s="1074"/>
      <c r="DT411" s="1072"/>
      <c r="DU411" s="1073"/>
      <c r="DV411" s="1073"/>
      <c r="DW411" s="891">
        <f t="shared" ref="DW411:DZ411" si="1486">DW17</f>
        <v>71764696.193237215</v>
      </c>
      <c r="DX411" s="891">
        <f t="shared" si="1486"/>
        <v>71764696.193237215</v>
      </c>
      <c r="DY411" s="891">
        <f t="shared" si="1486"/>
        <v>0</v>
      </c>
      <c r="DZ411" s="891">
        <f t="shared" si="1486"/>
        <v>0</v>
      </c>
      <c r="EA411" s="1074"/>
      <c r="EB411" s="1072"/>
      <c r="EC411" s="1073"/>
      <c r="ED411" s="1073"/>
      <c r="EE411" s="891">
        <f t="shared" ref="EE411:EH411" si="1487">EE17</f>
        <v>71764696.193237215</v>
      </c>
      <c r="EF411" s="891">
        <f t="shared" si="1487"/>
        <v>71764696.193237215</v>
      </c>
      <c r="EG411" s="891">
        <f t="shared" si="1487"/>
        <v>0</v>
      </c>
      <c r="EH411" s="891">
        <f t="shared" si="1487"/>
        <v>0</v>
      </c>
      <c r="EI411" s="1074"/>
      <c r="EJ411" s="1072"/>
      <c r="EK411" s="1073"/>
      <c r="EL411" s="1073"/>
      <c r="EM411" s="891">
        <f t="shared" ref="EM411:EP411" si="1488">EM17</f>
        <v>71764696.193237215</v>
      </c>
      <c r="EN411" s="891">
        <f t="shared" si="1488"/>
        <v>71764696.193237215</v>
      </c>
      <c r="EO411" s="891">
        <f t="shared" si="1488"/>
        <v>0</v>
      </c>
      <c r="EP411" s="891">
        <f t="shared" si="1488"/>
        <v>0</v>
      </c>
      <c r="EQ411" s="1074"/>
      <c r="ER411" s="1072"/>
      <c r="ES411" s="1073"/>
      <c r="ET411" s="1073"/>
      <c r="EU411" s="891">
        <f t="shared" ref="EU411:EX411" si="1489">EU17</f>
        <v>71764696.193237215</v>
      </c>
      <c r="EV411" s="891">
        <f t="shared" si="1489"/>
        <v>71764696.193237215</v>
      </c>
      <c r="EW411" s="891">
        <f t="shared" si="1489"/>
        <v>0</v>
      </c>
      <c r="EX411" s="891">
        <f t="shared" si="1489"/>
        <v>0</v>
      </c>
      <c r="EY411" s="1074"/>
      <c r="EZ411" s="1072"/>
      <c r="FA411" s="1073"/>
      <c r="FB411" s="1073"/>
      <c r="FC411" s="891">
        <f t="shared" ref="FC411:FF411" si="1490">FC17</f>
        <v>71764696.193237215</v>
      </c>
      <c r="FD411" s="891">
        <f t="shared" si="1490"/>
        <v>71764696.193237215</v>
      </c>
      <c r="FE411" s="891">
        <f t="shared" si="1490"/>
        <v>0</v>
      </c>
      <c r="FF411" s="891">
        <f t="shared" si="1490"/>
        <v>0</v>
      </c>
      <c r="FG411" s="1074"/>
      <c r="FH411" s="1072"/>
      <c r="FI411" s="1073"/>
      <c r="FJ411" s="1073"/>
      <c r="FK411" s="891">
        <f t="shared" ref="FK411:FN411" si="1491">FK17</f>
        <v>71764696.193237215</v>
      </c>
      <c r="FL411" s="891">
        <f t="shared" si="1491"/>
        <v>71764696.193237215</v>
      </c>
      <c r="FM411" s="891">
        <f t="shared" si="1491"/>
        <v>0</v>
      </c>
      <c r="FN411" s="891">
        <f t="shared" si="1491"/>
        <v>0</v>
      </c>
      <c r="FO411" s="1074"/>
    </row>
    <row r="412" spans="2:171" x14ac:dyDescent="0.25">
      <c r="B412" s="108"/>
      <c r="C412" s="108" t="s">
        <v>543</v>
      </c>
      <c r="D412" s="1072"/>
      <c r="E412" s="905" t="str">
        <f t="shared" si="1470"/>
        <v>DIRECT</v>
      </c>
      <c r="G412" s="891">
        <f t="shared" si="1448"/>
        <v>391010404.58104789</v>
      </c>
      <c r="H412" s="891">
        <f t="shared" ref="H412:J412" si="1492">H18</f>
        <v>129807186.3491185</v>
      </c>
      <c r="I412" s="891">
        <f t="shared" si="1492"/>
        <v>0</v>
      </c>
      <c r="J412" s="891">
        <f t="shared" si="1492"/>
        <v>261203218.23192942</v>
      </c>
      <c r="K412" s="1074"/>
      <c r="L412" s="1072"/>
      <c r="M412" s="1073"/>
      <c r="N412" s="1073"/>
      <c r="O412" s="891">
        <f t="shared" ref="O412:R412" si="1493">O18</f>
        <v>391010404.58104789</v>
      </c>
      <c r="P412" s="891">
        <f t="shared" si="1493"/>
        <v>129807186.34911849</v>
      </c>
      <c r="Q412" s="891">
        <f t="shared" si="1493"/>
        <v>0</v>
      </c>
      <c r="R412" s="891">
        <f t="shared" si="1493"/>
        <v>261203218.23192942</v>
      </c>
      <c r="S412" s="1074"/>
      <c r="T412" s="1072"/>
      <c r="U412" s="1073"/>
      <c r="V412" s="1073"/>
      <c r="W412" s="891">
        <f t="shared" ref="W412:Z412" si="1494">W18</f>
        <v>391010404.58104789</v>
      </c>
      <c r="X412" s="891">
        <f t="shared" si="1494"/>
        <v>129807186.34911849</v>
      </c>
      <c r="Y412" s="891">
        <f t="shared" si="1494"/>
        <v>0</v>
      </c>
      <c r="Z412" s="891">
        <f t="shared" si="1494"/>
        <v>261203218.23192942</v>
      </c>
      <c r="AA412" s="1074"/>
      <c r="AB412" s="1072"/>
      <c r="AC412" s="1073"/>
      <c r="AD412" s="1073"/>
      <c r="AE412" s="891">
        <f t="shared" ref="AE412:AH412" si="1495">AE18</f>
        <v>391010404.58104789</v>
      </c>
      <c r="AF412" s="891">
        <f t="shared" si="1495"/>
        <v>129807186.34911849</v>
      </c>
      <c r="AG412" s="891">
        <f t="shared" si="1495"/>
        <v>0</v>
      </c>
      <c r="AH412" s="891">
        <f t="shared" si="1495"/>
        <v>261203218.23192942</v>
      </c>
      <c r="AI412" s="1074"/>
      <c r="AJ412" s="1072"/>
      <c r="AK412" s="1073"/>
      <c r="AL412" s="1073"/>
      <c r="AM412" s="891">
        <f t="shared" ref="AM412:AP412" si="1496">AM18</f>
        <v>391010404.58104789</v>
      </c>
      <c r="AN412" s="891">
        <f t="shared" si="1496"/>
        <v>129807186.34911849</v>
      </c>
      <c r="AO412" s="891">
        <f t="shared" si="1496"/>
        <v>0</v>
      </c>
      <c r="AP412" s="891">
        <f t="shared" si="1496"/>
        <v>261203218.23192942</v>
      </c>
      <c r="AQ412" s="1074"/>
      <c r="AR412" s="1072"/>
      <c r="AS412" s="1073"/>
      <c r="AT412" s="1073"/>
      <c r="AU412" s="891">
        <f t="shared" ref="AU412:AX412" si="1497">AU18</f>
        <v>391010404.58104789</v>
      </c>
      <c r="AV412" s="891">
        <f t="shared" si="1497"/>
        <v>129807186.34911849</v>
      </c>
      <c r="AW412" s="891">
        <f t="shared" si="1497"/>
        <v>0</v>
      </c>
      <c r="AX412" s="891">
        <f t="shared" si="1497"/>
        <v>261203218.23192942</v>
      </c>
      <c r="AY412" s="1074"/>
      <c r="AZ412" s="1072"/>
      <c r="BA412" s="1073"/>
      <c r="BB412" s="1073"/>
      <c r="BC412" s="891">
        <f t="shared" ref="BC412:BF412" si="1498">BC18</f>
        <v>391010404.58104789</v>
      </c>
      <c r="BD412" s="891">
        <f t="shared" si="1498"/>
        <v>129807186.34911849</v>
      </c>
      <c r="BE412" s="891">
        <f t="shared" si="1498"/>
        <v>0</v>
      </c>
      <c r="BF412" s="891">
        <f t="shared" si="1498"/>
        <v>261203218.23192942</v>
      </c>
      <c r="BG412" s="1074"/>
      <c r="BH412" s="1072"/>
      <c r="BI412" s="1073"/>
      <c r="BJ412" s="1073"/>
      <c r="BK412" s="891">
        <f t="shared" ref="BK412:BN412" si="1499">BK18</f>
        <v>391010404.58104789</v>
      </c>
      <c r="BL412" s="891">
        <f t="shared" si="1499"/>
        <v>129807186.34911849</v>
      </c>
      <c r="BM412" s="891">
        <f t="shared" si="1499"/>
        <v>0</v>
      </c>
      <c r="BN412" s="891">
        <f t="shared" si="1499"/>
        <v>261203218.23192942</v>
      </c>
      <c r="BO412" s="1074"/>
      <c r="BP412" s="1072"/>
      <c r="BQ412" s="1073"/>
      <c r="BR412" s="1073"/>
      <c r="BS412" s="891">
        <f t="shared" ref="BS412:BV412" si="1500">BS18</f>
        <v>391010404.58104789</v>
      </c>
      <c r="BT412" s="891">
        <f t="shared" si="1500"/>
        <v>129807186.34911849</v>
      </c>
      <c r="BU412" s="891">
        <f t="shared" si="1500"/>
        <v>0</v>
      </c>
      <c r="BV412" s="891">
        <f t="shared" si="1500"/>
        <v>261203218.23192942</v>
      </c>
      <c r="BW412" s="1074"/>
      <c r="BX412" s="1072"/>
      <c r="BY412" s="1073"/>
      <c r="BZ412" s="1073"/>
      <c r="CA412" s="891">
        <f t="shared" ref="CA412:CD412" si="1501">CA18</f>
        <v>391010404.58104789</v>
      </c>
      <c r="CB412" s="891">
        <f t="shared" si="1501"/>
        <v>129807186.34911849</v>
      </c>
      <c r="CC412" s="891">
        <f t="shared" si="1501"/>
        <v>0</v>
      </c>
      <c r="CD412" s="891">
        <f t="shared" si="1501"/>
        <v>261203218.23192942</v>
      </c>
      <c r="CE412" s="1074"/>
      <c r="CF412" s="1072"/>
      <c r="CG412" s="1073"/>
      <c r="CH412" s="1073"/>
      <c r="CI412" s="891">
        <f t="shared" ref="CI412:CL412" si="1502">CI18</f>
        <v>391010404.58104789</v>
      </c>
      <c r="CJ412" s="891">
        <f t="shared" si="1502"/>
        <v>129807186.34911849</v>
      </c>
      <c r="CK412" s="891">
        <f t="shared" si="1502"/>
        <v>0</v>
      </c>
      <c r="CL412" s="891">
        <f t="shared" si="1502"/>
        <v>261203218.23192942</v>
      </c>
      <c r="CM412" s="1074"/>
      <c r="CN412" s="1072"/>
      <c r="CO412" s="1073"/>
      <c r="CP412" s="1073"/>
      <c r="CQ412" s="891">
        <f t="shared" ref="CQ412:CT412" si="1503">CQ18</f>
        <v>391010404.58104789</v>
      </c>
      <c r="CR412" s="891">
        <f t="shared" si="1503"/>
        <v>129807186.34911849</v>
      </c>
      <c r="CS412" s="891">
        <f t="shared" si="1503"/>
        <v>0</v>
      </c>
      <c r="CT412" s="891">
        <f t="shared" si="1503"/>
        <v>261203218.23192942</v>
      </c>
      <c r="CU412" s="1074"/>
      <c r="CV412" s="1072"/>
      <c r="CW412" s="1073"/>
      <c r="CX412" s="1073"/>
      <c r="CY412" s="891">
        <f t="shared" ref="CY412:DB412" si="1504">CY18</f>
        <v>391010404.58104789</v>
      </c>
      <c r="CZ412" s="891">
        <f t="shared" si="1504"/>
        <v>129807186.34911849</v>
      </c>
      <c r="DA412" s="891">
        <f t="shared" si="1504"/>
        <v>0</v>
      </c>
      <c r="DB412" s="891">
        <f t="shared" si="1504"/>
        <v>261203218.23192942</v>
      </c>
      <c r="DC412" s="1074"/>
      <c r="DD412" s="1072"/>
      <c r="DE412" s="1073"/>
      <c r="DF412" s="1073"/>
      <c r="DG412" s="891">
        <f t="shared" ref="DG412:DJ412" si="1505">DG18</f>
        <v>391010404.58104789</v>
      </c>
      <c r="DH412" s="891">
        <f t="shared" si="1505"/>
        <v>129807186.34911849</v>
      </c>
      <c r="DI412" s="891">
        <f t="shared" si="1505"/>
        <v>0</v>
      </c>
      <c r="DJ412" s="891">
        <f t="shared" si="1505"/>
        <v>261203218.23192942</v>
      </c>
      <c r="DK412" s="1074"/>
      <c r="DL412" s="1072"/>
      <c r="DM412" s="1073"/>
      <c r="DN412" s="1073"/>
      <c r="DO412" s="891">
        <f t="shared" ref="DO412:DR412" si="1506">DO18</f>
        <v>391010404.58104789</v>
      </c>
      <c r="DP412" s="891">
        <f t="shared" si="1506"/>
        <v>129807186.34911849</v>
      </c>
      <c r="DQ412" s="891">
        <f t="shared" si="1506"/>
        <v>0</v>
      </c>
      <c r="DR412" s="891">
        <f t="shared" si="1506"/>
        <v>261203218.23192942</v>
      </c>
      <c r="DS412" s="1074"/>
      <c r="DT412" s="1072"/>
      <c r="DU412" s="1073"/>
      <c r="DV412" s="1073"/>
      <c r="DW412" s="891">
        <f t="shared" ref="DW412:DZ412" si="1507">DW18</f>
        <v>391010404.58104789</v>
      </c>
      <c r="DX412" s="891">
        <f t="shared" si="1507"/>
        <v>129807186.34911849</v>
      </c>
      <c r="DY412" s="891">
        <f t="shared" si="1507"/>
        <v>0</v>
      </c>
      <c r="DZ412" s="891">
        <f t="shared" si="1507"/>
        <v>261203218.23192942</v>
      </c>
      <c r="EA412" s="1074"/>
      <c r="EB412" s="1072"/>
      <c r="EC412" s="1073"/>
      <c r="ED412" s="1073"/>
      <c r="EE412" s="891">
        <f t="shared" ref="EE412:EH412" si="1508">EE18</f>
        <v>391010404.58104789</v>
      </c>
      <c r="EF412" s="891">
        <f t="shared" si="1508"/>
        <v>129807186.34911849</v>
      </c>
      <c r="EG412" s="891">
        <f t="shared" si="1508"/>
        <v>0</v>
      </c>
      <c r="EH412" s="891">
        <f t="shared" si="1508"/>
        <v>261203218.23192942</v>
      </c>
      <c r="EI412" s="1074"/>
      <c r="EJ412" s="1072"/>
      <c r="EK412" s="1073"/>
      <c r="EL412" s="1073"/>
      <c r="EM412" s="891">
        <f t="shared" ref="EM412:EP412" si="1509">EM18</f>
        <v>391010404.58104789</v>
      </c>
      <c r="EN412" s="891">
        <f t="shared" si="1509"/>
        <v>129807186.34911849</v>
      </c>
      <c r="EO412" s="891">
        <f t="shared" si="1509"/>
        <v>0</v>
      </c>
      <c r="EP412" s="891">
        <f t="shared" si="1509"/>
        <v>261203218.23192942</v>
      </c>
      <c r="EQ412" s="1074"/>
      <c r="ER412" s="1072"/>
      <c r="ES412" s="1073"/>
      <c r="ET412" s="1073"/>
      <c r="EU412" s="891">
        <f t="shared" ref="EU412:EX412" si="1510">EU18</f>
        <v>391010404.58104789</v>
      </c>
      <c r="EV412" s="891">
        <f t="shared" si="1510"/>
        <v>129807186.34911849</v>
      </c>
      <c r="EW412" s="891">
        <f t="shared" si="1510"/>
        <v>0</v>
      </c>
      <c r="EX412" s="891">
        <f t="shared" si="1510"/>
        <v>261203218.23192942</v>
      </c>
      <c r="EY412" s="1074"/>
      <c r="EZ412" s="1072"/>
      <c r="FA412" s="1073"/>
      <c r="FB412" s="1073"/>
      <c r="FC412" s="891">
        <f t="shared" ref="FC412:FF412" si="1511">FC18</f>
        <v>391010404.58104789</v>
      </c>
      <c r="FD412" s="891">
        <f t="shared" si="1511"/>
        <v>129807186.34911849</v>
      </c>
      <c r="FE412" s="891">
        <f t="shared" si="1511"/>
        <v>0</v>
      </c>
      <c r="FF412" s="891">
        <f t="shared" si="1511"/>
        <v>261203218.23192942</v>
      </c>
      <c r="FG412" s="1074"/>
      <c r="FH412" s="1072"/>
      <c r="FI412" s="1073"/>
      <c r="FJ412" s="1073"/>
      <c r="FK412" s="891">
        <f t="shared" ref="FK412:FN412" si="1512">FK18</f>
        <v>391010404.58104789</v>
      </c>
      <c r="FL412" s="891">
        <f t="shared" si="1512"/>
        <v>129807186.34911849</v>
      </c>
      <c r="FM412" s="891">
        <f t="shared" si="1512"/>
        <v>0</v>
      </c>
      <c r="FN412" s="891">
        <f t="shared" si="1512"/>
        <v>261203218.23192942</v>
      </c>
      <c r="FO412" s="1074"/>
    </row>
    <row r="413" spans="2:171" x14ac:dyDescent="0.25">
      <c r="B413" s="108"/>
      <c r="C413" s="108" t="s">
        <v>341</v>
      </c>
      <c r="D413" s="1072"/>
      <c r="E413" s="905"/>
      <c r="G413" s="891">
        <f>G50</f>
        <v>648847990.51759219</v>
      </c>
      <c r="H413" s="891">
        <f t="shared" ref="H413:J413" si="1513">H50</f>
        <v>208013093.03974915</v>
      </c>
      <c r="I413" s="891">
        <f t="shared" si="1513"/>
        <v>0</v>
      </c>
      <c r="J413" s="891">
        <f t="shared" si="1513"/>
        <v>440834897.47784311</v>
      </c>
      <c r="K413" s="1074"/>
      <c r="L413" s="1072"/>
      <c r="M413" s="1073"/>
      <c r="N413" s="1073"/>
      <c r="O413" s="891">
        <f>O50</f>
        <v>648847990.51759219</v>
      </c>
      <c r="P413" s="891">
        <f t="shared" ref="P413:R413" si="1514">P50</f>
        <v>208013093.03974912</v>
      </c>
      <c r="Q413" s="891">
        <f t="shared" si="1514"/>
        <v>195228616.65315571</v>
      </c>
      <c r="R413" s="891">
        <f t="shared" si="1514"/>
        <v>245606280.82468733</v>
      </c>
      <c r="S413" s="1074"/>
      <c r="T413" s="1072"/>
      <c r="U413" s="1073"/>
      <c r="V413" s="1073"/>
      <c r="W413" s="891">
        <f>W50</f>
        <v>648847990.51759219</v>
      </c>
      <c r="X413" s="891">
        <f t="shared" ref="X413:Z413" si="1515">X50</f>
        <v>208013093.03974912</v>
      </c>
      <c r="Y413" s="891">
        <f t="shared" si="1515"/>
        <v>195228616.65315571</v>
      </c>
      <c r="Z413" s="891">
        <f t="shared" si="1515"/>
        <v>245606280.82468733</v>
      </c>
      <c r="AA413" s="1074"/>
      <c r="AB413" s="1072"/>
      <c r="AC413" s="1073"/>
      <c r="AD413" s="1073"/>
      <c r="AE413" s="891">
        <f>AE50</f>
        <v>648847990.51759219</v>
      </c>
      <c r="AF413" s="891">
        <f t="shared" ref="AF413:AH413" si="1516">AF50</f>
        <v>208013093.03974912</v>
      </c>
      <c r="AG413" s="891">
        <f t="shared" si="1516"/>
        <v>195228616.65315571</v>
      </c>
      <c r="AH413" s="891">
        <f t="shared" si="1516"/>
        <v>245606280.82468733</v>
      </c>
      <c r="AI413" s="1074"/>
      <c r="AJ413" s="1072"/>
      <c r="AK413" s="1073"/>
      <c r="AL413" s="1073"/>
      <c r="AM413" s="891">
        <f>AM50</f>
        <v>648847990.51759219</v>
      </c>
      <c r="AN413" s="891">
        <f t="shared" ref="AN413:AP413" si="1517">AN50</f>
        <v>208013093.03974912</v>
      </c>
      <c r="AO413" s="891">
        <f t="shared" si="1517"/>
        <v>195228616.65315571</v>
      </c>
      <c r="AP413" s="891">
        <f t="shared" si="1517"/>
        <v>245606280.82468733</v>
      </c>
      <c r="AQ413" s="1074"/>
      <c r="AR413" s="1072"/>
      <c r="AS413" s="1073"/>
      <c r="AT413" s="1073"/>
      <c r="AU413" s="891">
        <f>AU50</f>
        <v>648847990.51759219</v>
      </c>
      <c r="AV413" s="891">
        <f t="shared" ref="AV413:AX413" si="1518">AV50</f>
        <v>208013093.03974912</v>
      </c>
      <c r="AW413" s="891">
        <f t="shared" si="1518"/>
        <v>195228616.65315571</v>
      </c>
      <c r="AX413" s="891">
        <f t="shared" si="1518"/>
        <v>245606280.82468733</v>
      </c>
      <c r="AY413" s="1074"/>
      <c r="AZ413" s="1072"/>
      <c r="BA413" s="1073"/>
      <c r="BB413" s="1073"/>
      <c r="BC413" s="891">
        <f>BC50</f>
        <v>648847990.51759219</v>
      </c>
      <c r="BD413" s="891">
        <f t="shared" ref="BD413:BF413" si="1519">BD50</f>
        <v>208013093.03974912</v>
      </c>
      <c r="BE413" s="891">
        <f t="shared" si="1519"/>
        <v>195228616.65315571</v>
      </c>
      <c r="BF413" s="891">
        <f t="shared" si="1519"/>
        <v>245606280.82468733</v>
      </c>
      <c r="BG413" s="1074"/>
      <c r="BH413" s="1072"/>
      <c r="BI413" s="1073"/>
      <c r="BJ413" s="1073"/>
      <c r="BK413" s="891">
        <f>BK50</f>
        <v>648847990.51759219</v>
      </c>
      <c r="BL413" s="891">
        <f t="shared" ref="BL413:BN413" si="1520">BL50</f>
        <v>208013093.03974912</v>
      </c>
      <c r="BM413" s="891">
        <f t="shared" si="1520"/>
        <v>195228616.65315571</v>
      </c>
      <c r="BN413" s="891">
        <f t="shared" si="1520"/>
        <v>245606280.82468733</v>
      </c>
      <c r="BO413" s="1074"/>
      <c r="BP413" s="1072"/>
      <c r="BQ413" s="1073"/>
      <c r="BR413" s="1073"/>
      <c r="BS413" s="891">
        <f>BS50</f>
        <v>648847990.51759219</v>
      </c>
      <c r="BT413" s="891">
        <f t="shared" ref="BT413:BV413" si="1521">BT50</f>
        <v>208013093.03974912</v>
      </c>
      <c r="BU413" s="891">
        <f t="shared" si="1521"/>
        <v>195228616.65315571</v>
      </c>
      <c r="BV413" s="891">
        <f t="shared" si="1521"/>
        <v>245606280.82468733</v>
      </c>
      <c r="BW413" s="1074"/>
      <c r="BX413" s="1072"/>
      <c r="BY413" s="1073"/>
      <c r="BZ413" s="1073"/>
      <c r="CA413" s="891">
        <f>CA50</f>
        <v>648847990.51759219</v>
      </c>
      <c r="CB413" s="891">
        <f t="shared" ref="CB413:CD413" si="1522">CB50</f>
        <v>208013093.03974912</v>
      </c>
      <c r="CC413" s="891">
        <f t="shared" si="1522"/>
        <v>195228616.65315571</v>
      </c>
      <c r="CD413" s="891">
        <f t="shared" si="1522"/>
        <v>245606280.82468733</v>
      </c>
      <c r="CE413" s="1074"/>
      <c r="CF413" s="1072"/>
      <c r="CG413" s="1073"/>
      <c r="CH413" s="1073"/>
      <c r="CI413" s="891">
        <f>CI50</f>
        <v>648847990.51759219</v>
      </c>
      <c r="CJ413" s="891">
        <f t="shared" ref="CJ413:CL413" si="1523">CJ50</f>
        <v>208013093.03974912</v>
      </c>
      <c r="CK413" s="891">
        <f t="shared" si="1523"/>
        <v>195228616.65315571</v>
      </c>
      <c r="CL413" s="891">
        <f t="shared" si="1523"/>
        <v>245606280.82468733</v>
      </c>
      <c r="CM413" s="1074"/>
      <c r="CN413" s="1072"/>
      <c r="CO413" s="1073"/>
      <c r="CP413" s="1073"/>
      <c r="CQ413" s="891">
        <f>CQ50</f>
        <v>648847990.51759219</v>
      </c>
      <c r="CR413" s="891">
        <f t="shared" ref="CR413:CT413" si="1524">CR50</f>
        <v>208013093.03974912</v>
      </c>
      <c r="CS413" s="891">
        <f t="shared" si="1524"/>
        <v>195228616.65315571</v>
      </c>
      <c r="CT413" s="891">
        <f t="shared" si="1524"/>
        <v>245606280.82468733</v>
      </c>
      <c r="CU413" s="1074"/>
      <c r="CV413" s="1072"/>
      <c r="CW413" s="1073"/>
      <c r="CX413" s="1073"/>
      <c r="CY413" s="891">
        <f>CY50</f>
        <v>648847990.51759219</v>
      </c>
      <c r="CZ413" s="891">
        <f t="shared" ref="CZ413:DB413" si="1525">CZ50</f>
        <v>208013093.03974912</v>
      </c>
      <c r="DA413" s="891">
        <f t="shared" si="1525"/>
        <v>195228616.65315571</v>
      </c>
      <c r="DB413" s="891">
        <f t="shared" si="1525"/>
        <v>245606280.82468733</v>
      </c>
      <c r="DC413" s="1074"/>
      <c r="DD413" s="1072"/>
      <c r="DE413" s="1073"/>
      <c r="DF413" s="1073"/>
      <c r="DG413" s="891">
        <f>DG50</f>
        <v>648847990.51759219</v>
      </c>
      <c r="DH413" s="891">
        <f t="shared" ref="DH413:DJ413" si="1526">DH50</f>
        <v>208013093.03974912</v>
      </c>
      <c r="DI413" s="891">
        <f t="shared" si="1526"/>
        <v>195228616.65315571</v>
      </c>
      <c r="DJ413" s="891">
        <f t="shared" si="1526"/>
        <v>245606280.82468733</v>
      </c>
      <c r="DK413" s="1074"/>
      <c r="DL413" s="1072"/>
      <c r="DM413" s="1073"/>
      <c r="DN413" s="1073"/>
      <c r="DO413" s="891">
        <f>DO50</f>
        <v>648847990.51759219</v>
      </c>
      <c r="DP413" s="891">
        <f t="shared" ref="DP413:DR413" si="1527">DP50</f>
        <v>208013093.03974912</v>
      </c>
      <c r="DQ413" s="891">
        <f t="shared" si="1527"/>
        <v>195228616.65315571</v>
      </c>
      <c r="DR413" s="891">
        <f t="shared" si="1527"/>
        <v>245606280.82468733</v>
      </c>
      <c r="DS413" s="1074"/>
      <c r="DT413" s="1072"/>
      <c r="DU413" s="1073"/>
      <c r="DV413" s="1073"/>
      <c r="DW413" s="891">
        <f>DW50</f>
        <v>648847990.51759219</v>
      </c>
      <c r="DX413" s="891">
        <f t="shared" ref="DX413:DZ413" si="1528">DX50</f>
        <v>208013093.03974912</v>
      </c>
      <c r="DY413" s="891">
        <f t="shared" si="1528"/>
        <v>195228616.65315571</v>
      </c>
      <c r="DZ413" s="891">
        <f t="shared" si="1528"/>
        <v>245606280.82468733</v>
      </c>
      <c r="EA413" s="1074"/>
      <c r="EB413" s="1072"/>
      <c r="EC413" s="1073"/>
      <c r="ED413" s="1073"/>
      <c r="EE413" s="891">
        <f>EE50</f>
        <v>648847990.51759219</v>
      </c>
      <c r="EF413" s="891">
        <f t="shared" ref="EF413:EH413" si="1529">EF50</f>
        <v>208013093.03974912</v>
      </c>
      <c r="EG413" s="891">
        <f t="shared" si="1529"/>
        <v>195228616.65315571</v>
      </c>
      <c r="EH413" s="891">
        <f t="shared" si="1529"/>
        <v>245606280.82468733</v>
      </c>
      <c r="EI413" s="1074"/>
      <c r="EJ413" s="1072"/>
      <c r="EK413" s="1073"/>
      <c r="EL413" s="1073"/>
      <c r="EM413" s="891">
        <f>EM50</f>
        <v>648847990.51759219</v>
      </c>
      <c r="EN413" s="891">
        <f t="shared" ref="EN413:EP413" si="1530">EN50</f>
        <v>208013093.03974912</v>
      </c>
      <c r="EO413" s="891">
        <f t="shared" si="1530"/>
        <v>195228616.65315571</v>
      </c>
      <c r="EP413" s="891">
        <f t="shared" si="1530"/>
        <v>245606280.82468733</v>
      </c>
      <c r="EQ413" s="1074"/>
      <c r="ER413" s="1072"/>
      <c r="ES413" s="1073"/>
      <c r="ET413" s="1073"/>
      <c r="EU413" s="891">
        <f>EU50</f>
        <v>648847990.51759219</v>
      </c>
      <c r="EV413" s="891">
        <f t="shared" ref="EV413:EX413" si="1531">EV50</f>
        <v>208013093.03974912</v>
      </c>
      <c r="EW413" s="891">
        <f t="shared" si="1531"/>
        <v>195228616.65315571</v>
      </c>
      <c r="EX413" s="891">
        <f t="shared" si="1531"/>
        <v>245606280.82468733</v>
      </c>
      <c r="EY413" s="1074"/>
      <c r="EZ413" s="1072"/>
      <c r="FA413" s="1073"/>
      <c r="FB413" s="1073"/>
      <c r="FC413" s="891">
        <f>FC50</f>
        <v>648847990.51759219</v>
      </c>
      <c r="FD413" s="891">
        <f t="shared" ref="FD413:FF413" si="1532">FD50</f>
        <v>208013093.03974912</v>
      </c>
      <c r="FE413" s="891">
        <f t="shared" si="1532"/>
        <v>195228616.65315571</v>
      </c>
      <c r="FF413" s="891">
        <f t="shared" si="1532"/>
        <v>245606280.82468733</v>
      </c>
      <c r="FG413" s="1074"/>
      <c r="FH413" s="1072"/>
      <c r="FI413" s="1073"/>
      <c r="FJ413" s="1073"/>
      <c r="FK413" s="891">
        <f>FK50</f>
        <v>648847990.51759219</v>
      </c>
      <c r="FL413" s="891">
        <f t="shared" ref="FL413:FN413" si="1533">FL50</f>
        <v>208013093.03974912</v>
      </c>
      <c r="FM413" s="891">
        <f t="shared" si="1533"/>
        <v>195228616.65315571</v>
      </c>
      <c r="FN413" s="891">
        <f t="shared" si="1533"/>
        <v>245606280.82468733</v>
      </c>
      <c r="FO413" s="1074"/>
    </row>
    <row r="414" spans="2:171" x14ac:dyDescent="0.25">
      <c r="B414" s="108"/>
      <c r="C414" s="108" t="s">
        <v>523</v>
      </c>
      <c r="D414" s="1072"/>
      <c r="E414" s="124"/>
      <c r="F414" s="1073"/>
      <c r="G414" s="1634">
        <f>SUM(G409:G413)</f>
        <v>13793178680.27779</v>
      </c>
      <c r="H414" s="1634">
        <f>SUM(H409:H413)</f>
        <v>5991956843.1874628</v>
      </c>
      <c r="I414" s="1634">
        <f>SUM(I409:I413)</f>
        <v>0</v>
      </c>
      <c r="J414" s="1634">
        <f>SUM(J409:J413)</f>
        <v>7802602177.452405</v>
      </c>
      <c r="K414" s="1074"/>
      <c r="L414" s="1072"/>
      <c r="M414" s="1073"/>
      <c r="N414" s="1073"/>
      <c r="O414" s="1634">
        <f>SUM(O409:O413)</f>
        <v>13793178680.27779</v>
      </c>
      <c r="P414" s="1634">
        <f>SUM(P409:P413)</f>
        <v>5991956843.1874628</v>
      </c>
      <c r="Q414" s="1634">
        <f>SUM(Q409:Q413)</f>
        <v>3491067597.4393702</v>
      </c>
      <c r="R414" s="1634">
        <f>SUM(R409:R413)</f>
        <v>4310154239.6509571</v>
      </c>
      <c r="S414" s="1074"/>
      <c r="T414" s="1072"/>
      <c r="U414" s="1073"/>
      <c r="V414" s="1073"/>
      <c r="W414" s="1634">
        <f>SUM(W409:W413)</f>
        <v>13793178680.27779</v>
      </c>
      <c r="X414" s="1634">
        <f>SUM(X409:X413)</f>
        <v>5991956843.1874628</v>
      </c>
      <c r="Y414" s="1634">
        <f>SUM(Y409:Y413)</f>
        <v>3491067597.4393702</v>
      </c>
      <c r="Z414" s="1634">
        <f>SUM(Z409:Z413)</f>
        <v>4310154239.6509571</v>
      </c>
      <c r="AA414" s="1074"/>
      <c r="AB414" s="1072"/>
      <c r="AC414" s="1073"/>
      <c r="AD414" s="1073"/>
      <c r="AE414" s="1634">
        <f>SUM(AE409:AE413)</f>
        <v>13793178680.27779</v>
      </c>
      <c r="AF414" s="1634">
        <f>SUM(AF409:AF413)</f>
        <v>5991956843.1874628</v>
      </c>
      <c r="AG414" s="1634">
        <f>SUM(AG409:AG413)</f>
        <v>3491067597.4393702</v>
      </c>
      <c r="AH414" s="1634">
        <f>SUM(AH409:AH413)</f>
        <v>4310154239.6509571</v>
      </c>
      <c r="AI414" s="1074"/>
      <c r="AJ414" s="1072"/>
      <c r="AK414" s="1073"/>
      <c r="AL414" s="1073"/>
      <c r="AM414" s="1634">
        <f>SUM(AM409:AM413)</f>
        <v>13793178680.27779</v>
      </c>
      <c r="AN414" s="1634">
        <f>SUM(AN409:AN413)</f>
        <v>5991956843.1874628</v>
      </c>
      <c r="AO414" s="1634">
        <f>SUM(AO409:AO413)</f>
        <v>3491067597.4393702</v>
      </c>
      <c r="AP414" s="1634">
        <f>SUM(AP409:AP413)</f>
        <v>4310154239.6509571</v>
      </c>
      <c r="AQ414" s="1074"/>
      <c r="AR414" s="1072"/>
      <c r="AS414" s="1073"/>
      <c r="AT414" s="1073"/>
      <c r="AU414" s="1634">
        <f>SUM(AU409:AU413)</f>
        <v>13793178680.27779</v>
      </c>
      <c r="AV414" s="1634">
        <f>SUM(AV409:AV413)</f>
        <v>5991956843.1874628</v>
      </c>
      <c r="AW414" s="1634">
        <f>SUM(AW409:AW413)</f>
        <v>3491067597.4393702</v>
      </c>
      <c r="AX414" s="1634">
        <f>SUM(AX409:AX413)</f>
        <v>4310154239.6509571</v>
      </c>
      <c r="AY414" s="1074"/>
      <c r="AZ414" s="1072"/>
      <c r="BA414" s="1073"/>
      <c r="BB414" s="1073"/>
      <c r="BC414" s="1634">
        <f>SUM(BC409:BC413)</f>
        <v>13793178680.27779</v>
      </c>
      <c r="BD414" s="1634">
        <f>SUM(BD409:BD413)</f>
        <v>5991956843.1874628</v>
      </c>
      <c r="BE414" s="1634">
        <f>SUM(BE409:BE413)</f>
        <v>3491067597.4393702</v>
      </c>
      <c r="BF414" s="1634">
        <f>SUM(BF409:BF413)</f>
        <v>4310154239.6509571</v>
      </c>
      <c r="BG414" s="1074"/>
      <c r="BH414" s="1072"/>
      <c r="BI414" s="1073"/>
      <c r="BJ414" s="1073"/>
      <c r="BK414" s="1634">
        <f>SUM(BK409:BK413)</f>
        <v>13793178680.27779</v>
      </c>
      <c r="BL414" s="1634">
        <f>SUM(BL409:BL413)</f>
        <v>5991956843.1874628</v>
      </c>
      <c r="BM414" s="1634">
        <f>SUM(BM409:BM413)</f>
        <v>3491067597.4393702</v>
      </c>
      <c r="BN414" s="1634">
        <f>SUM(BN409:BN413)</f>
        <v>4310154239.6509571</v>
      </c>
      <c r="BO414" s="1074"/>
      <c r="BP414" s="1072"/>
      <c r="BQ414" s="1073"/>
      <c r="BR414" s="1073"/>
      <c r="BS414" s="1634">
        <f>SUM(BS409:BS413)</f>
        <v>13793178680.27779</v>
      </c>
      <c r="BT414" s="1634">
        <f>SUM(BT409:BT413)</f>
        <v>5991956843.1874628</v>
      </c>
      <c r="BU414" s="1634">
        <f>SUM(BU409:BU413)</f>
        <v>3491067597.4393702</v>
      </c>
      <c r="BV414" s="1634">
        <f>SUM(BV409:BV413)</f>
        <v>4310154239.6509571</v>
      </c>
      <c r="BW414" s="1074"/>
      <c r="BX414" s="1072"/>
      <c r="BY414" s="1073"/>
      <c r="BZ414" s="1073"/>
      <c r="CA414" s="1634">
        <f>SUM(CA409:CA413)</f>
        <v>13793178680.27779</v>
      </c>
      <c r="CB414" s="1634">
        <f>SUM(CB409:CB413)</f>
        <v>5991956843.1874628</v>
      </c>
      <c r="CC414" s="1634">
        <f>SUM(CC409:CC413)</f>
        <v>3491067597.4393702</v>
      </c>
      <c r="CD414" s="1634">
        <f>SUM(CD409:CD413)</f>
        <v>4310154239.6509571</v>
      </c>
      <c r="CE414" s="1074"/>
      <c r="CF414" s="1072"/>
      <c r="CG414" s="1073"/>
      <c r="CH414" s="1073"/>
      <c r="CI414" s="1634">
        <f>SUM(CI409:CI413)</f>
        <v>13793178680.27779</v>
      </c>
      <c r="CJ414" s="1634">
        <f>SUM(CJ409:CJ413)</f>
        <v>5991956843.1874628</v>
      </c>
      <c r="CK414" s="1634">
        <f>SUM(CK409:CK413)</f>
        <v>3491067597.4393702</v>
      </c>
      <c r="CL414" s="1634">
        <f>SUM(CL409:CL413)</f>
        <v>4310154239.6509571</v>
      </c>
      <c r="CM414" s="1074"/>
      <c r="CN414" s="1072"/>
      <c r="CO414" s="1073"/>
      <c r="CP414" s="1073"/>
      <c r="CQ414" s="1634">
        <f>SUM(CQ409:CQ413)</f>
        <v>13793178680.27779</v>
      </c>
      <c r="CR414" s="1634">
        <f>SUM(CR409:CR413)</f>
        <v>5991956843.1874628</v>
      </c>
      <c r="CS414" s="1634">
        <f>SUM(CS409:CS413)</f>
        <v>3491067597.4393702</v>
      </c>
      <c r="CT414" s="1634">
        <f>SUM(CT409:CT413)</f>
        <v>4310154239.6509571</v>
      </c>
      <c r="CU414" s="1074"/>
      <c r="CV414" s="1072"/>
      <c r="CW414" s="1073"/>
      <c r="CX414" s="1073"/>
      <c r="CY414" s="1634">
        <f>SUM(CY409:CY413)</f>
        <v>13793178680.27779</v>
      </c>
      <c r="CZ414" s="1634">
        <f>SUM(CZ409:CZ413)</f>
        <v>5991956843.1874628</v>
      </c>
      <c r="DA414" s="1634">
        <f>SUM(DA409:DA413)</f>
        <v>3491067597.4393702</v>
      </c>
      <c r="DB414" s="1634">
        <f>SUM(DB409:DB413)</f>
        <v>4310154239.6509571</v>
      </c>
      <c r="DC414" s="1074"/>
      <c r="DD414" s="1072"/>
      <c r="DE414" s="1073"/>
      <c r="DF414" s="1073"/>
      <c r="DG414" s="1634">
        <f>SUM(DG409:DG413)</f>
        <v>13793178680.27779</v>
      </c>
      <c r="DH414" s="1634">
        <f>SUM(DH409:DH413)</f>
        <v>5991956843.1874628</v>
      </c>
      <c r="DI414" s="1634">
        <f>SUM(DI409:DI413)</f>
        <v>3491067597.4393702</v>
      </c>
      <c r="DJ414" s="1634">
        <f>SUM(DJ409:DJ413)</f>
        <v>4310154239.6509571</v>
      </c>
      <c r="DK414" s="1074"/>
      <c r="DL414" s="1072"/>
      <c r="DM414" s="1073"/>
      <c r="DN414" s="1073"/>
      <c r="DO414" s="1634">
        <f>SUM(DO409:DO413)</f>
        <v>13793178680.27779</v>
      </c>
      <c r="DP414" s="1634">
        <f>SUM(DP409:DP413)</f>
        <v>5991956843.1874628</v>
      </c>
      <c r="DQ414" s="1634">
        <f>SUM(DQ409:DQ413)</f>
        <v>3491067597.4393702</v>
      </c>
      <c r="DR414" s="1634">
        <f>SUM(DR409:DR413)</f>
        <v>4310154239.6509571</v>
      </c>
      <c r="DS414" s="1074"/>
      <c r="DT414" s="1072"/>
      <c r="DU414" s="1073"/>
      <c r="DV414" s="1073"/>
      <c r="DW414" s="1634">
        <f>SUM(DW409:DW413)</f>
        <v>13793178680.27779</v>
      </c>
      <c r="DX414" s="1634">
        <f>SUM(DX409:DX413)</f>
        <v>5991956843.1874628</v>
      </c>
      <c r="DY414" s="1634">
        <f>SUM(DY409:DY413)</f>
        <v>3491067597.4393702</v>
      </c>
      <c r="DZ414" s="1634">
        <f>SUM(DZ409:DZ413)</f>
        <v>4310154239.6509571</v>
      </c>
      <c r="EA414" s="1074"/>
      <c r="EB414" s="1072"/>
      <c r="EC414" s="1073"/>
      <c r="ED414" s="1073"/>
      <c r="EE414" s="1634">
        <f>SUM(EE409:EE413)</f>
        <v>13793178680.27779</v>
      </c>
      <c r="EF414" s="1634">
        <f>SUM(EF409:EF413)</f>
        <v>5991956843.1874628</v>
      </c>
      <c r="EG414" s="1634">
        <f>SUM(EG409:EG413)</f>
        <v>3491067597.4393702</v>
      </c>
      <c r="EH414" s="1634">
        <f>SUM(EH409:EH413)</f>
        <v>4310154239.6509571</v>
      </c>
      <c r="EI414" s="1074"/>
      <c r="EJ414" s="1072"/>
      <c r="EK414" s="1073"/>
      <c r="EL414" s="1073"/>
      <c r="EM414" s="1634">
        <f>SUM(EM409:EM413)</f>
        <v>13793178680.27779</v>
      </c>
      <c r="EN414" s="1634">
        <f>SUM(EN409:EN413)</f>
        <v>5991956843.1874628</v>
      </c>
      <c r="EO414" s="1634">
        <f>SUM(EO409:EO413)</f>
        <v>3491067597.4393702</v>
      </c>
      <c r="EP414" s="1634">
        <f>SUM(EP409:EP413)</f>
        <v>4310154239.6509571</v>
      </c>
      <c r="EQ414" s="1074"/>
      <c r="ER414" s="1072"/>
      <c r="ES414" s="1073"/>
      <c r="ET414" s="1073"/>
      <c r="EU414" s="1634">
        <f>SUM(EU409:EU413)</f>
        <v>13793178680.27779</v>
      </c>
      <c r="EV414" s="1634">
        <f>SUM(EV409:EV413)</f>
        <v>5991956843.1874628</v>
      </c>
      <c r="EW414" s="1634">
        <f>SUM(EW409:EW413)</f>
        <v>3491067597.4393702</v>
      </c>
      <c r="EX414" s="1634">
        <f>SUM(EX409:EX413)</f>
        <v>4310154239.6509571</v>
      </c>
      <c r="EY414" s="1074"/>
      <c r="EZ414" s="1072"/>
      <c r="FA414" s="1073"/>
      <c r="FB414" s="1073"/>
      <c r="FC414" s="1634">
        <f>SUM(FC409:FC413)</f>
        <v>13793178680.27779</v>
      </c>
      <c r="FD414" s="1634">
        <f>SUM(FD409:FD413)</f>
        <v>5991956843.1874628</v>
      </c>
      <c r="FE414" s="1634">
        <f>SUM(FE409:FE413)</f>
        <v>3491067597.4393702</v>
      </c>
      <c r="FF414" s="1634">
        <f>SUM(FF409:FF413)</f>
        <v>4310154239.6509571</v>
      </c>
      <c r="FG414" s="1074"/>
      <c r="FH414" s="1072"/>
      <c r="FI414" s="1073"/>
      <c r="FJ414" s="1073"/>
      <c r="FK414" s="1634">
        <f>SUM(FK409:FK413)</f>
        <v>13793178680.27779</v>
      </c>
      <c r="FL414" s="1634">
        <f>SUM(FL409:FL413)</f>
        <v>5991956843.1874628</v>
      </c>
      <c r="FM414" s="1634">
        <f>SUM(FM409:FM413)</f>
        <v>3491067597.4393702</v>
      </c>
      <c r="FN414" s="1634">
        <f>SUM(FN409:FN413)</f>
        <v>4310154239.6509571</v>
      </c>
      <c r="FO414" s="1074"/>
    </row>
    <row r="415" spans="2:171" x14ac:dyDescent="0.25">
      <c r="B415" s="123"/>
      <c r="C415" s="123" t="s">
        <v>342</v>
      </c>
      <c r="D415" s="1296" t="s">
        <v>636</v>
      </c>
      <c r="E415" s="564"/>
      <c r="F415" s="1076"/>
      <c r="G415" s="1635">
        <f>H415+I415+J415</f>
        <v>1.0001000741304142</v>
      </c>
      <c r="H415" s="1635">
        <f>IF($G414=0,0,H414/G414)</f>
        <v>0.43441450169532542</v>
      </c>
      <c r="I415" s="1635">
        <f>IF($G414=0,0,I414/G414)</f>
        <v>0</v>
      </c>
      <c r="J415" s="1635">
        <f>IF($G414=0,0,J414/G414)</f>
        <v>0.56568557243508888</v>
      </c>
      <c r="K415" s="1079"/>
      <c r="L415" s="1075" t="s">
        <v>636</v>
      </c>
      <c r="M415" s="1076"/>
      <c r="N415" s="1076"/>
      <c r="O415" s="1635">
        <f>P415+Q415+R415</f>
        <v>1</v>
      </c>
      <c r="P415" s="1635">
        <f>IF($G414=0,0,P414/O414)</f>
        <v>0.43441450169532542</v>
      </c>
      <c r="Q415" s="1635">
        <f>IF($G414=0,0,Q414/O414)</f>
        <v>0.2531010203203618</v>
      </c>
      <c r="R415" s="1635">
        <f>IF($G414=0,0,R414/O414)</f>
        <v>0.31248447798431273</v>
      </c>
      <c r="S415" s="1079"/>
      <c r="T415" s="1075" t="s">
        <v>636</v>
      </c>
      <c r="U415" s="1076"/>
      <c r="V415" s="1076"/>
      <c r="W415" s="1635">
        <f>X415+Y415+Z415</f>
        <v>1</v>
      </c>
      <c r="X415" s="1635">
        <f>IF($G414=0,0,X414/W414)</f>
        <v>0.43441450169532542</v>
      </c>
      <c r="Y415" s="1635">
        <f>IF($G414=0,0,Y414/W414)</f>
        <v>0.2531010203203618</v>
      </c>
      <c r="Z415" s="1635">
        <f>IF($G414=0,0,Z414/W414)</f>
        <v>0.31248447798431273</v>
      </c>
      <c r="AA415" s="1079"/>
      <c r="AB415" s="1075" t="s">
        <v>636</v>
      </c>
      <c r="AC415" s="1076"/>
      <c r="AD415" s="1076"/>
      <c r="AE415" s="1635">
        <f>AF415+AG415+AH415</f>
        <v>1</v>
      </c>
      <c r="AF415" s="1635">
        <f>IF($G414=0,0,AF414/AE414)</f>
        <v>0.43441450169532542</v>
      </c>
      <c r="AG415" s="1635">
        <f>IF($G414=0,0,AG414/AE414)</f>
        <v>0.2531010203203618</v>
      </c>
      <c r="AH415" s="1635">
        <f>IF($G414=0,0,AH414/AE414)</f>
        <v>0.31248447798431273</v>
      </c>
      <c r="AI415" s="1079"/>
      <c r="AJ415" s="1075" t="s">
        <v>636</v>
      </c>
      <c r="AK415" s="1076"/>
      <c r="AL415" s="1076"/>
      <c r="AM415" s="1635">
        <f>AN415+AO415+AP415</f>
        <v>1</v>
      </c>
      <c r="AN415" s="1635">
        <f>IF($G414=0,0,AN414/AM414)</f>
        <v>0.43441450169532542</v>
      </c>
      <c r="AO415" s="1635">
        <f>IF($G414=0,0,AO414/AM414)</f>
        <v>0.2531010203203618</v>
      </c>
      <c r="AP415" s="1635">
        <f>IF($G414=0,0,AP414/AM414)</f>
        <v>0.31248447798431273</v>
      </c>
      <c r="AQ415" s="1079"/>
      <c r="AR415" s="1075" t="s">
        <v>636</v>
      </c>
      <c r="AS415" s="1076"/>
      <c r="AT415" s="1076"/>
      <c r="AU415" s="1635">
        <f>AV415+AW415+AX415</f>
        <v>1</v>
      </c>
      <c r="AV415" s="1635">
        <f>IF($G414=0,0,AV414/AU414)</f>
        <v>0.43441450169532542</v>
      </c>
      <c r="AW415" s="1635">
        <f>IF($G414=0,0,AW414/AU414)</f>
        <v>0.2531010203203618</v>
      </c>
      <c r="AX415" s="1635">
        <f>IF($G414=0,0,AX414/AU414)</f>
        <v>0.31248447798431273</v>
      </c>
      <c r="AY415" s="1079"/>
      <c r="AZ415" s="1075" t="s">
        <v>636</v>
      </c>
      <c r="BA415" s="1076"/>
      <c r="BB415" s="1076"/>
      <c r="BC415" s="1635">
        <f>BD415+BE415+BF415</f>
        <v>1</v>
      </c>
      <c r="BD415" s="1635">
        <f>IF($G414=0,0,BD414/BC414)</f>
        <v>0.43441450169532542</v>
      </c>
      <c r="BE415" s="1635">
        <f>IF($G414=0,0,BE414/BC414)</f>
        <v>0.2531010203203618</v>
      </c>
      <c r="BF415" s="1635">
        <f>IF($G414=0,0,BF414/BC414)</f>
        <v>0.31248447798431273</v>
      </c>
      <c r="BG415" s="1079"/>
      <c r="BH415" s="1075" t="s">
        <v>636</v>
      </c>
      <c r="BI415" s="1076"/>
      <c r="BJ415" s="1076"/>
      <c r="BK415" s="1635">
        <f>BL415+BM415+BN415</f>
        <v>1</v>
      </c>
      <c r="BL415" s="1635">
        <f>IF($G414=0,0,BL414/BK414)</f>
        <v>0.43441450169532542</v>
      </c>
      <c r="BM415" s="1635">
        <f>IF($G414=0,0,BM414/BK414)</f>
        <v>0.2531010203203618</v>
      </c>
      <c r="BN415" s="1635">
        <f>IF($G414=0,0,BN414/BK414)</f>
        <v>0.31248447798431273</v>
      </c>
      <c r="BO415" s="1079"/>
      <c r="BP415" s="1075" t="s">
        <v>636</v>
      </c>
      <c r="BQ415" s="1076"/>
      <c r="BR415" s="1076"/>
      <c r="BS415" s="1635">
        <f>BT415+BU415+BV415</f>
        <v>1</v>
      </c>
      <c r="BT415" s="1635">
        <f>IF($G414=0,0,BT414/BS414)</f>
        <v>0.43441450169532542</v>
      </c>
      <c r="BU415" s="1635">
        <f>IF($G414=0,0,BU414/BS414)</f>
        <v>0.2531010203203618</v>
      </c>
      <c r="BV415" s="1635">
        <f>IF($G414=0,0,BV414/BS414)</f>
        <v>0.31248447798431273</v>
      </c>
      <c r="BW415" s="1079"/>
      <c r="BX415" s="1075" t="s">
        <v>636</v>
      </c>
      <c r="BY415" s="1076"/>
      <c r="BZ415" s="1076"/>
      <c r="CA415" s="1635">
        <f>CB415+CC415+CD415</f>
        <v>1</v>
      </c>
      <c r="CB415" s="1635">
        <f>IF($G414=0,0,CB414/CA414)</f>
        <v>0.43441450169532542</v>
      </c>
      <c r="CC415" s="1635">
        <f>IF($G414=0,0,CC414/CA414)</f>
        <v>0.2531010203203618</v>
      </c>
      <c r="CD415" s="1635">
        <f>IF($G414=0,0,CD414/CA414)</f>
        <v>0.31248447798431273</v>
      </c>
      <c r="CE415" s="1079"/>
      <c r="CF415" s="1075" t="s">
        <v>636</v>
      </c>
      <c r="CG415" s="1076"/>
      <c r="CH415" s="1076"/>
      <c r="CI415" s="1635">
        <f>CJ415+CK415+CL415</f>
        <v>1</v>
      </c>
      <c r="CJ415" s="1635">
        <f>IF($G414=0,0,CJ414/CI414)</f>
        <v>0.43441450169532542</v>
      </c>
      <c r="CK415" s="1635">
        <f>IF($G414=0,0,CK414/CI414)</f>
        <v>0.2531010203203618</v>
      </c>
      <c r="CL415" s="1635">
        <f>IF($G414=0,0,CL414/CI414)</f>
        <v>0.31248447798431273</v>
      </c>
      <c r="CM415" s="1079"/>
      <c r="CN415" s="1075" t="s">
        <v>636</v>
      </c>
      <c r="CO415" s="1076"/>
      <c r="CP415" s="1076"/>
      <c r="CQ415" s="1635">
        <f>CR415+CS415+CT415</f>
        <v>1</v>
      </c>
      <c r="CR415" s="1635">
        <f>IF($G414=0,0,CR414/CQ414)</f>
        <v>0.43441450169532542</v>
      </c>
      <c r="CS415" s="1635">
        <f>IF($G414=0,0,CS414/CQ414)</f>
        <v>0.2531010203203618</v>
      </c>
      <c r="CT415" s="1635">
        <f>IF($G414=0,0,CT414/CQ414)</f>
        <v>0.31248447798431273</v>
      </c>
      <c r="CU415" s="1079"/>
      <c r="CV415" s="1075" t="s">
        <v>636</v>
      </c>
      <c r="CW415" s="1076"/>
      <c r="CX415" s="1076"/>
      <c r="CY415" s="1635">
        <f>CZ415+DA415+DB415</f>
        <v>1</v>
      </c>
      <c r="CZ415" s="1635">
        <f>IF($G414=0,0,CZ414/CY414)</f>
        <v>0.43441450169532542</v>
      </c>
      <c r="DA415" s="1635">
        <f>IF($G414=0,0,DA414/CY414)</f>
        <v>0.2531010203203618</v>
      </c>
      <c r="DB415" s="1635">
        <f>IF($G414=0,0,DB414/CY414)</f>
        <v>0.31248447798431273</v>
      </c>
      <c r="DC415" s="1079"/>
      <c r="DD415" s="1075" t="s">
        <v>636</v>
      </c>
      <c r="DE415" s="1076"/>
      <c r="DF415" s="1076"/>
      <c r="DG415" s="1635">
        <f>DH415+DI415+DJ415</f>
        <v>1</v>
      </c>
      <c r="DH415" s="1635">
        <f>IF($G414=0,0,DH414/DG414)</f>
        <v>0.43441450169532542</v>
      </c>
      <c r="DI415" s="1635">
        <f>IF($G414=0,0,DI414/DG414)</f>
        <v>0.2531010203203618</v>
      </c>
      <c r="DJ415" s="1635">
        <f>IF($G414=0,0,DJ414/DG414)</f>
        <v>0.31248447798431273</v>
      </c>
      <c r="DK415" s="1079"/>
      <c r="DL415" s="1075" t="s">
        <v>636</v>
      </c>
      <c r="DM415" s="1076"/>
      <c r="DN415" s="1076"/>
      <c r="DO415" s="1635">
        <f>DP415+DQ415+DR415</f>
        <v>1</v>
      </c>
      <c r="DP415" s="1635">
        <f>IF($G414=0,0,DP414/DO414)</f>
        <v>0.43441450169532542</v>
      </c>
      <c r="DQ415" s="1635">
        <f>IF($G414=0,0,DQ414/DO414)</f>
        <v>0.2531010203203618</v>
      </c>
      <c r="DR415" s="1635">
        <f>IF($G414=0,0,DR414/DO414)</f>
        <v>0.31248447798431273</v>
      </c>
      <c r="DS415" s="1079"/>
      <c r="DT415" s="1075" t="s">
        <v>636</v>
      </c>
      <c r="DU415" s="1076"/>
      <c r="DV415" s="1076"/>
      <c r="DW415" s="1635">
        <f>DX415+DY415+DZ415</f>
        <v>1</v>
      </c>
      <c r="DX415" s="1635">
        <f>IF($G414=0,0,DX414/DW414)</f>
        <v>0.43441450169532542</v>
      </c>
      <c r="DY415" s="1635">
        <f>IF($G414=0,0,DY414/DW414)</f>
        <v>0.2531010203203618</v>
      </c>
      <c r="DZ415" s="1635">
        <f>IF($G414=0,0,DZ414/DW414)</f>
        <v>0.31248447798431273</v>
      </c>
      <c r="EA415" s="1079"/>
      <c r="EB415" s="1075" t="s">
        <v>636</v>
      </c>
      <c r="EC415" s="1076"/>
      <c r="ED415" s="1076"/>
      <c r="EE415" s="1635">
        <f>EF415+EG415+EH415</f>
        <v>1</v>
      </c>
      <c r="EF415" s="1635">
        <f>IF($G414=0,0,EF414/EE414)</f>
        <v>0.43441450169532542</v>
      </c>
      <c r="EG415" s="1635">
        <f>IF($G414=0,0,EG414/EE414)</f>
        <v>0.2531010203203618</v>
      </c>
      <c r="EH415" s="1635">
        <f>IF($G414=0,0,EH414/EE414)</f>
        <v>0.31248447798431273</v>
      </c>
      <c r="EI415" s="1079"/>
      <c r="EJ415" s="1075" t="s">
        <v>636</v>
      </c>
      <c r="EK415" s="1076"/>
      <c r="EL415" s="1076"/>
      <c r="EM415" s="1635">
        <f>EN415+EO415+EP415</f>
        <v>1</v>
      </c>
      <c r="EN415" s="1635">
        <f>IF($G414=0,0,EN414/EM414)</f>
        <v>0.43441450169532542</v>
      </c>
      <c r="EO415" s="1635">
        <f>IF($G414=0,0,EO414/EM414)</f>
        <v>0.2531010203203618</v>
      </c>
      <c r="EP415" s="1635">
        <f>IF($G414=0,0,EP414/EM414)</f>
        <v>0.31248447798431273</v>
      </c>
      <c r="EQ415" s="1079"/>
      <c r="ER415" s="1075" t="s">
        <v>636</v>
      </c>
      <c r="ES415" s="1076"/>
      <c r="ET415" s="1076"/>
      <c r="EU415" s="1635">
        <f>EV415+EW415+EX415</f>
        <v>1</v>
      </c>
      <c r="EV415" s="1635">
        <f>IF($G414=0,0,EV414/EU414)</f>
        <v>0.43441450169532542</v>
      </c>
      <c r="EW415" s="1635">
        <f>IF($G414=0,0,EW414/EU414)</f>
        <v>0.2531010203203618</v>
      </c>
      <c r="EX415" s="1635">
        <f>IF($G414=0,0,EX414/EU414)</f>
        <v>0.31248447798431273</v>
      </c>
      <c r="EY415" s="1079"/>
      <c r="EZ415" s="1075" t="s">
        <v>636</v>
      </c>
      <c r="FA415" s="1076"/>
      <c r="FB415" s="1076"/>
      <c r="FC415" s="1635">
        <f>FD415+FE415+FF415</f>
        <v>1</v>
      </c>
      <c r="FD415" s="1635">
        <f>IF($G414=0,0,FD414/FC414)</f>
        <v>0.43441450169532542</v>
      </c>
      <c r="FE415" s="1635">
        <f>IF($G414=0,0,FE414/FC414)</f>
        <v>0.2531010203203618</v>
      </c>
      <c r="FF415" s="1635">
        <f>IF($G414=0,0,FF414/FC414)</f>
        <v>0.31248447798431273</v>
      </c>
      <c r="FG415" s="1079"/>
      <c r="FH415" s="1075" t="s">
        <v>636</v>
      </c>
      <c r="FI415" s="1076"/>
      <c r="FJ415" s="1076"/>
      <c r="FK415" s="1635">
        <f>FL415+FM415+FN415</f>
        <v>1</v>
      </c>
      <c r="FL415" s="1635">
        <f>IF($G414=0,0,FL414/FK414)</f>
        <v>0.43441450169532542</v>
      </c>
      <c r="FM415" s="1635">
        <f>IF($G414=0,0,FM414/FK414)</f>
        <v>0.2531010203203618</v>
      </c>
      <c r="FN415" s="1635">
        <f>IF($G414=0,0,FN414/FK414)</f>
        <v>0.31248447798431273</v>
      </c>
      <c r="FO415" s="1079"/>
    </row>
    <row r="416" spans="2:171" x14ac:dyDescent="0.25">
      <c r="K416" s="1074"/>
      <c r="S416" s="1074"/>
      <c r="AA416" s="1074"/>
      <c r="AI416" s="1074"/>
      <c r="AQ416" s="1074"/>
      <c r="AY416" s="1074"/>
      <c r="BG416" s="1074"/>
      <c r="BO416" s="1074"/>
      <c r="BW416" s="1074"/>
      <c r="CE416" s="1074"/>
      <c r="CM416" s="1074"/>
      <c r="CU416" s="1074"/>
      <c r="DC416" s="1074"/>
      <c r="DK416" s="1074"/>
      <c r="DS416" s="1074"/>
      <c r="EA416" s="1074"/>
      <c r="EI416" s="1074"/>
      <c r="EQ416" s="1074"/>
      <c r="EY416" s="1074"/>
      <c r="FG416" s="1074"/>
      <c r="FO416" s="1074"/>
    </row>
    <row r="417" spans="2:171" x14ac:dyDescent="0.25">
      <c r="E417" s="302" t="s">
        <v>521</v>
      </c>
      <c r="G417" s="303" t="s">
        <v>104</v>
      </c>
      <c r="H417" s="303" t="s">
        <v>105</v>
      </c>
      <c r="I417" s="303" t="s">
        <v>106</v>
      </c>
      <c r="J417" s="304" t="s">
        <v>512</v>
      </c>
      <c r="K417" s="1079"/>
      <c r="O417" s="303" t="s">
        <v>104</v>
      </c>
      <c r="P417" s="303" t="s">
        <v>105</v>
      </c>
      <c r="Q417" s="303" t="s">
        <v>106</v>
      </c>
      <c r="R417" s="304" t="s">
        <v>512</v>
      </c>
      <c r="S417" s="1079"/>
      <c r="W417" s="303" t="s">
        <v>104</v>
      </c>
      <c r="X417" s="303" t="s">
        <v>105</v>
      </c>
      <c r="Y417" s="303" t="s">
        <v>106</v>
      </c>
      <c r="Z417" s="304" t="s">
        <v>512</v>
      </c>
      <c r="AA417" s="1079"/>
      <c r="AE417" s="303" t="s">
        <v>104</v>
      </c>
      <c r="AF417" s="303" t="s">
        <v>105</v>
      </c>
      <c r="AG417" s="303" t="s">
        <v>106</v>
      </c>
      <c r="AH417" s="304" t="s">
        <v>512</v>
      </c>
      <c r="AI417" s="1079"/>
      <c r="AM417" s="303" t="s">
        <v>104</v>
      </c>
      <c r="AN417" s="303" t="s">
        <v>105</v>
      </c>
      <c r="AO417" s="303" t="s">
        <v>106</v>
      </c>
      <c r="AP417" s="304" t="s">
        <v>512</v>
      </c>
      <c r="AQ417" s="1079"/>
      <c r="AU417" s="303" t="s">
        <v>104</v>
      </c>
      <c r="AV417" s="303" t="s">
        <v>105</v>
      </c>
      <c r="AW417" s="303" t="s">
        <v>106</v>
      </c>
      <c r="AX417" s="304" t="s">
        <v>512</v>
      </c>
      <c r="AY417" s="1079"/>
      <c r="BC417" s="303" t="s">
        <v>104</v>
      </c>
      <c r="BD417" s="303" t="s">
        <v>105</v>
      </c>
      <c r="BE417" s="303" t="s">
        <v>106</v>
      </c>
      <c r="BF417" s="304" t="s">
        <v>512</v>
      </c>
      <c r="BG417" s="1079"/>
      <c r="BK417" s="303" t="s">
        <v>104</v>
      </c>
      <c r="BL417" s="303" t="s">
        <v>105</v>
      </c>
      <c r="BM417" s="303" t="s">
        <v>106</v>
      </c>
      <c r="BN417" s="304" t="s">
        <v>512</v>
      </c>
      <c r="BO417" s="1079"/>
      <c r="BS417" s="303" t="s">
        <v>104</v>
      </c>
      <c r="BT417" s="303" t="s">
        <v>105</v>
      </c>
      <c r="BU417" s="303" t="s">
        <v>106</v>
      </c>
      <c r="BV417" s="304" t="s">
        <v>512</v>
      </c>
      <c r="BW417" s="1079"/>
      <c r="CA417" s="303" t="s">
        <v>104</v>
      </c>
      <c r="CB417" s="303" t="s">
        <v>105</v>
      </c>
      <c r="CC417" s="303" t="s">
        <v>106</v>
      </c>
      <c r="CD417" s="304" t="s">
        <v>512</v>
      </c>
      <c r="CE417" s="1079"/>
      <c r="CI417" s="303" t="s">
        <v>104</v>
      </c>
      <c r="CJ417" s="303" t="s">
        <v>105</v>
      </c>
      <c r="CK417" s="303" t="s">
        <v>106</v>
      </c>
      <c r="CL417" s="304" t="s">
        <v>512</v>
      </c>
      <c r="CM417" s="1079"/>
      <c r="CQ417" s="303" t="s">
        <v>104</v>
      </c>
      <c r="CR417" s="303" t="s">
        <v>105</v>
      </c>
      <c r="CS417" s="303" t="s">
        <v>106</v>
      </c>
      <c r="CT417" s="304" t="s">
        <v>512</v>
      </c>
      <c r="CU417" s="1079"/>
      <c r="CY417" s="303" t="s">
        <v>104</v>
      </c>
      <c r="CZ417" s="303" t="s">
        <v>105</v>
      </c>
      <c r="DA417" s="303" t="s">
        <v>106</v>
      </c>
      <c r="DB417" s="304" t="s">
        <v>512</v>
      </c>
      <c r="DC417" s="1079"/>
      <c r="DG417" s="303" t="s">
        <v>104</v>
      </c>
      <c r="DH417" s="303" t="s">
        <v>105</v>
      </c>
      <c r="DI417" s="303" t="s">
        <v>106</v>
      </c>
      <c r="DJ417" s="304" t="s">
        <v>512</v>
      </c>
      <c r="DK417" s="1079"/>
      <c r="DO417" s="303" t="s">
        <v>104</v>
      </c>
      <c r="DP417" s="303" t="s">
        <v>105</v>
      </c>
      <c r="DQ417" s="303" t="s">
        <v>106</v>
      </c>
      <c r="DR417" s="304" t="s">
        <v>512</v>
      </c>
      <c r="DS417" s="1079"/>
      <c r="DW417" s="303" t="s">
        <v>104</v>
      </c>
      <c r="DX417" s="303" t="s">
        <v>105</v>
      </c>
      <c r="DY417" s="303" t="s">
        <v>106</v>
      </c>
      <c r="DZ417" s="304" t="s">
        <v>512</v>
      </c>
      <c r="EA417" s="1079"/>
      <c r="EE417" s="303" t="s">
        <v>104</v>
      </c>
      <c r="EF417" s="303" t="s">
        <v>105</v>
      </c>
      <c r="EG417" s="303" t="s">
        <v>106</v>
      </c>
      <c r="EH417" s="304" t="s">
        <v>512</v>
      </c>
      <c r="EI417" s="1079"/>
      <c r="EM417" s="303" t="s">
        <v>104</v>
      </c>
      <c r="EN417" s="303" t="s">
        <v>105</v>
      </c>
      <c r="EO417" s="303" t="s">
        <v>106</v>
      </c>
      <c r="EP417" s="304" t="s">
        <v>512</v>
      </c>
      <c r="EQ417" s="1079"/>
      <c r="EU417" s="303" t="s">
        <v>104</v>
      </c>
      <c r="EV417" s="303" t="s">
        <v>105</v>
      </c>
      <c r="EW417" s="303" t="s">
        <v>106</v>
      </c>
      <c r="EX417" s="304" t="s">
        <v>512</v>
      </c>
      <c r="EY417" s="1079"/>
      <c r="FC417" s="303" t="s">
        <v>104</v>
      </c>
      <c r="FD417" s="303" t="s">
        <v>105</v>
      </c>
      <c r="FE417" s="303" t="s">
        <v>106</v>
      </c>
      <c r="FF417" s="304" t="s">
        <v>512</v>
      </c>
      <c r="FG417" s="1079"/>
      <c r="FK417" s="303" t="s">
        <v>104</v>
      </c>
      <c r="FL417" s="303" t="s">
        <v>105</v>
      </c>
      <c r="FM417" s="303" t="s">
        <v>106</v>
      </c>
      <c r="FN417" s="304" t="s">
        <v>512</v>
      </c>
      <c r="FO417" s="1079"/>
    </row>
    <row r="418" spans="2:171" x14ac:dyDescent="0.25">
      <c r="B418" s="108"/>
      <c r="C418" s="108" t="s">
        <v>121</v>
      </c>
      <c r="D418" s="1072"/>
      <c r="E418" s="905" t="s">
        <v>393</v>
      </c>
      <c r="G418" s="891">
        <f>G30</f>
        <v>3295838980.7862144</v>
      </c>
      <c r="H418" s="891">
        <f t="shared" ref="H418:J418" si="1534">H30</f>
        <v>0</v>
      </c>
      <c r="I418" s="891">
        <f t="shared" si="1534"/>
        <v>0</v>
      </c>
      <c r="J418" s="891">
        <f t="shared" si="1534"/>
        <v>3295838980.7862144</v>
      </c>
      <c r="K418" s="1074"/>
      <c r="L418" s="1072"/>
      <c r="M418" s="1073"/>
      <c r="N418" s="1073"/>
      <c r="O418" s="891">
        <f>O30</f>
        <v>3295838980.7862144</v>
      </c>
      <c r="P418" s="891">
        <f t="shared" ref="P418:R418" si="1535">P30</f>
        <v>0</v>
      </c>
      <c r="Q418" s="891">
        <f t="shared" si="1535"/>
        <v>3295838980.7862144</v>
      </c>
      <c r="R418" s="891">
        <f t="shared" si="1535"/>
        <v>0</v>
      </c>
      <c r="S418" s="1074"/>
      <c r="T418" s="1072"/>
      <c r="U418" s="1073"/>
      <c r="V418" s="1073"/>
      <c r="W418" s="891">
        <f>W30</f>
        <v>3295838980.7862144</v>
      </c>
      <c r="X418" s="891">
        <f t="shared" ref="X418:Z418" si="1536">X30</f>
        <v>0</v>
      </c>
      <c r="Y418" s="891">
        <f t="shared" si="1536"/>
        <v>3295838980.7862144</v>
      </c>
      <c r="Z418" s="891">
        <f t="shared" si="1536"/>
        <v>0</v>
      </c>
      <c r="AA418" s="1074"/>
      <c r="AB418" s="1072"/>
      <c r="AC418" s="1073"/>
      <c r="AD418" s="1073"/>
      <c r="AE418" s="891">
        <f>AE30</f>
        <v>3295838980.7862144</v>
      </c>
      <c r="AF418" s="891">
        <f t="shared" ref="AF418:AH418" si="1537">AF30</f>
        <v>0</v>
      </c>
      <c r="AG418" s="891">
        <f t="shared" si="1537"/>
        <v>3295838980.7862144</v>
      </c>
      <c r="AH418" s="891">
        <f t="shared" si="1537"/>
        <v>0</v>
      </c>
      <c r="AI418" s="1074"/>
      <c r="AJ418" s="1072"/>
      <c r="AK418" s="1073"/>
      <c r="AL418" s="1073"/>
      <c r="AM418" s="891">
        <f>AM30</f>
        <v>3295838980.7862144</v>
      </c>
      <c r="AN418" s="891">
        <f t="shared" ref="AN418:AP418" si="1538">AN30</f>
        <v>0</v>
      </c>
      <c r="AO418" s="891">
        <f t="shared" si="1538"/>
        <v>3295838980.7862144</v>
      </c>
      <c r="AP418" s="891">
        <f t="shared" si="1538"/>
        <v>0</v>
      </c>
      <c r="AQ418" s="1074"/>
      <c r="AR418" s="1072"/>
      <c r="AS418" s="1073"/>
      <c r="AT418" s="1073"/>
      <c r="AU418" s="891">
        <f>AU30</f>
        <v>3295838980.7862144</v>
      </c>
      <c r="AV418" s="891">
        <f t="shared" ref="AV418:AX418" si="1539">AV30</f>
        <v>0</v>
      </c>
      <c r="AW418" s="891">
        <f t="shared" si="1539"/>
        <v>3295838980.7862144</v>
      </c>
      <c r="AX418" s="891">
        <f t="shared" si="1539"/>
        <v>0</v>
      </c>
      <c r="AY418" s="1074"/>
      <c r="AZ418" s="1072"/>
      <c r="BA418" s="1073"/>
      <c r="BB418" s="1073"/>
      <c r="BC418" s="891">
        <f>BC30</f>
        <v>3295838980.7862144</v>
      </c>
      <c r="BD418" s="891">
        <f t="shared" ref="BD418:BF418" si="1540">BD30</f>
        <v>0</v>
      </c>
      <c r="BE418" s="891">
        <f t="shared" si="1540"/>
        <v>3295838980.7862144</v>
      </c>
      <c r="BF418" s="891">
        <f t="shared" si="1540"/>
        <v>0</v>
      </c>
      <c r="BG418" s="1074"/>
      <c r="BH418" s="1072"/>
      <c r="BI418" s="1073"/>
      <c r="BJ418" s="1073"/>
      <c r="BK418" s="891">
        <f>BK30</f>
        <v>3295838980.7862144</v>
      </c>
      <c r="BL418" s="891">
        <f t="shared" ref="BL418:BN418" si="1541">BL30</f>
        <v>0</v>
      </c>
      <c r="BM418" s="891">
        <f t="shared" si="1541"/>
        <v>3295838980.7862144</v>
      </c>
      <c r="BN418" s="891">
        <f t="shared" si="1541"/>
        <v>0</v>
      </c>
      <c r="BO418" s="1074"/>
      <c r="BP418" s="1072"/>
      <c r="BQ418" s="1073"/>
      <c r="BR418" s="1073"/>
      <c r="BS418" s="891">
        <f>BS30</f>
        <v>3295838980.7862144</v>
      </c>
      <c r="BT418" s="891">
        <f t="shared" ref="BT418:BV418" si="1542">BT30</f>
        <v>0</v>
      </c>
      <c r="BU418" s="891">
        <f t="shared" si="1542"/>
        <v>3295838980.7862144</v>
      </c>
      <c r="BV418" s="891">
        <f t="shared" si="1542"/>
        <v>0</v>
      </c>
      <c r="BW418" s="1074"/>
      <c r="BX418" s="1072"/>
      <c r="BY418" s="1073"/>
      <c r="BZ418" s="1073"/>
      <c r="CA418" s="891">
        <f>CA30</f>
        <v>3295838980.7862144</v>
      </c>
      <c r="CB418" s="891">
        <f t="shared" ref="CB418:CD418" si="1543">CB30</f>
        <v>0</v>
      </c>
      <c r="CC418" s="891">
        <f t="shared" si="1543"/>
        <v>3295838980.7862144</v>
      </c>
      <c r="CD418" s="891">
        <f t="shared" si="1543"/>
        <v>0</v>
      </c>
      <c r="CE418" s="1074"/>
      <c r="CF418" s="1072"/>
      <c r="CG418" s="1073"/>
      <c r="CH418" s="1073"/>
      <c r="CI418" s="891">
        <f>CI30</f>
        <v>3295838980.7862144</v>
      </c>
      <c r="CJ418" s="891">
        <f t="shared" ref="CJ418:CL418" si="1544">CJ30</f>
        <v>0</v>
      </c>
      <c r="CK418" s="891">
        <f t="shared" si="1544"/>
        <v>3295838980.7862144</v>
      </c>
      <c r="CL418" s="891">
        <f t="shared" si="1544"/>
        <v>0</v>
      </c>
      <c r="CM418" s="1074"/>
      <c r="CN418" s="1072"/>
      <c r="CO418" s="1073"/>
      <c r="CP418" s="1073"/>
      <c r="CQ418" s="891">
        <f>CQ30</f>
        <v>3295838980.7862144</v>
      </c>
      <c r="CR418" s="891">
        <f t="shared" ref="CR418:CT418" si="1545">CR30</f>
        <v>0</v>
      </c>
      <c r="CS418" s="891">
        <f t="shared" si="1545"/>
        <v>3295838980.7862144</v>
      </c>
      <c r="CT418" s="891">
        <f t="shared" si="1545"/>
        <v>0</v>
      </c>
      <c r="CU418" s="1074"/>
      <c r="CV418" s="1072"/>
      <c r="CW418" s="1073"/>
      <c r="CX418" s="1073"/>
      <c r="CY418" s="891">
        <f>CY30</f>
        <v>3295838980.7862144</v>
      </c>
      <c r="CZ418" s="891">
        <f t="shared" ref="CZ418:DB418" si="1546">CZ30</f>
        <v>0</v>
      </c>
      <c r="DA418" s="891">
        <f t="shared" si="1546"/>
        <v>3295838980.7862144</v>
      </c>
      <c r="DB418" s="891">
        <f t="shared" si="1546"/>
        <v>0</v>
      </c>
      <c r="DC418" s="1074"/>
      <c r="DD418" s="1072"/>
      <c r="DE418" s="1073"/>
      <c r="DF418" s="1073"/>
      <c r="DG418" s="891">
        <f>DG30</f>
        <v>3295838980.7862144</v>
      </c>
      <c r="DH418" s="891">
        <f t="shared" ref="DH418:DJ418" si="1547">DH30</f>
        <v>0</v>
      </c>
      <c r="DI418" s="891">
        <f t="shared" si="1547"/>
        <v>3295838980.7862144</v>
      </c>
      <c r="DJ418" s="891">
        <f t="shared" si="1547"/>
        <v>0</v>
      </c>
      <c r="DK418" s="1074"/>
      <c r="DL418" s="1072"/>
      <c r="DM418" s="1073"/>
      <c r="DN418" s="1073"/>
      <c r="DO418" s="891">
        <f>DO30</f>
        <v>3295838980.7862144</v>
      </c>
      <c r="DP418" s="891">
        <f t="shared" ref="DP418:DR418" si="1548">DP30</f>
        <v>0</v>
      </c>
      <c r="DQ418" s="891">
        <f t="shared" si="1548"/>
        <v>3295838980.7862144</v>
      </c>
      <c r="DR418" s="891">
        <f t="shared" si="1548"/>
        <v>0</v>
      </c>
      <c r="DS418" s="1074"/>
      <c r="DT418" s="1072"/>
      <c r="DU418" s="1073"/>
      <c r="DV418" s="1073"/>
      <c r="DW418" s="891">
        <f>DW30</f>
        <v>3295838980.7862144</v>
      </c>
      <c r="DX418" s="891">
        <f t="shared" ref="DX418:DZ418" si="1549">DX30</f>
        <v>0</v>
      </c>
      <c r="DY418" s="891">
        <f t="shared" si="1549"/>
        <v>3295838980.7862144</v>
      </c>
      <c r="DZ418" s="891">
        <f t="shared" si="1549"/>
        <v>0</v>
      </c>
      <c r="EA418" s="1074"/>
      <c r="EB418" s="1072"/>
      <c r="EC418" s="1073"/>
      <c r="ED418" s="1073"/>
      <c r="EE418" s="891">
        <f>EE30</f>
        <v>3295838980.7862144</v>
      </c>
      <c r="EF418" s="891">
        <f t="shared" ref="EF418:EH418" si="1550">EF30</f>
        <v>0</v>
      </c>
      <c r="EG418" s="891">
        <f t="shared" si="1550"/>
        <v>3295838980.7862144</v>
      </c>
      <c r="EH418" s="891">
        <f t="shared" si="1550"/>
        <v>0</v>
      </c>
      <c r="EI418" s="1074"/>
      <c r="EJ418" s="1072"/>
      <c r="EK418" s="1073"/>
      <c r="EL418" s="1073"/>
      <c r="EM418" s="891">
        <f>EM30</f>
        <v>3295838980.7862144</v>
      </c>
      <c r="EN418" s="891">
        <f t="shared" ref="EN418:EP418" si="1551">EN30</f>
        <v>0</v>
      </c>
      <c r="EO418" s="891">
        <f t="shared" si="1551"/>
        <v>3295838980.7862144</v>
      </c>
      <c r="EP418" s="891">
        <f t="shared" si="1551"/>
        <v>0</v>
      </c>
      <c r="EQ418" s="1074"/>
      <c r="ER418" s="1072"/>
      <c r="ES418" s="1073"/>
      <c r="ET418" s="1073"/>
      <c r="EU418" s="891">
        <f>EU30</f>
        <v>3295838980.7862144</v>
      </c>
      <c r="EV418" s="891">
        <f t="shared" ref="EV418:EX418" si="1552">EV30</f>
        <v>0</v>
      </c>
      <c r="EW418" s="891">
        <f t="shared" si="1552"/>
        <v>3295838980.7862144</v>
      </c>
      <c r="EX418" s="891">
        <f t="shared" si="1552"/>
        <v>0</v>
      </c>
      <c r="EY418" s="1074"/>
      <c r="EZ418" s="1072"/>
      <c r="FA418" s="1073"/>
      <c r="FB418" s="1073"/>
      <c r="FC418" s="891">
        <f>FC30</f>
        <v>3295838980.7862144</v>
      </c>
      <c r="FD418" s="891">
        <f t="shared" ref="FD418:FF418" si="1553">FD30</f>
        <v>0</v>
      </c>
      <c r="FE418" s="891">
        <f t="shared" si="1553"/>
        <v>3295838980.7862144</v>
      </c>
      <c r="FF418" s="891">
        <f t="shared" si="1553"/>
        <v>0</v>
      </c>
      <c r="FG418" s="1074"/>
      <c r="FH418" s="1072"/>
      <c r="FI418" s="1073"/>
      <c r="FJ418" s="1073"/>
      <c r="FK418" s="891">
        <f>FK30</f>
        <v>3295838980.7862144</v>
      </c>
      <c r="FL418" s="891">
        <f t="shared" ref="FL418:FN418" si="1554">FL30</f>
        <v>0</v>
      </c>
      <c r="FM418" s="891">
        <f t="shared" si="1554"/>
        <v>3295838980.7862144</v>
      </c>
      <c r="FN418" s="891">
        <f t="shared" si="1554"/>
        <v>0</v>
      </c>
      <c r="FO418" s="1074"/>
    </row>
    <row r="419" spans="2:171" x14ac:dyDescent="0.25">
      <c r="B419" s="108"/>
      <c r="C419" s="108" t="s">
        <v>122</v>
      </c>
      <c r="D419" s="1072"/>
      <c r="E419" s="905" t="s">
        <v>392</v>
      </c>
      <c r="G419" s="891">
        <f>G33</f>
        <v>3803344740.5943408</v>
      </c>
      <c r="H419" s="891">
        <f t="shared" ref="H419:J419" si="1555">H33</f>
        <v>0</v>
      </c>
      <c r="I419" s="891">
        <f t="shared" si="1555"/>
        <v>0</v>
      </c>
      <c r="J419" s="891">
        <f t="shared" si="1555"/>
        <v>3803344740.5943408</v>
      </c>
      <c r="K419" s="1079"/>
      <c r="L419" s="1072"/>
      <c r="M419" s="1073"/>
      <c r="N419" s="1073"/>
      <c r="O419" s="891">
        <f>O33</f>
        <v>3803344740.5943408</v>
      </c>
      <c r="P419" s="891">
        <f t="shared" ref="P419:R419" si="1556">P33</f>
        <v>0</v>
      </c>
      <c r="Q419" s="891">
        <f t="shared" si="1556"/>
        <v>0</v>
      </c>
      <c r="R419" s="891">
        <f t="shared" si="1556"/>
        <v>3803344740.5943408</v>
      </c>
      <c r="S419" s="1079"/>
      <c r="T419" s="1072"/>
      <c r="U419" s="1073"/>
      <c r="V419" s="1073"/>
      <c r="W419" s="891">
        <f>W33</f>
        <v>3803344740.5943408</v>
      </c>
      <c r="X419" s="891">
        <f t="shared" ref="X419:Z419" si="1557">X33</f>
        <v>0</v>
      </c>
      <c r="Y419" s="891">
        <f t="shared" si="1557"/>
        <v>0</v>
      </c>
      <c r="Z419" s="891">
        <f t="shared" si="1557"/>
        <v>3803344740.5943408</v>
      </c>
      <c r="AA419" s="1079"/>
      <c r="AB419" s="1072"/>
      <c r="AC419" s="1073"/>
      <c r="AD419" s="1073"/>
      <c r="AE419" s="891">
        <f>AE33</f>
        <v>3803344740.5943408</v>
      </c>
      <c r="AF419" s="891">
        <f t="shared" ref="AF419:AH419" si="1558">AF33</f>
        <v>0</v>
      </c>
      <c r="AG419" s="891">
        <f t="shared" si="1558"/>
        <v>0</v>
      </c>
      <c r="AH419" s="891">
        <f t="shared" si="1558"/>
        <v>3803344740.5943408</v>
      </c>
      <c r="AI419" s="1079"/>
      <c r="AJ419" s="1072"/>
      <c r="AK419" s="1073"/>
      <c r="AL419" s="1073"/>
      <c r="AM419" s="891">
        <f>AM33</f>
        <v>3803344740.5943408</v>
      </c>
      <c r="AN419" s="891">
        <f t="shared" ref="AN419:AP419" si="1559">AN33</f>
        <v>0</v>
      </c>
      <c r="AO419" s="891">
        <f t="shared" si="1559"/>
        <v>0</v>
      </c>
      <c r="AP419" s="891">
        <f t="shared" si="1559"/>
        <v>3803344740.5943408</v>
      </c>
      <c r="AQ419" s="1079"/>
      <c r="AR419" s="1072"/>
      <c r="AS419" s="1073"/>
      <c r="AT419" s="1073"/>
      <c r="AU419" s="891">
        <f>AU33</f>
        <v>3803344740.5943408</v>
      </c>
      <c r="AV419" s="891">
        <f t="shared" ref="AV419:AX419" si="1560">AV33</f>
        <v>0</v>
      </c>
      <c r="AW419" s="891">
        <f t="shared" si="1560"/>
        <v>0</v>
      </c>
      <c r="AX419" s="891">
        <f t="shared" si="1560"/>
        <v>3803344740.5943408</v>
      </c>
      <c r="AY419" s="1079"/>
      <c r="AZ419" s="1072"/>
      <c r="BA419" s="1073"/>
      <c r="BB419" s="1073"/>
      <c r="BC419" s="891">
        <f>BC33</f>
        <v>3803344740.5943408</v>
      </c>
      <c r="BD419" s="891">
        <f t="shared" ref="BD419:BF419" si="1561">BD33</f>
        <v>0</v>
      </c>
      <c r="BE419" s="891">
        <f t="shared" si="1561"/>
        <v>0</v>
      </c>
      <c r="BF419" s="891">
        <f t="shared" si="1561"/>
        <v>3803344740.5943408</v>
      </c>
      <c r="BG419" s="1079"/>
      <c r="BH419" s="1072"/>
      <c r="BI419" s="1073"/>
      <c r="BJ419" s="1073"/>
      <c r="BK419" s="891">
        <f>BK33</f>
        <v>3803344740.5943408</v>
      </c>
      <c r="BL419" s="891">
        <f t="shared" ref="BL419:BN419" si="1562">BL33</f>
        <v>0</v>
      </c>
      <c r="BM419" s="891">
        <f t="shared" si="1562"/>
        <v>0</v>
      </c>
      <c r="BN419" s="891">
        <f t="shared" si="1562"/>
        <v>3803344740.5943408</v>
      </c>
      <c r="BO419" s="1079"/>
      <c r="BP419" s="1072"/>
      <c r="BQ419" s="1073"/>
      <c r="BR419" s="1073"/>
      <c r="BS419" s="891">
        <f>BS33</f>
        <v>3803344740.5943408</v>
      </c>
      <c r="BT419" s="891">
        <f t="shared" ref="BT419:BV419" si="1563">BT33</f>
        <v>0</v>
      </c>
      <c r="BU419" s="891">
        <f t="shared" si="1563"/>
        <v>0</v>
      </c>
      <c r="BV419" s="891">
        <f t="shared" si="1563"/>
        <v>3803344740.5943408</v>
      </c>
      <c r="BW419" s="1079"/>
      <c r="BX419" s="1072"/>
      <c r="BY419" s="1073"/>
      <c r="BZ419" s="1073"/>
      <c r="CA419" s="891">
        <f>CA33</f>
        <v>3803344740.5943408</v>
      </c>
      <c r="CB419" s="891">
        <f t="shared" ref="CB419:CD419" si="1564">CB33</f>
        <v>0</v>
      </c>
      <c r="CC419" s="891">
        <f t="shared" si="1564"/>
        <v>0</v>
      </c>
      <c r="CD419" s="891">
        <f t="shared" si="1564"/>
        <v>3803344740.5943408</v>
      </c>
      <c r="CE419" s="1079"/>
      <c r="CF419" s="1072"/>
      <c r="CG419" s="1073"/>
      <c r="CH419" s="1073"/>
      <c r="CI419" s="891">
        <f>CI33</f>
        <v>3803344740.5943408</v>
      </c>
      <c r="CJ419" s="891">
        <f t="shared" ref="CJ419:CL419" si="1565">CJ33</f>
        <v>0</v>
      </c>
      <c r="CK419" s="891">
        <f t="shared" si="1565"/>
        <v>0</v>
      </c>
      <c r="CL419" s="891">
        <f t="shared" si="1565"/>
        <v>3803344740.5943408</v>
      </c>
      <c r="CM419" s="1079"/>
      <c r="CN419" s="1072"/>
      <c r="CO419" s="1073"/>
      <c r="CP419" s="1073"/>
      <c r="CQ419" s="891">
        <f>CQ33</f>
        <v>3803344740.5943408</v>
      </c>
      <c r="CR419" s="891">
        <f t="shared" ref="CR419:CT419" si="1566">CR33</f>
        <v>0</v>
      </c>
      <c r="CS419" s="891">
        <f t="shared" si="1566"/>
        <v>0</v>
      </c>
      <c r="CT419" s="891">
        <f t="shared" si="1566"/>
        <v>3803344740.5943408</v>
      </c>
      <c r="CU419" s="1079"/>
      <c r="CV419" s="1072"/>
      <c r="CW419" s="1073"/>
      <c r="CX419" s="1073"/>
      <c r="CY419" s="891">
        <f>CY33</f>
        <v>3803344740.5943408</v>
      </c>
      <c r="CZ419" s="891">
        <f t="shared" ref="CZ419:DB419" si="1567">CZ33</f>
        <v>0</v>
      </c>
      <c r="DA419" s="891">
        <f t="shared" si="1567"/>
        <v>0</v>
      </c>
      <c r="DB419" s="891">
        <f t="shared" si="1567"/>
        <v>3803344740.5943408</v>
      </c>
      <c r="DC419" s="1079"/>
      <c r="DD419" s="1072"/>
      <c r="DE419" s="1073"/>
      <c r="DF419" s="1073"/>
      <c r="DG419" s="891">
        <f>DG33</f>
        <v>3803344740.5943408</v>
      </c>
      <c r="DH419" s="891">
        <f t="shared" ref="DH419:DJ419" si="1568">DH33</f>
        <v>0</v>
      </c>
      <c r="DI419" s="891">
        <f t="shared" si="1568"/>
        <v>0</v>
      </c>
      <c r="DJ419" s="891">
        <f t="shared" si="1568"/>
        <v>3803344740.5943408</v>
      </c>
      <c r="DK419" s="1079"/>
      <c r="DL419" s="1072"/>
      <c r="DM419" s="1073"/>
      <c r="DN419" s="1073"/>
      <c r="DO419" s="891">
        <f>DO33</f>
        <v>3803344740.5943408</v>
      </c>
      <c r="DP419" s="891">
        <f t="shared" ref="DP419:DR419" si="1569">DP33</f>
        <v>0</v>
      </c>
      <c r="DQ419" s="891">
        <f t="shared" si="1569"/>
        <v>0</v>
      </c>
      <c r="DR419" s="891">
        <f t="shared" si="1569"/>
        <v>3803344740.5943408</v>
      </c>
      <c r="DS419" s="1079"/>
      <c r="DT419" s="1072"/>
      <c r="DU419" s="1073"/>
      <c r="DV419" s="1073"/>
      <c r="DW419" s="891">
        <f>DW33</f>
        <v>3803344740.5943408</v>
      </c>
      <c r="DX419" s="891">
        <f t="shared" ref="DX419:DZ419" si="1570">DX33</f>
        <v>0</v>
      </c>
      <c r="DY419" s="891">
        <f t="shared" si="1570"/>
        <v>0</v>
      </c>
      <c r="DZ419" s="891">
        <f t="shared" si="1570"/>
        <v>3803344740.5943408</v>
      </c>
      <c r="EA419" s="1079"/>
      <c r="EB419" s="1072"/>
      <c r="EC419" s="1073"/>
      <c r="ED419" s="1073"/>
      <c r="EE419" s="891">
        <f>EE33</f>
        <v>3803344740.5943408</v>
      </c>
      <c r="EF419" s="891">
        <f t="shared" ref="EF419:EH419" si="1571">EF33</f>
        <v>0</v>
      </c>
      <c r="EG419" s="891">
        <f t="shared" si="1571"/>
        <v>0</v>
      </c>
      <c r="EH419" s="891">
        <f t="shared" si="1571"/>
        <v>3803344740.5943408</v>
      </c>
      <c r="EI419" s="1079"/>
      <c r="EJ419" s="1072"/>
      <c r="EK419" s="1073"/>
      <c r="EL419" s="1073"/>
      <c r="EM419" s="891">
        <f>EM33</f>
        <v>3803344740.5943408</v>
      </c>
      <c r="EN419" s="891">
        <f t="shared" ref="EN419:EP419" si="1572">EN33</f>
        <v>0</v>
      </c>
      <c r="EO419" s="891">
        <f t="shared" si="1572"/>
        <v>0</v>
      </c>
      <c r="EP419" s="891">
        <f t="shared" si="1572"/>
        <v>3803344740.5943408</v>
      </c>
      <c r="EQ419" s="1079"/>
      <c r="ER419" s="1072"/>
      <c r="ES419" s="1073"/>
      <c r="ET419" s="1073"/>
      <c r="EU419" s="891">
        <f>EU33</f>
        <v>3803344740.5943408</v>
      </c>
      <c r="EV419" s="891">
        <f t="shared" ref="EV419:EX419" si="1573">EV33</f>
        <v>0</v>
      </c>
      <c r="EW419" s="891">
        <f t="shared" si="1573"/>
        <v>0</v>
      </c>
      <c r="EX419" s="891">
        <f t="shared" si="1573"/>
        <v>3803344740.5943408</v>
      </c>
      <c r="EY419" s="1079"/>
      <c r="EZ419" s="1072"/>
      <c r="FA419" s="1073"/>
      <c r="FB419" s="1073"/>
      <c r="FC419" s="891">
        <f>FC33</f>
        <v>3803344740.5943408</v>
      </c>
      <c r="FD419" s="891">
        <f t="shared" ref="FD419:FF419" si="1574">FD33</f>
        <v>0</v>
      </c>
      <c r="FE419" s="891">
        <f t="shared" si="1574"/>
        <v>0</v>
      </c>
      <c r="FF419" s="891">
        <f t="shared" si="1574"/>
        <v>3803344740.5943408</v>
      </c>
      <c r="FG419" s="1079"/>
      <c r="FH419" s="1072"/>
      <c r="FI419" s="1073"/>
      <c r="FJ419" s="1073"/>
      <c r="FK419" s="891">
        <f>FK33</f>
        <v>3803344740.5943408</v>
      </c>
      <c r="FL419" s="891">
        <f t="shared" ref="FL419:FN419" si="1575">FL33</f>
        <v>0</v>
      </c>
      <c r="FM419" s="891">
        <f t="shared" si="1575"/>
        <v>0</v>
      </c>
      <c r="FN419" s="891">
        <f t="shared" si="1575"/>
        <v>3803344740.5943408</v>
      </c>
      <c r="FO419" s="1079"/>
    </row>
    <row r="420" spans="2:171" x14ac:dyDescent="0.25">
      <c r="B420" s="108"/>
      <c r="C420" s="108" t="s">
        <v>523</v>
      </c>
      <c r="D420" s="1072"/>
      <c r="E420" s="124"/>
      <c r="F420" s="1073"/>
      <c r="G420" s="1634">
        <f>SUM(G418:G419)</f>
        <v>7099183721.3805552</v>
      </c>
      <c r="H420" s="1634">
        <f>SUM(H418:H419)</f>
        <v>0</v>
      </c>
      <c r="I420" s="1634">
        <f>SUM(I418:I419)</f>
        <v>0</v>
      </c>
      <c r="J420" s="1634">
        <f>SUM(J418:J419)</f>
        <v>7099183721.3805552</v>
      </c>
      <c r="K420" s="1074"/>
      <c r="L420" s="1072"/>
      <c r="M420" s="1073"/>
      <c r="N420" s="1073"/>
      <c r="O420" s="1634">
        <f>SUM(O418:O419)</f>
        <v>7099183721.3805552</v>
      </c>
      <c r="P420" s="1634">
        <f>SUM(P418:P419)</f>
        <v>0</v>
      </c>
      <c r="Q420" s="1634">
        <f>SUM(Q418:Q419)</f>
        <v>3295838980.7862144</v>
      </c>
      <c r="R420" s="1634">
        <f>SUM(R418:R419)</f>
        <v>3803344740.5943408</v>
      </c>
      <c r="S420" s="1074"/>
      <c r="T420" s="1072"/>
      <c r="U420" s="1073"/>
      <c r="V420" s="1073"/>
      <c r="W420" s="1634">
        <f>SUM(W418:W419)</f>
        <v>7099183721.3805552</v>
      </c>
      <c r="X420" s="1634">
        <f>SUM(X418:X419)</f>
        <v>0</v>
      </c>
      <c r="Y420" s="1634">
        <f>SUM(Y418:Y419)</f>
        <v>3295838980.7862144</v>
      </c>
      <c r="Z420" s="1634">
        <f>SUM(Z418:Z419)</f>
        <v>3803344740.5943408</v>
      </c>
      <c r="AA420" s="1074"/>
      <c r="AB420" s="1072"/>
      <c r="AC420" s="1073"/>
      <c r="AD420" s="1073"/>
      <c r="AE420" s="1634">
        <f>SUM(AE418:AE419)</f>
        <v>7099183721.3805552</v>
      </c>
      <c r="AF420" s="1634">
        <f>SUM(AF418:AF419)</f>
        <v>0</v>
      </c>
      <c r="AG420" s="1634">
        <f>SUM(AG418:AG419)</f>
        <v>3295838980.7862144</v>
      </c>
      <c r="AH420" s="1634">
        <f>SUM(AH418:AH419)</f>
        <v>3803344740.5943408</v>
      </c>
      <c r="AI420" s="1074"/>
      <c r="AJ420" s="1072"/>
      <c r="AK420" s="1073"/>
      <c r="AL420" s="1073"/>
      <c r="AM420" s="1634">
        <f>SUM(AM418:AM419)</f>
        <v>7099183721.3805552</v>
      </c>
      <c r="AN420" s="1634">
        <f>SUM(AN418:AN419)</f>
        <v>0</v>
      </c>
      <c r="AO420" s="1634">
        <f>SUM(AO418:AO419)</f>
        <v>3295838980.7862144</v>
      </c>
      <c r="AP420" s="1634">
        <f>SUM(AP418:AP419)</f>
        <v>3803344740.5943408</v>
      </c>
      <c r="AQ420" s="1074"/>
      <c r="AR420" s="1072"/>
      <c r="AS420" s="1073"/>
      <c r="AT420" s="1073"/>
      <c r="AU420" s="1634">
        <f>SUM(AU418:AU419)</f>
        <v>7099183721.3805552</v>
      </c>
      <c r="AV420" s="1634">
        <f>SUM(AV418:AV419)</f>
        <v>0</v>
      </c>
      <c r="AW420" s="1634">
        <f>SUM(AW418:AW419)</f>
        <v>3295838980.7862144</v>
      </c>
      <c r="AX420" s="1634">
        <f>SUM(AX418:AX419)</f>
        <v>3803344740.5943408</v>
      </c>
      <c r="AY420" s="1074"/>
      <c r="AZ420" s="1072"/>
      <c r="BA420" s="1073"/>
      <c r="BB420" s="1073"/>
      <c r="BC420" s="1634">
        <f>SUM(BC418:BC419)</f>
        <v>7099183721.3805552</v>
      </c>
      <c r="BD420" s="1634">
        <f>SUM(BD418:BD419)</f>
        <v>0</v>
      </c>
      <c r="BE420" s="1634">
        <f>SUM(BE418:BE419)</f>
        <v>3295838980.7862144</v>
      </c>
      <c r="BF420" s="1634">
        <f>SUM(BF418:BF419)</f>
        <v>3803344740.5943408</v>
      </c>
      <c r="BG420" s="1074"/>
      <c r="BH420" s="1072"/>
      <c r="BI420" s="1073"/>
      <c r="BJ420" s="1073"/>
      <c r="BK420" s="1634">
        <f>SUM(BK418:BK419)</f>
        <v>7099183721.3805552</v>
      </c>
      <c r="BL420" s="1634">
        <f>SUM(BL418:BL419)</f>
        <v>0</v>
      </c>
      <c r="BM420" s="1634">
        <f>SUM(BM418:BM419)</f>
        <v>3295838980.7862144</v>
      </c>
      <c r="BN420" s="1634">
        <f>SUM(BN418:BN419)</f>
        <v>3803344740.5943408</v>
      </c>
      <c r="BO420" s="1074"/>
      <c r="BP420" s="1072"/>
      <c r="BQ420" s="1073"/>
      <c r="BR420" s="1073"/>
      <c r="BS420" s="1634">
        <f>SUM(BS418:BS419)</f>
        <v>7099183721.3805552</v>
      </c>
      <c r="BT420" s="1634">
        <f>SUM(BT418:BT419)</f>
        <v>0</v>
      </c>
      <c r="BU420" s="1634">
        <f>SUM(BU418:BU419)</f>
        <v>3295838980.7862144</v>
      </c>
      <c r="BV420" s="1634">
        <f>SUM(BV418:BV419)</f>
        <v>3803344740.5943408</v>
      </c>
      <c r="BW420" s="1074"/>
      <c r="BX420" s="1072"/>
      <c r="BY420" s="1073"/>
      <c r="BZ420" s="1073"/>
      <c r="CA420" s="1634">
        <f>SUM(CA418:CA419)</f>
        <v>7099183721.3805552</v>
      </c>
      <c r="CB420" s="1634">
        <f>SUM(CB418:CB419)</f>
        <v>0</v>
      </c>
      <c r="CC420" s="1634">
        <f>SUM(CC418:CC419)</f>
        <v>3295838980.7862144</v>
      </c>
      <c r="CD420" s="1634">
        <f>SUM(CD418:CD419)</f>
        <v>3803344740.5943408</v>
      </c>
      <c r="CE420" s="1074"/>
      <c r="CF420" s="1072"/>
      <c r="CG420" s="1073"/>
      <c r="CH420" s="1073"/>
      <c r="CI420" s="1634">
        <f>SUM(CI418:CI419)</f>
        <v>7099183721.3805552</v>
      </c>
      <c r="CJ420" s="1634">
        <f>SUM(CJ418:CJ419)</f>
        <v>0</v>
      </c>
      <c r="CK420" s="1634">
        <f>SUM(CK418:CK419)</f>
        <v>3295838980.7862144</v>
      </c>
      <c r="CL420" s="1634">
        <f>SUM(CL418:CL419)</f>
        <v>3803344740.5943408</v>
      </c>
      <c r="CM420" s="1074"/>
      <c r="CN420" s="1072"/>
      <c r="CO420" s="1073"/>
      <c r="CP420" s="1073"/>
      <c r="CQ420" s="1634">
        <f>SUM(CQ418:CQ419)</f>
        <v>7099183721.3805552</v>
      </c>
      <c r="CR420" s="1634">
        <f>SUM(CR418:CR419)</f>
        <v>0</v>
      </c>
      <c r="CS420" s="1634">
        <f>SUM(CS418:CS419)</f>
        <v>3295838980.7862144</v>
      </c>
      <c r="CT420" s="1634">
        <f>SUM(CT418:CT419)</f>
        <v>3803344740.5943408</v>
      </c>
      <c r="CU420" s="1074"/>
      <c r="CV420" s="1072"/>
      <c r="CW420" s="1073"/>
      <c r="CX420" s="1073"/>
      <c r="CY420" s="1634">
        <f>SUM(CY418:CY419)</f>
        <v>7099183721.3805552</v>
      </c>
      <c r="CZ420" s="1634">
        <f>SUM(CZ418:CZ419)</f>
        <v>0</v>
      </c>
      <c r="DA420" s="1634">
        <f>SUM(DA418:DA419)</f>
        <v>3295838980.7862144</v>
      </c>
      <c r="DB420" s="1634">
        <f>SUM(DB418:DB419)</f>
        <v>3803344740.5943408</v>
      </c>
      <c r="DC420" s="1074"/>
      <c r="DD420" s="1072"/>
      <c r="DE420" s="1073"/>
      <c r="DF420" s="1073"/>
      <c r="DG420" s="1634">
        <f>SUM(DG418:DG419)</f>
        <v>7099183721.3805552</v>
      </c>
      <c r="DH420" s="1634">
        <f>SUM(DH418:DH419)</f>
        <v>0</v>
      </c>
      <c r="DI420" s="1634">
        <f>SUM(DI418:DI419)</f>
        <v>3295838980.7862144</v>
      </c>
      <c r="DJ420" s="1634">
        <f>SUM(DJ418:DJ419)</f>
        <v>3803344740.5943408</v>
      </c>
      <c r="DK420" s="1074"/>
      <c r="DL420" s="1072"/>
      <c r="DM420" s="1073"/>
      <c r="DN420" s="1073"/>
      <c r="DO420" s="1634">
        <f>SUM(DO418:DO419)</f>
        <v>7099183721.3805552</v>
      </c>
      <c r="DP420" s="1634">
        <f>SUM(DP418:DP419)</f>
        <v>0</v>
      </c>
      <c r="DQ420" s="1634">
        <f>SUM(DQ418:DQ419)</f>
        <v>3295838980.7862144</v>
      </c>
      <c r="DR420" s="1634">
        <f>SUM(DR418:DR419)</f>
        <v>3803344740.5943408</v>
      </c>
      <c r="DS420" s="1074"/>
      <c r="DT420" s="1072"/>
      <c r="DU420" s="1073"/>
      <c r="DV420" s="1073"/>
      <c r="DW420" s="1634">
        <f>SUM(DW418:DW419)</f>
        <v>7099183721.3805552</v>
      </c>
      <c r="DX420" s="1634">
        <f>SUM(DX418:DX419)</f>
        <v>0</v>
      </c>
      <c r="DY420" s="1634">
        <f>SUM(DY418:DY419)</f>
        <v>3295838980.7862144</v>
      </c>
      <c r="DZ420" s="1634">
        <f>SUM(DZ418:DZ419)</f>
        <v>3803344740.5943408</v>
      </c>
      <c r="EA420" s="1074"/>
      <c r="EB420" s="1072"/>
      <c r="EC420" s="1073"/>
      <c r="ED420" s="1073"/>
      <c r="EE420" s="1634">
        <f>SUM(EE418:EE419)</f>
        <v>7099183721.3805552</v>
      </c>
      <c r="EF420" s="1634">
        <f>SUM(EF418:EF419)</f>
        <v>0</v>
      </c>
      <c r="EG420" s="1634">
        <f>SUM(EG418:EG419)</f>
        <v>3295838980.7862144</v>
      </c>
      <c r="EH420" s="1634">
        <f>SUM(EH418:EH419)</f>
        <v>3803344740.5943408</v>
      </c>
      <c r="EI420" s="1074"/>
      <c r="EJ420" s="1072"/>
      <c r="EK420" s="1073"/>
      <c r="EL420" s="1073"/>
      <c r="EM420" s="1634">
        <f>SUM(EM418:EM419)</f>
        <v>7099183721.3805552</v>
      </c>
      <c r="EN420" s="1634">
        <f>SUM(EN418:EN419)</f>
        <v>0</v>
      </c>
      <c r="EO420" s="1634">
        <f>SUM(EO418:EO419)</f>
        <v>3295838980.7862144</v>
      </c>
      <c r="EP420" s="1634">
        <f>SUM(EP418:EP419)</f>
        <v>3803344740.5943408</v>
      </c>
      <c r="EQ420" s="1074"/>
      <c r="ER420" s="1072"/>
      <c r="ES420" s="1073"/>
      <c r="ET420" s="1073"/>
      <c r="EU420" s="1634">
        <f>SUM(EU418:EU419)</f>
        <v>7099183721.3805552</v>
      </c>
      <c r="EV420" s="1634">
        <f>SUM(EV418:EV419)</f>
        <v>0</v>
      </c>
      <c r="EW420" s="1634">
        <f>SUM(EW418:EW419)</f>
        <v>3295838980.7862144</v>
      </c>
      <c r="EX420" s="1634">
        <f>SUM(EX418:EX419)</f>
        <v>3803344740.5943408</v>
      </c>
      <c r="EY420" s="1074"/>
      <c r="EZ420" s="1072"/>
      <c r="FA420" s="1073"/>
      <c r="FB420" s="1073"/>
      <c r="FC420" s="1634">
        <f>SUM(FC418:FC419)</f>
        <v>7099183721.3805552</v>
      </c>
      <c r="FD420" s="1634">
        <f>SUM(FD418:FD419)</f>
        <v>0</v>
      </c>
      <c r="FE420" s="1634">
        <f>SUM(FE418:FE419)</f>
        <v>3295838980.7862144</v>
      </c>
      <c r="FF420" s="1634">
        <f>SUM(FF418:FF419)</f>
        <v>3803344740.5943408</v>
      </c>
      <c r="FG420" s="1074"/>
      <c r="FH420" s="1072"/>
      <c r="FI420" s="1073"/>
      <c r="FJ420" s="1073"/>
      <c r="FK420" s="1634">
        <f>SUM(FK418:FK419)</f>
        <v>7099183721.3805552</v>
      </c>
      <c r="FL420" s="1634">
        <f>SUM(FL418:FL419)</f>
        <v>0</v>
      </c>
      <c r="FM420" s="1634">
        <f>SUM(FM418:FM419)</f>
        <v>3295838980.7862144</v>
      </c>
      <c r="FN420" s="1634">
        <f>SUM(FN418:FN419)</f>
        <v>3803344740.5943408</v>
      </c>
      <c r="FO420" s="1074"/>
    </row>
    <row r="421" spans="2:171" x14ac:dyDescent="0.25">
      <c r="B421" s="123"/>
      <c r="C421" s="123" t="s">
        <v>344</v>
      </c>
      <c r="D421" s="1296" t="s">
        <v>637</v>
      </c>
      <c r="E421" s="617"/>
      <c r="F421" s="1076"/>
      <c r="G421" s="1635">
        <f>H421+I421+J421</f>
        <v>1</v>
      </c>
      <c r="H421" s="1635">
        <f>IF($G420=0,0,H420/G420)</f>
        <v>0</v>
      </c>
      <c r="I421" s="1635">
        <f>IF($G420=0,0,I420/G420)</f>
        <v>0</v>
      </c>
      <c r="J421" s="1635">
        <f>IF($G420=0,0,J420/G420)</f>
        <v>1</v>
      </c>
      <c r="K421" s="1079"/>
      <c r="L421" s="1075" t="s">
        <v>637</v>
      </c>
      <c r="M421" s="1076"/>
      <c r="N421" s="1076"/>
      <c r="O421" s="1635">
        <f>P421+Q421+R421</f>
        <v>1</v>
      </c>
      <c r="P421" s="1635">
        <f>IF($G420=0,0,P420/O420)</f>
        <v>0</v>
      </c>
      <c r="Q421" s="1635">
        <f>IF($G420=0,0,Q420/O420)</f>
        <v>0.46425604832005718</v>
      </c>
      <c r="R421" s="1635">
        <f>IF($G420=0,0,R420/O420)</f>
        <v>0.53574395167994282</v>
      </c>
      <c r="S421" s="1079"/>
      <c r="T421" s="1075" t="s">
        <v>637</v>
      </c>
      <c r="U421" s="1076"/>
      <c r="V421" s="1076"/>
      <c r="W421" s="1635">
        <f>X421+Y421+Z421</f>
        <v>1</v>
      </c>
      <c r="X421" s="1635">
        <f>IF($G420=0,0,X420/W420)</f>
        <v>0</v>
      </c>
      <c r="Y421" s="1635">
        <f>IF($G420=0,0,Y420/W420)</f>
        <v>0.46425604832005718</v>
      </c>
      <c r="Z421" s="1635">
        <f>IF($G420=0,0,Z420/W420)</f>
        <v>0.53574395167994282</v>
      </c>
      <c r="AA421" s="1079"/>
      <c r="AB421" s="1075" t="s">
        <v>637</v>
      </c>
      <c r="AC421" s="1076"/>
      <c r="AD421" s="1076"/>
      <c r="AE421" s="1635">
        <f>AF421+AG421+AH421</f>
        <v>1</v>
      </c>
      <c r="AF421" s="1635">
        <f>IF($G420=0,0,AF420/AE420)</f>
        <v>0</v>
      </c>
      <c r="AG421" s="1635">
        <f>IF($G420=0,0,AG420/AE420)</f>
        <v>0.46425604832005718</v>
      </c>
      <c r="AH421" s="1635">
        <f>IF($G420=0,0,AH420/AE420)</f>
        <v>0.53574395167994282</v>
      </c>
      <c r="AI421" s="1079"/>
      <c r="AJ421" s="1075" t="s">
        <v>637</v>
      </c>
      <c r="AK421" s="1076"/>
      <c r="AL421" s="1076"/>
      <c r="AM421" s="1635">
        <f>AN421+AO421+AP421</f>
        <v>1</v>
      </c>
      <c r="AN421" s="1635">
        <f>IF($G420=0,0,AN420/AM420)</f>
        <v>0</v>
      </c>
      <c r="AO421" s="1635">
        <f>IF($G420=0,0,AO420/AM420)</f>
        <v>0.46425604832005718</v>
      </c>
      <c r="AP421" s="1635">
        <f>IF($G420=0,0,AP420/AM420)</f>
        <v>0.53574395167994282</v>
      </c>
      <c r="AQ421" s="1079"/>
      <c r="AR421" s="1075" t="s">
        <v>637</v>
      </c>
      <c r="AS421" s="1076"/>
      <c r="AT421" s="1076"/>
      <c r="AU421" s="1635">
        <f>AV421+AW421+AX421</f>
        <v>1</v>
      </c>
      <c r="AV421" s="1635">
        <f>IF($G420=0,0,AV420/AU420)</f>
        <v>0</v>
      </c>
      <c r="AW421" s="1635">
        <f>IF($G420=0,0,AW420/AU420)</f>
        <v>0.46425604832005718</v>
      </c>
      <c r="AX421" s="1635">
        <f>IF($G420=0,0,AX420/AU420)</f>
        <v>0.53574395167994282</v>
      </c>
      <c r="AY421" s="1079"/>
      <c r="AZ421" s="1075" t="s">
        <v>637</v>
      </c>
      <c r="BA421" s="1076"/>
      <c r="BB421" s="1076"/>
      <c r="BC421" s="1635">
        <f>BD421+BE421+BF421</f>
        <v>1</v>
      </c>
      <c r="BD421" s="1635">
        <f>IF($G420=0,0,BD420/BC420)</f>
        <v>0</v>
      </c>
      <c r="BE421" s="1635">
        <f>IF($G420=0,0,BE420/BC420)</f>
        <v>0.46425604832005718</v>
      </c>
      <c r="BF421" s="1635">
        <f>IF($G420=0,0,BF420/BC420)</f>
        <v>0.53574395167994282</v>
      </c>
      <c r="BG421" s="1079"/>
      <c r="BH421" s="1075" t="s">
        <v>637</v>
      </c>
      <c r="BI421" s="1076"/>
      <c r="BJ421" s="1076"/>
      <c r="BK421" s="1635">
        <f>BL421+BM421+BN421</f>
        <v>1</v>
      </c>
      <c r="BL421" s="1635">
        <f>IF($G420=0,0,BL420/BK420)</f>
        <v>0</v>
      </c>
      <c r="BM421" s="1635">
        <f>IF($G420=0,0,BM420/BK420)</f>
        <v>0.46425604832005718</v>
      </c>
      <c r="BN421" s="1635">
        <f>IF($G420=0,0,BN420/BK420)</f>
        <v>0.53574395167994282</v>
      </c>
      <c r="BO421" s="1079"/>
      <c r="BP421" s="1075" t="s">
        <v>637</v>
      </c>
      <c r="BQ421" s="1076"/>
      <c r="BR421" s="1076"/>
      <c r="BS421" s="1635">
        <f>BT421+BU421+BV421</f>
        <v>1</v>
      </c>
      <c r="BT421" s="1635">
        <f>IF($G420=0,0,BT420/BS420)</f>
        <v>0</v>
      </c>
      <c r="BU421" s="1635">
        <f>IF($G420=0,0,BU420/BS420)</f>
        <v>0.46425604832005718</v>
      </c>
      <c r="BV421" s="1635">
        <f>IF($G420=0,0,BV420/BS420)</f>
        <v>0.53574395167994282</v>
      </c>
      <c r="BW421" s="1079"/>
      <c r="BX421" s="1075" t="s">
        <v>637</v>
      </c>
      <c r="BY421" s="1076"/>
      <c r="BZ421" s="1076"/>
      <c r="CA421" s="1635">
        <f>CB421+CC421+CD421</f>
        <v>1</v>
      </c>
      <c r="CB421" s="1635">
        <f>IF($G420=0,0,CB420/CA420)</f>
        <v>0</v>
      </c>
      <c r="CC421" s="1635">
        <f>IF($G420=0,0,CC420/CA420)</f>
        <v>0.46425604832005718</v>
      </c>
      <c r="CD421" s="1635">
        <f>IF($G420=0,0,CD420/CA420)</f>
        <v>0.53574395167994282</v>
      </c>
      <c r="CE421" s="1079"/>
      <c r="CF421" s="1075" t="s">
        <v>637</v>
      </c>
      <c r="CG421" s="1076"/>
      <c r="CH421" s="1076"/>
      <c r="CI421" s="1635">
        <f>CJ421+CK421+CL421</f>
        <v>1</v>
      </c>
      <c r="CJ421" s="1635">
        <f>IF($G420=0,0,CJ420/CI420)</f>
        <v>0</v>
      </c>
      <c r="CK421" s="1635">
        <f>IF($G420=0,0,CK420/CI420)</f>
        <v>0.46425604832005718</v>
      </c>
      <c r="CL421" s="1635">
        <f>IF($G420=0,0,CL420/CI420)</f>
        <v>0.53574395167994282</v>
      </c>
      <c r="CM421" s="1079"/>
      <c r="CN421" s="1075" t="s">
        <v>637</v>
      </c>
      <c r="CO421" s="1076"/>
      <c r="CP421" s="1076"/>
      <c r="CQ421" s="1635">
        <f>CR421+CS421+CT421</f>
        <v>1</v>
      </c>
      <c r="CR421" s="1635">
        <f>IF($G420=0,0,CR420/CQ420)</f>
        <v>0</v>
      </c>
      <c r="CS421" s="1635">
        <f>IF($G420=0,0,CS420/CQ420)</f>
        <v>0.46425604832005718</v>
      </c>
      <c r="CT421" s="1635">
        <f>IF($G420=0,0,CT420/CQ420)</f>
        <v>0.53574395167994282</v>
      </c>
      <c r="CU421" s="1079"/>
      <c r="CV421" s="1075" t="s">
        <v>637</v>
      </c>
      <c r="CW421" s="1076"/>
      <c r="CX421" s="1076"/>
      <c r="CY421" s="1635">
        <f>CZ421+DA421+DB421</f>
        <v>1</v>
      </c>
      <c r="CZ421" s="1635">
        <f>IF($G420=0,0,CZ420/CY420)</f>
        <v>0</v>
      </c>
      <c r="DA421" s="1635">
        <f>IF($G420=0,0,DA420/CY420)</f>
        <v>0.46425604832005718</v>
      </c>
      <c r="DB421" s="1635">
        <f>IF($G420=0,0,DB420/CY420)</f>
        <v>0.53574395167994282</v>
      </c>
      <c r="DC421" s="1079"/>
      <c r="DD421" s="1075" t="s">
        <v>637</v>
      </c>
      <c r="DE421" s="1076"/>
      <c r="DF421" s="1076"/>
      <c r="DG421" s="1635">
        <f>DH421+DI421+DJ421</f>
        <v>1</v>
      </c>
      <c r="DH421" s="1635">
        <f>IF($G420=0,0,DH420/DG420)</f>
        <v>0</v>
      </c>
      <c r="DI421" s="1635">
        <f>IF($G420=0,0,DI420/DG420)</f>
        <v>0.46425604832005718</v>
      </c>
      <c r="DJ421" s="1635">
        <f>IF($G420=0,0,DJ420/DG420)</f>
        <v>0.53574395167994282</v>
      </c>
      <c r="DK421" s="1079"/>
      <c r="DL421" s="1075" t="s">
        <v>637</v>
      </c>
      <c r="DM421" s="1076"/>
      <c r="DN421" s="1076"/>
      <c r="DO421" s="1635">
        <f>DP421+DQ421+DR421</f>
        <v>1</v>
      </c>
      <c r="DP421" s="1635">
        <f>IF($G420=0,0,DP420/DO420)</f>
        <v>0</v>
      </c>
      <c r="DQ421" s="1635">
        <f>IF($G420=0,0,DQ420/DO420)</f>
        <v>0.46425604832005718</v>
      </c>
      <c r="DR421" s="1635">
        <f>IF($G420=0,0,DR420/DO420)</f>
        <v>0.53574395167994282</v>
      </c>
      <c r="DS421" s="1079"/>
      <c r="DT421" s="1075" t="s">
        <v>637</v>
      </c>
      <c r="DU421" s="1076"/>
      <c r="DV421" s="1076"/>
      <c r="DW421" s="1635">
        <f>DX421+DY421+DZ421</f>
        <v>1</v>
      </c>
      <c r="DX421" s="1635">
        <f>IF($G420=0,0,DX420/DW420)</f>
        <v>0</v>
      </c>
      <c r="DY421" s="1635">
        <f>IF($G420=0,0,DY420/DW420)</f>
        <v>0.46425604832005718</v>
      </c>
      <c r="DZ421" s="1635">
        <f>IF($G420=0,0,DZ420/DW420)</f>
        <v>0.53574395167994282</v>
      </c>
      <c r="EA421" s="1079"/>
      <c r="EB421" s="1075" t="s">
        <v>637</v>
      </c>
      <c r="EC421" s="1076"/>
      <c r="ED421" s="1076"/>
      <c r="EE421" s="1635">
        <f>EF421+EG421+EH421</f>
        <v>1</v>
      </c>
      <c r="EF421" s="1635">
        <f>IF($G420=0,0,EF420/EE420)</f>
        <v>0</v>
      </c>
      <c r="EG421" s="1635">
        <f>IF($G420=0,0,EG420/EE420)</f>
        <v>0.46425604832005718</v>
      </c>
      <c r="EH421" s="1635">
        <f>IF($G420=0,0,EH420/EE420)</f>
        <v>0.53574395167994282</v>
      </c>
      <c r="EI421" s="1079"/>
      <c r="EJ421" s="1075" t="s">
        <v>637</v>
      </c>
      <c r="EK421" s="1076"/>
      <c r="EL421" s="1076"/>
      <c r="EM421" s="1635">
        <f>EN421+EO421+EP421</f>
        <v>1</v>
      </c>
      <c r="EN421" s="1635">
        <f>IF($G420=0,0,EN420/EM420)</f>
        <v>0</v>
      </c>
      <c r="EO421" s="1635">
        <f>IF($G420=0,0,EO420/EM420)</f>
        <v>0.46425604832005718</v>
      </c>
      <c r="EP421" s="1635">
        <f>IF($G420=0,0,EP420/EM420)</f>
        <v>0.53574395167994282</v>
      </c>
      <c r="EQ421" s="1079"/>
      <c r="ER421" s="1075" t="s">
        <v>637</v>
      </c>
      <c r="ES421" s="1076"/>
      <c r="ET421" s="1076"/>
      <c r="EU421" s="1635">
        <f>EV421+EW421+EX421</f>
        <v>1</v>
      </c>
      <c r="EV421" s="1635">
        <f>IF($G420=0,0,EV420/EU420)</f>
        <v>0</v>
      </c>
      <c r="EW421" s="1635">
        <f>IF($G420=0,0,EW420/EU420)</f>
        <v>0.46425604832005718</v>
      </c>
      <c r="EX421" s="1635">
        <f>IF($G420=0,0,EX420/EU420)</f>
        <v>0.53574395167994282</v>
      </c>
      <c r="EY421" s="1079"/>
      <c r="EZ421" s="1075" t="s">
        <v>637</v>
      </c>
      <c r="FA421" s="1076"/>
      <c r="FB421" s="1076"/>
      <c r="FC421" s="1635">
        <f>FD421+FE421+FF421</f>
        <v>1</v>
      </c>
      <c r="FD421" s="1635">
        <f>IF($G420=0,0,FD420/FC420)</f>
        <v>0</v>
      </c>
      <c r="FE421" s="1635">
        <f>IF($G420=0,0,FE420/FC420)</f>
        <v>0.46425604832005718</v>
      </c>
      <c r="FF421" s="1635">
        <f>IF($G420=0,0,FF420/FC420)</f>
        <v>0.53574395167994282</v>
      </c>
      <c r="FG421" s="1079"/>
      <c r="FH421" s="1075" t="s">
        <v>637</v>
      </c>
      <c r="FI421" s="1076"/>
      <c r="FJ421" s="1076"/>
      <c r="FK421" s="1635">
        <f>FL421+FM421+FN421</f>
        <v>1</v>
      </c>
      <c r="FL421" s="1635">
        <f>IF($G420=0,0,FL420/FK420)</f>
        <v>0</v>
      </c>
      <c r="FM421" s="1635">
        <f>IF($G420=0,0,FM420/FK420)</f>
        <v>0.46425604832005718</v>
      </c>
      <c r="FN421" s="1635">
        <f>IF($G420=0,0,FN420/FK420)</f>
        <v>0.53574395167994282</v>
      </c>
      <c r="FO421" s="1079"/>
    </row>
    <row r="422" spans="2:171" x14ac:dyDescent="0.25">
      <c r="K422" s="1074"/>
      <c r="S422" s="1074"/>
      <c r="AA422" s="1074"/>
      <c r="AI422" s="1074"/>
      <c r="AQ422" s="1074"/>
      <c r="AY422" s="1074"/>
      <c r="BG422" s="1074"/>
      <c r="BO422" s="1074"/>
      <c r="BW422" s="1074"/>
      <c r="CE422" s="1074"/>
      <c r="CM422" s="1074"/>
      <c r="CU422" s="1074"/>
      <c r="DC422" s="1074"/>
      <c r="DK422" s="1074"/>
      <c r="DS422" s="1074"/>
      <c r="EA422" s="1074"/>
      <c r="EI422" s="1074"/>
      <c r="EQ422" s="1074"/>
      <c r="EY422" s="1074"/>
      <c r="FG422" s="1074"/>
      <c r="FO422" s="1074"/>
    </row>
    <row r="423" spans="2:171" x14ac:dyDescent="0.25">
      <c r="E423" s="302" t="s">
        <v>521</v>
      </c>
      <c r="G423" s="303" t="s">
        <v>104</v>
      </c>
      <c r="H423" s="303" t="s">
        <v>105</v>
      </c>
      <c r="I423" s="303" t="s">
        <v>106</v>
      </c>
      <c r="J423" s="304" t="s">
        <v>512</v>
      </c>
      <c r="K423" s="1079"/>
      <c r="O423" s="303" t="s">
        <v>104</v>
      </c>
      <c r="P423" s="303" t="s">
        <v>105</v>
      </c>
      <c r="Q423" s="303" t="s">
        <v>106</v>
      </c>
      <c r="R423" s="304" t="s">
        <v>512</v>
      </c>
      <c r="S423" s="1079"/>
      <c r="W423" s="303" t="s">
        <v>104</v>
      </c>
      <c r="X423" s="303" t="s">
        <v>105</v>
      </c>
      <c r="Y423" s="303" t="s">
        <v>106</v>
      </c>
      <c r="Z423" s="304" t="s">
        <v>512</v>
      </c>
      <c r="AA423" s="1079"/>
      <c r="AE423" s="303" t="s">
        <v>104</v>
      </c>
      <c r="AF423" s="303" t="s">
        <v>105</v>
      </c>
      <c r="AG423" s="303" t="s">
        <v>106</v>
      </c>
      <c r="AH423" s="304" t="s">
        <v>512</v>
      </c>
      <c r="AI423" s="1079"/>
      <c r="AM423" s="303" t="s">
        <v>104</v>
      </c>
      <c r="AN423" s="303" t="s">
        <v>105</v>
      </c>
      <c r="AO423" s="303" t="s">
        <v>106</v>
      </c>
      <c r="AP423" s="304" t="s">
        <v>512</v>
      </c>
      <c r="AQ423" s="1079"/>
      <c r="AU423" s="303" t="s">
        <v>104</v>
      </c>
      <c r="AV423" s="303" t="s">
        <v>105</v>
      </c>
      <c r="AW423" s="303" t="s">
        <v>106</v>
      </c>
      <c r="AX423" s="304" t="s">
        <v>512</v>
      </c>
      <c r="AY423" s="1079"/>
      <c r="BC423" s="303" t="s">
        <v>104</v>
      </c>
      <c r="BD423" s="303" t="s">
        <v>105</v>
      </c>
      <c r="BE423" s="303" t="s">
        <v>106</v>
      </c>
      <c r="BF423" s="304" t="s">
        <v>512</v>
      </c>
      <c r="BG423" s="1079"/>
      <c r="BK423" s="303" t="s">
        <v>104</v>
      </c>
      <c r="BL423" s="303" t="s">
        <v>105</v>
      </c>
      <c r="BM423" s="303" t="s">
        <v>106</v>
      </c>
      <c r="BN423" s="304" t="s">
        <v>512</v>
      </c>
      <c r="BO423" s="1079"/>
      <c r="BS423" s="303" t="s">
        <v>104</v>
      </c>
      <c r="BT423" s="303" t="s">
        <v>105</v>
      </c>
      <c r="BU423" s="303" t="s">
        <v>106</v>
      </c>
      <c r="BV423" s="304" t="s">
        <v>512</v>
      </c>
      <c r="BW423" s="1079"/>
      <c r="CA423" s="303" t="s">
        <v>104</v>
      </c>
      <c r="CB423" s="303" t="s">
        <v>105</v>
      </c>
      <c r="CC423" s="303" t="s">
        <v>106</v>
      </c>
      <c r="CD423" s="304" t="s">
        <v>512</v>
      </c>
      <c r="CE423" s="1079"/>
      <c r="CI423" s="303" t="s">
        <v>104</v>
      </c>
      <c r="CJ423" s="303" t="s">
        <v>105</v>
      </c>
      <c r="CK423" s="303" t="s">
        <v>106</v>
      </c>
      <c r="CL423" s="304" t="s">
        <v>512</v>
      </c>
      <c r="CM423" s="1079"/>
      <c r="CQ423" s="303" t="s">
        <v>104</v>
      </c>
      <c r="CR423" s="303" t="s">
        <v>105</v>
      </c>
      <c r="CS423" s="303" t="s">
        <v>106</v>
      </c>
      <c r="CT423" s="304" t="s">
        <v>512</v>
      </c>
      <c r="CU423" s="1079"/>
      <c r="CY423" s="303" t="s">
        <v>104</v>
      </c>
      <c r="CZ423" s="303" t="s">
        <v>105</v>
      </c>
      <c r="DA423" s="303" t="s">
        <v>106</v>
      </c>
      <c r="DB423" s="304" t="s">
        <v>512</v>
      </c>
      <c r="DC423" s="1079"/>
      <c r="DG423" s="303" t="s">
        <v>104</v>
      </c>
      <c r="DH423" s="303" t="s">
        <v>105</v>
      </c>
      <c r="DI423" s="303" t="s">
        <v>106</v>
      </c>
      <c r="DJ423" s="304" t="s">
        <v>512</v>
      </c>
      <c r="DK423" s="1079"/>
      <c r="DO423" s="303" t="s">
        <v>104</v>
      </c>
      <c r="DP423" s="303" t="s">
        <v>105</v>
      </c>
      <c r="DQ423" s="303" t="s">
        <v>106</v>
      </c>
      <c r="DR423" s="304" t="s">
        <v>512</v>
      </c>
      <c r="DS423" s="1079"/>
      <c r="DW423" s="303" t="s">
        <v>104</v>
      </c>
      <c r="DX423" s="303" t="s">
        <v>105</v>
      </c>
      <c r="DY423" s="303" t="s">
        <v>106</v>
      </c>
      <c r="DZ423" s="304" t="s">
        <v>512</v>
      </c>
      <c r="EA423" s="1079"/>
      <c r="EE423" s="303" t="s">
        <v>104</v>
      </c>
      <c r="EF423" s="303" t="s">
        <v>105</v>
      </c>
      <c r="EG423" s="303" t="s">
        <v>106</v>
      </c>
      <c r="EH423" s="304" t="s">
        <v>512</v>
      </c>
      <c r="EI423" s="1079"/>
      <c r="EM423" s="303" t="s">
        <v>104</v>
      </c>
      <c r="EN423" s="303" t="s">
        <v>105</v>
      </c>
      <c r="EO423" s="303" t="s">
        <v>106</v>
      </c>
      <c r="EP423" s="304" t="s">
        <v>512</v>
      </c>
      <c r="EQ423" s="1079"/>
      <c r="EU423" s="303" t="s">
        <v>104</v>
      </c>
      <c r="EV423" s="303" t="s">
        <v>105</v>
      </c>
      <c r="EW423" s="303" t="s">
        <v>106</v>
      </c>
      <c r="EX423" s="304" t="s">
        <v>512</v>
      </c>
      <c r="EY423" s="1079"/>
      <c r="FC423" s="303" t="s">
        <v>104</v>
      </c>
      <c r="FD423" s="303" t="s">
        <v>105</v>
      </c>
      <c r="FE423" s="303" t="s">
        <v>106</v>
      </c>
      <c r="FF423" s="304" t="s">
        <v>512</v>
      </c>
      <c r="FG423" s="1079"/>
      <c r="FK423" s="303" t="s">
        <v>104</v>
      </c>
      <c r="FL423" s="303" t="s">
        <v>105</v>
      </c>
      <c r="FM423" s="303" t="s">
        <v>106</v>
      </c>
      <c r="FN423" s="304" t="s">
        <v>512</v>
      </c>
      <c r="FO423" s="1079"/>
    </row>
    <row r="424" spans="2:171" x14ac:dyDescent="0.25">
      <c r="C424" s="108" t="s">
        <v>121</v>
      </c>
      <c r="D424" s="1072"/>
      <c r="E424" s="905" t="s">
        <v>393</v>
      </c>
      <c r="G424" s="891">
        <f>G403</f>
        <v>3295838980.7862144</v>
      </c>
      <c r="H424" s="891">
        <f t="shared" ref="H424:J424" si="1576">H403</f>
        <v>0</v>
      </c>
      <c r="I424" s="891">
        <f t="shared" si="1576"/>
        <v>0</v>
      </c>
      <c r="J424" s="891">
        <f t="shared" si="1576"/>
        <v>3295838980.7862144</v>
      </c>
      <c r="K424" s="904">
        <f t="shared" ref="K424:K429" si="1577">IF($E424="DIRECT",0,1)</f>
        <v>1</v>
      </c>
      <c r="L424" s="1072"/>
      <c r="N424" s="1073"/>
      <c r="O424" s="891">
        <f>O403</f>
        <v>3295838980.7862144</v>
      </c>
      <c r="P424" s="891">
        <f t="shared" ref="P424:R424" si="1578">P403</f>
        <v>0</v>
      </c>
      <c r="Q424" s="891">
        <f t="shared" si="1578"/>
        <v>3295838980.7862144</v>
      </c>
      <c r="R424" s="891">
        <f t="shared" si="1578"/>
        <v>0</v>
      </c>
      <c r="S424" s="1074"/>
      <c r="T424" s="1072"/>
      <c r="V424" s="1073"/>
      <c r="W424" s="891">
        <f>W403</f>
        <v>3295838980.7862144</v>
      </c>
      <c r="X424" s="891">
        <f t="shared" ref="X424:Z424" si="1579">X403</f>
        <v>0</v>
      </c>
      <c r="Y424" s="891">
        <f t="shared" si="1579"/>
        <v>3295838980.7862144</v>
      </c>
      <c r="Z424" s="891">
        <f t="shared" si="1579"/>
        <v>0</v>
      </c>
      <c r="AA424" s="1074"/>
      <c r="AB424" s="1072"/>
      <c r="AD424" s="1073"/>
      <c r="AE424" s="891">
        <f>AE403</f>
        <v>3295838980.7862144</v>
      </c>
      <c r="AF424" s="891">
        <f t="shared" ref="AF424:AH424" si="1580">AF403</f>
        <v>0</v>
      </c>
      <c r="AG424" s="891">
        <f t="shared" si="1580"/>
        <v>3295838980.7862144</v>
      </c>
      <c r="AH424" s="891">
        <f t="shared" si="1580"/>
        <v>0</v>
      </c>
      <c r="AI424" s="1074"/>
      <c r="AJ424" s="1072"/>
      <c r="AL424" s="1073"/>
      <c r="AM424" s="891">
        <f>AM403</f>
        <v>3295838980.7862144</v>
      </c>
      <c r="AN424" s="891">
        <f t="shared" ref="AN424:AP424" si="1581">AN403</f>
        <v>0</v>
      </c>
      <c r="AO424" s="891">
        <f t="shared" si="1581"/>
        <v>3295838980.7862144</v>
      </c>
      <c r="AP424" s="891">
        <f t="shared" si="1581"/>
        <v>0</v>
      </c>
      <c r="AQ424" s="1074"/>
      <c r="AR424" s="1072"/>
      <c r="AT424" s="1073"/>
      <c r="AU424" s="891">
        <f>AU403</f>
        <v>3295838980.7862144</v>
      </c>
      <c r="AV424" s="891">
        <f t="shared" ref="AV424:AX424" si="1582">AV403</f>
        <v>0</v>
      </c>
      <c r="AW424" s="891">
        <f t="shared" si="1582"/>
        <v>3295838980.7862144</v>
      </c>
      <c r="AX424" s="891">
        <f t="shared" si="1582"/>
        <v>0</v>
      </c>
      <c r="AY424" s="1074"/>
      <c r="AZ424" s="1072"/>
      <c r="BB424" s="1073"/>
      <c r="BC424" s="891">
        <f>BC403</f>
        <v>3295838980.7862144</v>
      </c>
      <c r="BD424" s="891">
        <f t="shared" ref="BD424:BF424" si="1583">BD403</f>
        <v>0</v>
      </c>
      <c r="BE424" s="891">
        <f t="shared" si="1583"/>
        <v>3295838980.7862144</v>
      </c>
      <c r="BF424" s="891">
        <f t="shared" si="1583"/>
        <v>0</v>
      </c>
      <c r="BG424" s="1074"/>
      <c r="BH424" s="1072"/>
      <c r="BJ424" s="1073"/>
      <c r="BK424" s="891">
        <f>BK403</f>
        <v>3295838980.7862144</v>
      </c>
      <c r="BL424" s="891">
        <f t="shared" ref="BL424:BN424" si="1584">BL403</f>
        <v>0</v>
      </c>
      <c r="BM424" s="891">
        <f t="shared" si="1584"/>
        <v>3295838980.7862144</v>
      </c>
      <c r="BN424" s="891">
        <f t="shared" si="1584"/>
        <v>0</v>
      </c>
      <c r="BO424" s="1074"/>
      <c r="BP424" s="1072"/>
      <c r="BR424" s="1073"/>
      <c r="BS424" s="891">
        <f>BS403</f>
        <v>3295838980.7862144</v>
      </c>
      <c r="BT424" s="891">
        <f t="shared" ref="BT424:BV424" si="1585">BT403</f>
        <v>0</v>
      </c>
      <c r="BU424" s="891">
        <f t="shared" si="1585"/>
        <v>3295838980.7862144</v>
      </c>
      <c r="BV424" s="891">
        <f t="shared" si="1585"/>
        <v>0</v>
      </c>
      <c r="BW424" s="1074"/>
      <c r="BX424" s="1072"/>
      <c r="BZ424" s="1073"/>
      <c r="CA424" s="891">
        <f>CA403</f>
        <v>3295838980.7862144</v>
      </c>
      <c r="CB424" s="891">
        <f t="shared" ref="CB424:CD424" si="1586">CB403</f>
        <v>0</v>
      </c>
      <c r="CC424" s="891">
        <f t="shared" si="1586"/>
        <v>3295838980.7862144</v>
      </c>
      <c r="CD424" s="891">
        <f t="shared" si="1586"/>
        <v>0</v>
      </c>
      <c r="CE424" s="1074"/>
      <c r="CF424" s="1072"/>
      <c r="CH424" s="1073"/>
      <c r="CI424" s="891">
        <f>CI403</f>
        <v>3295838980.7862144</v>
      </c>
      <c r="CJ424" s="891">
        <f t="shared" ref="CJ424:CL424" si="1587">CJ403</f>
        <v>0</v>
      </c>
      <c r="CK424" s="891">
        <f t="shared" si="1587"/>
        <v>3295838980.7862144</v>
      </c>
      <c r="CL424" s="891">
        <f t="shared" si="1587"/>
        <v>0</v>
      </c>
      <c r="CM424" s="1074"/>
      <c r="CN424" s="1072"/>
      <c r="CP424" s="1073"/>
      <c r="CQ424" s="891">
        <f>CQ403</f>
        <v>3295838980.7862144</v>
      </c>
      <c r="CR424" s="891">
        <f t="shared" ref="CR424:CT424" si="1588">CR403</f>
        <v>0</v>
      </c>
      <c r="CS424" s="891">
        <f t="shared" si="1588"/>
        <v>3295838980.7862144</v>
      </c>
      <c r="CT424" s="891">
        <f t="shared" si="1588"/>
        <v>0</v>
      </c>
      <c r="CU424" s="1074"/>
      <c r="CV424" s="1072"/>
      <c r="CX424" s="1073"/>
      <c r="CY424" s="891">
        <f>CY403</f>
        <v>3295838980.7862144</v>
      </c>
      <c r="CZ424" s="891">
        <f t="shared" ref="CZ424:DB424" si="1589">CZ403</f>
        <v>0</v>
      </c>
      <c r="DA424" s="891">
        <f t="shared" si="1589"/>
        <v>3295838980.7862144</v>
      </c>
      <c r="DB424" s="891">
        <f t="shared" si="1589"/>
        <v>0</v>
      </c>
      <c r="DC424" s="1074"/>
      <c r="DD424" s="1072"/>
      <c r="DF424" s="1073"/>
      <c r="DG424" s="891">
        <f>DG403</f>
        <v>3295838980.7862144</v>
      </c>
      <c r="DH424" s="891">
        <f t="shared" ref="DH424:DJ424" si="1590">DH403</f>
        <v>0</v>
      </c>
      <c r="DI424" s="891">
        <f t="shared" si="1590"/>
        <v>3295838980.7862144</v>
      </c>
      <c r="DJ424" s="891">
        <f t="shared" si="1590"/>
        <v>0</v>
      </c>
      <c r="DK424" s="1074"/>
      <c r="DL424" s="1072"/>
      <c r="DN424" s="1073"/>
      <c r="DO424" s="891">
        <f>DO403</f>
        <v>3295838980.7862144</v>
      </c>
      <c r="DP424" s="891">
        <f t="shared" ref="DP424:DR424" si="1591">DP403</f>
        <v>0</v>
      </c>
      <c r="DQ424" s="891">
        <f t="shared" si="1591"/>
        <v>3295838980.7862144</v>
      </c>
      <c r="DR424" s="891">
        <f t="shared" si="1591"/>
        <v>0</v>
      </c>
      <c r="DS424" s="1074"/>
      <c r="DT424" s="1072"/>
      <c r="DV424" s="1073"/>
      <c r="DW424" s="891">
        <f>DW403</f>
        <v>3295838980.7862144</v>
      </c>
      <c r="DX424" s="891">
        <f t="shared" ref="DX424:DZ424" si="1592">DX403</f>
        <v>0</v>
      </c>
      <c r="DY424" s="891">
        <f t="shared" si="1592"/>
        <v>3295838980.7862144</v>
      </c>
      <c r="DZ424" s="891">
        <f t="shared" si="1592"/>
        <v>0</v>
      </c>
      <c r="EA424" s="1074"/>
      <c r="EB424" s="1072"/>
      <c r="ED424" s="1073"/>
      <c r="EE424" s="891">
        <f>EE403</f>
        <v>3295838980.7862144</v>
      </c>
      <c r="EF424" s="891">
        <f t="shared" ref="EF424:EH424" si="1593">EF403</f>
        <v>0</v>
      </c>
      <c r="EG424" s="891">
        <f t="shared" si="1593"/>
        <v>3295838980.7862144</v>
      </c>
      <c r="EH424" s="891">
        <f t="shared" si="1593"/>
        <v>0</v>
      </c>
      <c r="EI424" s="1074"/>
      <c r="EJ424" s="1072"/>
      <c r="EL424" s="1073"/>
      <c r="EM424" s="891">
        <f>EM403</f>
        <v>3295838980.7862144</v>
      </c>
      <c r="EN424" s="891">
        <f t="shared" ref="EN424:EP424" si="1594">EN403</f>
        <v>0</v>
      </c>
      <c r="EO424" s="891">
        <f t="shared" si="1594"/>
        <v>3295838980.7862144</v>
      </c>
      <c r="EP424" s="891">
        <f t="shared" si="1594"/>
        <v>0</v>
      </c>
      <c r="EQ424" s="1074"/>
      <c r="ER424" s="1072"/>
      <c r="ET424" s="1073"/>
      <c r="EU424" s="891">
        <f>EU403</f>
        <v>3295838980.7862144</v>
      </c>
      <c r="EV424" s="891">
        <f t="shared" ref="EV424:EX424" si="1595">EV403</f>
        <v>0</v>
      </c>
      <c r="EW424" s="891">
        <f t="shared" si="1595"/>
        <v>3295838980.7862144</v>
      </c>
      <c r="EX424" s="891">
        <f t="shared" si="1595"/>
        <v>0</v>
      </c>
      <c r="EY424" s="1074"/>
      <c r="EZ424" s="1072"/>
      <c r="FB424" s="1073"/>
      <c r="FC424" s="891">
        <f>FC403</f>
        <v>3295838980.7862144</v>
      </c>
      <c r="FD424" s="891">
        <f t="shared" ref="FD424:FF424" si="1596">FD403</f>
        <v>0</v>
      </c>
      <c r="FE424" s="891">
        <f t="shared" si="1596"/>
        <v>3295838980.7862144</v>
      </c>
      <c r="FF424" s="891">
        <f t="shared" si="1596"/>
        <v>0</v>
      </c>
      <c r="FG424" s="1074"/>
      <c r="FH424" s="1072"/>
      <c r="FJ424" s="1073"/>
      <c r="FK424" s="891">
        <f>FK403</f>
        <v>3295838980.7862144</v>
      </c>
      <c r="FL424" s="891">
        <f t="shared" ref="FL424:FN424" si="1597">FL403</f>
        <v>0</v>
      </c>
      <c r="FM424" s="891">
        <f t="shared" si="1597"/>
        <v>3295838980.7862144</v>
      </c>
      <c r="FN424" s="891">
        <f t="shared" si="1597"/>
        <v>0</v>
      </c>
      <c r="FO424" s="1074"/>
    </row>
    <row r="425" spans="2:171" x14ac:dyDescent="0.25">
      <c r="C425" s="108" t="s">
        <v>122</v>
      </c>
      <c r="D425" s="1072"/>
      <c r="E425" s="905" t="s">
        <v>392</v>
      </c>
      <c r="G425" s="891">
        <f>G404</f>
        <v>3803344740.5943408</v>
      </c>
      <c r="H425" s="891">
        <f t="shared" ref="H425:J425" si="1598">H404</f>
        <v>0</v>
      </c>
      <c r="I425" s="891">
        <f t="shared" si="1598"/>
        <v>0</v>
      </c>
      <c r="J425" s="891">
        <f t="shared" si="1598"/>
        <v>3803344740.5943408</v>
      </c>
      <c r="K425" s="904">
        <f t="shared" si="1577"/>
        <v>1</v>
      </c>
      <c r="L425" s="1072"/>
      <c r="N425" s="1073"/>
      <c r="O425" s="891">
        <f>O404</f>
        <v>3803344740.5943408</v>
      </c>
      <c r="P425" s="891">
        <f t="shared" ref="P425:R425" si="1599">P404</f>
        <v>0</v>
      </c>
      <c r="Q425" s="891">
        <f t="shared" si="1599"/>
        <v>0</v>
      </c>
      <c r="R425" s="891">
        <f t="shared" si="1599"/>
        <v>3803344740.5943408</v>
      </c>
      <c r="S425" s="1074"/>
      <c r="T425" s="1072"/>
      <c r="V425" s="1073"/>
      <c r="W425" s="891">
        <f>W404</f>
        <v>3803344740.5943408</v>
      </c>
      <c r="X425" s="891">
        <f t="shared" ref="X425:Z425" si="1600">X404</f>
        <v>0</v>
      </c>
      <c r="Y425" s="891">
        <f t="shared" si="1600"/>
        <v>0</v>
      </c>
      <c r="Z425" s="891">
        <f t="shared" si="1600"/>
        <v>3803344740.5943408</v>
      </c>
      <c r="AA425" s="1074"/>
      <c r="AB425" s="1072"/>
      <c r="AD425" s="1073"/>
      <c r="AE425" s="891">
        <f>AE404</f>
        <v>3803344740.5943408</v>
      </c>
      <c r="AF425" s="891">
        <f t="shared" ref="AF425:AH425" si="1601">AF404</f>
        <v>0</v>
      </c>
      <c r="AG425" s="891">
        <f t="shared" si="1601"/>
        <v>0</v>
      </c>
      <c r="AH425" s="891">
        <f t="shared" si="1601"/>
        <v>3803344740.5943408</v>
      </c>
      <c r="AI425" s="1074"/>
      <c r="AJ425" s="1072"/>
      <c r="AL425" s="1073"/>
      <c r="AM425" s="891">
        <f>AM404</f>
        <v>3803344740.5943408</v>
      </c>
      <c r="AN425" s="891">
        <f t="shared" ref="AN425:AP425" si="1602">AN404</f>
        <v>0</v>
      </c>
      <c r="AO425" s="891">
        <f t="shared" si="1602"/>
        <v>0</v>
      </c>
      <c r="AP425" s="891">
        <f t="shared" si="1602"/>
        <v>3803344740.5943408</v>
      </c>
      <c r="AQ425" s="1074"/>
      <c r="AR425" s="1072"/>
      <c r="AT425" s="1073"/>
      <c r="AU425" s="891">
        <f>AU404</f>
        <v>3803344740.5943408</v>
      </c>
      <c r="AV425" s="891">
        <f t="shared" ref="AV425:AX425" si="1603">AV404</f>
        <v>0</v>
      </c>
      <c r="AW425" s="891">
        <f t="shared" si="1603"/>
        <v>0</v>
      </c>
      <c r="AX425" s="891">
        <f t="shared" si="1603"/>
        <v>3803344740.5943408</v>
      </c>
      <c r="AY425" s="1074"/>
      <c r="AZ425" s="1072"/>
      <c r="BB425" s="1073"/>
      <c r="BC425" s="891">
        <f>BC404</f>
        <v>3803344740.5943408</v>
      </c>
      <c r="BD425" s="891">
        <f t="shared" ref="BD425:BF425" si="1604">BD404</f>
        <v>0</v>
      </c>
      <c r="BE425" s="891">
        <f t="shared" si="1604"/>
        <v>0</v>
      </c>
      <c r="BF425" s="891">
        <f t="shared" si="1604"/>
        <v>3803344740.5943408</v>
      </c>
      <c r="BG425" s="1074"/>
      <c r="BH425" s="1072"/>
      <c r="BJ425" s="1073"/>
      <c r="BK425" s="891">
        <f>BK404</f>
        <v>3803344740.5943408</v>
      </c>
      <c r="BL425" s="891">
        <f t="shared" ref="BL425:BN425" si="1605">BL404</f>
        <v>0</v>
      </c>
      <c r="BM425" s="891">
        <f t="shared" si="1605"/>
        <v>0</v>
      </c>
      <c r="BN425" s="891">
        <f t="shared" si="1605"/>
        <v>3803344740.5943408</v>
      </c>
      <c r="BO425" s="1074"/>
      <c r="BP425" s="1072"/>
      <c r="BR425" s="1073"/>
      <c r="BS425" s="891">
        <f>BS404</f>
        <v>3803344740.5943408</v>
      </c>
      <c r="BT425" s="891">
        <f t="shared" ref="BT425:BV425" si="1606">BT404</f>
        <v>0</v>
      </c>
      <c r="BU425" s="891">
        <f t="shared" si="1606"/>
        <v>0</v>
      </c>
      <c r="BV425" s="891">
        <f t="shared" si="1606"/>
        <v>3803344740.5943408</v>
      </c>
      <c r="BW425" s="1074"/>
      <c r="BX425" s="1072"/>
      <c r="BZ425" s="1073"/>
      <c r="CA425" s="891">
        <f>CA404</f>
        <v>3803344740.5943408</v>
      </c>
      <c r="CB425" s="891">
        <f t="shared" ref="CB425:CD425" si="1607">CB404</f>
        <v>0</v>
      </c>
      <c r="CC425" s="891">
        <f t="shared" si="1607"/>
        <v>0</v>
      </c>
      <c r="CD425" s="891">
        <f t="shared" si="1607"/>
        <v>3803344740.5943408</v>
      </c>
      <c r="CE425" s="1074"/>
      <c r="CF425" s="1072"/>
      <c r="CH425" s="1073"/>
      <c r="CI425" s="891">
        <f>CI404</f>
        <v>3803344740.5943408</v>
      </c>
      <c r="CJ425" s="891">
        <f t="shared" ref="CJ425:CL425" si="1608">CJ404</f>
        <v>0</v>
      </c>
      <c r="CK425" s="891">
        <f t="shared" si="1608"/>
        <v>0</v>
      </c>
      <c r="CL425" s="891">
        <f t="shared" si="1608"/>
        <v>3803344740.5943408</v>
      </c>
      <c r="CM425" s="1074"/>
      <c r="CN425" s="1072"/>
      <c r="CP425" s="1073"/>
      <c r="CQ425" s="891">
        <f>CQ404</f>
        <v>3803344740.5943408</v>
      </c>
      <c r="CR425" s="891">
        <f t="shared" ref="CR425:CT425" si="1609">CR404</f>
        <v>0</v>
      </c>
      <c r="CS425" s="891">
        <f t="shared" si="1609"/>
        <v>0</v>
      </c>
      <c r="CT425" s="891">
        <f t="shared" si="1609"/>
        <v>3803344740.5943408</v>
      </c>
      <c r="CU425" s="1074"/>
      <c r="CV425" s="1072"/>
      <c r="CX425" s="1073"/>
      <c r="CY425" s="891">
        <f>CY404</f>
        <v>3803344740.5943408</v>
      </c>
      <c r="CZ425" s="891">
        <f t="shared" ref="CZ425:DB425" si="1610">CZ404</f>
        <v>0</v>
      </c>
      <c r="DA425" s="891">
        <f t="shared" si="1610"/>
        <v>0</v>
      </c>
      <c r="DB425" s="891">
        <f t="shared" si="1610"/>
        <v>3803344740.5943408</v>
      </c>
      <c r="DC425" s="1074"/>
      <c r="DD425" s="1072"/>
      <c r="DF425" s="1073"/>
      <c r="DG425" s="891">
        <f>DG404</f>
        <v>3803344740.5943408</v>
      </c>
      <c r="DH425" s="891">
        <f t="shared" ref="DH425:DJ425" si="1611">DH404</f>
        <v>0</v>
      </c>
      <c r="DI425" s="891">
        <f t="shared" si="1611"/>
        <v>0</v>
      </c>
      <c r="DJ425" s="891">
        <f t="shared" si="1611"/>
        <v>3803344740.5943408</v>
      </c>
      <c r="DK425" s="1074"/>
      <c r="DL425" s="1072"/>
      <c r="DN425" s="1073"/>
      <c r="DO425" s="891">
        <f>DO404</f>
        <v>3803344740.5943408</v>
      </c>
      <c r="DP425" s="891">
        <f t="shared" ref="DP425:DR425" si="1612">DP404</f>
        <v>0</v>
      </c>
      <c r="DQ425" s="891">
        <f t="shared" si="1612"/>
        <v>0</v>
      </c>
      <c r="DR425" s="891">
        <f t="shared" si="1612"/>
        <v>3803344740.5943408</v>
      </c>
      <c r="DS425" s="1074"/>
      <c r="DT425" s="1072"/>
      <c r="DV425" s="1073"/>
      <c r="DW425" s="891">
        <f>DW404</f>
        <v>3803344740.5943408</v>
      </c>
      <c r="DX425" s="891">
        <f t="shared" ref="DX425:DZ425" si="1613">DX404</f>
        <v>0</v>
      </c>
      <c r="DY425" s="891">
        <f t="shared" si="1613"/>
        <v>0</v>
      </c>
      <c r="DZ425" s="891">
        <f t="shared" si="1613"/>
        <v>3803344740.5943408</v>
      </c>
      <c r="EA425" s="1074"/>
      <c r="EB425" s="1072"/>
      <c r="ED425" s="1073"/>
      <c r="EE425" s="891">
        <f>EE404</f>
        <v>3803344740.5943408</v>
      </c>
      <c r="EF425" s="891">
        <f t="shared" ref="EF425:EH425" si="1614">EF404</f>
        <v>0</v>
      </c>
      <c r="EG425" s="891">
        <f t="shared" si="1614"/>
        <v>0</v>
      </c>
      <c r="EH425" s="891">
        <f t="shared" si="1614"/>
        <v>3803344740.5943408</v>
      </c>
      <c r="EI425" s="1074"/>
      <c r="EJ425" s="1072"/>
      <c r="EL425" s="1073"/>
      <c r="EM425" s="891">
        <f>EM404</f>
        <v>3803344740.5943408</v>
      </c>
      <c r="EN425" s="891">
        <f t="shared" ref="EN425:EP425" si="1615">EN404</f>
        <v>0</v>
      </c>
      <c r="EO425" s="891">
        <f t="shared" si="1615"/>
        <v>0</v>
      </c>
      <c r="EP425" s="891">
        <f t="shared" si="1615"/>
        <v>3803344740.5943408</v>
      </c>
      <c r="EQ425" s="1074"/>
      <c r="ER425" s="1072"/>
      <c r="ET425" s="1073"/>
      <c r="EU425" s="891">
        <f>EU404</f>
        <v>3803344740.5943408</v>
      </c>
      <c r="EV425" s="891">
        <f t="shared" ref="EV425:EX425" si="1616">EV404</f>
        <v>0</v>
      </c>
      <c r="EW425" s="891">
        <f t="shared" si="1616"/>
        <v>0</v>
      </c>
      <c r="EX425" s="891">
        <f t="shared" si="1616"/>
        <v>3803344740.5943408</v>
      </c>
      <c r="EY425" s="1074"/>
      <c r="EZ425" s="1072"/>
      <c r="FB425" s="1073"/>
      <c r="FC425" s="891">
        <f>FC404</f>
        <v>3803344740.5943408</v>
      </c>
      <c r="FD425" s="891">
        <f t="shared" ref="FD425:FF425" si="1617">FD404</f>
        <v>0</v>
      </c>
      <c r="FE425" s="891">
        <f t="shared" si="1617"/>
        <v>0</v>
      </c>
      <c r="FF425" s="891">
        <f t="shared" si="1617"/>
        <v>3803344740.5943408</v>
      </c>
      <c r="FG425" s="1074"/>
      <c r="FH425" s="1072"/>
      <c r="FJ425" s="1073"/>
      <c r="FK425" s="891">
        <f>FK404</f>
        <v>3803344740.5943408</v>
      </c>
      <c r="FL425" s="891">
        <f t="shared" ref="FL425:FN425" si="1618">FL404</f>
        <v>0</v>
      </c>
      <c r="FM425" s="891">
        <f t="shared" si="1618"/>
        <v>0</v>
      </c>
      <c r="FN425" s="891">
        <f t="shared" si="1618"/>
        <v>3803344740.5943408</v>
      </c>
      <c r="FO425" s="1074"/>
    </row>
    <row r="426" spans="2:171" x14ac:dyDescent="0.25">
      <c r="C426" s="108" t="s">
        <v>528</v>
      </c>
      <c r="D426" s="1072"/>
      <c r="E426" s="905" t="str">
        <f>E16</f>
        <v>DIST</v>
      </c>
      <c r="G426" s="891">
        <f>I410+J410</f>
        <v>0</v>
      </c>
      <c r="H426" s="891">
        <v>0</v>
      </c>
      <c r="I426" s="891">
        <f>I410</f>
        <v>0</v>
      </c>
      <c r="J426" s="891">
        <f>J410</f>
        <v>0</v>
      </c>
      <c r="K426" s="904">
        <f t="shared" si="1577"/>
        <v>1</v>
      </c>
      <c r="L426" s="1072"/>
      <c r="N426" s="1073"/>
      <c r="O426" s="891">
        <f>Q410+R410</f>
        <v>0</v>
      </c>
      <c r="P426" s="891">
        <v>0</v>
      </c>
      <c r="Q426" s="891">
        <f>Q410</f>
        <v>0</v>
      </c>
      <c r="R426" s="891">
        <f>R410</f>
        <v>0</v>
      </c>
      <c r="S426" s="1074"/>
      <c r="T426" s="1072"/>
      <c r="V426" s="1073"/>
      <c r="W426" s="891">
        <f>Y410+Z410</f>
        <v>0</v>
      </c>
      <c r="X426" s="891">
        <v>0</v>
      </c>
      <c r="Y426" s="891">
        <f>Y410</f>
        <v>0</v>
      </c>
      <c r="Z426" s="891">
        <f>Z410</f>
        <v>0</v>
      </c>
      <c r="AA426" s="1074"/>
      <c r="AB426" s="1072"/>
      <c r="AD426" s="1073"/>
      <c r="AE426" s="891">
        <f>AG410+AH410</f>
        <v>0</v>
      </c>
      <c r="AF426" s="891">
        <v>0</v>
      </c>
      <c r="AG426" s="891">
        <f>AG410</f>
        <v>0</v>
      </c>
      <c r="AH426" s="891">
        <f>AH410</f>
        <v>0</v>
      </c>
      <c r="AI426" s="1074"/>
      <c r="AJ426" s="1072"/>
      <c r="AL426" s="1073"/>
      <c r="AM426" s="891">
        <f>AO410+AP410</f>
        <v>0</v>
      </c>
      <c r="AN426" s="891">
        <v>0</v>
      </c>
      <c r="AO426" s="891">
        <f>AO410</f>
        <v>0</v>
      </c>
      <c r="AP426" s="891">
        <f>AP410</f>
        <v>0</v>
      </c>
      <c r="AQ426" s="1074"/>
      <c r="AR426" s="1072"/>
      <c r="AT426" s="1073"/>
      <c r="AU426" s="891">
        <f>AW410+AX410</f>
        <v>0</v>
      </c>
      <c r="AV426" s="891">
        <v>0</v>
      </c>
      <c r="AW426" s="891">
        <f>AW410</f>
        <v>0</v>
      </c>
      <c r="AX426" s="891">
        <f>AX410</f>
        <v>0</v>
      </c>
      <c r="AY426" s="1074"/>
      <c r="AZ426" s="1072"/>
      <c r="BB426" s="1073"/>
      <c r="BC426" s="891">
        <f>BE410+BF410</f>
        <v>0</v>
      </c>
      <c r="BD426" s="891">
        <v>0</v>
      </c>
      <c r="BE426" s="891">
        <f>BE410</f>
        <v>0</v>
      </c>
      <c r="BF426" s="891">
        <f>BF410</f>
        <v>0</v>
      </c>
      <c r="BG426" s="1074"/>
      <c r="BH426" s="1072"/>
      <c r="BJ426" s="1073"/>
      <c r="BK426" s="891">
        <f>BM410+BN410</f>
        <v>0</v>
      </c>
      <c r="BL426" s="891">
        <v>0</v>
      </c>
      <c r="BM426" s="891">
        <f>BM410</f>
        <v>0</v>
      </c>
      <c r="BN426" s="891">
        <f>BN410</f>
        <v>0</v>
      </c>
      <c r="BO426" s="1074"/>
      <c r="BP426" s="1072"/>
      <c r="BR426" s="1073"/>
      <c r="BS426" s="891">
        <f>BU410+BV410</f>
        <v>0</v>
      </c>
      <c r="BT426" s="891">
        <v>0</v>
      </c>
      <c r="BU426" s="891">
        <f>BU410</f>
        <v>0</v>
      </c>
      <c r="BV426" s="891">
        <f>BV410</f>
        <v>0</v>
      </c>
      <c r="BW426" s="1074"/>
      <c r="BX426" s="1072"/>
      <c r="BZ426" s="1073"/>
      <c r="CA426" s="891">
        <f>CC410+CD410</f>
        <v>0</v>
      </c>
      <c r="CB426" s="891">
        <v>0</v>
      </c>
      <c r="CC426" s="891">
        <f>CC410</f>
        <v>0</v>
      </c>
      <c r="CD426" s="891">
        <f>CD410</f>
        <v>0</v>
      </c>
      <c r="CE426" s="1074"/>
      <c r="CF426" s="1072"/>
      <c r="CH426" s="1073"/>
      <c r="CI426" s="891">
        <f>CK410+CL410</f>
        <v>0</v>
      </c>
      <c r="CJ426" s="891">
        <v>0</v>
      </c>
      <c r="CK426" s="891">
        <f>CK410</f>
        <v>0</v>
      </c>
      <c r="CL426" s="891">
        <f>CL410</f>
        <v>0</v>
      </c>
      <c r="CM426" s="1074"/>
      <c r="CN426" s="1072"/>
      <c r="CP426" s="1073"/>
      <c r="CQ426" s="891">
        <f>CS410+CT410</f>
        <v>0</v>
      </c>
      <c r="CR426" s="891">
        <v>0</v>
      </c>
      <c r="CS426" s="891">
        <f>CS410</f>
        <v>0</v>
      </c>
      <c r="CT426" s="891">
        <f>CT410</f>
        <v>0</v>
      </c>
      <c r="CU426" s="1074"/>
      <c r="CV426" s="1072"/>
      <c r="CX426" s="1073"/>
      <c r="CY426" s="891">
        <f>DA410+DB410</f>
        <v>0</v>
      </c>
      <c r="CZ426" s="891">
        <v>0</v>
      </c>
      <c r="DA426" s="891">
        <f>DA410</f>
        <v>0</v>
      </c>
      <c r="DB426" s="891">
        <f>DB410</f>
        <v>0</v>
      </c>
      <c r="DC426" s="1074"/>
      <c r="DD426" s="1072"/>
      <c r="DF426" s="1073"/>
      <c r="DG426" s="891">
        <f>DI410+DJ410</f>
        <v>0</v>
      </c>
      <c r="DH426" s="891">
        <v>0</v>
      </c>
      <c r="DI426" s="891">
        <f>DI410</f>
        <v>0</v>
      </c>
      <c r="DJ426" s="891">
        <f>DJ410</f>
        <v>0</v>
      </c>
      <c r="DK426" s="1074"/>
      <c r="DL426" s="1072"/>
      <c r="DN426" s="1073"/>
      <c r="DO426" s="891">
        <f>DQ410+DR410</f>
        <v>0</v>
      </c>
      <c r="DP426" s="891">
        <v>0</v>
      </c>
      <c r="DQ426" s="891">
        <f>DQ410</f>
        <v>0</v>
      </c>
      <c r="DR426" s="891">
        <f>DR410</f>
        <v>0</v>
      </c>
      <c r="DS426" s="1074"/>
      <c r="DT426" s="1072"/>
      <c r="DV426" s="1073"/>
      <c r="DW426" s="891">
        <f>DY410+DZ410</f>
        <v>0</v>
      </c>
      <c r="DX426" s="891">
        <v>0</v>
      </c>
      <c r="DY426" s="891">
        <f>DY410</f>
        <v>0</v>
      </c>
      <c r="DZ426" s="891">
        <f>DZ410</f>
        <v>0</v>
      </c>
      <c r="EA426" s="1074"/>
      <c r="EB426" s="1072"/>
      <c r="ED426" s="1073"/>
      <c r="EE426" s="891">
        <f>EG410+EH410</f>
        <v>0</v>
      </c>
      <c r="EF426" s="891">
        <v>0</v>
      </c>
      <c r="EG426" s="891">
        <f>EG410</f>
        <v>0</v>
      </c>
      <c r="EH426" s="891">
        <f>EH410</f>
        <v>0</v>
      </c>
      <c r="EI426" s="1074"/>
      <c r="EJ426" s="1072"/>
      <c r="EL426" s="1073"/>
      <c r="EM426" s="891">
        <f>EO410+EP410</f>
        <v>0</v>
      </c>
      <c r="EN426" s="891">
        <v>0</v>
      </c>
      <c r="EO426" s="891">
        <f>EO410</f>
        <v>0</v>
      </c>
      <c r="EP426" s="891">
        <f>EP410</f>
        <v>0</v>
      </c>
      <c r="EQ426" s="1074"/>
      <c r="ER426" s="1072"/>
      <c r="ET426" s="1073"/>
      <c r="EU426" s="891">
        <f>EW410+EX410</f>
        <v>0</v>
      </c>
      <c r="EV426" s="891">
        <v>0</v>
      </c>
      <c r="EW426" s="891">
        <f>EW410</f>
        <v>0</v>
      </c>
      <c r="EX426" s="891">
        <f>EX410</f>
        <v>0</v>
      </c>
      <c r="EY426" s="1074"/>
      <c r="EZ426" s="1072"/>
      <c r="FB426" s="1073"/>
      <c r="FC426" s="891">
        <f>FE410+FF410</f>
        <v>0</v>
      </c>
      <c r="FD426" s="891">
        <v>0</v>
      </c>
      <c r="FE426" s="891">
        <f>FE410</f>
        <v>0</v>
      </c>
      <c r="FF426" s="891">
        <f>FF410</f>
        <v>0</v>
      </c>
      <c r="FG426" s="1074"/>
      <c r="FH426" s="1072"/>
      <c r="FJ426" s="1073"/>
      <c r="FK426" s="891">
        <f>FM410+FN410</f>
        <v>0</v>
      </c>
      <c r="FL426" s="891">
        <v>0</v>
      </c>
      <c r="FM426" s="891">
        <f>FM410</f>
        <v>0</v>
      </c>
      <c r="FN426" s="891">
        <f>FN410</f>
        <v>0</v>
      </c>
      <c r="FO426" s="1074"/>
    </row>
    <row r="427" spans="2:171" x14ac:dyDescent="0.25">
      <c r="C427" s="108" t="s">
        <v>529</v>
      </c>
      <c r="D427" s="1072"/>
      <c r="E427" s="905" t="str">
        <f t="shared" ref="E427:E428" si="1619">E17</f>
        <v>DIRECT</v>
      </c>
      <c r="G427" s="891">
        <f t="shared" ref="G427:G428" si="1620">I411+J411</f>
        <v>1380340.3620770171</v>
      </c>
      <c r="H427" s="891">
        <v>0</v>
      </c>
      <c r="I427" s="891">
        <f t="shared" ref="I427:J427" si="1621">I411</f>
        <v>0</v>
      </c>
      <c r="J427" s="891">
        <f t="shared" si="1621"/>
        <v>1380340.3620770171</v>
      </c>
      <c r="K427" s="904">
        <f t="shared" si="1577"/>
        <v>0</v>
      </c>
      <c r="L427" s="1072"/>
      <c r="N427" s="1073"/>
      <c r="O427" s="891">
        <f t="shared" ref="O427:O428" si="1622">Q411+R411</f>
        <v>0</v>
      </c>
      <c r="P427" s="891">
        <v>0</v>
      </c>
      <c r="Q427" s="891">
        <f t="shared" ref="Q427:R427" si="1623">Q411</f>
        <v>0</v>
      </c>
      <c r="R427" s="891">
        <f t="shared" si="1623"/>
        <v>0</v>
      </c>
      <c r="S427" s="1074"/>
      <c r="T427" s="1072"/>
      <c r="V427" s="1073"/>
      <c r="W427" s="891">
        <f t="shared" ref="W427:W428" si="1624">Y411+Z411</f>
        <v>0</v>
      </c>
      <c r="X427" s="891">
        <v>0</v>
      </c>
      <c r="Y427" s="891">
        <f t="shared" ref="Y427:Z427" si="1625">Y411</f>
        <v>0</v>
      </c>
      <c r="Z427" s="891">
        <f t="shared" si="1625"/>
        <v>0</v>
      </c>
      <c r="AA427" s="1074"/>
      <c r="AB427" s="1072"/>
      <c r="AD427" s="1073"/>
      <c r="AE427" s="891">
        <f t="shared" ref="AE427:AE428" si="1626">AG411+AH411</f>
        <v>0</v>
      </c>
      <c r="AF427" s="891">
        <v>0</v>
      </c>
      <c r="AG427" s="891">
        <f t="shared" ref="AG427:AH427" si="1627">AG411</f>
        <v>0</v>
      </c>
      <c r="AH427" s="891">
        <f t="shared" si="1627"/>
        <v>0</v>
      </c>
      <c r="AI427" s="1074"/>
      <c r="AJ427" s="1072"/>
      <c r="AL427" s="1073"/>
      <c r="AM427" s="891">
        <f t="shared" ref="AM427:AM428" si="1628">AO411+AP411</f>
        <v>0</v>
      </c>
      <c r="AN427" s="891">
        <v>0</v>
      </c>
      <c r="AO427" s="891">
        <f t="shared" ref="AO427:AP427" si="1629">AO411</f>
        <v>0</v>
      </c>
      <c r="AP427" s="891">
        <f t="shared" si="1629"/>
        <v>0</v>
      </c>
      <c r="AQ427" s="1074"/>
      <c r="AR427" s="1072"/>
      <c r="AT427" s="1073"/>
      <c r="AU427" s="891">
        <f t="shared" ref="AU427:AU428" si="1630">AW411+AX411</f>
        <v>0</v>
      </c>
      <c r="AV427" s="891">
        <v>0</v>
      </c>
      <c r="AW427" s="891">
        <f t="shared" ref="AW427:AX427" si="1631">AW411</f>
        <v>0</v>
      </c>
      <c r="AX427" s="891">
        <f t="shared" si="1631"/>
        <v>0</v>
      </c>
      <c r="AY427" s="1074"/>
      <c r="AZ427" s="1072"/>
      <c r="BB427" s="1073"/>
      <c r="BC427" s="891">
        <f t="shared" ref="BC427:BC428" si="1632">BE411+BF411</f>
        <v>0</v>
      </c>
      <c r="BD427" s="891">
        <v>0</v>
      </c>
      <c r="BE427" s="891">
        <f t="shared" ref="BE427:BF427" si="1633">BE411</f>
        <v>0</v>
      </c>
      <c r="BF427" s="891">
        <f t="shared" si="1633"/>
        <v>0</v>
      </c>
      <c r="BG427" s="1074"/>
      <c r="BH427" s="1072"/>
      <c r="BJ427" s="1073"/>
      <c r="BK427" s="891">
        <f t="shared" ref="BK427:BK428" si="1634">BM411+BN411</f>
        <v>0</v>
      </c>
      <c r="BL427" s="891">
        <v>0</v>
      </c>
      <c r="BM427" s="891">
        <f t="shared" ref="BM427:BN427" si="1635">BM411</f>
        <v>0</v>
      </c>
      <c r="BN427" s="891">
        <f t="shared" si="1635"/>
        <v>0</v>
      </c>
      <c r="BO427" s="1074"/>
      <c r="BP427" s="1072"/>
      <c r="BR427" s="1073"/>
      <c r="BS427" s="891">
        <f t="shared" ref="BS427:BS428" si="1636">BU411+BV411</f>
        <v>0</v>
      </c>
      <c r="BT427" s="891">
        <v>0</v>
      </c>
      <c r="BU427" s="891">
        <f t="shared" ref="BU427:BV427" si="1637">BU411</f>
        <v>0</v>
      </c>
      <c r="BV427" s="891">
        <f t="shared" si="1637"/>
        <v>0</v>
      </c>
      <c r="BW427" s="1074"/>
      <c r="BX427" s="1072"/>
      <c r="BZ427" s="1073"/>
      <c r="CA427" s="891">
        <f t="shared" ref="CA427:CA428" si="1638">CC411+CD411</f>
        <v>0</v>
      </c>
      <c r="CB427" s="891">
        <v>0</v>
      </c>
      <c r="CC427" s="891">
        <f t="shared" ref="CC427:CD427" si="1639">CC411</f>
        <v>0</v>
      </c>
      <c r="CD427" s="891">
        <f t="shared" si="1639"/>
        <v>0</v>
      </c>
      <c r="CE427" s="1074"/>
      <c r="CF427" s="1072"/>
      <c r="CH427" s="1073"/>
      <c r="CI427" s="891">
        <f t="shared" ref="CI427:CI428" si="1640">CK411+CL411</f>
        <v>0</v>
      </c>
      <c r="CJ427" s="891">
        <v>0</v>
      </c>
      <c r="CK427" s="891">
        <f t="shared" ref="CK427:CL427" si="1641">CK411</f>
        <v>0</v>
      </c>
      <c r="CL427" s="891">
        <f t="shared" si="1641"/>
        <v>0</v>
      </c>
      <c r="CM427" s="1074"/>
      <c r="CN427" s="1072"/>
      <c r="CP427" s="1073"/>
      <c r="CQ427" s="891">
        <f t="shared" ref="CQ427:CQ428" si="1642">CS411+CT411</f>
        <v>0</v>
      </c>
      <c r="CR427" s="891">
        <v>0</v>
      </c>
      <c r="CS427" s="891">
        <f t="shared" ref="CS427:CT427" si="1643">CS411</f>
        <v>0</v>
      </c>
      <c r="CT427" s="891">
        <f t="shared" si="1643"/>
        <v>0</v>
      </c>
      <c r="CU427" s="1074"/>
      <c r="CV427" s="1072"/>
      <c r="CX427" s="1073"/>
      <c r="CY427" s="891">
        <f t="shared" ref="CY427:CY428" si="1644">DA411+DB411</f>
        <v>0</v>
      </c>
      <c r="CZ427" s="891">
        <v>0</v>
      </c>
      <c r="DA427" s="891">
        <f t="shared" ref="DA427:DB427" si="1645">DA411</f>
        <v>0</v>
      </c>
      <c r="DB427" s="891">
        <f t="shared" si="1645"/>
        <v>0</v>
      </c>
      <c r="DC427" s="1074"/>
      <c r="DD427" s="1072"/>
      <c r="DF427" s="1073"/>
      <c r="DG427" s="891">
        <f t="shared" ref="DG427:DG428" si="1646">DI411+DJ411</f>
        <v>0</v>
      </c>
      <c r="DH427" s="891">
        <v>0</v>
      </c>
      <c r="DI427" s="891">
        <f t="shared" ref="DI427:DJ427" si="1647">DI411</f>
        <v>0</v>
      </c>
      <c r="DJ427" s="891">
        <f t="shared" si="1647"/>
        <v>0</v>
      </c>
      <c r="DK427" s="1074"/>
      <c r="DL427" s="1072"/>
      <c r="DN427" s="1073"/>
      <c r="DO427" s="891">
        <f t="shared" ref="DO427:DO428" si="1648">DQ411+DR411</f>
        <v>0</v>
      </c>
      <c r="DP427" s="891">
        <v>0</v>
      </c>
      <c r="DQ427" s="891">
        <f t="shared" ref="DQ427:DR427" si="1649">DQ411</f>
        <v>0</v>
      </c>
      <c r="DR427" s="891">
        <f t="shared" si="1649"/>
        <v>0</v>
      </c>
      <c r="DS427" s="1074"/>
      <c r="DT427" s="1072"/>
      <c r="DV427" s="1073"/>
      <c r="DW427" s="891">
        <f t="shared" ref="DW427:DW428" si="1650">DY411+DZ411</f>
        <v>0</v>
      </c>
      <c r="DX427" s="891">
        <v>0</v>
      </c>
      <c r="DY427" s="891">
        <f t="shared" ref="DY427:DZ427" si="1651">DY411</f>
        <v>0</v>
      </c>
      <c r="DZ427" s="891">
        <f t="shared" si="1651"/>
        <v>0</v>
      </c>
      <c r="EA427" s="1074"/>
      <c r="EB427" s="1072"/>
      <c r="ED427" s="1073"/>
      <c r="EE427" s="891">
        <f t="shared" ref="EE427:EE428" si="1652">EG411+EH411</f>
        <v>0</v>
      </c>
      <c r="EF427" s="891">
        <v>0</v>
      </c>
      <c r="EG427" s="891">
        <f t="shared" ref="EG427:EH427" si="1653">EG411</f>
        <v>0</v>
      </c>
      <c r="EH427" s="891">
        <f t="shared" si="1653"/>
        <v>0</v>
      </c>
      <c r="EI427" s="1074"/>
      <c r="EJ427" s="1072"/>
      <c r="EL427" s="1073"/>
      <c r="EM427" s="891">
        <f t="shared" ref="EM427:EM428" si="1654">EO411+EP411</f>
        <v>0</v>
      </c>
      <c r="EN427" s="891">
        <v>0</v>
      </c>
      <c r="EO427" s="891">
        <f t="shared" ref="EO427:EP427" si="1655">EO411</f>
        <v>0</v>
      </c>
      <c r="EP427" s="891">
        <f t="shared" si="1655"/>
        <v>0</v>
      </c>
      <c r="EQ427" s="1074"/>
      <c r="ER427" s="1072"/>
      <c r="ET427" s="1073"/>
      <c r="EU427" s="891">
        <f t="shared" ref="EU427:EU428" si="1656">EW411+EX411</f>
        <v>0</v>
      </c>
      <c r="EV427" s="891">
        <v>0</v>
      </c>
      <c r="EW427" s="891">
        <f t="shared" ref="EW427:EX427" si="1657">EW411</f>
        <v>0</v>
      </c>
      <c r="EX427" s="891">
        <f t="shared" si="1657"/>
        <v>0</v>
      </c>
      <c r="EY427" s="1074"/>
      <c r="EZ427" s="1072"/>
      <c r="FB427" s="1073"/>
      <c r="FC427" s="891">
        <f t="shared" ref="FC427:FC428" si="1658">FE411+FF411</f>
        <v>0</v>
      </c>
      <c r="FD427" s="891">
        <v>0</v>
      </c>
      <c r="FE427" s="891">
        <f t="shared" ref="FE427:FF427" si="1659">FE411</f>
        <v>0</v>
      </c>
      <c r="FF427" s="891">
        <f t="shared" si="1659"/>
        <v>0</v>
      </c>
      <c r="FG427" s="1074"/>
      <c r="FH427" s="1072"/>
      <c r="FJ427" s="1073"/>
      <c r="FK427" s="891">
        <f t="shared" ref="FK427:FK428" si="1660">FM411+FN411</f>
        <v>0</v>
      </c>
      <c r="FL427" s="891">
        <v>0</v>
      </c>
      <c r="FM427" s="891">
        <f t="shared" ref="FM427:FN427" si="1661">FM411</f>
        <v>0</v>
      </c>
      <c r="FN427" s="891">
        <f t="shared" si="1661"/>
        <v>0</v>
      </c>
      <c r="FO427" s="1074"/>
    </row>
    <row r="428" spans="2:171" x14ac:dyDescent="0.25">
      <c r="C428" s="108" t="s">
        <v>543</v>
      </c>
      <c r="D428" s="1072"/>
      <c r="E428" s="905" t="str">
        <f t="shared" si="1619"/>
        <v>DIRECT</v>
      </c>
      <c r="G428" s="891">
        <f t="shared" si="1620"/>
        <v>261203218.23192942</v>
      </c>
      <c r="H428" s="891">
        <v>0</v>
      </c>
      <c r="I428" s="891">
        <f t="shared" ref="I428:J428" si="1662">I412</f>
        <v>0</v>
      </c>
      <c r="J428" s="891">
        <f t="shared" si="1662"/>
        <v>261203218.23192942</v>
      </c>
      <c r="K428" s="904">
        <f t="shared" si="1577"/>
        <v>0</v>
      </c>
      <c r="L428" s="1072"/>
      <c r="N428" s="1073"/>
      <c r="O428" s="891">
        <f t="shared" si="1622"/>
        <v>261203218.23192942</v>
      </c>
      <c r="P428" s="891">
        <v>0</v>
      </c>
      <c r="Q428" s="891">
        <f t="shared" ref="Q428:R428" si="1663">Q412</f>
        <v>0</v>
      </c>
      <c r="R428" s="891">
        <f t="shared" si="1663"/>
        <v>261203218.23192942</v>
      </c>
      <c r="S428" s="1074"/>
      <c r="T428" s="1072"/>
      <c r="V428" s="1073"/>
      <c r="W428" s="891">
        <f t="shared" si="1624"/>
        <v>261203218.23192942</v>
      </c>
      <c r="X428" s="891">
        <v>0</v>
      </c>
      <c r="Y428" s="891">
        <f t="shared" ref="Y428:Z428" si="1664">Y412</f>
        <v>0</v>
      </c>
      <c r="Z428" s="891">
        <f t="shared" si="1664"/>
        <v>261203218.23192942</v>
      </c>
      <c r="AA428" s="1074"/>
      <c r="AB428" s="1072"/>
      <c r="AD428" s="1073"/>
      <c r="AE428" s="891">
        <f t="shared" si="1626"/>
        <v>261203218.23192942</v>
      </c>
      <c r="AF428" s="891">
        <v>0</v>
      </c>
      <c r="AG428" s="891">
        <f t="shared" ref="AG428:AH428" si="1665">AG412</f>
        <v>0</v>
      </c>
      <c r="AH428" s="891">
        <f t="shared" si="1665"/>
        <v>261203218.23192942</v>
      </c>
      <c r="AI428" s="1074"/>
      <c r="AJ428" s="1072"/>
      <c r="AL428" s="1073"/>
      <c r="AM428" s="891">
        <f t="shared" si="1628"/>
        <v>261203218.23192942</v>
      </c>
      <c r="AN428" s="891">
        <v>0</v>
      </c>
      <c r="AO428" s="891">
        <f t="shared" ref="AO428:AP428" si="1666">AO412</f>
        <v>0</v>
      </c>
      <c r="AP428" s="891">
        <f t="shared" si="1666"/>
        <v>261203218.23192942</v>
      </c>
      <c r="AQ428" s="1074"/>
      <c r="AR428" s="1072"/>
      <c r="AT428" s="1073"/>
      <c r="AU428" s="891">
        <f t="shared" si="1630"/>
        <v>261203218.23192942</v>
      </c>
      <c r="AV428" s="891">
        <v>0</v>
      </c>
      <c r="AW428" s="891">
        <f t="shared" ref="AW428:AX428" si="1667">AW412</f>
        <v>0</v>
      </c>
      <c r="AX428" s="891">
        <f t="shared" si="1667"/>
        <v>261203218.23192942</v>
      </c>
      <c r="AY428" s="1074"/>
      <c r="AZ428" s="1072"/>
      <c r="BB428" s="1073"/>
      <c r="BC428" s="891">
        <f t="shared" si="1632"/>
        <v>261203218.23192942</v>
      </c>
      <c r="BD428" s="891">
        <v>0</v>
      </c>
      <c r="BE428" s="891">
        <f t="shared" ref="BE428:BF428" si="1668">BE412</f>
        <v>0</v>
      </c>
      <c r="BF428" s="891">
        <f t="shared" si="1668"/>
        <v>261203218.23192942</v>
      </c>
      <c r="BG428" s="1074"/>
      <c r="BH428" s="1072"/>
      <c r="BJ428" s="1073"/>
      <c r="BK428" s="891">
        <f t="shared" si="1634"/>
        <v>261203218.23192942</v>
      </c>
      <c r="BL428" s="891">
        <v>0</v>
      </c>
      <c r="BM428" s="891">
        <f t="shared" ref="BM428:BN428" si="1669">BM412</f>
        <v>0</v>
      </c>
      <c r="BN428" s="891">
        <f t="shared" si="1669"/>
        <v>261203218.23192942</v>
      </c>
      <c r="BO428" s="1074"/>
      <c r="BP428" s="1072"/>
      <c r="BR428" s="1073"/>
      <c r="BS428" s="891">
        <f t="shared" si="1636"/>
        <v>261203218.23192942</v>
      </c>
      <c r="BT428" s="891">
        <v>0</v>
      </c>
      <c r="BU428" s="891">
        <f t="shared" ref="BU428:BV428" si="1670">BU412</f>
        <v>0</v>
      </c>
      <c r="BV428" s="891">
        <f t="shared" si="1670"/>
        <v>261203218.23192942</v>
      </c>
      <c r="BW428" s="1074"/>
      <c r="BX428" s="1072"/>
      <c r="BZ428" s="1073"/>
      <c r="CA428" s="891">
        <f t="shared" si="1638"/>
        <v>261203218.23192942</v>
      </c>
      <c r="CB428" s="891">
        <v>0</v>
      </c>
      <c r="CC428" s="891">
        <f t="shared" ref="CC428:CD428" si="1671">CC412</f>
        <v>0</v>
      </c>
      <c r="CD428" s="891">
        <f t="shared" si="1671"/>
        <v>261203218.23192942</v>
      </c>
      <c r="CE428" s="1074"/>
      <c r="CF428" s="1072"/>
      <c r="CH428" s="1073"/>
      <c r="CI428" s="891">
        <f t="shared" si="1640"/>
        <v>261203218.23192942</v>
      </c>
      <c r="CJ428" s="891">
        <v>0</v>
      </c>
      <c r="CK428" s="891">
        <f t="shared" ref="CK428:CL428" si="1672">CK412</f>
        <v>0</v>
      </c>
      <c r="CL428" s="891">
        <f t="shared" si="1672"/>
        <v>261203218.23192942</v>
      </c>
      <c r="CM428" s="1074"/>
      <c r="CN428" s="1072"/>
      <c r="CP428" s="1073"/>
      <c r="CQ428" s="891">
        <f t="shared" si="1642"/>
        <v>261203218.23192942</v>
      </c>
      <c r="CR428" s="891">
        <v>0</v>
      </c>
      <c r="CS428" s="891">
        <f t="shared" ref="CS428:CT428" si="1673">CS412</f>
        <v>0</v>
      </c>
      <c r="CT428" s="891">
        <f t="shared" si="1673"/>
        <v>261203218.23192942</v>
      </c>
      <c r="CU428" s="1074"/>
      <c r="CV428" s="1072"/>
      <c r="CX428" s="1073"/>
      <c r="CY428" s="891">
        <f t="shared" si="1644"/>
        <v>261203218.23192942</v>
      </c>
      <c r="CZ428" s="891">
        <v>0</v>
      </c>
      <c r="DA428" s="891">
        <f t="shared" ref="DA428:DB428" si="1674">DA412</f>
        <v>0</v>
      </c>
      <c r="DB428" s="891">
        <f t="shared" si="1674"/>
        <v>261203218.23192942</v>
      </c>
      <c r="DC428" s="1074"/>
      <c r="DD428" s="1072"/>
      <c r="DF428" s="1073"/>
      <c r="DG428" s="891">
        <f t="shared" si="1646"/>
        <v>261203218.23192942</v>
      </c>
      <c r="DH428" s="891">
        <v>0</v>
      </c>
      <c r="DI428" s="891">
        <f t="shared" ref="DI428:DJ428" si="1675">DI412</f>
        <v>0</v>
      </c>
      <c r="DJ428" s="891">
        <f t="shared" si="1675"/>
        <v>261203218.23192942</v>
      </c>
      <c r="DK428" s="1074"/>
      <c r="DL428" s="1072"/>
      <c r="DN428" s="1073"/>
      <c r="DO428" s="891">
        <f t="shared" si="1648"/>
        <v>261203218.23192942</v>
      </c>
      <c r="DP428" s="891">
        <v>0</v>
      </c>
      <c r="DQ428" s="891">
        <f t="shared" ref="DQ428:DR428" si="1676">DQ412</f>
        <v>0</v>
      </c>
      <c r="DR428" s="891">
        <f t="shared" si="1676"/>
        <v>261203218.23192942</v>
      </c>
      <c r="DS428" s="1074"/>
      <c r="DT428" s="1072"/>
      <c r="DV428" s="1073"/>
      <c r="DW428" s="891">
        <f t="shared" si="1650"/>
        <v>261203218.23192942</v>
      </c>
      <c r="DX428" s="891">
        <v>0</v>
      </c>
      <c r="DY428" s="891">
        <f t="shared" ref="DY428:DZ428" si="1677">DY412</f>
        <v>0</v>
      </c>
      <c r="DZ428" s="891">
        <f t="shared" si="1677"/>
        <v>261203218.23192942</v>
      </c>
      <c r="EA428" s="1074"/>
      <c r="EB428" s="1072"/>
      <c r="ED428" s="1073"/>
      <c r="EE428" s="891">
        <f t="shared" si="1652"/>
        <v>261203218.23192942</v>
      </c>
      <c r="EF428" s="891">
        <v>0</v>
      </c>
      <c r="EG428" s="891">
        <f t="shared" ref="EG428:EH428" si="1678">EG412</f>
        <v>0</v>
      </c>
      <c r="EH428" s="891">
        <f t="shared" si="1678"/>
        <v>261203218.23192942</v>
      </c>
      <c r="EI428" s="1074"/>
      <c r="EJ428" s="1072"/>
      <c r="EL428" s="1073"/>
      <c r="EM428" s="891">
        <f t="shared" si="1654"/>
        <v>261203218.23192942</v>
      </c>
      <c r="EN428" s="891">
        <v>0</v>
      </c>
      <c r="EO428" s="891">
        <f t="shared" ref="EO428:EP428" si="1679">EO412</f>
        <v>0</v>
      </c>
      <c r="EP428" s="891">
        <f t="shared" si="1679"/>
        <v>261203218.23192942</v>
      </c>
      <c r="EQ428" s="1074"/>
      <c r="ER428" s="1072"/>
      <c r="ET428" s="1073"/>
      <c r="EU428" s="891">
        <f t="shared" si="1656"/>
        <v>261203218.23192942</v>
      </c>
      <c r="EV428" s="891">
        <v>0</v>
      </c>
      <c r="EW428" s="891">
        <f t="shared" ref="EW428:EX428" si="1680">EW412</f>
        <v>0</v>
      </c>
      <c r="EX428" s="891">
        <f t="shared" si="1680"/>
        <v>261203218.23192942</v>
      </c>
      <c r="EY428" s="1074"/>
      <c r="EZ428" s="1072"/>
      <c r="FB428" s="1073"/>
      <c r="FC428" s="891">
        <f t="shared" si="1658"/>
        <v>261203218.23192942</v>
      </c>
      <c r="FD428" s="891">
        <v>0</v>
      </c>
      <c r="FE428" s="891">
        <f t="shared" ref="FE428:FF428" si="1681">FE412</f>
        <v>0</v>
      </c>
      <c r="FF428" s="891">
        <f t="shared" si="1681"/>
        <v>261203218.23192942</v>
      </c>
      <c r="FG428" s="1074"/>
      <c r="FH428" s="1072"/>
      <c r="FJ428" s="1073"/>
      <c r="FK428" s="891">
        <f t="shared" si="1660"/>
        <v>261203218.23192942</v>
      </c>
      <c r="FL428" s="891">
        <v>0</v>
      </c>
      <c r="FM428" s="891">
        <f t="shared" ref="FM428:FN428" si="1682">FM412</f>
        <v>0</v>
      </c>
      <c r="FN428" s="891">
        <f t="shared" si="1682"/>
        <v>261203218.23192942</v>
      </c>
      <c r="FO428" s="1074"/>
    </row>
    <row r="429" spans="2:171" x14ac:dyDescent="0.25">
      <c r="C429" s="108" t="s">
        <v>807</v>
      </c>
      <c r="D429" s="1072"/>
      <c r="E429" s="905" t="s">
        <v>109</v>
      </c>
      <c r="G429" s="891">
        <f>I394+J394</f>
        <v>440834897.47784311</v>
      </c>
      <c r="H429" s="891">
        <v>0</v>
      </c>
      <c r="I429" s="891">
        <f>I394</f>
        <v>0</v>
      </c>
      <c r="J429" s="891">
        <f>J394</f>
        <v>440834897.47784311</v>
      </c>
      <c r="K429" s="904">
        <f t="shared" si="1577"/>
        <v>1</v>
      </c>
      <c r="L429" s="1072"/>
      <c r="N429" s="1073"/>
      <c r="O429" s="891">
        <f>Q394+R394</f>
        <v>440834897.47784305</v>
      </c>
      <c r="P429" s="891">
        <v>0</v>
      </c>
      <c r="Q429" s="891">
        <f>Q394</f>
        <v>195228616.65315571</v>
      </c>
      <c r="R429" s="891">
        <f>R394</f>
        <v>245606280.82468733</v>
      </c>
      <c r="S429" s="1074"/>
      <c r="T429" s="1072"/>
      <c r="V429" s="1073"/>
      <c r="W429" s="891">
        <f>Y394+Z394</f>
        <v>440834897.47784305</v>
      </c>
      <c r="X429" s="891">
        <v>0</v>
      </c>
      <c r="Y429" s="891">
        <f>Y394</f>
        <v>195228616.65315571</v>
      </c>
      <c r="Z429" s="891">
        <f>Z394</f>
        <v>245606280.82468733</v>
      </c>
      <c r="AA429" s="1074"/>
      <c r="AB429" s="1072"/>
      <c r="AD429" s="1073"/>
      <c r="AE429" s="891">
        <f>AG394+AH394</f>
        <v>440834897.47784305</v>
      </c>
      <c r="AF429" s="891">
        <v>0</v>
      </c>
      <c r="AG429" s="891">
        <f>AG394</f>
        <v>195228616.65315571</v>
      </c>
      <c r="AH429" s="891">
        <f>AH394</f>
        <v>245606280.82468733</v>
      </c>
      <c r="AI429" s="1074"/>
      <c r="AJ429" s="1072"/>
      <c r="AL429" s="1073"/>
      <c r="AM429" s="891">
        <f>AO394+AP394</f>
        <v>440834897.47784305</v>
      </c>
      <c r="AN429" s="891">
        <v>0</v>
      </c>
      <c r="AO429" s="891">
        <f>AO394</f>
        <v>195228616.65315571</v>
      </c>
      <c r="AP429" s="891">
        <f>AP394</f>
        <v>245606280.82468733</v>
      </c>
      <c r="AQ429" s="1074"/>
      <c r="AR429" s="1072"/>
      <c r="AT429" s="1073"/>
      <c r="AU429" s="891">
        <f>AW394+AX394</f>
        <v>440834897.47784305</v>
      </c>
      <c r="AV429" s="891">
        <v>0</v>
      </c>
      <c r="AW429" s="891">
        <f>AW394</f>
        <v>195228616.65315571</v>
      </c>
      <c r="AX429" s="891">
        <f>AX394</f>
        <v>245606280.82468733</v>
      </c>
      <c r="AY429" s="1074"/>
      <c r="AZ429" s="1072"/>
      <c r="BB429" s="1073"/>
      <c r="BC429" s="891">
        <f>BE394+BF394</f>
        <v>440834897.47784305</v>
      </c>
      <c r="BD429" s="891">
        <v>0</v>
      </c>
      <c r="BE429" s="891">
        <f>BE394</f>
        <v>195228616.65315571</v>
      </c>
      <c r="BF429" s="891">
        <f>BF394</f>
        <v>245606280.82468733</v>
      </c>
      <c r="BG429" s="1074"/>
      <c r="BH429" s="1072"/>
      <c r="BJ429" s="1073"/>
      <c r="BK429" s="891">
        <f>BM394+BN394</f>
        <v>440834897.47784305</v>
      </c>
      <c r="BL429" s="891">
        <v>0</v>
      </c>
      <c r="BM429" s="891">
        <f>BM394</f>
        <v>195228616.65315571</v>
      </c>
      <c r="BN429" s="891">
        <f>BN394</f>
        <v>245606280.82468733</v>
      </c>
      <c r="BO429" s="1074"/>
      <c r="BP429" s="1072"/>
      <c r="BR429" s="1073"/>
      <c r="BS429" s="891">
        <f>BU394+BV394</f>
        <v>440834897.47784305</v>
      </c>
      <c r="BT429" s="891">
        <v>0</v>
      </c>
      <c r="BU429" s="891">
        <f>BU394</f>
        <v>195228616.65315571</v>
      </c>
      <c r="BV429" s="891">
        <f>BV394</f>
        <v>245606280.82468733</v>
      </c>
      <c r="BW429" s="1074"/>
      <c r="BX429" s="1072"/>
      <c r="BZ429" s="1073"/>
      <c r="CA429" s="891">
        <f>CC394+CD394</f>
        <v>440834897.47784305</v>
      </c>
      <c r="CB429" s="891">
        <v>0</v>
      </c>
      <c r="CC429" s="891">
        <f>CC394</f>
        <v>195228616.65315571</v>
      </c>
      <c r="CD429" s="891">
        <f>CD394</f>
        <v>245606280.82468733</v>
      </c>
      <c r="CE429" s="1074"/>
      <c r="CF429" s="1072"/>
      <c r="CH429" s="1073"/>
      <c r="CI429" s="891">
        <f>CK394+CL394</f>
        <v>440834897.47784305</v>
      </c>
      <c r="CJ429" s="891">
        <v>0</v>
      </c>
      <c r="CK429" s="891">
        <f>CK394</f>
        <v>195228616.65315571</v>
      </c>
      <c r="CL429" s="891">
        <f>CL394</f>
        <v>245606280.82468733</v>
      </c>
      <c r="CM429" s="1074"/>
      <c r="CN429" s="1072"/>
      <c r="CP429" s="1073"/>
      <c r="CQ429" s="891">
        <f>CS394+CT394</f>
        <v>440834897.47784305</v>
      </c>
      <c r="CR429" s="891">
        <v>0</v>
      </c>
      <c r="CS429" s="891">
        <f>CS394</f>
        <v>195228616.65315571</v>
      </c>
      <c r="CT429" s="891">
        <f>CT394</f>
        <v>245606280.82468733</v>
      </c>
      <c r="CU429" s="1074"/>
      <c r="CV429" s="1072"/>
      <c r="CX429" s="1073"/>
      <c r="CY429" s="891">
        <f>DA394+DB394</f>
        <v>440834897.47784305</v>
      </c>
      <c r="CZ429" s="891">
        <v>0</v>
      </c>
      <c r="DA429" s="891">
        <f>DA394</f>
        <v>195228616.65315571</v>
      </c>
      <c r="DB429" s="891">
        <f>DB394</f>
        <v>245606280.82468733</v>
      </c>
      <c r="DC429" s="1074"/>
      <c r="DD429" s="1072"/>
      <c r="DF429" s="1073"/>
      <c r="DG429" s="891">
        <f>DI394+DJ394</f>
        <v>440834897.47784305</v>
      </c>
      <c r="DH429" s="891">
        <v>0</v>
      </c>
      <c r="DI429" s="891">
        <f>DI394</f>
        <v>195228616.65315571</v>
      </c>
      <c r="DJ429" s="891">
        <f>DJ394</f>
        <v>245606280.82468733</v>
      </c>
      <c r="DK429" s="1074"/>
      <c r="DL429" s="1072"/>
      <c r="DN429" s="1073"/>
      <c r="DO429" s="891">
        <f>DQ394+DR394</f>
        <v>440834897.47784305</v>
      </c>
      <c r="DP429" s="891">
        <v>0</v>
      </c>
      <c r="DQ429" s="891">
        <f>DQ394</f>
        <v>195228616.65315571</v>
      </c>
      <c r="DR429" s="891">
        <f>DR394</f>
        <v>245606280.82468733</v>
      </c>
      <c r="DS429" s="1074"/>
      <c r="DT429" s="1072"/>
      <c r="DV429" s="1073"/>
      <c r="DW429" s="891">
        <f>DY394+DZ394</f>
        <v>440834897.47784305</v>
      </c>
      <c r="DX429" s="891">
        <v>0</v>
      </c>
      <c r="DY429" s="891">
        <f>DY394</f>
        <v>195228616.65315571</v>
      </c>
      <c r="DZ429" s="891">
        <f>DZ394</f>
        <v>245606280.82468733</v>
      </c>
      <c r="EA429" s="1074"/>
      <c r="EB429" s="1072"/>
      <c r="ED429" s="1073"/>
      <c r="EE429" s="891">
        <f>EG394+EH394</f>
        <v>440834897.47784305</v>
      </c>
      <c r="EF429" s="891">
        <v>0</v>
      </c>
      <c r="EG429" s="891">
        <f>EG394</f>
        <v>195228616.65315571</v>
      </c>
      <c r="EH429" s="891">
        <f>EH394</f>
        <v>245606280.82468733</v>
      </c>
      <c r="EI429" s="1074"/>
      <c r="EJ429" s="1072"/>
      <c r="EL429" s="1073"/>
      <c r="EM429" s="891">
        <f>EO394+EP394</f>
        <v>440834897.47784305</v>
      </c>
      <c r="EN429" s="891">
        <v>0</v>
      </c>
      <c r="EO429" s="891">
        <f>EO394</f>
        <v>195228616.65315571</v>
      </c>
      <c r="EP429" s="891">
        <f>EP394</f>
        <v>245606280.82468733</v>
      </c>
      <c r="EQ429" s="1074"/>
      <c r="ER429" s="1072"/>
      <c r="ET429" s="1073"/>
      <c r="EU429" s="891">
        <f>EW394+EX394</f>
        <v>440834897.47784305</v>
      </c>
      <c r="EV429" s="891">
        <v>0</v>
      </c>
      <c r="EW429" s="891">
        <f>EW394</f>
        <v>195228616.65315571</v>
      </c>
      <c r="EX429" s="891">
        <f>EX394</f>
        <v>245606280.82468733</v>
      </c>
      <c r="EY429" s="1074"/>
      <c r="EZ429" s="1072"/>
      <c r="FB429" s="1073"/>
      <c r="FC429" s="891">
        <f>FE394+FF394</f>
        <v>440834897.47784305</v>
      </c>
      <c r="FD429" s="891">
        <v>0</v>
      </c>
      <c r="FE429" s="891">
        <f>FE394</f>
        <v>195228616.65315571</v>
      </c>
      <c r="FF429" s="891">
        <f>FF394</f>
        <v>245606280.82468733</v>
      </c>
      <c r="FG429" s="1074"/>
      <c r="FH429" s="1072"/>
      <c r="FJ429" s="1073"/>
      <c r="FK429" s="891">
        <f>FM394+FN394</f>
        <v>440834897.47784305</v>
      </c>
      <c r="FL429" s="891">
        <v>0</v>
      </c>
      <c r="FM429" s="891">
        <f>FM394</f>
        <v>195228616.65315571</v>
      </c>
      <c r="FN429" s="891">
        <f>FN394</f>
        <v>245606280.82468733</v>
      </c>
      <c r="FO429" s="1074"/>
    </row>
    <row r="430" spans="2:171" x14ac:dyDescent="0.25">
      <c r="C430" s="108" t="s">
        <v>523</v>
      </c>
      <c r="D430" s="1072"/>
      <c r="E430" s="1094"/>
      <c r="F430" s="1073"/>
      <c r="G430" s="1634">
        <f>SUM(G424:G429)</f>
        <v>7802602177.452405</v>
      </c>
      <c r="H430" s="1634">
        <f>SUM(H424:H429)</f>
        <v>0</v>
      </c>
      <c r="I430" s="1634">
        <f>SUM(I424:I429)</f>
        <v>0</v>
      </c>
      <c r="J430" s="1634">
        <f>SUM(J424:J429)</f>
        <v>7802602177.452405</v>
      </c>
      <c r="K430" s="904"/>
      <c r="L430" s="1072"/>
      <c r="N430" s="1073"/>
      <c r="O430" s="1634">
        <f>SUM(O424:O429)</f>
        <v>7801221837.0903282</v>
      </c>
      <c r="P430" s="1634">
        <f>SUM(P424:P429)</f>
        <v>0</v>
      </c>
      <c r="Q430" s="1634">
        <f>SUM(Q424:Q429)</f>
        <v>3491067597.4393702</v>
      </c>
      <c r="R430" s="1634">
        <f>SUM(R424:R429)</f>
        <v>4310154239.6509571</v>
      </c>
      <c r="S430" s="1074"/>
      <c r="T430" s="1072"/>
      <c r="V430" s="1073"/>
      <c r="W430" s="1634">
        <f>SUM(W424:W429)</f>
        <v>7801221837.0903282</v>
      </c>
      <c r="X430" s="1634">
        <f>SUM(X424:X429)</f>
        <v>0</v>
      </c>
      <c r="Y430" s="1634">
        <f>SUM(Y424:Y429)</f>
        <v>3491067597.4393702</v>
      </c>
      <c r="Z430" s="1634">
        <f>SUM(Z424:Z429)</f>
        <v>4310154239.6509571</v>
      </c>
      <c r="AA430" s="1074"/>
      <c r="AB430" s="1072"/>
      <c r="AD430" s="1073"/>
      <c r="AE430" s="1634">
        <f>SUM(AE424:AE429)</f>
        <v>7801221837.0903282</v>
      </c>
      <c r="AF430" s="1634">
        <f>SUM(AF424:AF429)</f>
        <v>0</v>
      </c>
      <c r="AG430" s="1634">
        <f>SUM(AG424:AG429)</f>
        <v>3491067597.4393702</v>
      </c>
      <c r="AH430" s="1634">
        <f>SUM(AH424:AH429)</f>
        <v>4310154239.6509571</v>
      </c>
      <c r="AI430" s="1074"/>
      <c r="AJ430" s="1072"/>
      <c r="AL430" s="1073"/>
      <c r="AM430" s="1634">
        <f>SUM(AM424:AM429)</f>
        <v>7801221837.0903282</v>
      </c>
      <c r="AN430" s="1634">
        <f>SUM(AN424:AN429)</f>
        <v>0</v>
      </c>
      <c r="AO430" s="1634">
        <f>SUM(AO424:AO429)</f>
        <v>3491067597.4393702</v>
      </c>
      <c r="AP430" s="1634">
        <f>SUM(AP424:AP429)</f>
        <v>4310154239.6509571</v>
      </c>
      <c r="AQ430" s="1074"/>
      <c r="AR430" s="1072"/>
      <c r="AT430" s="1073"/>
      <c r="AU430" s="1634">
        <f>SUM(AU424:AU429)</f>
        <v>7801221837.0903282</v>
      </c>
      <c r="AV430" s="1634">
        <f>SUM(AV424:AV429)</f>
        <v>0</v>
      </c>
      <c r="AW430" s="1634">
        <f>SUM(AW424:AW429)</f>
        <v>3491067597.4393702</v>
      </c>
      <c r="AX430" s="1634">
        <f>SUM(AX424:AX429)</f>
        <v>4310154239.6509571</v>
      </c>
      <c r="AY430" s="1074"/>
      <c r="AZ430" s="1072"/>
      <c r="BB430" s="1073"/>
      <c r="BC430" s="1634">
        <f>SUM(BC424:BC429)</f>
        <v>7801221837.0903282</v>
      </c>
      <c r="BD430" s="1634">
        <f>SUM(BD424:BD429)</f>
        <v>0</v>
      </c>
      <c r="BE430" s="1634">
        <f>SUM(BE424:BE429)</f>
        <v>3491067597.4393702</v>
      </c>
      <c r="BF430" s="1634">
        <f>SUM(BF424:BF429)</f>
        <v>4310154239.6509571</v>
      </c>
      <c r="BG430" s="1074"/>
      <c r="BH430" s="1072"/>
      <c r="BJ430" s="1073"/>
      <c r="BK430" s="1634">
        <f>SUM(BK424:BK429)</f>
        <v>7801221837.0903282</v>
      </c>
      <c r="BL430" s="1634">
        <f>SUM(BL424:BL429)</f>
        <v>0</v>
      </c>
      <c r="BM430" s="1634">
        <f>SUM(BM424:BM429)</f>
        <v>3491067597.4393702</v>
      </c>
      <c r="BN430" s="1634">
        <f>SUM(BN424:BN429)</f>
        <v>4310154239.6509571</v>
      </c>
      <c r="BO430" s="1074"/>
      <c r="BP430" s="1072"/>
      <c r="BR430" s="1073"/>
      <c r="BS430" s="1634">
        <f>SUM(BS424:BS429)</f>
        <v>7801221837.0903282</v>
      </c>
      <c r="BT430" s="1634">
        <f>SUM(BT424:BT429)</f>
        <v>0</v>
      </c>
      <c r="BU430" s="1634">
        <f>SUM(BU424:BU429)</f>
        <v>3491067597.4393702</v>
      </c>
      <c r="BV430" s="1634">
        <f>SUM(BV424:BV429)</f>
        <v>4310154239.6509571</v>
      </c>
      <c r="BW430" s="1074"/>
      <c r="BX430" s="1072"/>
      <c r="BZ430" s="1073"/>
      <c r="CA430" s="1634">
        <f>SUM(CA424:CA429)</f>
        <v>7801221837.0903282</v>
      </c>
      <c r="CB430" s="1634">
        <f>SUM(CB424:CB429)</f>
        <v>0</v>
      </c>
      <c r="CC430" s="1634">
        <f>SUM(CC424:CC429)</f>
        <v>3491067597.4393702</v>
      </c>
      <c r="CD430" s="1634">
        <f>SUM(CD424:CD429)</f>
        <v>4310154239.6509571</v>
      </c>
      <c r="CE430" s="1074"/>
      <c r="CF430" s="1072"/>
      <c r="CH430" s="1073"/>
      <c r="CI430" s="1634">
        <f>SUM(CI424:CI429)</f>
        <v>7801221837.0903282</v>
      </c>
      <c r="CJ430" s="1634">
        <f>SUM(CJ424:CJ429)</f>
        <v>0</v>
      </c>
      <c r="CK430" s="1634">
        <f>SUM(CK424:CK429)</f>
        <v>3491067597.4393702</v>
      </c>
      <c r="CL430" s="1634">
        <f>SUM(CL424:CL429)</f>
        <v>4310154239.6509571</v>
      </c>
      <c r="CM430" s="1074"/>
      <c r="CN430" s="1072"/>
      <c r="CP430" s="1073"/>
      <c r="CQ430" s="1634">
        <f>SUM(CQ424:CQ429)</f>
        <v>7801221837.0903282</v>
      </c>
      <c r="CR430" s="1634">
        <f>SUM(CR424:CR429)</f>
        <v>0</v>
      </c>
      <c r="CS430" s="1634">
        <f>SUM(CS424:CS429)</f>
        <v>3491067597.4393702</v>
      </c>
      <c r="CT430" s="1634">
        <f>SUM(CT424:CT429)</f>
        <v>4310154239.6509571</v>
      </c>
      <c r="CU430" s="1074"/>
      <c r="CV430" s="1072"/>
      <c r="CX430" s="1073"/>
      <c r="CY430" s="1634">
        <f>SUM(CY424:CY429)</f>
        <v>7801221837.0903282</v>
      </c>
      <c r="CZ430" s="1634">
        <f>SUM(CZ424:CZ429)</f>
        <v>0</v>
      </c>
      <c r="DA430" s="1634">
        <f>SUM(DA424:DA429)</f>
        <v>3491067597.4393702</v>
      </c>
      <c r="DB430" s="1634">
        <f>SUM(DB424:DB429)</f>
        <v>4310154239.6509571</v>
      </c>
      <c r="DC430" s="1074"/>
      <c r="DD430" s="1072"/>
      <c r="DF430" s="1073"/>
      <c r="DG430" s="1634">
        <f>SUM(DG424:DG429)</f>
        <v>7801221837.0903282</v>
      </c>
      <c r="DH430" s="1634">
        <f>SUM(DH424:DH429)</f>
        <v>0</v>
      </c>
      <c r="DI430" s="1634">
        <f>SUM(DI424:DI429)</f>
        <v>3491067597.4393702</v>
      </c>
      <c r="DJ430" s="1634">
        <f>SUM(DJ424:DJ429)</f>
        <v>4310154239.6509571</v>
      </c>
      <c r="DK430" s="1074"/>
      <c r="DL430" s="1072"/>
      <c r="DN430" s="1073"/>
      <c r="DO430" s="1634">
        <f>SUM(DO424:DO429)</f>
        <v>7801221837.0903282</v>
      </c>
      <c r="DP430" s="1634">
        <f>SUM(DP424:DP429)</f>
        <v>0</v>
      </c>
      <c r="DQ430" s="1634">
        <f>SUM(DQ424:DQ429)</f>
        <v>3491067597.4393702</v>
      </c>
      <c r="DR430" s="1634">
        <f>SUM(DR424:DR429)</f>
        <v>4310154239.6509571</v>
      </c>
      <c r="DS430" s="1074"/>
      <c r="DT430" s="1072"/>
      <c r="DV430" s="1073"/>
      <c r="DW430" s="1634">
        <f>SUM(DW424:DW429)</f>
        <v>7801221837.0903282</v>
      </c>
      <c r="DX430" s="1634">
        <f>SUM(DX424:DX429)</f>
        <v>0</v>
      </c>
      <c r="DY430" s="1634">
        <f>SUM(DY424:DY429)</f>
        <v>3491067597.4393702</v>
      </c>
      <c r="DZ430" s="1634">
        <f>SUM(DZ424:DZ429)</f>
        <v>4310154239.6509571</v>
      </c>
      <c r="EA430" s="1074"/>
      <c r="EB430" s="1072"/>
      <c r="ED430" s="1073"/>
      <c r="EE430" s="1634">
        <f>SUM(EE424:EE429)</f>
        <v>7801221837.0903282</v>
      </c>
      <c r="EF430" s="1634">
        <f>SUM(EF424:EF429)</f>
        <v>0</v>
      </c>
      <c r="EG430" s="1634">
        <f>SUM(EG424:EG429)</f>
        <v>3491067597.4393702</v>
      </c>
      <c r="EH430" s="1634">
        <f>SUM(EH424:EH429)</f>
        <v>4310154239.6509571</v>
      </c>
      <c r="EI430" s="1074"/>
      <c r="EJ430" s="1072"/>
      <c r="EL430" s="1073"/>
      <c r="EM430" s="1634">
        <f>SUM(EM424:EM429)</f>
        <v>7801221837.0903282</v>
      </c>
      <c r="EN430" s="1634">
        <f>SUM(EN424:EN429)</f>
        <v>0</v>
      </c>
      <c r="EO430" s="1634">
        <f>SUM(EO424:EO429)</f>
        <v>3491067597.4393702</v>
      </c>
      <c r="EP430" s="1634">
        <f>SUM(EP424:EP429)</f>
        <v>4310154239.6509571</v>
      </c>
      <c r="EQ430" s="1074"/>
      <c r="ER430" s="1072"/>
      <c r="ET430" s="1073"/>
      <c r="EU430" s="1634">
        <f>SUM(EU424:EU429)</f>
        <v>7801221837.0903282</v>
      </c>
      <c r="EV430" s="1634">
        <f>SUM(EV424:EV429)</f>
        <v>0</v>
      </c>
      <c r="EW430" s="1634">
        <f>SUM(EW424:EW429)</f>
        <v>3491067597.4393702</v>
      </c>
      <c r="EX430" s="1634">
        <f>SUM(EX424:EX429)</f>
        <v>4310154239.6509571</v>
      </c>
      <c r="EY430" s="1074"/>
      <c r="EZ430" s="1072"/>
      <c r="FB430" s="1073"/>
      <c r="FC430" s="1634">
        <f>SUM(FC424:FC429)</f>
        <v>7801221837.0903282</v>
      </c>
      <c r="FD430" s="1634">
        <f>SUM(FD424:FD429)</f>
        <v>0</v>
      </c>
      <c r="FE430" s="1634">
        <f>SUM(FE424:FE429)</f>
        <v>3491067597.4393702</v>
      </c>
      <c r="FF430" s="1634">
        <f>SUM(FF424:FF429)</f>
        <v>4310154239.6509571</v>
      </c>
      <c r="FG430" s="1074"/>
      <c r="FH430" s="1072"/>
      <c r="FJ430" s="1073"/>
      <c r="FK430" s="1634">
        <f>SUM(FK424:FK429)</f>
        <v>7801221837.0903282</v>
      </c>
      <c r="FL430" s="1634">
        <f>SUM(FL424:FL429)</f>
        <v>0</v>
      </c>
      <c r="FM430" s="1634">
        <f>SUM(FM424:FM429)</f>
        <v>3491067597.4393702</v>
      </c>
      <c r="FN430" s="1634">
        <f>SUM(FN424:FN429)</f>
        <v>4310154239.6509571</v>
      </c>
      <c r="FO430" s="1074"/>
    </row>
    <row r="431" spans="2:171" x14ac:dyDescent="0.25">
      <c r="C431" s="123" t="s">
        <v>808</v>
      </c>
      <c r="D431" s="1296" t="s">
        <v>638</v>
      </c>
      <c r="E431" s="1076"/>
      <c r="F431" s="1076"/>
      <c r="G431" s="1635">
        <f>H431+I431+J431</f>
        <v>1</v>
      </c>
      <c r="H431" s="1635">
        <f>H430/G430</f>
        <v>0</v>
      </c>
      <c r="I431" s="1635">
        <f>I430/G430</f>
        <v>0</v>
      </c>
      <c r="J431" s="1635">
        <f>J430/G430</f>
        <v>1</v>
      </c>
      <c r="K431" s="1079"/>
      <c r="L431" s="1075" t="s">
        <v>638</v>
      </c>
      <c r="M431" s="1076"/>
      <c r="N431" s="1076"/>
      <c r="O431" s="1635">
        <f>P431+Q431+R431</f>
        <v>0.99999999999999989</v>
      </c>
      <c r="P431" s="1635">
        <f>P430/O430</f>
        <v>0</v>
      </c>
      <c r="Q431" s="1635">
        <f>Q430/O430</f>
        <v>0.4475026694974048</v>
      </c>
      <c r="R431" s="1635">
        <f>R430/O430</f>
        <v>0.55249733050259509</v>
      </c>
      <c r="S431" s="1079"/>
      <c r="T431" s="1075" t="s">
        <v>638</v>
      </c>
      <c r="U431" s="1076"/>
      <c r="V431" s="1076"/>
      <c r="W431" s="1635">
        <f>X431+Y431+Z431</f>
        <v>0.99999999999999989</v>
      </c>
      <c r="X431" s="1635">
        <f>X430/W430</f>
        <v>0</v>
      </c>
      <c r="Y431" s="1635">
        <f>Y430/W430</f>
        <v>0.4475026694974048</v>
      </c>
      <c r="Z431" s="1635">
        <f>Z430/W430</f>
        <v>0.55249733050259509</v>
      </c>
      <c r="AA431" s="1079"/>
      <c r="AB431" s="1075" t="s">
        <v>638</v>
      </c>
      <c r="AC431" s="1076"/>
      <c r="AD431" s="1076"/>
      <c r="AE431" s="1635">
        <f>AF431+AG431+AH431</f>
        <v>0.99999999999999989</v>
      </c>
      <c r="AF431" s="1635">
        <f>AF430/AE430</f>
        <v>0</v>
      </c>
      <c r="AG431" s="1635">
        <f>AG430/AE430</f>
        <v>0.4475026694974048</v>
      </c>
      <c r="AH431" s="1635">
        <f>AH430/AE430</f>
        <v>0.55249733050259509</v>
      </c>
      <c r="AI431" s="1079"/>
      <c r="AJ431" s="1075" t="s">
        <v>638</v>
      </c>
      <c r="AK431" s="1076"/>
      <c r="AL431" s="1076"/>
      <c r="AM431" s="1635">
        <f>AN431+AO431+AP431</f>
        <v>0.99999999999999989</v>
      </c>
      <c r="AN431" s="1635">
        <f>AN430/AM430</f>
        <v>0</v>
      </c>
      <c r="AO431" s="1635">
        <f>AO430/AM430</f>
        <v>0.4475026694974048</v>
      </c>
      <c r="AP431" s="1635">
        <f>AP430/AM430</f>
        <v>0.55249733050259509</v>
      </c>
      <c r="AQ431" s="1079"/>
      <c r="AR431" s="1075" t="s">
        <v>638</v>
      </c>
      <c r="AS431" s="1076"/>
      <c r="AT431" s="1076"/>
      <c r="AU431" s="1635">
        <f>AV431+AW431+AX431</f>
        <v>0.99999999999999989</v>
      </c>
      <c r="AV431" s="1635">
        <f>AV430/AU430</f>
        <v>0</v>
      </c>
      <c r="AW431" s="1635">
        <f>AW430/AU430</f>
        <v>0.4475026694974048</v>
      </c>
      <c r="AX431" s="1635">
        <f>AX430/AU430</f>
        <v>0.55249733050259509</v>
      </c>
      <c r="AY431" s="1079"/>
      <c r="AZ431" s="1075" t="s">
        <v>638</v>
      </c>
      <c r="BA431" s="1076"/>
      <c r="BB431" s="1076"/>
      <c r="BC431" s="1635">
        <f>BD431+BE431+BF431</f>
        <v>0.99999999999999989</v>
      </c>
      <c r="BD431" s="1635">
        <f>BD430/BC430</f>
        <v>0</v>
      </c>
      <c r="BE431" s="1635">
        <f>BE430/BC430</f>
        <v>0.4475026694974048</v>
      </c>
      <c r="BF431" s="1635">
        <f>BF430/BC430</f>
        <v>0.55249733050259509</v>
      </c>
      <c r="BG431" s="1079"/>
      <c r="BH431" s="1075" t="s">
        <v>638</v>
      </c>
      <c r="BI431" s="1076"/>
      <c r="BJ431" s="1076"/>
      <c r="BK431" s="1635">
        <f>BL431+BM431+BN431</f>
        <v>0.99999999999999989</v>
      </c>
      <c r="BL431" s="1635">
        <f>BL430/BK430</f>
        <v>0</v>
      </c>
      <c r="BM431" s="1635">
        <f>BM430/BK430</f>
        <v>0.4475026694974048</v>
      </c>
      <c r="BN431" s="1635">
        <f>BN430/BK430</f>
        <v>0.55249733050259509</v>
      </c>
      <c r="BO431" s="1079"/>
      <c r="BP431" s="1075" t="s">
        <v>638</v>
      </c>
      <c r="BQ431" s="1076"/>
      <c r="BR431" s="1076"/>
      <c r="BS431" s="1635">
        <f>BT431+BU431+BV431</f>
        <v>0.99999999999999989</v>
      </c>
      <c r="BT431" s="1635">
        <f>BT430/BS430</f>
        <v>0</v>
      </c>
      <c r="BU431" s="1635">
        <f>BU430/BS430</f>
        <v>0.4475026694974048</v>
      </c>
      <c r="BV431" s="1635">
        <f>BV430/BS430</f>
        <v>0.55249733050259509</v>
      </c>
      <c r="BW431" s="1079"/>
      <c r="BX431" s="1075" t="s">
        <v>638</v>
      </c>
      <c r="BY431" s="1076"/>
      <c r="BZ431" s="1076"/>
      <c r="CA431" s="1635">
        <f>CB431+CC431+CD431</f>
        <v>0.99999999999999989</v>
      </c>
      <c r="CB431" s="1635">
        <f>CB430/CA430</f>
        <v>0</v>
      </c>
      <c r="CC431" s="1635">
        <f>CC430/CA430</f>
        <v>0.4475026694974048</v>
      </c>
      <c r="CD431" s="1635">
        <f>CD430/CA430</f>
        <v>0.55249733050259509</v>
      </c>
      <c r="CE431" s="1079"/>
      <c r="CF431" s="1075" t="s">
        <v>638</v>
      </c>
      <c r="CG431" s="1076"/>
      <c r="CH431" s="1076"/>
      <c r="CI431" s="1635">
        <f>CJ431+CK431+CL431</f>
        <v>0.99999999999999989</v>
      </c>
      <c r="CJ431" s="1635">
        <f>CJ430/CI430</f>
        <v>0</v>
      </c>
      <c r="CK431" s="1635">
        <f>CK430/CI430</f>
        <v>0.4475026694974048</v>
      </c>
      <c r="CL431" s="1635">
        <f>CL430/CI430</f>
        <v>0.55249733050259509</v>
      </c>
      <c r="CM431" s="1079"/>
      <c r="CN431" s="1075" t="s">
        <v>638</v>
      </c>
      <c r="CO431" s="1076"/>
      <c r="CP431" s="1076"/>
      <c r="CQ431" s="1635">
        <f>CR431+CS431+CT431</f>
        <v>0.99999999999999989</v>
      </c>
      <c r="CR431" s="1635">
        <f>CR430/CQ430</f>
        <v>0</v>
      </c>
      <c r="CS431" s="1635">
        <f>CS430/CQ430</f>
        <v>0.4475026694974048</v>
      </c>
      <c r="CT431" s="1635">
        <f>CT430/CQ430</f>
        <v>0.55249733050259509</v>
      </c>
      <c r="CU431" s="1079"/>
      <c r="CV431" s="1075" t="s">
        <v>638</v>
      </c>
      <c r="CW431" s="1076"/>
      <c r="CX431" s="1076"/>
      <c r="CY431" s="1635">
        <f>CZ431+DA431+DB431</f>
        <v>0.99999999999999989</v>
      </c>
      <c r="CZ431" s="1635">
        <f>CZ430/CY430</f>
        <v>0</v>
      </c>
      <c r="DA431" s="1635">
        <f>DA430/CY430</f>
        <v>0.4475026694974048</v>
      </c>
      <c r="DB431" s="1635">
        <f>DB430/CY430</f>
        <v>0.55249733050259509</v>
      </c>
      <c r="DC431" s="1079"/>
      <c r="DD431" s="1075" t="s">
        <v>638</v>
      </c>
      <c r="DE431" s="1076"/>
      <c r="DF431" s="1076"/>
      <c r="DG431" s="1635">
        <f>DH431+DI431+DJ431</f>
        <v>0.99999999999999989</v>
      </c>
      <c r="DH431" s="1635">
        <f>DH430/DG430</f>
        <v>0</v>
      </c>
      <c r="DI431" s="1635">
        <f>DI430/DG430</f>
        <v>0.4475026694974048</v>
      </c>
      <c r="DJ431" s="1635">
        <f>DJ430/DG430</f>
        <v>0.55249733050259509</v>
      </c>
      <c r="DK431" s="1079"/>
      <c r="DL431" s="1075" t="s">
        <v>638</v>
      </c>
      <c r="DM431" s="1076"/>
      <c r="DN431" s="1076"/>
      <c r="DO431" s="1635">
        <f>DP431+DQ431+DR431</f>
        <v>0.99999999999999989</v>
      </c>
      <c r="DP431" s="1635">
        <f>DP430/DO430</f>
        <v>0</v>
      </c>
      <c r="DQ431" s="1635">
        <f>DQ430/DO430</f>
        <v>0.4475026694974048</v>
      </c>
      <c r="DR431" s="1635">
        <f>DR430/DO430</f>
        <v>0.55249733050259509</v>
      </c>
      <c r="DS431" s="1079"/>
      <c r="DT431" s="1075" t="s">
        <v>638</v>
      </c>
      <c r="DU431" s="1076"/>
      <c r="DV431" s="1076"/>
      <c r="DW431" s="1635">
        <f>DX431+DY431+DZ431</f>
        <v>0.99999999999999989</v>
      </c>
      <c r="DX431" s="1635">
        <f>DX430/DW430</f>
        <v>0</v>
      </c>
      <c r="DY431" s="1635">
        <f>DY430/DW430</f>
        <v>0.4475026694974048</v>
      </c>
      <c r="DZ431" s="1635">
        <f>DZ430/DW430</f>
        <v>0.55249733050259509</v>
      </c>
      <c r="EA431" s="1079"/>
      <c r="EB431" s="1075" t="s">
        <v>638</v>
      </c>
      <c r="EC431" s="1076"/>
      <c r="ED431" s="1076"/>
      <c r="EE431" s="1635">
        <f>EF431+EG431+EH431</f>
        <v>0.99999999999999989</v>
      </c>
      <c r="EF431" s="1635">
        <f>EF430/EE430</f>
        <v>0</v>
      </c>
      <c r="EG431" s="1635">
        <f>EG430/EE430</f>
        <v>0.4475026694974048</v>
      </c>
      <c r="EH431" s="1635">
        <f>EH430/EE430</f>
        <v>0.55249733050259509</v>
      </c>
      <c r="EI431" s="1079"/>
      <c r="EJ431" s="1075" t="s">
        <v>638</v>
      </c>
      <c r="EK431" s="1076"/>
      <c r="EL431" s="1076"/>
      <c r="EM431" s="1635">
        <f>EN431+EO431+EP431</f>
        <v>0.99999999999999989</v>
      </c>
      <c r="EN431" s="1635">
        <f>EN430/EM430</f>
        <v>0</v>
      </c>
      <c r="EO431" s="1635">
        <f>EO430/EM430</f>
        <v>0.4475026694974048</v>
      </c>
      <c r="EP431" s="1635">
        <f>EP430/EM430</f>
        <v>0.55249733050259509</v>
      </c>
      <c r="EQ431" s="1079"/>
      <c r="ER431" s="1075" t="s">
        <v>638</v>
      </c>
      <c r="ES431" s="1076"/>
      <c r="ET431" s="1076"/>
      <c r="EU431" s="1635">
        <f>EV431+EW431+EX431</f>
        <v>0.99999999999999989</v>
      </c>
      <c r="EV431" s="1635">
        <f>EV430/EU430</f>
        <v>0</v>
      </c>
      <c r="EW431" s="1635">
        <f>EW430/EU430</f>
        <v>0.4475026694974048</v>
      </c>
      <c r="EX431" s="1635">
        <f>EX430/EU430</f>
        <v>0.55249733050259509</v>
      </c>
      <c r="EY431" s="1079"/>
      <c r="EZ431" s="1075" t="s">
        <v>638</v>
      </c>
      <c r="FA431" s="1076"/>
      <c r="FB431" s="1076"/>
      <c r="FC431" s="1635">
        <f>FD431+FE431+FF431</f>
        <v>0.99999999999999989</v>
      </c>
      <c r="FD431" s="1635">
        <f>FD430/FC430</f>
        <v>0</v>
      </c>
      <c r="FE431" s="1635">
        <f>FE430/FC430</f>
        <v>0.4475026694974048</v>
      </c>
      <c r="FF431" s="1635">
        <f>FF430/FC430</f>
        <v>0.55249733050259509</v>
      </c>
      <c r="FG431" s="1079"/>
      <c r="FH431" s="1075" t="s">
        <v>638</v>
      </c>
      <c r="FI431" s="1076"/>
      <c r="FJ431" s="1076"/>
      <c r="FK431" s="1635">
        <f>FL431+FM431+FN431</f>
        <v>0.99999999999999989</v>
      </c>
      <c r="FL431" s="1635">
        <f>FL430/FK430</f>
        <v>0</v>
      </c>
      <c r="FM431" s="1635">
        <f>FM430/FK430</f>
        <v>0.4475026694974048</v>
      </c>
      <c r="FN431" s="1635">
        <f>FN430/FK430</f>
        <v>0.55249733050259509</v>
      </c>
      <c r="FO431" s="1079"/>
    </row>
    <row r="432" spans="2:171" x14ac:dyDescent="0.25">
      <c r="K432" s="1074"/>
      <c r="S432" s="1074"/>
      <c r="AA432" s="1074"/>
      <c r="AI432" s="1074"/>
      <c r="AQ432" s="1074"/>
      <c r="AY432" s="1074"/>
      <c r="BG432" s="1074"/>
      <c r="BO432" s="1074"/>
      <c r="BW432" s="1074"/>
      <c r="CE432" s="1074"/>
      <c r="CM432" s="1074"/>
      <c r="CU432" s="1074"/>
      <c r="DC432" s="1074"/>
      <c r="DK432" s="1074"/>
      <c r="DS432" s="1074"/>
      <c r="EA432" s="1074"/>
      <c r="EI432" s="1074"/>
      <c r="EQ432" s="1074"/>
      <c r="EY432" s="1074"/>
      <c r="FG432" s="1074"/>
      <c r="FO432" s="1074"/>
    </row>
    <row r="433" spans="2:171" x14ac:dyDescent="0.25">
      <c r="E433" s="302" t="s">
        <v>521</v>
      </c>
      <c r="G433" s="303" t="s">
        <v>104</v>
      </c>
      <c r="H433" s="303" t="s">
        <v>105</v>
      </c>
      <c r="I433" s="303" t="s">
        <v>106</v>
      </c>
      <c r="J433" s="304" t="s">
        <v>512</v>
      </c>
      <c r="K433" s="1074"/>
      <c r="O433" s="303" t="s">
        <v>104</v>
      </c>
      <c r="P433" s="303" t="s">
        <v>105</v>
      </c>
      <c r="Q433" s="303" t="s">
        <v>106</v>
      </c>
      <c r="R433" s="304" t="s">
        <v>512</v>
      </c>
      <c r="S433" s="1074"/>
      <c r="W433" s="303" t="s">
        <v>104</v>
      </c>
      <c r="X433" s="303" t="s">
        <v>105</v>
      </c>
      <c r="Y433" s="303" t="s">
        <v>106</v>
      </c>
      <c r="Z433" s="304" t="s">
        <v>512</v>
      </c>
      <c r="AA433" s="1074"/>
      <c r="AE433" s="303" t="s">
        <v>104</v>
      </c>
      <c r="AF433" s="303" t="s">
        <v>105</v>
      </c>
      <c r="AG433" s="303" t="s">
        <v>106</v>
      </c>
      <c r="AH433" s="304" t="s">
        <v>512</v>
      </c>
      <c r="AI433" s="1074"/>
      <c r="AM433" s="303" t="s">
        <v>104</v>
      </c>
      <c r="AN433" s="303" t="s">
        <v>105</v>
      </c>
      <c r="AO433" s="303" t="s">
        <v>106</v>
      </c>
      <c r="AP433" s="304" t="s">
        <v>512</v>
      </c>
      <c r="AQ433" s="1074"/>
      <c r="AU433" s="303" t="s">
        <v>104</v>
      </c>
      <c r="AV433" s="303" t="s">
        <v>105</v>
      </c>
      <c r="AW433" s="303" t="s">
        <v>106</v>
      </c>
      <c r="AX433" s="304" t="s">
        <v>512</v>
      </c>
      <c r="AY433" s="1074"/>
      <c r="BC433" s="303" t="s">
        <v>104</v>
      </c>
      <c r="BD433" s="303" t="s">
        <v>105</v>
      </c>
      <c r="BE433" s="303" t="s">
        <v>106</v>
      </c>
      <c r="BF433" s="304" t="s">
        <v>512</v>
      </c>
      <c r="BG433" s="1074"/>
      <c r="BK433" s="303" t="s">
        <v>104</v>
      </c>
      <c r="BL433" s="303" t="s">
        <v>105</v>
      </c>
      <c r="BM433" s="303" t="s">
        <v>106</v>
      </c>
      <c r="BN433" s="304" t="s">
        <v>512</v>
      </c>
      <c r="BO433" s="1074"/>
      <c r="BS433" s="303" t="s">
        <v>104</v>
      </c>
      <c r="BT433" s="303" t="s">
        <v>105</v>
      </c>
      <c r="BU433" s="303" t="s">
        <v>106</v>
      </c>
      <c r="BV433" s="304" t="s">
        <v>512</v>
      </c>
      <c r="BW433" s="1074"/>
      <c r="CA433" s="303" t="s">
        <v>104</v>
      </c>
      <c r="CB433" s="303" t="s">
        <v>105</v>
      </c>
      <c r="CC433" s="303" t="s">
        <v>106</v>
      </c>
      <c r="CD433" s="304" t="s">
        <v>512</v>
      </c>
      <c r="CE433" s="1074"/>
      <c r="CI433" s="303" t="s">
        <v>104</v>
      </c>
      <c r="CJ433" s="303" t="s">
        <v>105</v>
      </c>
      <c r="CK433" s="303" t="s">
        <v>106</v>
      </c>
      <c r="CL433" s="304" t="s">
        <v>512</v>
      </c>
      <c r="CM433" s="1074"/>
      <c r="CQ433" s="303" t="s">
        <v>104</v>
      </c>
      <c r="CR433" s="303" t="s">
        <v>105</v>
      </c>
      <c r="CS433" s="303" t="s">
        <v>106</v>
      </c>
      <c r="CT433" s="304" t="s">
        <v>512</v>
      </c>
      <c r="CU433" s="1074"/>
      <c r="CY433" s="303" t="s">
        <v>104</v>
      </c>
      <c r="CZ433" s="303" t="s">
        <v>105</v>
      </c>
      <c r="DA433" s="303" t="s">
        <v>106</v>
      </c>
      <c r="DB433" s="304" t="s">
        <v>512</v>
      </c>
      <c r="DC433" s="1074"/>
      <c r="DG433" s="303" t="s">
        <v>104</v>
      </c>
      <c r="DH433" s="303" t="s">
        <v>105</v>
      </c>
      <c r="DI433" s="303" t="s">
        <v>106</v>
      </c>
      <c r="DJ433" s="304" t="s">
        <v>512</v>
      </c>
      <c r="DK433" s="1074"/>
      <c r="DO433" s="303" t="s">
        <v>104</v>
      </c>
      <c r="DP433" s="303" t="s">
        <v>105</v>
      </c>
      <c r="DQ433" s="303" t="s">
        <v>106</v>
      </c>
      <c r="DR433" s="304" t="s">
        <v>512</v>
      </c>
      <c r="DS433" s="1074"/>
      <c r="DW433" s="303" t="s">
        <v>104</v>
      </c>
      <c r="DX433" s="303" t="s">
        <v>105</v>
      </c>
      <c r="DY433" s="303" t="s">
        <v>106</v>
      </c>
      <c r="DZ433" s="304" t="s">
        <v>512</v>
      </c>
      <c r="EA433" s="1074"/>
      <c r="EE433" s="303" t="s">
        <v>104</v>
      </c>
      <c r="EF433" s="303" t="s">
        <v>105</v>
      </c>
      <c r="EG433" s="303" t="s">
        <v>106</v>
      </c>
      <c r="EH433" s="304" t="s">
        <v>512</v>
      </c>
      <c r="EI433" s="1074"/>
      <c r="EM433" s="303" t="s">
        <v>104</v>
      </c>
      <c r="EN433" s="303" t="s">
        <v>105</v>
      </c>
      <c r="EO433" s="303" t="s">
        <v>106</v>
      </c>
      <c r="EP433" s="304" t="s">
        <v>512</v>
      </c>
      <c r="EQ433" s="1074"/>
      <c r="EU433" s="303" t="s">
        <v>104</v>
      </c>
      <c r="EV433" s="303" t="s">
        <v>105</v>
      </c>
      <c r="EW433" s="303" t="s">
        <v>106</v>
      </c>
      <c r="EX433" s="304" t="s">
        <v>512</v>
      </c>
      <c r="EY433" s="1074"/>
      <c r="FC433" s="303" t="s">
        <v>104</v>
      </c>
      <c r="FD433" s="303" t="s">
        <v>105</v>
      </c>
      <c r="FE433" s="303" t="s">
        <v>106</v>
      </c>
      <c r="FF433" s="304" t="s">
        <v>512</v>
      </c>
      <c r="FG433" s="1074"/>
      <c r="FK433" s="303" t="s">
        <v>104</v>
      </c>
      <c r="FL433" s="303" t="s">
        <v>105</v>
      </c>
      <c r="FM433" s="303" t="s">
        <v>106</v>
      </c>
      <c r="FN433" s="304" t="s">
        <v>512</v>
      </c>
      <c r="FO433" s="1074"/>
    </row>
    <row r="434" spans="2:171" x14ac:dyDescent="0.25">
      <c r="B434" s="108"/>
      <c r="C434" s="108" t="s">
        <v>126</v>
      </c>
      <c r="D434" s="1072"/>
      <c r="E434" s="905" t="str">
        <f>E38</f>
        <v>PTD</v>
      </c>
      <c r="G434" s="891">
        <f>G38</f>
        <v>134526603.60952502</v>
      </c>
      <c r="H434" s="891">
        <f t="shared" ref="H434:J434" si="1683">H38</f>
        <v>59218092.146876924</v>
      </c>
      <c r="I434" s="891">
        <f t="shared" si="1683"/>
        <v>0</v>
      </c>
      <c r="J434" s="891">
        <f t="shared" si="1683"/>
        <v>75308511.462648094</v>
      </c>
      <c r="K434" s="1079"/>
      <c r="L434" s="1072"/>
      <c r="M434" s="1073"/>
      <c r="N434" s="1073"/>
      <c r="O434" s="891">
        <f>O38</f>
        <v>134526603.60952502</v>
      </c>
      <c r="P434" s="891">
        <f t="shared" ref="P434:R434" si="1684">P38</f>
        <v>59218092.146876924</v>
      </c>
      <c r="Q434" s="891">
        <f t="shared" si="1684"/>
        <v>34962431.936514728</v>
      </c>
      <c r="R434" s="891">
        <f t="shared" si="1684"/>
        <v>40346079.526133358</v>
      </c>
      <c r="S434" s="1079"/>
      <c r="T434" s="1072"/>
      <c r="U434" s="1073"/>
      <c r="V434" s="1073"/>
      <c r="W434" s="891">
        <f>W38</f>
        <v>134526603.60952502</v>
      </c>
      <c r="X434" s="891">
        <f t="shared" ref="X434:Z434" si="1685">X38</f>
        <v>59218092.146876924</v>
      </c>
      <c r="Y434" s="891">
        <f t="shared" si="1685"/>
        <v>34962431.936514728</v>
      </c>
      <c r="Z434" s="891">
        <f t="shared" si="1685"/>
        <v>40346079.526133358</v>
      </c>
      <c r="AA434" s="1079"/>
      <c r="AB434" s="1072"/>
      <c r="AC434" s="1073"/>
      <c r="AD434" s="1073"/>
      <c r="AE434" s="891">
        <f>AE38</f>
        <v>134526603.60952502</v>
      </c>
      <c r="AF434" s="891">
        <f t="shared" ref="AF434:AH434" si="1686">AF38</f>
        <v>59218092.146876924</v>
      </c>
      <c r="AG434" s="891">
        <f t="shared" si="1686"/>
        <v>34962431.936514728</v>
      </c>
      <c r="AH434" s="891">
        <f t="shared" si="1686"/>
        <v>40346079.526133358</v>
      </c>
      <c r="AI434" s="1079"/>
      <c r="AJ434" s="1072"/>
      <c r="AK434" s="1073"/>
      <c r="AL434" s="1073"/>
      <c r="AM434" s="891">
        <f>AM38</f>
        <v>134526603.60952502</v>
      </c>
      <c r="AN434" s="891">
        <f t="shared" ref="AN434:AP434" si="1687">AN38</f>
        <v>59218092.146876924</v>
      </c>
      <c r="AO434" s="891">
        <f t="shared" si="1687"/>
        <v>34962431.936514728</v>
      </c>
      <c r="AP434" s="891">
        <f t="shared" si="1687"/>
        <v>40346079.526133358</v>
      </c>
      <c r="AQ434" s="1079"/>
      <c r="AR434" s="1072"/>
      <c r="AS434" s="1073"/>
      <c r="AT434" s="1073"/>
      <c r="AU434" s="891">
        <f>AU38</f>
        <v>134526603.60952502</v>
      </c>
      <c r="AV434" s="891">
        <f t="shared" ref="AV434:AX434" si="1688">AV38</f>
        <v>59218092.146876924</v>
      </c>
      <c r="AW434" s="891">
        <f t="shared" si="1688"/>
        <v>34962431.936514728</v>
      </c>
      <c r="AX434" s="891">
        <f t="shared" si="1688"/>
        <v>40346079.526133358</v>
      </c>
      <c r="AY434" s="1079"/>
      <c r="AZ434" s="1072"/>
      <c r="BA434" s="1073"/>
      <c r="BB434" s="1073"/>
      <c r="BC434" s="891">
        <f>BC38</f>
        <v>134526603.60952502</v>
      </c>
      <c r="BD434" s="891">
        <f t="shared" ref="BD434:BF434" si="1689">BD38</f>
        <v>59218092.146876924</v>
      </c>
      <c r="BE434" s="891">
        <f t="shared" si="1689"/>
        <v>34962431.936514728</v>
      </c>
      <c r="BF434" s="891">
        <f t="shared" si="1689"/>
        <v>40346079.526133358</v>
      </c>
      <c r="BG434" s="1079"/>
      <c r="BH434" s="1072"/>
      <c r="BI434" s="1073"/>
      <c r="BJ434" s="1073"/>
      <c r="BK434" s="891">
        <f>BK38</f>
        <v>134526603.60952502</v>
      </c>
      <c r="BL434" s="891">
        <f t="shared" ref="BL434:BN434" si="1690">BL38</f>
        <v>59218092.146876924</v>
      </c>
      <c r="BM434" s="891">
        <f t="shared" si="1690"/>
        <v>34962431.936514728</v>
      </c>
      <c r="BN434" s="891">
        <f t="shared" si="1690"/>
        <v>40346079.526133358</v>
      </c>
      <c r="BO434" s="1079"/>
      <c r="BP434" s="1072"/>
      <c r="BQ434" s="1073"/>
      <c r="BR434" s="1073"/>
      <c r="BS434" s="891">
        <f>BS38</f>
        <v>134526603.60952502</v>
      </c>
      <c r="BT434" s="891">
        <f t="shared" ref="BT434:BV434" si="1691">BT38</f>
        <v>59218092.146876924</v>
      </c>
      <c r="BU434" s="891">
        <f t="shared" si="1691"/>
        <v>34962431.936514728</v>
      </c>
      <c r="BV434" s="891">
        <f t="shared" si="1691"/>
        <v>40346079.526133358</v>
      </c>
      <c r="BW434" s="1079"/>
      <c r="BX434" s="1072"/>
      <c r="BY434" s="1073"/>
      <c r="BZ434" s="1073"/>
      <c r="CA434" s="891">
        <f>CA38</f>
        <v>134526603.60952502</v>
      </c>
      <c r="CB434" s="891">
        <f t="shared" ref="CB434:CD434" si="1692">CB38</f>
        <v>59218092.146876924</v>
      </c>
      <c r="CC434" s="891">
        <f t="shared" si="1692"/>
        <v>34962431.936514728</v>
      </c>
      <c r="CD434" s="891">
        <f t="shared" si="1692"/>
        <v>40346079.526133358</v>
      </c>
      <c r="CE434" s="1079"/>
      <c r="CF434" s="1072"/>
      <c r="CG434" s="1073"/>
      <c r="CH434" s="1073"/>
      <c r="CI434" s="891">
        <f>CI38</f>
        <v>134526603.60952502</v>
      </c>
      <c r="CJ434" s="891">
        <f t="shared" ref="CJ434:CL434" si="1693">CJ38</f>
        <v>59218092.146876924</v>
      </c>
      <c r="CK434" s="891">
        <f t="shared" si="1693"/>
        <v>34962431.936514728</v>
      </c>
      <c r="CL434" s="891">
        <f t="shared" si="1693"/>
        <v>40346079.526133358</v>
      </c>
      <c r="CM434" s="1079"/>
      <c r="CN434" s="1072"/>
      <c r="CO434" s="1073"/>
      <c r="CP434" s="1073"/>
      <c r="CQ434" s="891">
        <f>CQ38</f>
        <v>134526603.60952502</v>
      </c>
      <c r="CR434" s="891">
        <f t="shared" ref="CR434:CT434" si="1694">CR38</f>
        <v>59218092.146876924</v>
      </c>
      <c r="CS434" s="891">
        <f t="shared" si="1694"/>
        <v>34962431.936514728</v>
      </c>
      <c r="CT434" s="891">
        <f t="shared" si="1694"/>
        <v>40346079.526133358</v>
      </c>
      <c r="CU434" s="1079"/>
      <c r="CV434" s="1072"/>
      <c r="CW434" s="1073"/>
      <c r="CX434" s="1073"/>
      <c r="CY434" s="891">
        <f>CY38</f>
        <v>134526603.60952502</v>
      </c>
      <c r="CZ434" s="891">
        <f t="shared" ref="CZ434:DB434" si="1695">CZ38</f>
        <v>59218092.146876924</v>
      </c>
      <c r="DA434" s="891">
        <f t="shared" si="1695"/>
        <v>34962431.936514728</v>
      </c>
      <c r="DB434" s="891">
        <f t="shared" si="1695"/>
        <v>40346079.526133358</v>
      </c>
      <c r="DC434" s="1079"/>
      <c r="DD434" s="1072"/>
      <c r="DE434" s="1073"/>
      <c r="DF434" s="1073"/>
      <c r="DG434" s="891">
        <f>DG38</f>
        <v>134526603.60952502</v>
      </c>
      <c r="DH434" s="891">
        <f t="shared" ref="DH434:DJ434" si="1696">DH38</f>
        <v>59218092.146876924</v>
      </c>
      <c r="DI434" s="891">
        <f t="shared" si="1696"/>
        <v>34962431.936514728</v>
      </c>
      <c r="DJ434" s="891">
        <f t="shared" si="1696"/>
        <v>40346079.526133358</v>
      </c>
      <c r="DK434" s="1079"/>
      <c r="DL434" s="1072"/>
      <c r="DM434" s="1073"/>
      <c r="DN434" s="1073"/>
      <c r="DO434" s="891">
        <f>DO38</f>
        <v>134526603.60952502</v>
      </c>
      <c r="DP434" s="891">
        <f t="shared" ref="DP434:DR434" si="1697">DP38</f>
        <v>59218092.146876924</v>
      </c>
      <c r="DQ434" s="891">
        <f t="shared" si="1697"/>
        <v>34962431.936514728</v>
      </c>
      <c r="DR434" s="891">
        <f t="shared" si="1697"/>
        <v>40346079.526133358</v>
      </c>
      <c r="DS434" s="1079"/>
      <c r="DT434" s="1072"/>
      <c r="DU434" s="1073"/>
      <c r="DV434" s="1073"/>
      <c r="DW434" s="891">
        <f>DW38</f>
        <v>134526603.60952502</v>
      </c>
      <c r="DX434" s="891">
        <f t="shared" ref="DX434:DZ434" si="1698">DX38</f>
        <v>59218092.146876924</v>
      </c>
      <c r="DY434" s="891">
        <f t="shared" si="1698"/>
        <v>34962431.936514728</v>
      </c>
      <c r="DZ434" s="891">
        <f t="shared" si="1698"/>
        <v>40346079.526133358</v>
      </c>
      <c r="EA434" s="1079"/>
      <c r="EB434" s="1072"/>
      <c r="EC434" s="1073"/>
      <c r="ED434" s="1073"/>
      <c r="EE434" s="891">
        <f>EE38</f>
        <v>134526603.60952502</v>
      </c>
      <c r="EF434" s="891">
        <f t="shared" ref="EF434:EH434" si="1699">EF38</f>
        <v>59218092.146876924</v>
      </c>
      <c r="EG434" s="891">
        <f t="shared" si="1699"/>
        <v>34962431.936514728</v>
      </c>
      <c r="EH434" s="891">
        <f t="shared" si="1699"/>
        <v>40346079.526133358</v>
      </c>
      <c r="EI434" s="1079"/>
      <c r="EJ434" s="1072"/>
      <c r="EK434" s="1073"/>
      <c r="EL434" s="1073"/>
      <c r="EM434" s="891">
        <f>EM38</f>
        <v>134526603.60952502</v>
      </c>
      <c r="EN434" s="891">
        <f t="shared" ref="EN434:EP434" si="1700">EN38</f>
        <v>59218092.146876924</v>
      </c>
      <c r="EO434" s="891">
        <f t="shared" si="1700"/>
        <v>34962431.936514728</v>
      </c>
      <c r="EP434" s="891">
        <f t="shared" si="1700"/>
        <v>40346079.526133358</v>
      </c>
      <c r="EQ434" s="1079"/>
      <c r="ER434" s="1072"/>
      <c r="ES434" s="1073"/>
      <c r="ET434" s="1073"/>
      <c r="EU434" s="891">
        <f>EU38</f>
        <v>134526603.60952502</v>
      </c>
      <c r="EV434" s="891">
        <f t="shared" ref="EV434:EX434" si="1701">EV38</f>
        <v>59218092.146876924</v>
      </c>
      <c r="EW434" s="891">
        <f t="shared" si="1701"/>
        <v>34962431.936514728</v>
      </c>
      <c r="EX434" s="891">
        <f t="shared" si="1701"/>
        <v>40346079.526133358</v>
      </c>
      <c r="EY434" s="1079"/>
      <c r="EZ434" s="1072"/>
      <c r="FA434" s="1073"/>
      <c r="FB434" s="1073"/>
      <c r="FC434" s="891">
        <f>FC38</f>
        <v>134526603.60952502</v>
      </c>
      <c r="FD434" s="891">
        <f t="shared" ref="FD434:FF434" si="1702">FD38</f>
        <v>59218092.146876924</v>
      </c>
      <c r="FE434" s="891">
        <f t="shared" si="1702"/>
        <v>34962431.936514728</v>
      </c>
      <c r="FF434" s="891">
        <f t="shared" si="1702"/>
        <v>40346079.526133358</v>
      </c>
      <c r="FG434" s="1079"/>
      <c r="FH434" s="1072"/>
      <c r="FI434" s="1073"/>
      <c r="FJ434" s="1073"/>
      <c r="FK434" s="891">
        <f>FK38</f>
        <v>134526603.60952502</v>
      </c>
      <c r="FL434" s="891">
        <f t="shared" ref="FL434:FN434" si="1703">FL38</f>
        <v>59218092.146876924</v>
      </c>
      <c r="FM434" s="891">
        <f t="shared" si="1703"/>
        <v>34962431.936514728</v>
      </c>
      <c r="FN434" s="891">
        <f t="shared" si="1703"/>
        <v>40346079.526133358</v>
      </c>
      <c r="FO434" s="1079"/>
    </row>
    <row r="435" spans="2:171" x14ac:dyDescent="0.25">
      <c r="B435" s="108"/>
      <c r="C435" s="108" t="s">
        <v>127</v>
      </c>
      <c r="D435" s="1072"/>
      <c r="E435" s="905" t="str">
        <f>E39</f>
        <v>LABOR</v>
      </c>
      <c r="G435" s="891">
        <f>G39</f>
        <v>38698718.859569281</v>
      </c>
      <c r="H435" s="891">
        <f t="shared" ref="H435:J435" si="1704">H39</f>
        <v>16131692.601433367</v>
      </c>
      <c r="I435" s="891">
        <f t="shared" si="1704"/>
        <v>0</v>
      </c>
      <c r="J435" s="891">
        <f t="shared" si="1704"/>
        <v>22567026.258135919</v>
      </c>
      <c r="K435" s="1074"/>
      <c r="L435" s="1072"/>
      <c r="M435" s="1073"/>
      <c r="N435" s="1073"/>
      <c r="O435" s="891">
        <f>O39</f>
        <v>38698718.859569281</v>
      </c>
      <c r="P435" s="891">
        <f t="shared" ref="P435:R435" si="1705">P39</f>
        <v>16131692.601433367</v>
      </c>
      <c r="Q435" s="891">
        <f t="shared" si="1705"/>
        <v>1045227.6214519152</v>
      </c>
      <c r="R435" s="891">
        <f t="shared" si="1705"/>
        <v>21521798.636684</v>
      </c>
      <c r="S435" s="1074"/>
      <c r="T435" s="1072"/>
      <c r="U435" s="1073"/>
      <c r="V435" s="1073"/>
      <c r="W435" s="891">
        <f>W39</f>
        <v>38698718.859569281</v>
      </c>
      <c r="X435" s="891">
        <f t="shared" ref="X435:Z435" si="1706">X39</f>
        <v>16131692.601433367</v>
      </c>
      <c r="Y435" s="891">
        <f t="shared" si="1706"/>
        <v>1045227.6214519152</v>
      </c>
      <c r="Z435" s="891">
        <f t="shared" si="1706"/>
        <v>21521798.636684</v>
      </c>
      <c r="AA435" s="1074"/>
      <c r="AB435" s="1072"/>
      <c r="AC435" s="1073"/>
      <c r="AD435" s="1073"/>
      <c r="AE435" s="891">
        <f>AE39</f>
        <v>38698718.859569281</v>
      </c>
      <c r="AF435" s="891">
        <f t="shared" ref="AF435:AH435" si="1707">AF39</f>
        <v>16131692.601433367</v>
      </c>
      <c r="AG435" s="891">
        <f t="shared" si="1707"/>
        <v>1045227.6214519152</v>
      </c>
      <c r="AH435" s="891">
        <f t="shared" si="1707"/>
        <v>21521798.636684</v>
      </c>
      <c r="AI435" s="1074"/>
      <c r="AJ435" s="1072"/>
      <c r="AK435" s="1073"/>
      <c r="AL435" s="1073"/>
      <c r="AM435" s="891">
        <f>AM39</f>
        <v>38698718.859569281</v>
      </c>
      <c r="AN435" s="891">
        <f t="shared" ref="AN435:AP435" si="1708">AN39</f>
        <v>16131692.601433367</v>
      </c>
      <c r="AO435" s="891">
        <f t="shared" si="1708"/>
        <v>1045227.6214519152</v>
      </c>
      <c r="AP435" s="891">
        <f t="shared" si="1708"/>
        <v>21521798.636684</v>
      </c>
      <c r="AQ435" s="1074"/>
      <c r="AR435" s="1072"/>
      <c r="AS435" s="1073"/>
      <c r="AT435" s="1073"/>
      <c r="AU435" s="891">
        <f>AU39</f>
        <v>38698718.859569281</v>
      </c>
      <c r="AV435" s="891">
        <f t="shared" ref="AV435:AX435" si="1709">AV39</f>
        <v>16131692.601433367</v>
      </c>
      <c r="AW435" s="891">
        <f t="shared" si="1709"/>
        <v>1045227.6214519152</v>
      </c>
      <c r="AX435" s="891">
        <f t="shared" si="1709"/>
        <v>21521798.636684</v>
      </c>
      <c r="AY435" s="1074"/>
      <c r="AZ435" s="1072"/>
      <c r="BA435" s="1073"/>
      <c r="BB435" s="1073"/>
      <c r="BC435" s="891">
        <f>BC39</f>
        <v>38698718.859569281</v>
      </c>
      <c r="BD435" s="891">
        <f t="shared" ref="BD435:BF435" si="1710">BD39</f>
        <v>16131692.601433367</v>
      </c>
      <c r="BE435" s="891">
        <f t="shared" si="1710"/>
        <v>1045227.6214519152</v>
      </c>
      <c r="BF435" s="891">
        <f t="shared" si="1710"/>
        <v>21521798.636684</v>
      </c>
      <c r="BG435" s="1074"/>
      <c r="BH435" s="1072"/>
      <c r="BI435" s="1073"/>
      <c r="BJ435" s="1073"/>
      <c r="BK435" s="891">
        <f>BK39</f>
        <v>38698718.859569281</v>
      </c>
      <c r="BL435" s="891">
        <f t="shared" ref="BL435:BN435" si="1711">BL39</f>
        <v>16131692.601433367</v>
      </c>
      <c r="BM435" s="891">
        <f t="shared" si="1711"/>
        <v>1045227.6214519152</v>
      </c>
      <c r="BN435" s="891">
        <f t="shared" si="1711"/>
        <v>21521798.636684</v>
      </c>
      <c r="BO435" s="1074"/>
      <c r="BP435" s="1072"/>
      <c r="BQ435" s="1073"/>
      <c r="BR435" s="1073"/>
      <c r="BS435" s="891">
        <f>BS39</f>
        <v>38698718.859569281</v>
      </c>
      <c r="BT435" s="891">
        <f t="shared" ref="BT435:BV435" si="1712">BT39</f>
        <v>16131692.601433367</v>
      </c>
      <c r="BU435" s="891">
        <f t="shared" si="1712"/>
        <v>1045227.6214519152</v>
      </c>
      <c r="BV435" s="891">
        <f t="shared" si="1712"/>
        <v>21521798.636684</v>
      </c>
      <c r="BW435" s="1074"/>
      <c r="BX435" s="1072"/>
      <c r="BY435" s="1073"/>
      <c r="BZ435" s="1073"/>
      <c r="CA435" s="891">
        <f>CA39</f>
        <v>38698718.859569281</v>
      </c>
      <c r="CB435" s="891">
        <f t="shared" ref="CB435:CD435" si="1713">CB39</f>
        <v>16131692.601433367</v>
      </c>
      <c r="CC435" s="891">
        <f t="shared" si="1713"/>
        <v>1045227.6214519152</v>
      </c>
      <c r="CD435" s="891">
        <f t="shared" si="1713"/>
        <v>21521798.636684</v>
      </c>
      <c r="CE435" s="1074"/>
      <c r="CF435" s="1072"/>
      <c r="CG435" s="1073"/>
      <c r="CH435" s="1073"/>
      <c r="CI435" s="891">
        <f>CI39</f>
        <v>38698718.859569281</v>
      </c>
      <c r="CJ435" s="891">
        <f t="shared" ref="CJ435:CL435" si="1714">CJ39</f>
        <v>16131692.601433367</v>
      </c>
      <c r="CK435" s="891">
        <f t="shared" si="1714"/>
        <v>1045227.6214519152</v>
      </c>
      <c r="CL435" s="891">
        <f t="shared" si="1714"/>
        <v>21521798.636684</v>
      </c>
      <c r="CM435" s="1074"/>
      <c r="CN435" s="1072"/>
      <c r="CO435" s="1073"/>
      <c r="CP435" s="1073"/>
      <c r="CQ435" s="891">
        <f>CQ39</f>
        <v>38698718.859569281</v>
      </c>
      <c r="CR435" s="891">
        <f t="shared" ref="CR435:CT435" si="1715">CR39</f>
        <v>16131692.601433367</v>
      </c>
      <c r="CS435" s="891">
        <f t="shared" si="1715"/>
        <v>1045227.6214519152</v>
      </c>
      <c r="CT435" s="891">
        <f t="shared" si="1715"/>
        <v>21521798.636684</v>
      </c>
      <c r="CU435" s="1074"/>
      <c r="CV435" s="1072"/>
      <c r="CW435" s="1073"/>
      <c r="CX435" s="1073"/>
      <c r="CY435" s="891">
        <f>CY39</f>
        <v>38698718.859569281</v>
      </c>
      <c r="CZ435" s="891">
        <f t="shared" ref="CZ435:DB435" si="1716">CZ39</f>
        <v>16131692.601433367</v>
      </c>
      <c r="DA435" s="891">
        <f t="shared" si="1716"/>
        <v>1045227.6214519152</v>
      </c>
      <c r="DB435" s="891">
        <f t="shared" si="1716"/>
        <v>21521798.636684</v>
      </c>
      <c r="DC435" s="1074"/>
      <c r="DD435" s="1072"/>
      <c r="DE435" s="1073"/>
      <c r="DF435" s="1073"/>
      <c r="DG435" s="891">
        <f>DG39</f>
        <v>38698718.859569281</v>
      </c>
      <c r="DH435" s="891">
        <f t="shared" ref="DH435:DJ435" si="1717">DH39</f>
        <v>16131692.601433367</v>
      </c>
      <c r="DI435" s="891">
        <f t="shared" si="1717"/>
        <v>1045227.6214519152</v>
      </c>
      <c r="DJ435" s="891">
        <f t="shared" si="1717"/>
        <v>21521798.636684</v>
      </c>
      <c r="DK435" s="1074"/>
      <c r="DL435" s="1072"/>
      <c r="DM435" s="1073"/>
      <c r="DN435" s="1073"/>
      <c r="DO435" s="891">
        <f>DO39</f>
        <v>38698718.859569281</v>
      </c>
      <c r="DP435" s="891">
        <f t="shared" ref="DP435:DR435" si="1718">DP39</f>
        <v>16131692.601433367</v>
      </c>
      <c r="DQ435" s="891">
        <f t="shared" si="1718"/>
        <v>1045227.6214519152</v>
      </c>
      <c r="DR435" s="891">
        <f t="shared" si="1718"/>
        <v>21521798.636684</v>
      </c>
      <c r="DS435" s="1074"/>
      <c r="DT435" s="1072"/>
      <c r="DU435" s="1073"/>
      <c r="DV435" s="1073"/>
      <c r="DW435" s="891">
        <f>DW39</f>
        <v>38698718.859569281</v>
      </c>
      <c r="DX435" s="891">
        <f t="shared" ref="DX435:DZ435" si="1719">DX39</f>
        <v>16131692.601433367</v>
      </c>
      <c r="DY435" s="891">
        <f t="shared" si="1719"/>
        <v>1045227.6214519152</v>
      </c>
      <c r="DZ435" s="891">
        <f t="shared" si="1719"/>
        <v>21521798.636684</v>
      </c>
      <c r="EA435" s="1074"/>
      <c r="EB435" s="1072"/>
      <c r="EC435" s="1073"/>
      <c r="ED435" s="1073"/>
      <c r="EE435" s="891">
        <f>EE39</f>
        <v>38698718.859569281</v>
      </c>
      <c r="EF435" s="891">
        <f t="shared" ref="EF435:EH435" si="1720">EF39</f>
        <v>16131692.601433367</v>
      </c>
      <c r="EG435" s="891">
        <f t="shared" si="1720"/>
        <v>1045227.6214519152</v>
      </c>
      <c r="EH435" s="891">
        <f t="shared" si="1720"/>
        <v>21521798.636684</v>
      </c>
      <c r="EI435" s="1074"/>
      <c r="EJ435" s="1072"/>
      <c r="EK435" s="1073"/>
      <c r="EL435" s="1073"/>
      <c r="EM435" s="891">
        <f>EM39</f>
        <v>38698718.859569281</v>
      </c>
      <c r="EN435" s="891">
        <f t="shared" ref="EN435:EP435" si="1721">EN39</f>
        <v>16131692.601433367</v>
      </c>
      <c r="EO435" s="891">
        <f t="shared" si="1721"/>
        <v>1045227.6214519152</v>
      </c>
      <c r="EP435" s="891">
        <f t="shared" si="1721"/>
        <v>21521798.636684</v>
      </c>
      <c r="EQ435" s="1074"/>
      <c r="ER435" s="1072"/>
      <c r="ES435" s="1073"/>
      <c r="ET435" s="1073"/>
      <c r="EU435" s="891">
        <f>EU39</f>
        <v>38698718.859569281</v>
      </c>
      <c r="EV435" s="891">
        <f t="shared" ref="EV435:EX435" si="1722">EV39</f>
        <v>16131692.601433367</v>
      </c>
      <c r="EW435" s="891">
        <f t="shared" si="1722"/>
        <v>1045227.6214519152</v>
      </c>
      <c r="EX435" s="891">
        <f t="shared" si="1722"/>
        <v>21521798.636684</v>
      </c>
      <c r="EY435" s="1074"/>
      <c r="EZ435" s="1072"/>
      <c r="FA435" s="1073"/>
      <c r="FB435" s="1073"/>
      <c r="FC435" s="891">
        <f>FC39</f>
        <v>38698718.859569281</v>
      </c>
      <c r="FD435" s="891">
        <f t="shared" ref="FD435:FF435" si="1723">FD39</f>
        <v>16131692.601433367</v>
      </c>
      <c r="FE435" s="891">
        <f t="shared" si="1723"/>
        <v>1045227.6214519152</v>
      </c>
      <c r="FF435" s="891">
        <f t="shared" si="1723"/>
        <v>21521798.636684</v>
      </c>
      <c r="FG435" s="1074"/>
      <c r="FH435" s="1072"/>
      <c r="FI435" s="1073"/>
      <c r="FJ435" s="1073"/>
      <c r="FK435" s="891">
        <f>FK39</f>
        <v>38698718.859569281</v>
      </c>
      <c r="FL435" s="891">
        <f t="shared" ref="FL435:FN435" si="1724">FL39</f>
        <v>16131692.601433367</v>
      </c>
      <c r="FM435" s="891">
        <f t="shared" si="1724"/>
        <v>1045227.6214519152</v>
      </c>
      <c r="FN435" s="891">
        <f t="shared" si="1724"/>
        <v>21521798.636684</v>
      </c>
      <c r="FO435" s="1074"/>
    </row>
    <row r="436" spans="2:171" x14ac:dyDescent="0.25">
      <c r="B436" s="108"/>
      <c r="C436" s="108" t="s">
        <v>133</v>
      </c>
      <c r="D436" s="1072"/>
      <c r="E436" s="905" t="str">
        <f>E45</f>
        <v>PTD</v>
      </c>
      <c r="G436" s="891">
        <f>G45</f>
        <v>225166384.95095226</v>
      </c>
      <c r="H436" s="891">
        <f t="shared" ref="H436:J436" si="1725">H45</f>
        <v>99117374.367879733</v>
      </c>
      <c r="I436" s="891">
        <f t="shared" si="1725"/>
        <v>0</v>
      </c>
      <c r="J436" s="891">
        <f t="shared" si="1725"/>
        <v>126049010.58307251</v>
      </c>
      <c r="K436" s="1074"/>
      <c r="L436" s="1072"/>
      <c r="M436" s="1073"/>
      <c r="N436" s="1073"/>
      <c r="O436" s="891">
        <f>O45</f>
        <v>225166384.95095223</v>
      </c>
      <c r="P436" s="891">
        <f t="shared" ref="P436:R436" si="1726">P45</f>
        <v>99117374.367879719</v>
      </c>
      <c r="Q436" s="891">
        <f t="shared" si="1726"/>
        <v>58519015.547950298</v>
      </c>
      <c r="R436" s="891">
        <f t="shared" si="1726"/>
        <v>67529995.035122186</v>
      </c>
      <c r="S436" s="1074"/>
      <c r="T436" s="1072"/>
      <c r="U436" s="1073"/>
      <c r="V436" s="1073"/>
      <c r="W436" s="891">
        <f>W45</f>
        <v>225166384.95095223</v>
      </c>
      <c r="X436" s="891">
        <f t="shared" ref="X436:Z436" si="1727">X45</f>
        <v>99117374.367879719</v>
      </c>
      <c r="Y436" s="891">
        <f t="shared" si="1727"/>
        <v>58519015.547950298</v>
      </c>
      <c r="Z436" s="891">
        <f t="shared" si="1727"/>
        <v>67529995.035122186</v>
      </c>
      <c r="AA436" s="1074"/>
      <c r="AB436" s="1072"/>
      <c r="AC436" s="1073"/>
      <c r="AD436" s="1073"/>
      <c r="AE436" s="891">
        <f>AE45</f>
        <v>225166384.95095223</v>
      </c>
      <c r="AF436" s="891">
        <f t="shared" ref="AF436:AH436" si="1728">AF45</f>
        <v>99117374.367879719</v>
      </c>
      <c r="AG436" s="891">
        <f t="shared" si="1728"/>
        <v>58519015.547950298</v>
      </c>
      <c r="AH436" s="891">
        <f t="shared" si="1728"/>
        <v>67529995.035122186</v>
      </c>
      <c r="AI436" s="1074"/>
      <c r="AJ436" s="1072"/>
      <c r="AK436" s="1073"/>
      <c r="AL436" s="1073"/>
      <c r="AM436" s="891">
        <f>AM45</f>
        <v>225166384.95095223</v>
      </c>
      <c r="AN436" s="891">
        <f t="shared" ref="AN436:AP436" si="1729">AN45</f>
        <v>99117374.367879719</v>
      </c>
      <c r="AO436" s="891">
        <f t="shared" si="1729"/>
        <v>58519015.547950298</v>
      </c>
      <c r="AP436" s="891">
        <f t="shared" si="1729"/>
        <v>67529995.035122186</v>
      </c>
      <c r="AQ436" s="1074"/>
      <c r="AR436" s="1072"/>
      <c r="AS436" s="1073"/>
      <c r="AT436" s="1073"/>
      <c r="AU436" s="891">
        <f>AU45</f>
        <v>225166384.95095223</v>
      </c>
      <c r="AV436" s="891">
        <f t="shared" ref="AV436:AX436" si="1730">AV45</f>
        <v>99117374.367879719</v>
      </c>
      <c r="AW436" s="891">
        <f t="shared" si="1730"/>
        <v>58519015.547950298</v>
      </c>
      <c r="AX436" s="891">
        <f t="shared" si="1730"/>
        <v>67529995.035122186</v>
      </c>
      <c r="AY436" s="1074"/>
      <c r="AZ436" s="1072"/>
      <c r="BA436" s="1073"/>
      <c r="BB436" s="1073"/>
      <c r="BC436" s="891">
        <f>BC45</f>
        <v>225166384.95095223</v>
      </c>
      <c r="BD436" s="891">
        <f t="shared" ref="BD436:BF436" si="1731">BD45</f>
        <v>99117374.367879719</v>
      </c>
      <c r="BE436" s="891">
        <f t="shared" si="1731"/>
        <v>58519015.547950298</v>
      </c>
      <c r="BF436" s="891">
        <f t="shared" si="1731"/>
        <v>67529995.035122186</v>
      </c>
      <c r="BG436" s="1074"/>
      <c r="BH436" s="1072"/>
      <c r="BI436" s="1073"/>
      <c r="BJ436" s="1073"/>
      <c r="BK436" s="891">
        <f>BK45</f>
        <v>225166384.95095223</v>
      </c>
      <c r="BL436" s="891">
        <f t="shared" ref="BL436:BN436" si="1732">BL45</f>
        <v>99117374.367879719</v>
      </c>
      <c r="BM436" s="891">
        <f t="shared" si="1732"/>
        <v>58519015.547950298</v>
      </c>
      <c r="BN436" s="891">
        <f t="shared" si="1732"/>
        <v>67529995.035122186</v>
      </c>
      <c r="BO436" s="1074"/>
      <c r="BP436" s="1072"/>
      <c r="BQ436" s="1073"/>
      <c r="BR436" s="1073"/>
      <c r="BS436" s="891">
        <f>BS45</f>
        <v>225166384.95095223</v>
      </c>
      <c r="BT436" s="891">
        <f t="shared" ref="BT436:BV436" si="1733">BT45</f>
        <v>99117374.367879719</v>
      </c>
      <c r="BU436" s="891">
        <f t="shared" si="1733"/>
        <v>58519015.547950298</v>
      </c>
      <c r="BV436" s="891">
        <f t="shared" si="1733"/>
        <v>67529995.035122186</v>
      </c>
      <c r="BW436" s="1074"/>
      <c r="BX436" s="1072"/>
      <c r="BY436" s="1073"/>
      <c r="BZ436" s="1073"/>
      <c r="CA436" s="891">
        <f>CA45</f>
        <v>225166384.95095223</v>
      </c>
      <c r="CB436" s="891">
        <f t="shared" ref="CB436:CD436" si="1734">CB45</f>
        <v>99117374.367879719</v>
      </c>
      <c r="CC436" s="891">
        <f t="shared" si="1734"/>
        <v>58519015.547950298</v>
      </c>
      <c r="CD436" s="891">
        <f t="shared" si="1734"/>
        <v>67529995.035122186</v>
      </c>
      <c r="CE436" s="1074"/>
      <c r="CF436" s="1072"/>
      <c r="CG436" s="1073"/>
      <c r="CH436" s="1073"/>
      <c r="CI436" s="891">
        <f>CI45</f>
        <v>225166384.95095223</v>
      </c>
      <c r="CJ436" s="891">
        <f t="shared" ref="CJ436:CL436" si="1735">CJ45</f>
        <v>99117374.367879719</v>
      </c>
      <c r="CK436" s="891">
        <f t="shared" si="1735"/>
        <v>58519015.547950298</v>
      </c>
      <c r="CL436" s="891">
        <f t="shared" si="1735"/>
        <v>67529995.035122186</v>
      </c>
      <c r="CM436" s="1074"/>
      <c r="CN436" s="1072"/>
      <c r="CO436" s="1073"/>
      <c r="CP436" s="1073"/>
      <c r="CQ436" s="891">
        <f>CQ45</f>
        <v>225166384.95095223</v>
      </c>
      <c r="CR436" s="891">
        <f t="shared" ref="CR436:CT436" si="1736">CR45</f>
        <v>99117374.367879719</v>
      </c>
      <c r="CS436" s="891">
        <f t="shared" si="1736"/>
        <v>58519015.547950298</v>
      </c>
      <c r="CT436" s="891">
        <f t="shared" si="1736"/>
        <v>67529995.035122186</v>
      </c>
      <c r="CU436" s="1074"/>
      <c r="CV436" s="1072"/>
      <c r="CW436" s="1073"/>
      <c r="CX436" s="1073"/>
      <c r="CY436" s="891">
        <f>CY45</f>
        <v>225166384.95095223</v>
      </c>
      <c r="CZ436" s="891">
        <f t="shared" ref="CZ436:DB436" si="1737">CZ45</f>
        <v>99117374.367879719</v>
      </c>
      <c r="DA436" s="891">
        <f t="shared" si="1737"/>
        <v>58519015.547950298</v>
      </c>
      <c r="DB436" s="891">
        <f t="shared" si="1737"/>
        <v>67529995.035122186</v>
      </c>
      <c r="DC436" s="1074"/>
      <c r="DD436" s="1072"/>
      <c r="DE436" s="1073"/>
      <c r="DF436" s="1073"/>
      <c r="DG436" s="891">
        <f>DG45</f>
        <v>225166384.95095223</v>
      </c>
      <c r="DH436" s="891">
        <f t="shared" ref="DH436:DJ436" si="1738">DH45</f>
        <v>99117374.367879719</v>
      </c>
      <c r="DI436" s="891">
        <f t="shared" si="1738"/>
        <v>58519015.547950298</v>
      </c>
      <c r="DJ436" s="891">
        <f t="shared" si="1738"/>
        <v>67529995.035122186</v>
      </c>
      <c r="DK436" s="1074"/>
      <c r="DL436" s="1072"/>
      <c r="DM436" s="1073"/>
      <c r="DN436" s="1073"/>
      <c r="DO436" s="891">
        <f>DO45</f>
        <v>225166384.95095223</v>
      </c>
      <c r="DP436" s="891">
        <f t="shared" ref="DP436:DR436" si="1739">DP45</f>
        <v>99117374.367879719</v>
      </c>
      <c r="DQ436" s="891">
        <f t="shared" si="1739"/>
        <v>58519015.547950298</v>
      </c>
      <c r="DR436" s="891">
        <f t="shared" si="1739"/>
        <v>67529995.035122186</v>
      </c>
      <c r="DS436" s="1074"/>
      <c r="DT436" s="1072"/>
      <c r="DU436" s="1073"/>
      <c r="DV436" s="1073"/>
      <c r="DW436" s="891">
        <f>DW45</f>
        <v>225166384.95095223</v>
      </c>
      <c r="DX436" s="891">
        <f t="shared" ref="DX436:DZ436" si="1740">DX45</f>
        <v>99117374.367879719</v>
      </c>
      <c r="DY436" s="891">
        <f t="shared" si="1740"/>
        <v>58519015.547950298</v>
      </c>
      <c r="DZ436" s="891">
        <f t="shared" si="1740"/>
        <v>67529995.035122186</v>
      </c>
      <c r="EA436" s="1074"/>
      <c r="EB436" s="1072"/>
      <c r="EC436" s="1073"/>
      <c r="ED436" s="1073"/>
      <c r="EE436" s="891">
        <f>EE45</f>
        <v>225166384.95095223</v>
      </c>
      <c r="EF436" s="891">
        <f t="shared" ref="EF436:EH436" si="1741">EF45</f>
        <v>99117374.367879719</v>
      </c>
      <c r="EG436" s="891">
        <f t="shared" si="1741"/>
        <v>58519015.547950298</v>
      </c>
      <c r="EH436" s="891">
        <f t="shared" si="1741"/>
        <v>67529995.035122186</v>
      </c>
      <c r="EI436" s="1074"/>
      <c r="EJ436" s="1072"/>
      <c r="EK436" s="1073"/>
      <c r="EL436" s="1073"/>
      <c r="EM436" s="891">
        <f>EM45</f>
        <v>225166384.95095223</v>
      </c>
      <c r="EN436" s="891">
        <f t="shared" ref="EN436:EP436" si="1742">EN45</f>
        <v>99117374.367879719</v>
      </c>
      <c r="EO436" s="891">
        <f t="shared" si="1742"/>
        <v>58519015.547950298</v>
      </c>
      <c r="EP436" s="891">
        <f t="shared" si="1742"/>
        <v>67529995.035122186</v>
      </c>
      <c r="EQ436" s="1074"/>
      <c r="ER436" s="1072"/>
      <c r="ES436" s="1073"/>
      <c r="ET436" s="1073"/>
      <c r="EU436" s="891">
        <f>EU45</f>
        <v>225166384.95095223</v>
      </c>
      <c r="EV436" s="891">
        <f t="shared" ref="EV436:EX436" si="1743">EV45</f>
        <v>99117374.367879719</v>
      </c>
      <c r="EW436" s="891">
        <f t="shared" si="1743"/>
        <v>58519015.547950298</v>
      </c>
      <c r="EX436" s="891">
        <f t="shared" si="1743"/>
        <v>67529995.035122186</v>
      </c>
      <c r="EY436" s="1074"/>
      <c r="EZ436" s="1072"/>
      <c r="FA436" s="1073"/>
      <c r="FB436" s="1073"/>
      <c r="FC436" s="891">
        <f>FC45</f>
        <v>225166384.95095223</v>
      </c>
      <c r="FD436" s="891">
        <f t="shared" ref="FD436:FF436" si="1744">FD45</f>
        <v>99117374.367879719</v>
      </c>
      <c r="FE436" s="891">
        <f t="shared" si="1744"/>
        <v>58519015.547950298</v>
      </c>
      <c r="FF436" s="891">
        <f t="shared" si="1744"/>
        <v>67529995.035122186</v>
      </c>
      <c r="FG436" s="1074"/>
      <c r="FH436" s="1072"/>
      <c r="FI436" s="1073"/>
      <c r="FJ436" s="1073"/>
      <c r="FK436" s="891">
        <f>FK45</f>
        <v>225166384.95095223</v>
      </c>
      <c r="FL436" s="891">
        <f t="shared" ref="FL436:FN436" si="1745">FL45</f>
        <v>99117374.367879719</v>
      </c>
      <c r="FM436" s="891">
        <f t="shared" si="1745"/>
        <v>58519015.547950298</v>
      </c>
      <c r="FN436" s="891">
        <f t="shared" si="1745"/>
        <v>67529995.035122186</v>
      </c>
      <c r="FO436" s="1074"/>
    </row>
    <row r="437" spans="2:171" x14ac:dyDescent="0.25">
      <c r="B437" s="108"/>
      <c r="C437" s="108" t="s">
        <v>134</v>
      </c>
      <c r="D437" s="1072"/>
      <c r="E437" s="905" t="str">
        <f>E46</f>
        <v>PTD</v>
      </c>
      <c r="G437" s="891">
        <f>G46</f>
        <v>3889871.2322740913</v>
      </c>
      <c r="H437" s="891">
        <f t="shared" ref="H437:J437" si="1746">H46</f>
        <v>1712306.316309788</v>
      </c>
      <c r="I437" s="891">
        <f>I46</f>
        <v>0</v>
      </c>
      <c r="J437" s="891">
        <f t="shared" si="1746"/>
        <v>2177564.9159643031</v>
      </c>
      <c r="K437" s="1079"/>
      <c r="L437" s="1072"/>
      <c r="M437" s="1073"/>
      <c r="N437" s="1073"/>
      <c r="O437" s="891">
        <f>O46</f>
        <v>3889871.2322740913</v>
      </c>
      <c r="P437" s="891">
        <f t="shared" ref="P437:R437" si="1747">P46</f>
        <v>1712306.316309788</v>
      </c>
      <c r="Q437" s="891">
        <f t="shared" si="1747"/>
        <v>1010947.6828459847</v>
      </c>
      <c r="R437" s="891">
        <f t="shared" si="1747"/>
        <v>1166617.2331183183</v>
      </c>
      <c r="S437" s="1079"/>
      <c r="T437" s="1072"/>
      <c r="U437" s="1073"/>
      <c r="V437" s="1073"/>
      <c r="W437" s="891">
        <f>W46</f>
        <v>3889871.2322740913</v>
      </c>
      <c r="X437" s="891">
        <f t="shared" ref="X437:Z437" si="1748">X46</f>
        <v>1712306.316309788</v>
      </c>
      <c r="Y437" s="891">
        <f t="shared" si="1748"/>
        <v>1010947.6828459847</v>
      </c>
      <c r="Z437" s="891">
        <f t="shared" si="1748"/>
        <v>1166617.2331183183</v>
      </c>
      <c r="AA437" s="1079"/>
      <c r="AB437" s="1072"/>
      <c r="AC437" s="1073"/>
      <c r="AD437" s="1073"/>
      <c r="AE437" s="891">
        <f>AE46</f>
        <v>3889871.2322740913</v>
      </c>
      <c r="AF437" s="891">
        <f t="shared" ref="AF437:AH437" si="1749">AF46</f>
        <v>1712306.316309788</v>
      </c>
      <c r="AG437" s="891">
        <f t="shared" si="1749"/>
        <v>1010947.6828459847</v>
      </c>
      <c r="AH437" s="891">
        <f t="shared" si="1749"/>
        <v>1166617.2331183183</v>
      </c>
      <c r="AI437" s="1079"/>
      <c r="AJ437" s="1072"/>
      <c r="AK437" s="1073"/>
      <c r="AL437" s="1073"/>
      <c r="AM437" s="891">
        <f>AM46</f>
        <v>3889871.2322740913</v>
      </c>
      <c r="AN437" s="891">
        <f t="shared" ref="AN437:AP437" si="1750">AN46</f>
        <v>1712306.316309788</v>
      </c>
      <c r="AO437" s="891">
        <f t="shared" si="1750"/>
        <v>1010947.6828459847</v>
      </c>
      <c r="AP437" s="891">
        <f t="shared" si="1750"/>
        <v>1166617.2331183183</v>
      </c>
      <c r="AQ437" s="1079"/>
      <c r="AR437" s="1072"/>
      <c r="AS437" s="1073"/>
      <c r="AT437" s="1073"/>
      <c r="AU437" s="891">
        <f>AU46</f>
        <v>3889871.2322740913</v>
      </c>
      <c r="AV437" s="891">
        <f t="shared" ref="AV437:AX437" si="1751">AV46</f>
        <v>1712306.316309788</v>
      </c>
      <c r="AW437" s="891">
        <f t="shared" si="1751"/>
        <v>1010947.6828459847</v>
      </c>
      <c r="AX437" s="891">
        <f t="shared" si="1751"/>
        <v>1166617.2331183183</v>
      </c>
      <c r="AY437" s="1079"/>
      <c r="AZ437" s="1072"/>
      <c r="BA437" s="1073"/>
      <c r="BB437" s="1073"/>
      <c r="BC437" s="891">
        <f>BC46</f>
        <v>3889871.2322740913</v>
      </c>
      <c r="BD437" s="891">
        <f t="shared" ref="BD437:BF437" si="1752">BD46</f>
        <v>1712306.316309788</v>
      </c>
      <c r="BE437" s="891">
        <f t="shared" si="1752"/>
        <v>1010947.6828459847</v>
      </c>
      <c r="BF437" s="891">
        <f t="shared" si="1752"/>
        <v>1166617.2331183183</v>
      </c>
      <c r="BG437" s="1079"/>
      <c r="BH437" s="1072"/>
      <c r="BI437" s="1073"/>
      <c r="BJ437" s="1073"/>
      <c r="BK437" s="891">
        <f>BK46</f>
        <v>3889871.2322740913</v>
      </c>
      <c r="BL437" s="891">
        <f t="shared" ref="BL437:BN437" si="1753">BL46</f>
        <v>1712306.316309788</v>
      </c>
      <c r="BM437" s="891">
        <f t="shared" si="1753"/>
        <v>1010947.6828459847</v>
      </c>
      <c r="BN437" s="891">
        <f t="shared" si="1753"/>
        <v>1166617.2331183183</v>
      </c>
      <c r="BO437" s="1079"/>
      <c r="BP437" s="1072"/>
      <c r="BQ437" s="1073"/>
      <c r="BR437" s="1073"/>
      <c r="BS437" s="891">
        <f>BS46</f>
        <v>3889871.2322740913</v>
      </c>
      <c r="BT437" s="891">
        <f t="shared" ref="BT437:BV437" si="1754">BT46</f>
        <v>1712306.316309788</v>
      </c>
      <c r="BU437" s="891">
        <f t="shared" si="1754"/>
        <v>1010947.6828459847</v>
      </c>
      <c r="BV437" s="891">
        <f t="shared" si="1754"/>
        <v>1166617.2331183183</v>
      </c>
      <c r="BW437" s="1079"/>
      <c r="BX437" s="1072"/>
      <c r="BY437" s="1073"/>
      <c r="BZ437" s="1073"/>
      <c r="CA437" s="891">
        <f>CA46</f>
        <v>3889871.2322740913</v>
      </c>
      <c r="CB437" s="891">
        <f t="shared" ref="CB437:CD437" si="1755">CB46</f>
        <v>1712306.316309788</v>
      </c>
      <c r="CC437" s="891">
        <f t="shared" si="1755"/>
        <v>1010947.6828459847</v>
      </c>
      <c r="CD437" s="891">
        <f t="shared" si="1755"/>
        <v>1166617.2331183183</v>
      </c>
      <c r="CE437" s="1079"/>
      <c r="CF437" s="1072"/>
      <c r="CG437" s="1073"/>
      <c r="CH437" s="1073"/>
      <c r="CI437" s="891">
        <f>CI46</f>
        <v>3889871.2322740913</v>
      </c>
      <c r="CJ437" s="891">
        <f t="shared" ref="CJ437:CL437" si="1756">CJ46</f>
        <v>1712306.316309788</v>
      </c>
      <c r="CK437" s="891">
        <f t="shared" si="1756"/>
        <v>1010947.6828459847</v>
      </c>
      <c r="CL437" s="891">
        <f t="shared" si="1756"/>
        <v>1166617.2331183183</v>
      </c>
      <c r="CM437" s="1079"/>
      <c r="CN437" s="1072"/>
      <c r="CO437" s="1073"/>
      <c r="CP437" s="1073"/>
      <c r="CQ437" s="891">
        <f>CQ46</f>
        <v>3889871.2322740913</v>
      </c>
      <c r="CR437" s="891">
        <f t="shared" ref="CR437:CT437" si="1757">CR46</f>
        <v>1712306.316309788</v>
      </c>
      <c r="CS437" s="891">
        <f t="shared" si="1757"/>
        <v>1010947.6828459847</v>
      </c>
      <c r="CT437" s="891">
        <f t="shared" si="1757"/>
        <v>1166617.2331183183</v>
      </c>
      <c r="CU437" s="1079"/>
      <c r="CV437" s="1072"/>
      <c r="CW437" s="1073"/>
      <c r="CX437" s="1073"/>
      <c r="CY437" s="891">
        <f>CY46</f>
        <v>3889871.2322740913</v>
      </c>
      <c r="CZ437" s="891">
        <f t="shared" ref="CZ437:DB437" si="1758">CZ46</f>
        <v>1712306.316309788</v>
      </c>
      <c r="DA437" s="891">
        <f t="shared" si="1758"/>
        <v>1010947.6828459847</v>
      </c>
      <c r="DB437" s="891">
        <f t="shared" si="1758"/>
        <v>1166617.2331183183</v>
      </c>
      <c r="DC437" s="1079"/>
      <c r="DD437" s="1072"/>
      <c r="DE437" s="1073"/>
      <c r="DF437" s="1073"/>
      <c r="DG437" s="891">
        <f>DG46</f>
        <v>3889871.2322740913</v>
      </c>
      <c r="DH437" s="891">
        <f t="shared" ref="DH437:DJ437" si="1759">DH46</f>
        <v>1712306.316309788</v>
      </c>
      <c r="DI437" s="891">
        <f t="shared" si="1759"/>
        <v>1010947.6828459847</v>
      </c>
      <c r="DJ437" s="891">
        <f t="shared" si="1759"/>
        <v>1166617.2331183183</v>
      </c>
      <c r="DK437" s="1079"/>
      <c r="DL437" s="1072"/>
      <c r="DM437" s="1073"/>
      <c r="DN437" s="1073"/>
      <c r="DO437" s="891">
        <f>DO46</f>
        <v>3889871.2322740913</v>
      </c>
      <c r="DP437" s="891">
        <f t="shared" ref="DP437:DR437" si="1760">DP46</f>
        <v>1712306.316309788</v>
      </c>
      <c r="DQ437" s="891">
        <f t="shared" si="1760"/>
        <v>1010947.6828459847</v>
      </c>
      <c r="DR437" s="891">
        <f t="shared" si="1760"/>
        <v>1166617.2331183183</v>
      </c>
      <c r="DS437" s="1079"/>
      <c r="DT437" s="1072"/>
      <c r="DU437" s="1073"/>
      <c r="DV437" s="1073"/>
      <c r="DW437" s="891">
        <f>DW46</f>
        <v>3889871.2322740913</v>
      </c>
      <c r="DX437" s="891">
        <f t="shared" ref="DX437:DZ437" si="1761">DX46</f>
        <v>1712306.316309788</v>
      </c>
      <c r="DY437" s="891">
        <f t="shared" si="1761"/>
        <v>1010947.6828459847</v>
      </c>
      <c r="DZ437" s="891">
        <f t="shared" si="1761"/>
        <v>1166617.2331183183</v>
      </c>
      <c r="EA437" s="1079"/>
      <c r="EB437" s="1072"/>
      <c r="EC437" s="1073"/>
      <c r="ED437" s="1073"/>
      <c r="EE437" s="891">
        <f>EE46</f>
        <v>3889871.2322740913</v>
      </c>
      <c r="EF437" s="891">
        <f t="shared" ref="EF437:EH437" si="1762">EF46</f>
        <v>1712306.316309788</v>
      </c>
      <c r="EG437" s="891">
        <f t="shared" si="1762"/>
        <v>1010947.6828459847</v>
      </c>
      <c r="EH437" s="891">
        <f t="shared" si="1762"/>
        <v>1166617.2331183183</v>
      </c>
      <c r="EI437" s="1079"/>
      <c r="EJ437" s="1072"/>
      <c r="EK437" s="1073"/>
      <c r="EL437" s="1073"/>
      <c r="EM437" s="891">
        <f>EM46</f>
        <v>3889871.2322740913</v>
      </c>
      <c r="EN437" s="891">
        <f t="shared" ref="EN437:EP437" si="1763">EN46</f>
        <v>1712306.316309788</v>
      </c>
      <c r="EO437" s="891">
        <f t="shared" si="1763"/>
        <v>1010947.6828459847</v>
      </c>
      <c r="EP437" s="891">
        <f t="shared" si="1763"/>
        <v>1166617.2331183183</v>
      </c>
      <c r="EQ437" s="1079"/>
      <c r="ER437" s="1072"/>
      <c r="ES437" s="1073"/>
      <c r="ET437" s="1073"/>
      <c r="EU437" s="891">
        <f>EU46</f>
        <v>3889871.2322740913</v>
      </c>
      <c r="EV437" s="891">
        <f t="shared" ref="EV437:EX437" si="1764">EV46</f>
        <v>1712306.316309788</v>
      </c>
      <c r="EW437" s="891">
        <f t="shared" si="1764"/>
        <v>1010947.6828459847</v>
      </c>
      <c r="EX437" s="891">
        <f t="shared" si="1764"/>
        <v>1166617.2331183183</v>
      </c>
      <c r="EY437" s="1079"/>
      <c r="EZ437" s="1072"/>
      <c r="FA437" s="1073"/>
      <c r="FB437" s="1073"/>
      <c r="FC437" s="891">
        <f>FC46</f>
        <v>3889871.2322740913</v>
      </c>
      <c r="FD437" s="891">
        <f t="shared" ref="FD437:FF437" si="1765">FD46</f>
        <v>1712306.316309788</v>
      </c>
      <c r="FE437" s="891">
        <f t="shared" si="1765"/>
        <v>1010947.6828459847</v>
      </c>
      <c r="FF437" s="891">
        <f t="shared" si="1765"/>
        <v>1166617.2331183183</v>
      </c>
      <c r="FG437" s="1079"/>
      <c r="FH437" s="1072"/>
      <c r="FI437" s="1073"/>
      <c r="FJ437" s="1073"/>
      <c r="FK437" s="891">
        <f>FK46</f>
        <v>3889871.2322740913</v>
      </c>
      <c r="FL437" s="891">
        <f t="shared" ref="FL437:FN437" si="1766">FL46</f>
        <v>1712306.316309788</v>
      </c>
      <c r="FM437" s="891">
        <f t="shared" si="1766"/>
        <v>1010947.6828459847</v>
      </c>
      <c r="FN437" s="891">
        <f t="shared" si="1766"/>
        <v>1166617.2331183183</v>
      </c>
      <c r="FO437" s="1079"/>
    </row>
    <row r="438" spans="2:171" x14ac:dyDescent="0.25">
      <c r="B438" s="108"/>
      <c r="C438" s="108" t="s">
        <v>523</v>
      </c>
      <c r="D438" s="1072"/>
      <c r="E438" s="124"/>
      <c r="F438" s="1073"/>
      <c r="G438" s="1634">
        <f>SUM(G434:G437)</f>
        <v>402281578.65232068</v>
      </c>
      <c r="H438" s="1634">
        <f>SUM(H434:H437)</f>
        <v>176179465.4324998</v>
      </c>
      <c r="I438" s="1634">
        <f>SUM(I434:I437)</f>
        <v>0</v>
      </c>
      <c r="J438" s="1634">
        <f>SUM(J434:J437)</f>
        <v>226102113.21982083</v>
      </c>
      <c r="K438" s="1074"/>
      <c r="L438" s="1072"/>
      <c r="M438" s="1073"/>
      <c r="N438" s="1073"/>
      <c r="O438" s="1634">
        <f>SUM(O434:O437)</f>
        <v>402281578.65232068</v>
      </c>
      <c r="P438" s="1634">
        <f>SUM(P434:P437)</f>
        <v>176179465.4324998</v>
      </c>
      <c r="Q438" s="1634">
        <f>SUM(Q434:Q437)</f>
        <v>95537622.788762927</v>
      </c>
      <c r="R438" s="1634">
        <f>SUM(R434:R437)</f>
        <v>130564490.43105787</v>
      </c>
      <c r="S438" s="1074"/>
      <c r="T438" s="1072"/>
      <c r="U438" s="1073"/>
      <c r="V438" s="1073"/>
      <c r="W438" s="1634">
        <f>SUM(W434:W437)</f>
        <v>402281578.65232068</v>
      </c>
      <c r="X438" s="1634">
        <f>SUM(X434:X437)</f>
        <v>176179465.4324998</v>
      </c>
      <c r="Y438" s="1634">
        <f>SUM(Y434:Y437)</f>
        <v>95537622.788762927</v>
      </c>
      <c r="Z438" s="1634">
        <f>SUM(Z434:Z437)</f>
        <v>130564490.43105787</v>
      </c>
      <c r="AA438" s="1074"/>
      <c r="AB438" s="1072"/>
      <c r="AC438" s="1073"/>
      <c r="AD438" s="1073"/>
      <c r="AE438" s="1634">
        <f>SUM(AE434:AE437)</f>
        <v>402281578.65232068</v>
      </c>
      <c r="AF438" s="1634">
        <f>SUM(AF434:AF437)</f>
        <v>176179465.4324998</v>
      </c>
      <c r="AG438" s="1634">
        <f>SUM(AG434:AG437)</f>
        <v>95537622.788762927</v>
      </c>
      <c r="AH438" s="1634">
        <f>SUM(AH434:AH437)</f>
        <v>130564490.43105787</v>
      </c>
      <c r="AI438" s="1074"/>
      <c r="AJ438" s="1072"/>
      <c r="AK438" s="1073"/>
      <c r="AL438" s="1073"/>
      <c r="AM438" s="1634">
        <f>SUM(AM434:AM437)</f>
        <v>402281578.65232068</v>
      </c>
      <c r="AN438" s="1634">
        <f>SUM(AN434:AN437)</f>
        <v>176179465.4324998</v>
      </c>
      <c r="AO438" s="1634">
        <f>SUM(AO434:AO437)</f>
        <v>95537622.788762927</v>
      </c>
      <c r="AP438" s="1634">
        <f>SUM(AP434:AP437)</f>
        <v>130564490.43105787</v>
      </c>
      <c r="AQ438" s="1074"/>
      <c r="AR438" s="1072"/>
      <c r="AS438" s="1073"/>
      <c r="AT438" s="1073"/>
      <c r="AU438" s="1634">
        <f>SUM(AU434:AU437)</f>
        <v>402281578.65232068</v>
      </c>
      <c r="AV438" s="1634">
        <f>SUM(AV434:AV437)</f>
        <v>176179465.4324998</v>
      </c>
      <c r="AW438" s="1634">
        <f>SUM(AW434:AW437)</f>
        <v>95537622.788762927</v>
      </c>
      <c r="AX438" s="1634">
        <f>SUM(AX434:AX437)</f>
        <v>130564490.43105787</v>
      </c>
      <c r="AY438" s="1074"/>
      <c r="AZ438" s="1072"/>
      <c r="BA438" s="1073"/>
      <c r="BB438" s="1073"/>
      <c r="BC438" s="1634">
        <f>SUM(BC434:BC437)</f>
        <v>402281578.65232068</v>
      </c>
      <c r="BD438" s="1634">
        <f>SUM(BD434:BD437)</f>
        <v>176179465.4324998</v>
      </c>
      <c r="BE438" s="1634">
        <f>SUM(BE434:BE437)</f>
        <v>95537622.788762927</v>
      </c>
      <c r="BF438" s="1634">
        <f>SUM(BF434:BF437)</f>
        <v>130564490.43105787</v>
      </c>
      <c r="BG438" s="1074"/>
      <c r="BH438" s="1072"/>
      <c r="BI438" s="1073"/>
      <c r="BJ438" s="1073"/>
      <c r="BK438" s="1634">
        <f>SUM(BK434:BK437)</f>
        <v>402281578.65232068</v>
      </c>
      <c r="BL438" s="1634">
        <f>SUM(BL434:BL437)</f>
        <v>176179465.4324998</v>
      </c>
      <c r="BM438" s="1634">
        <f>SUM(BM434:BM437)</f>
        <v>95537622.788762927</v>
      </c>
      <c r="BN438" s="1634">
        <f>SUM(BN434:BN437)</f>
        <v>130564490.43105787</v>
      </c>
      <c r="BO438" s="1074"/>
      <c r="BP438" s="1072"/>
      <c r="BQ438" s="1073"/>
      <c r="BR438" s="1073"/>
      <c r="BS438" s="1634">
        <f>SUM(BS434:BS437)</f>
        <v>402281578.65232068</v>
      </c>
      <c r="BT438" s="1634">
        <f>SUM(BT434:BT437)</f>
        <v>176179465.4324998</v>
      </c>
      <c r="BU438" s="1634">
        <f>SUM(BU434:BU437)</f>
        <v>95537622.788762927</v>
      </c>
      <c r="BV438" s="1634">
        <f>SUM(BV434:BV437)</f>
        <v>130564490.43105787</v>
      </c>
      <c r="BW438" s="1074"/>
      <c r="BX438" s="1072"/>
      <c r="BY438" s="1073"/>
      <c r="BZ438" s="1073"/>
      <c r="CA438" s="1634">
        <f>SUM(CA434:CA437)</f>
        <v>402281578.65232068</v>
      </c>
      <c r="CB438" s="1634">
        <f>SUM(CB434:CB437)</f>
        <v>176179465.4324998</v>
      </c>
      <c r="CC438" s="1634">
        <f>SUM(CC434:CC437)</f>
        <v>95537622.788762927</v>
      </c>
      <c r="CD438" s="1634">
        <f>SUM(CD434:CD437)</f>
        <v>130564490.43105787</v>
      </c>
      <c r="CE438" s="1074"/>
      <c r="CF438" s="1072"/>
      <c r="CG438" s="1073"/>
      <c r="CH438" s="1073"/>
      <c r="CI438" s="1634">
        <f>SUM(CI434:CI437)</f>
        <v>402281578.65232068</v>
      </c>
      <c r="CJ438" s="1634">
        <f>SUM(CJ434:CJ437)</f>
        <v>176179465.4324998</v>
      </c>
      <c r="CK438" s="1634">
        <f>SUM(CK434:CK437)</f>
        <v>95537622.788762927</v>
      </c>
      <c r="CL438" s="1634">
        <f>SUM(CL434:CL437)</f>
        <v>130564490.43105787</v>
      </c>
      <c r="CM438" s="1074"/>
      <c r="CN438" s="1072"/>
      <c r="CO438" s="1073"/>
      <c r="CP438" s="1073"/>
      <c r="CQ438" s="1634">
        <f>SUM(CQ434:CQ437)</f>
        <v>402281578.65232068</v>
      </c>
      <c r="CR438" s="1634">
        <f>SUM(CR434:CR437)</f>
        <v>176179465.4324998</v>
      </c>
      <c r="CS438" s="1634">
        <f>SUM(CS434:CS437)</f>
        <v>95537622.788762927</v>
      </c>
      <c r="CT438" s="1634">
        <f>SUM(CT434:CT437)</f>
        <v>130564490.43105787</v>
      </c>
      <c r="CU438" s="1074"/>
      <c r="CV438" s="1072"/>
      <c r="CW438" s="1073"/>
      <c r="CX438" s="1073"/>
      <c r="CY438" s="1634">
        <f>SUM(CY434:CY437)</f>
        <v>402281578.65232068</v>
      </c>
      <c r="CZ438" s="1634">
        <f>SUM(CZ434:CZ437)</f>
        <v>176179465.4324998</v>
      </c>
      <c r="DA438" s="1634">
        <f>SUM(DA434:DA437)</f>
        <v>95537622.788762927</v>
      </c>
      <c r="DB438" s="1634">
        <f>SUM(DB434:DB437)</f>
        <v>130564490.43105787</v>
      </c>
      <c r="DC438" s="1074"/>
      <c r="DD438" s="1072"/>
      <c r="DE438" s="1073"/>
      <c r="DF438" s="1073"/>
      <c r="DG438" s="1634">
        <f>SUM(DG434:DG437)</f>
        <v>402281578.65232068</v>
      </c>
      <c r="DH438" s="1634">
        <f>SUM(DH434:DH437)</f>
        <v>176179465.4324998</v>
      </c>
      <c r="DI438" s="1634">
        <f>SUM(DI434:DI437)</f>
        <v>95537622.788762927</v>
      </c>
      <c r="DJ438" s="1634">
        <f>SUM(DJ434:DJ437)</f>
        <v>130564490.43105787</v>
      </c>
      <c r="DK438" s="1074"/>
      <c r="DL438" s="1072"/>
      <c r="DM438" s="1073"/>
      <c r="DN438" s="1073"/>
      <c r="DO438" s="1634">
        <f>SUM(DO434:DO437)</f>
        <v>402281578.65232068</v>
      </c>
      <c r="DP438" s="1634">
        <f>SUM(DP434:DP437)</f>
        <v>176179465.4324998</v>
      </c>
      <c r="DQ438" s="1634">
        <f>SUM(DQ434:DQ437)</f>
        <v>95537622.788762927</v>
      </c>
      <c r="DR438" s="1634">
        <f>SUM(DR434:DR437)</f>
        <v>130564490.43105787</v>
      </c>
      <c r="DS438" s="1074"/>
      <c r="DT438" s="1072"/>
      <c r="DU438" s="1073"/>
      <c r="DV438" s="1073"/>
      <c r="DW438" s="1634">
        <f>SUM(DW434:DW437)</f>
        <v>402281578.65232068</v>
      </c>
      <c r="DX438" s="1634">
        <f>SUM(DX434:DX437)</f>
        <v>176179465.4324998</v>
      </c>
      <c r="DY438" s="1634">
        <f>SUM(DY434:DY437)</f>
        <v>95537622.788762927</v>
      </c>
      <c r="DZ438" s="1634">
        <f>SUM(DZ434:DZ437)</f>
        <v>130564490.43105787</v>
      </c>
      <c r="EA438" s="1074"/>
      <c r="EB438" s="1072"/>
      <c r="EC438" s="1073"/>
      <c r="ED438" s="1073"/>
      <c r="EE438" s="1634">
        <f>SUM(EE434:EE437)</f>
        <v>402281578.65232068</v>
      </c>
      <c r="EF438" s="1634">
        <f>SUM(EF434:EF437)</f>
        <v>176179465.4324998</v>
      </c>
      <c r="EG438" s="1634">
        <f>SUM(EG434:EG437)</f>
        <v>95537622.788762927</v>
      </c>
      <c r="EH438" s="1634">
        <f>SUM(EH434:EH437)</f>
        <v>130564490.43105787</v>
      </c>
      <c r="EI438" s="1074"/>
      <c r="EJ438" s="1072"/>
      <c r="EK438" s="1073"/>
      <c r="EL438" s="1073"/>
      <c r="EM438" s="1634">
        <f>SUM(EM434:EM437)</f>
        <v>402281578.65232068</v>
      </c>
      <c r="EN438" s="1634">
        <f>SUM(EN434:EN437)</f>
        <v>176179465.4324998</v>
      </c>
      <c r="EO438" s="1634">
        <f>SUM(EO434:EO437)</f>
        <v>95537622.788762927</v>
      </c>
      <c r="EP438" s="1634">
        <f>SUM(EP434:EP437)</f>
        <v>130564490.43105787</v>
      </c>
      <c r="EQ438" s="1074"/>
      <c r="ER438" s="1072"/>
      <c r="ES438" s="1073"/>
      <c r="ET438" s="1073"/>
      <c r="EU438" s="1634">
        <f>SUM(EU434:EU437)</f>
        <v>402281578.65232068</v>
      </c>
      <c r="EV438" s="1634">
        <f>SUM(EV434:EV437)</f>
        <v>176179465.4324998</v>
      </c>
      <c r="EW438" s="1634">
        <f>SUM(EW434:EW437)</f>
        <v>95537622.788762927</v>
      </c>
      <c r="EX438" s="1634">
        <f>SUM(EX434:EX437)</f>
        <v>130564490.43105787</v>
      </c>
      <c r="EY438" s="1074"/>
      <c r="EZ438" s="1072"/>
      <c r="FA438" s="1073"/>
      <c r="FB438" s="1073"/>
      <c r="FC438" s="1634">
        <f>SUM(FC434:FC437)</f>
        <v>402281578.65232068</v>
      </c>
      <c r="FD438" s="1634">
        <f>SUM(FD434:FD437)</f>
        <v>176179465.4324998</v>
      </c>
      <c r="FE438" s="1634">
        <f>SUM(FE434:FE437)</f>
        <v>95537622.788762927</v>
      </c>
      <c r="FF438" s="1634">
        <f>SUM(FF434:FF437)</f>
        <v>130564490.43105787</v>
      </c>
      <c r="FG438" s="1074"/>
      <c r="FH438" s="1072"/>
      <c r="FI438" s="1073"/>
      <c r="FJ438" s="1073"/>
      <c r="FK438" s="1634">
        <f>SUM(FK434:FK437)</f>
        <v>402281578.65232068</v>
      </c>
      <c r="FL438" s="1634">
        <f>SUM(FL434:FL437)</f>
        <v>176179465.4324998</v>
      </c>
      <c r="FM438" s="1634">
        <f>SUM(FM434:FM437)</f>
        <v>95537622.788762927</v>
      </c>
      <c r="FN438" s="1634">
        <f>SUM(FN434:FN437)</f>
        <v>130564490.43105787</v>
      </c>
      <c r="FO438" s="1074"/>
    </row>
    <row r="439" spans="2:171" x14ac:dyDescent="0.25">
      <c r="B439" s="123"/>
      <c r="C439" s="123" t="s">
        <v>346</v>
      </c>
      <c r="D439" s="1296" t="s">
        <v>641</v>
      </c>
      <c r="E439" s="564"/>
      <c r="F439" s="1076"/>
      <c r="G439" s="1635">
        <f>SUM(H439:J439)</f>
        <v>0.99999999999999978</v>
      </c>
      <c r="H439" s="1635">
        <f>H438/G438</f>
        <v>0.43795061663702523</v>
      </c>
      <c r="I439" s="1635">
        <f>I438/G438</f>
        <v>0</v>
      </c>
      <c r="J439" s="1635">
        <f>J438/G438</f>
        <v>0.56204938336297461</v>
      </c>
      <c r="K439" s="1074"/>
      <c r="L439" s="1075" t="s">
        <v>641</v>
      </c>
      <c r="M439" s="1076"/>
      <c r="N439" s="1076"/>
      <c r="O439" s="1635">
        <f>SUM(P439:R439)</f>
        <v>0.99999999999999978</v>
      </c>
      <c r="P439" s="1635">
        <f>P438/O438</f>
        <v>0.43795061663702523</v>
      </c>
      <c r="Q439" s="1635">
        <f>Q438/O438</f>
        <v>0.23748942993816052</v>
      </c>
      <c r="R439" s="1635">
        <f>R438/O438</f>
        <v>0.32455995342481403</v>
      </c>
      <c r="S439" s="1074"/>
      <c r="T439" s="1075" t="s">
        <v>641</v>
      </c>
      <c r="U439" s="1076"/>
      <c r="V439" s="1076"/>
      <c r="W439" s="1635">
        <f>SUM(X439:Z439)</f>
        <v>0.99999999999999978</v>
      </c>
      <c r="X439" s="1635">
        <f>X438/W438</f>
        <v>0.43795061663702523</v>
      </c>
      <c r="Y439" s="1635">
        <f>Y438/W438</f>
        <v>0.23748942993816052</v>
      </c>
      <c r="Z439" s="1635">
        <f>Z438/W438</f>
        <v>0.32455995342481403</v>
      </c>
      <c r="AA439" s="1074"/>
      <c r="AB439" s="1075" t="s">
        <v>641</v>
      </c>
      <c r="AC439" s="1076"/>
      <c r="AD439" s="1076"/>
      <c r="AE439" s="1635">
        <f>SUM(AF439:AH439)</f>
        <v>0.99999999999999978</v>
      </c>
      <c r="AF439" s="1635">
        <f>AF438/AE438</f>
        <v>0.43795061663702523</v>
      </c>
      <c r="AG439" s="1635">
        <f>AG438/AE438</f>
        <v>0.23748942993816052</v>
      </c>
      <c r="AH439" s="1635">
        <f>AH438/AE438</f>
        <v>0.32455995342481403</v>
      </c>
      <c r="AI439" s="1074"/>
      <c r="AJ439" s="1075" t="s">
        <v>641</v>
      </c>
      <c r="AK439" s="1076"/>
      <c r="AL439" s="1076"/>
      <c r="AM439" s="1635">
        <f>SUM(AN439:AP439)</f>
        <v>0.99999999999999978</v>
      </c>
      <c r="AN439" s="1635">
        <f>AN438/AM438</f>
        <v>0.43795061663702523</v>
      </c>
      <c r="AO439" s="1635">
        <f>AO438/AM438</f>
        <v>0.23748942993816052</v>
      </c>
      <c r="AP439" s="1635">
        <f>AP438/AM438</f>
        <v>0.32455995342481403</v>
      </c>
      <c r="AQ439" s="1074"/>
      <c r="AR439" s="1075" t="s">
        <v>641</v>
      </c>
      <c r="AS439" s="1076"/>
      <c r="AT439" s="1076"/>
      <c r="AU439" s="1635">
        <f>SUM(AV439:AX439)</f>
        <v>0.99999999999999978</v>
      </c>
      <c r="AV439" s="1635">
        <f>AV438/AU438</f>
        <v>0.43795061663702523</v>
      </c>
      <c r="AW439" s="1635">
        <f>AW438/AU438</f>
        <v>0.23748942993816052</v>
      </c>
      <c r="AX439" s="1635">
        <f>AX438/AU438</f>
        <v>0.32455995342481403</v>
      </c>
      <c r="AY439" s="1074"/>
      <c r="AZ439" s="1075" t="s">
        <v>641</v>
      </c>
      <c r="BA439" s="1076"/>
      <c r="BB439" s="1076"/>
      <c r="BC439" s="1635">
        <f>SUM(BD439:BF439)</f>
        <v>0.99999999999999978</v>
      </c>
      <c r="BD439" s="1635">
        <f>BD438/BC438</f>
        <v>0.43795061663702523</v>
      </c>
      <c r="BE439" s="1635">
        <f>BE438/BC438</f>
        <v>0.23748942993816052</v>
      </c>
      <c r="BF439" s="1635">
        <f>BF438/BC438</f>
        <v>0.32455995342481403</v>
      </c>
      <c r="BG439" s="1074"/>
      <c r="BH439" s="1075" t="s">
        <v>641</v>
      </c>
      <c r="BI439" s="1076"/>
      <c r="BJ439" s="1076"/>
      <c r="BK439" s="1635">
        <f>SUM(BL439:BN439)</f>
        <v>0.99999999999999978</v>
      </c>
      <c r="BL439" s="1635">
        <f>BL438/BK438</f>
        <v>0.43795061663702523</v>
      </c>
      <c r="BM439" s="1635">
        <f>BM438/BK438</f>
        <v>0.23748942993816052</v>
      </c>
      <c r="BN439" s="1635">
        <f>BN438/BK438</f>
        <v>0.32455995342481403</v>
      </c>
      <c r="BO439" s="1074"/>
      <c r="BP439" s="1075" t="s">
        <v>641</v>
      </c>
      <c r="BQ439" s="1076"/>
      <c r="BR439" s="1076"/>
      <c r="BS439" s="1635">
        <f>SUM(BT439:BV439)</f>
        <v>0.99999999999999978</v>
      </c>
      <c r="BT439" s="1635">
        <f>BT438/BS438</f>
        <v>0.43795061663702523</v>
      </c>
      <c r="BU439" s="1635">
        <f>BU438/BS438</f>
        <v>0.23748942993816052</v>
      </c>
      <c r="BV439" s="1635">
        <f>BV438/BS438</f>
        <v>0.32455995342481403</v>
      </c>
      <c r="BW439" s="1074"/>
      <c r="BX439" s="1075" t="s">
        <v>641</v>
      </c>
      <c r="BY439" s="1076"/>
      <c r="BZ439" s="1076"/>
      <c r="CA439" s="1635">
        <f>SUM(CB439:CD439)</f>
        <v>0.99999999999999978</v>
      </c>
      <c r="CB439" s="1635">
        <f>CB438/CA438</f>
        <v>0.43795061663702523</v>
      </c>
      <c r="CC439" s="1635">
        <f>CC438/CA438</f>
        <v>0.23748942993816052</v>
      </c>
      <c r="CD439" s="1635">
        <f>CD438/CA438</f>
        <v>0.32455995342481403</v>
      </c>
      <c r="CE439" s="1074"/>
      <c r="CF439" s="1075" t="s">
        <v>641</v>
      </c>
      <c r="CG439" s="1076"/>
      <c r="CH439" s="1076"/>
      <c r="CI439" s="1635">
        <f>SUM(CJ439:CL439)</f>
        <v>0.99999999999999978</v>
      </c>
      <c r="CJ439" s="1635">
        <f>CJ438/CI438</f>
        <v>0.43795061663702523</v>
      </c>
      <c r="CK439" s="1635">
        <f>CK438/CI438</f>
        <v>0.23748942993816052</v>
      </c>
      <c r="CL439" s="1635">
        <f>CL438/CI438</f>
        <v>0.32455995342481403</v>
      </c>
      <c r="CM439" s="1074"/>
      <c r="CN439" s="1075" t="s">
        <v>641</v>
      </c>
      <c r="CO439" s="1076"/>
      <c r="CP439" s="1076"/>
      <c r="CQ439" s="1635">
        <f>SUM(CR439:CT439)</f>
        <v>0.99999999999999978</v>
      </c>
      <c r="CR439" s="1635">
        <f>CR438/CQ438</f>
        <v>0.43795061663702523</v>
      </c>
      <c r="CS439" s="1635">
        <f>CS438/CQ438</f>
        <v>0.23748942993816052</v>
      </c>
      <c r="CT439" s="1635">
        <f>CT438/CQ438</f>
        <v>0.32455995342481403</v>
      </c>
      <c r="CU439" s="1074"/>
      <c r="CV439" s="1075" t="s">
        <v>641</v>
      </c>
      <c r="CW439" s="1076"/>
      <c r="CX439" s="1076"/>
      <c r="CY439" s="1635">
        <f>SUM(CZ439:DB439)</f>
        <v>0.99999999999999978</v>
      </c>
      <c r="CZ439" s="1635">
        <f>CZ438/CY438</f>
        <v>0.43795061663702523</v>
      </c>
      <c r="DA439" s="1635">
        <f>DA438/CY438</f>
        <v>0.23748942993816052</v>
      </c>
      <c r="DB439" s="1635">
        <f>DB438/CY438</f>
        <v>0.32455995342481403</v>
      </c>
      <c r="DC439" s="1074"/>
      <c r="DD439" s="1075" t="s">
        <v>641</v>
      </c>
      <c r="DE439" s="1076"/>
      <c r="DF439" s="1076"/>
      <c r="DG439" s="1635">
        <f>SUM(DH439:DJ439)</f>
        <v>0.99999999999999978</v>
      </c>
      <c r="DH439" s="1635">
        <f>DH438/DG438</f>
        <v>0.43795061663702523</v>
      </c>
      <c r="DI439" s="1635">
        <f>DI438/DG438</f>
        <v>0.23748942993816052</v>
      </c>
      <c r="DJ439" s="1635">
        <f>DJ438/DG438</f>
        <v>0.32455995342481403</v>
      </c>
      <c r="DK439" s="1074"/>
      <c r="DL439" s="1075" t="s">
        <v>641</v>
      </c>
      <c r="DM439" s="1076"/>
      <c r="DN439" s="1076"/>
      <c r="DO439" s="1635">
        <f>SUM(DP439:DR439)</f>
        <v>0.99999999999999978</v>
      </c>
      <c r="DP439" s="1635">
        <f>DP438/DO438</f>
        <v>0.43795061663702523</v>
      </c>
      <c r="DQ439" s="1635">
        <f>DQ438/DO438</f>
        <v>0.23748942993816052</v>
      </c>
      <c r="DR439" s="1635">
        <f>DR438/DO438</f>
        <v>0.32455995342481403</v>
      </c>
      <c r="DS439" s="1074"/>
      <c r="DT439" s="1075" t="s">
        <v>641</v>
      </c>
      <c r="DU439" s="1076"/>
      <c r="DV439" s="1076"/>
      <c r="DW439" s="1635">
        <f>SUM(DX439:DZ439)</f>
        <v>0.99999999999999978</v>
      </c>
      <c r="DX439" s="1635">
        <f>DX438/DW438</f>
        <v>0.43795061663702523</v>
      </c>
      <c r="DY439" s="1635">
        <f>DY438/DW438</f>
        <v>0.23748942993816052</v>
      </c>
      <c r="DZ439" s="1635">
        <f>DZ438/DW438</f>
        <v>0.32455995342481403</v>
      </c>
      <c r="EA439" s="1074"/>
      <c r="EB439" s="1075" t="s">
        <v>641</v>
      </c>
      <c r="EC439" s="1076"/>
      <c r="ED439" s="1076"/>
      <c r="EE439" s="1635">
        <f>SUM(EF439:EH439)</f>
        <v>0.99999999999999978</v>
      </c>
      <c r="EF439" s="1635">
        <f>EF438/EE438</f>
        <v>0.43795061663702523</v>
      </c>
      <c r="EG439" s="1635">
        <f>EG438/EE438</f>
        <v>0.23748942993816052</v>
      </c>
      <c r="EH439" s="1635">
        <f>EH438/EE438</f>
        <v>0.32455995342481403</v>
      </c>
      <c r="EI439" s="1074"/>
      <c r="EJ439" s="1075" t="s">
        <v>641</v>
      </c>
      <c r="EK439" s="1076"/>
      <c r="EL439" s="1076"/>
      <c r="EM439" s="1635">
        <f>SUM(EN439:EP439)</f>
        <v>0.99999999999999978</v>
      </c>
      <c r="EN439" s="1635">
        <f>EN438/EM438</f>
        <v>0.43795061663702523</v>
      </c>
      <c r="EO439" s="1635">
        <f>EO438/EM438</f>
        <v>0.23748942993816052</v>
      </c>
      <c r="EP439" s="1635">
        <f>EP438/EM438</f>
        <v>0.32455995342481403</v>
      </c>
      <c r="EQ439" s="1074"/>
      <c r="ER439" s="1075" t="s">
        <v>641</v>
      </c>
      <c r="ES439" s="1076"/>
      <c r="ET439" s="1076"/>
      <c r="EU439" s="1635">
        <f>SUM(EV439:EX439)</f>
        <v>0.99999999999999978</v>
      </c>
      <c r="EV439" s="1635">
        <f>EV438/EU438</f>
        <v>0.43795061663702523</v>
      </c>
      <c r="EW439" s="1635">
        <f>EW438/EU438</f>
        <v>0.23748942993816052</v>
      </c>
      <c r="EX439" s="1635">
        <f>EX438/EU438</f>
        <v>0.32455995342481403</v>
      </c>
      <c r="EY439" s="1074"/>
      <c r="EZ439" s="1075" t="s">
        <v>641</v>
      </c>
      <c r="FA439" s="1076"/>
      <c r="FB439" s="1076"/>
      <c r="FC439" s="1635">
        <f>SUM(FD439:FF439)</f>
        <v>0.99999999999999978</v>
      </c>
      <c r="FD439" s="1635">
        <f>FD438/FC438</f>
        <v>0.43795061663702523</v>
      </c>
      <c r="FE439" s="1635">
        <f>FE438/FC438</f>
        <v>0.23748942993816052</v>
      </c>
      <c r="FF439" s="1635">
        <f>FF438/FC438</f>
        <v>0.32455995342481403</v>
      </c>
      <c r="FG439" s="1074"/>
      <c r="FH439" s="1075" t="s">
        <v>641</v>
      </c>
      <c r="FI439" s="1076"/>
      <c r="FJ439" s="1076"/>
      <c r="FK439" s="1635">
        <f>SUM(FL439:FN439)</f>
        <v>0.99999999999999978</v>
      </c>
      <c r="FL439" s="1635">
        <f>FL438/FK438</f>
        <v>0.43795061663702523</v>
      </c>
      <c r="FM439" s="1635">
        <f>FM438/FK438</f>
        <v>0.23748942993816052</v>
      </c>
      <c r="FN439" s="1635">
        <f>FN438/FK438</f>
        <v>0.32455995342481403</v>
      </c>
      <c r="FO439" s="1074"/>
    </row>
    <row r="440" spans="2:171" ht="16.5" thickBot="1" x14ac:dyDescent="0.3">
      <c r="K440" s="1079"/>
      <c r="S440" s="1074"/>
      <c r="AA440" s="1074"/>
      <c r="AI440" s="1074"/>
      <c r="AQ440" s="1074"/>
      <c r="AY440" s="1074"/>
      <c r="BG440" s="1074"/>
      <c r="BO440" s="1074"/>
      <c r="BW440" s="1074"/>
      <c r="CE440" s="1074"/>
      <c r="CM440" s="1074"/>
      <c r="CU440" s="1074"/>
      <c r="DC440" s="1074"/>
      <c r="DK440" s="1074"/>
      <c r="DS440" s="1074"/>
      <c r="EA440" s="1074"/>
      <c r="EI440" s="1074"/>
      <c r="EQ440" s="1074"/>
      <c r="EY440" s="1074"/>
      <c r="FG440" s="1074"/>
      <c r="FO440" s="1074"/>
    </row>
    <row r="441" spans="2:171" ht="17.25" thickTop="1" thickBot="1" x14ac:dyDescent="0.3">
      <c r="D441" s="1072"/>
      <c r="E441" s="1080"/>
      <c r="F441" s="1080"/>
      <c r="G441" s="1081"/>
      <c r="H441" s="1082"/>
      <c r="I441" s="1082"/>
      <c r="J441" s="1083"/>
      <c r="K441" s="1074"/>
      <c r="O441" s="1081"/>
      <c r="P441" s="1082"/>
      <c r="Q441" s="1082"/>
      <c r="R441" s="1083"/>
      <c r="S441" s="1074"/>
      <c r="W441" s="1081"/>
      <c r="X441" s="1082"/>
      <c r="Y441" s="1082"/>
      <c r="Z441" s="1083"/>
      <c r="AA441" s="1074"/>
      <c r="AE441" s="1081"/>
      <c r="AF441" s="1082"/>
      <c r="AG441" s="1082"/>
      <c r="AH441" s="1083"/>
      <c r="AI441" s="1074"/>
      <c r="AM441" s="1081"/>
      <c r="AN441" s="1082"/>
      <c r="AO441" s="1082"/>
      <c r="AP441" s="1083"/>
      <c r="AQ441" s="1074"/>
      <c r="AU441" s="1081"/>
      <c r="AV441" s="1082"/>
      <c r="AW441" s="1082"/>
      <c r="AX441" s="1083"/>
      <c r="AY441" s="1074"/>
      <c r="BC441" s="1081"/>
      <c r="BD441" s="1082"/>
      <c r="BE441" s="1082"/>
      <c r="BF441" s="1083"/>
      <c r="BG441" s="1074"/>
      <c r="BK441" s="1081"/>
      <c r="BL441" s="1082"/>
      <c r="BM441" s="1082"/>
      <c r="BN441" s="1083"/>
      <c r="BO441" s="1074"/>
      <c r="BS441" s="1081"/>
      <c r="BT441" s="1082"/>
      <c r="BU441" s="1082"/>
      <c r="BV441" s="1083"/>
      <c r="BW441" s="1074"/>
      <c r="CA441" s="1081"/>
      <c r="CB441" s="1082"/>
      <c r="CC441" s="1082"/>
      <c r="CD441" s="1083"/>
      <c r="CE441" s="1074"/>
      <c r="CI441" s="1081"/>
      <c r="CJ441" s="1082"/>
      <c r="CK441" s="1082"/>
      <c r="CL441" s="1083"/>
      <c r="CM441" s="1074"/>
      <c r="CQ441" s="1081"/>
      <c r="CR441" s="1082"/>
      <c r="CS441" s="1082"/>
      <c r="CT441" s="1083"/>
      <c r="CU441" s="1074"/>
      <c r="CY441" s="1081"/>
      <c r="CZ441" s="1082"/>
      <c r="DA441" s="1082"/>
      <c r="DB441" s="1083"/>
      <c r="DC441" s="1074"/>
      <c r="DG441" s="1081"/>
      <c r="DH441" s="1082"/>
      <c r="DI441" s="1082"/>
      <c r="DJ441" s="1083"/>
      <c r="DK441" s="1074"/>
      <c r="DO441" s="1081"/>
      <c r="DP441" s="1082"/>
      <c r="DQ441" s="1082"/>
      <c r="DR441" s="1083"/>
      <c r="DS441" s="1074"/>
      <c r="DW441" s="1081"/>
      <c r="DX441" s="1082"/>
      <c r="DY441" s="1082"/>
      <c r="DZ441" s="1083"/>
      <c r="EA441" s="1074"/>
      <c r="EE441" s="1081"/>
      <c r="EF441" s="1082"/>
      <c r="EG441" s="1082"/>
      <c r="EH441" s="1083"/>
      <c r="EI441" s="1074"/>
      <c r="EM441" s="1081"/>
      <c r="EN441" s="1082"/>
      <c r="EO441" s="1082"/>
      <c r="EP441" s="1083"/>
      <c r="EQ441" s="1074"/>
      <c r="EU441" s="1081"/>
      <c r="EV441" s="1082"/>
      <c r="EW441" s="1082"/>
      <c r="EX441" s="1083"/>
      <c r="EY441" s="1074"/>
      <c r="FC441" s="1081"/>
      <c r="FD441" s="1082"/>
      <c r="FE441" s="1082"/>
      <c r="FF441" s="1083"/>
      <c r="FG441" s="1074"/>
      <c r="FK441" s="1081"/>
      <c r="FL441" s="1082"/>
      <c r="FM441" s="1082"/>
      <c r="FN441" s="1083"/>
      <c r="FO441" s="1074"/>
    </row>
    <row r="442" spans="2:171" x14ac:dyDescent="0.25">
      <c r="D442" s="1084"/>
      <c r="E442" s="1085"/>
      <c r="F442" s="1080"/>
      <c r="G442" s="1086"/>
      <c r="H442" s="1087"/>
      <c r="I442" s="1087"/>
      <c r="J442" s="1088"/>
      <c r="K442" s="1074"/>
      <c r="O442" s="1086"/>
      <c r="P442" s="1087"/>
      <c r="Q442" s="1087"/>
      <c r="R442" s="1088"/>
      <c r="S442" s="1074"/>
      <c r="W442" s="1086"/>
      <c r="X442" s="1087"/>
      <c r="Y442" s="1087"/>
      <c r="Z442" s="1088"/>
      <c r="AA442" s="1074"/>
      <c r="AE442" s="1086"/>
      <c r="AF442" s="1087"/>
      <c r="AG442" s="1087"/>
      <c r="AH442" s="1088"/>
      <c r="AI442" s="1074"/>
      <c r="AM442" s="1086"/>
      <c r="AN442" s="1087"/>
      <c r="AO442" s="1087"/>
      <c r="AP442" s="1088"/>
      <c r="AQ442" s="1074"/>
      <c r="AU442" s="1086"/>
      <c r="AV442" s="1087"/>
      <c r="AW442" s="1087"/>
      <c r="AX442" s="1088"/>
      <c r="AY442" s="1074"/>
      <c r="BC442" s="1086"/>
      <c r="BD442" s="1087"/>
      <c r="BE442" s="1087"/>
      <c r="BF442" s="1088"/>
      <c r="BG442" s="1074"/>
      <c r="BK442" s="1086"/>
      <c r="BL442" s="1087"/>
      <c r="BM442" s="1087"/>
      <c r="BN442" s="1088"/>
      <c r="BO442" s="1074"/>
      <c r="BS442" s="1086"/>
      <c r="BT442" s="1087"/>
      <c r="BU442" s="1087"/>
      <c r="BV442" s="1088"/>
      <c r="BW442" s="1074"/>
      <c r="CA442" s="1086"/>
      <c r="CB442" s="1087"/>
      <c r="CC442" s="1087"/>
      <c r="CD442" s="1088"/>
      <c r="CE442" s="1074"/>
      <c r="CI442" s="1086"/>
      <c r="CJ442" s="1087"/>
      <c r="CK442" s="1087"/>
      <c r="CL442" s="1088"/>
      <c r="CM442" s="1074"/>
      <c r="CQ442" s="1086"/>
      <c r="CR442" s="1087"/>
      <c r="CS442" s="1087"/>
      <c r="CT442" s="1088"/>
      <c r="CU442" s="1074"/>
      <c r="CY442" s="1086"/>
      <c r="CZ442" s="1087"/>
      <c r="DA442" s="1087"/>
      <c r="DB442" s="1088"/>
      <c r="DC442" s="1074"/>
      <c r="DG442" s="1086"/>
      <c r="DH442" s="1087"/>
      <c r="DI442" s="1087"/>
      <c r="DJ442" s="1088"/>
      <c r="DK442" s="1074"/>
      <c r="DO442" s="1086"/>
      <c r="DP442" s="1087"/>
      <c r="DQ442" s="1087"/>
      <c r="DR442" s="1088"/>
      <c r="DS442" s="1074"/>
      <c r="DW442" s="1086"/>
      <c r="DX442" s="1087"/>
      <c r="DY442" s="1087"/>
      <c r="DZ442" s="1088"/>
      <c r="EA442" s="1074"/>
      <c r="EE442" s="1086"/>
      <c r="EF442" s="1087"/>
      <c r="EG442" s="1087"/>
      <c r="EH442" s="1088"/>
      <c r="EI442" s="1074"/>
      <c r="EM442" s="1086"/>
      <c r="EN442" s="1087"/>
      <c r="EO442" s="1087"/>
      <c r="EP442" s="1088"/>
      <c r="EQ442" s="1074"/>
      <c r="EU442" s="1086"/>
      <c r="EV442" s="1087"/>
      <c r="EW442" s="1087"/>
      <c r="EX442" s="1088"/>
      <c r="EY442" s="1074"/>
      <c r="FC442" s="1086"/>
      <c r="FD442" s="1087"/>
      <c r="FE442" s="1087"/>
      <c r="FF442" s="1088"/>
      <c r="FG442" s="1074"/>
      <c r="FK442" s="1086"/>
      <c r="FL442" s="1087"/>
      <c r="FM442" s="1087"/>
      <c r="FN442" s="1088"/>
      <c r="FO442" s="1074"/>
    </row>
    <row r="443" spans="2:171" x14ac:dyDescent="0.25">
      <c r="D443" s="1084"/>
      <c r="E443" s="1085"/>
      <c r="F443" s="1080"/>
      <c r="G443" s="1086" t="s">
        <v>392</v>
      </c>
      <c r="H443" s="1089">
        <v>0</v>
      </c>
      <c r="I443" s="1089">
        <v>0</v>
      </c>
      <c r="J443" s="1090">
        <v>1</v>
      </c>
      <c r="K443" s="1079"/>
      <c r="O443" s="1086" t="s">
        <v>392</v>
      </c>
      <c r="P443" s="1089">
        <v>0</v>
      </c>
      <c r="Q443" s="1089">
        <v>0</v>
      </c>
      <c r="R443" s="1090">
        <v>1</v>
      </c>
      <c r="S443" s="1079"/>
      <c r="W443" s="1086" t="s">
        <v>392</v>
      </c>
      <c r="X443" s="1089">
        <v>0</v>
      </c>
      <c r="Y443" s="1089">
        <v>0</v>
      </c>
      <c r="Z443" s="1090">
        <v>1</v>
      </c>
      <c r="AA443" s="1079"/>
      <c r="AE443" s="1086" t="s">
        <v>392</v>
      </c>
      <c r="AF443" s="1089">
        <v>0</v>
      </c>
      <c r="AG443" s="1089">
        <v>0</v>
      </c>
      <c r="AH443" s="1090">
        <v>1</v>
      </c>
      <c r="AI443" s="1079"/>
      <c r="AM443" s="1086" t="s">
        <v>392</v>
      </c>
      <c r="AN443" s="1089">
        <v>0</v>
      </c>
      <c r="AO443" s="1089">
        <v>0</v>
      </c>
      <c r="AP443" s="1090">
        <v>1</v>
      </c>
      <c r="AQ443" s="1079"/>
      <c r="AU443" s="1086" t="s">
        <v>392</v>
      </c>
      <c r="AV443" s="1089">
        <v>0</v>
      </c>
      <c r="AW443" s="1089">
        <v>0</v>
      </c>
      <c r="AX443" s="1090">
        <v>1</v>
      </c>
      <c r="AY443" s="1079"/>
      <c r="BC443" s="1086" t="s">
        <v>392</v>
      </c>
      <c r="BD443" s="1089">
        <v>0</v>
      </c>
      <c r="BE443" s="1089">
        <v>0</v>
      </c>
      <c r="BF443" s="1090">
        <v>1</v>
      </c>
      <c r="BG443" s="1079"/>
      <c r="BK443" s="1086" t="s">
        <v>392</v>
      </c>
      <c r="BL443" s="1089">
        <v>0</v>
      </c>
      <c r="BM443" s="1089">
        <v>0</v>
      </c>
      <c r="BN443" s="1090">
        <v>1</v>
      </c>
      <c r="BO443" s="1079"/>
      <c r="BS443" s="1086" t="s">
        <v>392</v>
      </c>
      <c r="BT443" s="1089">
        <v>0</v>
      </c>
      <c r="BU443" s="1089">
        <v>0</v>
      </c>
      <c r="BV443" s="1090">
        <v>1</v>
      </c>
      <c r="BW443" s="1079"/>
      <c r="CA443" s="1086" t="s">
        <v>392</v>
      </c>
      <c r="CB443" s="1089">
        <v>0</v>
      </c>
      <c r="CC443" s="1089">
        <v>0</v>
      </c>
      <c r="CD443" s="1090">
        <v>1</v>
      </c>
      <c r="CE443" s="1079"/>
      <c r="CI443" s="1086" t="s">
        <v>392</v>
      </c>
      <c r="CJ443" s="1089">
        <v>0</v>
      </c>
      <c r="CK443" s="1089">
        <v>0</v>
      </c>
      <c r="CL443" s="1090">
        <v>1</v>
      </c>
      <c r="CM443" s="1079"/>
      <c r="CQ443" s="1086" t="s">
        <v>392</v>
      </c>
      <c r="CR443" s="1089">
        <v>0</v>
      </c>
      <c r="CS443" s="1089">
        <v>0</v>
      </c>
      <c r="CT443" s="1090">
        <v>1</v>
      </c>
      <c r="CU443" s="1079"/>
      <c r="CY443" s="1086" t="s">
        <v>392</v>
      </c>
      <c r="CZ443" s="1089">
        <v>0</v>
      </c>
      <c r="DA443" s="1089">
        <v>0</v>
      </c>
      <c r="DB443" s="1090">
        <v>1</v>
      </c>
      <c r="DC443" s="1079"/>
      <c r="DG443" s="1086" t="s">
        <v>392</v>
      </c>
      <c r="DH443" s="1089">
        <v>0</v>
      </c>
      <c r="DI443" s="1089">
        <v>0</v>
      </c>
      <c r="DJ443" s="1090">
        <v>1</v>
      </c>
      <c r="DK443" s="1079"/>
      <c r="DO443" s="1086" t="s">
        <v>392</v>
      </c>
      <c r="DP443" s="1089">
        <v>0</v>
      </c>
      <c r="DQ443" s="1089">
        <v>0</v>
      </c>
      <c r="DR443" s="1090">
        <v>1</v>
      </c>
      <c r="DS443" s="1079"/>
      <c r="DW443" s="1086" t="s">
        <v>392</v>
      </c>
      <c r="DX443" s="1089">
        <v>0</v>
      </c>
      <c r="DY443" s="1089">
        <v>0</v>
      </c>
      <c r="DZ443" s="1090">
        <v>1</v>
      </c>
      <c r="EA443" s="1079"/>
      <c r="EE443" s="1086" t="s">
        <v>392</v>
      </c>
      <c r="EF443" s="1089">
        <v>0</v>
      </c>
      <c r="EG443" s="1089">
        <v>0</v>
      </c>
      <c r="EH443" s="1090">
        <v>1</v>
      </c>
      <c r="EI443" s="1079"/>
      <c r="EM443" s="1086" t="s">
        <v>392</v>
      </c>
      <c r="EN443" s="1089">
        <v>0</v>
      </c>
      <c r="EO443" s="1089">
        <v>0</v>
      </c>
      <c r="EP443" s="1090">
        <v>1</v>
      </c>
      <c r="EQ443" s="1079"/>
      <c r="EU443" s="1086" t="s">
        <v>392</v>
      </c>
      <c r="EV443" s="1089">
        <v>0</v>
      </c>
      <c r="EW443" s="1089">
        <v>0</v>
      </c>
      <c r="EX443" s="1090">
        <v>1</v>
      </c>
      <c r="EY443" s="1079"/>
      <c r="FC443" s="1086" t="s">
        <v>392</v>
      </c>
      <c r="FD443" s="1089">
        <v>0</v>
      </c>
      <c r="FE443" s="1089">
        <v>0</v>
      </c>
      <c r="FF443" s="1090">
        <v>1</v>
      </c>
      <c r="FG443" s="1079"/>
      <c r="FK443" s="1086" t="s">
        <v>392</v>
      </c>
      <c r="FL443" s="1089">
        <v>0</v>
      </c>
      <c r="FM443" s="1089">
        <v>0</v>
      </c>
      <c r="FN443" s="1090">
        <v>1</v>
      </c>
      <c r="FO443" s="1079"/>
    </row>
    <row r="444" spans="2:171" x14ac:dyDescent="0.25">
      <c r="D444" s="1084"/>
      <c r="E444" s="1085"/>
      <c r="F444" s="1080"/>
      <c r="G444" s="1086" t="s">
        <v>394</v>
      </c>
      <c r="H444" s="1089">
        <v>1</v>
      </c>
      <c r="I444" s="1089">
        <v>0</v>
      </c>
      <c r="J444" s="1090">
        <v>0</v>
      </c>
      <c r="K444" s="1074"/>
      <c r="O444" s="1086" t="s">
        <v>394</v>
      </c>
      <c r="P444" s="1089">
        <v>1</v>
      </c>
      <c r="Q444" s="1089">
        <v>0</v>
      </c>
      <c r="R444" s="1090">
        <v>0</v>
      </c>
      <c r="S444" s="1074"/>
      <c r="W444" s="1086" t="s">
        <v>394</v>
      </c>
      <c r="X444" s="1089">
        <v>1</v>
      </c>
      <c r="Y444" s="1089">
        <v>0</v>
      </c>
      <c r="Z444" s="1090">
        <v>0</v>
      </c>
      <c r="AA444" s="1074"/>
      <c r="AE444" s="1086" t="s">
        <v>394</v>
      </c>
      <c r="AF444" s="1089">
        <v>1</v>
      </c>
      <c r="AG444" s="1089">
        <v>0</v>
      </c>
      <c r="AH444" s="1090">
        <v>0</v>
      </c>
      <c r="AI444" s="1074"/>
      <c r="AM444" s="1086" t="s">
        <v>394</v>
      </c>
      <c r="AN444" s="1089">
        <v>1</v>
      </c>
      <c r="AO444" s="1089">
        <v>0</v>
      </c>
      <c r="AP444" s="1090">
        <v>0</v>
      </c>
      <c r="AQ444" s="1074"/>
      <c r="AU444" s="1086" t="s">
        <v>394</v>
      </c>
      <c r="AV444" s="1089">
        <v>1</v>
      </c>
      <c r="AW444" s="1089">
        <v>0</v>
      </c>
      <c r="AX444" s="1090">
        <v>0</v>
      </c>
      <c r="AY444" s="1074"/>
      <c r="BC444" s="1086" t="s">
        <v>394</v>
      </c>
      <c r="BD444" s="1089">
        <v>1</v>
      </c>
      <c r="BE444" s="1089">
        <v>0</v>
      </c>
      <c r="BF444" s="1090">
        <v>0</v>
      </c>
      <c r="BG444" s="1074"/>
      <c r="BK444" s="1086" t="s">
        <v>394</v>
      </c>
      <c r="BL444" s="1089">
        <v>1</v>
      </c>
      <c r="BM444" s="1089">
        <v>0</v>
      </c>
      <c r="BN444" s="1090">
        <v>0</v>
      </c>
      <c r="BO444" s="1074"/>
      <c r="BS444" s="1086" t="s">
        <v>394</v>
      </c>
      <c r="BT444" s="1089">
        <v>1</v>
      </c>
      <c r="BU444" s="1089">
        <v>0</v>
      </c>
      <c r="BV444" s="1090">
        <v>0</v>
      </c>
      <c r="BW444" s="1074"/>
      <c r="CA444" s="1086" t="s">
        <v>394</v>
      </c>
      <c r="CB444" s="1089">
        <v>1</v>
      </c>
      <c r="CC444" s="1089">
        <v>0</v>
      </c>
      <c r="CD444" s="1090">
        <v>0</v>
      </c>
      <c r="CE444" s="1074"/>
      <c r="CI444" s="1086" t="s">
        <v>394</v>
      </c>
      <c r="CJ444" s="1089">
        <v>1</v>
      </c>
      <c r="CK444" s="1089">
        <v>0</v>
      </c>
      <c r="CL444" s="1090">
        <v>0</v>
      </c>
      <c r="CM444" s="1074"/>
      <c r="CQ444" s="1086" t="s">
        <v>394</v>
      </c>
      <c r="CR444" s="1089">
        <v>1</v>
      </c>
      <c r="CS444" s="1089">
        <v>0</v>
      </c>
      <c r="CT444" s="1090">
        <v>0</v>
      </c>
      <c r="CU444" s="1074"/>
      <c r="CY444" s="1086" t="s">
        <v>394</v>
      </c>
      <c r="CZ444" s="1089">
        <v>1</v>
      </c>
      <c r="DA444" s="1089">
        <v>0</v>
      </c>
      <c r="DB444" s="1090">
        <v>0</v>
      </c>
      <c r="DC444" s="1074"/>
      <c r="DG444" s="1086" t="s">
        <v>394</v>
      </c>
      <c r="DH444" s="1089">
        <v>1</v>
      </c>
      <c r="DI444" s="1089">
        <v>0</v>
      </c>
      <c r="DJ444" s="1090">
        <v>0</v>
      </c>
      <c r="DK444" s="1074"/>
      <c r="DO444" s="1086" t="s">
        <v>394</v>
      </c>
      <c r="DP444" s="1089">
        <v>1</v>
      </c>
      <c r="DQ444" s="1089">
        <v>0</v>
      </c>
      <c r="DR444" s="1090">
        <v>0</v>
      </c>
      <c r="DS444" s="1074"/>
      <c r="DW444" s="1086" t="s">
        <v>394</v>
      </c>
      <c r="DX444" s="1089">
        <v>1</v>
      </c>
      <c r="DY444" s="1089">
        <v>0</v>
      </c>
      <c r="DZ444" s="1090">
        <v>0</v>
      </c>
      <c r="EA444" s="1074"/>
      <c r="EE444" s="1086" t="s">
        <v>394</v>
      </c>
      <c r="EF444" s="1089">
        <v>1</v>
      </c>
      <c r="EG444" s="1089">
        <v>0</v>
      </c>
      <c r="EH444" s="1090">
        <v>0</v>
      </c>
      <c r="EI444" s="1074"/>
      <c r="EM444" s="1086" t="s">
        <v>394</v>
      </c>
      <c r="EN444" s="1089">
        <v>1</v>
      </c>
      <c r="EO444" s="1089">
        <v>0</v>
      </c>
      <c r="EP444" s="1090">
        <v>0</v>
      </c>
      <c r="EQ444" s="1074"/>
      <c r="EU444" s="1086" t="s">
        <v>394</v>
      </c>
      <c r="EV444" s="1089">
        <v>1</v>
      </c>
      <c r="EW444" s="1089">
        <v>0</v>
      </c>
      <c r="EX444" s="1090">
        <v>0</v>
      </c>
      <c r="EY444" s="1074"/>
      <c r="FC444" s="1086" t="s">
        <v>394</v>
      </c>
      <c r="FD444" s="1089">
        <v>1</v>
      </c>
      <c r="FE444" s="1089">
        <v>0</v>
      </c>
      <c r="FF444" s="1090">
        <v>0</v>
      </c>
      <c r="FG444" s="1074"/>
      <c r="FK444" s="1086" t="s">
        <v>394</v>
      </c>
      <c r="FL444" s="1089">
        <v>1</v>
      </c>
      <c r="FM444" s="1089">
        <v>0</v>
      </c>
      <c r="FN444" s="1090">
        <v>0</v>
      </c>
      <c r="FO444" s="1074"/>
    </row>
    <row r="445" spans="2:171" x14ac:dyDescent="0.25">
      <c r="D445" s="1084"/>
      <c r="E445" s="1085"/>
      <c r="F445" s="1080"/>
      <c r="G445" s="1086" t="s">
        <v>393</v>
      </c>
      <c r="H445" s="1089">
        <v>0</v>
      </c>
      <c r="I445" s="1089">
        <v>1</v>
      </c>
      <c r="J445" s="1090">
        <v>0</v>
      </c>
      <c r="K445" s="1074"/>
      <c r="O445" s="1086" t="s">
        <v>393</v>
      </c>
      <c r="P445" s="1089">
        <v>0</v>
      </c>
      <c r="Q445" s="1089">
        <v>1</v>
      </c>
      <c r="R445" s="1090">
        <v>0</v>
      </c>
      <c r="S445" s="1074"/>
      <c r="W445" s="1086" t="s">
        <v>393</v>
      </c>
      <c r="X445" s="1089">
        <v>0</v>
      </c>
      <c r="Y445" s="1089">
        <v>1</v>
      </c>
      <c r="Z445" s="1090">
        <v>0</v>
      </c>
      <c r="AA445" s="1074"/>
      <c r="AE445" s="1086" t="s">
        <v>393</v>
      </c>
      <c r="AF445" s="1089">
        <v>0</v>
      </c>
      <c r="AG445" s="1089">
        <v>1</v>
      </c>
      <c r="AH445" s="1090">
        <v>0</v>
      </c>
      <c r="AI445" s="1074"/>
      <c r="AM445" s="1086" t="s">
        <v>393</v>
      </c>
      <c r="AN445" s="1089">
        <v>0</v>
      </c>
      <c r="AO445" s="1089">
        <v>1</v>
      </c>
      <c r="AP445" s="1090">
        <v>0</v>
      </c>
      <c r="AQ445" s="1074"/>
      <c r="AU445" s="1086" t="s">
        <v>393</v>
      </c>
      <c r="AV445" s="1089">
        <v>0</v>
      </c>
      <c r="AW445" s="1089">
        <v>1</v>
      </c>
      <c r="AX445" s="1090">
        <v>0</v>
      </c>
      <c r="AY445" s="1074"/>
      <c r="BC445" s="1086" t="s">
        <v>393</v>
      </c>
      <c r="BD445" s="1089">
        <v>0</v>
      </c>
      <c r="BE445" s="1089">
        <v>1</v>
      </c>
      <c r="BF445" s="1090">
        <v>0</v>
      </c>
      <c r="BG445" s="1074"/>
      <c r="BK445" s="1086" t="s">
        <v>393</v>
      </c>
      <c r="BL445" s="1089">
        <v>0</v>
      </c>
      <c r="BM445" s="1089">
        <v>1</v>
      </c>
      <c r="BN445" s="1090">
        <v>0</v>
      </c>
      <c r="BO445" s="1074"/>
      <c r="BS445" s="1086" t="s">
        <v>393</v>
      </c>
      <c r="BT445" s="1089">
        <v>0</v>
      </c>
      <c r="BU445" s="1089">
        <v>1</v>
      </c>
      <c r="BV445" s="1090">
        <v>0</v>
      </c>
      <c r="BW445" s="1074"/>
      <c r="CA445" s="1086" t="s">
        <v>393</v>
      </c>
      <c r="CB445" s="1089">
        <v>0</v>
      </c>
      <c r="CC445" s="1089">
        <v>1</v>
      </c>
      <c r="CD445" s="1090">
        <v>0</v>
      </c>
      <c r="CE445" s="1074"/>
      <c r="CI445" s="1086" t="s">
        <v>393</v>
      </c>
      <c r="CJ445" s="1089">
        <v>0</v>
      </c>
      <c r="CK445" s="1089">
        <v>1</v>
      </c>
      <c r="CL445" s="1090">
        <v>0</v>
      </c>
      <c r="CM445" s="1074"/>
      <c r="CQ445" s="1086" t="s">
        <v>393</v>
      </c>
      <c r="CR445" s="1089">
        <v>0</v>
      </c>
      <c r="CS445" s="1089">
        <v>1</v>
      </c>
      <c r="CT445" s="1090">
        <v>0</v>
      </c>
      <c r="CU445" s="1074"/>
      <c r="CY445" s="1086" t="s">
        <v>393</v>
      </c>
      <c r="CZ445" s="1089">
        <v>0</v>
      </c>
      <c r="DA445" s="1089">
        <v>1</v>
      </c>
      <c r="DB445" s="1090">
        <v>0</v>
      </c>
      <c r="DC445" s="1074"/>
      <c r="DG445" s="1086" t="s">
        <v>393</v>
      </c>
      <c r="DH445" s="1089">
        <v>0</v>
      </c>
      <c r="DI445" s="1089">
        <v>1</v>
      </c>
      <c r="DJ445" s="1090">
        <v>0</v>
      </c>
      <c r="DK445" s="1074"/>
      <c r="DO445" s="1086" t="s">
        <v>393</v>
      </c>
      <c r="DP445" s="1089">
        <v>0</v>
      </c>
      <c r="DQ445" s="1089">
        <v>1</v>
      </c>
      <c r="DR445" s="1090">
        <v>0</v>
      </c>
      <c r="DS445" s="1074"/>
      <c r="DW445" s="1086" t="s">
        <v>393</v>
      </c>
      <c r="DX445" s="1089">
        <v>0</v>
      </c>
      <c r="DY445" s="1089">
        <v>1</v>
      </c>
      <c r="DZ445" s="1090">
        <v>0</v>
      </c>
      <c r="EA445" s="1074"/>
      <c r="EE445" s="1086" t="s">
        <v>393</v>
      </c>
      <c r="EF445" s="1089">
        <v>0</v>
      </c>
      <c r="EG445" s="1089">
        <v>1</v>
      </c>
      <c r="EH445" s="1090">
        <v>0</v>
      </c>
      <c r="EI445" s="1074"/>
      <c r="EM445" s="1086" t="s">
        <v>393</v>
      </c>
      <c r="EN445" s="1089">
        <v>0</v>
      </c>
      <c r="EO445" s="1089">
        <v>1</v>
      </c>
      <c r="EP445" s="1090">
        <v>0</v>
      </c>
      <c r="EQ445" s="1074"/>
      <c r="EU445" s="1086" t="s">
        <v>393</v>
      </c>
      <c r="EV445" s="1089">
        <v>0</v>
      </c>
      <c r="EW445" s="1089">
        <v>1</v>
      </c>
      <c r="EX445" s="1090">
        <v>0</v>
      </c>
      <c r="EY445" s="1074"/>
      <c r="FC445" s="1086" t="s">
        <v>393</v>
      </c>
      <c r="FD445" s="1089">
        <v>0</v>
      </c>
      <c r="FE445" s="1089">
        <v>1</v>
      </c>
      <c r="FF445" s="1090">
        <v>0</v>
      </c>
      <c r="FG445" s="1074"/>
      <c r="FK445" s="1086" t="s">
        <v>393</v>
      </c>
      <c r="FL445" s="1089">
        <v>0</v>
      </c>
      <c r="FM445" s="1089">
        <v>1</v>
      </c>
      <c r="FN445" s="1090">
        <v>0</v>
      </c>
      <c r="FO445" s="1074"/>
    </row>
    <row r="446" spans="2:171" x14ac:dyDescent="0.25">
      <c r="D446" s="1084"/>
      <c r="E446" s="1085"/>
      <c r="F446" s="1080"/>
      <c r="G446" s="1086" t="s">
        <v>90</v>
      </c>
      <c r="H446" s="1089">
        <v>0</v>
      </c>
      <c r="I446" s="1089">
        <v>0</v>
      </c>
      <c r="J446" s="1090">
        <v>0</v>
      </c>
      <c r="K446" s="1079"/>
      <c r="O446" s="1086" t="s">
        <v>90</v>
      </c>
      <c r="P446" s="1089">
        <v>0</v>
      </c>
      <c r="Q446" s="1089">
        <v>0</v>
      </c>
      <c r="R446" s="1090">
        <v>0</v>
      </c>
      <c r="S446" s="1079"/>
      <c r="W446" s="1086" t="s">
        <v>90</v>
      </c>
      <c r="X446" s="1089">
        <v>0</v>
      </c>
      <c r="Y446" s="1089">
        <v>0</v>
      </c>
      <c r="Z446" s="1090">
        <v>0</v>
      </c>
      <c r="AA446" s="1079"/>
      <c r="AE446" s="1086" t="s">
        <v>90</v>
      </c>
      <c r="AF446" s="1089">
        <v>0</v>
      </c>
      <c r="AG446" s="1089">
        <v>0</v>
      </c>
      <c r="AH446" s="1090">
        <v>0</v>
      </c>
      <c r="AI446" s="1079"/>
      <c r="AM446" s="1086" t="s">
        <v>90</v>
      </c>
      <c r="AN446" s="1089">
        <v>0</v>
      </c>
      <c r="AO446" s="1089">
        <v>0</v>
      </c>
      <c r="AP446" s="1090">
        <v>0</v>
      </c>
      <c r="AQ446" s="1079"/>
      <c r="AU446" s="1086" t="s">
        <v>90</v>
      </c>
      <c r="AV446" s="1089">
        <v>0</v>
      </c>
      <c r="AW446" s="1089">
        <v>0</v>
      </c>
      <c r="AX446" s="1090">
        <v>0</v>
      </c>
      <c r="AY446" s="1079"/>
      <c r="BC446" s="1086" t="s">
        <v>90</v>
      </c>
      <c r="BD446" s="1089">
        <v>0</v>
      </c>
      <c r="BE446" s="1089">
        <v>0</v>
      </c>
      <c r="BF446" s="1090">
        <v>0</v>
      </c>
      <c r="BG446" s="1079"/>
      <c r="BK446" s="1086" t="s">
        <v>90</v>
      </c>
      <c r="BL446" s="1089">
        <v>0</v>
      </c>
      <c r="BM446" s="1089">
        <v>0</v>
      </c>
      <c r="BN446" s="1090">
        <v>0</v>
      </c>
      <c r="BO446" s="1079"/>
      <c r="BS446" s="1086" t="s">
        <v>90</v>
      </c>
      <c r="BT446" s="1089">
        <v>0</v>
      </c>
      <c r="BU446" s="1089">
        <v>0</v>
      </c>
      <c r="BV446" s="1090">
        <v>0</v>
      </c>
      <c r="BW446" s="1079"/>
      <c r="CA446" s="1086" t="s">
        <v>90</v>
      </c>
      <c r="CB446" s="1089">
        <v>0</v>
      </c>
      <c r="CC446" s="1089">
        <v>0</v>
      </c>
      <c r="CD446" s="1090">
        <v>0</v>
      </c>
      <c r="CE446" s="1079"/>
      <c r="CI446" s="1086" t="s">
        <v>90</v>
      </c>
      <c r="CJ446" s="1089">
        <v>0</v>
      </c>
      <c r="CK446" s="1089">
        <v>0</v>
      </c>
      <c r="CL446" s="1090">
        <v>0</v>
      </c>
      <c r="CM446" s="1079"/>
      <c r="CQ446" s="1086" t="s">
        <v>90</v>
      </c>
      <c r="CR446" s="1089">
        <v>0</v>
      </c>
      <c r="CS446" s="1089">
        <v>0</v>
      </c>
      <c r="CT446" s="1090">
        <v>0</v>
      </c>
      <c r="CU446" s="1079"/>
      <c r="CY446" s="1086" t="s">
        <v>90</v>
      </c>
      <c r="CZ446" s="1089">
        <v>0</v>
      </c>
      <c r="DA446" s="1089">
        <v>0</v>
      </c>
      <c r="DB446" s="1090">
        <v>0</v>
      </c>
      <c r="DC446" s="1079"/>
      <c r="DG446" s="1086" t="s">
        <v>90</v>
      </c>
      <c r="DH446" s="1089">
        <v>0</v>
      </c>
      <c r="DI446" s="1089">
        <v>0</v>
      </c>
      <c r="DJ446" s="1090">
        <v>0</v>
      </c>
      <c r="DK446" s="1079"/>
      <c r="DO446" s="1086" t="s">
        <v>90</v>
      </c>
      <c r="DP446" s="1089">
        <v>0</v>
      </c>
      <c r="DQ446" s="1089">
        <v>0</v>
      </c>
      <c r="DR446" s="1090">
        <v>0</v>
      </c>
      <c r="DS446" s="1079"/>
      <c r="DW446" s="1086" t="s">
        <v>90</v>
      </c>
      <c r="DX446" s="1089">
        <v>0</v>
      </c>
      <c r="DY446" s="1089">
        <v>0</v>
      </c>
      <c r="DZ446" s="1090">
        <v>0</v>
      </c>
      <c r="EA446" s="1079"/>
      <c r="EE446" s="1086" t="s">
        <v>90</v>
      </c>
      <c r="EF446" s="1089">
        <v>0</v>
      </c>
      <c r="EG446" s="1089">
        <v>0</v>
      </c>
      <c r="EH446" s="1090">
        <v>0</v>
      </c>
      <c r="EI446" s="1079"/>
      <c r="EM446" s="1086" t="s">
        <v>90</v>
      </c>
      <c r="EN446" s="1089">
        <v>0</v>
      </c>
      <c r="EO446" s="1089">
        <v>0</v>
      </c>
      <c r="EP446" s="1090">
        <v>0</v>
      </c>
      <c r="EQ446" s="1079"/>
      <c r="EU446" s="1086" t="s">
        <v>90</v>
      </c>
      <c r="EV446" s="1089">
        <v>0</v>
      </c>
      <c r="EW446" s="1089">
        <v>0</v>
      </c>
      <c r="EX446" s="1090">
        <v>0</v>
      </c>
      <c r="EY446" s="1079"/>
      <c r="FC446" s="1086" t="s">
        <v>90</v>
      </c>
      <c r="FD446" s="1089">
        <v>0</v>
      </c>
      <c r="FE446" s="1089">
        <v>0</v>
      </c>
      <c r="FF446" s="1090">
        <v>0</v>
      </c>
      <c r="FG446" s="1079"/>
      <c r="FK446" s="1086" t="s">
        <v>90</v>
      </c>
      <c r="FL446" s="1089">
        <v>0</v>
      </c>
      <c r="FM446" s="1089">
        <v>0</v>
      </c>
      <c r="FN446" s="1090">
        <v>0</v>
      </c>
      <c r="FO446" s="1079"/>
    </row>
    <row r="447" spans="2:171" x14ac:dyDescent="0.25">
      <c r="D447" s="1084"/>
      <c r="E447" s="1085"/>
      <c r="F447" s="1080"/>
      <c r="G447" s="1086" t="s">
        <v>91</v>
      </c>
      <c r="H447" s="1089">
        <f>H395</f>
        <v>0.32058832897642964</v>
      </c>
      <c r="I447" s="1089">
        <f>I395</f>
        <v>0</v>
      </c>
      <c r="J447" s="1090">
        <f>J395</f>
        <v>0.67941167102357047</v>
      </c>
      <c r="K447" s="1074"/>
      <c r="O447" s="1086" t="s">
        <v>91</v>
      </c>
      <c r="P447" s="1089">
        <f>P395</f>
        <v>0.32058832897642958</v>
      </c>
      <c r="Q447" s="1089">
        <f>Q395</f>
        <v>0.30088498308736378</v>
      </c>
      <c r="R447" s="1090">
        <f>R395</f>
        <v>0.37852668793620659</v>
      </c>
      <c r="S447" s="1074"/>
      <c r="W447" s="1086" t="s">
        <v>91</v>
      </c>
      <c r="X447" s="1089">
        <f>X395</f>
        <v>0.32058832897642958</v>
      </c>
      <c r="Y447" s="1089">
        <f>Y395</f>
        <v>0.30088498308736378</v>
      </c>
      <c r="Z447" s="1090">
        <f>Z395</f>
        <v>0.37852668793620659</v>
      </c>
      <c r="AA447" s="1074"/>
      <c r="AE447" s="1086" t="s">
        <v>91</v>
      </c>
      <c r="AF447" s="1089">
        <f>AF395</f>
        <v>0.32058832897642958</v>
      </c>
      <c r="AG447" s="1089">
        <f>AG395</f>
        <v>0.30088498308736378</v>
      </c>
      <c r="AH447" s="1090">
        <f>AH395</f>
        <v>0.37852668793620659</v>
      </c>
      <c r="AI447" s="1074"/>
      <c r="AM447" s="1086" t="s">
        <v>91</v>
      </c>
      <c r="AN447" s="1089">
        <f>AN395</f>
        <v>0.32058832897642958</v>
      </c>
      <c r="AO447" s="1089">
        <f>AO395</f>
        <v>0.30088498308736378</v>
      </c>
      <c r="AP447" s="1090">
        <f>AP395</f>
        <v>0.37852668793620659</v>
      </c>
      <c r="AQ447" s="1074"/>
      <c r="AU447" s="1086" t="s">
        <v>91</v>
      </c>
      <c r="AV447" s="1089">
        <f>AV395</f>
        <v>0.32058832897642958</v>
      </c>
      <c r="AW447" s="1089">
        <f>AW395</f>
        <v>0.30088498308736378</v>
      </c>
      <c r="AX447" s="1090">
        <f>AX395</f>
        <v>0.37852668793620659</v>
      </c>
      <c r="AY447" s="1074"/>
      <c r="BC447" s="1086" t="s">
        <v>91</v>
      </c>
      <c r="BD447" s="1089">
        <f>BD395</f>
        <v>0.32058832897642958</v>
      </c>
      <c r="BE447" s="1089">
        <f>BE395</f>
        <v>0.30088498308736378</v>
      </c>
      <c r="BF447" s="1090">
        <f>BF395</f>
        <v>0.37852668793620659</v>
      </c>
      <c r="BG447" s="1074"/>
      <c r="BK447" s="1086" t="s">
        <v>91</v>
      </c>
      <c r="BL447" s="1089">
        <f>BL395</f>
        <v>0.32058832897642958</v>
      </c>
      <c r="BM447" s="1089">
        <f>BM395</f>
        <v>0.30088498308736378</v>
      </c>
      <c r="BN447" s="1090">
        <f>BN395</f>
        <v>0.37852668793620659</v>
      </c>
      <c r="BO447" s="1074"/>
      <c r="BS447" s="1086" t="s">
        <v>91</v>
      </c>
      <c r="BT447" s="1089">
        <f>BT395</f>
        <v>0.32058832897642958</v>
      </c>
      <c r="BU447" s="1089">
        <f>BU395</f>
        <v>0.30088498308736378</v>
      </c>
      <c r="BV447" s="1090">
        <f>BV395</f>
        <v>0.37852668793620659</v>
      </c>
      <c r="BW447" s="1074"/>
      <c r="CA447" s="1086" t="s">
        <v>91</v>
      </c>
      <c r="CB447" s="1089">
        <f>CB395</f>
        <v>0.32058832897642958</v>
      </c>
      <c r="CC447" s="1089">
        <f>CC395</f>
        <v>0.30088498308736378</v>
      </c>
      <c r="CD447" s="1090">
        <f>CD395</f>
        <v>0.37852668793620659</v>
      </c>
      <c r="CE447" s="1074"/>
      <c r="CI447" s="1086" t="s">
        <v>91</v>
      </c>
      <c r="CJ447" s="1089">
        <f>CJ395</f>
        <v>0.32058832897642958</v>
      </c>
      <c r="CK447" s="1089">
        <f>CK395</f>
        <v>0.30088498308736378</v>
      </c>
      <c r="CL447" s="1090">
        <f>CL395</f>
        <v>0.37852668793620659</v>
      </c>
      <c r="CM447" s="1074"/>
      <c r="CQ447" s="1086" t="s">
        <v>91</v>
      </c>
      <c r="CR447" s="1089">
        <f>CR395</f>
        <v>0.32058832897642958</v>
      </c>
      <c r="CS447" s="1089">
        <f>CS395</f>
        <v>0.30088498308736378</v>
      </c>
      <c r="CT447" s="1090">
        <f>CT395</f>
        <v>0.37852668793620659</v>
      </c>
      <c r="CU447" s="1074"/>
      <c r="CY447" s="1086" t="s">
        <v>91</v>
      </c>
      <c r="CZ447" s="1089">
        <f>CZ395</f>
        <v>0.32058832897642958</v>
      </c>
      <c r="DA447" s="1089">
        <f>DA395</f>
        <v>0.30088498308736378</v>
      </c>
      <c r="DB447" s="1090">
        <f>DB395</f>
        <v>0.37852668793620659</v>
      </c>
      <c r="DC447" s="1074"/>
      <c r="DG447" s="1086" t="s">
        <v>91</v>
      </c>
      <c r="DH447" s="1089">
        <f>DH395</f>
        <v>0.32058832897642958</v>
      </c>
      <c r="DI447" s="1089">
        <f>DI395</f>
        <v>0.30088498308736378</v>
      </c>
      <c r="DJ447" s="1090">
        <f>DJ395</f>
        <v>0.37852668793620659</v>
      </c>
      <c r="DK447" s="1074"/>
      <c r="DO447" s="1086" t="s">
        <v>91</v>
      </c>
      <c r="DP447" s="1089">
        <f>DP395</f>
        <v>0.32058832897642958</v>
      </c>
      <c r="DQ447" s="1089">
        <f>DQ395</f>
        <v>0.30088498308736378</v>
      </c>
      <c r="DR447" s="1090">
        <f>DR395</f>
        <v>0.37852668793620659</v>
      </c>
      <c r="DS447" s="1074"/>
      <c r="DW447" s="1086" t="s">
        <v>91</v>
      </c>
      <c r="DX447" s="1089">
        <f>DX395</f>
        <v>0.32058832897642958</v>
      </c>
      <c r="DY447" s="1089">
        <f>DY395</f>
        <v>0.30088498308736378</v>
      </c>
      <c r="DZ447" s="1090">
        <f>DZ395</f>
        <v>0.37852668793620659</v>
      </c>
      <c r="EA447" s="1074"/>
      <c r="EE447" s="1086" t="s">
        <v>91</v>
      </c>
      <c r="EF447" s="1089">
        <f>EF395</f>
        <v>0.32058832897642958</v>
      </c>
      <c r="EG447" s="1089">
        <f>EG395</f>
        <v>0.30088498308736378</v>
      </c>
      <c r="EH447" s="1090">
        <f>EH395</f>
        <v>0.37852668793620659</v>
      </c>
      <c r="EI447" s="1074"/>
      <c r="EM447" s="1086" t="s">
        <v>91</v>
      </c>
      <c r="EN447" s="1089">
        <f>EN395</f>
        <v>0.32058832897642958</v>
      </c>
      <c r="EO447" s="1089">
        <f>EO395</f>
        <v>0.30088498308736378</v>
      </c>
      <c r="EP447" s="1090">
        <f>EP395</f>
        <v>0.37852668793620659</v>
      </c>
      <c r="EQ447" s="1074"/>
      <c r="EU447" s="1086" t="s">
        <v>91</v>
      </c>
      <c r="EV447" s="1089">
        <f>EV395</f>
        <v>0.32058832897642958</v>
      </c>
      <c r="EW447" s="1089">
        <f>EW395</f>
        <v>0.30088498308736378</v>
      </c>
      <c r="EX447" s="1090">
        <f>EX395</f>
        <v>0.37852668793620659</v>
      </c>
      <c r="EY447" s="1074"/>
      <c r="FC447" s="1086" t="s">
        <v>91</v>
      </c>
      <c r="FD447" s="1089">
        <f>FD395</f>
        <v>0.32058832897642958</v>
      </c>
      <c r="FE447" s="1089">
        <f>FE395</f>
        <v>0.30088498308736378</v>
      </c>
      <c r="FF447" s="1090">
        <f>FF395</f>
        <v>0.37852668793620659</v>
      </c>
      <c r="FG447" s="1074"/>
      <c r="FK447" s="1086" t="s">
        <v>91</v>
      </c>
      <c r="FL447" s="1089">
        <f>FL395</f>
        <v>0.32058832897642958</v>
      </c>
      <c r="FM447" s="1089">
        <f>FM395</f>
        <v>0.30088498308736378</v>
      </c>
      <c r="FN447" s="1090">
        <f>FN395</f>
        <v>0.37852668793620659</v>
      </c>
      <c r="FO447" s="1074"/>
    </row>
    <row r="448" spans="2:171" x14ac:dyDescent="0.25">
      <c r="D448" s="1084"/>
      <c r="E448" s="1085"/>
      <c r="F448" s="1080"/>
      <c r="G448" s="1086" t="s">
        <v>93</v>
      </c>
      <c r="H448" s="1089">
        <f>H439</f>
        <v>0.43795061663702523</v>
      </c>
      <c r="I448" s="1089">
        <f>I439</f>
        <v>0</v>
      </c>
      <c r="J448" s="1090">
        <f>J439</f>
        <v>0.56204938336297461</v>
      </c>
      <c r="K448" s="1074"/>
      <c r="O448" s="1086" t="s">
        <v>93</v>
      </c>
      <c r="P448" s="1089">
        <f>P439</f>
        <v>0.43795061663702523</v>
      </c>
      <c r="Q448" s="1089">
        <f>Q439</f>
        <v>0.23748942993816052</v>
      </c>
      <c r="R448" s="1090">
        <f>R439</f>
        <v>0.32455995342481403</v>
      </c>
      <c r="S448" s="1074"/>
      <c r="W448" s="1086" t="s">
        <v>93</v>
      </c>
      <c r="X448" s="1089">
        <f>X439</f>
        <v>0.43795061663702523</v>
      </c>
      <c r="Y448" s="1089">
        <f>Y439</f>
        <v>0.23748942993816052</v>
      </c>
      <c r="Z448" s="1090">
        <f>Z439</f>
        <v>0.32455995342481403</v>
      </c>
      <c r="AA448" s="1074"/>
      <c r="AE448" s="1086" t="s">
        <v>93</v>
      </c>
      <c r="AF448" s="1089">
        <f>AF439</f>
        <v>0.43795061663702523</v>
      </c>
      <c r="AG448" s="1089">
        <f>AG439</f>
        <v>0.23748942993816052</v>
      </c>
      <c r="AH448" s="1090">
        <f>AH439</f>
        <v>0.32455995342481403</v>
      </c>
      <c r="AI448" s="1074"/>
      <c r="AM448" s="1086" t="s">
        <v>93</v>
      </c>
      <c r="AN448" s="1089">
        <f>AN439</f>
        <v>0.43795061663702523</v>
      </c>
      <c r="AO448" s="1089">
        <f>AO439</f>
        <v>0.23748942993816052</v>
      </c>
      <c r="AP448" s="1090">
        <f>AP439</f>
        <v>0.32455995342481403</v>
      </c>
      <c r="AQ448" s="1074"/>
      <c r="AU448" s="1086" t="s">
        <v>93</v>
      </c>
      <c r="AV448" s="1089">
        <f>AV439</f>
        <v>0.43795061663702523</v>
      </c>
      <c r="AW448" s="1089">
        <f>AW439</f>
        <v>0.23748942993816052</v>
      </c>
      <c r="AX448" s="1090">
        <f>AX439</f>
        <v>0.32455995342481403</v>
      </c>
      <c r="AY448" s="1074"/>
      <c r="BC448" s="1086" t="s">
        <v>93</v>
      </c>
      <c r="BD448" s="1089">
        <f>BD439</f>
        <v>0.43795061663702523</v>
      </c>
      <c r="BE448" s="1089">
        <f>BE439</f>
        <v>0.23748942993816052</v>
      </c>
      <c r="BF448" s="1090">
        <f>BF439</f>
        <v>0.32455995342481403</v>
      </c>
      <c r="BG448" s="1074"/>
      <c r="BK448" s="1086" t="s">
        <v>93</v>
      </c>
      <c r="BL448" s="1089">
        <f>BL439</f>
        <v>0.43795061663702523</v>
      </c>
      <c r="BM448" s="1089">
        <f>BM439</f>
        <v>0.23748942993816052</v>
      </c>
      <c r="BN448" s="1090">
        <f>BN439</f>
        <v>0.32455995342481403</v>
      </c>
      <c r="BO448" s="1074"/>
      <c r="BS448" s="1086" t="s">
        <v>93</v>
      </c>
      <c r="BT448" s="1089">
        <f>BT439</f>
        <v>0.43795061663702523</v>
      </c>
      <c r="BU448" s="1089">
        <f>BU439</f>
        <v>0.23748942993816052</v>
      </c>
      <c r="BV448" s="1090">
        <f>BV439</f>
        <v>0.32455995342481403</v>
      </c>
      <c r="BW448" s="1074"/>
      <c r="CA448" s="1086" t="s">
        <v>93</v>
      </c>
      <c r="CB448" s="1089">
        <f>CB439</f>
        <v>0.43795061663702523</v>
      </c>
      <c r="CC448" s="1089">
        <f>CC439</f>
        <v>0.23748942993816052</v>
      </c>
      <c r="CD448" s="1090">
        <f>CD439</f>
        <v>0.32455995342481403</v>
      </c>
      <c r="CE448" s="1074"/>
      <c r="CI448" s="1086" t="s">
        <v>93</v>
      </c>
      <c r="CJ448" s="1089">
        <f>CJ439</f>
        <v>0.43795061663702523</v>
      </c>
      <c r="CK448" s="1089">
        <f>CK439</f>
        <v>0.23748942993816052</v>
      </c>
      <c r="CL448" s="1090">
        <f>CL439</f>
        <v>0.32455995342481403</v>
      </c>
      <c r="CM448" s="1074"/>
      <c r="CQ448" s="1086" t="s">
        <v>93</v>
      </c>
      <c r="CR448" s="1089">
        <f>CR439</f>
        <v>0.43795061663702523</v>
      </c>
      <c r="CS448" s="1089">
        <f>CS439</f>
        <v>0.23748942993816052</v>
      </c>
      <c r="CT448" s="1090">
        <f>CT439</f>
        <v>0.32455995342481403</v>
      </c>
      <c r="CU448" s="1074"/>
      <c r="CY448" s="1086" t="s">
        <v>93</v>
      </c>
      <c r="CZ448" s="1089">
        <f>CZ439</f>
        <v>0.43795061663702523</v>
      </c>
      <c r="DA448" s="1089">
        <f>DA439</f>
        <v>0.23748942993816052</v>
      </c>
      <c r="DB448" s="1090">
        <f>DB439</f>
        <v>0.32455995342481403</v>
      </c>
      <c r="DC448" s="1074"/>
      <c r="DG448" s="1086" t="s">
        <v>93</v>
      </c>
      <c r="DH448" s="1089">
        <f>DH439</f>
        <v>0.43795061663702523</v>
      </c>
      <c r="DI448" s="1089">
        <f>DI439</f>
        <v>0.23748942993816052</v>
      </c>
      <c r="DJ448" s="1090">
        <f>DJ439</f>
        <v>0.32455995342481403</v>
      </c>
      <c r="DK448" s="1074"/>
      <c r="DO448" s="1086" t="s">
        <v>93</v>
      </c>
      <c r="DP448" s="1089">
        <f>DP439</f>
        <v>0.43795061663702523</v>
      </c>
      <c r="DQ448" s="1089">
        <f>DQ439</f>
        <v>0.23748942993816052</v>
      </c>
      <c r="DR448" s="1090">
        <f>DR439</f>
        <v>0.32455995342481403</v>
      </c>
      <c r="DS448" s="1074"/>
      <c r="DW448" s="1086" t="s">
        <v>93</v>
      </c>
      <c r="DX448" s="1089">
        <f>DX439</f>
        <v>0.43795061663702523</v>
      </c>
      <c r="DY448" s="1089">
        <f>DY439</f>
        <v>0.23748942993816052</v>
      </c>
      <c r="DZ448" s="1090">
        <f>DZ439</f>
        <v>0.32455995342481403</v>
      </c>
      <c r="EA448" s="1074"/>
      <c r="EE448" s="1086" t="s">
        <v>93</v>
      </c>
      <c r="EF448" s="1089">
        <f>EF439</f>
        <v>0.43795061663702523</v>
      </c>
      <c r="EG448" s="1089">
        <f>EG439</f>
        <v>0.23748942993816052</v>
      </c>
      <c r="EH448" s="1090">
        <f>EH439</f>
        <v>0.32455995342481403</v>
      </c>
      <c r="EI448" s="1074"/>
      <c r="EM448" s="1086" t="s">
        <v>93</v>
      </c>
      <c r="EN448" s="1089">
        <f>EN439</f>
        <v>0.43795061663702523</v>
      </c>
      <c r="EO448" s="1089">
        <f>EO439</f>
        <v>0.23748942993816052</v>
      </c>
      <c r="EP448" s="1090">
        <f>EP439</f>
        <v>0.32455995342481403</v>
      </c>
      <c r="EQ448" s="1074"/>
      <c r="EU448" s="1086" t="s">
        <v>93</v>
      </c>
      <c r="EV448" s="1089">
        <f>EV439</f>
        <v>0.43795061663702523</v>
      </c>
      <c r="EW448" s="1089">
        <f>EW439</f>
        <v>0.23748942993816052</v>
      </c>
      <c r="EX448" s="1090">
        <f>EX439</f>
        <v>0.32455995342481403</v>
      </c>
      <c r="EY448" s="1074"/>
      <c r="FC448" s="1086" t="s">
        <v>93</v>
      </c>
      <c r="FD448" s="1089">
        <f>FD439</f>
        <v>0.43795061663702523</v>
      </c>
      <c r="FE448" s="1089">
        <f>FE439</f>
        <v>0.23748942993816052</v>
      </c>
      <c r="FF448" s="1090">
        <f>FF439</f>
        <v>0.32455995342481403</v>
      </c>
      <c r="FG448" s="1074"/>
      <c r="FK448" s="1086" t="s">
        <v>93</v>
      </c>
      <c r="FL448" s="1089">
        <f>FL439</f>
        <v>0.43795061663702523</v>
      </c>
      <c r="FM448" s="1089">
        <f>FM439</f>
        <v>0.23748942993816052</v>
      </c>
      <c r="FN448" s="1090">
        <f>FN439</f>
        <v>0.32455995342481403</v>
      </c>
      <c r="FO448" s="1074"/>
    </row>
    <row r="449" spans="1:171" x14ac:dyDescent="0.25">
      <c r="D449" s="1084"/>
      <c r="E449" s="1085"/>
      <c r="F449" s="1080"/>
      <c r="G449" s="1086" t="s">
        <v>95</v>
      </c>
      <c r="H449" s="1089">
        <f>H379</f>
        <v>0.41685340178759894</v>
      </c>
      <c r="I449" s="1089">
        <f>I379</f>
        <v>0</v>
      </c>
      <c r="J449" s="1090">
        <f>J379</f>
        <v>0.58314659821240111</v>
      </c>
      <c r="K449" s="1079"/>
      <c r="O449" s="1086" t="s">
        <v>95</v>
      </c>
      <c r="P449" s="1089">
        <f>P379</f>
        <v>0.41685340178759894</v>
      </c>
      <c r="Q449" s="1089">
        <f>Q379</f>
        <v>2.7009359799347855E-2</v>
      </c>
      <c r="R449" s="1090">
        <f>R379</f>
        <v>0.55613723841305318</v>
      </c>
      <c r="S449" s="1079"/>
      <c r="W449" s="1086" t="s">
        <v>95</v>
      </c>
      <c r="X449" s="1089">
        <f>X379</f>
        <v>0.41685340178759894</v>
      </c>
      <c r="Y449" s="1089">
        <f>Y379</f>
        <v>2.7009359799347855E-2</v>
      </c>
      <c r="Z449" s="1090">
        <f>Z379</f>
        <v>0.55613723841305318</v>
      </c>
      <c r="AA449" s="1079"/>
      <c r="AE449" s="1086" t="s">
        <v>95</v>
      </c>
      <c r="AF449" s="1089">
        <f>AF379</f>
        <v>0.41685340178759894</v>
      </c>
      <c r="AG449" s="1089">
        <f>AG379</f>
        <v>2.7009359799347855E-2</v>
      </c>
      <c r="AH449" s="1090">
        <f>AH379</f>
        <v>0.55613723841305318</v>
      </c>
      <c r="AI449" s="1079"/>
      <c r="AM449" s="1086" t="s">
        <v>95</v>
      </c>
      <c r="AN449" s="1089">
        <f>AN379</f>
        <v>0.41685340178759894</v>
      </c>
      <c r="AO449" s="1089">
        <f>AO379</f>
        <v>2.7009359799347855E-2</v>
      </c>
      <c r="AP449" s="1090">
        <f>AP379</f>
        <v>0.55613723841305318</v>
      </c>
      <c r="AQ449" s="1079"/>
      <c r="AU449" s="1086" t="s">
        <v>95</v>
      </c>
      <c r="AV449" s="1089">
        <f>AV379</f>
        <v>0.41685340178759894</v>
      </c>
      <c r="AW449" s="1089">
        <f>AW379</f>
        <v>2.7009359799347855E-2</v>
      </c>
      <c r="AX449" s="1090">
        <f>AX379</f>
        <v>0.55613723841305318</v>
      </c>
      <c r="AY449" s="1079"/>
      <c r="BC449" s="1086" t="s">
        <v>95</v>
      </c>
      <c r="BD449" s="1089">
        <f>BD379</f>
        <v>0.41685340178759894</v>
      </c>
      <c r="BE449" s="1089">
        <f>BE379</f>
        <v>2.7009359799347855E-2</v>
      </c>
      <c r="BF449" s="1090">
        <f>BF379</f>
        <v>0.55613723841305318</v>
      </c>
      <c r="BG449" s="1079"/>
      <c r="BK449" s="1086" t="s">
        <v>95</v>
      </c>
      <c r="BL449" s="1089">
        <f>BL379</f>
        <v>0.41685340178759894</v>
      </c>
      <c r="BM449" s="1089">
        <f>BM379</f>
        <v>2.7009359799347855E-2</v>
      </c>
      <c r="BN449" s="1090">
        <f>BN379</f>
        <v>0.55613723841305318</v>
      </c>
      <c r="BO449" s="1079"/>
      <c r="BS449" s="1086" t="s">
        <v>95</v>
      </c>
      <c r="BT449" s="1089">
        <f>BT379</f>
        <v>0.41685340178759894</v>
      </c>
      <c r="BU449" s="1089">
        <f>BU379</f>
        <v>2.7009359799347855E-2</v>
      </c>
      <c r="BV449" s="1090">
        <f>BV379</f>
        <v>0.55613723841305318</v>
      </c>
      <c r="BW449" s="1079"/>
      <c r="CA449" s="1086" t="s">
        <v>95</v>
      </c>
      <c r="CB449" s="1089">
        <f>CB379</f>
        <v>0.41685340178759894</v>
      </c>
      <c r="CC449" s="1089">
        <f>CC379</f>
        <v>2.7009359799347855E-2</v>
      </c>
      <c r="CD449" s="1090">
        <f>CD379</f>
        <v>0.55613723841305318</v>
      </c>
      <c r="CE449" s="1079"/>
      <c r="CI449" s="1086" t="s">
        <v>95</v>
      </c>
      <c r="CJ449" s="1089">
        <f>CJ379</f>
        <v>0.41685340178759894</v>
      </c>
      <c r="CK449" s="1089">
        <f>CK379</f>
        <v>2.7009359799347855E-2</v>
      </c>
      <c r="CL449" s="1090">
        <f>CL379</f>
        <v>0.55613723841305318</v>
      </c>
      <c r="CM449" s="1079"/>
      <c r="CQ449" s="1086" t="s">
        <v>95</v>
      </c>
      <c r="CR449" s="1089">
        <f>CR379</f>
        <v>0.41685340178759894</v>
      </c>
      <c r="CS449" s="1089">
        <f>CS379</f>
        <v>2.7009359799347855E-2</v>
      </c>
      <c r="CT449" s="1090">
        <f>CT379</f>
        <v>0.55613723841305318</v>
      </c>
      <c r="CU449" s="1079"/>
      <c r="CY449" s="1086" t="s">
        <v>95</v>
      </c>
      <c r="CZ449" s="1089">
        <f>CZ379</f>
        <v>0.41685340178759894</v>
      </c>
      <c r="DA449" s="1089">
        <f>DA379</f>
        <v>2.7009359799347855E-2</v>
      </c>
      <c r="DB449" s="1090">
        <f>DB379</f>
        <v>0.55613723841305318</v>
      </c>
      <c r="DC449" s="1079"/>
      <c r="DG449" s="1086" t="s">
        <v>95</v>
      </c>
      <c r="DH449" s="1089">
        <f>DH379</f>
        <v>0.41685340178759894</v>
      </c>
      <c r="DI449" s="1089">
        <f>DI379</f>
        <v>2.7009359799347855E-2</v>
      </c>
      <c r="DJ449" s="1090">
        <f>DJ379</f>
        <v>0.55613723841305318</v>
      </c>
      <c r="DK449" s="1079"/>
      <c r="DO449" s="1086" t="s">
        <v>95</v>
      </c>
      <c r="DP449" s="1089">
        <f>DP379</f>
        <v>0.41685340178759894</v>
      </c>
      <c r="DQ449" s="1089">
        <f>DQ379</f>
        <v>2.7009359799347855E-2</v>
      </c>
      <c r="DR449" s="1090">
        <f>DR379</f>
        <v>0.55613723841305318</v>
      </c>
      <c r="DS449" s="1079"/>
      <c r="DW449" s="1086" t="s">
        <v>95</v>
      </c>
      <c r="DX449" s="1089">
        <f>DX379</f>
        <v>0.41685340178759894</v>
      </c>
      <c r="DY449" s="1089">
        <f>DY379</f>
        <v>2.7009359799347855E-2</v>
      </c>
      <c r="DZ449" s="1090">
        <f>DZ379</f>
        <v>0.55613723841305318</v>
      </c>
      <c r="EA449" s="1079"/>
      <c r="EE449" s="1086" t="s">
        <v>95</v>
      </c>
      <c r="EF449" s="1089">
        <f>EF379</f>
        <v>0.41685340178759894</v>
      </c>
      <c r="EG449" s="1089">
        <f>EG379</f>
        <v>2.7009359799347855E-2</v>
      </c>
      <c r="EH449" s="1090">
        <f>EH379</f>
        <v>0.55613723841305318</v>
      </c>
      <c r="EI449" s="1079"/>
      <c r="EM449" s="1086" t="s">
        <v>95</v>
      </c>
      <c r="EN449" s="1089">
        <f>EN379</f>
        <v>0.41685340178759894</v>
      </c>
      <c r="EO449" s="1089">
        <f>EO379</f>
        <v>2.7009359799347855E-2</v>
      </c>
      <c r="EP449" s="1090">
        <f>EP379</f>
        <v>0.55613723841305318</v>
      </c>
      <c r="EQ449" s="1079"/>
      <c r="EU449" s="1086" t="s">
        <v>95</v>
      </c>
      <c r="EV449" s="1089">
        <f>EV379</f>
        <v>0.41685340178759894</v>
      </c>
      <c r="EW449" s="1089">
        <f>EW379</f>
        <v>2.7009359799347855E-2</v>
      </c>
      <c r="EX449" s="1090">
        <f>EX379</f>
        <v>0.55613723841305318</v>
      </c>
      <c r="EY449" s="1079"/>
      <c r="FC449" s="1086" t="s">
        <v>95</v>
      </c>
      <c r="FD449" s="1089">
        <f>FD379</f>
        <v>0.41685340178759894</v>
      </c>
      <c r="FE449" s="1089">
        <f>FE379</f>
        <v>2.7009359799347855E-2</v>
      </c>
      <c r="FF449" s="1090">
        <f>FF379</f>
        <v>0.55613723841305318</v>
      </c>
      <c r="FG449" s="1079"/>
      <c r="FK449" s="1086" t="s">
        <v>95</v>
      </c>
      <c r="FL449" s="1089">
        <f>FL379</f>
        <v>0.41685340178759894</v>
      </c>
      <c r="FM449" s="1089">
        <f>FM379</f>
        <v>2.7009359799347855E-2</v>
      </c>
      <c r="FN449" s="1090">
        <f>FN379</f>
        <v>0.55613723841305318</v>
      </c>
      <c r="FO449" s="1079"/>
    </row>
    <row r="450" spans="1:171" x14ac:dyDescent="0.25">
      <c r="D450" s="1084"/>
      <c r="E450" s="1085"/>
      <c r="F450" s="1080"/>
      <c r="G450" s="1086" t="s">
        <v>99</v>
      </c>
      <c r="H450" s="1089">
        <f>H406</f>
        <v>0.44019614379593275</v>
      </c>
      <c r="I450" s="1089">
        <f>I406</f>
        <v>0</v>
      </c>
      <c r="J450" s="1090">
        <f>J406</f>
        <v>0.55980385620406714</v>
      </c>
      <c r="K450" s="1074"/>
      <c r="O450" s="1086" t="s">
        <v>99</v>
      </c>
      <c r="P450" s="1089">
        <f>P406</f>
        <v>0.44019614379593275</v>
      </c>
      <c r="Q450" s="1089">
        <f>Q406</f>
        <v>0.25989232611562973</v>
      </c>
      <c r="R450" s="1090">
        <f>R406</f>
        <v>0.29991153008843741</v>
      </c>
      <c r="S450" s="1074"/>
      <c r="W450" s="1086" t="s">
        <v>99</v>
      </c>
      <c r="X450" s="1089">
        <f>X406</f>
        <v>0.44019614379593275</v>
      </c>
      <c r="Y450" s="1089">
        <f>Y406</f>
        <v>0.25989232611562973</v>
      </c>
      <c r="Z450" s="1090">
        <f>Z406</f>
        <v>0.29991153008843741</v>
      </c>
      <c r="AA450" s="1074"/>
      <c r="AE450" s="1086" t="s">
        <v>99</v>
      </c>
      <c r="AF450" s="1089">
        <f>AF406</f>
        <v>0.44019614379593275</v>
      </c>
      <c r="AG450" s="1089">
        <f>AG406</f>
        <v>0.25989232611562973</v>
      </c>
      <c r="AH450" s="1090">
        <f>AH406</f>
        <v>0.29991153008843741</v>
      </c>
      <c r="AI450" s="1074"/>
      <c r="AM450" s="1086" t="s">
        <v>99</v>
      </c>
      <c r="AN450" s="1089">
        <f>AN406</f>
        <v>0.44019614379593275</v>
      </c>
      <c r="AO450" s="1089">
        <f>AO406</f>
        <v>0.25989232611562973</v>
      </c>
      <c r="AP450" s="1090">
        <f>AP406</f>
        <v>0.29991153008843741</v>
      </c>
      <c r="AQ450" s="1074"/>
      <c r="AU450" s="1086" t="s">
        <v>99</v>
      </c>
      <c r="AV450" s="1089">
        <f>AV406</f>
        <v>0.44019614379593275</v>
      </c>
      <c r="AW450" s="1089">
        <f>AW406</f>
        <v>0.25989232611562973</v>
      </c>
      <c r="AX450" s="1090">
        <f>AX406</f>
        <v>0.29991153008843741</v>
      </c>
      <c r="AY450" s="1074"/>
      <c r="BC450" s="1086" t="s">
        <v>99</v>
      </c>
      <c r="BD450" s="1089">
        <f>BD406</f>
        <v>0.44019614379593275</v>
      </c>
      <c r="BE450" s="1089">
        <f>BE406</f>
        <v>0.25989232611562973</v>
      </c>
      <c r="BF450" s="1090">
        <f>BF406</f>
        <v>0.29991153008843741</v>
      </c>
      <c r="BG450" s="1074"/>
      <c r="BK450" s="1086" t="s">
        <v>99</v>
      </c>
      <c r="BL450" s="1089">
        <f>BL406</f>
        <v>0.44019614379593275</v>
      </c>
      <c r="BM450" s="1089">
        <f>BM406</f>
        <v>0.25989232611562973</v>
      </c>
      <c r="BN450" s="1090">
        <f>BN406</f>
        <v>0.29991153008843741</v>
      </c>
      <c r="BO450" s="1074"/>
      <c r="BS450" s="1086" t="s">
        <v>99</v>
      </c>
      <c r="BT450" s="1089">
        <f>BT406</f>
        <v>0.44019614379593275</v>
      </c>
      <c r="BU450" s="1089">
        <f>BU406</f>
        <v>0.25989232611562973</v>
      </c>
      <c r="BV450" s="1090">
        <f>BV406</f>
        <v>0.29991153008843741</v>
      </c>
      <c r="BW450" s="1074"/>
      <c r="CA450" s="1086" t="s">
        <v>99</v>
      </c>
      <c r="CB450" s="1089">
        <f>CB406</f>
        <v>0.44019614379593275</v>
      </c>
      <c r="CC450" s="1089">
        <f>CC406</f>
        <v>0.25989232611562973</v>
      </c>
      <c r="CD450" s="1090">
        <f>CD406</f>
        <v>0.29991153008843741</v>
      </c>
      <c r="CE450" s="1074"/>
      <c r="CI450" s="1086" t="s">
        <v>99</v>
      </c>
      <c r="CJ450" s="1089">
        <f>CJ406</f>
        <v>0.44019614379593275</v>
      </c>
      <c r="CK450" s="1089">
        <f>CK406</f>
        <v>0.25989232611562973</v>
      </c>
      <c r="CL450" s="1090">
        <f>CL406</f>
        <v>0.29991153008843741</v>
      </c>
      <c r="CM450" s="1074"/>
      <c r="CQ450" s="1086" t="s">
        <v>99</v>
      </c>
      <c r="CR450" s="1089">
        <f>CR406</f>
        <v>0.44019614379593275</v>
      </c>
      <c r="CS450" s="1089">
        <f>CS406</f>
        <v>0.25989232611562973</v>
      </c>
      <c r="CT450" s="1090">
        <f>CT406</f>
        <v>0.29991153008843741</v>
      </c>
      <c r="CU450" s="1074"/>
      <c r="CY450" s="1086" t="s">
        <v>99</v>
      </c>
      <c r="CZ450" s="1089">
        <f>CZ406</f>
        <v>0.44019614379593275</v>
      </c>
      <c r="DA450" s="1089">
        <f>DA406</f>
        <v>0.25989232611562973</v>
      </c>
      <c r="DB450" s="1090">
        <f>DB406</f>
        <v>0.29991153008843741</v>
      </c>
      <c r="DC450" s="1074"/>
      <c r="DG450" s="1086" t="s">
        <v>99</v>
      </c>
      <c r="DH450" s="1089">
        <f>DH406</f>
        <v>0.44019614379593275</v>
      </c>
      <c r="DI450" s="1089">
        <f>DI406</f>
        <v>0.25989232611562973</v>
      </c>
      <c r="DJ450" s="1090">
        <f>DJ406</f>
        <v>0.29991153008843741</v>
      </c>
      <c r="DK450" s="1074"/>
      <c r="DO450" s="1086" t="s">
        <v>99</v>
      </c>
      <c r="DP450" s="1089">
        <f>DP406</f>
        <v>0.44019614379593275</v>
      </c>
      <c r="DQ450" s="1089">
        <f>DQ406</f>
        <v>0.25989232611562973</v>
      </c>
      <c r="DR450" s="1090">
        <f>DR406</f>
        <v>0.29991153008843741</v>
      </c>
      <c r="DS450" s="1074"/>
      <c r="DW450" s="1086" t="s">
        <v>99</v>
      </c>
      <c r="DX450" s="1089">
        <f>DX406</f>
        <v>0.44019614379593275</v>
      </c>
      <c r="DY450" s="1089">
        <f>DY406</f>
        <v>0.25989232611562973</v>
      </c>
      <c r="DZ450" s="1090">
        <f>DZ406</f>
        <v>0.29991153008843741</v>
      </c>
      <c r="EA450" s="1074"/>
      <c r="EE450" s="1086" t="s">
        <v>99</v>
      </c>
      <c r="EF450" s="1089">
        <f>EF406</f>
        <v>0.44019614379593275</v>
      </c>
      <c r="EG450" s="1089">
        <f>EG406</f>
        <v>0.25989232611562973</v>
      </c>
      <c r="EH450" s="1090">
        <f>EH406</f>
        <v>0.29991153008843741</v>
      </c>
      <c r="EI450" s="1074"/>
      <c r="EM450" s="1086" t="s">
        <v>99</v>
      </c>
      <c r="EN450" s="1089">
        <f>EN406</f>
        <v>0.44019614379593275</v>
      </c>
      <c r="EO450" s="1089">
        <f>EO406</f>
        <v>0.25989232611562973</v>
      </c>
      <c r="EP450" s="1090">
        <f>EP406</f>
        <v>0.29991153008843741</v>
      </c>
      <c r="EQ450" s="1074"/>
      <c r="EU450" s="1086" t="s">
        <v>99</v>
      </c>
      <c r="EV450" s="1089">
        <f>EV406</f>
        <v>0.44019614379593275</v>
      </c>
      <c r="EW450" s="1089">
        <f>EW406</f>
        <v>0.25989232611562973</v>
      </c>
      <c r="EX450" s="1090">
        <f>EX406</f>
        <v>0.29991153008843741</v>
      </c>
      <c r="EY450" s="1074"/>
      <c r="FC450" s="1086" t="s">
        <v>99</v>
      </c>
      <c r="FD450" s="1089">
        <f>FD406</f>
        <v>0.44019614379593275</v>
      </c>
      <c r="FE450" s="1089">
        <f>FE406</f>
        <v>0.25989232611562973</v>
      </c>
      <c r="FF450" s="1090">
        <f>FF406</f>
        <v>0.29991153008843741</v>
      </c>
      <c r="FG450" s="1074"/>
      <c r="FK450" s="1086" t="s">
        <v>99</v>
      </c>
      <c r="FL450" s="1089">
        <f>FL406</f>
        <v>0.44019614379593275</v>
      </c>
      <c r="FM450" s="1089">
        <f>FM406</f>
        <v>0.25989232611562973</v>
      </c>
      <c r="FN450" s="1090">
        <f>FN406</f>
        <v>0.29991153008843741</v>
      </c>
      <c r="FO450" s="1074"/>
    </row>
    <row r="451" spans="1:171" x14ac:dyDescent="0.25">
      <c r="D451" s="1084"/>
      <c r="E451" s="1085"/>
      <c r="F451" s="1080"/>
      <c r="G451" s="1086" t="s">
        <v>108</v>
      </c>
      <c r="H451" s="1089">
        <f>H415</f>
        <v>0.43441450169532542</v>
      </c>
      <c r="I451" s="1089">
        <f>I415</f>
        <v>0</v>
      </c>
      <c r="J451" s="1090">
        <f>J415</f>
        <v>0.56568557243508888</v>
      </c>
      <c r="K451" s="1074"/>
      <c r="O451" s="1086" t="s">
        <v>108</v>
      </c>
      <c r="P451" s="1089">
        <f>P415</f>
        <v>0.43441450169532542</v>
      </c>
      <c r="Q451" s="1089">
        <f>Q415</f>
        <v>0.2531010203203618</v>
      </c>
      <c r="R451" s="1090">
        <f>R415</f>
        <v>0.31248447798431273</v>
      </c>
      <c r="S451" s="1074"/>
      <c r="W451" s="1086" t="s">
        <v>108</v>
      </c>
      <c r="X451" s="1089">
        <f>X415</f>
        <v>0.43441450169532542</v>
      </c>
      <c r="Y451" s="1089">
        <f>Y415</f>
        <v>0.2531010203203618</v>
      </c>
      <c r="Z451" s="1090">
        <f>Z415</f>
        <v>0.31248447798431273</v>
      </c>
      <c r="AA451" s="1074"/>
      <c r="AE451" s="1086" t="s">
        <v>108</v>
      </c>
      <c r="AF451" s="1089">
        <f>AF415</f>
        <v>0.43441450169532542</v>
      </c>
      <c r="AG451" s="1089">
        <f>AG415</f>
        <v>0.2531010203203618</v>
      </c>
      <c r="AH451" s="1090">
        <f>AH415</f>
        <v>0.31248447798431273</v>
      </c>
      <c r="AI451" s="1074"/>
      <c r="AM451" s="1086" t="s">
        <v>108</v>
      </c>
      <c r="AN451" s="1089">
        <f>AN415</f>
        <v>0.43441450169532542</v>
      </c>
      <c r="AO451" s="1089">
        <f>AO415</f>
        <v>0.2531010203203618</v>
      </c>
      <c r="AP451" s="1090">
        <f>AP415</f>
        <v>0.31248447798431273</v>
      </c>
      <c r="AQ451" s="1074"/>
      <c r="AU451" s="1086" t="s">
        <v>108</v>
      </c>
      <c r="AV451" s="1089">
        <f>AV415</f>
        <v>0.43441450169532542</v>
      </c>
      <c r="AW451" s="1089">
        <f>AW415</f>
        <v>0.2531010203203618</v>
      </c>
      <c r="AX451" s="1090">
        <f>AX415</f>
        <v>0.31248447798431273</v>
      </c>
      <c r="AY451" s="1074"/>
      <c r="BC451" s="1086" t="s">
        <v>108</v>
      </c>
      <c r="BD451" s="1089">
        <f>BD415</f>
        <v>0.43441450169532542</v>
      </c>
      <c r="BE451" s="1089">
        <f>BE415</f>
        <v>0.2531010203203618</v>
      </c>
      <c r="BF451" s="1090">
        <f>BF415</f>
        <v>0.31248447798431273</v>
      </c>
      <c r="BG451" s="1074"/>
      <c r="BK451" s="1086" t="s">
        <v>108</v>
      </c>
      <c r="BL451" s="1089">
        <f>BL415</f>
        <v>0.43441450169532542</v>
      </c>
      <c r="BM451" s="1089">
        <f>BM415</f>
        <v>0.2531010203203618</v>
      </c>
      <c r="BN451" s="1090">
        <f>BN415</f>
        <v>0.31248447798431273</v>
      </c>
      <c r="BO451" s="1074"/>
      <c r="BS451" s="1086" t="s">
        <v>108</v>
      </c>
      <c r="BT451" s="1089">
        <f>BT415</f>
        <v>0.43441450169532542</v>
      </c>
      <c r="BU451" s="1089">
        <f>BU415</f>
        <v>0.2531010203203618</v>
      </c>
      <c r="BV451" s="1090">
        <f>BV415</f>
        <v>0.31248447798431273</v>
      </c>
      <c r="BW451" s="1074"/>
      <c r="CA451" s="1086" t="s">
        <v>108</v>
      </c>
      <c r="CB451" s="1089">
        <f>CB415</f>
        <v>0.43441450169532542</v>
      </c>
      <c r="CC451" s="1089">
        <f>CC415</f>
        <v>0.2531010203203618</v>
      </c>
      <c r="CD451" s="1090">
        <f>CD415</f>
        <v>0.31248447798431273</v>
      </c>
      <c r="CE451" s="1074"/>
      <c r="CI451" s="1086" t="s">
        <v>108</v>
      </c>
      <c r="CJ451" s="1089">
        <f>CJ415</f>
        <v>0.43441450169532542</v>
      </c>
      <c r="CK451" s="1089">
        <f>CK415</f>
        <v>0.2531010203203618</v>
      </c>
      <c r="CL451" s="1090">
        <f>CL415</f>
        <v>0.31248447798431273</v>
      </c>
      <c r="CM451" s="1074"/>
      <c r="CQ451" s="1086" t="s">
        <v>108</v>
      </c>
      <c r="CR451" s="1089">
        <f>CR415</f>
        <v>0.43441450169532542</v>
      </c>
      <c r="CS451" s="1089">
        <f>CS415</f>
        <v>0.2531010203203618</v>
      </c>
      <c r="CT451" s="1090">
        <f>CT415</f>
        <v>0.31248447798431273</v>
      </c>
      <c r="CU451" s="1074"/>
      <c r="CY451" s="1086" t="s">
        <v>108</v>
      </c>
      <c r="CZ451" s="1089">
        <f>CZ415</f>
        <v>0.43441450169532542</v>
      </c>
      <c r="DA451" s="1089">
        <f>DA415</f>
        <v>0.2531010203203618</v>
      </c>
      <c r="DB451" s="1090">
        <f>DB415</f>
        <v>0.31248447798431273</v>
      </c>
      <c r="DC451" s="1074"/>
      <c r="DG451" s="1086" t="s">
        <v>108</v>
      </c>
      <c r="DH451" s="1089">
        <f>DH415</f>
        <v>0.43441450169532542</v>
      </c>
      <c r="DI451" s="1089">
        <f>DI415</f>
        <v>0.2531010203203618</v>
      </c>
      <c r="DJ451" s="1090">
        <f>DJ415</f>
        <v>0.31248447798431273</v>
      </c>
      <c r="DK451" s="1074"/>
      <c r="DO451" s="1086" t="s">
        <v>108</v>
      </c>
      <c r="DP451" s="1089">
        <f>DP415</f>
        <v>0.43441450169532542</v>
      </c>
      <c r="DQ451" s="1089">
        <f>DQ415</f>
        <v>0.2531010203203618</v>
      </c>
      <c r="DR451" s="1090">
        <f>DR415</f>
        <v>0.31248447798431273</v>
      </c>
      <c r="DS451" s="1074"/>
      <c r="DW451" s="1086" t="s">
        <v>108</v>
      </c>
      <c r="DX451" s="1089">
        <f>DX415</f>
        <v>0.43441450169532542</v>
      </c>
      <c r="DY451" s="1089">
        <f>DY415</f>
        <v>0.2531010203203618</v>
      </c>
      <c r="DZ451" s="1090">
        <f>DZ415</f>
        <v>0.31248447798431273</v>
      </c>
      <c r="EA451" s="1074"/>
      <c r="EE451" s="1086" t="s">
        <v>108</v>
      </c>
      <c r="EF451" s="1089">
        <f>EF415</f>
        <v>0.43441450169532542</v>
      </c>
      <c r="EG451" s="1089">
        <f>EG415</f>
        <v>0.2531010203203618</v>
      </c>
      <c r="EH451" s="1090">
        <f>EH415</f>
        <v>0.31248447798431273</v>
      </c>
      <c r="EI451" s="1074"/>
      <c r="EM451" s="1086" t="s">
        <v>108</v>
      </c>
      <c r="EN451" s="1089">
        <f>EN415</f>
        <v>0.43441450169532542</v>
      </c>
      <c r="EO451" s="1089">
        <f>EO415</f>
        <v>0.2531010203203618</v>
      </c>
      <c r="EP451" s="1090">
        <f>EP415</f>
        <v>0.31248447798431273</v>
      </c>
      <c r="EQ451" s="1074"/>
      <c r="EU451" s="1086" t="s">
        <v>108</v>
      </c>
      <c r="EV451" s="1089">
        <f>EV415</f>
        <v>0.43441450169532542</v>
      </c>
      <c r="EW451" s="1089">
        <f>EW415</f>
        <v>0.2531010203203618</v>
      </c>
      <c r="EX451" s="1090">
        <f>EX415</f>
        <v>0.31248447798431273</v>
      </c>
      <c r="EY451" s="1074"/>
      <c r="FC451" s="1086" t="s">
        <v>108</v>
      </c>
      <c r="FD451" s="1089">
        <f>FD415</f>
        <v>0.43441450169532542</v>
      </c>
      <c r="FE451" s="1089">
        <f>FE415</f>
        <v>0.2531010203203618</v>
      </c>
      <c r="FF451" s="1090">
        <f>FF415</f>
        <v>0.31248447798431273</v>
      </c>
      <c r="FG451" s="1074"/>
      <c r="FK451" s="1086" t="s">
        <v>108</v>
      </c>
      <c r="FL451" s="1089">
        <f>FL415</f>
        <v>0.43441450169532542</v>
      </c>
      <c r="FM451" s="1089">
        <f>FM415</f>
        <v>0.2531010203203618</v>
      </c>
      <c r="FN451" s="1090">
        <f>FN415</f>
        <v>0.31248447798431273</v>
      </c>
      <c r="FO451" s="1074"/>
    </row>
    <row r="452" spans="1:171" x14ac:dyDescent="0.25">
      <c r="D452" s="1084"/>
      <c r="E452" s="1085"/>
      <c r="F452" s="1080"/>
      <c r="G452" s="1091" t="s">
        <v>109</v>
      </c>
      <c r="H452" s="1089">
        <f>H421</f>
        <v>0</v>
      </c>
      <c r="I452" s="1089">
        <f>I421</f>
        <v>0</v>
      </c>
      <c r="J452" s="1090">
        <f>J421</f>
        <v>1</v>
      </c>
      <c r="K452" s="1079"/>
      <c r="O452" s="1091" t="s">
        <v>109</v>
      </c>
      <c r="P452" s="1089">
        <f>P421</f>
        <v>0</v>
      </c>
      <c r="Q452" s="1089">
        <f>Q421</f>
        <v>0.46425604832005718</v>
      </c>
      <c r="R452" s="1090">
        <f>R421</f>
        <v>0.53574395167994282</v>
      </c>
      <c r="S452" s="1079"/>
      <c r="W452" s="1091" t="s">
        <v>109</v>
      </c>
      <c r="X452" s="1089">
        <f>X421</f>
        <v>0</v>
      </c>
      <c r="Y452" s="1089">
        <f>Y421</f>
        <v>0.46425604832005718</v>
      </c>
      <c r="Z452" s="1090">
        <f>Z421</f>
        <v>0.53574395167994282</v>
      </c>
      <c r="AA452" s="1079"/>
      <c r="AE452" s="1091" t="s">
        <v>109</v>
      </c>
      <c r="AF452" s="1089">
        <f>AF421</f>
        <v>0</v>
      </c>
      <c r="AG452" s="1089">
        <f>AG421</f>
        <v>0.46425604832005718</v>
      </c>
      <c r="AH452" s="1090">
        <f>AH421</f>
        <v>0.53574395167994282</v>
      </c>
      <c r="AI452" s="1079"/>
      <c r="AM452" s="1091" t="s">
        <v>109</v>
      </c>
      <c r="AN452" s="1089">
        <f>AN421</f>
        <v>0</v>
      </c>
      <c r="AO452" s="1089">
        <f>AO421</f>
        <v>0.46425604832005718</v>
      </c>
      <c r="AP452" s="1090">
        <f>AP421</f>
        <v>0.53574395167994282</v>
      </c>
      <c r="AQ452" s="1079"/>
      <c r="AU452" s="1091" t="s">
        <v>109</v>
      </c>
      <c r="AV452" s="1089">
        <f>AV421</f>
        <v>0</v>
      </c>
      <c r="AW452" s="1089">
        <f>AW421</f>
        <v>0.46425604832005718</v>
      </c>
      <c r="AX452" s="1090">
        <f>AX421</f>
        <v>0.53574395167994282</v>
      </c>
      <c r="AY452" s="1079"/>
      <c r="BC452" s="1091" t="s">
        <v>109</v>
      </c>
      <c r="BD452" s="1089">
        <f>BD421</f>
        <v>0</v>
      </c>
      <c r="BE452" s="1089">
        <f>BE421</f>
        <v>0.46425604832005718</v>
      </c>
      <c r="BF452" s="1090">
        <f>BF421</f>
        <v>0.53574395167994282</v>
      </c>
      <c r="BG452" s="1079"/>
      <c r="BK452" s="1091" t="s">
        <v>109</v>
      </c>
      <c r="BL452" s="1089">
        <f>BL421</f>
        <v>0</v>
      </c>
      <c r="BM452" s="1089">
        <f>BM421</f>
        <v>0.46425604832005718</v>
      </c>
      <c r="BN452" s="1090">
        <f>BN421</f>
        <v>0.53574395167994282</v>
      </c>
      <c r="BO452" s="1079"/>
      <c r="BS452" s="1091" t="s">
        <v>109</v>
      </c>
      <c r="BT452" s="1089">
        <f>BT421</f>
        <v>0</v>
      </c>
      <c r="BU452" s="1089">
        <f>BU421</f>
        <v>0.46425604832005718</v>
      </c>
      <c r="BV452" s="1090">
        <f>BV421</f>
        <v>0.53574395167994282</v>
      </c>
      <c r="BW452" s="1079"/>
      <c r="CA452" s="1091" t="s">
        <v>109</v>
      </c>
      <c r="CB452" s="1089">
        <f>CB421</f>
        <v>0</v>
      </c>
      <c r="CC452" s="1089">
        <f>CC421</f>
        <v>0.46425604832005718</v>
      </c>
      <c r="CD452" s="1090">
        <f>CD421</f>
        <v>0.53574395167994282</v>
      </c>
      <c r="CE452" s="1079"/>
      <c r="CI452" s="1091" t="s">
        <v>109</v>
      </c>
      <c r="CJ452" s="1089">
        <f>CJ421</f>
        <v>0</v>
      </c>
      <c r="CK452" s="1089">
        <f>CK421</f>
        <v>0.46425604832005718</v>
      </c>
      <c r="CL452" s="1090">
        <f>CL421</f>
        <v>0.53574395167994282</v>
      </c>
      <c r="CM452" s="1079"/>
      <c r="CQ452" s="1091" t="s">
        <v>109</v>
      </c>
      <c r="CR452" s="1089">
        <f>CR421</f>
        <v>0</v>
      </c>
      <c r="CS452" s="1089">
        <f>CS421</f>
        <v>0.46425604832005718</v>
      </c>
      <c r="CT452" s="1090">
        <f>CT421</f>
        <v>0.53574395167994282</v>
      </c>
      <c r="CU452" s="1079"/>
      <c r="CY452" s="1091" t="s">
        <v>109</v>
      </c>
      <c r="CZ452" s="1089">
        <f>CZ421</f>
        <v>0</v>
      </c>
      <c r="DA452" s="1089">
        <f>DA421</f>
        <v>0.46425604832005718</v>
      </c>
      <c r="DB452" s="1090">
        <f>DB421</f>
        <v>0.53574395167994282</v>
      </c>
      <c r="DC452" s="1079"/>
      <c r="DG452" s="1091" t="s">
        <v>109</v>
      </c>
      <c r="DH452" s="1089">
        <f>DH421</f>
        <v>0</v>
      </c>
      <c r="DI452" s="1089">
        <f>DI421</f>
        <v>0.46425604832005718</v>
      </c>
      <c r="DJ452" s="1090">
        <f>DJ421</f>
        <v>0.53574395167994282</v>
      </c>
      <c r="DK452" s="1079"/>
      <c r="DO452" s="1091" t="s">
        <v>109</v>
      </c>
      <c r="DP452" s="1089">
        <f>DP421</f>
        <v>0</v>
      </c>
      <c r="DQ452" s="1089">
        <f>DQ421</f>
        <v>0.46425604832005718</v>
      </c>
      <c r="DR452" s="1090">
        <f>DR421</f>
        <v>0.53574395167994282</v>
      </c>
      <c r="DS452" s="1079"/>
      <c r="DW452" s="1091" t="s">
        <v>109</v>
      </c>
      <c r="DX452" s="1089">
        <f>DX421</f>
        <v>0</v>
      </c>
      <c r="DY452" s="1089">
        <f>DY421</f>
        <v>0.46425604832005718</v>
      </c>
      <c r="DZ452" s="1090">
        <f>DZ421</f>
        <v>0.53574395167994282</v>
      </c>
      <c r="EA452" s="1079"/>
      <c r="EE452" s="1091" t="s">
        <v>109</v>
      </c>
      <c r="EF452" s="1089">
        <f>EF421</f>
        <v>0</v>
      </c>
      <c r="EG452" s="1089">
        <f>EG421</f>
        <v>0.46425604832005718</v>
      </c>
      <c r="EH452" s="1090">
        <f>EH421</f>
        <v>0.53574395167994282</v>
      </c>
      <c r="EI452" s="1079"/>
      <c r="EM452" s="1091" t="s">
        <v>109</v>
      </c>
      <c r="EN452" s="1089">
        <f>EN421</f>
        <v>0</v>
      </c>
      <c r="EO452" s="1089">
        <f>EO421</f>
        <v>0.46425604832005718</v>
      </c>
      <c r="EP452" s="1090">
        <f>EP421</f>
        <v>0.53574395167994282</v>
      </c>
      <c r="EQ452" s="1079"/>
      <c r="EU452" s="1091" t="s">
        <v>109</v>
      </c>
      <c r="EV452" s="1089">
        <f>EV421</f>
        <v>0</v>
      </c>
      <c r="EW452" s="1089">
        <f>EW421</f>
        <v>0.46425604832005718</v>
      </c>
      <c r="EX452" s="1090">
        <f>EX421</f>
        <v>0.53574395167994282</v>
      </c>
      <c r="EY452" s="1079"/>
      <c r="FC452" s="1091" t="s">
        <v>109</v>
      </c>
      <c r="FD452" s="1089">
        <f>FD421</f>
        <v>0</v>
      </c>
      <c r="FE452" s="1089">
        <f>FE421</f>
        <v>0.46425604832005718</v>
      </c>
      <c r="FF452" s="1090">
        <f>FF421</f>
        <v>0.53574395167994282</v>
      </c>
      <c r="FG452" s="1079"/>
      <c r="FK452" s="1091" t="s">
        <v>109</v>
      </c>
      <c r="FL452" s="1089">
        <f>FL421</f>
        <v>0</v>
      </c>
      <c r="FM452" s="1089">
        <f>FM421</f>
        <v>0.46425604832005718</v>
      </c>
      <c r="FN452" s="1090">
        <f>FN421</f>
        <v>0.53574395167994282</v>
      </c>
      <c r="FO452" s="1079"/>
    </row>
    <row r="453" spans="1:171" ht="16.5" thickBot="1" x14ac:dyDescent="0.3">
      <c r="D453" s="866"/>
      <c r="E453" s="1080"/>
      <c r="F453" s="1080"/>
      <c r="G453" s="114"/>
      <c r="H453" s="1092"/>
      <c r="I453" s="1092"/>
      <c r="J453" s="1093"/>
      <c r="K453" s="1074"/>
      <c r="O453" s="114"/>
      <c r="P453" s="1092"/>
      <c r="Q453" s="1092"/>
      <c r="R453" s="1093"/>
      <c r="S453" s="1074"/>
      <c r="W453" s="114"/>
      <c r="X453" s="1092"/>
      <c r="Y453" s="1092"/>
      <c r="Z453" s="1093"/>
      <c r="AA453" s="1074"/>
      <c r="AE453" s="114"/>
      <c r="AF453" s="1092"/>
      <c r="AG453" s="1092"/>
      <c r="AH453" s="1093"/>
      <c r="AI453" s="1074"/>
      <c r="AM453" s="114"/>
      <c r="AN453" s="1092"/>
      <c r="AO453" s="1092"/>
      <c r="AP453" s="1093"/>
      <c r="AQ453" s="1074"/>
      <c r="AU453" s="114"/>
      <c r="AV453" s="1092"/>
      <c r="AW453" s="1092"/>
      <c r="AX453" s="1093"/>
      <c r="AY453" s="1074"/>
      <c r="BC453" s="114"/>
      <c r="BD453" s="1092"/>
      <c r="BE453" s="1092"/>
      <c r="BF453" s="1093"/>
      <c r="BG453" s="1074"/>
      <c r="BK453" s="114"/>
      <c r="BL453" s="1092"/>
      <c r="BM453" s="1092"/>
      <c r="BN453" s="1093"/>
      <c r="BO453" s="1074"/>
      <c r="BS453" s="114"/>
      <c r="BT453" s="1092"/>
      <c r="BU453" s="1092"/>
      <c r="BV453" s="1093"/>
      <c r="BW453" s="1074"/>
      <c r="CA453" s="114"/>
      <c r="CB453" s="1092"/>
      <c r="CC453" s="1092"/>
      <c r="CD453" s="1093"/>
      <c r="CE453" s="1074"/>
      <c r="CI453" s="114"/>
      <c r="CJ453" s="1092"/>
      <c r="CK453" s="1092"/>
      <c r="CL453" s="1093"/>
      <c r="CM453" s="1074"/>
      <c r="CQ453" s="114"/>
      <c r="CR453" s="1092"/>
      <c r="CS453" s="1092"/>
      <c r="CT453" s="1093"/>
      <c r="CU453" s="1074"/>
      <c r="CY453" s="114"/>
      <c r="CZ453" s="1092"/>
      <c r="DA453" s="1092"/>
      <c r="DB453" s="1093"/>
      <c r="DC453" s="1074"/>
      <c r="DG453" s="114"/>
      <c r="DH453" s="1092"/>
      <c r="DI453" s="1092"/>
      <c r="DJ453" s="1093"/>
      <c r="DK453" s="1074"/>
      <c r="DO453" s="114"/>
      <c r="DP453" s="1092"/>
      <c r="DQ453" s="1092"/>
      <c r="DR453" s="1093"/>
      <c r="DS453" s="1074"/>
      <c r="DW453" s="114"/>
      <c r="DX453" s="1092"/>
      <c r="DY453" s="1092"/>
      <c r="DZ453" s="1093"/>
      <c r="EA453" s="1074"/>
      <c r="EE453" s="114"/>
      <c r="EF453" s="1092"/>
      <c r="EG453" s="1092"/>
      <c r="EH453" s="1093"/>
      <c r="EI453" s="1074"/>
      <c r="EM453" s="114"/>
      <c r="EN453" s="1092"/>
      <c r="EO453" s="1092"/>
      <c r="EP453" s="1093"/>
      <c r="EQ453" s="1074"/>
      <c r="EU453" s="114"/>
      <c r="EV453" s="1092"/>
      <c r="EW453" s="1092"/>
      <c r="EX453" s="1093"/>
      <c r="EY453" s="1074"/>
      <c r="FC453" s="114"/>
      <c r="FD453" s="1092"/>
      <c r="FE453" s="1092"/>
      <c r="FF453" s="1093"/>
      <c r="FG453" s="1074"/>
      <c r="FK453" s="114"/>
      <c r="FL453" s="1092"/>
      <c r="FM453" s="1092"/>
      <c r="FN453" s="1093"/>
      <c r="FO453" s="1074"/>
    </row>
    <row r="454" spans="1:171" ht="16.5" thickTop="1" x14ac:dyDescent="0.25">
      <c r="K454" s="1074"/>
      <c r="S454" s="1074"/>
      <c r="AA454" s="1074"/>
      <c r="AI454" s="1074"/>
      <c r="AQ454" s="1074"/>
      <c r="AY454" s="1074"/>
      <c r="BG454" s="1074"/>
      <c r="BO454" s="1074"/>
      <c r="BW454" s="1074"/>
      <c r="CE454" s="1074"/>
      <c r="CM454" s="1074"/>
      <c r="CU454" s="1074"/>
      <c r="DC454" s="1074"/>
      <c r="DK454" s="1074"/>
      <c r="DS454" s="1074"/>
      <c r="EA454" s="1074"/>
      <c r="EI454" s="1074"/>
      <c r="EQ454" s="1074"/>
      <c r="EY454" s="1074"/>
      <c r="FG454" s="1074"/>
      <c r="FO454" s="1074"/>
    </row>
    <row r="455" spans="1:171" x14ac:dyDescent="0.25">
      <c r="K455" s="1079"/>
      <c r="S455" s="1074"/>
      <c r="AA455" s="1074"/>
      <c r="AI455" s="1074"/>
      <c r="AQ455" s="1074"/>
      <c r="AY455" s="1074"/>
      <c r="BG455" s="1074"/>
      <c r="BO455" s="1074"/>
      <c r="BW455" s="1074"/>
      <c r="CE455" s="1074"/>
      <c r="CM455" s="1074"/>
      <c r="CU455" s="1074"/>
      <c r="DC455" s="1074"/>
      <c r="DK455" s="1074"/>
      <c r="DS455" s="1074"/>
      <c r="EA455" s="1074"/>
      <c r="EI455" s="1074"/>
      <c r="EQ455" s="1074"/>
      <c r="EY455" s="1074"/>
      <c r="FG455" s="1074"/>
      <c r="FO455" s="1074"/>
    </row>
    <row r="456" spans="1:171" x14ac:dyDescent="0.25">
      <c r="K456" s="1074"/>
      <c r="S456" s="1074"/>
      <c r="AA456" s="1074"/>
      <c r="AI456" s="1074"/>
      <c r="AQ456" s="1074"/>
      <c r="AY456" s="1074"/>
      <c r="BG456" s="1074"/>
      <c r="BO456" s="1074"/>
      <c r="BW456" s="1074"/>
      <c r="CE456" s="1074"/>
      <c r="CM456" s="1074"/>
      <c r="CU456" s="1074"/>
      <c r="DC456" s="1074"/>
      <c r="DK456" s="1074"/>
      <c r="DS456" s="1074"/>
      <c r="EA456" s="1074"/>
      <c r="EI456" s="1074"/>
      <c r="EQ456" s="1074"/>
      <c r="EY456" s="1074"/>
      <c r="FG456" s="1074"/>
      <c r="FO456" s="1074"/>
    </row>
    <row r="457" spans="1:171" x14ac:dyDescent="0.25">
      <c r="K457" s="1074"/>
      <c r="S457" s="1074"/>
      <c r="AA457" s="1074"/>
      <c r="AI457" s="1074"/>
      <c r="AQ457" s="1074"/>
      <c r="AY457" s="1074"/>
      <c r="BG457" s="1074"/>
      <c r="BO457" s="1074"/>
      <c r="BW457" s="1074"/>
      <c r="CE457" s="1074"/>
      <c r="CM457" s="1074"/>
      <c r="CU457" s="1074"/>
      <c r="DC457" s="1074"/>
      <c r="DK457" s="1074"/>
      <c r="DS457" s="1074"/>
      <c r="EA457" s="1074"/>
      <c r="EI457" s="1074"/>
      <c r="EQ457" s="1074"/>
      <c r="EY457" s="1074"/>
      <c r="FG457" s="1074"/>
      <c r="FO457" s="1074"/>
    </row>
    <row r="458" spans="1:171" x14ac:dyDescent="0.25">
      <c r="K458" s="1074"/>
      <c r="S458" s="1074"/>
      <c r="AA458" s="1074"/>
      <c r="AI458" s="1074"/>
      <c r="AQ458" s="1074"/>
      <c r="AY458" s="1074"/>
      <c r="BG458" s="1074"/>
      <c r="BO458" s="1074"/>
      <c r="BW458" s="1074"/>
      <c r="CE458" s="1074"/>
      <c r="CM458" s="1074"/>
      <c r="CU458" s="1074"/>
      <c r="DC458" s="1074"/>
      <c r="DK458" s="1074"/>
      <c r="DS458" s="1074"/>
      <c r="EA458" s="1074"/>
      <c r="EI458" s="1074"/>
      <c r="EQ458" s="1074"/>
      <c r="EY458" s="1074"/>
      <c r="FG458" s="1074"/>
      <c r="FO458" s="1074"/>
    </row>
    <row r="459" spans="1:171" x14ac:dyDescent="0.25">
      <c r="K459" s="1074"/>
      <c r="S459" s="1074"/>
      <c r="AA459" s="1074"/>
      <c r="AI459" s="1074"/>
      <c r="AQ459" s="1074"/>
      <c r="AY459" s="1074"/>
      <c r="BG459" s="1074"/>
      <c r="BO459" s="1074"/>
      <c r="BW459" s="1074"/>
      <c r="CE459" s="1074"/>
      <c r="CM459" s="1074"/>
      <c r="CU459" s="1074"/>
      <c r="DC459" s="1074"/>
      <c r="DK459" s="1074"/>
      <c r="DS459" s="1074"/>
      <c r="EA459" s="1074"/>
      <c r="EI459" s="1074"/>
      <c r="EQ459" s="1074"/>
      <c r="EY459" s="1074"/>
      <c r="FG459" s="1074"/>
      <c r="FO459" s="1074"/>
    </row>
    <row r="460" spans="1:171" x14ac:dyDescent="0.25">
      <c r="K460" s="1074"/>
      <c r="S460" s="1074"/>
      <c r="AA460" s="1074"/>
      <c r="AI460" s="1074"/>
      <c r="AQ460" s="1074"/>
      <c r="AY460" s="1074"/>
      <c r="BG460" s="1074"/>
      <c r="BO460" s="1074"/>
      <c r="BW460" s="1074"/>
      <c r="CE460" s="1074"/>
      <c r="CM460" s="1074"/>
      <c r="CU460" s="1074"/>
      <c r="DC460" s="1074"/>
      <c r="DK460" s="1074"/>
      <c r="DS460" s="1074"/>
      <c r="EA460" s="1074"/>
      <c r="EI460" s="1074"/>
      <c r="EQ460" s="1074"/>
      <c r="EY460" s="1074"/>
      <c r="FG460" s="1074"/>
      <c r="FO460" s="1074"/>
    </row>
    <row r="461" spans="1:171" x14ac:dyDescent="0.25">
      <c r="A461" s="904"/>
      <c r="B461" s="904"/>
      <c r="C461" s="904"/>
      <c r="D461" s="904"/>
      <c r="E461" s="904"/>
      <c r="F461" s="904"/>
      <c r="G461" s="904"/>
      <c r="H461" s="904"/>
      <c r="I461" s="904"/>
      <c r="J461" s="904"/>
      <c r="K461" s="904"/>
      <c r="L461" s="904"/>
      <c r="M461" s="904"/>
      <c r="N461" s="904"/>
      <c r="O461" s="904"/>
      <c r="P461" s="904"/>
      <c r="Q461" s="904"/>
      <c r="R461" s="904"/>
      <c r="S461" s="904"/>
      <c r="T461" s="904"/>
      <c r="U461" s="904"/>
      <c r="V461" s="904"/>
      <c r="W461" s="904"/>
      <c r="X461" s="904"/>
      <c r="Y461" s="904"/>
      <c r="Z461" s="904"/>
      <c r="AA461" s="904"/>
      <c r="AB461" s="904"/>
      <c r="AC461" s="904"/>
      <c r="AD461" s="904"/>
      <c r="AE461" s="904"/>
      <c r="AF461" s="904"/>
      <c r="AG461" s="904"/>
      <c r="AH461" s="904"/>
      <c r="AI461" s="904"/>
      <c r="AJ461" s="904"/>
      <c r="AK461" s="904"/>
      <c r="AL461" s="904"/>
      <c r="AM461" s="904"/>
      <c r="AN461" s="904"/>
      <c r="AO461" s="904"/>
      <c r="AP461" s="904"/>
      <c r="AQ461" s="904"/>
      <c r="AR461" s="904"/>
      <c r="AS461" s="904"/>
      <c r="AT461" s="904"/>
      <c r="AU461" s="904"/>
      <c r="AV461" s="904"/>
      <c r="AW461" s="904"/>
      <c r="AX461" s="904"/>
      <c r="AY461" s="904"/>
      <c r="AZ461" s="904"/>
      <c r="BA461" s="904"/>
      <c r="BB461" s="904"/>
      <c r="BC461" s="904"/>
      <c r="BD461" s="904"/>
      <c r="BE461" s="904"/>
      <c r="BF461" s="904"/>
      <c r="BG461" s="904"/>
      <c r="BH461" s="904"/>
      <c r="BI461" s="904"/>
      <c r="BJ461" s="904"/>
      <c r="BK461" s="904"/>
      <c r="BL461" s="904"/>
      <c r="BM461" s="904"/>
      <c r="BN461" s="904"/>
      <c r="BO461" s="904"/>
      <c r="BP461" s="904"/>
      <c r="BQ461" s="904"/>
      <c r="BR461" s="904"/>
      <c r="BS461" s="904"/>
      <c r="BT461" s="904"/>
      <c r="BU461" s="904"/>
      <c r="BV461" s="904"/>
      <c r="BW461" s="904"/>
      <c r="BX461" s="904"/>
      <c r="BY461" s="904"/>
      <c r="BZ461" s="904"/>
      <c r="CA461" s="904"/>
      <c r="CB461" s="904"/>
      <c r="CC461" s="904"/>
      <c r="CD461" s="904"/>
      <c r="CE461" s="904"/>
      <c r="CF461" s="904"/>
      <c r="CG461" s="904"/>
      <c r="CH461" s="904"/>
      <c r="CI461" s="904"/>
      <c r="CJ461" s="904"/>
      <c r="CK461" s="904"/>
      <c r="CL461" s="904"/>
      <c r="CM461" s="904"/>
      <c r="CN461" s="904"/>
      <c r="CO461" s="904"/>
      <c r="CP461" s="904"/>
      <c r="CQ461" s="904"/>
      <c r="CR461" s="904"/>
      <c r="CS461" s="904"/>
      <c r="CT461" s="904"/>
      <c r="CU461" s="904"/>
      <c r="CV461" s="904"/>
      <c r="CW461" s="904"/>
      <c r="CX461" s="904"/>
      <c r="CY461" s="904"/>
      <c r="CZ461" s="904"/>
      <c r="DA461" s="904"/>
      <c r="DB461" s="904"/>
      <c r="DC461" s="904"/>
      <c r="DD461" s="904"/>
      <c r="DE461" s="904"/>
      <c r="DF461" s="904"/>
      <c r="DG461" s="904"/>
      <c r="DH461" s="904"/>
      <c r="DI461" s="904"/>
      <c r="DJ461" s="904"/>
      <c r="DK461" s="904"/>
      <c r="DL461" s="904"/>
      <c r="DM461" s="904"/>
      <c r="DN461" s="904"/>
      <c r="DO461" s="904"/>
      <c r="DP461" s="904"/>
      <c r="DQ461" s="904"/>
      <c r="DR461" s="904"/>
      <c r="DS461" s="904"/>
      <c r="DT461" s="904"/>
      <c r="DU461" s="904"/>
      <c r="DV461" s="904"/>
      <c r="DW461" s="904"/>
      <c r="DX461" s="904"/>
      <c r="DY461" s="904"/>
      <c r="DZ461" s="904"/>
      <c r="EA461" s="904"/>
      <c r="EB461" s="904"/>
      <c r="EC461" s="904"/>
      <c r="ED461" s="904"/>
      <c r="EE461" s="904"/>
      <c r="EF461" s="904"/>
      <c r="EG461" s="904"/>
      <c r="EH461" s="904"/>
      <c r="EI461" s="904"/>
      <c r="EJ461" s="904"/>
      <c r="EK461" s="904"/>
      <c r="EL461" s="904"/>
      <c r="EM461" s="904"/>
      <c r="EN461" s="904"/>
      <c r="EO461" s="904"/>
      <c r="EP461" s="904"/>
      <c r="EQ461" s="904"/>
      <c r="ER461" s="904"/>
      <c r="ES461" s="904"/>
      <c r="ET461" s="904"/>
      <c r="EU461" s="904"/>
      <c r="EV461" s="904"/>
      <c r="EW461" s="904"/>
      <c r="EX461" s="904"/>
      <c r="EY461" s="904"/>
      <c r="EZ461" s="904"/>
      <c r="FA461" s="904"/>
      <c r="FB461" s="904"/>
      <c r="FC461" s="904"/>
      <c r="FD461" s="904"/>
      <c r="FE461" s="904"/>
      <c r="FF461" s="904"/>
      <c r="FG461" s="904"/>
      <c r="FH461" s="904"/>
      <c r="FI461" s="904"/>
      <c r="FJ461" s="904"/>
      <c r="FK461" s="904"/>
      <c r="FL461" s="904"/>
      <c r="FM461" s="904"/>
      <c r="FN461" s="904"/>
      <c r="FO461" s="904"/>
    </row>
    <row r="462" spans="1:171" x14ac:dyDescent="0.25">
      <c r="K462" s="1074"/>
      <c r="S462" s="1074"/>
      <c r="AA462" s="1074"/>
      <c r="AI462" s="1074"/>
      <c r="AQ462" s="1074"/>
      <c r="AY462" s="1074"/>
      <c r="BG462" s="1074"/>
      <c r="BO462" s="1074"/>
      <c r="BW462" s="1074"/>
      <c r="CE462" s="1074"/>
      <c r="CM462" s="1074"/>
      <c r="CU462" s="1074"/>
      <c r="DC462" s="1074"/>
      <c r="DK462" s="1074"/>
      <c r="DS462" s="1074"/>
      <c r="EA462" s="1074"/>
      <c r="EI462" s="1074"/>
      <c r="EQ462" s="1074"/>
      <c r="EY462" s="1074"/>
      <c r="FG462" s="1074"/>
      <c r="FO462" s="1074"/>
    </row>
    <row r="463" spans="1:171" x14ac:dyDescent="0.25">
      <c r="B463" s="1097" t="s">
        <v>642</v>
      </c>
      <c r="G463" s="1098" t="s">
        <v>643</v>
      </c>
      <c r="K463" s="1074"/>
      <c r="S463" s="1074"/>
      <c r="AA463" s="1074"/>
      <c r="AI463" s="1074"/>
      <c r="AQ463" s="1074"/>
      <c r="AY463" s="1074"/>
      <c r="BG463" s="1074"/>
      <c r="BO463" s="1074"/>
      <c r="BW463" s="1074"/>
      <c r="CE463" s="1074"/>
      <c r="CM463" s="1074"/>
      <c r="CU463" s="1074"/>
      <c r="DC463" s="1074"/>
      <c r="DK463" s="1074"/>
      <c r="DS463" s="1074"/>
      <c r="EA463" s="1074"/>
      <c r="EI463" s="1074"/>
      <c r="EQ463" s="1074"/>
      <c r="EY463" s="1074"/>
      <c r="FG463" s="1074"/>
      <c r="FO463" s="1074"/>
    </row>
    <row r="464" spans="1:171" x14ac:dyDescent="0.25">
      <c r="K464" s="1074"/>
      <c r="S464" s="1074"/>
      <c r="AA464" s="1074"/>
      <c r="AI464" s="1074"/>
      <c r="AQ464" s="1074"/>
      <c r="AY464" s="1074"/>
      <c r="BG464" s="1074"/>
      <c r="BO464" s="1074"/>
      <c r="BW464" s="1074"/>
      <c r="CE464" s="1074"/>
      <c r="CM464" s="1074"/>
      <c r="CU464" s="1074"/>
      <c r="DC464" s="1074"/>
      <c r="DK464" s="1074"/>
      <c r="DS464" s="1074"/>
      <c r="EA464" s="1074"/>
      <c r="EI464" s="1074"/>
      <c r="EQ464" s="1074"/>
      <c r="EY464" s="1074"/>
      <c r="FG464" s="1074"/>
      <c r="FO464" s="1074"/>
    </row>
    <row r="465" spans="1:171" x14ac:dyDescent="0.25">
      <c r="B465" s="3779" t="s">
        <v>667</v>
      </c>
      <c r="C465" s="3780"/>
      <c r="D465" s="3780"/>
      <c r="E465" s="3780"/>
      <c r="F465" s="1160"/>
      <c r="G465" s="525">
        <f>G470+G484</f>
        <v>882712895.70983398</v>
      </c>
      <c r="K465" s="1074"/>
      <c r="O465" s="525">
        <f>O470+O484</f>
        <v>882712895.70983398</v>
      </c>
      <c r="S465" s="1074"/>
      <c r="W465" s="525">
        <f>W470+W484</f>
        <v>882712895.70983398</v>
      </c>
      <c r="AA465" s="1074"/>
      <c r="AE465" s="525">
        <f>AE470+AE484</f>
        <v>882712895.70983398</v>
      </c>
      <c r="AI465" s="1074"/>
      <c r="AM465" s="525">
        <f>AM470+AM484</f>
        <v>882712895.70983398</v>
      </c>
      <c r="AQ465" s="1074"/>
      <c r="AU465" s="525">
        <f>AU470+AU484</f>
        <v>882712895.70983398</v>
      </c>
      <c r="AY465" s="1074"/>
      <c r="BC465" s="525">
        <f>BC470+BC484</f>
        <v>882712895.70983398</v>
      </c>
      <c r="BG465" s="1074"/>
      <c r="BK465" s="525">
        <f>BK470+BK484</f>
        <v>882712895.70983398</v>
      </c>
      <c r="BO465" s="1074"/>
      <c r="BS465" s="525">
        <f>BS470+BS484</f>
        <v>882712895.70983398</v>
      </c>
      <c r="BW465" s="1074"/>
      <c r="CA465" s="525">
        <f>CA470+CA484</f>
        <v>882712895.70983398</v>
      </c>
      <c r="CE465" s="1074"/>
      <c r="CI465" s="525">
        <f>CI470+CI484</f>
        <v>882712895.70983398</v>
      </c>
      <c r="CM465" s="1074"/>
      <c r="CQ465" s="525">
        <f>CQ470+CQ484</f>
        <v>882712895.70983398</v>
      </c>
      <c r="CU465" s="1074"/>
      <c r="CY465" s="525">
        <f>CY470+CY484</f>
        <v>882712895.70983398</v>
      </c>
      <c r="DC465" s="1074"/>
      <c r="DG465" s="525">
        <f>DG470+DG484</f>
        <v>882712895.70983398</v>
      </c>
      <c r="DK465" s="1074"/>
      <c r="DO465" s="525">
        <f>DO470+DO484</f>
        <v>882712895.70983398</v>
      </c>
      <c r="DS465" s="1074"/>
      <c r="DW465" s="525">
        <f>DW470+DW484</f>
        <v>882712895.70983398</v>
      </c>
      <c r="EA465" s="1074"/>
      <c r="EE465" s="525">
        <f>EE470+EE484</f>
        <v>882712895.70983398</v>
      </c>
      <c r="EI465" s="1074"/>
      <c r="EM465" s="525">
        <f>EM470+EM484</f>
        <v>882712895.70983398</v>
      </c>
      <c r="EQ465" s="1074"/>
      <c r="EU465" s="525">
        <f>EU470+EU484</f>
        <v>882712895.70983398</v>
      </c>
      <c r="EY465" s="1074"/>
      <c r="FC465" s="525">
        <f>FC470+FC484</f>
        <v>882712895.70983398</v>
      </c>
      <c r="FG465" s="1074"/>
      <c r="FK465" s="525">
        <f>FK470+FK484</f>
        <v>882712895.70983398</v>
      </c>
      <c r="FO465" s="1074"/>
    </row>
    <row r="466" spans="1:171" x14ac:dyDescent="0.25">
      <c r="B466" s="3781" t="s">
        <v>668</v>
      </c>
      <c r="C466" s="3782"/>
      <c r="D466" s="3782"/>
      <c r="E466" s="3782"/>
      <c r="F466" s="1161"/>
      <c r="G466" s="525">
        <f>G489+G493</f>
        <v>79486840.526810884</v>
      </c>
      <c r="K466" s="1074"/>
      <c r="O466" s="525">
        <f>O489+O493</f>
        <v>79486840.52681087</v>
      </c>
      <c r="S466" s="1074"/>
      <c r="W466" s="525">
        <f>W489+W493</f>
        <v>79486840.52681087</v>
      </c>
      <c r="AA466" s="1074"/>
      <c r="AE466" s="525">
        <f>AE489+AE493</f>
        <v>79486840.52681087</v>
      </c>
      <c r="AI466" s="1074"/>
      <c r="AM466" s="525">
        <f>AM489+AM493</f>
        <v>79486840.52681087</v>
      </c>
      <c r="AQ466" s="1074"/>
      <c r="AU466" s="525">
        <f>AU489+AU493</f>
        <v>79486840.52681087</v>
      </c>
      <c r="AY466" s="1074"/>
      <c r="BC466" s="525">
        <f>BC489+BC493</f>
        <v>79486840.52681087</v>
      </c>
      <c r="BG466" s="1074"/>
      <c r="BK466" s="525">
        <f>BK489+BK493</f>
        <v>79486840.52681087</v>
      </c>
      <c r="BO466" s="1074"/>
      <c r="BS466" s="525">
        <f>BS489+BS493</f>
        <v>79486840.52681087</v>
      </c>
      <c r="BW466" s="1074"/>
      <c r="CA466" s="525">
        <f>CA489+CA493</f>
        <v>79486840.52681087</v>
      </c>
      <c r="CE466" s="1074"/>
      <c r="CI466" s="525">
        <f>CI489+CI493</f>
        <v>79486840.52681087</v>
      </c>
      <c r="CM466" s="1074"/>
      <c r="CQ466" s="525">
        <f>CQ489+CQ493</f>
        <v>79486840.52681087</v>
      </c>
      <c r="CU466" s="1074"/>
      <c r="CY466" s="525">
        <f>CY489+CY493</f>
        <v>79486840.52681087</v>
      </c>
      <c r="DC466" s="1074"/>
      <c r="DG466" s="525">
        <f>DG489+DG493</f>
        <v>79486840.52681087</v>
      </c>
      <c r="DK466" s="1074"/>
      <c r="DO466" s="525">
        <f>DO489+DO493</f>
        <v>79486840.52681087</v>
      </c>
      <c r="DS466" s="1074"/>
      <c r="DW466" s="525">
        <f>DW489+DW493</f>
        <v>79486840.52681087</v>
      </c>
      <c r="EA466" s="1074"/>
      <c r="EE466" s="525">
        <f>EE489+EE493</f>
        <v>79486840.52681087</v>
      </c>
      <c r="EI466" s="1074"/>
      <c r="EM466" s="525">
        <f>EM489+EM493</f>
        <v>79486840.52681087</v>
      </c>
      <c r="EQ466" s="1074"/>
      <c r="EU466" s="525">
        <f>EU489+EU493</f>
        <v>79486840.52681087</v>
      </c>
      <c r="EY466" s="1074"/>
      <c r="FC466" s="525">
        <f>FC489+FC493</f>
        <v>79486840.52681087</v>
      </c>
      <c r="FG466" s="1074"/>
      <c r="FK466" s="525">
        <f>FK489+FK493</f>
        <v>79486840.52681087</v>
      </c>
      <c r="FO466" s="1074"/>
    </row>
    <row r="467" spans="1:171" x14ac:dyDescent="0.25">
      <c r="K467" s="1074"/>
      <c r="S467" s="1074"/>
      <c r="AA467" s="1074"/>
      <c r="AI467" s="1074"/>
      <c r="AQ467" s="1074"/>
      <c r="AY467" s="1074"/>
      <c r="BG467" s="1074"/>
      <c r="BO467" s="1074"/>
      <c r="BW467" s="1074"/>
      <c r="CE467" s="1074"/>
      <c r="CM467" s="1074"/>
      <c r="CU467" s="1074"/>
      <c r="DC467" s="1074"/>
      <c r="DK467" s="1074"/>
      <c r="DS467" s="1074"/>
      <c r="EA467" s="1074"/>
      <c r="EI467" s="1074"/>
      <c r="EQ467" s="1074"/>
      <c r="EY467" s="1074"/>
      <c r="FG467" s="1074"/>
      <c r="FO467" s="1074"/>
    </row>
    <row r="468" spans="1:171" x14ac:dyDescent="0.25">
      <c r="K468" s="1074"/>
      <c r="S468" s="1074"/>
      <c r="AA468" s="1074"/>
      <c r="AI468" s="1074"/>
      <c r="AQ468" s="1074"/>
      <c r="AY468" s="1074"/>
      <c r="BG468" s="1074"/>
      <c r="BO468" s="1074"/>
      <c r="BW468" s="1074"/>
      <c r="CE468" s="1074"/>
      <c r="CM468" s="1074"/>
      <c r="CU468" s="1074"/>
      <c r="DC468" s="1074"/>
      <c r="DK468" s="1074"/>
      <c r="DS468" s="1074"/>
      <c r="EA468" s="1074"/>
      <c r="EI468" s="1074"/>
      <c r="EQ468" s="1074"/>
      <c r="EY468" s="1074"/>
      <c r="FG468" s="1074"/>
      <c r="FO468" s="1074"/>
    </row>
    <row r="469" spans="1:171" x14ac:dyDescent="0.25">
      <c r="A469" s="1099"/>
      <c r="B469" s="1100" t="s">
        <v>644</v>
      </c>
      <c r="C469" s="1103"/>
      <c r="K469" s="1074"/>
      <c r="S469" s="1074"/>
      <c r="AA469" s="1074"/>
      <c r="AI469" s="1074"/>
      <c r="AQ469" s="1074"/>
      <c r="AY469" s="1074"/>
      <c r="BG469" s="1074"/>
      <c r="BO469" s="1074"/>
      <c r="BW469" s="1074"/>
      <c r="CE469" s="1074"/>
      <c r="CM469" s="1074"/>
      <c r="CU469" s="1074"/>
      <c r="DC469" s="1074"/>
      <c r="DK469" s="1074"/>
      <c r="DS469" s="1074"/>
      <c r="EA469" s="1074"/>
      <c r="EI469" s="1074"/>
      <c r="EQ469" s="1074"/>
      <c r="EY469" s="1074"/>
      <c r="FG469" s="1074"/>
      <c r="FO469" s="1074"/>
    </row>
    <row r="470" spans="1:171" x14ac:dyDescent="0.25">
      <c r="A470" s="1129">
        <v>105000</v>
      </c>
      <c r="B470" s="1101"/>
      <c r="C470" s="1098" t="s">
        <v>648</v>
      </c>
      <c r="G470" s="1107">
        <f>'3-YEAR PP &amp; OSS Worksheet'!$D$11+'3-YEAR PP &amp; OSS Worksheet'!$D$12+'3-YEAR PP &amp; OSS Worksheet'!$D$13+'3-YEAR PP &amp; OSS Worksheet'!$D$15+'3-YEAR PP &amp; OSS Worksheet'!$D$16</f>
        <v>320633367.22537863</v>
      </c>
      <c r="K470" s="1074"/>
      <c r="N470" s="1162">
        <f>VLOOKUP($A470,'New Resources - Individual'!$A$4:$Y$133,N$2,FALSE)*N$1</f>
        <v>0</v>
      </c>
      <c r="O470" s="1142">
        <f>$G470+N470</f>
        <v>320633367.22537863</v>
      </c>
      <c r="S470" s="1074"/>
      <c r="V470" s="1162">
        <f>VLOOKUP($A470,'New Resources - Individual'!$A$4:$Y$133,V$2,FALSE)*V$1</f>
        <v>0</v>
      </c>
      <c r="W470" s="1142">
        <f>$G470+V470</f>
        <v>320633367.22537863</v>
      </c>
      <c r="AA470" s="1074"/>
      <c r="AD470" s="1162">
        <f>VLOOKUP($A470,'New Resources - Individual'!$A$4:$Y$133,AD$2,FALSE)*AD$1</f>
        <v>0</v>
      </c>
      <c r="AE470" s="1142">
        <f>$G470+AD470</f>
        <v>320633367.22537863</v>
      </c>
      <c r="AI470" s="1074"/>
      <c r="AL470" s="1162">
        <f>VLOOKUP($A470,'New Resources - Individual'!$A$4:$Y$133,AL$2,FALSE)*AL$1</f>
        <v>0</v>
      </c>
      <c r="AM470" s="1142">
        <f>$G470+AL470</f>
        <v>320633367.22537863</v>
      </c>
      <c r="AQ470" s="1074"/>
      <c r="AT470" s="1162">
        <f>VLOOKUP($A470,'New Resources - Individual'!$A$4:$Y$133,AT$2,FALSE)*AT$1</f>
        <v>0</v>
      </c>
      <c r="AU470" s="1142">
        <f>$G470+AT470</f>
        <v>320633367.22537863</v>
      </c>
      <c r="AY470" s="1074"/>
      <c r="BB470" s="1162">
        <f>VLOOKUP($A470,'New Resources - Individual'!$A$4:$Y$133,BB$2,FALSE)*BB$1</f>
        <v>0</v>
      </c>
      <c r="BC470" s="1142">
        <f>$G470+BB470</f>
        <v>320633367.22537863</v>
      </c>
      <c r="BG470" s="1074"/>
      <c r="BJ470" s="1162">
        <f>VLOOKUP($A470,'New Resources - Individual'!$A$4:$Y$133,BJ$2,FALSE)*BJ$1</f>
        <v>0</v>
      </c>
      <c r="BK470" s="1142">
        <f>$G470+BJ470</f>
        <v>320633367.22537863</v>
      </c>
      <c r="BO470" s="1074"/>
      <c r="BR470" s="1162">
        <f>VLOOKUP($A470,'New Resources - Individual'!$A$4:$Y$133,BR$2,FALSE)*BR$1</f>
        <v>0</v>
      </c>
      <c r="BS470" s="1142">
        <f>$G470+BR470</f>
        <v>320633367.22537863</v>
      </c>
      <c r="BW470" s="1074"/>
      <c r="BZ470" s="1162">
        <f>VLOOKUP($A470,'New Resources - Individual'!$A$4:$Y$133,BZ$2,FALSE)*BZ$1</f>
        <v>0</v>
      </c>
      <c r="CA470" s="1142">
        <f>$G470+BZ470</f>
        <v>320633367.22537863</v>
      </c>
      <c r="CE470" s="1074"/>
      <c r="CH470" s="1162">
        <f>VLOOKUP($A470,'New Resources - Individual'!$A$4:$Y$133,CH$2,FALSE)*CH$1</f>
        <v>0</v>
      </c>
      <c r="CI470" s="1142">
        <f>$G470+CH470</f>
        <v>320633367.22537863</v>
      </c>
      <c r="CM470" s="1074"/>
      <c r="CP470" s="1162">
        <f>VLOOKUP($A470,'New Resources - Individual'!$A$4:$Y$133,CP$2,FALSE)*CP$1</f>
        <v>0</v>
      </c>
      <c r="CQ470" s="1142">
        <f>$G470+CP470</f>
        <v>320633367.22537863</v>
      </c>
      <c r="CU470" s="1074"/>
      <c r="CX470" s="1162">
        <f>VLOOKUP($A470,'New Resources - Individual'!$A$4:$Y$133,CX$2,FALSE)*CX$1</f>
        <v>0</v>
      </c>
      <c r="CY470" s="1142">
        <f>$G470+CX470</f>
        <v>320633367.22537863</v>
      </c>
      <c r="DC470" s="1074"/>
      <c r="DF470" s="1162">
        <f>VLOOKUP($A470,'New Resources - Individual'!$A$4:$Y$133,DF$2,FALSE)*DF$1</f>
        <v>0</v>
      </c>
      <c r="DG470" s="1142">
        <f>$G470+DF470</f>
        <v>320633367.22537863</v>
      </c>
      <c r="DK470" s="1074"/>
      <c r="DN470" s="1162">
        <f>VLOOKUP($A470,'New Resources - Individual'!$A$4:$Y$133,DN$2,FALSE)*DN$1</f>
        <v>0</v>
      </c>
      <c r="DO470" s="1142">
        <f>$G470+DN470</f>
        <v>320633367.22537863</v>
      </c>
      <c r="DS470" s="1074"/>
      <c r="DV470" s="1162">
        <f>VLOOKUP($A470,'New Resources - Individual'!$A$4:$Y$133,DV$2,FALSE)*DV$1</f>
        <v>0</v>
      </c>
      <c r="DW470" s="1142">
        <f>$G470+DV470</f>
        <v>320633367.22537863</v>
      </c>
      <c r="EA470" s="1074"/>
      <c r="ED470" s="1162">
        <f>VLOOKUP($A470,'New Resources - Individual'!$A$4:$Y$133,ED$2,FALSE)*ED$1</f>
        <v>0</v>
      </c>
      <c r="EE470" s="1142">
        <f>$G470+ED470</f>
        <v>320633367.22537863</v>
      </c>
      <c r="EI470" s="1074"/>
      <c r="EL470" s="1162">
        <f>VLOOKUP($A470,'New Resources - Individual'!$A$4:$Y$133,EL$2,FALSE)*EL$1</f>
        <v>0</v>
      </c>
      <c r="EM470" s="1142">
        <f>$G470+EL470</f>
        <v>320633367.22537863</v>
      </c>
      <c r="EQ470" s="1074"/>
      <c r="ET470" s="1162">
        <f>VLOOKUP($A470,'New Resources - Individual'!$A$4:$Y$133,ET$2,FALSE)*ET$1</f>
        <v>0</v>
      </c>
      <c r="EU470" s="1142">
        <f>$G470+ET470</f>
        <v>320633367.22537863</v>
      </c>
      <c r="EY470" s="1074"/>
      <c r="FB470" s="1162">
        <f>VLOOKUP($A470,'New Resources - Individual'!$A$4:$Y$133,FB$2,FALSE)*FB$1</f>
        <v>0</v>
      </c>
      <c r="FC470" s="1142">
        <f>$G470+FB470</f>
        <v>320633367.22537863</v>
      </c>
      <c r="FG470" s="1074"/>
      <c r="FJ470" s="1162">
        <f>VLOOKUP($A470,'New Resources - Individual'!$A$4:$Y$133,FJ$2,FALSE)*FJ$1</f>
        <v>0</v>
      </c>
      <c r="FK470" s="1142">
        <f>$G470+FJ470</f>
        <v>320633367.22537863</v>
      </c>
      <c r="FO470" s="1074"/>
    </row>
    <row r="471" spans="1:171" x14ac:dyDescent="0.25">
      <c r="B471" s="1101"/>
      <c r="K471" s="1074"/>
      <c r="S471" s="1074"/>
      <c r="AA471" s="1074"/>
      <c r="AI471" s="1074"/>
      <c r="AQ471" s="1074"/>
      <c r="AY471" s="1074"/>
      <c r="BG471" s="1074"/>
      <c r="BO471" s="1074"/>
      <c r="BW471" s="1074"/>
      <c r="CE471" s="1074"/>
      <c r="CM471" s="1074"/>
      <c r="CU471" s="1074"/>
      <c r="DC471" s="1074"/>
      <c r="DK471" s="1074"/>
      <c r="DS471" s="1074"/>
      <c r="EA471" s="1074"/>
      <c r="EI471" s="1074"/>
      <c r="EQ471" s="1074"/>
      <c r="EY471" s="1074"/>
      <c r="FG471" s="1074"/>
      <c r="FO471" s="1074"/>
    </row>
    <row r="472" spans="1:171" x14ac:dyDescent="0.25">
      <c r="A472" s="1099"/>
      <c r="B472" s="1101"/>
      <c r="C472" s="1098"/>
      <c r="K472" s="1074"/>
      <c r="S472" s="1074"/>
      <c r="AA472" s="1074"/>
      <c r="AI472" s="1074"/>
      <c r="AQ472" s="1074"/>
      <c r="AY472" s="1074"/>
      <c r="BG472" s="1074"/>
      <c r="BO472" s="1074"/>
      <c r="BW472" s="1074"/>
      <c r="CE472" s="1074"/>
      <c r="CM472" s="1074"/>
      <c r="CU472" s="1074"/>
      <c r="DC472" s="1074"/>
      <c r="DK472" s="1074"/>
      <c r="DS472" s="1074"/>
      <c r="EA472" s="1074"/>
      <c r="EI472" s="1074"/>
      <c r="EQ472" s="1074"/>
      <c r="EY472" s="1074"/>
      <c r="FG472" s="1074"/>
      <c r="FO472" s="1074"/>
    </row>
    <row r="473" spans="1:171" x14ac:dyDescent="0.25">
      <c r="A473" s="1129">
        <v>106000</v>
      </c>
      <c r="B473" s="1100"/>
      <c r="C473" s="1098" t="s">
        <v>649</v>
      </c>
      <c r="K473" s="1074"/>
      <c r="N473" s="1162">
        <f>VLOOKUP($A473,'New Resources - Individual'!$A$4:$Y$133,N$2,FALSE)*N$1</f>
        <v>0</v>
      </c>
      <c r="S473" s="1074"/>
      <c r="V473" s="1162">
        <f>VLOOKUP($A473,'New Resources - Individual'!$A$4:$Y$133,V$2,FALSE)*V$1</f>
        <v>0</v>
      </c>
      <c r="AA473" s="1074"/>
      <c r="AD473" s="1162">
        <f>VLOOKUP($A473,'New Resources - Individual'!$A$4:$Y$133,AD$2,FALSE)*AD$1</f>
        <v>0</v>
      </c>
      <c r="AI473" s="1074"/>
      <c r="AL473" s="1162">
        <f>VLOOKUP($A473,'New Resources - Individual'!$A$4:$Y$133,AL$2,FALSE)*AL$1</f>
        <v>0</v>
      </c>
      <c r="AQ473" s="1074"/>
      <c r="AT473" s="1162">
        <f>VLOOKUP($A473,'New Resources - Individual'!$A$4:$Y$133,AT$2,FALSE)*AT$1</f>
        <v>0</v>
      </c>
      <c r="AY473" s="1074"/>
      <c r="BB473" s="1162">
        <f>VLOOKUP($A473,'New Resources - Individual'!$A$4:$Y$133,BB$2,FALSE)*BB$1</f>
        <v>0</v>
      </c>
      <c r="BG473" s="1074"/>
      <c r="BJ473" s="1162">
        <f>VLOOKUP($A473,'New Resources - Individual'!$A$4:$Y$133,BJ$2,FALSE)*BJ$1</f>
        <v>0</v>
      </c>
      <c r="BO473" s="1074"/>
      <c r="BR473" s="1162">
        <f>VLOOKUP($A473,'New Resources - Individual'!$A$4:$Y$133,BR$2,FALSE)*BR$1</f>
        <v>0</v>
      </c>
      <c r="BW473" s="1074"/>
      <c r="BZ473" s="1162">
        <f>VLOOKUP($A473,'New Resources - Individual'!$A$4:$Y$133,BZ$2,FALSE)*BZ$1</f>
        <v>0</v>
      </c>
      <c r="CE473" s="1074"/>
      <c r="CH473" s="1162">
        <f>VLOOKUP($A473,'New Resources - Individual'!$A$4:$Y$133,CH$2,FALSE)*CH$1</f>
        <v>0</v>
      </c>
      <c r="CM473" s="1074"/>
      <c r="CP473" s="1162">
        <f>VLOOKUP($A473,'New Resources - Individual'!$A$4:$Y$133,CP$2,FALSE)*CP$1</f>
        <v>0</v>
      </c>
      <c r="CU473" s="1074"/>
      <c r="CX473" s="1162">
        <f>VLOOKUP($A473,'New Resources - Individual'!$A$4:$Y$133,CX$2,FALSE)*CX$1</f>
        <v>0</v>
      </c>
      <c r="DC473" s="1074"/>
      <c r="DF473" s="1162">
        <f>VLOOKUP($A473,'New Resources - Individual'!$A$4:$Y$133,DF$2,FALSE)*DF$1</f>
        <v>0</v>
      </c>
      <c r="DK473" s="1074"/>
      <c r="DN473" s="1162">
        <f>VLOOKUP($A473,'New Resources - Individual'!$A$4:$Y$133,DN$2,FALSE)*DN$1</f>
        <v>0</v>
      </c>
      <c r="DS473" s="1074"/>
      <c r="DV473" s="1162">
        <f>VLOOKUP($A473,'New Resources - Individual'!$A$4:$Y$133,DV$2,FALSE)*DV$1</f>
        <v>0</v>
      </c>
      <c r="EA473" s="1074"/>
      <c r="ED473" s="1162">
        <f>VLOOKUP($A473,'New Resources - Individual'!$A$4:$Y$133,ED$2,FALSE)*ED$1</f>
        <v>0</v>
      </c>
      <c r="EI473" s="1074"/>
      <c r="EL473" s="1162">
        <f>VLOOKUP($A473,'New Resources - Individual'!$A$4:$Y$133,EL$2,FALSE)*EL$1</f>
        <v>0</v>
      </c>
      <c r="EQ473" s="1074"/>
      <c r="ET473" s="1162">
        <f>VLOOKUP($A473,'New Resources - Individual'!$A$4:$Y$133,ET$2,FALSE)*ET$1</f>
        <v>0</v>
      </c>
      <c r="EY473" s="1074"/>
      <c r="FB473" s="1162">
        <f>VLOOKUP($A473,'New Resources - Individual'!$A$4:$Y$133,FB$2,FALSE)*FB$1</f>
        <v>0</v>
      </c>
      <c r="FG473" s="1074"/>
      <c r="FJ473" s="1162">
        <f>VLOOKUP($A473,'New Resources - Individual'!$A$4:$Y$133,FJ$2,FALSE)*FJ$1</f>
        <v>0</v>
      </c>
      <c r="FO473" s="1074"/>
    </row>
    <row r="474" spans="1:171" x14ac:dyDescent="0.25">
      <c r="A474" s="1129">
        <v>107000</v>
      </c>
      <c r="B474" s="1100"/>
      <c r="C474" s="1098" t="s">
        <v>650</v>
      </c>
      <c r="K474" s="1074"/>
      <c r="N474" s="1162">
        <f>VLOOKUP($A474,'New Resources - Individual'!$A$4:$Y$133,N$2,FALSE)*N$1</f>
        <v>0</v>
      </c>
      <c r="S474" s="1074"/>
      <c r="V474" s="1162">
        <f>VLOOKUP($A474,'New Resources - Individual'!$A$4:$Y$133,V$2,FALSE)*V$1</f>
        <v>0</v>
      </c>
      <c r="AA474" s="1074"/>
      <c r="AD474" s="1162">
        <f>VLOOKUP($A474,'New Resources - Individual'!$A$4:$Y$133,AD$2,FALSE)*AD$1</f>
        <v>0</v>
      </c>
      <c r="AI474" s="1074"/>
      <c r="AL474" s="1162">
        <f>VLOOKUP($A474,'New Resources - Individual'!$A$4:$Y$133,AL$2,FALSE)*AL$1</f>
        <v>0</v>
      </c>
      <c r="AQ474" s="1074"/>
      <c r="AT474" s="1162">
        <f>VLOOKUP($A474,'New Resources - Individual'!$A$4:$Y$133,AT$2,FALSE)*AT$1</f>
        <v>0</v>
      </c>
      <c r="AY474" s="1074"/>
      <c r="BB474" s="1162">
        <f>VLOOKUP($A474,'New Resources - Individual'!$A$4:$Y$133,BB$2,FALSE)*BB$1</f>
        <v>0</v>
      </c>
      <c r="BG474" s="1074"/>
      <c r="BJ474" s="1162">
        <f>VLOOKUP($A474,'New Resources - Individual'!$A$4:$Y$133,BJ$2,FALSE)*BJ$1</f>
        <v>0</v>
      </c>
      <c r="BO474" s="1074"/>
      <c r="BR474" s="1162">
        <f>VLOOKUP($A474,'New Resources - Individual'!$A$4:$Y$133,BR$2,FALSE)*BR$1</f>
        <v>0</v>
      </c>
      <c r="BW474" s="1074"/>
      <c r="BZ474" s="1162">
        <f>VLOOKUP($A474,'New Resources - Individual'!$A$4:$Y$133,BZ$2,FALSE)*BZ$1</f>
        <v>0</v>
      </c>
      <c r="CE474" s="1074"/>
      <c r="CH474" s="1162">
        <f>VLOOKUP($A474,'New Resources - Individual'!$A$4:$Y$133,CH$2,FALSE)*CH$1</f>
        <v>0</v>
      </c>
      <c r="CM474" s="1074"/>
      <c r="CP474" s="1162">
        <f>VLOOKUP($A474,'New Resources - Individual'!$A$4:$Y$133,CP$2,FALSE)*CP$1</f>
        <v>0</v>
      </c>
      <c r="CU474" s="1074"/>
      <c r="CX474" s="1162">
        <f>VLOOKUP($A474,'New Resources - Individual'!$A$4:$Y$133,CX$2,FALSE)*CX$1</f>
        <v>0</v>
      </c>
      <c r="DC474" s="1074"/>
      <c r="DF474" s="1162">
        <f>VLOOKUP($A474,'New Resources - Individual'!$A$4:$Y$133,DF$2,FALSE)*DF$1</f>
        <v>0</v>
      </c>
      <c r="DK474" s="1074"/>
      <c r="DN474" s="1162">
        <f>VLOOKUP($A474,'New Resources - Individual'!$A$4:$Y$133,DN$2,FALSE)*DN$1</f>
        <v>0</v>
      </c>
      <c r="DS474" s="1074"/>
      <c r="DV474" s="1162">
        <f>VLOOKUP($A474,'New Resources - Individual'!$A$4:$Y$133,DV$2,FALSE)*DV$1</f>
        <v>0</v>
      </c>
      <c r="EA474" s="1074"/>
      <c r="ED474" s="1162">
        <f>VLOOKUP($A474,'New Resources - Individual'!$A$4:$Y$133,ED$2,FALSE)*ED$1</f>
        <v>0</v>
      </c>
      <c r="EI474" s="1074"/>
      <c r="EL474" s="1162">
        <f>VLOOKUP($A474,'New Resources - Individual'!$A$4:$Y$133,EL$2,FALSE)*EL$1</f>
        <v>0</v>
      </c>
      <c r="EQ474" s="1074"/>
      <c r="ET474" s="1162">
        <f>VLOOKUP($A474,'New Resources - Individual'!$A$4:$Y$133,ET$2,FALSE)*ET$1</f>
        <v>0</v>
      </c>
      <c r="EY474" s="1074"/>
      <c r="FB474" s="1162">
        <f>VLOOKUP($A474,'New Resources - Individual'!$A$4:$Y$133,FB$2,FALSE)*FB$1</f>
        <v>0</v>
      </c>
      <c r="FG474" s="1074"/>
      <c r="FJ474" s="1162">
        <f>VLOOKUP($A474,'New Resources - Individual'!$A$4:$Y$133,FJ$2,FALSE)*FJ$1</f>
        <v>0</v>
      </c>
      <c r="FO474" s="1074"/>
    </row>
    <row r="475" spans="1:171" x14ac:dyDescent="0.25">
      <c r="A475" s="1129">
        <v>104000</v>
      </c>
      <c r="B475" s="1099"/>
      <c r="C475" s="1098" t="s">
        <v>651</v>
      </c>
      <c r="K475" s="1074"/>
      <c r="N475" s="1162">
        <f>VLOOKUP($A475,'New Resources - Individual'!$A$4:$Y$133,N$2,FALSE)*N$1</f>
        <v>0</v>
      </c>
      <c r="O475" s="1141"/>
      <c r="S475" s="1074"/>
      <c r="V475" s="1162">
        <f>VLOOKUP($A475,'New Resources - Individual'!$A$4:$Y$133,V$2,FALSE)*V$1</f>
        <v>0</v>
      </c>
      <c r="W475" s="1141"/>
      <c r="AA475" s="1074"/>
      <c r="AD475" s="1162">
        <f>VLOOKUP($A475,'New Resources - Individual'!$A$4:$Y$133,AD$2,FALSE)*AD$1</f>
        <v>0</v>
      </c>
      <c r="AE475" s="1141"/>
      <c r="AI475" s="1074"/>
      <c r="AL475" s="1162">
        <f>VLOOKUP($A475,'New Resources - Individual'!$A$4:$Y$133,AL$2,FALSE)*AL$1</f>
        <v>0</v>
      </c>
      <c r="AM475" s="1141"/>
      <c r="AQ475" s="1074"/>
      <c r="AT475" s="1162">
        <f>VLOOKUP($A475,'New Resources - Individual'!$A$4:$Y$133,AT$2,FALSE)*AT$1</f>
        <v>0</v>
      </c>
      <c r="AU475" s="1141"/>
      <c r="AY475" s="1074"/>
      <c r="BB475" s="1162">
        <f>VLOOKUP($A475,'New Resources - Individual'!$A$4:$Y$133,BB$2,FALSE)*BB$1</f>
        <v>0</v>
      </c>
      <c r="BC475" s="1141"/>
      <c r="BG475" s="1074"/>
      <c r="BJ475" s="1162">
        <f>VLOOKUP($A475,'New Resources - Individual'!$A$4:$Y$133,BJ$2,FALSE)*BJ$1</f>
        <v>0</v>
      </c>
      <c r="BK475" s="1141"/>
      <c r="BO475" s="1074"/>
      <c r="BR475" s="1162">
        <f>VLOOKUP($A475,'New Resources - Individual'!$A$4:$Y$133,BR$2,FALSE)*BR$1</f>
        <v>0</v>
      </c>
      <c r="BS475" s="1141"/>
      <c r="BW475" s="1074"/>
      <c r="BZ475" s="1162">
        <f>VLOOKUP($A475,'New Resources - Individual'!$A$4:$Y$133,BZ$2,FALSE)*BZ$1</f>
        <v>0</v>
      </c>
      <c r="CA475" s="1141"/>
      <c r="CE475" s="1074"/>
      <c r="CH475" s="1162">
        <f>VLOOKUP($A475,'New Resources - Individual'!$A$4:$Y$133,CH$2,FALSE)*CH$1</f>
        <v>0</v>
      </c>
      <c r="CI475" s="1141"/>
      <c r="CM475" s="1074"/>
      <c r="CP475" s="1162">
        <f>VLOOKUP($A475,'New Resources - Individual'!$A$4:$Y$133,CP$2,FALSE)*CP$1</f>
        <v>0</v>
      </c>
      <c r="CQ475" s="1141"/>
      <c r="CU475" s="1074"/>
      <c r="CX475" s="1162">
        <f>VLOOKUP($A475,'New Resources - Individual'!$A$4:$Y$133,CX$2,FALSE)*CX$1</f>
        <v>0</v>
      </c>
      <c r="CY475" s="1141"/>
      <c r="DC475" s="1074"/>
      <c r="DF475" s="1162">
        <f>VLOOKUP($A475,'New Resources - Individual'!$A$4:$Y$133,DF$2,FALSE)*DF$1</f>
        <v>0</v>
      </c>
      <c r="DG475" s="1141"/>
      <c r="DK475" s="1074"/>
      <c r="DN475" s="1162">
        <f>VLOOKUP($A475,'New Resources - Individual'!$A$4:$Y$133,DN$2,FALSE)*DN$1</f>
        <v>0</v>
      </c>
      <c r="DO475" s="1141"/>
      <c r="DS475" s="1074"/>
      <c r="DV475" s="1162">
        <f>VLOOKUP($A475,'New Resources - Individual'!$A$4:$Y$133,DV$2,FALSE)*DV$1</f>
        <v>0</v>
      </c>
      <c r="DW475" s="1141"/>
      <c r="EA475" s="1074"/>
      <c r="ED475" s="1162">
        <f>VLOOKUP($A475,'New Resources - Individual'!$A$4:$Y$133,ED$2,FALSE)*ED$1</f>
        <v>0</v>
      </c>
      <c r="EE475" s="1141"/>
      <c r="EI475" s="1074"/>
      <c r="EL475" s="1162">
        <f>VLOOKUP($A475,'New Resources - Individual'!$A$4:$Y$133,EL$2,FALSE)*EL$1</f>
        <v>0</v>
      </c>
      <c r="EM475" s="1141"/>
      <c r="EQ475" s="1074"/>
      <c r="ET475" s="1162">
        <f>VLOOKUP($A475,'New Resources - Individual'!$A$4:$Y$133,ET$2,FALSE)*ET$1</f>
        <v>0</v>
      </c>
      <c r="EU475" s="1141"/>
      <c r="EY475" s="1074"/>
      <c r="FB475" s="1162">
        <f>VLOOKUP($A475,'New Resources - Individual'!$A$4:$Y$133,FB$2,FALSE)*FB$1</f>
        <v>0</v>
      </c>
      <c r="FC475" s="1141"/>
      <c r="FG475" s="1074"/>
      <c r="FJ475" s="1162">
        <f>VLOOKUP($A475,'New Resources - Individual'!$A$4:$Y$133,FJ$2,FALSE)*FJ$1</f>
        <v>0</v>
      </c>
      <c r="FK475" s="1141"/>
      <c r="FO475" s="1074"/>
    </row>
    <row r="476" spans="1:171" x14ac:dyDescent="0.25">
      <c r="A476" s="1099"/>
      <c r="B476" s="1099"/>
      <c r="C476" s="1098" t="s">
        <v>652</v>
      </c>
      <c r="K476" s="1074"/>
      <c r="N476" s="1143">
        <f>N473+N474-N475</f>
        <v>0</v>
      </c>
      <c r="O476" s="1143">
        <f>N476</f>
        <v>0</v>
      </c>
      <c r="S476" s="1074"/>
      <c r="V476" s="1143">
        <f>V473+V474-V475</f>
        <v>0</v>
      </c>
      <c r="W476" s="1143">
        <f>V476</f>
        <v>0</v>
      </c>
      <c r="AA476" s="1074"/>
      <c r="AD476" s="1143">
        <f>AD473+AD474-AD475</f>
        <v>0</v>
      </c>
      <c r="AE476" s="1143">
        <f>AD476</f>
        <v>0</v>
      </c>
      <c r="AI476" s="1074"/>
      <c r="AL476" s="1143">
        <f>AL473+AL474-AL475</f>
        <v>0</v>
      </c>
      <c r="AM476" s="1143">
        <f>AL476</f>
        <v>0</v>
      </c>
      <c r="AQ476" s="1074"/>
      <c r="AT476" s="1143">
        <f>AT473+AT474-AT475</f>
        <v>0</v>
      </c>
      <c r="AU476" s="1143">
        <f>AT476</f>
        <v>0</v>
      </c>
      <c r="AY476" s="1074"/>
      <c r="BB476" s="1143">
        <f>BB473+BB474-BB475</f>
        <v>0</v>
      </c>
      <c r="BC476" s="1143">
        <f>BB476</f>
        <v>0</v>
      </c>
      <c r="BG476" s="1074"/>
      <c r="BJ476" s="1143">
        <f>BJ473+BJ474-BJ475</f>
        <v>0</v>
      </c>
      <c r="BK476" s="1143">
        <f>BJ476</f>
        <v>0</v>
      </c>
      <c r="BO476" s="1074"/>
      <c r="BR476" s="1143">
        <f>BR473+BR474-BR475</f>
        <v>0</v>
      </c>
      <c r="BS476" s="1143">
        <f>BR476</f>
        <v>0</v>
      </c>
      <c r="BW476" s="1074"/>
      <c r="BZ476" s="1143">
        <f>BZ473+BZ474-BZ475</f>
        <v>0</v>
      </c>
      <c r="CA476" s="1143">
        <f>BZ476</f>
        <v>0</v>
      </c>
      <c r="CE476" s="1074"/>
      <c r="CH476" s="1143">
        <f>CH473+CH474-CH475</f>
        <v>0</v>
      </c>
      <c r="CI476" s="1143">
        <f>CH476</f>
        <v>0</v>
      </c>
      <c r="CM476" s="1074"/>
      <c r="CP476" s="1143">
        <f>CP473+CP474-CP475</f>
        <v>0</v>
      </c>
      <c r="CQ476" s="1143">
        <f>CP476</f>
        <v>0</v>
      </c>
      <c r="CU476" s="1074"/>
      <c r="CX476" s="1143">
        <f>CX473+CX474-CX475</f>
        <v>0</v>
      </c>
      <c r="CY476" s="1143">
        <f>CX476</f>
        <v>0</v>
      </c>
      <c r="DC476" s="1074"/>
      <c r="DF476" s="1143">
        <f>DF473+DF474-DF475</f>
        <v>0</v>
      </c>
      <c r="DG476" s="1143">
        <f>DF476</f>
        <v>0</v>
      </c>
      <c r="DK476" s="1074"/>
      <c r="DN476" s="1143">
        <f>DN473+DN474-DN475</f>
        <v>0</v>
      </c>
      <c r="DO476" s="1143">
        <f>DN476</f>
        <v>0</v>
      </c>
      <c r="DS476" s="1074"/>
      <c r="DV476" s="1143">
        <f>DV473+DV474-DV475</f>
        <v>0</v>
      </c>
      <c r="DW476" s="1143">
        <f>DV476</f>
        <v>0</v>
      </c>
      <c r="EA476" s="1074"/>
      <c r="ED476" s="1143">
        <f>ED473+ED474-ED475</f>
        <v>0</v>
      </c>
      <c r="EE476" s="1143">
        <f>ED476</f>
        <v>0</v>
      </c>
      <c r="EI476" s="1074"/>
      <c r="EL476" s="1143">
        <f>EL473+EL474-EL475</f>
        <v>0</v>
      </c>
      <c r="EM476" s="1143">
        <f>EL476</f>
        <v>0</v>
      </c>
      <c r="EQ476" s="1074"/>
      <c r="ET476" s="1143">
        <f>ET473+ET474-ET475</f>
        <v>0</v>
      </c>
      <c r="EU476" s="1143">
        <f>ET476</f>
        <v>0</v>
      </c>
      <c r="EY476" s="1074"/>
      <c r="FB476" s="1143">
        <f>FB473+FB474-FB475</f>
        <v>0</v>
      </c>
      <c r="FC476" s="1143">
        <f>FB476</f>
        <v>0</v>
      </c>
      <c r="FG476" s="1074"/>
      <c r="FJ476" s="1143">
        <f>FJ473+FJ474-FJ475</f>
        <v>0</v>
      </c>
      <c r="FK476" s="1143">
        <f>FJ476</f>
        <v>0</v>
      </c>
      <c r="FO476" s="1074"/>
    </row>
    <row r="477" spans="1:171" x14ac:dyDescent="0.25">
      <c r="A477" s="1099"/>
      <c r="B477" s="1099"/>
      <c r="C477" s="1103"/>
      <c r="K477" s="1074"/>
      <c r="S477" s="1074"/>
      <c r="AA477" s="1074"/>
      <c r="AI477" s="1074"/>
      <c r="AQ477" s="1074"/>
      <c r="AY477" s="1074"/>
      <c r="BG477" s="1074"/>
      <c r="BO477" s="1074"/>
      <c r="BW477" s="1074"/>
      <c r="CE477" s="1074"/>
      <c r="CM477" s="1074"/>
      <c r="CU477" s="1074"/>
      <c r="DC477" s="1074"/>
      <c r="DK477" s="1074"/>
      <c r="DS477" s="1074"/>
      <c r="EA477" s="1074"/>
      <c r="EI477" s="1074"/>
      <c r="EQ477" s="1074"/>
      <c r="EY477" s="1074"/>
      <c r="FG477" s="1074"/>
      <c r="FO477" s="1074"/>
    </row>
    <row r="478" spans="1:171" x14ac:dyDescent="0.25">
      <c r="A478" s="1099"/>
      <c r="B478" s="1099"/>
      <c r="C478" s="1104" t="s">
        <v>653</v>
      </c>
      <c r="G478" s="1107">
        <f>'3-YEAR PP &amp; OSS Worksheet'!$E$14+'3-YEAR PP &amp; OSS Worksheet'!$E$17+'3-YEAR PP &amp; OSS Worksheet'!$E$18+'3-YEAR PP &amp; OSS Worksheet'!$E$19+'3-YEAR PP &amp; OSS Worksheet'!$E$20</f>
        <v>5090269.5470583336</v>
      </c>
      <c r="K478" s="1074"/>
      <c r="O478" s="1144">
        <f>$G478</f>
        <v>5090269.5470583336</v>
      </c>
      <c r="S478" s="1074"/>
      <c r="W478" s="1144">
        <f>$G478</f>
        <v>5090269.5470583336</v>
      </c>
      <c r="AA478" s="1074"/>
      <c r="AE478" s="1144">
        <f>$G478</f>
        <v>5090269.5470583336</v>
      </c>
      <c r="AI478" s="1074"/>
      <c r="AM478" s="1144">
        <f>$G478</f>
        <v>5090269.5470583336</v>
      </c>
      <c r="AQ478" s="1074"/>
      <c r="AU478" s="1144">
        <f>$G478</f>
        <v>5090269.5470583336</v>
      </c>
      <c r="AY478" s="1074"/>
      <c r="BC478" s="1144">
        <f>$G478</f>
        <v>5090269.5470583336</v>
      </c>
      <c r="BG478" s="1074"/>
      <c r="BK478" s="1144">
        <f>$G478</f>
        <v>5090269.5470583336</v>
      </c>
      <c r="BO478" s="1074"/>
      <c r="BS478" s="1144">
        <f>$G478</f>
        <v>5090269.5470583336</v>
      </c>
      <c r="BW478" s="1074"/>
      <c r="CA478" s="1144">
        <f>$G478</f>
        <v>5090269.5470583336</v>
      </c>
      <c r="CE478" s="1074"/>
      <c r="CI478" s="1144">
        <f>$G478</f>
        <v>5090269.5470583336</v>
      </c>
      <c r="CM478" s="1074"/>
      <c r="CQ478" s="1144">
        <f>$G478</f>
        <v>5090269.5470583336</v>
      </c>
      <c r="CU478" s="1074"/>
      <c r="CY478" s="1144">
        <f>$G478</f>
        <v>5090269.5470583336</v>
      </c>
      <c r="DC478" s="1074"/>
      <c r="DG478" s="1144">
        <f>$G478</f>
        <v>5090269.5470583336</v>
      </c>
      <c r="DK478" s="1074"/>
      <c r="DO478" s="1144">
        <f>$G478</f>
        <v>5090269.5470583336</v>
      </c>
      <c r="DS478" s="1074"/>
      <c r="DW478" s="1144">
        <f>$G478</f>
        <v>5090269.5470583336</v>
      </c>
      <c r="EA478" s="1074"/>
      <c r="EE478" s="1144">
        <f>$G478</f>
        <v>5090269.5470583336</v>
      </c>
      <c r="EI478" s="1074"/>
      <c r="EM478" s="1144">
        <f>$G478</f>
        <v>5090269.5470583336</v>
      </c>
      <c r="EQ478" s="1074"/>
      <c r="EU478" s="1144">
        <f>$G478</f>
        <v>5090269.5470583336</v>
      </c>
      <c r="EY478" s="1074"/>
      <c r="FC478" s="1144">
        <f>$G478</f>
        <v>5090269.5470583336</v>
      </c>
      <c r="FG478" s="1074"/>
      <c r="FK478" s="1144">
        <f>$G478</f>
        <v>5090269.5470583336</v>
      </c>
      <c r="FO478" s="1074"/>
    </row>
    <row r="479" spans="1:171" x14ac:dyDescent="0.25">
      <c r="A479" s="1099"/>
      <c r="B479" s="1099"/>
      <c r="C479" s="1103"/>
      <c r="K479" s="1074"/>
      <c r="S479" s="1074"/>
      <c r="AA479" s="1074"/>
      <c r="AI479" s="1074"/>
      <c r="AQ479" s="1074"/>
      <c r="AY479" s="1074"/>
      <c r="BG479" s="1074"/>
      <c r="BO479" s="1074"/>
      <c r="BW479" s="1074"/>
      <c r="CE479" s="1074"/>
      <c r="CM479" s="1074"/>
      <c r="CU479" s="1074"/>
      <c r="DC479" s="1074"/>
      <c r="DK479" s="1074"/>
      <c r="DS479" s="1074"/>
      <c r="EA479" s="1074"/>
      <c r="EI479" s="1074"/>
      <c r="EQ479" s="1074"/>
      <c r="EY479" s="1074"/>
      <c r="FG479" s="1074"/>
      <c r="FO479" s="1074"/>
    </row>
    <row r="480" spans="1:171" x14ac:dyDescent="0.25">
      <c r="A480" s="1099"/>
      <c r="B480" s="1099"/>
      <c r="C480" s="1259" t="s">
        <v>654</v>
      </c>
      <c r="K480" s="1074"/>
      <c r="O480" s="1141">
        <f>O478-O476</f>
        <v>5090269.5470583336</v>
      </c>
      <c r="S480" s="1074"/>
      <c r="W480" s="1141">
        <f>W478-W476</f>
        <v>5090269.5470583336</v>
      </c>
      <c r="AA480" s="1074"/>
      <c r="AE480" s="1141">
        <f>AE478-AE476</f>
        <v>5090269.5470583336</v>
      </c>
      <c r="AI480" s="1074"/>
      <c r="AM480" s="1141">
        <f>AM478-AM476</f>
        <v>5090269.5470583336</v>
      </c>
      <c r="AQ480" s="1074"/>
      <c r="AU480" s="1141">
        <f>AU478-AU476</f>
        <v>5090269.5470583336</v>
      </c>
      <c r="AY480" s="1074"/>
      <c r="BC480" s="1141">
        <f>BC478-BC476</f>
        <v>5090269.5470583336</v>
      </c>
      <c r="BG480" s="1074"/>
      <c r="BK480" s="1141">
        <f>BK478-BK476</f>
        <v>5090269.5470583336</v>
      </c>
      <c r="BO480" s="1074"/>
      <c r="BS480" s="1141">
        <f>BS478-BS476</f>
        <v>5090269.5470583336</v>
      </c>
      <c r="BW480" s="1074"/>
      <c r="CA480" s="1141">
        <f>CA478-CA476</f>
        <v>5090269.5470583336</v>
      </c>
      <c r="CE480" s="1074"/>
      <c r="CI480" s="1141">
        <f>CI478-CI476</f>
        <v>5090269.5470583336</v>
      </c>
      <c r="CM480" s="1074"/>
      <c r="CQ480" s="1141">
        <f>CQ478-CQ476</f>
        <v>5090269.5470583336</v>
      </c>
      <c r="CU480" s="1074"/>
      <c r="CY480" s="1141">
        <f>CY478-CY476</f>
        <v>5090269.5470583336</v>
      </c>
      <c r="DC480" s="1074"/>
      <c r="DG480" s="1141">
        <f>DG478-DG476</f>
        <v>5090269.5470583336</v>
      </c>
      <c r="DK480" s="1074"/>
      <c r="DO480" s="1141">
        <f>DO478-DO476</f>
        <v>5090269.5470583336</v>
      </c>
      <c r="DS480" s="1074"/>
      <c r="DW480" s="1141">
        <f>DW478-DW476</f>
        <v>5090269.5470583336</v>
      </c>
      <c r="EA480" s="1074"/>
      <c r="EE480" s="1141">
        <f>EE478-EE476</f>
        <v>5090269.5470583336</v>
      </c>
      <c r="EI480" s="1074"/>
      <c r="EM480" s="1141">
        <f>EM478-EM476</f>
        <v>5090269.5470583336</v>
      </c>
      <c r="EQ480" s="1074"/>
      <c r="EU480" s="1141">
        <f>EU478-EU476</f>
        <v>5090269.5470583336</v>
      </c>
      <c r="EY480" s="1074"/>
      <c r="FC480" s="1141">
        <f>FC478-FC476</f>
        <v>5090269.5470583336</v>
      </c>
      <c r="FG480" s="1074"/>
      <c r="FK480" s="1141">
        <f>FK478-FK476</f>
        <v>5090269.5470583336</v>
      </c>
      <c r="FO480" s="1074"/>
    </row>
    <row r="481" spans="1:171" x14ac:dyDescent="0.25">
      <c r="A481" s="1099"/>
      <c r="B481" s="1099"/>
      <c r="C481" s="1260" t="s">
        <v>655</v>
      </c>
      <c r="K481" s="1074"/>
      <c r="O481" s="1141">
        <f>IF(O480&gt;0,O480,0)</f>
        <v>5090269.5470583336</v>
      </c>
      <c r="S481" s="1074"/>
      <c r="W481" s="1141">
        <f>IF(W480&gt;0,W480,0)</f>
        <v>5090269.5470583336</v>
      </c>
      <c r="AA481" s="1074"/>
      <c r="AE481" s="1141">
        <f>IF(AE480&gt;0,AE480,0)</f>
        <v>5090269.5470583336</v>
      </c>
      <c r="AI481" s="1074"/>
      <c r="AM481" s="1141">
        <f>IF(AM480&gt;0,AM480,0)</f>
        <v>5090269.5470583336</v>
      </c>
      <c r="AQ481" s="1074"/>
      <c r="AU481" s="1141">
        <f>IF(AU480&gt;0,AU480,0)</f>
        <v>5090269.5470583336</v>
      </c>
      <c r="AY481" s="1074"/>
      <c r="BC481" s="1141">
        <f>IF(BC480&gt;0,BC480,0)</f>
        <v>5090269.5470583336</v>
      </c>
      <c r="BG481" s="1074"/>
      <c r="BK481" s="1141">
        <f>IF(BK480&gt;0,BK480,0)</f>
        <v>5090269.5470583336</v>
      </c>
      <c r="BO481" s="1074"/>
      <c r="BS481" s="1141">
        <f>IF(BS480&gt;0,BS480,0)</f>
        <v>5090269.5470583336</v>
      </c>
      <c r="BW481" s="1074"/>
      <c r="CA481" s="1141">
        <f>IF(CA480&gt;0,CA480,0)</f>
        <v>5090269.5470583336</v>
      </c>
      <c r="CE481" s="1074"/>
      <c r="CI481" s="1141">
        <f>IF(CI480&gt;0,CI480,0)</f>
        <v>5090269.5470583336</v>
      </c>
      <c r="CM481" s="1074"/>
      <c r="CQ481" s="1141">
        <f>IF(CQ480&gt;0,CQ480,0)</f>
        <v>5090269.5470583336</v>
      </c>
      <c r="CU481" s="1074"/>
      <c r="CY481" s="1141">
        <f>IF(CY480&gt;0,CY480,0)</f>
        <v>5090269.5470583336</v>
      </c>
      <c r="DC481" s="1074"/>
      <c r="DG481" s="1141">
        <f>IF(DG480&gt;0,DG480,0)</f>
        <v>5090269.5470583336</v>
      </c>
      <c r="DK481" s="1074"/>
      <c r="DO481" s="1141">
        <f>IF(DO480&gt;0,DO480,0)</f>
        <v>5090269.5470583336</v>
      </c>
      <c r="DS481" s="1074"/>
      <c r="DW481" s="1141">
        <f>IF(DW480&gt;0,DW480,0)</f>
        <v>5090269.5470583336</v>
      </c>
      <c r="EA481" s="1074"/>
      <c r="EE481" s="1141">
        <f>IF(EE480&gt;0,EE480,0)</f>
        <v>5090269.5470583336</v>
      </c>
      <c r="EI481" s="1074"/>
      <c r="EM481" s="1141">
        <f>IF(EM480&gt;0,EM480,0)</f>
        <v>5090269.5470583336</v>
      </c>
      <c r="EQ481" s="1074"/>
      <c r="EU481" s="1141">
        <f>IF(EU480&gt;0,EU480,0)</f>
        <v>5090269.5470583336</v>
      </c>
      <c r="EY481" s="1074"/>
      <c r="FC481" s="1141">
        <f>IF(FC480&gt;0,FC480,0)</f>
        <v>5090269.5470583336</v>
      </c>
      <c r="FG481" s="1074"/>
      <c r="FK481" s="1141">
        <f>IF(FK480&gt;0,FK480,0)</f>
        <v>5090269.5470583336</v>
      </c>
      <c r="FO481" s="1074"/>
    </row>
    <row r="482" spans="1:171" x14ac:dyDescent="0.25">
      <c r="A482" s="1099"/>
      <c r="B482" s="1099"/>
      <c r="C482" s="1105"/>
      <c r="K482" s="1074"/>
      <c r="S482" s="1074"/>
      <c r="AA482" s="1074"/>
      <c r="AI482" s="1074"/>
      <c r="AQ482" s="1074"/>
      <c r="AY482" s="1074"/>
      <c r="BG482" s="1074"/>
      <c r="BO482" s="1074"/>
      <c r="BW482" s="1074"/>
      <c r="CE482" s="1074"/>
      <c r="CM482" s="1074"/>
      <c r="CU482" s="1074"/>
      <c r="DC482" s="1074"/>
      <c r="DK482" s="1074"/>
      <c r="DS482" s="1074"/>
      <c r="EA482" s="1074"/>
      <c r="EI482" s="1074"/>
      <c r="EQ482" s="1074"/>
      <c r="EY482" s="1074"/>
      <c r="FG482" s="1074"/>
      <c r="FO482" s="1074"/>
    </row>
    <row r="483" spans="1:171" x14ac:dyDescent="0.25">
      <c r="A483" s="1099"/>
      <c r="B483" s="1099"/>
      <c r="C483" s="1259" t="s">
        <v>656</v>
      </c>
      <c r="G483" s="1106">
        <f>G484/G478</f>
        <v>110.42235058245217</v>
      </c>
      <c r="K483" s="1074"/>
      <c r="O483" s="1145">
        <f>$G483</f>
        <v>110.42235058245217</v>
      </c>
      <c r="S483" s="1074"/>
      <c r="W483" s="1145">
        <f>$G483</f>
        <v>110.42235058245217</v>
      </c>
      <c r="AA483" s="1074"/>
      <c r="AE483" s="1145">
        <f>$G483</f>
        <v>110.42235058245217</v>
      </c>
      <c r="AI483" s="1074"/>
      <c r="AM483" s="1145">
        <f>$G483</f>
        <v>110.42235058245217</v>
      </c>
      <c r="AQ483" s="1074"/>
      <c r="AU483" s="1145">
        <f>$G483</f>
        <v>110.42235058245217</v>
      </c>
      <c r="AY483" s="1074"/>
      <c r="BC483" s="1145">
        <f>$G483</f>
        <v>110.42235058245217</v>
      </c>
      <c r="BG483" s="1074"/>
      <c r="BK483" s="1145">
        <f>$G483</f>
        <v>110.42235058245217</v>
      </c>
      <c r="BO483" s="1074"/>
      <c r="BS483" s="1145">
        <f>$G483</f>
        <v>110.42235058245217</v>
      </c>
      <c r="BW483" s="1074"/>
      <c r="CA483" s="1145">
        <f>$G483</f>
        <v>110.42235058245217</v>
      </c>
      <c r="CE483" s="1074"/>
      <c r="CI483" s="1145">
        <f>$G483</f>
        <v>110.42235058245217</v>
      </c>
      <c r="CM483" s="1074"/>
      <c r="CQ483" s="1145">
        <f>$G483</f>
        <v>110.42235058245217</v>
      </c>
      <c r="CU483" s="1074"/>
      <c r="CY483" s="1145">
        <f>$G483</f>
        <v>110.42235058245217</v>
      </c>
      <c r="DC483" s="1074"/>
      <c r="DG483" s="1145">
        <f>$G483</f>
        <v>110.42235058245217</v>
      </c>
      <c r="DK483" s="1074"/>
      <c r="DO483" s="1145">
        <f>$G483</f>
        <v>110.42235058245217</v>
      </c>
      <c r="DS483" s="1074"/>
      <c r="DW483" s="1145">
        <f>$G483</f>
        <v>110.42235058245217</v>
      </c>
      <c r="EA483" s="1074"/>
      <c r="EE483" s="1145">
        <f>$G483</f>
        <v>110.42235058245217</v>
      </c>
      <c r="EI483" s="1074"/>
      <c r="EM483" s="1145">
        <f>$G483</f>
        <v>110.42235058245217</v>
      </c>
      <c r="EQ483" s="1074"/>
      <c r="EU483" s="1145">
        <f>$G483</f>
        <v>110.42235058245217</v>
      </c>
      <c r="EY483" s="1074"/>
      <c r="FC483" s="1145">
        <f>$G483</f>
        <v>110.42235058245217</v>
      </c>
      <c r="FG483" s="1074"/>
      <c r="FK483" s="1145">
        <f>$G483</f>
        <v>110.42235058245217</v>
      </c>
      <c r="FO483" s="1074"/>
    </row>
    <row r="484" spans="1:171" x14ac:dyDescent="0.25">
      <c r="A484" s="1099"/>
      <c r="B484" s="1099"/>
      <c r="C484" s="1261" t="s">
        <v>657</v>
      </c>
      <c r="G484" s="1297">
        <f>'3-YEAR PP &amp; OSS Worksheet'!$D$14+'3-YEAR PP &amp; OSS Worksheet'!$D$17+'3-YEAR PP &amp; OSS Worksheet'!$D$18+'3-YEAR PP &amp; OSS Worksheet'!$D$19+'3-YEAR PP &amp; OSS Worksheet'!$D$20</f>
        <v>562079528.48445535</v>
      </c>
      <c r="K484" s="1074"/>
      <c r="O484" s="1142">
        <f>O481*O483</f>
        <v>562079528.48445535</v>
      </c>
      <c r="S484" s="1074"/>
      <c r="W484" s="1142">
        <f>W481*W483</f>
        <v>562079528.48445535</v>
      </c>
      <c r="AA484" s="1074"/>
      <c r="AE484" s="1142">
        <f>AE481*AE483</f>
        <v>562079528.48445535</v>
      </c>
      <c r="AI484" s="1074"/>
      <c r="AM484" s="1142">
        <f>AM481*AM483</f>
        <v>562079528.48445535</v>
      </c>
      <c r="AQ484" s="1074"/>
      <c r="AU484" s="1142">
        <f>AU481*AU483</f>
        <v>562079528.48445535</v>
      </c>
      <c r="AY484" s="1074"/>
      <c r="BC484" s="1142">
        <f>BC481*BC483</f>
        <v>562079528.48445535</v>
      </c>
      <c r="BG484" s="1074"/>
      <c r="BK484" s="1142">
        <f>BK481*BK483</f>
        <v>562079528.48445535</v>
      </c>
      <c r="BO484" s="1074"/>
      <c r="BS484" s="1142">
        <f>BS481*BS483</f>
        <v>562079528.48445535</v>
      </c>
      <c r="BW484" s="1074"/>
      <c r="CA484" s="1142">
        <f>CA481*CA483</f>
        <v>562079528.48445535</v>
      </c>
      <c r="CE484" s="1074"/>
      <c r="CI484" s="1142">
        <f>CI481*CI483</f>
        <v>562079528.48445535</v>
      </c>
      <c r="CM484" s="1074"/>
      <c r="CQ484" s="1142">
        <f>CQ481*CQ483</f>
        <v>562079528.48445535</v>
      </c>
      <c r="CU484" s="1074"/>
      <c r="CY484" s="1142">
        <f>CY481*CY483</f>
        <v>562079528.48445535</v>
      </c>
      <c r="DC484" s="1074"/>
      <c r="DG484" s="1142">
        <f>DG481*DG483</f>
        <v>562079528.48445535</v>
      </c>
      <c r="DK484" s="1074"/>
      <c r="DO484" s="1142">
        <f>DO481*DO483</f>
        <v>562079528.48445535</v>
      </c>
      <c r="DS484" s="1074"/>
      <c r="DW484" s="1142">
        <f>DW481*DW483</f>
        <v>562079528.48445535</v>
      </c>
      <c r="EA484" s="1074"/>
      <c r="EE484" s="1142">
        <f>EE481*EE483</f>
        <v>562079528.48445535</v>
      </c>
      <c r="EI484" s="1074"/>
      <c r="EM484" s="1142">
        <f>EM481*EM483</f>
        <v>562079528.48445535</v>
      </c>
      <c r="EQ484" s="1074"/>
      <c r="EU484" s="1142">
        <f>EU481*EU483</f>
        <v>562079528.48445535</v>
      </c>
      <c r="EY484" s="1074"/>
      <c r="FC484" s="1142">
        <f>FC481*FC483</f>
        <v>562079528.48445535</v>
      </c>
      <c r="FG484" s="1074"/>
      <c r="FK484" s="1142">
        <f>FK481*FK483</f>
        <v>562079528.48445535</v>
      </c>
      <c r="FO484" s="1074"/>
    </row>
    <row r="485" spans="1:171" x14ac:dyDescent="0.25">
      <c r="A485" s="1099"/>
      <c r="B485" s="1099"/>
      <c r="C485" s="1105"/>
      <c r="K485" s="1074"/>
      <c r="S485" s="1074"/>
      <c r="AA485" s="1074"/>
      <c r="AI485" s="1074"/>
      <c r="AQ485" s="1074"/>
      <c r="AY485" s="1074"/>
      <c r="BG485" s="1074"/>
      <c r="BO485" s="1074"/>
      <c r="BW485" s="1074"/>
      <c r="CE485" s="1074"/>
      <c r="CM485" s="1074"/>
      <c r="CU485" s="1074"/>
      <c r="DC485" s="1074"/>
      <c r="DK485" s="1074"/>
      <c r="DS485" s="1074"/>
      <c r="EA485" s="1074"/>
      <c r="EI485" s="1074"/>
      <c r="EQ485" s="1074"/>
      <c r="EY485" s="1074"/>
      <c r="FG485" s="1074"/>
      <c r="FO485" s="1074"/>
    </row>
    <row r="486" spans="1:171" x14ac:dyDescent="0.25">
      <c r="A486" s="1099"/>
      <c r="B486" s="1099"/>
      <c r="C486" s="1105" t="s">
        <v>658</v>
      </c>
      <c r="G486" s="1107">
        <f>'3-YEAR PP &amp; OSS Worksheet'!$E$29+'3-YEAR PP &amp; OSS Worksheet'!$E$32+'3-YEAR PP &amp; OSS Worksheet'!$E$33+'3-YEAR PP &amp; OSS Worksheet'!$E$34+'3-YEAR PP &amp; OSS Worksheet'!$E$35</f>
        <v>865755.15125696291</v>
      </c>
      <c r="K486" s="1074"/>
      <c r="O486" s="1141">
        <f>$G486</f>
        <v>865755.15125696291</v>
      </c>
      <c r="S486" s="1074"/>
      <c r="W486" s="1141">
        <f>$G486</f>
        <v>865755.15125696291</v>
      </c>
      <c r="AA486" s="1074"/>
      <c r="AE486" s="1141">
        <f>$G486</f>
        <v>865755.15125696291</v>
      </c>
      <c r="AI486" s="1074"/>
      <c r="AM486" s="1141">
        <f>$G486</f>
        <v>865755.15125696291</v>
      </c>
      <c r="AQ486" s="1074"/>
      <c r="AU486" s="1141">
        <f>$G486</f>
        <v>865755.15125696291</v>
      </c>
      <c r="AY486" s="1074"/>
      <c r="BC486" s="1141">
        <f>$G486</f>
        <v>865755.15125696291</v>
      </c>
      <c r="BG486" s="1074"/>
      <c r="BK486" s="1141">
        <f>$G486</f>
        <v>865755.15125696291</v>
      </c>
      <c r="BO486" s="1074"/>
      <c r="BS486" s="1141">
        <f>$G486</f>
        <v>865755.15125696291</v>
      </c>
      <c r="BW486" s="1074"/>
      <c r="CA486" s="1141">
        <f>$G486</f>
        <v>865755.15125696291</v>
      </c>
      <c r="CE486" s="1074"/>
      <c r="CI486" s="1141">
        <f>$G486</f>
        <v>865755.15125696291</v>
      </c>
      <c r="CM486" s="1074"/>
      <c r="CQ486" s="1141">
        <f>$G486</f>
        <v>865755.15125696291</v>
      </c>
      <c r="CU486" s="1074"/>
      <c r="CY486" s="1141">
        <f>$G486</f>
        <v>865755.15125696291</v>
      </c>
      <c r="DC486" s="1074"/>
      <c r="DG486" s="1141">
        <f>$G486</f>
        <v>865755.15125696291</v>
      </c>
      <c r="DK486" s="1074"/>
      <c r="DO486" s="1141">
        <f>$G486</f>
        <v>865755.15125696291</v>
      </c>
      <c r="DS486" s="1074"/>
      <c r="DW486" s="1141">
        <f>$G486</f>
        <v>865755.15125696291</v>
      </c>
      <c r="EA486" s="1074"/>
      <c r="EE486" s="1141">
        <f>$G486</f>
        <v>865755.15125696291</v>
      </c>
      <c r="EI486" s="1074"/>
      <c r="EM486" s="1141">
        <f>$G486</f>
        <v>865755.15125696291</v>
      </c>
      <c r="EQ486" s="1074"/>
      <c r="EU486" s="1141">
        <f>$G486</f>
        <v>865755.15125696291</v>
      </c>
      <c r="EY486" s="1074"/>
      <c r="FC486" s="1141">
        <f>$G486</f>
        <v>865755.15125696291</v>
      </c>
      <c r="FG486" s="1074"/>
      <c r="FK486" s="1141">
        <f>$G486</f>
        <v>865755.15125696291</v>
      </c>
      <c r="FO486" s="1074"/>
    </row>
    <row r="487" spans="1:171" x14ac:dyDescent="0.25">
      <c r="A487" s="1099"/>
      <c r="B487" s="1099"/>
      <c r="C487" s="1105" t="s">
        <v>659</v>
      </c>
      <c r="K487" s="1074"/>
      <c r="O487" s="1141">
        <f>IF(O480&gt;0,0,-O480)</f>
        <v>0</v>
      </c>
      <c r="S487" s="1074"/>
      <c r="W487" s="1141">
        <f>IF(W480&gt;0,0,-W480)</f>
        <v>0</v>
      </c>
      <c r="AA487" s="1074"/>
      <c r="AE487" s="1141">
        <f>IF(AE480&gt;0,0,-AE480)</f>
        <v>0</v>
      </c>
      <c r="AI487" s="1074"/>
      <c r="AM487" s="1141">
        <f>IF(AM480&gt;0,0,-AM480)</f>
        <v>0</v>
      </c>
      <c r="AQ487" s="1074"/>
      <c r="AU487" s="1141">
        <f>IF(AU480&gt;0,0,-AU480)</f>
        <v>0</v>
      </c>
      <c r="AY487" s="1074"/>
      <c r="BC487" s="1141">
        <f>IF(BC480&gt;0,0,-BC480)</f>
        <v>0</v>
      </c>
      <c r="BG487" s="1074"/>
      <c r="BK487" s="1141">
        <f>IF(BK480&gt;0,0,-BK480)</f>
        <v>0</v>
      </c>
      <c r="BO487" s="1074"/>
      <c r="BS487" s="1141">
        <f>IF(BS480&gt;0,0,-BS480)</f>
        <v>0</v>
      </c>
      <c r="BW487" s="1074"/>
      <c r="CA487" s="1141">
        <f>IF(CA480&gt;0,0,-CA480)</f>
        <v>0</v>
      </c>
      <c r="CE487" s="1074"/>
      <c r="CI487" s="1141">
        <f>IF(CI480&gt;0,0,-CI480)</f>
        <v>0</v>
      </c>
      <c r="CM487" s="1074"/>
      <c r="CQ487" s="1141">
        <f>IF(CQ480&gt;0,0,-CQ480)</f>
        <v>0</v>
      </c>
      <c r="CU487" s="1074"/>
      <c r="CY487" s="1141">
        <f>IF(CY480&gt;0,0,-CY480)</f>
        <v>0</v>
      </c>
      <c r="DC487" s="1074"/>
      <c r="DG487" s="1141">
        <f>IF(DG480&gt;0,0,-DG480)</f>
        <v>0</v>
      </c>
      <c r="DK487" s="1074"/>
      <c r="DO487" s="1141">
        <f>IF(DO480&gt;0,0,-DO480)</f>
        <v>0</v>
      </c>
      <c r="DS487" s="1074"/>
      <c r="DW487" s="1141">
        <f>IF(DW480&gt;0,0,-DW480)</f>
        <v>0</v>
      </c>
      <c r="EA487" s="1074"/>
      <c r="EE487" s="1141">
        <f>IF(EE480&gt;0,0,-EE480)</f>
        <v>0</v>
      </c>
      <c r="EI487" s="1074"/>
      <c r="EM487" s="1141">
        <f>IF(EM480&gt;0,0,-EM480)</f>
        <v>0</v>
      </c>
      <c r="EQ487" s="1074"/>
      <c r="EU487" s="1141">
        <f>IF(EU480&gt;0,0,-EU480)</f>
        <v>0</v>
      </c>
      <c r="EY487" s="1074"/>
      <c r="FC487" s="1141">
        <f>IF(FC480&gt;0,0,-FC480)</f>
        <v>0</v>
      </c>
      <c r="FG487" s="1074"/>
      <c r="FK487" s="1141">
        <f>IF(FK480&gt;0,0,-FK480)</f>
        <v>0</v>
      </c>
      <c r="FO487" s="1074"/>
    </row>
    <row r="488" spans="1:171" x14ac:dyDescent="0.25">
      <c r="A488" s="1099"/>
      <c r="B488" s="1099"/>
      <c r="C488" s="1260" t="s">
        <v>660</v>
      </c>
      <c r="K488" s="1074"/>
      <c r="O488" s="1141">
        <f>SUM(O486:O487)</f>
        <v>865755.15125696291</v>
      </c>
      <c r="S488" s="1074"/>
      <c r="W488" s="1141">
        <f>SUM(W486:W487)</f>
        <v>865755.15125696291</v>
      </c>
      <c r="AA488" s="1074"/>
      <c r="AE488" s="1141">
        <f>SUM(AE486:AE487)</f>
        <v>865755.15125696291</v>
      </c>
      <c r="AI488" s="1074"/>
      <c r="AM488" s="1141">
        <f>SUM(AM486:AM487)</f>
        <v>865755.15125696291</v>
      </c>
      <c r="AQ488" s="1074"/>
      <c r="AU488" s="1141">
        <f>SUM(AU486:AU487)</f>
        <v>865755.15125696291</v>
      </c>
      <c r="AY488" s="1074"/>
      <c r="BC488" s="1141">
        <f>SUM(BC486:BC487)</f>
        <v>865755.15125696291</v>
      </c>
      <c r="BG488" s="1074"/>
      <c r="BK488" s="1141">
        <f>SUM(BK486:BK487)</f>
        <v>865755.15125696291</v>
      </c>
      <c r="BO488" s="1074"/>
      <c r="BS488" s="1141">
        <f>SUM(BS486:BS487)</f>
        <v>865755.15125696291</v>
      </c>
      <c r="BW488" s="1074"/>
      <c r="CA488" s="1141">
        <f>SUM(CA486:CA487)</f>
        <v>865755.15125696291</v>
      </c>
      <c r="CE488" s="1074"/>
      <c r="CI488" s="1141">
        <f>SUM(CI486:CI487)</f>
        <v>865755.15125696291</v>
      </c>
      <c r="CM488" s="1074"/>
      <c r="CQ488" s="1141">
        <f>SUM(CQ486:CQ487)</f>
        <v>865755.15125696291</v>
      </c>
      <c r="CU488" s="1074"/>
      <c r="CY488" s="1141">
        <f>SUM(CY486:CY487)</f>
        <v>865755.15125696291</v>
      </c>
      <c r="DC488" s="1074"/>
      <c r="DG488" s="1141">
        <f>SUM(DG486:DG487)</f>
        <v>865755.15125696291</v>
      </c>
      <c r="DK488" s="1074"/>
      <c r="DO488" s="1141">
        <f>SUM(DO486:DO487)</f>
        <v>865755.15125696291</v>
      </c>
      <c r="DS488" s="1074"/>
      <c r="DW488" s="1141">
        <f>SUM(DW486:DW487)</f>
        <v>865755.15125696291</v>
      </c>
      <c r="EA488" s="1074"/>
      <c r="EE488" s="1141">
        <f>SUM(EE486:EE487)</f>
        <v>865755.15125696291</v>
      </c>
      <c r="EI488" s="1074"/>
      <c r="EM488" s="1141">
        <f>SUM(EM486:EM487)</f>
        <v>865755.15125696291</v>
      </c>
      <c r="EQ488" s="1074"/>
      <c r="EU488" s="1141">
        <f>SUM(EU486:EU487)</f>
        <v>865755.15125696291</v>
      </c>
      <c r="EY488" s="1074"/>
      <c r="FC488" s="1141">
        <f>SUM(FC486:FC487)</f>
        <v>865755.15125696291</v>
      </c>
      <c r="FG488" s="1074"/>
      <c r="FK488" s="1141">
        <f>SUM(FK486:FK487)</f>
        <v>865755.15125696291</v>
      </c>
      <c r="FO488" s="1074"/>
    </row>
    <row r="489" spans="1:171" x14ac:dyDescent="0.25">
      <c r="A489" s="1099"/>
      <c r="B489" s="1099"/>
      <c r="C489" s="1261" t="s">
        <v>661</v>
      </c>
      <c r="G489" s="1297">
        <f>'3-YEAR PP &amp; OSS Worksheet'!$D$29+'3-YEAR PP &amp; OSS Worksheet'!$D$32+'3-YEAR PP &amp; OSS Worksheet'!$D$33+'3-YEAR PP &amp; OSS Worksheet'!$D$34+'3-YEAR PP &amp; OSS Worksheet'!$D$35</f>
        <v>65981316.13157171</v>
      </c>
      <c r="K489" s="1074"/>
      <c r="O489" s="1142">
        <f>O488*O490</f>
        <v>65981316.131571703</v>
      </c>
      <c r="S489" s="1074"/>
      <c r="W489" s="1142">
        <f>W488*W490</f>
        <v>65981316.131571703</v>
      </c>
      <c r="AA489" s="1074"/>
      <c r="AE489" s="1142">
        <f>AE488*AE490</f>
        <v>65981316.131571703</v>
      </c>
      <c r="AI489" s="1074"/>
      <c r="AM489" s="1142">
        <f>AM488*AM490</f>
        <v>65981316.131571703</v>
      </c>
      <c r="AQ489" s="1074"/>
      <c r="AU489" s="1142">
        <f>AU488*AU490</f>
        <v>65981316.131571703</v>
      </c>
      <c r="AY489" s="1074"/>
      <c r="BC489" s="1142">
        <f>BC488*BC490</f>
        <v>65981316.131571703</v>
      </c>
      <c r="BG489" s="1074"/>
      <c r="BK489" s="1142">
        <f>BK488*BK490</f>
        <v>65981316.131571703</v>
      </c>
      <c r="BO489" s="1074"/>
      <c r="BS489" s="1142">
        <f>BS488*BS490</f>
        <v>65981316.131571703</v>
      </c>
      <c r="BW489" s="1074"/>
      <c r="CA489" s="1142">
        <f>CA488*CA490</f>
        <v>65981316.131571703</v>
      </c>
      <c r="CE489" s="1074"/>
      <c r="CI489" s="1142">
        <f>CI488*CI490</f>
        <v>65981316.131571703</v>
      </c>
      <c r="CM489" s="1074"/>
      <c r="CQ489" s="1142">
        <f>CQ488*CQ490</f>
        <v>65981316.131571703</v>
      </c>
      <c r="CU489" s="1074"/>
      <c r="CY489" s="1142">
        <f>CY488*CY490</f>
        <v>65981316.131571703</v>
      </c>
      <c r="DC489" s="1074"/>
      <c r="DG489" s="1142">
        <f>DG488*DG490</f>
        <v>65981316.131571703</v>
      </c>
      <c r="DK489" s="1074"/>
      <c r="DO489" s="1142">
        <f>DO488*DO490</f>
        <v>65981316.131571703</v>
      </c>
      <c r="DS489" s="1074"/>
      <c r="DW489" s="1142">
        <f>DW488*DW490</f>
        <v>65981316.131571703</v>
      </c>
      <c r="EA489" s="1074"/>
      <c r="EE489" s="1142">
        <f>EE488*EE490</f>
        <v>65981316.131571703</v>
      </c>
      <c r="EI489" s="1074"/>
      <c r="EM489" s="1142">
        <f>EM488*EM490</f>
        <v>65981316.131571703</v>
      </c>
      <c r="EQ489" s="1074"/>
      <c r="EU489" s="1142">
        <f>EU488*EU490</f>
        <v>65981316.131571703</v>
      </c>
      <c r="EY489" s="1074"/>
      <c r="FC489" s="1142">
        <f>FC488*FC490</f>
        <v>65981316.131571703</v>
      </c>
      <c r="FG489" s="1074"/>
      <c r="FK489" s="1142">
        <f>FK488*FK490</f>
        <v>65981316.131571703</v>
      </c>
      <c r="FO489" s="1074"/>
    </row>
    <row r="490" spans="1:171" x14ac:dyDescent="0.25">
      <c r="A490" s="1099"/>
      <c r="B490" s="1099"/>
      <c r="C490" s="1259" t="s">
        <v>662</v>
      </c>
      <c r="G490" s="1106">
        <f>G489/G486</f>
        <v>76.212444171744735</v>
      </c>
      <c r="K490" s="1074"/>
      <c r="O490" s="1145">
        <f>$G490</f>
        <v>76.212444171744735</v>
      </c>
      <c r="S490" s="1074"/>
      <c r="W490" s="1145">
        <f>$G490</f>
        <v>76.212444171744735</v>
      </c>
      <c r="AA490" s="1074"/>
      <c r="AE490" s="1145">
        <f>$G490</f>
        <v>76.212444171744735</v>
      </c>
      <c r="AI490" s="1074"/>
      <c r="AM490" s="1145">
        <f>$G490</f>
        <v>76.212444171744735</v>
      </c>
      <c r="AQ490" s="1074"/>
      <c r="AU490" s="1145">
        <f>$G490</f>
        <v>76.212444171744735</v>
      </c>
      <c r="AY490" s="1074"/>
      <c r="BC490" s="1145">
        <f>$G490</f>
        <v>76.212444171744735</v>
      </c>
      <c r="BG490" s="1074"/>
      <c r="BK490" s="1145">
        <f>$G490</f>
        <v>76.212444171744735</v>
      </c>
      <c r="BO490" s="1074"/>
      <c r="BS490" s="1145">
        <f>$G490</f>
        <v>76.212444171744735</v>
      </c>
      <c r="BW490" s="1074"/>
      <c r="CA490" s="1145">
        <f>$G490</f>
        <v>76.212444171744735</v>
      </c>
      <c r="CE490" s="1074"/>
      <c r="CI490" s="1145">
        <f>$G490</f>
        <v>76.212444171744735</v>
      </c>
      <c r="CM490" s="1074"/>
      <c r="CQ490" s="1145">
        <f>$G490</f>
        <v>76.212444171744735</v>
      </c>
      <c r="CU490" s="1074"/>
      <c r="CY490" s="1145">
        <f>$G490</f>
        <v>76.212444171744735</v>
      </c>
      <c r="DC490" s="1074"/>
      <c r="DG490" s="1145">
        <f>$G490</f>
        <v>76.212444171744735</v>
      </c>
      <c r="DK490" s="1074"/>
      <c r="DO490" s="1145">
        <f>$G490</f>
        <v>76.212444171744735</v>
      </c>
      <c r="DS490" s="1074"/>
      <c r="DW490" s="1145">
        <f>$G490</f>
        <v>76.212444171744735</v>
      </c>
      <c r="EA490" s="1074"/>
      <c r="EE490" s="1145">
        <f>$G490</f>
        <v>76.212444171744735</v>
      </c>
      <c r="EI490" s="1074"/>
      <c r="EM490" s="1145">
        <f>$G490</f>
        <v>76.212444171744735</v>
      </c>
      <c r="EQ490" s="1074"/>
      <c r="EU490" s="1145">
        <f>$G490</f>
        <v>76.212444171744735</v>
      </c>
      <c r="EY490" s="1074"/>
      <c r="FC490" s="1145">
        <f>$G490</f>
        <v>76.212444171744735</v>
      </c>
      <c r="FG490" s="1074"/>
      <c r="FK490" s="1145">
        <f>$G490</f>
        <v>76.212444171744735</v>
      </c>
      <c r="FO490" s="1074"/>
    </row>
    <row r="491" spans="1:171" x14ac:dyDescent="0.25">
      <c r="A491" s="1099"/>
      <c r="B491" s="1102" t="s">
        <v>645</v>
      </c>
      <c r="C491" s="1103"/>
      <c r="K491" s="1074"/>
      <c r="S491" s="1074"/>
      <c r="AA491" s="1074"/>
      <c r="AI491" s="1074"/>
      <c r="AQ491" s="1074"/>
      <c r="AY491" s="1074"/>
      <c r="BG491" s="1074"/>
      <c r="BO491" s="1074"/>
      <c r="BW491" s="1074"/>
      <c r="CE491" s="1074"/>
      <c r="CM491" s="1074"/>
      <c r="CU491" s="1074"/>
      <c r="DC491" s="1074"/>
      <c r="DK491" s="1074"/>
      <c r="DS491" s="1074"/>
      <c r="EA491" s="1074"/>
      <c r="EI491" s="1074"/>
      <c r="EQ491" s="1074"/>
      <c r="EY491" s="1074"/>
      <c r="FG491" s="1074"/>
      <c r="FO491" s="1074"/>
    </row>
    <row r="492" spans="1:171" x14ac:dyDescent="0.25">
      <c r="B492" s="1102" t="s">
        <v>646</v>
      </c>
      <c r="K492" s="1074"/>
      <c r="S492" s="1074"/>
      <c r="AA492" s="1074"/>
      <c r="AI492" s="1074"/>
      <c r="AQ492" s="1074"/>
      <c r="AY492" s="1074"/>
      <c r="BG492" s="1074"/>
      <c r="BO492" s="1074"/>
      <c r="BW492" s="1074"/>
      <c r="CE492" s="1074"/>
      <c r="CM492" s="1074"/>
      <c r="CU492" s="1074"/>
      <c r="DC492" s="1074"/>
      <c r="DK492" s="1074"/>
      <c r="DS492" s="1074"/>
      <c r="EA492" s="1074"/>
      <c r="EI492" s="1074"/>
      <c r="EQ492" s="1074"/>
      <c r="EY492" s="1074"/>
      <c r="FG492" s="1074"/>
      <c r="FO492" s="1074"/>
    </row>
    <row r="493" spans="1:171" x14ac:dyDescent="0.25">
      <c r="A493" s="1129">
        <v>103000</v>
      </c>
      <c r="C493" s="1261" t="s">
        <v>663</v>
      </c>
      <c r="G493" s="1297">
        <f>'3-YEAR PP &amp; OSS Worksheet'!$D$26+'3-YEAR PP &amp; OSS Worksheet'!$D$27+'3-YEAR PP &amp; OSS Worksheet'!$D$28+'3-YEAR PP &amp; OSS Worksheet'!$D$30+'3-YEAR PP &amp; OSS Worksheet'!$D$31</f>
        <v>13505524.395239173</v>
      </c>
      <c r="K493" s="1074"/>
      <c r="N493" s="1130">
        <f>VLOOKUP($A493,'New Resources - Individual'!$A$4:$Y$133,N$2,FALSE)*N$1</f>
        <v>0</v>
      </c>
      <c r="O493" s="1142">
        <f>$G493+N493</f>
        <v>13505524.395239173</v>
      </c>
      <c r="S493" s="1074"/>
      <c r="V493" s="1130">
        <f>VLOOKUP($A493,'New Resources - Individual'!$A$4:$Y$133,V$2,FALSE)*V$1</f>
        <v>0</v>
      </c>
      <c r="W493" s="1142">
        <f>$G493+V493</f>
        <v>13505524.395239173</v>
      </c>
      <c r="AA493" s="1074"/>
      <c r="AD493" s="1130">
        <f>VLOOKUP($A493,'New Resources - Individual'!$A$4:$Y$133,AD$2,FALSE)*AD$1</f>
        <v>0</v>
      </c>
      <c r="AE493" s="1142">
        <f>$G493+AD493</f>
        <v>13505524.395239173</v>
      </c>
      <c r="AI493" s="1074"/>
      <c r="AL493" s="1130">
        <f>VLOOKUP($A493,'New Resources - Individual'!$A$4:$Y$133,AL$2,FALSE)*AL$1</f>
        <v>0</v>
      </c>
      <c r="AM493" s="1142">
        <f>$G493+AL493</f>
        <v>13505524.395239173</v>
      </c>
      <c r="AQ493" s="1074"/>
      <c r="AT493" s="1130">
        <f>VLOOKUP($A493,'New Resources - Individual'!$A$4:$Y$133,AT$2,FALSE)*AT$1</f>
        <v>0</v>
      </c>
      <c r="AU493" s="1142">
        <f>$G493+AT493</f>
        <v>13505524.395239173</v>
      </c>
      <c r="AY493" s="1074"/>
      <c r="BB493" s="1130">
        <f>VLOOKUP($A493,'New Resources - Individual'!$A$4:$Y$133,BB$2,FALSE)*BB$1</f>
        <v>0</v>
      </c>
      <c r="BC493" s="1142">
        <f>$G493+BB493</f>
        <v>13505524.395239173</v>
      </c>
      <c r="BG493" s="1074"/>
      <c r="BJ493" s="1130">
        <f>VLOOKUP($A493,'New Resources - Individual'!$A$4:$Y$133,BJ$2,FALSE)*BJ$1</f>
        <v>0</v>
      </c>
      <c r="BK493" s="1142">
        <f>$G493+BJ493</f>
        <v>13505524.395239173</v>
      </c>
      <c r="BO493" s="1074"/>
      <c r="BR493" s="1130">
        <f>VLOOKUP($A493,'New Resources - Individual'!$A$4:$Y$133,BR$2,FALSE)*BR$1</f>
        <v>0</v>
      </c>
      <c r="BS493" s="1142">
        <f>$G493+BR493</f>
        <v>13505524.395239173</v>
      </c>
      <c r="BW493" s="1074"/>
      <c r="BZ493" s="1130">
        <f>VLOOKUP($A493,'New Resources - Individual'!$A$4:$Y$133,BZ$2,FALSE)*BZ$1</f>
        <v>0</v>
      </c>
      <c r="CA493" s="1142">
        <f>$G493+BZ493</f>
        <v>13505524.395239173</v>
      </c>
      <c r="CE493" s="1074"/>
      <c r="CH493" s="1130">
        <f>VLOOKUP($A493,'New Resources - Individual'!$A$4:$Y$133,CH$2,FALSE)*CH$1</f>
        <v>0</v>
      </c>
      <c r="CI493" s="1142">
        <f>$G493+CH493</f>
        <v>13505524.395239173</v>
      </c>
      <c r="CM493" s="1074"/>
      <c r="CP493" s="1130">
        <f>VLOOKUP($A493,'New Resources - Individual'!$A$4:$Y$133,CP$2,FALSE)*CP$1</f>
        <v>0</v>
      </c>
      <c r="CQ493" s="1142">
        <f>$G493+CP493</f>
        <v>13505524.395239173</v>
      </c>
      <c r="CU493" s="1074"/>
      <c r="CX493" s="1130">
        <f>VLOOKUP($A493,'New Resources - Individual'!$A$4:$Y$133,CX$2,FALSE)*CX$1</f>
        <v>0</v>
      </c>
      <c r="CY493" s="1142">
        <f>$G493+CX493</f>
        <v>13505524.395239173</v>
      </c>
      <c r="DC493" s="1074"/>
      <c r="DF493" s="1130">
        <f>VLOOKUP($A493,'New Resources - Individual'!$A$4:$Y$133,DF$2,FALSE)*DF$1</f>
        <v>0</v>
      </c>
      <c r="DG493" s="1142">
        <f>$G493+DF493</f>
        <v>13505524.395239173</v>
      </c>
      <c r="DK493" s="1074"/>
      <c r="DN493" s="1130">
        <f>VLOOKUP($A493,'New Resources - Individual'!$A$4:$Y$133,DN$2,FALSE)*DN$1</f>
        <v>0</v>
      </c>
      <c r="DO493" s="1142">
        <f>$G493+DN493</f>
        <v>13505524.395239173</v>
      </c>
      <c r="DS493" s="1074"/>
      <c r="DV493" s="1130">
        <f>VLOOKUP($A493,'New Resources - Individual'!$A$4:$Y$133,DV$2,FALSE)*DV$1</f>
        <v>0</v>
      </c>
      <c r="DW493" s="1142">
        <f>$G493+DV493</f>
        <v>13505524.395239173</v>
      </c>
      <c r="EA493" s="1074"/>
      <c r="ED493" s="1130">
        <f>VLOOKUP($A493,'New Resources - Individual'!$A$4:$Y$133,ED$2,FALSE)*ED$1</f>
        <v>0</v>
      </c>
      <c r="EE493" s="1142">
        <f>$G493+ED493</f>
        <v>13505524.395239173</v>
      </c>
      <c r="EI493" s="1074"/>
      <c r="EL493" s="1130">
        <f>VLOOKUP($A493,'New Resources - Individual'!$A$4:$Y$133,EL$2,FALSE)*EL$1</f>
        <v>0</v>
      </c>
      <c r="EM493" s="1142">
        <f>$G493+EL493</f>
        <v>13505524.395239173</v>
      </c>
      <c r="EQ493" s="1074"/>
      <c r="ET493" s="1130">
        <f>VLOOKUP($A493,'New Resources - Individual'!$A$4:$Y$133,ET$2,FALSE)*ET$1</f>
        <v>0</v>
      </c>
      <c r="EU493" s="1142">
        <f>$G493+ET493</f>
        <v>13505524.395239173</v>
      </c>
      <c r="EY493" s="1074"/>
      <c r="FB493" s="1130">
        <f>VLOOKUP($A493,'New Resources - Individual'!$A$4:$Y$133,FB$2,FALSE)*FB$1</f>
        <v>0</v>
      </c>
      <c r="FC493" s="1142">
        <f>$G493+FB493</f>
        <v>13505524.395239173</v>
      </c>
      <c r="FG493" s="1074"/>
      <c r="FJ493" s="1130">
        <f>VLOOKUP($A493,'New Resources - Individual'!$A$4:$Y$133,FJ$2,FALSE)*FJ$1</f>
        <v>0</v>
      </c>
      <c r="FK493" s="1142">
        <f>$G493+FJ493</f>
        <v>13505524.395239173</v>
      </c>
      <c r="FO493" s="1074"/>
    </row>
    <row r="494" spans="1:171" x14ac:dyDescent="0.25">
      <c r="A494" s="1099" t="s">
        <v>647</v>
      </c>
      <c r="K494" s="1074"/>
      <c r="S494" s="1074"/>
      <c r="AA494" s="1074"/>
      <c r="AI494" s="1074"/>
      <c r="AQ494" s="1074"/>
      <c r="AY494" s="1074"/>
      <c r="BG494" s="1074"/>
      <c r="BO494" s="1074"/>
      <c r="BW494" s="1074"/>
      <c r="CE494" s="1074"/>
      <c r="CM494" s="1074"/>
      <c r="CU494" s="1074"/>
      <c r="DC494" s="1074"/>
      <c r="DK494" s="1074"/>
      <c r="DS494" s="1074"/>
      <c r="EA494" s="1074"/>
      <c r="EI494" s="1074"/>
      <c r="EQ494" s="1074"/>
      <c r="EY494" s="1074"/>
      <c r="FG494" s="1074"/>
      <c r="FO494" s="1074"/>
    </row>
    <row r="495" spans="1:171" x14ac:dyDescent="0.25">
      <c r="K495" s="1074"/>
      <c r="S495" s="1074"/>
      <c r="AA495" s="1074"/>
      <c r="AI495" s="1074"/>
      <c r="AQ495" s="1074"/>
      <c r="AY495" s="1074"/>
      <c r="BG495" s="1074"/>
      <c r="BO495" s="1074"/>
      <c r="BW495" s="1074"/>
      <c r="CE495" s="1074"/>
      <c r="CM495" s="1074"/>
      <c r="CU495" s="1074"/>
      <c r="DC495" s="1074"/>
      <c r="DK495" s="1074"/>
      <c r="DS495" s="1074"/>
      <c r="EA495" s="1074"/>
      <c r="EI495" s="1074"/>
      <c r="EQ495" s="1074"/>
      <c r="EY495" s="1074"/>
      <c r="FG495" s="1074"/>
      <c r="FO495" s="1074"/>
    </row>
    <row r="496" spans="1:171" x14ac:dyDescent="0.25">
      <c r="A496" s="904"/>
      <c r="B496" s="904"/>
      <c r="C496" s="904"/>
      <c r="D496" s="904"/>
      <c r="E496" s="904"/>
      <c r="F496" s="904"/>
      <c r="G496" s="904"/>
      <c r="H496" s="904"/>
      <c r="I496" s="904"/>
      <c r="J496" s="904"/>
      <c r="K496" s="904"/>
      <c r="L496" s="904"/>
      <c r="M496" s="904"/>
      <c r="N496" s="904"/>
      <c r="O496" s="904"/>
      <c r="P496" s="904"/>
      <c r="Q496" s="904"/>
      <c r="R496" s="904"/>
      <c r="S496" s="904"/>
      <c r="T496" s="904"/>
      <c r="U496" s="904"/>
      <c r="V496" s="904"/>
      <c r="W496" s="904"/>
      <c r="X496" s="904"/>
      <c r="Y496" s="904"/>
      <c r="Z496" s="904"/>
      <c r="AA496" s="904"/>
      <c r="AB496" s="904"/>
      <c r="AC496" s="904"/>
      <c r="AD496" s="904"/>
      <c r="AE496" s="904"/>
      <c r="AF496" s="904"/>
      <c r="AG496" s="904"/>
      <c r="AH496" s="904"/>
      <c r="AI496" s="904"/>
      <c r="AJ496" s="904"/>
      <c r="AK496" s="904"/>
      <c r="AL496" s="904"/>
      <c r="AM496" s="904"/>
      <c r="AN496" s="904"/>
      <c r="AO496" s="904"/>
      <c r="AP496" s="904"/>
      <c r="AQ496" s="904"/>
      <c r="AR496" s="904"/>
      <c r="AS496" s="904"/>
      <c r="AT496" s="904"/>
      <c r="AU496" s="904"/>
      <c r="AV496" s="904"/>
      <c r="AW496" s="904"/>
      <c r="AX496" s="904"/>
      <c r="AY496" s="904"/>
      <c r="AZ496" s="904"/>
      <c r="BA496" s="904"/>
      <c r="BB496" s="904"/>
      <c r="BC496" s="904"/>
      <c r="BD496" s="904"/>
      <c r="BE496" s="904"/>
      <c r="BF496" s="904"/>
      <c r="BG496" s="904"/>
      <c r="BH496" s="904"/>
      <c r="BI496" s="904"/>
      <c r="BJ496" s="904"/>
      <c r="BK496" s="904"/>
      <c r="BL496" s="904"/>
      <c r="BM496" s="904"/>
      <c r="BN496" s="904"/>
      <c r="BO496" s="904"/>
      <c r="BP496" s="904"/>
      <c r="BQ496" s="904"/>
      <c r="BR496" s="904"/>
      <c r="BS496" s="904"/>
      <c r="BT496" s="904"/>
      <c r="BU496" s="904"/>
      <c r="BV496" s="904"/>
      <c r="BW496" s="904"/>
      <c r="BX496" s="904"/>
      <c r="BY496" s="904"/>
      <c r="BZ496" s="904"/>
      <c r="CA496" s="904"/>
      <c r="CB496" s="904"/>
      <c r="CC496" s="904"/>
      <c r="CD496" s="904"/>
      <c r="CE496" s="904"/>
      <c r="CF496" s="904"/>
      <c r="CG496" s="904"/>
      <c r="CH496" s="904"/>
      <c r="CI496" s="904"/>
      <c r="CJ496" s="904"/>
      <c r="CK496" s="904"/>
      <c r="CL496" s="904"/>
      <c r="CM496" s="904"/>
      <c r="CN496" s="904"/>
      <c r="CO496" s="904"/>
      <c r="CP496" s="904"/>
      <c r="CQ496" s="904"/>
      <c r="CR496" s="904"/>
      <c r="CS496" s="904"/>
      <c r="CT496" s="904"/>
      <c r="CU496" s="904"/>
      <c r="CV496" s="904"/>
      <c r="CW496" s="904"/>
      <c r="CX496" s="904"/>
      <c r="CY496" s="904"/>
      <c r="CZ496" s="904"/>
      <c r="DA496" s="904"/>
      <c r="DB496" s="904"/>
      <c r="DC496" s="904"/>
      <c r="DD496" s="904"/>
      <c r="DE496" s="904"/>
      <c r="DF496" s="904"/>
      <c r="DG496" s="904"/>
      <c r="DH496" s="904"/>
      <c r="DI496" s="904"/>
      <c r="DJ496" s="904"/>
      <c r="DK496" s="904"/>
      <c r="DL496" s="904"/>
      <c r="DM496" s="904"/>
      <c r="DN496" s="904"/>
      <c r="DO496" s="904"/>
      <c r="DP496" s="904"/>
      <c r="DQ496" s="904"/>
      <c r="DR496" s="904"/>
      <c r="DS496" s="904"/>
      <c r="DT496" s="904"/>
      <c r="DU496" s="904"/>
      <c r="DV496" s="904"/>
      <c r="DW496" s="904"/>
      <c r="DX496" s="904"/>
      <c r="DY496" s="904"/>
      <c r="DZ496" s="904"/>
      <c r="EA496" s="904"/>
      <c r="EB496" s="904"/>
      <c r="EC496" s="904"/>
      <c r="ED496" s="904"/>
      <c r="EE496" s="904"/>
      <c r="EF496" s="904"/>
      <c r="EG496" s="904"/>
      <c r="EH496" s="904"/>
      <c r="EI496" s="904"/>
      <c r="EJ496" s="904"/>
      <c r="EK496" s="904"/>
      <c r="EL496" s="904"/>
      <c r="EM496" s="904"/>
      <c r="EN496" s="904"/>
      <c r="EO496" s="904"/>
      <c r="EP496" s="904"/>
      <c r="EQ496" s="904"/>
      <c r="ER496" s="904"/>
      <c r="ES496" s="904"/>
      <c r="ET496" s="904"/>
      <c r="EU496" s="904"/>
      <c r="EV496" s="904"/>
      <c r="EW496" s="904"/>
      <c r="EX496" s="904"/>
      <c r="EY496" s="904"/>
      <c r="EZ496" s="904"/>
      <c r="FA496" s="904"/>
      <c r="FB496" s="904"/>
      <c r="FC496" s="904"/>
      <c r="FD496" s="904"/>
      <c r="FE496" s="904"/>
      <c r="FF496" s="904"/>
      <c r="FG496" s="904"/>
      <c r="FH496" s="904"/>
      <c r="FI496" s="904"/>
      <c r="FJ496" s="904"/>
      <c r="FK496" s="904"/>
      <c r="FL496" s="904"/>
      <c r="FM496" s="904"/>
      <c r="FN496" s="904"/>
      <c r="FO496" s="904"/>
    </row>
  </sheetData>
  <mergeCells count="22">
    <mergeCell ref="B465:E465"/>
    <mergeCell ref="B466:E466"/>
    <mergeCell ref="G264:G266"/>
    <mergeCell ref="H264:H266"/>
    <mergeCell ref="I264:I266"/>
    <mergeCell ref="B287:B289"/>
    <mergeCell ref="E287:F288"/>
    <mergeCell ref="G287:G289"/>
    <mergeCell ref="H287:H289"/>
    <mergeCell ref="I287:I289"/>
    <mergeCell ref="B264:B266"/>
    <mergeCell ref="E264:F265"/>
    <mergeCell ref="I12:I14"/>
    <mergeCell ref="B171:B173"/>
    <mergeCell ref="E171:F172"/>
    <mergeCell ref="G171:G173"/>
    <mergeCell ref="H171:H173"/>
    <mergeCell ref="I171:I173"/>
    <mergeCell ref="B12:B14"/>
    <mergeCell ref="E12:F13"/>
    <mergeCell ref="G12:G14"/>
    <mergeCell ref="H12:H14"/>
  </mergeCells>
  <phoneticPr fontId="0" type="noConversion"/>
  <hyperlinks>
    <hyperlink ref="A5" location="TOC!A1" display="TOC" xr:uid="{00000000-0004-0000-1100-000000000000}"/>
    <hyperlink ref="A6" location="'Materiality - Individual'!A15" display="é" xr:uid="{00000000-0004-0000-1100-000001000000}"/>
  </hyperlinks>
  <printOptions horizontalCentered="1" headings="1"/>
  <pageMargins left="0.5" right="0.5" top="0.75" bottom="0.8" header="0.25" footer="0.25"/>
  <pageSetup scale="75" orientation="landscape" r:id="rId1"/>
  <headerFooter alignWithMargins="0">
    <oddFooter>&amp;LFY 2026-2028 ASC Filing&amp;CPage &amp;P of &amp;N&amp;R&amp;A
&amp;D</oddFooter>
  </headerFooter>
  <rowBreaks count="5" manualBreakCount="5">
    <brk id="81" max="16383" man="1"/>
    <brk id="169" max="16383" man="1"/>
    <brk id="284" max="16383" man="1"/>
    <brk id="363" max="16383" man="1"/>
    <brk id="461" max="16383" man="1"/>
  </rowBreaks>
  <colBreaks count="20" manualBreakCount="20">
    <brk id="10" max="1048575" man="1"/>
    <brk id="19" max="1048575" man="1"/>
    <brk id="27" max="1048575" man="1"/>
    <brk id="35" max="1048575" man="1"/>
    <brk id="43" max="1048575" man="1"/>
    <brk id="51" max="1048575" man="1"/>
    <brk id="59" max="1048575" man="1"/>
    <brk id="67" max="1048575" man="1"/>
    <brk id="75" max="1048575" man="1"/>
    <brk id="83" max="1048575" man="1"/>
    <brk id="91" max="1048575" man="1"/>
    <brk id="99" max="1048575" man="1"/>
    <brk id="107" max="1048575" man="1"/>
    <brk id="115" max="1048575" man="1"/>
    <brk id="123" max="1048575" man="1"/>
    <brk id="131" max="1048575" man="1"/>
    <brk id="139" max="1048575" man="1"/>
    <brk id="147" max="1048575" man="1"/>
    <brk id="155" max="1048575" man="1"/>
    <brk id="163" max="1048575" man="1"/>
  </colBreaks>
  <customProperties>
    <customPr name="_pios_id" r:id="rId2"/>
  </customPropertie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0">
    <tabColor indexed="48"/>
  </sheetPr>
  <dimension ref="A1:FO496"/>
  <sheetViews>
    <sheetView zoomScale="90" zoomScaleNormal="90" zoomScaleSheetLayoutView="75" workbookViewId="0">
      <selection sqref="A1:XFD1048576"/>
    </sheetView>
  </sheetViews>
  <sheetFormatPr defaultColWidth="9" defaultRowHeight="15.75" x14ac:dyDescent="0.25"/>
  <cols>
    <col min="1" max="1" width="8.625" customWidth="1"/>
    <col min="2" max="2" width="50.625" customWidth="1"/>
    <col min="3" max="3" width="22.875" customWidth="1"/>
    <col min="4" max="4" width="16.5" customWidth="1"/>
    <col min="5" max="6" width="12.625" customWidth="1"/>
    <col min="7" max="10" width="16.625" customWidth="1"/>
    <col min="11" max="11" width="2.625" customWidth="1"/>
    <col min="12" max="18" width="15.625" customWidth="1"/>
    <col min="19" max="19" width="2.625" customWidth="1"/>
    <col min="20" max="20" width="15" customWidth="1"/>
    <col min="21" max="21" width="14.25" customWidth="1"/>
    <col min="22" max="26" width="15.625" customWidth="1"/>
    <col min="27" max="27" width="2.625" customWidth="1"/>
    <col min="28" max="28" width="15.25" customWidth="1"/>
    <col min="29" max="29" width="13.75" customWidth="1"/>
    <col min="30" max="34" width="15.625" customWidth="1"/>
    <col min="35" max="35" width="2.625" customWidth="1"/>
    <col min="36" max="36" width="15.5" customWidth="1"/>
    <col min="37" max="37" width="14.5" customWidth="1"/>
    <col min="38" max="42" width="15.625" customWidth="1"/>
    <col min="43" max="43" width="2.625" customWidth="1"/>
    <col min="44" max="44" width="15.625" customWidth="1"/>
    <col min="45" max="45" width="14.125" customWidth="1"/>
    <col min="46" max="50" width="15.625" customWidth="1"/>
    <col min="51" max="51" width="2.625" customWidth="1"/>
    <col min="52" max="52" width="15.75" customWidth="1"/>
    <col min="53" max="53" width="13.75" customWidth="1"/>
    <col min="54" max="58" width="15.625" customWidth="1"/>
    <col min="59" max="59" width="2.625" customWidth="1"/>
    <col min="60" max="60" width="14.75" customWidth="1"/>
    <col min="61" max="61" width="13.75" customWidth="1"/>
    <col min="62" max="66" width="15.625" customWidth="1"/>
    <col min="67" max="67" width="2.625" customWidth="1"/>
    <col min="68" max="68" width="14.75" customWidth="1"/>
    <col min="69" max="69" width="14" customWidth="1"/>
    <col min="70" max="74" width="15.625" customWidth="1"/>
    <col min="75" max="75" width="2.625" customWidth="1"/>
    <col min="76" max="76" width="15.125" customWidth="1"/>
    <col min="77" max="77" width="13.5" customWidth="1"/>
    <col min="78" max="82" width="15.625" customWidth="1"/>
    <col min="83" max="83" width="2.625" customWidth="1"/>
    <col min="84" max="84" width="15" customWidth="1"/>
    <col min="85" max="85" width="14.25" customWidth="1"/>
    <col min="86" max="90" width="15.625" customWidth="1"/>
    <col min="91" max="91" width="2.625" customWidth="1"/>
    <col min="92" max="92" width="15" customWidth="1"/>
    <col min="93" max="93" width="14.25" customWidth="1"/>
    <col min="94" max="98" width="15.625" customWidth="1"/>
    <col min="99" max="99" width="2.625" customWidth="1"/>
    <col min="100" max="100" width="15" customWidth="1"/>
    <col min="101" max="101" width="13.75" customWidth="1"/>
    <col min="102" max="106" width="15.625" customWidth="1"/>
    <col min="107" max="107" width="2.625" customWidth="1"/>
    <col min="108" max="108" width="15.25" customWidth="1"/>
    <col min="109" max="109" width="13.75" customWidth="1"/>
    <col min="110" max="114" width="15.625" customWidth="1"/>
    <col min="115" max="115" width="2.625" customWidth="1"/>
    <col min="116" max="116" width="15.125" customWidth="1"/>
    <col min="117" max="117" width="13.5" customWidth="1"/>
    <col min="118" max="122" width="15.625" customWidth="1"/>
    <col min="123" max="123" width="2.625" customWidth="1"/>
    <col min="124" max="124" width="15.125" customWidth="1"/>
    <col min="125" max="125" width="14" customWidth="1"/>
    <col min="126" max="130" width="15.625" customWidth="1"/>
    <col min="131" max="131" width="2.625" customWidth="1"/>
    <col min="132" max="132" width="15.25" customWidth="1"/>
    <col min="133" max="133" width="14.5" customWidth="1"/>
    <col min="134" max="138" width="15.625" customWidth="1"/>
    <col min="139" max="139" width="2.625" customWidth="1"/>
    <col min="140" max="140" width="15.125" customWidth="1"/>
    <col min="141" max="141" width="13.875" customWidth="1"/>
    <col min="142" max="146" width="15.625" customWidth="1"/>
    <col min="147" max="147" width="2.625" customWidth="1"/>
    <col min="148" max="148" width="15.5" customWidth="1"/>
    <col min="149" max="149" width="14" customWidth="1"/>
    <col min="150" max="154" width="15.625" customWidth="1"/>
    <col min="155" max="155" width="2.625" customWidth="1"/>
    <col min="156" max="156" width="15.125" customWidth="1"/>
    <col min="157" max="157" width="14.25" customWidth="1"/>
    <col min="158" max="162" width="15.625" customWidth="1"/>
    <col min="163" max="163" width="2.625" customWidth="1"/>
    <col min="164" max="164" width="14.75" customWidth="1"/>
    <col min="165" max="165" width="14.5" customWidth="1"/>
    <col min="166" max="170" width="15.625" customWidth="1"/>
    <col min="171" max="171" width="2.625" customWidth="1"/>
  </cols>
  <sheetData>
    <row r="1" spans="1:171" ht="16.5" thickTop="1" x14ac:dyDescent="0.25">
      <c r="A1" s="1395"/>
      <c r="B1" s="1396"/>
      <c r="C1" s="1396"/>
      <c r="D1" s="1396"/>
      <c r="E1" s="1396"/>
      <c r="F1" s="1397" t="s">
        <v>615</v>
      </c>
      <c r="G1" s="1396"/>
      <c r="H1" s="1396"/>
      <c r="I1" s="1396"/>
      <c r="J1" s="1398"/>
      <c r="K1" s="904"/>
      <c r="M1" s="1108" t="s">
        <v>664</v>
      </c>
      <c r="N1" s="1109">
        <v>1</v>
      </c>
      <c r="S1" s="1110"/>
      <c r="U1" s="1108" t="s">
        <v>664</v>
      </c>
      <c r="V1" s="1109">
        <v>1</v>
      </c>
      <c r="AA1" s="1110"/>
      <c r="AC1" s="1108" t="s">
        <v>664</v>
      </c>
      <c r="AD1" s="1109">
        <v>1</v>
      </c>
      <c r="AI1" s="1110"/>
      <c r="AK1" s="1108" t="s">
        <v>664</v>
      </c>
      <c r="AL1" s="1109">
        <v>1</v>
      </c>
      <c r="AQ1" s="1110"/>
      <c r="AS1" s="1108" t="s">
        <v>664</v>
      </c>
      <c r="AT1" s="1109">
        <v>1</v>
      </c>
      <c r="AY1" s="1110"/>
      <c r="BA1" s="1108" t="s">
        <v>664</v>
      </c>
      <c r="BB1" s="1109">
        <v>1</v>
      </c>
      <c r="BG1" s="1110"/>
      <c r="BI1" s="1108" t="s">
        <v>664</v>
      </c>
      <c r="BJ1" s="1109">
        <v>1</v>
      </c>
      <c r="BO1" s="1110"/>
      <c r="BQ1" s="1108" t="s">
        <v>664</v>
      </c>
      <c r="BR1" s="1109">
        <v>1</v>
      </c>
      <c r="BW1" s="1110"/>
      <c r="BY1" s="1108" t="s">
        <v>664</v>
      </c>
      <c r="BZ1" s="1109">
        <v>1</v>
      </c>
      <c r="CE1" s="1110"/>
      <c r="CG1" s="1108" t="s">
        <v>664</v>
      </c>
      <c r="CH1" s="1109">
        <v>1</v>
      </c>
      <c r="CM1" s="1110"/>
      <c r="CO1" s="1108" t="s">
        <v>664</v>
      </c>
      <c r="CP1" s="1109">
        <v>1</v>
      </c>
      <c r="CU1" s="1110"/>
      <c r="CW1" s="1108" t="s">
        <v>664</v>
      </c>
      <c r="CX1" s="1109">
        <v>1</v>
      </c>
      <c r="DC1" s="1110"/>
      <c r="DE1" s="1108" t="s">
        <v>664</v>
      </c>
      <c r="DF1" s="1109">
        <v>1</v>
      </c>
      <c r="DK1" s="1110"/>
      <c r="DM1" s="1108" t="s">
        <v>664</v>
      </c>
      <c r="DN1" s="1109">
        <v>1</v>
      </c>
      <c r="DS1" s="1110"/>
      <c r="DU1" s="1108" t="s">
        <v>664</v>
      </c>
      <c r="DV1" s="1109">
        <v>1</v>
      </c>
      <c r="EA1" s="1110"/>
      <c r="EC1" s="1108" t="s">
        <v>664</v>
      </c>
      <c r="ED1" s="1109">
        <v>1</v>
      </c>
      <c r="EI1" s="1110"/>
      <c r="EK1" s="1108" t="s">
        <v>664</v>
      </c>
      <c r="EL1" s="1109">
        <v>1</v>
      </c>
      <c r="EQ1" s="1110"/>
      <c r="ES1" s="1108" t="s">
        <v>664</v>
      </c>
      <c r="ET1" s="1109">
        <v>1</v>
      </c>
      <c r="EY1" s="1110"/>
      <c r="FA1" s="1108" t="s">
        <v>664</v>
      </c>
      <c r="FB1" s="1109">
        <v>1</v>
      </c>
      <c r="FG1" s="1110"/>
      <c r="FI1" s="1108" t="s">
        <v>664</v>
      </c>
      <c r="FJ1" s="1109">
        <v>1</v>
      </c>
      <c r="FO1" s="1110"/>
    </row>
    <row r="2" spans="1:171" x14ac:dyDescent="0.25">
      <c r="A2" s="1399"/>
      <c r="B2" s="868"/>
      <c r="C2" s="868"/>
      <c r="D2" s="868"/>
      <c r="E2" s="868"/>
      <c r="F2" s="867" t="s">
        <v>616</v>
      </c>
      <c r="G2" s="868"/>
      <c r="H2" s="868"/>
      <c r="I2" s="868"/>
      <c r="J2" s="1400"/>
      <c r="K2" s="904"/>
      <c r="M2" s="867" t="s">
        <v>665</v>
      </c>
      <c r="N2" s="1111">
        <v>6</v>
      </c>
      <c r="S2" s="1112"/>
      <c r="U2" s="867" t="s">
        <v>665</v>
      </c>
      <c r="V2" s="1111">
        <v>7</v>
      </c>
      <c r="AA2" s="1112"/>
      <c r="AC2" s="867" t="s">
        <v>665</v>
      </c>
      <c r="AD2" s="1111">
        <v>8</v>
      </c>
      <c r="AI2" s="1112"/>
      <c r="AK2" s="867" t="s">
        <v>665</v>
      </c>
      <c r="AL2" s="1111">
        <v>9</v>
      </c>
      <c r="AQ2" s="1112"/>
      <c r="AS2" s="867" t="s">
        <v>665</v>
      </c>
      <c r="AT2" s="1111">
        <v>10</v>
      </c>
      <c r="AY2" s="1112"/>
      <c r="BA2" s="867" t="s">
        <v>665</v>
      </c>
      <c r="BB2" s="1111">
        <v>11</v>
      </c>
      <c r="BG2" s="1112"/>
      <c r="BI2" s="867" t="s">
        <v>665</v>
      </c>
      <c r="BJ2" s="1111">
        <v>12</v>
      </c>
      <c r="BO2" s="1112"/>
      <c r="BQ2" s="867" t="s">
        <v>665</v>
      </c>
      <c r="BR2" s="1111">
        <v>13</v>
      </c>
      <c r="BW2" s="1112"/>
      <c r="BY2" s="867" t="s">
        <v>665</v>
      </c>
      <c r="BZ2" s="1111">
        <v>14</v>
      </c>
      <c r="CE2" s="1112"/>
      <c r="CG2" s="867" t="s">
        <v>665</v>
      </c>
      <c r="CH2" s="1111">
        <v>15</v>
      </c>
      <c r="CM2" s="1112"/>
      <c r="CO2" s="867" t="s">
        <v>665</v>
      </c>
      <c r="CP2" s="1111">
        <v>16</v>
      </c>
      <c r="CU2" s="1112"/>
      <c r="CW2" s="867" t="s">
        <v>665</v>
      </c>
      <c r="CX2" s="1111">
        <v>17</v>
      </c>
      <c r="DC2" s="1112"/>
      <c r="DE2" s="867" t="s">
        <v>665</v>
      </c>
      <c r="DF2" s="1111">
        <v>18</v>
      </c>
      <c r="DK2" s="1112"/>
      <c r="DM2" s="867" t="s">
        <v>665</v>
      </c>
      <c r="DN2" s="1111">
        <v>19</v>
      </c>
      <c r="DS2" s="1112"/>
      <c r="DU2" s="867" t="s">
        <v>665</v>
      </c>
      <c r="DV2" s="1111">
        <v>20</v>
      </c>
      <c r="EA2" s="1112"/>
      <c r="EC2" s="867" t="s">
        <v>665</v>
      </c>
      <c r="ED2" s="1111">
        <v>21</v>
      </c>
      <c r="EI2" s="1112"/>
      <c r="EK2" s="867" t="s">
        <v>665</v>
      </c>
      <c r="EL2" s="1111">
        <v>22</v>
      </c>
      <c r="EQ2" s="1112"/>
      <c r="ES2" s="867" t="s">
        <v>665</v>
      </c>
      <c r="ET2" s="1111">
        <v>23</v>
      </c>
      <c r="EY2" s="1112"/>
      <c r="FA2" s="867" t="s">
        <v>665</v>
      </c>
      <c r="FB2" s="1111">
        <v>24</v>
      </c>
      <c r="FG2" s="1112"/>
      <c r="FI2" s="867" t="s">
        <v>665</v>
      </c>
      <c r="FJ2" s="1111">
        <v>25</v>
      </c>
      <c r="FO2" s="1112"/>
    </row>
    <row r="3" spans="1:171" x14ac:dyDescent="0.25">
      <c r="A3" s="1401"/>
      <c r="B3" s="866"/>
      <c r="C3" s="866"/>
      <c r="D3" s="866"/>
      <c r="E3" s="866"/>
      <c r="F3" s="868" t="s">
        <v>617</v>
      </c>
      <c r="G3" s="866"/>
      <c r="H3" s="866"/>
      <c r="I3" s="866"/>
      <c r="J3" s="1402"/>
      <c r="K3" s="904"/>
      <c r="L3" s="1113"/>
      <c r="O3" s="1114" t="str">
        <f ca="1">IF(OFFSET('New Resources - Group'!$A$1,1,N2-1)&lt;&gt;"",OFFSET('New Resources - Group'!$A$1,3,N2-1),"")</f>
        <v/>
      </c>
      <c r="S3" s="1110"/>
      <c r="T3" s="1113"/>
      <c r="W3" s="1114" t="str">
        <f ca="1">IF(OFFSET('New Resources - Group'!$A$1,1,V2-1)&lt;&gt;"",OFFSET('New Resources - Group'!$A$1,3,V2-1),"")</f>
        <v/>
      </c>
      <c r="AA3" s="1110"/>
      <c r="AB3" s="1113"/>
      <c r="AE3" s="1114" t="str">
        <f ca="1">IF(OFFSET('New Resources - Group'!$A$1,1,AD2-1)&lt;&gt;"",OFFSET('New Resources - Group'!$A$1,3,AD2-1),"")</f>
        <v/>
      </c>
      <c r="AI3" s="1110"/>
      <c r="AJ3" s="1113"/>
      <c r="AM3" s="1114" t="str">
        <f ca="1">IF(OFFSET('New Resources - Group'!$A$1,1,AL2-1)&lt;&gt;"",OFFSET('New Resources - Group'!$A$1,3,AL2-1),"")</f>
        <v/>
      </c>
      <c r="AQ3" s="1110"/>
      <c r="AR3" s="1113"/>
      <c r="AU3" s="1114" t="str">
        <f ca="1">IF(OFFSET('New Resources - Group'!$A$1,1,AT2-1)&lt;&gt;"",OFFSET('New Resources - Group'!$A$1,3,AT2-1),"")</f>
        <v/>
      </c>
      <c r="AY3" s="1110"/>
      <c r="AZ3" s="1113"/>
      <c r="BC3" s="1114" t="str">
        <f ca="1">IF(OFFSET('New Resources - Group'!$A$1,1,BB2-1)&lt;&gt;"",OFFSET('New Resources - Group'!$A$1,3,BB2-1),"")</f>
        <v/>
      </c>
      <c r="BG3" s="1110"/>
      <c r="BH3" s="1113"/>
      <c r="BK3" s="1114" t="str">
        <f ca="1">IF(OFFSET('New Resources - Group'!$A$1,1,BJ2-1)&lt;&gt;"",OFFSET('New Resources - Group'!$A$1,3,BJ2-1),"")</f>
        <v/>
      </c>
      <c r="BO3" s="1110"/>
      <c r="BP3" s="1113"/>
      <c r="BS3" s="1114" t="str">
        <f ca="1">IF(OFFSET('New Resources - Group'!$A$1,1,BR2-1)&lt;&gt;"",OFFSET('New Resources - Group'!$A$1,3,BR2-1),"")</f>
        <v/>
      </c>
      <c r="BW3" s="1110"/>
      <c r="BX3" s="1113"/>
      <c r="CA3" s="1114" t="str">
        <f ca="1">IF(OFFSET('New Resources - Group'!$A$1,1,BZ2-1)&lt;&gt;"",OFFSET('New Resources - Group'!$A$1,3,BZ2-1),"")</f>
        <v/>
      </c>
      <c r="CE3" s="1110"/>
      <c r="CF3" s="1113"/>
      <c r="CI3" s="1114" t="str">
        <f ca="1">IF(OFFSET('New Resources - Group'!$A$1,1,CH2-1)&lt;&gt;"",OFFSET('New Resources - Group'!$A$1,3,CH2-1),"")</f>
        <v/>
      </c>
      <c r="CM3" s="1110"/>
      <c r="CN3" s="1113"/>
      <c r="CQ3" s="1114" t="str">
        <f ca="1">IF(OFFSET('New Resources - Group'!$A$1,1,CP2-1)&lt;&gt;"",OFFSET('New Resources - Group'!$A$1,3,CP2-1),"")</f>
        <v/>
      </c>
      <c r="CU3" s="1110"/>
      <c r="CV3" s="1113"/>
      <c r="CY3" s="1114" t="str">
        <f ca="1">IF(OFFSET('New Resources - Group'!$A$1,1,CX2-1)&lt;&gt;"",OFFSET('New Resources - Group'!$A$1,3,CX2-1),"")</f>
        <v/>
      </c>
      <c r="DC3" s="1110"/>
      <c r="DD3" s="1113"/>
      <c r="DG3" s="1114" t="str">
        <f ca="1">IF(OFFSET('New Resources - Group'!$A$1,1,DF2-1)&lt;&gt;"",OFFSET('New Resources - Group'!$A$1,3,DF2-1),"")</f>
        <v/>
      </c>
      <c r="DK3" s="1110"/>
      <c r="DL3" s="1113"/>
      <c r="DO3" s="1114" t="str">
        <f ca="1">IF(OFFSET('New Resources - Group'!$A$1,1,DN2-1)&lt;&gt;"",OFFSET('New Resources - Group'!$A$1,3,DN2-1),"")</f>
        <v/>
      </c>
      <c r="DS3" s="1110"/>
      <c r="DT3" s="1113"/>
      <c r="DW3" s="1114" t="str">
        <f ca="1">IF(OFFSET('New Resources - Group'!$A$1,1,DV2-1)&lt;&gt;"",OFFSET('New Resources - Group'!$A$1,3,DV2-1),"")</f>
        <v/>
      </c>
      <c r="EA3" s="1110"/>
      <c r="EB3" s="1113"/>
      <c r="EE3" s="1114" t="str">
        <f ca="1">IF(OFFSET('New Resources - Group'!$A$1,1,ED2-1)&lt;&gt;"",OFFSET('New Resources - Group'!$A$1,3,ED2-1),"")</f>
        <v/>
      </c>
      <c r="EI3" s="1110"/>
      <c r="EJ3" s="1113"/>
      <c r="EM3" s="1114" t="str">
        <f ca="1">IF(OFFSET('New Resources - Group'!$A$1,1,EL2-1)&lt;&gt;"",OFFSET('New Resources - Group'!$A$1,3,EL2-1),"")</f>
        <v/>
      </c>
      <c r="EQ3" s="1110"/>
      <c r="ER3" s="1113"/>
      <c r="EU3" s="1114" t="str">
        <f ca="1">IF(OFFSET('New Resources - Group'!$A$1,1,ET2-1)&lt;&gt;"",OFFSET('New Resources - Group'!$A$1,3,ET2-1),"")</f>
        <v/>
      </c>
      <c r="EY3" s="1110"/>
      <c r="EZ3" s="1113"/>
      <c r="FC3" s="1114" t="str">
        <f ca="1">IF(OFFSET('New Resources - Group'!$A$1,1,FB2-1)&lt;&gt;"",OFFSET('New Resources - Group'!$A$1,3,FB2-1),"")</f>
        <v/>
      </c>
      <c r="FG3" s="1110"/>
      <c r="FH3" s="1113"/>
      <c r="FK3" s="1114" t="str">
        <f ca="1">IF(OFFSET('New Resources - Group'!$A$1,1,FJ2-1)&lt;&gt;"",OFFSET('New Resources - Group'!$A$1,3,FJ2-1),"")</f>
        <v/>
      </c>
      <c r="FO3" s="1110"/>
    </row>
    <row r="4" spans="1:171" ht="16.5" thickBot="1" x14ac:dyDescent="0.3">
      <c r="A4" s="1268"/>
      <c r="B4" s="2"/>
      <c r="C4" s="3"/>
      <c r="D4" s="3"/>
      <c r="E4" s="4"/>
      <c r="F4" s="866"/>
      <c r="G4" s="866"/>
      <c r="H4" s="866"/>
      <c r="I4" s="866"/>
      <c r="J4" s="1402"/>
      <c r="K4" s="904"/>
      <c r="M4" s="1113"/>
      <c r="N4" s="1113" t="s">
        <v>666</v>
      </c>
      <c r="O4" s="1113" t="s">
        <v>104</v>
      </c>
      <c r="P4" s="1113" t="s">
        <v>105</v>
      </c>
      <c r="Q4" s="1113" t="s">
        <v>106</v>
      </c>
      <c r="R4" s="1113" t="s">
        <v>512</v>
      </c>
      <c r="S4" s="1110"/>
      <c r="U4" s="1113"/>
      <c r="V4" s="1113" t="s">
        <v>666</v>
      </c>
      <c r="W4" s="1113" t="s">
        <v>104</v>
      </c>
      <c r="X4" s="1113" t="s">
        <v>105</v>
      </c>
      <c r="Y4" s="1113" t="s">
        <v>106</v>
      </c>
      <c r="Z4" s="1113" t="s">
        <v>512</v>
      </c>
      <c r="AA4" s="1110"/>
      <c r="AC4" s="1113"/>
      <c r="AD4" s="1113" t="s">
        <v>666</v>
      </c>
      <c r="AE4" s="1113" t="s">
        <v>104</v>
      </c>
      <c r="AF4" s="1113" t="s">
        <v>105</v>
      </c>
      <c r="AG4" s="1113" t="s">
        <v>106</v>
      </c>
      <c r="AH4" s="1113" t="s">
        <v>512</v>
      </c>
      <c r="AI4" s="1110"/>
      <c r="AK4" s="1113"/>
      <c r="AL4" s="1113" t="s">
        <v>666</v>
      </c>
      <c r="AM4" s="1113" t="s">
        <v>104</v>
      </c>
      <c r="AN4" s="1113" t="s">
        <v>105</v>
      </c>
      <c r="AO4" s="1113" t="s">
        <v>106</v>
      </c>
      <c r="AP4" s="1113" t="s">
        <v>512</v>
      </c>
      <c r="AQ4" s="1110"/>
      <c r="AS4" s="1113"/>
      <c r="AT4" s="1113" t="s">
        <v>666</v>
      </c>
      <c r="AU4" s="1113" t="s">
        <v>104</v>
      </c>
      <c r="AV4" s="1113" t="s">
        <v>105</v>
      </c>
      <c r="AW4" s="1113" t="s">
        <v>106</v>
      </c>
      <c r="AX4" s="1113" t="s">
        <v>512</v>
      </c>
      <c r="AY4" s="1110"/>
      <c r="BA4" s="1113"/>
      <c r="BB4" s="1113" t="s">
        <v>666</v>
      </c>
      <c r="BC4" s="1113" t="s">
        <v>104</v>
      </c>
      <c r="BD4" s="1113" t="s">
        <v>105</v>
      </c>
      <c r="BE4" s="1113" t="s">
        <v>106</v>
      </c>
      <c r="BF4" s="1113" t="s">
        <v>512</v>
      </c>
      <c r="BG4" s="1110"/>
      <c r="BI4" s="1113"/>
      <c r="BJ4" s="1113" t="s">
        <v>666</v>
      </c>
      <c r="BK4" s="1113" t="s">
        <v>104</v>
      </c>
      <c r="BL4" s="1113" t="s">
        <v>105</v>
      </c>
      <c r="BM4" s="1113" t="s">
        <v>106</v>
      </c>
      <c r="BN4" s="1113" t="s">
        <v>512</v>
      </c>
      <c r="BO4" s="1110"/>
      <c r="BQ4" s="1113"/>
      <c r="BR4" s="1113" t="s">
        <v>666</v>
      </c>
      <c r="BS4" s="1113" t="s">
        <v>104</v>
      </c>
      <c r="BT4" s="1113" t="s">
        <v>105</v>
      </c>
      <c r="BU4" s="1113" t="s">
        <v>106</v>
      </c>
      <c r="BV4" s="1113" t="s">
        <v>512</v>
      </c>
      <c r="BW4" s="1110"/>
      <c r="BY4" s="1113"/>
      <c r="BZ4" s="1113" t="s">
        <v>666</v>
      </c>
      <c r="CA4" s="1113" t="s">
        <v>104</v>
      </c>
      <c r="CB4" s="1113" t="s">
        <v>105</v>
      </c>
      <c r="CC4" s="1113" t="s">
        <v>106</v>
      </c>
      <c r="CD4" s="1113" t="s">
        <v>512</v>
      </c>
      <c r="CE4" s="1110"/>
      <c r="CG4" s="1113"/>
      <c r="CH4" s="1113" t="s">
        <v>666</v>
      </c>
      <c r="CI4" s="1113" t="s">
        <v>104</v>
      </c>
      <c r="CJ4" s="1113" t="s">
        <v>105</v>
      </c>
      <c r="CK4" s="1113" t="s">
        <v>106</v>
      </c>
      <c r="CL4" s="1113" t="s">
        <v>512</v>
      </c>
      <c r="CM4" s="1110"/>
      <c r="CO4" s="1113"/>
      <c r="CP4" s="1113" t="s">
        <v>666</v>
      </c>
      <c r="CQ4" s="1113" t="s">
        <v>104</v>
      </c>
      <c r="CR4" s="1113" t="s">
        <v>105</v>
      </c>
      <c r="CS4" s="1113" t="s">
        <v>106</v>
      </c>
      <c r="CT4" s="1113" t="s">
        <v>512</v>
      </c>
      <c r="CU4" s="1110"/>
      <c r="CW4" s="1113"/>
      <c r="CX4" s="1113" t="s">
        <v>666</v>
      </c>
      <c r="CY4" s="1113" t="s">
        <v>104</v>
      </c>
      <c r="CZ4" s="1113" t="s">
        <v>105</v>
      </c>
      <c r="DA4" s="1113" t="s">
        <v>106</v>
      </c>
      <c r="DB4" s="1113" t="s">
        <v>512</v>
      </c>
      <c r="DC4" s="1110"/>
      <c r="DE4" s="1113"/>
      <c r="DF4" s="1113" t="s">
        <v>666</v>
      </c>
      <c r="DG4" s="1113" t="s">
        <v>104</v>
      </c>
      <c r="DH4" s="1113" t="s">
        <v>105</v>
      </c>
      <c r="DI4" s="1113" t="s">
        <v>106</v>
      </c>
      <c r="DJ4" s="1113" t="s">
        <v>512</v>
      </c>
      <c r="DK4" s="1110"/>
      <c r="DM4" s="1113"/>
      <c r="DN4" s="1113" t="s">
        <v>666</v>
      </c>
      <c r="DO4" s="1113" t="s">
        <v>104</v>
      </c>
      <c r="DP4" s="1113" t="s">
        <v>105</v>
      </c>
      <c r="DQ4" s="1113" t="s">
        <v>106</v>
      </c>
      <c r="DR4" s="1113" t="s">
        <v>512</v>
      </c>
      <c r="DS4" s="1110"/>
      <c r="DU4" s="1113"/>
      <c r="DV4" s="1113" t="s">
        <v>666</v>
      </c>
      <c r="DW4" s="1113" t="s">
        <v>104</v>
      </c>
      <c r="DX4" s="1113" t="s">
        <v>105</v>
      </c>
      <c r="DY4" s="1113" t="s">
        <v>106</v>
      </c>
      <c r="DZ4" s="1113" t="s">
        <v>512</v>
      </c>
      <c r="EA4" s="1110"/>
      <c r="EC4" s="1113"/>
      <c r="ED4" s="1113" t="s">
        <v>666</v>
      </c>
      <c r="EE4" s="1113" t="s">
        <v>104</v>
      </c>
      <c r="EF4" s="1113" t="s">
        <v>105</v>
      </c>
      <c r="EG4" s="1113" t="s">
        <v>106</v>
      </c>
      <c r="EH4" s="1113" t="s">
        <v>512</v>
      </c>
      <c r="EI4" s="1110"/>
      <c r="EK4" s="1113"/>
      <c r="EL4" s="1113" t="s">
        <v>666</v>
      </c>
      <c r="EM4" s="1113" t="s">
        <v>104</v>
      </c>
      <c r="EN4" s="1113" t="s">
        <v>105</v>
      </c>
      <c r="EO4" s="1113" t="s">
        <v>106</v>
      </c>
      <c r="EP4" s="1113" t="s">
        <v>512</v>
      </c>
      <c r="EQ4" s="1110"/>
      <c r="ES4" s="1113"/>
      <c r="ET4" s="1113" t="s">
        <v>666</v>
      </c>
      <c r="EU4" s="1113" t="s">
        <v>104</v>
      </c>
      <c r="EV4" s="1113" t="s">
        <v>105</v>
      </c>
      <c r="EW4" s="1113" t="s">
        <v>106</v>
      </c>
      <c r="EX4" s="1113" t="s">
        <v>512</v>
      </c>
      <c r="EY4" s="1110"/>
      <c r="FA4" s="1113"/>
      <c r="FB4" s="1113" t="s">
        <v>666</v>
      </c>
      <c r="FC4" s="1113" t="s">
        <v>104</v>
      </c>
      <c r="FD4" s="1113" t="s">
        <v>105</v>
      </c>
      <c r="FE4" s="1113" t="s">
        <v>106</v>
      </c>
      <c r="FF4" s="1113" t="s">
        <v>512</v>
      </c>
      <c r="FG4" s="1110"/>
      <c r="FI4" s="1113"/>
      <c r="FJ4" s="1113" t="s">
        <v>666</v>
      </c>
      <c r="FK4" s="1113" t="s">
        <v>104</v>
      </c>
      <c r="FL4" s="1113" t="s">
        <v>105</v>
      </c>
      <c r="FM4" s="1113" t="s">
        <v>106</v>
      </c>
      <c r="FN4" s="1113" t="s">
        <v>512</v>
      </c>
      <c r="FO4" s="1110"/>
    </row>
    <row r="5" spans="1:171" x14ac:dyDescent="0.25">
      <c r="A5" s="1379" t="s">
        <v>695</v>
      </c>
      <c r="B5" s="505" t="s">
        <v>572</v>
      </c>
      <c r="C5" s="3648" t="str">
        <f>'Sch 1- Rate Base '!E5</f>
        <v>PacifiCorp</v>
      </c>
      <c r="D5" s="3649"/>
      <c r="E5" s="3656"/>
      <c r="F5" s="866"/>
      <c r="G5" s="872"/>
      <c r="H5" s="872"/>
      <c r="I5" s="872"/>
      <c r="J5" s="1403"/>
      <c r="K5" s="904"/>
      <c r="S5" s="1110"/>
      <c r="AA5" s="1110"/>
      <c r="AI5" s="1110"/>
      <c r="AQ5" s="1110"/>
      <c r="AY5" s="1110"/>
      <c r="BG5" s="1110"/>
      <c r="BO5" s="1110"/>
      <c r="BW5" s="1110"/>
      <c r="CE5" s="1110"/>
      <c r="CM5" s="1110"/>
      <c r="CU5" s="1110"/>
      <c r="DC5" s="1110"/>
      <c r="DK5" s="1110"/>
      <c r="DS5" s="1110"/>
      <c r="EA5" s="1110"/>
      <c r="EI5" s="1110"/>
      <c r="EQ5" s="1110"/>
      <c r="EY5" s="1110"/>
      <c r="FG5" s="1110"/>
      <c r="FO5" s="1110"/>
    </row>
    <row r="6" spans="1:171" x14ac:dyDescent="0.25">
      <c r="A6" s="1336" t="s">
        <v>696</v>
      </c>
      <c r="B6" s="505" t="s">
        <v>574</v>
      </c>
      <c r="C6" s="3650">
        <f>'Sch 1- Rate Base '!E6</f>
        <v>2023</v>
      </c>
      <c r="D6" s="3651"/>
      <c r="E6" s="3657"/>
      <c r="F6" s="866"/>
      <c r="G6" s="872"/>
      <c r="H6" s="872"/>
      <c r="I6" s="872"/>
      <c r="J6" s="1403"/>
      <c r="K6" s="904"/>
      <c r="S6" s="1110"/>
      <c r="AA6" s="1110"/>
      <c r="AI6" s="1110"/>
      <c r="AQ6" s="1110"/>
      <c r="AY6" s="1110"/>
      <c r="BG6" s="1110"/>
      <c r="BO6" s="1110"/>
      <c r="BW6" s="1110"/>
      <c r="CE6" s="1110"/>
      <c r="CM6" s="1110"/>
      <c r="CU6" s="1110"/>
      <c r="DC6" s="1110"/>
      <c r="DK6" s="1110"/>
      <c r="DS6" s="1110"/>
      <c r="EA6" s="1110"/>
      <c r="EI6" s="1110"/>
      <c r="EQ6" s="1110"/>
      <c r="EY6" s="1110"/>
      <c r="FG6" s="1110"/>
      <c r="FO6" s="1110"/>
    </row>
    <row r="7" spans="1:171" ht="16.5" thickBot="1" x14ac:dyDescent="0.3">
      <c r="A7" s="1401"/>
      <c r="B7" s="505" t="s">
        <v>575</v>
      </c>
      <c r="C7" s="3652">
        <f>'Sch 1- Rate Base '!E7</f>
        <v>45446</v>
      </c>
      <c r="D7" s="3654"/>
      <c r="E7" s="3655"/>
      <c r="F7" s="866"/>
      <c r="G7" s="872"/>
      <c r="H7" s="872"/>
      <c r="I7" s="872"/>
      <c r="J7" s="1403"/>
      <c r="K7" s="904"/>
      <c r="S7" s="1110"/>
      <c r="AA7" s="1110"/>
      <c r="AI7" s="1110"/>
      <c r="AQ7" s="1110"/>
      <c r="AY7" s="1110"/>
      <c r="BG7" s="1110"/>
      <c r="BO7" s="1110"/>
      <c r="BW7" s="1110"/>
      <c r="CE7" s="1110"/>
      <c r="CM7" s="1110"/>
      <c r="CU7" s="1110"/>
      <c r="DC7" s="1110"/>
      <c r="DK7" s="1110"/>
      <c r="DS7" s="1110"/>
      <c r="EA7" s="1110"/>
      <c r="EI7" s="1110"/>
      <c r="EQ7" s="1110"/>
      <c r="EY7" s="1110"/>
      <c r="FG7" s="1110"/>
      <c r="FO7" s="1110"/>
    </row>
    <row r="8" spans="1:171" x14ac:dyDescent="0.25">
      <c r="A8" s="1401"/>
      <c r="B8" s="2"/>
      <c r="C8" s="3"/>
      <c r="D8" s="3"/>
      <c r="E8" s="4"/>
      <c r="F8" s="866"/>
      <c r="G8" s="872"/>
      <c r="H8" s="872"/>
      <c r="I8" s="872"/>
      <c r="J8" s="1403"/>
      <c r="K8" s="904"/>
      <c r="S8" s="1110"/>
      <c r="AA8" s="1110"/>
      <c r="AI8" s="1110"/>
      <c r="AQ8" s="1110"/>
      <c r="AY8" s="1110"/>
      <c r="BG8" s="1110"/>
      <c r="BO8" s="1110"/>
      <c r="BW8" s="1110"/>
      <c r="CE8" s="1110"/>
      <c r="CM8" s="1110"/>
      <c r="CU8" s="1110"/>
      <c r="DC8" s="1110"/>
      <c r="DK8" s="1110"/>
      <c r="DS8" s="1110"/>
      <c r="EA8" s="1110"/>
      <c r="EI8" s="1110"/>
      <c r="EQ8" s="1110"/>
      <c r="EY8" s="1110"/>
      <c r="FG8" s="1110"/>
      <c r="FO8" s="1110"/>
    </row>
    <row r="9" spans="1:171" x14ac:dyDescent="0.25">
      <c r="A9" s="1401">
        <v>1</v>
      </c>
      <c r="B9" s="866">
        <v>2</v>
      </c>
      <c r="C9" s="866">
        <v>3</v>
      </c>
      <c r="D9" s="866">
        <v>4</v>
      </c>
      <c r="E9" s="866">
        <v>5</v>
      </c>
      <c r="F9" s="866">
        <v>6</v>
      </c>
      <c r="G9" s="872"/>
      <c r="H9" s="872"/>
      <c r="I9" s="872"/>
      <c r="J9" s="1403"/>
      <c r="K9" s="904"/>
      <c r="S9" s="1110"/>
      <c r="AA9" s="1110"/>
      <c r="AI9" s="1110"/>
      <c r="AQ9" s="1110"/>
      <c r="AY9" s="1110"/>
      <c r="BG9" s="1110"/>
      <c r="BO9" s="1110"/>
      <c r="BW9" s="1110"/>
      <c r="CE9" s="1110"/>
      <c r="CM9" s="1110"/>
      <c r="CU9" s="1110"/>
      <c r="DC9" s="1110"/>
      <c r="DK9" s="1110"/>
      <c r="DS9" s="1110"/>
      <c r="EA9" s="1110"/>
      <c r="EI9" s="1110"/>
      <c r="EQ9" s="1110"/>
      <c r="EY9" s="1110"/>
      <c r="FG9" s="1110"/>
      <c r="FO9" s="1110"/>
    </row>
    <row r="10" spans="1:171" x14ac:dyDescent="0.25">
      <c r="A10" s="1401"/>
      <c r="B10" s="866"/>
      <c r="C10" s="866"/>
      <c r="D10" s="866"/>
      <c r="E10" s="866"/>
      <c r="F10" s="866"/>
      <c r="G10" s="872"/>
      <c r="H10" s="872"/>
      <c r="I10" s="872"/>
      <c r="J10" s="1403"/>
      <c r="K10" s="904"/>
      <c r="S10" s="1110"/>
      <c r="AA10" s="1110"/>
      <c r="AI10" s="1110"/>
      <c r="AQ10" s="1110"/>
      <c r="AY10" s="1110"/>
      <c r="BG10" s="1110"/>
      <c r="BO10" s="1110"/>
      <c r="BW10" s="1110"/>
      <c r="CE10" s="1110"/>
      <c r="CM10" s="1110"/>
      <c r="CU10" s="1110"/>
      <c r="DC10" s="1110"/>
      <c r="DK10" s="1110"/>
      <c r="DS10" s="1110"/>
      <c r="EA10" s="1110"/>
      <c r="EI10" s="1110"/>
      <c r="EQ10" s="1110"/>
      <c r="EY10" s="1110"/>
      <c r="FG10" s="1110"/>
      <c r="FO10" s="1110"/>
    </row>
    <row r="11" spans="1:171" ht="16.5" thickBot="1" x14ac:dyDescent="0.3">
      <c r="A11" s="1404" t="s">
        <v>325</v>
      </c>
      <c r="B11" s="880"/>
      <c r="C11" s="880"/>
      <c r="D11" s="880"/>
      <c r="E11" s="881"/>
      <c r="F11" s="881"/>
      <c r="G11" s="882"/>
      <c r="H11" s="882"/>
      <c r="I11" s="882"/>
      <c r="J11" s="1405"/>
      <c r="K11" s="904"/>
      <c r="S11" s="1110"/>
      <c r="AA11" s="1110"/>
      <c r="AI11" s="1110"/>
      <c r="AQ11" s="1110"/>
      <c r="AY11" s="1110"/>
      <c r="BG11" s="1110"/>
      <c r="BO11" s="1110"/>
      <c r="BW11" s="1110"/>
      <c r="CE11" s="1110"/>
      <c r="CM11" s="1110"/>
      <c r="CU11" s="1110"/>
      <c r="DC11" s="1110"/>
      <c r="DK11" s="1110"/>
      <c r="DS11" s="1110"/>
      <c r="EA11" s="1110"/>
      <c r="EI11" s="1110"/>
      <c r="EQ11" s="1110"/>
      <c r="EY11" s="1110"/>
      <c r="FG11" s="1110"/>
      <c r="FO11" s="1110"/>
    </row>
    <row r="12" spans="1:171" ht="16.5" thickBot="1" x14ac:dyDescent="0.3">
      <c r="A12" s="1406"/>
      <c r="B12" s="3784" t="s">
        <v>100</v>
      </c>
      <c r="C12" s="327" t="s">
        <v>276</v>
      </c>
      <c r="D12" s="883"/>
      <c r="E12" s="3785" t="s">
        <v>618</v>
      </c>
      <c r="F12" s="3759"/>
      <c r="G12" s="3762" t="s">
        <v>104</v>
      </c>
      <c r="H12" s="3765" t="s">
        <v>105</v>
      </c>
      <c r="I12" s="3786" t="s">
        <v>106</v>
      </c>
      <c r="J12" s="1407"/>
      <c r="K12" s="904"/>
      <c r="S12" s="1110"/>
      <c r="AA12" s="1110"/>
      <c r="AI12" s="1110"/>
      <c r="AQ12" s="1110"/>
      <c r="AY12" s="1110"/>
      <c r="BG12" s="1110"/>
      <c r="BO12" s="1110"/>
      <c r="BW12" s="1110"/>
      <c r="CE12" s="1110"/>
      <c r="CM12" s="1110"/>
      <c r="CU12" s="1110"/>
      <c r="DC12" s="1110"/>
      <c r="DK12" s="1110"/>
      <c r="DS12" s="1110"/>
      <c r="EA12" s="1110"/>
      <c r="EI12" s="1110"/>
      <c r="EQ12" s="1110"/>
      <c r="EY12" s="1110"/>
      <c r="FG12" s="1110"/>
      <c r="FO12" s="1110"/>
    </row>
    <row r="13" spans="1:171" ht="16.5" thickBot="1" x14ac:dyDescent="0.3">
      <c r="A13" s="1408"/>
      <c r="B13" s="3771"/>
      <c r="C13" s="308" t="s">
        <v>272</v>
      </c>
      <c r="D13" s="308" t="s">
        <v>96</v>
      </c>
      <c r="E13" s="3760"/>
      <c r="F13" s="3761"/>
      <c r="G13" s="3763"/>
      <c r="H13" s="3766"/>
      <c r="I13" s="3787"/>
      <c r="J13" s="1409" t="s">
        <v>98</v>
      </c>
      <c r="K13" s="904"/>
      <c r="S13" s="1110"/>
      <c r="AA13" s="1110"/>
      <c r="AI13" s="1110"/>
      <c r="AQ13" s="1110"/>
      <c r="AY13" s="1110"/>
      <c r="BG13" s="1110"/>
      <c r="BO13" s="1110"/>
      <c r="BW13" s="1110"/>
      <c r="CE13" s="1110"/>
      <c r="CM13" s="1110"/>
      <c r="CU13" s="1110"/>
      <c r="DC13" s="1110"/>
      <c r="DK13" s="1110"/>
      <c r="DS13" s="1110"/>
      <c r="EA13" s="1110"/>
      <c r="EI13" s="1110"/>
      <c r="EQ13" s="1110"/>
      <c r="EY13" s="1110"/>
      <c r="FG13" s="1110"/>
      <c r="FO13" s="1110"/>
    </row>
    <row r="14" spans="1:171" ht="16.5" thickBot="1" x14ac:dyDescent="0.3">
      <c r="A14" s="1410"/>
      <c r="B14" s="3772"/>
      <c r="C14" s="323" t="s">
        <v>273</v>
      </c>
      <c r="D14" s="323" t="s">
        <v>252</v>
      </c>
      <c r="E14" s="323" t="s">
        <v>450</v>
      </c>
      <c r="F14" s="323" t="s">
        <v>619</v>
      </c>
      <c r="G14" s="3776"/>
      <c r="H14" s="3778"/>
      <c r="I14" s="3788"/>
      <c r="J14" s="1411" t="s">
        <v>107</v>
      </c>
      <c r="K14" s="904"/>
      <c r="S14" s="1110"/>
      <c r="AA14" s="1110"/>
      <c r="AI14" s="1110"/>
      <c r="AQ14" s="1110"/>
      <c r="AY14" s="1110"/>
      <c r="BG14" s="1110"/>
      <c r="BO14" s="1110"/>
      <c r="BW14" s="1110"/>
      <c r="CE14" s="1110"/>
      <c r="CM14" s="1110"/>
      <c r="CU14" s="1110"/>
      <c r="DC14" s="1110"/>
      <c r="DK14" s="1110"/>
      <c r="DS14" s="1110"/>
      <c r="EA14" s="1110"/>
      <c r="EI14" s="1110"/>
      <c r="EQ14" s="1110"/>
      <c r="EY14" s="1110"/>
      <c r="FG14" s="1110"/>
      <c r="FO14" s="1110"/>
    </row>
    <row r="15" spans="1:171" x14ac:dyDescent="0.25">
      <c r="A15" s="1341" t="s">
        <v>473</v>
      </c>
      <c r="B15" s="157"/>
      <c r="C15" s="55"/>
      <c r="D15" s="55"/>
      <c r="J15" s="1412"/>
      <c r="K15" s="904"/>
      <c r="S15" s="1110"/>
      <c r="AA15" s="1110"/>
      <c r="AI15" s="1110"/>
      <c r="AQ15" s="1110"/>
      <c r="AY15" s="1110"/>
      <c r="BG15" s="1110"/>
      <c r="BO15" s="1110"/>
      <c r="BW15" s="1110"/>
      <c r="CE15" s="1110"/>
      <c r="CM15" s="1110"/>
      <c r="CU15" s="1110"/>
      <c r="DC15" s="1110"/>
      <c r="DK15" s="1110"/>
      <c r="DS15" s="1110"/>
      <c r="EA15" s="1110"/>
      <c r="EI15" s="1110"/>
      <c r="EQ15" s="1110"/>
      <c r="EY15" s="1110"/>
      <c r="FG15" s="1110"/>
      <c r="FO15" s="1110"/>
    </row>
    <row r="16" spans="1:171" x14ac:dyDescent="0.25">
      <c r="A16" s="1413"/>
      <c r="B16" s="220" t="s">
        <v>145</v>
      </c>
      <c r="C16" s="888" t="s">
        <v>70</v>
      </c>
      <c r="D16" s="889">
        <v>301</v>
      </c>
      <c r="E16" s="1538" t="str">
        <f>'Sch 1- Rate Base '!E16</f>
        <v>DIST</v>
      </c>
      <c r="F16" s="890"/>
      <c r="G16" s="891">
        <f>'Sch 1- Rate Base '!G16</f>
        <v>0</v>
      </c>
      <c r="H16" s="891">
        <f>'Sch 1- Rate Base '!H16</f>
        <v>0</v>
      </c>
      <c r="I16" s="891">
        <f>'Sch 1- Rate Base '!I16</f>
        <v>0</v>
      </c>
      <c r="J16" s="1414">
        <f>'Sch 1- Rate Base '!J16</f>
        <v>0</v>
      </c>
      <c r="K16" s="904">
        <f>IF($E16="DIRECT",0,1)</f>
        <v>1</v>
      </c>
      <c r="O16" s="1117">
        <f>$G16</f>
        <v>0</v>
      </c>
      <c r="P16" s="1118">
        <f>VLOOKUP($E16,O$442:R$453,2,FALSE)*O16*($K16)+IF($G16&gt;0,($H16/$G16)*O16,0)*(1-$K16)</f>
        <v>0</v>
      </c>
      <c r="Q16" s="1118">
        <f>VLOOKUP($E16,O$442:R$453,3,FALSE)*O16*($K16)+IF($G16&gt;0,($I16/$G16)*O16,0)*(1-$K16)</f>
        <v>0</v>
      </c>
      <c r="R16" s="1118">
        <f>VLOOKUP($E16,O$442:R$453,4,FALSE)*O16*($K16)+(O16-P16-Q16)*(1-$K16)</f>
        <v>0</v>
      </c>
      <c r="S16" s="1119"/>
      <c r="W16" s="1117">
        <f>$G16</f>
        <v>0</v>
      </c>
      <c r="X16" s="1118">
        <f>VLOOKUP($E16,W$442:Z$453,2,FALSE)*W16*($K16)+IF($G16&gt;0,($H16/$G16)*W16,0)*(1-$K16)</f>
        <v>0</v>
      </c>
      <c r="Y16" s="1118">
        <f>VLOOKUP($E16,W$442:Z$453,3,FALSE)*W16*($K16)+IF($G16&gt;0,($I16/$G16)*W16,0)*(1-$K16)</f>
        <v>0</v>
      </c>
      <c r="Z16" s="1118">
        <f>VLOOKUP($E16,W$442:Z$453,4,FALSE)*W16*($K16)+(W16-X16-Y16)*(1-$K16)</f>
        <v>0</v>
      </c>
      <c r="AA16" s="1119"/>
      <c r="AE16" s="1117">
        <f>$G16</f>
        <v>0</v>
      </c>
      <c r="AF16" s="1118">
        <f>VLOOKUP($E16,AE$442:AH$453,2,FALSE)*AE16*($K16)+IF($G16&gt;0,($H16/$G16)*AE16,0)*(1-$K16)</f>
        <v>0</v>
      </c>
      <c r="AG16" s="1118">
        <f>VLOOKUP($E16,AE$442:AH$453,3,FALSE)*AE16*($K16)+IF($G16&gt;0,($I16/$G16)*AE16,0)*(1-$K16)</f>
        <v>0</v>
      </c>
      <c r="AH16" s="1118">
        <f>VLOOKUP($E16,AE$442:AH$453,4,FALSE)*AE16*($K16)+(AE16-AF16-AG16)*(1-$K16)</f>
        <v>0</v>
      </c>
      <c r="AI16" s="1119"/>
      <c r="AM16" s="1117">
        <f>$G16</f>
        <v>0</v>
      </c>
      <c r="AN16" s="1118">
        <f>VLOOKUP($E16,AM$442:AP$453,2,FALSE)*AM16*($K16)+IF($G16&gt;0,($H16/$G16)*AM16,0)*(1-$K16)</f>
        <v>0</v>
      </c>
      <c r="AO16" s="1118">
        <f>VLOOKUP($E16,AM$442:AP$453,3,FALSE)*AM16*($K16)+IF($G16&gt;0,($I16/$G16)*AM16,0)*(1-$K16)</f>
        <v>0</v>
      </c>
      <c r="AP16" s="1118">
        <f>VLOOKUP($E16,AM$442:AP$453,4,FALSE)*AM16*($K16)+(AM16-AN16-AO16)*(1-$K16)</f>
        <v>0</v>
      </c>
      <c r="AQ16" s="1119"/>
      <c r="AU16" s="1117">
        <f>$G16</f>
        <v>0</v>
      </c>
      <c r="AV16" s="1118">
        <f>VLOOKUP($E16,AU$442:AX$453,2,FALSE)*AU16*($K16)+IF($G16&gt;0,($H16/$G16)*AU16,0)*(1-$K16)</f>
        <v>0</v>
      </c>
      <c r="AW16" s="1118">
        <f>VLOOKUP($E16,AU$442:AX$453,3,FALSE)*AU16*($K16)+IF($G16&gt;0,($I16/$G16)*AU16,0)*(1-$K16)</f>
        <v>0</v>
      </c>
      <c r="AX16" s="1118">
        <f>VLOOKUP($E16,AU$442:AX$453,4,FALSE)*AU16*($K16)+(AU16-AV16-AW16)*(1-$K16)</f>
        <v>0</v>
      </c>
      <c r="AY16" s="1119"/>
      <c r="BC16" s="1117">
        <f>$G16</f>
        <v>0</v>
      </c>
      <c r="BD16" s="1118">
        <f>VLOOKUP($E16,BC$442:BF$453,2,FALSE)*BC16*($K16)+IF($G16&gt;0,($H16/$G16)*BC16,0)*(1-$K16)</f>
        <v>0</v>
      </c>
      <c r="BE16" s="1118">
        <f>VLOOKUP($E16,BC$442:BF$453,3,FALSE)*BC16*($K16)+IF($G16&gt;0,($I16/$G16)*BC16,0)*(1-$K16)</f>
        <v>0</v>
      </c>
      <c r="BF16" s="1118">
        <f>VLOOKUP($E16,BC$442:BF$453,4,FALSE)*BC16*($K16)+(BC16-BD16-BE16)*(1-$K16)</f>
        <v>0</v>
      </c>
      <c r="BG16" s="1119"/>
      <c r="BK16" s="1117">
        <f>$G16</f>
        <v>0</v>
      </c>
      <c r="BL16" s="1118">
        <f>VLOOKUP($E16,BK$442:BN$453,2,FALSE)*BK16*($K16)+IF($G16&gt;0,($H16/$G16)*BK16,0)*(1-$K16)</f>
        <v>0</v>
      </c>
      <c r="BM16" s="1118">
        <f>VLOOKUP($E16,BK$442:BN$453,3,FALSE)*BK16*($K16)+IF($G16&gt;0,($I16/$G16)*BK16,0)*(1-$K16)</f>
        <v>0</v>
      </c>
      <c r="BN16" s="1118">
        <f>VLOOKUP($E16,BK$442:BN$453,4,FALSE)*BK16*($K16)+(BK16-BL16-BM16)*(1-$K16)</f>
        <v>0</v>
      </c>
      <c r="BO16" s="1119"/>
      <c r="BS16" s="1117">
        <f>$G16</f>
        <v>0</v>
      </c>
      <c r="BT16" s="1118">
        <f>VLOOKUP($E16,BS$442:BV$453,2,FALSE)*BS16*($K16)+IF($G16&gt;0,($H16/$G16)*BS16,0)*(1-$K16)</f>
        <v>0</v>
      </c>
      <c r="BU16" s="1118">
        <f>VLOOKUP($E16,BS$442:BV$453,3,FALSE)*BS16*($K16)+IF($G16&gt;0,($I16/$G16)*BS16,0)*(1-$K16)</f>
        <v>0</v>
      </c>
      <c r="BV16" s="1118">
        <f>VLOOKUP($E16,BS$442:BV$453,4,FALSE)*BS16*($K16)+(BS16-BT16-BU16)*(1-$K16)</f>
        <v>0</v>
      </c>
      <c r="BW16" s="1119"/>
      <c r="CA16" s="1117">
        <f>$G16</f>
        <v>0</v>
      </c>
      <c r="CB16" s="1118">
        <f>VLOOKUP($E16,CA$442:CD$453,2,FALSE)*CA16*($K16)+IF($G16&gt;0,($H16/$G16)*CA16,0)*(1-$K16)</f>
        <v>0</v>
      </c>
      <c r="CC16" s="1118">
        <f>VLOOKUP($E16,CA$442:CD$453,3,FALSE)*CA16*($K16)+IF($G16&gt;0,($I16/$G16)*CA16,0)*(1-$K16)</f>
        <v>0</v>
      </c>
      <c r="CD16" s="1118">
        <f>VLOOKUP($E16,CA$442:CD$453,4,FALSE)*CA16*($K16)+(CA16-CB16-CC16)*(1-$K16)</f>
        <v>0</v>
      </c>
      <c r="CE16" s="1119"/>
      <c r="CI16" s="1117">
        <f>$G16</f>
        <v>0</v>
      </c>
      <c r="CJ16" s="1118">
        <f>VLOOKUP($E16,CI$442:CL$453,2,FALSE)*CI16*($K16)+IF($G16&gt;0,($H16/$G16)*CI16,0)*(1-$K16)</f>
        <v>0</v>
      </c>
      <c r="CK16" s="1118">
        <f>VLOOKUP($E16,CI$442:CL$453,3,FALSE)*CI16*($K16)+IF($G16&gt;0,($I16/$G16)*CI16,0)*(1-$K16)</f>
        <v>0</v>
      </c>
      <c r="CL16" s="1118">
        <f>VLOOKUP($E16,CI$442:CL$453,4,FALSE)*CI16*($K16)+(CI16-CJ16-CK16)*(1-$K16)</f>
        <v>0</v>
      </c>
      <c r="CM16" s="1119"/>
      <c r="CQ16" s="1117">
        <f>$G16</f>
        <v>0</v>
      </c>
      <c r="CR16" s="1118">
        <f>VLOOKUP($E16,CQ$442:CT$453,2,FALSE)*CQ16*($K16)+IF($G16&gt;0,($H16/$G16)*CQ16,0)*(1-$K16)</f>
        <v>0</v>
      </c>
      <c r="CS16" s="1118">
        <f>VLOOKUP($E16,CQ$442:CT$453,3,FALSE)*CQ16*($K16)+IF($G16&gt;0,($I16/$G16)*CQ16,0)*(1-$K16)</f>
        <v>0</v>
      </c>
      <c r="CT16" s="1118">
        <f>VLOOKUP($E16,CQ$442:CT$453,4,FALSE)*CQ16*($K16)+(CQ16-CR16-CS16)*(1-$K16)</f>
        <v>0</v>
      </c>
      <c r="CU16" s="1119"/>
      <c r="CY16" s="1117">
        <f>$G16</f>
        <v>0</v>
      </c>
      <c r="CZ16" s="1118">
        <f>VLOOKUP($E16,CY$442:DB$453,2,FALSE)*CY16*($K16)+IF($G16&gt;0,($H16/$G16)*CY16,0)*(1-$K16)</f>
        <v>0</v>
      </c>
      <c r="DA16" s="1118">
        <f>VLOOKUP($E16,CY$442:DB$453,3,FALSE)*CY16*($K16)+IF($G16&gt;0,($I16/$G16)*CY16,0)*(1-$K16)</f>
        <v>0</v>
      </c>
      <c r="DB16" s="1118">
        <f>VLOOKUP($E16,CY$442:DB$453,4,FALSE)*CY16*($K16)+(CY16-CZ16-DA16)*(1-$K16)</f>
        <v>0</v>
      </c>
      <c r="DC16" s="1119"/>
      <c r="DG16" s="1117">
        <f>$G16</f>
        <v>0</v>
      </c>
      <c r="DH16" s="1118">
        <f>VLOOKUP($E16,DG$442:DJ$453,2,FALSE)*DG16*($K16)+IF($G16&gt;0,($H16/$G16)*DG16,0)*(1-$K16)</f>
        <v>0</v>
      </c>
      <c r="DI16" s="1118">
        <f>VLOOKUP($E16,DG$442:DJ$453,3,FALSE)*DG16*($K16)+IF($G16&gt;0,($I16/$G16)*DG16,0)*(1-$K16)</f>
        <v>0</v>
      </c>
      <c r="DJ16" s="1118">
        <f>VLOOKUP($E16,DG$442:DJ$453,4,FALSE)*DG16*($K16)+(DG16-DH16-DI16)*(1-$K16)</f>
        <v>0</v>
      </c>
      <c r="DK16" s="1119"/>
      <c r="DO16" s="1117">
        <f>$G16</f>
        <v>0</v>
      </c>
      <c r="DP16" s="1118">
        <f>VLOOKUP($E16,DO$442:DR$453,2,FALSE)*DO16*($K16)+IF($G16&gt;0,($H16/$G16)*DO16,0)*(1-$K16)</f>
        <v>0</v>
      </c>
      <c r="DQ16" s="1118">
        <f>VLOOKUP($E16,DO$442:DR$453,3,FALSE)*DO16*($K16)+IF($G16&gt;0,($I16/$G16)*DO16,0)*(1-$K16)</f>
        <v>0</v>
      </c>
      <c r="DR16" s="1118">
        <f>VLOOKUP($E16,DO$442:DR$453,4,FALSE)*DO16*($K16)+(DO16-DP16-DQ16)*(1-$K16)</f>
        <v>0</v>
      </c>
      <c r="DS16" s="1119"/>
      <c r="DW16" s="1117">
        <f>$G16</f>
        <v>0</v>
      </c>
      <c r="DX16" s="1118">
        <f>VLOOKUP($E16,DW$442:DZ$453,2,FALSE)*DW16*($K16)+IF($G16&gt;0,($H16/$G16)*DW16,0)*(1-$K16)</f>
        <v>0</v>
      </c>
      <c r="DY16" s="1118">
        <f>VLOOKUP($E16,DW$442:DZ$453,3,FALSE)*DW16*($K16)+IF($G16&gt;0,($I16/$G16)*DW16,0)*(1-$K16)</f>
        <v>0</v>
      </c>
      <c r="DZ16" s="1118">
        <f>VLOOKUP($E16,DW$442:DZ$453,4,FALSE)*DW16*($K16)+(DW16-DX16-DY16)*(1-$K16)</f>
        <v>0</v>
      </c>
      <c r="EA16" s="1119"/>
      <c r="EE16" s="1117">
        <f>$G16</f>
        <v>0</v>
      </c>
      <c r="EF16" s="1118">
        <f>VLOOKUP($E16,EE$442:EH$453,2,FALSE)*EE16*($K16)+IF($G16&gt;0,($H16/$G16)*EE16,0)*(1-$K16)</f>
        <v>0</v>
      </c>
      <c r="EG16" s="1118">
        <f>VLOOKUP($E16,EE$442:EH$453,3,FALSE)*EE16*($K16)+IF($G16&gt;0,($I16/$G16)*EE16,0)*(1-$K16)</f>
        <v>0</v>
      </c>
      <c r="EH16" s="1118">
        <f>VLOOKUP($E16,EE$442:EH$453,4,FALSE)*EE16*($K16)+(EE16-EF16-EG16)*(1-$K16)</f>
        <v>0</v>
      </c>
      <c r="EI16" s="1119"/>
      <c r="EM16" s="1117">
        <f>$G16</f>
        <v>0</v>
      </c>
      <c r="EN16" s="1118">
        <f>VLOOKUP($E16,EM$442:EP$453,2,FALSE)*EM16*($K16)+IF($G16&gt;0,($H16/$G16)*EM16,0)*(1-$K16)</f>
        <v>0</v>
      </c>
      <c r="EO16" s="1118">
        <f>VLOOKUP($E16,EM$442:EP$453,3,FALSE)*EM16*($K16)+IF($G16&gt;0,($I16/$G16)*EM16,0)*(1-$K16)</f>
        <v>0</v>
      </c>
      <c r="EP16" s="1118">
        <f>VLOOKUP($E16,EM$442:EP$453,4,FALSE)*EM16*($K16)+(EM16-EN16-EO16)*(1-$K16)</f>
        <v>0</v>
      </c>
      <c r="EQ16" s="1119"/>
      <c r="EU16" s="1117">
        <f>$G16</f>
        <v>0</v>
      </c>
      <c r="EV16" s="1118">
        <f>VLOOKUP($E16,EU$442:EX$453,2,FALSE)*EU16*($K16)+IF($G16&gt;0,($H16/$G16)*EU16,0)*(1-$K16)</f>
        <v>0</v>
      </c>
      <c r="EW16" s="1118">
        <f>VLOOKUP($E16,EU$442:EX$453,3,FALSE)*EU16*($K16)+IF($G16&gt;0,($I16/$G16)*EU16,0)*(1-$K16)</f>
        <v>0</v>
      </c>
      <c r="EX16" s="1118">
        <f>VLOOKUP($E16,EU$442:EX$453,4,FALSE)*EU16*($K16)+(EU16-EV16-EW16)*(1-$K16)</f>
        <v>0</v>
      </c>
      <c r="EY16" s="1119"/>
      <c r="FC16" s="1117">
        <f>$G16</f>
        <v>0</v>
      </c>
      <c r="FD16" s="1118">
        <f>VLOOKUP($E16,FC$442:FF$453,2,FALSE)*FC16*($K16)+IF($G16&gt;0,($H16/$G16)*FC16,0)*(1-$K16)</f>
        <v>0</v>
      </c>
      <c r="FE16" s="1118">
        <f>VLOOKUP($E16,FC$442:FF$453,3,FALSE)*FC16*($K16)+IF($G16&gt;0,($I16/$G16)*FC16,0)*(1-$K16)</f>
        <v>0</v>
      </c>
      <c r="FF16" s="1118">
        <f>VLOOKUP($E16,FC$442:FF$453,4,FALSE)*FC16*($K16)+(FC16-FD16-FE16)*(1-$K16)</f>
        <v>0</v>
      </c>
      <c r="FG16" s="1119"/>
      <c r="FK16" s="1117">
        <f>$G16</f>
        <v>0</v>
      </c>
      <c r="FL16" s="1118">
        <f>VLOOKUP($E16,FK$442:FN$453,2,FALSE)*FK16*($K16)+IF($G16&gt;0,($H16/$G16)*FK16,0)*(1-$K16)</f>
        <v>0</v>
      </c>
      <c r="FM16" s="1118">
        <f>VLOOKUP($E16,FK$442:FN$453,3,FALSE)*FK16*($K16)+IF($G16&gt;0,($I16/$G16)*FK16,0)*(1-$K16)</f>
        <v>0</v>
      </c>
      <c r="FN16" s="1118">
        <f>VLOOKUP($E16,FK$442:FN$453,4,FALSE)*FK16*($K16)+(FK16-FL16-FM16)*(1-$K16)</f>
        <v>0</v>
      </c>
      <c r="FO16" s="1119"/>
    </row>
    <row r="17" spans="1:171" x14ac:dyDescent="0.25">
      <c r="A17" s="1413"/>
      <c r="B17" s="220" t="s">
        <v>146</v>
      </c>
      <c r="C17" s="888" t="s">
        <v>70</v>
      </c>
      <c r="D17" s="889">
        <v>302</v>
      </c>
      <c r="E17" s="1538" t="str">
        <f>'Sch 1- Rate Base '!E17</f>
        <v>DIRECT</v>
      </c>
      <c r="F17" s="890"/>
      <c r="G17" s="891">
        <f>'Sch 1- Rate Base '!G17</f>
        <v>71764696.193237215</v>
      </c>
      <c r="H17" s="891">
        <f>'Sch 1- Rate Base '!H17</f>
        <v>71764696.193237215</v>
      </c>
      <c r="I17" s="891">
        <f>'Sch 1- Rate Base '!I17</f>
        <v>0</v>
      </c>
      <c r="J17" s="1414">
        <f>'Sch 1- Rate Base '!J17</f>
        <v>1380340.3620770171</v>
      </c>
      <c r="K17" s="904">
        <f>IF($E17="DIRECT",0,1)</f>
        <v>0</v>
      </c>
      <c r="O17" s="1117">
        <f>$G17</f>
        <v>71764696.193237215</v>
      </c>
      <c r="P17" s="1118">
        <f>VLOOKUP($E17,O$442:R$453,2,FALSE)*O17*($K17)+IF($G17&gt;0,($H17/$G17)*O17,0)*(1-$K17)</f>
        <v>71764696.193237215</v>
      </c>
      <c r="Q17" s="1118">
        <f>VLOOKUP($E17,O$442:R$453,3,FALSE)*O17*($K17)+IF($G17&gt;0,($I17/$G17)*O17,0)*(1-$K17)</f>
        <v>0</v>
      </c>
      <c r="R17" s="1118">
        <f>VLOOKUP($E17,O$442:R$453,4,FALSE)*O17*($K17)+(O17-P17-Q17)*(1-$K17)</f>
        <v>0</v>
      </c>
      <c r="S17" s="1119"/>
      <c r="W17" s="1117">
        <f>$G17</f>
        <v>71764696.193237215</v>
      </c>
      <c r="X17" s="1118">
        <f>VLOOKUP($E17,W$442:Z$453,2,FALSE)*W17*($K17)+IF($G17&gt;0,($H17/$G17)*W17,0)*(1-$K17)</f>
        <v>71764696.193237215</v>
      </c>
      <c r="Y17" s="1118">
        <f>VLOOKUP($E17,W$442:Z$453,3,FALSE)*W17*($K17)+IF($G17&gt;0,($I17/$G17)*W17,0)*(1-$K17)</f>
        <v>0</v>
      </c>
      <c r="Z17" s="1118">
        <f>VLOOKUP($E17,W$442:Z$453,4,FALSE)*W17*($K17)+(W17-X17-Y17)*(1-$K17)</f>
        <v>0</v>
      </c>
      <c r="AA17" s="1119"/>
      <c r="AE17" s="1117">
        <f>$G17</f>
        <v>71764696.193237215</v>
      </c>
      <c r="AF17" s="1118">
        <f>VLOOKUP($E17,AE$442:AH$453,2,FALSE)*AE17*($K17)+IF($G17&gt;0,($H17/$G17)*AE17,0)*(1-$K17)</f>
        <v>71764696.193237215</v>
      </c>
      <c r="AG17" s="1118">
        <f>VLOOKUP($E17,AE$442:AH$453,3,FALSE)*AE17*($K17)+IF($G17&gt;0,($I17/$G17)*AE17,0)*(1-$K17)</f>
        <v>0</v>
      </c>
      <c r="AH17" s="1118">
        <f>VLOOKUP($E17,AE$442:AH$453,4,FALSE)*AE17*($K17)+(AE17-AF17-AG17)*(1-$K17)</f>
        <v>0</v>
      </c>
      <c r="AI17" s="1119"/>
      <c r="AM17" s="1117">
        <f>$G17</f>
        <v>71764696.193237215</v>
      </c>
      <c r="AN17" s="1118">
        <f>VLOOKUP($E17,AM$442:AP$453,2,FALSE)*AM17*($K17)+IF($G17&gt;0,($H17/$G17)*AM17,0)*(1-$K17)</f>
        <v>71764696.193237215</v>
      </c>
      <c r="AO17" s="1118">
        <f>VLOOKUP($E17,AM$442:AP$453,3,FALSE)*AM17*($K17)+IF($G17&gt;0,($I17/$G17)*AM17,0)*(1-$K17)</f>
        <v>0</v>
      </c>
      <c r="AP17" s="1118">
        <f>VLOOKUP($E17,AM$442:AP$453,4,FALSE)*AM17*($K17)+(AM17-AN17-AO17)*(1-$K17)</f>
        <v>0</v>
      </c>
      <c r="AQ17" s="1119"/>
      <c r="AU17" s="1117">
        <f>$G17</f>
        <v>71764696.193237215</v>
      </c>
      <c r="AV17" s="1118">
        <f>VLOOKUP($E17,AU$442:AX$453,2,FALSE)*AU17*($K17)+IF($G17&gt;0,($H17/$G17)*AU17,0)*(1-$K17)</f>
        <v>71764696.193237215</v>
      </c>
      <c r="AW17" s="1118">
        <f>VLOOKUP($E17,AU$442:AX$453,3,FALSE)*AU17*($K17)+IF($G17&gt;0,($I17/$G17)*AU17,0)*(1-$K17)</f>
        <v>0</v>
      </c>
      <c r="AX17" s="1118">
        <f>VLOOKUP($E17,AU$442:AX$453,4,FALSE)*AU17*($K17)+(AU17-AV17-AW17)*(1-$K17)</f>
        <v>0</v>
      </c>
      <c r="AY17" s="1119"/>
      <c r="BC17" s="1117">
        <f>$G17</f>
        <v>71764696.193237215</v>
      </c>
      <c r="BD17" s="1118">
        <f>VLOOKUP($E17,BC$442:BF$453,2,FALSE)*BC17*($K17)+IF($G17&gt;0,($H17/$G17)*BC17,0)*(1-$K17)</f>
        <v>71764696.193237215</v>
      </c>
      <c r="BE17" s="1118">
        <f>VLOOKUP($E17,BC$442:BF$453,3,FALSE)*BC17*($K17)+IF($G17&gt;0,($I17/$G17)*BC17,0)*(1-$K17)</f>
        <v>0</v>
      </c>
      <c r="BF17" s="1118">
        <f>VLOOKUP($E17,BC$442:BF$453,4,FALSE)*BC17*($K17)+(BC17-BD17-BE17)*(1-$K17)</f>
        <v>0</v>
      </c>
      <c r="BG17" s="1119"/>
      <c r="BK17" s="1117">
        <f>$G17</f>
        <v>71764696.193237215</v>
      </c>
      <c r="BL17" s="1118">
        <f>VLOOKUP($E17,BK$442:BN$453,2,FALSE)*BK17*($K17)+IF($G17&gt;0,($H17/$G17)*BK17,0)*(1-$K17)</f>
        <v>71764696.193237215</v>
      </c>
      <c r="BM17" s="1118">
        <f>VLOOKUP($E17,BK$442:BN$453,3,FALSE)*BK17*($K17)+IF($G17&gt;0,($I17/$G17)*BK17,0)*(1-$K17)</f>
        <v>0</v>
      </c>
      <c r="BN17" s="1118">
        <f>VLOOKUP($E17,BK$442:BN$453,4,FALSE)*BK17*($K17)+(BK17-BL17-BM17)*(1-$K17)</f>
        <v>0</v>
      </c>
      <c r="BO17" s="1119"/>
      <c r="BS17" s="1117">
        <f>$G17</f>
        <v>71764696.193237215</v>
      </c>
      <c r="BT17" s="1118">
        <f>VLOOKUP($E17,BS$442:BV$453,2,FALSE)*BS17*($K17)+IF($G17&gt;0,($H17/$G17)*BS17,0)*(1-$K17)</f>
        <v>71764696.193237215</v>
      </c>
      <c r="BU17" s="1118">
        <f>VLOOKUP($E17,BS$442:BV$453,3,FALSE)*BS17*($K17)+IF($G17&gt;0,($I17/$G17)*BS17,0)*(1-$K17)</f>
        <v>0</v>
      </c>
      <c r="BV17" s="1118">
        <f>VLOOKUP($E17,BS$442:BV$453,4,FALSE)*BS17*($K17)+(BS17-BT17-BU17)*(1-$K17)</f>
        <v>0</v>
      </c>
      <c r="BW17" s="1119"/>
      <c r="CA17" s="1117">
        <f>$G17</f>
        <v>71764696.193237215</v>
      </c>
      <c r="CB17" s="1118">
        <f>VLOOKUP($E17,CA$442:CD$453,2,FALSE)*CA17*($K17)+IF($G17&gt;0,($H17/$G17)*CA17,0)*(1-$K17)</f>
        <v>71764696.193237215</v>
      </c>
      <c r="CC17" s="1118">
        <f>VLOOKUP($E17,CA$442:CD$453,3,FALSE)*CA17*($K17)+IF($G17&gt;0,($I17/$G17)*CA17,0)*(1-$K17)</f>
        <v>0</v>
      </c>
      <c r="CD17" s="1118">
        <f>VLOOKUP($E17,CA$442:CD$453,4,FALSE)*CA17*($K17)+(CA17-CB17-CC17)*(1-$K17)</f>
        <v>0</v>
      </c>
      <c r="CE17" s="1119"/>
      <c r="CI17" s="1117">
        <f>$G17</f>
        <v>71764696.193237215</v>
      </c>
      <c r="CJ17" s="1118">
        <f>VLOOKUP($E17,CI$442:CL$453,2,FALSE)*CI17*($K17)+IF($G17&gt;0,($H17/$G17)*CI17,0)*(1-$K17)</f>
        <v>71764696.193237215</v>
      </c>
      <c r="CK17" s="1118">
        <f>VLOOKUP($E17,CI$442:CL$453,3,FALSE)*CI17*($K17)+IF($G17&gt;0,($I17/$G17)*CI17,0)*(1-$K17)</f>
        <v>0</v>
      </c>
      <c r="CL17" s="1118">
        <f>VLOOKUP($E17,CI$442:CL$453,4,FALSE)*CI17*($K17)+(CI17-CJ17-CK17)*(1-$K17)</f>
        <v>0</v>
      </c>
      <c r="CM17" s="1119"/>
      <c r="CQ17" s="1117">
        <f>$G17</f>
        <v>71764696.193237215</v>
      </c>
      <c r="CR17" s="1118">
        <f>VLOOKUP($E17,CQ$442:CT$453,2,FALSE)*CQ17*($K17)+IF($G17&gt;0,($H17/$G17)*CQ17,0)*(1-$K17)</f>
        <v>71764696.193237215</v>
      </c>
      <c r="CS17" s="1118">
        <f>VLOOKUP($E17,CQ$442:CT$453,3,FALSE)*CQ17*($K17)+IF($G17&gt;0,($I17/$G17)*CQ17,0)*(1-$K17)</f>
        <v>0</v>
      </c>
      <c r="CT17" s="1118">
        <f>VLOOKUP($E17,CQ$442:CT$453,4,FALSE)*CQ17*($K17)+(CQ17-CR17-CS17)*(1-$K17)</f>
        <v>0</v>
      </c>
      <c r="CU17" s="1119"/>
      <c r="CY17" s="1117">
        <f>$G17</f>
        <v>71764696.193237215</v>
      </c>
      <c r="CZ17" s="1118">
        <f>VLOOKUP($E17,CY$442:DB$453,2,FALSE)*CY17*($K17)+IF($G17&gt;0,($H17/$G17)*CY17,0)*(1-$K17)</f>
        <v>71764696.193237215</v>
      </c>
      <c r="DA17" s="1118">
        <f>VLOOKUP($E17,CY$442:DB$453,3,FALSE)*CY17*($K17)+IF($G17&gt;0,($I17/$G17)*CY17,0)*(1-$K17)</f>
        <v>0</v>
      </c>
      <c r="DB17" s="1118">
        <f>VLOOKUP($E17,CY$442:DB$453,4,FALSE)*CY17*($K17)+(CY17-CZ17-DA17)*(1-$K17)</f>
        <v>0</v>
      </c>
      <c r="DC17" s="1119"/>
      <c r="DG17" s="1117">
        <f>$G17</f>
        <v>71764696.193237215</v>
      </c>
      <c r="DH17" s="1118">
        <f>VLOOKUP($E17,DG$442:DJ$453,2,FALSE)*DG17*($K17)+IF($G17&gt;0,($H17/$G17)*DG17,0)*(1-$K17)</f>
        <v>71764696.193237215</v>
      </c>
      <c r="DI17" s="1118">
        <f>VLOOKUP($E17,DG$442:DJ$453,3,FALSE)*DG17*($K17)+IF($G17&gt;0,($I17/$G17)*DG17,0)*(1-$K17)</f>
        <v>0</v>
      </c>
      <c r="DJ17" s="1118">
        <f>VLOOKUP($E17,DG$442:DJ$453,4,FALSE)*DG17*($K17)+(DG17-DH17-DI17)*(1-$K17)</f>
        <v>0</v>
      </c>
      <c r="DK17" s="1119"/>
      <c r="DO17" s="1117">
        <f>$G17</f>
        <v>71764696.193237215</v>
      </c>
      <c r="DP17" s="1118">
        <f>VLOOKUP($E17,DO$442:DR$453,2,FALSE)*DO17*($K17)+IF($G17&gt;0,($H17/$G17)*DO17,0)*(1-$K17)</f>
        <v>71764696.193237215</v>
      </c>
      <c r="DQ17" s="1118">
        <f>VLOOKUP($E17,DO$442:DR$453,3,FALSE)*DO17*($K17)+IF($G17&gt;0,($I17/$G17)*DO17,0)*(1-$K17)</f>
        <v>0</v>
      </c>
      <c r="DR17" s="1118">
        <f>VLOOKUP($E17,DO$442:DR$453,4,FALSE)*DO17*($K17)+(DO17-DP17-DQ17)*(1-$K17)</f>
        <v>0</v>
      </c>
      <c r="DS17" s="1119"/>
      <c r="DW17" s="1117">
        <f>$G17</f>
        <v>71764696.193237215</v>
      </c>
      <c r="DX17" s="1118">
        <f>VLOOKUP($E17,DW$442:DZ$453,2,FALSE)*DW17*($K17)+IF($G17&gt;0,($H17/$G17)*DW17,0)*(1-$K17)</f>
        <v>71764696.193237215</v>
      </c>
      <c r="DY17" s="1118">
        <f>VLOOKUP($E17,DW$442:DZ$453,3,FALSE)*DW17*($K17)+IF($G17&gt;0,($I17/$G17)*DW17,0)*(1-$K17)</f>
        <v>0</v>
      </c>
      <c r="DZ17" s="1118">
        <f>VLOOKUP($E17,DW$442:DZ$453,4,FALSE)*DW17*($K17)+(DW17-DX17-DY17)*(1-$K17)</f>
        <v>0</v>
      </c>
      <c r="EA17" s="1119"/>
      <c r="EE17" s="1117">
        <f>$G17</f>
        <v>71764696.193237215</v>
      </c>
      <c r="EF17" s="1118">
        <f>VLOOKUP($E17,EE$442:EH$453,2,FALSE)*EE17*($K17)+IF($G17&gt;0,($H17/$G17)*EE17,0)*(1-$K17)</f>
        <v>71764696.193237215</v>
      </c>
      <c r="EG17" s="1118">
        <f>VLOOKUP($E17,EE$442:EH$453,3,FALSE)*EE17*($K17)+IF($G17&gt;0,($I17/$G17)*EE17,0)*(1-$K17)</f>
        <v>0</v>
      </c>
      <c r="EH17" s="1118">
        <f>VLOOKUP($E17,EE$442:EH$453,4,FALSE)*EE17*($K17)+(EE17-EF17-EG17)*(1-$K17)</f>
        <v>0</v>
      </c>
      <c r="EI17" s="1119"/>
      <c r="EM17" s="1117">
        <f>$G17</f>
        <v>71764696.193237215</v>
      </c>
      <c r="EN17" s="1118">
        <f>VLOOKUP($E17,EM$442:EP$453,2,FALSE)*EM17*($K17)+IF($G17&gt;0,($H17/$G17)*EM17,0)*(1-$K17)</f>
        <v>71764696.193237215</v>
      </c>
      <c r="EO17" s="1118">
        <f>VLOOKUP($E17,EM$442:EP$453,3,FALSE)*EM17*($K17)+IF($G17&gt;0,($I17/$G17)*EM17,0)*(1-$K17)</f>
        <v>0</v>
      </c>
      <c r="EP17" s="1118">
        <f>VLOOKUP($E17,EM$442:EP$453,4,FALSE)*EM17*($K17)+(EM17-EN17-EO17)*(1-$K17)</f>
        <v>0</v>
      </c>
      <c r="EQ17" s="1119"/>
      <c r="EU17" s="1117">
        <f>$G17</f>
        <v>71764696.193237215</v>
      </c>
      <c r="EV17" s="1118">
        <f>VLOOKUP($E17,EU$442:EX$453,2,FALSE)*EU17*($K17)+IF($G17&gt;0,($H17/$G17)*EU17,0)*(1-$K17)</f>
        <v>71764696.193237215</v>
      </c>
      <c r="EW17" s="1118">
        <f>VLOOKUP($E17,EU$442:EX$453,3,FALSE)*EU17*($K17)+IF($G17&gt;0,($I17/$G17)*EU17,0)*(1-$K17)</f>
        <v>0</v>
      </c>
      <c r="EX17" s="1118">
        <f>VLOOKUP($E17,EU$442:EX$453,4,FALSE)*EU17*($K17)+(EU17-EV17-EW17)*(1-$K17)</f>
        <v>0</v>
      </c>
      <c r="EY17" s="1119"/>
      <c r="FC17" s="1117">
        <f>$G17</f>
        <v>71764696.193237215</v>
      </c>
      <c r="FD17" s="1118">
        <f>VLOOKUP($E17,FC$442:FF$453,2,FALSE)*FC17*($K17)+IF($G17&gt;0,($H17/$G17)*FC17,0)*(1-$K17)</f>
        <v>71764696.193237215</v>
      </c>
      <c r="FE17" s="1118">
        <f>VLOOKUP($E17,FC$442:FF$453,3,FALSE)*FC17*($K17)+IF($G17&gt;0,($I17/$G17)*FC17,0)*(1-$K17)</f>
        <v>0</v>
      </c>
      <c r="FF17" s="1118">
        <f>VLOOKUP($E17,FC$442:FF$453,4,FALSE)*FC17*($K17)+(FC17-FD17-FE17)*(1-$K17)</f>
        <v>0</v>
      </c>
      <c r="FG17" s="1119"/>
      <c r="FK17" s="1117">
        <f>$G17</f>
        <v>71764696.193237215</v>
      </c>
      <c r="FL17" s="1118">
        <f>VLOOKUP($E17,FK$442:FN$453,2,FALSE)*FK17*($K17)+IF($G17&gt;0,($H17/$G17)*FK17,0)*(1-$K17)</f>
        <v>71764696.193237215</v>
      </c>
      <c r="FM17" s="1118">
        <f>VLOOKUP($E17,FK$442:FN$453,3,FALSE)*FK17*($K17)+IF($G17&gt;0,($I17/$G17)*FK17,0)*(1-$K17)</f>
        <v>0</v>
      </c>
      <c r="FN17" s="1118">
        <f>VLOOKUP($E17,FK$442:FN$453,4,FALSE)*FK17*($K17)+(FK17-FL17-FM17)*(1-$K17)</f>
        <v>0</v>
      </c>
      <c r="FO17" s="1119"/>
    </row>
    <row r="18" spans="1:171" x14ac:dyDescent="0.25">
      <c r="A18" s="1413"/>
      <c r="B18" s="220" t="s">
        <v>147</v>
      </c>
      <c r="C18" s="892" t="s">
        <v>70</v>
      </c>
      <c r="D18" s="893">
        <v>303</v>
      </c>
      <c r="E18" s="1538" t="str">
        <f>'Sch 1- Rate Base '!E18</f>
        <v>DIRECT</v>
      </c>
      <c r="F18" s="894"/>
      <c r="G18" s="891">
        <f>'Sch 1- Rate Base '!G18</f>
        <v>391010404.58104789</v>
      </c>
      <c r="H18" s="891">
        <f>'Sch 1- Rate Base '!H18</f>
        <v>129807186.3491185</v>
      </c>
      <c r="I18" s="891">
        <f>'Sch 1- Rate Base '!I18</f>
        <v>0</v>
      </c>
      <c r="J18" s="1414">
        <f>'Sch 1- Rate Base '!J18</f>
        <v>261203218.23192942</v>
      </c>
      <c r="K18" s="904">
        <f>IF($E18="DIRECT",0,1)</f>
        <v>0</v>
      </c>
      <c r="O18" s="1117">
        <f>$G18</f>
        <v>391010404.58104789</v>
      </c>
      <c r="P18" s="1118">
        <f>VLOOKUP($E18,O$442:R$453,2,FALSE)*O18*($K18)+IF($G18&gt;0,($H18/$G18)*O18,0)*(1-$K18)</f>
        <v>129807186.34911849</v>
      </c>
      <c r="Q18" s="1118">
        <f>VLOOKUP($E18,O$442:R$453,3,FALSE)*O18*($K18)+IF($G18&gt;0,($I18/$G18)*O18,0)*(1-$K18)</f>
        <v>0</v>
      </c>
      <c r="R18" s="1118">
        <f>VLOOKUP($E18,O$442:R$453,4,FALSE)*O18*($K18)+(O18-P18-Q18)*(1-$K18)</f>
        <v>261203218.23192942</v>
      </c>
      <c r="S18" s="1119"/>
      <c r="W18" s="1117">
        <f>$G18</f>
        <v>391010404.58104789</v>
      </c>
      <c r="X18" s="1118">
        <f>VLOOKUP($E18,W$442:Z$453,2,FALSE)*W18*($K18)+IF($G18&gt;0,($H18/$G18)*W18,0)*(1-$K18)</f>
        <v>129807186.34911849</v>
      </c>
      <c r="Y18" s="1118">
        <f>VLOOKUP($E18,W$442:Z$453,3,FALSE)*W18*($K18)+IF($G18&gt;0,($I18/$G18)*W18,0)*(1-$K18)</f>
        <v>0</v>
      </c>
      <c r="Z18" s="1118">
        <f>VLOOKUP($E18,W$442:Z$453,4,FALSE)*W18*($K18)+(W18-X18-Y18)*(1-$K18)</f>
        <v>261203218.23192942</v>
      </c>
      <c r="AA18" s="1119"/>
      <c r="AE18" s="1117">
        <f>$G18</f>
        <v>391010404.58104789</v>
      </c>
      <c r="AF18" s="1118">
        <f>VLOOKUP($E18,AE$442:AH$453,2,FALSE)*AE18*($K18)+IF($G18&gt;0,($H18/$G18)*AE18,0)*(1-$K18)</f>
        <v>129807186.34911849</v>
      </c>
      <c r="AG18" s="1118">
        <f>VLOOKUP($E18,AE$442:AH$453,3,FALSE)*AE18*($K18)+IF($G18&gt;0,($I18/$G18)*AE18,0)*(1-$K18)</f>
        <v>0</v>
      </c>
      <c r="AH18" s="1118">
        <f>VLOOKUP($E18,AE$442:AH$453,4,FALSE)*AE18*($K18)+(AE18-AF18-AG18)*(1-$K18)</f>
        <v>261203218.23192942</v>
      </c>
      <c r="AI18" s="1119"/>
      <c r="AM18" s="1117">
        <f>$G18</f>
        <v>391010404.58104789</v>
      </c>
      <c r="AN18" s="1118">
        <f>VLOOKUP($E18,AM$442:AP$453,2,FALSE)*AM18*($K18)+IF($G18&gt;0,($H18/$G18)*AM18,0)*(1-$K18)</f>
        <v>129807186.34911849</v>
      </c>
      <c r="AO18" s="1118">
        <f>VLOOKUP($E18,AM$442:AP$453,3,FALSE)*AM18*($K18)+IF($G18&gt;0,($I18/$G18)*AM18,0)*(1-$K18)</f>
        <v>0</v>
      </c>
      <c r="AP18" s="1118">
        <f>VLOOKUP($E18,AM$442:AP$453,4,FALSE)*AM18*($K18)+(AM18-AN18-AO18)*(1-$K18)</f>
        <v>261203218.23192942</v>
      </c>
      <c r="AQ18" s="1119"/>
      <c r="AU18" s="1117">
        <f>$G18</f>
        <v>391010404.58104789</v>
      </c>
      <c r="AV18" s="1118">
        <f>VLOOKUP($E18,AU$442:AX$453,2,FALSE)*AU18*($K18)+IF($G18&gt;0,($H18/$G18)*AU18,0)*(1-$K18)</f>
        <v>129807186.34911849</v>
      </c>
      <c r="AW18" s="1118">
        <f>VLOOKUP($E18,AU$442:AX$453,3,FALSE)*AU18*($K18)+IF($G18&gt;0,($I18/$G18)*AU18,0)*(1-$K18)</f>
        <v>0</v>
      </c>
      <c r="AX18" s="1118">
        <f>VLOOKUP($E18,AU$442:AX$453,4,FALSE)*AU18*($K18)+(AU18-AV18-AW18)*(1-$K18)</f>
        <v>261203218.23192942</v>
      </c>
      <c r="AY18" s="1119"/>
      <c r="BC18" s="1117">
        <f>$G18</f>
        <v>391010404.58104789</v>
      </c>
      <c r="BD18" s="1118">
        <f>VLOOKUP($E18,BC$442:BF$453,2,FALSE)*BC18*($K18)+IF($G18&gt;0,($H18/$G18)*BC18,0)*(1-$K18)</f>
        <v>129807186.34911849</v>
      </c>
      <c r="BE18" s="1118">
        <f>VLOOKUP($E18,BC$442:BF$453,3,FALSE)*BC18*($K18)+IF($G18&gt;0,($I18/$G18)*BC18,0)*(1-$K18)</f>
        <v>0</v>
      </c>
      <c r="BF18" s="1118">
        <f>VLOOKUP($E18,BC$442:BF$453,4,FALSE)*BC18*($K18)+(BC18-BD18-BE18)*(1-$K18)</f>
        <v>261203218.23192942</v>
      </c>
      <c r="BG18" s="1119"/>
      <c r="BK18" s="1117">
        <f>$G18</f>
        <v>391010404.58104789</v>
      </c>
      <c r="BL18" s="1118">
        <f>VLOOKUP($E18,BK$442:BN$453,2,FALSE)*BK18*($K18)+IF($G18&gt;0,($H18/$G18)*BK18,0)*(1-$K18)</f>
        <v>129807186.34911849</v>
      </c>
      <c r="BM18" s="1118">
        <f>VLOOKUP($E18,BK$442:BN$453,3,FALSE)*BK18*($K18)+IF($G18&gt;0,($I18/$G18)*BK18,0)*(1-$K18)</f>
        <v>0</v>
      </c>
      <c r="BN18" s="1118">
        <f>VLOOKUP($E18,BK$442:BN$453,4,FALSE)*BK18*($K18)+(BK18-BL18-BM18)*(1-$K18)</f>
        <v>261203218.23192942</v>
      </c>
      <c r="BO18" s="1119"/>
      <c r="BS18" s="1117">
        <f>$G18</f>
        <v>391010404.58104789</v>
      </c>
      <c r="BT18" s="1118">
        <f>VLOOKUP($E18,BS$442:BV$453,2,FALSE)*BS18*($K18)+IF($G18&gt;0,($H18/$G18)*BS18,0)*(1-$K18)</f>
        <v>129807186.34911849</v>
      </c>
      <c r="BU18" s="1118">
        <f>VLOOKUP($E18,BS$442:BV$453,3,FALSE)*BS18*($K18)+IF($G18&gt;0,($I18/$G18)*BS18,0)*(1-$K18)</f>
        <v>0</v>
      </c>
      <c r="BV18" s="1118">
        <f>VLOOKUP($E18,BS$442:BV$453,4,FALSE)*BS18*($K18)+(BS18-BT18-BU18)*(1-$K18)</f>
        <v>261203218.23192942</v>
      </c>
      <c r="BW18" s="1119"/>
      <c r="CA18" s="1117">
        <f>$G18</f>
        <v>391010404.58104789</v>
      </c>
      <c r="CB18" s="1118">
        <f>VLOOKUP($E18,CA$442:CD$453,2,FALSE)*CA18*($K18)+IF($G18&gt;0,($H18/$G18)*CA18,0)*(1-$K18)</f>
        <v>129807186.34911849</v>
      </c>
      <c r="CC18" s="1118">
        <f>VLOOKUP($E18,CA$442:CD$453,3,FALSE)*CA18*($K18)+IF($G18&gt;0,($I18/$G18)*CA18,0)*(1-$K18)</f>
        <v>0</v>
      </c>
      <c r="CD18" s="1118">
        <f>VLOOKUP($E18,CA$442:CD$453,4,FALSE)*CA18*($K18)+(CA18-CB18-CC18)*(1-$K18)</f>
        <v>261203218.23192942</v>
      </c>
      <c r="CE18" s="1119"/>
      <c r="CI18" s="1117">
        <f>$G18</f>
        <v>391010404.58104789</v>
      </c>
      <c r="CJ18" s="1118">
        <f>VLOOKUP($E18,CI$442:CL$453,2,FALSE)*CI18*($K18)+IF($G18&gt;0,($H18/$G18)*CI18,0)*(1-$K18)</f>
        <v>129807186.34911849</v>
      </c>
      <c r="CK18" s="1118">
        <f>VLOOKUP($E18,CI$442:CL$453,3,FALSE)*CI18*($K18)+IF($G18&gt;0,($I18/$G18)*CI18,0)*(1-$K18)</f>
        <v>0</v>
      </c>
      <c r="CL18" s="1118">
        <f>VLOOKUP($E18,CI$442:CL$453,4,FALSE)*CI18*($K18)+(CI18-CJ18-CK18)*(1-$K18)</f>
        <v>261203218.23192942</v>
      </c>
      <c r="CM18" s="1119"/>
      <c r="CQ18" s="1117">
        <f>$G18</f>
        <v>391010404.58104789</v>
      </c>
      <c r="CR18" s="1118">
        <f>VLOOKUP($E18,CQ$442:CT$453,2,FALSE)*CQ18*($K18)+IF($G18&gt;0,($H18/$G18)*CQ18,0)*(1-$K18)</f>
        <v>129807186.34911849</v>
      </c>
      <c r="CS18" s="1118">
        <f>VLOOKUP($E18,CQ$442:CT$453,3,FALSE)*CQ18*($K18)+IF($G18&gt;0,($I18/$G18)*CQ18,0)*(1-$K18)</f>
        <v>0</v>
      </c>
      <c r="CT18" s="1118">
        <f>VLOOKUP($E18,CQ$442:CT$453,4,FALSE)*CQ18*($K18)+(CQ18-CR18-CS18)*(1-$K18)</f>
        <v>261203218.23192942</v>
      </c>
      <c r="CU18" s="1119"/>
      <c r="CY18" s="1117">
        <f>$G18</f>
        <v>391010404.58104789</v>
      </c>
      <c r="CZ18" s="1118">
        <f>VLOOKUP($E18,CY$442:DB$453,2,FALSE)*CY18*($K18)+IF($G18&gt;0,($H18/$G18)*CY18,0)*(1-$K18)</f>
        <v>129807186.34911849</v>
      </c>
      <c r="DA18" s="1118">
        <f>VLOOKUP($E18,CY$442:DB$453,3,FALSE)*CY18*($K18)+IF($G18&gt;0,($I18/$G18)*CY18,0)*(1-$K18)</f>
        <v>0</v>
      </c>
      <c r="DB18" s="1118">
        <f>VLOOKUP($E18,CY$442:DB$453,4,FALSE)*CY18*($K18)+(CY18-CZ18-DA18)*(1-$K18)</f>
        <v>261203218.23192942</v>
      </c>
      <c r="DC18" s="1119"/>
      <c r="DG18" s="1117">
        <f>$G18</f>
        <v>391010404.58104789</v>
      </c>
      <c r="DH18" s="1118">
        <f>VLOOKUP($E18,DG$442:DJ$453,2,FALSE)*DG18*($K18)+IF($G18&gt;0,($H18/$G18)*DG18,0)*(1-$K18)</f>
        <v>129807186.34911849</v>
      </c>
      <c r="DI18" s="1118">
        <f>VLOOKUP($E18,DG$442:DJ$453,3,FALSE)*DG18*($K18)+IF($G18&gt;0,($I18/$G18)*DG18,0)*(1-$K18)</f>
        <v>0</v>
      </c>
      <c r="DJ18" s="1118">
        <f>VLOOKUP($E18,DG$442:DJ$453,4,FALSE)*DG18*($K18)+(DG18-DH18-DI18)*(1-$K18)</f>
        <v>261203218.23192942</v>
      </c>
      <c r="DK18" s="1119"/>
      <c r="DO18" s="1117">
        <f>$G18</f>
        <v>391010404.58104789</v>
      </c>
      <c r="DP18" s="1118">
        <f>VLOOKUP($E18,DO$442:DR$453,2,FALSE)*DO18*($K18)+IF($G18&gt;0,($H18/$G18)*DO18,0)*(1-$K18)</f>
        <v>129807186.34911849</v>
      </c>
      <c r="DQ18" s="1118">
        <f>VLOOKUP($E18,DO$442:DR$453,3,FALSE)*DO18*($K18)+IF($G18&gt;0,($I18/$G18)*DO18,0)*(1-$K18)</f>
        <v>0</v>
      </c>
      <c r="DR18" s="1118">
        <f>VLOOKUP($E18,DO$442:DR$453,4,FALSE)*DO18*($K18)+(DO18-DP18-DQ18)*(1-$K18)</f>
        <v>261203218.23192942</v>
      </c>
      <c r="DS18" s="1119"/>
      <c r="DW18" s="1117">
        <f>$G18</f>
        <v>391010404.58104789</v>
      </c>
      <c r="DX18" s="1118">
        <f>VLOOKUP($E18,DW$442:DZ$453,2,FALSE)*DW18*($K18)+IF($G18&gt;0,($H18/$G18)*DW18,0)*(1-$K18)</f>
        <v>129807186.34911849</v>
      </c>
      <c r="DY18" s="1118">
        <f>VLOOKUP($E18,DW$442:DZ$453,3,FALSE)*DW18*($K18)+IF($G18&gt;0,($I18/$G18)*DW18,0)*(1-$K18)</f>
        <v>0</v>
      </c>
      <c r="DZ18" s="1118">
        <f>VLOOKUP($E18,DW$442:DZ$453,4,FALSE)*DW18*($K18)+(DW18-DX18-DY18)*(1-$K18)</f>
        <v>261203218.23192942</v>
      </c>
      <c r="EA18" s="1119"/>
      <c r="EE18" s="1117">
        <f>$G18</f>
        <v>391010404.58104789</v>
      </c>
      <c r="EF18" s="1118">
        <f>VLOOKUP($E18,EE$442:EH$453,2,FALSE)*EE18*($K18)+IF($G18&gt;0,($H18/$G18)*EE18,0)*(1-$K18)</f>
        <v>129807186.34911849</v>
      </c>
      <c r="EG18" s="1118">
        <f>VLOOKUP($E18,EE$442:EH$453,3,FALSE)*EE18*($K18)+IF($G18&gt;0,($I18/$G18)*EE18,0)*(1-$K18)</f>
        <v>0</v>
      </c>
      <c r="EH18" s="1118">
        <f>VLOOKUP($E18,EE$442:EH$453,4,FALSE)*EE18*($K18)+(EE18-EF18-EG18)*(1-$K18)</f>
        <v>261203218.23192942</v>
      </c>
      <c r="EI18" s="1119"/>
      <c r="EM18" s="1117">
        <f>$G18</f>
        <v>391010404.58104789</v>
      </c>
      <c r="EN18" s="1118">
        <f>VLOOKUP($E18,EM$442:EP$453,2,FALSE)*EM18*($K18)+IF($G18&gt;0,($H18/$G18)*EM18,0)*(1-$K18)</f>
        <v>129807186.34911849</v>
      </c>
      <c r="EO18" s="1118">
        <f>VLOOKUP($E18,EM$442:EP$453,3,FALSE)*EM18*($K18)+IF($G18&gt;0,($I18/$G18)*EM18,0)*(1-$K18)</f>
        <v>0</v>
      </c>
      <c r="EP18" s="1118">
        <f>VLOOKUP($E18,EM$442:EP$453,4,FALSE)*EM18*($K18)+(EM18-EN18-EO18)*(1-$K18)</f>
        <v>261203218.23192942</v>
      </c>
      <c r="EQ18" s="1119"/>
      <c r="EU18" s="1117">
        <f>$G18</f>
        <v>391010404.58104789</v>
      </c>
      <c r="EV18" s="1118">
        <f>VLOOKUP($E18,EU$442:EX$453,2,FALSE)*EU18*($K18)+IF($G18&gt;0,($H18/$G18)*EU18,0)*(1-$K18)</f>
        <v>129807186.34911849</v>
      </c>
      <c r="EW18" s="1118">
        <f>VLOOKUP($E18,EU$442:EX$453,3,FALSE)*EU18*($K18)+IF($G18&gt;0,($I18/$G18)*EU18,0)*(1-$K18)</f>
        <v>0</v>
      </c>
      <c r="EX18" s="1118">
        <f>VLOOKUP($E18,EU$442:EX$453,4,FALSE)*EU18*($K18)+(EU18-EV18-EW18)*(1-$K18)</f>
        <v>261203218.23192942</v>
      </c>
      <c r="EY18" s="1119"/>
      <c r="FC18" s="1117">
        <f>$G18</f>
        <v>391010404.58104789</v>
      </c>
      <c r="FD18" s="1118">
        <f>VLOOKUP($E18,FC$442:FF$453,2,FALSE)*FC18*($K18)+IF($G18&gt;0,($H18/$G18)*FC18,0)*(1-$K18)</f>
        <v>129807186.34911849</v>
      </c>
      <c r="FE18" s="1118">
        <f>VLOOKUP($E18,FC$442:FF$453,3,FALSE)*FC18*($K18)+IF($G18&gt;0,($I18/$G18)*FC18,0)*(1-$K18)</f>
        <v>0</v>
      </c>
      <c r="FF18" s="1118">
        <f>VLOOKUP($E18,FC$442:FF$453,4,FALSE)*FC18*($K18)+(FC18-FD18-FE18)*(1-$K18)</f>
        <v>261203218.23192942</v>
      </c>
      <c r="FG18" s="1119"/>
      <c r="FK18" s="1117">
        <f>$G18</f>
        <v>391010404.58104789</v>
      </c>
      <c r="FL18" s="1118">
        <f>VLOOKUP($E18,FK$442:FN$453,2,FALSE)*FK18*($K18)+IF($G18&gt;0,($H18/$G18)*FK18,0)*(1-$K18)</f>
        <v>129807186.34911849</v>
      </c>
      <c r="FM18" s="1118">
        <f>VLOOKUP($E18,FK$442:FN$453,3,FALSE)*FK18*($K18)+IF($G18&gt;0,($I18/$G18)*FK18,0)*(1-$K18)</f>
        <v>0</v>
      </c>
      <c r="FN18" s="1118">
        <f>VLOOKUP($E18,FK$442:FN$453,4,FALSE)*FK18*($K18)+(FK18-FL18-FM18)*(1-$K18)</f>
        <v>261203218.23192942</v>
      </c>
      <c r="FO18" s="1119"/>
    </row>
    <row r="19" spans="1:171" x14ac:dyDescent="0.25">
      <c r="A19" s="1344" t="s">
        <v>439</v>
      </c>
      <c r="B19" s="64"/>
      <c r="C19" s="895"/>
      <c r="D19" s="896"/>
      <c r="E19" s="1539"/>
      <c r="F19" s="897"/>
      <c r="G19" s="906">
        <f>SUM(G16:G18)</f>
        <v>462775100.77428508</v>
      </c>
      <c r="H19" s="906">
        <f>SUM(H16:H18)</f>
        <v>201571882.54235572</v>
      </c>
      <c r="I19" s="906">
        <f>SUM(I16:I18)</f>
        <v>0</v>
      </c>
      <c r="J19" s="1415">
        <f>SUM(J16:J18)</f>
        <v>262583558.59400645</v>
      </c>
      <c r="K19" s="904"/>
      <c r="L19" s="1120"/>
      <c r="O19" s="1121">
        <f>SUM(O16:O18)</f>
        <v>462775100.77428508</v>
      </c>
      <c r="P19" s="1121">
        <f>SUM(P16:P18)</f>
        <v>201571882.54235572</v>
      </c>
      <c r="Q19" s="1121">
        <f>SUM(Q16:Q18)</f>
        <v>0</v>
      </c>
      <c r="R19" s="1121">
        <f>SUM(R16:R18)</f>
        <v>261203218.23192942</v>
      </c>
      <c r="S19" s="1119"/>
      <c r="T19" s="1120"/>
      <c r="W19" s="1121">
        <f>SUM(W16:W18)</f>
        <v>462775100.77428508</v>
      </c>
      <c r="X19" s="1121">
        <f>SUM(X16:X18)</f>
        <v>201571882.54235572</v>
      </c>
      <c r="Y19" s="1121">
        <f>SUM(Y16:Y18)</f>
        <v>0</v>
      </c>
      <c r="Z19" s="1121">
        <f>SUM(Z16:Z18)</f>
        <v>261203218.23192942</v>
      </c>
      <c r="AA19" s="1119"/>
      <c r="AB19" s="1120"/>
      <c r="AE19" s="1121">
        <f>SUM(AE16:AE18)</f>
        <v>462775100.77428508</v>
      </c>
      <c r="AF19" s="1121">
        <f>SUM(AF16:AF18)</f>
        <v>201571882.54235572</v>
      </c>
      <c r="AG19" s="1121">
        <f>SUM(AG16:AG18)</f>
        <v>0</v>
      </c>
      <c r="AH19" s="1121">
        <f>SUM(AH16:AH18)</f>
        <v>261203218.23192942</v>
      </c>
      <c r="AI19" s="1119"/>
      <c r="AJ19" s="1120"/>
      <c r="AM19" s="1121">
        <f>SUM(AM16:AM18)</f>
        <v>462775100.77428508</v>
      </c>
      <c r="AN19" s="1121">
        <f>SUM(AN16:AN18)</f>
        <v>201571882.54235572</v>
      </c>
      <c r="AO19" s="1121">
        <f>SUM(AO16:AO18)</f>
        <v>0</v>
      </c>
      <c r="AP19" s="1121">
        <f>SUM(AP16:AP18)</f>
        <v>261203218.23192942</v>
      </c>
      <c r="AQ19" s="1119"/>
      <c r="AR19" s="1120"/>
      <c r="AU19" s="1121">
        <f>SUM(AU16:AU18)</f>
        <v>462775100.77428508</v>
      </c>
      <c r="AV19" s="1121">
        <f>SUM(AV16:AV18)</f>
        <v>201571882.54235572</v>
      </c>
      <c r="AW19" s="1121">
        <f>SUM(AW16:AW18)</f>
        <v>0</v>
      </c>
      <c r="AX19" s="1121">
        <f>SUM(AX16:AX18)</f>
        <v>261203218.23192942</v>
      </c>
      <c r="AY19" s="1119"/>
      <c r="AZ19" s="1120"/>
      <c r="BC19" s="1121">
        <f>SUM(BC16:BC18)</f>
        <v>462775100.77428508</v>
      </c>
      <c r="BD19" s="1121">
        <f>SUM(BD16:BD18)</f>
        <v>201571882.54235572</v>
      </c>
      <c r="BE19" s="1121">
        <f>SUM(BE16:BE18)</f>
        <v>0</v>
      </c>
      <c r="BF19" s="1121">
        <f>SUM(BF16:BF18)</f>
        <v>261203218.23192942</v>
      </c>
      <c r="BG19" s="1119"/>
      <c r="BH19" s="1120"/>
      <c r="BK19" s="1121">
        <f>SUM(BK16:BK18)</f>
        <v>462775100.77428508</v>
      </c>
      <c r="BL19" s="1121">
        <f>SUM(BL16:BL18)</f>
        <v>201571882.54235572</v>
      </c>
      <c r="BM19" s="1121">
        <f>SUM(BM16:BM18)</f>
        <v>0</v>
      </c>
      <c r="BN19" s="1121">
        <f>SUM(BN16:BN18)</f>
        <v>261203218.23192942</v>
      </c>
      <c r="BO19" s="1119"/>
      <c r="BP19" s="1120"/>
      <c r="BS19" s="1121">
        <f>SUM(BS16:BS18)</f>
        <v>462775100.77428508</v>
      </c>
      <c r="BT19" s="1121">
        <f>SUM(BT16:BT18)</f>
        <v>201571882.54235572</v>
      </c>
      <c r="BU19" s="1121">
        <f>SUM(BU16:BU18)</f>
        <v>0</v>
      </c>
      <c r="BV19" s="1121">
        <f>SUM(BV16:BV18)</f>
        <v>261203218.23192942</v>
      </c>
      <c r="BW19" s="1119"/>
      <c r="BX19" s="1120"/>
      <c r="CA19" s="1121">
        <f>SUM(CA16:CA18)</f>
        <v>462775100.77428508</v>
      </c>
      <c r="CB19" s="1121">
        <f>SUM(CB16:CB18)</f>
        <v>201571882.54235572</v>
      </c>
      <c r="CC19" s="1121">
        <f>SUM(CC16:CC18)</f>
        <v>0</v>
      </c>
      <c r="CD19" s="1121">
        <f>SUM(CD16:CD18)</f>
        <v>261203218.23192942</v>
      </c>
      <c r="CE19" s="1119"/>
      <c r="CF19" s="1120"/>
      <c r="CI19" s="1121">
        <f>SUM(CI16:CI18)</f>
        <v>462775100.77428508</v>
      </c>
      <c r="CJ19" s="1121">
        <f>SUM(CJ16:CJ18)</f>
        <v>201571882.54235572</v>
      </c>
      <c r="CK19" s="1121">
        <f>SUM(CK16:CK18)</f>
        <v>0</v>
      </c>
      <c r="CL19" s="1121">
        <f>SUM(CL16:CL18)</f>
        <v>261203218.23192942</v>
      </c>
      <c r="CM19" s="1119"/>
      <c r="CN19" s="1120"/>
      <c r="CQ19" s="1121">
        <f>SUM(CQ16:CQ18)</f>
        <v>462775100.77428508</v>
      </c>
      <c r="CR19" s="1121">
        <f>SUM(CR16:CR18)</f>
        <v>201571882.54235572</v>
      </c>
      <c r="CS19" s="1121">
        <f>SUM(CS16:CS18)</f>
        <v>0</v>
      </c>
      <c r="CT19" s="1121">
        <f>SUM(CT16:CT18)</f>
        <v>261203218.23192942</v>
      </c>
      <c r="CU19" s="1119"/>
      <c r="CV19" s="1120"/>
      <c r="CY19" s="1121">
        <f>SUM(CY16:CY18)</f>
        <v>462775100.77428508</v>
      </c>
      <c r="CZ19" s="1121">
        <f>SUM(CZ16:CZ18)</f>
        <v>201571882.54235572</v>
      </c>
      <c r="DA19" s="1121">
        <f>SUM(DA16:DA18)</f>
        <v>0</v>
      </c>
      <c r="DB19" s="1121">
        <f>SUM(DB16:DB18)</f>
        <v>261203218.23192942</v>
      </c>
      <c r="DC19" s="1119"/>
      <c r="DD19" s="1120"/>
      <c r="DG19" s="1121">
        <f>SUM(DG16:DG18)</f>
        <v>462775100.77428508</v>
      </c>
      <c r="DH19" s="1121">
        <f>SUM(DH16:DH18)</f>
        <v>201571882.54235572</v>
      </c>
      <c r="DI19" s="1121">
        <f>SUM(DI16:DI18)</f>
        <v>0</v>
      </c>
      <c r="DJ19" s="1121">
        <f>SUM(DJ16:DJ18)</f>
        <v>261203218.23192942</v>
      </c>
      <c r="DK19" s="1119"/>
      <c r="DL19" s="1120"/>
      <c r="DO19" s="1121">
        <f>SUM(DO16:DO18)</f>
        <v>462775100.77428508</v>
      </c>
      <c r="DP19" s="1121">
        <f>SUM(DP16:DP18)</f>
        <v>201571882.54235572</v>
      </c>
      <c r="DQ19" s="1121">
        <f>SUM(DQ16:DQ18)</f>
        <v>0</v>
      </c>
      <c r="DR19" s="1121">
        <f>SUM(DR16:DR18)</f>
        <v>261203218.23192942</v>
      </c>
      <c r="DS19" s="1119"/>
      <c r="DT19" s="1120"/>
      <c r="DW19" s="1121">
        <f>SUM(DW16:DW18)</f>
        <v>462775100.77428508</v>
      </c>
      <c r="DX19" s="1121">
        <f>SUM(DX16:DX18)</f>
        <v>201571882.54235572</v>
      </c>
      <c r="DY19" s="1121">
        <f>SUM(DY16:DY18)</f>
        <v>0</v>
      </c>
      <c r="DZ19" s="1121">
        <f>SUM(DZ16:DZ18)</f>
        <v>261203218.23192942</v>
      </c>
      <c r="EA19" s="1119"/>
      <c r="EB19" s="1120"/>
      <c r="EE19" s="1121">
        <f>SUM(EE16:EE18)</f>
        <v>462775100.77428508</v>
      </c>
      <c r="EF19" s="1121">
        <f>SUM(EF16:EF18)</f>
        <v>201571882.54235572</v>
      </c>
      <c r="EG19" s="1121">
        <f>SUM(EG16:EG18)</f>
        <v>0</v>
      </c>
      <c r="EH19" s="1121">
        <f>SUM(EH16:EH18)</f>
        <v>261203218.23192942</v>
      </c>
      <c r="EI19" s="1119"/>
      <c r="EJ19" s="1120"/>
      <c r="EM19" s="1121">
        <f>SUM(EM16:EM18)</f>
        <v>462775100.77428508</v>
      </c>
      <c r="EN19" s="1121">
        <f>SUM(EN16:EN18)</f>
        <v>201571882.54235572</v>
      </c>
      <c r="EO19" s="1121">
        <f>SUM(EO16:EO18)</f>
        <v>0</v>
      </c>
      <c r="EP19" s="1121">
        <f>SUM(EP16:EP18)</f>
        <v>261203218.23192942</v>
      </c>
      <c r="EQ19" s="1119"/>
      <c r="ER19" s="1120"/>
      <c r="EU19" s="1121">
        <f>SUM(EU16:EU18)</f>
        <v>462775100.77428508</v>
      </c>
      <c r="EV19" s="1121">
        <f>SUM(EV16:EV18)</f>
        <v>201571882.54235572</v>
      </c>
      <c r="EW19" s="1121">
        <f>SUM(EW16:EW18)</f>
        <v>0</v>
      </c>
      <c r="EX19" s="1121">
        <f>SUM(EX16:EX18)</f>
        <v>261203218.23192942</v>
      </c>
      <c r="EY19" s="1119"/>
      <c r="EZ19" s="1120"/>
      <c r="FC19" s="1121">
        <f>SUM(FC16:FC18)</f>
        <v>462775100.77428508</v>
      </c>
      <c r="FD19" s="1121">
        <f>SUM(FD16:FD18)</f>
        <v>201571882.54235572</v>
      </c>
      <c r="FE19" s="1121">
        <f>SUM(FE16:FE18)</f>
        <v>0</v>
      </c>
      <c r="FF19" s="1121">
        <f>SUM(FF16:FF18)</f>
        <v>261203218.23192942</v>
      </c>
      <c r="FG19" s="1119"/>
      <c r="FH19" s="1120"/>
      <c r="FK19" s="1121">
        <f>SUM(FK16:FK18)</f>
        <v>462775100.77428508</v>
      </c>
      <c r="FL19" s="1121">
        <f>SUM(FL16:FL18)</f>
        <v>201571882.54235572</v>
      </c>
      <c r="FM19" s="1121">
        <f>SUM(FM16:FM18)</f>
        <v>0</v>
      </c>
      <c r="FN19" s="1121">
        <f>SUM(FN16:FN18)</f>
        <v>261203218.23192942</v>
      </c>
      <c r="FO19" s="1119"/>
    </row>
    <row r="20" spans="1:171" x14ac:dyDescent="0.25">
      <c r="A20" s="1416"/>
      <c r="B20" s="898"/>
      <c r="C20" s="899"/>
      <c r="D20" s="899"/>
      <c r="E20" s="1540"/>
      <c r="F20" s="900"/>
      <c r="G20" s="901"/>
      <c r="H20" s="901"/>
      <c r="I20" s="901"/>
      <c r="J20" s="1417"/>
      <c r="K20" s="904"/>
      <c r="L20" s="1120"/>
      <c r="M20" s="1080"/>
      <c r="N20" s="1080"/>
      <c r="O20" s="1117"/>
      <c r="P20" s="1117"/>
      <c r="Q20" s="1117"/>
      <c r="R20" s="1117"/>
      <c r="S20" s="1119"/>
      <c r="T20" s="1120"/>
      <c r="U20" s="1080"/>
      <c r="V20" s="1080"/>
      <c r="W20" s="1117"/>
      <c r="X20" s="1117"/>
      <c r="Y20" s="1117"/>
      <c r="Z20" s="1117"/>
      <c r="AA20" s="1119"/>
      <c r="AB20" s="1120"/>
      <c r="AC20" s="1080"/>
      <c r="AD20" s="1080"/>
      <c r="AE20" s="1117"/>
      <c r="AF20" s="1117"/>
      <c r="AG20" s="1117"/>
      <c r="AH20" s="1117"/>
      <c r="AI20" s="1119"/>
      <c r="AJ20" s="1120"/>
      <c r="AK20" s="1080"/>
      <c r="AL20" s="1080"/>
      <c r="AM20" s="1117"/>
      <c r="AN20" s="1117"/>
      <c r="AO20" s="1117"/>
      <c r="AP20" s="1117"/>
      <c r="AQ20" s="1119"/>
      <c r="AR20" s="1120"/>
      <c r="AS20" s="1080"/>
      <c r="AT20" s="1080"/>
      <c r="AU20" s="1117"/>
      <c r="AV20" s="1117"/>
      <c r="AW20" s="1117"/>
      <c r="AX20" s="1117"/>
      <c r="AY20" s="1119"/>
      <c r="AZ20" s="1120"/>
      <c r="BA20" s="1080"/>
      <c r="BB20" s="1080"/>
      <c r="BC20" s="1117"/>
      <c r="BD20" s="1117"/>
      <c r="BE20" s="1117"/>
      <c r="BF20" s="1117"/>
      <c r="BG20" s="1119"/>
      <c r="BH20" s="1120"/>
      <c r="BI20" s="1080"/>
      <c r="BJ20" s="1080"/>
      <c r="BK20" s="1117"/>
      <c r="BL20" s="1117"/>
      <c r="BM20" s="1117"/>
      <c r="BN20" s="1117"/>
      <c r="BO20" s="1119"/>
      <c r="BP20" s="1120"/>
      <c r="BQ20" s="1080"/>
      <c r="BR20" s="1080"/>
      <c r="BS20" s="1117"/>
      <c r="BT20" s="1117"/>
      <c r="BU20" s="1117"/>
      <c r="BV20" s="1117"/>
      <c r="BW20" s="1119"/>
      <c r="BX20" s="1120"/>
      <c r="BY20" s="1080"/>
      <c r="BZ20" s="1080"/>
      <c r="CA20" s="1117"/>
      <c r="CB20" s="1117"/>
      <c r="CC20" s="1117"/>
      <c r="CD20" s="1117"/>
      <c r="CE20" s="1119"/>
      <c r="CF20" s="1120"/>
      <c r="CG20" s="1080"/>
      <c r="CH20" s="1080"/>
      <c r="CI20" s="1117"/>
      <c r="CJ20" s="1117"/>
      <c r="CK20" s="1117"/>
      <c r="CL20" s="1117"/>
      <c r="CM20" s="1119"/>
      <c r="CN20" s="1120"/>
      <c r="CO20" s="1080"/>
      <c r="CP20" s="1080"/>
      <c r="CQ20" s="1117"/>
      <c r="CR20" s="1117"/>
      <c r="CS20" s="1117"/>
      <c r="CT20" s="1117"/>
      <c r="CU20" s="1119"/>
      <c r="CV20" s="1120"/>
      <c r="CW20" s="1080"/>
      <c r="CX20" s="1080"/>
      <c r="CY20" s="1117"/>
      <c r="CZ20" s="1117"/>
      <c r="DA20" s="1117"/>
      <c r="DB20" s="1117"/>
      <c r="DC20" s="1119"/>
      <c r="DD20" s="1120"/>
      <c r="DE20" s="1080"/>
      <c r="DF20" s="1080"/>
      <c r="DG20" s="1117"/>
      <c r="DH20" s="1117"/>
      <c r="DI20" s="1117"/>
      <c r="DJ20" s="1117"/>
      <c r="DK20" s="1119"/>
      <c r="DL20" s="1120"/>
      <c r="DM20" s="1080"/>
      <c r="DN20" s="1080"/>
      <c r="DO20" s="1117"/>
      <c r="DP20" s="1117"/>
      <c r="DQ20" s="1117"/>
      <c r="DR20" s="1117"/>
      <c r="DS20" s="1119"/>
      <c r="DT20" s="1120"/>
      <c r="DU20" s="1080"/>
      <c r="DV20" s="1080"/>
      <c r="DW20" s="1117"/>
      <c r="DX20" s="1117"/>
      <c r="DY20" s="1117"/>
      <c r="DZ20" s="1117"/>
      <c r="EA20" s="1119"/>
      <c r="EB20" s="1120"/>
      <c r="EC20" s="1080"/>
      <c r="ED20" s="1080"/>
      <c r="EE20" s="1117"/>
      <c r="EF20" s="1117"/>
      <c r="EG20" s="1117"/>
      <c r="EH20" s="1117"/>
      <c r="EI20" s="1119"/>
      <c r="EJ20" s="1120"/>
      <c r="EK20" s="1080"/>
      <c r="EL20" s="1080"/>
      <c r="EM20" s="1117"/>
      <c r="EN20" s="1117"/>
      <c r="EO20" s="1117"/>
      <c r="EP20" s="1117"/>
      <c r="EQ20" s="1119"/>
      <c r="ER20" s="1120"/>
      <c r="ES20" s="1080"/>
      <c r="ET20" s="1080"/>
      <c r="EU20" s="1117"/>
      <c r="EV20" s="1117"/>
      <c r="EW20" s="1117"/>
      <c r="EX20" s="1117"/>
      <c r="EY20" s="1119"/>
      <c r="EZ20" s="1120"/>
      <c r="FA20" s="1080"/>
      <c r="FB20" s="1080"/>
      <c r="FC20" s="1117"/>
      <c r="FD20" s="1117"/>
      <c r="FE20" s="1117"/>
      <c r="FF20" s="1117"/>
      <c r="FG20" s="1119"/>
      <c r="FH20" s="1120"/>
      <c r="FI20" s="1080"/>
      <c r="FJ20" s="1080"/>
      <c r="FK20" s="1117"/>
      <c r="FL20" s="1117"/>
      <c r="FM20" s="1117"/>
      <c r="FN20" s="1117"/>
      <c r="FO20" s="1119"/>
    </row>
    <row r="21" spans="1:171" x14ac:dyDescent="0.25">
      <c r="A21" s="1341" t="s">
        <v>110</v>
      </c>
      <c r="B21" s="902"/>
      <c r="C21" s="899"/>
      <c r="D21" s="899"/>
      <c r="E21" s="1540"/>
      <c r="F21" s="900"/>
      <c r="G21" s="903"/>
      <c r="H21" s="903"/>
      <c r="I21" s="903"/>
      <c r="J21" s="1418"/>
      <c r="K21" s="904"/>
      <c r="L21" s="1122"/>
      <c r="M21" s="1080"/>
      <c r="N21" s="1080"/>
      <c r="O21" s="1080"/>
      <c r="P21" s="901"/>
      <c r="Q21" s="901"/>
      <c r="R21" s="901"/>
      <c r="S21" s="1119"/>
      <c r="T21" s="1122"/>
      <c r="U21" s="1080"/>
      <c r="V21" s="1080"/>
      <c r="W21" s="1080"/>
      <c r="X21" s="901"/>
      <c r="Y21" s="901"/>
      <c r="Z21" s="901"/>
      <c r="AA21" s="1119"/>
      <c r="AB21" s="1122"/>
      <c r="AC21" s="1080"/>
      <c r="AD21" s="1080"/>
      <c r="AE21" s="1080"/>
      <c r="AF21" s="901"/>
      <c r="AG21" s="901"/>
      <c r="AH21" s="901"/>
      <c r="AI21" s="1119"/>
      <c r="AJ21" s="1122"/>
      <c r="AK21" s="1080"/>
      <c r="AL21" s="1080"/>
      <c r="AM21" s="1080"/>
      <c r="AN21" s="901"/>
      <c r="AO21" s="901"/>
      <c r="AP21" s="901"/>
      <c r="AQ21" s="1119"/>
      <c r="AR21" s="1122"/>
      <c r="AS21" s="1080"/>
      <c r="AT21" s="1080"/>
      <c r="AU21" s="1080"/>
      <c r="AV21" s="901"/>
      <c r="AW21" s="901"/>
      <c r="AX21" s="901"/>
      <c r="AY21" s="1119"/>
      <c r="AZ21" s="1122"/>
      <c r="BA21" s="1080"/>
      <c r="BB21" s="1080"/>
      <c r="BC21" s="1080"/>
      <c r="BD21" s="901"/>
      <c r="BE21" s="901"/>
      <c r="BF21" s="901"/>
      <c r="BG21" s="1119"/>
      <c r="BH21" s="1122"/>
      <c r="BI21" s="1080"/>
      <c r="BJ21" s="1080"/>
      <c r="BK21" s="1080"/>
      <c r="BL21" s="901"/>
      <c r="BM21" s="901"/>
      <c r="BN21" s="901"/>
      <c r="BO21" s="1119"/>
      <c r="BP21" s="1122"/>
      <c r="BQ21" s="1080"/>
      <c r="BR21" s="1080"/>
      <c r="BS21" s="1080"/>
      <c r="BT21" s="901"/>
      <c r="BU21" s="901"/>
      <c r="BV21" s="901"/>
      <c r="BW21" s="1119"/>
      <c r="BX21" s="1122"/>
      <c r="BY21" s="1080"/>
      <c r="BZ21" s="1080"/>
      <c r="CA21" s="1080"/>
      <c r="CB21" s="901"/>
      <c r="CC21" s="901"/>
      <c r="CD21" s="901"/>
      <c r="CE21" s="1119"/>
      <c r="CF21" s="1122"/>
      <c r="CG21" s="1080"/>
      <c r="CH21" s="1080"/>
      <c r="CI21" s="1080"/>
      <c r="CJ21" s="901"/>
      <c r="CK21" s="901"/>
      <c r="CL21" s="901"/>
      <c r="CM21" s="1119"/>
      <c r="CN21" s="1122"/>
      <c r="CO21" s="1080"/>
      <c r="CP21" s="1080"/>
      <c r="CQ21" s="1080"/>
      <c r="CR21" s="901"/>
      <c r="CS21" s="901"/>
      <c r="CT21" s="901"/>
      <c r="CU21" s="1119"/>
      <c r="CV21" s="1122"/>
      <c r="CW21" s="1080"/>
      <c r="CX21" s="1080"/>
      <c r="CY21" s="1080"/>
      <c r="CZ21" s="901"/>
      <c r="DA21" s="901"/>
      <c r="DB21" s="901"/>
      <c r="DC21" s="1119"/>
      <c r="DD21" s="1122"/>
      <c r="DE21" s="1080"/>
      <c r="DF21" s="1080"/>
      <c r="DG21" s="1080"/>
      <c r="DH21" s="901"/>
      <c r="DI21" s="901"/>
      <c r="DJ21" s="901"/>
      <c r="DK21" s="1119"/>
      <c r="DL21" s="1122"/>
      <c r="DM21" s="1080"/>
      <c r="DN21" s="1080"/>
      <c r="DO21" s="1080"/>
      <c r="DP21" s="901"/>
      <c r="DQ21" s="901"/>
      <c r="DR21" s="901"/>
      <c r="DS21" s="1119"/>
      <c r="DT21" s="1122"/>
      <c r="DU21" s="1080"/>
      <c r="DV21" s="1080"/>
      <c r="DW21" s="1080"/>
      <c r="DX21" s="901"/>
      <c r="DY21" s="901"/>
      <c r="DZ21" s="901"/>
      <c r="EA21" s="1119"/>
      <c r="EB21" s="1122"/>
      <c r="EC21" s="1080"/>
      <c r="ED21" s="1080"/>
      <c r="EE21" s="1080"/>
      <c r="EF21" s="901"/>
      <c r="EG21" s="901"/>
      <c r="EH21" s="901"/>
      <c r="EI21" s="1119"/>
      <c r="EJ21" s="1122"/>
      <c r="EK21" s="1080"/>
      <c r="EL21" s="1080"/>
      <c r="EM21" s="1080"/>
      <c r="EN21" s="901"/>
      <c r="EO21" s="901"/>
      <c r="EP21" s="901"/>
      <c r="EQ21" s="1119"/>
      <c r="ER21" s="1122"/>
      <c r="ES21" s="1080"/>
      <c r="ET21" s="1080"/>
      <c r="EU21" s="1080"/>
      <c r="EV21" s="901"/>
      <c r="EW21" s="901"/>
      <c r="EX21" s="901"/>
      <c r="EY21" s="1119"/>
      <c r="EZ21" s="1122"/>
      <c r="FA21" s="1080"/>
      <c r="FB21" s="1080"/>
      <c r="FC21" s="1080"/>
      <c r="FD21" s="901"/>
      <c r="FE21" s="901"/>
      <c r="FF21" s="901"/>
      <c r="FG21" s="1119"/>
      <c r="FH21" s="1122"/>
      <c r="FI21" s="1080"/>
      <c r="FJ21" s="1080"/>
      <c r="FK21" s="1080"/>
      <c r="FL21" s="901"/>
      <c r="FM21" s="901"/>
      <c r="FN21" s="901"/>
      <c r="FO21" s="1119"/>
    </row>
    <row r="22" spans="1:171" x14ac:dyDescent="0.25">
      <c r="A22" s="1419">
        <v>110</v>
      </c>
      <c r="B22" s="220" t="s">
        <v>111</v>
      </c>
      <c r="C22" s="888" t="s">
        <v>70</v>
      </c>
      <c r="D22" s="889" t="s">
        <v>112</v>
      </c>
      <c r="E22" s="1538" t="str">
        <f>'Sch 1- Rate Base '!E22</f>
        <v>PROD</v>
      </c>
      <c r="F22" s="890"/>
      <c r="G22" s="891">
        <f>'Sch 1- Rate Base '!G22</f>
        <v>2890625949.8270597</v>
      </c>
      <c r="H22" s="891">
        <f>'Sch 1- Rate Base '!H22</f>
        <v>2890625949.8270597</v>
      </c>
      <c r="I22" s="891">
        <f>'Sch 1- Rate Base '!I22</f>
        <v>0</v>
      </c>
      <c r="J22" s="1414">
        <f>'Sch 1- Rate Base '!J22</f>
        <v>0</v>
      </c>
      <c r="K22" s="904">
        <f>IF($E22="DIRECT",0,1)</f>
        <v>1</v>
      </c>
      <c r="N22" s="1155">
        <f>VLOOKUP($A22,'New Resources - Group'!$A$4:$Y$133,N$2,FALSE)*N$1</f>
        <v>0</v>
      </c>
      <c r="O22" s="1117">
        <f>$G22+N22</f>
        <v>2890625949.8270597</v>
      </c>
      <c r="P22" s="1118">
        <f>VLOOKUP($E22,O$442:R$453,2,FALSE)*O22*($K22)+IF($G22&gt;0,($H22/$G22)*O22,0)*(1-$K22)</f>
        <v>2890625949.8270597</v>
      </c>
      <c r="Q22" s="1118">
        <f>VLOOKUP($E22,O$442:R$453,3,FALSE)*O22*($K22)+IF($G22&gt;0,($I22/$G22)*O22,0)*(1-$K22)</f>
        <v>0</v>
      </c>
      <c r="R22" s="1118">
        <f>VLOOKUP($E22,O$442:R$453,4,FALSE)*O22*($K22)+(O22-P22-Q22)*(1-$K22)</f>
        <v>0</v>
      </c>
      <c r="S22" s="1119"/>
      <c r="V22" s="1155">
        <f>VLOOKUP($A22,'New Resources - Group'!$A$4:$Y$133,V$2,FALSE)*V$1</f>
        <v>0</v>
      </c>
      <c r="W22" s="1117">
        <f>$G22+V22</f>
        <v>2890625949.8270597</v>
      </c>
      <c r="X22" s="1118">
        <f>VLOOKUP($E22,W$442:Z$453,2,FALSE)*W22*($K22)+IF($G22&gt;0,($H22/$G22)*W22,0)*(1-$K22)</f>
        <v>2890625949.8270597</v>
      </c>
      <c r="Y22" s="1118">
        <f>VLOOKUP($E22,W$442:Z$453,3,FALSE)*W22*($K22)+IF($G22&gt;0,($I22/$G22)*W22,0)*(1-$K22)</f>
        <v>0</v>
      </c>
      <c r="Z22" s="1118">
        <f>VLOOKUP($E22,W$442:Z$453,4,FALSE)*W22*($K22)+(W22-X22-Y22)*(1-$K22)</f>
        <v>0</v>
      </c>
      <c r="AA22" s="1119"/>
      <c r="AD22" s="1155">
        <f>VLOOKUP($A22,'New Resources - Group'!$A$4:$Y$133,AD$2,FALSE)*AD$1</f>
        <v>0</v>
      </c>
      <c r="AE22" s="1117">
        <f>$G22+AD22</f>
        <v>2890625949.8270597</v>
      </c>
      <c r="AF22" s="1118">
        <f>VLOOKUP($E22,AE$442:AH$453,2,FALSE)*AE22*($K22)+IF($G22&gt;0,($H22/$G22)*AE22,0)*(1-$K22)</f>
        <v>2890625949.8270597</v>
      </c>
      <c r="AG22" s="1118">
        <f>VLOOKUP($E22,AE$442:AH$453,3,FALSE)*AE22*($K22)+IF($G22&gt;0,($I22/$G22)*AE22,0)*(1-$K22)</f>
        <v>0</v>
      </c>
      <c r="AH22" s="1118">
        <f>VLOOKUP($E22,AE$442:AH$453,4,FALSE)*AE22*($K22)+(AE22-AF22-AG22)*(1-$K22)</f>
        <v>0</v>
      </c>
      <c r="AI22" s="1119"/>
      <c r="AL22" s="1155">
        <f>VLOOKUP($A22,'New Resources - Group'!$A$4:$Y$133,AL$2,FALSE)*AL$1</f>
        <v>0</v>
      </c>
      <c r="AM22" s="1117">
        <f>$G22+AL22</f>
        <v>2890625949.8270597</v>
      </c>
      <c r="AN22" s="1118">
        <f>VLOOKUP($E22,AM$442:AP$453,2,FALSE)*AM22*($K22)+IF($G22&gt;0,($H22/$G22)*AM22,0)*(1-$K22)</f>
        <v>2890625949.8270597</v>
      </c>
      <c r="AO22" s="1118">
        <f>VLOOKUP($E22,AM$442:AP$453,3,FALSE)*AM22*($K22)+IF($G22&gt;0,($I22/$G22)*AM22,0)*(1-$K22)</f>
        <v>0</v>
      </c>
      <c r="AP22" s="1118">
        <f>VLOOKUP($E22,AM$442:AP$453,4,FALSE)*AM22*($K22)+(AM22-AN22-AO22)*(1-$K22)</f>
        <v>0</v>
      </c>
      <c r="AQ22" s="1119"/>
      <c r="AT22" s="1155">
        <f>VLOOKUP($A22,'New Resources - Group'!$A$4:$Y$133,AT$2,FALSE)*AT$1</f>
        <v>0</v>
      </c>
      <c r="AU22" s="1117">
        <f>$G22+AT22</f>
        <v>2890625949.8270597</v>
      </c>
      <c r="AV22" s="1118">
        <f>VLOOKUP($E22,AU$442:AX$453,2,FALSE)*AU22*($K22)+IF($G22&gt;0,($H22/$G22)*AU22,0)*(1-$K22)</f>
        <v>2890625949.8270597</v>
      </c>
      <c r="AW22" s="1118">
        <f>VLOOKUP($E22,AU$442:AX$453,3,FALSE)*AU22*($K22)+IF($G22&gt;0,($I22/$G22)*AU22,0)*(1-$K22)</f>
        <v>0</v>
      </c>
      <c r="AX22" s="1118">
        <f>VLOOKUP($E22,AU$442:AX$453,4,FALSE)*AU22*($K22)+(AU22-AV22-AW22)*(1-$K22)</f>
        <v>0</v>
      </c>
      <c r="AY22" s="1119"/>
      <c r="BB22" s="1155">
        <f>VLOOKUP($A22,'New Resources - Group'!$A$4:$Y$133,BB$2,FALSE)*BB$1</f>
        <v>0</v>
      </c>
      <c r="BC22" s="1117">
        <f>$G22+BB22</f>
        <v>2890625949.8270597</v>
      </c>
      <c r="BD22" s="1118">
        <f>VLOOKUP($E22,BC$442:BF$453,2,FALSE)*BC22*($K22)+IF($G22&gt;0,($H22/$G22)*BC22,0)*(1-$K22)</f>
        <v>2890625949.8270597</v>
      </c>
      <c r="BE22" s="1118">
        <f>VLOOKUP($E22,BC$442:BF$453,3,FALSE)*BC22*($K22)+IF($G22&gt;0,($I22/$G22)*BC22,0)*(1-$K22)</f>
        <v>0</v>
      </c>
      <c r="BF22" s="1118">
        <f>VLOOKUP($E22,BC$442:BF$453,4,FALSE)*BC22*($K22)+(BC22-BD22-BE22)*(1-$K22)</f>
        <v>0</v>
      </c>
      <c r="BG22" s="1119"/>
      <c r="BJ22" s="1155">
        <f>VLOOKUP($A22,'New Resources - Group'!$A$4:$Y$133,BJ$2,FALSE)*BJ$1</f>
        <v>0</v>
      </c>
      <c r="BK22" s="1117">
        <f>$G22+BJ22</f>
        <v>2890625949.8270597</v>
      </c>
      <c r="BL22" s="1118">
        <f>VLOOKUP($E22,BK$442:BN$453,2,FALSE)*BK22*($K22)+IF($G22&gt;0,($H22/$G22)*BK22,0)*(1-$K22)</f>
        <v>2890625949.8270597</v>
      </c>
      <c r="BM22" s="1118">
        <f>VLOOKUP($E22,BK$442:BN$453,3,FALSE)*BK22*($K22)+IF($G22&gt;0,($I22/$G22)*BK22,0)*(1-$K22)</f>
        <v>0</v>
      </c>
      <c r="BN22" s="1118">
        <f>VLOOKUP($E22,BK$442:BN$453,4,FALSE)*BK22*($K22)+(BK22-BL22-BM22)*(1-$K22)</f>
        <v>0</v>
      </c>
      <c r="BO22" s="1119"/>
      <c r="BR22" s="1155">
        <f>VLOOKUP($A22,'New Resources - Group'!$A$4:$Y$133,BR$2,FALSE)*BR$1</f>
        <v>0</v>
      </c>
      <c r="BS22" s="1117">
        <f>$G22+BR22</f>
        <v>2890625949.8270597</v>
      </c>
      <c r="BT22" s="1118">
        <f>VLOOKUP($E22,BS$442:BV$453,2,FALSE)*BS22*($K22)+IF($G22&gt;0,($H22/$G22)*BS22,0)*(1-$K22)</f>
        <v>2890625949.8270597</v>
      </c>
      <c r="BU22" s="1118">
        <f>VLOOKUP($E22,BS$442:BV$453,3,FALSE)*BS22*($K22)+IF($G22&gt;0,($I22/$G22)*BS22,0)*(1-$K22)</f>
        <v>0</v>
      </c>
      <c r="BV22" s="1118">
        <f>VLOOKUP($E22,BS$442:BV$453,4,FALSE)*BS22*($K22)+(BS22-BT22-BU22)*(1-$K22)</f>
        <v>0</v>
      </c>
      <c r="BW22" s="1119"/>
      <c r="BZ22" s="1155">
        <f>VLOOKUP($A22,'New Resources - Group'!$A$4:$Y$133,BZ$2,FALSE)*BZ$1</f>
        <v>0</v>
      </c>
      <c r="CA22" s="1117">
        <f>$G22+BZ22</f>
        <v>2890625949.8270597</v>
      </c>
      <c r="CB22" s="1118">
        <f>VLOOKUP($E22,CA$442:CD$453,2,FALSE)*CA22*($K22)+IF($G22&gt;0,($H22/$G22)*CA22,0)*(1-$K22)</f>
        <v>2890625949.8270597</v>
      </c>
      <c r="CC22" s="1118">
        <f>VLOOKUP($E22,CA$442:CD$453,3,FALSE)*CA22*($K22)+IF($G22&gt;0,($I22/$G22)*CA22,0)*(1-$K22)</f>
        <v>0</v>
      </c>
      <c r="CD22" s="1118">
        <f>VLOOKUP($E22,CA$442:CD$453,4,FALSE)*CA22*($K22)+(CA22-CB22-CC22)*(1-$K22)</f>
        <v>0</v>
      </c>
      <c r="CE22" s="1119"/>
      <c r="CH22" s="1155">
        <f>VLOOKUP($A22,'New Resources - Group'!$A$4:$Y$133,CH$2,FALSE)*CH$1</f>
        <v>0</v>
      </c>
      <c r="CI22" s="1117">
        <f>$G22+CH22</f>
        <v>2890625949.8270597</v>
      </c>
      <c r="CJ22" s="1118">
        <f>VLOOKUP($E22,CI$442:CL$453,2,FALSE)*CI22*($K22)+IF($G22&gt;0,($H22/$G22)*CI22,0)*(1-$K22)</f>
        <v>2890625949.8270597</v>
      </c>
      <c r="CK22" s="1118">
        <f>VLOOKUP($E22,CI$442:CL$453,3,FALSE)*CI22*($K22)+IF($G22&gt;0,($I22/$G22)*CI22,0)*(1-$K22)</f>
        <v>0</v>
      </c>
      <c r="CL22" s="1118">
        <f>VLOOKUP($E22,CI$442:CL$453,4,FALSE)*CI22*($K22)+(CI22-CJ22-CK22)*(1-$K22)</f>
        <v>0</v>
      </c>
      <c r="CM22" s="1119"/>
      <c r="CP22" s="1155">
        <f>VLOOKUP($A22,'New Resources - Group'!$A$4:$Y$133,CP$2,FALSE)*CP$1</f>
        <v>0</v>
      </c>
      <c r="CQ22" s="1117">
        <f>$G22+CP22</f>
        <v>2890625949.8270597</v>
      </c>
      <c r="CR22" s="1118">
        <f>VLOOKUP($E22,CQ$442:CT$453,2,FALSE)*CQ22*($K22)+IF($G22&gt;0,($H22/$G22)*CQ22,0)*(1-$K22)</f>
        <v>2890625949.8270597</v>
      </c>
      <c r="CS22" s="1118">
        <f>VLOOKUP($E22,CQ$442:CT$453,3,FALSE)*CQ22*($K22)+IF($G22&gt;0,($I22/$G22)*CQ22,0)*(1-$K22)</f>
        <v>0</v>
      </c>
      <c r="CT22" s="1118">
        <f>VLOOKUP($E22,CQ$442:CT$453,4,FALSE)*CQ22*($K22)+(CQ22-CR22-CS22)*(1-$K22)</f>
        <v>0</v>
      </c>
      <c r="CU22" s="1119"/>
      <c r="CX22" s="1155">
        <f>VLOOKUP($A22,'New Resources - Group'!$A$4:$Y$133,CX$2,FALSE)*CX$1</f>
        <v>0</v>
      </c>
      <c r="CY22" s="1117">
        <f>$G22+CX22</f>
        <v>2890625949.8270597</v>
      </c>
      <c r="CZ22" s="1118">
        <f>VLOOKUP($E22,CY$442:DB$453,2,FALSE)*CY22*($K22)+IF($G22&gt;0,($H22/$G22)*CY22,0)*(1-$K22)</f>
        <v>2890625949.8270597</v>
      </c>
      <c r="DA22" s="1118">
        <f>VLOOKUP($E22,CY$442:DB$453,3,FALSE)*CY22*($K22)+IF($G22&gt;0,($I22/$G22)*CY22,0)*(1-$K22)</f>
        <v>0</v>
      </c>
      <c r="DB22" s="1118">
        <f>VLOOKUP($E22,CY$442:DB$453,4,FALSE)*CY22*($K22)+(CY22-CZ22-DA22)*(1-$K22)</f>
        <v>0</v>
      </c>
      <c r="DC22" s="1119"/>
      <c r="DF22" s="1155">
        <f>VLOOKUP($A22,'New Resources - Group'!$A$4:$Y$133,DF$2,FALSE)*DF$1</f>
        <v>0</v>
      </c>
      <c r="DG22" s="1117">
        <f>$G22+DF22</f>
        <v>2890625949.8270597</v>
      </c>
      <c r="DH22" s="1118">
        <f>VLOOKUP($E22,DG$442:DJ$453,2,FALSE)*DG22*($K22)+IF($G22&gt;0,($H22/$G22)*DG22,0)*(1-$K22)</f>
        <v>2890625949.8270597</v>
      </c>
      <c r="DI22" s="1118">
        <f>VLOOKUP($E22,DG$442:DJ$453,3,FALSE)*DG22*($K22)+IF($G22&gt;0,($I22/$G22)*DG22,0)*(1-$K22)</f>
        <v>0</v>
      </c>
      <c r="DJ22" s="1118">
        <f>VLOOKUP($E22,DG$442:DJ$453,4,FALSE)*DG22*($K22)+(DG22-DH22-DI22)*(1-$K22)</f>
        <v>0</v>
      </c>
      <c r="DK22" s="1119"/>
      <c r="DN22" s="1155">
        <f>VLOOKUP($A22,'New Resources - Group'!$A$4:$Y$133,DN$2,FALSE)*DN$1</f>
        <v>0</v>
      </c>
      <c r="DO22" s="1117">
        <f>$G22+DN22</f>
        <v>2890625949.8270597</v>
      </c>
      <c r="DP22" s="1118">
        <f>VLOOKUP($E22,DO$442:DR$453,2,FALSE)*DO22*($K22)+IF($G22&gt;0,($H22/$G22)*DO22,0)*(1-$K22)</f>
        <v>2890625949.8270597</v>
      </c>
      <c r="DQ22" s="1118">
        <f>VLOOKUP($E22,DO$442:DR$453,3,FALSE)*DO22*($K22)+IF($G22&gt;0,($I22/$G22)*DO22,0)*(1-$K22)</f>
        <v>0</v>
      </c>
      <c r="DR22" s="1118">
        <f>VLOOKUP($E22,DO$442:DR$453,4,FALSE)*DO22*($K22)+(DO22-DP22-DQ22)*(1-$K22)</f>
        <v>0</v>
      </c>
      <c r="DS22" s="1119"/>
      <c r="DV22" s="1155">
        <f>VLOOKUP($A22,'New Resources - Group'!$A$4:$Y$133,DV$2,FALSE)*DV$1</f>
        <v>0</v>
      </c>
      <c r="DW22" s="1117">
        <f>$G22+DV22</f>
        <v>2890625949.8270597</v>
      </c>
      <c r="DX22" s="1118">
        <f>VLOOKUP($E22,DW$442:DZ$453,2,FALSE)*DW22*($K22)+IF($G22&gt;0,($H22/$G22)*DW22,0)*(1-$K22)</f>
        <v>2890625949.8270597</v>
      </c>
      <c r="DY22" s="1118">
        <f>VLOOKUP($E22,DW$442:DZ$453,3,FALSE)*DW22*($K22)+IF($G22&gt;0,($I22/$G22)*DW22,0)*(1-$K22)</f>
        <v>0</v>
      </c>
      <c r="DZ22" s="1118">
        <f>VLOOKUP($E22,DW$442:DZ$453,4,FALSE)*DW22*($K22)+(DW22-DX22-DY22)*(1-$K22)</f>
        <v>0</v>
      </c>
      <c r="EA22" s="1119"/>
      <c r="ED22" s="1155">
        <f>VLOOKUP($A22,'New Resources - Group'!$A$4:$Y$133,ED$2,FALSE)*ED$1</f>
        <v>0</v>
      </c>
      <c r="EE22" s="1117">
        <f>$G22+ED22</f>
        <v>2890625949.8270597</v>
      </c>
      <c r="EF22" s="1118">
        <f>VLOOKUP($E22,EE$442:EH$453,2,FALSE)*EE22*($K22)+IF($G22&gt;0,($H22/$G22)*EE22,0)*(1-$K22)</f>
        <v>2890625949.8270597</v>
      </c>
      <c r="EG22" s="1118">
        <f>VLOOKUP($E22,EE$442:EH$453,3,FALSE)*EE22*($K22)+IF($G22&gt;0,($I22/$G22)*EE22,0)*(1-$K22)</f>
        <v>0</v>
      </c>
      <c r="EH22" s="1118">
        <f>VLOOKUP($E22,EE$442:EH$453,4,FALSE)*EE22*($K22)+(EE22-EF22-EG22)*(1-$K22)</f>
        <v>0</v>
      </c>
      <c r="EI22" s="1119"/>
      <c r="EL22" s="1155">
        <f>VLOOKUP($A22,'New Resources - Group'!$A$4:$Y$133,EL$2,FALSE)*EL$1</f>
        <v>0</v>
      </c>
      <c r="EM22" s="1117">
        <f>$G22+EL22</f>
        <v>2890625949.8270597</v>
      </c>
      <c r="EN22" s="1118">
        <f>VLOOKUP($E22,EM$442:EP$453,2,FALSE)*EM22*($K22)+IF($G22&gt;0,($H22/$G22)*EM22,0)*(1-$K22)</f>
        <v>2890625949.8270597</v>
      </c>
      <c r="EO22" s="1118">
        <f>VLOOKUP($E22,EM$442:EP$453,3,FALSE)*EM22*($K22)+IF($G22&gt;0,($I22/$G22)*EM22,0)*(1-$K22)</f>
        <v>0</v>
      </c>
      <c r="EP22" s="1118">
        <f>VLOOKUP($E22,EM$442:EP$453,4,FALSE)*EM22*($K22)+(EM22-EN22-EO22)*(1-$K22)</f>
        <v>0</v>
      </c>
      <c r="EQ22" s="1119"/>
      <c r="ET22" s="1155">
        <f>VLOOKUP($A22,'New Resources - Group'!$A$4:$Y$133,ET$2,FALSE)*ET$1</f>
        <v>0</v>
      </c>
      <c r="EU22" s="1117">
        <f>$G22+ET22</f>
        <v>2890625949.8270597</v>
      </c>
      <c r="EV22" s="1118">
        <f>VLOOKUP($E22,EU$442:EX$453,2,FALSE)*EU22*($K22)+IF($G22&gt;0,($H22/$G22)*EU22,0)*(1-$K22)</f>
        <v>2890625949.8270597</v>
      </c>
      <c r="EW22" s="1118">
        <f>VLOOKUP($E22,EU$442:EX$453,3,FALSE)*EU22*($K22)+IF($G22&gt;0,($I22/$G22)*EU22,0)*(1-$K22)</f>
        <v>0</v>
      </c>
      <c r="EX22" s="1118">
        <f>VLOOKUP($E22,EU$442:EX$453,4,FALSE)*EU22*($K22)+(EU22-EV22-EW22)*(1-$K22)</f>
        <v>0</v>
      </c>
      <c r="EY22" s="1119"/>
      <c r="FB22" s="1155">
        <f>VLOOKUP($A22,'New Resources - Group'!$A$4:$Y$133,FB$2,FALSE)*FB$1</f>
        <v>0</v>
      </c>
      <c r="FC22" s="1117">
        <f>$G22+FB22</f>
        <v>2890625949.8270597</v>
      </c>
      <c r="FD22" s="1118">
        <f>VLOOKUP($E22,FC$442:FF$453,2,FALSE)*FC22*($K22)+IF($G22&gt;0,($H22/$G22)*FC22,0)*(1-$K22)</f>
        <v>2890625949.8270597</v>
      </c>
      <c r="FE22" s="1118">
        <f>VLOOKUP($E22,FC$442:FF$453,3,FALSE)*FC22*($K22)+IF($G22&gt;0,($I22/$G22)*FC22,0)*(1-$K22)</f>
        <v>0</v>
      </c>
      <c r="FF22" s="1118">
        <f>VLOOKUP($E22,FC$442:FF$453,4,FALSE)*FC22*($K22)+(FC22-FD22-FE22)*(1-$K22)</f>
        <v>0</v>
      </c>
      <c r="FG22" s="1119"/>
      <c r="FJ22" s="1155">
        <f>VLOOKUP($A22,'New Resources - Group'!$A$4:$Y$133,FJ$2,FALSE)*FJ$1</f>
        <v>0</v>
      </c>
      <c r="FK22" s="1117">
        <f>$G22+FJ22</f>
        <v>2890625949.8270597</v>
      </c>
      <c r="FL22" s="1118">
        <f>VLOOKUP($E22,FK$442:FN$453,2,FALSE)*FK22*($K22)+IF($G22&gt;0,($H22/$G22)*FK22,0)*(1-$K22)</f>
        <v>2890625949.8270597</v>
      </c>
      <c r="FM22" s="1118">
        <f>VLOOKUP($E22,FK$442:FN$453,3,FALSE)*FK22*($K22)+IF($G22&gt;0,($I22/$G22)*FK22,0)*(1-$K22)</f>
        <v>0</v>
      </c>
      <c r="FN22" s="1118">
        <f>VLOOKUP($E22,FK$442:FN$453,4,FALSE)*FK22*($K22)+(FK22-FL22-FM22)*(1-$K22)</f>
        <v>0</v>
      </c>
      <c r="FO22" s="1119"/>
    </row>
    <row r="23" spans="1:171" x14ac:dyDescent="0.25">
      <c r="A23" s="1419">
        <v>250</v>
      </c>
      <c r="B23" s="220" t="s">
        <v>113</v>
      </c>
      <c r="C23" s="888" t="s">
        <v>70</v>
      </c>
      <c r="D23" s="889" t="s">
        <v>114</v>
      </c>
      <c r="E23" s="1538" t="str">
        <f>'Sch 1- Rate Base '!E23</f>
        <v>PROD</v>
      </c>
      <c r="F23" s="890"/>
      <c r="G23" s="891">
        <f>'Sch 1- Rate Base '!G23</f>
        <v>0</v>
      </c>
      <c r="H23" s="891">
        <f>'Sch 1- Rate Base '!H23</f>
        <v>0</v>
      </c>
      <c r="I23" s="891">
        <f>'Sch 1- Rate Base '!I23</f>
        <v>0</v>
      </c>
      <c r="J23" s="1414">
        <f>'Sch 1- Rate Base '!J23</f>
        <v>0</v>
      </c>
      <c r="K23" s="904">
        <f>IF($E23="DIRECT",0,1)</f>
        <v>1</v>
      </c>
      <c r="N23" s="1155">
        <f>VLOOKUP($A23,'New Resources - Group'!$A$4:$Y$133,N$2,FALSE)*N$1</f>
        <v>0</v>
      </c>
      <c r="O23" s="1117">
        <f>$G23+N23</f>
        <v>0</v>
      </c>
      <c r="P23" s="1118">
        <f>VLOOKUP($E23,O$442:R$453,2,FALSE)*O23*($K23)+IF($G23&gt;0,($H23/$G23)*O23,0)*(1-$K23)</f>
        <v>0</v>
      </c>
      <c r="Q23" s="1118">
        <f>VLOOKUP($E23,O$442:R$453,3,FALSE)*O23*($K23)+IF($G23&gt;0,($I23/$G23)*O23,0)*(1-$K23)</f>
        <v>0</v>
      </c>
      <c r="R23" s="1118">
        <f>VLOOKUP($E23,O$442:R$453,4,FALSE)*O23*($K23)+(O23-P23-Q23)*(1-$K23)</f>
        <v>0</v>
      </c>
      <c r="S23" s="1119"/>
      <c r="V23" s="1155">
        <f>VLOOKUP($A23,'New Resources - Group'!$A$4:$Y$133,V$2,FALSE)*V$1</f>
        <v>0</v>
      </c>
      <c r="W23" s="1117">
        <f>$G23+V23</f>
        <v>0</v>
      </c>
      <c r="X23" s="1118">
        <f>VLOOKUP($E23,W$442:Z$453,2,FALSE)*W23*($K23)+IF($G23&gt;0,($H23/$G23)*W23,0)*(1-$K23)</f>
        <v>0</v>
      </c>
      <c r="Y23" s="1118">
        <f>VLOOKUP($E23,W$442:Z$453,3,FALSE)*W23*($K23)+IF($G23&gt;0,($I23/$G23)*W23,0)*(1-$K23)</f>
        <v>0</v>
      </c>
      <c r="Z23" s="1118">
        <f>VLOOKUP($E23,W$442:Z$453,4,FALSE)*W23*($K23)+(W23-X23-Y23)*(1-$K23)</f>
        <v>0</v>
      </c>
      <c r="AA23" s="1119"/>
      <c r="AD23" s="1155">
        <f>VLOOKUP($A23,'New Resources - Group'!$A$4:$Y$133,AD$2,FALSE)*AD$1</f>
        <v>0</v>
      </c>
      <c r="AE23" s="1117">
        <f>$G23+AD23</f>
        <v>0</v>
      </c>
      <c r="AF23" s="1118">
        <f>VLOOKUP($E23,AE$442:AH$453,2,FALSE)*AE23*($K23)+IF($G23&gt;0,($H23/$G23)*AE23,0)*(1-$K23)</f>
        <v>0</v>
      </c>
      <c r="AG23" s="1118">
        <f>VLOOKUP($E23,AE$442:AH$453,3,FALSE)*AE23*($K23)+IF($G23&gt;0,($I23/$G23)*AE23,0)*(1-$K23)</f>
        <v>0</v>
      </c>
      <c r="AH23" s="1118">
        <f>VLOOKUP($E23,AE$442:AH$453,4,FALSE)*AE23*($K23)+(AE23-AF23-AG23)*(1-$K23)</f>
        <v>0</v>
      </c>
      <c r="AI23" s="1119"/>
      <c r="AL23" s="1155">
        <f>VLOOKUP($A23,'New Resources - Group'!$A$4:$Y$133,AL$2,FALSE)*AL$1</f>
        <v>0</v>
      </c>
      <c r="AM23" s="1117">
        <f>$G23+AL23</f>
        <v>0</v>
      </c>
      <c r="AN23" s="1118">
        <f>VLOOKUP($E23,AM$442:AP$453,2,FALSE)*AM23*($K23)+IF($G23&gt;0,($H23/$G23)*AM23,0)*(1-$K23)</f>
        <v>0</v>
      </c>
      <c r="AO23" s="1118">
        <f>VLOOKUP($E23,AM$442:AP$453,3,FALSE)*AM23*($K23)+IF($G23&gt;0,($I23/$G23)*AM23,0)*(1-$K23)</f>
        <v>0</v>
      </c>
      <c r="AP23" s="1118">
        <f>VLOOKUP($E23,AM$442:AP$453,4,FALSE)*AM23*($K23)+(AM23-AN23-AO23)*(1-$K23)</f>
        <v>0</v>
      </c>
      <c r="AQ23" s="1119"/>
      <c r="AT23" s="1155">
        <f>VLOOKUP($A23,'New Resources - Group'!$A$4:$Y$133,AT$2,FALSE)*AT$1</f>
        <v>0</v>
      </c>
      <c r="AU23" s="1117">
        <f>$G23+AT23</f>
        <v>0</v>
      </c>
      <c r="AV23" s="1118">
        <f>VLOOKUP($E23,AU$442:AX$453,2,FALSE)*AU23*($K23)+IF($G23&gt;0,($H23/$G23)*AU23,0)*(1-$K23)</f>
        <v>0</v>
      </c>
      <c r="AW23" s="1118">
        <f>VLOOKUP($E23,AU$442:AX$453,3,FALSE)*AU23*($K23)+IF($G23&gt;0,($I23/$G23)*AU23,0)*(1-$K23)</f>
        <v>0</v>
      </c>
      <c r="AX23" s="1118">
        <f>VLOOKUP($E23,AU$442:AX$453,4,FALSE)*AU23*($K23)+(AU23-AV23-AW23)*(1-$K23)</f>
        <v>0</v>
      </c>
      <c r="AY23" s="1119"/>
      <c r="BB23" s="1155">
        <f>VLOOKUP($A23,'New Resources - Group'!$A$4:$Y$133,BB$2,FALSE)*BB$1</f>
        <v>0</v>
      </c>
      <c r="BC23" s="1117">
        <f>$G23+BB23</f>
        <v>0</v>
      </c>
      <c r="BD23" s="1118">
        <f>VLOOKUP($E23,BC$442:BF$453,2,FALSE)*BC23*($K23)+IF($G23&gt;0,($H23/$G23)*BC23,0)*(1-$K23)</f>
        <v>0</v>
      </c>
      <c r="BE23" s="1118">
        <f>VLOOKUP($E23,BC$442:BF$453,3,FALSE)*BC23*($K23)+IF($G23&gt;0,($I23/$G23)*BC23,0)*(1-$K23)</f>
        <v>0</v>
      </c>
      <c r="BF23" s="1118">
        <f>VLOOKUP($E23,BC$442:BF$453,4,FALSE)*BC23*($K23)+(BC23-BD23-BE23)*(1-$K23)</f>
        <v>0</v>
      </c>
      <c r="BG23" s="1119"/>
      <c r="BJ23" s="1155">
        <f>VLOOKUP($A23,'New Resources - Group'!$A$4:$Y$133,BJ$2,FALSE)*BJ$1</f>
        <v>0</v>
      </c>
      <c r="BK23" s="1117">
        <f>$G23+BJ23</f>
        <v>0</v>
      </c>
      <c r="BL23" s="1118">
        <f>VLOOKUP($E23,BK$442:BN$453,2,FALSE)*BK23*($K23)+IF($G23&gt;0,($H23/$G23)*BK23,0)*(1-$K23)</f>
        <v>0</v>
      </c>
      <c r="BM23" s="1118">
        <f>VLOOKUP($E23,BK$442:BN$453,3,FALSE)*BK23*($K23)+IF($G23&gt;0,($I23/$G23)*BK23,0)*(1-$K23)</f>
        <v>0</v>
      </c>
      <c r="BN23" s="1118">
        <f>VLOOKUP($E23,BK$442:BN$453,4,FALSE)*BK23*($K23)+(BK23-BL23-BM23)*(1-$K23)</f>
        <v>0</v>
      </c>
      <c r="BO23" s="1119"/>
      <c r="BR23" s="1155">
        <f>VLOOKUP($A23,'New Resources - Group'!$A$4:$Y$133,BR$2,FALSE)*BR$1</f>
        <v>0</v>
      </c>
      <c r="BS23" s="1117">
        <f>$G23+BR23</f>
        <v>0</v>
      </c>
      <c r="BT23" s="1118">
        <f>VLOOKUP($E23,BS$442:BV$453,2,FALSE)*BS23*($K23)+IF($G23&gt;0,($H23/$G23)*BS23,0)*(1-$K23)</f>
        <v>0</v>
      </c>
      <c r="BU23" s="1118">
        <f>VLOOKUP($E23,BS$442:BV$453,3,FALSE)*BS23*($K23)+IF($G23&gt;0,($I23/$G23)*BS23,0)*(1-$K23)</f>
        <v>0</v>
      </c>
      <c r="BV23" s="1118">
        <f>VLOOKUP($E23,BS$442:BV$453,4,FALSE)*BS23*($K23)+(BS23-BT23-BU23)*(1-$K23)</f>
        <v>0</v>
      </c>
      <c r="BW23" s="1119"/>
      <c r="BZ23" s="1155">
        <f>VLOOKUP($A23,'New Resources - Group'!$A$4:$Y$133,BZ$2,FALSE)*BZ$1</f>
        <v>0</v>
      </c>
      <c r="CA23" s="1117">
        <f>$G23+BZ23</f>
        <v>0</v>
      </c>
      <c r="CB23" s="1118">
        <f>VLOOKUP($E23,CA$442:CD$453,2,FALSE)*CA23*($K23)+IF($G23&gt;0,($H23/$G23)*CA23,0)*(1-$K23)</f>
        <v>0</v>
      </c>
      <c r="CC23" s="1118">
        <f>VLOOKUP($E23,CA$442:CD$453,3,FALSE)*CA23*($K23)+IF($G23&gt;0,($I23/$G23)*CA23,0)*(1-$K23)</f>
        <v>0</v>
      </c>
      <c r="CD23" s="1118">
        <f>VLOOKUP($E23,CA$442:CD$453,4,FALSE)*CA23*($K23)+(CA23-CB23-CC23)*(1-$K23)</f>
        <v>0</v>
      </c>
      <c r="CE23" s="1119"/>
      <c r="CH23" s="1155">
        <f>VLOOKUP($A23,'New Resources - Group'!$A$4:$Y$133,CH$2,FALSE)*CH$1</f>
        <v>0</v>
      </c>
      <c r="CI23" s="1117">
        <f>$G23+CH23</f>
        <v>0</v>
      </c>
      <c r="CJ23" s="1118">
        <f>VLOOKUP($E23,CI$442:CL$453,2,FALSE)*CI23*($K23)+IF($G23&gt;0,($H23/$G23)*CI23,0)*(1-$K23)</f>
        <v>0</v>
      </c>
      <c r="CK23" s="1118">
        <f>VLOOKUP($E23,CI$442:CL$453,3,FALSE)*CI23*($K23)+IF($G23&gt;0,($I23/$G23)*CI23,0)*(1-$K23)</f>
        <v>0</v>
      </c>
      <c r="CL23" s="1118">
        <f>VLOOKUP($E23,CI$442:CL$453,4,FALSE)*CI23*($K23)+(CI23-CJ23-CK23)*(1-$K23)</f>
        <v>0</v>
      </c>
      <c r="CM23" s="1119"/>
      <c r="CP23" s="1155">
        <f>VLOOKUP($A23,'New Resources - Group'!$A$4:$Y$133,CP$2,FALSE)*CP$1</f>
        <v>0</v>
      </c>
      <c r="CQ23" s="1117">
        <f>$G23+CP23</f>
        <v>0</v>
      </c>
      <c r="CR23" s="1118">
        <f>VLOOKUP($E23,CQ$442:CT$453,2,FALSE)*CQ23*($K23)+IF($G23&gt;0,($H23/$G23)*CQ23,0)*(1-$K23)</f>
        <v>0</v>
      </c>
      <c r="CS23" s="1118">
        <f>VLOOKUP($E23,CQ$442:CT$453,3,FALSE)*CQ23*($K23)+IF($G23&gt;0,($I23/$G23)*CQ23,0)*(1-$K23)</f>
        <v>0</v>
      </c>
      <c r="CT23" s="1118">
        <f>VLOOKUP($E23,CQ$442:CT$453,4,FALSE)*CQ23*($K23)+(CQ23-CR23-CS23)*(1-$K23)</f>
        <v>0</v>
      </c>
      <c r="CU23" s="1119"/>
      <c r="CX23" s="1155">
        <f>VLOOKUP($A23,'New Resources - Group'!$A$4:$Y$133,CX$2,FALSE)*CX$1</f>
        <v>0</v>
      </c>
      <c r="CY23" s="1117">
        <f>$G23+CX23</f>
        <v>0</v>
      </c>
      <c r="CZ23" s="1118">
        <f>VLOOKUP($E23,CY$442:DB$453,2,FALSE)*CY23*($K23)+IF($G23&gt;0,($H23/$G23)*CY23,0)*(1-$K23)</f>
        <v>0</v>
      </c>
      <c r="DA23" s="1118">
        <f>VLOOKUP($E23,CY$442:DB$453,3,FALSE)*CY23*($K23)+IF($G23&gt;0,($I23/$G23)*CY23,0)*(1-$K23)</f>
        <v>0</v>
      </c>
      <c r="DB23" s="1118">
        <f>VLOOKUP($E23,CY$442:DB$453,4,FALSE)*CY23*($K23)+(CY23-CZ23-DA23)*(1-$K23)</f>
        <v>0</v>
      </c>
      <c r="DC23" s="1119"/>
      <c r="DF23" s="1155">
        <f>VLOOKUP($A23,'New Resources - Group'!$A$4:$Y$133,DF$2,FALSE)*DF$1</f>
        <v>0</v>
      </c>
      <c r="DG23" s="1117">
        <f>$G23+DF23</f>
        <v>0</v>
      </c>
      <c r="DH23" s="1118">
        <f>VLOOKUP($E23,DG$442:DJ$453,2,FALSE)*DG23*($K23)+IF($G23&gt;0,($H23/$G23)*DG23,0)*(1-$K23)</f>
        <v>0</v>
      </c>
      <c r="DI23" s="1118">
        <f>VLOOKUP($E23,DG$442:DJ$453,3,FALSE)*DG23*($K23)+IF($G23&gt;0,($I23/$G23)*DG23,0)*(1-$K23)</f>
        <v>0</v>
      </c>
      <c r="DJ23" s="1118">
        <f>VLOOKUP($E23,DG$442:DJ$453,4,FALSE)*DG23*($K23)+(DG23-DH23-DI23)*(1-$K23)</f>
        <v>0</v>
      </c>
      <c r="DK23" s="1119"/>
      <c r="DN23" s="1155">
        <f>VLOOKUP($A23,'New Resources - Group'!$A$4:$Y$133,DN$2,FALSE)*DN$1</f>
        <v>0</v>
      </c>
      <c r="DO23" s="1117">
        <f>$G23+DN23</f>
        <v>0</v>
      </c>
      <c r="DP23" s="1118">
        <f>VLOOKUP($E23,DO$442:DR$453,2,FALSE)*DO23*($K23)+IF($G23&gt;0,($H23/$G23)*DO23,0)*(1-$K23)</f>
        <v>0</v>
      </c>
      <c r="DQ23" s="1118">
        <f>VLOOKUP($E23,DO$442:DR$453,3,FALSE)*DO23*($K23)+IF($G23&gt;0,($I23/$G23)*DO23,0)*(1-$K23)</f>
        <v>0</v>
      </c>
      <c r="DR23" s="1118">
        <f>VLOOKUP($E23,DO$442:DR$453,4,FALSE)*DO23*($K23)+(DO23-DP23-DQ23)*(1-$K23)</f>
        <v>0</v>
      </c>
      <c r="DS23" s="1119"/>
      <c r="DV23" s="1155">
        <f>VLOOKUP($A23,'New Resources - Group'!$A$4:$Y$133,DV$2,FALSE)*DV$1</f>
        <v>0</v>
      </c>
      <c r="DW23" s="1117">
        <f>$G23+DV23</f>
        <v>0</v>
      </c>
      <c r="DX23" s="1118">
        <f>VLOOKUP($E23,DW$442:DZ$453,2,FALSE)*DW23*($K23)+IF($G23&gt;0,($H23/$G23)*DW23,0)*(1-$K23)</f>
        <v>0</v>
      </c>
      <c r="DY23" s="1118">
        <f>VLOOKUP($E23,DW$442:DZ$453,3,FALSE)*DW23*($K23)+IF($G23&gt;0,($I23/$G23)*DW23,0)*(1-$K23)</f>
        <v>0</v>
      </c>
      <c r="DZ23" s="1118">
        <f>VLOOKUP($E23,DW$442:DZ$453,4,FALSE)*DW23*($K23)+(DW23-DX23-DY23)*(1-$K23)</f>
        <v>0</v>
      </c>
      <c r="EA23" s="1119"/>
      <c r="ED23" s="1155">
        <f>VLOOKUP($A23,'New Resources - Group'!$A$4:$Y$133,ED$2,FALSE)*ED$1</f>
        <v>0</v>
      </c>
      <c r="EE23" s="1117">
        <f>$G23+ED23</f>
        <v>0</v>
      </c>
      <c r="EF23" s="1118">
        <f>VLOOKUP($E23,EE$442:EH$453,2,FALSE)*EE23*($K23)+IF($G23&gt;0,($H23/$G23)*EE23,0)*(1-$K23)</f>
        <v>0</v>
      </c>
      <c r="EG23" s="1118">
        <f>VLOOKUP($E23,EE$442:EH$453,3,FALSE)*EE23*($K23)+IF($G23&gt;0,($I23/$G23)*EE23,0)*(1-$K23)</f>
        <v>0</v>
      </c>
      <c r="EH23" s="1118">
        <f>VLOOKUP($E23,EE$442:EH$453,4,FALSE)*EE23*($K23)+(EE23-EF23-EG23)*(1-$K23)</f>
        <v>0</v>
      </c>
      <c r="EI23" s="1119"/>
      <c r="EL23" s="1155">
        <f>VLOOKUP($A23,'New Resources - Group'!$A$4:$Y$133,EL$2,FALSE)*EL$1</f>
        <v>0</v>
      </c>
      <c r="EM23" s="1117">
        <f>$G23+EL23</f>
        <v>0</v>
      </c>
      <c r="EN23" s="1118">
        <f>VLOOKUP($E23,EM$442:EP$453,2,FALSE)*EM23*($K23)+IF($G23&gt;0,($H23/$G23)*EM23,0)*(1-$K23)</f>
        <v>0</v>
      </c>
      <c r="EO23" s="1118">
        <f>VLOOKUP($E23,EM$442:EP$453,3,FALSE)*EM23*($K23)+IF($G23&gt;0,($I23/$G23)*EM23,0)*(1-$K23)</f>
        <v>0</v>
      </c>
      <c r="EP23" s="1118">
        <f>VLOOKUP($E23,EM$442:EP$453,4,FALSE)*EM23*($K23)+(EM23-EN23-EO23)*(1-$K23)</f>
        <v>0</v>
      </c>
      <c r="EQ23" s="1119"/>
      <c r="ET23" s="1155">
        <f>VLOOKUP($A23,'New Resources - Group'!$A$4:$Y$133,ET$2,FALSE)*ET$1</f>
        <v>0</v>
      </c>
      <c r="EU23" s="1117">
        <f>$G23+ET23</f>
        <v>0</v>
      </c>
      <c r="EV23" s="1118">
        <f>VLOOKUP($E23,EU$442:EX$453,2,FALSE)*EU23*($K23)+IF($G23&gt;0,($H23/$G23)*EU23,0)*(1-$K23)</f>
        <v>0</v>
      </c>
      <c r="EW23" s="1118">
        <f>VLOOKUP($E23,EU$442:EX$453,3,FALSE)*EU23*($K23)+IF($G23&gt;0,($I23/$G23)*EU23,0)*(1-$K23)</f>
        <v>0</v>
      </c>
      <c r="EX23" s="1118">
        <f>VLOOKUP($E23,EU$442:EX$453,4,FALSE)*EU23*($K23)+(EU23-EV23-EW23)*(1-$K23)</f>
        <v>0</v>
      </c>
      <c r="EY23" s="1119"/>
      <c r="FB23" s="1155">
        <f>VLOOKUP($A23,'New Resources - Group'!$A$4:$Y$133,FB$2,FALSE)*FB$1</f>
        <v>0</v>
      </c>
      <c r="FC23" s="1117">
        <f>$G23+FB23</f>
        <v>0</v>
      </c>
      <c r="FD23" s="1118">
        <f>VLOOKUP($E23,FC$442:FF$453,2,FALSE)*FC23*($K23)+IF($G23&gt;0,($H23/$G23)*FC23,0)*(1-$K23)</f>
        <v>0</v>
      </c>
      <c r="FE23" s="1118">
        <f>VLOOKUP($E23,FC$442:FF$453,3,FALSE)*FC23*($K23)+IF($G23&gt;0,($I23/$G23)*FC23,0)*(1-$K23)</f>
        <v>0</v>
      </c>
      <c r="FF23" s="1118">
        <f>VLOOKUP($E23,FC$442:FF$453,4,FALSE)*FC23*($K23)+(FC23-FD23-FE23)*(1-$K23)</f>
        <v>0</v>
      </c>
      <c r="FG23" s="1119"/>
      <c r="FJ23" s="1155">
        <f>VLOOKUP($A23,'New Resources - Group'!$A$4:$Y$133,FJ$2,FALSE)*FJ$1</f>
        <v>0</v>
      </c>
      <c r="FK23" s="1117">
        <f>$G23+FJ23</f>
        <v>0</v>
      </c>
      <c r="FL23" s="1118">
        <f>VLOOKUP($E23,FK$442:FN$453,2,FALSE)*FK23*($K23)+IF($G23&gt;0,($H23/$G23)*FK23,0)*(1-$K23)</f>
        <v>0</v>
      </c>
      <c r="FM23" s="1118">
        <f>VLOOKUP($E23,FK$442:FN$453,3,FALSE)*FK23*($K23)+IF($G23&gt;0,($I23/$G23)*FK23,0)*(1-$K23)</f>
        <v>0</v>
      </c>
      <c r="FN23" s="1118">
        <f>VLOOKUP($E23,FK$442:FN$453,4,FALSE)*FK23*($K23)+(FK23-FL23-FM23)*(1-$K23)</f>
        <v>0</v>
      </c>
      <c r="FO23" s="1119"/>
    </row>
    <row r="24" spans="1:171" x14ac:dyDescent="0.25">
      <c r="A24" s="1419">
        <v>380</v>
      </c>
      <c r="B24" s="220" t="s">
        <v>115</v>
      </c>
      <c r="C24" s="888" t="s">
        <v>70</v>
      </c>
      <c r="D24" s="889" t="s">
        <v>116</v>
      </c>
      <c r="E24" s="1538" t="str">
        <f>'Sch 1- Rate Base '!E24</f>
        <v>PROD</v>
      </c>
      <c r="F24" s="890"/>
      <c r="G24" s="891">
        <f>'Sch 1- Rate Base '!G24</f>
        <v>433360289.62213159</v>
      </c>
      <c r="H24" s="891">
        <f>'Sch 1- Rate Base '!H24</f>
        <v>433360289.62213159</v>
      </c>
      <c r="I24" s="891">
        <f>'Sch 1- Rate Base '!I24</f>
        <v>0</v>
      </c>
      <c r="J24" s="1414">
        <f>'Sch 1- Rate Base '!J24</f>
        <v>0</v>
      </c>
      <c r="K24" s="904">
        <f>IF($E24="DIRECT",0,1)</f>
        <v>1</v>
      </c>
      <c r="N24" s="1155">
        <f>VLOOKUP($A24,'New Resources - Group'!$A$4:$Y$133,N$2,FALSE)*N$1</f>
        <v>0</v>
      </c>
      <c r="O24" s="1117">
        <f>$G24+N24</f>
        <v>433360289.62213159</v>
      </c>
      <c r="P24" s="1118">
        <f>VLOOKUP($E24,O$442:R$453,2,FALSE)*O24*($K24)+IF($G24&gt;0,($H24/$G24)*O24,0)*(1-$K24)</f>
        <v>433360289.62213159</v>
      </c>
      <c r="Q24" s="1118">
        <f>VLOOKUP($E24,O$442:R$453,3,FALSE)*O24*($K24)+IF($G24&gt;0,($I24/$G24)*O24,0)*(1-$K24)</f>
        <v>0</v>
      </c>
      <c r="R24" s="1118">
        <f>VLOOKUP($E24,O$442:R$453,4,FALSE)*O24*($K24)+(O24-P24-Q24)*(1-$K24)</f>
        <v>0</v>
      </c>
      <c r="S24" s="1119"/>
      <c r="V24" s="1155">
        <f>VLOOKUP($A24,'New Resources - Group'!$A$4:$Y$133,V$2,FALSE)*V$1</f>
        <v>0</v>
      </c>
      <c r="W24" s="1117">
        <f>$G24+V24</f>
        <v>433360289.62213159</v>
      </c>
      <c r="X24" s="1118">
        <f>VLOOKUP($E24,W$442:Z$453,2,FALSE)*W24*($K24)+IF($G24&gt;0,($H24/$G24)*W24,0)*(1-$K24)</f>
        <v>433360289.62213159</v>
      </c>
      <c r="Y24" s="1118">
        <f>VLOOKUP($E24,W$442:Z$453,3,FALSE)*W24*($K24)+IF($G24&gt;0,($I24/$G24)*W24,0)*(1-$K24)</f>
        <v>0</v>
      </c>
      <c r="Z24" s="1118">
        <f>VLOOKUP($E24,W$442:Z$453,4,FALSE)*W24*($K24)+(W24-X24-Y24)*(1-$K24)</f>
        <v>0</v>
      </c>
      <c r="AA24" s="1119"/>
      <c r="AD24" s="1155">
        <f>VLOOKUP($A24,'New Resources - Group'!$A$4:$Y$133,AD$2,FALSE)*AD$1</f>
        <v>0</v>
      </c>
      <c r="AE24" s="1117">
        <f>$G24+AD24</f>
        <v>433360289.62213159</v>
      </c>
      <c r="AF24" s="1118">
        <f>VLOOKUP($E24,AE$442:AH$453,2,FALSE)*AE24*($K24)+IF($G24&gt;0,($H24/$G24)*AE24,0)*(1-$K24)</f>
        <v>433360289.62213159</v>
      </c>
      <c r="AG24" s="1118">
        <f>VLOOKUP($E24,AE$442:AH$453,3,FALSE)*AE24*($K24)+IF($G24&gt;0,($I24/$G24)*AE24,0)*(1-$K24)</f>
        <v>0</v>
      </c>
      <c r="AH24" s="1118">
        <f>VLOOKUP($E24,AE$442:AH$453,4,FALSE)*AE24*($K24)+(AE24-AF24-AG24)*(1-$K24)</f>
        <v>0</v>
      </c>
      <c r="AI24" s="1119"/>
      <c r="AL24" s="1155">
        <f>VLOOKUP($A24,'New Resources - Group'!$A$4:$Y$133,AL$2,FALSE)*AL$1</f>
        <v>0</v>
      </c>
      <c r="AM24" s="1117">
        <f>$G24+AL24</f>
        <v>433360289.62213159</v>
      </c>
      <c r="AN24" s="1118">
        <f>VLOOKUP($E24,AM$442:AP$453,2,FALSE)*AM24*($K24)+IF($G24&gt;0,($H24/$G24)*AM24,0)*(1-$K24)</f>
        <v>433360289.62213159</v>
      </c>
      <c r="AO24" s="1118">
        <f>VLOOKUP($E24,AM$442:AP$453,3,FALSE)*AM24*($K24)+IF($G24&gt;0,($I24/$G24)*AM24,0)*(1-$K24)</f>
        <v>0</v>
      </c>
      <c r="AP24" s="1118">
        <f>VLOOKUP($E24,AM$442:AP$453,4,FALSE)*AM24*($K24)+(AM24-AN24-AO24)*(1-$K24)</f>
        <v>0</v>
      </c>
      <c r="AQ24" s="1119"/>
      <c r="AT24" s="1155">
        <f>VLOOKUP($A24,'New Resources - Group'!$A$4:$Y$133,AT$2,FALSE)*AT$1</f>
        <v>0</v>
      </c>
      <c r="AU24" s="1117">
        <f>$G24+AT24</f>
        <v>433360289.62213159</v>
      </c>
      <c r="AV24" s="1118">
        <f>VLOOKUP($E24,AU$442:AX$453,2,FALSE)*AU24*($K24)+IF($G24&gt;0,($H24/$G24)*AU24,0)*(1-$K24)</f>
        <v>433360289.62213159</v>
      </c>
      <c r="AW24" s="1118">
        <f>VLOOKUP($E24,AU$442:AX$453,3,FALSE)*AU24*($K24)+IF($G24&gt;0,($I24/$G24)*AU24,0)*(1-$K24)</f>
        <v>0</v>
      </c>
      <c r="AX24" s="1118">
        <f>VLOOKUP($E24,AU$442:AX$453,4,FALSE)*AU24*($K24)+(AU24-AV24-AW24)*(1-$K24)</f>
        <v>0</v>
      </c>
      <c r="AY24" s="1119"/>
      <c r="BB24" s="1155">
        <f>VLOOKUP($A24,'New Resources - Group'!$A$4:$Y$133,BB$2,FALSE)*BB$1</f>
        <v>0</v>
      </c>
      <c r="BC24" s="1117">
        <f>$G24+BB24</f>
        <v>433360289.62213159</v>
      </c>
      <c r="BD24" s="1118">
        <f>VLOOKUP($E24,BC$442:BF$453,2,FALSE)*BC24*($K24)+IF($G24&gt;0,($H24/$G24)*BC24,0)*(1-$K24)</f>
        <v>433360289.62213159</v>
      </c>
      <c r="BE24" s="1118">
        <f>VLOOKUP($E24,BC$442:BF$453,3,FALSE)*BC24*($K24)+IF($G24&gt;0,($I24/$G24)*BC24,0)*(1-$K24)</f>
        <v>0</v>
      </c>
      <c r="BF24" s="1118">
        <f>VLOOKUP($E24,BC$442:BF$453,4,FALSE)*BC24*($K24)+(BC24-BD24-BE24)*(1-$K24)</f>
        <v>0</v>
      </c>
      <c r="BG24" s="1119"/>
      <c r="BJ24" s="1155">
        <f>VLOOKUP($A24,'New Resources - Group'!$A$4:$Y$133,BJ$2,FALSE)*BJ$1</f>
        <v>0</v>
      </c>
      <c r="BK24" s="1117">
        <f>$G24+BJ24</f>
        <v>433360289.62213159</v>
      </c>
      <c r="BL24" s="1118">
        <f>VLOOKUP($E24,BK$442:BN$453,2,FALSE)*BK24*($K24)+IF($G24&gt;0,($H24/$G24)*BK24,0)*(1-$K24)</f>
        <v>433360289.62213159</v>
      </c>
      <c r="BM24" s="1118">
        <f>VLOOKUP($E24,BK$442:BN$453,3,FALSE)*BK24*($K24)+IF($G24&gt;0,($I24/$G24)*BK24,0)*(1-$K24)</f>
        <v>0</v>
      </c>
      <c r="BN24" s="1118">
        <f>VLOOKUP($E24,BK$442:BN$453,4,FALSE)*BK24*($K24)+(BK24-BL24-BM24)*(1-$K24)</f>
        <v>0</v>
      </c>
      <c r="BO24" s="1119"/>
      <c r="BR24" s="1155">
        <f>VLOOKUP($A24,'New Resources - Group'!$A$4:$Y$133,BR$2,FALSE)*BR$1</f>
        <v>0</v>
      </c>
      <c r="BS24" s="1117">
        <f>$G24+BR24</f>
        <v>433360289.62213159</v>
      </c>
      <c r="BT24" s="1118">
        <f>VLOOKUP($E24,BS$442:BV$453,2,FALSE)*BS24*($K24)+IF($G24&gt;0,($H24/$G24)*BS24,0)*(1-$K24)</f>
        <v>433360289.62213159</v>
      </c>
      <c r="BU24" s="1118">
        <f>VLOOKUP($E24,BS$442:BV$453,3,FALSE)*BS24*($K24)+IF($G24&gt;0,($I24/$G24)*BS24,0)*(1-$K24)</f>
        <v>0</v>
      </c>
      <c r="BV24" s="1118">
        <f>VLOOKUP($E24,BS$442:BV$453,4,FALSE)*BS24*($K24)+(BS24-BT24-BU24)*(1-$K24)</f>
        <v>0</v>
      </c>
      <c r="BW24" s="1119"/>
      <c r="BZ24" s="1155">
        <f>VLOOKUP($A24,'New Resources - Group'!$A$4:$Y$133,BZ$2,FALSE)*BZ$1</f>
        <v>0</v>
      </c>
      <c r="CA24" s="1117">
        <f>$G24+BZ24</f>
        <v>433360289.62213159</v>
      </c>
      <c r="CB24" s="1118">
        <f>VLOOKUP($E24,CA$442:CD$453,2,FALSE)*CA24*($K24)+IF($G24&gt;0,($H24/$G24)*CA24,0)*(1-$K24)</f>
        <v>433360289.62213159</v>
      </c>
      <c r="CC24" s="1118">
        <f>VLOOKUP($E24,CA$442:CD$453,3,FALSE)*CA24*($K24)+IF($G24&gt;0,($I24/$G24)*CA24,0)*(1-$K24)</f>
        <v>0</v>
      </c>
      <c r="CD24" s="1118">
        <f>VLOOKUP($E24,CA$442:CD$453,4,FALSE)*CA24*($K24)+(CA24-CB24-CC24)*(1-$K24)</f>
        <v>0</v>
      </c>
      <c r="CE24" s="1119"/>
      <c r="CH24" s="1155">
        <f>VLOOKUP($A24,'New Resources - Group'!$A$4:$Y$133,CH$2,FALSE)*CH$1</f>
        <v>0</v>
      </c>
      <c r="CI24" s="1117">
        <f>$G24+CH24</f>
        <v>433360289.62213159</v>
      </c>
      <c r="CJ24" s="1118">
        <f>VLOOKUP($E24,CI$442:CL$453,2,FALSE)*CI24*($K24)+IF($G24&gt;0,($H24/$G24)*CI24,0)*(1-$K24)</f>
        <v>433360289.62213159</v>
      </c>
      <c r="CK24" s="1118">
        <f>VLOOKUP($E24,CI$442:CL$453,3,FALSE)*CI24*($K24)+IF($G24&gt;0,($I24/$G24)*CI24,0)*(1-$K24)</f>
        <v>0</v>
      </c>
      <c r="CL24" s="1118">
        <f>VLOOKUP($E24,CI$442:CL$453,4,FALSE)*CI24*($K24)+(CI24-CJ24-CK24)*(1-$K24)</f>
        <v>0</v>
      </c>
      <c r="CM24" s="1119"/>
      <c r="CP24" s="1155">
        <f>VLOOKUP($A24,'New Resources - Group'!$A$4:$Y$133,CP$2,FALSE)*CP$1</f>
        <v>0</v>
      </c>
      <c r="CQ24" s="1117">
        <f>$G24+CP24</f>
        <v>433360289.62213159</v>
      </c>
      <c r="CR24" s="1118">
        <f>VLOOKUP($E24,CQ$442:CT$453,2,FALSE)*CQ24*($K24)+IF($G24&gt;0,($H24/$G24)*CQ24,0)*(1-$K24)</f>
        <v>433360289.62213159</v>
      </c>
      <c r="CS24" s="1118">
        <f>VLOOKUP($E24,CQ$442:CT$453,3,FALSE)*CQ24*($K24)+IF($G24&gt;0,($I24/$G24)*CQ24,0)*(1-$K24)</f>
        <v>0</v>
      </c>
      <c r="CT24" s="1118">
        <f>VLOOKUP($E24,CQ$442:CT$453,4,FALSE)*CQ24*($K24)+(CQ24-CR24-CS24)*(1-$K24)</f>
        <v>0</v>
      </c>
      <c r="CU24" s="1119"/>
      <c r="CX24" s="1155">
        <f>VLOOKUP($A24,'New Resources - Group'!$A$4:$Y$133,CX$2,FALSE)*CX$1</f>
        <v>0</v>
      </c>
      <c r="CY24" s="1117">
        <f>$G24+CX24</f>
        <v>433360289.62213159</v>
      </c>
      <c r="CZ24" s="1118">
        <f>VLOOKUP($E24,CY$442:DB$453,2,FALSE)*CY24*($K24)+IF($G24&gt;0,($H24/$G24)*CY24,0)*(1-$K24)</f>
        <v>433360289.62213159</v>
      </c>
      <c r="DA24" s="1118">
        <f>VLOOKUP($E24,CY$442:DB$453,3,FALSE)*CY24*($K24)+IF($G24&gt;0,($I24/$G24)*CY24,0)*(1-$K24)</f>
        <v>0</v>
      </c>
      <c r="DB24" s="1118">
        <f>VLOOKUP($E24,CY$442:DB$453,4,FALSE)*CY24*($K24)+(CY24-CZ24-DA24)*(1-$K24)</f>
        <v>0</v>
      </c>
      <c r="DC24" s="1119"/>
      <c r="DF24" s="1155">
        <f>VLOOKUP($A24,'New Resources - Group'!$A$4:$Y$133,DF$2,FALSE)*DF$1</f>
        <v>0</v>
      </c>
      <c r="DG24" s="1117">
        <f>$G24+DF24</f>
        <v>433360289.62213159</v>
      </c>
      <c r="DH24" s="1118">
        <f>VLOOKUP($E24,DG$442:DJ$453,2,FALSE)*DG24*($K24)+IF($G24&gt;0,($H24/$G24)*DG24,0)*(1-$K24)</f>
        <v>433360289.62213159</v>
      </c>
      <c r="DI24" s="1118">
        <f>VLOOKUP($E24,DG$442:DJ$453,3,FALSE)*DG24*($K24)+IF($G24&gt;0,($I24/$G24)*DG24,0)*(1-$K24)</f>
        <v>0</v>
      </c>
      <c r="DJ24" s="1118">
        <f>VLOOKUP($E24,DG$442:DJ$453,4,FALSE)*DG24*($K24)+(DG24-DH24-DI24)*(1-$K24)</f>
        <v>0</v>
      </c>
      <c r="DK24" s="1119"/>
      <c r="DN24" s="1155">
        <f>VLOOKUP($A24,'New Resources - Group'!$A$4:$Y$133,DN$2,FALSE)*DN$1</f>
        <v>0</v>
      </c>
      <c r="DO24" s="1117">
        <f>$G24+DN24</f>
        <v>433360289.62213159</v>
      </c>
      <c r="DP24" s="1118">
        <f>VLOOKUP($E24,DO$442:DR$453,2,FALSE)*DO24*($K24)+IF($G24&gt;0,($H24/$G24)*DO24,0)*(1-$K24)</f>
        <v>433360289.62213159</v>
      </c>
      <c r="DQ24" s="1118">
        <f>VLOOKUP($E24,DO$442:DR$453,3,FALSE)*DO24*($K24)+IF($G24&gt;0,($I24/$G24)*DO24,0)*(1-$K24)</f>
        <v>0</v>
      </c>
      <c r="DR24" s="1118">
        <f>VLOOKUP($E24,DO$442:DR$453,4,FALSE)*DO24*($K24)+(DO24-DP24-DQ24)*(1-$K24)</f>
        <v>0</v>
      </c>
      <c r="DS24" s="1119"/>
      <c r="DV24" s="1155">
        <f>VLOOKUP($A24,'New Resources - Group'!$A$4:$Y$133,DV$2,FALSE)*DV$1</f>
        <v>0</v>
      </c>
      <c r="DW24" s="1117">
        <f>$G24+DV24</f>
        <v>433360289.62213159</v>
      </c>
      <c r="DX24" s="1118">
        <f>VLOOKUP($E24,DW$442:DZ$453,2,FALSE)*DW24*($K24)+IF($G24&gt;0,($H24/$G24)*DW24,0)*(1-$K24)</f>
        <v>433360289.62213159</v>
      </c>
      <c r="DY24" s="1118">
        <f>VLOOKUP($E24,DW$442:DZ$453,3,FALSE)*DW24*($K24)+IF($G24&gt;0,($I24/$G24)*DW24,0)*(1-$K24)</f>
        <v>0</v>
      </c>
      <c r="DZ24" s="1118">
        <f>VLOOKUP($E24,DW$442:DZ$453,4,FALSE)*DW24*($K24)+(DW24-DX24-DY24)*(1-$K24)</f>
        <v>0</v>
      </c>
      <c r="EA24" s="1119"/>
      <c r="ED24" s="1155">
        <f>VLOOKUP($A24,'New Resources - Group'!$A$4:$Y$133,ED$2,FALSE)*ED$1</f>
        <v>0</v>
      </c>
      <c r="EE24" s="1117">
        <f>$G24+ED24</f>
        <v>433360289.62213159</v>
      </c>
      <c r="EF24" s="1118">
        <f>VLOOKUP($E24,EE$442:EH$453,2,FALSE)*EE24*($K24)+IF($G24&gt;0,($H24/$G24)*EE24,0)*(1-$K24)</f>
        <v>433360289.62213159</v>
      </c>
      <c r="EG24" s="1118">
        <f>VLOOKUP($E24,EE$442:EH$453,3,FALSE)*EE24*($K24)+IF($G24&gt;0,($I24/$G24)*EE24,0)*(1-$K24)</f>
        <v>0</v>
      </c>
      <c r="EH24" s="1118">
        <f>VLOOKUP($E24,EE$442:EH$453,4,FALSE)*EE24*($K24)+(EE24-EF24-EG24)*(1-$K24)</f>
        <v>0</v>
      </c>
      <c r="EI24" s="1119"/>
      <c r="EL24" s="1155">
        <f>VLOOKUP($A24,'New Resources - Group'!$A$4:$Y$133,EL$2,FALSE)*EL$1</f>
        <v>0</v>
      </c>
      <c r="EM24" s="1117">
        <f>$G24+EL24</f>
        <v>433360289.62213159</v>
      </c>
      <c r="EN24" s="1118">
        <f>VLOOKUP($E24,EM$442:EP$453,2,FALSE)*EM24*($K24)+IF($G24&gt;0,($H24/$G24)*EM24,0)*(1-$K24)</f>
        <v>433360289.62213159</v>
      </c>
      <c r="EO24" s="1118">
        <f>VLOOKUP($E24,EM$442:EP$453,3,FALSE)*EM24*($K24)+IF($G24&gt;0,($I24/$G24)*EM24,0)*(1-$K24)</f>
        <v>0</v>
      </c>
      <c r="EP24" s="1118">
        <f>VLOOKUP($E24,EM$442:EP$453,4,FALSE)*EM24*($K24)+(EM24-EN24-EO24)*(1-$K24)</f>
        <v>0</v>
      </c>
      <c r="EQ24" s="1119"/>
      <c r="ET24" s="1155">
        <f>VLOOKUP($A24,'New Resources - Group'!$A$4:$Y$133,ET$2,FALSE)*ET$1</f>
        <v>0</v>
      </c>
      <c r="EU24" s="1117">
        <f>$G24+ET24</f>
        <v>433360289.62213159</v>
      </c>
      <c r="EV24" s="1118">
        <f>VLOOKUP($E24,EU$442:EX$453,2,FALSE)*EU24*($K24)+IF($G24&gt;0,($H24/$G24)*EU24,0)*(1-$K24)</f>
        <v>433360289.62213159</v>
      </c>
      <c r="EW24" s="1118">
        <f>VLOOKUP($E24,EU$442:EX$453,3,FALSE)*EU24*($K24)+IF($G24&gt;0,($I24/$G24)*EU24,0)*(1-$K24)</f>
        <v>0</v>
      </c>
      <c r="EX24" s="1118">
        <f>VLOOKUP($E24,EU$442:EX$453,4,FALSE)*EU24*($K24)+(EU24-EV24-EW24)*(1-$K24)</f>
        <v>0</v>
      </c>
      <c r="EY24" s="1119"/>
      <c r="FB24" s="1155">
        <f>VLOOKUP($A24,'New Resources - Group'!$A$4:$Y$133,FB$2,FALSE)*FB$1</f>
        <v>0</v>
      </c>
      <c r="FC24" s="1117">
        <f>$G24+FB24</f>
        <v>433360289.62213159</v>
      </c>
      <c r="FD24" s="1118">
        <f>VLOOKUP($E24,FC$442:FF$453,2,FALSE)*FC24*($K24)+IF($G24&gt;0,($H24/$G24)*FC24,0)*(1-$K24)</f>
        <v>433360289.62213159</v>
      </c>
      <c r="FE24" s="1118">
        <f>VLOOKUP($E24,FC$442:FF$453,3,FALSE)*FC24*($K24)+IF($G24&gt;0,($I24/$G24)*FC24,0)*(1-$K24)</f>
        <v>0</v>
      </c>
      <c r="FF24" s="1118">
        <f>VLOOKUP($E24,FC$442:FF$453,4,FALSE)*FC24*($K24)+(FC24-FD24-FE24)*(1-$K24)</f>
        <v>0</v>
      </c>
      <c r="FG24" s="1119"/>
      <c r="FJ24" s="1155">
        <f>VLOOKUP($A24,'New Resources - Group'!$A$4:$Y$133,FJ$2,FALSE)*FJ$1</f>
        <v>0</v>
      </c>
      <c r="FK24" s="1117">
        <f>$G24+FJ24</f>
        <v>433360289.62213159</v>
      </c>
      <c r="FL24" s="1118">
        <f>VLOOKUP($E24,FK$442:FN$453,2,FALSE)*FK24*($K24)+IF($G24&gt;0,($H24/$G24)*FK24,0)*(1-$K24)</f>
        <v>433360289.62213159</v>
      </c>
      <c r="FM24" s="1118">
        <f>VLOOKUP($E24,FK$442:FN$453,3,FALSE)*FK24*($K24)+IF($G24&gt;0,($I24/$G24)*FK24,0)*(1-$K24)</f>
        <v>0</v>
      </c>
      <c r="FN24" s="1118">
        <f>VLOOKUP($E24,FK$442:FN$453,4,FALSE)*FK24*($K24)+(FK24-FL24-FM24)*(1-$K24)</f>
        <v>0</v>
      </c>
      <c r="FO24" s="1119"/>
    </row>
    <row r="25" spans="1:171" x14ac:dyDescent="0.25">
      <c r="A25" s="1419">
        <v>480</v>
      </c>
      <c r="B25" s="220" t="s">
        <v>117</v>
      </c>
      <c r="C25" s="888" t="s">
        <v>70</v>
      </c>
      <c r="D25" s="889" t="s">
        <v>118</v>
      </c>
      <c r="E25" s="1538" t="str">
        <f>'Sch 1- Rate Base '!E25</f>
        <v>PROD</v>
      </c>
      <c r="F25" s="890"/>
      <c r="G25" s="891">
        <f>'Sch 1- Rate Base '!G25</f>
        <v>2258385628.1561666</v>
      </c>
      <c r="H25" s="891">
        <f>'Sch 1- Rate Base '!H25</f>
        <v>2258385628.1561666</v>
      </c>
      <c r="I25" s="891">
        <f>'Sch 1- Rate Base '!I25</f>
        <v>0</v>
      </c>
      <c r="J25" s="1414">
        <f>'Sch 1- Rate Base '!J25</f>
        <v>0</v>
      </c>
      <c r="K25" s="904">
        <f>IF($E25="DIRECT",0,1)</f>
        <v>1</v>
      </c>
      <c r="N25" s="1155">
        <f>VLOOKUP($A25,'New Resources - Group'!$A$4:$Y$133,N$2,FALSE)*N$1</f>
        <v>0</v>
      </c>
      <c r="O25" s="1117">
        <f>$G25+N25</f>
        <v>2258385628.1561666</v>
      </c>
      <c r="P25" s="1118">
        <f>VLOOKUP($E25,O$442:R$453,2,FALSE)*O25*($K25)+IF($G25&gt;0,($H25/$G25)*O25,0)*(1-$K25)</f>
        <v>2258385628.1561666</v>
      </c>
      <c r="Q25" s="1118">
        <f>VLOOKUP($E25,O$442:R$453,3,FALSE)*O25*($K25)+IF($G25&gt;0,($I25/$G25)*O25,0)*(1-$K25)</f>
        <v>0</v>
      </c>
      <c r="R25" s="1118">
        <f>VLOOKUP($E25,O$442:R$453,4,FALSE)*O25*($K25)+(O25-P25-Q25)*(1-$K25)</f>
        <v>0</v>
      </c>
      <c r="S25" s="1119"/>
      <c r="V25" s="1155">
        <f>VLOOKUP($A25,'New Resources - Group'!$A$4:$Y$133,V$2,FALSE)*V$1</f>
        <v>0</v>
      </c>
      <c r="W25" s="1117">
        <f>$G25+V25</f>
        <v>2258385628.1561666</v>
      </c>
      <c r="X25" s="1118">
        <f>VLOOKUP($E25,W$442:Z$453,2,FALSE)*W25*($K25)+IF($G25&gt;0,($H25/$G25)*W25,0)*(1-$K25)</f>
        <v>2258385628.1561666</v>
      </c>
      <c r="Y25" s="1118">
        <f>VLOOKUP($E25,W$442:Z$453,3,FALSE)*W25*($K25)+IF($G25&gt;0,($I25/$G25)*W25,0)*(1-$K25)</f>
        <v>0</v>
      </c>
      <c r="Z25" s="1118">
        <f>VLOOKUP($E25,W$442:Z$453,4,FALSE)*W25*($K25)+(W25-X25-Y25)*(1-$K25)</f>
        <v>0</v>
      </c>
      <c r="AA25" s="1119"/>
      <c r="AD25" s="1155">
        <f>VLOOKUP($A25,'New Resources - Group'!$A$4:$Y$133,AD$2,FALSE)*AD$1</f>
        <v>0</v>
      </c>
      <c r="AE25" s="1117">
        <f>$G25+AD25</f>
        <v>2258385628.1561666</v>
      </c>
      <c r="AF25" s="1118">
        <f>VLOOKUP($E25,AE$442:AH$453,2,FALSE)*AE25*($K25)+IF($G25&gt;0,($H25/$G25)*AE25,0)*(1-$K25)</f>
        <v>2258385628.1561666</v>
      </c>
      <c r="AG25" s="1118">
        <f>VLOOKUP($E25,AE$442:AH$453,3,FALSE)*AE25*($K25)+IF($G25&gt;0,($I25/$G25)*AE25,0)*(1-$K25)</f>
        <v>0</v>
      </c>
      <c r="AH25" s="1118">
        <f>VLOOKUP($E25,AE$442:AH$453,4,FALSE)*AE25*($K25)+(AE25-AF25-AG25)*(1-$K25)</f>
        <v>0</v>
      </c>
      <c r="AI25" s="1119"/>
      <c r="AL25" s="1155">
        <f>VLOOKUP($A25,'New Resources - Group'!$A$4:$Y$133,AL$2,FALSE)*AL$1</f>
        <v>0</v>
      </c>
      <c r="AM25" s="1117">
        <f>$G25+AL25</f>
        <v>2258385628.1561666</v>
      </c>
      <c r="AN25" s="1118">
        <f>VLOOKUP($E25,AM$442:AP$453,2,FALSE)*AM25*($K25)+IF($G25&gt;0,($H25/$G25)*AM25,0)*(1-$K25)</f>
        <v>2258385628.1561666</v>
      </c>
      <c r="AO25" s="1118">
        <f>VLOOKUP($E25,AM$442:AP$453,3,FALSE)*AM25*($K25)+IF($G25&gt;0,($I25/$G25)*AM25,0)*(1-$K25)</f>
        <v>0</v>
      </c>
      <c r="AP25" s="1118">
        <f>VLOOKUP($E25,AM$442:AP$453,4,FALSE)*AM25*($K25)+(AM25-AN25-AO25)*(1-$K25)</f>
        <v>0</v>
      </c>
      <c r="AQ25" s="1119"/>
      <c r="AT25" s="1155">
        <f>VLOOKUP($A25,'New Resources - Group'!$A$4:$Y$133,AT$2,FALSE)*AT$1</f>
        <v>0</v>
      </c>
      <c r="AU25" s="1117">
        <f>$G25+AT25</f>
        <v>2258385628.1561666</v>
      </c>
      <c r="AV25" s="1118">
        <f>VLOOKUP($E25,AU$442:AX$453,2,FALSE)*AU25*($K25)+IF($G25&gt;0,($H25/$G25)*AU25,0)*(1-$K25)</f>
        <v>2258385628.1561666</v>
      </c>
      <c r="AW25" s="1118">
        <f>VLOOKUP($E25,AU$442:AX$453,3,FALSE)*AU25*($K25)+IF($G25&gt;0,($I25/$G25)*AU25,0)*(1-$K25)</f>
        <v>0</v>
      </c>
      <c r="AX25" s="1118">
        <f>VLOOKUP($E25,AU$442:AX$453,4,FALSE)*AU25*($K25)+(AU25-AV25-AW25)*(1-$K25)</f>
        <v>0</v>
      </c>
      <c r="AY25" s="1119"/>
      <c r="BB25" s="1155">
        <f>VLOOKUP($A25,'New Resources - Group'!$A$4:$Y$133,BB$2,FALSE)*BB$1</f>
        <v>0</v>
      </c>
      <c r="BC25" s="1117">
        <f>$G25+BB25</f>
        <v>2258385628.1561666</v>
      </c>
      <c r="BD25" s="1118">
        <f>VLOOKUP($E25,BC$442:BF$453,2,FALSE)*BC25*($K25)+IF($G25&gt;0,($H25/$G25)*BC25,0)*(1-$K25)</f>
        <v>2258385628.1561666</v>
      </c>
      <c r="BE25" s="1118">
        <f>VLOOKUP($E25,BC$442:BF$453,3,FALSE)*BC25*($K25)+IF($G25&gt;0,($I25/$G25)*BC25,0)*(1-$K25)</f>
        <v>0</v>
      </c>
      <c r="BF25" s="1118">
        <f>VLOOKUP($E25,BC$442:BF$453,4,FALSE)*BC25*($K25)+(BC25-BD25-BE25)*(1-$K25)</f>
        <v>0</v>
      </c>
      <c r="BG25" s="1119"/>
      <c r="BJ25" s="1155">
        <f>VLOOKUP($A25,'New Resources - Group'!$A$4:$Y$133,BJ$2,FALSE)*BJ$1</f>
        <v>0</v>
      </c>
      <c r="BK25" s="1117">
        <f>$G25+BJ25</f>
        <v>2258385628.1561666</v>
      </c>
      <c r="BL25" s="1118">
        <f>VLOOKUP($E25,BK$442:BN$453,2,FALSE)*BK25*($K25)+IF($G25&gt;0,($H25/$G25)*BK25,0)*(1-$K25)</f>
        <v>2258385628.1561666</v>
      </c>
      <c r="BM25" s="1118">
        <f>VLOOKUP($E25,BK$442:BN$453,3,FALSE)*BK25*($K25)+IF($G25&gt;0,($I25/$G25)*BK25,0)*(1-$K25)</f>
        <v>0</v>
      </c>
      <c r="BN25" s="1118">
        <f>VLOOKUP($E25,BK$442:BN$453,4,FALSE)*BK25*($K25)+(BK25-BL25-BM25)*(1-$K25)</f>
        <v>0</v>
      </c>
      <c r="BO25" s="1119"/>
      <c r="BR25" s="1155">
        <f>VLOOKUP($A25,'New Resources - Group'!$A$4:$Y$133,BR$2,FALSE)*BR$1</f>
        <v>0</v>
      </c>
      <c r="BS25" s="1117">
        <f>$G25+BR25</f>
        <v>2258385628.1561666</v>
      </c>
      <c r="BT25" s="1118">
        <f>VLOOKUP($E25,BS$442:BV$453,2,FALSE)*BS25*($K25)+IF($G25&gt;0,($H25/$G25)*BS25,0)*(1-$K25)</f>
        <v>2258385628.1561666</v>
      </c>
      <c r="BU25" s="1118">
        <f>VLOOKUP($E25,BS$442:BV$453,3,FALSE)*BS25*($K25)+IF($G25&gt;0,($I25/$G25)*BS25,0)*(1-$K25)</f>
        <v>0</v>
      </c>
      <c r="BV25" s="1118">
        <f>VLOOKUP($E25,BS$442:BV$453,4,FALSE)*BS25*($K25)+(BS25-BT25-BU25)*(1-$K25)</f>
        <v>0</v>
      </c>
      <c r="BW25" s="1119"/>
      <c r="BZ25" s="1155">
        <f>VLOOKUP($A25,'New Resources - Group'!$A$4:$Y$133,BZ$2,FALSE)*BZ$1</f>
        <v>0</v>
      </c>
      <c r="CA25" s="1117">
        <f>$G25+BZ25</f>
        <v>2258385628.1561666</v>
      </c>
      <c r="CB25" s="1118">
        <f>VLOOKUP($E25,CA$442:CD$453,2,FALSE)*CA25*($K25)+IF($G25&gt;0,($H25/$G25)*CA25,0)*(1-$K25)</f>
        <v>2258385628.1561666</v>
      </c>
      <c r="CC25" s="1118">
        <f>VLOOKUP($E25,CA$442:CD$453,3,FALSE)*CA25*($K25)+IF($G25&gt;0,($I25/$G25)*CA25,0)*(1-$K25)</f>
        <v>0</v>
      </c>
      <c r="CD25" s="1118">
        <f>VLOOKUP($E25,CA$442:CD$453,4,FALSE)*CA25*($K25)+(CA25-CB25-CC25)*(1-$K25)</f>
        <v>0</v>
      </c>
      <c r="CE25" s="1119"/>
      <c r="CH25" s="1155">
        <f>VLOOKUP($A25,'New Resources - Group'!$A$4:$Y$133,CH$2,FALSE)*CH$1</f>
        <v>0</v>
      </c>
      <c r="CI25" s="1117">
        <f>$G25+CH25</f>
        <v>2258385628.1561666</v>
      </c>
      <c r="CJ25" s="1118">
        <f>VLOOKUP($E25,CI$442:CL$453,2,FALSE)*CI25*($K25)+IF($G25&gt;0,($H25/$G25)*CI25,0)*(1-$K25)</f>
        <v>2258385628.1561666</v>
      </c>
      <c r="CK25" s="1118">
        <f>VLOOKUP($E25,CI$442:CL$453,3,FALSE)*CI25*($K25)+IF($G25&gt;0,($I25/$G25)*CI25,0)*(1-$K25)</f>
        <v>0</v>
      </c>
      <c r="CL25" s="1118">
        <f>VLOOKUP($E25,CI$442:CL$453,4,FALSE)*CI25*($K25)+(CI25-CJ25-CK25)*(1-$K25)</f>
        <v>0</v>
      </c>
      <c r="CM25" s="1119"/>
      <c r="CP25" s="1155">
        <f>VLOOKUP($A25,'New Resources - Group'!$A$4:$Y$133,CP$2,FALSE)*CP$1</f>
        <v>0</v>
      </c>
      <c r="CQ25" s="1117">
        <f>$G25+CP25</f>
        <v>2258385628.1561666</v>
      </c>
      <c r="CR25" s="1118">
        <f>VLOOKUP($E25,CQ$442:CT$453,2,FALSE)*CQ25*($K25)+IF($G25&gt;0,($H25/$G25)*CQ25,0)*(1-$K25)</f>
        <v>2258385628.1561666</v>
      </c>
      <c r="CS25" s="1118">
        <f>VLOOKUP($E25,CQ$442:CT$453,3,FALSE)*CQ25*($K25)+IF($G25&gt;0,($I25/$G25)*CQ25,0)*(1-$K25)</f>
        <v>0</v>
      </c>
      <c r="CT25" s="1118">
        <f>VLOOKUP($E25,CQ$442:CT$453,4,FALSE)*CQ25*($K25)+(CQ25-CR25-CS25)*(1-$K25)</f>
        <v>0</v>
      </c>
      <c r="CU25" s="1119"/>
      <c r="CX25" s="1155">
        <f>VLOOKUP($A25,'New Resources - Group'!$A$4:$Y$133,CX$2,FALSE)*CX$1</f>
        <v>0</v>
      </c>
      <c r="CY25" s="1117">
        <f>$G25+CX25</f>
        <v>2258385628.1561666</v>
      </c>
      <c r="CZ25" s="1118">
        <f>VLOOKUP($E25,CY$442:DB$453,2,FALSE)*CY25*($K25)+IF($G25&gt;0,($H25/$G25)*CY25,0)*(1-$K25)</f>
        <v>2258385628.1561666</v>
      </c>
      <c r="DA25" s="1118">
        <f>VLOOKUP($E25,CY$442:DB$453,3,FALSE)*CY25*($K25)+IF($G25&gt;0,($I25/$G25)*CY25,0)*(1-$K25)</f>
        <v>0</v>
      </c>
      <c r="DB25" s="1118">
        <f>VLOOKUP($E25,CY$442:DB$453,4,FALSE)*CY25*($K25)+(CY25-CZ25-DA25)*(1-$K25)</f>
        <v>0</v>
      </c>
      <c r="DC25" s="1119"/>
      <c r="DF25" s="1155">
        <f>VLOOKUP($A25,'New Resources - Group'!$A$4:$Y$133,DF$2,FALSE)*DF$1</f>
        <v>0</v>
      </c>
      <c r="DG25" s="1117">
        <f>$G25+DF25</f>
        <v>2258385628.1561666</v>
      </c>
      <c r="DH25" s="1118">
        <f>VLOOKUP($E25,DG$442:DJ$453,2,FALSE)*DG25*($K25)+IF($G25&gt;0,($H25/$G25)*DG25,0)*(1-$K25)</f>
        <v>2258385628.1561666</v>
      </c>
      <c r="DI25" s="1118">
        <f>VLOOKUP($E25,DG$442:DJ$453,3,FALSE)*DG25*($K25)+IF($G25&gt;0,($I25/$G25)*DG25,0)*(1-$K25)</f>
        <v>0</v>
      </c>
      <c r="DJ25" s="1118">
        <f>VLOOKUP($E25,DG$442:DJ$453,4,FALSE)*DG25*($K25)+(DG25-DH25-DI25)*(1-$K25)</f>
        <v>0</v>
      </c>
      <c r="DK25" s="1119"/>
      <c r="DN25" s="1155">
        <f>VLOOKUP($A25,'New Resources - Group'!$A$4:$Y$133,DN$2,FALSE)*DN$1</f>
        <v>0</v>
      </c>
      <c r="DO25" s="1117">
        <f>$G25+DN25</f>
        <v>2258385628.1561666</v>
      </c>
      <c r="DP25" s="1118">
        <f>VLOOKUP($E25,DO$442:DR$453,2,FALSE)*DO25*($K25)+IF($G25&gt;0,($H25/$G25)*DO25,0)*(1-$K25)</f>
        <v>2258385628.1561666</v>
      </c>
      <c r="DQ25" s="1118">
        <f>VLOOKUP($E25,DO$442:DR$453,3,FALSE)*DO25*($K25)+IF($G25&gt;0,($I25/$G25)*DO25,0)*(1-$K25)</f>
        <v>0</v>
      </c>
      <c r="DR25" s="1118">
        <f>VLOOKUP($E25,DO$442:DR$453,4,FALSE)*DO25*($K25)+(DO25-DP25-DQ25)*(1-$K25)</f>
        <v>0</v>
      </c>
      <c r="DS25" s="1119"/>
      <c r="DV25" s="1155">
        <f>VLOOKUP($A25,'New Resources - Group'!$A$4:$Y$133,DV$2,FALSE)*DV$1</f>
        <v>0</v>
      </c>
      <c r="DW25" s="1117">
        <f>$G25+DV25</f>
        <v>2258385628.1561666</v>
      </c>
      <c r="DX25" s="1118">
        <f>VLOOKUP($E25,DW$442:DZ$453,2,FALSE)*DW25*($K25)+IF($G25&gt;0,($H25/$G25)*DW25,0)*(1-$K25)</f>
        <v>2258385628.1561666</v>
      </c>
      <c r="DY25" s="1118">
        <f>VLOOKUP($E25,DW$442:DZ$453,3,FALSE)*DW25*($K25)+IF($G25&gt;0,($I25/$G25)*DW25,0)*(1-$K25)</f>
        <v>0</v>
      </c>
      <c r="DZ25" s="1118">
        <f>VLOOKUP($E25,DW$442:DZ$453,4,FALSE)*DW25*($K25)+(DW25-DX25-DY25)*(1-$K25)</f>
        <v>0</v>
      </c>
      <c r="EA25" s="1119"/>
      <c r="ED25" s="1155">
        <f>VLOOKUP($A25,'New Resources - Group'!$A$4:$Y$133,ED$2,FALSE)*ED$1</f>
        <v>0</v>
      </c>
      <c r="EE25" s="1117">
        <f>$G25+ED25</f>
        <v>2258385628.1561666</v>
      </c>
      <c r="EF25" s="1118">
        <f>VLOOKUP($E25,EE$442:EH$453,2,FALSE)*EE25*($K25)+IF($G25&gt;0,($H25/$G25)*EE25,0)*(1-$K25)</f>
        <v>2258385628.1561666</v>
      </c>
      <c r="EG25" s="1118">
        <f>VLOOKUP($E25,EE$442:EH$453,3,FALSE)*EE25*($K25)+IF($G25&gt;0,($I25/$G25)*EE25,0)*(1-$K25)</f>
        <v>0</v>
      </c>
      <c r="EH25" s="1118">
        <f>VLOOKUP($E25,EE$442:EH$453,4,FALSE)*EE25*($K25)+(EE25-EF25-EG25)*(1-$K25)</f>
        <v>0</v>
      </c>
      <c r="EI25" s="1119"/>
      <c r="EL25" s="1155">
        <f>VLOOKUP($A25,'New Resources - Group'!$A$4:$Y$133,EL$2,FALSE)*EL$1</f>
        <v>0</v>
      </c>
      <c r="EM25" s="1117">
        <f>$G25+EL25</f>
        <v>2258385628.1561666</v>
      </c>
      <c r="EN25" s="1118">
        <f>VLOOKUP($E25,EM$442:EP$453,2,FALSE)*EM25*($K25)+IF($G25&gt;0,($H25/$G25)*EM25,0)*(1-$K25)</f>
        <v>2258385628.1561666</v>
      </c>
      <c r="EO25" s="1118">
        <f>VLOOKUP($E25,EM$442:EP$453,3,FALSE)*EM25*($K25)+IF($G25&gt;0,($I25/$G25)*EM25,0)*(1-$K25)</f>
        <v>0</v>
      </c>
      <c r="EP25" s="1118">
        <f>VLOOKUP($E25,EM$442:EP$453,4,FALSE)*EM25*($K25)+(EM25-EN25-EO25)*(1-$K25)</f>
        <v>0</v>
      </c>
      <c r="EQ25" s="1119"/>
      <c r="ET25" s="1155">
        <f>VLOOKUP($A25,'New Resources - Group'!$A$4:$Y$133,ET$2,FALSE)*ET$1</f>
        <v>0</v>
      </c>
      <c r="EU25" s="1117">
        <f>$G25+ET25</f>
        <v>2258385628.1561666</v>
      </c>
      <c r="EV25" s="1118">
        <f>VLOOKUP($E25,EU$442:EX$453,2,FALSE)*EU25*($K25)+IF($G25&gt;0,($H25/$G25)*EU25,0)*(1-$K25)</f>
        <v>2258385628.1561666</v>
      </c>
      <c r="EW25" s="1118">
        <f>VLOOKUP($E25,EU$442:EX$453,3,FALSE)*EU25*($K25)+IF($G25&gt;0,($I25/$G25)*EU25,0)*(1-$K25)</f>
        <v>0</v>
      </c>
      <c r="EX25" s="1118">
        <f>VLOOKUP($E25,EU$442:EX$453,4,FALSE)*EU25*($K25)+(EU25-EV25-EW25)*(1-$K25)</f>
        <v>0</v>
      </c>
      <c r="EY25" s="1119"/>
      <c r="FB25" s="1155">
        <f>VLOOKUP($A25,'New Resources - Group'!$A$4:$Y$133,FB$2,FALSE)*FB$1</f>
        <v>0</v>
      </c>
      <c r="FC25" s="1117">
        <f>$G25+FB25</f>
        <v>2258385628.1561666</v>
      </c>
      <c r="FD25" s="1118">
        <f>VLOOKUP($E25,FC$442:FF$453,2,FALSE)*FC25*($K25)+IF($G25&gt;0,($H25/$G25)*FC25,0)*(1-$K25)</f>
        <v>2258385628.1561666</v>
      </c>
      <c r="FE25" s="1118">
        <f>VLOOKUP($E25,FC$442:FF$453,3,FALSE)*FC25*($K25)+IF($G25&gt;0,($I25/$G25)*FC25,0)*(1-$K25)</f>
        <v>0</v>
      </c>
      <c r="FF25" s="1118">
        <f>VLOOKUP($E25,FC$442:FF$453,4,FALSE)*FC25*($K25)+(FC25-FD25-FE25)*(1-$K25)</f>
        <v>0</v>
      </c>
      <c r="FG25" s="1119"/>
      <c r="FJ25" s="1155">
        <f>VLOOKUP($A25,'New Resources - Group'!$A$4:$Y$133,FJ$2,FALSE)*FJ$1</f>
        <v>0</v>
      </c>
      <c r="FK25" s="1117">
        <f>$G25+FJ25</f>
        <v>2258385628.1561666</v>
      </c>
      <c r="FL25" s="1118">
        <f>VLOOKUP($E25,FK$442:FN$453,2,FALSE)*FK25*($K25)+IF($G25&gt;0,($H25/$G25)*FK25,0)*(1-$K25)</f>
        <v>2258385628.1561666</v>
      </c>
      <c r="FM25" s="1118">
        <f>VLOOKUP($E25,FK$442:FN$453,3,FALSE)*FK25*($K25)+IF($G25&gt;0,($I25/$G25)*FK25,0)*(1-$K25)</f>
        <v>0</v>
      </c>
      <c r="FN25" s="1118">
        <f>VLOOKUP($E25,FK$442:FN$453,4,FALSE)*FK25*($K25)+(FK25-FL25-FM25)*(1-$K25)</f>
        <v>0</v>
      </c>
      <c r="FO25" s="1119"/>
    </row>
    <row r="26" spans="1:171" x14ac:dyDescent="0.25">
      <c r="A26" s="1416" t="s">
        <v>119</v>
      </c>
      <c r="B26" s="898"/>
      <c r="C26" s="895"/>
      <c r="D26" s="896"/>
      <c r="E26" s="1539"/>
      <c r="F26" s="897"/>
      <c r="G26" s="906">
        <f>SUM(G22:G25)</f>
        <v>5582371867.6053581</v>
      </c>
      <c r="H26" s="906">
        <f>SUM(H22:H25)</f>
        <v>5582371867.6053581</v>
      </c>
      <c r="I26" s="906">
        <f>SUM(I22:I25)</f>
        <v>0</v>
      </c>
      <c r="J26" s="1415">
        <f>SUM(J22:J25)</f>
        <v>0</v>
      </c>
      <c r="K26" s="904"/>
      <c r="O26" s="906">
        <f>SUM(O22:O25)</f>
        <v>5582371867.6053581</v>
      </c>
      <c r="P26" s="906">
        <f>SUM(P22:P25)</f>
        <v>5582371867.6053581</v>
      </c>
      <c r="Q26" s="906">
        <f>SUM(Q22:Q25)</f>
        <v>0</v>
      </c>
      <c r="R26" s="906">
        <f>SUM(R22:R25)</f>
        <v>0</v>
      </c>
      <c r="S26" s="1119"/>
      <c r="W26" s="906">
        <f>SUM(W22:W25)</f>
        <v>5582371867.6053581</v>
      </c>
      <c r="X26" s="906">
        <f>SUM(X22:X25)</f>
        <v>5582371867.6053581</v>
      </c>
      <c r="Y26" s="906">
        <f>SUM(Y22:Y25)</f>
        <v>0</v>
      </c>
      <c r="Z26" s="906">
        <f>SUM(Z22:Z25)</f>
        <v>0</v>
      </c>
      <c r="AA26" s="1119"/>
      <c r="AE26" s="906">
        <f>SUM(AE22:AE25)</f>
        <v>5582371867.6053581</v>
      </c>
      <c r="AF26" s="906">
        <f>SUM(AF22:AF25)</f>
        <v>5582371867.6053581</v>
      </c>
      <c r="AG26" s="906">
        <f>SUM(AG22:AG25)</f>
        <v>0</v>
      </c>
      <c r="AH26" s="906">
        <f>SUM(AH22:AH25)</f>
        <v>0</v>
      </c>
      <c r="AI26" s="1119"/>
      <c r="AM26" s="906">
        <f>SUM(AM22:AM25)</f>
        <v>5582371867.6053581</v>
      </c>
      <c r="AN26" s="906">
        <f>SUM(AN22:AN25)</f>
        <v>5582371867.6053581</v>
      </c>
      <c r="AO26" s="906">
        <f>SUM(AO22:AO25)</f>
        <v>0</v>
      </c>
      <c r="AP26" s="906">
        <f>SUM(AP22:AP25)</f>
        <v>0</v>
      </c>
      <c r="AQ26" s="1119"/>
      <c r="AU26" s="906">
        <f>SUM(AU22:AU25)</f>
        <v>5582371867.6053581</v>
      </c>
      <c r="AV26" s="906">
        <f>SUM(AV22:AV25)</f>
        <v>5582371867.6053581</v>
      </c>
      <c r="AW26" s="906">
        <f>SUM(AW22:AW25)</f>
        <v>0</v>
      </c>
      <c r="AX26" s="906">
        <f>SUM(AX22:AX25)</f>
        <v>0</v>
      </c>
      <c r="AY26" s="1119"/>
      <c r="BC26" s="906">
        <f>SUM(BC22:BC25)</f>
        <v>5582371867.6053581</v>
      </c>
      <c r="BD26" s="906">
        <f>SUM(BD22:BD25)</f>
        <v>5582371867.6053581</v>
      </c>
      <c r="BE26" s="906">
        <f>SUM(BE22:BE25)</f>
        <v>0</v>
      </c>
      <c r="BF26" s="906">
        <f>SUM(BF22:BF25)</f>
        <v>0</v>
      </c>
      <c r="BG26" s="1119"/>
      <c r="BK26" s="906">
        <f>SUM(BK22:BK25)</f>
        <v>5582371867.6053581</v>
      </c>
      <c r="BL26" s="906">
        <f>SUM(BL22:BL25)</f>
        <v>5582371867.6053581</v>
      </c>
      <c r="BM26" s="906">
        <f>SUM(BM22:BM25)</f>
        <v>0</v>
      </c>
      <c r="BN26" s="906">
        <f>SUM(BN22:BN25)</f>
        <v>0</v>
      </c>
      <c r="BO26" s="1119"/>
      <c r="BS26" s="906">
        <f>SUM(BS22:BS25)</f>
        <v>5582371867.6053581</v>
      </c>
      <c r="BT26" s="906">
        <f>SUM(BT22:BT25)</f>
        <v>5582371867.6053581</v>
      </c>
      <c r="BU26" s="906">
        <f>SUM(BU22:BU25)</f>
        <v>0</v>
      </c>
      <c r="BV26" s="906">
        <f>SUM(BV22:BV25)</f>
        <v>0</v>
      </c>
      <c r="BW26" s="1119"/>
      <c r="CA26" s="906">
        <f>SUM(CA22:CA25)</f>
        <v>5582371867.6053581</v>
      </c>
      <c r="CB26" s="906">
        <f>SUM(CB22:CB25)</f>
        <v>5582371867.6053581</v>
      </c>
      <c r="CC26" s="906">
        <f>SUM(CC22:CC25)</f>
        <v>0</v>
      </c>
      <c r="CD26" s="906">
        <f>SUM(CD22:CD25)</f>
        <v>0</v>
      </c>
      <c r="CE26" s="1119"/>
      <c r="CI26" s="906">
        <f>SUM(CI22:CI25)</f>
        <v>5582371867.6053581</v>
      </c>
      <c r="CJ26" s="906">
        <f>SUM(CJ22:CJ25)</f>
        <v>5582371867.6053581</v>
      </c>
      <c r="CK26" s="906">
        <f>SUM(CK22:CK25)</f>
        <v>0</v>
      </c>
      <c r="CL26" s="906">
        <f>SUM(CL22:CL25)</f>
        <v>0</v>
      </c>
      <c r="CM26" s="1119"/>
      <c r="CQ26" s="906">
        <f>SUM(CQ22:CQ25)</f>
        <v>5582371867.6053581</v>
      </c>
      <c r="CR26" s="906">
        <f>SUM(CR22:CR25)</f>
        <v>5582371867.6053581</v>
      </c>
      <c r="CS26" s="906">
        <f>SUM(CS22:CS25)</f>
        <v>0</v>
      </c>
      <c r="CT26" s="906">
        <f>SUM(CT22:CT25)</f>
        <v>0</v>
      </c>
      <c r="CU26" s="1119"/>
      <c r="CY26" s="906">
        <f>SUM(CY22:CY25)</f>
        <v>5582371867.6053581</v>
      </c>
      <c r="CZ26" s="906">
        <f>SUM(CZ22:CZ25)</f>
        <v>5582371867.6053581</v>
      </c>
      <c r="DA26" s="906">
        <f>SUM(DA22:DA25)</f>
        <v>0</v>
      </c>
      <c r="DB26" s="906">
        <f>SUM(DB22:DB25)</f>
        <v>0</v>
      </c>
      <c r="DC26" s="1119"/>
      <c r="DG26" s="906">
        <f>SUM(DG22:DG25)</f>
        <v>5582371867.6053581</v>
      </c>
      <c r="DH26" s="906">
        <f>SUM(DH22:DH25)</f>
        <v>5582371867.6053581</v>
      </c>
      <c r="DI26" s="906">
        <f>SUM(DI22:DI25)</f>
        <v>0</v>
      </c>
      <c r="DJ26" s="906">
        <f>SUM(DJ22:DJ25)</f>
        <v>0</v>
      </c>
      <c r="DK26" s="1119"/>
      <c r="DO26" s="906">
        <f>SUM(DO22:DO25)</f>
        <v>5582371867.6053581</v>
      </c>
      <c r="DP26" s="906">
        <f>SUM(DP22:DP25)</f>
        <v>5582371867.6053581</v>
      </c>
      <c r="DQ26" s="906">
        <f>SUM(DQ22:DQ25)</f>
        <v>0</v>
      </c>
      <c r="DR26" s="906">
        <f>SUM(DR22:DR25)</f>
        <v>0</v>
      </c>
      <c r="DS26" s="1119"/>
      <c r="DW26" s="906">
        <f>SUM(DW22:DW25)</f>
        <v>5582371867.6053581</v>
      </c>
      <c r="DX26" s="906">
        <f>SUM(DX22:DX25)</f>
        <v>5582371867.6053581</v>
      </c>
      <c r="DY26" s="906">
        <f>SUM(DY22:DY25)</f>
        <v>0</v>
      </c>
      <c r="DZ26" s="906">
        <f>SUM(DZ22:DZ25)</f>
        <v>0</v>
      </c>
      <c r="EA26" s="1119"/>
      <c r="EE26" s="906">
        <f>SUM(EE22:EE25)</f>
        <v>5582371867.6053581</v>
      </c>
      <c r="EF26" s="906">
        <f>SUM(EF22:EF25)</f>
        <v>5582371867.6053581</v>
      </c>
      <c r="EG26" s="906">
        <f>SUM(EG22:EG25)</f>
        <v>0</v>
      </c>
      <c r="EH26" s="906">
        <f>SUM(EH22:EH25)</f>
        <v>0</v>
      </c>
      <c r="EI26" s="1119"/>
      <c r="EM26" s="906">
        <f>SUM(EM22:EM25)</f>
        <v>5582371867.6053581</v>
      </c>
      <c r="EN26" s="906">
        <f>SUM(EN22:EN25)</f>
        <v>5582371867.6053581</v>
      </c>
      <c r="EO26" s="906">
        <f>SUM(EO22:EO25)</f>
        <v>0</v>
      </c>
      <c r="EP26" s="906">
        <f>SUM(EP22:EP25)</f>
        <v>0</v>
      </c>
      <c r="EQ26" s="1119"/>
      <c r="EU26" s="906">
        <f>SUM(EU22:EU25)</f>
        <v>5582371867.6053581</v>
      </c>
      <c r="EV26" s="906">
        <f>SUM(EV22:EV25)</f>
        <v>5582371867.6053581</v>
      </c>
      <c r="EW26" s="906">
        <f>SUM(EW22:EW25)</f>
        <v>0</v>
      </c>
      <c r="EX26" s="906">
        <f>SUM(EX22:EX25)</f>
        <v>0</v>
      </c>
      <c r="EY26" s="1119"/>
      <c r="FC26" s="906">
        <f>SUM(FC22:FC25)</f>
        <v>5582371867.6053581</v>
      </c>
      <c r="FD26" s="906">
        <f>SUM(FD22:FD25)</f>
        <v>5582371867.6053581</v>
      </c>
      <c r="FE26" s="906">
        <f>SUM(FE22:FE25)</f>
        <v>0</v>
      </c>
      <c r="FF26" s="906">
        <f>SUM(FF22:FF25)</f>
        <v>0</v>
      </c>
      <c r="FG26" s="1119"/>
      <c r="FK26" s="906">
        <f>SUM(FK22:FK25)</f>
        <v>5582371867.6053581</v>
      </c>
      <c r="FL26" s="906">
        <f>SUM(FL22:FL25)</f>
        <v>5582371867.6053581</v>
      </c>
      <c r="FM26" s="906">
        <f>SUM(FM22:FM25)</f>
        <v>0</v>
      </c>
      <c r="FN26" s="906">
        <f>SUM(FN22:FN25)</f>
        <v>0</v>
      </c>
      <c r="FO26" s="1119"/>
    </row>
    <row r="27" spans="1:171" x14ac:dyDescent="0.25">
      <c r="A27" s="1420"/>
      <c r="B27" s="908"/>
      <c r="C27" s="51"/>
      <c r="D27" s="51"/>
      <c r="E27" s="1541"/>
      <c r="F27" s="909"/>
      <c r="J27" s="1412"/>
      <c r="K27" s="904"/>
      <c r="S27" s="1119"/>
      <c r="AA27" s="1119"/>
      <c r="AI27" s="1119"/>
      <c r="AQ27" s="1119"/>
      <c r="AY27" s="1119"/>
      <c r="BG27" s="1119"/>
      <c r="BO27" s="1119"/>
      <c r="BW27" s="1119"/>
      <c r="CE27" s="1119"/>
      <c r="CM27" s="1119"/>
      <c r="CU27" s="1119"/>
      <c r="DC27" s="1119"/>
      <c r="DK27" s="1119"/>
      <c r="DS27" s="1119"/>
      <c r="EA27" s="1119"/>
      <c r="EI27" s="1119"/>
      <c r="EQ27" s="1119"/>
      <c r="EY27" s="1119"/>
      <c r="FG27" s="1119"/>
      <c r="FO27" s="1119"/>
    </row>
    <row r="28" spans="1:171" x14ac:dyDescent="0.25">
      <c r="A28" s="1341" t="s">
        <v>142</v>
      </c>
      <c r="B28" s="220"/>
      <c r="C28" s="55"/>
      <c r="D28" s="55"/>
      <c r="E28" s="1541"/>
      <c r="F28" s="180"/>
      <c r="J28" s="1412"/>
      <c r="K28" s="904"/>
      <c r="S28" s="1119"/>
      <c r="AA28" s="1119"/>
      <c r="AI28" s="1119"/>
      <c r="AQ28" s="1119"/>
      <c r="AY28" s="1119"/>
      <c r="BG28" s="1119"/>
      <c r="BO28" s="1119"/>
      <c r="BW28" s="1119"/>
      <c r="CE28" s="1119"/>
      <c r="CM28" s="1119"/>
      <c r="CU28" s="1119"/>
      <c r="DC28" s="1119"/>
      <c r="DK28" s="1119"/>
      <c r="DS28" s="1119"/>
      <c r="EA28" s="1119"/>
      <c r="EI28" s="1119"/>
      <c r="EQ28" s="1119"/>
      <c r="EY28" s="1119"/>
      <c r="FG28" s="1119"/>
      <c r="FO28" s="1119"/>
    </row>
    <row r="29" spans="1:171" x14ac:dyDescent="0.25">
      <c r="A29" s="1419">
        <v>840</v>
      </c>
      <c r="B29" s="220" t="s">
        <v>526</v>
      </c>
      <c r="C29" s="888" t="s">
        <v>70</v>
      </c>
      <c r="D29" s="889" t="s">
        <v>120</v>
      </c>
      <c r="E29" s="1538" t="str">
        <f>'Sch 1- Rate Base '!E29</f>
        <v>TRANS</v>
      </c>
      <c r="F29" s="890"/>
      <c r="G29" s="891">
        <f>'Sch 1- Rate Base '!G29</f>
        <v>3295838980.7862144</v>
      </c>
      <c r="H29" s="891">
        <f>'Sch 1- Rate Base '!H29</f>
        <v>0</v>
      </c>
      <c r="I29" s="891">
        <f>'Sch 1- Rate Base '!I29</f>
        <v>0</v>
      </c>
      <c r="J29" s="1414">
        <f>'Sch 1- Rate Base '!J29</f>
        <v>3295838980.7862144</v>
      </c>
      <c r="K29" s="904">
        <f>IF($E29="DIRECT",0,1)</f>
        <v>1</v>
      </c>
      <c r="N29" s="1155">
        <f>VLOOKUP($A29,'New Resources - Group'!$A$4:$Y$133,N$2,FALSE)*N$1</f>
        <v>0</v>
      </c>
      <c r="O29" s="1117">
        <f>$G29+N29</f>
        <v>3295838980.7862144</v>
      </c>
      <c r="P29" s="1118">
        <f>VLOOKUP($E29,O$442:R$453,2,FALSE)*O29*($K29)+IF($G29&gt;0,($H29/$G29)*O29,0)*(1-$K29)</f>
        <v>0</v>
      </c>
      <c r="Q29" s="1118">
        <f>VLOOKUP($E29,O$442:R$453,3,FALSE)*O29*($K29)+IF($G29&gt;0,($I29/$G29)*O29,0)*(1-$K29)</f>
        <v>3295838980.7862144</v>
      </c>
      <c r="R29" s="1118">
        <f>VLOOKUP($E29,O$442:R$453,4,FALSE)*O29*($K29)+(O29-P29-Q29)*(1-$K29)</f>
        <v>0</v>
      </c>
      <c r="S29" s="1119"/>
      <c r="V29" s="1155">
        <f>VLOOKUP($A29,'New Resources - Group'!$A$4:$Y$133,V$2,FALSE)*V$1</f>
        <v>0</v>
      </c>
      <c r="W29" s="1117">
        <f>$G29+V29</f>
        <v>3295838980.7862144</v>
      </c>
      <c r="X29" s="1118">
        <f>VLOOKUP($E29,W$442:Z$453,2,FALSE)*W29*($K29)+IF($G29&gt;0,($H29/$G29)*W29,0)*(1-$K29)</f>
        <v>0</v>
      </c>
      <c r="Y29" s="1118">
        <f>VLOOKUP($E29,W$442:Z$453,3,FALSE)*W29*($K29)+IF($G29&gt;0,($I29/$G29)*W29,0)*(1-$K29)</f>
        <v>3295838980.7862144</v>
      </c>
      <c r="Z29" s="1118">
        <f>VLOOKUP($E29,W$442:Z$453,4,FALSE)*W29*($K29)+(W29-X29-Y29)*(1-$K29)</f>
        <v>0</v>
      </c>
      <c r="AA29" s="1119"/>
      <c r="AD29" s="1155">
        <f>VLOOKUP($A29,'New Resources - Group'!$A$4:$Y$133,AD$2,FALSE)*AD$1</f>
        <v>0</v>
      </c>
      <c r="AE29" s="1117">
        <f>$G29+AD29</f>
        <v>3295838980.7862144</v>
      </c>
      <c r="AF29" s="1118">
        <f>VLOOKUP($E29,AE$442:AH$453,2,FALSE)*AE29*($K29)+IF($G29&gt;0,($H29/$G29)*AE29,0)*(1-$K29)</f>
        <v>0</v>
      </c>
      <c r="AG29" s="1118">
        <f>VLOOKUP($E29,AE$442:AH$453,3,FALSE)*AE29*($K29)+IF($G29&gt;0,($I29/$G29)*AE29,0)*(1-$K29)</f>
        <v>3295838980.7862144</v>
      </c>
      <c r="AH29" s="1118">
        <f>VLOOKUP($E29,AE$442:AH$453,4,FALSE)*AE29*($K29)+(AE29-AF29-AG29)*(1-$K29)</f>
        <v>0</v>
      </c>
      <c r="AI29" s="1119"/>
      <c r="AL29" s="1155">
        <f>VLOOKUP($A29,'New Resources - Group'!$A$4:$Y$133,AL$2,FALSE)*AL$1</f>
        <v>0</v>
      </c>
      <c r="AM29" s="1117">
        <f>$G29+AL29</f>
        <v>3295838980.7862144</v>
      </c>
      <c r="AN29" s="1118">
        <f>VLOOKUP($E29,AM$442:AP$453,2,FALSE)*AM29*($K29)+IF($G29&gt;0,($H29/$G29)*AM29,0)*(1-$K29)</f>
        <v>0</v>
      </c>
      <c r="AO29" s="1118">
        <f>VLOOKUP($E29,AM$442:AP$453,3,FALSE)*AM29*($K29)+IF($G29&gt;0,($I29/$G29)*AM29,0)*(1-$K29)</f>
        <v>3295838980.7862144</v>
      </c>
      <c r="AP29" s="1118">
        <f>VLOOKUP($E29,AM$442:AP$453,4,FALSE)*AM29*($K29)+(AM29-AN29-AO29)*(1-$K29)</f>
        <v>0</v>
      </c>
      <c r="AQ29" s="1119"/>
      <c r="AT29" s="1155">
        <f>VLOOKUP($A29,'New Resources - Group'!$A$4:$Y$133,AT$2,FALSE)*AT$1</f>
        <v>0</v>
      </c>
      <c r="AU29" s="1117">
        <f>$G29+AT29</f>
        <v>3295838980.7862144</v>
      </c>
      <c r="AV29" s="1118">
        <f>VLOOKUP($E29,AU$442:AX$453,2,FALSE)*AU29*($K29)+IF($G29&gt;0,($H29/$G29)*AU29,0)*(1-$K29)</f>
        <v>0</v>
      </c>
      <c r="AW29" s="1118">
        <f>VLOOKUP($E29,AU$442:AX$453,3,FALSE)*AU29*($K29)+IF($G29&gt;0,($I29/$G29)*AU29,0)*(1-$K29)</f>
        <v>3295838980.7862144</v>
      </c>
      <c r="AX29" s="1118">
        <f>VLOOKUP($E29,AU$442:AX$453,4,FALSE)*AU29*($K29)+(AU29-AV29-AW29)*(1-$K29)</f>
        <v>0</v>
      </c>
      <c r="AY29" s="1119"/>
      <c r="BB29" s="1155">
        <f>VLOOKUP($A29,'New Resources - Group'!$A$4:$Y$133,BB$2,FALSE)*BB$1</f>
        <v>0</v>
      </c>
      <c r="BC29" s="1117">
        <f>$G29+BB29</f>
        <v>3295838980.7862144</v>
      </c>
      <c r="BD29" s="1118">
        <f>VLOOKUP($E29,BC$442:BF$453,2,FALSE)*BC29*($K29)+IF($G29&gt;0,($H29/$G29)*BC29,0)*(1-$K29)</f>
        <v>0</v>
      </c>
      <c r="BE29" s="1118">
        <f>VLOOKUP($E29,BC$442:BF$453,3,FALSE)*BC29*($K29)+IF($G29&gt;0,($I29/$G29)*BC29,0)*(1-$K29)</f>
        <v>3295838980.7862144</v>
      </c>
      <c r="BF29" s="1118">
        <f>VLOOKUP($E29,BC$442:BF$453,4,FALSE)*BC29*($K29)+(BC29-BD29-BE29)*(1-$K29)</f>
        <v>0</v>
      </c>
      <c r="BG29" s="1119"/>
      <c r="BJ29" s="1155">
        <f>VLOOKUP($A29,'New Resources - Group'!$A$4:$Y$133,BJ$2,FALSE)*BJ$1</f>
        <v>0</v>
      </c>
      <c r="BK29" s="1117">
        <f>$G29+BJ29</f>
        <v>3295838980.7862144</v>
      </c>
      <c r="BL29" s="1118">
        <f>VLOOKUP($E29,BK$442:BN$453,2,FALSE)*BK29*($K29)+IF($G29&gt;0,($H29/$G29)*BK29,0)*(1-$K29)</f>
        <v>0</v>
      </c>
      <c r="BM29" s="1118">
        <f>VLOOKUP($E29,BK$442:BN$453,3,FALSE)*BK29*($K29)+IF($G29&gt;0,($I29/$G29)*BK29,0)*(1-$K29)</f>
        <v>3295838980.7862144</v>
      </c>
      <c r="BN29" s="1118">
        <f>VLOOKUP($E29,BK$442:BN$453,4,FALSE)*BK29*($K29)+(BK29-BL29-BM29)*(1-$K29)</f>
        <v>0</v>
      </c>
      <c r="BO29" s="1119"/>
      <c r="BR29" s="1155">
        <f>VLOOKUP($A29,'New Resources - Group'!$A$4:$Y$133,BR$2,FALSE)*BR$1</f>
        <v>0</v>
      </c>
      <c r="BS29" s="1117">
        <f>$G29+BR29</f>
        <v>3295838980.7862144</v>
      </c>
      <c r="BT29" s="1118">
        <f>VLOOKUP($E29,BS$442:BV$453,2,FALSE)*BS29*($K29)+IF($G29&gt;0,($H29/$G29)*BS29,0)*(1-$K29)</f>
        <v>0</v>
      </c>
      <c r="BU29" s="1118">
        <f>VLOOKUP($E29,BS$442:BV$453,3,FALSE)*BS29*($K29)+IF($G29&gt;0,($I29/$G29)*BS29,0)*(1-$K29)</f>
        <v>3295838980.7862144</v>
      </c>
      <c r="BV29" s="1118">
        <f>VLOOKUP($E29,BS$442:BV$453,4,FALSE)*BS29*($K29)+(BS29-BT29-BU29)*(1-$K29)</f>
        <v>0</v>
      </c>
      <c r="BW29" s="1119"/>
      <c r="BZ29" s="1155">
        <f>VLOOKUP($A29,'New Resources - Group'!$A$4:$Y$133,BZ$2,FALSE)*BZ$1</f>
        <v>0</v>
      </c>
      <c r="CA29" s="1117">
        <f>$G29+BZ29</f>
        <v>3295838980.7862144</v>
      </c>
      <c r="CB29" s="1118">
        <f>VLOOKUP($E29,CA$442:CD$453,2,FALSE)*CA29*($K29)+IF($G29&gt;0,($H29/$G29)*CA29,0)*(1-$K29)</f>
        <v>0</v>
      </c>
      <c r="CC29" s="1118">
        <f>VLOOKUP($E29,CA$442:CD$453,3,FALSE)*CA29*($K29)+IF($G29&gt;0,($I29/$G29)*CA29,0)*(1-$K29)</f>
        <v>3295838980.7862144</v>
      </c>
      <c r="CD29" s="1118">
        <f>VLOOKUP($E29,CA$442:CD$453,4,FALSE)*CA29*($K29)+(CA29-CB29-CC29)*(1-$K29)</f>
        <v>0</v>
      </c>
      <c r="CE29" s="1119"/>
      <c r="CH29" s="1155">
        <f>VLOOKUP($A29,'New Resources - Group'!$A$4:$Y$133,CH$2,FALSE)*CH$1</f>
        <v>0</v>
      </c>
      <c r="CI29" s="1117">
        <f>$G29+CH29</f>
        <v>3295838980.7862144</v>
      </c>
      <c r="CJ29" s="1118">
        <f>VLOOKUP($E29,CI$442:CL$453,2,FALSE)*CI29*($K29)+IF($G29&gt;0,($H29/$G29)*CI29,0)*(1-$K29)</f>
        <v>0</v>
      </c>
      <c r="CK29" s="1118">
        <f>VLOOKUP($E29,CI$442:CL$453,3,FALSE)*CI29*($K29)+IF($G29&gt;0,($I29/$G29)*CI29,0)*(1-$K29)</f>
        <v>3295838980.7862144</v>
      </c>
      <c r="CL29" s="1118">
        <f>VLOOKUP($E29,CI$442:CL$453,4,FALSE)*CI29*($K29)+(CI29-CJ29-CK29)*(1-$K29)</f>
        <v>0</v>
      </c>
      <c r="CM29" s="1119"/>
      <c r="CP29" s="1155">
        <f>VLOOKUP($A29,'New Resources - Group'!$A$4:$Y$133,CP$2,FALSE)*CP$1</f>
        <v>0</v>
      </c>
      <c r="CQ29" s="1117">
        <f>$G29+CP29</f>
        <v>3295838980.7862144</v>
      </c>
      <c r="CR29" s="1118">
        <f>VLOOKUP($E29,CQ$442:CT$453,2,FALSE)*CQ29*($K29)+IF($G29&gt;0,($H29/$G29)*CQ29,0)*(1-$K29)</f>
        <v>0</v>
      </c>
      <c r="CS29" s="1118">
        <f>VLOOKUP($E29,CQ$442:CT$453,3,FALSE)*CQ29*($K29)+IF($G29&gt;0,($I29/$G29)*CQ29,0)*(1-$K29)</f>
        <v>3295838980.7862144</v>
      </c>
      <c r="CT29" s="1118">
        <f>VLOOKUP($E29,CQ$442:CT$453,4,FALSE)*CQ29*($K29)+(CQ29-CR29-CS29)*(1-$K29)</f>
        <v>0</v>
      </c>
      <c r="CU29" s="1119"/>
      <c r="CX29" s="1155">
        <f>VLOOKUP($A29,'New Resources - Group'!$A$4:$Y$133,CX$2,FALSE)*CX$1</f>
        <v>0</v>
      </c>
      <c r="CY29" s="1117">
        <f>$G29+CX29</f>
        <v>3295838980.7862144</v>
      </c>
      <c r="CZ29" s="1118">
        <f>VLOOKUP($E29,CY$442:DB$453,2,FALSE)*CY29*($K29)+IF($G29&gt;0,($H29/$G29)*CY29,0)*(1-$K29)</f>
        <v>0</v>
      </c>
      <c r="DA29" s="1118">
        <f>VLOOKUP($E29,CY$442:DB$453,3,FALSE)*CY29*($K29)+IF($G29&gt;0,($I29/$G29)*CY29,0)*(1-$K29)</f>
        <v>3295838980.7862144</v>
      </c>
      <c r="DB29" s="1118">
        <f>VLOOKUP($E29,CY$442:DB$453,4,FALSE)*CY29*($K29)+(CY29-CZ29-DA29)*(1-$K29)</f>
        <v>0</v>
      </c>
      <c r="DC29" s="1119"/>
      <c r="DF29" s="1155">
        <f>VLOOKUP($A29,'New Resources - Group'!$A$4:$Y$133,DF$2,FALSE)*DF$1</f>
        <v>0</v>
      </c>
      <c r="DG29" s="1117">
        <f>$G29+DF29</f>
        <v>3295838980.7862144</v>
      </c>
      <c r="DH29" s="1118">
        <f>VLOOKUP($E29,DG$442:DJ$453,2,FALSE)*DG29*($K29)+IF($G29&gt;0,($H29/$G29)*DG29,0)*(1-$K29)</f>
        <v>0</v>
      </c>
      <c r="DI29" s="1118">
        <f>VLOOKUP($E29,DG$442:DJ$453,3,FALSE)*DG29*($K29)+IF($G29&gt;0,($I29/$G29)*DG29,0)*(1-$K29)</f>
        <v>3295838980.7862144</v>
      </c>
      <c r="DJ29" s="1118">
        <f>VLOOKUP($E29,DG$442:DJ$453,4,FALSE)*DG29*($K29)+(DG29-DH29-DI29)*(1-$K29)</f>
        <v>0</v>
      </c>
      <c r="DK29" s="1119"/>
      <c r="DN29" s="1155">
        <f>VLOOKUP($A29,'New Resources - Group'!$A$4:$Y$133,DN$2,FALSE)*DN$1</f>
        <v>0</v>
      </c>
      <c r="DO29" s="1117">
        <f>$G29+DN29</f>
        <v>3295838980.7862144</v>
      </c>
      <c r="DP29" s="1118">
        <f>VLOOKUP($E29,DO$442:DR$453,2,FALSE)*DO29*($K29)+IF($G29&gt;0,($H29/$G29)*DO29,0)*(1-$K29)</f>
        <v>0</v>
      </c>
      <c r="DQ29" s="1118">
        <f>VLOOKUP($E29,DO$442:DR$453,3,FALSE)*DO29*($K29)+IF($G29&gt;0,($I29/$G29)*DO29,0)*(1-$K29)</f>
        <v>3295838980.7862144</v>
      </c>
      <c r="DR29" s="1118">
        <f>VLOOKUP($E29,DO$442:DR$453,4,FALSE)*DO29*($K29)+(DO29-DP29-DQ29)*(1-$K29)</f>
        <v>0</v>
      </c>
      <c r="DS29" s="1119"/>
      <c r="DV29" s="1155">
        <f>VLOOKUP($A29,'New Resources - Group'!$A$4:$Y$133,DV$2,FALSE)*DV$1</f>
        <v>0</v>
      </c>
      <c r="DW29" s="1117">
        <f>$G29+DV29</f>
        <v>3295838980.7862144</v>
      </c>
      <c r="DX29" s="1118">
        <f>VLOOKUP($E29,DW$442:DZ$453,2,FALSE)*DW29*($K29)+IF($G29&gt;0,($H29/$G29)*DW29,0)*(1-$K29)</f>
        <v>0</v>
      </c>
      <c r="DY29" s="1118">
        <f>VLOOKUP($E29,DW$442:DZ$453,3,FALSE)*DW29*($K29)+IF($G29&gt;0,($I29/$G29)*DW29,0)*(1-$K29)</f>
        <v>3295838980.7862144</v>
      </c>
      <c r="DZ29" s="1118">
        <f>VLOOKUP($E29,DW$442:DZ$453,4,FALSE)*DW29*($K29)+(DW29-DX29-DY29)*(1-$K29)</f>
        <v>0</v>
      </c>
      <c r="EA29" s="1119"/>
      <c r="ED29" s="1155">
        <f>VLOOKUP($A29,'New Resources - Group'!$A$4:$Y$133,ED$2,FALSE)*ED$1</f>
        <v>0</v>
      </c>
      <c r="EE29" s="1117">
        <f>$G29+ED29</f>
        <v>3295838980.7862144</v>
      </c>
      <c r="EF29" s="1118">
        <f>VLOOKUP($E29,EE$442:EH$453,2,FALSE)*EE29*($K29)+IF($G29&gt;0,($H29/$G29)*EE29,0)*(1-$K29)</f>
        <v>0</v>
      </c>
      <c r="EG29" s="1118">
        <f>VLOOKUP($E29,EE$442:EH$453,3,FALSE)*EE29*($K29)+IF($G29&gt;0,($I29/$G29)*EE29,0)*(1-$K29)</f>
        <v>3295838980.7862144</v>
      </c>
      <c r="EH29" s="1118">
        <f>VLOOKUP($E29,EE$442:EH$453,4,FALSE)*EE29*($K29)+(EE29-EF29-EG29)*(1-$K29)</f>
        <v>0</v>
      </c>
      <c r="EI29" s="1119"/>
      <c r="EL29" s="1155">
        <f>VLOOKUP($A29,'New Resources - Group'!$A$4:$Y$133,EL$2,FALSE)*EL$1</f>
        <v>0</v>
      </c>
      <c r="EM29" s="1117">
        <f>$G29+EL29</f>
        <v>3295838980.7862144</v>
      </c>
      <c r="EN29" s="1118">
        <f>VLOOKUP($E29,EM$442:EP$453,2,FALSE)*EM29*($K29)+IF($G29&gt;0,($H29/$G29)*EM29,0)*(1-$K29)</f>
        <v>0</v>
      </c>
      <c r="EO29" s="1118">
        <f>VLOOKUP($E29,EM$442:EP$453,3,FALSE)*EM29*($K29)+IF($G29&gt;0,($I29/$G29)*EM29,0)*(1-$K29)</f>
        <v>3295838980.7862144</v>
      </c>
      <c r="EP29" s="1118">
        <f>VLOOKUP($E29,EM$442:EP$453,4,FALSE)*EM29*($K29)+(EM29-EN29-EO29)*(1-$K29)</f>
        <v>0</v>
      </c>
      <c r="EQ29" s="1119"/>
      <c r="ET29" s="1155">
        <f>VLOOKUP($A29,'New Resources - Group'!$A$4:$Y$133,ET$2,FALSE)*ET$1</f>
        <v>0</v>
      </c>
      <c r="EU29" s="1117">
        <f>$G29+ET29</f>
        <v>3295838980.7862144</v>
      </c>
      <c r="EV29" s="1118">
        <f>VLOOKUP($E29,EU$442:EX$453,2,FALSE)*EU29*($K29)+IF($G29&gt;0,($H29/$G29)*EU29,0)*(1-$K29)</f>
        <v>0</v>
      </c>
      <c r="EW29" s="1118">
        <f>VLOOKUP($E29,EU$442:EX$453,3,FALSE)*EU29*($K29)+IF($G29&gt;0,($I29/$G29)*EU29,0)*(1-$K29)</f>
        <v>3295838980.7862144</v>
      </c>
      <c r="EX29" s="1118">
        <f>VLOOKUP($E29,EU$442:EX$453,4,FALSE)*EU29*($K29)+(EU29-EV29-EW29)*(1-$K29)</f>
        <v>0</v>
      </c>
      <c r="EY29" s="1119"/>
      <c r="FB29" s="1155">
        <f>VLOOKUP($A29,'New Resources - Group'!$A$4:$Y$133,FB$2,FALSE)*FB$1</f>
        <v>0</v>
      </c>
      <c r="FC29" s="1117">
        <f>$G29+FB29</f>
        <v>3295838980.7862144</v>
      </c>
      <c r="FD29" s="1118">
        <f>VLOOKUP($E29,FC$442:FF$453,2,FALSE)*FC29*($K29)+IF($G29&gt;0,($H29/$G29)*FC29,0)*(1-$K29)</f>
        <v>0</v>
      </c>
      <c r="FE29" s="1118">
        <f>VLOOKUP($E29,FC$442:FF$453,3,FALSE)*FC29*($K29)+IF($G29&gt;0,($I29/$G29)*FC29,0)*(1-$K29)</f>
        <v>3295838980.7862144</v>
      </c>
      <c r="FF29" s="1118">
        <f>VLOOKUP($E29,FC$442:FF$453,4,FALSE)*FC29*($K29)+(FC29-FD29-FE29)*(1-$K29)</f>
        <v>0</v>
      </c>
      <c r="FG29" s="1119"/>
      <c r="FJ29" s="1155">
        <f>VLOOKUP($A29,'New Resources - Group'!$A$4:$Y$133,FJ$2,FALSE)*FJ$1</f>
        <v>0</v>
      </c>
      <c r="FK29" s="1117">
        <f>$G29+FJ29</f>
        <v>3295838980.7862144</v>
      </c>
      <c r="FL29" s="1118">
        <f>VLOOKUP($E29,FK$442:FN$453,2,FALSE)*FK29*($K29)+IF($G29&gt;0,($H29/$G29)*FK29,0)*(1-$K29)</f>
        <v>0</v>
      </c>
      <c r="FM29" s="1118">
        <f>VLOOKUP($E29,FK$442:FN$453,3,FALSE)*FK29*($K29)+IF($G29&gt;0,($I29/$G29)*FK29,0)*(1-$K29)</f>
        <v>3295838980.7862144</v>
      </c>
      <c r="FN29" s="1118">
        <f>VLOOKUP($E29,FK$442:FN$453,4,FALSE)*FK29*($K29)+(FK29-FL29-FM29)*(1-$K29)</f>
        <v>0</v>
      </c>
      <c r="FO29" s="1119"/>
    </row>
    <row r="30" spans="1:171" x14ac:dyDescent="0.25">
      <c r="A30" s="1344" t="s">
        <v>121</v>
      </c>
      <c r="B30" s="64"/>
      <c r="C30" s="915"/>
      <c r="D30" s="916"/>
      <c r="E30" s="916"/>
      <c r="F30" s="917"/>
      <c r="G30" s="906">
        <f>SUM(G29)</f>
        <v>3295838980.7862144</v>
      </c>
      <c r="H30" s="906">
        <f>SUM(H29)</f>
        <v>0</v>
      </c>
      <c r="I30" s="906">
        <f>SUM(I29)</f>
        <v>0</v>
      </c>
      <c r="J30" s="1415">
        <f>SUM(J29)</f>
        <v>3295838980.7862144</v>
      </c>
      <c r="K30" s="904"/>
      <c r="O30" s="906">
        <f>SUM(O29)</f>
        <v>3295838980.7862144</v>
      </c>
      <c r="P30" s="906">
        <f>SUM(P29)</f>
        <v>0</v>
      </c>
      <c r="Q30" s="906">
        <f>SUM(Q29)</f>
        <v>3295838980.7862144</v>
      </c>
      <c r="R30" s="906">
        <f>SUM(R29)</f>
        <v>0</v>
      </c>
      <c r="S30" s="1119"/>
      <c r="W30" s="906">
        <f>SUM(W29)</f>
        <v>3295838980.7862144</v>
      </c>
      <c r="X30" s="906">
        <f>SUM(X29)</f>
        <v>0</v>
      </c>
      <c r="Y30" s="906">
        <f>SUM(Y29)</f>
        <v>3295838980.7862144</v>
      </c>
      <c r="Z30" s="906">
        <f>SUM(Z29)</f>
        <v>0</v>
      </c>
      <c r="AA30" s="1119"/>
      <c r="AE30" s="906">
        <f>SUM(AE29)</f>
        <v>3295838980.7862144</v>
      </c>
      <c r="AF30" s="906">
        <f>SUM(AF29)</f>
        <v>0</v>
      </c>
      <c r="AG30" s="906">
        <f>SUM(AG29)</f>
        <v>3295838980.7862144</v>
      </c>
      <c r="AH30" s="906">
        <f>SUM(AH29)</f>
        <v>0</v>
      </c>
      <c r="AI30" s="1119"/>
      <c r="AM30" s="906">
        <f>SUM(AM29)</f>
        <v>3295838980.7862144</v>
      </c>
      <c r="AN30" s="906">
        <f>SUM(AN29)</f>
        <v>0</v>
      </c>
      <c r="AO30" s="906">
        <f>SUM(AO29)</f>
        <v>3295838980.7862144</v>
      </c>
      <c r="AP30" s="906">
        <f>SUM(AP29)</f>
        <v>0</v>
      </c>
      <c r="AQ30" s="1119"/>
      <c r="AU30" s="906">
        <f>SUM(AU29)</f>
        <v>3295838980.7862144</v>
      </c>
      <c r="AV30" s="906">
        <f>SUM(AV29)</f>
        <v>0</v>
      </c>
      <c r="AW30" s="906">
        <f>SUM(AW29)</f>
        <v>3295838980.7862144</v>
      </c>
      <c r="AX30" s="906">
        <f>SUM(AX29)</f>
        <v>0</v>
      </c>
      <c r="AY30" s="1119"/>
      <c r="BC30" s="906">
        <f>SUM(BC29)</f>
        <v>3295838980.7862144</v>
      </c>
      <c r="BD30" s="906">
        <f>SUM(BD29)</f>
        <v>0</v>
      </c>
      <c r="BE30" s="906">
        <f>SUM(BE29)</f>
        <v>3295838980.7862144</v>
      </c>
      <c r="BF30" s="906">
        <f>SUM(BF29)</f>
        <v>0</v>
      </c>
      <c r="BG30" s="1119"/>
      <c r="BK30" s="906">
        <f>SUM(BK29)</f>
        <v>3295838980.7862144</v>
      </c>
      <c r="BL30" s="906">
        <f>SUM(BL29)</f>
        <v>0</v>
      </c>
      <c r="BM30" s="906">
        <f>SUM(BM29)</f>
        <v>3295838980.7862144</v>
      </c>
      <c r="BN30" s="906">
        <f>SUM(BN29)</f>
        <v>0</v>
      </c>
      <c r="BO30" s="1119"/>
      <c r="BS30" s="906">
        <f>SUM(BS29)</f>
        <v>3295838980.7862144</v>
      </c>
      <c r="BT30" s="906">
        <f>SUM(BT29)</f>
        <v>0</v>
      </c>
      <c r="BU30" s="906">
        <f>SUM(BU29)</f>
        <v>3295838980.7862144</v>
      </c>
      <c r="BV30" s="906">
        <f>SUM(BV29)</f>
        <v>0</v>
      </c>
      <c r="BW30" s="1119"/>
      <c r="CA30" s="906">
        <f>SUM(CA29)</f>
        <v>3295838980.7862144</v>
      </c>
      <c r="CB30" s="906">
        <f>SUM(CB29)</f>
        <v>0</v>
      </c>
      <c r="CC30" s="906">
        <f>SUM(CC29)</f>
        <v>3295838980.7862144</v>
      </c>
      <c r="CD30" s="906">
        <f>SUM(CD29)</f>
        <v>0</v>
      </c>
      <c r="CE30" s="1119"/>
      <c r="CI30" s="906">
        <f>SUM(CI29)</f>
        <v>3295838980.7862144</v>
      </c>
      <c r="CJ30" s="906">
        <f>SUM(CJ29)</f>
        <v>0</v>
      </c>
      <c r="CK30" s="906">
        <f>SUM(CK29)</f>
        <v>3295838980.7862144</v>
      </c>
      <c r="CL30" s="906">
        <f>SUM(CL29)</f>
        <v>0</v>
      </c>
      <c r="CM30" s="1119"/>
      <c r="CQ30" s="906">
        <f>SUM(CQ29)</f>
        <v>3295838980.7862144</v>
      </c>
      <c r="CR30" s="906">
        <f>SUM(CR29)</f>
        <v>0</v>
      </c>
      <c r="CS30" s="906">
        <f>SUM(CS29)</f>
        <v>3295838980.7862144</v>
      </c>
      <c r="CT30" s="906">
        <f>SUM(CT29)</f>
        <v>0</v>
      </c>
      <c r="CU30" s="1119"/>
      <c r="CY30" s="906">
        <f>SUM(CY29)</f>
        <v>3295838980.7862144</v>
      </c>
      <c r="CZ30" s="906">
        <f>SUM(CZ29)</f>
        <v>0</v>
      </c>
      <c r="DA30" s="906">
        <f>SUM(DA29)</f>
        <v>3295838980.7862144</v>
      </c>
      <c r="DB30" s="906">
        <f>SUM(DB29)</f>
        <v>0</v>
      </c>
      <c r="DC30" s="1119"/>
      <c r="DG30" s="906">
        <f>SUM(DG29)</f>
        <v>3295838980.7862144</v>
      </c>
      <c r="DH30" s="906">
        <f>SUM(DH29)</f>
        <v>0</v>
      </c>
      <c r="DI30" s="906">
        <f>SUM(DI29)</f>
        <v>3295838980.7862144</v>
      </c>
      <c r="DJ30" s="906">
        <f>SUM(DJ29)</f>
        <v>0</v>
      </c>
      <c r="DK30" s="1119"/>
      <c r="DO30" s="906">
        <f>SUM(DO29)</f>
        <v>3295838980.7862144</v>
      </c>
      <c r="DP30" s="906">
        <f>SUM(DP29)</f>
        <v>0</v>
      </c>
      <c r="DQ30" s="906">
        <f>SUM(DQ29)</f>
        <v>3295838980.7862144</v>
      </c>
      <c r="DR30" s="906">
        <f>SUM(DR29)</f>
        <v>0</v>
      </c>
      <c r="DS30" s="1119"/>
      <c r="DW30" s="906">
        <f>SUM(DW29)</f>
        <v>3295838980.7862144</v>
      </c>
      <c r="DX30" s="906">
        <f>SUM(DX29)</f>
        <v>0</v>
      </c>
      <c r="DY30" s="906">
        <f>SUM(DY29)</f>
        <v>3295838980.7862144</v>
      </c>
      <c r="DZ30" s="906">
        <f>SUM(DZ29)</f>
        <v>0</v>
      </c>
      <c r="EA30" s="1119"/>
      <c r="EE30" s="906">
        <f>SUM(EE29)</f>
        <v>3295838980.7862144</v>
      </c>
      <c r="EF30" s="906">
        <f>SUM(EF29)</f>
        <v>0</v>
      </c>
      <c r="EG30" s="906">
        <f>SUM(EG29)</f>
        <v>3295838980.7862144</v>
      </c>
      <c r="EH30" s="906">
        <f>SUM(EH29)</f>
        <v>0</v>
      </c>
      <c r="EI30" s="1119"/>
      <c r="EM30" s="906">
        <f>SUM(EM29)</f>
        <v>3295838980.7862144</v>
      </c>
      <c r="EN30" s="906">
        <f>SUM(EN29)</f>
        <v>0</v>
      </c>
      <c r="EO30" s="906">
        <f>SUM(EO29)</f>
        <v>3295838980.7862144</v>
      </c>
      <c r="EP30" s="906">
        <f>SUM(EP29)</f>
        <v>0</v>
      </c>
      <c r="EQ30" s="1119"/>
      <c r="EU30" s="906">
        <f>SUM(EU29)</f>
        <v>3295838980.7862144</v>
      </c>
      <c r="EV30" s="906">
        <f>SUM(EV29)</f>
        <v>0</v>
      </c>
      <c r="EW30" s="906">
        <f>SUM(EW29)</f>
        <v>3295838980.7862144</v>
      </c>
      <c r="EX30" s="906">
        <f>SUM(EX29)</f>
        <v>0</v>
      </c>
      <c r="EY30" s="1119"/>
      <c r="FC30" s="906">
        <f>SUM(FC29)</f>
        <v>3295838980.7862144</v>
      </c>
      <c r="FD30" s="906">
        <f>SUM(FD29)</f>
        <v>0</v>
      </c>
      <c r="FE30" s="906">
        <f>SUM(FE29)</f>
        <v>3295838980.7862144</v>
      </c>
      <c r="FF30" s="906">
        <f>SUM(FF29)</f>
        <v>0</v>
      </c>
      <c r="FG30" s="1119"/>
      <c r="FK30" s="906">
        <f>SUM(FK29)</f>
        <v>3295838980.7862144</v>
      </c>
      <c r="FL30" s="906">
        <f>SUM(FL29)</f>
        <v>0</v>
      </c>
      <c r="FM30" s="906">
        <f>SUM(FM29)</f>
        <v>3295838980.7862144</v>
      </c>
      <c r="FN30" s="906">
        <f>SUM(FN29)</f>
        <v>0</v>
      </c>
      <c r="FO30" s="1119"/>
    </row>
    <row r="31" spans="1:171" x14ac:dyDescent="0.25">
      <c r="A31" s="1344"/>
      <c r="B31" s="64"/>
      <c r="C31" s="55"/>
      <c r="D31" s="55"/>
      <c r="E31" s="55"/>
      <c r="F31" s="55"/>
      <c r="G31" s="918"/>
      <c r="H31" s="918"/>
      <c r="I31" s="918"/>
      <c r="J31" s="1423"/>
      <c r="K31" s="904"/>
      <c r="S31" s="1119"/>
      <c r="AA31" s="1119"/>
      <c r="AI31" s="1119"/>
      <c r="AQ31" s="1119"/>
      <c r="AY31" s="1119"/>
      <c r="BG31" s="1119"/>
      <c r="BO31" s="1119"/>
      <c r="BW31" s="1119"/>
      <c r="CE31" s="1119"/>
      <c r="CM31" s="1119"/>
      <c r="CU31" s="1119"/>
      <c r="DC31" s="1119"/>
      <c r="DK31" s="1119"/>
      <c r="DS31" s="1119"/>
      <c r="EA31" s="1119"/>
      <c r="EI31" s="1119"/>
      <c r="EQ31" s="1119"/>
      <c r="EY31" s="1119"/>
      <c r="FG31" s="1119"/>
      <c r="FO31" s="1119"/>
    </row>
    <row r="32" spans="1:171" x14ac:dyDescent="0.25">
      <c r="A32" s="1341" t="s">
        <v>472</v>
      </c>
      <c r="B32" s="220"/>
      <c r="C32" s="55"/>
      <c r="D32" s="55"/>
      <c r="E32" s="64"/>
      <c r="F32" s="64"/>
      <c r="G32" s="911"/>
      <c r="H32" s="911"/>
      <c r="I32" s="911"/>
      <c r="J32" s="1424"/>
      <c r="K32" s="904"/>
      <c r="S32" s="1119"/>
      <c r="AA32" s="1119"/>
      <c r="AI32" s="1119"/>
      <c r="AQ32" s="1119"/>
      <c r="AY32" s="1119"/>
      <c r="BG32" s="1119"/>
      <c r="BO32" s="1119"/>
      <c r="BW32" s="1119"/>
      <c r="CE32" s="1119"/>
      <c r="CM32" s="1119"/>
      <c r="CU32" s="1119"/>
      <c r="DC32" s="1119"/>
      <c r="DK32" s="1119"/>
      <c r="DS32" s="1119"/>
      <c r="EA32" s="1119"/>
      <c r="EI32" s="1119"/>
      <c r="EQ32" s="1119"/>
      <c r="EY32" s="1119"/>
      <c r="FG32" s="1119"/>
      <c r="FO32" s="1119"/>
    </row>
    <row r="33" spans="1:171" x14ac:dyDescent="0.25">
      <c r="A33" s="1421"/>
      <c r="B33" s="914" t="s">
        <v>140</v>
      </c>
      <c r="C33" s="888" t="s">
        <v>70</v>
      </c>
      <c r="D33" s="889" t="s">
        <v>123</v>
      </c>
      <c r="E33" s="182" t="str">
        <f>'Sch 1- Rate Base '!E33</f>
        <v>DIST</v>
      </c>
      <c r="F33" s="890"/>
      <c r="G33" s="182">
        <f>'Sch 1- Rate Base '!G33</f>
        <v>3803344740.5943408</v>
      </c>
      <c r="H33" s="182">
        <f>'Sch 1- Rate Base '!H33</f>
        <v>0</v>
      </c>
      <c r="I33" s="182">
        <f>'Sch 1- Rate Base '!I33</f>
        <v>0</v>
      </c>
      <c r="J33" s="1422">
        <f>'Sch 1- Rate Base '!J33</f>
        <v>3803344740.5943408</v>
      </c>
      <c r="K33" s="904">
        <f>IF($E33="DIRECT",0,1)</f>
        <v>1</v>
      </c>
      <c r="O33" s="1117">
        <f>$G33</f>
        <v>3803344740.5943408</v>
      </c>
      <c r="P33" s="1118">
        <f>VLOOKUP($E33,O$442:R$453,2,FALSE)*O33*($K33)+IF($G33&gt;0,($H33/$G33)*O33,0)*(1-$K33)</f>
        <v>0</v>
      </c>
      <c r="Q33" s="1118">
        <f>VLOOKUP($E33,O$442:R$453,3,FALSE)*O33*($K33)+IF($G33&gt;0,($I33/$G33)*O33,0)*(1-$K33)</f>
        <v>0</v>
      </c>
      <c r="R33" s="1118">
        <f>VLOOKUP($E33,O$442:R$453,4,FALSE)*O33*($K33)+(O33-P33-Q33)*(1-$K33)</f>
        <v>3803344740.5943408</v>
      </c>
      <c r="S33" s="1119"/>
      <c r="W33" s="1117">
        <f>$G33</f>
        <v>3803344740.5943408</v>
      </c>
      <c r="X33" s="1118">
        <f>VLOOKUP($E33,W$442:Z$453,2,FALSE)*W33*($K33)+IF($G33&gt;0,($H33/$G33)*W33,0)*(1-$K33)</f>
        <v>0</v>
      </c>
      <c r="Y33" s="1118">
        <f>VLOOKUP($E33,W$442:Z$453,3,FALSE)*W33*($K33)+IF($G33&gt;0,($I33/$G33)*W33,0)*(1-$K33)</f>
        <v>0</v>
      </c>
      <c r="Z33" s="1118">
        <f>VLOOKUP($E33,W$442:Z$453,4,FALSE)*W33*($K33)+(W33-X33-Y33)*(1-$K33)</f>
        <v>3803344740.5943408</v>
      </c>
      <c r="AA33" s="1119"/>
      <c r="AE33" s="1117">
        <f>$G33</f>
        <v>3803344740.5943408</v>
      </c>
      <c r="AF33" s="1118">
        <f>VLOOKUP($E33,AE$442:AH$453,2,FALSE)*AE33*($K33)+IF($G33&gt;0,($H33/$G33)*AE33,0)*(1-$K33)</f>
        <v>0</v>
      </c>
      <c r="AG33" s="1118">
        <f>VLOOKUP($E33,AE$442:AH$453,3,FALSE)*AE33*($K33)+IF($G33&gt;0,($I33/$G33)*AE33,0)*(1-$K33)</f>
        <v>0</v>
      </c>
      <c r="AH33" s="1118">
        <f>VLOOKUP($E33,AE$442:AH$453,4,FALSE)*AE33*($K33)+(AE33-AF33-AG33)*(1-$K33)</f>
        <v>3803344740.5943408</v>
      </c>
      <c r="AI33" s="1119"/>
      <c r="AM33" s="1117">
        <f>$G33</f>
        <v>3803344740.5943408</v>
      </c>
      <c r="AN33" s="1118">
        <f>VLOOKUP($E33,AM$442:AP$453,2,FALSE)*AM33*($K33)+IF($G33&gt;0,($H33/$G33)*AM33,0)*(1-$K33)</f>
        <v>0</v>
      </c>
      <c r="AO33" s="1118">
        <f>VLOOKUP($E33,AM$442:AP$453,3,FALSE)*AM33*($K33)+IF($G33&gt;0,($I33/$G33)*AM33,0)*(1-$K33)</f>
        <v>0</v>
      </c>
      <c r="AP33" s="1118">
        <f>VLOOKUP($E33,AM$442:AP$453,4,FALSE)*AM33*($K33)+(AM33-AN33-AO33)*(1-$K33)</f>
        <v>3803344740.5943408</v>
      </c>
      <c r="AQ33" s="1119"/>
      <c r="AU33" s="1117">
        <f>$G33</f>
        <v>3803344740.5943408</v>
      </c>
      <c r="AV33" s="1118">
        <f>VLOOKUP($E33,AU$442:AX$453,2,FALSE)*AU33*($K33)+IF($G33&gt;0,($H33/$G33)*AU33,0)*(1-$K33)</f>
        <v>0</v>
      </c>
      <c r="AW33" s="1118">
        <f>VLOOKUP($E33,AU$442:AX$453,3,FALSE)*AU33*($K33)+IF($G33&gt;0,($I33/$G33)*AU33,0)*(1-$K33)</f>
        <v>0</v>
      </c>
      <c r="AX33" s="1118">
        <f>VLOOKUP($E33,AU$442:AX$453,4,FALSE)*AU33*($K33)+(AU33-AV33-AW33)*(1-$K33)</f>
        <v>3803344740.5943408</v>
      </c>
      <c r="AY33" s="1119"/>
      <c r="BC33" s="1117">
        <f>$G33</f>
        <v>3803344740.5943408</v>
      </c>
      <c r="BD33" s="1118">
        <f>VLOOKUP($E33,BC$442:BF$453,2,FALSE)*BC33*($K33)+IF($G33&gt;0,($H33/$G33)*BC33,0)*(1-$K33)</f>
        <v>0</v>
      </c>
      <c r="BE33" s="1118">
        <f>VLOOKUP($E33,BC$442:BF$453,3,FALSE)*BC33*($K33)+IF($G33&gt;0,($I33/$G33)*BC33,0)*(1-$K33)</f>
        <v>0</v>
      </c>
      <c r="BF33" s="1118">
        <f>VLOOKUP($E33,BC$442:BF$453,4,FALSE)*BC33*($K33)+(BC33-BD33-BE33)*(1-$K33)</f>
        <v>3803344740.5943408</v>
      </c>
      <c r="BG33" s="1119"/>
      <c r="BK33" s="1117">
        <f>$G33</f>
        <v>3803344740.5943408</v>
      </c>
      <c r="BL33" s="1118">
        <f>VLOOKUP($E33,BK$442:BN$453,2,FALSE)*BK33*($K33)+IF($G33&gt;0,($H33/$G33)*BK33,0)*(1-$K33)</f>
        <v>0</v>
      </c>
      <c r="BM33" s="1118">
        <f>VLOOKUP($E33,BK$442:BN$453,3,FALSE)*BK33*($K33)+IF($G33&gt;0,($I33/$G33)*BK33,0)*(1-$K33)</f>
        <v>0</v>
      </c>
      <c r="BN33" s="1118">
        <f>VLOOKUP($E33,BK$442:BN$453,4,FALSE)*BK33*($K33)+(BK33-BL33-BM33)*(1-$K33)</f>
        <v>3803344740.5943408</v>
      </c>
      <c r="BO33" s="1119"/>
      <c r="BS33" s="1117">
        <f>$G33</f>
        <v>3803344740.5943408</v>
      </c>
      <c r="BT33" s="1118">
        <f>VLOOKUP($E33,BS$442:BV$453,2,FALSE)*BS33*($K33)+IF($G33&gt;0,($H33/$G33)*BS33,0)*(1-$K33)</f>
        <v>0</v>
      </c>
      <c r="BU33" s="1118">
        <f>VLOOKUP($E33,BS$442:BV$453,3,FALSE)*BS33*($K33)+IF($G33&gt;0,($I33/$G33)*BS33,0)*(1-$K33)</f>
        <v>0</v>
      </c>
      <c r="BV33" s="1118">
        <f>VLOOKUP($E33,BS$442:BV$453,4,FALSE)*BS33*($K33)+(BS33-BT33-BU33)*(1-$K33)</f>
        <v>3803344740.5943408</v>
      </c>
      <c r="BW33" s="1119"/>
      <c r="CA33" s="1117">
        <f>$G33</f>
        <v>3803344740.5943408</v>
      </c>
      <c r="CB33" s="1118">
        <f>VLOOKUP($E33,CA$442:CD$453,2,FALSE)*CA33*($K33)+IF($G33&gt;0,($H33/$G33)*CA33,0)*(1-$K33)</f>
        <v>0</v>
      </c>
      <c r="CC33" s="1118">
        <f>VLOOKUP($E33,CA$442:CD$453,3,FALSE)*CA33*($K33)+IF($G33&gt;0,($I33/$G33)*CA33,0)*(1-$K33)</f>
        <v>0</v>
      </c>
      <c r="CD33" s="1118">
        <f>VLOOKUP($E33,CA$442:CD$453,4,FALSE)*CA33*($K33)+(CA33-CB33-CC33)*(1-$K33)</f>
        <v>3803344740.5943408</v>
      </c>
      <c r="CE33" s="1119"/>
      <c r="CI33" s="1117">
        <f>$G33</f>
        <v>3803344740.5943408</v>
      </c>
      <c r="CJ33" s="1118">
        <f>VLOOKUP($E33,CI$442:CL$453,2,FALSE)*CI33*($K33)+IF($G33&gt;0,($H33/$G33)*CI33,0)*(1-$K33)</f>
        <v>0</v>
      </c>
      <c r="CK33" s="1118">
        <f>VLOOKUP($E33,CI$442:CL$453,3,FALSE)*CI33*($K33)+IF($G33&gt;0,($I33/$G33)*CI33,0)*(1-$K33)</f>
        <v>0</v>
      </c>
      <c r="CL33" s="1118">
        <f>VLOOKUP($E33,CI$442:CL$453,4,FALSE)*CI33*($K33)+(CI33-CJ33-CK33)*(1-$K33)</f>
        <v>3803344740.5943408</v>
      </c>
      <c r="CM33" s="1119"/>
      <c r="CQ33" s="1117">
        <f>$G33</f>
        <v>3803344740.5943408</v>
      </c>
      <c r="CR33" s="1118">
        <f>VLOOKUP($E33,CQ$442:CT$453,2,FALSE)*CQ33*($K33)+IF($G33&gt;0,($H33/$G33)*CQ33,0)*(1-$K33)</f>
        <v>0</v>
      </c>
      <c r="CS33" s="1118">
        <f>VLOOKUP($E33,CQ$442:CT$453,3,FALSE)*CQ33*($K33)+IF($G33&gt;0,($I33/$G33)*CQ33,0)*(1-$K33)</f>
        <v>0</v>
      </c>
      <c r="CT33" s="1118">
        <f>VLOOKUP($E33,CQ$442:CT$453,4,FALSE)*CQ33*($K33)+(CQ33-CR33-CS33)*(1-$K33)</f>
        <v>3803344740.5943408</v>
      </c>
      <c r="CU33" s="1119"/>
      <c r="CY33" s="1117">
        <f>$G33</f>
        <v>3803344740.5943408</v>
      </c>
      <c r="CZ33" s="1118">
        <f>VLOOKUP($E33,CY$442:DB$453,2,FALSE)*CY33*($K33)+IF($G33&gt;0,($H33/$G33)*CY33,0)*(1-$K33)</f>
        <v>0</v>
      </c>
      <c r="DA33" s="1118">
        <f>VLOOKUP($E33,CY$442:DB$453,3,FALSE)*CY33*($K33)+IF($G33&gt;0,($I33/$G33)*CY33,0)*(1-$K33)</f>
        <v>0</v>
      </c>
      <c r="DB33" s="1118">
        <f>VLOOKUP($E33,CY$442:DB$453,4,FALSE)*CY33*($K33)+(CY33-CZ33-DA33)*(1-$K33)</f>
        <v>3803344740.5943408</v>
      </c>
      <c r="DC33" s="1119"/>
      <c r="DG33" s="1117">
        <f>$G33</f>
        <v>3803344740.5943408</v>
      </c>
      <c r="DH33" s="1118">
        <f>VLOOKUP($E33,DG$442:DJ$453,2,FALSE)*DG33*($K33)+IF($G33&gt;0,($H33/$G33)*DG33,0)*(1-$K33)</f>
        <v>0</v>
      </c>
      <c r="DI33" s="1118">
        <f>VLOOKUP($E33,DG$442:DJ$453,3,FALSE)*DG33*($K33)+IF($G33&gt;0,($I33/$G33)*DG33,0)*(1-$K33)</f>
        <v>0</v>
      </c>
      <c r="DJ33" s="1118">
        <f>VLOOKUP($E33,DG$442:DJ$453,4,FALSE)*DG33*($K33)+(DG33-DH33-DI33)*(1-$K33)</f>
        <v>3803344740.5943408</v>
      </c>
      <c r="DK33" s="1119"/>
      <c r="DO33" s="1117">
        <f>$G33</f>
        <v>3803344740.5943408</v>
      </c>
      <c r="DP33" s="1118">
        <f>VLOOKUP($E33,DO$442:DR$453,2,FALSE)*DO33*($K33)+IF($G33&gt;0,($H33/$G33)*DO33,0)*(1-$K33)</f>
        <v>0</v>
      </c>
      <c r="DQ33" s="1118">
        <f>VLOOKUP($E33,DO$442:DR$453,3,FALSE)*DO33*($K33)+IF($G33&gt;0,($I33/$G33)*DO33,0)*(1-$K33)</f>
        <v>0</v>
      </c>
      <c r="DR33" s="1118">
        <f>VLOOKUP($E33,DO$442:DR$453,4,FALSE)*DO33*($K33)+(DO33-DP33-DQ33)*(1-$K33)</f>
        <v>3803344740.5943408</v>
      </c>
      <c r="DS33" s="1119"/>
      <c r="DW33" s="1117">
        <f>$G33</f>
        <v>3803344740.5943408</v>
      </c>
      <c r="DX33" s="1118">
        <f>VLOOKUP($E33,DW$442:DZ$453,2,FALSE)*DW33*($K33)+IF($G33&gt;0,($H33/$G33)*DW33,0)*(1-$K33)</f>
        <v>0</v>
      </c>
      <c r="DY33" s="1118">
        <f>VLOOKUP($E33,DW$442:DZ$453,3,FALSE)*DW33*($K33)+IF($G33&gt;0,($I33/$G33)*DW33,0)*(1-$K33)</f>
        <v>0</v>
      </c>
      <c r="DZ33" s="1118">
        <f>VLOOKUP($E33,DW$442:DZ$453,4,FALSE)*DW33*($K33)+(DW33-DX33-DY33)*(1-$K33)</f>
        <v>3803344740.5943408</v>
      </c>
      <c r="EA33" s="1119"/>
      <c r="EE33" s="1117">
        <f>$G33</f>
        <v>3803344740.5943408</v>
      </c>
      <c r="EF33" s="1118">
        <f>VLOOKUP($E33,EE$442:EH$453,2,FALSE)*EE33*($K33)+IF($G33&gt;0,($H33/$G33)*EE33,0)*(1-$K33)</f>
        <v>0</v>
      </c>
      <c r="EG33" s="1118">
        <f>VLOOKUP($E33,EE$442:EH$453,3,FALSE)*EE33*($K33)+IF($G33&gt;0,($I33/$G33)*EE33,0)*(1-$K33)</f>
        <v>0</v>
      </c>
      <c r="EH33" s="1118">
        <f>VLOOKUP($E33,EE$442:EH$453,4,FALSE)*EE33*($K33)+(EE33-EF33-EG33)*(1-$K33)</f>
        <v>3803344740.5943408</v>
      </c>
      <c r="EI33" s="1119"/>
      <c r="EM33" s="1117">
        <f>$G33</f>
        <v>3803344740.5943408</v>
      </c>
      <c r="EN33" s="1118">
        <f>VLOOKUP($E33,EM$442:EP$453,2,FALSE)*EM33*($K33)+IF($G33&gt;0,($H33/$G33)*EM33,0)*(1-$K33)</f>
        <v>0</v>
      </c>
      <c r="EO33" s="1118">
        <f>VLOOKUP($E33,EM$442:EP$453,3,FALSE)*EM33*($K33)+IF($G33&gt;0,($I33/$G33)*EM33,0)*(1-$K33)</f>
        <v>0</v>
      </c>
      <c r="EP33" s="1118">
        <f>VLOOKUP($E33,EM$442:EP$453,4,FALSE)*EM33*($K33)+(EM33-EN33-EO33)*(1-$K33)</f>
        <v>3803344740.5943408</v>
      </c>
      <c r="EQ33" s="1119"/>
      <c r="EU33" s="1117">
        <f>$G33</f>
        <v>3803344740.5943408</v>
      </c>
      <c r="EV33" s="1118">
        <f>VLOOKUP($E33,EU$442:EX$453,2,FALSE)*EU33*($K33)+IF($G33&gt;0,($H33/$G33)*EU33,0)*(1-$K33)</f>
        <v>0</v>
      </c>
      <c r="EW33" s="1118">
        <f>VLOOKUP($E33,EU$442:EX$453,3,FALSE)*EU33*($K33)+IF($G33&gt;0,($I33/$G33)*EU33,0)*(1-$K33)</f>
        <v>0</v>
      </c>
      <c r="EX33" s="1118">
        <f>VLOOKUP($E33,EU$442:EX$453,4,FALSE)*EU33*($K33)+(EU33-EV33-EW33)*(1-$K33)</f>
        <v>3803344740.5943408</v>
      </c>
      <c r="EY33" s="1119"/>
      <c r="FC33" s="1117">
        <f>$G33</f>
        <v>3803344740.5943408</v>
      </c>
      <c r="FD33" s="1118">
        <f>VLOOKUP($E33,FC$442:FF$453,2,FALSE)*FC33*($K33)+IF($G33&gt;0,($H33/$G33)*FC33,0)*(1-$K33)</f>
        <v>0</v>
      </c>
      <c r="FE33" s="1118">
        <f>VLOOKUP($E33,FC$442:FF$453,3,FALSE)*FC33*($K33)+IF($G33&gt;0,($I33/$G33)*FC33,0)*(1-$K33)</f>
        <v>0</v>
      </c>
      <c r="FF33" s="1118">
        <f>VLOOKUP($E33,FC$442:FF$453,4,FALSE)*FC33*($K33)+(FC33-FD33-FE33)*(1-$K33)</f>
        <v>3803344740.5943408</v>
      </c>
      <c r="FG33" s="1119"/>
      <c r="FK33" s="1117">
        <f>$G33</f>
        <v>3803344740.5943408</v>
      </c>
      <c r="FL33" s="1118">
        <f>VLOOKUP($E33,FK$442:FN$453,2,FALSE)*FK33*($K33)+IF($G33&gt;0,($H33/$G33)*FK33,0)*(1-$K33)</f>
        <v>0</v>
      </c>
      <c r="FM33" s="1118">
        <f>VLOOKUP($E33,FK$442:FN$453,3,FALSE)*FK33*($K33)+IF($G33&gt;0,($I33/$G33)*FK33,0)*(1-$K33)</f>
        <v>0</v>
      </c>
      <c r="FN33" s="1118">
        <f>VLOOKUP($E33,FK$442:FN$453,4,FALSE)*FK33*($K33)+(FK33-FL33-FM33)*(1-$K33)</f>
        <v>3803344740.5943408</v>
      </c>
      <c r="FO33" s="1119"/>
    </row>
    <row r="34" spans="1:171" x14ac:dyDescent="0.25">
      <c r="A34" s="1350" t="s">
        <v>122</v>
      </c>
      <c r="B34" s="220"/>
      <c r="C34" s="915"/>
      <c r="D34" s="916"/>
      <c r="E34" s="916"/>
      <c r="F34" s="917"/>
      <c r="G34" s="906">
        <f>SUM(G33)</f>
        <v>3803344740.5943408</v>
      </c>
      <c r="H34" s="906">
        <f>SUM(H33)</f>
        <v>0</v>
      </c>
      <c r="I34" s="906">
        <f>SUM(I33)</f>
        <v>0</v>
      </c>
      <c r="J34" s="1415">
        <f>SUM(J33)</f>
        <v>3803344740.5943408</v>
      </c>
      <c r="K34" s="904"/>
      <c r="O34" s="906">
        <f>SUM(O33)</f>
        <v>3803344740.5943408</v>
      </c>
      <c r="P34" s="906">
        <f>SUM(P33)</f>
        <v>0</v>
      </c>
      <c r="Q34" s="906">
        <f>SUM(Q33)</f>
        <v>0</v>
      </c>
      <c r="R34" s="906">
        <f>SUM(R33)</f>
        <v>3803344740.5943408</v>
      </c>
      <c r="S34" s="1119"/>
      <c r="W34" s="906">
        <f>SUM(W33)</f>
        <v>3803344740.5943408</v>
      </c>
      <c r="X34" s="906">
        <f>SUM(X33)</f>
        <v>0</v>
      </c>
      <c r="Y34" s="906">
        <f>SUM(Y33)</f>
        <v>0</v>
      </c>
      <c r="Z34" s="906">
        <f>SUM(Z33)</f>
        <v>3803344740.5943408</v>
      </c>
      <c r="AA34" s="1119"/>
      <c r="AE34" s="906">
        <f>SUM(AE33)</f>
        <v>3803344740.5943408</v>
      </c>
      <c r="AF34" s="906">
        <f>SUM(AF33)</f>
        <v>0</v>
      </c>
      <c r="AG34" s="906">
        <f>SUM(AG33)</f>
        <v>0</v>
      </c>
      <c r="AH34" s="906">
        <f>SUM(AH33)</f>
        <v>3803344740.5943408</v>
      </c>
      <c r="AI34" s="1119"/>
      <c r="AM34" s="906">
        <f>SUM(AM33)</f>
        <v>3803344740.5943408</v>
      </c>
      <c r="AN34" s="906">
        <f>SUM(AN33)</f>
        <v>0</v>
      </c>
      <c r="AO34" s="906">
        <f>SUM(AO33)</f>
        <v>0</v>
      </c>
      <c r="AP34" s="906">
        <f>SUM(AP33)</f>
        <v>3803344740.5943408</v>
      </c>
      <c r="AQ34" s="1119"/>
      <c r="AU34" s="906">
        <f>SUM(AU33)</f>
        <v>3803344740.5943408</v>
      </c>
      <c r="AV34" s="906">
        <f>SUM(AV33)</f>
        <v>0</v>
      </c>
      <c r="AW34" s="906">
        <f>SUM(AW33)</f>
        <v>0</v>
      </c>
      <c r="AX34" s="906">
        <f>SUM(AX33)</f>
        <v>3803344740.5943408</v>
      </c>
      <c r="AY34" s="1119"/>
      <c r="BC34" s="906">
        <f>SUM(BC33)</f>
        <v>3803344740.5943408</v>
      </c>
      <c r="BD34" s="906">
        <f>SUM(BD33)</f>
        <v>0</v>
      </c>
      <c r="BE34" s="906">
        <f>SUM(BE33)</f>
        <v>0</v>
      </c>
      <c r="BF34" s="906">
        <f>SUM(BF33)</f>
        <v>3803344740.5943408</v>
      </c>
      <c r="BG34" s="1119"/>
      <c r="BK34" s="906">
        <f>SUM(BK33)</f>
        <v>3803344740.5943408</v>
      </c>
      <c r="BL34" s="906">
        <f>SUM(BL33)</f>
        <v>0</v>
      </c>
      <c r="BM34" s="906">
        <f>SUM(BM33)</f>
        <v>0</v>
      </c>
      <c r="BN34" s="906">
        <f>SUM(BN33)</f>
        <v>3803344740.5943408</v>
      </c>
      <c r="BO34" s="1119"/>
      <c r="BS34" s="906">
        <f>SUM(BS33)</f>
        <v>3803344740.5943408</v>
      </c>
      <c r="BT34" s="906">
        <f>SUM(BT33)</f>
        <v>0</v>
      </c>
      <c r="BU34" s="906">
        <f>SUM(BU33)</f>
        <v>0</v>
      </c>
      <c r="BV34" s="906">
        <f>SUM(BV33)</f>
        <v>3803344740.5943408</v>
      </c>
      <c r="BW34" s="1119"/>
      <c r="CA34" s="906">
        <f>SUM(CA33)</f>
        <v>3803344740.5943408</v>
      </c>
      <c r="CB34" s="906">
        <f>SUM(CB33)</f>
        <v>0</v>
      </c>
      <c r="CC34" s="906">
        <f>SUM(CC33)</f>
        <v>0</v>
      </c>
      <c r="CD34" s="906">
        <f>SUM(CD33)</f>
        <v>3803344740.5943408</v>
      </c>
      <c r="CE34" s="1119"/>
      <c r="CI34" s="906">
        <f>SUM(CI33)</f>
        <v>3803344740.5943408</v>
      </c>
      <c r="CJ34" s="906">
        <f>SUM(CJ33)</f>
        <v>0</v>
      </c>
      <c r="CK34" s="906">
        <f>SUM(CK33)</f>
        <v>0</v>
      </c>
      <c r="CL34" s="906">
        <f>SUM(CL33)</f>
        <v>3803344740.5943408</v>
      </c>
      <c r="CM34" s="1119"/>
      <c r="CQ34" s="906">
        <f>SUM(CQ33)</f>
        <v>3803344740.5943408</v>
      </c>
      <c r="CR34" s="906">
        <f>SUM(CR33)</f>
        <v>0</v>
      </c>
      <c r="CS34" s="906">
        <f>SUM(CS33)</f>
        <v>0</v>
      </c>
      <c r="CT34" s="906">
        <f>SUM(CT33)</f>
        <v>3803344740.5943408</v>
      </c>
      <c r="CU34" s="1119"/>
      <c r="CY34" s="906">
        <f>SUM(CY33)</f>
        <v>3803344740.5943408</v>
      </c>
      <c r="CZ34" s="906">
        <f>SUM(CZ33)</f>
        <v>0</v>
      </c>
      <c r="DA34" s="906">
        <f>SUM(DA33)</f>
        <v>0</v>
      </c>
      <c r="DB34" s="906">
        <f>SUM(DB33)</f>
        <v>3803344740.5943408</v>
      </c>
      <c r="DC34" s="1119"/>
      <c r="DG34" s="906">
        <f>SUM(DG33)</f>
        <v>3803344740.5943408</v>
      </c>
      <c r="DH34" s="906">
        <f>SUM(DH33)</f>
        <v>0</v>
      </c>
      <c r="DI34" s="906">
        <f>SUM(DI33)</f>
        <v>0</v>
      </c>
      <c r="DJ34" s="906">
        <f>SUM(DJ33)</f>
        <v>3803344740.5943408</v>
      </c>
      <c r="DK34" s="1119"/>
      <c r="DO34" s="906">
        <f>SUM(DO33)</f>
        <v>3803344740.5943408</v>
      </c>
      <c r="DP34" s="906">
        <f>SUM(DP33)</f>
        <v>0</v>
      </c>
      <c r="DQ34" s="906">
        <f>SUM(DQ33)</f>
        <v>0</v>
      </c>
      <c r="DR34" s="906">
        <f>SUM(DR33)</f>
        <v>3803344740.5943408</v>
      </c>
      <c r="DS34" s="1119"/>
      <c r="DW34" s="906">
        <f>SUM(DW33)</f>
        <v>3803344740.5943408</v>
      </c>
      <c r="DX34" s="906">
        <f>SUM(DX33)</f>
        <v>0</v>
      </c>
      <c r="DY34" s="906">
        <f>SUM(DY33)</f>
        <v>0</v>
      </c>
      <c r="DZ34" s="906">
        <f>SUM(DZ33)</f>
        <v>3803344740.5943408</v>
      </c>
      <c r="EA34" s="1119"/>
      <c r="EE34" s="906">
        <f>SUM(EE33)</f>
        <v>3803344740.5943408</v>
      </c>
      <c r="EF34" s="906">
        <f>SUM(EF33)</f>
        <v>0</v>
      </c>
      <c r="EG34" s="906">
        <f>SUM(EG33)</f>
        <v>0</v>
      </c>
      <c r="EH34" s="906">
        <f>SUM(EH33)</f>
        <v>3803344740.5943408</v>
      </c>
      <c r="EI34" s="1119"/>
      <c r="EM34" s="906">
        <f>SUM(EM33)</f>
        <v>3803344740.5943408</v>
      </c>
      <c r="EN34" s="906">
        <f>SUM(EN33)</f>
        <v>0</v>
      </c>
      <c r="EO34" s="906">
        <f>SUM(EO33)</f>
        <v>0</v>
      </c>
      <c r="EP34" s="906">
        <f>SUM(EP33)</f>
        <v>3803344740.5943408</v>
      </c>
      <c r="EQ34" s="1119"/>
      <c r="EU34" s="906">
        <f>SUM(EU33)</f>
        <v>3803344740.5943408</v>
      </c>
      <c r="EV34" s="906">
        <f>SUM(EV33)</f>
        <v>0</v>
      </c>
      <c r="EW34" s="906">
        <f>SUM(EW33)</f>
        <v>0</v>
      </c>
      <c r="EX34" s="906">
        <f>SUM(EX33)</f>
        <v>3803344740.5943408</v>
      </c>
      <c r="EY34" s="1119"/>
      <c r="FC34" s="906">
        <f>SUM(FC33)</f>
        <v>3803344740.5943408</v>
      </c>
      <c r="FD34" s="906">
        <f>SUM(FD33)</f>
        <v>0</v>
      </c>
      <c r="FE34" s="906">
        <f>SUM(FE33)</f>
        <v>0</v>
      </c>
      <c r="FF34" s="906">
        <f>SUM(FF33)</f>
        <v>3803344740.5943408</v>
      </c>
      <c r="FG34" s="1119"/>
      <c r="FK34" s="906">
        <f>SUM(FK33)</f>
        <v>3803344740.5943408</v>
      </c>
      <c r="FL34" s="906">
        <f>SUM(FL33)</f>
        <v>0</v>
      </c>
      <c r="FM34" s="906">
        <f>SUM(FM33)</f>
        <v>0</v>
      </c>
      <c r="FN34" s="906">
        <f>SUM(FN33)</f>
        <v>3803344740.5943408</v>
      </c>
      <c r="FO34" s="1119"/>
    </row>
    <row r="35" spans="1:171" x14ac:dyDescent="0.25">
      <c r="A35" s="1350"/>
      <c r="B35" s="220"/>
      <c r="C35" s="55"/>
      <c r="D35" s="55"/>
      <c r="E35" s="55"/>
      <c r="F35" s="55"/>
      <c r="G35" s="920"/>
      <c r="H35" s="920"/>
      <c r="I35" s="920"/>
      <c r="J35" s="1425"/>
      <c r="K35" s="904"/>
      <c r="S35" s="1119"/>
      <c r="AA35" s="1119"/>
      <c r="AI35" s="1119"/>
      <c r="AQ35" s="1119"/>
      <c r="AY35" s="1119"/>
      <c r="BG35" s="1119"/>
      <c r="BO35" s="1119"/>
      <c r="BW35" s="1119"/>
      <c r="CE35" s="1119"/>
      <c r="CM35" s="1119"/>
      <c r="CU35" s="1119"/>
      <c r="DC35" s="1119"/>
      <c r="DK35" s="1119"/>
      <c r="DS35" s="1119"/>
      <c r="EA35" s="1119"/>
      <c r="EI35" s="1119"/>
      <c r="EQ35" s="1119"/>
      <c r="EY35" s="1119"/>
      <c r="FG35" s="1119"/>
      <c r="FO35" s="1119"/>
    </row>
    <row r="36" spans="1:171" x14ac:dyDescent="0.25">
      <c r="A36" s="1341" t="s">
        <v>124</v>
      </c>
      <c r="B36" s="64"/>
      <c r="C36" s="55"/>
      <c r="D36" s="196"/>
      <c r="E36" s="196"/>
      <c r="F36" s="196"/>
      <c r="G36" s="221"/>
      <c r="H36" s="221"/>
      <c r="I36" s="221"/>
      <c r="J36" s="1426"/>
      <c r="K36" s="904"/>
      <c r="S36" s="1119"/>
      <c r="AA36" s="1119"/>
      <c r="AI36" s="1119"/>
      <c r="AQ36" s="1119"/>
      <c r="AY36" s="1119"/>
      <c r="BG36" s="1119"/>
      <c r="BO36" s="1119"/>
      <c r="BW36" s="1119"/>
      <c r="CE36" s="1119"/>
      <c r="CM36" s="1119"/>
      <c r="CU36" s="1119"/>
      <c r="DC36" s="1119"/>
      <c r="DK36" s="1119"/>
      <c r="DS36" s="1119"/>
      <c r="EA36" s="1119"/>
      <c r="EI36" s="1119"/>
      <c r="EQ36" s="1119"/>
      <c r="EY36" s="1119"/>
      <c r="FG36" s="1119"/>
      <c r="FO36" s="1119"/>
    </row>
    <row r="37" spans="1:171" x14ac:dyDescent="0.25">
      <c r="A37" s="1421"/>
      <c r="B37" s="10" t="s">
        <v>125</v>
      </c>
      <c r="C37" s="888" t="s">
        <v>70</v>
      </c>
      <c r="D37" s="889">
        <v>389</v>
      </c>
      <c r="E37" s="182" t="str">
        <f>'Sch 1- Rate Base '!E37</f>
        <v>PTD</v>
      </c>
      <c r="F37" s="890"/>
      <c r="G37" s="182">
        <f>'Sch 1- Rate Base '!G37</f>
        <v>10980784.643303178</v>
      </c>
      <c r="H37" s="182">
        <f>'Sch 1- Rate Base '!H37</f>
        <v>4833699.0558356559</v>
      </c>
      <c r="I37" s="182">
        <f>'Sch 1- Rate Base '!I37</f>
        <v>0</v>
      </c>
      <c r="J37" s="1422">
        <f>'Sch 1- Rate Base '!J37</f>
        <v>6147085.5874675214</v>
      </c>
      <c r="K37" s="904">
        <f t="shared" ref="K37:K48" si="0">IF($E37="DIRECT",0,1)</f>
        <v>1</v>
      </c>
      <c r="L37" s="1124">
        <f t="shared" ref="L37:L48" si="1">$G37/($G$26+$G$30+$G$34)</f>
        <v>8.6588625238059305E-4</v>
      </c>
      <c r="O37" s="1117">
        <f>(O$26+O$30+O$34)*$L37</f>
        <v>10980784.643303178</v>
      </c>
      <c r="P37" s="1118">
        <f>VLOOKUP($E37,O$442:R$453,2,FALSE)*O37*($K37)+IF($G37&gt;0,($H37/$G37)*O37,0)*(1-$K37)</f>
        <v>4833699.0558356559</v>
      </c>
      <c r="Q37" s="1118">
        <f>VLOOKUP($E37,O$442:R$453,3,FALSE)*O37*($K37)+IF($G37&gt;0,($I37/$G37)*O37,0)*(1-$K37)</f>
        <v>2853821.6635228484</v>
      </c>
      <c r="R37" s="1118">
        <f>VLOOKUP($E37,O$442:R$453,4,FALSE)*O37*($K37)+(O37-P37-Q37)*(1-$K37)</f>
        <v>3293263.9239446726</v>
      </c>
      <c r="S37" s="1119"/>
      <c r="W37" s="1117">
        <f>(W$26+W$30+W$34)*$L37</f>
        <v>10980784.643303178</v>
      </c>
      <c r="X37" s="1118">
        <f>VLOOKUP($E37,W$442:Z$453,2,FALSE)*W37*($K37)+IF($G37&gt;0,($H37/$G37)*W37,0)*(1-$K37)</f>
        <v>4833699.0558356559</v>
      </c>
      <c r="Y37" s="1118">
        <f>VLOOKUP($E37,W$442:Z$453,3,FALSE)*W37*($K37)+IF($G37&gt;0,($I37/$G37)*W37,0)*(1-$K37)</f>
        <v>2853821.6635228484</v>
      </c>
      <c r="Z37" s="1118">
        <f>VLOOKUP($E37,W$442:Z$453,4,FALSE)*W37*($K37)+(W37-X37-Y37)*(1-$K37)</f>
        <v>3293263.9239446726</v>
      </c>
      <c r="AA37" s="1119"/>
      <c r="AE37" s="1117">
        <f>(AE$26+AE$30+AE$34)*$L37</f>
        <v>10980784.643303178</v>
      </c>
      <c r="AF37" s="1118">
        <f>VLOOKUP($E37,AE$442:AH$453,2,FALSE)*AE37*($K37)+IF($G37&gt;0,($H37/$G37)*AE37,0)*(1-$K37)</f>
        <v>4833699.0558356559</v>
      </c>
      <c r="AG37" s="1118">
        <f>VLOOKUP($E37,AE$442:AH$453,3,FALSE)*AE37*($K37)+IF($G37&gt;0,($I37/$G37)*AE37,0)*(1-$K37)</f>
        <v>2853821.6635228484</v>
      </c>
      <c r="AH37" s="1118">
        <f>VLOOKUP($E37,AE$442:AH$453,4,FALSE)*AE37*($K37)+(AE37-AF37-AG37)*(1-$K37)</f>
        <v>3293263.9239446726</v>
      </c>
      <c r="AI37" s="1119"/>
      <c r="AM37" s="1117">
        <f>(AM$26+AM$30+AM$34)*$L37</f>
        <v>10980784.643303178</v>
      </c>
      <c r="AN37" s="1118">
        <f>VLOOKUP($E37,AM$442:AP$453,2,FALSE)*AM37*($K37)+IF($G37&gt;0,($H37/$G37)*AM37,0)*(1-$K37)</f>
        <v>4833699.0558356559</v>
      </c>
      <c r="AO37" s="1118">
        <f>VLOOKUP($E37,AM$442:AP$453,3,FALSE)*AM37*($K37)+IF($G37&gt;0,($I37/$G37)*AM37,0)*(1-$K37)</f>
        <v>2853821.6635228484</v>
      </c>
      <c r="AP37" s="1118">
        <f>VLOOKUP($E37,AM$442:AP$453,4,FALSE)*AM37*($K37)+(AM37-AN37-AO37)*(1-$K37)</f>
        <v>3293263.9239446726</v>
      </c>
      <c r="AQ37" s="1119"/>
      <c r="AU37" s="1117">
        <f>(AU$26+AU$30+AU$34)*$L37</f>
        <v>10980784.643303178</v>
      </c>
      <c r="AV37" s="1118">
        <f>VLOOKUP($E37,AU$442:AX$453,2,FALSE)*AU37*($K37)+IF($G37&gt;0,($H37/$G37)*AU37,0)*(1-$K37)</f>
        <v>4833699.0558356559</v>
      </c>
      <c r="AW37" s="1118">
        <f>VLOOKUP($E37,AU$442:AX$453,3,FALSE)*AU37*($K37)+IF($G37&gt;0,($I37/$G37)*AU37,0)*(1-$K37)</f>
        <v>2853821.6635228484</v>
      </c>
      <c r="AX37" s="1118">
        <f>VLOOKUP($E37,AU$442:AX$453,4,FALSE)*AU37*($K37)+(AU37-AV37-AW37)*(1-$K37)</f>
        <v>3293263.9239446726</v>
      </c>
      <c r="AY37" s="1119"/>
      <c r="BC37" s="1117">
        <f>(BC$26+BC$30+BC$34)*$L37</f>
        <v>10980784.643303178</v>
      </c>
      <c r="BD37" s="1118">
        <f>VLOOKUP($E37,BC$442:BF$453,2,FALSE)*BC37*($K37)+IF($G37&gt;0,($H37/$G37)*BC37,0)*(1-$K37)</f>
        <v>4833699.0558356559</v>
      </c>
      <c r="BE37" s="1118">
        <f>VLOOKUP($E37,BC$442:BF$453,3,FALSE)*BC37*($K37)+IF($G37&gt;0,($I37/$G37)*BC37,0)*(1-$K37)</f>
        <v>2853821.6635228484</v>
      </c>
      <c r="BF37" s="1118">
        <f>VLOOKUP($E37,BC$442:BF$453,4,FALSE)*BC37*($K37)+(BC37-BD37-BE37)*(1-$K37)</f>
        <v>3293263.9239446726</v>
      </c>
      <c r="BG37" s="1119"/>
      <c r="BK37" s="1117">
        <f>(BK$26+BK$30+BK$34)*$L37</f>
        <v>10980784.643303178</v>
      </c>
      <c r="BL37" s="1118">
        <f>VLOOKUP($E37,BK$442:BN$453,2,FALSE)*BK37*($K37)+IF($G37&gt;0,($H37/$G37)*BK37,0)*(1-$K37)</f>
        <v>4833699.0558356559</v>
      </c>
      <c r="BM37" s="1118">
        <f>VLOOKUP($E37,BK$442:BN$453,3,FALSE)*BK37*($K37)+IF($G37&gt;0,($I37/$G37)*BK37,0)*(1-$K37)</f>
        <v>2853821.6635228484</v>
      </c>
      <c r="BN37" s="1118">
        <f>VLOOKUP($E37,BK$442:BN$453,4,FALSE)*BK37*($K37)+(BK37-BL37-BM37)*(1-$K37)</f>
        <v>3293263.9239446726</v>
      </c>
      <c r="BO37" s="1119"/>
      <c r="BS37" s="1117">
        <f>(BS$26+BS$30+BS$34)*$L37</f>
        <v>10980784.643303178</v>
      </c>
      <c r="BT37" s="1118">
        <f>VLOOKUP($E37,BS$442:BV$453,2,FALSE)*BS37*($K37)+IF($G37&gt;0,($H37/$G37)*BS37,0)*(1-$K37)</f>
        <v>4833699.0558356559</v>
      </c>
      <c r="BU37" s="1118">
        <f>VLOOKUP($E37,BS$442:BV$453,3,FALSE)*BS37*($K37)+IF($G37&gt;0,($I37/$G37)*BS37,0)*(1-$K37)</f>
        <v>2853821.6635228484</v>
      </c>
      <c r="BV37" s="1118">
        <f>VLOOKUP($E37,BS$442:BV$453,4,FALSE)*BS37*($K37)+(BS37-BT37-BU37)*(1-$K37)</f>
        <v>3293263.9239446726</v>
      </c>
      <c r="BW37" s="1119"/>
      <c r="CA37" s="1117">
        <f>(CA$26+CA$30+CA$34)*$L37</f>
        <v>10980784.643303178</v>
      </c>
      <c r="CB37" s="1118">
        <f>VLOOKUP($E37,CA$442:CD$453,2,FALSE)*CA37*($K37)+IF($G37&gt;0,($H37/$G37)*CA37,0)*(1-$K37)</f>
        <v>4833699.0558356559</v>
      </c>
      <c r="CC37" s="1118">
        <f>VLOOKUP($E37,CA$442:CD$453,3,FALSE)*CA37*($K37)+IF($G37&gt;0,($I37/$G37)*CA37,0)*(1-$K37)</f>
        <v>2853821.6635228484</v>
      </c>
      <c r="CD37" s="1118">
        <f>VLOOKUP($E37,CA$442:CD$453,4,FALSE)*CA37*($K37)+(CA37-CB37-CC37)*(1-$K37)</f>
        <v>3293263.9239446726</v>
      </c>
      <c r="CE37" s="1119"/>
      <c r="CI37" s="1117">
        <f>(CI$26+CI$30+CI$34)*$L37</f>
        <v>10980784.643303178</v>
      </c>
      <c r="CJ37" s="1118">
        <f>VLOOKUP($E37,CI$442:CL$453,2,FALSE)*CI37*($K37)+IF($G37&gt;0,($H37/$G37)*CI37,0)*(1-$K37)</f>
        <v>4833699.0558356559</v>
      </c>
      <c r="CK37" s="1118">
        <f>VLOOKUP($E37,CI$442:CL$453,3,FALSE)*CI37*($K37)+IF($G37&gt;0,($I37/$G37)*CI37,0)*(1-$K37)</f>
        <v>2853821.6635228484</v>
      </c>
      <c r="CL37" s="1118">
        <f>VLOOKUP($E37,CI$442:CL$453,4,FALSE)*CI37*($K37)+(CI37-CJ37-CK37)*(1-$K37)</f>
        <v>3293263.9239446726</v>
      </c>
      <c r="CM37" s="1119"/>
      <c r="CQ37" s="1117">
        <f>(CQ$26+CQ$30+CQ$34)*$L37</f>
        <v>10980784.643303178</v>
      </c>
      <c r="CR37" s="1118">
        <f>VLOOKUP($E37,CQ$442:CT$453,2,FALSE)*CQ37*($K37)+IF($G37&gt;0,($H37/$G37)*CQ37,0)*(1-$K37)</f>
        <v>4833699.0558356559</v>
      </c>
      <c r="CS37" s="1118">
        <f>VLOOKUP($E37,CQ$442:CT$453,3,FALSE)*CQ37*($K37)+IF($G37&gt;0,($I37/$G37)*CQ37,0)*(1-$K37)</f>
        <v>2853821.6635228484</v>
      </c>
      <c r="CT37" s="1118">
        <f>VLOOKUP($E37,CQ$442:CT$453,4,FALSE)*CQ37*($K37)+(CQ37-CR37-CS37)*(1-$K37)</f>
        <v>3293263.9239446726</v>
      </c>
      <c r="CU37" s="1119"/>
      <c r="CY37" s="1117">
        <f>(CY$26+CY$30+CY$34)*$L37</f>
        <v>10980784.643303178</v>
      </c>
      <c r="CZ37" s="1118">
        <f>VLOOKUP($E37,CY$442:DB$453,2,FALSE)*CY37*($K37)+IF($G37&gt;0,($H37/$G37)*CY37,0)*(1-$K37)</f>
        <v>4833699.0558356559</v>
      </c>
      <c r="DA37" s="1118">
        <f>VLOOKUP($E37,CY$442:DB$453,3,FALSE)*CY37*($K37)+IF($G37&gt;0,($I37/$G37)*CY37,0)*(1-$K37)</f>
        <v>2853821.6635228484</v>
      </c>
      <c r="DB37" s="1118">
        <f>VLOOKUP($E37,CY$442:DB$453,4,FALSE)*CY37*($K37)+(CY37-CZ37-DA37)*(1-$K37)</f>
        <v>3293263.9239446726</v>
      </c>
      <c r="DC37" s="1119"/>
      <c r="DG37" s="1117">
        <f>(DG$26+DG$30+DG$34)*$L37</f>
        <v>10980784.643303178</v>
      </c>
      <c r="DH37" s="1118">
        <f>VLOOKUP($E37,DG$442:DJ$453,2,FALSE)*DG37*($K37)+IF($G37&gt;0,($H37/$G37)*DG37,0)*(1-$K37)</f>
        <v>4833699.0558356559</v>
      </c>
      <c r="DI37" s="1118">
        <f>VLOOKUP($E37,DG$442:DJ$453,3,FALSE)*DG37*($K37)+IF($G37&gt;0,($I37/$G37)*DG37,0)*(1-$K37)</f>
        <v>2853821.6635228484</v>
      </c>
      <c r="DJ37" s="1118">
        <f>VLOOKUP($E37,DG$442:DJ$453,4,FALSE)*DG37*($K37)+(DG37-DH37-DI37)*(1-$K37)</f>
        <v>3293263.9239446726</v>
      </c>
      <c r="DK37" s="1119"/>
      <c r="DO37" s="1117">
        <f>(DO$26+DO$30+DO$34)*$L37</f>
        <v>10980784.643303178</v>
      </c>
      <c r="DP37" s="1118">
        <f>VLOOKUP($E37,DO$442:DR$453,2,FALSE)*DO37*($K37)+IF($G37&gt;0,($H37/$G37)*DO37,0)*(1-$K37)</f>
        <v>4833699.0558356559</v>
      </c>
      <c r="DQ37" s="1118">
        <f>VLOOKUP($E37,DO$442:DR$453,3,FALSE)*DO37*($K37)+IF($G37&gt;0,($I37/$G37)*DO37,0)*(1-$K37)</f>
        <v>2853821.6635228484</v>
      </c>
      <c r="DR37" s="1118">
        <f>VLOOKUP($E37,DO$442:DR$453,4,FALSE)*DO37*($K37)+(DO37-DP37-DQ37)*(1-$K37)</f>
        <v>3293263.9239446726</v>
      </c>
      <c r="DS37" s="1119"/>
      <c r="DW37" s="1117">
        <f>(DW$26+DW$30+DW$34)*$L37</f>
        <v>10980784.643303178</v>
      </c>
      <c r="DX37" s="1118">
        <f>VLOOKUP($E37,DW$442:DZ$453,2,FALSE)*DW37*($K37)+IF($G37&gt;0,($H37/$G37)*DW37,0)*(1-$K37)</f>
        <v>4833699.0558356559</v>
      </c>
      <c r="DY37" s="1118">
        <f>VLOOKUP($E37,DW$442:DZ$453,3,FALSE)*DW37*($K37)+IF($G37&gt;0,($I37/$G37)*DW37,0)*(1-$K37)</f>
        <v>2853821.6635228484</v>
      </c>
      <c r="DZ37" s="1118">
        <f>VLOOKUP($E37,DW$442:DZ$453,4,FALSE)*DW37*($K37)+(DW37-DX37-DY37)*(1-$K37)</f>
        <v>3293263.9239446726</v>
      </c>
      <c r="EA37" s="1119"/>
      <c r="EE37" s="1117">
        <f>(EE$26+EE$30+EE$34)*$L37</f>
        <v>10980784.643303178</v>
      </c>
      <c r="EF37" s="1118">
        <f>VLOOKUP($E37,EE$442:EH$453,2,FALSE)*EE37*($K37)+IF($G37&gt;0,($H37/$G37)*EE37,0)*(1-$K37)</f>
        <v>4833699.0558356559</v>
      </c>
      <c r="EG37" s="1118">
        <f>VLOOKUP($E37,EE$442:EH$453,3,FALSE)*EE37*($K37)+IF($G37&gt;0,($I37/$G37)*EE37,0)*(1-$K37)</f>
        <v>2853821.6635228484</v>
      </c>
      <c r="EH37" s="1118">
        <f>VLOOKUP($E37,EE$442:EH$453,4,FALSE)*EE37*($K37)+(EE37-EF37-EG37)*(1-$K37)</f>
        <v>3293263.9239446726</v>
      </c>
      <c r="EI37" s="1119"/>
      <c r="EM37" s="1117">
        <f>(EM$26+EM$30+EM$34)*$L37</f>
        <v>10980784.643303178</v>
      </c>
      <c r="EN37" s="1118">
        <f>VLOOKUP($E37,EM$442:EP$453,2,FALSE)*EM37*($K37)+IF($G37&gt;0,($H37/$G37)*EM37,0)*(1-$K37)</f>
        <v>4833699.0558356559</v>
      </c>
      <c r="EO37" s="1118">
        <f>VLOOKUP($E37,EM$442:EP$453,3,FALSE)*EM37*($K37)+IF($G37&gt;0,($I37/$G37)*EM37,0)*(1-$K37)</f>
        <v>2853821.6635228484</v>
      </c>
      <c r="EP37" s="1118">
        <f>VLOOKUP($E37,EM$442:EP$453,4,FALSE)*EM37*($K37)+(EM37-EN37-EO37)*(1-$K37)</f>
        <v>3293263.9239446726</v>
      </c>
      <c r="EQ37" s="1119"/>
      <c r="EU37" s="1117">
        <f>(EU$26+EU$30+EU$34)*$L37</f>
        <v>10980784.643303178</v>
      </c>
      <c r="EV37" s="1118">
        <f>VLOOKUP($E37,EU$442:EX$453,2,FALSE)*EU37*($K37)+IF($G37&gt;0,($H37/$G37)*EU37,0)*(1-$K37)</f>
        <v>4833699.0558356559</v>
      </c>
      <c r="EW37" s="1118">
        <f>VLOOKUP($E37,EU$442:EX$453,3,FALSE)*EU37*($K37)+IF($G37&gt;0,($I37/$G37)*EU37,0)*(1-$K37)</f>
        <v>2853821.6635228484</v>
      </c>
      <c r="EX37" s="1118">
        <f>VLOOKUP($E37,EU$442:EX$453,4,FALSE)*EU37*($K37)+(EU37-EV37-EW37)*(1-$K37)</f>
        <v>3293263.9239446726</v>
      </c>
      <c r="EY37" s="1119"/>
      <c r="FC37" s="1117">
        <f>(FC$26+FC$30+FC$34)*$L37</f>
        <v>10980784.643303178</v>
      </c>
      <c r="FD37" s="1118">
        <f>VLOOKUP($E37,FC$442:FF$453,2,FALSE)*FC37*($K37)+IF($G37&gt;0,($H37/$G37)*FC37,0)*(1-$K37)</f>
        <v>4833699.0558356559</v>
      </c>
      <c r="FE37" s="1118">
        <f>VLOOKUP($E37,FC$442:FF$453,3,FALSE)*FC37*($K37)+IF($G37&gt;0,($I37/$G37)*FC37,0)*(1-$K37)</f>
        <v>2853821.6635228484</v>
      </c>
      <c r="FF37" s="1118">
        <f>VLOOKUP($E37,FC$442:FF$453,4,FALSE)*FC37*($K37)+(FC37-FD37-FE37)*(1-$K37)</f>
        <v>3293263.9239446726</v>
      </c>
      <c r="FG37" s="1119"/>
      <c r="FK37" s="1117">
        <f>(FK$26+FK$30+FK$34)*$L37</f>
        <v>10980784.643303178</v>
      </c>
      <c r="FL37" s="1118">
        <f>VLOOKUP($E37,FK$442:FN$453,2,FALSE)*FK37*($K37)+IF($G37&gt;0,($H37/$G37)*FK37,0)*(1-$K37)</f>
        <v>4833699.0558356559</v>
      </c>
      <c r="FM37" s="1118">
        <f>VLOOKUP($E37,FK$442:FN$453,3,FALSE)*FK37*($K37)+IF($G37&gt;0,($I37/$G37)*FK37,0)*(1-$K37)</f>
        <v>2853821.6635228484</v>
      </c>
      <c r="FN37" s="1118">
        <f>VLOOKUP($E37,FK$442:FN$453,4,FALSE)*FK37*($K37)+(FK37-FL37-FM37)*(1-$K37)</f>
        <v>3293263.9239446726</v>
      </c>
      <c r="FO37" s="1119"/>
    </row>
    <row r="38" spans="1:171" x14ac:dyDescent="0.25">
      <c r="A38" s="1421"/>
      <c r="B38" s="10" t="s">
        <v>126</v>
      </c>
      <c r="C38" s="888" t="s">
        <v>70</v>
      </c>
      <c r="D38" s="889">
        <v>390</v>
      </c>
      <c r="E38" s="182" t="str">
        <f>'Sch 1- Rate Base '!E38</f>
        <v>PTD</v>
      </c>
      <c r="F38" s="890"/>
      <c r="G38" s="182">
        <f>'Sch 1- Rate Base '!G38</f>
        <v>134526603.60952502</v>
      </c>
      <c r="H38" s="182">
        <f>'Sch 1- Rate Base '!H38</f>
        <v>59218092.146876924</v>
      </c>
      <c r="I38" s="182">
        <f>'Sch 1- Rate Base '!I38</f>
        <v>0</v>
      </c>
      <c r="J38" s="1422">
        <f>'Sch 1- Rate Base '!J38</f>
        <v>75308511.462648094</v>
      </c>
      <c r="K38" s="904">
        <f t="shared" si="0"/>
        <v>1</v>
      </c>
      <c r="L38" s="1124">
        <f t="shared" si="1"/>
        <v>1.0608052195612581E-2</v>
      </c>
      <c r="O38" s="1117">
        <f t="shared" ref="O38:O48" si="2">(O$26+O$30+O$34)*$L38</f>
        <v>134526603.60952502</v>
      </c>
      <c r="P38" s="1118">
        <f t="shared" ref="P38:P48" si="3">VLOOKUP($E38,O$442:R$453,2,FALSE)*O38*($K38)+IF($G38&gt;0,($H38/$G38)*O38,0)*(1-$K38)</f>
        <v>59218092.146876924</v>
      </c>
      <c r="Q38" s="1118">
        <f t="shared" ref="Q38:Q48" si="4">VLOOKUP($E38,O$442:R$453,3,FALSE)*O38*($K38)+IF($G38&gt;0,($I38/$G38)*O38,0)*(1-$K38)</f>
        <v>34962431.936514728</v>
      </c>
      <c r="R38" s="1118">
        <f t="shared" ref="R38:R48" si="5">VLOOKUP($E38,O$442:R$453,4,FALSE)*O38*($K38)+(O38-P38-Q38)*(1-$K38)</f>
        <v>40346079.526133358</v>
      </c>
      <c r="S38" s="1119"/>
      <c r="W38" s="1117">
        <f t="shared" ref="W38:W48" si="6">(W$26+W$30+W$34)*$L38</f>
        <v>134526603.60952502</v>
      </c>
      <c r="X38" s="1118">
        <f t="shared" ref="X38:X48" si="7">VLOOKUP($E38,W$442:Z$453,2,FALSE)*W38*($K38)+IF($G38&gt;0,($H38/$G38)*W38,0)*(1-$K38)</f>
        <v>59218092.146876924</v>
      </c>
      <c r="Y38" s="1118">
        <f t="shared" ref="Y38:Y48" si="8">VLOOKUP($E38,W$442:Z$453,3,FALSE)*W38*($K38)+IF($G38&gt;0,($I38/$G38)*W38,0)*(1-$K38)</f>
        <v>34962431.936514728</v>
      </c>
      <c r="Z38" s="1118">
        <f t="shared" ref="Z38:Z48" si="9">VLOOKUP($E38,W$442:Z$453,4,FALSE)*W38*($K38)+(W38-X38-Y38)*(1-$K38)</f>
        <v>40346079.526133358</v>
      </c>
      <c r="AA38" s="1119"/>
      <c r="AE38" s="1117">
        <f t="shared" ref="AE38:AE48" si="10">(AE$26+AE$30+AE$34)*$L38</f>
        <v>134526603.60952502</v>
      </c>
      <c r="AF38" s="1118">
        <f t="shared" ref="AF38:AF48" si="11">VLOOKUP($E38,AE$442:AH$453,2,FALSE)*AE38*($K38)+IF($G38&gt;0,($H38/$G38)*AE38,0)*(1-$K38)</f>
        <v>59218092.146876924</v>
      </c>
      <c r="AG38" s="1118">
        <f t="shared" ref="AG38:AG48" si="12">VLOOKUP($E38,AE$442:AH$453,3,FALSE)*AE38*($K38)+IF($G38&gt;0,($I38/$G38)*AE38,0)*(1-$K38)</f>
        <v>34962431.936514728</v>
      </c>
      <c r="AH38" s="1118">
        <f t="shared" ref="AH38:AH48" si="13">VLOOKUP($E38,AE$442:AH$453,4,FALSE)*AE38*($K38)+(AE38-AF38-AG38)*(1-$K38)</f>
        <v>40346079.526133358</v>
      </c>
      <c r="AI38" s="1119"/>
      <c r="AM38" s="1117">
        <f t="shared" ref="AM38:AM48" si="14">(AM$26+AM$30+AM$34)*$L38</f>
        <v>134526603.60952502</v>
      </c>
      <c r="AN38" s="1118">
        <f t="shared" ref="AN38:AN48" si="15">VLOOKUP($E38,AM$442:AP$453,2,FALSE)*AM38*($K38)+IF($G38&gt;0,($H38/$G38)*AM38,0)*(1-$K38)</f>
        <v>59218092.146876924</v>
      </c>
      <c r="AO38" s="1118">
        <f t="shared" ref="AO38:AO48" si="16">VLOOKUP($E38,AM$442:AP$453,3,FALSE)*AM38*($K38)+IF($G38&gt;0,($I38/$G38)*AM38,0)*(1-$K38)</f>
        <v>34962431.936514728</v>
      </c>
      <c r="AP38" s="1118">
        <f t="shared" ref="AP38:AP48" si="17">VLOOKUP($E38,AM$442:AP$453,4,FALSE)*AM38*($K38)+(AM38-AN38-AO38)*(1-$K38)</f>
        <v>40346079.526133358</v>
      </c>
      <c r="AQ38" s="1119"/>
      <c r="AU38" s="1117">
        <f t="shared" ref="AU38:AU48" si="18">(AU$26+AU$30+AU$34)*$L38</f>
        <v>134526603.60952502</v>
      </c>
      <c r="AV38" s="1118">
        <f t="shared" ref="AV38:AV48" si="19">VLOOKUP($E38,AU$442:AX$453,2,FALSE)*AU38*($K38)+IF($G38&gt;0,($H38/$G38)*AU38,0)*(1-$K38)</f>
        <v>59218092.146876924</v>
      </c>
      <c r="AW38" s="1118">
        <f t="shared" ref="AW38:AW48" si="20">VLOOKUP($E38,AU$442:AX$453,3,FALSE)*AU38*($K38)+IF($G38&gt;0,($I38/$G38)*AU38,0)*(1-$K38)</f>
        <v>34962431.936514728</v>
      </c>
      <c r="AX38" s="1118">
        <f t="shared" ref="AX38:AX48" si="21">VLOOKUP($E38,AU$442:AX$453,4,FALSE)*AU38*($K38)+(AU38-AV38-AW38)*(1-$K38)</f>
        <v>40346079.526133358</v>
      </c>
      <c r="AY38" s="1119"/>
      <c r="BC38" s="1117">
        <f t="shared" ref="BC38:BC48" si="22">(BC$26+BC$30+BC$34)*$L38</f>
        <v>134526603.60952502</v>
      </c>
      <c r="BD38" s="1118">
        <f t="shared" ref="BD38:BD48" si="23">VLOOKUP($E38,BC$442:BF$453,2,FALSE)*BC38*($K38)+IF($G38&gt;0,($H38/$G38)*BC38,0)*(1-$K38)</f>
        <v>59218092.146876924</v>
      </c>
      <c r="BE38" s="1118">
        <f t="shared" ref="BE38:BE48" si="24">VLOOKUP($E38,BC$442:BF$453,3,FALSE)*BC38*($K38)+IF($G38&gt;0,($I38/$G38)*BC38,0)*(1-$K38)</f>
        <v>34962431.936514728</v>
      </c>
      <c r="BF38" s="1118">
        <f t="shared" ref="BF38:BF48" si="25">VLOOKUP($E38,BC$442:BF$453,4,FALSE)*BC38*($K38)+(BC38-BD38-BE38)*(1-$K38)</f>
        <v>40346079.526133358</v>
      </c>
      <c r="BG38" s="1119"/>
      <c r="BK38" s="1117">
        <f t="shared" ref="BK38:BK48" si="26">(BK$26+BK$30+BK$34)*$L38</f>
        <v>134526603.60952502</v>
      </c>
      <c r="BL38" s="1118">
        <f t="shared" ref="BL38:BL48" si="27">VLOOKUP($E38,BK$442:BN$453,2,FALSE)*BK38*($K38)+IF($G38&gt;0,($H38/$G38)*BK38,0)*(1-$K38)</f>
        <v>59218092.146876924</v>
      </c>
      <c r="BM38" s="1118">
        <f t="shared" ref="BM38:BM48" si="28">VLOOKUP($E38,BK$442:BN$453,3,FALSE)*BK38*($K38)+IF($G38&gt;0,($I38/$G38)*BK38,0)*(1-$K38)</f>
        <v>34962431.936514728</v>
      </c>
      <c r="BN38" s="1118">
        <f t="shared" ref="BN38:BN48" si="29">VLOOKUP($E38,BK$442:BN$453,4,FALSE)*BK38*($K38)+(BK38-BL38-BM38)*(1-$K38)</f>
        <v>40346079.526133358</v>
      </c>
      <c r="BO38" s="1119"/>
      <c r="BS38" s="1117">
        <f t="shared" ref="BS38:BS48" si="30">(BS$26+BS$30+BS$34)*$L38</f>
        <v>134526603.60952502</v>
      </c>
      <c r="BT38" s="1118">
        <f t="shared" ref="BT38:BT48" si="31">VLOOKUP($E38,BS$442:BV$453,2,FALSE)*BS38*($K38)+IF($G38&gt;0,($H38/$G38)*BS38,0)*(1-$K38)</f>
        <v>59218092.146876924</v>
      </c>
      <c r="BU38" s="1118">
        <f t="shared" ref="BU38:BU48" si="32">VLOOKUP($E38,BS$442:BV$453,3,FALSE)*BS38*($K38)+IF($G38&gt;0,($I38/$G38)*BS38,0)*(1-$K38)</f>
        <v>34962431.936514728</v>
      </c>
      <c r="BV38" s="1118">
        <f t="shared" ref="BV38:BV48" si="33">VLOOKUP($E38,BS$442:BV$453,4,FALSE)*BS38*($K38)+(BS38-BT38-BU38)*(1-$K38)</f>
        <v>40346079.526133358</v>
      </c>
      <c r="BW38" s="1119"/>
      <c r="CA38" s="1117">
        <f t="shared" ref="CA38:CA48" si="34">(CA$26+CA$30+CA$34)*$L38</f>
        <v>134526603.60952502</v>
      </c>
      <c r="CB38" s="1118">
        <f t="shared" ref="CB38:CB48" si="35">VLOOKUP($E38,CA$442:CD$453,2,FALSE)*CA38*($K38)+IF($G38&gt;0,($H38/$G38)*CA38,0)*(1-$K38)</f>
        <v>59218092.146876924</v>
      </c>
      <c r="CC38" s="1118">
        <f t="shared" ref="CC38:CC48" si="36">VLOOKUP($E38,CA$442:CD$453,3,FALSE)*CA38*($K38)+IF($G38&gt;0,($I38/$G38)*CA38,0)*(1-$K38)</f>
        <v>34962431.936514728</v>
      </c>
      <c r="CD38" s="1118">
        <f t="shared" ref="CD38:CD48" si="37">VLOOKUP($E38,CA$442:CD$453,4,FALSE)*CA38*($K38)+(CA38-CB38-CC38)*(1-$K38)</f>
        <v>40346079.526133358</v>
      </c>
      <c r="CE38" s="1119"/>
      <c r="CI38" s="1117">
        <f t="shared" ref="CI38:CI48" si="38">(CI$26+CI$30+CI$34)*$L38</f>
        <v>134526603.60952502</v>
      </c>
      <c r="CJ38" s="1118">
        <f t="shared" ref="CJ38:CJ48" si="39">VLOOKUP($E38,CI$442:CL$453,2,FALSE)*CI38*($K38)+IF($G38&gt;0,($H38/$G38)*CI38,0)*(1-$K38)</f>
        <v>59218092.146876924</v>
      </c>
      <c r="CK38" s="1118">
        <f t="shared" ref="CK38:CK48" si="40">VLOOKUP($E38,CI$442:CL$453,3,FALSE)*CI38*($K38)+IF($G38&gt;0,($I38/$G38)*CI38,0)*(1-$K38)</f>
        <v>34962431.936514728</v>
      </c>
      <c r="CL38" s="1118">
        <f t="shared" ref="CL38:CL48" si="41">VLOOKUP($E38,CI$442:CL$453,4,FALSE)*CI38*($K38)+(CI38-CJ38-CK38)*(1-$K38)</f>
        <v>40346079.526133358</v>
      </c>
      <c r="CM38" s="1119"/>
      <c r="CQ38" s="1117">
        <f t="shared" ref="CQ38:CQ48" si="42">(CQ$26+CQ$30+CQ$34)*$L38</f>
        <v>134526603.60952502</v>
      </c>
      <c r="CR38" s="1118">
        <f t="shared" ref="CR38:CR48" si="43">VLOOKUP($E38,CQ$442:CT$453,2,FALSE)*CQ38*($K38)+IF($G38&gt;0,($H38/$G38)*CQ38,0)*(1-$K38)</f>
        <v>59218092.146876924</v>
      </c>
      <c r="CS38" s="1118">
        <f t="shared" ref="CS38:CS48" si="44">VLOOKUP($E38,CQ$442:CT$453,3,FALSE)*CQ38*($K38)+IF($G38&gt;0,($I38/$G38)*CQ38,0)*(1-$K38)</f>
        <v>34962431.936514728</v>
      </c>
      <c r="CT38" s="1118">
        <f t="shared" ref="CT38:CT48" si="45">VLOOKUP($E38,CQ$442:CT$453,4,FALSE)*CQ38*($K38)+(CQ38-CR38-CS38)*(1-$K38)</f>
        <v>40346079.526133358</v>
      </c>
      <c r="CU38" s="1119"/>
      <c r="CY38" s="1117">
        <f t="shared" ref="CY38:CY48" si="46">(CY$26+CY$30+CY$34)*$L38</f>
        <v>134526603.60952502</v>
      </c>
      <c r="CZ38" s="1118">
        <f t="shared" ref="CZ38:CZ48" si="47">VLOOKUP($E38,CY$442:DB$453,2,FALSE)*CY38*($K38)+IF($G38&gt;0,($H38/$G38)*CY38,0)*(1-$K38)</f>
        <v>59218092.146876924</v>
      </c>
      <c r="DA38" s="1118">
        <f t="shared" ref="DA38:DA48" si="48">VLOOKUP($E38,CY$442:DB$453,3,FALSE)*CY38*($K38)+IF($G38&gt;0,($I38/$G38)*CY38,0)*(1-$K38)</f>
        <v>34962431.936514728</v>
      </c>
      <c r="DB38" s="1118">
        <f t="shared" ref="DB38:DB48" si="49">VLOOKUP($E38,CY$442:DB$453,4,FALSE)*CY38*($K38)+(CY38-CZ38-DA38)*(1-$K38)</f>
        <v>40346079.526133358</v>
      </c>
      <c r="DC38" s="1119"/>
      <c r="DG38" s="1117">
        <f t="shared" ref="DG38:DG48" si="50">(DG$26+DG$30+DG$34)*$L38</f>
        <v>134526603.60952502</v>
      </c>
      <c r="DH38" s="1118">
        <f t="shared" ref="DH38:DH48" si="51">VLOOKUP($E38,DG$442:DJ$453,2,FALSE)*DG38*($K38)+IF($G38&gt;0,($H38/$G38)*DG38,0)*(1-$K38)</f>
        <v>59218092.146876924</v>
      </c>
      <c r="DI38" s="1118">
        <f t="shared" ref="DI38:DI48" si="52">VLOOKUP($E38,DG$442:DJ$453,3,FALSE)*DG38*($K38)+IF($G38&gt;0,($I38/$G38)*DG38,0)*(1-$K38)</f>
        <v>34962431.936514728</v>
      </c>
      <c r="DJ38" s="1118">
        <f t="shared" ref="DJ38:DJ48" si="53">VLOOKUP($E38,DG$442:DJ$453,4,FALSE)*DG38*($K38)+(DG38-DH38-DI38)*(1-$K38)</f>
        <v>40346079.526133358</v>
      </c>
      <c r="DK38" s="1119"/>
      <c r="DO38" s="1117">
        <f t="shared" ref="DO38:DO48" si="54">(DO$26+DO$30+DO$34)*$L38</f>
        <v>134526603.60952502</v>
      </c>
      <c r="DP38" s="1118">
        <f t="shared" ref="DP38:DP48" si="55">VLOOKUP($E38,DO$442:DR$453,2,FALSE)*DO38*($K38)+IF($G38&gt;0,($H38/$G38)*DO38,0)*(1-$K38)</f>
        <v>59218092.146876924</v>
      </c>
      <c r="DQ38" s="1118">
        <f t="shared" ref="DQ38:DQ48" si="56">VLOOKUP($E38,DO$442:DR$453,3,FALSE)*DO38*($K38)+IF($G38&gt;0,($I38/$G38)*DO38,0)*(1-$K38)</f>
        <v>34962431.936514728</v>
      </c>
      <c r="DR38" s="1118">
        <f t="shared" ref="DR38:DR48" si="57">VLOOKUP($E38,DO$442:DR$453,4,FALSE)*DO38*($K38)+(DO38-DP38-DQ38)*(1-$K38)</f>
        <v>40346079.526133358</v>
      </c>
      <c r="DS38" s="1119"/>
      <c r="DW38" s="1117">
        <f t="shared" ref="DW38:DW48" si="58">(DW$26+DW$30+DW$34)*$L38</f>
        <v>134526603.60952502</v>
      </c>
      <c r="DX38" s="1118">
        <f t="shared" ref="DX38:DX48" si="59">VLOOKUP($E38,DW$442:DZ$453,2,FALSE)*DW38*($K38)+IF($G38&gt;0,($H38/$G38)*DW38,0)*(1-$K38)</f>
        <v>59218092.146876924</v>
      </c>
      <c r="DY38" s="1118">
        <f t="shared" ref="DY38:DY48" si="60">VLOOKUP($E38,DW$442:DZ$453,3,FALSE)*DW38*($K38)+IF($G38&gt;0,($I38/$G38)*DW38,0)*(1-$K38)</f>
        <v>34962431.936514728</v>
      </c>
      <c r="DZ38" s="1118">
        <f t="shared" ref="DZ38:DZ48" si="61">VLOOKUP($E38,DW$442:DZ$453,4,FALSE)*DW38*($K38)+(DW38-DX38-DY38)*(1-$K38)</f>
        <v>40346079.526133358</v>
      </c>
      <c r="EA38" s="1119"/>
      <c r="EE38" s="1117">
        <f t="shared" ref="EE38:EE48" si="62">(EE$26+EE$30+EE$34)*$L38</f>
        <v>134526603.60952502</v>
      </c>
      <c r="EF38" s="1118">
        <f t="shared" ref="EF38:EF48" si="63">VLOOKUP($E38,EE$442:EH$453,2,FALSE)*EE38*($K38)+IF($G38&gt;0,($H38/$G38)*EE38,0)*(1-$K38)</f>
        <v>59218092.146876924</v>
      </c>
      <c r="EG38" s="1118">
        <f t="shared" ref="EG38:EG48" si="64">VLOOKUP($E38,EE$442:EH$453,3,FALSE)*EE38*($K38)+IF($G38&gt;0,($I38/$G38)*EE38,0)*(1-$K38)</f>
        <v>34962431.936514728</v>
      </c>
      <c r="EH38" s="1118">
        <f t="shared" ref="EH38:EH48" si="65">VLOOKUP($E38,EE$442:EH$453,4,FALSE)*EE38*($K38)+(EE38-EF38-EG38)*(1-$K38)</f>
        <v>40346079.526133358</v>
      </c>
      <c r="EI38" s="1119"/>
      <c r="EM38" s="1117">
        <f t="shared" ref="EM38:EM48" si="66">(EM$26+EM$30+EM$34)*$L38</f>
        <v>134526603.60952502</v>
      </c>
      <c r="EN38" s="1118">
        <f t="shared" ref="EN38:EN48" si="67">VLOOKUP($E38,EM$442:EP$453,2,FALSE)*EM38*($K38)+IF($G38&gt;0,($H38/$G38)*EM38,0)*(1-$K38)</f>
        <v>59218092.146876924</v>
      </c>
      <c r="EO38" s="1118">
        <f t="shared" ref="EO38:EO48" si="68">VLOOKUP($E38,EM$442:EP$453,3,FALSE)*EM38*($K38)+IF($G38&gt;0,($I38/$G38)*EM38,0)*(1-$K38)</f>
        <v>34962431.936514728</v>
      </c>
      <c r="EP38" s="1118">
        <f t="shared" ref="EP38:EP48" si="69">VLOOKUP($E38,EM$442:EP$453,4,FALSE)*EM38*($K38)+(EM38-EN38-EO38)*(1-$K38)</f>
        <v>40346079.526133358</v>
      </c>
      <c r="EQ38" s="1119"/>
      <c r="EU38" s="1117">
        <f t="shared" ref="EU38:EU48" si="70">(EU$26+EU$30+EU$34)*$L38</f>
        <v>134526603.60952502</v>
      </c>
      <c r="EV38" s="1118">
        <f t="shared" ref="EV38:EV48" si="71">VLOOKUP($E38,EU$442:EX$453,2,FALSE)*EU38*($K38)+IF($G38&gt;0,($H38/$G38)*EU38,0)*(1-$K38)</f>
        <v>59218092.146876924</v>
      </c>
      <c r="EW38" s="1118">
        <f t="shared" ref="EW38:EW48" si="72">VLOOKUP($E38,EU$442:EX$453,3,FALSE)*EU38*($K38)+IF($G38&gt;0,($I38/$G38)*EU38,0)*(1-$K38)</f>
        <v>34962431.936514728</v>
      </c>
      <c r="EX38" s="1118">
        <f t="shared" ref="EX38:EX48" si="73">VLOOKUP($E38,EU$442:EX$453,4,FALSE)*EU38*($K38)+(EU38-EV38-EW38)*(1-$K38)</f>
        <v>40346079.526133358</v>
      </c>
      <c r="EY38" s="1119"/>
      <c r="FC38" s="1117">
        <f t="shared" ref="FC38:FC48" si="74">(FC$26+FC$30+FC$34)*$L38</f>
        <v>134526603.60952502</v>
      </c>
      <c r="FD38" s="1118">
        <f t="shared" ref="FD38:FD48" si="75">VLOOKUP($E38,FC$442:FF$453,2,FALSE)*FC38*($K38)+IF($G38&gt;0,($H38/$G38)*FC38,0)*(1-$K38)</f>
        <v>59218092.146876924</v>
      </c>
      <c r="FE38" s="1118">
        <f t="shared" ref="FE38:FE48" si="76">VLOOKUP($E38,FC$442:FF$453,3,FALSE)*FC38*($K38)+IF($G38&gt;0,($I38/$G38)*FC38,0)*(1-$K38)</f>
        <v>34962431.936514728</v>
      </c>
      <c r="FF38" s="1118">
        <f t="shared" ref="FF38:FF48" si="77">VLOOKUP($E38,FC$442:FF$453,4,FALSE)*FC38*($K38)+(FC38-FD38-FE38)*(1-$K38)</f>
        <v>40346079.526133358</v>
      </c>
      <c r="FG38" s="1119"/>
      <c r="FK38" s="1117">
        <f t="shared" ref="FK38:FK48" si="78">(FK$26+FK$30+FK$34)*$L38</f>
        <v>134526603.60952502</v>
      </c>
      <c r="FL38" s="1118">
        <f t="shared" ref="FL38:FL48" si="79">VLOOKUP($E38,FK$442:FN$453,2,FALSE)*FK38*($K38)+IF($G38&gt;0,($H38/$G38)*FK38,0)*(1-$K38)</f>
        <v>59218092.146876924</v>
      </c>
      <c r="FM38" s="1118">
        <f t="shared" ref="FM38:FM48" si="80">VLOOKUP($E38,FK$442:FN$453,3,FALSE)*FK38*($K38)+IF($G38&gt;0,($I38/$G38)*FK38,0)*(1-$K38)</f>
        <v>34962431.936514728</v>
      </c>
      <c r="FN38" s="1118">
        <f t="shared" ref="FN38:FN48" si="81">VLOOKUP($E38,FK$442:FN$453,4,FALSE)*FK38*($K38)+(FK38-FL38-FM38)*(1-$K38)</f>
        <v>40346079.526133358</v>
      </c>
      <c r="FO38" s="1119"/>
    </row>
    <row r="39" spans="1:171" x14ac:dyDescent="0.25">
      <c r="A39" s="1421"/>
      <c r="B39" s="10" t="s">
        <v>127</v>
      </c>
      <c r="C39" s="888" t="s">
        <v>70</v>
      </c>
      <c r="D39" s="889">
        <v>391</v>
      </c>
      <c r="E39" s="182" t="str">
        <f>'Sch 1- Rate Base '!E39</f>
        <v>LABOR</v>
      </c>
      <c r="F39" s="890"/>
      <c r="G39" s="182">
        <f>'Sch 1- Rate Base '!G39</f>
        <v>38698718.859569281</v>
      </c>
      <c r="H39" s="182">
        <f>'Sch 1- Rate Base '!H39</f>
        <v>16131692.601433367</v>
      </c>
      <c r="I39" s="182">
        <f>'Sch 1- Rate Base '!I39</f>
        <v>0</v>
      </c>
      <c r="J39" s="1422">
        <f>'Sch 1- Rate Base '!J39</f>
        <v>22567026.258135919</v>
      </c>
      <c r="K39" s="904">
        <f t="shared" si="0"/>
        <v>1</v>
      </c>
      <c r="L39" s="1124">
        <f t="shared" si="1"/>
        <v>3.0515750680602301E-3</v>
      </c>
      <c r="O39" s="1117">
        <f t="shared" si="2"/>
        <v>38698718.859569281</v>
      </c>
      <c r="P39" s="1118">
        <f t="shared" si="3"/>
        <v>16131692.601433367</v>
      </c>
      <c r="Q39" s="1118">
        <f t="shared" si="4"/>
        <v>1045227.6214519152</v>
      </c>
      <c r="R39" s="1118">
        <f t="shared" si="5"/>
        <v>21521798.636684</v>
      </c>
      <c r="S39" s="1119"/>
      <c r="W39" s="1117">
        <f t="shared" si="6"/>
        <v>38698718.859569281</v>
      </c>
      <c r="X39" s="1118">
        <f t="shared" si="7"/>
        <v>16131692.601433367</v>
      </c>
      <c r="Y39" s="1118">
        <f t="shared" si="8"/>
        <v>1045227.6214519152</v>
      </c>
      <c r="Z39" s="1118">
        <f t="shared" si="9"/>
        <v>21521798.636684</v>
      </c>
      <c r="AA39" s="1119"/>
      <c r="AE39" s="1117">
        <f t="shared" si="10"/>
        <v>38698718.859569281</v>
      </c>
      <c r="AF39" s="1118">
        <f t="shared" si="11"/>
        <v>16131692.601433367</v>
      </c>
      <c r="AG39" s="1118">
        <f t="shared" si="12"/>
        <v>1045227.6214519152</v>
      </c>
      <c r="AH39" s="1118">
        <f t="shared" si="13"/>
        <v>21521798.636684</v>
      </c>
      <c r="AI39" s="1119"/>
      <c r="AM39" s="1117">
        <f t="shared" si="14"/>
        <v>38698718.859569281</v>
      </c>
      <c r="AN39" s="1118">
        <f t="shared" si="15"/>
        <v>16131692.601433367</v>
      </c>
      <c r="AO39" s="1118">
        <f t="shared" si="16"/>
        <v>1045227.6214519152</v>
      </c>
      <c r="AP39" s="1118">
        <f t="shared" si="17"/>
        <v>21521798.636684</v>
      </c>
      <c r="AQ39" s="1119"/>
      <c r="AU39" s="1117">
        <f t="shared" si="18"/>
        <v>38698718.859569281</v>
      </c>
      <c r="AV39" s="1118">
        <f t="shared" si="19"/>
        <v>16131692.601433367</v>
      </c>
      <c r="AW39" s="1118">
        <f t="shared" si="20"/>
        <v>1045227.6214519152</v>
      </c>
      <c r="AX39" s="1118">
        <f t="shared" si="21"/>
        <v>21521798.636684</v>
      </c>
      <c r="AY39" s="1119"/>
      <c r="BC39" s="1117">
        <f t="shared" si="22"/>
        <v>38698718.859569281</v>
      </c>
      <c r="BD39" s="1118">
        <f t="shared" si="23"/>
        <v>16131692.601433367</v>
      </c>
      <c r="BE39" s="1118">
        <f t="shared" si="24"/>
        <v>1045227.6214519152</v>
      </c>
      <c r="BF39" s="1118">
        <f t="shared" si="25"/>
        <v>21521798.636684</v>
      </c>
      <c r="BG39" s="1119"/>
      <c r="BK39" s="1117">
        <f t="shared" si="26"/>
        <v>38698718.859569281</v>
      </c>
      <c r="BL39" s="1118">
        <f t="shared" si="27"/>
        <v>16131692.601433367</v>
      </c>
      <c r="BM39" s="1118">
        <f t="shared" si="28"/>
        <v>1045227.6214519152</v>
      </c>
      <c r="BN39" s="1118">
        <f t="shared" si="29"/>
        <v>21521798.636684</v>
      </c>
      <c r="BO39" s="1119"/>
      <c r="BS39" s="1117">
        <f t="shared" si="30"/>
        <v>38698718.859569281</v>
      </c>
      <c r="BT39" s="1118">
        <f t="shared" si="31"/>
        <v>16131692.601433367</v>
      </c>
      <c r="BU39" s="1118">
        <f t="shared" si="32"/>
        <v>1045227.6214519152</v>
      </c>
      <c r="BV39" s="1118">
        <f t="shared" si="33"/>
        <v>21521798.636684</v>
      </c>
      <c r="BW39" s="1119"/>
      <c r="CA39" s="1117">
        <f t="shared" si="34"/>
        <v>38698718.859569281</v>
      </c>
      <c r="CB39" s="1118">
        <f t="shared" si="35"/>
        <v>16131692.601433367</v>
      </c>
      <c r="CC39" s="1118">
        <f t="shared" si="36"/>
        <v>1045227.6214519152</v>
      </c>
      <c r="CD39" s="1118">
        <f t="shared" si="37"/>
        <v>21521798.636684</v>
      </c>
      <c r="CE39" s="1119"/>
      <c r="CI39" s="1117">
        <f t="shared" si="38"/>
        <v>38698718.859569281</v>
      </c>
      <c r="CJ39" s="1118">
        <f t="shared" si="39"/>
        <v>16131692.601433367</v>
      </c>
      <c r="CK39" s="1118">
        <f t="shared" si="40"/>
        <v>1045227.6214519152</v>
      </c>
      <c r="CL39" s="1118">
        <f t="shared" si="41"/>
        <v>21521798.636684</v>
      </c>
      <c r="CM39" s="1119"/>
      <c r="CQ39" s="1117">
        <f t="shared" si="42"/>
        <v>38698718.859569281</v>
      </c>
      <c r="CR39" s="1118">
        <f t="shared" si="43"/>
        <v>16131692.601433367</v>
      </c>
      <c r="CS39" s="1118">
        <f t="shared" si="44"/>
        <v>1045227.6214519152</v>
      </c>
      <c r="CT39" s="1118">
        <f t="shared" si="45"/>
        <v>21521798.636684</v>
      </c>
      <c r="CU39" s="1119"/>
      <c r="CY39" s="1117">
        <f t="shared" si="46"/>
        <v>38698718.859569281</v>
      </c>
      <c r="CZ39" s="1118">
        <f t="shared" si="47"/>
        <v>16131692.601433367</v>
      </c>
      <c r="DA39" s="1118">
        <f t="shared" si="48"/>
        <v>1045227.6214519152</v>
      </c>
      <c r="DB39" s="1118">
        <f t="shared" si="49"/>
        <v>21521798.636684</v>
      </c>
      <c r="DC39" s="1119"/>
      <c r="DG39" s="1117">
        <f t="shared" si="50"/>
        <v>38698718.859569281</v>
      </c>
      <c r="DH39" s="1118">
        <f t="shared" si="51"/>
        <v>16131692.601433367</v>
      </c>
      <c r="DI39" s="1118">
        <f t="shared" si="52"/>
        <v>1045227.6214519152</v>
      </c>
      <c r="DJ39" s="1118">
        <f t="shared" si="53"/>
        <v>21521798.636684</v>
      </c>
      <c r="DK39" s="1119"/>
      <c r="DO39" s="1117">
        <f t="shared" si="54"/>
        <v>38698718.859569281</v>
      </c>
      <c r="DP39" s="1118">
        <f t="shared" si="55"/>
        <v>16131692.601433367</v>
      </c>
      <c r="DQ39" s="1118">
        <f t="shared" si="56"/>
        <v>1045227.6214519152</v>
      </c>
      <c r="DR39" s="1118">
        <f t="shared" si="57"/>
        <v>21521798.636684</v>
      </c>
      <c r="DS39" s="1119"/>
      <c r="DW39" s="1117">
        <f t="shared" si="58"/>
        <v>38698718.859569281</v>
      </c>
      <c r="DX39" s="1118">
        <f t="shared" si="59"/>
        <v>16131692.601433367</v>
      </c>
      <c r="DY39" s="1118">
        <f t="shared" si="60"/>
        <v>1045227.6214519152</v>
      </c>
      <c r="DZ39" s="1118">
        <f t="shared" si="61"/>
        <v>21521798.636684</v>
      </c>
      <c r="EA39" s="1119"/>
      <c r="EE39" s="1117">
        <f t="shared" si="62"/>
        <v>38698718.859569281</v>
      </c>
      <c r="EF39" s="1118">
        <f t="shared" si="63"/>
        <v>16131692.601433367</v>
      </c>
      <c r="EG39" s="1118">
        <f t="shared" si="64"/>
        <v>1045227.6214519152</v>
      </c>
      <c r="EH39" s="1118">
        <f t="shared" si="65"/>
        <v>21521798.636684</v>
      </c>
      <c r="EI39" s="1119"/>
      <c r="EM39" s="1117">
        <f t="shared" si="66"/>
        <v>38698718.859569281</v>
      </c>
      <c r="EN39" s="1118">
        <f t="shared" si="67"/>
        <v>16131692.601433367</v>
      </c>
      <c r="EO39" s="1118">
        <f t="shared" si="68"/>
        <v>1045227.6214519152</v>
      </c>
      <c r="EP39" s="1118">
        <f t="shared" si="69"/>
        <v>21521798.636684</v>
      </c>
      <c r="EQ39" s="1119"/>
      <c r="EU39" s="1117">
        <f t="shared" si="70"/>
        <v>38698718.859569281</v>
      </c>
      <c r="EV39" s="1118">
        <f t="shared" si="71"/>
        <v>16131692.601433367</v>
      </c>
      <c r="EW39" s="1118">
        <f t="shared" si="72"/>
        <v>1045227.6214519152</v>
      </c>
      <c r="EX39" s="1118">
        <f t="shared" si="73"/>
        <v>21521798.636684</v>
      </c>
      <c r="EY39" s="1119"/>
      <c r="FC39" s="1117">
        <f t="shared" si="74"/>
        <v>38698718.859569281</v>
      </c>
      <c r="FD39" s="1118">
        <f t="shared" si="75"/>
        <v>16131692.601433367</v>
      </c>
      <c r="FE39" s="1118">
        <f t="shared" si="76"/>
        <v>1045227.6214519152</v>
      </c>
      <c r="FF39" s="1118">
        <f t="shared" si="77"/>
        <v>21521798.636684</v>
      </c>
      <c r="FG39" s="1119"/>
      <c r="FK39" s="1117">
        <f t="shared" si="78"/>
        <v>38698718.859569281</v>
      </c>
      <c r="FL39" s="1118">
        <f t="shared" si="79"/>
        <v>16131692.601433367</v>
      </c>
      <c r="FM39" s="1118">
        <f t="shared" si="80"/>
        <v>1045227.6214519152</v>
      </c>
      <c r="FN39" s="1118">
        <f t="shared" si="81"/>
        <v>21521798.636684</v>
      </c>
      <c r="FO39" s="1119"/>
    </row>
    <row r="40" spans="1:171" x14ac:dyDescent="0.25">
      <c r="A40" s="1421"/>
      <c r="B40" s="10" t="s">
        <v>128</v>
      </c>
      <c r="C40" s="888" t="s">
        <v>70</v>
      </c>
      <c r="D40" s="889">
        <v>392</v>
      </c>
      <c r="E40" s="182" t="str">
        <f>'Sch 1- Rate Base '!E40</f>
        <v>TD</v>
      </c>
      <c r="F40" s="890"/>
      <c r="G40" s="182">
        <f>'Sch 1- Rate Base '!G40</f>
        <v>70926422.960104048</v>
      </c>
      <c r="H40" s="182">
        <f>'Sch 1- Rate Base '!H40</f>
        <v>0</v>
      </c>
      <c r="I40" s="182">
        <f>'Sch 1- Rate Base '!I40</f>
        <v>0</v>
      </c>
      <c r="J40" s="1422">
        <f>'Sch 1- Rate Base '!J40</f>
        <v>70926422.960104048</v>
      </c>
      <c r="K40" s="904">
        <f t="shared" si="0"/>
        <v>1</v>
      </c>
      <c r="L40" s="1124">
        <f t="shared" si="1"/>
        <v>5.5928803420382048E-3</v>
      </c>
      <c r="O40" s="1117">
        <f t="shared" si="2"/>
        <v>70926422.960104048</v>
      </c>
      <c r="P40" s="1118">
        <f t="shared" si="3"/>
        <v>0</v>
      </c>
      <c r="Q40" s="1118">
        <f t="shared" si="4"/>
        <v>32928020.844934877</v>
      </c>
      <c r="R40" s="1118">
        <f t="shared" si="5"/>
        <v>37998402.115169168</v>
      </c>
      <c r="S40" s="1119"/>
      <c r="W40" s="1117">
        <f t="shared" si="6"/>
        <v>70926422.960104048</v>
      </c>
      <c r="X40" s="1118">
        <f t="shared" si="7"/>
        <v>0</v>
      </c>
      <c r="Y40" s="1118">
        <f t="shared" si="8"/>
        <v>32928020.844934877</v>
      </c>
      <c r="Z40" s="1118">
        <f t="shared" si="9"/>
        <v>37998402.115169168</v>
      </c>
      <c r="AA40" s="1119"/>
      <c r="AE40" s="1117">
        <f t="shared" si="10"/>
        <v>70926422.960104048</v>
      </c>
      <c r="AF40" s="1118">
        <f t="shared" si="11"/>
        <v>0</v>
      </c>
      <c r="AG40" s="1118">
        <f t="shared" si="12"/>
        <v>32928020.844934877</v>
      </c>
      <c r="AH40" s="1118">
        <f t="shared" si="13"/>
        <v>37998402.115169168</v>
      </c>
      <c r="AI40" s="1119"/>
      <c r="AM40" s="1117">
        <f t="shared" si="14"/>
        <v>70926422.960104048</v>
      </c>
      <c r="AN40" s="1118">
        <f t="shared" si="15"/>
        <v>0</v>
      </c>
      <c r="AO40" s="1118">
        <f t="shared" si="16"/>
        <v>32928020.844934877</v>
      </c>
      <c r="AP40" s="1118">
        <f t="shared" si="17"/>
        <v>37998402.115169168</v>
      </c>
      <c r="AQ40" s="1119"/>
      <c r="AU40" s="1117">
        <f t="shared" si="18"/>
        <v>70926422.960104048</v>
      </c>
      <c r="AV40" s="1118">
        <f t="shared" si="19"/>
        <v>0</v>
      </c>
      <c r="AW40" s="1118">
        <f t="shared" si="20"/>
        <v>32928020.844934877</v>
      </c>
      <c r="AX40" s="1118">
        <f t="shared" si="21"/>
        <v>37998402.115169168</v>
      </c>
      <c r="AY40" s="1119"/>
      <c r="BC40" s="1117">
        <f t="shared" si="22"/>
        <v>70926422.960104048</v>
      </c>
      <c r="BD40" s="1118">
        <f t="shared" si="23"/>
        <v>0</v>
      </c>
      <c r="BE40" s="1118">
        <f t="shared" si="24"/>
        <v>32928020.844934877</v>
      </c>
      <c r="BF40" s="1118">
        <f t="shared" si="25"/>
        <v>37998402.115169168</v>
      </c>
      <c r="BG40" s="1119"/>
      <c r="BK40" s="1117">
        <f t="shared" si="26"/>
        <v>70926422.960104048</v>
      </c>
      <c r="BL40" s="1118">
        <f t="shared" si="27"/>
        <v>0</v>
      </c>
      <c r="BM40" s="1118">
        <f t="shared" si="28"/>
        <v>32928020.844934877</v>
      </c>
      <c r="BN40" s="1118">
        <f t="shared" si="29"/>
        <v>37998402.115169168</v>
      </c>
      <c r="BO40" s="1119"/>
      <c r="BS40" s="1117">
        <f t="shared" si="30"/>
        <v>70926422.960104048</v>
      </c>
      <c r="BT40" s="1118">
        <f t="shared" si="31"/>
        <v>0</v>
      </c>
      <c r="BU40" s="1118">
        <f t="shared" si="32"/>
        <v>32928020.844934877</v>
      </c>
      <c r="BV40" s="1118">
        <f t="shared" si="33"/>
        <v>37998402.115169168</v>
      </c>
      <c r="BW40" s="1119"/>
      <c r="CA40" s="1117">
        <f t="shared" si="34"/>
        <v>70926422.960104048</v>
      </c>
      <c r="CB40" s="1118">
        <f t="shared" si="35"/>
        <v>0</v>
      </c>
      <c r="CC40" s="1118">
        <f t="shared" si="36"/>
        <v>32928020.844934877</v>
      </c>
      <c r="CD40" s="1118">
        <f t="shared" si="37"/>
        <v>37998402.115169168</v>
      </c>
      <c r="CE40" s="1119"/>
      <c r="CI40" s="1117">
        <f t="shared" si="38"/>
        <v>70926422.960104048</v>
      </c>
      <c r="CJ40" s="1118">
        <f t="shared" si="39"/>
        <v>0</v>
      </c>
      <c r="CK40" s="1118">
        <f t="shared" si="40"/>
        <v>32928020.844934877</v>
      </c>
      <c r="CL40" s="1118">
        <f t="shared" si="41"/>
        <v>37998402.115169168</v>
      </c>
      <c r="CM40" s="1119"/>
      <c r="CQ40" s="1117">
        <f t="shared" si="42"/>
        <v>70926422.960104048</v>
      </c>
      <c r="CR40" s="1118">
        <f t="shared" si="43"/>
        <v>0</v>
      </c>
      <c r="CS40" s="1118">
        <f t="shared" si="44"/>
        <v>32928020.844934877</v>
      </c>
      <c r="CT40" s="1118">
        <f t="shared" si="45"/>
        <v>37998402.115169168</v>
      </c>
      <c r="CU40" s="1119"/>
      <c r="CY40" s="1117">
        <f t="shared" si="46"/>
        <v>70926422.960104048</v>
      </c>
      <c r="CZ40" s="1118">
        <f t="shared" si="47"/>
        <v>0</v>
      </c>
      <c r="DA40" s="1118">
        <f t="shared" si="48"/>
        <v>32928020.844934877</v>
      </c>
      <c r="DB40" s="1118">
        <f t="shared" si="49"/>
        <v>37998402.115169168</v>
      </c>
      <c r="DC40" s="1119"/>
      <c r="DG40" s="1117">
        <f t="shared" si="50"/>
        <v>70926422.960104048</v>
      </c>
      <c r="DH40" s="1118">
        <f t="shared" si="51"/>
        <v>0</v>
      </c>
      <c r="DI40" s="1118">
        <f t="shared" si="52"/>
        <v>32928020.844934877</v>
      </c>
      <c r="DJ40" s="1118">
        <f t="shared" si="53"/>
        <v>37998402.115169168</v>
      </c>
      <c r="DK40" s="1119"/>
      <c r="DO40" s="1117">
        <f t="shared" si="54"/>
        <v>70926422.960104048</v>
      </c>
      <c r="DP40" s="1118">
        <f t="shared" si="55"/>
        <v>0</v>
      </c>
      <c r="DQ40" s="1118">
        <f t="shared" si="56"/>
        <v>32928020.844934877</v>
      </c>
      <c r="DR40" s="1118">
        <f t="shared" si="57"/>
        <v>37998402.115169168</v>
      </c>
      <c r="DS40" s="1119"/>
      <c r="DW40" s="1117">
        <f t="shared" si="58"/>
        <v>70926422.960104048</v>
      </c>
      <c r="DX40" s="1118">
        <f t="shared" si="59"/>
        <v>0</v>
      </c>
      <c r="DY40" s="1118">
        <f t="shared" si="60"/>
        <v>32928020.844934877</v>
      </c>
      <c r="DZ40" s="1118">
        <f t="shared" si="61"/>
        <v>37998402.115169168</v>
      </c>
      <c r="EA40" s="1119"/>
      <c r="EE40" s="1117">
        <f t="shared" si="62"/>
        <v>70926422.960104048</v>
      </c>
      <c r="EF40" s="1118">
        <f t="shared" si="63"/>
        <v>0</v>
      </c>
      <c r="EG40" s="1118">
        <f t="shared" si="64"/>
        <v>32928020.844934877</v>
      </c>
      <c r="EH40" s="1118">
        <f t="shared" si="65"/>
        <v>37998402.115169168</v>
      </c>
      <c r="EI40" s="1119"/>
      <c r="EM40" s="1117">
        <f t="shared" si="66"/>
        <v>70926422.960104048</v>
      </c>
      <c r="EN40" s="1118">
        <f t="shared" si="67"/>
        <v>0</v>
      </c>
      <c r="EO40" s="1118">
        <f t="shared" si="68"/>
        <v>32928020.844934877</v>
      </c>
      <c r="EP40" s="1118">
        <f t="shared" si="69"/>
        <v>37998402.115169168</v>
      </c>
      <c r="EQ40" s="1119"/>
      <c r="EU40" s="1117">
        <f t="shared" si="70"/>
        <v>70926422.960104048</v>
      </c>
      <c r="EV40" s="1118">
        <f t="shared" si="71"/>
        <v>0</v>
      </c>
      <c r="EW40" s="1118">
        <f t="shared" si="72"/>
        <v>32928020.844934877</v>
      </c>
      <c r="EX40" s="1118">
        <f t="shared" si="73"/>
        <v>37998402.115169168</v>
      </c>
      <c r="EY40" s="1119"/>
      <c r="FC40" s="1117">
        <f t="shared" si="74"/>
        <v>70926422.960104048</v>
      </c>
      <c r="FD40" s="1118">
        <f t="shared" si="75"/>
        <v>0</v>
      </c>
      <c r="FE40" s="1118">
        <f t="shared" si="76"/>
        <v>32928020.844934877</v>
      </c>
      <c r="FF40" s="1118">
        <f t="shared" si="77"/>
        <v>37998402.115169168</v>
      </c>
      <c r="FG40" s="1119"/>
      <c r="FK40" s="1117">
        <f t="shared" si="78"/>
        <v>70926422.960104048</v>
      </c>
      <c r="FL40" s="1118">
        <f t="shared" si="79"/>
        <v>0</v>
      </c>
      <c r="FM40" s="1118">
        <f t="shared" si="80"/>
        <v>32928020.844934877</v>
      </c>
      <c r="FN40" s="1118">
        <f t="shared" si="81"/>
        <v>37998402.115169168</v>
      </c>
      <c r="FO40" s="1119"/>
    </row>
    <row r="41" spans="1:171" x14ac:dyDescent="0.25">
      <c r="A41" s="1421"/>
      <c r="B41" s="10" t="s">
        <v>129</v>
      </c>
      <c r="C41" s="888" t="s">
        <v>70</v>
      </c>
      <c r="D41" s="889">
        <v>393</v>
      </c>
      <c r="E41" s="182" t="str">
        <f>'Sch 1- Rate Base '!E41</f>
        <v>PTD</v>
      </c>
      <c r="F41" s="890"/>
      <c r="G41" s="182">
        <f>'Sch 1- Rate Base '!G41</f>
        <v>8843323.1563989222</v>
      </c>
      <c r="H41" s="182">
        <f>'Sch 1- Rate Base '!H41</f>
        <v>3892796.7517880816</v>
      </c>
      <c r="I41" s="182">
        <f>'Sch 1- Rate Base '!I41</f>
        <v>0</v>
      </c>
      <c r="J41" s="1422">
        <f>'Sch 1- Rate Base '!J41</f>
        <v>4950526.4046108397</v>
      </c>
      <c r="K41" s="904">
        <f t="shared" si="0"/>
        <v>1</v>
      </c>
      <c r="L41" s="1124">
        <f t="shared" si="1"/>
        <v>6.9733741214519896E-4</v>
      </c>
      <c r="O41" s="1117">
        <f t="shared" si="2"/>
        <v>8843323.1563989222</v>
      </c>
      <c r="P41" s="1118">
        <f t="shared" si="3"/>
        <v>3892796.7517880816</v>
      </c>
      <c r="Q41" s="1118">
        <f t="shared" si="4"/>
        <v>2298311.8257087287</v>
      </c>
      <c r="R41" s="1118">
        <f t="shared" si="5"/>
        <v>2652214.5789021105</v>
      </c>
      <c r="S41" s="1119"/>
      <c r="W41" s="1117">
        <f t="shared" si="6"/>
        <v>8843323.1563989222</v>
      </c>
      <c r="X41" s="1118">
        <f t="shared" si="7"/>
        <v>3892796.7517880816</v>
      </c>
      <c r="Y41" s="1118">
        <f t="shared" si="8"/>
        <v>2298311.8257087287</v>
      </c>
      <c r="Z41" s="1118">
        <f t="shared" si="9"/>
        <v>2652214.5789021105</v>
      </c>
      <c r="AA41" s="1119"/>
      <c r="AE41" s="1117">
        <f t="shared" si="10"/>
        <v>8843323.1563989222</v>
      </c>
      <c r="AF41" s="1118">
        <f t="shared" si="11"/>
        <v>3892796.7517880816</v>
      </c>
      <c r="AG41" s="1118">
        <f t="shared" si="12"/>
        <v>2298311.8257087287</v>
      </c>
      <c r="AH41" s="1118">
        <f t="shared" si="13"/>
        <v>2652214.5789021105</v>
      </c>
      <c r="AI41" s="1119"/>
      <c r="AM41" s="1117">
        <f t="shared" si="14"/>
        <v>8843323.1563989222</v>
      </c>
      <c r="AN41" s="1118">
        <f t="shared" si="15"/>
        <v>3892796.7517880816</v>
      </c>
      <c r="AO41" s="1118">
        <f t="shared" si="16"/>
        <v>2298311.8257087287</v>
      </c>
      <c r="AP41" s="1118">
        <f t="shared" si="17"/>
        <v>2652214.5789021105</v>
      </c>
      <c r="AQ41" s="1119"/>
      <c r="AU41" s="1117">
        <f t="shared" si="18"/>
        <v>8843323.1563989222</v>
      </c>
      <c r="AV41" s="1118">
        <f t="shared" si="19"/>
        <v>3892796.7517880816</v>
      </c>
      <c r="AW41" s="1118">
        <f t="shared" si="20"/>
        <v>2298311.8257087287</v>
      </c>
      <c r="AX41" s="1118">
        <f t="shared" si="21"/>
        <v>2652214.5789021105</v>
      </c>
      <c r="AY41" s="1119"/>
      <c r="BC41" s="1117">
        <f t="shared" si="22"/>
        <v>8843323.1563989222</v>
      </c>
      <c r="BD41" s="1118">
        <f t="shared" si="23"/>
        <v>3892796.7517880816</v>
      </c>
      <c r="BE41" s="1118">
        <f t="shared" si="24"/>
        <v>2298311.8257087287</v>
      </c>
      <c r="BF41" s="1118">
        <f t="shared" si="25"/>
        <v>2652214.5789021105</v>
      </c>
      <c r="BG41" s="1119"/>
      <c r="BK41" s="1117">
        <f t="shared" si="26"/>
        <v>8843323.1563989222</v>
      </c>
      <c r="BL41" s="1118">
        <f t="shared" si="27"/>
        <v>3892796.7517880816</v>
      </c>
      <c r="BM41" s="1118">
        <f t="shared" si="28"/>
        <v>2298311.8257087287</v>
      </c>
      <c r="BN41" s="1118">
        <f t="shared" si="29"/>
        <v>2652214.5789021105</v>
      </c>
      <c r="BO41" s="1119"/>
      <c r="BS41" s="1117">
        <f t="shared" si="30"/>
        <v>8843323.1563989222</v>
      </c>
      <c r="BT41" s="1118">
        <f t="shared" si="31"/>
        <v>3892796.7517880816</v>
      </c>
      <c r="BU41" s="1118">
        <f t="shared" si="32"/>
        <v>2298311.8257087287</v>
      </c>
      <c r="BV41" s="1118">
        <f t="shared" si="33"/>
        <v>2652214.5789021105</v>
      </c>
      <c r="BW41" s="1119"/>
      <c r="CA41" s="1117">
        <f t="shared" si="34"/>
        <v>8843323.1563989222</v>
      </c>
      <c r="CB41" s="1118">
        <f t="shared" si="35"/>
        <v>3892796.7517880816</v>
      </c>
      <c r="CC41" s="1118">
        <f t="shared" si="36"/>
        <v>2298311.8257087287</v>
      </c>
      <c r="CD41" s="1118">
        <f t="shared" si="37"/>
        <v>2652214.5789021105</v>
      </c>
      <c r="CE41" s="1119"/>
      <c r="CI41" s="1117">
        <f t="shared" si="38"/>
        <v>8843323.1563989222</v>
      </c>
      <c r="CJ41" s="1118">
        <f t="shared" si="39"/>
        <v>3892796.7517880816</v>
      </c>
      <c r="CK41" s="1118">
        <f t="shared" si="40"/>
        <v>2298311.8257087287</v>
      </c>
      <c r="CL41" s="1118">
        <f t="shared" si="41"/>
        <v>2652214.5789021105</v>
      </c>
      <c r="CM41" s="1119"/>
      <c r="CQ41" s="1117">
        <f t="shared" si="42"/>
        <v>8843323.1563989222</v>
      </c>
      <c r="CR41" s="1118">
        <f t="shared" si="43"/>
        <v>3892796.7517880816</v>
      </c>
      <c r="CS41" s="1118">
        <f t="shared" si="44"/>
        <v>2298311.8257087287</v>
      </c>
      <c r="CT41" s="1118">
        <f t="shared" si="45"/>
        <v>2652214.5789021105</v>
      </c>
      <c r="CU41" s="1119"/>
      <c r="CY41" s="1117">
        <f t="shared" si="46"/>
        <v>8843323.1563989222</v>
      </c>
      <c r="CZ41" s="1118">
        <f t="shared" si="47"/>
        <v>3892796.7517880816</v>
      </c>
      <c r="DA41" s="1118">
        <f t="shared" si="48"/>
        <v>2298311.8257087287</v>
      </c>
      <c r="DB41" s="1118">
        <f t="shared" si="49"/>
        <v>2652214.5789021105</v>
      </c>
      <c r="DC41" s="1119"/>
      <c r="DG41" s="1117">
        <f t="shared" si="50"/>
        <v>8843323.1563989222</v>
      </c>
      <c r="DH41" s="1118">
        <f t="shared" si="51"/>
        <v>3892796.7517880816</v>
      </c>
      <c r="DI41" s="1118">
        <f t="shared" si="52"/>
        <v>2298311.8257087287</v>
      </c>
      <c r="DJ41" s="1118">
        <f t="shared" si="53"/>
        <v>2652214.5789021105</v>
      </c>
      <c r="DK41" s="1119"/>
      <c r="DO41" s="1117">
        <f t="shared" si="54"/>
        <v>8843323.1563989222</v>
      </c>
      <c r="DP41" s="1118">
        <f t="shared" si="55"/>
        <v>3892796.7517880816</v>
      </c>
      <c r="DQ41" s="1118">
        <f t="shared" si="56"/>
        <v>2298311.8257087287</v>
      </c>
      <c r="DR41" s="1118">
        <f t="shared" si="57"/>
        <v>2652214.5789021105</v>
      </c>
      <c r="DS41" s="1119"/>
      <c r="DW41" s="1117">
        <f t="shared" si="58"/>
        <v>8843323.1563989222</v>
      </c>
      <c r="DX41" s="1118">
        <f t="shared" si="59"/>
        <v>3892796.7517880816</v>
      </c>
      <c r="DY41" s="1118">
        <f t="shared" si="60"/>
        <v>2298311.8257087287</v>
      </c>
      <c r="DZ41" s="1118">
        <f t="shared" si="61"/>
        <v>2652214.5789021105</v>
      </c>
      <c r="EA41" s="1119"/>
      <c r="EE41" s="1117">
        <f t="shared" si="62"/>
        <v>8843323.1563989222</v>
      </c>
      <c r="EF41" s="1118">
        <f t="shared" si="63"/>
        <v>3892796.7517880816</v>
      </c>
      <c r="EG41" s="1118">
        <f t="shared" si="64"/>
        <v>2298311.8257087287</v>
      </c>
      <c r="EH41" s="1118">
        <f t="shared" si="65"/>
        <v>2652214.5789021105</v>
      </c>
      <c r="EI41" s="1119"/>
      <c r="EM41" s="1117">
        <f t="shared" si="66"/>
        <v>8843323.1563989222</v>
      </c>
      <c r="EN41" s="1118">
        <f t="shared" si="67"/>
        <v>3892796.7517880816</v>
      </c>
      <c r="EO41" s="1118">
        <f t="shared" si="68"/>
        <v>2298311.8257087287</v>
      </c>
      <c r="EP41" s="1118">
        <f t="shared" si="69"/>
        <v>2652214.5789021105</v>
      </c>
      <c r="EQ41" s="1119"/>
      <c r="EU41" s="1117">
        <f t="shared" si="70"/>
        <v>8843323.1563989222</v>
      </c>
      <c r="EV41" s="1118">
        <f t="shared" si="71"/>
        <v>3892796.7517880816</v>
      </c>
      <c r="EW41" s="1118">
        <f t="shared" si="72"/>
        <v>2298311.8257087287</v>
      </c>
      <c r="EX41" s="1118">
        <f t="shared" si="73"/>
        <v>2652214.5789021105</v>
      </c>
      <c r="EY41" s="1119"/>
      <c r="FC41" s="1117">
        <f t="shared" si="74"/>
        <v>8843323.1563989222</v>
      </c>
      <c r="FD41" s="1118">
        <f t="shared" si="75"/>
        <v>3892796.7517880816</v>
      </c>
      <c r="FE41" s="1118">
        <f t="shared" si="76"/>
        <v>2298311.8257087287</v>
      </c>
      <c r="FF41" s="1118">
        <f t="shared" si="77"/>
        <v>2652214.5789021105</v>
      </c>
      <c r="FG41" s="1119"/>
      <c r="FK41" s="1117">
        <f t="shared" si="78"/>
        <v>8843323.1563989222</v>
      </c>
      <c r="FL41" s="1118">
        <f t="shared" si="79"/>
        <v>3892796.7517880816</v>
      </c>
      <c r="FM41" s="1118">
        <f t="shared" si="80"/>
        <v>2298311.8257087287</v>
      </c>
      <c r="FN41" s="1118">
        <f t="shared" si="81"/>
        <v>2652214.5789021105</v>
      </c>
      <c r="FO41" s="1119"/>
    </row>
    <row r="42" spans="1:171" x14ac:dyDescent="0.25">
      <c r="A42" s="1421"/>
      <c r="B42" s="10" t="s">
        <v>130</v>
      </c>
      <c r="C42" s="888" t="s">
        <v>70</v>
      </c>
      <c r="D42" s="889">
        <v>394</v>
      </c>
      <c r="E42" s="182" t="str">
        <f>'Sch 1- Rate Base '!E42</f>
        <v>PTD</v>
      </c>
      <c r="F42" s="890"/>
      <c r="G42" s="182">
        <f>'Sch 1- Rate Base '!G42</f>
        <v>28801735.62174933</v>
      </c>
      <c r="H42" s="182">
        <f>'Sch 1- Rate Base '!H42</f>
        <v>12678412.955324007</v>
      </c>
      <c r="I42" s="182">
        <f>'Sch 1- Rate Base '!I42</f>
        <v>0</v>
      </c>
      <c r="J42" s="1422">
        <f>'Sch 1- Rate Base '!J42</f>
        <v>16123322.666425321</v>
      </c>
      <c r="K42" s="904">
        <f t="shared" si="0"/>
        <v>1</v>
      </c>
      <c r="L42" s="1124">
        <f t="shared" si="1"/>
        <v>2.2711516280198296E-3</v>
      </c>
      <c r="O42" s="1117">
        <f t="shared" si="2"/>
        <v>28801735.621749327</v>
      </c>
      <c r="P42" s="1118">
        <f t="shared" si="3"/>
        <v>12678412.955324005</v>
      </c>
      <c r="Q42" s="1118">
        <f t="shared" si="4"/>
        <v>7485350.0669038258</v>
      </c>
      <c r="R42" s="1118">
        <f t="shared" si="5"/>
        <v>8637972.5995214917</v>
      </c>
      <c r="S42" s="1119"/>
      <c r="W42" s="1117">
        <f t="shared" si="6"/>
        <v>28801735.621749327</v>
      </c>
      <c r="X42" s="1118">
        <f t="shared" si="7"/>
        <v>12678412.955324005</v>
      </c>
      <c r="Y42" s="1118">
        <f t="shared" si="8"/>
        <v>7485350.0669038258</v>
      </c>
      <c r="Z42" s="1118">
        <f t="shared" si="9"/>
        <v>8637972.5995214917</v>
      </c>
      <c r="AA42" s="1119"/>
      <c r="AE42" s="1117">
        <f t="shared" si="10"/>
        <v>28801735.621749327</v>
      </c>
      <c r="AF42" s="1118">
        <f t="shared" si="11"/>
        <v>12678412.955324005</v>
      </c>
      <c r="AG42" s="1118">
        <f t="shared" si="12"/>
        <v>7485350.0669038258</v>
      </c>
      <c r="AH42" s="1118">
        <f t="shared" si="13"/>
        <v>8637972.5995214917</v>
      </c>
      <c r="AI42" s="1119"/>
      <c r="AM42" s="1117">
        <f t="shared" si="14"/>
        <v>28801735.621749327</v>
      </c>
      <c r="AN42" s="1118">
        <f t="shared" si="15"/>
        <v>12678412.955324005</v>
      </c>
      <c r="AO42" s="1118">
        <f t="shared" si="16"/>
        <v>7485350.0669038258</v>
      </c>
      <c r="AP42" s="1118">
        <f t="shared" si="17"/>
        <v>8637972.5995214917</v>
      </c>
      <c r="AQ42" s="1119"/>
      <c r="AU42" s="1117">
        <f t="shared" si="18"/>
        <v>28801735.621749327</v>
      </c>
      <c r="AV42" s="1118">
        <f t="shared" si="19"/>
        <v>12678412.955324005</v>
      </c>
      <c r="AW42" s="1118">
        <f t="shared" si="20"/>
        <v>7485350.0669038258</v>
      </c>
      <c r="AX42" s="1118">
        <f t="shared" si="21"/>
        <v>8637972.5995214917</v>
      </c>
      <c r="AY42" s="1119"/>
      <c r="BC42" s="1117">
        <f t="shared" si="22"/>
        <v>28801735.621749327</v>
      </c>
      <c r="BD42" s="1118">
        <f t="shared" si="23"/>
        <v>12678412.955324005</v>
      </c>
      <c r="BE42" s="1118">
        <f t="shared" si="24"/>
        <v>7485350.0669038258</v>
      </c>
      <c r="BF42" s="1118">
        <f t="shared" si="25"/>
        <v>8637972.5995214917</v>
      </c>
      <c r="BG42" s="1119"/>
      <c r="BK42" s="1117">
        <f t="shared" si="26"/>
        <v>28801735.621749327</v>
      </c>
      <c r="BL42" s="1118">
        <f t="shared" si="27"/>
        <v>12678412.955324005</v>
      </c>
      <c r="BM42" s="1118">
        <f t="shared" si="28"/>
        <v>7485350.0669038258</v>
      </c>
      <c r="BN42" s="1118">
        <f t="shared" si="29"/>
        <v>8637972.5995214917</v>
      </c>
      <c r="BO42" s="1119"/>
      <c r="BS42" s="1117">
        <f t="shared" si="30"/>
        <v>28801735.621749327</v>
      </c>
      <c r="BT42" s="1118">
        <f t="shared" si="31"/>
        <v>12678412.955324005</v>
      </c>
      <c r="BU42" s="1118">
        <f t="shared" si="32"/>
        <v>7485350.0669038258</v>
      </c>
      <c r="BV42" s="1118">
        <f t="shared" si="33"/>
        <v>8637972.5995214917</v>
      </c>
      <c r="BW42" s="1119"/>
      <c r="CA42" s="1117">
        <f t="shared" si="34"/>
        <v>28801735.621749327</v>
      </c>
      <c r="CB42" s="1118">
        <f t="shared" si="35"/>
        <v>12678412.955324005</v>
      </c>
      <c r="CC42" s="1118">
        <f t="shared" si="36"/>
        <v>7485350.0669038258</v>
      </c>
      <c r="CD42" s="1118">
        <f t="shared" si="37"/>
        <v>8637972.5995214917</v>
      </c>
      <c r="CE42" s="1119"/>
      <c r="CI42" s="1117">
        <f t="shared" si="38"/>
        <v>28801735.621749327</v>
      </c>
      <c r="CJ42" s="1118">
        <f t="shared" si="39"/>
        <v>12678412.955324005</v>
      </c>
      <c r="CK42" s="1118">
        <f t="shared" si="40"/>
        <v>7485350.0669038258</v>
      </c>
      <c r="CL42" s="1118">
        <f t="shared" si="41"/>
        <v>8637972.5995214917</v>
      </c>
      <c r="CM42" s="1119"/>
      <c r="CQ42" s="1117">
        <f t="shared" si="42"/>
        <v>28801735.621749327</v>
      </c>
      <c r="CR42" s="1118">
        <f t="shared" si="43"/>
        <v>12678412.955324005</v>
      </c>
      <c r="CS42" s="1118">
        <f t="shared" si="44"/>
        <v>7485350.0669038258</v>
      </c>
      <c r="CT42" s="1118">
        <f t="shared" si="45"/>
        <v>8637972.5995214917</v>
      </c>
      <c r="CU42" s="1119"/>
      <c r="CY42" s="1117">
        <f t="shared" si="46"/>
        <v>28801735.621749327</v>
      </c>
      <c r="CZ42" s="1118">
        <f t="shared" si="47"/>
        <v>12678412.955324005</v>
      </c>
      <c r="DA42" s="1118">
        <f t="shared" si="48"/>
        <v>7485350.0669038258</v>
      </c>
      <c r="DB42" s="1118">
        <f t="shared" si="49"/>
        <v>8637972.5995214917</v>
      </c>
      <c r="DC42" s="1119"/>
      <c r="DG42" s="1117">
        <f t="shared" si="50"/>
        <v>28801735.621749327</v>
      </c>
      <c r="DH42" s="1118">
        <f t="shared" si="51"/>
        <v>12678412.955324005</v>
      </c>
      <c r="DI42" s="1118">
        <f t="shared" si="52"/>
        <v>7485350.0669038258</v>
      </c>
      <c r="DJ42" s="1118">
        <f t="shared" si="53"/>
        <v>8637972.5995214917</v>
      </c>
      <c r="DK42" s="1119"/>
      <c r="DO42" s="1117">
        <f t="shared" si="54"/>
        <v>28801735.621749327</v>
      </c>
      <c r="DP42" s="1118">
        <f t="shared" si="55"/>
        <v>12678412.955324005</v>
      </c>
      <c r="DQ42" s="1118">
        <f t="shared" si="56"/>
        <v>7485350.0669038258</v>
      </c>
      <c r="DR42" s="1118">
        <f t="shared" si="57"/>
        <v>8637972.5995214917</v>
      </c>
      <c r="DS42" s="1119"/>
      <c r="DW42" s="1117">
        <f t="shared" si="58"/>
        <v>28801735.621749327</v>
      </c>
      <c r="DX42" s="1118">
        <f t="shared" si="59"/>
        <v>12678412.955324005</v>
      </c>
      <c r="DY42" s="1118">
        <f t="shared" si="60"/>
        <v>7485350.0669038258</v>
      </c>
      <c r="DZ42" s="1118">
        <f t="shared" si="61"/>
        <v>8637972.5995214917</v>
      </c>
      <c r="EA42" s="1119"/>
      <c r="EE42" s="1117">
        <f t="shared" si="62"/>
        <v>28801735.621749327</v>
      </c>
      <c r="EF42" s="1118">
        <f t="shared" si="63"/>
        <v>12678412.955324005</v>
      </c>
      <c r="EG42" s="1118">
        <f t="shared" si="64"/>
        <v>7485350.0669038258</v>
      </c>
      <c r="EH42" s="1118">
        <f t="shared" si="65"/>
        <v>8637972.5995214917</v>
      </c>
      <c r="EI42" s="1119"/>
      <c r="EM42" s="1117">
        <f t="shared" si="66"/>
        <v>28801735.621749327</v>
      </c>
      <c r="EN42" s="1118">
        <f t="shared" si="67"/>
        <v>12678412.955324005</v>
      </c>
      <c r="EO42" s="1118">
        <f t="shared" si="68"/>
        <v>7485350.0669038258</v>
      </c>
      <c r="EP42" s="1118">
        <f t="shared" si="69"/>
        <v>8637972.5995214917</v>
      </c>
      <c r="EQ42" s="1119"/>
      <c r="EU42" s="1117">
        <f t="shared" si="70"/>
        <v>28801735.621749327</v>
      </c>
      <c r="EV42" s="1118">
        <f t="shared" si="71"/>
        <v>12678412.955324005</v>
      </c>
      <c r="EW42" s="1118">
        <f t="shared" si="72"/>
        <v>7485350.0669038258</v>
      </c>
      <c r="EX42" s="1118">
        <f t="shared" si="73"/>
        <v>8637972.5995214917</v>
      </c>
      <c r="EY42" s="1119"/>
      <c r="FC42" s="1117">
        <f t="shared" si="74"/>
        <v>28801735.621749327</v>
      </c>
      <c r="FD42" s="1118">
        <f t="shared" si="75"/>
        <v>12678412.955324005</v>
      </c>
      <c r="FE42" s="1118">
        <f t="shared" si="76"/>
        <v>7485350.0669038258</v>
      </c>
      <c r="FF42" s="1118">
        <f t="shared" si="77"/>
        <v>8637972.5995214917</v>
      </c>
      <c r="FG42" s="1119"/>
      <c r="FK42" s="1117">
        <f t="shared" si="78"/>
        <v>28801735.621749327</v>
      </c>
      <c r="FL42" s="1118">
        <f t="shared" si="79"/>
        <v>12678412.955324005</v>
      </c>
      <c r="FM42" s="1118">
        <f t="shared" si="80"/>
        <v>7485350.0669038258</v>
      </c>
      <c r="FN42" s="1118">
        <f t="shared" si="81"/>
        <v>8637972.5995214917</v>
      </c>
      <c r="FO42" s="1119"/>
    </row>
    <row r="43" spans="1:171" x14ac:dyDescent="0.25">
      <c r="A43" s="1421"/>
      <c r="B43" s="10" t="s">
        <v>131</v>
      </c>
      <c r="C43" s="888" t="s">
        <v>70</v>
      </c>
      <c r="D43" s="889">
        <v>395</v>
      </c>
      <c r="E43" s="182" t="str">
        <f>'Sch 1- Rate Base '!E43</f>
        <v>PTD</v>
      </c>
      <c r="F43" s="890"/>
      <c r="G43" s="182">
        <f>'Sch 1- Rate Base '!G43</f>
        <v>22065131.008344457</v>
      </c>
      <c r="H43" s="182">
        <f>'Sch 1- Rate Base '!H43</f>
        <v>9712985.5822252911</v>
      </c>
      <c r="I43" s="182">
        <f>'Sch 1- Rate Base '!I43</f>
        <v>0</v>
      </c>
      <c r="J43" s="1422">
        <f>'Sch 1- Rate Base '!J43</f>
        <v>12352145.426119164</v>
      </c>
      <c r="K43" s="904">
        <f t="shared" si="0"/>
        <v>1</v>
      </c>
      <c r="L43" s="1124">
        <f t="shared" si="1"/>
        <v>1.7399388311248104E-3</v>
      </c>
      <c r="O43" s="1117">
        <f t="shared" si="2"/>
        <v>22065131.008344457</v>
      </c>
      <c r="P43" s="1118">
        <f t="shared" si="3"/>
        <v>9712985.5822252911</v>
      </c>
      <c r="Q43" s="1118">
        <f t="shared" si="4"/>
        <v>5734558.2238047514</v>
      </c>
      <c r="R43" s="1118">
        <f t="shared" si="5"/>
        <v>6617587.2023144113</v>
      </c>
      <c r="S43" s="1119"/>
      <c r="W43" s="1117">
        <f t="shared" si="6"/>
        <v>22065131.008344457</v>
      </c>
      <c r="X43" s="1118">
        <f t="shared" si="7"/>
        <v>9712985.5822252911</v>
      </c>
      <c r="Y43" s="1118">
        <f t="shared" si="8"/>
        <v>5734558.2238047514</v>
      </c>
      <c r="Z43" s="1118">
        <f t="shared" si="9"/>
        <v>6617587.2023144113</v>
      </c>
      <c r="AA43" s="1119"/>
      <c r="AE43" s="1117">
        <f t="shared" si="10"/>
        <v>22065131.008344457</v>
      </c>
      <c r="AF43" s="1118">
        <f t="shared" si="11"/>
        <v>9712985.5822252911</v>
      </c>
      <c r="AG43" s="1118">
        <f t="shared" si="12"/>
        <v>5734558.2238047514</v>
      </c>
      <c r="AH43" s="1118">
        <f t="shared" si="13"/>
        <v>6617587.2023144113</v>
      </c>
      <c r="AI43" s="1119"/>
      <c r="AM43" s="1117">
        <f t="shared" si="14"/>
        <v>22065131.008344457</v>
      </c>
      <c r="AN43" s="1118">
        <f t="shared" si="15"/>
        <v>9712985.5822252911</v>
      </c>
      <c r="AO43" s="1118">
        <f t="shared" si="16"/>
        <v>5734558.2238047514</v>
      </c>
      <c r="AP43" s="1118">
        <f t="shared" si="17"/>
        <v>6617587.2023144113</v>
      </c>
      <c r="AQ43" s="1119"/>
      <c r="AU43" s="1117">
        <f t="shared" si="18"/>
        <v>22065131.008344457</v>
      </c>
      <c r="AV43" s="1118">
        <f t="shared" si="19"/>
        <v>9712985.5822252911</v>
      </c>
      <c r="AW43" s="1118">
        <f t="shared" si="20"/>
        <v>5734558.2238047514</v>
      </c>
      <c r="AX43" s="1118">
        <f t="shared" si="21"/>
        <v>6617587.2023144113</v>
      </c>
      <c r="AY43" s="1119"/>
      <c r="BC43" s="1117">
        <f t="shared" si="22"/>
        <v>22065131.008344457</v>
      </c>
      <c r="BD43" s="1118">
        <f t="shared" si="23"/>
        <v>9712985.5822252911</v>
      </c>
      <c r="BE43" s="1118">
        <f t="shared" si="24"/>
        <v>5734558.2238047514</v>
      </c>
      <c r="BF43" s="1118">
        <f t="shared" si="25"/>
        <v>6617587.2023144113</v>
      </c>
      <c r="BG43" s="1119"/>
      <c r="BK43" s="1117">
        <f t="shared" si="26"/>
        <v>22065131.008344457</v>
      </c>
      <c r="BL43" s="1118">
        <f t="shared" si="27"/>
        <v>9712985.5822252911</v>
      </c>
      <c r="BM43" s="1118">
        <f t="shared" si="28"/>
        <v>5734558.2238047514</v>
      </c>
      <c r="BN43" s="1118">
        <f t="shared" si="29"/>
        <v>6617587.2023144113</v>
      </c>
      <c r="BO43" s="1119"/>
      <c r="BS43" s="1117">
        <f t="shared" si="30"/>
        <v>22065131.008344457</v>
      </c>
      <c r="BT43" s="1118">
        <f t="shared" si="31"/>
        <v>9712985.5822252911</v>
      </c>
      <c r="BU43" s="1118">
        <f t="shared" si="32"/>
        <v>5734558.2238047514</v>
      </c>
      <c r="BV43" s="1118">
        <f t="shared" si="33"/>
        <v>6617587.2023144113</v>
      </c>
      <c r="BW43" s="1119"/>
      <c r="CA43" s="1117">
        <f t="shared" si="34"/>
        <v>22065131.008344457</v>
      </c>
      <c r="CB43" s="1118">
        <f t="shared" si="35"/>
        <v>9712985.5822252911</v>
      </c>
      <c r="CC43" s="1118">
        <f t="shared" si="36"/>
        <v>5734558.2238047514</v>
      </c>
      <c r="CD43" s="1118">
        <f t="shared" si="37"/>
        <v>6617587.2023144113</v>
      </c>
      <c r="CE43" s="1119"/>
      <c r="CI43" s="1117">
        <f t="shared" si="38"/>
        <v>22065131.008344457</v>
      </c>
      <c r="CJ43" s="1118">
        <f t="shared" si="39"/>
        <v>9712985.5822252911</v>
      </c>
      <c r="CK43" s="1118">
        <f t="shared" si="40"/>
        <v>5734558.2238047514</v>
      </c>
      <c r="CL43" s="1118">
        <f t="shared" si="41"/>
        <v>6617587.2023144113</v>
      </c>
      <c r="CM43" s="1119"/>
      <c r="CQ43" s="1117">
        <f t="shared" si="42"/>
        <v>22065131.008344457</v>
      </c>
      <c r="CR43" s="1118">
        <f t="shared" si="43"/>
        <v>9712985.5822252911</v>
      </c>
      <c r="CS43" s="1118">
        <f t="shared" si="44"/>
        <v>5734558.2238047514</v>
      </c>
      <c r="CT43" s="1118">
        <f t="shared" si="45"/>
        <v>6617587.2023144113</v>
      </c>
      <c r="CU43" s="1119"/>
      <c r="CY43" s="1117">
        <f t="shared" si="46"/>
        <v>22065131.008344457</v>
      </c>
      <c r="CZ43" s="1118">
        <f t="shared" si="47"/>
        <v>9712985.5822252911</v>
      </c>
      <c r="DA43" s="1118">
        <f t="shared" si="48"/>
        <v>5734558.2238047514</v>
      </c>
      <c r="DB43" s="1118">
        <f t="shared" si="49"/>
        <v>6617587.2023144113</v>
      </c>
      <c r="DC43" s="1119"/>
      <c r="DG43" s="1117">
        <f t="shared" si="50"/>
        <v>22065131.008344457</v>
      </c>
      <c r="DH43" s="1118">
        <f t="shared" si="51"/>
        <v>9712985.5822252911</v>
      </c>
      <c r="DI43" s="1118">
        <f t="shared" si="52"/>
        <v>5734558.2238047514</v>
      </c>
      <c r="DJ43" s="1118">
        <f t="shared" si="53"/>
        <v>6617587.2023144113</v>
      </c>
      <c r="DK43" s="1119"/>
      <c r="DO43" s="1117">
        <f t="shared" si="54"/>
        <v>22065131.008344457</v>
      </c>
      <c r="DP43" s="1118">
        <f t="shared" si="55"/>
        <v>9712985.5822252911</v>
      </c>
      <c r="DQ43" s="1118">
        <f t="shared" si="56"/>
        <v>5734558.2238047514</v>
      </c>
      <c r="DR43" s="1118">
        <f t="shared" si="57"/>
        <v>6617587.2023144113</v>
      </c>
      <c r="DS43" s="1119"/>
      <c r="DW43" s="1117">
        <f t="shared" si="58"/>
        <v>22065131.008344457</v>
      </c>
      <c r="DX43" s="1118">
        <f t="shared" si="59"/>
        <v>9712985.5822252911</v>
      </c>
      <c r="DY43" s="1118">
        <f t="shared" si="60"/>
        <v>5734558.2238047514</v>
      </c>
      <c r="DZ43" s="1118">
        <f t="shared" si="61"/>
        <v>6617587.2023144113</v>
      </c>
      <c r="EA43" s="1119"/>
      <c r="EE43" s="1117">
        <f t="shared" si="62"/>
        <v>22065131.008344457</v>
      </c>
      <c r="EF43" s="1118">
        <f t="shared" si="63"/>
        <v>9712985.5822252911</v>
      </c>
      <c r="EG43" s="1118">
        <f t="shared" si="64"/>
        <v>5734558.2238047514</v>
      </c>
      <c r="EH43" s="1118">
        <f t="shared" si="65"/>
        <v>6617587.2023144113</v>
      </c>
      <c r="EI43" s="1119"/>
      <c r="EM43" s="1117">
        <f t="shared" si="66"/>
        <v>22065131.008344457</v>
      </c>
      <c r="EN43" s="1118">
        <f t="shared" si="67"/>
        <v>9712985.5822252911</v>
      </c>
      <c r="EO43" s="1118">
        <f t="shared" si="68"/>
        <v>5734558.2238047514</v>
      </c>
      <c r="EP43" s="1118">
        <f t="shared" si="69"/>
        <v>6617587.2023144113</v>
      </c>
      <c r="EQ43" s="1119"/>
      <c r="EU43" s="1117">
        <f t="shared" si="70"/>
        <v>22065131.008344457</v>
      </c>
      <c r="EV43" s="1118">
        <f t="shared" si="71"/>
        <v>9712985.5822252911</v>
      </c>
      <c r="EW43" s="1118">
        <f t="shared" si="72"/>
        <v>5734558.2238047514</v>
      </c>
      <c r="EX43" s="1118">
        <f t="shared" si="73"/>
        <v>6617587.2023144113</v>
      </c>
      <c r="EY43" s="1119"/>
      <c r="FC43" s="1117">
        <f t="shared" si="74"/>
        <v>22065131.008344457</v>
      </c>
      <c r="FD43" s="1118">
        <f t="shared" si="75"/>
        <v>9712985.5822252911</v>
      </c>
      <c r="FE43" s="1118">
        <f t="shared" si="76"/>
        <v>5734558.2238047514</v>
      </c>
      <c r="FF43" s="1118">
        <f t="shared" si="77"/>
        <v>6617587.2023144113</v>
      </c>
      <c r="FG43" s="1119"/>
      <c r="FK43" s="1117">
        <f t="shared" si="78"/>
        <v>22065131.008344457</v>
      </c>
      <c r="FL43" s="1118">
        <f t="shared" si="79"/>
        <v>9712985.5822252911</v>
      </c>
      <c r="FM43" s="1118">
        <f t="shared" si="80"/>
        <v>5734558.2238047514</v>
      </c>
      <c r="FN43" s="1118">
        <f t="shared" si="81"/>
        <v>6617587.2023144113</v>
      </c>
      <c r="FO43" s="1119"/>
    </row>
    <row r="44" spans="1:171" x14ac:dyDescent="0.25">
      <c r="A44" s="1421"/>
      <c r="B44" s="10" t="s">
        <v>132</v>
      </c>
      <c r="C44" s="888" t="s">
        <v>70</v>
      </c>
      <c r="D44" s="889">
        <v>396</v>
      </c>
      <c r="E44" s="182" t="str">
        <f>'Sch 1- Rate Base '!E44</f>
        <v>TD</v>
      </c>
      <c r="F44" s="890"/>
      <c r="G44" s="182">
        <f>'Sch 1- Rate Base '!G44</f>
        <v>104224382.24860385</v>
      </c>
      <c r="H44" s="182">
        <f>'Sch 1- Rate Base '!H44</f>
        <v>0</v>
      </c>
      <c r="I44" s="182">
        <f>'Sch 1- Rate Base '!I44</f>
        <v>0</v>
      </c>
      <c r="J44" s="1422">
        <f>'Sch 1- Rate Base '!J44</f>
        <v>104224382.24860385</v>
      </c>
      <c r="K44" s="904">
        <f t="shared" si="0"/>
        <v>1</v>
      </c>
      <c r="L44" s="1124">
        <f t="shared" si="1"/>
        <v>8.2185802457171737E-3</v>
      </c>
      <c r="O44" s="1117">
        <f t="shared" si="2"/>
        <v>104224382.24860385</v>
      </c>
      <c r="P44" s="1118">
        <f t="shared" si="3"/>
        <v>0</v>
      </c>
      <c r="Q44" s="1118">
        <f t="shared" si="4"/>
        <v>48386799.841335937</v>
      </c>
      <c r="R44" s="1118">
        <f t="shared" si="5"/>
        <v>55837582.407267913</v>
      </c>
      <c r="S44" s="1119"/>
      <c r="W44" s="1117">
        <f t="shared" si="6"/>
        <v>104224382.24860385</v>
      </c>
      <c r="X44" s="1118">
        <f t="shared" si="7"/>
        <v>0</v>
      </c>
      <c r="Y44" s="1118">
        <f t="shared" si="8"/>
        <v>48386799.841335937</v>
      </c>
      <c r="Z44" s="1118">
        <f t="shared" si="9"/>
        <v>55837582.407267913</v>
      </c>
      <c r="AA44" s="1119"/>
      <c r="AE44" s="1117">
        <f t="shared" si="10"/>
        <v>104224382.24860385</v>
      </c>
      <c r="AF44" s="1118">
        <f t="shared" si="11"/>
        <v>0</v>
      </c>
      <c r="AG44" s="1118">
        <f t="shared" si="12"/>
        <v>48386799.841335937</v>
      </c>
      <c r="AH44" s="1118">
        <f t="shared" si="13"/>
        <v>55837582.407267913</v>
      </c>
      <c r="AI44" s="1119"/>
      <c r="AM44" s="1117">
        <f t="shared" si="14"/>
        <v>104224382.24860385</v>
      </c>
      <c r="AN44" s="1118">
        <f t="shared" si="15"/>
        <v>0</v>
      </c>
      <c r="AO44" s="1118">
        <f t="shared" si="16"/>
        <v>48386799.841335937</v>
      </c>
      <c r="AP44" s="1118">
        <f t="shared" si="17"/>
        <v>55837582.407267913</v>
      </c>
      <c r="AQ44" s="1119"/>
      <c r="AU44" s="1117">
        <f t="shared" si="18"/>
        <v>104224382.24860385</v>
      </c>
      <c r="AV44" s="1118">
        <f t="shared" si="19"/>
        <v>0</v>
      </c>
      <c r="AW44" s="1118">
        <f t="shared" si="20"/>
        <v>48386799.841335937</v>
      </c>
      <c r="AX44" s="1118">
        <f t="shared" si="21"/>
        <v>55837582.407267913</v>
      </c>
      <c r="AY44" s="1119"/>
      <c r="BC44" s="1117">
        <f t="shared" si="22"/>
        <v>104224382.24860385</v>
      </c>
      <c r="BD44" s="1118">
        <f t="shared" si="23"/>
        <v>0</v>
      </c>
      <c r="BE44" s="1118">
        <f t="shared" si="24"/>
        <v>48386799.841335937</v>
      </c>
      <c r="BF44" s="1118">
        <f t="shared" si="25"/>
        <v>55837582.407267913</v>
      </c>
      <c r="BG44" s="1119"/>
      <c r="BK44" s="1117">
        <f t="shared" si="26"/>
        <v>104224382.24860385</v>
      </c>
      <c r="BL44" s="1118">
        <f t="shared" si="27"/>
        <v>0</v>
      </c>
      <c r="BM44" s="1118">
        <f t="shared" si="28"/>
        <v>48386799.841335937</v>
      </c>
      <c r="BN44" s="1118">
        <f t="shared" si="29"/>
        <v>55837582.407267913</v>
      </c>
      <c r="BO44" s="1119"/>
      <c r="BS44" s="1117">
        <f t="shared" si="30"/>
        <v>104224382.24860385</v>
      </c>
      <c r="BT44" s="1118">
        <f t="shared" si="31"/>
        <v>0</v>
      </c>
      <c r="BU44" s="1118">
        <f t="shared" si="32"/>
        <v>48386799.841335937</v>
      </c>
      <c r="BV44" s="1118">
        <f t="shared" si="33"/>
        <v>55837582.407267913</v>
      </c>
      <c r="BW44" s="1119"/>
      <c r="CA44" s="1117">
        <f t="shared" si="34"/>
        <v>104224382.24860385</v>
      </c>
      <c r="CB44" s="1118">
        <f t="shared" si="35"/>
        <v>0</v>
      </c>
      <c r="CC44" s="1118">
        <f t="shared" si="36"/>
        <v>48386799.841335937</v>
      </c>
      <c r="CD44" s="1118">
        <f t="shared" si="37"/>
        <v>55837582.407267913</v>
      </c>
      <c r="CE44" s="1119"/>
      <c r="CI44" s="1117">
        <f t="shared" si="38"/>
        <v>104224382.24860385</v>
      </c>
      <c r="CJ44" s="1118">
        <f t="shared" si="39"/>
        <v>0</v>
      </c>
      <c r="CK44" s="1118">
        <f t="shared" si="40"/>
        <v>48386799.841335937</v>
      </c>
      <c r="CL44" s="1118">
        <f t="shared" si="41"/>
        <v>55837582.407267913</v>
      </c>
      <c r="CM44" s="1119"/>
      <c r="CQ44" s="1117">
        <f t="shared" si="42"/>
        <v>104224382.24860385</v>
      </c>
      <c r="CR44" s="1118">
        <f t="shared" si="43"/>
        <v>0</v>
      </c>
      <c r="CS44" s="1118">
        <f t="shared" si="44"/>
        <v>48386799.841335937</v>
      </c>
      <c r="CT44" s="1118">
        <f t="shared" si="45"/>
        <v>55837582.407267913</v>
      </c>
      <c r="CU44" s="1119"/>
      <c r="CY44" s="1117">
        <f t="shared" si="46"/>
        <v>104224382.24860385</v>
      </c>
      <c r="CZ44" s="1118">
        <f t="shared" si="47"/>
        <v>0</v>
      </c>
      <c r="DA44" s="1118">
        <f t="shared" si="48"/>
        <v>48386799.841335937</v>
      </c>
      <c r="DB44" s="1118">
        <f t="shared" si="49"/>
        <v>55837582.407267913</v>
      </c>
      <c r="DC44" s="1119"/>
      <c r="DG44" s="1117">
        <f t="shared" si="50"/>
        <v>104224382.24860385</v>
      </c>
      <c r="DH44" s="1118">
        <f t="shared" si="51"/>
        <v>0</v>
      </c>
      <c r="DI44" s="1118">
        <f t="shared" si="52"/>
        <v>48386799.841335937</v>
      </c>
      <c r="DJ44" s="1118">
        <f t="shared" si="53"/>
        <v>55837582.407267913</v>
      </c>
      <c r="DK44" s="1119"/>
      <c r="DO44" s="1117">
        <f t="shared" si="54"/>
        <v>104224382.24860385</v>
      </c>
      <c r="DP44" s="1118">
        <f t="shared" si="55"/>
        <v>0</v>
      </c>
      <c r="DQ44" s="1118">
        <f t="shared" si="56"/>
        <v>48386799.841335937</v>
      </c>
      <c r="DR44" s="1118">
        <f t="shared" si="57"/>
        <v>55837582.407267913</v>
      </c>
      <c r="DS44" s="1119"/>
      <c r="DW44" s="1117">
        <f t="shared" si="58"/>
        <v>104224382.24860385</v>
      </c>
      <c r="DX44" s="1118">
        <f t="shared" si="59"/>
        <v>0</v>
      </c>
      <c r="DY44" s="1118">
        <f t="shared" si="60"/>
        <v>48386799.841335937</v>
      </c>
      <c r="DZ44" s="1118">
        <f t="shared" si="61"/>
        <v>55837582.407267913</v>
      </c>
      <c r="EA44" s="1119"/>
      <c r="EE44" s="1117">
        <f t="shared" si="62"/>
        <v>104224382.24860385</v>
      </c>
      <c r="EF44" s="1118">
        <f t="shared" si="63"/>
        <v>0</v>
      </c>
      <c r="EG44" s="1118">
        <f t="shared" si="64"/>
        <v>48386799.841335937</v>
      </c>
      <c r="EH44" s="1118">
        <f t="shared" si="65"/>
        <v>55837582.407267913</v>
      </c>
      <c r="EI44" s="1119"/>
      <c r="EM44" s="1117">
        <f t="shared" si="66"/>
        <v>104224382.24860385</v>
      </c>
      <c r="EN44" s="1118">
        <f t="shared" si="67"/>
        <v>0</v>
      </c>
      <c r="EO44" s="1118">
        <f t="shared" si="68"/>
        <v>48386799.841335937</v>
      </c>
      <c r="EP44" s="1118">
        <f t="shared" si="69"/>
        <v>55837582.407267913</v>
      </c>
      <c r="EQ44" s="1119"/>
      <c r="EU44" s="1117">
        <f t="shared" si="70"/>
        <v>104224382.24860385</v>
      </c>
      <c r="EV44" s="1118">
        <f t="shared" si="71"/>
        <v>0</v>
      </c>
      <c r="EW44" s="1118">
        <f t="shared" si="72"/>
        <v>48386799.841335937</v>
      </c>
      <c r="EX44" s="1118">
        <f t="shared" si="73"/>
        <v>55837582.407267913</v>
      </c>
      <c r="EY44" s="1119"/>
      <c r="FC44" s="1117">
        <f t="shared" si="74"/>
        <v>104224382.24860385</v>
      </c>
      <c r="FD44" s="1118">
        <f t="shared" si="75"/>
        <v>0</v>
      </c>
      <c r="FE44" s="1118">
        <f t="shared" si="76"/>
        <v>48386799.841335937</v>
      </c>
      <c r="FF44" s="1118">
        <f t="shared" si="77"/>
        <v>55837582.407267913</v>
      </c>
      <c r="FG44" s="1119"/>
      <c r="FK44" s="1117">
        <f t="shared" si="78"/>
        <v>104224382.24860385</v>
      </c>
      <c r="FL44" s="1118">
        <f t="shared" si="79"/>
        <v>0</v>
      </c>
      <c r="FM44" s="1118">
        <f t="shared" si="80"/>
        <v>48386799.841335937</v>
      </c>
      <c r="FN44" s="1118">
        <f t="shared" si="81"/>
        <v>55837582.407267913</v>
      </c>
      <c r="FO44" s="1119"/>
    </row>
    <row r="45" spans="1:171" x14ac:dyDescent="0.25">
      <c r="A45" s="1421"/>
      <c r="B45" s="10" t="s">
        <v>133</v>
      </c>
      <c r="C45" s="888" t="s">
        <v>70</v>
      </c>
      <c r="D45" s="889">
        <v>397</v>
      </c>
      <c r="E45" s="182" t="str">
        <f>'Sch 1- Rate Base '!E45</f>
        <v>PTD</v>
      </c>
      <c r="F45" s="890"/>
      <c r="G45" s="182">
        <f>'Sch 1- Rate Base '!G45</f>
        <v>225166384.95095226</v>
      </c>
      <c r="H45" s="182">
        <f>'Sch 1- Rate Base '!H45</f>
        <v>99117374.367879733</v>
      </c>
      <c r="I45" s="182">
        <f>'Sch 1- Rate Base '!I45</f>
        <v>0</v>
      </c>
      <c r="J45" s="1422">
        <f>'Sch 1- Rate Base '!J45</f>
        <v>126049010.58307251</v>
      </c>
      <c r="K45" s="904">
        <f t="shared" si="0"/>
        <v>1</v>
      </c>
      <c r="L45" s="1124">
        <f t="shared" si="1"/>
        <v>1.7755423092298866E-2</v>
      </c>
      <c r="O45" s="1117">
        <f t="shared" si="2"/>
        <v>225166384.95095223</v>
      </c>
      <c r="P45" s="1118">
        <f t="shared" si="3"/>
        <v>99117374.367879719</v>
      </c>
      <c r="Q45" s="1118">
        <f t="shared" si="4"/>
        <v>58519015.547950298</v>
      </c>
      <c r="R45" s="1118">
        <f t="shared" si="5"/>
        <v>67529995.035122186</v>
      </c>
      <c r="S45" s="1119"/>
      <c r="W45" s="1117">
        <f t="shared" si="6"/>
        <v>225166384.95095223</v>
      </c>
      <c r="X45" s="1118">
        <f t="shared" si="7"/>
        <v>99117374.367879719</v>
      </c>
      <c r="Y45" s="1118">
        <f t="shared" si="8"/>
        <v>58519015.547950298</v>
      </c>
      <c r="Z45" s="1118">
        <f t="shared" si="9"/>
        <v>67529995.035122186</v>
      </c>
      <c r="AA45" s="1119"/>
      <c r="AE45" s="1117">
        <f t="shared" si="10"/>
        <v>225166384.95095223</v>
      </c>
      <c r="AF45" s="1118">
        <f t="shared" si="11"/>
        <v>99117374.367879719</v>
      </c>
      <c r="AG45" s="1118">
        <f t="shared" si="12"/>
        <v>58519015.547950298</v>
      </c>
      <c r="AH45" s="1118">
        <f t="shared" si="13"/>
        <v>67529995.035122186</v>
      </c>
      <c r="AI45" s="1119"/>
      <c r="AM45" s="1117">
        <f t="shared" si="14"/>
        <v>225166384.95095223</v>
      </c>
      <c r="AN45" s="1118">
        <f t="shared" si="15"/>
        <v>99117374.367879719</v>
      </c>
      <c r="AO45" s="1118">
        <f t="shared" si="16"/>
        <v>58519015.547950298</v>
      </c>
      <c r="AP45" s="1118">
        <f t="shared" si="17"/>
        <v>67529995.035122186</v>
      </c>
      <c r="AQ45" s="1119"/>
      <c r="AU45" s="1117">
        <f t="shared" si="18"/>
        <v>225166384.95095223</v>
      </c>
      <c r="AV45" s="1118">
        <f t="shared" si="19"/>
        <v>99117374.367879719</v>
      </c>
      <c r="AW45" s="1118">
        <f t="shared" si="20"/>
        <v>58519015.547950298</v>
      </c>
      <c r="AX45" s="1118">
        <f t="shared" si="21"/>
        <v>67529995.035122186</v>
      </c>
      <c r="AY45" s="1119"/>
      <c r="BC45" s="1117">
        <f t="shared" si="22"/>
        <v>225166384.95095223</v>
      </c>
      <c r="BD45" s="1118">
        <f t="shared" si="23"/>
        <v>99117374.367879719</v>
      </c>
      <c r="BE45" s="1118">
        <f t="shared" si="24"/>
        <v>58519015.547950298</v>
      </c>
      <c r="BF45" s="1118">
        <f t="shared" si="25"/>
        <v>67529995.035122186</v>
      </c>
      <c r="BG45" s="1119"/>
      <c r="BK45" s="1117">
        <f t="shared" si="26"/>
        <v>225166384.95095223</v>
      </c>
      <c r="BL45" s="1118">
        <f t="shared" si="27"/>
        <v>99117374.367879719</v>
      </c>
      <c r="BM45" s="1118">
        <f t="shared" si="28"/>
        <v>58519015.547950298</v>
      </c>
      <c r="BN45" s="1118">
        <f t="shared" si="29"/>
        <v>67529995.035122186</v>
      </c>
      <c r="BO45" s="1119"/>
      <c r="BS45" s="1117">
        <f t="shared" si="30"/>
        <v>225166384.95095223</v>
      </c>
      <c r="BT45" s="1118">
        <f t="shared" si="31"/>
        <v>99117374.367879719</v>
      </c>
      <c r="BU45" s="1118">
        <f t="shared" si="32"/>
        <v>58519015.547950298</v>
      </c>
      <c r="BV45" s="1118">
        <f t="shared" si="33"/>
        <v>67529995.035122186</v>
      </c>
      <c r="BW45" s="1119"/>
      <c r="CA45" s="1117">
        <f t="shared" si="34"/>
        <v>225166384.95095223</v>
      </c>
      <c r="CB45" s="1118">
        <f t="shared" si="35"/>
        <v>99117374.367879719</v>
      </c>
      <c r="CC45" s="1118">
        <f t="shared" si="36"/>
        <v>58519015.547950298</v>
      </c>
      <c r="CD45" s="1118">
        <f t="shared" si="37"/>
        <v>67529995.035122186</v>
      </c>
      <c r="CE45" s="1119"/>
      <c r="CI45" s="1117">
        <f t="shared" si="38"/>
        <v>225166384.95095223</v>
      </c>
      <c r="CJ45" s="1118">
        <f t="shared" si="39"/>
        <v>99117374.367879719</v>
      </c>
      <c r="CK45" s="1118">
        <f t="shared" si="40"/>
        <v>58519015.547950298</v>
      </c>
      <c r="CL45" s="1118">
        <f t="shared" si="41"/>
        <v>67529995.035122186</v>
      </c>
      <c r="CM45" s="1119"/>
      <c r="CQ45" s="1117">
        <f t="shared" si="42"/>
        <v>225166384.95095223</v>
      </c>
      <c r="CR45" s="1118">
        <f t="shared" si="43"/>
        <v>99117374.367879719</v>
      </c>
      <c r="CS45" s="1118">
        <f t="shared" si="44"/>
        <v>58519015.547950298</v>
      </c>
      <c r="CT45" s="1118">
        <f t="shared" si="45"/>
        <v>67529995.035122186</v>
      </c>
      <c r="CU45" s="1119"/>
      <c r="CY45" s="1117">
        <f t="shared" si="46"/>
        <v>225166384.95095223</v>
      </c>
      <c r="CZ45" s="1118">
        <f t="shared" si="47"/>
        <v>99117374.367879719</v>
      </c>
      <c r="DA45" s="1118">
        <f t="shared" si="48"/>
        <v>58519015.547950298</v>
      </c>
      <c r="DB45" s="1118">
        <f t="shared" si="49"/>
        <v>67529995.035122186</v>
      </c>
      <c r="DC45" s="1119"/>
      <c r="DG45" s="1117">
        <f t="shared" si="50"/>
        <v>225166384.95095223</v>
      </c>
      <c r="DH45" s="1118">
        <f t="shared" si="51"/>
        <v>99117374.367879719</v>
      </c>
      <c r="DI45" s="1118">
        <f t="shared" si="52"/>
        <v>58519015.547950298</v>
      </c>
      <c r="DJ45" s="1118">
        <f t="shared" si="53"/>
        <v>67529995.035122186</v>
      </c>
      <c r="DK45" s="1119"/>
      <c r="DO45" s="1117">
        <f t="shared" si="54"/>
        <v>225166384.95095223</v>
      </c>
      <c r="DP45" s="1118">
        <f t="shared" si="55"/>
        <v>99117374.367879719</v>
      </c>
      <c r="DQ45" s="1118">
        <f t="shared" si="56"/>
        <v>58519015.547950298</v>
      </c>
      <c r="DR45" s="1118">
        <f t="shared" si="57"/>
        <v>67529995.035122186</v>
      </c>
      <c r="DS45" s="1119"/>
      <c r="DW45" s="1117">
        <f t="shared" si="58"/>
        <v>225166384.95095223</v>
      </c>
      <c r="DX45" s="1118">
        <f t="shared" si="59"/>
        <v>99117374.367879719</v>
      </c>
      <c r="DY45" s="1118">
        <f t="shared" si="60"/>
        <v>58519015.547950298</v>
      </c>
      <c r="DZ45" s="1118">
        <f t="shared" si="61"/>
        <v>67529995.035122186</v>
      </c>
      <c r="EA45" s="1119"/>
      <c r="EE45" s="1117">
        <f t="shared" si="62"/>
        <v>225166384.95095223</v>
      </c>
      <c r="EF45" s="1118">
        <f t="shared" si="63"/>
        <v>99117374.367879719</v>
      </c>
      <c r="EG45" s="1118">
        <f t="shared" si="64"/>
        <v>58519015.547950298</v>
      </c>
      <c r="EH45" s="1118">
        <f t="shared" si="65"/>
        <v>67529995.035122186</v>
      </c>
      <c r="EI45" s="1119"/>
      <c r="EM45" s="1117">
        <f t="shared" si="66"/>
        <v>225166384.95095223</v>
      </c>
      <c r="EN45" s="1118">
        <f t="shared" si="67"/>
        <v>99117374.367879719</v>
      </c>
      <c r="EO45" s="1118">
        <f t="shared" si="68"/>
        <v>58519015.547950298</v>
      </c>
      <c r="EP45" s="1118">
        <f t="shared" si="69"/>
        <v>67529995.035122186</v>
      </c>
      <c r="EQ45" s="1119"/>
      <c r="EU45" s="1117">
        <f t="shared" si="70"/>
        <v>225166384.95095223</v>
      </c>
      <c r="EV45" s="1118">
        <f t="shared" si="71"/>
        <v>99117374.367879719</v>
      </c>
      <c r="EW45" s="1118">
        <f t="shared" si="72"/>
        <v>58519015.547950298</v>
      </c>
      <c r="EX45" s="1118">
        <f t="shared" si="73"/>
        <v>67529995.035122186</v>
      </c>
      <c r="EY45" s="1119"/>
      <c r="FC45" s="1117">
        <f t="shared" si="74"/>
        <v>225166384.95095223</v>
      </c>
      <c r="FD45" s="1118">
        <f t="shared" si="75"/>
        <v>99117374.367879719</v>
      </c>
      <c r="FE45" s="1118">
        <f t="shared" si="76"/>
        <v>58519015.547950298</v>
      </c>
      <c r="FF45" s="1118">
        <f t="shared" si="77"/>
        <v>67529995.035122186</v>
      </c>
      <c r="FG45" s="1119"/>
      <c r="FK45" s="1117">
        <f t="shared" si="78"/>
        <v>225166384.95095223</v>
      </c>
      <c r="FL45" s="1118">
        <f t="shared" si="79"/>
        <v>99117374.367879719</v>
      </c>
      <c r="FM45" s="1118">
        <f t="shared" si="80"/>
        <v>58519015.547950298</v>
      </c>
      <c r="FN45" s="1118">
        <f t="shared" si="81"/>
        <v>67529995.035122186</v>
      </c>
      <c r="FO45" s="1119"/>
    </row>
    <row r="46" spans="1:171" x14ac:dyDescent="0.25">
      <c r="A46" s="1421"/>
      <c r="B46" s="10" t="s">
        <v>134</v>
      </c>
      <c r="C46" s="888" t="s">
        <v>70</v>
      </c>
      <c r="D46" s="889">
        <v>398</v>
      </c>
      <c r="E46" s="182" t="str">
        <f>'Sch 1- Rate Base '!E46</f>
        <v>PTD</v>
      </c>
      <c r="F46" s="890"/>
      <c r="G46" s="182">
        <f>'Sch 1- Rate Base '!G46</f>
        <v>3889871.2322740913</v>
      </c>
      <c r="H46" s="182">
        <f>'Sch 1- Rate Base '!H46</f>
        <v>1712306.316309788</v>
      </c>
      <c r="I46" s="182">
        <f>'Sch 1- Rate Base '!I46</f>
        <v>0</v>
      </c>
      <c r="J46" s="1422">
        <f>'Sch 1- Rate Base '!J46</f>
        <v>2177564.9159643031</v>
      </c>
      <c r="K46" s="904">
        <f t="shared" si="0"/>
        <v>1</v>
      </c>
      <c r="L46" s="1124">
        <f t="shared" si="1"/>
        <v>3.067345488476581E-4</v>
      </c>
      <c r="O46" s="1117">
        <f t="shared" si="2"/>
        <v>3889871.2322740913</v>
      </c>
      <c r="P46" s="1118">
        <f t="shared" si="3"/>
        <v>1712306.316309788</v>
      </c>
      <c r="Q46" s="1118">
        <f t="shared" si="4"/>
        <v>1010947.6828459847</v>
      </c>
      <c r="R46" s="1118">
        <f t="shared" si="5"/>
        <v>1166617.2331183183</v>
      </c>
      <c r="S46" s="1119"/>
      <c r="W46" s="1117">
        <f t="shared" si="6"/>
        <v>3889871.2322740913</v>
      </c>
      <c r="X46" s="1118">
        <f t="shared" si="7"/>
        <v>1712306.316309788</v>
      </c>
      <c r="Y46" s="1118">
        <f t="shared" si="8"/>
        <v>1010947.6828459847</v>
      </c>
      <c r="Z46" s="1118">
        <f t="shared" si="9"/>
        <v>1166617.2331183183</v>
      </c>
      <c r="AA46" s="1119"/>
      <c r="AE46" s="1117">
        <f t="shared" si="10"/>
        <v>3889871.2322740913</v>
      </c>
      <c r="AF46" s="1118">
        <f t="shared" si="11"/>
        <v>1712306.316309788</v>
      </c>
      <c r="AG46" s="1118">
        <f t="shared" si="12"/>
        <v>1010947.6828459847</v>
      </c>
      <c r="AH46" s="1118">
        <f t="shared" si="13"/>
        <v>1166617.2331183183</v>
      </c>
      <c r="AI46" s="1119"/>
      <c r="AM46" s="1117">
        <f t="shared" si="14"/>
        <v>3889871.2322740913</v>
      </c>
      <c r="AN46" s="1118">
        <f t="shared" si="15"/>
        <v>1712306.316309788</v>
      </c>
      <c r="AO46" s="1118">
        <f t="shared" si="16"/>
        <v>1010947.6828459847</v>
      </c>
      <c r="AP46" s="1118">
        <f t="shared" si="17"/>
        <v>1166617.2331183183</v>
      </c>
      <c r="AQ46" s="1119"/>
      <c r="AU46" s="1117">
        <f t="shared" si="18"/>
        <v>3889871.2322740913</v>
      </c>
      <c r="AV46" s="1118">
        <f t="shared" si="19"/>
        <v>1712306.316309788</v>
      </c>
      <c r="AW46" s="1118">
        <f t="shared" si="20"/>
        <v>1010947.6828459847</v>
      </c>
      <c r="AX46" s="1118">
        <f t="shared" si="21"/>
        <v>1166617.2331183183</v>
      </c>
      <c r="AY46" s="1119"/>
      <c r="BC46" s="1117">
        <f t="shared" si="22"/>
        <v>3889871.2322740913</v>
      </c>
      <c r="BD46" s="1118">
        <f t="shared" si="23"/>
        <v>1712306.316309788</v>
      </c>
      <c r="BE46" s="1118">
        <f t="shared" si="24"/>
        <v>1010947.6828459847</v>
      </c>
      <c r="BF46" s="1118">
        <f t="shared" si="25"/>
        <v>1166617.2331183183</v>
      </c>
      <c r="BG46" s="1119"/>
      <c r="BK46" s="1117">
        <f t="shared" si="26"/>
        <v>3889871.2322740913</v>
      </c>
      <c r="BL46" s="1118">
        <f t="shared" si="27"/>
        <v>1712306.316309788</v>
      </c>
      <c r="BM46" s="1118">
        <f t="shared" si="28"/>
        <v>1010947.6828459847</v>
      </c>
      <c r="BN46" s="1118">
        <f t="shared" si="29"/>
        <v>1166617.2331183183</v>
      </c>
      <c r="BO46" s="1119"/>
      <c r="BS46" s="1117">
        <f t="shared" si="30"/>
        <v>3889871.2322740913</v>
      </c>
      <c r="BT46" s="1118">
        <f t="shared" si="31"/>
        <v>1712306.316309788</v>
      </c>
      <c r="BU46" s="1118">
        <f t="shared" si="32"/>
        <v>1010947.6828459847</v>
      </c>
      <c r="BV46" s="1118">
        <f t="shared" si="33"/>
        <v>1166617.2331183183</v>
      </c>
      <c r="BW46" s="1119"/>
      <c r="CA46" s="1117">
        <f t="shared" si="34"/>
        <v>3889871.2322740913</v>
      </c>
      <c r="CB46" s="1118">
        <f t="shared" si="35"/>
        <v>1712306.316309788</v>
      </c>
      <c r="CC46" s="1118">
        <f t="shared" si="36"/>
        <v>1010947.6828459847</v>
      </c>
      <c r="CD46" s="1118">
        <f t="shared" si="37"/>
        <v>1166617.2331183183</v>
      </c>
      <c r="CE46" s="1119"/>
      <c r="CI46" s="1117">
        <f t="shared" si="38"/>
        <v>3889871.2322740913</v>
      </c>
      <c r="CJ46" s="1118">
        <f t="shared" si="39"/>
        <v>1712306.316309788</v>
      </c>
      <c r="CK46" s="1118">
        <f t="shared" si="40"/>
        <v>1010947.6828459847</v>
      </c>
      <c r="CL46" s="1118">
        <f t="shared" si="41"/>
        <v>1166617.2331183183</v>
      </c>
      <c r="CM46" s="1119"/>
      <c r="CQ46" s="1117">
        <f t="shared" si="42"/>
        <v>3889871.2322740913</v>
      </c>
      <c r="CR46" s="1118">
        <f t="shared" si="43"/>
        <v>1712306.316309788</v>
      </c>
      <c r="CS46" s="1118">
        <f t="shared" si="44"/>
        <v>1010947.6828459847</v>
      </c>
      <c r="CT46" s="1118">
        <f t="shared" si="45"/>
        <v>1166617.2331183183</v>
      </c>
      <c r="CU46" s="1119"/>
      <c r="CY46" s="1117">
        <f t="shared" si="46"/>
        <v>3889871.2322740913</v>
      </c>
      <c r="CZ46" s="1118">
        <f t="shared" si="47"/>
        <v>1712306.316309788</v>
      </c>
      <c r="DA46" s="1118">
        <f t="shared" si="48"/>
        <v>1010947.6828459847</v>
      </c>
      <c r="DB46" s="1118">
        <f t="shared" si="49"/>
        <v>1166617.2331183183</v>
      </c>
      <c r="DC46" s="1119"/>
      <c r="DG46" s="1117">
        <f t="shared" si="50"/>
        <v>3889871.2322740913</v>
      </c>
      <c r="DH46" s="1118">
        <f t="shared" si="51"/>
        <v>1712306.316309788</v>
      </c>
      <c r="DI46" s="1118">
        <f t="shared" si="52"/>
        <v>1010947.6828459847</v>
      </c>
      <c r="DJ46" s="1118">
        <f t="shared" si="53"/>
        <v>1166617.2331183183</v>
      </c>
      <c r="DK46" s="1119"/>
      <c r="DO46" s="1117">
        <f t="shared" si="54"/>
        <v>3889871.2322740913</v>
      </c>
      <c r="DP46" s="1118">
        <f t="shared" si="55"/>
        <v>1712306.316309788</v>
      </c>
      <c r="DQ46" s="1118">
        <f t="shared" si="56"/>
        <v>1010947.6828459847</v>
      </c>
      <c r="DR46" s="1118">
        <f t="shared" si="57"/>
        <v>1166617.2331183183</v>
      </c>
      <c r="DS46" s="1119"/>
      <c r="DW46" s="1117">
        <f t="shared" si="58"/>
        <v>3889871.2322740913</v>
      </c>
      <c r="DX46" s="1118">
        <f t="shared" si="59"/>
        <v>1712306.316309788</v>
      </c>
      <c r="DY46" s="1118">
        <f t="shared" si="60"/>
        <v>1010947.6828459847</v>
      </c>
      <c r="DZ46" s="1118">
        <f t="shared" si="61"/>
        <v>1166617.2331183183</v>
      </c>
      <c r="EA46" s="1119"/>
      <c r="EE46" s="1117">
        <f t="shared" si="62"/>
        <v>3889871.2322740913</v>
      </c>
      <c r="EF46" s="1118">
        <f t="shared" si="63"/>
        <v>1712306.316309788</v>
      </c>
      <c r="EG46" s="1118">
        <f t="shared" si="64"/>
        <v>1010947.6828459847</v>
      </c>
      <c r="EH46" s="1118">
        <f t="shared" si="65"/>
        <v>1166617.2331183183</v>
      </c>
      <c r="EI46" s="1119"/>
      <c r="EM46" s="1117">
        <f t="shared" si="66"/>
        <v>3889871.2322740913</v>
      </c>
      <c r="EN46" s="1118">
        <f t="shared" si="67"/>
        <v>1712306.316309788</v>
      </c>
      <c r="EO46" s="1118">
        <f t="shared" si="68"/>
        <v>1010947.6828459847</v>
      </c>
      <c r="EP46" s="1118">
        <f t="shared" si="69"/>
        <v>1166617.2331183183</v>
      </c>
      <c r="EQ46" s="1119"/>
      <c r="EU46" s="1117">
        <f t="shared" si="70"/>
        <v>3889871.2322740913</v>
      </c>
      <c r="EV46" s="1118">
        <f t="shared" si="71"/>
        <v>1712306.316309788</v>
      </c>
      <c r="EW46" s="1118">
        <f t="shared" si="72"/>
        <v>1010947.6828459847</v>
      </c>
      <c r="EX46" s="1118">
        <f t="shared" si="73"/>
        <v>1166617.2331183183</v>
      </c>
      <c r="EY46" s="1119"/>
      <c r="FC46" s="1117">
        <f t="shared" si="74"/>
        <v>3889871.2322740913</v>
      </c>
      <c r="FD46" s="1118">
        <f t="shared" si="75"/>
        <v>1712306.316309788</v>
      </c>
      <c r="FE46" s="1118">
        <f t="shared" si="76"/>
        <v>1010947.6828459847</v>
      </c>
      <c r="FF46" s="1118">
        <f t="shared" si="77"/>
        <v>1166617.2331183183</v>
      </c>
      <c r="FG46" s="1119"/>
      <c r="FK46" s="1117">
        <f t="shared" si="78"/>
        <v>3889871.2322740913</v>
      </c>
      <c r="FL46" s="1118">
        <f t="shared" si="79"/>
        <v>1712306.316309788</v>
      </c>
      <c r="FM46" s="1118">
        <f t="shared" si="80"/>
        <v>1010947.6828459847</v>
      </c>
      <c r="FN46" s="1118">
        <f t="shared" si="81"/>
        <v>1166617.2331183183</v>
      </c>
      <c r="FO46" s="1119"/>
    </row>
    <row r="47" spans="1:171" x14ac:dyDescent="0.25">
      <c r="A47" s="1421"/>
      <c r="B47" s="10" t="s">
        <v>256</v>
      </c>
      <c r="C47" s="888" t="s">
        <v>70</v>
      </c>
      <c r="D47" s="889">
        <v>399</v>
      </c>
      <c r="E47" s="182" t="str">
        <f>'Sch 1- Rate Base '!E47</f>
        <v>DIRECT</v>
      </c>
      <c r="F47" s="890"/>
      <c r="G47" s="182">
        <f>'Sch 1- Rate Base '!G47</f>
        <v>708735.65050650423</v>
      </c>
      <c r="H47" s="182">
        <f>'Sch 1- Rate Base '!H47</f>
        <v>708735.65050650423</v>
      </c>
      <c r="I47" s="182">
        <f>'Sch 1- Rate Base '!I47</f>
        <v>0</v>
      </c>
      <c r="J47" s="1422">
        <f>'Sch 1- Rate Base '!J47</f>
        <v>0</v>
      </c>
      <c r="K47" s="904">
        <f t="shared" si="0"/>
        <v>0</v>
      </c>
      <c r="L47" s="1124">
        <f t="shared" si="1"/>
        <v>5.5887122485355804E-5</v>
      </c>
      <c r="O47" s="1117">
        <f t="shared" si="2"/>
        <v>708735.65050650423</v>
      </c>
      <c r="P47" s="1118">
        <f t="shared" si="3"/>
        <v>708735.65050650423</v>
      </c>
      <c r="Q47" s="1118">
        <f t="shared" si="4"/>
        <v>0</v>
      </c>
      <c r="R47" s="1118">
        <f t="shared" si="5"/>
        <v>0</v>
      </c>
      <c r="S47" s="1119"/>
      <c r="W47" s="1117">
        <f t="shared" si="6"/>
        <v>708735.65050650423</v>
      </c>
      <c r="X47" s="1118">
        <f t="shared" si="7"/>
        <v>708735.65050650423</v>
      </c>
      <c r="Y47" s="1118">
        <f t="shared" si="8"/>
        <v>0</v>
      </c>
      <c r="Z47" s="1118">
        <f t="shared" si="9"/>
        <v>0</v>
      </c>
      <c r="AA47" s="1119"/>
      <c r="AE47" s="1117">
        <f t="shared" si="10"/>
        <v>708735.65050650423</v>
      </c>
      <c r="AF47" s="1118">
        <f t="shared" si="11"/>
        <v>708735.65050650423</v>
      </c>
      <c r="AG47" s="1118">
        <f t="shared" si="12"/>
        <v>0</v>
      </c>
      <c r="AH47" s="1118">
        <f t="shared" si="13"/>
        <v>0</v>
      </c>
      <c r="AI47" s="1119"/>
      <c r="AM47" s="1117">
        <f t="shared" si="14"/>
        <v>708735.65050650423</v>
      </c>
      <c r="AN47" s="1118">
        <f t="shared" si="15"/>
        <v>708735.65050650423</v>
      </c>
      <c r="AO47" s="1118">
        <f t="shared" si="16"/>
        <v>0</v>
      </c>
      <c r="AP47" s="1118">
        <f t="shared" si="17"/>
        <v>0</v>
      </c>
      <c r="AQ47" s="1119"/>
      <c r="AU47" s="1117">
        <f t="shared" si="18"/>
        <v>708735.65050650423</v>
      </c>
      <c r="AV47" s="1118">
        <f t="shared" si="19"/>
        <v>708735.65050650423</v>
      </c>
      <c r="AW47" s="1118">
        <f t="shared" si="20"/>
        <v>0</v>
      </c>
      <c r="AX47" s="1118">
        <f t="shared" si="21"/>
        <v>0</v>
      </c>
      <c r="AY47" s="1119"/>
      <c r="BC47" s="1117">
        <f t="shared" si="22"/>
        <v>708735.65050650423</v>
      </c>
      <c r="BD47" s="1118">
        <f t="shared" si="23"/>
        <v>708735.65050650423</v>
      </c>
      <c r="BE47" s="1118">
        <f t="shared" si="24"/>
        <v>0</v>
      </c>
      <c r="BF47" s="1118">
        <f t="shared" si="25"/>
        <v>0</v>
      </c>
      <c r="BG47" s="1119"/>
      <c r="BK47" s="1117">
        <f t="shared" si="26"/>
        <v>708735.65050650423</v>
      </c>
      <c r="BL47" s="1118">
        <f t="shared" si="27"/>
        <v>708735.65050650423</v>
      </c>
      <c r="BM47" s="1118">
        <f t="shared" si="28"/>
        <v>0</v>
      </c>
      <c r="BN47" s="1118">
        <f t="shared" si="29"/>
        <v>0</v>
      </c>
      <c r="BO47" s="1119"/>
      <c r="BS47" s="1117">
        <f t="shared" si="30"/>
        <v>708735.65050650423</v>
      </c>
      <c r="BT47" s="1118">
        <f t="shared" si="31"/>
        <v>708735.65050650423</v>
      </c>
      <c r="BU47" s="1118">
        <f t="shared" si="32"/>
        <v>0</v>
      </c>
      <c r="BV47" s="1118">
        <f t="shared" si="33"/>
        <v>0</v>
      </c>
      <c r="BW47" s="1119"/>
      <c r="CA47" s="1117">
        <f t="shared" si="34"/>
        <v>708735.65050650423</v>
      </c>
      <c r="CB47" s="1118">
        <f t="shared" si="35"/>
        <v>708735.65050650423</v>
      </c>
      <c r="CC47" s="1118">
        <f t="shared" si="36"/>
        <v>0</v>
      </c>
      <c r="CD47" s="1118">
        <f t="shared" si="37"/>
        <v>0</v>
      </c>
      <c r="CE47" s="1119"/>
      <c r="CI47" s="1117">
        <f t="shared" si="38"/>
        <v>708735.65050650423</v>
      </c>
      <c r="CJ47" s="1118">
        <f t="shared" si="39"/>
        <v>708735.65050650423</v>
      </c>
      <c r="CK47" s="1118">
        <f t="shared" si="40"/>
        <v>0</v>
      </c>
      <c r="CL47" s="1118">
        <f t="shared" si="41"/>
        <v>0</v>
      </c>
      <c r="CM47" s="1119"/>
      <c r="CQ47" s="1117">
        <f t="shared" si="42"/>
        <v>708735.65050650423</v>
      </c>
      <c r="CR47" s="1118">
        <f t="shared" si="43"/>
        <v>708735.65050650423</v>
      </c>
      <c r="CS47" s="1118">
        <f t="shared" si="44"/>
        <v>0</v>
      </c>
      <c r="CT47" s="1118">
        <f t="shared" si="45"/>
        <v>0</v>
      </c>
      <c r="CU47" s="1119"/>
      <c r="CY47" s="1117">
        <f t="shared" si="46"/>
        <v>708735.65050650423</v>
      </c>
      <c r="CZ47" s="1118">
        <f t="shared" si="47"/>
        <v>708735.65050650423</v>
      </c>
      <c r="DA47" s="1118">
        <f t="shared" si="48"/>
        <v>0</v>
      </c>
      <c r="DB47" s="1118">
        <f t="shared" si="49"/>
        <v>0</v>
      </c>
      <c r="DC47" s="1119"/>
      <c r="DG47" s="1117">
        <f t="shared" si="50"/>
        <v>708735.65050650423</v>
      </c>
      <c r="DH47" s="1118">
        <f t="shared" si="51"/>
        <v>708735.65050650423</v>
      </c>
      <c r="DI47" s="1118">
        <f t="shared" si="52"/>
        <v>0</v>
      </c>
      <c r="DJ47" s="1118">
        <f t="shared" si="53"/>
        <v>0</v>
      </c>
      <c r="DK47" s="1119"/>
      <c r="DO47" s="1117">
        <f t="shared" si="54"/>
        <v>708735.65050650423</v>
      </c>
      <c r="DP47" s="1118">
        <f t="shared" si="55"/>
        <v>708735.65050650423</v>
      </c>
      <c r="DQ47" s="1118">
        <f t="shared" si="56"/>
        <v>0</v>
      </c>
      <c r="DR47" s="1118">
        <f t="shared" si="57"/>
        <v>0</v>
      </c>
      <c r="DS47" s="1119"/>
      <c r="DW47" s="1117">
        <f t="shared" si="58"/>
        <v>708735.65050650423</v>
      </c>
      <c r="DX47" s="1118">
        <f t="shared" si="59"/>
        <v>708735.65050650423</v>
      </c>
      <c r="DY47" s="1118">
        <f t="shared" si="60"/>
        <v>0</v>
      </c>
      <c r="DZ47" s="1118">
        <f t="shared" si="61"/>
        <v>0</v>
      </c>
      <c r="EA47" s="1119"/>
      <c r="EE47" s="1117">
        <f t="shared" si="62"/>
        <v>708735.65050650423</v>
      </c>
      <c r="EF47" s="1118">
        <f t="shared" si="63"/>
        <v>708735.65050650423</v>
      </c>
      <c r="EG47" s="1118">
        <f t="shared" si="64"/>
        <v>0</v>
      </c>
      <c r="EH47" s="1118">
        <f t="shared" si="65"/>
        <v>0</v>
      </c>
      <c r="EI47" s="1119"/>
      <c r="EM47" s="1117">
        <f t="shared" si="66"/>
        <v>708735.65050650423</v>
      </c>
      <c r="EN47" s="1118">
        <f t="shared" si="67"/>
        <v>708735.65050650423</v>
      </c>
      <c r="EO47" s="1118">
        <f t="shared" si="68"/>
        <v>0</v>
      </c>
      <c r="EP47" s="1118">
        <f t="shared" si="69"/>
        <v>0</v>
      </c>
      <c r="EQ47" s="1119"/>
      <c r="EU47" s="1117">
        <f t="shared" si="70"/>
        <v>708735.65050650423</v>
      </c>
      <c r="EV47" s="1118">
        <f t="shared" si="71"/>
        <v>708735.65050650423</v>
      </c>
      <c r="EW47" s="1118">
        <f t="shared" si="72"/>
        <v>0</v>
      </c>
      <c r="EX47" s="1118">
        <f t="shared" si="73"/>
        <v>0</v>
      </c>
      <c r="EY47" s="1119"/>
      <c r="FC47" s="1117">
        <f t="shared" si="74"/>
        <v>708735.65050650423</v>
      </c>
      <c r="FD47" s="1118">
        <f t="shared" si="75"/>
        <v>708735.65050650423</v>
      </c>
      <c r="FE47" s="1118">
        <f t="shared" si="76"/>
        <v>0</v>
      </c>
      <c r="FF47" s="1118">
        <f t="shared" si="77"/>
        <v>0</v>
      </c>
      <c r="FG47" s="1119"/>
      <c r="FK47" s="1117">
        <f t="shared" si="78"/>
        <v>708735.65050650423</v>
      </c>
      <c r="FL47" s="1118">
        <f t="shared" si="79"/>
        <v>708735.65050650423</v>
      </c>
      <c r="FM47" s="1118">
        <f t="shared" si="80"/>
        <v>0</v>
      </c>
      <c r="FN47" s="1118">
        <f t="shared" si="81"/>
        <v>0</v>
      </c>
      <c r="FO47" s="1119"/>
    </row>
    <row r="48" spans="1:171" x14ac:dyDescent="0.25">
      <c r="A48" s="1421"/>
      <c r="B48" s="10" t="s">
        <v>442</v>
      </c>
      <c r="C48" s="888" t="s">
        <v>443</v>
      </c>
      <c r="D48" s="889">
        <v>399.1</v>
      </c>
      <c r="E48" s="182" t="str">
        <f>'Sch 1- Rate Base '!E48</f>
        <v>PTD</v>
      </c>
      <c r="F48" s="890"/>
      <c r="G48" s="182">
        <f>'Sch 1- Rate Base '!G48</f>
        <v>15896.576261311178</v>
      </c>
      <c r="H48" s="182">
        <f>'Sch 1- Rate Base '!H48</f>
        <v>6997.6115697871464</v>
      </c>
      <c r="I48" s="182">
        <f>'Sch 1- Rate Base '!I48</f>
        <v>0</v>
      </c>
      <c r="J48" s="1422">
        <f>'Sch 1- Rate Base '!J48</f>
        <v>8898.9646915240301</v>
      </c>
      <c r="K48" s="904">
        <f t="shared" si="0"/>
        <v>1</v>
      </c>
      <c r="L48" s="1124">
        <f t="shared" si="1"/>
        <v>1.2535194243139658E-6</v>
      </c>
      <c r="M48" s="1125">
        <f>SUM(L37:L48)</f>
        <v>5.116470025815481E-2</v>
      </c>
      <c r="O48" s="1117">
        <f t="shared" si="2"/>
        <v>15896.576261311178</v>
      </c>
      <c r="P48" s="1118">
        <f t="shared" si="3"/>
        <v>6997.6115697871464</v>
      </c>
      <c r="Q48" s="1118">
        <f t="shared" si="4"/>
        <v>4131.3981818266629</v>
      </c>
      <c r="R48" s="1118">
        <f t="shared" si="5"/>
        <v>4767.5665096973671</v>
      </c>
      <c r="S48" s="1119"/>
      <c r="W48" s="1117">
        <f t="shared" si="6"/>
        <v>15896.576261311178</v>
      </c>
      <c r="X48" s="1118">
        <f t="shared" si="7"/>
        <v>6997.6115697871464</v>
      </c>
      <c r="Y48" s="1118">
        <f t="shared" si="8"/>
        <v>4131.3981818266629</v>
      </c>
      <c r="Z48" s="1118">
        <f t="shared" si="9"/>
        <v>4767.5665096973671</v>
      </c>
      <c r="AA48" s="1119"/>
      <c r="AE48" s="1117">
        <f t="shared" si="10"/>
        <v>15896.576261311178</v>
      </c>
      <c r="AF48" s="1118">
        <f t="shared" si="11"/>
        <v>6997.6115697871464</v>
      </c>
      <c r="AG48" s="1118">
        <f t="shared" si="12"/>
        <v>4131.3981818266629</v>
      </c>
      <c r="AH48" s="1118">
        <f t="shared" si="13"/>
        <v>4767.5665096973671</v>
      </c>
      <c r="AI48" s="1119"/>
      <c r="AM48" s="1117">
        <f t="shared" si="14"/>
        <v>15896.576261311178</v>
      </c>
      <c r="AN48" s="1118">
        <f t="shared" si="15"/>
        <v>6997.6115697871464</v>
      </c>
      <c r="AO48" s="1118">
        <f t="shared" si="16"/>
        <v>4131.3981818266629</v>
      </c>
      <c r="AP48" s="1118">
        <f t="shared" si="17"/>
        <v>4767.5665096973671</v>
      </c>
      <c r="AQ48" s="1119"/>
      <c r="AU48" s="1117">
        <f t="shared" si="18"/>
        <v>15896.576261311178</v>
      </c>
      <c r="AV48" s="1118">
        <f t="shared" si="19"/>
        <v>6997.6115697871464</v>
      </c>
      <c r="AW48" s="1118">
        <f t="shared" si="20"/>
        <v>4131.3981818266629</v>
      </c>
      <c r="AX48" s="1118">
        <f t="shared" si="21"/>
        <v>4767.5665096973671</v>
      </c>
      <c r="AY48" s="1119"/>
      <c r="BC48" s="1117">
        <f t="shared" si="22"/>
        <v>15896.576261311178</v>
      </c>
      <c r="BD48" s="1118">
        <f t="shared" si="23"/>
        <v>6997.6115697871464</v>
      </c>
      <c r="BE48" s="1118">
        <f t="shared" si="24"/>
        <v>4131.3981818266629</v>
      </c>
      <c r="BF48" s="1118">
        <f t="shared" si="25"/>
        <v>4767.5665096973671</v>
      </c>
      <c r="BG48" s="1119"/>
      <c r="BK48" s="1117">
        <f t="shared" si="26"/>
        <v>15896.576261311178</v>
      </c>
      <c r="BL48" s="1118">
        <f t="shared" si="27"/>
        <v>6997.6115697871464</v>
      </c>
      <c r="BM48" s="1118">
        <f t="shared" si="28"/>
        <v>4131.3981818266629</v>
      </c>
      <c r="BN48" s="1118">
        <f t="shared" si="29"/>
        <v>4767.5665096973671</v>
      </c>
      <c r="BO48" s="1119"/>
      <c r="BS48" s="1117">
        <f t="shared" si="30"/>
        <v>15896.576261311178</v>
      </c>
      <c r="BT48" s="1118">
        <f t="shared" si="31"/>
        <v>6997.6115697871464</v>
      </c>
      <c r="BU48" s="1118">
        <f t="shared" si="32"/>
        <v>4131.3981818266629</v>
      </c>
      <c r="BV48" s="1118">
        <f t="shared" si="33"/>
        <v>4767.5665096973671</v>
      </c>
      <c r="BW48" s="1119"/>
      <c r="CA48" s="1117">
        <f t="shared" si="34"/>
        <v>15896.576261311178</v>
      </c>
      <c r="CB48" s="1118">
        <f t="shared" si="35"/>
        <v>6997.6115697871464</v>
      </c>
      <c r="CC48" s="1118">
        <f t="shared" si="36"/>
        <v>4131.3981818266629</v>
      </c>
      <c r="CD48" s="1118">
        <f t="shared" si="37"/>
        <v>4767.5665096973671</v>
      </c>
      <c r="CE48" s="1119"/>
      <c r="CI48" s="1117">
        <f t="shared" si="38"/>
        <v>15896.576261311178</v>
      </c>
      <c r="CJ48" s="1118">
        <f t="shared" si="39"/>
        <v>6997.6115697871464</v>
      </c>
      <c r="CK48" s="1118">
        <f t="shared" si="40"/>
        <v>4131.3981818266629</v>
      </c>
      <c r="CL48" s="1118">
        <f t="shared" si="41"/>
        <v>4767.5665096973671</v>
      </c>
      <c r="CM48" s="1119"/>
      <c r="CQ48" s="1117">
        <f t="shared" si="42"/>
        <v>15896.576261311178</v>
      </c>
      <c r="CR48" s="1118">
        <f t="shared" si="43"/>
        <v>6997.6115697871464</v>
      </c>
      <c r="CS48" s="1118">
        <f t="shared" si="44"/>
        <v>4131.3981818266629</v>
      </c>
      <c r="CT48" s="1118">
        <f t="shared" si="45"/>
        <v>4767.5665096973671</v>
      </c>
      <c r="CU48" s="1119"/>
      <c r="CY48" s="1117">
        <f t="shared" si="46"/>
        <v>15896.576261311178</v>
      </c>
      <c r="CZ48" s="1118">
        <f t="shared" si="47"/>
        <v>6997.6115697871464</v>
      </c>
      <c r="DA48" s="1118">
        <f t="shared" si="48"/>
        <v>4131.3981818266629</v>
      </c>
      <c r="DB48" s="1118">
        <f t="shared" si="49"/>
        <v>4767.5665096973671</v>
      </c>
      <c r="DC48" s="1119"/>
      <c r="DG48" s="1117">
        <f t="shared" si="50"/>
        <v>15896.576261311178</v>
      </c>
      <c r="DH48" s="1118">
        <f t="shared" si="51"/>
        <v>6997.6115697871464</v>
      </c>
      <c r="DI48" s="1118">
        <f t="shared" si="52"/>
        <v>4131.3981818266629</v>
      </c>
      <c r="DJ48" s="1118">
        <f t="shared" si="53"/>
        <v>4767.5665096973671</v>
      </c>
      <c r="DK48" s="1119"/>
      <c r="DO48" s="1117">
        <f t="shared" si="54"/>
        <v>15896.576261311178</v>
      </c>
      <c r="DP48" s="1118">
        <f t="shared" si="55"/>
        <v>6997.6115697871464</v>
      </c>
      <c r="DQ48" s="1118">
        <f t="shared" si="56"/>
        <v>4131.3981818266629</v>
      </c>
      <c r="DR48" s="1118">
        <f t="shared" si="57"/>
        <v>4767.5665096973671</v>
      </c>
      <c r="DS48" s="1119"/>
      <c r="DW48" s="1117">
        <f t="shared" si="58"/>
        <v>15896.576261311178</v>
      </c>
      <c r="DX48" s="1118">
        <f t="shared" si="59"/>
        <v>6997.6115697871464</v>
      </c>
      <c r="DY48" s="1118">
        <f t="shared" si="60"/>
        <v>4131.3981818266629</v>
      </c>
      <c r="DZ48" s="1118">
        <f t="shared" si="61"/>
        <v>4767.5665096973671</v>
      </c>
      <c r="EA48" s="1119"/>
      <c r="EE48" s="1117">
        <f t="shared" si="62"/>
        <v>15896.576261311178</v>
      </c>
      <c r="EF48" s="1118">
        <f t="shared" si="63"/>
        <v>6997.6115697871464</v>
      </c>
      <c r="EG48" s="1118">
        <f t="shared" si="64"/>
        <v>4131.3981818266629</v>
      </c>
      <c r="EH48" s="1118">
        <f t="shared" si="65"/>
        <v>4767.5665096973671</v>
      </c>
      <c r="EI48" s="1119"/>
      <c r="EM48" s="1117">
        <f t="shared" si="66"/>
        <v>15896.576261311178</v>
      </c>
      <c r="EN48" s="1118">
        <f t="shared" si="67"/>
        <v>6997.6115697871464</v>
      </c>
      <c r="EO48" s="1118">
        <f t="shared" si="68"/>
        <v>4131.3981818266629</v>
      </c>
      <c r="EP48" s="1118">
        <f t="shared" si="69"/>
        <v>4767.5665096973671</v>
      </c>
      <c r="EQ48" s="1119"/>
      <c r="EU48" s="1117">
        <f t="shared" si="70"/>
        <v>15896.576261311178</v>
      </c>
      <c r="EV48" s="1118">
        <f t="shared" si="71"/>
        <v>6997.6115697871464</v>
      </c>
      <c r="EW48" s="1118">
        <f t="shared" si="72"/>
        <v>4131.3981818266629</v>
      </c>
      <c r="EX48" s="1118">
        <f t="shared" si="73"/>
        <v>4767.5665096973671</v>
      </c>
      <c r="EY48" s="1119"/>
      <c r="FC48" s="1117">
        <f t="shared" si="74"/>
        <v>15896.576261311178</v>
      </c>
      <c r="FD48" s="1118">
        <f t="shared" si="75"/>
        <v>6997.6115697871464</v>
      </c>
      <c r="FE48" s="1118">
        <f t="shared" si="76"/>
        <v>4131.3981818266629</v>
      </c>
      <c r="FF48" s="1118">
        <f t="shared" si="77"/>
        <v>4767.5665096973671</v>
      </c>
      <c r="FG48" s="1119"/>
      <c r="FK48" s="1117">
        <f t="shared" si="78"/>
        <v>15896.576261311178</v>
      </c>
      <c r="FL48" s="1118">
        <f t="shared" si="79"/>
        <v>6997.6115697871464</v>
      </c>
      <c r="FM48" s="1118">
        <f t="shared" si="80"/>
        <v>4131.3981818266629</v>
      </c>
      <c r="FN48" s="1118">
        <f t="shared" si="81"/>
        <v>4767.5665096973671</v>
      </c>
      <c r="FO48" s="1119"/>
    </row>
    <row r="49" spans="1:171" x14ac:dyDescent="0.25">
      <c r="A49" s="1361"/>
      <c r="B49" s="10"/>
      <c r="C49" s="55"/>
      <c r="D49" s="196"/>
      <c r="E49" s="196"/>
      <c r="F49" s="196"/>
      <c r="G49" s="922"/>
      <c r="H49" s="198"/>
      <c r="I49" s="198"/>
      <c r="J49" s="1427"/>
      <c r="K49" s="904"/>
      <c r="S49" s="1119"/>
      <c r="AA49" s="1119"/>
      <c r="AI49" s="1119"/>
      <c r="AQ49" s="1119"/>
      <c r="AY49" s="1119"/>
      <c r="BG49" s="1119"/>
      <c r="BO49" s="1119"/>
      <c r="BW49" s="1119"/>
      <c r="CE49" s="1119"/>
      <c r="CM49" s="1119"/>
      <c r="CU49" s="1119"/>
      <c r="DC49" s="1119"/>
      <c r="DK49" s="1119"/>
      <c r="DS49" s="1119"/>
      <c r="EA49" s="1119"/>
      <c r="EI49" s="1119"/>
      <c r="EQ49" s="1119"/>
      <c r="EY49" s="1119"/>
      <c r="FG49" s="1119"/>
      <c r="FO49" s="1119"/>
    </row>
    <row r="50" spans="1:171" x14ac:dyDescent="0.25">
      <c r="A50" s="1350" t="s">
        <v>135</v>
      </c>
      <c r="B50" s="64"/>
      <c r="C50" s="915"/>
      <c r="D50" s="916"/>
      <c r="E50" s="916"/>
      <c r="F50" s="917"/>
      <c r="G50" s="906">
        <f>SUM(G37:G49)</f>
        <v>648847990.51759219</v>
      </c>
      <c r="H50" s="906">
        <f>SUM(H37:H49)</f>
        <v>208013093.03974915</v>
      </c>
      <c r="I50" s="906">
        <f>SUM(I37:I49)</f>
        <v>0</v>
      </c>
      <c r="J50" s="1415">
        <f>SUM(J37:J49)</f>
        <v>440834897.47784311</v>
      </c>
      <c r="K50" s="904"/>
      <c r="O50" s="1123">
        <f>SUM(O37:O49)</f>
        <v>648847990.51759219</v>
      </c>
      <c r="P50" s="1123">
        <f>SUM(P37:P49)</f>
        <v>208013093.03974912</v>
      </c>
      <c r="Q50" s="1123">
        <f>SUM(Q37:Q49)</f>
        <v>195228616.65315571</v>
      </c>
      <c r="R50" s="1123">
        <f>SUM(R37:R49)</f>
        <v>245606280.82468733</v>
      </c>
      <c r="S50" s="1074"/>
      <c r="W50" s="1123">
        <f>SUM(W37:W49)</f>
        <v>648847990.51759219</v>
      </c>
      <c r="X50" s="1123">
        <f>SUM(X37:X49)</f>
        <v>208013093.03974912</v>
      </c>
      <c r="Y50" s="1123">
        <f>SUM(Y37:Y49)</f>
        <v>195228616.65315571</v>
      </c>
      <c r="Z50" s="1123">
        <f>SUM(Z37:Z49)</f>
        <v>245606280.82468733</v>
      </c>
      <c r="AA50" s="1074"/>
      <c r="AE50" s="1123">
        <f>SUM(AE37:AE49)</f>
        <v>648847990.51759219</v>
      </c>
      <c r="AF50" s="1123">
        <f>SUM(AF37:AF49)</f>
        <v>208013093.03974912</v>
      </c>
      <c r="AG50" s="1123">
        <f>SUM(AG37:AG49)</f>
        <v>195228616.65315571</v>
      </c>
      <c r="AH50" s="1123">
        <f>SUM(AH37:AH49)</f>
        <v>245606280.82468733</v>
      </c>
      <c r="AI50" s="1074"/>
      <c r="AM50" s="1123">
        <f>SUM(AM37:AM49)</f>
        <v>648847990.51759219</v>
      </c>
      <c r="AN50" s="1123">
        <f>SUM(AN37:AN49)</f>
        <v>208013093.03974912</v>
      </c>
      <c r="AO50" s="1123">
        <f>SUM(AO37:AO49)</f>
        <v>195228616.65315571</v>
      </c>
      <c r="AP50" s="1123">
        <f>SUM(AP37:AP49)</f>
        <v>245606280.82468733</v>
      </c>
      <c r="AQ50" s="1074"/>
      <c r="AU50" s="1123">
        <f>SUM(AU37:AU49)</f>
        <v>648847990.51759219</v>
      </c>
      <c r="AV50" s="1123">
        <f>SUM(AV37:AV49)</f>
        <v>208013093.03974912</v>
      </c>
      <c r="AW50" s="1123">
        <f>SUM(AW37:AW49)</f>
        <v>195228616.65315571</v>
      </c>
      <c r="AX50" s="1123">
        <f>SUM(AX37:AX49)</f>
        <v>245606280.82468733</v>
      </c>
      <c r="AY50" s="1074"/>
      <c r="BC50" s="1123">
        <f>SUM(BC37:BC49)</f>
        <v>648847990.51759219</v>
      </c>
      <c r="BD50" s="1123">
        <f>SUM(BD37:BD49)</f>
        <v>208013093.03974912</v>
      </c>
      <c r="BE50" s="1123">
        <f>SUM(BE37:BE49)</f>
        <v>195228616.65315571</v>
      </c>
      <c r="BF50" s="1123">
        <f>SUM(BF37:BF49)</f>
        <v>245606280.82468733</v>
      </c>
      <c r="BG50" s="1074"/>
      <c r="BK50" s="1123">
        <f>SUM(BK37:BK49)</f>
        <v>648847990.51759219</v>
      </c>
      <c r="BL50" s="1123">
        <f>SUM(BL37:BL49)</f>
        <v>208013093.03974912</v>
      </c>
      <c r="BM50" s="1123">
        <f>SUM(BM37:BM49)</f>
        <v>195228616.65315571</v>
      </c>
      <c r="BN50" s="1123">
        <f>SUM(BN37:BN49)</f>
        <v>245606280.82468733</v>
      </c>
      <c r="BO50" s="1074"/>
      <c r="BS50" s="1123">
        <f>SUM(BS37:BS49)</f>
        <v>648847990.51759219</v>
      </c>
      <c r="BT50" s="1123">
        <f>SUM(BT37:BT49)</f>
        <v>208013093.03974912</v>
      </c>
      <c r="BU50" s="1123">
        <f>SUM(BU37:BU49)</f>
        <v>195228616.65315571</v>
      </c>
      <c r="BV50" s="1123">
        <f>SUM(BV37:BV49)</f>
        <v>245606280.82468733</v>
      </c>
      <c r="BW50" s="1074"/>
      <c r="CA50" s="1123">
        <f>SUM(CA37:CA49)</f>
        <v>648847990.51759219</v>
      </c>
      <c r="CB50" s="1123">
        <f>SUM(CB37:CB49)</f>
        <v>208013093.03974912</v>
      </c>
      <c r="CC50" s="1123">
        <f>SUM(CC37:CC49)</f>
        <v>195228616.65315571</v>
      </c>
      <c r="CD50" s="1123">
        <f>SUM(CD37:CD49)</f>
        <v>245606280.82468733</v>
      </c>
      <c r="CE50" s="1074"/>
      <c r="CI50" s="1123">
        <f>SUM(CI37:CI49)</f>
        <v>648847990.51759219</v>
      </c>
      <c r="CJ50" s="1123">
        <f>SUM(CJ37:CJ49)</f>
        <v>208013093.03974912</v>
      </c>
      <c r="CK50" s="1123">
        <f>SUM(CK37:CK49)</f>
        <v>195228616.65315571</v>
      </c>
      <c r="CL50" s="1123">
        <f>SUM(CL37:CL49)</f>
        <v>245606280.82468733</v>
      </c>
      <c r="CM50" s="1074"/>
      <c r="CQ50" s="1123">
        <f>SUM(CQ37:CQ49)</f>
        <v>648847990.51759219</v>
      </c>
      <c r="CR50" s="1123">
        <f>SUM(CR37:CR49)</f>
        <v>208013093.03974912</v>
      </c>
      <c r="CS50" s="1123">
        <f>SUM(CS37:CS49)</f>
        <v>195228616.65315571</v>
      </c>
      <c r="CT50" s="1123">
        <f>SUM(CT37:CT49)</f>
        <v>245606280.82468733</v>
      </c>
      <c r="CU50" s="1074"/>
      <c r="CY50" s="1123">
        <f>SUM(CY37:CY49)</f>
        <v>648847990.51759219</v>
      </c>
      <c r="CZ50" s="1123">
        <f>SUM(CZ37:CZ49)</f>
        <v>208013093.03974912</v>
      </c>
      <c r="DA50" s="1123">
        <f>SUM(DA37:DA49)</f>
        <v>195228616.65315571</v>
      </c>
      <c r="DB50" s="1123">
        <f>SUM(DB37:DB49)</f>
        <v>245606280.82468733</v>
      </c>
      <c r="DC50" s="1074"/>
      <c r="DG50" s="1123">
        <f>SUM(DG37:DG49)</f>
        <v>648847990.51759219</v>
      </c>
      <c r="DH50" s="1123">
        <f>SUM(DH37:DH49)</f>
        <v>208013093.03974912</v>
      </c>
      <c r="DI50" s="1123">
        <f>SUM(DI37:DI49)</f>
        <v>195228616.65315571</v>
      </c>
      <c r="DJ50" s="1123">
        <f>SUM(DJ37:DJ49)</f>
        <v>245606280.82468733</v>
      </c>
      <c r="DK50" s="1074"/>
      <c r="DO50" s="1123">
        <f>SUM(DO37:DO49)</f>
        <v>648847990.51759219</v>
      </c>
      <c r="DP50" s="1123">
        <f>SUM(DP37:DP49)</f>
        <v>208013093.03974912</v>
      </c>
      <c r="DQ50" s="1123">
        <f>SUM(DQ37:DQ49)</f>
        <v>195228616.65315571</v>
      </c>
      <c r="DR50" s="1123">
        <f>SUM(DR37:DR49)</f>
        <v>245606280.82468733</v>
      </c>
      <c r="DS50" s="1074"/>
      <c r="DW50" s="1123">
        <f>SUM(DW37:DW49)</f>
        <v>648847990.51759219</v>
      </c>
      <c r="DX50" s="1123">
        <f>SUM(DX37:DX49)</f>
        <v>208013093.03974912</v>
      </c>
      <c r="DY50" s="1123">
        <f>SUM(DY37:DY49)</f>
        <v>195228616.65315571</v>
      </c>
      <c r="DZ50" s="1123">
        <f>SUM(DZ37:DZ49)</f>
        <v>245606280.82468733</v>
      </c>
      <c r="EA50" s="1074"/>
      <c r="EE50" s="1123">
        <f>SUM(EE37:EE49)</f>
        <v>648847990.51759219</v>
      </c>
      <c r="EF50" s="1123">
        <f>SUM(EF37:EF49)</f>
        <v>208013093.03974912</v>
      </c>
      <c r="EG50" s="1123">
        <f>SUM(EG37:EG49)</f>
        <v>195228616.65315571</v>
      </c>
      <c r="EH50" s="1123">
        <f>SUM(EH37:EH49)</f>
        <v>245606280.82468733</v>
      </c>
      <c r="EI50" s="1074"/>
      <c r="EM50" s="1123">
        <f>SUM(EM37:EM49)</f>
        <v>648847990.51759219</v>
      </c>
      <c r="EN50" s="1123">
        <f>SUM(EN37:EN49)</f>
        <v>208013093.03974912</v>
      </c>
      <c r="EO50" s="1123">
        <f>SUM(EO37:EO49)</f>
        <v>195228616.65315571</v>
      </c>
      <c r="EP50" s="1123">
        <f>SUM(EP37:EP49)</f>
        <v>245606280.82468733</v>
      </c>
      <c r="EQ50" s="1074"/>
      <c r="EU50" s="1123">
        <f>SUM(EU37:EU49)</f>
        <v>648847990.51759219</v>
      </c>
      <c r="EV50" s="1123">
        <f>SUM(EV37:EV49)</f>
        <v>208013093.03974912</v>
      </c>
      <c r="EW50" s="1123">
        <f>SUM(EW37:EW49)</f>
        <v>195228616.65315571</v>
      </c>
      <c r="EX50" s="1123">
        <f>SUM(EX37:EX49)</f>
        <v>245606280.82468733</v>
      </c>
      <c r="EY50" s="1074"/>
      <c r="FC50" s="1123">
        <f>SUM(FC37:FC49)</f>
        <v>648847990.51759219</v>
      </c>
      <c r="FD50" s="1123">
        <f>SUM(FD37:FD49)</f>
        <v>208013093.03974912</v>
      </c>
      <c r="FE50" s="1123">
        <f>SUM(FE37:FE49)</f>
        <v>195228616.65315571</v>
      </c>
      <c r="FF50" s="1123">
        <f>SUM(FF37:FF49)</f>
        <v>245606280.82468733</v>
      </c>
      <c r="FG50" s="1074"/>
      <c r="FK50" s="1123">
        <f>SUM(FK37:FK49)</f>
        <v>648847990.51759219</v>
      </c>
      <c r="FL50" s="1123">
        <f>SUM(FL37:FL49)</f>
        <v>208013093.03974912</v>
      </c>
      <c r="FM50" s="1123">
        <f>SUM(FM37:FM49)</f>
        <v>195228616.65315571</v>
      </c>
      <c r="FN50" s="1123">
        <f>SUM(FN37:FN49)</f>
        <v>245606280.82468733</v>
      </c>
      <c r="FO50" s="1074"/>
    </row>
    <row r="51" spans="1:171" x14ac:dyDescent="0.25">
      <c r="A51" s="1428"/>
      <c r="B51" s="64"/>
      <c r="C51" s="55"/>
      <c r="D51" s="55"/>
      <c r="E51" s="64"/>
      <c r="F51" s="64"/>
      <c r="G51" s="221"/>
      <c r="H51" s="221"/>
      <c r="I51" s="221"/>
      <c r="J51" s="1426"/>
      <c r="K51" s="904"/>
      <c r="O51" s="1080"/>
      <c r="P51" s="1080"/>
      <c r="Q51" s="1080"/>
      <c r="R51" s="1080"/>
      <c r="S51" s="1074"/>
      <c r="W51" s="1080"/>
      <c r="X51" s="1080"/>
      <c r="Y51" s="1080"/>
      <c r="Z51" s="1080"/>
      <c r="AA51" s="1074"/>
      <c r="AE51" s="1080"/>
      <c r="AF51" s="1080"/>
      <c r="AG51" s="1080"/>
      <c r="AH51" s="1080"/>
      <c r="AI51" s="1074"/>
      <c r="AM51" s="1080"/>
      <c r="AN51" s="1080"/>
      <c r="AO51" s="1080"/>
      <c r="AP51" s="1080"/>
      <c r="AQ51" s="1074"/>
      <c r="AU51" s="1080"/>
      <c r="AV51" s="1080"/>
      <c r="AW51" s="1080"/>
      <c r="AX51" s="1080"/>
      <c r="AY51" s="1074"/>
      <c r="BC51" s="1080"/>
      <c r="BD51" s="1080"/>
      <c r="BE51" s="1080"/>
      <c r="BF51" s="1080"/>
      <c r="BG51" s="1074"/>
      <c r="BK51" s="1080"/>
      <c r="BL51" s="1080"/>
      <c r="BM51" s="1080"/>
      <c r="BN51" s="1080"/>
      <c r="BO51" s="1074"/>
      <c r="BS51" s="1080"/>
      <c r="BT51" s="1080"/>
      <c r="BU51" s="1080"/>
      <c r="BV51" s="1080"/>
      <c r="BW51" s="1074"/>
      <c r="CA51" s="1080"/>
      <c r="CB51" s="1080"/>
      <c r="CC51" s="1080"/>
      <c r="CD51" s="1080"/>
      <c r="CE51" s="1074"/>
      <c r="CI51" s="1080"/>
      <c r="CJ51" s="1080"/>
      <c r="CK51" s="1080"/>
      <c r="CL51" s="1080"/>
      <c r="CM51" s="1074"/>
      <c r="CQ51" s="1080"/>
      <c r="CR51" s="1080"/>
      <c r="CS51" s="1080"/>
      <c r="CT51" s="1080"/>
      <c r="CU51" s="1074"/>
      <c r="CY51" s="1080"/>
      <c r="CZ51" s="1080"/>
      <c r="DA51" s="1080"/>
      <c r="DB51" s="1080"/>
      <c r="DC51" s="1074"/>
      <c r="DG51" s="1080"/>
      <c r="DH51" s="1080"/>
      <c r="DI51" s="1080"/>
      <c r="DJ51" s="1080"/>
      <c r="DK51" s="1074"/>
      <c r="DO51" s="1080"/>
      <c r="DP51" s="1080"/>
      <c r="DQ51" s="1080"/>
      <c r="DR51" s="1080"/>
      <c r="DS51" s="1074"/>
      <c r="DW51" s="1080"/>
      <c r="DX51" s="1080"/>
      <c r="DY51" s="1080"/>
      <c r="DZ51" s="1080"/>
      <c r="EA51" s="1074"/>
      <c r="EE51" s="1080"/>
      <c r="EF51" s="1080"/>
      <c r="EG51" s="1080"/>
      <c r="EH51" s="1080"/>
      <c r="EI51" s="1074"/>
      <c r="EM51" s="1080"/>
      <c r="EN51" s="1080"/>
      <c r="EO51" s="1080"/>
      <c r="EP51" s="1080"/>
      <c r="EQ51" s="1074"/>
      <c r="EU51" s="1080"/>
      <c r="EV51" s="1080"/>
      <c r="EW51" s="1080"/>
      <c r="EX51" s="1080"/>
      <c r="EY51" s="1074"/>
      <c r="FC51" s="1080"/>
      <c r="FD51" s="1080"/>
      <c r="FE51" s="1080"/>
      <c r="FF51" s="1080"/>
      <c r="FG51" s="1074"/>
      <c r="FK51" s="1080"/>
      <c r="FL51" s="1080"/>
      <c r="FM51" s="1080"/>
      <c r="FN51" s="1080"/>
      <c r="FO51" s="1074"/>
    </row>
    <row r="52" spans="1:171" x14ac:dyDescent="0.25">
      <c r="A52" s="1350" t="s">
        <v>136</v>
      </c>
      <c r="B52" s="64"/>
      <c r="C52" s="915"/>
      <c r="D52" s="916"/>
      <c r="E52" s="916"/>
      <c r="F52" s="917"/>
      <c r="G52" s="924">
        <f>G19+G26+G30+G34+G50</f>
        <v>13793178680.27779</v>
      </c>
      <c r="H52" s="924">
        <f>H19+H26+H30+H34+H50</f>
        <v>5991956843.1874628</v>
      </c>
      <c r="I52" s="924">
        <f>I19+I26+I30+I34+I50</f>
        <v>0</v>
      </c>
      <c r="J52" s="1429">
        <f>J19+J26+J30+J34+J50</f>
        <v>7802602177.452405</v>
      </c>
      <c r="K52" s="904"/>
      <c r="O52" s="1123">
        <f>O19+O26+O30+O34+O50</f>
        <v>13793178680.27779</v>
      </c>
      <c r="P52" s="1123">
        <f>P19+P26+P30+P34+P50</f>
        <v>5991956843.1874628</v>
      </c>
      <c r="Q52" s="1123">
        <f>Q19+Q26+Q30+Q34+Q50</f>
        <v>3491067597.4393702</v>
      </c>
      <c r="R52" s="1123">
        <f>R19+R26+R30+R34+R50</f>
        <v>4310154239.6509571</v>
      </c>
      <c r="S52" s="1074"/>
      <c r="W52" s="1123">
        <f>W19+W26+W30+W34+W50</f>
        <v>13793178680.27779</v>
      </c>
      <c r="X52" s="1123">
        <f>X19+X26+X30+X34+X50</f>
        <v>5991956843.1874628</v>
      </c>
      <c r="Y52" s="1123">
        <f>Y19+Y26+Y30+Y34+Y50</f>
        <v>3491067597.4393702</v>
      </c>
      <c r="Z52" s="1123">
        <f>Z19+Z26+Z30+Z34+Z50</f>
        <v>4310154239.6509571</v>
      </c>
      <c r="AA52" s="1074"/>
      <c r="AE52" s="1123">
        <f>AE19+AE26+AE30+AE34+AE50</f>
        <v>13793178680.27779</v>
      </c>
      <c r="AF52" s="1123">
        <f>AF19+AF26+AF30+AF34+AF50</f>
        <v>5991956843.1874628</v>
      </c>
      <c r="AG52" s="1123">
        <f>AG19+AG26+AG30+AG34+AG50</f>
        <v>3491067597.4393702</v>
      </c>
      <c r="AH52" s="1123">
        <f>AH19+AH26+AH30+AH34+AH50</f>
        <v>4310154239.6509571</v>
      </c>
      <c r="AI52" s="1074"/>
      <c r="AM52" s="1123">
        <f>AM19+AM26+AM30+AM34+AM50</f>
        <v>13793178680.27779</v>
      </c>
      <c r="AN52" s="1123">
        <f>AN19+AN26+AN30+AN34+AN50</f>
        <v>5991956843.1874628</v>
      </c>
      <c r="AO52" s="1123">
        <f>AO19+AO26+AO30+AO34+AO50</f>
        <v>3491067597.4393702</v>
      </c>
      <c r="AP52" s="1123">
        <f>AP19+AP26+AP30+AP34+AP50</f>
        <v>4310154239.6509571</v>
      </c>
      <c r="AQ52" s="1074"/>
      <c r="AU52" s="1123">
        <f>AU19+AU26+AU30+AU34+AU50</f>
        <v>13793178680.27779</v>
      </c>
      <c r="AV52" s="1123">
        <f>AV19+AV26+AV30+AV34+AV50</f>
        <v>5991956843.1874628</v>
      </c>
      <c r="AW52" s="1123">
        <f>AW19+AW26+AW30+AW34+AW50</f>
        <v>3491067597.4393702</v>
      </c>
      <c r="AX52" s="1123">
        <f>AX19+AX26+AX30+AX34+AX50</f>
        <v>4310154239.6509571</v>
      </c>
      <c r="AY52" s="1074"/>
      <c r="BC52" s="1123">
        <f>BC19+BC26+BC30+BC34+BC50</f>
        <v>13793178680.27779</v>
      </c>
      <c r="BD52" s="1123">
        <f>BD19+BD26+BD30+BD34+BD50</f>
        <v>5991956843.1874628</v>
      </c>
      <c r="BE52" s="1123">
        <f>BE19+BE26+BE30+BE34+BE50</f>
        <v>3491067597.4393702</v>
      </c>
      <c r="BF52" s="1123">
        <f>BF19+BF26+BF30+BF34+BF50</f>
        <v>4310154239.6509571</v>
      </c>
      <c r="BG52" s="1074"/>
      <c r="BK52" s="1123">
        <f>BK19+BK26+BK30+BK34+BK50</f>
        <v>13793178680.27779</v>
      </c>
      <c r="BL52" s="1123">
        <f>BL19+BL26+BL30+BL34+BL50</f>
        <v>5991956843.1874628</v>
      </c>
      <c r="BM52" s="1123">
        <f>BM19+BM26+BM30+BM34+BM50</f>
        <v>3491067597.4393702</v>
      </c>
      <c r="BN52" s="1123">
        <f>BN19+BN26+BN30+BN34+BN50</f>
        <v>4310154239.6509571</v>
      </c>
      <c r="BO52" s="1074"/>
      <c r="BS52" s="1123">
        <f>BS19+BS26+BS30+BS34+BS50</f>
        <v>13793178680.27779</v>
      </c>
      <c r="BT52" s="1123">
        <f>BT19+BT26+BT30+BT34+BT50</f>
        <v>5991956843.1874628</v>
      </c>
      <c r="BU52" s="1123">
        <f>BU19+BU26+BU30+BU34+BU50</f>
        <v>3491067597.4393702</v>
      </c>
      <c r="BV52" s="1123">
        <f>BV19+BV26+BV30+BV34+BV50</f>
        <v>4310154239.6509571</v>
      </c>
      <c r="BW52" s="1074"/>
      <c r="CA52" s="1123">
        <f>CA19+CA26+CA30+CA34+CA50</f>
        <v>13793178680.27779</v>
      </c>
      <c r="CB52" s="1123">
        <f>CB19+CB26+CB30+CB34+CB50</f>
        <v>5991956843.1874628</v>
      </c>
      <c r="CC52" s="1123">
        <f>CC19+CC26+CC30+CC34+CC50</f>
        <v>3491067597.4393702</v>
      </c>
      <c r="CD52" s="1123">
        <f>CD19+CD26+CD30+CD34+CD50</f>
        <v>4310154239.6509571</v>
      </c>
      <c r="CE52" s="1074"/>
      <c r="CI52" s="1123">
        <f>CI19+CI26+CI30+CI34+CI50</f>
        <v>13793178680.27779</v>
      </c>
      <c r="CJ52" s="1123">
        <f>CJ19+CJ26+CJ30+CJ34+CJ50</f>
        <v>5991956843.1874628</v>
      </c>
      <c r="CK52" s="1123">
        <f>CK19+CK26+CK30+CK34+CK50</f>
        <v>3491067597.4393702</v>
      </c>
      <c r="CL52" s="1123">
        <f>CL19+CL26+CL30+CL34+CL50</f>
        <v>4310154239.6509571</v>
      </c>
      <c r="CM52" s="1074"/>
      <c r="CQ52" s="1123">
        <f>CQ19+CQ26+CQ30+CQ34+CQ50</f>
        <v>13793178680.27779</v>
      </c>
      <c r="CR52" s="1123">
        <f>CR19+CR26+CR30+CR34+CR50</f>
        <v>5991956843.1874628</v>
      </c>
      <c r="CS52" s="1123">
        <f>CS19+CS26+CS30+CS34+CS50</f>
        <v>3491067597.4393702</v>
      </c>
      <c r="CT52" s="1123">
        <f>CT19+CT26+CT30+CT34+CT50</f>
        <v>4310154239.6509571</v>
      </c>
      <c r="CU52" s="1074"/>
      <c r="CY52" s="1123">
        <f>CY19+CY26+CY30+CY34+CY50</f>
        <v>13793178680.27779</v>
      </c>
      <c r="CZ52" s="1123">
        <f>CZ19+CZ26+CZ30+CZ34+CZ50</f>
        <v>5991956843.1874628</v>
      </c>
      <c r="DA52" s="1123">
        <f>DA19+DA26+DA30+DA34+DA50</f>
        <v>3491067597.4393702</v>
      </c>
      <c r="DB52" s="1123">
        <f>DB19+DB26+DB30+DB34+DB50</f>
        <v>4310154239.6509571</v>
      </c>
      <c r="DC52" s="1074"/>
      <c r="DG52" s="1123">
        <f>DG19+DG26+DG30+DG34+DG50</f>
        <v>13793178680.27779</v>
      </c>
      <c r="DH52" s="1123">
        <f>DH19+DH26+DH30+DH34+DH50</f>
        <v>5991956843.1874628</v>
      </c>
      <c r="DI52" s="1123">
        <f>DI19+DI26+DI30+DI34+DI50</f>
        <v>3491067597.4393702</v>
      </c>
      <c r="DJ52" s="1123">
        <f>DJ19+DJ26+DJ30+DJ34+DJ50</f>
        <v>4310154239.6509571</v>
      </c>
      <c r="DK52" s="1074"/>
      <c r="DO52" s="1123">
        <f>DO19+DO26+DO30+DO34+DO50</f>
        <v>13793178680.27779</v>
      </c>
      <c r="DP52" s="1123">
        <f>DP19+DP26+DP30+DP34+DP50</f>
        <v>5991956843.1874628</v>
      </c>
      <c r="DQ52" s="1123">
        <f>DQ19+DQ26+DQ30+DQ34+DQ50</f>
        <v>3491067597.4393702</v>
      </c>
      <c r="DR52" s="1123">
        <f>DR19+DR26+DR30+DR34+DR50</f>
        <v>4310154239.6509571</v>
      </c>
      <c r="DS52" s="1074"/>
      <c r="DW52" s="1123">
        <f>DW19+DW26+DW30+DW34+DW50</f>
        <v>13793178680.27779</v>
      </c>
      <c r="DX52" s="1123">
        <f>DX19+DX26+DX30+DX34+DX50</f>
        <v>5991956843.1874628</v>
      </c>
      <c r="DY52" s="1123">
        <f>DY19+DY26+DY30+DY34+DY50</f>
        <v>3491067597.4393702</v>
      </c>
      <c r="DZ52" s="1123">
        <f>DZ19+DZ26+DZ30+DZ34+DZ50</f>
        <v>4310154239.6509571</v>
      </c>
      <c r="EA52" s="1074"/>
      <c r="EE52" s="1123">
        <f>EE19+EE26+EE30+EE34+EE50</f>
        <v>13793178680.27779</v>
      </c>
      <c r="EF52" s="1123">
        <f>EF19+EF26+EF30+EF34+EF50</f>
        <v>5991956843.1874628</v>
      </c>
      <c r="EG52" s="1123">
        <f>EG19+EG26+EG30+EG34+EG50</f>
        <v>3491067597.4393702</v>
      </c>
      <c r="EH52" s="1123">
        <f>EH19+EH26+EH30+EH34+EH50</f>
        <v>4310154239.6509571</v>
      </c>
      <c r="EI52" s="1074"/>
      <c r="EM52" s="1123">
        <f>EM19+EM26+EM30+EM34+EM50</f>
        <v>13793178680.27779</v>
      </c>
      <c r="EN52" s="1123">
        <f>EN19+EN26+EN30+EN34+EN50</f>
        <v>5991956843.1874628</v>
      </c>
      <c r="EO52" s="1123">
        <f>EO19+EO26+EO30+EO34+EO50</f>
        <v>3491067597.4393702</v>
      </c>
      <c r="EP52" s="1123">
        <f>EP19+EP26+EP30+EP34+EP50</f>
        <v>4310154239.6509571</v>
      </c>
      <c r="EQ52" s="1074"/>
      <c r="EU52" s="1123">
        <f>EU19+EU26+EU30+EU34+EU50</f>
        <v>13793178680.27779</v>
      </c>
      <c r="EV52" s="1123">
        <f>EV19+EV26+EV30+EV34+EV50</f>
        <v>5991956843.1874628</v>
      </c>
      <c r="EW52" s="1123">
        <f>EW19+EW26+EW30+EW34+EW50</f>
        <v>3491067597.4393702</v>
      </c>
      <c r="EX52" s="1123">
        <f>EX19+EX26+EX30+EX34+EX50</f>
        <v>4310154239.6509571</v>
      </c>
      <c r="EY52" s="1074"/>
      <c r="FC52" s="1123">
        <f>FC19+FC26+FC30+FC34+FC50</f>
        <v>13793178680.27779</v>
      </c>
      <c r="FD52" s="1123">
        <f>FD19+FD26+FD30+FD34+FD50</f>
        <v>5991956843.1874628</v>
      </c>
      <c r="FE52" s="1123">
        <f>FE19+FE26+FE30+FE34+FE50</f>
        <v>3491067597.4393702</v>
      </c>
      <c r="FF52" s="1123">
        <f>FF19+FF26+FF30+FF34+FF50</f>
        <v>4310154239.6509571</v>
      </c>
      <c r="FG52" s="1074"/>
      <c r="FK52" s="1123">
        <f>FK19+FK26+FK30+FK34+FK50</f>
        <v>13793178680.27779</v>
      </c>
      <c r="FL52" s="1123">
        <f>FL19+FL26+FL30+FL34+FL50</f>
        <v>5991956843.1874628</v>
      </c>
      <c r="FM52" s="1123">
        <f>FM19+FM26+FM30+FM34+FM50</f>
        <v>3491067597.4393702</v>
      </c>
      <c r="FN52" s="1123">
        <f>FN19+FN26+FN30+FN34+FN50</f>
        <v>4310154239.6509571</v>
      </c>
      <c r="FO52" s="1074"/>
    </row>
    <row r="53" spans="1:171" x14ac:dyDescent="0.25">
      <c r="A53" s="1356" t="s">
        <v>440</v>
      </c>
      <c r="B53" s="64"/>
      <c r="C53" s="55"/>
      <c r="D53" s="55"/>
      <c r="J53" s="1412"/>
      <c r="K53" s="904"/>
      <c r="S53" s="1119"/>
      <c r="AA53" s="1119"/>
      <c r="AI53" s="1119"/>
      <c r="AQ53" s="1119"/>
      <c r="AY53" s="1119"/>
      <c r="BG53" s="1119"/>
      <c r="BO53" s="1119"/>
      <c r="BW53" s="1119"/>
      <c r="CE53" s="1119"/>
      <c r="CM53" s="1119"/>
      <c r="CU53" s="1119"/>
      <c r="DC53" s="1119"/>
      <c r="DK53" s="1119"/>
      <c r="DS53" s="1119"/>
      <c r="EA53" s="1119"/>
      <c r="EI53" s="1119"/>
      <c r="EQ53" s="1119"/>
      <c r="EY53" s="1119"/>
      <c r="FG53" s="1119"/>
      <c r="FO53" s="1119"/>
    </row>
    <row r="54" spans="1:171" x14ac:dyDescent="0.25">
      <c r="A54" s="1341"/>
      <c r="B54" s="220"/>
      <c r="C54" s="55"/>
      <c r="D54" s="55"/>
      <c r="J54" s="1412"/>
      <c r="K54" s="904"/>
      <c r="S54" s="1119"/>
      <c r="AA54" s="1119"/>
      <c r="AI54" s="1119"/>
      <c r="AQ54" s="1119"/>
      <c r="AY54" s="1119"/>
      <c r="BG54" s="1119"/>
      <c r="BO54" s="1119"/>
      <c r="BW54" s="1119"/>
      <c r="CE54" s="1119"/>
      <c r="CM54" s="1119"/>
      <c r="CU54" s="1119"/>
      <c r="DC54" s="1119"/>
      <c r="DK54" s="1119"/>
      <c r="DS54" s="1119"/>
      <c r="EA54" s="1119"/>
      <c r="EI54" s="1119"/>
      <c r="EQ54" s="1119"/>
      <c r="EY54" s="1119"/>
      <c r="FG54" s="1119"/>
      <c r="FO54" s="1119"/>
    </row>
    <row r="55" spans="1:171" x14ac:dyDescent="0.25">
      <c r="A55" s="1341" t="s">
        <v>474</v>
      </c>
      <c r="B55" s="220"/>
      <c r="C55" s="55"/>
      <c r="D55" s="55"/>
      <c r="J55" s="1412"/>
      <c r="K55" s="904"/>
      <c r="S55" s="1119"/>
      <c r="AA55" s="1119"/>
      <c r="AI55" s="1119"/>
      <c r="AQ55" s="1119"/>
      <c r="AY55" s="1119"/>
      <c r="BG55" s="1119"/>
      <c r="BO55" s="1119"/>
      <c r="BW55" s="1119"/>
      <c r="CE55" s="1119"/>
      <c r="CM55" s="1119"/>
      <c r="CU55" s="1119"/>
      <c r="DC55" s="1119"/>
      <c r="DK55" s="1119"/>
      <c r="DS55" s="1119"/>
      <c r="EA55" s="1119"/>
      <c r="EI55" s="1119"/>
      <c r="EQ55" s="1119"/>
      <c r="EY55" s="1119"/>
      <c r="FG55" s="1119"/>
      <c r="FO55" s="1119"/>
    </row>
    <row r="56" spans="1:171" x14ac:dyDescent="0.25">
      <c r="A56" s="1341" t="s">
        <v>620</v>
      </c>
      <c r="B56" s="220"/>
      <c r="C56" s="55"/>
      <c r="D56" s="55"/>
      <c r="J56" s="1412"/>
      <c r="K56" s="904"/>
      <c r="S56" s="1119"/>
      <c r="AA56" s="1119"/>
      <c r="AI56" s="1119"/>
      <c r="AQ56" s="1119"/>
      <c r="AY56" s="1119"/>
      <c r="BG56" s="1119"/>
      <c r="BO56" s="1119"/>
      <c r="BW56" s="1119"/>
      <c r="CE56" s="1119"/>
      <c r="CM56" s="1119"/>
      <c r="CU56" s="1119"/>
      <c r="DC56" s="1119"/>
      <c r="DK56" s="1119"/>
      <c r="DS56" s="1119"/>
      <c r="EA56" s="1119"/>
      <c r="EI56" s="1119"/>
      <c r="EQ56" s="1119"/>
      <c r="EY56" s="1119"/>
      <c r="FG56" s="1119"/>
      <c r="FO56" s="1119"/>
    </row>
    <row r="57" spans="1:171" x14ac:dyDescent="0.25">
      <c r="A57" s="1421"/>
      <c r="B57" s="914" t="s">
        <v>88</v>
      </c>
      <c r="C57" s="889">
        <v>219</v>
      </c>
      <c r="D57" s="889">
        <v>108</v>
      </c>
      <c r="E57" s="182" t="str">
        <f>'Sch 1- Rate Base '!E57</f>
        <v>PROD</v>
      </c>
      <c r="F57" s="890"/>
      <c r="G57" s="182">
        <f>'Sch 1- Rate Base '!G57</f>
        <v>1888183301.8432956</v>
      </c>
      <c r="H57" s="182">
        <f>'Sch 1- Rate Base '!H57</f>
        <v>1888183301.8432956</v>
      </c>
      <c r="I57" s="182">
        <f>'Sch 1- Rate Base '!I57</f>
        <v>0</v>
      </c>
      <c r="J57" s="1422">
        <f>'Sch 1- Rate Base '!J57</f>
        <v>0</v>
      </c>
      <c r="K57" s="904">
        <f t="shared" ref="K57:K75" si="82">IF($E57="DIRECT",0,1)</f>
        <v>1</v>
      </c>
      <c r="O57" s="1117">
        <f t="shared" ref="O57:O73" si="83">$G57</f>
        <v>1888183301.8432956</v>
      </c>
      <c r="P57" s="1118">
        <f t="shared" ref="P57:P73" si="84">VLOOKUP($E57,O$442:R$453,2,FALSE)*O57*($K57)+IF($G57&gt;0,($H57/$G57)*O57,0)*(1-$K57)</f>
        <v>1888183301.8432956</v>
      </c>
      <c r="Q57" s="1118">
        <f t="shared" ref="Q57:Q73" si="85">VLOOKUP($E57,O$442:R$453,3,FALSE)*O57*($K57)+IF($G57&gt;0,($I57/$G57)*O57,0)*(1-$K57)</f>
        <v>0</v>
      </c>
      <c r="R57" s="1118">
        <f t="shared" ref="R57:R73" si="86">VLOOKUP($E57,O$442:R$453,4,FALSE)*O57*($K57)+(O57-P57-Q57)*(1-$K57)</f>
        <v>0</v>
      </c>
      <c r="S57" s="1119"/>
      <c r="W57" s="1117">
        <f t="shared" ref="W57:W73" si="87">$G57</f>
        <v>1888183301.8432956</v>
      </c>
      <c r="X57" s="1118">
        <f t="shared" ref="X57:X73" si="88">VLOOKUP($E57,W$442:Z$453,2,FALSE)*W57*($K57)+IF($G57&gt;0,($H57/$G57)*W57,0)*(1-$K57)</f>
        <v>1888183301.8432956</v>
      </c>
      <c r="Y57" s="1118">
        <f t="shared" ref="Y57:Y73" si="89">VLOOKUP($E57,W$442:Z$453,3,FALSE)*W57*($K57)+IF($G57&gt;0,($I57/$G57)*W57,0)*(1-$K57)</f>
        <v>0</v>
      </c>
      <c r="Z57" s="1118">
        <f t="shared" ref="Z57:Z73" si="90">VLOOKUP($E57,W$442:Z$453,4,FALSE)*W57*($K57)+(W57-X57-Y57)*(1-$K57)</f>
        <v>0</v>
      </c>
      <c r="AA57" s="1119"/>
      <c r="AE57" s="1117">
        <f t="shared" ref="AE57:AE73" si="91">$G57</f>
        <v>1888183301.8432956</v>
      </c>
      <c r="AF57" s="1118">
        <f t="shared" ref="AF57:AF73" si="92">VLOOKUP($E57,AE$442:AH$453,2,FALSE)*AE57*($K57)+IF($G57&gt;0,($H57/$G57)*AE57,0)*(1-$K57)</f>
        <v>1888183301.8432956</v>
      </c>
      <c r="AG57" s="1118">
        <f t="shared" ref="AG57:AG73" si="93">VLOOKUP($E57,AE$442:AH$453,3,FALSE)*AE57*($K57)+IF($G57&gt;0,($I57/$G57)*AE57,0)*(1-$K57)</f>
        <v>0</v>
      </c>
      <c r="AH57" s="1118">
        <f t="shared" ref="AH57:AH73" si="94">VLOOKUP($E57,AE$442:AH$453,4,FALSE)*AE57*($K57)+(AE57-AF57-AG57)*(1-$K57)</f>
        <v>0</v>
      </c>
      <c r="AI57" s="1119"/>
      <c r="AM57" s="1117">
        <f t="shared" ref="AM57:AM73" si="95">$G57</f>
        <v>1888183301.8432956</v>
      </c>
      <c r="AN57" s="1118">
        <f t="shared" ref="AN57:AN73" si="96">VLOOKUP($E57,AM$442:AP$453,2,FALSE)*AM57*($K57)+IF($G57&gt;0,($H57/$G57)*AM57,0)*(1-$K57)</f>
        <v>1888183301.8432956</v>
      </c>
      <c r="AO57" s="1118">
        <f t="shared" ref="AO57:AO73" si="97">VLOOKUP($E57,AM$442:AP$453,3,FALSE)*AM57*($K57)+IF($G57&gt;0,($I57/$G57)*AM57,0)*(1-$K57)</f>
        <v>0</v>
      </c>
      <c r="AP57" s="1118">
        <f t="shared" ref="AP57:AP73" si="98">VLOOKUP($E57,AM$442:AP$453,4,FALSE)*AM57*($K57)+(AM57-AN57-AO57)*(1-$K57)</f>
        <v>0</v>
      </c>
      <c r="AQ57" s="1119"/>
      <c r="AU57" s="1117">
        <f t="shared" ref="AU57:AU73" si="99">$G57</f>
        <v>1888183301.8432956</v>
      </c>
      <c r="AV57" s="1118">
        <f t="shared" ref="AV57:AV73" si="100">VLOOKUP($E57,AU$442:AX$453,2,FALSE)*AU57*($K57)+IF($G57&gt;0,($H57/$G57)*AU57,0)*(1-$K57)</f>
        <v>1888183301.8432956</v>
      </c>
      <c r="AW57" s="1118">
        <f t="shared" ref="AW57:AW73" si="101">VLOOKUP($E57,AU$442:AX$453,3,FALSE)*AU57*($K57)+IF($G57&gt;0,($I57/$G57)*AU57,0)*(1-$K57)</f>
        <v>0</v>
      </c>
      <c r="AX57" s="1118">
        <f t="shared" ref="AX57:AX73" si="102">VLOOKUP($E57,AU$442:AX$453,4,FALSE)*AU57*($K57)+(AU57-AV57-AW57)*(1-$K57)</f>
        <v>0</v>
      </c>
      <c r="AY57" s="1119"/>
      <c r="BC57" s="1117">
        <f t="shared" ref="BC57:BC73" si="103">$G57</f>
        <v>1888183301.8432956</v>
      </c>
      <c r="BD57" s="1118">
        <f t="shared" ref="BD57:BD73" si="104">VLOOKUP($E57,BC$442:BF$453,2,FALSE)*BC57*($K57)+IF($G57&gt;0,($H57/$G57)*BC57,0)*(1-$K57)</f>
        <v>1888183301.8432956</v>
      </c>
      <c r="BE57" s="1118">
        <f t="shared" ref="BE57:BE73" si="105">VLOOKUP($E57,BC$442:BF$453,3,FALSE)*BC57*($K57)+IF($G57&gt;0,($I57/$G57)*BC57,0)*(1-$K57)</f>
        <v>0</v>
      </c>
      <c r="BF57" s="1118">
        <f t="shared" ref="BF57:BF73" si="106">VLOOKUP($E57,BC$442:BF$453,4,FALSE)*BC57*($K57)+(BC57-BD57-BE57)*(1-$K57)</f>
        <v>0</v>
      </c>
      <c r="BG57" s="1119"/>
      <c r="BK57" s="1117">
        <f t="shared" ref="BK57:BK73" si="107">$G57</f>
        <v>1888183301.8432956</v>
      </c>
      <c r="BL57" s="1118">
        <f t="shared" ref="BL57:BL73" si="108">VLOOKUP($E57,BK$442:BN$453,2,FALSE)*BK57*($K57)+IF($G57&gt;0,($H57/$G57)*BK57,0)*(1-$K57)</f>
        <v>1888183301.8432956</v>
      </c>
      <c r="BM57" s="1118">
        <f t="shared" ref="BM57:BM73" si="109">VLOOKUP($E57,BK$442:BN$453,3,FALSE)*BK57*($K57)+IF($G57&gt;0,($I57/$G57)*BK57,0)*(1-$K57)</f>
        <v>0</v>
      </c>
      <c r="BN57" s="1118">
        <f t="shared" ref="BN57:BN73" si="110">VLOOKUP($E57,BK$442:BN$453,4,FALSE)*BK57*($K57)+(BK57-BL57-BM57)*(1-$K57)</f>
        <v>0</v>
      </c>
      <c r="BO57" s="1119"/>
      <c r="BS57" s="1117">
        <f t="shared" ref="BS57:BS73" si="111">$G57</f>
        <v>1888183301.8432956</v>
      </c>
      <c r="BT57" s="1118">
        <f t="shared" ref="BT57:BT73" si="112">VLOOKUP($E57,BS$442:BV$453,2,FALSE)*BS57*($K57)+IF($G57&gt;0,($H57/$G57)*BS57,0)*(1-$K57)</f>
        <v>1888183301.8432956</v>
      </c>
      <c r="BU57" s="1118">
        <f t="shared" ref="BU57:BU73" si="113">VLOOKUP($E57,BS$442:BV$453,3,FALSE)*BS57*($K57)+IF($G57&gt;0,($I57/$G57)*BS57,0)*(1-$K57)</f>
        <v>0</v>
      </c>
      <c r="BV57" s="1118">
        <f t="shared" ref="BV57:BV73" si="114">VLOOKUP($E57,BS$442:BV$453,4,FALSE)*BS57*($K57)+(BS57-BT57-BU57)*(1-$K57)</f>
        <v>0</v>
      </c>
      <c r="BW57" s="1119"/>
      <c r="CA57" s="1117">
        <f t="shared" ref="CA57:CA73" si="115">$G57</f>
        <v>1888183301.8432956</v>
      </c>
      <c r="CB57" s="1118">
        <f t="shared" ref="CB57:CB73" si="116">VLOOKUP($E57,CA$442:CD$453,2,FALSE)*CA57*($K57)+IF($G57&gt;0,($H57/$G57)*CA57,0)*(1-$K57)</f>
        <v>1888183301.8432956</v>
      </c>
      <c r="CC57" s="1118">
        <f t="shared" ref="CC57:CC73" si="117">VLOOKUP($E57,CA$442:CD$453,3,FALSE)*CA57*($K57)+IF($G57&gt;0,($I57/$G57)*CA57,0)*(1-$K57)</f>
        <v>0</v>
      </c>
      <c r="CD57" s="1118">
        <f t="shared" ref="CD57:CD73" si="118">VLOOKUP($E57,CA$442:CD$453,4,FALSE)*CA57*($K57)+(CA57-CB57-CC57)*(1-$K57)</f>
        <v>0</v>
      </c>
      <c r="CE57" s="1119"/>
      <c r="CI57" s="1117">
        <f t="shared" ref="CI57:CI73" si="119">$G57</f>
        <v>1888183301.8432956</v>
      </c>
      <c r="CJ57" s="1118">
        <f t="shared" ref="CJ57:CJ73" si="120">VLOOKUP($E57,CI$442:CL$453,2,FALSE)*CI57*($K57)+IF($G57&gt;0,($H57/$G57)*CI57,0)*(1-$K57)</f>
        <v>1888183301.8432956</v>
      </c>
      <c r="CK57" s="1118">
        <f t="shared" ref="CK57:CK73" si="121">VLOOKUP($E57,CI$442:CL$453,3,FALSE)*CI57*($K57)+IF($G57&gt;0,($I57/$G57)*CI57,0)*(1-$K57)</f>
        <v>0</v>
      </c>
      <c r="CL57" s="1118">
        <f t="shared" ref="CL57:CL73" si="122">VLOOKUP($E57,CI$442:CL$453,4,FALSE)*CI57*($K57)+(CI57-CJ57-CK57)*(1-$K57)</f>
        <v>0</v>
      </c>
      <c r="CM57" s="1119"/>
      <c r="CQ57" s="1117">
        <f t="shared" ref="CQ57:CQ73" si="123">$G57</f>
        <v>1888183301.8432956</v>
      </c>
      <c r="CR57" s="1118">
        <f t="shared" ref="CR57:CR73" si="124">VLOOKUP($E57,CQ$442:CT$453,2,FALSE)*CQ57*($K57)+IF($G57&gt;0,($H57/$G57)*CQ57,0)*(1-$K57)</f>
        <v>1888183301.8432956</v>
      </c>
      <c r="CS57" s="1118">
        <f t="shared" ref="CS57:CS73" si="125">VLOOKUP($E57,CQ$442:CT$453,3,FALSE)*CQ57*($K57)+IF($G57&gt;0,($I57/$G57)*CQ57,0)*(1-$K57)</f>
        <v>0</v>
      </c>
      <c r="CT57" s="1118">
        <f t="shared" ref="CT57:CT73" si="126">VLOOKUP($E57,CQ$442:CT$453,4,FALSE)*CQ57*($K57)+(CQ57-CR57-CS57)*(1-$K57)</f>
        <v>0</v>
      </c>
      <c r="CU57" s="1119"/>
      <c r="CY57" s="1117">
        <f t="shared" ref="CY57:CY73" si="127">$G57</f>
        <v>1888183301.8432956</v>
      </c>
      <c r="CZ57" s="1118">
        <f t="shared" ref="CZ57:CZ73" si="128">VLOOKUP($E57,CY$442:DB$453,2,FALSE)*CY57*($K57)+IF($G57&gt;0,($H57/$G57)*CY57,0)*(1-$K57)</f>
        <v>1888183301.8432956</v>
      </c>
      <c r="DA57" s="1118">
        <f t="shared" ref="DA57:DA73" si="129">VLOOKUP($E57,CY$442:DB$453,3,FALSE)*CY57*($K57)+IF($G57&gt;0,($I57/$G57)*CY57,0)*(1-$K57)</f>
        <v>0</v>
      </c>
      <c r="DB57" s="1118">
        <f t="shared" ref="DB57:DB73" si="130">VLOOKUP($E57,CY$442:DB$453,4,FALSE)*CY57*($K57)+(CY57-CZ57-DA57)*(1-$K57)</f>
        <v>0</v>
      </c>
      <c r="DC57" s="1119"/>
      <c r="DG57" s="1117">
        <f t="shared" ref="DG57:DG73" si="131">$G57</f>
        <v>1888183301.8432956</v>
      </c>
      <c r="DH57" s="1118">
        <f t="shared" ref="DH57:DH73" si="132">VLOOKUP($E57,DG$442:DJ$453,2,FALSE)*DG57*($K57)+IF($G57&gt;0,($H57/$G57)*DG57,0)*(1-$K57)</f>
        <v>1888183301.8432956</v>
      </c>
      <c r="DI57" s="1118">
        <f t="shared" ref="DI57:DI73" si="133">VLOOKUP($E57,DG$442:DJ$453,3,FALSE)*DG57*($K57)+IF($G57&gt;0,($I57/$G57)*DG57,0)*(1-$K57)</f>
        <v>0</v>
      </c>
      <c r="DJ57" s="1118">
        <f t="shared" ref="DJ57:DJ73" si="134">VLOOKUP($E57,DG$442:DJ$453,4,FALSE)*DG57*($K57)+(DG57-DH57-DI57)*(1-$K57)</f>
        <v>0</v>
      </c>
      <c r="DK57" s="1119"/>
      <c r="DO57" s="1117">
        <f t="shared" ref="DO57:DO73" si="135">$G57</f>
        <v>1888183301.8432956</v>
      </c>
      <c r="DP57" s="1118">
        <f t="shared" ref="DP57:DP73" si="136">VLOOKUP($E57,DO$442:DR$453,2,FALSE)*DO57*($K57)+IF($G57&gt;0,($H57/$G57)*DO57,0)*(1-$K57)</f>
        <v>1888183301.8432956</v>
      </c>
      <c r="DQ57" s="1118">
        <f t="shared" ref="DQ57:DQ73" si="137">VLOOKUP($E57,DO$442:DR$453,3,FALSE)*DO57*($K57)+IF($G57&gt;0,($I57/$G57)*DO57,0)*(1-$K57)</f>
        <v>0</v>
      </c>
      <c r="DR57" s="1118">
        <f t="shared" ref="DR57:DR73" si="138">VLOOKUP($E57,DO$442:DR$453,4,FALSE)*DO57*($K57)+(DO57-DP57-DQ57)*(1-$K57)</f>
        <v>0</v>
      </c>
      <c r="DS57" s="1119"/>
      <c r="DW57" s="1117">
        <f t="shared" ref="DW57:DW73" si="139">$G57</f>
        <v>1888183301.8432956</v>
      </c>
      <c r="DX57" s="1118">
        <f t="shared" ref="DX57:DX73" si="140">VLOOKUP($E57,DW$442:DZ$453,2,FALSE)*DW57*($K57)+IF($G57&gt;0,($H57/$G57)*DW57,0)*(1-$K57)</f>
        <v>1888183301.8432956</v>
      </c>
      <c r="DY57" s="1118">
        <f t="shared" ref="DY57:DY73" si="141">VLOOKUP($E57,DW$442:DZ$453,3,FALSE)*DW57*($K57)+IF($G57&gt;0,($I57/$G57)*DW57,0)*(1-$K57)</f>
        <v>0</v>
      </c>
      <c r="DZ57" s="1118">
        <f t="shared" ref="DZ57:DZ73" si="142">VLOOKUP($E57,DW$442:DZ$453,4,FALSE)*DW57*($K57)+(DW57-DX57-DY57)*(1-$K57)</f>
        <v>0</v>
      </c>
      <c r="EA57" s="1119"/>
      <c r="EE57" s="1117">
        <f t="shared" ref="EE57:EE73" si="143">$G57</f>
        <v>1888183301.8432956</v>
      </c>
      <c r="EF57" s="1118">
        <f t="shared" ref="EF57:EF73" si="144">VLOOKUP($E57,EE$442:EH$453,2,FALSE)*EE57*($K57)+IF($G57&gt;0,($H57/$G57)*EE57,0)*(1-$K57)</f>
        <v>1888183301.8432956</v>
      </c>
      <c r="EG57" s="1118">
        <f t="shared" ref="EG57:EG73" si="145">VLOOKUP($E57,EE$442:EH$453,3,FALSE)*EE57*($K57)+IF($G57&gt;0,($I57/$G57)*EE57,0)*(1-$K57)</f>
        <v>0</v>
      </c>
      <c r="EH57" s="1118">
        <f t="shared" ref="EH57:EH73" si="146">VLOOKUP($E57,EE$442:EH$453,4,FALSE)*EE57*($K57)+(EE57-EF57-EG57)*(1-$K57)</f>
        <v>0</v>
      </c>
      <c r="EI57" s="1119"/>
      <c r="EM57" s="1117">
        <f t="shared" ref="EM57:EM73" si="147">$G57</f>
        <v>1888183301.8432956</v>
      </c>
      <c r="EN57" s="1118">
        <f t="shared" ref="EN57:EN73" si="148">VLOOKUP($E57,EM$442:EP$453,2,FALSE)*EM57*($K57)+IF($G57&gt;0,($H57/$G57)*EM57,0)*(1-$K57)</f>
        <v>1888183301.8432956</v>
      </c>
      <c r="EO57" s="1118">
        <f t="shared" ref="EO57:EO73" si="149">VLOOKUP($E57,EM$442:EP$453,3,FALSE)*EM57*($K57)+IF($G57&gt;0,($I57/$G57)*EM57,0)*(1-$K57)</f>
        <v>0</v>
      </c>
      <c r="EP57" s="1118">
        <f t="shared" ref="EP57:EP73" si="150">VLOOKUP($E57,EM$442:EP$453,4,FALSE)*EM57*($K57)+(EM57-EN57-EO57)*(1-$K57)</f>
        <v>0</v>
      </c>
      <c r="EQ57" s="1119"/>
      <c r="EU57" s="1117">
        <f t="shared" ref="EU57:EU73" si="151">$G57</f>
        <v>1888183301.8432956</v>
      </c>
      <c r="EV57" s="1118">
        <f t="shared" ref="EV57:EV73" si="152">VLOOKUP($E57,EU$442:EX$453,2,FALSE)*EU57*($K57)+IF($G57&gt;0,($H57/$G57)*EU57,0)*(1-$K57)</f>
        <v>1888183301.8432956</v>
      </c>
      <c r="EW57" s="1118">
        <f t="shared" ref="EW57:EW73" si="153">VLOOKUP($E57,EU$442:EX$453,3,FALSE)*EU57*($K57)+IF($G57&gt;0,($I57/$G57)*EU57,0)*(1-$K57)</f>
        <v>0</v>
      </c>
      <c r="EX57" s="1118">
        <f t="shared" ref="EX57:EX73" si="154">VLOOKUP($E57,EU$442:EX$453,4,FALSE)*EU57*($K57)+(EU57-EV57-EW57)*(1-$K57)</f>
        <v>0</v>
      </c>
      <c r="EY57" s="1119"/>
      <c r="FC57" s="1117">
        <f t="shared" ref="FC57:FC73" si="155">$G57</f>
        <v>1888183301.8432956</v>
      </c>
      <c r="FD57" s="1118">
        <f t="shared" ref="FD57:FD73" si="156">VLOOKUP($E57,FC$442:FF$453,2,FALSE)*FC57*($K57)+IF($G57&gt;0,($H57/$G57)*FC57,0)*(1-$K57)</f>
        <v>1888183301.8432956</v>
      </c>
      <c r="FE57" s="1118">
        <f t="shared" ref="FE57:FE73" si="157">VLOOKUP($E57,FC$442:FF$453,3,FALSE)*FC57*($K57)+IF($G57&gt;0,($I57/$G57)*FC57,0)*(1-$K57)</f>
        <v>0</v>
      </c>
      <c r="FF57" s="1118">
        <f t="shared" ref="FF57:FF73" si="158">VLOOKUP($E57,FC$442:FF$453,4,FALSE)*FC57*($K57)+(FC57-FD57-FE57)*(1-$K57)</f>
        <v>0</v>
      </c>
      <c r="FG57" s="1119"/>
      <c r="FK57" s="1117">
        <f t="shared" ref="FK57:FK73" si="159">$G57</f>
        <v>1888183301.8432956</v>
      </c>
      <c r="FL57" s="1118">
        <f t="shared" ref="FL57:FL73" si="160">VLOOKUP($E57,FK$442:FN$453,2,FALSE)*FK57*($K57)+IF($G57&gt;0,($H57/$G57)*FK57,0)*(1-$K57)</f>
        <v>1888183301.8432956</v>
      </c>
      <c r="FM57" s="1118">
        <f t="shared" ref="FM57:FM73" si="161">VLOOKUP($E57,FK$442:FN$453,3,FALSE)*FK57*($K57)+IF($G57&gt;0,($I57/$G57)*FK57,0)*(1-$K57)</f>
        <v>0</v>
      </c>
      <c r="FN57" s="1118">
        <f t="shared" ref="FN57:FN73" si="162">VLOOKUP($E57,FK$442:FN$453,4,FALSE)*FK57*($K57)+(FK57-FL57-FM57)*(1-$K57)</f>
        <v>0</v>
      </c>
      <c r="FO57" s="1119"/>
    </row>
    <row r="58" spans="1:171" x14ac:dyDescent="0.25">
      <c r="A58" s="1421"/>
      <c r="B58" s="914" t="s">
        <v>89</v>
      </c>
      <c r="C58" s="889">
        <v>219</v>
      </c>
      <c r="D58" s="889">
        <v>108</v>
      </c>
      <c r="E58" s="182" t="str">
        <f>'Sch 1- Rate Base '!E58</f>
        <v>PROD</v>
      </c>
      <c r="F58" s="890"/>
      <c r="G58" s="182">
        <f>'Sch 1- Rate Base '!G58</f>
        <v>0</v>
      </c>
      <c r="H58" s="182">
        <f>'Sch 1- Rate Base '!H58</f>
        <v>0</v>
      </c>
      <c r="I58" s="182">
        <f>'Sch 1- Rate Base '!I58</f>
        <v>0</v>
      </c>
      <c r="J58" s="1422">
        <f>'Sch 1- Rate Base '!J58</f>
        <v>0</v>
      </c>
      <c r="K58" s="904">
        <f t="shared" si="82"/>
        <v>1</v>
      </c>
      <c r="O58" s="1117">
        <f t="shared" si="83"/>
        <v>0</v>
      </c>
      <c r="P58" s="1118">
        <f t="shared" si="84"/>
        <v>0</v>
      </c>
      <c r="Q58" s="1118">
        <f t="shared" si="85"/>
        <v>0</v>
      </c>
      <c r="R58" s="1118">
        <f t="shared" si="86"/>
        <v>0</v>
      </c>
      <c r="S58" s="1119"/>
      <c r="W58" s="1117">
        <f t="shared" si="87"/>
        <v>0</v>
      </c>
      <c r="X58" s="1118">
        <f t="shared" si="88"/>
        <v>0</v>
      </c>
      <c r="Y58" s="1118">
        <f t="shared" si="89"/>
        <v>0</v>
      </c>
      <c r="Z58" s="1118">
        <f t="shared" si="90"/>
        <v>0</v>
      </c>
      <c r="AA58" s="1119"/>
      <c r="AE58" s="1117">
        <f t="shared" si="91"/>
        <v>0</v>
      </c>
      <c r="AF58" s="1118">
        <f t="shared" si="92"/>
        <v>0</v>
      </c>
      <c r="AG58" s="1118">
        <f t="shared" si="93"/>
        <v>0</v>
      </c>
      <c r="AH58" s="1118">
        <f t="shared" si="94"/>
        <v>0</v>
      </c>
      <c r="AI58" s="1119"/>
      <c r="AM58" s="1117">
        <f t="shared" si="95"/>
        <v>0</v>
      </c>
      <c r="AN58" s="1118">
        <f t="shared" si="96"/>
        <v>0</v>
      </c>
      <c r="AO58" s="1118">
        <f t="shared" si="97"/>
        <v>0</v>
      </c>
      <c r="AP58" s="1118">
        <f t="shared" si="98"/>
        <v>0</v>
      </c>
      <c r="AQ58" s="1119"/>
      <c r="AU58" s="1117">
        <f t="shared" si="99"/>
        <v>0</v>
      </c>
      <c r="AV58" s="1118">
        <f t="shared" si="100"/>
        <v>0</v>
      </c>
      <c r="AW58" s="1118">
        <f t="shared" si="101"/>
        <v>0</v>
      </c>
      <c r="AX58" s="1118">
        <f t="shared" si="102"/>
        <v>0</v>
      </c>
      <c r="AY58" s="1119"/>
      <c r="BC58" s="1117">
        <f t="shared" si="103"/>
        <v>0</v>
      </c>
      <c r="BD58" s="1118">
        <f t="shared" si="104"/>
        <v>0</v>
      </c>
      <c r="BE58" s="1118">
        <f t="shared" si="105"/>
        <v>0</v>
      </c>
      <c r="BF58" s="1118">
        <f t="shared" si="106"/>
        <v>0</v>
      </c>
      <c r="BG58" s="1119"/>
      <c r="BK58" s="1117">
        <f t="shared" si="107"/>
        <v>0</v>
      </c>
      <c r="BL58" s="1118">
        <f t="shared" si="108"/>
        <v>0</v>
      </c>
      <c r="BM58" s="1118">
        <f t="shared" si="109"/>
        <v>0</v>
      </c>
      <c r="BN58" s="1118">
        <f t="shared" si="110"/>
        <v>0</v>
      </c>
      <c r="BO58" s="1119"/>
      <c r="BS58" s="1117">
        <f t="shared" si="111"/>
        <v>0</v>
      </c>
      <c r="BT58" s="1118">
        <f t="shared" si="112"/>
        <v>0</v>
      </c>
      <c r="BU58" s="1118">
        <f t="shared" si="113"/>
        <v>0</v>
      </c>
      <c r="BV58" s="1118">
        <f t="shared" si="114"/>
        <v>0</v>
      </c>
      <c r="BW58" s="1119"/>
      <c r="CA58" s="1117">
        <f t="shared" si="115"/>
        <v>0</v>
      </c>
      <c r="CB58" s="1118">
        <f t="shared" si="116"/>
        <v>0</v>
      </c>
      <c r="CC58" s="1118">
        <f t="shared" si="117"/>
        <v>0</v>
      </c>
      <c r="CD58" s="1118">
        <f t="shared" si="118"/>
        <v>0</v>
      </c>
      <c r="CE58" s="1119"/>
      <c r="CI58" s="1117">
        <f t="shared" si="119"/>
        <v>0</v>
      </c>
      <c r="CJ58" s="1118">
        <f t="shared" si="120"/>
        <v>0</v>
      </c>
      <c r="CK58" s="1118">
        <f t="shared" si="121"/>
        <v>0</v>
      </c>
      <c r="CL58" s="1118">
        <f t="shared" si="122"/>
        <v>0</v>
      </c>
      <c r="CM58" s="1119"/>
      <c r="CQ58" s="1117">
        <f t="shared" si="123"/>
        <v>0</v>
      </c>
      <c r="CR58" s="1118">
        <f t="shared" si="124"/>
        <v>0</v>
      </c>
      <c r="CS58" s="1118">
        <f t="shared" si="125"/>
        <v>0</v>
      </c>
      <c r="CT58" s="1118">
        <f t="shared" si="126"/>
        <v>0</v>
      </c>
      <c r="CU58" s="1119"/>
      <c r="CY58" s="1117">
        <f t="shared" si="127"/>
        <v>0</v>
      </c>
      <c r="CZ58" s="1118">
        <f t="shared" si="128"/>
        <v>0</v>
      </c>
      <c r="DA58" s="1118">
        <f t="shared" si="129"/>
        <v>0</v>
      </c>
      <c r="DB58" s="1118">
        <f t="shared" si="130"/>
        <v>0</v>
      </c>
      <c r="DC58" s="1119"/>
      <c r="DG58" s="1117">
        <f t="shared" si="131"/>
        <v>0</v>
      </c>
      <c r="DH58" s="1118">
        <f t="shared" si="132"/>
        <v>0</v>
      </c>
      <c r="DI58" s="1118">
        <f t="shared" si="133"/>
        <v>0</v>
      </c>
      <c r="DJ58" s="1118">
        <f t="shared" si="134"/>
        <v>0</v>
      </c>
      <c r="DK58" s="1119"/>
      <c r="DO58" s="1117">
        <f t="shared" si="135"/>
        <v>0</v>
      </c>
      <c r="DP58" s="1118">
        <f t="shared" si="136"/>
        <v>0</v>
      </c>
      <c r="DQ58" s="1118">
        <f t="shared" si="137"/>
        <v>0</v>
      </c>
      <c r="DR58" s="1118">
        <f t="shared" si="138"/>
        <v>0</v>
      </c>
      <c r="DS58" s="1119"/>
      <c r="DW58" s="1117">
        <f t="shared" si="139"/>
        <v>0</v>
      </c>
      <c r="DX58" s="1118">
        <f t="shared" si="140"/>
        <v>0</v>
      </c>
      <c r="DY58" s="1118">
        <f t="shared" si="141"/>
        <v>0</v>
      </c>
      <c r="DZ58" s="1118">
        <f t="shared" si="142"/>
        <v>0</v>
      </c>
      <c r="EA58" s="1119"/>
      <c r="EE58" s="1117">
        <f t="shared" si="143"/>
        <v>0</v>
      </c>
      <c r="EF58" s="1118">
        <f t="shared" si="144"/>
        <v>0</v>
      </c>
      <c r="EG58" s="1118">
        <f t="shared" si="145"/>
        <v>0</v>
      </c>
      <c r="EH58" s="1118">
        <f t="shared" si="146"/>
        <v>0</v>
      </c>
      <c r="EI58" s="1119"/>
      <c r="EM58" s="1117">
        <f t="shared" si="147"/>
        <v>0</v>
      </c>
      <c r="EN58" s="1118">
        <f t="shared" si="148"/>
        <v>0</v>
      </c>
      <c r="EO58" s="1118">
        <f t="shared" si="149"/>
        <v>0</v>
      </c>
      <c r="EP58" s="1118">
        <f t="shared" si="150"/>
        <v>0</v>
      </c>
      <c r="EQ58" s="1119"/>
      <c r="EU58" s="1117">
        <f t="shared" si="151"/>
        <v>0</v>
      </c>
      <c r="EV58" s="1118">
        <f t="shared" si="152"/>
        <v>0</v>
      </c>
      <c r="EW58" s="1118">
        <f t="shared" si="153"/>
        <v>0</v>
      </c>
      <c r="EX58" s="1118">
        <f t="shared" si="154"/>
        <v>0</v>
      </c>
      <c r="EY58" s="1119"/>
      <c r="FC58" s="1117">
        <f t="shared" si="155"/>
        <v>0</v>
      </c>
      <c r="FD58" s="1118">
        <f t="shared" si="156"/>
        <v>0</v>
      </c>
      <c r="FE58" s="1118">
        <f t="shared" si="157"/>
        <v>0</v>
      </c>
      <c r="FF58" s="1118">
        <f t="shared" si="158"/>
        <v>0</v>
      </c>
      <c r="FG58" s="1119"/>
      <c r="FK58" s="1117">
        <f t="shared" si="159"/>
        <v>0</v>
      </c>
      <c r="FL58" s="1118">
        <f t="shared" si="160"/>
        <v>0</v>
      </c>
      <c r="FM58" s="1118">
        <f t="shared" si="161"/>
        <v>0</v>
      </c>
      <c r="FN58" s="1118">
        <f t="shared" si="162"/>
        <v>0</v>
      </c>
      <c r="FO58" s="1119"/>
    </row>
    <row r="59" spans="1:171" x14ac:dyDescent="0.25">
      <c r="A59" s="1421"/>
      <c r="B59" s="914" t="s">
        <v>326</v>
      </c>
      <c r="C59" s="889">
        <v>219</v>
      </c>
      <c r="D59" s="889">
        <v>108</v>
      </c>
      <c r="E59" s="182" t="str">
        <f>'Sch 1- Rate Base '!E59</f>
        <v>PROD</v>
      </c>
      <c r="F59" s="890"/>
      <c r="G59" s="182">
        <f>'Sch 1- Rate Base '!G59</f>
        <v>187302448.38277987</v>
      </c>
      <c r="H59" s="182">
        <f>'Sch 1- Rate Base '!H59</f>
        <v>187302448.38277987</v>
      </c>
      <c r="I59" s="182">
        <f>'Sch 1- Rate Base '!I59</f>
        <v>0</v>
      </c>
      <c r="J59" s="1422">
        <f>'Sch 1- Rate Base '!J59</f>
        <v>0</v>
      </c>
      <c r="K59" s="904">
        <f t="shared" si="82"/>
        <v>1</v>
      </c>
      <c r="O59" s="1117">
        <f t="shared" si="83"/>
        <v>187302448.38277987</v>
      </c>
      <c r="P59" s="1118">
        <f t="shared" si="84"/>
        <v>187302448.38277987</v>
      </c>
      <c r="Q59" s="1118">
        <f t="shared" si="85"/>
        <v>0</v>
      </c>
      <c r="R59" s="1118">
        <f t="shared" si="86"/>
        <v>0</v>
      </c>
      <c r="S59" s="1119"/>
      <c r="W59" s="1117">
        <f t="shared" si="87"/>
        <v>187302448.38277987</v>
      </c>
      <c r="X59" s="1118">
        <f t="shared" si="88"/>
        <v>187302448.38277987</v>
      </c>
      <c r="Y59" s="1118">
        <f t="shared" si="89"/>
        <v>0</v>
      </c>
      <c r="Z59" s="1118">
        <f t="shared" si="90"/>
        <v>0</v>
      </c>
      <c r="AA59" s="1119"/>
      <c r="AE59" s="1117">
        <f t="shared" si="91"/>
        <v>187302448.38277987</v>
      </c>
      <c r="AF59" s="1118">
        <f t="shared" si="92"/>
        <v>187302448.38277987</v>
      </c>
      <c r="AG59" s="1118">
        <f t="shared" si="93"/>
        <v>0</v>
      </c>
      <c r="AH59" s="1118">
        <f t="shared" si="94"/>
        <v>0</v>
      </c>
      <c r="AI59" s="1119"/>
      <c r="AM59" s="1117">
        <f t="shared" si="95"/>
        <v>187302448.38277987</v>
      </c>
      <c r="AN59" s="1118">
        <f t="shared" si="96"/>
        <v>187302448.38277987</v>
      </c>
      <c r="AO59" s="1118">
        <f t="shared" si="97"/>
        <v>0</v>
      </c>
      <c r="AP59" s="1118">
        <f t="shared" si="98"/>
        <v>0</v>
      </c>
      <c r="AQ59" s="1119"/>
      <c r="AU59" s="1117">
        <f t="shared" si="99"/>
        <v>187302448.38277987</v>
      </c>
      <c r="AV59" s="1118">
        <f t="shared" si="100"/>
        <v>187302448.38277987</v>
      </c>
      <c r="AW59" s="1118">
        <f t="shared" si="101"/>
        <v>0</v>
      </c>
      <c r="AX59" s="1118">
        <f t="shared" si="102"/>
        <v>0</v>
      </c>
      <c r="AY59" s="1119"/>
      <c r="BC59" s="1117">
        <f t="shared" si="103"/>
        <v>187302448.38277987</v>
      </c>
      <c r="BD59" s="1118">
        <f t="shared" si="104"/>
        <v>187302448.38277987</v>
      </c>
      <c r="BE59" s="1118">
        <f t="shared" si="105"/>
        <v>0</v>
      </c>
      <c r="BF59" s="1118">
        <f t="shared" si="106"/>
        <v>0</v>
      </c>
      <c r="BG59" s="1119"/>
      <c r="BK59" s="1117">
        <f t="shared" si="107"/>
        <v>187302448.38277987</v>
      </c>
      <c r="BL59" s="1118">
        <f t="shared" si="108"/>
        <v>187302448.38277987</v>
      </c>
      <c r="BM59" s="1118">
        <f t="shared" si="109"/>
        <v>0</v>
      </c>
      <c r="BN59" s="1118">
        <f t="shared" si="110"/>
        <v>0</v>
      </c>
      <c r="BO59" s="1119"/>
      <c r="BS59" s="1117">
        <f t="shared" si="111"/>
        <v>187302448.38277987</v>
      </c>
      <c r="BT59" s="1118">
        <f t="shared" si="112"/>
        <v>187302448.38277987</v>
      </c>
      <c r="BU59" s="1118">
        <f t="shared" si="113"/>
        <v>0</v>
      </c>
      <c r="BV59" s="1118">
        <f t="shared" si="114"/>
        <v>0</v>
      </c>
      <c r="BW59" s="1119"/>
      <c r="CA59" s="1117">
        <f t="shared" si="115"/>
        <v>187302448.38277987</v>
      </c>
      <c r="CB59" s="1118">
        <f t="shared" si="116"/>
        <v>187302448.38277987</v>
      </c>
      <c r="CC59" s="1118">
        <f t="shared" si="117"/>
        <v>0</v>
      </c>
      <c r="CD59" s="1118">
        <f t="shared" si="118"/>
        <v>0</v>
      </c>
      <c r="CE59" s="1119"/>
      <c r="CI59" s="1117">
        <f t="shared" si="119"/>
        <v>187302448.38277987</v>
      </c>
      <c r="CJ59" s="1118">
        <f t="shared" si="120"/>
        <v>187302448.38277987</v>
      </c>
      <c r="CK59" s="1118">
        <f t="shared" si="121"/>
        <v>0</v>
      </c>
      <c r="CL59" s="1118">
        <f t="shared" si="122"/>
        <v>0</v>
      </c>
      <c r="CM59" s="1119"/>
      <c r="CQ59" s="1117">
        <f t="shared" si="123"/>
        <v>187302448.38277987</v>
      </c>
      <c r="CR59" s="1118">
        <f t="shared" si="124"/>
        <v>187302448.38277987</v>
      </c>
      <c r="CS59" s="1118">
        <f t="shared" si="125"/>
        <v>0</v>
      </c>
      <c r="CT59" s="1118">
        <f t="shared" si="126"/>
        <v>0</v>
      </c>
      <c r="CU59" s="1119"/>
      <c r="CY59" s="1117">
        <f t="shared" si="127"/>
        <v>187302448.38277987</v>
      </c>
      <c r="CZ59" s="1118">
        <f t="shared" si="128"/>
        <v>187302448.38277987</v>
      </c>
      <c r="DA59" s="1118">
        <f t="shared" si="129"/>
        <v>0</v>
      </c>
      <c r="DB59" s="1118">
        <f t="shared" si="130"/>
        <v>0</v>
      </c>
      <c r="DC59" s="1119"/>
      <c r="DG59" s="1117">
        <f t="shared" si="131"/>
        <v>187302448.38277987</v>
      </c>
      <c r="DH59" s="1118">
        <f t="shared" si="132"/>
        <v>187302448.38277987</v>
      </c>
      <c r="DI59" s="1118">
        <f t="shared" si="133"/>
        <v>0</v>
      </c>
      <c r="DJ59" s="1118">
        <f t="shared" si="134"/>
        <v>0</v>
      </c>
      <c r="DK59" s="1119"/>
      <c r="DO59" s="1117">
        <f t="shared" si="135"/>
        <v>187302448.38277987</v>
      </c>
      <c r="DP59" s="1118">
        <f t="shared" si="136"/>
        <v>187302448.38277987</v>
      </c>
      <c r="DQ59" s="1118">
        <f t="shared" si="137"/>
        <v>0</v>
      </c>
      <c r="DR59" s="1118">
        <f t="shared" si="138"/>
        <v>0</v>
      </c>
      <c r="DS59" s="1119"/>
      <c r="DW59" s="1117">
        <f t="shared" si="139"/>
        <v>187302448.38277987</v>
      </c>
      <c r="DX59" s="1118">
        <f t="shared" si="140"/>
        <v>187302448.38277987</v>
      </c>
      <c r="DY59" s="1118">
        <f t="shared" si="141"/>
        <v>0</v>
      </c>
      <c r="DZ59" s="1118">
        <f t="shared" si="142"/>
        <v>0</v>
      </c>
      <c r="EA59" s="1119"/>
      <c r="EE59" s="1117">
        <f t="shared" si="143"/>
        <v>187302448.38277987</v>
      </c>
      <c r="EF59" s="1118">
        <f t="shared" si="144"/>
        <v>187302448.38277987</v>
      </c>
      <c r="EG59" s="1118">
        <f t="shared" si="145"/>
        <v>0</v>
      </c>
      <c r="EH59" s="1118">
        <f t="shared" si="146"/>
        <v>0</v>
      </c>
      <c r="EI59" s="1119"/>
      <c r="EM59" s="1117">
        <f t="shared" si="147"/>
        <v>187302448.38277987</v>
      </c>
      <c r="EN59" s="1118">
        <f t="shared" si="148"/>
        <v>187302448.38277987</v>
      </c>
      <c r="EO59" s="1118">
        <f t="shared" si="149"/>
        <v>0</v>
      </c>
      <c r="EP59" s="1118">
        <f t="shared" si="150"/>
        <v>0</v>
      </c>
      <c r="EQ59" s="1119"/>
      <c r="EU59" s="1117">
        <f t="shared" si="151"/>
        <v>187302448.38277987</v>
      </c>
      <c r="EV59" s="1118">
        <f t="shared" si="152"/>
        <v>187302448.38277987</v>
      </c>
      <c r="EW59" s="1118">
        <f t="shared" si="153"/>
        <v>0</v>
      </c>
      <c r="EX59" s="1118">
        <f t="shared" si="154"/>
        <v>0</v>
      </c>
      <c r="EY59" s="1119"/>
      <c r="FC59" s="1117">
        <f t="shared" si="155"/>
        <v>187302448.38277987</v>
      </c>
      <c r="FD59" s="1118">
        <f t="shared" si="156"/>
        <v>187302448.38277987</v>
      </c>
      <c r="FE59" s="1118">
        <f t="shared" si="157"/>
        <v>0</v>
      </c>
      <c r="FF59" s="1118">
        <f t="shared" si="158"/>
        <v>0</v>
      </c>
      <c r="FG59" s="1119"/>
      <c r="FK59" s="1117">
        <f t="shared" si="159"/>
        <v>187302448.38277987</v>
      </c>
      <c r="FL59" s="1118">
        <f t="shared" si="160"/>
        <v>187302448.38277987</v>
      </c>
      <c r="FM59" s="1118">
        <f t="shared" si="161"/>
        <v>0</v>
      </c>
      <c r="FN59" s="1118">
        <f t="shared" si="162"/>
        <v>0</v>
      </c>
      <c r="FO59" s="1119"/>
    </row>
    <row r="60" spans="1:171" x14ac:dyDescent="0.25">
      <c r="A60" s="1421"/>
      <c r="B60" s="914" t="s">
        <v>137</v>
      </c>
      <c r="C60" s="889">
        <v>219</v>
      </c>
      <c r="D60" s="889">
        <v>108</v>
      </c>
      <c r="E60" s="182" t="str">
        <f>'Sch 1- Rate Base '!E60</f>
        <v>PROD</v>
      </c>
      <c r="F60" s="890"/>
      <c r="G60" s="182">
        <f>'Sch 1- Rate Base '!G60</f>
        <v>306422821.96464163</v>
      </c>
      <c r="H60" s="182">
        <f>'Sch 1- Rate Base '!H60</f>
        <v>306422821.96464163</v>
      </c>
      <c r="I60" s="182">
        <f>'Sch 1- Rate Base '!I60</f>
        <v>0</v>
      </c>
      <c r="J60" s="1422">
        <f>'Sch 1- Rate Base '!J60</f>
        <v>0</v>
      </c>
      <c r="K60" s="904">
        <f t="shared" si="82"/>
        <v>1</v>
      </c>
      <c r="O60" s="1117">
        <f t="shared" si="83"/>
        <v>306422821.96464163</v>
      </c>
      <c r="P60" s="1118">
        <f t="shared" si="84"/>
        <v>306422821.96464163</v>
      </c>
      <c r="Q60" s="1118">
        <f t="shared" si="85"/>
        <v>0</v>
      </c>
      <c r="R60" s="1118">
        <f t="shared" si="86"/>
        <v>0</v>
      </c>
      <c r="S60" s="1119"/>
      <c r="W60" s="1117">
        <f t="shared" si="87"/>
        <v>306422821.96464163</v>
      </c>
      <c r="X60" s="1118">
        <f t="shared" si="88"/>
        <v>306422821.96464163</v>
      </c>
      <c r="Y60" s="1118">
        <f t="shared" si="89"/>
        <v>0</v>
      </c>
      <c r="Z60" s="1118">
        <f t="shared" si="90"/>
        <v>0</v>
      </c>
      <c r="AA60" s="1119"/>
      <c r="AE60" s="1117">
        <f t="shared" si="91"/>
        <v>306422821.96464163</v>
      </c>
      <c r="AF60" s="1118">
        <f t="shared" si="92"/>
        <v>306422821.96464163</v>
      </c>
      <c r="AG60" s="1118">
        <f t="shared" si="93"/>
        <v>0</v>
      </c>
      <c r="AH60" s="1118">
        <f t="shared" si="94"/>
        <v>0</v>
      </c>
      <c r="AI60" s="1119"/>
      <c r="AM60" s="1117">
        <f t="shared" si="95"/>
        <v>306422821.96464163</v>
      </c>
      <c r="AN60" s="1118">
        <f t="shared" si="96"/>
        <v>306422821.96464163</v>
      </c>
      <c r="AO60" s="1118">
        <f t="shared" si="97"/>
        <v>0</v>
      </c>
      <c r="AP60" s="1118">
        <f t="shared" si="98"/>
        <v>0</v>
      </c>
      <c r="AQ60" s="1119"/>
      <c r="AU60" s="1117">
        <f t="shared" si="99"/>
        <v>306422821.96464163</v>
      </c>
      <c r="AV60" s="1118">
        <f t="shared" si="100"/>
        <v>306422821.96464163</v>
      </c>
      <c r="AW60" s="1118">
        <f t="shared" si="101"/>
        <v>0</v>
      </c>
      <c r="AX60" s="1118">
        <f t="shared" si="102"/>
        <v>0</v>
      </c>
      <c r="AY60" s="1119"/>
      <c r="BC60" s="1117">
        <f t="shared" si="103"/>
        <v>306422821.96464163</v>
      </c>
      <c r="BD60" s="1118">
        <f t="shared" si="104"/>
        <v>306422821.96464163</v>
      </c>
      <c r="BE60" s="1118">
        <f t="shared" si="105"/>
        <v>0</v>
      </c>
      <c r="BF60" s="1118">
        <f t="shared" si="106"/>
        <v>0</v>
      </c>
      <c r="BG60" s="1119"/>
      <c r="BK60" s="1117">
        <f t="shared" si="107"/>
        <v>306422821.96464163</v>
      </c>
      <c r="BL60" s="1118">
        <f t="shared" si="108"/>
        <v>306422821.96464163</v>
      </c>
      <c r="BM60" s="1118">
        <f t="shared" si="109"/>
        <v>0</v>
      </c>
      <c r="BN60" s="1118">
        <f t="shared" si="110"/>
        <v>0</v>
      </c>
      <c r="BO60" s="1119"/>
      <c r="BS60" s="1117">
        <f t="shared" si="111"/>
        <v>306422821.96464163</v>
      </c>
      <c r="BT60" s="1118">
        <f t="shared" si="112"/>
        <v>306422821.96464163</v>
      </c>
      <c r="BU60" s="1118">
        <f t="shared" si="113"/>
        <v>0</v>
      </c>
      <c r="BV60" s="1118">
        <f t="shared" si="114"/>
        <v>0</v>
      </c>
      <c r="BW60" s="1119"/>
      <c r="CA60" s="1117">
        <f t="shared" si="115"/>
        <v>306422821.96464163</v>
      </c>
      <c r="CB60" s="1118">
        <f t="shared" si="116"/>
        <v>306422821.96464163</v>
      </c>
      <c r="CC60" s="1118">
        <f t="shared" si="117"/>
        <v>0</v>
      </c>
      <c r="CD60" s="1118">
        <f t="shared" si="118"/>
        <v>0</v>
      </c>
      <c r="CE60" s="1119"/>
      <c r="CI60" s="1117">
        <f t="shared" si="119"/>
        <v>306422821.96464163</v>
      </c>
      <c r="CJ60" s="1118">
        <f t="shared" si="120"/>
        <v>306422821.96464163</v>
      </c>
      <c r="CK60" s="1118">
        <f t="shared" si="121"/>
        <v>0</v>
      </c>
      <c r="CL60" s="1118">
        <f t="shared" si="122"/>
        <v>0</v>
      </c>
      <c r="CM60" s="1119"/>
      <c r="CQ60" s="1117">
        <f t="shared" si="123"/>
        <v>306422821.96464163</v>
      </c>
      <c r="CR60" s="1118">
        <f t="shared" si="124"/>
        <v>306422821.96464163</v>
      </c>
      <c r="CS60" s="1118">
        <f t="shared" si="125"/>
        <v>0</v>
      </c>
      <c r="CT60" s="1118">
        <f t="shared" si="126"/>
        <v>0</v>
      </c>
      <c r="CU60" s="1119"/>
      <c r="CY60" s="1117">
        <f t="shared" si="127"/>
        <v>306422821.96464163</v>
      </c>
      <c r="CZ60" s="1118">
        <f t="shared" si="128"/>
        <v>306422821.96464163</v>
      </c>
      <c r="DA60" s="1118">
        <f t="shared" si="129"/>
        <v>0</v>
      </c>
      <c r="DB60" s="1118">
        <f t="shared" si="130"/>
        <v>0</v>
      </c>
      <c r="DC60" s="1119"/>
      <c r="DG60" s="1117">
        <f t="shared" si="131"/>
        <v>306422821.96464163</v>
      </c>
      <c r="DH60" s="1118">
        <f t="shared" si="132"/>
        <v>306422821.96464163</v>
      </c>
      <c r="DI60" s="1118">
        <f t="shared" si="133"/>
        <v>0</v>
      </c>
      <c r="DJ60" s="1118">
        <f t="shared" si="134"/>
        <v>0</v>
      </c>
      <c r="DK60" s="1119"/>
      <c r="DO60" s="1117">
        <f t="shared" si="135"/>
        <v>306422821.96464163</v>
      </c>
      <c r="DP60" s="1118">
        <f t="shared" si="136"/>
        <v>306422821.96464163</v>
      </c>
      <c r="DQ60" s="1118">
        <f t="shared" si="137"/>
        <v>0</v>
      </c>
      <c r="DR60" s="1118">
        <f t="shared" si="138"/>
        <v>0</v>
      </c>
      <c r="DS60" s="1119"/>
      <c r="DW60" s="1117">
        <f t="shared" si="139"/>
        <v>306422821.96464163</v>
      </c>
      <c r="DX60" s="1118">
        <f t="shared" si="140"/>
        <v>306422821.96464163</v>
      </c>
      <c r="DY60" s="1118">
        <f t="shared" si="141"/>
        <v>0</v>
      </c>
      <c r="DZ60" s="1118">
        <f t="shared" si="142"/>
        <v>0</v>
      </c>
      <c r="EA60" s="1119"/>
      <c r="EE60" s="1117">
        <f t="shared" si="143"/>
        <v>306422821.96464163</v>
      </c>
      <c r="EF60" s="1118">
        <f t="shared" si="144"/>
        <v>306422821.96464163</v>
      </c>
      <c r="EG60" s="1118">
        <f t="shared" si="145"/>
        <v>0</v>
      </c>
      <c r="EH60" s="1118">
        <f t="shared" si="146"/>
        <v>0</v>
      </c>
      <c r="EI60" s="1119"/>
      <c r="EM60" s="1117">
        <f t="shared" si="147"/>
        <v>306422821.96464163</v>
      </c>
      <c r="EN60" s="1118">
        <f t="shared" si="148"/>
        <v>306422821.96464163</v>
      </c>
      <c r="EO60" s="1118">
        <f t="shared" si="149"/>
        <v>0</v>
      </c>
      <c r="EP60" s="1118">
        <f t="shared" si="150"/>
        <v>0</v>
      </c>
      <c r="EQ60" s="1119"/>
      <c r="EU60" s="1117">
        <f t="shared" si="151"/>
        <v>306422821.96464163</v>
      </c>
      <c r="EV60" s="1118">
        <f t="shared" si="152"/>
        <v>306422821.96464163</v>
      </c>
      <c r="EW60" s="1118">
        <f t="shared" si="153"/>
        <v>0</v>
      </c>
      <c r="EX60" s="1118">
        <f t="shared" si="154"/>
        <v>0</v>
      </c>
      <c r="EY60" s="1119"/>
      <c r="FC60" s="1117">
        <f t="shared" si="155"/>
        <v>306422821.96464163</v>
      </c>
      <c r="FD60" s="1118">
        <f t="shared" si="156"/>
        <v>306422821.96464163</v>
      </c>
      <c r="FE60" s="1118">
        <f t="shared" si="157"/>
        <v>0</v>
      </c>
      <c r="FF60" s="1118">
        <f t="shared" si="158"/>
        <v>0</v>
      </c>
      <c r="FG60" s="1119"/>
      <c r="FK60" s="1117">
        <f t="shared" si="159"/>
        <v>306422821.96464163</v>
      </c>
      <c r="FL60" s="1118">
        <f t="shared" si="160"/>
        <v>306422821.96464163</v>
      </c>
      <c r="FM60" s="1118">
        <f t="shared" si="161"/>
        <v>0</v>
      </c>
      <c r="FN60" s="1118">
        <f t="shared" si="162"/>
        <v>0</v>
      </c>
      <c r="FO60" s="1119"/>
    </row>
    <row r="61" spans="1:171" x14ac:dyDescent="0.25">
      <c r="A61" s="1421"/>
      <c r="B61" s="914" t="s">
        <v>143</v>
      </c>
      <c r="C61" s="889">
        <v>219</v>
      </c>
      <c r="D61" s="889">
        <v>108</v>
      </c>
      <c r="E61" s="182" t="str">
        <f>'Sch 1- Rate Base '!E61</f>
        <v>TRANS</v>
      </c>
      <c r="F61" s="890"/>
      <c r="G61" s="182">
        <f>'Sch 1- Rate Base '!G61</f>
        <v>906356004.76731598</v>
      </c>
      <c r="H61" s="182">
        <f>'Sch 1- Rate Base '!H61</f>
        <v>0</v>
      </c>
      <c r="I61" s="182">
        <f>'Sch 1- Rate Base '!I61</f>
        <v>0</v>
      </c>
      <c r="J61" s="1422">
        <f>'Sch 1- Rate Base '!J61</f>
        <v>906356004.76731598</v>
      </c>
      <c r="K61" s="904">
        <f t="shared" si="82"/>
        <v>1</v>
      </c>
      <c r="O61" s="1117">
        <f t="shared" si="83"/>
        <v>906356004.76731598</v>
      </c>
      <c r="P61" s="1118">
        <f t="shared" si="84"/>
        <v>0</v>
      </c>
      <c r="Q61" s="1118">
        <f t="shared" si="85"/>
        <v>906356004.76731598</v>
      </c>
      <c r="R61" s="1118">
        <f t="shared" si="86"/>
        <v>0</v>
      </c>
      <c r="S61" s="1119"/>
      <c r="W61" s="1117">
        <f t="shared" si="87"/>
        <v>906356004.76731598</v>
      </c>
      <c r="X61" s="1118">
        <f t="shared" si="88"/>
        <v>0</v>
      </c>
      <c r="Y61" s="1118">
        <f t="shared" si="89"/>
        <v>906356004.76731598</v>
      </c>
      <c r="Z61" s="1118">
        <f t="shared" si="90"/>
        <v>0</v>
      </c>
      <c r="AA61" s="1119"/>
      <c r="AE61" s="1117">
        <f t="shared" si="91"/>
        <v>906356004.76731598</v>
      </c>
      <c r="AF61" s="1118">
        <f t="shared" si="92"/>
        <v>0</v>
      </c>
      <c r="AG61" s="1118">
        <f t="shared" si="93"/>
        <v>906356004.76731598</v>
      </c>
      <c r="AH61" s="1118">
        <f t="shared" si="94"/>
        <v>0</v>
      </c>
      <c r="AI61" s="1119"/>
      <c r="AM61" s="1117">
        <f t="shared" si="95"/>
        <v>906356004.76731598</v>
      </c>
      <c r="AN61" s="1118">
        <f t="shared" si="96"/>
        <v>0</v>
      </c>
      <c r="AO61" s="1118">
        <f t="shared" si="97"/>
        <v>906356004.76731598</v>
      </c>
      <c r="AP61" s="1118">
        <f t="shared" si="98"/>
        <v>0</v>
      </c>
      <c r="AQ61" s="1119"/>
      <c r="AU61" s="1117">
        <f t="shared" si="99"/>
        <v>906356004.76731598</v>
      </c>
      <c r="AV61" s="1118">
        <f t="shared" si="100"/>
        <v>0</v>
      </c>
      <c r="AW61" s="1118">
        <f t="shared" si="101"/>
        <v>906356004.76731598</v>
      </c>
      <c r="AX61" s="1118">
        <f t="shared" si="102"/>
        <v>0</v>
      </c>
      <c r="AY61" s="1119"/>
      <c r="BC61" s="1117">
        <f t="shared" si="103"/>
        <v>906356004.76731598</v>
      </c>
      <c r="BD61" s="1118">
        <f t="shared" si="104"/>
        <v>0</v>
      </c>
      <c r="BE61" s="1118">
        <f t="shared" si="105"/>
        <v>906356004.76731598</v>
      </c>
      <c r="BF61" s="1118">
        <f t="shared" si="106"/>
        <v>0</v>
      </c>
      <c r="BG61" s="1119"/>
      <c r="BK61" s="1117">
        <f t="shared" si="107"/>
        <v>906356004.76731598</v>
      </c>
      <c r="BL61" s="1118">
        <f t="shared" si="108"/>
        <v>0</v>
      </c>
      <c r="BM61" s="1118">
        <f t="shared" si="109"/>
        <v>906356004.76731598</v>
      </c>
      <c r="BN61" s="1118">
        <f t="shared" si="110"/>
        <v>0</v>
      </c>
      <c r="BO61" s="1119"/>
      <c r="BS61" s="1117">
        <f t="shared" si="111"/>
        <v>906356004.76731598</v>
      </c>
      <c r="BT61" s="1118">
        <f t="shared" si="112"/>
        <v>0</v>
      </c>
      <c r="BU61" s="1118">
        <f t="shared" si="113"/>
        <v>906356004.76731598</v>
      </c>
      <c r="BV61" s="1118">
        <f t="shared" si="114"/>
        <v>0</v>
      </c>
      <c r="BW61" s="1119"/>
      <c r="CA61" s="1117">
        <f t="shared" si="115"/>
        <v>906356004.76731598</v>
      </c>
      <c r="CB61" s="1118">
        <f t="shared" si="116"/>
        <v>0</v>
      </c>
      <c r="CC61" s="1118">
        <f t="shared" si="117"/>
        <v>906356004.76731598</v>
      </c>
      <c r="CD61" s="1118">
        <f t="shared" si="118"/>
        <v>0</v>
      </c>
      <c r="CE61" s="1119"/>
      <c r="CI61" s="1117">
        <f t="shared" si="119"/>
        <v>906356004.76731598</v>
      </c>
      <c r="CJ61" s="1118">
        <f t="shared" si="120"/>
        <v>0</v>
      </c>
      <c r="CK61" s="1118">
        <f t="shared" si="121"/>
        <v>906356004.76731598</v>
      </c>
      <c r="CL61" s="1118">
        <f t="shared" si="122"/>
        <v>0</v>
      </c>
      <c r="CM61" s="1119"/>
      <c r="CQ61" s="1117">
        <f t="shared" si="123"/>
        <v>906356004.76731598</v>
      </c>
      <c r="CR61" s="1118">
        <f t="shared" si="124"/>
        <v>0</v>
      </c>
      <c r="CS61" s="1118">
        <f t="shared" si="125"/>
        <v>906356004.76731598</v>
      </c>
      <c r="CT61" s="1118">
        <f t="shared" si="126"/>
        <v>0</v>
      </c>
      <c r="CU61" s="1119"/>
      <c r="CY61" s="1117">
        <f t="shared" si="127"/>
        <v>906356004.76731598</v>
      </c>
      <c r="CZ61" s="1118">
        <f t="shared" si="128"/>
        <v>0</v>
      </c>
      <c r="DA61" s="1118">
        <f t="shared" si="129"/>
        <v>906356004.76731598</v>
      </c>
      <c r="DB61" s="1118">
        <f t="shared" si="130"/>
        <v>0</v>
      </c>
      <c r="DC61" s="1119"/>
      <c r="DG61" s="1117">
        <f t="shared" si="131"/>
        <v>906356004.76731598</v>
      </c>
      <c r="DH61" s="1118">
        <f t="shared" si="132"/>
        <v>0</v>
      </c>
      <c r="DI61" s="1118">
        <f t="shared" si="133"/>
        <v>906356004.76731598</v>
      </c>
      <c r="DJ61" s="1118">
        <f t="shared" si="134"/>
        <v>0</v>
      </c>
      <c r="DK61" s="1119"/>
      <c r="DO61" s="1117">
        <f t="shared" si="135"/>
        <v>906356004.76731598</v>
      </c>
      <c r="DP61" s="1118">
        <f t="shared" si="136"/>
        <v>0</v>
      </c>
      <c r="DQ61" s="1118">
        <f t="shared" si="137"/>
        <v>906356004.76731598</v>
      </c>
      <c r="DR61" s="1118">
        <f t="shared" si="138"/>
        <v>0</v>
      </c>
      <c r="DS61" s="1119"/>
      <c r="DW61" s="1117">
        <f t="shared" si="139"/>
        <v>906356004.76731598</v>
      </c>
      <c r="DX61" s="1118">
        <f t="shared" si="140"/>
        <v>0</v>
      </c>
      <c r="DY61" s="1118">
        <f t="shared" si="141"/>
        <v>906356004.76731598</v>
      </c>
      <c r="DZ61" s="1118">
        <f t="shared" si="142"/>
        <v>0</v>
      </c>
      <c r="EA61" s="1119"/>
      <c r="EE61" s="1117">
        <f t="shared" si="143"/>
        <v>906356004.76731598</v>
      </c>
      <c r="EF61" s="1118">
        <f t="shared" si="144"/>
        <v>0</v>
      </c>
      <c r="EG61" s="1118">
        <f t="shared" si="145"/>
        <v>906356004.76731598</v>
      </c>
      <c r="EH61" s="1118">
        <f t="shared" si="146"/>
        <v>0</v>
      </c>
      <c r="EI61" s="1119"/>
      <c r="EM61" s="1117">
        <f t="shared" si="147"/>
        <v>906356004.76731598</v>
      </c>
      <c r="EN61" s="1118">
        <f t="shared" si="148"/>
        <v>0</v>
      </c>
      <c r="EO61" s="1118">
        <f t="shared" si="149"/>
        <v>906356004.76731598</v>
      </c>
      <c r="EP61" s="1118">
        <f t="shared" si="150"/>
        <v>0</v>
      </c>
      <c r="EQ61" s="1119"/>
      <c r="EU61" s="1117">
        <f t="shared" si="151"/>
        <v>906356004.76731598</v>
      </c>
      <c r="EV61" s="1118">
        <f t="shared" si="152"/>
        <v>0</v>
      </c>
      <c r="EW61" s="1118">
        <f t="shared" si="153"/>
        <v>906356004.76731598</v>
      </c>
      <c r="EX61" s="1118">
        <f t="shared" si="154"/>
        <v>0</v>
      </c>
      <c r="EY61" s="1119"/>
      <c r="FC61" s="1117">
        <f t="shared" si="155"/>
        <v>906356004.76731598</v>
      </c>
      <c r="FD61" s="1118">
        <f t="shared" si="156"/>
        <v>0</v>
      </c>
      <c r="FE61" s="1118">
        <f t="shared" si="157"/>
        <v>906356004.76731598</v>
      </c>
      <c r="FF61" s="1118">
        <f t="shared" si="158"/>
        <v>0</v>
      </c>
      <c r="FG61" s="1119"/>
      <c r="FK61" s="1117">
        <f t="shared" si="159"/>
        <v>906356004.76731598</v>
      </c>
      <c r="FL61" s="1118">
        <f t="shared" si="160"/>
        <v>0</v>
      </c>
      <c r="FM61" s="1118">
        <f t="shared" si="161"/>
        <v>906356004.76731598</v>
      </c>
      <c r="FN61" s="1118">
        <f t="shared" si="162"/>
        <v>0</v>
      </c>
      <c r="FO61" s="1119"/>
    </row>
    <row r="62" spans="1:171" x14ac:dyDescent="0.25">
      <c r="A62" s="1421"/>
      <c r="B62" s="914" t="s">
        <v>470</v>
      </c>
      <c r="C62" s="889">
        <v>219</v>
      </c>
      <c r="D62" s="889">
        <v>108</v>
      </c>
      <c r="E62" s="182" t="str">
        <f>'Sch 1- Rate Base '!E62</f>
        <v>DIST</v>
      </c>
      <c r="F62" s="890"/>
      <c r="G62" s="182">
        <f>'Sch 1- Rate Base '!G62</f>
        <v>1633153769.5014434</v>
      </c>
      <c r="H62" s="182">
        <f>'Sch 1- Rate Base '!H62</f>
        <v>0</v>
      </c>
      <c r="I62" s="182">
        <f>'Sch 1- Rate Base '!I62</f>
        <v>0</v>
      </c>
      <c r="J62" s="1422">
        <f>'Sch 1- Rate Base '!J62</f>
        <v>1633153769.5014434</v>
      </c>
      <c r="K62" s="904">
        <f t="shared" si="82"/>
        <v>1</v>
      </c>
      <c r="O62" s="1117">
        <f t="shared" si="83"/>
        <v>1633153769.5014434</v>
      </c>
      <c r="P62" s="1118">
        <f t="shared" si="84"/>
        <v>0</v>
      </c>
      <c r="Q62" s="1118">
        <f t="shared" si="85"/>
        <v>0</v>
      </c>
      <c r="R62" s="1118">
        <f t="shared" si="86"/>
        <v>1633153769.5014434</v>
      </c>
      <c r="S62" s="1119"/>
      <c r="W62" s="1117">
        <f t="shared" si="87"/>
        <v>1633153769.5014434</v>
      </c>
      <c r="X62" s="1118">
        <f t="shared" si="88"/>
        <v>0</v>
      </c>
      <c r="Y62" s="1118">
        <f t="shared" si="89"/>
        <v>0</v>
      </c>
      <c r="Z62" s="1118">
        <f t="shared" si="90"/>
        <v>1633153769.5014434</v>
      </c>
      <c r="AA62" s="1119"/>
      <c r="AE62" s="1117">
        <f t="shared" si="91"/>
        <v>1633153769.5014434</v>
      </c>
      <c r="AF62" s="1118">
        <f t="shared" si="92"/>
        <v>0</v>
      </c>
      <c r="AG62" s="1118">
        <f t="shared" si="93"/>
        <v>0</v>
      </c>
      <c r="AH62" s="1118">
        <f t="shared" si="94"/>
        <v>1633153769.5014434</v>
      </c>
      <c r="AI62" s="1119"/>
      <c r="AM62" s="1117">
        <f t="shared" si="95"/>
        <v>1633153769.5014434</v>
      </c>
      <c r="AN62" s="1118">
        <f t="shared" si="96"/>
        <v>0</v>
      </c>
      <c r="AO62" s="1118">
        <f t="shared" si="97"/>
        <v>0</v>
      </c>
      <c r="AP62" s="1118">
        <f t="shared" si="98"/>
        <v>1633153769.5014434</v>
      </c>
      <c r="AQ62" s="1119"/>
      <c r="AU62" s="1117">
        <f t="shared" si="99"/>
        <v>1633153769.5014434</v>
      </c>
      <c r="AV62" s="1118">
        <f t="shared" si="100"/>
        <v>0</v>
      </c>
      <c r="AW62" s="1118">
        <f t="shared" si="101"/>
        <v>0</v>
      </c>
      <c r="AX62" s="1118">
        <f t="shared" si="102"/>
        <v>1633153769.5014434</v>
      </c>
      <c r="AY62" s="1119"/>
      <c r="BC62" s="1117">
        <f t="shared" si="103"/>
        <v>1633153769.5014434</v>
      </c>
      <c r="BD62" s="1118">
        <f t="shared" si="104"/>
        <v>0</v>
      </c>
      <c r="BE62" s="1118">
        <f t="shared" si="105"/>
        <v>0</v>
      </c>
      <c r="BF62" s="1118">
        <f t="shared" si="106"/>
        <v>1633153769.5014434</v>
      </c>
      <c r="BG62" s="1119"/>
      <c r="BK62" s="1117">
        <f t="shared" si="107"/>
        <v>1633153769.5014434</v>
      </c>
      <c r="BL62" s="1118">
        <f t="shared" si="108"/>
        <v>0</v>
      </c>
      <c r="BM62" s="1118">
        <f t="shared" si="109"/>
        <v>0</v>
      </c>
      <c r="BN62" s="1118">
        <f t="shared" si="110"/>
        <v>1633153769.5014434</v>
      </c>
      <c r="BO62" s="1119"/>
      <c r="BS62" s="1117">
        <f t="shared" si="111"/>
        <v>1633153769.5014434</v>
      </c>
      <c r="BT62" s="1118">
        <f t="shared" si="112"/>
        <v>0</v>
      </c>
      <c r="BU62" s="1118">
        <f t="shared" si="113"/>
        <v>0</v>
      </c>
      <c r="BV62" s="1118">
        <f t="shared" si="114"/>
        <v>1633153769.5014434</v>
      </c>
      <c r="BW62" s="1119"/>
      <c r="CA62" s="1117">
        <f t="shared" si="115"/>
        <v>1633153769.5014434</v>
      </c>
      <c r="CB62" s="1118">
        <f t="shared" si="116"/>
        <v>0</v>
      </c>
      <c r="CC62" s="1118">
        <f t="shared" si="117"/>
        <v>0</v>
      </c>
      <c r="CD62" s="1118">
        <f t="shared" si="118"/>
        <v>1633153769.5014434</v>
      </c>
      <c r="CE62" s="1119"/>
      <c r="CI62" s="1117">
        <f t="shared" si="119"/>
        <v>1633153769.5014434</v>
      </c>
      <c r="CJ62" s="1118">
        <f t="shared" si="120"/>
        <v>0</v>
      </c>
      <c r="CK62" s="1118">
        <f t="shared" si="121"/>
        <v>0</v>
      </c>
      <c r="CL62" s="1118">
        <f t="shared" si="122"/>
        <v>1633153769.5014434</v>
      </c>
      <c r="CM62" s="1119"/>
      <c r="CQ62" s="1117">
        <f t="shared" si="123"/>
        <v>1633153769.5014434</v>
      </c>
      <c r="CR62" s="1118">
        <f t="shared" si="124"/>
        <v>0</v>
      </c>
      <c r="CS62" s="1118">
        <f t="shared" si="125"/>
        <v>0</v>
      </c>
      <c r="CT62" s="1118">
        <f t="shared" si="126"/>
        <v>1633153769.5014434</v>
      </c>
      <c r="CU62" s="1119"/>
      <c r="CY62" s="1117">
        <f t="shared" si="127"/>
        <v>1633153769.5014434</v>
      </c>
      <c r="CZ62" s="1118">
        <f t="shared" si="128"/>
        <v>0</v>
      </c>
      <c r="DA62" s="1118">
        <f t="shared" si="129"/>
        <v>0</v>
      </c>
      <c r="DB62" s="1118">
        <f t="shared" si="130"/>
        <v>1633153769.5014434</v>
      </c>
      <c r="DC62" s="1119"/>
      <c r="DG62" s="1117">
        <f t="shared" si="131"/>
        <v>1633153769.5014434</v>
      </c>
      <c r="DH62" s="1118">
        <f t="shared" si="132"/>
        <v>0</v>
      </c>
      <c r="DI62" s="1118">
        <f t="shared" si="133"/>
        <v>0</v>
      </c>
      <c r="DJ62" s="1118">
        <f t="shared" si="134"/>
        <v>1633153769.5014434</v>
      </c>
      <c r="DK62" s="1119"/>
      <c r="DO62" s="1117">
        <f t="shared" si="135"/>
        <v>1633153769.5014434</v>
      </c>
      <c r="DP62" s="1118">
        <f t="shared" si="136"/>
        <v>0</v>
      </c>
      <c r="DQ62" s="1118">
        <f t="shared" si="137"/>
        <v>0</v>
      </c>
      <c r="DR62" s="1118">
        <f t="shared" si="138"/>
        <v>1633153769.5014434</v>
      </c>
      <c r="DS62" s="1119"/>
      <c r="DW62" s="1117">
        <f t="shared" si="139"/>
        <v>1633153769.5014434</v>
      </c>
      <c r="DX62" s="1118">
        <f t="shared" si="140"/>
        <v>0</v>
      </c>
      <c r="DY62" s="1118">
        <f t="shared" si="141"/>
        <v>0</v>
      </c>
      <c r="DZ62" s="1118">
        <f t="shared" si="142"/>
        <v>1633153769.5014434</v>
      </c>
      <c r="EA62" s="1119"/>
      <c r="EE62" s="1117">
        <f t="shared" si="143"/>
        <v>1633153769.5014434</v>
      </c>
      <c r="EF62" s="1118">
        <f t="shared" si="144"/>
        <v>0</v>
      </c>
      <c r="EG62" s="1118">
        <f t="shared" si="145"/>
        <v>0</v>
      </c>
      <c r="EH62" s="1118">
        <f t="shared" si="146"/>
        <v>1633153769.5014434</v>
      </c>
      <c r="EI62" s="1119"/>
      <c r="EM62" s="1117">
        <f t="shared" si="147"/>
        <v>1633153769.5014434</v>
      </c>
      <c r="EN62" s="1118">
        <f t="shared" si="148"/>
        <v>0</v>
      </c>
      <c r="EO62" s="1118">
        <f t="shared" si="149"/>
        <v>0</v>
      </c>
      <c r="EP62" s="1118">
        <f t="shared" si="150"/>
        <v>1633153769.5014434</v>
      </c>
      <c r="EQ62" s="1119"/>
      <c r="EU62" s="1117">
        <f t="shared" si="151"/>
        <v>1633153769.5014434</v>
      </c>
      <c r="EV62" s="1118">
        <f t="shared" si="152"/>
        <v>0</v>
      </c>
      <c r="EW62" s="1118">
        <f t="shared" si="153"/>
        <v>0</v>
      </c>
      <c r="EX62" s="1118">
        <f t="shared" si="154"/>
        <v>1633153769.5014434</v>
      </c>
      <c r="EY62" s="1119"/>
      <c r="FC62" s="1117">
        <f t="shared" si="155"/>
        <v>1633153769.5014434</v>
      </c>
      <c r="FD62" s="1118">
        <f t="shared" si="156"/>
        <v>0</v>
      </c>
      <c r="FE62" s="1118">
        <f t="shared" si="157"/>
        <v>0</v>
      </c>
      <c r="FF62" s="1118">
        <f t="shared" si="158"/>
        <v>1633153769.5014434</v>
      </c>
      <c r="FG62" s="1119"/>
      <c r="FK62" s="1117">
        <f t="shared" si="159"/>
        <v>1633153769.5014434</v>
      </c>
      <c r="FL62" s="1118">
        <f t="shared" si="160"/>
        <v>0</v>
      </c>
      <c r="FM62" s="1118">
        <f t="shared" si="161"/>
        <v>0</v>
      </c>
      <c r="FN62" s="1118">
        <f t="shared" si="162"/>
        <v>1633153769.5014434</v>
      </c>
      <c r="FO62" s="1119"/>
    </row>
    <row r="63" spans="1:171" x14ac:dyDescent="0.25">
      <c r="A63" s="1421"/>
      <c r="B63" s="914" t="s">
        <v>92</v>
      </c>
      <c r="C63" s="889">
        <v>219</v>
      </c>
      <c r="D63" s="889">
        <v>108</v>
      </c>
      <c r="E63" s="182" t="str">
        <f>'Sch 1- Rate Base '!E63</f>
        <v>GP</v>
      </c>
      <c r="F63" s="890"/>
      <c r="G63" s="182">
        <f>'Sch 1- Rate Base '!G63</f>
        <v>251101823.88277176</v>
      </c>
      <c r="H63" s="182">
        <f>'Sch 1- Rate Base '!H63</f>
        <v>80500314.121511534</v>
      </c>
      <c r="I63" s="182">
        <f>'Sch 1- Rate Base '!I63</f>
        <v>0</v>
      </c>
      <c r="J63" s="1422">
        <f>'Sch 1- Rate Base '!J63</f>
        <v>170601509.76126027</v>
      </c>
      <c r="K63" s="904">
        <f t="shared" si="82"/>
        <v>1</v>
      </c>
      <c r="O63" s="1117">
        <f t="shared" si="83"/>
        <v>251101823.88277176</v>
      </c>
      <c r="P63" s="1118">
        <f t="shared" si="84"/>
        <v>80500314.121511519</v>
      </c>
      <c r="Q63" s="1118">
        <f t="shared" si="85"/>
        <v>75552768.032173976</v>
      </c>
      <c r="R63" s="1118">
        <f t="shared" si="86"/>
        <v>95048741.72908625</v>
      </c>
      <c r="S63" s="1119"/>
      <c r="W63" s="1117">
        <f t="shared" si="87"/>
        <v>251101823.88277176</v>
      </c>
      <c r="X63" s="1118">
        <f t="shared" si="88"/>
        <v>80500314.121511519</v>
      </c>
      <c r="Y63" s="1118">
        <f t="shared" si="89"/>
        <v>75552768.032173976</v>
      </c>
      <c r="Z63" s="1118">
        <f t="shared" si="90"/>
        <v>95048741.72908625</v>
      </c>
      <c r="AA63" s="1119"/>
      <c r="AE63" s="1117">
        <f t="shared" si="91"/>
        <v>251101823.88277176</v>
      </c>
      <c r="AF63" s="1118">
        <f t="shared" si="92"/>
        <v>80500314.121511519</v>
      </c>
      <c r="AG63" s="1118">
        <f t="shared" si="93"/>
        <v>75552768.032173976</v>
      </c>
      <c r="AH63" s="1118">
        <f t="shared" si="94"/>
        <v>95048741.72908625</v>
      </c>
      <c r="AI63" s="1119"/>
      <c r="AM63" s="1117">
        <f t="shared" si="95"/>
        <v>251101823.88277176</v>
      </c>
      <c r="AN63" s="1118">
        <f t="shared" si="96"/>
        <v>80500314.121511519</v>
      </c>
      <c r="AO63" s="1118">
        <f t="shared" si="97"/>
        <v>75552768.032173976</v>
      </c>
      <c r="AP63" s="1118">
        <f t="shared" si="98"/>
        <v>95048741.72908625</v>
      </c>
      <c r="AQ63" s="1119"/>
      <c r="AU63" s="1117">
        <f t="shared" si="99"/>
        <v>251101823.88277176</v>
      </c>
      <c r="AV63" s="1118">
        <f t="shared" si="100"/>
        <v>80500314.121511519</v>
      </c>
      <c r="AW63" s="1118">
        <f t="shared" si="101"/>
        <v>75552768.032173976</v>
      </c>
      <c r="AX63" s="1118">
        <f t="shared" si="102"/>
        <v>95048741.72908625</v>
      </c>
      <c r="AY63" s="1119"/>
      <c r="BC63" s="1117">
        <f t="shared" si="103"/>
        <v>251101823.88277176</v>
      </c>
      <c r="BD63" s="1118">
        <f t="shared" si="104"/>
        <v>80500314.121511519</v>
      </c>
      <c r="BE63" s="1118">
        <f t="shared" si="105"/>
        <v>75552768.032173976</v>
      </c>
      <c r="BF63" s="1118">
        <f t="shared" si="106"/>
        <v>95048741.72908625</v>
      </c>
      <c r="BG63" s="1119"/>
      <c r="BK63" s="1117">
        <f t="shared" si="107"/>
        <v>251101823.88277176</v>
      </c>
      <c r="BL63" s="1118">
        <f t="shared" si="108"/>
        <v>80500314.121511519</v>
      </c>
      <c r="BM63" s="1118">
        <f t="shared" si="109"/>
        <v>75552768.032173976</v>
      </c>
      <c r="BN63" s="1118">
        <f t="shared" si="110"/>
        <v>95048741.72908625</v>
      </c>
      <c r="BO63" s="1119"/>
      <c r="BS63" s="1117">
        <f t="shared" si="111"/>
        <v>251101823.88277176</v>
      </c>
      <c r="BT63" s="1118">
        <f t="shared" si="112"/>
        <v>80500314.121511519</v>
      </c>
      <c r="BU63" s="1118">
        <f t="shared" si="113"/>
        <v>75552768.032173976</v>
      </c>
      <c r="BV63" s="1118">
        <f t="shared" si="114"/>
        <v>95048741.72908625</v>
      </c>
      <c r="BW63" s="1119"/>
      <c r="CA63" s="1117">
        <f t="shared" si="115"/>
        <v>251101823.88277176</v>
      </c>
      <c r="CB63" s="1118">
        <f t="shared" si="116"/>
        <v>80500314.121511519</v>
      </c>
      <c r="CC63" s="1118">
        <f t="shared" si="117"/>
        <v>75552768.032173976</v>
      </c>
      <c r="CD63" s="1118">
        <f t="shared" si="118"/>
        <v>95048741.72908625</v>
      </c>
      <c r="CE63" s="1119"/>
      <c r="CI63" s="1117">
        <f t="shared" si="119"/>
        <v>251101823.88277176</v>
      </c>
      <c r="CJ63" s="1118">
        <f t="shared" si="120"/>
        <v>80500314.121511519</v>
      </c>
      <c r="CK63" s="1118">
        <f t="shared" si="121"/>
        <v>75552768.032173976</v>
      </c>
      <c r="CL63" s="1118">
        <f t="shared" si="122"/>
        <v>95048741.72908625</v>
      </c>
      <c r="CM63" s="1119"/>
      <c r="CQ63" s="1117">
        <f t="shared" si="123"/>
        <v>251101823.88277176</v>
      </c>
      <c r="CR63" s="1118">
        <f t="shared" si="124"/>
        <v>80500314.121511519</v>
      </c>
      <c r="CS63" s="1118">
        <f t="shared" si="125"/>
        <v>75552768.032173976</v>
      </c>
      <c r="CT63" s="1118">
        <f t="shared" si="126"/>
        <v>95048741.72908625</v>
      </c>
      <c r="CU63" s="1119"/>
      <c r="CY63" s="1117">
        <f t="shared" si="127"/>
        <v>251101823.88277176</v>
      </c>
      <c r="CZ63" s="1118">
        <f t="shared" si="128"/>
        <v>80500314.121511519</v>
      </c>
      <c r="DA63" s="1118">
        <f t="shared" si="129"/>
        <v>75552768.032173976</v>
      </c>
      <c r="DB63" s="1118">
        <f t="shared" si="130"/>
        <v>95048741.72908625</v>
      </c>
      <c r="DC63" s="1119"/>
      <c r="DG63" s="1117">
        <f t="shared" si="131"/>
        <v>251101823.88277176</v>
      </c>
      <c r="DH63" s="1118">
        <f t="shared" si="132"/>
        <v>80500314.121511519</v>
      </c>
      <c r="DI63" s="1118">
        <f t="shared" si="133"/>
        <v>75552768.032173976</v>
      </c>
      <c r="DJ63" s="1118">
        <f t="shared" si="134"/>
        <v>95048741.72908625</v>
      </c>
      <c r="DK63" s="1119"/>
      <c r="DO63" s="1117">
        <f t="shared" si="135"/>
        <v>251101823.88277176</v>
      </c>
      <c r="DP63" s="1118">
        <f t="shared" si="136"/>
        <v>80500314.121511519</v>
      </c>
      <c r="DQ63" s="1118">
        <f t="shared" si="137"/>
        <v>75552768.032173976</v>
      </c>
      <c r="DR63" s="1118">
        <f t="shared" si="138"/>
        <v>95048741.72908625</v>
      </c>
      <c r="DS63" s="1119"/>
      <c r="DW63" s="1117">
        <f t="shared" si="139"/>
        <v>251101823.88277176</v>
      </c>
      <c r="DX63" s="1118">
        <f t="shared" si="140"/>
        <v>80500314.121511519</v>
      </c>
      <c r="DY63" s="1118">
        <f t="shared" si="141"/>
        <v>75552768.032173976</v>
      </c>
      <c r="DZ63" s="1118">
        <f t="shared" si="142"/>
        <v>95048741.72908625</v>
      </c>
      <c r="EA63" s="1119"/>
      <c r="EE63" s="1117">
        <f t="shared" si="143"/>
        <v>251101823.88277176</v>
      </c>
      <c r="EF63" s="1118">
        <f t="shared" si="144"/>
        <v>80500314.121511519</v>
      </c>
      <c r="EG63" s="1118">
        <f t="shared" si="145"/>
        <v>75552768.032173976</v>
      </c>
      <c r="EH63" s="1118">
        <f t="shared" si="146"/>
        <v>95048741.72908625</v>
      </c>
      <c r="EI63" s="1119"/>
      <c r="EM63" s="1117">
        <f t="shared" si="147"/>
        <v>251101823.88277176</v>
      </c>
      <c r="EN63" s="1118">
        <f t="shared" si="148"/>
        <v>80500314.121511519</v>
      </c>
      <c r="EO63" s="1118">
        <f t="shared" si="149"/>
        <v>75552768.032173976</v>
      </c>
      <c r="EP63" s="1118">
        <f t="shared" si="150"/>
        <v>95048741.72908625</v>
      </c>
      <c r="EQ63" s="1119"/>
      <c r="EU63" s="1117">
        <f t="shared" si="151"/>
        <v>251101823.88277176</v>
      </c>
      <c r="EV63" s="1118">
        <f t="shared" si="152"/>
        <v>80500314.121511519</v>
      </c>
      <c r="EW63" s="1118">
        <f t="shared" si="153"/>
        <v>75552768.032173976</v>
      </c>
      <c r="EX63" s="1118">
        <f t="shared" si="154"/>
        <v>95048741.72908625</v>
      </c>
      <c r="EY63" s="1119"/>
      <c r="FC63" s="1117">
        <f t="shared" si="155"/>
        <v>251101823.88277176</v>
      </c>
      <c r="FD63" s="1118">
        <f t="shared" si="156"/>
        <v>80500314.121511519</v>
      </c>
      <c r="FE63" s="1118">
        <f t="shared" si="157"/>
        <v>75552768.032173976</v>
      </c>
      <c r="FF63" s="1118">
        <f t="shared" si="158"/>
        <v>95048741.72908625</v>
      </c>
      <c r="FG63" s="1119"/>
      <c r="FK63" s="1117">
        <f t="shared" si="159"/>
        <v>251101823.88277176</v>
      </c>
      <c r="FL63" s="1118">
        <f t="shared" si="160"/>
        <v>80500314.121511519</v>
      </c>
      <c r="FM63" s="1118">
        <f t="shared" si="161"/>
        <v>75552768.032173976</v>
      </c>
      <c r="FN63" s="1118">
        <f t="shared" si="162"/>
        <v>95048741.72908625</v>
      </c>
      <c r="FO63" s="1119"/>
    </row>
    <row r="64" spans="1:171" x14ac:dyDescent="0.25">
      <c r="A64" s="1421"/>
      <c r="B64" s="914" t="s">
        <v>370</v>
      </c>
      <c r="C64" s="889">
        <v>219</v>
      </c>
      <c r="D64" s="889">
        <v>108</v>
      </c>
      <c r="E64" s="182" t="str">
        <f>'Sch 1- Rate Base '!E64</f>
        <v>DIST</v>
      </c>
      <c r="F64" s="890"/>
      <c r="G64" s="182">
        <f>'Sch 1- Rate Base '!G64</f>
        <v>0</v>
      </c>
      <c r="H64" s="182">
        <f>'Sch 1- Rate Base '!H64</f>
        <v>0</v>
      </c>
      <c r="I64" s="182">
        <f>'Sch 1- Rate Base '!I64</f>
        <v>0</v>
      </c>
      <c r="J64" s="1422">
        <f>'Sch 1- Rate Base '!J64</f>
        <v>0</v>
      </c>
      <c r="K64" s="904">
        <f t="shared" si="82"/>
        <v>1</v>
      </c>
      <c r="O64" s="1117">
        <f t="shared" si="83"/>
        <v>0</v>
      </c>
      <c r="P64" s="1118">
        <f t="shared" si="84"/>
        <v>0</v>
      </c>
      <c r="Q64" s="1118">
        <f t="shared" si="85"/>
        <v>0</v>
      </c>
      <c r="R64" s="1118">
        <f t="shared" si="86"/>
        <v>0</v>
      </c>
      <c r="S64" s="1119"/>
      <c r="W64" s="1117">
        <f t="shared" si="87"/>
        <v>0</v>
      </c>
      <c r="X64" s="1118">
        <f t="shared" si="88"/>
        <v>0</v>
      </c>
      <c r="Y64" s="1118">
        <f t="shared" si="89"/>
        <v>0</v>
      </c>
      <c r="Z64" s="1118">
        <f t="shared" si="90"/>
        <v>0</v>
      </c>
      <c r="AA64" s="1119"/>
      <c r="AE64" s="1117">
        <f t="shared" si="91"/>
        <v>0</v>
      </c>
      <c r="AF64" s="1118">
        <f t="shared" si="92"/>
        <v>0</v>
      </c>
      <c r="AG64" s="1118">
        <f t="shared" si="93"/>
        <v>0</v>
      </c>
      <c r="AH64" s="1118">
        <f t="shared" si="94"/>
        <v>0</v>
      </c>
      <c r="AI64" s="1119"/>
      <c r="AM64" s="1117">
        <f t="shared" si="95"/>
        <v>0</v>
      </c>
      <c r="AN64" s="1118">
        <f t="shared" si="96"/>
        <v>0</v>
      </c>
      <c r="AO64" s="1118">
        <f t="shared" si="97"/>
        <v>0</v>
      </c>
      <c r="AP64" s="1118">
        <f t="shared" si="98"/>
        <v>0</v>
      </c>
      <c r="AQ64" s="1119"/>
      <c r="AU64" s="1117">
        <f t="shared" si="99"/>
        <v>0</v>
      </c>
      <c r="AV64" s="1118">
        <f t="shared" si="100"/>
        <v>0</v>
      </c>
      <c r="AW64" s="1118">
        <f t="shared" si="101"/>
        <v>0</v>
      </c>
      <c r="AX64" s="1118">
        <f t="shared" si="102"/>
        <v>0</v>
      </c>
      <c r="AY64" s="1119"/>
      <c r="BC64" s="1117">
        <f t="shared" si="103"/>
        <v>0</v>
      </c>
      <c r="BD64" s="1118">
        <f t="shared" si="104"/>
        <v>0</v>
      </c>
      <c r="BE64" s="1118">
        <f t="shared" si="105"/>
        <v>0</v>
      </c>
      <c r="BF64" s="1118">
        <f t="shared" si="106"/>
        <v>0</v>
      </c>
      <c r="BG64" s="1119"/>
      <c r="BK64" s="1117">
        <f t="shared" si="107"/>
        <v>0</v>
      </c>
      <c r="BL64" s="1118">
        <f t="shared" si="108"/>
        <v>0</v>
      </c>
      <c r="BM64" s="1118">
        <f t="shared" si="109"/>
        <v>0</v>
      </c>
      <c r="BN64" s="1118">
        <f t="shared" si="110"/>
        <v>0</v>
      </c>
      <c r="BO64" s="1119"/>
      <c r="BS64" s="1117">
        <f t="shared" si="111"/>
        <v>0</v>
      </c>
      <c r="BT64" s="1118">
        <f t="shared" si="112"/>
        <v>0</v>
      </c>
      <c r="BU64" s="1118">
        <f t="shared" si="113"/>
        <v>0</v>
      </c>
      <c r="BV64" s="1118">
        <f t="shared" si="114"/>
        <v>0</v>
      </c>
      <c r="BW64" s="1119"/>
      <c r="CA64" s="1117">
        <f t="shared" si="115"/>
        <v>0</v>
      </c>
      <c r="CB64" s="1118">
        <f t="shared" si="116"/>
        <v>0</v>
      </c>
      <c r="CC64" s="1118">
        <f t="shared" si="117"/>
        <v>0</v>
      </c>
      <c r="CD64" s="1118">
        <f t="shared" si="118"/>
        <v>0</v>
      </c>
      <c r="CE64" s="1119"/>
      <c r="CI64" s="1117">
        <f t="shared" si="119"/>
        <v>0</v>
      </c>
      <c r="CJ64" s="1118">
        <f t="shared" si="120"/>
        <v>0</v>
      </c>
      <c r="CK64" s="1118">
        <f t="shared" si="121"/>
        <v>0</v>
      </c>
      <c r="CL64" s="1118">
        <f t="shared" si="122"/>
        <v>0</v>
      </c>
      <c r="CM64" s="1119"/>
      <c r="CQ64" s="1117">
        <f t="shared" si="123"/>
        <v>0</v>
      </c>
      <c r="CR64" s="1118">
        <f t="shared" si="124"/>
        <v>0</v>
      </c>
      <c r="CS64" s="1118">
        <f t="shared" si="125"/>
        <v>0</v>
      </c>
      <c r="CT64" s="1118">
        <f t="shared" si="126"/>
        <v>0</v>
      </c>
      <c r="CU64" s="1119"/>
      <c r="CY64" s="1117">
        <f t="shared" si="127"/>
        <v>0</v>
      </c>
      <c r="CZ64" s="1118">
        <f t="shared" si="128"/>
        <v>0</v>
      </c>
      <c r="DA64" s="1118">
        <f t="shared" si="129"/>
        <v>0</v>
      </c>
      <c r="DB64" s="1118">
        <f t="shared" si="130"/>
        <v>0</v>
      </c>
      <c r="DC64" s="1119"/>
      <c r="DG64" s="1117">
        <f t="shared" si="131"/>
        <v>0</v>
      </c>
      <c r="DH64" s="1118">
        <f t="shared" si="132"/>
        <v>0</v>
      </c>
      <c r="DI64" s="1118">
        <f t="shared" si="133"/>
        <v>0</v>
      </c>
      <c r="DJ64" s="1118">
        <f t="shared" si="134"/>
        <v>0</v>
      </c>
      <c r="DK64" s="1119"/>
      <c r="DO64" s="1117">
        <f t="shared" si="135"/>
        <v>0</v>
      </c>
      <c r="DP64" s="1118">
        <f t="shared" si="136"/>
        <v>0</v>
      </c>
      <c r="DQ64" s="1118">
        <f t="shared" si="137"/>
        <v>0</v>
      </c>
      <c r="DR64" s="1118">
        <f t="shared" si="138"/>
        <v>0</v>
      </c>
      <c r="DS64" s="1119"/>
      <c r="DW64" s="1117">
        <f t="shared" si="139"/>
        <v>0</v>
      </c>
      <c r="DX64" s="1118">
        <f t="shared" si="140"/>
        <v>0</v>
      </c>
      <c r="DY64" s="1118">
        <f t="shared" si="141"/>
        <v>0</v>
      </c>
      <c r="DZ64" s="1118">
        <f t="shared" si="142"/>
        <v>0</v>
      </c>
      <c r="EA64" s="1119"/>
      <c r="EE64" s="1117">
        <f t="shared" si="143"/>
        <v>0</v>
      </c>
      <c r="EF64" s="1118">
        <f t="shared" si="144"/>
        <v>0</v>
      </c>
      <c r="EG64" s="1118">
        <f t="shared" si="145"/>
        <v>0</v>
      </c>
      <c r="EH64" s="1118">
        <f t="shared" si="146"/>
        <v>0</v>
      </c>
      <c r="EI64" s="1119"/>
      <c r="EM64" s="1117">
        <f t="shared" si="147"/>
        <v>0</v>
      </c>
      <c r="EN64" s="1118">
        <f t="shared" si="148"/>
        <v>0</v>
      </c>
      <c r="EO64" s="1118">
        <f t="shared" si="149"/>
        <v>0</v>
      </c>
      <c r="EP64" s="1118">
        <f t="shared" si="150"/>
        <v>0</v>
      </c>
      <c r="EQ64" s="1119"/>
      <c r="EU64" s="1117">
        <f t="shared" si="151"/>
        <v>0</v>
      </c>
      <c r="EV64" s="1118">
        <f t="shared" si="152"/>
        <v>0</v>
      </c>
      <c r="EW64" s="1118">
        <f t="shared" si="153"/>
        <v>0</v>
      </c>
      <c r="EX64" s="1118">
        <f t="shared" si="154"/>
        <v>0</v>
      </c>
      <c r="EY64" s="1119"/>
      <c r="FC64" s="1117">
        <f t="shared" si="155"/>
        <v>0</v>
      </c>
      <c r="FD64" s="1118">
        <f t="shared" si="156"/>
        <v>0</v>
      </c>
      <c r="FE64" s="1118">
        <f t="shared" si="157"/>
        <v>0</v>
      </c>
      <c r="FF64" s="1118">
        <f t="shared" si="158"/>
        <v>0</v>
      </c>
      <c r="FG64" s="1119"/>
      <c r="FK64" s="1117">
        <f t="shared" si="159"/>
        <v>0</v>
      </c>
      <c r="FL64" s="1118">
        <f t="shared" si="160"/>
        <v>0</v>
      </c>
      <c r="FM64" s="1118">
        <f t="shared" si="161"/>
        <v>0</v>
      </c>
      <c r="FN64" s="1118">
        <f t="shared" si="162"/>
        <v>0</v>
      </c>
      <c r="FO64" s="1119"/>
    </row>
    <row r="65" spans="1:171" x14ac:dyDescent="0.25">
      <c r="A65" s="1421"/>
      <c r="B65" s="914" t="s">
        <v>371</v>
      </c>
      <c r="C65" s="889">
        <v>219</v>
      </c>
      <c r="D65" s="889">
        <v>108</v>
      </c>
      <c r="E65" s="182" t="str">
        <f>'Sch 1- Rate Base '!E65</f>
        <v>DIRECT</v>
      </c>
      <c r="F65" s="890"/>
      <c r="G65" s="182">
        <f>'Sch 1- Rate Base '!G65</f>
        <v>35416807.173216134</v>
      </c>
      <c r="H65" s="182">
        <f>'Sch 1- Rate Base '!H65</f>
        <v>35416807.173216134</v>
      </c>
      <c r="I65" s="182">
        <f>'Sch 1- Rate Base '!I65</f>
        <v>0</v>
      </c>
      <c r="J65" s="1422">
        <f>'Sch 1- Rate Base '!J65</f>
        <v>760277.10117285547</v>
      </c>
      <c r="K65" s="904">
        <f t="shared" si="82"/>
        <v>0</v>
      </c>
      <c r="O65" s="1117">
        <f t="shared" si="83"/>
        <v>35416807.173216134</v>
      </c>
      <c r="P65" s="1118">
        <f t="shared" si="84"/>
        <v>35416807.173216134</v>
      </c>
      <c r="Q65" s="1118">
        <f t="shared" si="85"/>
        <v>0</v>
      </c>
      <c r="R65" s="1118">
        <f t="shared" si="86"/>
        <v>0</v>
      </c>
      <c r="S65" s="1119"/>
      <c r="W65" s="1117">
        <f t="shared" si="87"/>
        <v>35416807.173216134</v>
      </c>
      <c r="X65" s="1118">
        <f t="shared" si="88"/>
        <v>35416807.173216134</v>
      </c>
      <c r="Y65" s="1118">
        <f t="shared" si="89"/>
        <v>0</v>
      </c>
      <c r="Z65" s="1118">
        <f t="shared" si="90"/>
        <v>0</v>
      </c>
      <c r="AA65" s="1119"/>
      <c r="AE65" s="1117">
        <f t="shared" si="91"/>
        <v>35416807.173216134</v>
      </c>
      <c r="AF65" s="1118">
        <f t="shared" si="92"/>
        <v>35416807.173216134</v>
      </c>
      <c r="AG65" s="1118">
        <f t="shared" si="93"/>
        <v>0</v>
      </c>
      <c r="AH65" s="1118">
        <f t="shared" si="94"/>
        <v>0</v>
      </c>
      <c r="AI65" s="1119"/>
      <c r="AM65" s="1117">
        <f t="shared" si="95"/>
        <v>35416807.173216134</v>
      </c>
      <c r="AN65" s="1118">
        <f t="shared" si="96"/>
        <v>35416807.173216134</v>
      </c>
      <c r="AO65" s="1118">
        <f t="shared" si="97"/>
        <v>0</v>
      </c>
      <c r="AP65" s="1118">
        <f t="shared" si="98"/>
        <v>0</v>
      </c>
      <c r="AQ65" s="1119"/>
      <c r="AU65" s="1117">
        <f t="shared" si="99"/>
        <v>35416807.173216134</v>
      </c>
      <c r="AV65" s="1118">
        <f t="shared" si="100"/>
        <v>35416807.173216134</v>
      </c>
      <c r="AW65" s="1118">
        <f t="shared" si="101"/>
        <v>0</v>
      </c>
      <c r="AX65" s="1118">
        <f t="shared" si="102"/>
        <v>0</v>
      </c>
      <c r="AY65" s="1119"/>
      <c r="BC65" s="1117">
        <f t="shared" si="103"/>
        <v>35416807.173216134</v>
      </c>
      <c r="BD65" s="1118">
        <f t="shared" si="104"/>
        <v>35416807.173216134</v>
      </c>
      <c r="BE65" s="1118">
        <f t="shared" si="105"/>
        <v>0</v>
      </c>
      <c r="BF65" s="1118">
        <f t="shared" si="106"/>
        <v>0</v>
      </c>
      <c r="BG65" s="1119"/>
      <c r="BK65" s="1117">
        <f t="shared" si="107"/>
        <v>35416807.173216134</v>
      </c>
      <c r="BL65" s="1118">
        <f t="shared" si="108"/>
        <v>35416807.173216134</v>
      </c>
      <c r="BM65" s="1118">
        <f t="shared" si="109"/>
        <v>0</v>
      </c>
      <c r="BN65" s="1118">
        <f t="shared" si="110"/>
        <v>0</v>
      </c>
      <c r="BO65" s="1119"/>
      <c r="BS65" s="1117">
        <f t="shared" si="111"/>
        <v>35416807.173216134</v>
      </c>
      <c r="BT65" s="1118">
        <f t="shared" si="112"/>
        <v>35416807.173216134</v>
      </c>
      <c r="BU65" s="1118">
        <f t="shared" si="113"/>
        <v>0</v>
      </c>
      <c r="BV65" s="1118">
        <f t="shared" si="114"/>
        <v>0</v>
      </c>
      <c r="BW65" s="1119"/>
      <c r="CA65" s="1117">
        <f t="shared" si="115"/>
        <v>35416807.173216134</v>
      </c>
      <c r="CB65" s="1118">
        <f t="shared" si="116"/>
        <v>35416807.173216134</v>
      </c>
      <c r="CC65" s="1118">
        <f t="shared" si="117"/>
        <v>0</v>
      </c>
      <c r="CD65" s="1118">
        <f t="shared" si="118"/>
        <v>0</v>
      </c>
      <c r="CE65" s="1119"/>
      <c r="CI65" s="1117">
        <f t="shared" si="119"/>
        <v>35416807.173216134</v>
      </c>
      <c r="CJ65" s="1118">
        <f t="shared" si="120"/>
        <v>35416807.173216134</v>
      </c>
      <c r="CK65" s="1118">
        <f t="shared" si="121"/>
        <v>0</v>
      </c>
      <c r="CL65" s="1118">
        <f t="shared" si="122"/>
        <v>0</v>
      </c>
      <c r="CM65" s="1119"/>
      <c r="CQ65" s="1117">
        <f t="shared" si="123"/>
        <v>35416807.173216134</v>
      </c>
      <c r="CR65" s="1118">
        <f t="shared" si="124"/>
        <v>35416807.173216134</v>
      </c>
      <c r="CS65" s="1118">
        <f t="shared" si="125"/>
        <v>0</v>
      </c>
      <c r="CT65" s="1118">
        <f t="shared" si="126"/>
        <v>0</v>
      </c>
      <c r="CU65" s="1119"/>
      <c r="CY65" s="1117">
        <f t="shared" si="127"/>
        <v>35416807.173216134</v>
      </c>
      <c r="CZ65" s="1118">
        <f t="shared" si="128"/>
        <v>35416807.173216134</v>
      </c>
      <c r="DA65" s="1118">
        <f t="shared" si="129"/>
        <v>0</v>
      </c>
      <c r="DB65" s="1118">
        <f t="shared" si="130"/>
        <v>0</v>
      </c>
      <c r="DC65" s="1119"/>
      <c r="DG65" s="1117">
        <f t="shared" si="131"/>
        <v>35416807.173216134</v>
      </c>
      <c r="DH65" s="1118">
        <f t="shared" si="132"/>
        <v>35416807.173216134</v>
      </c>
      <c r="DI65" s="1118">
        <f t="shared" si="133"/>
        <v>0</v>
      </c>
      <c r="DJ65" s="1118">
        <f t="shared" si="134"/>
        <v>0</v>
      </c>
      <c r="DK65" s="1119"/>
      <c r="DO65" s="1117">
        <f t="shared" si="135"/>
        <v>35416807.173216134</v>
      </c>
      <c r="DP65" s="1118">
        <f t="shared" si="136"/>
        <v>35416807.173216134</v>
      </c>
      <c r="DQ65" s="1118">
        <f t="shared" si="137"/>
        <v>0</v>
      </c>
      <c r="DR65" s="1118">
        <f t="shared" si="138"/>
        <v>0</v>
      </c>
      <c r="DS65" s="1119"/>
      <c r="DW65" s="1117">
        <f t="shared" si="139"/>
        <v>35416807.173216134</v>
      </c>
      <c r="DX65" s="1118">
        <f t="shared" si="140"/>
        <v>35416807.173216134</v>
      </c>
      <c r="DY65" s="1118">
        <f t="shared" si="141"/>
        <v>0</v>
      </c>
      <c r="DZ65" s="1118">
        <f t="shared" si="142"/>
        <v>0</v>
      </c>
      <c r="EA65" s="1119"/>
      <c r="EE65" s="1117">
        <f t="shared" si="143"/>
        <v>35416807.173216134</v>
      </c>
      <c r="EF65" s="1118">
        <f t="shared" si="144"/>
        <v>35416807.173216134</v>
      </c>
      <c r="EG65" s="1118">
        <f t="shared" si="145"/>
        <v>0</v>
      </c>
      <c r="EH65" s="1118">
        <f t="shared" si="146"/>
        <v>0</v>
      </c>
      <c r="EI65" s="1119"/>
      <c r="EM65" s="1117">
        <f t="shared" si="147"/>
        <v>35416807.173216134</v>
      </c>
      <c r="EN65" s="1118">
        <f t="shared" si="148"/>
        <v>35416807.173216134</v>
      </c>
      <c r="EO65" s="1118">
        <f t="shared" si="149"/>
        <v>0</v>
      </c>
      <c r="EP65" s="1118">
        <f t="shared" si="150"/>
        <v>0</v>
      </c>
      <c r="EQ65" s="1119"/>
      <c r="EU65" s="1117">
        <f t="shared" si="151"/>
        <v>35416807.173216134</v>
      </c>
      <c r="EV65" s="1118">
        <f t="shared" si="152"/>
        <v>35416807.173216134</v>
      </c>
      <c r="EW65" s="1118">
        <f t="shared" si="153"/>
        <v>0</v>
      </c>
      <c r="EX65" s="1118">
        <f t="shared" si="154"/>
        <v>0</v>
      </c>
      <c r="EY65" s="1119"/>
      <c r="FC65" s="1117">
        <f t="shared" si="155"/>
        <v>35416807.173216134</v>
      </c>
      <c r="FD65" s="1118">
        <f t="shared" si="156"/>
        <v>35416807.173216134</v>
      </c>
      <c r="FE65" s="1118">
        <f t="shared" si="157"/>
        <v>0</v>
      </c>
      <c r="FF65" s="1118">
        <f t="shared" si="158"/>
        <v>0</v>
      </c>
      <c r="FG65" s="1119"/>
      <c r="FK65" s="1117">
        <f t="shared" si="159"/>
        <v>35416807.173216134</v>
      </c>
      <c r="FL65" s="1118">
        <f t="shared" si="160"/>
        <v>35416807.173216134</v>
      </c>
      <c r="FM65" s="1118">
        <f t="shared" si="161"/>
        <v>0</v>
      </c>
      <c r="FN65" s="1118">
        <f t="shared" si="162"/>
        <v>0</v>
      </c>
      <c r="FO65" s="1119"/>
    </row>
    <row r="66" spans="1:171" x14ac:dyDescent="0.25">
      <c r="A66" s="1421"/>
      <c r="B66" s="914" t="s">
        <v>399</v>
      </c>
      <c r="C66" s="889">
        <v>219</v>
      </c>
      <c r="D66" s="889">
        <v>108</v>
      </c>
      <c r="E66" s="182" t="str">
        <f>'Sch 1- Rate Base '!E66</f>
        <v>DIRECT</v>
      </c>
      <c r="F66" s="890"/>
      <c r="G66" s="182">
        <f>'Sch 1- Rate Base '!G66</f>
        <v>276506512.18180609</v>
      </c>
      <c r="H66" s="182">
        <f>'Sch 1- Rate Base '!H66</f>
        <v>91794315.274003834</v>
      </c>
      <c r="I66" s="182">
        <f>'Sch 1- Rate Base '!I66</f>
        <v>0</v>
      </c>
      <c r="J66" s="1422">
        <f>'Sch 1- Rate Base '!J66</f>
        <v>184712196.90780222</v>
      </c>
      <c r="K66" s="904">
        <f t="shared" si="82"/>
        <v>0</v>
      </c>
      <c r="O66" s="1117">
        <f t="shared" si="83"/>
        <v>276506512.18180609</v>
      </c>
      <c r="P66" s="1118">
        <f t="shared" si="84"/>
        <v>91794315.274003834</v>
      </c>
      <c r="Q66" s="1118">
        <f t="shared" si="85"/>
        <v>0</v>
      </c>
      <c r="R66" s="1118">
        <f t="shared" si="86"/>
        <v>184712196.90780225</v>
      </c>
      <c r="S66" s="1119"/>
      <c r="W66" s="1117">
        <f t="shared" si="87"/>
        <v>276506512.18180609</v>
      </c>
      <c r="X66" s="1118">
        <f t="shared" si="88"/>
        <v>91794315.274003834</v>
      </c>
      <c r="Y66" s="1118">
        <f t="shared" si="89"/>
        <v>0</v>
      </c>
      <c r="Z66" s="1118">
        <f t="shared" si="90"/>
        <v>184712196.90780225</v>
      </c>
      <c r="AA66" s="1119"/>
      <c r="AE66" s="1117">
        <f t="shared" si="91"/>
        <v>276506512.18180609</v>
      </c>
      <c r="AF66" s="1118">
        <f t="shared" si="92"/>
        <v>91794315.274003834</v>
      </c>
      <c r="AG66" s="1118">
        <f t="shared" si="93"/>
        <v>0</v>
      </c>
      <c r="AH66" s="1118">
        <f t="shared" si="94"/>
        <v>184712196.90780225</v>
      </c>
      <c r="AI66" s="1119"/>
      <c r="AM66" s="1117">
        <f t="shared" si="95"/>
        <v>276506512.18180609</v>
      </c>
      <c r="AN66" s="1118">
        <f t="shared" si="96"/>
        <v>91794315.274003834</v>
      </c>
      <c r="AO66" s="1118">
        <f t="shared" si="97"/>
        <v>0</v>
      </c>
      <c r="AP66" s="1118">
        <f t="shared" si="98"/>
        <v>184712196.90780225</v>
      </c>
      <c r="AQ66" s="1119"/>
      <c r="AU66" s="1117">
        <f t="shared" si="99"/>
        <v>276506512.18180609</v>
      </c>
      <c r="AV66" s="1118">
        <f t="shared" si="100"/>
        <v>91794315.274003834</v>
      </c>
      <c r="AW66" s="1118">
        <f t="shared" si="101"/>
        <v>0</v>
      </c>
      <c r="AX66" s="1118">
        <f t="shared" si="102"/>
        <v>184712196.90780225</v>
      </c>
      <c r="AY66" s="1119"/>
      <c r="BC66" s="1117">
        <f t="shared" si="103"/>
        <v>276506512.18180609</v>
      </c>
      <c r="BD66" s="1118">
        <f t="shared" si="104"/>
        <v>91794315.274003834</v>
      </c>
      <c r="BE66" s="1118">
        <f t="shared" si="105"/>
        <v>0</v>
      </c>
      <c r="BF66" s="1118">
        <f t="shared" si="106"/>
        <v>184712196.90780225</v>
      </c>
      <c r="BG66" s="1119"/>
      <c r="BK66" s="1117">
        <f t="shared" si="107"/>
        <v>276506512.18180609</v>
      </c>
      <c r="BL66" s="1118">
        <f t="shared" si="108"/>
        <v>91794315.274003834</v>
      </c>
      <c r="BM66" s="1118">
        <f t="shared" si="109"/>
        <v>0</v>
      </c>
      <c r="BN66" s="1118">
        <f t="shared" si="110"/>
        <v>184712196.90780225</v>
      </c>
      <c r="BO66" s="1119"/>
      <c r="BS66" s="1117">
        <f t="shared" si="111"/>
        <v>276506512.18180609</v>
      </c>
      <c r="BT66" s="1118">
        <f t="shared" si="112"/>
        <v>91794315.274003834</v>
      </c>
      <c r="BU66" s="1118">
        <f t="shared" si="113"/>
        <v>0</v>
      </c>
      <c r="BV66" s="1118">
        <f t="shared" si="114"/>
        <v>184712196.90780225</v>
      </c>
      <c r="BW66" s="1119"/>
      <c r="CA66" s="1117">
        <f t="shared" si="115"/>
        <v>276506512.18180609</v>
      </c>
      <c r="CB66" s="1118">
        <f t="shared" si="116"/>
        <v>91794315.274003834</v>
      </c>
      <c r="CC66" s="1118">
        <f t="shared" si="117"/>
        <v>0</v>
      </c>
      <c r="CD66" s="1118">
        <f t="shared" si="118"/>
        <v>184712196.90780225</v>
      </c>
      <c r="CE66" s="1119"/>
      <c r="CI66" s="1117">
        <f t="shared" si="119"/>
        <v>276506512.18180609</v>
      </c>
      <c r="CJ66" s="1118">
        <f t="shared" si="120"/>
        <v>91794315.274003834</v>
      </c>
      <c r="CK66" s="1118">
        <f t="shared" si="121"/>
        <v>0</v>
      </c>
      <c r="CL66" s="1118">
        <f t="shared" si="122"/>
        <v>184712196.90780225</v>
      </c>
      <c r="CM66" s="1119"/>
      <c r="CQ66" s="1117">
        <f t="shared" si="123"/>
        <v>276506512.18180609</v>
      </c>
      <c r="CR66" s="1118">
        <f t="shared" si="124"/>
        <v>91794315.274003834</v>
      </c>
      <c r="CS66" s="1118">
        <f t="shared" si="125"/>
        <v>0</v>
      </c>
      <c r="CT66" s="1118">
        <f t="shared" si="126"/>
        <v>184712196.90780225</v>
      </c>
      <c r="CU66" s="1119"/>
      <c r="CY66" s="1117">
        <f t="shared" si="127"/>
        <v>276506512.18180609</v>
      </c>
      <c r="CZ66" s="1118">
        <f t="shared" si="128"/>
        <v>91794315.274003834</v>
      </c>
      <c r="DA66" s="1118">
        <f t="shared" si="129"/>
        <v>0</v>
      </c>
      <c r="DB66" s="1118">
        <f t="shared" si="130"/>
        <v>184712196.90780225</v>
      </c>
      <c r="DC66" s="1119"/>
      <c r="DG66" s="1117">
        <f t="shared" si="131"/>
        <v>276506512.18180609</v>
      </c>
      <c r="DH66" s="1118">
        <f t="shared" si="132"/>
        <v>91794315.274003834</v>
      </c>
      <c r="DI66" s="1118">
        <f t="shared" si="133"/>
        <v>0</v>
      </c>
      <c r="DJ66" s="1118">
        <f t="shared" si="134"/>
        <v>184712196.90780225</v>
      </c>
      <c r="DK66" s="1119"/>
      <c r="DO66" s="1117">
        <f t="shared" si="135"/>
        <v>276506512.18180609</v>
      </c>
      <c r="DP66" s="1118">
        <f t="shared" si="136"/>
        <v>91794315.274003834</v>
      </c>
      <c r="DQ66" s="1118">
        <f t="shared" si="137"/>
        <v>0</v>
      </c>
      <c r="DR66" s="1118">
        <f t="shared" si="138"/>
        <v>184712196.90780225</v>
      </c>
      <c r="DS66" s="1119"/>
      <c r="DW66" s="1117">
        <f t="shared" si="139"/>
        <v>276506512.18180609</v>
      </c>
      <c r="DX66" s="1118">
        <f t="shared" si="140"/>
        <v>91794315.274003834</v>
      </c>
      <c r="DY66" s="1118">
        <f t="shared" si="141"/>
        <v>0</v>
      </c>
      <c r="DZ66" s="1118">
        <f t="shared" si="142"/>
        <v>184712196.90780225</v>
      </c>
      <c r="EA66" s="1119"/>
      <c r="EE66" s="1117">
        <f t="shared" si="143"/>
        <v>276506512.18180609</v>
      </c>
      <c r="EF66" s="1118">
        <f t="shared" si="144"/>
        <v>91794315.274003834</v>
      </c>
      <c r="EG66" s="1118">
        <f t="shared" si="145"/>
        <v>0</v>
      </c>
      <c r="EH66" s="1118">
        <f t="shared" si="146"/>
        <v>184712196.90780225</v>
      </c>
      <c r="EI66" s="1119"/>
      <c r="EM66" s="1117">
        <f t="shared" si="147"/>
        <v>276506512.18180609</v>
      </c>
      <c r="EN66" s="1118">
        <f t="shared" si="148"/>
        <v>91794315.274003834</v>
      </c>
      <c r="EO66" s="1118">
        <f t="shared" si="149"/>
        <v>0</v>
      </c>
      <c r="EP66" s="1118">
        <f t="shared" si="150"/>
        <v>184712196.90780225</v>
      </c>
      <c r="EQ66" s="1119"/>
      <c r="EU66" s="1117">
        <f t="shared" si="151"/>
        <v>276506512.18180609</v>
      </c>
      <c r="EV66" s="1118">
        <f t="shared" si="152"/>
        <v>91794315.274003834</v>
      </c>
      <c r="EW66" s="1118">
        <f t="shared" si="153"/>
        <v>0</v>
      </c>
      <c r="EX66" s="1118">
        <f t="shared" si="154"/>
        <v>184712196.90780225</v>
      </c>
      <c r="EY66" s="1119"/>
      <c r="FC66" s="1117">
        <f t="shared" si="155"/>
        <v>276506512.18180609</v>
      </c>
      <c r="FD66" s="1118">
        <f t="shared" si="156"/>
        <v>91794315.274003834</v>
      </c>
      <c r="FE66" s="1118">
        <f t="shared" si="157"/>
        <v>0</v>
      </c>
      <c r="FF66" s="1118">
        <f t="shared" si="158"/>
        <v>184712196.90780225</v>
      </c>
      <c r="FG66" s="1119"/>
      <c r="FK66" s="1117">
        <f t="shared" si="159"/>
        <v>276506512.18180609</v>
      </c>
      <c r="FL66" s="1118">
        <f t="shared" si="160"/>
        <v>91794315.274003834</v>
      </c>
      <c r="FM66" s="1118">
        <f t="shared" si="161"/>
        <v>0</v>
      </c>
      <c r="FN66" s="1118">
        <f t="shared" si="162"/>
        <v>184712196.90780225</v>
      </c>
      <c r="FO66" s="1119"/>
    </row>
    <row r="67" spans="1:171" x14ac:dyDescent="0.25">
      <c r="A67" s="1421"/>
      <c r="B67" s="914" t="s">
        <v>253</v>
      </c>
      <c r="C67" s="889">
        <v>219</v>
      </c>
      <c r="D67" s="889">
        <v>108</v>
      </c>
      <c r="E67" s="182" t="str">
        <f>'Sch 1- Rate Base '!E67</f>
        <v>PROD</v>
      </c>
      <c r="F67" s="890"/>
      <c r="G67" s="182">
        <f>'Sch 1- Rate Base '!G67</f>
        <v>0</v>
      </c>
      <c r="H67" s="182">
        <f>'Sch 1- Rate Base '!H67</f>
        <v>0</v>
      </c>
      <c r="I67" s="182">
        <f>'Sch 1- Rate Base '!I67</f>
        <v>0</v>
      </c>
      <c r="J67" s="1422">
        <f>'Sch 1- Rate Base '!J67</f>
        <v>0</v>
      </c>
      <c r="K67" s="904">
        <f t="shared" si="82"/>
        <v>1</v>
      </c>
      <c r="O67" s="1117">
        <f t="shared" si="83"/>
        <v>0</v>
      </c>
      <c r="P67" s="1118">
        <f t="shared" si="84"/>
        <v>0</v>
      </c>
      <c r="Q67" s="1118">
        <f t="shared" si="85"/>
        <v>0</v>
      </c>
      <c r="R67" s="1118">
        <f t="shared" si="86"/>
        <v>0</v>
      </c>
      <c r="S67" s="1119"/>
      <c r="W67" s="1117">
        <f t="shared" si="87"/>
        <v>0</v>
      </c>
      <c r="X67" s="1118">
        <f t="shared" si="88"/>
        <v>0</v>
      </c>
      <c r="Y67" s="1118">
        <f t="shared" si="89"/>
        <v>0</v>
      </c>
      <c r="Z67" s="1118">
        <f t="shared" si="90"/>
        <v>0</v>
      </c>
      <c r="AA67" s="1119"/>
      <c r="AE67" s="1117">
        <f t="shared" si="91"/>
        <v>0</v>
      </c>
      <c r="AF67" s="1118">
        <f t="shared" si="92"/>
        <v>0</v>
      </c>
      <c r="AG67" s="1118">
        <f t="shared" si="93"/>
        <v>0</v>
      </c>
      <c r="AH67" s="1118">
        <f t="shared" si="94"/>
        <v>0</v>
      </c>
      <c r="AI67" s="1119"/>
      <c r="AM67" s="1117">
        <f t="shared" si="95"/>
        <v>0</v>
      </c>
      <c r="AN67" s="1118">
        <f t="shared" si="96"/>
        <v>0</v>
      </c>
      <c r="AO67" s="1118">
        <f t="shared" si="97"/>
        <v>0</v>
      </c>
      <c r="AP67" s="1118">
        <f t="shared" si="98"/>
        <v>0</v>
      </c>
      <c r="AQ67" s="1119"/>
      <c r="AU67" s="1117">
        <f t="shared" si="99"/>
        <v>0</v>
      </c>
      <c r="AV67" s="1118">
        <f t="shared" si="100"/>
        <v>0</v>
      </c>
      <c r="AW67" s="1118">
        <f t="shared" si="101"/>
        <v>0</v>
      </c>
      <c r="AX67" s="1118">
        <f t="shared" si="102"/>
        <v>0</v>
      </c>
      <c r="AY67" s="1119"/>
      <c r="BC67" s="1117">
        <f t="shared" si="103"/>
        <v>0</v>
      </c>
      <c r="BD67" s="1118">
        <f t="shared" si="104"/>
        <v>0</v>
      </c>
      <c r="BE67" s="1118">
        <f t="shared" si="105"/>
        <v>0</v>
      </c>
      <c r="BF67" s="1118">
        <f t="shared" si="106"/>
        <v>0</v>
      </c>
      <c r="BG67" s="1119"/>
      <c r="BK67" s="1117">
        <f t="shared" si="107"/>
        <v>0</v>
      </c>
      <c r="BL67" s="1118">
        <f t="shared" si="108"/>
        <v>0</v>
      </c>
      <c r="BM67" s="1118">
        <f t="shared" si="109"/>
        <v>0</v>
      </c>
      <c r="BN67" s="1118">
        <f t="shared" si="110"/>
        <v>0</v>
      </c>
      <c r="BO67" s="1119"/>
      <c r="BS67" s="1117">
        <f t="shared" si="111"/>
        <v>0</v>
      </c>
      <c r="BT67" s="1118">
        <f t="shared" si="112"/>
        <v>0</v>
      </c>
      <c r="BU67" s="1118">
        <f t="shared" si="113"/>
        <v>0</v>
      </c>
      <c r="BV67" s="1118">
        <f t="shared" si="114"/>
        <v>0</v>
      </c>
      <c r="BW67" s="1119"/>
      <c r="CA67" s="1117">
        <f t="shared" si="115"/>
        <v>0</v>
      </c>
      <c r="CB67" s="1118">
        <f t="shared" si="116"/>
        <v>0</v>
      </c>
      <c r="CC67" s="1118">
        <f t="shared" si="117"/>
        <v>0</v>
      </c>
      <c r="CD67" s="1118">
        <f t="shared" si="118"/>
        <v>0</v>
      </c>
      <c r="CE67" s="1119"/>
      <c r="CI67" s="1117">
        <f t="shared" si="119"/>
        <v>0</v>
      </c>
      <c r="CJ67" s="1118">
        <f t="shared" si="120"/>
        <v>0</v>
      </c>
      <c r="CK67" s="1118">
        <f t="shared" si="121"/>
        <v>0</v>
      </c>
      <c r="CL67" s="1118">
        <f t="shared" si="122"/>
        <v>0</v>
      </c>
      <c r="CM67" s="1119"/>
      <c r="CQ67" s="1117">
        <f t="shared" si="123"/>
        <v>0</v>
      </c>
      <c r="CR67" s="1118">
        <f t="shared" si="124"/>
        <v>0</v>
      </c>
      <c r="CS67" s="1118">
        <f t="shared" si="125"/>
        <v>0</v>
      </c>
      <c r="CT67" s="1118">
        <f t="shared" si="126"/>
        <v>0</v>
      </c>
      <c r="CU67" s="1119"/>
      <c r="CY67" s="1117">
        <f t="shared" si="127"/>
        <v>0</v>
      </c>
      <c r="CZ67" s="1118">
        <f t="shared" si="128"/>
        <v>0</v>
      </c>
      <c r="DA67" s="1118">
        <f t="shared" si="129"/>
        <v>0</v>
      </c>
      <c r="DB67" s="1118">
        <f t="shared" si="130"/>
        <v>0</v>
      </c>
      <c r="DC67" s="1119"/>
      <c r="DG67" s="1117">
        <f t="shared" si="131"/>
        <v>0</v>
      </c>
      <c r="DH67" s="1118">
        <f t="shared" si="132"/>
        <v>0</v>
      </c>
      <c r="DI67" s="1118">
        <f t="shared" si="133"/>
        <v>0</v>
      </c>
      <c r="DJ67" s="1118">
        <f t="shared" si="134"/>
        <v>0</v>
      </c>
      <c r="DK67" s="1119"/>
      <c r="DO67" s="1117">
        <f t="shared" si="135"/>
        <v>0</v>
      </c>
      <c r="DP67" s="1118">
        <f t="shared" si="136"/>
        <v>0</v>
      </c>
      <c r="DQ67" s="1118">
        <f t="shared" si="137"/>
        <v>0</v>
      </c>
      <c r="DR67" s="1118">
        <f t="shared" si="138"/>
        <v>0</v>
      </c>
      <c r="DS67" s="1119"/>
      <c r="DW67" s="1117">
        <f t="shared" si="139"/>
        <v>0</v>
      </c>
      <c r="DX67" s="1118">
        <f t="shared" si="140"/>
        <v>0</v>
      </c>
      <c r="DY67" s="1118">
        <f t="shared" si="141"/>
        <v>0</v>
      </c>
      <c r="DZ67" s="1118">
        <f t="shared" si="142"/>
        <v>0</v>
      </c>
      <c r="EA67" s="1119"/>
      <c r="EE67" s="1117">
        <f t="shared" si="143"/>
        <v>0</v>
      </c>
      <c r="EF67" s="1118">
        <f t="shared" si="144"/>
        <v>0</v>
      </c>
      <c r="EG67" s="1118">
        <f t="shared" si="145"/>
        <v>0</v>
      </c>
      <c r="EH67" s="1118">
        <f t="shared" si="146"/>
        <v>0</v>
      </c>
      <c r="EI67" s="1119"/>
      <c r="EM67" s="1117">
        <f t="shared" si="147"/>
        <v>0</v>
      </c>
      <c r="EN67" s="1118">
        <f t="shared" si="148"/>
        <v>0</v>
      </c>
      <c r="EO67" s="1118">
        <f t="shared" si="149"/>
        <v>0</v>
      </c>
      <c r="EP67" s="1118">
        <f t="shared" si="150"/>
        <v>0</v>
      </c>
      <c r="EQ67" s="1119"/>
      <c r="EU67" s="1117">
        <f t="shared" si="151"/>
        <v>0</v>
      </c>
      <c r="EV67" s="1118">
        <f t="shared" si="152"/>
        <v>0</v>
      </c>
      <c r="EW67" s="1118">
        <f t="shared" si="153"/>
        <v>0</v>
      </c>
      <c r="EX67" s="1118">
        <f t="shared" si="154"/>
        <v>0</v>
      </c>
      <c r="EY67" s="1119"/>
      <c r="FC67" s="1117">
        <f t="shared" si="155"/>
        <v>0</v>
      </c>
      <c r="FD67" s="1118">
        <f t="shared" si="156"/>
        <v>0</v>
      </c>
      <c r="FE67" s="1118">
        <f t="shared" si="157"/>
        <v>0</v>
      </c>
      <c r="FF67" s="1118">
        <f t="shared" si="158"/>
        <v>0</v>
      </c>
      <c r="FG67" s="1119"/>
      <c r="FK67" s="1117">
        <f t="shared" si="159"/>
        <v>0</v>
      </c>
      <c r="FL67" s="1118">
        <f t="shared" si="160"/>
        <v>0</v>
      </c>
      <c r="FM67" s="1118">
        <f t="shared" si="161"/>
        <v>0</v>
      </c>
      <c r="FN67" s="1118">
        <f t="shared" si="162"/>
        <v>0</v>
      </c>
      <c r="FO67" s="1119"/>
    </row>
    <row r="68" spans="1:171" x14ac:dyDescent="0.25">
      <c r="A68" s="1421"/>
      <c r="B68" s="914" t="s">
        <v>28</v>
      </c>
      <c r="C68" s="889">
        <v>219</v>
      </c>
      <c r="D68" s="889">
        <v>108</v>
      </c>
      <c r="E68" s="182" t="str">
        <f>'Sch 1- Rate Base '!E68</f>
        <v>DIST</v>
      </c>
      <c r="F68" s="890"/>
      <c r="G68" s="182">
        <f>'Sch 1- Rate Base '!G68</f>
        <v>0</v>
      </c>
      <c r="H68" s="182">
        <f>'Sch 1- Rate Base '!H68</f>
        <v>0</v>
      </c>
      <c r="I68" s="182">
        <f>'Sch 1- Rate Base '!I68</f>
        <v>0</v>
      </c>
      <c r="J68" s="1422">
        <f>'Sch 1- Rate Base '!J68</f>
        <v>0</v>
      </c>
      <c r="K68" s="904">
        <f t="shared" si="82"/>
        <v>1</v>
      </c>
      <c r="O68" s="1117">
        <f t="shared" si="83"/>
        <v>0</v>
      </c>
      <c r="P68" s="1118">
        <f t="shared" si="84"/>
        <v>0</v>
      </c>
      <c r="Q68" s="1118">
        <f t="shared" si="85"/>
        <v>0</v>
      </c>
      <c r="R68" s="1118">
        <f t="shared" si="86"/>
        <v>0</v>
      </c>
      <c r="S68" s="1119"/>
      <c r="W68" s="1117">
        <f t="shared" si="87"/>
        <v>0</v>
      </c>
      <c r="X68" s="1118">
        <f t="shared" si="88"/>
        <v>0</v>
      </c>
      <c r="Y68" s="1118">
        <f t="shared" si="89"/>
        <v>0</v>
      </c>
      <c r="Z68" s="1118">
        <f t="shared" si="90"/>
        <v>0</v>
      </c>
      <c r="AA68" s="1119"/>
      <c r="AE68" s="1117">
        <f t="shared" si="91"/>
        <v>0</v>
      </c>
      <c r="AF68" s="1118">
        <f t="shared" si="92"/>
        <v>0</v>
      </c>
      <c r="AG68" s="1118">
        <f t="shared" si="93"/>
        <v>0</v>
      </c>
      <c r="AH68" s="1118">
        <f t="shared" si="94"/>
        <v>0</v>
      </c>
      <c r="AI68" s="1119"/>
      <c r="AM68" s="1117">
        <f t="shared" si="95"/>
        <v>0</v>
      </c>
      <c r="AN68" s="1118">
        <f t="shared" si="96"/>
        <v>0</v>
      </c>
      <c r="AO68" s="1118">
        <f t="shared" si="97"/>
        <v>0</v>
      </c>
      <c r="AP68" s="1118">
        <f t="shared" si="98"/>
        <v>0</v>
      </c>
      <c r="AQ68" s="1119"/>
      <c r="AU68" s="1117">
        <f t="shared" si="99"/>
        <v>0</v>
      </c>
      <c r="AV68" s="1118">
        <f t="shared" si="100"/>
        <v>0</v>
      </c>
      <c r="AW68" s="1118">
        <f t="shared" si="101"/>
        <v>0</v>
      </c>
      <c r="AX68" s="1118">
        <f t="shared" si="102"/>
        <v>0</v>
      </c>
      <c r="AY68" s="1119"/>
      <c r="BC68" s="1117">
        <f t="shared" si="103"/>
        <v>0</v>
      </c>
      <c r="BD68" s="1118">
        <f t="shared" si="104"/>
        <v>0</v>
      </c>
      <c r="BE68" s="1118">
        <f t="shared" si="105"/>
        <v>0</v>
      </c>
      <c r="BF68" s="1118">
        <f t="shared" si="106"/>
        <v>0</v>
      </c>
      <c r="BG68" s="1119"/>
      <c r="BK68" s="1117">
        <f t="shared" si="107"/>
        <v>0</v>
      </c>
      <c r="BL68" s="1118">
        <f t="shared" si="108"/>
        <v>0</v>
      </c>
      <c r="BM68" s="1118">
        <f t="shared" si="109"/>
        <v>0</v>
      </c>
      <c r="BN68" s="1118">
        <f t="shared" si="110"/>
        <v>0</v>
      </c>
      <c r="BO68" s="1119"/>
      <c r="BS68" s="1117">
        <f t="shared" si="111"/>
        <v>0</v>
      </c>
      <c r="BT68" s="1118">
        <f t="shared" si="112"/>
        <v>0</v>
      </c>
      <c r="BU68" s="1118">
        <f t="shared" si="113"/>
        <v>0</v>
      </c>
      <c r="BV68" s="1118">
        <f t="shared" si="114"/>
        <v>0</v>
      </c>
      <c r="BW68" s="1119"/>
      <c r="CA68" s="1117">
        <f t="shared" si="115"/>
        <v>0</v>
      </c>
      <c r="CB68" s="1118">
        <f t="shared" si="116"/>
        <v>0</v>
      </c>
      <c r="CC68" s="1118">
        <f t="shared" si="117"/>
        <v>0</v>
      </c>
      <c r="CD68" s="1118">
        <f t="shared" si="118"/>
        <v>0</v>
      </c>
      <c r="CE68" s="1119"/>
      <c r="CI68" s="1117">
        <f t="shared" si="119"/>
        <v>0</v>
      </c>
      <c r="CJ68" s="1118">
        <f t="shared" si="120"/>
        <v>0</v>
      </c>
      <c r="CK68" s="1118">
        <f t="shared" si="121"/>
        <v>0</v>
      </c>
      <c r="CL68" s="1118">
        <f t="shared" si="122"/>
        <v>0</v>
      </c>
      <c r="CM68" s="1119"/>
      <c r="CQ68" s="1117">
        <f t="shared" si="123"/>
        <v>0</v>
      </c>
      <c r="CR68" s="1118">
        <f t="shared" si="124"/>
        <v>0</v>
      </c>
      <c r="CS68" s="1118">
        <f t="shared" si="125"/>
        <v>0</v>
      </c>
      <c r="CT68" s="1118">
        <f t="shared" si="126"/>
        <v>0</v>
      </c>
      <c r="CU68" s="1119"/>
      <c r="CY68" s="1117">
        <f t="shared" si="127"/>
        <v>0</v>
      </c>
      <c r="CZ68" s="1118">
        <f t="shared" si="128"/>
        <v>0</v>
      </c>
      <c r="DA68" s="1118">
        <f t="shared" si="129"/>
        <v>0</v>
      </c>
      <c r="DB68" s="1118">
        <f t="shared" si="130"/>
        <v>0</v>
      </c>
      <c r="DC68" s="1119"/>
      <c r="DG68" s="1117">
        <f t="shared" si="131"/>
        <v>0</v>
      </c>
      <c r="DH68" s="1118">
        <f t="shared" si="132"/>
        <v>0</v>
      </c>
      <c r="DI68" s="1118">
        <f t="shared" si="133"/>
        <v>0</v>
      </c>
      <c r="DJ68" s="1118">
        <f t="shared" si="134"/>
        <v>0</v>
      </c>
      <c r="DK68" s="1119"/>
      <c r="DO68" s="1117">
        <f t="shared" si="135"/>
        <v>0</v>
      </c>
      <c r="DP68" s="1118">
        <f t="shared" si="136"/>
        <v>0</v>
      </c>
      <c r="DQ68" s="1118">
        <f t="shared" si="137"/>
        <v>0</v>
      </c>
      <c r="DR68" s="1118">
        <f t="shared" si="138"/>
        <v>0</v>
      </c>
      <c r="DS68" s="1119"/>
      <c r="DW68" s="1117">
        <f t="shared" si="139"/>
        <v>0</v>
      </c>
      <c r="DX68" s="1118">
        <f t="shared" si="140"/>
        <v>0</v>
      </c>
      <c r="DY68" s="1118">
        <f t="shared" si="141"/>
        <v>0</v>
      </c>
      <c r="DZ68" s="1118">
        <f t="shared" si="142"/>
        <v>0</v>
      </c>
      <c r="EA68" s="1119"/>
      <c r="EE68" s="1117">
        <f t="shared" si="143"/>
        <v>0</v>
      </c>
      <c r="EF68" s="1118">
        <f t="shared" si="144"/>
        <v>0</v>
      </c>
      <c r="EG68" s="1118">
        <f t="shared" si="145"/>
        <v>0</v>
      </c>
      <c r="EH68" s="1118">
        <f t="shared" si="146"/>
        <v>0</v>
      </c>
      <c r="EI68" s="1119"/>
      <c r="EM68" s="1117">
        <f t="shared" si="147"/>
        <v>0</v>
      </c>
      <c r="EN68" s="1118">
        <f t="shared" si="148"/>
        <v>0</v>
      </c>
      <c r="EO68" s="1118">
        <f t="shared" si="149"/>
        <v>0</v>
      </c>
      <c r="EP68" s="1118">
        <f t="shared" si="150"/>
        <v>0</v>
      </c>
      <c r="EQ68" s="1119"/>
      <c r="EU68" s="1117">
        <f t="shared" si="151"/>
        <v>0</v>
      </c>
      <c r="EV68" s="1118">
        <f t="shared" si="152"/>
        <v>0</v>
      </c>
      <c r="EW68" s="1118">
        <f t="shared" si="153"/>
        <v>0</v>
      </c>
      <c r="EX68" s="1118">
        <f t="shared" si="154"/>
        <v>0</v>
      </c>
      <c r="EY68" s="1119"/>
      <c r="FC68" s="1117">
        <f t="shared" si="155"/>
        <v>0</v>
      </c>
      <c r="FD68" s="1118">
        <f t="shared" si="156"/>
        <v>0</v>
      </c>
      <c r="FE68" s="1118">
        <f t="shared" si="157"/>
        <v>0</v>
      </c>
      <c r="FF68" s="1118">
        <f t="shared" si="158"/>
        <v>0</v>
      </c>
      <c r="FG68" s="1119"/>
      <c r="FK68" s="1117">
        <f t="shared" si="159"/>
        <v>0</v>
      </c>
      <c r="FL68" s="1118">
        <f t="shared" si="160"/>
        <v>0</v>
      </c>
      <c r="FM68" s="1118">
        <f t="shared" si="161"/>
        <v>0</v>
      </c>
      <c r="FN68" s="1118">
        <f t="shared" si="162"/>
        <v>0</v>
      </c>
      <c r="FO68" s="1119"/>
    </row>
    <row r="69" spans="1:171" x14ac:dyDescent="0.25">
      <c r="A69" s="1421"/>
      <c r="B69" s="914" t="s">
        <v>29</v>
      </c>
      <c r="C69" s="889">
        <v>219</v>
      </c>
      <c r="D69" s="889">
        <v>108</v>
      </c>
      <c r="E69" s="182" t="str">
        <f>'Sch 1- Rate Base '!E69</f>
        <v>DIRECT</v>
      </c>
      <c r="F69" s="890"/>
      <c r="G69" s="182">
        <f>'Sch 1- Rate Base '!G69</f>
        <v>0</v>
      </c>
      <c r="H69" s="182">
        <f>'Sch 1- Rate Base '!H69</f>
        <v>0</v>
      </c>
      <c r="I69" s="182">
        <f>'Sch 1- Rate Base '!I69</f>
        <v>0</v>
      </c>
      <c r="J69" s="1422">
        <f>'Sch 1- Rate Base '!J69</f>
        <v>0</v>
      </c>
      <c r="K69" s="904">
        <f t="shared" si="82"/>
        <v>0</v>
      </c>
      <c r="O69" s="1117">
        <f t="shared" si="83"/>
        <v>0</v>
      </c>
      <c r="P69" s="1118">
        <f t="shared" si="84"/>
        <v>0</v>
      </c>
      <c r="Q69" s="1118">
        <f t="shared" si="85"/>
        <v>0</v>
      </c>
      <c r="R69" s="1118">
        <f t="shared" si="86"/>
        <v>0</v>
      </c>
      <c r="S69" s="1119"/>
      <c r="W69" s="1117">
        <f t="shared" si="87"/>
        <v>0</v>
      </c>
      <c r="X69" s="1118">
        <f t="shared" si="88"/>
        <v>0</v>
      </c>
      <c r="Y69" s="1118">
        <f t="shared" si="89"/>
        <v>0</v>
      </c>
      <c r="Z69" s="1118">
        <f t="shared" si="90"/>
        <v>0</v>
      </c>
      <c r="AA69" s="1119"/>
      <c r="AE69" s="1117">
        <f t="shared" si="91"/>
        <v>0</v>
      </c>
      <c r="AF69" s="1118">
        <f t="shared" si="92"/>
        <v>0</v>
      </c>
      <c r="AG69" s="1118">
        <f t="shared" si="93"/>
        <v>0</v>
      </c>
      <c r="AH69" s="1118">
        <f t="shared" si="94"/>
        <v>0</v>
      </c>
      <c r="AI69" s="1119"/>
      <c r="AM69" s="1117">
        <f t="shared" si="95"/>
        <v>0</v>
      </c>
      <c r="AN69" s="1118">
        <f t="shared" si="96"/>
        <v>0</v>
      </c>
      <c r="AO69" s="1118">
        <f t="shared" si="97"/>
        <v>0</v>
      </c>
      <c r="AP69" s="1118">
        <f t="shared" si="98"/>
        <v>0</v>
      </c>
      <c r="AQ69" s="1119"/>
      <c r="AU69" s="1117">
        <f t="shared" si="99"/>
        <v>0</v>
      </c>
      <c r="AV69" s="1118">
        <f t="shared" si="100"/>
        <v>0</v>
      </c>
      <c r="AW69" s="1118">
        <f t="shared" si="101"/>
        <v>0</v>
      </c>
      <c r="AX69" s="1118">
        <f t="shared" si="102"/>
        <v>0</v>
      </c>
      <c r="AY69" s="1119"/>
      <c r="BC69" s="1117">
        <f t="shared" si="103"/>
        <v>0</v>
      </c>
      <c r="BD69" s="1118">
        <f t="shared" si="104"/>
        <v>0</v>
      </c>
      <c r="BE69" s="1118">
        <f t="shared" si="105"/>
        <v>0</v>
      </c>
      <c r="BF69" s="1118">
        <f t="shared" si="106"/>
        <v>0</v>
      </c>
      <c r="BG69" s="1119"/>
      <c r="BK69" s="1117">
        <f t="shared" si="107"/>
        <v>0</v>
      </c>
      <c r="BL69" s="1118">
        <f t="shared" si="108"/>
        <v>0</v>
      </c>
      <c r="BM69" s="1118">
        <f t="shared" si="109"/>
        <v>0</v>
      </c>
      <c r="BN69" s="1118">
        <f t="shared" si="110"/>
        <v>0</v>
      </c>
      <c r="BO69" s="1119"/>
      <c r="BS69" s="1117">
        <f t="shared" si="111"/>
        <v>0</v>
      </c>
      <c r="BT69" s="1118">
        <f t="shared" si="112"/>
        <v>0</v>
      </c>
      <c r="BU69" s="1118">
        <f t="shared" si="113"/>
        <v>0</v>
      </c>
      <c r="BV69" s="1118">
        <f t="shared" si="114"/>
        <v>0</v>
      </c>
      <c r="BW69" s="1119"/>
      <c r="CA69" s="1117">
        <f t="shared" si="115"/>
        <v>0</v>
      </c>
      <c r="CB69" s="1118">
        <f t="shared" si="116"/>
        <v>0</v>
      </c>
      <c r="CC69" s="1118">
        <f t="shared" si="117"/>
        <v>0</v>
      </c>
      <c r="CD69" s="1118">
        <f t="shared" si="118"/>
        <v>0</v>
      </c>
      <c r="CE69" s="1119"/>
      <c r="CI69" s="1117">
        <f t="shared" si="119"/>
        <v>0</v>
      </c>
      <c r="CJ69" s="1118">
        <f t="shared" si="120"/>
        <v>0</v>
      </c>
      <c r="CK69" s="1118">
        <f t="shared" si="121"/>
        <v>0</v>
      </c>
      <c r="CL69" s="1118">
        <f t="shared" si="122"/>
        <v>0</v>
      </c>
      <c r="CM69" s="1119"/>
      <c r="CQ69" s="1117">
        <f t="shared" si="123"/>
        <v>0</v>
      </c>
      <c r="CR69" s="1118">
        <f t="shared" si="124"/>
        <v>0</v>
      </c>
      <c r="CS69" s="1118">
        <f t="shared" si="125"/>
        <v>0</v>
      </c>
      <c r="CT69" s="1118">
        <f t="shared" si="126"/>
        <v>0</v>
      </c>
      <c r="CU69" s="1119"/>
      <c r="CY69" s="1117">
        <f t="shared" si="127"/>
        <v>0</v>
      </c>
      <c r="CZ69" s="1118">
        <f t="shared" si="128"/>
        <v>0</v>
      </c>
      <c r="DA69" s="1118">
        <f t="shared" si="129"/>
        <v>0</v>
      </c>
      <c r="DB69" s="1118">
        <f t="shared" si="130"/>
        <v>0</v>
      </c>
      <c r="DC69" s="1119"/>
      <c r="DG69" s="1117">
        <f t="shared" si="131"/>
        <v>0</v>
      </c>
      <c r="DH69" s="1118">
        <f t="shared" si="132"/>
        <v>0</v>
      </c>
      <c r="DI69" s="1118">
        <f t="shared" si="133"/>
        <v>0</v>
      </c>
      <c r="DJ69" s="1118">
        <f t="shared" si="134"/>
        <v>0</v>
      </c>
      <c r="DK69" s="1119"/>
      <c r="DO69" s="1117">
        <f t="shared" si="135"/>
        <v>0</v>
      </c>
      <c r="DP69" s="1118">
        <f t="shared" si="136"/>
        <v>0</v>
      </c>
      <c r="DQ69" s="1118">
        <f t="shared" si="137"/>
        <v>0</v>
      </c>
      <c r="DR69" s="1118">
        <f t="shared" si="138"/>
        <v>0</v>
      </c>
      <c r="DS69" s="1119"/>
      <c r="DW69" s="1117">
        <f t="shared" si="139"/>
        <v>0</v>
      </c>
      <c r="DX69" s="1118">
        <f t="shared" si="140"/>
        <v>0</v>
      </c>
      <c r="DY69" s="1118">
        <f t="shared" si="141"/>
        <v>0</v>
      </c>
      <c r="DZ69" s="1118">
        <f t="shared" si="142"/>
        <v>0</v>
      </c>
      <c r="EA69" s="1119"/>
      <c r="EE69" s="1117">
        <f t="shared" si="143"/>
        <v>0</v>
      </c>
      <c r="EF69" s="1118">
        <f t="shared" si="144"/>
        <v>0</v>
      </c>
      <c r="EG69" s="1118">
        <f t="shared" si="145"/>
        <v>0</v>
      </c>
      <c r="EH69" s="1118">
        <f t="shared" si="146"/>
        <v>0</v>
      </c>
      <c r="EI69" s="1119"/>
      <c r="EM69" s="1117">
        <f t="shared" si="147"/>
        <v>0</v>
      </c>
      <c r="EN69" s="1118">
        <f t="shared" si="148"/>
        <v>0</v>
      </c>
      <c r="EO69" s="1118">
        <f t="shared" si="149"/>
        <v>0</v>
      </c>
      <c r="EP69" s="1118">
        <f t="shared" si="150"/>
        <v>0</v>
      </c>
      <c r="EQ69" s="1119"/>
      <c r="EU69" s="1117">
        <f t="shared" si="151"/>
        <v>0</v>
      </c>
      <c r="EV69" s="1118">
        <f t="shared" si="152"/>
        <v>0</v>
      </c>
      <c r="EW69" s="1118">
        <f t="shared" si="153"/>
        <v>0</v>
      </c>
      <c r="EX69" s="1118">
        <f t="shared" si="154"/>
        <v>0</v>
      </c>
      <c r="EY69" s="1119"/>
      <c r="FC69" s="1117">
        <f t="shared" si="155"/>
        <v>0</v>
      </c>
      <c r="FD69" s="1118">
        <f t="shared" si="156"/>
        <v>0</v>
      </c>
      <c r="FE69" s="1118">
        <f t="shared" si="157"/>
        <v>0</v>
      </c>
      <c r="FF69" s="1118">
        <f t="shared" si="158"/>
        <v>0</v>
      </c>
      <c r="FG69" s="1119"/>
      <c r="FK69" s="1117">
        <f t="shared" si="159"/>
        <v>0</v>
      </c>
      <c r="FL69" s="1118">
        <f t="shared" si="160"/>
        <v>0</v>
      </c>
      <c r="FM69" s="1118">
        <f t="shared" si="161"/>
        <v>0</v>
      </c>
      <c r="FN69" s="1118">
        <f t="shared" si="162"/>
        <v>0</v>
      </c>
      <c r="FO69" s="1119"/>
    </row>
    <row r="70" spans="1:171" x14ac:dyDescent="0.25">
      <c r="A70" s="1421"/>
      <c r="B70" s="914" t="s">
        <v>162</v>
      </c>
      <c r="C70" s="889" t="s">
        <v>69</v>
      </c>
      <c r="D70" s="889">
        <v>108</v>
      </c>
      <c r="E70" s="182" t="str">
        <f>'Sch 1- Rate Base '!E70</f>
        <v>DIRECT</v>
      </c>
      <c r="F70" s="890"/>
      <c r="G70" s="182">
        <f>'Sch 1- Rate Base '!G70</f>
        <v>0</v>
      </c>
      <c r="H70" s="182">
        <f>'Sch 1- Rate Base '!H70</f>
        <v>0</v>
      </c>
      <c r="I70" s="182">
        <f>'Sch 1- Rate Base '!I70</f>
        <v>0</v>
      </c>
      <c r="J70" s="1422">
        <f>'Sch 1- Rate Base '!J70</f>
        <v>0</v>
      </c>
      <c r="K70" s="904">
        <f t="shared" si="82"/>
        <v>0</v>
      </c>
      <c r="O70" s="1117">
        <f t="shared" si="83"/>
        <v>0</v>
      </c>
      <c r="P70" s="1118">
        <f t="shared" si="84"/>
        <v>0</v>
      </c>
      <c r="Q70" s="1118">
        <f t="shared" si="85"/>
        <v>0</v>
      </c>
      <c r="R70" s="1118">
        <f t="shared" si="86"/>
        <v>0</v>
      </c>
      <c r="S70" s="1119"/>
      <c r="W70" s="1117">
        <f t="shared" si="87"/>
        <v>0</v>
      </c>
      <c r="X70" s="1118">
        <f t="shared" si="88"/>
        <v>0</v>
      </c>
      <c r="Y70" s="1118">
        <f t="shared" si="89"/>
        <v>0</v>
      </c>
      <c r="Z70" s="1118">
        <f t="shared" si="90"/>
        <v>0</v>
      </c>
      <c r="AA70" s="1119"/>
      <c r="AE70" s="1117">
        <f t="shared" si="91"/>
        <v>0</v>
      </c>
      <c r="AF70" s="1118">
        <f t="shared" si="92"/>
        <v>0</v>
      </c>
      <c r="AG70" s="1118">
        <f t="shared" si="93"/>
        <v>0</v>
      </c>
      <c r="AH70" s="1118">
        <f t="shared" si="94"/>
        <v>0</v>
      </c>
      <c r="AI70" s="1119"/>
      <c r="AM70" s="1117">
        <f t="shared" si="95"/>
        <v>0</v>
      </c>
      <c r="AN70" s="1118">
        <f t="shared" si="96"/>
        <v>0</v>
      </c>
      <c r="AO70" s="1118">
        <f t="shared" si="97"/>
        <v>0</v>
      </c>
      <c r="AP70" s="1118">
        <f t="shared" si="98"/>
        <v>0</v>
      </c>
      <c r="AQ70" s="1119"/>
      <c r="AU70" s="1117">
        <f t="shared" si="99"/>
        <v>0</v>
      </c>
      <c r="AV70" s="1118">
        <f t="shared" si="100"/>
        <v>0</v>
      </c>
      <c r="AW70" s="1118">
        <f t="shared" si="101"/>
        <v>0</v>
      </c>
      <c r="AX70" s="1118">
        <f t="shared" si="102"/>
        <v>0</v>
      </c>
      <c r="AY70" s="1119"/>
      <c r="BC70" s="1117">
        <f t="shared" si="103"/>
        <v>0</v>
      </c>
      <c r="BD70" s="1118">
        <f t="shared" si="104"/>
        <v>0</v>
      </c>
      <c r="BE70" s="1118">
        <f t="shared" si="105"/>
        <v>0</v>
      </c>
      <c r="BF70" s="1118">
        <f t="shared" si="106"/>
        <v>0</v>
      </c>
      <c r="BG70" s="1119"/>
      <c r="BK70" s="1117">
        <f t="shared" si="107"/>
        <v>0</v>
      </c>
      <c r="BL70" s="1118">
        <f t="shared" si="108"/>
        <v>0</v>
      </c>
      <c r="BM70" s="1118">
        <f t="shared" si="109"/>
        <v>0</v>
      </c>
      <c r="BN70" s="1118">
        <f t="shared" si="110"/>
        <v>0</v>
      </c>
      <c r="BO70" s="1119"/>
      <c r="BS70" s="1117">
        <f t="shared" si="111"/>
        <v>0</v>
      </c>
      <c r="BT70" s="1118">
        <f t="shared" si="112"/>
        <v>0</v>
      </c>
      <c r="BU70" s="1118">
        <f t="shared" si="113"/>
        <v>0</v>
      </c>
      <c r="BV70" s="1118">
        <f t="shared" si="114"/>
        <v>0</v>
      </c>
      <c r="BW70" s="1119"/>
      <c r="CA70" s="1117">
        <f t="shared" si="115"/>
        <v>0</v>
      </c>
      <c r="CB70" s="1118">
        <f t="shared" si="116"/>
        <v>0</v>
      </c>
      <c r="CC70" s="1118">
        <f t="shared" si="117"/>
        <v>0</v>
      </c>
      <c r="CD70" s="1118">
        <f t="shared" si="118"/>
        <v>0</v>
      </c>
      <c r="CE70" s="1119"/>
      <c r="CI70" s="1117">
        <f t="shared" si="119"/>
        <v>0</v>
      </c>
      <c r="CJ70" s="1118">
        <f t="shared" si="120"/>
        <v>0</v>
      </c>
      <c r="CK70" s="1118">
        <f t="shared" si="121"/>
        <v>0</v>
      </c>
      <c r="CL70" s="1118">
        <f t="shared" si="122"/>
        <v>0</v>
      </c>
      <c r="CM70" s="1119"/>
      <c r="CQ70" s="1117">
        <f t="shared" si="123"/>
        <v>0</v>
      </c>
      <c r="CR70" s="1118">
        <f t="shared" si="124"/>
        <v>0</v>
      </c>
      <c r="CS70" s="1118">
        <f t="shared" si="125"/>
        <v>0</v>
      </c>
      <c r="CT70" s="1118">
        <f t="shared" si="126"/>
        <v>0</v>
      </c>
      <c r="CU70" s="1119"/>
      <c r="CY70" s="1117">
        <f t="shared" si="127"/>
        <v>0</v>
      </c>
      <c r="CZ70" s="1118">
        <f t="shared" si="128"/>
        <v>0</v>
      </c>
      <c r="DA70" s="1118">
        <f t="shared" si="129"/>
        <v>0</v>
      </c>
      <c r="DB70" s="1118">
        <f t="shared" si="130"/>
        <v>0</v>
      </c>
      <c r="DC70" s="1119"/>
      <c r="DG70" s="1117">
        <f t="shared" si="131"/>
        <v>0</v>
      </c>
      <c r="DH70" s="1118">
        <f t="shared" si="132"/>
        <v>0</v>
      </c>
      <c r="DI70" s="1118">
        <f t="shared" si="133"/>
        <v>0</v>
      </c>
      <c r="DJ70" s="1118">
        <f t="shared" si="134"/>
        <v>0</v>
      </c>
      <c r="DK70" s="1119"/>
      <c r="DO70" s="1117">
        <f t="shared" si="135"/>
        <v>0</v>
      </c>
      <c r="DP70" s="1118">
        <f t="shared" si="136"/>
        <v>0</v>
      </c>
      <c r="DQ70" s="1118">
        <f t="shared" si="137"/>
        <v>0</v>
      </c>
      <c r="DR70" s="1118">
        <f t="shared" si="138"/>
        <v>0</v>
      </c>
      <c r="DS70" s="1119"/>
      <c r="DW70" s="1117">
        <f t="shared" si="139"/>
        <v>0</v>
      </c>
      <c r="DX70" s="1118">
        <f t="shared" si="140"/>
        <v>0</v>
      </c>
      <c r="DY70" s="1118">
        <f t="shared" si="141"/>
        <v>0</v>
      </c>
      <c r="DZ70" s="1118">
        <f t="shared" si="142"/>
        <v>0</v>
      </c>
      <c r="EA70" s="1119"/>
      <c r="EE70" s="1117">
        <f t="shared" si="143"/>
        <v>0</v>
      </c>
      <c r="EF70" s="1118">
        <f t="shared" si="144"/>
        <v>0</v>
      </c>
      <c r="EG70" s="1118">
        <f t="shared" si="145"/>
        <v>0</v>
      </c>
      <c r="EH70" s="1118">
        <f t="shared" si="146"/>
        <v>0</v>
      </c>
      <c r="EI70" s="1119"/>
      <c r="EM70" s="1117">
        <f t="shared" si="147"/>
        <v>0</v>
      </c>
      <c r="EN70" s="1118">
        <f t="shared" si="148"/>
        <v>0</v>
      </c>
      <c r="EO70" s="1118">
        <f t="shared" si="149"/>
        <v>0</v>
      </c>
      <c r="EP70" s="1118">
        <f t="shared" si="150"/>
        <v>0</v>
      </c>
      <c r="EQ70" s="1119"/>
      <c r="EU70" s="1117">
        <f t="shared" si="151"/>
        <v>0</v>
      </c>
      <c r="EV70" s="1118">
        <f t="shared" si="152"/>
        <v>0</v>
      </c>
      <c r="EW70" s="1118">
        <f t="shared" si="153"/>
        <v>0</v>
      </c>
      <c r="EX70" s="1118">
        <f t="shared" si="154"/>
        <v>0</v>
      </c>
      <c r="EY70" s="1119"/>
      <c r="FC70" s="1117">
        <f t="shared" si="155"/>
        <v>0</v>
      </c>
      <c r="FD70" s="1118">
        <f t="shared" si="156"/>
        <v>0</v>
      </c>
      <c r="FE70" s="1118">
        <f t="shared" si="157"/>
        <v>0</v>
      </c>
      <c r="FF70" s="1118">
        <f t="shared" si="158"/>
        <v>0</v>
      </c>
      <c r="FG70" s="1119"/>
      <c r="FK70" s="1117">
        <f t="shared" si="159"/>
        <v>0</v>
      </c>
      <c r="FL70" s="1118">
        <f t="shared" si="160"/>
        <v>0</v>
      </c>
      <c r="FM70" s="1118">
        <f t="shared" si="161"/>
        <v>0</v>
      </c>
      <c r="FN70" s="1118">
        <f t="shared" si="162"/>
        <v>0</v>
      </c>
      <c r="FO70" s="1119"/>
    </row>
    <row r="71" spans="1:171" x14ac:dyDescent="0.25">
      <c r="A71" s="1421"/>
      <c r="B71" s="914" t="s">
        <v>400</v>
      </c>
      <c r="C71" s="889" t="s">
        <v>69</v>
      </c>
      <c r="D71" s="889">
        <v>108</v>
      </c>
      <c r="E71" s="182" t="str">
        <f>'Sch 1- Rate Base '!E71</f>
        <v>DIRECT</v>
      </c>
      <c r="F71" s="890"/>
      <c r="G71" s="182">
        <f>'Sch 1- Rate Base '!G71</f>
        <v>0</v>
      </c>
      <c r="H71" s="182">
        <f>'Sch 1- Rate Base '!H71</f>
        <v>0</v>
      </c>
      <c r="I71" s="182">
        <f>'Sch 1- Rate Base '!I71</f>
        <v>0</v>
      </c>
      <c r="J71" s="1422">
        <f>'Sch 1- Rate Base '!J71</f>
        <v>0</v>
      </c>
      <c r="K71" s="904">
        <f t="shared" si="82"/>
        <v>0</v>
      </c>
      <c r="O71" s="1117">
        <f t="shared" si="83"/>
        <v>0</v>
      </c>
      <c r="P71" s="1118">
        <f t="shared" si="84"/>
        <v>0</v>
      </c>
      <c r="Q71" s="1118">
        <f t="shared" si="85"/>
        <v>0</v>
      </c>
      <c r="R71" s="1118">
        <f t="shared" si="86"/>
        <v>0</v>
      </c>
      <c r="S71" s="1119"/>
      <c r="W71" s="1117">
        <f t="shared" si="87"/>
        <v>0</v>
      </c>
      <c r="X71" s="1118">
        <f t="shared" si="88"/>
        <v>0</v>
      </c>
      <c r="Y71" s="1118">
        <f t="shared" si="89"/>
        <v>0</v>
      </c>
      <c r="Z71" s="1118">
        <f t="shared" si="90"/>
        <v>0</v>
      </c>
      <c r="AA71" s="1119"/>
      <c r="AE71" s="1117">
        <f t="shared" si="91"/>
        <v>0</v>
      </c>
      <c r="AF71" s="1118">
        <f t="shared" si="92"/>
        <v>0</v>
      </c>
      <c r="AG71" s="1118">
        <f t="shared" si="93"/>
        <v>0</v>
      </c>
      <c r="AH71" s="1118">
        <f t="shared" si="94"/>
        <v>0</v>
      </c>
      <c r="AI71" s="1119"/>
      <c r="AM71" s="1117">
        <f t="shared" si="95"/>
        <v>0</v>
      </c>
      <c r="AN71" s="1118">
        <f t="shared" si="96"/>
        <v>0</v>
      </c>
      <c r="AO71" s="1118">
        <f t="shared" si="97"/>
        <v>0</v>
      </c>
      <c r="AP71" s="1118">
        <f t="shared" si="98"/>
        <v>0</v>
      </c>
      <c r="AQ71" s="1119"/>
      <c r="AU71" s="1117">
        <f t="shared" si="99"/>
        <v>0</v>
      </c>
      <c r="AV71" s="1118">
        <f t="shared" si="100"/>
        <v>0</v>
      </c>
      <c r="AW71" s="1118">
        <f t="shared" si="101"/>
        <v>0</v>
      </c>
      <c r="AX71" s="1118">
        <f t="shared" si="102"/>
        <v>0</v>
      </c>
      <c r="AY71" s="1119"/>
      <c r="BC71" s="1117">
        <f t="shared" si="103"/>
        <v>0</v>
      </c>
      <c r="BD71" s="1118">
        <f t="shared" si="104"/>
        <v>0</v>
      </c>
      <c r="BE71" s="1118">
        <f t="shared" si="105"/>
        <v>0</v>
      </c>
      <c r="BF71" s="1118">
        <f t="shared" si="106"/>
        <v>0</v>
      </c>
      <c r="BG71" s="1119"/>
      <c r="BK71" s="1117">
        <f t="shared" si="107"/>
        <v>0</v>
      </c>
      <c r="BL71" s="1118">
        <f t="shared" si="108"/>
        <v>0</v>
      </c>
      <c r="BM71" s="1118">
        <f t="shared" si="109"/>
        <v>0</v>
      </c>
      <c r="BN71" s="1118">
        <f t="shared" si="110"/>
        <v>0</v>
      </c>
      <c r="BO71" s="1119"/>
      <c r="BS71" s="1117">
        <f t="shared" si="111"/>
        <v>0</v>
      </c>
      <c r="BT71" s="1118">
        <f t="shared" si="112"/>
        <v>0</v>
      </c>
      <c r="BU71" s="1118">
        <f t="shared" si="113"/>
        <v>0</v>
      </c>
      <c r="BV71" s="1118">
        <f t="shared" si="114"/>
        <v>0</v>
      </c>
      <c r="BW71" s="1119"/>
      <c r="CA71" s="1117">
        <f t="shared" si="115"/>
        <v>0</v>
      </c>
      <c r="CB71" s="1118">
        <f t="shared" si="116"/>
        <v>0</v>
      </c>
      <c r="CC71" s="1118">
        <f t="shared" si="117"/>
        <v>0</v>
      </c>
      <c r="CD71" s="1118">
        <f t="shared" si="118"/>
        <v>0</v>
      </c>
      <c r="CE71" s="1119"/>
      <c r="CI71" s="1117">
        <f t="shared" si="119"/>
        <v>0</v>
      </c>
      <c r="CJ71" s="1118">
        <f t="shared" si="120"/>
        <v>0</v>
      </c>
      <c r="CK71" s="1118">
        <f t="shared" si="121"/>
        <v>0</v>
      </c>
      <c r="CL71" s="1118">
        <f t="shared" si="122"/>
        <v>0</v>
      </c>
      <c r="CM71" s="1119"/>
      <c r="CQ71" s="1117">
        <f t="shared" si="123"/>
        <v>0</v>
      </c>
      <c r="CR71" s="1118">
        <f t="shared" si="124"/>
        <v>0</v>
      </c>
      <c r="CS71" s="1118">
        <f t="shared" si="125"/>
        <v>0</v>
      </c>
      <c r="CT71" s="1118">
        <f t="shared" si="126"/>
        <v>0</v>
      </c>
      <c r="CU71" s="1119"/>
      <c r="CY71" s="1117">
        <f t="shared" si="127"/>
        <v>0</v>
      </c>
      <c r="CZ71" s="1118">
        <f t="shared" si="128"/>
        <v>0</v>
      </c>
      <c r="DA71" s="1118">
        <f t="shared" si="129"/>
        <v>0</v>
      </c>
      <c r="DB71" s="1118">
        <f t="shared" si="130"/>
        <v>0</v>
      </c>
      <c r="DC71" s="1119"/>
      <c r="DG71" s="1117">
        <f t="shared" si="131"/>
        <v>0</v>
      </c>
      <c r="DH71" s="1118">
        <f t="shared" si="132"/>
        <v>0</v>
      </c>
      <c r="DI71" s="1118">
        <f t="shared" si="133"/>
        <v>0</v>
      </c>
      <c r="DJ71" s="1118">
        <f t="shared" si="134"/>
        <v>0</v>
      </c>
      <c r="DK71" s="1119"/>
      <c r="DO71" s="1117">
        <f t="shared" si="135"/>
        <v>0</v>
      </c>
      <c r="DP71" s="1118">
        <f t="shared" si="136"/>
        <v>0</v>
      </c>
      <c r="DQ71" s="1118">
        <f t="shared" si="137"/>
        <v>0</v>
      </c>
      <c r="DR71" s="1118">
        <f t="shared" si="138"/>
        <v>0</v>
      </c>
      <c r="DS71" s="1119"/>
      <c r="DW71" s="1117">
        <f t="shared" si="139"/>
        <v>0</v>
      </c>
      <c r="DX71" s="1118">
        <f t="shared" si="140"/>
        <v>0</v>
      </c>
      <c r="DY71" s="1118">
        <f t="shared" si="141"/>
        <v>0</v>
      </c>
      <c r="DZ71" s="1118">
        <f t="shared" si="142"/>
        <v>0</v>
      </c>
      <c r="EA71" s="1119"/>
      <c r="EE71" s="1117">
        <f t="shared" si="143"/>
        <v>0</v>
      </c>
      <c r="EF71" s="1118">
        <f t="shared" si="144"/>
        <v>0</v>
      </c>
      <c r="EG71" s="1118">
        <f t="shared" si="145"/>
        <v>0</v>
      </c>
      <c r="EH71" s="1118">
        <f t="shared" si="146"/>
        <v>0</v>
      </c>
      <c r="EI71" s="1119"/>
      <c r="EM71" s="1117">
        <f t="shared" si="147"/>
        <v>0</v>
      </c>
      <c r="EN71" s="1118">
        <f t="shared" si="148"/>
        <v>0</v>
      </c>
      <c r="EO71" s="1118">
        <f t="shared" si="149"/>
        <v>0</v>
      </c>
      <c r="EP71" s="1118">
        <f t="shared" si="150"/>
        <v>0</v>
      </c>
      <c r="EQ71" s="1119"/>
      <c r="EU71" s="1117">
        <f t="shared" si="151"/>
        <v>0</v>
      </c>
      <c r="EV71" s="1118">
        <f t="shared" si="152"/>
        <v>0</v>
      </c>
      <c r="EW71" s="1118">
        <f t="shared" si="153"/>
        <v>0</v>
      </c>
      <c r="EX71" s="1118">
        <f t="shared" si="154"/>
        <v>0</v>
      </c>
      <c r="EY71" s="1119"/>
      <c r="FC71" s="1117">
        <f t="shared" si="155"/>
        <v>0</v>
      </c>
      <c r="FD71" s="1118">
        <f t="shared" si="156"/>
        <v>0</v>
      </c>
      <c r="FE71" s="1118">
        <f t="shared" si="157"/>
        <v>0</v>
      </c>
      <c r="FF71" s="1118">
        <f t="shared" si="158"/>
        <v>0</v>
      </c>
      <c r="FG71" s="1119"/>
      <c r="FK71" s="1117">
        <f t="shared" si="159"/>
        <v>0</v>
      </c>
      <c r="FL71" s="1118">
        <f t="shared" si="160"/>
        <v>0</v>
      </c>
      <c r="FM71" s="1118">
        <f t="shared" si="161"/>
        <v>0</v>
      </c>
      <c r="FN71" s="1118">
        <f t="shared" si="162"/>
        <v>0</v>
      </c>
      <c r="FO71" s="1119"/>
    </row>
    <row r="72" spans="1:171" x14ac:dyDescent="0.25">
      <c r="A72" s="1421"/>
      <c r="B72" s="914" t="s">
        <v>401</v>
      </c>
      <c r="C72" s="889" t="s">
        <v>69</v>
      </c>
      <c r="D72" s="889">
        <v>108</v>
      </c>
      <c r="E72" s="182" t="str">
        <f>'Sch 1- Rate Base '!E72</f>
        <v>DIRECT</v>
      </c>
      <c r="F72" s="890"/>
      <c r="G72" s="182">
        <f>'Sch 1- Rate Base '!G72</f>
        <v>9421530.1671775989</v>
      </c>
      <c r="H72" s="182">
        <f>'Sch 1- Rate Base '!H72</f>
        <v>4095506.2400422441</v>
      </c>
      <c r="I72" s="182">
        <f>'Sch 1- Rate Base '!I72</f>
        <v>0</v>
      </c>
      <c r="J72" s="1422">
        <f>'Sch 1- Rate Base '!J72</f>
        <v>6734436.0757155614</v>
      </c>
      <c r="K72" s="904">
        <f t="shared" si="82"/>
        <v>0</v>
      </c>
      <c r="O72" s="1117">
        <f t="shared" si="83"/>
        <v>9421530.1671775989</v>
      </c>
      <c r="P72" s="1118">
        <f t="shared" si="84"/>
        <v>4095506.2400422436</v>
      </c>
      <c r="Q72" s="1118">
        <f t="shared" si="85"/>
        <v>0</v>
      </c>
      <c r="R72" s="1118">
        <f t="shared" si="86"/>
        <v>5326023.9271353558</v>
      </c>
      <c r="S72" s="1119"/>
      <c r="W72" s="1117">
        <f t="shared" si="87"/>
        <v>9421530.1671775989</v>
      </c>
      <c r="X72" s="1118">
        <f t="shared" si="88"/>
        <v>4095506.2400422436</v>
      </c>
      <c r="Y72" s="1118">
        <f t="shared" si="89"/>
        <v>0</v>
      </c>
      <c r="Z72" s="1118">
        <f t="shared" si="90"/>
        <v>5326023.9271353558</v>
      </c>
      <c r="AA72" s="1119"/>
      <c r="AE72" s="1117">
        <f t="shared" si="91"/>
        <v>9421530.1671775989</v>
      </c>
      <c r="AF72" s="1118">
        <f t="shared" si="92"/>
        <v>4095506.2400422436</v>
      </c>
      <c r="AG72" s="1118">
        <f t="shared" si="93"/>
        <v>0</v>
      </c>
      <c r="AH72" s="1118">
        <f t="shared" si="94"/>
        <v>5326023.9271353558</v>
      </c>
      <c r="AI72" s="1119"/>
      <c r="AM72" s="1117">
        <f t="shared" si="95"/>
        <v>9421530.1671775989</v>
      </c>
      <c r="AN72" s="1118">
        <f t="shared" si="96"/>
        <v>4095506.2400422436</v>
      </c>
      <c r="AO72" s="1118">
        <f t="shared" si="97"/>
        <v>0</v>
      </c>
      <c r="AP72" s="1118">
        <f t="shared" si="98"/>
        <v>5326023.9271353558</v>
      </c>
      <c r="AQ72" s="1119"/>
      <c r="AU72" s="1117">
        <f t="shared" si="99"/>
        <v>9421530.1671775989</v>
      </c>
      <c r="AV72" s="1118">
        <f t="shared" si="100"/>
        <v>4095506.2400422436</v>
      </c>
      <c r="AW72" s="1118">
        <f t="shared" si="101"/>
        <v>0</v>
      </c>
      <c r="AX72" s="1118">
        <f t="shared" si="102"/>
        <v>5326023.9271353558</v>
      </c>
      <c r="AY72" s="1119"/>
      <c r="BC72" s="1117">
        <f t="shared" si="103"/>
        <v>9421530.1671775989</v>
      </c>
      <c r="BD72" s="1118">
        <f t="shared" si="104"/>
        <v>4095506.2400422436</v>
      </c>
      <c r="BE72" s="1118">
        <f t="shared" si="105"/>
        <v>0</v>
      </c>
      <c r="BF72" s="1118">
        <f t="shared" si="106"/>
        <v>5326023.9271353558</v>
      </c>
      <c r="BG72" s="1119"/>
      <c r="BK72" s="1117">
        <f t="shared" si="107"/>
        <v>9421530.1671775989</v>
      </c>
      <c r="BL72" s="1118">
        <f t="shared" si="108"/>
        <v>4095506.2400422436</v>
      </c>
      <c r="BM72" s="1118">
        <f t="shared" si="109"/>
        <v>0</v>
      </c>
      <c r="BN72" s="1118">
        <f t="shared" si="110"/>
        <v>5326023.9271353558</v>
      </c>
      <c r="BO72" s="1119"/>
      <c r="BS72" s="1117">
        <f t="shared" si="111"/>
        <v>9421530.1671775989</v>
      </c>
      <c r="BT72" s="1118">
        <f t="shared" si="112"/>
        <v>4095506.2400422436</v>
      </c>
      <c r="BU72" s="1118">
        <f t="shared" si="113"/>
        <v>0</v>
      </c>
      <c r="BV72" s="1118">
        <f t="shared" si="114"/>
        <v>5326023.9271353558</v>
      </c>
      <c r="BW72" s="1119"/>
      <c r="CA72" s="1117">
        <f t="shared" si="115"/>
        <v>9421530.1671775989</v>
      </c>
      <c r="CB72" s="1118">
        <f t="shared" si="116"/>
        <v>4095506.2400422436</v>
      </c>
      <c r="CC72" s="1118">
        <f t="shared" si="117"/>
        <v>0</v>
      </c>
      <c r="CD72" s="1118">
        <f t="shared" si="118"/>
        <v>5326023.9271353558</v>
      </c>
      <c r="CE72" s="1119"/>
      <c r="CI72" s="1117">
        <f t="shared" si="119"/>
        <v>9421530.1671775989</v>
      </c>
      <c r="CJ72" s="1118">
        <f t="shared" si="120"/>
        <v>4095506.2400422436</v>
      </c>
      <c r="CK72" s="1118">
        <f t="shared" si="121"/>
        <v>0</v>
      </c>
      <c r="CL72" s="1118">
        <f t="shared" si="122"/>
        <v>5326023.9271353558</v>
      </c>
      <c r="CM72" s="1119"/>
      <c r="CQ72" s="1117">
        <f t="shared" si="123"/>
        <v>9421530.1671775989</v>
      </c>
      <c r="CR72" s="1118">
        <f t="shared" si="124"/>
        <v>4095506.2400422436</v>
      </c>
      <c r="CS72" s="1118">
        <f t="shared" si="125"/>
        <v>0</v>
      </c>
      <c r="CT72" s="1118">
        <f t="shared" si="126"/>
        <v>5326023.9271353558</v>
      </c>
      <c r="CU72" s="1119"/>
      <c r="CY72" s="1117">
        <f t="shared" si="127"/>
        <v>9421530.1671775989</v>
      </c>
      <c r="CZ72" s="1118">
        <f t="shared" si="128"/>
        <v>4095506.2400422436</v>
      </c>
      <c r="DA72" s="1118">
        <f t="shared" si="129"/>
        <v>0</v>
      </c>
      <c r="DB72" s="1118">
        <f t="shared" si="130"/>
        <v>5326023.9271353558</v>
      </c>
      <c r="DC72" s="1119"/>
      <c r="DG72" s="1117">
        <f t="shared" si="131"/>
        <v>9421530.1671775989</v>
      </c>
      <c r="DH72" s="1118">
        <f t="shared" si="132"/>
        <v>4095506.2400422436</v>
      </c>
      <c r="DI72" s="1118">
        <f t="shared" si="133"/>
        <v>0</v>
      </c>
      <c r="DJ72" s="1118">
        <f t="shared" si="134"/>
        <v>5326023.9271353558</v>
      </c>
      <c r="DK72" s="1119"/>
      <c r="DO72" s="1117">
        <f t="shared" si="135"/>
        <v>9421530.1671775989</v>
      </c>
      <c r="DP72" s="1118">
        <f t="shared" si="136"/>
        <v>4095506.2400422436</v>
      </c>
      <c r="DQ72" s="1118">
        <f t="shared" si="137"/>
        <v>0</v>
      </c>
      <c r="DR72" s="1118">
        <f t="shared" si="138"/>
        <v>5326023.9271353558</v>
      </c>
      <c r="DS72" s="1119"/>
      <c r="DW72" s="1117">
        <f t="shared" si="139"/>
        <v>9421530.1671775989</v>
      </c>
      <c r="DX72" s="1118">
        <f t="shared" si="140"/>
        <v>4095506.2400422436</v>
      </c>
      <c r="DY72" s="1118">
        <f t="shared" si="141"/>
        <v>0</v>
      </c>
      <c r="DZ72" s="1118">
        <f t="shared" si="142"/>
        <v>5326023.9271353558</v>
      </c>
      <c r="EA72" s="1119"/>
      <c r="EE72" s="1117">
        <f t="shared" si="143"/>
        <v>9421530.1671775989</v>
      </c>
      <c r="EF72" s="1118">
        <f t="shared" si="144"/>
        <v>4095506.2400422436</v>
      </c>
      <c r="EG72" s="1118">
        <f t="shared" si="145"/>
        <v>0</v>
      </c>
      <c r="EH72" s="1118">
        <f t="shared" si="146"/>
        <v>5326023.9271353558</v>
      </c>
      <c r="EI72" s="1119"/>
      <c r="EM72" s="1117">
        <f t="shared" si="147"/>
        <v>9421530.1671775989</v>
      </c>
      <c r="EN72" s="1118">
        <f t="shared" si="148"/>
        <v>4095506.2400422436</v>
      </c>
      <c r="EO72" s="1118">
        <f t="shared" si="149"/>
        <v>0</v>
      </c>
      <c r="EP72" s="1118">
        <f t="shared" si="150"/>
        <v>5326023.9271353558</v>
      </c>
      <c r="EQ72" s="1119"/>
      <c r="EU72" s="1117">
        <f t="shared" si="151"/>
        <v>9421530.1671775989</v>
      </c>
      <c r="EV72" s="1118">
        <f t="shared" si="152"/>
        <v>4095506.2400422436</v>
      </c>
      <c r="EW72" s="1118">
        <f t="shared" si="153"/>
        <v>0</v>
      </c>
      <c r="EX72" s="1118">
        <f t="shared" si="154"/>
        <v>5326023.9271353558</v>
      </c>
      <c r="EY72" s="1119"/>
      <c r="FC72" s="1117">
        <f t="shared" si="155"/>
        <v>9421530.1671775989</v>
      </c>
      <c r="FD72" s="1118">
        <f t="shared" si="156"/>
        <v>4095506.2400422436</v>
      </c>
      <c r="FE72" s="1118">
        <f t="shared" si="157"/>
        <v>0</v>
      </c>
      <c r="FF72" s="1118">
        <f t="shared" si="158"/>
        <v>5326023.9271353558</v>
      </c>
      <c r="FG72" s="1119"/>
      <c r="FK72" s="1117">
        <f t="shared" si="159"/>
        <v>9421530.1671775989</v>
      </c>
      <c r="FL72" s="1118">
        <f t="shared" si="160"/>
        <v>4095506.2400422436</v>
      </c>
      <c r="FM72" s="1118">
        <f t="shared" si="161"/>
        <v>0</v>
      </c>
      <c r="FN72" s="1118">
        <f t="shared" si="162"/>
        <v>5326023.9271353558</v>
      </c>
      <c r="FO72" s="1119"/>
    </row>
    <row r="73" spans="1:171" x14ac:dyDescent="0.25">
      <c r="A73" s="1421"/>
      <c r="B73" s="914" t="s">
        <v>547</v>
      </c>
      <c r="C73" s="889" t="s">
        <v>69</v>
      </c>
      <c r="D73" s="889">
        <v>115</v>
      </c>
      <c r="E73" s="182" t="str">
        <f>'Sch 1- Rate Base '!E73</f>
        <v>DIRECT</v>
      </c>
      <c r="F73" s="890"/>
      <c r="G73" s="182">
        <f>'Sch 1- Rate Base '!G73</f>
        <v>56998656.093805373</v>
      </c>
      <c r="H73" s="182">
        <f>'Sch 1- Rate Base '!H73</f>
        <v>56998656</v>
      </c>
      <c r="I73" s="182">
        <f>'Sch 1- Rate Base '!I73</f>
        <v>0</v>
      </c>
      <c r="J73" s="1422">
        <f>'Sch 1- Rate Base '!J73</f>
        <v>0</v>
      </c>
      <c r="K73" s="904">
        <f t="shared" si="82"/>
        <v>0</v>
      </c>
      <c r="O73" s="1117">
        <f t="shared" si="83"/>
        <v>56998656.093805373</v>
      </c>
      <c r="P73" s="1118">
        <f t="shared" si="84"/>
        <v>56998656</v>
      </c>
      <c r="Q73" s="1118">
        <f t="shared" si="85"/>
        <v>0</v>
      </c>
      <c r="R73" s="1118">
        <f t="shared" si="86"/>
        <v>9.3805372714996338E-2</v>
      </c>
      <c r="S73" s="1119"/>
      <c r="W73" s="1117">
        <f t="shared" si="87"/>
        <v>56998656.093805373</v>
      </c>
      <c r="X73" s="1118">
        <f t="shared" si="88"/>
        <v>56998656</v>
      </c>
      <c r="Y73" s="1118">
        <f t="shared" si="89"/>
        <v>0</v>
      </c>
      <c r="Z73" s="1118">
        <f t="shared" si="90"/>
        <v>9.3805372714996338E-2</v>
      </c>
      <c r="AA73" s="1119"/>
      <c r="AE73" s="1117">
        <f t="shared" si="91"/>
        <v>56998656.093805373</v>
      </c>
      <c r="AF73" s="1118">
        <f t="shared" si="92"/>
        <v>56998656</v>
      </c>
      <c r="AG73" s="1118">
        <f t="shared" si="93"/>
        <v>0</v>
      </c>
      <c r="AH73" s="1118">
        <f t="shared" si="94"/>
        <v>9.3805372714996338E-2</v>
      </c>
      <c r="AI73" s="1119"/>
      <c r="AM73" s="1117">
        <f t="shared" si="95"/>
        <v>56998656.093805373</v>
      </c>
      <c r="AN73" s="1118">
        <f t="shared" si="96"/>
        <v>56998656</v>
      </c>
      <c r="AO73" s="1118">
        <f t="shared" si="97"/>
        <v>0</v>
      </c>
      <c r="AP73" s="1118">
        <f t="shared" si="98"/>
        <v>9.3805372714996338E-2</v>
      </c>
      <c r="AQ73" s="1119"/>
      <c r="AU73" s="1117">
        <f t="shared" si="99"/>
        <v>56998656.093805373</v>
      </c>
      <c r="AV73" s="1118">
        <f t="shared" si="100"/>
        <v>56998656</v>
      </c>
      <c r="AW73" s="1118">
        <f t="shared" si="101"/>
        <v>0</v>
      </c>
      <c r="AX73" s="1118">
        <f t="shared" si="102"/>
        <v>9.3805372714996338E-2</v>
      </c>
      <c r="AY73" s="1119"/>
      <c r="BC73" s="1117">
        <f t="shared" si="103"/>
        <v>56998656.093805373</v>
      </c>
      <c r="BD73" s="1118">
        <f t="shared" si="104"/>
        <v>56998656</v>
      </c>
      <c r="BE73" s="1118">
        <f t="shared" si="105"/>
        <v>0</v>
      </c>
      <c r="BF73" s="1118">
        <f t="shared" si="106"/>
        <v>9.3805372714996338E-2</v>
      </c>
      <c r="BG73" s="1119"/>
      <c r="BK73" s="1117">
        <f t="shared" si="107"/>
        <v>56998656.093805373</v>
      </c>
      <c r="BL73" s="1118">
        <f t="shared" si="108"/>
        <v>56998656</v>
      </c>
      <c r="BM73" s="1118">
        <f t="shared" si="109"/>
        <v>0</v>
      </c>
      <c r="BN73" s="1118">
        <f t="shared" si="110"/>
        <v>9.3805372714996338E-2</v>
      </c>
      <c r="BO73" s="1119"/>
      <c r="BS73" s="1117">
        <f t="shared" si="111"/>
        <v>56998656.093805373</v>
      </c>
      <c r="BT73" s="1118">
        <f t="shared" si="112"/>
        <v>56998656</v>
      </c>
      <c r="BU73" s="1118">
        <f t="shared" si="113"/>
        <v>0</v>
      </c>
      <c r="BV73" s="1118">
        <f t="shared" si="114"/>
        <v>9.3805372714996338E-2</v>
      </c>
      <c r="BW73" s="1119"/>
      <c r="CA73" s="1117">
        <f t="shared" si="115"/>
        <v>56998656.093805373</v>
      </c>
      <c r="CB73" s="1118">
        <f t="shared" si="116"/>
        <v>56998656</v>
      </c>
      <c r="CC73" s="1118">
        <f t="shared" si="117"/>
        <v>0</v>
      </c>
      <c r="CD73" s="1118">
        <f t="shared" si="118"/>
        <v>9.3805372714996338E-2</v>
      </c>
      <c r="CE73" s="1119"/>
      <c r="CI73" s="1117">
        <f t="shared" si="119"/>
        <v>56998656.093805373</v>
      </c>
      <c r="CJ73" s="1118">
        <f t="shared" si="120"/>
        <v>56998656</v>
      </c>
      <c r="CK73" s="1118">
        <f t="shared" si="121"/>
        <v>0</v>
      </c>
      <c r="CL73" s="1118">
        <f t="shared" si="122"/>
        <v>9.3805372714996338E-2</v>
      </c>
      <c r="CM73" s="1119"/>
      <c r="CQ73" s="1117">
        <f t="shared" si="123"/>
        <v>56998656.093805373</v>
      </c>
      <c r="CR73" s="1118">
        <f t="shared" si="124"/>
        <v>56998656</v>
      </c>
      <c r="CS73" s="1118">
        <f t="shared" si="125"/>
        <v>0</v>
      </c>
      <c r="CT73" s="1118">
        <f t="shared" si="126"/>
        <v>9.3805372714996338E-2</v>
      </c>
      <c r="CU73" s="1119"/>
      <c r="CY73" s="1117">
        <f t="shared" si="127"/>
        <v>56998656.093805373</v>
      </c>
      <c r="CZ73" s="1118">
        <f t="shared" si="128"/>
        <v>56998656</v>
      </c>
      <c r="DA73" s="1118">
        <f t="shared" si="129"/>
        <v>0</v>
      </c>
      <c r="DB73" s="1118">
        <f t="shared" si="130"/>
        <v>9.3805372714996338E-2</v>
      </c>
      <c r="DC73" s="1119"/>
      <c r="DG73" s="1117">
        <f t="shared" si="131"/>
        <v>56998656.093805373</v>
      </c>
      <c r="DH73" s="1118">
        <f t="shared" si="132"/>
        <v>56998656</v>
      </c>
      <c r="DI73" s="1118">
        <f t="shared" si="133"/>
        <v>0</v>
      </c>
      <c r="DJ73" s="1118">
        <f t="shared" si="134"/>
        <v>9.3805372714996338E-2</v>
      </c>
      <c r="DK73" s="1119"/>
      <c r="DO73" s="1117">
        <f t="shared" si="135"/>
        <v>56998656.093805373</v>
      </c>
      <c r="DP73" s="1118">
        <f t="shared" si="136"/>
        <v>56998656</v>
      </c>
      <c r="DQ73" s="1118">
        <f t="shared" si="137"/>
        <v>0</v>
      </c>
      <c r="DR73" s="1118">
        <f t="shared" si="138"/>
        <v>9.3805372714996338E-2</v>
      </c>
      <c r="DS73" s="1119"/>
      <c r="DW73" s="1117">
        <f t="shared" si="139"/>
        <v>56998656.093805373</v>
      </c>
      <c r="DX73" s="1118">
        <f t="shared" si="140"/>
        <v>56998656</v>
      </c>
      <c r="DY73" s="1118">
        <f t="shared" si="141"/>
        <v>0</v>
      </c>
      <c r="DZ73" s="1118">
        <f t="shared" si="142"/>
        <v>9.3805372714996338E-2</v>
      </c>
      <c r="EA73" s="1119"/>
      <c r="EE73" s="1117">
        <f t="shared" si="143"/>
        <v>56998656.093805373</v>
      </c>
      <c r="EF73" s="1118">
        <f t="shared" si="144"/>
        <v>56998656</v>
      </c>
      <c r="EG73" s="1118">
        <f t="shared" si="145"/>
        <v>0</v>
      </c>
      <c r="EH73" s="1118">
        <f t="shared" si="146"/>
        <v>9.3805372714996338E-2</v>
      </c>
      <c r="EI73" s="1119"/>
      <c r="EM73" s="1117">
        <f t="shared" si="147"/>
        <v>56998656.093805373</v>
      </c>
      <c r="EN73" s="1118">
        <f t="shared" si="148"/>
        <v>56998656</v>
      </c>
      <c r="EO73" s="1118">
        <f t="shared" si="149"/>
        <v>0</v>
      </c>
      <c r="EP73" s="1118">
        <f t="shared" si="150"/>
        <v>9.3805372714996338E-2</v>
      </c>
      <c r="EQ73" s="1119"/>
      <c r="EU73" s="1117">
        <f t="shared" si="151"/>
        <v>56998656.093805373</v>
      </c>
      <c r="EV73" s="1118">
        <f t="shared" si="152"/>
        <v>56998656</v>
      </c>
      <c r="EW73" s="1118">
        <f t="shared" si="153"/>
        <v>0</v>
      </c>
      <c r="EX73" s="1118">
        <f t="shared" si="154"/>
        <v>9.3805372714996338E-2</v>
      </c>
      <c r="EY73" s="1119"/>
      <c r="FC73" s="1117">
        <f t="shared" si="155"/>
        <v>56998656.093805373</v>
      </c>
      <c r="FD73" s="1118">
        <f t="shared" si="156"/>
        <v>56998656</v>
      </c>
      <c r="FE73" s="1118">
        <f t="shared" si="157"/>
        <v>0</v>
      </c>
      <c r="FF73" s="1118">
        <f t="shared" si="158"/>
        <v>9.3805372714996338E-2</v>
      </c>
      <c r="FG73" s="1119"/>
      <c r="FK73" s="1117">
        <f t="shared" si="159"/>
        <v>56998656.093805373</v>
      </c>
      <c r="FL73" s="1118">
        <f t="shared" si="160"/>
        <v>56998656</v>
      </c>
      <c r="FM73" s="1118">
        <f t="shared" si="161"/>
        <v>0</v>
      </c>
      <c r="FN73" s="1118">
        <f t="shared" si="162"/>
        <v>9.3805372714996338E-2</v>
      </c>
      <c r="FO73" s="1119"/>
    </row>
    <row r="74" spans="1:171" x14ac:dyDescent="0.25">
      <c r="A74" s="1421"/>
      <c r="B74" s="914"/>
      <c r="C74" s="55"/>
      <c r="D74" s="196"/>
      <c r="E74" s="196"/>
      <c r="F74" s="196"/>
      <c r="G74" s="925"/>
      <c r="H74" s="198"/>
      <c r="I74" s="198"/>
      <c r="J74" s="1427"/>
      <c r="K74" s="904"/>
      <c r="S74" s="1119"/>
      <c r="AA74" s="1119"/>
      <c r="AI74" s="1119"/>
      <c r="AQ74" s="1119"/>
      <c r="AY74" s="1119"/>
      <c r="BG74" s="1119"/>
      <c r="BO74" s="1119"/>
      <c r="BW74" s="1119"/>
      <c r="CE74" s="1119"/>
      <c r="CM74" s="1119"/>
      <c r="CU74" s="1119"/>
      <c r="DC74" s="1119"/>
      <c r="DK74" s="1119"/>
      <c r="DS74" s="1119"/>
      <c r="EA74" s="1119"/>
      <c r="EI74" s="1119"/>
      <c r="EQ74" s="1119"/>
      <c r="EY74" s="1119"/>
      <c r="FG74" s="1119"/>
      <c r="FO74" s="1119"/>
    </row>
    <row r="75" spans="1:171" x14ac:dyDescent="0.25">
      <c r="A75" s="1341" t="s">
        <v>211</v>
      </c>
      <c r="B75" s="914"/>
      <c r="C75" s="889"/>
      <c r="D75" s="889"/>
      <c r="E75" s="182" t="str">
        <f>'Sch 1- Rate Base '!E75</f>
        <v>DIRECT</v>
      </c>
      <c r="F75" s="890"/>
      <c r="G75" s="182">
        <f>'Sch 1- Rate Base '!G75</f>
        <v>0</v>
      </c>
      <c r="H75" s="182">
        <f>'Sch 1- Rate Base '!H75</f>
        <v>0</v>
      </c>
      <c r="I75" s="182">
        <f>'Sch 1- Rate Base '!I75</f>
        <v>0</v>
      </c>
      <c r="J75" s="1422">
        <f>'Sch 1- Rate Base '!J75</f>
        <v>0</v>
      </c>
      <c r="K75" s="904">
        <f t="shared" si="82"/>
        <v>0</v>
      </c>
      <c r="S75" s="1119"/>
      <c r="AA75" s="1119"/>
      <c r="AI75" s="1119"/>
      <c r="AQ75" s="1119"/>
      <c r="AY75" s="1119"/>
      <c r="BG75" s="1119"/>
      <c r="BO75" s="1119"/>
      <c r="BW75" s="1119"/>
      <c r="CE75" s="1119"/>
      <c r="CM75" s="1119"/>
      <c r="CU75" s="1119"/>
      <c r="DC75" s="1119"/>
      <c r="DK75" s="1119"/>
      <c r="DS75" s="1119"/>
      <c r="EA75" s="1119"/>
      <c r="EI75" s="1119"/>
      <c r="EQ75" s="1119"/>
      <c r="EY75" s="1119"/>
      <c r="FG75" s="1119"/>
      <c r="FO75" s="1119"/>
    </row>
    <row r="76" spans="1:171" x14ac:dyDescent="0.25">
      <c r="A76" s="1430"/>
      <c r="B76" s="914"/>
      <c r="C76" s="55"/>
      <c r="D76" s="196"/>
      <c r="E76" s="196"/>
      <c r="F76" s="196"/>
      <c r="G76" s="918"/>
      <c r="H76" s="198"/>
      <c r="I76" s="198"/>
      <c r="J76" s="1427"/>
      <c r="K76" s="904"/>
      <c r="S76" s="1119"/>
      <c r="AA76" s="1119"/>
      <c r="AI76" s="1119"/>
      <c r="AQ76" s="1119"/>
      <c r="AY76" s="1119"/>
      <c r="BG76" s="1119"/>
      <c r="BO76" s="1119"/>
      <c r="BW76" s="1119"/>
      <c r="CE76" s="1119"/>
      <c r="CM76" s="1119"/>
      <c r="CU76" s="1119"/>
      <c r="DC76" s="1119"/>
      <c r="DK76" s="1119"/>
      <c r="DS76" s="1119"/>
      <c r="EA76" s="1119"/>
      <c r="EI76" s="1119"/>
      <c r="EQ76" s="1119"/>
      <c r="EY76" s="1119"/>
      <c r="FG76" s="1119"/>
      <c r="FO76" s="1119"/>
    </row>
    <row r="77" spans="1:171" x14ac:dyDescent="0.25">
      <c r="A77" s="1350" t="s">
        <v>223</v>
      </c>
      <c r="B77" s="64"/>
      <c r="C77" s="915"/>
      <c r="D77" s="916"/>
      <c r="E77" s="916"/>
      <c r="F77" s="917"/>
      <c r="G77" s="924">
        <f>SUM(G57:G75)</f>
        <v>5550863675.958252</v>
      </c>
      <c r="H77" s="924">
        <f>SUM(H57:H75)</f>
        <v>2650714170.9994912</v>
      </c>
      <c r="I77" s="924">
        <f>SUM(I57:I75)</f>
        <v>0</v>
      </c>
      <c r="J77" s="1429">
        <f>SUM(J57:J75)</f>
        <v>2902318194.1147103</v>
      </c>
      <c r="K77" s="904"/>
      <c r="O77" s="1121">
        <f>SUM(O57:O75)</f>
        <v>5550863675.958252</v>
      </c>
      <c r="P77" s="1121">
        <f>SUM(P57:P75)</f>
        <v>2650714170.9994912</v>
      </c>
      <c r="Q77" s="1121">
        <f>SUM(Q57:Q75)</f>
        <v>981908772.79948997</v>
      </c>
      <c r="R77" s="1121">
        <f>SUM(R57:R75)</f>
        <v>1918240732.1592727</v>
      </c>
      <c r="S77" s="1119"/>
      <c r="W77" s="1121">
        <f>SUM(W57:W75)</f>
        <v>5550863675.958252</v>
      </c>
      <c r="X77" s="1121">
        <f>SUM(X57:X75)</f>
        <v>2650714170.9994912</v>
      </c>
      <c r="Y77" s="1121">
        <f>SUM(Y57:Y75)</f>
        <v>981908772.79948997</v>
      </c>
      <c r="Z77" s="1121">
        <f>SUM(Z57:Z75)</f>
        <v>1918240732.1592727</v>
      </c>
      <c r="AA77" s="1119"/>
      <c r="AE77" s="1121">
        <f>SUM(AE57:AE75)</f>
        <v>5550863675.958252</v>
      </c>
      <c r="AF77" s="1121">
        <f>SUM(AF57:AF75)</f>
        <v>2650714170.9994912</v>
      </c>
      <c r="AG77" s="1121">
        <f>SUM(AG57:AG75)</f>
        <v>981908772.79948997</v>
      </c>
      <c r="AH77" s="1121">
        <f>SUM(AH57:AH75)</f>
        <v>1918240732.1592727</v>
      </c>
      <c r="AI77" s="1119"/>
      <c r="AM77" s="1121">
        <f>SUM(AM57:AM75)</f>
        <v>5550863675.958252</v>
      </c>
      <c r="AN77" s="1121">
        <f>SUM(AN57:AN75)</f>
        <v>2650714170.9994912</v>
      </c>
      <c r="AO77" s="1121">
        <f>SUM(AO57:AO75)</f>
        <v>981908772.79948997</v>
      </c>
      <c r="AP77" s="1121">
        <f>SUM(AP57:AP75)</f>
        <v>1918240732.1592727</v>
      </c>
      <c r="AQ77" s="1119"/>
      <c r="AU77" s="1121">
        <f>SUM(AU57:AU75)</f>
        <v>5550863675.958252</v>
      </c>
      <c r="AV77" s="1121">
        <f>SUM(AV57:AV75)</f>
        <v>2650714170.9994912</v>
      </c>
      <c r="AW77" s="1121">
        <f>SUM(AW57:AW75)</f>
        <v>981908772.79948997</v>
      </c>
      <c r="AX77" s="1121">
        <f>SUM(AX57:AX75)</f>
        <v>1918240732.1592727</v>
      </c>
      <c r="AY77" s="1119"/>
      <c r="BC77" s="1121">
        <f>SUM(BC57:BC75)</f>
        <v>5550863675.958252</v>
      </c>
      <c r="BD77" s="1121">
        <f>SUM(BD57:BD75)</f>
        <v>2650714170.9994912</v>
      </c>
      <c r="BE77" s="1121">
        <f>SUM(BE57:BE75)</f>
        <v>981908772.79948997</v>
      </c>
      <c r="BF77" s="1121">
        <f>SUM(BF57:BF75)</f>
        <v>1918240732.1592727</v>
      </c>
      <c r="BG77" s="1119"/>
      <c r="BK77" s="1121">
        <f>SUM(BK57:BK75)</f>
        <v>5550863675.958252</v>
      </c>
      <c r="BL77" s="1121">
        <f>SUM(BL57:BL75)</f>
        <v>2650714170.9994912</v>
      </c>
      <c r="BM77" s="1121">
        <f>SUM(BM57:BM75)</f>
        <v>981908772.79948997</v>
      </c>
      <c r="BN77" s="1121">
        <f>SUM(BN57:BN75)</f>
        <v>1918240732.1592727</v>
      </c>
      <c r="BO77" s="1119"/>
      <c r="BS77" s="1121">
        <f>SUM(BS57:BS75)</f>
        <v>5550863675.958252</v>
      </c>
      <c r="BT77" s="1121">
        <f>SUM(BT57:BT75)</f>
        <v>2650714170.9994912</v>
      </c>
      <c r="BU77" s="1121">
        <f>SUM(BU57:BU75)</f>
        <v>981908772.79948997</v>
      </c>
      <c r="BV77" s="1121">
        <f>SUM(BV57:BV75)</f>
        <v>1918240732.1592727</v>
      </c>
      <c r="BW77" s="1119"/>
      <c r="CA77" s="1121">
        <f>SUM(CA57:CA75)</f>
        <v>5550863675.958252</v>
      </c>
      <c r="CB77" s="1121">
        <f>SUM(CB57:CB75)</f>
        <v>2650714170.9994912</v>
      </c>
      <c r="CC77" s="1121">
        <f>SUM(CC57:CC75)</f>
        <v>981908772.79948997</v>
      </c>
      <c r="CD77" s="1121">
        <f>SUM(CD57:CD75)</f>
        <v>1918240732.1592727</v>
      </c>
      <c r="CE77" s="1119"/>
      <c r="CI77" s="1121">
        <f>SUM(CI57:CI75)</f>
        <v>5550863675.958252</v>
      </c>
      <c r="CJ77" s="1121">
        <f>SUM(CJ57:CJ75)</f>
        <v>2650714170.9994912</v>
      </c>
      <c r="CK77" s="1121">
        <f>SUM(CK57:CK75)</f>
        <v>981908772.79948997</v>
      </c>
      <c r="CL77" s="1121">
        <f>SUM(CL57:CL75)</f>
        <v>1918240732.1592727</v>
      </c>
      <c r="CM77" s="1119"/>
      <c r="CQ77" s="1121">
        <f>SUM(CQ57:CQ75)</f>
        <v>5550863675.958252</v>
      </c>
      <c r="CR77" s="1121">
        <f>SUM(CR57:CR75)</f>
        <v>2650714170.9994912</v>
      </c>
      <c r="CS77" s="1121">
        <f>SUM(CS57:CS75)</f>
        <v>981908772.79948997</v>
      </c>
      <c r="CT77" s="1121">
        <f>SUM(CT57:CT75)</f>
        <v>1918240732.1592727</v>
      </c>
      <c r="CU77" s="1119"/>
      <c r="CY77" s="1121">
        <f>SUM(CY57:CY75)</f>
        <v>5550863675.958252</v>
      </c>
      <c r="CZ77" s="1121">
        <f>SUM(CZ57:CZ75)</f>
        <v>2650714170.9994912</v>
      </c>
      <c r="DA77" s="1121">
        <f>SUM(DA57:DA75)</f>
        <v>981908772.79948997</v>
      </c>
      <c r="DB77" s="1121">
        <f>SUM(DB57:DB75)</f>
        <v>1918240732.1592727</v>
      </c>
      <c r="DC77" s="1119"/>
      <c r="DG77" s="1121">
        <f>SUM(DG57:DG75)</f>
        <v>5550863675.958252</v>
      </c>
      <c r="DH77" s="1121">
        <f>SUM(DH57:DH75)</f>
        <v>2650714170.9994912</v>
      </c>
      <c r="DI77" s="1121">
        <f>SUM(DI57:DI75)</f>
        <v>981908772.79948997</v>
      </c>
      <c r="DJ77" s="1121">
        <f>SUM(DJ57:DJ75)</f>
        <v>1918240732.1592727</v>
      </c>
      <c r="DK77" s="1119"/>
      <c r="DO77" s="1121">
        <f>SUM(DO57:DO75)</f>
        <v>5550863675.958252</v>
      </c>
      <c r="DP77" s="1121">
        <f>SUM(DP57:DP75)</f>
        <v>2650714170.9994912</v>
      </c>
      <c r="DQ77" s="1121">
        <f>SUM(DQ57:DQ75)</f>
        <v>981908772.79948997</v>
      </c>
      <c r="DR77" s="1121">
        <f>SUM(DR57:DR75)</f>
        <v>1918240732.1592727</v>
      </c>
      <c r="DS77" s="1119"/>
      <c r="DW77" s="1121">
        <f>SUM(DW57:DW75)</f>
        <v>5550863675.958252</v>
      </c>
      <c r="DX77" s="1121">
        <f>SUM(DX57:DX75)</f>
        <v>2650714170.9994912</v>
      </c>
      <c r="DY77" s="1121">
        <f>SUM(DY57:DY75)</f>
        <v>981908772.79948997</v>
      </c>
      <c r="DZ77" s="1121">
        <f>SUM(DZ57:DZ75)</f>
        <v>1918240732.1592727</v>
      </c>
      <c r="EA77" s="1119"/>
      <c r="EE77" s="1121">
        <f>SUM(EE57:EE75)</f>
        <v>5550863675.958252</v>
      </c>
      <c r="EF77" s="1121">
        <f>SUM(EF57:EF75)</f>
        <v>2650714170.9994912</v>
      </c>
      <c r="EG77" s="1121">
        <f>SUM(EG57:EG75)</f>
        <v>981908772.79948997</v>
      </c>
      <c r="EH77" s="1121">
        <f>SUM(EH57:EH75)</f>
        <v>1918240732.1592727</v>
      </c>
      <c r="EI77" s="1119"/>
      <c r="EM77" s="1121">
        <f>SUM(EM57:EM75)</f>
        <v>5550863675.958252</v>
      </c>
      <c r="EN77" s="1121">
        <f>SUM(EN57:EN75)</f>
        <v>2650714170.9994912</v>
      </c>
      <c r="EO77" s="1121">
        <f>SUM(EO57:EO75)</f>
        <v>981908772.79948997</v>
      </c>
      <c r="EP77" s="1121">
        <f>SUM(EP57:EP75)</f>
        <v>1918240732.1592727</v>
      </c>
      <c r="EQ77" s="1119"/>
      <c r="EU77" s="1121">
        <f>SUM(EU57:EU75)</f>
        <v>5550863675.958252</v>
      </c>
      <c r="EV77" s="1121">
        <f>SUM(EV57:EV75)</f>
        <v>2650714170.9994912</v>
      </c>
      <c r="EW77" s="1121">
        <f>SUM(EW57:EW75)</f>
        <v>981908772.79948997</v>
      </c>
      <c r="EX77" s="1121">
        <f>SUM(EX57:EX75)</f>
        <v>1918240732.1592727</v>
      </c>
      <c r="EY77" s="1119"/>
      <c r="FC77" s="1121">
        <f>SUM(FC57:FC75)</f>
        <v>5550863675.958252</v>
      </c>
      <c r="FD77" s="1121">
        <f>SUM(FD57:FD75)</f>
        <v>2650714170.9994912</v>
      </c>
      <c r="FE77" s="1121">
        <f>SUM(FE57:FE75)</f>
        <v>981908772.79948997</v>
      </c>
      <c r="FF77" s="1121">
        <f>SUM(FF57:FF75)</f>
        <v>1918240732.1592727</v>
      </c>
      <c r="FG77" s="1119"/>
      <c r="FK77" s="1121">
        <f>SUM(FK57:FK75)</f>
        <v>5550863675.958252</v>
      </c>
      <c r="FL77" s="1121">
        <f>SUM(FL57:FL75)</f>
        <v>2650714170.9994912</v>
      </c>
      <c r="FM77" s="1121">
        <f>SUM(FM57:FM75)</f>
        <v>981908772.79948997</v>
      </c>
      <c r="FN77" s="1121">
        <f>SUM(FN57:FN75)</f>
        <v>1918240732.1592727</v>
      </c>
      <c r="FO77" s="1119"/>
    </row>
    <row r="78" spans="1:171" x14ac:dyDescent="0.25">
      <c r="A78" s="1430"/>
      <c r="B78" s="927"/>
      <c r="C78" s="55"/>
      <c r="D78" s="196"/>
      <c r="E78" s="196"/>
      <c r="F78" s="196"/>
      <c r="G78" s="928"/>
      <c r="H78" s="928"/>
      <c r="I78" s="928"/>
      <c r="J78" s="1431"/>
      <c r="K78" s="904"/>
      <c r="O78" s="1080"/>
      <c r="P78" s="1080"/>
      <c r="Q78" s="1080"/>
      <c r="R78" s="1080"/>
      <c r="S78" s="1074"/>
      <c r="W78" s="1080"/>
      <c r="X78" s="1080"/>
      <c r="Y78" s="1080"/>
      <c r="Z78" s="1080"/>
      <c r="AA78" s="1074"/>
      <c r="AE78" s="1080"/>
      <c r="AF78" s="1080"/>
      <c r="AG78" s="1080"/>
      <c r="AH78" s="1080"/>
      <c r="AI78" s="1074"/>
      <c r="AM78" s="1080"/>
      <c r="AN78" s="1080"/>
      <c r="AO78" s="1080"/>
      <c r="AP78" s="1080"/>
      <c r="AQ78" s="1074"/>
      <c r="AU78" s="1080"/>
      <c r="AV78" s="1080"/>
      <c r="AW78" s="1080"/>
      <c r="AX78" s="1080"/>
      <c r="AY78" s="1074"/>
      <c r="BC78" s="1080"/>
      <c r="BD78" s="1080"/>
      <c r="BE78" s="1080"/>
      <c r="BF78" s="1080"/>
      <c r="BG78" s="1074"/>
      <c r="BK78" s="1080"/>
      <c r="BL78" s="1080"/>
      <c r="BM78" s="1080"/>
      <c r="BN78" s="1080"/>
      <c r="BO78" s="1074"/>
      <c r="BS78" s="1080"/>
      <c r="BT78" s="1080"/>
      <c r="BU78" s="1080"/>
      <c r="BV78" s="1080"/>
      <c r="BW78" s="1074"/>
      <c r="CA78" s="1080"/>
      <c r="CB78" s="1080"/>
      <c r="CC78" s="1080"/>
      <c r="CD78" s="1080"/>
      <c r="CE78" s="1074"/>
      <c r="CI78" s="1080"/>
      <c r="CJ78" s="1080"/>
      <c r="CK78" s="1080"/>
      <c r="CL78" s="1080"/>
      <c r="CM78" s="1074"/>
      <c r="CQ78" s="1080"/>
      <c r="CR78" s="1080"/>
      <c r="CS78" s="1080"/>
      <c r="CT78" s="1080"/>
      <c r="CU78" s="1074"/>
      <c r="CY78" s="1080"/>
      <c r="CZ78" s="1080"/>
      <c r="DA78" s="1080"/>
      <c r="DB78" s="1080"/>
      <c r="DC78" s="1074"/>
      <c r="DG78" s="1080"/>
      <c r="DH78" s="1080"/>
      <c r="DI78" s="1080"/>
      <c r="DJ78" s="1080"/>
      <c r="DK78" s="1074"/>
      <c r="DO78" s="1080"/>
      <c r="DP78" s="1080"/>
      <c r="DQ78" s="1080"/>
      <c r="DR78" s="1080"/>
      <c r="DS78" s="1074"/>
      <c r="DW78" s="1080"/>
      <c r="DX78" s="1080"/>
      <c r="DY78" s="1080"/>
      <c r="DZ78" s="1080"/>
      <c r="EA78" s="1074"/>
      <c r="EE78" s="1080"/>
      <c r="EF78" s="1080"/>
      <c r="EG78" s="1080"/>
      <c r="EH78" s="1080"/>
      <c r="EI78" s="1074"/>
      <c r="EM78" s="1080"/>
      <c r="EN78" s="1080"/>
      <c r="EO78" s="1080"/>
      <c r="EP78" s="1080"/>
      <c r="EQ78" s="1074"/>
      <c r="EU78" s="1080"/>
      <c r="EV78" s="1080"/>
      <c r="EW78" s="1080"/>
      <c r="EX78" s="1080"/>
      <c r="EY78" s="1074"/>
      <c r="FC78" s="1080"/>
      <c r="FD78" s="1080"/>
      <c r="FE78" s="1080"/>
      <c r="FF78" s="1080"/>
      <c r="FG78" s="1074"/>
      <c r="FK78" s="1080"/>
      <c r="FL78" s="1080"/>
      <c r="FM78" s="1080"/>
      <c r="FN78" s="1080"/>
      <c r="FO78" s="1074"/>
    </row>
    <row r="79" spans="1:171" x14ac:dyDescent="0.25">
      <c r="A79" s="1350" t="s">
        <v>475</v>
      </c>
      <c r="B79" s="64"/>
      <c r="C79" s="915"/>
      <c r="D79" s="916"/>
      <c r="E79" s="916"/>
      <c r="F79" s="917"/>
      <c r="G79" s="924">
        <f>G52-G77</f>
        <v>8242315004.3195381</v>
      </c>
      <c r="H79" s="924">
        <f>H52-H77</f>
        <v>3341242672.1879716</v>
      </c>
      <c r="I79" s="924">
        <f>I52-I77</f>
        <v>0</v>
      </c>
      <c r="J79" s="1429">
        <f>J52-J77</f>
        <v>4900283983.3376942</v>
      </c>
      <c r="K79" s="904"/>
      <c r="O79" s="1126">
        <f>O52-O77</f>
        <v>8242315004.3195381</v>
      </c>
      <c r="P79" s="1126">
        <f>P52-P77</f>
        <v>3341242672.1879716</v>
      </c>
      <c r="Q79" s="1126">
        <f>Q52-Q77</f>
        <v>2509158824.6398802</v>
      </c>
      <c r="R79" s="1126">
        <f>R52-R77</f>
        <v>2391913507.4916844</v>
      </c>
      <c r="S79" s="1074"/>
      <c r="W79" s="1126">
        <f>W52-W77</f>
        <v>8242315004.3195381</v>
      </c>
      <c r="X79" s="1126">
        <f>X52-X77</f>
        <v>3341242672.1879716</v>
      </c>
      <c r="Y79" s="1126">
        <f>Y52-Y77</f>
        <v>2509158824.6398802</v>
      </c>
      <c r="Z79" s="1126">
        <f>Z52-Z77</f>
        <v>2391913507.4916844</v>
      </c>
      <c r="AA79" s="1074"/>
      <c r="AE79" s="1126">
        <f>AE52-AE77</f>
        <v>8242315004.3195381</v>
      </c>
      <c r="AF79" s="1126">
        <f>AF52-AF77</f>
        <v>3341242672.1879716</v>
      </c>
      <c r="AG79" s="1126">
        <f>AG52-AG77</f>
        <v>2509158824.6398802</v>
      </c>
      <c r="AH79" s="1126">
        <f>AH52-AH77</f>
        <v>2391913507.4916844</v>
      </c>
      <c r="AI79" s="1074"/>
      <c r="AM79" s="1126">
        <f>AM52-AM77</f>
        <v>8242315004.3195381</v>
      </c>
      <c r="AN79" s="1126">
        <f>AN52-AN77</f>
        <v>3341242672.1879716</v>
      </c>
      <c r="AO79" s="1126">
        <f>AO52-AO77</f>
        <v>2509158824.6398802</v>
      </c>
      <c r="AP79" s="1126">
        <f>AP52-AP77</f>
        <v>2391913507.4916844</v>
      </c>
      <c r="AQ79" s="1074"/>
      <c r="AU79" s="1126">
        <f>AU52-AU77</f>
        <v>8242315004.3195381</v>
      </c>
      <c r="AV79" s="1126">
        <f>AV52-AV77</f>
        <v>3341242672.1879716</v>
      </c>
      <c r="AW79" s="1126">
        <f>AW52-AW77</f>
        <v>2509158824.6398802</v>
      </c>
      <c r="AX79" s="1126">
        <f>AX52-AX77</f>
        <v>2391913507.4916844</v>
      </c>
      <c r="AY79" s="1074"/>
      <c r="BC79" s="1126">
        <f>BC52-BC77</f>
        <v>8242315004.3195381</v>
      </c>
      <c r="BD79" s="1126">
        <f>BD52-BD77</f>
        <v>3341242672.1879716</v>
      </c>
      <c r="BE79" s="1126">
        <f>BE52-BE77</f>
        <v>2509158824.6398802</v>
      </c>
      <c r="BF79" s="1126">
        <f>BF52-BF77</f>
        <v>2391913507.4916844</v>
      </c>
      <c r="BG79" s="1074"/>
      <c r="BK79" s="1126">
        <f>BK52-BK77</f>
        <v>8242315004.3195381</v>
      </c>
      <c r="BL79" s="1126">
        <f>BL52-BL77</f>
        <v>3341242672.1879716</v>
      </c>
      <c r="BM79" s="1126">
        <f>BM52-BM77</f>
        <v>2509158824.6398802</v>
      </c>
      <c r="BN79" s="1126">
        <f>BN52-BN77</f>
        <v>2391913507.4916844</v>
      </c>
      <c r="BO79" s="1074"/>
      <c r="BS79" s="1126">
        <f>BS52-BS77</f>
        <v>8242315004.3195381</v>
      </c>
      <c r="BT79" s="1126">
        <f>BT52-BT77</f>
        <v>3341242672.1879716</v>
      </c>
      <c r="BU79" s="1126">
        <f>BU52-BU77</f>
        <v>2509158824.6398802</v>
      </c>
      <c r="BV79" s="1126">
        <f>BV52-BV77</f>
        <v>2391913507.4916844</v>
      </c>
      <c r="BW79" s="1074"/>
      <c r="CA79" s="1126">
        <f>CA52-CA77</f>
        <v>8242315004.3195381</v>
      </c>
      <c r="CB79" s="1126">
        <f>CB52-CB77</f>
        <v>3341242672.1879716</v>
      </c>
      <c r="CC79" s="1126">
        <f>CC52-CC77</f>
        <v>2509158824.6398802</v>
      </c>
      <c r="CD79" s="1126">
        <f>CD52-CD77</f>
        <v>2391913507.4916844</v>
      </c>
      <c r="CE79" s="1074"/>
      <c r="CI79" s="1126">
        <f>CI52-CI77</f>
        <v>8242315004.3195381</v>
      </c>
      <c r="CJ79" s="1126">
        <f>CJ52-CJ77</f>
        <v>3341242672.1879716</v>
      </c>
      <c r="CK79" s="1126">
        <f>CK52-CK77</f>
        <v>2509158824.6398802</v>
      </c>
      <c r="CL79" s="1126">
        <f>CL52-CL77</f>
        <v>2391913507.4916844</v>
      </c>
      <c r="CM79" s="1074"/>
      <c r="CQ79" s="1126">
        <f>CQ52-CQ77</f>
        <v>8242315004.3195381</v>
      </c>
      <c r="CR79" s="1126">
        <f>CR52-CR77</f>
        <v>3341242672.1879716</v>
      </c>
      <c r="CS79" s="1126">
        <f>CS52-CS77</f>
        <v>2509158824.6398802</v>
      </c>
      <c r="CT79" s="1126">
        <f>CT52-CT77</f>
        <v>2391913507.4916844</v>
      </c>
      <c r="CU79" s="1074"/>
      <c r="CY79" s="1126">
        <f>CY52-CY77</f>
        <v>8242315004.3195381</v>
      </c>
      <c r="CZ79" s="1126">
        <f>CZ52-CZ77</f>
        <v>3341242672.1879716</v>
      </c>
      <c r="DA79" s="1126">
        <f>DA52-DA77</f>
        <v>2509158824.6398802</v>
      </c>
      <c r="DB79" s="1126">
        <f>DB52-DB77</f>
        <v>2391913507.4916844</v>
      </c>
      <c r="DC79" s="1074"/>
      <c r="DG79" s="1126">
        <f>DG52-DG77</f>
        <v>8242315004.3195381</v>
      </c>
      <c r="DH79" s="1126">
        <f>DH52-DH77</f>
        <v>3341242672.1879716</v>
      </c>
      <c r="DI79" s="1126">
        <f>DI52-DI77</f>
        <v>2509158824.6398802</v>
      </c>
      <c r="DJ79" s="1126">
        <f>DJ52-DJ77</f>
        <v>2391913507.4916844</v>
      </c>
      <c r="DK79" s="1074"/>
      <c r="DO79" s="1126">
        <f>DO52-DO77</f>
        <v>8242315004.3195381</v>
      </c>
      <c r="DP79" s="1126">
        <f>DP52-DP77</f>
        <v>3341242672.1879716</v>
      </c>
      <c r="DQ79" s="1126">
        <f>DQ52-DQ77</f>
        <v>2509158824.6398802</v>
      </c>
      <c r="DR79" s="1126">
        <f>DR52-DR77</f>
        <v>2391913507.4916844</v>
      </c>
      <c r="DS79" s="1074"/>
      <c r="DW79" s="1126">
        <f>DW52-DW77</f>
        <v>8242315004.3195381</v>
      </c>
      <c r="DX79" s="1126">
        <f>DX52-DX77</f>
        <v>3341242672.1879716</v>
      </c>
      <c r="DY79" s="1126">
        <f>DY52-DY77</f>
        <v>2509158824.6398802</v>
      </c>
      <c r="DZ79" s="1126">
        <f>DZ52-DZ77</f>
        <v>2391913507.4916844</v>
      </c>
      <c r="EA79" s="1074"/>
      <c r="EE79" s="1126">
        <f>EE52-EE77</f>
        <v>8242315004.3195381</v>
      </c>
      <c r="EF79" s="1126">
        <f>EF52-EF77</f>
        <v>3341242672.1879716</v>
      </c>
      <c r="EG79" s="1126">
        <f>EG52-EG77</f>
        <v>2509158824.6398802</v>
      </c>
      <c r="EH79" s="1126">
        <f>EH52-EH77</f>
        <v>2391913507.4916844</v>
      </c>
      <c r="EI79" s="1074"/>
      <c r="EM79" s="1126">
        <f>EM52-EM77</f>
        <v>8242315004.3195381</v>
      </c>
      <c r="EN79" s="1126">
        <f>EN52-EN77</f>
        <v>3341242672.1879716</v>
      </c>
      <c r="EO79" s="1126">
        <f>EO52-EO77</f>
        <v>2509158824.6398802</v>
      </c>
      <c r="EP79" s="1126">
        <f>EP52-EP77</f>
        <v>2391913507.4916844</v>
      </c>
      <c r="EQ79" s="1074"/>
      <c r="EU79" s="1126">
        <f>EU52-EU77</f>
        <v>8242315004.3195381</v>
      </c>
      <c r="EV79" s="1126">
        <f>EV52-EV77</f>
        <v>3341242672.1879716</v>
      </c>
      <c r="EW79" s="1126">
        <f>EW52-EW77</f>
        <v>2509158824.6398802</v>
      </c>
      <c r="EX79" s="1126">
        <f>EX52-EX77</f>
        <v>2391913507.4916844</v>
      </c>
      <c r="EY79" s="1074"/>
      <c r="FC79" s="1126">
        <f>FC52-FC77</f>
        <v>8242315004.3195381</v>
      </c>
      <c r="FD79" s="1126">
        <f>FD52-FD77</f>
        <v>3341242672.1879716</v>
      </c>
      <c r="FE79" s="1126">
        <f>FE52-FE77</f>
        <v>2509158824.6398802</v>
      </c>
      <c r="FF79" s="1126">
        <f>FF52-FF77</f>
        <v>2391913507.4916844</v>
      </c>
      <c r="FG79" s="1074"/>
      <c r="FK79" s="1126">
        <f>FK52-FK77</f>
        <v>8242315004.3195381</v>
      </c>
      <c r="FL79" s="1126">
        <f>FL52-FL77</f>
        <v>3341242672.1879716</v>
      </c>
      <c r="FM79" s="1126">
        <f>FM52-FM77</f>
        <v>2509158824.6398802</v>
      </c>
      <c r="FN79" s="1126">
        <f>FN52-FN77</f>
        <v>2391913507.4916844</v>
      </c>
      <c r="FO79" s="1074"/>
    </row>
    <row r="80" spans="1:171" x14ac:dyDescent="0.25">
      <c r="A80" s="1356" t="s">
        <v>84</v>
      </c>
      <c r="B80" s="64"/>
      <c r="C80" s="55"/>
      <c r="D80" s="55"/>
      <c r="J80" s="1412"/>
      <c r="K80" s="904"/>
      <c r="O80" s="1080"/>
      <c r="P80" s="1080"/>
      <c r="Q80" s="1080"/>
      <c r="R80" s="1080"/>
      <c r="S80" s="1074"/>
      <c r="W80" s="1080"/>
      <c r="X80" s="1080"/>
      <c r="Y80" s="1080"/>
      <c r="Z80" s="1080"/>
      <c r="AA80" s="1074"/>
      <c r="AE80" s="1080"/>
      <c r="AF80" s="1080"/>
      <c r="AG80" s="1080"/>
      <c r="AH80" s="1080"/>
      <c r="AI80" s="1074"/>
      <c r="AM80" s="1080"/>
      <c r="AN80" s="1080"/>
      <c r="AO80" s="1080"/>
      <c r="AP80" s="1080"/>
      <c r="AQ80" s="1074"/>
      <c r="AU80" s="1080"/>
      <c r="AV80" s="1080"/>
      <c r="AW80" s="1080"/>
      <c r="AX80" s="1080"/>
      <c r="AY80" s="1074"/>
      <c r="BC80" s="1080"/>
      <c r="BD80" s="1080"/>
      <c r="BE80" s="1080"/>
      <c r="BF80" s="1080"/>
      <c r="BG80" s="1074"/>
      <c r="BK80" s="1080"/>
      <c r="BL80" s="1080"/>
      <c r="BM80" s="1080"/>
      <c r="BN80" s="1080"/>
      <c r="BO80" s="1074"/>
      <c r="BS80" s="1080"/>
      <c r="BT80" s="1080"/>
      <c r="BU80" s="1080"/>
      <c r="BV80" s="1080"/>
      <c r="BW80" s="1074"/>
      <c r="CA80" s="1080"/>
      <c r="CB80" s="1080"/>
      <c r="CC80" s="1080"/>
      <c r="CD80" s="1080"/>
      <c r="CE80" s="1074"/>
      <c r="CI80" s="1080"/>
      <c r="CJ80" s="1080"/>
      <c r="CK80" s="1080"/>
      <c r="CL80" s="1080"/>
      <c r="CM80" s="1074"/>
      <c r="CQ80" s="1080"/>
      <c r="CR80" s="1080"/>
      <c r="CS80" s="1080"/>
      <c r="CT80" s="1080"/>
      <c r="CU80" s="1074"/>
      <c r="CY80" s="1080"/>
      <c r="CZ80" s="1080"/>
      <c r="DA80" s="1080"/>
      <c r="DB80" s="1080"/>
      <c r="DC80" s="1074"/>
      <c r="DG80" s="1080"/>
      <c r="DH80" s="1080"/>
      <c r="DI80" s="1080"/>
      <c r="DJ80" s="1080"/>
      <c r="DK80" s="1074"/>
      <c r="DO80" s="1080"/>
      <c r="DP80" s="1080"/>
      <c r="DQ80" s="1080"/>
      <c r="DR80" s="1080"/>
      <c r="DS80" s="1074"/>
      <c r="DW80" s="1080"/>
      <c r="DX80" s="1080"/>
      <c r="DY80" s="1080"/>
      <c r="DZ80" s="1080"/>
      <c r="EA80" s="1074"/>
      <c r="EE80" s="1080"/>
      <c r="EF80" s="1080"/>
      <c r="EG80" s="1080"/>
      <c r="EH80" s="1080"/>
      <c r="EI80" s="1074"/>
      <c r="EM80" s="1080"/>
      <c r="EN80" s="1080"/>
      <c r="EO80" s="1080"/>
      <c r="EP80" s="1080"/>
      <c r="EQ80" s="1074"/>
      <c r="EU80" s="1080"/>
      <c r="EV80" s="1080"/>
      <c r="EW80" s="1080"/>
      <c r="EX80" s="1080"/>
      <c r="EY80" s="1074"/>
      <c r="FC80" s="1080"/>
      <c r="FD80" s="1080"/>
      <c r="FE80" s="1080"/>
      <c r="FF80" s="1080"/>
      <c r="FG80" s="1074"/>
      <c r="FK80" s="1080"/>
      <c r="FL80" s="1080"/>
      <c r="FM80" s="1080"/>
      <c r="FN80" s="1080"/>
      <c r="FO80" s="1074"/>
    </row>
    <row r="81" spans="1:171" ht="16.5" thickBot="1" x14ac:dyDescent="0.3">
      <c r="A81" s="1432"/>
      <c r="B81" s="932"/>
      <c r="C81" s="933"/>
      <c r="D81" s="933"/>
      <c r="E81" s="934"/>
      <c r="F81" s="934"/>
      <c r="G81" s="935"/>
      <c r="H81" s="935"/>
      <c r="I81" s="935"/>
      <c r="J81" s="1433"/>
      <c r="K81" s="904"/>
      <c r="O81" s="1080"/>
      <c r="P81" s="1080"/>
      <c r="Q81" s="1080"/>
      <c r="R81" s="1080"/>
      <c r="S81" s="1074"/>
      <c r="W81" s="1080"/>
      <c r="X81" s="1080"/>
      <c r="Y81" s="1080"/>
      <c r="Z81" s="1080"/>
      <c r="AA81" s="1074"/>
      <c r="AE81" s="1080"/>
      <c r="AF81" s="1080"/>
      <c r="AG81" s="1080"/>
      <c r="AH81" s="1080"/>
      <c r="AI81" s="1074"/>
      <c r="AM81" s="1080"/>
      <c r="AN81" s="1080"/>
      <c r="AO81" s="1080"/>
      <c r="AP81" s="1080"/>
      <c r="AQ81" s="1074"/>
      <c r="AU81" s="1080"/>
      <c r="AV81" s="1080"/>
      <c r="AW81" s="1080"/>
      <c r="AX81" s="1080"/>
      <c r="AY81" s="1074"/>
      <c r="BC81" s="1080"/>
      <c r="BD81" s="1080"/>
      <c r="BE81" s="1080"/>
      <c r="BF81" s="1080"/>
      <c r="BG81" s="1074"/>
      <c r="BK81" s="1080"/>
      <c r="BL81" s="1080"/>
      <c r="BM81" s="1080"/>
      <c r="BN81" s="1080"/>
      <c r="BO81" s="1074"/>
      <c r="BS81" s="1080"/>
      <c r="BT81" s="1080"/>
      <c r="BU81" s="1080"/>
      <c r="BV81" s="1080"/>
      <c r="BW81" s="1074"/>
      <c r="CA81" s="1080"/>
      <c r="CB81" s="1080"/>
      <c r="CC81" s="1080"/>
      <c r="CD81" s="1080"/>
      <c r="CE81" s="1074"/>
      <c r="CI81" s="1080"/>
      <c r="CJ81" s="1080"/>
      <c r="CK81" s="1080"/>
      <c r="CL81" s="1080"/>
      <c r="CM81" s="1074"/>
      <c r="CQ81" s="1080"/>
      <c r="CR81" s="1080"/>
      <c r="CS81" s="1080"/>
      <c r="CT81" s="1080"/>
      <c r="CU81" s="1074"/>
      <c r="CY81" s="1080"/>
      <c r="CZ81" s="1080"/>
      <c r="DA81" s="1080"/>
      <c r="DB81" s="1080"/>
      <c r="DC81" s="1074"/>
      <c r="DG81" s="1080"/>
      <c r="DH81" s="1080"/>
      <c r="DI81" s="1080"/>
      <c r="DJ81" s="1080"/>
      <c r="DK81" s="1074"/>
      <c r="DO81" s="1080"/>
      <c r="DP81" s="1080"/>
      <c r="DQ81" s="1080"/>
      <c r="DR81" s="1080"/>
      <c r="DS81" s="1074"/>
      <c r="DW81" s="1080"/>
      <c r="DX81" s="1080"/>
      <c r="DY81" s="1080"/>
      <c r="DZ81" s="1080"/>
      <c r="EA81" s="1074"/>
      <c r="EE81" s="1080"/>
      <c r="EF81" s="1080"/>
      <c r="EG81" s="1080"/>
      <c r="EH81" s="1080"/>
      <c r="EI81" s="1074"/>
      <c r="EM81" s="1080"/>
      <c r="EN81" s="1080"/>
      <c r="EO81" s="1080"/>
      <c r="EP81" s="1080"/>
      <c r="EQ81" s="1074"/>
      <c r="EU81" s="1080"/>
      <c r="EV81" s="1080"/>
      <c r="EW81" s="1080"/>
      <c r="EX81" s="1080"/>
      <c r="EY81" s="1074"/>
      <c r="FC81" s="1080"/>
      <c r="FD81" s="1080"/>
      <c r="FE81" s="1080"/>
      <c r="FF81" s="1080"/>
      <c r="FG81" s="1074"/>
      <c r="FK81" s="1080"/>
      <c r="FL81" s="1080"/>
      <c r="FM81" s="1080"/>
      <c r="FN81" s="1080"/>
      <c r="FO81" s="1074"/>
    </row>
    <row r="82" spans="1:171" ht="16.5" thickTop="1" x14ac:dyDescent="0.25">
      <c r="A82" s="1361" t="s">
        <v>76</v>
      </c>
      <c r="B82" s="64"/>
      <c r="C82" s="55"/>
      <c r="D82" s="55"/>
      <c r="E82" s="930"/>
      <c r="F82" s="930"/>
      <c r="G82" s="911"/>
      <c r="H82" s="911"/>
      <c r="I82" s="911"/>
      <c r="J82" s="1426"/>
      <c r="K82" s="904"/>
      <c r="O82" s="1080"/>
      <c r="P82" s="1080"/>
      <c r="Q82" s="1080"/>
      <c r="R82" s="1080"/>
      <c r="S82" s="1074"/>
      <c r="W82" s="1080"/>
      <c r="X82" s="1080"/>
      <c r="Y82" s="1080"/>
      <c r="Z82" s="1080"/>
      <c r="AA82" s="1074"/>
      <c r="AE82" s="1080"/>
      <c r="AF82" s="1080"/>
      <c r="AG82" s="1080"/>
      <c r="AH82" s="1080"/>
      <c r="AI82" s="1074"/>
      <c r="AM82" s="1080"/>
      <c r="AN82" s="1080"/>
      <c r="AO82" s="1080"/>
      <c r="AP82" s="1080"/>
      <c r="AQ82" s="1074"/>
      <c r="AU82" s="1080"/>
      <c r="AV82" s="1080"/>
      <c r="AW82" s="1080"/>
      <c r="AX82" s="1080"/>
      <c r="AY82" s="1074"/>
      <c r="BC82" s="1080"/>
      <c r="BD82" s="1080"/>
      <c r="BE82" s="1080"/>
      <c r="BF82" s="1080"/>
      <c r="BG82" s="1074"/>
      <c r="BK82" s="1080"/>
      <c r="BL82" s="1080"/>
      <c r="BM82" s="1080"/>
      <c r="BN82" s="1080"/>
      <c r="BO82" s="1074"/>
      <c r="BS82" s="1080"/>
      <c r="BT82" s="1080"/>
      <c r="BU82" s="1080"/>
      <c r="BV82" s="1080"/>
      <c r="BW82" s="1074"/>
      <c r="CA82" s="1080"/>
      <c r="CB82" s="1080"/>
      <c r="CC82" s="1080"/>
      <c r="CD82" s="1080"/>
      <c r="CE82" s="1074"/>
      <c r="CI82" s="1080"/>
      <c r="CJ82" s="1080"/>
      <c r="CK82" s="1080"/>
      <c r="CL82" s="1080"/>
      <c r="CM82" s="1074"/>
      <c r="CQ82" s="1080"/>
      <c r="CR82" s="1080"/>
      <c r="CS82" s="1080"/>
      <c r="CT82" s="1080"/>
      <c r="CU82" s="1074"/>
      <c r="CY82" s="1080"/>
      <c r="CZ82" s="1080"/>
      <c r="DA82" s="1080"/>
      <c r="DB82" s="1080"/>
      <c r="DC82" s="1074"/>
      <c r="DG82" s="1080"/>
      <c r="DH82" s="1080"/>
      <c r="DI82" s="1080"/>
      <c r="DJ82" s="1080"/>
      <c r="DK82" s="1074"/>
      <c r="DO82" s="1080"/>
      <c r="DP82" s="1080"/>
      <c r="DQ82" s="1080"/>
      <c r="DR82" s="1080"/>
      <c r="DS82" s="1074"/>
      <c r="DW82" s="1080"/>
      <c r="DX82" s="1080"/>
      <c r="DY82" s="1080"/>
      <c r="DZ82" s="1080"/>
      <c r="EA82" s="1074"/>
      <c r="EE82" s="1080"/>
      <c r="EF82" s="1080"/>
      <c r="EG82" s="1080"/>
      <c r="EH82" s="1080"/>
      <c r="EI82" s="1074"/>
      <c r="EM82" s="1080"/>
      <c r="EN82" s="1080"/>
      <c r="EO82" s="1080"/>
      <c r="EP82" s="1080"/>
      <c r="EQ82" s="1074"/>
      <c r="EU82" s="1080"/>
      <c r="EV82" s="1080"/>
      <c r="EW82" s="1080"/>
      <c r="EX82" s="1080"/>
      <c r="EY82" s="1074"/>
      <c r="FC82" s="1080"/>
      <c r="FD82" s="1080"/>
      <c r="FE82" s="1080"/>
      <c r="FF82" s="1080"/>
      <c r="FG82" s="1074"/>
      <c r="FK82" s="1080"/>
      <c r="FL82" s="1080"/>
      <c r="FM82" s="1080"/>
      <c r="FN82" s="1080"/>
      <c r="FO82" s="1074"/>
    </row>
    <row r="83" spans="1:171" x14ac:dyDescent="0.25">
      <c r="A83" s="1361"/>
      <c r="B83" s="64"/>
      <c r="C83" s="55"/>
      <c r="D83" s="55"/>
      <c r="E83" s="930"/>
      <c r="F83" s="930"/>
      <c r="G83" s="886"/>
      <c r="H83" s="886"/>
      <c r="I83" s="886"/>
      <c r="J83" s="1434"/>
      <c r="K83" s="904"/>
      <c r="O83" s="1080"/>
      <c r="P83" s="1080"/>
      <c r="Q83" s="1080"/>
      <c r="R83" s="1080"/>
      <c r="S83" s="1074"/>
      <c r="W83" s="1080"/>
      <c r="X83" s="1080"/>
      <c r="Y83" s="1080"/>
      <c r="Z83" s="1080"/>
      <c r="AA83" s="1074"/>
      <c r="AE83" s="1080"/>
      <c r="AF83" s="1080"/>
      <c r="AG83" s="1080"/>
      <c r="AH83" s="1080"/>
      <c r="AI83" s="1074"/>
      <c r="AM83" s="1080"/>
      <c r="AN83" s="1080"/>
      <c r="AO83" s="1080"/>
      <c r="AP83" s="1080"/>
      <c r="AQ83" s="1074"/>
      <c r="AU83" s="1080"/>
      <c r="AV83" s="1080"/>
      <c r="AW83" s="1080"/>
      <c r="AX83" s="1080"/>
      <c r="AY83" s="1074"/>
      <c r="BC83" s="1080"/>
      <c r="BD83" s="1080"/>
      <c r="BE83" s="1080"/>
      <c r="BF83" s="1080"/>
      <c r="BG83" s="1074"/>
      <c r="BK83" s="1080"/>
      <c r="BL83" s="1080"/>
      <c r="BM83" s="1080"/>
      <c r="BN83" s="1080"/>
      <c r="BO83" s="1074"/>
      <c r="BS83" s="1080"/>
      <c r="BT83" s="1080"/>
      <c r="BU83" s="1080"/>
      <c r="BV83" s="1080"/>
      <c r="BW83" s="1074"/>
      <c r="CA83" s="1080"/>
      <c r="CB83" s="1080"/>
      <c r="CC83" s="1080"/>
      <c r="CD83" s="1080"/>
      <c r="CE83" s="1074"/>
      <c r="CI83" s="1080"/>
      <c r="CJ83" s="1080"/>
      <c r="CK83" s="1080"/>
      <c r="CL83" s="1080"/>
      <c r="CM83" s="1074"/>
      <c r="CQ83" s="1080"/>
      <c r="CR83" s="1080"/>
      <c r="CS83" s="1080"/>
      <c r="CT83" s="1080"/>
      <c r="CU83" s="1074"/>
      <c r="CY83" s="1080"/>
      <c r="CZ83" s="1080"/>
      <c r="DA83" s="1080"/>
      <c r="DB83" s="1080"/>
      <c r="DC83" s="1074"/>
      <c r="DG83" s="1080"/>
      <c r="DH83" s="1080"/>
      <c r="DI83" s="1080"/>
      <c r="DJ83" s="1080"/>
      <c r="DK83" s="1074"/>
      <c r="DO83" s="1080"/>
      <c r="DP83" s="1080"/>
      <c r="DQ83" s="1080"/>
      <c r="DR83" s="1080"/>
      <c r="DS83" s="1074"/>
      <c r="DW83" s="1080"/>
      <c r="DX83" s="1080"/>
      <c r="DY83" s="1080"/>
      <c r="DZ83" s="1080"/>
      <c r="EA83" s="1074"/>
      <c r="EE83" s="1080"/>
      <c r="EF83" s="1080"/>
      <c r="EG83" s="1080"/>
      <c r="EH83" s="1080"/>
      <c r="EI83" s="1074"/>
      <c r="EM83" s="1080"/>
      <c r="EN83" s="1080"/>
      <c r="EO83" s="1080"/>
      <c r="EP83" s="1080"/>
      <c r="EQ83" s="1074"/>
      <c r="EU83" s="1080"/>
      <c r="EV83" s="1080"/>
      <c r="EW83" s="1080"/>
      <c r="EX83" s="1080"/>
      <c r="EY83" s="1074"/>
      <c r="FC83" s="1080"/>
      <c r="FD83" s="1080"/>
      <c r="FE83" s="1080"/>
      <c r="FF83" s="1080"/>
      <c r="FG83" s="1074"/>
      <c r="FK83" s="1080"/>
      <c r="FL83" s="1080"/>
      <c r="FM83" s="1080"/>
      <c r="FN83" s="1080"/>
      <c r="FO83" s="1074"/>
    </row>
    <row r="84" spans="1:171" x14ac:dyDescent="0.25">
      <c r="A84" s="1363" t="s">
        <v>144</v>
      </c>
      <c r="B84" s="938"/>
      <c r="C84" s="889" t="s">
        <v>621</v>
      </c>
      <c r="D84" s="889"/>
      <c r="E84" s="182">
        <f>'Sch 1- Rate Base '!E84</f>
        <v>0</v>
      </c>
      <c r="F84" s="890"/>
      <c r="G84" s="182">
        <f>'Sch 1- Rate Base '!G84</f>
        <v>181575345.50577956</v>
      </c>
      <c r="H84" s="182">
        <f>'Sch 1- Rate Base '!H84</f>
        <v>79592024.492308259</v>
      </c>
      <c r="I84" s="182">
        <f>'Sch 1- Rate Base '!I84</f>
        <v>23892855.711776573</v>
      </c>
      <c r="J84" s="1422">
        <f>'Sch 1- Rate Base '!J84</f>
        <v>78090465.301694751</v>
      </c>
      <c r="K84" s="904"/>
      <c r="O84" s="1127">
        <f>(O196+O202+O207+O215+O235-(O176+O180+O187+O191+O194+O195+$G$85))/8</f>
        <v>181575345.50577956</v>
      </c>
      <c r="P84" s="1127">
        <f>(P196+P202+P207+P215+P235-(P176+P180+P187+P191+P194+P195+$H$85))/8</f>
        <v>87836042.04533717</v>
      </c>
      <c r="Q84" s="1127">
        <f>(Q196+Q202+Q207+Q215+Q235-(Q176+Q180+Q187+Q191+Q194+Q195))/8</f>
        <v>6918146.4432932949</v>
      </c>
      <c r="R84" s="1127">
        <f>(R196+R202+R207+R215+R235-(R176+R180+R187+R191+R194+R195))/8</f>
        <v>86821157.017149121</v>
      </c>
      <c r="S84" s="1074"/>
      <c r="W84" s="1127">
        <f>(W196+W202+W207+W215+W235-(W176+W180+W187+W191+W194+W195+$G$85))/8</f>
        <v>181575345.50577956</v>
      </c>
      <c r="X84" s="1127">
        <f>(X196+X202+X207+X215+X235-(X176+X180+X187+X191+X194+X195+$H$85))/8</f>
        <v>87836042.04533717</v>
      </c>
      <c r="Y84" s="1127">
        <f>(Y196+Y202+Y207+Y215+Y235-(Y176+Y180+Y187+Y191+Y194+Y195))/8</f>
        <v>6918146.4432932949</v>
      </c>
      <c r="Z84" s="1127">
        <f>(Z196+Z202+Z207+Z215+Z235-(Z176+Z180+Z187+Z191+Z194+Z195))/8</f>
        <v>86821157.017149121</v>
      </c>
      <c r="AA84" s="1074"/>
      <c r="AE84" s="1127">
        <f>(AE196+AE202+AE207+AE215+AE235-(AE176+AE180+AE187+AE191+AE194+AE195+$G$85))/8</f>
        <v>181575345.50577956</v>
      </c>
      <c r="AF84" s="1127">
        <f>(AF196+AF202+AF207+AF215+AF235-(AF176+AF180+AF187+AF191+AF194+AF195+$H$85))/8</f>
        <v>87836042.04533717</v>
      </c>
      <c r="AG84" s="1127">
        <f>(AG196+AG202+AG207+AG215+AG235-(AG176+AG180+AG187+AG191+AG194+AG195))/8</f>
        <v>6918146.4432932949</v>
      </c>
      <c r="AH84" s="1127">
        <f>(AH196+AH202+AH207+AH215+AH235-(AH176+AH180+AH187+AH191+AH194+AH195))/8</f>
        <v>86821157.017149121</v>
      </c>
      <c r="AI84" s="1074"/>
      <c r="AM84" s="1127">
        <f>(AM196+AM202+AM207+AM215+AM235-(AM176+AM180+AM187+AM191+AM194+AM195+$G$85))/8</f>
        <v>181575345.50577956</v>
      </c>
      <c r="AN84" s="1127">
        <f>(AN196+AN202+AN207+AN215+AN235-(AN176+AN180+AN187+AN191+AN194+AN195+$H$85))/8</f>
        <v>87836042.04533717</v>
      </c>
      <c r="AO84" s="1127">
        <f>(AO196+AO202+AO207+AO215+AO235-(AO176+AO180+AO187+AO191+AO194+AO195))/8</f>
        <v>6918146.4432932949</v>
      </c>
      <c r="AP84" s="1127">
        <f>(AP196+AP202+AP207+AP215+AP235-(AP176+AP180+AP187+AP191+AP194+AP195))/8</f>
        <v>86821157.017149121</v>
      </c>
      <c r="AQ84" s="1074"/>
      <c r="AU84" s="1127">
        <f>(AU196+AU202+AU207+AU215+AU235-(AU176+AU180+AU187+AU191+AU194+AU195+$G$85))/8</f>
        <v>181575345.50577956</v>
      </c>
      <c r="AV84" s="1127">
        <f>(AV196+AV202+AV207+AV215+AV235-(AV176+AV180+AV187+AV191+AV194+AV195+$H$85))/8</f>
        <v>87836042.04533717</v>
      </c>
      <c r="AW84" s="1127">
        <f>(AW196+AW202+AW207+AW215+AW235-(AW176+AW180+AW187+AW191+AW194+AW195))/8</f>
        <v>6918146.4432932949</v>
      </c>
      <c r="AX84" s="1127">
        <f>(AX196+AX202+AX207+AX215+AX235-(AX176+AX180+AX187+AX191+AX194+AX195))/8</f>
        <v>86821157.017149121</v>
      </c>
      <c r="AY84" s="1074"/>
      <c r="BC84" s="1127">
        <f>(BC196+BC202+BC207+BC215+BC235-(BC176+BC180+BC187+BC191+BC194+BC195+$G$85))/8</f>
        <v>181575345.50577956</v>
      </c>
      <c r="BD84" s="1127">
        <f>(BD196+BD202+BD207+BD215+BD235-(BD176+BD180+BD187+BD191+BD194+BD195+$H$85))/8</f>
        <v>87836042.04533717</v>
      </c>
      <c r="BE84" s="1127">
        <f>(BE196+BE202+BE207+BE215+BE235-(BE176+BE180+BE187+BE191+BE194+BE195))/8</f>
        <v>6918146.4432932949</v>
      </c>
      <c r="BF84" s="1127">
        <f>(BF196+BF202+BF207+BF215+BF235-(BF176+BF180+BF187+BF191+BF194+BF195))/8</f>
        <v>86821157.017149121</v>
      </c>
      <c r="BG84" s="1074"/>
      <c r="BK84" s="1127">
        <f>(BK196+BK202+BK207+BK215+BK235-(BK176+BK180+BK187+BK191+BK194+BK195+$G$85))/8</f>
        <v>181575345.50577956</v>
      </c>
      <c r="BL84" s="1127">
        <f>(BL196+BL202+BL207+BL215+BL235-(BL176+BL180+BL187+BL191+BL194+BL195+$H$85))/8</f>
        <v>87836042.04533717</v>
      </c>
      <c r="BM84" s="1127">
        <f>(BM196+BM202+BM207+BM215+BM235-(BM176+BM180+BM187+BM191+BM194+BM195))/8</f>
        <v>6918146.4432932949</v>
      </c>
      <c r="BN84" s="1127">
        <f>(BN196+BN202+BN207+BN215+BN235-(BN176+BN180+BN187+BN191+BN194+BN195))/8</f>
        <v>86821157.017149121</v>
      </c>
      <c r="BO84" s="1074"/>
      <c r="BS84" s="1127">
        <f>(BS196+BS202+BS207+BS215+BS235-(BS176+BS180+BS187+BS191+BS194+BS195+$G$85))/8</f>
        <v>181575345.50577956</v>
      </c>
      <c r="BT84" s="1127">
        <f>(BT196+BT202+BT207+BT215+BT235-(BT176+BT180+BT187+BT191+BT194+BT195+$H$85))/8</f>
        <v>87836042.04533717</v>
      </c>
      <c r="BU84" s="1127">
        <f>(BU196+BU202+BU207+BU215+BU235-(BU176+BU180+BU187+BU191+BU194+BU195))/8</f>
        <v>6918146.4432932949</v>
      </c>
      <c r="BV84" s="1127">
        <f>(BV196+BV202+BV207+BV215+BV235-(BV176+BV180+BV187+BV191+BV194+BV195))/8</f>
        <v>86821157.017149121</v>
      </c>
      <c r="BW84" s="1074"/>
      <c r="CA84" s="1127">
        <f>(CA196+CA202+CA207+CA215+CA235-(CA176+CA180+CA187+CA191+CA194+CA195+$G$85))/8</f>
        <v>181575345.50577956</v>
      </c>
      <c r="CB84" s="1127">
        <f>(CB196+CB202+CB207+CB215+CB235-(CB176+CB180+CB187+CB191+CB194+CB195+$H$85))/8</f>
        <v>87836042.04533717</v>
      </c>
      <c r="CC84" s="1127">
        <f>(CC196+CC202+CC207+CC215+CC235-(CC176+CC180+CC187+CC191+CC194+CC195))/8</f>
        <v>6918146.4432932949</v>
      </c>
      <c r="CD84" s="1127">
        <f>(CD196+CD202+CD207+CD215+CD235-(CD176+CD180+CD187+CD191+CD194+CD195))/8</f>
        <v>86821157.017149121</v>
      </c>
      <c r="CE84" s="1074"/>
      <c r="CI84" s="1127">
        <f>(CI196+CI202+CI207+CI215+CI235-(CI176+CI180+CI187+CI191+CI194+CI195+$G$85))/8</f>
        <v>181575345.50577956</v>
      </c>
      <c r="CJ84" s="1127">
        <f>(CJ196+CJ202+CJ207+CJ215+CJ235-(CJ176+CJ180+CJ187+CJ191+CJ194+CJ195+$H$85))/8</f>
        <v>87836042.04533717</v>
      </c>
      <c r="CK84" s="1127">
        <f>(CK196+CK202+CK207+CK215+CK235-(CK176+CK180+CK187+CK191+CK194+CK195))/8</f>
        <v>6918146.4432932949</v>
      </c>
      <c r="CL84" s="1127">
        <f>(CL196+CL202+CL207+CL215+CL235-(CL176+CL180+CL187+CL191+CL194+CL195))/8</f>
        <v>86821157.017149121</v>
      </c>
      <c r="CM84" s="1074"/>
      <c r="CQ84" s="1127">
        <f>(CQ196+CQ202+CQ207+CQ215+CQ235-(CQ176+CQ180+CQ187+CQ191+CQ194+CQ195+$G$85))/8</f>
        <v>181575345.50577956</v>
      </c>
      <c r="CR84" s="1127">
        <f>(CR196+CR202+CR207+CR215+CR235-(CR176+CR180+CR187+CR191+CR194+CR195+$H$85))/8</f>
        <v>87836042.04533717</v>
      </c>
      <c r="CS84" s="1127">
        <f>(CS196+CS202+CS207+CS215+CS235-(CS176+CS180+CS187+CS191+CS194+CS195))/8</f>
        <v>6918146.4432932949</v>
      </c>
      <c r="CT84" s="1127">
        <f>(CT196+CT202+CT207+CT215+CT235-(CT176+CT180+CT187+CT191+CT194+CT195))/8</f>
        <v>86821157.017149121</v>
      </c>
      <c r="CU84" s="1074"/>
      <c r="CY84" s="1127">
        <f>(CY196+CY202+CY207+CY215+CY235-(CY176+CY180+CY187+CY191+CY194+CY195+$G$85))/8</f>
        <v>181575345.50577956</v>
      </c>
      <c r="CZ84" s="1127">
        <f>(CZ196+CZ202+CZ207+CZ215+CZ235-(CZ176+CZ180+CZ187+CZ191+CZ194+CZ195+$H$85))/8</f>
        <v>87836042.04533717</v>
      </c>
      <c r="DA84" s="1127">
        <f>(DA196+DA202+DA207+DA215+DA235-(DA176+DA180+DA187+DA191+DA194+DA195))/8</f>
        <v>6918146.4432932949</v>
      </c>
      <c r="DB84" s="1127">
        <f>(DB196+DB202+DB207+DB215+DB235-(DB176+DB180+DB187+DB191+DB194+DB195))/8</f>
        <v>86821157.017149121</v>
      </c>
      <c r="DC84" s="1074"/>
      <c r="DG84" s="1127">
        <f>(DG196+DG202+DG207+DG215+DG235-(DG176+DG180+DG187+DG191+DG194+DG195+$G$85))/8</f>
        <v>181575345.50577956</v>
      </c>
      <c r="DH84" s="1127">
        <f>(DH196+DH202+DH207+DH215+DH235-(DH176+DH180+DH187+DH191+DH194+DH195+$H$85))/8</f>
        <v>87836042.04533717</v>
      </c>
      <c r="DI84" s="1127">
        <f>(DI196+DI202+DI207+DI215+DI235-(DI176+DI180+DI187+DI191+DI194+DI195))/8</f>
        <v>6918146.4432932949</v>
      </c>
      <c r="DJ84" s="1127">
        <f>(DJ196+DJ202+DJ207+DJ215+DJ235-(DJ176+DJ180+DJ187+DJ191+DJ194+DJ195))/8</f>
        <v>86821157.017149121</v>
      </c>
      <c r="DK84" s="1074"/>
      <c r="DO84" s="1127">
        <f>(DO196+DO202+DO207+DO215+DO235-(DO176+DO180+DO187+DO191+DO194+DO195+$G$85))/8</f>
        <v>181575345.50577956</v>
      </c>
      <c r="DP84" s="1127">
        <f>(DP196+DP202+DP207+DP215+DP235-(DP176+DP180+DP187+DP191+DP194+DP195+$H$85))/8</f>
        <v>87836042.04533717</v>
      </c>
      <c r="DQ84" s="1127">
        <f>(DQ196+DQ202+DQ207+DQ215+DQ235-(DQ176+DQ180+DQ187+DQ191+DQ194+DQ195))/8</f>
        <v>6918146.4432932949</v>
      </c>
      <c r="DR84" s="1127">
        <f>(DR196+DR202+DR207+DR215+DR235-(DR176+DR180+DR187+DR191+DR194+DR195))/8</f>
        <v>86821157.017149121</v>
      </c>
      <c r="DS84" s="1074"/>
      <c r="DW84" s="1127">
        <f>(DW196+DW202+DW207+DW215+DW235-(DW176+DW180+DW187+DW191+DW194+DW195+$G$85))/8</f>
        <v>181575345.50577956</v>
      </c>
      <c r="DX84" s="1127">
        <f>(DX196+DX202+DX207+DX215+DX235-(DX176+DX180+DX187+DX191+DX194+DX195+$H$85))/8</f>
        <v>87836042.04533717</v>
      </c>
      <c r="DY84" s="1127">
        <f>(DY196+DY202+DY207+DY215+DY235-(DY176+DY180+DY187+DY191+DY194+DY195))/8</f>
        <v>6918146.4432932949</v>
      </c>
      <c r="DZ84" s="1127">
        <f>(DZ196+DZ202+DZ207+DZ215+DZ235-(DZ176+DZ180+DZ187+DZ191+DZ194+DZ195))/8</f>
        <v>86821157.017149121</v>
      </c>
      <c r="EA84" s="1074"/>
      <c r="EE84" s="1127">
        <f>(EE196+EE202+EE207+EE215+EE235-(EE176+EE180+EE187+EE191+EE194+EE195+$G$85))/8</f>
        <v>181575345.50577956</v>
      </c>
      <c r="EF84" s="1127">
        <f>(EF196+EF202+EF207+EF215+EF235-(EF176+EF180+EF187+EF191+EF194+EF195+$H$85))/8</f>
        <v>87836042.04533717</v>
      </c>
      <c r="EG84" s="1127">
        <f>(EG196+EG202+EG207+EG215+EG235-(EG176+EG180+EG187+EG191+EG194+EG195))/8</f>
        <v>6918146.4432932949</v>
      </c>
      <c r="EH84" s="1127">
        <f>(EH196+EH202+EH207+EH215+EH235-(EH176+EH180+EH187+EH191+EH194+EH195))/8</f>
        <v>86821157.017149121</v>
      </c>
      <c r="EI84" s="1074"/>
      <c r="EM84" s="1127">
        <f>(EM196+EM202+EM207+EM215+EM235-(EM176+EM180+EM187+EM191+EM194+EM195+$G$85))/8</f>
        <v>181575345.50577956</v>
      </c>
      <c r="EN84" s="1127">
        <f>(EN196+EN202+EN207+EN215+EN235-(EN176+EN180+EN187+EN191+EN194+EN195+$H$85))/8</f>
        <v>87836042.04533717</v>
      </c>
      <c r="EO84" s="1127">
        <f>(EO196+EO202+EO207+EO215+EO235-(EO176+EO180+EO187+EO191+EO194+EO195))/8</f>
        <v>6918146.4432932949</v>
      </c>
      <c r="EP84" s="1127">
        <f>(EP196+EP202+EP207+EP215+EP235-(EP176+EP180+EP187+EP191+EP194+EP195))/8</f>
        <v>86821157.017149121</v>
      </c>
      <c r="EQ84" s="1074"/>
      <c r="EU84" s="1127">
        <f>(EU196+EU202+EU207+EU215+EU235-(EU176+EU180+EU187+EU191+EU194+EU195+$G$85))/8</f>
        <v>181575345.50577956</v>
      </c>
      <c r="EV84" s="1127">
        <f>(EV196+EV202+EV207+EV215+EV235-(EV176+EV180+EV187+EV191+EV194+EV195+$H$85))/8</f>
        <v>87836042.04533717</v>
      </c>
      <c r="EW84" s="1127">
        <f>(EW196+EW202+EW207+EW215+EW235-(EW176+EW180+EW187+EW191+EW194+EW195))/8</f>
        <v>6918146.4432932949</v>
      </c>
      <c r="EX84" s="1127">
        <f>(EX196+EX202+EX207+EX215+EX235-(EX176+EX180+EX187+EX191+EX194+EX195))/8</f>
        <v>86821157.017149121</v>
      </c>
      <c r="EY84" s="1074"/>
      <c r="FC84" s="1127">
        <f>(FC196+FC202+FC207+FC215+FC235-(FC176+FC180+FC187+FC191+FC194+FC195+$G$85))/8</f>
        <v>181575345.50577956</v>
      </c>
      <c r="FD84" s="1127">
        <f>(FD196+FD202+FD207+FD215+FD235-(FD176+FD180+FD187+FD191+FD194+FD195+$H$85))/8</f>
        <v>87836042.04533717</v>
      </c>
      <c r="FE84" s="1127">
        <f>(FE196+FE202+FE207+FE215+FE235-(FE176+FE180+FE187+FE191+FE194+FE195))/8</f>
        <v>6918146.4432932949</v>
      </c>
      <c r="FF84" s="1127">
        <f>(FF196+FF202+FF207+FF215+FF235-(FF176+FF180+FF187+FF191+FF194+FF195))/8</f>
        <v>86821157.017149121</v>
      </c>
      <c r="FG84" s="1074"/>
      <c r="FK84" s="1127">
        <f>(FK196+FK202+FK207+FK215+FK235-(FK176+FK180+FK187+FK191+FK194+FK195+$G$85))/8</f>
        <v>181575345.50577956</v>
      </c>
      <c r="FL84" s="1127">
        <f>(FL196+FL202+FL207+FL215+FL235-(FL176+FL180+FL187+FL191+FL194+FL195+$H$85))/8</f>
        <v>87836042.04533717</v>
      </c>
      <c r="FM84" s="1127">
        <f>(FM196+FM202+FM207+FM215+FM235-(FM176+FM180+FM187+FM191+FM194+FM195))/8</f>
        <v>6918146.4432932949</v>
      </c>
      <c r="FN84" s="1127">
        <f>(FN196+FN202+FN207+FN215+FN235-(FN176+FN180+FN187+FN191+FN194+FN195))/8</f>
        <v>86821157.017149121</v>
      </c>
      <c r="FO84" s="1074"/>
    </row>
    <row r="85" spans="1:171" x14ac:dyDescent="0.25">
      <c r="A85" s="1421"/>
      <c r="B85" s="10"/>
      <c r="C85" s="55"/>
      <c r="D85" s="1548" t="s">
        <v>752</v>
      </c>
      <c r="E85" s="1630"/>
      <c r="F85" s="196"/>
      <c r="G85" s="1631">
        <f>'Sch 1A - Cash Working Capital'!$G$30</f>
        <v>0</v>
      </c>
      <c r="H85" s="1631">
        <f>'Sch 1A - Cash Working Capital'!$H$30</f>
        <v>0</v>
      </c>
      <c r="I85" s="939"/>
      <c r="J85" s="1435"/>
      <c r="K85" s="904"/>
      <c r="S85" s="1074"/>
      <c r="AA85" s="1074"/>
      <c r="AI85" s="1074"/>
      <c r="AQ85" s="1074"/>
      <c r="AY85" s="1074"/>
      <c r="BG85" s="1074"/>
      <c r="BO85" s="1074"/>
      <c r="BW85" s="1074"/>
      <c r="CE85" s="1074"/>
      <c r="CM85" s="1074"/>
      <c r="CU85" s="1074"/>
      <c r="DC85" s="1074"/>
      <c r="DK85" s="1074"/>
      <c r="DS85" s="1074"/>
      <c r="EA85" s="1074"/>
      <c r="EI85" s="1074"/>
      <c r="EQ85" s="1074"/>
      <c r="EY85" s="1074"/>
      <c r="FG85" s="1074"/>
      <c r="FO85" s="1074"/>
    </row>
    <row r="86" spans="1:171" x14ac:dyDescent="0.25">
      <c r="A86" s="1364" t="s">
        <v>274</v>
      </c>
      <c r="B86" s="79"/>
      <c r="C86" s="941"/>
      <c r="D86" s="196"/>
      <c r="E86" s="196"/>
      <c r="F86" s="196"/>
      <c r="G86" s="942"/>
      <c r="H86" s="943"/>
      <c r="I86" s="943"/>
      <c r="J86" s="1436"/>
      <c r="K86" s="904"/>
      <c r="S86" s="1074"/>
      <c r="AA86" s="1074"/>
      <c r="AI86" s="1074"/>
      <c r="AQ86" s="1074"/>
      <c r="AY86" s="1074"/>
      <c r="BG86" s="1074"/>
      <c r="BO86" s="1074"/>
      <c r="BW86" s="1074"/>
      <c r="CE86" s="1074"/>
      <c r="CM86" s="1074"/>
      <c r="CU86" s="1074"/>
      <c r="DC86" s="1074"/>
      <c r="DK86" s="1074"/>
      <c r="DS86" s="1074"/>
      <c r="EA86" s="1074"/>
      <c r="EI86" s="1074"/>
      <c r="EQ86" s="1074"/>
      <c r="EY86" s="1074"/>
      <c r="FG86" s="1074"/>
      <c r="FO86" s="1074"/>
    </row>
    <row r="87" spans="1:171" x14ac:dyDescent="0.25">
      <c r="A87" s="1437"/>
      <c r="B87" s="10" t="s">
        <v>433</v>
      </c>
      <c r="C87" s="889" t="s">
        <v>69</v>
      </c>
      <c r="D87" s="889">
        <v>105</v>
      </c>
      <c r="E87" s="182" t="str">
        <f>'Sch 1- Rate Base '!E87</f>
        <v>DIST</v>
      </c>
      <c r="F87" s="890"/>
      <c r="G87" s="182">
        <f>'Sch 1- Rate Base '!G87</f>
        <v>7741084.2436203277</v>
      </c>
      <c r="H87" s="182">
        <f>'Sch 1- Rate Base '!H87</f>
        <v>0</v>
      </c>
      <c r="I87" s="182">
        <f>'Sch 1- Rate Base '!I87</f>
        <v>0</v>
      </c>
      <c r="J87" s="1422">
        <f>'Sch 1- Rate Base '!J87</f>
        <v>7741084.2436203277</v>
      </c>
      <c r="K87" s="904">
        <f t="shared" ref="K87:K92" si="163">IF($E87="DIRECT",0,1)</f>
        <v>1</v>
      </c>
      <c r="O87" s="1117">
        <f t="shared" ref="O87:O92" si="164">$G87</f>
        <v>7741084.2436203277</v>
      </c>
      <c r="P87" s="1118">
        <f t="shared" ref="P87:P92" si="165">VLOOKUP($E87,O$442:R$453,2,FALSE)*O87*($K87)+IF($G87&gt;0,($H87/$G87)*O87,0)*(1-$K87)</f>
        <v>0</v>
      </c>
      <c r="Q87" s="1118">
        <f t="shared" ref="Q87:Q92" si="166">VLOOKUP($E87,O$442:R$453,3,FALSE)*O87*($K87)+IF($G87&gt;0,($I87/$G87)*O87,0)*(1-$K87)</f>
        <v>0</v>
      </c>
      <c r="R87" s="1118">
        <f t="shared" ref="R87:R92" si="167">VLOOKUP($E87,O$442:R$453,4,FALSE)*O87*($K87)+(O87-P87-Q87)*(1-$K87)</f>
        <v>7741084.2436203277</v>
      </c>
      <c r="S87" s="1119"/>
      <c r="W87" s="1117">
        <f t="shared" ref="W87:W92" si="168">$G87</f>
        <v>7741084.2436203277</v>
      </c>
      <c r="X87" s="1118">
        <f t="shared" ref="X87:X92" si="169">VLOOKUP($E87,W$442:Z$453,2,FALSE)*W87*($K87)+IF($G87&gt;0,($H87/$G87)*W87,0)*(1-$K87)</f>
        <v>0</v>
      </c>
      <c r="Y87" s="1118">
        <f t="shared" ref="Y87:Y92" si="170">VLOOKUP($E87,W$442:Z$453,3,FALSE)*W87*($K87)+IF($G87&gt;0,($I87/$G87)*W87,0)*(1-$K87)</f>
        <v>0</v>
      </c>
      <c r="Z87" s="1118">
        <f t="shared" ref="Z87:Z92" si="171">VLOOKUP($E87,W$442:Z$453,4,FALSE)*W87*($K87)+(W87-X87-Y87)*(1-$K87)</f>
        <v>7741084.2436203277</v>
      </c>
      <c r="AA87" s="1119"/>
      <c r="AE87" s="1117">
        <f t="shared" ref="AE87:AE92" si="172">$G87</f>
        <v>7741084.2436203277</v>
      </c>
      <c r="AF87" s="1118">
        <f t="shared" ref="AF87:AF92" si="173">VLOOKUP($E87,AE$442:AH$453,2,FALSE)*AE87*($K87)+IF($G87&gt;0,($H87/$G87)*AE87,0)*(1-$K87)</f>
        <v>0</v>
      </c>
      <c r="AG87" s="1118">
        <f t="shared" ref="AG87:AG92" si="174">VLOOKUP($E87,AE$442:AH$453,3,FALSE)*AE87*($K87)+IF($G87&gt;0,($I87/$G87)*AE87,0)*(1-$K87)</f>
        <v>0</v>
      </c>
      <c r="AH87" s="1118">
        <f t="shared" ref="AH87:AH92" si="175">VLOOKUP($E87,AE$442:AH$453,4,FALSE)*AE87*($K87)+(AE87-AF87-AG87)*(1-$K87)</f>
        <v>7741084.2436203277</v>
      </c>
      <c r="AI87" s="1119"/>
      <c r="AM87" s="1117">
        <f t="shared" ref="AM87:AM92" si="176">$G87</f>
        <v>7741084.2436203277</v>
      </c>
      <c r="AN87" s="1118">
        <f t="shared" ref="AN87:AN92" si="177">VLOOKUP($E87,AM$442:AP$453,2,FALSE)*AM87*($K87)+IF($G87&gt;0,($H87/$G87)*AM87,0)*(1-$K87)</f>
        <v>0</v>
      </c>
      <c r="AO87" s="1118">
        <f t="shared" ref="AO87:AO92" si="178">VLOOKUP($E87,AM$442:AP$453,3,FALSE)*AM87*($K87)+IF($G87&gt;0,($I87/$G87)*AM87,0)*(1-$K87)</f>
        <v>0</v>
      </c>
      <c r="AP87" s="1118">
        <f t="shared" ref="AP87:AP92" si="179">VLOOKUP($E87,AM$442:AP$453,4,FALSE)*AM87*($K87)+(AM87-AN87-AO87)*(1-$K87)</f>
        <v>7741084.2436203277</v>
      </c>
      <c r="AQ87" s="1119"/>
      <c r="AU87" s="1117">
        <f t="shared" ref="AU87:AU92" si="180">$G87</f>
        <v>7741084.2436203277</v>
      </c>
      <c r="AV87" s="1118">
        <f t="shared" ref="AV87:AV92" si="181">VLOOKUP($E87,AU$442:AX$453,2,FALSE)*AU87*($K87)+IF($G87&gt;0,($H87/$G87)*AU87,0)*(1-$K87)</f>
        <v>0</v>
      </c>
      <c r="AW87" s="1118">
        <f t="shared" ref="AW87:AW92" si="182">VLOOKUP($E87,AU$442:AX$453,3,FALSE)*AU87*($K87)+IF($G87&gt;0,($I87/$G87)*AU87,0)*(1-$K87)</f>
        <v>0</v>
      </c>
      <c r="AX87" s="1118">
        <f t="shared" ref="AX87:AX92" si="183">VLOOKUP($E87,AU$442:AX$453,4,FALSE)*AU87*($K87)+(AU87-AV87-AW87)*(1-$K87)</f>
        <v>7741084.2436203277</v>
      </c>
      <c r="AY87" s="1119"/>
      <c r="BC87" s="1117">
        <f t="shared" ref="BC87:BC92" si="184">$G87</f>
        <v>7741084.2436203277</v>
      </c>
      <c r="BD87" s="1118">
        <f t="shared" ref="BD87:BD92" si="185">VLOOKUP($E87,BC$442:BF$453,2,FALSE)*BC87*($K87)+IF($G87&gt;0,($H87/$G87)*BC87,0)*(1-$K87)</f>
        <v>0</v>
      </c>
      <c r="BE87" s="1118">
        <f t="shared" ref="BE87:BE92" si="186">VLOOKUP($E87,BC$442:BF$453,3,FALSE)*BC87*($K87)+IF($G87&gt;0,($I87/$G87)*BC87,0)*(1-$K87)</f>
        <v>0</v>
      </c>
      <c r="BF87" s="1118">
        <f t="shared" ref="BF87:BF92" si="187">VLOOKUP($E87,BC$442:BF$453,4,FALSE)*BC87*($K87)+(BC87-BD87-BE87)*(1-$K87)</f>
        <v>7741084.2436203277</v>
      </c>
      <c r="BG87" s="1119"/>
      <c r="BK87" s="1117">
        <f t="shared" ref="BK87:BK92" si="188">$G87</f>
        <v>7741084.2436203277</v>
      </c>
      <c r="BL87" s="1118">
        <f t="shared" ref="BL87:BL92" si="189">VLOOKUP($E87,BK$442:BN$453,2,FALSE)*BK87*($K87)+IF($G87&gt;0,($H87/$G87)*BK87,0)*(1-$K87)</f>
        <v>0</v>
      </c>
      <c r="BM87" s="1118">
        <f t="shared" ref="BM87:BM92" si="190">VLOOKUP($E87,BK$442:BN$453,3,FALSE)*BK87*($K87)+IF($G87&gt;0,($I87/$G87)*BK87,0)*(1-$K87)</f>
        <v>0</v>
      </c>
      <c r="BN87" s="1118">
        <f t="shared" ref="BN87:BN92" si="191">VLOOKUP($E87,BK$442:BN$453,4,FALSE)*BK87*($K87)+(BK87-BL87-BM87)*(1-$K87)</f>
        <v>7741084.2436203277</v>
      </c>
      <c r="BO87" s="1119"/>
      <c r="BS87" s="1117">
        <f t="shared" ref="BS87:BS92" si="192">$G87</f>
        <v>7741084.2436203277</v>
      </c>
      <c r="BT87" s="1118">
        <f t="shared" ref="BT87:BT92" si="193">VLOOKUP($E87,BS$442:BV$453,2,FALSE)*BS87*($K87)+IF($G87&gt;0,($H87/$G87)*BS87,0)*(1-$K87)</f>
        <v>0</v>
      </c>
      <c r="BU87" s="1118">
        <f t="shared" ref="BU87:BU92" si="194">VLOOKUP($E87,BS$442:BV$453,3,FALSE)*BS87*($K87)+IF($G87&gt;0,($I87/$G87)*BS87,0)*(1-$K87)</f>
        <v>0</v>
      </c>
      <c r="BV87" s="1118">
        <f t="shared" ref="BV87:BV92" si="195">VLOOKUP($E87,BS$442:BV$453,4,FALSE)*BS87*($K87)+(BS87-BT87-BU87)*(1-$K87)</f>
        <v>7741084.2436203277</v>
      </c>
      <c r="BW87" s="1119"/>
      <c r="CA87" s="1117">
        <f t="shared" ref="CA87:CA92" si="196">$G87</f>
        <v>7741084.2436203277</v>
      </c>
      <c r="CB87" s="1118">
        <f t="shared" ref="CB87:CB92" si="197">VLOOKUP($E87,CA$442:CD$453,2,FALSE)*CA87*($K87)+IF($G87&gt;0,($H87/$G87)*CA87,0)*(1-$K87)</f>
        <v>0</v>
      </c>
      <c r="CC87" s="1118">
        <f t="shared" ref="CC87:CC92" si="198">VLOOKUP($E87,CA$442:CD$453,3,FALSE)*CA87*($K87)+IF($G87&gt;0,($I87/$G87)*CA87,0)*(1-$K87)</f>
        <v>0</v>
      </c>
      <c r="CD87" s="1118">
        <f t="shared" ref="CD87:CD92" si="199">VLOOKUP($E87,CA$442:CD$453,4,FALSE)*CA87*($K87)+(CA87-CB87-CC87)*(1-$K87)</f>
        <v>7741084.2436203277</v>
      </c>
      <c r="CE87" s="1119"/>
      <c r="CI87" s="1117">
        <f t="shared" ref="CI87:CI92" si="200">$G87</f>
        <v>7741084.2436203277</v>
      </c>
      <c r="CJ87" s="1118">
        <f t="shared" ref="CJ87:CJ92" si="201">VLOOKUP($E87,CI$442:CL$453,2,FALSE)*CI87*($K87)+IF($G87&gt;0,($H87/$G87)*CI87,0)*(1-$K87)</f>
        <v>0</v>
      </c>
      <c r="CK87" s="1118">
        <f t="shared" ref="CK87:CK92" si="202">VLOOKUP($E87,CI$442:CL$453,3,FALSE)*CI87*($K87)+IF($G87&gt;0,($I87/$G87)*CI87,0)*(1-$K87)</f>
        <v>0</v>
      </c>
      <c r="CL87" s="1118">
        <f t="shared" ref="CL87:CL92" si="203">VLOOKUP($E87,CI$442:CL$453,4,FALSE)*CI87*($K87)+(CI87-CJ87-CK87)*(1-$K87)</f>
        <v>7741084.2436203277</v>
      </c>
      <c r="CM87" s="1119"/>
      <c r="CQ87" s="1117">
        <f t="shared" ref="CQ87:CQ92" si="204">$G87</f>
        <v>7741084.2436203277</v>
      </c>
      <c r="CR87" s="1118">
        <f t="shared" ref="CR87:CR92" si="205">VLOOKUP($E87,CQ$442:CT$453,2,FALSE)*CQ87*($K87)+IF($G87&gt;0,($H87/$G87)*CQ87,0)*(1-$K87)</f>
        <v>0</v>
      </c>
      <c r="CS87" s="1118">
        <f t="shared" ref="CS87:CS92" si="206">VLOOKUP($E87,CQ$442:CT$453,3,FALSE)*CQ87*($K87)+IF($G87&gt;0,($I87/$G87)*CQ87,0)*(1-$K87)</f>
        <v>0</v>
      </c>
      <c r="CT87" s="1118">
        <f t="shared" ref="CT87:CT92" si="207">VLOOKUP($E87,CQ$442:CT$453,4,FALSE)*CQ87*($K87)+(CQ87-CR87-CS87)*(1-$K87)</f>
        <v>7741084.2436203277</v>
      </c>
      <c r="CU87" s="1119"/>
      <c r="CY87" s="1117">
        <f t="shared" ref="CY87:CY92" si="208">$G87</f>
        <v>7741084.2436203277</v>
      </c>
      <c r="CZ87" s="1118">
        <f t="shared" ref="CZ87:CZ92" si="209">VLOOKUP($E87,CY$442:DB$453,2,FALSE)*CY87*($K87)+IF($G87&gt;0,($H87/$G87)*CY87,0)*(1-$K87)</f>
        <v>0</v>
      </c>
      <c r="DA87" s="1118">
        <f t="shared" ref="DA87:DA92" si="210">VLOOKUP($E87,CY$442:DB$453,3,FALSE)*CY87*($K87)+IF($G87&gt;0,($I87/$G87)*CY87,0)*(1-$K87)</f>
        <v>0</v>
      </c>
      <c r="DB87" s="1118">
        <f t="shared" ref="DB87:DB92" si="211">VLOOKUP($E87,CY$442:DB$453,4,FALSE)*CY87*($K87)+(CY87-CZ87-DA87)*(1-$K87)</f>
        <v>7741084.2436203277</v>
      </c>
      <c r="DC87" s="1119"/>
      <c r="DG87" s="1117">
        <f t="shared" ref="DG87:DG92" si="212">$G87</f>
        <v>7741084.2436203277</v>
      </c>
      <c r="DH87" s="1118">
        <f t="shared" ref="DH87:DH92" si="213">VLOOKUP($E87,DG$442:DJ$453,2,FALSE)*DG87*($K87)+IF($G87&gt;0,($H87/$G87)*DG87,0)*(1-$K87)</f>
        <v>0</v>
      </c>
      <c r="DI87" s="1118">
        <f t="shared" ref="DI87:DI92" si="214">VLOOKUP($E87,DG$442:DJ$453,3,FALSE)*DG87*($K87)+IF($G87&gt;0,($I87/$G87)*DG87,0)*(1-$K87)</f>
        <v>0</v>
      </c>
      <c r="DJ87" s="1118">
        <f t="shared" ref="DJ87:DJ92" si="215">VLOOKUP($E87,DG$442:DJ$453,4,FALSE)*DG87*($K87)+(DG87-DH87-DI87)*(1-$K87)</f>
        <v>7741084.2436203277</v>
      </c>
      <c r="DK87" s="1119"/>
      <c r="DO87" s="1117">
        <f t="shared" ref="DO87:DO92" si="216">$G87</f>
        <v>7741084.2436203277</v>
      </c>
      <c r="DP87" s="1118">
        <f t="shared" ref="DP87:DP92" si="217">VLOOKUP($E87,DO$442:DR$453,2,FALSE)*DO87*($K87)+IF($G87&gt;0,($H87/$G87)*DO87,0)*(1-$K87)</f>
        <v>0</v>
      </c>
      <c r="DQ87" s="1118">
        <f t="shared" ref="DQ87:DQ92" si="218">VLOOKUP($E87,DO$442:DR$453,3,FALSE)*DO87*($K87)+IF($G87&gt;0,($I87/$G87)*DO87,0)*(1-$K87)</f>
        <v>0</v>
      </c>
      <c r="DR87" s="1118">
        <f t="shared" ref="DR87:DR92" si="219">VLOOKUP($E87,DO$442:DR$453,4,FALSE)*DO87*($K87)+(DO87-DP87-DQ87)*(1-$K87)</f>
        <v>7741084.2436203277</v>
      </c>
      <c r="DS87" s="1119"/>
      <c r="DW87" s="1117">
        <f t="shared" ref="DW87:DW92" si="220">$G87</f>
        <v>7741084.2436203277</v>
      </c>
      <c r="DX87" s="1118">
        <f t="shared" ref="DX87:DX92" si="221">VLOOKUP($E87,DW$442:DZ$453,2,FALSE)*DW87*($K87)+IF($G87&gt;0,($H87/$G87)*DW87,0)*(1-$K87)</f>
        <v>0</v>
      </c>
      <c r="DY87" s="1118">
        <f t="shared" ref="DY87:DY92" si="222">VLOOKUP($E87,DW$442:DZ$453,3,FALSE)*DW87*($K87)+IF($G87&gt;0,($I87/$G87)*DW87,0)*(1-$K87)</f>
        <v>0</v>
      </c>
      <c r="DZ87" s="1118">
        <f t="shared" ref="DZ87:DZ92" si="223">VLOOKUP($E87,DW$442:DZ$453,4,FALSE)*DW87*($K87)+(DW87-DX87-DY87)*(1-$K87)</f>
        <v>7741084.2436203277</v>
      </c>
      <c r="EA87" s="1119"/>
      <c r="EE87" s="1117">
        <f t="shared" ref="EE87:EE92" si="224">$G87</f>
        <v>7741084.2436203277</v>
      </c>
      <c r="EF87" s="1118">
        <f t="shared" ref="EF87:EF92" si="225">VLOOKUP($E87,EE$442:EH$453,2,FALSE)*EE87*($K87)+IF($G87&gt;0,($H87/$G87)*EE87,0)*(1-$K87)</f>
        <v>0</v>
      </c>
      <c r="EG87" s="1118">
        <f t="shared" ref="EG87:EG92" si="226">VLOOKUP($E87,EE$442:EH$453,3,FALSE)*EE87*($K87)+IF($G87&gt;0,($I87/$G87)*EE87,0)*(1-$K87)</f>
        <v>0</v>
      </c>
      <c r="EH87" s="1118">
        <f t="shared" ref="EH87:EH92" si="227">VLOOKUP($E87,EE$442:EH$453,4,FALSE)*EE87*($K87)+(EE87-EF87-EG87)*(1-$K87)</f>
        <v>7741084.2436203277</v>
      </c>
      <c r="EI87" s="1119"/>
      <c r="EM87" s="1117">
        <f t="shared" ref="EM87:EM92" si="228">$G87</f>
        <v>7741084.2436203277</v>
      </c>
      <c r="EN87" s="1118">
        <f t="shared" ref="EN87:EN92" si="229">VLOOKUP($E87,EM$442:EP$453,2,FALSE)*EM87*($K87)+IF($G87&gt;0,($H87/$G87)*EM87,0)*(1-$K87)</f>
        <v>0</v>
      </c>
      <c r="EO87" s="1118">
        <f t="shared" ref="EO87:EO92" si="230">VLOOKUP($E87,EM$442:EP$453,3,FALSE)*EM87*($K87)+IF($G87&gt;0,($I87/$G87)*EM87,0)*(1-$K87)</f>
        <v>0</v>
      </c>
      <c r="EP87" s="1118">
        <f t="shared" ref="EP87:EP92" si="231">VLOOKUP($E87,EM$442:EP$453,4,FALSE)*EM87*($K87)+(EM87-EN87-EO87)*(1-$K87)</f>
        <v>7741084.2436203277</v>
      </c>
      <c r="EQ87" s="1119"/>
      <c r="EU87" s="1117">
        <f t="shared" ref="EU87:EU92" si="232">$G87</f>
        <v>7741084.2436203277</v>
      </c>
      <c r="EV87" s="1118">
        <f t="shared" ref="EV87:EV92" si="233">VLOOKUP($E87,EU$442:EX$453,2,FALSE)*EU87*($K87)+IF($G87&gt;0,($H87/$G87)*EU87,0)*(1-$K87)</f>
        <v>0</v>
      </c>
      <c r="EW87" s="1118">
        <f t="shared" ref="EW87:EW92" si="234">VLOOKUP($E87,EU$442:EX$453,3,FALSE)*EU87*($K87)+IF($G87&gt;0,($I87/$G87)*EU87,0)*(1-$K87)</f>
        <v>0</v>
      </c>
      <c r="EX87" s="1118">
        <f t="shared" ref="EX87:EX92" si="235">VLOOKUP($E87,EU$442:EX$453,4,FALSE)*EU87*($K87)+(EU87-EV87-EW87)*(1-$K87)</f>
        <v>7741084.2436203277</v>
      </c>
      <c r="EY87" s="1119"/>
      <c r="FC87" s="1117">
        <f t="shared" ref="FC87:FC92" si="236">$G87</f>
        <v>7741084.2436203277</v>
      </c>
      <c r="FD87" s="1118">
        <f t="shared" ref="FD87:FD92" si="237">VLOOKUP($E87,FC$442:FF$453,2,FALSE)*FC87*($K87)+IF($G87&gt;0,($H87/$G87)*FC87,0)*(1-$K87)</f>
        <v>0</v>
      </c>
      <c r="FE87" s="1118">
        <f t="shared" ref="FE87:FE92" si="238">VLOOKUP($E87,FC$442:FF$453,3,FALSE)*FC87*($K87)+IF($G87&gt;0,($I87/$G87)*FC87,0)*(1-$K87)</f>
        <v>0</v>
      </c>
      <c r="FF87" s="1118">
        <f t="shared" ref="FF87:FF92" si="239">VLOOKUP($E87,FC$442:FF$453,4,FALSE)*FC87*($K87)+(FC87-FD87-FE87)*(1-$K87)</f>
        <v>7741084.2436203277</v>
      </c>
      <c r="FG87" s="1119"/>
      <c r="FK87" s="1117">
        <f t="shared" ref="FK87:FK92" si="240">$G87</f>
        <v>7741084.2436203277</v>
      </c>
      <c r="FL87" s="1118">
        <f t="shared" ref="FL87:FL92" si="241">VLOOKUP($E87,FK$442:FN$453,2,FALSE)*FK87*($K87)+IF($G87&gt;0,($H87/$G87)*FK87,0)*(1-$K87)</f>
        <v>0</v>
      </c>
      <c r="FM87" s="1118">
        <f t="shared" ref="FM87:FM92" si="242">VLOOKUP($E87,FK$442:FN$453,3,FALSE)*FK87*($K87)+IF($G87&gt;0,($I87/$G87)*FK87,0)*(1-$K87)</f>
        <v>0</v>
      </c>
      <c r="FN87" s="1118">
        <f t="shared" ref="FN87:FN92" si="243">VLOOKUP($E87,FK$442:FN$453,4,FALSE)*FK87*($K87)+(FK87-FL87-FM87)*(1-$K87)</f>
        <v>7741084.2436203277</v>
      </c>
      <c r="FO87" s="1119"/>
    </row>
    <row r="88" spans="1:171" x14ac:dyDescent="0.25">
      <c r="A88" s="1437"/>
      <c r="B88" s="10" t="s">
        <v>77</v>
      </c>
      <c r="C88" s="889" t="s">
        <v>69</v>
      </c>
      <c r="D88" s="889">
        <v>106</v>
      </c>
      <c r="E88" s="182" t="str">
        <f>'Sch 1- Rate Base '!E88</f>
        <v>PTD</v>
      </c>
      <c r="F88" s="890"/>
      <c r="G88" s="182">
        <f>'Sch 1- Rate Base '!G88</f>
        <v>223281401.39533675</v>
      </c>
      <c r="H88" s="182">
        <f>'Sch 1- Rate Base '!H88</f>
        <v>98287611.875579029</v>
      </c>
      <c r="I88" s="182">
        <f>'Sch 1- Rate Base '!I88</f>
        <v>0</v>
      </c>
      <c r="J88" s="1422">
        <f>'Sch 1- Rate Base '!J88</f>
        <v>124993789.51975769</v>
      </c>
      <c r="K88" s="904">
        <f t="shared" si="163"/>
        <v>1</v>
      </c>
      <c r="O88" s="1117">
        <f t="shared" si="164"/>
        <v>223281401.39533675</v>
      </c>
      <c r="P88" s="1118">
        <f t="shared" si="165"/>
        <v>98287611.875579029</v>
      </c>
      <c r="Q88" s="1118">
        <f t="shared" si="166"/>
        <v>58029122.786991686</v>
      </c>
      <c r="R88" s="1118">
        <f t="shared" si="167"/>
        <v>66964666.73276601</v>
      </c>
      <c r="S88" s="1119"/>
      <c r="W88" s="1117">
        <f t="shared" si="168"/>
        <v>223281401.39533675</v>
      </c>
      <c r="X88" s="1118">
        <f t="shared" si="169"/>
        <v>98287611.875579029</v>
      </c>
      <c r="Y88" s="1118">
        <f t="shared" si="170"/>
        <v>58029122.786991686</v>
      </c>
      <c r="Z88" s="1118">
        <f t="shared" si="171"/>
        <v>66964666.73276601</v>
      </c>
      <c r="AA88" s="1119"/>
      <c r="AE88" s="1117">
        <f t="shared" si="172"/>
        <v>223281401.39533675</v>
      </c>
      <c r="AF88" s="1118">
        <f t="shared" si="173"/>
        <v>98287611.875579029</v>
      </c>
      <c r="AG88" s="1118">
        <f t="shared" si="174"/>
        <v>58029122.786991686</v>
      </c>
      <c r="AH88" s="1118">
        <f t="shared" si="175"/>
        <v>66964666.73276601</v>
      </c>
      <c r="AI88" s="1119"/>
      <c r="AM88" s="1117">
        <f t="shared" si="176"/>
        <v>223281401.39533675</v>
      </c>
      <c r="AN88" s="1118">
        <f t="shared" si="177"/>
        <v>98287611.875579029</v>
      </c>
      <c r="AO88" s="1118">
        <f t="shared" si="178"/>
        <v>58029122.786991686</v>
      </c>
      <c r="AP88" s="1118">
        <f t="shared" si="179"/>
        <v>66964666.73276601</v>
      </c>
      <c r="AQ88" s="1119"/>
      <c r="AU88" s="1117">
        <f t="shared" si="180"/>
        <v>223281401.39533675</v>
      </c>
      <c r="AV88" s="1118">
        <f t="shared" si="181"/>
        <v>98287611.875579029</v>
      </c>
      <c r="AW88" s="1118">
        <f t="shared" si="182"/>
        <v>58029122.786991686</v>
      </c>
      <c r="AX88" s="1118">
        <f t="shared" si="183"/>
        <v>66964666.73276601</v>
      </c>
      <c r="AY88" s="1119"/>
      <c r="BC88" s="1117">
        <f t="shared" si="184"/>
        <v>223281401.39533675</v>
      </c>
      <c r="BD88" s="1118">
        <f t="shared" si="185"/>
        <v>98287611.875579029</v>
      </c>
      <c r="BE88" s="1118">
        <f t="shared" si="186"/>
        <v>58029122.786991686</v>
      </c>
      <c r="BF88" s="1118">
        <f t="shared" si="187"/>
        <v>66964666.73276601</v>
      </c>
      <c r="BG88" s="1119"/>
      <c r="BK88" s="1117">
        <f t="shared" si="188"/>
        <v>223281401.39533675</v>
      </c>
      <c r="BL88" s="1118">
        <f t="shared" si="189"/>
        <v>98287611.875579029</v>
      </c>
      <c r="BM88" s="1118">
        <f t="shared" si="190"/>
        <v>58029122.786991686</v>
      </c>
      <c r="BN88" s="1118">
        <f t="shared" si="191"/>
        <v>66964666.73276601</v>
      </c>
      <c r="BO88" s="1119"/>
      <c r="BS88" s="1117">
        <f t="shared" si="192"/>
        <v>223281401.39533675</v>
      </c>
      <c r="BT88" s="1118">
        <f t="shared" si="193"/>
        <v>98287611.875579029</v>
      </c>
      <c r="BU88" s="1118">
        <f t="shared" si="194"/>
        <v>58029122.786991686</v>
      </c>
      <c r="BV88" s="1118">
        <f t="shared" si="195"/>
        <v>66964666.73276601</v>
      </c>
      <c r="BW88" s="1119"/>
      <c r="CA88" s="1117">
        <f t="shared" si="196"/>
        <v>223281401.39533675</v>
      </c>
      <c r="CB88" s="1118">
        <f t="shared" si="197"/>
        <v>98287611.875579029</v>
      </c>
      <c r="CC88" s="1118">
        <f t="shared" si="198"/>
        <v>58029122.786991686</v>
      </c>
      <c r="CD88" s="1118">
        <f t="shared" si="199"/>
        <v>66964666.73276601</v>
      </c>
      <c r="CE88" s="1119"/>
      <c r="CI88" s="1117">
        <f t="shared" si="200"/>
        <v>223281401.39533675</v>
      </c>
      <c r="CJ88" s="1118">
        <f t="shared" si="201"/>
        <v>98287611.875579029</v>
      </c>
      <c r="CK88" s="1118">
        <f t="shared" si="202"/>
        <v>58029122.786991686</v>
      </c>
      <c r="CL88" s="1118">
        <f t="shared" si="203"/>
        <v>66964666.73276601</v>
      </c>
      <c r="CM88" s="1119"/>
      <c r="CQ88" s="1117">
        <f t="shared" si="204"/>
        <v>223281401.39533675</v>
      </c>
      <c r="CR88" s="1118">
        <f t="shared" si="205"/>
        <v>98287611.875579029</v>
      </c>
      <c r="CS88" s="1118">
        <f t="shared" si="206"/>
        <v>58029122.786991686</v>
      </c>
      <c r="CT88" s="1118">
        <f t="shared" si="207"/>
        <v>66964666.73276601</v>
      </c>
      <c r="CU88" s="1119"/>
      <c r="CY88" s="1117">
        <f t="shared" si="208"/>
        <v>223281401.39533675</v>
      </c>
      <c r="CZ88" s="1118">
        <f t="shared" si="209"/>
        <v>98287611.875579029</v>
      </c>
      <c r="DA88" s="1118">
        <f t="shared" si="210"/>
        <v>58029122.786991686</v>
      </c>
      <c r="DB88" s="1118">
        <f t="shared" si="211"/>
        <v>66964666.73276601</v>
      </c>
      <c r="DC88" s="1119"/>
      <c r="DG88" s="1117">
        <f t="shared" si="212"/>
        <v>223281401.39533675</v>
      </c>
      <c r="DH88" s="1118">
        <f t="shared" si="213"/>
        <v>98287611.875579029</v>
      </c>
      <c r="DI88" s="1118">
        <f t="shared" si="214"/>
        <v>58029122.786991686</v>
      </c>
      <c r="DJ88" s="1118">
        <f t="shared" si="215"/>
        <v>66964666.73276601</v>
      </c>
      <c r="DK88" s="1119"/>
      <c r="DO88" s="1117">
        <f t="shared" si="216"/>
        <v>223281401.39533675</v>
      </c>
      <c r="DP88" s="1118">
        <f t="shared" si="217"/>
        <v>98287611.875579029</v>
      </c>
      <c r="DQ88" s="1118">
        <f t="shared" si="218"/>
        <v>58029122.786991686</v>
      </c>
      <c r="DR88" s="1118">
        <f t="shared" si="219"/>
        <v>66964666.73276601</v>
      </c>
      <c r="DS88" s="1119"/>
      <c r="DW88" s="1117">
        <f t="shared" si="220"/>
        <v>223281401.39533675</v>
      </c>
      <c r="DX88" s="1118">
        <f t="shared" si="221"/>
        <v>98287611.875579029</v>
      </c>
      <c r="DY88" s="1118">
        <f t="shared" si="222"/>
        <v>58029122.786991686</v>
      </c>
      <c r="DZ88" s="1118">
        <f t="shared" si="223"/>
        <v>66964666.73276601</v>
      </c>
      <c r="EA88" s="1119"/>
      <c r="EE88" s="1117">
        <f t="shared" si="224"/>
        <v>223281401.39533675</v>
      </c>
      <c r="EF88" s="1118">
        <f t="shared" si="225"/>
        <v>98287611.875579029</v>
      </c>
      <c r="EG88" s="1118">
        <f t="shared" si="226"/>
        <v>58029122.786991686</v>
      </c>
      <c r="EH88" s="1118">
        <f t="shared" si="227"/>
        <v>66964666.73276601</v>
      </c>
      <c r="EI88" s="1119"/>
      <c r="EM88" s="1117">
        <f t="shared" si="228"/>
        <v>223281401.39533675</v>
      </c>
      <c r="EN88" s="1118">
        <f t="shared" si="229"/>
        <v>98287611.875579029</v>
      </c>
      <c r="EO88" s="1118">
        <f t="shared" si="230"/>
        <v>58029122.786991686</v>
      </c>
      <c r="EP88" s="1118">
        <f t="shared" si="231"/>
        <v>66964666.73276601</v>
      </c>
      <c r="EQ88" s="1119"/>
      <c r="EU88" s="1117">
        <f t="shared" si="232"/>
        <v>223281401.39533675</v>
      </c>
      <c r="EV88" s="1118">
        <f t="shared" si="233"/>
        <v>98287611.875579029</v>
      </c>
      <c r="EW88" s="1118">
        <f t="shared" si="234"/>
        <v>58029122.786991686</v>
      </c>
      <c r="EX88" s="1118">
        <f t="shared" si="235"/>
        <v>66964666.73276601</v>
      </c>
      <c r="EY88" s="1119"/>
      <c r="FC88" s="1117">
        <f t="shared" si="236"/>
        <v>223281401.39533675</v>
      </c>
      <c r="FD88" s="1118">
        <f t="shared" si="237"/>
        <v>98287611.875579029</v>
      </c>
      <c r="FE88" s="1118">
        <f t="shared" si="238"/>
        <v>58029122.786991686</v>
      </c>
      <c r="FF88" s="1118">
        <f t="shared" si="239"/>
        <v>66964666.73276601</v>
      </c>
      <c r="FG88" s="1119"/>
      <c r="FK88" s="1117">
        <f t="shared" si="240"/>
        <v>223281401.39533675</v>
      </c>
      <c r="FL88" s="1118">
        <f t="shared" si="241"/>
        <v>98287611.875579029</v>
      </c>
      <c r="FM88" s="1118">
        <f t="shared" si="242"/>
        <v>58029122.786991686</v>
      </c>
      <c r="FN88" s="1118">
        <f t="shared" si="243"/>
        <v>66964666.73276601</v>
      </c>
      <c r="FO88" s="1119"/>
    </row>
    <row r="89" spans="1:171" x14ac:dyDescent="0.25">
      <c r="A89" s="1437"/>
      <c r="B89" s="64" t="s">
        <v>476</v>
      </c>
      <c r="C89" s="889"/>
      <c r="D89" s="889" t="s">
        <v>257</v>
      </c>
      <c r="E89" s="182" t="str">
        <f>'Sch 1- Rate Base '!E89</f>
        <v>PROD</v>
      </c>
      <c r="F89" s="890"/>
      <c r="G89" s="182">
        <f>'Sch 1- Rate Base '!G89</f>
        <v>0</v>
      </c>
      <c r="H89" s="182">
        <f>'Sch 1- Rate Base '!H89</f>
        <v>0</v>
      </c>
      <c r="I89" s="182">
        <f>'Sch 1- Rate Base '!I89</f>
        <v>0</v>
      </c>
      <c r="J89" s="1422">
        <f>'Sch 1- Rate Base '!J89</f>
        <v>0</v>
      </c>
      <c r="K89" s="904">
        <f t="shared" si="163"/>
        <v>1</v>
      </c>
      <c r="O89" s="1117">
        <f t="shared" si="164"/>
        <v>0</v>
      </c>
      <c r="P89" s="1118">
        <f t="shared" si="165"/>
        <v>0</v>
      </c>
      <c r="Q89" s="1118">
        <f t="shared" si="166"/>
        <v>0</v>
      </c>
      <c r="R89" s="1118">
        <f t="shared" si="167"/>
        <v>0</v>
      </c>
      <c r="S89" s="1119"/>
      <c r="W89" s="1117">
        <f t="shared" si="168"/>
        <v>0</v>
      </c>
      <c r="X89" s="1118">
        <f t="shared" si="169"/>
        <v>0</v>
      </c>
      <c r="Y89" s="1118">
        <f t="shared" si="170"/>
        <v>0</v>
      </c>
      <c r="Z89" s="1118">
        <f t="shared" si="171"/>
        <v>0</v>
      </c>
      <c r="AA89" s="1119"/>
      <c r="AE89" s="1117">
        <f t="shared" si="172"/>
        <v>0</v>
      </c>
      <c r="AF89" s="1118">
        <f t="shared" si="173"/>
        <v>0</v>
      </c>
      <c r="AG89" s="1118">
        <f t="shared" si="174"/>
        <v>0</v>
      </c>
      <c r="AH89" s="1118">
        <f t="shared" si="175"/>
        <v>0</v>
      </c>
      <c r="AI89" s="1119"/>
      <c r="AM89" s="1117">
        <f t="shared" si="176"/>
        <v>0</v>
      </c>
      <c r="AN89" s="1118">
        <f t="shared" si="177"/>
        <v>0</v>
      </c>
      <c r="AO89" s="1118">
        <f t="shared" si="178"/>
        <v>0</v>
      </c>
      <c r="AP89" s="1118">
        <f t="shared" si="179"/>
        <v>0</v>
      </c>
      <c r="AQ89" s="1119"/>
      <c r="AU89" s="1117">
        <f t="shared" si="180"/>
        <v>0</v>
      </c>
      <c r="AV89" s="1118">
        <f t="shared" si="181"/>
        <v>0</v>
      </c>
      <c r="AW89" s="1118">
        <f t="shared" si="182"/>
        <v>0</v>
      </c>
      <c r="AX89" s="1118">
        <f t="shared" si="183"/>
        <v>0</v>
      </c>
      <c r="AY89" s="1119"/>
      <c r="BC89" s="1117">
        <f t="shared" si="184"/>
        <v>0</v>
      </c>
      <c r="BD89" s="1118">
        <f t="shared" si="185"/>
        <v>0</v>
      </c>
      <c r="BE89" s="1118">
        <f t="shared" si="186"/>
        <v>0</v>
      </c>
      <c r="BF89" s="1118">
        <f t="shared" si="187"/>
        <v>0</v>
      </c>
      <c r="BG89" s="1119"/>
      <c r="BK89" s="1117">
        <f t="shared" si="188"/>
        <v>0</v>
      </c>
      <c r="BL89" s="1118">
        <f t="shared" si="189"/>
        <v>0</v>
      </c>
      <c r="BM89" s="1118">
        <f t="shared" si="190"/>
        <v>0</v>
      </c>
      <c r="BN89" s="1118">
        <f t="shared" si="191"/>
        <v>0</v>
      </c>
      <c r="BO89" s="1119"/>
      <c r="BS89" s="1117">
        <f t="shared" si="192"/>
        <v>0</v>
      </c>
      <c r="BT89" s="1118">
        <f t="shared" si="193"/>
        <v>0</v>
      </c>
      <c r="BU89" s="1118">
        <f t="shared" si="194"/>
        <v>0</v>
      </c>
      <c r="BV89" s="1118">
        <f t="shared" si="195"/>
        <v>0</v>
      </c>
      <c r="BW89" s="1119"/>
      <c r="CA89" s="1117">
        <f t="shared" si="196"/>
        <v>0</v>
      </c>
      <c r="CB89" s="1118">
        <f t="shared" si="197"/>
        <v>0</v>
      </c>
      <c r="CC89" s="1118">
        <f t="shared" si="198"/>
        <v>0</v>
      </c>
      <c r="CD89" s="1118">
        <f t="shared" si="199"/>
        <v>0</v>
      </c>
      <c r="CE89" s="1119"/>
      <c r="CI89" s="1117">
        <f t="shared" si="200"/>
        <v>0</v>
      </c>
      <c r="CJ89" s="1118">
        <f t="shared" si="201"/>
        <v>0</v>
      </c>
      <c r="CK89" s="1118">
        <f t="shared" si="202"/>
        <v>0</v>
      </c>
      <c r="CL89" s="1118">
        <f t="shared" si="203"/>
        <v>0</v>
      </c>
      <c r="CM89" s="1119"/>
      <c r="CQ89" s="1117">
        <f t="shared" si="204"/>
        <v>0</v>
      </c>
      <c r="CR89" s="1118">
        <f t="shared" si="205"/>
        <v>0</v>
      </c>
      <c r="CS89" s="1118">
        <f t="shared" si="206"/>
        <v>0</v>
      </c>
      <c r="CT89" s="1118">
        <f t="shared" si="207"/>
        <v>0</v>
      </c>
      <c r="CU89" s="1119"/>
      <c r="CY89" s="1117">
        <f t="shared" si="208"/>
        <v>0</v>
      </c>
      <c r="CZ89" s="1118">
        <f t="shared" si="209"/>
        <v>0</v>
      </c>
      <c r="DA89" s="1118">
        <f t="shared" si="210"/>
        <v>0</v>
      </c>
      <c r="DB89" s="1118">
        <f t="shared" si="211"/>
        <v>0</v>
      </c>
      <c r="DC89" s="1119"/>
      <c r="DG89" s="1117">
        <f t="shared" si="212"/>
        <v>0</v>
      </c>
      <c r="DH89" s="1118">
        <f t="shared" si="213"/>
        <v>0</v>
      </c>
      <c r="DI89" s="1118">
        <f t="shared" si="214"/>
        <v>0</v>
      </c>
      <c r="DJ89" s="1118">
        <f t="shared" si="215"/>
        <v>0</v>
      </c>
      <c r="DK89" s="1119"/>
      <c r="DO89" s="1117">
        <f t="shared" si="216"/>
        <v>0</v>
      </c>
      <c r="DP89" s="1118">
        <f t="shared" si="217"/>
        <v>0</v>
      </c>
      <c r="DQ89" s="1118">
        <f t="shared" si="218"/>
        <v>0</v>
      </c>
      <c r="DR89" s="1118">
        <f t="shared" si="219"/>
        <v>0</v>
      </c>
      <c r="DS89" s="1119"/>
      <c r="DW89" s="1117">
        <f t="shared" si="220"/>
        <v>0</v>
      </c>
      <c r="DX89" s="1118">
        <f t="shared" si="221"/>
        <v>0</v>
      </c>
      <c r="DY89" s="1118">
        <f t="shared" si="222"/>
        <v>0</v>
      </c>
      <c r="DZ89" s="1118">
        <f t="shared" si="223"/>
        <v>0</v>
      </c>
      <c r="EA89" s="1119"/>
      <c r="EE89" s="1117">
        <f t="shared" si="224"/>
        <v>0</v>
      </c>
      <c r="EF89" s="1118">
        <f t="shared" si="225"/>
        <v>0</v>
      </c>
      <c r="EG89" s="1118">
        <f t="shared" si="226"/>
        <v>0</v>
      </c>
      <c r="EH89" s="1118">
        <f t="shared" si="227"/>
        <v>0</v>
      </c>
      <c r="EI89" s="1119"/>
      <c r="EM89" s="1117">
        <f t="shared" si="228"/>
        <v>0</v>
      </c>
      <c r="EN89" s="1118">
        <f t="shared" si="229"/>
        <v>0</v>
      </c>
      <c r="EO89" s="1118">
        <f t="shared" si="230"/>
        <v>0</v>
      </c>
      <c r="EP89" s="1118">
        <f t="shared" si="231"/>
        <v>0</v>
      </c>
      <c r="EQ89" s="1119"/>
      <c r="EU89" s="1117">
        <f t="shared" si="232"/>
        <v>0</v>
      </c>
      <c r="EV89" s="1118">
        <f t="shared" si="233"/>
        <v>0</v>
      </c>
      <c r="EW89" s="1118">
        <f t="shared" si="234"/>
        <v>0</v>
      </c>
      <c r="EX89" s="1118">
        <f t="shared" si="235"/>
        <v>0</v>
      </c>
      <c r="EY89" s="1119"/>
      <c r="FC89" s="1117">
        <f t="shared" si="236"/>
        <v>0</v>
      </c>
      <c r="FD89" s="1118">
        <f t="shared" si="237"/>
        <v>0</v>
      </c>
      <c r="FE89" s="1118">
        <f t="shared" si="238"/>
        <v>0</v>
      </c>
      <c r="FF89" s="1118">
        <f t="shared" si="239"/>
        <v>0</v>
      </c>
      <c r="FG89" s="1119"/>
      <c r="FK89" s="1117">
        <f t="shared" si="240"/>
        <v>0</v>
      </c>
      <c r="FL89" s="1118">
        <f t="shared" si="241"/>
        <v>0</v>
      </c>
      <c r="FM89" s="1118">
        <f t="shared" si="242"/>
        <v>0</v>
      </c>
      <c r="FN89" s="1118">
        <f t="shared" si="243"/>
        <v>0</v>
      </c>
      <c r="FO89" s="1119"/>
    </row>
    <row r="90" spans="1:171" x14ac:dyDescent="0.25">
      <c r="A90" s="1437"/>
      <c r="B90" s="10" t="s">
        <v>80</v>
      </c>
      <c r="C90" s="889" t="s">
        <v>69</v>
      </c>
      <c r="D90" s="889" t="s">
        <v>258</v>
      </c>
      <c r="E90" s="182" t="str">
        <f>'Sch 1- Rate Base '!E90</f>
        <v>DIST</v>
      </c>
      <c r="F90" s="890"/>
      <c r="G90" s="182">
        <f>'Sch 1- Rate Base '!G90</f>
        <v>1893858706.006402</v>
      </c>
      <c r="H90" s="182">
        <f>'Sch 1- Rate Base '!H90</f>
        <v>0</v>
      </c>
      <c r="I90" s="182">
        <f>'Sch 1- Rate Base '!I90</f>
        <v>0</v>
      </c>
      <c r="J90" s="1422">
        <f>'Sch 1- Rate Base '!J90</f>
        <v>1893858706.006402</v>
      </c>
      <c r="K90" s="904">
        <f t="shared" si="163"/>
        <v>1</v>
      </c>
      <c r="O90" s="1117">
        <f t="shared" si="164"/>
        <v>1893858706.006402</v>
      </c>
      <c r="P90" s="1118">
        <f t="shared" si="165"/>
        <v>0</v>
      </c>
      <c r="Q90" s="1118">
        <f t="shared" si="166"/>
        <v>0</v>
      </c>
      <c r="R90" s="1118">
        <f t="shared" si="167"/>
        <v>1893858706.006402</v>
      </c>
      <c r="S90" s="1119"/>
      <c r="W90" s="1117">
        <f t="shared" si="168"/>
        <v>1893858706.006402</v>
      </c>
      <c r="X90" s="1118">
        <f t="shared" si="169"/>
        <v>0</v>
      </c>
      <c r="Y90" s="1118">
        <f t="shared" si="170"/>
        <v>0</v>
      </c>
      <c r="Z90" s="1118">
        <f t="shared" si="171"/>
        <v>1893858706.006402</v>
      </c>
      <c r="AA90" s="1119"/>
      <c r="AE90" s="1117">
        <f t="shared" si="172"/>
        <v>1893858706.006402</v>
      </c>
      <c r="AF90" s="1118">
        <f t="shared" si="173"/>
        <v>0</v>
      </c>
      <c r="AG90" s="1118">
        <f t="shared" si="174"/>
        <v>0</v>
      </c>
      <c r="AH90" s="1118">
        <f t="shared" si="175"/>
        <v>1893858706.006402</v>
      </c>
      <c r="AI90" s="1119"/>
      <c r="AM90" s="1117">
        <f t="shared" si="176"/>
        <v>1893858706.006402</v>
      </c>
      <c r="AN90" s="1118">
        <f t="shared" si="177"/>
        <v>0</v>
      </c>
      <c r="AO90" s="1118">
        <f t="shared" si="178"/>
        <v>0</v>
      </c>
      <c r="AP90" s="1118">
        <f t="shared" si="179"/>
        <v>1893858706.006402</v>
      </c>
      <c r="AQ90" s="1119"/>
      <c r="AU90" s="1117">
        <f t="shared" si="180"/>
        <v>1893858706.006402</v>
      </c>
      <c r="AV90" s="1118">
        <f t="shared" si="181"/>
        <v>0</v>
      </c>
      <c r="AW90" s="1118">
        <f t="shared" si="182"/>
        <v>0</v>
      </c>
      <c r="AX90" s="1118">
        <f t="shared" si="183"/>
        <v>1893858706.006402</v>
      </c>
      <c r="AY90" s="1119"/>
      <c r="BC90" s="1117">
        <f t="shared" si="184"/>
        <v>1893858706.006402</v>
      </c>
      <c r="BD90" s="1118">
        <f t="shared" si="185"/>
        <v>0</v>
      </c>
      <c r="BE90" s="1118">
        <f t="shared" si="186"/>
        <v>0</v>
      </c>
      <c r="BF90" s="1118">
        <f t="shared" si="187"/>
        <v>1893858706.006402</v>
      </c>
      <c r="BG90" s="1119"/>
      <c r="BK90" s="1117">
        <f t="shared" si="188"/>
        <v>1893858706.006402</v>
      </c>
      <c r="BL90" s="1118">
        <f t="shared" si="189"/>
        <v>0</v>
      </c>
      <c r="BM90" s="1118">
        <f t="shared" si="190"/>
        <v>0</v>
      </c>
      <c r="BN90" s="1118">
        <f t="shared" si="191"/>
        <v>1893858706.006402</v>
      </c>
      <c r="BO90" s="1119"/>
      <c r="BS90" s="1117">
        <f t="shared" si="192"/>
        <v>1893858706.006402</v>
      </c>
      <c r="BT90" s="1118">
        <f t="shared" si="193"/>
        <v>0</v>
      </c>
      <c r="BU90" s="1118">
        <f t="shared" si="194"/>
        <v>0</v>
      </c>
      <c r="BV90" s="1118">
        <f t="shared" si="195"/>
        <v>1893858706.006402</v>
      </c>
      <c r="BW90" s="1119"/>
      <c r="CA90" s="1117">
        <f t="shared" si="196"/>
        <v>1893858706.006402</v>
      </c>
      <c r="CB90" s="1118">
        <f t="shared" si="197"/>
        <v>0</v>
      </c>
      <c r="CC90" s="1118">
        <f t="shared" si="198"/>
        <v>0</v>
      </c>
      <c r="CD90" s="1118">
        <f t="shared" si="199"/>
        <v>1893858706.006402</v>
      </c>
      <c r="CE90" s="1119"/>
      <c r="CI90" s="1117">
        <f t="shared" si="200"/>
        <v>1893858706.006402</v>
      </c>
      <c r="CJ90" s="1118">
        <f t="shared" si="201"/>
        <v>0</v>
      </c>
      <c r="CK90" s="1118">
        <f t="shared" si="202"/>
        <v>0</v>
      </c>
      <c r="CL90" s="1118">
        <f t="shared" si="203"/>
        <v>1893858706.006402</v>
      </c>
      <c r="CM90" s="1119"/>
      <c r="CQ90" s="1117">
        <f t="shared" si="204"/>
        <v>1893858706.006402</v>
      </c>
      <c r="CR90" s="1118">
        <f t="shared" si="205"/>
        <v>0</v>
      </c>
      <c r="CS90" s="1118">
        <f t="shared" si="206"/>
        <v>0</v>
      </c>
      <c r="CT90" s="1118">
        <f t="shared" si="207"/>
        <v>1893858706.006402</v>
      </c>
      <c r="CU90" s="1119"/>
      <c r="CY90" s="1117">
        <f t="shared" si="208"/>
        <v>1893858706.006402</v>
      </c>
      <c r="CZ90" s="1118">
        <f t="shared" si="209"/>
        <v>0</v>
      </c>
      <c r="DA90" s="1118">
        <f t="shared" si="210"/>
        <v>0</v>
      </c>
      <c r="DB90" s="1118">
        <f t="shared" si="211"/>
        <v>1893858706.006402</v>
      </c>
      <c r="DC90" s="1119"/>
      <c r="DG90" s="1117">
        <f t="shared" si="212"/>
        <v>1893858706.006402</v>
      </c>
      <c r="DH90" s="1118">
        <f t="shared" si="213"/>
        <v>0</v>
      </c>
      <c r="DI90" s="1118">
        <f t="shared" si="214"/>
        <v>0</v>
      </c>
      <c r="DJ90" s="1118">
        <f t="shared" si="215"/>
        <v>1893858706.006402</v>
      </c>
      <c r="DK90" s="1119"/>
      <c r="DO90" s="1117">
        <f t="shared" si="216"/>
        <v>1893858706.006402</v>
      </c>
      <c r="DP90" s="1118">
        <f t="shared" si="217"/>
        <v>0</v>
      </c>
      <c r="DQ90" s="1118">
        <f t="shared" si="218"/>
        <v>0</v>
      </c>
      <c r="DR90" s="1118">
        <f t="shared" si="219"/>
        <v>1893858706.006402</v>
      </c>
      <c r="DS90" s="1119"/>
      <c r="DW90" s="1117">
        <f t="shared" si="220"/>
        <v>1893858706.006402</v>
      </c>
      <c r="DX90" s="1118">
        <f t="shared" si="221"/>
        <v>0</v>
      </c>
      <c r="DY90" s="1118">
        <f t="shared" si="222"/>
        <v>0</v>
      </c>
      <c r="DZ90" s="1118">
        <f t="shared" si="223"/>
        <v>1893858706.006402</v>
      </c>
      <c r="EA90" s="1119"/>
      <c r="EE90" s="1117">
        <f t="shared" si="224"/>
        <v>1893858706.006402</v>
      </c>
      <c r="EF90" s="1118">
        <f t="shared" si="225"/>
        <v>0</v>
      </c>
      <c r="EG90" s="1118">
        <f t="shared" si="226"/>
        <v>0</v>
      </c>
      <c r="EH90" s="1118">
        <f t="shared" si="227"/>
        <v>1893858706.006402</v>
      </c>
      <c r="EI90" s="1119"/>
      <c r="EM90" s="1117">
        <f t="shared" si="228"/>
        <v>1893858706.006402</v>
      </c>
      <c r="EN90" s="1118">
        <f t="shared" si="229"/>
        <v>0</v>
      </c>
      <c r="EO90" s="1118">
        <f t="shared" si="230"/>
        <v>0</v>
      </c>
      <c r="EP90" s="1118">
        <f t="shared" si="231"/>
        <v>1893858706.006402</v>
      </c>
      <c r="EQ90" s="1119"/>
      <c r="EU90" s="1117">
        <f t="shared" si="232"/>
        <v>1893858706.006402</v>
      </c>
      <c r="EV90" s="1118">
        <f t="shared" si="233"/>
        <v>0</v>
      </c>
      <c r="EW90" s="1118">
        <f t="shared" si="234"/>
        <v>0</v>
      </c>
      <c r="EX90" s="1118">
        <f t="shared" si="235"/>
        <v>1893858706.006402</v>
      </c>
      <c r="EY90" s="1119"/>
      <c r="FC90" s="1117">
        <f t="shared" si="236"/>
        <v>1893858706.006402</v>
      </c>
      <c r="FD90" s="1118">
        <f t="shared" si="237"/>
        <v>0</v>
      </c>
      <c r="FE90" s="1118">
        <f t="shared" si="238"/>
        <v>0</v>
      </c>
      <c r="FF90" s="1118">
        <f t="shared" si="239"/>
        <v>1893858706.006402</v>
      </c>
      <c r="FG90" s="1119"/>
      <c r="FK90" s="1117">
        <f t="shared" si="240"/>
        <v>1893858706.006402</v>
      </c>
      <c r="FL90" s="1118">
        <f t="shared" si="241"/>
        <v>0</v>
      </c>
      <c r="FM90" s="1118">
        <f t="shared" si="242"/>
        <v>0</v>
      </c>
      <c r="FN90" s="1118">
        <f t="shared" si="243"/>
        <v>1893858706.006402</v>
      </c>
      <c r="FO90" s="1119"/>
    </row>
    <row r="91" spans="1:171" x14ac:dyDescent="0.25">
      <c r="A91" s="1437"/>
      <c r="B91" s="10" t="s">
        <v>224</v>
      </c>
      <c r="C91" s="889" t="s">
        <v>225</v>
      </c>
      <c r="D91" s="889"/>
      <c r="E91" s="182" t="str">
        <f>'Sch 1- Rate Base '!E91</f>
        <v>DIRECT</v>
      </c>
      <c r="F91" s="890"/>
      <c r="G91" s="182">
        <f>'Sch 1- Rate Base '!G91</f>
        <v>0</v>
      </c>
      <c r="H91" s="182">
        <f>'Sch 1- Rate Base '!H91</f>
        <v>0</v>
      </c>
      <c r="I91" s="182">
        <f>'Sch 1- Rate Base '!I91</f>
        <v>0</v>
      </c>
      <c r="J91" s="1422">
        <f>'Sch 1- Rate Base '!J91</f>
        <v>0</v>
      </c>
      <c r="K91" s="904">
        <f t="shared" si="163"/>
        <v>0</v>
      </c>
      <c r="O91" s="1117">
        <f t="shared" si="164"/>
        <v>0</v>
      </c>
      <c r="P91" s="1118">
        <f t="shared" si="165"/>
        <v>0</v>
      </c>
      <c r="Q91" s="1118">
        <f t="shared" si="166"/>
        <v>0</v>
      </c>
      <c r="R91" s="1118">
        <f t="shared" si="167"/>
        <v>0</v>
      </c>
      <c r="S91" s="1119"/>
      <c r="W91" s="1117">
        <f t="shared" si="168"/>
        <v>0</v>
      </c>
      <c r="X91" s="1118">
        <f t="shared" si="169"/>
        <v>0</v>
      </c>
      <c r="Y91" s="1118">
        <f t="shared" si="170"/>
        <v>0</v>
      </c>
      <c r="Z91" s="1118">
        <f t="shared" si="171"/>
        <v>0</v>
      </c>
      <c r="AA91" s="1119"/>
      <c r="AE91" s="1117">
        <f t="shared" si="172"/>
        <v>0</v>
      </c>
      <c r="AF91" s="1118">
        <f t="shared" si="173"/>
        <v>0</v>
      </c>
      <c r="AG91" s="1118">
        <f t="shared" si="174"/>
        <v>0</v>
      </c>
      <c r="AH91" s="1118">
        <f t="shared" si="175"/>
        <v>0</v>
      </c>
      <c r="AI91" s="1119"/>
      <c r="AM91" s="1117">
        <f t="shared" si="176"/>
        <v>0</v>
      </c>
      <c r="AN91" s="1118">
        <f t="shared" si="177"/>
        <v>0</v>
      </c>
      <c r="AO91" s="1118">
        <f t="shared" si="178"/>
        <v>0</v>
      </c>
      <c r="AP91" s="1118">
        <f t="shared" si="179"/>
        <v>0</v>
      </c>
      <c r="AQ91" s="1119"/>
      <c r="AU91" s="1117">
        <f t="shared" si="180"/>
        <v>0</v>
      </c>
      <c r="AV91" s="1118">
        <f t="shared" si="181"/>
        <v>0</v>
      </c>
      <c r="AW91" s="1118">
        <f t="shared" si="182"/>
        <v>0</v>
      </c>
      <c r="AX91" s="1118">
        <f t="shared" si="183"/>
        <v>0</v>
      </c>
      <c r="AY91" s="1119"/>
      <c r="BC91" s="1117">
        <f t="shared" si="184"/>
        <v>0</v>
      </c>
      <c r="BD91" s="1118">
        <f t="shared" si="185"/>
        <v>0</v>
      </c>
      <c r="BE91" s="1118">
        <f t="shared" si="186"/>
        <v>0</v>
      </c>
      <c r="BF91" s="1118">
        <f t="shared" si="187"/>
        <v>0</v>
      </c>
      <c r="BG91" s="1119"/>
      <c r="BK91" s="1117">
        <f t="shared" si="188"/>
        <v>0</v>
      </c>
      <c r="BL91" s="1118">
        <f t="shared" si="189"/>
        <v>0</v>
      </c>
      <c r="BM91" s="1118">
        <f t="shared" si="190"/>
        <v>0</v>
      </c>
      <c r="BN91" s="1118">
        <f t="shared" si="191"/>
        <v>0</v>
      </c>
      <c r="BO91" s="1119"/>
      <c r="BS91" s="1117">
        <f t="shared" si="192"/>
        <v>0</v>
      </c>
      <c r="BT91" s="1118">
        <f t="shared" si="193"/>
        <v>0</v>
      </c>
      <c r="BU91" s="1118">
        <f t="shared" si="194"/>
        <v>0</v>
      </c>
      <c r="BV91" s="1118">
        <f t="shared" si="195"/>
        <v>0</v>
      </c>
      <c r="BW91" s="1119"/>
      <c r="CA91" s="1117">
        <f t="shared" si="196"/>
        <v>0</v>
      </c>
      <c r="CB91" s="1118">
        <f t="shared" si="197"/>
        <v>0</v>
      </c>
      <c r="CC91" s="1118">
        <f t="shared" si="198"/>
        <v>0</v>
      </c>
      <c r="CD91" s="1118">
        <f t="shared" si="199"/>
        <v>0</v>
      </c>
      <c r="CE91" s="1119"/>
      <c r="CI91" s="1117">
        <f t="shared" si="200"/>
        <v>0</v>
      </c>
      <c r="CJ91" s="1118">
        <f t="shared" si="201"/>
        <v>0</v>
      </c>
      <c r="CK91" s="1118">
        <f t="shared" si="202"/>
        <v>0</v>
      </c>
      <c r="CL91" s="1118">
        <f t="shared" si="203"/>
        <v>0</v>
      </c>
      <c r="CM91" s="1119"/>
      <c r="CQ91" s="1117">
        <f t="shared" si="204"/>
        <v>0</v>
      </c>
      <c r="CR91" s="1118">
        <f t="shared" si="205"/>
        <v>0</v>
      </c>
      <c r="CS91" s="1118">
        <f t="shared" si="206"/>
        <v>0</v>
      </c>
      <c r="CT91" s="1118">
        <f t="shared" si="207"/>
        <v>0</v>
      </c>
      <c r="CU91" s="1119"/>
      <c r="CY91" s="1117">
        <f t="shared" si="208"/>
        <v>0</v>
      </c>
      <c r="CZ91" s="1118">
        <f t="shared" si="209"/>
        <v>0</v>
      </c>
      <c r="DA91" s="1118">
        <f t="shared" si="210"/>
        <v>0</v>
      </c>
      <c r="DB91" s="1118">
        <f t="shared" si="211"/>
        <v>0</v>
      </c>
      <c r="DC91" s="1119"/>
      <c r="DG91" s="1117">
        <f t="shared" si="212"/>
        <v>0</v>
      </c>
      <c r="DH91" s="1118">
        <f t="shared" si="213"/>
        <v>0</v>
      </c>
      <c r="DI91" s="1118">
        <f t="shared" si="214"/>
        <v>0</v>
      </c>
      <c r="DJ91" s="1118">
        <f t="shared" si="215"/>
        <v>0</v>
      </c>
      <c r="DK91" s="1119"/>
      <c r="DO91" s="1117">
        <f t="shared" si="216"/>
        <v>0</v>
      </c>
      <c r="DP91" s="1118">
        <f t="shared" si="217"/>
        <v>0</v>
      </c>
      <c r="DQ91" s="1118">
        <f t="shared" si="218"/>
        <v>0</v>
      </c>
      <c r="DR91" s="1118">
        <f t="shared" si="219"/>
        <v>0</v>
      </c>
      <c r="DS91" s="1119"/>
      <c r="DW91" s="1117">
        <f t="shared" si="220"/>
        <v>0</v>
      </c>
      <c r="DX91" s="1118">
        <f t="shared" si="221"/>
        <v>0</v>
      </c>
      <c r="DY91" s="1118">
        <f t="shared" si="222"/>
        <v>0</v>
      </c>
      <c r="DZ91" s="1118">
        <f t="shared" si="223"/>
        <v>0</v>
      </c>
      <c r="EA91" s="1119"/>
      <c r="EE91" s="1117">
        <f t="shared" si="224"/>
        <v>0</v>
      </c>
      <c r="EF91" s="1118">
        <f t="shared" si="225"/>
        <v>0</v>
      </c>
      <c r="EG91" s="1118">
        <f t="shared" si="226"/>
        <v>0</v>
      </c>
      <c r="EH91" s="1118">
        <f t="shared" si="227"/>
        <v>0</v>
      </c>
      <c r="EI91" s="1119"/>
      <c r="EM91" s="1117">
        <f t="shared" si="228"/>
        <v>0</v>
      </c>
      <c r="EN91" s="1118">
        <f t="shared" si="229"/>
        <v>0</v>
      </c>
      <c r="EO91" s="1118">
        <f t="shared" si="230"/>
        <v>0</v>
      </c>
      <c r="EP91" s="1118">
        <f t="shared" si="231"/>
        <v>0</v>
      </c>
      <c r="EQ91" s="1119"/>
      <c r="EU91" s="1117">
        <f t="shared" si="232"/>
        <v>0</v>
      </c>
      <c r="EV91" s="1118">
        <f t="shared" si="233"/>
        <v>0</v>
      </c>
      <c r="EW91" s="1118">
        <f t="shared" si="234"/>
        <v>0</v>
      </c>
      <c r="EX91" s="1118">
        <f t="shared" si="235"/>
        <v>0</v>
      </c>
      <c r="EY91" s="1119"/>
      <c r="FC91" s="1117">
        <f t="shared" si="236"/>
        <v>0</v>
      </c>
      <c r="FD91" s="1118">
        <f t="shared" si="237"/>
        <v>0</v>
      </c>
      <c r="FE91" s="1118">
        <f t="shared" si="238"/>
        <v>0</v>
      </c>
      <c r="FF91" s="1118">
        <f t="shared" si="239"/>
        <v>0</v>
      </c>
      <c r="FG91" s="1119"/>
      <c r="FK91" s="1117">
        <f t="shared" si="240"/>
        <v>0</v>
      </c>
      <c r="FL91" s="1118">
        <f t="shared" si="241"/>
        <v>0</v>
      </c>
      <c r="FM91" s="1118">
        <f t="shared" si="242"/>
        <v>0</v>
      </c>
      <c r="FN91" s="1118">
        <f t="shared" si="243"/>
        <v>0</v>
      </c>
      <c r="FO91" s="1119"/>
    </row>
    <row r="92" spans="1:171" x14ac:dyDescent="0.25">
      <c r="A92" s="1437"/>
      <c r="B92" s="10" t="s">
        <v>71</v>
      </c>
      <c r="C92" s="889" t="s">
        <v>69</v>
      </c>
      <c r="D92" s="889">
        <v>114</v>
      </c>
      <c r="E92" s="182" t="str">
        <f>'Sch 1- Rate Base '!E92</f>
        <v>DIRECT</v>
      </c>
      <c r="F92" s="890"/>
      <c r="G92" s="182">
        <f>'Sch 1- Rate Base '!G92</f>
        <v>58063393.551475897</v>
      </c>
      <c r="H92" s="182">
        <f>'Sch 1- Rate Base '!H92</f>
        <v>58063393.549999997</v>
      </c>
      <c r="I92" s="182">
        <f>'Sch 1- Rate Base '!I92</f>
        <v>0</v>
      </c>
      <c r="J92" s="1422">
        <f>'Sch 1- Rate Base '!J92</f>
        <v>0</v>
      </c>
      <c r="K92" s="904">
        <f t="shared" si="163"/>
        <v>0</v>
      </c>
      <c r="O92" s="1117">
        <f t="shared" si="164"/>
        <v>58063393.551475897</v>
      </c>
      <c r="P92" s="1118">
        <f t="shared" si="165"/>
        <v>58063393.549999997</v>
      </c>
      <c r="Q92" s="1118">
        <f t="shared" si="166"/>
        <v>0</v>
      </c>
      <c r="R92" s="1118">
        <f t="shared" si="167"/>
        <v>1.475900411605835E-3</v>
      </c>
      <c r="S92" s="1119"/>
      <c r="W92" s="1117">
        <f t="shared" si="168"/>
        <v>58063393.551475897</v>
      </c>
      <c r="X92" s="1118">
        <f t="shared" si="169"/>
        <v>58063393.549999997</v>
      </c>
      <c r="Y92" s="1118">
        <f t="shared" si="170"/>
        <v>0</v>
      </c>
      <c r="Z92" s="1118">
        <f t="shared" si="171"/>
        <v>1.475900411605835E-3</v>
      </c>
      <c r="AA92" s="1119"/>
      <c r="AE92" s="1117">
        <f t="shared" si="172"/>
        <v>58063393.551475897</v>
      </c>
      <c r="AF92" s="1118">
        <f t="shared" si="173"/>
        <v>58063393.549999997</v>
      </c>
      <c r="AG92" s="1118">
        <f t="shared" si="174"/>
        <v>0</v>
      </c>
      <c r="AH92" s="1118">
        <f t="shared" si="175"/>
        <v>1.475900411605835E-3</v>
      </c>
      <c r="AI92" s="1119"/>
      <c r="AM92" s="1117">
        <f t="shared" si="176"/>
        <v>58063393.551475897</v>
      </c>
      <c r="AN92" s="1118">
        <f t="shared" si="177"/>
        <v>58063393.549999997</v>
      </c>
      <c r="AO92" s="1118">
        <f t="shared" si="178"/>
        <v>0</v>
      </c>
      <c r="AP92" s="1118">
        <f t="shared" si="179"/>
        <v>1.475900411605835E-3</v>
      </c>
      <c r="AQ92" s="1119"/>
      <c r="AU92" s="1117">
        <f t="shared" si="180"/>
        <v>58063393.551475897</v>
      </c>
      <c r="AV92" s="1118">
        <f t="shared" si="181"/>
        <v>58063393.549999997</v>
      </c>
      <c r="AW92" s="1118">
        <f t="shared" si="182"/>
        <v>0</v>
      </c>
      <c r="AX92" s="1118">
        <f t="shared" si="183"/>
        <v>1.475900411605835E-3</v>
      </c>
      <c r="AY92" s="1119"/>
      <c r="BC92" s="1117">
        <f t="shared" si="184"/>
        <v>58063393.551475897</v>
      </c>
      <c r="BD92" s="1118">
        <f t="shared" si="185"/>
        <v>58063393.549999997</v>
      </c>
      <c r="BE92" s="1118">
        <f t="shared" si="186"/>
        <v>0</v>
      </c>
      <c r="BF92" s="1118">
        <f t="shared" si="187"/>
        <v>1.475900411605835E-3</v>
      </c>
      <c r="BG92" s="1119"/>
      <c r="BK92" s="1117">
        <f t="shared" si="188"/>
        <v>58063393.551475897</v>
      </c>
      <c r="BL92" s="1118">
        <f t="shared" si="189"/>
        <v>58063393.549999997</v>
      </c>
      <c r="BM92" s="1118">
        <f t="shared" si="190"/>
        <v>0</v>
      </c>
      <c r="BN92" s="1118">
        <f t="shared" si="191"/>
        <v>1.475900411605835E-3</v>
      </c>
      <c r="BO92" s="1119"/>
      <c r="BS92" s="1117">
        <f t="shared" si="192"/>
        <v>58063393.551475897</v>
      </c>
      <c r="BT92" s="1118">
        <f t="shared" si="193"/>
        <v>58063393.549999997</v>
      </c>
      <c r="BU92" s="1118">
        <f t="shared" si="194"/>
        <v>0</v>
      </c>
      <c r="BV92" s="1118">
        <f t="shared" si="195"/>
        <v>1.475900411605835E-3</v>
      </c>
      <c r="BW92" s="1119"/>
      <c r="CA92" s="1117">
        <f t="shared" si="196"/>
        <v>58063393.551475897</v>
      </c>
      <c r="CB92" s="1118">
        <f t="shared" si="197"/>
        <v>58063393.549999997</v>
      </c>
      <c r="CC92" s="1118">
        <f t="shared" si="198"/>
        <v>0</v>
      </c>
      <c r="CD92" s="1118">
        <f t="shared" si="199"/>
        <v>1.475900411605835E-3</v>
      </c>
      <c r="CE92" s="1119"/>
      <c r="CI92" s="1117">
        <f t="shared" si="200"/>
        <v>58063393.551475897</v>
      </c>
      <c r="CJ92" s="1118">
        <f t="shared" si="201"/>
        <v>58063393.549999997</v>
      </c>
      <c r="CK92" s="1118">
        <f t="shared" si="202"/>
        <v>0</v>
      </c>
      <c r="CL92" s="1118">
        <f t="shared" si="203"/>
        <v>1.475900411605835E-3</v>
      </c>
      <c r="CM92" s="1119"/>
      <c r="CQ92" s="1117">
        <f t="shared" si="204"/>
        <v>58063393.551475897</v>
      </c>
      <c r="CR92" s="1118">
        <f t="shared" si="205"/>
        <v>58063393.549999997</v>
      </c>
      <c r="CS92" s="1118">
        <f t="shared" si="206"/>
        <v>0</v>
      </c>
      <c r="CT92" s="1118">
        <f t="shared" si="207"/>
        <v>1.475900411605835E-3</v>
      </c>
      <c r="CU92" s="1119"/>
      <c r="CY92" s="1117">
        <f t="shared" si="208"/>
        <v>58063393.551475897</v>
      </c>
      <c r="CZ92" s="1118">
        <f t="shared" si="209"/>
        <v>58063393.549999997</v>
      </c>
      <c r="DA92" s="1118">
        <f t="shared" si="210"/>
        <v>0</v>
      </c>
      <c r="DB92" s="1118">
        <f t="shared" si="211"/>
        <v>1.475900411605835E-3</v>
      </c>
      <c r="DC92" s="1119"/>
      <c r="DG92" s="1117">
        <f t="shared" si="212"/>
        <v>58063393.551475897</v>
      </c>
      <c r="DH92" s="1118">
        <f t="shared" si="213"/>
        <v>58063393.549999997</v>
      </c>
      <c r="DI92" s="1118">
        <f t="shared" si="214"/>
        <v>0</v>
      </c>
      <c r="DJ92" s="1118">
        <f t="shared" si="215"/>
        <v>1.475900411605835E-3</v>
      </c>
      <c r="DK92" s="1119"/>
      <c r="DO92" s="1117">
        <f t="shared" si="216"/>
        <v>58063393.551475897</v>
      </c>
      <c r="DP92" s="1118">
        <f t="shared" si="217"/>
        <v>58063393.549999997</v>
      </c>
      <c r="DQ92" s="1118">
        <f t="shared" si="218"/>
        <v>0</v>
      </c>
      <c r="DR92" s="1118">
        <f t="shared" si="219"/>
        <v>1.475900411605835E-3</v>
      </c>
      <c r="DS92" s="1119"/>
      <c r="DW92" s="1117">
        <f t="shared" si="220"/>
        <v>58063393.551475897</v>
      </c>
      <c r="DX92" s="1118">
        <f t="shared" si="221"/>
        <v>58063393.549999997</v>
      </c>
      <c r="DY92" s="1118">
        <f t="shared" si="222"/>
        <v>0</v>
      </c>
      <c r="DZ92" s="1118">
        <f t="shared" si="223"/>
        <v>1.475900411605835E-3</v>
      </c>
      <c r="EA92" s="1119"/>
      <c r="EE92" s="1117">
        <f t="shared" si="224"/>
        <v>58063393.551475897</v>
      </c>
      <c r="EF92" s="1118">
        <f t="shared" si="225"/>
        <v>58063393.549999997</v>
      </c>
      <c r="EG92" s="1118">
        <f t="shared" si="226"/>
        <v>0</v>
      </c>
      <c r="EH92" s="1118">
        <f t="shared" si="227"/>
        <v>1.475900411605835E-3</v>
      </c>
      <c r="EI92" s="1119"/>
      <c r="EM92" s="1117">
        <f t="shared" si="228"/>
        <v>58063393.551475897</v>
      </c>
      <c r="EN92" s="1118">
        <f t="shared" si="229"/>
        <v>58063393.549999997</v>
      </c>
      <c r="EO92" s="1118">
        <f t="shared" si="230"/>
        <v>0</v>
      </c>
      <c r="EP92" s="1118">
        <f t="shared" si="231"/>
        <v>1.475900411605835E-3</v>
      </c>
      <c r="EQ92" s="1119"/>
      <c r="EU92" s="1117">
        <f t="shared" si="232"/>
        <v>58063393.551475897</v>
      </c>
      <c r="EV92" s="1118">
        <f t="shared" si="233"/>
        <v>58063393.549999997</v>
      </c>
      <c r="EW92" s="1118">
        <f t="shared" si="234"/>
        <v>0</v>
      </c>
      <c r="EX92" s="1118">
        <f t="shared" si="235"/>
        <v>1.475900411605835E-3</v>
      </c>
      <c r="EY92" s="1119"/>
      <c r="FC92" s="1117">
        <f t="shared" si="236"/>
        <v>58063393.551475897</v>
      </c>
      <c r="FD92" s="1118">
        <f t="shared" si="237"/>
        <v>58063393.549999997</v>
      </c>
      <c r="FE92" s="1118">
        <f t="shared" si="238"/>
        <v>0</v>
      </c>
      <c r="FF92" s="1118">
        <f t="shared" si="239"/>
        <v>1.475900411605835E-3</v>
      </c>
      <c r="FG92" s="1119"/>
      <c r="FK92" s="1117">
        <f t="shared" si="240"/>
        <v>58063393.551475897</v>
      </c>
      <c r="FL92" s="1118">
        <f t="shared" si="241"/>
        <v>58063393.549999997</v>
      </c>
      <c r="FM92" s="1118">
        <f t="shared" si="242"/>
        <v>0</v>
      </c>
      <c r="FN92" s="1118">
        <f t="shared" si="243"/>
        <v>1.475900411605835E-3</v>
      </c>
      <c r="FO92" s="1119"/>
    </row>
    <row r="93" spans="1:171" x14ac:dyDescent="0.25">
      <c r="A93" s="1437"/>
      <c r="B93" s="848" t="s">
        <v>104</v>
      </c>
      <c r="C93" s="915"/>
      <c r="D93" s="916"/>
      <c r="E93" s="916"/>
      <c r="F93" s="917"/>
      <c r="G93" s="924">
        <f>SUM(G87:G92)</f>
        <v>2182944585.196835</v>
      </c>
      <c r="H93" s="924">
        <f>SUM(H87:H92)</f>
        <v>156351005.42557901</v>
      </c>
      <c r="I93" s="924">
        <f>SUM(I87:I92)</f>
        <v>0</v>
      </c>
      <c r="J93" s="1429">
        <f>SUM(J87:J92)</f>
        <v>2026593579.7697799</v>
      </c>
      <c r="K93" s="904"/>
      <c r="O93" s="1127">
        <f>SUM(O87:O92)</f>
        <v>2182944585.196835</v>
      </c>
      <c r="P93" s="1127">
        <f>SUM(P87:P92)</f>
        <v>156351005.42557901</v>
      </c>
      <c r="Q93" s="1127">
        <f>SUM(Q87:Q92)</f>
        <v>58029122.786991686</v>
      </c>
      <c r="R93" s="1127">
        <f>SUM(R87:R92)</f>
        <v>1968564456.9842641</v>
      </c>
      <c r="S93" s="1119"/>
      <c r="W93" s="1127">
        <f>SUM(W87:W92)</f>
        <v>2182944585.196835</v>
      </c>
      <c r="X93" s="1127">
        <f>SUM(X87:X92)</f>
        <v>156351005.42557901</v>
      </c>
      <c r="Y93" s="1127">
        <f>SUM(Y87:Y92)</f>
        <v>58029122.786991686</v>
      </c>
      <c r="Z93" s="1127">
        <f>SUM(Z87:Z92)</f>
        <v>1968564456.9842641</v>
      </c>
      <c r="AA93" s="1119"/>
      <c r="AE93" s="1127">
        <f>SUM(AE87:AE92)</f>
        <v>2182944585.196835</v>
      </c>
      <c r="AF93" s="1127">
        <f>SUM(AF87:AF92)</f>
        <v>156351005.42557901</v>
      </c>
      <c r="AG93" s="1127">
        <f>SUM(AG87:AG92)</f>
        <v>58029122.786991686</v>
      </c>
      <c r="AH93" s="1127">
        <f>SUM(AH87:AH92)</f>
        <v>1968564456.9842641</v>
      </c>
      <c r="AI93" s="1119"/>
      <c r="AM93" s="1127">
        <f>SUM(AM87:AM92)</f>
        <v>2182944585.196835</v>
      </c>
      <c r="AN93" s="1127">
        <f>SUM(AN87:AN92)</f>
        <v>156351005.42557901</v>
      </c>
      <c r="AO93" s="1127">
        <f>SUM(AO87:AO92)</f>
        <v>58029122.786991686</v>
      </c>
      <c r="AP93" s="1127">
        <f>SUM(AP87:AP92)</f>
        <v>1968564456.9842641</v>
      </c>
      <c r="AQ93" s="1119"/>
      <c r="AU93" s="1127">
        <f>SUM(AU87:AU92)</f>
        <v>2182944585.196835</v>
      </c>
      <c r="AV93" s="1127">
        <f>SUM(AV87:AV92)</f>
        <v>156351005.42557901</v>
      </c>
      <c r="AW93" s="1127">
        <f>SUM(AW87:AW92)</f>
        <v>58029122.786991686</v>
      </c>
      <c r="AX93" s="1127">
        <f>SUM(AX87:AX92)</f>
        <v>1968564456.9842641</v>
      </c>
      <c r="AY93" s="1119"/>
      <c r="BC93" s="1127">
        <f>SUM(BC87:BC92)</f>
        <v>2182944585.196835</v>
      </c>
      <c r="BD93" s="1127">
        <f>SUM(BD87:BD92)</f>
        <v>156351005.42557901</v>
      </c>
      <c r="BE93" s="1127">
        <f>SUM(BE87:BE92)</f>
        <v>58029122.786991686</v>
      </c>
      <c r="BF93" s="1127">
        <f>SUM(BF87:BF92)</f>
        <v>1968564456.9842641</v>
      </c>
      <c r="BG93" s="1119"/>
      <c r="BK93" s="1127">
        <f>SUM(BK87:BK92)</f>
        <v>2182944585.196835</v>
      </c>
      <c r="BL93" s="1127">
        <f>SUM(BL87:BL92)</f>
        <v>156351005.42557901</v>
      </c>
      <c r="BM93" s="1127">
        <f>SUM(BM87:BM92)</f>
        <v>58029122.786991686</v>
      </c>
      <c r="BN93" s="1127">
        <f>SUM(BN87:BN92)</f>
        <v>1968564456.9842641</v>
      </c>
      <c r="BO93" s="1119"/>
      <c r="BS93" s="1127">
        <f>SUM(BS87:BS92)</f>
        <v>2182944585.196835</v>
      </c>
      <c r="BT93" s="1127">
        <f>SUM(BT87:BT92)</f>
        <v>156351005.42557901</v>
      </c>
      <c r="BU93" s="1127">
        <f>SUM(BU87:BU92)</f>
        <v>58029122.786991686</v>
      </c>
      <c r="BV93" s="1127">
        <f>SUM(BV87:BV92)</f>
        <v>1968564456.9842641</v>
      </c>
      <c r="BW93" s="1119"/>
      <c r="CA93" s="1127">
        <f>SUM(CA87:CA92)</f>
        <v>2182944585.196835</v>
      </c>
      <c r="CB93" s="1127">
        <f>SUM(CB87:CB92)</f>
        <v>156351005.42557901</v>
      </c>
      <c r="CC93" s="1127">
        <f>SUM(CC87:CC92)</f>
        <v>58029122.786991686</v>
      </c>
      <c r="CD93" s="1127">
        <f>SUM(CD87:CD92)</f>
        <v>1968564456.9842641</v>
      </c>
      <c r="CE93" s="1119"/>
      <c r="CI93" s="1127">
        <f>SUM(CI87:CI92)</f>
        <v>2182944585.196835</v>
      </c>
      <c r="CJ93" s="1127">
        <f>SUM(CJ87:CJ92)</f>
        <v>156351005.42557901</v>
      </c>
      <c r="CK93" s="1127">
        <f>SUM(CK87:CK92)</f>
        <v>58029122.786991686</v>
      </c>
      <c r="CL93" s="1127">
        <f>SUM(CL87:CL92)</f>
        <v>1968564456.9842641</v>
      </c>
      <c r="CM93" s="1119"/>
      <c r="CQ93" s="1127">
        <f>SUM(CQ87:CQ92)</f>
        <v>2182944585.196835</v>
      </c>
      <c r="CR93" s="1127">
        <f>SUM(CR87:CR92)</f>
        <v>156351005.42557901</v>
      </c>
      <c r="CS93" s="1127">
        <f>SUM(CS87:CS92)</f>
        <v>58029122.786991686</v>
      </c>
      <c r="CT93" s="1127">
        <f>SUM(CT87:CT92)</f>
        <v>1968564456.9842641</v>
      </c>
      <c r="CU93" s="1119"/>
      <c r="CY93" s="1127">
        <f>SUM(CY87:CY92)</f>
        <v>2182944585.196835</v>
      </c>
      <c r="CZ93" s="1127">
        <f>SUM(CZ87:CZ92)</f>
        <v>156351005.42557901</v>
      </c>
      <c r="DA93" s="1127">
        <f>SUM(DA87:DA92)</f>
        <v>58029122.786991686</v>
      </c>
      <c r="DB93" s="1127">
        <f>SUM(DB87:DB92)</f>
        <v>1968564456.9842641</v>
      </c>
      <c r="DC93" s="1119"/>
      <c r="DG93" s="1127">
        <f>SUM(DG87:DG92)</f>
        <v>2182944585.196835</v>
      </c>
      <c r="DH93" s="1127">
        <f>SUM(DH87:DH92)</f>
        <v>156351005.42557901</v>
      </c>
      <c r="DI93" s="1127">
        <f>SUM(DI87:DI92)</f>
        <v>58029122.786991686</v>
      </c>
      <c r="DJ93" s="1127">
        <f>SUM(DJ87:DJ92)</f>
        <v>1968564456.9842641</v>
      </c>
      <c r="DK93" s="1119"/>
      <c r="DO93" s="1127">
        <f>SUM(DO87:DO92)</f>
        <v>2182944585.196835</v>
      </c>
      <c r="DP93" s="1127">
        <f>SUM(DP87:DP92)</f>
        <v>156351005.42557901</v>
      </c>
      <c r="DQ93" s="1127">
        <f>SUM(DQ87:DQ92)</f>
        <v>58029122.786991686</v>
      </c>
      <c r="DR93" s="1127">
        <f>SUM(DR87:DR92)</f>
        <v>1968564456.9842641</v>
      </c>
      <c r="DS93" s="1119"/>
      <c r="DW93" s="1127">
        <f>SUM(DW87:DW92)</f>
        <v>2182944585.196835</v>
      </c>
      <c r="DX93" s="1127">
        <f>SUM(DX87:DX92)</f>
        <v>156351005.42557901</v>
      </c>
      <c r="DY93" s="1127">
        <f>SUM(DY87:DY92)</f>
        <v>58029122.786991686</v>
      </c>
      <c r="DZ93" s="1127">
        <f>SUM(DZ87:DZ92)</f>
        <v>1968564456.9842641</v>
      </c>
      <c r="EA93" s="1119"/>
      <c r="EE93" s="1127">
        <f>SUM(EE87:EE92)</f>
        <v>2182944585.196835</v>
      </c>
      <c r="EF93" s="1127">
        <f>SUM(EF87:EF92)</f>
        <v>156351005.42557901</v>
      </c>
      <c r="EG93" s="1127">
        <f>SUM(EG87:EG92)</f>
        <v>58029122.786991686</v>
      </c>
      <c r="EH93" s="1127">
        <f>SUM(EH87:EH92)</f>
        <v>1968564456.9842641</v>
      </c>
      <c r="EI93" s="1119"/>
      <c r="EM93" s="1127">
        <f>SUM(EM87:EM92)</f>
        <v>2182944585.196835</v>
      </c>
      <c r="EN93" s="1127">
        <f>SUM(EN87:EN92)</f>
        <v>156351005.42557901</v>
      </c>
      <c r="EO93" s="1127">
        <f>SUM(EO87:EO92)</f>
        <v>58029122.786991686</v>
      </c>
      <c r="EP93" s="1127">
        <f>SUM(EP87:EP92)</f>
        <v>1968564456.9842641</v>
      </c>
      <c r="EQ93" s="1119"/>
      <c r="EU93" s="1127">
        <f>SUM(EU87:EU92)</f>
        <v>2182944585.196835</v>
      </c>
      <c r="EV93" s="1127">
        <f>SUM(EV87:EV92)</f>
        <v>156351005.42557901</v>
      </c>
      <c r="EW93" s="1127">
        <f>SUM(EW87:EW92)</f>
        <v>58029122.786991686</v>
      </c>
      <c r="EX93" s="1127">
        <f>SUM(EX87:EX92)</f>
        <v>1968564456.9842641</v>
      </c>
      <c r="EY93" s="1119"/>
      <c r="FC93" s="1127">
        <f>SUM(FC87:FC92)</f>
        <v>2182944585.196835</v>
      </c>
      <c r="FD93" s="1127">
        <f>SUM(FD87:FD92)</f>
        <v>156351005.42557901</v>
      </c>
      <c r="FE93" s="1127">
        <f>SUM(FE87:FE92)</f>
        <v>58029122.786991686</v>
      </c>
      <c r="FF93" s="1127">
        <f>SUM(FF87:FF92)</f>
        <v>1968564456.9842641</v>
      </c>
      <c r="FG93" s="1119"/>
      <c r="FK93" s="1127">
        <f>SUM(FK87:FK92)</f>
        <v>2182944585.196835</v>
      </c>
      <c r="FL93" s="1127">
        <f>SUM(FL87:FL92)</f>
        <v>156351005.42557901</v>
      </c>
      <c r="FM93" s="1127">
        <f>SUM(FM87:FM92)</f>
        <v>58029122.786991686</v>
      </c>
      <c r="FN93" s="1127">
        <f>SUM(FN87:FN92)</f>
        <v>1968564456.9842641</v>
      </c>
      <c r="FO93" s="1119"/>
    </row>
    <row r="94" spans="1:171" x14ac:dyDescent="0.25">
      <c r="A94" s="1437"/>
      <c r="B94" s="848"/>
      <c r="C94" s="946"/>
      <c r="D94" s="947"/>
      <c r="E94" s="196"/>
      <c r="F94" s="196"/>
      <c r="G94" s="948"/>
      <c r="H94" s="948"/>
      <c r="I94" s="948"/>
      <c r="J94" s="1438"/>
      <c r="K94" s="904"/>
      <c r="O94" s="948"/>
      <c r="S94" s="1119"/>
      <c r="W94" s="948"/>
      <c r="AA94" s="1119"/>
      <c r="AE94" s="948"/>
      <c r="AI94" s="1119"/>
      <c r="AM94" s="948"/>
      <c r="AQ94" s="1119"/>
      <c r="AU94" s="948"/>
      <c r="AY94" s="1119"/>
      <c r="BC94" s="948"/>
      <c r="BG94" s="1119"/>
      <c r="BK94" s="948"/>
      <c r="BO94" s="1119"/>
      <c r="BS94" s="948"/>
      <c r="BW94" s="1119"/>
      <c r="CA94" s="948"/>
      <c r="CE94" s="1119"/>
      <c r="CI94" s="948"/>
      <c r="CM94" s="1119"/>
      <c r="CQ94" s="948"/>
      <c r="CU94" s="1119"/>
      <c r="CY94" s="948"/>
      <c r="DC94" s="1119"/>
      <c r="DG94" s="948"/>
      <c r="DK94" s="1119"/>
      <c r="DO94" s="948"/>
      <c r="DS94" s="1119"/>
      <c r="DW94" s="948"/>
      <c r="EA94" s="1119"/>
      <c r="EE94" s="948"/>
      <c r="EI94" s="1119"/>
      <c r="EM94" s="948"/>
      <c r="EQ94" s="1119"/>
      <c r="EU94" s="948"/>
      <c r="EY94" s="1119"/>
      <c r="FC94" s="948"/>
      <c r="FG94" s="1119"/>
      <c r="FK94" s="948"/>
      <c r="FO94" s="1119"/>
    </row>
    <row r="95" spans="1:171" x14ac:dyDescent="0.25">
      <c r="A95" s="1367" t="s">
        <v>275</v>
      </c>
      <c r="B95" s="79"/>
      <c r="C95" s="941"/>
      <c r="D95" s="196"/>
      <c r="E95" s="196"/>
      <c r="F95" s="196"/>
      <c r="G95" s="950"/>
      <c r="H95" s="950"/>
      <c r="I95" s="950"/>
      <c r="J95" s="1439"/>
      <c r="K95" s="904"/>
      <c r="O95" s="1080"/>
      <c r="S95" s="1119"/>
      <c r="W95" s="1080"/>
      <c r="AA95" s="1119"/>
      <c r="AE95" s="1080"/>
      <c r="AI95" s="1119"/>
      <c r="AM95" s="1080"/>
      <c r="AQ95" s="1119"/>
      <c r="AU95" s="1080"/>
      <c r="AY95" s="1119"/>
      <c r="BC95" s="1080"/>
      <c r="BG95" s="1119"/>
      <c r="BK95" s="1080"/>
      <c r="BO95" s="1119"/>
      <c r="BS95" s="1080"/>
      <c r="BW95" s="1119"/>
      <c r="CA95" s="1080"/>
      <c r="CE95" s="1119"/>
      <c r="CI95" s="1080"/>
      <c r="CM95" s="1119"/>
      <c r="CQ95" s="1080"/>
      <c r="CU95" s="1119"/>
      <c r="CY95" s="1080"/>
      <c r="DC95" s="1119"/>
      <c r="DG95" s="1080"/>
      <c r="DK95" s="1119"/>
      <c r="DO95" s="1080"/>
      <c r="DS95" s="1119"/>
      <c r="DW95" s="1080"/>
      <c r="EA95" s="1119"/>
      <c r="EE95" s="1080"/>
      <c r="EI95" s="1119"/>
      <c r="EM95" s="1080"/>
      <c r="EQ95" s="1119"/>
      <c r="EU95" s="1080"/>
      <c r="EY95" s="1119"/>
      <c r="FC95" s="1080"/>
      <c r="FG95" s="1119"/>
      <c r="FK95" s="1080"/>
      <c r="FO95" s="1119"/>
    </row>
    <row r="96" spans="1:171" x14ac:dyDescent="0.25">
      <c r="A96" s="1421"/>
      <c r="B96" s="914" t="s">
        <v>444</v>
      </c>
      <c r="C96" s="889" t="s">
        <v>78</v>
      </c>
      <c r="D96" s="889">
        <v>123</v>
      </c>
      <c r="E96" s="182" t="str">
        <f>'Sch 1- Rate Base '!E96</f>
        <v>DIRECT</v>
      </c>
      <c r="F96" s="890"/>
      <c r="G96" s="182">
        <f>'Sch 1- Rate Base '!G96</f>
        <v>62858540.484995149</v>
      </c>
      <c r="H96" s="182">
        <f>'Sch 1- Rate Base '!H96</f>
        <v>0</v>
      </c>
      <c r="I96" s="182">
        <f>'Sch 1- Rate Base '!I96</f>
        <v>0</v>
      </c>
      <c r="J96" s="1422">
        <f>'Sch 1- Rate Base '!J96</f>
        <v>62858540.484995149</v>
      </c>
      <c r="K96" s="904">
        <f>IF($E96="DIRECT",0,1)</f>
        <v>0</v>
      </c>
      <c r="O96" s="1117">
        <f>$G96</f>
        <v>62858540.484995149</v>
      </c>
      <c r="P96" s="1118">
        <f>VLOOKUP($E96,O$442:R$453,2,FALSE)*O96*($K96)+IF($G96&gt;0,($H96/$G96)*O96,0)*(1-$K96)</f>
        <v>0</v>
      </c>
      <c r="Q96" s="1118">
        <f>VLOOKUP($E96,O$442:R$453,3,FALSE)*O96*($K96)+IF($G96&gt;0,($I96/$G96)*O96,0)*(1-$K96)</f>
        <v>0</v>
      </c>
      <c r="R96" s="1118">
        <f>VLOOKUP($E96,O$442:R$453,4,FALSE)*O96*($K96)+(O96-P96-Q96)*(1-$K96)</f>
        <v>62858540.484995149</v>
      </c>
      <c r="S96" s="1119"/>
      <c r="W96" s="1117">
        <f>$G96</f>
        <v>62858540.484995149</v>
      </c>
      <c r="X96" s="1118">
        <f>VLOOKUP($E96,W$442:Z$453,2,FALSE)*W96*($K96)+IF($G96&gt;0,($H96/$G96)*W96,0)*(1-$K96)</f>
        <v>0</v>
      </c>
      <c r="Y96" s="1118">
        <f>VLOOKUP($E96,W$442:Z$453,3,FALSE)*W96*($K96)+IF($G96&gt;0,($I96/$G96)*W96,0)*(1-$K96)</f>
        <v>0</v>
      </c>
      <c r="Z96" s="1118">
        <f>VLOOKUP($E96,W$442:Z$453,4,FALSE)*W96*($K96)+(W96-X96-Y96)*(1-$K96)</f>
        <v>62858540.484995149</v>
      </c>
      <c r="AA96" s="1119"/>
      <c r="AE96" s="1117">
        <f>$G96</f>
        <v>62858540.484995149</v>
      </c>
      <c r="AF96" s="1118">
        <f>VLOOKUP($E96,AE$442:AH$453,2,FALSE)*AE96*($K96)+IF($G96&gt;0,($H96/$G96)*AE96,0)*(1-$K96)</f>
        <v>0</v>
      </c>
      <c r="AG96" s="1118">
        <f>VLOOKUP($E96,AE$442:AH$453,3,FALSE)*AE96*($K96)+IF($G96&gt;0,($I96/$G96)*AE96,0)*(1-$K96)</f>
        <v>0</v>
      </c>
      <c r="AH96" s="1118">
        <f>VLOOKUP($E96,AE$442:AH$453,4,FALSE)*AE96*($K96)+(AE96-AF96-AG96)*(1-$K96)</f>
        <v>62858540.484995149</v>
      </c>
      <c r="AI96" s="1119"/>
      <c r="AM96" s="1117">
        <f>$G96</f>
        <v>62858540.484995149</v>
      </c>
      <c r="AN96" s="1118">
        <f>VLOOKUP($E96,AM$442:AP$453,2,FALSE)*AM96*($K96)+IF($G96&gt;0,($H96/$G96)*AM96,0)*(1-$K96)</f>
        <v>0</v>
      </c>
      <c r="AO96" s="1118">
        <f>VLOOKUP($E96,AM$442:AP$453,3,FALSE)*AM96*($K96)+IF($G96&gt;0,($I96/$G96)*AM96,0)*(1-$K96)</f>
        <v>0</v>
      </c>
      <c r="AP96" s="1118">
        <f>VLOOKUP($E96,AM$442:AP$453,4,FALSE)*AM96*($K96)+(AM96-AN96-AO96)*(1-$K96)</f>
        <v>62858540.484995149</v>
      </c>
      <c r="AQ96" s="1119"/>
      <c r="AU96" s="1117">
        <f>$G96</f>
        <v>62858540.484995149</v>
      </c>
      <c r="AV96" s="1118">
        <f>VLOOKUP($E96,AU$442:AX$453,2,FALSE)*AU96*($K96)+IF($G96&gt;0,($H96/$G96)*AU96,0)*(1-$K96)</f>
        <v>0</v>
      </c>
      <c r="AW96" s="1118">
        <f>VLOOKUP($E96,AU$442:AX$453,3,FALSE)*AU96*($K96)+IF($G96&gt;0,($I96/$G96)*AU96,0)*(1-$K96)</f>
        <v>0</v>
      </c>
      <c r="AX96" s="1118">
        <f>VLOOKUP($E96,AU$442:AX$453,4,FALSE)*AU96*($K96)+(AU96-AV96-AW96)*(1-$K96)</f>
        <v>62858540.484995149</v>
      </c>
      <c r="AY96" s="1119"/>
      <c r="BC96" s="1117">
        <f>$G96</f>
        <v>62858540.484995149</v>
      </c>
      <c r="BD96" s="1118">
        <f>VLOOKUP($E96,BC$442:BF$453,2,FALSE)*BC96*($K96)+IF($G96&gt;0,($H96/$G96)*BC96,0)*(1-$K96)</f>
        <v>0</v>
      </c>
      <c r="BE96" s="1118">
        <f>VLOOKUP($E96,BC$442:BF$453,3,FALSE)*BC96*($K96)+IF($G96&gt;0,($I96/$G96)*BC96,0)*(1-$K96)</f>
        <v>0</v>
      </c>
      <c r="BF96" s="1118">
        <f>VLOOKUP($E96,BC$442:BF$453,4,FALSE)*BC96*($K96)+(BC96-BD96-BE96)*(1-$K96)</f>
        <v>62858540.484995149</v>
      </c>
      <c r="BG96" s="1119"/>
      <c r="BK96" s="1117">
        <f>$G96</f>
        <v>62858540.484995149</v>
      </c>
      <c r="BL96" s="1118">
        <f>VLOOKUP($E96,BK$442:BN$453,2,FALSE)*BK96*($K96)+IF($G96&gt;0,($H96/$G96)*BK96,0)*(1-$K96)</f>
        <v>0</v>
      </c>
      <c r="BM96" s="1118">
        <f>VLOOKUP($E96,BK$442:BN$453,3,FALSE)*BK96*($K96)+IF($G96&gt;0,($I96/$G96)*BK96,0)*(1-$K96)</f>
        <v>0</v>
      </c>
      <c r="BN96" s="1118">
        <f>VLOOKUP($E96,BK$442:BN$453,4,FALSE)*BK96*($K96)+(BK96-BL96-BM96)*(1-$K96)</f>
        <v>62858540.484995149</v>
      </c>
      <c r="BO96" s="1119"/>
      <c r="BS96" s="1117">
        <f>$G96</f>
        <v>62858540.484995149</v>
      </c>
      <c r="BT96" s="1118">
        <f>VLOOKUP($E96,BS$442:BV$453,2,FALSE)*BS96*($K96)+IF($G96&gt;0,($H96/$G96)*BS96,0)*(1-$K96)</f>
        <v>0</v>
      </c>
      <c r="BU96" s="1118">
        <f>VLOOKUP($E96,BS$442:BV$453,3,FALSE)*BS96*($K96)+IF($G96&gt;0,($I96/$G96)*BS96,0)*(1-$K96)</f>
        <v>0</v>
      </c>
      <c r="BV96" s="1118">
        <f>VLOOKUP($E96,BS$442:BV$453,4,FALSE)*BS96*($K96)+(BS96-BT96-BU96)*(1-$K96)</f>
        <v>62858540.484995149</v>
      </c>
      <c r="BW96" s="1119"/>
      <c r="CA96" s="1117">
        <f>$G96</f>
        <v>62858540.484995149</v>
      </c>
      <c r="CB96" s="1118">
        <f>VLOOKUP($E96,CA$442:CD$453,2,FALSE)*CA96*($K96)+IF($G96&gt;0,($H96/$G96)*CA96,0)*(1-$K96)</f>
        <v>0</v>
      </c>
      <c r="CC96" s="1118">
        <f>VLOOKUP($E96,CA$442:CD$453,3,FALSE)*CA96*($K96)+IF($G96&gt;0,($I96/$G96)*CA96,0)*(1-$K96)</f>
        <v>0</v>
      </c>
      <c r="CD96" s="1118">
        <f>VLOOKUP($E96,CA$442:CD$453,4,FALSE)*CA96*($K96)+(CA96-CB96-CC96)*(1-$K96)</f>
        <v>62858540.484995149</v>
      </c>
      <c r="CE96" s="1119"/>
      <c r="CI96" s="1117">
        <f>$G96</f>
        <v>62858540.484995149</v>
      </c>
      <c r="CJ96" s="1118">
        <f>VLOOKUP($E96,CI$442:CL$453,2,FALSE)*CI96*($K96)+IF($G96&gt;0,($H96/$G96)*CI96,0)*(1-$K96)</f>
        <v>0</v>
      </c>
      <c r="CK96" s="1118">
        <f>VLOOKUP($E96,CI$442:CL$453,3,FALSE)*CI96*($K96)+IF($G96&gt;0,($I96/$G96)*CI96,0)*(1-$K96)</f>
        <v>0</v>
      </c>
      <c r="CL96" s="1118">
        <f>VLOOKUP($E96,CI$442:CL$453,4,FALSE)*CI96*($K96)+(CI96-CJ96-CK96)*(1-$K96)</f>
        <v>62858540.484995149</v>
      </c>
      <c r="CM96" s="1119"/>
      <c r="CQ96" s="1117">
        <f>$G96</f>
        <v>62858540.484995149</v>
      </c>
      <c r="CR96" s="1118">
        <f>VLOOKUP($E96,CQ$442:CT$453,2,FALSE)*CQ96*($K96)+IF($G96&gt;0,($H96/$G96)*CQ96,0)*(1-$K96)</f>
        <v>0</v>
      </c>
      <c r="CS96" s="1118">
        <f>VLOOKUP($E96,CQ$442:CT$453,3,FALSE)*CQ96*($K96)+IF($G96&gt;0,($I96/$G96)*CQ96,0)*(1-$K96)</f>
        <v>0</v>
      </c>
      <c r="CT96" s="1118">
        <f>VLOOKUP($E96,CQ$442:CT$453,4,FALSE)*CQ96*($K96)+(CQ96-CR96-CS96)*(1-$K96)</f>
        <v>62858540.484995149</v>
      </c>
      <c r="CU96" s="1119"/>
      <c r="CY96" s="1117">
        <f>$G96</f>
        <v>62858540.484995149</v>
      </c>
      <c r="CZ96" s="1118">
        <f>VLOOKUP($E96,CY$442:DB$453,2,FALSE)*CY96*($K96)+IF($G96&gt;0,($H96/$G96)*CY96,0)*(1-$K96)</f>
        <v>0</v>
      </c>
      <c r="DA96" s="1118">
        <f>VLOOKUP($E96,CY$442:DB$453,3,FALSE)*CY96*($K96)+IF($G96&gt;0,($I96/$G96)*CY96,0)*(1-$K96)</f>
        <v>0</v>
      </c>
      <c r="DB96" s="1118">
        <f>VLOOKUP($E96,CY$442:DB$453,4,FALSE)*CY96*($K96)+(CY96-CZ96-DA96)*(1-$K96)</f>
        <v>62858540.484995149</v>
      </c>
      <c r="DC96" s="1119"/>
      <c r="DG96" s="1117">
        <f>$G96</f>
        <v>62858540.484995149</v>
      </c>
      <c r="DH96" s="1118">
        <f>VLOOKUP($E96,DG$442:DJ$453,2,FALSE)*DG96*($K96)+IF($G96&gt;0,($H96/$G96)*DG96,0)*(1-$K96)</f>
        <v>0</v>
      </c>
      <c r="DI96" s="1118">
        <f>VLOOKUP($E96,DG$442:DJ$453,3,FALSE)*DG96*($K96)+IF($G96&gt;0,($I96/$G96)*DG96,0)*(1-$K96)</f>
        <v>0</v>
      </c>
      <c r="DJ96" s="1118">
        <f>VLOOKUP($E96,DG$442:DJ$453,4,FALSE)*DG96*($K96)+(DG96-DH96-DI96)*(1-$K96)</f>
        <v>62858540.484995149</v>
      </c>
      <c r="DK96" s="1119"/>
      <c r="DO96" s="1117">
        <f>$G96</f>
        <v>62858540.484995149</v>
      </c>
      <c r="DP96" s="1118">
        <f>VLOOKUP($E96,DO$442:DR$453,2,FALSE)*DO96*($K96)+IF($G96&gt;0,($H96/$G96)*DO96,0)*(1-$K96)</f>
        <v>0</v>
      </c>
      <c r="DQ96" s="1118">
        <f>VLOOKUP($E96,DO$442:DR$453,3,FALSE)*DO96*($K96)+IF($G96&gt;0,($I96/$G96)*DO96,0)*(1-$K96)</f>
        <v>0</v>
      </c>
      <c r="DR96" s="1118">
        <f>VLOOKUP($E96,DO$442:DR$453,4,FALSE)*DO96*($K96)+(DO96-DP96-DQ96)*(1-$K96)</f>
        <v>62858540.484995149</v>
      </c>
      <c r="DS96" s="1119"/>
      <c r="DW96" s="1117">
        <f>$G96</f>
        <v>62858540.484995149</v>
      </c>
      <c r="DX96" s="1118">
        <f>VLOOKUP($E96,DW$442:DZ$453,2,FALSE)*DW96*($K96)+IF($G96&gt;0,($H96/$G96)*DW96,0)*(1-$K96)</f>
        <v>0</v>
      </c>
      <c r="DY96" s="1118">
        <f>VLOOKUP($E96,DW$442:DZ$453,3,FALSE)*DW96*($K96)+IF($G96&gt;0,($I96/$G96)*DW96,0)*(1-$K96)</f>
        <v>0</v>
      </c>
      <c r="DZ96" s="1118">
        <f>VLOOKUP($E96,DW$442:DZ$453,4,FALSE)*DW96*($K96)+(DW96-DX96-DY96)*(1-$K96)</f>
        <v>62858540.484995149</v>
      </c>
      <c r="EA96" s="1119"/>
      <c r="EE96" s="1117">
        <f>$G96</f>
        <v>62858540.484995149</v>
      </c>
      <c r="EF96" s="1118">
        <f>VLOOKUP($E96,EE$442:EH$453,2,FALSE)*EE96*($K96)+IF($G96&gt;0,($H96/$G96)*EE96,0)*(1-$K96)</f>
        <v>0</v>
      </c>
      <c r="EG96" s="1118">
        <f>VLOOKUP($E96,EE$442:EH$453,3,FALSE)*EE96*($K96)+IF($G96&gt;0,($I96/$G96)*EE96,0)*(1-$K96)</f>
        <v>0</v>
      </c>
      <c r="EH96" s="1118">
        <f>VLOOKUP($E96,EE$442:EH$453,4,FALSE)*EE96*($K96)+(EE96-EF96-EG96)*(1-$K96)</f>
        <v>62858540.484995149</v>
      </c>
      <c r="EI96" s="1119"/>
      <c r="EM96" s="1117">
        <f>$G96</f>
        <v>62858540.484995149</v>
      </c>
      <c r="EN96" s="1118">
        <f>VLOOKUP($E96,EM$442:EP$453,2,FALSE)*EM96*($K96)+IF($G96&gt;0,($H96/$G96)*EM96,0)*(1-$K96)</f>
        <v>0</v>
      </c>
      <c r="EO96" s="1118">
        <f>VLOOKUP($E96,EM$442:EP$453,3,FALSE)*EM96*($K96)+IF($G96&gt;0,($I96/$G96)*EM96,0)*(1-$K96)</f>
        <v>0</v>
      </c>
      <c r="EP96" s="1118">
        <f>VLOOKUP($E96,EM$442:EP$453,4,FALSE)*EM96*($K96)+(EM96-EN96-EO96)*(1-$K96)</f>
        <v>62858540.484995149</v>
      </c>
      <c r="EQ96" s="1119"/>
      <c r="EU96" s="1117">
        <f>$G96</f>
        <v>62858540.484995149</v>
      </c>
      <c r="EV96" s="1118">
        <f>VLOOKUP($E96,EU$442:EX$453,2,FALSE)*EU96*($K96)+IF($G96&gt;0,($H96/$G96)*EU96,0)*(1-$K96)</f>
        <v>0</v>
      </c>
      <c r="EW96" s="1118">
        <f>VLOOKUP($E96,EU$442:EX$453,3,FALSE)*EU96*($K96)+IF($G96&gt;0,($I96/$G96)*EU96,0)*(1-$K96)</f>
        <v>0</v>
      </c>
      <c r="EX96" s="1118">
        <f>VLOOKUP($E96,EU$442:EX$453,4,FALSE)*EU96*($K96)+(EU96-EV96-EW96)*(1-$K96)</f>
        <v>62858540.484995149</v>
      </c>
      <c r="EY96" s="1119"/>
      <c r="FC96" s="1117">
        <f>$G96</f>
        <v>62858540.484995149</v>
      </c>
      <c r="FD96" s="1118">
        <f>VLOOKUP($E96,FC$442:FF$453,2,FALSE)*FC96*($K96)+IF($G96&gt;0,($H96/$G96)*FC96,0)*(1-$K96)</f>
        <v>0</v>
      </c>
      <c r="FE96" s="1118">
        <f>VLOOKUP($E96,FC$442:FF$453,3,FALSE)*FC96*($K96)+IF($G96&gt;0,($I96/$G96)*FC96,0)*(1-$K96)</f>
        <v>0</v>
      </c>
      <c r="FF96" s="1118">
        <f>VLOOKUP($E96,FC$442:FF$453,4,FALSE)*FC96*($K96)+(FC96-FD96-FE96)*(1-$K96)</f>
        <v>62858540.484995149</v>
      </c>
      <c r="FG96" s="1119"/>
      <c r="FK96" s="1117">
        <f>$G96</f>
        <v>62858540.484995149</v>
      </c>
      <c r="FL96" s="1118">
        <f>VLOOKUP($E96,FK$442:FN$453,2,FALSE)*FK96*($K96)+IF($G96&gt;0,($H96/$G96)*FK96,0)*(1-$K96)</f>
        <v>0</v>
      </c>
      <c r="FM96" s="1118">
        <f>VLOOKUP($E96,FK$442:FN$453,3,FALSE)*FK96*($K96)+IF($G96&gt;0,($I96/$G96)*FK96,0)*(1-$K96)</f>
        <v>0</v>
      </c>
      <c r="FN96" s="1118">
        <f>VLOOKUP($E96,FK$442:FN$453,4,FALSE)*FK96*($K96)+(FK96-FL96-FM96)*(1-$K96)</f>
        <v>62858540.484995149</v>
      </c>
      <c r="FO96" s="1119"/>
    </row>
    <row r="97" spans="1:171" x14ac:dyDescent="0.25">
      <c r="A97" s="1421"/>
      <c r="B97" s="10" t="s">
        <v>477</v>
      </c>
      <c r="C97" s="889" t="s">
        <v>78</v>
      </c>
      <c r="D97" s="889">
        <v>124</v>
      </c>
      <c r="E97" s="182" t="str">
        <f>'Sch 1- Rate Base '!E97</f>
        <v>DIST</v>
      </c>
      <c r="F97" s="890"/>
      <c r="G97" s="182">
        <f>'Sch 1- Rate Base '!G97</f>
        <v>44548812.661816128</v>
      </c>
      <c r="H97" s="182">
        <f>'Sch 1- Rate Base '!H97</f>
        <v>0</v>
      </c>
      <c r="I97" s="182">
        <f>'Sch 1- Rate Base '!I97</f>
        <v>0</v>
      </c>
      <c r="J97" s="1422">
        <f>'Sch 1- Rate Base '!J97</f>
        <v>44548812.661816128</v>
      </c>
      <c r="K97" s="904">
        <f>IF($E97="DIRECT",0,1)</f>
        <v>1</v>
      </c>
      <c r="O97" s="1117">
        <f>$G97</f>
        <v>44548812.661816128</v>
      </c>
      <c r="P97" s="1118">
        <f>VLOOKUP($E97,O$442:R$453,2,FALSE)*O97*($K97)+IF($G97&gt;0,($H97/$G97)*O97,0)*(1-$K97)</f>
        <v>0</v>
      </c>
      <c r="Q97" s="1118">
        <f>VLOOKUP($E97,O$442:R$453,3,FALSE)*O97*($K97)+IF($G97&gt;0,($I97/$G97)*O97,0)*(1-$K97)</f>
        <v>0</v>
      </c>
      <c r="R97" s="1118">
        <f>VLOOKUP($E97,O$442:R$453,4,FALSE)*O97*($K97)+(O97-P97-Q97)*(1-$K97)</f>
        <v>44548812.661816128</v>
      </c>
      <c r="S97" s="1119"/>
      <c r="W97" s="1117">
        <f>$G97</f>
        <v>44548812.661816128</v>
      </c>
      <c r="X97" s="1118">
        <f>VLOOKUP($E97,W$442:Z$453,2,FALSE)*W97*($K97)+IF($G97&gt;0,($H97/$G97)*W97,0)*(1-$K97)</f>
        <v>0</v>
      </c>
      <c r="Y97" s="1118">
        <f>VLOOKUP($E97,W$442:Z$453,3,FALSE)*W97*($K97)+IF($G97&gt;0,($I97/$G97)*W97,0)*(1-$K97)</f>
        <v>0</v>
      </c>
      <c r="Z97" s="1118">
        <f>VLOOKUP($E97,W$442:Z$453,4,FALSE)*W97*($K97)+(W97-X97-Y97)*(1-$K97)</f>
        <v>44548812.661816128</v>
      </c>
      <c r="AA97" s="1119"/>
      <c r="AE97" s="1117">
        <f>$G97</f>
        <v>44548812.661816128</v>
      </c>
      <c r="AF97" s="1118">
        <f>VLOOKUP($E97,AE$442:AH$453,2,FALSE)*AE97*($K97)+IF($G97&gt;0,($H97/$G97)*AE97,0)*(1-$K97)</f>
        <v>0</v>
      </c>
      <c r="AG97" s="1118">
        <f>VLOOKUP($E97,AE$442:AH$453,3,FALSE)*AE97*($K97)+IF($G97&gt;0,($I97/$G97)*AE97,0)*(1-$K97)</f>
        <v>0</v>
      </c>
      <c r="AH97" s="1118">
        <f>VLOOKUP($E97,AE$442:AH$453,4,FALSE)*AE97*($K97)+(AE97-AF97-AG97)*(1-$K97)</f>
        <v>44548812.661816128</v>
      </c>
      <c r="AI97" s="1119"/>
      <c r="AM97" s="1117">
        <f>$G97</f>
        <v>44548812.661816128</v>
      </c>
      <c r="AN97" s="1118">
        <f>VLOOKUP($E97,AM$442:AP$453,2,FALSE)*AM97*($K97)+IF($G97&gt;0,($H97/$G97)*AM97,0)*(1-$K97)</f>
        <v>0</v>
      </c>
      <c r="AO97" s="1118">
        <f>VLOOKUP($E97,AM$442:AP$453,3,FALSE)*AM97*($K97)+IF($G97&gt;0,($I97/$G97)*AM97,0)*(1-$K97)</f>
        <v>0</v>
      </c>
      <c r="AP97" s="1118">
        <f>VLOOKUP($E97,AM$442:AP$453,4,FALSE)*AM97*($K97)+(AM97-AN97-AO97)*(1-$K97)</f>
        <v>44548812.661816128</v>
      </c>
      <c r="AQ97" s="1119"/>
      <c r="AU97" s="1117">
        <f>$G97</f>
        <v>44548812.661816128</v>
      </c>
      <c r="AV97" s="1118">
        <f>VLOOKUP($E97,AU$442:AX$453,2,FALSE)*AU97*($K97)+IF($G97&gt;0,($H97/$G97)*AU97,0)*(1-$K97)</f>
        <v>0</v>
      </c>
      <c r="AW97" s="1118">
        <f>VLOOKUP($E97,AU$442:AX$453,3,FALSE)*AU97*($K97)+IF($G97&gt;0,($I97/$G97)*AU97,0)*(1-$K97)</f>
        <v>0</v>
      </c>
      <c r="AX97" s="1118">
        <f>VLOOKUP($E97,AU$442:AX$453,4,FALSE)*AU97*($K97)+(AU97-AV97-AW97)*(1-$K97)</f>
        <v>44548812.661816128</v>
      </c>
      <c r="AY97" s="1119"/>
      <c r="BC97" s="1117">
        <f>$G97</f>
        <v>44548812.661816128</v>
      </c>
      <c r="BD97" s="1118">
        <f>VLOOKUP($E97,BC$442:BF$453,2,FALSE)*BC97*($K97)+IF($G97&gt;0,($H97/$G97)*BC97,0)*(1-$K97)</f>
        <v>0</v>
      </c>
      <c r="BE97" s="1118">
        <f>VLOOKUP($E97,BC$442:BF$453,3,FALSE)*BC97*($K97)+IF($G97&gt;0,($I97/$G97)*BC97,0)*(1-$K97)</f>
        <v>0</v>
      </c>
      <c r="BF97" s="1118">
        <f>VLOOKUP($E97,BC$442:BF$453,4,FALSE)*BC97*($K97)+(BC97-BD97-BE97)*(1-$K97)</f>
        <v>44548812.661816128</v>
      </c>
      <c r="BG97" s="1119"/>
      <c r="BK97" s="1117">
        <f>$G97</f>
        <v>44548812.661816128</v>
      </c>
      <c r="BL97" s="1118">
        <f>VLOOKUP($E97,BK$442:BN$453,2,FALSE)*BK97*($K97)+IF($G97&gt;0,($H97/$G97)*BK97,0)*(1-$K97)</f>
        <v>0</v>
      </c>
      <c r="BM97" s="1118">
        <f>VLOOKUP($E97,BK$442:BN$453,3,FALSE)*BK97*($K97)+IF($G97&gt;0,($I97/$G97)*BK97,0)*(1-$K97)</f>
        <v>0</v>
      </c>
      <c r="BN97" s="1118">
        <f>VLOOKUP($E97,BK$442:BN$453,4,FALSE)*BK97*($K97)+(BK97-BL97-BM97)*(1-$K97)</f>
        <v>44548812.661816128</v>
      </c>
      <c r="BO97" s="1119"/>
      <c r="BS97" s="1117">
        <f>$G97</f>
        <v>44548812.661816128</v>
      </c>
      <c r="BT97" s="1118">
        <f>VLOOKUP($E97,BS$442:BV$453,2,FALSE)*BS97*($K97)+IF($G97&gt;0,($H97/$G97)*BS97,0)*(1-$K97)</f>
        <v>0</v>
      </c>
      <c r="BU97" s="1118">
        <f>VLOOKUP($E97,BS$442:BV$453,3,FALSE)*BS97*($K97)+IF($G97&gt;0,($I97/$G97)*BS97,0)*(1-$K97)</f>
        <v>0</v>
      </c>
      <c r="BV97" s="1118">
        <f>VLOOKUP($E97,BS$442:BV$453,4,FALSE)*BS97*($K97)+(BS97-BT97-BU97)*(1-$K97)</f>
        <v>44548812.661816128</v>
      </c>
      <c r="BW97" s="1119"/>
      <c r="CA97" s="1117">
        <f>$G97</f>
        <v>44548812.661816128</v>
      </c>
      <c r="CB97" s="1118">
        <f>VLOOKUP($E97,CA$442:CD$453,2,FALSE)*CA97*($K97)+IF($G97&gt;0,($H97/$G97)*CA97,0)*(1-$K97)</f>
        <v>0</v>
      </c>
      <c r="CC97" s="1118">
        <f>VLOOKUP($E97,CA$442:CD$453,3,FALSE)*CA97*($K97)+IF($G97&gt;0,($I97/$G97)*CA97,0)*(1-$K97)</f>
        <v>0</v>
      </c>
      <c r="CD97" s="1118">
        <f>VLOOKUP($E97,CA$442:CD$453,4,FALSE)*CA97*($K97)+(CA97-CB97-CC97)*(1-$K97)</f>
        <v>44548812.661816128</v>
      </c>
      <c r="CE97" s="1119"/>
      <c r="CI97" s="1117">
        <f>$G97</f>
        <v>44548812.661816128</v>
      </c>
      <c r="CJ97" s="1118">
        <f>VLOOKUP($E97,CI$442:CL$453,2,FALSE)*CI97*($K97)+IF($G97&gt;0,($H97/$G97)*CI97,0)*(1-$K97)</f>
        <v>0</v>
      </c>
      <c r="CK97" s="1118">
        <f>VLOOKUP($E97,CI$442:CL$453,3,FALSE)*CI97*($K97)+IF($G97&gt;0,($I97/$G97)*CI97,0)*(1-$K97)</f>
        <v>0</v>
      </c>
      <c r="CL97" s="1118">
        <f>VLOOKUP($E97,CI$442:CL$453,4,FALSE)*CI97*($K97)+(CI97-CJ97-CK97)*(1-$K97)</f>
        <v>44548812.661816128</v>
      </c>
      <c r="CM97" s="1119"/>
      <c r="CQ97" s="1117">
        <f>$G97</f>
        <v>44548812.661816128</v>
      </c>
      <c r="CR97" s="1118">
        <f>VLOOKUP($E97,CQ$442:CT$453,2,FALSE)*CQ97*($K97)+IF($G97&gt;0,($H97/$G97)*CQ97,0)*(1-$K97)</f>
        <v>0</v>
      </c>
      <c r="CS97" s="1118">
        <f>VLOOKUP($E97,CQ$442:CT$453,3,FALSE)*CQ97*($K97)+IF($G97&gt;0,($I97/$G97)*CQ97,0)*(1-$K97)</f>
        <v>0</v>
      </c>
      <c r="CT97" s="1118">
        <f>VLOOKUP($E97,CQ$442:CT$453,4,FALSE)*CQ97*($K97)+(CQ97-CR97-CS97)*(1-$K97)</f>
        <v>44548812.661816128</v>
      </c>
      <c r="CU97" s="1119"/>
      <c r="CY97" s="1117">
        <f>$G97</f>
        <v>44548812.661816128</v>
      </c>
      <c r="CZ97" s="1118">
        <f>VLOOKUP($E97,CY$442:DB$453,2,FALSE)*CY97*($K97)+IF($G97&gt;0,($H97/$G97)*CY97,0)*(1-$K97)</f>
        <v>0</v>
      </c>
      <c r="DA97" s="1118">
        <f>VLOOKUP($E97,CY$442:DB$453,3,FALSE)*CY97*($K97)+IF($G97&gt;0,($I97/$G97)*CY97,0)*(1-$K97)</f>
        <v>0</v>
      </c>
      <c r="DB97" s="1118">
        <f>VLOOKUP($E97,CY$442:DB$453,4,FALSE)*CY97*($K97)+(CY97-CZ97-DA97)*(1-$K97)</f>
        <v>44548812.661816128</v>
      </c>
      <c r="DC97" s="1119"/>
      <c r="DG97" s="1117">
        <f>$G97</f>
        <v>44548812.661816128</v>
      </c>
      <c r="DH97" s="1118">
        <f>VLOOKUP($E97,DG$442:DJ$453,2,FALSE)*DG97*($K97)+IF($G97&gt;0,($H97/$G97)*DG97,0)*(1-$K97)</f>
        <v>0</v>
      </c>
      <c r="DI97" s="1118">
        <f>VLOOKUP($E97,DG$442:DJ$453,3,FALSE)*DG97*($K97)+IF($G97&gt;0,($I97/$G97)*DG97,0)*(1-$K97)</f>
        <v>0</v>
      </c>
      <c r="DJ97" s="1118">
        <f>VLOOKUP($E97,DG$442:DJ$453,4,FALSE)*DG97*($K97)+(DG97-DH97-DI97)*(1-$K97)</f>
        <v>44548812.661816128</v>
      </c>
      <c r="DK97" s="1119"/>
      <c r="DO97" s="1117">
        <f>$G97</f>
        <v>44548812.661816128</v>
      </c>
      <c r="DP97" s="1118">
        <f>VLOOKUP($E97,DO$442:DR$453,2,FALSE)*DO97*($K97)+IF($G97&gt;0,($H97/$G97)*DO97,0)*(1-$K97)</f>
        <v>0</v>
      </c>
      <c r="DQ97" s="1118">
        <f>VLOOKUP($E97,DO$442:DR$453,3,FALSE)*DO97*($K97)+IF($G97&gt;0,($I97/$G97)*DO97,0)*(1-$K97)</f>
        <v>0</v>
      </c>
      <c r="DR97" s="1118">
        <f>VLOOKUP($E97,DO$442:DR$453,4,FALSE)*DO97*($K97)+(DO97-DP97-DQ97)*(1-$K97)</f>
        <v>44548812.661816128</v>
      </c>
      <c r="DS97" s="1119"/>
      <c r="DW97" s="1117">
        <f>$G97</f>
        <v>44548812.661816128</v>
      </c>
      <c r="DX97" s="1118">
        <f>VLOOKUP($E97,DW$442:DZ$453,2,FALSE)*DW97*($K97)+IF($G97&gt;0,($H97/$G97)*DW97,0)*(1-$K97)</f>
        <v>0</v>
      </c>
      <c r="DY97" s="1118">
        <f>VLOOKUP($E97,DW$442:DZ$453,3,FALSE)*DW97*($K97)+IF($G97&gt;0,($I97/$G97)*DW97,0)*(1-$K97)</f>
        <v>0</v>
      </c>
      <c r="DZ97" s="1118">
        <f>VLOOKUP($E97,DW$442:DZ$453,4,FALSE)*DW97*($K97)+(DW97-DX97-DY97)*(1-$K97)</f>
        <v>44548812.661816128</v>
      </c>
      <c r="EA97" s="1119"/>
      <c r="EE97" s="1117">
        <f>$G97</f>
        <v>44548812.661816128</v>
      </c>
      <c r="EF97" s="1118">
        <f>VLOOKUP($E97,EE$442:EH$453,2,FALSE)*EE97*($K97)+IF($G97&gt;0,($H97/$G97)*EE97,0)*(1-$K97)</f>
        <v>0</v>
      </c>
      <c r="EG97" s="1118">
        <f>VLOOKUP($E97,EE$442:EH$453,3,FALSE)*EE97*($K97)+IF($G97&gt;0,($I97/$G97)*EE97,0)*(1-$K97)</f>
        <v>0</v>
      </c>
      <c r="EH97" s="1118">
        <f>VLOOKUP($E97,EE$442:EH$453,4,FALSE)*EE97*($K97)+(EE97-EF97-EG97)*(1-$K97)</f>
        <v>44548812.661816128</v>
      </c>
      <c r="EI97" s="1119"/>
      <c r="EM97" s="1117">
        <f>$G97</f>
        <v>44548812.661816128</v>
      </c>
      <c r="EN97" s="1118">
        <f>VLOOKUP($E97,EM$442:EP$453,2,FALSE)*EM97*($K97)+IF($G97&gt;0,($H97/$G97)*EM97,0)*(1-$K97)</f>
        <v>0</v>
      </c>
      <c r="EO97" s="1118">
        <f>VLOOKUP($E97,EM$442:EP$453,3,FALSE)*EM97*($K97)+IF($G97&gt;0,($I97/$G97)*EM97,0)*(1-$K97)</f>
        <v>0</v>
      </c>
      <c r="EP97" s="1118">
        <f>VLOOKUP($E97,EM$442:EP$453,4,FALSE)*EM97*($K97)+(EM97-EN97-EO97)*(1-$K97)</f>
        <v>44548812.661816128</v>
      </c>
      <c r="EQ97" s="1119"/>
      <c r="EU97" s="1117">
        <f>$G97</f>
        <v>44548812.661816128</v>
      </c>
      <c r="EV97" s="1118">
        <f>VLOOKUP($E97,EU$442:EX$453,2,FALSE)*EU97*($K97)+IF($G97&gt;0,($H97/$G97)*EU97,0)*(1-$K97)</f>
        <v>0</v>
      </c>
      <c r="EW97" s="1118">
        <f>VLOOKUP($E97,EU$442:EX$453,3,FALSE)*EU97*($K97)+IF($G97&gt;0,($I97/$G97)*EU97,0)*(1-$K97)</f>
        <v>0</v>
      </c>
      <c r="EX97" s="1118">
        <f>VLOOKUP($E97,EU$442:EX$453,4,FALSE)*EU97*($K97)+(EU97-EV97-EW97)*(1-$K97)</f>
        <v>44548812.661816128</v>
      </c>
      <c r="EY97" s="1119"/>
      <c r="FC97" s="1117">
        <f>$G97</f>
        <v>44548812.661816128</v>
      </c>
      <c r="FD97" s="1118">
        <f>VLOOKUP($E97,FC$442:FF$453,2,FALSE)*FC97*($K97)+IF($G97&gt;0,($H97/$G97)*FC97,0)*(1-$K97)</f>
        <v>0</v>
      </c>
      <c r="FE97" s="1118">
        <f>VLOOKUP($E97,FC$442:FF$453,3,FALSE)*FC97*($K97)+IF($G97&gt;0,($I97/$G97)*FC97,0)*(1-$K97)</f>
        <v>0</v>
      </c>
      <c r="FF97" s="1118">
        <f>VLOOKUP($E97,FC$442:FF$453,4,FALSE)*FC97*($K97)+(FC97-FD97-FE97)*(1-$K97)</f>
        <v>44548812.661816128</v>
      </c>
      <c r="FG97" s="1119"/>
      <c r="FK97" s="1117">
        <f>$G97</f>
        <v>44548812.661816128</v>
      </c>
      <c r="FL97" s="1118">
        <f>VLOOKUP($E97,FK$442:FN$453,2,FALSE)*FK97*($K97)+IF($G97&gt;0,($H97/$G97)*FK97,0)*(1-$K97)</f>
        <v>0</v>
      </c>
      <c r="FM97" s="1118">
        <f>VLOOKUP($E97,FK$442:FN$453,3,FALSE)*FK97*($K97)+IF($G97&gt;0,($I97/$G97)*FK97,0)*(1-$K97)</f>
        <v>0</v>
      </c>
      <c r="FN97" s="1118">
        <f>VLOOKUP($E97,FK$442:FN$453,4,FALSE)*FK97*($K97)+(FK97-FL97-FM97)*(1-$K97)</f>
        <v>44548812.661816128</v>
      </c>
      <c r="FO97" s="1119"/>
    </row>
    <row r="98" spans="1:171" x14ac:dyDescent="0.25">
      <c r="A98" s="1421"/>
      <c r="B98" s="79" t="s">
        <v>6</v>
      </c>
      <c r="C98" s="889" t="s">
        <v>78</v>
      </c>
      <c r="D98" s="889">
        <v>175</v>
      </c>
      <c r="E98" s="182" t="str">
        <f>'Sch 1- Rate Base '!E98</f>
        <v>DIST</v>
      </c>
      <c r="F98" s="890"/>
      <c r="G98" s="182">
        <f>'Sch 1- Rate Base '!G98</f>
        <v>882802.55718482344</v>
      </c>
      <c r="H98" s="182">
        <f>'Sch 1- Rate Base '!H98</f>
        <v>0</v>
      </c>
      <c r="I98" s="182">
        <f>'Sch 1- Rate Base '!I98</f>
        <v>0</v>
      </c>
      <c r="J98" s="1422">
        <f>'Sch 1- Rate Base '!J98</f>
        <v>882802.55718482344</v>
      </c>
      <c r="K98" s="904">
        <f>IF($E98="DIRECT",0,1)</f>
        <v>1</v>
      </c>
      <c r="O98" s="1117">
        <f>$G98</f>
        <v>882802.55718482344</v>
      </c>
      <c r="P98" s="1118">
        <f>VLOOKUP($E98,O$442:R$453,2,FALSE)*O98*($K98)+IF($G98&gt;0,($H98/$G98)*O98,0)*(1-$K98)</f>
        <v>0</v>
      </c>
      <c r="Q98" s="1118">
        <f>VLOOKUP($E98,O$442:R$453,3,FALSE)*O98*($K98)+IF($G98&gt;0,($I98/$G98)*O98,0)*(1-$K98)</f>
        <v>0</v>
      </c>
      <c r="R98" s="1118">
        <f>VLOOKUP($E98,O$442:R$453,4,FALSE)*O98*($K98)+(O98-P98-Q98)*(1-$K98)</f>
        <v>882802.55718482344</v>
      </c>
      <c r="S98" s="1119"/>
      <c r="W98" s="1117">
        <f>$G98</f>
        <v>882802.55718482344</v>
      </c>
      <c r="X98" s="1118">
        <f>VLOOKUP($E98,W$442:Z$453,2,FALSE)*W98*($K98)+IF($G98&gt;0,($H98/$G98)*W98,0)*(1-$K98)</f>
        <v>0</v>
      </c>
      <c r="Y98" s="1118">
        <f>VLOOKUP($E98,W$442:Z$453,3,FALSE)*W98*($K98)+IF($G98&gt;0,($I98/$G98)*W98,0)*(1-$K98)</f>
        <v>0</v>
      </c>
      <c r="Z98" s="1118">
        <f>VLOOKUP($E98,W$442:Z$453,4,FALSE)*W98*($K98)+(W98-X98-Y98)*(1-$K98)</f>
        <v>882802.55718482344</v>
      </c>
      <c r="AA98" s="1119"/>
      <c r="AE98" s="1117">
        <f>$G98</f>
        <v>882802.55718482344</v>
      </c>
      <c r="AF98" s="1118">
        <f>VLOOKUP($E98,AE$442:AH$453,2,FALSE)*AE98*($K98)+IF($G98&gt;0,($H98/$G98)*AE98,0)*(1-$K98)</f>
        <v>0</v>
      </c>
      <c r="AG98" s="1118">
        <f>VLOOKUP($E98,AE$442:AH$453,3,FALSE)*AE98*($K98)+IF($G98&gt;0,($I98/$G98)*AE98,0)*(1-$K98)</f>
        <v>0</v>
      </c>
      <c r="AH98" s="1118">
        <f>VLOOKUP($E98,AE$442:AH$453,4,FALSE)*AE98*($K98)+(AE98-AF98-AG98)*(1-$K98)</f>
        <v>882802.55718482344</v>
      </c>
      <c r="AI98" s="1119"/>
      <c r="AM98" s="1117">
        <f>$G98</f>
        <v>882802.55718482344</v>
      </c>
      <c r="AN98" s="1118">
        <f>VLOOKUP($E98,AM$442:AP$453,2,FALSE)*AM98*($K98)+IF($G98&gt;0,($H98/$G98)*AM98,0)*(1-$K98)</f>
        <v>0</v>
      </c>
      <c r="AO98" s="1118">
        <f>VLOOKUP($E98,AM$442:AP$453,3,FALSE)*AM98*($K98)+IF($G98&gt;0,($I98/$G98)*AM98,0)*(1-$K98)</f>
        <v>0</v>
      </c>
      <c r="AP98" s="1118">
        <f>VLOOKUP($E98,AM$442:AP$453,4,FALSE)*AM98*($K98)+(AM98-AN98-AO98)*(1-$K98)</f>
        <v>882802.55718482344</v>
      </c>
      <c r="AQ98" s="1119"/>
      <c r="AU98" s="1117">
        <f>$G98</f>
        <v>882802.55718482344</v>
      </c>
      <c r="AV98" s="1118">
        <f>VLOOKUP($E98,AU$442:AX$453,2,FALSE)*AU98*($K98)+IF($G98&gt;0,($H98/$G98)*AU98,0)*(1-$K98)</f>
        <v>0</v>
      </c>
      <c r="AW98" s="1118">
        <f>VLOOKUP($E98,AU$442:AX$453,3,FALSE)*AU98*($K98)+IF($G98&gt;0,($I98/$G98)*AU98,0)*(1-$K98)</f>
        <v>0</v>
      </c>
      <c r="AX98" s="1118">
        <f>VLOOKUP($E98,AU$442:AX$453,4,FALSE)*AU98*($K98)+(AU98-AV98-AW98)*(1-$K98)</f>
        <v>882802.55718482344</v>
      </c>
      <c r="AY98" s="1119"/>
      <c r="BC98" s="1117">
        <f>$G98</f>
        <v>882802.55718482344</v>
      </c>
      <c r="BD98" s="1118">
        <f>VLOOKUP($E98,BC$442:BF$453,2,FALSE)*BC98*($K98)+IF($G98&gt;0,($H98/$G98)*BC98,0)*(1-$K98)</f>
        <v>0</v>
      </c>
      <c r="BE98" s="1118">
        <f>VLOOKUP($E98,BC$442:BF$453,3,FALSE)*BC98*($K98)+IF($G98&gt;0,($I98/$G98)*BC98,0)*(1-$K98)</f>
        <v>0</v>
      </c>
      <c r="BF98" s="1118">
        <f>VLOOKUP($E98,BC$442:BF$453,4,FALSE)*BC98*($K98)+(BC98-BD98-BE98)*(1-$K98)</f>
        <v>882802.55718482344</v>
      </c>
      <c r="BG98" s="1119"/>
      <c r="BK98" s="1117">
        <f>$G98</f>
        <v>882802.55718482344</v>
      </c>
      <c r="BL98" s="1118">
        <f>VLOOKUP($E98,BK$442:BN$453,2,FALSE)*BK98*($K98)+IF($G98&gt;0,($H98/$G98)*BK98,0)*(1-$K98)</f>
        <v>0</v>
      </c>
      <c r="BM98" s="1118">
        <f>VLOOKUP($E98,BK$442:BN$453,3,FALSE)*BK98*($K98)+IF($G98&gt;0,($I98/$G98)*BK98,0)*(1-$K98)</f>
        <v>0</v>
      </c>
      <c r="BN98" s="1118">
        <f>VLOOKUP($E98,BK$442:BN$453,4,FALSE)*BK98*($K98)+(BK98-BL98-BM98)*(1-$K98)</f>
        <v>882802.55718482344</v>
      </c>
      <c r="BO98" s="1119"/>
      <c r="BS98" s="1117">
        <f>$G98</f>
        <v>882802.55718482344</v>
      </c>
      <c r="BT98" s="1118">
        <f>VLOOKUP($E98,BS$442:BV$453,2,FALSE)*BS98*($K98)+IF($G98&gt;0,($H98/$G98)*BS98,0)*(1-$K98)</f>
        <v>0</v>
      </c>
      <c r="BU98" s="1118">
        <f>VLOOKUP($E98,BS$442:BV$453,3,FALSE)*BS98*($K98)+IF($G98&gt;0,($I98/$G98)*BS98,0)*(1-$K98)</f>
        <v>0</v>
      </c>
      <c r="BV98" s="1118">
        <f>VLOOKUP($E98,BS$442:BV$453,4,FALSE)*BS98*($K98)+(BS98-BT98-BU98)*(1-$K98)</f>
        <v>882802.55718482344</v>
      </c>
      <c r="BW98" s="1119"/>
      <c r="CA98" s="1117">
        <f>$G98</f>
        <v>882802.55718482344</v>
      </c>
      <c r="CB98" s="1118">
        <f>VLOOKUP($E98,CA$442:CD$453,2,FALSE)*CA98*($K98)+IF($G98&gt;0,($H98/$G98)*CA98,0)*(1-$K98)</f>
        <v>0</v>
      </c>
      <c r="CC98" s="1118">
        <f>VLOOKUP($E98,CA$442:CD$453,3,FALSE)*CA98*($K98)+IF($G98&gt;0,($I98/$G98)*CA98,0)*(1-$K98)</f>
        <v>0</v>
      </c>
      <c r="CD98" s="1118">
        <f>VLOOKUP($E98,CA$442:CD$453,4,FALSE)*CA98*($K98)+(CA98-CB98-CC98)*(1-$K98)</f>
        <v>882802.55718482344</v>
      </c>
      <c r="CE98" s="1119"/>
      <c r="CI98" s="1117">
        <f>$G98</f>
        <v>882802.55718482344</v>
      </c>
      <c r="CJ98" s="1118">
        <f>VLOOKUP($E98,CI$442:CL$453,2,FALSE)*CI98*($K98)+IF($G98&gt;0,($H98/$G98)*CI98,0)*(1-$K98)</f>
        <v>0</v>
      </c>
      <c r="CK98" s="1118">
        <f>VLOOKUP($E98,CI$442:CL$453,3,FALSE)*CI98*($K98)+IF($G98&gt;0,($I98/$G98)*CI98,0)*(1-$K98)</f>
        <v>0</v>
      </c>
      <c r="CL98" s="1118">
        <f>VLOOKUP($E98,CI$442:CL$453,4,FALSE)*CI98*($K98)+(CI98-CJ98-CK98)*(1-$K98)</f>
        <v>882802.55718482344</v>
      </c>
      <c r="CM98" s="1119"/>
      <c r="CQ98" s="1117">
        <f>$G98</f>
        <v>882802.55718482344</v>
      </c>
      <c r="CR98" s="1118">
        <f>VLOOKUP($E98,CQ$442:CT$453,2,FALSE)*CQ98*($K98)+IF($G98&gt;0,($H98/$G98)*CQ98,0)*(1-$K98)</f>
        <v>0</v>
      </c>
      <c r="CS98" s="1118">
        <f>VLOOKUP($E98,CQ$442:CT$453,3,FALSE)*CQ98*($K98)+IF($G98&gt;0,($I98/$G98)*CQ98,0)*(1-$K98)</f>
        <v>0</v>
      </c>
      <c r="CT98" s="1118">
        <f>VLOOKUP($E98,CQ$442:CT$453,4,FALSE)*CQ98*($K98)+(CQ98-CR98-CS98)*(1-$K98)</f>
        <v>882802.55718482344</v>
      </c>
      <c r="CU98" s="1119"/>
      <c r="CY98" s="1117">
        <f>$G98</f>
        <v>882802.55718482344</v>
      </c>
      <c r="CZ98" s="1118">
        <f>VLOOKUP($E98,CY$442:DB$453,2,FALSE)*CY98*($K98)+IF($G98&gt;0,($H98/$G98)*CY98,0)*(1-$K98)</f>
        <v>0</v>
      </c>
      <c r="DA98" s="1118">
        <f>VLOOKUP($E98,CY$442:DB$453,3,FALSE)*CY98*($K98)+IF($G98&gt;0,($I98/$G98)*CY98,0)*(1-$K98)</f>
        <v>0</v>
      </c>
      <c r="DB98" s="1118">
        <f>VLOOKUP($E98,CY$442:DB$453,4,FALSE)*CY98*($K98)+(CY98-CZ98-DA98)*(1-$K98)</f>
        <v>882802.55718482344</v>
      </c>
      <c r="DC98" s="1119"/>
      <c r="DG98" s="1117">
        <f>$G98</f>
        <v>882802.55718482344</v>
      </c>
      <c r="DH98" s="1118">
        <f>VLOOKUP($E98,DG$442:DJ$453,2,FALSE)*DG98*($K98)+IF($G98&gt;0,($H98/$G98)*DG98,0)*(1-$K98)</f>
        <v>0</v>
      </c>
      <c r="DI98" s="1118">
        <f>VLOOKUP($E98,DG$442:DJ$453,3,FALSE)*DG98*($K98)+IF($G98&gt;0,($I98/$G98)*DG98,0)*(1-$K98)</f>
        <v>0</v>
      </c>
      <c r="DJ98" s="1118">
        <f>VLOOKUP($E98,DG$442:DJ$453,4,FALSE)*DG98*($K98)+(DG98-DH98-DI98)*(1-$K98)</f>
        <v>882802.55718482344</v>
      </c>
      <c r="DK98" s="1119"/>
      <c r="DO98" s="1117">
        <f>$G98</f>
        <v>882802.55718482344</v>
      </c>
      <c r="DP98" s="1118">
        <f>VLOOKUP($E98,DO$442:DR$453,2,FALSE)*DO98*($K98)+IF($G98&gt;0,($H98/$G98)*DO98,0)*(1-$K98)</f>
        <v>0</v>
      </c>
      <c r="DQ98" s="1118">
        <f>VLOOKUP($E98,DO$442:DR$453,3,FALSE)*DO98*($K98)+IF($G98&gt;0,($I98/$G98)*DO98,0)*(1-$K98)</f>
        <v>0</v>
      </c>
      <c r="DR98" s="1118">
        <f>VLOOKUP($E98,DO$442:DR$453,4,FALSE)*DO98*($K98)+(DO98-DP98-DQ98)*(1-$K98)</f>
        <v>882802.55718482344</v>
      </c>
      <c r="DS98" s="1119"/>
      <c r="DW98" s="1117">
        <f>$G98</f>
        <v>882802.55718482344</v>
      </c>
      <c r="DX98" s="1118">
        <f>VLOOKUP($E98,DW$442:DZ$453,2,FALSE)*DW98*($K98)+IF($G98&gt;0,($H98/$G98)*DW98,0)*(1-$K98)</f>
        <v>0</v>
      </c>
      <c r="DY98" s="1118">
        <f>VLOOKUP($E98,DW$442:DZ$453,3,FALSE)*DW98*($K98)+IF($G98&gt;0,($I98/$G98)*DW98,0)*(1-$K98)</f>
        <v>0</v>
      </c>
      <c r="DZ98" s="1118">
        <f>VLOOKUP($E98,DW$442:DZ$453,4,FALSE)*DW98*($K98)+(DW98-DX98-DY98)*(1-$K98)</f>
        <v>882802.55718482344</v>
      </c>
      <c r="EA98" s="1119"/>
      <c r="EE98" s="1117">
        <f>$G98</f>
        <v>882802.55718482344</v>
      </c>
      <c r="EF98" s="1118">
        <f>VLOOKUP($E98,EE$442:EH$453,2,FALSE)*EE98*($K98)+IF($G98&gt;0,($H98/$G98)*EE98,0)*(1-$K98)</f>
        <v>0</v>
      </c>
      <c r="EG98" s="1118">
        <f>VLOOKUP($E98,EE$442:EH$453,3,FALSE)*EE98*($K98)+IF($G98&gt;0,($I98/$G98)*EE98,0)*(1-$K98)</f>
        <v>0</v>
      </c>
      <c r="EH98" s="1118">
        <f>VLOOKUP($E98,EE$442:EH$453,4,FALSE)*EE98*($K98)+(EE98-EF98-EG98)*(1-$K98)</f>
        <v>882802.55718482344</v>
      </c>
      <c r="EI98" s="1119"/>
      <c r="EM98" s="1117">
        <f>$G98</f>
        <v>882802.55718482344</v>
      </c>
      <c r="EN98" s="1118">
        <f>VLOOKUP($E98,EM$442:EP$453,2,FALSE)*EM98*($K98)+IF($G98&gt;0,($H98/$G98)*EM98,0)*(1-$K98)</f>
        <v>0</v>
      </c>
      <c r="EO98" s="1118">
        <f>VLOOKUP($E98,EM$442:EP$453,3,FALSE)*EM98*($K98)+IF($G98&gt;0,($I98/$G98)*EM98,0)*(1-$K98)</f>
        <v>0</v>
      </c>
      <c r="EP98" s="1118">
        <f>VLOOKUP($E98,EM$442:EP$453,4,FALSE)*EM98*($K98)+(EM98-EN98-EO98)*(1-$K98)</f>
        <v>882802.55718482344</v>
      </c>
      <c r="EQ98" s="1119"/>
      <c r="EU98" s="1117">
        <f>$G98</f>
        <v>882802.55718482344</v>
      </c>
      <c r="EV98" s="1118">
        <f>VLOOKUP($E98,EU$442:EX$453,2,FALSE)*EU98*($K98)+IF($G98&gt;0,($H98/$G98)*EU98,0)*(1-$K98)</f>
        <v>0</v>
      </c>
      <c r="EW98" s="1118">
        <f>VLOOKUP($E98,EU$442:EX$453,3,FALSE)*EU98*($K98)+IF($G98&gt;0,($I98/$G98)*EU98,0)*(1-$K98)</f>
        <v>0</v>
      </c>
      <c r="EX98" s="1118">
        <f>VLOOKUP($E98,EU$442:EX$453,4,FALSE)*EU98*($K98)+(EU98-EV98-EW98)*(1-$K98)</f>
        <v>882802.55718482344</v>
      </c>
      <c r="EY98" s="1119"/>
      <c r="FC98" s="1117">
        <f>$G98</f>
        <v>882802.55718482344</v>
      </c>
      <c r="FD98" s="1118">
        <f>VLOOKUP($E98,FC$442:FF$453,2,FALSE)*FC98*($K98)+IF($G98&gt;0,($H98/$G98)*FC98,0)*(1-$K98)</f>
        <v>0</v>
      </c>
      <c r="FE98" s="1118">
        <f>VLOOKUP($E98,FC$442:FF$453,3,FALSE)*FC98*($K98)+IF($G98&gt;0,($I98/$G98)*FC98,0)*(1-$K98)</f>
        <v>0</v>
      </c>
      <c r="FF98" s="1118">
        <f>VLOOKUP($E98,FC$442:FF$453,4,FALSE)*FC98*($K98)+(FC98-FD98-FE98)*(1-$K98)</f>
        <v>882802.55718482344</v>
      </c>
      <c r="FG98" s="1119"/>
      <c r="FK98" s="1117">
        <f>$G98</f>
        <v>882802.55718482344</v>
      </c>
      <c r="FL98" s="1118">
        <f>VLOOKUP($E98,FK$442:FN$453,2,FALSE)*FK98*($K98)+IF($G98&gt;0,($H98/$G98)*FK98,0)*(1-$K98)</f>
        <v>0</v>
      </c>
      <c r="FM98" s="1118">
        <f>VLOOKUP($E98,FK$442:FN$453,3,FALSE)*FK98*($K98)+IF($G98&gt;0,($I98/$G98)*FK98,0)*(1-$K98)</f>
        <v>0</v>
      </c>
      <c r="FN98" s="1118">
        <f>VLOOKUP($E98,FK$442:FN$453,4,FALSE)*FK98*($K98)+(FK98-FL98-FM98)*(1-$K98)</f>
        <v>882802.55718482344</v>
      </c>
      <c r="FO98" s="1119"/>
    </row>
    <row r="99" spans="1:171" x14ac:dyDescent="0.25">
      <c r="A99" s="1421"/>
      <c r="B99" s="79" t="s">
        <v>372</v>
      </c>
      <c r="C99" s="889" t="s">
        <v>78</v>
      </c>
      <c r="D99" s="889">
        <v>176</v>
      </c>
      <c r="E99" s="182" t="str">
        <f>'Sch 1- Rate Base '!E99</f>
        <v>DIST</v>
      </c>
      <c r="F99" s="890"/>
      <c r="G99" s="182">
        <f>'Sch 1- Rate Base '!G99</f>
        <v>0</v>
      </c>
      <c r="H99" s="182">
        <f>'Sch 1- Rate Base '!H99</f>
        <v>0</v>
      </c>
      <c r="I99" s="182">
        <f>'Sch 1- Rate Base '!I99</f>
        <v>0</v>
      </c>
      <c r="J99" s="1422">
        <f>'Sch 1- Rate Base '!J99</f>
        <v>0</v>
      </c>
      <c r="K99" s="904">
        <f>IF($E99="DIRECT",0,1)</f>
        <v>1</v>
      </c>
      <c r="O99" s="1117">
        <f>$G99</f>
        <v>0</v>
      </c>
      <c r="P99" s="1118">
        <f>VLOOKUP($E99,O$442:R$453,2,FALSE)*O99*($K99)+IF($G99&gt;0,($H99/$G99)*O99,0)*(1-$K99)</f>
        <v>0</v>
      </c>
      <c r="Q99" s="1118">
        <f>VLOOKUP($E99,O$442:R$453,3,FALSE)*O99*($K99)+IF($G99&gt;0,($I99/$G99)*O99,0)*(1-$K99)</f>
        <v>0</v>
      </c>
      <c r="R99" s="1118">
        <f>VLOOKUP($E99,O$442:R$453,4,FALSE)*O99*($K99)+(O99-P99-Q99)*(1-$K99)</f>
        <v>0</v>
      </c>
      <c r="S99" s="1119"/>
      <c r="W99" s="1117">
        <f>$G99</f>
        <v>0</v>
      </c>
      <c r="X99" s="1118">
        <f>VLOOKUP($E99,W$442:Z$453,2,FALSE)*W99*($K99)+IF($G99&gt;0,($H99/$G99)*W99,0)*(1-$K99)</f>
        <v>0</v>
      </c>
      <c r="Y99" s="1118">
        <f>VLOOKUP($E99,W$442:Z$453,3,FALSE)*W99*($K99)+IF($G99&gt;0,($I99/$G99)*W99,0)*(1-$K99)</f>
        <v>0</v>
      </c>
      <c r="Z99" s="1118">
        <f>VLOOKUP($E99,W$442:Z$453,4,FALSE)*W99*($K99)+(W99-X99-Y99)*(1-$K99)</f>
        <v>0</v>
      </c>
      <c r="AA99" s="1119"/>
      <c r="AE99" s="1117">
        <f>$G99</f>
        <v>0</v>
      </c>
      <c r="AF99" s="1118">
        <f>VLOOKUP($E99,AE$442:AH$453,2,FALSE)*AE99*($K99)+IF($G99&gt;0,($H99/$G99)*AE99,0)*(1-$K99)</f>
        <v>0</v>
      </c>
      <c r="AG99" s="1118">
        <f>VLOOKUP($E99,AE$442:AH$453,3,FALSE)*AE99*($K99)+IF($G99&gt;0,($I99/$G99)*AE99,0)*(1-$K99)</f>
        <v>0</v>
      </c>
      <c r="AH99" s="1118">
        <f>VLOOKUP($E99,AE$442:AH$453,4,FALSE)*AE99*($K99)+(AE99-AF99-AG99)*(1-$K99)</f>
        <v>0</v>
      </c>
      <c r="AI99" s="1119"/>
      <c r="AM99" s="1117">
        <f>$G99</f>
        <v>0</v>
      </c>
      <c r="AN99" s="1118">
        <f>VLOOKUP($E99,AM$442:AP$453,2,FALSE)*AM99*($K99)+IF($G99&gt;0,($H99/$G99)*AM99,0)*(1-$K99)</f>
        <v>0</v>
      </c>
      <c r="AO99" s="1118">
        <f>VLOOKUP($E99,AM$442:AP$453,3,FALSE)*AM99*($K99)+IF($G99&gt;0,($I99/$G99)*AM99,0)*(1-$K99)</f>
        <v>0</v>
      </c>
      <c r="AP99" s="1118">
        <f>VLOOKUP($E99,AM$442:AP$453,4,FALSE)*AM99*($K99)+(AM99-AN99-AO99)*(1-$K99)</f>
        <v>0</v>
      </c>
      <c r="AQ99" s="1119"/>
      <c r="AU99" s="1117">
        <f>$G99</f>
        <v>0</v>
      </c>
      <c r="AV99" s="1118">
        <f>VLOOKUP($E99,AU$442:AX$453,2,FALSE)*AU99*($K99)+IF($G99&gt;0,($H99/$G99)*AU99,0)*(1-$K99)</f>
        <v>0</v>
      </c>
      <c r="AW99" s="1118">
        <f>VLOOKUP($E99,AU$442:AX$453,3,FALSE)*AU99*($K99)+IF($G99&gt;0,($I99/$G99)*AU99,0)*(1-$K99)</f>
        <v>0</v>
      </c>
      <c r="AX99" s="1118">
        <f>VLOOKUP($E99,AU$442:AX$453,4,FALSE)*AU99*($K99)+(AU99-AV99-AW99)*(1-$K99)</f>
        <v>0</v>
      </c>
      <c r="AY99" s="1119"/>
      <c r="BC99" s="1117">
        <f>$G99</f>
        <v>0</v>
      </c>
      <c r="BD99" s="1118">
        <f>VLOOKUP($E99,BC$442:BF$453,2,FALSE)*BC99*($K99)+IF($G99&gt;0,($H99/$G99)*BC99,0)*(1-$K99)</f>
        <v>0</v>
      </c>
      <c r="BE99" s="1118">
        <f>VLOOKUP($E99,BC$442:BF$453,3,FALSE)*BC99*($K99)+IF($G99&gt;0,($I99/$G99)*BC99,0)*(1-$K99)</f>
        <v>0</v>
      </c>
      <c r="BF99" s="1118">
        <f>VLOOKUP($E99,BC$442:BF$453,4,FALSE)*BC99*($K99)+(BC99-BD99-BE99)*(1-$K99)</f>
        <v>0</v>
      </c>
      <c r="BG99" s="1119"/>
      <c r="BK99" s="1117">
        <f>$G99</f>
        <v>0</v>
      </c>
      <c r="BL99" s="1118">
        <f>VLOOKUP($E99,BK$442:BN$453,2,FALSE)*BK99*($K99)+IF($G99&gt;0,($H99/$G99)*BK99,0)*(1-$K99)</f>
        <v>0</v>
      </c>
      <c r="BM99" s="1118">
        <f>VLOOKUP($E99,BK$442:BN$453,3,FALSE)*BK99*($K99)+IF($G99&gt;0,($I99/$G99)*BK99,0)*(1-$K99)</f>
        <v>0</v>
      </c>
      <c r="BN99" s="1118">
        <f>VLOOKUP($E99,BK$442:BN$453,4,FALSE)*BK99*($K99)+(BK99-BL99-BM99)*(1-$K99)</f>
        <v>0</v>
      </c>
      <c r="BO99" s="1119"/>
      <c r="BS99" s="1117">
        <f>$G99</f>
        <v>0</v>
      </c>
      <c r="BT99" s="1118">
        <f>VLOOKUP($E99,BS$442:BV$453,2,FALSE)*BS99*($K99)+IF($G99&gt;0,($H99/$G99)*BS99,0)*(1-$K99)</f>
        <v>0</v>
      </c>
      <c r="BU99" s="1118">
        <f>VLOOKUP($E99,BS$442:BV$453,3,FALSE)*BS99*($K99)+IF($G99&gt;0,($I99/$G99)*BS99,0)*(1-$K99)</f>
        <v>0</v>
      </c>
      <c r="BV99" s="1118">
        <f>VLOOKUP($E99,BS$442:BV$453,4,FALSE)*BS99*($K99)+(BS99-BT99-BU99)*(1-$K99)</f>
        <v>0</v>
      </c>
      <c r="BW99" s="1119"/>
      <c r="CA99" s="1117">
        <f>$G99</f>
        <v>0</v>
      </c>
      <c r="CB99" s="1118">
        <f>VLOOKUP($E99,CA$442:CD$453,2,FALSE)*CA99*($K99)+IF($G99&gt;0,($H99/$G99)*CA99,0)*(1-$K99)</f>
        <v>0</v>
      </c>
      <c r="CC99" s="1118">
        <f>VLOOKUP($E99,CA$442:CD$453,3,FALSE)*CA99*($K99)+IF($G99&gt;0,($I99/$G99)*CA99,0)*(1-$K99)</f>
        <v>0</v>
      </c>
      <c r="CD99" s="1118">
        <f>VLOOKUP($E99,CA$442:CD$453,4,FALSE)*CA99*($K99)+(CA99-CB99-CC99)*(1-$K99)</f>
        <v>0</v>
      </c>
      <c r="CE99" s="1119"/>
      <c r="CI99" s="1117">
        <f>$G99</f>
        <v>0</v>
      </c>
      <c r="CJ99" s="1118">
        <f>VLOOKUP($E99,CI$442:CL$453,2,FALSE)*CI99*($K99)+IF($G99&gt;0,($H99/$G99)*CI99,0)*(1-$K99)</f>
        <v>0</v>
      </c>
      <c r="CK99" s="1118">
        <f>VLOOKUP($E99,CI$442:CL$453,3,FALSE)*CI99*($K99)+IF($G99&gt;0,($I99/$G99)*CI99,0)*(1-$K99)</f>
        <v>0</v>
      </c>
      <c r="CL99" s="1118">
        <f>VLOOKUP($E99,CI$442:CL$453,4,FALSE)*CI99*($K99)+(CI99-CJ99-CK99)*(1-$K99)</f>
        <v>0</v>
      </c>
      <c r="CM99" s="1119"/>
      <c r="CQ99" s="1117">
        <f>$G99</f>
        <v>0</v>
      </c>
      <c r="CR99" s="1118">
        <f>VLOOKUP($E99,CQ$442:CT$453,2,FALSE)*CQ99*($K99)+IF($G99&gt;0,($H99/$G99)*CQ99,0)*(1-$K99)</f>
        <v>0</v>
      </c>
      <c r="CS99" s="1118">
        <f>VLOOKUP($E99,CQ$442:CT$453,3,FALSE)*CQ99*($K99)+IF($G99&gt;0,($I99/$G99)*CQ99,0)*(1-$K99)</f>
        <v>0</v>
      </c>
      <c r="CT99" s="1118">
        <f>VLOOKUP($E99,CQ$442:CT$453,4,FALSE)*CQ99*($K99)+(CQ99-CR99-CS99)*(1-$K99)</f>
        <v>0</v>
      </c>
      <c r="CU99" s="1119"/>
      <c r="CY99" s="1117">
        <f>$G99</f>
        <v>0</v>
      </c>
      <c r="CZ99" s="1118">
        <f>VLOOKUP($E99,CY$442:DB$453,2,FALSE)*CY99*($K99)+IF($G99&gt;0,($H99/$G99)*CY99,0)*(1-$K99)</f>
        <v>0</v>
      </c>
      <c r="DA99" s="1118">
        <f>VLOOKUP($E99,CY$442:DB$453,3,FALSE)*CY99*($K99)+IF($G99&gt;0,($I99/$G99)*CY99,0)*(1-$K99)</f>
        <v>0</v>
      </c>
      <c r="DB99" s="1118">
        <f>VLOOKUP($E99,CY$442:DB$453,4,FALSE)*CY99*($K99)+(CY99-CZ99-DA99)*(1-$K99)</f>
        <v>0</v>
      </c>
      <c r="DC99" s="1119"/>
      <c r="DG99" s="1117">
        <f>$G99</f>
        <v>0</v>
      </c>
      <c r="DH99" s="1118">
        <f>VLOOKUP($E99,DG$442:DJ$453,2,FALSE)*DG99*($K99)+IF($G99&gt;0,($H99/$G99)*DG99,0)*(1-$K99)</f>
        <v>0</v>
      </c>
      <c r="DI99" s="1118">
        <f>VLOOKUP($E99,DG$442:DJ$453,3,FALSE)*DG99*($K99)+IF($G99&gt;0,($I99/$G99)*DG99,0)*(1-$K99)</f>
        <v>0</v>
      </c>
      <c r="DJ99" s="1118">
        <f>VLOOKUP($E99,DG$442:DJ$453,4,FALSE)*DG99*($K99)+(DG99-DH99-DI99)*(1-$K99)</f>
        <v>0</v>
      </c>
      <c r="DK99" s="1119"/>
      <c r="DO99" s="1117">
        <f>$G99</f>
        <v>0</v>
      </c>
      <c r="DP99" s="1118">
        <f>VLOOKUP($E99,DO$442:DR$453,2,FALSE)*DO99*($K99)+IF($G99&gt;0,($H99/$G99)*DO99,0)*(1-$K99)</f>
        <v>0</v>
      </c>
      <c r="DQ99" s="1118">
        <f>VLOOKUP($E99,DO$442:DR$453,3,FALSE)*DO99*($K99)+IF($G99&gt;0,($I99/$G99)*DO99,0)*(1-$K99)</f>
        <v>0</v>
      </c>
      <c r="DR99" s="1118">
        <f>VLOOKUP($E99,DO$442:DR$453,4,FALSE)*DO99*($K99)+(DO99-DP99-DQ99)*(1-$K99)</f>
        <v>0</v>
      </c>
      <c r="DS99" s="1119"/>
      <c r="DW99" s="1117">
        <f>$G99</f>
        <v>0</v>
      </c>
      <c r="DX99" s="1118">
        <f>VLOOKUP($E99,DW$442:DZ$453,2,FALSE)*DW99*($K99)+IF($G99&gt;0,($H99/$G99)*DW99,0)*(1-$K99)</f>
        <v>0</v>
      </c>
      <c r="DY99" s="1118">
        <f>VLOOKUP($E99,DW$442:DZ$453,3,FALSE)*DW99*($K99)+IF($G99&gt;0,($I99/$G99)*DW99,0)*(1-$K99)</f>
        <v>0</v>
      </c>
      <c r="DZ99" s="1118">
        <f>VLOOKUP($E99,DW$442:DZ$453,4,FALSE)*DW99*($K99)+(DW99-DX99-DY99)*(1-$K99)</f>
        <v>0</v>
      </c>
      <c r="EA99" s="1119"/>
      <c r="EE99" s="1117">
        <f>$G99</f>
        <v>0</v>
      </c>
      <c r="EF99" s="1118">
        <f>VLOOKUP($E99,EE$442:EH$453,2,FALSE)*EE99*($K99)+IF($G99&gt;0,($H99/$G99)*EE99,0)*(1-$K99)</f>
        <v>0</v>
      </c>
      <c r="EG99" s="1118">
        <f>VLOOKUP($E99,EE$442:EH$453,3,FALSE)*EE99*($K99)+IF($G99&gt;0,($I99/$G99)*EE99,0)*(1-$K99)</f>
        <v>0</v>
      </c>
      <c r="EH99" s="1118">
        <f>VLOOKUP($E99,EE$442:EH$453,4,FALSE)*EE99*($K99)+(EE99-EF99-EG99)*(1-$K99)</f>
        <v>0</v>
      </c>
      <c r="EI99" s="1119"/>
      <c r="EM99" s="1117">
        <f>$G99</f>
        <v>0</v>
      </c>
      <c r="EN99" s="1118">
        <f>VLOOKUP($E99,EM$442:EP$453,2,FALSE)*EM99*($K99)+IF($G99&gt;0,($H99/$G99)*EM99,0)*(1-$K99)</f>
        <v>0</v>
      </c>
      <c r="EO99" s="1118">
        <f>VLOOKUP($E99,EM$442:EP$453,3,FALSE)*EM99*($K99)+IF($G99&gt;0,($I99/$G99)*EM99,0)*(1-$K99)</f>
        <v>0</v>
      </c>
      <c r="EP99" s="1118">
        <f>VLOOKUP($E99,EM$442:EP$453,4,FALSE)*EM99*($K99)+(EM99-EN99-EO99)*(1-$K99)</f>
        <v>0</v>
      </c>
      <c r="EQ99" s="1119"/>
      <c r="EU99" s="1117">
        <f>$G99</f>
        <v>0</v>
      </c>
      <c r="EV99" s="1118">
        <f>VLOOKUP($E99,EU$442:EX$453,2,FALSE)*EU99*($K99)+IF($G99&gt;0,($H99/$G99)*EU99,0)*(1-$K99)</f>
        <v>0</v>
      </c>
      <c r="EW99" s="1118">
        <f>VLOOKUP($E99,EU$442:EX$453,3,FALSE)*EU99*($K99)+IF($G99&gt;0,($I99/$G99)*EU99,0)*(1-$K99)</f>
        <v>0</v>
      </c>
      <c r="EX99" s="1118">
        <f>VLOOKUP($E99,EU$442:EX$453,4,FALSE)*EU99*($K99)+(EU99-EV99-EW99)*(1-$K99)</f>
        <v>0</v>
      </c>
      <c r="EY99" s="1119"/>
      <c r="FC99" s="1117">
        <f>$G99</f>
        <v>0</v>
      </c>
      <c r="FD99" s="1118">
        <f>VLOOKUP($E99,FC$442:FF$453,2,FALSE)*FC99*($K99)+IF($G99&gt;0,($H99/$G99)*FC99,0)*(1-$K99)</f>
        <v>0</v>
      </c>
      <c r="FE99" s="1118">
        <f>VLOOKUP($E99,FC$442:FF$453,3,FALSE)*FC99*($K99)+IF($G99&gt;0,($I99/$G99)*FC99,0)*(1-$K99)</f>
        <v>0</v>
      </c>
      <c r="FF99" s="1118">
        <f>VLOOKUP($E99,FC$442:FF$453,4,FALSE)*FC99*($K99)+(FC99-FD99-FE99)*(1-$K99)</f>
        <v>0</v>
      </c>
      <c r="FG99" s="1119"/>
      <c r="FK99" s="1117">
        <f>$G99</f>
        <v>0</v>
      </c>
      <c r="FL99" s="1118">
        <f>VLOOKUP($E99,FK$442:FN$453,2,FALSE)*FK99*($K99)+IF($G99&gt;0,($H99/$G99)*FK99,0)*(1-$K99)</f>
        <v>0</v>
      </c>
      <c r="FM99" s="1118">
        <f>VLOOKUP($E99,FK$442:FN$453,3,FALSE)*FK99*($K99)+IF($G99&gt;0,($I99/$G99)*FK99,0)*(1-$K99)</f>
        <v>0</v>
      </c>
      <c r="FN99" s="1118">
        <f>VLOOKUP($E99,FK$442:FN$453,4,FALSE)*FK99*($K99)+(FK99-FL99-FM99)*(1-$K99)</f>
        <v>0</v>
      </c>
      <c r="FO99" s="1119"/>
    </row>
    <row r="100" spans="1:171" x14ac:dyDescent="0.25">
      <c r="A100" s="1421"/>
      <c r="B100" s="848" t="s">
        <v>104</v>
      </c>
      <c r="C100" s="915"/>
      <c r="D100" s="916"/>
      <c r="E100" s="916"/>
      <c r="F100" s="917"/>
      <c r="G100" s="924">
        <f>SUM(G96:G99)</f>
        <v>108290155.70399611</v>
      </c>
      <c r="H100" s="924">
        <f>SUM(H96:H99)</f>
        <v>0</v>
      </c>
      <c r="I100" s="924">
        <f>SUM(I96:I99)</f>
        <v>0</v>
      </c>
      <c r="J100" s="1429">
        <f>SUM(J96:J99)</f>
        <v>108290155.70399611</v>
      </c>
      <c r="K100" s="904"/>
      <c r="O100" s="1128">
        <f>SUM(O96:O99)</f>
        <v>108290155.70399611</v>
      </c>
      <c r="P100" s="1128">
        <f>SUM(P96:P99)</f>
        <v>0</v>
      </c>
      <c r="Q100" s="1128">
        <f>SUM(Q96:Q99)</f>
        <v>0</v>
      </c>
      <c r="R100" s="1128">
        <f>SUM(R96:R99)</f>
        <v>108290155.70399611</v>
      </c>
      <c r="S100" s="1119"/>
      <c r="W100" s="1128">
        <f>SUM(W96:W99)</f>
        <v>108290155.70399611</v>
      </c>
      <c r="X100" s="1128">
        <f>SUM(X96:X99)</f>
        <v>0</v>
      </c>
      <c r="Y100" s="1128">
        <f>SUM(Y96:Y99)</f>
        <v>0</v>
      </c>
      <c r="Z100" s="1128">
        <f>SUM(Z96:Z99)</f>
        <v>108290155.70399611</v>
      </c>
      <c r="AA100" s="1119"/>
      <c r="AE100" s="1128">
        <f>SUM(AE96:AE99)</f>
        <v>108290155.70399611</v>
      </c>
      <c r="AF100" s="1128">
        <f>SUM(AF96:AF99)</f>
        <v>0</v>
      </c>
      <c r="AG100" s="1128">
        <f>SUM(AG96:AG99)</f>
        <v>0</v>
      </c>
      <c r="AH100" s="1128">
        <f>SUM(AH96:AH99)</f>
        <v>108290155.70399611</v>
      </c>
      <c r="AI100" s="1119"/>
      <c r="AM100" s="1128">
        <f>SUM(AM96:AM99)</f>
        <v>108290155.70399611</v>
      </c>
      <c r="AN100" s="1128">
        <f>SUM(AN96:AN99)</f>
        <v>0</v>
      </c>
      <c r="AO100" s="1128">
        <f>SUM(AO96:AO99)</f>
        <v>0</v>
      </c>
      <c r="AP100" s="1128">
        <f>SUM(AP96:AP99)</f>
        <v>108290155.70399611</v>
      </c>
      <c r="AQ100" s="1119"/>
      <c r="AU100" s="1128">
        <f>SUM(AU96:AU99)</f>
        <v>108290155.70399611</v>
      </c>
      <c r="AV100" s="1128">
        <f>SUM(AV96:AV99)</f>
        <v>0</v>
      </c>
      <c r="AW100" s="1128">
        <f>SUM(AW96:AW99)</f>
        <v>0</v>
      </c>
      <c r="AX100" s="1128">
        <f>SUM(AX96:AX99)</f>
        <v>108290155.70399611</v>
      </c>
      <c r="AY100" s="1119"/>
      <c r="BC100" s="1128">
        <f>SUM(BC96:BC99)</f>
        <v>108290155.70399611</v>
      </c>
      <c r="BD100" s="1128">
        <f>SUM(BD96:BD99)</f>
        <v>0</v>
      </c>
      <c r="BE100" s="1128">
        <f>SUM(BE96:BE99)</f>
        <v>0</v>
      </c>
      <c r="BF100" s="1128">
        <f>SUM(BF96:BF99)</f>
        <v>108290155.70399611</v>
      </c>
      <c r="BG100" s="1119"/>
      <c r="BK100" s="1128">
        <f>SUM(BK96:BK99)</f>
        <v>108290155.70399611</v>
      </c>
      <c r="BL100" s="1128">
        <f>SUM(BL96:BL99)</f>
        <v>0</v>
      </c>
      <c r="BM100" s="1128">
        <f>SUM(BM96:BM99)</f>
        <v>0</v>
      </c>
      <c r="BN100" s="1128">
        <f>SUM(BN96:BN99)</f>
        <v>108290155.70399611</v>
      </c>
      <c r="BO100" s="1119"/>
      <c r="BS100" s="1128">
        <f>SUM(BS96:BS99)</f>
        <v>108290155.70399611</v>
      </c>
      <c r="BT100" s="1128">
        <f>SUM(BT96:BT99)</f>
        <v>0</v>
      </c>
      <c r="BU100" s="1128">
        <f>SUM(BU96:BU99)</f>
        <v>0</v>
      </c>
      <c r="BV100" s="1128">
        <f>SUM(BV96:BV99)</f>
        <v>108290155.70399611</v>
      </c>
      <c r="BW100" s="1119"/>
      <c r="CA100" s="1128">
        <f>SUM(CA96:CA99)</f>
        <v>108290155.70399611</v>
      </c>
      <c r="CB100" s="1128">
        <f>SUM(CB96:CB99)</f>
        <v>0</v>
      </c>
      <c r="CC100" s="1128">
        <f>SUM(CC96:CC99)</f>
        <v>0</v>
      </c>
      <c r="CD100" s="1128">
        <f>SUM(CD96:CD99)</f>
        <v>108290155.70399611</v>
      </c>
      <c r="CE100" s="1119"/>
      <c r="CI100" s="1128">
        <f>SUM(CI96:CI99)</f>
        <v>108290155.70399611</v>
      </c>
      <c r="CJ100" s="1128">
        <f>SUM(CJ96:CJ99)</f>
        <v>0</v>
      </c>
      <c r="CK100" s="1128">
        <f>SUM(CK96:CK99)</f>
        <v>0</v>
      </c>
      <c r="CL100" s="1128">
        <f>SUM(CL96:CL99)</f>
        <v>108290155.70399611</v>
      </c>
      <c r="CM100" s="1119"/>
      <c r="CQ100" s="1128">
        <f>SUM(CQ96:CQ99)</f>
        <v>108290155.70399611</v>
      </c>
      <c r="CR100" s="1128">
        <f>SUM(CR96:CR99)</f>
        <v>0</v>
      </c>
      <c r="CS100" s="1128">
        <f>SUM(CS96:CS99)</f>
        <v>0</v>
      </c>
      <c r="CT100" s="1128">
        <f>SUM(CT96:CT99)</f>
        <v>108290155.70399611</v>
      </c>
      <c r="CU100" s="1119"/>
      <c r="CY100" s="1128">
        <f>SUM(CY96:CY99)</f>
        <v>108290155.70399611</v>
      </c>
      <c r="CZ100" s="1128">
        <f>SUM(CZ96:CZ99)</f>
        <v>0</v>
      </c>
      <c r="DA100" s="1128">
        <f>SUM(DA96:DA99)</f>
        <v>0</v>
      </c>
      <c r="DB100" s="1128">
        <f>SUM(DB96:DB99)</f>
        <v>108290155.70399611</v>
      </c>
      <c r="DC100" s="1119"/>
      <c r="DG100" s="1128">
        <f>SUM(DG96:DG99)</f>
        <v>108290155.70399611</v>
      </c>
      <c r="DH100" s="1128">
        <f>SUM(DH96:DH99)</f>
        <v>0</v>
      </c>
      <c r="DI100" s="1128">
        <f>SUM(DI96:DI99)</f>
        <v>0</v>
      </c>
      <c r="DJ100" s="1128">
        <f>SUM(DJ96:DJ99)</f>
        <v>108290155.70399611</v>
      </c>
      <c r="DK100" s="1119"/>
      <c r="DO100" s="1128">
        <f>SUM(DO96:DO99)</f>
        <v>108290155.70399611</v>
      </c>
      <c r="DP100" s="1128">
        <f>SUM(DP96:DP99)</f>
        <v>0</v>
      </c>
      <c r="DQ100" s="1128">
        <f>SUM(DQ96:DQ99)</f>
        <v>0</v>
      </c>
      <c r="DR100" s="1128">
        <f>SUM(DR96:DR99)</f>
        <v>108290155.70399611</v>
      </c>
      <c r="DS100" s="1119"/>
      <c r="DW100" s="1128">
        <f>SUM(DW96:DW99)</f>
        <v>108290155.70399611</v>
      </c>
      <c r="DX100" s="1128">
        <f>SUM(DX96:DX99)</f>
        <v>0</v>
      </c>
      <c r="DY100" s="1128">
        <f>SUM(DY96:DY99)</f>
        <v>0</v>
      </c>
      <c r="DZ100" s="1128">
        <f>SUM(DZ96:DZ99)</f>
        <v>108290155.70399611</v>
      </c>
      <c r="EA100" s="1119"/>
      <c r="EE100" s="1128">
        <f>SUM(EE96:EE99)</f>
        <v>108290155.70399611</v>
      </c>
      <c r="EF100" s="1128">
        <f>SUM(EF96:EF99)</f>
        <v>0</v>
      </c>
      <c r="EG100" s="1128">
        <f>SUM(EG96:EG99)</f>
        <v>0</v>
      </c>
      <c r="EH100" s="1128">
        <f>SUM(EH96:EH99)</f>
        <v>108290155.70399611</v>
      </c>
      <c r="EI100" s="1119"/>
      <c r="EM100" s="1128">
        <f>SUM(EM96:EM99)</f>
        <v>108290155.70399611</v>
      </c>
      <c r="EN100" s="1128">
        <f>SUM(EN96:EN99)</f>
        <v>0</v>
      </c>
      <c r="EO100" s="1128">
        <f>SUM(EO96:EO99)</f>
        <v>0</v>
      </c>
      <c r="EP100" s="1128">
        <f>SUM(EP96:EP99)</f>
        <v>108290155.70399611</v>
      </c>
      <c r="EQ100" s="1119"/>
      <c r="EU100" s="1128">
        <f>SUM(EU96:EU99)</f>
        <v>108290155.70399611</v>
      </c>
      <c r="EV100" s="1128">
        <f>SUM(EV96:EV99)</f>
        <v>0</v>
      </c>
      <c r="EW100" s="1128">
        <f>SUM(EW96:EW99)</f>
        <v>0</v>
      </c>
      <c r="EX100" s="1128">
        <f>SUM(EX96:EX99)</f>
        <v>108290155.70399611</v>
      </c>
      <c r="EY100" s="1119"/>
      <c r="FC100" s="1128">
        <f>SUM(FC96:FC99)</f>
        <v>108290155.70399611</v>
      </c>
      <c r="FD100" s="1128">
        <f>SUM(FD96:FD99)</f>
        <v>0</v>
      </c>
      <c r="FE100" s="1128">
        <f>SUM(FE96:FE99)</f>
        <v>0</v>
      </c>
      <c r="FF100" s="1128">
        <f>SUM(FF96:FF99)</f>
        <v>108290155.70399611</v>
      </c>
      <c r="FG100" s="1119"/>
      <c r="FK100" s="1128">
        <f>SUM(FK96:FK99)</f>
        <v>108290155.70399611</v>
      </c>
      <c r="FL100" s="1128">
        <f>SUM(FL96:FL99)</f>
        <v>0</v>
      </c>
      <c r="FM100" s="1128">
        <f>SUM(FM96:FM99)</f>
        <v>0</v>
      </c>
      <c r="FN100" s="1128">
        <f>SUM(FN96:FN99)</f>
        <v>108290155.70399611</v>
      </c>
      <c r="FO100" s="1119"/>
    </row>
    <row r="101" spans="1:171" x14ac:dyDescent="0.25">
      <c r="A101" s="1440"/>
      <c r="B101" s="948"/>
      <c r="C101" s="948"/>
      <c r="D101" s="948"/>
      <c r="E101" s="948"/>
      <c r="F101" s="948"/>
      <c r="G101" s="948"/>
      <c r="H101" s="948"/>
      <c r="I101" s="948"/>
      <c r="J101" s="1438"/>
      <c r="K101" s="904"/>
      <c r="S101" s="1119"/>
      <c r="AA101" s="1119"/>
      <c r="AI101" s="1119"/>
      <c r="AQ101" s="1119"/>
      <c r="AY101" s="1119"/>
      <c r="BG101" s="1119"/>
      <c r="BO101" s="1119"/>
      <c r="BW101" s="1119"/>
      <c r="CE101" s="1119"/>
      <c r="CM101" s="1119"/>
      <c r="CU101" s="1119"/>
      <c r="DC101" s="1119"/>
      <c r="DK101" s="1119"/>
      <c r="DS101" s="1119"/>
      <c r="EA101" s="1119"/>
      <c r="EI101" s="1119"/>
      <c r="EQ101" s="1119"/>
      <c r="EY101" s="1119"/>
      <c r="FG101" s="1119"/>
      <c r="FO101" s="1119"/>
    </row>
    <row r="102" spans="1:171" x14ac:dyDescent="0.25">
      <c r="A102" s="1364" t="s">
        <v>177</v>
      </c>
      <c r="B102" s="79"/>
      <c r="C102" s="941"/>
      <c r="D102" s="196"/>
      <c r="E102" s="196"/>
      <c r="F102" s="196"/>
      <c r="G102" s="953"/>
      <c r="H102" s="953"/>
      <c r="I102" s="953"/>
      <c r="J102" s="1441"/>
      <c r="K102" s="904"/>
      <c r="S102" s="1119"/>
      <c r="AA102" s="1119"/>
      <c r="AI102" s="1119"/>
      <c r="AQ102" s="1119"/>
      <c r="AY102" s="1119"/>
      <c r="BG102" s="1119"/>
      <c r="BO102" s="1119"/>
      <c r="BW102" s="1119"/>
      <c r="CE102" s="1119"/>
      <c r="CM102" s="1119"/>
      <c r="CU102" s="1119"/>
      <c r="DC102" s="1119"/>
      <c r="DK102" s="1119"/>
      <c r="DS102" s="1119"/>
      <c r="EA102" s="1119"/>
      <c r="EI102" s="1119"/>
      <c r="EQ102" s="1119"/>
      <c r="EY102" s="1119"/>
      <c r="FG102" s="1119"/>
      <c r="FO102" s="1119"/>
    </row>
    <row r="103" spans="1:171" x14ac:dyDescent="0.25">
      <c r="A103" s="1442">
        <v>92400</v>
      </c>
      <c r="B103" s="10" t="s">
        <v>436</v>
      </c>
      <c r="C103" s="889" t="s">
        <v>78</v>
      </c>
      <c r="D103" s="889">
        <v>151</v>
      </c>
      <c r="E103" s="182" t="str">
        <f>'Sch 1- Rate Base '!E103</f>
        <v>PROD</v>
      </c>
      <c r="F103" s="890"/>
      <c r="G103" s="182">
        <f>'Sch 1- Rate Base '!G103</f>
        <v>40405127.127832949</v>
      </c>
      <c r="H103" s="182">
        <f>'Sch 1- Rate Base '!H103</f>
        <v>40405127.127832949</v>
      </c>
      <c r="I103" s="182">
        <f>'Sch 1- Rate Base '!I103</f>
        <v>0</v>
      </c>
      <c r="J103" s="1422">
        <f>'Sch 1- Rate Base '!J103</f>
        <v>0</v>
      </c>
      <c r="K103" s="904">
        <f t="shared" ref="K103:K115" si="244">IF($E103="DIRECT",0,1)</f>
        <v>1</v>
      </c>
      <c r="N103" s="1155">
        <f>VLOOKUP($A103,'New Resources - Group'!$A$4:$Y$133,N$2,FALSE)*N$1</f>
        <v>0</v>
      </c>
      <c r="O103" s="1117">
        <f t="shared" ref="O103:O108" si="245">$G103+N103</f>
        <v>40405127.127832949</v>
      </c>
      <c r="P103" s="1118">
        <f t="shared" ref="P103:P109" si="246">VLOOKUP($E103,O$442:R$453,2,FALSE)*O103*($K103)+IF($G103&gt;0,($H103/$G103)*O103,0)*(1-$K103)</f>
        <v>40405127.127832949</v>
      </c>
      <c r="Q103" s="1118">
        <f t="shared" ref="Q103:Q109" si="247">VLOOKUP($E103,O$442:R$453,3,FALSE)*O103*($K103)+IF($G103&gt;0,($I103/$G103)*O103,0)*(1-$K103)</f>
        <v>0</v>
      </c>
      <c r="R103" s="1118">
        <f t="shared" ref="R103:R110" si="248">VLOOKUP($E103,O$442:R$453,4,FALSE)*O103*($K103)+(O103-P103-Q103)*(1-$K103)</f>
        <v>0</v>
      </c>
      <c r="S103" s="1119"/>
      <c r="V103" s="1155">
        <f>VLOOKUP($A103,'New Resources - Group'!$A$4:$Y$133,V$2,FALSE)*V$1</f>
        <v>0</v>
      </c>
      <c r="W103" s="1117">
        <f t="shared" ref="W103:W108" si="249">$G103+V103</f>
        <v>40405127.127832949</v>
      </c>
      <c r="X103" s="1118">
        <f t="shared" ref="X103:X109" si="250">VLOOKUP($E103,W$442:Z$453,2,FALSE)*W103*($K103)+IF($G103&gt;0,($H103/$G103)*W103,0)*(1-$K103)</f>
        <v>40405127.127832949</v>
      </c>
      <c r="Y103" s="1118">
        <f t="shared" ref="Y103:Y109" si="251">VLOOKUP($E103,W$442:Z$453,3,FALSE)*W103*($K103)+IF($G103&gt;0,($I103/$G103)*W103,0)*(1-$K103)</f>
        <v>0</v>
      </c>
      <c r="Z103" s="1118">
        <f t="shared" ref="Z103:Z110" si="252">VLOOKUP($E103,W$442:Z$453,4,FALSE)*W103*($K103)+(W103-X103-Y103)*(1-$K103)</f>
        <v>0</v>
      </c>
      <c r="AA103" s="1119"/>
      <c r="AD103" s="1155">
        <f>VLOOKUP($A103,'New Resources - Group'!$A$4:$Y$133,AD$2,FALSE)*AD$1</f>
        <v>0</v>
      </c>
      <c r="AE103" s="1117">
        <f t="shared" ref="AE103:AE108" si="253">$G103+AD103</f>
        <v>40405127.127832949</v>
      </c>
      <c r="AF103" s="1118">
        <f t="shared" ref="AF103:AF109" si="254">VLOOKUP($E103,AE$442:AH$453,2,FALSE)*AE103*($K103)+IF($G103&gt;0,($H103/$G103)*AE103,0)*(1-$K103)</f>
        <v>40405127.127832949</v>
      </c>
      <c r="AG103" s="1118">
        <f t="shared" ref="AG103:AG109" si="255">VLOOKUP($E103,AE$442:AH$453,3,FALSE)*AE103*($K103)+IF($G103&gt;0,($I103/$G103)*AE103,0)*(1-$K103)</f>
        <v>0</v>
      </c>
      <c r="AH103" s="1118">
        <f t="shared" ref="AH103:AH110" si="256">VLOOKUP($E103,AE$442:AH$453,4,FALSE)*AE103*($K103)+(AE103-AF103-AG103)*(1-$K103)</f>
        <v>0</v>
      </c>
      <c r="AI103" s="1119"/>
      <c r="AL103" s="1155">
        <f>VLOOKUP($A103,'New Resources - Group'!$A$4:$Y$133,AL$2,FALSE)*AL$1</f>
        <v>0</v>
      </c>
      <c r="AM103" s="1117">
        <f t="shared" ref="AM103:AM108" si="257">$G103+AL103</f>
        <v>40405127.127832949</v>
      </c>
      <c r="AN103" s="1118">
        <f t="shared" ref="AN103:AN109" si="258">VLOOKUP($E103,AM$442:AP$453,2,FALSE)*AM103*($K103)+IF($G103&gt;0,($H103/$G103)*AM103,0)*(1-$K103)</f>
        <v>40405127.127832949</v>
      </c>
      <c r="AO103" s="1118">
        <f t="shared" ref="AO103:AO109" si="259">VLOOKUP($E103,AM$442:AP$453,3,FALSE)*AM103*($K103)+IF($G103&gt;0,($I103/$G103)*AM103,0)*(1-$K103)</f>
        <v>0</v>
      </c>
      <c r="AP103" s="1118">
        <f t="shared" ref="AP103:AP110" si="260">VLOOKUP($E103,AM$442:AP$453,4,FALSE)*AM103*($K103)+(AM103-AN103-AO103)*(1-$K103)</f>
        <v>0</v>
      </c>
      <c r="AQ103" s="1119"/>
      <c r="AT103" s="1155">
        <f>VLOOKUP($A103,'New Resources - Group'!$A$4:$Y$133,AT$2,FALSE)*AT$1</f>
        <v>0</v>
      </c>
      <c r="AU103" s="1117">
        <f t="shared" ref="AU103:AU108" si="261">$G103+AT103</f>
        <v>40405127.127832949</v>
      </c>
      <c r="AV103" s="1118">
        <f t="shared" ref="AV103:AV109" si="262">VLOOKUP($E103,AU$442:AX$453,2,FALSE)*AU103*($K103)+IF($G103&gt;0,($H103/$G103)*AU103,0)*(1-$K103)</f>
        <v>40405127.127832949</v>
      </c>
      <c r="AW103" s="1118">
        <f t="shared" ref="AW103:AW109" si="263">VLOOKUP($E103,AU$442:AX$453,3,FALSE)*AU103*($K103)+IF($G103&gt;0,($I103/$G103)*AU103,0)*(1-$K103)</f>
        <v>0</v>
      </c>
      <c r="AX103" s="1118">
        <f t="shared" ref="AX103:AX110" si="264">VLOOKUP($E103,AU$442:AX$453,4,FALSE)*AU103*($K103)+(AU103-AV103-AW103)*(1-$K103)</f>
        <v>0</v>
      </c>
      <c r="AY103" s="1119"/>
      <c r="BB103" s="1155">
        <f>VLOOKUP($A103,'New Resources - Group'!$A$4:$Y$133,BB$2,FALSE)*BB$1</f>
        <v>0</v>
      </c>
      <c r="BC103" s="1117">
        <f t="shared" ref="BC103:BC108" si="265">$G103+BB103</f>
        <v>40405127.127832949</v>
      </c>
      <c r="BD103" s="1118">
        <f t="shared" ref="BD103:BD109" si="266">VLOOKUP($E103,BC$442:BF$453,2,FALSE)*BC103*($K103)+IF($G103&gt;0,($H103/$G103)*BC103,0)*(1-$K103)</f>
        <v>40405127.127832949</v>
      </c>
      <c r="BE103" s="1118">
        <f t="shared" ref="BE103:BE109" si="267">VLOOKUP($E103,BC$442:BF$453,3,FALSE)*BC103*($K103)+IF($G103&gt;0,($I103/$G103)*BC103,0)*(1-$K103)</f>
        <v>0</v>
      </c>
      <c r="BF103" s="1118">
        <f t="shared" ref="BF103:BF110" si="268">VLOOKUP($E103,BC$442:BF$453,4,FALSE)*BC103*($K103)+(BC103-BD103-BE103)*(1-$K103)</f>
        <v>0</v>
      </c>
      <c r="BG103" s="1119"/>
      <c r="BJ103" s="1155">
        <f>VLOOKUP($A103,'New Resources - Group'!$A$4:$Y$133,BJ$2,FALSE)*BJ$1</f>
        <v>0</v>
      </c>
      <c r="BK103" s="1117">
        <f t="shared" ref="BK103:BK108" si="269">$G103+BJ103</f>
        <v>40405127.127832949</v>
      </c>
      <c r="BL103" s="1118">
        <f t="shared" ref="BL103:BL109" si="270">VLOOKUP($E103,BK$442:BN$453,2,FALSE)*BK103*($K103)+IF($G103&gt;0,($H103/$G103)*BK103,0)*(1-$K103)</f>
        <v>40405127.127832949</v>
      </c>
      <c r="BM103" s="1118">
        <f t="shared" ref="BM103:BM109" si="271">VLOOKUP($E103,BK$442:BN$453,3,FALSE)*BK103*($K103)+IF($G103&gt;0,($I103/$G103)*BK103,0)*(1-$K103)</f>
        <v>0</v>
      </c>
      <c r="BN103" s="1118">
        <f t="shared" ref="BN103:BN110" si="272">VLOOKUP($E103,BK$442:BN$453,4,FALSE)*BK103*($K103)+(BK103-BL103-BM103)*(1-$K103)</f>
        <v>0</v>
      </c>
      <c r="BO103" s="1119"/>
      <c r="BR103" s="1155">
        <f>VLOOKUP($A103,'New Resources - Group'!$A$4:$Y$133,BR$2,FALSE)*BR$1</f>
        <v>0</v>
      </c>
      <c r="BS103" s="1117">
        <f t="shared" ref="BS103:BS108" si="273">$G103+BR103</f>
        <v>40405127.127832949</v>
      </c>
      <c r="BT103" s="1118">
        <f t="shared" ref="BT103:BT109" si="274">VLOOKUP($E103,BS$442:BV$453,2,FALSE)*BS103*($K103)+IF($G103&gt;0,($H103/$G103)*BS103,0)*(1-$K103)</f>
        <v>40405127.127832949</v>
      </c>
      <c r="BU103" s="1118">
        <f t="shared" ref="BU103:BU109" si="275">VLOOKUP($E103,BS$442:BV$453,3,FALSE)*BS103*($K103)+IF($G103&gt;0,($I103/$G103)*BS103,0)*(1-$K103)</f>
        <v>0</v>
      </c>
      <c r="BV103" s="1118">
        <f t="shared" ref="BV103:BV110" si="276">VLOOKUP($E103,BS$442:BV$453,4,FALSE)*BS103*($K103)+(BS103-BT103-BU103)*(1-$K103)</f>
        <v>0</v>
      </c>
      <c r="BW103" s="1119"/>
      <c r="BZ103" s="1155">
        <f>VLOOKUP($A103,'New Resources - Group'!$A$4:$Y$133,BZ$2,FALSE)*BZ$1</f>
        <v>0</v>
      </c>
      <c r="CA103" s="1117">
        <f t="shared" ref="CA103:CA108" si="277">$G103+BZ103</f>
        <v>40405127.127832949</v>
      </c>
      <c r="CB103" s="1118">
        <f t="shared" ref="CB103:CB109" si="278">VLOOKUP($E103,CA$442:CD$453,2,FALSE)*CA103*($K103)+IF($G103&gt;0,($H103/$G103)*CA103,0)*(1-$K103)</f>
        <v>40405127.127832949</v>
      </c>
      <c r="CC103" s="1118">
        <f t="shared" ref="CC103:CC109" si="279">VLOOKUP($E103,CA$442:CD$453,3,FALSE)*CA103*($K103)+IF($G103&gt;0,($I103/$G103)*CA103,0)*(1-$K103)</f>
        <v>0</v>
      </c>
      <c r="CD103" s="1118">
        <f t="shared" ref="CD103:CD110" si="280">VLOOKUP($E103,CA$442:CD$453,4,FALSE)*CA103*($K103)+(CA103-CB103-CC103)*(1-$K103)</f>
        <v>0</v>
      </c>
      <c r="CE103" s="1119"/>
      <c r="CH103" s="1155">
        <f>VLOOKUP($A103,'New Resources - Group'!$A$4:$Y$133,CH$2,FALSE)*CH$1</f>
        <v>0</v>
      </c>
      <c r="CI103" s="1117">
        <f t="shared" ref="CI103:CI108" si="281">$G103+CH103</f>
        <v>40405127.127832949</v>
      </c>
      <c r="CJ103" s="1118">
        <f t="shared" ref="CJ103:CJ109" si="282">VLOOKUP($E103,CI$442:CL$453,2,FALSE)*CI103*($K103)+IF($G103&gt;0,($H103/$G103)*CI103,0)*(1-$K103)</f>
        <v>40405127.127832949</v>
      </c>
      <c r="CK103" s="1118">
        <f t="shared" ref="CK103:CK109" si="283">VLOOKUP($E103,CI$442:CL$453,3,FALSE)*CI103*($K103)+IF($G103&gt;0,($I103/$G103)*CI103,0)*(1-$K103)</f>
        <v>0</v>
      </c>
      <c r="CL103" s="1118">
        <f t="shared" ref="CL103:CL110" si="284">VLOOKUP($E103,CI$442:CL$453,4,FALSE)*CI103*($K103)+(CI103-CJ103-CK103)*(1-$K103)</f>
        <v>0</v>
      </c>
      <c r="CM103" s="1119"/>
      <c r="CP103" s="1155">
        <f>VLOOKUP($A103,'New Resources - Group'!$A$4:$Y$133,CP$2,FALSE)*CP$1</f>
        <v>0</v>
      </c>
      <c r="CQ103" s="1117">
        <f t="shared" ref="CQ103:CQ108" si="285">$G103+CP103</f>
        <v>40405127.127832949</v>
      </c>
      <c r="CR103" s="1118">
        <f t="shared" ref="CR103:CR109" si="286">VLOOKUP($E103,CQ$442:CT$453,2,FALSE)*CQ103*($K103)+IF($G103&gt;0,($H103/$G103)*CQ103,0)*(1-$K103)</f>
        <v>40405127.127832949</v>
      </c>
      <c r="CS103" s="1118">
        <f t="shared" ref="CS103:CS109" si="287">VLOOKUP($E103,CQ$442:CT$453,3,FALSE)*CQ103*($K103)+IF($G103&gt;0,($I103/$G103)*CQ103,0)*(1-$K103)</f>
        <v>0</v>
      </c>
      <c r="CT103" s="1118">
        <f t="shared" ref="CT103:CT110" si="288">VLOOKUP($E103,CQ$442:CT$453,4,FALSE)*CQ103*($K103)+(CQ103-CR103-CS103)*(1-$K103)</f>
        <v>0</v>
      </c>
      <c r="CU103" s="1119"/>
      <c r="CX103" s="1155">
        <f>VLOOKUP($A103,'New Resources - Group'!$A$4:$Y$133,CX$2,FALSE)*CX$1</f>
        <v>0</v>
      </c>
      <c r="CY103" s="1117">
        <f t="shared" ref="CY103:CY108" si="289">$G103+CX103</f>
        <v>40405127.127832949</v>
      </c>
      <c r="CZ103" s="1118">
        <f t="shared" ref="CZ103:CZ109" si="290">VLOOKUP($E103,CY$442:DB$453,2,FALSE)*CY103*($K103)+IF($G103&gt;0,($H103/$G103)*CY103,0)*(1-$K103)</f>
        <v>40405127.127832949</v>
      </c>
      <c r="DA103" s="1118">
        <f t="shared" ref="DA103:DA109" si="291">VLOOKUP($E103,CY$442:DB$453,3,FALSE)*CY103*($K103)+IF($G103&gt;0,($I103/$G103)*CY103,0)*(1-$K103)</f>
        <v>0</v>
      </c>
      <c r="DB103" s="1118">
        <f t="shared" ref="DB103:DB110" si="292">VLOOKUP($E103,CY$442:DB$453,4,FALSE)*CY103*($K103)+(CY103-CZ103-DA103)*(1-$K103)</f>
        <v>0</v>
      </c>
      <c r="DC103" s="1119"/>
      <c r="DF103" s="1155">
        <f>VLOOKUP($A103,'New Resources - Group'!$A$4:$Y$133,DF$2,FALSE)*DF$1</f>
        <v>0</v>
      </c>
      <c r="DG103" s="1117">
        <f t="shared" ref="DG103:DG108" si="293">$G103+DF103</f>
        <v>40405127.127832949</v>
      </c>
      <c r="DH103" s="1118">
        <f t="shared" ref="DH103:DH109" si="294">VLOOKUP($E103,DG$442:DJ$453,2,FALSE)*DG103*($K103)+IF($G103&gt;0,($H103/$G103)*DG103,0)*(1-$K103)</f>
        <v>40405127.127832949</v>
      </c>
      <c r="DI103" s="1118">
        <f t="shared" ref="DI103:DI109" si="295">VLOOKUP($E103,DG$442:DJ$453,3,FALSE)*DG103*($K103)+IF($G103&gt;0,($I103/$G103)*DG103,0)*(1-$K103)</f>
        <v>0</v>
      </c>
      <c r="DJ103" s="1118">
        <f t="shared" ref="DJ103:DJ110" si="296">VLOOKUP($E103,DG$442:DJ$453,4,FALSE)*DG103*($K103)+(DG103-DH103-DI103)*(1-$K103)</f>
        <v>0</v>
      </c>
      <c r="DK103" s="1119"/>
      <c r="DN103" s="1155">
        <f>VLOOKUP($A103,'New Resources - Group'!$A$4:$Y$133,DN$2,FALSE)*DN$1</f>
        <v>0</v>
      </c>
      <c r="DO103" s="1117">
        <f t="shared" ref="DO103:DO108" si="297">$G103+DN103</f>
        <v>40405127.127832949</v>
      </c>
      <c r="DP103" s="1118">
        <f t="shared" ref="DP103:DP109" si="298">VLOOKUP($E103,DO$442:DR$453,2,FALSE)*DO103*($K103)+IF($G103&gt;0,($H103/$G103)*DO103,0)*(1-$K103)</f>
        <v>40405127.127832949</v>
      </c>
      <c r="DQ103" s="1118">
        <f t="shared" ref="DQ103:DQ109" si="299">VLOOKUP($E103,DO$442:DR$453,3,FALSE)*DO103*($K103)+IF($G103&gt;0,($I103/$G103)*DO103,0)*(1-$K103)</f>
        <v>0</v>
      </c>
      <c r="DR103" s="1118">
        <f t="shared" ref="DR103:DR110" si="300">VLOOKUP($E103,DO$442:DR$453,4,FALSE)*DO103*($K103)+(DO103-DP103-DQ103)*(1-$K103)</f>
        <v>0</v>
      </c>
      <c r="DS103" s="1119"/>
      <c r="DV103" s="1155">
        <f>VLOOKUP($A103,'New Resources - Group'!$A$4:$Y$133,DV$2,FALSE)*DV$1</f>
        <v>0</v>
      </c>
      <c r="DW103" s="1117">
        <f t="shared" ref="DW103:DW108" si="301">$G103+DV103</f>
        <v>40405127.127832949</v>
      </c>
      <c r="DX103" s="1118">
        <f t="shared" ref="DX103:DX109" si="302">VLOOKUP($E103,DW$442:DZ$453,2,FALSE)*DW103*($K103)+IF($G103&gt;0,($H103/$G103)*DW103,0)*(1-$K103)</f>
        <v>40405127.127832949</v>
      </c>
      <c r="DY103" s="1118">
        <f t="shared" ref="DY103:DY109" si="303">VLOOKUP($E103,DW$442:DZ$453,3,FALSE)*DW103*($K103)+IF($G103&gt;0,($I103/$G103)*DW103,0)*(1-$K103)</f>
        <v>0</v>
      </c>
      <c r="DZ103" s="1118">
        <f t="shared" ref="DZ103:DZ110" si="304">VLOOKUP($E103,DW$442:DZ$453,4,FALSE)*DW103*($K103)+(DW103-DX103-DY103)*(1-$K103)</f>
        <v>0</v>
      </c>
      <c r="EA103" s="1119"/>
      <c r="ED103" s="1155">
        <f>VLOOKUP($A103,'New Resources - Group'!$A$4:$Y$133,ED$2,FALSE)*ED$1</f>
        <v>0</v>
      </c>
      <c r="EE103" s="1117">
        <f t="shared" ref="EE103:EE108" si="305">$G103+ED103</f>
        <v>40405127.127832949</v>
      </c>
      <c r="EF103" s="1118">
        <f t="shared" ref="EF103:EF109" si="306">VLOOKUP($E103,EE$442:EH$453,2,FALSE)*EE103*($K103)+IF($G103&gt;0,($H103/$G103)*EE103,0)*(1-$K103)</f>
        <v>40405127.127832949</v>
      </c>
      <c r="EG103" s="1118">
        <f t="shared" ref="EG103:EG109" si="307">VLOOKUP($E103,EE$442:EH$453,3,FALSE)*EE103*($K103)+IF($G103&gt;0,($I103/$G103)*EE103,0)*(1-$K103)</f>
        <v>0</v>
      </c>
      <c r="EH103" s="1118">
        <f t="shared" ref="EH103:EH110" si="308">VLOOKUP($E103,EE$442:EH$453,4,FALSE)*EE103*($K103)+(EE103-EF103-EG103)*(1-$K103)</f>
        <v>0</v>
      </c>
      <c r="EI103" s="1119"/>
      <c r="EL103" s="1155">
        <f>VLOOKUP($A103,'New Resources - Group'!$A$4:$Y$133,EL$2,FALSE)*EL$1</f>
        <v>0</v>
      </c>
      <c r="EM103" s="1117">
        <f t="shared" ref="EM103:EM108" si="309">$G103+EL103</f>
        <v>40405127.127832949</v>
      </c>
      <c r="EN103" s="1118">
        <f t="shared" ref="EN103:EN109" si="310">VLOOKUP($E103,EM$442:EP$453,2,FALSE)*EM103*($K103)+IF($G103&gt;0,($H103/$G103)*EM103,0)*(1-$K103)</f>
        <v>40405127.127832949</v>
      </c>
      <c r="EO103" s="1118">
        <f t="shared" ref="EO103:EO109" si="311">VLOOKUP($E103,EM$442:EP$453,3,FALSE)*EM103*($K103)+IF($G103&gt;0,($I103/$G103)*EM103,0)*(1-$K103)</f>
        <v>0</v>
      </c>
      <c r="EP103" s="1118">
        <f t="shared" ref="EP103:EP110" si="312">VLOOKUP($E103,EM$442:EP$453,4,FALSE)*EM103*($K103)+(EM103-EN103-EO103)*(1-$K103)</f>
        <v>0</v>
      </c>
      <c r="EQ103" s="1119"/>
      <c r="ET103" s="1155">
        <f>VLOOKUP($A103,'New Resources - Group'!$A$4:$Y$133,ET$2,FALSE)*ET$1</f>
        <v>0</v>
      </c>
      <c r="EU103" s="1117">
        <f t="shared" ref="EU103:EU108" si="313">$G103+ET103</f>
        <v>40405127.127832949</v>
      </c>
      <c r="EV103" s="1118">
        <f t="shared" ref="EV103:EV109" si="314">VLOOKUP($E103,EU$442:EX$453,2,FALSE)*EU103*($K103)+IF($G103&gt;0,($H103/$G103)*EU103,0)*(1-$K103)</f>
        <v>40405127.127832949</v>
      </c>
      <c r="EW103" s="1118">
        <f t="shared" ref="EW103:EW109" si="315">VLOOKUP($E103,EU$442:EX$453,3,FALSE)*EU103*($K103)+IF($G103&gt;0,($I103/$G103)*EU103,0)*(1-$K103)</f>
        <v>0</v>
      </c>
      <c r="EX103" s="1118">
        <f t="shared" ref="EX103:EX110" si="316">VLOOKUP($E103,EU$442:EX$453,4,FALSE)*EU103*($K103)+(EU103-EV103-EW103)*(1-$K103)</f>
        <v>0</v>
      </c>
      <c r="EY103" s="1119"/>
      <c r="FB103" s="1155">
        <f>VLOOKUP($A103,'New Resources - Group'!$A$4:$Y$133,FB$2,FALSE)*FB$1</f>
        <v>0</v>
      </c>
      <c r="FC103" s="1117">
        <f t="shared" ref="FC103:FC108" si="317">$G103+FB103</f>
        <v>40405127.127832949</v>
      </c>
      <c r="FD103" s="1118">
        <f t="shared" ref="FD103:FD109" si="318">VLOOKUP($E103,FC$442:FF$453,2,FALSE)*FC103*($K103)+IF($G103&gt;0,($H103/$G103)*FC103,0)*(1-$K103)</f>
        <v>40405127.127832949</v>
      </c>
      <c r="FE103" s="1118">
        <f t="shared" ref="FE103:FE109" si="319">VLOOKUP($E103,FC$442:FF$453,3,FALSE)*FC103*($K103)+IF($G103&gt;0,($I103/$G103)*FC103,0)*(1-$K103)</f>
        <v>0</v>
      </c>
      <c r="FF103" s="1118">
        <f t="shared" ref="FF103:FF110" si="320">VLOOKUP($E103,FC$442:FF$453,4,FALSE)*FC103*($K103)+(FC103-FD103-FE103)*(1-$K103)</f>
        <v>0</v>
      </c>
      <c r="FG103" s="1119"/>
      <c r="FJ103" s="1155">
        <f>VLOOKUP($A103,'New Resources - Group'!$A$4:$Y$133,FJ$2,FALSE)*FJ$1</f>
        <v>0</v>
      </c>
      <c r="FK103" s="1117">
        <f t="shared" ref="FK103:FK108" si="321">$G103+FJ103</f>
        <v>40405127.127832949</v>
      </c>
      <c r="FL103" s="1118">
        <f t="shared" ref="FL103:FL109" si="322">VLOOKUP($E103,FK$442:FN$453,2,FALSE)*FK103*($K103)+IF($G103&gt;0,($H103/$G103)*FK103,0)*(1-$K103)</f>
        <v>40405127.127832949</v>
      </c>
      <c r="FM103" s="1118">
        <f t="shared" ref="FM103:FM109" si="323">VLOOKUP($E103,FK$442:FN$453,3,FALSE)*FK103*($K103)+IF($G103&gt;0,($I103/$G103)*FK103,0)*(1-$K103)</f>
        <v>0</v>
      </c>
      <c r="FN103" s="1118">
        <f t="shared" ref="FN103:FN110" si="324">VLOOKUP($E103,FK$442:FN$453,4,FALSE)*FK103*($K103)+(FK103-FL103-FM103)*(1-$K103)</f>
        <v>0</v>
      </c>
      <c r="FO103" s="1119"/>
    </row>
    <row r="104" spans="1:171" x14ac:dyDescent="0.25">
      <c r="A104" s="1443"/>
      <c r="B104" s="79" t="s">
        <v>7</v>
      </c>
      <c r="C104" s="889" t="s">
        <v>78</v>
      </c>
      <c r="D104" s="889">
        <v>152</v>
      </c>
      <c r="E104" s="182" t="str">
        <f>'Sch 1- Rate Base '!E104</f>
        <v>PROD</v>
      </c>
      <c r="F104" s="890"/>
      <c r="G104" s="182">
        <f>'Sch 1- Rate Base '!G104</f>
        <v>0</v>
      </c>
      <c r="H104" s="182">
        <f>'Sch 1- Rate Base '!H104</f>
        <v>0</v>
      </c>
      <c r="I104" s="182">
        <f>'Sch 1- Rate Base '!I104</f>
        <v>0</v>
      </c>
      <c r="J104" s="1422">
        <f>'Sch 1- Rate Base '!J104</f>
        <v>0</v>
      </c>
      <c r="K104" s="904">
        <f t="shared" si="244"/>
        <v>1</v>
      </c>
      <c r="N104" s="1117"/>
      <c r="O104" s="1117">
        <f t="shared" si="245"/>
        <v>0</v>
      </c>
      <c r="P104" s="1118">
        <f t="shared" si="246"/>
        <v>0</v>
      </c>
      <c r="Q104" s="1118">
        <f t="shared" si="247"/>
        <v>0</v>
      </c>
      <c r="R104" s="1118">
        <f t="shared" si="248"/>
        <v>0</v>
      </c>
      <c r="S104" s="1119"/>
      <c r="V104" s="1117"/>
      <c r="W104" s="1117">
        <f t="shared" si="249"/>
        <v>0</v>
      </c>
      <c r="X104" s="1118">
        <f t="shared" si="250"/>
        <v>0</v>
      </c>
      <c r="Y104" s="1118">
        <f t="shared" si="251"/>
        <v>0</v>
      </c>
      <c r="Z104" s="1118">
        <f t="shared" si="252"/>
        <v>0</v>
      </c>
      <c r="AA104" s="1119"/>
      <c r="AD104" s="1117"/>
      <c r="AE104" s="1117">
        <f t="shared" si="253"/>
        <v>0</v>
      </c>
      <c r="AF104" s="1118">
        <f t="shared" si="254"/>
        <v>0</v>
      </c>
      <c r="AG104" s="1118">
        <f t="shared" si="255"/>
        <v>0</v>
      </c>
      <c r="AH104" s="1118">
        <f t="shared" si="256"/>
        <v>0</v>
      </c>
      <c r="AI104" s="1119"/>
      <c r="AL104" s="1117"/>
      <c r="AM104" s="1117">
        <f t="shared" si="257"/>
        <v>0</v>
      </c>
      <c r="AN104" s="1118">
        <f t="shared" si="258"/>
        <v>0</v>
      </c>
      <c r="AO104" s="1118">
        <f t="shared" si="259"/>
        <v>0</v>
      </c>
      <c r="AP104" s="1118">
        <f t="shared" si="260"/>
        <v>0</v>
      </c>
      <c r="AQ104" s="1119"/>
      <c r="AT104" s="1117"/>
      <c r="AU104" s="1117">
        <f t="shared" si="261"/>
        <v>0</v>
      </c>
      <c r="AV104" s="1118">
        <f t="shared" si="262"/>
        <v>0</v>
      </c>
      <c r="AW104" s="1118">
        <f t="shared" si="263"/>
        <v>0</v>
      </c>
      <c r="AX104" s="1118">
        <f t="shared" si="264"/>
        <v>0</v>
      </c>
      <c r="AY104" s="1119"/>
      <c r="BB104" s="1117"/>
      <c r="BC104" s="1117">
        <f t="shared" si="265"/>
        <v>0</v>
      </c>
      <c r="BD104" s="1118">
        <f t="shared" si="266"/>
        <v>0</v>
      </c>
      <c r="BE104" s="1118">
        <f t="shared" si="267"/>
        <v>0</v>
      </c>
      <c r="BF104" s="1118">
        <f t="shared" si="268"/>
        <v>0</v>
      </c>
      <c r="BG104" s="1119"/>
      <c r="BJ104" s="1117"/>
      <c r="BK104" s="1117">
        <f t="shared" si="269"/>
        <v>0</v>
      </c>
      <c r="BL104" s="1118">
        <f t="shared" si="270"/>
        <v>0</v>
      </c>
      <c r="BM104" s="1118">
        <f t="shared" si="271"/>
        <v>0</v>
      </c>
      <c r="BN104" s="1118">
        <f t="shared" si="272"/>
        <v>0</v>
      </c>
      <c r="BO104" s="1119"/>
      <c r="BR104" s="1117"/>
      <c r="BS104" s="1117">
        <f t="shared" si="273"/>
        <v>0</v>
      </c>
      <c r="BT104" s="1118">
        <f t="shared" si="274"/>
        <v>0</v>
      </c>
      <c r="BU104" s="1118">
        <f t="shared" si="275"/>
        <v>0</v>
      </c>
      <c r="BV104" s="1118">
        <f t="shared" si="276"/>
        <v>0</v>
      </c>
      <c r="BW104" s="1119"/>
      <c r="BZ104" s="1117"/>
      <c r="CA104" s="1117">
        <f t="shared" si="277"/>
        <v>0</v>
      </c>
      <c r="CB104" s="1118">
        <f t="shared" si="278"/>
        <v>0</v>
      </c>
      <c r="CC104" s="1118">
        <f t="shared" si="279"/>
        <v>0</v>
      </c>
      <c r="CD104" s="1118">
        <f t="shared" si="280"/>
        <v>0</v>
      </c>
      <c r="CE104" s="1119"/>
      <c r="CH104" s="1117"/>
      <c r="CI104" s="1117">
        <f t="shared" si="281"/>
        <v>0</v>
      </c>
      <c r="CJ104" s="1118">
        <f t="shared" si="282"/>
        <v>0</v>
      </c>
      <c r="CK104" s="1118">
        <f t="shared" si="283"/>
        <v>0</v>
      </c>
      <c r="CL104" s="1118">
        <f t="shared" si="284"/>
        <v>0</v>
      </c>
      <c r="CM104" s="1119"/>
      <c r="CP104" s="1117"/>
      <c r="CQ104" s="1117">
        <f t="shared" si="285"/>
        <v>0</v>
      </c>
      <c r="CR104" s="1118">
        <f t="shared" si="286"/>
        <v>0</v>
      </c>
      <c r="CS104" s="1118">
        <f t="shared" si="287"/>
        <v>0</v>
      </c>
      <c r="CT104" s="1118">
        <f t="shared" si="288"/>
        <v>0</v>
      </c>
      <c r="CU104" s="1119"/>
      <c r="CX104" s="1117"/>
      <c r="CY104" s="1117">
        <f t="shared" si="289"/>
        <v>0</v>
      </c>
      <c r="CZ104" s="1118">
        <f t="shared" si="290"/>
        <v>0</v>
      </c>
      <c r="DA104" s="1118">
        <f t="shared" si="291"/>
        <v>0</v>
      </c>
      <c r="DB104" s="1118">
        <f t="shared" si="292"/>
        <v>0</v>
      </c>
      <c r="DC104" s="1119"/>
      <c r="DF104" s="1117"/>
      <c r="DG104" s="1117">
        <f t="shared" si="293"/>
        <v>0</v>
      </c>
      <c r="DH104" s="1118">
        <f t="shared" si="294"/>
        <v>0</v>
      </c>
      <c r="DI104" s="1118">
        <f t="shared" si="295"/>
        <v>0</v>
      </c>
      <c r="DJ104" s="1118">
        <f t="shared" si="296"/>
        <v>0</v>
      </c>
      <c r="DK104" s="1119"/>
      <c r="DN104" s="1117"/>
      <c r="DO104" s="1117">
        <f t="shared" si="297"/>
        <v>0</v>
      </c>
      <c r="DP104" s="1118">
        <f t="shared" si="298"/>
        <v>0</v>
      </c>
      <c r="DQ104" s="1118">
        <f t="shared" si="299"/>
        <v>0</v>
      </c>
      <c r="DR104" s="1118">
        <f t="shared" si="300"/>
        <v>0</v>
      </c>
      <c r="DS104" s="1119"/>
      <c r="DV104" s="1117"/>
      <c r="DW104" s="1117">
        <f t="shared" si="301"/>
        <v>0</v>
      </c>
      <c r="DX104" s="1118">
        <f t="shared" si="302"/>
        <v>0</v>
      </c>
      <c r="DY104" s="1118">
        <f t="shared" si="303"/>
        <v>0</v>
      </c>
      <c r="DZ104" s="1118">
        <f t="shared" si="304"/>
        <v>0</v>
      </c>
      <c r="EA104" s="1119"/>
      <c r="ED104" s="1117"/>
      <c r="EE104" s="1117">
        <f t="shared" si="305"/>
        <v>0</v>
      </c>
      <c r="EF104" s="1118">
        <f t="shared" si="306"/>
        <v>0</v>
      </c>
      <c r="EG104" s="1118">
        <f t="shared" si="307"/>
        <v>0</v>
      </c>
      <c r="EH104" s="1118">
        <f t="shared" si="308"/>
        <v>0</v>
      </c>
      <c r="EI104" s="1119"/>
      <c r="EL104" s="1117"/>
      <c r="EM104" s="1117">
        <f t="shared" si="309"/>
        <v>0</v>
      </c>
      <c r="EN104" s="1118">
        <f t="shared" si="310"/>
        <v>0</v>
      </c>
      <c r="EO104" s="1118">
        <f t="shared" si="311"/>
        <v>0</v>
      </c>
      <c r="EP104" s="1118">
        <f t="shared" si="312"/>
        <v>0</v>
      </c>
      <c r="EQ104" s="1119"/>
      <c r="ET104" s="1117"/>
      <c r="EU104" s="1117">
        <f t="shared" si="313"/>
        <v>0</v>
      </c>
      <c r="EV104" s="1118">
        <f t="shared" si="314"/>
        <v>0</v>
      </c>
      <c r="EW104" s="1118">
        <f t="shared" si="315"/>
        <v>0</v>
      </c>
      <c r="EX104" s="1118">
        <f t="shared" si="316"/>
        <v>0</v>
      </c>
      <c r="EY104" s="1119"/>
      <c r="FB104" s="1117"/>
      <c r="FC104" s="1117">
        <f t="shared" si="317"/>
        <v>0</v>
      </c>
      <c r="FD104" s="1118">
        <f t="shared" si="318"/>
        <v>0</v>
      </c>
      <c r="FE104" s="1118">
        <f t="shared" si="319"/>
        <v>0</v>
      </c>
      <c r="FF104" s="1118">
        <f t="shared" si="320"/>
        <v>0</v>
      </c>
      <c r="FG104" s="1119"/>
      <c r="FJ104" s="1117"/>
      <c r="FK104" s="1117">
        <f t="shared" si="321"/>
        <v>0</v>
      </c>
      <c r="FL104" s="1118">
        <f t="shared" si="322"/>
        <v>0</v>
      </c>
      <c r="FM104" s="1118">
        <f t="shared" si="323"/>
        <v>0</v>
      </c>
      <c r="FN104" s="1118">
        <f t="shared" si="324"/>
        <v>0</v>
      </c>
      <c r="FO104" s="1119"/>
    </row>
    <row r="105" spans="1:171" x14ac:dyDescent="0.25">
      <c r="A105" s="1442">
        <v>92000</v>
      </c>
      <c r="B105" s="10" t="s">
        <v>79</v>
      </c>
      <c r="C105" s="889" t="s">
        <v>78</v>
      </c>
      <c r="D105" s="889">
        <v>154</v>
      </c>
      <c r="E105" s="182" t="str">
        <f>'Sch 1- Rate Base '!E105</f>
        <v>PTD</v>
      </c>
      <c r="F105" s="890"/>
      <c r="G105" s="182">
        <f>'Sch 1- Rate Base '!G105</f>
        <v>206715401.61593622</v>
      </c>
      <c r="H105" s="182">
        <f>'Sch 1- Rate Base '!H105</f>
        <v>90995322.654562652</v>
      </c>
      <c r="I105" s="182">
        <f>'Sch 1- Rate Base '!I105</f>
        <v>0</v>
      </c>
      <c r="J105" s="1422">
        <f>'Sch 1- Rate Base '!J105</f>
        <v>115720078.96137355</v>
      </c>
      <c r="K105" s="904">
        <f t="shared" si="244"/>
        <v>1</v>
      </c>
      <c r="N105" s="1155">
        <f>VLOOKUP($A105,'New Resources - Group'!$A$4:$Y$133,N$2,FALSE)*N$1</f>
        <v>0</v>
      </c>
      <c r="O105" s="1117">
        <f t="shared" si="245"/>
        <v>206715401.61593622</v>
      </c>
      <c r="P105" s="1118">
        <f t="shared" si="246"/>
        <v>90995322.654562652</v>
      </c>
      <c r="Q105" s="1118">
        <f t="shared" si="247"/>
        <v>53723746.569892272</v>
      </c>
      <c r="R105" s="1118">
        <f t="shared" si="248"/>
        <v>61996332.39148128</v>
      </c>
      <c r="S105" s="1119"/>
      <c r="V105" s="1155">
        <f>VLOOKUP($A105,'New Resources - Group'!$A$4:$Y$133,V$2,FALSE)*V$1</f>
        <v>0</v>
      </c>
      <c r="W105" s="1117">
        <f t="shared" si="249"/>
        <v>206715401.61593622</v>
      </c>
      <c r="X105" s="1118">
        <f t="shared" si="250"/>
        <v>90995322.654562652</v>
      </c>
      <c r="Y105" s="1118">
        <f t="shared" si="251"/>
        <v>53723746.569892272</v>
      </c>
      <c r="Z105" s="1118">
        <f t="shared" si="252"/>
        <v>61996332.39148128</v>
      </c>
      <c r="AA105" s="1119"/>
      <c r="AD105" s="1155">
        <f>VLOOKUP($A105,'New Resources - Group'!$A$4:$Y$133,AD$2,FALSE)*AD$1</f>
        <v>0</v>
      </c>
      <c r="AE105" s="1117">
        <f t="shared" si="253"/>
        <v>206715401.61593622</v>
      </c>
      <c r="AF105" s="1118">
        <f t="shared" si="254"/>
        <v>90995322.654562652</v>
      </c>
      <c r="AG105" s="1118">
        <f t="shared" si="255"/>
        <v>53723746.569892272</v>
      </c>
      <c r="AH105" s="1118">
        <f t="shared" si="256"/>
        <v>61996332.39148128</v>
      </c>
      <c r="AI105" s="1119"/>
      <c r="AL105" s="1155">
        <f>VLOOKUP($A105,'New Resources - Group'!$A$4:$Y$133,AL$2,FALSE)*AL$1</f>
        <v>0</v>
      </c>
      <c r="AM105" s="1117">
        <f t="shared" si="257"/>
        <v>206715401.61593622</v>
      </c>
      <c r="AN105" s="1118">
        <f t="shared" si="258"/>
        <v>90995322.654562652</v>
      </c>
      <c r="AO105" s="1118">
        <f t="shared" si="259"/>
        <v>53723746.569892272</v>
      </c>
      <c r="AP105" s="1118">
        <f t="shared" si="260"/>
        <v>61996332.39148128</v>
      </c>
      <c r="AQ105" s="1119"/>
      <c r="AT105" s="1155">
        <f>VLOOKUP($A105,'New Resources - Group'!$A$4:$Y$133,AT$2,FALSE)*AT$1</f>
        <v>0</v>
      </c>
      <c r="AU105" s="1117">
        <f t="shared" si="261"/>
        <v>206715401.61593622</v>
      </c>
      <c r="AV105" s="1118">
        <f t="shared" si="262"/>
        <v>90995322.654562652</v>
      </c>
      <c r="AW105" s="1118">
        <f t="shared" si="263"/>
        <v>53723746.569892272</v>
      </c>
      <c r="AX105" s="1118">
        <f t="shared" si="264"/>
        <v>61996332.39148128</v>
      </c>
      <c r="AY105" s="1119"/>
      <c r="BB105" s="1155">
        <f>VLOOKUP($A105,'New Resources - Group'!$A$4:$Y$133,BB$2,FALSE)*BB$1</f>
        <v>0</v>
      </c>
      <c r="BC105" s="1117">
        <f t="shared" si="265"/>
        <v>206715401.61593622</v>
      </c>
      <c r="BD105" s="1118">
        <f t="shared" si="266"/>
        <v>90995322.654562652</v>
      </c>
      <c r="BE105" s="1118">
        <f t="shared" si="267"/>
        <v>53723746.569892272</v>
      </c>
      <c r="BF105" s="1118">
        <f t="shared" si="268"/>
        <v>61996332.39148128</v>
      </c>
      <c r="BG105" s="1119"/>
      <c r="BJ105" s="1155">
        <f>VLOOKUP($A105,'New Resources - Group'!$A$4:$Y$133,BJ$2,FALSE)*BJ$1</f>
        <v>0</v>
      </c>
      <c r="BK105" s="1117">
        <f t="shared" si="269"/>
        <v>206715401.61593622</v>
      </c>
      <c r="BL105" s="1118">
        <f t="shared" si="270"/>
        <v>90995322.654562652</v>
      </c>
      <c r="BM105" s="1118">
        <f t="shared" si="271"/>
        <v>53723746.569892272</v>
      </c>
      <c r="BN105" s="1118">
        <f t="shared" si="272"/>
        <v>61996332.39148128</v>
      </c>
      <c r="BO105" s="1119"/>
      <c r="BR105" s="1155">
        <f>VLOOKUP($A105,'New Resources - Group'!$A$4:$Y$133,BR$2,FALSE)*BR$1</f>
        <v>0</v>
      </c>
      <c r="BS105" s="1117">
        <f t="shared" si="273"/>
        <v>206715401.61593622</v>
      </c>
      <c r="BT105" s="1118">
        <f t="shared" si="274"/>
        <v>90995322.654562652</v>
      </c>
      <c r="BU105" s="1118">
        <f t="shared" si="275"/>
        <v>53723746.569892272</v>
      </c>
      <c r="BV105" s="1118">
        <f t="shared" si="276"/>
        <v>61996332.39148128</v>
      </c>
      <c r="BW105" s="1119"/>
      <c r="BZ105" s="1155">
        <f>VLOOKUP($A105,'New Resources - Group'!$A$4:$Y$133,BZ$2,FALSE)*BZ$1</f>
        <v>0</v>
      </c>
      <c r="CA105" s="1117">
        <f t="shared" si="277"/>
        <v>206715401.61593622</v>
      </c>
      <c r="CB105" s="1118">
        <f t="shared" si="278"/>
        <v>90995322.654562652</v>
      </c>
      <c r="CC105" s="1118">
        <f t="shared" si="279"/>
        <v>53723746.569892272</v>
      </c>
      <c r="CD105" s="1118">
        <f t="shared" si="280"/>
        <v>61996332.39148128</v>
      </c>
      <c r="CE105" s="1119"/>
      <c r="CH105" s="1155">
        <f>VLOOKUP($A105,'New Resources - Group'!$A$4:$Y$133,CH$2,FALSE)*CH$1</f>
        <v>0</v>
      </c>
      <c r="CI105" s="1117">
        <f t="shared" si="281"/>
        <v>206715401.61593622</v>
      </c>
      <c r="CJ105" s="1118">
        <f t="shared" si="282"/>
        <v>90995322.654562652</v>
      </c>
      <c r="CK105" s="1118">
        <f t="shared" si="283"/>
        <v>53723746.569892272</v>
      </c>
      <c r="CL105" s="1118">
        <f t="shared" si="284"/>
        <v>61996332.39148128</v>
      </c>
      <c r="CM105" s="1119"/>
      <c r="CP105" s="1155">
        <f>VLOOKUP($A105,'New Resources - Group'!$A$4:$Y$133,CP$2,FALSE)*CP$1</f>
        <v>0</v>
      </c>
      <c r="CQ105" s="1117">
        <f t="shared" si="285"/>
        <v>206715401.61593622</v>
      </c>
      <c r="CR105" s="1118">
        <f t="shared" si="286"/>
        <v>90995322.654562652</v>
      </c>
      <c r="CS105" s="1118">
        <f t="shared" si="287"/>
        <v>53723746.569892272</v>
      </c>
      <c r="CT105" s="1118">
        <f t="shared" si="288"/>
        <v>61996332.39148128</v>
      </c>
      <c r="CU105" s="1119"/>
      <c r="CX105" s="1155">
        <f>VLOOKUP($A105,'New Resources - Group'!$A$4:$Y$133,CX$2,FALSE)*CX$1</f>
        <v>0</v>
      </c>
      <c r="CY105" s="1117">
        <f t="shared" si="289"/>
        <v>206715401.61593622</v>
      </c>
      <c r="CZ105" s="1118">
        <f t="shared" si="290"/>
        <v>90995322.654562652</v>
      </c>
      <c r="DA105" s="1118">
        <f t="shared" si="291"/>
        <v>53723746.569892272</v>
      </c>
      <c r="DB105" s="1118">
        <f t="shared" si="292"/>
        <v>61996332.39148128</v>
      </c>
      <c r="DC105" s="1119"/>
      <c r="DF105" s="1155">
        <f>VLOOKUP($A105,'New Resources - Group'!$A$4:$Y$133,DF$2,FALSE)*DF$1</f>
        <v>0</v>
      </c>
      <c r="DG105" s="1117">
        <f t="shared" si="293"/>
        <v>206715401.61593622</v>
      </c>
      <c r="DH105" s="1118">
        <f t="shared" si="294"/>
        <v>90995322.654562652</v>
      </c>
      <c r="DI105" s="1118">
        <f t="shared" si="295"/>
        <v>53723746.569892272</v>
      </c>
      <c r="DJ105" s="1118">
        <f t="shared" si="296"/>
        <v>61996332.39148128</v>
      </c>
      <c r="DK105" s="1119"/>
      <c r="DN105" s="1155">
        <f>VLOOKUP($A105,'New Resources - Group'!$A$4:$Y$133,DN$2,FALSE)*DN$1</f>
        <v>0</v>
      </c>
      <c r="DO105" s="1117">
        <f t="shared" si="297"/>
        <v>206715401.61593622</v>
      </c>
      <c r="DP105" s="1118">
        <f t="shared" si="298"/>
        <v>90995322.654562652</v>
      </c>
      <c r="DQ105" s="1118">
        <f t="shared" si="299"/>
        <v>53723746.569892272</v>
      </c>
      <c r="DR105" s="1118">
        <f t="shared" si="300"/>
        <v>61996332.39148128</v>
      </c>
      <c r="DS105" s="1119"/>
      <c r="DV105" s="1155">
        <f>VLOOKUP($A105,'New Resources - Group'!$A$4:$Y$133,DV$2,FALSE)*DV$1</f>
        <v>0</v>
      </c>
      <c r="DW105" s="1117">
        <f t="shared" si="301"/>
        <v>206715401.61593622</v>
      </c>
      <c r="DX105" s="1118">
        <f t="shared" si="302"/>
        <v>90995322.654562652</v>
      </c>
      <c r="DY105" s="1118">
        <f t="shared" si="303"/>
        <v>53723746.569892272</v>
      </c>
      <c r="DZ105" s="1118">
        <f t="shared" si="304"/>
        <v>61996332.39148128</v>
      </c>
      <c r="EA105" s="1119"/>
      <c r="ED105" s="1155">
        <f>VLOOKUP($A105,'New Resources - Group'!$A$4:$Y$133,ED$2,FALSE)*ED$1</f>
        <v>0</v>
      </c>
      <c r="EE105" s="1117">
        <f t="shared" si="305"/>
        <v>206715401.61593622</v>
      </c>
      <c r="EF105" s="1118">
        <f t="shared" si="306"/>
        <v>90995322.654562652</v>
      </c>
      <c r="EG105" s="1118">
        <f t="shared" si="307"/>
        <v>53723746.569892272</v>
      </c>
      <c r="EH105" s="1118">
        <f t="shared" si="308"/>
        <v>61996332.39148128</v>
      </c>
      <c r="EI105" s="1119"/>
      <c r="EL105" s="1155">
        <f>VLOOKUP($A105,'New Resources - Group'!$A$4:$Y$133,EL$2,FALSE)*EL$1</f>
        <v>0</v>
      </c>
      <c r="EM105" s="1117">
        <f t="shared" si="309"/>
        <v>206715401.61593622</v>
      </c>
      <c r="EN105" s="1118">
        <f t="shared" si="310"/>
        <v>90995322.654562652</v>
      </c>
      <c r="EO105" s="1118">
        <f t="shared" si="311"/>
        <v>53723746.569892272</v>
      </c>
      <c r="EP105" s="1118">
        <f t="shared" si="312"/>
        <v>61996332.39148128</v>
      </c>
      <c r="EQ105" s="1119"/>
      <c r="ET105" s="1155">
        <f>VLOOKUP($A105,'New Resources - Group'!$A$4:$Y$133,ET$2,FALSE)*ET$1</f>
        <v>0</v>
      </c>
      <c r="EU105" s="1117">
        <f t="shared" si="313"/>
        <v>206715401.61593622</v>
      </c>
      <c r="EV105" s="1118">
        <f t="shared" si="314"/>
        <v>90995322.654562652</v>
      </c>
      <c r="EW105" s="1118">
        <f t="shared" si="315"/>
        <v>53723746.569892272</v>
      </c>
      <c r="EX105" s="1118">
        <f t="shared" si="316"/>
        <v>61996332.39148128</v>
      </c>
      <c r="EY105" s="1119"/>
      <c r="FB105" s="1155">
        <f>VLOOKUP($A105,'New Resources - Group'!$A$4:$Y$133,FB$2,FALSE)*FB$1</f>
        <v>0</v>
      </c>
      <c r="FC105" s="1117">
        <f t="shared" si="317"/>
        <v>206715401.61593622</v>
      </c>
      <c r="FD105" s="1118">
        <f t="shared" si="318"/>
        <v>90995322.654562652</v>
      </c>
      <c r="FE105" s="1118">
        <f t="shared" si="319"/>
        <v>53723746.569892272</v>
      </c>
      <c r="FF105" s="1118">
        <f t="shared" si="320"/>
        <v>61996332.39148128</v>
      </c>
      <c r="FG105" s="1119"/>
      <c r="FJ105" s="1155">
        <f>VLOOKUP($A105,'New Resources - Group'!$A$4:$Y$133,FJ$2,FALSE)*FJ$1</f>
        <v>0</v>
      </c>
      <c r="FK105" s="1117">
        <f t="shared" si="321"/>
        <v>206715401.61593622</v>
      </c>
      <c r="FL105" s="1118">
        <f t="shared" si="322"/>
        <v>90995322.654562652</v>
      </c>
      <c r="FM105" s="1118">
        <f t="shared" si="323"/>
        <v>53723746.569892272</v>
      </c>
      <c r="FN105" s="1118">
        <f t="shared" si="324"/>
        <v>61996332.39148128</v>
      </c>
      <c r="FO105" s="1119"/>
    </row>
    <row r="106" spans="1:171" x14ac:dyDescent="0.25">
      <c r="A106" s="1443"/>
      <c r="B106" s="10" t="s">
        <v>355</v>
      </c>
      <c r="C106" s="889" t="s">
        <v>255</v>
      </c>
      <c r="D106" s="889">
        <v>155</v>
      </c>
      <c r="E106" s="182" t="str">
        <f>'Sch 1- Rate Base '!E106</f>
        <v>DIST</v>
      </c>
      <c r="F106" s="890"/>
      <c r="G106" s="182">
        <f>'Sch 1- Rate Base '!G106</f>
        <v>0</v>
      </c>
      <c r="H106" s="182">
        <f>'Sch 1- Rate Base '!H106</f>
        <v>0</v>
      </c>
      <c r="I106" s="182">
        <f>'Sch 1- Rate Base '!I106</f>
        <v>0</v>
      </c>
      <c r="J106" s="1422">
        <f>'Sch 1- Rate Base '!J106</f>
        <v>0</v>
      </c>
      <c r="K106" s="904">
        <f t="shared" si="244"/>
        <v>1</v>
      </c>
      <c r="N106" s="1117"/>
      <c r="O106" s="1117">
        <f t="shared" si="245"/>
        <v>0</v>
      </c>
      <c r="P106" s="1118">
        <f t="shared" si="246"/>
        <v>0</v>
      </c>
      <c r="Q106" s="1118">
        <f t="shared" si="247"/>
        <v>0</v>
      </c>
      <c r="R106" s="1118">
        <f t="shared" si="248"/>
        <v>0</v>
      </c>
      <c r="S106" s="1119"/>
      <c r="V106" s="1117"/>
      <c r="W106" s="1117">
        <f t="shared" si="249"/>
        <v>0</v>
      </c>
      <c r="X106" s="1118">
        <f t="shared" si="250"/>
        <v>0</v>
      </c>
      <c r="Y106" s="1118">
        <f t="shared" si="251"/>
        <v>0</v>
      </c>
      <c r="Z106" s="1118">
        <f t="shared" si="252"/>
        <v>0</v>
      </c>
      <c r="AA106" s="1119"/>
      <c r="AD106" s="1117"/>
      <c r="AE106" s="1117">
        <f t="shared" si="253"/>
        <v>0</v>
      </c>
      <c r="AF106" s="1118">
        <f t="shared" si="254"/>
        <v>0</v>
      </c>
      <c r="AG106" s="1118">
        <f t="shared" si="255"/>
        <v>0</v>
      </c>
      <c r="AH106" s="1118">
        <f t="shared" si="256"/>
        <v>0</v>
      </c>
      <c r="AI106" s="1119"/>
      <c r="AL106" s="1117"/>
      <c r="AM106" s="1117">
        <f t="shared" si="257"/>
        <v>0</v>
      </c>
      <c r="AN106" s="1118">
        <f t="shared" si="258"/>
        <v>0</v>
      </c>
      <c r="AO106" s="1118">
        <f t="shared" si="259"/>
        <v>0</v>
      </c>
      <c r="AP106" s="1118">
        <f t="shared" si="260"/>
        <v>0</v>
      </c>
      <c r="AQ106" s="1119"/>
      <c r="AT106" s="1117"/>
      <c r="AU106" s="1117">
        <f t="shared" si="261"/>
        <v>0</v>
      </c>
      <c r="AV106" s="1118">
        <f t="shared" si="262"/>
        <v>0</v>
      </c>
      <c r="AW106" s="1118">
        <f t="shared" si="263"/>
        <v>0</v>
      </c>
      <c r="AX106" s="1118">
        <f t="shared" si="264"/>
        <v>0</v>
      </c>
      <c r="AY106" s="1119"/>
      <c r="BB106" s="1117"/>
      <c r="BC106" s="1117">
        <f t="shared" si="265"/>
        <v>0</v>
      </c>
      <c r="BD106" s="1118">
        <f t="shared" si="266"/>
        <v>0</v>
      </c>
      <c r="BE106" s="1118">
        <f t="shared" si="267"/>
        <v>0</v>
      </c>
      <c r="BF106" s="1118">
        <f t="shared" si="268"/>
        <v>0</v>
      </c>
      <c r="BG106" s="1119"/>
      <c r="BJ106" s="1117"/>
      <c r="BK106" s="1117">
        <f t="shared" si="269"/>
        <v>0</v>
      </c>
      <c r="BL106" s="1118">
        <f t="shared" si="270"/>
        <v>0</v>
      </c>
      <c r="BM106" s="1118">
        <f t="shared" si="271"/>
        <v>0</v>
      </c>
      <c r="BN106" s="1118">
        <f t="shared" si="272"/>
        <v>0</v>
      </c>
      <c r="BO106" s="1119"/>
      <c r="BR106" s="1117"/>
      <c r="BS106" s="1117">
        <f t="shared" si="273"/>
        <v>0</v>
      </c>
      <c r="BT106" s="1118">
        <f t="shared" si="274"/>
        <v>0</v>
      </c>
      <c r="BU106" s="1118">
        <f t="shared" si="275"/>
        <v>0</v>
      </c>
      <c r="BV106" s="1118">
        <f t="shared" si="276"/>
        <v>0</v>
      </c>
      <c r="BW106" s="1119"/>
      <c r="BZ106" s="1117"/>
      <c r="CA106" s="1117">
        <f t="shared" si="277"/>
        <v>0</v>
      </c>
      <c r="CB106" s="1118">
        <f t="shared" si="278"/>
        <v>0</v>
      </c>
      <c r="CC106" s="1118">
        <f t="shared" si="279"/>
        <v>0</v>
      </c>
      <c r="CD106" s="1118">
        <f t="shared" si="280"/>
        <v>0</v>
      </c>
      <c r="CE106" s="1119"/>
      <c r="CH106" s="1117"/>
      <c r="CI106" s="1117">
        <f t="shared" si="281"/>
        <v>0</v>
      </c>
      <c r="CJ106" s="1118">
        <f t="shared" si="282"/>
        <v>0</v>
      </c>
      <c r="CK106" s="1118">
        <f t="shared" si="283"/>
        <v>0</v>
      </c>
      <c r="CL106" s="1118">
        <f t="shared" si="284"/>
        <v>0</v>
      </c>
      <c r="CM106" s="1119"/>
      <c r="CP106" s="1117"/>
      <c r="CQ106" s="1117">
        <f t="shared" si="285"/>
        <v>0</v>
      </c>
      <c r="CR106" s="1118">
        <f t="shared" si="286"/>
        <v>0</v>
      </c>
      <c r="CS106" s="1118">
        <f t="shared" si="287"/>
        <v>0</v>
      </c>
      <c r="CT106" s="1118">
        <f t="shared" si="288"/>
        <v>0</v>
      </c>
      <c r="CU106" s="1119"/>
      <c r="CX106" s="1117"/>
      <c r="CY106" s="1117">
        <f t="shared" si="289"/>
        <v>0</v>
      </c>
      <c r="CZ106" s="1118">
        <f t="shared" si="290"/>
        <v>0</v>
      </c>
      <c r="DA106" s="1118">
        <f t="shared" si="291"/>
        <v>0</v>
      </c>
      <c r="DB106" s="1118">
        <f t="shared" si="292"/>
        <v>0</v>
      </c>
      <c r="DC106" s="1119"/>
      <c r="DF106" s="1117"/>
      <c r="DG106" s="1117">
        <f t="shared" si="293"/>
        <v>0</v>
      </c>
      <c r="DH106" s="1118">
        <f t="shared" si="294"/>
        <v>0</v>
      </c>
      <c r="DI106" s="1118">
        <f t="shared" si="295"/>
        <v>0</v>
      </c>
      <c r="DJ106" s="1118">
        <f t="shared" si="296"/>
        <v>0</v>
      </c>
      <c r="DK106" s="1119"/>
      <c r="DN106" s="1117"/>
      <c r="DO106" s="1117">
        <f t="shared" si="297"/>
        <v>0</v>
      </c>
      <c r="DP106" s="1118">
        <f t="shared" si="298"/>
        <v>0</v>
      </c>
      <c r="DQ106" s="1118">
        <f t="shared" si="299"/>
        <v>0</v>
      </c>
      <c r="DR106" s="1118">
        <f t="shared" si="300"/>
        <v>0</v>
      </c>
      <c r="DS106" s="1119"/>
      <c r="DV106" s="1117"/>
      <c r="DW106" s="1117">
        <f t="shared" si="301"/>
        <v>0</v>
      </c>
      <c r="DX106" s="1118">
        <f t="shared" si="302"/>
        <v>0</v>
      </c>
      <c r="DY106" s="1118">
        <f t="shared" si="303"/>
        <v>0</v>
      </c>
      <c r="DZ106" s="1118">
        <f t="shared" si="304"/>
        <v>0</v>
      </c>
      <c r="EA106" s="1119"/>
      <c r="ED106" s="1117"/>
      <c r="EE106" s="1117">
        <f t="shared" si="305"/>
        <v>0</v>
      </c>
      <c r="EF106" s="1118">
        <f t="shared" si="306"/>
        <v>0</v>
      </c>
      <c r="EG106" s="1118">
        <f t="shared" si="307"/>
        <v>0</v>
      </c>
      <c r="EH106" s="1118">
        <f t="shared" si="308"/>
        <v>0</v>
      </c>
      <c r="EI106" s="1119"/>
      <c r="EL106" s="1117"/>
      <c r="EM106" s="1117">
        <f t="shared" si="309"/>
        <v>0</v>
      </c>
      <c r="EN106" s="1118">
        <f t="shared" si="310"/>
        <v>0</v>
      </c>
      <c r="EO106" s="1118">
        <f t="shared" si="311"/>
        <v>0</v>
      </c>
      <c r="EP106" s="1118">
        <f t="shared" si="312"/>
        <v>0</v>
      </c>
      <c r="EQ106" s="1119"/>
      <c r="ET106" s="1117"/>
      <c r="EU106" s="1117">
        <f t="shared" si="313"/>
        <v>0</v>
      </c>
      <c r="EV106" s="1118">
        <f t="shared" si="314"/>
        <v>0</v>
      </c>
      <c r="EW106" s="1118">
        <f t="shared" si="315"/>
        <v>0</v>
      </c>
      <c r="EX106" s="1118">
        <f t="shared" si="316"/>
        <v>0</v>
      </c>
      <c r="EY106" s="1119"/>
      <c r="FB106" s="1117"/>
      <c r="FC106" s="1117">
        <f t="shared" si="317"/>
        <v>0</v>
      </c>
      <c r="FD106" s="1118">
        <f t="shared" si="318"/>
        <v>0</v>
      </c>
      <c r="FE106" s="1118">
        <f t="shared" si="319"/>
        <v>0</v>
      </c>
      <c r="FF106" s="1118">
        <f t="shared" si="320"/>
        <v>0</v>
      </c>
      <c r="FG106" s="1119"/>
      <c r="FJ106" s="1117"/>
      <c r="FK106" s="1117">
        <f t="shared" si="321"/>
        <v>0</v>
      </c>
      <c r="FL106" s="1118">
        <f t="shared" si="322"/>
        <v>0</v>
      </c>
      <c r="FM106" s="1118">
        <f t="shared" si="323"/>
        <v>0</v>
      </c>
      <c r="FN106" s="1118">
        <f t="shared" si="324"/>
        <v>0</v>
      </c>
      <c r="FO106" s="1119"/>
    </row>
    <row r="107" spans="1:171" x14ac:dyDescent="0.25">
      <c r="A107" s="1443"/>
      <c r="B107" s="10" t="s">
        <v>356</v>
      </c>
      <c r="C107" s="889" t="s">
        <v>78</v>
      </c>
      <c r="D107" s="889">
        <v>156</v>
      </c>
      <c r="E107" s="182" t="str">
        <f>'Sch 1- Rate Base '!E107</f>
        <v>DIST</v>
      </c>
      <c r="F107" s="890"/>
      <c r="G107" s="182">
        <f>'Sch 1- Rate Base '!G107</f>
        <v>0</v>
      </c>
      <c r="H107" s="182">
        <f>'Sch 1- Rate Base '!H107</f>
        <v>0</v>
      </c>
      <c r="I107" s="182">
        <f>'Sch 1- Rate Base '!I107</f>
        <v>0</v>
      </c>
      <c r="J107" s="1422">
        <f>'Sch 1- Rate Base '!J107</f>
        <v>0</v>
      </c>
      <c r="K107" s="904">
        <f t="shared" si="244"/>
        <v>1</v>
      </c>
      <c r="N107" s="1117"/>
      <c r="O107" s="1117">
        <f t="shared" si="245"/>
        <v>0</v>
      </c>
      <c r="P107" s="1118">
        <f t="shared" si="246"/>
        <v>0</v>
      </c>
      <c r="Q107" s="1118">
        <f t="shared" si="247"/>
        <v>0</v>
      </c>
      <c r="R107" s="1118">
        <f t="shared" si="248"/>
        <v>0</v>
      </c>
      <c r="S107" s="1119"/>
      <c r="V107" s="1117"/>
      <c r="W107" s="1117">
        <f t="shared" si="249"/>
        <v>0</v>
      </c>
      <c r="X107" s="1118">
        <f t="shared" si="250"/>
        <v>0</v>
      </c>
      <c r="Y107" s="1118">
        <f t="shared" si="251"/>
        <v>0</v>
      </c>
      <c r="Z107" s="1118">
        <f t="shared" si="252"/>
        <v>0</v>
      </c>
      <c r="AA107" s="1119"/>
      <c r="AD107" s="1117"/>
      <c r="AE107" s="1117">
        <f t="shared" si="253"/>
        <v>0</v>
      </c>
      <c r="AF107" s="1118">
        <f t="shared" si="254"/>
        <v>0</v>
      </c>
      <c r="AG107" s="1118">
        <f t="shared" si="255"/>
        <v>0</v>
      </c>
      <c r="AH107" s="1118">
        <f t="shared" si="256"/>
        <v>0</v>
      </c>
      <c r="AI107" s="1119"/>
      <c r="AL107" s="1117"/>
      <c r="AM107" s="1117">
        <f t="shared" si="257"/>
        <v>0</v>
      </c>
      <c r="AN107" s="1118">
        <f t="shared" si="258"/>
        <v>0</v>
      </c>
      <c r="AO107" s="1118">
        <f t="shared" si="259"/>
        <v>0</v>
      </c>
      <c r="AP107" s="1118">
        <f t="shared" si="260"/>
        <v>0</v>
      </c>
      <c r="AQ107" s="1119"/>
      <c r="AT107" s="1117"/>
      <c r="AU107" s="1117">
        <f t="shared" si="261"/>
        <v>0</v>
      </c>
      <c r="AV107" s="1118">
        <f t="shared" si="262"/>
        <v>0</v>
      </c>
      <c r="AW107" s="1118">
        <f t="shared" si="263"/>
        <v>0</v>
      </c>
      <c r="AX107" s="1118">
        <f t="shared" si="264"/>
        <v>0</v>
      </c>
      <c r="AY107" s="1119"/>
      <c r="BB107" s="1117"/>
      <c r="BC107" s="1117">
        <f t="shared" si="265"/>
        <v>0</v>
      </c>
      <c r="BD107" s="1118">
        <f t="shared" si="266"/>
        <v>0</v>
      </c>
      <c r="BE107" s="1118">
        <f t="shared" si="267"/>
        <v>0</v>
      </c>
      <c r="BF107" s="1118">
        <f t="shared" si="268"/>
        <v>0</v>
      </c>
      <c r="BG107" s="1119"/>
      <c r="BJ107" s="1117"/>
      <c r="BK107" s="1117">
        <f t="shared" si="269"/>
        <v>0</v>
      </c>
      <c r="BL107" s="1118">
        <f t="shared" si="270"/>
        <v>0</v>
      </c>
      <c r="BM107" s="1118">
        <f t="shared" si="271"/>
        <v>0</v>
      </c>
      <c r="BN107" s="1118">
        <f t="shared" si="272"/>
        <v>0</v>
      </c>
      <c r="BO107" s="1119"/>
      <c r="BR107" s="1117"/>
      <c r="BS107" s="1117">
        <f t="shared" si="273"/>
        <v>0</v>
      </c>
      <c r="BT107" s="1118">
        <f t="shared" si="274"/>
        <v>0</v>
      </c>
      <c r="BU107" s="1118">
        <f t="shared" si="275"/>
        <v>0</v>
      </c>
      <c r="BV107" s="1118">
        <f t="shared" si="276"/>
        <v>0</v>
      </c>
      <c r="BW107" s="1119"/>
      <c r="BZ107" s="1117"/>
      <c r="CA107" s="1117">
        <f t="shared" si="277"/>
        <v>0</v>
      </c>
      <c r="CB107" s="1118">
        <f t="shared" si="278"/>
        <v>0</v>
      </c>
      <c r="CC107" s="1118">
        <f t="shared" si="279"/>
        <v>0</v>
      </c>
      <c r="CD107" s="1118">
        <f t="shared" si="280"/>
        <v>0</v>
      </c>
      <c r="CE107" s="1119"/>
      <c r="CH107" s="1117"/>
      <c r="CI107" s="1117">
        <f t="shared" si="281"/>
        <v>0</v>
      </c>
      <c r="CJ107" s="1118">
        <f t="shared" si="282"/>
        <v>0</v>
      </c>
      <c r="CK107" s="1118">
        <f t="shared" si="283"/>
        <v>0</v>
      </c>
      <c r="CL107" s="1118">
        <f t="shared" si="284"/>
        <v>0</v>
      </c>
      <c r="CM107" s="1119"/>
      <c r="CP107" s="1117"/>
      <c r="CQ107" s="1117">
        <f t="shared" si="285"/>
        <v>0</v>
      </c>
      <c r="CR107" s="1118">
        <f t="shared" si="286"/>
        <v>0</v>
      </c>
      <c r="CS107" s="1118">
        <f t="shared" si="287"/>
        <v>0</v>
      </c>
      <c r="CT107" s="1118">
        <f t="shared" si="288"/>
        <v>0</v>
      </c>
      <c r="CU107" s="1119"/>
      <c r="CX107" s="1117"/>
      <c r="CY107" s="1117">
        <f t="shared" si="289"/>
        <v>0</v>
      </c>
      <c r="CZ107" s="1118">
        <f t="shared" si="290"/>
        <v>0</v>
      </c>
      <c r="DA107" s="1118">
        <f t="shared" si="291"/>
        <v>0</v>
      </c>
      <c r="DB107" s="1118">
        <f t="shared" si="292"/>
        <v>0</v>
      </c>
      <c r="DC107" s="1119"/>
      <c r="DF107" s="1117"/>
      <c r="DG107" s="1117">
        <f t="shared" si="293"/>
        <v>0</v>
      </c>
      <c r="DH107" s="1118">
        <f t="shared" si="294"/>
        <v>0</v>
      </c>
      <c r="DI107" s="1118">
        <f t="shared" si="295"/>
        <v>0</v>
      </c>
      <c r="DJ107" s="1118">
        <f t="shared" si="296"/>
        <v>0</v>
      </c>
      <c r="DK107" s="1119"/>
      <c r="DN107" s="1117"/>
      <c r="DO107" s="1117">
        <f t="shared" si="297"/>
        <v>0</v>
      </c>
      <c r="DP107" s="1118">
        <f t="shared" si="298"/>
        <v>0</v>
      </c>
      <c r="DQ107" s="1118">
        <f t="shared" si="299"/>
        <v>0</v>
      </c>
      <c r="DR107" s="1118">
        <f t="shared" si="300"/>
        <v>0</v>
      </c>
      <c r="DS107" s="1119"/>
      <c r="DV107" s="1117"/>
      <c r="DW107" s="1117">
        <f t="shared" si="301"/>
        <v>0</v>
      </c>
      <c r="DX107" s="1118">
        <f t="shared" si="302"/>
        <v>0</v>
      </c>
      <c r="DY107" s="1118">
        <f t="shared" si="303"/>
        <v>0</v>
      </c>
      <c r="DZ107" s="1118">
        <f t="shared" si="304"/>
        <v>0</v>
      </c>
      <c r="EA107" s="1119"/>
      <c r="ED107" s="1117"/>
      <c r="EE107" s="1117">
        <f t="shared" si="305"/>
        <v>0</v>
      </c>
      <c r="EF107" s="1118">
        <f t="shared" si="306"/>
        <v>0</v>
      </c>
      <c r="EG107" s="1118">
        <f t="shared" si="307"/>
        <v>0</v>
      </c>
      <c r="EH107" s="1118">
        <f t="shared" si="308"/>
        <v>0</v>
      </c>
      <c r="EI107" s="1119"/>
      <c r="EL107" s="1117"/>
      <c r="EM107" s="1117">
        <f t="shared" si="309"/>
        <v>0</v>
      </c>
      <c r="EN107" s="1118">
        <f t="shared" si="310"/>
        <v>0</v>
      </c>
      <c r="EO107" s="1118">
        <f t="shared" si="311"/>
        <v>0</v>
      </c>
      <c r="EP107" s="1118">
        <f t="shared" si="312"/>
        <v>0</v>
      </c>
      <c r="EQ107" s="1119"/>
      <c r="ET107" s="1117"/>
      <c r="EU107" s="1117">
        <f t="shared" si="313"/>
        <v>0</v>
      </c>
      <c r="EV107" s="1118">
        <f t="shared" si="314"/>
        <v>0</v>
      </c>
      <c r="EW107" s="1118">
        <f t="shared" si="315"/>
        <v>0</v>
      </c>
      <c r="EX107" s="1118">
        <f t="shared" si="316"/>
        <v>0</v>
      </c>
      <c r="EY107" s="1119"/>
      <c r="FB107" s="1117"/>
      <c r="FC107" s="1117">
        <f t="shared" si="317"/>
        <v>0</v>
      </c>
      <c r="FD107" s="1118">
        <f t="shared" si="318"/>
        <v>0</v>
      </c>
      <c r="FE107" s="1118">
        <f t="shared" si="319"/>
        <v>0</v>
      </c>
      <c r="FF107" s="1118">
        <f t="shared" si="320"/>
        <v>0</v>
      </c>
      <c r="FG107" s="1119"/>
      <c r="FJ107" s="1117"/>
      <c r="FK107" s="1117">
        <f t="shared" si="321"/>
        <v>0</v>
      </c>
      <c r="FL107" s="1118">
        <f t="shared" si="322"/>
        <v>0</v>
      </c>
      <c r="FM107" s="1118">
        <f t="shared" si="323"/>
        <v>0</v>
      </c>
      <c r="FN107" s="1118">
        <f t="shared" si="324"/>
        <v>0</v>
      </c>
      <c r="FO107" s="1119"/>
    </row>
    <row r="108" spans="1:171" x14ac:dyDescent="0.25">
      <c r="A108" s="1442">
        <v>93000</v>
      </c>
      <c r="B108" s="10" t="s">
        <v>357</v>
      </c>
      <c r="C108" s="889" t="s">
        <v>255</v>
      </c>
      <c r="D108" s="889">
        <v>158.1</v>
      </c>
      <c r="E108" s="182" t="str">
        <f>'Sch 1- Rate Base '!E108</f>
        <v>PROD</v>
      </c>
      <c r="F108" s="890"/>
      <c r="G108" s="182">
        <f>'Sch 1- Rate Base '!G108</f>
        <v>1242891.2703915152</v>
      </c>
      <c r="H108" s="182">
        <f>'Sch 1- Rate Base '!H108</f>
        <v>1242891.2703915152</v>
      </c>
      <c r="I108" s="182">
        <f>'Sch 1- Rate Base '!I108</f>
        <v>0</v>
      </c>
      <c r="J108" s="1422">
        <f>'Sch 1- Rate Base '!J108</f>
        <v>0</v>
      </c>
      <c r="K108" s="904">
        <f t="shared" si="244"/>
        <v>1</v>
      </c>
      <c r="N108" s="1155">
        <f>VLOOKUP($A108,'New Resources - Group'!$A$4:$Y$133,N$2,FALSE)*N$1</f>
        <v>0</v>
      </c>
      <c r="O108" s="1117">
        <f t="shared" si="245"/>
        <v>1242891.2703915152</v>
      </c>
      <c r="P108" s="1118">
        <f t="shared" si="246"/>
        <v>1242891.2703915152</v>
      </c>
      <c r="Q108" s="1118">
        <f t="shared" si="247"/>
        <v>0</v>
      </c>
      <c r="R108" s="1118">
        <f t="shared" si="248"/>
        <v>0</v>
      </c>
      <c r="S108" s="1119"/>
      <c r="V108" s="1155">
        <f>VLOOKUP($A108,'New Resources - Group'!$A$4:$Y$133,V$2,FALSE)*V$1</f>
        <v>0</v>
      </c>
      <c r="W108" s="1117">
        <f t="shared" si="249"/>
        <v>1242891.2703915152</v>
      </c>
      <c r="X108" s="1118">
        <f t="shared" si="250"/>
        <v>1242891.2703915152</v>
      </c>
      <c r="Y108" s="1118">
        <f t="shared" si="251"/>
        <v>0</v>
      </c>
      <c r="Z108" s="1118">
        <f t="shared" si="252"/>
        <v>0</v>
      </c>
      <c r="AA108" s="1119"/>
      <c r="AD108" s="1155">
        <f>VLOOKUP($A108,'New Resources - Group'!$A$4:$Y$133,AD$2,FALSE)*AD$1</f>
        <v>0</v>
      </c>
      <c r="AE108" s="1117">
        <f t="shared" si="253"/>
        <v>1242891.2703915152</v>
      </c>
      <c r="AF108" s="1118">
        <f t="shared" si="254"/>
        <v>1242891.2703915152</v>
      </c>
      <c r="AG108" s="1118">
        <f t="shared" si="255"/>
        <v>0</v>
      </c>
      <c r="AH108" s="1118">
        <f t="shared" si="256"/>
        <v>0</v>
      </c>
      <c r="AI108" s="1119"/>
      <c r="AL108" s="1155">
        <f>VLOOKUP($A108,'New Resources - Group'!$A$4:$Y$133,AL$2,FALSE)*AL$1</f>
        <v>0</v>
      </c>
      <c r="AM108" s="1117">
        <f t="shared" si="257"/>
        <v>1242891.2703915152</v>
      </c>
      <c r="AN108" s="1118">
        <f t="shared" si="258"/>
        <v>1242891.2703915152</v>
      </c>
      <c r="AO108" s="1118">
        <f t="shared" si="259"/>
        <v>0</v>
      </c>
      <c r="AP108" s="1118">
        <f t="shared" si="260"/>
        <v>0</v>
      </c>
      <c r="AQ108" s="1119"/>
      <c r="AT108" s="1155">
        <f>VLOOKUP($A108,'New Resources - Group'!$A$4:$Y$133,AT$2,FALSE)*AT$1</f>
        <v>0</v>
      </c>
      <c r="AU108" s="1117">
        <f t="shared" si="261"/>
        <v>1242891.2703915152</v>
      </c>
      <c r="AV108" s="1118">
        <f t="shared" si="262"/>
        <v>1242891.2703915152</v>
      </c>
      <c r="AW108" s="1118">
        <f t="shared" si="263"/>
        <v>0</v>
      </c>
      <c r="AX108" s="1118">
        <f t="shared" si="264"/>
        <v>0</v>
      </c>
      <c r="AY108" s="1119"/>
      <c r="BB108" s="1155">
        <f>VLOOKUP($A108,'New Resources - Group'!$A$4:$Y$133,BB$2,FALSE)*BB$1</f>
        <v>0</v>
      </c>
      <c r="BC108" s="1117">
        <f t="shared" si="265"/>
        <v>1242891.2703915152</v>
      </c>
      <c r="BD108" s="1118">
        <f t="shared" si="266"/>
        <v>1242891.2703915152</v>
      </c>
      <c r="BE108" s="1118">
        <f t="shared" si="267"/>
        <v>0</v>
      </c>
      <c r="BF108" s="1118">
        <f t="shared" si="268"/>
        <v>0</v>
      </c>
      <c r="BG108" s="1119"/>
      <c r="BJ108" s="1155">
        <f>VLOOKUP($A108,'New Resources - Group'!$A$4:$Y$133,BJ$2,FALSE)*BJ$1</f>
        <v>0</v>
      </c>
      <c r="BK108" s="1117">
        <f t="shared" si="269"/>
        <v>1242891.2703915152</v>
      </c>
      <c r="BL108" s="1118">
        <f t="shared" si="270"/>
        <v>1242891.2703915152</v>
      </c>
      <c r="BM108" s="1118">
        <f t="shared" si="271"/>
        <v>0</v>
      </c>
      <c r="BN108" s="1118">
        <f t="shared" si="272"/>
        <v>0</v>
      </c>
      <c r="BO108" s="1119"/>
      <c r="BR108" s="1155">
        <f>VLOOKUP($A108,'New Resources - Group'!$A$4:$Y$133,BR$2,FALSE)*BR$1</f>
        <v>0</v>
      </c>
      <c r="BS108" s="1117">
        <f t="shared" si="273"/>
        <v>1242891.2703915152</v>
      </c>
      <c r="BT108" s="1118">
        <f t="shared" si="274"/>
        <v>1242891.2703915152</v>
      </c>
      <c r="BU108" s="1118">
        <f t="shared" si="275"/>
        <v>0</v>
      </c>
      <c r="BV108" s="1118">
        <f t="shared" si="276"/>
        <v>0</v>
      </c>
      <c r="BW108" s="1119"/>
      <c r="BZ108" s="1155">
        <f>VLOOKUP($A108,'New Resources - Group'!$A$4:$Y$133,BZ$2,FALSE)*BZ$1</f>
        <v>0</v>
      </c>
      <c r="CA108" s="1117">
        <f t="shared" si="277"/>
        <v>1242891.2703915152</v>
      </c>
      <c r="CB108" s="1118">
        <f t="shared" si="278"/>
        <v>1242891.2703915152</v>
      </c>
      <c r="CC108" s="1118">
        <f t="shared" si="279"/>
        <v>0</v>
      </c>
      <c r="CD108" s="1118">
        <f t="shared" si="280"/>
        <v>0</v>
      </c>
      <c r="CE108" s="1119"/>
      <c r="CH108" s="1155">
        <f>VLOOKUP($A108,'New Resources - Group'!$A$4:$Y$133,CH$2,FALSE)*CH$1</f>
        <v>0</v>
      </c>
      <c r="CI108" s="1117">
        <f t="shared" si="281"/>
        <v>1242891.2703915152</v>
      </c>
      <c r="CJ108" s="1118">
        <f t="shared" si="282"/>
        <v>1242891.2703915152</v>
      </c>
      <c r="CK108" s="1118">
        <f t="shared" si="283"/>
        <v>0</v>
      </c>
      <c r="CL108" s="1118">
        <f t="shared" si="284"/>
        <v>0</v>
      </c>
      <c r="CM108" s="1119"/>
      <c r="CP108" s="1155">
        <f>VLOOKUP($A108,'New Resources - Group'!$A$4:$Y$133,CP$2,FALSE)*CP$1</f>
        <v>0</v>
      </c>
      <c r="CQ108" s="1117">
        <f t="shared" si="285"/>
        <v>1242891.2703915152</v>
      </c>
      <c r="CR108" s="1118">
        <f t="shared" si="286"/>
        <v>1242891.2703915152</v>
      </c>
      <c r="CS108" s="1118">
        <f t="shared" si="287"/>
        <v>0</v>
      </c>
      <c r="CT108" s="1118">
        <f t="shared" si="288"/>
        <v>0</v>
      </c>
      <c r="CU108" s="1119"/>
      <c r="CX108" s="1155">
        <f>VLOOKUP($A108,'New Resources - Group'!$A$4:$Y$133,CX$2,FALSE)*CX$1</f>
        <v>0</v>
      </c>
      <c r="CY108" s="1117">
        <f t="shared" si="289"/>
        <v>1242891.2703915152</v>
      </c>
      <c r="CZ108" s="1118">
        <f t="shared" si="290"/>
        <v>1242891.2703915152</v>
      </c>
      <c r="DA108" s="1118">
        <f t="shared" si="291"/>
        <v>0</v>
      </c>
      <c r="DB108" s="1118">
        <f t="shared" si="292"/>
        <v>0</v>
      </c>
      <c r="DC108" s="1119"/>
      <c r="DF108" s="1155">
        <f>VLOOKUP($A108,'New Resources - Group'!$A$4:$Y$133,DF$2,FALSE)*DF$1</f>
        <v>0</v>
      </c>
      <c r="DG108" s="1117">
        <f t="shared" si="293"/>
        <v>1242891.2703915152</v>
      </c>
      <c r="DH108" s="1118">
        <f t="shared" si="294"/>
        <v>1242891.2703915152</v>
      </c>
      <c r="DI108" s="1118">
        <f t="shared" si="295"/>
        <v>0</v>
      </c>
      <c r="DJ108" s="1118">
        <f t="shared" si="296"/>
        <v>0</v>
      </c>
      <c r="DK108" s="1119"/>
      <c r="DN108" s="1155">
        <f>VLOOKUP($A108,'New Resources - Group'!$A$4:$Y$133,DN$2,FALSE)*DN$1</f>
        <v>0</v>
      </c>
      <c r="DO108" s="1117">
        <f t="shared" si="297"/>
        <v>1242891.2703915152</v>
      </c>
      <c r="DP108" s="1118">
        <f t="shared" si="298"/>
        <v>1242891.2703915152</v>
      </c>
      <c r="DQ108" s="1118">
        <f t="shared" si="299"/>
        <v>0</v>
      </c>
      <c r="DR108" s="1118">
        <f t="shared" si="300"/>
        <v>0</v>
      </c>
      <c r="DS108" s="1119"/>
      <c r="DV108" s="1155">
        <f>VLOOKUP($A108,'New Resources - Group'!$A$4:$Y$133,DV$2,FALSE)*DV$1</f>
        <v>0</v>
      </c>
      <c r="DW108" s="1117">
        <f t="shared" si="301"/>
        <v>1242891.2703915152</v>
      </c>
      <c r="DX108" s="1118">
        <f t="shared" si="302"/>
        <v>1242891.2703915152</v>
      </c>
      <c r="DY108" s="1118">
        <f t="shared" si="303"/>
        <v>0</v>
      </c>
      <c r="DZ108" s="1118">
        <f t="shared" si="304"/>
        <v>0</v>
      </c>
      <c r="EA108" s="1119"/>
      <c r="ED108" s="1155">
        <f>VLOOKUP($A108,'New Resources - Group'!$A$4:$Y$133,ED$2,FALSE)*ED$1</f>
        <v>0</v>
      </c>
      <c r="EE108" s="1117">
        <f t="shared" si="305"/>
        <v>1242891.2703915152</v>
      </c>
      <c r="EF108" s="1118">
        <f t="shared" si="306"/>
        <v>1242891.2703915152</v>
      </c>
      <c r="EG108" s="1118">
        <f t="shared" si="307"/>
        <v>0</v>
      </c>
      <c r="EH108" s="1118">
        <f t="shared" si="308"/>
        <v>0</v>
      </c>
      <c r="EI108" s="1119"/>
      <c r="EL108" s="1155">
        <f>VLOOKUP($A108,'New Resources - Group'!$A$4:$Y$133,EL$2,FALSE)*EL$1</f>
        <v>0</v>
      </c>
      <c r="EM108" s="1117">
        <f t="shared" si="309"/>
        <v>1242891.2703915152</v>
      </c>
      <c r="EN108" s="1118">
        <f t="shared" si="310"/>
        <v>1242891.2703915152</v>
      </c>
      <c r="EO108" s="1118">
        <f t="shared" si="311"/>
        <v>0</v>
      </c>
      <c r="EP108" s="1118">
        <f t="shared" si="312"/>
        <v>0</v>
      </c>
      <c r="EQ108" s="1119"/>
      <c r="ET108" s="1155">
        <f>VLOOKUP($A108,'New Resources - Group'!$A$4:$Y$133,ET$2,FALSE)*ET$1</f>
        <v>0</v>
      </c>
      <c r="EU108" s="1117">
        <f t="shared" si="313"/>
        <v>1242891.2703915152</v>
      </c>
      <c r="EV108" s="1118">
        <f t="shared" si="314"/>
        <v>1242891.2703915152</v>
      </c>
      <c r="EW108" s="1118">
        <f t="shared" si="315"/>
        <v>0</v>
      </c>
      <c r="EX108" s="1118">
        <f t="shared" si="316"/>
        <v>0</v>
      </c>
      <c r="EY108" s="1119"/>
      <c r="FB108" s="1155">
        <f>VLOOKUP($A108,'New Resources - Group'!$A$4:$Y$133,FB$2,FALSE)*FB$1</f>
        <v>0</v>
      </c>
      <c r="FC108" s="1117">
        <f t="shared" si="317"/>
        <v>1242891.2703915152</v>
      </c>
      <c r="FD108" s="1118">
        <f t="shared" si="318"/>
        <v>1242891.2703915152</v>
      </c>
      <c r="FE108" s="1118">
        <f t="shared" si="319"/>
        <v>0</v>
      </c>
      <c r="FF108" s="1118">
        <f t="shared" si="320"/>
        <v>0</v>
      </c>
      <c r="FG108" s="1119"/>
      <c r="FJ108" s="1155">
        <f>VLOOKUP($A108,'New Resources - Group'!$A$4:$Y$133,FJ$2,FALSE)*FJ$1</f>
        <v>0</v>
      </c>
      <c r="FK108" s="1117">
        <f t="shared" si="321"/>
        <v>1242891.2703915152</v>
      </c>
      <c r="FL108" s="1118">
        <f t="shared" si="322"/>
        <v>1242891.2703915152</v>
      </c>
      <c r="FM108" s="1118">
        <f t="shared" si="323"/>
        <v>0</v>
      </c>
      <c r="FN108" s="1118">
        <f t="shared" si="324"/>
        <v>0</v>
      </c>
      <c r="FO108" s="1119"/>
    </row>
    <row r="109" spans="1:171" x14ac:dyDescent="0.25">
      <c r="A109" s="1421"/>
      <c r="B109" s="10" t="s">
        <v>178</v>
      </c>
      <c r="C109" s="889" t="s">
        <v>255</v>
      </c>
      <c r="D109" s="889">
        <v>158.19999999999999</v>
      </c>
      <c r="E109" s="182" t="str">
        <f>'Sch 1- Rate Base '!E109</f>
        <v>PROD</v>
      </c>
      <c r="F109" s="890"/>
      <c r="G109" s="182">
        <f>'Sch 1- Rate Base '!G109</f>
        <v>0</v>
      </c>
      <c r="H109" s="182">
        <f>'Sch 1- Rate Base '!H109</f>
        <v>0</v>
      </c>
      <c r="I109" s="182">
        <f>'Sch 1- Rate Base '!I109</f>
        <v>0</v>
      </c>
      <c r="J109" s="1422">
        <f>'Sch 1- Rate Base '!J109</f>
        <v>0</v>
      </c>
      <c r="K109" s="904">
        <f t="shared" si="244"/>
        <v>1</v>
      </c>
      <c r="O109" s="1117">
        <f t="shared" ref="O109:O115" si="325">$G109</f>
        <v>0</v>
      </c>
      <c r="P109" s="1118">
        <f t="shared" si="246"/>
        <v>0</v>
      </c>
      <c r="Q109" s="1118">
        <f t="shared" si="247"/>
        <v>0</v>
      </c>
      <c r="R109" s="1118">
        <f t="shared" si="248"/>
        <v>0</v>
      </c>
      <c r="S109" s="1119"/>
      <c r="W109" s="1117">
        <f t="shared" ref="W109:W115" si="326">$G109</f>
        <v>0</v>
      </c>
      <c r="X109" s="1118">
        <f t="shared" si="250"/>
        <v>0</v>
      </c>
      <c r="Y109" s="1118">
        <f t="shared" si="251"/>
        <v>0</v>
      </c>
      <c r="Z109" s="1118">
        <f t="shared" si="252"/>
        <v>0</v>
      </c>
      <c r="AA109" s="1119"/>
      <c r="AE109" s="1117">
        <f t="shared" ref="AE109:AE115" si="327">$G109</f>
        <v>0</v>
      </c>
      <c r="AF109" s="1118">
        <f t="shared" si="254"/>
        <v>0</v>
      </c>
      <c r="AG109" s="1118">
        <f t="shared" si="255"/>
        <v>0</v>
      </c>
      <c r="AH109" s="1118">
        <f t="shared" si="256"/>
        <v>0</v>
      </c>
      <c r="AI109" s="1119"/>
      <c r="AM109" s="1117">
        <f t="shared" ref="AM109:AM115" si="328">$G109</f>
        <v>0</v>
      </c>
      <c r="AN109" s="1118">
        <f t="shared" si="258"/>
        <v>0</v>
      </c>
      <c r="AO109" s="1118">
        <f t="shared" si="259"/>
        <v>0</v>
      </c>
      <c r="AP109" s="1118">
        <f t="shared" si="260"/>
        <v>0</v>
      </c>
      <c r="AQ109" s="1119"/>
      <c r="AU109" s="1117">
        <f t="shared" ref="AU109:AU115" si="329">$G109</f>
        <v>0</v>
      </c>
      <c r="AV109" s="1118">
        <f t="shared" si="262"/>
        <v>0</v>
      </c>
      <c r="AW109" s="1118">
        <f t="shared" si="263"/>
        <v>0</v>
      </c>
      <c r="AX109" s="1118">
        <f t="shared" si="264"/>
        <v>0</v>
      </c>
      <c r="AY109" s="1119"/>
      <c r="BC109" s="1117">
        <f t="shared" ref="BC109:BC115" si="330">$G109</f>
        <v>0</v>
      </c>
      <c r="BD109" s="1118">
        <f t="shared" si="266"/>
        <v>0</v>
      </c>
      <c r="BE109" s="1118">
        <f t="shared" si="267"/>
        <v>0</v>
      </c>
      <c r="BF109" s="1118">
        <f t="shared" si="268"/>
        <v>0</v>
      </c>
      <c r="BG109" s="1119"/>
      <c r="BK109" s="1117">
        <f t="shared" ref="BK109:BK115" si="331">$G109</f>
        <v>0</v>
      </c>
      <c r="BL109" s="1118">
        <f t="shared" si="270"/>
        <v>0</v>
      </c>
      <c r="BM109" s="1118">
        <f t="shared" si="271"/>
        <v>0</v>
      </c>
      <c r="BN109" s="1118">
        <f t="shared" si="272"/>
        <v>0</v>
      </c>
      <c r="BO109" s="1119"/>
      <c r="BS109" s="1117">
        <f t="shared" ref="BS109:BS115" si="332">$G109</f>
        <v>0</v>
      </c>
      <c r="BT109" s="1118">
        <f t="shared" si="274"/>
        <v>0</v>
      </c>
      <c r="BU109" s="1118">
        <f t="shared" si="275"/>
        <v>0</v>
      </c>
      <c r="BV109" s="1118">
        <f t="shared" si="276"/>
        <v>0</v>
      </c>
      <c r="BW109" s="1119"/>
      <c r="CA109" s="1117">
        <f t="shared" ref="CA109:CA115" si="333">$G109</f>
        <v>0</v>
      </c>
      <c r="CB109" s="1118">
        <f t="shared" si="278"/>
        <v>0</v>
      </c>
      <c r="CC109" s="1118">
        <f t="shared" si="279"/>
        <v>0</v>
      </c>
      <c r="CD109" s="1118">
        <f t="shared" si="280"/>
        <v>0</v>
      </c>
      <c r="CE109" s="1119"/>
      <c r="CI109" s="1117">
        <f t="shared" ref="CI109:CI115" si="334">$G109</f>
        <v>0</v>
      </c>
      <c r="CJ109" s="1118">
        <f t="shared" si="282"/>
        <v>0</v>
      </c>
      <c r="CK109" s="1118">
        <f t="shared" si="283"/>
        <v>0</v>
      </c>
      <c r="CL109" s="1118">
        <f t="shared" si="284"/>
        <v>0</v>
      </c>
      <c r="CM109" s="1119"/>
      <c r="CQ109" s="1117">
        <f t="shared" ref="CQ109:CQ115" si="335">$G109</f>
        <v>0</v>
      </c>
      <c r="CR109" s="1118">
        <f t="shared" si="286"/>
        <v>0</v>
      </c>
      <c r="CS109" s="1118">
        <f t="shared" si="287"/>
        <v>0</v>
      </c>
      <c r="CT109" s="1118">
        <f t="shared" si="288"/>
        <v>0</v>
      </c>
      <c r="CU109" s="1119"/>
      <c r="CY109" s="1117">
        <f t="shared" ref="CY109:CY115" si="336">$G109</f>
        <v>0</v>
      </c>
      <c r="CZ109" s="1118">
        <f t="shared" si="290"/>
        <v>0</v>
      </c>
      <c r="DA109" s="1118">
        <f t="shared" si="291"/>
        <v>0</v>
      </c>
      <c r="DB109" s="1118">
        <f t="shared" si="292"/>
        <v>0</v>
      </c>
      <c r="DC109" s="1119"/>
      <c r="DG109" s="1117">
        <f t="shared" ref="DG109:DG115" si="337">$G109</f>
        <v>0</v>
      </c>
      <c r="DH109" s="1118">
        <f t="shared" si="294"/>
        <v>0</v>
      </c>
      <c r="DI109" s="1118">
        <f t="shared" si="295"/>
        <v>0</v>
      </c>
      <c r="DJ109" s="1118">
        <f t="shared" si="296"/>
        <v>0</v>
      </c>
      <c r="DK109" s="1119"/>
      <c r="DO109" s="1117">
        <f t="shared" ref="DO109:DO115" si="338">$G109</f>
        <v>0</v>
      </c>
      <c r="DP109" s="1118">
        <f t="shared" si="298"/>
        <v>0</v>
      </c>
      <c r="DQ109" s="1118">
        <f t="shared" si="299"/>
        <v>0</v>
      </c>
      <c r="DR109" s="1118">
        <f t="shared" si="300"/>
        <v>0</v>
      </c>
      <c r="DS109" s="1119"/>
      <c r="DW109" s="1117">
        <f t="shared" ref="DW109:DW115" si="339">$G109</f>
        <v>0</v>
      </c>
      <c r="DX109" s="1118">
        <f t="shared" si="302"/>
        <v>0</v>
      </c>
      <c r="DY109" s="1118">
        <f t="shared" si="303"/>
        <v>0</v>
      </c>
      <c r="DZ109" s="1118">
        <f t="shared" si="304"/>
        <v>0</v>
      </c>
      <c r="EA109" s="1119"/>
      <c r="EE109" s="1117">
        <f t="shared" ref="EE109:EE115" si="340">$G109</f>
        <v>0</v>
      </c>
      <c r="EF109" s="1118">
        <f t="shared" si="306"/>
        <v>0</v>
      </c>
      <c r="EG109" s="1118">
        <f t="shared" si="307"/>
        <v>0</v>
      </c>
      <c r="EH109" s="1118">
        <f t="shared" si="308"/>
        <v>0</v>
      </c>
      <c r="EI109" s="1119"/>
      <c r="EM109" s="1117">
        <f t="shared" ref="EM109:EM115" si="341">$G109</f>
        <v>0</v>
      </c>
      <c r="EN109" s="1118">
        <f t="shared" si="310"/>
        <v>0</v>
      </c>
      <c r="EO109" s="1118">
        <f t="shared" si="311"/>
        <v>0</v>
      </c>
      <c r="EP109" s="1118">
        <f t="shared" si="312"/>
        <v>0</v>
      </c>
      <c r="EQ109" s="1119"/>
      <c r="EU109" s="1117">
        <f t="shared" ref="EU109:EU115" si="342">$G109</f>
        <v>0</v>
      </c>
      <c r="EV109" s="1118">
        <f t="shared" si="314"/>
        <v>0</v>
      </c>
      <c r="EW109" s="1118">
        <f t="shared" si="315"/>
        <v>0</v>
      </c>
      <c r="EX109" s="1118">
        <f t="shared" si="316"/>
        <v>0</v>
      </c>
      <c r="EY109" s="1119"/>
      <c r="FC109" s="1117">
        <f t="shared" ref="FC109:FC115" si="343">$G109</f>
        <v>0</v>
      </c>
      <c r="FD109" s="1118">
        <f t="shared" si="318"/>
        <v>0</v>
      </c>
      <c r="FE109" s="1118">
        <f t="shared" si="319"/>
        <v>0</v>
      </c>
      <c r="FF109" s="1118">
        <f t="shared" si="320"/>
        <v>0</v>
      </c>
      <c r="FG109" s="1119"/>
      <c r="FK109" s="1117">
        <f t="shared" ref="FK109:FK115" si="344">$G109</f>
        <v>0</v>
      </c>
      <c r="FL109" s="1118">
        <f t="shared" si="322"/>
        <v>0</v>
      </c>
      <c r="FM109" s="1118">
        <f t="shared" si="323"/>
        <v>0</v>
      </c>
      <c r="FN109" s="1118">
        <f t="shared" si="324"/>
        <v>0</v>
      </c>
      <c r="FO109" s="1119"/>
    </row>
    <row r="110" spans="1:171" x14ac:dyDescent="0.25">
      <c r="A110" s="1421"/>
      <c r="B110" s="10" t="s">
        <v>55</v>
      </c>
      <c r="C110" s="889" t="s">
        <v>78</v>
      </c>
      <c r="D110" s="889">
        <v>163</v>
      </c>
      <c r="E110" s="182" t="str">
        <f>'Sch 1- Rate Base '!E110</f>
        <v>PTD</v>
      </c>
      <c r="F110" s="890"/>
      <c r="G110" s="182">
        <f>'Sch 1- Rate Base '!G110</f>
        <v>0</v>
      </c>
      <c r="H110" s="182">
        <f>'Sch 1- Rate Base '!H110</f>
        <v>0</v>
      </c>
      <c r="I110" s="182">
        <f>'Sch 1- Rate Base '!I110</f>
        <v>0</v>
      </c>
      <c r="J110" s="1422">
        <f>'Sch 1- Rate Base '!J110</f>
        <v>0</v>
      </c>
      <c r="K110" s="904">
        <f t="shared" si="244"/>
        <v>1</v>
      </c>
      <c r="O110" s="1117">
        <f t="shared" si="325"/>
        <v>0</v>
      </c>
      <c r="P110" s="1118">
        <f t="shared" ref="P110:P115" si="345">VLOOKUP($E110,O$442:R$453,2,FALSE)*O110*($K110)+IF($G110&lt;&gt;0,($H110/$G110)*O110,0)*(1-$K110)</f>
        <v>0</v>
      </c>
      <c r="Q110" s="1118">
        <f t="shared" ref="Q110:Q115" si="346">VLOOKUP($E110,O$442:R$453,3,FALSE)*O110*($K110)+IF($G110&lt;&gt;0,($I110/$G110)*O110,0)*(1-$K110)</f>
        <v>0</v>
      </c>
      <c r="R110" s="1118">
        <f t="shared" si="248"/>
        <v>0</v>
      </c>
      <c r="S110" s="1119"/>
      <c r="W110" s="1117">
        <f t="shared" si="326"/>
        <v>0</v>
      </c>
      <c r="X110" s="1118">
        <f t="shared" ref="X110:X115" si="347">VLOOKUP($E110,W$442:Z$453,2,FALSE)*W110*($K110)+IF($G110&lt;&gt;0,($H110/$G110)*W110,0)*(1-$K110)</f>
        <v>0</v>
      </c>
      <c r="Y110" s="1118">
        <f t="shared" ref="Y110:Y115" si="348">VLOOKUP($E110,W$442:Z$453,3,FALSE)*W110*($K110)+IF($G110&lt;&gt;0,($I110/$G110)*W110,0)*(1-$K110)</f>
        <v>0</v>
      </c>
      <c r="Z110" s="1118">
        <f t="shared" si="252"/>
        <v>0</v>
      </c>
      <c r="AA110" s="1119"/>
      <c r="AE110" s="1117">
        <f t="shared" si="327"/>
        <v>0</v>
      </c>
      <c r="AF110" s="1118">
        <f t="shared" ref="AF110:AF115" si="349">VLOOKUP($E110,AE$442:AH$453,2,FALSE)*AE110*($K110)+IF($G110&lt;&gt;0,($H110/$G110)*AE110,0)*(1-$K110)</f>
        <v>0</v>
      </c>
      <c r="AG110" s="1118">
        <f t="shared" ref="AG110:AG115" si="350">VLOOKUP($E110,AE$442:AH$453,3,FALSE)*AE110*($K110)+IF($G110&lt;&gt;0,($I110/$G110)*AE110,0)*(1-$K110)</f>
        <v>0</v>
      </c>
      <c r="AH110" s="1118">
        <f t="shared" si="256"/>
        <v>0</v>
      </c>
      <c r="AI110" s="1119"/>
      <c r="AM110" s="1117">
        <f t="shared" si="328"/>
        <v>0</v>
      </c>
      <c r="AN110" s="1118">
        <f t="shared" ref="AN110:AN115" si="351">VLOOKUP($E110,AM$442:AP$453,2,FALSE)*AM110*($K110)+IF($G110&lt;&gt;0,($H110/$G110)*AM110,0)*(1-$K110)</f>
        <v>0</v>
      </c>
      <c r="AO110" s="1118">
        <f t="shared" ref="AO110:AO115" si="352">VLOOKUP($E110,AM$442:AP$453,3,FALSE)*AM110*($K110)+IF($G110&lt;&gt;0,($I110/$G110)*AM110,0)*(1-$K110)</f>
        <v>0</v>
      </c>
      <c r="AP110" s="1118">
        <f t="shared" si="260"/>
        <v>0</v>
      </c>
      <c r="AQ110" s="1119"/>
      <c r="AU110" s="1117">
        <f t="shared" si="329"/>
        <v>0</v>
      </c>
      <c r="AV110" s="1118">
        <f t="shared" ref="AV110:AV115" si="353">VLOOKUP($E110,AU$442:AX$453,2,FALSE)*AU110*($K110)+IF($G110&lt;&gt;0,($H110/$G110)*AU110,0)*(1-$K110)</f>
        <v>0</v>
      </c>
      <c r="AW110" s="1118">
        <f t="shared" ref="AW110:AW115" si="354">VLOOKUP($E110,AU$442:AX$453,3,FALSE)*AU110*($K110)+IF($G110&lt;&gt;0,($I110/$G110)*AU110,0)*(1-$K110)</f>
        <v>0</v>
      </c>
      <c r="AX110" s="1118">
        <f t="shared" si="264"/>
        <v>0</v>
      </c>
      <c r="AY110" s="1119"/>
      <c r="BC110" s="1117">
        <f t="shared" si="330"/>
        <v>0</v>
      </c>
      <c r="BD110" s="1118">
        <f t="shared" ref="BD110:BD115" si="355">VLOOKUP($E110,BC$442:BF$453,2,FALSE)*BC110*($K110)+IF($G110&lt;&gt;0,($H110/$G110)*BC110,0)*(1-$K110)</f>
        <v>0</v>
      </c>
      <c r="BE110" s="1118">
        <f t="shared" ref="BE110:BE115" si="356">VLOOKUP($E110,BC$442:BF$453,3,FALSE)*BC110*($K110)+IF($G110&lt;&gt;0,($I110/$G110)*BC110,0)*(1-$K110)</f>
        <v>0</v>
      </c>
      <c r="BF110" s="1118">
        <f t="shared" si="268"/>
        <v>0</v>
      </c>
      <c r="BG110" s="1119"/>
      <c r="BK110" s="1117">
        <f t="shared" si="331"/>
        <v>0</v>
      </c>
      <c r="BL110" s="1118">
        <f t="shared" ref="BL110:BL115" si="357">VLOOKUP($E110,BK$442:BN$453,2,FALSE)*BK110*($K110)+IF($G110&lt;&gt;0,($H110/$G110)*BK110,0)*(1-$K110)</f>
        <v>0</v>
      </c>
      <c r="BM110" s="1118">
        <f t="shared" ref="BM110:BM115" si="358">VLOOKUP($E110,BK$442:BN$453,3,FALSE)*BK110*($K110)+IF($G110&lt;&gt;0,($I110/$G110)*BK110,0)*(1-$K110)</f>
        <v>0</v>
      </c>
      <c r="BN110" s="1118">
        <f t="shared" si="272"/>
        <v>0</v>
      </c>
      <c r="BO110" s="1119"/>
      <c r="BS110" s="1117">
        <f t="shared" si="332"/>
        <v>0</v>
      </c>
      <c r="BT110" s="1118">
        <f t="shared" ref="BT110:BT115" si="359">VLOOKUP($E110,BS$442:BV$453,2,FALSE)*BS110*($K110)+IF($G110&lt;&gt;0,($H110/$G110)*BS110,0)*(1-$K110)</f>
        <v>0</v>
      </c>
      <c r="BU110" s="1118">
        <f t="shared" ref="BU110:BU115" si="360">VLOOKUP($E110,BS$442:BV$453,3,FALSE)*BS110*($K110)+IF($G110&lt;&gt;0,($I110/$G110)*BS110,0)*(1-$K110)</f>
        <v>0</v>
      </c>
      <c r="BV110" s="1118">
        <f t="shared" si="276"/>
        <v>0</v>
      </c>
      <c r="BW110" s="1119"/>
      <c r="CA110" s="1117">
        <f t="shared" si="333"/>
        <v>0</v>
      </c>
      <c r="CB110" s="1118">
        <f t="shared" ref="CB110:CB115" si="361">VLOOKUP($E110,CA$442:CD$453,2,FALSE)*CA110*($K110)+IF($G110&lt;&gt;0,($H110/$G110)*CA110,0)*(1-$K110)</f>
        <v>0</v>
      </c>
      <c r="CC110" s="1118">
        <f t="shared" ref="CC110:CC115" si="362">VLOOKUP($E110,CA$442:CD$453,3,FALSE)*CA110*($K110)+IF($G110&lt;&gt;0,($I110/$G110)*CA110,0)*(1-$K110)</f>
        <v>0</v>
      </c>
      <c r="CD110" s="1118">
        <f t="shared" si="280"/>
        <v>0</v>
      </c>
      <c r="CE110" s="1119"/>
      <c r="CI110" s="1117">
        <f t="shared" si="334"/>
        <v>0</v>
      </c>
      <c r="CJ110" s="1118">
        <f t="shared" ref="CJ110:CJ115" si="363">VLOOKUP($E110,CI$442:CL$453,2,FALSE)*CI110*($K110)+IF($G110&lt;&gt;0,($H110/$G110)*CI110,0)*(1-$K110)</f>
        <v>0</v>
      </c>
      <c r="CK110" s="1118">
        <f t="shared" ref="CK110:CK115" si="364">VLOOKUP($E110,CI$442:CL$453,3,FALSE)*CI110*($K110)+IF($G110&lt;&gt;0,($I110/$G110)*CI110,0)*(1-$K110)</f>
        <v>0</v>
      </c>
      <c r="CL110" s="1118">
        <f t="shared" si="284"/>
        <v>0</v>
      </c>
      <c r="CM110" s="1119"/>
      <c r="CQ110" s="1117">
        <f t="shared" si="335"/>
        <v>0</v>
      </c>
      <c r="CR110" s="1118">
        <f t="shared" ref="CR110:CR115" si="365">VLOOKUP($E110,CQ$442:CT$453,2,FALSE)*CQ110*($K110)+IF($G110&lt;&gt;0,($H110/$G110)*CQ110,0)*(1-$K110)</f>
        <v>0</v>
      </c>
      <c r="CS110" s="1118">
        <f t="shared" ref="CS110:CS115" si="366">VLOOKUP($E110,CQ$442:CT$453,3,FALSE)*CQ110*($K110)+IF($G110&lt;&gt;0,($I110/$G110)*CQ110,0)*(1-$K110)</f>
        <v>0</v>
      </c>
      <c r="CT110" s="1118">
        <f t="shared" si="288"/>
        <v>0</v>
      </c>
      <c r="CU110" s="1119"/>
      <c r="CY110" s="1117">
        <f t="shared" si="336"/>
        <v>0</v>
      </c>
      <c r="CZ110" s="1118">
        <f t="shared" ref="CZ110:CZ115" si="367">VLOOKUP($E110,CY$442:DB$453,2,FALSE)*CY110*($K110)+IF($G110&lt;&gt;0,($H110/$G110)*CY110,0)*(1-$K110)</f>
        <v>0</v>
      </c>
      <c r="DA110" s="1118">
        <f t="shared" ref="DA110:DA115" si="368">VLOOKUP($E110,CY$442:DB$453,3,FALSE)*CY110*($K110)+IF($G110&lt;&gt;0,($I110/$G110)*CY110,0)*(1-$K110)</f>
        <v>0</v>
      </c>
      <c r="DB110" s="1118">
        <f t="shared" si="292"/>
        <v>0</v>
      </c>
      <c r="DC110" s="1119"/>
      <c r="DG110" s="1117">
        <f t="shared" si="337"/>
        <v>0</v>
      </c>
      <c r="DH110" s="1118">
        <f t="shared" ref="DH110:DH115" si="369">VLOOKUP($E110,DG$442:DJ$453,2,FALSE)*DG110*($K110)+IF($G110&lt;&gt;0,($H110/$G110)*DG110,0)*(1-$K110)</f>
        <v>0</v>
      </c>
      <c r="DI110" s="1118">
        <f t="shared" ref="DI110:DI115" si="370">VLOOKUP($E110,DG$442:DJ$453,3,FALSE)*DG110*($K110)+IF($G110&lt;&gt;0,($I110/$G110)*DG110,0)*(1-$K110)</f>
        <v>0</v>
      </c>
      <c r="DJ110" s="1118">
        <f t="shared" si="296"/>
        <v>0</v>
      </c>
      <c r="DK110" s="1119"/>
      <c r="DO110" s="1117">
        <f t="shared" si="338"/>
        <v>0</v>
      </c>
      <c r="DP110" s="1118">
        <f t="shared" ref="DP110:DP115" si="371">VLOOKUP($E110,DO$442:DR$453,2,FALSE)*DO110*($K110)+IF($G110&lt;&gt;0,($H110/$G110)*DO110,0)*(1-$K110)</f>
        <v>0</v>
      </c>
      <c r="DQ110" s="1118">
        <f t="shared" ref="DQ110:DQ115" si="372">VLOOKUP($E110,DO$442:DR$453,3,FALSE)*DO110*($K110)+IF($G110&lt;&gt;0,($I110/$G110)*DO110,0)*(1-$K110)</f>
        <v>0</v>
      </c>
      <c r="DR110" s="1118">
        <f t="shared" si="300"/>
        <v>0</v>
      </c>
      <c r="DS110" s="1119"/>
      <c r="DW110" s="1117">
        <f t="shared" si="339"/>
        <v>0</v>
      </c>
      <c r="DX110" s="1118">
        <f t="shared" ref="DX110:DX115" si="373">VLOOKUP($E110,DW$442:DZ$453,2,FALSE)*DW110*($K110)+IF($G110&lt;&gt;0,($H110/$G110)*DW110,0)*(1-$K110)</f>
        <v>0</v>
      </c>
      <c r="DY110" s="1118">
        <f t="shared" ref="DY110:DY115" si="374">VLOOKUP($E110,DW$442:DZ$453,3,FALSE)*DW110*($K110)+IF($G110&lt;&gt;0,($I110/$G110)*DW110,0)*(1-$K110)</f>
        <v>0</v>
      </c>
      <c r="DZ110" s="1118">
        <f t="shared" si="304"/>
        <v>0</v>
      </c>
      <c r="EA110" s="1119"/>
      <c r="EE110" s="1117">
        <f t="shared" si="340"/>
        <v>0</v>
      </c>
      <c r="EF110" s="1118">
        <f t="shared" ref="EF110:EF115" si="375">VLOOKUP($E110,EE$442:EH$453,2,FALSE)*EE110*($K110)+IF($G110&lt;&gt;0,($H110/$G110)*EE110,0)*(1-$K110)</f>
        <v>0</v>
      </c>
      <c r="EG110" s="1118">
        <f t="shared" ref="EG110:EG115" si="376">VLOOKUP($E110,EE$442:EH$453,3,FALSE)*EE110*($K110)+IF($G110&lt;&gt;0,($I110/$G110)*EE110,0)*(1-$K110)</f>
        <v>0</v>
      </c>
      <c r="EH110" s="1118">
        <f t="shared" si="308"/>
        <v>0</v>
      </c>
      <c r="EI110" s="1119"/>
      <c r="EM110" s="1117">
        <f t="shared" si="341"/>
        <v>0</v>
      </c>
      <c r="EN110" s="1118">
        <f t="shared" ref="EN110:EN115" si="377">VLOOKUP($E110,EM$442:EP$453,2,FALSE)*EM110*($K110)+IF($G110&lt;&gt;0,($H110/$G110)*EM110,0)*(1-$K110)</f>
        <v>0</v>
      </c>
      <c r="EO110" s="1118">
        <f t="shared" ref="EO110:EO115" si="378">VLOOKUP($E110,EM$442:EP$453,3,FALSE)*EM110*($K110)+IF($G110&lt;&gt;0,($I110/$G110)*EM110,0)*(1-$K110)</f>
        <v>0</v>
      </c>
      <c r="EP110" s="1118">
        <f t="shared" si="312"/>
        <v>0</v>
      </c>
      <c r="EQ110" s="1119"/>
      <c r="EU110" s="1117">
        <f t="shared" si="342"/>
        <v>0</v>
      </c>
      <c r="EV110" s="1118">
        <f t="shared" ref="EV110:EV115" si="379">VLOOKUP($E110,EU$442:EX$453,2,FALSE)*EU110*($K110)+IF($G110&lt;&gt;0,($H110/$G110)*EU110,0)*(1-$K110)</f>
        <v>0</v>
      </c>
      <c r="EW110" s="1118">
        <f t="shared" ref="EW110:EW115" si="380">VLOOKUP($E110,EU$442:EX$453,3,FALSE)*EU110*($K110)+IF($G110&lt;&gt;0,($I110/$G110)*EU110,0)*(1-$K110)</f>
        <v>0</v>
      </c>
      <c r="EX110" s="1118">
        <f t="shared" si="316"/>
        <v>0</v>
      </c>
      <c r="EY110" s="1119"/>
      <c r="FC110" s="1117">
        <f t="shared" si="343"/>
        <v>0</v>
      </c>
      <c r="FD110" s="1118">
        <f t="shared" ref="FD110:FD115" si="381">VLOOKUP($E110,FC$442:FF$453,2,FALSE)*FC110*($K110)+IF($G110&lt;&gt;0,($H110/$G110)*FC110,0)*(1-$K110)</f>
        <v>0</v>
      </c>
      <c r="FE110" s="1118">
        <f t="shared" ref="FE110:FE115" si="382">VLOOKUP($E110,FC$442:FF$453,3,FALSE)*FC110*($K110)+IF($G110&lt;&gt;0,($I110/$G110)*FC110,0)*(1-$K110)</f>
        <v>0</v>
      </c>
      <c r="FF110" s="1118">
        <f t="shared" si="320"/>
        <v>0</v>
      </c>
      <c r="FG110" s="1119"/>
      <c r="FK110" s="1117">
        <f t="shared" si="344"/>
        <v>0</v>
      </c>
      <c r="FL110" s="1118">
        <f t="shared" ref="FL110:FL115" si="383">VLOOKUP($E110,FK$442:FN$453,2,FALSE)*FK110*($K110)+IF($G110&lt;&gt;0,($H110/$G110)*FK110,0)*(1-$K110)</f>
        <v>0</v>
      </c>
      <c r="FM110" s="1118">
        <f t="shared" ref="FM110:FM115" si="384">VLOOKUP($E110,FK$442:FN$453,3,FALSE)*FK110*($K110)+IF($G110&lt;&gt;0,($I110/$G110)*FK110,0)*(1-$K110)</f>
        <v>0</v>
      </c>
      <c r="FN110" s="1118">
        <f t="shared" si="324"/>
        <v>0</v>
      </c>
      <c r="FO110" s="1119"/>
    </row>
    <row r="111" spans="1:171" x14ac:dyDescent="0.25">
      <c r="A111" s="1421"/>
      <c r="B111" s="10" t="s">
        <v>8</v>
      </c>
      <c r="C111" s="889" t="s">
        <v>78</v>
      </c>
      <c r="D111" s="889">
        <v>165</v>
      </c>
      <c r="E111" s="182" t="str">
        <f>'Sch 1- Rate Base '!E111</f>
        <v>PTD</v>
      </c>
      <c r="F111" s="890"/>
      <c r="G111" s="182">
        <f>'Sch 1- Rate Base '!G111</f>
        <v>56015642.483825237</v>
      </c>
      <c r="H111" s="182">
        <f>'Sch 1- Rate Base '!H111</f>
        <v>24657869.813631494</v>
      </c>
      <c r="I111" s="182">
        <f>'Sch 1- Rate Base '!I111</f>
        <v>0</v>
      </c>
      <c r="J111" s="1422">
        <f>'Sch 1- Rate Base '!J111</f>
        <v>31357772.670193736</v>
      </c>
      <c r="K111" s="904">
        <f t="shared" si="244"/>
        <v>1</v>
      </c>
      <c r="O111" s="1117">
        <f t="shared" si="325"/>
        <v>56015642.483825237</v>
      </c>
      <c r="P111" s="1118">
        <f t="shared" si="345"/>
        <v>24657869.813631494</v>
      </c>
      <c r="Q111" s="1118">
        <f t="shared" si="346"/>
        <v>14558035.623982832</v>
      </c>
      <c r="R111" s="1118">
        <f>VLOOKUP($E111,O$442:R$453,4,FALSE)*O111*($K111)+(O111-P111-Q111)*(1-$K111)</f>
        <v>16799737.046210904</v>
      </c>
      <c r="S111" s="1119"/>
      <c r="W111" s="1117">
        <f t="shared" si="326"/>
        <v>56015642.483825237</v>
      </c>
      <c r="X111" s="1118">
        <f t="shared" si="347"/>
        <v>24657869.813631494</v>
      </c>
      <c r="Y111" s="1118">
        <f t="shared" si="348"/>
        <v>14558035.623982832</v>
      </c>
      <c r="Z111" s="1118">
        <f>VLOOKUP($E111,W$442:Z$453,4,FALSE)*W111*($K111)+(W111-X111-Y111)*(1-$K111)</f>
        <v>16799737.046210904</v>
      </c>
      <c r="AA111" s="1119"/>
      <c r="AE111" s="1117">
        <f t="shared" si="327"/>
        <v>56015642.483825237</v>
      </c>
      <c r="AF111" s="1118">
        <f t="shared" si="349"/>
        <v>24657869.813631494</v>
      </c>
      <c r="AG111" s="1118">
        <f t="shared" si="350"/>
        <v>14558035.623982832</v>
      </c>
      <c r="AH111" s="1118">
        <f>VLOOKUP($E111,AE$442:AH$453,4,FALSE)*AE111*($K111)+(AE111-AF111-AG111)*(1-$K111)</f>
        <v>16799737.046210904</v>
      </c>
      <c r="AI111" s="1119"/>
      <c r="AM111" s="1117">
        <f t="shared" si="328"/>
        <v>56015642.483825237</v>
      </c>
      <c r="AN111" s="1118">
        <f t="shared" si="351"/>
        <v>24657869.813631494</v>
      </c>
      <c r="AO111" s="1118">
        <f t="shared" si="352"/>
        <v>14558035.623982832</v>
      </c>
      <c r="AP111" s="1118">
        <f>VLOOKUP($E111,AM$442:AP$453,4,FALSE)*AM111*($K111)+(AM111-AN111-AO111)*(1-$K111)</f>
        <v>16799737.046210904</v>
      </c>
      <c r="AQ111" s="1119"/>
      <c r="AU111" s="1117">
        <f t="shared" si="329"/>
        <v>56015642.483825237</v>
      </c>
      <c r="AV111" s="1118">
        <f t="shared" si="353"/>
        <v>24657869.813631494</v>
      </c>
      <c r="AW111" s="1118">
        <f t="shared" si="354"/>
        <v>14558035.623982832</v>
      </c>
      <c r="AX111" s="1118">
        <f>VLOOKUP($E111,AU$442:AX$453,4,FALSE)*AU111*($K111)+(AU111-AV111-AW111)*(1-$K111)</f>
        <v>16799737.046210904</v>
      </c>
      <c r="AY111" s="1119"/>
      <c r="BC111" s="1117">
        <f t="shared" si="330"/>
        <v>56015642.483825237</v>
      </c>
      <c r="BD111" s="1118">
        <f t="shared" si="355"/>
        <v>24657869.813631494</v>
      </c>
      <c r="BE111" s="1118">
        <f t="shared" si="356"/>
        <v>14558035.623982832</v>
      </c>
      <c r="BF111" s="1118">
        <f>VLOOKUP($E111,BC$442:BF$453,4,FALSE)*BC111*($K111)+(BC111-BD111-BE111)*(1-$K111)</f>
        <v>16799737.046210904</v>
      </c>
      <c r="BG111" s="1119"/>
      <c r="BK111" s="1117">
        <f t="shared" si="331"/>
        <v>56015642.483825237</v>
      </c>
      <c r="BL111" s="1118">
        <f t="shared" si="357"/>
        <v>24657869.813631494</v>
      </c>
      <c r="BM111" s="1118">
        <f t="shared" si="358"/>
        <v>14558035.623982832</v>
      </c>
      <c r="BN111" s="1118">
        <f>VLOOKUP($E111,BK$442:BN$453,4,FALSE)*BK111*($K111)+(BK111-BL111-BM111)*(1-$K111)</f>
        <v>16799737.046210904</v>
      </c>
      <c r="BO111" s="1119"/>
      <c r="BS111" s="1117">
        <f t="shared" si="332"/>
        <v>56015642.483825237</v>
      </c>
      <c r="BT111" s="1118">
        <f t="shared" si="359"/>
        <v>24657869.813631494</v>
      </c>
      <c r="BU111" s="1118">
        <f t="shared" si="360"/>
        <v>14558035.623982832</v>
      </c>
      <c r="BV111" s="1118">
        <f>VLOOKUP($E111,BS$442:BV$453,4,FALSE)*BS111*($K111)+(BS111-BT111-BU111)*(1-$K111)</f>
        <v>16799737.046210904</v>
      </c>
      <c r="BW111" s="1119"/>
      <c r="CA111" s="1117">
        <f t="shared" si="333"/>
        <v>56015642.483825237</v>
      </c>
      <c r="CB111" s="1118">
        <f t="shared" si="361"/>
        <v>24657869.813631494</v>
      </c>
      <c r="CC111" s="1118">
        <f t="shared" si="362"/>
        <v>14558035.623982832</v>
      </c>
      <c r="CD111" s="1118">
        <f>VLOOKUP($E111,CA$442:CD$453,4,FALSE)*CA111*($K111)+(CA111-CB111-CC111)*(1-$K111)</f>
        <v>16799737.046210904</v>
      </c>
      <c r="CE111" s="1119"/>
      <c r="CI111" s="1117">
        <f t="shared" si="334"/>
        <v>56015642.483825237</v>
      </c>
      <c r="CJ111" s="1118">
        <f t="shared" si="363"/>
        <v>24657869.813631494</v>
      </c>
      <c r="CK111" s="1118">
        <f t="shared" si="364"/>
        <v>14558035.623982832</v>
      </c>
      <c r="CL111" s="1118">
        <f>VLOOKUP($E111,CI$442:CL$453,4,FALSE)*CI111*($K111)+(CI111-CJ111-CK111)*(1-$K111)</f>
        <v>16799737.046210904</v>
      </c>
      <c r="CM111" s="1119"/>
      <c r="CQ111" s="1117">
        <f t="shared" si="335"/>
        <v>56015642.483825237</v>
      </c>
      <c r="CR111" s="1118">
        <f t="shared" si="365"/>
        <v>24657869.813631494</v>
      </c>
      <c r="CS111" s="1118">
        <f t="shared" si="366"/>
        <v>14558035.623982832</v>
      </c>
      <c r="CT111" s="1118">
        <f>VLOOKUP($E111,CQ$442:CT$453,4,FALSE)*CQ111*($K111)+(CQ111-CR111-CS111)*(1-$K111)</f>
        <v>16799737.046210904</v>
      </c>
      <c r="CU111" s="1119"/>
      <c r="CY111" s="1117">
        <f t="shared" si="336"/>
        <v>56015642.483825237</v>
      </c>
      <c r="CZ111" s="1118">
        <f t="shared" si="367"/>
        <v>24657869.813631494</v>
      </c>
      <c r="DA111" s="1118">
        <f t="shared" si="368"/>
        <v>14558035.623982832</v>
      </c>
      <c r="DB111" s="1118">
        <f>VLOOKUP($E111,CY$442:DB$453,4,FALSE)*CY111*($K111)+(CY111-CZ111-DA111)*(1-$K111)</f>
        <v>16799737.046210904</v>
      </c>
      <c r="DC111" s="1119"/>
      <c r="DG111" s="1117">
        <f t="shared" si="337"/>
        <v>56015642.483825237</v>
      </c>
      <c r="DH111" s="1118">
        <f t="shared" si="369"/>
        <v>24657869.813631494</v>
      </c>
      <c r="DI111" s="1118">
        <f t="shared" si="370"/>
        <v>14558035.623982832</v>
      </c>
      <c r="DJ111" s="1118">
        <f>VLOOKUP($E111,DG$442:DJ$453,4,FALSE)*DG111*($K111)+(DG111-DH111-DI111)*(1-$K111)</f>
        <v>16799737.046210904</v>
      </c>
      <c r="DK111" s="1119"/>
      <c r="DO111" s="1117">
        <f t="shared" si="338"/>
        <v>56015642.483825237</v>
      </c>
      <c r="DP111" s="1118">
        <f t="shared" si="371"/>
        <v>24657869.813631494</v>
      </c>
      <c r="DQ111" s="1118">
        <f t="shared" si="372"/>
        <v>14558035.623982832</v>
      </c>
      <c r="DR111" s="1118">
        <f>VLOOKUP($E111,DO$442:DR$453,4,FALSE)*DO111*($K111)+(DO111-DP111-DQ111)*(1-$K111)</f>
        <v>16799737.046210904</v>
      </c>
      <c r="DS111" s="1119"/>
      <c r="DW111" s="1117">
        <f t="shared" si="339"/>
        <v>56015642.483825237</v>
      </c>
      <c r="DX111" s="1118">
        <f t="shared" si="373"/>
        <v>24657869.813631494</v>
      </c>
      <c r="DY111" s="1118">
        <f t="shared" si="374"/>
        <v>14558035.623982832</v>
      </c>
      <c r="DZ111" s="1118">
        <f>VLOOKUP($E111,DW$442:DZ$453,4,FALSE)*DW111*($K111)+(DW111-DX111-DY111)*(1-$K111)</f>
        <v>16799737.046210904</v>
      </c>
      <c r="EA111" s="1119"/>
      <c r="EE111" s="1117">
        <f t="shared" si="340"/>
        <v>56015642.483825237</v>
      </c>
      <c r="EF111" s="1118">
        <f t="shared" si="375"/>
        <v>24657869.813631494</v>
      </c>
      <c r="EG111" s="1118">
        <f t="shared" si="376"/>
        <v>14558035.623982832</v>
      </c>
      <c r="EH111" s="1118">
        <f>VLOOKUP($E111,EE$442:EH$453,4,FALSE)*EE111*($K111)+(EE111-EF111-EG111)*(1-$K111)</f>
        <v>16799737.046210904</v>
      </c>
      <c r="EI111" s="1119"/>
      <c r="EM111" s="1117">
        <f t="shared" si="341"/>
        <v>56015642.483825237</v>
      </c>
      <c r="EN111" s="1118">
        <f t="shared" si="377"/>
        <v>24657869.813631494</v>
      </c>
      <c r="EO111" s="1118">
        <f t="shared" si="378"/>
        <v>14558035.623982832</v>
      </c>
      <c r="EP111" s="1118">
        <f>VLOOKUP($E111,EM$442:EP$453,4,FALSE)*EM111*($K111)+(EM111-EN111-EO111)*(1-$K111)</f>
        <v>16799737.046210904</v>
      </c>
      <c r="EQ111" s="1119"/>
      <c r="EU111" s="1117">
        <f t="shared" si="342"/>
        <v>56015642.483825237</v>
      </c>
      <c r="EV111" s="1118">
        <f t="shared" si="379"/>
        <v>24657869.813631494</v>
      </c>
      <c r="EW111" s="1118">
        <f t="shared" si="380"/>
        <v>14558035.623982832</v>
      </c>
      <c r="EX111" s="1118">
        <f>VLOOKUP($E111,EU$442:EX$453,4,FALSE)*EU111*($K111)+(EU111-EV111-EW111)*(1-$K111)</f>
        <v>16799737.046210904</v>
      </c>
      <c r="EY111" s="1119"/>
      <c r="FC111" s="1117">
        <f t="shared" si="343"/>
        <v>56015642.483825237</v>
      </c>
      <c r="FD111" s="1118">
        <f t="shared" si="381"/>
        <v>24657869.813631494</v>
      </c>
      <c r="FE111" s="1118">
        <f t="shared" si="382"/>
        <v>14558035.623982832</v>
      </c>
      <c r="FF111" s="1118">
        <f>VLOOKUP($E111,FC$442:FF$453,4,FALSE)*FC111*($K111)+(FC111-FD111-FE111)*(1-$K111)</f>
        <v>16799737.046210904</v>
      </c>
      <c r="FG111" s="1119"/>
      <c r="FK111" s="1117">
        <f t="shared" si="344"/>
        <v>56015642.483825237</v>
      </c>
      <c r="FL111" s="1118">
        <f t="shared" si="383"/>
        <v>24657869.813631494</v>
      </c>
      <c r="FM111" s="1118">
        <f t="shared" si="384"/>
        <v>14558035.623982832</v>
      </c>
      <c r="FN111" s="1118">
        <f>VLOOKUP($E111,FK$442:FN$453,4,FALSE)*FK111*($K111)+(FK111-FL111-FM111)*(1-$K111)</f>
        <v>16799737.046210904</v>
      </c>
      <c r="FO111" s="1119"/>
    </row>
    <row r="112" spans="1:171" x14ac:dyDescent="0.25">
      <c r="A112" s="1421"/>
      <c r="B112" s="79" t="s">
        <v>9</v>
      </c>
      <c r="C112" s="889" t="s">
        <v>78</v>
      </c>
      <c r="D112" s="889">
        <v>175</v>
      </c>
      <c r="E112" s="182" t="str">
        <f>'Sch 1- Rate Base '!E112</f>
        <v>DIST</v>
      </c>
      <c r="F112" s="890"/>
      <c r="G112" s="182">
        <f>'Sch 1- Rate Base '!G112</f>
        <v>7016382.5368689988</v>
      </c>
      <c r="H112" s="182">
        <f>'Sch 1- Rate Base '!H112</f>
        <v>0</v>
      </c>
      <c r="I112" s="182">
        <f>'Sch 1- Rate Base '!I112</f>
        <v>0</v>
      </c>
      <c r="J112" s="1422">
        <f>'Sch 1- Rate Base '!J112</f>
        <v>7016382.5368689988</v>
      </c>
      <c r="K112" s="904">
        <f t="shared" si="244"/>
        <v>1</v>
      </c>
      <c r="O112" s="1117">
        <f t="shared" si="325"/>
        <v>7016382.5368689988</v>
      </c>
      <c r="P112" s="1118">
        <f t="shared" si="345"/>
        <v>0</v>
      </c>
      <c r="Q112" s="1118">
        <f t="shared" si="346"/>
        <v>0</v>
      </c>
      <c r="R112" s="1118">
        <f>VLOOKUP($E112,O$442:R$453,4,FALSE)*O112*($K112)+(O112-P112-Q112)*(1-$K112)</f>
        <v>7016382.5368689988</v>
      </c>
      <c r="S112" s="1119"/>
      <c r="W112" s="1117">
        <f t="shared" si="326"/>
        <v>7016382.5368689988</v>
      </c>
      <c r="X112" s="1118">
        <f t="shared" si="347"/>
        <v>0</v>
      </c>
      <c r="Y112" s="1118">
        <f t="shared" si="348"/>
        <v>0</v>
      </c>
      <c r="Z112" s="1118">
        <f>VLOOKUP($E112,W$442:Z$453,4,FALSE)*W112*($K112)+(W112-X112-Y112)*(1-$K112)</f>
        <v>7016382.5368689988</v>
      </c>
      <c r="AA112" s="1119"/>
      <c r="AE112" s="1117">
        <f t="shared" si="327"/>
        <v>7016382.5368689988</v>
      </c>
      <c r="AF112" s="1118">
        <f t="shared" si="349"/>
        <v>0</v>
      </c>
      <c r="AG112" s="1118">
        <f t="shared" si="350"/>
        <v>0</v>
      </c>
      <c r="AH112" s="1118">
        <f>VLOOKUP($E112,AE$442:AH$453,4,FALSE)*AE112*($K112)+(AE112-AF112-AG112)*(1-$K112)</f>
        <v>7016382.5368689988</v>
      </c>
      <c r="AI112" s="1119"/>
      <c r="AM112" s="1117">
        <f t="shared" si="328"/>
        <v>7016382.5368689988</v>
      </c>
      <c r="AN112" s="1118">
        <f t="shared" si="351"/>
        <v>0</v>
      </c>
      <c r="AO112" s="1118">
        <f t="shared" si="352"/>
        <v>0</v>
      </c>
      <c r="AP112" s="1118">
        <f>VLOOKUP($E112,AM$442:AP$453,4,FALSE)*AM112*($K112)+(AM112-AN112-AO112)*(1-$K112)</f>
        <v>7016382.5368689988</v>
      </c>
      <c r="AQ112" s="1119"/>
      <c r="AU112" s="1117">
        <f t="shared" si="329"/>
        <v>7016382.5368689988</v>
      </c>
      <c r="AV112" s="1118">
        <f t="shared" si="353"/>
        <v>0</v>
      </c>
      <c r="AW112" s="1118">
        <f t="shared" si="354"/>
        <v>0</v>
      </c>
      <c r="AX112" s="1118">
        <f>VLOOKUP($E112,AU$442:AX$453,4,FALSE)*AU112*($K112)+(AU112-AV112-AW112)*(1-$K112)</f>
        <v>7016382.5368689988</v>
      </c>
      <c r="AY112" s="1119"/>
      <c r="BC112" s="1117">
        <f t="shared" si="330"/>
        <v>7016382.5368689988</v>
      </c>
      <c r="BD112" s="1118">
        <f t="shared" si="355"/>
        <v>0</v>
      </c>
      <c r="BE112" s="1118">
        <f t="shared" si="356"/>
        <v>0</v>
      </c>
      <c r="BF112" s="1118">
        <f>VLOOKUP($E112,BC$442:BF$453,4,FALSE)*BC112*($K112)+(BC112-BD112-BE112)*(1-$K112)</f>
        <v>7016382.5368689988</v>
      </c>
      <c r="BG112" s="1119"/>
      <c r="BK112" s="1117">
        <f t="shared" si="331"/>
        <v>7016382.5368689988</v>
      </c>
      <c r="BL112" s="1118">
        <f t="shared" si="357"/>
        <v>0</v>
      </c>
      <c r="BM112" s="1118">
        <f t="shared" si="358"/>
        <v>0</v>
      </c>
      <c r="BN112" s="1118">
        <f>VLOOKUP($E112,BK$442:BN$453,4,FALSE)*BK112*($K112)+(BK112-BL112-BM112)*(1-$K112)</f>
        <v>7016382.5368689988</v>
      </c>
      <c r="BO112" s="1119"/>
      <c r="BS112" s="1117">
        <f t="shared" si="332"/>
        <v>7016382.5368689988</v>
      </c>
      <c r="BT112" s="1118">
        <f t="shared" si="359"/>
        <v>0</v>
      </c>
      <c r="BU112" s="1118">
        <f t="shared" si="360"/>
        <v>0</v>
      </c>
      <c r="BV112" s="1118">
        <f>VLOOKUP($E112,BS$442:BV$453,4,FALSE)*BS112*($K112)+(BS112-BT112-BU112)*(1-$K112)</f>
        <v>7016382.5368689988</v>
      </c>
      <c r="BW112" s="1119"/>
      <c r="CA112" s="1117">
        <f t="shared" si="333"/>
        <v>7016382.5368689988</v>
      </c>
      <c r="CB112" s="1118">
        <f t="shared" si="361"/>
        <v>0</v>
      </c>
      <c r="CC112" s="1118">
        <f t="shared" si="362"/>
        <v>0</v>
      </c>
      <c r="CD112" s="1118">
        <f>VLOOKUP($E112,CA$442:CD$453,4,FALSE)*CA112*($K112)+(CA112-CB112-CC112)*(1-$K112)</f>
        <v>7016382.5368689988</v>
      </c>
      <c r="CE112" s="1119"/>
      <c r="CI112" s="1117">
        <f t="shared" si="334"/>
        <v>7016382.5368689988</v>
      </c>
      <c r="CJ112" s="1118">
        <f t="shared" si="363"/>
        <v>0</v>
      </c>
      <c r="CK112" s="1118">
        <f t="shared" si="364"/>
        <v>0</v>
      </c>
      <c r="CL112" s="1118">
        <f>VLOOKUP($E112,CI$442:CL$453,4,FALSE)*CI112*($K112)+(CI112-CJ112-CK112)*(1-$K112)</f>
        <v>7016382.5368689988</v>
      </c>
      <c r="CM112" s="1119"/>
      <c r="CQ112" s="1117">
        <f t="shared" si="335"/>
        <v>7016382.5368689988</v>
      </c>
      <c r="CR112" s="1118">
        <f t="shared" si="365"/>
        <v>0</v>
      </c>
      <c r="CS112" s="1118">
        <f t="shared" si="366"/>
        <v>0</v>
      </c>
      <c r="CT112" s="1118">
        <f>VLOOKUP($E112,CQ$442:CT$453,4,FALSE)*CQ112*($K112)+(CQ112-CR112-CS112)*(1-$K112)</f>
        <v>7016382.5368689988</v>
      </c>
      <c r="CU112" s="1119"/>
      <c r="CY112" s="1117">
        <f t="shared" si="336"/>
        <v>7016382.5368689988</v>
      </c>
      <c r="CZ112" s="1118">
        <f t="shared" si="367"/>
        <v>0</v>
      </c>
      <c r="DA112" s="1118">
        <f t="shared" si="368"/>
        <v>0</v>
      </c>
      <c r="DB112" s="1118">
        <f>VLOOKUP($E112,CY$442:DB$453,4,FALSE)*CY112*($K112)+(CY112-CZ112-DA112)*(1-$K112)</f>
        <v>7016382.5368689988</v>
      </c>
      <c r="DC112" s="1119"/>
      <c r="DG112" s="1117">
        <f t="shared" si="337"/>
        <v>7016382.5368689988</v>
      </c>
      <c r="DH112" s="1118">
        <f t="shared" si="369"/>
        <v>0</v>
      </c>
      <c r="DI112" s="1118">
        <f t="shared" si="370"/>
        <v>0</v>
      </c>
      <c r="DJ112" s="1118">
        <f>VLOOKUP($E112,DG$442:DJ$453,4,FALSE)*DG112*($K112)+(DG112-DH112-DI112)*(1-$K112)</f>
        <v>7016382.5368689988</v>
      </c>
      <c r="DK112" s="1119"/>
      <c r="DO112" s="1117">
        <f t="shared" si="338"/>
        <v>7016382.5368689988</v>
      </c>
      <c r="DP112" s="1118">
        <f t="shared" si="371"/>
        <v>0</v>
      </c>
      <c r="DQ112" s="1118">
        <f t="shared" si="372"/>
        <v>0</v>
      </c>
      <c r="DR112" s="1118">
        <f>VLOOKUP($E112,DO$442:DR$453,4,FALSE)*DO112*($K112)+(DO112-DP112-DQ112)*(1-$K112)</f>
        <v>7016382.5368689988</v>
      </c>
      <c r="DS112" s="1119"/>
      <c r="DW112" s="1117">
        <f t="shared" si="339"/>
        <v>7016382.5368689988</v>
      </c>
      <c r="DX112" s="1118">
        <f t="shared" si="373"/>
        <v>0</v>
      </c>
      <c r="DY112" s="1118">
        <f t="shared" si="374"/>
        <v>0</v>
      </c>
      <c r="DZ112" s="1118">
        <f>VLOOKUP($E112,DW$442:DZ$453,4,FALSE)*DW112*($K112)+(DW112-DX112-DY112)*(1-$K112)</f>
        <v>7016382.5368689988</v>
      </c>
      <c r="EA112" s="1119"/>
      <c r="EE112" s="1117">
        <f t="shared" si="340"/>
        <v>7016382.5368689988</v>
      </c>
      <c r="EF112" s="1118">
        <f t="shared" si="375"/>
        <v>0</v>
      </c>
      <c r="EG112" s="1118">
        <f t="shared" si="376"/>
        <v>0</v>
      </c>
      <c r="EH112" s="1118">
        <f>VLOOKUP($E112,EE$442:EH$453,4,FALSE)*EE112*($K112)+(EE112-EF112-EG112)*(1-$K112)</f>
        <v>7016382.5368689988</v>
      </c>
      <c r="EI112" s="1119"/>
      <c r="EM112" s="1117">
        <f t="shared" si="341"/>
        <v>7016382.5368689988</v>
      </c>
      <c r="EN112" s="1118">
        <f t="shared" si="377"/>
        <v>0</v>
      </c>
      <c r="EO112" s="1118">
        <f t="shared" si="378"/>
        <v>0</v>
      </c>
      <c r="EP112" s="1118">
        <f>VLOOKUP($E112,EM$442:EP$453,4,FALSE)*EM112*($K112)+(EM112-EN112-EO112)*(1-$K112)</f>
        <v>7016382.5368689988</v>
      </c>
      <c r="EQ112" s="1119"/>
      <c r="EU112" s="1117">
        <f t="shared" si="342"/>
        <v>7016382.5368689988</v>
      </c>
      <c r="EV112" s="1118">
        <f t="shared" si="379"/>
        <v>0</v>
      </c>
      <c r="EW112" s="1118">
        <f t="shared" si="380"/>
        <v>0</v>
      </c>
      <c r="EX112" s="1118">
        <f>VLOOKUP($E112,EU$442:EX$453,4,FALSE)*EU112*($K112)+(EU112-EV112-EW112)*(1-$K112)</f>
        <v>7016382.5368689988</v>
      </c>
      <c r="EY112" s="1119"/>
      <c r="FC112" s="1117">
        <f t="shared" si="343"/>
        <v>7016382.5368689988</v>
      </c>
      <c r="FD112" s="1118">
        <f t="shared" si="381"/>
        <v>0</v>
      </c>
      <c r="FE112" s="1118">
        <f t="shared" si="382"/>
        <v>0</v>
      </c>
      <c r="FF112" s="1118">
        <f>VLOOKUP($E112,FC$442:FF$453,4,FALSE)*FC112*($K112)+(FC112-FD112-FE112)*(1-$K112)</f>
        <v>7016382.5368689988</v>
      </c>
      <c r="FG112" s="1119"/>
      <c r="FK112" s="1117">
        <f t="shared" si="344"/>
        <v>7016382.5368689988</v>
      </c>
      <c r="FL112" s="1118">
        <f t="shared" si="383"/>
        <v>0</v>
      </c>
      <c r="FM112" s="1118">
        <f t="shared" si="384"/>
        <v>0</v>
      </c>
      <c r="FN112" s="1118">
        <f>VLOOKUP($E112,FK$442:FN$453,4,FALSE)*FK112*($K112)+(FK112-FL112-FM112)*(1-$K112)</f>
        <v>7016382.5368689988</v>
      </c>
      <c r="FO112" s="1119"/>
    </row>
    <row r="113" spans="1:171" x14ac:dyDescent="0.25">
      <c r="A113" s="1421"/>
      <c r="B113" s="79" t="s">
        <v>622</v>
      </c>
      <c r="C113" s="889" t="s">
        <v>255</v>
      </c>
      <c r="D113" s="889">
        <v>175</v>
      </c>
      <c r="E113" s="182" t="str">
        <f>'Sch 1- Rate Base '!E113</f>
        <v>DIST</v>
      </c>
      <c r="F113" s="890"/>
      <c r="G113" s="182">
        <f>'Sch 1- Rate Base '!G113</f>
        <v>882802.55718482344</v>
      </c>
      <c r="H113" s="182">
        <f>'Sch 1- Rate Base '!H113</f>
        <v>0</v>
      </c>
      <c r="I113" s="182">
        <f>'Sch 1- Rate Base '!I113</f>
        <v>0</v>
      </c>
      <c r="J113" s="1422">
        <f>'Sch 1- Rate Base '!J113</f>
        <v>882802.55718482344</v>
      </c>
      <c r="K113" s="904">
        <f t="shared" si="244"/>
        <v>1</v>
      </c>
      <c r="O113" s="1117">
        <f t="shared" si="325"/>
        <v>882802.55718482344</v>
      </c>
      <c r="P113" s="1118">
        <f t="shared" si="345"/>
        <v>0</v>
      </c>
      <c r="Q113" s="1118">
        <f t="shared" si="346"/>
        <v>0</v>
      </c>
      <c r="R113" s="1118">
        <f>VLOOKUP($E113,O$442:R$453,4,FALSE)*O113*($K113)+(O113-P113-Q113)*(1-$K113)</f>
        <v>882802.55718482344</v>
      </c>
      <c r="S113" s="1119"/>
      <c r="W113" s="1117">
        <f t="shared" si="326"/>
        <v>882802.55718482344</v>
      </c>
      <c r="X113" s="1118">
        <f t="shared" si="347"/>
        <v>0</v>
      </c>
      <c r="Y113" s="1118">
        <f t="shared" si="348"/>
        <v>0</v>
      </c>
      <c r="Z113" s="1118">
        <f>VLOOKUP($E113,W$442:Z$453,4,FALSE)*W113*($K113)+(W113-X113-Y113)*(1-$K113)</f>
        <v>882802.55718482344</v>
      </c>
      <c r="AA113" s="1119"/>
      <c r="AE113" s="1117">
        <f t="shared" si="327"/>
        <v>882802.55718482344</v>
      </c>
      <c r="AF113" s="1118">
        <f t="shared" si="349"/>
        <v>0</v>
      </c>
      <c r="AG113" s="1118">
        <f t="shared" si="350"/>
        <v>0</v>
      </c>
      <c r="AH113" s="1118">
        <f>VLOOKUP($E113,AE$442:AH$453,4,FALSE)*AE113*($K113)+(AE113-AF113-AG113)*(1-$K113)</f>
        <v>882802.55718482344</v>
      </c>
      <c r="AI113" s="1119"/>
      <c r="AM113" s="1117">
        <f t="shared" si="328"/>
        <v>882802.55718482344</v>
      </c>
      <c r="AN113" s="1118">
        <f t="shared" si="351"/>
        <v>0</v>
      </c>
      <c r="AO113" s="1118">
        <f t="shared" si="352"/>
        <v>0</v>
      </c>
      <c r="AP113" s="1118">
        <f>VLOOKUP($E113,AM$442:AP$453,4,FALSE)*AM113*($K113)+(AM113-AN113-AO113)*(1-$K113)</f>
        <v>882802.55718482344</v>
      </c>
      <c r="AQ113" s="1119"/>
      <c r="AU113" s="1117">
        <f t="shared" si="329"/>
        <v>882802.55718482344</v>
      </c>
      <c r="AV113" s="1118">
        <f t="shared" si="353"/>
        <v>0</v>
      </c>
      <c r="AW113" s="1118">
        <f t="shared" si="354"/>
        <v>0</v>
      </c>
      <c r="AX113" s="1118">
        <f>VLOOKUP($E113,AU$442:AX$453,4,FALSE)*AU113*($K113)+(AU113-AV113-AW113)*(1-$K113)</f>
        <v>882802.55718482344</v>
      </c>
      <c r="AY113" s="1119"/>
      <c r="BC113" s="1117">
        <f t="shared" si="330"/>
        <v>882802.55718482344</v>
      </c>
      <c r="BD113" s="1118">
        <f t="shared" si="355"/>
        <v>0</v>
      </c>
      <c r="BE113" s="1118">
        <f t="shared" si="356"/>
        <v>0</v>
      </c>
      <c r="BF113" s="1118">
        <f>VLOOKUP($E113,BC$442:BF$453,4,FALSE)*BC113*($K113)+(BC113-BD113-BE113)*(1-$K113)</f>
        <v>882802.55718482344</v>
      </c>
      <c r="BG113" s="1119"/>
      <c r="BK113" s="1117">
        <f t="shared" si="331"/>
        <v>882802.55718482344</v>
      </c>
      <c r="BL113" s="1118">
        <f t="shared" si="357"/>
        <v>0</v>
      </c>
      <c r="BM113" s="1118">
        <f t="shared" si="358"/>
        <v>0</v>
      </c>
      <c r="BN113" s="1118">
        <f>VLOOKUP($E113,BK$442:BN$453,4,FALSE)*BK113*($K113)+(BK113-BL113-BM113)*(1-$K113)</f>
        <v>882802.55718482344</v>
      </c>
      <c r="BO113" s="1119"/>
      <c r="BS113" s="1117">
        <f t="shared" si="332"/>
        <v>882802.55718482344</v>
      </c>
      <c r="BT113" s="1118">
        <f t="shared" si="359"/>
        <v>0</v>
      </c>
      <c r="BU113" s="1118">
        <f t="shared" si="360"/>
        <v>0</v>
      </c>
      <c r="BV113" s="1118">
        <f>VLOOKUP($E113,BS$442:BV$453,4,FALSE)*BS113*($K113)+(BS113-BT113-BU113)*(1-$K113)</f>
        <v>882802.55718482344</v>
      </c>
      <c r="BW113" s="1119"/>
      <c r="CA113" s="1117">
        <f t="shared" si="333"/>
        <v>882802.55718482344</v>
      </c>
      <c r="CB113" s="1118">
        <f t="shared" si="361"/>
        <v>0</v>
      </c>
      <c r="CC113" s="1118">
        <f t="shared" si="362"/>
        <v>0</v>
      </c>
      <c r="CD113" s="1118">
        <f>VLOOKUP($E113,CA$442:CD$453,4,FALSE)*CA113*($K113)+(CA113-CB113-CC113)*(1-$K113)</f>
        <v>882802.55718482344</v>
      </c>
      <c r="CE113" s="1119"/>
      <c r="CI113" s="1117">
        <f t="shared" si="334"/>
        <v>882802.55718482344</v>
      </c>
      <c r="CJ113" s="1118">
        <f t="shared" si="363"/>
        <v>0</v>
      </c>
      <c r="CK113" s="1118">
        <f t="shared" si="364"/>
        <v>0</v>
      </c>
      <c r="CL113" s="1118">
        <f>VLOOKUP($E113,CI$442:CL$453,4,FALSE)*CI113*($K113)+(CI113-CJ113-CK113)*(1-$K113)</f>
        <v>882802.55718482344</v>
      </c>
      <c r="CM113" s="1119"/>
      <c r="CQ113" s="1117">
        <f t="shared" si="335"/>
        <v>882802.55718482344</v>
      </c>
      <c r="CR113" s="1118">
        <f t="shared" si="365"/>
        <v>0</v>
      </c>
      <c r="CS113" s="1118">
        <f t="shared" si="366"/>
        <v>0</v>
      </c>
      <c r="CT113" s="1118">
        <f>VLOOKUP($E113,CQ$442:CT$453,4,FALSE)*CQ113*($K113)+(CQ113-CR113-CS113)*(1-$K113)</f>
        <v>882802.55718482344</v>
      </c>
      <c r="CU113" s="1119"/>
      <c r="CY113" s="1117">
        <f t="shared" si="336"/>
        <v>882802.55718482344</v>
      </c>
      <c r="CZ113" s="1118">
        <f t="shared" si="367"/>
        <v>0</v>
      </c>
      <c r="DA113" s="1118">
        <f t="shared" si="368"/>
        <v>0</v>
      </c>
      <c r="DB113" s="1118">
        <f>VLOOKUP($E113,CY$442:DB$453,4,FALSE)*CY113*($K113)+(CY113-CZ113-DA113)*(1-$K113)</f>
        <v>882802.55718482344</v>
      </c>
      <c r="DC113" s="1119"/>
      <c r="DG113" s="1117">
        <f t="shared" si="337"/>
        <v>882802.55718482344</v>
      </c>
      <c r="DH113" s="1118">
        <f t="shared" si="369"/>
        <v>0</v>
      </c>
      <c r="DI113" s="1118">
        <f t="shared" si="370"/>
        <v>0</v>
      </c>
      <c r="DJ113" s="1118">
        <f>VLOOKUP($E113,DG$442:DJ$453,4,FALSE)*DG113*($K113)+(DG113-DH113-DI113)*(1-$K113)</f>
        <v>882802.55718482344</v>
      </c>
      <c r="DK113" s="1119"/>
      <c r="DO113" s="1117">
        <f t="shared" si="338"/>
        <v>882802.55718482344</v>
      </c>
      <c r="DP113" s="1118">
        <f t="shared" si="371"/>
        <v>0</v>
      </c>
      <c r="DQ113" s="1118">
        <f t="shared" si="372"/>
        <v>0</v>
      </c>
      <c r="DR113" s="1118">
        <f>VLOOKUP($E113,DO$442:DR$453,4,FALSE)*DO113*($K113)+(DO113-DP113-DQ113)*(1-$K113)</f>
        <v>882802.55718482344</v>
      </c>
      <c r="DS113" s="1119"/>
      <c r="DW113" s="1117">
        <f t="shared" si="339"/>
        <v>882802.55718482344</v>
      </c>
      <c r="DX113" s="1118">
        <f t="shared" si="373"/>
        <v>0</v>
      </c>
      <c r="DY113" s="1118">
        <f t="shared" si="374"/>
        <v>0</v>
      </c>
      <c r="DZ113" s="1118">
        <f>VLOOKUP($E113,DW$442:DZ$453,4,FALSE)*DW113*($K113)+(DW113-DX113-DY113)*(1-$K113)</f>
        <v>882802.55718482344</v>
      </c>
      <c r="EA113" s="1119"/>
      <c r="EE113" s="1117">
        <f t="shared" si="340"/>
        <v>882802.55718482344</v>
      </c>
      <c r="EF113" s="1118">
        <f t="shared" si="375"/>
        <v>0</v>
      </c>
      <c r="EG113" s="1118">
        <f t="shared" si="376"/>
        <v>0</v>
      </c>
      <c r="EH113" s="1118">
        <f>VLOOKUP($E113,EE$442:EH$453,4,FALSE)*EE113*($K113)+(EE113-EF113-EG113)*(1-$K113)</f>
        <v>882802.55718482344</v>
      </c>
      <c r="EI113" s="1119"/>
      <c r="EM113" s="1117">
        <f t="shared" si="341"/>
        <v>882802.55718482344</v>
      </c>
      <c r="EN113" s="1118">
        <f t="shared" si="377"/>
        <v>0</v>
      </c>
      <c r="EO113" s="1118">
        <f t="shared" si="378"/>
        <v>0</v>
      </c>
      <c r="EP113" s="1118">
        <f>VLOOKUP($E113,EM$442:EP$453,4,FALSE)*EM113*($K113)+(EM113-EN113-EO113)*(1-$K113)</f>
        <v>882802.55718482344</v>
      </c>
      <c r="EQ113" s="1119"/>
      <c r="EU113" s="1117">
        <f t="shared" si="342"/>
        <v>882802.55718482344</v>
      </c>
      <c r="EV113" s="1118">
        <f t="shared" si="379"/>
        <v>0</v>
      </c>
      <c r="EW113" s="1118">
        <f t="shared" si="380"/>
        <v>0</v>
      </c>
      <c r="EX113" s="1118">
        <f>VLOOKUP($E113,EU$442:EX$453,4,FALSE)*EU113*($K113)+(EU113-EV113-EW113)*(1-$K113)</f>
        <v>882802.55718482344</v>
      </c>
      <c r="EY113" s="1119"/>
      <c r="FC113" s="1117">
        <f t="shared" si="343"/>
        <v>882802.55718482344</v>
      </c>
      <c r="FD113" s="1118">
        <f t="shared" si="381"/>
        <v>0</v>
      </c>
      <c r="FE113" s="1118">
        <f t="shared" si="382"/>
        <v>0</v>
      </c>
      <c r="FF113" s="1118">
        <f>VLOOKUP($E113,FC$442:FF$453,4,FALSE)*FC113*($K113)+(FC113-FD113-FE113)*(1-$K113)</f>
        <v>882802.55718482344</v>
      </c>
      <c r="FG113" s="1119"/>
      <c r="FK113" s="1117">
        <f t="shared" si="344"/>
        <v>882802.55718482344</v>
      </c>
      <c r="FL113" s="1118">
        <f t="shared" si="383"/>
        <v>0</v>
      </c>
      <c r="FM113" s="1118">
        <f t="shared" si="384"/>
        <v>0</v>
      </c>
      <c r="FN113" s="1118">
        <f>VLOOKUP($E113,FK$442:FN$453,4,FALSE)*FK113*($K113)+(FK113-FL113-FM113)*(1-$K113)</f>
        <v>882802.55718482344</v>
      </c>
      <c r="FO113" s="1119"/>
    </row>
    <row r="114" spans="1:171" x14ac:dyDescent="0.25">
      <c r="A114" s="1421"/>
      <c r="B114" s="79" t="s">
        <v>334</v>
      </c>
      <c r="C114" s="955" t="s">
        <v>78</v>
      </c>
      <c r="D114" s="955">
        <v>176</v>
      </c>
      <c r="E114" s="182" t="str">
        <f>'Sch 1- Rate Base '!E114</f>
        <v>DIST</v>
      </c>
      <c r="F114" s="890"/>
      <c r="G114" s="182">
        <f>'Sch 1- Rate Base '!G114</f>
        <v>0</v>
      </c>
      <c r="H114" s="182">
        <f>'Sch 1- Rate Base '!H114</f>
        <v>0</v>
      </c>
      <c r="I114" s="182">
        <f>'Sch 1- Rate Base '!I114</f>
        <v>0</v>
      </c>
      <c r="J114" s="1422">
        <f>'Sch 1- Rate Base '!J114</f>
        <v>0</v>
      </c>
      <c r="K114" s="904">
        <f t="shared" si="244"/>
        <v>1</v>
      </c>
      <c r="O114" s="1117">
        <f t="shared" si="325"/>
        <v>0</v>
      </c>
      <c r="P114" s="1118">
        <f t="shared" si="345"/>
        <v>0</v>
      </c>
      <c r="Q114" s="1118">
        <f t="shared" si="346"/>
        <v>0</v>
      </c>
      <c r="R114" s="1118">
        <f>VLOOKUP($E114,O$442:R$453,4,FALSE)*O114*($K114)+(O114-P114-Q114)*(1-$K114)</f>
        <v>0</v>
      </c>
      <c r="S114" s="1119"/>
      <c r="W114" s="1117">
        <f t="shared" si="326"/>
        <v>0</v>
      </c>
      <c r="X114" s="1118">
        <f t="shared" si="347"/>
        <v>0</v>
      </c>
      <c r="Y114" s="1118">
        <f t="shared" si="348"/>
        <v>0</v>
      </c>
      <c r="Z114" s="1118">
        <f>VLOOKUP($E114,W$442:Z$453,4,FALSE)*W114*($K114)+(W114-X114-Y114)*(1-$K114)</f>
        <v>0</v>
      </c>
      <c r="AA114" s="1119"/>
      <c r="AE114" s="1117">
        <f t="shared" si="327"/>
        <v>0</v>
      </c>
      <c r="AF114" s="1118">
        <f t="shared" si="349"/>
        <v>0</v>
      </c>
      <c r="AG114" s="1118">
        <f t="shared" si="350"/>
        <v>0</v>
      </c>
      <c r="AH114" s="1118">
        <f>VLOOKUP($E114,AE$442:AH$453,4,FALSE)*AE114*($K114)+(AE114-AF114-AG114)*(1-$K114)</f>
        <v>0</v>
      </c>
      <c r="AI114" s="1119"/>
      <c r="AM114" s="1117">
        <f t="shared" si="328"/>
        <v>0</v>
      </c>
      <c r="AN114" s="1118">
        <f t="shared" si="351"/>
        <v>0</v>
      </c>
      <c r="AO114" s="1118">
        <f t="shared" si="352"/>
        <v>0</v>
      </c>
      <c r="AP114" s="1118">
        <f>VLOOKUP($E114,AM$442:AP$453,4,FALSE)*AM114*($K114)+(AM114-AN114-AO114)*(1-$K114)</f>
        <v>0</v>
      </c>
      <c r="AQ114" s="1119"/>
      <c r="AU114" s="1117">
        <f t="shared" si="329"/>
        <v>0</v>
      </c>
      <c r="AV114" s="1118">
        <f t="shared" si="353"/>
        <v>0</v>
      </c>
      <c r="AW114" s="1118">
        <f t="shared" si="354"/>
        <v>0</v>
      </c>
      <c r="AX114" s="1118">
        <f>VLOOKUP($E114,AU$442:AX$453,4,FALSE)*AU114*($K114)+(AU114-AV114-AW114)*(1-$K114)</f>
        <v>0</v>
      </c>
      <c r="AY114" s="1119"/>
      <c r="BC114" s="1117">
        <f t="shared" si="330"/>
        <v>0</v>
      </c>
      <c r="BD114" s="1118">
        <f t="shared" si="355"/>
        <v>0</v>
      </c>
      <c r="BE114" s="1118">
        <f t="shared" si="356"/>
        <v>0</v>
      </c>
      <c r="BF114" s="1118">
        <f>VLOOKUP($E114,BC$442:BF$453,4,FALSE)*BC114*($K114)+(BC114-BD114-BE114)*(1-$K114)</f>
        <v>0</v>
      </c>
      <c r="BG114" s="1119"/>
      <c r="BK114" s="1117">
        <f t="shared" si="331"/>
        <v>0</v>
      </c>
      <c r="BL114" s="1118">
        <f t="shared" si="357"/>
        <v>0</v>
      </c>
      <c r="BM114" s="1118">
        <f t="shared" si="358"/>
        <v>0</v>
      </c>
      <c r="BN114" s="1118">
        <f>VLOOKUP($E114,BK$442:BN$453,4,FALSE)*BK114*($K114)+(BK114-BL114-BM114)*(1-$K114)</f>
        <v>0</v>
      </c>
      <c r="BO114" s="1119"/>
      <c r="BS114" s="1117">
        <f t="shared" si="332"/>
        <v>0</v>
      </c>
      <c r="BT114" s="1118">
        <f t="shared" si="359"/>
        <v>0</v>
      </c>
      <c r="BU114" s="1118">
        <f t="shared" si="360"/>
        <v>0</v>
      </c>
      <c r="BV114" s="1118">
        <f>VLOOKUP($E114,BS$442:BV$453,4,FALSE)*BS114*($K114)+(BS114-BT114-BU114)*(1-$K114)</f>
        <v>0</v>
      </c>
      <c r="BW114" s="1119"/>
      <c r="CA114" s="1117">
        <f t="shared" si="333"/>
        <v>0</v>
      </c>
      <c r="CB114" s="1118">
        <f t="shared" si="361"/>
        <v>0</v>
      </c>
      <c r="CC114" s="1118">
        <f t="shared" si="362"/>
        <v>0</v>
      </c>
      <c r="CD114" s="1118">
        <f>VLOOKUP($E114,CA$442:CD$453,4,FALSE)*CA114*($K114)+(CA114-CB114-CC114)*(1-$K114)</f>
        <v>0</v>
      </c>
      <c r="CE114" s="1119"/>
      <c r="CI114" s="1117">
        <f t="shared" si="334"/>
        <v>0</v>
      </c>
      <c r="CJ114" s="1118">
        <f t="shared" si="363"/>
        <v>0</v>
      </c>
      <c r="CK114" s="1118">
        <f t="shared" si="364"/>
        <v>0</v>
      </c>
      <c r="CL114" s="1118">
        <f>VLOOKUP($E114,CI$442:CL$453,4,FALSE)*CI114*($K114)+(CI114-CJ114-CK114)*(1-$K114)</f>
        <v>0</v>
      </c>
      <c r="CM114" s="1119"/>
      <c r="CQ114" s="1117">
        <f t="shared" si="335"/>
        <v>0</v>
      </c>
      <c r="CR114" s="1118">
        <f t="shared" si="365"/>
        <v>0</v>
      </c>
      <c r="CS114" s="1118">
        <f t="shared" si="366"/>
        <v>0</v>
      </c>
      <c r="CT114" s="1118">
        <f>VLOOKUP($E114,CQ$442:CT$453,4,FALSE)*CQ114*($K114)+(CQ114-CR114-CS114)*(1-$K114)</f>
        <v>0</v>
      </c>
      <c r="CU114" s="1119"/>
      <c r="CY114" s="1117">
        <f t="shared" si="336"/>
        <v>0</v>
      </c>
      <c r="CZ114" s="1118">
        <f t="shared" si="367"/>
        <v>0</v>
      </c>
      <c r="DA114" s="1118">
        <f t="shared" si="368"/>
        <v>0</v>
      </c>
      <c r="DB114" s="1118">
        <f>VLOOKUP($E114,CY$442:DB$453,4,FALSE)*CY114*($K114)+(CY114-CZ114-DA114)*(1-$K114)</f>
        <v>0</v>
      </c>
      <c r="DC114" s="1119"/>
      <c r="DG114" s="1117">
        <f t="shared" si="337"/>
        <v>0</v>
      </c>
      <c r="DH114" s="1118">
        <f t="shared" si="369"/>
        <v>0</v>
      </c>
      <c r="DI114" s="1118">
        <f t="shared" si="370"/>
        <v>0</v>
      </c>
      <c r="DJ114" s="1118">
        <f>VLOOKUP($E114,DG$442:DJ$453,4,FALSE)*DG114*($K114)+(DG114-DH114-DI114)*(1-$K114)</f>
        <v>0</v>
      </c>
      <c r="DK114" s="1119"/>
      <c r="DO114" s="1117">
        <f t="shared" si="338"/>
        <v>0</v>
      </c>
      <c r="DP114" s="1118">
        <f t="shared" si="371"/>
        <v>0</v>
      </c>
      <c r="DQ114" s="1118">
        <f t="shared" si="372"/>
        <v>0</v>
      </c>
      <c r="DR114" s="1118">
        <f>VLOOKUP($E114,DO$442:DR$453,4,FALSE)*DO114*($K114)+(DO114-DP114-DQ114)*(1-$K114)</f>
        <v>0</v>
      </c>
      <c r="DS114" s="1119"/>
      <c r="DW114" s="1117">
        <f t="shared" si="339"/>
        <v>0</v>
      </c>
      <c r="DX114" s="1118">
        <f t="shared" si="373"/>
        <v>0</v>
      </c>
      <c r="DY114" s="1118">
        <f t="shared" si="374"/>
        <v>0</v>
      </c>
      <c r="DZ114" s="1118">
        <f>VLOOKUP($E114,DW$442:DZ$453,4,FALSE)*DW114*($K114)+(DW114-DX114-DY114)*(1-$K114)</f>
        <v>0</v>
      </c>
      <c r="EA114" s="1119"/>
      <c r="EE114" s="1117">
        <f t="shared" si="340"/>
        <v>0</v>
      </c>
      <c r="EF114" s="1118">
        <f t="shared" si="375"/>
        <v>0</v>
      </c>
      <c r="EG114" s="1118">
        <f t="shared" si="376"/>
        <v>0</v>
      </c>
      <c r="EH114" s="1118">
        <f>VLOOKUP($E114,EE$442:EH$453,4,FALSE)*EE114*($K114)+(EE114-EF114-EG114)*(1-$K114)</f>
        <v>0</v>
      </c>
      <c r="EI114" s="1119"/>
      <c r="EM114" s="1117">
        <f t="shared" si="341"/>
        <v>0</v>
      </c>
      <c r="EN114" s="1118">
        <f t="shared" si="377"/>
        <v>0</v>
      </c>
      <c r="EO114" s="1118">
        <f t="shared" si="378"/>
        <v>0</v>
      </c>
      <c r="EP114" s="1118">
        <f>VLOOKUP($E114,EM$442:EP$453,4,FALSE)*EM114*($K114)+(EM114-EN114-EO114)*(1-$K114)</f>
        <v>0</v>
      </c>
      <c r="EQ114" s="1119"/>
      <c r="EU114" s="1117">
        <f t="shared" si="342"/>
        <v>0</v>
      </c>
      <c r="EV114" s="1118">
        <f t="shared" si="379"/>
        <v>0</v>
      </c>
      <c r="EW114" s="1118">
        <f t="shared" si="380"/>
        <v>0</v>
      </c>
      <c r="EX114" s="1118">
        <f>VLOOKUP($E114,EU$442:EX$453,4,FALSE)*EU114*($K114)+(EU114-EV114-EW114)*(1-$K114)</f>
        <v>0</v>
      </c>
      <c r="EY114" s="1119"/>
      <c r="FC114" s="1117">
        <f t="shared" si="343"/>
        <v>0</v>
      </c>
      <c r="FD114" s="1118">
        <f t="shared" si="381"/>
        <v>0</v>
      </c>
      <c r="FE114" s="1118">
        <f t="shared" si="382"/>
        <v>0</v>
      </c>
      <c r="FF114" s="1118">
        <f>VLOOKUP($E114,FC$442:FF$453,4,FALSE)*FC114*($K114)+(FC114-FD114-FE114)*(1-$K114)</f>
        <v>0</v>
      </c>
      <c r="FG114" s="1119"/>
      <c r="FK114" s="1117">
        <f t="shared" si="344"/>
        <v>0</v>
      </c>
      <c r="FL114" s="1118">
        <f t="shared" si="383"/>
        <v>0</v>
      </c>
      <c r="FM114" s="1118">
        <f t="shared" si="384"/>
        <v>0</v>
      </c>
      <c r="FN114" s="1118">
        <f>VLOOKUP($E114,FK$442:FN$453,4,FALSE)*FK114*($K114)+(FK114-FL114-FM114)*(1-$K114)</f>
        <v>0</v>
      </c>
      <c r="FO114" s="1119"/>
    </row>
    <row r="115" spans="1:171" x14ac:dyDescent="0.25">
      <c r="A115" s="1421"/>
      <c r="B115" s="79" t="s">
        <v>623</v>
      </c>
      <c r="C115" s="955" t="s">
        <v>255</v>
      </c>
      <c r="D115" s="955">
        <v>176</v>
      </c>
      <c r="E115" s="182" t="str">
        <f>'Sch 1- Rate Base '!E115</f>
        <v>DIST</v>
      </c>
      <c r="F115" s="890"/>
      <c r="G115" s="182">
        <f>'Sch 1- Rate Base '!G115</f>
        <v>0</v>
      </c>
      <c r="H115" s="182">
        <f>'Sch 1- Rate Base '!H115</f>
        <v>0</v>
      </c>
      <c r="I115" s="182">
        <f>'Sch 1- Rate Base '!I115</f>
        <v>0</v>
      </c>
      <c r="J115" s="1422">
        <f>'Sch 1- Rate Base '!J115</f>
        <v>0</v>
      </c>
      <c r="K115" s="904">
        <f t="shared" si="244"/>
        <v>1</v>
      </c>
      <c r="O115" s="1117">
        <f t="shared" si="325"/>
        <v>0</v>
      </c>
      <c r="P115" s="1118">
        <f t="shared" si="345"/>
        <v>0</v>
      </c>
      <c r="Q115" s="1118">
        <f t="shared" si="346"/>
        <v>0</v>
      </c>
      <c r="R115" s="1118">
        <f>VLOOKUP($E115,O$442:R$453,4,FALSE)*O115*($K115)+(O115-P115-Q115)*(1-$K115)</f>
        <v>0</v>
      </c>
      <c r="S115" s="1119"/>
      <c r="W115" s="1117">
        <f t="shared" si="326"/>
        <v>0</v>
      </c>
      <c r="X115" s="1118">
        <f t="shared" si="347"/>
        <v>0</v>
      </c>
      <c r="Y115" s="1118">
        <f t="shared" si="348"/>
        <v>0</v>
      </c>
      <c r="Z115" s="1118">
        <f>VLOOKUP($E115,W$442:Z$453,4,FALSE)*W115*($K115)+(W115-X115-Y115)*(1-$K115)</f>
        <v>0</v>
      </c>
      <c r="AA115" s="1119"/>
      <c r="AE115" s="1117">
        <f t="shared" si="327"/>
        <v>0</v>
      </c>
      <c r="AF115" s="1118">
        <f t="shared" si="349"/>
        <v>0</v>
      </c>
      <c r="AG115" s="1118">
        <f t="shared" si="350"/>
        <v>0</v>
      </c>
      <c r="AH115" s="1118">
        <f>VLOOKUP($E115,AE$442:AH$453,4,FALSE)*AE115*($K115)+(AE115-AF115-AG115)*(1-$K115)</f>
        <v>0</v>
      </c>
      <c r="AI115" s="1119"/>
      <c r="AM115" s="1117">
        <f t="shared" si="328"/>
        <v>0</v>
      </c>
      <c r="AN115" s="1118">
        <f t="shared" si="351"/>
        <v>0</v>
      </c>
      <c r="AO115" s="1118">
        <f t="shared" si="352"/>
        <v>0</v>
      </c>
      <c r="AP115" s="1118">
        <f>VLOOKUP($E115,AM$442:AP$453,4,FALSE)*AM115*($K115)+(AM115-AN115-AO115)*(1-$K115)</f>
        <v>0</v>
      </c>
      <c r="AQ115" s="1119"/>
      <c r="AU115" s="1117">
        <f t="shared" si="329"/>
        <v>0</v>
      </c>
      <c r="AV115" s="1118">
        <f t="shared" si="353"/>
        <v>0</v>
      </c>
      <c r="AW115" s="1118">
        <f t="shared" si="354"/>
        <v>0</v>
      </c>
      <c r="AX115" s="1118">
        <f>VLOOKUP($E115,AU$442:AX$453,4,FALSE)*AU115*($K115)+(AU115-AV115-AW115)*(1-$K115)</f>
        <v>0</v>
      </c>
      <c r="AY115" s="1119"/>
      <c r="BC115" s="1117">
        <f t="shared" si="330"/>
        <v>0</v>
      </c>
      <c r="BD115" s="1118">
        <f t="shared" si="355"/>
        <v>0</v>
      </c>
      <c r="BE115" s="1118">
        <f t="shared" si="356"/>
        <v>0</v>
      </c>
      <c r="BF115" s="1118">
        <f>VLOOKUP($E115,BC$442:BF$453,4,FALSE)*BC115*($K115)+(BC115-BD115-BE115)*(1-$K115)</f>
        <v>0</v>
      </c>
      <c r="BG115" s="1119"/>
      <c r="BK115" s="1117">
        <f t="shared" si="331"/>
        <v>0</v>
      </c>
      <c r="BL115" s="1118">
        <f t="shared" si="357"/>
        <v>0</v>
      </c>
      <c r="BM115" s="1118">
        <f t="shared" si="358"/>
        <v>0</v>
      </c>
      <c r="BN115" s="1118">
        <f>VLOOKUP($E115,BK$442:BN$453,4,FALSE)*BK115*($K115)+(BK115-BL115-BM115)*(1-$K115)</f>
        <v>0</v>
      </c>
      <c r="BO115" s="1119"/>
      <c r="BS115" s="1117">
        <f t="shared" si="332"/>
        <v>0</v>
      </c>
      <c r="BT115" s="1118">
        <f t="shared" si="359"/>
        <v>0</v>
      </c>
      <c r="BU115" s="1118">
        <f t="shared" si="360"/>
        <v>0</v>
      </c>
      <c r="BV115" s="1118">
        <f>VLOOKUP($E115,BS$442:BV$453,4,FALSE)*BS115*($K115)+(BS115-BT115-BU115)*(1-$K115)</f>
        <v>0</v>
      </c>
      <c r="BW115" s="1119"/>
      <c r="CA115" s="1117">
        <f t="shared" si="333"/>
        <v>0</v>
      </c>
      <c r="CB115" s="1118">
        <f t="shared" si="361"/>
        <v>0</v>
      </c>
      <c r="CC115" s="1118">
        <f t="shared" si="362"/>
        <v>0</v>
      </c>
      <c r="CD115" s="1118">
        <f>VLOOKUP($E115,CA$442:CD$453,4,FALSE)*CA115*($K115)+(CA115-CB115-CC115)*(1-$K115)</f>
        <v>0</v>
      </c>
      <c r="CE115" s="1119"/>
      <c r="CI115" s="1117">
        <f t="shared" si="334"/>
        <v>0</v>
      </c>
      <c r="CJ115" s="1118">
        <f t="shared" si="363"/>
        <v>0</v>
      </c>
      <c r="CK115" s="1118">
        <f t="shared" si="364"/>
        <v>0</v>
      </c>
      <c r="CL115" s="1118">
        <f>VLOOKUP($E115,CI$442:CL$453,4,FALSE)*CI115*($K115)+(CI115-CJ115-CK115)*(1-$K115)</f>
        <v>0</v>
      </c>
      <c r="CM115" s="1119"/>
      <c r="CQ115" s="1117">
        <f t="shared" si="335"/>
        <v>0</v>
      </c>
      <c r="CR115" s="1118">
        <f t="shared" si="365"/>
        <v>0</v>
      </c>
      <c r="CS115" s="1118">
        <f t="shared" si="366"/>
        <v>0</v>
      </c>
      <c r="CT115" s="1118">
        <f>VLOOKUP($E115,CQ$442:CT$453,4,FALSE)*CQ115*($K115)+(CQ115-CR115-CS115)*(1-$K115)</f>
        <v>0</v>
      </c>
      <c r="CU115" s="1119"/>
      <c r="CY115" s="1117">
        <f t="shared" si="336"/>
        <v>0</v>
      </c>
      <c r="CZ115" s="1118">
        <f t="shared" si="367"/>
        <v>0</v>
      </c>
      <c r="DA115" s="1118">
        <f t="shared" si="368"/>
        <v>0</v>
      </c>
      <c r="DB115" s="1118">
        <f>VLOOKUP($E115,CY$442:DB$453,4,FALSE)*CY115*($K115)+(CY115-CZ115-DA115)*(1-$K115)</f>
        <v>0</v>
      </c>
      <c r="DC115" s="1119"/>
      <c r="DG115" s="1117">
        <f t="shared" si="337"/>
        <v>0</v>
      </c>
      <c r="DH115" s="1118">
        <f t="shared" si="369"/>
        <v>0</v>
      </c>
      <c r="DI115" s="1118">
        <f t="shared" si="370"/>
        <v>0</v>
      </c>
      <c r="DJ115" s="1118">
        <f>VLOOKUP($E115,DG$442:DJ$453,4,FALSE)*DG115*($K115)+(DG115-DH115-DI115)*(1-$K115)</f>
        <v>0</v>
      </c>
      <c r="DK115" s="1119"/>
      <c r="DO115" s="1117">
        <f t="shared" si="338"/>
        <v>0</v>
      </c>
      <c r="DP115" s="1118">
        <f t="shared" si="371"/>
        <v>0</v>
      </c>
      <c r="DQ115" s="1118">
        <f t="shared" si="372"/>
        <v>0</v>
      </c>
      <c r="DR115" s="1118">
        <f>VLOOKUP($E115,DO$442:DR$453,4,FALSE)*DO115*($K115)+(DO115-DP115-DQ115)*(1-$K115)</f>
        <v>0</v>
      </c>
      <c r="DS115" s="1119"/>
      <c r="DW115" s="1117">
        <f t="shared" si="339"/>
        <v>0</v>
      </c>
      <c r="DX115" s="1118">
        <f t="shared" si="373"/>
        <v>0</v>
      </c>
      <c r="DY115" s="1118">
        <f t="shared" si="374"/>
        <v>0</v>
      </c>
      <c r="DZ115" s="1118">
        <f>VLOOKUP($E115,DW$442:DZ$453,4,FALSE)*DW115*($K115)+(DW115-DX115-DY115)*(1-$K115)</f>
        <v>0</v>
      </c>
      <c r="EA115" s="1119"/>
      <c r="EE115" s="1117">
        <f t="shared" si="340"/>
        <v>0</v>
      </c>
      <c r="EF115" s="1118">
        <f t="shared" si="375"/>
        <v>0</v>
      </c>
      <c r="EG115" s="1118">
        <f t="shared" si="376"/>
        <v>0</v>
      </c>
      <c r="EH115" s="1118">
        <f>VLOOKUP($E115,EE$442:EH$453,4,FALSE)*EE115*($K115)+(EE115-EF115-EG115)*(1-$K115)</f>
        <v>0</v>
      </c>
      <c r="EI115" s="1119"/>
      <c r="EM115" s="1117">
        <f t="shared" si="341"/>
        <v>0</v>
      </c>
      <c r="EN115" s="1118">
        <f t="shared" si="377"/>
        <v>0</v>
      </c>
      <c r="EO115" s="1118">
        <f t="shared" si="378"/>
        <v>0</v>
      </c>
      <c r="EP115" s="1118">
        <f>VLOOKUP($E115,EM$442:EP$453,4,FALSE)*EM115*($K115)+(EM115-EN115-EO115)*(1-$K115)</f>
        <v>0</v>
      </c>
      <c r="EQ115" s="1119"/>
      <c r="EU115" s="1117">
        <f t="shared" si="342"/>
        <v>0</v>
      </c>
      <c r="EV115" s="1118">
        <f t="shared" si="379"/>
        <v>0</v>
      </c>
      <c r="EW115" s="1118">
        <f t="shared" si="380"/>
        <v>0</v>
      </c>
      <c r="EX115" s="1118">
        <f>VLOOKUP($E115,EU$442:EX$453,4,FALSE)*EU115*($K115)+(EU115-EV115-EW115)*(1-$K115)</f>
        <v>0</v>
      </c>
      <c r="EY115" s="1119"/>
      <c r="FC115" s="1117">
        <f t="shared" si="343"/>
        <v>0</v>
      </c>
      <c r="FD115" s="1118">
        <f t="shared" si="381"/>
        <v>0</v>
      </c>
      <c r="FE115" s="1118">
        <f t="shared" si="382"/>
        <v>0</v>
      </c>
      <c r="FF115" s="1118">
        <f>VLOOKUP($E115,FC$442:FF$453,4,FALSE)*FC115*($K115)+(FC115-FD115-FE115)*(1-$K115)</f>
        <v>0</v>
      </c>
      <c r="FG115" s="1119"/>
      <c r="FK115" s="1117">
        <f t="shared" si="344"/>
        <v>0</v>
      </c>
      <c r="FL115" s="1118">
        <f t="shared" si="383"/>
        <v>0</v>
      </c>
      <c r="FM115" s="1118">
        <f t="shared" si="384"/>
        <v>0</v>
      </c>
      <c r="FN115" s="1118">
        <f>VLOOKUP($E115,FK$442:FN$453,4,FALSE)*FK115*($K115)+(FK115-FL115-FM115)*(1-$K115)</f>
        <v>0</v>
      </c>
      <c r="FO115" s="1119"/>
    </row>
    <row r="116" spans="1:171" x14ac:dyDescent="0.25">
      <c r="A116" s="1421"/>
      <c r="B116" s="848" t="s">
        <v>104</v>
      </c>
      <c r="C116" s="915"/>
      <c r="D116" s="916"/>
      <c r="E116" s="916"/>
      <c r="F116" s="917"/>
      <c r="G116" s="924">
        <f>SUM(G103:G112,G114)-G113-G115</f>
        <v>310512642.47767013</v>
      </c>
      <c r="H116" s="924">
        <f>SUM(H103:H112,H114)-H113-H115</f>
        <v>157301210.8664186</v>
      </c>
      <c r="I116" s="924">
        <f>SUM(I103:I112,I114)-I113-I115</f>
        <v>0</v>
      </c>
      <c r="J116" s="1429">
        <f>SUM(J103:J112,J114)-J113-J115</f>
        <v>153211431.61125147</v>
      </c>
      <c r="K116" s="904"/>
      <c r="O116" s="1128">
        <f>SUM(O103:O112,O114)-O113-O115</f>
        <v>310512642.47767013</v>
      </c>
      <c r="P116" s="1128">
        <f>SUM(P103:P112,P114)-P113-P115</f>
        <v>157301210.8664186</v>
      </c>
      <c r="Q116" s="1128">
        <f>SUM(Q103:Q112,Q114)-Q113-Q115</f>
        <v>68281782.193875104</v>
      </c>
      <c r="R116" s="1128">
        <f>SUM(R103:R112,R114)-R113-R115</f>
        <v>84929649.417376354</v>
      </c>
      <c r="S116" s="1119"/>
      <c r="W116" s="1128">
        <f>SUM(W103:W112,W114)-W113-W115</f>
        <v>310512642.47767013</v>
      </c>
      <c r="X116" s="1128">
        <f>SUM(X103:X112,X114)-X113-X115</f>
        <v>157301210.8664186</v>
      </c>
      <c r="Y116" s="1128">
        <f>SUM(Y103:Y112,Y114)-Y113-Y115</f>
        <v>68281782.193875104</v>
      </c>
      <c r="Z116" s="1128">
        <f>SUM(Z103:Z112,Z114)-Z113-Z115</f>
        <v>84929649.417376354</v>
      </c>
      <c r="AA116" s="1119"/>
      <c r="AE116" s="1128">
        <f>SUM(AE103:AE112,AE114)-AE113-AE115</f>
        <v>310512642.47767013</v>
      </c>
      <c r="AF116" s="1128">
        <f>SUM(AF103:AF112,AF114)-AF113-AF115</f>
        <v>157301210.8664186</v>
      </c>
      <c r="AG116" s="1128">
        <f>SUM(AG103:AG112,AG114)-AG113-AG115</f>
        <v>68281782.193875104</v>
      </c>
      <c r="AH116" s="1128">
        <f>SUM(AH103:AH112,AH114)-AH113-AH115</f>
        <v>84929649.417376354</v>
      </c>
      <c r="AI116" s="1119"/>
      <c r="AM116" s="1128">
        <f>SUM(AM103:AM112,AM114)-AM113-AM115</f>
        <v>310512642.47767013</v>
      </c>
      <c r="AN116" s="1128">
        <f>SUM(AN103:AN112,AN114)-AN113-AN115</f>
        <v>157301210.8664186</v>
      </c>
      <c r="AO116" s="1128">
        <f>SUM(AO103:AO112,AO114)-AO113-AO115</f>
        <v>68281782.193875104</v>
      </c>
      <c r="AP116" s="1128">
        <f>SUM(AP103:AP112,AP114)-AP113-AP115</f>
        <v>84929649.417376354</v>
      </c>
      <c r="AQ116" s="1119"/>
      <c r="AU116" s="1128">
        <f>SUM(AU103:AU112,AU114)-AU113-AU115</f>
        <v>310512642.47767013</v>
      </c>
      <c r="AV116" s="1128">
        <f>SUM(AV103:AV112,AV114)-AV113-AV115</f>
        <v>157301210.8664186</v>
      </c>
      <c r="AW116" s="1128">
        <f>SUM(AW103:AW112,AW114)-AW113-AW115</f>
        <v>68281782.193875104</v>
      </c>
      <c r="AX116" s="1128">
        <f>SUM(AX103:AX112,AX114)-AX113-AX115</f>
        <v>84929649.417376354</v>
      </c>
      <c r="AY116" s="1119"/>
      <c r="BC116" s="1128">
        <f>SUM(BC103:BC112,BC114)-BC113-BC115</f>
        <v>310512642.47767013</v>
      </c>
      <c r="BD116" s="1128">
        <f>SUM(BD103:BD112,BD114)-BD113-BD115</f>
        <v>157301210.8664186</v>
      </c>
      <c r="BE116" s="1128">
        <f>SUM(BE103:BE112,BE114)-BE113-BE115</f>
        <v>68281782.193875104</v>
      </c>
      <c r="BF116" s="1128">
        <f>SUM(BF103:BF112,BF114)-BF113-BF115</f>
        <v>84929649.417376354</v>
      </c>
      <c r="BG116" s="1119"/>
      <c r="BK116" s="1128">
        <f>SUM(BK103:BK112,BK114)-BK113-BK115</f>
        <v>310512642.47767013</v>
      </c>
      <c r="BL116" s="1128">
        <f>SUM(BL103:BL112,BL114)-BL113-BL115</f>
        <v>157301210.8664186</v>
      </c>
      <c r="BM116" s="1128">
        <f>SUM(BM103:BM112,BM114)-BM113-BM115</f>
        <v>68281782.193875104</v>
      </c>
      <c r="BN116" s="1128">
        <f>SUM(BN103:BN112,BN114)-BN113-BN115</f>
        <v>84929649.417376354</v>
      </c>
      <c r="BO116" s="1119"/>
      <c r="BS116" s="1128">
        <f>SUM(BS103:BS112,BS114)-BS113-BS115</f>
        <v>310512642.47767013</v>
      </c>
      <c r="BT116" s="1128">
        <f>SUM(BT103:BT112,BT114)-BT113-BT115</f>
        <v>157301210.8664186</v>
      </c>
      <c r="BU116" s="1128">
        <f>SUM(BU103:BU112,BU114)-BU113-BU115</f>
        <v>68281782.193875104</v>
      </c>
      <c r="BV116" s="1128">
        <f>SUM(BV103:BV112,BV114)-BV113-BV115</f>
        <v>84929649.417376354</v>
      </c>
      <c r="BW116" s="1119"/>
      <c r="CA116" s="1128">
        <f>SUM(CA103:CA112,CA114)-CA113-CA115</f>
        <v>310512642.47767013</v>
      </c>
      <c r="CB116" s="1128">
        <f>SUM(CB103:CB112,CB114)-CB113-CB115</f>
        <v>157301210.8664186</v>
      </c>
      <c r="CC116" s="1128">
        <f>SUM(CC103:CC112,CC114)-CC113-CC115</f>
        <v>68281782.193875104</v>
      </c>
      <c r="CD116" s="1128">
        <f>SUM(CD103:CD112,CD114)-CD113-CD115</f>
        <v>84929649.417376354</v>
      </c>
      <c r="CE116" s="1119"/>
      <c r="CI116" s="1128">
        <f>SUM(CI103:CI112,CI114)-CI113-CI115</f>
        <v>310512642.47767013</v>
      </c>
      <c r="CJ116" s="1128">
        <f>SUM(CJ103:CJ112,CJ114)-CJ113-CJ115</f>
        <v>157301210.8664186</v>
      </c>
      <c r="CK116" s="1128">
        <f>SUM(CK103:CK112,CK114)-CK113-CK115</f>
        <v>68281782.193875104</v>
      </c>
      <c r="CL116" s="1128">
        <f>SUM(CL103:CL112,CL114)-CL113-CL115</f>
        <v>84929649.417376354</v>
      </c>
      <c r="CM116" s="1119"/>
      <c r="CQ116" s="1128">
        <f>SUM(CQ103:CQ112,CQ114)-CQ113-CQ115</f>
        <v>310512642.47767013</v>
      </c>
      <c r="CR116" s="1128">
        <f>SUM(CR103:CR112,CR114)-CR113-CR115</f>
        <v>157301210.8664186</v>
      </c>
      <c r="CS116" s="1128">
        <f>SUM(CS103:CS112,CS114)-CS113-CS115</f>
        <v>68281782.193875104</v>
      </c>
      <c r="CT116" s="1128">
        <f>SUM(CT103:CT112,CT114)-CT113-CT115</f>
        <v>84929649.417376354</v>
      </c>
      <c r="CU116" s="1119"/>
      <c r="CY116" s="1128">
        <f>SUM(CY103:CY112,CY114)-CY113-CY115</f>
        <v>310512642.47767013</v>
      </c>
      <c r="CZ116" s="1128">
        <f>SUM(CZ103:CZ112,CZ114)-CZ113-CZ115</f>
        <v>157301210.8664186</v>
      </c>
      <c r="DA116" s="1128">
        <f>SUM(DA103:DA112,DA114)-DA113-DA115</f>
        <v>68281782.193875104</v>
      </c>
      <c r="DB116" s="1128">
        <f>SUM(DB103:DB112,DB114)-DB113-DB115</f>
        <v>84929649.417376354</v>
      </c>
      <c r="DC116" s="1119"/>
      <c r="DG116" s="1128">
        <f>SUM(DG103:DG112,DG114)-DG113-DG115</f>
        <v>310512642.47767013</v>
      </c>
      <c r="DH116" s="1128">
        <f>SUM(DH103:DH112,DH114)-DH113-DH115</f>
        <v>157301210.8664186</v>
      </c>
      <c r="DI116" s="1128">
        <f>SUM(DI103:DI112,DI114)-DI113-DI115</f>
        <v>68281782.193875104</v>
      </c>
      <c r="DJ116" s="1128">
        <f>SUM(DJ103:DJ112,DJ114)-DJ113-DJ115</f>
        <v>84929649.417376354</v>
      </c>
      <c r="DK116" s="1119"/>
      <c r="DO116" s="1128">
        <f>SUM(DO103:DO112,DO114)-DO113-DO115</f>
        <v>310512642.47767013</v>
      </c>
      <c r="DP116" s="1128">
        <f>SUM(DP103:DP112,DP114)-DP113-DP115</f>
        <v>157301210.8664186</v>
      </c>
      <c r="DQ116" s="1128">
        <f>SUM(DQ103:DQ112,DQ114)-DQ113-DQ115</f>
        <v>68281782.193875104</v>
      </c>
      <c r="DR116" s="1128">
        <f>SUM(DR103:DR112,DR114)-DR113-DR115</f>
        <v>84929649.417376354</v>
      </c>
      <c r="DS116" s="1119"/>
      <c r="DW116" s="1128">
        <f>SUM(DW103:DW112,DW114)-DW113-DW115</f>
        <v>310512642.47767013</v>
      </c>
      <c r="DX116" s="1128">
        <f>SUM(DX103:DX112,DX114)-DX113-DX115</f>
        <v>157301210.8664186</v>
      </c>
      <c r="DY116" s="1128">
        <f>SUM(DY103:DY112,DY114)-DY113-DY115</f>
        <v>68281782.193875104</v>
      </c>
      <c r="DZ116" s="1128">
        <f>SUM(DZ103:DZ112,DZ114)-DZ113-DZ115</f>
        <v>84929649.417376354</v>
      </c>
      <c r="EA116" s="1119"/>
      <c r="EE116" s="1128">
        <f>SUM(EE103:EE112,EE114)-EE113-EE115</f>
        <v>310512642.47767013</v>
      </c>
      <c r="EF116" s="1128">
        <f>SUM(EF103:EF112,EF114)-EF113-EF115</f>
        <v>157301210.8664186</v>
      </c>
      <c r="EG116" s="1128">
        <f>SUM(EG103:EG112,EG114)-EG113-EG115</f>
        <v>68281782.193875104</v>
      </c>
      <c r="EH116" s="1128">
        <f>SUM(EH103:EH112,EH114)-EH113-EH115</f>
        <v>84929649.417376354</v>
      </c>
      <c r="EI116" s="1119"/>
      <c r="EM116" s="1128">
        <f>SUM(EM103:EM112,EM114)-EM113-EM115</f>
        <v>310512642.47767013</v>
      </c>
      <c r="EN116" s="1128">
        <f>SUM(EN103:EN112,EN114)-EN113-EN115</f>
        <v>157301210.8664186</v>
      </c>
      <c r="EO116" s="1128">
        <f>SUM(EO103:EO112,EO114)-EO113-EO115</f>
        <v>68281782.193875104</v>
      </c>
      <c r="EP116" s="1128">
        <f>SUM(EP103:EP112,EP114)-EP113-EP115</f>
        <v>84929649.417376354</v>
      </c>
      <c r="EQ116" s="1119"/>
      <c r="EU116" s="1128">
        <f>SUM(EU103:EU112,EU114)-EU113-EU115</f>
        <v>310512642.47767013</v>
      </c>
      <c r="EV116" s="1128">
        <f>SUM(EV103:EV112,EV114)-EV113-EV115</f>
        <v>157301210.8664186</v>
      </c>
      <c r="EW116" s="1128">
        <f>SUM(EW103:EW112,EW114)-EW113-EW115</f>
        <v>68281782.193875104</v>
      </c>
      <c r="EX116" s="1128">
        <f>SUM(EX103:EX112,EX114)-EX113-EX115</f>
        <v>84929649.417376354</v>
      </c>
      <c r="EY116" s="1119"/>
      <c r="FC116" s="1128">
        <f>SUM(FC103:FC112,FC114)-FC113-FC115</f>
        <v>310512642.47767013</v>
      </c>
      <c r="FD116" s="1128">
        <f>SUM(FD103:FD112,FD114)-FD113-FD115</f>
        <v>157301210.8664186</v>
      </c>
      <c r="FE116" s="1128">
        <f>SUM(FE103:FE112,FE114)-FE113-FE115</f>
        <v>68281782.193875104</v>
      </c>
      <c r="FF116" s="1128">
        <f>SUM(FF103:FF112,FF114)-FF113-FF115</f>
        <v>84929649.417376354</v>
      </c>
      <c r="FG116" s="1119"/>
      <c r="FK116" s="1128">
        <f>SUM(FK103:FK112,FK114)-FK113-FK115</f>
        <v>310512642.47767013</v>
      </c>
      <c r="FL116" s="1128">
        <f>SUM(FL103:FL112,FL114)-FL113-FL115</f>
        <v>157301210.8664186</v>
      </c>
      <c r="FM116" s="1128">
        <f>SUM(FM103:FM112,FM114)-FM113-FM115</f>
        <v>68281782.193875104</v>
      </c>
      <c r="FN116" s="1128">
        <f>SUM(FN103:FN112,FN114)-FN113-FN115</f>
        <v>84929649.417376354</v>
      </c>
      <c r="FO116" s="1119"/>
    </row>
    <row r="117" spans="1:171" ht="16.5" thickBot="1" x14ac:dyDescent="0.3">
      <c r="A117" s="1444"/>
      <c r="B117" s="957"/>
      <c r="C117" s="958"/>
      <c r="D117" s="958"/>
      <c r="E117" s="958"/>
      <c r="F117" s="958"/>
      <c r="G117" s="959"/>
      <c r="H117" s="959"/>
      <c r="I117" s="959"/>
      <c r="J117" s="1445"/>
      <c r="K117" s="904"/>
      <c r="S117" s="1119"/>
      <c r="AA117" s="1119"/>
      <c r="AI117" s="1119"/>
      <c r="AQ117" s="1119"/>
      <c r="AY117" s="1119"/>
      <c r="BG117" s="1119"/>
      <c r="BO117" s="1119"/>
      <c r="BW117" s="1119"/>
      <c r="CE117" s="1119"/>
      <c r="CM117" s="1119"/>
      <c r="CU117" s="1119"/>
      <c r="DC117" s="1119"/>
      <c r="DK117" s="1119"/>
      <c r="DS117" s="1119"/>
      <c r="EA117" s="1119"/>
      <c r="EI117" s="1119"/>
      <c r="EQ117" s="1119"/>
      <c r="EY117" s="1119"/>
      <c r="FG117" s="1119"/>
      <c r="FO117" s="1119"/>
    </row>
    <row r="118" spans="1:171" ht="16.5" thickTop="1" x14ac:dyDescent="0.25">
      <c r="A118" s="1446" t="s">
        <v>179</v>
      </c>
      <c r="B118" s="79"/>
      <c r="C118" s="941"/>
      <c r="D118" s="196"/>
      <c r="E118" s="196"/>
      <c r="F118" s="196"/>
      <c r="G118" s="922"/>
      <c r="H118" s="198"/>
      <c r="I118" s="198"/>
      <c r="J118" s="1427"/>
      <c r="K118" s="904"/>
      <c r="S118" s="1119"/>
      <c r="AA118" s="1119"/>
      <c r="AI118" s="1119"/>
      <c r="AQ118" s="1119"/>
      <c r="AY118" s="1119"/>
      <c r="BG118" s="1119"/>
      <c r="BO118" s="1119"/>
      <c r="BW118" s="1119"/>
      <c r="CE118" s="1119"/>
      <c r="CM118" s="1119"/>
      <c r="CU118" s="1119"/>
      <c r="DC118" s="1119"/>
      <c r="DK118" s="1119"/>
      <c r="DS118" s="1119"/>
      <c r="EA118" s="1119"/>
      <c r="EI118" s="1119"/>
      <c r="EQ118" s="1119"/>
      <c r="EY118" s="1119"/>
      <c r="FG118" s="1119"/>
      <c r="FO118" s="1119"/>
    </row>
    <row r="119" spans="1:171" x14ac:dyDescent="0.25">
      <c r="A119" s="1421"/>
      <c r="B119" s="79" t="s">
        <v>10</v>
      </c>
      <c r="C119" s="889" t="s">
        <v>78</v>
      </c>
      <c r="D119" s="889">
        <v>181</v>
      </c>
      <c r="E119" s="182" t="str">
        <f>'Sch 1- Rate Base '!E119</f>
        <v>PTDG</v>
      </c>
      <c r="F119" s="890"/>
      <c r="G119" s="182">
        <f>'Sch 1- Rate Base '!G119</f>
        <v>23084661.294751231</v>
      </c>
      <c r="H119" s="182">
        <f>'Sch 1- Rate Base '!H119</f>
        <v>10028311.633164721</v>
      </c>
      <c r="I119" s="182">
        <f>'Sch 1- Rate Base '!I119</f>
        <v>0</v>
      </c>
      <c r="J119" s="1422">
        <f>'Sch 1- Rate Base '!J119</f>
        <v>13058659.838991489</v>
      </c>
      <c r="K119" s="904">
        <f t="shared" ref="K119:K132" si="385">IF($E119="DIRECT",0,1)</f>
        <v>1</v>
      </c>
      <c r="O119" s="1117">
        <f t="shared" ref="O119:O132" si="386">$G119</f>
        <v>23084661.294751231</v>
      </c>
      <c r="P119" s="1118">
        <f>VLOOKUP($E119,O$442:R$453,2,FALSE)*O119*($K119)+IF($G119&lt;&gt;0,($H119/$G119)*O119,0)*(1-$K119)</f>
        <v>10028311.633164721</v>
      </c>
      <c r="Q119" s="1118">
        <f>VLOOKUP($E119,O$442:R$453,3,FALSE)*O119*($K119)+IF($G119&lt;&gt;0,($I119/$G119)*O119,0)*(1-$K119)</f>
        <v>5842751.327451501</v>
      </c>
      <c r="R119" s="1118">
        <f>VLOOKUP($E119,O$442:R$453,4,FALSE)*O119*($K119)+(O119-P119-Q119)*(1-$K119)</f>
        <v>7213598.3341350071</v>
      </c>
      <c r="S119" s="1119"/>
      <c r="W119" s="1117">
        <f t="shared" ref="W119:W132" si="387">$G119</f>
        <v>23084661.294751231</v>
      </c>
      <c r="X119" s="1118">
        <f>VLOOKUP($E119,W$442:Z$453,2,FALSE)*W119*($K119)+IF($G119&lt;&gt;0,($H119/$G119)*W119,0)*(1-$K119)</f>
        <v>10028311.633164721</v>
      </c>
      <c r="Y119" s="1118">
        <f>VLOOKUP($E119,W$442:Z$453,3,FALSE)*W119*($K119)+IF($G119&lt;&gt;0,($I119/$G119)*W119,0)*(1-$K119)</f>
        <v>5842751.327451501</v>
      </c>
      <c r="Z119" s="1118">
        <f>VLOOKUP($E119,W$442:Z$453,4,FALSE)*W119*($K119)+(W119-X119-Y119)*(1-$K119)</f>
        <v>7213598.3341350071</v>
      </c>
      <c r="AA119" s="1119"/>
      <c r="AE119" s="1117">
        <f t="shared" ref="AE119:AE132" si="388">$G119</f>
        <v>23084661.294751231</v>
      </c>
      <c r="AF119" s="1118">
        <f>VLOOKUP($E119,AE$442:AH$453,2,FALSE)*AE119*($K119)+IF($G119&lt;&gt;0,($H119/$G119)*AE119,0)*(1-$K119)</f>
        <v>10028311.633164721</v>
      </c>
      <c r="AG119" s="1118">
        <f>VLOOKUP($E119,AE$442:AH$453,3,FALSE)*AE119*($K119)+IF($G119&lt;&gt;0,($I119/$G119)*AE119,0)*(1-$K119)</f>
        <v>5842751.327451501</v>
      </c>
      <c r="AH119" s="1118">
        <f>VLOOKUP($E119,AE$442:AH$453,4,FALSE)*AE119*($K119)+(AE119-AF119-AG119)*(1-$K119)</f>
        <v>7213598.3341350071</v>
      </c>
      <c r="AI119" s="1119"/>
      <c r="AM119" s="1117">
        <f t="shared" ref="AM119:AM132" si="389">$G119</f>
        <v>23084661.294751231</v>
      </c>
      <c r="AN119" s="1118">
        <f>VLOOKUP($E119,AM$442:AP$453,2,FALSE)*AM119*($K119)+IF($G119&lt;&gt;0,($H119/$G119)*AM119,0)*(1-$K119)</f>
        <v>10028311.633164721</v>
      </c>
      <c r="AO119" s="1118">
        <f>VLOOKUP($E119,AM$442:AP$453,3,FALSE)*AM119*($K119)+IF($G119&lt;&gt;0,($I119/$G119)*AM119,0)*(1-$K119)</f>
        <v>5842751.327451501</v>
      </c>
      <c r="AP119" s="1118">
        <f>VLOOKUP($E119,AM$442:AP$453,4,FALSE)*AM119*($K119)+(AM119-AN119-AO119)*(1-$K119)</f>
        <v>7213598.3341350071</v>
      </c>
      <c r="AQ119" s="1119"/>
      <c r="AU119" s="1117">
        <f t="shared" ref="AU119:AU132" si="390">$G119</f>
        <v>23084661.294751231</v>
      </c>
      <c r="AV119" s="1118">
        <f>VLOOKUP($E119,AU$442:AX$453,2,FALSE)*AU119*($K119)+IF($G119&lt;&gt;0,($H119/$G119)*AU119,0)*(1-$K119)</f>
        <v>10028311.633164721</v>
      </c>
      <c r="AW119" s="1118">
        <f>VLOOKUP($E119,AU$442:AX$453,3,FALSE)*AU119*($K119)+IF($G119&lt;&gt;0,($I119/$G119)*AU119,0)*(1-$K119)</f>
        <v>5842751.327451501</v>
      </c>
      <c r="AX119" s="1118">
        <f>VLOOKUP($E119,AU$442:AX$453,4,FALSE)*AU119*($K119)+(AU119-AV119-AW119)*(1-$K119)</f>
        <v>7213598.3341350071</v>
      </c>
      <c r="AY119" s="1119"/>
      <c r="BC119" s="1117">
        <f t="shared" ref="BC119:BC132" si="391">$G119</f>
        <v>23084661.294751231</v>
      </c>
      <c r="BD119" s="1118">
        <f>VLOOKUP($E119,BC$442:BF$453,2,FALSE)*BC119*($K119)+IF($G119&lt;&gt;0,($H119/$G119)*BC119,0)*(1-$K119)</f>
        <v>10028311.633164721</v>
      </c>
      <c r="BE119" s="1118">
        <f>VLOOKUP($E119,BC$442:BF$453,3,FALSE)*BC119*($K119)+IF($G119&lt;&gt;0,($I119/$G119)*BC119,0)*(1-$K119)</f>
        <v>5842751.327451501</v>
      </c>
      <c r="BF119" s="1118">
        <f>VLOOKUP($E119,BC$442:BF$453,4,FALSE)*BC119*($K119)+(BC119-BD119-BE119)*(1-$K119)</f>
        <v>7213598.3341350071</v>
      </c>
      <c r="BG119" s="1119"/>
      <c r="BK119" s="1117">
        <f t="shared" ref="BK119:BK132" si="392">$G119</f>
        <v>23084661.294751231</v>
      </c>
      <c r="BL119" s="1118">
        <f>VLOOKUP($E119,BK$442:BN$453,2,FALSE)*BK119*($K119)+IF($G119&lt;&gt;0,($H119/$G119)*BK119,0)*(1-$K119)</f>
        <v>10028311.633164721</v>
      </c>
      <c r="BM119" s="1118">
        <f>VLOOKUP($E119,BK$442:BN$453,3,FALSE)*BK119*($K119)+IF($G119&lt;&gt;0,($I119/$G119)*BK119,0)*(1-$K119)</f>
        <v>5842751.327451501</v>
      </c>
      <c r="BN119" s="1118">
        <f>VLOOKUP($E119,BK$442:BN$453,4,FALSE)*BK119*($K119)+(BK119-BL119-BM119)*(1-$K119)</f>
        <v>7213598.3341350071</v>
      </c>
      <c r="BO119" s="1119"/>
      <c r="BS119" s="1117">
        <f t="shared" ref="BS119:BS132" si="393">$G119</f>
        <v>23084661.294751231</v>
      </c>
      <c r="BT119" s="1118">
        <f>VLOOKUP($E119,BS$442:BV$453,2,FALSE)*BS119*($K119)+IF($G119&lt;&gt;0,($H119/$G119)*BS119,0)*(1-$K119)</f>
        <v>10028311.633164721</v>
      </c>
      <c r="BU119" s="1118">
        <f>VLOOKUP($E119,BS$442:BV$453,3,FALSE)*BS119*($K119)+IF($G119&lt;&gt;0,($I119/$G119)*BS119,0)*(1-$K119)</f>
        <v>5842751.327451501</v>
      </c>
      <c r="BV119" s="1118">
        <f>VLOOKUP($E119,BS$442:BV$453,4,FALSE)*BS119*($K119)+(BS119-BT119-BU119)*(1-$K119)</f>
        <v>7213598.3341350071</v>
      </c>
      <c r="BW119" s="1119"/>
      <c r="CA119" s="1117">
        <f t="shared" ref="CA119:CA132" si="394">$G119</f>
        <v>23084661.294751231</v>
      </c>
      <c r="CB119" s="1118">
        <f>VLOOKUP($E119,CA$442:CD$453,2,FALSE)*CA119*($K119)+IF($G119&lt;&gt;0,($H119/$G119)*CA119,0)*(1-$K119)</f>
        <v>10028311.633164721</v>
      </c>
      <c r="CC119" s="1118">
        <f>VLOOKUP($E119,CA$442:CD$453,3,FALSE)*CA119*($K119)+IF($G119&lt;&gt;0,($I119/$G119)*CA119,0)*(1-$K119)</f>
        <v>5842751.327451501</v>
      </c>
      <c r="CD119" s="1118">
        <f>VLOOKUP($E119,CA$442:CD$453,4,FALSE)*CA119*($K119)+(CA119-CB119-CC119)*(1-$K119)</f>
        <v>7213598.3341350071</v>
      </c>
      <c r="CE119" s="1119"/>
      <c r="CI119" s="1117">
        <f t="shared" ref="CI119:CI132" si="395">$G119</f>
        <v>23084661.294751231</v>
      </c>
      <c r="CJ119" s="1118">
        <f>VLOOKUP($E119,CI$442:CL$453,2,FALSE)*CI119*($K119)+IF($G119&lt;&gt;0,($H119/$G119)*CI119,0)*(1-$K119)</f>
        <v>10028311.633164721</v>
      </c>
      <c r="CK119" s="1118">
        <f>VLOOKUP($E119,CI$442:CL$453,3,FALSE)*CI119*($K119)+IF($G119&lt;&gt;0,($I119/$G119)*CI119,0)*(1-$K119)</f>
        <v>5842751.327451501</v>
      </c>
      <c r="CL119" s="1118">
        <f>VLOOKUP($E119,CI$442:CL$453,4,FALSE)*CI119*($K119)+(CI119-CJ119-CK119)*(1-$K119)</f>
        <v>7213598.3341350071</v>
      </c>
      <c r="CM119" s="1119"/>
      <c r="CQ119" s="1117">
        <f t="shared" ref="CQ119:CQ132" si="396">$G119</f>
        <v>23084661.294751231</v>
      </c>
      <c r="CR119" s="1118">
        <f>VLOOKUP($E119,CQ$442:CT$453,2,FALSE)*CQ119*($K119)+IF($G119&lt;&gt;0,($H119/$G119)*CQ119,0)*(1-$K119)</f>
        <v>10028311.633164721</v>
      </c>
      <c r="CS119" s="1118">
        <f>VLOOKUP($E119,CQ$442:CT$453,3,FALSE)*CQ119*($K119)+IF($G119&lt;&gt;0,($I119/$G119)*CQ119,0)*(1-$K119)</f>
        <v>5842751.327451501</v>
      </c>
      <c r="CT119" s="1118">
        <f>VLOOKUP($E119,CQ$442:CT$453,4,FALSE)*CQ119*($K119)+(CQ119-CR119-CS119)*(1-$K119)</f>
        <v>7213598.3341350071</v>
      </c>
      <c r="CU119" s="1119"/>
      <c r="CY119" s="1117">
        <f t="shared" ref="CY119:CY132" si="397">$G119</f>
        <v>23084661.294751231</v>
      </c>
      <c r="CZ119" s="1118">
        <f>VLOOKUP($E119,CY$442:DB$453,2,FALSE)*CY119*($K119)+IF($G119&lt;&gt;0,($H119/$G119)*CY119,0)*(1-$K119)</f>
        <v>10028311.633164721</v>
      </c>
      <c r="DA119" s="1118">
        <f>VLOOKUP($E119,CY$442:DB$453,3,FALSE)*CY119*($K119)+IF($G119&lt;&gt;0,($I119/$G119)*CY119,0)*(1-$K119)</f>
        <v>5842751.327451501</v>
      </c>
      <c r="DB119" s="1118">
        <f>VLOOKUP($E119,CY$442:DB$453,4,FALSE)*CY119*($K119)+(CY119-CZ119-DA119)*(1-$K119)</f>
        <v>7213598.3341350071</v>
      </c>
      <c r="DC119" s="1119"/>
      <c r="DG119" s="1117">
        <f t="shared" ref="DG119:DG132" si="398">$G119</f>
        <v>23084661.294751231</v>
      </c>
      <c r="DH119" s="1118">
        <f>VLOOKUP($E119,DG$442:DJ$453,2,FALSE)*DG119*($K119)+IF($G119&lt;&gt;0,($H119/$G119)*DG119,0)*(1-$K119)</f>
        <v>10028311.633164721</v>
      </c>
      <c r="DI119" s="1118">
        <f>VLOOKUP($E119,DG$442:DJ$453,3,FALSE)*DG119*($K119)+IF($G119&lt;&gt;0,($I119/$G119)*DG119,0)*(1-$K119)</f>
        <v>5842751.327451501</v>
      </c>
      <c r="DJ119" s="1118">
        <f>VLOOKUP($E119,DG$442:DJ$453,4,FALSE)*DG119*($K119)+(DG119-DH119-DI119)*(1-$K119)</f>
        <v>7213598.3341350071</v>
      </c>
      <c r="DK119" s="1119"/>
      <c r="DO119" s="1117">
        <f t="shared" ref="DO119:DO132" si="399">$G119</f>
        <v>23084661.294751231</v>
      </c>
      <c r="DP119" s="1118">
        <f>VLOOKUP($E119,DO$442:DR$453,2,FALSE)*DO119*($K119)+IF($G119&lt;&gt;0,($H119/$G119)*DO119,0)*(1-$K119)</f>
        <v>10028311.633164721</v>
      </c>
      <c r="DQ119" s="1118">
        <f>VLOOKUP($E119,DO$442:DR$453,3,FALSE)*DO119*($K119)+IF($G119&lt;&gt;0,($I119/$G119)*DO119,0)*(1-$K119)</f>
        <v>5842751.327451501</v>
      </c>
      <c r="DR119" s="1118">
        <f>VLOOKUP($E119,DO$442:DR$453,4,FALSE)*DO119*($K119)+(DO119-DP119-DQ119)*(1-$K119)</f>
        <v>7213598.3341350071</v>
      </c>
      <c r="DS119" s="1119"/>
      <c r="DW119" s="1117">
        <f t="shared" ref="DW119:DW132" si="400">$G119</f>
        <v>23084661.294751231</v>
      </c>
      <c r="DX119" s="1118">
        <f>VLOOKUP($E119,DW$442:DZ$453,2,FALSE)*DW119*($K119)+IF($G119&lt;&gt;0,($H119/$G119)*DW119,0)*(1-$K119)</f>
        <v>10028311.633164721</v>
      </c>
      <c r="DY119" s="1118">
        <f>VLOOKUP($E119,DW$442:DZ$453,3,FALSE)*DW119*($K119)+IF($G119&lt;&gt;0,($I119/$G119)*DW119,0)*(1-$K119)</f>
        <v>5842751.327451501</v>
      </c>
      <c r="DZ119" s="1118">
        <f>VLOOKUP($E119,DW$442:DZ$453,4,FALSE)*DW119*($K119)+(DW119-DX119-DY119)*(1-$K119)</f>
        <v>7213598.3341350071</v>
      </c>
      <c r="EA119" s="1119"/>
      <c r="EE119" s="1117">
        <f t="shared" ref="EE119:EE132" si="401">$G119</f>
        <v>23084661.294751231</v>
      </c>
      <c r="EF119" s="1118">
        <f>VLOOKUP($E119,EE$442:EH$453,2,FALSE)*EE119*($K119)+IF($G119&lt;&gt;0,($H119/$G119)*EE119,0)*(1-$K119)</f>
        <v>10028311.633164721</v>
      </c>
      <c r="EG119" s="1118">
        <f>VLOOKUP($E119,EE$442:EH$453,3,FALSE)*EE119*($K119)+IF($G119&lt;&gt;0,($I119/$G119)*EE119,0)*(1-$K119)</f>
        <v>5842751.327451501</v>
      </c>
      <c r="EH119" s="1118">
        <f>VLOOKUP($E119,EE$442:EH$453,4,FALSE)*EE119*($K119)+(EE119-EF119-EG119)*(1-$K119)</f>
        <v>7213598.3341350071</v>
      </c>
      <c r="EI119" s="1119"/>
      <c r="EM119" s="1117">
        <f t="shared" ref="EM119:EM132" si="402">$G119</f>
        <v>23084661.294751231</v>
      </c>
      <c r="EN119" s="1118">
        <f>VLOOKUP($E119,EM$442:EP$453,2,FALSE)*EM119*($K119)+IF($G119&lt;&gt;0,($H119/$G119)*EM119,0)*(1-$K119)</f>
        <v>10028311.633164721</v>
      </c>
      <c r="EO119" s="1118">
        <f>VLOOKUP($E119,EM$442:EP$453,3,FALSE)*EM119*($K119)+IF($G119&lt;&gt;0,($I119/$G119)*EM119,0)*(1-$K119)</f>
        <v>5842751.327451501</v>
      </c>
      <c r="EP119" s="1118">
        <f>VLOOKUP($E119,EM$442:EP$453,4,FALSE)*EM119*($K119)+(EM119-EN119-EO119)*(1-$K119)</f>
        <v>7213598.3341350071</v>
      </c>
      <c r="EQ119" s="1119"/>
      <c r="EU119" s="1117">
        <f t="shared" ref="EU119:EU132" si="403">$G119</f>
        <v>23084661.294751231</v>
      </c>
      <c r="EV119" s="1118">
        <f>VLOOKUP($E119,EU$442:EX$453,2,FALSE)*EU119*($K119)+IF($G119&lt;&gt;0,($H119/$G119)*EU119,0)*(1-$K119)</f>
        <v>10028311.633164721</v>
      </c>
      <c r="EW119" s="1118">
        <f>VLOOKUP($E119,EU$442:EX$453,3,FALSE)*EU119*($K119)+IF($G119&lt;&gt;0,($I119/$G119)*EU119,0)*(1-$K119)</f>
        <v>5842751.327451501</v>
      </c>
      <c r="EX119" s="1118">
        <f>VLOOKUP($E119,EU$442:EX$453,4,FALSE)*EU119*($K119)+(EU119-EV119-EW119)*(1-$K119)</f>
        <v>7213598.3341350071</v>
      </c>
      <c r="EY119" s="1119"/>
      <c r="FC119" s="1117">
        <f t="shared" ref="FC119:FC132" si="404">$G119</f>
        <v>23084661.294751231</v>
      </c>
      <c r="FD119" s="1118">
        <f>VLOOKUP($E119,FC$442:FF$453,2,FALSE)*FC119*($K119)+IF($G119&lt;&gt;0,($H119/$G119)*FC119,0)*(1-$K119)</f>
        <v>10028311.633164721</v>
      </c>
      <c r="FE119" s="1118">
        <f>VLOOKUP($E119,FC$442:FF$453,3,FALSE)*FC119*($K119)+IF($G119&lt;&gt;0,($I119/$G119)*FC119,0)*(1-$K119)</f>
        <v>5842751.327451501</v>
      </c>
      <c r="FF119" s="1118">
        <f>VLOOKUP($E119,FC$442:FF$453,4,FALSE)*FC119*($K119)+(FC119-FD119-FE119)*(1-$K119)</f>
        <v>7213598.3341350071</v>
      </c>
      <c r="FG119" s="1119"/>
      <c r="FK119" s="1117">
        <f t="shared" ref="FK119:FK132" si="405">$G119</f>
        <v>23084661.294751231</v>
      </c>
      <c r="FL119" s="1118">
        <f>VLOOKUP($E119,FK$442:FN$453,2,FALSE)*FK119*($K119)+IF($G119&lt;&gt;0,($H119/$G119)*FK119,0)*(1-$K119)</f>
        <v>10028311.633164721</v>
      </c>
      <c r="FM119" s="1118">
        <f>VLOOKUP($E119,FK$442:FN$453,3,FALSE)*FK119*($K119)+IF($G119&lt;&gt;0,($I119/$G119)*FK119,0)*(1-$K119)</f>
        <v>5842751.327451501</v>
      </c>
      <c r="FN119" s="1118">
        <f>VLOOKUP($E119,FK$442:FN$453,4,FALSE)*FK119*($K119)+(FK119-FL119-FM119)*(1-$K119)</f>
        <v>7213598.3341350071</v>
      </c>
      <c r="FO119" s="1119"/>
    </row>
    <row r="120" spans="1:171" x14ac:dyDescent="0.25">
      <c r="A120" s="1421"/>
      <c r="B120" s="79" t="s">
        <v>11</v>
      </c>
      <c r="C120" s="889" t="s">
        <v>78</v>
      </c>
      <c r="D120" s="889">
        <v>182.1</v>
      </c>
      <c r="E120" s="182" t="str">
        <f>'Sch 1- Rate Base '!E120</f>
        <v>DIRECT</v>
      </c>
      <c r="F120" s="890"/>
      <c r="G120" s="182">
        <f>'Sch 1- Rate Base '!G120</f>
        <v>0</v>
      </c>
      <c r="H120" s="182">
        <f>'Sch 1- Rate Base '!H120</f>
        <v>0</v>
      </c>
      <c r="I120" s="182">
        <f>'Sch 1- Rate Base '!I120</f>
        <v>0</v>
      </c>
      <c r="J120" s="1422">
        <f>'Sch 1- Rate Base '!J120</f>
        <v>0</v>
      </c>
      <c r="K120" s="904">
        <f t="shared" si="385"/>
        <v>0</v>
      </c>
      <c r="O120" s="1117">
        <f t="shared" si="386"/>
        <v>0</v>
      </c>
      <c r="P120" s="1118">
        <f t="shared" ref="P120:P132" si="406">VLOOKUP($E120,O$442:R$453,2,FALSE)*O120*($K120)+IF($G120&lt;&gt;0,($H120/$G120)*O120,0)*(1-$K120)</f>
        <v>0</v>
      </c>
      <c r="Q120" s="1118">
        <f t="shared" ref="Q120:Q132" si="407">VLOOKUP($E120,O$442:R$453,3,FALSE)*O120*($K120)+IF($G120&lt;&gt;0,($I120/$G120)*O120,0)*(1-$K120)</f>
        <v>0</v>
      </c>
      <c r="R120" s="1118">
        <f t="shared" ref="R120:R132" si="408">VLOOKUP($E120,O$442:R$453,4,FALSE)*O120*($K120)+(O120-P120-Q120)*(1-$K120)</f>
        <v>0</v>
      </c>
      <c r="S120" s="1119"/>
      <c r="W120" s="1117">
        <f t="shared" si="387"/>
        <v>0</v>
      </c>
      <c r="X120" s="1118">
        <f t="shared" ref="X120:X132" si="409">VLOOKUP($E120,W$442:Z$453,2,FALSE)*W120*($K120)+IF($G120&lt;&gt;0,($H120/$G120)*W120,0)*(1-$K120)</f>
        <v>0</v>
      </c>
      <c r="Y120" s="1118">
        <f t="shared" ref="Y120:Y132" si="410">VLOOKUP($E120,W$442:Z$453,3,FALSE)*W120*($K120)+IF($G120&lt;&gt;0,($I120/$G120)*W120,0)*(1-$K120)</f>
        <v>0</v>
      </c>
      <c r="Z120" s="1118">
        <f t="shared" ref="Z120:Z132" si="411">VLOOKUP($E120,W$442:Z$453,4,FALSE)*W120*($K120)+(W120-X120-Y120)*(1-$K120)</f>
        <v>0</v>
      </c>
      <c r="AA120" s="1119"/>
      <c r="AE120" s="1117">
        <f t="shared" si="388"/>
        <v>0</v>
      </c>
      <c r="AF120" s="1118">
        <f t="shared" ref="AF120:AF132" si="412">VLOOKUP($E120,AE$442:AH$453,2,FALSE)*AE120*($K120)+IF($G120&lt;&gt;0,($H120/$G120)*AE120,0)*(1-$K120)</f>
        <v>0</v>
      </c>
      <c r="AG120" s="1118">
        <f t="shared" ref="AG120:AG132" si="413">VLOOKUP($E120,AE$442:AH$453,3,FALSE)*AE120*($K120)+IF($G120&lt;&gt;0,($I120/$G120)*AE120,0)*(1-$K120)</f>
        <v>0</v>
      </c>
      <c r="AH120" s="1118">
        <f t="shared" ref="AH120:AH132" si="414">VLOOKUP($E120,AE$442:AH$453,4,FALSE)*AE120*($K120)+(AE120-AF120-AG120)*(1-$K120)</f>
        <v>0</v>
      </c>
      <c r="AI120" s="1119"/>
      <c r="AM120" s="1117">
        <f t="shared" si="389"/>
        <v>0</v>
      </c>
      <c r="AN120" s="1118">
        <f t="shared" ref="AN120:AN132" si="415">VLOOKUP($E120,AM$442:AP$453,2,FALSE)*AM120*($K120)+IF($G120&lt;&gt;0,($H120/$G120)*AM120,0)*(1-$K120)</f>
        <v>0</v>
      </c>
      <c r="AO120" s="1118">
        <f t="shared" ref="AO120:AO132" si="416">VLOOKUP($E120,AM$442:AP$453,3,FALSE)*AM120*($K120)+IF($G120&lt;&gt;0,($I120/$G120)*AM120,0)*(1-$K120)</f>
        <v>0</v>
      </c>
      <c r="AP120" s="1118">
        <f t="shared" ref="AP120:AP132" si="417">VLOOKUP($E120,AM$442:AP$453,4,FALSE)*AM120*($K120)+(AM120-AN120-AO120)*(1-$K120)</f>
        <v>0</v>
      </c>
      <c r="AQ120" s="1119"/>
      <c r="AU120" s="1117">
        <f t="shared" si="390"/>
        <v>0</v>
      </c>
      <c r="AV120" s="1118">
        <f t="shared" ref="AV120:AV132" si="418">VLOOKUP($E120,AU$442:AX$453,2,FALSE)*AU120*($K120)+IF($G120&lt;&gt;0,($H120/$G120)*AU120,0)*(1-$K120)</f>
        <v>0</v>
      </c>
      <c r="AW120" s="1118">
        <f t="shared" ref="AW120:AW132" si="419">VLOOKUP($E120,AU$442:AX$453,3,FALSE)*AU120*($K120)+IF($G120&lt;&gt;0,($I120/$G120)*AU120,0)*(1-$K120)</f>
        <v>0</v>
      </c>
      <c r="AX120" s="1118">
        <f t="shared" ref="AX120:AX132" si="420">VLOOKUP($E120,AU$442:AX$453,4,FALSE)*AU120*($K120)+(AU120-AV120-AW120)*(1-$K120)</f>
        <v>0</v>
      </c>
      <c r="AY120" s="1119"/>
      <c r="BC120" s="1117">
        <f t="shared" si="391"/>
        <v>0</v>
      </c>
      <c r="BD120" s="1118">
        <f t="shared" ref="BD120:BD132" si="421">VLOOKUP($E120,BC$442:BF$453,2,FALSE)*BC120*($K120)+IF($G120&lt;&gt;0,($H120/$G120)*BC120,0)*(1-$K120)</f>
        <v>0</v>
      </c>
      <c r="BE120" s="1118">
        <f t="shared" ref="BE120:BE132" si="422">VLOOKUP($E120,BC$442:BF$453,3,FALSE)*BC120*($K120)+IF($G120&lt;&gt;0,($I120/$G120)*BC120,0)*(1-$K120)</f>
        <v>0</v>
      </c>
      <c r="BF120" s="1118">
        <f t="shared" ref="BF120:BF132" si="423">VLOOKUP($E120,BC$442:BF$453,4,FALSE)*BC120*($K120)+(BC120-BD120-BE120)*(1-$K120)</f>
        <v>0</v>
      </c>
      <c r="BG120" s="1119"/>
      <c r="BK120" s="1117">
        <f t="shared" si="392"/>
        <v>0</v>
      </c>
      <c r="BL120" s="1118">
        <f t="shared" ref="BL120:BL132" si="424">VLOOKUP($E120,BK$442:BN$453,2,FALSE)*BK120*($K120)+IF($G120&lt;&gt;0,($H120/$G120)*BK120,0)*(1-$K120)</f>
        <v>0</v>
      </c>
      <c r="BM120" s="1118">
        <f t="shared" ref="BM120:BM132" si="425">VLOOKUP($E120,BK$442:BN$453,3,FALSE)*BK120*($K120)+IF($G120&lt;&gt;0,($I120/$G120)*BK120,0)*(1-$K120)</f>
        <v>0</v>
      </c>
      <c r="BN120" s="1118">
        <f t="shared" ref="BN120:BN132" si="426">VLOOKUP($E120,BK$442:BN$453,4,FALSE)*BK120*($K120)+(BK120-BL120-BM120)*(1-$K120)</f>
        <v>0</v>
      </c>
      <c r="BO120" s="1119"/>
      <c r="BS120" s="1117">
        <f t="shared" si="393"/>
        <v>0</v>
      </c>
      <c r="BT120" s="1118">
        <f t="shared" ref="BT120:BT132" si="427">VLOOKUP($E120,BS$442:BV$453,2,FALSE)*BS120*($K120)+IF($G120&lt;&gt;0,($H120/$G120)*BS120,0)*(1-$K120)</f>
        <v>0</v>
      </c>
      <c r="BU120" s="1118">
        <f t="shared" ref="BU120:BU132" si="428">VLOOKUP($E120,BS$442:BV$453,3,FALSE)*BS120*($K120)+IF($G120&lt;&gt;0,($I120/$G120)*BS120,0)*(1-$K120)</f>
        <v>0</v>
      </c>
      <c r="BV120" s="1118">
        <f t="shared" ref="BV120:BV132" si="429">VLOOKUP($E120,BS$442:BV$453,4,FALSE)*BS120*($K120)+(BS120-BT120-BU120)*(1-$K120)</f>
        <v>0</v>
      </c>
      <c r="BW120" s="1119"/>
      <c r="CA120" s="1117">
        <f t="shared" si="394"/>
        <v>0</v>
      </c>
      <c r="CB120" s="1118">
        <f t="shared" ref="CB120:CB132" si="430">VLOOKUP($E120,CA$442:CD$453,2,FALSE)*CA120*($K120)+IF($G120&lt;&gt;0,($H120/$G120)*CA120,0)*(1-$K120)</f>
        <v>0</v>
      </c>
      <c r="CC120" s="1118">
        <f t="shared" ref="CC120:CC132" si="431">VLOOKUP($E120,CA$442:CD$453,3,FALSE)*CA120*($K120)+IF($G120&lt;&gt;0,($I120/$G120)*CA120,0)*(1-$K120)</f>
        <v>0</v>
      </c>
      <c r="CD120" s="1118">
        <f t="shared" ref="CD120:CD132" si="432">VLOOKUP($E120,CA$442:CD$453,4,FALSE)*CA120*($K120)+(CA120-CB120-CC120)*(1-$K120)</f>
        <v>0</v>
      </c>
      <c r="CE120" s="1119"/>
      <c r="CI120" s="1117">
        <f t="shared" si="395"/>
        <v>0</v>
      </c>
      <c r="CJ120" s="1118">
        <f t="shared" ref="CJ120:CJ132" si="433">VLOOKUP($E120,CI$442:CL$453,2,FALSE)*CI120*($K120)+IF($G120&lt;&gt;0,($H120/$G120)*CI120,0)*(1-$K120)</f>
        <v>0</v>
      </c>
      <c r="CK120" s="1118">
        <f t="shared" ref="CK120:CK132" si="434">VLOOKUP($E120,CI$442:CL$453,3,FALSE)*CI120*($K120)+IF($G120&lt;&gt;0,($I120/$G120)*CI120,0)*(1-$K120)</f>
        <v>0</v>
      </c>
      <c r="CL120" s="1118">
        <f t="shared" ref="CL120:CL132" si="435">VLOOKUP($E120,CI$442:CL$453,4,FALSE)*CI120*($K120)+(CI120-CJ120-CK120)*(1-$K120)</f>
        <v>0</v>
      </c>
      <c r="CM120" s="1119"/>
      <c r="CQ120" s="1117">
        <f t="shared" si="396"/>
        <v>0</v>
      </c>
      <c r="CR120" s="1118">
        <f t="shared" ref="CR120:CR132" si="436">VLOOKUP($E120,CQ$442:CT$453,2,FALSE)*CQ120*($K120)+IF($G120&lt;&gt;0,($H120/$G120)*CQ120,0)*(1-$K120)</f>
        <v>0</v>
      </c>
      <c r="CS120" s="1118">
        <f t="shared" ref="CS120:CS132" si="437">VLOOKUP($E120,CQ$442:CT$453,3,FALSE)*CQ120*($K120)+IF($G120&lt;&gt;0,($I120/$G120)*CQ120,0)*(1-$K120)</f>
        <v>0</v>
      </c>
      <c r="CT120" s="1118">
        <f t="shared" ref="CT120:CT132" si="438">VLOOKUP($E120,CQ$442:CT$453,4,FALSE)*CQ120*($K120)+(CQ120-CR120-CS120)*(1-$K120)</f>
        <v>0</v>
      </c>
      <c r="CU120" s="1119"/>
      <c r="CY120" s="1117">
        <f t="shared" si="397"/>
        <v>0</v>
      </c>
      <c r="CZ120" s="1118">
        <f t="shared" ref="CZ120:CZ132" si="439">VLOOKUP($E120,CY$442:DB$453,2,FALSE)*CY120*($K120)+IF($G120&lt;&gt;0,($H120/$G120)*CY120,0)*(1-$K120)</f>
        <v>0</v>
      </c>
      <c r="DA120" s="1118">
        <f t="shared" ref="DA120:DA132" si="440">VLOOKUP($E120,CY$442:DB$453,3,FALSE)*CY120*($K120)+IF($G120&lt;&gt;0,($I120/$G120)*CY120,0)*(1-$K120)</f>
        <v>0</v>
      </c>
      <c r="DB120" s="1118">
        <f t="shared" ref="DB120:DB132" si="441">VLOOKUP($E120,CY$442:DB$453,4,FALSE)*CY120*($K120)+(CY120-CZ120-DA120)*(1-$K120)</f>
        <v>0</v>
      </c>
      <c r="DC120" s="1119"/>
      <c r="DG120" s="1117">
        <f t="shared" si="398"/>
        <v>0</v>
      </c>
      <c r="DH120" s="1118">
        <f t="shared" ref="DH120:DH132" si="442">VLOOKUP($E120,DG$442:DJ$453,2,FALSE)*DG120*($K120)+IF($G120&lt;&gt;0,($H120/$G120)*DG120,0)*(1-$K120)</f>
        <v>0</v>
      </c>
      <c r="DI120" s="1118">
        <f t="shared" ref="DI120:DI132" si="443">VLOOKUP($E120,DG$442:DJ$453,3,FALSE)*DG120*($K120)+IF($G120&lt;&gt;0,($I120/$G120)*DG120,0)*(1-$K120)</f>
        <v>0</v>
      </c>
      <c r="DJ120" s="1118">
        <f t="shared" ref="DJ120:DJ132" si="444">VLOOKUP($E120,DG$442:DJ$453,4,FALSE)*DG120*($K120)+(DG120-DH120-DI120)*(1-$K120)</f>
        <v>0</v>
      </c>
      <c r="DK120" s="1119"/>
      <c r="DO120" s="1117">
        <f t="shared" si="399"/>
        <v>0</v>
      </c>
      <c r="DP120" s="1118">
        <f t="shared" ref="DP120:DP132" si="445">VLOOKUP($E120,DO$442:DR$453,2,FALSE)*DO120*($K120)+IF($G120&lt;&gt;0,($H120/$G120)*DO120,0)*(1-$K120)</f>
        <v>0</v>
      </c>
      <c r="DQ120" s="1118">
        <f t="shared" ref="DQ120:DQ132" si="446">VLOOKUP($E120,DO$442:DR$453,3,FALSE)*DO120*($K120)+IF($G120&lt;&gt;0,($I120/$G120)*DO120,0)*(1-$K120)</f>
        <v>0</v>
      </c>
      <c r="DR120" s="1118">
        <f t="shared" ref="DR120:DR132" si="447">VLOOKUP($E120,DO$442:DR$453,4,FALSE)*DO120*($K120)+(DO120-DP120-DQ120)*(1-$K120)</f>
        <v>0</v>
      </c>
      <c r="DS120" s="1119"/>
      <c r="DW120" s="1117">
        <f t="shared" si="400"/>
        <v>0</v>
      </c>
      <c r="DX120" s="1118">
        <f t="shared" ref="DX120:DX132" si="448">VLOOKUP($E120,DW$442:DZ$453,2,FALSE)*DW120*($K120)+IF($G120&lt;&gt;0,($H120/$G120)*DW120,0)*(1-$K120)</f>
        <v>0</v>
      </c>
      <c r="DY120" s="1118">
        <f t="shared" ref="DY120:DY132" si="449">VLOOKUP($E120,DW$442:DZ$453,3,FALSE)*DW120*($K120)+IF($G120&lt;&gt;0,($I120/$G120)*DW120,0)*(1-$K120)</f>
        <v>0</v>
      </c>
      <c r="DZ120" s="1118">
        <f t="shared" ref="DZ120:DZ132" si="450">VLOOKUP($E120,DW$442:DZ$453,4,FALSE)*DW120*($K120)+(DW120-DX120-DY120)*(1-$K120)</f>
        <v>0</v>
      </c>
      <c r="EA120" s="1119"/>
      <c r="EE120" s="1117">
        <f t="shared" si="401"/>
        <v>0</v>
      </c>
      <c r="EF120" s="1118">
        <f t="shared" ref="EF120:EF132" si="451">VLOOKUP($E120,EE$442:EH$453,2,FALSE)*EE120*($K120)+IF($G120&lt;&gt;0,($H120/$G120)*EE120,0)*(1-$K120)</f>
        <v>0</v>
      </c>
      <c r="EG120" s="1118">
        <f t="shared" ref="EG120:EG132" si="452">VLOOKUP($E120,EE$442:EH$453,3,FALSE)*EE120*($K120)+IF($G120&lt;&gt;0,($I120/$G120)*EE120,0)*(1-$K120)</f>
        <v>0</v>
      </c>
      <c r="EH120" s="1118">
        <f t="shared" ref="EH120:EH132" si="453">VLOOKUP($E120,EE$442:EH$453,4,FALSE)*EE120*($K120)+(EE120-EF120-EG120)*(1-$K120)</f>
        <v>0</v>
      </c>
      <c r="EI120" s="1119"/>
      <c r="EM120" s="1117">
        <f t="shared" si="402"/>
        <v>0</v>
      </c>
      <c r="EN120" s="1118">
        <f t="shared" ref="EN120:EN132" si="454">VLOOKUP($E120,EM$442:EP$453,2,FALSE)*EM120*($K120)+IF($G120&lt;&gt;0,($H120/$G120)*EM120,0)*(1-$K120)</f>
        <v>0</v>
      </c>
      <c r="EO120" s="1118">
        <f t="shared" ref="EO120:EO132" si="455">VLOOKUP($E120,EM$442:EP$453,3,FALSE)*EM120*($K120)+IF($G120&lt;&gt;0,($I120/$G120)*EM120,0)*(1-$K120)</f>
        <v>0</v>
      </c>
      <c r="EP120" s="1118">
        <f t="shared" ref="EP120:EP132" si="456">VLOOKUP($E120,EM$442:EP$453,4,FALSE)*EM120*($K120)+(EM120-EN120-EO120)*(1-$K120)</f>
        <v>0</v>
      </c>
      <c r="EQ120" s="1119"/>
      <c r="EU120" s="1117">
        <f t="shared" si="403"/>
        <v>0</v>
      </c>
      <c r="EV120" s="1118">
        <f t="shared" ref="EV120:EV132" si="457">VLOOKUP($E120,EU$442:EX$453,2,FALSE)*EU120*($K120)+IF($G120&lt;&gt;0,($H120/$G120)*EU120,0)*(1-$K120)</f>
        <v>0</v>
      </c>
      <c r="EW120" s="1118">
        <f t="shared" ref="EW120:EW132" si="458">VLOOKUP($E120,EU$442:EX$453,3,FALSE)*EU120*($K120)+IF($G120&lt;&gt;0,($I120/$G120)*EU120,0)*(1-$K120)</f>
        <v>0</v>
      </c>
      <c r="EX120" s="1118">
        <f t="shared" ref="EX120:EX132" si="459">VLOOKUP($E120,EU$442:EX$453,4,FALSE)*EU120*($K120)+(EU120-EV120-EW120)*(1-$K120)</f>
        <v>0</v>
      </c>
      <c r="EY120" s="1119"/>
      <c r="FC120" s="1117">
        <f t="shared" si="404"/>
        <v>0</v>
      </c>
      <c r="FD120" s="1118">
        <f t="shared" ref="FD120:FD132" si="460">VLOOKUP($E120,FC$442:FF$453,2,FALSE)*FC120*($K120)+IF($G120&lt;&gt;0,($H120/$G120)*FC120,0)*(1-$K120)</f>
        <v>0</v>
      </c>
      <c r="FE120" s="1118">
        <f t="shared" ref="FE120:FE132" si="461">VLOOKUP($E120,FC$442:FF$453,3,FALSE)*FC120*($K120)+IF($G120&lt;&gt;0,($I120/$G120)*FC120,0)*(1-$K120)</f>
        <v>0</v>
      </c>
      <c r="FF120" s="1118">
        <f t="shared" ref="FF120:FF132" si="462">VLOOKUP($E120,FC$442:FF$453,4,FALSE)*FC120*($K120)+(FC120-FD120-FE120)*(1-$K120)</f>
        <v>0</v>
      </c>
      <c r="FG120" s="1119"/>
      <c r="FK120" s="1117">
        <f t="shared" si="405"/>
        <v>0</v>
      </c>
      <c r="FL120" s="1118">
        <f t="shared" ref="FL120:FL132" si="463">VLOOKUP($E120,FK$442:FN$453,2,FALSE)*FK120*($K120)+IF($G120&lt;&gt;0,($H120/$G120)*FK120,0)*(1-$K120)</f>
        <v>0</v>
      </c>
      <c r="FM120" s="1118">
        <f t="shared" ref="FM120:FM132" si="464">VLOOKUP($E120,FK$442:FN$453,3,FALSE)*FK120*($K120)+IF($G120&lt;&gt;0,($I120/$G120)*FK120,0)*(1-$K120)</f>
        <v>0</v>
      </c>
      <c r="FN120" s="1118">
        <f t="shared" ref="FN120:FN132" si="465">VLOOKUP($E120,FK$442:FN$453,4,FALSE)*FK120*($K120)+(FK120-FL120-FM120)*(1-$K120)</f>
        <v>0</v>
      </c>
      <c r="FO120" s="1119"/>
    </row>
    <row r="121" spans="1:171" x14ac:dyDescent="0.25">
      <c r="A121" s="1421"/>
      <c r="B121" s="79" t="s">
        <v>12</v>
      </c>
      <c r="C121" s="889" t="s">
        <v>78</v>
      </c>
      <c r="D121" s="889">
        <v>182.2</v>
      </c>
      <c r="E121" s="182" t="str">
        <f>'Sch 1- Rate Base '!E121</f>
        <v>DIRECT</v>
      </c>
      <c r="F121" s="890"/>
      <c r="G121" s="182">
        <f>'Sch 1- Rate Base '!G121</f>
        <v>0</v>
      </c>
      <c r="H121" s="182">
        <f>'Sch 1- Rate Base '!H121</f>
        <v>0</v>
      </c>
      <c r="I121" s="182">
        <f>'Sch 1- Rate Base '!I121</f>
        <v>0</v>
      </c>
      <c r="J121" s="1422">
        <f>'Sch 1- Rate Base '!J121</f>
        <v>0</v>
      </c>
      <c r="K121" s="904">
        <f t="shared" si="385"/>
        <v>0</v>
      </c>
      <c r="O121" s="1117">
        <f t="shared" si="386"/>
        <v>0</v>
      </c>
      <c r="P121" s="1118">
        <f t="shared" si="406"/>
        <v>0</v>
      </c>
      <c r="Q121" s="1118">
        <f t="shared" si="407"/>
        <v>0</v>
      </c>
      <c r="R121" s="1118">
        <f t="shared" si="408"/>
        <v>0</v>
      </c>
      <c r="S121" s="1119"/>
      <c r="W121" s="1117">
        <f t="shared" si="387"/>
        <v>0</v>
      </c>
      <c r="X121" s="1118">
        <f t="shared" si="409"/>
        <v>0</v>
      </c>
      <c r="Y121" s="1118">
        <f t="shared" si="410"/>
        <v>0</v>
      </c>
      <c r="Z121" s="1118">
        <f t="shared" si="411"/>
        <v>0</v>
      </c>
      <c r="AA121" s="1119"/>
      <c r="AE121" s="1117">
        <f t="shared" si="388"/>
        <v>0</v>
      </c>
      <c r="AF121" s="1118">
        <f t="shared" si="412"/>
        <v>0</v>
      </c>
      <c r="AG121" s="1118">
        <f t="shared" si="413"/>
        <v>0</v>
      </c>
      <c r="AH121" s="1118">
        <f t="shared" si="414"/>
        <v>0</v>
      </c>
      <c r="AI121" s="1119"/>
      <c r="AM121" s="1117">
        <f t="shared" si="389"/>
        <v>0</v>
      </c>
      <c r="AN121" s="1118">
        <f t="shared" si="415"/>
        <v>0</v>
      </c>
      <c r="AO121" s="1118">
        <f t="shared" si="416"/>
        <v>0</v>
      </c>
      <c r="AP121" s="1118">
        <f t="shared" si="417"/>
        <v>0</v>
      </c>
      <c r="AQ121" s="1119"/>
      <c r="AU121" s="1117">
        <f t="shared" si="390"/>
        <v>0</v>
      </c>
      <c r="AV121" s="1118">
        <f t="shared" si="418"/>
        <v>0</v>
      </c>
      <c r="AW121" s="1118">
        <f t="shared" si="419"/>
        <v>0</v>
      </c>
      <c r="AX121" s="1118">
        <f t="shared" si="420"/>
        <v>0</v>
      </c>
      <c r="AY121" s="1119"/>
      <c r="BC121" s="1117">
        <f t="shared" si="391"/>
        <v>0</v>
      </c>
      <c r="BD121" s="1118">
        <f t="shared" si="421"/>
        <v>0</v>
      </c>
      <c r="BE121" s="1118">
        <f t="shared" si="422"/>
        <v>0</v>
      </c>
      <c r="BF121" s="1118">
        <f t="shared" si="423"/>
        <v>0</v>
      </c>
      <c r="BG121" s="1119"/>
      <c r="BK121" s="1117">
        <f t="shared" si="392"/>
        <v>0</v>
      </c>
      <c r="BL121" s="1118">
        <f t="shared" si="424"/>
        <v>0</v>
      </c>
      <c r="BM121" s="1118">
        <f t="shared" si="425"/>
        <v>0</v>
      </c>
      <c r="BN121" s="1118">
        <f t="shared" si="426"/>
        <v>0</v>
      </c>
      <c r="BO121" s="1119"/>
      <c r="BS121" s="1117">
        <f t="shared" si="393"/>
        <v>0</v>
      </c>
      <c r="BT121" s="1118">
        <f t="shared" si="427"/>
        <v>0</v>
      </c>
      <c r="BU121" s="1118">
        <f t="shared" si="428"/>
        <v>0</v>
      </c>
      <c r="BV121" s="1118">
        <f t="shared" si="429"/>
        <v>0</v>
      </c>
      <c r="BW121" s="1119"/>
      <c r="CA121" s="1117">
        <f t="shared" si="394"/>
        <v>0</v>
      </c>
      <c r="CB121" s="1118">
        <f t="shared" si="430"/>
        <v>0</v>
      </c>
      <c r="CC121" s="1118">
        <f t="shared" si="431"/>
        <v>0</v>
      </c>
      <c r="CD121" s="1118">
        <f t="shared" si="432"/>
        <v>0</v>
      </c>
      <c r="CE121" s="1119"/>
      <c r="CI121" s="1117">
        <f t="shared" si="395"/>
        <v>0</v>
      </c>
      <c r="CJ121" s="1118">
        <f t="shared" si="433"/>
        <v>0</v>
      </c>
      <c r="CK121" s="1118">
        <f t="shared" si="434"/>
        <v>0</v>
      </c>
      <c r="CL121" s="1118">
        <f t="shared" si="435"/>
        <v>0</v>
      </c>
      <c r="CM121" s="1119"/>
      <c r="CQ121" s="1117">
        <f t="shared" si="396"/>
        <v>0</v>
      </c>
      <c r="CR121" s="1118">
        <f t="shared" si="436"/>
        <v>0</v>
      </c>
      <c r="CS121" s="1118">
        <f t="shared" si="437"/>
        <v>0</v>
      </c>
      <c r="CT121" s="1118">
        <f t="shared" si="438"/>
        <v>0</v>
      </c>
      <c r="CU121" s="1119"/>
      <c r="CY121" s="1117">
        <f t="shared" si="397"/>
        <v>0</v>
      </c>
      <c r="CZ121" s="1118">
        <f t="shared" si="439"/>
        <v>0</v>
      </c>
      <c r="DA121" s="1118">
        <f t="shared" si="440"/>
        <v>0</v>
      </c>
      <c r="DB121" s="1118">
        <f t="shared" si="441"/>
        <v>0</v>
      </c>
      <c r="DC121" s="1119"/>
      <c r="DG121" s="1117">
        <f t="shared" si="398"/>
        <v>0</v>
      </c>
      <c r="DH121" s="1118">
        <f t="shared" si="442"/>
        <v>0</v>
      </c>
      <c r="DI121" s="1118">
        <f t="shared" si="443"/>
        <v>0</v>
      </c>
      <c r="DJ121" s="1118">
        <f t="shared" si="444"/>
        <v>0</v>
      </c>
      <c r="DK121" s="1119"/>
      <c r="DO121" s="1117">
        <f t="shared" si="399"/>
        <v>0</v>
      </c>
      <c r="DP121" s="1118">
        <f t="shared" si="445"/>
        <v>0</v>
      </c>
      <c r="DQ121" s="1118">
        <f t="shared" si="446"/>
        <v>0</v>
      </c>
      <c r="DR121" s="1118">
        <f t="shared" si="447"/>
        <v>0</v>
      </c>
      <c r="DS121" s="1119"/>
      <c r="DW121" s="1117">
        <f t="shared" si="400"/>
        <v>0</v>
      </c>
      <c r="DX121" s="1118">
        <f t="shared" si="448"/>
        <v>0</v>
      </c>
      <c r="DY121" s="1118">
        <f t="shared" si="449"/>
        <v>0</v>
      </c>
      <c r="DZ121" s="1118">
        <f t="shared" si="450"/>
        <v>0</v>
      </c>
      <c r="EA121" s="1119"/>
      <c r="EE121" s="1117">
        <f t="shared" si="401"/>
        <v>0</v>
      </c>
      <c r="EF121" s="1118">
        <f t="shared" si="451"/>
        <v>0</v>
      </c>
      <c r="EG121" s="1118">
        <f t="shared" si="452"/>
        <v>0</v>
      </c>
      <c r="EH121" s="1118">
        <f t="shared" si="453"/>
        <v>0</v>
      </c>
      <c r="EI121" s="1119"/>
      <c r="EM121" s="1117">
        <f t="shared" si="402"/>
        <v>0</v>
      </c>
      <c r="EN121" s="1118">
        <f t="shared" si="454"/>
        <v>0</v>
      </c>
      <c r="EO121" s="1118">
        <f t="shared" si="455"/>
        <v>0</v>
      </c>
      <c r="EP121" s="1118">
        <f t="shared" si="456"/>
        <v>0</v>
      </c>
      <c r="EQ121" s="1119"/>
      <c r="EU121" s="1117">
        <f t="shared" si="403"/>
        <v>0</v>
      </c>
      <c r="EV121" s="1118">
        <f t="shared" si="457"/>
        <v>0</v>
      </c>
      <c r="EW121" s="1118">
        <f t="shared" si="458"/>
        <v>0</v>
      </c>
      <c r="EX121" s="1118">
        <f t="shared" si="459"/>
        <v>0</v>
      </c>
      <c r="EY121" s="1119"/>
      <c r="FC121" s="1117">
        <f t="shared" si="404"/>
        <v>0</v>
      </c>
      <c r="FD121" s="1118">
        <f t="shared" si="460"/>
        <v>0</v>
      </c>
      <c r="FE121" s="1118">
        <f t="shared" si="461"/>
        <v>0</v>
      </c>
      <c r="FF121" s="1118">
        <f t="shared" si="462"/>
        <v>0</v>
      </c>
      <c r="FG121" s="1119"/>
      <c r="FK121" s="1117">
        <f t="shared" si="405"/>
        <v>0</v>
      </c>
      <c r="FL121" s="1118">
        <f t="shared" si="463"/>
        <v>0</v>
      </c>
      <c r="FM121" s="1118">
        <f t="shared" si="464"/>
        <v>0</v>
      </c>
      <c r="FN121" s="1118">
        <f t="shared" si="465"/>
        <v>0</v>
      </c>
      <c r="FO121" s="1119"/>
    </row>
    <row r="122" spans="1:171" x14ac:dyDescent="0.25">
      <c r="A122" s="1421"/>
      <c r="B122" s="79" t="s">
        <v>13</v>
      </c>
      <c r="C122" s="889" t="s">
        <v>78</v>
      </c>
      <c r="D122" s="889">
        <v>182.3</v>
      </c>
      <c r="E122" s="182" t="str">
        <f>'Sch 1- Rate Base '!E122</f>
        <v>DIRECT</v>
      </c>
      <c r="F122" s="890"/>
      <c r="G122" s="182">
        <f>'Sch 1- Rate Base '!G122</f>
        <v>672768352.85708964</v>
      </c>
      <c r="H122" s="182">
        <f>'Sch 1- Rate Base '!H122</f>
        <v>353419883.65590286</v>
      </c>
      <c r="I122" s="182">
        <f>'Sch 1- Rate Base '!I122</f>
        <v>0</v>
      </c>
      <c r="J122" s="1422">
        <f>'Sch 1- Rate Base '!J122</f>
        <v>319348469.20118666</v>
      </c>
      <c r="K122" s="904">
        <f t="shared" si="385"/>
        <v>0</v>
      </c>
      <c r="O122" s="1117">
        <f t="shared" si="386"/>
        <v>672768352.85708964</v>
      </c>
      <c r="P122" s="1118">
        <f t="shared" si="406"/>
        <v>353419883.65590286</v>
      </c>
      <c r="Q122" s="1118">
        <f t="shared" si="407"/>
        <v>0</v>
      </c>
      <c r="R122" s="1118">
        <f t="shared" si="408"/>
        <v>319348469.20118678</v>
      </c>
      <c r="S122" s="1119"/>
      <c r="W122" s="1117">
        <f t="shared" si="387"/>
        <v>672768352.85708964</v>
      </c>
      <c r="X122" s="1118">
        <f t="shared" si="409"/>
        <v>353419883.65590286</v>
      </c>
      <c r="Y122" s="1118">
        <f t="shared" si="410"/>
        <v>0</v>
      </c>
      <c r="Z122" s="1118">
        <f t="shared" si="411"/>
        <v>319348469.20118678</v>
      </c>
      <c r="AA122" s="1119"/>
      <c r="AE122" s="1117">
        <f t="shared" si="388"/>
        <v>672768352.85708964</v>
      </c>
      <c r="AF122" s="1118">
        <f t="shared" si="412"/>
        <v>353419883.65590286</v>
      </c>
      <c r="AG122" s="1118">
        <f t="shared" si="413"/>
        <v>0</v>
      </c>
      <c r="AH122" s="1118">
        <f t="shared" si="414"/>
        <v>319348469.20118678</v>
      </c>
      <c r="AI122" s="1119"/>
      <c r="AM122" s="1117">
        <f t="shared" si="389"/>
        <v>672768352.85708964</v>
      </c>
      <c r="AN122" s="1118">
        <f t="shared" si="415"/>
        <v>353419883.65590286</v>
      </c>
      <c r="AO122" s="1118">
        <f t="shared" si="416"/>
        <v>0</v>
      </c>
      <c r="AP122" s="1118">
        <f t="shared" si="417"/>
        <v>319348469.20118678</v>
      </c>
      <c r="AQ122" s="1119"/>
      <c r="AU122" s="1117">
        <f t="shared" si="390"/>
        <v>672768352.85708964</v>
      </c>
      <c r="AV122" s="1118">
        <f t="shared" si="418"/>
        <v>353419883.65590286</v>
      </c>
      <c r="AW122" s="1118">
        <f t="shared" si="419"/>
        <v>0</v>
      </c>
      <c r="AX122" s="1118">
        <f t="shared" si="420"/>
        <v>319348469.20118678</v>
      </c>
      <c r="AY122" s="1119"/>
      <c r="BC122" s="1117">
        <f t="shared" si="391"/>
        <v>672768352.85708964</v>
      </c>
      <c r="BD122" s="1118">
        <f t="shared" si="421"/>
        <v>353419883.65590286</v>
      </c>
      <c r="BE122" s="1118">
        <f t="shared" si="422"/>
        <v>0</v>
      </c>
      <c r="BF122" s="1118">
        <f t="shared" si="423"/>
        <v>319348469.20118678</v>
      </c>
      <c r="BG122" s="1119"/>
      <c r="BK122" s="1117">
        <f t="shared" si="392"/>
        <v>672768352.85708964</v>
      </c>
      <c r="BL122" s="1118">
        <f t="shared" si="424"/>
        <v>353419883.65590286</v>
      </c>
      <c r="BM122" s="1118">
        <f t="shared" si="425"/>
        <v>0</v>
      </c>
      <c r="BN122" s="1118">
        <f t="shared" si="426"/>
        <v>319348469.20118678</v>
      </c>
      <c r="BO122" s="1119"/>
      <c r="BS122" s="1117">
        <f t="shared" si="393"/>
        <v>672768352.85708964</v>
      </c>
      <c r="BT122" s="1118">
        <f t="shared" si="427"/>
        <v>353419883.65590286</v>
      </c>
      <c r="BU122" s="1118">
        <f t="shared" si="428"/>
        <v>0</v>
      </c>
      <c r="BV122" s="1118">
        <f t="shared" si="429"/>
        <v>319348469.20118678</v>
      </c>
      <c r="BW122" s="1119"/>
      <c r="CA122" s="1117">
        <f t="shared" si="394"/>
        <v>672768352.85708964</v>
      </c>
      <c r="CB122" s="1118">
        <f t="shared" si="430"/>
        <v>353419883.65590286</v>
      </c>
      <c r="CC122" s="1118">
        <f t="shared" si="431"/>
        <v>0</v>
      </c>
      <c r="CD122" s="1118">
        <f t="shared" si="432"/>
        <v>319348469.20118678</v>
      </c>
      <c r="CE122" s="1119"/>
      <c r="CI122" s="1117">
        <f t="shared" si="395"/>
        <v>672768352.85708964</v>
      </c>
      <c r="CJ122" s="1118">
        <f t="shared" si="433"/>
        <v>353419883.65590286</v>
      </c>
      <c r="CK122" s="1118">
        <f t="shared" si="434"/>
        <v>0</v>
      </c>
      <c r="CL122" s="1118">
        <f t="shared" si="435"/>
        <v>319348469.20118678</v>
      </c>
      <c r="CM122" s="1119"/>
      <c r="CQ122" s="1117">
        <f t="shared" si="396"/>
        <v>672768352.85708964</v>
      </c>
      <c r="CR122" s="1118">
        <f t="shared" si="436"/>
        <v>353419883.65590286</v>
      </c>
      <c r="CS122" s="1118">
        <f t="shared" si="437"/>
        <v>0</v>
      </c>
      <c r="CT122" s="1118">
        <f t="shared" si="438"/>
        <v>319348469.20118678</v>
      </c>
      <c r="CU122" s="1119"/>
      <c r="CY122" s="1117">
        <f t="shared" si="397"/>
        <v>672768352.85708964</v>
      </c>
      <c r="CZ122" s="1118">
        <f t="shared" si="439"/>
        <v>353419883.65590286</v>
      </c>
      <c r="DA122" s="1118">
        <f t="shared" si="440"/>
        <v>0</v>
      </c>
      <c r="DB122" s="1118">
        <f t="shared" si="441"/>
        <v>319348469.20118678</v>
      </c>
      <c r="DC122" s="1119"/>
      <c r="DG122" s="1117">
        <f t="shared" si="398"/>
        <v>672768352.85708964</v>
      </c>
      <c r="DH122" s="1118">
        <f t="shared" si="442"/>
        <v>353419883.65590286</v>
      </c>
      <c r="DI122" s="1118">
        <f t="shared" si="443"/>
        <v>0</v>
      </c>
      <c r="DJ122" s="1118">
        <f t="shared" si="444"/>
        <v>319348469.20118678</v>
      </c>
      <c r="DK122" s="1119"/>
      <c r="DO122" s="1117">
        <f t="shared" si="399"/>
        <v>672768352.85708964</v>
      </c>
      <c r="DP122" s="1118">
        <f t="shared" si="445"/>
        <v>353419883.65590286</v>
      </c>
      <c r="DQ122" s="1118">
        <f t="shared" si="446"/>
        <v>0</v>
      </c>
      <c r="DR122" s="1118">
        <f t="shared" si="447"/>
        <v>319348469.20118678</v>
      </c>
      <c r="DS122" s="1119"/>
      <c r="DW122" s="1117">
        <f t="shared" si="400"/>
        <v>672768352.85708964</v>
      </c>
      <c r="DX122" s="1118">
        <f t="shared" si="448"/>
        <v>353419883.65590286</v>
      </c>
      <c r="DY122" s="1118">
        <f t="shared" si="449"/>
        <v>0</v>
      </c>
      <c r="DZ122" s="1118">
        <f t="shared" si="450"/>
        <v>319348469.20118678</v>
      </c>
      <c r="EA122" s="1119"/>
      <c r="EE122" s="1117">
        <f t="shared" si="401"/>
        <v>672768352.85708964</v>
      </c>
      <c r="EF122" s="1118">
        <f t="shared" si="451"/>
        <v>353419883.65590286</v>
      </c>
      <c r="EG122" s="1118">
        <f t="shared" si="452"/>
        <v>0</v>
      </c>
      <c r="EH122" s="1118">
        <f t="shared" si="453"/>
        <v>319348469.20118678</v>
      </c>
      <c r="EI122" s="1119"/>
      <c r="EM122" s="1117">
        <f t="shared" si="402"/>
        <v>672768352.85708964</v>
      </c>
      <c r="EN122" s="1118">
        <f t="shared" si="454"/>
        <v>353419883.65590286</v>
      </c>
      <c r="EO122" s="1118">
        <f t="shared" si="455"/>
        <v>0</v>
      </c>
      <c r="EP122" s="1118">
        <f t="shared" si="456"/>
        <v>319348469.20118678</v>
      </c>
      <c r="EQ122" s="1119"/>
      <c r="EU122" s="1117">
        <f t="shared" si="403"/>
        <v>672768352.85708964</v>
      </c>
      <c r="EV122" s="1118">
        <f t="shared" si="457"/>
        <v>353419883.65590286</v>
      </c>
      <c r="EW122" s="1118">
        <f t="shared" si="458"/>
        <v>0</v>
      </c>
      <c r="EX122" s="1118">
        <f t="shared" si="459"/>
        <v>319348469.20118678</v>
      </c>
      <c r="EY122" s="1119"/>
      <c r="FC122" s="1117">
        <f t="shared" si="404"/>
        <v>672768352.85708964</v>
      </c>
      <c r="FD122" s="1118">
        <f t="shared" si="460"/>
        <v>353419883.65590286</v>
      </c>
      <c r="FE122" s="1118">
        <f t="shared" si="461"/>
        <v>0</v>
      </c>
      <c r="FF122" s="1118">
        <f t="shared" si="462"/>
        <v>319348469.20118678</v>
      </c>
      <c r="FG122" s="1119"/>
      <c r="FK122" s="1117">
        <f t="shared" si="405"/>
        <v>672768352.85708964</v>
      </c>
      <c r="FL122" s="1118">
        <f t="shared" si="463"/>
        <v>353419883.65590286</v>
      </c>
      <c r="FM122" s="1118">
        <f t="shared" si="464"/>
        <v>0</v>
      </c>
      <c r="FN122" s="1118">
        <f t="shared" si="465"/>
        <v>319348469.20118678</v>
      </c>
      <c r="FO122" s="1119"/>
    </row>
    <row r="123" spans="1:171" x14ac:dyDescent="0.25">
      <c r="A123" s="1421"/>
      <c r="B123" s="79" t="s">
        <v>624</v>
      </c>
      <c r="C123" s="889" t="s">
        <v>78</v>
      </c>
      <c r="D123" s="889">
        <v>183</v>
      </c>
      <c r="E123" s="182" t="str">
        <f>'Sch 1- Rate Base '!E123</f>
        <v>DIST</v>
      </c>
      <c r="F123" s="890"/>
      <c r="G123" s="182">
        <f>'Sch 1- Rate Base '!G123</f>
        <v>10625524.390141297</v>
      </c>
      <c r="H123" s="182">
        <f>'Sch 1- Rate Base '!H123</f>
        <v>0</v>
      </c>
      <c r="I123" s="182">
        <f>'Sch 1- Rate Base '!I123</f>
        <v>0</v>
      </c>
      <c r="J123" s="1422">
        <f>'Sch 1- Rate Base '!J123</f>
        <v>10625524.390141297</v>
      </c>
      <c r="K123" s="904">
        <f t="shared" si="385"/>
        <v>1</v>
      </c>
      <c r="O123" s="1117">
        <f t="shared" si="386"/>
        <v>10625524.390141297</v>
      </c>
      <c r="P123" s="1118">
        <f t="shared" si="406"/>
        <v>0</v>
      </c>
      <c r="Q123" s="1118">
        <f t="shared" si="407"/>
        <v>0</v>
      </c>
      <c r="R123" s="1118">
        <f t="shared" si="408"/>
        <v>10625524.390141297</v>
      </c>
      <c r="S123" s="1119"/>
      <c r="W123" s="1117">
        <f t="shared" si="387"/>
        <v>10625524.390141297</v>
      </c>
      <c r="X123" s="1118">
        <f t="shared" si="409"/>
        <v>0</v>
      </c>
      <c r="Y123" s="1118">
        <f t="shared" si="410"/>
        <v>0</v>
      </c>
      <c r="Z123" s="1118">
        <f t="shared" si="411"/>
        <v>10625524.390141297</v>
      </c>
      <c r="AA123" s="1119"/>
      <c r="AE123" s="1117">
        <f t="shared" si="388"/>
        <v>10625524.390141297</v>
      </c>
      <c r="AF123" s="1118">
        <f t="shared" si="412"/>
        <v>0</v>
      </c>
      <c r="AG123" s="1118">
        <f t="shared" si="413"/>
        <v>0</v>
      </c>
      <c r="AH123" s="1118">
        <f t="shared" si="414"/>
        <v>10625524.390141297</v>
      </c>
      <c r="AI123" s="1119"/>
      <c r="AM123" s="1117">
        <f t="shared" si="389"/>
        <v>10625524.390141297</v>
      </c>
      <c r="AN123" s="1118">
        <f t="shared" si="415"/>
        <v>0</v>
      </c>
      <c r="AO123" s="1118">
        <f t="shared" si="416"/>
        <v>0</v>
      </c>
      <c r="AP123" s="1118">
        <f t="shared" si="417"/>
        <v>10625524.390141297</v>
      </c>
      <c r="AQ123" s="1119"/>
      <c r="AU123" s="1117">
        <f t="shared" si="390"/>
        <v>10625524.390141297</v>
      </c>
      <c r="AV123" s="1118">
        <f t="shared" si="418"/>
        <v>0</v>
      </c>
      <c r="AW123" s="1118">
        <f t="shared" si="419"/>
        <v>0</v>
      </c>
      <c r="AX123" s="1118">
        <f t="shared" si="420"/>
        <v>10625524.390141297</v>
      </c>
      <c r="AY123" s="1119"/>
      <c r="BC123" s="1117">
        <f t="shared" si="391"/>
        <v>10625524.390141297</v>
      </c>
      <c r="BD123" s="1118">
        <f t="shared" si="421"/>
        <v>0</v>
      </c>
      <c r="BE123" s="1118">
        <f t="shared" si="422"/>
        <v>0</v>
      </c>
      <c r="BF123" s="1118">
        <f t="shared" si="423"/>
        <v>10625524.390141297</v>
      </c>
      <c r="BG123" s="1119"/>
      <c r="BK123" s="1117">
        <f t="shared" si="392"/>
        <v>10625524.390141297</v>
      </c>
      <c r="BL123" s="1118">
        <f t="shared" si="424"/>
        <v>0</v>
      </c>
      <c r="BM123" s="1118">
        <f t="shared" si="425"/>
        <v>0</v>
      </c>
      <c r="BN123" s="1118">
        <f t="shared" si="426"/>
        <v>10625524.390141297</v>
      </c>
      <c r="BO123" s="1119"/>
      <c r="BS123" s="1117">
        <f t="shared" si="393"/>
        <v>10625524.390141297</v>
      </c>
      <c r="BT123" s="1118">
        <f t="shared" si="427"/>
        <v>0</v>
      </c>
      <c r="BU123" s="1118">
        <f t="shared" si="428"/>
        <v>0</v>
      </c>
      <c r="BV123" s="1118">
        <f t="shared" si="429"/>
        <v>10625524.390141297</v>
      </c>
      <c r="BW123" s="1119"/>
      <c r="CA123" s="1117">
        <f t="shared" si="394"/>
        <v>10625524.390141297</v>
      </c>
      <c r="CB123" s="1118">
        <f t="shared" si="430"/>
        <v>0</v>
      </c>
      <c r="CC123" s="1118">
        <f t="shared" si="431"/>
        <v>0</v>
      </c>
      <c r="CD123" s="1118">
        <f t="shared" si="432"/>
        <v>10625524.390141297</v>
      </c>
      <c r="CE123" s="1119"/>
      <c r="CI123" s="1117">
        <f t="shared" si="395"/>
        <v>10625524.390141297</v>
      </c>
      <c r="CJ123" s="1118">
        <f t="shared" si="433"/>
        <v>0</v>
      </c>
      <c r="CK123" s="1118">
        <f t="shared" si="434"/>
        <v>0</v>
      </c>
      <c r="CL123" s="1118">
        <f t="shared" si="435"/>
        <v>10625524.390141297</v>
      </c>
      <c r="CM123" s="1119"/>
      <c r="CQ123" s="1117">
        <f t="shared" si="396"/>
        <v>10625524.390141297</v>
      </c>
      <c r="CR123" s="1118">
        <f t="shared" si="436"/>
        <v>0</v>
      </c>
      <c r="CS123" s="1118">
        <f t="shared" si="437"/>
        <v>0</v>
      </c>
      <c r="CT123" s="1118">
        <f t="shared" si="438"/>
        <v>10625524.390141297</v>
      </c>
      <c r="CU123" s="1119"/>
      <c r="CY123" s="1117">
        <f t="shared" si="397"/>
        <v>10625524.390141297</v>
      </c>
      <c r="CZ123" s="1118">
        <f t="shared" si="439"/>
        <v>0</v>
      </c>
      <c r="DA123" s="1118">
        <f t="shared" si="440"/>
        <v>0</v>
      </c>
      <c r="DB123" s="1118">
        <f t="shared" si="441"/>
        <v>10625524.390141297</v>
      </c>
      <c r="DC123" s="1119"/>
      <c r="DG123" s="1117">
        <f t="shared" si="398"/>
        <v>10625524.390141297</v>
      </c>
      <c r="DH123" s="1118">
        <f t="shared" si="442"/>
        <v>0</v>
      </c>
      <c r="DI123" s="1118">
        <f t="shared" si="443"/>
        <v>0</v>
      </c>
      <c r="DJ123" s="1118">
        <f t="shared" si="444"/>
        <v>10625524.390141297</v>
      </c>
      <c r="DK123" s="1119"/>
      <c r="DO123" s="1117">
        <f t="shared" si="399"/>
        <v>10625524.390141297</v>
      </c>
      <c r="DP123" s="1118">
        <f t="shared" si="445"/>
        <v>0</v>
      </c>
      <c r="DQ123" s="1118">
        <f t="shared" si="446"/>
        <v>0</v>
      </c>
      <c r="DR123" s="1118">
        <f t="shared" si="447"/>
        <v>10625524.390141297</v>
      </c>
      <c r="DS123" s="1119"/>
      <c r="DW123" s="1117">
        <f t="shared" si="400"/>
        <v>10625524.390141297</v>
      </c>
      <c r="DX123" s="1118">
        <f t="shared" si="448"/>
        <v>0</v>
      </c>
      <c r="DY123" s="1118">
        <f t="shared" si="449"/>
        <v>0</v>
      </c>
      <c r="DZ123" s="1118">
        <f t="shared" si="450"/>
        <v>10625524.390141297</v>
      </c>
      <c r="EA123" s="1119"/>
      <c r="EE123" s="1117">
        <f t="shared" si="401"/>
        <v>10625524.390141297</v>
      </c>
      <c r="EF123" s="1118">
        <f t="shared" si="451"/>
        <v>0</v>
      </c>
      <c r="EG123" s="1118">
        <f t="shared" si="452"/>
        <v>0</v>
      </c>
      <c r="EH123" s="1118">
        <f t="shared" si="453"/>
        <v>10625524.390141297</v>
      </c>
      <c r="EI123" s="1119"/>
      <c r="EM123" s="1117">
        <f t="shared" si="402"/>
        <v>10625524.390141297</v>
      </c>
      <c r="EN123" s="1118">
        <f t="shared" si="454"/>
        <v>0</v>
      </c>
      <c r="EO123" s="1118">
        <f t="shared" si="455"/>
        <v>0</v>
      </c>
      <c r="EP123" s="1118">
        <f t="shared" si="456"/>
        <v>10625524.390141297</v>
      </c>
      <c r="EQ123" s="1119"/>
      <c r="EU123" s="1117">
        <f t="shared" si="403"/>
        <v>10625524.390141297</v>
      </c>
      <c r="EV123" s="1118">
        <f t="shared" si="457"/>
        <v>0</v>
      </c>
      <c r="EW123" s="1118">
        <f t="shared" si="458"/>
        <v>0</v>
      </c>
      <c r="EX123" s="1118">
        <f t="shared" si="459"/>
        <v>10625524.390141297</v>
      </c>
      <c r="EY123" s="1119"/>
      <c r="FC123" s="1117">
        <f t="shared" si="404"/>
        <v>10625524.390141297</v>
      </c>
      <c r="FD123" s="1118">
        <f t="shared" si="460"/>
        <v>0</v>
      </c>
      <c r="FE123" s="1118">
        <f t="shared" si="461"/>
        <v>0</v>
      </c>
      <c r="FF123" s="1118">
        <f t="shared" si="462"/>
        <v>10625524.390141297</v>
      </c>
      <c r="FG123" s="1119"/>
      <c r="FK123" s="1117">
        <f t="shared" si="405"/>
        <v>10625524.390141297</v>
      </c>
      <c r="FL123" s="1118">
        <f t="shared" si="463"/>
        <v>0</v>
      </c>
      <c r="FM123" s="1118">
        <f t="shared" si="464"/>
        <v>0</v>
      </c>
      <c r="FN123" s="1118">
        <f t="shared" si="465"/>
        <v>10625524.390141297</v>
      </c>
      <c r="FO123" s="1119"/>
    </row>
    <row r="124" spans="1:171" x14ac:dyDescent="0.25">
      <c r="A124" s="1421"/>
      <c r="B124" s="79" t="s">
        <v>14</v>
      </c>
      <c r="C124" s="889" t="s">
        <v>78</v>
      </c>
      <c r="D124" s="889">
        <v>183.1</v>
      </c>
      <c r="E124" s="182" t="str">
        <f>'Sch 1- Rate Base '!E124</f>
        <v>DIST</v>
      </c>
      <c r="F124" s="890"/>
      <c r="G124" s="182">
        <f>'Sch 1- Rate Base '!G124</f>
        <v>0</v>
      </c>
      <c r="H124" s="182">
        <f>'Sch 1- Rate Base '!H124</f>
        <v>0</v>
      </c>
      <c r="I124" s="182">
        <f>'Sch 1- Rate Base '!I124</f>
        <v>0</v>
      </c>
      <c r="J124" s="1422">
        <f>'Sch 1- Rate Base '!J124</f>
        <v>0</v>
      </c>
      <c r="K124" s="904">
        <f t="shared" si="385"/>
        <v>1</v>
      </c>
      <c r="O124" s="1117">
        <f t="shared" si="386"/>
        <v>0</v>
      </c>
      <c r="P124" s="1118">
        <f t="shared" si="406"/>
        <v>0</v>
      </c>
      <c r="Q124" s="1118">
        <f t="shared" si="407"/>
        <v>0</v>
      </c>
      <c r="R124" s="1118">
        <f t="shared" si="408"/>
        <v>0</v>
      </c>
      <c r="S124" s="1119"/>
      <c r="W124" s="1117">
        <f t="shared" si="387"/>
        <v>0</v>
      </c>
      <c r="X124" s="1118">
        <f t="shared" si="409"/>
        <v>0</v>
      </c>
      <c r="Y124" s="1118">
        <f t="shared" si="410"/>
        <v>0</v>
      </c>
      <c r="Z124" s="1118">
        <f t="shared" si="411"/>
        <v>0</v>
      </c>
      <c r="AA124" s="1119"/>
      <c r="AE124" s="1117">
        <f t="shared" si="388"/>
        <v>0</v>
      </c>
      <c r="AF124" s="1118">
        <f t="shared" si="412"/>
        <v>0</v>
      </c>
      <c r="AG124" s="1118">
        <f t="shared" si="413"/>
        <v>0</v>
      </c>
      <c r="AH124" s="1118">
        <f t="shared" si="414"/>
        <v>0</v>
      </c>
      <c r="AI124" s="1119"/>
      <c r="AM124" s="1117">
        <f t="shared" si="389"/>
        <v>0</v>
      </c>
      <c r="AN124" s="1118">
        <f t="shared" si="415"/>
        <v>0</v>
      </c>
      <c r="AO124" s="1118">
        <f t="shared" si="416"/>
        <v>0</v>
      </c>
      <c r="AP124" s="1118">
        <f t="shared" si="417"/>
        <v>0</v>
      </c>
      <c r="AQ124" s="1119"/>
      <c r="AU124" s="1117">
        <f t="shared" si="390"/>
        <v>0</v>
      </c>
      <c r="AV124" s="1118">
        <f t="shared" si="418"/>
        <v>0</v>
      </c>
      <c r="AW124" s="1118">
        <f t="shared" si="419"/>
        <v>0</v>
      </c>
      <c r="AX124" s="1118">
        <f t="shared" si="420"/>
        <v>0</v>
      </c>
      <c r="AY124" s="1119"/>
      <c r="BC124" s="1117">
        <f t="shared" si="391"/>
        <v>0</v>
      </c>
      <c r="BD124" s="1118">
        <f t="shared" si="421"/>
        <v>0</v>
      </c>
      <c r="BE124" s="1118">
        <f t="shared" si="422"/>
        <v>0</v>
      </c>
      <c r="BF124" s="1118">
        <f t="shared" si="423"/>
        <v>0</v>
      </c>
      <c r="BG124" s="1119"/>
      <c r="BK124" s="1117">
        <f t="shared" si="392"/>
        <v>0</v>
      </c>
      <c r="BL124" s="1118">
        <f t="shared" si="424"/>
        <v>0</v>
      </c>
      <c r="BM124" s="1118">
        <f t="shared" si="425"/>
        <v>0</v>
      </c>
      <c r="BN124" s="1118">
        <f t="shared" si="426"/>
        <v>0</v>
      </c>
      <c r="BO124" s="1119"/>
      <c r="BS124" s="1117">
        <f t="shared" si="393"/>
        <v>0</v>
      </c>
      <c r="BT124" s="1118">
        <f t="shared" si="427"/>
        <v>0</v>
      </c>
      <c r="BU124" s="1118">
        <f t="shared" si="428"/>
        <v>0</v>
      </c>
      <c r="BV124" s="1118">
        <f t="shared" si="429"/>
        <v>0</v>
      </c>
      <c r="BW124" s="1119"/>
      <c r="CA124" s="1117">
        <f t="shared" si="394"/>
        <v>0</v>
      </c>
      <c r="CB124" s="1118">
        <f t="shared" si="430"/>
        <v>0</v>
      </c>
      <c r="CC124" s="1118">
        <f t="shared" si="431"/>
        <v>0</v>
      </c>
      <c r="CD124" s="1118">
        <f t="shared" si="432"/>
        <v>0</v>
      </c>
      <c r="CE124" s="1119"/>
      <c r="CI124" s="1117">
        <f t="shared" si="395"/>
        <v>0</v>
      </c>
      <c r="CJ124" s="1118">
        <f t="shared" si="433"/>
        <v>0</v>
      </c>
      <c r="CK124" s="1118">
        <f t="shared" si="434"/>
        <v>0</v>
      </c>
      <c r="CL124" s="1118">
        <f t="shared" si="435"/>
        <v>0</v>
      </c>
      <c r="CM124" s="1119"/>
      <c r="CQ124" s="1117">
        <f t="shared" si="396"/>
        <v>0</v>
      </c>
      <c r="CR124" s="1118">
        <f t="shared" si="436"/>
        <v>0</v>
      </c>
      <c r="CS124" s="1118">
        <f t="shared" si="437"/>
        <v>0</v>
      </c>
      <c r="CT124" s="1118">
        <f t="shared" si="438"/>
        <v>0</v>
      </c>
      <c r="CU124" s="1119"/>
      <c r="CY124" s="1117">
        <f t="shared" si="397"/>
        <v>0</v>
      </c>
      <c r="CZ124" s="1118">
        <f t="shared" si="439"/>
        <v>0</v>
      </c>
      <c r="DA124" s="1118">
        <f t="shared" si="440"/>
        <v>0</v>
      </c>
      <c r="DB124" s="1118">
        <f t="shared" si="441"/>
        <v>0</v>
      </c>
      <c r="DC124" s="1119"/>
      <c r="DG124" s="1117">
        <f t="shared" si="398"/>
        <v>0</v>
      </c>
      <c r="DH124" s="1118">
        <f t="shared" si="442"/>
        <v>0</v>
      </c>
      <c r="DI124" s="1118">
        <f t="shared" si="443"/>
        <v>0</v>
      </c>
      <c r="DJ124" s="1118">
        <f t="shared" si="444"/>
        <v>0</v>
      </c>
      <c r="DK124" s="1119"/>
      <c r="DO124" s="1117">
        <f t="shared" si="399"/>
        <v>0</v>
      </c>
      <c r="DP124" s="1118">
        <f t="shared" si="445"/>
        <v>0</v>
      </c>
      <c r="DQ124" s="1118">
        <f t="shared" si="446"/>
        <v>0</v>
      </c>
      <c r="DR124" s="1118">
        <f t="shared" si="447"/>
        <v>0</v>
      </c>
      <c r="DS124" s="1119"/>
      <c r="DW124" s="1117">
        <f t="shared" si="400"/>
        <v>0</v>
      </c>
      <c r="DX124" s="1118">
        <f t="shared" si="448"/>
        <v>0</v>
      </c>
      <c r="DY124" s="1118">
        <f t="shared" si="449"/>
        <v>0</v>
      </c>
      <c r="DZ124" s="1118">
        <f t="shared" si="450"/>
        <v>0</v>
      </c>
      <c r="EA124" s="1119"/>
      <c r="EE124" s="1117">
        <f t="shared" si="401"/>
        <v>0</v>
      </c>
      <c r="EF124" s="1118">
        <f t="shared" si="451"/>
        <v>0</v>
      </c>
      <c r="EG124" s="1118">
        <f t="shared" si="452"/>
        <v>0</v>
      </c>
      <c r="EH124" s="1118">
        <f t="shared" si="453"/>
        <v>0</v>
      </c>
      <c r="EI124" s="1119"/>
      <c r="EM124" s="1117">
        <f t="shared" si="402"/>
        <v>0</v>
      </c>
      <c r="EN124" s="1118">
        <f t="shared" si="454"/>
        <v>0</v>
      </c>
      <c r="EO124" s="1118">
        <f t="shared" si="455"/>
        <v>0</v>
      </c>
      <c r="EP124" s="1118">
        <f t="shared" si="456"/>
        <v>0</v>
      </c>
      <c r="EQ124" s="1119"/>
      <c r="EU124" s="1117">
        <f t="shared" si="403"/>
        <v>0</v>
      </c>
      <c r="EV124" s="1118">
        <f t="shared" si="457"/>
        <v>0</v>
      </c>
      <c r="EW124" s="1118">
        <f t="shared" si="458"/>
        <v>0</v>
      </c>
      <c r="EX124" s="1118">
        <f t="shared" si="459"/>
        <v>0</v>
      </c>
      <c r="EY124" s="1119"/>
      <c r="FC124" s="1117">
        <f t="shared" si="404"/>
        <v>0</v>
      </c>
      <c r="FD124" s="1118">
        <f t="shared" si="460"/>
        <v>0</v>
      </c>
      <c r="FE124" s="1118">
        <f t="shared" si="461"/>
        <v>0</v>
      </c>
      <c r="FF124" s="1118">
        <f t="shared" si="462"/>
        <v>0</v>
      </c>
      <c r="FG124" s="1119"/>
      <c r="FK124" s="1117">
        <f t="shared" si="405"/>
        <v>0</v>
      </c>
      <c r="FL124" s="1118">
        <f t="shared" si="463"/>
        <v>0</v>
      </c>
      <c r="FM124" s="1118">
        <f t="shared" si="464"/>
        <v>0</v>
      </c>
      <c r="FN124" s="1118">
        <f t="shared" si="465"/>
        <v>0</v>
      </c>
      <c r="FO124" s="1119"/>
    </row>
    <row r="125" spans="1:171" x14ac:dyDescent="0.25">
      <c r="A125" s="1421"/>
      <c r="B125" s="79" t="s">
        <v>445</v>
      </c>
      <c r="C125" s="889" t="s">
        <v>78</v>
      </c>
      <c r="D125" s="889">
        <v>183.2</v>
      </c>
      <c r="E125" s="182" t="str">
        <f>'Sch 1- Rate Base '!E125</f>
        <v>DIST</v>
      </c>
      <c r="F125" s="890"/>
      <c r="G125" s="182">
        <f>'Sch 1- Rate Base '!G125</f>
        <v>0</v>
      </c>
      <c r="H125" s="182">
        <f>'Sch 1- Rate Base '!H125</f>
        <v>0</v>
      </c>
      <c r="I125" s="182">
        <f>'Sch 1- Rate Base '!I125</f>
        <v>0</v>
      </c>
      <c r="J125" s="1422">
        <f>'Sch 1- Rate Base '!J125</f>
        <v>0</v>
      </c>
      <c r="K125" s="904">
        <f t="shared" si="385"/>
        <v>1</v>
      </c>
      <c r="O125" s="1117">
        <f t="shared" si="386"/>
        <v>0</v>
      </c>
      <c r="P125" s="1118">
        <f t="shared" si="406"/>
        <v>0</v>
      </c>
      <c r="Q125" s="1118">
        <f t="shared" si="407"/>
        <v>0</v>
      </c>
      <c r="R125" s="1118">
        <f t="shared" si="408"/>
        <v>0</v>
      </c>
      <c r="S125" s="1119"/>
      <c r="W125" s="1117">
        <f t="shared" si="387"/>
        <v>0</v>
      </c>
      <c r="X125" s="1118">
        <f t="shared" si="409"/>
        <v>0</v>
      </c>
      <c r="Y125" s="1118">
        <f t="shared" si="410"/>
        <v>0</v>
      </c>
      <c r="Z125" s="1118">
        <f t="shared" si="411"/>
        <v>0</v>
      </c>
      <c r="AA125" s="1119"/>
      <c r="AE125" s="1117">
        <f t="shared" si="388"/>
        <v>0</v>
      </c>
      <c r="AF125" s="1118">
        <f t="shared" si="412"/>
        <v>0</v>
      </c>
      <c r="AG125" s="1118">
        <f t="shared" si="413"/>
        <v>0</v>
      </c>
      <c r="AH125" s="1118">
        <f t="shared" si="414"/>
        <v>0</v>
      </c>
      <c r="AI125" s="1119"/>
      <c r="AM125" s="1117">
        <f t="shared" si="389"/>
        <v>0</v>
      </c>
      <c r="AN125" s="1118">
        <f t="shared" si="415"/>
        <v>0</v>
      </c>
      <c r="AO125" s="1118">
        <f t="shared" si="416"/>
        <v>0</v>
      </c>
      <c r="AP125" s="1118">
        <f t="shared" si="417"/>
        <v>0</v>
      </c>
      <c r="AQ125" s="1119"/>
      <c r="AU125" s="1117">
        <f t="shared" si="390"/>
        <v>0</v>
      </c>
      <c r="AV125" s="1118">
        <f t="shared" si="418"/>
        <v>0</v>
      </c>
      <c r="AW125" s="1118">
        <f t="shared" si="419"/>
        <v>0</v>
      </c>
      <c r="AX125" s="1118">
        <f t="shared" si="420"/>
        <v>0</v>
      </c>
      <c r="AY125" s="1119"/>
      <c r="BC125" s="1117">
        <f t="shared" si="391"/>
        <v>0</v>
      </c>
      <c r="BD125" s="1118">
        <f t="shared" si="421"/>
        <v>0</v>
      </c>
      <c r="BE125" s="1118">
        <f t="shared" si="422"/>
        <v>0</v>
      </c>
      <c r="BF125" s="1118">
        <f t="shared" si="423"/>
        <v>0</v>
      </c>
      <c r="BG125" s="1119"/>
      <c r="BK125" s="1117">
        <f t="shared" si="392"/>
        <v>0</v>
      </c>
      <c r="BL125" s="1118">
        <f t="shared" si="424"/>
        <v>0</v>
      </c>
      <c r="BM125" s="1118">
        <f t="shared" si="425"/>
        <v>0</v>
      </c>
      <c r="BN125" s="1118">
        <f t="shared" si="426"/>
        <v>0</v>
      </c>
      <c r="BO125" s="1119"/>
      <c r="BS125" s="1117">
        <f t="shared" si="393"/>
        <v>0</v>
      </c>
      <c r="BT125" s="1118">
        <f t="shared" si="427"/>
        <v>0</v>
      </c>
      <c r="BU125" s="1118">
        <f t="shared" si="428"/>
        <v>0</v>
      </c>
      <c r="BV125" s="1118">
        <f t="shared" si="429"/>
        <v>0</v>
      </c>
      <c r="BW125" s="1119"/>
      <c r="CA125" s="1117">
        <f t="shared" si="394"/>
        <v>0</v>
      </c>
      <c r="CB125" s="1118">
        <f t="shared" si="430"/>
        <v>0</v>
      </c>
      <c r="CC125" s="1118">
        <f t="shared" si="431"/>
        <v>0</v>
      </c>
      <c r="CD125" s="1118">
        <f t="shared" si="432"/>
        <v>0</v>
      </c>
      <c r="CE125" s="1119"/>
      <c r="CI125" s="1117">
        <f t="shared" si="395"/>
        <v>0</v>
      </c>
      <c r="CJ125" s="1118">
        <f t="shared" si="433"/>
        <v>0</v>
      </c>
      <c r="CK125" s="1118">
        <f t="shared" si="434"/>
        <v>0</v>
      </c>
      <c r="CL125" s="1118">
        <f t="shared" si="435"/>
        <v>0</v>
      </c>
      <c r="CM125" s="1119"/>
      <c r="CQ125" s="1117">
        <f t="shared" si="396"/>
        <v>0</v>
      </c>
      <c r="CR125" s="1118">
        <f t="shared" si="436"/>
        <v>0</v>
      </c>
      <c r="CS125" s="1118">
        <f t="shared" si="437"/>
        <v>0</v>
      </c>
      <c r="CT125" s="1118">
        <f t="shared" si="438"/>
        <v>0</v>
      </c>
      <c r="CU125" s="1119"/>
      <c r="CY125" s="1117">
        <f t="shared" si="397"/>
        <v>0</v>
      </c>
      <c r="CZ125" s="1118">
        <f t="shared" si="439"/>
        <v>0</v>
      </c>
      <c r="DA125" s="1118">
        <f t="shared" si="440"/>
        <v>0</v>
      </c>
      <c r="DB125" s="1118">
        <f t="shared" si="441"/>
        <v>0</v>
      </c>
      <c r="DC125" s="1119"/>
      <c r="DG125" s="1117">
        <f t="shared" si="398"/>
        <v>0</v>
      </c>
      <c r="DH125" s="1118">
        <f t="shared" si="442"/>
        <v>0</v>
      </c>
      <c r="DI125" s="1118">
        <f t="shared" si="443"/>
        <v>0</v>
      </c>
      <c r="DJ125" s="1118">
        <f t="shared" si="444"/>
        <v>0</v>
      </c>
      <c r="DK125" s="1119"/>
      <c r="DO125" s="1117">
        <f t="shared" si="399"/>
        <v>0</v>
      </c>
      <c r="DP125" s="1118">
        <f t="shared" si="445"/>
        <v>0</v>
      </c>
      <c r="DQ125" s="1118">
        <f t="shared" si="446"/>
        <v>0</v>
      </c>
      <c r="DR125" s="1118">
        <f t="shared" si="447"/>
        <v>0</v>
      </c>
      <c r="DS125" s="1119"/>
      <c r="DW125" s="1117">
        <f t="shared" si="400"/>
        <v>0</v>
      </c>
      <c r="DX125" s="1118">
        <f t="shared" si="448"/>
        <v>0</v>
      </c>
      <c r="DY125" s="1118">
        <f t="shared" si="449"/>
        <v>0</v>
      </c>
      <c r="DZ125" s="1118">
        <f t="shared" si="450"/>
        <v>0</v>
      </c>
      <c r="EA125" s="1119"/>
      <c r="EE125" s="1117">
        <f t="shared" si="401"/>
        <v>0</v>
      </c>
      <c r="EF125" s="1118">
        <f t="shared" si="451"/>
        <v>0</v>
      </c>
      <c r="EG125" s="1118">
        <f t="shared" si="452"/>
        <v>0</v>
      </c>
      <c r="EH125" s="1118">
        <f t="shared" si="453"/>
        <v>0</v>
      </c>
      <c r="EI125" s="1119"/>
      <c r="EM125" s="1117">
        <f t="shared" si="402"/>
        <v>0</v>
      </c>
      <c r="EN125" s="1118">
        <f t="shared" si="454"/>
        <v>0</v>
      </c>
      <c r="EO125" s="1118">
        <f t="shared" si="455"/>
        <v>0</v>
      </c>
      <c r="EP125" s="1118">
        <f t="shared" si="456"/>
        <v>0</v>
      </c>
      <c r="EQ125" s="1119"/>
      <c r="EU125" s="1117">
        <f t="shared" si="403"/>
        <v>0</v>
      </c>
      <c r="EV125" s="1118">
        <f t="shared" si="457"/>
        <v>0</v>
      </c>
      <c r="EW125" s="1118">
        <f t="shared" si="458"/>
        <v>0</v>
      </c>
      <c r="EX125" s="1118">
        <f t="shared" si="459"/>
        <v>0</v>
      </c>
      <c r="EY125" s="1119"/>
      <c r="FC125" s="1117">
        <f t="shared" si="404"/>
        <v>0</v>
      </c>
      <c r="FD125" s="1118">
        <f t="shared" si="460"/>
        <v>0</v>
      </c>
      <c r="FE125" s="1118">
        <f t="shared" si="461"/>
        <v>0</v>
      </c>
      <c r="FF125" s="1118">
        <f t="shared" si="462"/>
        <v>0</v>
      </c>
      <c r="FG125" s="1119"/>
      <c r="FK125" s="1117">
        <f t="shared" si="405"/>
        <v>0</v>
      </c>
      <c r="FL125" s="1118">
        <f t="shared" si="463"/>
        <v>0</v>
      </c>
      <c r="FM125" s="1118">
        <f t="shared" si="464"/>
        <v>0</v>
      </c>
      <c r="FN125" s="1118">
        <f t="shared" si="465"/>
        <v>0</v>
      </c>
      <c r="FO125" s="1119"/>
    </row>
    <row r="126" spans="1:171" x14ac:dyDescent="0.25">
      <c r="A126" s="1421"/>
      <c r="B126" s="79" t="s">
        <v>15</v>
      </c>
      <c r="C126" s="889" t="s">
        <v>78</v>
      </c>
      <c r="D126" s="889">
        <v>184</v>
      </c>
      <c r="E126" s="182" t="str">
        <f>'Sch 1- Rate Base '!E126</f>
        <v>DIST</v>
      </c>
      <c r="F126" s="890"/>
      <c r="G126" s="182">
        <f>'Sch 1- Rate Base '!G126</f>
        <v>2867.363757145788</v>
      </c>
      <c r="H126" s="182">
        <f>'Sch 1- Rate Base '!H126</f>
        <v>0</v>
      </c>
      <c r="I126" s="182">
        <f>'Sch 1- Rate Base '!I126</f>
        <v>0</v>
      </c>
      <c r="J126" s="1422">
        <f>'Sch 1- Rate Base '!J126</f>
        <v>2867.363757145788</v>
      </c>
      <c r="K126" s="904">
        <f t="shared" si="385"/>
        <v>1</v>
      </c>
      <c r="O126" s="1117">
        <f t="shared" si="386"/>
        <v>2867.363757145788</v>
      </c>
      <c r="P126" s="1118">
        <f t="shared" si="406"/>
        <v>0</v>
      </c>
      <c r="Q126" s="1118">
        <f t="shared" si="407"/>
        <v>0</v>
      </c>
      <c r="R126" s="1118">
        <f t="shared" si="408"/>
        <v>2867.363757145788</v>
      </c>
      <c r="S126" s="1119"/>
      <c r="W126" s="1117">
        <f t="shared" si="387"/>
        <v>2867.363757145788</v>
      </c>
      <c r="X126" s="1118">
        <f t="shared" si="409"/>
        <v>0</v>
      </c>
      <c r="Y126" s="1118">
        <f t="shared" si="410"/>
        <v>0</v>
      </c>
      <c r="Z126" s="1118">
        <f t="shared" si="411"/>
        <v>2867.363757145788</v>
      </c>
      <c r="AA126" s="1119"/>
      <c r="AE126" s="1117">
        <f t="shared" si="388"/>
        <v>2867.363757145788</v>
      </c>
      <c r="AF126" s="1118">
        <f t="shared" si="412"/>
        <v>0</v>
      </c>
      <c r="AG126" s="1118">
        <f t="shared" si="413"/>
        <v>0</v>
      </c>
      <c r="AH126" s="1118">
        <f t="shared" si="414"/>
        <v>2867.363757145788</v>
      </c>
      <c r="AI126" s="1119"/>
      <c r="AM126" s="1117">
        <f t="shared" si="389"/>
        <v>2867.363757145788</v>
      </c>
      <c r="AN126" s="1118">
        <f t="shared" si="415"/>
        <v>0</v>
      </c>
      <c r="AO126" s="1118">
        <f t="shared" si="416"/>
        <v>0</v>
      </c>
      <c r="AP126" s="1118">
        <f t="shared" si="417"/>
        <v>2867.363757145788</v>
      </c>
      <c r="AQ126" s="1119"/>
      <c r="AU126" s="1117">
        <f t="shared" si="390"/>
        <v>2867.363757145788</v>
      </c>
      <c r="AV126" s="1118">
        <f t="shared" si="418"/>
        <v>0</v>
      </c>
      <c r="AW126" s="1118">
        <f t="shared" si="419"/>
        <v>0</v>
      </c>
      <c r="AX126" s="1118">
        <f t="shared" si="420"/>
        <v>2867.363757145788</v>
      </c>
      <c r="AY126" s="1119"/>
      <c r="BC126" s="1117">
        <f t="shared" si="391"/>
        <v>2867.363757145788</v>
      </c>
      <c r="BD126" s="1118">
        <f t="shared" si="421"/>
        <v>0</v>
      </c>
      <c r="BE126" s="1118">
        <f t="shared" si="422"/>
        <v>0</v>
      </c>
      <c r="BF126" s="1118">
        <f t="shared" si="423"/>
        <v>2867.363757145788</v>
      </c>
      <c r="BG126" s="1119"/>
      <c r="BK126" s="1117">
        <f t="shared" si="392"/>
        <v>2867.363757145788</v>
      </c>
      <c r="BL126" s="1118">
        <f t="shared" si="424"/>
        <v>0</v>
      </c>
      <c r="BM126" s="1118">
        <f t="shared" si="425"/>
        <v>0</v>
      </c>
      <c r="BN126" s="1118">
        <f t="shared" si="426"/>
        <v>2867.363757145788</v>
      </c>
      <c r="BO126" s="1119"/>
      <c r="BS126" s="1117">
        <f t="shared" si="393"/>
        <v>2867.363757145788</v>
      </c>
      <c r="BT126" s="1118">
        <f t="shared" si="427"/>
        <v>0</v>
      </c>
      <c r="BU126" s="1118">
        <f t="shared" si="428"/>
        <v>0</v>
      </c>
      <c r="BV126" s="1118">
        <f t="shared" si="429"/>
        <v>2867.363757145788</v>
      </c>
      <c r="BW126" s="1119"/>
      <c r="CA126" s="1117">
        <f t="shared" si="394"/>
        <v>2867.363757145788</v>
      </c>
      <c r="CB126" s="1118">
        <f t="shared" si="430"/>
        <v>0</v>
      </c>
      <c r="CC126" s="1118">
        <f t="shared" si="431"/>
        <v>0</v>
      </c>
      <c r="CD126" s="1118">
        <f t="shared" si="432"/>
        <v>2867.363757145788</v>
      </c>
      <c r="CE126" s="1119"/>
      <c r="CI126" s="1117">
        <f t="shared" si="395"/>
        <v>2867.363757145788</v>
      </c>
      <c r="CJ126" s="1118">
        <f t="shared" si="433"/>
        <v>0</v>
      </c>
      <c r="CK126" s="1118">
        <f t="shared" si="434"/>
        <v>0</v>
      </c>
      <c r="CL126" s="1118">
        <f t="shared" si="435"/>
        <v>2867.363757145788</v>
      </c>
      <c r="CM126" s="1119"/>
      <c r="CQ126" s="1117">
        <f t="shared" si="396"/>
        <v>2867.363757145788</v>
      </c>
      <c r="CR126" s="1118">
        <f t="shared" si="436"/>
        <v>0</v>
      </c>
      <c r="CS126" s="1118">
        <f t="shared" si="437"/>
        <v>0</v>
      </c>
      <c r="CT126" s="1118">
        <f t="shared" si="438"/>
        <v>2867.363757145788</v>
      </c>
      <c r="CU126" s="1119"/>
      <c r="CY126" s="1117">
        <f t="shared" si="397"/>
        <v>2867.363757145788</v>
      </c>
      <c r="CZ126" s="1118">
        <f t="shared" si="439"/>
        <v>0</v>
      </c>
      <c r="DA126" s="1118">
        <f t="shared" si="440"/>
        <v>0</v>
      </c>
      <c r="DB126" s="1118">
        <f t="shared" si="441"/>
        <v>2867.363757145788</v>
      </c>
      <c r="DC126" s="1119"/>
      <c r="DG126" s="1117">
        <f t="shared" si="398"/>
        <v>2867.363757145788</v>
      </c>
      <c r="DH126" s="1118">
        <f t="shared" si="442"/>
        <v>0</v>
      </c>
      <c r="DI126" s="1118">
        <f t="shared" si="443"/>
        <v>0</v>
      </c>
      <c r="DJ126" s="1118">
        <f t="shared" si="444"/>
        <v>2867.363757145788</v>
      </c>
      <c r="DK126" s="1119"/>
      <c r="DO126" s="1117">
        <f t="shared" si="399"/>
        <v>2867.363757145788</v>
      </c>
      <c r="DP126" s="1118">
        <f t="shared" si="445"/>
        <v>0</v>
      </c>
      <c r="DQ126" s="1118">
        <f t="shared" si="446"/>
        <v>0</v>
      </c>
      <c r="DR126" s="1118">
        <f t="shared" si="447"/>
        <v>2867.363757145788</v>
      </c>
      <c r="DS126" s="1119"/>
      <c r="DW126" s="1117">
        <f t="shared" si="400"/>
        <v>2867.363757145788</v>
      </c>
      <c r="DX126" s="1118">
        <f t="shared" si="448"/>
        <v>0</v>
      </c>
      <c r="DY126" s="1118">
        <f t="shared" si="449"/>
        <v>0</v>
      </c>
      <c r="DZ126" s="1118">
        <f t="shared" si="450"/>
        <v>2867.363757145788</v>
      </c>
      <c r="EA126" s="1119"/>
      <c r="EE126" s="1117">
        <f t="shared" si="401"/>
        <v>2867.363757145788</v>
      </c>
      <c r="EF126" s="1118">
        <f t="shared" si="451"/>
        <v>0</v>
      </c>
      <c r="EG126" s="1118">
        <f t="shared" si="452"/>
        <v>0</v>
      </c>
      <c r="EH126" s="1118">
        <f t="shared" si="453"/>
        <v>2867.363757145788</v>
      </c>
      <c r="EI126" s="1119"/>
      <c r="EM126" s="1117">
        <f t="shared" si="402"/>
        <v>2867.363757145788</v>
      </c>
      <c r="EN126" s="1118">
        <f t="shared" si="454"/>
        <v>0</v>
      </c>
      <c r="EO126" s="1118">
        <f t="shared" si="455"/>
        <v>0</v>
      </c>
      <c r="EP126" s="1118">
        <f t="shared" si="456"/>
        <v>2867.363757145788</v>
      </c>
      <c r="EQ126" s="1119"/>
      <c r="EU126" s="1117">
        <f t="shared" si="403"/>
        <v>2867.363757145788</v>
      </c>
      <c r="EV126" s="1118">
        <f t="shared" si="457"/>
        <v>0</v>
      </c>
      <c r="EW126" s="1118">
        <f t="shared" si="458"/>
        <v>0</v>
      </c>
      <c r="EX126" s="1118">
        <f t="shared" si="459"/>
        <v>2867.363757145788</v>
      </c>
      <c r="EY126" s="1119"/>
      <c r="FC126" s="1117">
        <f t="shared" si="404"/>
        <v>2867.363757145788</v>
      </c>
      <c r="FD126" s="1118">
        <f t="shared" si="460"/>
        <v>0</v>
      </c>
      <c r="FE126" s="1118">
        <f t="shared" si="461"/>
        <v>0</v>
      </c>
      <c r="FF126" s="1118">
        <f t="shared" si="462"/>
        <v>2867.363757145788</v>
      </c>
      <c r="FG126" s="1119"/>
      <c r="FK126" s="1117">
        <f t="shared" si="405"/>
        <v>2867.363757145788</v>
      </c>
      <c r="FL126" s="1118">
        <f t="shared" si="463"/>
        <v>0</v>
      </c>
      <c r="FM126" s="1118">
        <f t="shared" si="464"/>
        <v>0</v>
      </c>
      <c r="FN126" s="1118">
        <f t="shared" si="465"/>
        <v>2867.363757145788</v>
      </c>
      <c r="FO126" s="1119"/>
    </row>
    <row r="127" spans="1:171" x14ac:dyDescent="0.25">
      <c r="A127" s="1421"/>
      <c r="B127" s="79" t="s">
        <v>16</v>
      </c>
      <c r="C127" s="889" t="s">
        <v>78</v>
      </c>
      <c r="D127" s="889">
        <v>185</v>
      </c>
      <c r="E127" s="182" t="str">
        <f>'Sch 1- Rate Base '!E127</f>
        <v>PTDG</v>
      </c>
      <c r="F127" s="890"/>
      <c r="G127" s="182">
        <f>'Sch 1- Rate Base '!G127</f>
        <v>63231.269284363545</v>
      </c>
      <c r="H127" s="182">
        <f>'Sch 1- Rate Base '!H127</f>
        <v>27468.580337729723</v>
      </c>
      <c r="I127" s="182">
        <f>'Sch 1- Rate Base '!I127</f>
        <v>0</v>
      </c>
      <c r="J127" s="1422">
        <f>'Sch 1- Rate Base '!J127</f>
        <v>19431.59572434863</v>
      </c>
      <c r="K127" s="904">
        <f t="shared" si="385"/>
        <v>1</v>
      </c>
      <c r="O127" s="1117">
        <f t="shared" si="386"/>
        <v>63231.269284363545</v>
      </c>
      <c r="P127" s="1118">
        <f t="shared" si="406"/>
        <v>27468.580337729723</v>
      </c>
      <c r="Q127" s="1118">
        <f t="shared" si="407"/>
        <v>16003.898772023967</v>
      </c>
      <c r="R127" s="1118">
        <f t="shared" si="408"/>
        <v>19758.790174609851</v>
      </c>
      <c r="S127" s="1119"/>
      <c r="W127" s="1117">
        <f t="shared" si="387"/>
        <v>63231.269284363545</v>
      </c>
      <c r="X127" s="1118">
        <f t="shared" si="409"/>
        <v>27468.580337729723</v>
      </c>
      <c r="Y127" s="1118">
        <f t="shared" si="410"/>
        <v>16003.898772023967</v>
      </c>
      <c r="Z127" s="1118">
        <f t="shared" si="411"/>
        <v>19758.790174609851</v>
      </c>
      <c r="AA127" s="1119"/>
      <c r="AE127" s="1117">
        <f t="shared" si="388"/>
        <v>63231.269284363545</v>
      </c>
      <c r="AF127" s="1118">
        <f t="shared" si="412"/>
        <v>27468.580337729723</v>
      </c>
      <c r="AG127" s="1118">
        <f t="shared" si="413"/>
        <v>16003.898772023967</v>
      </c>
      <c r="AH127" s="1118">
        <f t="shared" si="414"/>
        <v>19758.790174609851</v>
      </c>
      <c r="AI127" s="1119"/>
      <c r="AM127" s="1117">
        <f t="shared" si="389"/>
        <v>63231.269284363545</v>
      </c>
      <c r="AN127" s="1118">
        <f t="shared" si="415"/>
        <v>27468.580337729723</v>
      </c>
      <c r="AO127" s="1118">
        <f t="shared" si="416"/>
        <v>16003.898772023967</v>
      </c>
      <c r="AP127" s="1118">
        <f t="shared" si="417"/>
        <v>19758.790174609851</v>
      </c>
      <c r="AQ127" s="1119"/>
      <c r="AU127" s="1117">
        <f t="shared" si="390"/>
        <v>63231.269284363545</v>
      </c>
      <c r="AV127" s="1118">
        <f t="shared" si="418"/>
        <v>27468.580337729723</v>
      </c>
      <c r="AW127" s="1118">
        <f t="shared" si="419"/>
        <v>16003.898772023967</v>
      </c>
      <c r="AX127" s="1118">
        <f t="shared" si="420"/>
        <v>19758.790174609851</v>
      </c>
      <c r="AY127" s="1119"/>
      <c r="BC127" s="1117">
        <f t="shared" si="391"/>
        <v>63231.269284363545</v>
      </c>
      <c r="BD127" s="1118">
        <f t="shared" si="421"/>
        <v>27468.580337729723</v>
      </c>
      <c r="BE127" s="1118">
        <f t="shared" si="422"/>
        <v>16003.898772023967</v>
      </c>
      <c r="BF127" s="1118">
        <f t="shared" si="423"/>
        <v>19758.790174609851</v>
      </c>
      <c r="BG127" s="1119"/>
      <c r="BK127" s="1117">
        <f t="shared" si="392"/>
        <v>63231.269284363545</v>
      </c>
      <c r="BL127" s="1118">
        <f t="shared" si="424"/>
        <v>27468.580337729723</v>
      </c>
      <c r="BM127" s="1118">
        <f t="shared" si="425"/>
        <v>16003.898772023967</v>
      </c>
      <c r="BN127" s="1118">
        <f t="shared" si="426"/>
        <v>19758.790174609851</v>
      </c>
      <c r="BO127" s="1119"/>
      <c r="BS127" s="1117">
        <f t="shared" si="393"/>
        <v>63231.269284363545</v>
      </c>
      <c r="BT127" s="1118">
        <f t="shared" si="427"/>
        <v>27468.580337729723</v>
      </c>
      <c r="BU127" s="1118">
        <f t="shared" si="428"/>
        <v>16003.898772023967</v>
      </c>
      <c r="BV127" s="1118">
        <f t="shared" si="429"/>
        <v>19758.790174609851</v>
      </c>
      <c r="BW127" s="1119"/>
      <c r="CA127" s="1117">
        <f t="shared" si="394"/>
        <v>63231.269284363545</v>
      </c>
      <c r="CB127" s="1118">
        <f t="shared" si="430"/>
        <v>27468.580337729723</v>
      </c>
      <c r="CC127" s="1118">
        <f t="shared" si="431"/>
        <v>16003.898772023967</v>
      </c>
      <c r="CD127" s="1118">
        <f t="shared" si="432"/>
        <v>19758.790174609851</v>
      </c>
      <c r="CE127" s="1119"/>
      <c r="CI127" s="1117">
        <f t="shared" si="395"/>
        <v>63231.269284363545</v>
      </c>
      <c r="CJ127" s="1118">
        <f t="shared" si="433"/>
        <v>27468.580337729723</v>
      </c>
      <c r="CK127" s="1118">
        <f t="shared" si="434"/>
        <v>16003.898772023967</v>
      </c>
      <c r="CL127" s="1118">
        <f t="shared" si="435"/>
        <v>19758.790174609851</v>
      </c>
      <c r="CM127" s="1119"/>
      <c r="CQ127" s="1117">
        <f t="shared" si="396"/>
        <v>63231.269284363545</v>
      </c>
      <c r="CR127" s="1118">
        <f t="shared" si="436"/>
        <v>27468.580337729723</v>
      </c>
      <c r="CS127" s="1118">
        <f t="shared" si="437"/>
        <v>16003.898772023967</v>
      </c>
      <c r="CT127" s="1118">
        <f t="shared" si="438"/>
        <v>19758.790174609851</v>
      </c>
      <c r="CU127" s="1119"/>
      <c r="CY127" s="1117">
        <f t="shared" si="397"/>
        <v>63231.269284363545</v>
      </c>
      <c r="CZ127" s="1118">
        <f t="shared" si="439"/>
        <v>27468.580337729723</v>
      </c>
      <c r="DA127" s="1118">
        <f t="shared" si="440"/>
        <v>16003.898772023967</v>
      </c>
      <c r="DB127" s="1118">
        <f t="shared" si="441"/>
        <v>19758.790174609851</v>
      </c>
      <c r="DC127" s="1119"/>
      <c r="DG127" s="1117">
        <f t="shared" si="398"/>
        <v>63231.269284363545</v>
      </c>
      <c r="DH127" s="1118">
        <f t="shared" si="442"/>
        <v>27468.580337729723</v>
      </c>
      <c r="DI127" s="1118">
        <f t="shared" si="443"/>
        <v>16003.898772023967</v>
      </c>
      <c r="DJ127" s="1118">
        <f t="shared" si="444"/>
        <v>19758.790174609851</v>
      </c>
      <c r="DK127" s="1119"/>
      <c r="DO127" s="1117">
        <f t="shared" si="399"/>
        <v>63231.269284363545</v>
      </c>
      <c r="DP127" s="1118">
        <f t="shared" si="445"/>
        <v>27468.580337729723</v>
      </c>
      <c r="DQ127" s="1118">
        <f t="shared" si="446"/>
        <v>16003.898772023967</v>
      </c>
      <c r="DR127" s="1118">
        <f t="shared" si="447"/>
        <v>19758.790174609851</v>
      </c>
      <c r="DS127" s="1119"/>
      <c r="DW127" s="1117">
        <f t="shared" si="400"/>
        <v>63231.269284363545</v>
      </c>
      <c r="DX127" s="1118">
        <f t="shared" si="448"/>
        <v>27468.580337729723</v>
      </c>
      <c r="DY127" s="1118">
        <f t="shared" si="449"/>
        <v>16003.898772023967</v>
      </c>
      <c r="DZ127" s="1118">
        <f t="shared" si="450"/>
        <v>19758.790174609851</v>
      </c>
      <c r="EA127" s="1119"/>
      <c r="EE127" s="1117">
        <f t="shared" si="401"/>
        <v>63231.269284363545</v>
      </c>
      <c r="EF127" s="1118">
        <f t="shared" si="451"/>
        <v>27468.580337729723</v>
      </c>
      <c r="EG127" s="1118">
        <f t="shared" si="452"/>
        <v>16003.898772023967</v>
      </c>
      <c r="EH127" s="1118">
        <f t="shared" si="453"/>
        <v>19758.790174609851</v>
      </c>
      <c r="EI127" s="1119"/>
      <c r="EM127" s="1117">
        <f t="shared" si="402"/>
        <v>63231.269284363545</v>
      </c>
      <c r="EN127" s="1118">
        <f t="shared" si="454"/>
        <v>27468.580337729723</v>
      </c>
      <c r="EO127" s="1118">
        <f t="shared" si="455"/>
        <v>16003.898772023967</v>
      </c>
      <c r="EP127" s="1118">
        <f t="shared" si="456"/>
        <v>19758.790174609851</v>
      </c>
      <c r="EQ127" s="1119"/>
      <c r="EU127" s="1117">
        <f t="shared" si="403"/>
        <v>63231.269284363545</v>
      </c>
      <c r="EV127" s="1118">
        <f t="shared" si="457"/>
        <v>27468.580337729723</v>
      </c>
      <c r="EW127" s="1118">
        <f t="shared" si="458"/>
        <v>16003.898772023967</v>
      </c>
      <c r="EX127" s="1118">
        <f t="shared" si="459"/>
        <v>19758.790174609851</v>
      </c>
      <c r="EY127" s="1119"/>
      <c r="FC127" s="1117">
        <f t="shared" si="404"/>
        <v>63231.269284363545</v>
      </c>
      <c r="FD127" s="1118">
        <f t="shared" si="460"/>
        <v>27468.580337729723</v>
      </c>
      <c r="FE127" s="1118">
        <f t="shared" si="461"/>
        <v>16003.898772023967</v>
      </c>
      <c r="FF127" s="1118">
        <f t="shared" si="462"/>
        <v>19758.790174609851</v>
      </c>
      <c r="FG127" s="1119"/>
      <c r="FK127" s="1117">
        <f t="shared" si="405"/>
        <v>63231.269284363545</v>
      </c>
      <c r="FL127" s="1118">
        <f t="shared" si="463"/>
        <v>27468.580337729723</v>
      </c>
      <c r="FM127" s="1118">
        <f t="shared" si="464"/>
        <v>16003.898772023967</v>
      </c>
      <c r="FN127" s="1118">
        <f t="shared" si="465"/>
        <v>19758.790174609851</v>
      </c>
      <c r="FO127" s="1119"/>
    </row>
    <row r="128" spans="1:171" x14ac:dyDescent="0.25">
      <c r="A128" s="1421"/>
      <c r="B128" s="79" t="s">
        <v>17</v>
      </c>
      <c r="C128" s="889" t="s">
        <v>78</v>
      </c>
      <c r="D128" s="889">
        <v>186</v>
      </c>
      <c r="E128" s="182" t="str">
        <f>'Sch 1- Rate Base '!E128</f>
        <v>DIRECT</v>
      </c>
      <c r="F128" s="890"/>
      <c r="G128" s="182">
        <f>'Sch 1- Rate Base '!G128</f>
        <v>51060663.808693767</v>
      </c>
      <c r="H128" s="182">
        <f>'Sch 1- Rate Base '!H128</f>
        <v>48216918.364726976</v>
      </c>
      <c r="I128" s="182">
        <f>'Sch 1- Rate Base '!I128</f>
        <v>0</v>
      </c>
      <c r="J128" s="1422">
        <f>'Sch 1- Rate Base '!J128</f>
        <v>2843745.443966785</v>
      </c>
      <c r="K128" s="904">
        <f t="shared" si="385"/>
        <v>0</v>
      </c>
      <c r="O128" s="1117">
        <f t="shared" si="386"/>
        <v>51060663.808693767</v>
      </c>
      <c r="P128" s="1118">
        <f t="shared" si="406"/>
        <v>48216918.364726976</v>
      </c>
      <c r="Q128" s="1118">
        <f t="shared" si="407"/>
        <v>0</v>
      </c>
      <c r="R128" s="1118">
        <f t="shared" si="408"/>
        <v>2843745.443966791</v>
      </c>
      <c r="S128" s="1119"/>
      <c r="W128" s="1117">
        <f t="shared" si="387"/>
        <v>51060663.808693767</v>
      </c>
      <c r="X128" s="1118">
        <f t="shared" si="409"/>
        <v>48216918.364726976</v>
      </c>
      <c r="Y128" s="1118">
        <f t="shared" si="410"/>
        <v>0</v>
      </c>
      <c r="Z128" s="1118">
        <f t="shared" si="411"/>
        <v>2843745.443966791</v>
      </c>
      <c r="AA128" s="1119"/>
      <c r="AE128" s="1117">
        <f t="shared" si="388"/>
        <v>51060663.808693767</v>
      </c>
      <c r="AF128" s="1118">
        <f t="shared" si="412"/>
        <v>48216918.364726976</v>
      </c>
      <c r="AG128" s="1118">
        <f t="shared" si="413"/>
        <v>0</v>
      </c>
      <c r="AH128" s="1118">
        <f t="shared" si="414"/>
        <v>2843745.443966791</v>
      </c>
      <c r="AI128" s="1119"/>
      <c r="AM128" s="1117">
        <f t="shared" si="389"/>
        <v>51060663.808693767</v>
      </c>
      <c r="AN128" s="1118">
        <f t="shared" si="415"/>
        <v>48216918.364726976</v>
      </c>
      <c r="AO128" s="1118">
        <f t="shared" si="416"/>
        <v>0</v>
      </c>
      <c r="AP128" s="1118">
        <f t="shared" si="417"/>
        <v>2843745.443966791</v>
      </c>
      <c r="AQ128" s="1119"/>
      <c r="AU128" s="1117">
        <f t="shared" si="390"/>
        <v>51060663.808693767</v>
      </c>
      <c r="AV128" s="1118">
        <f t="shared" si="418"/>
        <v>48216918.364726976</v>
      </c>
      <c r="AW128" s="1118">
        <f t="shared" si="419"/>
        <v>0</v>
      </c>
      <c r="AX128" s="1118">
        <f t="shared" si="420"/>
        <v>2843745.443966791</v>
      </c>
      <c r="AY128" s="1119"/>
      <c r="BC128" s="1117">
        <f t="shared" si="391"/>
        <v>51060663.808693767</v>
      </c>
      <c r="BD128" s="1118">
        <f t="shared" si="421"/>
        <v>48216918.364726976</v>
      </c>
      <c r="BE128" s="1118">
        <f t="shared" si="422"/>
        <v>0</v>
      </c>
      <c r="BF128" s="1118">
        <f t="shared" si="423"/>
        <v>2843745.443966791</v>
      </c>
      <c r="BG128" s="1119"/>
      <c r="BK128" s="1117">
        <f t="shared" si="392"/>
        <v>51060663.808693767</v>
      </c>
      <c r="BL128" s="1118">
        <f t="shared" si="424"/>
        <v>48216918.364726976</v>
      </c>
      <c r="BM128" s="1118">
        <f t="shared" si="425"/>
        <v>0</v>
      </c>
      <c r="BN128" s="1118">
        <f t="shared" si="426"/>
        <v>2843745.443966791</v>
      </c>
      <c r="BO128" s="1119"/>
      <c r="BS128" s="1117">
        <f t="shared" si="393"/>
        <v>51060663.808693767</v>
      </c>
      <c r="BT128" s="1118">
        <f t="shared" si="427"/>
        <v>48216918.364726976</v>
      </c>
      <c r="BU128" s="1118">
        <f t="shared" si="428"/>
        <v>0</v>
      </c>
      <c r="BV128" s="1118">
        <f t="shared" si="429"/>
        <v>2843745.443966791</v>
      </c>
      <c r="BW128" s="1119"/>
      <c r="CA128" s="1117">
        <f t="shared" si="394"/>
        <v>51060663.808693767</v>
      </c>
      <c r="CB128" s="1118">
        <f t="shared" si="430"/>
        <v>48216918.364726976</v>
      </c>
      <c r="CC128" s="1118">
        <f t="shared" si="431"/>
        <v>0</v>
      </c>
      <c r="CD128" s="1118">
        <f t="shared" si="432"/>
        <v>2843745.443966791</v>
      </c>
      <c r="CE128" s="1119"/>
      <c r="CI128" s="1117">
        <f t="shared" si="395"/>
        <v>51060663.808693767</v>
      </c>
      <c r="CJ128" s="1118">
        <f t="shared" si="433"/>
        <v>48216918.364726976</v>
      </c>
      <c r="CK128" s="1118">
        <f t="shared" si="434"/>
        <v>0</v>
      </c>
      <c r="CL128" s="1118">
        <f t="shared" si="435"/>
        <v>2843745.443966791</v>
      </c>
      <c r="CM128" s="1119"/>
      <c r="CQ128" s="1117">
        <f t="shared" si="396"/>
        <v>51060663.808693767</v>
      </c>
      <c r="CR128" s="1118">
        <f t="shared" si="436"/>
        <v>48216918.364726976</v>
      </c>
      <c r="CS128" s="1118">
        <f t="shared" si="437"/>
        <v>0</v>
      </c>
      <c r="CT128" s="1118">
        <f t="shared" si="438"/>
        <v>2843745.443966791</v>
      </c>
      <c r="CU128" s="1119"/>
      <c r="CY128" s="1117">
        <f t="shared" si="397"/>
        <v>51060663.808693767</v>
      </c>
      <c r="CZ128" s="1118">
        <f t="shared" si="439"/>
        <v>48216918.364726976</v>
      </c>
      <c r="DA128" s="1118">
        <f t="shared" si="440"/>
        <v>0</v>
      </c>
      <c r="DB128" s="1118">
        <f t="shared" si="441"/>
        <v>2843745.443966791</v>
      </c>
      <c r="DC128" s="1119"/>
      <c r="DG128" s="1117">
        <f t="shared" si="398"/>
        <v>51060663.808693767</v>
      </c>
      <c r="DH128" s="1118">
        <f t="shared" si="442"/>
        <v>48216918.364726976</v>
      </c>
      <c r="DI128" s="1118">
        <f t="shared" si="443"/>
        <v>0</v>
      </c>
      <c r="DJ128" s="1118">
        <f t="shared" si="444"/>
        <v>2843745.443966791</v>
      </c>
      <c r="DK128" s="1119"/>
      <c r="DO128" s="1117">
        <f t="shared" si="399"/>
        <v>51060663.808693767</v>
      </c>
      <c r="DP128" s="1118">
        <f t="shared" si="445"/>
        <v>48216918.364726976</v>
      </c>
      <c r="DQ128" s="1118">
        <f t="shared" si="446"/>
        <v>0</v>
      </c>
      <c r="DR128" s="1118">
        <f t="shared" si="447"/>
        <v>2843745.443966791</v>
      </c>
      <c r="DS128" s="1119"/>
      <c r="DW128" s="1117">
        <f t="shared" si="400"/>
        <v>51060663.808693767</v>
      </c>
      <c r="DX128" s="1118">
        <f t="shared" si="448"/>
        <v>48216918.364726976</v>
      </c>
      <c r="DY128" s="1118">
        <f t="shared" si="449"/>
        <v>0</v>
      </c>
      <c r="DZ128" s="1118">
        <f t="shared" si="450"/>
        <v>2843745.443966791</v>
      </c>
      <c r="EA128" s="1119"/>
      <c r="EE128" s="1117">
        <f t="shared" si="401"/>
        <v>51060663.808693767</v>
      </c>
      <c r="EF128" s="1118">
        <f t="shared" si="451"/>
        <v>48216918.364726976</v>
      </c>
      <c r="EG128" s="1118">
        <f t="shared" si="452"/>
        <v>0</v>
      </c>
      <c r="EH128" s="1118">
        <f t="shared" si="453"/>
        <v>2843745.443966791</v>
      </c>
      <c r="EI128" s="1119"/>
      <c r="EM128" s="1117">
        <f t="shared" si="402"/>
        <v>51060663.808693767</v>
      </c>
      <c r="EN128" s="1118">
        <f t="shared" si="454"/>
        <v>48216918.364726976</v>
      </c>
      <c r="EO128" s="1118">
        <f t="shared" si="455"/>
        <v>0</v>
      </c>
      <c r="EP128" s="1118">
        <f t="shared" si="456"/>
        <v>2843745.443966791</v>
      </c>
      <c r="EQ128" s="1119"/>
      <c r="EU128" s="1117">
        <f t="shared" si="403"/>
        <v>51060663.808693767</v>
      </c>
      <c r="EV128" s="1118">
        <f t="shared" si="457"/>
        <v>48216918.364726976</v>
      </c>
      <c r="EW128" s="1118">
        <f t="shared" si="458"/>
        <v>0</v>
      </c>
      <c r="EX128" s="1118">
        <f t="shared" si="459"/>
        <v>2843745.443966791</v>
      </c>
      <c r="EY128" s="1119"/>
      <c r="FC128" s="1117">
        <f t="shared" si="404"/>
        <v>51060663.808693767</v>
      </c>
      <c r="FD128" s="1118">
        <f t="shared" si="460"/>
        <v>48216918.364726976</v>
      </c>
      <c r="FE128" s="1118">
        <f t="shared" si="461"/>
        <v>0</v>
      </c>
      <c r="FF128" s="1118">
        <f t="shared" si="462"/>
        <v>2843745.443966791</v>
      </c>
      <c r="FG128" s="1119"/>
      <c r="FK128" s="1117">
        <f t="shared" si="405"/>
        <v>51060663.808693767</v>
      </c>
      <c r="FL128" s="1118">
        <f t="shared" si="463"/>
        <v>48216918.364726976</v>
      </c>
      <c r="FM128" s="1118">
        <f t="shared" si="464"/>
        <v>0</v>
      </c>
      <c r="FN128" s="1118">
        <f t="shared" si="465"/>
        <v>2843745.443966791</v>
      </c>
      <c r="FO128" s="1119"/>
    </row>
    <row r="129" spans="1:171" x14ac:dyDescent="0.25">
      <c r="A129" s="1421"/>
      <c r="B129" s="79" t="s">
        <v>18</v>
      </c>
      <c r="C129" s="889" t="s">
        <v>78</v>
      </c>
      <c r="D129" s="889">
        <v>187</v>
      </c>
      <c r="E129" s="182" t="str">
        <f>'Sch 1- Rate Base '!E129</f>
        <v>DIRECT</v>
      </c>
      <c r="F129" s="890"/>
      <c r="G129" s="182">
        <f>'Sch 1- Rate Base '!G129</f>
        <v>0</v>
      </c>
      <c r="H129" s="182">
        <f>'Sch 1- Rate Base '!H129</f>
        <v>0</v>
      </c>
      <c r="I129" s="182">
        <f>'Sch 1- Rate Base '!I129</f>
        <v>0</v>
      </c>
      <c r="J129" s="1422">
        <f>'Sch 1- Rate Base '!J129</f>
        <v>0</v>
      </c>
      <c r="K129" s="904">
        <f t="shared" si="385"/>
        <v>0</v>
      </c>
      <c r="O129" s="1117">
        <f t="shared" si="386"/>
        <v>0</v>
      </c>
      <c r="P129" s="1118">
        <f t="shared" si="406"/>
        <v>0</v>
      </c>
      <c r="Q129" s="1118">
        <f t="shared" si="407"/>
        <v>0</v>
      </c>
      <c r="R129" s="1118">
        <f t="shared" si="408"/>
        <v>0</v>
      </c>
      <c r="S129" s="1119"/>
      <c r="W129" s="1117">
        <f t="shared" si="387"/>
        <v>0</v>
      </c>
      <c r="X129" s="1118">
        <f t="shared" si="409"/>
        <v>0</v>
      </c>
      <c r="Y129" s="1118">
        <f t="shared" si="410"/>
        <v>0</v>
      </c>
      <c r="Z129" s="1118">
        <f t="shared" si="411"/>
        <v>0</v>
      </c>
      <c r="AA129" s="1119"/>
      <c r="AE129" s="1117">
        <f t="shared" si="388"/>
        <v>0</v>
      </c>
      <c r="AF129" s="1118">
        <f t="shared" si="412"/>
        <v>0</v>
      </c>
      <c r="AG129" s="1118">
        <f t="shared" si="413"/>
        <v>0</v>
      </c>
      <c r="AH129" s="1118">
        <f t="shared" si="414"/>
        <v>0</v>
      </c>
      <c r="AI129" s="1119"/>
      <c r="AM129" s="1117">
        <f t="shared" si="389"/>
        <v>0</v>
      </c>
      <c r="AN129" s="1118">
        <f t="shared" si="415"/>
        <v>0</v>
      </c>
      <c r="AO129" s="1118">
        <f t="shared" si="416"/>
        <v>0</v>
      </c>
      <c r="AP129" s="1118">
        <f t="shared" si="417"/>
        <v>0</v>
      </c>
      <c r="AQ129" s="1119"/>
      <c r="AU129" s="1117">
        <f t="shared" si="390"/>
        <v>0</v>
      </c>
      <c r="AV129" s="1118">
        <f t="shared" si="418"/>
        <v>0</v>
      </c>
      <c r="AW129" s="1118">
        <f t="shared" si="419"/>
        <v>0</v>
      </c>
      <c r="AX129" s="1118">
        <f t="shared" si="420"/>
        <v>0</v>
      </c>
      <c r="AY129" s="1119"/>
      <c r="BC129" s="1117">
        <f t="shared" si="391"/>
        <v>0</v>
      </c>
      <c r="BD129" s="1118">
        <f t="shared" si="421"/>
        <v>0</v>
      </c>
      <c r="BE129" s="1118">
        <f t="shared" si="422"/>
        <v>0</v>
      </c>
      <c r="BF129" s="1118">
        <f t="shared" si="423"/>
        <v>0</v>
      </c>
      <c r="BG129" s="1119"/>
      <c r="BK129" s="1117">
        <f t="shared" si="392"/>
        <v>0</v>
      </c>
      <c r="BL129" s="1118">
        <f t="shared" si="424"/>
        <v>0</v>
      </c>
      <c r="BM129" s="1118">
        <f t="shared" si="425"/>
        <v>0</v>
      </c>
      <c r="BN129" s="1118">
        <f t="shared" si="426"/>
        <v>0</v>
      </c>
      <c r="BO129" s="1119"/>
      <c r="BS129" s="1117">
        <f t="shared" si="393"/>
        <v>0</v>
      </c>
      <c r="BT129" s="1118">
        <f t="shared" si="427"/>
        <v>0</v>
      </c>
      <c r="BU129" s="1118">
        <f t="shared" si="428"/>
        <v>0</v>
      </c>
      <c r="BV129" s="1118">
        <f t="shared" si="429"/>
        <v>0</v>
      </c>
      <c r="BW129" s="1119"/>
      <c r="CA129" s="1117">
        <f t="shared" si="394"/>
        <v>0</v>
      </c>
      <c r="CB129" s="1118">
        <f t="shared" si="430"/>
        <v>0</v>
      </c>
      <c r="CC129" s="1118">
        <f t="shared" si="431"/>
        <v>0</v>
      </c>
      <c r="CD129" s="1118">
        <f t="shared" si="432"/>
        <v>0</v>
      </c>
      <c r="CE129" s="1119"/>
      <c r="CI129" s="1117">
        <f t="shared" si="395"/>
        <v>0</v>
      </c>
      <c r="CJ129" s="1118">
        <f t="shared" si="433"/>
        <v>0</v>
      </c>
      <c r="CK129" s="1118">
        <f t="shared" si="434"/>
        <v>0</v>
      </c>
      <c r="CL129" s="1118">
        <f t="shared" si="435"/>
        <v>0</v>
      </c>
      <c r="CM129" s="1119"/>
      <c r="CQ129" s="1117">
        <f t="shared" si="396"/>
        <v>0</v>
      </c>
      <c r="CR129" s="1118">
        <f t="shared" si="436"/>
        <v>0</v>
      </c>
      <c r="CS129" s="1118">
        <f t="shared" si="437"/>
        <v>0</v>
      </c>
      <c r="CT129" s="1118">
        <f t="shared" si="438"/>
        <v>0</v>
      </c>
      <c r="CU129" s="1119"/>
      <c r="CY129" s="1117">
        <f t="shared" si="397"/>
        <v>0</v>
      </c>
      <c r="CZ129" s="1118">
        <f t="shared" si="439"/>
        <v>0</v>
      </c>
      <c r="DA129" s="1118">
        <f t="shared" si="440"/>
        <v>0</v>
      </c>
      <c r="DB129" s="1118">
        <f t="shared" si="441"/>
        <v>0</v>
      </c>
      <c r="DC129" s="1119"/>
      <c r="DG129" s="1117">
        <f t="shared" si="398"/>
        <v>0</v>
      </c>
      <c r="DH129" s="1118">
        <f t="shared" si="442"/>
        <v>0</v>
      </c>
      <c r="DI129" s="1118">
        <f t="shared" si="443"/>
        <v>0</v>
      </c>
      <c r="DJ129" s="1118">
        <f t="shared" si="444"/>
        <v>0</v>
      </c>
      <c r="DK129" s="1119"/>
      <c r="DO129" s="1117">
        <f t="shared" si="399"/>
        <v>0</v>
      </c>
      <c r="DP129" s="1118">
        <f t="shared" si="445"/>
        <v>0</v>
      </c>
      <c r="DQ129" s="1118">
        <f t="shared" si="446"/>
        <v>0</v>
      </c>
      <c r="DR129" s="1118">
        <f t="shared" si="447"/>
        <v>0</v>
      </c>
      <c r="DS129" s="1119"/>
      <c r="DW129" s="1117">
        <f t="shared" si="400"/>
        <v>0</v>
      </c>
      <c r="DX129" s="1118">
        <f t="shared" si="448"/>
        <v>0</v>
      </c>
      <c r="DY129" s="1118">
        <f t="shared" si="449"/>
        <v>0</v>
      </c>
      <c r="DZ129" s="1118">
        <f t="shared" si="450"/>
        <v>0</v>
      </c>
      <c r="EA129" s="1119"/>
      <c r="EE129" s="1117">
        <f t="shared" si="401"/>
        <v>0</v>
      </c>
      <c r="EF129" s="1118">
        <f t="shared" si="451"/>
        <v>0</v>
      </c>
      <c r="EG129" s="1118">
        <f t="shared" si="452"/>
        <v>0</v>
      </c>
      <c r="EH129" s="1118">
        <f t="shared" si="453"/>
        <v>0</v>
      </c>
      <c r="EI129" s="1119"/>
      <c r="EM129" s="1117">
        <f t="shared" si="402"/>
        <v>0</v>
      </c>
      <c r="EN129" s="1118">
        <f t="shared" si="454"/>
        <v>0</v>
      </c>
      <c r="EO129" s="1118">
        <f t="shared" si="455"/>
        <v>0</v>
      </c>
      <c r="EP129" s="1118">
        <f t="shared" si="456"/>
        <v>0</v>
      </c>
      <c r="EQ129" s="1119"/>
      <c r="EU129" s="1117">
        <f t="shared" si="403"/>
        <v>0</v>
      </c>
      <c r="EV129" s="1118">
        <f t="shared" si="457"/>
        <v>0</v>
      </c>
      <c r="EW129" s="1118">
        <f t="shared" si="458"/>
        <v>0</v>
      </c>
      <c r="EX129" s="1118">
        <f t="shared" si="459"/>
        <v>0</v>
      </c>
      <c r="EY129" s="1119"/>
      <c r="FC129" s="1117">
        <f t="shared" si="404"/>
        <v>0</v>
      </c>
      <c r="FD129" s="1118">
        <f t="shared" si="460"/>
        <v>0</v>
      </c>
      <c r="FE129" s="1118">
        <f t="shared" si="461"/>
        <v>0</v>
      </c>
      <c r="FF129" s="1118">
        <f t="shared" si="462"/>
        <v>0</v>
      </c>
      <c r="FG129" s="1119"/>
      <c r="FK129" s="1117">
        <f t="shared" si="405"/>
        <v>0</v>
      </c>
      <c r="FL129" s="1118">
        <f t="shared" si="463"/>
        <v>0</v>
      </c>
      <c r="FM129" s="1118">
        <f t="shared" si="464"/>
        <v>0</v>
      </c>
      <c r="FN129" s="1118">
        <f t="shared" si="465"/>
        <v>0</v>
      </c>
      <c r="FO129" s="1119"/>
    </row>
    <row r="130" spans="1:171" x14ac:dyDescent="0.25">
      <c r="A130" s="1421"/>
      <c r="B130" s="79" t="s">
        <v>19</v>
      </c>
      <c r="C130" s="889" t="s">
        <v>78</v>
      </c>
      <c r="D130" s="889">
        <v>188</v>
      </c>
      <c r="E130" s="182" t="str">
        <f>'Sch 1- Rate Base '!E130</f>
        <v>DIST</v>
      </c>
      <c r="F130" s="890"/>
      <c r="G130" s="182">
        <f>'Sch 1- Rate Base '!G130</f>
        <v>0</v>
      </c>
      <c r="H130" s="182">
        <f>'Sch 1- Rate Base '!H130</f>
        <v>0</v>
      </c>
      <c r="I130" s="182">
        <f>'Sch 1- Rate Base '!I130</f>
        <v>0</v>
      </c>
      <c r="J130" s="1422">
        <f>'Sch 1- Rate Base '!J130</f>
        <v>0</v>
      </c>
      <c r="K130" s="904">
        <f t="shared" si="385"/>
        <v>1</v>
      </c>
      <c r="O130" s="1117">
        <f t="shared" si="386"/>
        <v>0</v>
      </c>
      <c r="P130" s="1118">
        <f t="shared" si="406"/>
        <v>0</v>
      </c>
      <c r="Q130" s="1118">
        <f t="shared" si="407"/>
        <v>0</v>
      </c>
      <c r="R130" s="1118">
        <f t="shared" si="408"/>
        <v>0</v>
      </c>
      <c r="S130" s="1119"/>
      <c r="W130" s="1117">
        <f t="shared" si="387"/>
        <v>0</v>
      </c>
      <c r="X130" s="1118">
        <f t="shared" si="409"/>
        <v>0</v>
      </c>
      <c r="Y130" s="1118">
        <f t="shared" si="410"/>
        <v>0</v>
      </c>
      <c r="Z130" s="1118">
        <f t="shared" si="411"/>
        <v>0</v>
      </c>
      <c r="AA130" s="1119"/>
      <c r="AE130" s="1117">
        <f t="shared" si="388"/>
        <v>0</v>
      </c>
      <c r="AF130" s="1118">
        <f t="shared" si="412"/>
        <v>0</v>
      </c>
      <c r="AG130" s="1118">
        <f t="shared" si="413"/>
        <v>0</v>
      </c>
      <c r="AH130" s="1118">
        <f t="shared" si="414"/>
        <v>0</v>
      </c>
      <c r="AI130" s="1119"/>
      <c r="AM130" s="1117">
        <f t="shared" si="389"/>
        <v>0</v>
      </c>
      <c r="AN130" s="1118">
        <f t="shared" si="415"/>
        <v>0</v>
      </c>
      <c r="AO130" s="1118">
        <f t="shared" si="416"/>
        <v>0</v>
      </c>
      <c r="AP130" s="1118">
        <f t="shared" si="417"/>
        <v>0</v>
      </c>
      <c r="AQ130" s="1119"/>
      <c r="AU130" s="1117">
        <f t="shared" si="390"/>
        <v>0</v>
      </c>
      <c r="AV130" s="1118">
        <f t="shared" si="418"/>
        <v>0</v>
      </c>
      <c r="AW130" s="1118">
        <f t="shared" si="419"/>
        <v>0</v>
      </c>
      <c r="AX130" s="1118">
        <f t="shared" si="420"/>
        <v>0</v>
      </c>
      <c r="AY130" s="1119"/>
      <c r="BC130" s="1117">
        <f t="shared" si="391"/>
        <v>0</v>
      </c>
      <c r="BD130" s="1118">
        <f t="shared" si="421"/>
        <v>0</v>
      </c>
      <c r="BE130" s="1118">
        <f t="shared" si="422"/>
        <v>0</v>
      </c>
      <c r="BF130" s="1118">
        <f t="shared" si="423"/>
        <v>0</v>
      </c>
      <c r="BG130" s="1119"/>
      <c r="BK130" s="1117">
        <f t="shared" si="392"/>
        <v>0</v>
      </c>
      <c r="BL130" s="1118">
        <f t="shared" si="424"/>
        <v>0</v>
      </c>
      <c r="BM130" s="1118">
        <f t="shared" si="425"/>
        <v>0</v>
      </c>
      <c r="BN130" s="1118">
        <f t="shared" si="426"/>
        <v>0</v>
      </c>
      <c r="BO130" s="1119"/>
      <c r="BS130" s="1117">
        <f t="shared" si="393"/>
        <v>0</v>
      </c>
      <c r="BT130" s="1118">
        <f t="shared" si="427"/>
        <v>0</v>
      </c>
      <c r="BU130" s="1118">
        <f t="shared" si="428"/>
        <v>0</v>
      </c>
      <c r="BV130" s="1118">
        <f t="shared" si="429"/>
        <v>0</v>
      </c>
      <c r="BW130" s="1119"/>
      <c r="CA130" s="1117">
        <f t="shared" si="394"/>
        <v>0</v>
      </c>
      <c r="CB130" s="1118">
        <f t="shared" si="430"/>
        <v>0</v>
      </c>
      <c r="CC130" s="1118">
        <f t="shared" si="431"/>
        <v>0</v>
      </c>
      <c r="CD130" s="1118">
        <f t="shared" si="432"/>
        <v>0</v>
      </c>
      <c r="CE130" s="1119"/>
      <c r="CI130" s="1117">
        <f t="shared" si="395"/>
        <v>0</v>
      </c>
      <c r="CJ130" s="1118">
        <f t="shared" si="433"/>
        <v>0</v>
      </c>
      <c r="CK130" s="1118">
        <f t="shared" si="434"/>
        <v>0</v>
      </c>
      <c r="CL130" s="1118">
        <f t="shared" si="435"/>
        <v>0</v>
      </c>
      <c r="CM130" s="1119"/>
      <c r="CQ130" s="1117">
        <f t="shared" si="396"/>
        <v>0</v>
      </c>
      <c r="CR130" s="1118">
        <f t="shared" si="436"/>
        <v>0</v>
      </c>
      <c r="CS130" s="1118">
        <f t="shared" si="437"/>
        <v>0</v>
      </c>
      <c r="CT130" s="1118">
        <f t="shared" si="438"/>
        <v>0</v>
      </c>
      <c r="CU130" s="1119"/>
      <c r="CY130" s="1117">
        <f t="shared" si="397"/>
        <v>0</v>
      </c>
      <c r="CZ130" s="1118">
        <f t="shared" si="439"/>
        <v>0</v>
      </c>
      <c r="DA130" s="1118">
        <f t="shared" si="440"/>
        <v>0</v>
      </c>
      <c r="DB130" s="1118">
        <f t="shared" si="441"/>
        <v>0</v>
      </c>
      <c r="DC130" s="1119"/>
      <c r="DG130" s="1117">
        <f t="shared" si="398"/>
        <v>0</v>
      </c>
      <c r="DH130" s="1118">
        <f t="shared" si="442"/>
        <v>0</v>
      </c>
      <c r="DI130" s="1118">
        <f t="shared" si="443"/>
        <v>0</v>
      </c>
      <c r="DJ130" s="1118">
        <f t="shared" si="444"/>
        <v>0</v>
      </c>
      <c r="DK130" s="1119"/>
      <c r="DO130" s="1117">
        <f t="shared" si="399"/>
        <v>0</v>
      </c>
      <c r="DP130" s="1118">
        <f t="shared" si="445"/>
        <v>0</v>
      </c>
      <c r="DQ130" s="1118">
        <f t="shared" si="446"/>
        <v>0</v>
      </c>
      <c r="DR130" s="1118">
        <f t="shared" si="447"/>
        <v>0</v>
      </c>
      <c r="DS130" s="1119"/>
      <c r="DW130" s="1117">
        <f t="shared" si="400"/>
        <v>0</v>
      </c>
      <c r="DX130" s="1118">
        <f t="shared" si="448"/>
        <v>0</v>
      </c>
      <c r="DY130" s="1118">
        <f t="shared" si="449"/>
        <v>0</v>
      </c>
      <c r="DZ130" s="1118">
        <f t="shared" si="450"/>
        <v>0</v>
      </c>
      <c r="EA130" s="1119"/>
      <c r="EE130" s="1117">
        <f t="shared" si="401"/>
        <v>0</v>
      </c>
      <c r="EF130" s="1118">
        <f t="shared" si="451"/>
        <v>0</v>
      </c>
      <c r="EG130" s="1118">
        <f t="shared" si="452"/>
        <v>0</v>
      </c>
      <c r="EH130" s="1118">
        <f t="shared" si="453"/>
        <v>0</v>
      </c>
      <c r="EI130" s="1119"/>
      <c r="EM130" s="1117">
        <f t="shared" si="402"/>
        <v>0</v>
      </c>
      <c r="EN130" s="1118">
        <f t="shared" si="454"/>
        <v>0</v>
      </c>
      <c r="EO130" s="1118">
        <f t="shared" si="455"/>
        <v>0</v>
      </c>
      <c r="EP130" s="1118">
        <f t="shared" si="456"/>
        <v>0</v>
      </c>
      <c r="EQ130" s="1119"/>
      <c r="EU130" s="1117">
        <f t="shared" si="403"/>
        <v>0</v>
      </c>
      <c r="EV130" s="1118">
        <f t="shared" si="457"/>
        <v>0</v>
      </c>
      <c r="EW130" s="1118">
        <f t="shared" si="458"/>
        <v>0</v>
      </c>
      <c r="EX130" s="1118">
        <f t="shared" si="459"/>
        <v>0</v>
      </c>
      <c r="EY130" s="1119"/>
      <c r="FC130" s="1117">
        <f t="shared" si="404"/>
        <v>0</v>
      </c>
      <c r="FD130" s="1118">
        <f t="shared" si="460"/>
        <v>0</v>
      </c>
      <c r="FE130" s="1118">
        <f t="shared" si="461"/>
        <v>0</v>
      </c>
      <c r="FF130" s="1118">
        <f t="shared" si="462"/>
        <v>0</v>
      </c>
      <c r="FG130" s="1119"/>
      <c r="FK130" s="1117">
        <f t="shared" si="405"/>
        <v>0</v>
      </c>
      <c r="FL130" s="1118">
        <f t="shared" si="463"/>
        <v>0</v>
      </c>
      <c r="FM130" s="1118">
        <f t="shared" si="464"/>
        <v>0</v>
      </c>
      <c r="FN130" s="1118">
        <f t="shared" si="465"/>
        <v>0</v>
      </c>
      <c r="FO130" s="1119"/>
    </row>
    <row r="131" spans="1:171" x14ac:dyDescent="0.25">
      <c r="A131" s="1421"/>
      <c r="B131" s="79" t="s">
        <v>20</v>
      </c>
      <c r="C131" s="889" t="s">
        <v>78</v>
      </c>
      <c r="D131" s="889">
        <v>189</v>
      </c>
      <c r="E131" s="182" t="str">
        <f>'Sch 1- Rate Base '!E131</f>
        <v>PTDG</v>
      </c>
      <c r="F131" s="890"/>
      <c r="G131" s="182">
        <f>'Sch 1- Rate Base '!G131</f>
        <v>801630.402326782</v>
      </c>
      <c r="H131" s="182">
        <f>'Sch 1- Rate Base '!H131</f>
        <v>348239.87177061226</v>
      </c>
      <c r="I131" s="182">
        <f>'Sch 1- Rate Base '!I131</f>
        <v>0</v>
      </c>
      <c r="J131" s="1422">
        <f>'Sch 1- Rate Base '!J131</f>
        <v>246348.96744375481</v>
      </c>
      <c r="K131" s="904">
        <f t="shared" si="385"/>
        <v>1</v>
      </c>
      <c r="O131" s="1117">
        <f t="shared" si="386"/>
        <v>801630.402326782</v>
      </c>
      <c r="P131" s="1118">
        <f t="shared" si="406"/>
        <v>348239.87177061226</v>
      </c>
      <c r="Q131" s="1118">
        <f t="shared" si="407"/>
        <v>202893.47274873065</v>
      </c>
      <c r="R131" s="1118">
        <f t="shared" si="408"/>
        <v>250497.05780743907</v>
      </c>
      <c r="S131" s="1119"/>
      <c r="W131" s="1117">
        <f t="shared" si="387"/>
        <v>801630.402326782</v>
      </c>
      <c r="X131" s="1118">
        <f t="shared" si="409"/>
        <v>348239.87177061226</v>
      </c>
      <c r="Y131" s="1118">
        <f t="shared" si="410"/>
        <v>202893.47274873065</v>
      </c>
      <c r="Z131" s="1118">
        <f t="shared" si="411"/>
        <v>250497.05780743907</v>
      </c>
      <c r="AA131" s="1119"/>
      <c r="AE131" s="1117">
        <f t="shared" si="388"/>
        <v>801630.402326782</v>
      </c>
      <c r="AF131" s="1118">
        <f t="shared" si="412"/>
        <v>348239.87177061226</v>
      </c>
      <c r="AG131" s="1118">
        <f t="shared" si="413"/>
        <v>202893.47274873065</v>
      </c>
      <c r="AH131" s="1118">
        <f t="shared" si="414"/>
        <v>250497.05780743907</v>
      </c>
      <c r="AI131" s="1119"/>
      <c r="AM131" s="1117">
        <f t="shared" si="389"/>
        <v>801630.402326782</v>
      </c>
      <c r="AN131" s="1118">
        <f t="shared" si="415"/>
        <v>348239.87177061226</v>
      </c>
      <c r="AO131" s="1118">
        <f t="shared" si="416"/>
        <v>202893.47274873065</v>
      </c>
      <c r="AP131" s="1118">
        <f t="shared" si="417"/>
        <v>250497.05780743907</v>
      </c>
      <c r="AQ131" s="1119"/>
      <c r="AU131" s="1117">
        <f t="shared" si="390"/>
        <v>801630.402326782</v>
      </c>
      <c r="AV131" s="1118">
        <f t="shared" si="418"/>
        <v>348239.87177061226</v>
      </c>
      <c r="AW131" s="1118">
        <f t="shared" si="419"/>
        <v>202893.47274873065</v>
      </c>
      <c r="AX131" s="1118">
        <f t="shared" si="420"/>
        <v>250497.05780743907</v>
      </c>
      <c r="AY131" s="1119"/>
      <c r="BC131" s="1117">
        <f t="shared" si="391"/>
        <v>801630.402326782</v>
      </c>
      <c r="BD131" s="1118">
        <f t="shared" si="421"/>
        <v>348239.87177061226</v>
      </c>
      <c r="BE131" s="1118">
        <f t="shared" si="422"/>
        <v>202893.47274873065</v>
      </c>
      <c r="BF131" s="1118">
        <f t="shared" si="423"/>
        <v>250497.05780743907</v>
      </c>
      <c r="BG131" s="1119"/>
      <c r="BK131" s="1117">
        <f t="shared" si="392"/>
        <v>801630.402326782</v>
      </c>
      <c r="BL131" s="1118">
        <f t="shared" si="424"/>
        <v>348239.87177061226</v>
      </c>
      <c r="BM131" s="1118">
        <f t="shared" si="425"/>
        <v>202893.47274873065</v>
      </c>
      <c r="BN131" s="1118">
        <f t="shared" si="426"/>
        <v>250497.05780743907</v>
      </c>
      <c r="BO131" s="1119"/>
      <c r="BS131" s="1117">
        <f t="shared" si="393"/>
        <v>801630.402326782</v>
      </c>
      <c r="BT131" s="1118">
        <f t="shared" si="427"/>
        <v>348239.87177061226</v>
      </c>
      <c r="BU131" s="1118">
        <f t="shared" si="428"/>
        <v>202893.47274873065</v>
      </c>
      <c r="BV131" s="1118">
        <f t="shared" si="429"/>
        <v>250497.05780743907</v>
      </c>
      <c r="BW131" s="1119"/>
      <c r="CA131" s="1117">
        <f t="shared" si="394"/>
        <v>801630.402326782</v>
      </c>
      <c r="CB131" s="1118">
        <f t="shared" si="430"/>
        <v>348239.87177061226</v>
      </c>
      <c r="CC131" s="1118">
        <f t="shared" si="431"/>
        <v>202893.47274873065</v>
      </c>
      <c r="CD131" s="1118">
        <f t="shared" si="432"/>
        <v>250497.05780743907</v>
      </c>
      <c r="CE131" s="1119"/>
      <c r="CI131" s="1117">
        <f t="shared" si="395"/>
        <v>801630.402326782</v>
      </c>
      <c r="CJ131" s="1118">
        <f t="shared" si="433"/>
        <v>348239.87177061226</v>
      </c>
      <c r="CK131" s="1118">
        <f t="shared" si="434"/>
        <v>202893.47274873065</v>
      </c>
      <c r="CL131" s="1118">
        <f t="shared" si="435"/>
        <v>250497.05780743907</v>
      </c>
      <c r="CM131" s="1119"/>
      <c r="CQ131" s="1117">
        <f t="shared" si="396"/>
        <v>801630.402326782</v>
      </c>
      <c r="CR131" s="1118">
        <f t="shared" si="436"/>
        <v>348239.87177061226</v>
      </c>
      <c r="CS131" s="1118">
        <f t="shared" si="437"/>
        <v>202893.47274873065</v>
      </c>
      <c r="CT131" s="1118">
        <f t="shared" si="438"/>
        <v>250497.05780743907</v>
      </c>
      <c r="CU131" s="1119"/>
      <c r="CY131" s="1117">
        <f t="shared" si="397"/>
        <v>801630.402326782</v>
      </c>
      <c r="CZ131" s="1118">
        <f t="shared" si="439"/>
        <v>348239.87177061226</v>
      </c>
      <c r="DA131" s="1118">
        <f t="shared" si="440"/>
        <v>202893.47274873065</v>
      </c>
      <c r="DB131" s="1118">
        <f t="shared" si="441"/>
        <v>250497.05780743907</v>
      </c>
      <c r="DC131" s="1119"/>
      <c r="DG131" s="1117">
        <f t="shared" si="398"/>
        <v>801630.402326782</v>
      </c>
      <c r="DH131" s="1118">
        <f t="shared" si="442"/>
        <v>348239.87177061226</v>
      </c>
      <c r="DI131" s="1118">
        <f t="shared" si="443"/>
        <v>202893.47274873065</v>
      </c>
      <c r="DJ131" s="1118">
        <f t="shared" si="444"/>
        <v>250497.05780743907</v>
      </c>
      <c r="DK131" s="1119"/>
      <c r="DO131" s="1117">
        <f t="shared" si="399"/>
        <v>801630.402326782</v>
      </c>
      <c r="DP131" s="1118">
        <f t="shared" si="445"/>
        <v>348239.87177061226</v>
      </c>
      <c r="DQ131" s="1118">
        <f t="shared" si="446"/>
        <v>202893.47274873065</v>
      </c>
      <c r="DR131" s="1118">
        <f t="shared" si="447"/>
        <v>250497.05780743907</v>
      </c>
      <c r="DS131" s="1119"/>
      <c r="DW131" s="1117">
        <f t="shared" si="400"/>
        <v>801630.402326782</v>
      </c>
      <c r="DX131" s="1118">
        <f t="shared" si="448"/>
        <v>348239.87177061226</v>
      </c>
      <c r="DY131" s="1118">
        <f t="shared" si="449"/>
        <v>202893.47274873065</v>
      </c>
      <c r="DZ131" s="1118">
        <f t="shared" si="450"/>
        <v>250497.05780743907</v>
      </c>
      <c r="EA131" s="1119"/>
      <c r="EE131" s="1117">
        <f t="shared" si="401"/>
        <v>801630.402326782</v>
      </c>
      <c r="EF131" s="1118">
        <f t="shared" si="451"/>
        <v>348239.87177061226</v>
      </c>
      <c r="EG131" s="1118">
        <f t="shared" si="452"/>
        <v>202893.47274873065</v>
      </c>
      <c r="EH131" s="1118">
        <f t="shared" si="453"/>
        <v>250497.05780743907</v>
      </c>
      <c r="EI131" s="1119"/>
      <c r="EM131" s="1117">
        <f t="shared" si="402"/>
        <v>801630.402326782</v>
      </c>
      <c r="EN131" s="1118">
        <f t="shared" si="454"/>
        <v>348239.87177061226</v>
      </c>
      <c r="EO131" s="1118">
        <f t="shared" si="455"/>
        <v>202893.47274873065</v>
      </c>
      <c r="EP131" s="1118">
        <f t="shared" si="456"/>
        <v>250497.05780743907</v>
      </c>
      <c r="EQ131" s="1119"/>
      <c r="EU131" s="1117">
        <f t="shared" si="403"/>
        <v>801630.402326782</v>
      </c>
      <c r="EV131" s="1118">
        <f t="shared" si="457"/>
        <v>348239.87177061226</v>
      </c>
      <c r="EW131" s="1118">
        <f t="shared" si="458"/>
        <v>202893.47274873065</v>
      </c>
      <c r="EX131" s="1118">
        <f t="shared" si="459"/>
        <v>250497.05780743907</v>
      </c>
      <c r="EY131" s="1119"/>
      <c r="FC131" s="1117">
        <f t="shared" si="404"/>
        <v>801630.402326782</v>
      </c>
      <c r="FD131" s="1118">
        <f t="shared" si="460"/>
        <v>348239.87177061226</v>
      </c>
      <c r="FE131" s="1118">
        <f t="shared" si="461"/>
        <v>202893.47274873065</v>
      </c>
      <c r="FF131" s="1118">
        <f t="shared" si="462"/>
        <v>250497.05780743907</v>
      </c>
      <c r="FG131" s="1119"/>
      <c r="FK131" s="1117">
        <f t="shared" si="405"/>
        <v>801630.402326782</v>
      </c>
      <c r="FL131" s="1118">
        <f t="shared" si="463"/>
        <v>348239.87177061226</v>
      </c>
      <c r="FM131" s="1118">
        <f t="shared" si="464"/>
        <v>202893.47274873065</v>
      </c>
      <c r="FN131" s="1118">
        <f t="shared" si="465"/>
        <v>250497.05780743907</v>
      </c>
      <c r="FO131" s="1119"/>
    </row>
    <row r="132" spans="1:171" x14ac:dyDescent="0.25">
      <c r="A132" s="1421"/>
      <c r="B132" s="79" t="s">
        <v>21</v>
      </c>
      <c r="C132" s="889" t="s">
        <v>78</v>
      </c>
      <c r="D132" s="889">
        <v>190</v>
      </c>
      <c r="E132" s="182" t="str">
        <f>'Sch 1- Rate Base '!E132</f>
        <v>DIST</v>
      </c>
      <c r="F132" s="890"/>
      <c r="G132" s="182">
        <f>'Sch 1- Rate Base '!G132</f>
        <v>367007945.82677501</v>
      </c>
      <c r="H132" s="182">
        <f>'Sch 1- Rate Base '!H132</f>
        <v>0</v>
      </c>
      <c r="I132" s="182">
        <f>'Sch 1- Rate Base '!I132</f>
        <v>0</v>
      </c>
      <c r="J132" s="1422">
        <f>'Sch 1- Rate Base '!J132</f>
        <v>367007945.82677501</v>
      </c>
      <c r="K132" s="904">
        <f t="shared" si="385"/>
        <v>1</v>
      </c>
      <c r="O132" s="1117">
        <f t="shared" si="386"/>
        <v>367007945.82677501</v>
      </c>
      <c r="P132" s="1118">
        <f t="shared" si="406"/>
        <v>0</v>
      </c>
      <c r="Q132" s="1118">
        <f t="shared" si="407"/>
        <v>0</v>
      </c>
      <c r="R132" s="1118">
        <f t="shared" si="408"/>
        <v>367007945.82677501</v>
      </c>
      <c r="S132" s="1119"/>
      <c r="W132" s="1117">
        <f t="shared" si="387"/>
        <v>367007945.82677501</v>
      </c>
      <c r="X132" s="1118">
        <f t="shared" si="409"/>
        <v>0</v>
      </c>
      <c r="Y132" s="1118">
        <f t="shared" si="410"/>
        <v>0</v>
      </c>
      <c r="Z132" s="1118">
        <f t="shared" si="411"/>
        <v>367007945.82677501</v>
      </c>
      <c r="AA132" s="1119"/>
      <c r="AE132" s="1117">
        <f t="shared" si="388"/>
        <v>367007945.82677501</v>
      </c>
      <c r="AF132" s="1118">
        <f t="shared" si="412"/>
        <v>0</v>
      </c>
      <c r="AG132" s="1118">
        <f t="shared" si="413"/>
        <v>0</v>
      </c>
      <c r="AH132" s="1118">
        <f t="shared" si="414"/>
        <v>367007945.82677501</v>
      </c>
      <c r="AI132" s="1119"/>
      <c r="AM132" s="1117">
        <f t="shared" si="389"/>
        <v>367007945.82677501</v>
      </c>
      <c r="AN132" s="1118">
        <f t="shared" si="415"/>
        <v>0</v>
      </c>
      <c r="AO132" s="1118">
        <f t="shared" si="416"/>
        <v>0</v>
      </c>
      <c r="AP132" s="1118">
        <f t="shared" si="417"/>
        <v>367007945.82677501</v>
      </c>
      <c r="AQ132" s="1119"/>
      <c r="AU132" s="1117">
        <f t="shared" si="390"/>
        <v>367007945.82677501</v>
      </c>
      <c r="AV132" s="1118">
        <f t="shared" si="418"/>
        <v>0</v>
      </c>
      <c r="AW132" s="1118">
        <f t="shared" si="419"/>
        <v>0</v>
      </c>
      <c r="AX132" s="1118">
        <f t="shared" si="420"/>
        <v>367007945.82677501</v>
      </c>
      <c r="AY132" s="1119"/>
      <c r="BC132" s="1117">
        <f t="shared" si="391"/>
        <v>367007945.82677501</v>
      </c>
      <c r="BD132" s="1118">
        <f t="shared" si="421"/>
        <v>0</v>
      </c>
      <c r="BE132" s="1118">
        <f t="shared" si="422"/>
        <v>0</v>
      </c>
      <c r="BF132" s="1118">
        <f t="shared" si="423"/>
        <v>367007945.82677501</v>
      </c>
      <c r="BG132" s="1119"/>
      <c r="BK132" s="1117">
        <f t="shared" si="392"/>
        <v>367007945.82677501</v>
      </c>
      <c r="BL132" s="1118">
        <f t="shared" si="424"/>
        <v>0</v>
      </c>
      <c r="BM132" s="1118">
        <f t="shared" si="425"/>
        <v>0</v>
      </c>
      <c r="BN132" s="1118">
        <f t="shared" si="426"/>
        <v>367007945.82677501</v>
      </c>
      <c r="BO132" s="1119"/>
      <c r="BS132" s="1117">
        <f t="shared" si="393"/>
        <v>367007945.82677501</v>
      </c>
      <c r="BT132" s="1118">
        <f t="shared" si="427"/>
        <v>0</v>
      </c>
      <c r="BU132" s="1118">
        <f t="shared" si="428"/>
        <v>0</v>
      </c>
      <c r="BV132" s="1118">
        <f t="shared" si="429"/>
        <v>367007945.82677501</v>
      </c>
      <c r="BW132" s="1119"/>
      <c r="CA132" s="1117">
        <f t="shared" si="394"/>
        <v>367007945.82677501</v>
      </c>
      <c r="CB132" s="1118">
        <f t="shared" si="430"/>
        <v>0</v>
      </c>
      <c r="CC132" s="1118">
        <f t="shared" si="431"/>
        <v>0</v>
      </c>
      <c r="CD132" s="1118">
        <f t="shared" si="432"/>
        <v>367007945.82677501</v>
      </c>
      <c r="CE132" s="1119"/>
      <c r="CI132" s="1117">
        <f t="shared" si="395"/>
        <v>367007945.82677501</v>
      </c>
      <c r="CJ132" s="1118">
        <f t="shared" si="433"/>
        <v>0</v>
      </c>
      <c r="CK132" s="1118">
        <f t="shared" si="434"/>
        <v>0</v>
      </c>
      <c r="CL132" s="1118">
        <f t="shared" si="435"/>
        <v>367007945.82677501</v>
      </c>
      <c r="CM132" s="1119"/>
      <c r="CQ132" s="1117">
        <f t="shared" si="396"/>
        <v>367007945.82677501</v>
      </c>
      <c r="CR132" s="1118">
        <f t="shared" si="436"/>
        <v>0</v>
      </c>
      <c r="CS132" s="1118">
        <f t="shared" si="437"/>
        <v>0</v>
      </c>
      <c r="CT132" s="1118">
        <f t="shared" si="438"/>
        <v>367007945.82677501</v>
      </c>
      <c r="CU132" s="1119"/>
      <c r="CY132" s="1117">
        <f t="shared" si="397"/>
        <v>367007945.82677501</v>
      </c>
      <c r="CZ132" s="1118">
        <f t="shared" si="439"/>
        <v>0</v>
      </c>
      <c r="DA132" s="1118">
        <f t="shared" si="440"/>
        <v>0</v>
      </c>
      <c r="DB132" s="1118">
        <f t="shared" si="441"/>
        <v>367007945.82677501</v>
      </c>
      <c r="DC132" s="1119"/>
      <c r="DG132" s="1117">
        <f t="shared" si="398"/>
        <v>367007945.82677501</v>
      </c>
      <c r="DH132" s="1118">
        <f t="shared" si="442"/>
        <v>0</v>
      </c>
      <c r="DI132" s="1118">
        <f t="shared" si="443"/>
        <v>0</v>
      </c>
      <c r="DJ132" s="1118">
        <f t="shared" si="444"/>
        <v>367007945.82677501</v>
      </c>
      <c r="DK132" s="1119"/>
      <c r="DO132" s="1117">
        <f t="shared" si="399"/>
        <v>367007945.82677501</v>
      </c>
      <c r="DP132" s="1118">
        <f t="shared" si="445"/>
        <v>0</v>
      </c>
      <c r="DQ132" s="1118">
        <f t="shared" si="446"/>
        <v>0</v>
      </c>
      <c r="DR132" s="1118">
        <f t="shared" si="447"/>
        <v>367007945.82677501</v>
      </c>
      <c r="DS132" s="1119"/>
      <c r="DW132" s="1117">
        <f t="shared" si="400"/>
        <v>367007945.82677501</v>
      </c>
      <c r="DX132" s="1118">
        <f t="shared" si="448"/>
        <v>0</v>
      </c>
      <c r="DY132" s="1118">
        <f t="shared" si="449"/>
        <v>0</v>
      </c>
      <c r="DZ132" s="1118">
        <f t="shared" si="450"/>
        <v>367007945.82677501</v>
      </c>
      <c r="EA132" s="1119"/>
      <c r="EE132" s="1117">
        <f t="shared" si="401"/>
        <v>367007945.82677501</v>
      </c>
      <c r="EF132" s="1118">
        <f t="shared" si="451"/>
        <v>0</v>
      </c>
      <c r="EG132" s="1118">
        <f t="shared" si="452"/>
        <v>0</v>
      </c>
      <c r="EH132" s="1118">
        <f t="shared" si="453"/>
        <v>367007945.82677501</v>
      </c>
      <c r="EI132" s="1119"/>
      <c r="EM132" s="1117">
        <f t="shared" si="402"/>
        <v>367007945.82677501</v>
      </c>
      <c r="EN132" s="1118">
        <f t="shared" si="454"/>
        <v>0</v>
      </c>
      <c r="EO132" s="1118">
        <f t="shared" si="455"/>
        <v>0</v>
      </c>
      <c r="EP132" s="1118">
        <f t="shared" si="456"/>
        <v>367007945.82677501</v>
      </c>
      <c r="EQ132" s="1119"/>
      <c r="EU132" s="1117">
        <f t="shared" si="403"/>
        <v>367007945.82677501</v>
      </c>
      <c r="EV132" s="1118">
        <f t="shared" si="457"/>
        <v>0</v>
      </c>
      <c r="EW132" s="1118">
        <f t="shared" si="458"/>
        <v>0</v>
      </c>
      <c r="EX132" s="1118">
        <f t="shared" si="459"/>
        <v>367007945.82677501</v>
      </c>
      <c r="EY132" s="1119"/>
      <c r="FC132" s="1117">
        <f t="shared" si="404"/>
        <v>367007945.82677501</v>
      </c>
      <c r="FD132" s="1118">
        <f t="shared" si="460"/>
        <v>0</v>
      </c>
      <c r="FE132" s="1118">
        <f t="shared" si="461"/>
        <v>0</v>
      </c>
      <c r="FF132" s="1118">
        <f t="shared" si="462"/>
        <v>367007945.82677501</v>
      </c>
      <c r="FG132" s="1119"/>
      <c r="FK132" s="1117">
        <f t="shared" si="405"/>
        <v>367007945.82677501</v>
      </c>
      <c r="FL132" s="1118">
        <f t="shared" si="463"/>
        <v>0</v>
      </c>
      <c r="FM132" s="1118">
        <f t="shared" si="464"/>
        <v>0</v>
      </c>
      <c r="FN132" s="1118">
        <f t="shared" si="465"/>
        <v>367007945.82677501</v>
      </c>
      <c r="FO132" s="1119"/>
    </row>
    <row r="133" spans="1:171" x14ac:dyDescent="0.25">
      <c r="A133" s="1361"/>
      <c r="B133" s="848" t="s">
        <v>104</v>
      </c>
      <c r="C133" s="915"/>
      <c r="D133" s="916"/>
      <c r="E133" s="916"/>
      <c r="F133" s="917"/>
      <c r="G133" s="924">
        <f>SUM(G119:G132)</f>
        <v>1125414877.2128193</v>
      </c>
      <c r="H133" s="924">
        <f>SUM(H119:H132)</f>
        <v>412040822.10590285</v>
      </c>
      <c r="I133" s="924">
        <f>SUM(I119:I132)</f>
        <v>0</v>
      </c>
      <c r="J133" s="1429">
        <f>SUM(J119:J132)</f>
        <v>713152992.62798643</v>
      </c>
      <c r="K133" s="904"/>
      <c r="O133" s="1131">
        <f>SUM(O119:O132)</f>
        <v>1125414877.2128193</v>
      </c>
      <c r="P133" s="1131">
        <f>SUM(P119:P132)</f>
        <v>412040822.10590285</v>
      </c>
      <c r="Q133" s="1131">
        <f>SUM(Q119:Q132)</f>
        <v>6061648.698972255</v>
      </c>
      <c r="R133" s="1131">
        <f>SUM(R119:R132)</f>
        <v>707312406.40794408</v>
      </c>
      <c r="S133" s="1119"/>
      <c r="W133" s="1131">
        <f>SUM(W119:W132)</f>
        <v>1125414877.2128193</v>
      </c>
      <c r="X133" s="1131">
        <f>SUM(X119:X132)</f>
        <v>412040822.10590285</v>
      </c>
      <c r="Y133" s="1131">
        <f>SUM(Y119:Y132)</f>
        <v>6061648.698972255</v>
      </c>
      <c r="Z133" s="1131">
        <f>SUM(Z119:Z132)</f>
        <v>707312406.40794408</v>
      </c>
      <c r="AA133" s="1119"/>
      <c r="AE133" s="1131">
        <f>SUM(AE119:AE132)</f>
        <v>1125414877.2128193</v>
      </c>
      <c r="AF133" s="1131">
        <f>SUM(AF119:AF132)</f>
        <v>412040822.10590285</v>
      </c>
      <c r="AG133" s="1131">
        <f>SUM(AG119:AG132)</f>
        <v>6061648.698972255</v>
      </c>
      <c r="AH133" s="1131">
        <f>SUM(AH119:AH132)</f>
        <v>707312406.40794408</v>
      </c>
      <c r="AI133" s="1119"/>
      <c r="AM133" s="1131">
        <f>SUM(AM119:AM132)</f>
        <v>1125414877.2128193</v>
      </c>
      <c r="AN133" s="1131">
        <f>SUM(AN119:AN132)</f>
        <v>412040822.10590285</v>
      </c>
      <c r="AO133" s="1131">
        <f>SUM(AO119:AO132)</f>
        <v>6061648.698972255</v>
      </c>
      <c r="AP133" s="1131">
        <f>SUM(AP119:AP132)</f>
        <v>707312406.40794408</v>
      </c>
      <c r="AQ133" s="1119"/>
      <c r="AU133" s="1131">
        <f>SUM(AU119:AU132)</f>
        <v>1125414877.2128193</v>
      </c>
      <c r="AV133" s="1131">
        <f>SUM(AV119:AV132)</f>
        <v>412040822.10590285</v>
      </c>
      <c r="AW133" s="1131">
        <f>SUM(AW119:AW132)</f>
        <v>6061648.698972255</v>
      </c>
      <c r="AX133" s="1131">
        <f>SUM(AX119:AX132)</f>
        <v>707312406.40794408</v>
      </c>
      <c r="AY133" s="1119"/>
      <c r="BC133" s="1131">
        <f>SUM(BC119:BC132)</f>
        <v>1125414877.2128193</v>
      </c>
      <c r="BD133" s="1131">
        <f>SUM(BD119:BD132)</f>
        <v>412040822.10590285</v>
      </c>
      <c r="BE133" s="1131">
        <f>SUM(BE119:BE132)</f>
        <v>6061648.698972255</v>
      </c>
      <c r="BF133" s="1131">
        <f>SUM(BF119:BF132)</f>
        <v>707312406.40794408</v>
      </c>
      <c r="BG133" s="1119"/>
      <c r="BK133" s="1131">
        <f>SUM(BK119:BK132)</f>
        <v>1125414877.2128193</v>
      </c>
      <c r="BL133" s="1131">
        <f>SUM(BL119:BL132)</f>
        <v>412040822.10590285</v>
      </c>
      <c r="BM133" s="1131">
        <f>SUM(BM119:BM132)</f>
        <v>6061648.698972255</v>
      </c>
      <c r="BN133" s="1131">
        <f>SUM(BN119:BN132)</f>
        <v>707312406.40794408</v>
      </c>
      <c r="BO133" s="1119"/>
      <c r="BS133" s="1131">
        <f>SUM(BS119:BS132)</f>
        <v>1125414877.2128193</v>
      </c>
      <c r="BT133" s="1131">
        <f>SUM(BT119:BT132)</f>
        <v>412040822.10590285</v>
      </c>
      <c r="BU133" s="1131">
        <f>SUM(BU119:BU132)</f>
        <v>6061648.698972255</v>
      </c>
      <c r="BV133" s="1131">
        <f>SUM(BV119:BV132)</f>
        <v>707312406.40794408</v>
      </c>
      <c r="BW133" s="1119"/>
      <c r="CA133" s="1131">
        <f>SUM(CA119:CA132)</f>
        <v>1125414877.2128193</v>
      </c>
      <c r="CB133" s="1131">
        <f>SUM(CB119:CB132)</f>
        <v>412040822.10590285</v>
      </c>
      <c r="CC133" s="1131">
        <f>SUM(CC119:CC132)</f>
        <v>6061648.698972255</v>
      </c>
      <c r="CD133" s="1131">
        <f>SUM(CD119:CD132)</f>
        <v>707312406.40794408</v>
      </c>
      <c r="CE133" s="1119"/>
      <c r="CI133" s="1131">
        <f>SUM(CI119:CI132)</f>
        <v>1125414877.2128193</v>
      </c>
      <c r="CJ133" s="1131">
        <f>SUM(CJ119:CJ132)</f>
        <v>412040822.10590285</v>
      </c>
      <c r="CK133" s="1131">
        <f>SUM(CK119:CK132)</f>
        <v>6061648.698972255</v>
      </c>
      <c r="CL133" s="1131">
        <f>SUM(CL119:CL132)</f>
        <v>707312406.40794408</v>
      </c>
      <c r="CM133" s="1119"/>
      <c r="CQ133" s="1131">
        <f>SUM(CQ119:CQ132)</f>
        <v>1125414877.2128193</v>
      </c>
      <c r="CR133" s="1131">
        <f>SUM(CR119:CR132)</f>
        <v>412040822.10590285</v>
      </c>
      <c r="CS133" s="1131">
        <f>SUM(CS119:CS132)</f>
        <v>6061648.698972255</v>
      </c>
      <c r="CT133" s="1131">
        <f>SUM(CT119:CT132)</f>
        <v>707312406.40794408</v>
      </c>
      <c r="CU133" s="1119"/>
      <c r="CY133" s="1131">
        <f>SUM(CY119:CY132)</f>
        <v>1125414877.2128193</v>
      </c>
      <c r="CZ133" s="1131">
        <f>SUM(CZ119:CZ132)</f>
        <v>412040822.10590285</v>
      </c>
      <c r="DA133" s="1131">
        <f>SUM(DA119:DA132)</f>
        <v>6061648.698972255</v>
      </c>
      <c r="DB133" s="1131">
        <f>SUM(DB119:DB132)</f>
        <v>707312406.40794408</v>
      </c>
      <c r="DC133" s="1119"/>
      <c r="DG133" s="1131">
        <f>SUM(DG119:DG132)</f>
        <v>1125414877.2128193</v>
      </c>
      <c r="DH133" s="1131">
        <f>SUM(DH119:DH132)</f>
        <v>412040822.10590285</v>
      </c>
      <c r="DI133" s="1131">
        <f>SUM(DI119:DI132)</f>
        <v>6061648.698972255</v>
      </c>
      <c r="DJ133" s="1131">
        <f>SUM(DJ119:DJ132)</f>
        <v>707312406.40794408</v>
      </c>
      <c r="DK133" s="1119"/>
      <c r="DO133" s="1131">
        <f>SUM(DO119:DO132)</f>
        <v>1125414877.2128193</v>
      </c>
      <c r="DP133" s="1131">
        <f>SUM(DP119:DP132)</f>
        <v>412040822.10590285</v>
      </c>
      <c r="DQ133" s="1131">
        <f>SUM(DQ119:DQ132)</f>
        <v>6061648.698972255</v>
      </c>
      <c r="DR133" s="1131">
        <f>SUM(DR119:DR132)</f>
        <v>707312406.40794408</v>
      </c>
      <c r="DS133" s="1119"/>
      <c r="DW133" s="1131">
        <f>SUM(DW119:DW132)</f>
        <v>1125414877.2128193</v>
      </c>
      <c r="DX133" s="1131">
        <f>SUM(DX119:DX132)</f>
        <v>412040822.10590285</v>
      </c>
      <c r="DY133" s="1131">
        <f>SUM(DY119:DY132)</f>
        <v>6061648.698972255</v>
      </c>
      <c r="DZ133" s="1131">
        <f>SUM(DZ119:DZ132)</f>
        <v>707312406.40794408</v>
      </c>
      <c r="EA133" s="1119"/>
      <c r="EE133" s="1131">
        <f>SUM(EE119:EE132)</f>
        <v>1125414877.2128193</v>
      </c>
      <c r="EF133" s="1131">
        <f>SUM(EF119:EF132)</f>
        <v>412040822.10590285</v>
      </c>
      <c r="EG133" s="1131">
        <f>SUM(EG119:EG132)</f>
        <v>6061648.698972255</v>
      </c>
      <c r="EH133" s="1131">
        <f>SUM(EH119:EH132)</f>
        <v>707312406.40794408</v>
      </c>
      <c r="EI133" s="1119"/>
      <c r="EM133" s="1131">
        <f>SUM(EM119:EM132)</f>
        <v>1125414877.2128193</v>
      </c>
      <c r="EN133" s="1131">
        <f>SUM(EN119:EN132)</f>
        <v>412040822.10590285</v>
      </c>
      <c r="EO133" s="1131">
        <f>SUM(EO119:EO132)</f>
        <v>6061648.698972255</v>
      </c>
      <c r="EP133" s="1131">
        <f>SUM(EP119:EP132)</f>
        <v>707312406.40794408</v>
      </c>
      <c r="EQ133" s="1119"/>
      <c r="EU133" s="1131">
        <f>SUM(EU119:EU132)</f>
        <v>1125414877.2128193</v>
      </c>
      <c r="EV133" s="1131">
        <f>SUM(EV119:EV132)</f>
        <v>412040822.10590285</v>
      </c>
      <c r="EW133" s="1131">
        <f>SUM(EW119:EW132)</f>
        <v>6061648.698972255</v>
      </c>
      <c r="EX133" s="1131">
        <f>SUM(EX119:EX132)</f>
        <v>707312406.40794408</v>
      </c>
      <c r="EY133" s="1119"/>
      <c r="FC133" s="1131">
        <f>SUM(FC119:FC132)</f>
        <v>1125414877.2128193</v>
      </c>
      <c r="FD133" s="1131">
        <f>SUM(FD119:FD132)</f>
        <v>412040822.10590285</v>
      </c>
      <c r="FE133" s="1131">
        <f>SUM(FE119:FE132)</f>
        <v>6061648.698972255</v>
      </c>
      <c r="FF133" s="1131">
        <f>SUM(FF119:FF132)</f>
        <v>707312406.40794408</v>
      </c>
      <c r="FG133" s="1119"/>
      <c r="FK133" s="1131">
        <f>SUM(FK119:FK132)</f>
        <v>1125414877.2128193</v>
      </c>
      <c r="FL133" s="1131">
        <f>SUM(FL119:FL132)</f>
        <v>412040822.10590285</v>
      </c>
      <c r="FM133" s="1131">
        <f>SUM(FM119:FM132)</f>
        <v>6061648.698972255</v>
      </c>
      <c r="FN133" s="1131">
        <f>SUM(FN119:FN132)</f>
        <v>707312406.40794408</v>
      </c>
      <c r="FO133" s="1119"/>
    </row>
    <row r="134" spans="1:171" x14ac:dyDescent="0.25">
      <c r="A134" s="1447"/>
      <c r="B134" s="938"/>
      <c r="C134" s="946"/>
      <c r="D134" s="947"/>
      <c r="E134" s="196"/>
      <c r="F134" s="196"/>
      <c r="G134" s="334"/>
      <c r="H134" s="334"/>
      <c r="I134" s="334"/>
      <c r="J134" s="1366"/>
      <c r="K134" s="904"/>
      <c r="O134" s="1080"/>
      <c r="S134" s="1119"/>
      <c r="W134" s="1080"/>
      <c r="AA134" s="1119"/>
      <c r="AE134" s="1080"/>
      <c r="AI134" s="1119"/>
      <c r="AM134" s="1080"/>
      <c r="AQ134" s="1119"/>
      <c r="AU134" s="1080"/>
      <c r="AY134" s="1119"/>
      <c r="BC134" s="1080"/>
      <c r="BG134" s="1119"/>
      <c r="BK134" s="1080"/>
      <c r="BO134" s="1119"/>
      <c r="BS134" s="1080"/>
      <c r="BW134" s="1119"/>
      <c r="CA134" s="1080"/>
      <c r="CE134" s="1119"/>
      <c r="CI134" s="1080"/>
      <c r="CM134" s="1119"/>
      <c r="CQ134" s="1080"/>
      <c r="CU134" s="1119"/>
      <c r="CY134" s="1080"/>
      <c r="DC134" s="1119"/>
      <c r="DG134" s="1080"/>
      <c r="DK134" s="1119"/>
      <c r="DO134" s="1080"/>
      <c r="DS134" s="1119"/>
      <c r="DW134" s="1080"/>
      <c r="EA134" s="1119"/>
      <c r="EE134" s="1080"/>
      <c r="EI134" s="1119"/>
      <c r="EM134" s="1080"/>
      <c r="EQ134" s="1119"/>
      <c r="EU134" s="1080"/>
      <c r="EY134" s="1119"/>
      <c r="FC134" s="1080"/>
      <c r="FG134" s="1119"/>
      <c r="FK134" s="1080"/>
      <c r="FO134" s="1119"/>
    </row>
    <row r="135" spans="1:171" x14ac:dyDescent="0.25">
      <c r="A135" s="1448" t="s">
        <v>74</v>
      </c>
      <c r="B135" s="64"/>
      <c r="C135" s="915"/>
      <c r="D135" s="916"/>
      <c r="E135" s="916"/>
      <c r="F135" s="917"/>
      <c r="G135" s="924">
        <f>+G84+G93+G100+G116+G133</f>
        <v>3908737606.0971003</v>
      </c>
      <c r="H135" s="924">
        <f>+H84+H93+H100+H116+H133</f>
        <v>805285062.89020872</v>
      </c>
      <c r="I135" s="924">
        <f>+I84+I93+I100+I116+I133</f>
        <v>23892855.711776573</v>
      </c>
      <c r="J135" s="1429">
        <f>+J84+J93+J100+J116+J133</f>
        <v>3079338625.0147085</v>
      </c>
      <c r="K135" s="904"/>
      <c r="O135" s="1132">
        <f>+O84+O93+O100+O116+O133</f>
        <v>3908737606.0971003</v>
      </c>
      <c r="P135" s="1132">
        <f>+P84+P93+P100+P116+P133</f>
        <v>813529080.44323754</v>
      </c>
      <c r="Q135" s="1132">
        <f>+Q84+Q93+Q100+Q116+Q133</f>
        <v>139290700.12313235</v>
      </c>
      <c r="R135" s="1132">
        <f>+R84+R93+R100+R116+R133</f>
        <v>2955917825.5307302</v>
      </c>
      <c r="S135" s="1119"/>
      <c r="W135" s="1132">
        <f>+W84+W93+W100+W116+W133</f>
        <v>3908737606.0971003</v>
      </c>
      <c r="X135" s="1132">
        <f>+X84+X93+X100+X116+X133</f>
        <v>813529080.44323754</v>
      </c>
      <c r="Y135" s="1132">
        <f>+Y84+Y93+Y100+Y116+Y133</f>
        <v>139290700.12313235</v>
      </c>
      <c r="Z135" s="1132">
        <f>+Z84+Z93+Z100+Z116+Z133</f>
        <v>2955917825.5307302</v>
      </c>
      <c r="AA135" s="1119"/>
      <c r="AE135" s="1132">
        <f>+AE84+AE93+AE100+AE116+AE133</f>
        <v>3908737606.0971003</v>
      </c>
      <c r="AF135" s="1132">
        <f>+AF84+AF93+AF100+AF116+AF133</f>
        <v>813529080.44323754</v>
      </c>
      <c r="AG135" s="1132">
        <f>+AG84+AG93+AG100+AG116+AG133</f>
        <v>139290700.12313235</v>
      </c>
      <c r="AH135" s="1132">
        <f>+AH84+AH93+AH100+AH116+AH133</f>
        <v>2955917825.5307302</v>
      </c>
      <c r="AI135" s="1119"/>
      <c r="AM135" s="1132">
        <f>+AM84+AM93+AM100+AM116+AM133</f>
        <v>3908737606.0971003</v>
      </c>
      <c r="AN135" s="1132">
        <f>+AN84+AN93+AN100+AN116+AN133</f>
        <v>813529080.44323754</v>
      </c>
      <c r="AO135" s="1132">
        <f>+AO84+AO93+AO100+AO116+AO133</f>
        <v>139290700.12313235</v>
      </c>
      <c r="AP135" s="1132">
        <f>+AP84+AP93+AP100+AP116+AP133</f>
        <v>2955917825.5307302</v>
      </c>
      <c r="AQ135" s="1119"/>
      <c r="AU135" s="1132">
        <f>+AU84+AU93+AU100+AU116+AU133</f>
        <v>3908737606.0971003</v>
      </c>
      <c r="AV135" s="1132">
        <f>+AV84+AV93+AV100+AV116+AV133</f>
        <v>813529080.44323754</v>
      </c>
      <c r="AW135" s="1132">
        <f>+AW84+AW93+AW100+AW116+AW133</f>
        <v>139290700.12313235</v>
      </c>
      <c r="AX135" s="1132">
        <f>+AX84+AX93+AX100+AX116+AX133</f>
        <v>2955917825.5307302</v>
      </c>
      <c r="AY135" s="1119"/>
      <c r="BC135" s="1132">
        <f>+BC84+BC93+BC100+BC116+BC133</f>
        <v>3908737606.0971003</v>
      </c>
      <c r="BD135" s="1132">
        <f>+BD84+BD93+BD100+BD116+BD133</f>
        <v>813529080.44323754</v>
      </c>
      <c r="BE135" s="1132">
        <f>+BE84+BE93+BE100+BE116+BE133</f>
        <v>139290700.12313235</v>
      </c>
      <c r="BF135" s="1132">
        <f>+BF84+BF93+BF100+BF116+BF133</f>
        <v>2955917825.5307302</v>
      </c>
      <c r="BG135" s="1119"/>
      <c r="BK135" s="1132">
        <f>+BK84+BK93+BK100+BK116+BK133</f>
        <v>3908737606.0971003</v>
      </c>
      <c r="BL135" s="1132">
        <f>+BL84+BL93+BL100+BL116+BL133</f>
        <v>813529080.44323754</v>
      </c>
      <c r="BM135" s="1132">
        <f>+BM84+BM93+BM100+BM116+BM133</f>
        <v>139290700.12313235</v>
      </c>
      <c r="BN135" s="1132">
        <f>+BN84+BN93+BN100+BN116+BN133</f>
        <v>2955917825.5307302</v>
      </c>
      <c r="BO135" s="1119"/>
      <c r="BS135" s="1132">
        <f>+BS84+BS93+BS100+BS116+BS133</f>
        <v>3908737606.0971003</v>
      </c>
      <c r="BT135" s="1132">
        <f>+BT84+BT93+BT100+BT116+BT133</f>
        <v>813529080.44323754</v>
      </c>
      <c r="BU135" s="1132">
        <f>+BU84+BU93+BU100+BU116+BU133</f>
        <v>139290700.12313235</v>
      </c>
      <c r="BV135" s="1132">
        <f>+BV84+BV93+BV100+BV116+BV133</f>
        <v>2955917825.5307302</v>
      </c>
      <c r="BW135" s="1119"/>
      <c r="CA135" s="1132">
        <f>+CA84+CA93+CA100+CA116+CA133</f>
        <v>3908737606.0971003</v>
      </c>
      <c r="CB135" s="1132">
        <f>+CB84+CB93+CB100+CB116+CB133</f>
        <v>813529080.44323754</v>
      </c>
      <c r="CC135" s="1132">
        <f>+CC84+CC93+CC100+CC116+CC133</f>
        <v>139290700.12313235</v>
      </c>
      <c r="CD135" s="1132">
        <f>+CD84+CD93+CD100+CD116+CD133</f>
        <v>2955917825.5307302</v>
      </c>
      <c r="CE135" s="1119"/>
      <c r="CI135" s="1132">
        <f>+CI84+CI93+CI100+CI116+CI133</f>
        <v>3908737606.0971003</v>
      </c>
      <c r="CJ135" s="1132">
        <f>+CJ84+CJ93+CJ100+CJ116+CJ133</f>
        <v>813529080.44323754</v>
      </c>
      <c r="CK135" s="1132">
        <f>+CK84+CK93+CK100+CK116+CK133</f>
        <v>139290700.12313235</v>
      </c>
      <c r="CL135" s="1132">
        <f>+CL84+CL93+CL100+CL116+CL133</f>
        <v>2955917825.5307302</v>
      </c>
      <c r="CM135" s="1119"/>
      <c r="CQ135" s="1132">
        <f>+CQ84+CQ93+CQ100+CQ116+CQ133</f>
        <v>3908737606.0971003</v>
      </c>
      <c r="CR135" s="1132">
        <f>+CR84+CR93+CR100+CR116+CR133</f>
        <v>813529080.44323754</v>
      </c>
      <c r="CS135" s="1132">
        <f>+CS84+CS93+CS100+CS116+CS133</f>
        <v>139290700.12313235</v>
      </c>
      <c r="CT135" s="1132">
        <f>+CT84+CT93+CT100+CT116+CT133</f>
        <v>2955917825.5307302</v>
      </c>
      <c r="CU135" s="1119"/>
      <c r="CY135" s="1132">
        <f>+CY84+CY93+CY100+CY116+CY133</f>
        <v>3908737606.0971003</v>
      </c>
      <c r="CZ135" s="1132">
        <f>+CZ84+CZ93+CZ100+CZ116+CZ133</f>
        <v>813529080.44323754</v>
      </c>
      <c r="DA135" s="1132">
        <f>+DA84+DA93+DA100+DA116+DA133</f>
        <v>139290700.12313235</v>
      </c>
      <c r="DB135" s="1132">
        <f>+DB84+DB93+DB100+DB116+DB133</f>
        <v>2955917825.5307302</v>
      </c>
      <c r="DC135" s="1119"/>
      <c r="DG135" s="1132">
        <f>+DG84+DG93+DG100+DG116+DG133</f>
        <v>3908737606.0971003</v>
      </c>
      <c r="DH135" s="1132">
        <f>+DH84+DH93+DH100+DH116+DH133</f>
        <v>813529080.44323754</v>
      </c>
      <c r="DI135" s="1132">
        <f>+DI84+DI93+DI100+DI116+DI133</f>
        <v>139290700.12313235</v>
      </c>
      <c r="DJ135" s="1132">
        <f>+DJ84+DJ93+DJ100+DJ116+DJ133</f>
        <v>2955917825.5307302</v>
      </c>
      <c r="DK135" s="1119"/>
      <c r="DO135" s="1132">
        <f>+DO84+DO93+DO100+DO116+DO133</f>
        <v>3908737606.0971003</v>
      </c>
      <c r="DP135" s="1132">
        <f>+DP84+DP93+DP100+DP116+DP133</f>
        <v>813529080.44323754</v>
      </c>
      <c r="DQ135" s="1132">
        <f>+DQ84+DQ93+DQ100+DQ116+DQ133</f>
        <v>139290700.12313235</v>
      </c>
      <c r="DR135" s="1132">
        <f>+DR84+DR93+DR100+DR116+DR133</f>
        <v>2955917825.5307302</v>
      </c>
      <c r="DS135" s="1119"/>
      <c r="DW135" s="1132">
        <f>+DW84+DW93+DW100+DW116+DW133</f>
        <v>3908737606.0971003</v>
      </c>
      <c r="DX135" s="1132">
        <f>+DX84+DX93+DX100+DX116+DX133</f>
        <v>813529080.44323754</v>
      </c>
      <c r="DY135" s="1132">
        <f>+DY84+DY93+DY100+DY116+DY133</f>
        <v>139290700.12313235</v>
      </c>
      <c r="DZ135" s="1132">
        <f>+DZ84+DZ93+DZ100+DZ116+DZ133</f>
        <v>2955917825.5307302</v>
      </c>
      <c r="EA135" s="1119"/>
      <c r="EE135" s="1132">
        <f>+EE84+EE93+EE100+EE116+EE133</f>
        <v>3908737606.0971003</v>
      </c>
      <c r="EF135" s="1132">
        <f>+EF84+EF93+EF100+EF116+EF133</f>
        <v>813529080.44323754</v>
      </c>
      <c r="EG135" s="1132">
        <f>+EG84+EG93+EG100+EG116+EG133</f>
        <v>139290700.12313235</v>
      </c>
      <c r="EH135" s="1132">
        <f>+EH84+EH93+EH100+EH116+EH133</f>
        <v>2955917825.5307302</v>
      </c>
      <c r="EI135" s="1119"/>
      <c r="EM135" s="1132">
        <f>+EM84+EM93+EM100+EM116+EM133</f>
        <v>3908737606.0971003</v>
      </c>
      <c r="EN135" s="1132">
        <f>+EN84+EN93+EN100+EN116+EN133</f>
        <v>813529080.44323754</v>
      </c>
      <c r="EO135" s="1132">
        <f>+EO84+EO93+EO100+EO116+EO133</f>
        <v>139290700.12313235</v>
      </c>
      <c r="EP135" s="1132">
        <f>+EP84+EP93+EP100+EP116+EP133</f>
        <v>2955917825.5307302</v>
      </c>
      <c r="EQ135" s="1119"/>
      <c r="EU135" s="1132">
        <f>+EU84+EU93+EU100+EU116+EU133</f>
        <v>3908737606.0971003</v>
      </c>
      <c r="EV135" s="1132">
        <f>+EV84+EV93+EV100+EV116+EV133</f>
        <v>813529080.44323754</v>
      </c>
      <c r="EW135" s="1132">
        <f>+EW84+EW93+EW100+EW116+EW133</f>
        <v>139290700.12313235</v>
      </c>
      <c r="EX135" s="1132">
        <f>+EX84+EX93+EX100+EX116+EX133</f>
        <v>2955917825.5307302</v>
      </c>
      <c r="EY135" s="1119"/>
      <c r="FC135" s="1132">
        <f>+FC84+FC93+FC100+FC116+FC133</f>
        <v>3908737606.0971003</v>
      </c>
      <c r="FD135" s="1132">
        <f>+FD84+FD93+FD100+FD116+FD133</f>
        <v>813529080.44323754</v>
      </c>
      <c r="FE135" s="1132">
        <f>+FE84+FE93+FE100+FE116+FE133</f>
        <v>139290700.12313235</v>
      </c>
      <c r="FF135" s="1132">
        <f>+FF84+FF93+FF100+FF116+FF133</f>
        <v>2955917825.5307302</v>
      </c>
      <c r="FG135" s="1119"/>
      <c r="FK135" s="1132">
        <f>+FK84+FK93+FK100+FK116+FK133</f>
        <v>3908737606.0971003</v>
      </c>
      <c r="FL135" s="1132">
        <f>+FL84+FL93+FL100+FL116+FL133</f>
        <v>813529080.44323754</v>
      </c>
      <c r="FM135" s="1132">
        <f>+FM84+FM93+FM100+FM116+FM133</f>
        <v>139290700.12313235</v>
      </c>
      <c r="FN135" s="1132">
        <f>+FN84+FN93+FN100+FN116+FN133</f>
        <v>2955917825.5307302</v>
      </c>
      <c r="FO135" s="1119"/>
    </row>
    <row r="136" spans="1:171" ht="16.5" thickBot="1" x14ac:dyDescent="0.3">
      <c r="A136" s="1449"/>
      <c r="B136" s="932"/>
      <c r="C136" s="933"/>
      <c r="D136" s="933"/>
      <c r="E136" s="932"/>
      <c r="F136" s="932"/>
      <c r="G136" s="966"/>
      <c r="H136" s="966"/>
      <c r="I136" s="966"/>
      <c r="J136" s="1450"/>
      <c r="K136" s="904"/>
      <c r="S136" s="1119"/>
      <c r="AA136" s="1119"/>
      <c r="AI136" s="1119"/>
      <c r="AQ136" s="1119"/>
      <c r="AY136" s="1119"/>
      <c r="BG136" s="1119"/>
      <c r="BO136" s="1119"/>
      <c r="BW136" s="1119"/>
      <c r="CE136" s="1119"/>
      <c r="CM136" s="1119"/>
      <c r="CU136" s="1119"/>
      <c r="DC136" s="1119"/>
      <c r="DK136" s="1119"/>
      <c r="DS136" s="1119"/>
      <c r="EA136" s="1119"/>
      <c r="EI136" s="1119"/>
      <c r="EQ136" s="1119"/>
      <c r="EY136" s="1119"/>
      <c r="FG136" s="1119"/>
      <c r="FO136" s="1119"/>
    </row>
    <row r="137" spans="1:171" ht="16.5" thickTop="1" x14ac:dyDescent="0.25">
      <c r="A137" s="1451" t="s">
        <v>75</v>
      </c>
      <c r="B137" s="64"/>
      <c r="C137" s="55"/>
      <c r="D137" s="196"/>
      <c r="E137" s="196"/>
      <c r="F137" s="196"/>
      <c r="G137" s="911"/>
      <c r="H137" s="911"/>
      <c r="I137" s="911"/>
      <c r="J137" s="1424"/>
      <c r="K137" s="904"/>
      <c r="S137" s="1119"/>
      <c r="AA137" s="1119"/>
      <c r="AI137" s="1119"/>
      <c r="AQ137" s="1119"/>
      <c r="AY137" s="1119"/>
      <c r="BG137" s="1119"/>
      <c r="BO137" s="1119"/>
      <c r="BW137" s="1119"/>
      <c r="CE137" s="1119"/>
      <c r="CM137" s="1119"/>
      <c r="CU137" s="1119"/>
      <c r="DC137" s="1119"/>
      <c r="DK137" s="1119"/>
      <c r="DS137" s="1119"/>
      <c r="EA137" s="1119"/>
      <c r="EI137" s="1119"/>
      <c r="EQ137" s="1119"/>
      <c r="EY137" s="1119"/>
      <c r="FG137" s="1119"/>
      <c r="FO137" s="1119"/>
    </row>
    <row r="138" spans="1:171" x14ac:dyDescent="0.25">
      <c r="A138" s="1421"/>
      <c r="B138" s="848" t="s">
        <v>434</v>
      </c>
      <c r="C138" s="196"/>
      <c r="D138" s="969"/>
      <c r="E138" s="196"/>
      <c r="F138" s="196"/>
      <c r="G138" s="198"/>
      <c r="H138" s="198"/>
      <c r="I138" s="198"/>
      <c r="J138" s="1427"/>
      <c r="K138" s="904"/>
      <c r="S138" s="1119"/>
      <c r="AA138" s="1119"/>
      <c r="AI138" s="1119"/>
      <c r="AQ138" s="1119"/>
      <c r="AY138" s="1119"/>
      <c r="BG138" s="1119"/>
      <c r="BO138" s="1119"/>
      <c r="BW138" s="1119"/>
      <c r="CE138" s="1119"/>
      <c r="CM138" s="1119"/>
      <c r="CU138" s="1119"/>
      <c r="DC138" s="1119"/>
      <c r="DK138" s="1119"/>
      <c r="DS138" s="1119"/>
      <c r="EA138" s="1119"/>
      <c r="EI138" s="1119"/>
      <c r="EQ138" s="1119"/>
      <c r="EY138" s="1119"/>
      <c r="FG138" s="1119"/>
      <c r="FO138" s="1119"/>
    </row>
    <row r="139" spans="1:171" x14ac:dyDescent="0.25">
      <c r="A139" s="1437"/>
      <c r="B139" s="79" t="s">
        <v>332</v>
      </c>
      <c r="C139" s="889" t="s">
        <v>81</v>
      </c>
      <c r="D139" s="889">
        <v>244</v>
      </c>
      <c r="E139" s="182" t="str">
        <f>'Sch 1- Rate Base '!E139</f>
        <v>DIST</v>
      </c>
      <c r="F139" s="890"/>
      <c r="G139" s="182">
        <f>'Sch 1- Rate Base '!G139</f>
        <v>33532868.969462179</v>
      </c>
      <c r="H139" s="182">
        <f>'Sch 1- Rate Base '!H139</f>
        <v>0</v>
      </c>
      <c r="I139" s="182">
        <f>'Sch 1- Rate Base '!I139</f>
        <v>0</v>
      </c>
      <c r="J139" s="1422">
        <f>'Sch 1- Rate Base '!J139</f>
        <v>33532868.969462179</v>
      </c>
      <c r="K139" s="904">
        <f>IF($E139="DIRECT",0,1)</f>
        <v>1</v>
      </c>
      <c r="O139" s="1117">
        <f>$G139</f>
        <v>33532868.969462179</v>
      </c>
      <c r="P139" s="1118">
        <f>VLOOKUP($E139,O$442:R$453,2,FALSE)*O139*($K139)+IF($G139&lt;&gt;0,($H139/$G139)*O139,0)*(1-$K139)</f>
        <v>0</v>
      </c>
      <c r="Q139" s="1118">
        <f>VLOOKUP($E139,O$442:R$453,3,FALSE)*O139*($K139)+IF($G139&lt;&gt;0,($I139/$G139)*O139,0)*(1-$K139)</f>
        <v>0</v>
      </c>
      <c r="R139" s="1118">
        <f>VLOOKUP($E139,O$442:R$453,4,FALSE)*O139*($K139)+(O139-P139-Q139)*(1-$K139)</f>
        <v>33532868.969462179</v>
      </c>
      <c r="S139" s="1119"/>
      <c r="W139" s="1117">
        <f>$G139</f>
        <v>33532868.969462179</v>
      </c>
      <c r="X139" s="1118">
        <f>VLOOKUP($E139,W$442:Z$453,2,FALSE)*W139*($K139)+IF($G139&lt;&gt;0,($H139/$G139)*W139,0)*(1-$K139)</f>
        <v>0</v>
      </c>
      <c r="Y139" s="1118">
        <f>VLOOKUP($E139,W$442:Z$453,3,FALSE)*W139*($K139)+IF($G139&lt;&gt;0,($I139/$G139)*W139,0)*(1-$K139)</f>
        <v>0</v>
      </c>
      <c r="Z139" s="1118">
        <f>VLOOKUP($E139,W$442:Z$453,4,FALSE)*W139*($K139)+(W139-X139-Y139)*(1-$K139)</f>
        <v>33532868.969462179</v>
      </c>
      <c r="AA139" s="1119"/>
      <c r="AE139" s="1117">
        <f>$G139</f>
        <v>33532868.969462179</v>
      </c>
      <c r="AF139" s="1118">
        <f>VLOOKUP($E139,AE$442:AH$453,2,FALSE)*AE139*($K139)+IF($G139&lt;&gt;0,($H139/$G139)*AE139,0)*(1-$K139)</f>
        <v>0</v>
      </c>
      <c r="AG139" s="1118">
        <f>VLOOKUP($E139,AE$442:AH$453,3,FALSE)*AE139*($K139)+IF($G139&lt;&gt;0,($I139/$G139)*AE139,0)*(1-$K139)</f>
        <v>0</v>
      </c>
      <c r="AH139" s="1118">
        <f>VLOOKUP($E139,AE$442:AH$453,4,FALSE)*AE139*($K139)+(AE139-AF139-AG139)*(1-$K139)</f>
        <v>33532868.969462179</v>
      </c>
      <c r="AI139" s="1119"/>
      <c r="AM139" s="1117">
        <f>$G139</f>
        <v>33532868.969462179</v>
      </c>
      <c r="AN139" s="1118">
        <f>VLOOKUP($E139,AM$442:AP$453,2,FALSE)*AM139*($K139)+IF($G139&lt;&gt;0,($H139/$G139)*AM139,0)*(1-$K139)</f>
        <v>0</v>
      </c>
      <c r="AO139" s="1118">
        <f>VLOOKUP($E139,AM$442:AP$453,3,FALSE)*AM139*($K139)+IF($G139&lt;&gt;0,($I139/$G139)*AM139,0)*(1-$K139)</f>
        <v>0</v>
      </c>
      <c r="AP139" s="1118">
        <f>VLOOKUP($E139,AM$442:AP$453,4,FALSE)*AM139*($K139)+(AM139-AN139-AO139)*(1-$K139)</f>
        <v>33532868.969462179</v>
      </c>
      <c r="AQ139" s="1119"/>
      <c r="AU139" s="1117">
        <f>$G139</f>
        <v>33532868.969462179</v>
      </c>
      <c r="AV139" s="1118">
        <f>VLOOKUP($E139,AU$442:AX$453,2,FALSE)*AU139*($K139)+IF($G139&lt;&gt;0,($H139/$G139)*AU139,0)*(1-$K139)</f>
        <v>0</v>
      </c>
      <c r="AW139" s="1118">
        <f>VLOOKUP($E139,AU$442:AX$453,3,FALSE)*AU139*($K139)+IF($G139&lt;&gt;0,($I139/$G139)*AU139,0)*(1-$K139)</f>
        <v>0</v>
      </c>
      <c r="AX139" s="1118">
        <f>VLOOKUP($E139,AU$442:AX$453,4,FALSE)*AU139*($K139)+(AU139-AV139-AW139)*(1-$K139)</f>
        <v>33532868.969462179</v>
      </c>
      <c r="AY139" s="1119"/>
      <c r="BC139" s="1117">
        <f>$G139</f>
        <v>33532868.969462179</v>
      </c>
      <c r="BD139" s="1118">
        <f>VLOOKUP($E139,BC$442:BF$453,2,FALSE)*BC139*($K139)+IF($G139&lt;&gt;0,($H139/$G139)*BC139,0)*(1-$K139)</f>
        <v>0</v>
      </c>
      <c r="BE139" s="1118">
        <f>VLOOKUP($E139,BC$442:BF$453,3,FALSE)*BC139*($K139)+IF($G139&lt;&gt;0,($I139/$G139)*BC139,0)*(1-$K139)</f>
        <v>0</v>
      </c>
      <c r="BF139" s="1118">
        <f>VLOOKUP($E139,BC$442:BF$453,4,FALSE)*BC139*($K139)+(BC139-BD139-BE139)*(1-$K139)</f>
        <v>33532868.969462179</v>
      </c>
      <c r="BG139" s="1119"/>
      <c r="BK139" s="1117">
        <f>$G139</f>
        <v>33532868.969462179</v>
      </c>
      <c r="BL139" s="1118">
        <f>VLOOKUP($E139,BK$442:BN$453,2,FALSE)*BK139*($K139)+IF($G139&lt;&gt;0,($H139/$G139)*BK139,0)*(1-$K139)</f>
        <v>0</v>
      </c>
      <c r="BM139" s="1118">
        <f>VLOOKUP($E139,BK$442:BN$453,3,FALSE)*BK139*($K139)+IF($G139&lt;&gt;0,($I139/$G139)*BK139,0)*(1-$K139)</f>
        <v>0</v>
      </c>
      <c r="BN139" s="1118">
        <f>VLOOKUP($E139,BK$442:BN$453,4,FALSE)*BK139*($K139)+(BK139-BL139-BM139)*(1-$K139)</f>
        <v>33532868.969462179</v>
      </c>
      <c r="BO139" s="1119"/>
      <c r="BS139" s="1117">
        <f>$G139</f>
        <v>33532868.969462179</v>
      </c>
      <c r="BT139" s="1118">
        <f>VLOOKUP($E139,BS$442:BV$453,2,FALSE)*BS139*($K139)+IF($G139&lt;&gt;0,($H139/$G139)*BS139,0)*(1-$K139)</f>
        <v>0</v>
      </c>
      <c r="BU139" s="1118">
        <f>VLOOKUP($E139,BS$442:BV$453,3,FALSE)*BS139*($K139)+IF($G139&lt;&gt;0,($I139/$G139)*BS139,0)*(1-$K139)</f>
        <v>0</v>
      </c>
      <c r="BV139" s="1118">
        <f>VLOOKUP($E139,BS$442:BV$453,4,FALSE)*BS139*($K139)+(BS139-BT139-BU139)*(1-$K139)</f>
        <v>33532868.969462179</v>
      </c>
      <c r="BW139" s="1119"/>
      <c r="CA139" s="1117">
        <f>$G139</f>
        <v>33532868.969462179</v>
      </c>
      <c r="CB139" s="1118">
        <f>VLOOKUP($E139,CA$442:CD$453,2,FALSE)*CA139*($K139)+IF($G139&lt;&gt;0,($H139/$G139)*CA139,0)*(1-$K139)</f>
        <v>0</v>
      </c>
      <c r="CC139" s="1118">
        <f>VLOOKUP($E139,CA$442:CD$453,3,FALSE)*CA139*($K139)+IF($G139&lt;&gt;0,($I139/$G139)*CA139,0)*(1-$K139)</f>
        <v>0</v>
      </c>
      <c r="CD139" s="1118">
        <f>VLOOKUP($E139,CA$442:CD$453,4,FALSE)*CA139*($K139)+(CA139-CB139-CC139)*(1-$K139)</f>
        <v>33532868.969462179</v>
      </c>
      <c r="CE139" s="1119"/>
      <c r="CI139" s="1117">
        <f>$G139</f>
        <v>33532868.969462179</v>
      </c>
      <c r="CJ139" s="1118">
        <f>VLOOKUP($E139,CI$442:CL$453,2,FALSE)*CI139*($K139)+IF($G139&lt;&gt;0,($H139/$G139)*CI139,0)*(1-$K139)</f>
        <v>0</v>
      </c>
      <c r="CK139" s="1118">
        <f>VLOOKUP($E139,CI$442:CL$453,3,FALSE)*CI139*($K139)+IF($G139&lt;&gt;0,($I139/$G139)*CI139,0)*(1-$K139)</f>
        <v>0</v>
      </c>
      <c r="CL139" s="1118">
        <f>VLOOKUP($E139,CI$442:CL$453,4,FALSE)*CI139*($K139)+(CI139-CJ139-CK139)*(1-$K139)</f>
        <v>33532868.969462179</v>
      </c>
      <c r="CM139" s="1119"/>
      <c r="CQ139" s="1117">
        <f>$G139</f>
        <v>33532868.969462179</v>
      </c>
      <c r="CR139" s="1118">
        <f>VLOOKUP($E139,CQ$442:CT$453,2,FALSE)*CQ139*($K139)+IF($G139&lt;&gt;0,($H139/$G139)*CQ139,0)*(1-$K139)</f>
        <v>0</v>
      </c>
      <c r="CS139" s="1118">
        <f>VLOOKUP($E139,CQ$442:CT$453,3,FALSE)*CQ139*($K139)+IF($G139&lt;&gt;0,($I139/$G139)*CQ139,0)*(1-$K139)</f>
        <v>0</v>
      </c>
      <c r="CT139" s="1118">
        <f>VLOOKUP($E139,CQ$442:CT$453,4,FALSE)*CQ139*($K139)+(CQ139-CR139-CS139)*(1-$K139)</f>
        <v>33532868.969462179</v>
      </c>
      <c r="CU139" s="1119"/>
      <c r="CY139" s="1117">
        <f>$G139</f>
        <v>33532868.969462179</v>
      </c>
      <c r="CZ139" s="1118">
        <f>VLOOKUP($E139,CY$442:DB$453,2,FALSE)*CY139*($K139)+IF($G139&lt;&gt;0,($H139/$G139)*CY139,0)*(1-$K139)</f>
        <v>0</v>
      </c>
      <c r="DA139" s="1118">
        <f>VLOOKUP($E139,CY$442:DB$453,3,FALSE)*CY139*($K139)+IF($G139&lt;&gt;0,($I139/$G139)*CY139,0)*(1-$K139)</f>
        <v>0</v>
      </c>
      <c r="DB139" s="1118">
        <f>VLOOKUP($E139,CY$442:DB$453,4,FALSE)*CY139*($K139)+(CY139-CZ139-DA139)*(1-$K139)</f>
        <v>33532868.969462179</v>
      </c>
      <c r="DC139" s="1119"/>
      <c r="DG139" s="1117">
        <f>$G139</f>
        <v>33532868.969462179</v>
      </c>
      <c r="DH139" s="1118">
        <f>VLOOKUP($E139,DG$442:DJ$453,2,FALSE)*DG139*($K139)+IF($G139&lt;&gt;0,($H139/$G139)*DG139,0)*(1-$K139)</f>
        <v>0</v>
      </c>
      <c r="DI139" s="1118">
        <f>VLOOKUP($E139,DG$442:DJ$453,3,FALSE)*DG139*($K139)+IF($G139&lt;&gt;0,($I139/$G139)*DG139,0)*(1-$K139)</f>
        <v>0</v>
      </c>
      <c r="DJ139" s="1118">
        <f>VLOOKUP($E139,DG$442:DJ$453,4,FALSE)*DG139*($K139)+(DG139-DH139-DI139)*(1-$K139)</f>
        <v>33532868.969462179</v>
      </c>
      <c r="DK139" s="1119"/>
      <c r="DO139" s="1117">
        <f>$G139</f>
        <v>33532868.969462179</v>
      </c>
      <c r="DP139" s="1118">
        <f>VLOOKUP($E139,DO$442:DR$453,2,FALSE)*DO139*($K139)+IF($G139&lt;&gt;0,($H139/$G139)*DO139,0)*(1-$K139)</f>
        <v>0</v>
      </c>
      <c r="DQ139" s="1118">
        <f>VLOOKUP($E139,DO$442:DR$453,3,FALSE)*DO139*($K139)+IF($G139&lt;&gt;0,($I139/$G139)*DO139,0)*(1-$K139)</f>
        <v>0</v>
      </c>
      <c r="DR139" s="1118">
        <f>VLOOKUP($E139,DO$442:DR$453,4,FALSE)*DO139*($K139)+(DO139-DP139-DQ139)*(1-$K139)</f>
        <v>33532868.969462179</v>
      </c>
      <c r="DS139" s="1119"/>
      <c r="DW139" s="1117">
        <f>$G139</f>
        <v>33532868.969462179</v>
      </c>
      <c r="DX139" s="1118">
        <f>VLOOKUP($E139,DW$442:DZ$453,2,FALSE)*DW139*($K139)+IF($G139&lt;&gt;0,($H139/$G139)*DW139,0)*(1-$K139)</f>
        <v>0</v>
      </c>
      <c r="DY139" s="1118">
        <f>VLOOKUP($E139,DW$442:DZ$453,3,FALSE)*DW139*($K139)+IF($G139&lt;&gt;0,($I139/$G139)*DW139,0)*(1-$K139)</f>
        <v>0</v>
      </c>
      <c r="DZ139" s="1118">
        <f>VLOOKUP($E139,DW$442:DZ$453,4,FALSE)*DW139*($K139)+(DW139-DX139-DY139)*(1-$K139)</f>
        <v>33532868.969462179</v>
      </c>
      <c r="EA139" s="1119"/>
      <c r="EE139" s="1117">
        <f>$G139</f>
        <v>33532868.969462179</v>
      </c>
      <c r="EF139" s="1118">
        <f>VLOOKUP($E139,EE$442:EH$453,2,FALSE)*EE139*($K139)+IF($G139&lt;&gt;0,($H139/$G139)*EE139,0)*(1-$K139)</f>
        <v>0</v>
      </c>
      <c r="EG139" s="1118">
        <f>VLOOKUP($E139,EE$442:EH$453,3,FALSE)*EE139*($K139)+IF($G139&lt;&gt;0,($I139/$G139)*EE139,0)*(1-$K139)</f>
        <v>0</v>
      </c>
      <c r="EH139" s="1118">
        <f>VLOOKUP($E139,EE$442:EH$453,4,FALSE)*EE139*($K139)+(EE139-EF139-EG139)*(1-$K139)</f>
        <v>33532868.969462179</v>
      </c>
      <c r="EI139" s="1119"/>
      <c r="EM139" s="1117">
        <f>$G139</f>
        <v>33532868.969462179</v>
      </c>
      <c r="EN139" s="1118">
        <f>VLOOKUP($E139,EM$442:EP$453,2,FALSE)*EM139*($K139)+IF($G139&lt;&gt;0,($H139/$G139)*EM139,0)*(1-$K139)</f>
        <v>0</v>
      </c>
      <c r="EO139" s="1118">
        <f>VLOOKUP($E139,EM$442:EP$453,3,FALSE)*EM139*($K139)+IF($G139&lt;&gt;0,($I139/$G139)*EM139,0)*(1-$K139)</f>
        <v>0</v>
      </c>
      <c r="EP139" s="1118">
        <f>VLOOKUP($E139,EM$442:EP$453,4,FALSE)*EM139*($K139)+(EM139-EN139-EO139)*(1-$K139)</f>
        <v>33532868.969462179</v>
      </c>
      <c r="EQ139" s="1119"/>
      <c r="EU139" s="1117">
        <f>$G139</f>
        <v>33532868.969462179</v>
      </c>
      <c r="EV139" s="1118">
        <f>VLOOKUP($E139,EU$442:EX$453,2,FALSE)*EU139*($K139)+IF($G139&lt;&gt;0,($H139/$G139)*EU139,0)*(1-$K139)</f>
        <v>0</v>
      </c>
      <c r="EW139" s="1118">
        <f>VLOOKUP($E139,EU$442:EX$453,3,FALSE)*EU139*($K139)+IF($G139&lt;&gt;0,($I139/$G139)*EU139,0)*(1-$K139)</f>
        <v>0</v>
      </c>
      <c r="EX139" s="1118">
        <f>VLOOKUP($E139,EU$442:EX$453,4,FALSE)*EU139*($K139)+(EU139-EV139-EW139)*(1-$K139)</f>
        <v>33532868.969462179</v>
      </c>
      <c r="EY139" s="1119"/>
      <c r="FC139" s="1117">
        <f>$G139</f>
        <v>33532868.969462179</v>
      </c>
      <c r="FD139" s="1118">
        <f>VLOOKUP($E139,FC$442:FF$453,2,FALSE)*FC139*($K139)+IF($G139&lt;&gt;0,($H139/$G139)*FC139,0)*(1-$K139)</f>
        <v>0</v>
      </c>
      <c r="FE139" s="1118">
        <f>VLOOKUP($E139,FC$442:FF$453,3,FALSE)*FC139*($K139)+IF($G139&lt;&gt;0,($I139/$G139)*FC139,0)*(1-$K139)</f>
        <v>0</v>
      </c>
      <c r="FF139" s="1118">
        <f>VLOOKUP($E139,FC$442:FF$453,4,FALSE)*FC139*($K139)+(FC139-FD139-FE139)*(1-$K139)</f>
        <v>33532868.969462179</v>
      </c>
      <c r="FG139" s="1119"/>
      <c r="FK139" s="1117">
        <f>$G139</f>
        <v>33532868.969462179</v>
      </c>
      <c r="FL139" s="1118">
        <f>VLOOKUP($E139,FK$442:FN$453,2,FALSE)*FK139*($K139)+IF($G139&lt;&gt;0,($H139/$G139)*FK139,0)*(1-$K139)</f>
        <v>0</v>
      </c>
      <c r="FM139" s="1118">
        <f>VLOOKUP($E139,FK$442:FN$453,3,FALSE)*FK139*($K139)+IF($G139&lt;&gt;0,($I139/$G139)*FK139,0)*(1-$K139)</f>
        <v>0</v>
      </c>
      <c r="FN139" s="1118">
        <f>VLOOKUP($E139,FK$442:FN$453,4,FALSE)*FK139*($K139)+(FK139-FL139-FM139)*(1-$K139)</f>
        <v>33532868.969462179</v>
      </c>
      <c r="FO139" s="1119"/>
    </row>
    <row r="140" spans="1:171" x14ac:dyDescent="0.25">
      <c r="A140" s="1437"/>
      <c r="B140" s="970" t="s">
        <v>625</v>
      </c>
      <c r="C140" s="889" t="s">
        <v>348</v>
      </c>
      <c r="D140" s="889">
        <v>244</v>
      </c>
      <c r="E140" s="182" t="str">
        <f>'Sch 1- Rate Base '!E140</f>
        <v>DIST</v>
      </c>
      <c r="F140" s="890"/>
      <c r="G140" s="182">
        <f>'Sch 1- Rate Base '!G140</f>
        <v>8023897.7622972047</v>
      </c>
      <c r="H140" s="182">
        <f>'Sch 1- Rate Base '!H140</f>
        <v>0</v>
      </c>
      <c r="I140" s="182">
        <f>'Sch 1- Rate Base '!I140</f>
        <v>0</v>
      </c>
      <c r="J140" s="1422">
        <f>'Sch 1- Rate Base '!J140</f>
        <v>8023897.7622972047</v>
      </c>
      <c r="K140" s="904">
        <f>IF($E140="DIRECT",0,1)</f>
        <v>1</v>
      </c>
      <c r="O140" s="1117">
        <f>$G140</f>
        <v>8023897.7622972047</v>
      </c>
      <c r="P140" s="1118">
        <f>VLOOKUP($E140,O$442:R$453,2,FALSE)*O140*($K140)+IF($G140&lt;&gt;0,($H140/$G140)*O140,0)*(1-$K140)</f>
        <v>0</v>
      </c>
      <c r="Q140" s="1118">
        <f>VLOOKUP($E140,O$442:R$453,3,FALSE)*O140*($K140)+IF($G140&lt;&gt;0,($I140/$G140)*O140,0)*(1-$K140)</f>
        <v>0</v>
      </c>
      <c r="R140" s="1118">
        <f>VLOOKUP($E140,O$442:R$453,4,FALSE)*O140*($K140)+(O140-P140-Q140)*(1-$K140)</f>
        <v>8023897.7622972047</v>
      </c>
      <c r="S140" s="1119"/>
      <c r="W140" s="1117">
        <f>$G140</f>
        <v>8023897.7622972047</v>
      </c>
      <c r="X140" s="1118">
        <f>VLOOKUP($E140,W$442:Z$453,2,FALSE)*W140*($K140)+IF($G140&lt;&gt;0,($H140/$G140)*W140,0)*(1-$K140)</f>
        <v>0</v>
      </c>
      <c r="Y140" s="1118">
        <f>VLOOKUP($E140,W$442:Z$453,3,FALSE)*W140*($K140)+IF($G140&lt;&gt;0,($I140/$G140)*W140,0)*(1-$K140)</f>
        <v>0</v>
      </c>
      <c r="Z140" s="1118">
        <f>VLOOKUP($E140,W$442:Z$453,4,FALSE)*W140*($K140)+(W140-X140-Y140)*(1-$K140)</f>
        <v>8023897.7622972047</v>
      </c>
      <c r="AA140" s="1119"/>
      <c r="AE140" s="1117">
        <f>$G140</f>
        <v>8023897.7622972047</v>
      </c>
      <c r="AF140" s="1118">
        <f>VLOOKUP($E140,AE$442:AH$453,2,FALSE)*AE140*($K140)+IF($G140&lt;&gt;0,($H140/$G140)*AE140,0)*(1-$K140)</f>
        <v>0</v>
      </c>
      <c r="AG140" s="1118">
        <f>VLOOKUP($E140,AE$442:AH$453,3,FALSE)*AE140*($K140)+IF($G140&lt;&gt;0,($I140/$G140)*AE140,0)*(1-$K140)</f>
        <v>0</v>
      </c>
      <c r="AH140" s="1118">
        <f>VLOOKUP($E140,AE$442:AH$453,4,FALSE)*AE140*($K140)+(AE140-AF140-AG140)*(1-$K140)</f>
        <v>8023897.7622972047</v>
      </c>
      <c r="AI140" s="1119"/>
      <c r="AM140" s="1117">
        <f>$G140</f>
        <v>8023897.7622972047</v>
      </c>
      <c r="AN140" s="1118">
        <f>VLOOKUP($E140,AM$442:AP$453,2,FALSE)*AM140*($K140)+IF($G140&lt;&gt;0,($H140/$G140)*AM140,0)*(1-$K140)</f>
        <v>0</v>
      </c>
      <c r="AO140" s="1118">
        <f>VLOOKUP($E140,AM$442:AP$453,3,FALSE)*AM140*($K140)+IF($G140&lt;&gt;0,($I140/$G140)*AM140,0)*(1-$K140)</f>
        <v>0</v>
      </c>
      <c r="AP140" s="1118">
        <f>VLOOKUP($E140,AM$442:AP$453,4,FALSE)*AM140*($K140)+(AM140-AN140-AO140)*(1-$K140)</f>
        <v>8023897.7622972047</v>
      </c>
      <c r="AQ140" s="1119"/>
      <c r="AU140" s="1117">
        <f>$G140</f>
        <v>8023897.7622972047</v>
      </c>
      <c r="AV140" s="1118">
        <f>VLOOKUP($E140,AU$442:AX$453,2,FALSE)*AU140*($K140)+IF($G140&lt;&gt;0,($H140/$G140)*AU140,0)*(1-$K140)</f>
        <v>0</v>
      </c>
      <c r="AW140" s="1118">
        <f>VLOOKUP($E140,AU$442:AX$453,3,FALSE)*AU140*($K140)+IF($G140&lt;&gt;0,($I140/$G140)*AU140,0)*(1-$K140)</f>
        <v>0</v>
      </c>
      <c r="AX140" s="1118">
        <f>VLOOKUP($E140,AU$442:AX$453,4,FALSE)*AU140*($K140)+(AU140-AV140-AW140)*(1-$K140)</f>
        <v>8023897.7622972047</v>
      </c>
      <c r="AY140" s="1119"/>
      <c r="BC140" s="1117">
        <f>$G140</f>
        <v>8023897.7622972047</v>
      </c>
      <c r="BD140" s="1118">
        <f>VLOOKUP($E140,BC$442:BF$453,2,FALSE)*BC140*($K140)+IF($G140&lt;&gt;0,($H140/$G140)*BC140,0)*(1-$K140)</f>
        <v>0</v>
      </c>
      <c r="BE140" s="1118">
        <f>VLOOKUP($E140,BC$442:BF$453,3,FALSE)*BC140*($K140)+IF($G140&lt;&gt;0,($I140/$G140)*BC140,0)*(1-$K140)</f>
        <v>0</v>
      </c>
      <c r="BF140" s="1118">
        <f>VLOOKUP($E140,BC$442:BF$453,4,FALSE)*BC140*($K140)+(BC140-BD140-BE140)*(1-$K140)</f>
        <v>8023897.7622972047</v>
      </c>
      <c r="BG140" s="1119"/>
      <c r="BK140" s="1117">
        <f>$G140</f>
        <v>8023897.7622972047</v>
      </c>
      <c r="BL140" s="1118">
        <f>VLOOKUP($E140,BK$442:BN$453,2,FALSE)*BK140*($K140)+IF($G140&lt;&gt;0,($H140/$G140)*BK140,0)*(1-$K140)</f>
        <v>0</v>
      </c>
      <c r="BM140" s="1118">
        <f>VLOOKUP($E140,BK$442:BN$453,3,FALSE)*BK140*($K140)+IF($G140&lt;&gt;0,($I140/$G140)*BK140,0)*(1-$K140)</f>
        <v>0</v>
      </c>
      <c r="BN140" s="1118">
        <f>VLOOKUP($E140,BK$442:BN$453,4,FALSE)*BK140*($K140)+(BK140-BL140-BM140)*(1-$K140)</f>
        <v>8023897.7622972047</v>
      </c>
      <c r="BO140" s="1119"/>
      <c r="BS140" s="1117">
        <f>$G140</f>
        <v>8023897.7622972047</v>
      </c>
      <c r="BT140" s="1118">
        <f>VLOOKUP($E140,BS$442:BV$453,2,FALSE)*BS140*($K140)+IF($G140&lt;&gt;0,($H140/$G140)*BS140,0)*(1-$K140)</f>
        <v>0</v>
      </c>
      <c r="BU140" s="1118">
        <f>VLOOKUP($E140,BS$442:BV$453,3,FALSE)*BS140*($K140)+IF($G140&lt;&gt;0,($I140/$G140)*BS140,0)*(1-$K140)</f>
        <v>0</v>
      </c>
      <c r="BV140" s="1118">
        <f>VLOOKUP($E140,BS$442:BV$453,4,FALSE)*BS140*($K140)+(BS140-BT140-BU140)*(1-$K140)</f>
        <v>8023897.7622972047</v>
      </c>
      <c r="BW140" s="1119"/>
      <c r="CA140" s="1117">
        <f>$G140</f>
        <v>8023897.7622972047</v>
      </c>
      <c r="CB140" s="1118">
        <f>VLOOKUP($E140,CA$442:CD$453,2,FALSE)*CA140*($K140)+IF($G140&lt;&gt;0,($H140/$G140)*CA140,0)*(1-$K140)</f>
        <v>0</v>
      </c>
      <c r="CC140" s="1118">
        <f>VLOOKUP($E140,CA$442:CD$453,3,FALSE)*CA140*($K140)+IF($G140&lt;&gt;0,($I140/$G140)*CA140,0)*(1-$K140)</f>
        <v>0</v>
      </c>
      <c r="CD140" s="1118">
        <f>VLOOKUP($E140,CA$442:CD$453,4,FALSE)*CA140*($K140)+(CA140-CB140-CC140)*(1-$K140)</f>
        <v>8023897.7622972047</v>
      </c>
      <c r="CE140" s="1119"/>
      <c r="CI140" s="1117">
        <f>$G140</f>
        <v>8023897.7622972047</v>
      </c>
      <c r="CJ140" s="1118">
        <f>VLOOKUP($E140,CI$442:CL$453,2,FALSE)*CI140*($K140)+IF($G140&lt;&gt;0,($H140/$G140)*CI140,0)*(1-$K140)</f>
        <v>0</v>
      </c>
      <c r="CK140" s="1118">
        <f>VLOOKUP($E140,CI$442:CL$453,3,FALSE)*CI140*($K140)+IF($G140&lt;&gt;0,($I140/$G140)*CI140,0)*(1-$K140)</f>
        <v>0</v>
      </c>
      <c r="CL140" s="1118">
        <f>VLOOKUP($E140,CI$442:CL$453,4,FALSE)*CI140*($K140)+(CI140-CJ140-CK140)*(1-$K140)</f>
        <v>8023897.7622972047</v>
      </c>
      <c r="CM140" s="1119"/>
      <c r="CQ140" s="1117">
        <f>$G140</f>
        <v>8023897.7622972047</v>
      </c>
      <c r="CR140" s="1118">
        <f>VLOOKUP($E140,CQ$442:CT$453,2,FALSE)*CQ140*($K140)+IF($G140&lt;&gt;0,($H140/$G140)*CQ140,0)*(1-$K140)</f>
        <v>0</v>
      </c>
      <c r="CS140" s="1118">
        <f>VLOOKUP($E140,CQ$442:CT$453,3,FALSE)*CQ140*($K140)+IF($G140&lt;&gt;0,($I140/$G140)*CQ140,0)*(1-$K140)</f>
        <v>0</v>
      </c>
      <c r="CT140" s="1118">
        <f>VLOOKUP($E140,CQ$442:CT$453,4,FALSE)*CQ140*($K140)+(CQ140-CR140-CS140)*(1-$K140)</f>
        <v>8023897.7622972047</v>
      </c>
      <c r="CU140" s="1119"/>
      <c r="CY140" s="1117">
        <f>$G140</f>
        <v>8023897.7622972047</v>
      </c>
      <c r="CZ140" s="1118">
        <f>VLOOKUP($E140,CY$442:DB$453,2,FALSE)*CY140*($K140)+IF($G140&lt;&gt;0,($H140/$G140)*CY140,0)*(1-$K140)</f>
        <v>0</v>
      </c>
      <c r="DA140" s="1118">
        <f>VLOOKUP($E140,CY$442:DB$453,3,FALSE)*CY140*($K140)+IF($G140&lt;&gt;0,($I140/$G140)*CY140,0)*(1-$K140)</f>
        <v>0</v>
      </c>
      <c r="DB140" s="1118">
        <f>VLOOKUP($E140,CY$442:DB$453,4,FALSE)*CY140*($K140)+(CY140-CZ140-DA140)*(1-$K140)</f>
        <v>8023897.7622972047</v>
      </c>
      <c r="DC140" s="1119"/>
      <c r="DG140" s="1117">
        <f>$G140</f>
        <v>8023897.7622972047</v>
      </c>
      <c r="DH140" s="1118">
        <f>VLOOKUP($E140,DG$442:DJ$453,2,FALSE)*DG140*($K140)+IF($G140&lt;&gt;0,($H140/$G140)*DG140,0)*(1-$K140)</f>
        <v>0</v>
      </c>
      <c r="DI140" s="1118">
        <f>VLOOKUP($E140,DG$442:DJ$453,3,FALSE)*DG140*($K140)+IF($G140&lt;&gt;0,($I140/$G140)*DG140,0)*(1-$K140)</f>
        <v>0</v>
      </c>
      <c r="DJ140" s="1118">
        <f>VLOOKUP($E140,DG$442:DJ$453,4,FALSE)*DG140*($K140)+(DG140-DH140-DI140)*(1-$K140)</f>
        <v>8023897.7622972047</v>
      </c>
      <c r="DK140" s="1119"/>
      <c r="DO140" s="1117">
        <f>$G140</f>
        <v>8023897.7622972047</v>
      </c>
      <c r="DP140" s="1118">
        <f>VLOOKUP($E140,DO$442:DR$453,2,FALSE)*DO140*($K140)+IF($G140&lt;&gt;0,($H140/$G140)*DO140,0)*(1-$K140)</f>
        <v>0</v>
      </c>
      <c r="DQ140" s="1118">
        <f>VLOOKUP($E140,DO$442:DR$453,3,FALSE)*DO140*($K140)+IF($G140&lt;&gt;0,($I140/$G140)*DO140,0)*(1-$K140)</f>
        <v>0</v>
      </c>
      <c r="DR140" s="1118">
        <f>VLOOKUP($E140,DO$442:DR$453,4,FALSE)*DO140*($K140)+(DO140-DP140-DQ140)*(1-$K140)</f>
        <v>8023897.7622972047</v>
      </c>
      <c r="DS140" s="1119"/>
      <c r="DW140" s="1117">
        <f>$G140</f>
        <v>8023897.7622972047</v>
      </c>
      <c r="DX140" s="1118">
        <f>VLOOKUP($E140,DW$442:DZ$453,2,FALSE)*DW140*($K140)+IF($G140&lt;&gt;0,($H140/$G140)*DW140,0)*(1-$K140)</f>
        <v>0</v>
      </c>
      <c r="DY140" s="1118">
        <f>VLOOKUP($E140,DW$442:DZ$453,3,FALSE)*DW140*($K140)+IF($G140&lt;&gt;0,($I140/$G140)*DW140,0)*(1-$K140)</f>
        <v>0</v>
      </c>
      <c r="DZ140" s="1118">
        <f>VLOOKUP($E140,DW$442:DZ$453,4,FALSE)*DW140*($K140)+(DW140-DX140-DY140)*(1-$K140)</f>
        <v>8023897.7622972047</v>
      </c>
      <c r="EA140" s="1119"/>
      <c r="EE140" s="1117">
        <f>$G140</f>
        <v>8023897.7622972047</v>
      </c>
      <c r="EF140" s="1118">
        <f>VLOOKUP($E140,EE$442:EH$453,2,FALSE)*EE140*($K140)+IF($G140&lt;&gt;0,($H140/$G140)*EE140,0)*(1-$K140)</f>
        <v>0</v>
      </c>
      <c r="EG140" s="1118">
        <f>VLOOKUP($E140,EE$442:EH$453,3,FALSE)*EE140*($K140)+IF($G140&lt;&gt;0,($I140/$G140)*EE140,0)*(1-$K140)</f>
        <v>0</v>
      </c>
      <c r="EH140" s="1118">
        <f>VLOOKUP($E140,EE$442:EH$453,4,FALSE)*EE140*($K140)+(EE140-EF140-EG140)*(1-$K140)</f>
        <v>8023897.7622972047</v>
      </c>
      <c r="EI140" s="1119"/>
      <c r="EM140" s="1117">
        <f>$G140</f>
        <v>8023897.7622972047</v>
      </c>
      <c r="EN140" s="1118">
        <f>VLOOKUP($E140,EM$442:EP$453,2,FALSE)*EM140*($K140)+IF($G140&lt;&gt;0,($H140/$G140)*EM140,0)*(1-$K140)</f>
        <v>0</v>
      </c>
      <c r="EO140" s="1118">
        <f>VLOOKUP($E140,EM$442:EP$453,3,FALSE)*EM140*($K140)+IF($G140&lt;&gt;0,($I140/$G140)*EM140,0)*(1-$K140)</f>
        <v>0</v>
      </c>
      <c r="EP140" s="1118">
        <f>VLOOKUP($E140,EM$442:EP$453,4,FALSE)*EM140*($K140)+(EM140-EN140-EO140)*(1-$K140)</f>
        <v>8023897.7622972047</v>
      </c>
      <c r="EQ140" s="1119"/>
      <c r="EU140" s="1117">
        <f>$G140</f>
        <v>8023897.7622972047</v>
      </c>
      <c r="EV140" s="1118">
        <f>VLOOKUP($E140,EU$442:EX$453,2,FALSE)*EU140*($K140)+IF($G140&lt;&gt;0,($H140/$G140)*EU140,0)*(1-$K140)</f>
        <v>0</v>
      </c>
      <c r="EW140" s="1118">
        <f>VLOOKUP($E140,EU$442:EX$453,3,FALSE)*EU140*($K140)+IF($G140&lt;&gt;0,($I140/$G140)*EU140,0)*(1-$K140)</f>
        <v>0</v>
      </c>
      <c r="EX140" s="1118">
        <f>VLOOKUP($E140,EU$442:EX$453,4,FALSE)*EU140*($K140)+(EU140-EV140-EW140)*(1-$K140)</f>
        <v>8023897.7622972047</v>
      </c>
      <c r="EY140" s="1119"/>
      <c r="FC140" s="1117">
        <f>$G140</f>
        <v>8023897.7622972047</v>
      </c>
      <c r="FD140" s="1118">
        <f>VLOOKUP($E140,FC$442:FF$453,2,FALSE)*FC140*($K140)+IF($G140&lt;&gt;0,($H140/$G140)*FC140,0)*(1-$K140)</f>
        <v>0</v>
      </c>
      <c r="FE140" s="1118">
        <f>VLOOKUP($E140,FC$442:FF$453,3,FALSE)*FC140*($K140)+IF($G140&lt;&gt;0,($I140/$G140)*FC140,0)*(1-$K140)</f>
        <v>0</v>
      </c>
      <c r="FF140" s="1118">
        <f>VLOOKUP($E140,FC$442:FF$453,4,FALSE)*FC140*($K140)+(FC140-FD140-FE140)*(1-$K140)</f>
        <v>8023897.7622972047</v>
      </c>
      <c r="FG140" s="1119"/>
      <c r="FK140" s="1117">
        <f>$G140</f>
        <v>8023897.7622972047</v>
      </c>
      <c r="FL140" s="1118">
        <f>VLOOKUP($E140,FK$442:FN$453,2,FALSE)*FK140*($K140)+IF($G140&lt;&gt;0,($H140/$G140)*FK140,0)*(1-$K140)</f>
        <v>0</v>
      </c>
      <c r="FM140" s="1118">
        <f>VLOOKUP($E140,FK$442:FN$453,3,FALSE)*FK140*($K140)+IF($G140&lt;&gt;0,($I140/$G140)*FK140,0)*(1-$K140)</f>
        <v>0</v>
      </c>
      <c r="FN140" s="1118">
        <f>VLOOKUP($E140,FK$442:FN$453,4,FALSE)*FK140*($K140)+(FK140-FL140-FM140)*(1-$K140)</f>
        <v>8023897.7622972047</v>
      </c>
      <c r="FO140" s="1119"/>
    </row>
    <row r="141" spans="1:171" x14ac:dyDescent="0.25">
      <c r="A141" s="1437"/>
      <c r="B141" s="79" t="s">
        <v>333</v>
      </c>
      <c r="C141" s="889" t="s">
        <v>373</v>
      </c>
      <c r="D141" s="889">
        <v>245</v>
      </c>
      <c r="E141" s="182" t="str">
        <f>'Sch 1- Rate Base '!E141</f>
        <v>DIST</v>
      </c>
      <c r="F141" s="890"/>
      <c r="G141" s="182">
        <f>'Sch 1- Rate Base '!G141</f>
        <v>0</v>
      </c>
      <c r="H141" s="182">
        <f>'Sch 1- Rate Base '!H141</f>
        <v>0</v>
      </c>
      <c r="I141" s="182">
        <f>'Sch 1- Rate Base '!I141</f>
        <v>0</v>
      </c>
      <c r="J141" s="1422">
        <f>'Sch 1- Rate Base '!J141</f>
        <v>0</v>
      </c>
      <c r="K141" s="904">
        <f>IF($E141="DIRECT",0,1)</f>
        <v>1</v>
      </c>
      <c r="O141" s="1117">
        <f>$G141</f>
        <v>0</v>
      </c>
      <c r="P141" s="1118">
        <f>VLOOKUP($E141,O$442:R$453,2,FALSE)*O141*($K141)+IF($G141&lt;&gt;0,($H141/$G141)*O141,0)*(1-$K141)</f>
        <v>0</v>
      </c>
      <c r="Q141" s="1118">
        <f>VLOOKUP($E141,O$442:R$453,3,FALSE)*O141*($K141)+IF($G141&lt;&gt;0,($I141/$G141)*O141,0)*(1-$K141)</f>
        <v>0</v>
      </c>
      <c r="R141" s="1118">
        <f>VLOOKUP($E141,O$442:R$453,4,FALSE)*O141*($K141)+(O141-P141-Q141)*(1-$K141)</f>
        <v>0</v>
      </c>
      <c r="S141" s="1119"/>
      <c r="W141" s="1117">
        <f>$G141</f>
        <v>0</v>
      </c>
      <c r="X141" s="1118">
        <f>VLOOKUP($E141,W$442:Z$453,2,FALSE)*W141*($K141)+IF($G141&lt;&gt;0,($H141/$G141)*W141,0)*(1-$K141)</f>
        <v>0</v>
      </c>
      <c r="Y141" s="1118">
        <f>VLOOKUP($E141,W$442:Z$453,3,FALSE)*W141*($K141)+IF($G141&lt;&gt;0,($I141/$G141)*W141,0)*(1-$K141)</f>
        <v>0</v>
      </c>
      <c r="Z141" s="1118">
        <f>VLOOKUP($E141,W$442:Z$453,4,FALSE)*W141*($K141)+(W141-X141-Y141)*(1-$K141)</f>
        <v>0</v>
      </c>
      <c r="AA141" s="1119"/>
      <c r="AE141" s="1117">
        <f>$G141</f>
        <v>0</v>
      </c>
      <c r="AF141" s="1118">
        <f>VLOOKUP($E141,AE$442:AH$453,2,FALSE)*AE141*($K141)+IF($G141&lt;&gt;0,($H141/$G141)*AE141,0)*(1-$K141)</f>
        <v>0</v>
      </c>
      <c r="AG141" s="1118">
        <f>VLOOKUP($E141,AE$442:AH$453,3,FALSE)*AE141*($K141)+IF($G141&lt;&gt;0,($I141/$G141)*AE141,0)*(1-$K141)</f>
        <v>0</v>
      </c>
      <c r="AH141" s="1118">
        <f>VLOOKUP($E141,AE$442:AH$453,4,FALSE)*AE141*($K141)+(AE141-AF141-AG141)*(1-$K141)</f>
        <v>0</v>
      </c>
      <c r="AI141" s="1119"/>
      <c r="AM141" s="1117">
        <f>$G141</f>
        <v>0</v>
      </c>
      <c r="AN141" s="1118">
        <f>VLOOKUP($E141,AM$442:AP$453,2,FALSE)*AM141*($K141)+IF($G141&lt;&gt;0,($H141/$G141)*AM141,0)*(1-$K141)</f>
        <v>0</v>
      </c>
      <c r="AO141" s="1118">
        <f>VLOOKUP($E141,AM$442:AP$453,3,FALSE)*AM141*($K141)+IF($G141&lt;&gt;0,($I141/$G141)*AM141,0)*(1-$K141)</f>
        <v>0</v>
      </c>
      <c r="AP141" s="1118">
        <f>VLOOKUP($E141,AM$442:AP$453,4,FALSE)*AM141*($K141)+(AM141-AN141-AO141)*(1-$K141)</f>
        <v>0</v>
      </c>
      <c r="AQ141" s="1119"/>
      <c r="AU141" s="1117">
        <f>$G141</f>
        <v>0</v>
      </c>
      <c r="AV141" s="1118">
        <f>VLOOKUP($E141,AU$442:AX$453,2,FALSE)*AU141*($K141)+IF($G141&lt;&gt;0,($H141/$G141)*AU141,0)*(1-$K141)</f>
        <v>0</v>
      </c>
      <c r="AW141" s="1118">
        <f>VLOOKUP($E141,AU$442:AX$453,3,FALSE)*AU141*($K141)+IF($G141&lt;&gt;0,($I141/$G141)*AU141,0)*(1-$K141)</f>
        <v>0</v>
      </c>
      <c r="AX141" s="1118">
        <f>VLOOKUP($E141,AU$442:AX$453,4,FALSE)*AU141*($K141)+(AU141-AV141-AW141)*(1-$K141)</f>
        <v>0</v>
      </c>
      <c r="AY141" s="1119"/>
      <c r="BC141" s="1117">
        <f>$G141</f>
        <v>0</v>
      </c>
      <c r="BD141" s="1118">
        <f>VLOOKUP($E141,BC$442:BF$453,2,FALSE)*BC141*($K141)+IF($G141&lt;&gt;0,($H141/$G141)*BC141,0)*(1-$K141)</f>
        <v>0</v>
      </c>
      <c r="BE141" s="1118">
        <f>VLOOKUP($E141,BC$442:BF$453,3,FALSE)*BC141*($K141)+IF($G141&lt;&gt;0,($I141/$G141)*BC141,0)*(1-$K141)</f>
        <v>0</v>
      </c>
      <c r="BF141" s="1118">
        <f>VLOOKUP($E141,BC$442:BF$453,4,FALSE)*BC141*($K141)+(BC141-BD141-BE141)*(1-$K141)</f>
        <v>0</v>
      </c>
      <c r="BG141" s="1119"/>
      <c r="BK141" s="1117">
        <f>$G141</f>
        <v>0</v>
      </c>
      <c r="BL141" s="1118">
        <f>VLOOKUP($E141,BK$442:BN$453,2,FALSE)*BK141*($K141)+IF($G141&lt;&gt;0,($H141/$G141)*BK141,0)*(1-$K141)</f>
        <v>0</v>
      </c>
      <c r="BM141" s="1118">
        <f>VLOOKUP($E141,BK$442:BN$453,3,FALSE)*BK141*($K141)+IF($G141&lt;&gt;0,($I141/$G141)*BK141,0)*(1-$K141)</f>
        <v>0</v>
      </c>
      <c r="BN141" s="1118">
        <f>VLOOKUP($E141,BK$442:BN$453,4,FALSE)*BK141*($K141)+(BK141-BL141-BM141)*(1-$K141)</f>
        <v>0</v>
      </c>
      <c r="BO141" s="1119"/>
      <c r="BS141" s="1117">
        <f>$G141</f>
        <v>0</v>
      </c>
      <c r="BT141" s="1118">
        <f>VLOOKUP($E141,BS$442:BV$453,2,FALSE)*BS141*($K141)+IF($G141&lt;&gt;0,($H141/$G141)*BS141,0)*(1-$K141)</f>
        <v>0</v>
      </c>
      <c r="BU141" s="1118">
        <f>VLOOKUP($E141,BS$442:BV$453,3,FALSE)*BS141*($K141)+IF($G141&lt;&gt;0,($I141/$G141)*BS141,0)*(1-$K141)</f>
        <v>0</v>
      </c>
      <c r="BV141" s="1118">
        <f>VLOOKUP($E141,BS$442:BV$453,4,FALSE)*BS141*($K141)+(BS141-BT141-BU141)*(1-$K141)</f>
        <v>0</v>
      </c>
      <c r="BW141" s="1119"/>
      <c r="CA141" s="1117">
        <f>$G141</f>
        <v>0</v>
      </c>
      <c r="CB141" s="1118">
        <f>VLOOKUP($E141,CA$442:CD$453,2,FALSE)*CA141*($K141)+IF($G141&lt;&gt;0,($H141/$G141)*CA141,0)*(1-$K141)</f>
        <v>0</v>
      </c>
      <c r="CC141" s="1118">
        <f>VLOOKUP($E141,CA$442:CD$453,3,FALSE)*CA141*($K141)+IF($G141&lt;&gt;0,($I141/$G141)*CA141,0)*(1-$K141)</f>
        <v>0</v>
      </c>
      <c r="CD141" s="1118">
        <f>VLOOKUP($E141,CA$442:CD$453,4,FALSE)*CA141*($K141)+(CA141-CB141-CC141)*(1-$K141)</f>
        <v>0</v>
      </c>
      <c r="CE141" s="1119"/>
      <c r="CI141" s="1117">
        <f>$G141</f>
        <v>0</v>
      </c>
      <c r="CJ141" s="1118">
        <f>VLOOKUP($E141,CI$442:CL$453,2,FALSE)*CI141*($K141)+IF($G141&lt;&gt;0,($H141/$G141)*CI141,0)*(1-$K141)</f>
        <v>0</v>
      </c>
      <c r="CK141" s="1118">
        <f>VLOOKUP($E141,CI$442:CL$453,3,FALSE)*CI141*($K141)+IF($G141&lt;&gt;0,($I141/$G141)*CI141,0)*(1-$K141)</f>
        <v>0</v>
      </c>
      <c r="CL141" s="1118">
        <f>VLOOKUP($E141,CI$442:CL$453,4,FALSE)*CI141*($K141)+(CI141-CJ141-CK141)*(1-$K141)</f>
        <v>0</v>
      </c>
      <c r="CM141" s="1119"/>
      <c r="CQ141" s="1117">
        <f>$G141</f>
        <v>0</v>
      </c>
      <c r="CR141" s="1118">
        <f>VLOOKUP($E141,CQ$442:CT$453,2,FALSE)*CQ141*($K141)+IF($G141&lt;&gt;0,($H141/$G141)*CQ141,0)*(1-$K141)</f>
        <v>0</v>
      </c>
      <c r="CS141" s="1118">
        <f>VLOOKUP($E141,CQ$442:CT$453,3,FALSE)*CQ141*($K141)+IF($G141&lt;&gt;0,($I141/$G141)*CQ141,0)*(1-$K141)</f>
        <v>0</v>
      </c>
      <c r="CT141" s="1118">
        <f>VLOOKUP($E141,CQ$442:CT$453,4,FALSE)*CQ141*($K141)+(CQ141-CR141-CS141)*(1-$K141)</f>
        <v>0</v>
      </c>
      <c r="CU141" s="1119"/>
      <c r="CY141" s="1117">
        <f>$G141</f>
        <v>0</v>
      </c>
      <c r="CZ141" s="1118">
        <f>VLOOKUP($E141,CY$442:DB$453,2,FALSE)*CY141*($K141)+IF($G141&lt;&gt;0,($H141/$G141)*CY141,0)*(1-$K141)</f>
        <v>0</v>
      </c>
      <c r="DA141" s="1118">
        <f>VLOOKUP($E141,CY$442:DB$453,3,FALSE)*CY141*($K141)+IF($G141&lt;&gt;0,($I141/$G141)*CY141,0)*(1-$K141)</f>
        <v>0</v>
      </c>
      <c r="DB141" s="1118">
        <f>VLOOKUP($E141,CY$442:DB$453,4,FALSE)*CY141*($K141)+(CY141-CZ141-DA141)*(1-$K141)</f>
        <v>0</v>
      </c>
      <c r="DC141" s="1119"/>
      <c r="DG141" s="1117">
        <f>$G141</f>
        <v>0</v>
      </c>
      <c r="DH141" s="1118">
        <f>VLOOKUP($E141,DG$442:DJ$453,2,FALSE)*DG141*($K141)+IF($G141&lt;&gt;0,($H141/$G141)*DG141,0)*(1-$K141)</f>
        <v>0</v>
      </c>
      <c r="DI141" s="1118">
        <f>VLOOKUP($E141,DG$442:DJ$453,3,FALSE)*DG141*($K141)+IF($G141&lt;&gt;0,($I141/$G141)*DG141,0)*(1-$K141)</f>
        <v>0</v>
      </c>
      <c r="DJ141" s="1118">
        <f>VLOOKUP($E141,DG$442:DJ$453,4,FALSE)*DG141*($K141)+(DG141-DH141-DI141)*(1-$K141)</f>
        <v>0</v>
      </c>
      <c r="DK141" s="1119"/>
      <c r="DO141" s="1117">
        <f>$G141</f>
        <v>0</v>
      </c>
      <c r="DP141" s="1118">
        <f>VLOOKUP($E141,DO$442:DR$453,2,FALSE)*DO141*($K141)+IF($G141&lt;&gt;0,($H141/$G141)*DO141,0)*(1-$K141)</f>
        <v>0</v>
      </c>
      <c r="DQ141" s="1118">
        <f>VLOOKUP($E141,DO$442:DR$453,3,FALSE)*DO141*($K141)+IF($G141&lt;&gt;0,($I141/$G141)*DO141,0)*(1-$K141)</f>
        <v>0</v>
      </c>
      <c r="DR141" s="1118">
        <f>VLOOKUP($E141,DO$442:DR$453,4,FALSE)*DO141*($K141)+(DO141-DP141-DQ141)*(1-$K141)</f>
        <v>0</v>
      </c>
      <c r="DS141" s="1119"/>
      <c r="DW141" s="1117">
        <f>$G141</f>
        <v>0</v>
      </c>
      <c r="DX141" s="1118">
        <f>VLOOKUP($E141,DW$442:DZ$453,2,FALSE)*DW141*($K141)+IF($G141&lt;&gt;0,($H141/$G141)*DW141,0)*(1-$K141)</f>
        <v>0</v>
      </c>
      <c r="DY141" s="1118">
        <f>VLOOKUP($E141,DW$442:DZ$453,3,FALSE)*DW141*($K141)+IF($G141&lt;&gt;0,($I141/$G141)*DW141,0)*(1-$K141)</f>
        <v>0</v>
      </c>
      <c r="DZ141" s="1118">
        <f>VLOOKUP($E141,DW$442:DZ$453,4,FALSE)*DW141*($K141)+(DW141-DX141-DY141)*(1-$K141)</f>
        <v>0</v>
      </c>
      <c r="EA141" s="1119"/>
      <c r="EE141" s="1117">
        <f>$G141</f>
        <v>0</v>
      </c>
      <c r="EF141" s="1118">
        <f>VLOOKUP($E141,EE$442:EH$453,2,FALSE)*EE141*($K141)+IF($G141&lt;&gt;0,($H141/$G141)*EE141,0)*(1-$K141)</f>
        <v>0</v>
      </c>
      <c r="EG141" s="1118">
        <f>VLOOKUP($E141,EE$442:EH$453,3,FALSE)*EE141*($K141)+IF($G141&lt;&gt;0,($I141/$G141)*EE141,0)*(1-$K141)</f>
        <v>0</v>
      </c>
      <c r="EH141" s="1118">
        <f>VLOOKUP($E141,EE$442:EH$453,4,FALSE)*EE141*($K141)+(EE141-EF141-EG141)*(1-$K141)</f>
        <v>0</v>
      </c>
      <c r="EI141" s="1119"/>
      <c r="EM141" s="1117">
        <f>$G141</f>
        <v>0</v>
      </c>
      <c r="EN141" s="1118">
        <f>VLOOKUP($E141,EM$442:EP$453,2,FALSE)*EM141*($K141)+IF($G141&lt;&gt;0,($H141/$G141)*EM141,0)*(1-$K141)</f>
        <v>0</v>
      </c>
      <c r="EO141" s="1118">
        <f>VLOOKUP($E141,EM$442:EP$453,3,FALSE)*EM141*($K141)+IF($G141&lt;&gt;0,($I141/$G141)*EM141,0)*(1-$K141)</f>
        <v>0</v>
      </c>
      <c r="EP141" s="1118">
        <f>VLOOKUP($E141,EM$442:EP$453,4,FALSE)*EM141*($K141)+(EM141-EN141-EO141)*(1-$K141)</f>
        <v>0</v>
      </c>
      <c r="EQ141" s="1119"/>
      <c r="EU141" s="1117">
        <f>$G141</f>
        <v>0</v>
      </c>
      <c r="EV141" s="1118">
        <f>VLOOKUP($E141,EU$442:EX$453,2,FALSE)*EU141*($K141)+IF($G141&lt;&gt;0,($H141/$G141)*EU141,0)*(1-$K141)</f>
        <v>0</v>
      </c>
      <c r="EW141" s="1118">
        <f>VLOOKUP($E141,EU$442:EX$453,3,FALSE)*EU141*($K141)+IF($G141&lt;&gt;0,($I141/$G141)*EU141,0)*(1-$K141)</f>
        <v>0</v>
      </c>
      <c r="EX141" s="1118">
        <f>VLOOKUP($E141,EU$442:EX$453,4,FALSE)*EU141*($K141)+(EU141-EV141-EW141)*(1-$K141)</f>
        <v>0</v>
      </c>
      <c r="EY141" s="1119"/>
      <c r="FC141" s="1117">
        <f>$G141</f>
        <v>0</v>
      </c>
      <c r="FD141" s="1118">
        <f>VLOOKUP($E141,FC$442:FF$453,2,FALSE)*FC141*($K141)+IF($G141&lt;&gt;0,($H141/$G141)*FC141,0)*(1-$K141)</f>
        <v>0</v>
      </c>
      <c r="FE141" s="1118">
        <f>VLOOKUP($E141,FC$442:FF$453,3,FALSE)*FC141*($K141)+IF($G141&lt;&gt;0,($I141/$G141)*FC141,0)*(1-$K141)</f>
        <v>0</v>
      </c>
      <c r="FF141" s="1118">
        <f>VLOOKUP($E141,FC$442:FF$453,4,FALSE)*FC141*($K141)+(FC141-FD141-FE141)*(1-$K141)</f>
        <v>0</v>
      </c>
      <c r="FG141" s="1119"/>
      <c r="FK141" s="1117">
        <f>$G141</f>
        <v>0</v>
      </c>
      <c r="FL141" s="1118">
        <f>VLOOKUP($E141,FK$442:FN$453,2,FALSE)*FK141*($K141)+IF($G141&lt;&gt;0,($H141/$G141)*FK141,0)*(1-$K141)</f>
        <v>0</v>
      </c>
      <c r="FM141" s="1118">
        <f>VLOOKUP($E141,FK$442:FN$453,3,FALSE)*FK141*($K141)+IF($G141&lt;&gt;0,($I141/$G141)*FK141,0)*(1-$K141)</f>
        <v>0</v>
      </c>
      <c r="FN141" s="1118">
        <f>VLOOKUP($E141,FK$442:FN$453,4,FALSE)*FK141*($K141)+(FK141-FL141-FM141)*(1-$K141)</f>
        <v>0</v>
      </c>
      <c r="FO141" s="1119"/>
    </row>
    <row r="142" spans="1:171" x14ac:dyDescent="0.25">
      <c r="A142" s="1437"/>
      <c r="B142" s="970" t="s">
        <v>626</v>
      </c>
      <c r="C142" s="889" t="s">
        <v>348</v>
      </c>
      <c r="D142" s="889">
        <v>245</v>
      </c>
      <c r="E142" s="182" t="str">
        <f>'Sch 1- Rate Base '!E142</f>
        <v>DIST</v>
      </c>
      <c r="F142" s="890"/>
      <c r="G142" s="182">
        <f>'Sch 1- Rate Base '!G142</f>
        <v>0</v>
      </c>
      <c r="H142" s="182">
        <f>'Sch 1- Rate Base '!H142</f>
        <v>0</v>
      </c>
      <c r="I142" s="182">
        <f>'Sch 1- Rate Base '!I142</f>
        <v>0</v>
      </c>
      <c r="J142" s="1422">
        <f>'Sch 1- Rate Base '!J142</f>
        <v>0</v>
      </c>
      <c r="K142" s="904">
        <f>IF($E142="DIRECT",0,1)</f>
        <v>1</v>
      </c>
      <c r="O142" s="1117">
        <f>$G142</f>
        <v>0</v>
      </c>
      <c r="P142" s="1118">
        <f>VLOOKUP($E142,O$442:R$453,2,FALSE)*O142*($K142)+IF($G142&lt;&gt;0,($H142/$G142)*O142,0)*(1-$K142)</f>
        <v>0</v>
      </c>
      <c r="Q142" s="1118">
        <f>VLOOKUP($E142,O$442:R$453,3,FALSE)*O142*($K142)+IF($G142&lt;&gt;0,($I142/$G142)*O142,0)*(1-$K142)</f>
        <v>0</v>
      </c>
      <c r="R142" s="1118">
        <f>VLOOKUP($E142,O$442:R$453,4,FALSE)*O142*($K142)+(O142-P142-Q142)*(1-$K142)</f>
        <v>0</v>
      </c>
      <c r="S142" s="1119"/>
      <c r="W142" s="1117">
        <f>$G142</f>
        <v>0</v>
      </c>
      <c r="X142" s="1118">
        <f>VLOOKUP($E142,W$442:Z$453,2,FALSE)*W142*($K142)+IF($G142&lt;&gt;0,($H142/$G142)*W142,0)*(1-$K142)</f>
        <v>0</v>
      </c>
      <c r="Y142" s="1118">
        <f>VLOOKUP($E142,W$442:Z$453,3,FALSE)*W142*($K142)+IF($G142&lt;&gt;0,($I142/$G142)*W142,0)*(1-$K142)</f>
        <v>0</v>
      </c>
      <c r="Z142" s="1118">
        <f>VLOOKUP($E142,W$442:Z$453,4,FALSE)*W142*($K142)+(W142-X142-Y142)*(1-$K142)</f>
        <v>0</v>
      </c>
      <c r="AA142" s="1119"/>
      <c r="AE142" s="1117">
        <f>$G142</f>
        <v>0</v>
      </c>
      <c r="AF142" s="1118">
        <f>VLOOKUP($E142,AE$442:AH$453,2,FALSE)*AE142*($K142)+IF($G142&lt;&gt;0,($H142/$G142)*AE142,0)*(1-$K142)</f>
        <v>0</v>
      </c>
      <c r="AG142" s="1118">
        <f>VLOOKUP($E142,AE$442:AH$453,3,FALSE)*AE142*($K142)+IF($G142&lt;&gt;0,($I142/$G142)*AE142,0)*(1-$K142)</f>
        <v>0</v>
      </c>
      <c r="AH142" s="1118">
        <f>VLOOKUP($E142,AE$442:AH$453,4,FALSE)*AE142*($K142)+(AE142-AF142-AG142)*(1-$K142)</f>
        <v>0</v>
      </c>
      <c r="AI142" s="1119"/>
      <c r="AM142" s="1117">
        <f>$G142</f>
        <v>0</v>
      </c>
      <c r="AN142" s="1118">
        <f>VLOOKUP($E142,AM$442:AP$453,2,FALSE)*AM142*($K142)+IF($G142&lt;&gt;0,($H142/$G142)*AM142,0)*(1-$K142)</f>
        <v>0</v>
      </c>
      <c r="AO142" s="1118">
        <f>VLOOKUP($E142,AM$442:AP$453,3,FALSE)*AM142*($K142)+IF($G142&lt;&gt;0,($I142/$G142)*AM142,0)*(1-$K142)</f>
        <v>0</v>
      </c>
      <c r="AP142" s="1118">
        <f>VLOOKUP($E142,AM$442:AP$453,4,FALSE)*AM142*($K142)+(AM142-AN142-AO142)*(1-$K142)</f>
        <v>0</v>
      </c>
      <c r="AQ142" s="1119"/>
      <c r="AU142" s="1117">
        <f>$G142</f>
        <v>0</v>
      </c>
      <c r="AV142" s="1118">
        <f>VLOOKUP($E142,AU$442:AX$453,2,FALSE)*AU142*($K142)+IF($G142&lt;&gt;0,($H142/$G142)*AU142,0)*(1-$K142)</f>
        <v>0</v>
      </c>
      <c r="AW142" s="1118">
        <f>VLOOKUP($E142,AU$442:AX$453,3,FALSE)*AU142*($K142)+IF($G142&lt;&gt;0,($I142/$G142)*AU142,0)*(1-$K142)</f>
        <v>0</v>
      </c>
      <c r="AX142" s="1118">
        <f>VLOOKUP($E142,AU$442:AX$453,4,FALSE)*AU142*($K142)+(AU142-AV142-AW142)*(1-$K142)</f>
        <v>0</v>
      </c>
      <c r="AY142" s="1119"/>
      <c r="BC142" s="1117">
        <f>$G142</f>
        <v>0</v>
      </c>
      <c r="BD142" s="1118">
        <f>VLOOKUP($E142,BC$442:BF$453,2,FALSE)*BC142*($K142)+IF($G142&lt;&gt;0,($H142/$G142)*BC142,0)*(1-$K142)</f>
        <v>0</v>
      </c>
      <c r="BE142" s="1118">
        <f>VLOOKUP($E142,BC$442:BF$453,3,FALSE)*BC142*($K142)+IF($G142&lt;&gt;0,($I142/$G142)*BC142,0)*(1-$K142)</f>
        <v>0</v>
      </c>
      <c r="BF142" s="1118">
        <f>VLOOKUP($E142,BC$442:BF$453,4,FALSE)*BC142*($K142)+(BC142-BD142-BE142)*(1-$K142)</f>
        <v>0</v>
      </c>
      <c r="BG142" s="1119"/>
      <c r="BK142" s="1117">
        <f>$G142</f>
        <v>0</v>
      </c>
      <c r="BL142" s="1118">
        <f>VLOOKUP($E142,BK$442:BN$453,2,FALSE)*BK142*($K142)+IF($G142&lt;&gt;0,($H142/$G142)*BK142,0)*(1-$K142)</f>
        <v>0</v>
      </c>
      <c r="BM142" s="1118">
        <f>VLOOKUP($E142,BK$442:BN$453,3,FALSE)*BK142*($K142)+IF($G142&lt;&gt;0,($I142/$G142)*BK142,0)*(1-$K142)</f>
        <v>0</v>
      </c>
      <c r="BN142" s="1118">
        <f>VLOOKUP($E142,BK$442:BN$453,4,FALSE)*BK142*($K142)+(BK142-BL142-BM142)*(1-$K142)</f>
        <v>0</v>
      </c>
      <c r="BO142" s="1119"/>
      <c r="BS142" s="1117">
        <f>$G142</f>
        <v>0</v>
      </c>
      <c r="BT142" s="1118">
        <f>VLOOKUP($E142,BS$442:BV$453,2,FALSE)*BS142*($K142)+IF($G142&lt;&gt;0,($H142/$G142)*BS142,0)*(1-$K142)</f>
        <v>0</v>
      </c>
      <c r="BU142" s="1118">
        <f>VLOOKUP($E142,BS$442:BV$453,3,FALSE)*BS142*($K142)+IF($G142&lt;&gt;0,($I142/$G142)*BS142,0)*(1-$K142)</f>
        <v>0</v>
      </c>
      <c r="BV142" s="1118">
        <f>VLOOKUP($E142,BS$442:BV$453,4,FALSE)*BS142*($K142)+(BS142-BT142-BU142)*(1-$K142)</f>
        <v>0</v>
      </c>
      <c r="BW142" s="1119"/>
      <c r="CA142" s="1117">
        <f>$G142</f>
        <v>0</v>
      </c>
      <c r="CB142" s="1118">
        <f>VLOOKUP($E142,CA$442:CD$453,2,FALSE)*CA142*($K142)+IF($G142&lt;&gt;0,($H142/$G142)*CA142,0)*(1-$K142)</f>
        <v>0</v>
      </c>
      <c r="CC142" s="1118">
        <f>VLOOKUP($E142,CA$442:CD$453,3,FALSE)*CA142*($K142)+IF($G142&lt;&gt;0,($I142/$G142)*CA142,0)*(1-$K142)</f>
        <v>0</v>
      </c>
      <c r="CD142" s="1118">
        <f>VLOOKUP($E142,CA$442:CD$453,4,FALSE)*CA142*($K142)+(CA142-CB142-CC142)*(1-$K142)</f>
        <v>0</v>
      </c>
      <c r="CE142" s="1119"/>
      <c r="CI142" s="1117">
        <f>$G142</f>
        <v>0</v>
      </c>
      <c r="CJ142" s="1118">
        <f>VLOOKUP($E142,CI$442:CL$453,2,FALSE)*CI142*($K142)+IF($G142&lt;&gt;0,($H142/$G142)*CI142,0)*(1-$K142)</f>
        <v>0</v>
      </c>
      <c r="CK142" s="1118">
        <f>VLOOKUP($E142,CI$442:CL$453,3,FALSE)*CI142*($K142)+IF($G142&lt;&gt;0,($I142/$G142)*CI142,0)*(1-$K142)</f>
        <v>0</v>
      </c>
      <c r="CL142" s="1118">
        <f>VLOOKUP($E142,CI$442:CL$453,4,FALSE)*CI142*($K142)+(CI142-CJ142-CK142)*(1-$K142)</f>
        <v>0</v>
      </c>
      <c r="CM142" s="1119"/>
      <c r="CQ142" s="1117">
        <f>$G142</f>
        <v>0</v>
      </c>
      <c r="CR142" s="1118">
        <f>VLOOKUP($E142,CQ$442:CT$453,2,FALSE)*CQ142*($K142)+IF($G142&lt;&gt;0,($H142/$G142)*CQ142,0)*(1-$K142)</f>
        <v>0</v>
      </c>
      <c r="CS142" s="1118">
        <f>VLOOKUP($E142,CQ$442:CT$453,3,FALSE)*CQ142*($K142)+IF($G142&lt;&gt;0,($I142/$G142)*CQ142,0)*(1-$K142)</f>
        <v>0</v>
      </c>
      <c r="CT142" s="1118">
        <f>VLOOKUP($E142,CQ$442:CT$453,4,FALSE)*CQ142*($K142)+(CQ142-CR142-CS142)*(1-$K142)</f>
        <v>0</v>
      </c>
      <c r="CU142" s="1119"/>
      <c r="CY142" s="1117">
        <f>$G142</f>
        <v>0</v>
      </c>
      <c r="CZ142" s="1118">
        <f>VLOOKUP($E142,CY$442:DB$453,2,FALSE)*CY142*($K142)+IF($G142&lt;&gt;0,($H142/$G142)*CY142,0)*(1-$K142)</f>
        <v>0</v>
      </c>
      <c r="DA142" s="1118">
        <f>VLOOKUP($E142,CY$442:DB$453,3,FALSE)*CY142*($K142)+IF($G142&lt;&gt;0,($I142/$G142)*CY142,0)*(1-$K142)</f>
        <v>0</v>
      </c>
      <c r="DB142" s="1118">
        <f>VLOOKUP($E142,CY$442:DB$453,4,FALSE)*CY142*($K142)+(CY142-CZ142-DA142)*(1-$K142)</f>
        <v>0</v>
      </c>
      <c r="DC142" s="1119"/>
      <c r="DG142" s="1117">
        <f>$G142</f>
        <v>0</v>
      </c>
      <c r="DH142" s="1118">
        <f>VLOOKUP($E142,DG$442:DJ$453,2,FALSE)*DG142*($K142)+IF($G142&lt;&gt;0,($H142/$G142)*DG142,0)*(1-$K142)</f>
        <v>0</v>
      </c>
      <c r="DI142" s="1118">
        <f>VLOOKUP($E142,DG$442:DJ$453,3,FALSE)*DG142*($K142)+IF($G142&lt;&gt;0,($I142/$G142)*DG142,0)*(1-$K142)</f>
        <v>0</v>
      </c>
      <c r="DJ142" s="1118">
        <f>VLOOKUP($E142,DG$442:DJ$453,4,FALSE)*DG142*($K142)+(DG142-DH142-DI142)*(1-$K142)</f>
        <v>0</v>
      </c>
      <c r="DK142" s="1119"/>
      <c r="DO142" s="1117">
        <f>$G142</f>
        <v>0</v>
      </c>
      <c r="DP142" s="1118">
        <f>VLOOKUP($E142,DO$442:DR$453,2,FALSE)*DO142*($K142)+IF($G142&lt;&gt;0,($H142/$G142)*DO142,0)*(1-$K142)</f>
        <v>0</v>
      </c>
      <c r="DQ142" s="1118">
        <f>VLOOKUP($E142,DO$442:DR$453,3,FALSE)*DO142*($K142)+IF($G142&lt;&gt;0,($I142/$G142)*DO142,0)*(1-$K142)</f>
        <v>0</v>
      </c>
      <c r="DR142" s="1118">
        <f>VLOOKUP($E142,DO$442:DR$453,4,FALSE)*DO142*($K142)+(DO142-DP142-DQ142)*(1-$K142)</f>
        <v>0</v>
      </c>
      <c r="DS142" s="1119"/>
      <c r="DW142" s="1117">
        <f>$G142</f>
        <v>0</v>
      </c>
      <c r="DX142" s="1118">
        <f>VLOOKUP($E142,DW$442:DZ$453,2,FALSE)*DW142*($K142)+IF($G142&lt;&gt;0,($H142/$G142)*DW142,0)*(1-$K142)</f>
        <v>0</v>
      </c>
      <c r="DY142" s="1118">
        <f>VLOOKUP($E142,DW$442:DZ$453,3,FALSE)*DW142*($K142)+IF($G142&lt;&gt;0,($I142/$G142)*DW142,0)*(1-$K142)</f>
        <v>0</v>
      </c>
      <c r="DZ142" s="1118">
        <f>VLOOKUP($E142,DW$442:DZ$453,4,FALSE)*DW142*($K142)+(DW142-DX142-DY142)*(1-$K142)</f>
        <v>0</v>
      </c>
      <c r="EA142" s="1119"/>
      <c r="EE142" s="1117">
        <f>$G142</f>
        <v>0</v>
      </c>
      <c r="EF142" s="1118">
        <f>VLOOKUP($E142,EE$442:EH$453,2,FALSE)*EE142*($K142)+IF($G142&lt;&gt;0,($H142/$G142)*EE142,0)*(1-$K142)</f>
        <v>0</v>
      </c>
      <c r="EG142" s="1118">
        <f>VLOOKUP($E142,EE$442:EH$453,3,FALSE)*EE142*($K142)+IF($G142&lt;&gt;0,($I142/$G142)*EE142,0)*(1-$K142)</f>
        <v>0</v>
      </c>
      <c r="EH142" s="1118">
        <f>VLOOKUP($E142,EE$442:EH$453,4,FALSE)*EE142*($K142)+(EE142-EF142-EG142)*(1-$K142)</f>
        <v>0</v>
      </c>
      <c r="EI142" s="1119"/>
      <c r="EM142" s="1117">
        <f>$G142</f>
        <v>0</v>
      </c>
      <c r="EN142" s="1118">
        <f>VLOOKUP($E142,EM$442:EP$453,2,FALSE)*EM142*($K142)+IF($G142&lt;&gt;0,($H142/$G142)*EM142,0)*(1-$K142)</f>
        <v>0</v>
      </c>
      <c r="EO142" s="1118">
        <f>VLOOKUP($E142,EM$442:EP$453,3,FALSE)*EM142*($K142)+IF($G142&lt;&gt;0,($I142/$G142)*EM142,0)*(1-$K142)</f>
        <v>0</v>
      </c>
      <c r="EP142" s="1118">
        <f>VLOOKUP($E142,EM$442:EP$453,4,FALSE)*EM142*($K142)+(EM142-EN142-EO142)*(1-$K142)</f>
        <v>0</v>
      </c>
      <c r="EQ142" s="1119"/>
      <c r="EU142" s="1117">
        <f>$G142</f>
        <v>0</v>
      </c>
      <c r="EV142" s="1118">
        <f>VLOOKUP($E142,EU$442:EX$453,2,FALSE)*EU142*($K142)+IF($G142&lt;&gt;0,($H142/$G142)*EU142,0)*(1-$K142)</f>
        <v>0</v>
      </c>
      <c r="EW142" s="1118">
        <f>VLOOKUP($E142,EU$442:EX$453,3,FALSE)*EU142*($K142)+IF($G142&lt;&gt;0,($I142/$G142)*EU142,0)*(1-$K142)</f>
        <v>0</v>
      </c>
      <c r="EX142" s="1118">
        <f>VLOOKUP($E142,EU$442:EX$453,4,FALSE)*EU142*($K142)+(EU142-EV142-EW142)*(1-$K142)</f>
        <v>0</v>
      </c>
      <c r="EY142" s="1119"/>
      <c r="FC142" s="1117">
        <f>$G142</f>
        <v>0</v>
      </c>
      <c r="FD142" s="1118">
        <f>VLOOKUP($E142,FC$442:FF$453,2,FALSE)*FC142*($K142)+IF($G142&lt;&gt;0,($H142/$G142)*FC142,0)*(1-$K142)</f>
        <v>0</v>
      </c>
      <c r="FE142" s="1118">
        <f>VLOOKUP($E142,FC$442:FF$453,3,FALSE)*FC142*($K142)+IF($G142&lt;&gt;0,($I142/$G142)*FC142,0)*(1-$K142)</f>
        <v>0</v>
      </c>
      <c r="FF142" s="1118">
        <f>VLOOKUP($E142,FC$442:FF$453,4,FALSE)*FC142*($K142)+(FC142-FD142-FE142)*(1-$K142)</f>
        <v>0</v>
      </c>
      <c r="FG142" s="1119"/>
      <c r="FK142" s="1117">
        <f>$G142</f>
        <v>0</v>
      </c>
      <c r="FL142" s="1118">
        <f>VLOOKUP($E142,FK$442:FN$453,2,FALSE)*FK142*($K142)+IF($G142&lt;&gt;0,($H142/$G142)*FK142,0)*(1-$K142)</f>
        <v>0</v>
      </c>
      <c r="FM142" s="1118">
        <f>VLOOKUP($E142,FK$442:FN$453,3,FALSE)*FK142*($K142)+IF($G142&lt;&gt;0,($I142/$G142)*FK142,0)*(1-$K142)</f>
        <v>0</v>
      </c>
      <c r="FN142" s="1118">
        <f>VLOOKUP($E142,FK$442:FN$453,4,FALSE)*FK142*($K142)+(FK142-FL142-FM142)*(1-$K142)</f>
        <v>0</v>
      </c>
      <c r="FO142" s="1119"/>
    </row>
    <row r="143" spans="1:171" x14ac:dyDescent="0.25">
      <c r="A143" s="1437"/>
      <c r="B143" s="848" t="s">
        <v>104</v>
      </c>
      <c r="C143" s="915"/>
      <c r="D143" s="916"/>
      <c r="E143" s="916"/>
      <c r="F143" s="917"/>
      <c r="G143" s="924">
        <f>G139-G140+G141-G142</f>
        <v>25508971.207164973</v>
      </c>
      <c r="H143" s="924">
        <f>H139-H140+H141-H142</f>
        <v>0</v>
      </c>
      <c r="I143" s="924">
        <f>I139-I140+I141-I142</f>
        <v>0</v>
      </c>
      <c r="J143" s="1429">
        <f>J139-J140+J141-J142</f>
        <v>25508971.207164973</v>
      </c>
      <c r="K143" s="904"/>
      <c r="O143" s="1133">
        <f>O139-O140+O141-O142</f>
        <v>25508971.207164973</v>
      </c>
      <c r="P143" s="1133">
        <f>P139-P140+P141-P142</f>
        <v>0</v>
      </c>
      <c r="Q143" s="1133">
        <f>Q139-Q140+Q141-Q142</f>
        <v>0</v>
      </c>
      <c r="R143" s="1133">
        <f>R139-R140+R141-R142</f>
        <v>25508971.207164973</v>
      </c>
      <c r="S143" s="1119"/>
      <c r="W143" s="1133">
        <f>W139-W140+W141-W142</f>
        <v>25508971.207164973</v>
      </c>
      <c r="X143" s="1133">
        <f>X139-X140+X141-X142</f>
        <v>0</v>
      </c>
      <c r="Y143" s="1133">
        <f>Y139-Y140+Y141-Y142</f>
        <v>0</v>
      </c>
      <c r="Z143" s="1133">
        <f>Z139-Z140+Z141-Z142</f>
        <v>25508971.207164973</v>
      </c>
      <c r="AA143" s="1119"/>
      <c r="AE143" s="1133">
        <f>AE139-AE140+AE141-AE142</f>
        <v>25508971.207164973</v>
      </c>
      <c r="AF143" s="1133">
        <f>AF139-AF140+AF141-AF142</f>
        <v>0</v>
      </c>
      <c r="AG143" s="1133">
        <f>AG139-AG140+AG141-AG142</f>
        <v>0</v>
      </c>
      <c r="AH143" s="1133">
        <f>AH139-AH140+AH141-AH142</f>
        <v>25508971.207164973</v>
      </c>
      <c r="AI143" s="1119"/>
      <c r="AM143" s="1133">
        <f>AM139-AM140+AM141-AM142</f>
        <v>25508971.207164973</v>
      </c>
      <c r="AN143" s="1133">
        <f>AN139-AN140+AN141-AN142</f>
        <v>0</v>
      </c>
      <c r="AO143" s="1133">
        <f>AO139-AO140+AO141-AO142</f>
        <v>0</v>
      </c>
      <c r="AP143" s="1133">
        <f>AP139-AP140+AP141-AP142</f>
        <v>25508971.207164973</v>
      </c>
      <c r="AQ143" s="1119"/>
      <c r="AU143" s="1133">
        <f>AU139-AU140+AU141-AU142</f>
        <v>25508971.207164973</v>
      </c>
      <c r="AV143" s="1133">
        <f>AV139-AV140+AV141-AV142</f>
        <v>0</v>
      </c>
      <c r="AW143" s="1133">
        <f>AW139-AW140+AW141-AW142</f>
        <v>0</v>
      </c>
      <c r="AX143" s="1133">
        <f>AX139-AX140+AX141-AX142</f>
        <v>25508971.207164973</v>
      </c>
      <c r="AY143" s="1119"/>
      <c r="BC143" s="1133">
        <f>BC139-BC140+BC141-BC142</f>
        <v>25508971.207164973</v>
      </c>
      <c r="BD143" s="1133">
        <f>BD139-BD140+BD141-BD142</f>
        <v>0</v>
      </c>
      <c r="BE143" s="1133">
        <f>BE139-BE140+BE141-BE142</f>
        <v>0</v>
      </c>
      <c r="BF143" s="1133">
        <f>BF139-BF140+BF141-BF142</f>
        <v>25508971.207164973</v>
      </c>
      <c r="BG143" s="1119"/>
      <c r="BK143" s="1133">
        <f>BK139-BK140+BK141-BK142</f>
        <v>25508971.207164973</v>
      </c>
      <c r="BL143" s="1133">
        <f>BL139-BL140+BL141-BL142</f>
        <v>0</v>
      </c>
      <c r="BM143" s="1133">
        <f>BM139-BM140+BM141-BM142</f>
        <v>0</v>
      </c>
      <c r="BN143" s="1133">
        <f>BN139-BN140+BN141-BN142</f>
        <v>25508971.207164973</v>
      </c>
      <c r="BO143" s="1119"/>
      <c r="BS143" s="1133">
        <f>BS139-BS140+BS141-BS142</f>
        <v>25508971.207164973</v>
      </c>
      <c r="BT143" s="1133">
        <f>BT139-BT140+BT141-BT142</f>
        <v>0</v>
      </c>
      <c r="BU143" s="1133">
        <f>BU139-BU140+BU141-BU142</f>
        <v>0</v>
      </c>
      <c r="BV143" s="1133">
        <f>BV139-BV140+BV141-BV142</f>
        <v>25508971.207164973</v>
      </c>
      <c r="BW143" s="1119"/>
      <c r="CA143" s="1133">
        <f>CA139-CA140+CA141-CA142</f>
        <v>25508971.207164973</v>
      </c>
      <c r="CB143" s="1133">
        <f>CB139-CB140+CB141-CB142</f>
        <v>0</v>
      </c>
      <c r="CC143" s="1133">
        <f>CC139-CC140+CC141-CC142</f>
        <v>0</v>
      </c>
      <c r="CD143" s="1133">
        <f>CD139-CD140+CD141-CD142</f>
        <v>25508971.207164973</v>
      </c>
      <c r="CE143" s="1119"/>
      <c r="CI143" s="1133">
        <f>CI139-CI140+CI141-CI142</f>
        <v>25508971.207164973</v>
      </c>
      <c r="CJ143" s="1133">
        <f>CJ139-CJ140+CJ141-CJ142</f>
        <v>0</v>
      </c>
      <c r="CK143" s="1133">
        <f>CK139-CK140+CK141-CK142</f>
        <v>0</v>
      </c>
      <c r="CL143" s="1133">
        <f>CL139-CL140+CL141-CL142</f>
        <v>25508971.207164973</v>
      </c>
      <c r="CM143" s="1119"/>
      <c r="CQ143" s="1133">
        <f>CQ139-CQ140+CQ141-CQ142</f>
        <v>25508971.207164973</v>
      </c>
      <c r="CR143" s="1133">
        <f>CR139-CR140+CR141-CR142</f>
        <v>0</v>
      </c>
      <c r="CS143" s="1133">
        <f>CS139-CS140+CS141-CS142</f>
        <v>0</v>
      </c>
      <c r="CT143" s="1133">
        <f>CT139-CT140+CT141-CT142</f>
        <v>25508971.207164973</v>
      </c>
      <c r="CU143" s="1119"/>
      <c r="CY143" s="1133">
        <f>CY139-CY140+CY141-CY142</f>
        <v>25508971.207164973</v>
      </c>
      <c r="CZ143" s="1133">
        <f>CZ139-CZ140+CZ141-CZ142</f>
        <v>0</v>
      </c>
      <c r="DA143" s="1133">
        <f>DA139-DA140+DA141-DA142</f>
        <v>0</v>
      </c>
      <c r="DB143" s="1133">
        <f>DB139-DB140+DB141-DB142</f>
        <v>25508971.207164973</v>
      </c>
      <c r="DC143" s="1119"/>
      <c r="DG143" s="1133">
        <f>DG139-DG140+DG141-DG142</f>
        <v>25508971.207164973</v>
      </c>
      <c r="DH143" s="1133">
        <f>DH139-DH140+DH141-DH142</f>
        <v>0</v>
      </c>
      <c r="DI143" s="1133">
        <f>DI139-DI140+DI141-DI142</f>
        <v>0</v>
      </c>
      <c r="DJ143" s="1133">
        <f>DJ139-DJ140+DJ141-DJ142</f>
        <v>25508971.207164973</v>
      </c>
      <c r="DK143" s="1119"/>
      <c r="DO143" s="1133">
        <f>DO139-DO140+DO141-DO142</f>
        <v>25508971.207164973</v>
      </c>
      <c r="DP143" s="1133">
        <f>DP139-DP140+DP141-DP142</f>
        <v>0</v>
      </c>
      <c r="DQ143" s="1133">
        <f>DQ139-DQ140+DQ141-DQ142</f>
        <v>0</v>
      </c>
      <c r="DR143" s="1133">
        <f>DR139-DR140+DR141-DR142</f>
        <v>25508971.207164973</v>
      </c>
      <c r="DS143" s="1119"/>
      <c r="DW143" s="1133">
        <f>DW139-DW140+DW141-DW142</f>
        <v>25508971.207164973</v>
      </c>
      <c r="DX143" s="1133">
        <f>DX139-DX140+DX141-DX142</f>
        <v>0</v>
      </c>
      <c r="DY143" s="1133">
        <f>DY139-DY140+DY141-DY142</f>
        <v>0</v>
      </c>
      <c r="DZ143" s="1133">
        <f>DZ139-DZ140+DZ141-DZ142</f>
        <v>25508971.207164973</v>
      </c>
      <c r="EA143" s="1119"/>
      <c r="EE143" s="1133">
        <f>EE139-EE140+EE141-EE142</f>
        <v>25508971.207164973</v>
      </c>
      <c r="EF143" s="1133">
        <f>EF139-EF140+EF141-EF142</f>
        <v>0</v>
      </c>
      <c r="EG143" s="1133">
        <f>EG139-EG140+EG141-EG142</f>
        <v>0</v>
      </c>
      <c r="EH143" s="1133">
        <f>EH139-EH140+EH141-EH142</f>
        <v>25508971.207164973</v>
      </c>
      <c r="EI143" s="1119"/>
      <c r="EM143" s="1133">
        <f>EM139-EM140+EM141-EM142</f>
        <v>25508971.207164973</v>
      </c>
      <c r="EN143" s="1133">
        <f>EN139-EN140+EN141-EN142</f>
        <v>0</v>
      </c>
      <c r="EO143" s="1133">
        <f>EO139-EO140+EO141-EO142</f>
        <v>0</v>
      </c>
      <c r="EP143" s="1133">
        <f>EP139-EP140+EP141-EP142</f>
        <v>25508971.207164973</v>
      </c>
      <c r="EQ143" s="1119"/>
      <c r="EU143" s="1133">
        <f>EU139-EU140+EU141-EU142</f>
        <v>25508971.207164973</v>
      </c>
      <c r="EV143" s="1133">
        <f>EV139-EV140+EV141-EV142</f>
        <v>0</v>
      </c>
      <c r="EW143" s="1133">
        <f>EW139-EW140+EW141-EW142</f>
        <v>0</v>
      </c>
      <c r="EX143" s="1133">
        <f>EX139-EX140+EX141-EX142</f>
        <v>25508971.207164973</v>
      </c>
      <c r="EY143" s="1119"/>
      <c r="FC143" s="1133">
        <f>FC139-FC140+FC141-FC142</f>
        <v>25508971.207164973</v>
      </c>
      <c r="FD143" s="1133">
        <f>FD139-FD140+FD141-FD142</f>
        <v>0</v>
      </c>
      <c r="FE143" s="1133">
        <f>FE139-FE140+FE141-FE142</f>
        <v>0</v>
      </c>
      <c r="FF143" s="1133">
        <f>FF139-FF140+FF141-FF142</f>
        <v>25508971.207164973</v>
      </c>
      <c r="FG143" s="1119"/>
      <c r="FK143" s="1133">
        <f>FK139-FK140+FK141-FK142</f>
        <v>25508971.207164973</v>
      </c>
      <c r="FL143" s="1133">
        <f>FL139-FL140+FL141-FL142</f>
        <v>0</v>
      </c>
      <c r="FM143" s="1133">
        <f>FM139-FM140+FM141-FM142</f>
        <v>0</v>
      </c>
      <c r="FN143" s="1133">
        <f>FN139-FN140+FN141-FN142</f>
        <v>25508971.207164973</v>
      </c>
      <c r="FO143" s="1119"/>
    </row>
    <row r="144" spans="1:171" x14ac:dyDescent="0.25">
      <c r="A144" s="1437"/>
      <c r="B144" s="848" t="s">
        <v>435</v>
      </c>
      <c r="C144" s="196"/>
      <c r="D144" s="969"/>
      <c r="E144" s="196"/>
      <c r="F144" s="196"/>
      <c r="G144" s="911"/>
      <c r="H144" s="198"/>
      <c r="I144" s="198"/>
      <c r="J144" s="1427"/>
      <c r="K144" s="904"/>
      <c r="O144" s="1080"/>
      <c r="S144" s="1119"/>
      <c r="W144" s="1080"/>
      <c r="AA144" s="1119"/>
      <c r="AE144" s="1080"/>
      <c r="AI144" s="1119"/>
      <c r="AM144" s="1080"/>
      <c r="AQ144" s="1119"/>
      <c r="AU144" s="1080"/>
      <c r="AY144" s="1119"/>
      <c r="BC144" s="1080"/>
      <c r="BG144" s="1119"/>
      <c r="BK144" s="1080"/>
      <c r="BO144" s="1119"/>
      <c r="BS144" s="1080"/>
      <c r="BW144" s="1119"/>
      <c r="CA144" s="1080"/>
      <c r="CE144" s="1119"/>
      <c r="CI144" s="1080"/>
      <c r="CM144" s="1119"/>
      <c r="CQ144" s="1080"/>
      <c r="CU144" s="1119"/>
      <c r="CY144" s="1080"/>
      <c r="DC144" s="1119"/>
      <c r="DG144" s="1080"/>
      <c r="DK144" s="1119"/>
      <c r="DO144" s="1080"/>
      <c r="DS144" s="1119"/>
      <c r="DW144" s="1080"/>
      <c r="EA144" s="1119"/>
      <c r="EE144" s="1080"/>
      <c r="EI144" s="1119"/>
      <c r="EM144" s="1080"/>
      <c r="EQ144" s="1119"/>
      <c r="EU144" s="1080"/>
      <c r="EY144" s="1119"/>
      <c r="FC144" s="1080"/>
      <c r="FG144" s="1119"/>
      <c r="FK144" s="1080"/>
      <c r="FO144" s="1119"/>
    </row>
    <row r="145" spans="1:171" x14ac:dyDescent="0.25">
      <c r="A145" s="1421"/>
      <c r="B145" s="79" t="s">
        <v>374</v>
      </c>
      <c r="C145" s="889" t="s">
        <v>81</v>
      </c>
      <c r="D145" s="889">
        <v>244</v>
      </c>
      <c r="E145" s="182" t="str">
        <f>'Sch 1- Rate Base '!E145</f>
        <v>DIST</v>
      </c>
      <c r="F145" s="890"/>
      <c r="G145" s="182">
        <f>'Sch 1- Rate Base '!G145</f>
        <v>0</v>
      </c>
      <c r="H145" s="182">
        <f>'Sch 1- Rate Base '!H145</f>
        <v>0</v>
      </c>
      <c r="I145" s="182">
        <f>'Sch 1- Rate Base '!I145</f>
        <v>0</v>
      </c>
      <c r="J145" s="1422">
        <f>'Sch 1- Rate Base '!J145</f>
        <v>0</v>
      </c>
      <c r="K145" s="904">
        <f t="shared" ref="K145:K155" si="466">IF($E145="DIRECT",0,1)</f>
        <v>1</v>
      </c>
      <c r="O145" s="1117"/>
      <c r="S145" s="1119"/>
      <c r="W145" s="1117"/>
      <c r="AA145" s="1119"/>
      <c r="AE145" s="1117"/>
      <c r="AI145" s="1119"/>
      <c r="AM145" s="1117"/>
      <c r="AQ145" s="1119"/>
      <c r="AU145" s="1117"/>
      <c r="AY145" s="1119"/>
      <c r="BC145" s="1117"/>
      <c r="BG145" s="1119"/>
      <c r="BK145" s="1117"/>
      <c r="BO145" s="1119"/>
      <c r="BS145" s="1117"/>
      <c r="BW145" s="1119"/>
      <c r="CA145" s="1117"/>
      <c r="CE145" s="1119"/>
      <c r="CI145" s="1117"/>
      <c r="CM145" s="1119"/>
      <c r="CQ145" s="1117"/>
      <c r="CU145" s="1119"/>
      <c r="CY145" s="1117"/>
      <c r="DC145" s="1119"/>
      <c r="DG145" s="1117"/>
      <c r="DK145" s="1119"/>
      <c r="DO145" s="1117"/>
      <c r="DS145" s="1119"/>
      <c r="DW145" s="1117"/>
      <c r="EA145" s="1119"/>
      <c r="EE145" s="1117"/>
      <c r="EI145" s="1119"/>
      <c r="EM145" s="1117"/>
      <c r="EQ145" s="1119"/>
      <c r="EU145" s="1117"/>
      <c r="EY145" s="1119"/>
      <c r="FC145" s="1117"/>
      <c r="FG145" s="1119"/>
      <c r="FK145" s="1117"/>
      <c r="FO145" s="1119"/>
    </row>
    <row r="146" spans="1:171" x14ac:dyDescent="0.25">
      <c r="A146" s="1421"/>
      <c r="B146" s="79" t="s">
        <v>375</v>
      </c>
      <c r="C146" s="889" t="s">
        <v>348</v>
      </c>
      <c r="D146" s="889">
        <v>245</v>
      </c>
      <c r="E146" s="182" t="str">
        <f>'Sch 1- Rate Base '!E146</f>
        <v>DIST</v>
      </c>
      <c r="F146" s="890"/>
      <c r="G146" s="182">
        <f>'Sch 1- Rate Base '!G146</f>
        <v>0</v>
      </c>
      <c r="H146" s="182">
        <f>'Sch 1- Rate Base '!H146</f>
        <v>0</v>
      </c>
      <c r="I146" s="182">
        <f>'Sch 1- Rate Base '!I146</f>
        <v>0</v>
      </c>
      <c r="J146" s="1422">
        <f>'Sch 1- Rate Base '!J146</f>
        <v>0</v>
      </c>
      <c r="K146" s="904">
        <f t="shared" si="466"/>
        <v>1</v>
      </c>
      <c r="O146" s="1117"/>
      <c r="S146" s="1119"/>
      <c r="W146" s="1117"/>
      <c r="AA146" s="1119"/>
      <c r="AE146" s="1117"/>
      <c r="AI146" s="1119"/>
      <c r="AM146" s="1117"/>
      <c r="AQ146" s="1119"/>
      <c r="AU146" s="1117"/>
      <c r="AY146" s="1119"/>
      <c r="BC146" s="1117"/>
      <c r="BG146" s="1119"/>
      <c r="BK146" s="1117"/>
      <c r="BO146" s="1119"/>
      <c r="BS146" s="1117"/>
      <c r="BW146" s="1119"/>
      <c r="CA146" s="1117"/>
      <c r="CE146" s="1119"/>
      <c r="CI146" s="1117"/>
      <c r="CM146" s="1119"/>
      <c r="CQ146" s="1117"/>
      <c r="CU146" s="1119"/>
      <c r="CY146" s="1117"/>
      <c r="DC146" s="1119"/>
      <c r="DG146" s="1117"/>
      <c r="DK146" s="1119"/>
      <c r="DO146" s="1117"/>
      <c r="DS146" s="1119"/>
      <c r="DW146" s="1117"/>
      <c r="EA146" s="1119"/>
      <c r="EE146" s="1117"/>
      <c r="EI146" s="1119"/>
      <c r="EM146" s="1117"/>
      <c r="EQ146" s="1119"/>
      <c r="EU146" s="1117"/>
      <c r="EY146" s="1119"/>
      <c r="FC146" s="1117"/>
      <c r="FG146" s="1119"/>
      <c r="FK146" s="1117"/>
      <c r="FO146" s="1119"/>
    </row>
    <row r="147" spans="1:171" x14ac:dyDescent="0.25">
      <c r="A147" s="1421"/>
      <c r="B147" s="79" t="s">
        <v>22</v>
      </c>
      <c r="C147" s="889" t="s">
        <v>81</v>
      </c>
      <c r="D147" s="889">
        <v>252</v>
      </c>
      <c r="E147" s="182" t="str">
        <f>'Sch 1- Rate Base '!E147</f>
        <v>DIST</v>
      </c>
      <c r="F147" s="890"/>
      <c r="G147" s="182">
        <f>'Sch 1- Rate Base '!G147</f>
        <v>140066801.77948469</v>
      </c>
      <c r="H147" s="182">
        <f>'Sch 1- Rate Base '!H147</f>
        <v>0</v>
      </c>
      <c r="I147" s="182">
        <f>'Sch 1- Rate Base '!I147</f>
        <v>0</v>
      </c>
      <c r="J147" s="1422">
        <f>'Sch 1- Rate Base '!J147</f>
        <v>140066801.77948469</v>
      </c>
      <c r="K147" s="904">
        <f t="shared" si="466"/>
        <v>1</v>
      </c>
      <c r="O147" s="1117">
        <f t="shared" ref="O147:O155" si="467">$G147</f>
        <v>140066801.77948469</v>
      </c>
      <c r="P147" s="1118">
        <f t="shared" ref="P147:P155" si="468">VLOOKUP($E147,O$442:R$453,2,FALSE)*O147*($K147)+IF($G147&lt;&gt;0,($H147/$G147)*O147,0)*(1-$K147)</f>
        <v>0</v>
      </c>
      <c r="Q147" s="1118">
        <f t="shared" ref="Q147:Q155" si="469">VLOOKUP($E147,O$442:R$453,3,FALSE)*O147*($K147)+IF($G147&lt;&gt;0,($I147/$G147)*O147,0)*(1-$K147)</f>
        <v>0</v>
      </c>
      <c r="R147" s="1118">
        <f t="shared" ref="R147:R155" si="470">VLOOKUP($E147,O$442:R$453,4,FALSE)*O147*($K147)+(O147-P147-Q147)*(1-$K147)</f>
        <v>140066801.77948469</v>
      </c>
      <c r="S147" s="1119"/>
      <c r="W147" s="1117">
        <f t="shared" ref="W147:W155" si="471">$G147</f>
        <v>140066801.77948469</v>
      </c>
      <c r="X147" s="1118">
        <f t="shared" ref="X147:X155" si="472">VLOOKUP($E147,W$442:Z$453,2,FALSE)*W147*($K147)+IF($G147&lt;&gt;0,($H147/$G147)*W147,0)*(1-$K147)</f>
        <v>0</v>
      </c>
      <c r="Y147" s="1118">
        <f t="shared" ref="Y147:Y155" si="473">VLOOKUP($E147,W$442:Z$453,3,FALSE)*W147*($K147)+IF($G147&lt;&gt;0,($I147/$G147)*W147,0)*(1-$K147)</f>
        <v>0</v>
      </c>
      <c r="Z147" s="1118">
        <f t="shared" ref="Z147:Z155" si="474">VLOOKUP($E147,W$442:Z$453,4,FALSE)*W147*($K147)+(W147-X147-Y147)*(1-$K147)</f>
        <v>140066801.77948469</v>
      </c>
      <c r="AA147" s="1119"/>
      <c r="AE147" s="1117">
        <f t="shared" ref="AE147:AE155" si="475">$G147</f>
        <v>140066801.77948469</v>
      </c>
      <c r="AF147" s="1118">
        <f t="shared" ref="AF147:AF155" si="476">VLOOKUP($E147,AE$442:AH$453,2,FALSE)*AE147*($K147)+IF($G147&lt;&gt;0,($H147/$G147)*AE147,0)*(1-$K147)</f>
        <v>0</v>
      </c>
      <c r="AG147" s="1118">
        <f t="shared" ref="AG147:AG155" si="477">VLOOKUP($E147,AE$442:AH$453,3,FALSE)*AE147*($K147)+IF($G147&lt;&gt;0,($I147/$G147)*AE147,0)*(1-$K147)</f>
        <v>0</v>
      </c>
      <c r="AH147" s="1118">
        <f t="shared" ref="AH147:AH155" si="478">VLOOKUP($E147,AE$442:AH$453,4,FALSE)*AE147*($K147)+(AE147-AF147-AG147)*(1-$K147)</f>
        <v>140066801.77948469</v>
      </c>
      <c r="AI147" s="1119"/>
      <c r="AM147" s="1117">
        <f t="shared" ref="AM147:AM155" si="479">$G147</f>
        <v>140066801.77948469</v>
      </c>
      <c r="AN147" s="1118">
        <f t="shared" ref="AN147:AN155" si="480">VLOOKUP($E147,AM$442:AP$453,2,FALSE)*AM147*($K147)+IF($G147&lt;&gt;0,($H147/$G147)*AM147,0)*(1-$K147)</f>
        <v>0</v>
      </c>
      <c r="AO147" s="1118">
        <f t="shared" ref="AO147:AO155" si="481">VLOOKUP($E147,AM$442:AP$453,3,FALSE)*AM147*($K147)+IF($G147&lt;&gt;0,($I147/$G147)*AM147,0)*(1-$K147)</f>
        <v>0</v>
      </c>
      <c r="AP147" s="1118">
        <f t="shared" ref="AP147:AP155" si="482">VLOOKUP($E147,AM$442:AP$453,4,FALSE)*AM147*($K147)+(AM147-AN147-AO147)*(1-$K147)</f>
        <v>140066801.77948469</v>
      </c>
      <c r="AQ147" s="1119"/>
      <c r="AU147" s="1117">
        <f t="shared" ref="AU147:AU155" si="483">$G147</f>
        <v>140066801.77948469</v>
      </c>
      <c r="AV147" s="1118">
        <f t="shared" ref="AV147:AV155" si="484">VLOOKUP($E147,AU$442:AX$453,2,FALSE)*AU147*($K147)+IF($G147&lt;&gt;0,($H147/$G147)*AU147,0)*(1-$K147)</f>
        <v>0</v>
      </c>
      <c r="AW147" s="1118">
        <f t="shared" ref="AW147:AW155" si="485">VLOOKUP($E147,AU$442:AX$453,3,FALSE)*AU147*($K147)+IF($G147&lt;&gt;0,($I147/$G147)*AU147,0)*(1-$K147)</f>
        <v>0</v>
      </c>
      <c r="AX147" s="1118">
        <f t="shared" ref="AX147:AX155" si="486">VLOOKUP($E147,AU$442:AX$453,4,FALSE)*AU147*($K147)+(AU147-AV147-AW147)*(1-$K147)</f>
        <v>140066801.77948469</v>
      </c>
      <c r="AY147" s="1119"/>
      <c r="BC147" s="1117">
        <f t="shared" ref="BC147:BC155" si="487">$G147</f>
        <v>140066801.77948469</v>
      </c>
      <c r="BD147" s="1118">
        <f t="shared" ref="BD147:BD155" si="488">VLOOKUP($E147,BC$442:BF$453,2,FALSE)*BC147*($K147)+IF($G147&lt;&gt;0,($H147/$G147)*BC147,0)*(1-$K147)</f>
        <v>0</v>
      </c>
      <c r="BE147" s="1118">
        <f t="shared" ref="BE147:BE155" si="489">VLOOKUP($E147,BC$442:BF$453,3,FALSE)*BC147*($K147)+IF($G147&lt;&gt;0,($I147/$G147)*BC147,0)*(1-$K147)</f>
        <v>0</v>
      </c>
      <c r="BF147" s="1118">
        <f t="shared" ref="BF147:BF155" si="490">VLOOKUP($E147,BC$442:BF$453,4,FALSE)*BC147*($K147)+(BC147-BD147-BE147)*(1-$K147)</f>
        <v>140066801.77948469</v>
      </c>
      <c r="BG147" s="1119"/>
      <c r="BK147" s="1117">
        <f t="shared" ref="BK147:BK155" si="491">$G147</f>
        <v>140066801.77948469</v>
      </c>
      <c r="BL147" s="1118">
        <f t="shared" ref="BL147:BL155" si="492">VLOOKUP($E147,BK$442:BN$453,2,FALSE)*BK147*($K147)+IF($G147&lt;&gt;0,($H147/$G147)*BK147,0)*(1-$K147)</f>
        <v>0</v>
      </c>
      <c r="BM147" s="1118">
        <f t="shared" ref="BM147:BM155" si="493">VLOOKUP($E147,BK$442:BN$453,3,FALSE)*BK147*($K147)+IF($G147&lt;&gt;0,($I147/$G147)*BK147,0)*(1-$K147)</f>
        <v>0</v>
      </c>
      <c r="BN147" s="1118">
        <f t="shared" ref="BN147:BN155" si="494">VLOOKUP($E147,BK$442:BN$453,4,FALSE)*BK147*($K147)+(BK147-BL147-BM147)*(1-$K147)</f>
        <v>140066801.77948469</v>
      </c>
      <c r="BO147" s="1119"/>
      <c r="BS147" s="1117">
        <f t="shared" ref="BS147:BS155" si="495">$G147</f>
        <v>140066801.77948469</v>
      </c>
      <c r="BT147" s="1118">
        <f t="shared" ref="BT147:BT155" si="496">VLOOKUP($E147,BS$442:BV$453,2,FALSE)*BS147*($K147)+IF($G147&lt;&gt;0,($H147/$G147)*BS147,0)*(1-$K147)</f>
        <v>0</v>
      </c>
      <c r="BU147" s="1118">
        <f t="shared" ref="BU147:BU155" si="497">VLOOKUP($E147,BS$442:BV$453,3,FALSE)*BS147*($K147)+IF($G147&lt;&gt;0,($I147/$G147)*BS147,0)*(1-$K147)</f>
        <v>0</v>
      </c>
      <c r="BV147" s="1118">
        <f t="shared" ref="BV147:BV155" si="498">VLOOKUP($E147,BS$442:BV$453,4,FALSE)*BS147*($K147)+(BS147-BT147-BU147)*(1-$K147)</f>
        <v>140066801.77948469</v>
      </c>
      <c r="BW147" s="1119"/>
      <c r="CA147" s="1117">
        <f t="shared" ref="CA147:CA155" si="499">$G147</f>
        <v>140066801.77948469</v>
      </c>
      <c r="CB147" s="1118">
        <f t="shared" ref="CB147:CB155" si="500">VLOOKUP($E147,CA$442:CD$453,2,FALSE)*CA147*($K147)+IF($G147&lt;&gt;0,($H147/$G147)*CA147,0)*(1-$K147)</f>
        <v>0</v>
      </c>
      <c r="CC147" s="1118">
        <f t="shared" ref="CC147:CC155" si="501">VLOOKUP($E147,CA$442:CD$453,3,FALSE)*CA147*($K147)+IF($G147&lt;&gt;0,($I147/$G147)*CA147,0)*(1-$K147)</f>
        <v>0</v>
      </c>
      <c r="CD147" s="1118">
        <f t="shared" ref="CD147:CD155" si="502">VLOOKUP($E147,CA$442:CD$453,4,FALSE)*CA147*($K147)+(CA147-CB147-CC147)*(1-$K147)</f>
        <v>140066801.77948469</v>
      </c>
      <c r="CE147" s="1119"/>
      <c r="CI147" s="1117">
        <f t="shared" ref="CI147:CI155" si="503">$G147</f>
        <v>140066801.77948469</v>
      </c>
      <c r="CJ147" s="1118">
        <f t="shared" ref="CJ147:CJ155" si="504">VLOOKUP($E147,CI$442:CL$453,2,FALSE)*CI147*($K147)+IF($G147&lt;&gt;0,($H147/$G147)*CI147,0)*(1-$K147)</f>
        <v>0</v>
      </c>
      <c r="CK147" s="1118">
        <f t="shared" ref="CK147:CK155" si="505">VLOOKUP($E147,CI$442:CL$453,3,FALSE)*CI147*($K147)+IF($G147&lt;&gt;0,($I147/$G147)*CI147,0)*(1-$K147)</f>
        <v>0</v>
      </c>
      <c r="CL147" s="1118">
        <f t="shared" ref="CL147:CL155" si="506">VLOOKUP($E147,CI$442:CL$453,4,FALSE)*CI147*($K147)+(CI147-CJ147-CK147)*(1-$K147)</f>
        <v>140066801.77948469</v>
      </c>
      <c r="CM147" s="1119"/>
      <c r="CQ147" s="1117">
        <f t="shared" ref="CQ147:CQ155" si="507">$G147</f>
        <v>140066801.77948469</v>
      </c>
      <c r="CR147" s="1118">
        <f t="shared" ref="CR147:CR155" si="508">VLOOKUP($E147,CQ$442:CT$453,2,FALSE)*CQ147*($K147)+IF($G147&lt;&gt;0,($H147/$G147)*CQ147,0)*(1-$K147)</f>
        <v>0</v>
      </c>
      <c r="CS147" s="1118">
        <f t="shared" ref="CS147:CS155" si="509">VLOOKUP($E147,CQ$442:CT$453,3,FALSE)*CQ147*($K147)+IF($G147&lt;&gt;0,($I147/$G147)*CQ147,0)*(1-$K147)</f>
        <v>0</v>
      </c>
      <c r="CT147" s="1118">
        <f t="shared" ref="CT147:CT155" si="510">VLOOKUP($E147,CQ$442:CT$453,4,FALSE)*CQ147*($K147)+(CQ147-CR147-CS147)*(1-$K147)</f>
        <v>140066801.77948469</v>
      </c>
      <c r="CU147" s="1119"/>
      <c r="CY147" s="1117">
        <f t="shared" ref="CY147:CY155" si="511">$G147</f>
        <v>140066801.77948469</v>
      </c>
      <c r="CZ147" s="1118">
        <f t="shared" ref="CZ147:CZ155" si="512">VLOOKUP($E147,CY$442:DB$453,2,FALSE)*CY147*($K147)+IF($G147&lt;&gt;0,($H147/$G147)*CY147,0)*(1-$K147)</f>
        <v>0</v>
      </c>
      <c r="DA147" s="1118">
        <f t="shared" ref="DA147:DA155" si="513">VLOOKUP($E147,CY$442:DB$453,3,FALSE)*CY147*($K147)+IF($G147&lt;&gt;0,($I147/$G147)*CY147,0)*(1-$K147)</f>
        <v>0</v>
      </c>
      <c r="DB147" s="1118">
        <f t="shared" ref="DB147:DB155" si="514">VLOOKUP($E147,CY$442:DB$453,4,FALSE)*CY147*($K147)+(CY147-CZ147-DA147)*(1-$K147)</f>
        <v>140066801.77948469</v>
      </c>
      <c r="DC147" s="1119"/>
      <c r="DG147" s="1117">
        <f t="shared" ref="DG147:DG155" si="515">$G147</f>
        <v>140066801.77948469</v>
      </c>
      <c r="DH147" s="1118">
        <f t="shared" ref="DH147:DH155" si="516">VLOOKUP($E147,DG$442:DJ$453,2,FALSE)*DG147*($K147)+IF($G147&lt;&gt;0,($H147/$G147)*DG147,0)*(1-$K147)</f>
        <v>0</v>
      </c>
      <c r="DI147" s="1118">
        <f t="shared" ref="DI147:DI155" si="517">VLOOKUP($E147,DG$442:DJ$453,3,FALSE)*DG147*($K147)+IF($G147&lt;&gt;0,($I147/$G147)*DG147,0)*(1-$K147)</f>
        <v>0</v>
      </c>
      <c r="DJ147" s="1118">
        <f t="shared" ref="DJ147:DJ155" si="518">VLOOKUP($E147,DG$442:DJ$453,4,FALSE)*DG147*($K147)+(DG147-DH147-DI147)*(1-$K147)</f>
        <v>140066801.77948469</v>
      </c>
      <c r="DK147" s="1119"/>
      <c r="DO147" s="1117">
        <f t="shared" ref="DO147:DO155" si="519">$G147</f>
        <v>140066801.77948469</v>
      </c>
      <c r="DP147" s="1118">
        <f t="shared" ref="DP147:DP155" si="520">VLOOKUP($E147,DO$442:DR$453,2,FALSE)*DO147*($K147)+IF($G147&lt;&gt;0,($H147/$G147)*DO147,0)*(1-$K147)</f>
        <v>0</v>
      </c>
      <c r="DQ147" s="1118">
        <f t="shared" ref="DQ147:DQ155" si="521">VLOOKUP($E147,DO$442:DR$453,3,FALSE)*DO147*($K147)+IF($G147&lt;&gt;0,($I147/$G147)*DO147,0)*(1-$K147)</f>
        <v>0</v>
      </c>
      <c r="DR147" s="1118">
        <f t="shared" ref="DR147:DR155" si="522">VLOOKUP($E147,DO$442:DR$453,4,FALSE)*DO147*($K147)+(DO147-DP147-DQ147)*(1-$K147)</f>
        <v>140066801.77948469</v>
      </c>
      <c r="DS147" s="1119"/>
      <c r="DW147" s="1117">
        <f t="shared" ref="DW147:DW155" si="523">$G147</f>
        <v>140066801.77948469</v>
      </c>
      <c r="DX147" s="1118">
        <f t="shared" ref="DX147:DX155" si="524">VLOOKUP($E147,DW$442:DZ$453,2,FALSE)*DW147*($K147)+IF($G147&lt;&gt;0,($H147/$G147)*DW147,0)*(1-$K147)</f>
        <v>0</v>
      </c>
      <c r="DY147" s="1118">
        <f t="shared" ref="DY147:DY155" si="525">VLOOKUP($E147,DW$442:DZ$453,3,FALSE)*DW147*($K147)+IF($G147&lt;&gt;0,($I147/$G147)*DW147,0)*(1-$K147)</f>
        <v>0</v>
      </c>
      <c r="DZ147" s="1118">
        <f t="shared" ref="DZ147:DZ155" si="526">VLOOKUP($E147,DW$442:DZ$453,4,FALSE)*DW147*($K147)+(DW147-DX147-DY147)*(1-$K147)</f>
        <v>140066801.77948469</v>
      </c>
      <c r="EA147" s="1119"/>
      <c r="EE147" s="1117">
        <f t="shared" ref="EE147:EE155" si="527">$G147</f>
        <v>140066801.77948469</v>
      </c>
      <c r="EF147" s="1118">
        <f t="shared" ref="EF147:EF155" si="528">VLOOKUP($E147,EE$442:EH$453,2,FALSE)*EE147*($K147)+IF($G147&lt;&gt;0,($H147/$G147)*EE147,0)*(1-$K147)</f>
        <v>0</v>
      </c>
      <c r="EG147" s="1118">
        <f t="shared" ref="EG147:EG155" si="529">VLOOKUP($E147,EE$442:EH$453,3,FALSE)*EE147*($K147)+IF($G147&lt;&gt;0,($I147/$G147)*EE147,0)*(1-$K147)</f>
        <v>0</v>
      </c>
      <c r="EH147" s="1118">
        <f t="shared" ref="EH147:EH155" si="530">VLOOKUP($E147,EE$442:EH$453,4,FALSE)*EE147*($K147)+(EE147-EF147-EG147)*(1-$K147)</f>
        <v>140066801.77948469</v>
      </c>
      <c r="EI147" s="1119"/>
      <c r="EM147" s="1117">
        <f t="shared" ref="EM147:EM155" si="531">$G147</f>
        <v>140066801.77948469</v>
      </c>
      <c r="EN147" s="1118">
        <f t="shared" ref="EN147:EN155" si="532">VLOOKUP($E147,EM$442:EP$453,2,FALSE)*EM147*($K147)+IF($G147&lt;&gt;0,($H147/$G147)*EM147,0)*(1-$K147)</f>
        <v>0</v>
      </c>
      <c r="EO147" s="1118">
        <f t="shared" ref="EO147:EO155" si="533">VLOOKUP($E147,EM$442:EP$453,3,FALSE)*EM147*($K147)+IF($G147&lt;&gt;0,($I147/$G147)*EM147,0)*(1-$K147)</f>
        <v>0</v>
      </c>
      <c r="EP147" s="1118">
        <f t="shared" ref="EP147:EP155" si="534">VLOOKUP($E147,EM$442:EP$453,4,FALSE)*EM147*($K147)+(EM147-EN147-EO147)*(1-$K147)</f>
        <v>140066801.77948469</v>
      </c>
      <c r="EQ147" s="1119"/>
      <c r="EU147" s="1117">
        <f t="shared" ref="EU147:EU155" si="535">$G147</f>
        <v>140066801.77948469</v>
      </c>
      <c r="EV147" s="1118">
        <f t="shared" ref="EV147:EV155" si="536">VLOOKUP($E147,EU$442:EX$453,2,FALSE)*EU147*($K147)+IF($G147&lt;&gt;0,($H147/$G147)*EU147,0)*(1-$K147)</f>
        <v>0</v>
      </c>
      <c r="EW147" s="1118">
        <f t="shared" ref="EW147:EW155" si="537">VLOOKUP($E147,EU$442:EX$453,3,FALSE)*EU147*($K147)+IF($G147&lt;&gt;0,($I147/$G147)*EU147,0)*(1-$K147)</f>
        <v>0</v>
      </c>
      <c r="EX147" s="1118">
        <f t="shared" ref="EX147:EX155" si="538">VLOOKUP($E147,EU$442:EX$453,4,FALSE)*EU147*($K147)+(EU147-EV147-EW147)*(1-$K147)</f>
        <v>140066801.77948469</v>
      </c>
      <c r="EY147" s="1119"/>
      <c r="FC147" s="1117">
        <f t="shared" ref="FC147:FC155" si="539">$G147</f>
        <v>140066801.77948469</v>
      </c>
      <c r="FD147" s="1118">
        <f t="shared" ref="FD147:FD155" si="540">VLOOKUP($E147,FC$442:FF$453,2,FALSE)*FC147*($K147)+IF($G147&lt;&gt;0,($H147/$G147)*FC147,0)*(1-$K147)</f>
        <v>0</v>
      </c>
      <c r="FE147" s="1118">
        <f t="shared" ref="FE147:FE155" si="541">VLOOKUP($E147,FC$442:FF$453,3,FALSE)*FC147*($K147)+IF($G147&lt;&gt;0,($I147/$G147)*FC147,0)*(1-$K147)</f>
        <v>0</v>
      </c>
      <c r="FF147" s="1118">
        <f t="shared" ref="FF147:FF155" si="542">VLOOKUP($E147,FC$442:FF$453,4,FALSE)*FC147*($K147)+(FC147-FD147-FE147)*(1-$K147)</f>
        <v>140066801.77948469</v>
      </c>
      <c r="FG147" s="1119"/>
      <c r="FK147" s="1117">
        <f t="shared" ref="FK147:FK155" si="543">$G147</f>
        <v>140066801.77948469</v>
      </c>
      <c r="FL147" s="1118">
        <f t="shared" ref="FL147:FL155" si="544">VLOOKUP($E147,FK$442:FN$453,2,FALSE)*FK147*($K147)+IF($G147&lt;&gt;0,($H147/$G147)*FK147,0)*(1-$K147)</f>
        <v>0</v>
      </c>
      <c r="FM147" s="1118">
        <f t="shared" ref="FM147:FM155" si="545">VLOOKUP($E147,FK$442:FN$453,3,FALSE)*FK147*($K147)+IF($G147&lt;&gt;0,($I147/$G147)*FK147,0)*(1-$K147)</f>
        <v>0</v>
      </c>
      <c r="FN147" s="1118">
        <f t="shared" ref="FN147:FN155" si="546">VLOOKUP($E147,FK$442:FN$453,4,FALSE)*FK147*($K147)+(FK147-FL147-FM147)*(1-$K147)</f>
        <v>140066801.77948469</v>
      </c>
      <c r="FO147" s="1119"/>
    </row>
    <row r="148" spans="1:171" x14ac:dyDescent="0.25">
      <c r="A148" s="1421"/>
      <c r="B148" s="79" t="s">
        <v>25</v>
      </c>
      <c r="C148" s="889" t="s">
        <v>81</v>
      </c>
      <c r="D148" s="889">
        <v>253</v>
      </c>
      <c r="E148" s="182" t="str">
        <f>'Sch 1- Rate Base '!E148</f>
        <v>DIRECT</v>
      </c>
      <c r="F148" s="890"/>
      <c r="G148" s="182">
        <f>'Sch 1- Rate Base '!G148</f>
        <v>139827822.78011093</v>
      </c>
      <c r="H148" s="182">
        <f>'Sch 1- Rate Base '!H148</f>
        <v>38305646.080497444</v>
      </c>
      <c r="I148" s="182">
        <f>'Sch 1- Rate Base '!I148</f>
        <v>0</v>
      </c>
      <c r="J148" s="1422">
        <f>'Sch 1- Rate Base '!J148</f>
        <v>101522176.6996135</v>
      </c>
      <c r="K148" s="904">
        <f t="shared" si="466"/>
        <v>0</v>
      </c>
      <c r="O148" s="1117">
        <f t="shared" si="467"/>
        <v>139827822.78011093</v>
      </c>
      <c r="P148" s="1118">
        <f t="shared" si="468"/>
        <v>38305646.080497444</v>
      </c>
      <c r="Q148" s="1118">
        <f t="shared" si="469"/>
        <v>0</v>
      </c>
      <c r="R148" s="1118">
        <f t="shared" si="470"/>
        <v>101522176.69961348</v>
      </c>
      <c r="S148" s="1119"/>
      <c r="W148" s="1117">
        <f t="shared" si="471"/>
        <v>139827822.78011093</v>
      </c>
      <c r="X148" s="1118">
        <f t="shared" si="472"/>
        <v>38305646.080497444</v>
      </c>
      <c r="Y148" s="1118">
        <f t="shared" si="473"/>
        <v>0</v>
      </c>
      <c r="Z148" s="1118">
        <f t="shared" si="474"/>
        <v>101522176.69961348</v>
      </c>
      <c r="AA148" s="1119"/>
      <c r="AE148" s="1117">
        <f t="shared" si="475"/>
        <v>139827822.78011093</v>
      </c>
      <c r="AF148" s="1118">
        <f t="shared" si="476"/>
        <v>38305646.080497444</v>
      </c>
      <c r="AG148" s="1118">
        <f t="shared" si="477"/>
        <v>0</v>
      </c>
      <c r="AH148" s="1118">
        <f t="shared" si="478"/>
        <v>101522176.69961348</v>
      </c>
      <c r="AI148" s="1119"/>
      <c r="AM148" s="1117">
        <f t="shared" si="479"/>
        <v>139827822.78011093</v>
      </c>
      <c r="AN148" s="1118">
        <f t="shared" si="480"/>
        <v>38305646.080497444</v>
      </c>
      <c r="AO148" s="1118">
        <f t="shared" si="481"/>
        <v>0</v>
      </c>
      <c r="AP148" s="1118">
        <f t="shared" si="482"/>
        <v>101522176.69961348</v>
      </c>
      <c r="AQ148" s="1119"/>
      <c r="AU148" s="1117">
        <f t="shared" si="483"/>
        <v>139827822.78011093</v>
      </c>
      <c r="AV148" s="1118">
        <f t="shared" si="484"/>
        <v>38305646.080497444</v>
      </c>
      <c r="AW148" s="1118">
        <f t="shared" si="485"/>
        <v>0</v>
      </c>
      <c r="AX148" s="1118">
        <f t="shared" si="486"/>
        <v>101522176.69961348</v>
      </c>
      <c r="AY148" s="1119"/>
      <c r="BC148" s="1117">
        <f t="shared" si="487"/>
        <v>139827822.78011093</v>
      </c>
      <c r="BD148" s="1118">
        <f t="shared" si="488"/>
        <v>38305646.080497444</v>
      </c>
      <c r="BE148" s="1118">
        <f t="shared" si="489"/>
        <v>0</v>
      </c>
      <c r="BF148" s="1118">
        <f t="shared" si="490"/>
        <v>101522176.69961348</v>
      </c>
      <c r="BG148" s="1119"/>
      <c r="BK148" s="1117">
        <f t="shared" si="491"/>
        <v>139827822.78011093</v>
      </c>
      <c r="BL148" s="1118">
        <f t="shared" si="492"/>
        <v>38305646.080497444</v>
      </c>
      <c r="BM148" s="1118">
        <f t="shared" si="493"/>
        <v>0</v>
      </c>
      <c r="BN148" s="1118">
        <f t="shared" si="494"/>
        <v>101522176.69961348</v>
      </c>
      <c r="BO148" s="1119"/>
      <c r="BS148" s="1117">
        <f t="shared" si="495"/>
        <v>139827822.78011093</v>
      </c>
      <c r="BT148" s="1118">
        <f t="shared" si="496"/>
        <v>38305646.080497444</v>
      </c>
      <c r="BU148" s="1118">
        <f t="shared" si="497"/>
        <v>0</v>
      </c>
      <c r="BV148" s="1118">
        <f t="shared" si="498"/>
        <v>101522176.69961348</v>
      </c>
      <c r="BW148" s="1119"/>
      <c r="CA148" s="1117">
        <f t="shared" si="499"/>
        <v>139827822.78011093</v>
      </c>
      <c r="CB148" s="1118">
        <f t="shared" si="500"/>
        <v>38305646.080497444</v>
      </c>
      <c r="CC148" s="1118">
        <f t="shared" si="501"/>
        <v>0</v>
      </c>
      <c r="CD148" s="1118">
        <f t="shared" si="502"/>
        <v>101522176.69961348</v>
      </c>
      <c r="CE148" s="1119"/>
      <c r="CI148" s="1117">
        <f t="shared" si="503"/>
        <v>139827822.78011093</v>
      </c>
      <c r="CJ148" s="1118">
        <f t="shared" si="504"/>
        <v>38305646.080497444</v>
      </c>
      <c r="CK148" s="1118">
        <f t="shared" si="505"/>
        <v>0</v>
      </c>
      <c r="CL148" s="1118">
        <f t="shared" si="506"/>
        <v>101522176.69961348</v>
      </c>
      <c r="CM148" s="1119"/>
      <c r="CQ148" s="1117">
        <f t="shared" si="507"/>
        <v>139827822.78011093</v>
      </c>
      <c r="CR148" s="1118">
        <f t="shared" si="508"/>
        <v>38305646.080497444</v>
      </c>
      <c r="CS148" s="1118">
        <f t="shared" si="509"/>
        <v>0</v>
      </c>
      <c r="CT148" s="1118">
        <f t="shared" si="510"/>
        <v>101522176.69961348</v>
      </c>
      <c r="CU148" s="1119"/>
      <c r="CY148" s="1117">
        <f t="shared" si="511"/>
        <v>139827822.78011093</v>
      </c>
      <c r="CZ148" s="1118">
        <f t="shared" si="512"/>
        <v>38305646.080497444</v>
      </c>
      <c r="DA148" s="1118">
        <f t="shared" si="513"/>
        <v>0</v>
      </c>
      <c r="DB148" s="1118">
        <f t="shared" si="514"/>
        <v>101522176.69961348</v>
      </c>
      <c r="DC148" s="1119"/>
      <c r="DG148" s="1117">
        <f t="shared" si="515"/>
        <v>139827822.78011093</v>
      </c>
      <c r="DH148" s="1118">
        <f t="shared" si="516"/>
        <v>38305646.080497444</v>
      </c>
      <c r="DI148" s="1118">
        <f t="shared" si="517"/>
        <v>0</v>
      </c>
      <c r="DJ148" s="1118">
        <f t="shared" si="518"/>
        <v>101522176.69961348</v>
      </c>
      <c r="DK148" s="1119"/>
      <c r="DO148" s="1117">
        <f t="shared" si="519"/>
        <v>139827822.78011093</v>
      </c>
      <c r="DP148" s="1118">
        <f t="shared" si="520"/>
        <v>38305646.080497444</v>
      </c>
      <c r="DQ148" s="1118">
        <f t="shared" si="521"/>
        <v>0</v>
      </c>
      <c r="DR148" s="1118">
        <f t="shared" si="522"/>
        <v>101522176.69961348</v>
      </c>
      <c r="DS148" s="1119"/>
      <c r="DW148" s="1117">
        <f t="shared" si="523"/>
        <v>139827822.78011093</v>
      </c>
      <c r="DX148" s="1118">
        <f t="shared" si="524"/>
        <v>38305646.080497444</v>
      </c>
      <c r="DY148" s="1118">
        <f t="shared" si="525"/>
        <v>0</v>
      </c>
      <c r="DZ148" s="1118">
        <f t="shared" si="526"/>
        <v>101522176.69961348</v>
      </c>
      <c r="EA148" s="1119"/>
      <c r="EE148" s="1117">
        <f t="shared" si="527"/>
        <v>139827822.78011093</v>
      </c>
      <c r="EF148" s="1118">
        <f t="shared" si="528"/>
        <v>38305646.080497444</v>
      </c>
      <c r="EG148" s="1118">
        <f t="shared" si="529"/>
        <v>0</v>
      </c>
      <c r="EH148" s="1118">
        <f t="shared" si="530"/>
        <v>101522176.69961348</v>
      </c>
      <c r="EI148" s="1119"/>
      <c r="EM148" s="1117">
        <f t="shared" si="531"/>
        <v>139827822.78011093</v>
      </c>
      <c r="EN148" s="1118">
        <f t="shared" si="532"/>
        <v>38305646.080497444</v>
      </c>
      <c r="EO148" s="1118">
        <f t="shared" si="533"/>
        <v>0</v>
      </c>
      <c r="EP148" s="1118">
        <f t="shared" si="534"/>
        <v>101522176.69961348</v>
      </c>
      <c r="EQ148" s="1119"/>
      <c r="EU148" s="1117">
        <f t="shared" si="535"/>
        <v>139827822.78011093</v>
      </c>
      <c r="EV148" s="1118">
        <f t="shared" si="536"/>
        <v>38305646.080497444</v>
      </c>
      <c r="EW148" s="1118">
        <f t="shared" si="537"/>
        <v>0</v>
      </c>
      <c r="EX148" s="1118">
        <f t="shared" si="538"/>
        <v>101522176.69961348</v>
      </c>
      <c r="EY148" s="1119"/>
      <c r="FC148" s="1117">
        <f t="shared" si="539"/>
        <v>139827822.78011093</v>
      </c>
      <c r="FD148" s="1118">
        <f t="shared" si="540"/>
        <v>38305646.080497444</v>
      </c>
      <c r="FE148" s="1118">
        <f t="shared" si="541"/>
        <v>0</v>
      </c>
      <c r="FF148" s="1118">
        <f t="shared" si="542"/>
        <v>101522176.69961348</v>
      </c>
      <c r="FG148" s="1119"/>
      <c r="FK148" s="1117">
        <f t="shared" si="543"/>
        <v>139827822.78011093</v>
      </c>
      <c r="FL148" s="1118">
        <f t="shared" si="544"/>
        <v>38305646.080497444</v>
      </c>
      <c r="FM148" s="1118">
        <f t="shared" si="545"/>
        <v>0</v>
      </c>
      <c r="FN148" s="1118">
        <f t="shared" si="546"/>
        <v>101522176.69961348</v>
      </c>
      <c r="FO148" s="1119"/>
    </row>
    <row r="149" spans="1:171" x14ac:dyDescent="0.25">
      <c r="A149" s="1421"/>
      <c r="B149" s="79" t="s">
        <v>26</v>
      </c>
      <c r="C149" s="889" t="s">
        <v>81</v>
      </c>
      <c r="D149" s="889">
        <v>254</v>
      </c>
      <c r="E149" s="182" t="str">
        <f>'Sch 1- Rate Base '!E149</f>
        <v>DIRECT</v>
      </c>
      <c r="F149" s="890"/>
      <c r="G149" s="182">
        <f>'Sch 1- Rate Base '!G149</f>
        <v>540639201.34976745</v>
      </c>
      <c r="H149" s="182">
        <f>'Sch 1- Rate Base '!H149</f>
        <v>49323245.608887903</v>
      </c>
      <c r="I149" s="182">
        <f>'Sch 1- Rate Base '!I149</f>
        <v>0</v>
      </c>
      <c r="J149" s="1422">
        <f>'Sch 1- Rate Base '!J149</f>
        <v>491315955.74087965</v>
      </c>
      <c r="K149" s="904">
        <f t="shared" si="466"/>
        <v>0</v>
      </c>
      <c r="O149" s="1117">
        <f t="shared" si="467"/>
        <v>540639201.34976745</v>
      </c>
      <c r="P149" s="1118">
        <f t="shared" si="468"/>
        <v>49323245.608887903</v>
      </c>
      <c r="Q149" s="1118">
        <f t="shared" si="469"/>
        <v>0</v>
      </c>
      <c r="R149" s="1118">
        <f t="shared" si="470"/>
        <v>491315955.74087954</v>
      </c>
      <c r="S149" s="1119"/>
      <c r="W149" s="1117">
        <f t="shared" si="471"/>
        <v>540639201.34976745</v>
      </c>
      <c r="X149" s="1118">
        <f t="shared" si="472"/>
        <v>49323245.608887903</v>
      </c>
      <c r="Y149" s="1118">
        <f t="shared" si="473"/>
        <v>0</v>
      </c>
      <c r="Z149" s="1118">
        <f t="shared" si="474"/>
        <v>491315955.74087954</v>
      </c>
      <c r="AA149" s="1119"/>
      <c r="AE149" s="1117">
        <f t="shared" si="475"/>
        <v>540639201.34976745</v>
      </c>
      <c r="AF149" s="1118">
        <f t="shared" si="476"/>
        <v>49323245.608887903</v>
      </c>
      <c r="AG149" s="1118">
        <f t="shared" si="477"/>
        <v>0</v>
      </c>
      <c r="AH149" s="1118">
        <f t="shared" si="478"/>
        <v>491315955.74087954</v>
      </c>
      <c r="AI149" s="1119"/>
      <c r="AM149" s="1117">
        <f t="shared" si="479"/>
        <v>540639201.34976745</v>
      </c>
      <c r="AN149" s="1118">
        <f t="shared" si="480"/>
        <v>49323245.608887903</v>
      </c>
      <c r="AO149" s="1118">
        <f t="shared" si="481"/>
        <v>0</v>
      </c>
      <c r="AP149" s="1118">
        <f t="shared" si="482"/>
        <v>491315955.74087954</v>
      </c>
      <c r="AQ149" s="1119"/>
      <c r="AU149" s="1117">
        <f t="shared" si="483"/>
        <v>540639201.34976745</v>
      </c>
      <c r="AV149" s="1118">
        <f t="shared" si="484"/>
        <v>49323245.608887903</v>
      </c>
      <c r="AW149" s="1118">
        <f t="shared" si="485"/>
        <v>0</v>
      </c>
      <c r="AX149" s="1118">
        <f t="shared" si="486"/>
        <v>491315955.74087954</v>
      </c>
      <c r="AY149" s="1119"/>
      <c r="BC149" s="1117">
        <f t="shared" si="487"/>
        <v>540639201.34976745</v>
      </c>
      <c r="BD149" s="1118">
        <f t="shared" si="488"/>
        <v>49323245.608887903</v>
      </c>
      <c r="BE149" s="1118">
        <f t="shared" si="489"/>
        <v>0</v>
      </c>
      <c r="BF149" s="1118">
        <f t="shared" si="490"/>
        <v>491315955.74087954</v>
      </c>
      <c r="BG149" s="1119"/>
      <c r="BK149" s="1117">
        <f t="shared" si="491"/>
        <v>540639201.34976745</v>
      </c>
      <c r="BL149" s="1118">
        <f t="shared" si="492"/>
        <v>49323245.608887903</v>
      </c>
      <c r="BM149" s="1118">
        <f t="shared" si="493"/>
        <v>0</v>
      </c>
      <c r="BN149" s="1118">
        <f t="shared" si="494"/>
        <v>491315955.74087954</v>
      </c>
      <c r="BO149" s="1119"/>
      <c r="BS149" s="1117">
        <f t="shared" si="495"/>
        <v>540639201.34976745</v>
      </c>
      <c r="BT149" s="1118">
        <f t="shared" si="496"/>
        <v>49323245.608887903</v>
      </c>
      <c r="BU149" s="1118">
        <f t="shared" si="497"/>
        <v>0</v>
      </c>
      <c r="BV149" s="1118">
        <f t="shared" si="498"/>
        <v>491315955.74087954</v>
      </c>
      <c r="BW149" s="1119"/>
      <c r="CA149" s="1117">
        <f t="shared" si="499"/>
        <v>540639201.34976745</v>
      </c>
      <c r="CB149" s="1118">
        <f t="shared" si="500"/>
        <v>49323245.608887903</v>
      </c>
      <c r="CC149" s="1118">
        <f t="shared" si="501"/>
        <v>0</v>
      </c>
      <c r="CD149" s="1118">
        <f t="shared" si="502"/>
        <v>491315955.74087954</v>
      </c>
      <c r="CE149" s="1119"/>
      <c r="CI149" s="1117">
        <f t="shared" si="503"/>
        <v>540639201.34976745</v>
      </c>
      <c r="CJ149" s="1118">
        <f t="shared" si="504"/>
        <v>49323245.608887903</v>
      </c>
      <c r="CK149" s="1118">
        <f t="shared" si="505"/>
        <v>0</v>
      </c>
      <c r="CL149" s="1118">
        <f t="shared" si="506"/>
        <v>491315955.74087954</v>
      </c>
      <c r="CM149" s="1119"/>
      <c r="CQ149" s="1117">
        <f t="shared" si="507"/>
        <v>540639201.34976745</v>
      </c>
      <c r="CR149" s="1118">
        <f t="shared" si="508"/>
        <v>49323245.608887903</v>
      </c>
      <c r="CS149" s="1118">
        <f t="shared" si="509"/>
        <v>0</v>
      </c>
      <c r="CT149" s="1118">
        <f t="shared" si="510"/>
        <v>491315955.74087954</v>
      </c>
      <c r="CU149" s="1119"/>
      <c r="CY149" s="1117">
        <f t="shared" si="511"/>
        <v>540639201.34976745</v>
      </c>
      <c r="CZ149" s="1118">
        <f t="shared" si="512"/>
        <v>49323245.608887903</v>
      </c>
      <c r="DA149" s="1118">
        <f t="shared" si="513"/>
        <v>0</v>
      </c>
      <c r="DB149" s="1118">
        <f t="shared" si="514"/>
        <v>491315955.74087954</v>
      </c>
      <c r="DC149" s="1119"/>
      <c r="DG149" s="1117">
        <f t="shared" si="515"/>
        <v>540639201.34976745</v>
      </c>
      <c r="DH149" s="1118">
        <f t="shared" si="516"/>
        <v>49323245.608887903</v>
      </c>
      <c r="DI149" s="1118">
        <f t="shared" si="517"/>
        <v>0</v>
      </c>
      <c r="DJ149" s="1118">
        <f t="shared" si="518"/>
        <v>491315955.74087954</v>
      </c>
      <c r="DK149" s="1119"/>
      <c r="DO149" s="1117">
        <f t="shared" si="519"/>
        <v>540639201.34976745</v>
      </c>
      <c r="DP149" s="1118">
        <f t="shared" si="520"/>
        <v>49323245.608887903</v>
      </c>
      <c r="DQ149" s="1118">
        <f t="shared" si="521"/>
        <v>0</v>
      </c>
      <c r="DR149" s="1118">
        <f t="shared" si="522"/>
        <v>491315955.74087954</v>
      </c>
      <c r="DS149" s="1119"/>
      <c r="DW149" s="1117">
        <f t="shared" si="523"/>
        <v>540639201.34976745</v>
      </c>
      <c r="DX149" s="1118">
        <f t="shared" si="524"/>
        <v>49323245.608887903</v>
      </c>
      <c r="DY149" s="1118">
        <f t="shared" si="525"/>
        <v>0</v>
      </c>
      <c r="DZ149" s="1118">
        <f t="shared" si="526"/>
        <v>491315955.74087954</v>
      </c>
      <c r="EA149" s="1119"/>
      <c r="EE149" s="1117">
        <f t="shared" si="527"/>
        <v>540639201.34976745</v>
      </c>
      <c r="EF149" s="1118">
        <f t="shared" si="528"/>
        <v>49323245.608887903</v>
      </c>
      <c r="EG149" s="1118">
        <f t="shared" si="529"/>
        <v>0</v>
      </c>
      <c r="EH149" s="1118">
        <f t="shared" si="530"/>
        <v>491315955.74087954</v>
      </c>
      <c r="EI149" s="1119"/>
      <c r="EM149" s="1117">
        <f t="shared" si="531"/>
        <v>540639201.34976745</v>
      </c>
      <c r="EN149" s="1118">
        <f t="shared" si="532"/>
        <v>49323245.608887903</v>
      </c>
      <c r="EO149" s="1118">
        <f t="shared" si="533"/>
        <v>0</v>
      </c>
      <c r="EP149" s="1118">
        <f t="shared" si="534"/>
        <v>491315955.74087954</v>
      </c>
      <c r="EQ149" s="1119"/>
      <c r="EU149" s="1117">
        <f t="shared" si="535"/>
        <v>540639201.34976745</v>
      </c>
      <c r="EV149" s="1118">
        <f t="shared" si="536"/>
        <v>49323245.608887903</v>
      </c>
      <c r="EW149" s="1118">
        <f t="shared" si="537"/>
        <v>0</v>
      </c>
      <c r="EX149" s="1118">
        <f t="shared" si="538"/>
        <v>491315955.74087954</v>
      </c>
      <c r="EY149" s="1119"/>
      <c r="FC149" s="1117">
        <f t="shared" si="539"/>
        <v>540639201.34976745</v>
      </c>
      <c r="FD149" s="1118">
        <f t="shared" si="540"/>
        <v>49323245.608887903</v>
      </c>
      <c r="FE149" s="1118">
        <f t="shared" si="541"/>
        <v>0</v>
      </c>
      <c r="FF149" s="1118">
        <f t="shared" si="542"/>
        <v>491315955.74087954</v>
      </c>
      <c r="FG149" s="1119"/>
      <c r="FK149" s="1117">
        <f t="shared" si="543"/>
        <v>540639201.34976745</v>
      </c>
      <c r="FL149" s="1118">
        <f t="shared" si="544"/>
        <v>49323245.608887903</v>
      </c>
      <c r="FM149" s="1118">
        <f t="shared" si="545"/>
        <v>0</v>
      </c>
      <c r="FN149" s="1118">
        <f t="shared" si="546"/>
        <v>491315955.74087954</v>
      </c>
      <c r="FO149" s="1119"/>
    </row>
    <row r="150" spans="1:171" x14ac:dyDescent="0.25">
      <c r="A150" s="1421"/>
      <c r="B150" s="79" t="s">
        <v>23</v>
      </c>
      <c r="C150" s="889" t="s">
        <v>81</v>
      </c>
      <c r="D150" s="889">
        <v>255</v>
      </c>
      <c r="E150" s="182" t="str">
        <f>'Sch 1- Rate Base '!E150</f>
        <v>DIST</v>
      </c>
      <c r="F150" s="890"/>
      <c r="G150" s="182">
        <f>'Sch 1- Rate Base '!G150</f>
        <v>380033.94867876318</v>
      </c>
      <c r="H150" s="182">
        <f>'Sch 1- Rate Base '!H150</f>
        <v>0</v>
      </c>
      <c r="I150" s="182">
        <f>'Sch 1- Rate Base '!I150</f>
        <v>0</v>
      </c>
      <c r="J150" s="1422">
        <f>'Sch 1- Rate Base '!J150</f>
        <v>380033.94867876318</v>
      </c>
      <c r="K150" s="904">
        <f t="shared" si="466"/>
        <v>1</v>
      </c>
      <c r="O150" s="1117">
        <f t="shared" si="467"/>
        <v>380033.94867876318</v>
      </c>
      <c r="P150" s="1118">
        <f t="shared" si="468"/>
        <v>0</v>
      </c>
      <c r="Q150" s="1118">
        <f t="shared" si="469"/>
        <v>0</v>
      </c>
      <c r="R150" s="1118">
        <f t="shared" si="470"/>
        <v>380033.94867876318</v>
      </c>
      <c r="S150" s="1119"/>
      <c r="W150" s="1117">
        <f t="shared" si="471"/>
        <v>380033.94867876318</v>
      </c>
      <c r="X150" s="1118">
        <f t="shared" si="472"/>
        <v>0</v>
      </c>
      <c r="Y150" s="1118">
        <f t="shared" si="473"/>
        <v>0</v>
      </c>
      <c r="Z150" s="1118">
        <f t="shared" si="474"/>
        <v>380033.94867876318</v>
      </c>
      <c r="AA150" s="1119"/>
      <c r="AE150" s="1117">
        <f t="shared" si="475"/>
        <v>380033.94867876318</v>
      </c>
      <c r="AF150" s="1118">
        <f t="shared" si="476"/>
        <v>0</v>
      </c>
      <c r="AG150" s="1118">
        <f t="shared" si="477"/>
        <v>0</v>
      </c>
      <c r="AH150" s="1118">
        <f t="shared" si="478"/>
        <v>380033.94867876318</v>
      </c>
      <c r="AI150" s="1119"/>
      <c r="AM150" s="1117">
        <f t="shared" si="479"/>
        <v>380033.94867876318</v>
      </c>
      <c r="AN150" s="1118">
        <f t="shared" si="480"/>
        <v>0</v>
      </c>
      <c r="AO150" s="1118">
        <f t="shared" si="481"/>
        <v>0</v>
      </c>
      <c r="AP150" s="1118">
        <f t="shared" si="482"/>
        <v>380033.94867876318</v>
      </c>
      <c r="AQ150" s="1119"/>
      <c r="AU150" s="1117">
        <f t="shared" si="483"/>
        <v>380033.94867876318</v>
      </c>
      <c r="AV150" s="1118">
        <f t="shared" si="484"/>
        <v>0</v>
      </c>
      <c r="AW150" s="1118">
        <f t="shared" si="485"/>
        <v>0</v>
      </c>
      <c r="AX150" s="1118">
        <f t="shared" si="486"/>
        <v>380033.94867876318</v>
      </c>
      <c r="AY150" s="1119"/>
      <c r="BC150" s="1117">
        <f t="shared" si="487"/>
        <v>380033.94867876318</v>
      </c>
      <c r="BD150" s="1118">
        <f t="shared" si="488"/>
        <v>0</v>
      </c>
      <c r="BE150" s="1118">
        <f t="shared" si="489"/>
        <v>0</v>
      </c>
      <c r="BF150" s="1118">
        <f t="shared" si="490"/>
        <v>380033.94867876318</v>
      </c>
      <c r="BG150" s="1119"/>
      <c r="BK150" s="1117">
        <f t="shared" si="491"/>
        <v>380033.94867876318</v>
      </c>
      <c r="BL150" s="1118">
        <f t="shared" si="492"/>
        <v>0</v>
      </c>
      <c r="BM150" s="1118">
        <f t="shared" si="493"/>
        <v>0</v>
      </c>
      <c r="BN150" s="1118">
        <f t="shared" si="494"/>
        <v>380033.94867876318</v>
      </c>
      <c r="BO150" s="1119"/>
      <c r="BS150" s="1117">
        <f t="shared" si="495"/>
        <v>380033.94867876318</v>
      </c>
      <c r="BT150" s="1118">
        <f t="shared" si="496"/>
        <v>0</v>
      </c>
      <c r="BU150" s="1118">
        <f t="shared" si="497"/>
        <v>0</v>
      </c>
      <c r="BV150" s="1118">
        <f t="shared" si="498"/>
        <v>380033.94867876318</v>
      </c>
      <c r="BW150" s="1119"/>
      <c r="CA150" s="1117">
        <f t="shared" si="499"/>
        <v>380033.94867876318</v>
      </c>
      <c r="CB150" s="1118">
        <f t="shared" si="500"/>
        <v>0</v>
      </c>
      <c r="CC150" s="1118">
        <f t="shared" si="501"/>
        <v>0</v>
      </c>
      <c r="CD150" s="1118">
        <f t="shared" si="502"/>
        <v>380033.94867876318</v>
      </c>
      <c r="CE150" s="1119"/>
      <c r="CI150" s="1117">
        <f t="shared" si="503"/>
        <v>380033.94867876318</v>
      </c>
      <c r="CJ150" s="1118">
        <f t="shared" si="504"/>
        <v>0</v>
      </c>
      <c r="CK150" s="1118">
        <f t="shared" si="505"/>
        <v>0</v>
      </c>
      <c r="CL150" s="1118">
        <f t="shared" si="506"/>
        <v>380033.94867876318</v>
      </c>
      <c r="CM150" s="1119"/>
      <c r="CQ150" s="1117">
        <f t="shared" si="507"/>
        <v>380033.94867876318</v>
      </c>
      <c r="CR150" s="1118">
        <f t="shared" si="508"/>
        <v>0</v>
      </c>
      <c r="CS150" s="1118">
        <f t="shared" si="509"/>
        <v>0</v>
      </c>
      <c r="CT150" s="1118">
        <f t="shared" si="510"/>
        <v>380033.94867876318</v>
      </c>
      <c r="CU150" s="1119"/>
      <c r="CY150" s="1117">
        <f t="shared" si="511"/>
        <v>380033.94867876318</v>
      </c>
      <c r="CZ150" s="1118">
        <f t="shared" si="512"/>
        <v>0</v>
      </c>
      <c r="DA150" s="1118">
        <f t="shared" si="513"/>
        <v>0</v>
      </c>
      <c r="DB150" s="1118">
        <f t="shared" si="514"/>
        <v>380033.94867876318</v>
      </c>
      <c r="DC150" s="1119"/>
      <c r="DG150" s="1117">
        <f t="shared" si="515"/>
        <v>380033.94867876318</v>
      </c>
      <c r="DH150" s="1118">
        <f t="shared" si="516"/>
        <v>0</v>
      </c>
      <c r="DI150" s="1118">
        <f t="shared" si="517"/>
        <v>0</v>
      </c>
      <c r="DJ150" s="1118">
        <f t="shared" si="518"/>
        <v>380033.94867876318</v>
      </c>
      <c r="DK150" s="1119"/>
      <c r="DO150" s="1117">
        <f t="shared" si="519"/>
        <v>380033.94867876318</v>
      </c>
      <c r="DP150" s="1118">
        <f t="shared" si="520"/>
        <v>0</v>
      </c>
      <c r="DQ150" s="1118">
        <f t="shared" si="521"/>
        <v>0</v>
      </c>
      <c r="DR150" s="1118">
        <f t="shared" si="522"/>
        <v>380033.94867876318</v>
      </c>
      <c r="DS150" s="1119"/>
      <c r="DW150" s="1117">
        <f t="shared" si="523"/>
        <v>380033.94867876318</v>
      </c>
      <c r="DX150" s="1118">
        <f t="shared" si="524"/>
        <v>0</v>
      </c>
      <c r="DY150" s="1118">
        <f t="shared" si="525"/>
        <v>0</v>
      </c>
      <c r="DZ150" s="1118">
        <f t="shared" si="526"/>
        <v>380033.94867876318</v>
      </c>
      <c r="EA150" s="1119"/>
      <c r="EE150" s="1117">
        <f t="shared" si="527"/>
        <v>380033.94867876318</v>
      </c>
      <c r="EF150" s="1118">
        <f t="shared" si="528"/>
        <v>0</v>
      </c>
      <c r="EG150" s="1118">
        <f t="shared" si="529"/>
        <v>0</v>
      </c>
      <c r="EH150" s="1118">
        <f t="shared" si="530"/>
        <v>380033.94867876318</v>
      </c>
      <c r="EI150" s="1119"/>
      <c r="EM150" s="1117">
        <f t="shared" si="531"/>
        <v>380033.94867876318</v>
      </c>
      <c r="EN150" s="1118">
        <f t="shared" si="532"/>
        <v>0</v>
      </c>
      <c r="EO150" s="1118">
        <f t="shared" si="533"/>
        <v>0</v>
      </c>
      <c r="EP150" s="1118">
        <f t="shared" si="534"/>
        <v>380033.94867876318</v>
      </c>
      <c r="EQ150" s="1119"/>
      <c r="EU150" s="1117">
        <f t="shared" si="535"/>
        <v>380033.94867876318</v>
      </c>
      <c r="EV150" s="1118">
        <f t="shared" si="536"/>
        <v>0</v>
      </c>
      <c r="EW150" s="1118">
        <f t="shared" si="537"/>
        <v>0</v>
      </c>
      <c r="EX150" s="1118">
        <f t="shared" si="538"/>
        <v>380033.94867876318</v>
      </c>
      <c r="EY150" s="1119"/>
      <c r="FC150" s="1117">
        <f t="shared" si="539"/>
        <v>380033.94867876318</v>
      </c>
      <c r="FD150" s="1118">
        <f t="shared" si="540"/>
        <v>0</v>
      </c>
      <c r="FE150" s="1118">
        <f t="shared" si="541"/>
        <v>0</v>
      </c>
      <c r="FF150" s="1118">
        <f t="shared" si="542"/>
        <v>380033.94867876318</v>
      </c>
      <c r="FG150" s="1119"/>
      <c r="FK150" s="1117">
        <f t="shared" si="543"/>
        <v>380033.94867876318</v>
      </c>
      <c r="FL150" s="1118">
        <f t="shared" si="544"/>
        <v>0</v>
      </c>
      <c r="FM150" s="1118">
        <f t="shared" si="545"/>
        <v>0</v>
      </c>
      <c r="FN150" s="1118">
        <f t="shared" si="546"/>
        <v>380033.94867876318</v>
      </c>
      <c r="FO150" s="1119"/>
    </row>
    <row r="151" spans="1:171" x14ac:dyDescent="0.25">
      <c r="A151" s="1421"/>
      <c r="B151" s="79" t="s">
        <v>24</v>
      </c>
      <c r="C151" s="889" t="s">
        <v>81</v>
      </c>
      <c r="D151" s="889">
        <v>256</v>
      </c>
      <c r="E151" s="182" t="str">
        <f>'Sch 1- Rate Base '!E151</f>
        <v>DIRECT</v>
      </c>
      <c r="F151" s="890"/>
      <c r="G151" s="182">
        <f>'Sch 1- Rate Base '!G151</f>
        <v>0</v>
      </c>
      <c r="H151" s="182">
        <f>'Sch 1- Rate Base '!H151</f>
        <v>0</v>
      </c>
      <c r="I151" s="182">
        <f>'Sch 1- Rate Base '!I151</f>
        <v>0</v>
      </c>
      <c r="J151" s="1422">
        <f>'Sch 1- Rate Base '!J151</f>
        <v>0</v>
      </c>
      <c r="K151" s="904">
        <f t="shared" si="466"/>
        <v>0</v>
      </c>
      <c r="O151" s="1117">
        <f t="shared" si="467"/>
        <v>0</v>
      </c>
      <c r="P151" s="1118">
        <f t="shared" si="468"/>
        <v>0</v>
      </c>
      <c r="Q151" s="1118">
        <f t="shared" si="469"/>
        <v>0</v>
      </c>
      <c r="R151" s="1118">
        <f t="shared" si="470"/>
        <v>0</v>
      </c>
      <c r="S151" s="1119"/>
      <c r="W151" s="1117">
        <f t="shared" si="471"/>
        <v>0</v>
      </c>
      <c r="X151" s="1118">
        <f t="shared" si="472"/>
        <v>0</v>
      </c>
      <c r="Y151" s="1118">
        <f t="shared" si="473"/>
        <v>0</v>
      </c>
      <c r="Z151" s="1118">
        <f t="shared" si="474"/>
        <v>0</v>
      </c>
      <c r="AA151" s="1119"/>
      <c r="AE151" s="1117">
        <f t="shared" si="475"/>
        <v>0</v>
      </c>
      <c r="AF151" s="1118">
        <f t="shared" si="476"/>
        <v>0</v>
      </c>
      <c r="AG151" s="1118">
        <f t="shared" si="477"/>
        <v>0</v>
      </c>
      <c r="AH151" s="1118">
        <f t="shared" si="478"/>
        <v>0</v>
      </c>
      <c r="AI151" s="1119"/>
      <c r="AM151" s="1117">
        <f t="shared" si="479"/>
        <v>0</v>
      </c>
      <c r="AN151" s="1118">
        <f t="shared" si="480"/>
        <v>0</v>
      </c>
      <c r="AO151" s="1118">
        <f t="shared" si="481"/>
        <v>0</v>
      </c>
      <c r="AP151" s="1118">
        <f t="shared" si="482"/>
        <v>0</v>
      </c>
      <c r="AQ151" s="1119"/>
      <c r="AU151" s="1117">
        <f t="shared" si="483"/>
        <v>0</v>
      </c>
      <c r="AV151" s="1118">
        <f t="shared" si="484"/>
        <v>0</v>
      </c>
      <c r="AW151" s="1118">
        <f t="shared" si="485"/>
        <v>0</v>
      </c>
      <c r="AX151" s="1118">
        <f t="shared" si="486"/>
        <v>0</v>
      </c>
      <c r="AY151" s="1119"/>
      <c r="BC151" s="1117">
        <f t="shared" si="487"/>
        <v>0</v>
      </c>
      <c r="BD151" s="1118">
        <f t="shared" si="488"/>
        <v>0</v>
      </c>
      <c r="BE151" s="1118">
        <f t="shared" si="489"/>
        <v>0</v>
      </c>
      <c r="BF151" s="1118">
        <f t="shared" si="490"/>
        <v>0</v>
      </c>
      <c r="BG151" s="1119"/>
      <c r="BK151" s="1117">
        <f t="shared" si="491"/>
        <v>0</v>
      </c>
      <c r="BL151" s="1118">
        <f t="shared" si="492"/>
        <v>0</v>
      </c>
      <c r="BM151" s="1118">
        <f t="shared" si="493"/>
        <v>0</v>
      </c>
      <c r="BN151" s="1118">
        <f t="shared" si="494"/>
        <v>0</v>
      </c>
      <c r="BO151" s="1119"/>
      <c r="BS151" s="1117">
        <f t="shared" si="495"/>
        <v>0</v>
      </c>
      <c r="BT151" s="1118">
        <f t="shared" si="496"/>
        <v>0</v>
      </c>
      <c r="BU151" s="1118">
        <f t="shared" si="497"/>
        <v>0</v>
      </c>
      <c r="BV151" s="1118">
        <f t="shared" si="498"/>
        <v>0</v>
      </c>
      <c r="BW151" s="1119"/>
      <c r="CA151" s="1117">
        <f t="shared" si="499"/>
        <v>0</v>
      </c>
      <c r="CB151" s="1118">
        <f t="shared" si="500"/>
        <v>0</v>
      </c>
      <c r="CC151" s="1118">
        <f t="shared" si="501"/>
        <v>0</v>
      </c>
      <c r="CD151" s="1118">
        <f t="shared" si="502"/>
        <v>0</v>
      </c>
      <c r="CE151" s="1119"/>
      <c r="CI151" s="1117">
        <f t="shared" si="503"/>
        <v>0</v>
      </c>
      <c r="CJ151" s="1118">
        <f t="shared" si="504"/>
        <v>0</v>
      </c>
      <c r="CK151" s="1118">
        <f t="shared" si="505"/>
        <v>0</v>
      </c>
      <c r="CL151" s="1118">
        <f t="shared" si="506"/>
        <v>0</v>
      </c>
      <c r="CM151" s="1119"/>
      <c r="CQ151" s="1117">
        <f t="shared" si="507"/>
        <v>0</v>
      </c>
      <c r="CR151" s="1118">
        <f t="shared" si="508"/>
        <v>0</v>
      </c>
      <c r="CS151" s="1118">
        <f t="shared" si="509"/>
        <v>0</v>
      </c>
      <c r="CT151" s="1118">
        <f t="shared" si="510"/>
        <v>0</v>
      </c>
      <c r="CU151" s="1119"/>
      <c r="CY151" s="1117">
        <f t="shared" si="511"/>
        <v>0</v>
      </c>
      <c r="CZ151" s="1118">
        <f t="shared" si="512"/>
        <v>0</v>
      </c>
      <c r="DA151" s="1118">
        <f t="shared" si="513"/>
        <v>0</v>
      </c>
      <c r="DB151" s="1118">
        <f t="shared" si="514"/>
        <v>0</v>
      </c>
      <c r="DC151" s="1119"/>
      <c r="DG151" s="1117">
        <f t="shared" si="515"/>
        <v>0</v>
      </c>
      <c r="DH151" s="1118">
        <f t="shared" si="516"/>
        <v>0</v>
      </c>
      <c r="DI151" s="1118">
        <f t="shared" si="517"/>
        <v>0</v>
      </c>
      <c r="DJ151" s="1118">
        <f t="shared" si="518"/>
        <v>0</v>
      </c>
      <c r="DK151" s="1119"/>
      <c r="DO151" s="1117">
        <f t="shared" si="519"/>
        <v>0</v>
      </c>
      <c r="DP151" s="1118">
        <f t="shared" si="520"/>
        <v>0</v>
      </c>
      <c r="DQ151" s="1118">
        <f t="shared" si="521"/>
        <v>0</v>
      </c>
      <c r="DR151" s="1118">
        <f t="shared" si="522"/>
        <v>0</v>
      </c>
      <c r="DS151" s="1119"/>
      <c r="DW151" s="1117">
        <f t="shared" si="523"/>
        <v>0</v>
      </c>
      <c r="DX151" s="1118">
        <f t="shared" si="524"/>
        <v>0</v>
      </c>
      <c r="DY151" s="1118">
        <f t="shared" si="525"/>
        <v>0</v>
      </c>
      <c r="DZ151" s="1118">
        <f t="shared" si="526"/>
        <v>0</v>
      </c>
      <c r="EA151" s="1119"/>
      <c r="EE151" s="1117">
        <f t="shared" si="527"/>
        <v>0</v>
      </c>
      <c r="EF151" s="1118">
        <f t="shared" si="528"/>
        <v>0</v>
      </c>
      <c r="EG151" s="1118">
        <f t="shared" si="529"/>
        <v>0</v>
      </c>
      <c r="EH151" s="1118">
        <f t="shared" si="530"/>
        <v>0</v>
      </c>
      <c r="EI151" s="1119"/>
      <c r="EM151" s="1117">
        <f t="shared" si="531"/>
        <v>0</v>
      </c>
      <c r="EN151" s="1118">
        <f t="shared" si="532"/>
        <v>0</v>
      </c>
      <c r="EO151" s="1118">
        <f t="shared" si="533"/>
        <v>0</v>
      </c>
      <c r="EP151" s="1118">
        <f t="shared" si="534"/>
        <v>0</v>
      </c>
      <c r="EQ151" s="1119"/>
      <c r="EU151" s="1117">
        <f t="shared" si="535"/>
        <v>0</v>
      </c>
      <c r="EV151" s="1118">
        <f t="shared" si="536"/>
        <v>0</v>
      </c>
      <c r="EW151" s="1118">
        <f t="shared" si="537"/>
        <v>0</v>
      </c>
      <c r="EX151" s="1118">
        <f t="shared" si="538"/>
        <v>0</v>
      </c>
      <c r="EY151" s="1119"/>
      <c r="FC151" s="1117">
        <f t="shared" si="539"/>
        <v>0</v>
      </c>
      <c r="FD151" s="1118">
        <f t="shared" si="540"/>
        <v>0</v>
      </c>
      <c r="FE151" s="1118">
        <f t="shared" si="541"/>
        <v>0</v>
      </c>
      <c r="FF151" s="1118">
        <f t="shared" si="542"/>
        <v>0</v>
      </c>
      <c r="FG151" s="1119"/>
      <c r="FK151" s="1117">
        <f t="shared" si="543"/>
        <v>0</v>
      </c>
      <c r="FL151" s="1118">
        <f t="shared" si="544"/>
        <v>0</v>
      </c>
      <c r="FM151" s="1118">
        <f t="shared" si="545"/>
        <v>0</v>
      </c>
      <c r="FN151" s="1118">
        <f t="shared" si="546"/>
        <v>0</v>
      </c>
      <c r="FO151" s="1119"/>
    </row>
    <row r="152" spans="1:171" x14ac:dyDescent="0.25">
      <c r="A152" s="1421"/>
      <c r="B152" s="79" t="s">
        <v>27</v>
      </c>
      <c r="C152" s="889" t="s">
        <v>81</v>
      </c>
      <c r="D152" s="889">
        <v>257</v>
      </c>
      <c r="E152" s="182" t="str">
        <f>'Sch 1- Rate Base '!E152</f>
        <v>PTDG</v>
      </c>
      <c r="F152" s="890"/>
      <c r="G152" s="182">
        <f>'Sch 1- Rate Base '!G152</f>
        <v>0</v>
      </c>
      <c r="H152" s="182">
        <f>'Sch 1- Rate Base '!H152</f>
        <v>0</v>
      </c>
      <c r="I152" s="182">
        <f>'Sch 1- Rate Base '!I152</f>
        <v>0</v>
      </c>
      <c r="J152" s="1422">
        <f>'Sch 1- Rate Base '!J152</f>
        <v>0</v>
      </c>
      <c r="K152" s="904">
        <f t="shared" si="466"/>
        <v>1</v>
      </c>
      <c r="O152" s="1117">
        <f t="shared" si="467"/>
        <v>0</v>
      </c>
      <c r="P152" s="1118">
        <f t="shared" si="468"/>
        <v>0</v>
      </c>
      <c r="Q152" s="1118">
        <f t="shared" si="469"/>
        <v>0</v>
      </c>
      <c r="R152" s="1118">
        <f t="shared" si="470"/>
        <v>0</v>
      </c>
      <c r="S152" s="1119"/>
      <c r="W152" s="1117">
        <f t="shared" si="471"/>
        <v>0</v>
      </c>
      <c r="X152" s="1118">
        <f t="shared" si="472"/>
        <v>0</v>
      </c>
      <c r="Y152" s="1118">
        <f t="shared" si="473"/>
        <v>0</v>
      </c>
      <c r="Z152" s="1118">
        <f t="shared" si="474"/>
        <v>0</v>
      </c>
      <c r="AA152" s="1119"/>
      <c r="AE152" s="1117">
        <f t="shared" si="475"/>
        <v>0</v>
      </c>
      <c r="AF152" s="1118">
        <f t="shared" si="476"/>
        <v>0</v>
      </c>
      <c r="AG152" s="1118">
        <f t="shared" si="477"/>
        <v>0</v>
      </c>
      <c r="AH152" s="1118">
        <f t="shared" si="478"/>
        <v>0</v>
      </c>
      <c r="AI152" s="1119"/>
      <c r="AM152" s="1117">
        <f t="shared" si="479"/>
        <v>0</v>
      </c>
      <c r="AN152" s="1118">
        <f t="shared" si="480"/>
        <v>0</v>
      </c>
      <c r="AO152" s="1118">
        <f t="shared" si="481"/>
        <v>0</v>
      </c>
      <c r="AP152" s="1118">
        <f t="shared" si="482"/>
        <v>0</v>
      </c>
      <c r="AQ152" s="1119"/>
      <c r="AU152" s="1117">
        <f t="shared" si="483"/>
        <v>0</v>
      </c>
      <c r="AV152" s="1118">
        <f t="shared" si="484"/>
        <v>0</v>
      </c>
      <c r="AW152" s="1118">
        <f t="shared" si="485"/>
        <v>0</v>
      </c>
      <c r="AX152" s="1118">
        <f t="shared" si="486"/>
        <v>0</v>
      </c>
      <c r="AY152" s="1119"/>
      <c r="BC152" s="1117">
        <f t="shared" si="487"/>
        <v>0</v>
      </c>
      <c r="BD152" s="1118">
        <f t="shared" si="488"/>
        <v>0</v>
      </c>
      <c r="BE152" s="1118">
        <f t="shared" si="489"/>
        <v>0</v>
      </c>
      <c r="BF152" s="1118">
        <f t="shared" si="490"/>
        <v>0</v>
      </c>
      <c r="BG152" s="1119"/>
      <c r="BK152" s="1117">
        <f t="shared" si="491"/>
        <v>0</v>
      </c>
      <c r="BL152" s="1118">
        <f t="shared" si="492"/>
        <v>0</v>
      </c>
      <c r="BM152" s="1118">
        <f t="shared" si="493"/>
        <v>0</v>
      </c>
      <c r="BN152" s="1118">
        <f t="shared" si="494"/>
        <v>0</v>
      </c>
      <c r="BO152" s="1119"/>
      <c r="BS152" s="1117">
        <f t="shared" si="495"/>
        <v>0</v>
      </c>
      <c r="BT152" s="1118">
        <f t="shared" si="496"/>
        <v>0</v>
      </c>
      <c r="BU152" s="1118">
        <f t="shared" si="497"/>
        <v>0</v>
      </c>
      <c r="BV152" s="1118">
        <f t="shared" si="498"/>
        <v>0</v>
      </c>
      <c r="BW152" s="1119"/>
      <c r="CA152" s="1117">
        <f t="shared" si="499"/>
        <v>0</v>
      </c>
      <c r="CB152" s="1118">
        <f t="shared" si="500"/>
        <v>0</v>
      </c>
      <c r="CC152" s="1118">
        <f t="shared" si="501"/>
        <v>0</v>
      </c>
      <c r="CD152" s="1118">
        <f t="shared" si="502"/>
        <v>0</v>
      </c>
      <c r="CE152" s="1119"/>
      <c r="CI152" s="1117">
        <f t="shared" si="503"/>
        <v>0</v>
      </c>
      <c r="CJ152" s="1118">
        <f t="shared" si="504"/>
        <v>0</v>
      </c>
      <c r="CK152" s="1118">
        <f t="shared" si="505"/>
        <v>0</v>
      </c>
      <c r="CL152" s="1118">
        <f t="shared" si="506"/>
        <v>0</v>
      </c>
      <c r="CM152" s="1119"/>
      <c r="CQ152" s="1117">
        <f t="shared" si="507"/>
        <v>0</v>
      </c>
      <c r="CR152" s="1118">
        <f t="shared" si="508"/>
        <v>0</v>
      </c>
      <c r="CS152" s="1118">
        <f t="shared" si="509"/>
        <v>0</v>
      </c>
      <c r="CT152" s="1118">
        <f t="shared" si="510"/>
        <v>0</v>
      </c>
      <c r="CU152" s="1119"/>
      <c r="CY152" s="1117">
        <f t="shared" si="511"/>
        <v>0</v>
      </c>
      <c r="CZ152" s="1118">
        <f t="shared" si="512"/>
        <v>0</v>
      </c>
      <c r="DA152" s="1118">
        <f t="shared" si="513"/>
        <v>0</v>
      </c>
      <c r="DB152" s="1118">
        <f t="shared" si="514"/>
        <v>0</v>
      </c>
      <c r="DC152" s="1119"/>
      <c r="DG152" s="1117">
        <f t="shared" si="515"/>
        <v>0</v>
      </c>
      <c r="DH152" s="1118">
        <f t="shared" si="516"/>
        <v>0</v>
      </c>
      <c r="DI152" s="1118">
        <f t="shared" si="517"/>
        <v>0</v>
      </c>
      <c r="DJ152" s="1118">
        <f t="shared" si="518"/>
        <v>0</v>
      </c>
      <c r="DK152" s="1119"/>
      <c r="DO152" s="1117">
        <f t="shared" si="519"/>
        <v>0</v>
      </c>
      <c r="DP152" s="1118">
        <f t="shared" si="520"/>
        <v>0</v>
      </c>
      <c r="DQ152" s="1118">
        <f t="shared" si="521"/>
        <v>0</v>
      </c>
      <c r="DR152" s="1118">
        <f t="shared" si="522"/>
        <v>0</v>
      </c>
      <c r="DS152" s="1119"/>
      <c r="DW152" s="1117">
        <f t="shared" si="523"/>
        <v>0</v>
      </c>
      <c r="DX152" s="1118">
        <f t="shared" si="524"/>
        <v>0</v>
      </c>
      <c r="DY152" s="1118">
        <f t="shared" si="525"/>
        <v>0</v>
      </c>
      <c r="DZ152" s="1118">
        <f t="shared" si="526"/>
        <v>0</v>
      </c>
      <c r="EA152" s="1119"/>
      <c r="EE152" s="1117">
        <f t="shared" si="527"/>
        <v>0</v>
      </c>
      <c r="EF152" s="1118">
        <f t="shared" si="528"/>
        <v>0</v>
      </c>
      <c r="EG152" s="1118">
        <f t="shared" si="529"/>
        <v>0</v>
      </c>
      <c r="EH152" s="1118">
        <f t="shared" si="530"/>
        <v>0</v>
      </c>
      <c r="EI152" s="1119"/>
      <c r="EM152" s="1117">
        <f t="shared" si="531"/>
        <v>0</v>
      </c>
      <c r="EN152" s="1118">
        <f t="shared" si="532"/>
        <v>0</v>
      </c>
      <c r="EO152" s="1118">
        <f t="shared" si="533"/>
        <v>0</v>
      </c>
      <c r="EP152" s="1118">
        <f t="shared" si="534"/>
        <v>0</v>
      </c>
      <c r="EQ152" s="1119"/>
      <c r="EU152" s="1117">
        <f t="shared" si="535"/>
        <v>0</v>
      </c>
      <c r="EV152" s="1118">
        <f t="shared" si="536"/>
        <v>0</v>
      </c>
      <c r="EW152" s="1118">
        <f t="shared" si="537"/>
        <v>0</v>
      </c>
      <c r="EX152" s="1118">
        <f t="shared" si="538"/>
        <v>0</v>
      </c>
      <c r="EY152" s="1119"/>
      <c r="FC152" s="1117">
        <f t="shared" si="539"/>
        <v>0</v>
      </c>
      <c r="FD152" s="1118">
        <f t="shared" si="540"/>
        <v>0</v>
      </c>
      <c r="FE152" s="1118">
        <f t="shared" si="541"/>
        <v>0</v>
      </c>
      <c r="FF152" s="1118">
        <f t="shared" si="542"/>
        <v>0</v>
      </c>
      <c r="FG152" s="1119"/>
      <c r="FK152" s="1117">
        <f t="shared" si="543"/>
        <v>0</v>
      </c>
      <c r="FL152" s="1118">
        <f t="shared" si="544"/>
        <v>0</v>
      </c>
      <c r="FM152" s="1118">
        <f t="shared" si="545"/>
        <v>0</v>
      </c>
      <c r="FN152" s="1118">
        <f t="shared" si="546"/>
        <v>0</v>
      </c>
      <c r="FO152" s="1119"/>
    </row>
    <row r="153" spans="1:171" x14ac:dyDescent="0.25">
      <c r="A153" s="1421"/>
      <c r="B153" s="79" t="s">
        <v>31</v>
      </c>
      <c r="C153" s="889" t="s">
        <v>81</v>
      </c>
      <c r="D153" s="889">
        <v>281</v>
      </c>
      <c r="E153" s="182" t="str">
        <f>'Sch 1- Rate Base '!E153</f>
        <v>DIST</v>
      </c>
      <c r="F153" s="890"/>
      <c r="G153" s="182">
        <f>'Sch 1- Rate Base '!G153</f>
        <v>49345436.339833371</v>
      </c>
      <c r="H153" s="182">
        <f>'Sch 1- Rate Base '!H153</f>
        <v>0</v>
      </c>
      <c r="I153" s="182">
        <f>'Sch 1- Rate Base '!I153</f>
        <v>0</v>
      </c>
      <c r="J153" s="1422">
        <f>'Sch 1- Rate Base '!J153</f>
        <v>49345436.339833371</v>
      </c>
      <c r="K153" s="904">
        <f t="shared" si="466"/>
        <v>1</v>
      </c>
      <c r="O153" s="1117">
        <f t="shared" si="467"/>
        <v>49345436.339833371</v>
      </c>
      <c r="P153" s="1118">
        <f t="shared" si="468"/>
        <v>0</v>
      </c>
      <c r="Q153" s="1118">
        <f t="shared" si="469"/>
        <v>0</v>
      </c>
      <c r="R153" s="1118">
        <f t="shared" si="470"/>
        <v>49345436.339833371</v>
      </c>
      <c r="S153" s="1119"/>
      <c r="W153" s="1117">
        <f t="shared" si="471"/>
        <v>49345436.339833371</v>
      </c>
      <c r="X153" s="1118">
        <f t="shared" si="472"/>
        <v>0</v>
      </c>
      <c r="Y153" s="1118">
        <f t="shared" si="473"/>
        <v>0</v>
      </c>
      <c r="Z153" s="1118">
        <f t="shared" si="474"/>
        <v>49345436.339833371</v>
      </c>
      <c r="AA153" s="1119"/>
      <c r="AE153" s="1117">
        <f t="shared" si="475"/>
        <v>49345436.339833371</v>
      </c>
      <c r="AF153" s="1118">
        <f t="shared" si="476"/>
        <v>0</v>
      </c>
      <c r="AG153" s="1118">
        <f t="shared" si="477"/>
        <v>0</v>
      </c>
      <c r="AH153" s="1118">
        <f t="shared" si="478"/>
        <v>49345436.339833371</v>
      </c>
      <c r="AI153" s="1119"/>
      <c r="AM153" s="1117">
        <f t="shared" si="479"/>
        <v>49345436.339833371</v>
      </c>
      <c r="AN153" s="1118">
        <f t="shared" si="480"/>
        <v>0</v>
      </c>
      <c r="AO153" s="1118">
        <f t="shared" si="481"/>
        <v>0</v>
      </c>
      <c r="AP153" s="1118">
        <f t="shared" si="482"/>
        <v>49345436.339833371</v>
      </c>
      <c r="AQ153" s="1119"/>
      <c r="AU153" s="1117">
        <f t="shared" si="483"/>
        <v>49345436.339833371</v>
      </c>
      <c r="AV153" s="1118">
        <f t="shared" si="484"/>
        <v>0</v>
      </c>
      <c r="AW153" s="1118">
        <f t="shared" si="485"/>
        <v>0</v>
      </c>
      <c r="AX153" s="1118">
        <f t="shared" si="486"/>
        <v>49345436.339833371</v>
      </c>
      <c r="AY153" s="1119"/>
      <c r="BC153" s="1117">
        <f t="shared" si="487"/>
        <v>49345436.339833371</v>
      </c>
      <c r="BD153" s="1118">
        <f t="shared" si="488"/>
        <v>0</v>
      </c>
      <c r="BE153" s="1118">
        <f t="shared" si="489"/>
        <v>0</v>
      </c>
      <c r="BF153" s="1118">
        <f t="shared" si="490"/>
        <v>49345436.339833371</v>
      </c>
      <c r="BG153" s="1119"/>
      <c r="BK153" s="1117">
        <f t="shared" si="491"/>
        <v>49345436.339833371</v>
      </c>
      <c r="BL153" s="1118">
        <f t="shared" si="492"/>
        <v>0</v>
      </c>
      <c r="BM153" s="1118">
        <f t="shared" si="493"/>
        <v>0</v>
      </c>
      <c r="BN153" s="1118">
        <f t="shared" si="494"/>
        <v>49345436.339833371</v>
      </c>
      <c r="BO153" s="1119"/>
      <c r="BS153" s="1117">
        <f t="shared" si="495"/>
        <v>49345436.339833371</v>
      </c>
      <c r="BT153" s="1118">
        <f t="shared" si="496"/>
        <v>0</v>
      </c>
      <c r="BU153" s="1118">
        <f t="shared" si="497"/>
        <v>0</v>
      </c>
      <c r="BV153" s="1118">
        <f t="shared" si="498"/>
        <v>49345436.339833371</v>
      </c>
      <c r="BW153" s="1119"/>
      <c r="CA153" s="1117">
        <f t="shared" si="499"/>
        <v>49345436.339833371</v>
      </c>
      <c r="CB153" s="1118">
        <f t="shared" si="500"/>
        <v>0</v>
      </c>
      <c r="CC153" s="1118">
        <f t="shared" si="501"/>
        <v>0</v>
      </c>
      <c r="CD153" s="1118">
        <f t="shared" si="502"/>
        <v>49345436.339833371</v>
      </c>
      <c r="CE153" s="1119"/>
      <c r="CI153" s="1117">
        <f t="shared" si="503"/>
        <v>49345436.339833371</v>
      </c>
      <c r="CJ153" s="1118">
        <f t="shared" si="504"/>
        <v>0</v>
      </c>
      <c r="CK153" s="1118">
        <f t="shared" si="505"/>
        <v>0</v>
      </c>
      <c r="CL153" s="1118">
        <f t="shared" si="506"/>
        <v>49345436.339833371</v>
      </c>
      <c r="CM153" s="1119"/>
      <c r="CQ153" s="1117">
        <f t="shared" si="507"/>
        <v>49345436.339833371</v>
      </c>
      <c r="CR153" s="1118">
        <f t="shared" si="508"/>
        <v>0</v>
      </c>
      <c r="CS153" s="1118">
        <f t="shared" si="509"/>
        <v>0</v>
      </c>
      <c r="CT153" s="1118">
        <f t="shared" si="510"/>
        <v>49345436.339833371</v>
      </c>
      <c r="CU153" s="1119"/>
      <c r="CY153" s="1117">
        <f t="shared" si="511"/>
        <v>49345436.339833371</v>
      </c>
      <c r="CZ153" s="1118">
        <f t="shared" si="512"/>
        <v>0</v>
      </c>
      <c r="DA153" s="1118">
        <f t="shared" si="513"/>
        <v>0</v>
      </c>
      <c r="DB153" s="1118">
        <f t="shared" si="514"/>
        <v>49345436.339833371</v>
      </c>
      <c r="DC153" s="1119"/>
      <c r="DG153" s="1117">
        <f t="shared" si="515"/>
        <v>49345436.339833371</v>
      </c>
      <c r="DH153" s="1118">
        <f t="shared" si="516"/>
        <v>0</v>
      </c>
      <c r="DI153" s="1118">
        <f t="shared" si="517"/>
        <v>0</v>
      </c>
      <c r="DJ153" s="1118">
        <f t="shared" si="518"/>
        <v>49345436.339833371</v>
      </c>
      <c r="DK153" s="1119"/>
      <c r="DO153" s="1117">
        <f t="shared" si="519"/>
        <v>49345436.339833371</v>
      </c>
      <c r="DP153" s="1118">
        <f t="shared" si="520"/>
        <v>0</v>
      </c>
      <c r="DQ153" s="1118">
        <f t="shared" si="521"/>
        <v>0</v>
      </c>
      <c r="DR153" s="1118">
        <f t="shared" si="522"/>
        <v>49345436.339833371</v>
      </c>
      <c r="DS153" s="1119"/>
      <c r="DW153" s="1117">
        <f t="shared" si="523"/>
        <v>49345436.339833371</v>
      </c>
      <c r="DX153" s="1118">
        <f t="shared" si="524"/>
        <v>0</v>
      </c>
      <c r="DY153" s="1118">
        <f t="shared" si="525"/>
        <v>0</v>
      </c>
      <c r="DZ153" s="1118">
        <f t="shared" si="526"/>
        <v>49345436.339833371</v>
      </c>
      <c r="EA153" s="1119"/>
      <c r="EE153" s="1117">
        <f t="shared" si="527"/>
        <v>49345436.339833371</v>
      </c>
      <c r="EF153" s="1118">
        <f t="shared" si="528"/>
        <v>0</v>
      </c>
      <c r="EG153" s="1118">
        <f t="shared" si="529"/>
        <v>0</v>
      </c>
      <c r="EH153" s="1118">
        <f t="shared" si="530"/>
        <v>49345436.339833371</v>
      </c>
      <c r="EI153" s="1119"/>
      <c r="EM153" s="1117">
        <f t="shared" si="531"/>
        <v>49345436.339833371</v>
      </c>
      <c r="EN153" s="1118">
        <f t="shared" si="532"/>
        <v>0</v>
      </c>
      <c r="EO153" s="1118">
        <f t="shared" si="533"/>
        <v>0</v>
      </c>
      <c r="EP153" s="1118">
        <f t="shared" si="534"/>
        <v>49345436.339833371</v>
      </c>
      <c r="EQ153" s="1119"/>
      <c r="EU153" s="1117">
        <f t="shared" si="535"/>
        <v>49345436.339833371</v>
      </c>
      <c r="EV153" s="1118">
        <f t="shared" si="536"/>
        <v>0</v>
      </c>
      <c r="EW153" s="1118">
        <f t="shared" si="537"/>
        <v>0</v>
      </c>
      <c r="EX153" s="1118">
        <f t="shared" si="538"/>
        <v>49345436.339833371</v>
      </c>
      <c r="EY153" s="1119"/>
      <c r="FC153" s="1117">
        <f t="shared" si="539"/>
        <v>49345436.339833371</v>
      </c>
      <c r="FD153" s="1118">
        <f t="shared" si="540"/>
        <v>0</v>
      </c>
      <c r="FE153" s="1118">
        <f t="shared" si="541"/>
        <v>0</v>
      </c>
      <c r="FF153" s="1118">
        <f t="shared" si="542"/>
        <v>49345436.339833371</v>
      </c>
      <c r="FG153" s="1119"/>
      <c r="FK153" s="1117">
        <f t="shared" si="543"/>
        <v>49345436.339833371</v>
      </c>
      <c r="FL153" s="1118">
        <f t="shared" si="544"/>
        <v>0</v>
      </c>
      <c r="FM153" s="1118">
        <f t="shared" si="545"/>
        <v>0</v>
      </c>
      <c r="FN153" s="1118">
        <f t="shared" si="546"/>
        <v>49345436.339833371</v>
      </c>
      <c r="FO153" s="1119"/>
    </row>
    <row r="154" spans="1:171" x14ac:dyDescent="0.25">
      <c r="A154" s="1421"/>
      <c r="B154" s="79" t="s">
        <v>32</v>
      </c>
      <c r="C154" s="889" t="s">
        <v>81</v>
      </c>
      <c r="D154" s="889">
        <v>282</v>
      </c>
      <c r="E154" s="182" t="str">
        <f>'Sch 1- Rate Base '!E154</f>
        <v>DIST</v>
      </c>
      <c r="F154" s="890"/>
      <c r="G154" s="182">
        <f>'Sch 1- Rate Base '!G154</f>
        <v>1235537678.297518</v>
      </c>
      <c r="H154" s="182">
        <f>'Sch 1- Rate Base '!H154</f>
        <v>0</v>
      </c>
      <c r="I154" s="182">
        <f>'Sch 1- Rate Base '!I154</f>
        <v>0</v>
      </c>
      <c r="J154" s="1422">
        <f>'Sch 1- Rate Base '!J154</f>
        <v>1235537678.297518</v>
      </c>
      <c r="K154" s="904">
        <f t="shared" si="466"/>
        <v>1</v>
      </c>
      <c r="O154" s="1117">
        <f t="shared" si="467"/>
        <v>1235537678.297518</v>
      </c>
      <c r="P154" s="1118">
        <f t="shared" si="468"/>
        <v>0</v>
      </c>
      <c r="Q154" s="1118">
        <f t="shared" si="469"/>
        <v>0</v>
      </c>
      <c r="R154" s="1118">
        <f t="shared" si="470"/>
        <v>1235537678.297518</v>
      </c>
      <c r="S154" s="1119"/>
      <c r="W154" s="1117">
        <f t="shared" si="471"/>
        <v>1235537678.297518</v>
      </c>
      <c r="X154" s="1118">
        <f t="shared" si="472"/>
        <v>0</v>
      </c>
      <c r="Y154" s="1118">
        <f t="shared" si="473"/>
        <v>0</v>
      </c>
      <c r="Z154" s="1118">
        <f t="shared" si="474"/>
        <v>1235537678.297518</v>
      </c>
      <c r="AA154" s="1119"/>
      <c r="AE154" s="1117">
        <f t="shared" si="475"/>
        <v>1235537678.297518</v>
      </c>
      <c r="AF154" s="1118">
        <f t="shared" si="476"/>
        <v>0</v>
      </c>
      <c r="AG154" s="1118">
        <f t="shared" si="477"/>
        <v>0</v>
      </c>
      <c r="AH154" s="1118">
        <f t="shared" si="478"/>
        <v>1235537678.297518</v>
      </c>
      <c r="AI154" s="1119"/>
      <c r="AM154" s="1117">
        <f t="shared" si="479"/>
        <v>1235537678.297518</v>
      </c>
      <c r="AN154" s="1118">
        <f t="shared" si="480"/>
        <v>0</v>
      </c>
      <c r="AO154" s="1118">
        <f t="shared" si="481"/>
        <v>0</v>
      </c>
      <c r="AP154" s="1118">
        <f t="shared" si="482"/>
        <v>1235537678.297518</v>
      </c>
      <c r="AQ154" s="1119"/>
      <c r="AU154" s="1117">
        <f t="shared" si="483"/>
        <v>1235537678.297518</v>
      </c>
      <c r="AV154" s="1118">
        <f t="shared" si="484"/>
        <v>0</v>
      </c>
      <c r="AW154" s="1118">
        <f t="shared" si="485"/>
        <v>0</v>
      </c>
      <c r="AX154" s="1118">
        <f t="shared" si="486"/>
        <v>1235537678.297518</v>
      </c>
      <c r="AY154" s="1119"/>
      <c r="BC154" s="1117">
        <f t="shared" si="487"/>
        <v>1235537678.297518</v>
      </c>
      <c r="BD154" s="1118">
        <f t="shared" si="488"/>
        <v>0</v>
      </c>
      <c r="BE154" s="1118">
        <f t="shared" si="489"/>
        <v>0</v>
      </c>
      <c r="BF154" s="1118">
        <f t="shared" si="490"/>
        <v>1235537678.297518</v>
      </c>
      <c r="BG154" s="1119"/>
      <c r="BK154" s="1117">
        <f t="shared" si="491"/>
        <v>1235537678.297518</v>
      </c>
      <c r="BL154" s="1118">
        <f t="shared" si="492"/>
        <v>0</v>
      </c>
      <c r="BM154" s="1118">
        <f t="shared" si="493"/>
        <v>0</v>
      </c>
      <c r="BN154" s="1118">
        <f t="shared" si="494"/>
        <v>1235537678.297518</v>
      </c>
      <c r="BO154" s="1119"/>
      <c r="BS154" s="1117">
        <f t="shared" si="495"/>
        <v>1235537678.297518</v>
      </c>
      <c r="BT154" s="1118">
        <f t="shared" si="496"/>
        <v>0</v>
      </c>
      <c r="BU154" s="1118">
        <f t="shared" si="497"/>
        <v>0</v>
      </c>
      <c r="BV154" s="1118">
        <f t="shared" si="498"/>
        <v>1235537678.297518</v>
      </c>
      <c r="BW154" s="1119"/>
      <c r="CA154" s="1117">
        <f t="shared" si="499"/>
        <v>1235537678.297518</v>
      </c>
      <c r="CB154" s="1118">
        <f t="shared" si="500"/>
        <v>0</v>
      </c>
      <c r="CC154" s="1118">
        <f t="shared" si="501"/>
        <v>0</v>
      </c>
      <c r="CD154" s="1118">
        <f t="shared" si="502"/>
        <v>1235537678.297518</v>
      </c>
      <c r="CE154" s="1119"/>
      <c r="CI154" s="1117">
        <f t="shared" si="503"/>
        <v>1235537678.297518</v>
      </c>
      <c r="CJ154" s="1118">
        <f t="shared" si="504"/>
        <v>0</v>
      </c>
      <c r="CK154" s="1118">
        <f t="shared" si="505"/>
        <v>0</v>
      </c>
      <c r="CL154" s="1118">
        <f t="shared" si="506"/>
        <v>1235537678.297518</v>
      </c>
      <c r="CM154" s="1119"/>
      <c r="CQ154" s="1117">
        <f t="shared" si="507"/>
        <v>1235537678.297518</v>
      </c>
      <c r="CR154" s="1118">
        <f t="shared" si="508"/>
        <v>0</v>
      </c>
      <c r="CS154" s="1118">
        <f t="shared" si="509"/>
        <v>0</v>
      </c>
      <c r="CT154" s="1118">
        <f t="shared" si="510"/>
        <v>1235537678.297518</v>
      </c>
      <c r="CU154" s="1119"/>
      <c r="CY154" s="1117">
        <f t="shared" si="511"/>
        <v>1235537678.297518</v>
      </c>
      <c r="CZ154" s="1118">
        <f t="shared" si="512"/>
        <v>0</v>
      </c>
      <c r="DA154" s="1118">
        <f t="shared" si="513"/>
        <v>0</v>
      </c>
      <c r="DB154" s="1118">
        <f t="shared" si="514"/>
        <v>1235537678.297518</v>
      </c>
      <c r="DC154" s="1119"/>
      <c r="DG154" s="1117">
        <f t="shared" si="515"/>
        <v>1235537678.297518</v>
      </c>
      <c r="DH154" s="1118">
        <f t="shared" si="516"/>
        <v>0</v>
      </c>
      <c r="DI154" s="1118">
        <f t="shared" si="517"/>
        <v>0</v>
      </c>
      <c r="DJ154" s="1118">
        <f t="shared" si="518"/>
        <v>1235537678.297518</v>
      </c>
      <c r="DK154" s="1119"/>
      <c r="DO154" s="1117">
        <f t="shared" si="519"/>
        <v>1235537678.297518</v>
      </c>
      <c r="DP154" s="1118">
        <f t="shared" si="520"/>
        <v>0</v>
      </c>
      <c r="DQ154" s="1118">
        <f t="shared" si="521"/>
        <v>0</v>
      </c>
      <c r="DR154" s="1118">
        <f t="shared" si="522"/>
        <v>1235537678.297518</v>
      </c>
      <c r="DS154" s="1119"/>
      <c r="DW154" s="1117">
        <f t="shared" si="523"/>
        <v>1235537678.297518</v>
      </c>
      <c r="DX154" s="1118">
        <f t="shared" si="524"/>
        <v>0</v>
      </c>
      <c r="DY154" s="1118">
        <f t="shared" si="525"/>
        <v>0</v>
      </c>
      <c r="DZ154" s="1118">
        <f t="shared" si="526"/>
        <v>1235537678.297518</v>
      </c>
      <c r="EA154" s="1119"/>
      <c r="EE154" s="1117">
        <f t="shared" si="527"/>
        <v>1235537678.297518</v>
      </c>
      <c r="EF154" s="1118">
        <f t="shared" si="528"/>
        <v>0</v>
      </c>
      <c r="EG154" s="1118">
        <f t="shared" si="529"/>
        <v>0</v>
      </c>
      <c r="EH154" s="1118">
        <f t="shared" si="530"/>
        <v>1235537678.297518</v>
      </c>
      <c r="EI154" s="1119"/>
      <c r="EM154" s="1117">
        <f t="shared" si="531"/>
        <v>1235537678.297518</v>
      </c>
      <c r="EN154" s="1118">
        <f t="shared" si="532"/>
        <v>0</v>
      </c>
      <c r="EO154" s="1118">
        <f t="shared" si="533"/>
        <v>0</v>
      </c>
      <c r="EP154" s="1118">
        <f t="shared" si="534"/>
        <v>1235537678.297518</v>
      </c>
      <c r="EQ154" s="1119"/>
      <c r="EU154" s="1117">
        <f t="shared" si="535"/>
        <v>1235537678.297518</v>
      </c>
      <c r="EV154" s="1118">
        <f t="shared" si="536"/>
        <v>0</v>
      </c>
      <c r="EW154" s="1118">
        <f t="shared" si="537"/>
        <v>0</v>
      </c>
      <c r="EX154" s="1118">
        <f t="shared" si="538"/>
        <v>1235537678.297518</v>
      </c>
      <c r="EY154" s="1119"/>
      <c r="FC154" s="1117">
        <f t="shared" si="539"/>
        <v>1235537678.297518</v>
      </c>
      <c r="FD154" s="1118">
        <f t="shared" si="540"/>
        <v>0</v>
      </c>
      <c r="FE154" s="1118">
        <f t="shared" si="541"/>
        <v>0</v>
      </c>
      <c r="FF154" s="1118">
        <f t="shared" si="542"/>
        <v>1235537678.297518</v>
      </c>
      <c r="FG154" s="1119"/>
      <c r="FK154" s="1117">
        <f t="shared" si="543"/>
        <v>1235537678.297518</v>
      </c>
      <c r="FL154" s="1118">
        <f t="shared" si="544"/>
        <v>0</v>
      </c>
      <c r="FM154" s="1118">
        <f t="shared" si="545"/>
        <v>0</v>
      </c>
      <c r="FN154" s="1118">
        <f t="shared" si="546"/>
        <v>1235537678.297518</v>
      </c>
      <c r="FO154" s="1119"/>
    </row>
    <row r="155" spans="1:171" x14ac:dyDescent="0.25">
      <c r="A155" s="1421"/>
      <c r="B155" s="79" t="s">
        <v>33</v>
      </c>
      <c r="C155" s="889" t="s">
        <v>81</v>
      </c>
      <c r="D155" s="889">
        <v>283</v>
      </c>
      <c r="E155" s="182" t="str">
        <f>'Sch 1- Rate Base '!E155</f>
        <v>DIST</v>
      </c>
      <c r="F155" s="890"/>
      <c r="G155" s="182">
        <f>'Sch 1- Rate Base '!G155</f>
        <v>92165168.090324983</v>
      </c>
      <c r="H155" s="182">
        <f>'Sch 1- Rate Base '!H155</f>
        <v>0</v>
      </c>
      <c r="I155" s="182">
        <f>'Sch 1- Rate Base '!I155</f>
        <v>0</v>
      </c>
      <c r="J155" s="1422">
        <f>'Sch 1- Rate Base '!J155</f>
        <v>92165168.090324983</v>
      </c>
      <c r="K155" s="904">
        <f t="shared" si="466"/>
        <v>1</v>
      </c>
      <c r="O155" s="1117">
        <f t="shared" si="467"/>
        <v>92165168.090324983</v>
      </c>
      <c r="P155" s="1118">
        <f t="shared" si="468"/>
        <v>0</v>
      </c>
      <c r="Q155" s="1118">
        <f t="shared" si="469"/>
        <v>0</v>
      </c>
      <c r="R155" s="1118">
        <f t="shared" si="470"/>
        <v>92165168.090324983</v>
      </c>
      <c r="S155" s="1119"/>
      <c r="W155" s="1117">
        <f t="shared" si="471"/>
        <v>92165168.090324983</v>
      </c>
      <c r="X155" s="1118">
        <f t="shared" si="472"/>
        <v>0</v>
      </c>
      <c r="Y155" s="1118">
        <f t="shared" si="473"/>
        <v>0</v>
      </c>
      <c r="Z155" s="1118">
        <f t="shared" si="474"/>
        <v>92165168.090324983</v>
      </c>
      <c r="AA155" s="1119"/>
      <c r="AE155" s="1117">
        <f t="shared" si="475"/>
        <v>92165168.090324983</v>
      </c>
      <c r="AF155" s="1118">
        <f t="shared" si="476"/>
        <v>0</v>
      </c>
      <c r="AG155" s="1118">
        <f t="shared" si="477"/>
        <v>0</v>
      </c>
      <c r="AH155" s="1118">
        <f t="shared" si="478"/>
        <v>92165168.090324983</v>
      </c>
      <c r="AI155" s="1119"/>
      <c r="AM155" s="1117">
        <f t="shared" si="479"/>
        <v>92165168.090324983</v>
      </c>
      <c r="AN155" s="1118">
        <f t="shared" si="480"/>
        <v>0</v>
      </c>
      <c r="AO155" s="1118">
        <f t="shared" si="481"/>
        <v>0</v>
      </c>
      <c r="AP155" s="1118">
        <f t="shared" si="482"/>
        <v>92165168.090324983</v>
      </c>
      <c r="AQ155" s="1119"/>
      <c r="AU155" s="1117">
        <f t="shared" si="483"/>
        <v>92165168.090324983</v>
      </c>
      <c r="AV155" s="1118">
        <f t="shared" si="484"/>
        <v>0</v>
      </c>
      <c r="AW155" s="1118">
        <f t="shared" si="485"/>
        <v>0</v>
      </c>
      <c r="AX155" s="1118">
        <f t="shared" si="486"/>
        <v>92165168.090324983</v>
      </c>
      <c r="AY155" s="1119"/>
      <c r="BC155" s="1117">
        <f t="shared" si="487"/>
        <v>92165168.090324983</v>
      </c>
      <c r="BD155" s="1118">
        <f t="shared" si="488"/>
        <v>0</v>
      </c>
      <c r="BE155" s="1118">
        <f t="shared" si="489"/>
        <v>0</v>
      </c>
      <c r="BF155" s="1118">
        <f t="shared" si="490"/>
        <v>92165168.090324983</v>
      </c>
      <c r="BG155" s="1119"/>
      <c r="BK155" s="1117">
        <f t="shared" si="491"/>
        <v>92165168.090324983</v>
      </c>
      <c r="BL155" s="1118">
        <f t="shared" si="492"/>
        <v>0</v>
      </c>
      <c r="BM155" s="1118">
        <f t="shared" si="493"/>
        <v>0</v>
      </c>
      <c r="BN155" s="1118">
        <f t="shared" si="494"/>
        <v>92165168.090324983</v>
      </c>
      <c r="BO155" s="1119"/>
      <c r="BS155" s="1117">
        <f t="shared" si="495"/>
        <v>92165168.090324983</v>
      </c>
      <c r="BT155" s="1118">
        <f t="shared" si="496"/>
        <v>0</v>
      </c>
      <c r="BU155" s="1118">
        <f t="shared" si="497"/>
        <v>0</v>
      </c>
      <c r="BV155" s="1118">
        <f t="shared" si="498"/>
        <v>92165168.090324983</v>
      </c>
      <c r="BW155" s="1119"/>
      <c r="CA155" s="1117">
        <f t="shared" si="499"/>
        <v>92165168.090324983</v>
      </c>
      <c r="CB155" s="1118">
        <f t="shared" si="500"/>
        <v>0</v>
      </c>
      <c r="CC155" s="1118">
        <f t="shared" si="501"/>
        <v>0</v>
      </c>
      <c r="CD155" s="1118">
        <f t="shared" si="502"/>
        <v>92165168.090324983</v>
      </c>
      <c r="CE155" s="1119"/>
      <c r="CI155" s="1117">
        <f t="shared" si="503"/>
        <v>92165168.090324983</v>
      </c>
      <c r="CJ155" s="1118">
        <f t="shared" si="504"/>
        <v>0</v>
      </c>
      <c r="CK155" s="1118">
        <f t="shared" si="505"/>
        <v>0</v>
      </c>
      <c r="CL155" s="1118">
        <f t="shared" si="506"/>
        <v>92165168.090324983</v>
      </c>
      <c r="CM155" s="1119"/>
      <c r="CQ155" s="1117">
        <f t="shared" si="507"/>
        <v>92165168.090324983</v>
      </c>
      <c r="CR155" s="1118">
        <f t="shared" si="508"/>
        <v>0</v>
      </c>
      <c r="CS155" s="1118">
        <f t="shared" si="509"/>
        <v>0</v>
      </c>
      <c r="CT155" s="1118">
        <f t="shared" si="510"/>
        <v>92165168.090324983</v>
      </c>
      <c r="CU155" s="1119"/>
      <c r="CY155" s="1117">
        <f t="shared" si="511"/>
        <v>92165168.090324983</v>
      </c>
      <c r="CZ155" s="1118">
        <f t="shared" si="512"/>
        <v>0</v>
      </c>
      <c r="DA155" s="1118">
        <f t="shared" si="513"/>
        <v>0</v>
      </c>
      <c r="DB155" s="1118">
        <f t="shared" si="514"/>
        <v>92165168.090324983</v>
      </c>
      <c r="DC155" s="1119"/>
      <c r="DG155" s="1117">
        <f t="shared" si="515"/>
        <v>92165168.090324983</v>
      </c>
      <c r="DH155" s="1118">
        <f t="shared" si="516"/>
        <v>0</v>
      </c>
      <c r="DI155" s="1118">
        <f t="shared" si="517"/>
        <v>0</v>
      </c>
      <c r="DJ155" s="1118">
        <f t="shared" si="518"/>
        <v>92165168.090324983</v>
      </c>
      <c r="DK155" s="1119"/>
      <c r="DO155" s="1117">
        <f t="shared" si="519"/>
        <v>92165168.090324983</v>
      </c>
      <c r="DP155" s="1118">
        <f t="shared" si="520"/>
        <v>0</v>
      </c>
      <c r="DQ155" s="1118">
        <f t="shared" si="521"/>
        <v>0</v>
      </c>
      <c r="DR155" s="1118">
        <f t="shared" si="522"/>
        <v>92165168.090324983</v>
      </c>
      <c r="DS155" s="1119"/>
      <c r="DW155" s="1117">
        <f t="shared" si="523"/>
        <v>92165168.090324983</v>
      </c>
      <c r="DX155" s="1118">
        <f t="shared" si="524"/>
        <v>0</v>
      </c>
      <c r="DY155" s="1118">
        <f t="shared" si="525"/>
        <v>0</v>
      </c>
      <c r="DZ155" s="1118">
        <f t="shared" si="526"/>
        <v>92165168.090324983</v>
      </c>
      <c r="EA155" s="1119"/>
      <c r="EE155" s="1117">
        <f t="shared" si="527"/>
        <v>92165168.090324983</v>
      </c>
      <c r="EF155" s="1118">
        <f t="shared" si="528"/>
        <v>0</v>
      </c>
      <c r="EG155" s="1118">
        <f t="shared" si="529"/>
        <v>0</v>
      </c>
      <c r="EH155" s="1118">
        <f t="shared" si="530"/>
        <v>92165168.090324983</v>
      </c>
      <c r="EI155" s="1119"/>
      <c r="EM155" s="1117">
        <f t="shared" si="531"/>
        <v>92165168.090324983</v>
      </c>
      <c r="EN155" s="1118">
        <f t="shared" si="532"/>
        <v>0</v>
      </c>
      <c r="EO155" s="1118">
        <f t="shared" si="533"/>
        <v>0</v>
      </c>
      <c r="EP155" s="1118">
        <f t="shared" si="534"/>
        <v>92165168.090324983</v>
      </c>
      <c r="EQ155" s="1119"/>
      <c r="EU155" s="1117">
        <f t="shared" si="535"/>
        <v>92165168.090324983</v>
      </c>
      <c r="EV155" s="1118">
        <f t="shared" si="536"/>
        <v>0</v>
      </c>
      <c r="EW155" s="1118">
        <f t="shared" si="537"/>
        <v>0</v>
      </c>
      <c r="EX155" s="1118">
        <f t="shared" si="538"/>
        <v>92165168.090324983</v>
      </c>
      <c r="EY155" s="1119"/>
      <c r="FC155" s="1117">
        <f t="shared" si="539"/>
        <v>92165168.090324983</v>
      </c>
      <c r="FD155" s="1118">
        <f t="shared" si="540"/>
        <v>0</v>
      </c>
      <c r="FE155" s="1118">
        <f t="shared" si="541"/>
        <v>0</v>
      </c>
      <c r="FF155" s="1118">
        <f t="shared" si="542"/>
        <v>92165168.090324983</v>
      </c>
      <c r="FG155" s="1119"/>
      <c r="FK155" s="1117">
        <f t="shared" si="543"/>
        <v>92165168.090324983</v>
      </c>
      <c r="FL155" s="1118">
        <f t="shared" si="544"/>
        <v>0</v>
      </c>
      <c r="FM155" s="1118">
        <f t="shared" si="545"/>
        <v>0</v>
      </c>
      <c r="FN155" s="1118">
        <f t="shared" si="546"/>
        <v>92165168.090324983</v>
      </c>
      <c r="FO155" s="1119"/>
    </row>
    <row r="156" spans="1:171" x14ac:dyDescent="0.25">
      <c r="A156" s="1421"/>
      <c r="B156" s="848" t="s">
        <v>104</v>
      </c>
      <c r="C156" s="915"/>
      <c r="D156" s="916"/>
      <c r="E156" s="916"/>
      <c r="F156" s="917"/>
      <c r="G156" s="924">
        <f>SUM(G147:G155)</f>
        <v>2197962142.5857182</v>
      </c>
      <c r="H156" s="924">
        <f>SUM(H147:H155)</f>
        <v>87628891.689385355</v>
      </c>
      <c r="I156" s="924">
        <f>SUM(I147:I155)</f>
        <v>0</v>
      </c>
      <c r="J156" s="1429">
        <f>SUM(J147:J155)</f>
        <v>2110333250.8963327</v>
      </c>
      <c r="K156" s="904"/>
      <c r="O156" s="1127">
        <f>SUM(O147:O155)</f>
        <v>2197962142.5857182</v>
      </c>
      <c r="P156" s="1127">
        <f>SUM(P147:P155)</f>
        <v>87628891.689385355</v>
      </c>
      <c r="Q156" s="1127">
        <f>SUM(Q147:Q155)</f>
        <v>0</v>
      </c>
      <c r="R156" s="1127">
        <f>SUM(R147:R155)</f>
        <v>2110333250.8963327</v>
      </c>
      <c r="S156" s="1119"/>
      <c r="W156" s="1127">
        <f>SUM(W147:W155)</f>
        <v>2197962142.5857182</v>
      </c>
      <c r="X156" s="1127">
        <f>SUM(X147:X155)</f>
        <v>87628891.689385355</v>
      </c>
      <c r="Y156" s="1127">
        <f>SUM(Y147:Y155)</f>
        <v>0</v>
      </c>
      <c r="Z156" s="1127">
        <f>SUM(Z147:Z155)</f>
        <v>2110333250.8963327</v>
      </c>
      <c r="AA156" s="1119"/>
      <c r="AE156" s="1127">
        <f>SUM(AE147:AE155)</f>
        <v>2197962142.5857182</v>
      </c>
      <c r="AF156" s="1127">
        <f>SUM(AF147:AF155)</f>
        <v>87628891.689385355</v>
      </c>
      <c r="AG156" s="1127">
        <f>SUM(AG147:AG155)</f>
        <v>0</v>
      </c>
      <c r="AH156" s="1127">
        <f>SUM(AH147:AH155)</f>
        <v>2110333250.8963327</v>
      </c>
      <c r="AI156" s="1119"/>
      <c r="AM156" s="1127">
        <f>SUM(AM147:AM155)</f>
        <v>2197962142.5857182</v>
      </c>
      <c r="AN156" s="1127">
        <f>SUM(AN147:AN155)</f>
        <v>87628891.689385355</v>
      </c>
      <c r="AO156" s="1127">
        <f>SUM(AO147:AO155)</f>
        <v>0</v>
      </c>
      <c r="AP156" s="1127">
        <f>SUM(AP147:AP155)</f>
        <v>2110333250.8963327</v>
      </c>
      <c r="AQ156" s="1119"/>
      <c r="AU156" s="1127">
        <f>SUM(AU147:AU155)</f>
        <v>2197962142.5857182</v>
      </c>
      <c r="AV156" s="1127">
        <f>SUM(AV147:AV155)</f>
        <v>87628891.689385355</v>
      </c>
      <c r="AW156" s="1127">
        <f>SUM(AW147:AW155)</f>
        <v>0</v>
      </c>
      <c r="AX156" s="1127">
        <f>SUM(AX147:AX155)</f>
        <v>2110333250.8963327</v>
      </c>
      <c r="AY156" s="1119"/>
      <c r="BC156" s="1127">
        <f>SUM(BC147:BC155)</f>
        <v>2197962142.5857182</v>
      </c>
      <c r="BD156" s="1127">
        <f>SUM(BD147:BD155)</f>
        <v>87628891.689385355</v>
      </c>
      <c r="BE156" s="1127">
        <f>SUM(BE147:BE155)</f>
        <v>0</v>
      </c>
      <c r="BF156" s="1127">
        <f>SUM(BF147:BF155)</f>
        <v>2110333250.8963327</v>
      </c>
      <c r="BG156" s="1119"/>
      <c r="BK156" s="1127">
        <f>SUM(BK147:BK155)</f>
        <v>2197962142.5857182</v>
      </c>
      <c r="BL156" s="1127">
        <f>SUM(BL147:BL155)</f>
        <v>87628891.689385355</v>
      </c>
      <c r="BM156" s="1127">
        <f>SUM(BM147:BM155)</f>
        <v>0</v>
      </c>
      <c r="BN156" s="1127">
        <f>SUM(BN147:BN155)</f>
        <v>2110333250.8963327</v>
      </c>
      <c r="BO156" s="1119"/>
      <c r="BS156" s="1127">
        <f>SUM(BS147:BS155)</f>
        <v>2197962142.5857182</v>
      </c>
      <c r="BT156" s="1127">
        <f>SUM(BT147:BT155)</f>
        <v>87628891.689385355</v>
      </c>
      <c r="BU156" s="1127">
        <f>SUM(BU147:BU155)</f>
        <v>0</v>
      </c>
      <c r="BV156" s="1127">
        <f>SUM(BV147:BV155)</f>
        <v>2110333250.8963327</v>
      </c>
      <c r="BW156" s="1119"/>
      <c r="CA156" s="1127">
        <f>SUM(CA147:CA155)</f>
        <v>2197962142.5857182</v>
      </c>
      <c r="CB156" s="1127">
        <f>SUM(CB147:CB155)</f>
        <v>87628891.689385355</v>
      </c>
      <c r="CC156" s="1127">
        <f>SUM(CC147:CC155)</f>
        <v>0</v>
      </c>
      <c r="CD156" s="1127">
        <f>SUM(CD147:CD155)</f>
        <v>2110333250.8963327</v>
      </c>
      <c r="CE156" s="1119"/>
      <c r="CI156" s="1127">
        <f>SUM(CI147:CI155)</f>
        <v>2197962142.5857182</v>
      </c>
      <c r="CJ156" s="1127">
        <f>SUM(CJ147:CJ155)</f>
        <v>87628891.689385355</v>
      </c>
      <c r="CK156" s="1127">
        <f>SUM(CK147:CK155)</f>
        <v>0</v>
      </c>
      <c r="CL156" s="1127">
        <f>SUM(CL147:CL155)</f>
        <v>2110333250.8963327</v>
      </c>
      <c r="CM156" s="1119"/>
      <c r="CQ156" s="1127">
        <f>SUM(CQ147:CQ155)</f>
        <v>2197962142.5857182</v>
      </c>
      <c r="CR156" s="1127">
        <f>SUM(CR147:CR155)</f>
        <v>87628891.689385355</v>
      </c>
      <c r="CS156" s="1127">
        <f>SUM(CS147:CS155)</f>
        <v>0</v>
      </c>
      <c r="CT156" s="1127">
        <f>SUM(CT147:CT155)</f>
        <v>2110333250.8963327</v>
      </c>
      <c r="CU156" s="1119"/>
      <c r="CY156" s="1127">
        <f>SUM(CY147:CY155)</f>
        <v>2197962142.5857182</v>
      </c>
      <c r="CZ156" s="1127">
        <f>SUM(CZ147:CZ155)</f>
        <v>87628891.689385355</v>
      </c>
      <c r="DA156" s="1127">
        <f>SUM(DA147:DA155)</f>
        <v>0</v>
      </c>
      <c r="DB156" s="1127">
        <f>SUM(DB147:DB155)</f>
        <v>2110333250.8963327</v>
      </c>
      <c r="DC156" s="1119"/>
      <c r="DG156" s="1127">
        <f>SUM(DG147:DG155)</f>
        <v>2197962142.5857182</v>
      </c>
      <c r="DH156" s="1127">
        <f>SUM(DH147:DH155)</f>
        <v>87628891.689385355</v>
      </c>
      <c r="DI156" s="1127">
        <f>SUM(DI147:DI155)</f>
        <v>0</v>
      </c>
      <c r="DJ156" s="1127">
        <f>SUM(DJ147:DJ155)</f>
        <v>2110333250.8963327</v>
      </c>
      <c r="DK156" s="1119"/>
      <c r="DO156" s="1127">
        <f>SUM(DO147:DO155)</f>
        <v>2197962142.5857182</v>
      </c>
      <c r="DP156" s="1127">
        <f>SUM(DP147:DP155)</f>
        <v>87628891.689385355</v>
      </c>
      <c r="DQ156" s="1127">
        <f>SUM(DQ147:DQ155)</f>
        <v>0</v>
      </c>
      <c r="DR156" s="1127">
        <f>SUM(DR147:DR155)</f>
        <v>2110333250.8963327</v>
      </c>
      <c r="DS156" s="1119"/>
      <c r="DW156" s="1127">
        <f>SUM(DW147:DW155)</f>
        <v>2197962142.5857182</v>
      </c>
      <c r="DX156" s="1127">
        <f>SUM(DX147:DX155)</f>
        <v>87628891.689385355</v>
      </c>
      <c r="DY156" s="1127">
        <f>SUM(DY147:DY155)</f>
        <v>0</v>
      </c>
      <c r="DZ156" s="1127">
        <f>SUM(DZ147:DZ155)</f>
        <v>2110333250.8963327</v>
      </c>
      <c r="EA156" s="1119"/>
      <c r="EE156" s="1127">
        <f>SUM(EE147:EE155)</f>
        <v>2197962142.5857182</v>
      </c>
      <c r="EF156" s="1127">
        <f>SUM(EF147:EF155)</f>
        <v>87628891.689385355</v>
      </c>
      <c r="EG156" s="1127">
        <f>SUM(EG147:EG155)</f>
        <v>0</v>
      </c>
      <c r="EH156" s="1127">
        <f>SUM(EH147:EH155)</f>
        <v>2110333250.8963327</v>
      </c>
      <c r="EI156" s="1119"/>
      <c r="EM156" s="1127">
        <f>SUM(EM147:EM155)</f>
        <v>2197962142.5857182</v>
      </c>
      <c r="EN156" s="1127">
        <f>SUM(EN147:EN155)</f>
        <v>87628891.689385355</v>
      </c>
      <c r="EO156" s="1127">
        <f>SUM(EO147:EO155)</f>
        <v>0</v>
      </c>
      <c r="EP156" s="1127">
        <f>SUM(EP147:EP155)</f>
        <v>2110333250.8963327</v>
      </c>
      <c r="EQ156" s="1119"/>
      <c r="EU156" s="1127">
        <f>SUM(EU147:EU155)</f>
        <v>2197962142.5857182</v>
      </c>
      <c r="EV156" s="1127">
        <f>SUM(EV147:EV155)</f>
        <v>87628891.689385355</v>
      </c>
      <c r="EW156" s="1127">
        <f>SUM(EW147:EW155)</f>
        <v>0</v>
      </c>
      <c r="EX156" s="1127">
        <f>SUM(EX147:EX155)</f>
        <v>2110333250.8963327</v>
      </c>
      <c r="EY156" s="1119"/>
      <c r="FC156" s="1127">
        <f>SUM(FC147:FC155)</f>
        <v>2197962142.5857182</v>
      </c>
      <c r="FD156" s="1127">
        <f>SUM(FD147:FD155)</f>
        <v>87628891.689385355</v>
      </c>
      <c r="FE156" s="1127">
        <f>SUM(FE147:FE155)</f>
        <v>0</v>
      </c>
      <c r="FF156" s="1127">
        <f>SUM(FF147:FF155)</f>
        <v>2110333250.8963327</v>
      </c>
      <c r="FG156" s="1119"/>
      <c r="FK156" s="1127">
        <f>SUM(FK147:FK155)</f>
        <v>2197962142.5857182</v>
      </c>
      <c r="FL156" s="1127">
        <f>SUM(FL147:FL155)</f>
        <v>87628891.689385355</v>
      </c>
      <c r="FM156" s="1127">
        <f>SUM(FM147:FM155)</f>
        <v>0</v>
      </c>
      <c r="FN156" s="1127">
        <f>SUM(FN147:FN155)</f>
        <v>2110333250.8963327</v>
      </c>
      <c r="FO156" s="1119"/>
    </row>
    <row r="157" spans="1:171" x14ac:dyDescent="0.25">
      <c r="A157" s="1421"/>
      <c r="B157" s="79"/>
      <c r="C157" s="196"/>
      <c r="D157" s="969"/>
      <c r="E157" s="196"/>
      <c r="F157" s="196"/>
      <c r="G157" s="971"/>
      <c r="H157" s="972"/>
      <c r="I157" s="972"/>
      <c r="J157" s="1452"/>
      <c r="K157" s="904"/>
      <c r="O157" s="1080"/>
      <c r="S157" s="1119"/>
      <c r="W157" s="1080"/>
      <c r="AA157" s="1119"/>
      <c r="AE157" s="1080"/>
      <c r="AI157" s="1119"/>
      <c r="AM157" s="1080"/>
      <c r="AQ157" s="1119"/>
      <c r="AU157" s="1080"/>
      <c r="AY157" s="1119"/>
      <c r="BC157" s="1080"/>
      <c r="BG157" s="1119"/>
      <c r="BK157" s="1080"/>
      <c r="BO157" s="1119"/>
      <c r="BS157" s="1080"/>
      <c r="BW157" s="1119"/>
      <c r="CA157" s="1080"/>
      <c r="CE157" s="1119"/>
      <c r="CI157" s="1080"/>
      <c r="CM157" s="1119"/>
      <c r="CQ157" s="1080"/>
      <c r="CU157" s="1119"/>
      <c r="CY157" s="1080"/>
      <c r="DC157" s="1119"/>
      <c r="DG157" s="1080"/>
      <c r="DK157" s="1119"/>
      <c r="DO157" s="1080"/>
      <c r="DS157" s="1119"/>
      <c r="DW157" s="1080"/>
      <c r="EA157" s="1119"/>
      <c r="EE157" s="1080"/>
      <c r="EI157" s="1119"/>
      <c r="EM157" s="1080"/>
      <c r="EQ157" s="1119"/>
      <c r="EU157" s="1080"/>
      <c r="EY157" s="1119"/>
      <c r="FC157" s="1080"/>
      <c r="FG157" s="1119"/>
      <c r="FK157" s="1080"/>
      <c r="FO157" s="1119"/>
    </row>
    <row r="158" spans="1:171" x14ac:dyDescent="0.25">
      <c r="A158" s="1350" t="s">
        <v>73</v>
      </c>
      <c r="B158" s="64"/>
      <c r="C158" s="915"/>
      <c r="D158" s="916"/>
      <c r="E158" s="916"/>
      <c r="F158" s="917"/>
      <c r="G158" s="924">
        <f>+G156+G143</f>
        <v>2223471113.7928829</v>
      </c>
      <c r="H158" s="924">
        <f>+H156+H143</f>
        <v>87628891.689385355</v>
      </c>
      <c r="I158" s="924">
        <f>+I156+I143</f>
        <v>0</v>
      </c>
      <c r="J158" s="1429">
        <f>+J156+J143</f>
        <v>2135842222.1034977</v>
      </c>
      <c r="K158" s="904"/>
      <c r="O158" s="1134">
        <f>+O156+O143</f>
        <v>2223471113.7928829</v>
      </c>
      <c r="P158" s="1134">
        <f>+P156+P143</f>
        <v>87628891.689385355</v>
      </c>
      <c r="Q158" s="1134">
        <f>+Q156+Q143</f>
        <v>0</v>
      </c>
      <c r="R158" s="1134">
        <f>+R156+R143</f>
        <v>2135842222.1034977</v>
      </c>
      <c r="S158" s="1119"/>
      <c r="W158" s="1134">
        <f>+W156+W143</f>
        <v>2223471113.7928829</v>
      </c>
      <c r="X158" s="1134">
        <f>+X156+X143</f>
        <v>87628891.689385355</v>
      </c>
      <c r="Y158" s="1134">
        <f>+Y156+Y143</f>
        <v>0</v>
      </c>
      <c r="Z158" s="1134">
        <f>+Z156+Z143</f>
        <v>2135842222.1034977</v>
      </c>
      <c r="AA158" s="1119"/>
      <c r="AE158" s="1134">
        <f>+AE156+AE143</f>
        <v>2223471113.7928829</v>
      </c>
      <c r="AF158" s="1134">
        <f>+AF156+AF143</f>
        <v>87628891.689385355</v>
      </c>
      <c r="AG158" s="1134">
        <f>+AG156+AG143</f>
        <v>0</v>
      </c>
      <c r="AH158" s="1134">
        <f>+AH156+AH143</f>
        <v>2135842222.1034977</v>
      </c>
      <c r="AI158" s="1119"/>
      <c r="AM158" s="1134">
        <f>+AM156+AM143</f>
        <v>2223471113.7928829</v>
      </c>
      <c r="AN158" s="1134">
        <f>+AN156+AN143</f>
        <v>87628891.689385355</v>
      </c>
      <c r="AO158" s="1134">
        <f>+AO156+AO143</f>
        <v>0</v>
      </c>
      <c r="AP158" s="1134">
        <f>+AP156+AP143</f>
        <v>2135842222.1034977</v>
      </c>
      <c r="AQ158" s="1119"/>
      <c r="AU158" s="1134">
        <f>+AU156+AU143</f>
        <v>2223471113.7928829</v>
      </c>
      <c r="AV158" s="1134">
        <f>+AV156+AV143</f>
        <v>87628891.689385355</v>
      </c>
      <c r="AW158" s="1134">
        <f>+AW156+AW143</f>
        <v>0</v>
      </c>
      <c r="AX158" s="1134">
        <f>+AX156+AX143</f>
        <v>2135842222.1034977</v>
      </c>
      <c r="AY158" s="1119"/>
      <c r="BC158" s="1134">
        <f>+BC156+BC143</f>
        <v>2223471113.7928829</v>
      </c>
      <c r="BD158" s="1134">
        <f>+BD156+BD143</f>
        <v>87628891.689385355</v>
      </c>
      <c r="BE158" s="1134">
        <f>+BE156+BE143</f>
        <v>0</v>
      </c>
      <c r="BF158" s="1134">
        <f>+BF156+BF143</f>
        <v>2135842222.1034977</v>
      </c>
      <c r="BG158" s="1119"/>
      <c r="BK158" s="1134">
        <f>+BK156+BK143</f>
        <v>2223471113.7928829</v>
      </c>
      <c r="BL158" s="1134">
        <f>+BL156+BL143</f>
        <v>87628891.689385355</v>
      </c>
      <c r="BM158" s="1134">
        <f>+BM156+BM143</f>
        <v>0</v>
      </c>
      <c r="BN158" s="1134">
        <f>+BN156+BN143</f>
        <v>2135842222.1034977</v>
      </c>
      <c r="BO158" s="1119"/>
      <c r="BS158" s="1134">
        <f>+BS156+BS143</f>
        <v>2223471113.7928829</v>
      </c>
      <c r="BT158" s="1134">
        <f>+BT156+BT143</f>
        <v>87628891.689385355</v>
      </c>
      <c r="BU158" s="1134">
        <f>+BU156+BU143</f>
        <v>0</v>
      </c>
      <c r="BV158" s="1134">
        <f>+BV156+BV143</f>
        <v>2135842222.1034977</v>
      </c>
      <c r="BW158" s="1119"/>
      <c r="CA158" s="1134">
        <f>+CA156+CA143</f>
        <v>2223471113.7928829</v>
      </c>
      <c r="CB158" s="1134">
        <f>+CB156+CB143</f>
        <v>87628891.689385355</v>
      </c>
      <c r="CC158" s="1134">
        <f>+CC156+CC143</f>
        <v>0</v>
      </c>
      <c r="CD158" s="1134">
        <f>+CD156+CD143</f>
        <v>2135842222.1034977</v>
      </c>
      <c r="CE158" s="1119"/>
      <c r="CI158" s="1134">
        <f>+CI156+CI143</f>
        <v>2223471113.7928829</v>
      </c>
      <c r="CJ158" s="1134">
        <f>+CJ156+CJ143</f>
        <v>87628891.689385355</v>
      </c>
      <c r="CK158" s="1134">
        <f>+CK156+CK143</f>
        <v>0</v>
      </c>
      <c r="CL158" s="1134">
        <f>+CL156+CL143</f>
        <v>2135842222.1034977</v>
      </c>
      <c r="CM158" s="1119"/>
      <c r="CQ158" s="1134">
        <f>+CQ156+CQ143</f>
        <v>2223471113.7928829</v>
      </c>
      <c r="CR158" s="1134">
        <f>+CR156+CR143</f>
        <v>87628891.689385355</v>
      </c>
      <c r="CS158" s="1134">
        <f>+CS156+CS143</f>
        <v>0</v>
      </c>
      <c r="CT158" s="1134">
        <f>+CT156+CT143</f>
        <v>2135842222.1034977</v>
      </c>
      <c r="CU158" s="1119"/>
      <c r="CY158" s="1134">
        <f>+CY156+CY143</f>
        <v>2223471113.7928829</v>
      </c>
      <c r="CZ158" s="1134">
        <f>+CZ156+CZ143</f>
        <v>87628891.689385355</v>
      </c>
      <c r="DA158" s="1134">
        <f>+DA156+DA143</f>
        <v>0</v>
      </c>
      <c r="DB158" s="1134">
        <f>+DB156+DB143</f>
        <v>2135842222.1034977</v>
      </c>
      <c r="DC158" s="1119"/>
      <c r="DG158" s="1134">
        <f>+DG156+DG143</f>
        <v>2223471113.7928829</v>
      </c>
      <c r="DH158" s="1134">
        <f>+DH156+DH143</f>
        <v>87628891.689385355</v>
      </c>
      <c r="DI158" s="1134">
        <f>+DI156+DI143</f>
        <v>0</v>
      </c>
      <c r="DJ158" s="1134">
        <f>+DJ156+DJ143</f>
        <v>2135842222.1034977</v>
      </c>
      <c r="DK158" s="1119"/>
      <c r="DO158" s="1134">
        <f>+DO156+DO143</f>
        <v>2223471113.7928829</v>
      </c>
      <c r="DP158" s="1134">
        <f>+DP156+DP143</f>
        <v>87628891.689385355</v>
      </c>
      <c r="DQ158" s="1134">
        <f>+DQ156+DQ143</f>
        <v>0</v>
      </c>
      <c r="DR158" s="1134">
        <f>+DR156+DR143</f>
        <v>2135842222.1034977</v>
      </c>
      <c r="DS158" s="1119"/>
      <c r="DW158" s="1134">
        <f>+DW156+DW143</f>
        <v>2223471113.7928829</v>
      </c>
      <c r="DX158" s="1134">
        <f>+DX156+DX143</f>
        <v>87628891.689385355</v>
      </c>
      <c r="DY158" s="1134">
        <f>+DY156+DY143</f>
        <v>0</v>
      </c>
      <c r="DZ158" s="1134">
        <f>+DZ156+DZ143</f>
        <v>2135842222.1034977</v>
      </c>
      <c r="EA158" s="1119"/>
      <c r="EE158" s="1134">
        <f>+EE156+EE143</f>
        <v>2223471113.7928829</v>
      </c>
      <c r="EF158" s="1134">
        <f>+EF156+EF143</f>
        <v>87628891.689385355</v>
      </c>
      <c r="EG158" s="1134">
        <f>+EG156+EG143</f>
        <v>0</v>
      </c>
      <c r="EH158" s="1134">
        <f>+EH156+EH143</f>
        <v>2135842222.1034977</v>
      </c>
      <c r="EI158" s="1119"/>
      <c r="EM158" s="1134">
        <f>+EM156+EM143</f>
        <v>2223471113.7928829</v>
      </c>
      <c r="EN158" s="1134">
        <f>+EN156+EN143</f>
        <v>87628891.689385355</v>
      </c>
      <c r="EO158" s="1134">
        <f>+EO156+EO143</f>
        <v>0</v>
      </c>
      <c r="EP158" s="1134">
        <f>+EP156+EP143</f>
        <v>2135842222.1034977</v>
      </c>
      <c r="EQ158" s="1119"/>
      <c r="EU158" s="1134">
        <f>+EU156+EU143</f>
        <v>2223471113.7928829</v>
      </c>
      <c r="EV158" s="1134">
        <f>+EV156+EV143</f>
        <v>87628891.689385355</v>
      </c>
      <c r="EW158" s="1134">
        <f>+EW156+EW143</f>
        <v>0</v>
      </c>
      <c r="EX158" s="1134">
        <f>+EX156+EX143</f>
        <v>2135842222.1034977</v>
      </c>
      <c r="EY158" s="1119"/>
      <c r="FC158" s="1134">
        <f>+FC156+FC143</f>
        <v>2223471113.7928829</v>
      </c>
      <c r="FD158" s="1134">
        <f>+FD156+FD143</f>
        <v>87628891.689385355</v>
      </c>
      <c r="FE158" s="1134">
        <f>+FE156+FE143</f>
        <v>0</v>
      </c>
      <c r="FF158" s="1134">
        <f>+FF156+FF143</f>
        <v>2135842222.1034977</v>
      </c>
      <c r="FG158" s="1119"/>
      <c r="FK158" s="1134">
        <f>+FK156+FK143</f>
        <v>2223471113.7928829</v>
      </c>
      <c r="FL158" s="1134">
        <f>+FL156+FL143</f>
        <v>87628891.689385355</v>
      </c>
      <c r="FM158" s="1134">
        <f>+FM156+FM143</f>
        <v>0</v>
      </c>
      <c r="FN158" s="1134">
        <f>+FN156+FN143</f>
        <v>2135842222.1034977</v>
      </c>
      <c r="FO158" s="1119"/>
    </row>
    <row r="159" spans="1:171" x14ac:dyDescent="0.25">
      <c r="A159" s="1372"/>
      <c r="B159" s="64"/>
      <c r="C159" s="55"/>
      <c r="D159" s="55"/>
      <c r="E159" s="55"/>
      <c r="F159" s="55"/>
      <c r="G159" s="334"/>
      <c r="H159" s="334"/>
      <c r="I159" s="334"/>
      <c r="J159" s="1366"/>
      <c r="K159" s="904"/>
      <c r="S159" s="1119"/>
      <c r="AA159" s="1119"/>
      <c r="AI159" s="1119"/>
      <c r="AQ159" s="1119"/>
      <c r="AY159" s="1119"/>
      <c r="BG159" s="1119"/>
      <c r="BO159" s="1119"/>
      <c r="BW159" s="1119"/>
      <c r="CE159" s="1119"/>
      <c r="CM159" s="1119"/>
      <c r="CU159" s="1119"/>
      <c r="DC159" s="1119"/>
      <c r="DK159" s="1119"/>
      <c r="DS159" s="1119"/>
      <c r="EA159" s="1119"/>
      <c r="EI159" s="1119"/>
      <c r="EQ159" s="1119"/>
      <c r="EY159" s="1119"/>
      <c r="FG159" s="1119"/>
      <c r="FO159" s="1119"/>
    </row>
    <row r="160" spans="1:171" x14ac:dyDescent="0.25">
      <c r="A160" s="1373"/>
      <c r="B160" s="79"/>
      <c r="C160" s="969"/>
      <c r="D160" s="969"/>
      <c r="E160" s="79"/>
      <c r="F160" s="79"/>
      <c r="G160" s="974"/>
      <c r="H160" s="974"/>
      <c r="I160" s="974"/>
      <c r="J160" s="1453"/>
      <c r="K160" s="904"/>
      <c r="S160" s="1119"/>
      <c r="AA160" s="1119"/>
      <c r="AI160" s="1119"/>
      <c r="AQ160" s="1119"/>
      <c r="AY160" s="1119"/>
      <c r="BG160" s="1119"/>
      <c r="BO160" s="1119"/>
      <c r="BW160" s="1119"/>
      <c r="CE160" s="1119"/>
      <c r="CM160" s="1119"/>
      <c r="CU160" s="1119"/>
      <c r="DC160" s="1119"/>
      <c r="DK160" s="1119"/>
      <c r="DS160" s="1119"/>
      <c r="EA160" s="1119"/>
      <c r="EI160" s="1119"/>
      <c r="EQ160" s="1119"/>
      <c r="EY160" s="1119"/>
      <c r="FG160" s="1119"/>
      <c r="FO160" s="1119"/>
    </row>
    <row r="161" spans="1:171" x14ac:dyDescent="0.25">
      <c r="A161" s="1344" t="s">
        <v>478</v>
      </c>
      <c r="B161" s="64"/>
      <c r="C161" s="915"/>
      <c r="D161" s="916"/>
      <c r="E161" s="916"/>
      <c r="F161" s="917"/>
      <c r="G161" s="924">
        <f>G79+G135-G158</f>
        <v>9927581496.6237545</v>
      </c>
      <c r="H161" s="924">
        <f>H79+H135-H158</f>
        <v>4058898843.3887949</v>
      </c>
      <c r="I161" s="924">
        <f>I79+I135-I158</f>
        <v>23892855.711776573</v>
      </c>
      <c r="J161" s="1429">
        <f>J79+J135-J158</f>
        <v>5843780386.2489052</v>
      </c>
      <c r="K161" s="904"/>
      <c r="O161" s="1131">
        <f>O79+O135-O158</f>
        <v>9927581496.6237545</v>
      </c>
      <c r="P161" s="1131">
        <f>P79+P135-P158</f>
        <v>4067142860.941824</v>
      </c>
      <c r="Q161" s="1131">
        <f>Q79+Q135-Q158</f>
        <v>2648449524.7630124</v>
      </c>
      <c r="R161" s="1131">
        <f>R79+R135-R158</f>
        <v>3211989110.9189177</v>
      </c>
      <c r="S161" s="1074"/>
      <c r="W161" s="1131">
        <f>W79+W135-W158</f>
        <v>9927581496.6237545</v>
      </c>
      <c r="X161" s="1131">
        <f>X79+X135-X158</f>
        <v>4067142860.941824</v>
      </c>
      <c r="Y161" s="1131">
        <f>Y79+Y135-Y158</f>
        <v>2648449524.7630124</v>
      </c>
      <c r="Z161" s="1131">
        <f>Z79+Z135-Z158</f>
        <v>3211989110.9189177</v>
      </c>
      <c r="AA161" s="1074"/>
      <c r="AE161" s="1131">
        <f>AE79+AE135-AE158</f>
        <v>9927581496.6237545</v>
      </c>
      <c r="AF161" s="1131">
        <f>AF79+AF135-AF158</f>
        <v>4067142860.941824</v>
      </c>
      <c r="AG161" s="1131">
        <f>AG79+AG135-AG158</f>
        <v>2648449524.7630124</v>
      </c>
      <c r="AH161" s="1131">
        <f>AH79+AH135-AH158</f>
        <v>3211989110.9189177</v>
      </c>
      <c r="AI161" s="1074"/>
      <c r="AM161" s="1131">
        <f>AM79+AM135-AM158</f>
        <v>9927581496.6237545</v>
      </c>
      <c r="AN161" s="1131">
        <f>AN79+AN135-AN158</f>
        <v>4067142860.941824</v>
      </c>
      <c r="AO161" s="1131">
        <f>AO79+AO135-AO158</f>
        <v>2648449524.7630124</v>
      </c>
      <c r="AP161" s="1131">
        <f>AP79+AP135-AP158</f>
        <v>3211989110.9189177</v>
      </c>
      <c r="AQ161" s="1074"/>
      <c r="AU161" s="1131">
        <f>AU79+AU135-AU158</f>
        <v>9927581496.6237545</v>
      </c>
      <c r="AV161" s="1131">
        <f>AV79+AV135-AV158</f>
        <v>4067142860.941824</v>
      </c>
      <c r="AW161" s="1131">
        <f>AW79+AW135-AW158</f>
        <v>2648449524.7630124</v>
      </c>
      <c r="AX161" s="1131">
        <f>AX79+AX135-AX158</f>
        <v>3211989110.9189177</v>
      </c>
      <c r="AY161" s="1074"/>
      <c r="BC161" s="1131">
        <f>BC79+BC135-BC158</f>
        <v>9927581496.6237545</v>
      </c>
      <c r="BD161" s="1131">
        <f>BD79+BD135-BD158</f>
        <v>4067142860.941824</v>
      </c>
      <c r="BE161" s="1131">
        <f>BE79+BE135-BE158</f>
        <v>2648449524.7630124</v>
      </c>
      <c r="BF161" s="1131">
        <f>BF79+BF135-BF158</f>
        <v>3211989110.9189177</v>
      </c>
      <c r="BG161" s="1074"/>
      <c r="BK161" s="1131">
        <f>BK79+BK135-BK158</f>
        <v>9927581496.6237545</v>
      </c>
      <c r="BL161" s="1131">
        <f>BL79+BL135-BL158</f>
        <v>4067142860.941824</v>
      </c>
      <c r="BM161" s="1131">
        <f>BM79+BM135-BM158</f>
        <v>2648449524.7630124</v>
      </c>
      <c r="BN161" s="1131">
        <f>BN79+BN135-BN158</f>
        <v>3211989110.9189177</v>
      </c>
      <c r="BO161" s="1074"/>
      <c r="BS161" s="1131">
        <f>BS79+BS135-BS158</f>
        <v>9927581496.6237545</v>
      </c>
      <c r="BT161" s="1131">
        <f>BT79+BT135-BT158</f>
        <v>4067142860.941824</v>
      </c>
      <c r="BU161" s="1131">
        <f>BU79+BU135-BU158</f>
        <v>2648449524.7630124</v>
      </c>
      <c r="BV161" s="1131">
        <f>BV79+BV135-BV158</f>
        <v>3211989110.9189177</v>
      </c>
      <c r="BW161" s="1074"/>
      <c r="CA161" s="1131">
        <f>CA79+CA135-CA158</f>
        <v>9927581496.6237545</v>
      </c>
      <c r="CB161" s="1131">
        <f>CB79+CB135-CB158</f>
        <v>4067142860.941824</v>
      </c>
      <c r="CC161" s="1131">
        <f>CC79+CC135-CC158</f>
        <v>2648449524.7630124</v>
      </c>
      <c r="CD161" s="1131">
        <f>CD79+CD135-CD158</f>
        <v>3211989110.9189177</v>
      </c>
      <c r="CE161" s="1074"/>
      <c r="CI161" s="1131">
        <f>CI79+CI135-CI158</f>
        <v>9927581496.6237545</v>
      </c>
      <c r="CJ161" s="1131">
        <f>CJ79+CJ135-CJ158</f>
        <v>4067142860.941824</v>
      </c>
      <c r="CK161" s="1131">
        <f>CK79+CK135-CK158</f>
        <v>2648449524.7630124</v>
      </c>
      <c r="CL161" s="1131">
        <f>CL79+CL135-CL158</f>
        <v>3211989110.9189177</v>
      </c>
      <c r="CM161" s="1074"/>
      <c r="CQ161" s="1131">
        <f>CQ79+CQ135-CQ158</f>
        <v>9927581496.6237545</v>
      </c>
      <c r="CR161" s="1131">
        <f>CR79+CR135-CR158</f>
        <v>4067142860.941824</v>
      </c>
      <c r="CS161" s="1131">
        <f>CS79+CS135-CS158</f>
        <v>2648449524.7630124</v>
      </c>
      <c r="CT161" s="1131">
        <f>CT79+CT135-CT158</f>
        <v>3211989110.9189177</v>
      </c>
      <c r="CU161" s="1074"/>
      <c r="CY161" s="1131">
        <f>CY79+CY135-CY158</f>
        <v>9927581496.6237545</v>
      </c>
      <c r="CZ161" s="1131">
        <f>CZ79+CZ135-CZ158</f>
        <v>4067142860.941824</v>
      </c>
      <c r="DA161" s="1131">
        <f>DA79+DA135-DA158</f>
        <v>2648449524.7630124</v>
      </c>
      <c r="DB161" s="1131">
        <f>DB79+DB135-DB158</f>
        <v>3211989110.9189177</v>
      </c>
      <c r="DC161" s="1074"/>
      <c r="DG161" s="1131">
        <f>DG79+DG135-DG158</f>
        <v>9927581496.6237545</v>
      </c>
      <c r="DH161" s="1131">
        <f>DH79+DH135-DH158</f>
        <v>4067142860.941824</v>
      </c>
      <c r="DI161" s="1131">
        <f>DI79+DI135-DI158</f>
        <v>2648449524.7630124</v>
      </c>
      <c r="DJ161" s="1131">
        <f>DJ79+DJ135-DJ158</f>
        <v>3211989110.9189177</v>
      </c>
      <c r="DK161" s="1074"/>
      <c r="DO161" s="1131">
        <f>DO79+DO135-DO158</f>
        <v>9927581496.6237545</v>
      </c>
      <c r="DP161" s="1131">
        <f>DP79+DP135-DP158</f>
        <v>4067142860.941824</v>
      </c>
      <c r="DQ161" s="1131">
        <f>DQ79+DQ135-DQ158</f>
        <v>2648449524.7630124</v>
      </c>
      <c r="DR161" s="1131">
        <f>DR79+DR135-DR158</f>
        <v>3211989110.9189177</v>
      </c>
      <c r="DS161" s="1074"/>
      <c r="DW161" s="1131">
        <f>DW79+DW135-DW158</f>
        <v>9927581496.6237545</v>
      </c>
      <c r="DX161" s="1131">
        <f>DX79+DX135-DX158</f>
        <v>4067142860.941824</v>
      </c>
      <c r="DY161" s="1131">
        <f>DY79+DY135-DY158</f>
        <v>2648449524.7630124</v>
      </c>
      <c r="DZ161" s="1131">
        <f>DZ79+DZ135-DZ158</f>
        <v>3211989110.9189177</v>
      </c>
      <c r="EA161" s="1074"/>
      <c r="EE161" s="1131">
        <f>EE79+EE135-EE158</f>
        <v>9927581496.6237545</v>
      </c>
      <c r="EF161" s="1131">
        <f>EF79+EF135-EF158</f>
        <v>4067142860.941824</v>
      </c>
      <c r="EG161" s="1131">
        <f>EG79+EG135-EG158</f>
        <v>2648449524.7630124</v>
      </c>
      <c r="EH161" s="1131">
        <f>EH79+EH135-EH158</f>
        <v>3211989110.9189177</v>
      </c>
      <c r="EI161" s="1074"/>
      <c r="EM161" s="1131">
        <f>EM79+EM135-EM158</f>
        <v>9927581496.6237545</v>
      </c>
      <c r="EN161" s="1131">
        <f>EN79+EN135-EN158</f>
        <v>4067142860.941824</v>
      </c>
      <c r="EO161" s="1131">
        <f>EO79+EO135-EO158</f>
        <v>2648449524.7630124</v>
      </c>
      <c r="EP161" s="1131">
        <f>EP79+EP135-EP158</f>
        <v>3211989110.9189177</v>
      </c>
      <c r="EQ161" s="1074"/>
      <c r="EU161" s="1131">
        <f>EU79+EU135-EU158</f>
        <v>9927581496.6237545</v>
      </c>
      <c r="EV161" s="1131">
        <f>EV79+EV135-EV158</f>
        <v>4067142860.941824</v>
      </c>
      <c r="EW161" s="1131">
        <f>EW79+EW135-EW158</f>
        <v>2648449524.7630124</v>
      </c>
      <c r="EX161" s="1131">
        <f>EX79+EX135-EX158</f>
        <v>3211989110.9189177</v>
      </c>
      <c r="EY161" s="1074"/>
      <c r="FC161" s="1131">
        <f>FC79+FC135-FC158</f>
        <v>9927581496.6237545</v>
      </c>
      <c r="FD161" s="1131">
        <f>FD79+FD135-FD158</f>
        <v>4067142860.941824</v>
      </c>
      <c r="FE161" s="1131">
        <f>FE79+FE135-FE158</f>
        <v>2648449524.7630124</v>
      </c>
      <c r="FF161" s="1131">
        <f>FF79+FF135-FF158</f>
        <v>3211989110.9189177</v>
      </c>
      <c r="FG161" s="1074"/>
      <c r="FK161" s="1131">
        <f>FK79+FK135-FK158</f>
        <v>9927581496.6237545</v>
      </c>
      <c r="FL161" s="1131">
        <f>FL79+FL135-FL158</f>
        <v>4067142860.941824</v>
      </c>
      <c r="FM161" s="1131">
        <f>FM79+FM135-FM158</f>
        <v>2648449524.7630124</v>
      </c>
      <c r="FN161" s="1131">
        <f>FN79+FN135-FN158</f>
        <v>3211989110.9189177</v>
      </c>
      <c r="FO161" s="1074"/>
    </row>
    <row r="162" spans="1:171" x14ac:dyDescent="0.25">
      <c r="A162" s="1428" t="s">
        <v>83</v>
      </c>
      <c r="B162" s="64"/>
      <c r="C162" s="55"/>
      <c r="D162" s="55"/>
      <c r="E162" s="55"/>
      <c r="F162" s="55"/>
      <c r="G162" s="911"/>
      <c r="H162" s="886"/>
      <c r="I162" s="56"/>
      <c r="J162" s="1376"/>
      <c r="K162" s="904"/>
      <c r="S162" s="1074"/>
      <c r="AA162" s="1074"/>
      <c r="AI162" s="1074"/>
      <c r="AQ162" s="1074"/>
      <c r="AY162" s="1074"/>
      <c r="BG162" s="1074"/>
      <c r="BO162" s="1074"/>
      <c r="BW162" s="1074"/>
      <c r="CE162" s="1074"/>
      <c r="CM162" s="1074"/>
      <c r="CU162" s="1074"/>
      <c r="DC162" s="1074"/>
      <c r="DK162" s="1074"/>
      <c r="DS162" s="1074"/>
      <c r="EA162" s="1074"/>
      <c r="EI162" s="1074"/>
      <c r="EQ162" s="1074"/>
      <c r="EY162" s="1074"/>
      <c r="FG162" s="1074"/>
      <c r="FO162" s="1074"/>
    </row>
    <row r="163" spans="1:171" ht="16.5" thickBot="1" x14ac:dyDescent="0.3">
      <c r="A163" s="1432"/>
      <c r="B163" s="932"/>
      <c r="C163" s="933"/>
      <c r="D163" s="933"/>
      <c r="E163" s="933"/>
      <c r="F163" s="933"/>
      <c r="G163" s="935"/>
      <c r="H163" s="976"/>
      <c r="I163" s="977"/>
      <c r="J163" s="1377"/>
      <c r="K163" s="904"/>
      <c r="S163" s="1074"/>
      <c r="AA163" s="1074"/>
      <c r="AI163" s="1074"/>
      <c r="AQ163" s="1074"/>
      <c r="AY163" s="1074"/>
      <c r="BG163" s="1074"/>
      <c r="BO163" s="1074"/>
      <c r="BW163" s="1074"/>
      <c r="CE163" s="1074"/>
      <c r="CM163" s="1074"/>
      <c r="CU163" s="1074"/>
      <c r="DC163" s="1074"/>
      <c r="DK163" s="1074"/>
      <c r="DS163" s="1074"/>
      <c r="EA163" s="1074"/>
      <c r="EI163" s="1074"/>
      <c r="EQ163" s="1074"/>
      <c r="EY163" s="1074"/>
      <c r="FG163" s="1074"/>
      <c r="FO163" s="1074"/>
    </row>
    <row r="164" spans="1:171" ht="16.5" thickTop="1" x14ac:dyDescent="0.25">
      <c r="A164" s="1428"/>
      <c r="B164" s="64"/>
      <c r="C164" s="55"/>
      <c r="D164" s="55"/>
      <c r="E164" s="55"/>
      <c r="F164" s="55"/>
      <c r="G164" s="911"/>
      <c r="H164" s="886"/>
      <c r="I164" s="56"/>
      <c r="J164" s="1376"/>
      <c r="K164" s="904"/>
      <c r="S164" s="1074"/>
      <c r="AA164" s="1074"/>
      <c r="AI164" s="1074"/>
      <c r="AQ164" s="1074"/>
      <c r="AY164" s="1074"/>
      <c r="BG164" s="1074"/>
      <c r="BO164" s="1074"/>
      <c r="BW164" s="1074"/>
      <c r="CE164" s="1074"/>
      <c r="CM164" s="1074"/>
      <c r="CU164" s="1074"/>
      <c r="DC164" s="1074"/>
      <c r="DK164" s="1074"/>
      <c r="DS164" s="1074"/>
      <c r="EA164" s="1074"/>
      <c r="EI164" s="1074"/>
      <c r="EQ164" s="1074"/>
      <c r="EY164" s="1074"/>
      <c r="FG164" s="1074"/>
      <c r="FO164" s="1074"/>
    </row>
    <row r="165" spans="1:171" x14ac:dyDescent="0.25">
      <c r="A165" s="1420" t="s">
        <v>63</v>
      </c>
      <c r="B165" s="1"/>
      <c r="C165" s="1"/>
      <c r="D165" s="1"/>
      <c r="E165" s="1"/>
      <c r="F165" s="1"/>
      <c r="G165" s="978">
        <f>'Sch 2 -Rate of Return'!E14</f>
        <v>8.4185220942944408E-2</v>
      </c>
      <c r="H165" s="993">
        <f>G165</f>
        <v>8.4185220942944408E-2</v>
      </c>
      <c r="I165" s="993">
        <f>G165</f>
        <v>8.4185220942944408E-2</v>
      </c>
      <c r="J165" s="1454">
        <f>G165</f>
        <v>8.4185220942944408E-2</v>
      </c>
      <c r="K165" s="904"/>
      <c r="O165" s="1135">
        <f>$G$165</f>
        <v>8.4185220942944408E-2</v>
      </c>
      <c r="P165" s="1135">
        <f>$G$165</f>
        <v>8.4185220942944408E-2</v>
      </c>
      <c r="Q165" s="1135">
        <f>$G$165</f>
        <v>8.4185220942944408E-2</v>
      </c>
      <c r="R165" s="1135">
        <f>$G$165</f>
        <v>8.4185220942944408E-2</v>
      </c>
      <c r="S165" s="1074"/>
      <c r="W165" s="1135">
        <f>$G$165</f>
        <v>8.4185220942944408E-2</v>
      </c>
      <c r="X165" s="1135">
        <f>$G$165</f>
        <v>8.4185220942944408E-2</v>
      </c>
      <c r="Y165" s="1135">
        <f>$G$165</f>
        <v>8.4185220942944408E-2</v>
      </c>
      <c r="Z165" s="1135">
        <f>$G$165</f>
        <v>8.4185220942944408E-2</v>
      </c>
      <c r="AA165" s="1074"/>
      <c r="AE165" s="1135">
        <f>$G$165</f>
        <v>8.4185220942944408E-2</v>
      </c>
      <c r="AF165" s="1135">
        <f>$G$165</f>
        <v>8.4185220942944408E-2</v>
      </c>
      <c r="AG165" s="1135">
        <f>$G$165</f>
        <v>8.4185220942944408E-2</v>
      </c>
      <c r="AH165" s="1135">
        <f>$G$165</f>
        <v>8.4185220942944408E-2</v>
      </c>
      <c r="AI165" s="1074"/>
      <c r="AM165" s="1135">
        <f>$G$165</f>
        <v>8.4185220942944408E-2</v>
      </c>
      <c r="AN165" s="1135">
        <f>$G$165</f>
        <v>8.4185220942944408E-2</v>
      </c>
      <c r="AO165" s="1135">
        <f>$G$165</f>
        <v>8.4185220942944408E-2</v>
      </c>
      <c r="AP165" s="1135">
        <f>$G$165</f>
        <v>8.4185220942944408E-2</v>
      </c>
      <c r="AQ165" s="1074"/>
      <c r="AU165" s="1135">
        <f>$G$165</f>
        <v>8.4185220942944408E-2</v>
      </c>
      <c r="AV165" s="1135">
        <f>$G$165</f>
        <v>8.4185220942944408E-2</v>
      </c>
      <c r="AW165" s="1135">
        <f>$G$165</f>
        <v>8.4185220942944408E-2</v>
      </c>
      <c r="AX165" s="1135">
        <f>$G$165</f>
        <v>8.4185220942944408E-2</v>
      </c>
      <c r="AY165" s="1074"/>
      <c r="BC165" s="1135">
        <f>$G$165</f>
        <v>8.4185220942944408E-2</v>
      </c>
      <c r="BD165" s="1135">
        <f>$G$165</f>
        <v>8.4185220942944408E-2</v>
      </c>
      <c r="BE165" s="1135">
        <f>$G$165</f>
        <v>8.4185220942944408E-2</v>
      </c>
      <c r="BF165" s="1135">
        <f>$G$165</f>
        <v>8.4185220942944408E-2</v>
      </c>
      <c r="BG165" s="1074"/>
      <c r="BK165" s="1135">
        <f>$G$165</f>
        <v>8.4185220942944408E-2</v>
      </c>
      <c r="BL165" s="1135">
        <f>$G$165</f>
        <v>8.4185220942944408E-2</v>
      </c>
      <c r="BM165" s="1135">
        <f>$G$165</f>
        <v>8.4185220942944408E-2</v>
      </c>
      <c r="BN165" s="1135">
        <f>$G$165</f>
        <v>8.4185220942944408E-2</v>
      </c>
      <c r="BO165" s="1074"/>
      <c r="BS165" s="1135">
        <f>$G$165</f>
        <v>8.4185220942944408E-2</v>
      </c>
      <c r="BT165" s="1135">
        <f>$G$165</f>
        <v>8.4185220942944408E-2</v>
      </c>
      <c r="BU165" s="1135">
        <f>$G$165</f>
        <v>8.4185220942944408E-2</v>
      </c>
      <c r="BV165" s="1135">
        <f>$G$165</f>
        <v>8.4185220942944408E-2</v>
      </c>
      <c r="BW165" s="1074"/>
      <c r="CA165" s="1135">
        <f>$G$165</f>
        <v>8.4185220942944408E-2</v>
      </c>
      <c r="CB165" s="1135">
        <f>$G$165</f>
        <v>8.4185220942944408E-2</v>
      </c>
      <c r="CC165" s="1135">
        <f>$G$165</f>
        <v>8.4185220942944408E-2</v>
      </c>
      <c r="CD165" s="1135">
        <f>$G$165</f>
        <v>8.4185220942944408E-2</v>
      </c>
      <c r="CE165" s="1074"/>
      <c r="CI165" s="1135">
        <f>$G$165</f>
        <v>8.4185220942944408E-2</v>
      </c>
      <c r="CJ165" s="1135">
        <f>$G$165</f>
        <v>8.4185220942944408E-2</v>
      </c>
      <c r="CK165" s="1135">
        <f>$G$165</f>
        <v>8.4185220942944408E-2</v>
      </c>
      <c r="CL165" s="1135">
        <f>$G$165</f>
        <v>8.4185220942944408E-2</v>
      </c>
      <c r="CM165" s="1074"/>
      <c r="CQ165" s="1135">
        <f>$G$165</f>
        <v>8.4185220942944408E-2</v>
      </c>
      <c r="CR165" s="1135">
        <f>$G$165</f>
        <v>8.4185220942944408E-2</v>
      </c>
      <c r="CS165" s="1135">
        <f>$G$165</f>
        <v>8.4185220942944408E-2</v>
      </c>
      <c r="CT165" s="1135">
        <f>$G$165</f>
        <v>8.4185220942944408E-2</v>
      </c>
      <c r="CU165" s="1074"/>
      <c r="CY165" s="1135">
        <f>$G$165</f>
        <v>8.4185220942944408E-2</v>
      </c>
      <c r="CZ165" s="1135">
        <f>$G$165</f>
        <v>8.4185220942944408E-2</v>
      </c>
      <c r="DA165" s="1135">
        <f>$G$165</f>
        <v>8.4185220942944408E-2</v>
      </c>
      <c r="DB165" s="1135">
        <f>$G$165</f>
        <v>8.4185220942944408E-2</v>
      </c>
      <c r="DC165" s="1074"/>
      <c r="DG165" s="1135">
        <f>$G$165</f>
        <v>8.4185220942944408E-2</v>
      </c>
      <c r="DH165" s="1135">
        <f>$G$165</f>
        <v>8.4185220942944408E-2</v>
      </c>
      <c r="DI165" s="1135">
        <f>$G$165</f>
        <v>8.4185220942944408E-2</v>
      </c>
      <c r="DJ165" s="1135">
        <f>$G$165</f>
        <v>8.4185220942944408E-2</v>
      </c>
      <c r="DK165" s="1074"/>
      <c r="DO165" s="1135">
        <f>$G$165</f>
        <v>8.4185220942944408E-2</v>
      </c>
      <c r="DP165" s="1135">
        <f>$G$165</f>
        <v>8.4185220942944408E-2</v>
      </c>
      <c r="DQ165" s="1135">
        <f>$G$165</f>
        <v>8.4185220942944408E-2</v>
      </c>
      <c r="DR165" s="1135">
        <f>$G$165</f>
        <v>8.4185220942944408E-2</v>
      </c>
      <c r="DS165" s="1074"/>
      <c r="DW165" s="1135">
        <f>$G$165</f>
        <v>8.4185220942944408E-2</v>
      </c>
      <c r="DX165" s="1135">
        <f>$G$165</f>
        <v>8.4185220942944408E-2</v>
      </c>
      <c r="DY165" s="1135">
        <f>$G$165</f>
        <v>8.4185220942944408E-2</v>
      </c>
      <c r="DZ165" s="1135">
        <f>$G$165</f>
        <v>8.4185220942944408E-2</v>
      </c>
      <c r="EA165" s="1074"/>
      <c r="EE165" s="1135">
        <f>$G$165</f>
        <v>8.4185220942944408E-2</v>
      </c>
      <c r="EF165" s="1135">
        <f>$G$165</f>
        <v>8.4185220942944408E-2</v>
      </c>
      <c r="EG165" s="1135">
        <f>$G$165</f>
        <v>8.4185220942944408E-2</v>
      </c>
      <c r="EH165" s="1135">
        <f>$G$165</f>
        <v>8.4185220942944408E-2</v>
      </c>
      <c r="EI165" s="1074"/>
      <c r="EM165" s="1135">
        <f>$G$165</f>
        <v>8.4185220942944408E-2</v>
      </c>
      <c r="EN165" s="1135">
        <f>$G$165</f>
        <v>8.4185220942944408E-2</v>
      </c>
      <c r="EO165" s="1135">
        <f>$G$165</f>
        <v>8.4185220942944408E-2</v>
      </c>
      <c r="EP165" s="1135">
        <f>$G$165</f>
        <v>8.4185220942944408E-2</v>
      </c>
      <c r="EQ165" s="1074"/>
      <c r="EU165" s="1135">
        <f>$G$165</f>
        <v>8.4185220942944408E-2</v>
      </c>
      <c r="EV165" s="1135">
        <f>$G$165</f>
        <v>8.4185220942944408E-2</v>
      </c>
      <c r="EW165" s="1135">
        <f>$G$165</f>
        <v>8.4185220942944408E-2</v>
      </c>
      <c r="EX165" s="1135">
        <f>$G$165</f>
        <v>8.4185220942944408E-2</v>
      </c>
      <c r="EY165" s="1074"/>
      <c r="FC165" s="1135">
        <f>$G$165</f>
        <v>8.4185220942944408E-2</v>
      </c>
      <c r="FD165" s="1135">
        <f>$G$165</f>
        <v>8.4185220942944408E-2</v>
      </c>
      <c r="FE165" s="1135">
        <f>$G$165</f>
        <v>8.4185220942944408E-2</v>
      </c>
      <c r="FF165" s="1135">
        <f>$G$165</f>
        <v>8.4185220942944408E-2</v>
      </c>
      <c r="FG165" s="1074"/>
      <c r="FK165" s="1135">
        <f>$G$165</f>
        <v>8.4185220942944408E-2</v>
      </c>
      <c r="FL165" s="1135">
        <f>$G$165</f>
        <v>8.4185220942944408E-2</v>
      </c>
      <c r="FM165" s="1135">
        <f>$G$165</f>
        <v>8.4185220942944408E-2</v>
      </c>
      <c r="FN165" s="1135">
        <f>$G$165</f>
        <v>8.4185220942944408E-2</v>
      </c>
      <c r="FO165" s="1074"/>
    </row>
    <row r="166" spans="1:171" x14ac:dyDescent="0.25">
      <c r="A166" s="1455"/>
      <c r="B166" s="1"/>
      <c r="C166" s="1"/>
      <c r="D166" s="1"/>
      <c r="E166" s="1"/>
      <c r="F166" s="1"/>
      <c r="G166" s="1"/>
      <c r="H166" s="1"/>
      <c r="I166" s="1"/>
      <c r="J166" s="1456"/>
      <c r="K166" s="904"/>
      <c r="S166" s="1074"/>
      <c r="AA166" s="1074"/>
      <c r="AI166" s="1074"/>
      <c r="AQ166" s="1074"/>
      <c r="AY166" s="1074"/>
      <c r="BG166" s="1074"/>
      <c r="BO166" s="1074"/>
      <c r="BW166" s="1074"/>
      <c r="CE166" s="1074"/>
      <c r="CM166" s="1074"/>
      <c r="CU166" s="1074"/>
      <c r="DC166" s="1074"/>
      <c r="DK166" s="1074"/>
      <c r="DS166" s="1074"/>
      <c r="EA166" s="1074"/>
      <c r="EI166" s="1074"/>
      <c r="EQ166" s="1074"/>
      <c r="EY166" s="1074"/>
      <c r="FG166" s="1074"/>
      <c r="FO166" s="1074"/>
    </row>
    <row r="167" spans="1:171" x14ac:dyDescent="0.25">
      <c r="A167" s="1457" t="s">
        <v>141</v>
      </c>
      <c r="B167" s="1"/>
      <c r="C167" s="1"/>
      <c r="D167" s="1"/>
      <c r="E167" s="1"/>
      <c r="F167" s="1"/>
      <c r="G167" s="980">
        <f>G161*G165</f>
        <v>835755641.72235751</v>
      </c>
      <c r="H167" s="980">
        <f>H161*H165</f>
        <v>341699295.91574723</v>
      </c>
      <c r="I167" s="980">
        <f>I161*I165</f>
        <v>2011425.3370538021</v>
      </c>
      <c r="J167" s="1458">
        <f>J161*J165</f>
        <v>491959942.95840907</v>
      </c>
      <c r="K167" s="904"/>
      <c r="O167" s="1131">
        <f>O161*O165</f>
        <v>835755641.72235751</v>
      </c>
      <c r="P167" s="1131">
        <f>P161*P165</f>
        <v>342393320.3549065</v>
      </c>
      <c r="Q167" s="1131">
        <f>Q161*Q165</f>
        <v>222960308.39841032</v>
      </c>
      <c r="R167" s="1131">
        <f>R161*R165</f>
        <v>270402012.96904063</v>
      </c>
      <c r="S167" s="1074"/>
      <c r="W167" s="1131">
        <f>W161*W165</f>
        <v>835755641.72235751</v>
      </c>
      <c r="X167" s="1131">
        <f>X161*X165</f>
        <v>342393320.3549065</v>
      </c>
      <c r="Y167" s="1131">
        <f>Y161*Y165</f>
        <v>222960308.39841032</v>
      </c>
      <c r="Z167" s="1131">
        <f>Z161*Z165</f>
        <v>270402012.96904063</v>
      </c>
      <c r="AA167" s="1074"/>
      <c r="AE167" s="1131">
        <f>AE161*AE165</f>
        <v>835755641.72235751</v>
      </c>
      <c r="AF167" s="1131">
        <f>AF161*AF165</f>
        <v>342393320.3549065</v>
      </c>
      <c r="AG167" s="1131">
        <f>AG161*AG165</f>
        <v>222960308.39841032</v>
      </c>
      <c r="AH167" s="1131">
        <f>AH161*AH165</f>
        <v>270402012.96904063</v>
      </c>
      <c r="AI167" s="1074"/>
      <c r="AM167" s="1131">
        <f>AM161*AM165</f>
        <v>835755641.72235751</v>
      </c>
      <c r="AN167" s="1131">
        <f>AN161*AN165</f>
        <v>342393320.3549065</v>
      </c>
      <c r="AO167" s="1131">
        <f>AO161*AO165</f>
        <v>222960308.39841032</v>
      </c>
      <c r="AP167" s="1131">
        <f>AP161*AP165</f>
        <v>270402012.96904063</v>
      </c>
      <c r="AQ167" s="1074"/>
      <c r="AU167" s="1131">
        <f>AU161*AU165</f>
        <v>835755641.72235751</v>
      </c>
      <c r="AV167" s="1131">
        <f>AV161*AV165</f>
        <v>342393320.3549065</v>
      </c>
      <c r="AW167" s="1131">
        <f>AW161*AW165</f>
        <v>222960308.39841032</v>
      </c>
      <c r="AX167" s="1131">
        <f>AX161*AX165</f>
        <v>270402012.96904063</v>
      </c>
      <c r="AY167" s="1074"/>
      <c r="BC167" s="1131">
        <f>BC161*BC165</f>
        <v>835755641.72235751</v>
      </c>
      <c r="BD167" s="1131">
        <f>BD161*BD165</f>
        <v>342393320.3549065</v>
      </c>
      <c r="BE167" s="1131">
        <f>BE161*BE165</f>
        <v>222960308.39841032</v>
      </c>
      <c r="BF167" s="1131">
        <f>BF161*BF165</f>
        <v>270402012.96904063</v>
      </c>
      <c r="BG167" s="1074"/>
      <c r="BK167" s="1131">
        <f>BK161*BK165</f>
        <v>835755641.72235751</v>
      </c>
      <c r="BL167" s="1131">
        <f>BL161*BL165</f>
        <v>342393320.3549065</v>
      </c>
      <c r="BM167" s="1131">
        <f>BM161*BM165</f>
        <v>222960308.39841032</v>
      </c>
      <c r="BN167" s="1131">
        <f>BN161*BN165</f>
        <v>270402012.96904063</v>
      </c>
      <c r="BO167" s="1074"/>
      <c r="BS167" s="1131">
        <f>BS161*BS165</f>
        <v>835755641.72235751</v>
      </c>
      <c r="BT167" s="1131">
        <f>BT161*BT165</f>
        <v>342393320.3549065</v>
      </c>
      <c r="BU167" s="1131">
        <f>BU161*BU165</f>
        <v>222960308.39841032</v>
      </c>
      <c r="BV167" s="1131">
        <f>BV161*BV165</f>
        <v>270402012.96904063</v>
      </c>
      <c r="BW167" s="1074"/>
      <c r="CA167" s="1131">
        <f>CA161*CA165</f>
        <v>835755641.72235751</v>
      </c>
      <c r="CB167" s="1131">
        <f>CB161*CB165</f>
        <v>342393320.3549065</v>
      </c>
      <c r="CC167" s="1131">
        <f>CC161*CC165</f>
        <v>222960308.39841032</v>
      </c>
      <c r="CD167" s="1131">
        <f>CD161*CD165</f>
        <v>270402012.96904063</v>
      </c>
      <c r="CE167" s="1074"/>
      <c r="CI167" s="1131">
        <f>CI161*CI165</f>
        <v>835755641.72235751</v>
      </c>
      <c r="CJ167" s="1131">
        <f>CJ161*CJ165</f>
        <v>342393320.3549065</v>
      </c>
      <c r="CK167" s="1131">
        <f>CK161*CK165</f>
        <v>222960308.39841032</v>
      </c>
      <c r="CL167" s="1131">
        <f>CL161*CL165</f>
        <v>270402012.96904063</v>
      </c>
      <c r="CM167" s="1074"/>
      <c r="CQ167" s="1131">
        <f>CQ161*CQ165</f>
        <v>835755641.72235751</v>
      </c>
      <c r="CR167" s="1131">
        <f>CR161*CR165</f>
        <v>342393320.3549065</v>
      </c>
      <c r="CS167" s="1131">
        <f>CS161*CS165</f>
        <v>222960308.39841032</v>
      </c>
      <c r="CT167" s="1131">
        <f>CT161*CT165</f>
        <v>270402012.96904063</v>
      </c>
      <c r="CU167" s="1074"/>
      <c r="CY167" s="1131">
        <f>CY161*CY165</f>
        <v>835755641.72235751</v>
      </c>
      <c r="CZ167" s="1131">
        <f>CZ161*CZ165</f>
        <v>342393320.3549065</v>
      </c>
      <c r="DA167" s="1131">
        <f>DA161*DA165</f>
        <v>222960308.39841032</v>
      </c>
      <c r="DB167" s="1131">
        <f>DB161*DB165</f>
        <v>270402012.96904063</v>
      </c>
      <c r="DC167" s="1074"/>
      <c r="DG167" s="1131">
        <f>DG161*DG165</f>
        <v>835755641.72235751</v>
      </c>
      <c r="DH167" s="1131">
        <f>DH161*DH165</f>
        <v>342393320.3549065</v>
      </c>
      <c r="DI167" s="1131">
        <f>DI161*DI165</f>
        <v>222960308.39841032</v>
      </c>
      <c r="DJ167" s="1131">
        <f>DJ161*DJ165</f>
        <v>270402012.96904063</v>
      </c>
      <c r="DK167" s="1074"/>
      <c r="DO167" s="1131">
        <f>DO161*DO165</f>
        <v>835755641.72235751</v>
      </c>
      <c r="DP167" s="1131">
        <f>DP161*DP165</f>
        <v>342393320.3549065</v>
      </c>
      <c r="DQ167" s="1131">
        <f>DQ161*DQ165</f>
        <v>222960308.39841032</v>
      </c>
      <c r="DR167" s="1131">
        <f>DR161*DR165</f>
        <v>270402012.96904063</v>
      </c>
      <c r="DS167" s="1074"/>
      <c r="DW167" s="1131">
        <f>DW161*DW165</f>
        <v>835755641.72235751</v>
      </c>
      <c r="DX167" s="1131">
        <f>DX161*DX165</f>
        <v>342393320.3549065</v>
      </c>
      <c r="DY167" s="1131">
        <f>DY161*DY165</f>
        <v>222960308.39841032</v>
      </c>
      <c r="DZ167" s="1131">
        <f>DZ161*DZ165</f>
        <v>270402012.96904063</v>
      </c>
      <c r="EA167" s="1074"/>
      <c r="EE167" s="1131">
        <f>EE161*EE165</f>
        <v>835755641.72235751</v>
      </c>
      <c r="EF167" s="1131">
        <f>EF161*EF165</f>
        <v>342393320.3549065</v>
      </c>
      <c r="EG167" s="1131">
        <f>EG161*EG165</f>
        <v>222960308.39841032</v>
      </c>
      <c r="EH167" s="1131">
        <f>EH161*EH165</f>
        <v>270402012.96904063</v>
      </c>
      <c r="EI167" s="1074"/>
      <c r="EM167" s="1131">
        <f>EM161*EM165</f>
        <v>835755641.72235751</v>
      </c>
      <c r="EN167" s="1131">
        <f>EN161*EN165</f>
        <v>342393320.3549065</v>
      </c>
      <c r="EO167" s="1131">
        <f>EO161*EO165</f>
        <v>222960308.39841032</v>
      </c>
      <c r="EP167" s="1131">
        <f>EP161*EP165</f>
        <v>270402012.96904063</v>
      </c>
      <c r="EQ167" s="1074"/>
      <c r="EU167" s="1131">
        <f>EU161*EU165</f>
        <v>835755641.72235751</v>
      </c>
      <c r="EV167" s="1131">
        <f>EV161*EV165</f>
        <v>342393320.3549065</v>
      </c>
      <c r="EW167" s="1131">
        <f>EW161*EW165</f>
        <v>222960308.39841032</v>
      </c>
      <c r="EX167" s="1131">
        <f>EX161*EX165</f>
        <v>270402012.96904063</v>
      </c>
      <c r="EY167" s="1074"/>
      <c r="FC167" s="1131">
        <f>FC161*FC165</f>
        <v>835755641.72235751</v>
      </c>
      <c r="FD167" s="1131">
        <f>FD161*FD165</f>
        <v>342393320.3549065</v>
      </c>
      <c r="FE167" s="1131">
        <f>FE161*FE165</f>
        <v>222960308.39841032</v>
      </c>
      <c r="FF167" s="1131">
        <f>FF161*FF165</f>
        <v>270402012.96904063</v>
      </c>
      <c r="FG167" s="1074"/>
      <c r="FK167" s="1131">
        <f>FK161*FK165</f>
        <v>835755641.72235751</v>
      </c>
      <c r="FL167" s="1131">
        <f>FL161*FL165</f>
        <v>342393320.3549065</v>
      </c>
      <c r="FM167" s="1131">
        <f>FM161*FM165</f>
        <v>222960308.39841032</v>
      </c>
      <c r="FN167" s="1131">
        <f>FN161*FN165</f>
        <v>270402012.96904063</v>
      </c>
      <c r="FO167" s="1074"/>
    </row>
    <row r="168" spans="1:171" x14ac:dyDescent="0.25">
      <c r="A168" s="1455"/>
      <c r="B168" s="1"/>
      <c r="C168" s="1"/>
      <c r="D168" s="1"/>
      <c r="E168" s="1"/>
      <c r="F168" s="1"/>
      <c r="G168" s="1"/>
      <c r="H168" s="1"/>
      <c r="I168" s="1"/>
      <c r="J168" s="1456"/>
      <c r="K168" s="904"/>
      <c r="S168" s="1074"/>
      <c r="AA168" s="1074"/>
      <c r="AI168" s="1074"/>
      <c r="AQ168" s="1074"/>
      <c r="AY168" s="1074"/>
      <c r="BG168" s="1074"/>
      <c r="BO168" s="1074"/>
      <c r="BW168" s="1074"/>
      <c r="CE168" s="1074"/>
      <c r="CM168" s="1074"/>
      <c r="CU168" s="1074"/>
      <c r="DC168" s="1074"/>
      <c r="DK168" s="1074"/>
      <c r="DS168" s="1074"/>
      <c r="EA168" s="1074"/>
      <c r="EI168" s="1074"/>
      <c r="EQ168" s="1074"/>
      <c r="EY168" s="1074"/>
      <c r="FG168" s="1074"/>
      <c r="FO168" s="1074"/>
    </row>
    <row r="169" spans="1:171" ht="16.5" thickBot="1" x14ac:dyDescent="0.3">
      <c r="A169" s="1455"/>
      <c r="B169" s="1"/>
      <c r="C169" s="1"/>
      <c r="D169" s="1"/>
      <c r="E169" s="1"/>
      <c r="F169" s="1"/>
      <c r="G169" s="1"/>
      <c r="H169" s="1"/>
      <c r="I169" s="1"/>
      <c r="J169" s="1456"/>
      <c r="K169" s="904"/>
      <c r="S169" s="1074"/>
      <c r="AA169" s="1074"/>
      <c r="AI169" s="1074"/>
      <c r="AQ169" s="1074"/>
      <c r="AY169" s="1074"/>
      <c r="BG169" s="1074"/>
      <c r="BO169" s="1074"/>
      <c r="BW169" s="1074"/>
      <c r="CE169" s="1074"/>
      <c r="CM169" s="1074"/>
      <c r="CU169" s="1074"/>
      <c r="DC169" s="1074"/>
      <c r="DK169" s="1074"/>
      <c r="DS169" s="1074"/>
      <c r="EA169" s="1074"/>
      <c r="EI169" s="1074"/>
      <c r="EQ169" s="1074"/>
      <c r="EY169" s="1074"/>
      <c r="FG169" s="1074"/>
      <c r="FO169" s="1074"/>
    </row>
    <row r="170" spans="1:171" ht="17.25" thickTop="1" thickBot="1" x14ac:dyDescent="0.3">
      <c r="A170" s="1459" t="s">
        <v>82</v>
      </c>
      <c r="B170" s="983"/>
      <c r="C170" s="983"/>
      <c r="D170" s="983"/>
      <c r="E170" s="984"/>
      <c r="F170" s="984"/>
      <c r="G170" s="985"/>
      <c r="H170" s="986"/>
      <c r="I170" s="986"/>
      <c r="J170" s="1460"/>
      <c r="K170" s="904"/>
      <c r="S170" s="1074"/>
      <c r="AA170" s="1074"/>
      <c r="AI170" s="1074"/>
      <c r="AQ170" s="1074"/>
      <c r="AY170" s="1074"/>
      <c r="BG170" s="1074"/>
      <c r="BO170" s="1074"/>
      <c r="BW170" s="1074"/>
      <c r="CE170" s="1074"/>
      <c r="CM170" s="1074"/>
      <c r="CU170" s="1074"/>
      <c r="DC170" s="1074"/>
      <c r="DK170" s="1074"/>
      <c r="DS170" s="1074"/>
      <c r="EA170" s="1074"/>
      <c r="EI170" s="1074"/>
      <c r="EQ170" s="1074"/>
      <c r="EY170" s="1074"/>
      <c r="FG170" s="1074"/>
      <c r="FO170" s="1074"/>
    </row>
    <row r="171" spans="1:171" ht="17.25" thickTop="1" thickBot="1" x14ac:dyDescent="0.3">
      <c r="A171" s="1461"/>
      <c r="B171" s="3675" t="s">
        <v>100</v>
      </c>
      <c r="C171" s="325" t="s">
        <v>323</v>
      </c>
      <c r="D171" s="325"/>
      <c r="E171" s="3758" t="s">
        <v>354</v>
      </c>
      <c r="F171" s="3759"/>
      <c r="G171" s="3762" t="s">
        <v>104</v>
      </c>
      <c r="H171" s="3765" t="s">
        <v>105</v>
      </c>
      <c r="I171" s="3768" t="s">
        <v>106</v>
      </c>
      <c r="J171" s="1462"/>
      <c r="K171" s="904"/>
      <c r="S171" s="1074"/>
      <c r="AA171" s="1074"/>
      <c r="AI171" s="1074"/>
      <c r="AQ171" s="1074"/>
      <c r="AY171" s="1074"/>
      <c r="BG171" s="1074"/>
      <c r="BO171" s="1074"/>
      <c r="BW171" s="1074"/>
      <c r="CE171" s="1074"/>
      <c r="CM171" s="1074"/>
      <c r="CU171" s="1074"/>
      <c r="DC171" s="1074"/>
      <c r="DK171" s="1074"/>
      <c r="DS171" s="1074"/>
      <c r="EA171" s="1074"/>
      <c r="EI171" s="1074"/>
      <c r="EQ171" s="1074"/>
      <c r="EY171" s="1074"/>
      <c r="FG171" s="1074"/>
      <c r="FO171" s="1074"/>
    </row>
    <row r="172" spans="1:171" ht="16.5" thickBot="1" x14ac:dyDescent="0.3">
      <c r="A172" s="1339"/>
      <c r="B172" s="3756"/>
      <c r="C172" s="322" t="s">
        <v>272</v>
      </c>
      <c r="D172" s="322" t="s">
        <v>96</v>
      </c>
      <c r="E172" s="3760"/>
      <c r="F172" s="3761"/>
      <c r="G172" s="3763"/>
      <c r="H172" s="3766"/>
      <c r="I172" s="3754"/>
      <c r="J172" s="1340" t="s">
        <v>98</v>
      </c>
      <c r="K172" s="904"/>
      <c r="S172" s="1074"/>
      <c r="AA172" s="1074"/>
      <c r="AI172" s="1074"/>
      <c r="AQ172" s="1074"/>
      <c r="AY172" s="1074"/>
      <c r="BG172" s="1074"/>
      <c r="BO172" s="1074"/>
      <c r="BW172" s="1074"/>
      <c r="CE172" s="1074"/>
      <c r="CM172" s="1074"/>
      <c r="CU172" s="1074"/>
      <c r="DC172" s="1074"/>
      <c r="DK172" s="1074"/>
      <c r="DS172" s="1074"/>
      <c r="EA172" s="1074"/>
      <c r="EI172" s="1074"/>
      <c r="EQ172" s="1074"/>
      <c r="EY172" s="1074"/>
      <c r="FG172" s="1074"/>
      <c r="FO172" s="1074"/>
    </row>
    <row r="173" spans="1:171" ht="16.5" thickBot="1" x14ac:dyDescent="0.3">
      <c r="A173" s="1463"/>
      <c r="B173" s="3757"/>
      <c r="C173" s="311" t="s">
        <v>273</v>
      </c>
      <c r="D173" s="311" t="s">
        <v>252</v>
      </c>
      <c r="E173" s="311" t="s">
        <v>450</v>
      </c>
      <c r="F173" s="311" t="s">
        <v>619</v>
      </c>
      <c r="G173" s="3764"/>
      <c r="H173" s="3767"/>
      <c r="I173" s="3769"/>
      <c r="J173" s="1464" t="s">
        <v>107</v>
      </c>
      <c r="K173" s="904"/>
      <c r="S173" s="1074"/>
      <c r="AA173" s="1074"/>
      <c r="AI173" s="1074"/>
      <c r="AQ173" s="1074"/>
      <c r="AY173" s="1074"/>
      <c r="BG173" s="1074"/>
      <c r="BO173" s="1074"/>
      <c r="BW173" s="1074"/>
      <c r="CE173" s="1074"/>
      <c r="CM173" s="1074"/>
      <c r="CU173" s="1074"/>
      <c r="DC173" s="1074"/>
      <c r="DK173" s="1074"/>
      <c r="DS173" s="1074"/>
      <c r="EA173" s="1074"/>
      <c r="EI173" s="1074"/>
      <c r="EQ173" s="1074"/>
      <c r="EY173" s="1074"/>
      <c r="FG173" s="1074"/>
      <c r="FO173" s="1074"/>
    </row>
    <row r="174" spans="1:171" ht="16.5" thickTop="1" x14ac:dyDescent="0.25">
      <c r="A174" s="1361" t="s">
        <v>456</v>
      </c>
      <c r="B174" s="64"/>
      <c r="C174" s="55"/>
      <c r="D174" s="55"/>
      <c r="E174" s="55"/>
      <c r="F174" s="55"/>
      <c r="G174" s="990"/>
      <c r="H174" s="886"/>
      <c r="I174" s="886"/>
      <c r="J174" s="1434"/>
      <c r="K174" s="904"/>
      <c r="S174" s="1074"/>
      <c r="AA174" s="1074"/>
      <c r="AI174" s="1074"/>
      <c r="AQ174" s="1074"/>
      <c r="AY174" s="1074"/>
      <c r="BG174" s="1074"/>
      <c r="BO174" s="1074"/>
      <c r="BW174" s="1074"/>
      <c r="CE174" s="1074"/>
      <c r="CM174" s="1074"/>
      <c r="CU174" s="1074"/>
      <c r="DC174" s="1074"/>
      <c r="DK174" s="1074"/>
      <c r="DS174" s="1074"/>
      <c r="EA174" s="1074"/>
      <c r="EI174" s="1074"/>
      <c r="EQ174" s="1074"/>
      <c r="EY174" s="1074"/>
      <c r="FG174" s="1074"/>
      <c r="FO174" s="1074"/>
    </row>
    <row r="175" spans="1:171" x14ac:dyDescent="0.25">
      <c r="A175" s="1421"/>
      <c r="B175" s="180" t="s">
        <v>457</v>
      </c>
      <c r="C175" s="55"/>
      <c r="D175" s="55"/>
      <c r="E175" s="55"/>
      <c r="F175" s="55"/>
      <c r="G175" s="990"/>
      <c r="H175" s="886"/>
      <c r="I175" s="886"/>
      <c r="J175" s="1434"/>
      <c r="K175" s="904"/>
      <c r="S175" s="1074"/>
      <c r="AA175" s="1074"/>
      <c r="AI175" s="1074"/>
      <c r="AQ175" s="1074"/>
      <c r="AY175" s="1074"/>
      <c r="BG175" s="1074"/>
      <c r="BO175" s="1074"/>
      <c r="BW175" s="1074"/>
      <c r="CE175" s="1074"/>
      <c r="CM175" s="1074"/>
      <c r="CU175" s="1074"/>
      <c r="DC175" s="1074"/>
      <c r="DK175" s="1074"/>
      <c r="DS175" s="1074"/>
      <c r="EA175" s="1074"/>
      <c r="EI175" s="1074"/>
      <c r="EQ175" s="1074"/>
      <c r="EY175" s="1074"/>
      <c r="FG175" s="1074"/>
      <c r="FO175" s="1074"/>
    </row>
    <row r="176" spans="1:171" x14ac:dyDescent="0.25">
      <c r="A176" s="1442">
        <v>160</v>
      </c>
      <c r="B176" s="220" t="s">
        <v>259</v>
      </c>
      <c r="C176" s="889" t="s">
        <v>72</v>
      </c>
      <c r="D176" s="889">
        <v>501</v>
      </c>
      <c r="E176" s="182" t="str">
        <f>'Sch 3 - Expenses'!E16</f>
        <v>PROD</v>
      </c>
      <c r="F176" s="890"/>
      <c r="G176" s="182">
        <f>'Sch 3 - Expenses'!G16</f>
        <v>252388860.8429752</v>
      </c>
      <c r="H176" s="182">
        <f>'Sch 3 - Expenses'!H16</f>
        <v>252388860.8429752</v>
      </c>
      <c r="I176" s="182">
        <f>'Sch 3 - Expenses'!I16</f>
        <v>0</v>
      </c>
      <c r="J176" s="1422">
        <f>'Sch 3 - Expenses'!J16</f>
        <v>0</v>
      </c>
      <c r="K176" s="904">
        <f t="shared" ref="K176:K195" si="547">IF($E176="DIRECT",0,1)</f>
        <v>1</v>
      </c>
      <c r="N176" s="1162">
        <f>VLOOKUP($A176,'New Resources - Group'!$A$4:$Y$133,N$2,FALSE)*N$1</f>
        <v>0</v>
      </c>
      <c r="O176" s="1117">
        <f>$G176+N176</f>
        <v>252388860.8429752</v>
      </c>
      <c r="P176" s="1118">
        <f>VLOOKUP($E176,O$442:R$453,2,FALSE)*O176*($K176)+IF($G176&lt;&gt;0,($H176/$G176)*O176,0)*(1-$K176)</f>
        <v>252388860.8429752</v>
      </c>
      <c r="Q176" s="1118">
        <f>VLOOKUP($E176,O$442:R$453,3,FALSE)*O176*($K176)+IF($G176&lt;&gt;0,($I176/$G176)*O176,0)*(1-$K176)</f>
        <v>0</v>
      </c>
      <c r="R176" s="1118">
        <f>VLOOKUP($E176,O$442:R$453,4,FALSE)*O176*($K176)+(O176-P176-Q176)*(1-$K176)</f>
        <v>0</v>
      </c>
      <c r="S176" s="1074"/>
      <c r="V176" s="1162">
        <f>VLOOKUP($A176,'New Resources - Group'!$A$4:$Y$133,V$2,FALSE)*V$1</f>
        <v>0</v>
      </c>
      <c r="W176" s="1117">
        <f>$G176+V176</f>
        <v>252388860.8429752</v>
      </c>
      <c r="X176" s="1118">
        <f>VLOOKUP($E176,W$442:Z$453,2,FALSE)*W176*($K176)+IF($G176&lt;&gt;0,($H176/$G176)*W176,0)*(1-$K176)</f>
        <v>252388860.8429752</v>
      </c>
      <c r="Y176" s="1118">
        <f>VLOOKUP($E176,W$442:Z$453,3,FALSE)*W176*($K176)+IF($G176&lt;&gt;0,($I176/$G176)*W176,0)*(1-$K176)</f>
        <v>0</v>
      </c>
      <c r="Z176" s="1118">
        <f>VLOOKUP($E176,W$442:Z$453,4,FALSE)*W176*($K176)+(W176-X176-Y176)*(1-$K176)</f>
        <v>0</v>
      </c>
      <c r="AA176" s="1074"/>
      <c r="AD176" s="1162">
        <f>VLOOKUP($A176,'New Resources - Group'!$A$4:$Y$133,AD$2,FALSE)*AD$1</f>
        <v>0</v>
      </c>
      <c r="AE176" s="1117">
        <f>$G176+AD176</f>
        <v>252388860.8429752</v>
      </c>
      <c r="AF176" s="1118">
        <f>VLOOKUP($E176,AE$442:AH$453,2,FALSE)*AE176*($K176)+IF($G176&lt;&gt;0,($H176/$G176)*AE176,0)*(1-$K176)</f>
        <v>252388860.8429752</v>
      </c>
      <c r="AG176" s="1118">
        <f>VLOOKUP($E176,AE$442:AH$453,3,FALSE)*AE176*($K176)+IF($G176&lt;&gt;0,($I176/$G176)*AE176,0)*(1-$K176)</f>
        <v>0</v>
      </c>
      <c r="AH176" s="1118">
        <f>VLOOKUP($E176,AE$442:AH$453,4,FALSE)*AE176*($K176)+(AE176-AF176-AG176)*(1-$K176)</f>
        <v>0</v>
      </c>
      <c r="AI176" s="1074"/>
      <c r="AL176" s="1162">
        <f>VLOOKUP($A176,'New Resources - Group'!$A$4:$Y$133,AL$2,FALSE)*AL$1</f>
        <v>0</v>
      </c>
      <c r="AM176" s="1117">
        <f>$G176+AL176</f>
        <v>252388860.8429752</v>
      </c>
      <c r="AN176" s="1118">
        <f>VLOOKUP($E176,AM$442:AP$453,2,FALSE)*AM176*($K176)+IF($G176&lt;&gt;0,($H176/$G176)*AM176,0)*(1-$K176)</f>
        <v>252388860.8429752</v>
      </c>
      <c r="AO176" s="1118">
        <f>VLOOKUP($E176,AM$442:AP$453,3,FALSE)*AM176*($K176)+IF($G176&lt;&gt;0,($I176/$G176)*AM176,0)*(1-$K176)</f>
        <v>0</v>
      </c>
      <c r="AP176" s="1118">
        <f>VLOOKUP($E176,AM$442:AP$453,4,FALSE)*AM176*($K176)+(AM176-AN176-AO176)*(1-$K176)</f>
        <v>0</v>
      </c>
      <c r="AQ176" s="1074"/>
      <c r="AT176" s="1162">
        <f>VLOOKUP($A176,'New Resources - Group'!$A$4:$Y$133,AT$2,FALSE)*AT$1</f>
        <v>0</v>
      </c>
      <c r="AU176" s="1117">
        <f>$G176+AT176</f>
        <v>252388860.8429752</v>
      </c>
      <c r="AV176" s="1118">
        <f>VLOOKUP($E176,AU$442:AX$453,2,FALSE)*AU176*($K176)+IF($G176&lt;&gt;0,($H176/$G176)*AU176,0)*(1-$K176)</f>
        <v>252388860.8429752</v>
      </c>
      <c r="AW176" s="1118">
        <f>VLOOKUP($E176,AU$442:AX$453,3,FALSE)*AU176*($K176)+IF($G176&lt;&gt;0,($I176/$G176)*AU176,0)*(1-$K176)</f>
        <v>0</v>
      </c>
      <c r="AX176" s="1118">
        <f>VLOOKUP($E176,AU$442:AX$453,4,FALSE)*AU176*($K176)+(AU176-AV176-AW176)*(1-$K176)</f>
        <v>0</v>
      </c>
      <c r="AY176" s="1074"/>
      <c r="BB176" s="1162">
        <f>VLOOKUP($A176,'New Resources - Group'!$A$4:$Y$133,BB$2,FALSE)*BB$1</f>
        <v>0</v>
      </c>
      <c r="BC176" s="1117">
        <f>$G176+BB176</f>
        <v>252388860.8429752</v>
      </c>
      <c r="BD176" s="1118">
        <f>VLOOKUP($E176,BC$442:BF$453,2,FALSE)*BC176*($K176)+IF($G176&lt;&gt;0,($H176/$G176)*BC176,0)*(1-$K176)</f>
        <v>252388860.8429752</v>
      </c>
      <c r="BE176" s="1118">
        <f>VLOOKUP($E176,BC$442:BF$453,3,FALSE)*BC176*($K176)+IF($G176&lt;&gt;0,($I176/$G176)*BC176,0)*(1-$K176)</f>
        <v>0</v>
      </c>
      <c r="BF176" s="1118">
        <f>VLOOKUP($E176,BC$442:BF$453,4,FALSE)*BC176*($K176)+(BC176-BD176-BE176)*(1-$K176)</f>
        <v>0</v>
      </c>
      <c r="BG176" s="1074"/>
      <c r="BJ176" s="1162">
        <f>VLOOKUP($A176,'New Resources - Group'!$A$4:$Y$133,BJ$2,FALSE)*BJ$1</f>
        <v>0</v>
      </c>
      <c r="BK176" s="1117">
        <f>$G176+BJ176</f>
        <v>252388860.8429752</v>
      </c>
      <c r="BL176" s="1118">
        <f>VLOOKUP($E176,BK$442:BN$453,2,FALSE)*BK176*($K176)+IF($G176&lt;&gt;0,($H176/$G176)*BK176,0)*(1-$K176)</f>
        <v>252388860.8429752</v>
      </c>
      <c r="BM176" s="1118">
        <f>VLOOKUP($E176,BK$442:BN$453,3,FALSE)*BK176*($K176)+IF($G176&lt;&gt;0,($I176/$G176)*BK176,0)*(1-$K176)</f>
        <v>0</v>
      </c>
      <c r="BN176" s="1118">
        <f>VLOOKUP($E176,BK$442:BN$453,4,FALSE)*BK176*($K176)+(BK176-BL176-BM176)*(1-$K176)</f>
        <v>0</v>
      </c>
      <c r="BO176" s="1074"/>
      <c r="BR176" s="1162">
        <f>VLOOKUP($A176,'New Resources - Group'!$A$4:$Y$133,BR$2,FALSE)*BR$1</f>
        <v>0</v>
      </c>
      <c r="BS176" s="1117">
        <f>$G176+BR176</f>
        <v>252388860.8429752</v>
      </c>
      <c r="BT176" s="1118">
        <f>VLOOKUP($E176,BS$442:BV$453,2,FALSE)*BS176*($K176)+IF($G176&lt;&gt;0,($H176/$G176)*BS176,0)*(1-$K176)</f>
        <v>252388860.8429752</v>
      </c>
      <c r="BU176" s="1118">
        <f>VLOOKUP($E176,BS$442:BV$453,3,FALSE)*BS176*($K176)+IF($G176&lt;&gt;0,($I176/$G176)*BS176,0)*(1-$K176)</f>
        <v>0</v>
      </c>
      <c r="BV176" s="1118">
        <f>VLOOKUP($E176,BS$442:BV$453,4,FALSE)*BS176*($K176)+(BS176-BT176-BU176)*(1-$K176)</f>
        <v>0</v>
      </c>
      <c r="BW176" s="1074"/>
      <c r="BZ176" s="1162">
        <f>VLOOKUP($A176,'New Resources - Group'!$A$4:$Y$133,BZ$2,FALSE)*BZ$1</f>
        <v>0</v>
      </c>
      <c r="CA176" s="1117">
        <f>$G176+BZ176</f>
        <v>252388860.8429752</v>
      </c>
      <c r="CB176" s="1118">
        <f>VLOOKUP($E176,CA$442:CD$453,2,FALSE)*CA176*($K176)+IF($G176&lt;&gt;0,($H176/$G176)*CA176,0)*(1-$K176)</f>
        <v>252388860.8429752</v>
      </c>
      <c r="CC176" s="1118">
        <f>VLOOKUP($E176,CA$442:CD$453,3,FALSE)*CA176*($K176)+IF($G176&lt;&gt;0,($I176/$G176)*CA176,0)*(1-$K176)</f>
        <v>0</v>
      </c>
      <c r="CD176" s="1118">
        <f>VLOOKUP($E176,CA$442:CD$453,4,FALSE)*CA176*($K176)+(CA176-CB176-CC176)*(1-$K176)</f>
        <v>0</v>
      </c>
      <c r="CE176" s="1074"/>
      <c r="CH176" s="1162">
        <f>VLOOKUP($A176,'New Resources - Group'!$A$4:$Y$133,CH$2,FALSE)*CH$1</f>
        <v>0</v>
      </c>
      <c r="CI176" s="1117">
        <f>$G176+CH176</f>
        <v>252388860.8429752</v>
      </c>
      <c r="CJ176" s="1118">
        <f>VLOOKUP($E176,CI$442:CL$453,2,FALSE)*CI176*($K176)+IF($G176&lt;&gt;0,($H176/$G176)*CI176,0)*(1-$K176)</f>
        <v>252388860.8429752</v>
      </c>
      <c r="CK176" s="1118">
        <f>VLOOKUP($E176,CI$442:CL$453,3,FALSE)*CI176*($K176)+IF($G176&lt;&gt;0,($I176/$G176)*CI176,0)*(1-$K176)</f>
        <v>0</v>
      </c>
      <c r="CL176" s="1118">
        <f>VLOOKUP($E176,CI$442:CL$453,4,FALSE)*CI176*($K176)+(CI176-CJ176-CK176)*(1-$K176)</f>
        <v>0</v>
      </c>
      <c r="CM176" s="1074"/>
      <c r="CP176" s="1162">
        <f>VLOOKUP($A176,'New Resources - Group'!$A$4:$Y$133,CP$2,FALSE)*CP$1</f>
        <v>0</v>
      </c>
      <c r="CQ176" s="1117">
        <f>$G176+CP176</f>
        <v>252388860.8429752</v>
      </c>
      <c r="CR176" s="1118">
        <f>VLOOKUP($E176,CQ$442:CT$453,2,FALSE)*CQ176*($K176)+IF($G176&lt;&gt;0,($H176/$G176)*CQ176,0)*(1-$K176)</f>
        <v>252388860.8429752</v>
      </c>
      <c r="CS176" s="1118">
        <f>VLOOKUP($E176,CQ$442:CT$453,3,FALSE)*CQ176*($K176)+IF($G176&lt;&gt;0,($I176/$G176)*CQ176,0)*(1-$K176)</f>
        <v>0</v>
      </c>
      <c r="CT176" s="1118">
        <f>VLOOKUP($E176,CQ$442:CT$453,4,FALSE)*CQ176*($K176)+(CQ176-CR176-CS176)*(1-$K176)</f>
        <v>0</v>
      </c>
      <c r="CU176" s="1074"/>
      <c r="CX176" s="1162">
        <f>VLOOKUP($A176,'New Resources - Group'!$A$4:$Y$133,CX$2,FALSE)*CX$1</f>
        <v>0</v>
      </c>
      <c r="CY176" s="1117">
        <f>$G176+CX176</f>
        <v>252388860.8429752</v>
      </c>
      <c r="CZ176" s="1118">
        <f>VLOOKUP($E176,CY$442:DB$453,2,FALSE)*CY176*($K176)+IF($G176&lt;&gt;0,($H176/$G176)*CY176,0)*(1-$K176)</f>
        <v>252388860.8429752</v>
      </c>
      <c r="DA176" s="1118">
        <f>VLOOKUP($E176,CY$442:DB$453,3,FALSE)*CY176*($K176)+IF($G176&lt;&gt;0,($I176/$G176)*CY176,0)*(1-$K176)</f>
        <v>0</v>
      </c>
      <c r="DB176" s="1118">
        <f>VLOOKUP($E176,CY$442:DB$453,4,FALSE)*CY176*($K176)+(CY176-CZ176-DA176)*(1-$K176)</f>
        <v>0</v>
      </c>
      <c r="DC176" s="1074"/>
      <c r="DF176" s="1162">
        <f>VLOOKUP($A176,'New Resources - Group'!$A$4:$Y$133,DF$2,FALSE)*DF$1</f>
        <v>0</v>
      </c>
      <c r="DG176" s="1117">
        <f>$G176+DF176</f>
        <v>252388860.8429752</v>
      </c>
      <c r="DH176" s="1118">
        <f>VLOOKUP($E176,DG$442:DJ$453,2,FALSE)*DG176*($K176)+IF($G176&lt;&gt;0,($H176/$G176)*DG176,0)*(1-$K176)</f>
        <v>252388860.8429752</v>
      </c>
      <c r="DI176" s="1118">
        <f>VLOOKUP($E176,DG$442:DJ$453,3,FALSE)*DG176*($K176)+IF($G176&lt;&gt;0,($I176/$G176)*DG176,0)*(1-$K176)</f>
        <v>0</v>
      </c>
      <c r="DJ176" s="1118">
        <f>VLOOKUP($E176,DG$442:DJ$453,4,FALSE)*DG176*($K176)+(DG176-DH176-DI176)*(1-$K176)</f>
        <v>0</v>
      </c>
      <c r="DK176" s="1074"/>
      <c r="DN176" s="1162">
        <f>VLOOKUP($A176,'New Resources - Group'!$A$4:$Y$133,DN$2,FALSE)*DN$1</f>
        <v>0</v>
      </c>
      <c r="DO176" s="1117">
        <f>$G176+DN176</f>
        <v>252388860.8429752</v>
      </c>
      <c r="DP176" s="1118">
        <f>VLOOKUP($E176,DO$442:DR$453,2,FALSE)*DO176*($K176)+IF($G176&lt;&gt;0,($H176/$G176)*DO176,0)*(1-$K176)</f>
        <v>252388860.8429752</v>
      </c>
      <c r="DQ176" s="1118">
        <f>VLOOKUP($E176,DO$442:DR$453,3,FALSE)*DO176*($K176)+IF($G176&lt;&gt;0,($I176/$G176)*DO176,0)*(1-$K176)</f>
        <v>0</v>
      </c>
      <c r="DR176" s="1118">
        <f>VLOOKUP($E176,DO$442:DR$453,4,FALSE)*DO176*($K176)+(DO176-DP176-DQ176)*(1-$K176)</f>
        <v>0</v>
      </c>
      <c r="DS176" s="1074"/>
      <c r="DV176" s="1162">
        <f>VLOOKUP($A176,'New Resources - Group'!$A$4:$Y$133,DV$2,FALSE)*DV$1</f>
        <v>0</v>
      </c>
      <c r="DW176" s="1117">
        <f>$G176+DV176</f>
        <v>252388860.8429752</v>
      </c>
      <c r="DX176" s="1118">
        <f>VLOOKUP($E176,DW$442:DZ$453,2,FALSE)*DW176*($K176)+IF($G176&lt;&gt;0,($H176/$G176)*DW176,0)*(1-$K176)</f>
        <v>252388860.8429752</v>
      </c>
      <c r="DY176" s="1118">
        <f>VLOOKUP($E176,DW$442:DZ$453,3,FALSE)*DW176*($K176)+IF($G176&lt;&gt;0,($I176/$G176)*DW176,0)*(1-$K176)</f>
        <v>0</v>
      </c>
      <c r="DZ176" s="1118">
        <f>VLOOKUP($E176,DW$442:DZ$453,4,FALSE)*DW176*($K176)+(DW176-DX176-DY176)*(1-$K176)</f>
        <v>0</v>
      </c>
      <c r="EA176" s="1074"/>
      <c r="ED176" s="1162">
        <f>VLOOKUP($A176,'New Resources - Group'!$A$4:$Y$133,ED$2,FALSE)*ED$1</f>
        <v>0</v>
      </c>
      <c r="EE176" s="1117">
        <f>$G176+ED176</f>
        <v>252388860.8429752</v>
      </c>
      <c r="EF176" s="1118">
        <f>VLOOKUP($E176,EE$442:EH$453,2,FALSE)*EE176*($K176)+IF($G176&lt;&gt;0,($H176/$G176)*EE176,0)*(1-$K176)</f>
        <v>252388860.8429752</v>
      </c>
      <c r="EG176" s="1118">
        <f>VLOOKUP($E176,EE$442:EH$453,3,FALSE)*EE176*($K176)+IF($G176&lt;&gt;0,($I176/$G176)*EE176,0)*(1-$K176)</f>
        <v>0</v>
      </c>
      <c r="EH176" s="1118">
        <f>VLOOKUP($E176,EE$442:EH$453,4,FALSE)*EE176*($K176)+(EE176-EF176-EG176)*(1-$K176)</f>
        <v>0</v>
      </c>
      <c r="EI176" s="1074"/>
      <c r="EL176" s="1162">
        <f>VLOOKUP($A176,'New Resources - Group'!$A$4:$Y$133,EL$2,FALSE)*EL$1</f>
        <v>0</v>
      </c>
      <c r="EM176" s="1117">
        <f>$G176+EL176</f>
        <v>252388860.8429752</v>
      </c>
      <c r="EN176" s="1118">
        <f>VLOOKUP($E176,EM$442:EP$453,2,FALSE)*EM176*($K176)+IF($G176&lt;&gt;0,($H176/$G176)*EM176,0)*(1-$K176)</f>
        <v>252388860.8429752</v>
      </c>
      <c r="EO176" s="1118">
        <f>VLOOKUP($E176,EM$442:EP$453,3,FALSE)*EM176*($K176)+IF($G176&lt;&gt;0,($I176/$G176)*EM176,0)*(1-$K176)</f>
        <v>0</v>
      </c>
      <c r="EP176" s="1118">
        <f>VLOOKUP($E176,EM$442:EP$453,4,FALSE)*EM176*($K176)+(EM176-EN176-EO176)*(1-$K176)</f>
        <v>0</v>
      </c>
      <c r="EQ176" s="1074"/>
      <c r="ET176" s="1162">
        <f>VLOOKUP($A176,'New Resources - Group'!$A$4:$Y$133,ET$2,FALSE)*ET$1</f>
        <v>0</v>
      </c>
      <c r="EU176" s="1117">
        <f>$G176+ET176</f>
        <v>252388860.8429752</v>
      </c>
      <c r="EV176" s="1118">
        <f>VLOOKUP($E176,EU$442:EX$453,2,FALSE)*EU176*($K176)+IF($G176&lt;&gt;0,($H176/$G176)*EU176,0)*(1-$K176)</f>
        <v>252388860.8429752</v>
      </c>
      <c r="EW176" s="1118">
        <f>VLOOKUP($E176,EU$442:EX$453,3,FALSE)*EU176*($K176)+IF($G176&lt;&gt;0,($I176/$G176)*EU176,0)*(1-$K176)</f>
        <v>0</v>
      </c>
      <c r="EX176" s="1118">
        <f>VLOOKUP($E176,EU$442:EX$453,4,FALSE)*EU176*($K176)+(EU176-EV176-EW176)*(1-$K176)</f>
        <v>0</v>
      </c>
      <c r="EY176" s="1074"/>
      <c r="FB176" s="1162">
        <f>VLOOKUP($A176,'New Resources - Group'!$A$4:$Y$133,FB$2,FALSE)*FB$1</f>
        <v>0</v>
      </c>
      <c r="FC176" s="1117">
        <f>$G176+FB176</f>
        <v>252388860.8429752</v>
      </c>
      <c r="FD176" s="1118">
        <f>VLOOKUP($E176,FC$442:FF$453,2,FALSE)*FC176*($K176)+IF($G176&lt;&gt;0,($H176/$G176)*FC176,0)*(1-$K176)</f>
        <v>252388860.8429752</v>
      </c>
      <c r="FE176" s="1118">
        <f>VLOOKUP($E176,FC$442:FF$453,3,FALSE)*FC176*($K176)+IF($G176&lt;&gt;0,($I176/$G176)*FC176,0)*(1-$K176)</f>
        <v>0</v>
      </c>
      <c r="FF176" s="1118">
        <f>VLOOKUP($E176,FC$442:FF$453,4,FALSE)*FC176*($K176)+(FC176-FD176-FE176)*(1-$K176)</f>
        <v>0</v>
      </c>
      <c r="FG176" s="1074"/>
      <c r="FJ176" s="1162">
        <f>VLOOKUP($A176,'New Resources - Group'!$A$4:$Y$133,FJ$2,FALSE)*FJ$1</f>
        <v>0</v>
      </c>
      <c r="FK176" s="1117">
        <f>$G176+FJ176</f>
        <v>252388860.8429752</v>
      </c>
      <c r="FL176" s="1118">
        <f>VLOOKUP($E176,FK$442:FN$453,2,FALSE)*FK176*($K176)+IF($G176&lt;&gt;0,($H176/$G176)*FK176,0)*(1-$K176)</f>
        <v>252388860.8429752</v>
      </c>
      <c r="FM176" s="1118">
        <f>VLOOKUP($E176,FK$442:FN$453,3,FALSE)*FK176*($K176)+IF($G176&lt;&gt;0,($I176/$G176)*FK176,0)*(1-$K176)</f>
        <v>0</v>
      </c>
      <c r="FN176" s="1118">
        <f>VLOOKUP($E176,FK$442:FN$453,4,FALSE)*FK176*($K176)+(FK176-FL176-FM176)*(1-$K176)</f>
        <v>0</v>
      </c>
      <c r="FO176" s="1074"/>
    </row>
    <row r="177" spans="1:171" x14ac:dyDescent="0.25">
      <c r="A177" s="1442">
        <v>170</v>
      </c>
      <c r="B177" s="220" t="s">
        <v>260</v>
      </c>
      <c r="C177" s="889" t="s">
        <v>72</v>
      </c>
      <c r="D177" s="889" t="s">
        <v>452</v>
      </c>
      <c r="E177" s="182" t="str">
        <f>'Sch 3 - Expenses'!E17</f>
        <v>PROD</v>
      </c>
      <c r="F177" s="890"/>
      <c r="G177" s="182">
        <f>'Sch 3 - Expenses'!G17</f>
        <v>54995738.093448065</v>
      </c>
      <c r="H177" s="182">
        <f>'Sch 3 - Expenses'!H17</f>
        <v>54995738.093448065</v>
      </c>
      <c r="I177" s="182">
        <f>'Sch 3 - Expenses'!I17</f>
        <v>0</v>
      </c>
      <c r="J177" s="1422">
        <f>'Sch 3 - Expenses'!J17</f>
        <v>0</v>
      </c>
      <c r="K177" s="904">
        <f t="shared" si="547"/>
        <v>1</v>
      </c>
      <c r="N177" s="1162">
        <f>VLOOKUP($A177,'New Resources - Group'!$A$4:$Y$133,N$2,FALSE)*N$1</f>
        <v>0</v>
      </c>
      <c r="O177" s="1117">
        <f>$G177+N177</f>
        <v>54995738.093448065</v>
      </c>
      <c r="P177" s="1118">
        <f>VLOOKUP($E177,O$442:R$453,2,FALSE)*O177*($K177)+IF($G177&lt;&gt;0,($H177/$G177)*O177,0)*(1-$K177)</f>
        <v>54995738.093448065</v>
      </c>
      <c r="Q177" s="1118">
        <f>VLOOKUP($E177,O$442:R$453,3,FALSE)*O177*($K177)+IF($G177&lt;&gt;0,($I177/$G177)*O177,0)*(1-$K177)</f>
        <v>0</v>
      </c>
      <c r="R177" s="1118">
        <f>VLOOKUP($E177,O$442:R$453,4,FALSE)*O177*($K177)+(O177-P177-Q177)*(1-$K177)</f>
        <v>0</v>
      </c>
      <c r="S177" s="1074"/>
      <c r="V177" s="1162">
        <f>VLOOKUP($A177,'New Resources - Group'!$A$4:$Y$133,V$2,FALSE)*V$1</f>
        <v>0</v>
      </c>
      <c r="W177" s="1117">
        <f>$G177+V177</f>
        <v>54995738.093448065</v>
      </c>
      <c r="X177" s="1118">
        <f>VLOOKUP($E177,W$442:Z$453,2,FALSE)*W177*($K177)+IF($G177&lt;&gt;0,($H177/$G177)*W177,0)*(1-$K177)</f>
        <v>54995738.093448065</v>
      </c>
      <c r="Y177" s="1118">
        <f>VLOOKUP($E177,W$442:Z$453,3,FALSE)*W177*($K177)+IF($G177&lt;&gt;0,($I177/$G177)*W177,0)*(1-$K177)</f>
        <v>0</v>
      </c>
      <c r="Z177" s="1118">
        <f>VLOOKUP($E177,W$442:Z$453,4,FALSE)*W177*($K177)+(W177-X177-Y177)*(1-$K177)</f>
        <v>0</v>
      </c>
      <c r="AA177" s="1074"/>
      <c r="AD177" s="1162">
        <f>VLOOKUP($A177,'New Resources - Group'!$A$4:$Y$133,AD$2,FALSE)*AD$1</f>
        <v>0</v>
      </c>
      <c r="AE177" s="1117">
        <f>$G177+AD177</f>
        <v>54995738.093448065</v>
      </c>
      <c r="AF177" s="1118">
        <f>VLOOKUP($E177,AE$442:AH$453,2,FALSE)*AE177*($K177)+IF($G177&lt;&gt;0,($H177/$G177)*AE177,0)*(1-$K177)</f>
        <v>54995738.093448065</v>
      </c>
      <c r="AG177" s="1118">
        <f>VLOOKUP($E177,AE$442:AH$453,3,FALSE)*AE177*($K177)+IF($G177&lt;&gt;0,($I177/$G177)*AE177,0)*(1-$K177)</f>
        <v>0</v>
      </c>
      <c r="AH177" s="1118">
        <f>VLOOKUP($E177,AE$442:AH$453,4,FALSE)*AE177*($K177)+(AE177-AF177-AG177)*(1-$K177)</f>
        <v>0</v>
      </c>
      <c r="AI177" s="1074"/>
      <c r="AL177" s="1162">
        <f>VLOOKUP($A177,'New Resources - Group'!$A$4:$Y$133,AL$2,FALSE)*AL$1</f>
        <v>0</v>
      </c>
      <c r="AM177" s="1117">
        <f>$G177+AL177</f>
        <v>54995738.093448065</v>
      </c>
      <c r="AN177" s="1118">
        <f>VLOOKUP($E177,AM$442:AP$453,2,FALSE)*AM177*($K177)+IF($G177&lt;&gt;0,($H177/$G177)*AM177,0)*(1-$K177)</f>
        <v>54995738.093448065</v>
      </c>
      <c r="AO177" s="1118">
        <f>VLOOKUP($E177,AM$442:AP$453,3,FALSE)*AM177*($K177)+IF($G177&lt;&gt;0,($I177/$G177)*AM177,0)*(1-$K177)</f>
        <v>0</v>
      </c>
      <c r="AP177" s="1118">
        <f>VLOOKUP($E177,AM$442:AP$453,4,FALSE)*AM177*($K177)+(AM177-AN177-AO177)*(1-$K177)</f>
        <v>0</v>
      </c>
      <c r="AQ177" s="1074"/>
      <c r="AT177" s="1162">
        <f>VLOOKUP($A177,'New Resources - Group'!$A$4:$Y$133,AT$2,FALSE)*AT$1</f>
        <v>0</v>
      </c>
      <c r="AU177" s="1117">
        <f>$G177+AT177</f>
        <v>54995738.093448065</v>
      </c>
      <c r="AV177" s="1118">
        <f>VLOOKUP($E177,AU$442:AX$453,2,FALSE)*AU177*($K177)+IF($G177&lt;&gt;0,($H177/$G177)*AU177,0)*(1-$K177)</f>
        <v>54995738.093448065</v>
      </c>
      <c r="AW177" s="1118">
        <f>VLOOKUP($E177,AU$442:AX$453,3,FALSE)*AU177*($K177)+IF($G177&lt;&gt;0,($I177/$G177)*AU177,0)*(1-$K177)</f>
        <v>0</v>
      </c>
      <c r="AX177" s="1118">
        <f>VLOOKUP($E177,AU$442:AX$453,4,FALSE)*AU177*($K177)+(AU177-AV177-AW177)*(1-$K177)</f>
        <v>0</v>
      </c>
      <c r="AY177" s="1074"/>
      <c r="BB177" s="1162">
        <f>VLOOKUP($A177,'New Resources - Group'!$A$4:$Y$133,BB$2,FALSE)*BB$1</f>
        <v>0</v>
      </c>
      <c r="BC177" s="1117">
        <f>$G177+BB177</f>
        <v>54995738.093448065</v>
      </c>
      <c r="BD177" s="1118">
        <f>VLOOKUP($E177,BC$442:BF$453,2,FALSE)*BC177*($K177)+IF($G177&lt;&gt;0,($H177/$G177)*BC177,0)*(1-$K177)</f>
        <v>54995738.093448065</v>
      </c>
      <c r="BE177" s="1118">
        <f>VLOOKUP($E177,BC$442:BF$453,3,FALSE)*BC177*($K177)+IF($G177&lt;&gt;0,($I177/$G177)*BC177,0)*(1-$K177)</f>
        <v>0</v>
      </c>
      <c r="BF177" s="1118">
        <f>VLOOKUP($E177,BC$442:BF$453,4,FALSE)*BC177*($K177)+(BC177-BD177-BE177)*(1-$K177)</f>
        <v>0</v>
      </c>
      <c r="BG177" s="1074"/>
      <c r="BJ177" s="1162">
        <f>VLOOKUP($A177,'New Resources - Group'!$A$4:$Y$133,BJ$2,FALSE)*BJ$1</f>
        <v>0</v>
      </c>
      <c r="BK177" s="1117">
        <f>$G177+BJ177</f>
        <v>54995738.093448065</v>
      </c>
      <c r="BL177" s="1118">
        <f>VLOOKUP($E177,BK$442:BN$453,2,FALSE)*BK177*($K177)+IF($G177&lt;&gt;0,($H177/$G177)*BK177,0)*(1-$K177)</f>
        <v>54995738.093448065</v>
      </c>
      <c r="BM177" s="1118">
        <f>VLOOKUP($E177,BK$442:BN$453,3,FALSE)*BK177*($K177)+IF($G177&lt;&gt;0,($I177/$G177)*BK177,0)*(1-$K177)</f>
        <v>0</v>
      </c>
      <c r="BN177" s="1118">
        <f>VLOOKUP($E177,BK$442:BN$453,4,FALSE)*BK177*($K177)+(BK177-BL177-BM177)*(1-$K177)</f>
        <v>0</v>
      </c>
      <c r="BO177" s="1074"/>
      <c r="BR177" s="1162">
        <f>VLOOKUP($A177,'New Resources - Group'!$A$4:$Y$133,BR$2,FALSE)*BR$1</f>
        <v>0</v>
      </c>
      <c r="BS177" s="1117">
        <f>$G177+BR177</f>
        <v>54995738.093448065</v>
      </c>
      <c r="BT177" s="1118">
        <f>VLOOKUP($E177,BS$442:BV$453,2,FALSE)*BS177*($K177)+IF($G177&lt;&gt;0,($H177/$G177)*BS177,0)*(1-$K177)</f>
        <v>54995738.093448065</v>
      </c>
      <c r="BU177" s="1118">
        <f>VLOOKUP($E177,BS$442:BV$453,3,FALSE)*BS177*($K177)+IF($G177&lt;&gt;0,($I177/$G177)*BS177,0)*(1-$K177)</f>
        <v>0</v>
      </c>
      <c r="BV177" s="1118">
        <f>VLOOKUP($E177,BS$442:BV$453,4,FALSE)*BS177*($K177)+(BS177-BT177-BU177)*(1-$K177)</f>
        <v>0</v>
      </c>
      <c r="BW177" s="1074"/>
      <c r="BZ177" s="1162">
        <f>VLOOKUP($A177,'New Resources - Group'!$A$4:$Y$133,BZ$2,FALSE)*BZ$1</f>
        <v>0</v>
      </c>
      <c r="CA177" s="1117">
        <f>$G177+BZ177</f>
        <v>54995738.093448065</v>
      </c>
      <c r="CB177" s="1118">
        <f>VLOOKUP($E177,CA$442:CD$453,2,FALSE)*CA177*($K177)+IF($G177&lt;&gt;0,($H177/$G177)*CA177,0)*(1-$K177)</f>
        <v>54995738.093448065</v>
      </c>
      <c r="CC177" s="1118">
        <f>VLOOKUP($E177,CA$442:CD$453,3,FALSE)*CA177*($K177)+IF($G177&lt;&gt;0,($I177/$G177)*CA177,0)*(1-$K177)</f>
        <v>0</v>
      </c>
      <c r="CD177" s="1118">
        <f>VLOOKUP($E177,CA$442:CD$453,4,FALSE)*CA177*($K177)+(CA177-CB177-CC177)*(1-$K177)</f>
        <v>0</v>
      </c>
      <c r="CE177" s="1074"/>
      <c r="CH177" s="1162">
        <f>VLOOKUP($A177,'New Resources - Group'!$A$4:$Y$133,CH$2,FALSE)*CH$1</f>
        <v>0</v>
      </c>
      <c r="CI177" s="1117">
        <f>$G177+CH177</f>
        <v>54995738.093448065</v>
      </c>
      <c r="CJ177" s="1118">
        <f>VLOOKUP($E177,CI$442:CL$453,2,FALSE)*CI177*($K177)+IF($G177&lt;&gt;0,($H177/$G177)*CI177,0)*(1-$K177)</f>
        <v>54995738.093448065</v>
      </c>
      <c r="CK177" s="1118">
        <f>VLOOKUP($E177,CI$442:CL$453,3,FALSE)*CI177*($K177)+IF($G177&lt;&gt;0,($I177/$G177)*CI177,0)*(1-$K177)</f>
        <v>0</v>
      </c>
      <c r="CL177" s="1118">
        <f>VLOOKUP($E177,CI$442:CL$453,4,FALSE)*CI177*($K177)+(CI177-CJ177-CK177)*(1-$K177)</f>
        <v>0</v>
      </c>
      <c r="CM177" s="1074"/>
      <c r="CP177" s="1162">
        <f>VLOOKUP($A177,'New Resources - Group'!$A$4:$Y$133,CP$2,FALSE)*CP$1</f>
        <v>0</v>
      </c>
      <c r="CQ177" s="1117">
        <f>$G177+CP177</f>
        <v>54995738.093448065</v>
      </c>
      <c r="CR177" s="1118">
        <f>VLOOKUP($E177,CQ$442:CT$453,2,FALSE)*CQ177*($K177)+IF($G177&lt;&gt;0,($H177/$G177)*CQ177,0)*(1-$K177)</f>
        <v>54995738.093448065</v>
      </c>
      <c r="CS177" s="1118">
        <f>VLOOKUP($E177,CQ$442:CT$453,3,FALSE)*CQ177*($K177)+IF($G177&lt;&gt;0,($I177/$G177)*CQ177,0)*(1-$K177)</f>
        <v>0</v>
      </c>
      <c r="CT177" s="1118">
        <f>VLOOKUP($E177,CQ$442:CT$453,4,FALSE)*CQ177*($K177)+(CQ177-CR177-CS177)*(1-$K177)</f>
        <v>0</v>
      </c>
      <c r="CU177" s="1074"/>
      <c r="CX177" s="1162">
        <f>VLOOKUP($A177,'New Resources - Group'!$A$4:$Y$133,CX$2,FALSE)*CX$1</f>
        <v>0</v>
      </c>
      <c r="CY177" s="1117">
        <f>$G177+CX177</f>
        <v>54995738.093448065</v>
      </c>
      <c r="CZ177" s="1118">
        <f>VLOOKUP($E177,CY$442:DB$453,2,FALSE)*CY177*($K177)+IF($G177&lt;&gt;0,($H177/$G177)*CY177,0)*(1-$K177)</f>
        <v>54995738.093448065</v>
      </c>
      <c r="DA177" s="1118">
        <f>VLOOKUP($E177,CY$442:DB$453,3,FALSE)*CY177*($K177)+IF($G177&lt;&gt;0,($I177/$G177)*CY177,0)*(1-$K177)</f>
        <v>0</v>
      </c>
      <c r="DB177" s="1118">
        <f>VLOOKUP($E177,CY$442:DB$453,4,FALSE)*CY177*($K177)+(CY177-CZ177-DA177)*(1-$K177)</f>
        <v>0</v>
      </c>
      <c r="DC177" s="1074"/>
      <c r="DF177" s="1162">
        <f>VLOOKUP($A177,'New Resources - Group'!$A$4:$Y$133,DF$2,FALSE)*DF$1</f>
        <v>0</v>
      </c>
      <c r="DG177" s="1117">
        <f>$G177+DF177</f>
        <v>54995738.093448065</v>
      </c>
      <c r="DH177" s="1118">
        <f>VLOOKUP($E177,DG$442:DJ$453,2,FALSE)*DG177*($K177)+IF($G177&lt;&gt;0,($H177/$G177)*DG177,0)*(1-$K177)</f>
        <v>54995738.093448065</v>
      </c>
      <c r="DI177" s="1118">
        <f>VLOOKUP($E177,DG$442:DJ$453,3,FALSE)*DG177*($K177)+IF($G177&lt;&gt;0,($I177/$G177)*DG177,0)*(1-$K177)</f>
        <v>0</v>
      </c>
      <c r="DJ177" s="1118">
        <f>VLOOKUP($E177,DG$442:DJ$453,4,FALSE)*DG177*($K177)+(DG177-DH177-DI177)*(1-$K177)</f>
        <v>0</v>
      </c>
      <c r="DK177" s="1074"/>
      <c r="DN177" s="1162">
        <f>VLOOKUP($A177,'New Resources - Group'!$A$4:$Y$133,DN$2,FALSE)*DN$1</f>
        <v>0</v>
      </c>
      <c r="DO177" s="1117">
        <f>$G177+DN177</f>
        <v>54995738.093448065</v>
      </c>
      <c r="DP177" s="1118">
        <f>VLOOKUP($E177,DO$442:DR$453,2,FALSE)*DO177*($K177)+IF($G177&lt;&gt;0,($H177/$G177)*DO177,0)*(1-$K177)</f>
        <v>54995738.093448065</v>
      </c>
      <c r="DQ177" s="1118">
        <f>VLOOKUP($E177,DO$442:DR$453,3,FALSE)*DO177*($K177)+IF($G177&lt;&gt;0,($I177/$G177)*DO177,0)*(1-$K177)</f>
        <v>0</v>
      </c>
      <c r="DR177" s="1118">
        <f>VLOOKUP($E177,DO$442:DR$453,4,FALSE)*DO177*($K177)+(DO177-DP177-DQ177)*(1-$K177)</f>
        <v>0</v>
      </c>
      <c r="DS177" s="1074"/>
      <c r="DV177" s="1162">
        <f>VLOOKUP($A177,'New Resources - Group'!$A$4:$Y$133,DV$2,FALSE)*DV$1</f>
        <v>0</v>
      </c>
      <c r="DW177" s="1117">
        <f>$G177+DV177</f>
        <v>54995738.093448065</v>
      </c>
      <c r="DX177" s="1118">
        <f>VLOOKUP($E177,DW$442:DZ$453,2,FALSE)*DW177*($K177)+IF($G177&lt;&gt;0,($H177/$G177)*DW177,0)*(1-$K177)</f>
        <v>54995738.093448065</v>
      </c>
      <c r="DY177" s="1118">
        <f>VLOOKUP($E177,DW$442:DZ$453,3,FALSE)*DW177*($K177)+IF($G177&lt;&gt;0,($I177/$G177)*DW177,0)*(1-$K177)</f>
        <v>0</v>
      </c>
      <c r="DZ177" s="1118">
        <f>VLOOKUP($E177,DW$442:DZ$453,4,FALSE)*DW177*($K177)+(DW177-DX177-DY177)*(1-$K177)</f>
        <v>0</v>
      </c>
      <c r="EA177" s="1074"/>
      <c r="ED177" s="1162">
        <f>VLOOKUP($A177,'New Resources - Group'!$A$4:$Y$133,ED$2,FALSE)*ED$1</f>
        <v>0</v>
      </c>
      <c r="EE177" s="1117">
        <f>$G177+ED177</f>
        <v>54995738.093448065</v>
      </c>
      <c r="EF177" s="1118">
        <f>VLOOKUP($E177,EE$442:EH$453,2,FALSE)*EE177*($K177)+IF($G177&lt;&gt;0,($H177/$G177)*EE177,0)*(1-$K177)</f>
        <v>54995738.093448065</v>
      </c>
      <c r="EG177" s="1118">
        <f>VLOOKUP($E177,EE$442:EH$453,3,FALSE)*EE177*($K177)+IF($G177&lt;&gt;0,($I177/$G177)*EE177,0)*(1-$K177)</f>
        <v>0</v>
      </c>
      <c r="EH177" s="1118">
        <f>VLOOKUP($E177,EE$442:EH$453,4,FALSE)*EE177*($K177)+(EE177-EF177-EG177)*(1-$K177)</f>
        <v>0</v>
      </c>
      <c r="EI177" s="1074"/>
      <c r="EL177" s="1162">
        <f>VLOOKUP($A177,'New Resources - Group'!$A$4:$Y$133,EL$2,FALSE)*EL$1</f>
        <v>0</v>
      </c>
      <c r="EM177" s="1117">
        <f>$G177+EL177</f>
        <v>54995738.093448065</v>
      </c>
      <c r="EN177" s="1118">
        <f>VLOOKUP($E177,EM$442:EP$453,2,FALSE)*EM177*($K177)+IF($G177&lt;&gt;0,($H177/$G177)*EM177,0)*(1-$K177)</f>
        <v>54995738.093448065</v>
      </c>
      <c r="EO177" s="1118">
        <f>VLOOKUP($E177,EM$442:EP$453,3,FALSE)*EM177*($K177)+IF($G177&lt;&gt;0,($I177/$G177)*EM177,0)*(1-$K177)</f>
        <v>0</v>
      </c>
      <c r="EP177" s="1118">
        <f>VLOOKUP($E177,EM$442:EP$453,4,FALSE)*EM177*($K177)+(EM177-EN177-EO177)*(1-$K177)</f>
        <v>0</v>
      </c>
      <c r="EQ177" s="1074"/>
      <c r="ET177" s="1162">
        <f>VLOOKUP($A177,'New Resources - Group'!$A$4:$Y$133,ET$2,FALSE)*ET$1</f>
        <v>0</v>
      </c>
      <c r="EU177" s="1117">
        <f>$G177+ET177</f>
        <v>54995738.093448065</v>
      </c>
      <c r="EV177" s="1118">
        <f>VLOOKUP($E177,EU$442:EX$453,2,FALSE)*EU177*($K177)+IF($G177&lt;&gt;0,($H177/$G177)*EU177,0)*(1-$K177)</f>
        <v>54995738.093448065</v>
      </c>
      <c r="EW177" s="1118">
        <f>VLOOKUP($E177,EU$442:EX$453,3,FALSE)*EU177*($K177)+IF($G177&lt;&gt;0,($I177/$G177)*EU177,0)*(1-$K177)</f>
        <v>0</v>
      </c>
      <c r="EX177" s="1118">
        <f>VLOOKUP($E177,EU$442:EX$453,4,FALSE)*EU177*($K177)+(EU177-EV177-EW177)*(1-$K177)</f>
        <v>0</v>
      </c>
      <c r="EY177" s="1074"/>
      <c r="FB177" s="1162">
        <f>VLOOKUP($A177,'New Resources - Group'!$A$4:$Y$133,FB$2,FALSE)*FB$1</f>
        <v>0</v>
      </c>
      <c r="FC177" s="1117">
        <f>$G177+FB177</f>
        <v>54995738.093448065</v>
      </c>
      <c r="FD177" s="1118">
        <f>VLOOKUP($E177,FC$442:FF$453,2,FALSE)*FC177*($K177)+IF($G177&lt;&gt;0,($H177/$G177)*FC177,0)*(1-$K177)</f>
        <v>54995738.093448065</v>
      </c>
      <c r="FE177" s="1118">
        <f>VLOOKUP($E177,FC$442:FF$453,3,FALSE)*FC177*($K177)+IF($G177&lt;&gt;0,($I177/$G177)*FC177,0)*(1-$K177)</f>
        <v>0</v>
      </c>
      <c r="FF177" s="1118">
        <f>VLOOKUP($E177,FC$442:FF$453,4,FALSE)*FC177*($K177)+(FC177-FD177-FE177)*(1-$K177)</f>
        <v>0</v>
      </c>
      <c r="FG177" s="1074"/>
      <c r="FJ177" s="1162">
        <f>VLOOKUP($A177,'New Resources - Group'!$A$4:$Y$133,FJ$2,FALSE)*FJ$1</f>
        <v>0</v>
      </c>
      <c r="FK177" s="1117">
        <f>$G177+FJ177</f>
        <v>54995738.093448065</v>
      </c>
      <c r="FL177" s="1118">
        <f>VLOOKUP($E177,FK$442:FN$453,2,FALSE)*FK177*($K177)+IF($G177&lt;&gt;0,($H177/$G177)*FK177,0)*(1-$K177)</f>
        <v>54995738.093448065</v>
      </c>
      <c r="FM177" s="1118">
        <f>VLOOKUP($E177,FK$442:FN$453,3,FALSE)*FK177*($K177)+IF($G177&lt;&gt;0,($I177/$G177)*FK177,0)*(1-$K177)</f>
        <v>0</v>
      </c>
      <c r="FN177" s="1118">
        <f>VLOOKUP($E177,FK$442:FN$453,4,FALSE)*FK177*($K177)+(FK177-FL177-FM177)*(1-$K177)</f>
        <v>0</v>
      </c>
      <c r="FO177" s="1074"/>
    </row>
    <row r="178" spans="1:171" x14ac:dyDescent="0.25">
      <c r="A178" s="1442">
        <v>180</v>
      </c>
      <c r="B178" s="220" t="s">
        <v>261</v>
      </c>
      <c r="C178" s="889" t="s">
        <v>72</v>
      </c>
      <c r="D178" s="889" t="s">
        <v>262</v>
      </c>
      <c r="E178" s="182" t="str">
        <f>'Sch 3 - Expenses'!E18</f>
        <v>PROD</v>
      </c>
      <c r="F178" s="890"/>
      <c r="G178" s="182">
        <f>'Sch 3 - Expenses'!G18</f>
        <v>67931640.829523325</v>
      </c>
      <c r="H178" s="182">
        <f>'Sch 3 - Expenses'!H18</f>
        <v>67931640.829523325</v>
      </c>
      <c r="I178" s="182">
        <f>'Sch 3 - Expenses'!I18</f>
        <v>0</v>
      </c>
      <c r="J178" s="1422">
        <f>'Sch 3 - Expenses'!J18</f>
        <v>0</v>
      </c>
      <c r="K178" s="904">
        <f t="shared" si="547"/>
        <v>1</v>
      </c>
      <c r="N178" s="1162">
        <f>VLOOKUP($A178,'New Resources - Group'!$A$4:$Y$133,N$2,FALSE)*N$1</f>
        <v>0</v>
      </c>
      <c r="O178" s="1117">
        <f>$G178+N178</f>
        <v>67931640.829523325</v>
      </c>
      <c r="P178" s="1118">
        <f>VLOOKUP($E178,O$442:R$453,2,FALSE)*O178*($K178)+IF($G178&lt;&gt;0,($H178/$G178)*O178,0)*(1-$K178)</f>
        <v>67931640.829523325</v>
      </c>
      <c r="Q178" s="1118">
        <f>VLOOKUP($E178,O$442:R$453,3,FALSE)*O178*($K178)+IF($G178&lt;&gt;0,($I178/$G178)*O178,0)*(1-$K178)</f>
        <v>0</v>
      </c>
      <c r="R178" s="1118">
        <f>VLOOKUP($E178,O$442:R$453,4,FALSE)*O178*($K178)+(O178-P178-Q178)*(1-$K178)</f>
        <v>0</v>
      </c>
      <c r="S178" s="1074"/>
      <c r="V178" s="1162">
        <f>VLOOKUP($A178,'New Resources - Group'!$A$4:$Y$133,V$2,FALSE)*V$1</f>
        <v>0</v>
      </c>
      <c r="W178" s="1117">
        <f>$G178+V178</f>
        <v>67931640.829523325</v>
      </c>
      <c r="X178" s="1118">
        <f>VLOOKUP($E178,W$442:Z$453,2,FALSE)*W178*($K178)+IF($G178&lt;&gt;0,($H178/$G178)*W178,0)*(1-$K178)</f>
        <v>67931640.829523325</v>
      </c>
      <c r="Y178" s="1118">
        <f>VLOOKUP($E178,W$442:Z$453,3,FALSE)*W178*($K178)+IF($G178&lt;&gt;0,($I178/$G178)*W178,0)*(1-$K178)</f>
        <v>0</v>
      </c>
      <c r="Z178" s="1118">
        <f>VLOOKUP($E178,W$442:Z$453,4,FALSE)*W178*($K178)+(W178-X178-Y178)*(1-$K178)</f>
        <v>0</v>
      </c>
      <c r="AA178" s="1074"/>
      <c r="AD178" s="1162">
        <f>VLOOKUP($A178,'New Resources - Group'!$A$4:$Y$133,AD$2,FALSE)*AD$1</f>
        <v>0</v>
      </c>
      <c r="AE178" s="1117">
        <f>$G178+AD178</f>
        <v>67931640.829523325</v>
      </c>
      <c r="AF178" s="1118">
        <f>VLOOKUP($E178,AE$442:AH$453,2,FALSE)*AE178*($K178)+IF($G178&lt;&gt;0,($H178/$G178)*AE178,0)*(1-$K178)</f>
        <v>67931640.829523325</v>
      </c>
      <c r="AG178" s="1118">
        <f>VLOOKUP($E178,AE$442:AH$453,3,FALSE)*AE178*($K178)+IF($G178&lt;&gt;0,($I178/$G178)*AE178,0)*(1-$K178)</f>
        <v>0</v>
      </c>
      <c r="AH178" s="1118">
        <f>VLOOKUP($E178,AE$442:AH$453,4,FALSE)*AE178*($K178)+(AE178-AF178-AG178)*(1-$K178)</f>
        <v>0</v>
      </c>
      <c r="AI178" s="1074"/>
      <c r="AL178" s="1162">
        <f>VLOOKUP($A178,'New Resources - Group'!$A$4:$Y$133,AL$2,FALSE)*AL$1</f>
        <v>0</v>
      </c>
      <c r="AM178" s="1117">
        <f>$G178+AL178</f>
        <v>67931640.829523325</v>
      </c>
      <c r="AN178" s="1118">
        <f>VLOOKUP($E178,AM$442:AP$453,2,FALSE)*AM178*($K178)+IF($G178&lt;&gt;0,($H178/$G178)*AM178,0)*(1-$K178)</f>
        <v>67931640.829523325</v>
      </c>
      <c r="AO178" s="1118">
        <f>VLOOKUP($E178,AM$442:AP$453,3,FALSE)*AM178*($K178)+IF($G178&lt;&gt;0,($I178/$G178)*AM178,0)*(1-$K178)</f>
        <v>0</v>
      </c>
      <c r="AP178" s="1118">
        <f>VLOOKUP($E178,AM$442:AP$453,4,FALSE)*AM178*($K178)+(AM178-AN178-AO178)*(1-$K178)</f>
        <v>0</v>
      </c>
      <c r="AQ178" s="1074"/>
      <c r="AT178" s="1162">
        <f>VLOOKUP($A178,'New Resources - Group'!$A$4:$Y$133,AT$2,FALSE)*AT$1</f>
        <v>0</v>
      </c>
      <c r="AU178" s="1117">
        <f>$G178+AT178</f>
        <v>67931640.829523325</v>
      </c>
      <c r="AV178" s="1118">
        <f>VLOOKUP($E178,AU$442:AX$453,2,FALSE)*AU178*($K178)+IF($G178&lt;&gt;0,($H178/$G178)*AU178,0)*(1-$K178)</f>
        <v>67931640.829523325</v>
      </c>
      <c r="AW178" s="1118">
        <f>VLOOKUP($E178,AU$442:AX$453,3,FALSE)*AU178*($K178)+IF($G178&lt;&gt;0,($I178/$G178)*AU178,0)*(1-$K178)</f>
        <v>0</v>
      </c>
      <c r="AX178" s="1118">
        <f>VLOOKUP($E178,AU$442:AX$453,4,FALSE)*AU178*($K178)+(AU178-AV178-AW178)*(1-$K178)</f>
        <v>0</v>
      </c>
      <c r="AY178" s="1074"/>
      <c r="BB178" s="1162">
        <f>VLOOKUP($A178,'New Resources - Group'!$A$4:$Y$133,BB$2,FALSE)*BB$1</f>
        <v>0</v>
      </c>
      <c r="BC178" s="1117">
        <f>$G178+BB178</f>
        <v>67931640.829523325</v>
      </c>
      <c r="BD178" s="1118">
        <f>VLOOKUP($E178,BC$442:BF$453,2,FALSE)*BC178*($K178)+IF($G178&lt;&gt;0,($H178/$G178)*BC178,0)*(1-$K178)</f>
        <v>67931640.829523325</v>
      </c>
      <c r="BE178" s="1118">
        <f>VLOOKUP($E178,BC$442:BF$453,3,FALSE)*BC178*($K178)+IF($G178&lt;&gt;0,($I178/$G178)*BC178,0)*(1-$K178)</f>
        <v>0</v>
      </c>
      <c r="BF178" s="1118">
        <f>VLOOKUP($E178,BC$442:BF$453,4,FALSE)*BC178*($K178)+(BC178-BD178-BE178)*(1-$K178)</f>
        <v>0</v>
      </c>
      <c r="BG178" s="1074"/>
      <c r="BJ178" s="1162">
        <f>VLOOKUP($A178,'New Resources - Group'!$A$4:$Y$133,BJ$2,FALSE)*BJ$1</f>
        <v>0</v>
      </c>
      <c r="BK178" s="1117">
        <f>$G178+BJ178</f>
        <v>67931640.829523325</v>
      </c>
      <c r="BL178" s="1118">
        <f>VLOOKUP($E178,BK$442:BN$453,2,FALSE)*BK178*($K178)+IF($G178&lt;&gt;0,($H178/$G178)*BK178,0)*(1-$K178)</f>
        <v>67931640.829523325</v>
      </c>
      <c r="BM178" s="1118">
        <f>VLOOKUP($E178,BK$442:BN$453,3,FALSE)*BK178*($K178)+IF($G178&lt;&gt;0,($I178/$G178)*BK178,0)*(1-$K178)</f>
        <v>0</v>
      </c>
      <c r="BN178" s="1118">
        <f>VLOOKUP($E178,BK$442:BN$453,4,FALSE)*BK178*($K178)+(BK178-BL178-BM178)*(1-$K178)</f>
        <v>0</v>
      </c>
      <c r="BO178" s="1074"/>
      <c r="BR178" s="1162">
        <f>VLOOKUP($A178,'New Resources - Group'!$A$4:$Y$133,BR$2,FALSE)*BR$1</f>
        <v>0</v>
      </c>
      <c r="BS178" s="1117">
        <f>$G178+BR178</f>
        <v>67931640.829523325</v>
      </c>
      <c r="BT178" s="1118">
        <f>VLOOKUP($E178,BS$442:BV$453,2,FALSE)*BS178*($K178)+IF($G178&lt;&gt;0,($H178/$G178)*BS178,0)*(1-$K178)</f>
        <v>67931640.829523325</v>
      </c>
      <c r="BU178" s="1118">
        <f>VLOOKUP($E178,BS$442:BV$453,3,FALSE)*BS178*($K178)+IF($G178&lt;&gt;0,($I178/$G178)*BS178,0)*(1-$K178)</f>
        <v>0</v>
      </c>
      <c r="BV178" s="1118">
        <f>VLOOKUP($E178,BS$442:BV$453,4,FALSE)*BS178*($K178)+(BS178-BT178-BU178)*(1-$K178)</f>
        <v>0</v>
      </c>
      <c r="BW178" s="1074"/>
      <c r="BZ178" s="1162">
        <f>VLOOKUP($A178,'New Resources - Group'!$A$4:$Y$133,BZ$2,FALSE)*BZ$1</f>
        <v>0</v>
      </c>
      <c r="CA178" s="1117">
        <f>$G178+BZ178</f>
        <v>67931640.829523325</v>
      </c>
      <c r="CB178" s="1118">
        <f>VLOOKUP($E178,CA$442:CD$453,2,FALSE)*CA178*($K178)+IF($G178&lt;&gt;0,($H178/$G178)*CA178,0)*(1-$K178)</f>
        <v>67931640.829523325</v>
      </c>
      <c r="CC178" s="1118">
        <f>VLOOKUP($E178,CA$442:CD$453,3,FALSE)*CA178*($K178)+IF($G178&lt;&gt;0,($I178/$G178)*CA178,0)*(1-$K178)</f>
        <v>0</v>
      </c>
      <c r="CD178" s="1118">
        <f>VLOOKUP($E178,CA$442:CD$453,4,FALSE)*CA178*($K178)+(CA178-CB178-CC178)*(1-$K178)</f>
        <v>0</v>
      </c>
      <c r="CE178" s="1074"/>
      <c r="CH178" s="1162">
        <f>VLOOKUP($A178,'New Resources - Group'!$A$4:$Y$133,CH$2,FALSE)*CH$1</f>
        <v>0</v>
      </c>
      <c r="CI178" s="1117">
        <f>$G178+CH178</f>
        <v>67931640.829523325</v>
      </c>
      <c r="CJ178" s="1118">
        <f>VLOOKUP($E178,CI$442:CL$453,2,FALSE)*CI178*($K178)+IF($G178&lt;&gt;0,($H178/$G178)*CI178,0)*(1-$K178)</f>
        <v>67931640.829523325</v>
      </c>
      <c r="CK178" s="1118">
        <f>VLOOKUP($E178,CI$442:CL$453,3,FALSE)*CI178*($K178)+IF($G178&lt;&gt;0,($I178/$G178)*CI178,0)*(1-$K178)</f>
        <v>0</v>
      </c>
      <c r="CL178" s="1118">
        <f>VLOOKUP($E178,CI$442:CL$453,4,FALSE)*CI178*($K178)+(CI178-CJ178-CK178)*(1-$K178)</f>
        <v>0</v>
      </c>
      <c r="CM178" s="1074"/>
      <c r="CP178" s="1162">
        <f>VLOOKUP($A178,'New Resources - Group'!$A$4:$Y$133,CP$2,FALSE)*CP$1</f>
        <v>0</v>
      </c>
      <c r="CQ178" s="1117">
        <f>$G178+CP178</f>
        <v>67931640.829523325</v>
      </c>
      <c r="CR178" s="1118">
        <f>VLOOKUP($E178,CQ$442:CT$453,2,FALSE)*CQ178*($K178)+IF($G178&lt;&gt;0,($H178/$G178)*CQ178,0)*(1-$K178)</f>
        <v>67931640.829523325</v>
      </c>
      <c r="CS178" s="1118">
        <f>VLOOKUP($E178,CQ$442:CT$453,3,FALSE)*CQ178*($K178)+IF($G178&lt;&gt;0,($I178/$G178)*CQ178,0)*(1-$K178)</f>
        <v>0</v>
      </c>
      <c r="CT178" s="1118">
        <f>VLOOKUP($E178,CQ$442:CT$453,4,FALSE)*CQ178*($K178)+(CQ178-CR178-CS178)*(1-$K178)</f>
        <v>0</v>
      </c>
      <c r="CU178" s="1074"/>
      <c r="CX178" s="1162">
        <f>VLOOKUP($A178,'New Resources - Group'!$A$4:$Y$133,CX$2,FALSE)*CX$1</f>
        <v>0</v>
      </c>
      <c r="CY178" s="1117">
        <f>$G178+CX178</f>
        <v>67931640.829523325</v>
      </c>
      <c r="CZ178" s="1118">
        <f>VLOOKUP($E178,CY$442:DB$453,2,FALSE)*CY178*($K178)+IF($G178&lt;&gt;0,($H178/$G178)*CY178,0)*(1-$K178)</f>
        <v>67931640.829523325</v>
      </c>
      <c r="DA178" s="1118">
        <f>VLOOKUP($E178,CY$442:DB$453,3,FALSE)*CY178*($K178)+IF($G178&lt;&gt;0,($I178/$G178)*CY178,0)*(1-$K178)</f>
        <v>0</v>
      </c>
      <c r="DB178" s="1118">
        <f>VLOOKUP($E178,CY$442:DB$453,4,FALSE)*CY178*($K178)+(CY178-CZ178-DA178)*(1-$K178)</f>
        <v>0</v>
      </c>
      <c r="DC178" s="1074"/>
      <c r="DF178" s="1162">
        <f>VLOOKUP($A178,'New Resources - Group'!$A$4:$Y$133,DF$2,FALSE)*DF$1</f>
        <v>0</v>
      </c>
      <c r="DG178" s="1117">
        <f>$G178+DF178</f>
        <v>67931640.829523325</v>
      </c>
      <c r="DH178" s="1118">
        <f>VLOOKUP($E178,DG$442:DJ$453,2,FALSE)*DG178*($K178)+IF($G178&lt;&gt;0,($H178/$G178)*DG178,0)*(1-$K178)</f>
        <v>67931640.829523325</v>
      </c>
      <c r="DI178" s="1118">
        <f>VLOOKUP($E178,DG$442:DJ$453,3,FALSE)*DG178*($K178)+IF($G178&lt;&gt;0,($I178/$G178)*DG178,0)*(1-$K178)</f>
        <v>0</v>
      </c>
      <c r="DJ178" s="1118">
        <f>VLOOKUP($E178,DG$442:DJ$453,4,FALSE)*DG178*($K178)+(DG178-DH178-DI178)*(1-$K178)</f>
        <v>0</v>
      </c>
      <c r="DK178" s="1074"/>
      <c r="DN178" s="1162">
        <f>VLOOKUP($A178,'New Resources - Group'!$A$4:$Y$133,DN$2,FALSE)*DN$1</f>
        <v>0</v>
      </c>
      <c r="DO178" s="1117">
        <f>$G178+DN178</f>
        <v>67931640.829523325</v>
      </c>
      <c r="DP178" s="1118">
        <f>VLOOKUP($E178,DO$442:DR$453,2,FALSE)*DO178*($K178)+IF($G178&lt;&gt;0,($H178/$G178)*DO178,0)*(1-$K178)</f>
        <v>67931640.829523325</v>
      </c>
      <c r="DQ178" s="1118">
        <f>VLOOKUP($E178,DO$442:DR$453,3,FALSE)*DO178*($K178)+IF($G178&lt;&gt;0,($I178/$G178)*DO178,0)*(1-$K178)</f>
        <v>0</v>
      </c>
      <c r="DR178" s="1118">
        <f>VLOOKUP($E178,DO$442:DR$453,4,FALSE)*DO178*($K178)+(DO178-DP178-DQ178)*(1-$K178)</f>
        <v>0</v>
      </c>
      <c r="DS178" s="1074"/>
      <c r="DV178" s="1162">
        <f>VLOOKUP($A178,'New Resources - Group'!$A$4:$Y$133,DV$2,FALSE)*DV$1</f>
        <v>0</v>
      </c>
      <c r="DW178" s="1117">
        <f>$G178+DV178</f>
        <v>67931640.829523325</v>
      </c>
      <c r="DX178" s="1118">
        <f>VLOOKUP($E178,DW$442:DZ$453,2,FALSE)*DW178*($K178)+IF($G178&lt;&gt;0,($H178/$G178)*DW178,0)*(1-$K178)</f>
        <v>67931640.829523325</v>
      </c>
      <c r="DY178" s="1118">
        <f>VLOOKUP($E178,DW$442:DZ$453,3,FALSE)*DW178*($K178)+IF($G178&lt;&gt;0,($I178/$G178)*DW178,0)*(1-$K178)</f>
        <v>0</v>
      </c>
      <c r="DZ178" s="1118">
        <f>VLOOKUP($E178,DW$442:DZ$453,4,FALSE)*DW178*($K178)+(DW178-DX178-DY178)*(1-$K178)</f>
        <v>0</v>
      </c>
      <c r="EA178" s="1074"/>
      <c r="ED178" s="1162">
        <f>VLOOKUP($A178,'New Resources - Group'!$A$4:$Y$133,ED$2,FALSE)*ED$1</f>
        <v>0</v>
      </c>
      <c r="EE178" s="1117">
        <f>$G178+ED178</f>
        <v>67931640.829523325</v>
      </c>
      <c r="EF178" s="1118">
        <f>VLOOKUP($E178,EE$442:EH$453,2,FALSE)*EE178*($K178)+IF($G178&lt;&gt;0,($H178/$G178)*EE178,0)*(1-$K178)</f>
        <v>67931640.829523325</v>
      </c>
      <c r="EG178" s="1118">
        <f>VLOOKUP($E178,EE$442:EH$453,3,FALSE)*EE178*($K178)+IF($G178&lt;&gt;0,($I178/$G178)*EE178,0)*(1-$K178)</f>
        <v>0</v>
      </c>
      <c r="EH178" s="1118">
        <f>VLOOKUP($E178,EE$442:EH$453,4,FALSE)*EE178*($K178)+(EE178-EF178-EG178)*(1-$K178)</f>
        <v>0</v>
      </c>
      <c r="EI178" s="1074"/>
      <c r="EL178" s="1162">
        <f>VLOOKUP($A178,'New Resources - Group'!$A$4:$Y$133,EL$2,FALSE)*EL$1</f>
        <v>0</v>
      </c>
      <c r="EM178" s="1117">
        <f>$G178+EL178</f>
        <v>67931640.829523325</v>
      </c>
      <c r="EN178" s="1118">
        <f>VLOOKUP($E178,EM$442:EP$453,2,FALSE)*EM178*($K178)+IF($G178&lt;&gt;0,($H178/$G178)*EM178,0)*(1-$K178)</f>
        <v>67931640.829523325</v>
      </c>
      <c r="EO178" s="1118">
        <f>VLOOKUP($E178,EM$442:EP$453,3,FALSE)*EM178*($K178)+IF($G178&lt;&gt;0,($I178/$G178)*EM178,0)*(1-$K178)</f>
        <v>0</v>
      </c>
      <c r="EP178" s="1118">
        <f>VLOOKUP($E178,EM$442:EP$453,4,FALSE)*EM178*($K178)+(EM178-EN178-EO178)*(1-$K178)</f>
        <v>0</v>
      </c>
      <c r="EQ178" s="1074"/>
      <c r="ET178" s="1162">
        <f>VLOOKUP($A178,'New Resources - Group'!$A$4:$Y$133,ET$2,FALSE)*ET$1</f>
        <v>0</v>
      </c>
      <c r="EU178" s="1117">
        <f>$G178+ET178</f>
        <v>67931640.829523325</v>
      </c>
      <c r="EV178" s="1118">
        <f>VLOOKUP($E178,EU$442:EX$453,2,FALSE)*EU178*($K178)+IF($G178&lt;&gt;0,($H178/$G178)*EU178,0)*(1-$K178)</f>
        <v>67931640.829523325</v>
      </c>
      <c r="EW178" s="1118">
        <f>VLOOKUP($E178,EU$442:EX$453,3,FALSE)*EU178*($K178)+IF($G178&lt;&gt;0,($I178/$G178)*EU178,0)*(1-$K178)</f>
        <v>0</v>
      </c>
      <c r="EX178" s="1118">
        <f>VLOOKUP($E178,EU$442:EX$453,4,FALSE)*EU178*($K178)+(EU178-EV178-EW178)*(1-$K178)</f>
        <v>0</v>
      </c>
      <c r="EY178" s="1074"/>
      <c r="FB178" s="1162">
        <f>VLOOKUP($A178,'New Resources - Group'!$A$4:$Y$133,FB$2,FALSE)*FB$1</f>
        <v>0</v>
      </c>
      <c r="FC178" s="1117">
        <f>$G178+FB178</f>
        <v>67931640.829523325</v>
      </c>
      <c r="FD178" s="1118">
        <f>VLOOKUP($E178,FC$442:FF$453,2,FALSE)*FC178*($K178)+IF($G178&lt;&gt;0,($H178/$G178)*FC178,0)*(1-$K178)</f>
        <v>67931640.829523325</v>
      </c>
      <c r="FE178" s="1118">
        <f>VLOOKUP($E178,FC$442:FF$453,3,FALSE)*FC178*($K178)+IF($G178&lt;&gt;0,($I178/$G178)*FC178,0)*(1-$K178)</f>
        <v>0</v>
      </c>
      <c r="FF178" s="1118">
        <f>VLOOKUP($E178,FC$442:FF$453,4,FALSE)*FC178*($K178)+(FC178-FD178-FE178)*(1-$K178)</f>
        <v>0</v>
      </c>
      <c r="FG178" s="1074"/>
      <c r="FJ178" s="1162">
        <f>VLOOKUP($A178,'New Resources - Group'!$A$4:$Y$133,FJ$2,FALSE)*FJ$1</f>
        <v>0</v>
      </c>
      <c r="FK178" s="1117">
        <f>$G178+FJ178</f>
        <v>67931640.829523325</v>
      </c>
      <c r="FL178" s="1118">
        <f>VLOOKUP($E178,FK$442:FN$453,2,FALSE)*FK178*($K178)+IF($G178&lt;&gt;0,($H178/$G178)*FK178,0)*(1-$K178)</f>
        <v>67931640.829523325</v>
      </c>
      <c r="FM178" s="1118">
        <f>VLOOKUP($E178,FK$442:FN$453,3,FALSE)*FK178*($K178)+IF($G178&lt;&gt;0,($I178/$G178)*FK178,0)*(1-$K178)</f>
        <v>0</v>
      </c>
      <c r="FN178" s="1118">
        <f>VLOOKUP($E178,FK$442:FN$453,4,FALSE)*FK178*($K178)+(FK178-FL178-FM178)*(1-$K178)</f>
        <v>0</v>
      </c>
      <c r="FO178" s="1074"/>
    </row>
    <row r="179" spans="1:171" x14ac:dyDescent="0.25">
      <c r="A179" s="1443"/>
      <c r="B179" s="991" t="s">
        <v>458</v>
      </c>
      <c r="C179" s="55"/>
      <c r="D179" s="55"/>
      <c r="E179" s="196"/>
      <c r="F179" s="196"/>
      <c r="G179" s="68"/>
      <c r="H179" s="68"/>
      <c r="I179" s="68"/>
      <c r="J179" s="1465"/>
      <c r="K179" s="904"/>
      <c r="S179" s="1074"/>
      <c r="AA179" s="1074"/>
      <c r="AI179" s="1074"/>
      <c r="AQ179" s="1074"/>
      <c r="AY179" s="1074"/>
      <c r="BG179" s="1074"/>
      <c r="BO179" s="1074"/>
      <c r="BW179" s="1074"/>
      <c r="CE179" s="1074"/>
      <c r="CM179" s="1074"/>
      <c r="CU179" s="1074"/>
      <c r="DC179" s="1074"/>
      <c r="DK179" s="1074"/>
      <c r="DS179" s="1074"/>
      <c r="EA179" s="1074"/>
      <c r="EI179" s="1074"/>
      <c r="EQ179" s="1074"/>
      <c r="EY179" s="1074"/>
      <c r="FG179" s="1074"/>
      <c r="FO179" s="1074"/>
    </row>
    <row r="180" spans="1:171" x14ac:dyDescent="0.25">
      <c r="A180" s="1442">
        <v>290</v>
      </c>
      <c r="B180" s="220" t="s">
        <v>85</v>
      </c>
      <c r="C180" s="889" t="s">
        <v>72</v>
      </c>
      <c r="D180" s="889">
        <v>518</v>
      </c>
      <c r="E180" s="182" t="str">
        <f>'Sch 3 - Expenses'!E20</f>
        <v>PROD</v>
      </c>
      <c r="F180" s="890"/>
      <c r="G180" s="182">
        <f>'Sch 3 - Expenses'!G20</f>
        <v>0</v>
      </c>
      <c r="H180" s="182">
        <f>'Sch 3 - Expenses'!H20</f>
        <v>0</v>
      </c>
      <c r="I180" s="182">
        <f>'Sch 3 - Expenses'!I20</f>
        <v>0</v>
      </c>
      <c r="J180" s="1422">
        <f>'Sch 3 - Expenses'!J20</f>
        <v>0</v>
      </c>
      <c r="K180" s="904">
        <f t="shared" si="547"/>
        <v>1</v>
      </c>
      <c r="N180" s="1162">
        <f>VLOOKUP($A180,'New Resources - Group'!$A$4:$Y$133,N$2,FALSE)*N$1</f>
        <v>0</v>
      </c>
      <c r="O180" s="1117">
        <f>$G180+N180</f>
        <v>0</v>
      </c>
      <c r="P180" s="1118">
        <f>VLOOKUP($E180,O$442:R$453,2,FALSE)*O180*($K180)+IF($G180&lt;&gt;0,($H180/$G180)*O180,0)*(1-$K180)</f>
        <v>0</v>
      </c>
      <c r="Q180" s="1118">
        <f>VLOOKUP($E180,O$442:R$453,3,FALSE)*O180*($K180)+IF($G180&lt;&gt;0,($I180/$G180)*O180,0)*(1-$K180)</f>
        <v>0</v>
      </c>
      <c r="R180" s="1118">
        <f>VLOOKUP($E180,O$442:R$453,4,FALSE)*O180*($K180)+(O180-P180-Q180)*(1-$K180)</f>
        <v>0</v>
      </c>
      <c r="S180" s="1074"/>
      <c r="V180" s="1162">
        <f>VLOOKUP($A180,'New Resources - Group'!$A$4:$Y$133,V$2,FALSE)*V$1</f>
        <v>0</v>
      </c>
      <c r="W180" s="1117">
        <f>$G180+V180</f>
        <v>0</v>
      </c>
      <c r="X180" s="1118">
        <f>VLOOKUP($E180,W$442:Z$453,2,FALSE)*W180*($K180)+IF($G180&lt;&gt;0,($H180/$G180)*W180,0)*(1-$K180)</f>
        <v>0</v>
      </c>
      <c r="Y180" s="1118">
        <f>VLOOKUP($E180,W$442:Z$453,3,FALSE)*W180*($K180)+IF($G180&lt;&gt;0,($I180/$G180)*W180,0)*(1-$K180)</f>
        <v>0</v>
      </c>
      <c r="Z180" s="1118">
        <f>VLOOKUP($E180,W$442:Z$453,4,FALSE)*W180*($K180)+(W180-X180-Y180)*(1-$K180)</f>
        <v>0</v>
      </c>
      <c r="AA180" s="1074"/>
      <c r="AD180" s="1162">
        <f>VLOOKUP($A180,'New Resources - Group'!$A$4:$Y$133,AD$2,FALSE)*AD$1</f>
        <v>0</v>
      </c>
      <c r="AE180" s="1117">
        <f>$G180+AD180</f>
        <v>0</v>
      </c>
      <c r="AF180" s="1118">
        <f>VLOOKUP($E180,AE$442:AH$453,2,FALSE)*AE180*($K180)+IF($G180&lt;&gt;0,($H180/$G180)*AE180,0)*(1-$K180)</f>
        <v>0</v>
      </c>
      <c r="AG180" s="1118">
        <f>VLOOKUP($E180,AE$442:AH$453,3,FALSE)*AE180*($K180)+IF($G180&lt;&gt;0,($I180/$G180)*AE180,0)*(1-$K180)</f>
        <v>0</v>
      </c>
      <c r="AH180" s="1118">
        <f>VLOOKUP($E180,AE$442:AH$453,4,FALSE)*AE180*($K180)+(AE180-AF180-AG180)*(1-$K180)</f>
        <v>0</v>
      </c>
      <c r="AI180" s="1074"/>
      <c r="AL180" s="1162">
        <f>VLOOKUP($A180,'New Resources - Group'!$A$4:$Y$133,AL$2,FALSE)*AL$1</f>
        <v>0</v>
      </c>
      <c r="AM180" s="1117">
        <f>$G180+AL180</f>
        <v>0</v>
      </c>
      <c r="AN180" s="1118">
        <f>VLOOKUP($E180,AM$442:AP$453,2,FALSE)*AM180*($K180)+IF($G180&lt;&gt;0,($H180/$G180)*AM180,0)*(1-$K180)</f>
        <v>0</v>
      </c>
      <c r="AO180" s="1118">
        <f>VLOOKUP($E180,AM$442:AP$453,3,FALSE)*AM180*($K180)+IF($G180&lt;&gt;0,($I180/$G180)*AM180,0)*(1-$K180)</f>
        <v>0</v>
      </c>
      <c r="AP180" s="1118">
        <f>VLOOKUP($E180,AM$442:AP$453,4,FALSE)*AM180*($K180)+(AM180-AN180-AO180)*(1-$K180)</f>
        <v>0</v>
      </c>
      <c r="AQ180" s="1074"/>
      <c r="AT180" s="1162">
        <f>VLOOKUP($A180,'New Resources - Group'!$A$4:$Y$133,AT$2,FALSE)*AT$1</f>
        <v>0</v>
      </c>
      <c r="AU180" s="1117">
        <f>$G180+AT180</f>
        <v>0</v>
      </c>
      <c r="AV180" s="1118">
        <f>VLOOKUP($E180,AU$442:AX$453,2,FALSE)*AU180*($K180)+IF($G180&lt;&gt;0,($H180/$G180)*AU180,0)*(1-$K180)</f>
        <v>0</v>
      </c>
      <c r="AW180" s="1118">
        <f>VLOOKUP($E180,AU$442:AX$453,3,FALSE)*AU180*($K180)+IF($G180&lt;&gt;0,($I180/$G180)*AU180,0)*(1-$K180)</f>
        <v>0</v>
      </c>
      <c r="AX180" s="1118">
        <f>VLOOKUP($E180,AU$442:AX$453,4,FALSE)*AU180*($K180)+(AU180-AV180-AW180)*(1-$K180)</f>
        <v>0</v>
      </c>
      <c r="AY180" s="1074"/>
      <c r="BB180" s="1162">
        <f>VLOOKUP($A180,'New Resources - Group'!$A$4:$Y$133,BB$2,FALSE)*BB$1</f>
        <v>0</v>
      </c>
      <c r="BC180" s="1117">
        <f>$G180+BB180</f>
        <v>0</v>
      </c>
      <c r="BD180" s="1118">
        <f>VLOOKUP($E180,BC$442:BF$453,2,FALSE)*BC180*($K180)+IF($G180&lt;&gt;0,($H180/$G180)*BC180,0)*(1-$K180)</f>
        <v>0</v>
      </c>
      <c r="BE180" s="1118">
        <f>VLOOKUP($E180,BC$442:BF$453,3,FALSE)*BC180*($K180)+IF($G180&lt;&gt;0,($I180/$G180)*BC180,0)*(1-$K180)</f>
        <v>0</v>
      </c>
      <c r="BF180" s="1118">
        <f>VLOOKUP($E180,BC$442:BF$453,4,FALSE)*BC180*($K180)+(BC180-BD180-BE180)*(1-$K180)</f>
        <v>0</v>
      </c>
      <c r="BG180" s="1074"/>
      <c r="BJ180" s="1162">
        <f>VLOOKUP($A180,'New Resources - Group'!$A$4:$Y$133,BJ$2,FALSE)*BJ$1</f>
        <v>0</v>
      </c>
      <c r="BK180" s="1117">
        <f>$G180+BJ180</f>
        <v>0</v>
      </c>
      <c r="BL180" s="1118">
        <f>VLOOKUP($E180,BK$442:BN$453,2,FALSE)*BK180*($K180)+IF($G180&lt;&gt;0,($H180/$G180)*BK180,0)*(1-$K180)</f>
        <v>0</v>
      </c>
      <c r="BM180" s="1118">
        <f>VLOOKUP($E180,BK$442:BN$453,3,FALSE)*BK180*($K180)+IF($G180&lt;&gt;0,($I180/$G180)*BK180,0)*(1-$K180)</f>
        <v>0</v>
      </c>
      <c r="BN180" s="1118">
        <f>VLOOKUP($E180,BK$442:BN$453,4,FALSE)*BK180*($K180)+(BK180-BL180-BM180)*(1-$K180)</f>
        <v>0</v>
      </c>
      <c r="BO180" s="1074"/>
      <c r="BR180" s="1162">
        <f>VLOOKUP($A180,'New Resources - Group'!$A$4:$Y$133,BR$2,FALSE)*BR$1</f>
        <v>0</v>
      </c>
      <c r="BS180" s="1117">
        <f>$G180+BR180</f>
        <v>0</v>
      </c>
      <c r="BT180" s="1118">
        <f>VLOOKUP($E180,BS$442:BV$453,2,FALSE)*BS180*($K180)+IF($G180&lt;&gt;0,($H180/$G180)*BS180,0)*(1-$K180)</f>
        <v>0</v>
      </c>
      <c r="BU180" s="1118">
        <f>VLOOKUP($E180,BS$442:BV$453,3,FALSE)*BS180*($K180)+IF($G180&lt;&gt;0,($I180/$G180)*BS180,0)*(1-$K180)</f>
        <v>0</v>
      </c>
      <c r="BV180" s="1118">
        <f>VLOOKUP($E180,BS$442:BV$453,4,FALSE)*BS180*($K180)+(BS180-BT180-BU180)*(1-$K180)</f>
        <v>0</v>
      </c>
      <c r="BW180" s="1074"/>
      <c r="BZ180" s="1162">
        <f>VLOOKUP($A180,'New Resources - Group'!$A$4:$Y$133,BZ$2,FALSE)*BZ$1</f>
        <v>0</v>
      </c>
      <c r="CA180" s="1117">
        <f>$G180+BZ180</f>
        <v>0</v>
      </c>
      <c r="CB180" s="1118">
        <f>VLOOKUP($E180,CA$442:CD$453,2,FALSE)*CA180*($K180)+IF($G180&lt;&gt;0,($H180/$G180)*CA180,0)*(1-$K180)</f>
        <v>0</v>
      </c>
      <c r="CC180" s="1118">
        <f>VLOOKUP($E180,CA$442:CD$453,3,FALSE)*CA180*($K180)+IF($G180&lt;&gt;0,($I180/$G180)*CA180,0)*(1-$K180)</f>
        <v>0</v>
      </c>
      <c r="CD180" s="1118">
        <f>VLOOKUP($E180,CA$442:CD$453,4,FALSE)*CA180*($K180)+(CA180-CB180-CC180)*(1-$K180)</f>
        <v>0</v>
      </c>
      <c r="CE180" s="1074"/>
      <c r="CH180" s="1162">
        <f>VLOOKUP($A180,'New Resources - Group'!$A$4:$Y$133,CH$2,FALSE)*CH$1</f>
        <v>0</v>
      </c>
      <c r="CI180" s="1117">
        <f>$G180+CH180</f>
        <v>0</v>
      </c>
      <c r="CJ180" s="1118">
        <f>VLOOKUP($E180,CI$442:CL$453,2,FALSE)*CI180*($K180)+IF($G180&lt;&gt;0,($H180/$G180)*CI180,0)*(1-$K180)</f>
        <v>0</v>
      </c>
      <c r="CK180" s="1118">
        <f>VLOOKUP($E180,CI$442:CL$453,3,FALSE)*CI180*($K180)+IF($G180&lt;&gt;0,($I180/$G180)*CI180,0)*(1-$K180)</f>
        <v>0</v>
      </c>
      <c r="CL180" s="1118">
        <f>VLOOKUP($E180,CI$442:CL$453,4,FALSE)*CI180*($K180)+(CI180-CJ180-CK180)*(1-$K180)</f>
        <v>0</v>
      </c>
      <c r="CM180" s="1074"/>
      <c r="CP180" s="1162">
        <f>VLOOKUP($A180,'New Resources - Group'!$A$4:$Y$133,CP$2,FALSE)*CP$1</f>
        <v>0</v>
      </c>
      <c r="CQ180" s="1117">
        <f>$G180+CP180</f>
        <v>0</v>
      </c>
      <c r="CR180" s="1118">
        <f>VLOOKUP($E180,CQ$442:CT$453,2,FALSE)*CQ180*($K180)+IF($G180&lt;&gt;0,($H180/$G180)*CQ180,0)*(1-$K180)</f>
        <v>0</v>
      </c>
      <c r="CS180" s="1118">
        <f>VLOOKUP($E180,CQ$442:CT$453,3,FALSE)*CQ180*($K180)+IF($G180&lt;&gt;0,($I180/$G180)*CQ180,0)*(1-$K180)</f>
        <v>0</v>
      </c>
      <c r="CT180" s="1118">
        <f>VLOOKUP($E180,CQ$442:CT$453,4,FALSE)*CQ180*($K180)+(CQ180-CR180-CS180)*(1-$K180)</f>
        <v>0</v>
      </c>
      <c r="CU180" s="1074"/>
      <c r="CX180" s="1162">
        <f>VLOOKUP($A180,'New Resources - Group'!$A$4:$Y$133,CX$2,FALSE)*CX$1</f>
        <v>0</v>
      </c>
      <c r="CY180" s="1117">
        <f>$G180+CX180</f>
        <v>0</v>
      </c>
      <c r="CZ180" s="1118">
        <f>VLOOKUP($E180,CY$442:DB$453,2,FALSE)*CY180*($K180)+IF($G180&lt;&gt;0,($H180/$G180)*CY180,0)*(1-$K180)</f>
        <v>0</v>
      </c>
      <c r="DA180" s="1118">
        <f>VLOOKUP($E180,CY$442:DB$453,3,FALSE)*CY180*($K180)+IF($G180&lt;&gt;0,($I180/$G180)*CY180,0)*(1-$K180)</f>
        <v>0</v>
      </c>
      <c r="DB180" s="1118">
        <f>VLOOKUP($E180,CY$442:DB$453,4,FALSE)*CY180*($K180)+(CY180-CZ180-DA180)*(1-$K180)</f>
        <v>0</v>
      </c>
      <c r="DC180" s="1074"/>
      <c r="DF180" s="1162">
        <f>VLOOKUP($A180,'New Resources - Group'!$A$4:$Y$133,DF$2,FALSE)*DF$1</f>
        <v>0</v>
      </c>
      <c r="DG180" s="1117">
        <f>$G180+DF180</f>
        <v>0</v>
      </c>
      <c r="DH180" s="1118">
        <f>VLOOKUP($E180,DG$442:DJ$453,2,FALSE)*DG180*($K180)+IF($G180&lt;&gt;0,($H180/$G180)*DG180,0)*(1-$K180)</f>
        <v>0</v>
      </c>
      <c r="DI180" s="1118">
        <f>VLOOKUP($E180,DG$442:DJ$453,3,FALSE)*DG180*($K180)+IF($G180&lt;&gt;0,($I180/$G180)*DG180,0)*(1-$K180)</f>
        <v>0</v>
      </c>
      <c r="DJ180" s="1118">
        <f>VLOOKUP($E180,DG$442:DJ$453,4,FALSE)*DG180*($K180)+(DG180-DH180-DI180)*(1-$K180)</f>
        <v>0</v>
      </c>
      <c r="DK180" s="1074"/>
      <c r="DN180" s="1162">
        <f>VLOOKUP($A180,'New Resources - Group'!$A$4:$Y$133,DN$2,FALSE)*DN$1</f>
        <v>0</v>
      </c>
      <c r="DO180" s="1117">
        <f>$G180+DN180</f>
        <v>0</v>
      </c>
      <c r="DP180" s="1118">
        <f>VLOOKUP($E180,DO$442:DR$453,2,FALSE)*DO180*($K180)+IF($G180&lt;&gt;0,($H180/$G180)*DO180,0)*(1-$K180)</f>
        <v>0</v>
      </c>
      <c r="DQ180" s="1118">
        <f>VLOOKUP($E180,DO$442:DR$453,3,FALSE)*DO180*($K180)+IF($G180&lt;&gt;0,($I180/$G180)*DO180,0)*(1-$K180)</f>
        <v>0</v>
      </c>
      <c r="DR180" s="1118">
        <f>VLOOKUP($E180,DO$442:DR$453,4,FALSE)*DO180*($K180)+(DO180-DP180-DQ180)*(1-$K180)</f>
        <v>0</v>
      </c>
      <c r="DS180" s="1074"/>
      <c r="DV180" s="1162">
        <f>VLOOKUP($A180,'New Resources - Group'!$A$4:$Y$133,DV$2,FALSE)*DV$1</f>
        <v>0</v>
      </c>
      <c r="DW180" s="1117">
        <f>$G180+DV180</f>
        <v>0</v>
      </c>
      <c r="DX180" s="1118">
        <f>VLOOKUP($E180,DW$442:DZ$453,2,FALSE)*DW180*($K180)+IF($G180&lt;&gt;0,($H180/$G180)*DW180,0)*(1-$K180)</f>
        <v>0</v>
      </c>
      <c r="DY180" s="1118">
        <f>VLOOKUP($E180,DW$442:DZ$453,3,FALSE)*DW180*($K180)+IF($G180&lt;&gt;0,($I180/$G180)*DW180,0)*(1-$K180)</f>
        <v>0</v>
      </c>
      <c r="DZ180" s="1118">
        <f>VLOOKUP($E180,DW$442:DZ$453,4,FALSE)*DW180*($K180)+(DW180-DX180-DY180)*(1-$K180)</f>
        <v>0</v>
      </c>
      <c r="EA180" s="1074"/>
      <c r="ED180" s="1162">
        <f>VLOOKUP($A180,'New Resources - Group'!$A$4:$Y$133,ED$2,FALSE)*ED$1</f>
        <v>0</v>
      </c>
      <c r="EE180" s="1117">
        <f>$G180+ED180</f>
        <v>0</v>
      </c>
      <c r="EF180" s="1118">
        <f>VLOOKUP($E180,EE$442:EH$453,2,FALSE)*EE180*($K180)+IF($G180&lt;&gt;0,($H180/$G180)*EE180,0)*(1-$K180)</f>
        <v>0</v>
      </c>
      <c r="EG180" s="1118">
        <f>VLOOKUP($E180,EE$442:EH$453,3,FALSE)*EE180*($K180)+IF($G180&lt;&gt;0,($I180/$G180)*EE180,0)*(1-$K180)</f>
        <v>0</v>
      </c>
      <c r="EH180" s="1118">
        <f>VLOOKUP($E180,EE$442:EH$453,4,FALSE)*EE180*($K180)+(EE180-EF180-EG180)*(1-$K180)</f>
        <v>0</v>
      </c>
      <c r="EI180" s="1074"/>
      <c r="EL180" s="1162">
        <f>VLOOKUP($A180,'New Resources - Group'!$A$4:$Y$133,EL$2,FALSE)*EL$1</f>
        <v>0</v>
      </c>
      <c r="EM180" s="1117">
        <f>$G180+EL180</f>
        <v>0</v>
      </c>
      <c r="EN180" s="1118">
        <f>VLOOKUP($E180,EM$442:EP$453,2,FALSE)*EM180*($K180)+IF($G180&lt;&gt;0,($H180/$G180)*EM180,0)*(1-$K180)</f>
        <v>0</v>
      </c>
      <c r="EO180" s="1118">
        <f>VLOOKUP($E180,EM$442:EP$453,3,FALSE)*EM180*($K180)+IF($G180&lt;&gt;0,($I180/$G180)*EM180,0)*(1-$K180)</f>
        <v>0</v>
      </c>
      <c r="EP180" s="1118">
        <f>VLOOKUP($E180,EM$442:EP$453,4,FALSE)*EM180*($K180)+(EM180-EN180-EO180)*(1-$K180)</f>
        <v>0</v>
      </c>
      <c r="EQ180" s="1074"/>
      <c r="ET180" s="1162">
        <f>VLOOKUP($A180,'New Resources - Group'!$A$4:$Y$133,ET$2,FALSE)*ET$1</f>
        <v>0</v>
      </c>
      <c r="EU180" s="1117">
        <f>$G180+ET180</f>
        <v>0</v>
      </c>
      <c r="EV180" s="1118">
        <f>VLOOKUP($E180,EU$442:EX$453,2,FALSE)*EU180*($K180)+IF($G180&lt;&gt;0,($H180/$G180)*EU180,0)*(1-$K180)</f>
        <v>0</v>
      </c>
      <c r="EW180" s="1118">
        <f>VLOOKUP($E180,EU$442:EX$453,3,FALSE)*EU180*($K180)+IF($G180&lt;&gt;0,($I180/$G180)*EU180,0)*(1-$K180)</f>
        <v>0</v>
      </c>
      <c r="EX180" s="1118">
        <f>VLOOKUP($E180,EU$442:EX$453,4,FALSE)*EU180*($K180)+(EU180-EV180-EW180)*(1-$K180)</f>
        <v>0</v>
      </c>
      <c r="EY180" s="1074"/>
      <c r="FB180" s="1162">
        <f>VLOOKUP($A180,'New Resources - Group'!$A$4:$Y$133,FB$2,FALSE)*FB$1</f>
        <v>0</v>
      </c>
      <c r="FC180" s="1117">
        <f>$G180+FB180</f>
        <v>0</v>
      </c>
      <c r="FD180" s="1118">
        <f>VLOOKUP($E180,FC$442:FF$453,2,FALSE)*FC180*($K180)+IF($G180&lt;&gt;0,($H180/$G180)*FC180,0)*(1-$K180)</f>
        <v>0</v>
      </c>
      <c r="FE180" s="1118">
        <f>VLOOKUP($E180,FC$442:FF$453,3,FALSE)*FC180*($K180)+IF($G180&lt;&gt;0,($I180/$G180)*FC180,0)*(1-$K180)</f>
        <v>0</v>
      </c>
      <c r="FF180" s="1118">
        <f>VLOOKUP($E180,FC$442:FF$453,4,FALSE)*FC180*($K180)+(FC180-FD180-FE180)*(1-$K180)</f>
        <v>0</v>
      </c>
      <c r="FG180" s="1074"/>
      <c r="FJ180" s="1162">
        <f>VLOOKUP($A180,'New Resources - Group'!$A$4:$Y$133,FJ$2,FALSE)*FJ$1</f>
        <v>0</v>
      </c>
      <c r="FK180" s="1117">
        <f>$G180+FJ180</f>
        <v>0</v>
      </c>
      <c r="FL180" s="1118">
        <f>VLOOKUP($E180,FK$442:FN$453,2,FALSE)*FK180*($K180)+IF($G180&lt;&gt;0,($H180/$G180)*FK180,0)*(1-$K180)</f>
        <v>0</v>
      </c>
      <c r="FM180" s="1118">
        <f>VLOOKUP($E180,FK$442:FN$453,3,FALSE)*FK180*($K180)+IF($G180&lt;&gt;0,($I180/$G180)*FK180,0)*(1-$K180)</f>
        <v>0</v>
      </c>
      <c r="FN180" s="1118">
        <f>VLOOKUP($E180,FK$442:FN$453,4,FALSE)*FK180*($K180)+(FK180-FL180-FM180)*(1-$K180)</f>
        <v>0</v>
      </c>
      <c r="FO180" s="1074"/>
    </row>
    <row r="181" spans="1:171" x14ac:dyDescent="0.25">
      <c r="A181" s="1442">
        <v>300</v>
      </c>
      <c r="B181" s="914" t="s">
        <v>264</v>
      </c>
      <c r="C181" s="889" t="s">
        <v>72</v>
      </c>
      <c r="D181" s="889" t="s">
        <v>453</v>
      </c>
      <c r="E181" s="182" t="str">
        <f>'Sch 3 - Expenses'!E21</f>
        <v>PROD</v>
      </c>
      <c r="F181" s="890"/>
      <c r="G181" s="182">
        <f>'Sch 3 - Expenses'!G21</f>
        <v>0</v>
      </c>
      <c r="H181" s="182">
        <f>'Sch 3 - Expenses'!H21</f>
        <v>0</v>
      </c>
      <c r="I181" s="182">
        <f>'Sch 3 - Expenses'!I21</f>
        <v>0</v>
      </c>
      <c r="J181" s="1422">
        <f>'Sch 3 - Expenses'!J21</f>
        <v>0</v>
      </c>
      <c r="K181" s="904">
        <f t="shared" si="547"/>
        <v>1</v>
      </c>
      <c r="N181" s="1162">
        <f>VLOOKUP($A181,'New Resources - Group'!$A$4:$Y$133,N$2,FALSE)*N$1</f>
        <v>0</v>
      </c>
      <c r="O181" s="1117">
        <f>$G181+N181</f>
        <v>0</v>
      </c>
      <c r="P181" s="1118">
        <f>VLOOKUP($E181,O$442:R$453,2,FALSE)*O181*($K181)+IF($G181&lt;&gt;0,($H181/$G181)*O181,0)*(1-$K181)</f>
        <v>0</v>
      </c>
      <c r="Q181" s="1118">
        <f>VLOOKUP($E181,O$442:R$453,3,FALSE)*O181*($K181)+IF($G181&lt;&gt;0,($I181/$G181)*O181,0)*(1-$K181)</f>
        <v>0</v>
      </c>
      <c r="R181" s="1118">
        <f>VLOOKUP($E181,O$442:R$453,4,FALSE)*O181*($K181)+(O181-P181-Q181)*(1-$K181)</f>
        <v>0</v>
      </c>
      <c r="S181" s="1074"/>
      <c r="V181" s="1162">
        <f>VLOOKUP($A181,'New Resources - Group'!$A$4:$Y$133,V$2,FALSE)*V$1</f>
        <v>0</v>
      </c>
      <c r="W181" s="1117">
        <f>$G181+V181</f>
        <v>0</v>
      </c>
      <c r="X181" s="1118">
        <f>VLOOKUP($E181,W$442:Z$453,2,FALSE)*W181*($K181)+IF($G181&lt;&gt;0,($H181/$G181)*W181,0)*(1-$K181)</f>
        <v>0</v>
      </c>
      <c r="Y181" s="1118">
        <f>VLOOKUP($E181,W$442:Z$453,3,FALSE)*W181*($K181)+IF($G181&lt;&gt;0,($I181/$G181)*W181,0)*(1-$K181)</f>
        <v>0</v>
      </c>
      <c r="Z181" s="1118">
        <f>VLOOKUP($E181,W$442:Z$453,4,FALSE)*W181*($K181)+(W181-X181-Y181)*(1-$K181)</f>
        <v>0</v>
      </c>
      <c r="AA181" s="1074"/>
      <c r="AD181" s="1162">
        <f>VLOOKUP($A181,'New Resources - Group'!$A$4:$Y$133,AD$2,FALSE)*AD$1</f>
        <v>0</v>
      </c>
      <c r="AE181" s="1117">
        <f>$G181+AD181</f>
        <v>0</v>
      </c>
      <c r="AF181" s="1118">
        <f>VLOOKUP($E181,AE$442:AH$453,2,FALSE)*AE181*($K181)+IF($G181&lt;&gt;0,($H181/$G181)*AE181,0)*(1-$K181)</f>
        <v>0</v>
      </c>
      <c r="AG181" s="1118">
        <f>VLOOKUP($E181,AE$442:AH$453,3,FALSE)*AE181*($K181)+IF($G181&lt;&gt;0,($I181/$G181)*AE181,0)*(1-$K181)</f>
        <v>0</v>
      </c>
      <c r="AH181" s="1118">
        <f>VLOOKUP($E181,AE$442:AH$453,4,FALSE)*AE181*($K181)+(AE181-AF181-AG181)*(1-$K181)</f>
        <v>0</v>
      </c>
      <c r="AI181" s="1074"/>
      <c r="AL181" s="1162">
        <f>VLOOKUP($A181,'New Resources - Group'!$A$4:$Y$133,AL$2,FALSE)*AL$1</f>
        <v>0</v>
      </c>
      <c r="AM181" s="1117">
        <f>$G181+AL181</f>
        <v>0</v>
      </c>
      <c r="AN181" s="1118">
        <f>VLOOKUP($E181,AM$442:AP$453,2,FALSE)*AM181*($K181)+IF($G181&lt;&gt;0,($H181/$G181)*AM181,0)*(1-$K181)</f>
        <v>0</v>
      </c>
      <c r="AO181" s="1118">
        <f>VLOOKUP($E181,AM$442:AP$453,3,FALSE)*AM181*($K181)+IF($G181&lt;&gt;0,($I181/$G181)*AM181,0)*(1-$K181)</f>
        <v>0</v>
      </c>
      <c r="AP181" s="1118">
        <f>VLOOKUP($E181,AM$442:AP$453,4,FALSE)*AM181*($K181)+(AM181-AN181-AO181)*(1-$K181)</f>
        <v>0</v>
      </c>
      <c r="AQ181" s="1074"/>
      <c r="AT181" s="1162">
        <f>VLOOKUP($A181,'New Resources - Group'!$A$4:$Y$133,AT$2,FALSE)*AT$1</f>
        <v>0</v>
      </c>
      <c r="AU181" s="1117">
        <f>$G181+AT181</f>
        <v>0</v>
      </c>
      <c r="AV181" s="1118">
        <f>VLOOKUP($E181,AU$442:AX$453,2,FALSE)*AU181*($K181)+IF($G181&lt;&gt;0,($H181/$G181)*AU181,0)*(1-$K181)</f>
        <v>0</v>
      </c>
      <c r="AW181" s="1118">
        <f>VLOOKUP($E181,AU$442:AX$453,3,FALSE)*AU181*($K181)+IF($G181&lt;&gt;0,($I181/$G181)*AU181,0)*(1-$K181)</f>
        <v>0</v>
      </c>
      <c r="AX181" s="1118">
        <f>VLOOKUP($E181,AU$442:AX$453,4,FALSE)*AU181*($K181)+(AU181-AV181-AW181)*(1-$K181)</f>
        <v>0</v>
      </c>
      <c r="AY181" s="1074"/>
      <c r="BB181" s="1162">
        <f>VLOOKUP($A181,'New Resources - Group'!$A$4:$Y$133,BB$2,FALSE)*BB$1</f>
        <v>0</v>
      </c>
      <c r="BC181" s="1117">
        <f>$G181+BB181</f>
        <v>0</v>
      </c>
      <c r="BD181" s="1118">
        <f>VLOOKUP($E181,BC$442:BF$453,2,FALSE)*BC181*($K181)+IF($G181&lt;&gt;0,($H181/$G181)*BC181,0)*(1-$K181)</f>
        <v>0</v>
      </c>
      <c r="BE181" s="1118">
        <f>VLOOKUP($E181,BC$442:BF$453,3,FALSE)*BC181*($K181)+IF($G181&lt;&gt;0,($I181/$G181)*BC181,0)*(1-$K181)</f>
        <v>0</v>
      </c>
      <c r="BF181" s="1118">
        <f>VLOOKUP($E181,BC$442:BF$453,4,FALSE)*BC181*($K181)+(BC181-BD181-BE181)*(1-$K181)</f>
        <v>0</v>
      </c>
      <c r="BG181" s="1074"/>
      <c r="BJ181" s="1162">
        <f>VLOOKUP($A181,'New Resources - Group'!$A$4:$Y$133,BJ$2,FALSE)*BJ$1</f>
        <v>0</v>
      </c>
      <c r="BK181" s="1117">
        <f>$G181+BJ181</f>
        <v>0</v>
      </c>
      <c r="BL181" s="1118">
        <f>VLOOKUP($E181,BK$442:BN$453,2,FALSE)*BK181*($K181)+IF($G181&lt;&gt;0,($H181/$G181)*BK181,0)*(1-$K181)</f>
        <v>0</v>
      </c>
      <c r="BM181" s="1118">
        <f>VLOOKUP($E181,BK$442:BN$453,3,FALSE)*BK181*($K181)+IF($G181&lt;&gt;0,($I181/$G181)*BK181,0)*(1-$K181)</f>
        <v>0</v>
      </c>
      <c r="BN181" s="1118">
        <f>VLOOKUP($E181,BK$442:BN$453,4,FALSE)*BK181*($K181)+(BK181-BL181-BM181)*(1-$K181)</f>
        <v>0</v>
      </c>
      <c r="BO181" s="1074"/>
      <c r="BR181" s="1162">
        <f>VLOOKUP($A181,'New Resources - Group'!$A$4:$Y$133,BR$2,FALSE)*BR$1</f>
        <v>0</v>
      </c>
      <c r="BS181" s="1117">
        <f>$G181+BR181</f>
        <v>0</v>
      </c>
      <c r="BT181" s="1118">
        <f>VLOOKUP($E181,BS$442:BV$453,2,FALSE)*BS181*($K181)+IF($G181&lt;&gt;0,($H181/$G181)*BS181,0)*(1-$K181)</f>
        <v>0</v>
      </c>
      <c r="BU181" s="1118">
        <f>VLOOKUP($E181,BS$442:BV$453,3,FALSE)*BS181*($K181)+IF($G181&lt;&gt;0,($I181/$G181)*BS181,0)*(1-$K181)</f>
        <v>0</v>
      </c>
      <c r="BV181" s="1118">
        <f>VLOOKUP($E181,BS$442:BV$453,4,FALSE)*BS181*($K181)+(BS181-BT181-BU181)*(1-$K181)</f>
        <v>0</v>
      </c>
      <c r="BW181" s="1074"/>
      <c r="BZ181" s="1162">
        <f>VLOOKUP($A181,'New Resources - Group'!$A$4:$Y$133,BZ$2,FALSE)*BZ$1</f>
        <v>0</v>
      </c>
      <c r="CA181" s="1117">
        <f>$G181+BZ181</f>
        <v>0</v>
      </c>
      <c r="CB181" s="1118">
        <f>VLOOKUP($E181,CA$442:CD$453,2,FALSE)*CA181*($K181)+IF($G181&lt;&gt;0,($H181/$G181)*CA181,0)*(1-$K181)</f>
        <v>0</v>
      </c>
      <c r="CC181" s="1118">
        <f>VLOOKUP($E181,CA$442:CD$453,3,FALSE)*CA181*($K181)+IF($G181&lt;&gt;0,($I181/$G181)*CA181,0)*(1-$K181)</f>
        <v>0</v>
      </c>
      <c r="CD181" s="1118">
        <f>VLOOKUP($E181,CA$442:CD$453,4,FALSE)*CA181*($K181)+(CA181-CB181-CC181)*(1-$K181)</f>
        <v>0</v>
      </c>
      <c r="CE181" s="1074"/>
      <c r="CH181" s="1162">
        <f>VLOOKUP($A181,'New Resources - Group'!$A$4:$Y$133,CH$2,FALSE)*CH$1</f>
        <v>0</v>
      </c>
      <c r="CI181" s="1117">
        <f>$G181+CH181</f>
        <v>0</v>
      </c>
      <c r="CJ181" s="1118">
        <f>VLOOKUP($E181,CI$442:CL$453,2,FALSE)*CI181*($K181)+IF($G181&lt;&gt;0,($H181/$G181)*CI181,0)*(1-$K181)</f>
        <v>0</v>
      </c>
      <c r="CK181" s="1118">
        <f>VLOOKUP($E181,CI$442:CL$453,3,FALSE)*CI181*($K181)+IF($G181&lt;&gt;0,($I181/$G181)*CI181,0)*(1-$K181)</f>
        <v>0</v>
      </c>
      <c r="CL181" s="1118">
        <f>VLOOKUP($E181,CI$442:CL$453,4,FALSE)*CI181*($K181)+(CI181-CJ181-CK181)*(1-$K181)</f>
        <v>0</v>
      </c>
      <c r="CM181" s="1074"/>
      <c r="CP181" s="1162">
        <f>VLOOKUP($A181,'New Resources - Group'!$A$4:$Y$133,CP$2,FALSE)*CP$1</f>
        <v>0</v>
      </c>
      <c r="CQ181" s="1117">
        <f>$G181+CP181</f>
        <v>0</v>
      </c>
      <c r="CR181" s="1118">
        <f>VLOOKUP($E181,CQ$442:CT$453,2,FALSE)*CQ181*($K181)+IF($G181&lt;&gt;0,($H181/$G181)*CQ181,0)*(1-$K181)</f>
        <v>0</v>
      </c>
      <c r="CS181" s="1118">
        <f>VLOOKUP($E181,CQ$442:CT$453,3,FALSE)*CQ181*($K181)+IF($G181&lt;&gt;0,($I181/$G181)*CQ181,0)*(1-$K181)</f>
        <v>0</v>
      </c>
      <c r="CT181" s="1118">
        <f>VLOOKUP($E181,CQ$442:CT$453,4,FALSE)*CQ181*($K181)+(CQ181-CR181-CS181)*(1-$K181)</f>
        <v>0</v>
      </c>
      <c r="CU181" s="1074"/>
      <c r="CX181" s="1162">
        <f>VLOOKUP($A181,'New Resources - Group'!$A$4:$Y$133,CX$2,FALSE)*CX$1</f>
        <v>0</v>
      </c>
      <c r="CY181" s="1117">
        <f>$G181+CX181</f>
        <v>0</v>
      </c>
      <c r="CZ181" s="1118">
        <f>VLOOKUP($E181,CY$442:DB$453,2,FALSE)*CY181*($K181)+IF($G181&lt;&gt;0,($H181/$G181)*CY181,0)*(1-$K181)</f>
        <v>0</v>
      </c>
      <c r="DA181" s="1118">
        <f>VLOOKUP($E181,CY$442:DB$453,3,FALSE)*CY181*($K181)+IF($G181&lt;&gt;0,($I181/$G181)*CY181,0)*(1-$K181)</f>
        <v>0</v>
      </c>
      <c r="DB181" s="1118">
        <f>VLOOKUP($E181,CY$442:DB$453,4,FALSE)*CY181*($K181)+(CY181-CZ181-DA181)*(1-$K181)</f>
        <v>0</v>
      </c>
      <c r="DC181" s="1074"/>
      <c r="DF181" s="1162">
        <f>VLOOKUP($A181,'New Resources - Group'!$A$4:$Y$133,DF$2,FALSE)*DF$1</f>
        <v>0</v>
      </c>
      <c r="DG181" s="1117">
        <f>$G181+DF181</f>
        <v>0</v>
      </c>
      <c r="DH181" s="1118">
        <f>VLOOKUP($E181,DG$442:DJ$453,2,FALSE)*DG181*($K181)+IF($G181&lt;&gt;0,($H181/$G181)*DG181,0)*(1-$K181)</f>
        <v>0</v>
      </c>
      <c r="DI181" s="1118">
        <f>VLOOKUP($E181,DG$442:DJ$453,3,FALSE)*DG181*($K181)+IF($G181&lt;&gt;0,($I181/$G181)*DG181,0)*(1-$K181)</f>
        <v>0</v>
      </c>
      <c r="DJ181" s="1118">
        <f>VLOOKUP($E181,DG$442:DJ$453,4,FALSE)*DG181*($K181)+(DG181-DH181-DI181)*(1-$K181)</f>
        <v>0</v>
      </c>
      <c r="DK181" s="1074"/>
      <c r="DN181" s="1162">
        <f>VLOOKUP($A181,'New Resources - Group'!$A$4:$Y$133,DN$2,FALSE)*DN$1</f>
        <v>0</v>
      </c>
      <c r="DO181" s="1117">
        <f>$G181+DN181</f>
        <v>0</v>
      </c>
      <c r="DP181" s="1118">
        <f>VLOOKUP($E181,DO$442:DR$453,2,FALSE)*DO181*($K181)+IF($G181&lt;&gt;0,($H181/$G181)*DO181,0)*(1-$K181)</f>
        <v>0</v>
      </c>
      <c r="DQ181" s="1118">
        <f>VLOOKUP($E181,DO$442:DR$453,3,FALSE)*DO181*($K181)+IF($G181&lt;&gt;0,($I181/$G181)*DO181,0)*(1-$K181)</f>
        <v>0</v>
      </c>
      <c r="DR181" s="1118">
        <f>VLOOKUP($E181,DO$442:DR$453,4,FALSE)*DO181*($K181)+(DO181-DP181-DQ181)*(1-$K181)</f>
        <v>0</v>
      </c>
      <c r="DS181" s="1074"/>
      <c r="DV181" s="1162">
        <f>VLOOKUP($A181,'New Resources - Group'!$A$4:$Y$133,DV$2,FALSE)*DV$1</f>
        <v>0</v>
      </c>
      <c r="DW181" s="1117">
        <f>$G181+DV181</f>
        <v>0</v>
      </c>
      <c r="DX181" s="1118">
        <f>VLOOKUP($E181,DW$442:DZ$453,2,FALSE)*DW181*($K181)+IF($G181&lt;&gt;0,($H181/$G181)*DW181,0)*(1-$K181)</f>
        <v>0</v>
      </c>
      <c r="DY181" s="1118">
        <f>VLOOKUP($E181,DW$442:DZ$453,3,FALSE)*DW181*($K181)+IF($G181&lt;&gt;0,($I181/$G181)*DW181,0)*(1-$K181)</f>
        <v>0</v>
      </c>
      <c r="DZ181" s="1118">
        <f>VLOOKUP($E181,DW$442:DZ$453,4,FALSE)*DW181*($K181)+(DW181-DX181-DY181)*(1-$K181)</f>
        <v>0</v>
      </c>
      <c r="EA181" s="1074"/>
      <c r="ED181" s="1162">
        <f>VLOOKUP($A181,'New Resources - Group'!$A$4:$Y$133,ED$2,FALSE)*ED$1</f>
        <v>0</v>
      </c>
      <c r="EE181" s="1117">
        <f>$G181+ED181</f>
        <v>0</v>
      </c>
      <c r="EF181" s="1118">
        <f>VLOOKUP($E181,EE$442:EH$453,2,FALSE)*EE181*($K181)+IF($G181&lt;&gt;0,($H181/$G181)*EE181,0)*(1-$K181)</f>
        <v>0</v>
      </c>
      <c r="EG181" s="1118">
        <f>VLOOKUP($E181,EE$442:EH$453,3,FALSE)*EE181*($K181)+IF($G181&lt;&gt;0,($I181/$G181)*EE181,0)*(1-$K181)</f>
        <v>0</v>
      </c>
      <c r="EH181" s="1118">
        <f>VLOOKUP($E181,EE$442:EH$453,4,FALSE)*EE181*($K181)+(EE181-EF181-EG181)*(1-$K181)</f>
        <v>0</v>
      </c>
      <c r="EI181" s="1074"/>
      <c r="EL181" s="1162">
        <f>VLOOKUP($A181,'New Resources - Group'!$A$4:$Y$133,EL$2,FALSE)*EL$1</f>
        <v>0</v>
      </c>
      <c r="EM181" s="1117">
        <f>$G181+EL181</f>
        <v>0</v>
      </c>
      <c r="EN181" s="1118">
        <f>VLOOKUP($E181,EM$442:EP$453,2,FALSE)*EM181*($K181)+IF($G181&lt;&gt;0,($H181/$G181)*EM181,0)*(1-$K181)</f>
        <v>0</v>
      </c>
      <c r="EO181" s="1118">
        <f>VLOOKUP($E181,EM$442:EP$453,3,FALSE)*EM181*($K181)+IF($G181&lt;&gt;0,($I181/$G181)*EM181,0)*(1-$K181)</f>
        <v>0</v>
      </c>
      <c r="EP181" s="1118">
        <f>VLOOKUP($E181,EM$442:EP$453,4,FALSE)*EM181*($K181)+(EM181-EN181-EO181)*(1-$K181)</f>
        <v>0</v>
      </c>
      <c r="EQ181" s="1074"/>
      <c r="ET181" s="1162">
        <f>VLOOKUP($A181,'New Resources - Group'!$A$4:$Y$133,ET$2,FALSE)*ET$1</f>
        <v>0</v>
      </c>
      <c r="EU181" s="1117">
        <f>$G181+ET181</f>
        <v>0</v>
      </c>
      <c r="EV181" s="1118">
        <f>VLOOKUP($E181,EU$442:EX$453,2,FALSE)*EU181*($K181)+IF($G181&lt;&gt;0,($H181/$G181)*EU181,0)*(1-$K181)</f>
        <v>0</v>
      </c>
      <c r="EW181" s="1118">
        <f>VLOOKUP($E181,EU$442:EX$453,3,FALSE)*EU181*($K181)+IF($G181&lt;&gt;0,($I181/$G181)*EU181,0)*(1-$K181)</f>
        <v>0</v>
      </c>
      <c r="EX181" s="1118">
        <f>VLOOKUP($E181,EU$442:EX$453,4,FALSE)*EU181*($K181)+(EU181-EV181-EW181)*(1-$K181)</f>
        <v>0</v>
      </c>
      <c r="EY181" s="1074"/>
      <c r="FB181" s="1162">
        <f>VLOOKUP($A181,'New Resources - Group'!$A$4:$Y$133,FB$2,FALSE)*FB$1</f>
        <v>0</v>
      </c>
      <c r="FC181" s="1117">
        <f>$G181+FB181</f>
        <v>0</v>
      </c>
      <c r="FD181" s="1118">
        <f>VLOOKUP($E181,FC$442:FF$453,2,FALSE)*FC181*($K181)+IF($G181&lt;&gt;0,($H181/$G181)*FC181,0)*(1-$K181)</f>
        <v>0</v>
      </c>
      <c r="FE181" s="1118">
        <f>VLOOKUP($E181,FC$442:FF$453,3,FALSE)*FC181*($K181)+IF($G181&lt;&gt;0,($I181/$G181)*FC181,0)*(1-$K181)</f>
        <v>0</v>
      </c>
      <c r="FF181" s="1118">
        <f>VLOOKUP($E181,FC$442:FF$453,4,FALSE)*FC181*($K181)+(FC181-FD181-FE181)*(1-$K181)</f>
        <v>0</v>
      </c>
      <c r="FG181" s="1074"/>
      <c r="FJ181" s="1162">
        <f>VLOOKUP($A181,'New Resources - Group'!$A$4:$Y$133,FJ$2,FALSE)*FJ$1</f>
        <v>0</v>
      </c>
      <c r="FK181" s="1117">
        <f>$G181+FJ181</f>
        <v>0</v>
      </c>
      <c r="FL181" s="1118">
        <f>VLOOKUP($E181,FK$442:FN$453,2,FALSE)*FK181*($K181)+IF($G181&lt;&gt;0,($H181/$G181)*FK181,0)*(1-$K181)</f>
        <v>0</v>
      </c>
      <c r="FM181" s="1118">
        <f>VLOOKUP($E181,FK$442:FN$453,3,FALSE)*FK181*($K181)+IF($G181&lt;&gt;0,($I181/$G181)*FK181,0)*(1-$K181)</f>
        <v>0</v>
      </c>
      <c r="FN181" s="1118">
        <f>VLOOKUP($E181,FK$442:FN$453,4,FALSE)*FK181*($K181)+(FK181-FL181-FM181)*(1-$K181)</f>
        <v>0</v>
      </c>
      <c r="FO181" s="1074"/>
    </row>
    <row r="182" spans="1:171" x14ac:dyDescent="0.25">
      <c r="A182" s="1442">
        <v>310</v>
      </c>
      <c r="B182" s="10" t="s">
        <v>479</v>
      </c>
      <c r="C182" s="889" t="s">
        <v>72</v>
      </c>
      <c r="D182" s="889" t="s">
        <v>480</v>
      </c>
      <c r="E182" s="182" t="str">
        <f>'Sch 3 - Expenses'!E22</f>
        <v>PROD</v>
      </c>
      <c r="F182" s="890"/>
      <c r="G182" s="182">
        <f>'Sch 3 - Expenses'!G22</f>
        <v>0</v>
      </c>
      <c r="H182" s="182">
        <f>'Sch 3 - Expenses'!H22</f>
        <v>0</v>
      </c>
      <c r="I182" s="182">
        <f>'Sch 3 - Expenses'!I22</f>
        <v>0</v>
      </c>
      <c r="J182" s="1422">
        <f>'Sch 3 - Expenses'!J22</f>
        <v>0</v>
      </c>
      <c r="K182" s="904">
        <f t="shared" si="547"/>
        <v>1</v>
      </c>
      <c r="N182" s="1162">
        <f>VLOOKUP($A182,'New Resources - Group'!$A$4:$Y$133,N$2,FALSE)*N$1</f>
        <v>0</v>
      </c>
      <c r="O182" s="1117">
        <f>$G182+N182</f>
        <v>0</v>
      </c>
      <c r="P182" s="1118">
        <f>VLOOKUP($E182,O$442:R$453,2,FALSE)*O182*($K182)+IF($G182&lt;&gt;0,($H182/$G182)*O182,0)*(1-$K182)</f>
        <v>0</v>
      </c>
      <c r="Q182" s="1118">
        <f>VLOOKUP($E182,O$442:R$453,3,FALSE)*O182*($K182)+IF($G182&lt;&gt;0,($I182/$G182)*O182,0)*(1-$K182)</f>
        <v>0</v>
      </c>
      <c r="R182" s="1118">
        <f>VLOOKUP($E182,O$442:R$453,4,FALSE)*O182*($K182)+(O182-P182-Q182)*(1-$K182)</f>
        <v>0</v>
      </c>
      <c r="S182" s="1074"/>
      <c r="V182" s="1162">
        <f>VLOOKUP($A182,'New Resources - Group'!$A$4:$Y$133,V$2,FALSE)*V$1</f>
        <v>0</v>
      </c>
      <c r="W182" s="1117">
        <f>$G182+V182</f>
        <v>0</v>
      </c>
      <c r="X182" s="1118">
        <f>VLOOKUP($E182,W$442:Z$453,2,FALSE)*W182*($K182)+IF($G182&lt;&gt;0,($H182/$G182)*W182,0)*(1-$K182)</f>
        <v>0</v>
      </c>
      <c r="Y182" s="1118">
        <f>VLOOKUP($E182,W$442:Z$453,3,FALSE)*W182*($K182)+IF($G182&lt;&gt;0,($I182/$G182)*W182,0)*(1-$K182)</f>
        <v>0</v>
      </c>
      <c r="Z182" s="1118">
        <f>VLOOKUP($E182,W$442:Z$453,4,FALSE)*W182*($K182)+(W182-X182-Y182)*(1-$K182)</f>
        <v>0</v>
      </c>
      <c r="AA182" s="1074"/>
      <c r="AD182" s="1162">
        <f>VLOOKUP($A182,'New Resources - Group'!$A$4:$Y$133,AD$2,FALSE)*AD$1</f>
        <v>0</v>
      </c>
      <c r="AE182" s="1117">
        <f>$G182+AD182</f>
        <v>0</v>
      </c>
      <c r="AF182" s="1118">
        <f>VLOOKUP($E182,AE$442:AH$453,2,FALSE)*AE182*($K182)+IF($G182&lt;&gt;0,($H182/$G182)*AE182,0)*(1-$K182)</f>
        <v>0</v>
      </c>
      <c r="AG182" s="1118">
        <f>VLOOKUP($E182,AE$442:AH$453,3,FALSE)*AE182*($K182)+IF($G182&lt;&gt;0,($I182/$G182)*AE182,0)*(1-$K182)</f>
        <v>0</v>
      </c>
      <c r="AH182" s="1118">
        <f>VLOOKUP($E182,AE$442:AH$453,4,FALSE)*AE182*($K182)+(AE182-AF182-AG182)*(1-$K182)</f>
        <v>0</v>
      </c>
      <c r="AI182" s="1074"/>
      <c r="AL182" s="1162">
        <f>VLOOKUP($A182,'New Resources - Group'!$A$4:$Y$133,AL$2,FALSE)*AL$1</f>
        <v>0</v>
      </c>
      <c r="AM182" s="1117">
        <f>$G182+AL182</f>
        <v>0</v>
      </c>
      <c r="AN182" s="1118">
        <f>VLOOKUP($E182,AM$442:AP$453,2,FALSE)*AM182*($K182)+IF($G182&lt;&gt;0,($H182/$G182)*AM182,0)*(1-$K182)</f>
        <v>0</v>
      </c>
      <c r="AO182" s="1118">
        <f>VLOOKUP($E182,AM$442:AP$453,3,FALSE)*AM182*($K182)+IF($G182&lt;&gt;0,($I182/$G182)*AM182,0)*(1-$K182)</f>
        <v>0</v>
      </c>
      <c r="AP182" s="1118">
        <f>VLOOKUP($E182,AM$442:AP$453,4,FALSE)*AM182*($K182)+(AM182-AN182-AO182)*(1-$K182)</f>
        <v>0</v>
      </c>
      <c r="AQ182" s="1074"/>
      <c r="AT182" s="1162">
        <f>VLOOKUP($A182,'New Resources - Group'!$A$4:$Y$133,AT$2,FALSE)*AT$1</f>
        <v>0</v>
      </c>
      <c r="AU182" s="1117">
        <f>$G182+AT182</f>
        <v>0</v>
      </c>
      <c r="AV182" s="1118">
        <f>VLOOKUP($E182,AU$442:AX$453,2,FALSE)*AU182*($K182)+IF($G182&lt;&gt;0,($H182/$G182)*AU182,0)*(1-$K182)</f>
        <v>0</v>
      </c>
      <c r="AW182" s="1118">
        <f>VLOOKUP($E182,AU$442:AX$453,3,FALSE)*AU182*($K182)+IF($G182&lt;&gt;0,($I182/$G182)*AU182,0)*(1-$K182)</f>
        <v>0</v>
      </c>
      <c r="AX182" s="1118">
        <f>VLOOKUP($E182,AU$442:AX$453,4,FALSE)*AU182*($K182)+(AU182-AV182-AW182)*(1-$K182)</f>
        <v>0</v>
      </c>
      <c r="AY182" s="1074"/>
      <c r="BB182" s="1162">
        <f>VLOOKUP($A182,'New Resources - Group'!$A$4:$Y$133,BB$2,FALSE)*BB$1</f>
        <v>0</v>
      </c>
      <c r="BC182" s="1117">
        <f>$G182+BB182</f>
        <v>0</v>
      </c>
      <c r="BD182" s="1118">
        <f>VLOOKUP($E182,BC$442:BF$453,2,FALSE)*BC182*($K182)+IF($G182&lt;&gt;0,($H182/$G182)*BC182,0)*(1-$K182)</f>
        <v>0</v>
      </c>
      <c r="BE182" s="1118">
        <f>VLOOKUP($E182,BC$442:BF$453,3,FALSE)*BC182*($K182)+IF($G182&lt;&gt;0,($I182/$G182)*BC182,0)*(1-$K182)</f>
        <v>0</v>
      </c>
      <c r="BF182" s="1118">
        <f>VLOOKUP($E182,BC$442:BF$453,4,FALSE)*BC182*($K182)+(BC182-BD182-BE182)*(1-$K182)</f>
        <v>0</v>
      </c>
      <c r="BG182" s="1074"/>
      <c r="BJ182" s="1162">
        <f>VLOOKUP($A182,'New Resources - Group'!$A$4:$Y$133,BJ$2,FALSE)*BJ$1</f>
        <v>0</v>
      </c>
      <c r="BK182" s="1117">
        <f>$G182+BJ182</f>
        <v>0</v>
      </c>
      <c r="BL182" s="1118">
        <f>VLOOKUP($E182,BK$442:BN$453,2,FALSE)*BK182*($K182)+IF($G182&lt;&gt;0,($H182/$G182)*BK182,0)*(1-$K182)</f>
        <v>0</v>
      </c>
      <c r="BM182" s="1118">
        <f>VLOOKUP($E182,BK$442:BN$453,3,FALSE)*BK182*($K182)+IF($G182&lt;&gt;0,($I182/$G182)*BK182,0)*(1-$K182)</f>
        <v>0</v>
      </c>
      <c r="BN182" s="1118">
        <f>VLOOKUP($E182,BK$442:BN$453,4,FALSE)*BK182*($K182)+(BK182-BL182-BM182)*(1-$K182)</f>
        <v>0</v>
      </c>
      <c r="BO182" s="1074"/>
      <c r="BR182" s="1162">
        <f>VLOOKUP($A182,'New Resources - Group'!$A$4:$Y$133,BR$2,FALSE)*BR$1</f>
        <v>0</v>
      </c>
      <c r="BS182" s="1117">
        <f>$G182+BR182</f>
        <v>0</v>
      </c>
      <c r="BT182" s="1118">
        <f>VLOOKUP($E182,BS$442:BV$453,2,FALSE)*BS182*($K182)+IF($G182&lt;&gt;0,($H182/$G182)*BS182,0)*(1-$K182)</f>
        <v>0</v>
      </c>
      <c r="BU182" s="1118">
        <f>VLOOKUP($E182,BS$442:BV$453,3,FALSE)*BS182*($K182)+IF($G182&lt;&gt;0,($I182/$G182)*BS182,0)*(1-$K182)</f>
        <v>0</v>
      </c>
      <c r="BV182" s="1118">
        <f>VLOOKUP($E182,BS$442:BV$453,4,FALSE)*BS182*($K182)+(BS182-BT182-BU182)*(1-$K182)</f>
        <v>0</v>
      </c>
      <c r="BW182" s="1074"/>
      <c r="BZ182" s="1162">
        <f>VLOOKUP($A182,'New Resources - Group'!$A$4:$Y$133,BZ$2,FALSE)*BZ$1</f>
        <v>0</v>
      </c>
      <c r="CA182" s="1117">
        <f>$G182+BZ182</f>
        <v>0</v>
      </c>
      <c r="CB182" s="1118">
        <f>VLOOKUP($E182,CA$442:CD$453,2,FALSE)*CA182*($K182)+IF($G182&lt;&gt;0,($H182/$G182)*CA182,0)*(1-$K182)</f>
        <v>0</v>
      </c>
      <c r="CC182" s="1118">
        <f>VLOOKUP($E182,CA$442:CD$453,3,FALSE)*CA182*($K182)+IF($G182&lt;&gt;0,($I182/$G182)*CA182,0)*(1-$K182)</f>
        <v>0</v>
      </c>
      <c r="CD182" s="1118">
        <f>VLOOKUP($E182,CA$442:CD$453,4,FALSE)*CA182*($K182)+(CA182-CB182-CC182)*(1-$K182)</f>
        <v>0</v>
      </c>
      <c r="CE182" s="1074"/>
      <c r="CH182" s="1162">
        <f>VLOOKUP($A182,'New Resources - Group'!$A$4:$Y$133,CH$2,FALSE)*CH$1</f>
        <v>0</v>
      </c>
      <c r="CI182" s="1117">
        <f>$G182+CH182</f>
        <v>0</v>
      </c>
      <c r="CJ182" s="1118">
        <f>VLOOKUP($E182,CI$442:CL$453,2,FALSE)*CI182*($K182)+IF($G182&lt;&gt;0,($H182/$G182)*CI182,0)*(1-$K182)</f>
        <v>0</v>
      </c>
      <c r="CK182" s="1118">
        <f>VLOOKUP($E182,CI$442:CL$453,3,FALSE)*CI182*($K182)+IF($G182&lt;&gt;0,($I182/$G182)*CI182,0)*(1-$K182)</f>
        <v>0</v>
      </c>
      <c r="CL182" s="1118">
        <f>VLOOKUP($E182,CI$442:CL$453,4,FALSE)*CI182*($K182)+(CI182-CJ182-CK182)*(1-$K182)</f>
        <v>0</v>
      </c>
      <c r="CM182" s="1074"/>
      <c r="CP182" s="1162">
        <f>VLOOKUP($A182,'New Resources - Group'!$A$4:$Y$133,CP$2,FALSE)*CP$1</f>
        <v>0</v>
      </c>
      <c r="CQ182" s="1117">
        <f>$G182+CP182</f>
        <v>0</v>
      </c>
      <c r="CR182" s="1118">
        <f>VLOOKUP($E182,CQ$442:CT$453,2,FALSE)*CQ182*($K182)+IF($G182&lt;&gt;0,($H182/$G182)*CQ182,0)*(1-$K182)</f>
        <v>0</v>
      </c>
      <c r="CS182" s="1118">
        <f>VLOOKUP($E182,CQ$442:CT$453,3,FALSE)*CQ182*($K182)+IF($G182&lt;&gt;0,($I182/$G182)*CQ182,0)*(1-$K182)</f>
        <v>0</v>
      </c>
      <c r="CT182" s="1118">
        <f>VLOOKUP($E182,CQ$442:CT$453,4,FALSE)*CQ182*($K182)+(CQ182-CR182-CS182)*(1-$K182)</f>
        <v>0</v>
      </c>
      <c r="CU182" s="1074"/>
      <c r="CX182" s="1162">
        <f>VLOOKUP($A182,'New Resources - Group'!$A$4:$Y$133,CX$2,FALSE)*CX$1</f>
        <v>0</v>
      </c>
      <c r="CY182" s="1117">
        <f>$G182+CX182</f>
        <v>0</v>
      </c>
      <c r="CZ182" s="1118">
        <f>VLOOKUP($E182,CY$442:DB$453,2,FALSE)*CY182*($K182)+IF($G182&lt;&gt;0,($H182/$G182)*CY182,0)*(1-$K182)</f>
        <v>0</v>
      </c>
      <c r="DA182" s="1118">
        <f>VLOOKUP($E182,CY$442:DB$453,3,FALSE)*CY182*($K182)+IF($G182&lt;&gt;0,($I182/$G182)*CY182,0)*(1-$K182)</f>
        <v>0</v>
      </c>
      <c r="DB182" s="1118">
        <f>VLOOKUP($E182,CY$442:DB$453,4,FALSE)*CY182*($K182)+(CY182-CZ182-DA182)*(1-$K182)</f>
        <v>0</v>
      </c>
      <c r="DC182" s="1074"/>
      <c r="DF182" s="1162">
        <f>VLOOKUP($A182,'New Resources - Group'!$A$4:$Y$133,DF$2,FALSE)*DF$1</f>
        <v>0</v>
      </c>
      <c r="DG182" s="1117">
        <f>$G182+DF182</f>
        <v>0</v>
      </c>
      <c r="DH182" s="1118">
        <f>VLOOKUP($E182,DG$442:DJ$453,2,FALSE)*DG182*($K182)+IF($G182&lt;&gt;0,($H182/$G182)*DG182,0)*(1-$K182)</f>
        <v>0</v>
      </c>
      <c r="DI182" s="1118">
        <f>VLOOKUP($E182,DG$442:DJ$453,3,FALSE)*DG182*($K182)+IF($G182&lt;&gt;0,($I182/$G182)*DG182,0)*(1-$K182)</f>
        <v>0</v>
      </c>
      <c r="DJ182" s="1118">
        <f>VLOOKUP($E182,DG$442:DJ$453,4,FALSE)*DG182*($K182)+(DG182-DH182-DI182)*(1-$K182)</f>
        <v>0</v>
      </c>
      <c r="DK182" s="1074"/>
      <c r="DN182" s="1162">
        <f>VLOOKUP($A182,'New Resources - Group'!$A$4:$Y$133,DN$2,FALSE)*DN$1</f>
        <v>0</v>
      </c>
      <c r="DO182" s="1117">
        <f>$G182+DN182</f>
        <v>0</v>
      </c>
      <c r="DP182" s="1118">
        <f>VLOOKUP($E182,DO$442:DR$453,2,FALSE)*DO182*($K182)+IF($G182&lt;&gt;0,($H182/$G182)*DO182,0)*(1-$K182)</f>
        <v>0</v>
      </c>
      <c r="DQ182" s="1118">
        <f>VLOOKUP($E182,DO$442:DR$453,3,FALSE)*DO182*($K182)+IF($G182&lt;&gt;0,($I182/$G182)*DO182,0)*(1-$K182)</f>
        <v>0</v>
      </c>
      <c r="DR182" s="1118">
        <f>VLOOKUP($E182,DO$442:DR$453,4,FALSE)*DO182*($K182)+(DO182-DP182-DQ182)*(1-$K182)</f>
        <v>0</v>
      </c>
      <c r="DS182" s="1074"/>
      <c r="DV182" s="1162">
        <f>VLOOKUP($A182,'New Resources - Group'!$A$4:$Y$133,DV$2,FALSE)*DV$1</f>
        <v>0</v>
      </c>
      <c r="DW182" s="1117">
        <f>$G182+DV182</f>
        <v>0</v>
      </c>
      <c r="DX182" s="1118">
        <f>VLOOKUP($E182,DW$442:DZ$453,2,FALSE)*DW182*($K182)+IF($G182&lt;&gt;0,($H182/$G182)*DW182,0)*(1-$K182)</f>
        <v>0</v>
      </c>
      <c r="DY182" s="1118">
        <f>VLOOKUP($E182,DW$442:DZ$453,3,FALSE)*DW182*($K182)+IF($G182&lt;&gt;0,($I182/$G182)*DW182,0)*(1-$K182)</f>
        <v>0</v>
      </c>
      <c r="DZ182" s="1118">
        <f>VLOOKUP($E182,DW$442:DZ$453,4,FALSE)*DW182*($K182)+(DW182-DX182-DY182)*(1-$K182)</f>
        <v>0</v>
      </c>
      <c r="EA182" s="1074"/>
      <c r="ED182" s="1162">
        <f>VLOOKUP($A182,'New Resources - Group'!$A$4:$Y$133,ED$2,FALSE)*ED$1</f>
        <v>0</v>
      </c>
      <c r="EE182" s="1117">
        <f>$G182+ED182</f>
        <v>0</v>
      </c>
      <c r="EF182" s="1118">
        <f>VLOOKUP($E182,EE$442:EH$453,2,FALSE)*EE182*($K182)+IF($G182&lt;&gt;0,($H182/$G182)*EE182,0)*(1-$K182)</f>
        <v>0</v>
      </c>
      <c r="EG182" s="1118">
        <f>VLOOKUP($E182,EE$442:EH$453,3,FALSE)*EE182*($K182)+IF($G182&lt;&gt;0,($I182/$G182)*EE182,0)*(1-$K182)</f>
        <v>0</v>
      </c>
      <c r="EH182" s="1118">
        <f>VLOOKUP($E182,EE$442:EH$453,4,FALSE)*EE182*($K182)+(EE182-EF182-EG182)*(1-$K182)</f>
        <v>0</v>
      </c>
      <c r="EI182" s="1074"/>
      <c r="EL182" s="1162">
        <f>VLOOKUP($A182,'New Resources - Group'!$A$4:$Y$133,EL$2,FALSE)*EL$1</f>
        <v>0</v>
      </c>
      <c r="EM182" s="1117">
        <f>$G182+EL182</f>
        <v>0</v>
      </c>
      <c r="EN182" s="1118">
        <f>VLOOKUP($E182,EM$442:EP$453,2,FALSE)*EM182*($K182)+IF($G182&lt;&gt;0,($H182/$G182)*EM182,0)*(1-$K182)</f>
        <v>0</v>
      </c>
      <c r="EO182" s="1118">
        <f>VLOOKUP($E182,EM$442:EP$453,3,FALSE)*EM182*($K182)+IF($G182&lt;&gt;0,($I182/$G182)*EM182,0)*(1-$K182)</f>
        <v>0</v>
      </c>
      <c r="EP182" s="1118">
        <f>VLOOKUP($E182,EM$442:EP$453,4,FALSE)*EM182*($K182)+(EM182-EN182-EO182)*(1-$K182)</f>
        <v>0</v>
      </c>
      <c r="EQ182" s="1074"/>
      <c r="ET182" s="1162">
        <f>VLOOKUP($A182,'New Resources - Group'!$A$4:$Y$133,ET$2,FALSE)*ET$1</f>
        <v>0</v>
      </c>
      <c r="EU182" s="1117">
        <f>$G182+ET182</f>
        <v>0</v>
      </c>
      <c r="EV182" s="1118">
        <f>VLOOKUP($E182,EU$442:EX$453,2,FALSE)*EU182*($K182)+IF($G182&lt;&gt;0,($H182/$G182)*EU182,0)*(1-$K182)</f>
        <v>0</v>
      </c>
      <c r="EW182" s="1118">
        <f>VLOOKUP($E182,EU$442:EX$453,3,FALSE)*EU182*($K182)+IF($G182&lt;&gt;0,($I182/$G182)*EU182,0)*(1-$K182)</f>
        <v>0</v>
      </c>
      <c r="EX182" s="1118">
        <f>VLOOKUP($E182,EU$442:EX$453,4,FALSE)*EU182*($K182)+(EU182-EV182-EW182)*(1-$K182)</f>
        <v>0</v>
      </c>
      <c r="EY182" s="1074"/>
      <c r="FB182" s="1162">
        <f>VLOOKUP($A182,'New Resources - Group'!$A$4:$Y$133,FB$2,FALSE)*FB$1</f>
        <v>0</v>
      </c>
      <c r="FC182" s="1117">
        <f>$G182+FB182</f>
        <v>0</v>
      </c>
      <c r="FD182" s="1118">
        <f>VLOOKUP($E182,FC$442:FF$453,2,FALSE)*FC182*($K182)+IF($G182&lt;&gt;0,($H182/$G182)*FC182,0)*(1-$K182)</f>
        <v>0</v>
      </c>
      <c r="FE182" s="1118">
        <f>VLOOKUP($E182,FC$442:FF$453,3,FALSE)*FC182*($K182)+IF($G182&lt;&gt;0,($I182/$G182)*FC182,0)*(1-$K182)</f>
        <v>0</v>
      </c>
      <c r="FF182" s="1118">
        <f>VLOOKUP($E182,FC$442:FF$453,4,FALSE)*FC182*($K182)+(FC182-FD182-FE182)*(1-$K182)</f>
        <v>0</v>
      </c>
      <c r="FG182" s="1074"/>
      <c r="FJ182" s="1162">
        <f>VLOOKUP($A182,'New Resources - Group'!$A$4:$Y$133,FJ$2,FALSE)*FJ$1</f>
        <v>0</v>
      </c>
      <c r="FK182" s="1117">
        <f>$G182+FJ182</f>
        <v>0</v>
      </c>
      <c r="FL182" s="1118">
        <f>VLOOKUP($E182,FK$442:FN$453,2,FALSE)*FK182*($K182)+IF($G182&lt;&gt;0,($H182/$G182)*FK182,0)*(1-$K182)</f>
        <v>0</v>
      </c>
      <c r="FM182" s="1118">
        <f>VLOOKUP($E182,FK$442:FN$453,3,FALSE)*FK182*($K182)+IF($G182&lt;&gt;0,($I182/$G182)*FK182,0)*(1-$K182)</f>
        <v>0</v>
      </c>
      <c r="FN182" s="1118">
        <f>VLOOKUP($E182,FK$442:FN$453,4,FALSE)*FK182*($K182)+(FK182-FL182-FM182)*(1-$K182)</f>
        <v>0</v>
      </c>
      <c r="FO182" s="1074"/>
    </row>
    <row r="183" spans="1:171" x14ac:dyDescent="0.25">
      <c r="A183" s="1466"/>
      <c r="B183" s="991" t="s">
        <v>459</v>
      </c>
      <c r="C183" s="55"/>
      <c r="D183" s="55"/>
      <c r="E183" s="196"/>
      <c r="F183" s="196"/>
      <c r="G183" s="68"/>
      <c r="H183" s="68"/>
      <c r="I183" s="68"/>
      <c r="J183" s="1465"/>
      <c r="K183" s="904"/>
      <c r="S183" s="1074"/>
      <c r="AA183" s="1074"/>
      <c r="AI183" s="1074"/>
      <c r="AQ183" s="1074"/>
      <c r="AY183" s="1074"/>
      <c r="BG183" s="1074"/>
      <c r="BO183" s="1074"/>
      <c r="BW183" s="1074"/>
      <c r="CE183" s="1074"/>
      <c r="CM183" s="1074"/>
      <c r="CU183" s="1074"/>
      <c r="DC183" s="1074"/>
      <c r="DK183" s="1074"/>
      <c r="DS183" s="1074"/>
      <c r="EA183" s="1074"/>
      <c r="EI183" s="1074"/>
      <c r="EQ183" s="1074"/>
      <c r="EY183" s="1074"/>
      <c r="FG183" s="1074"/>
      <c r="FO183" s="1074"/>
    </row>
    <row r="184" spans="1:171" x14ac:dyDescent="0.25">
      <c r="A184" s="1442">
        <v>410</v>
      </c>
      <c r="B184" s="914" t="s">
        <v>86</v>
      </c>
      <c r="C184" s="889" t="s">
        <v>72</v>
      </c>
      <c r="D184" s="889" t="s">
        <v>606</v>
      </c>
      <c r="E184" s="182" t="str">
        <f>'Sch 3 - Expenses'!E24</f>
        <v>PROD</v>
      </c>
      <c r="F184" s="890"/>
      <c r="G184" s="182">
        <f>'Sch 3 - Expenses'!G24</f>
        <v>19964758.009745862</v>
      </c>
      <c r="H184" s="182">
        <f>'Sch 3 - Expenses'!H24</f>
        <v>19964758.009745862</v>
      </c>
      <c r="I184" s="182">
        <f>'Sch 3 - Expenses'!I24</f>
        <v>0</v>
      </c>
      <c r="J184" s="1422">
        <f>'Sch 3 - Expenses'!J24</f>
        <v>0</v>
      </c>
      <c r="K184" s="904">
        <f t="shared" si="547"/>
        <v>1</v>
      </c>
      <c r="N184" s="1162">
        <f>VLOOKUP($A184,'New Resources - Group'!$A$4:$Y$133,N$2,FALSE)*N$1</f>
        <v>0</v>
      </c>
      <c r="O184" s="1117">
        <f>$G184+N184</f>
        <v>19964758.009745862</v>
      </c>
      <c r="P184" s="1118">
        <f>VLOOKUP($E184,O$442:R$453,2,FALSE)*O184*($K184)+IF($G184&lt;&gt;0,($H184/$G184)*O184,0)*(1-$K184)</f>
        <v>19964758.009745862</v>
      </c>
      <c r="Q184" s="1118">
        <f>VLOOKUP($E184,O$442:R$453,3,FALSE)*O184*($K184)+IF($G184&lt;&gt;0,($I184/$G184)*O184,0)*(1-$K184)</f>
        <v>0</v>
      </c>
      <c r="R184" s="1118">
        <f>VLOOKUP($E184,O$442:R$453,4,FALSE)*O184*($K184)+(O184-P184-Q184)*(1-$K184)</f>
        <v>0</v>
      </c>
      <c r="S184" s="1074"/>
      <c r="V184" s="1162">
        <f>VLOOKUP($A184,'New Resources - Group'!$A$4:$Y$133,V$2,FALSE)*V$1</f>
        <v>0</v>
      </c>
      <c r="W184" s="1117">
        <f>$G184+V184</f>
        <v>19964758.009745862</v>
      </c>
      <c r="X184" s="1118">
        <f>VLOOKUP($E184,W$442:Z$453,2,FALSE)*W184*($K184)+IF($G184&lt;&gt;0,($H184/$G184)*W184,0)*(1-$K184)</f>
        <v>19964758.009745862</v>
      </c>
      <c r="Y184" s="1118">
        <f>VLOOKUP($E184,W$442:Z$453,3,FALSE)*W184*($K184)+IF($G184&lt;&gt;0,($I184/$G184)*W184,0)*(1-$K184)</f>
        <v>0</v>
      </c>
      <c r="Z184" s="1118">
        <f>VLOOKUP($E184,W$442:Z$453,4,FALSE)*W184*($K184)+(W184-X184-Y184)*(1-$K184)</f>
        <v>0</v>
      </c>
      <c r="AA184" s="1074"/>
      <c r="AD184" s="1162">
        <f>VLOOKUP($A184,'New Resources - Group'!$A$4:$Y$133,AD$2,FALSE)*AD$1</f>
        <v>0</v>
      </c>
      <c r="AE184" s="1117">
        <f>$G184+AD184</f>
        <v>19964758.009745862</v>
      </c>
      <c r="AF184" s="1118">
        <f>VLOOKUP($E184,AE$442:AH$453,2,FALSE)*AE184*($K184)+IF($G184&lt;&gt;0,($H184/$G184)*AE184,0)*(1-$K184)</f>
        <v>19964758.009745862</v>
      </c>
      <c r="AG184" s="1118">
        <f>VLOOKUP($E184,AE$442:AH$453,3,FALSE)*AE184*($K184)+IF($G184&lt;&gt;0,($I184/$G184)*AE184,0)*(1-$K184)</f>
        <v>0</v>
      </c>
      <c r="AH184" s="1118">
        <f>VLOOKUP($E184,AE$442:AH$453,4,FALSE)*AE184*($K184)+(AE184-AF184-AG184)*(1-$K184)</f>
        <v>0</v>
      </c>
      <c r="AI184" s="1074"/>
      <c r="AL184" s="1162">
        <f>VLOOKUP($A184,'New Resources - Group'!$A$4:$Y$133,AL$2,FALSE)*AL$1</f>
        <v>0</v>
      </c>
      <c r="AM184" s="1117">
        <f>$G184+AL184</f>
        <v>19964758.009745862</v>
      </c>
      <c r="AN184" s="1118">
        <f>VLOOKUP($E184,AM$442:AP$453,2,FALSE)*AM184*($K184)+IF($G184&lt;&gt;0,($H184/$G184)*AM184,0)*(1-$K184)</f>
        <v>19964758.009745862</v>
      </c>
      <c r="AO184" s="1118">
        <f>VLOOKUP($E184,AM$442:AP$453,3,FALSE)*AM184*($K184)+IF($G184&lt;&gt;0,($I184/$G184)*AM184,0)*(1-$K184)</f>
        <v>0</v>
      </c>
      <c r="AP184" s="1118">
        <f>VLOOKUP($E184,AM$442:AP$453,4,FALSE)*AM184*($K184)+(AM184-AN184-AO184)*(1-$K184)</f>
        <v>0</v>
      </c>
      <c r="AQ184" s="1074"/>
      <c r="AT184" s="1162">
        <f>VLOOKUP($A184,'New Resources - Group'!$A$4:$Y$133,AT$2,FALSE)*AT$1</f>
        <v>0</v>
      </c>
      <c r="AU184" s="1117">
        <f>$G184+AT184</f>
        <v>19964758.009745862</v>
      </c>
      <c r="AV184" s="1118">
        <f>VLOOKUP($E184,AU$442:AX$453,2,FALSE)*AU184*($K184)+IF($G184&lt;&gt;0,($H184/$G184)*AU184,0)*(1-$K184)</f>
        <v>19964758.009745862</v>
      </c>
      <c r="AW184" s="1118">
        <f>VLOOKUP($E184,AU$442:AX$453,3,FALSE)*AU184*($K184)+IF($G184&lt;&gt;0,($I184/$G184)*AU184,0)*(1-$K184)</f>
        <v>0</v>
      </c>
      <c r="AX184" s="1118">
        <f>VLOOKUP($E184,AU$442:AX$453,4,FALSE)*AU184*($K184)+(AU184-AV184-AW184)*(1-$K184)</f>
        <v>0</v>
      </c>
      <c r="AY184" s="1074"/>
      <c r="BB184" s="1162">
        <f>VLOOKUP($A184,'New Resources - Group'!$A$4:$Y$133,BB$2,FALSE)*BB$1</f>
        <v>0</v>
      </c>
      <c r="BC184" s="1117">
        <f>$G184+BB184</f>
        <v>19964758.009745862</v>
      </c>
      <c r="BD184" s="1118">
        <f>VLOOKUP($E184,BC$442:BF$453,2,FALSE)*BC184*($K184)+IF($G184&lt;&gt;0,($H184/$G184)*BC184,0)*(1-$K184)</f>
        <v>19964758.009745862</v>
      </c>
      <c r="BE184" s="1118">
        <f>VLOOKUP($E184,BC$442:BF$453,3,FALSE)*BC184*($K184)+IF($G184&lt;&gt;0,($I184/$G184)*BC184,0)*(1-$K184)</f>
        <v>0</v>
      </c>
      <c r="BF184" s="1118">
        <f>VLOOKUP($E184,BC$442:BF$453,4,FALSE)*BC184*($K184)+(BC184-BD184-BE184)*(1-$K184)</f>
        <v>0</v>
      </c>
      <c r="BG184" s="1074"/>
      <c r="BJ184" s="1162">
        <f>VLOOKUP($A184,'New Resources - Group'!$A$4:$Y$133,BJ$2,FALSE)*BJ$1</f>
        <v>0</v>
      </c>
      <c r="BK184" s="1117">
        <f>$G184+BJ184</f>
        <v>19964758.009745862</v>
      </c>
      <c r="BL184" s="1118">
        <f>VLOOKUP($E184,BK$442:BN$453,2,FALSE)*BK184*($K184)+IF($G184&lt;&gt;0,($H184/$G184)*BK184,0)*(1-$K184)</f>
        <v>19964758.009745862</v>
      </c>
      <c r="BM184" s="1118">
        <f>VLOOKUP($E184,BK$442:BN$453,3,FALSE)*BK184*($K184)+IF($G184&lt;&gt;0,($I184/$G184)*BK184,0)*(1-$K184)</f>
        <v>0</v>
      </c>
      <c r="BN184" s="1118">
        <f>VLOOKUP($E184,BK$442:BN$453,4,FALSE)*BK184*($K184)+(BK184-BL184-BM184)*(1-$K184)</f>
        <v>0</v>
      </c>
      <c r="BO184" s="1074"/>
      <c r="BR184" s="1162">
        <f>VLOOKUP($A184,'New Resources - Group'!$A$4:$Y$133,BR$2,FALSE)*BR$1</f>
        <v>0</v>
      </c>
      <c r="BS184" s="1117">
        <f>$G184+BR184</f>
        <v>19964758.009745862</v>
      </c>
      <c r="BT184" s="1118">
        <f>VLOOKUP($E184,BS$442:BV$453,2,FALSE)*BS184*($K184)+IF($G184&lt;&gt;0,($H184/$G184)*BS184,0)*(1-$K184)</f>
        <v>19964758.009745862</v>
      </c>
      <c r="BU184" s="1118">
        <f>VLOOKUP($E184,BS$442:BV$453,3,FALSE)*BS184*($K184)+IF($G184&lt;&gt;0,($I184/$G184)*BS184,0)*(1-$K184)</f>
        <v>0</v>
      </c>
      <c r="BV184" s="1118">
        <f>VLOOKUP($E184,BS$442:BV$453,4,FALSE)*BS184*($K184)+(BS184-BT184-BU184)*(1-$K184)</f>
        <v>0</v>
      </c>
      <c r="BW184" s="1074"/>
      <c r="BZ184" s="1162">
        <f>VLOOKUP($A184,'New Resources - Group'!$A$4:$Y$133,BZ$2,FALSE)*BZ$1</f>
        <v>0</v>
      </c>
      <c r="CA184" s="1117">
        <f>$G184+BZ184</f>
        <v>19964758.009745862</v>
      </c>
      <c r="CB184" s="1118">
        <f>VLOOKUP($E184,CA$442:CD$453,2,FALSE)*CA184*($K184)+IF($G184&lt;&gt;0,($H184/$G184)*CA184,0)*(1-$K184)</f>
        <v>19964758.009745862</v>
      </c>
      <c r="CC184" s="1118">
        <f>VLOOKUP($E184,CA$442:CD$453,3,FALSE)*CA184*($K184)+IF($G184&lt;&gt;0,($I184/$G184)*CA184,0)*(1-$K184)</f>
        <v>0</v>
      </c>
      <c r="CD184" s="1118">
        <f>VLOOKUP($E184,CA$442:CD$453,4,FALSE)*CA184*($K184)+(CA184-CB184-CC184)*(1-$K184)</f>
        <v>0</v>
      </c>
      <c r="CE184" s="1074"/>
      <c r="CH184" s="1162">
        <f>VLOOKUP($A184,'New Resources - Group'!$A$4:$Y$133,CH$2,FALSE)*CH$1</f>
        <v>0</v>
      </c>
      <c r="CI184" s="1117">
        <f>$G184+CH184</f>
        <v>19964758.009745862</v>
      </c>
      <c r="CJ184" s="1118">
        <f>VLOOKUP($E184,CI$442:CL$453,2,FALSE)*CI184*($K184)+IF($G184&lt;&gt;0,($H184/$G184)*CI184,0)*(1-$K184)</f>
        <v>19964758.009745862</v>
      </c>
      <c r="CK184" s="1118">
        <f>VLOOKUP($E184,CI$442:CL$453,3,FALSE)*CI184*($K184)+IF($G184&lt;&gt;0,($I184/$G184)*CI184,0)*(1-$K184)</f>
        <v>0</v>
      </c>
      <c r="CL184" s="1118">
        <f>VLOOKUP($E184,CI$442:CL$453,4,FALSE)*CI184*($K184)+(CI184-CJ184-CK184)*(1-$K184)</f>
        <v>0</v>
      </c>
      <c r="CM184" s="1074"/>
      <c r="CP184" s="1162">
        <f>VLOOKUP($A184,'New Resources - Group'!$A$4:$Y$133,CP$2,FALSE)*CP$1</f>
        <v>0</v>
      </c>
      <c r="CQ184" s="1117">
        <f>$G184+CP184</f>
        <v>19964758.009745862</v>
      </c>
      <c r="CR184" s="1118">
        <f>VLOOKUP($E184,CQ$442:CT$453,2,FALSE)*CQ184*($K184)+IF($G184&lt;&gt;0,($H184/$G184)*CQ184,0)*(1-$K184)</f>
        <v>19964758.009745862</v>
      </c>
      <c r="CS184" s="1118">
        <f>VLOOKUP($E184,CQ$442:CT$453,3,FALSE)*CQ184*($K184)+IF($G184&lt;&gt;0,($I184/$G184)*CQ184,0)*(1-$K184)</f>
        <v>0</v>
      </c>
      <c r="CT184" s="1118">
        <f>VLOOKUP($E184,CQ$442:CT$453,4,FALSE)*CQ184*($K184)+(CQ184-CR184-CS184)*(1-$K184)</f>
        <v>0</v>
      </c>
      <c r="CU184" s="1074"/>
      <c r="CX184" s="1162">
        <f>VLOOKUP($A184,'New Resources - Group'!$A$4:$Y$133,CX$2,FALSE)*CX$1</f>
        <v>0</v>
      </c>
      <c r="CY184" s="1117">
        <f>$G184+CX184</f>
        <v>19964758.009745862</v>
      </c>
      <c r="CZ184" s="1118">
        <f>VLOOKUP($E184,CY$442:DB$453,2,FALSE)*CY184*($K184)+IF($G184&lt;&gt;0,($H184/$G184)*CY184,0)*(1-$K184)</f>
        <v>19964758.009745862</v>
      </c>
      <c r="DA184" s="1118">
        <f>VLOOKUP($E184,CY$442:DB$453,3,FALSE)*CY184*($K184)+IF($G184&lt;&gt;0,($I184/$G184)*CY184,0)*(1-$K184)</f>
        <v>0</v>
      </c>
      <c r="DB184" s="1118">
        <f>VLOOKUP($E184,CY$442:DB$453,4,FALSE)*CY184*($K184)+(CY184-CZ184-DA184)*(1-$K184)</f>
        <v>0</v>
      </c>
      <c r="DC184" s="1074"/>
      <c r="DF184" s="1162">
        <f>VLOOKUP($A184,'New Resources - Group'!$A$4:$Y$133,DF$2,FALSE)*DF$1</f>
        <v>0</v>
      </c>
      <c r="DG184" s="1117">
        <f>$G184+DF184</f>
        <v>19964758.009745862</v>
      </c>
      <c r="DH184" s="1118">
        <f>VLOOKUP($E184,DG$442:DJ$453,2,FALSE)*DG184*($K184)+IF($G184&lt;&gt;0,($H184/$G184)*DG184,0)*(1-$K184)</f>
        <v>19964758.009745862</v>
      </c>
      <c r="DI184" s="1118">
        <f>VLOOKUP($E184,DG$442:DJ$453,3,FALSE)*DG184*($K184)+IF($G184&lt;&gt;0,($I184/$G184)*DG184,0)*(1-$K184)</f>
        <v>0</v>
      </c>
      <c r="DJ184" s="1118">
        <f>VLOOKUP($E184,DG$442:DJ$453,4,FALSE)*DG184*($K184)+(DG184-DH184-DI184)*(1-$K184)</f>
        <v>0</v>
      </c>
      <c r="DK184" s="1074"/>
      <c r="DN184" s="1162">
        <f>VLOOKUP($A184,'New Resources - Group'!$A$4:$Y$133,DN$2,FALSE)*DN$1</f>
        <v>0</v>
      </c>
      <c r="DO184" s="1117">
        <f>$G184+DN184</f>
        <v>19964758.009745862</v>
      </c>
      <c r="DP184" s="1118">
        <f>VLOOKUP($E184,DO$442:DR$453,2,FALSE)*DO184*($K184)+IF($G184&lt;&gt;0,($H184/$G184)*DO184,0)*(1-$K184)</f>
        <v>19964758.009745862</v>
      </c>
      <c r="DQ184" s="1118">
        <f>VLOOKUP($E184,DO$442:DR$453,3,FALSE)*DO184*($K184)+IF($G184&lt;&gt;0,($I184/$G184)*DO184,0)*(1-$K184)</f>
        <v>0</v>
      </c>
      <c r="DR184" s="1118">
        <f>VLOOKUP($E184,DO$442:DR$453,4,FALSE)*DO184*($K184)+(DO184-DP184-DQ184)*(1-$K184)</f>
        <v>0</v>
      </c>
      <c r="DS184" s="1074"/>
      <c r="DV184" s="1162">
        <f>VLOOKUP($A184,'New Resources - Group'!$A$4:$Y$133,DV$2,FALSE)*DV$1</f>
        <v>0</v>
      </c>
      <c r="DW184" s="1117">
        <f>$G184+DV184</f>
        <v>19964758.009745862</v>
      </c>
      <c r="DX184" s="1118">
        <f>VLOOKUP($E184,DW$442:DZ$453,2,FALSE)*DW184*($K184)+IF($G184&lt;&gt;0,($H184/$G184)*DW184,0)*(1-$K184)</f>
        <v>19964758.009745862</v>
      </c>
      <c r="DY184" s="1118">
        <f>VLOOKUP($E184,DW$442:DZ$453,3,FALSE)*DW184*($K184)+IF($G184&lt;&gt;0,($I184/$G184)*DW184,0)*(1-$K184)</f>
        <v>0</v>
      </c>
      <c r="DZ184" s="1118">
        <f>VLOOKUP($E184,DW$442:DZ$453,4,FALSE)*DW184*($K184)+(DW184-DX184-DY184)*(1-$K184)</f>
        <v>0</v>
      </c>
      <c r="EA184" s="1074"/>
      <c r="ED184" s="1162">
        <f>VLOOKUP($A184,'New Resources - Group'!$A$4:$Y$133,ED$2,FALSE)*ED$1</f>
        <v>0</v>
      </c>
      <c r="EE184" s="1117">
        <f>$G184+ED184</f>
        <v>19964758.009745862</v>
      </c>
      <c r="EF184" s="1118">
        <f>VLOOKUP($E184,EE$442:EH$453,2,FALSE)*EE184*($K184)+IF($G184&lt;&gt;0,($H184/$G184)*EE184,0)*(1-$K184)</f>
        <v>19964758.009745862</v>
      </c>
      <c r="EG184" s="1118">
        <f>VLOOKUP($E184,EE$442:EH$453,3,FALSE)*EE184*($K184)+IF($G184&lt;&gt;0,($I184/$G184)*EE184,0)*(1-$K184)</f>
        <v>0</v>
      </c>
      <c r="EH184" s="1118">
        <f>VLOOKUP($E184,EE$442:EH$453,4,FALSE)*EE184*($K184)+(EE184-EF184-EG184)*(1-$K184)</f>
        <v>0</v>
      </c>
      <c r="EI184" s="1074"/>
      <c r="EL184" s="1162">
        <f>VLOOKUP($A184,'New Resources - Group'!$A$4:$Y$133,EL$2,FALSE)*EL$1</f>
        <v>0</v>
      </c>
      <c r="EM184" s="1117">
        <f>$G184+EL184</f>
        <v>19964758.009745862</v>
      </c>
      <c r="EN184" s="1118">
        <f>VLOOKUP($E184,EM$442:EP$453,2,FALSE)*EM184*($K184)+IF($G184&lt;&gt;0,($H184/$G184)*EM184,0)*(1-$K184)</f>
        <v>19964758.009745862</v>
      </c>
      <c r="EO184" s="1118">
        <f>VLOOKUP($E184,EM$442:EP$453,3,FALSE)*EM184*($K184)+IF($G184&lt;&gt;0,($I184/$G184)*EM184,0)*(1-$K184)</f>
        <v>0</v>
      </c>
      <c r="EP184" s="1118">
        <f>VLOOKUP($E184,EM$442:EP$453,4,FALSE)*EM184*($K184)+(EM184-EN184-EO184)*(1-$K184)</f>
        <v>0</v>
      </c>
      <c r="EQ184" s="1074"/>
      <c r="ET184" s="1162">
        <f>VLOOKUP($A184,'New Resources - Group'!$A$4:$Y$133,ET$2,FALSE)*ET$1</f>
        <v>0</v>
      </c>
      <c r="EU184" s="1117">
        <f>$G184+ET184</f>
        <v>19964758.009745862</v>
      </c>
      <c r="EV184" s="1118">
        <f>VLOOKUP($E184,EU$442:EX$453,2,FALSE)*EU184*($K184)+IF($G184&lt;&gt;0,($H184/$G184)*EU184,0)*(1-$K184)</f>
        <v>19964758.009745862</v>
      </c>
      <c r="EW184" s="1118">
        <f>VLOOKUP($E184,EU$442:EX$453,3,FALSE)*EU184*($K184)+IF($G184&lt;&gt;0,($I184/$G184)*EU184,0)*(1-$K184)</f>
        <v>0</v>
      </c>
      <c r="EX184" s="1118">
        <f>VLOOKUP($E184,EU$442:EX$453,4,FALSE)*EU184*($K184)+(EU184-EV184-EW184)*(1-$K184)</f>
        <v>0</v>
      </c>
      <c r="EY184" s="1074"/>
      <c r="FB184" s="1162">
        <f>VLOOKUP($A184,'New Resources - Group'!$A$4:$Y$133,FB$2,FALSE)*FB$1</f>
        <v>0</v>
      </c>
      <c r="FC184" s="1117">
        <f>$G184+FB184</f>
        <v>19964758.009745862</v>
      </c>
      <c r="FD184" s="1118">
        <f>VLOOKUP($E184,FC$442:FF$453,2,FALSE)*FC184*($K184)+IF($G184&lt;&gt;0,($H184/$G184)*FC184,0)*(1-$K184)</f>
        <v>19964758.009745862</v>
      </c>
      <c r="FE184" s="1118">
        <f>VLOOKUP($E184,FC$442:FF$453,3,FALSE)*FC184*($K184)+IF($G184&lt;&gt;0,($I184/$G184)*FC184,0)*(1-$K184)</f>
        <v>0</v>
      </c>
      <c r="FF184" s="1118">
        <f>VLOOKUP($E184,FC$442:FF$453,4,FALSE)*FC184*($K184)+(FC184-FD184-FE184)*(1-$K184)</f>
        <v>0</v>
      </c>
      <c r="FG184" s="1074"/>
      <c r="FJ184" s="1162">
        <f>VLOOKUP($A184,'New Resources - Group'!$A$4:$Y$133,FJ$2,FALSE)*FJ$1</f>
        <v>0</v>
      </c>
      <c r="FK184" s="1117">
        <f>$G184+FJ184</f>
        <v>19964758.009745862</v>
      </c>
      <c r="FL184" s="1118">
        <f>VLOOKUP($E184,FK$442:FN$453,2,FALSE)*FK184*($K184)+IF($G184&lt;&gt;0,($H184/$G184)*FK184,0)*(1-$K184)</f>
        <v>19964758.009745862</v>
      </c>
      <c r="FM184" s="1118">
        <f>VLOOKUP($E184,FK$442:FN$453,3,FALSE)*FK184*($K184)+IF($G184&lt;&gt;0,($I184/$G184)*FK184,0)*(1-$K184)</f>
        <v>0</v>
      </c>
      <c r="FN184" s="1118">
        <f>VLOOKUP($E184,FK$442:FN$453,4,FALSE)*FK184*($K184)+(FK184-FL184-FM184)*(1-$K184)</f>
        <v>0</v>
      </c>
      <c r="FO184" s="1074"/>
    </row>
    <row r="185" spans="1:171" x14ac:dyDescent="0.25">
      <c r="A185" s="1442">
        <v>420</v>
      </c>
      <c r="B185" s="914" t="s">
        <v>87</v>
      </c>
      <c r="C185" s="889" t="s">
        <v>72</v>
      </c>
      <c r="D185" s="889" t="s">
        <v>607</v>
      </c>
      <c r="E185" s="182" t="str">
        <f>'Sch 3 - Expenses'!E25</f>
        <v>PROD</v>
      </c>
      <c r="F185" s="890"/>
      <c r="G185" s="182">
        <f>'Sch 3 - Expenses'!G25</f>
        <v>3239558.2457506307</v>
      </c>
      <c r="H185" s="182">
        <f>'Sch 3 - Expenses'!H25</f>
        <v>3239558.2457506307</v>
      </c>
      <c r="I185" s="182">
        <f>'Sch 3 - Expenses'!I25</f>
        <v>0</v>
      </c>
      <c r="J185" s="1422">
        <f>'Sch 3 - Expenses'!J25</f>
        <v>0</v>
      </c>
      <c r="K185" s="904">
        <f t="shared" si="547"/>
        <v>1</v>
      </c>
      <c r="N185" s="1162">
        <f>VLOOKUP($A185,'New Resources - Group'!$A$4:$Y$133,N$2,FALSE)*N$1</f>
        <v>0</v>
      </c>
      <c r="O185" s="1117">
        <f>$G185+N185</f>
        <v>3239558.2457506307</v>
      </c>
      <c r="P185" s="1118">
        <f>VLOOKUP($E185,O$442:R$453,2,FALSE)*O185*($K185)+IF($G185&lt;&gt;0,($H185/$G185)*O185,0)*(1-$K185)</f>
        <v>3239558.2457506307</v>
      </c>
      <c r="Q185" s="1118">
        <f>VLOOKUP($E185,O$442:R$453,3,FALSE)*O185*($K185)+IF($G185&lt;&gt;0,($I185/$G185)*O185,0)*(1-$K185)</f>
        <v>0</v>
      </c>
      <c r="R185" s="1118">
        <f>VLOOKUP($E185,O$442:R$453,4,FALSE)*O185*($K185)+(O185-P185-Q185)*(1-$K185)</f>
        <v>0</v>
      </c>
      <c r="S185" s="1074"/>
      <c r="V185" s="1162">
        <f>VLOOKUP($A185,'New Resources - Group'!$A$4:$Y$133,V$2,FALSE)*V$1</f>
        <v>0</v>
      </c>
      <c r="W185" s="1117">
        <f>$G185+V185</f>
        <v>3239558.2457506307</v>
      </c>
      <c r="X185" s="1118">
        <f>VLOOKUP($E185,W$442:Z$453,2,FALSE)*W185*($K185)+IF($G185&lt;&gt;0,($H185/$G185)*W185,0)*(1-$K185)</f>
        <v>3239558.2457506307</v>
      </c>
      <c r="Y185" s="1118">
        <f>VLOOKUP($E185,W$442:Z$453,3,FALSE)*W185*($K185)+IF($G185&lt;&gt;0,($I185/$G185)*W185,0)*(1-$K185)</f>
        <v>0</v>
      </c>
      <c r="Z185" s="1118">
        <f>VLOOKUP($E185,W$442:Z$453,4,FALSE)*W185*($K185)+(W185-X185-Y185)*(1-$K185)</f>
        <v>0</v>
      </c>
      <c r="AA185" s="1074"/>
      <c r="AD185" s="1162">
        <f>VLOOKUP($A185,'New Resources - Group'!$A$4:$Y$133,AD$2,FALSE)*AD$1</f>
        <v>0</v>
      </c>
      <c r="AE185" s="1117">
        <f>$G185+AD185</f>
        <v>3239558.2457506307</v>
      </c>
      <c r="AF185" s="1118">
        <f>VLOOKUP($E185,AE$442:AH$453,2,FALSE)*AE185*($K185)+IF($G185&lt;&gt;0,($H185/$G185)*AE185,0)*(1-$K185)</f>
        <v>3239558.2457506307</v>
      </c>
      <c r="AG185" s="1118">
        <f>VLOOKUP($E185,AE$442:AH$453,3,FALSE)*AE185*($K185)+IF($G185&lt;&gt;0,($I185/$G185)*AE185,0)*(1-$K185)</f>
        <v>0</v>
      </c>
      <c r="AH185" s="1118">
        <f>VLOOKUP($E185,AE$442:AH$453,4,FALSE)*AE185*($K185)+(AE185-AF185-AG185)*(1-$K185)</f>
        <v>0</v>
      </c>
      <c r="AI185" s="1074"/>
      <c r="AL185" s="1162">
        <f>VLOOKUP($A185,'New Resources - Group'!$A$4:$Y$133,AL$2,FALSE)*AL$1</f>
        <v>0</v>
      </c>
      <c r="AM185" s="1117">
        <f>$G185+AL185</f>
        <v>3239558.2457506307</v>
      </c>
      <c r="AN185" s="1118">
        <f>VLOOKUP($E185,AM$442:AP$453,2,FALSE)*AM185*($K185)+IF($G185&lt;&gt;0,($H185/$G185)*AM185,0)*(1-$K185)</f>
        <v>3239558.2457506307</v>
      </c>
      <c r="AO185" s="1118">
        <f>VLOOKUP($E185,AM$442:AP$453,3,FALSE)*AM185*($K185)+IF($G185&lt;&gt;0,($I185/$G185)*AM185,0)*(1-$K185)</f>
        <v>0</v>
      </c>
      <c r="AP185" s="1118">
        <f>VLOOKUP($E185,AM$442:AP$453,4,FALSE)*AM185*($K185)+(AM185-AN185-AO185)*(1-$K185)</f>
        <v>0</v>
      </c>
      <c r="AQ185" s="1074"/>
      <c r="AT185" s="1162">
        <f>VLOOKUP($A185,'New Resources - Group'!$A$4:$Y$133,AT$2,FALSE)*AT$1</f>
        <v>0</v>
      </c>
      <c r="AU185" s="1117">
        <f>$G185+AT185</f>
        <v>3239558.2457506307</v>
      </c>
      <c r="AV185" s="1118">
        <f>VLOOKUP($E185,AU$442:AX$453,2,FALSE)*AU185*($K185)+IF($G185&lt;&gt;0,($H185/$G185)*AU185,0)*(1-$K185)</f>
        <v>3239558.2457506307</v>
      </c>
      <c r="AW185" s="1118">
        <f>VLOOKUP($E185,AU$442:AX$453,3,FALSE)*AU185*($K185)+IF($G185&lt;&gt;0,($I185/$G185)*AU185,0)*(1-$K185)</f>
        <v>0</v>
      </c>
      <c r="AX185" s="1118">
        <f>VLOOKUP($E185,AU$442:AX$453,4,FALSE)*AU185*($K185)+(AU185-AV185-AW185)*(1-$K185)</f>
        <v>0</v>
      </c>
      <c r="AY185" s="1074"/>
      <c r="BB185" s="1162">
        <f>VLOOKUP($A185,'New Resources - Group'!$A$4:$Y$133,BB$2,FALSE)*BB$1</f>
        <v>0</v>
      </c>
      <c r="BC185" s="1117">
        <f>$G185+BB185</f>
        <v>3239558.2457506307</v>
      </c>
      <c r="BD185" s="1118">
        <f>VLOOKUP($E185,BC$442:BF$453,2,FALSE)*BC185*($K185)+IF($G185&lt;&gt;0,($H185/$G185)*BC185,0)*(1-$K185)</f>
        <v>3239558.2457506307</v>
      </c>
      <c r="BE185" s="1118">
        <f>VLOOKUP($E185,BC$442:BF$453,3,FALSE)*BC185*($K185)+IF($G185&lt;&gt;0,($I185/$G185)*BC185,0)*(1-$K185)</f>
        <v>0</v>
      </c>
      <c r="BF185" s="1118">
        <f>VLOOKUP($E185,BC$442:BF$453,4,FALSE)*BC185*($K185)+(BC185-BD185-BE185)*(1-$K185)</f>
        <v>0</v>
      </c>
      <c r="BG185" s="1074"/>
      <c r="BJ185" s="1162">
        <f>VLOOKUP($A185,'New Resources - Group'!$A$4:$Y$133,BJ$2,FALSE)*BJ$1</f>
        <v>0</v>
      </c>
      <c r="BK185" s="1117">
        <f>$G185+BJ185</f>
        <v>3239558.2457506307</v>
      </c>
      <c r="BL185" s="1118">
        <f>VLOOKUP($E185,BK$442:BN$453,2,FALSE)*BK185*($K185)+IF($G185&lt;&gt;0,($H185/$G185)*BK185,0)*(1-$K185)</f>
        <v>3239558.2457506307</v>
      </c>
      <c r="BM185" s="1118">
        <f>VLOOKUP($E185,BK$442:BN$453,3,FALSE)*BK185*($K185)+IF($G185&lt;&gt;0,($I185/$G185)*BK185,0)*(1-$K185)</f>
        <v>0</v>
      </c>
      <c r="BN185" s="1118">
        <f>VLOOKUP($E185,BK$442:BN$453,4,FALSE)*BK185*($K185)+(BK185-BL185-BM185)*(1-$K185)</f>
        <v>0</v>
      </c>
      <c r="BO185" s="1074"/>
      <c r="BR185" s="1162">
        <f>VLOOKUP($A185,'New Resources - Group'!$A$4:$Y$133,BR$2,FALSE)*BR$1</f>
        <v>0</v>
      </c>
      <c r="BS185" s="1117">
        <f>$G185+BR185</f>
        <v>3239558.2457506307</v>
      </c>
      <c r="BT185" s="1118">
        <f>VLOOKUP($E185,BS$442:BV$453,2,FALSE)*BS185*($K185)+IF($G185&lt;&gt;0,($H185/$G185)*BS185,0)*(1-$K185)</f>
        <v>3239558.2457506307</v>
      </c>
      <c r="BU185" s="1118">
        <f>VLOOKUP($E185,BS$442:BV$453,3,FALSE)*BS185*($K185)+IF($G185&lt;&gt;0,($I185/$G185)*BS185,0)*(1-$K185)</f>
        <v>0</v>
      </c>
      <c r="BV185" s="1118">
        <f>VLOOKUP($E185,BS$442:BV$453,4,FALSE)*BS185*($K185)+(BS185-BT185-BU185)*(1-$K185)</f>
        <v>0</v>
      </c>
      <c r="BW185" s="1074"/>
      <c r="BZ185" s="1162">
        <f>VLOOKUP($A185,'New Resources - Group'!$A$4:$Y$133,BZ$2,FALSE)*BZ$1</f>
        <v>0</v>
      </c>
      <c r="CA185" s="1117">
        <f>$G185+BZ185</f>
        <v>3239558.2457506307</v>
      </c>
      <c r="CB185" s="1118">
        <f>VLOOKUP($E185,CA$442:CD$453,2,FALSE)*CA185*($K185)+IF($G185&lt;&gt;0,($H185/$G185)*CA185,0)*(1-$K185)</f>
        <v>3239558.2457506307</v>
      </c>
      <c r="CC185" s="1118">
        <f>VLOOKUP($E185,CA$442:CD$453,3,FALSE)*CA185*($K185)+IF($G185&lt;&gt;0,($I185/$G185)*CA185,0)*(1-$K185)</f>
        <v>0</v>
      </c>
      <c r="CD185" s="1118">
        <f>VLOOKUP($E185,CA$442:CD$453,4,FALSE)*CA185*($K185)+(CA185-CB185-CC185)*(1-$K185)</f>
        <v>0</v>
      </c>
      <c r="CE185" s="1074"/>
      <c r="CH185" s="1162">
        <f>VLOOKUP($A185,'New Resources - Group'!$A$4:$Y$133,CH$2,FALSE)*CH$1</f>
        <v>0</v>
      </c>
      <c r="CI185" s="1117">
        <f>$G185+CH185</f>
        <v>3239558.2457506307</v>
      </c>
      <c r="CJ185" s="1118">
        <f>VLOOKUP($E185,CI$442:CL$453,2,FALSE)*CI185*($K185)+IF($G185&lt;&gt;0,($H185/$G185)*CI185,0)*(1-$K185)</f>
        <v>3239558.2457506307</v>
      </c>
      <c r="CK185" s="1118">
        <f>VLOOKUP($E185,CI$442:CL$453,3,FALSE)*CI185*($K185)+IF($G185&lt;&gt;0,($I185/$G185)*CI185,0)*(1-$K185)</f>
        <v>0</v>
      </c>
      <c r="CL185" s="1118">
        <f>VLOOKUP($E185,CI$442:CL$453,4,FALSE)*CI185*($K185)+(CI185-CJ185-CK185)*(1-$K185)</f>
        <v>0</v>
      </c>
      <c r="CM185" s="1074"/>
      <c r="CP185" s="1162">
        <f>VLOOKUP($A185,'New Resources - Group'!$A$4:$Y$133,CP$2,FALSE)*CP$1</f>
        <v>0</v>
      </c>
      <c r="CQ185" s="1117">
        <f>$G185+CP185</f>
        <v>3239558.2457506307</v>
      </c>
      <c r="CR185" s="1118">
        <f>VLOOKUP($E185,CQ$442:CT$453,2,FALSE)*CQ185*($K185)+IF($G185&lt;&gt;0,($H185/$G185)*CQ185,0)*(1-$K185)</f>
        <v>3239558.2457506307</v>
      </c>
      <c r="CS185" s="1118">
        <f>VLOOKUP($E185,CQ$442:CT$453,3,FALSE)*CQ185*($K185)+IF($G185&lt;&gt;0,($I185/$G185)*CQ185,0)*(1-$K185)</f>
        <v>0</v>
      </c>
      <c r="CT185" s="1118">
        <f>VLOOKUP($E185,CQ$442:CT$453,4,FALSE)*CQ185*($K185)+(CQ185-CR185-CS185)*(1-$K185)</f>
        <v>0</v>
      </c>
      <c r="CU185" s="1074"/>
      <c r="CX185" s="1162">
        <f>VLOOKUP($A185,'New Resources - Group'!$A$4:$Y$133,CX$2,FALSE)*CX$1</f>
        <v>0</v>
      </c>
      <c r="CY185" s="1117">
        <f>$G185+CX185</f>
        <v>3239558.2457506307</v>
      </c>
      <c r="CZ185" s="1118">
        <f>VLOOKUP($E185,CY$442:DB$453,2,FALSE)*CY185*($K185)+IF($G185&lt;&gt;0,($H185/$G185)*CY185,0)*(1-$K185)</f>
        <v>3239558.2457506307</v>
      </c>
      <c r="DA185" s="1118">
        <f>VLOOKUP($E185,CY$442:DB$453,3,FALSE)*CY185*($K185)+IF($G185&lt;&gt;0,($I185/$G185)*CY185,0)*(1-$K185)</f>
        <v>0</v>
      </c>
      <c r="DB185" s="1118">
        <f>VLOOKUP($E185,CY$442:DB$453,4,FALSE)*CY185*($K185)+(CY185-CZ185-DA185)*(1-$K185)</f>
        <v>0</v>
      </c>
      <c r="DC185" s="1074"/>
      <c r="DF185" s="1162">
        <f>VLOOKUP($A185,'New Resources - Group'!$A$4:$Y$133,DF$2,FALSE)*DF$1</f>
        <v>0</v>
      </c>
      <c r="DG185" s="1117">
        <f>$G185+DF185</f>
        <v>3239558.2457506307</v>
      </c>
      <c r="DH185" s="1118">
        <f>VLOOKUP($E185,DG$442:DJ$453,2,FALSE)*DG185*($K185)+IF($G185&lt;&gt;0,($H185/$G185)*DG185,0)*(1-$K185)</f>
        <v>3239558.2457506307</v>
      </c>
      <c r="DI185" s="1118">
        <f>VLOOKUP($E185,DG$442:DJ$453,3,FALSE)*DG185*($K185)+IF($G185&lt;&gt;0,($I185/$G185)*DG185,0)*(1-$K185)</f>
        <v>0</v>
      </c>
      <c r="DJ185" s="1118">
        <f>VLOOKUP($E185,DG$442:DJ$453,4,FALSE)*DG185*($K185)+(DG185-DH185-DI185)*(1-$K185)</f>
        <v>0</v>
      </c>
      <c r="DK185" s="1074"/>
      <c r="DN185" s="1162">
        <f>VLOOKUP($A185,'New Resources - Group'!$A$4:$Y$133,DN$2,FALSE)*DN$1</f>
        <v>0</v>
      </c>
      <c r="DO185" s="1117">
        <f>$G185+DN185</f>
        <v>3239558.2457506307</v>
      </c>
      <c r="DP185" s="1118">
        <f>VLOOKUP($E185,DO$442:DR$453,2,FALSE)*DO185*($K185)+IF($G185&lt;&gt;0,($H185/$G185)*DO185,0)*(1-$K185)</f>
        <v>3239558.2457506307</v>
      </c>
      <c r="DQ185" s="1118">
        <f>VLOOKUP($E185,DO$442:DR$453,3,FALSE)*DO185*($K185)+IF($G185&lt;&gt;0,($I185/$G185)*DO185,0)*(1-$K185)</f>
        <v>0</v>
      </c>
      <c r="DR185" s="1118">
        <f>VLOOKUP($E185,DO$442:DR$453,4,FALSE)*DO185*($K185)+(DO185-DP185-DQ185)*(1-$K185)</f>
        <v>0</v>
      </c>
      <c r="DS185" s="1074"/>
      <c r="DV185" s="1162">
        <f>VLOOKUP($A185,'New Resources - Group'!$A$4:$Y$133,DV$2,FALSE)*DV$1</f>
        <v>0</v>
      </c>
      <c r="DW185" s="1117">
        <f>$G185+DV185</f>
        <v>3239558.2457506307</v>
      </c>
      <c r="DX185" s="1118">
        <f>VLOOKUP($E185,DW$442:DZ$453,2,FALSE)*DW185*($K185)+IF($G185&lt;&gt;0,($H185/$G185)*DW185,0)*(1-$K185)</f>
        <v>3239558.2457506307</v>
      </c>
      <c r="DY185" s="1118">
        <f>VLOOKUP($E185,DW$442:DZ$453,3,FALSE)*DW185*($K185)+IF($G185&lt;&gt;0,($I185/$G185)*DW185,0)*(1-$K185)</f>
        <v>0</v>
      </c>
      <c r="DZ185" s="1118">
        <f>VLOOKUP($E185,DW$442:DZ$453,4,FALSE)*DW185*($K185)+(DW185-DX185-DY185)*(1-$K185)</f>
        <v>0</v>
      </c>
      <c r="EA185" s="1074"/>
      <c r="ED185" s="1162">
        <f>VLOOKUP($A185,'New Resources - Group'!$A$4:$Y$133,ED$2,FALSE)*ED$1</f>
        <v>0</v>
      </c>
      <c r="EE185" s="1117">
        <f>$G185+ED185</f>
        <v>3239558.2457506307</v>
      </c>
      <c r="EF185" s="1118">
        <f>VLOOKUP($E185,EE$442:EH$453,2,FALSE)*EE185*($K185)+IF($G185&lt;&gt;0,($H185/$G185)*EE185,0)*(1-$K185)</f>
        <v>3239558.2457506307</v>
      </c>
      <c r="EG185" s="1118">
        <f>VLOOKUP($E185,EE$442:EH$453,3,FALSE)*EE185*($K185)+IF($G185&lt;&gt;0,($I185/$G185)*EE185,0)*(1-$K185)</f>
        <v>0</v>
      </c>
      <c r="EH185" s="1118">
        <f>VLOOKUP($E185,EE$442:EH$453,4,FALSE)*EE185*($K185)+(EE185-EF185-EG185)*(1-$K185)</f>
        <v>0</v>
      </c>
      <c r="EI185" s="1074"/>
      <c r="EL185" s="1162">
        <f>VLOOKUP($A185,'New Resources - Group'!$A$4:$Y$133,EL$2,FALSE)*EL$1</f>
        <v>0</v>
      </c>
      <c r="EM185" s="1117">
        <f>$G185+EL185</f>
        <v>3239558.2457506307</v>
      </c>
      <c r="EN185" s="1118">
        <f>VLOOKUP($E185,EM$442:EP$453,2,FALSE)*EM185*($K185)+IF($G185&lt;&gt;0,($H185/$G185)*EM185,0)*(1-$K185)</f>
        <v>3239558.2457506307</v>
      </c>
      <c r="EO185" s="1118">
        <f>VLOOKUP($E185,EM$442:EP$453,3,FALSE)*EM185*($K185)+IF($G185&lt;&gt;0,($I185/$G185)*EM185,0)*(1-$K185)</f>
        <v>0</v>
      </c>
      <c r="EP185" s="1118">
        <f>VLOOKUP($E185,EM$442:EP$453,4,FALSE)*EM185*($K185)+(EM185-EN185-EO185)*(1-$K185)</f>
        <v>0</v>
      </c>
      <c r="EQ185" s="1074"/>
      <c r="ET185" s="1162">
        <f>VLOOKUP($A185,'New Resources - Group'!$A$4:$Y$133,ET$2,FALSE)*ET$1</f>
        <v>0</v>
      </c>
      <c r="EU185" s="1117">
        <f>$G185+ET185</f>
        <v>3239558.2457506307</v>
      </c>
      <c r="EV185" s="1118">
        <f>VLOOKUP($E185,EU$442:EX$453,2,FALSE)*EU185*($K185)+IF($G185&lt;&gt;0,($H185/$G185)*EU185,0)*(1-$K185)</f>
        <v>3239558.2457506307</v>
      </c>
      <c r="EW185" s="1118">
        <f>VLOOKUP($E185,EU$442:EX$453,3,FALSE)*EU185*($K185)+IF($G185&lt;&gt;0,($I185/$G185)*EU185,0)*(1-$K185)</f>
        <v>0</v>
      </c>
      <c r="EX185" s="1118">
        <f>VLOOKUP($E185,EU$442:EX$453,4,FALSE)*EU185*($K185)+(EU185-EV185-EW185)*(1-$K185)</f>
        <v>0</v>
      </c>
      <c r="EY185" s="1074"/>
      <c r="FB185" s="1162">
        <f>VLOOKUP($A185,'New Resources - Group'!$A$4:$Y$133,FB$2,FALSE)*FB$1</f>
        <v>0</v>
      </c>
      <c r="FC185" s="1117">
        <f>$G185+FB185</f>
        <v>3239558.2457506307</v>
      </c>
      <c r="FD185" s="1118">
        <f>VLOOKUP($E185,FC$442:FF$453,2,FALSE)*FC185*($K185)+IF($G185&lt;&gt;0,($H185/$G185)*FC185,0)*(1-$K185)</f>
        <v>3239558.2457506307</v>
      </c>
      <c r="FE185" s="1118">
        <f>VLOOKUP($E185,FC$442:FF$453,3,FALSE)*FC185*($K185)+IF($G185&lt;&gt;0,($I185/$G185)*FC185,0)*(1-$K185)</f>
        <v>0</v>
      </c>
      <c r="FF185" s="1118">
        <f>VLOOKUP($E185,FC$442:FF$453,4,FALSE)*FC185*($K185)+(FC185-FD185-FE185)*(1-$K185)</f>
        <v>0</v>
      </c>
      <c r="FG185" s="1074"/>
      <c r="FJ185" s="1162">
        <f>VLOOKUP($A185,'New Resources - Group'!$A$4:$Y$133,FJ$2,FALSE)*FJ$1</f>
        <v>0</v>
      </c>
      <c r="FK185" s="1117">
        <f>$G185+FJ185</f>
        <v>3239558.2457506307</v>
      </c>
      <c r="FL185" s="1118">
        <f>VLOOKUP($E185,FK$442:FN$453,2,FALSE)*FK185*($K185)+IF($G185&lt;&gt;0,($H185/$G185)*FK185,0)*(1-$K185)</f>
        <v>3239558.2457506307</v>
      </c>
      <c r="FM185" s="1118">
        <f>VLOOKUP($E185,FK$442:FN$453,3,FALSE)*FK185*($K185)+IF($G185&lt;&gt;0,($I185/$G185)*FK185,0)*(1-$K185)</f>
        <v>0</v>
      </c>
      <c r="FN185" s="1118">
        <f>VLOOKUP($E185,FK$442:FN$453,4,FALSE)*FK185*($K185)+(FK185-FL185-FM185)*(1-$K185)</f>
        <v>0</v>
      </c>
      <c r="FO185" s="1074"/>
    </row>
    <row r="186" spans="1:171" x14ac:dyDescent="0.25">
      <c r="A186" s="1466"/>
      <c r="B186" s="991" t="s">
        <v>460</v>
      </c>
      <c r="C186" s="55"/>
      <c r="D186" s="55"/>
      <c r="E186" s="196"/>
      <c r="F186" s="196"/>
      <c r="G186" s="68"/>
      <c r="H186" s="68"/>
      <c r="I186" s="68"/>
      <c r="J186" s="1465"/>
      <c r="K186" s="904"/>
      <c r="S186" s="1074"/>
      <c r="AA186" s="1074"/>
      <c r="AI186" s="1074"/>
      <c r="AQ186" s="1074"/>
      <c r="AY186" s="1074"/>
      <c r="BG186" s="1074"/>
      <c r="BO186" s="1074"/>
      <c r="BW186" s="1074"/>
      <c r="CE186" s="1074"/>
      <c r="CM186" s="1074"/>
      <c r="CU186" s="1074"/>
      <c r="DC186" s="1074"/>
      <c r="DK186" s="1074"/>
      <c r="DS186" s="1074"/>
      <c r="EA186" s="1074"/>
      <c r="EI186" s="1074"/>
      <c r="EQ186" s="1074"/>
      <c r="EY186" s="1074"/>
      <c r="FG186" s="1074"/>
      <c r="FO186" s="1074"/>
    </row>
    <row r="187" spans="1:171" x14ac:dyDescent="0.25">
      <c r="A187" s="1442">
        <v>560</v>
      </c>
      <c r="B187" s="220" t="s">
        <v>451</v>
      </c>
      <c r="C187" s="889" t="s">
        <v>72</v>
      </c>
      <c r="D187" s="889">
        <v>547</v>
      </c>
      <c r="E187" s="182" t="str">
        <f>'Sch 3 - Expenses'!E27</f>
        <v>PROD</v>
      </c>
      <c r="F187" s="890"/>
      <c r="G187" s="182">
        <f>'Sch 3 - Expenses'!G27</f>
        <v>189151086.82142362</v>
      </c>
      <c r="H187" s="182">
        <f>'Sch 3 - Expenses'!H27</f>
        <v>189151086.82142362</v>
      </c>
      <c r="I187" s="182">
        <f>'Sch 3 - Expenses'!I27</f>
        <v>0</v>
      </c>
      <c r="J187" s="1422">
        <f>'Sch 3 - Expenses'!J27</f>
        <v>0</v>
      </c>
      <c r="K187" s="904">
        <f t="shared" si="547"/>
        <v>1</v>
      </c>
      <c r="N187" s="1162">
        <f>VLOOKUP($A187,'New Resources - Group'!$A$4:$Y$133,N$2,FALSE)*N$1</f>
        <v>0</v>
      </c>
      <c r="O187" s="1117">
        <f>$G187+N187</f>
        <v>189151086.82142362</v>
      </c>
      <c r="P187" s="1118">
        <f>VLOOKUP($E187,O$442:R$453,2,FALSE)*O187*($K187)+IF($G187&lt;&gt;0,($H187/$G187)*O187,0)*(1-$K187)</f>
        <v>189151086.82142362</v>
      </c>
      <c r="Q187" s="1118">
        <f>VLOOKUP($E187,O$442:R$453,3,FALSE)*O187*($K187)+IF($G187&lt;&gt;0,($I187/$G187)*O187,0)*(1-$K187)</f>
        <v>0</v>
      </c>
      <c r="R187" s="1118">
        <f>VLOOKUP($E187,O$442:R$453,4,FALSE)*O187*($K187)+(O187-P187-Q187)*(1-$K187)</f>
        <v>0</v>
      </c>
      <c r="S187" s="1074"/>
      <c r="V187" s="1162">
        <f>VLOOKUP($A187,'New Resources - Group'!$A$4:$Y$133,V$2,FALSE)*V$1</f>
        <v>0</v>
      </c>
      <c r="W187" s="1117">
        <f>$G187+V187</f>
        <v>189151086.82142362</v>
      </c>
      <c r="X187" s="1118">
        <f>VLOOKUP($E187,W$442:Z$453,2,FALSE)*W187*($K187)+IF($G187&lt;&gt;0,($H187/$G187)*W187,0)*(1-$K187)</f>
        <v>189151086.82142362</v>
      </c>
      <c r="Y187" s="1118">
        <f>VLOOKUP($E187,W$442:Z$453,3,FALSE)*W187*($K187)+IF($G187&lt;&gt;0,($I187/$G187)*W187,0)*(1-$K187)</f>
        <v>0</v>
      </c>
      <c r="Z187" s="1118">
        <f>VLOOKUP($E187,W$442:Z$453,4,FALSE)*W187*($K187)+(W187-X187-Y187)*(1-$K187)</f>
        <v>0</v>
      </c>
      <c r="AA187" s="1074"/>
      <c r="AD187" s="1162">
        <f>VLOOKUP($A187,'New Resources - Group'!$A$4:$Y$133,AD$2,FALSE)*AD$1</f>
        <v>0</v>
      </c>
      <c r="AE187" s="1117">
        <f>$G187+AD187</f>
        <v>189151086.82142362</v>
      </c>
      <c r="AF187" s="1118">
        <f>VLOOKUP($E187,AE$442:AH$453,2,FALSE)*AE187*($K187)+IF($G187&lt;&gt;0,($H187/$G187)*AE187,0)*(1-$K187)</f>
        <v>189151086.82142362</v>
      </c>
      <c r="AG187" s="1118">
        <f>VLOOKUP($E187,AE$442:AH$453,3,FALSE)*AE187*($K187)+IF($G187&lt;&gt;0,($I187/$G187)*AE187,0)*(1-$K187)</f>
        <v>0</v>
      </c>
      <c r="AH187" s="1118">
        <f>VLOOKUP($E187,AE$442:AH$453,4,FALSE)*AE187*($K187)+(AE187-AF187-AG187)*(1-$K187)</f>
        <v>0</v>
      </c>
      <c r="AI187" s="1074"/>
      <c r="AL187" s="1162">
        <f>VLOOKUP($A187,'New Resources - Group'!$A$4:$Y$133,AL$2,FALSE)*AL$1</f>
        <v>0</v>
      </c>
      <c r="AM187" s="1117">
        <f>$G187+AL187</f>
        <v>189151086.82142362</v>
      </c>
      <c r="AN187" s="1118">
        <f>VLOOKUP($E187,AM$442:AP$453,2,FALSE)*AM187*($K187)+IF($G187&lt;&gt;0,($H187/$G187)*AM187,0)*(1-$K187)</f>
        <v>189151086.82142362</v>
      </c>
      <c r="AO187" s="1118">
        <f>VLOOKUP($E187,AM$442:AP$453,3,FALSE)*AM187*($K187)+IF($G187&lt;&gt;0,($I187/$G187)*AM187,0)*(1-$K187)</f>
        <v>0</v>
      </c>
      <c r="AP187" s="1118">
        <f>VLOOKUP($E187,AM$442:AP$453,4,FALSE)*AM187*($K187)+(AM187-AN187-AO187)*(1-$K187)</f>
        <v>0</v>
      </c>
      <c r="AQ187" s="1074"/>
      <c r="AT187" s="1162">
        <f>VLOOKUP($A187,'New Resources - Group'!$A$4:$Y$133,AT$2,FALSE)*AT$1</f>
        <v>0</v>
      </c>
      <c r="AU187" s="1117">
        <f>$G187+AT187</f>
        <v>189151086.82142362</v>
      </c>
      <c r="AV187" s="1118">
        <f>VLOOKUP($E187,AU$442:AX$453,2,FALSE)*AU187*($K187)+IF($G187&lt;&gt;0,($H187/$G187)*AU187,0)*(1-$K187)</f>
        <v>189151086.82142362</v>
      </c>
      <c r="AW187" s="1118">
        <f>VLOOKUP($E187,AU$442:AX$453,3,FALSE)*AU187*($K187)+IF($G187&lt;&gt;0,($I187/$G187)*AU187,0)*(1-$K187)</f>
        <v>0</v>
      </c>
      <c r="AX187" s="1118">
        <f>VLOOKUP($E187,AU$442:AX$453,4,FALSE)*AU187*($K187)+(AU187-AV187-AW187)*(1-$K187)</f>
        <v>0</v>
      </c>
      <c r="AY187" s="1074"/>
      <c r="BB187" s="1162">
        <f>VLOOKUP($A187,'New Resources - Group'!$A$4:$Y$133,BB$2,FALSE)*BB$1</f>
        <v>0</v>
      </c>
      <c r="BC187" s="1117">
        <f>$G187+BB187</f>
        <v>189151086.82142362</v>
      </c>
      <c r="BD187" s="1118">
        <f>VLOOKUP($E187,BC$442:BF$453,2,FALSE)*BC187*($K187)+IF($G187&lt;&gt;0,($H187/$G187)*BC187,0)*(1-$K187)</f>
        <v>189151086.82142362</v>
      </c>
      <c r="BE187" s="1118">
        <f>VLOOKUP($E187,BC$442:BF$453,3,FALSE)*BC187*($K187)+IF($G187&lt;&gt;0,($I187/$G187)*BC187,0)*(1-$K187)</f>
        <v>0</v>
      </c>
      <c r="BF187" s="1118">
        <f>VLOOKUP($E187,BC$442:BF$453,4,FALSE)*BC187*($K187)+(BC187-BD187-BE187)*(1-$K187)</f>
        <v>0</v>
      </c>
      <c r="BG187" s="1074"/>
      <c r="BJ187" s="1162">
        <f>VLOOKUP($A187,'New Resources - Group'!$A$4:$Y$133,BJ$2,FALSE)*BJ$1</f>
        <v>0</v>
      </c>
      <c r="BK187" s="1117">
        <f>$G187+BJ187</f>
        <v>189151086.82142362</v>
      </c>
      <c r="BL187" s="1118">
        <f>VLOOKUP($E187,BK$442:BN$453,2,FALSE)*BK187*($K187)+IF($G187&lt;&gt;0,($H187/$G187)*BK187,0)*(1-$K187)</f>
        <v>189151086.82142362</v>
      </c>
      <c r="BM187" s="1118">
        <f>VLOOKUP($E187,BK$442:BN$453,3,FALSE)*BK187*($K187)+IF($G187&lt;&gt;0,($I187/$G187)*BK187,0)*(1-$K187)</f>
        <v>0</v>
      </c>
      <c r="BN187" s="1118">
        <f>VLOOKUP($E187,BK$442:BN$453,4,FALSE)*BK187*($K187)+(BK187-BL187-BM187)*(1-$K187)</f>
        <v>0</v>
      </c>
      <c r="BO187" s="1074"/>
      <c r="BR187" s="1162">
        <f>VLOOKUP($A187,'New Resources - Group'!$A$4:$Y$133,BR$2,FALSE)*BR$1</f>
        <v>0</v>
      </c>
      <c r="BS187" s="1117">
        <f>$G187+BR187</f>
        <v>189151086.82142362</v>
      </c>
      <c r="BT187" s="1118">
        <f>VLOOKUP($E187,BS$442:BV$453,2,FALSE)*BS187*($K187)+IF($G187&lt;&gt;0,($H187/$G187)*BS187,0)*(1-$K187)</f>
        <v>189151086.82142362</v>
      </c>
      <c r="BU187" s="1118">
        <f>VLOOKUP($E187,BS$442:BV$453,3,FALSE)*BS187*($K187)+IF($G187&lt;&gt;0,($I187/$G187)*BS187,0)*(1-$K187)</f>
        <v>0</v>
      </c>
      <c r="BV187" s="1118">
        <f>VLOOKUP($E187,BS$442:BV$453,4,FALSE)*BS187*($K187)+(BS187-BT187-BU187)*(1-$K187)</f>
        <v>0</v>
      </c>
      <c r="BW187" s="1074"/>
      <c r="BZ187" s="1162">
        <f>VLOOKUP($A187,'New Resources - Group'!$A$4:$Y$133,BZ$2,FALSE)*BZ$1</f>
        <v>0</v>
      </c>
      <c r="CA187" s="1117">
        <f>$G187+BZ187</f>
        <v>189151086.82142362</v>
      </c>
      <c r="CB187" s="1118">
        <f>VLOOKUP($E187,CA$442:CD$453,2,FALSE)*CA187*($K187)+IF($G187&lt;&gt;0,($H187/$G187)*CA187,0)*(1-$K187)</f>
        <v>189151086.82142362</v>
      </c>
      <c r="CC187" s="1118">
        <f>VLOOKUP($E187,CA$442:CD$453,3,FALSE)*CA187*($K187)+IF($G187&lt;&gt;0,($I187/$G187)*CA187,0)*(1-$K187)</f>
        <v>0</v>
      </c>
      <c r="CD187" s="1118">
        <f>VLOOKUP($E187,CA$442:CD$453,4,FALSE)*CA187*($K187)+(CA187-CB187-CC187)*(1-$K187)</f>
        <v>0</v>
      </c>
      <c r="CE187" s="1074"/>
      <c r="CH187" s="1162">
        <f>VLOOKUP($A187,'New Resources - Group'!$A$4:$Y$133,CH$2,FALSE)*CH$1</f>
        <v>0</v>
      </c>
      <c r="CI187" s="1117">
        <f>$G187+CH187</f>
        <v>189151086.82142362</v>
      </c>
      <c r="CJ187" s="1118">
        <f>VLOOKUP($E187,CI$442:CL$453,2,FALSE)*CI187*($K187)+IF($G187&lt;&gt;0,($H187/$G187)*CI187,0)*(1-$K187)</f>
        <v>189151086.82142362</v>
      </c>
      <c r="CK187" s="1118">
        <f>VLOOKUP($E187,CI$442:CL$453,3,FALSE)*CI187*($K187)+IF($G187&lt;&gt;0,($I187/$G187)*CI187,0)*(1-$K187)</f>
        <v>0</v>
      </c>
      <c r="CL187" s="1118">
        <f>VLOOKUP($E187,CI$442:CL$453,4,FALSE)*CI187*($K187)+(CI187-CJ187-CK187)*(1-$K187)</f>
        <v>0</v>
      </c>
      <c r="CM187" s="1074"/>
      <c r="CP187" s="1162">
        <f>VLOOKUP($A187,'New Resources - Group'!$A$4:$Y$133,CP$2,FALSE)*CP$1</f>
        <v>0</v>
      </c>
      <c r="CQ187" s="1117">
        <f>$G187+CP187</f>
        <v>189151086.82142362</v>
      </c>
      <c r="CR187" s="1118">
        <f>VLOOKUP($E187,CQ$442:CT$453,2,FALSE)*CQ187*($K187)+IF($G187&lt;&gt;0,($H187/$G187)*CQ187,0)*(1-$K187)</f>
        <v>189151086.82142362</v>
      </c>
      <c r="CS187" s="1118">
        <f>VLOOKUP($E187,CQ$442:CT$453,3,FALSE)*CQ187*($K187)+IF($G187&lt;&gt;0,($I187/$G187)*CQ187,0)*(1-$K187)</f>
        <v>0</v>
      </c>
      <c r="CT187" s="1118">
        <f>VLOOKUP($E187,CQ$442:CT$453,4,FALSE)*CQ187*($K187)+(CQ187-CR187-CS187)*(1-$K187)</f>
        <v>0</v>
      </c>
      <c r="CU187" s="1074"/>
      <c r="CX187" s="1162">
        <f>VLOOKUP($A187,'New Resources - Group'!$A$4:$Y$133,CX$2,FALSE)*CX$1</f>
        <v>0</v>
      </c>
      <c r="CY187" s="1117">
        <f>$G187+CX187</f>
        <v>189151086.82142362</v>
      </c>
      <c r="CZ187" s="1118">
        <f>VLOOKUP($E187,CY$442:DB$453,2,FALSE)*CY187*($K187)+IF($G187&lt;&gt;0,($H187/$G187)*CY187,0)*(1-$K187)</f>
        <v>189151086.82142362</v>
      </c>
      <c r="DA187" s="1118">
        <f>VLOOKUP($E187,CY$442:DB$453,3,FALSE)*CY187*($K187)+IF($G187&lt;&gt;0,($I187/$G187)*CY187,0)*(1-$K187)</f>
        <v>0</v>
      </c>
      <c r="DB187" s="1118">
        <f>VLOOKUP($E187,CY$442:DB$453,4,FALSE)*CY187*($K187)+(CY187-CZ187-DA187)*(1-$K187)</f>
        <v>0</v>
      </c>
      <c r="DC187" s="1074"/>
      <c r="DF187" s="1162">
        <f>VLOOKUP($A187,'New Resources - Group'!$A$4:$Y$133,DF$2,FALSE)*DF$1</f>
        <v>0</v>
      </c>
      <c r="DG187" s="1117">
        <f>$G187+DF187</f>
        <v>189151086.82142362</v>
      </c>
      <c r="DH187" s="1118">
        <f>VLOOKUP($E187,DG$442:DJ$453,2,FALSE)*DG187*($K187)+IF($G187&lt;&gt;0,($H187/$G187)*DG187,0)*(1-$K187)</f>
        <v>189151086.82142362</v>
      </c>
      <c r="DI187" s="1118">
        <f>VLOOKUP($E187,DG$442:DJ$453,3,FALSE)*DG187*($K187)+IF($G187&lt;&gt;0,($I187/$G187)*DG187,0)*(1-$K187)</f>
        <v>0</v>
      </c>
      <c r="DJ187" s="1118">
        <f>VLOOKUP($E187,DG$442:DJ$453,4,FALSE)*DG187*($K187)+(DG187-DH187-DI187)*(1-$K187)</f>
        <v>0</v>
      </c>
      <c r="DK187" s="1074"/>
      <c r="DN187" s="1162">
        <f>VLOOKUP($A187,'New Resources - Group'!$A$4:$Y$133,DN$2,FALSE)*DN$1</f>
        <v>0</v>
      </c>
      <c r="DO187" s="1117">
        <f>$G187+DN187</f>
        <v>189151086.82142362</v>
      </c>
      <c r="DP187" s="1118">
        <f>VLOOKUP($E187,DO$442:DR$453,2,FALSE)*DO187*($K187)+IF($G187&lt;&gt;0,($H187/$G187)*DO187,0)*(1-$K187)</f>
        <v>189151086.82142362</v>
      </c>
      <c r="DQ187" s="1118">
        <f>VLOOKUP($E187,DO$442:DR$453,3,FALSE)*DO187*($K187)+IF($G187&lt;&gt;0,($I187/$G187)*DO187,0)*(1-$K187)</f>
        <v>0</v>
      </c>
      <c r="DR187" s="1118">
        <f>VLOOKUP($E187,DO$442:DR$453,4,FALSE)*DO187*($K187)+(DO187-DP187-DQ187)*(1-$K187)</f>
        <v>0</v>
      </c>
      <c r="DS187" s="1074"/>
      <c r="DV187" s="1162">
        <f>VLOOKUP($A187,'New Resources - Group'!$A$4:$Y$133,DV$2,FALSE)*DV$1</f>
        <v>0</v>
      </c>
      <c r="DW187" s="1117">
        <f>$G187+DV187</f>
        <v>189151086.82142362</v>
      </c>
      <c r="DX187" s="1118">
        <f>VLOOKUP($E187,DW$442:DZ$453,2,FALSE)*DW187*($K187)+IF($G187&lt;&gt;0,($H187/$G187)*DW187,0)*(1-$K187)</f>
        <v>189151086.82142362</v>
      </c>
      <c r="DY187" s="1118">
        <f>VLOOKUP($E187,DW$442:DZ$453,3,FALSE)*DW187*($K187)+IF($G187&lt;&gt;0,($I187/$G187)*DW187,0)*(1-$K187)</f>
        <v>0</v>
      </c>
      <c r="DZ187" s="1118">
        <f>VLOOKUP($E187,DW$442:DZ$453,4,FALSE)*DW187*($K187)+(DW187-DX187-DY187)*(1-$K187)</f>
        <v>0</v>
      </c>
      <c r="EA187" s="1074"/>
      <c r="ED187" s="1162">
        <f>VLOOKUP($A187,'New Resources - Group'!$A$4:$Y$133,ED$2,FALSE)*ED$1</f>
        <v>0</v>
      </c>
      <c r="EE187" s="1117">
        <f>$G187+ED187</f>
        <v>189151086.82142362</v>
      </c>
      <c r="EF187" s="1118">
        <f>VLOOKUP($E187,EE$442:EH$453,2,FALSE)*EE187*($K187)+IF($G187&lt;&gt;0,($H187/$G187)*EE187,0)*(1-$K187)</f>
        <v>189151086.82142362</v>
      </c>
      <c r="EG187" s="1118">
        <f>VLOOKUP($E187,EE$442:EH$453,3,FALSE)*EE187*($K187)+IF($G187&lt;&gt;0,($I187/$G187)*EE187,0)*(1-$K187)</f>
        <v>0</v>
      </c>
      <c r="EH187" s="1118">
        <f>VLOOKUP($E187,EE$442:EH$453,4,FALSE)*EE187*($K187)+(EE187-EF187-EG187)*(1-$K187)</f>
        <v>0</v>
      </c>
      <c r="EI187" s="1074"/>
      <c r="EL187" s="1162">
        <f>VLOOKUP($A187,'New Resources - Group'!$A$4:$Y$133,EL$2,FALSE)*EL$1</f>
        <v>0</v>
      </c>
      <c r="EM187" s="1117">
        <f>$G187+EL187</f>
        <v>189151086.82142362</v>
      </c>
      <c r="EN187" s="1118">
        <f>VLOOKUP($E187,EM$442:EP$453,2,FALSE)*EM187*($K187)+IF($G187&lt;&gt;0,($H187/$G187)*EM187,0)*(1-$K187)</f>
        <v>189151086.82142362</v>
      </c>
      <c r="EO187" s="1118">
        <f>VLOOKUP($E187,EM$442:EP$453,3,FALSE)*EM187*($K187)+IF($G187&lt;&gt;0,($I187/$G187)*EM187,0)*(1-$K187)</f>
        <v>0</v>
      </c>
      <c r="EP187" s="1118">
        <f>VLOOKUP($E187,EM$442:EP$453,4,FALSE)*EM187*($K187)+(EM187-EN187-EO187)*(1-$K187)</f>
        <v>0</v>
      </c>
      <c r="EQ187" s="1074"/>
      <c r="ET187" s="1162">
        <f>VLOOKUP($A187,'New Resources - Group'!$A$4:$Y$133,ET$2,FALSE)*ET$1</f>
        <v>0</v>
      </c>
      <c r="EU187" s="1117">
        <f>$G187+ET187</f>
        <v>189151086.82142362</v>
      </c>
      <c r="EV187" s="1118">
        <f>VLOOKUP($E187,EU$442:EX$453,2,FALSE)*EU187*($K187)+IF($G187&lt;&gt;0,($H187/$G187)*EU187,0)*(1-$K187)</f>
        <v>189151086.82142362</v>
      </c>
      <c r="EW187" s="1118">
        <f>VLOOKUP($E187,EU$442:EX$453,3,FALSE)*EU187*($K187)+IF($G187&lt;&gt;0,($I187/$G187)*EU187,0)*(1-$K187)</f>
        <v>0</v>
      </c>
      <c r="EX187" s="1118">
        <f>VLOOKUP($E187,EU$442:EX$453,4,FALSE)*EU187*($K187)+(EU187-EV187-EW187)*(1-$K187)</f>
        <v>0</v>
      </c>
      <c r="EY187" s="1074"/>
      <c r="FB187" s="1162">
        <f>VLOOKUP($A187,'New Resources - Group'!$A$4:$Y$133,FB$2,FALSE)*FB$1</f>
        <v>0</v>
      </c>
      <c r="FC187" s="1117">
        <f>$G187+FB187</f>
        <v>189151086.82142362</v>
      </c>
      <c r="FD187" s="1118">
        <f>VLOOKUP($E187,FC$442:FF$453,2,FALSE)*FC187*($K187)+IF($G187&lt;&gt;0,($H187/$G187)*FC187,0)*(1-$K187)</f>
        <v>189151086.82142362</v>
      </c>
      <c r="FE187" s="1118">
        <f>VLOOKUP($E187,FC$442:FF$453,3,FALSE)*FC187*($K187)+IF($G187&lt;&gt;0,($I187/$G187)*FC187,0)*(1-$K187)</f>
        <v>0</v>
      </c>
      <c r="FF187" s="1118">
        <f>VLOOKUP($E187,FC$442:FF$453,4,FALSE)*FC187*($K187)+(FC187-FD187-FE187)*(1-$K187)</f>
        <v>0</v>
      </c>
      <c r="FG187" s="1074"/>
      <c r="FJ187" s="1162">
        <f>VLOOKUP($A187,'New Resources - Group'!$A$4:$Y$133,FJ$2,FALSE)*FJ$1</f>
        <v>0</v>
      </c>
      <c r="FK187" s="1117">
        <f>$G187+FJ187</f>
        <v>189151086.82142362</v>
      </c>
      <c r="FL187" s="1118">
        <f>VLOOKUP($E187,FK$442:FN$453,2,FALSE)*FK187*($K187)+IF($G187&lt;&gt;0,($H187/$G187)*FK187,0)*(1-$K187)</f>
        <v>189151086.82142362</v>
      </c>
      <c r="FM187" s="1118">
        <f>VLOOKUP($E187,FK$442:FN$453,3,FALSE)*FK187*($K187)+IF($G187&lt;&gt;0,($I187/$G187)*FK187,0)*(1-$K187)</f>
        <v>0</v>
      </c>
      <c r="FN187" s="1118">
        <f>VLOOKUP($E187,FK$442:FN$453,4,FALSE)*FK187*($K187)+(FK187-FL187-FM187)*(1-$K187)</f>
        <v>0</v>
      </c>
      <c r="FO187" s="1074"/>
    </row>
    <row r="188" spans="1:171" x14ac:dyDescent="0.25">
      <c r="A188" s="1442">
        <v>570</v>
      </c>
      <c r="B188" s="914" t="s">
        <v>263</v>
      </c>
      <c r="C188" s="889" t="s">
        <v>72</v>
      </c>
      <c r="D188" s="889" t="s">
        <v>611</v>
      </c>
      <c r="E188" s="182" t="str">
        <f>'Sch 3 - Expenses'!E28</f>
        <v>PROD</v>
      </c>
      <c r="F188" s="890"/>
      <c r="G188" s="182">
        <f>'Sch 3 - Expenses'!G28</f>
        <v>21057680.08986957</v>
      </c>
      <c r="H188" s="182">
        <f>'Sch 3 - Expenses'!H28</f>
        <v>21057680.08986957</v>
      </c>
      <c r="I188" s="182">
        <f>'Sch 3 - Expenses'!I28</f>
        <v>0</v>
      </c>
      <c r="J188" s="1422">
        <f>'Sch 3 - Expenses'!J28</f>
        <v>0</v>
      </c>
      <c r="K188" s="904">
        <f t="shared" si="547"/>
        <v>1</v>
      </c>
      <c r="N188" s="1162">
        <f>VLOOKUP($A188,'New Resources - Group'!$A$4:$Y$133,N$2,FALSE)*N$1</f>
        <v>0</v>
      </c>
      <c r="O188" s="1117">
        <f>$G188+N188</f>
        <v>21057680.08986957</v>
      </c>
      <c r="P188" s="1118">
        <f>VLOOKUP($E188,O$442:R$453,2,FALSE)*O188*($K188)+IF($G188&lt;&gt;0,($H188/$G188)*O188,0)*(1-$K188)</f>
        <v>21057680.08986957</v>
      </c>
      <c r="Q188" s="1118">
        <f>VLOOKUP($E188,O$442:R$453,3,FALSE)*O188*($K188)+IF($G188&lt;&gt;0,($I188/$G188)*O188,0)*(1-$K188)</f>
        <v>0</v>
      </c>
      <c r="R188" s="1118">
        <f>VLOOKUP($E188,O$442:R$453,4,FALSE)*O188*($K188)+(O188-P188-Q188)*(1-$K188)</f>
        <v>0</v>
      </c>
      <c r="S188" s="1074"/>
      <c r="V188" s="1162">
        <f>VLOOKUP($A188,'New Resources - Group'!$A$4:$Y$133,V$2,FALSE)*V$1</f>
        <v>0</v>
      </c>
      <c r="W188" s="1117">
        <f>$G188+V188</f>
        <v>21057680.08986957</v>
      </c>
      <c r="X188" s="1118">
        <f>VLOOKUP($E188,W$442:Z$453,2,FALSE)*W188*($K188)+IF($G188&lt;&gt;0,($H188/$G188)*W188,0)*(1-$K188)</f>
        <v>21057680.08986957</v>
      </c>
      <c r="Y188" s="1118">
        <f>VLOOKUP($E188,W$442:Z$453,3,FALSE)*W188*($K188)+IF($G188&lt;&gt;0,($I188/$G188)*W188,0)*(1-$K188)</f>
        <v>0</v>
      </c>
      <c r="Z188" s="1118">
        <f>VLOOKUP($E188,W$442:Z$453,4,FALSE)*W188*($K188)+(W188-X188-Y188)*(1-$K188)</f>
        <v>0</v>
      </c>
      <c r="AA188" s="1074"/>
      <c r="AD188" s="1162">
        <f>VLOOKUP($A188,'New Resources - Group'!$A$4:$Y$133,AD$2,FALSE)*AD$1</f>
        <v>0</v>
      </c>
      <c r="AE188" s="1117">
        <f>$G188+AD188</f>
        <v>21057680.08986957</v>
      </c>
      <c r="AF188" s="1118">
        <f>VLOOKUP($E188,AE$442:AH$453,2,FALSE)*AE188*($K188)+IF($G188&lt;&gt;0,($H188/$G188)*AE188,0)*(1-$K188)</f>
        <v>21057680.08986957</v>
      </c>
      <c r="AG188" s="1118">
        <f>VLOOKUP($E188,AE$442:AH$453,3,FALSE)*AE188*($K188)+IF($G188&lt;&gt;0,($I188/$G188)*AE188,0)*(1-$K188)</f>
        <v>0</v>
      </c>
      <c r="AH188" s="1118">
        <f>VLOOKUP($E188,AE$442:AH$453,4,FALSE)*AE188*($K188)+(AE188-AF188-AG188)*(1-$K188)</f>
        <v>0</v>
      </c>
      <c r="AI188" s="1074"/>
      <c r="AL188" s="1162">
        <f>VLOOKUP($A188,'New Resources - Group'!$A$4:$Y$133,AL$2,FALSE)*AL$1</f>
        <v>0</v>
      </c>
      <c r="AM188" s="1117">
        <f>$G188+AL188</f>
        <v>21057680.08986957</v>
      </c>
      <c r="AN188" s="1118">
        <f>VLOOKUP($E188,AM$442:AP$453,2,FALSE)*AM188*($K188)+IF($G188&lt;&gt;0,($H188/$G188)*AM188,0)*(1-$K188)</f>
        <v>21057680.08986957</v>
      </c>
      <c r="AO188" s="1118">
        <f>VLOOKUP($E188,AM$442:AP$453,3,FALSE)*AM188*($K188)+IF($G188&lt;&gt;0,($I188/$G188)*AM188,0)*(1-$K188)</f>
        <v>0</v>
      </c>
      <c r="AP188" s="1118">
        <f>VLOOKUP($E188,AM$442:AP$453,4,FALSE)*AM188*($K188)+(AM188-AN188-AO188)*(1-$K188)</f>
        <v>0</v>
      </c>
      <c r="AQ188" s="1074"/>
      <c r="AT188" s="1162">
        <f>VLOOKUP($A188,'New Resources - Group'!$A$4:$Y$133,AT$2,FALSE)*AT$1</f>
        <v>0</v>
      </c>
      <c r="AU188" s="1117">
        <f>$G188+AT188</f>
        <v>21057680.08986957</v>
      </c>
      <c r="AV188" s="1118">
        <f>VLOOKUP($E188,AU$442:AX$453,2,FALSE)*AU188*($K188)+IF($G188&lt;&gt;0,($H188/$G188)*AU188,0)*(1-$K188)</f>
        <v>21057680.08986957</v>
      </c>
      <c r="AW188" s="1118">
        <f>VLOOKUP($E188,AU$442:AX$453,3,FALSE)*AU188*($K188)+IF($G188&lt;&gt;0,($I188/$G188)*AU188,0)*(1-$K188)</f>
        <v>0</v>
      </c>
      <c r="AX188" s="1118">
        <f>VLOOKUP($E188,AU$442:AX$453,4,FALSE)*AU188*($K188)+(AU188-AV188-AW188)*(1-$K188)</f>
        <v>0</v>
      </c>
      <c r="AY188" s="1074"/>
      <c r="BB188" s="1162">
        <f>VLOOKUP($A188,'New Resources - Group'!$A$4:$Y$133,BB$2,FALSE)*BB$1</f>
        <v>0</v>
      </c>
      <c r="BC188" s="1117">
        <f>$G188+BB188</f>
        <v>21057680.08986957</v>
      </c>
      <c r="BD188" s="1118">
        <f>VLOOKUP($E188,BC$442:BF$453,2,FALSE)*BC188*($K188)+IF($G188&lt;&gt;0,($H188/$G188)*BC188,0)*(1-$K188)</f>
        <v>21057680.08986957</v>
      </c>
      <c r="BE188" s="1118">
        <f>VLOOKUP($E188,BC$442:BF$453,3,FALSE)*BC188*($K188)+IF($G188&lt;&gt;0,($I188/$G188)*BC188,0)*(1-$K188)</f>
        <v>0</v>
      </c>
      <c r="BF188" s="1118">
        <f>VLOOKUP($E188,BC$442:BF$453,4,FALSE)*BC188*($K188)+(BC188-BD188-BE188)*(1-$K188)</f>
        <v>0</v>
      </c>
      <c r="BG188" s="1074"/>
      <c r="BJ188" s="1162">
        <f>VLOOKUP($A188,'New Resources - Group'!$A$4:$Y$133,BJ$2,FALSE)*BJ$1</f>
        <v>0</v>
      </c>
      <c r="BK188" s="1117">
        <f>$G188+BJ188</f>
        <v>21057680.08986957</v>
      </c>
      <c r="BL188" s="1118">
        <f>VLOOKUP($E188,BK$442:BN$453,2,FALSE)*BK188*($K188)+IF($G188&lt;&gt;0,($H188/$G188)*BK188,0)*(1-$K188)</f>
        <v>21057680.08986957</v>
      </c>
      <c r="BM188" s="1118">
        <f>VLOOKUP($E188,BK$442:BN$453,3,FALSE)*BK188*($K188)+IF($G188&lt;&gt;0,($I188/$G188)*BK188,0)*(1-$K188)</f>
        <v>0</v>
      </c>
      <c r="BN188" s="1118">
        <f>VLOOKUP($E188,BK$442:BN$453,4,FALSE)*BK188*($K188)+(BK188-BL188-BM188)*(1-$K188)</f>
        <v>0</v>
      </c>
      <c r="BO188" s="1074"/>
      <c r="BR188" s="1162">
        <f>VLOOKUP($A188,'New Resources - Group'!$A$4:$Y$133,BR$2,FALSE)*BR$1</f>
        <v>0</v>
      </c>
      <c r="BS188" s="1117">
        <f>$G188+BR188</f>
        <v>21057680.08986957</v>
      </c>
      <c r="BT188" s="1118">
        <f>VLOOKUP($E188,BS$442:BV$453,2,FALSE)*BS188*($K188)+IF($G188&lt;&gt;0,($H188/$G188)*BS188,0)*(1-$K188)</f>
        <v>21057680.08986957</v>
      </c>
      <c r="BU188" s="1118">
        <f>VLOOKUP($E188,BS$442:BV$453,3,FALSE)*BS188*($K188)+IF($G188&lt;&gt;0,($I188/$G188)*BS188,0)*(1-$K188)</f>
        <v>0</v>
      </c>
      <c r="BV188" s="1118">
        <f>VLOOKUP($E188,BS$442:BV$453,4,FALSE)*BS188*($K188)+(BS188-BT188-BU188)*(1-$K188)</f>
        <v>0</v>
      </c>
      <c r="BW188" s="1074"/>
      <c r="BZ188" s="1162">
        <f>VLOOKUP($A188,'New Resources - Group'!$A$4:$Y$133,BZ$2,FALSE)*BZ$1</f>
        <v>0</v>
      </c>
      <c r="CA188" s="1117">
        <f>$G188+BZ188</f>
        <v>21057680.08986957</v>
      </c>
      <c r="CB188" s="1118">
        <f>VLOOKUP($E188,CA$442:CD$453,2,FALSE)*CA188*($K188)+IF($G188&lt;&gt;0,($H188/$G188)*CA188,0)*(1-$K188)</f>
        <v>21057680.08986957</v>
      </c>
      <c r="CC188" s="1118">
        <f>VLOOKUP($E188,CA$442:CD$453,3,FALSE)*CA188*($K188)+IF($G188&lt;&gt;0,($I188/$G188)*CA188,0)*(1-$K188)</f>
        <v>0</v>
      </c>
      <c r="CD188" s="1118">
        <f>VLOOKUP($E188,CA$442:CD$453,4,FALSE)*CA188*($K188)+(CA188-CB188-CC188)*(1-$K188)</f>
        <v>0</v>
      </c>
      <c r="CE188" s="1074"/>
      <c r="CH188" s="1162">
        <f>VLOOKUP($A188,'New Resources - Group'!$A$4:$Y$133,CH$2,FALSE)*CH$1</f>
        <v>0</v>
      </c>
      <c r="CI188" s="1117">
        <f>$G188+CH188</f>
        <v>21057680.08986957</v>
      </c>
      <c r="CJ188" s="1118">
        <f>VLOOKUP($E188,CI$442:CL$453,2,FALSE)*CI188*($K188)+IF($G188&lt;&gt;0,($H188/$G188)*CI188,0)*(1-$K188)</f>
        <v>21057680.08986957</v>
      </c>
      <c r="CK188" s="1118">
        <f>VLOOKUP($E188,CI$442:CL$453,3,FALSE)*CI188*($K188)+IF($G188&lt;&gt;0,($I188/$G188)*CI188,0)*(1-$K188)</f>
        <v>0</v>
      </c>
      <c r="CL188" s="1118">
        <f>VLOOKUP($E188,CI$442:CL$453,4,FALSE)*CI188*($K188)+(CI188-CJ188-CK188)*(1-$K188)</f>
        <v>0</v>
      </c>
      <c r="CM188" s="1074"/>
      <c r="CP188" s="1162">
        <f>VLOOKUP($A188,'New Resources - Group'!$A$4:$Y$133,CP$2,FALSE)*CP$1</f>
        <v>0</v>
      </c>
      <c r="CQ188" s="1117">
        <f>$G188+CP188</f>
        <v>21057680.08986957</v>
      </c>
      <c r="CR188" s="1118">
        <f>VLOOKUP($E188,CQ$442:CT$453,2,FALSE)*CQ188*($K188)+IF($G188&lt;&gt;0,($H188/$G188)*CQ188,0)*(1-$K188)</f>
        <v>21057680.08986957</v>
      </c>
      <c r="CS188" s="1118">
        <f>VLOOKUP($E188,CQ$442:CT$453,3,FALSE)*CQ188*($K188)+IF($G188&lt;&gt;0,($I188/$G188)*CQ188,0)*(1-$K188)</f>
        <v>0</v>
      </c>
      <c r="CT188" s="1118">
        <f>VLOOKUP($E188,CQ$442:CT$453,4,FALSE)*CQ188*($K188)+(CQ188-CR188-CS188)*(1-$K188)</f>
        <v>0</v>
      </c>
      <c r="CU188" s="1074"/>
      <c r="CX188" s="1162">
        <f>VLOOKUP($A188,'New Resources - Group'!$A$4:$Y$133,CX$2,FALSE)*CX$1</f>
        <v>0</v>
      </c>
      <c r="CY188" s="1117">
        <f>$G188+CX188</f>
        <v>21057680.08986957</v>
      </c>
      <c r="CZ188" s="1118">
        <f>VLOOKUP($E188,CY$442:DB$453,2,FALSE)*CY188*($K188)+IF($G188&lt;&gt;0,($H188/$G188)*CY188,0)*(1-$K188)</f>
        <v>21057680.08986957</v>
      </c>
      <c r="DA188" s="1118">
        <f>VLOOKUP($E188,CY$442:DB$453,3,FALSE)*CY188*($K188)+IF($G188&lt;&gt;0,($I188/$G188)*CY188,0)*(1-$K188)</f>
        <v>0</v>
      </c>
      <c r="DB188" s="1118">
        <f>VLOOKUP($E188,CY$442:DB$453,4,FALSE)*CY188*($K188)+(CY188-CZ188-DA188)*(1-$K188)</f>
        <v>0</v>
      </c>
      <c r="DC188" s="1074"/>
      <c r="DF188" s="1162">
        <f>VLOOKUP($A188,'New Resources - Group'!$A$4:$Y$133,DF$2,FALSE)*DF$1</f>
        <v>0</v>
      </c>
      <c r="DG188" s="1117">
        <f>$G188+DF188</f>
        <v>21057680.08986957</v>
      </c>
      <c r="DH188" s="1118">
        <f>VLOOKUP($E188,DG$442:DJ$453,2,FALSE)*DG188*($K188)+IF($G188&lt;&gt;0,($H188/$G188)*DG188,0)*(1-$K188)</f>
        <v>21057680.08986957</v>
      </c>
      <c r="DI188" s="1118">
        <f>VLOOKUP($E188,DG$442:DJ$453,3,FALSE)*DG188*($K188)+IF($G188&lt;&gt;0,($I188/$G188)*DG188,0)*(1-$K188)</f>
        <v>0</v>
      </c>
      <c r="DJ188" s="1118">
        <f>VLOOKUP($E188,DG$442:DJ$453,4,FALSE)*DG188*($K188)+(DG188-DH188-DI188)*(1-$K188)</f>
        <v>0</v>
      </c>
      <c r="DK188" s="1074"/>
      <c r="DN188" s="1162">
        <f>VLOOKUP($A188,'New Resources - Group'!$A$4:$Y$133,DN$2,FALSE)*DN$1</f>
        <v>0</v>
      </c>
      <c r="DO188" s="1117">
        <f>$G188+DN188</f>
        <v>21057680.08986957</v>
      </c>
      <c r="DP188" s="1118">
        <f>VLOOKUP($E188,DO$442:DR$453,2,FALSE)*DO188*($K188)+IF($G188&lt;&gt;0,($H188/$G188)*DO188,0)*(1-$K188)</f>
        <v>21057680.08986957</v>
      </c>
      <c r="DQ188" s="1118">
        <f>VLOOKUP($E188,DO$442:DR$453,3,FALSE)*DO188*($K188)+IF($G188&lt;&gt;0,($I188/$G188)*DO188,0)*(1-$K188)</f>
        <v>0</v>
      </c>
      <c r="DR188" s="1118">
        <f>VLOOKUP($E188,DO$442:DR$453,4,FALSE)*DO188*($K188)+(DO188-DP188-DQ188)*(1-$K188)</f>
        <v>0</v>
      </c>
      <c r="DS188" s="1074"/>
      <c r="DV188" s="1162">
        <f>VLOOKUP($A188,'New Resources - Group'!$A$4:$Y$133,DV$2,FALSE)*DV$1</f>
        <v>0</v>
      </c>
      <c r="DW188" s="1117">
        <f>$G188+DV188</f>
        <v>21057680.08986957</v>
      </c>
      <c r="DX188" s="1118">
        <f>VLOOKUP($E188,DW$442:DZ$453,2,FALSE)*DW188*($K188)+IF($G188&lt;&gt;0,($H188/$G188)*DW188,0)*(1-$K188)</f>
        <v>21057680.08986957</v>
      </c>
      <c r="DY188" s="1118">
        <f>VLOOKUP($E188,DW$442:DZ$453,3,FALSE)*DW188*($K188)+IF($G188&lt;&gt;0,($I188/$G188)*DW188,0)*(1-$K188)</f>
        <v>0</v>
      </c>
      <c r="DZ188" s="1118">
        <f>VLOOKUP($E188,DW$442:DZ$453,4,FALSE)*DW188*($K188)+(DW188-DX188-DY188)*(1-$K188)</f>
        <v>0</v>
      </c>
      <c r="EA188" s="1074"/>
      <c r="ED188" s="1162">
        <f>VLOOKUP($A188,'New Resources - Group'!$A$4:$Y$133,ED$2,FALSE)*ED$1</f>
        <v>0</v>
      </c>
      <c r="EE188" s="1117">
        <f>$G188+ED188</f>
        <v>21057680.08986957</v>
      </c>
      <c r="EF188" s="1118">
        <f>VLOOKUP($E188,EE$442:EH$453,2,FALSE)*EE188*($K188)+IF($G188&lt;&gt;0,($H188/$G188)*EE188,0)*(1-$K188)</f>
        <v>21057680.08986957</v>
      </c>
      <c r="EG188" s="1118">
        <f>VLOOKUP($E188,EE$442:EH$453,3,FALSE)*EE188*($K188)+IF($G188&lt;&gt;0,($I188/$G188)*EE188,0)*(1-$K188)</f>
        <v>0</v>
      </c>
      <c r="EH188" s="1118">
        <f>VLOOKUP($E188,EE$442:EH$453,4,FALSE)*EE188*($K188)+(EE188-EF188-EG188)*(1-$K188)</f>
        <v>0</v>
      </c>
      <c r="EI188" s="1074"/>
      <c r="EL188" s="1162">
        <f>VLOOKUP($A188,'New Resources - Group'!$A$4:$Y$133,EL$2,FALSE)*EL$1</f>
        <v>0</v>
      </c>
      <c r="EM188" s="1117">
        <f>$G188+EL188</f>
        <v>21057680.08986957</v>
      </c>
      <c r="EN188" s="1118">
        <f>VLOOKUP($E188,EM$442:EP$453,2,FALSE)*EM188*($K188)+IF($G188&lt;&gt;0,($H188/$G188)*EM188,0)*(1-$K188)</f>
        <v>21057680.08986957</v>
      </c>
      <c r="EO188" s="1118">
        <f>VLOOKUP($E188,EM$442:EP$453,3,FALSE)*EM188*($K188)+IF($G188&lt;&gt;0,($I188/$G188)*EM188,0)*(1-$K188)</f>
        <v>0</v>
      </c>
      <c r="EP188" s="1118">
        <f>VLOOKUP($E188,EM$442:EP$453,4,FALSE)*EM188*($K188)+(EM188-EN188-EO188)*(1-$K188)</f>
        <v>0</v>
      </c>
      <c r="EQ188" s="1074"/>
      <c r="ET188" s="1162">
        <f>VLOOKUP($A188,'New Resources - Group'!$A$4:$Y$133,ET$2,FALSE)*ET$1</f>
        <v>0</v>
      </c>
      <c r="EU188" s="1117">
        <f>$G188+ET188</f>
        <v>21057680.08986957</v>
      </c>
      <c r="EV188" s="1118">
        <f>VLOOKUP($E188,EU$442:EX$453,2,FALSE)*EU188*($K188)+IF($G188&lt;&gt;0,($H188/$G188)*EU188,0)*(1-$K188)</f>
        <v>21057680.08986957</v>
      </c>
      <c r="EW188" s="1118">
        <f>VLOOKUP($E188,EU$442:EX$453,3,FALSE)*EU188*($K188)+IF($G188&lt;&gt;0,($I188/$G188)*EU188,0)*(1-$K188)</f>
        <v>0</v>
      </c>
      <c r="EX188" s="1118">
        <f>VLOOKUP($E188,EU$442:EX$453,4,FALSE)*EU188*($K188)+(EU188-EV188-EW188)*(1-$K188)</f>
        <v>0</v>
      </c>
      <c r="EY188" s="1074"/>
      <c r="FB188" s="1162">
        <f>VLOOKUP($A188,'New Resources - Group'!$A$4:$Y$133,FB$2,FALSE)*FB$1</f>
        <v>0</v>
      </c>
      <c r="FC188" s="1117">
        <f>$G188+FB188</f>
        <v>21057680.08986957</v>
      </c>
      <c r="FD188" s="1118">
        <f>VLOOKUP($E188,FC$442:FF$453,2,FALSE)*FC188*($K188)+IF($G188&lt;&gt;0,($H188/$G188)*FC188,0)*(1-$K188)</f>
        <v>21057680.08986957</v>
      </c>
      <c r="FE188" s="1118">
        <f>VLOOKUP($E188,FC$442:FF$453,3,FALSE)*FC188*($K188)+IF($G188&lt;&gt;0,($I188/$G188)*FC188,0)*(1-$K188)</f>
        <v>0</v>
      </c>
      <c r="FF188" s="1118">
        <f>VLOOKUP($E188,FC$442:FF$453,4,FALSE)*FC188*($K188)+(FC188-FD188-FE188)*(1-$K188)</f>
        <v>0</v>
      </c>
      <c r="FG188" s="1074"/>
      <c r="FJ188" s="1162">
        <f>VLOOKUP($A188,'New Resources - Group'!$A$4:$Y$133,FJ$2,FALSE)*FJ$1</f>
        <v>0</v>
      </c>
      <c r="FK188" s="1117">
        <f>$G188+FJ188</f>
        <v>21057680.08986957</v>
      </c>
      <c r="FL188" s="1118">
        <f>VLOOKUP($E188,FK$442:FN$453,2,FALSE)*FK188*($K188)+IF($G188&lt;&gt;0,($H188/$G188)*FK188,0)*(1-$K188)</f>
        <v>21057680.08986957</v>
      </c>
      <c r="FM188" s="1118">
        <f>VLOOKUP($E188,FK$442:FN$453,3,FALSE)*FK188*($K188)+IF($G188&lt;&gt;0,($I188/$G188)*FK188,0)*(1-$K188)</f>
        <v>0</v>
      </c>
      <c r="FN188" s="1118">
        <f>VLOOKUP($E188,FK$442:FN$453,4,FALSE)*FK188*($K188)+(FK188-FL188-FM188)*(1-$K188)</f>
        <v>0</v>
      </c>
      <c r="FO188" s="1074"/>
    </row>
    <row r="189" spans="1:171" x14ac:dyDescent="0.25">
      <c r="A189" s="1442">
        <v>580</v>
      </c>
      <c r="B189" s="914" t="s">
        <v>265</v>
      </c>
      <c r="C189" s="889" t="s">
        <v>72</v>
      </c>
      <c r="D189" s="889" t="s">
        <v>612</v>
      </c>
      <c r="E189" s="182" t="str">
        <f>'Sch 3 - Expenses'!E29</f>
        <v>PROD</v>
      </c>
      <c r="F189" s="890"/>
      <c r="G189" s="182">
        <f>'Sch 3 - Expenses'!G29</f>
        <v>15505411.633040059</v>
      </c>
      <c r="H189" s="182">
        <f>'Sch 3 - Expenses'!H29</f>
        <v>15505411.633040059</v>
      </c>
      <c r="I189" s="182">
        <f>'Sch 3 - Expenses'!I29</f>
        <v>0</v>
      </c>
      <c r="J189" s="1422">
        <f>'Sch 3 - Expenses'!J29</f>
        <v>0</v>
      </c>
      <c r="K189" s="904">
        <f t="shared" si="547"/>
        <v>1</v>
      </c>
      <c r="N189" s="1162">
        <f>VLOOKUP($A189,'New Resources - Group'!$A$4:$Y$133,N$2,FALSE)*N$1</f>
        <v>0</v>
      </c>
      <c r="O189" s="1117">
        <f>$G189+N189</f>
        <v>15505411.633040059</v>
      </c>
      <c r="P189" s="1118">
        <f>VLOOKUP($E189,O$442:R$453,2,FALSE)*O189*($K189)+IF($G189&lt;&gt;0,($H189/$G189)*O189,0)*(1-$K189)</f>
        <v>15505411.633040059</v>
      </c>
      <c r="Q189" s="1118">
        <f>VLOOKUP($E189,O$442:R$453,3,FALSE)*O189*($K189)+IF($G189&lt;&gt;0,($I189/$G189)*O189,0)*(1-$K189)</f>
        <v>0</v>
      </c>
      <c r="R189" s="1118">
        <f>VLOOKUP($E189,O$442:R$453,4,FALSE)*O189*($K189)+(O189-P189-Q189)*(1-$K189)</f>
        <v>0</v>
      </c>
      <c r="S189" s="1074"/>
      <c r="V189" s="1162">
        <f>VLOOKUP($A189,'New Resources - Group'!$A$4:$Y$133,V$2,FALSE)*V$1</f>
        <v>0</v>
      </c>
      <c r="W189" s="1117">
        <f>$G189+V189</f>
        <v>15505411.633040059</v>
      </c>
      <c r="X189" s="1118">
        <f>VLOOKUP($E189,W$442:Z$453,2,FALSE)*W189*($K189)+IF($G189&lt;&gt;0,($H189/$G189)*W189,0)*(1-$K189)</f>
        <v>15505411.633040059</v>
      </c>
      <c r="Y189" s="1118">
        <f>VLOOKUP($E189,W$442:Z$453,3,FALSE)*W189*($K189)+IF($G189&lt;&gt;0,($I189/$G189)*W189,0)*(1-$K189)</f>
        <v>0</v>
      </c>
      <c r="Z189" s="1118">
        <f>VLOOKUP($E189,W$442:Z$453,4,FALSE)*W189*($K189)+(W189-X189-Y189)*(1-$K189)</f>
        <v>0</v>
      </c>
      <c r="AA189" s="1074"/>
      <c r="AD189" s="1162">
        <f>VLOOKUP($A189,'New Resources - Group'!$A$4:$Y$133,AD$2,FALSE)*AD$1</f>
        <v>0</v>
      </c>
      <c r="AE189" s="1117">
        <f>$G189+AD189</f>
        <v>15505411.633040059</v>
      </c>
      <c r="AF189" s="1118">
        <f>VLOOKUP($E189,AE$442:AH$453,2,FALSE)*AE189*($K189)+IF($G189&lt;&gt;0,($H189/$G189)*AE189,0)*(1-$K189)</f>
        <v>15505411.633040059</v>
      </c>
      <c r="AG189" s="1118">
        <f>VLOOKUP($E189,AE$442:AH$453,3,FALSE)*AE189*($K189)+IF($G189&lt;&gt;0,($I189/$G189)*AE189,0)*(1-$K189)</f>
        <v>0</v>
      </c>
      <c r="AH189" s="1118">
        <f>VLOOKUP($E189,AE$442:AH$453,4,FALSE)*AE189*($K189)+(AE189-AF189-AG189)*(1-$K189)</f>
        <v>0</v>
      </c>
      <c r="AI189" s="1074"/>
      <c r="AL189" s="1162">
        <f>VLOOKUP($A189,'New Resources - Group'!$A$4:$Y$133,AL$2,FALSE)*AL$1</f>
        <v>0</v>
      </c>
      <c r="AM189" s="1117">
        <f>$G189+AL189</f>
        <v>15505411.633040059</v>
      </c>
      <c r="AN189" s="1118">
        <f>VLOOKUP($E189,AM$442:AP$453,2,FALSE)*AM189*($K189)+IF($G189&lt;&gt;0,($H189/$G189)*AM189,0)*(1-$K189)</f>
        <v>15505411.633040059</v>
      </c>
      <c r="AO189" s="1118">
        <f>VLOOKUP($E189,AM$442:AP$453,3,FALSE)*AM189*($K189)+IF($G189&lt;&gt;0,($I189/$G189)*AM189,0)*(1-$K189)</f>
        <v>0</v>
      </c>
      <c r="AP189" s="1118">
        <f>VLOOKUP($E189,AM$442:AP$453,4,FALSE)*AM189*($K189)+(AM189-AN189-AO189)*(1-$K189)</f>
        <v>0</v>
      </c>
      <c r="AQ189" s="1074"/>
      <c r="AT189" s="1162">
        <f>VLOOKUP($A189,'New Resources - Group'!$A$4:$Y$133,AT$2,FALSE)*AT$1</f>
        <v>0</v>
      </c>
      <c r="AU189" s="1117">
        <f>$G189+AT189</f>
        <v>15505411.633040059</v>
      </c>
      <c r="AV189" s="1118">
        <f>VLOOKUP($E189,AU$442:AX$453,2,FALSE)*AU189*($K189)+IF($G189&lt;&gt;0,($H189/$G189)*AU189,0)*(1-$K189)</f>
        <v>15505411.633040059</v>
      </c>
      <c r="AW189" s="1118">
        <f>VLOOKUP($E189,AU$442:AX$453,3,FALSE)*AU189*($K189)+IF($G189&lt;&gt;0,($I189/$G189)*AU189,0)*(1-$K189)</f>
        <v>0</v>
      </c>
      <c r="AX189" s="1118">
        <f>VLOOKUP($E189,AU$442:AX$453,4,FALSE)*AU189*($K189)+(AU189-AV189-AW189)*(1-$K189)</f>
        <v>0</v>
      </c>
      <c r="AY189" s="1074"/>
      <c r="BB189" s="1162">
        <f>VLOOKUP($A189,'New Resources - Group'!$A$4:$Y$133,BB$2,FALSE)*BB$1</f>
        <v>0</v>
      </c>
      <c r="BC189" s="1117">
        <f>$G189+BB189</f>
        <v>15505411.633040059</v>
      </c>
      <c r="BD189" s="1118">
        <f>VLOOKUP($E189,BC$442:BF$453,2,FALSE)*BC189*($K189)+IF($G189&lt;&gt;0,($H189/$G189)*BC189,0)*(1-$K189)</f>
        <v>15505411.633040059</v>
      </c>
      <c r="BE189" s="1118">
        <f>VLOOKUP($E189,BC$442:BF$453,3,FALSE)*BC189*($K189)+IF($G189&lt;&gt;0,($I189/$G189)*BC189,0)*(1-$K189)</f>
        <v>0</v>
      </c>
      <c r="BF189" s="1118">
        <f>VLOOKUP($E189,BC$442:BF$453,4,FALSE)*BC189*($K189)+(BC189-BD189-BE189)*(1-$K189)</f>
        <v>0</v>
      </c>
      <c r="BG189" s="1074"/>
      <c r="BJ189" s="1162">
        <f>VLOOKUP($A189,'New Resources - Group'!$A$4:$Y$133,BJ$2,FALSE)*BJ$1</f>
        <v>0</v>
      </c>
      <c r="BK189" s="1117">
        <f>$G189+BJ189</f>
        <v>15505411.633040059</v>
      </c>
      <c r="BL189" s="1118">
        <f>VLOOKUP($E189,BK$442:BN$453,2,FALSE)*BK189*($K189)+IF($G189&lt;&gt;0,($H189/$G189)*BK189,0)*(1-$K189)</f>
        <v>15505411.633040059</v>
      </c>
      <c r="BM189" s="1118">
        <f>VLOOKUP($E189,BK$442:BN$453,3,FALSE)*BK189*($K189)+IF($G189&lt;&gt;0,($I189/$G189)*BK189,0)*(1-$K189)</f>
        <v>0</v>
      </c>
      <c r="BN189" s="1118">
        <f>VLOOKUP($E189,BK$442:BN$453,4,FALSE)*BK189*($K189)+(BK189-BL189-BM189)*(1-$K189)</f>
        <v>0</v>
      </c>
      <c r="BO189" s="1074"/>
      <c r="BR189" s="1162">
        <f>VLOOKUP($A189,'New Resources - Group'!$A$4:$Y$133,BR$2,FALSE)*BR$1</f>
        <v>0</v>
      </c>
      <c r="BS189" s="1117">
        <f>$G189+BR189</f>
        <v>15505411.633040059</v>
      </c>
      <c r="BT189" s="1118">
        <f>VLOOKUP($E189,BS$442:BV$453,2,FALSE)*BS189*($K189)+IF($G189&lt;&gt;0,($H189/$G189)*BS189,0)*(1-$K189)</f>
        <v>15505411.633040059</v>
      </c>
      <c r="BU189" s="1118">
        <f>VLOOKUP($E189,BS$442:BV$453,3,FALSE)*BS189*($K189)+IF($G189&lt;&gt;0,($I189/$G189)*BS189,0)*(1-$K189)</f>
        <v>0</v>
      </c>
      <c r="BV189" s="1118">
        <f>VLOOKUP($E189,BS$442:BV$453,4,FALSE)*BS189*($K189)+(BS189-BT189-BU189)*(1-$K189)</f>
        <v>0</v>
      </c>
      <c r="BW189" s="1074"/>
      <c r="BZ189" s="1162">
        <f>VLOOKUP($A189,'New Resources - Group'!$A$4:$Y$133,BZ$2,FALSE)*BZ$1</f>
        <v>0</v>
      </c>
      <c r="CA189" s="1117">
        <f>$G189+BZ189</f>
        <v>15505411.633040059</v>
      </c>
      <c r="CB189" s="1118">
        <f>VLOOKUP($E189,CA$442:CD$453,2,FALSE)*CA189*($K189)+IF($G189&lt;&gt;0,($H189/$G189)*CA189,0)*(1-$K189)</f>
        <v>15505411.633040059</v>
      </c>
      <c r="CC189" s="1118">
        <f>VLOOKUP($E189,CA$442:CD$453,3,FALSE)*CA189*($K189)+IF($G189&lt;&gt;0,($I189/$G189)*CA189,0)*(1-$K189)</f>
        <v>0</v>
      </c>
      <c r="CD189" s="1118">
        <f>VLOOKUP($E189,CA$442:CD$453,4,FALSE)*CA189*($K189)+(CA189-CB189-CC189)*(1-$K189)</f>
        <v>0</v>
      </c>
      <c r="CE189" s="1074"/>
      <c r="CH189" s="1162">
        <f>VLOOKUP($A189,'New Resources - Group'!$A$4:$Y$133,CH$2,FALSE)*CH$1</f>
        <v>0</v>
      </c>
      <c r="CI189" s="1117">
        <f>$G189+CH189</f>
        <v>15505411.633040059</v>
      </c>
      <c r="CJ189" s="1118">
        <f>VLOOKUP($E189,CI$442:CL$453,2,FALSE)*CI189*($K189)+IF($G189&lt;&gt;0,($H189/$G189)*CI189,0)*(1-$K189)</f>
        <v>15505411.633040059</v>
      </c>
      <c r="CK189" s="1118">
        <f>VLOOKUP($E189,CI$442:CL$453,3,FALSE)*CI189*($K189)+IF($G189&lt;&gt;0,($I189/$G189)*CI189,0)*(1-$K189)</f>
        <v>0</v>
      </c>
      <c r="CL189" s="1118">
        <f>VLOOKUP($E189,CI$442:CL$453,4,FALSE)*CI189*($K189)+(CI189-CJ189-CK189)*(1-$K189)</f>
        <v>0</v>
      </c>
      <c r="CM189" s="1074"/>
      <c r="CP189" s="1162">
        <f>VLOOKUP($A189,'New Resources - Group'!$A$4:$Y$133,CP$2,FALSE)*CP$1</f>
        <v>0</v>
      </c>
      <c r="CQ189" s="1117">
        <f>$G189+CP189</f>
        <v>15505411.633040059</v>
      </c>
      <c r="CR189" s="1118">
        <f>VLOOKUP($E189,CQ$442:CT$453,2,FALSE)*CQ189*($K189)+IF($G189&lt;&gt;0,($H189/$G189)*CQ189,0)*(1-$K189)</f>
        <v>15505411.633040059</v>
      </c>
      <c r="CS189" s="1118">
        <f>VLOOKUP($E189,CQ$442:CT$453,3,FALSE)*CQ189*($K189)+IF($G189&lt;&gt;0,($I189/$G189)*CQ189,0)*(1-$K189)</f>
        <v>0</v>
      </c>
      <c r="CT189" s="1118">
        <f>VLOOKUP($E189,CQ$442:CT$453,4,FALSE)*CQ189*($K189)+(CQ189-CR189-CS189)*(1-$K189)</f>
        <v>0</v>
      </c>
      <c r="CU189" s="1074"/>
      <c r="CX189" s="1162">
        <f>VLOOKUP($A189,'New Resources - Group'!$A$4:$Y$133,CX$2,FALSE)*CX$1</f>
        <v>0</v>
      </c>
      <c r="CY189" s="1117">
        <f>$G189+CX189</f>
        <v>15505411.633040059</v>
      </c>
      <c r="CZ189" s="1118">
        <f>VLOOKUP($E189,CY$442:DB$453,2,FALSE)*CY189*($K189)+IF($G189&lt;&gt;0,($H189/$G189)*CY189,0)*(1-$K189)</f>
        <v>15505411.633040059</v>
      </c>
      <c r="DA189" s="1118">
        <f>VLOOKUP($E189,CY$442:DB$453,3,FALSE)*CY189*($K189)+IF($G189&lt;&gt;0,($I189/$G189)*CY189,0)*(1-$K189)</f>
        <v>0</v>
      </c>
      <c r="DB189" s="1118">
        <f>VLOOKUP($E189,CY$442:DB$453,4,FALSE)*CY189*($K189)+(CY189-CZ189-DA189)*(1-$K189)</f>
        <v>0</v>
      </c>
      <c r="DC189" s="1074"/>
      <c r="DF189" s="1162">
        <f>VLOOKUP($A189,'New Resources - Group'!$A$4:$Y$133,DF$2,FALSE)*DF$1</f>
        <v>0</v>
      </c>
      <c r="DG189" s="1117">
        <f>$G189+DF189</f>
        <v>15505411.633040059</v>
      </c>
      <c r="DH189" s="1118">
        <f>VLOOKUP($E189,DG$442:DJ$453,2,FALSE)*DG189*($K189)+IF($G189&lt;&gt;0,($H189/$G189)*DG189,0)*(1-$K189)</f>
        <v>15505411.633040059</v>
      </c>
      <c r="DI189" s="1118">
        <f>VLOOKUP($E189,DG$442:DJ$453,3,FALSE)*DG189*($K189)+IF($G189&lt;&gt;0,($I189/$G189)*DG189,0)*(1-$K189)</f>
        <v>0</v>
      </c>
      <c r="DJ189" s="1118">
        <f>VLOOKUP($E189,DG$442:DJ$453,4,FALSE)*DG189*($K189)+(DG189-DH189-DI189)*(1-$K189)</f>
        <v>0</v>
      </c>
      <c r="DK189" s="1074"/>
      <c r="DN189" s="1162">
        <f>VLOOKUP($A189,'New Resources - Group'!$A$4:$Y$133,DN$2,FALSE)*DN$1</f>
        <v>0</v>
      </c>
      <c r="DO189" s="1117">
        <f>$G189+DN189</f>
        <v>15505411.633040059</v>
      </c>
      <c r="DP189" s="1118">
        <f>VLOOKUP($E189,DO$442:DR$453,2,FALSE)*DO189*($K189)+IF($G189&lt;&gt;0,($H189/$G189)*DO189,0)*(1-$K189)</f>
        <v>15505411.633040059</v>
      </c>
      <c r="DQ189" s="1118">
        <f>VLOOKUP($E189,DO$442:DR$453,3,FALSE)*DO189*($K189)+IF($G189&lt;&gt;0,($I189/$G189)*DO189,0)*(1-$K189)</f>
        <v>0</v>
      </c>
      <c r="DR189" s="1118">
        <f>VLOOKUP($E189,DO$442:DR$453,4,FALSE)*DO189*($K189)+(DO189-DP189-DQ189)*(1-$K189)</f>
        <v>0</v>
      </c>
      <c r="DS189" s="1074"/>
      <c r="DV189" s="1162">
        <f>VLOOKUP($A189,'New Resources - Group'!$A$4:$Y$133,DV$2,FALSE)*DV$1</f>
        <v>0</v>
      </c>
      <c r="DW189" s="1117">
        <f>$G189+DV189</f>
        <v>15505411.633040059</v>
      </c>
      <c r="DX189" s="1118">
        <f>VLOOKUP($E189,DW$442:DZ$453,2,FALSE)*DW189*($K189)+IF($G189&lt;&gt;0,($H189/$G189)*DW189,0)*(1-$K189)</f>
        <v>15505411.633040059</v>
      </c>
      <c r="DY189" s="1118">
        <f>VLOOKUP($E189,DW$442:DZ$453,3,FALSE)*DW189*($K189)+IF($G189&lt;&gt;0,($I189/$G189)*DW189,0)*(1-$K189)</f>
        <v>0</v>
      </c>
      <c r="DZ189" s="1118">
        <f>VLOOKUP($E189,DW$442:DZ$453,4,FALSE)*DW189*($K189)+(DW189-DX189-DY189)*(1-$K189)</f>
        <v>0</v>
      </c>
      <c r="EA189" s="1074"/>
      <c r="ED189" s="1162">
        <f>VLOOKUP($A189,'New Resources - Group'!$A$4:$Y$133,ED$2,FALSE)*ED$1</f>
        <v>0</v>
      </c>
      <c r="EE189" s="1117">
        <f>$G189+ED189</f>
        <v>15505411.633040059</v>
      </c>
      <c r="EF189" s="1118">
        <f>VLOOKUP($E189,EE$442:EH$453,2,FALSE)*EE189*($K189)+IF($G189&lt;&gt;0,($H189/$G189)*EE189,0)*(1-$K189)</f>
        <v>15505411.633040059</v>
      </c>
      <c r="EG189" s="1118">
        <f>VLOOKUP($E189,EE$442:EH$453,3,FALSE)*EE189*($K189)+IF($G189&lt;&gt;0,($I189/$G189)*EE189,0)*(1-$K189)</f>
        <v>0</v>
      </c>
      <c r="EH189" s="1118">
        <f>VLOOKUP($E189,EE$442:EH$453,4,FALSE)*EE189*($K189)+(EE189-EF189-EG189)*(1-$K189)</f>
        <v>0</v>
      </c>
      <c r="EI189" s="1074"/>
      <c r="EL189" s="1162">
        <f>VLOOKUP($A189,'New Resources - Group'!$A$4:$Y$133,EL$2,FALSE)*EL$1</f>
        <v>0</v>
      </c>
      <c r="EM189" s="1117">
        <f>$G189+EL189</f>
        <v>15505411.633040059</v>
      </c>
      <c r="EN189" s="1118">
        <f>VLOOKUP($E189,EM$442:EP$453,2,FALSE)*EM189*($K189)+IF($G189&lt;&gt;0,($H189/$G189)*EM189,0)*(1-$K189)</f>
        <v>15505411.633040059</v>
      </c>
      <c r="EO189" s="1118">
        <f>VLOOKUP($E189,EM$442:EP$453,3,FALSE)*EM189*($K189)+IF($G189&lt;&gt;0,($I189/$G189)*EM189,0)*(1-$K189)</f>
        <v>0</v>
      </c>
      <c r="EP189" s="1118">
        <f>VLOOKUP($E189,EM$442:EP$453,4,FALSE)*EM189*($K189)+(EM189-EN189-EO189)*(1-$K189)</f>
        <v>0</v>
      </c>
      <c r="EQ189" s="1074"/>
      <c r="ET189" s="1162">
        <f>VLOOKUP($A189,'New Resources - Group'!$A$4:$Y$133,ET$2,FALSE)*ET$1</f>
        <v>0</v>
      </c>
      <c r="EU189" s="1117">
        <f>$G189+ET189</f>
        <v>15505411.633040059</v>
      </c>
      <c r="EV189" s="1118">
        <f>VLOOKUP($E189,EU$442:EX$453,2,FALSE)*EU189*($K189)+IF($G189&lt;&gt;0,($H189/$G189)*EU189,0)*(1-$K189)</f>
        <v>15505411.633040059</v>
      </c>
      <c r="EW189" s="1118">
        <f>VLOOKUP($E189,EU$442:EX$453,3,FALSE)*EU189*($K189)+IF($G189&lt;&gt;0,($I189/$G189)*EU189,0)*(1-$K189)</f>
        <v>0</v>
      </c>
      <c r="EX189" s="1118">
        <f>VLOOKUP($E189,EU$442:EX$453,4,FALSE)*EU189*($K189)+(EU189-EV189-EW189)*(1-$K189)</f>
        <v>0</v>
      </c>
      <c r="EY189" s="1074"/>
      <c r="FB189" s="1162">
        <f>VLOOKUP($A189,'New Resources - Group'!$A$4:$Y$133,FB$2,FALSE)*FB$1</f>
        <v>0</v>
      </c>
      <c r="FC189" s="1117">
        <f>$G189+FB189</f>
        <v>15505411.633040059</v>
      </c>
      <c r="FD189" s="1118">
        <f>VLOOKUP($E189,FC$442:FF$453,2,FALSE)*FC189*($K189)+IF($G189&lt;&gt;0,($H189/$G189)*FC189,0)*(1-$K189)</f>
        <v>15505411.633040059</v>
      </c>
      <c r="FE189" s="1118">
        <f>VLOOKUP($E189,FC$442:FF$453,3,FALSE)*FC189*($K189)+IF($G189&lt;&gt;0,($I189/$G189)*FC189,0)*(1-$K189)</f>
        <v>0</v>
      </c>
      <c r="FF189" s="1118">
        <f>VLOOKUP($E189,FC$442:FF$453,4,FALSE)*FC189*($K189)+(FC189-FD189-FE189)*(1-$K189)</f>
        <v>0</v>
      </c>
      <c r="FG189" s="1074"/>
      <c r="FJ189" s="1162">
        <f>VLOOKUP($A189,'New Resources - Group'!$A$4:$Y$133,FJ$2,FALSE)*FJ$1</f>
        <v>0</v>
      </c>
      <c r="FK189" s="1117">
        <f>$G189+FJ189</f>
        <v>15505411.633040059</v>
      </c>
      <c r="FL189" s="1118">
        <f>VLOOKUP($E189,FK$442:FN$453,2,FALSE)*FK189*($K189)+IF($G189&lt;&gt;0,($H189/$G189)*FK189,0)*(1-$K189)</f>
        <v>15505411.633040059</v>
      </c>
      <c r="FM189" s="1118">
        <f>VLOOKUP($E189,FK$442:FN$453,3,FALSE)*FK189*($K189)+IF($G189&lt;&gt;0,($I189/$G189)*FK189,0)*(1-$K189)</f>
        <v>0</v>
      </c>
      <c r="FN189" s="1118">
        <f>VLOOKUP($E189,FK$442:FN$453,4,FALSE)*FK189*($K189)+(FK189-FL189-FM189)*(1-$K189)</f>
        <v>0</v>
      </c>
      <c r="FO189" s="1074"/>
    </row>
    <row r="190" spans="1:171" x14ac:dyDescent="0.25">
      <c r="A190" s="1466"/>
      <c r="B190" s="991" t="s">
        <v>454</v>
      </c>
      <c r="C190" s="55"/>
      <c r="D190" s="55"/>
      <c r="E190" s="196"/>
      <c r="F190" s="196"/>
      <c r="G190" s="68"/>
      <c r="H190" s="68"/>
      <c r="I190" s="68"/>
      <c r="J190" s="1465"/>
      <c r="K190" s="904"/>
      <c r="S190" s="1074"/>
      <c r="AA190" s="1074"/>
      <c r="AI190" s="1074"/>
      <c r="AQ190" s="1074"/>
      <c r="AY190" s="1074"/>
      <c r="BG190" s="1074"/>
      <c r="BO190" s="1074"/>
      <c r="BW190" s="1074"/>
      <c r="CE190" s="1074"/>
      <c r="CM190" s="1074"/>
      <c r="CU190" s="1074"/>
      <c r="DC190" s="1074"/>
      <c r="DK190" s="1074"/>
      <c r="DS190" s="1074"/>
      <c r="EA190" s="1074"/>
      <c r="EI190" s="1074"/>
      <c r="EQ190" s="1074"/>
      <c r="EY190" s="1074"/>
      <c r="FG190" s="1074"/>
      <c r="FO190" s="1074"/>
    </row>
    <row r="191" spans="1:171" x14ac:dyDescent="0.25">
      <c r="B191" s="220" t="s">
        <v>266</v>
      </c>
      <c r="C191" s="889" t="s">
        <v>72</v>
      </c>
      <c r="D191" s="889">
        <v>555</v>
      </c>
      <c r="E191" s="182" t="str">
        <f>'Sch 3 - Expenses'!E31</f>
        <v>PROD</v>
      </c>
      <c r="F191" s="890"/>
      <c r="G191" s="182">
        <f>'Sch 3 - Expenses'!G31</f>
        <v>882712895.7098341</v>
      </c>
      <c r="H191" s="182">
        <f>'Sch 3 - Expenses'!H31</f>
        <v>882712895.7098341</v>
      </c>
      <c r="I191" s="182">
        <f>'Sch 3 - Expenses'!I31</f>
        <v>0</v>
      </c>
      <c r="J191" s="1422">
        <f>'Sch 3 - Expenses'!J31</f>
        <v>0</v>
      </c>
      <c r="K191" s="904">
        <f t="shared" si="547"/>
        <v>1</v>
      </c>
      <c r="O191" s="1146">
        <f>O465</f>
        <v>882712895.70983398</v>
      </c>
      <c r="P191" s="1118">
        <f>VLOOKUP($E191,O$442:R$453,2,FALSE)*O191*($K191)+IF($G191&lt;&gt;0,($H191/$G191)*O191,0)*(1-$K191)</f>
        <v>882712895.70983398</v>
      </c>
      <c r="Q191" s="1118">
        <f>VLOOKUP($E191,O$442:R$453,3,FALSE)*O191*($K191)+IF($G191&lt;&gt;0,($I191/$G191)*O191,0)*(1-$K191)</f>
        <v>0</v>
      </c>
      <c r="R191" s="1118">
        <f>VLOOKUP($E191,O$442:R$453,4,FALSE)*O191*($K191)+(O191-P191-Q191)*(1-$K191)</f>
        <v>0</v>
      </c>
      <c r="S191" s="1074"/>
      <c r="W191" s="1146">
        <f>W465</f>
        <v>882712895.70983398</v>
      </c>
      <c r="X191" s="1118">
        <f>VLOOKUP($E191,W$442:Z$453,2,FALSE)*W191*($K191)+IF($G191&lt;&gt;0,($H191/$G191)*W191,0)*(1-$K191)</f>
        <v>882712895.70983398</v>
      </c>
      <c r="Y191" s="1118">
        <f>VLOOKUP($E191,W$442:Z$453,3,FALSE)*W191*($K191)+IF($G191&lt;&gt;0,($I191/$G191)*W191,0)*(1-$K191)</f>
        <v>0</v>
      </c>
      <c r="Z191" s="1118">
        <f>VLOOKUP($E191,W$442:Z$453,4,FALSE)*W191*($K191)+(W191-X191-Y191)*(1-$K191)</f>
        <v>0</v>
      </c>
      <c r="AA191" s="1074"/>
      <c r="AE191" s="1146">
        <f>AE465</f>
        <v>882712895.70983398</v>
      </c>
      <c r="AF191" s="1118">
        <f>VLOOKUP($E191,AE$442:AH$453,2,FALSE)*AE191*($K191)+IF($G191&lt;&gt;0,($H191/$G191)*AE191,0)*(1-$K191)</f>
        <v>882712895.70983398</v>
      </c>
      <c r="AG191" s="1118">
        <f>VLOOKUP($E191,AE$442:AH$453,3,FALSE)*AE191*($K191)+IF($G191&lt;&gt;0,($I191/$G191)*AE191,0)*(1-$K191)</f>
        <v>0</v>
      </c>
      <c r="AH191" s="1118">
        <f>VLOOKUP($E191,AE$442:AH$453,4,FALSE)*AE191*($K191)+(AE191-AF191-AG191)*(1-$K191)</f>
        <v>0</v>
      </c>
      <c r="AI191" s="1074"/>
      <c r="AM191" s="1146">
        <f>AM465</f>
        <v>882712895.70983398</v>
      </c>
      <c r="AN191" s="1118">
        <f>VLOOKUP($E191,AM$442:AP$453,2,FALSE)*AM191*($K191)+IF($G191&lt;&gt;0,($H191/$G191)*AM191,0)*(1-$K191)</f>
        <v>882712895.70983398</v>
      </c>
      <c r="AO191" s="1118">
        <f>VLOOKUP($E191,AM$442:AP$453,3,FALSE)*AM191*($K191)+IF($G191&lt;&gt;0,($I191/$G191)*AM191,0)*(1-$K191)</f>
        <v>0</v>
      </c>
      <c r="AP191" s="1118">
        <f>VLOOKUP($E191,AM$442:AP$453,4,FALSE)*AM191*($K191)+(AM191-AN191-AO191)*(1-$K191)</f>
        <v>0</v>
      </c>
      <c r="AQ191" s="1074"/>
      <c r="AU191" s="1146">
        <f>AU465</f>
        <v>882712895.70983398</v>
      </c>
      <c r="AV191" s="1118">
        <f>VLOOKUP($E191,AU$442:AX$453,2,FALSE)*AU191*($K191)+IF($G191&lt;&gt;0,($H191/$G191)*AU191,0)*(1-$K191)</f>
        <v>882712895.70983398</v>
      </c>
      <c r="AW191" s="1118">
        <f>VLOOKUP($E191,AU$442:AX$453,3,FALSE)*AU191*($K191)+IF($G191&lt;&gt;0,($I191/$G191)*AU191,0)*(1-$K191)</f>
        <v>0</v>
      </c>
      <c r="AX191" s="1118">
        <f>VLOOKUP($E191,AU$442:AX$453,4,FALSE)*AU191*($K191)+(AU191-AV191-AW191)*(1-$K191)</f>
        <v>0</v>
      </c>
      <c r="AY191" s="1074"/>
      <c r="BC191" s="1146">
        <f>BC465</f>
        <v>882712895.70983398</v>
      </c>
      <c r="BD191" s="1118">
        <f>VLOOKUP($E191,BC$442:BF$453,2,FALSE)*BC191*($K191)+IF($G191&lt;&gt;0,($H191/$G191)*BC191,0)*(1-$K191)</f>
        <v>882712895.70983398</v>
      </c>
      <c r="BE191" s="1118">
        <f>VLOOKUP($E191,BC$442:BF$453,3,FALSE)*BC191*($K191)+IF($G191&lt;&gt;0,($I191/$G191)*BC191,0)*(1-$K191)</f>
        <v>0</v>
      </c>
      <c r="BF191" s="1118">
        <f>VLOOKUP($E191,BC$442:BF$453,4,FALSE)*BC191*($K191)+(BC191-BD191-BE191)*(1-$K191)</f>
        <v>0</v>
      </c>
      <c r="BG191" s="1074"/>
      <c r="BK191" s="1146">
        <f>BK465</f>
        <v>882712895.70983398</v>
      </c>
      <c r="BL191" s="1118">
        <f>VLOOKUP($E191,BK$442:BN$453,2,FALSE)*BK191*($K191)+IF($G191&lt;&gt;0,($H191/$G191)*BK191,0)*(1-$K191)</f>
        <v>882712895.70983398</v>
      </c>
      <c r="BM191" s="1118">
        <f>VLOOKUP($E191,BK$442:BN$453,3,FALSE)*BK191*($K191)+IF($G191&lt;&gt;0,($I191/$G191)*BK191,0)*(1-$K191)</f>
        <v>0</v>
      </c>
      <c r="BN191" s="1118">
        <f>VLOOKUP($E191,BK$442:BN$453,4,FALSE)*BK191*($K191)+(BK191-BL191-BM191)*(1-$K191)</f>
        <v>0</v>
      </c>
      <c r="BO191" s="1074"/>
      <c r="BS191" s="1146">
        <f>BS465</f>
        <v>882712895.70983398</v>
      </c>
      <c r="BT191" s="1118">
        <f>VLOOKUP($E191,BS$442:BV$453,2,FALSE)*BS191*($K191)+IF($G191&lt;&gt;0,($H191/$G191)*BS191,0)*(1-$K191)</f>
        <v>882712895.70983398</v>
      </c>
      <c r="BU191" s="1118">
        <f>VLOOKUP($E191,BS$442:BV$453,3,FALSE)*BS191*($K191)+IF($G191&lt;&gt;0,($I191/$G191)*BS191,0)*(1-$K191)</f>
        <v>0</v>
      </c>
      <c r="BV191" s="1118">
        <f>VLOOKUP($E191,BS$442:BV$453,4,FALSE)*BS191*($K191)+(BS191-BT191-BU191)*(1-$K191)</f>
        <v>0</v>
      </c>
      <c r="BW191" s="1074"/>
      <c r="CA191" s="1146">
        <f>CA465</f>
        <v>882712895.70983398</v>
      </c>
      <c r="CB191" s="1118">
        <f>VLOOKUP($E191,CA$442:CD$453,2,FALSE)*CA191*($K191)+IF($G191&lt;&gt;0,($H191/$G191)*CA191,0)*(1-$K191)</f>
        <v>882712895.70983398</v>
      </c>
      <c r="CC191" s="1118">
        <f>VLOOKUP($E191,CA$442:CD$453,3,FALSE)*CA191*($K191)+IF($G191&lt;&gt;0,($I191/$G191)*CA191,0)*(1-$K191)</f>
        <v>0</v>
      </c>
      <c r="CD191" s="1118">
        <f>VLOOKUP($E191,CA$442:CD$453,4,FALSE)*CA191*($K191)+(CA191-CB191-CC191)*(1-$K191)</f>
        <v>0</v>
      </c>
      <c r="CE191" s="1074"/>
      <c r="CI191" s="1146">
        <f>CI465</f>
        <v>882712895.70983398</v>
      </c>
      <c r="CJ191" s="1118">
        <f>VLOOKUP($E191,CI$442:CL$453,2,FALSE)*CI191*($K191)+IF($G191&lt;&gt;0,($H191/$G191)*CI191,0)*(1-$K191)</f>
        <v>882712895.70983398</v>
      </c>
      <c r="CK191" s="1118">
        <f>VLOOKUP($E191,CI$442:CL$453,3,FALSE)*CI191*($K191)+IF($G191&lt;&gt;0,($I191/$G191)*CI191,0)*(1-$K191)</f>
        <v>0</v>
      </c>
      <c r="CL191" s="1118">
        <f>VLOOKUP($E191,CI$442:CL$453,4,FALSE)*CI191*($K191)+(CI191-CJ191-CK191)*(1-$K191)</f>
        <v>0</v>
      </c>
      <c r="CM191" s="1074"/>
      <c r="CQ191" s="1146">
        <f>CQ465</f>
        <v>882712895.70983398</v>
      </c>
      <c r="CR191" s="1118">
        <f>VLOOKUP($E191,CQ$442:CT$453,2,FALSE)*CQ191*($K191)+IF($G191&lt;&gt;0,($H191/$G191)*CQ191,0)*(1-$K191)</f>
        <v>882712895.70983398</v>
      </c>
      <c r="CS191" s="1118">
        <f>VLOOKUP($E191,CQ$442:CT$453,3,FALSE)*CQ191*($K191)+IF($G191&lt;&gt;0,($I191/$G191)*CQ191,0)*(1-$K191)</f>
        <v>0</v>
      </c>
      <c r="CT191" s="1118">
        <f>VLOOKUP($E191,CQ$442:CT$453,4,FALSE)*CQ191*($K191)+(CQ191-CR191-CS191)*(1-$K191)</f>
        <v>0</v>
      </c>
      <c r="CU191" s="1074"/>
      <c r="CY191" s="1146">
        <f>CY465</f>
        <v>882712895.70983398</v>
      </c>
      <c r="CZ191" s="1118">
        <f>VLOOKUP($E191,CY$442:DB$453,2,FALSE)*CY191*($K191)+IF($G191&lt;&gt;0,($H191/$G191)*CY191,0)*(1-$K191)</f>
        <v>882712895.70983398</v>
      </c>
      <c r="DA191" s="1118">
        <f>VLOOKUP($E191,CY$442:DB$453,3,FALSE)*CY191*($K191)+IF($G191&lt;&gt;0,($I191/$G191)*CY191,0)*(1-$K191)</f>
        <v>0</v>
      </c>
      <c r="DB191" s="1118">
        <f>VLOOKUP($E191,CY$442:DB$453,4,FALSE)*CY191*($K191)+(CY191-CZ191-DA191)*(1-$K191)</f>
        <v>0</v>
      </c>
      <c r="DC191" s="1074"/>
      <c r="DG191" s="1146">
        <f>DG465</f>
        <v>882712895.70983398</v>
      </c>
      <c r="DH191" s="1118">
        <f>VLOOKUP($E191,DG$442:DJ$453,2,FALSE)*DG191*($K191)+IF($G191&lt;&gt;0,($H191/$G191)*DG191,0)*(1-$K191)</f>
        <v>882712895.70983398</v>
      </c>
      <c r="DI191" s="1118">
        <f>VLOOKUP($E191,DG$442:DJ$453,3,FALSE)*DG191*($K191)+IF($G191&lt;&gt;0,($I191/$G191)*DG191,0)*(1-$K191)</f>
        <v>0</v>
      </c>
      <c r="DJ191" s="1118">
        <f>VLOOKUP($E191,DG$442:DJ$453,4,FALSE)*DG191*($K191)+(DG191-DH191-DI191)*(1-$K191)</f>
        <v>0</v>
      </c>
      <c r="DK191" s="1074"/>
      <c r="DO191" s="1146">
        <f>DO465</f>
        <v>882712895.70983398</v>
      </c>
      <c r="DP191" s="1118">
        <f>VLOOKUP($E191,DO$442:DR$453,2,FALSE)*DO191*($K191)+IF($G191&lt;&gt;0,($H191/$G191)*DO191,0)*(1-$K191)</f>
        <v>882712895.70983398</v>
      </c>
      <c r="DQ191" s="1118">
        <f>VLOOKUP($E191,DO$442:DR$453,3,FALSE)*DO191*($K191)+IF($G191&lt;&gt;0,($I191/$G191)*DO191,0)*(1-$K191)</f>
        <v>0</v>
      </c>
      <c r="DR191" s="1118">
        <f>VLOOKUP($E191,DO$442:DR$453,4,FALSE)*DO191*($K191)+(DO191-DP191-DQ191)*(1-$K191)</f>
        <v>0</v>
      </c>
      <c r="DS191" s="1074"/>
      <c r="DW191" s="1146">
        <f>DW465</f>
        <v>882712895.70983398</v>
      </c>
      <c r="DX191" s="1118">
        <f>VLOOKUP($E191,DW$442:DZ$453,2,FALSE)*DW191*($K191)+IF($G191&lt;&gt;0,($H191/$G191)*DW191,0)*(1-$K191)</f>
        <v>882712895.70983398</v>
      </c>
      <c r="DY191" s="1118">
        <f>VLOOKUP($E191,DW$442:DZ$453,3,FALSE)*DW191*($K191)+IF($G191&lt;&gt;0,($I191/$G191)*DW191,0)*(1-$K191)</f>
        <v>0</v>
      </c>
      <c r="DZ191" s="1118">
        <f>VLOOKUP($E191,DW$442:DZ$453,4,FALSE)*DW191*($K191)+(DW191-DX191-DY191)*(1-$K191)</f>
        <v>0</v>
      </c>
      <c r="EA191" s="1074"/>
      <c r="EE191" s="1146">
        <f>EE465</f>
        <v>882712895.70983398</v>
      </c>
      <c r="EF191" s="1118">
        <f>VLOOKUP($E191,EE$442:EH$453,2,FALSE)*EE191*($K191)+IF($G191&lt;&gt;0,($H191/$G191)*EE191,0)*(1-$K191)</f>
        <v>882712895.70983398</v>
      </c>
      <c r="EG191" s="1118">
        <f>VLOOKUP($E191,EE$442:EH$453,3,FALSE)*EE191*($K191)+IF($G191&lt;&gt;0,($I191/$G191)*EE191,0)*(1-$K191)</f>
        <v>0</v>
      </c>
      <c r="EH191" s="1118">
        <f>VLOOKUP($E191,EE$442:EH$453,4,FALSE)*EE191*($K191)+(EE191-EF191-EG191)*(1-$K191)</f>
        <v>0</v>
      </c>
      <c r="EI191" s="1074"/>
      <c r="EM191" s="1146">
        <f>EM465</f>
        <v>882712895.70983398</v>
      </c>
      <c r="EN191" s="1118">
        <f>VLOOKUP($E191,EM$442:EP$453,2,FALSE)*EM191*($K191)+IF($G191&lt;&gt;0,($H191/$G191)*EM191,0)*(1-$K191)</f>
        <v>882712895.70983398</v>
      </c>
      <c r="EO191" s="1118">
        <f>VLOOKUP($E191,EM$442:EP$453,3,FALSE)*EM191*($K191)+IF($G191&lt;&gt;0,($I191/$G191)*EM191,0)*(1-$K191)</f>
        <v>0</v>
      </c>
      <c r="EP191" s="1118">
        <f>VLOOKUP($E191,EM$442:EP$453,4,FALSE)*EM191*($K191)+(EM191-EN191-EO191)*(1-$K191)</f>
        <v>0</v>
      </c>
      <c r="EQ191" s="1074"/>
      <c r="EU191" s="1146">
        <f>EU465</f>
        <v>882712895.70983398</v>
      </c>
      <c r="EV191" s="1118">
        <f>VLOOKUP($E191,EU$442:EX$453,2,FALSE)*EU191*($K191)+IF($G191&lt;&gt;0,($H191/$G191)*EU191,0)*(1-$K191)</f>
        <v>882712895.70983398</v>
      </c>
      <c r="EW191" s="1118">
        <f>VLOOKUP($E191,EU$442:EX$453,3,FALSE)*EU191*($K191)+IF($G191&lt;&gt;0,($I191/$G191)*EU191,0)*(1-$K191)</f>
        <v>0</v>
      </c>
      <c r="EX191" s="1118">
        <f>VLOOKUP($E191,EU$442:EX$453,4,FALSE)*EU191*($K191)+(EU191-EV191-EW191)*(1-$K191)</f>
        <v>0</v>
      </c>
      <c r="EY191" s="1074"/>
      <c r="FC191" s="1146">
        <f>FC465</f>
        <v>882712895.70983398</v>
      </c>
      <c r="FD191" s="1118">
        <f>VLOOKUP($E191,FC$442:FF$453,2,FALSE)*FC191*($K191)+IF($G191&lt;&gt;0,($H191/$G191)*FC191,0)*(1-$K191)</f>
        <v>882712895.70983398</v>
      </c>
      <c r="FE191" s="1118">
        <f>VLOOKUP($E191,FC$442:FF$453,3,FALSE)*FC191*($K191)+IF($G191&lt;&gt;0,($I191/$G191)*FC191,0)*(1-$K191)</f>
        <v>0</v>
      </c>
      <c r="FF191" s="1118">
        <f>VLOOKUP($E191,FC$442:FF$453,4,FALSE)*FC191*($K191)+(FC191-FD191-FE191)*(1-$K191)</f>
        <v>0</v>
      </c>
      <c r="FG191" s="1074"/>
      <c r="FK191" s="1146">
        <f>FK465</f>
        <v>882712895.70983398</v>
      </c>
      <c r="FL191" s="1118">
        <f>VLOOKUP($E191,FK$442:FN$453,2,FALSE)*FK191*($K191)+IF($G191&lt;&gt;0,($H191/$G191)*FK191,0)*(1-$K191)</f>
        <v>882712895.70983398</v>
      </c>
      <c r="FM191" s="1118">
        <f>VLOOKUP($E191,FK$442:FN$453,3,FALSE)*FK191*($K191)+IF($G191&lt;&gt;0,($I191/$G191)*FK191,0)*(1-$K191)</f>
        <v>0</v>
      </c>
      <c r="FN191" s="1118">
        <f>VLOOKUP($E191,FK$442:FN$453,4,FALSE)*FK191*($K191)+(FK191-FL191-FM191)*(1-$K191)</f>
        <v>0</v>
      </c>
      <c r="FO191" s="1074"/>
    </row>
    <row r="192" spans="1:171" x14ac:dyDescent="0.25">
      <c r="A192" s="1442">
        <v>810</v>
      </c>
      <c r="B192" s="914" t="s">
        <v>455</v>
      </c>
      <c r="C192" s="889" t="s">
        <v>72</v>
      </c>
      <c r="D192" s="889">
        <v>556</v>
      </c>
      <c r="E192" s="182" t="str">
        <f>'Sch 3 - Expenses'!E32</f>
        <v>PROD</v>
      </c>
      <c r="F192" s="890"/>
      <c r="G192" s="182">
        <f>'Sch 3 - Expenses'!G32</f>
        <v>1404247.5549966942</v>
      </c>
      <c r="H192" s="182">
        <f>'Sch 3 - Expenses'!H32</f>
        <v>1404247.5549966942</v>
      </c>
      <c r="I192" s="182">
        <f>'Sch 3 - Expenses'!I32</f>
        <v>0</v>
      </c>
      <c r="J192" s="1422">
        <f>'Sch 3 - Expenses'!J32</f>
        <v>0</v>
      </c>
      <c r="K192" s="904">
        <f t="shared" si="547"/>
        <v>1</v>
      </c>
      <c r="N192" s="1162">
        <f>VLOOKUP($A192,'New Resources - Group'!$A$4:$Y$133,N$2,FALSE)*N$1</f>
        <v>0</v>
      </c>
      <c r="O192" s="1117">
        <f>$G192+N192</f>
        <v>1404247.5549966942</v>
      </c>
      <c r="P192" s="1118">
        <f>VLOOKUP($E192,O$442:R$453,2,FALSE)*O192*($K192)+IF($G192&lt;&gt;0,($H192/$G192)*O192,0)*(1-$K192)</f>
        <v>1404247.5549966942</v>
      </c>
      <c r="Q192" s="1118">
        <f>VLOOKUP($E192,O$442:R$453,3,FALSE)*O192*($K192)+IF($G192&lt;&gt;0,($I192/$G192)*O192,0)*(1-$K192)</f>
        <v>0</v>
      </c>
      <c r="R192" s="1118">
        <f>VLOOKUP($E192,O$442:R$453,4,FALSE)*O192*($K192)+(O192-P192-Q192)*(1-$K192)</f>
        <v>0</v>
      </c>
      <c r="S192" s="1074"/>
      <c r="V192" s="1162">
        <f>VLOOKUP($A192,'New Resources - Group'!$A$4:$Y$133,V$2,FALSE)*V$1</f>
        <v>0</v>
      </c>
      <c r="W192" s="1117">
        <f>$G192+V192</f>
        <v>1404247.5549966942</v>
      </c>
      <c r="X192" s="1118">
        <f>VLOOKUP($E192,W$442:Z$453,2,FALSE)*W192*($K192)+IF($G192&lt;&gt;0,($H192/$G192)*W192,0)*(1-$K192)</f>
        <v>1404247.5549966942</v>
      </c>
      <c r="Y192" s="1118">
        <f>VLOOKUP($E192,W$442:Z$453,3,FALSE)*W192*($K192)+IF($G192&lt;&gt;0,($I192/$G192)*W192,0)*(1-$K192)</f>
        <v>0</v>
      </c>
      <c r="Z192" s="1118">
        <f>VLOOKUP($E192,W$442:Z$453,4,FALSE)*W192*($K192)+(W192-X192-Y192)*(1-$K192)</f>
        <v>0</v>
      </c>
      <c r="AA192" s="1074"/>
      <c r="AD192" s="1162">
        <f>VLOOKUP($A192,'New Resources - Group'!$A$4:$Y$133,AD$2,FALSE)*AD$1</f>
        <v>0</v>
      </c>
      <c r="AE192" s="1117">
        <f>$G192+AD192</f>
        <v>1404247.5549966942</v>
      </c>
      <c r="AF192" s="1118">
        <f>VLOOKUP($E192,AE$442:AH$453,2,FALSE)*AE192*($K192)+IF($G192&lt;&gt;0,($H192/$G192)*AE192,0)*(1-$K192)</f>
        <v>1404247.5549966942</v>
      </c>
      <c r="AG192" s="1118">
        <f>VLOOKUP($E192,AE$442:AH$453,3,FALSE)*AE192*($K192)+IF($G192&lt;&gt;0,($I192/$G192)*AE192,0)*(1-$K192)</f>
        <v>0</v>
      </c>
      <c r="AH192" s="1118">
        <f>VLOOKUP($E192,AE$442:AH$453,4,FALSE)*AE192*($K192)+(AE192-AF192-AG192)*(1-$K192)</f>
        <v>0</v>
      </c>
      <c r="AI192" s="1074"/>
      <c r="AL192" s="1162">
        <f>VLOOKUP($A192,'New Resources - Group'!$A$4:$Y$133,AL$2,FALSE)*AL$1</f>
        <v>0</v>
      </c>
      <c r="AM192" s="1117">
        <f>$G192+AL192</f>
        <v>1404247.5549966942</v>
      </c>
      <c r="AN192" s="1118">
        <f>VLOOKUP($E192,AM$442:AP$453,2,FALSE)*AM192*($K192)+IF($G192&lt;&gt;0,($H192/$G192)*AM192,0)*(1-$K192)</f>
        <v>1404247.5549966942</v>
      </c>
      <c r="AO192" s="1118">
        <f>VLOOKUP($E192,AM$442:AP$453,3,FALSE)*AM192*($K192)+IF($G192&lt;&gt;0,($I192/$G192)*AM192,0)*(1-$K192)</f>
        <v>0</v>
      </c>
      <c r="AP192" s="1118">
        <f>VLOOKUP($E192,AM$442:AP$453,4,FALSE)*AM192*($K192)+(AM192-AN192-AO192)*(1-$K192)</f>
        <v>0</v>
      </c>
      <c r="AQ192" s="1074"/>
      <c r="AT192" s="1162">
        <f>VLOOKUP($A192,'New Resources - Group'!$A$4:$Y$133,AT$2,FALSE)*AT$1</f>
        <v>0</v>
      </c>
      <c r="AU192" s="1117">
        <f>$G192+AT192</f>
        <v>1404247.5549966942</v>
      </c>
      <c r="AV192" s="1118">
        <f>VLOOKUP($E192,AU$442:AX$453,2,FALSE)*AU192*($K192)+IF($G192&lt;&gt;0,($H192/$G192)*AU192,0)*(1-$K192)</f>
        <v>1404247.5549966942</v>
      </c>
      <c r="AW192" s="1118">
        <f>VLOOKUP($E192,AU$442:AX$453,3,FALSE)*AU192*($K192)+IF($G192&lt;&gt;0,($I192/$G192)*AU192,0)*(1-$K192)</f>
        <v>0</v>
      </c>
      <c r="AX192" s="1118">
        <f>VLOOKUP($E192,AU$442:AX$453,4,FALSE)*AU192*($K192)+(AU192-AV192-AW192)*(1-$K192)</f>
        <v>0</v>
      </c>
      <c r="AY192" s="1074"/>
      <c r="BB192" s="1162">
        <f>VLOOKUP($A192,'New Resources - Group'!$A$4:$Y$133,BB$2,FALSE)*BB$1</f>
        <v>0</v>
      </c>
      <c r="BC192" s="1117">
        <f>$G192+BB192</f>
        <v>1404247.5549966942</v>
      </c>
      <c r="BD192" s="1118">
        <f>VLOOKUP($E192,BC$442:BF$453,2,FALSE)*BC192*($K192)+IF($G192&lt;&gt;0,($H192/$G192)*BC192,0)*(1-$K192)</f>
        <v>1404247.5549966942</v>
      </c>
      <c r="BE192" s="1118">
        <f>VLOOKUP($E192,BC$442:BF$453,3,FALSE)*BC192*($K192)+IF($G192&lt;&gt;0,($I192/$G192)*BC192,0)*(1-$K192)</f>
        <v>0</v>
      </c>
      <c r="BF192" s="1118">
        <f>VLOOKUP($E192,BC$442:BF$453,4,FALSE)*BC192*($K192)+(BC192-BD192-BE192)*(1-$K192)</f>
        <v>0</v>
      </c>
      <c r="BG192" s="1074"/>
      <c r="BJ192" s="1162">
        <f>VLOOKUP($A192,'New Resources - Group'!$A$4:$Y$133,BJ$2,FALSE)*BJ$1</f>
        <v>0</v>
      </c>
      <c r="BK192" s="1117">
        <f>$G192+BJ192</f>
        <v>1404247.5549966942</v>
      </c>
      <c r="BL192" s="1118">
        <f>VLOOKUP($E192,BK$442:BN$453,2,FALSE)*BK192*($K192)+IF($G192&lt;&gt;0,($H192/$G192)*BK192,0)*(1-$K192)</f>
        <v>1404247.5549966942</v>
      </c>
      <c r="BM192" s="1118">
        <f>VLOOKUP($E192,BK$442:BN$453,3,FALSE)*BK192*($K192)+IF($G192&lt;&gt;0,($I192/$G192)*BK192,0)*(1-$K192)</f>
        <v>0</v>
      </c>
      <c r="BN192" s="1118">
        <f>VLOOKUP($E192,BK$442:BN$453,4,FALSE)*BK192*($K192)+(BK192-BL192-BM192)*(1-$K192)</f>
        <v>0</v>
      </c>
      <c r="BO192" s="1074"/>
      <c r="BR192" s="1162">
        <f>VLOOKUP($A192,'New Resources - Group'!$A$4:$Y$133,BR$2,FALSE)*BR$1</f>
        <v>0</v>
      </c>
      <c r="BS192" s="1117">
        <f>$G192+BR192</f>
        <v>1404247.5549966942</v>
      </c>
      <c r="BT192" s="1118">
        <f>VLOOKUP($E192,BS$442:BV$453,2,FALSE)*BS192*($K192)+IF($G192&lt;&gt;0,($H192/$G192)*BS192,0)*(1-$K192)</f>
        <v>1404247.5549966942</v>
      </c>
      <c r="BU192" s="1118">
        <f>VLOOKUP($E192,BS$442:BV$453,3,FALSE)*BS192*($K192)+IF($G192&lt;&gt;0,($I192/$G192)*BS192,0)*(1-$K192)</f>
        <v>0</v>
      </c>
      <c r="BV192" s="1118">
        <f>VLOOKUP($E192,BS$442:BV$453,4,FALSE)*BS192*($K192)+(BS192-BT192-BU192)*(1-$K192)</f>
        <v>0</v>
      </c>
      <c r="BW192" s="1074"/>
      <c r="BZ192" s="1162">
        <f>VLOOKUP($A192,'New Resources - Group'!$A$4:$Y$133,BZ$2,FALSE)*BZ$1</f>
        <v>0</v>
      </c>
      <c r="CA192" s="1117">
        <f>$G192+BZ192</f>
        <v>1404247.5549966942</v>
      </c>
      <c r="CB192" s="1118">
        <f>VLOOKUP($E192,CA$442:CD$453,2,FALSE)*CA192*($K192)+IF($G192&lt;&gt;0,($H192/$G192)*CA192,0)*(1-$K192)</f>
        <v>1404247.5549966942</v>
      </c>
      <c r="CC192" s="1118">
        <f>VLOOKUP($E192,CA$442:CD$453,3,FALSE)*CA192*($K192)+IF($G192&lt;&gt;0,($I192/$G192)*CA192,0)*(1-$K192)</f>
        <v>0</v>
      </c>
      <c r="CD192" s="1118">
        <f>VLOOKUP($E192,CA$442:CD$453,4,FALSE)*CA192*($K192)+(CA192-CB192-CC192)*(1-$K192)</f>
        <v>0</v>
      </c>
      <c r="CE192" s="1074"/>
      <c r="CH192" s="1162">
        <f>VLOOKUP($A192,'New Resources - Group'!$A$4:$Y$133,CH$2,FALSE)*CH$1</f>
        <v>0</v>
      </c>
      <c r="CI192" s="1117">
        <f>$G192+CH192</f>
        <v>1404247.5549966942</v>
      </c>
      <c r="CJ192" s="1118">
        <f>VLOOKUP($E192,CI$442:CL$453,2,FALSE)*CI192*($K192)+IF($G192&lt;&gt;0,($H192/$G192)*CI192,0)*(1-$K192)</f>
        <v>1404247.5549966942</v>
      </c>
      <c r="CK192" s="1118">
        <f>VLOOKUP($E192,CI$442:CL$453,3,FALSE)*CI192*($K192)+IF($G192&lt;&gt;0,($I192/$G192)*CI192,0)*(1-$K192)</f>
        <v>0</v>
      </c>
      <c r="CL192" s="1118">
        <f>VLOOKUP($E192,CI$442:CL$453,4,FALSE)*CI192*($K192)+(CI192-CJ192-CK192)*(1-$K192)</f>
        <v>0</v>
      </c>
      <c r="CM192" s="1074"/>
      <c r="CP192" s="1162">
        <f>VLOOKUP($A192,'New Resources - Group'!$A$4:$Y$133,CP$2,FALSE)*CP$1</f>
        <v>0</v>
      </c>
      <c r="CQ192" s="1117">
        <f>$G192+CP192</f>
        <v>1404247.5549966942</v>
      </c>
      <c r="CR192" s="1118">
        <f>VLOOKUP($E192,CQ$442:CT$453,2,FALSE)*CQ192*($K192)+IF($G192&lt;&gt;0,($H192/$G192)*CQ192,0)*(1-$K192)</f>
        <v>1404247.5549966942</v>
      </c>
      <c r="CS192" s="1118">
        <f>VLOOKUP($E192,CQ$442:CT$453,3,FALSE)*CQ192*($K192)+IF($G192&lt;&gt;0,($I192/$G192)*CQ192,0)*(1-$K192)</f>
        <v>0</v>
      </c>
      <c r="CT192" s="1118">
        <f>VLOOKUP($E192,CQ$442:CT$453,4,FALSE)*CQ192*($K192)+(CQ192-CR192-CS192)*(1-$K192)</f>
        <v>0</v>
      </c>
      <c r="CU192" s="1074"/>
      <c r="CX192" s="1162">
        <f>VLOOKUP($A192,'New Resources - Group'!$A$4:$Y$133,CX$2,FALSE)*CX$1</f>
        <v>0</v>
      </c>
      <c r="CY192" s="1117">
        <f>$G192+CX192</f>
        <v>1404247.5549966942</v>
      </c>
      <c r="CZ192" s="1118">
        <f>VLOOKUP($E192,CY$442:DB$453,2,FALSE)*CY192*($K192)+IF($G192&lt;&gt;0,($H192/$G192)*CY192,0)*(1-$K192)</f>
        <v>1404247.5549966942</v>
      </c>
      <c r="DA192" s="1118">
        <f>VLOOKUP($E192,CY$442:DB$453,3,FALSE)*CY192*($K192)+IF($G192&lt;&gt;0,($I192/$G192)*CY192,0)*(1-$K192)</f>
        <v>0</v>
      </c>
      <c r="DB192" s="1118">
        <f>VLOOKUP($E192,CY$442:DB$453,4,FALSE)*CY192*($K192)+(CY192-CZ192-DA192)*(1-$K192)</f>
        <v>0</v>
      </c>
      <c r="DC192" s="1074"/>
      <c r="DF192" s="1162">
        <f>VLOOKUP($A192,'New Resources - Group'!$A$4:$Y$133,DF$2,FALSE)*DF$1</f>
        <v>0</v>
      </c>
      <c r="DG192" s="1117">
        <f>$G192+DF192</f>
        <v>1404247.5549966942</v>
      </c>
      <c r="DH192" s="1118">
        <f>VLOOKUP($E192,DG$442:DJ$453,2,FALSE)*DG192*($K192)+IF($G192&lt;&gt;0,($H192/$G192)*DG192,0)*(1-$K192)</f>
        <v>1404247.5549966942</v>
      </c>
      <c r="DI192" s="1118">
        <f>VLOOKUP($E192,DG$442:DJ$453,3,FALSE)*DG192*($K192)+IF($G192&lt;&gt;0,($I192/$G192)*DG192,0)*(1-$K192)</f>
        <v>0</v>
      </c>
      <c r="DJ192" s="1118">
        <f>VLOOKUP($E192,DG$442:DJ$453,4,FALSE)*DG192*($K192)+(DG192-DH192-DI192)*(1-$K192)</f>
        <v>0</v>
      </c>
      <c r="DK192" s="1074"/>
      <c r="DN192" s="1162">
        <f>VLOOKUP($A192,'New Resources - Group'!$A$4:$Y$133,DN$2,FALSE)*DN$1</f>
        <v>0</v>
      </c>
      <c r="DO192" s="1117">
        <f>$G192+DN192</f>
        <v>1404247.5549966942</v>
      </c>
      <c r="DP192" s="1118">
        <f>VLOOKUP($E192,DO$442:DR$453,2,FALSE)*DO192*($K192)+IF($G192&lt;&gt;0,($H192/$G192)*DO192,0)*(1-$K192)</f>
        <v>1404247.5549966942</v>
      </c>
      <c r="DQ192" s="1118">
        <f>VLOOKUP($E192,DO$442:DR$453,3,FALSE)*DO192*($K192)+IF($G192&lt;&gt;0,($I192/$G192)*DO192,0)*(1-$K192)</f>
        <v>0</v>
      </c>
      <c r="DR192" s="1118">
        <f>VLOOKUP($E192,DO$442:DR$453,4,FALSE)*DO192*($K192)+(DO192-DP192-DQ192)*(1-$K192)</f>
        <v>0</v>
      </c>
      <c r="DS192" s="1074"/>
      <c r="DV192" s="1162">
        <f>VLOOKUP($A192,'New Resources - Group'!$A$4:$Y$133,DV$2,FALSE)*DV$1</f>
        <v>0</v>
      </c>
      <c r="DW192" s="1117">
        <f>$G192+DV192</f>
        <v>1404247.5549966942</v>
      </c>
      <c r="DX192" s="1118">
        <f>VLOOKUP($E192,DW$442:DZ$453,2,FALSE)*DW192*($K192)+IF($G192&lt;&gt;0,($H192/$G192)*DW192,0)*(1-$K192)</f>
        <v>1404247.5549966942</v>
      </c>
      <c r="DY192" s="1118">
        <f>VLOOKUP($E192,DW$442:DZ$453,3,FALSE)*DW192*($K192)+IF($G192&lt;&gt;0,($I192/$G192)*DW192,0)*(1-$K192)</f>
        <v>0</v>
      </c>
      <c r="DZ192" s="1118">
        <f>VLOOKUP($E192,DW$442:DZ$453,4,FALSE)*DW192*($K192)+(DW192-DX192-DY192)*(1-$K192)</f>
        <v>0</v>
      </c>
      <c r="EA192" s="1074"/>
      <c r="ED192" s="1162">
        <f>VLOOKUP($A192,'New Resources - Group'!$A$4:$Y$133,ED$2,FALSE)*ED$1</f>
        <v>0</v>
      </c>
      <c r="EE192" s="1117">
        <f>$G192+ED192</f>
        <v>1404247.5549966942</v>
      </c>
      <c r="EF192" s="1118">
        <f>VLOOKUP($E192,EE$442:EH$453,2,FALSE)*EE192*($K192)+IF($G192&lt;&gt;0,($H192/$G192)*EE192,0)*(1-$K192)</f>
        <v>1404247.5549966942</v>
      </c>
      <c r="EG192" s="1118">
        <f>VLOOKUP($E192,EE$442:EH$453,3,FALSE)*EE192*($K192)+IF($G192&lt;&gt;0,($I192/$G192)*EE192,0)*(1-$K192)</f>
        <v>0</v>
      </c>
      <c r="EH192" s="1118">
        <f>VLOOKUP($E192,EE$442:EH$453,4,FALSE)*EE192*($K192)+(EE192-EF192-EG192)*(1-$K192)</f>
        <v>0</v>
      </c>
      <c r="EI192" s="1074"/>
      <c r="EL192" s="1162">
        <f>VLOOKUP($A192,'New Resources - Group'!$A$4:$Y$133,EL$2,FALSE)*EL$1</f>
        <v>0</v>
      </c>
      <c r="EM192" s="1117">
        <f>$G192+EL192</f>
        <v>1404247.5549966942</v>
      </c>
      <c r="EN192" s="1118">
        <f>VLOOKUP($E192,EM$442:EP$453,2,FALSE)*EM192*($K192)+IF($G192&lt;&gt;0,($H192/$G192)*EM192,0)*(1-$K192)</f>
        <v>1404247.5549966942</v>
      </c>
      <c r="EO192" s="1118">
        <f>VLOOKUP($E192,EM$442:EP$453,3,FALSE)*EM192*($K192)+IF($G192&lt;&gt;0,($I192/$G192)*EM192,0)*(1-$K192)</f>
        <v>0</v>
      </c>
      <c r="EP192" s="1118">
        <f>VLOOKUP($E192,EM$442:EP$453,4,FALSE)*EM192*($K192)+(EM192-EN192-EO192)*(1-$K192)</f>
        <v>0</v>
      </c>
      <c r="EQ192" s="1074"/>
      <c r="ET192" s="1162">
        <f>VLOOKUP($A192,'New Resources - Group'!$A$4:$Y$133,ET$2,FALSE)*ET$1</f>
        <v>0</v>
      </c>
      <c r="EU192" s="1117">
        <f>$G192+ET192</f>
        <v>1404247.5549966942</v>
      </c>
      <c r="EV192" s="1118">
        <f>VLOOKUP($E192,EU$442:EX$453,2,FALSE)*EU192*($K192)+IF($G192&lt;&gt;0,($H192/$G192)*EU192,0)*(1-$K192)</f>
        <v>1404247.5549966942</v>
      </c>
      <c r="EW192" s="1118">
        <f>VLOOKUP($E192,EU$442:EX$453,3,FALSE)*EU192*($K192)+IF($G192&lt;&gt;0,($I192/$G192)*EU192,0)*(1-$K192)</f>
        <v>0</v>
      </c>
      <c r="EX192" s="1118">
        <f>VLOOKUP($E192,EU$442:EX$453,4,FALSE)*EU192*($K192)+(EU192-EV192-EW192)*(1-$K192)</f>
        <v>0</v>
      </c>
      <c r="EY192" s="1074"/>
      <c r="FB192" s="1162">
        <f>VLOOKUP($A192,'New Resources - Group'!$A$4:$Y$133,FB$2,FALSE)*FB$1</f>
        <v>0</v>
      </c>
      <c r="FC192" s="1117">
        <f>$G192+FB192</f>
        <v>1404247.5549966942</v>
      </c>
      <c r="FD192" s="1118">
        <f>VLOOKUP($E192,FC$442:FF$453,2,FALSE)*FC192*($K192)+IF($G192&lt;&gt;0,($H192/$G192)*FC192,0)*(1-$K192)</f>
        <v>1404247.5549966942</v>
      </c>
      <c r="FE192" s="1118">
        <f>VLOOKUP($E192,FC$442:FF$453,3,FALSE)*FC192*($K192)+IF($G192&lt;&gt;0,($I192/$G192)*FC192,0)*(1-$K192)</f>
        <v>0</v>
      </c>
      <c r="FF192" s="1118">
        <f>VLOOKUP($E192,FC$442:FF$453,4,FALSE)*FC192*($K192)+(FC192-FD192-FE192)*(1-$K192)</f>
        <v>0</v>
      </c>
      <c r="FG192" s="1074"/>
      <c r="FJ192" s="1162">
        <f>VLOOKUP($A192,'New Resources - Group'!$A$4:$Y$133,FJ$2,FALSE)*FJ$1</f>
        <v>0</v>
      </c>
      <c r="FK192" s="1117">
        <f>$G192+FJ192</f>
        <v>1404247.5549966942</v>
      </c>
      <c r="FL192" s="1118">
        <f>VLOOKUP($E192,FK$442:FN$453,2,FALSE)*FK192*($K192)+IF($G192&lt;&gt;0,($H192/$G192)*FK192,0)*(1-$K192)</f>
        <v>1404247.5549966942</v>
      </c>
      <c r="FM192" s="1118">
        <f>VLOOKUP($E192,FK$442:FN$453,3,FALSE)*FK192*($K192)+IF($G192&lt;&gt;0,($I192/$G192)*FK192,0)*(1-$K192)</f>
        <v>0</v>
      </c>
      <c r="FN192" s="1118">
        <f>VLOOKUP($E192,FK$442:FN$453,4,FALSE)*FK192*($K192)+(FK192-FL192-FM192)*(1-$K192)</f>
        <v>0</v>
      </c>
      <c r="FO192" s="1074"/>
    </row>
    <row r="193" spans="1:171" x14ac:dyDescent="0.25">
      <c r="A193" s="1442">
        <v>820</v>
      </c>
      <c r="B193" s="914" t="s">
        <v>267</v>
      </c>
      <c r="C193" s="889" t="s">
        <v>72</v>
      </c>
      <c r="D193" s="889">
        <v>557</v>
      </c>
      <c r="E193" s="182" t="str">
        <f>'Sch 3 - Expenses'!E33</f>
        <v>PROD</v>
      </c>
      <c r="F193" s="890"/>
      <c r="G193" s="182">
        <f>'Sch 3 - Expenses'!G33</f>
        <v>27307851.333301872</v>
      </c>
      <c r="H193" s="182">
        <f>'Sch 3 - Expenses'!H33</f>
        <v>27307851.333301872</v>
      </c>
      <c r="I193" s="182">
        <f>'Sch 3 - Expenses'!I33</f>
        <v>0</v>
      </c>
      <c r="J193" s="1422">
        <f>'Sch 3 - Expenses'!J33</f>
        <v>0</v>
      </c>
      <c r="K193" s="904">
        <f t="shared" si="547"/>
        <v>1</v>
      </c>
      <c r="N193" s="1162">
        <f>VLOOKUP($A193,'New Resources - Group'!$A$4:$Y$133,N$2,FALSE)*N$1</f>
        <v>0</v>
      </c>
      <c r="O193" s="1117">
        <f>$G193+N193</f>
        <v>27307851.333301872</v>
      </c>
      <c r="P193" s="1118">
        <f>VLOOKUP($E193,O$442:R$453,2,FALSE)*O193*($K193)+IF($G193&lt;&gt;0,($H193/$G193)*O193,0)*(1-$K193)</f>
        <v>27307851.333301872</v>
      </c>
      <c r="Q193" s="1118">
        <f>VLOOKUP($E193,O$442:R$453,3,FALSE)*O193*($K193)+IF($G193&lt;&gt;0,($I193/$G193)*O193,0)*(1-$K193)</f>
        <v>0</v>
      </c>
      <c r="R193" s="1118">
        <f>VLOOKUP($E193,O$442:R$453,4,FALSE)*O193*($K193)+(O193-P193-Q193)*(1-$K193)</f>
        <v>0</v>
      </c>
      <c r="S193" s="1074"/>
      <c r="V193" s="1162">
        <f>VLOOKUP($A193,'New Resources - Group'!$A$4:$Y$133,V$2,FALSE)*V$1</f>
        <v>0</v>
      </c>
      <c r="W193" s="1117">
        <f>$G193+V193</f>
        <v>27307851.333301872</v>
      </c>
      <c r="X193" s="1118">
        <f>VLOOKUP($E193,W$442:Z$453,2,FALSE)*W193*($K193)+IF($G193&lt;&gt;0,($H193/$G193)*W193,0)*(1-$K193)</f>
        <v>27307851.333301872</v>
      </c>
      <c r="Y193" s="1118">
        <f>VLOOKUP($E193,W$442:Z$453,3,FALSE)*W193*($K193)+IF($G193&lt;&gt;0,($I193/$G193)*W193,0)*(1-$K193)</f>
        <v>0</v>
      </c>
      <c r="Z193" s="1118">
        <f>VLOOKUP($E193,W$442:Z$453,4,FALSE)*W193*($K193)+(W193-X193-Y193)*(1-$K193)</f>
        <v>0</v>
      </c>
      <c r="AA193" s="1074"/>
      <c r="AD193" s="1162">
        <f>VLOOKUP($A193,'New Resources - Group'!$A$4:$Y$133,AD$2,FALSE)*AD$1</f>
        <v>0</v>
      </c>
      <c r="AE193" s="1117">
        <f>$G193+AD193</f>
        <v>27307851.333301872</v>
      </c>
      <c r="AF193" s="1118">
        <f>VLOOKUP($E193,AE$442:AH$453,2,FALSE)*AE193*($K193)+IF($G193&lt;&gt;0,($H193/$G193)*AE193,0)*(1-$K193)</f>
        <v>27307851.333301872</v>
      </c>
      <c r="AG193" s="1118">
        <f>VLOOKUP($E193,AE$442:AH$453,3,FALSE)*AE193*($K193)+IF($G193&lt;&gt;0,($I193/$G193)*AE193,0)*(1-$K193)</f>
        <v>0</v>
      </c>
      <c r="AH193" s="1118">
        <f>VLOOKUP($E193,AE$442:AH$453,4,FALSE)*AE193*($K193)+(AE193-AF193-AG193)*(1-$K193)</f>
        <v>0</v>
      </c>
      <c r="AI193" s="1074"/>
      <c r="AL193" s="1162">
        <f>VLOOKUP($A193,'New Resources - Group'!$A$4:$Y$133,AL$2,FALSE)*AL$1</f>
        <v>0</v>
      </c>
      <c r="AM193" s="1117">
        <f>$G193+AL193</f>
        <v>27307851.333301872</v>
      </c>
      <c r="AN193" s="1118">
        <f>VLOOKUP($E193,AM$442:AP$453,2,FALSE)*AM193*($K193)+IF($G193&lt;&gt;0,($H193/$G193)*AM193,0)*(1-$K193)</f>
        <v>27307851.333301872</v>
      </c>
      <c r="AO193" s="1118">
        <f>VLOOKUP($E193,AM$442:AP$453,3,FALSE)*AM193*($K193)+IF($G193&lt;&gt;0,($I193/$G193)*AM193,0)*(1-$K193)</f>
        <v>0</v>
      </c>
      <c r="AP193" s="1118">
        <f>VLOOKUP($E193,AM$442:AP$453,4,FALSE)*AM193*($K193)+(AM193-AN193-AO193)*(1-$K193)</f>
        <v>0</v>
      </c>
      <c r="AQ193" s="1074"/>
      <c r="AT193" s="1162">
        <f>VLOOKUP($A193,'New Resources - Group'!$A$4:$Y$133,AT$2,FALSE)*AT$1</f>
        <v>0</v>
      </c>
      <c r="AU193" s="1117">
        <f>$G193+AT193</f>
        <v>27307851.333301872</v>
      </c>
      <c r="AV193" s="1118">
        <f>VLOOKUP($E193,AU$442:AX$453,2,FALSE)*AU193*($K193)+IF($G193&lt;&gt;0,($H193/$G193)*AU193,0)*(1-$K193)</f>
        <v>27307851.333301872</v>
      </c>
      <c r="AW193" s="1118">
        <f>VLOOKUP($E193,AU$442:AX$453,3,FALSE)*AU193*($K193)+IF($G193&lt;&gt;0,($I193/$G193)*AU193,0)*(1-$K193)</f>
        <v>0</v>
      </c>
      <c r="AX193" s="1118">
        <f>VLOOKUP($E193,AU$442:AX$453,4,FALSE)*AU193*($K193)+(AU193-AV193-AW193)*(1-$K193)</f>
        <v>0</v>
      </c>
      <c r="AY193" s="1074"/>
      <c r="BB193" s="1162">
        <f>VLOOKUP($A193,'New Resources - Group'!$A$4:$Y$133,BB$2,FALSE)*BB$1</f>
        <v>0</v>
      </c>
      <c r="BC193" s="1117">
        <f>$G193+BB193</f>
        <v>27307851.333301872</v>
      </c>
      <c r="BD193" s="1118">
        <f>VLOOKUP($E193,BC$442:BF$453,2,FALSE)*BC193*($K193)+IF($G193&lt;&gt;0,($H193/$G193)*BC193,0)*(1-$K193)</f>
        <v>27307851.333301872</v>
      </c>
      <c r="BE193" s="1118">
        <f>VLOOKUP($E193,BC$442:BF$453,3,FALSE)*BC193*($K193)+IF($G193&lt;&gt;0,($I193/$G193)*BC193,0)*(1-$K193)</f>
        <v>0</v>
      </c>
      <c r="BF193" s="1118">
        <f>VLOOKUP($E193,BC$442:BF$453,4,FALSE)*BC193*($K193)+(BC193-BD193-BE193)*(1-$K193)</f>
        <v>0</v>
      </c>
      <c r="BG193" s="1074"/>
      <c r="BJ193" s="1162">
        <f>VLOOKUP($A193,'New Resources - Group'!$A$4:$Y$133,BJ$2,FALSE)*BJ$1</f>
        <v>0</v>
      </c>
      <c r="BK193" s="1117">
        <f>$G193+BJ193</f>
        <v>27307851.333301872</v>
      </c>
      <c r="BL193" s="1118">
        <f>VLOOKUP($E193,BK$442:BN$453,2,FALSE)*BK193*($K193)+IF($G193&lt;&gt;0,($H193/$G193)*BK193,0)*(1-$K193)</f>
        <v>27307851.333301872</v>
      </c>
      <c r="BM193" s="1118">
        <f>VLOOKUP($E193,BK$442:BN$453,3,FALSE)*BK193*($K193)+IF($G193&lt;&gt;0,($I193/$G193)*BK193,0)*(1-$K193)</f>
        <v>0</v>
      </c>
      <c r="BN193" s="1118">
        <f>VLOOKUP($E193,BK$442:BN$453,4,FALSE)*BK193*($K193)+(BK193-BL193-BM193)*(1-$K193)</f>
        <v>0</v>
      </c>
      <c r="BO193" s="1074"/>
      <c r="BR193" s="1162">
        <f>VLOOKUP($A193,'New Resources - Group'!$A$4:$Y$133,BR$2,FALSE)*BR$1</f>
        <v>0</v>
      </c>
      <c r="BS193" s="1117">
        <f>$G193+BR193</f>
        <v>27307851.333301872</v>
      </c>
      <c r="BT193" s="1118">
        <f>VLOOKUP($E193,BS$442:BV$453,2,FALSE)*BS193*($K193)+IF($G193&lt;&gt;0,($H193/$G193)*BS193,0)*(1-$K193)</f>
        <v>27307851.333301872</v>
      </c>
      <c r="BU193" s="1118">
        <f>VLOOKUP($E193,BS$442:BV$453,3,FALSE)*BS193*($K193)+IF($G193&lt;&gt;0,($I193/$G193)*BS193,0)*(1-$K193)</f>
        <v>0</v>
      </c>
      <c r="BV193" s="1118">
        <f>VLOOKUP($E193,BS$442:BV$453,4,FALSE)*BS193*($K193)+(BS193-BT193-BU193)*(1-$K193)</f>
        <v>0</v>
      </c>
      <c r="BW193" s="1074"/>
      <c r="BZ193" s="1162">
        <f>VLOOKUP($A193,'New Resources - Group'!$A$4:$Y$133,BZ$2,FALSE)*BZ$1</f>
        <v>0</v>
      </c>
      <c r="CA193" s="1117">
        <f>$G193+BZ193</f>
        <v>27307851.333301872</v>
      </c>
      <c r="CB193" s="1118">
        <f>VLOOKUP($E193,CA$442:CD$453,2,FALSE)*CA193*($K193)+IF($G193&lt;&gt;0,($H193/$G193)*CA193,0)*(1-$K193)</f>
        <v>27307851.333301872</v>
      </c>
      <c r="CC193" s="1118">
        <f>VLOOKUP($E193,CA$442:CD$453,3,FALSE)*CA193*($K193)+IF($G193&lt;&gt;0,($I193/$G193)*CA193,0)*(1-$K193)</f>
        <v>0</v>
      </c>
      <c r="CD193" s="1118">
        <f>VLOOKUP($E193,CA$442:CD$453,4,FALSE)*CA193*($K193)+(CA193-CB193-CC193)*(1-$K193)</f>
        <v>0</v>
      </c>
      <c r="CE193" s="1074"/>
      <c r="CH193" s="1162">
        <f>VLOOKUP($A193,'New Resources - Group'!$A$4:$Y$133,CH$2,FALSE)*CH$1</f>
        <v>0</v>
      </c>
      <c r="CI193" s="1117">
        <f>$G193+CH193</f>
        <v>27307851.333301872</v>
      </c>
      <c r="CJ193" s="1118">
        <f>VLOOKUP($E193,CI$442:CL$453,2,FALSE)*CI193*($K193)+IF($G193&lt;&gt;0,($H193/$G193)*CI193,0)*(1-$K193)</f>
        <v>27307851.333301872</v>
      </c>
      <c r="CK193" s="1118">
        <f>VLOOKUP($E193,CI$442:CL$453,3,FALSE)*CI193*($K193)+IF($G193&lt;&gt;0,($I193/$G193)*CI193,0)*(1-$K193)</f>
        <v>0</v>
      </c>
      <c r="CL193" s="1118">
        <f>VLOOKUP($E193,CI$442:CL$453,4,FALSE)*CI193*($K193)+(CI193-CJ193-CK193)*(1-$K193)</f>
        <v>0</v>
      </c>
      <c r="CM193" s="1074"/>
      <c r="CP193" s="1162">
        <f>VLOOKUP($A193,'New Resources - Group'!$A$4:$Y$133,CP$2,FALSE)*CP$1</f>
        <v>0</v>
      </c>
      <c r="CQ193" s="1117">
        <f>$G193+CP193</f>
        <v>27307851.333301872</v>
      </c>
      <c r="CR193" s="1118">
        <f>VLOOKUP($E193,CQ$442:CT$453,2,FALSE)*CQ193*($K193)+IF($G193&lt;&gt;0,($H193/$G193)*CQ193,0)*(1-$K193)</f>
        <v>27307851.333301872</v>
      </c>
      <c r="CS193" s="1118">
        <f>VLOOKUP($E193,CQ$442:CT$453,3,FALSE)*CQ193*($K193)+IF($G193&lt;&gt;0,($I193/$G193)*CQ193,0)*(1-$K193)</f>
        <v>0</v>
      </c>
      <c r="CT193" s="1118">
        <f>VLOOKUP($E193,CQ$442:CT$453,4,FALSE)*CQ193*($K193)+(CQ193-CR193-CS193)*(1-$K193)</f>
        <v>0</v>
      </c>
      <c r="CU193" s="1074"/>
      <c r="CX193" s="1162">
        <f>VLOOKUP($A193,'New Resources - Group'!$A$4:$Y$133,CX$2,FALSE)*CX$1</f>
        <v>0</v>
      </c>
      <c r="CY193" s="1117">
        <f>$G193+CX193</f>
        <v>27307851.333301872</v>
      </c>
      <c r="CZ193" s="1118">
        <f>VLOOKUP($E193,CY$442:DB$453,2,FALSE)*CY193*($K193)+IF($G193&lt;&gt;0,($H193/$G193)*CY193,0)*(1-$K193)</f>
        <v>27307851.333301872</v>
      </c>
      <c r="DA193" s="1118">
        <f>VLOOKUP($E193,CY$442:DB$453,3,FALSE)*CY193*($K193)+IF($G193&lt;&gt;0,($I193/$G193)*CY193,0)*(1-$K193)</f>
        <v>0</v>
      </c>
      <c r="DB193" s="1118">
        <f>VLOOKUP($E193,CY$442:DB$453,4,FALSE)*CY193*($K193)+(CY193-CZ193-DA193)*(1-$K193)</f>
        <v>0</v>
      </c>
      <c r="DC193" s="1074"/>
      <c r="DF193" s="1162">
        <f>VLOOKUP($A193,'New Resources - Group'!$A$4:$Y$133,DF$2,FALSE)*DF$1</f>
        <v>0</v>
      </c>
      <c r="DG193" s="1117">
        <f>$G193+DF193</f>
        <v>27307851.333301872</v>
      </c>
      <c r="DH193" s="1118">
        <f>VLOOKUP($E193,DG$442:DJ$453,2,FALSE)*DG193*($K193)+IF($G193&lt;&gt;0,($H193/$G193)*DG193,0)*(1-$K193)</f>
        <v>27307851.333301872</v>
      </c>
      <c r="DI193" s="1118">
        <f>VLOOKUP($E193,DG$442:DJ$453,3,FALSE)*DG193*($K193)+IF($G193&lt;&gt;0,($I193/$G193)*DG193,0)*(1-$K193)</f>
        <v>0</v>
      </c>
      <c r="DJ193" s="1118">
        <f>VLOOKUP($E193,DG$442:DJ$453,4,FALSE)*DG193*($K193)+(DG193-DH193-DI193)*(1-$K193)</f>
        <v>0</v>
      </c>
      <c r="DK193" s="1074"/>
      <c r="DN193" s="1162">
        <f>VLOOKUP($A193,'New Resources - Group'!$A$4:$Y$133,DN$2,FALSE)*DN$1</f>
        <v>0</v>
      </c>
      <c r="DO193" s="1117">
        <f>$G193+DN193</f>
        <v>27307851.333301872</v>
      </c>
      <c r="DP193" s="1118">
        <f>VLOOKUP($E193,DO$442:DR$453,2,FALSE)*DO193*($K193)+IF($G193&lt;&gt;0,($H193/$G193)*DO193,0)*(1-$K193)</f>
        <v>27307851.333301872</v>
      </c>
      <c r="DQ193" s="1118">
        <f>VLOOKUP($E193,DO$442:DR$453,3,FALSE)*DO193*($K193)+IF($G193&lt;&gt;0,($I193/$G193)*DO193,0)*(1-$K193)</f>
        <v>0</v>
      </c>
      <c r="DR193" s="1118">
        <f>VLOOKUP($E193,DO$442:DR$453,4,FALSE)*DO193*($K193)+(DO193-DP193-DQ193)*(1-$K193)</f>
        <v>0</v>
      </c>
      <c r="DS193" s="1074"/>
      <c r="DV193" s="1162">
        <f>VLOOKUP($A193,'New Resources - Group'!$A$4:$Y$133,DV$2,FALSE)*DV$1</f>
        <v>0</v>
      </c>
      <c r="DW193" s="1117">
        <f>$G193+DV193</f>
        <v>27307851.333301872</v>
      </c>
      <c r="DX193" s="1118">
        <f>VLOOKUP($E193,DW$442:DZ$453,2,FALSE)*DW193*($K193)+IF($G193&lt;&gt;0,($H193/$G193)*DW193,0)*(1-$K193)</f>
        <v>27307851.333301872</v>
      </c>
      <c r="DY193" s="1118">
        <f>VLOOKUP($E193,DW$442:DZ$453,3,FALSE)*DW193*($K193)+IF($G193&lt;&gt;0,($I193/$G193)*DW193,0)*(1-$K193)</f>
        <v>0</v>
      </c>
      <c r="DZ193" s="1118">
        <f>VLOOKUP($E193,DW$442:DZ$453,4,FALSE)*DW193*($K193)+(DW193-DX193-DY193)*(1-$K193)</f>
        <v>0</v>
      </c>
      <c r="EA193" s="1074"/>
      <c r="ED193" s="1162">
        <f>VLOOKUP($A193,'New Resources - Group'!$A$4:$Y$133,ED$2,FALSE)*ED$1</f>
        <v>0</v>
      </c>
      <c r="EE193" s="1117">
        <f>$G193+ED193</f>
        <v>27307851.333301872</v>
      </c>
      <c r="EF193" s="1118">
        <f>VLOOKUP($E193,EE$442:EH$453,2,FALSE)*EE193*($K193)+IF($G193&lt;&gt;0,($H193/$G193)*EE193,0)*(1-$K193)</f>
        <v>27307851.333301872</v>
      </c>
      <c r="EG193" s="1118">
        <f>VLOOKUP($E193,EE$442:EH$453,3,FALSE)*EE193*($K193)+IF($G193&lt;&gt;0,($I193/$G193)*EE193,0)*(1-$K193)</f>
        <v>0</v>
      </c>
      <c r="EH193" s="1118">
        <f>VLOOKUP($E193,EE$442:EH$453,4,FALSE)*EE193*($K193)+(EE193-EF193-EG193)*(1-$K193)</f>
        <v>0</v>
      </c>
      <c r="EI193" s="1074"/>
      <c r="EL193" s="1162">
        <f>VLOOKUP($A193,'New Resources - Group'!$A$4:$Y$133,EL$2,FALSE)*EL$1</f>
        <v>0</v>
      </c>
      <c r="EM193" s="1117">
        <f>$G193+EL193</f>
        <v>27307851.333301872</v>
      </c>
      <c r="EN193" s="1118">
        <f>VLOOKUP($E193,EM$442:EP$453,2,FALSE)*EM193*($K193)+IF($G193&lt;&gt;0,($H193/$G193)*EM193,0)*(1-$K193)</f>
        <v>27307851.333301872</v>
      </c>
      <c r="EO193" s="1118">
        <f>VLOOKUP($E193,EM$442:EP$453,3,FALSE)*EM193*($K193)+IF($G193&lt;&gt;0,($I193/$G193)*EM193,0)*(1-$K193)</f>
        <v>0</v>
      </c>
      <c r="EP193" s="1118">
        <f>VLOOKUP($E193,EM$442:EP$453,4,FALSE)*EM193*($K193)+(EM193-EN193-EO193)*(1-$K193)</f>
        <v>0</v>
      </c>
      <c r="EQ193" s="1074"/>
      <c r="ET193" s="1162">
        <f>VLOOKUP($A193,'New Resources - Group'!$A$4:$Y$133,ET$2,FALSE)*ET$1</f>
        <v>0</v>
      </c>
      <c r="EU193" s="1117">
        <f>$G193+ET193</f>
        <v>27307851.333301872</v>
      </c>
      <c r="EV193" s="1118">
        <f>VLOOKUP($E193,EU$442:EX$453,2,FALSE)*EU193*($K193)+IF($G193&lt;&gt;0,($H193/$G193)*EU193,0)*(1-$K193)</f>
        <v>27307851.333301872</v>
      </c>
      <c r="EW193" s="1118">
        <f>VLOOKUP($E193,EU$442:EX$453,3,FALSE)*EU193*($K193)+IF($G193&lt;&gt;0,($I193/$G193)*EU193,0)*(1-$K193)</f>
        <v>0</v>
      </c>
      <c r="EX193" s="1118">
        <f>VLOOKUP($E193,EU$442:EX$453,4,FALSE)*EU193*($K193)+(EU193-EV193-EW193)*(1-$K193)</f>
        <v>0</v>
      </c>
      <c r="EY193" s="1074"/>
      <c r="FB193" s="1162">
        <f>VLOOKUP($A193,'New Resources - Group'!$A$4:$Y$133,FB$2,FALSE)*FB$1</f>
        <v>0</v>
      </c>
      <c r="FC193" s="1117">
        <f>$G193+FB193</f>
        <v>27307851.333301872</v>
      </c>
      <c r="FD193" s="1118">
        <f>VLOOKUP($E193,FC$442:FF$453,2,FALSE)*FC193*($K193)+IF($G193&lt;&gt;0,($H193/$G193)*FC193,0)*(1-$K193)</f>
        <v>27307851.333301872</v>
      </c>
      <c r="FE193" s="1118">
        <f>VLOOKUP($E193,FC$442:FF$453,3,FALSE)*FC193*($K193)+IF($G193&lt;&gt;0,($I193/$G193)*FC193,0)*(1-$K193)</f>
        <v>0</v>
      </c>
      <c r="FF193" s="1118">
        <f>VLOOKUP($E193,FC$442:FF$453,4,FALSE)*FC193*($K193)+(FC193-FD193-FE193)*(1-$K193)</f>
        <v>0</v>
      </c>
      <c r="FG193" s="1074"/>
      <c r="FJ193" s="1162">
        <f>VLOOKUP($A193,'New Resources - Group'!$A$4:$Y$133,FJ$2,FALSE)*FJ$1</f>
        <v>0</v>
      </c>
      <c r="FK193" s="1117">
        <f>$G193+FJ193</f>
        <v>27307851.333301872</v>
      </c>
      <c r="FL193" s="1118">
        <f>VLOOKUP($E193,FK$442:FN$453,2,FALSE)*FK193*($K193)+IF($G193&lt;&gt;0,($H193/$G193)*FK193,0)*(1-$K193)</f>
        <v>27307851.333301872</v>
      </c>
      <c r="FM193" s="1118">
        <f>VLOOKUP($E193,FK$442:FN$453,3,FALSE)*FK193*($K193)+IF($G193&lt;&gt;0,($I193/$G193)*FK193,0)*(1-$K193)</f>
        <v>0</v>
      </c>
      <c r="FN193" s="1118">
        <f>VLOOKUP($E193,FK$442:FN$453,4,FALSE)*FK193*($K193)+(FK193-FL193-FM193)*(1-$K193)</f>
        <v>0</v>
      </c>
      <c r="FO193" s="1074"/>
    </row>
    <row r="194" spans="1:171" x14ac:dyDescent="0.25">
      <c r="A194" s="1421"/>
      <c r="B194" s="220" t="s">
        <v>52</v>
      </c>
      <c r="C194" s="889">
        <v>327</v>
      </c>
      <c r="D194" s="889">
        <v>555</v>
      </c>
      <c r="E194" s="182" t="str">
        <f>'Sch 3 - Expenses'!E34</f>
        <v>PROD</v>
      </c>
      <c r="F194" s="890"/>
      <c r="G194" s="182">
        <f>'Sch 3 - Expenses'!G34</f>
        <v>0</v>
      </c>
      <c r="H194" s="182">
        <f>'Sch 3 - Expenses'!H34</f>
        <v>0</v>
      </c>
      <c r="I194" s="182">
        <f>'Sch 3 - Expenses'!I34</f>
        <v>0</v>
      </c>
      <c r="J194" s="1422">
        <f>'Sch 3 - Expenses'!J34</f>
        <v>0</v>
      </c>
      <c r="K194" s="904">
        <f t="shared" si="547"/>
        <v>1</v>
      </c>
      <c r="O194" s="1117">
        <f>$G194</f>
        <v>0</v>
      </c>
      <c r="P194" s="1118">
        <f>VLOOKUP($E194,O$442:R$453,2,FALSE)*O194*($K194)+IF($G194&lt;&gt;0,($H194/$G194)*O194,0)*(1-$K194)</f>
        <v>0</v>
      </c>
      <c r="Q194" s="1118">
        <f>VLOOKUP($E194,O$442:R$453,3,FALSE)*O194*($K194)+IF($G194&lt;&gt;0,($I194/$G194)*O194,0)*(1-$K194)</f>
        <v>0</v>
      </c>
      <c r="R194" s="1118">
        <f>VLOOKUP($E194,O$442:R$453,4,FALSE)*O194*($K194)+(O194-P194-Q194)*(1-$K194)</f>
        <v>0</v>
      </c>
      <c r="S194" s="1074"/>
      <c r="W194" s="1117">
        <f>$G194</f>
        <v>0</v>
      </c>
      <c r="X194" s="1118">
        <f>VLOOKUP($E194,W$442:Z$453,2,FALSE)*W194*($K194)+IF($G194&lt;&gt;0,($H194/$G194)*W194,0)*(1-$K194)</f>
        <v>0</v>
      </c>
      <c r="Y194" s="1118">
        <f>VLOOKUP($E194,W$442:Z$453,3,FALSE)*W194*($K194)+IF($G194&lt;&gt;0,($I194/$G194)*W194,0)*(1-$K194)</f>
        <v>0</v>
      </c>
      <c r="Z194" s="1118">
        <f>VLOOKUP($E194,W$442:Z$453,4,FALSE)*W194*($K194)+(W194-X194-Y194)*(1-$K194)</f>
        <v>0</v>
      </c>
      <c r="AA194" s="1074"/>
      <c r="AE194" s="1117">
        <f>$G194</f>
        <v>0</v>
      </c>
      <c r="AF194" s="1118">
        <f>VLOOKUP($E194,AE$442:AH$453,2,FALSE)*AE194*($K194)+IF($G194&lt;&gt;0,($H194/$G194)*AE194,0)*(1-$K194)</f>
        <v>0</v>
      </c>
      <c r="AG194" s="1118">
        <f>VLOOKUP($E194,AE$442:AH$453,3,FALSE)*AE194*($K194)+IF($G194&lt;&gt;0,($I194/$G194)*AE194,0)*(1-$K194)</f>
        <v>0</v>
      </c>
      <c r="AH194" s="1118">
        <f>VLOOKUP($E194,AE$442:AH$453,4,FALSE)*AE194*($K194)+(AE194-AF194-AG194)*(1-$K194)</f>
        <v>0</v>
      </c>
      <c r="AI194" s="1074"/>
      <c r="AM194" s="1117">
        <f>$G194</f>
        <v>0</v>
      </c>
      <c r="AN194" s="1118">
        <f>VLOOKUP($E194,AM$442:AP$453,2,FALSE)*AM194*($K194)+IF($G194&lt;&gt;0,($H194/$G194)*AM194,0)*(1-$K194)</f>
        <v>0</v>
      </c>
      <c r="AO194" s="1118">
        <f>VLOOKUP($E194,AM$442:AP$453,3,FALSE)*AM194*($K194)+IF($G194&lt;&gt;0,($I194/$G194)*AM194,0)*(1-$K194)</f>
        <v>0</v>
      </c>
      <c r="AP194" s="1118">
        <f>VLOOKUP($E194,AM$442:AP$453,4,FALSE)*AM194*($K194)+(AM194-AN194-AO194)*(1-$K194)</f>
        <v>0</v>
      </c>
      <c r="AQ194" s="1074"/>
      <c r="AU194" s="1117">
        <f>$G194</f>
        <v>0</v>
      </c>
      <c r="AV194" s="1118">
        <f>VLOOKUP($E194,AU$442:AX$453,2,FALSE)*AU194*($K194)+IF($G194&lt;&gt;0,($H194/$G194)*AU194,0)*(1-$K194)</f>
        <v>0</v>
      </c>
      <c r="AW194" s="1118">
        <f>VLOOKUP($E194,AU$442:AX$453,3,FALSE)*AU194*($K194)+IF($G194&lt;&gt;0,($I194/$G194)*AU194,0)*(1-$K194)</f>
        <v>0</v>
      </c>
      <c r="AX194" s="1118">
        <f>VLOOKUP($E194,AU$442:AX$453,4,FALSE)*AU194*($K194)+(AU194-AV194-AW194)*(1-$K194)</f>
        <v>0</v>
      </c>
      <c r="AY194" s="1074"/>
      <c r="BC194" s="1117">
        <f>$G194</f>
        <v>0</v>
      </c>
      <c r="BD194" s="1118">
        <f>VLOOKUP($E194,BC$442:BF$453,2,FALSE)*BC194*($K194)+IF($G194&lt;&gt;0,($H194/$G194)*BC194,0)*(1-$K194)</f>
        <v>0</v>
      </c>
      <c r="BE194" s="1118">
        <f>VLOOKUP($E194,BC$442:BF$453,3,FALSE)*BC194*($K194)+IF($G194&lt;&gt;0,($I194/$G194)*BC194,0)*(1-$K194)</f>
        <v>0</v>
      </c>
      <c r="BF194" s="1118">
        <f>VLOOKUP($E194,BC$442:BF$453,4,FALSE)*BC194*($K194)+(BC194-BD194-BE194)*(1-$K194)</f>
        <v>0</v>
      </c>
      <c r="BG194" s="1074"/>
      <c r="BK194" s="1117">
        <f>$G194</f>
        <v>0</v>
      </c>
      <c r="BL194" s="1118">
        <f>VLOOKUP($E194,BK$442:BN$453,2,FALSE)*BK194*($K194)+IF($G194&lt;&gt;0,($H194/$G194)*BK194,0)*(1-$K194)</f>
        <v>0</v>
      </c>
      <c r="BM194" s="1118">
        <f>VLOOKUP($E194,BK$442:BN$453,3,FALSE)*BK194*($K194)+IF($G194&lt;&gt;0,($I194/$G194)*BK194,0)*(1-$K194)</f>
        <v>0</v>
      </c>
      <c r="BN194" s="1118">
        <f>VLOOKUP($E194,BK$442:BN$453,4,FALSE)*BK194*($K194)+(BK194-BL194-BM194)*(1-$K194)</f>
        <v>0</v>
      </c>
      <c r="BO194" s="1074"/>
      <c r="BS194" s="1117">
        <f>$G194</f>
        <v>0</v>
      </c>
      <c r="BT194" s="1118">
        <f>VLOOKUP($E194,BS$442:BV$453,2,FALSE)*BS194*($K194)+IF($G194&lt;&gt;0,($H194/$G194)*BS194,0)*(1-$K194)</f>
        <v>0</v>
      </c>
      <c r="BU194" s="1118">
        <f>VLOOKUP($E194,BS$442:BV$453,3,FALSE)*BS194*($K194)+IF($G194&lt;&gt;0,($I194/$G194)*BS194,0)*(1-$K194)</f>
        <v>0</v>
      </c>
      <c r="BV194" s="1118">
        <f>VLOOKUP($E194,BS$442:BV$453,4,FALSE)*BS194*($K194)+(BS194-BT194-BU194)*(1-$K194)</f>
        <v>0</v>
      </c>
      <c r="BW194" s="1074"/>
      <c r="CA194" s="1117">
        <f>$G194</f>
        <v>0</v>
      </c>
      <c r="CB194" s="1118">
        <f>VLOOKUP($E194,CA$442:CD$453,2,FALSE)*CA194*($K194)+IF($G194&lt;&gt;0,($H194/$G194)*CA194,0)*(1-$K194)</f>
        <v>0</v>
      </c>
      <c r="CC194" s="1118">
        <f>VLOOKUP($E194,CA$442:CD$453,3,FALSE)*CA194*($K194)+IF($G194&lt;&gt;0,($I194/$G194)*CA194,0)*(1-$K194)</f>
        <v>0</v>
      </c>
      <c r="CD194" s="1118">
        <f>VLOOKUP($E194,CA$442:CD$453,4,FALSE)*CA194*($K194)+(CA194-CB194-CC194)*(1-$K194)</f>
        <v>0</v>
      </c>
      <c r="CE194" s="1074"/>
      <c r="CI194" s="1117">
        <f>$G194</f>
        <v>0</v>
      </c>
      <c r="CJ194" s="1118">
        <f>VLOOKUP($E194,CI$442:CL$453,2,FALSE)*CI194*($K194)+IF($G194&lt;&gt;0,($H194/$G194)*CI194,0)*(1-$K194)</f>
        <v>0</v>
      </c>
      <c r="CK194" s="1118">
        <f>VLOOKUP($E194,CI$442:CL$453,3,FALSE)*CI194*($K194)+IF($G194&lt;&gt;0,($I194/$G194)*CI194,0)*(1-$K194)</f>
        <v>0</v>
      </c>
      <c r="CL194" s="1118">
        <f>VLOOKUP($E194,CI$442:CL$453,4,FALSE)*CI194*($K194)+(CI194-CJ194-CK194)*(1-$K194)</f>
        <v>0</v>
      </c>
      <c r="CM194" s="1074"/>
      <c r="CQ194" s="1117">
        <f>$G194</f>
        <v>0</v>
      </c>
      <c r="CR194" s="1118">
        <f>VLOOKUP($E194,CQ$442:CT$453,2,FALSE)*CQ194*($K194)+IF($G194&lt;&gt;0,($H194/$G194)*CQ194,0)*(1-$K194)</f>
        <v>0</v>
      </c>
      <c r="CS194" s="1118">
        <f>VLOOKUP($E194,CQ$442:CT$453,3,FALSE)*CQ194*($K194)+IF($G194&lt;&gt;0,($I194/$G194)*CQ194,0)*(1-$K194)</f>
        <v>0</v>
      </c>
      <c r="CT194" s="1118">
        <f>VLOOKUP($E194,CQ$442:CT$453,4,FALSE)*CQ194*($K194)+(CQ194-CR194-CS194)*(1-$K194)</f>
        <v>0</v>
      </c>
      <c r="CU194" s="1074"/>
      <c r="CY194" s="1117">
        <f>$G194</f>
        <v>0</v>
      </c>
      <c r="CZ194" s="1118">
        <f>VLOOKUP($E194,CY$442:DB$453,2,FALSE)*CY194*($K194)+IF($G194&lt;&gt;0,($H194/$G194)*CY194,0)*(1-$K194)</f>
        <v>0</v>
      </c>
      <c r="DA194" s="1118">
        <f>VLOOKUP($E194,CY$442:DB$453,3,FALSE)*CY194*($K194)+IF($G194&lt;&gt;0,($I194/$G194)*CY194,0)*(1-$K194)</f>
        <v>0</v>
      </c>
      <c r="DB194" s="1118">
        <f>VLOOKUP($E194,CY$442:DB$453,4,FALSE)*CY194*($K194)+(CY194-CZ194-DA194)*(1-$K194)</f>
        <v>0</v>
      </c>
      <c r="DC194" s="1074"/>
      <c r="DG194" s="1117">
        <f>$G194</f>
        <v>0</v>
      </c>
      <c r="DH194" s="1118">
        <f>VLOOKUP($E194,DG$442:DJ$453,2,FALSE)*DG194*($K194)+IF($G194&lt;&gt;0,($H194/$G194)*DG194,0)*(1-$K194)</f>
        <v>0</v>
      </c>
      <c r="DI194" s="1118">
        <f>VLOOKUP($E194,DG$442:DJ$453,3,FALSE)*DG194*($K194)+IF($G194&lt;&gt;0,($I194/$G194)*DG194,0)*(1-$K194)</f>
        <v>0</v>
      </c>
      <c r="DJ194" s="1118">
        <f>VLOOKUP($E194,DG$442:DJ$453,4,FALSE)*DG194*($K194)+(DG194-DH194-DI194)*(1-$K194)</f>
        <v>0</v>
      </c>
      <c r="DK194" s="1074"/>
      <c r="DO194" s="1117">
        <f>$G194</f>
        <v>0</v>
      </c>
      <c r="DP194" s="1118">
        <f>VLOOKUP($E194,DO$442:DR$453,2,FALSE)*DO194*($K194)+IF($G194&lt;&gt;0,($H194/$G194)*DO194,0)*(1-$K194)</f>
        <v>0</v>
      </c>
      <c r="DQ194" s="1118">
        <f>VLOOKUP($E194,DO$442:DR$453,3,FALSE)*DO194*($K194)+IF($G194&lt;&gt;0,($I194/$G194)*DO194,0)*(1-$K194)</f>
        <v>0</v>
      </c>
      <c r="DR194" s="1118">
        <f>VLOOKUP($E194,DO$442:DR$453,4,FALSE)*DO194*($K194)+(DO194-DP194-DQ194)*(1-$K194)</f>
        <v>0</v>
      </c>
      <c r="DS194" s="1074"/>
      <c r="DW194" s="1117">
        <f>$G194</f>
        <v>0</v>
      </c>
      <c r="DX194" s="1118">
        <f>VLOOKUP($E194,DW$442:DZ$453,2,FALSE)*DW194*($K194)+IF($G194&lt;&gt;0,($H194/$G194)*DW194,0)*(1-$K194)</f>
        <v>0</v>
      </c>
      <c r="DY194" s="1118">
        <f>VLOOKUP($E194,DW$442:DZ$453,3,FALSE)*DW194*($K194)+IF($G194&lt;&gt;0,($I194/$G194)*DW194,0)*(1-$K194)</f>
        <v>0</v>
      </c>
      <c r="DZ194" s="1118">
        <f>VLOOKUP($E194,DW$442:DZ$453,4,FALSE)*DW194*($K194)+(DW194-DX194-DY194)*(1-$K194)</f>
        <v>0</v>
      </c>
      <c r="EA194" s="1074"/>
      <c r="EE194" s="1117">
        <f>$G194</f>
        <v>0</v>
      </c>
      <c r="EF194" s="1118">
        <f>VLOOKUP($E194,EE$442:EH$453,2,FALSE)*EE194*($K194)+IF($G194&lt;&gt;0,($H194/$G194)*EE194,0)*(1-$K194)</f>
        <v>0</v>
      </c>
      <c r="EG194" s="1118">
        <f>VLOOKUP($E194,EE$442:EH$453,3,FALSE)*EE194*($K194)+IF($G194&lt;&gt;0,($I194/$G194)*EE194,0)*(1-$K194)</f>
        <v>0</v>
      </c>
      <c r="EH194" s="1118">
        <f>VLOOKUP($E194,EE$442:EH$453,4,FALSE)*EE194*($K194)+(EE194-EF194-EG194)*(1-$K194)</f>
        <v>0</v>
      </c>
      <c r="EI194" s="1074"/>
      <c r="EM194" s="1117">
        <f>$G194</f>
        <v>0</v>
      </c>
      <c r="EN194" s="1118">
        <f>VLOOKUP($E194,EM$442:EP$453,2,FALSE)*EM194*($K194)+IF($G194&lt;&gt;0,($H194/$G194)*EM194,0)*(1-$K194)</f>
        <v>0</v>
      </c>
      <c r="EO194" s="1118">
        <f>VLOOKUP($E194,EM$442:EP$453,3,FALSE)*EM194*($K194)+IF($G194&lt;&gt;0,($I194/$G194)*EM194,0)*(1-$K194)</f>
        <v>0</v>
      </c>
      <c r="EP194" s="1118">
        <f>VLOOKUP($E194,EM$442:EP$453,4,FALSE)*EM194*($K194)+(EM194-EN194-EO194)*(1-$K194)</f>
        <v>0</v>
      </c>
      <c r="EQ194" s="1074"/>
      <c r="EU194" s="1117">
        <f>$G194</f>
        <v>0</v>
      </c>
      <c r="EV194" s="1118">
        <f>VLOOKUP($E194,EU$442:EX$453,2,FALSE)*EU194*($K194)+IF($G194&lt;&gt;0,($H194/$G194)*EU194,0)*(1-$K194)</f>
        <v>0</v>
      </c>
      <c r="EW194" s="1118">
        <f>VLOOKUP($E194,EU$442:EX$453,3,FALSE)*EU194*($K194)+IF($G194&lt;&gt;0,($I194/$G194)*EU194,0)*(1-$K194)</f>
        <v>0</v>
      </c>
      <c r="EX194" s="1118">
        <f>VLOOKUP($E194,EU$442:EX$453,4,FALSE)*EU194*($K194)+(EU194-EV194-EW194)*(1-$K194)</f>
        <v>0</v>
      </c>
      <c r="EY194" s="1074"/>
      <c r="FC194" s="1117">
        <f>$G194</f>
        <v>0</v>
      </c>
      <c r="FD194" s="1118">
        <f>VLOOKUP($E194,FC$442:FF$453,2,FALSE)*FC194*($K194)+IF($G194&lt;&gt;0,($H194/$G194)*FC194,0)*(1-$K194)</f>
        <v>0</v>
      </c>
      <c r="FE194" s="1118">
        <f>VLOOKUP($E194,FC$442:FF$453,3,FALSE)*FC194*($K194)+IF($G194&lt;&gt;0,($I194/$G194)*FC194,0)*(1-$K194)</f>
        <v>0</v>
      </c>
      <c r="FF194" s="1118">
        <f>VLOOKUP($E194,FC$442:FF$453,4,FALSE)*FC194*($K194)+(FC194-FD194-FE194)*(1-$K194)</f>
        <v>0</v>
      </c>
      <c r="FG194" s="1074"/>
      <c r="FK194" s="1117">
        <f>$G194</f>
        <v>0</v>
      </c>
      <c r="FL194" s="1118">
        <f>VLOOKUP($E194,FK$442:FN$453,2,FALSE)*FK194*($K194)+IF($G194&lt;&gt;0,($H194/$G194)*FK194,0)*(1-$K194)</f>
        <v>0</v>
      </c>
      <c r="FM194" s="1118">
        <f>VLOOKUP($E194,FK$442:FN$453,3,FALSE)*FK194*($K194)+IF($G194&lt;&gt;0,($I194/$G194)*FK194,0)*(1-$K194)</f>
        <v>0</v>
      </c>
      <c r="FN194" s="1118">
        <f>VLOOKUP($E194,FK$442:FN$453,4,FALSE)*FK194*($K194)+(FK194-FL194-FM194)*(1-$K194)</f>
        <v>0</v>
      </c>
      <c r="FO194" s="1074"/>
    </row>
    <row r="195" spans="1:171" x14ac:dyDescent="0.25">
      <c r="A195" s="1421"/>
      <c r="B195" s="914" t="s">
        <v>502</v>
      </c>
      <c r="C195" s="889"/>
      <c r="D195" s="890"/>
      <c r="E195" s="182" t="str">
        <f>'Sch 3 - Expenses'!E35</f>
        <v>DIRECT</v>
      </c>
      <c r="F195" s="890"/>
      <c r="G195" s="182">
        <f>'Sch 3 - Expenses'!G35</f>
        <v>24259860.620000005</v>
      </c>
      <c r="H195" s="182">
        <f>'Sch 3 - Expenses'!H35</f>
        <v>21995615.060000006</v>
      </c>
      <c r="I195" s="182">
        <f>'Sch 3 - Expenses'!I35</f>
        <v>0</v>
      </c>
      <c r="J195" s="1422">
        <f>'Sch 3 - Expenses'!J35</f>
        <v>2264245.5599999996</v>
      </c>
      <c r="K195" s="904">
        <f t="shared" si="547"/>
        <v>0</v>
      </c>
      <c r="O195" s="1117">
        <f>$G195</f>
        <v>24259860.620000005</v>
      </c>
      <c r="P195" s="1118">
        <f>VLOOKUP($E195,O$442:R$453,2,FALSE)*O195*($K195)+IF($G195&lt;&gt;0,($H195/$G195)*O195,0)*(1-$K195)</f>
        <v>21995615.060000006</v>
      </c>
      <c r="Q195" s="1118">
        <f>VLOOKUP($E195,O$442:R$453,3,FALSE)*O195*($K195)+IF($G195&lt;&gt;0,($I195/$G195)*O195,0)*(1-$K195)</f>
        <v>0</v>
      </c>
      <c r="R195" s="1118">
        <f>VLOOKUP($E195,O$442:R$453,4,FALSE)*O195*($K195)+(O195-P195-Q195)*(1-$K195)</f>
        <v>2264245.5599999987</v>
      </c>
      <c r="S195" s="1074"/>
      <c r="W195" s="1117">
        <f>$G195</f>
        <v>24259860.620000005</v>
      </c>
      <c r="X195" s="1118">
        <f>VLOOKUP($E195,W$442:Z$453,2,FALSE)*W195*($K195)+IF($G195&lt;&gt;0,($H195/$G195)*W195,0)*(1-$K195)</f>
        <v>21995615.060000006</v>
      </c>
      <c r="Y195" s="1118">
        <f>VLOOKUP($E195,W$442:Z$453,3,FALSE)*W195*($K195)+IF($G195&lt;&gt;0,($I195/$G195)*W195,0)*(1-$K195)</f>
        <v>0</v>
      </c>
      <c r="Z195" s="1118">
        <f>VLOOKUP($E195,W$442:Z$453,4,FALSE)*W195*($K195)+(W195-X195-Y195)*(1-$K195)</f>
        <v>2264245.5599999987</v>
      </c>
      <c r="AA195" s="1074"/>
      <c r="AE195" s="1117">
        <f>$G195</f>
        <v>24259860.620000005</v>
      </c>
      <c r="AF195" s="1118">
        <f>VLOOKUP($E195,AE$442:AH$453,2,FALSE)*AE195*($K195)+IF($G195&lt;&gt;0,($H195/$G195)*AE195,0)*(1-$K195)</f>
        <v>21995615.060000006</v>
      </c>
      <c r="AG195" s="1118">
        <f>VLOOKUP($E195,AE$442:AH$453,3,FALSE)*AE195*($K195)+IF($G195&lt;&gt;0,($I195/$G195)*AE195,0)*(1-$K195)</f>
        <v>0</v>
      </c>
      <c r="AH195" s="1118">
        <f>VLOOKUP($E195,AE$442:AH$453,4,FALSE)*AE195*($K195)+(AE195-AF195-AG195)*(1-$K195)</f>
        <v>2264245.5599999987</v>
      </c>
      <c r="AI195" s="1074"/>
      <c r="AM195" s="1117">
        <f>$G195</f>
        <v>24259860.620000005</v>
      </c>
      <c r="AN195" s="1118">
        <f>VLOOKUP($E195,AM$442:AP$453,2,FALSE)*AM195*($K195)+IF($G195&lt;&gt;0,($H195/$G195)*AM195,0)*(1-$K195)</f>
        <v>21995615.060000006</v>
      </c>
      <c r="AO195" s="1118">
        <f>VLOOKUP($E195,AM$442:AP$453,3,FALSE)*AM195*($K195)+IF($G195&lt;&gt;0,($I195/$G195)*AM195,0)*(1-$K195)</f>
        <v>0</v>
      </c>
      <c r="AP195" s="1118">
        <f>VLOOKUP($E195,AM$442:AP$453,4,FALSE)*AM195*($K195)+(AM195-AN195-AO195)*(1-$K195)</f>
        <v>2264245.5599999987</v>
      </c>
      <c r="AQ195" s="1074"/>
      <c r="AU195" s="1117">
        <f>$G195</f>
        <v>24259860.620000005</v>
      </c>
      <c r="AV195" s="1118">
        <f>VLOOKUP($E195,AU$442:AX$453,2,FALSE)*AU195*($K195)+IF($G195&lt;&gt;0,($H195/$G195)*AU195,0)*(1-$K195)</f>
        <v>21995615.060000006</v>
      </c>
      <c r="AW195" s="1118">
        <f>VLOOKUP($E195,AU$442:AX$453,3,FALSE)*AU195*($K195)+IF($G195&lt;&gt;0,($I195/$G195)*AU195,0)*(1-$K195)</f>
        <v>0</v>
      </c>
      <c r="AX195" s="1118">
        <f>VLOOKUP($E195,AU$442:AX$453,4,FALSE)*AU195*($K195)+(AU195-AV195-AW195)*(1-$K195)</f>
        <v>2264245.5599999987</v>
      </c>
      <c r="AY195" s="1074"/>
      <c r="BC195" s="1117">
        <f>$G195</f>
        <v>24259860.620000005</v>
      </c>
      <c r="BD195" s="1118">
        <f>VLOOKUP($E195,BC$442:BF$453,2,FALSE)*BC195*($K195)+IF($G195&lt;&gt;0,($H195/$G195)*BC195,0)*(1-$K195)</f>
        <v>21995615.060000006</v>
      </c>
      <c r="BE195" s="1118">
        <f>VLOOKUP($E195,BC$442:BF$453,3,FALSE)*BC195*($K195)+IF($G195&lt;&gt;0,($I195/$G195)*BC195,0)*(1-$K195)</f>
        <v>0</v>
      </c>
      <c r="BF195" s="1118">
        <f>VLOOKUP($E195,BC$442:BF$453,4,FALSE)*BC195*($K195)+(BC195-BD195-BE195)*(1-$K195)</f>
        <v>2264245.5599999987</v>
      </c>
      <c r="BG195" s="1074"/>
      <c r="BK195" s="1117">
        <f>$G195</f>
        <v>24259860.620000005</v>
      </c>
      <c r="BL195" s="1118">
        <f>VLOOKUP($E195,BK$442:BN$453,2,FALSE)*BK195*($K195)+IF($G195&lt;&gt;0,($H195/$G195)*BK195,0)*(1-$K195)</f>
        <v>21995615.060000006</v>
      </c>
      <c r="BM195" s="1118">
        <f>VLOOKUP($E195,BK$442:BN$453,3,FALSE)*BK195*($K195)+IF($G195&lt;&gt;0,($I195/$G195)*BK195,0)*(1-$K195)</f>
        <v>0</v>
      </c>
      <c r="BN195" s="1118">
        <f>VLOOKUP($E195,BK$442:BN$453,4,FALSE)*BK195*($K195)+(BK195-BL195-BM195)*(1-$K195)</f>
        <v>2264245.5599999987</v>
      </c>
      <c r="BO195" s="1074"/>
      <c r="BS195" s="1117">
        <f>$G195</f>
        <v>24259860.620000005</v>
      </c>
      <c r="BT195" s="1118">
        <f>VLOOKUP($E195,BS$442:BV$453,2,FALSE)*BS195*($K195)+IF($G195&lt;&gt;0,($H195/$G195)*BS195,0)*(1-$K195)</f>
        <v>21995615.060000006</v>
      </c>
      <c r="BU195" s="1118">
        <f>VLOOKUP($E195,BS$442:BV$453,3,FALSE)*BS195*($K195)+IF($G195&lt;&gt;0,($I195/$G195)*BS195,0)*(1-$K195)</f>
        <v>0</v>
      </c>
      <c r="BV195" s="1118">
        <f>VLOOKUP($E195,BS$442:BV$453,4,FALSE)*BS195*($K195)+(BS195-BT195-BU195)*(1-$K195)</f>
        <v>2264245.5599999987</v>
      </c>
      <c r="BW195" s="1074"/>
      <c r="CA195" s="1117">
        <f>$G195</f>
        <v>24259860.620000005</v>
      </c>
      <c r="CB195" s="1118">
        <f>VLOOKUP($E195,CA$442:CD$453,2,FALSE)*CA195*($K195)+IF($G195&lt;&gt;0,($H195/$G195)*CA195,0)*(1-$K195)</f>
        <v>21995615.060000006</v>
      </c>
      <c r="CC195" s="1118">
        <f>VLOOKUP($E195,CA$442:CD$453,3,FALSE)*CA195*($K195)+IF($G195&lt;&gt;0,($I195/$G195)*CA195,0)*(1-$K195)</f>
        <v>0</v>
      </c>
      <c r="CD195" s="1118">
        <f>VLOOKUP($E195,CA$442:CD$453,4,FALSE)*CA195*($K195)+(CA195-CB195-CC195)*(1-$K195)</f>
        <v>2264245.5599999987</v>
      </c>
      <c r="CE195" s="1074"/>
      <c r="CI195" s="1117">
        <f>$G195</f>
        <v>24259860.620000005</v>
      </c>
      <c r="CJ195" s="1118">
        <f>VLOOKUP($E195,CI$442:CL$453,2,FALSE)*CI195*($K195)+IF($G195&lt;&gt;0,($H195/$G195)*CI195,0)*(1-$K195)</f>
        <v>21995615.060000006</v>
      </c>
      <c r="CK195" s="1118">
        <f>VLOOKUP($E195,CI$442:CL$453,3,FALSE)*CI195*($K195)+IF($G195&lt;&gt;0,($I195/$G195)*CI195,0)*(1-$K195)</f>
        <v>0</v>
      </c>
      <c r="CL195" s="1118">
        <f>VLOOKUP($E195,CI$442:CL$453,4,FALSE)*CI195*($K195)+(CI195-CJ195-CK195)*(1-$K195)</f>
        <v>2264245.5599999987</v>
      </c>
      <c r="CM195" s="1074"/>
      <c r="CQ195" s="1117">
        <f>$G195</f>
        <v>24259860.620000005</v>
      </c>
      <c r="CR195" s="1118">
        <f>VLOOKUP($E195,CQ$442:CT$453,2,FALSE)*CQ195*($K195)+IF($G195&lt;&gt;0,($H195/$G195)*CQ195,0)*(1-$K195)</f>
        <v>21995615.060000006</v>
      </c>
      <c r="CS195" s="1118">
        <f>VLOOKUP($E195,CQ$442:CT$453,3,FALSE)*CQ195*($K195)+IF($G195&lt;&gt;0,($I195/$G195)*CQ195,0)*(1-$K195)</f>
        <v>0</v>
      </c>
      <c r="CT195" s="1118">
        <f>VLOOKUP($E195,CQ$442:CT$453,4,FALSE)*CQ195*($K195)+(CQ195-CR195-CS195)*(1-$K195)</f>
        <v>2264245.5599999987</v>
      </c>
      <c r="CU195" s="1074"/>
      <c r="CY195" s="1117">
        <f>$G195</f>
        <v>24259860.620000005</v>
      </c>
      <c r="CZ195" s="1118">
        <f>VLOOKUP($E195,CY$442:DB$453,2,FALSE)*CY195*($K195)+IF($G195&lt;&gt;0,($H195/$G195)*CY195,0)*(1-$K195)</f>
        <v>21995615.060000006</v>
      </c>
      <c r="DA195" s="1118">
        <f>VLOOKUP($E195,CY$442:DB$453,3,FALSE)*CY195*($K195)+IF($G195&lt;&gt;0,($I195/$G195)*CY195,0)*(1-$K195)</f>
        <v>0</v>
      </c>
      <c r="DB195" s="1118">
        <f>VLOOKUP($E195,CY$442:DB$453,4,FALSE)*CY195*($K195)+(CY195-CZ195-DA195)*(1-$K195)</f>
        <v>2264245.5599999987</v>
      </c>
      <c r="DC195" s="1074"/>
      <c r="DG195" s="1117">
        <f>$G195</f>
        <v>24259860.620000005</v>
      </c>
      <c r="DH195" s="1118">
        <f>VLOOKUP($E195,DG$442:DJ$453,2,FALSE)*DG195*($K195)+IF($G195&lt;&gt;0,($H195/$G195)*DG195,0)*(1-$K195)</f>
        <v>21995615.060000006</v>
      </c>
      <c r="DI195" s="1118">
        <f>VLOOKUP($E195,DG$442:DJ$453,3,FALSE)*DG195*($K195)+IF($G195&lt;&gt;0,($I195/$G195)*DG195,0)*(1-$K195)</f>
        <v>0</v>
      </c>
      <c r="DJ195" s="1118">
        <f>VLOOKUP($E195,DG$442:DJ$453,4,FALSE)*DG195*($K195)+(DG195-DH195-DI195)*(1-$K195)</f>
        <v>2264245.5599999987</v>
      </c>
      <c r="DK195" s="1074"/>
      <c r="DO195" s="1117">
        <f>$G195</f>
        <v>24259860.620000005</v>
      </c>
      <c r="DP195" s="1118">
        <f>VLOOKUP($E195,DO$442:DR$453,2,FALSE)*DO195*($K195)+IF($G195&lt;&gt;0,($H195/$G195)*DO195,0)*(1-$K195)</f>
        <v>21995615.060000006</v>
      </c>
      <c r="DQ195" s="1118">
        <f>VLOOKUP($E195,DO$442:DR$453,3,FALSE)*DO195*($K195)+IF($G195&lt;&gt;0,($I195/$G195)*DO195,0)*(1-$K195)</f>
        <v>0</v>
      </c>
      <c r="DR195" s="1118">
        <f>VLOOKUP($E195,DO$442:DR$453,4,FALSE)*DO195*($K195)+(DO195-DP195-DQ195)*(1-$K195)</f>
        <v>2264245.5599999987</v>
      </c>
      <c r="DS195" s="1074"/>
      <c r="DW195" s="1117">
        <f>$G195</f>
        <v>24259860.620000005</v>
      </c>
      <c r="DX195" s="1118">
        <f>VLOOKUP($E195,DW$442:DZ$453,2,FALSE)*DW195*($K195)+IF($G195&lt;&gt;0,($H195/$G195)*DW195,0)*(1-$K195)</f>
        <v>21995615.060000006</v>
      </c>
      <c r="DY195" s="1118">
        <f>VLOOKUP($E195,DW$442:DZ$453,3,FALSE)*DW195*($K195)+IF($G195&lt;&gt;0,($I195/$G195)*DW195,0)*(1-$K195)</f>
        <v>0</v>
      </c>
      <c r="DZ195" s="1118">
        <f>VLOOKUP($E195,DW$442:DZ$453,4,FALSE)*DW195*($K195)+(DW195-DX195-DY195)*(1-$K195)</f>
        <v>2264245.5599999987</v>
      </c>
      <c r="EA195" s="1074"/>
      <c r="EE195" s="1117">
        <f>$G195</f>
        <v>24259860.620000005</v>
      </c>
      <c r="EF195" s="1118">
        <f>VLOOKUP($E195,EE$442:EH$453,2,FALSE)*EE195*($K195)+IF($G195&lt;&gt;0,($H195/$G195)*EE195,0)*(1-$K195)</f>
        <v>21995615.060000006</v>
      </c>
      <c r="EG195" s="1118">
        <f>VLOOKUP($E195,EE$442:EH$453,3,FALSE)*EE195*($K195)+IF($G195&lt;&gt;0,($I195/$G195)*EE195,0)*(1-$K195)</f>
        <v>0</v>
      </c>
      <c r="EH195" s="1118">
        <f>VLOOKUP($E195,EE$442:EH$453,4,FALSE)*EE195*($K195)+(EE195-EF195-EG195)*(1-$K195)</f>
        <v>2264245.5599999987</v>
      </c>
      <c r="EI195" s="1074"/>
      <c r="EM195" s="1117">
        <f>$G195</f>
        <v>24259860.620000005</v>
      </c>
      <c r="EN195" s="1118">
        <f>VLOOKUP($E195,EM$442:EP$453,2,FALSE)*EM195*($K195)+IF($G195&lt;&gt;0,($H195/$G195)*EM195,0)*(1-$K195)</f>
        <v>21995615.060000006</v>
      </c>
      <c r="EO195" s="1118">
        <f>VLOOKUP($E195,EM$442:EP$453,3,FALSE)*EM195*($K195)+IF($G195&lt;&gt;0,($I195/$G195)*EM195,0)*(1-$K195)</f>
        <v>0</v>
      </c>
      <c r="EP195" s="1118">
        <f>VLOOKUP($E195,EM$442:EP$453,4,FALSE)*EM195*($K195)+(EM195-EN195-EO195)*(1-$K195)</f>
        <v>2264245.5599999987</v>
      </c>
      <c r="EQ195" s="1074"/>
      <c r="EU195" s="1117">
        <f>$G195</f>
        <v>24259860.620000005</v>
      </c>
      <c r="EV195" s="1118">
        <f>VLOOKUP($E195,EU$442:EX$453,2,FALSE)*EU195*($K195)+IF($G195&lt;&gt;0,($H195/$G195)*EU195,0)*(1-$K195)</f>
        <v>21995615.060000006</v>
      </c>
      <c r="EW195" s="1118">
        <f>VLOOKUP($E195,EU$442:EX$453,3,FALSE)*EU195*($K195)+IF($G195&lt;&gt;0,($I195/$G195)*EU195,0)*(1-$K195)</f>
        <v>0</v>
      </c>
      <c r="EX195" s="1118">
        <f>VLOOKUP($E195,EU$442:EX$453,4,FALSE)*EU195*($K195)+(EU195-EV195-EW195)*(1-$K195)</f>
        <v>2264245.5599999987</v>
      </c>
      <c r="EY195" s="1074"/>
      <c r="FC195" s="1117">
        <f>$G195</f>
        <v>24259860.620000005</v>
      </c>
      <c r="FD195" s="1118">
        <f>VLOOKUP($E195,FC$442:FF$453,2,FALSE)*FC195*($K195)+IF($G195&lt;&gt;0,($H195/$G195)*FC195,0)*(1-$K195)</f>
        <v>21995615.060000006</v>
      </c>
      <c r="FE195" s="1118">
        <f>VLOOKUP($E195,FC$442:FF$453,3,FALSE)*FC195*($K195)+IF($G195&lt;&gt;0,($I195/$G195)*FC195,0)*(1-$K195)</f>
        <v>0</v>
      </c>
      <c r="FF195" s="1118">
        <f>VLOOKUP($E195,FC$442:FF$453,4,FALSE)*FC195*($K195)+(FC195-FD195-FE195)*(1-$K195)</f>
        <v>2264245.5599999987</v>
      </c>
      <c r="FG195" s="1074"/>
      <c r="FK195" s="1117">
        <f>$G195</f>
        <v>24259860.620000005</v>
      </c>
      <c r="FL195" s="1118">
        <f>VLOOKUP($E195,FK$442:FN$453,2,FALSE)*FK195*($K195)+IF($G195&lt;&gt;0,($H195/$G195)*FK195,0)*(1-$K195)</f>
        <v>21995615.060000006</v>
      </c>
      <c r="FM195" s="1118">
        <f>VLOOKUP($E195,FK$442:FN$453,3,FALSE)*FK195*($K195)+IF($G195&lt;&gt;0,($I195/$G195)*FK195,0)*(1-$K195)</f>
        <v>0</v>
      </c>
      <c r="FN195" s="1118">
        <f>VLOOKUP($E195,FK$442:FN$453,4,FALSE)*FK195*($K195)+(FK195-FL195-FM195)*(1-$K195)</f>
        <v>2264245.5599999987</v>
      </c>
      <c r="FO195" s="1074"/>
    </row>
    <row r="196" spans="1:171" x14ac:dyDescent="0.25">
      <c r="A196" s="1344" t="s">
        <v>481</v>
      </c>
      <c r="B196" s="10"/>
      <c r="C196" s="915"/>
      <c r="D196" s="916"/>
      <c r="E196" s="916"/>
      <c r="F196" s="917"/>
      <c r="G196" s="924">
        <f>SUM(G176:G195)</f>
        <v>1559919589.7839088</v>
      </c>
      <c r="H196" s="924">
        <f>SUM(H176:H195)</f>
        <v>1557655344.2239089</v>
      </c>
      <c r="I196" s="924">
        <f>SUM(I176:I195)</f>
        <v>0</v>
      </c>
      <c r="J196" s="1429">
        <f>SUM(J176:J195)</f>
        <v>2264245.5599999996</v>
      </c>
      <c r="K196" s="904"/>
      <c r="O196" s="1136">
        <f>SUM(O176:O195)</f>
        <v>1559919589.7839088</v>
      </c>
      <c r="P196" s="1136">
        <f>SUM(P176:P195)</f>
        <v>1557655344.2239089</v>
      </c>
      <c r="Q196" s="1136">
        <f>SUM(Q176:Q195)</f>
        <v>0</v>
      </c>
      <c r="R196" s="1136">
        <f>SUM(R176:R195)</f>
        <v>2264245.5599999987</v>
      </c>
      <c r="S196" s="1074"/>
      <c r="W196" s="1136">
        <f>SUM(W176:W195)</f>
        <v>1559919589.7839088</v>
      </c>
      <c r="X196" s="1136">
        <f>SUM(X176:X195)</f>
        <v>1557655344.2239089</v>
      </c>
      <c r="Y196" s="1136">
        <f>SUM(Y176:Y195)</f>
        <v>0</v>
      </c>
      <c r="Z196" s="1136">
        <f>SUM(Z176:Z195)</f>
        <v>2264245.5599999987</v>
      </c>
      <c r="AA196" s="1074"/>
      <c r="AE196" s="1136">
        <f>SUM(AE176:AE195)</f>
        <v>1559919589.7839088</v>
      </c>
      <c r="AF196" s="1136">
        <f>SUM(AF176:AF195)</f>
        <v>1557655344.2239089</v>
      </c>
      <c r="AG196" s="1136">
        <f>SUM(AG176:AG195)</f>
        <v>0</v>
      </c>
      <c r="AH196" s="1136">
        <f>SUM(AH176:AH195)</f>
        <v>2264245.5599999987</v>
      </c>
      <c r="AI196" s="1074"/>
      <c r="AM196" s="1136">
        <f>SUM(AM176:AM195)</f>
        <v>1559919589.7839088</v>
      </c>
      <c r="AN196" s="1136">
        <f>SUM(AN176:AN195)</f>
        <v>1557655344.2239089</v>
      </c>
      <c r="AO196" s="1136">
        <f>SUM(AO176:AO195)</f>
        <v>0</v>
      </c>
      <c r="AP196" s="1136">
        <f>SUM(AP176:AP195)</f>
        <v>2264245.5599999987</v>
      </c>
      <c r="AQ196" s="1074"/>
      <c r="AU196" s="1136">
        <f>SUM(AU176:AU195)</f>
        <v>1559919589.7839088</v>
      </c>
      <c r="AV196" s="1136">
        <f>SUM(AV176:AV195)</f>
        <v>1557655344.2239089</v>
      </c>
      <c r="AW196" s="1136">
        <f>SUM(AW176:AW195)</f>
        <v>0</v>
      </c>
      <c r="AX196" s="1136">
        <f>SUM(AX176:AX195)</f>
        <v>2264245.5599999987</v>
      </c>
      <c r="AY196" s="1074"/>
      <c r="BC196" s="1136">
        <f>SUM(BC176:BC195)</f>
        <v>1559919589.7839088</v>
      </c>
      <c r="BD196" s="1136">
        <f>SUM(BD176:BD195)</f>
        <v>1557655344.2239089</v>
      </c>
      <c r="BE196" s="1136">
        <f>SUM(BE176:BE195)</f>
        <v>0</v>
      </c>
      <c r="BF196" s="1136">
        <f>SUM(BF176:BF195)</f>
        <v>2264245.5599999987</v>
      </c>
      <c r="BG196" s="1074"/>
      <c r="BK196" s="1136">
        <f>SUM(BK176:BK195)</f>
        <v>1559919589.7839088</v>
      </c>
      <c r="BL196" s="1136">
        <f>SUM(BL176:BL195)</f>
        <v>1557655344.2239089</v>
      </c>
      <c r="BM196" s="1136">
        <f>SUM(BM176:BM195)</f>
        <v>0</v>
      </c>
      <c r="BN196" s="1136">
        <f>SUM(BN176:BN195)</f>
        <v>2264245.5599999987</v>
      </c>
      <c r="BO196" s="1074"/>
      <c r="BS196" s="1136">
        <f>SUM(BS176:BS195)</f>
        <v>1559919589.7839088</v>
      </c>
      <c r="BT196" s="1136">
        <f>SUM(BT176:BT195)</f>
        <v>1557655344.2239089</v>
      </c>
      <c r="BU196" s="1136">
        <f>SUM(BU176:BU195)</f>
        <v>0</v>
      </c>
      <c r="BV196" s="1136">
        <f>SUM(BV176:BV195)</f>
        <v>2264245.5599999987</v>
      </c>
      <c r="BW196" s="1074"/>
      <c r="CA196" s="1136">
        <f>SUM(CA176:CA195)</f>
        <v>1559919589.7839088</v>
      </c>
      <c r="CB196" s="1136">
        <f>SUM(CB176:CB195)</f>
        <v>1557655344.2239089</v>
      </c>
      <c r="CC196" s="1136">
        <f>SUM(CC176:CC195)</f>
        <v>0</v>
      </c>
      <c r="CD196" s="1136">
        <f>SUM(CD176:CD195)</f>
        <v>2264245.5599999987</v>
      </c>
      <c r="CE196" s="1074"/>
      <c r="CI196" s="1136">
        <f>SUM(CI176:CI195)</f>
        <v>1559919589.7839088</v>
      </c>
      <c r="CJ196" s="1136">
        <f>SUM(CJ176:CJ195)</f>
        <v>1557655344.2239089</v>
      </c>
      <c r="CK196" s="1136">
        <f>SUM(CK176:CK195)</f>
        <v>0</v>
      </c>
      <c r="CL196" s="1136">
        <f>SUM(CL176:CL195)</f>
        <v>2264245.5599999987</v>
      </c>
      <c r="CM196" s="1074"/>
      <c r="CQ196" s="1136">
        <f>SUM(CQ176:CQ195)</f>
        <v>1559919589.7839088</v>
      </c>
      <c r="CR196" s="1136">
        <f>SUM(CR176:CR195)</f>
        <v>1557655344.2239089</v>
      </c>
      <c r="CS196" s="1136">
        <f>SUM(CS176:CS195)</f>
        <v>0</v>
      </c>
      <c r="CT196" s="1136">
        <f>SUM(CT176:CT195)</f>
        <v>2264245.5599999987</v>
      </c>
      <c r="CU196" s="1074"/>
      <c r="CY196" s="1136">
        <f>SUM(CY176:CY195)</f>
        <v>1559919589.7839088</v>
      </c>
      <c r="CZ196" s="1136">
        <f>SUM(CZ176:CZ195)</f>
        <v>1557655344.2239089</v>
      </c>
      <c r="DA196" s="1136">
        <f>SUM(DA176:DA195)</f>
        <v>0</v>
      </c>
      <c r="DB196" s="1136">
        <f>SUM(DB176:DB195)</f>
        <v>2264245.5599999987</v>
      </c>
      <c r="DC196" s="1074"/>
      <c r="DG196" s="1136">
        <f>SUM(DG176:DG195)</f>
        <v>1559919589.7839088</v>
      </c>
      <c r="DH196" s="1136">
        <f>SUM(DH176:DH195)</f>
        <v>1557655344.2239089</v>
      </c>
      <c r="DI196" s="1136">
        <f>SUM(DI176:DI195)</f>
        <v>0</v>
      </c>
      <c r="DJ196" s="1136">
        <f>SUM(DJ176:DJ195)</f>
        <v>2264245.5599999987</v>
      </c>
      <c r="DK196" s="1074"/>
      <c r="DO196" s="1136">
        <f>SUM(DO176:DO195)</f>
        <v>1559919589.7839088</v>
      </c>
      <c r="DP196" s="1136">
        <f>SUM(DP176:DP195)</f>
        <v>1557655344.2239089</v>
      </c>
      <c r="DQ196" s="1136">
        <f>SUM(DQ176:DQ195)</f>
        <v>0</v>
      </c>
      <c r="DR196" s="1136">
        <f>SUM(DR176:DR195)</f>
        <v>2264245.5599999987</v>
      </c>
      <c r="DS196" s="1074"/>
      <c r="DW196" s="1136">
        <f>SUM(DW176:DW195)</f>
        <v>1559919589.7839088</v>
      </c>
      <c r="DX196" s="1136">
        <f>SUM(DX176:DX195)</f>
        <v>1557655344.2239089</v>
      </c>
      <c r="DY196" s="1136">
        <f>SUM(DY176:DY195)</f>
        <v>0</v>
      </c>
      <c r="DZ196" s="1136">
        <f>SUM(DZ176:DZ195)</f>
        <v>2264245.5599999987</v>
      </c>
      <c r="EA196" s="1074"/>
      <c r="EE196" s="1136">
        <f>SUM(EE176:EE195)</f>
        <v>1559919589.7839088</v>
      </c>
      <c r="EF196" s="1136">
        <f>SUM(EF176:EF195)</f>
        <v>1557655344.2239089</v>
      </c>
      <c r="EG196" s="1136">
        <f>SUM(EG176:EG195)</f>
        <v>0</v>
      </c>
      <c r="EH196" s="1136">
        <f>SUM(EH176:EH195)</f>
        <v>2264245.5599999987</v>
      </c>
      <c r="EI196" s="1074"/>
      <c r="EM196" s="1136">
        <f>SUM(EM176:EM195)</f>
        <v>1559919589.7839088</v>
      </c>
      <c r="EN196" s="1136">
        <f>SUM(EN176:EN195)</f>
        <v>1557655344.2239089</v>
      </c>
      <c r="EO196" s="1136">
        <f>SUM(EO176:EO195)</f>
        <v>0</v>
      </c>
      <c r="EP196" s="1136">
        <f>SUM(EP176:EP195)</f>
        <v>2264245.5599999987</v>
      </c>
      <c r="EQ196" s="1074"/>
      <c r="EU196" s="1136">
        <f>SUM(EU176:EU195)</f>
        <v>1559919589.7839088</v>
      </c>
      <c r="EV196" s="1136">
        <f>SUM(EV176:EV195)</f>
        <v>1557655344.2239089</v>
      </c>
      <c r="EW196" s="1136">
        <f>SUM(EW176:EW195)</f>
        <v>0</v>
      </c>
      <c r="EX196" s="1136">
        <f>SUM(EX176:EX195)</f>
        <v>2264245.5599999987</v>
      </c>
      <c r="EY196" s="1074"/>
      <c r="FC196" s="1136">
        <f>SUM(FC176:FC195)</f>
        <v>1559919589.7839088</v>
      </c>
      <c r="FD196" s="1136">
        <f>SUM(FD176:FD195)</f>
        <v>1557655344.2239089</v>
      </c>
      <c r="FE196" s="1136">
        <f>SUM(FE176:FE195)</f>
        <v>0</v>
      </c>
      <c r="FF196" s="1136">
        <f>SUM(FF176:FF195)</f>
        <v>2264245.5599999987</v>
      </c>
      <c r="FG196" s="1074"/>
      <c r="FK196" s="1136">
        <f>SUM(FK176:FK195)</f>
        <v>1559919589.7839088</v>
      </c>
      <c r="FL196" s="1136">
        <f>SUM(FL176:FL195)</f>
        <v>1557655344.2239089</v>
      </c>
      <c r="FM196" s="1136">
        <f>SUM(FM176:FM195)</f>
        <v>0</v>
      </c>
      <c r="FN196" s="1136">
        <f>SUM(FN176:FN195)</f>
        <v>2264245.5599999987</v>
      </c>
      <c r="FO196" s="1074"/>
    </row>
    <row r="197" spans="1:171" x14ac:dyDescent="0.25">
      <c r="A197" s="1372"/>
      <c r="B197" s="10"/>
      <c r="C197" s="55"/>
      <c r="D197" s="55"/>
      <c r="E197" s="64"/>
      <c r="F197" s="64"/>
      <c r="G197" s="990"/>
      <c r="H197" s="886"/>
      <c r="I197" s="886"/>
      <c r="J197" s="1434"/>
      <c r="K197" s="904"/>
      <c r="S197" s="1074"/>
      <c r="AA197" s="1074"/>
      <c r="AI197" s="1074"/>
      <c r="AQ197" s="1074"/>
      <c r="AY197" s="1074"/>
      <c r="BG197" s="1074"/>
      <c r="BO197" s="1074"/>
      <c r="BW197" s="1074"/>
      <c r="CE197" s="1074"/>
      <c r="CM197" s="1074"/>
      <c r="CU197" s="1074"/>
      <c r="DC197" s="1074"/>
      <c r="DK197" s="1074"/>
      <c r="DS197" s="1074"/>
      <c r="EA197" s="1074"/>
      <c r="EI197" s="1074"/>
      <c r="EQ197" s="1074"/>
      <c r="EY197" s="1074"/>
      <c r="FG197" s="1074"/>
      <c r="FO197" s="1074"/>
    </row>
    <row r="198" spans="1:171" x14ac:dyDescent="0.25">
      <c r="A198" s="1361" t="s">
        <v>501</v>
      </c>
      <c r="B198" s="10"/>
      <c r="C198" s="55"/>
      <c r="D198" s="196"/>
      <c r="E198" s="10"/>
      <c r="F198" s="10"/>
      <c r="G198" s="990"/>
      <c r="H198" s="886"/>
      <c r="I198" s="886"/>
      <c r="J198" s="1434"/>
      <c r="K198" s="904"/>
      <c r="S198" s="1074"/>
      <c r="AA198" s="1074"/>
      <c r="AI198" s="1074"/>
      <c r="AQ198" s="1074"/>
      <c r="AY198" s="1074"/>
      <c r="BG198" s="1074"/>
      <c r="BO198" s="1074"/>
      <c r="BW198" s="1074"/>
      <c r="CE198" s="1074"/>
      <c r="CM198" s="1074"/>
      <c r="CU198" s="1074"/>
      <c r="DC198" s="1074"/>
      <c r="DK198" s="1074"/>
      <c r="DS198" s="1074"/>
      <c r="EA198" s="1074"/>
      <c r="EI198" s="1074"/>
      <c r="EQ198" s="1074"/>
      <c r="EY198" s="1074"/>
      <c r="FG198" s="1074"/>
      <c r="FO198" s="1074"/>
    </row>
    <row r="199" spans="1:171" x14ac:dyDescent="0.25">
      <c r="A199" s="1442">
        <v>870</v>
      </c>
      <c r="B199" s="914" t="s">
        <v>398</v>
      </c>
      <c r="C199" s="889" t="s">
        <v>72</v>
      </c>
      <c r="D199" s="890" t="s">
        <v>482</v>
      </c>
      <c r="E199" s="182" t="str">
        <f>'Sch 3 - Expenses'!E39</f>
        <v>prod</v>
      </c>
      <c r="F199" s="890"/>
      <c r="G199" s="182">
        <f>'Sch 3 - Expenses'!G39</f>
        <v>65955211.648190439</v>
      </c>
      <c r="H199" s="182">
        <f>'Sch 3 - Expenses'!H39</f>
        <v>65955211.648190439</v>
      </c>
      <c r="I199" s="182">
        <f>'Sch 3 - Expenses'!I39</f>
        <v>0</v>
      </c>
      <c r="J199" s="1422">
        <f>'Sch 3 - Expenses'!J39</f>
        <v>0</v>
      </c>
      <c r="K199" s="904">
        <f>IF($E199="DIRECT",0,1)</f>
        <v>1</v>
      </c>
      <c r="N199" s="1162">
        <f>VLOOKUP($A199,'New Resources - Group'!$A$4:$Y$133,N$2,FALSE)*N$1</f>
        <v>0</v>
      </c>
      <c r="O199" s="1117">
        <f>$G199+N199</f>
        <v>65955211.648190439</v>
      </c>
      <c r="P199" s="1118">
        <f>VLOOKUP($E199,O$442:R$453,2,FALSE)*O199*($K199)+IF($G199&lt;&gt;0,($H199/$G199)*O199,0)*(1-$K199)</f>
        <v>65955211.648190439</v>
      </c>
      <c r="Q199" s="1118">
        <f>VLOOKUP($E199,O$442:R$453,3,FALSE)*O199*($K199)+IF($G199&lt;&gt;0,($I199/$G199)*O199,0)*(1-$K199)</f>
        <v>0</v>
      </c>
      <c r="R199" s="1118">
        <f>VLOOKUP($E199,O$442:R$453,4,FALSE)*O199*($K199)+(O199-P199-Q199)*(1-$K199)</f>
        <v>0</v>
      </c>
      <c r="S199" s="1074"/>
      <c r="V199" s="1162">
        <f>VLOOKUP($A199,'New Resources - Group'!$A$4:$Y$133,V$2,FALSE)*V$1</f>
        <v>0</v>
      </c>
      <c r="W199" s="1117">
        <f>$G199+V199</f>
        <v>65955211.648190439</v>
      </c>
      <c r="X199" s="1118">
        <f>VLOOKUP($E199,W$442:Z$453,2,FALSE)*W199*($K199)+IF($G199&lt;&gt;0,($H199/$G199)*W199,0)*(1-$K199)</f>
        <v>65955211.648190439</v>
      </c>
      <c r="Y199" s="1118">
        <f>VLOOKUP($E199,W$442:Z$453,3,FALSE)*W199*($K199)+IF($G199&lt;&gt;0,($I199/$G199)*W199,0)*(1-$K199)</f>
        <v>0</v>
      </c>
      <c r="Z199" s="1118">
        <f>VLOOKUP($E199,W$442:Z$453,4,FALSE)*W199*($K199)+(W199-X199-Y199)*(1-$K199)</f>
        <v>0</v>
      </c>
      <c r="AA199" s="1074"/>
      <c r="AD199" s="1162">
        <f>VLOOKUP($A199,'New Resources - Group'!$A$4:$Y$133,AD$2,FALSE)*AD$1</f>
        <v>0</v>
      </c>
      <c r="AE199" s="1117">
        <f>$G199+AD199</f>
        <v>65955211.648190439</v>
      </c>
      <c r="AF199" s="1118">
        <f>VLOOKUP($E199,AE$442:AH$453,2,FALSE)*AE199*($K199)+IF($G199&lt;&gt;0,($H199/$G199)*AE199,0)*(1-$K199)</f>
        <v>65955211.648190439</v>
      </c>
      <c r="AG199" s="1118">
        <f>VLOOKUP($E199,AE$442:AH$453,3,FALSE)*AE199*($K199)+IF($G199&lt;&gt;0,($I199/$G199)*AE199,0)*(1-$K199)</f>
        <v>0</v>
      </c>
      <c r="AH199" s="1118">
        <f>VLOOKUP($E199,AE$442:AH$453,4,FALSE)*AE199*($K199)+(AE199-AF199-AG199)*(1-$K199)</f>
        <v>0</v>
      </c>
      <c r="AI199" s="1074"/>
      <c r="AL199" s="1162">
        <f>VLOOKUP($A199,'New Resources - Group'!$A$4:$Y$133,AL$2,FALSE)*AL$1</f>
        <v>0</v>
      </c>
      <c r="AM199" s="1117">
        <f>$G199+AL199</f>
        <v>65955211.648190439</v>
      </c>
      <c r="AN199" s="1118">
        <f>VLOOKUP($E199,AM$442:AP$453,2,FALSE)*AM199*($K199)+IF($G199&lt;&gt;0,($H199/$G199)*AM199,0)*(1-$K199)</f>
        <v>65955211.648190439</v>
      </c>
      <c r="AO199" s="1118">
        <f>VLOOKUP($E199,AM$442:AP$453,3,FALSE)*AM199*($K199)+IF($G199&lt;&gt;0,($I199/$G199)*AM199,0)*(1-$K199)</f>
        <v>0</v>
      </c>
      <c r="AP199" s="1118">
        <f>VLOOKUP($E199,AM$442:AP$453,4,FALSE)*AM199*($K199)+(AM199-AN199-AO199)*(1-$K199)</f>
        <v>0</v>
      </c>
      <c r="AQ199" s="1074"/>
      <c r="AT199" s="1162">
        <f>VLOOKUP($A199,'New Resources - Group'!$A$4:$Y$133,AT$2,FALSE)*AT$1</f>
        <v>0</v>
      </c>
      <c r="AU199" s="1117">
        <f>$G199+AT199</f>
        <v>65955211.648190439</v>
      </c>
      <c r="AV199" s="1118">
        <f>VLOOKUP($E199,AU$442:AX$453,2,FALSE)*AU199*($K199)+IF($G199&lt;&gt;0,($H199/$G199)*AU199,0)*(1-$K199)</f>
        <v>65955211.648190439</v>
      </c>
      <c r="AW199" s="1118">
        <f>VLOOKUP($E199,AU$442:AX$453,3,FALSE)*AU199*($K199)+IF($G199&lt;&gt;0,($I199/$G199)*AU199,0)*(1-$K199)</f>
        <v>0</v>
      </c>
      <c r="AX199" s="1118">
        <f>VLOOKUP($E199,AU$442:AX$453,4,FALSE)*AU199*($K199)+(AU199-AV199-AW199)*(1-$K199)</f>
        <v>0</v>
      </c>
      <c r="AY199" s="1074"/>
      <c r="BB199" s="1162">
        <f>VLOOKUP($A199,'New Resources - Group'!$A$4:$Y$133,BB$2,FALSE)*BB$1</f>
        <v>0</v>
      </c>
      <c r="BC199" s="1117">
        <f>$G199+BB199</f>
        <v>65955211.648190439</v>
      </c>
      <c r="BD199" s="1118">
        <f>VLOOKUP($E199,BC$442:BF$453,2,FALSE)*BC199*($K199)+IF($G199&lt;&gt;0,($H199/$G199)*BC199,0)*(1-$K199)</f>
        <v>65955211.648190439</v>
      </c>
      <c r="BE199" s="1118">
        <f>VLOOKUP($E199,BC$442:BF$453,3,FALSE)*BC199*($K199)+IF($G199&lt;&gt;0,($I199/$G199)*BC199,0)*(1-$K199)</f>
        <v>0</v>
      </c>
      <c r="BF199" s="1118">
        <f>VLOOKUP($E199,BC$442:BF$453,4,FALSE)*BC199*($K199)+(BC199-BD199-BE199)*(1-$K199)</f>
        <v>0</v>
      </c>
      <c r="BG199" s="1074"/>
      <c r="BJ199" s="1162">
        <f>VLOOKUP($A199,'New Resources - Group'!$A$4:$Y$133,BJ$2,FALSE)*BJ$1</f>
        <v>0</v>
      </c>
      <c r="BK199" s="1117">
        <f>$G199+BJ199</f>
        <v>65955211.648190439</v>
      </c>
      <c r="BL199" s="1118">
        <f>VLOOKUP($E199,BK$442:BN$453,2,FALSE)*BK199*($K199)+IF($G199&lt;&gt;0,($H199/$G199)*BK199,0)*(1-$K199)</f>
        <v>65955211.648190439</v>
      </c>
      <c r="BM199" s="1118">
        <f>VLOOKUP($E199,BK$442:BN$453,3,FALSE)*BK199*($K199)+IF($G199&lt;&gt;0,($I199/$G199)*BK199,0)*(1-$K199)</f>
        <v>0</v>
      </c>
      <c r="BN199" s="1118">
        <f>VLOOKUP($E199,BK$442:BN$453,4,FALSE)*BK199*($K199)+(BK199-BL199-BM199)*(1-$K199)</f>
        <v>0</v>
      </c>
      <c r="BO199" s="1074"/>
      <c r="BR199" s="1162">
        <f>VLOOKUP($A199,'New Resources - Group'!$A$4:$Y$133,BR$2,FALSE)*BR$1</f>
        <v>0</v>
      </c>
      <c r="BS199" s="1117">
        <f>$G199+BR199</f>
        <v>65955211.648190439</v>
      </c>
      <c r="BT199" s="1118">
        <f>VLOOKUP($E199,BS$442:BV$453,2,FALSE)*BS199*($K199)+IF($G199&lt;&gt;0,($H199/$G199)*BS199,0)*(1-$K199)</f>
        <v>65955211.648190439</v>
      </c>
      <c r="BU199" s="1118">
        <f>VLOOKUP($E199,BS$442:BV$453,3,FALSE)*BS199*($K199)+IF($G199&lt;&gt;0,($I199/$G199)*BS199,0)*(1-$K199)</f>
        <v>0</v>
      </c>
      <c r="BV199" s="1118">
        <f>VLOOKUP($E199,BS$442:BV$453,4,FALSE)*BS199*($K199)+(BS199-BT199-BU199)*(1-$K199)</f>
        <v>0</v>
      </c>
      <c r="BW199" s="1074"/>
      <c r="BZ199" s="1162">
        <f>VLOOKUP($A199,'New Resources - Group'!$A$4:$Y$133,BZ$2,FALSE)*BZ$1</f>
        <v>0</v>
      </c>
      <c r="CA199" s="1117">
        <f>$G199+BZ199</f>
        <v>65955211.648190439</v>
      </c>
      <c r="CB199" s="1118">
        <f>VLOOKUP($E199,CA$442:CD$453,2,FALSE)*CA199*($K199)+IF($G199&lt;&gt;0,($H199/$G199)*CA199,0)*(1-$K199)</f>
        <v>65955211.648190439</v>
      </c>
      <c r="CC199" s="1118">
        <f>VLOOKUP($E199,CA$442:CD$453,3,FALSE)*CA199*($K199)+IF($G199&lt;&gt;0,($I199/$G199)*CA199,0)*(1-$K199)</f>
        <v>0</v>
      </c>
      <c r="CD199" s="1118">
        <f>VLOOKUP($E199,CA$442:CD$453,4,FALSE)*CA199*($K199)+(CA199-CB199-CC199)*(1-$K199)</f>
        <v>0</v>
      </c>
      <c r="CE199" s="1074"/>
      <c r="CH199" s="1162">
        <f>VLOOKUP($A199,'New Resources - Group'!$A$4:$Y$133,CH$2,FALSE)*CH$1</f>
        <v>0</v>
      </c>
      <c r="CI199" s="1117">
        <f>$G199+CH199</f>
        <v>65955211.648190439</v>
      </c>
      <c r="CJ199" s="1118">
        <f>VLOOKUP($E199,CI$442:CL$453,2,FALSE)*CI199*($K199)+IF($G199&lt;&gt;0,($H199/$G199)*CI199,0)*(1-$K199)</f>
        <v>65955211.648190439</v>
      </c>
      <c r="CK199" s="1118">
        <f>VLOOKUP($E199,CI$442:CL$453,3,FALSE)*CI199*($K199)+IF($G199&lt;&gt;0,($I199/$G199)*CI199,0)*(1-$K199)</f>
        <v>0</v>
      </c>
      <c r="CL199" s="1118">
        <f>VLOOKUP($E199,CI$442:CL$453,4,FALSE)*CI199*($K199)+(CI199-CJ199-CK199)*(1-$K199)</f>
        <v>0</v>
      </c>
      <c r="CM199" s="1074"/>
      <c r="CP199" s="1162">
        <f>VLOOKUP($A199,'New Resources - Group'!$A$4:$Y$133,CP$2,FALSE)*CP$1</f>
        <v>0</v>
      </c>
      <c r="CQ199" s="1117">
        <f>$G199+CP199</f>
        <v>65955211.648190439</v>
      </c>
      <c r="CR199" s="1118">
        <f>VLOOKUP($E199,CQ$442:CT$453,2,FALSE)*CQ199*($K199)+IF($G199&lt;&gt;0,($H199/$G199)*CQ199,0)*(1-$K199)</f>
        <v>65955211.648190439</v>
      </c>
      <c r="CS199" s="1118">
        <f>VLOOKUP($E199,CQ$442:CT$453,3,FALSE)*CQ199*($K199)+IF($G199&lt;&gt;0,($I199/$G199)*CQ199,0)*(1-$K199)</f>
        <v>0</v>
      </c>
      <c r="CT199" s="1118">
        <f>VLOOKUP($E199,CQ$442:CT$453,4,FALSE)*CQ199*($K199)+(CQ199-CR199-CS199)*(1-$K199)</f>
        <v>0</v>
      </c>
      <c r="CU199" s="1074"/>
      <c r="CX199" s="1162">
        <f>VLOOKUP($A199,'New Resources - Group'!$A$4:$Y$133,CX$2,FALSE)*CX$1</f>
        <v>0</v>
      </c>
      <c r="CY199" s="1117">
        <f>$G199+CX199</f>
        <v>65955211.648190439</v>
      </c>
      <c r="CZ199" s="1118">
        <f>VLOOKUP($E199,CY$442:DB$453,2,FALSE)*CY199*($K199)+IF($G199&lt;&gt;0,($H199/$G199)*CY199,0)*(1-$K199)</f>
        <v>65955211.648190439</v>
      </c>
      <c r="DA199" s="1118">
        <f>VLOOKUP($E199,CY$442:DB$453,3,FALSE)*CY199*($K199)+IF($G199&lt;&gt;0,($I199/$G199)*CY199,0)*(1-$K199)</f>
        <v>0</v>
      </c>
      <c r="DB199" s="1118">
        <f>VLOOKUP($E199,CY$442:DB$453,4,FALSE)*CY199*($K199)+(CY199-CZ199-DA199)*(1-$K199)</f>
        <v>0</v>
      </c>
      <c r="DC199" s="1074"/>
      <c r="DF199" s="1162">
        <f>VLOOKUP($A199,'New Resources - Group'!$A$4:$Y$133,DF$2,FALSE)*DF$1</f>
        <v>0</v>
      </c>
      <c r="DG199" s="1117">
        <f>$G199+DF199</f>
        <v>65955211.648190439</v>
      </c>
      <c r="DH199" s="1118">
        <f>VLOOKUP($E199,DG$442:DJ$453,2,FALSE)*DG199*($K199)+IF($G199&lt;&gt;0,($H199/$G199)*DG199,0)*(1-$K199)</f>
        <v>65955211.648190439</v>
      </c>
      <c r="DI199" s="1118">
        <f>VLOOKUP($E199,DG$442:DJ$453,3,FALSE)*DG199*($K199)+IF($G199&lt;&gt;0,($I199/$G199)*DG199,0)*(1-$K199)</f>
        <v>0</v>
      </c>
      <c r="DJ199" s="1118">
        <f>VLOOKUP($E199,DG$442:DJ$453,4,FALSE)*DG199*($K199)+(DG199-DH199-DI199)*(1-$K199)</f>
        <v>0</v>
      </c>
      <c r="DK199" s="1074"/>
      <c r="DN199" s="1162">
        <f>VLOOKUP($A199,'New Resources - Group'!$A$4:$Y$133,DN$2,FALSE)*DN$1</f>
        <v>0</v>
      </c>
      <c r="DO199" s="1117">
        <f>$G199+DN199</f>
        <v>65955211.648190439</v>
      </c>
      <c r="DP199" s="1118">
        <f>VLOOKUP($E199,DO$442:DR$453,2,FALSE)*DO199*($K199)+IF($G199&lt;&gt;0,($H199/$G199)*DO199,0)*(1-$K199)</f>
        <v>65955211.648190439</v>
      </c>
      <c r="DQ199" s="1118">
        <f>VLOOKUP($E199,DO$442:DR$453,3,FALSE)*DO199*($K199)+IF($G199&lt;&gt;0,($I199/$G199)*DO199,0)*(1-$K199)</f>
        <v>0</v>
      </c>
      <c r="DR199" s="1118">
        <f>VLOOKUP($E199,DO$442:DR$453,4,FALSE)*DO199*($K199)+(DO199-DP199-DQ199)*(1-$K199)</f>
        <v>0</v>
      </c>
      <c r="DS199" s="1074"/>
      <c r="DV199" s="1162">
        <f>VLOOKUP($A199,'New Resources - Group'!$A$4:$Y$133,DV$2,FALSE)*DV$1</f>
        <v>0</v>
      </c>
      <c r="DW199" s="1117">
        <f>$G199+DV199</f>
        <v>65955211.648190439</v>
      </c>
      <c r="DX199" s="1118">
        <f>VLOOKUP($E199,DW$442:DZ$453,2,FALSE)*DW199*($K199)+IF($G199&lt;&gt;0,($H199/$G199)*DW199,0)*(1-$K199)</f>
        <v>65955211.648190439</v>
      </c>
      <c r="DY199" s="1118">
        <f>VLOOKUP($E199,DW$442:DZ$453,3,FALSE)*DW199*($K199)+IF($G199&lt;&gt;0,($I199/$G199)*DW199,0)*(1-$K199)</f>
        <v>0</v>
      </c>
      <c r="DZ199" s="1118">
        <f>VLOOKUP($E199,DW$442:DZ$453,4,FALSE)*DW199*($K199)+(DW199-DX199-DY199)*(1-$K199)</f>
        <v>0</v>
      </c>
      <c r="EA199" s="1074"/>
      <c r="ED199" s="1162">
        <f>VLOOKUP($A199,'New Resources - Group'!$A$4:$Y$133,ED$2,FALSE)*ED$1</f>
        <v>0</v>
      </c>
      <c r="EE199" s="1117">
        <f>$G199+ED199</f>
        <v>65955211.648190439</v>
      </c>
      <c r="EF199" s="1118">
        <f>VLOOKUP($E199,EE$442:EH$453,2,FALSE)*EE199*($K199)+IF($G199&lt;&gt;0,($H199/$G199)*EE199,0)*(1-$K199)</f>
        <v>65955211.648190439</v>
      </c>
      <c r="EG199" s="1118">
        <f>VLOOKUP($E199,EE$442:EH$453,3,FALSE)*EE199*($K199)+IF($G199&lt;&gt;0,($I199/$G199)*EE199,0)*(1-$K199)</f>
        <v>0</v>
      </c>
      <c r="EH199" s="1118">
        <f>VLOOKUP($E199,EE$442:EH$453,4,FALSE)*EE199*($K199)+(EE199-EF199-EG199)*(1-$K199)</f>
        <v>0</v>
      </c>
      <c r="EI199" s="1074"/>
      <c r="EL199" s="1162">
        <f>VLOOKUP($A199,'New Resources - Group'!$A$4:$Y$133,EL$2,FALSE)*EL$1</f>
        <v>0</v>
      </c>
      <c r="EM199" s="1117">
        <f>$G199+EL199</f>
        <v>65955211.648190439</v>
      </c>
      <c r="EN199" s="1118">
        <f>VLOOKUP($E199,EM$442:EP$453,2,FALSE)*EM199*($K199)+IF($G199&lt;&gt;0,($H199/$G199)*EM199,0)*(1-$K199)</f>
        <v>65955211.648190439</v>
      </c>
      <c r="EO199" s="1118">
        <f>VLOOKUP($E199,EM$442:EP$453,3,FALSE)*EM199*($K199)+IF($G199&lt;&gt;0,($I199/$G199)*EM199,0)*(1-$K199)</f>
        <v>0</v>
      </c>
      <c r="EP199" s="1118">
        <f>VLOOKUP($E199,EM$442:EP$453,4,FALSE)*EM199*($K199)+(EM199-EN199-EO199)*(1-$K199)</f>
        <v>0</v>
      </c>
      <c r="EQ199" s="1074"/>
      <c r="ET199" s="1162">
        <f>VLOOKUP($A199,'New Resources - Group'!$A$4:$Y$133,ET$2,FALSE)*ET$1</f>
        <v>0</v>
      </c>
      <c r="EU199" s="1117">
        <f>$G199+ET199</f>
        <v>65955211.648190439</v>
      </c>
      <c r="EV199" s="1118">
        <f>VLOOKUP($E199,EU$442:EX$453,2,FALSE)*EU199*($K199)+IF($G199&lt;&gt;0,($H199/$G199)*EU199,0)*(1-$K199)</f>
        <v>65955211.648190439</v>
      </c>
      <c r="EW199" s="1118">
        <f>VLOOKUP($E199,EU$442:EX$453,3,FALSE)*EU199*($K199)+IF($G199&lt;&gt;0,($I199/$G199)*EU199,0)*(1-$K199)</f>
        <v>0</v>
      </c>
      <c r="EX199" s="1118">
        <f>VLOOKUP($E199,EU$442:EX$453,4,FALSE)*EU199*($K199)+(EU199-EV199-EW199)*(1-$K199)</f>
        <v>0</v>
      </c>
      <c r="EY199" s="1074"/>
      <c r="FB199" s="1162">
        <f>VLOOKUP($A199,'New Resources - Group'!$A$4:$Y$133,FB$2,FALSE)*FB$1</f>
        <v>0</v>
      </c>
      <c r="FC199" s="1117">
        <f>$G199+FB199</f>
        <v>65955211.648190439</v>
      </c>
      <c r="FD199" s="1118">
        <f>VLOOKUP($E199,FC$442:FF$453,2,FALSE)*FC199*($K199)+IF($G199&lt;&gt;0,($H199/$G199)*FC199,0)*(1-$K199)</f>
        <v>65955211.648190439</v>
      </c>
      <c r="FE199" s="1118">
        <f>VLOOKUP($E199,FC$442:FF$453,3,FALSE)*FC199*($K199)+IF($G199&lt;&gt;0,($I199/$G199)*FC199,0)*(1-$K199)</f>
        <v>0</v>
      </c>
      <c r="FF199" s="1118">
        <f>VLOOKUP($E199,FC$442:FF$453,4,FALSE)*FC199*($K199)+(FC199-FD199-FE199)*(1-$K199)</f>
        <v>0</v>
      </c>
      <c r="FG199" s="1074"/>
      <c r="FJ199" s="1162">
        <f>VLOOKUP($A199,'New Resources - Group'!$A$4:$Y$133,FJ$2,FALSE)*FJ$1</f>
        <v>0</v>
      </c>
      <c r="FK199" s="1117">
        <f>$G199+FJ199</f>
        <v>65955211.648190439</v>
      </c>
      <c r="FL199" s="1118">
        <f>VLOOKUP($E199,FK$442:FN$453,2,FALSE)*FK199*($K199)+IF($G199&lt;&gt;0,($H199/$G199)*FK199,0)*(1-$K199)</f>
        <v>65955211.648190439</v>
      </c>
      <c r="FM199" s="1118">
        <f>VLOOKUP($E199,FK$442:FN$453,3,FALSE)*FK199*($K199)+IF($G199&lt;&gt;0,($I199/$G199)*FK199,0)*(1-$K199)</f>
        <v>0</v>
      </c>
      <c r="FN199" s="1118">
        <f>VLOOKUP($E199,FK$442:FN$453,4,FALSE)*FK199*($K199)+(FK199-FL199-FM199)*(1-$K199)</f>
        <v>0</v>
      </c>
      <c r="FO199" s="1074"/>
    </row>
    <row r="200" spans="1:171" x14ac:dyDescent="0.25">
      <c r="A200" s="1442">
        <v>880</v>
      </c>
      <c r="B200" s="914" t="s">
        <v>461</v>
      </c>
      <c r="C200" s="889" t="s">
        <v>72</v>
      </c>
      <c r="D200" s="890" t="s">
        <v>302</v>
      </c>
      <c r="E200" s="182" t="str">
        <f>'Sch 3 - Expenses'!E40</f>
        <v>TRANS</v>
      </c>
      <c r="F200" s="890"/>
      <c r="G200" s="182">
        <f>'Sch 3 - Expenses'!G40</f>
        <v>17122103.721672125</v>
      </c>
      <c r="H200" s="182">
        <f>'Sch 3 - Expenses'!H40</f>
        <v>0</v>
      </c>
      <c r="I200" s="182">
        <f>'Sch 3 - Expenses'!I40</f>
        <v>0</v>
      </c>
      <c r="J200" s="1422">
        <f>'Sch 3 - Expenses'!J40</f>
        <v>17122103.721672125</v>
      </c>
      <c r="K200" s="904">
        <f>IF($E200="DIRECT",0,1)</f>
        <v>1</v>
      </c>
      <c r="N200" s="1162">
        <f>VLOOKUP($A200,'New Resources - Group'!$A$4:$Y$133,N$2,FALSE)*N$1</f>
        <v>0</v>
      </c>
      <c r="O200" s="1117">
        <f>$G200+N200</f>
        <v>17122103.721672125</v>
      </c>
      <c r="P200" s="1118">
        <f>VLOOKUP($E200,O$442:R$453,2,FALSE)*O200*($K200)+IF($G200&lt;&gt;0,($H200/$G200)*O200,0)*(1-$K200)</f>
        <v>0</v>
      </c>
      <c r="Q200" s="1118">
        <f>VLOOKUP($E200,O$442:R$453,3,FALSE)*O200*($K200)+IF($G200&lt;&gt;0,($I200/$G200)*O200,0)*(1-$K200)</f>
        <v>17122103.721672125</v>
      </c>
      <c r="R200" s="1118">
        <f>VLOOKUP($E200,O$442:R$453,4,FALSE)*O200*($K200)+(O200-P200-Q200)*(1-$K200)</f>
        <v>0</v>
      </c>
      <c r="S200" s="1074"/>
      <c r="V200" s="1162">
        <f>VLOOKUP($A200,'New Resources - Group'!$A$4:$Y$133,V$2,FALSE)*V$1</f>
        <v>0</v>
      </c>
      <c r="W200" s="1117">
        <f>$G200+V200</f>
        <v>17122103.721672125</v>
      </c>
      <c r="X200" s="1118">
        <f>VLOOKUP($E200,W$442:Z$453,2,FALSE)*W200*($K200)+IF($G200&lt;&gt;0,($H200/$G200)*W200,0)*(1-$K200)</f>
        <v>0</v>
      </c>
      <c r="Y200" s="1118">
        <f>VLOOKUP($E200,W$442:Z$453,3,FALSE)*W200*($K200)+IF($G200&lt;&gt;0,($I200/$G200)*W200,0)*(1-$K200)</f>
        <v>17122103.721672125</v>
      </c>
      <c r="Z200" s="1118">
        <f>VLOOKUP($E200,W$442:Z$453,4,FALSE)*W200*($K200)+(W200-X200-Y200)*(1-$K200)</f>
        <v>0</v>
      </c>
      <c r="AA200" s="1074"/>
      <c r="AD200" s="1162">
        <f>VLOOKUP($A200,'New Resources - Group'!$A$4:$Y$133,AD$2,FALSE)*AD$1</f>
        <v>0</v>
      </c>
      <c r="AE200" s="1117">
        <f>$G200+AD200</f>
        <v>17122103.721672125</v>
      </c>
      <c r="AF200" s="1118">
        <f>VLOOKUP($E200,AE$442:AH$453,2,FALSE)*AE200*($K200)+IF($G200&lt;&gt;0,($H200/$G200)*AE200,0)*(1-$K200)</f>
        <v>0</v>
      </c>
      <c r="AG200" s="1118">
        <f>VLOOKUP($E200,AE$442:AH$453,3,FALSE)*AE200*($K200)+IF($G200&lt;&gt;0,($I200/$G200)*AE200,0)*(1-$K200)</f>
        <v>17122103.721672125</v>
      </c>
      <c r="AH200" s="1118">
        <f>VLOOKUP($E200,AE$442:AH$453,4,FALSE)*AE200*($K200)+(AE200-AF200-AG200)*(1-$K200)</f>
        <v>0</v>
      </c>
      <c r="AI200" s="1074"/>
      <c r="AL200" s="1162">
        <f>VLOOKUP($A200,'New Resources - Group'!$A$4:$Y$133,AL$2,FALSE)*AL$1</f>
        <v>0</v>
      </c>
      <c r="AM200" s="1117">
        <f>$G200+AL200</f>
        <v>17122103.721672125</v>
      </c>
      <c r="AN200" s="1118">
        <f>VLOOKUP($E200,AM$442:AP$453,2,FALSE)*AM200*($K200)+IF($G200&lt;&gt;0,($H200/$G200)*AM200,0)*(1-$K200)</f>
        <v>0</v>
      </c>
      <c r="AO200" s="1118">
        <f>VLOOKUP($E200,AM$442:AP$453,3,FALSE)*AM200*($K200)+IF($G200&lt;&gt;0,($I200/$G200)*AM200,0)*(1-$K200)</f>
        <v>17122103.721672125</v>
      </c>
      <c r="AP200" s="1118">
        <f>VLOOKUP($E200,AM$442:AP$453,4,FALSE)*AM200*($K200)+(AM200-AN200-AO200)*(1-$K200)</f>
        <v>0</v>
      </c>
      <c r="AQ200" s="1074"/>
      <c r="AT200" s="1162">
        <f>VLOOKUP($A200,'New Resources - Group'!$A$4:$Y$133,AT$2,FALSE)*AT$1</f>
        <v>0</v>
      </c>
      <c r="AU200" s="1117">
        <f>$G200+AT200</f>
        <v>17122103.721672125</v>
      </c>
      <c r="AV200" s="1118">
        <f>VLOOKUP($E200,AU$442:AX$453,2,FALSE)*AU200*($K200)+IF($G200&lt;&gt;0,($H200/$G200)*AU200,0)*(1-$K200)</f>
        <v>0</v>
      </c>
      <c r="AW200" s="1118">
        <f>VLOOKUP($E200,AU$442:AX$453,3,FALSE)*AU200*($K200)+IF($G200&lt;&gt;0,($I200/$G200)*AU200,0)*(1-$K200)</f>
        <v>17122103.721672125</v>
      </c>
      <c r="AX200" s="1118">
        <f>VLOOKUP($E200,AU$442:AX$453,4,FALSE)*AU200*($K200)+(AU200-AV200-AW200)*(1-$K200)</f>
        <v>0</v>
      </c>
      <c r="AY200" s="1074"/>
      <c r="BB200" s="1162">
        <f>VLOOKUP($A200,'New Resources - Group'!$A$4:$Y$133,BB$2,FALSE)*BB$1</f>
        <v>0</v>
      </c>
      <c r="BC200" s="1117">
        <f>$G200+BB200</f>
        <v>17122103.721672125</v>
      </c>
      <c r="BD200" s="1118">
        <f>VLOOKUP($E200,BC$442:BF$453,2,FALSE)*BC200*($K200)+IF($G200&lt;&gt;0,($H200/$G200)*BC200,0)*(1-$K200)</f>
        <v>0</v>
      </c>
      <c r="BE200" s="1118">
        <f>VLOOKUP($E200,BC$442:BF$453,3,FALSE)*BC200*($K200)+IF($G200&lt;&gt;0,($I200/$G200)*BC200,0)*(1-$K200)</f>
        <v>17122103.721672125</v>
      </c>
      <c r="BF200" s="1118">
        <f>VLOOKUP($E200,BC$442:BF$453,4,FALSE)*BC200*($K200)+(BC200-BD200-BE200)*(1-$K200)</f>
        <v>0</v>
      </c>
      <c r="BG200" s="1074"/>
      <c r="BJ200" s="1162">
        <f>VLOOKUP($A200,'New Resources - Group'!$A$4:$Y$133,BJ$2,FALSE)*BJ$1</f>
        <v>0</v>
      </c>
      <c r="BK200" s="1117">
        <f>$G200+BJ200</f>
        <v>17122103.721672125</v>
      </c>
      <c r="BL200" s="1118">
        <f>VLOOKUP($E200,BK$442:BN$453,2,FALSE)*BK200*($K200)+IF($G200&lt;&gt;0,($H200/$G200)*BK200,0)*(1-$K200)</f>
        <v>0</v>
      </c>
      <c r="BM200" s="1118">
        <f>VLOOKUP($E200,BK$442:BN$453,3,FALSE)*BK200*($K200)+IF($G200&lt;&gt;0,($I200/$G200)*BK200,0)*(1-$K200)</f>
        <v>17122103.721672125</v>
      </c>
      <c r="BN200" s="1118">
        <f>VLOOKUP($E200,BK$442:BN$453,4,FALSE)*BK200*($K200)+(BK200-BL200-BM200)*(1-$K200)</f>
        <v>0</v>
      </c>
      <c r="BO200" s="1074"/>
      <c r="BR200" s="1162">
        <f>VLOOKUP($A200,'New Resources - Group'!$A$4:$Y$133,BR$2,FALSE)*BR$1</f>
        <v>0</v>
      </c>
      <c r="BS200" s="1117">
        <f>$G200+BR200</f>
        <v>17122103.721672125</v>
      </c>
      <c r="BT200" s="1118">
        <f>VLOOKUP($E200,BS$442:BV$453,2,FALSE)*BS200*($K200)+IF($G200&lt;&gt;0,($H200/$G200)*BS200,0)*(1-$K200)</f>
        <v>0</v>
      </c>
      <c r="BU200" s="1118">
        <f>VLOOKUP($E200,BS$442:BV$453,3,FALSE)*BS200*($K200)+IF($G200&lt;&gt;0,($I200/$G200)*BS200,0)*(1-$K200)</f>
        <v>17122103.721672125</v>
      </c>
      <c r="BV200" s="1118">
        <f>VLOOKUP($E200,BS$442:BV$453,4,FALSE)*BS200*($K200)+(BS200-BT200-BU200)*(1-$K200)</f>
        <v>0</v>
      </c>
      <c r="BW200" s="1074"/>
      <c r="BZ200" s="1162">
        <f>VLOOKUP($A200,'New Resources - Group'!$A$4:$Y$133,BZ$2,FALSE)*BZ$1</f>
        <v>0</v>
      </c>
      <c r="CA200" s="1117">
        <f>$G200+BZ200</f>
        <v>17122103.721672125</v>
      </c>
      <c r="CB200" s="1118">
        <f>VLOOKUP($E200,CA$442:CD$453,2,FALSE)*CA200*($K200)+IF($G200&lt;&gt;0,($H200/$G200)*CA200,0)*(1-$K200)</f>
        <v>0</v>
      </c>
      <c r="CC200" s="1118">
        <f>VLOOKUP($E200,CA$442:CD$453,3,FALSE)*CA200*($K200)+IF($G200&lt;&gt;0,($I200/$G200)*CA200,0)*(1-$K200)</f>
        <v>17122103.721672125</v>
      </c>
      <c r="CD200" s="1118">
        <f>VLOOKUP($E200,CA$442:CD$453,4,FALSE)*CA200*($K200)+(CA200-CB200-CC200)*(1-$K200)</f>
        <v>0</v>
      </c>
      <c r="CE200" s="1074"/>
      <c r="CH200" s="1162">
        <f>VLOOKUP($A200,'New Resources - Group'!$A$4:$Y$133,CH$2,FALSE)*CH$1</f>
        <v>0</v>
      </c>
      <c r="CI200" s="1117">
        <f>$G200+CH200</f>
        <v>17122103.721672125</v>
      </c>
      <c r="CJ200" s="1118">
        <f>VLOOKUP($E200,CI$442:CL$453,2,FALSE)*CI200*($K200)+IF($G200&lt;&gt;0,($H200/$G200)*CI200,0)*(1-$K200)</f>
        <v>0</v>
      </c>
      <c r="CK200" s="1118">
        <f>VLOOKUP($E200,CI$442:CL$453,3,FALSE)*CI200*($K200)+IF($G200&lt;&gt;0,($I200/$G200)*CI200,0)*(1-$K200)</f>
        <v>17122103.721672125</v>
      </c>
      <c r="CL200" s="1118">
        <f>VLOOKUP($E200,CI$442:CL$453,4,FALSE)*CI200*($K200)+(CI200-CJ200-CK200)*(1-$K200)</f>
        <v>0</v>
      </c>
      <c r="CM200" s="1074"/>
      <c r="CP200" s="1162">
        <f>VLOOKUP($A200,'New Resources - Group'!$A$4:$Y$133,CP$2,FALSE)*CP$1</f>
        <v>0</v>
      </c>
      <c r="CQ200" s="1117">
        <f>$G200+CP200</f>
        <v>17122103.721672125</v>
      </c>
      <c r="CR200" s="1118">
        <f>VLOOKUP($E200,CQ$442:CT$453,2,FALSE)*CQ200*($K200)+IF($G200&lt;&gt;0,($H200/$G200)*CQ200,0)*(1-$K200)</f>
        <v>0</v>
      </c>
      <c r="CS200" s="1118">
        <f>VLOOKUP($E200,CQ$442:CT$453,3,FALSE)*CQ200*($K200)+IF($G200&lt;&gt;0,($I200/$G200)*CQ200,0)*(1-$K200)</f>
        <v>17122103.721672125</v>
      </c>
      <c r="CT200" s="1118">
        <f>VLOOKUP($E200,CQ$442:CT$453,4,FALSE)*CQ200*($K200)+(CQ200-CR200-CS200)*(1-$K200)</f>
        <v>0</v>
      </c>
      <c r="CU200" s="1074"/>
      <c r="CX200" s="1162">
        <f>VLOOKUP($A200,'New Resources - Group'!$A$4:$Y$133,CX$2,FALSE)*CX$1</f>
        <v>0</v>
      </c>
      <c r="CY200" s="1117">
        <f>$G200+CX200</f>
        <v>17122103.721672125</v>
      </c>
      <c r="CZ200" s="1118">
        <f>VLOOKUP($E200,CY$442:DB$453,2,FALSE)*CY200*($K200)+IF($G200&lt;&gt;0,($H200/$G200)*CY200,0)*(1-$K200)</f>
        <v>0</v>
      </c>
      <c r="DA200" s="1118">
        <f>VLOOKUP($E200,CY$442:DB$453,3,FALSE)*CY200*($K200)+IF($G200&lt;&gt;0,($I200/$G200)*CY200,0)*(1-$K200)</f>
        <v>17122103.721672125</v>
      </c>
      <c r="DB200" s="1118">
        <f>VLOOKUP($E200,CY$442:DB$453,4,FALSE)*CY200*($K200)+(CY200-CZ200-DA200)*(1-$K200)</f>
        <v>0</v>
      </c>
      <c r="DC200" s="1074"/>
      <c r="DF200" s="1162">
        <f>VLOOKUP($A200,'New Resources - Group'!$A$4:$Y$133,DF$2,FALSE)*DF$1</f>
        <v>0</v>
      </c>
      <c r="DG200" s="1117">
        <f>$G200+DF200</f>
        <v>17122103.721672125</v>
      </c>
      <c r="DH200" s="1118">
        <f>VLOOKUP($E200,DG$442:DJ$453,2,FALSE)*DG200*($K200)+IF($G200&lt;&gt;0,($H200/$G200)*DG200,0)*(1-$K200)</f>
        <v>0</v>
      </c>
      <c r="DI200" s="1118">
        <f>VLOOKUP($E200,DG$442:DJ$453,3,FALSE)*DG200*($K200)+IF($G200&lt;&gt;0,($I200/$G200)*DG200,0)*(1-$K200)</f>
        <v>17122103.721672125</v>
      </c>
      <c r="DJ200" s="1118">
        <f>VLOOKUP($E200,DG$442:DJ$453,4,FALSE)*DG200*($K200)+(DG200-DH200-DI200)*(1-$K200)</f>
        <v>0</v>
      </c>
      <c r="DK200" s="1074"/>
      <c r="DN200" s="1162">
        <f>VLOOKUP($A200,'New Resources - Group'!$A$4:$Y$133,DN$2,FALSE)*DN$1</f>
        <v>0</v>
      </c>
      <c r="DO200" s="1117">
        <f>$G200+DN200</f>
        <v>17122103.721672125</v>
      </c>
      <c r="DP200" s="1118">
        <f>VLOOKUP($E200,DO$442:DR$453,2,FALSE)*DO200*($K200)+IF($G200&lt;&gt;0,($H200/$G200)*DO200,0)*(1-$K200)</f>
        <v>0</v>
      </c>
      <c r="DQ200" s="1118">
        <f>VLOOKUP($E200,DO$442:DR$453,3,FALSE)*DO200*($K200)+IF($G200&lt;&gt;0,($I200/$G200)*DO200,0)*(1-$K200)</f>
        <v>17122103.721672125</v>
      </c>
      <c r="DR200" s="1118">
        <f>VLOOKUP($E200,DO$442:DR$453,4,FALSE)*DO200*($K200)+(DO200-DP200-DQ200)*(1-$K200)</f>
        <v>0</v>
      </c>
      <c r="DS200" s="1074"/>
      <c r="DV200" s="1162">
        <f>VLOOKUP($A200,'New Resources - Group'!$A$4:$Y$133,DV$2,FALSE)*DV$1</f>
        <v>0</v>
      </c>
      <c r="DW200" s="1117">
        <f>$G200+DV200</f>
        <v>17122103.721672125</v>
      </c>
      <c r="DX200" s="1118">
        <f>VLOOKUP($E200,DW$442:DZ$453,2,FALSE)*DW200*($K200)+IF($G200&lt;&gt;0,($H200/$G200)*DW200,0)*(1-$K200)</f>
        <v>0</v>
      </c>
      <c r="DY200" s="1118">
        <f>VLOOKUP($E200,DW$442:DZ$453,3,FALSE)*DW200*($K200)+IF($G200&lt;&gt;0,($I200/$G200)*DW200,0)*(1-$K200)</f>
        <v>17122103.721672125</v>
      </c>
      <c r="DZ200" s="1118">
        <f>VLOOKUP($E200,DW$442:DZ$453,4,FALSE)*DW200*($K200)+(DW200-DX200-DY200)*(1-$K200)</f>
        <v>0</v>
      </c>
      <c r="EA200" s="1074"/>
      <c r="ED200" s="1162">
        <f>VLOOKUP($A200,'New Resources - Group'!$A$4:$Y$133,ED$2,FALSE)*ED$1</f>
        <v>0</v>
      </c>
      <c r="EE200" s="1117">
        <f>$G200+ED200</f>
        <v>17122103.721672125</v>
      </c>
      <c r="EF200" s="1118">
        <f>VLOOKUP($E200,EE$442:EH$453,2,FALSE)*EE200*($K200)+IF($G200&lt;&gt;0,($H200/$G200)*EE200,0)*(1-$K200)</f>
        <v>0</v>
      </c>
      <c r="EG200" s="1118">
        <f>VLOOKUP($E200,EE$442:EH$453,3,FALSE)*EE200*($K200)+IF($G200&lt;&gt;0,($I200/$G200)*EE200,0)*(1-$K200)</f>
        <v>17122103.721672125</v>
      </c>
      <c r="EH200" s="1118">
        <f>VLOOKUP($E200,EE$442:EH$453,4,FALSE)*EE200*($K200)+(EE200-EF200-EG200)*(1-$K200)</f>
        <v>0</v>
      </c>
      <c r="EI200" s="1074"/>
      <c r="EL200" s="1162">
        <f>VLOOKUP($A200,'New Resources - Group'!$A$4:$Y$133,EL$2,FALSE)*EL$1</f>
        <v>0</v>
      </c>
      <c r="EM200" s="1117">
        <f>$G200+EL200</f>
        <v>17122103.721672125</v>
      </c>
      <c r="EN200" s="1118">
        <f>VLOOKUP($E200,EM$442:EP$453,2,FALSE)*EM200*($K200)+IF($G200&lt;&gt;0,($H200/$G200)*EM200,0)*(1-$K200)</f>
        <v>0</v>
      </c>
      <c r="EO200" s="1118">
        <f>VLOOKUP($E200,EM$442:EP$453,3,FALSE)*EM200*($K200)+IF($G200&lt;&gt;0,($I200/$G200)*EM200,0)*(1-$K200)</f>
        <v>17122103.721672125</v>
      </c>
      <c r="EP200" s="1118">
        <f>VLOOKUP($E200,EM$442:EP$453,4,FALSE)*EM200*($K200)+(EM200-EN200-EO200)*(1-$K200)</f>
        <v>0</v>
      </c>
      <c r="EQ200" s="1074"/>
      <c r="ET200" s="1162">
        <f>VLOOKUP($A200,'New Resources - Group'!$A$4:$Y$133,ET$2,FALSE)*ET$1</f>
        <v>0</v>
      </c>
      <c r="EU200" s="1117">
        <f>$G200+ET200</f>
        <v>17122103.721672125</v>
      </c>
      <c r="EV200" s="1118">
        <f>VLOOKUP($E200,EU$442:EX$453,2,FALSE)*EU200*($K200)+IF($G200&lt;&gt;0,($H200/$G200)*EU200,0)*(1-$K200)</f>
        <v>0</v>
      </c>
      <c r="EW200" s="1118">
        <f>VLOOKUP($E200,EU$442:EX$453,3,FALSE)*EU200*($K200)+IF($G200&lt;&gt;0,($I200/$G200)*EU200,0)*(1-$K200)</f>
        <v>17122103.721672125</v>
      </c>
      <c r="EX200" s="1118">
        <f>VLOOKUP($E200,EU$442:EX$453,4,FALSE)*EU200*($K200)+(EU200-EV200-EW200)*(1-$K200)</f>
        <v>0</v>
      </c>
      <c r="EY200" s="1074"/>
      <c r="FB200" s="1162">
        <f>VLOOKUP($A200,'New Resources - Group'!$A$4:$Y$133,FB$2,FALSE)*FB$1</f>
        <v>0</v>
      </c>
      <c r="FC200" s="1117">
        <f>$G200+FB200</f>
        <v>17122103.721672125</v>
      </c>
      <c r="FD200" s="1118">
        <f>VLOOKUP($E200,FC$442:FF$453,2,FALSE)*FC200*($K200)+IF($G200&lt;&gt;0,($H200/$G200)*FC200,0)*(1-$K200)</f>
        <v>0</v>
      </c>
      <c r="FE200" s="1118">
        <f>VLOOKUP($E200,FC$442:FF$453,3,FALSE)*FC200*($K200)+IF($G200&lt;&gt;0,($I200/$G200)*FC200,0)*(1-$K200)</f>
        <v>17122103.721672125</v>
      </c>
      <c r="FF200" s="1118">
        <f>VLOOKUP($E200,FC$442:FF$453,4,FALSE)*FC200*($K200)+(FC200-FD200-FE200)*(1-$K200)</f>
        <v>0</v>
      </c>
      <c r="FG200" s="1074"/>
      <c r="FJ200" s="1162">
        <f>VLOOKUP($A200,'New Resources - Group'!$A$4:$Y$133,FJ$2,FALSE)*FJ$1</f>
        <v>0</v>
      </c>
      <c r="FK200" s="1117">
        <f>$G200+FJ200</f>
        <v>17122103.721672125</v>
      </c>
      <c r="FL200" s="1118">
        <f>VLOOKUP($E200,FK$442:FN$453,2,FALSE)*FK200*($K200)+IF($G200&lt;&gt;0,($H200/$G200)*FK200,0)*(1-$K200)</f>
        <v>0</v>
      </c>
      <c r="FM200" s="1118">
        <f>VLOOKUP($E200,FK$442:FN$453,3,FALSE)*FK200*($K200)+IF($G200&lt;&gt;0,($I200/$G200)*FK200,0)*(1-$K200)</f>
        <v>17122103.721672125</v>
      </c>
      <c r="FN200" s="1118">
        <f>VLOOKUP($E200,FK$442:FN$453,4,FALSE)*FK200*($K200)+(FK200-FL200-FM200)*(1-$K200)</f>
        <v>0</v>
      </c>
      <c r="FO200" s="1074"/>
    </row>
    <row r="201" spans="1:171" x14ac:dyDescent="0.25">
      <c r="A201" s="1442">
        <v>890</v>
      </c>
      <c r="B201" s="914" t="s">
        <v>462</v>
      </c>
      <c r="C201" s="889" t="s">
        <v>72</v>
      </c>
      <c r="D201" s="890" t="s">
        <v>303</v>
      </c>
      <c r="E201" s="182" t="str">
        <f>'Sch 3 - Expenses'!E41</f>
        <v>TRANS</v>
      </c>
      <c r="F201" s="890"/>
      <c r="G201" s="182">
        <f>'Sch 3 - Expenses'!G41</f>
        <v>20375940.386021726</v>
      </c>
      <c r="H201" s="182">
        <f>'Sch 3 - Expenses'!H41</f>
        <v>0</v>
      </c>
      <c r="I201" s="182">
        <f>'Sch 3 - Expenses'!I41</f>
        <v>0</v>
      </c>
      <c r="J201" s="1422">
        <f>'Sch 3 - Expenses'!J41</f>
        <v>20375940.386021726</v>
      </c>
      <c r="K201" s="904">
        <f>IF($E201="DIRECT",0,1)</f>
        <v>1</v>
      </c>
      <c r="N201" s="1162">
        <f>VLOOKUP($A201,'New Resources - Group'!$A$4:$Y$133,N$2,FALSE)*N$1</f>
        <v>0</v>
      </c>
      <c r="O201" s="1117">
        <f>$G201+N201</f>
        <v>20375940.386021726</v>
      </c>
      <c r="P201" s="1118">
        <f>VLOOKUP($E201,O$442:R$453,2,FALSE)*O201*($K201)+IF($G201&lt;&gt;0,($H201/$G201)*O201,0)*(1-$K201)</f>
        <v>0</v>
      </c>
      <c r="Q201" s="1118">
        <f>VLOOKUP($E201,O$442:R$453,3,FALSE)*O201*($K201)+IF($G201&lt;&gt;0,($I201/$G201)*O201,0)*(1-$K201)</f>
        <v>20375940.386021726</v>
      </c>
      <c r="R201" s="1118">
        <f>VLOOKUP($E201,O$442:R$453,4,FALSE)*O201*($K201)+(O201-P201-Q201)*(1-$K201)</f>
        <v>0</v>
      </c>
      <c r="S201" s="1074"/>
      <c r="V201" s="1162">
        <f>VLOOKUP($A201,'New Resources - Group'!$A$4:$Y$133,V$2,FALSE)*V$1</f>
        <v>0</v>
      </c>
      <c r="W201" s="1117">
        <f>$G201+V201</f>
        <v>20375940.386021726</v>
      </c>
      <c r="X201" s="1118">
        <f>VLOOKUP($E201,W$442:Z$453,2,FALSE)*W201*($K201)+IF($G201&lt;&gt;0,($H201/$G201)*W201,0)*(1-$K201)</f>
        <v>0</v>
      </c>
      <c r="Y201" s="1118">
        <f>VLOOKUP($E201,W$442:Z$453,3,FALSE)*W201*($K201)+IF($G201&lt;&gt;0,($I201/$G201)*W201,0)*(1-$K201)</f>
        <v>20375940.386021726</v>
      </c>
      <c r="Z201" s="1118">
        <f>VLOOKUP($E201,W$442:Z$453,4,FALSE)*W201*($K201)+(W201-X201-Y201)*(1-$K201)</f>
        <v>0</v>
      </c>
      <c r="AA201" s="1074"/>
      <c r="AD201" s="1162">
        <f>VLOOKUP($A201,'New Resources - Group'!$A$4:$Y$133,AD$2,FALSE)*AD$1</f>
        <v>0</v>
      </c>
      <c r="AE201" s="1117">
        <f>$G201+AD201</f>
        <v>20375940.386021726</v>
      </c>
      <c r="AF201" s="1118">
        <f>VLOOKUP($E201,AE$442:AH$453,2,FALSE)*AE201*($K201)+IF($G201&lt;&gt;0,($H201/$G201)*AE201,0)*(1-$K201)</f>
        <v>0</v>
      </c>
      <c r="AG201" s="1118">
        <f>VLOOKUP($E201,AE$442:AH$453,3,FALSE)*AE201*($K201)+IF($G201&lt;&gt;0,($I201/$G201)*AE201,0)*(1-$K201)</f>
        <v>20375940.386021726</v>
      </c>
      <c r="AH201" s="1118">
        <f>VLOOKUP($E201,AE$442:AH$453,4,FALSE)*AE201*($K201)+(AE201-AF201-AG201)*(1-$K201)</f>
        <v>0</v>
      </c>
      <c r="AI201" s="1074"/>
      <c r="AL201" s="1162">
        <f>VLOOKUP($A201,'New Resources - Group'!$A$4:$Y$133,AL$2,FALSE)*AL$1</f>
        <v>0</v>
      </c>
      <c r="AM201" s="1117">
        <f>$G201+AL201</f>
        <v>20375940.386021726</v>
      </c>
      <c r="AN201" s="1118">
        <f>VLOOKUP($E201,AM$442:AP$453,2,FALSE)*AM201*($K201)+IF($G201&lt;&gt;0,($H201/$G201)*AM201,0)*(1-$K201)</f>
        <v>0</v>
      </c>
      <c r="AO201" s="1118">
        <f>VLOOKUP($E201,AM$442:AP$453,3,FALSE)*AM201*($K201)+IF($G201&lt;&gt;0,($I201/$G201)*AM201,0)*(1-$K201)</f>
        <v>20375940.386021726</v>
      </c>
      <c r="AP201" s="1118">
        <f>VLOOKUP($E201,AM$442:AP$453,4,FALSE)*AM201*($K201)+(AM201-AN201-AO201)*(1-$K201)</f>
        <v>0</v>
      </c>
      <c r="AQ201" s="1074"/>
      <c r="AT201" s="1162">
        <f>VLOOKUP($A201,'New Resources - Group'!$A$4:$Y$133,AT$2,FALSE)*AT$1</f>
        <v>0</v>
      </c>
      <c r="AU201" s="1117">
        <f>$G201+AT201</f>
        <v>20375940.386021726</v>
      </c>
      <c r="AV201" s="1118">
        <f>VLOOKUP($E201,AU$442:AX$453,2,FALSE)*AU201*($K201)+IF($G201&lt;&gt;0,($H201/$G201)*AU201,0)*(1-$K201)</f>
        <v>0</v>
      </c>
      <c r="AW201" s="1118">
        <f>VLOOKUP($E201,AU$442:AX$453,3,FALSE)*AU201*($K201)+IF($G201&lt;&gt;0,($I201/$G201)*AU201,0)*(1-$K201)</f>
        <v>20375940.386021726</v>
      </c>
      <c r="AX201" s="1118">
        <f>VLOOKUP($E201,AU$442:AX$453,4,FALSE)*AU201*($K201)+(AU201-AV201-AW201)*(1-$K201)</f>
        <v>0</v>
      </c>
      <c r="AY201" s="1074"/>
      <c r="BB201" s="1162">
        <f>VLOOKUP($A201,'New Resources - Group'!$A$4:$Y$133,BB$2,FALSE)*BB$1</f>
        <v>0</v>
      </c>
      <c r="BC201" s="1117">
        <f>$G201+BB201</f>
        <v>20375940.386021726</v>
      </c>
      <c r="BD201" s="1118">
        <f>VLOOKUP($E201,BC$442:BF$453,2,FALSE)*BC201*($K201)+IF($G201&lt;&gt;0,($H201/$G201)*BC201,0)*(1-$K201)</f>
        <v>0</v>
      </c>
      <c r="BE201" s="1118">
        <f>VLOOKUP($E201,BC$442:BF$453,3,FALSE)*BC201*($K201)+IF($G201&lt;&gt;0,($I201/$G201)*BC201,0)*(1-$K201)</f>
        <v>20375940.386021726</v>
      </c>
      <c r="BF201" s="1118">
        <f>VLOOKUP($E201,BC$442:BF$453,4,FALSE)*BC201*($K201)+(BC201-BD201-BE201)*(1-$K201)</f>
        <v>0</v>
      </c>
      <c r="BG201" s="1074"/>
      <c r="BJ201" s="1162">
        <f>VLOOKUP($A201,'New Resources - Group'!$A$4:$Y$133,BJ$2,FALSE)*BJ$1</f>
        <v>0</v>
      </c>
      <c r="BK201" s="1117">
        <f>$G201+BJ201</f>
        <v>20375940.386021726</v>
      </c>
      <c r="BL201" s="1118">
        <f>VLOOKUP($E201,BK$442:BN$453,2,FALSE)*BK201*($K201)+IF($G201&lt;&gt;0,($H201/$G201)*BK201,0)*(1-$K201)</f>
        <v>0</v>
      </c>
      <c r="BM201" s="1118">
        <f>VLOOKUP($E201,BK$442:BN$453,3,FALSE)*BK201*($K201)+IF($G201&lt;&gt;0,($I201/$G201)*BK201,0)*(1-$K201)</f>
        <v>20375940.386021726</v>
      </c>
      <c r="BN201" s="1118">
        <f>VLOOKUP($E201,BK$442:BN$453,4,FALSE)*BK201*($K201)+(BK201-BL201-BM201)*(1-$K201)</f>
        <v>0</v>
      </c>
      <c r="BO201" s="1074"/>
      <c r="BR201" s="1162">
        <f>VLOOKUP($A201,'New Resources - Group'!$A$4:$Y$133,BR$2,FALSE)*BR$1</f>
        <v>0</v>
      </c>
      <c r="BS201" s="1117">
        <f>$G201+BR201</f>
        <v>20375940.386021726</v>
      </c>
      <c r="BT201" s="1118">
        <f>VLOOKUP($E201,BS$442:BV$453,2,FALSE)*BS201*($K201)+IF($G201&lt;&gt;0,($H201/$G201)*BS201,0)*(1-$K201)</f>
        <v>0</v>
      </c>
      <c r="BU201" s="1118">
        <f>VLOOKUP($E201,BS$442:BV$453,3,FALSE)*BS201*($K201)+IF($G201&lt;&gt;0,($I201/$G201)*BS201,0)*(1-$K201)</f>
        <v>20375940.386021726</v>
      </c>
      <c r="BV201" s="1118">
        <f>VLOOKUP($E201,BS$442:BV$453,4,FALSE)*BS201*($K201)+(BS201-BT201-BU201)*(1-$K201)</f>
        <v>0</v>
      </c>
      <c r="BW201" s="1074"/>
      <c r="BZ201" s="1162">
        <f>VLOOKUP($A201,'New Resources - Group'!$A$4:$Y$133,BZ$2,FALSE)*BZ$1</f>
        <v>0</v>
      </c>
      <c r="CA201" s="1117">
        <f>$G201+BZ201</f>
        <v>20375940.386021726</v>
      </c>
      <c r="CB201" s="1118">
        <f>VLOOKUP($E201,CA$442:CD$453,2,FALSE)*CA201*($K201)+IF($G201&lt;&gt;0,($H201/$G201)*CA201,0)*(1-$K201)</f>
        <v>0</v>
      </c>
      <c r="CC201" s="1118">
        <f>VLOOKUP($E201,CA$442:CD$453,3,FALSE)*CA201*($K201)+IF($G201&lt;&gt;0,($I201/$G201)*CA201,0)*(1-$K201)</f>
        <v>20375940.386021726</v>
      </c>
      <c r="CD201" s="1118">
        <f>VLOOKUP($E201,CA$442:CD$453,4,FALSE)*CA201*($K201)+(CA201-CB201-CC201)*(1-$K201)</f>
        <v>0</v>
      </c>
      <c r="CE201" s="1074"/>
      <c r="CH201" s="1162">
        <f>VLOOKUP($A201,'New Resources - Group'!$A$4:$Y$133,CH$2,FALSE)*CH$1</f>
        <v>0</v>
      </c>
      <c r="CI201" s="1117">
        <f>$G201+CH201</f>
        <v>20375940.386021726</v>
      </c>
      <c r="CJ201" s="1118">
        <f>VLOOKUP($E201,CI$442:CL$453,2,FALSE)*CI201*($K201)+IF($G201&lt;&gt;0,($H201/$G201)*CI201,0)*(1-$K201)</f>
        <v>0</v>
      </c>
      <c r="CK201" s="1118">
        <f>VLOOKUP($E201,CI$442:CL$453,3,FALSE)*CI201*($K201)+IF($G201&lt;&gt;0,($I201/$G201)*CI201,0)*(1-$K201)</f>
        <v>20375940.386021726</v>
      </c>
      <c r="CL201" s="1118">
        <f>VLOOKUP($E201,CI$442:CL$453,4,FALSE)*CI201*($K201)+(CI201-CJ201-CK201)*(1-$K201)</f>
        <v>0</v>
      </c>
      <c r="CM201" s="1074"/>
      <c r="CP201" s="1162">
        <f>VLOOKUP($A201,'New Resources - Group'!$A$4:$Y$133,CP$2,FALSE)*CP$1</f>
        <v>0</v>
      </c>
      <c r="CQ201" s="1117">
        <f>$G201+CP201</f>
        <v>20375940.386021726</v>
      </c>
      <c r="CR201" s="1118">
        <f>VLOOKUP($E201,CQ$442:CT$453,2,FALSE)*CQ201*($K201)+IF($G201&lt;&gt;0,($H201/$G201)*CQ201,0)*(1-$K201)</f>
        <v>0</v>
      </c>
      <c r="CS201" s="1118">
        <f>VLOOKUP($E201,CQ$442:CT$453,3,FALSE)*CQ201*($K201)+IF($G201&lt;&gt;0,($I201/$G201)*CQ201,0)*(1-$K201)</f>
        <v>20375940.386021726</v>
      </c>
      <c r="CT201" s="1118">
        <f>VLOOKUP($E201,CQ$442:CT$453,4,FALSE)*CQ201*($K201)+(CQ201-CR201-CS201)*(1-$K201)</f>
        <v>0</v>
      </c>
      <c r="CU201" s="1074"/>
      <c r="CX201" s="1162">
        <f>VLOOKUP($A201,'New Resources - Group'!$A$4:$Y$133,CX$2,FALSE)*CX$1</f>
        <v>0</v>
      </c>
      <c r="CY201" s="1117">
        <f>$G201+CX201</f>
        <v>20375940.386021726</v>
      </c>
      <c r="CZ201" s="1118">
        <f>VLOOKUP($E201,CY$442:DB$453,2,FALSE)*CY201*($K201)+IF($G201&lt;&gt;0,($H201/$G201)*CY201,0)*(1-$K201)</f>
        <v>0</v>
      </c>
      <c r="DA201" s="1118">
        <f>VLOOKUP($E201,CY$442:DB$453,3,FALSE)*CY201*($K201)+IF($G201&lt;&gt;0,($I201/$G201)*CY201,0)*(1-$K201)</f>
        <v>20375940.386021726</v>
      </c>
      <c r="DB201" s="1118">
        <f>VLOOKUP($E201,CY$442:DB$453,4,FALSE)*CY201*($K201)+(CY201-CZ201-DA201)*(1-$K201)</f>
        <v>0</v>
      </c>
      <c r="DC201" s="1074"/>
      <c r="DF201" s="1162">
        <f>VLOOKUP($A201,'New Resources - Group'!$A$4:$Y$133,DF$2,FALSE)*DF$1</f>
        <v>0</v>
      </c>
      <c r="DG201" s="1117">
        <f>$G201+DF201</f>
        <v>20375940.386021726</v>
      </c>
      <c r="DH201" s="1118">
        <f>VLOOKUP($E201,DG$442:DJ$453,2,FALSE)*DG201*($K201)+IF($G201&lt;&gt;0,($H201/$G201)*DG201,0)*(1-$K201)</f>
        <v>0</v>
      </c>
      <c r="DI201" s="1118">
        <f>VLOOKUP($E201,DG$442:DJ$453,3,FALSE)*DG201*($K201)+IF($G201&lt;&gt;0,($I201/$G201)*DG201,0)*(1-$K201)</f>
        <v>20375940.386021726</v>
      </c>
      <c r="DJ201" s="1118">
        <f>VLOOKUP($E201,DG$442:DJ$453,4,FALSE)*DG201*($K201)+(DG201-DH201-DI201)*(1-$K201)</f>
        <v>0</v>
      </c>
      <c r="DK201" s="1074"/>
      <c r="DN201" s="1162">
        <f>VLOOKUP($A201,'New Resources - Group'!$A$4:$Y$133,DN$2,FALSE)*DN$1</f>
        <v>0</v>
      </c>
      <c r="DO201" s="1117">
        <f>$G201+DN201</f>
        <v>20375940.386021726</v>
      </c>
      <c r="DP201" s="1118">
        <f>VLOOKUP($E201,DO$442:DR$453,2,FALSE)*DO201*($K201)+IF($G201&lt;&gt;0,($H201/$G201)*DO201,0)*(1-$K201)</f>
        <v>0</v>
      </c>
      <c r="DQ201" s="1118">
        <f>VLOOKUP($E201,DO$442:DR$453,3,FALSE)*DO201*($K201)+IF($G201&lt;&gt;0,($I201/$G201)*DO201,0)*(1-$K201)</f>
        <v>20375940.386021726</v>
      </c>
      <c r="DR201" s="1118">
        <f>VLOOKUP($E201,DO$442:DR$453,4,FALSE)*DO201*($K201)+(DO201-DP201-DQ201)*(1-$K201)</f>
        <v>0</v>
      </c>
      <c r="DS201" s="1074"/>
      <c r="DV201" s="1162">
        <f>VLOOKUP($A201,'New Resources - Group'!$A$4:$Y$133,DV$2,FALSE)*DV$1</f>
        <v>0</v>
      </c>
      <c r="DW201" s="1117">
        <f>$G201+DV201</f>
        <v>20375940.386021726</v>
      </c>
      <c r="DX201" s="1118">
        <f>VLOOKUP($E201,DW$442:DZ$453,2,FALSE)*DW201*($K201)+IF($G201&lt;&gt;0,($H201/$G201)*DW201,0)*(1-$K201)</f>
        <v>0</v>
      </c>
      <c r="DY201" s="1118">
        <f>VLOOKUP($E201,DW$442:DZ$453,3,FALSE)*DW201*($K201)+IF($G201&lt;&gt;0,($I201/$G201)*DW201,0)*(1-$K201)</f>
        <v>20375940.386021726</v>
      </c>
      <c r="DZ201" s="1118">
        <f>VLOOKUP($E201,DW$442:DZ$453,4,FALSE)*DW201*($K201)+(DW201-DX201-DY201)*(1-$K201)</f>
        <v>0</v>
      </c>
      <c r="EA201" s="1074"/>
      <c r="ED201" s="1162">
        <f>VLOOKUP($A201,'New Resources - Group'!$A$4:$Y$133,ED$2,FALSE)*ED$1</f>
        <v>0</v>
      </c>
      <c r="EE201" s="1117">
        <f>$G201+ED201</f>
        <v>20375940.386021726</v>
      </c>
      <c r="EF201" s="1118">
        <f>VLOOKUP($E201,EE$442:EH$453,2,FALSE)*EE201*($K201)+IF($G201&lt;&gt;0,($H201/$G201)*EE201,0)*(1-$K201)</f>
        <v>0</v>
      </c>
      <c r="EG201" s="1118">
        <f>VLOOKUP($E201,EE$442:EH$453,3,FALSE)*EE201*($K201)+IF($G201&lt;&gt;0,($I201/$G201)*EE201,0)*(1-$K201)</f>
        <v>20375940.386021726</v>
      </c>
      <c r="EH201" s="1118">
        <f>VLOOKUP($E201,EE$442:EH$453,4,FALSE)*EE201*($K201)+(EE201-EF201-EG201)*(1-$K201)</f>
        <v>0</v>
      </c>
      <c r="EI201" s="1074"/>
      <c r="EL201" s="1162">
        <f>VLOOKUP($A201,'New Resources - Group'!$A$4:$Y$133,EL$2,FALSE)*EL$1</f>
        <v>0</v>
      </c>
      <c r="EM201" s="1117">
        <f>$G201+EL201</f>
        <v>20375940.386021726</v>
      </c>
      <c r="EN201" s="1118">
        <f>VLOOKUP($E201,EM$442:EP$453,2,FALSE)*EM201*($K201)+IF($G201&lt;&gt;0,($H201/$G201)*EM201,0)*(1-$K201)</f>
        <v>0</v>
      </c>
      <c r="EO201" s="1118">
        <f>VLOOKUP($E201,EM$442:EP$453,3,FALSE)*EM201*($K201)+IF($G201&lt;&gt;0,($I201/$G201)*EM201,0)*(1-$K201)</f>
        <v>20375940.386021726</v>
      </c>
      <c r="EP201" s="1118">
        <f>VLOOKUP($E201,EM$442:EP$453,4,FALSE)*EM201*($K201)+(EM201-EN201-EO201)*(1-$K201)</f>
        <v>0</v>
      </c>
      <c r="EQ201" s="1074"/>
      <c r="ET201" s="1162">
        <f>VLOOKUP($A201,'New Resources - Group'!$A$4:$Y$133,ET$2,FALSE)*ET$1</f>
        <v>0</v>
      </c>
      <c r="EU201" s="1117">
        <f>$G201+ET201</f>
        <v>20375940.386021726</v>
      </c>
      <c r="EV201" s="1118">
        <f>VLOOKUP($E201,EU$442:EX$453,2,FALSE)*EU201*($K201)+IF($G201&lt;&gt;0,($H201/$G201)*EU201,0)*(1-$K201)</f>
        <v>0</v>
      </c>
      <c r="EW201" s="1118">
        <f>VLOOKUP($E201,EU$442:EX$453,3,FALSE)*EU201*($K201)+IF($G201&lt;&gt;0,($I201/$G201)*EU201,0)*(1-$K201)</f>
        <v>20375940.386021726</v>
      </c>
      <c r="EX201" s="1118">
        <f>VLOOKUP($E201,EU$442:EX$453,4,FALSE)*EU201*($K201)+(EU201-EV201-EW201)*(1-$K201)</f>
        <v>0</v>
      </c>
      <c r="EY201" s="1074"/>
      <c r="FB201" s="1162">
        <f>VLOOKUP($A201,'New Resources - Group'!$A$4:$Y$133,FB$2,FALSE)*FB$1</f>
        <v>0</v>
      </c>
      <c r="FC201" s="1117">
        <f>$G201+FB201</f>
        <v>20375940.386021726</v>
      </c>
      <c r="FD201" s="1118">
        <f>VLOOKUP($E201,FC$442:FF$453,2,FALSE)*FC201*($K201)+IF($G201&lt;&gt;0,($H201/$G201)*FC201,0)*(1-$K201)</f>
        <v>0</v>
      </c>
      <c r="FE201" s="1118">
        <f>VLOOKUP($E201,FC$442:FF$453,3,FALSE)*FC201*($K201)+IF($G201&lt;&gt;0,($I201/$G201)*FC201,0)*(1-$K201)</f>
        <v>20375940.386021726</v>
      </c>
      <c r="FF201" s="1118">
        <f>VLOOKUP($E201,FC$442:FF$453,4,FALSE)*FC201*($K201)+(FC201-FD201-FE201)*(1-$K201)</f>
        <v>0</v>
      </c>
      <c r="FG201" s="1074"/>
      <c r="FJ201" s="1162">
        <f>VLOOKUP($A201,'New Resources - Group'!$A$4:$Y$133,FJ$2,FALSE)*FJ$1</f>
        <v>0</v>
      </c>
      <c r="FK201" s="1117">
        <f>$G201+FJ201</f>
        <v>20375940.386021726</v>
      </c>
      <c r="FL201" s="1118">
        <f>VLOOKUP($E201,FK$442:FN$453,2,FALSE)*FK201*($K201)+IF($G201&lt;&gt;0,($H201/$G201)*FK201,0)*(1-$K201)</f>
        <v>0</v>
      </c>
      <c r="FM201" s="1118">
        <f>VLOOKUP($E201,FK$442:FN$453,3,FALSE)*FK201*($K201)+IF($G201&lt;&gt;0,($I201/$G201)*FK201,0)*(1-$K201)</f>
        <v>20375940.386021726</v>
      </c>
      <c r="FN201" s="1118">
        <f>VLOOKUP($E201,FK$442:FN$453,4,FALSE)*FK201*($K201)+(FK201-FL201-FM201)*(1-$K201)</f>
        <v>0</v>
      </c>
      <c r="FO201" s="1074"/>
    </row>
    <row r="202" spans="1:171" x14ac:dyDescent="0.25">
      <c r="A202" s="1344" t="s">
        <v>483</v>
      </c>
      <c r="B202" s="10"/>
      <c r="C202" s="915"/>
      <c r="D202" s="916"/>
      <c r="E202" s="916"/>
      <c r="F202" s="917"/>
      <c r="G202" s="924">
        <f>SUM(G199:G201)</f>
        <v>103453255.75588429</v>
      </c>
      <c r="H202" s="924">
        <f>SUM(H199:H201)</f>
        <v>65955211.648190439</v>
      </c>
      <c r="I202" s="924">
        <f>SUM(I199:I201)</f>
        <v>0</v>
      </c>
      <c r="J202" s="1429">
        <f>SUM(J199:J201)</f>
        <v>37498044.107693851</v>
      </c>
      <c r="K202" s="904"/>
      <c r="O202" s="1136">
        <f>SUM(O199:O201)</f>
        <v>103453255.75588429</v>
      </c>
      <c r="P202" s="1136">
        <f>SUM(P199:P201)</f>
        <v>65955211.648190439</v>
      </c>
      <c r="Q202" s="1136">
        <f>SUM(Q199:Q201)</f>
        <v>37498044.107693851</v>
      </c>
      <c r="R202" s="1136">
        <f>SUM(R199:R201)</f>
        <v>0</v>
      </c>
      <c r="S202" s="1074"/>
      <c r="W202" s="1136">
        <f>SUM(W199:W201)</f>
        <v>103453255.75588429</v>
      </c>
      <c r="X202" s="1136">
        <f>SUM(X199:X201)</f>
        <v>65955211.648190439</v>
      </c>
      <c r="Y202" s="1136">
        <f>SUM(Y199:Y201)</f>
        <v>37498044.107693851</v>
      </c>
      <c r="Z202" s="1136">
        <f>SUM(Z199:Z201)</f>
        <v>0</v>
      </c>
      <c r="AA202" s="1074"/>
      <c r="AE202" s="1136">
        <f>SUM(AE199:AE201)</f>
        <v>103453255.75588429</v>
      </c>
      <c r="AF202" s="1136">
        <f>SUM(AF199:AF201)</f>
        <v>65955211.648190439</v>
      </c>
      <c r="AG202" s="1136">
        <f>SUM(AG199:AG201)</f>
        <v>37498044.107693851</v>
      </c>
      <c r="AH202" s="1136">
        <f>SUM(AH199:AH201)</f>
        <v>0</v>
      </c>
      <c r="AI202" s="1074"/>
      <c r="AM202" s="1136">
        <f>SUM(AM199:AM201)</f>
        <v>103453255.75588429</v>
      </c>
      <c r="AN202" s="1136">
        <f>SUM(AN199:AN201)</f>
        <v>65955211.648190439</v>
      </c>
      <c r="AO202" s="1136">
        <f>SUM(AO199:AO201)</f>
        <v>37498044.107693851</v>
      </c>
      <c r="AP202" s="1136">
        <f>SUM(AP199:AP201)</f>
        <v>0</v>
      </c>
      <c r="AQ202" s="1074"/>
      <c r="AU202" s="1136">
        <f>SUM(AU199:AU201)</f>
        <v>103453255.75588429</v>
      </c>
      <c r="AV202" s="1136">
        <f>SUM(AV199:AV201)</f>
        <v>65955211.648190439</v>
      </c>
      <c r="AW202" s="1136">
        <f>SUM(AW199:AW201)</f>
        <v>37498044.107693851</v>
      </c>
      <c r="AX202" s="1136">
        <f>SUM(AX199:AX201)</f>
        <v>0</v>
      </c>
      <c r="AY202" s="1074"/>
      <c r="BC202" s="1136">
        <f>SUM(BC199:BC201)</f>
        <v>103453255.75588429</v>
      </c>
      <c r="BD202" s="1136">
        <f>SUM(BD199:BD201)</f>
        <v>65955211.648190439</v>
      </c>
      <c r="BE202" s="1136">
        <f>SUM(BE199:BE201)</f>
        <v>37498044.107693851</v>
      </c>
      <c r="BF202" s="1136">
        <f>SUM(BF199:BF201)</f>
        <v>0</v>
      </c>
      <c r="BG202" s="1074"/>
      <c r="BK202" s="1136">
        <f>SUM(BK199:BK201)</f>
        <v>103453255.75588429</v>
      </c>
      <c r="BL202" s="1136">
        <f>SUM(BL199:BL201)</f>
        <v>65955211.648190439</v>
      </c>
      <c r="BM202" s="1136">
        <f>SUM(BM199:BM201)</f>
        <v>37498044.107693851</v>
      </c>
      <c r="BN202" s="1136">
        <f>SUM(BN199:BN201)</f>
        <v>0</v>
      </c>
      <c r="BO202" s="1074"/>
      <c r="BS202" s="1136">
        <f>SUM(BS199:BS201)</f>
        <v>103453255.75588429</v>
      </c>
      <c r="BT202" s="1136">
        <f>SUM(BT199:BT201)</f>
        <v>65955211.648190439</v>
      </c>
      <c r="BU202" s="1136">
        <f>SUM(BU199:BU201)</f>
        <v>37498044.107693851</v>
      </c>
      <c r="BV202" s="1136">
        <f>SUM(BV199:BV201)</f>
        <v>0</v>
      </c>
      <c r="BW202" s="1074"/>
      <c r="CA202" s="1136">
        <f>SUM(CA199:CA201)</f>
        <v>103453255.75588429</v>
      </c>
      <c r="CB202" s="1136">
        <f>SUM(CB199:CB201)</f>
        <v>65955211.648190439</v>
      </c>
      <c r="CC202" s="1136">
        <f>SUM(CC199:CC201)</f>
        <v>37498044.107693851</v>
      </c>
      <c r="CD202" s="1136">
        <f>SUM(CD199:CD201)</f>
        <v>0</v>
      </c>
      <c r="CE202" s="1074"/>
      <c r="CI202" s="1136">
        <f>SUM(CI199:CI201)</f>
        <v>103453255.75588429</v>
      </c>
      <c r="CJ202" s="1136">
        <f>SUM(CJ199:CJ201)</f>
        <v>65955211.648190439</v>
      </c>
      <c r="CK202" s="1136">
        <f>SUM(CK199:CK201)</f>
        <v>37498044.107693851</v>
      </c>
      <c r="CL202" s="1136">
        <f>SUM(CL199:CL201)</f>
        <v>0</v>
      </c>
      <c r="CM202" s="1074"/>
      <c r="CQ202" s="1136">
        <f>SUM(CQ199:CQ201)</f>
        <v>103453255.75588429</v>
      </c>
      <c r="CR202" s="1136">
        <f>SUM(CR199:CR201)</f>
        <v>65955211.648190439</v>
      </c>
      <c r="CS202" s="1136">
        <f>SUM(CS199:CS201)</f>
        <v>37498044.107693851</v>
      </c>
      <c r="CT202" s="1136">
        <f>SUM(CT199:CT201)</f>
        <v>0</v>
      </c>
      <c r="CU202" s="1074"/>
      <c r="CY202" s="1136">
        <f>SUM(CY199:CY201)</f>
        <v>103453255.75588429</v>
      </c>
      <c r="CZ202" s="1136">
        <f>SUM(CZ199:CZ201)</f>
        <v>65955211.648190439</v>
      </c>
      <c r="DA202" s="1136">
        <f>SUM(DA199:DA201)</f>
        <v>37498044.107693851</v>
      </c>
      <c r="DB202" s="1136">
        <f>SUM(DB199:DB201)</f>
        <v>0</v>
      </c>
      <c r="DC202" s="1074"/>
      <c r="DG202" s="1136">
        <f>SUM(DG199:DG201)</f>
        <v>103453255.75588429</v>
      </c>
      <c r="DH202" s="1136">
        <f>SUM(DH199:DH201)</f>
        <v>65955211.648190439</v>
      </c>
      <c r="DI202" s="1136">
        <f>SUM(DI199:DI201)</f>
        <v>37498044.107693851</v>
      </c>
      <c r="DJ202" s="1136">
        <f>SUM(DJ199:DJ201)</f>
        <v>0</v>
      </c>
      <c r="DK202" s="1074"/>
      <c r="DO202" s="1136">
        <f>SUM(DO199:DO201)</f>
        <v>103453255.75588429</v>
      </c>
      <c r="DP202" s="1136">
        <f>SUM(DP199:DP201)</f>
        <v>65955211.648190439</v>
      </c>
      <c r="DQ202" s="1136">
        <f>SUM(DQ199:DQ201)</f>
        <v>37498044.107693851</v>
      </c>
      <c r="DR202" s="1136">
        <f>SUM(DR199:DR201)</f>
        <v>0</v>
      </c>
      <c r="DS202" s="1074"/>
      <c r="DW202" s="1136">
        <f>SUM(DW199:DW201)</f>
        <v>103453255.75588429</v>
      </c>
      <c r="DX202" s="1136">
        <f>SUM(DX199:DX201)</f>
        <v>65955211.648190439</v>
      </c>
      <c r="DY202" s="1136">
        <f>SUM(DY199:DY201)</f>
        <v>37498044.107693851</v>
      </c>
      <c r="DZ202" s="1136">
        <f>SUM(DZ199:DZ201)</f>
        <v>0</v>
      </c>
      <c r="EA202" s="1074"/>
      <c r="EE202" s="1136">
        <f>SUM(EE199:EE201)</f>
        <v>103453255.75588429</v>
      </c>
      <c r="EF202" s="1136">
        <f>SUM(EF199:EF201)</f>
        <v>65955211.648190439</v>
      </c>
      <c r="EG202" s="1136">
        <f>SUM(EG199:EG201)</f>
        <v>37498044.107693851</v>
      </c>
      <c r="EH202" s="1136">
        <f>SUM(EH199:EH201)</f>
        <v>0</v>
      </c>
      <c r="EI202" s="1074"/>
      <c r="EM202" s="1136">
        <f>SUM(EM199:EM201)</f>
        <v>103453255.75588429</v>
      </c>
      <c r="EN202" s="1136">
        <f>SUM(EN199:EN201)</f>
        <v>65955211.648190439</v>
      </c>
      <c r="EO202" s="1136">
        <f>SUM(EO199:EO201)</f>
        <v>37498044.107693851</v>
      </c>
      <c r="EP202" s="1136">
        <f>SUM(EP199:EP201)</f>
        <v>0</v>
      </c>
      <c r="EQ202" s="1074"/>
      <c r="EU202" s="1136">
        <f>SUM(EU199:EU201)</f>
        <v>103453255.75588429</v>
      </c>
      <c r="EV202" s="1136">
        <f>SUM(EV199:EV201)</f>
        <v>65955211.648190439</v>
      </c>
      <c r="EW202" s="1136">
        <f>SUM(EW199:EW201)</f>
        <v>37498044.107693851</v>
      </c>
      <c r="EX202" s="1136">
        <f>SUM(EX199:EX201)</f>
        <v>0</v>
      </c>
      <c r="EY202" s="1074"/>
      <c r="FC202" s="1136">
        <f>SUM(FC199:FC201)</f>
        <v>103453255.75588429</v>
      </c>
      <c r="FD202" s="1136">
        <f>SUM(FD199:FD201)</f>
        <v>65955211.648190439</v>
      </c>
      <c r="FE202" s="1136">
        <f>SUM(FE199:FE201)</f>
        <v>37498044.107693851</v>
      </c>
      <c r="FF202" s="1136">
        <f>SUM(FF199:FF201)</f>
        <v>0</v>
      </c>
      <c r="FG202" s="1074"/>
      <c r="FK202" s="1136">
        <f>SUM(FK199:FK201)</f>
        <v>103453255.75588429</v>
      </c>
      <c r="FL202" s="1136">
        <f>SUM(FL199:FL201)</f>
        <v>65955211.648190439</v>
      </c>
      <c r="FM202" s="1136">
        <f>SUM(FM199:FM201)</f>
        <v>37498044.107693851</v>
      </c>
      <c r="FN202" s="1136">
        <f>SUM(FN199:FN201)</f>
        <v>0</v>
      </c>
      <c r="FO202" s="1074"/>
    </row>
    <row r="203" spans="1:171" ht="16.5" thickBot="1" x14ac:dyDescent="0.3">
      <c r="A203" s="1467"/>
      <c r="B203" s="996"/>
      <c r="C203" s="933"/>
      <c r="D203" s="933"/>
      <c r="E203" s="932"/>
      <c r="F203" s="932"/>
      <c r="G203" s="997"/>
      <c r="H203" s="976"/>
      <c r="I203" s="976"/>
      <c r="J203" s="1468"/>
      <c r="K203" s="904"/>
      <c r="S203" s="1074"/>
      <c r="AA203" s="1074"/>
      <c r="AI203" s="1074"/>
      <c r="AQ203" s="1074"/>
      <c r="AY203" s="1074"/>
      <c r="BG203" s="1074"/>
      <c r="BO203" s="1074"/>
      <c r="BW203" s="1074"/>
      <c r="CE203" s="1074"/>
      <c r="CM203" s="1074"/>
      <c r="CU203" s="1074"/>
      <c r="DC203" s="1074"/>
      <c r="DK203" s="1074"/>
      <c r="DS203" s="1074"/>
      <c r="EA203" s="1074"/>
      <c r="EI203" s="1074"/>
      <c r="EQ203" s="1074"/>
      <c r="EY203" s="1074"/>
      <c r="FG203" s="1074"/>
      <c r="FO203" s="1074"/>
    </row>
    <row r="204" spans="1:171" ht="16.5" thickTop="1" x14ac:dyDescent="0.25">
      <c r="A204" s="1361" t="s">
        <v>484</v>
      </c>
      <c r="B204" s="10"/>
      <c r="C204" s="55"/>
      <c r="D204" s="196"/>
      <c r="E204" s="10"/>
      <c r="F204" s="10"/>
      <c r="G204" s="990"/>
      <c r="H204" s="886"/>
      <c r="I204" s="886"/>
      <c r="J204" s="1434"/>
      <c r="K204" s="904"/>
      <c r="S204" s="1074"/>
      <c r="AA204" s="1074"/>
      <c r="AI204" s="1074"/>
      <c r="AQ204" s="1074"/>
      <c r="AY204" s="1074"/>
      <c r="BG204" s="1074"/>
      <c r="BO204" s="1074"/>
      <c r="BW204" s="1074"/>
      <c r="CE204" s="1074"/>
      <c r="CM204" s="1074"/>
      <c r="CU204" s="1074"/>
      <c r="DC204" s="1074"/>
      <c r="DK204" s="1074"/>
      <c r="DS204" s="1074"/>
      <c r="EA204" s="1074"/>
      <c r="EI204" s="1074"/>
      <c r="EQ204" s="1074"/>
      <c r="EY204" s="1074"/>
      <c r="FG204" s="1074"/>
      <c r="FO204" s="1074"/>
    </row>
    <row r="205" spans="1:171" x14ac:dyDescent="0.25">
      <c r="A205" s="1421"/>
      <c r="B205" s="914" t="s">
        <v>463</v>
      </c>
      <c r="C205" s="889" t="s">
        <v>72</v>
      </c>
      <c r="D205" s="890" t="s">
        <v>485</v>
      </c>
      <c r="E205" s="182" t="str">
        <f>'Sch 3 - Expenses'!E45</f>
        <v>DIST</v>
      </c>
      <c r="F205" s="890"/>
      <c r="G205" s="182">
        <f>'Sch 3 - Expenses'!G45</f>
        <v>34234230.504148312</v>
      </c>
      <c r="H205" s="182">
        <f>'Sch 3 - Expenses'!H45</f>
        <v>0</v>
      </c>
      <c r="I205" s="182">
        <f>'Sch 3 - Expenses'!I45</f>
        <v>0</v>
      </c>
      <c r="J205" s="1422">
        <f>'Sch 3 - Expenses'!J45</f>
        <v>34234230.504148312</v>
      </c>
      <c r="K205" s="904">
        <f>IF($E205="DIRECT",0,1)</f>
        <v>1</v>
      </c>
      <c r="O205" s="1117">
        <f>$G205</f>
        <v>34234230.504148312</v>
      </c>
      <c r="P205" s="1118">
        <f>VLOOKUP($E205,O$442:R$453,2,FALSE)*O205*($K205)+IF($G205&lt;&gt;0,($H205/$G205)*O205,0)*(1-$K205)</f>
        <v>0</v>
      </c>
      <c r="Q205" s="1118">
        <f>VLOOKUP($E205,O$442:R$453,3,FALSE)*O205*($K205)+IF($G205&lt;&gt;0,($I205/$G205)*O205,0)*(1-$K205)</f>
        <v>0</v>
      </c>
      <c r="R205" s="1118">
        <f>VLOOKUP($E205,O$442:R$453,4,FALSE)*O205*($K205)+(O205-P205-Q205)*(1-$K205)</f>
        <v>34234230.504148312</v>
      </c>
      <c r="S205" s="1074"/>
      <c r="W205" s="1117">
        <f>$G205</f>
        <v>34234230.504148312</v>
      </c>
      <c r="X205" s="1118">
        <f>VLOOKUP($E205,W$442:Z$453,2,FALSE)*W205*($K205)+IF($G205&lt;&gt;0,($H205/$G205)*W205,0)*(1-$K205)</f>
        <v>0</v>
      </c>
      <c r="Y205" s="1118">
        <f>VLOOKUP($E205,W$442:Z$453,3,FALSE)*W205*($K205)+IF($G205&lt;&gt;0,($I205/$G205)*W205,0)*(1-$K205)</f>
        <v>0</v>
      </c>
      <c r="Z205" s="1118">
        <f>VLOOKUP($E205,W$442:Z$453,4,FALSE)*W205*($K205)+(W205-X205-Y205)*(1-$K205)</f>
        <v>34234230.504148312</v>
      </c>
      <c r="AA205" s="1074"/>
      <c r="AE205" s="1117">
        <f>$G205</f>
        <v>34234230.504148312</v>
      </c>
      <c r="AF205" s="1118">
        <f>VLOOKUP($E205,AE$442:AH$453,2,FALSE)*AE205*($K205)+IF($G205&lt;&gt;0,($H205/$G205)*AE205,0)*(1-$K205)</f>
        <v>0</v>
      </c>
      <c r="AG205" s="1118">
        <f>VLOOKUP($E205,AE$442:AH$453,3,FALSE)*AE205*($K205)+IF($G205&lt;&gt;0,($I205/$G205)*AE205,0)*(1-$K205)</f>
        <v>0</v>
      </c>
      <c r="AH205" s="1118">
        <f>VLOOKUP($E205,AE$442:AH$453,4,FALSE)*AE205*($K205)+(AE205-AF205-AG205)*(1-$K205)</f>
        <v>34234230.504148312</v>
      </c>
      <c r="AI205" s="1074"/>
      <c r="AM205" s="1117">
        <f>$G205</f>
        <v>34234230.504148312</v>
      </c>
      <c r="AN205" s="1118">
        <f>VLOOKUP($E205,AM$442:AP$453,2,FALSE)*AM205*($K205)+IF($G205&lt;&gt;0,($H205/$G205)*AM205,0)*(1-$K205)</f>
        <v>0</v>
      </c>
      <c r="AO205" s="1118">
        <f>VLOOKUP($E205,AM$442:AP$453,3,FALSE)*AM205*($K205)+IF($G205&lt;&gt;0,($I205/$G205)*AM205,0)*(1-$K205)</f>
        <v>0</v>
      </c>
      <c r="AP205" s="1118">
        <f>VLOOKUP($E205,AM$442:AP$453,4,FALSE)*AM205*($K205)+(AM205-AN205-AO205)*(1-$K205)</f>
        <v>34234230.504148312</v>
      </c>
      <c r="AQ205" s="1074"/>
      <c r="AU205" s="1117">
        <f>$G205</f>
        <v>34234230.504148312</v>
      </c>
      <c r="AV205" s="1118">
        <f>VLOOKUP($E205,AU$442:AX$453,2,FALSE)*AU205*($K205)+IF($G205&lt;&gt;0,($H205/$G205)*AU205,0)*(1-$K205)</f>
        <v>0</v>
      </c>
      <c r="AW205" s="1118">
        <f>VLOOKUP($E205,AU$442:AX$453,3,FALSE)*AU205*($K205)+IF($G205&lt;&gt;0,($I205/$G205)*AU205,0)*(1-$K205)</f>
        <v>0</v>
      </c>
      <c r="AX205" s="1118">
        <f>VLOOKUP($E205,AU$442:AX$453,4,FALSE)*AU205*($K205)+(AU205-AV205-AW205)*(1-$K205)</f>
        <v>34234230.504148312</v>
      </c>
      <c r="AY205" s="1074"/>
      <c r="BC205" s="1117">
        <f>$G205</f>
        <v>34234230.504148312</v>
      </c>
      <c r="BD205" s="1118">
        <f>VLOOKUP($E205,BC$442:BF$453,2,FALSE)*BC205*($K205)+IF($G205&lt;&gt;0,($H205/$G205)*BC205,0)*(1-$K205)</f>
        <v>0</v>
      </c>
      <c r="BE205" s="1118">
        <f>VLOOKUP($E205,BC$442:BF$453,3,FALSE)*BC205*($K205)+IF($G205&lt;&gt;0,($I205/$G205)*BC205,0)*(1-$K205)</f>
        <v>0</v>
      </c>
      <c r="BF205" s="1118">
        <f>VLOOKUP($E205,BC$442:BF$453,4,FALSE)*BC205*($K205)+(BC205-BD205-BE205)*(1-$K205)</f>
        <v>34234230.504148312</v>
      </c>
      <c r="BG205" s="1074"/>
      <c r="BK205" s="1117">
        <f>$G205</f>
        <v>34234230.504148312</v>
      </c>
      <c r="BL205" s="1118">
        <f>VLOOKUP($E205,BK$442:BN$453,2,FALSE)*BK205*($K205)+IF($G205&lt;&gt;0,($H205/$G205)*BK205,0)*(1-$K205)</f>
        <v>0</v>
      </c>
      <c r="BM205" s="1118">
        <f>VLOOKUP($E205,BK$442:BN$453,3,FALSE)*BK205*($K205)+IF($G205&lt;&gt;0,($I205/$G205)*BK205,0)*(1-$K205)</f>
        <v>0</v>
      </c>
      <c r="BN205" s="1118">
        <f>VLOOKUP($E205,BK$442:BN$453,4,FALSE)*BK205*($K205)+(BK205-BL205-BM205)*(1-$K205)</f>
        <v>34234230.504148312</v>
      </c>
      <c r="BO205" s="1074"/>
      <c r="BS205" s="1117">
        <f>$G205</f>
        <v>34234230.504148312</v>
      </c>
      <c r="BT205" s="1118">
        <f>VLOOKUP($E205,BS$442:BV$453,2,FALSE)*BS205*($K205)+IF($G205&lt;&gt;0,($H205/$G205)*BS205,0)*(1-$K205)</f>
        <v>0</v>
      </c>
      <c r="BU205" s="1118">
        <f>VLOOKUP($E205,BS$442:BV$453,3,FALSE)*BS205*($K205)+IF($G205&lt;&gt;0,($I205/$G205)*BS205,0)*(1-$K205)</f>
        <v>0</v>
      </c>
      <c r="BV205" s="1118">
        <f>VLOOKUP($E205,BS$442:BV$453,4,FALSE)*BS205*($K205)+(BS205-BT205-BU205)*(1-$K205)</f>
        <v>34234230.504148312</v>
      </c>
      <c r="BW205" s="1074"/>
      <c r="CA205" s="1117">
        <f>$G205</f>
        <v>34234230.504148312</v>
      </c>
      <c r="CB205" s="1118">
        <f>VLOOKUP($E205,CA$442:CD$453,2,FALSE)*CA205*($K205)+IF($G205&lt;&gt;0,($H205/$G205)*CA205,0)*(1-$K205)</f>
        <v>0</v>
      </c>
      <c r="CC205" s="1118">
        <f>VLOOKUP($E205,CA$442:CD$453,3,FALSE)*CA205*($K205)+IF($G205&lt;&gt;0,($I205/$G205)*CA205,0)*(1-$K205)</f>
        <v>0</v>
      </c>
      <c r="CD205" s="1118">
        <f>VLOOKUP($E205,CA$442:CD$453,4,FALSE)*CA205*($K205)+(CA205-CB205-CC205)*(1-$K205)</f>
        <v>34234230.504148312</v>
      </c>
      <c r="CE205" s="1074"/>
      <c r="CI205" s="1117">
        <f>$G205</f>
        <v>34234230.504148312</v>
      </c>
      <c r="CJ205" s="1118">
        <f>VLOOKUP($E205,CI$442:CL$453,2,FALSE)*CI205*($K205)+IF($G205&lt;&gt;0,($H205/$G205)*CI205,0)*(1-$K205)</f>
        <v>0</v>
      </c>
      <c r="CK205" s="1118">
        <f>VLOOKUP($E205,CI$442:CL$453,3,FALSE)*CI205*($K205)+IF($G205&lt;&gt;0,($I205/$G205)*CI205,0)*(1-$K205)</f>
        <v>0</v>
      </c>
      <c r="CL205" s="1118">
        <f>VLOOKUP($E205,CI$442:CL$453,4,FALSE)*CI205*($K205)+(CI205-CJ205-CK205)*(1-$K205)</f>
        <v>34234230.504148312</v>
      </c>
      <c r="CM205" s="1074"/>
      <c r="CQ205" s="1117">
        <f>$G205</f>
        <v>34234230.504148312</v>
      </c>
      <c r="CR205" s="1118">
        <f>VLOOKUP($E205,CQ$442:CT$453,2,FALSE)*CQ205*($K205)+IF($G205&lt;&gt;0,($H205/$G205)*CQ205,0)*(1-$K205)</f>
        <v>0</v>
      </c>
      <c r="CS205" s="1118">
        <f>VLOOKUP($E205,CQ$442:CT$453,3,FALSE)*CQ205*($K205)+IF($G205&lt;&gt;0,($I205/$G205)*CQ205,0)*(1-$K205)</f>
        <v>0</v>
      </c>
      <c r="CT205" s="1118">
        <f>VLOOKUP($E205,CQ$442:CT$453,4,FALSE)*CQ205*($K205)+(CQ205-CR205-CS205)*(1-$K205)</f>
        <v>34234230.504148312</v>
      </c>
      <c r="CU205" s="1074"/>
      <c r="CY205" s="1117">
        <f>$G205</f>
        <v>34234230.504148312</v>
      </c>
      <c r="CZ205" s="1118">
        <f>VLOOKUP($E205,CY$442:DB$453,2,FALSE)*CY205*($K205)+IF($G205&lt;&gt;0,($H205/$G205)*CY205,0)*(1-$K205)</f>
        <v>0</v>
      </c>
      <c r="DA205" s="1118">
        <f>VLOOKUP($E205,CY$442:DB$453,3,FALSE)*CY205*($K205)+IF($G205&lt;&gt;0,($I205/$G205)*CY205,0)*(1-$K205)</f>
        <v>0</v>
      </c>
      <c r="DB205" s="1118">
        <f>VLOOKUP($E205,CY$442:DB$453,4,FALSE)*CY205*($K205)+(CY205-CZ205-DA205)*(1-$K205)</f>
        <v>34234230.504148312</v>
      </c>
      <c r="DC205" s="1074"/>
      <c r="DG205" s="1117">
        <f>$G205</f>
        <v>34234230.504148312</v>
      </c>
      <c r="DH205" s="1118">
        <f>VLOOKUP($E205,DG$442:DJ$453,2,FALSE)*DG205*($K205)+IF($G205&lt;&gt;0,($H205/$G205)*DG205,0)*(1-$K205)</f>
        <v>0</v>
      </c>
      <c r="DI205" s="1118">
        <f>VLOOKUP($E205,DG$442:DJ$453,3,FALSE)*DG205*($K205)+IF($G205&lt;&gt;0,($I205/$G205)*DG205,0)*(1-$K205)</f>
        <v>0</v>
      </c>
      <c r="DJ205" s="1118">
        <f>VLOOKUP($E205,DG$442:DJ$453,4,FALSE)*DG205*($K205)+(DG205-DH205-DI205)*(1-$K205)</f>
        <v>34234230.504148312</v>
      </c>
      <c r="DK205" s="1074"/>
      <c r="DO205" s="1117">
        <f>$G205</f>
        <v>34234230.504148312</v>
      </c>
      <c r="DP205" s="1118">
        <f>VLOOKUP($E205,DO$442:DR$453,2,FALSE)*DO205*($K205)+IF($G205&lt;&gt;0,($H205/$G205)*DO205,0)*(1-$K205)</f>
        <v>0</v>
      </c>
      <c r="DQ205" s="1118">
        <f>VLOOKUP($E205,DO$442:DR$453,3,FALSE)*DO205*($K205)+IF($G205&lt;&gt;0,($I205/$G205)*DO205,0)*(1-$K205)</f>
        <v>0</v>
      </c>
      <c r="DR205" s="1118">
        <f>VLOOKUP($E205,DO$442:DR$453,4,FALSE)*DO205*($K205)+(DO205-DP205-DQ205)*(1-$K205)</f>
        <v>34234230.504148312</v>
      </c>
      <c r="DS205" s="1074"/>
      <c r="DW205" s="1117">
        <f>$G205</f>
        <v>34234230.504148312</v>
      </c>
      <c r="DX205" s="1118">
        <f>VLOOKUP($E205,DW$442:DZ$453,2,FALSE)*DW205*($K205)+IF($G205&lt;&gt;0,($H205/$G205)*DW205,0)*(1-$K205)</f>
        <v>0</v>
      </c>
      <c r="DY205" s="1118">
        <f>VLOOKUP($E205,DW$442:DZ$453,3,FALSE)*DW205*($K205)+IF($G205&lt;&gt;0,($I205/$G205)*DW205,0)*(1-$K205)</f>
        <v>0</v>
      </c>
      <c r="DZ205" s="1118">
        <f>VLOOKUP($E205,DW$442:DZ$453,4,FALSE)*DW205*($K205)+(DW205-DX205-DY205)*(1-$K205)</f>
        <v>34234230.504148312</v>
      </c>
      <c r="EA205" s="1074"/>
      <c r="EE205" s="1117">
        <f>$G205</f>
        <v>34234230.504148312</v>
      </c>
      <c r="EF205" s="1118">
        <f>VLOOKUP($E205,EE$442:EH$453,2,FALSE)*EE205*($K205)+IF($G205&lt;&gt;0,($H205/$G205)*EE205,0)*(1-$K205)</f>
        <v>0</v>
      </c>
      <c r="EG205" s="1118">
        <f>VLOOKUP($E205,EE$442:EH$453,3,FALSE)*EE205*($K205)+IF($G205&lt;&gt;0,($I205/$G205)*EE205,0)*(1-$K205)</f>
        <v>0</v>
      </c>
      <c r="EH205" s="1118">
        <f>VLOOKUP($E205,EE$442:EH$453,4,FALSE)*EE205*($K205)+(EE205-EF205-EG205)*(1-$K205)</f>
        <v>34234230.504148312</v>
      </c>
      <c r="EI205" s="1074"/>
      <c r="EM205" s="1117">
        <f>$G205</f>
        <v>34234230.504148312</v>
      </c>
      <c r="EN205" s="1118">
        <f>VLOOKUP($E205,EM$442:EP$453,2,FALSE)*EM205*($K205)+IF($G205&lt;&gt;0,($H205/$G205)*EM205,0)*(1-$K205)</f>
        <v>0</v>
      </c>
      <c r="EO205" s="1118">
        <f>VLOOKUP($E205,EM$442:EP$453,3,FALSE)*EM205*($K205)+IF($G205&lt;&gt;0,($I205/$G205)*EM205,0)*(1-$K205)</f>
        <v>0</v>
      </c>
      <c r="EP205" s="1118">
        <f>VLOOKUP($E205,EM$442:EP$453,4,FALSE)*EM205*($K205)+(EM205-EN205-EO205)*(1-$K205)</f>
        <v>34234230.504148312</v>
      </c>
      <c r="EQ205" s="1074"/>
      <c r="EU205" s="1117">
        <f>$G205</f>
        <v>34234230.504148312</v>
      </c>
      <c r="EV205" s="1118">
        <f>VLOOKUP($E205,EU$442:EX$453,2,FALSE)*EU205*($K205)+IF($G205&lt;&gt;0,($H205/$G205)*EU205,0)*(1-$K205)</f>
        <v>0</v>
      </c>
      <c r="EW205" s="1118">
        <f>VLOOKUP($E205,EU$442:EX$453,3,FALSE)*EU205*($K205)+IF($G205&lt;&gt;0,($I205/$G205)*EU205,0)*(1-$K205)</f>
        <v>0</v>
      </c>
      <c r="EX205" s="1118">
        <f>VLOOKUP($E205,EU$442:EX$453,4,FALSE)*EU205*($K205)+(EU205-EV205-EW205)*(1-$K205)</f>
        <v>34234230.504148312</v>
      </c>
      <c r="EY205" s="1074"/>
      <c r="FC205" s="1117">
        <f>$G205</f>
        <v>34234230.504148312</v>
      </c>
      <c r="FD205" s="1118">
        <f>VLOOKUP($E205,FC$442:FF$453,2,FALSE)*FC205*($K205)+IF($G205&lt;&gt;0,($H205/$G205)*FC205,0)*(1-$K205)</f>
        <v>0</v>
      </c>
      <c r="FE205" s="1118">
        <f>VLOOKUP($E205,FC$442:FF$453,3,FALSE)*FC205*($K205)+IF($G205&lt;&gt;0,($I205/$G205)*FC205,0)*(1-$K205)</f>
        <v>0</v>
      </c>
      <c r="FF205" s="1118">
        <f>VLOOKUP($E205,FC$442:FF$453,4,FALSE)*FC205*($K205)+(FC205-FD205-FE205)*(1-$K205)</f>
        <v>34234230.504148312</v>
      </c>
      <c r="FG205" s="1074"/>
      <c r="FK205" s="1117">
        <f>$G205</f>
        <v>34234230.504148312</v>
      </c>
      <c r="FL205" s="1118">
        <f>VLOOKUP($E205,FK$442:FN$453,2,FALSE)*FK205*($K205)+IF($G205&lt;&gt;0,($H205/$G205)*FK205,0)*(1-$K205)</f>
        <v>0</v>
      </c>
      <c r="FM205" s="1118">
        <f>VLOOKUP($E205,FK$442:FN$453,3,FALSE)*FK205*($K205)+IF($G205&lt;&gt;0,($I205/$G205)*FK205,0)*(1-$K205)</f>
        <v>0</v>
      </c>
      <c r="FN205" s="1118">
        <f>VLOOKUP($E205,FK$442:FN$453,4,FALSE)*FK205*($K205)+(FK205-FL205-FM205)*(1-$K205)</f>
        <v>34234230.504148312</v>
      </c>
      <c r="FO205" s="1074"/>
    </row>
    <row r="206" spans="1:171" x14ac:dyDescent="0.25">
      <c r="A206" s="1421"/>
      <c r="B206" s="914" t="s">
        <v>462</v>
      </c>
      <c r="C206" s="889" t="s">
        <v>72</v>
      </c>
      <c r="D206" s="890" t="s">
        <v>486</v>
      </c>
      <c r="E206" s="182" t="str">
        <f>'Sch 3 - Expenses'!E46</f>
        <v>DIST</v>
      </c>
      <c r="F206" s="890"/>
      <c r="G206" s="182">
        <f>'Sch 3 - Expenses'!G46</f>
        <v>143846056.44384444</v>
      </c>
      <c r="H206" s="182">
        <f>'Sch 3 - Expenses'!H46</f>
        <v>0</v>
      </c>
      <c r="I206" s="182">
        <f>'Sch 3 - Expenses'!I46</f>
        <v>0</v>
      </c>
      <c r="J206" s="1422">
        <f>'Sch 3 - Expenses'!J46</f>
        <v>143846056.44384444</v>
      </c>
      <c r="K206" s="904">
        <f>IF($E206="DIRECT",0,1)</f>
        <v>1</v>
      </c>
      <c r="O206" s="1117">
        <f>$G206</f>
        <v>143846056.44384444</v>
      </c>
      <c r="P206" s="1118">
        <f>VLOOKUP($E206,O$442:R$453,2,FALSE)*O206*($K206)+IF($G206&lt;&gt;0,($H206/$G206)*O206,0)*(1-$K206)</f>
        <v>0</v>
      </c>
      <c r="Q206" s="1118">
        <f>VLOOKUP($E206,O$442:R$453,3,FALSE)*O206*($K206)+IF($G206&lt;&gt;0,($I206/$G206)*O206,0)*(1-$K206)</f>
        <v>0</v>
      </c>
      <c r="R206" s="1118">
        <f>VLOOKUP($E206,O$442:R$453,4,FALSE)*O206*($K206)+(O206-P206-Q206)*(1-$K206)</f>
        <v>143846056.44384444</v>
      </c>
      <c r="S206" s="1074"/>
      <c r="W206" s="1117">
        <f>$G206</f>
        <v>143846056.44384444</v>
      </c>
      <c r="X206" s="1118">
        <f>VLOOKUP($E206,W$442:Z$453,2,FALSE)*W206*($K206)+IF($G206&lt;&gt;0,($H206/$G206)*W206,0)*(1-$K206)</f>
        <v>0</v>
      </c>
      <c r="Y206" s="1118">
        <f>VLOOKUP($E206,W$442:Z$453,3,FALSE)*W206*($K206)+IF($G206&lt;&gt;0,($I206/$G206)*W206,0)*(1-$K206)</f>
        <v>0</v>
      </c>
      <c r="Z206" s="1118">
        <f>VLOOKUP($E206,W$442:Z$453,4,FALSE)*W206*($K206)+(W206-X206-Y206)*(1-$K206)</f>
        <v>143846056.44384444</v>
      </c>
      <c r="AA206" s="1074"/>
      <c r="AE206" s="1117">
        <f>$G206</f>
        <v>143846056.44384444</v>
      </c>
      <c r="AF206" s="1118">
        <f>VLOOKUP($E206,AE$442:AH$453,2,FALSE)*AE206*($K206)+IF($G206&lt;&gt;0,($H206/$G206)*AE206,0)*(1-$K206)</f>
        <v>0</v>
      </c>
      <c r="AG206" s="1118">
        <f>VLOOKUP($E206,AE$442:AH$453,3,FALSE)*AE206*($K206)+IF($G206&lt;&gt;0,($I206/$G206)*AE206,0)*(1-$K206)</f>
        <v>0</v>
      </c>
      <c r="AH206" s="1118">
        <f>VLOOKUP($E206,AE$442:AH$453,4,FALSE)*AE206*($K206)+(AE206-AF206-AG206)*(1-$K206)</f>
        <v>143846056.44384444</v>
      </c>
      <c r="AI206" s="1074"/>
      <c r="AM206" s="1117">
        <f>$G206</f>
        <v>143846056.44384444</v>
      </c>
      <c r="AN206" s="1118">
        <f>VLOOKUP($E206,AM$442:AP$453,2,FALSE)*AM206*($K206)+IF($G206&lt;&gt;0,($H206/$G206)*AM206,0)*(1-$K206)</f>
        <v>0</v>
      </c>
      <c r="AO206" s="1118">
        <f>VLOOKUP($E206,AM$442:AP$453,3,FALSE)*AM206*($K206)+IF($G206&lt;&gt;0,($I206/$G206)*AM206,0)*(1-$K206)</f>
        <v>0</v>
      </c>
      <c r="AP206" s="1118">
        <f>VLOOKUP($E206,AM$442:AP$453,4,FALSE)*AM206*($K206)+(AM206-AN206-AO206)*(1-$K206)</f>
        <v>143846056.44384444</v>
      </c>
      <c r="AQ206" s="1074"/>
      <c r="AU206" s="1117">
        <f>$G206</f>
        <v>143846056.44384444</v>
      </c>
      <c r="AV206" s="1118">
        <f>VLOOKUP($E206,AU$442:AX$453,2,FALSE)*AU206*($K206)+IF($G206&lt;&gt;0,($H206/$G206)*AU206,0)*(1-$K206)</f>
        <v>0</v>
      </c>
      <c r="AW206" s="1118">
        <f>VLOOKUP($E206,AU$442:AX$453,3,FALSE)*AU206*($K206)+IF($G206&lt;&gt;0,($I206/$G206)*AU206,0)*(1-$K206)</f>
        <v>0</v>
      </c>
      <c r="AX206" s="1118">
        <f>VLOOKUP($E206,AU$442:AX$453,4,FALSE)*AU206*($K206)+(AU206-AV206-AW206)*(1-$K206)</f>
        <v>143846056.44384444</v>
      </c>
      <c r="AY206" s="1074"/>
      <c r="BC206" s="1117">
        <f>$G206</f>
        <v>143846056.44384444</v>
      </c>
      <c r="BD206" s="1118">
        <f>VLOOKUP($E206,BC$442:BF$453,2,FALSE)*BC206*($K206)+IF($G206&lt;&gt;0,($H206/$G206)*BC206,0)*(1-$K206)</f>
        <v>0</v>
      </c>
      <c r="BE206" s="1118">
        <f>VLOOKUP($E206,BC$442:BF$453,3,FALSE)*BC206*($K206)+IF($G206&lt;&gt;0,($I206/$G206)*BC206,0)*(1-$K206)</f>
        <v>0</v>
      </c>
      <c r="BF206" s="1118">
        <f>VLOOKUP($E206,BC$442:BF$453,4,FALSE)*BC206*($K206)+(BC206-BD206-BE206)*(1-$K206)</f>
        <v>143846056.44384444</v>
      </c>
      <c r="BG206" s="1074"/>
      <c r="BK206" s="1117">
        <f>$G206</f>
        <v>143846056.44384444</v>
      </c>
      <c r="BL206" s="1118">
        <f>VLOOKUP($E206,BK$442:BN$453,2,FALSE)*BK206*($K206)+IF($G206&lt;&gt;0,($H206/$G206)*BK206,0)*(1-$K206)</f>
        <v>0</v>
      </c>
      <c r="BM206" s="1118">
        <f>VLOOKUP($E206,BK$442:BN$453,3,FALSE)*BK206*($K206)+IF($G206&lt;&gt;0,($I206/$G206)*BK206,0)*(1-$K206)</f>
        <v>0</v>
      </c>
      <c r="BN206" s="1118">
        <f>VLOOKUP($E206,BK$442:BN$453,4,FALSE)*BK206*($K206)+(BK206-BL206-BM206)*(1-$K206)</f>
        <v>143846056.44384444</v>
      </c>
      <c r="BO206" s="1074"/>
      <c r="BS206" s="1117">
        <f>$G206</f>
        <v>143846056.44384444</v>
      </c>
      <c r="BT206" s="1118">
        <f>VLOOKUP($E206,BS$442:BV$453,2,FALSE)*BS206*($K206)+IF($G206&lt;&gt;0,($H206/$G206)*BS206,0)*(1-$K206)</f>
        <v>0</v>
      </c>
      <c r="BU206" s="1118">
        <f>VLOOKUP($E206,BS$442:BV$453,3,FALSE)*BS206*($K206)+IF($G206&lt;&gt;0,($I206/$G206)*BS206,0)*(1-$K206)</f>
        <v>0</v>
      </c>
      <c r="BV206" s="1118">
        <f>VLOOKUP($E206,BS$442:BV$453,4,FALSE)*BS206*($K206)+(BS206-BT206-BU206)*(1-$K206)</f>
        <v>143846056.44384444</v>
      </c>
      <c r="BW206" s="1074"/>
      <c r="CA206" s="1117">
        <f>$G206</f>
        <v>143846056.44384444</v>
      </c>
      <c r="CB206" s="1118">
        <f>VLOOKUP($E206,CA$442:CD$453,2,FALSE)*CA206*($K206)+IF($G206&lt;&gt;0,($H206/$G206)*CA206,0)*(1-$K206)</f>
        <v>0</v>
      </c>
      <c r="CC206" s="1118">
        <f>VLOOKUP($E206,CA$442:CD$453,3,FALSE)*CA206*($K206)+IF($G206&lt;&gt;0,($I206/$G206)*CA206,0)*(1-$K206)</f>
        <v>0</v>
      </c>
      <c r="CD206" s="1118">
        <f>VLOOKUP($E206,CA$442:CD$453,4,FALSE)*CA206*($K206)+(CA206-CB206-CC206)*(1-$K206)</f>
        <v>143846056.44384444</v>
      </c>
      <c r="CE206" s="1074"/>
      <c r="CI206" s="1117">
        <f>$G206</f>
        <v>143846056.44384444</v>
      </c>
      <c r="CJ206" s="1118">
        <f>VLOOKUP($E206,CI$442:CL$453,2,FALSE)*CI206*($K206)+IF($G206&lt;&gt;0,($H206/$G206)*CI206,0)*(1-$K206)</f>
        <v>0</v>
      </c>
      <c r="CK206" s="1118">
        <f>VLOOKUP($E206,CI$442:CL$453,3,FALSE)*CI206*($K206)+IF($G206&lt;&gt;0,($I206/$G206)*CI206,0)*(1-$K206)</f>
        <v>0</v>
      </c>
      <c r="CL206" s="1118">
        <f>VLOOKUP($E206,CI$442:CL$453,4,FALSE)*CI206*($K206)+(CI206-CJ206-CK206)*(1-$K206)</f>
        <v>143846056.44384444</v>
      </c>
      <c r="CM206" s="1074"/>
      <c r="CQ206" s="1117">
        <f>$G206</f>
        <v>143846056.44384444</v>
      </c>
      <c r="CR206" s="1118">
        <f>VLOOKUP($E206,CQ$442:CT$453,2,FALSE)*CQ206*($K206)+IF($G206&lt;&gt;0,($H206/$G206)*CQ206,0)*(1-$K206)</f>
        <v>0</v>
      </c>
      <c r="CS206" s="1118">
        <f>VLOOKUP($E206,CQ$442:CT$453,3,FALSE)*CQ206*($K206)+IF($G206&lt;&gt;0,($I206/$G206)*CQ206,0)*(1-$K206)</f>
        <v>0</v>
      </c>
      <c r="CT206" s="1118">
        <f>VLOOKUP($E206,CQ$442:CT$453,4,FALSE)*CQ206*($K206)+(CQ206-CR206-CS206)*(1-$K206)</f>
        <v>143846056.44384444</v>
      </c>
      <c r="CU206" s="1074"/>
      <c r="CY206" s="1117">
        <f>$G206</f>
        <v>143846056.44384444</v>
      </c>
      <c r="CZ206" s="1118">
        <f>VLOOKUP($E206,CY$442:DB$453,2,FALSE)*CY206*($K206)+IF($G206&lt;&gt;0,($H206/$G206)*CY206,0)*(1-$K206)</f>
        <v>0</v>
      </c>
      <c r="DA206" s="1118">
        <f>VLOOKUP($E206,CY$442:DB$453,3,FALSE)*CY206*($K206)+IF($G206&lt;&gt;0,($I206/$G206)*CY206,0)*(1-$K206)</f>
        <v>0</v>
      </c>
      <c r="DB206" s="1118">
        <f>VLOOKUP($E206,CY$442:DB$453,4,FALSE)*CY206*($K206)+(CY206-CZ206-DA206)*(1-$K206)</f>
        <v>143846056.44384444</v>
      </c>
      <c r="DC206" s="1074"/>
      <c r="DG206" s="1117">
        <f>$G206</f>
        <v>143846056.44384444</v>
      </c>
      <c r="DH206" s="1118">
        <f>VLOOKUP($E206,DG$442:DJ$453,2,FALSE)*DG206*($K206)+IF($G206&lt;&gt;0,($H206/$G206)*DG206,0)*(1-$K206)</f>
        <v>0</v>
      </c>
      <c r="DI206" s="1118">
        <f>VLOOKUP($E206,DG$442:DJ$453,3,FALSE)*DG206*($K206)+IF($G206&lt;&gt;0,($I206/$G206)*DG206,0)*(1-$K206)</f>
        <v>0</v>
      </c>
      <c r="DJ206" s="1118">
        <f>VLOOKUP($E206,DG$442:DJ$453,4,FALSE)*DG206*($K206)+(DG206-DH206-DI206)*(1-$K206)</f>
        <v>143846056.44384444</v>
      </c>
      <c r="DK206" s="1074"/>
      <c r="DO206" s="1117">
        <f>$G206</f>
        <v>143846056.44384444</v>
      </c>
      <c r="DP206" s="1118">
        <f>VLOOKUP($E206,DO$442:DR$453,2,FALSE)*DO206*($K206)+IF($G206&lt;&gt;0,($H206/$G206)*DO206,0)*(1-$K206)</f>
        <v>0</v>
      </c>
      <c r="DQ206" s="1118">
        <f>VLOOKUP($E206,DO$442:DR$453,3,FALSE)*DO206*($K206)+IF($G206&lt;&gt;0,($I206/$G206)*DO206,0)*(1-$K206)</f>
        <v>0</v>
      </c>
      <c r="DR206" s="1118">
        <f>VLOOKUP($E206,DO$442:DR$453,4,FALSE)*DO206*($K206)+(DO206-DP206-DQ206)*(1-$K206)</f>
        <v>143846056.44384444</v>
      </c>
      <c r="DS206" s="1074"/>
      <c r="DW206" s="1117">
        <f>$G206</f>
        <v>143846056.44384444</v>
      </c>
      <c r="DX206" s="1118">
        <f>VLOOKUP($E206,DW$442:DZ$453,2,FALSE)*DW206*($K206)+IF($G206&lt;&gt;0,($H206/$G206)*DW206,0)*(1-$K206)</f>
        <v>0</v>
      </c>
      <c r="DY206" s="1118">
        <f>VLOOKUP($E206,DW$442:DZ$453,3,FALSE)*DW206*($K206)+IF($G206&lt;&gt;0,($I206/$G206)*DW206,0)*(1-$K206)</f>
        <v>0</v>
      </c>
      <c r="DZ206" s="1118">
        <f>VLOOKUP($E206,DW$442:DZ$453,4,FALSE)*DW206*($K206)+(DW206-DX206-DY206)*(1-$K206)</f>
        <v>143846056.44384444</v>
      </c>
      <c r="EA206" s="1074"/>
      <c r="EE206" s="1117">
        <f>$G206</f>
        <v>143846056.44384444</v>
      </c>
      <c r="EF206" s="1118">
        <f>VLOOKUP($E206,EE$442:EH$453,2,FALSE)*EE206*($K206)+IF($G206&lt;&gt;0,($H206/$G206)*EE206,0)*(1-$K206)</f>
        <v>0</v>
      </c>
      <c r="EG206" s="1118">
        <f>VLOOKUP($E206,EE$442:EH$453,3,FALSE)*EE206*($K206)+IF($G206&lt;&gt;0,($I206/$G206)*EE206,0)*(1-$K206)</f>
        <v>0</v>
      </c>
      <c r="EH206" s="1118">
        <f>VLOOKUP($E206,EE$442:EH$453,4,FALSE)*EE206*($K206)+(EE206-EF206-EG206)*(1-$K206)</f>
        <v>143846056.44384444</v>
      </c>
      <c r="EI206" s="1074"/>
      <c r="EM206" s="1117">
        <f>$G206</f>
        <v>143846056.44384444</v>
      </c>
      <c r="EN206" s="1118">
        <f>VLOOKUP($E206,EM$442:EP$453,2,FALSE)*EM206*($K206)+IF($G206&lt;&gt;0,($H206/$G206)*EM206,0)*(1-$K206)</f>
        <v>0</v>
      </c>
      <c r="EO206" s="1118">
        <f>VLOOKUP($E206,EM$442:EP$453,3,FALSE)*EM206*($K206)+IF($G206&lt;&gt;0,($I206/$G206)*EM206,0)*(1-$K206)</f>
        <v>0</v>
      </c>
      <c r="EP206" s="1118">
        <f>VLOOKUP($E206,EM$442:EP$453,4,FALSE)*EM206*($K206)+(EM206-EN206-EO206)*(1-$K206)</f>
        <v>143846056.44384444</v>
      </c>
      <c r="EQ206" s="1074"/>
      <c r="EU206" s="1117">
        <f>$G206</f>
        <v>143846056.44384444</v>
      </c>
      <c r="EV206" s="1118">
        <f>VLOOKUP($E206,EU$442:EX$453,2,FALSE)*EU206*($K206)+IF($G206&lt;&gt;0,($H206/$G206)*EU206,0)*(1-$K206)</f>
        <v>0</v>
      </c>
      <c r="EW206" s="1118">
        <f>VLOOKUP($E206,EU$442:EX$453,3,FALSE)*EU206*($K206)+IF($G206&lt;&gt;0,($I206/$G206)*EU206,0)*(1-$K206)</f>
        <v>0</v>
      </c>
      <c r="EX206" s="1118">
        <f>VLOOKUP($E206,EU$442:EX$453,4,FALSE)*EU206*($K206)+(EU206-EV206-EW206)*(1-$K206)</f>
        <v>143846056.44384444</v>
      </c>
      <c r="EY206" s="1074"/>
      <c r="FC206" s="1117">
        <f>$G206</f>
        <v>143846056.44384444</v>
      </c>
      <c r="FD206" s="1118">
        <f>VLOOKUP($E206,FC$442:FF$453,2,FALSE)*FC206*($K206)+IF($G206&lt;&gt;0,($H206/$G206)*FC206,0)*(1-$K206)</f>
        <v>0</v>
      </c>
      <c r="FE206" s="1118">
        <f>VLOOKUP($E206,FC$442:FF$453,3,FALSE)*FC206*($K206)+IF($G206&lt;&gt;0,($I206/$G206)*FC206,0)*(1-$K206)</f>
        <v>0</v>
      </c>
      <c r="FF206" s="1118">
        <f>VLOOKUP($E206,FC$442:FF$453,4,FALSE)*FC206*($K206)+(FC206-FD206-FE206)*(1-$K206)</f>
        <v>143846056.44384444</v>
      </c>
      <c r="FG206" s="1074"/>
      <c r="FK206" s="1117">
        <f>$G206</f>
        <v>143846056.44384444</v>
      </c>
      <c r="FL206" s="1118">
        <f>VLOOKUP($E206,FK$442:FN$453,2,FALSE)*FK206*($K206)+IF($G206&lt;&gt;0,($H206/$G206)*FK206,0)*(1-$K206)</f>
        <v>0</v>
      </c>
      <c r="FM206" s="1118">
        <f>VLOOKUP($E206,FK$442:FN$453,3,FALSE)*FK206*($K206)+IF($G206&lt;&gt;0,($I206/$G206)*FK206,0)*(1-$K206)</f>
        <v>0</v>
      </c>
      <c r="FN206" s="1118">
        <f>VLOOKUP($E206,FK$442:FN$453,4,FALSE)*FK206*($K206)+(FK206-FL206-FM206)*(1-$K206)</f>
        <v>143846056.44384444</v>
      </c>
      <c r="FO206" s="1074"/>
    </row>
    <row r="207" spans="1:171" x14ac:dyDescent="0.25">
      <c r="A207" s="1344" t="s">
        <v>487</v>
      </c>
      <c r="B207" s="10"/>
      <c r="C207" s="915"/>
      <c r="D207" s="916"/>
      <c r="E207" s="916"/>
      <c r="F207" s="917"/>
      <c r="G207" s="924">
        <f>SUM(G205:G206)</f>
        <v>178080286.94799274</v>
      </c>
      <c r="H207" s="924">
        <f>SUM(H205:H206)</f>
        <v>0</v>
      </c>
      <c r="I207" s="924">
        <f>SUM(I205:I206)</f>
        <v>0</v>
      </c>
      <c r="J207" s="1429">
        <f>SUM(J205:J206)</f>
        <v>178080286.94799274</v>
      </c>
      <c r="K207" s="904"/>
      <c r="O207" s="1136">
        <f>SUM(O205:O206)</f>
        <v>178080286.94799274</v>
      </c>
      <c r="P207" s="1136">
        <f>SUM(P205:P206)</f>
        <v>0</v>
      </c>
      <c r="Q207" s="1136">
        <f>SUM(Q205:Q206)</f>
        <v>0</v>
      </c>
      <c r="R207" s="1136">
        <f>SUM(R205:R206)</f>
        <v>178080286.94799274</v>
      </c>
      <c r="S207" s="1074"/>
      <c r="W207" s="1136">
        <f>SUM(W205:W206)</f>
        <v>178080286.94799274</v>
      </c>
      <c r="X207" s="1136">
        <f>SUM(X205:X206)</f>
        <v>0</v>
      </c>
      <c r="Y207" s="1136">
        <f>SUM(Y205:Y206)</f>
        <v>0</v>
      </c>
      <c r="Z207" s="1136">
        <f>SUM(Z205:Z206)</f>
        <v>178080286.94799274</v>
      </c>
      <c r="AA207" s="1074"/>
      <c r="AE207" s="1136">
        <f>SUM(AE205:AE206)</f>
        <v>178080286.94799274</v>
      </c>
      <c r="AF207" s="1136">
        <f>SUM(AF205:AF206)</f>
        <v>0</v>
      </c>
      <c r="AG207" s="1136">
        <f>SUM(AG205:AG206)</f>
        <v>0</v>
      </c>
      <c r="AH207" s="1136">
        <f>SUM(AH205:AH206)</f>
        <v>178080286.94799274</v>
      </c>
      <c r="AI207" s="1074"/>
      <c r="AM207" s="1136">
        <f>SUM(AM205:AM206)</f>
        <v>178080286.94799274</v>
      </c>
      <c r="AN207" s="1136">
        <f>SUM(AN205:AN206)</f>
        <v>0</v>
      </c>
      <c r="AO207" s="1136">
        <f>SUM(AO205:AO206)</f>
        <v>0</v>
      </c>
      <c r="AP207" s="1136">
        <f>SUM(AP205:AP206)</f>
        <v>178080286.94799274</v>
      </c>
      <c r="AQ207" s="1074"/>
      <c r="AU207" s="1136">
        <f>SUM(AU205:AU206)</f>
        <v>178080286.94799274</v>
      </c>
      <c r="AV207" s="1136">
        <f>SUM(AV205:AV206)</f>
        <v>0</v>
      </c>
      <c r="AW207" s="1136">
        <f>SUM(AW205:AW206)</f>
        <v>0</v>
      </c>
      <c r="AX207" s="1136">
        <f>SUM(AX205:AX206)</f>
        <v>178080286.94799274</v>
      </c>
      <c r="AY207" s="1074"/>
      <c r="BC207" s="1136">
        <f>SUM(BC205:BC206)</f>
        <v>178080286.94799274</v>
      </c>
      <c r="BD207" s="1136">
        <f>SUM(BD205:BD206)</f>
        <v>0</v>
      </c>
      <c r="BE207" s="1136">
        <f>SUM(BE205:BE206)</f>
        <v>0</v>
      </c>
      <c r="BF207" s="1136">
        <f>SUM(BF205:BF206)</f>
        <v>178080286.94799274</v>
      </c>
      <c r="BG207" s="1074"/>
      <c r="BK207" s="1136">
        <f>SUM(BK205:BK206)</f>
        <v>178080286.94799274</v>
      </c>
      <c r="BL207" s="1136">
        <f>SUM(BL205:BL206)</f>
        <v>0</v>
      </c>
      <c r="BM207" s="1136">
        <f>SUM(BM205:BM206)</f>
        <v>0</v>
      </c>
      <c r="BN207" s="1136">
        <f>SUM(BN205:BN206)</f>
        <v>178080286.94799274</v>
      </c>
      <c r="BO207" s="1074"/>
      <c r="BS207" s="1136">
        <f>SUM(BS205:BS206)</f>
        <v>178080286.94799274</v>
      </c>
      <c r="BT207" s="1136">
        <f>SUM(BT205:BT206)</f>
        <v>0</v>
      </c>
      <c r="BU207" s="1136">
        <f>SUM(BU205:BU206)</f>
        <v>0</v>
      </c>
      <c r="BV207" s="1136">
        <f>SUM(BV205:BV206)</f>
        <v>178080286.94799274</v>
      </c>
      <c r="BW207" s="1074"/>
      <c r="CA207" s="1136">
        <f>SUM(CA205:CA206)</f>
        <v>178080286.94799274</v>
      </c>
      <c r="CB207" s="1136">
        <f>SUM(CB205:CB206)</f>
        <v>0</v>
      </c>
      <c r="CC207" s="1136">
        <f>SUM(CC205:CC206)</f>
        <v>0</v>
      </c>
      <c r="CD207" s="1136">
        <f>SUM(CD205:CD206)</f>
        <v>178080286.94799274</v>
      </c>
      <c r="CE207" s="1074"/>
      <c r="CI207" s="1136">
        <f>SUM(CI205:CI206)</f>
        <v>178080286.94799274</v>
      </c>
      <c r="CJ207" s="1136">
        <f>SUM(CJ205:CJ206)</f>
        <v>0</v>
      </c>
      <c r="CK207" s="1136">
        <f>SUM(CK205:CK206)</f>
        <v>0</v>
      </c>
      <c r="CL207" s="1136">
        <f>SUM(CL205:CL206)</f>
        <v>178080286.94799274</v>
      </c>
      <c r="CM207" s="1074"/>
      <c r="CQ207" s="1136">
        <f>SUM(CQ205:CQ206)</f>
        <v>178080286.94799274</v>
      </c>
      <c r="CR207" s="1136">
        <f>SUM(CR205:CR206)</f>
        <v>0</v>
      </c>
      <c r="CS207" s="1136">
        <f>SUM(CS205:CS206)</f>
        <v>0</v>
      </c>
      <c r="CT207" s="1136">
        <f>SUM(CT205:CT206)</f>
        <v>178080286.94799274</v>
      </c>
      <c r="CU207" s="1074"/>
      <c r="CY207" s="1136">
        <f>SUM(CY205:CY206)</f>
        <v>178080286.94799274</v>
      </c>
      <c r="CZ207" s="1136">
        <f>SUM(CZ205:CZ206)</f>
        <v>0</v>
      </c>
      <c r="DA207" s="1136">
        <f>SUM(DA205:DA206)</f>
        <v>0</v>
      </c>
      <c r="DB207" s="1136">
        <f>SUM(DB205:DB206)</f>
        <v>178080286.94799274</v>
      </c>
      <c r="DC207" s="1074"/>
      <c r="DG207" s="1136">
        <f>SUM(DG205:DG206)</f>
        <v>178080286.94799274</v>
      </c>
      <c r="DH207" s="1136">
        <f>SUM(DH205:DH206)</f>
        <v>0</v>
      </c>
      <c r="DI207" s="1136">
        <f>SUM(DI205:DI206)</f>
        <v>0</v>
      </c>
      <c r="DJ207" s="1136">
        <f>SUM(DJ205:DJ206)</f>
        <v>178080286.94799274</v>
      </c>
      <c r="DK207" s="1074"/>
      <c r="DO207" s="1136">
        <f>SUM(DO205:DO206)</f>
        <v>178080286.94799274</v>
      </c>
      <c r="DP207" s="1136">
        <f>SUM(DP205:DP206)</f>
        <v>0</v>
      </c>
      <c r="DQ207" s="1136">
        <f>SUM(DQ205:DQ206)</f>
        <v>0</v>
      </c>
      <c r="DR207" s="1136">
        <f>SUM(DR205:DR206)</f>
        <v>178080286.94799274</v>
      </c>
      <c r="DS207" s="1074"/>
      <c r="DW207" s="1136">
        <f>SUM(DW205:DW206)</f>
        <v>178080286.94799274</v>
      </c>
      <c r="DX207" s="1136">
        <f>SUM(DX205:DX206)</f>
        <v>0</v>
      </c>
      <c r="DY207" s="1136">
        <f>SUM(DY205:DY206)</f>
        <v>0</v>
      </c>
      <c r="DZ207" s="1136">
        <f>SUM(DZ205:DZ206)</f>
        <v>178080286.94799274</v>
      </c>
      <c r="EA207" s="1074"/>
      <c r="EE207" s="1136">
        <f>SUM(EE205:EE206)</f>
        <v>178080286.94799274</v>
      </c>
      <c r="EF207" s="1136">
        <f>SUM(EF205:EF206)</f>
        <v>0</v>
      </c>
      <c r="EG207" s="1136">
        <f>SUM(EG205:EG206)</f>
        <v>0</v>
      </c>
      <c r="EH207" s="1136">
        <f>SUM(EH205:EH206)</f>
        <v>178080286.94799274</v>
      </c>
      <c r="EI207" s="1074"/>
      <c r="EM207" s="1136">
        <f>SUM(EM205:EM206)</f>
        <v>178080286.94799274</v>
      </c>
      <c r="EN207" s="1136">
        <f>SUM(EN205:EN206)</f>
        <v>0</v>
      </c>
      <c r="EO207" s="1136">
        <f>SUM(EO205:EO206)</f>
        <v>0</v>
      </c>
      <c r="EP207" s="1136">
        <f>SUM(EP205:EP206)</f>
        <v>178080286.94799274</v>
      </c>
      <c r="EQ207" s="1074"/>
      <c r="EU207" s="1136">
        <f>SUM(EU205:EU206)</f>
        <v>178080286.94799274</v>
      </c>
      <c r="EV207" s="1136">
        <f>SUM(EV205:EV206)</f>
        <v>0</v>
      </c>
      <c r="EW207" s="1136">
        <f>SUM(EW205:EW206)</f>
        <v>0</v>
      </c>
      <c r="EX207" s="1136">
        <f>SUM(EX205:EX206)</f>
        <v>178080286.94799274</v>
      </c>
      <c r="EY207" s="1074"/>
      <c r="FC207" s="1136">
        <f>SUM(FC205:FC206)</f>
        <v>178080286.94799274</v>
      </c>
      <c r="FD207" s="1136">
        <f>SUM(FD205:FD206)</f>
        <v>0</v>
      </c>
      <c r="FE207" s="1136">
        <f>SUM(FE205:FE206)</f>
        <v>0</v>
      </c>
      <c r="FF207" s="1136">
        <f>SUM(FF205:FF206)</f>
        <v>178080286.94799274</v>
      </c>
      <c r="FG207" s="1074"/>
      <c r="FK207" s="1136">
        <f>SUM(FK205:FK206)</f>
        <v>178080286.94799274</v>
      </c>
      <c r="FL207" s="1136">
        <f>SUM(FL205:FL206)</f>
        <v>0</v>
      </c>
      <c r="FM207" s="1136">
        <f>SUM(FM205:FM206)</f>
        <v>0</v>
      </c>
      <c r="FN207" s="1136">
        <f>SUM(FN205:FN206)</f>
        <v>178080286.94799274</v>
      </c>
      <c r="FO207" s="1074"/>
    </row>
    <row r="208" spans="1:171" x14ac:dyDescent="0.25">
      <c r="A208" s="1372"/>
      <c r="B208" s="10"/>
      <c r="C208" s="55"/>
      <c r="D208" s="55"/>
      <c r="E208" s="55"/>
      <c r="F208" s="55"/>
      <c r="G208" s="999"/>
      <c r="H208" s="56"/>
      <c r="I208" s="56"/>
      <c r="J208" s="1469"/>
      <c r="K208" s="904"/>
      <c r="O208" s="1080"/>
      <c r="S208" s="1074"/>
      <c r="W208" s="1080"/>
      <c r="AA208" s="1074"/>
      <c r="AE208" s="1080"/>
      <c r="AI208" s="1074"/>
      <c r="AM208" s="1080"/>
      <c r="AQ208" s="1074"/>
      <c r="AU208" s="1080"/>
      <c r="AY208" s="1074"/>
      <c r="BC208" s="1080"/>
      <c r="BG208" s="1074"/>
      <c r="BK208" s="1080"/>
      <c r="BO208" s="1074"/>
      <c r="BS208" s="1080"/>
      <c r="BW208" s="1074"/>
      <c r="CA208" s="1080"/>
      <c r="CE208" s="1074"/>
      <c r="CI208" s="1080"/>
      <c r="CM208" s="1074"/>
      <c r="CQ208" s="1080"/>
      <c r="CU208" s="1074"/>
      <c r="CY208" s="1080"/>
      <c r="DC208" s="1074"/>
      <c r="DG208" s="1080"/>
      <c r="DK208" s="1074"/>
      <c r="DO208" s="1080"/>
      <c r="DS208" s="1074"/>
      <c r="DW208" s="1080"/>
      <c r="EA208" s="1074"/>
      <c r="EE208" s="1080"/>
      <c r="EI208" s="1074"/>
      <c r="EM208" s="1080"/>
      <c r="EQ208" s="1074"/>
      <c r="EU208" s="1080"/>
      <c r="EY208" s="1074"/>
      <c r="FC208" s="1080"/>
      <c r="FG208" s="1074"/>
      <c r="FK208" s="1080"/>
      <c r="FO208" s="1074"/>
    </row>
    <row r="209" spans="1:171" x14ac:dyDescent="0.25">
      <c r="A209" s="1361" t="s">
        <v>488</v>
      </c>
      <c r="B209" s="10"/>
      <c r="C209" s="55"/>
      <c r="D209" s="55"/>
      <c r="E209" s="55"/>
      <c r="F209" s="55"/>
      <c r="G209" s="999"/>
      <c r="H209" s="56"/>
      <c r="I209" s="56"/>
      <c r="J209" s="1469"/>
      <c r="K209" s="904"/>
      <c r="O209" s="1080"/>
      <c r="S209" s="1074"/>
      <c r="W209" s="1080"/>
      <c r="AA209" s="1074"/>
      <c r="AE209" s="1080"/>
      <c r="AI209" s="1074"/>
      <c r="AM209" s="1080"/>
      <c r="AQ209" s="1074"/>
      <c r="AU209" s="1080"/>
      <c r="AY209" s="1074"/>
      <c r="BC209" s="1080"/>
      <c r="BG209" s="1074"/>
      <c r="BK209" s="1080"/>
      <c r="BO209" s="1074"/>
      <c r="BS209" s="1080"/>
      <c r="BW209" s="1074"/>
      <c r="CA209" s="1080"/>
      <c r="CE209" s="1074"/>
      <c r="CI209" s="1080"/>
      <c r="CM209" s="1074"/>
      <c r="CQ209" s="1080"/>
      <c r="CU209" s="1074"/>
      <c r="CY209" s="1080"/>
      <c r="DC209" s="1074"/>
      <c r="DG209" s="1080"/>
      <c r="DK209" s="1074"/>
      <c r="DO209" s="1080"/>
      <c r="DS209" s="1074"/>
      <c r="DW209" s="1080"/>
      <c r="EA209" s="1074"/>
      <c r="EE209" s="1080"/>
      <c r="EI209" s="1074"/>
      <c r="EM209" s="1080"/>
      <c r="EQ209" s="1074"/>
      <c r="EU209" s="1080"/>
      <c r="EY209" s="1074"/>
      <c r="FC209" s="1080"/>
      <c r="FG209" s="1074"/>
      <c r="FK209" s="1080"/>
      <c r="FO209" s="1074"/>
    </row>
    <row r="210" spans="1:171" x14ac:dyDescent="0.25">
      <c r="A210" s="1421"/>
      <c r="B210" s="914" t="s">
        <v>464</v>
      </c>
      <c r="C210" s="889" t="s">
        <v>72</v>
      </c>
      <c r="D210" s="889" t="s">
        <v>489</v>
      </c>
      <c r="E210" s="182" t="str">
        <f>'Sch 3 - Expenses'!E50</f>
        <v>DIST</v>
      </c>
      <c r="F210" s="890"/>
      <c r="G210" s="182">
        <f>'Sch 3 - Expenses'!G50</f>
        <v>45368831.838585906</v>
      </c>
      <c r="H210" s="182">
        <f>'Sch 3 - Expenses'!H50</f>
        <v>0</v>
      </c>
      <c r="I210" s="182">
        <f>'Sch 3 - Expenses'!I50</f>
        <v>0</v>
      </c>
      <c r="J210" s="1422">
        <f>'Sch 3 - Expenses'!J50</f>
        <v>45368831.838585906</v>
      </c>
      <c r="K210" s="904">
        <f>IF($E210="DIRECT",0,1)</f>
        <v>1</v>
      </c>
      <c r="O210" s="1117">
        <f>$G210</f>
        <v>45368831.838585906</v>
      </c>
      <c r="P210" s="1118">
        <f>VLOOKUP($E210,O$442:R$453,2,FALSE)*O210*($K210)+IF($G210&lt;&gt;0,($H210/$G210)*O210,0)*(1-$K210)</f>
        <v>0</v>
      </c>
      <c r="Q210" s="1118">
        <f>VLOOKUP($E210,O$442:R$453,3,FALSE)*O210*($K210)+IF($G210&lt;&gt;0,($I210/$G210)*O210,0)*(1-$K210)</f>
        <v>0</v>
      </c>
      <c r="R210" s="1118">
        <f>VLOOKUP($E210,O$442:R$453,4,FALSE)*O210*($K210)+(O210-P210-Q210)*(1-$K210)</f>
        <v>45368831.838585906</v>
      </c>
      <c r="S210" s="1074"/>
      <c r="W210" s="1117">
        <f>$G210</f>
        <v>45368831.838585906</v>
      </c>
      <c r="X210" s="1118">
        <f>VLOOKUP($E210,W$442:Z$453,2,FALSE)*W210*($K210)+IF($G210&lt;&gt;0,($H210/$G210)*W210,0)*(1-$K210)</f>
        <v>0</v>
      </c>
      <c r="Y210" s="1118">
        <f>VLOOKUP($E210,W$442:Z$453,3,FALSE)*W210*($K210)+IF($G210&lt;&gt;0,($I210/$G210)*W210,0)*(1-$K210)</f>
        <v>0</v>
      </c>
      <c r="Z210" s="1118">
        <f>VLOOKUP($E210,W$442:Z$453,4,FALSE)*W210*($K210)+(W210-X210-Y210)*(1-$K210)</f>
        <v>45368831.838585906</v>
      </c>
      <c r="AA210" s="1074"/>
      <c r="AE210" s="1117">
        <f>$G210</f>
        <v>45368831.838585906</v>
      </c>
      <c r="AF210" s="1118">
        <f>VLOOKUP($E210,AE$442:AH$453,2,FALSE)*AE210*($K210)+IF($G210&lt;&gt;0,($H210/$G210)*AE210,0)*(1-$K210)</f>
        <v>0</v>
      </c>
      <c r="AG210" s="1118">
        <f>VLOOKUP($E210,AE$442:AH$453,3,FALSE)*AE210*($K210)+IF($G210&lt;&gt;0,($I210/$G210)*AE210,0)*(1-$K210)</f>
        <v>0</v>
      </c>
      <c r="AH210" s="1118">
        <f>VLOOKUP($E210,AE$442:AH$453,4,FALSE)*AE210*($K210)+(AE210-AF210-AG210)*(1-$K210)</f>
        <v>45368831.838585906</v>
      </c>
      <c r="AI210" s="1074"/>
      <c r="AM210" s="1117">
        <f>$G210</f>
        <v>45368831.838585906</v>
      </c>
      <c r="AN210" s="1118">
        <f>VLOOKUP($E210,AM$442:AP$453,2,FALSE)*AM210*($K210)+IF($G210&lt;&gt;0,($H210/$G210)*AM210,0)*(1-$K210)</f>
        <v>0</v>
      </c>
      <c r="AO210" s="1118">
        <f>VLOOKUP($E210,AM$442:AP$453,3,FALSE)*AM210*($K210)+IF($G210&lt;&gt;0,($I210/$G210)*AM210,0)*(1-$K210)</f>
        <v>0</v>
      </c>
      <c r="AP210" s="1118">
        <f>VLOOKUP($E210,AM$442:AP$453,4,FALSE)*AM210*($K210)+(AM210-AN210-AO210)*(1-$K210)</f>
        <v>45368831.838585906</v>
      </c>
      <c r="AQ210" s="1074"/>
      <c r="AU210" s="1117">
        <f>$G210</f>
        <v>45368831.838585906</v>
      </c>
      <c r="AV210" s="1118">
        <f>VLOOKUP($E210,AU$442:AX$453,2,FALSE)*AU210*($K210)+IF($G210&lt;&gt;0,($H210/$G210)*AU210,0)*(1-$K210)</f>
        <v>0</v>
      </c>
      <c r="AW210" s="1118">
        <f>VLOOKUP($E210,AU$442:AX$453,3,FALSE)*AU210*($K210)+IF($G210&lt;&gt;0,($I210/$G210)*AU210,0)*(1-$K210)</f>
        <v>0</v>
      </c>
      <c r="AX210" s="1118">
        <f>VLOOKUP($E210,AU$442:AX$453,4,FALSE)*AU210*($K210)+(AU210-AV210-AW210)*(1-$K210)</f>
        <v>45368831.838585906</v>
      </c>
      <c r="AY210" s="1074"/>
      <c r="BC210" s="1117">
        <f>$G210</f>
        <v>45368831.838585906</v>
      </c>
      <c r="BD210" s="1118">
        <f>VLOOKUP($E210,BC$442:BF$453,2,FALSE)*BC210*($K210)+IF($G210&lt;&gt;0,($H210/$G210)*BC210,0)*(1-$K210)</f>
        <v>0</v>
      </c>
      <c r="BE210" s="1118">
        <f>VLOOKUP($E210,BC$442:BF$453,3,FALSE)*BC210*($K210)+IF($G210&lt;&gt;0,($I210/$G210)*BC210,0)*(1-$K210)</f>
        <v>0</v>
      </c>
      <c r="BF210" s="1118">
        <f>VLOOKUP($E210,BC$442:BF$453,4,FALSE)*BC210*($K210)+(BC210-BD210-BE210)*(1-$K210)</f>
        <v>45368831.838585906</v>
      </c>
      <c r="BG210" s="1074"/>
      <c r="BK210" s="1117">
        <f>$G210</f>
        <v>45368831.838585906</v>
      </c>
      <c r="BL210" s="1118">
        <f>VLOOKUP($E210,BK$442:BN$453,2,FALSE)*BK210*($K210)+IF($G210&lt;&gt;0,($H210/$G210)*BK210,0)*(1-$K210)</f>
        <v>0</v>
      </c>
      <c r="BM210" s="1118">
        <f>VLOOKUP($E210,BK$442:BN$453,3,FALSE)*BK210*($K210)+IF($G210&lt;&gt;0,($I210/$G210)*BK210,0)*(1-$K210)</f>
        <v>0</v>
      </c>
      <c r="BN210" s="1118">
        <f>VLOOKUP($E210,BK$442:BN$453,4,FALSE)*BK210*($K210)+(BK210-BL210-BM210)*(1-$K210)</f>
        <v>45368831.838585906</v>
      </c>
      <c r="BO210" s="1074"/>
      <c r="BS210" s="1117">
        <f>$G210</f>
        <v>45368831.838585906</v>
      </c>
      <c r="BT210" s="1118">
        <f>VLOOKUP($E210,BS$442:BV$453,2,FALSE)*BS210*($K210)+IF($G210&lt;&gt;0,($H210/$G210)*BS210,0)*(1-$K210)</f>
        <v>0</v>
      </c>
      <c r="BU210" s="1118">
        <f>VLOOKUP($E210,BS$442:BV$453,3,FALSE)*BS210*($K210)+IF($G210&lt;&gt;0,($I210/$G210)*BS210,0)*(1-$K210)</f>
        <v>0</v>
      </c>
      <c r="BV210" s="1118">
        <f>VLOOKUP($E210,BS$442:BV$453,4,FALSE)*BS210*($K210)+(BS210-BT210-BU210)*(1-$K210)</f>
        <v>45368831.838585906</v>
      </c>
      <c r="BW210" s="1074"/>
      <c r="CA210" s="1117">
        <f>$G210</f>
        <v>45368831.838585906</v>
      </c>
      <c r="CB210" s="1118">
        <f>VLOOKUP($E210,CA$442:CD$453,2,FALSE)*CA210*($K210)+IF($G210&lt;&gt;0,($H210/$G210)*CA210,0)*(1-$K210)</f>
        <v>0</v>
      </c>
      <c r="CC210" s="1118">
        <f>VLOOKUP($E210,CA$442:CD$453,3,FALSE)*CA210*($K210)+IF($G210&lt;&gt;0,($I210/$G210)*CA210,0)*(1-$K210)</f>
        <v>0</v>
      </c>
      <c r="CD210" s="1118">
        <f>VLOOKUP($E210,CA$442:CD$453,4,FALSE)*CA210*($K210)+(CA210-CB210-CC210)*(1-$K210)</f>
        <v>45368831.838585906</v>
      </c>
      <c r="CE210" s="1074"/>
      <c r="CI210" s="1117">
        <f>$G210</f>
        <v>45368831.838585906</v>
      </c>
      <c r="CJ210" s="1118">
        <f>VLOOKUP($E210,CI$442:CL$453,2,FALSE)*CI210*($K210)+IF($G210&lt;&gt;0,($H210/$G210)*CI210,0)*(1-$K210)</f>
        <v>0</v>
      </c>
      <c r="CK210" s="1118">
        <f>VLOOKUP($E210,CI$442:CL$453,3,FALSE)*CI210*($K210)+IF($G210&lt;&gt;0,($I210/$G210)*CI210,0)*(1-$K210)</f>
        <v>0</v>
      </c>
      <c r="CL210" s="1118">
        <f>VLOOKUP($E210,CI$442:CL$453,4,FALSE)*CI210*($K210)+(CI210-CJ210-CK210)*(1-$K210)</f>
        <v>45368831.838585906</v>
      </c>
      <c r="CM210" s="1074"/>
      <c r="CQ210" s="1117">
        <f>$G210</f>
        <v>45368831.838585906</v>
      </c>
      <c r="CR210" s="1118">
        <f>VLOOKUP($E210,CQ$442:CT$453,2,FALSE)*CQ210*($K210)+IF($G210&lt;&gt;0,($H210/$G210)*CQ210,0)*(1-$K210)</f>
        <v>0</v>
      </c>
      <c r="CS210" s="1118">
        <f>VLOOKUP($E210,CQ$442:CT$453,3,FALSE)*CQ210*($K210)+IF($G210&lt;&gt;0,($I210/$G210)*CQ210,0)*(1-$K210)</f>
        <v>0</v>
      </c>
      <c r="CT210" s="1118">
        <f>VLOOKUP($E210,CQ$442:CT$453,4,FALSE)*CQ210*($K210)+(CQ210-CR210-CS210)*(1-$K210)</f>
        <v>45368831.838585906</v>
      </c>
      <c r="CU210" s="1074"/>
      <c r="CY210" s="1117">
        <f>$G210</f>
        <v>45368831.838585906</v>
      </c>
      <c r="CZ210" s="1118">
        <f>VLOOKUP($E210,CY$442:DB$453,2,FALSE)*CY210*($K210)+IF($G210&lt;&gt;0,($H210/$G210)*CY210,0)*(1-$K210)</f>
        <v>0</v>
      </c>
      <c r="DA210" s="1118">
        <f>VLOOKUP($E210,CY$442:DB$453,3,FALSE)*CY210*($K210)+IF($G210&lt;&gt;0,($I210/$G210)*CY210,0)*(1-$K210)</f>
        <v>0</v>
      </c>
      <c r="DB210" s="1118">
        <f>VLOOKUP($E210,CY$442:DB$453,4,FALSE)*CY210*($K210)+(CY210-CZ210-DA210)*(1-$K210)</f>
        <v>45368831.838585906</v>
      </c>
      <c r="DC210" s="1074"/>
      <c r="DG210" s="1117">
        <f>$G210</f>
        <v>45368831.838585906</v>
      </c>
      <c r="DH210" s="1118">
        <f>VLOOKUP($E210,DG$442:DJ$453,2,FALSE)*DG210*($K210)+IF($G210&lt;&gt;0,($H210/$G210)*DG210,0)*(1-$K210)</f>
        <v>0</v>
      </c>
      <c r="DI210" s="1118">
        <f>VLOOKUP($E210,DG$442:DJ$453,3,FALSE)*DG210*($K210)+IF($G210&lt;&gt;0,($I210/$G210)*DG210,0)*(1-$K210)</f>
        <v>0</v>
      </c>
      <c r="DJ210" s="1118">
        <f>VLOOKUP($E210,DG$442:DJ$453,4,FALSE)*DG210*($K210)+(DG210-DH210-DI210)*(1-$K210)</f>
        <v>45368831.838585906</v>
      </c>
      <c r="DK210" s="1074"/>
      <c r="DO210" s="1117">
        <f>$G210</f>
        <v>45368831.838585906</v>
      </c>
      <c r="DP210" s="1118">
        <f>VLOOKUP($E210,DO$442:DR$453,2,FALSE)*DO210*($K210)+IF($G210&lt;&gt;0,($H210/$G210)*DO210,0)*(1-$K210)</f>
        <v>0</v>
      </c>
      <c r="DQ210" s="1118">
        <f>VLOOKUP($E210,DO$442:DR$453,3,FALSE)*DO210*($K210)+IF($G210&lt;&gt;0,($I210/$G210)*DO210,0)*(1-$K210)</f>
        <v>0</v>
      </c>
      <c r="DR210" s="1118">
        <f>VLOOKUP($E210,DO$442:DR$453,4,FALSE)*DO210*($K210)+(DO210-DP210-DQ210)*(1-$K210)</f>
        <v>45368831.838585906</v>
      </c>
      <c r="DS210" s="1074"/>
      <c r="DW210" s="1117">
        <f>$G210</f>
        <v>45368831.838585906</v>
      </c>
      <c r="DX210" s="1118">
        <f>VLOOKUP($E210,DW$442:DZ$453,2,FALSE)*DW210*($K210)+IF($G210&lt;&gt;0,($H210/$G210)*DW210,0)*(1-$K210)</f>
        <v>0</v>
      </c>
      <c r="DY210" s="1118">
        <f>VLOOKUP($E210,DW$442:DZ$453,3,FALSE)*DW210*($K210)+IF($G210&lt;&gt;0,($I210/$G210)*DW210,0)*(1-$K210)</f>
        <v>0</v>
      </c>
      <c r="DZ210" s="1118">
        <f>VLOOKUP($E210,DW$442:DZ$453,4,FALSE)*DW210*($K210)+(DW210-DX210-DY210)*(1-$K210)</f>
        <v>45368831.838585906</v>
      </c>
      <c r="EA210" s="1074"/>
      <c r="EE210" s="1117">
        <f>$G210</f>
        <v>45368831.838585906</v>
      </c>
      <c r="EF210" s="1118">
        <f>VLOOKUP($E210,EE$442:EH$453,2,FALSE)*EE210*($K210)+IF($G210&lt;&gt;0,($H210/$G210)*EE210,0)*(1-$K210)</f>
        <v>0</v>
      </c>
      <c r="EG210" s="1118">
        <f>VLOOKUP($E210,EE$442:EH$453,3,FALSE)*EE210*($K210)+IF($G210&lt;&gt;0,($I210/$G210)*EE210,0)*(1-$K210)</f>
        <v>0</v>
      </c>
      <c r="EH210" s="1118">
        <f>VLOOKUP($E210,EE$442:EH$453,4,FALSE)*EE210*($K210)+(EE210-EF210-EG210)*(1-$K210)</f>
        <v>45368831.838585906</v>
      </c>
      <c r="EI210" s="1074"/>
      <c r="EM210" s="1117">
        <f>$G210</f>
        <v>45368831.838585906</v>
      </c>
      <c r="EN210" s="1118">
        <f>VLOOKUP($E210,EM$442:EP$453,2,FALSE)*EM210*($K210)+IF($G210&lt;&gt;0,($H210/$G210)*EM210,0)*(1-$K210)</f>
        <v>0</v>
      </c>
      <c r="EO210" s="1118">
        <f>VLOOKUP($E210,EM$442:EP$453,3,FALSE)*EM210*($K210)+IF($G210&lt;&gt;0,($I210/$G210)*EM210,0)*(1-$K210)</f>
        <v>0</v>
      </c>
      <c r="EP210" s="1118">
        <f>VLOOKUP($E210,EM$442:EP$453,4,FALSE)*EM210*($K210)+(EM210-EN210-EO210)*(1-$K210)</f>
        <v>45368831.838585906</v>
      </c>
      <c r="EQ210" s="1074"/>
      <c r="EU210" s="1117">
        <f>$G210</f>
        <v>45368831.838585906</v>
      </c>
      <c r="EV210" s="1118">
        <f>VLOOKUP($E210,EU$442:EX$453,2,FALSE)*EU210*($K210)+IF($G210&lt;&gt;0,($H210/$G210)*EU210,0)*(1-$K210)</f>
        <v>0</v>
      </c>
      <c r="EW210" s="1118">
        <f>VLOOKUP($E210,EU$442:EX$453,3,FALSE)*EU210*($K210)+IF($G210&lt;&gt;0,($I210/$G210)*EU210,0)*(1-$K210)</f>
        <v>0</v>
      </c>
      <c r="EX210" s="1118">
        <f>VLOOKUP($E210,EU$442:EX$453,4,FALSE)*EU210*($K210)+(EU210-EV210-EW210)*(1-$K210)</f>
        <v>45368831.838585906</v>
      </c>
      <c r="EY210" s="1074"/>
      <c r="FC210" s="1117">
        <f>$G210</f>
        <v>45368831.838585906</v>
      </c>
      <c r="FD210" s="1118">
        <f>VLOOKUP($E210,FC$442:FF$453,2,FALSE)*FC210*($K210)+IF($G210&lt;&gt;0,($H210/$G210)*FC210,0)*(1-$K210)</f>
        <v>0</v>
      </c>
      <c r="FE210" s="1118">
        <f>VLOOKUP($E210,FC$442:FF$453,3,FALSE)*FC210*($K210)+IF($G210&lt;&gt;0,($I210/$G210)*FC210,0)*(1-$K210)</f>
        <v>0</v>
      </c>
      <c r="FF210" s="1118">
        <f>VLOOKUP($E210,FC$442:FF$453,4,FALSE)*FC210*($K210)+(FC210-FD210-FE210)*(1-$K210)</f>
        <v>45368831.838585906</v>
      </c>
      <c r="FG210" s="1074"/>
      <c r="FK210" s="1117">
        <f>$G210</f>
        <v>45368831.838585906</v>
      </c>
      <c r="FL210" s="1118">
        <f>VLOOKUP($E210,FK$442:FN$453,2,FALSE)*FK210*($K210)+IF($G210&lt;&gt;0,($H210/$G210)*FK210,0)*(1-$K210)</f>
        <v>0</v>
      </c>
      <c r="FM210" s="1118">
        <f>VLOOKUP($E210,FK$442:FN$453,3,FALSE)*FK210*($K210)+IF($G210&lt;&gt;0,($I210/$G210)*FK210,0)*(1-$K210)</f>
        <v>0</v>
      </c>
      <c r="FN210" s="1118">
        <f>VLOOKUP($E210,FK$442:FN$453,4,FALSE)*FK210*($K210)+(FK210-FL210-FM210)*(1-$K210)</f>
        <v>45368831.838585906</v>
      </c>
      <c r="FO210" s="1074"/>
    </row>
    <row r="211" spans="1:171" x14ac:dyDescent="0.25">
      <c r="A211" s="1421"/>
      <c r="B211" s="914" t="s">
        <v>172</v>
      </c>
      <c r="C211" s="889" t="s">
        <v>72</v>
      </c>
      <c r="D211" s="889" t="s">
        <v>395</v>
      </c>
      <c r="E211" s="182" t="str">
        <f>'Sch 3 - Expenses'!E51</f>
        <v>DIST</v>
      </c>
      <c r="F211" s="890"/>
      <c r="G211" s="182">
        <f>'Sch 3 - Expenses'!G51</f>
        <v>0</v>
      </c>
      <c r="H211" s="182">
        <f>'Sch 3 - Expenses'!H51</f>
        <v>0</v>
      </c>
      <c r="I211" s="182">
        <f>'Sch 3 - Expenses'!I51</f>
        <v>0</v>
      </c>
      <c r="J211" s="1422">
        <f>'Sch 3 - Expenses'!J51</f>
        <v>0</v>
      </c>
      <c r="K211" s="904">
        <f>IF($E211="DIRECT",0,1)</f>
        <v>1</v>
      </c>
      <c r="O211" s="1117">
        <f>$G211</f>
        <v>0</v>
      </c>
      <c r="P211" s="1118">
        <f>VLOOKUP($E211,O$442:R$453,2,FALSE)*O211*($K211)+IF($G211&lt;&gt;0,($H211/$G211)*O211,0)*(1-$K211)</f>
        <v>0</v>
      </c>
      <c r="Q211" s="1118">
        <f>VLOOKUP($E211,O$442:R$453,3,FALSE)*O211*($K211)+IF($G211&lt;&gt;0,($I211/$G211)*O211,0)*(1-$K211)</f>
        <v>0</v>
      </c>
      <c r="R211" s="1118">
        <f>VLOOKUP($E211,O$442:R$453,4,FALSE)*O211*($K211)+(O211-P211-Q211)*(1-$K211)</f>
        <v>0</v>
      </c>
      <c r="S211" s="1074"/>
      <c r="W211" s="1117">
        <f>$G211</f>
        <v>0</v>
      </c>
      <c r="X211" s="1118">
        <f>VLOOKUP($E211,W$442:Z$453,2,FALSE)*W211*($K211)+IF($G211&lt;&gt;0,($H211/$G211)*W211,0)*(1-$K211)</f>
        <v>0</v>
      </c>
      <c r="Y211" s="1118">
        <f>VLOOKUP($E211,W$442:Z$453,3,FALSE)*W211*($K211)+IF($G211&lt;&gt;0,($I211/$G211)*W211,0)*(1-$K211)</f>
        <v>0</v>
      </c>
      <c r="Z211" s="1118">
        <f>VLOOKUP($E211,W$442:Z$453,4,FALSE)*W211*($K211)+(W211-X211-Y211)*(1-$K211)</f>
        <v>0</v>
      </c>
      <c r="AA211" s="1074"/>
      <c r="AE211" s="1117">
        <f>$G211</f>
        <v>0</v>
      </c>
      <c r="AF211" s="1118">
        <f>VLOOKUP($E211,AE$442:AH$453,2,FALSE)*AE211*($K211)+IF($G211&lt;&gt;0,($H211/$G211)*AE211,0)*(1-$K211)</f>
        <v>0</v>
      </c>
      <c r="AG211" s="1118">
        <f>VLOOKUP($E211,AE$442:AH$453,3,FALSE)*AE211*($K211)+IF($G211&lt;&gt;0,($I211/$G211)*AE211,0)*(1-$K211)</f>
        <v>0</v>
      </c>
      <c r="AH211" s="1118">
        <f>VLOOKUP($E211,AE$442:AH$453,4,FALSE)*AE211*($K211)+(AE211-AF211-AG211)*(1-$K211)</f>
        <v>0</v>
      </c>
      <c r="AI211" s="1074"/>
      <c r="AM211" s="1117">
        <f>$G211</f>
        <v>0</v>
      </c>
      <c r="AN211" s="1118">
        <f>VLOOKUP($E211,AM$442:AP$453,2,FALSE)*AM211*($K211)+IF($G211&lt;&gt;0,($H211/$G211)*AM211,0)*(1-$K211)</f>
        <v>0</v>
      </c>
      <c r="AO211" s="1118">
        <f>VLOOKUP($E211,AM$442:AP$453,3,FALSE)*AM211*($K211)+IF($G211&lt;&gt;0,($I211/$G211)*AM211,0)*(1-$K211)</f>
        <v>0</v>
      </c>
      <c r="AP211" s="1118">
        <f>VLOOKUP($E211,AM$442:AP$453,4,FALSE)*AM211*($K211)+(AM211-AN211-AO211)*(1-$K211)</f>
        <v>0</v>
      </c>
      <c r="AQ211" s="1074"/>
      <c r="AU211" s="1117">
        <f>$G211</f>
        <v>0</v>
      </c>
      <c r="AV211" s="1118">
        <f>VLOOKUP($E211,AU$442:AX$453,2,FALSE)*AU211*($K211)+IF($G211&lt;&gt;0,($H211/$G211)*AU211,0)*(1-$K211)</f>
        <v>0</v>
      </c>
      <c r="AW211" s="1118">
        <f>VLOOKUP($E211,AU$442:AX$453,3,FALSE)*AU211*($K211)+IF($G211&lt;&gt;0,($I211/$G211)*AU211,0)*(1-$K211)</f>
        <v>0</v>
      </c>
      <c r="AX211" s="1118">
        <f>VLOOKUP($E211,AU$442:AX$453,4,FALSE)*AU211*($K211)+(AU211-AV211-AW211)*(1-$K211)</f>
        <v>0</v>
      </c>
      <c r="AY211" s="1074"/>
      <c r="BC211" s="1117">
        <f>$G211</f>
        <v>0</v>
      </c>
      <c r="BD211" s="1118">
        <f>VLOOKUP($E211,BC$442:BF$453,2,FALSE)*BC211*($K211)+IF($G211&lt;&gt;0,($H211/$G211)*BC211,0)*(1-$K211)</f>
        <v>0</v>
      </c>
      <c r="BE211" s="1118">
        <f>VLOOKUP($E211,BC$442:BF$453,3,FALSE)*BC211*($K211)+IF($G211&lt;&gt;0,($I211/$G211)*BC211,0)*(1-$K211)</f>
        <v>0</v>
      </c>
      <c r="BF211" s="1118">
        <f>VLOOKUP($E211,BC$442:BF$453,4,FALSE)*BC211*($K211)+(BC211-BD211-BE211)*(1-$K211)</f>
        <v>0</v>
      </c>
      <c r="BG211" s="1074"/>
      <c r="BK211" s="1117">
        <f>$G211</f>
        <v>0</v>
      </c>
      <c r="BL211" s="1118">
        <f>VLOOKUP($E211,BK$442:BN$453,2,FALSE)*BK211*($K211)+IF($G211&lt;&gt;0,($H211/$G211)*BK211,0)*(1-$K211)</f>
        <v>0</v>
      </c>
      <c r="BM211" s="1118">
        <f>VLOOKUP($E211,BK$442:BN$453,3,FALSE)*BK211*($K211)+IF($G211&lt;&gt;0,($I211/$G211)*BK211,0)*(1-$K211)</f>
        <v>0</v>
      </c>
      <c r="BN211" s="1118">
        <f>VLOOKUP($E211,BK$442:BN$453,4,FALSE)*BK211*($K211)+(BK211-BL211-BM211)*(1-$K211)</f>
        <v>0</v>
      </c>
      <c r="BO211" s="1074"/>
      <c r="BS211" s="1117">
        <f>$G211</f>
        <v>0</v>
      </c>
      <c r="BT211" s="1118">
        <f>VLOOKUP($E211,BS$442:BV$453,2,FALSE)*BS211*($K211)+IF($G211&lt;&gt;0,($H211/$G211)*BS211,0)*(1-$K211)</f>
        <v>0</v>
      </c>
      <c r="BU211" s="1118">
        <f>VLOOKUP($E211,BS$442:BV$453,3,FALSE)*BS211*($K211)+IF($G211&lt;&gt;0,($I211/$G211)*BS211,0)*(1-$K211)</f>
        <v>0</v>
      </c>
      <c r="BV211" s="1118">
        <f>VLOOKUP($E211,BS$442:BV$453,4,FALSE)*BS211*($K211)+(BS211-BT211-BU211)*(1-$K211)</f>
        <v>0</v>
      </c>
      <c r="BW211" s="1074"/>
      <c r="CA211" s="1117">
        <f>$G211</f>
        <v>0</v>
      </c>
      <c r="CB211" s="1118">
        <f>VLOOKUP($E211,CA$442:CD$453,2,FALSE)*CA211*($K211)+IF($G211&lt;&gt;0,($H211/$G211)*CA211,0)*(1-$K211)</f>
        <v>0</v>
      </c>
      <c r="CC211" s="1118">
        <f>VLOOKUP($E211,CA$442:CD$453,3,FALSE)*CA211*($K211)+IF($G211&lt;&gt;0,($I211/$G211)*CA211,0)*(1-$K211)</f>
        <v>0</v>
      </c>
      <c r="CD211" s="1118">
        <f>VLOOKUP($E211,CA$442:CD$453,4,FALSE)*CA211*($K211)+(CA211-CB211-CC211)*(1-$K211)</f>
        <v>0</v>
      </c>
      <c r="CE211" s="1074"/>
      <c r="CI211" s="1117">
        <f>$G211</f>
        <v>0</v>
      </c>
      <c r="CJ211" s="1118">
        <f>VLOOKUP($E211,CI$442:CL$453,2,FALSE)*CI211*($K211)+IF($G211&lt;&gt;0,($H211/$G211)*CI211,0)*(1-$K211)</f>
        <v>0</v>
      </c>
      <c r="CK211" s="1118">
        <f>VLOOKUP($E211,CI$442:CL$453,3,FALSE)*CI211*($K211)+IF($G211&lt;&gt;0,($I211/$G211)*CI211,0)*(1-$K211)</f>
        <v>0</v>
      </c>
      <c r="CL211" s="1118">
        <f>VLOOKUP($E211,CI$442:CL$453,4,FALSE)*CI211*($K211)+(CI211-CJ211-CK211)*(1-$K211)</f>
        <v>0</v>
      </c>
      <c r="CM211" s="1074"/>
      <c r="CQ211" s="1117">
        <f>$G211</f>
        <v>0</v>
      </c>
      <c r="CR211" s="1118">
        <f>VLOOKUP($E211,CQ$442:CT$453,2,FALSE)*CQ211*($K211)+IF($G211&lt;&gt;0,($H211/$G211)*CQ211,0)*(1-$K211)</f>
        <v>0</v>
      </c>
      <c r="CS211" s="1118">
        <f>VLOOKUP($E211,CQ$442:CT$453,3,FALSE)*CQ211*($K211)+IF($G211&lt;&gt;0,($I211/$G211)*CQ211,0)*(1-$K211)</f>
        <v>0</v>
      </c>
      <c r="CT211" s="1118">
        <f>VLOOKUP($E211,CQ$442:CT$453,4,FALSE)*CQ211*($K211)+(CQ211-CR211-CS211)*(1-$K211)</f>
        <v>0</v>
      </c>
      <c r="CU211" s="1074"/>
      <c r="CY211" s="1117">
        <f>$G211</f>
        <v>0</v>
      </c>
      <c r="CZ211" s="1118">
        <f>VLOOKUP($E211,CY$442:DB$453,2,FALSE)*CY211*($K211)+IF($G211&lt;&gt;0,($H211/$G211)*CY211,0)*(1-$K211)</f>
        <v>0</v>
      </c>
      <c r="DA211" s="1118">
        <f>VLOOKUP($E211,CY$442:DB$453,3,FALSE)*CY211*($K211)+IF($G211&lt;&gt;0,($I211/$G211)*CY211,0)*(1-$K211)</f>
        <v>0</v>
      </c>
      <c r="DB211" s="1118">
        <f>VLOOKUP($E211,CY$442:DB$453,4,FALSE)*CY211*($K211)+(CY211-CZ211-DA211)*(1-$K211)</f>
        <v>0</v>
      </c>
      <c r="DC211" s="1074"/>
      <c r="DG211" s="1117">
        <f>$G211</f>
        <v>0</v>
      </c>
      <c r="DH211" s="1118">
        <f>VLOOKUP($E211,DG$442:DJ$453,2,FALSE)*DG211*($K211)+IF($G211&lt;&gt;0,($H211/$G211)*DG211,0)*(1-$K211)</f>
        <v>0</v>
      </c>
      <c r="DI211" s="1118">
        <f>VLOOKUP($E211,DG$442:DJ$453,3,FALSE)*DG211*($K211)+IF($G211&lt;&gt;0,($I211/$G211)*DG211,0)*(1-$K211)</f>
        <v>0</v>
      </c>
      <c r="DJ211" s="1118">
        <f>VLOOKUP($E211,DG$442:DJ$453,4,FALSE)*DG211*($K211)+(DG211-DH211-DI211)*(1-$K211)</f>
        <v>0</v>
      </c>
      <c r="DK211" s="1074"/>
      <c r="DO211" s="1117">
        <f>$G211</f>
        <v>0</v>
      </c>
      <c r="DP211" s="1118">
        <f>VLOOKUP($E211,DO$442:DR$453,2,FALSE)*DO211*($K211)+IF($G211&lt;&gt;0,($H211/$G211)*DO211,0)*(1-$K211)</f>
        <v>0</v>
      </c>
      <c r="DQ211" s="1118">
        <f>VLOOKUP($E211,DO$442:DR$453,3,FALSE)*DO211*($K211)+IF($G211&lt;&gt;0,($I211/$G211)*DO211,0)*(1-$K211)</f>
        <v>0</v>
      </c>
      <c r="DR211" s="1118">
        <f>VLOOKUP($E211,DO$442:DR$453,4,FALSE)*DO211*($K211)+(DO211-DP211-DQ211)*(1-$K211)</f>
        <v>0</v>
      </c>
      <c r="DS211" s="1074"/>
      <c r="DW211" s="1117">
        <f>$G211</f>
        <v>0</v>
      </c>
      <c r="DX211" s="1118">
        <f>VLOOKUP($E211,DW$442:DZ$453,2,FALSE)*DW211*($K211)+IF($G211&lt;&gt;0,($H211/$G211)*DW211,0)*(1-$K211)</f>
        <v>0</v>
      </c>
      <c r="DY211" s="1118">
        <f>VLOOKUP($E211,DW$442:DZ$453,3,FALSE)*DW211*($K211)+IF($G211&lt;&gt;0,($I211/$G211)*DW211,0)*(1-$K211)</f>
        <v>0</v>
      </c>
      <c r="DZ211" s="1118">
        <f>VLOOKUP($E211,DW$442:DZ$453,4,FALSE)*DW211*($K211)+(DW211-DX211-DY211)*(1-$K211)</f>
        <v>0</v>
      </c>
      <c r="EA211" s="1074"/>
      <c r="EE211" s="1117">
        <f>$G211</f>
        <v>0</v>
      </c>
      <c r="EF211" s="1118">
        <f>VLOOKUP($E211,EE$442:EH$453,2,FALSE)*EE211*($K211)+IF($G211&lt;&gt;0,($H211/$G211)*EE211,0)*(1-$K211)</f>
        <v>0</v>
      </c>
      <c r="EG211" s="1118">
        <f>VLOOKUP($E211,EE$442:EH$453,3,FALSE)*EE211*($K211)+IF($G211&lt;&gt;0,($I211/$G211)*EE211,0)*(1-$K211)</f>
        <v>0</v>
      </c>
      <c r="EH211" s="1118">
        <f>VLOOKUP($E211,EE$442:EH$453,4,FALSE)*EE211*($K211)+(EE211-EF211-EG211)*(1-$K211)</f>
        <v>0</v>
      </c>
      <c r="EI211" s="1074"/>
      <c r="EM211" s="1117">
        <f>$G211</f>
        <v>0</v>
      </c>
      <c r="EN211" s="1118">
        <f>VLOOKUP($E211,EM$442:EP$453,2,FALSE)*EM211*($K211)+IF($G211&lt;&gt;0,($H211/$G211)*EM211,0)*(1-$K211)</f>
        <v>0</v>
      </c>
      <c r="EO211" s="1118">
        <f>VLOOKUP($E211,EM$442:EP$453,3,FALSE)*EM211*($K211)+IF($G211&lt;&gt;0,($I211/$G211)*EM211,0)*(1-$K211)</f>
        <v>0</v>
      </c>
      <c r="EP211" s="1118">
        <f>VLOOKUP($E211,EM$442:EP$453,4,FALSE)*EM211*($K211)+(EM211-EN211-EO211)*(1-$K211)</f>
        <v>0</v>
      </c>
      <c r="EQ211" s="1074"/>
      <c r="EU211" s="1117">
        <f>$G211</f>
        <v>0</v>
      </c>
      <c r="EV211" s="1118">
        <f>VLOOKUP($E211,EU$442:EX$453,2,FALSE)*EU211*($K211)+IF($G211&lt;&gt;0,($H211/$G211)*EU211,0)*(1-$K211)</f>
        <v>0</v>
      </c>
      <c r="EW211" s="1118">
        <f>VLOOKUP($E211,EU$442:EX$453,3,FALSE)*EU211*($K211)+IF($G211&lt;&gt;0,($I211/$G211)*EU211,0)*(1-$K211)</f>
        <v>0</v>
      </c>
      <c r="EX211" s="1118">
        <f>VLOOKUP($E211,EU$442:EX$453,4,FALSE)*EU211*($K211)+(EU211-EV211-EW211)*(1-$K211)</f>
        <v>0</v>
      </c>
      <c r="EY211" s="1074"/>
      <c r="FC211" s="1117">
        <f>$G211</f>
        <v>0</v>
      </c>
      <c r="FD211" s="1118">
        <f>VLOOKUP($E211,FC$442:FF$453,2,FALSE)*FC211*($K211)+IF($G211&lt;&gt;0,($H211/$G211)*FC211,0)*(1-$K211)</f>
        <v>0</v>
      </c>
      <c r="FE211" s="1118">
        <f>VLOOKUP($E211,FC$442:FF$453,3,FALSE)*FC211*($K211)+IF($G211&lt;&gt;0,($I211/$G211)*FC211,0)*(1-$K211)</f>
        <v>0</v>
      </c>
      <c r="FF211" s="1118">
        <f>VLOOKUP($E211,FC$442:FF$453,4,FALSE)*FC211*($K211)+(FC211-FD211-FE211)*(1-$K211)</f>
        <v>0</v>
      </c>
      <c r="FG211" s="1074"/>
      <c r="FK211" s="1117">
        <f>$G211</f>
        <v>0</v>
      </c>
      <c r="FL211" s="1118">
        <f>VLOOKUP($E211,FK$442:FN$453,2,FALSE)*FK211*($K211)+IF($G211&lt;&gt;0,($H211/$G211)*FK211,0)*(1-$K211)</f>
        <v>0</v>
      </c>
      <c r="FM211" s="1118">
        <f>VLOOKUP($E211,FK$442:FN$453,3,FALSE)*FK211*($K211)+IF($G211&lt;&gt;0,($I211/$G211)*FK211,0)*(1-$K211)</f>
        <v>0</v>
      </c>
      <c r="FN211" s="1118">
        <f>VLOOKUP($E211,FK$442:FN$453,4,FALSE)*FK211*($K211)+(FK211-FL211-FM211)*(1-$K211)</f>
        <v>0</v>
      </c>
      <c r="FO211" s="1074"/>
    </row>
    <row r="212" spans="1:171" x14ac:dyDescent="0.25">
      <c r="A212" s="1421"/>
      <c r="B212" s="914" t="s">
        <v>627</v>
      </c>
      <c r="C212" s="889" t="s">
        <v>72</v>
      </c>
      <c r="D212" s="889">
        <v>908</v>
      </c>
      <c r="E212" s="182" t="str">
        <f>'Sch 3 - Expenses'!E52</f>
        <v>direct</v>
      </c>
      <c r="F212" s="890"/>
      <c r="G212" s="182">
        <f>'Sch 3 - Expenses'!G52</f>
        <v>95586516.719410077</v>
      </c>
      <c r="H212" s="182">
        <f>'Sch 3 - Expenses'!H52</f>
        <v>92632457.840870231</v>
      </c>
      <c r="I212" s="182">
        <f>'Sch 3 - Expenses'!I52</f>
        <v>0</v>
      </c>
      <c r="J212" s="1422">
        <f>'Sch 3 - Expenses'!J52</f>
        <v>2954058.8785398346</v>
      </c>
      <c r="K212" s="904">
        <f>IF($E212="DIRECT",0,1)</f>
        <v>0</v>
      </c>
      <c r="O212" s="1117">
        <f>$G212</f>
        <v>95586516.719410077</v>
      </c>
      <c r="P212" s="1118">
        <f>VLOOKUP($E212,O$442:R$453,2,FALSE)*O212*($K212)+IF($G212&lt;&gt;0,($H212/$G212)*O212,0)*(1-$K212)</f>
        <v>92632457.840870231</v>
      </c>
      <c r="Q212" s="1118">
        <f>VLOOKUP($E212,O$442:R$453,3,FALSE)*O212*($K212)+IF($G212&lt;&gt;0,($I212/$G212)*O212,0)*(1-$K212)</f>
        <v>0</v>
      </c>
      <c r="R212" s="1118">
        <f>VLOOKUP($E212,O$442:R$453,4,FALSE)*O212*($K212)+(O212-P212-Q212)*(1-$K212)</f>
        <v>2954058.8785398453</v>
      </c>
      <c r="S212" s="1074"/>
      <c r="W212" s="1117">
        <f>$G212</f>
        <v>95586516.719410077</v>
      </c>
      <c r="X212" s="1118">
        <f>VLOOKUP($E212,W$442:Z$453,2,FALSE)*W212*($K212)+IF($G212&lt;&gt;0,($H212/$G212)*W212,0)*(1-$K212)</f>
        <v>92632457.840870231</v>
      </c>
      <c r="Y212" s="1118">
        <f>VLOOKUP($E212,W$442:Z$453,3,FALSE)*W212*($K212)+IF($G212&lt;&gt;0,($I212/$G212)*W212,0)*(1-$K212)</f>
        <v>0</v>
      </c>
      <c r="Z212" s="1118">
        <f>VLOOKUP($E212,W$442:Z$453,4,FALSE)*W212*($K212)+(W212-X212-Y212)*(1-$K212)</f>
        <v>2954058.8785398453</v>
      </c>
      <c r="AA212" s="1074"/>
      <c r="AE212" s="1117">
        <f>$G212</f>
        <v>95586516.719410077</v>
      </c>
      <c r="AF212" s="1118">
        <f>VLOOKUP($E212,AE$442:AH$453,2,FALSE)*AE212*($K212)+IF($G212&lt;&gt;0,($H212/$G212)*AE212,0)*(1-$K212)</f>
        <v>92632457.840870231</v>
      </c>
      <c r="AG212" s="1118">
        <f>VLOOKUP($E212,AE$442:AH$453,3,FALSE)*AE212*($K212)+IF($G212&lt;&gt;0,($I212/$G212)*AE212,0)*(1-$K212)</f>
        <v>0</v>
      </c>
      <c r="AH212" s="1118">
        <f>VLOOKUP($E212,AE$442:AH$453,4,FALSE)*AE212*($K212)+(AE212-AF212-AG212)*(1-$K212)</f>
        <v>2954058.8785398453</v>
      </c>
      <c r="AI212" s="1074"/>
      <c r="AM212" s="1117">
        <f>$G212</f>
        <v>95586516.719410077</v>
      </c>
      <c r="AN212" s="1118">
        <f>VLOOKUP($E212,AM$442:AP$453,2,FALSE)*AM212*($K212)+IF($G212&lt;&gt;0,($H212/$G212)*AM212,0)*(1-$K212)</f>
        <v>92632457.840870231</v>
      </c>
      <c r="AO212" s="1118">
        <f>VLOOKUP($E212,AM$442:AP$453,3,FALSE)*AM212*($K212)+IF($G212&lt;&gt;0,($I212/$G212)*AM212,0)*(1-$K212)</f>
        <v>0</v>
      </c>
      <c r="AP212" s="1118">
        <f>VLOOKUP($E212,AM$442:AP$453,4,FALSE)*AM212*($K212)+(AM212-AN212-AO212)*(1-$K212)</f>
        <v>2954058.8785398453</v>
      </c>
      <c r="AQ212" s="1074"/>
      <c r="AU212" s="1117">
        <f>$G212</f>
        <v>95586516.719410077</v>
      </c>
      <c r="AV212" s="1118">
        <f>VLOOKUP($E212,AU$442:AX$453,2,FALSE)*AU212*($K212)+IF($G212&lt;&gt;0,($H212/$G212)*AU212,0)*(1-$K212)</f>
        <v>92632457.840870231</v>
      </c>
      <c r="AW212" s="1118">
        <f>VLOOKUP($E212,AU$442:AX$453,3,FALSE)*AU212*($K212)+IF($G212&lt;&gt;0,($I212/$G212)*AU212,0)*(1-$K212)</f>
        <v>0</v>
      </c>
      <c r="AX212" s="1118">
        <f>VLOOKUP($E212,AU$442:AX$453,4,FALSE)*AU212*($K212)+(AU212-AV212-AW212)*(1-$K212)</f>
        <v>2954058.8785398453</v>
      </c>
      <c r="AY212" s="1074"/>
      <c r="BC212" s="1117">
        <f>$G212</f>
        <v>95586516.719410077</v>
      </c>
      <c r="BD212" s="1118">
        <f>VLOOKUP($E212,BC$442:BF$453,2,FALSE)*BC212*($K212)+IF($G212&lt;&gt;0,($H212/$G212)*BC212,0)*(1-$K212)</f>
        <v>92632457.840870231</v>
      </c>
      <c r="BE212" s="1118">
        <f>VLOOKUP($E212,BC$442:BF$453,3,FALSE)*BC212*($K212)+IF($G212&lt;&gt;0,($I212/$G212)*BC212,0)*(1-$K212)</f>
        <v>0</v>
      </c>
      <c r="BF212" s="1118">
        <f>VLOOKUP($E212,BC$442:BF$453,4,FALSE)*BC212*($K212)+(BC212-BD212-BE212)*(1-$K212)</f>
        <v>2954058.8785398453</v>
      </c>
      <c r="BG212" s="1074"/>
      <c r="BK212" s="1117">
        <f>$G212</f>
        <v>95586516.719410077</v>
      </c>
      <c r="BL212" s="1118">
        <f>VLOOKUP($E212,BK$442:BN$453,2,FALSE)*BK212*($K212)+IF($G212&lt;&gt;0,($H212/$G212)*BK212,0)*(1-$K212)</f>
        <v>92632457.840870231</v>
      </c>
      <c r="BM212" s="1118">
        <f>VLOOKUP($E212,BK$442:BN$453,3,FALSE)*BK212*($K212)+IF($G212&lt;&gt;0,($I212/$G212)*BK212,0)*(1-$K212)</f>
        <v>0</v>
      </c>
      <c r="BN212" s="1118">
        <f>VLOOKUP($E212,BK$442:BN$453,4,FALSE)*BK212*($K212)+(BK212-BL212-BM212)*(1-$K212)</f>
        <v>2954058.8785398453</v>
      </c>
      <c r="BO212" s="1074"/>
      <c r="BS212" s="1117">
        <f>$G212</f>
        <v>95586516.719410077</v>
      </c>
      <c r="BT212" s="1118">
        <f>VLOOKUP($E212,BS$442:BV$453,2,FALSE)*BS212*($K212)+IF($G212&lt;&gt;0,($H212/$G212)*BS212,0)*(1-$K212)</f>
        <v>92632457.840870231</v>
      </c>
      <c r="BU212" s="1118">
        <f>VLOOKUP($E212,BS$442:BV$453,3,FALSE)*BS212*($K212)+IF($G212&lt;&gt;0,($I212/$G212)*BS212,0)*(1-$K212)</f>
        <v>0</v>
      </c>
      <c r="BV212" s="1118">
        <f>VLOOKUP($E212,BS$442:BV$453,4,FALSE)*BS212*($K212)+(BS212-BT212-BU212)*(1-$K212)</f>
        <v>2954058.8785398453</v>
      </c>
      <c r="BW212" s="1074"/>
      <c r="CA212" s="1117">
        <f>$G212</f>
        <v>95586516.719410077</v>
      </c>
      <c r="CB212" s="1118">
        <f>VLOOKUP($E212,CA$442:CD$453,2,FALSE)*CA212*($K212)+IF($G212&lt;&gt;0,($H212/$G212)*CA212,0)*(1-$K212)</f>
        <v>92632457.840870231</v>
      </c>
      <c r="CC212" s="1118">
        <f>VLOOKUP($E212,CA$442:CD$453,3,FALSE)*CA212*($K212)+IF($G212&lt;&gt;0,($I212/$G212)*CA212,0)*(1-$K212)</f>
        <v>0</v>
      </c>
      <c r="CD212" s="1118">
        <f>VLOOKUP($E212,CA$442:CD$453,4,FALSE)*CA212*($K212)+(CA212-CB212-CC212)*(1-$K212)</f>
        <v>2954058.8785398453</v>
      </c>
      <c r="CE212" s="1074"/>
      <c r="CI212" s="1117">
        <f>$G212</f>
        <v>95586516.719410077</v>
      </c>
      <c r="CJ212" s="1118">
        <f>VLOOKUP($E212,CI$442:CL$453,2,FALSE)*CI212*($K212)+IF($G212&lt;&gt;0,($H212/$G212)*CI212,0)*(1-$K212)</f>
        <v>92632457.840870231</v>
      </c>
      <c r="CK212" s="1118">
        <f>VLOOKUP($E212,CI$442:CL$453,3,FALSE)*CI212*($K212)+IF($G212&lt;&gt;0,($I212/$G212)*CI212,0)*(1-$K212)</f>
        <v>0</v>
      </c>
      <c r="CL212" s="1118">
        <f>VLOOKUP($E212,CI$442:CL$453,4,FALSE)*CI212*($K212)+(CI212-CJ212-CK212)*(1-$K212)</f>
        <v>2954058.8785398453</v>
      </c>
      <c r="CM212" s="1074"/>
      <c r="CQ212" s="1117">
        <f>$G212</f>
        <v>95586516.719410077</v>
      </c>
      <c r="CR212" s="1118">
        <f>VLOOKUP($E212,CQ$442:CT$453,2,FALSE)*CQ212*($K212)+IF($G212&lt;&gt;0,($H212/$G212)*CQ212,0)*(1-$K212)</f>
        <v>92632457.840870231</v>
      </c>
      <c r="CS212" s="1118">
        <f>VLOOKUP($E212,CQ$442:CT$453,3,FALSE)*CQ212*($K212)+IF($G212&lt;&gt;0,($I212/$G212)*CQ212,0)*(1-$K212)</f>
        <v>0</v>
      </c>
      <c r="CT212" s="1118">
        <f>VLOOKUP($E212,CQ$442:CT$453,4,FALSE)*CQ212*($K212)+(CQ212-CR212-CS212)*(1-$K212)</f>
        <v>2954058.8785398453</v>
      </c>
      <c r="CU212" s="1074"/>
      <c r="CY212" s="1117">
        <f>$G212</f>
        <v>95586516.719410077</v>
      </c>
      <c r="CZ212" s="1118">
        <f>VLOOKUP($E212,CY$442:DB$453,2,FALSE)*CY212*($K212)+IF($G212&lt;&gt;0,($H212/$G212)*CY212,0)*(1-$K212)</f>
        <v>92632457.840870231</v>
      </c>
      <c r="DA212" s="1118">
        <f>VLOOKUP($E212,CY$442:DB$453,3,FALSE)*CY212*($K212)+IF($G212&lt;&gt;0,($I212/$G212)*CY212,0)*(1-$K212)</f>
        <v>0</v>
      </c>
      <c r="DB212" s="1118">
        <f>VLOOKUP($E212,CY$442:DB$453,4,FALSE)*CY212*($K212)+(CY212-CZ212-DA212)*(1-$K212)</f>
        <v>2954058.8785398453</v>
      </c>
      <c r="DC212" s="1074"/>
      <c r="DG212" s="1117">
        <f>$G212</f>
        <v>95586516.719410077</v>
      </c>
      <c r="DH212" s="1118">
        <f>VLOOKUP($E212,DG$442:DJ$453,2,FALSE)*DG212*($K212)+IF($G212&lt;&gt;0,($H212/$G212)*DG212,0)*(1-$K212)</f>
        <v>92632457.840870231</v>
      </c>
      <c r="DI212" s="1118">
        <f>VLOOKUP($E212,DG$442:DJ$453,3,FALSE)*DG212*($K212)+IF($G212&lt;&gt;0,($I212/$G212)*DG212,0)*(1-$K212)</f>
        <v>0</v>
      </c>
      <c r="DJ212" s="1118">
        <f>VLOOKUP($E212,DG$442:DJ$453,4,FALSE)*DG212*($K212)+(DG212-DH212-DI212)*(1-$K212)</f>
        <v>2954058.8785398453</v>
      </c>
      <c r="DK212" s="1074"/>
      <c r="DO212" s="1117">
        <f>$G212</f>
        <v>95586516.719410077</v>
      </c>
      <c r="DP212" s="1118">
        <f>VLOOKUP($E212,DO$442:DR$453,2,FALSE)*DO212*($K212)+IF($G212&lt;&gt;0,($H212/$G212)*DO212,0)*(1-$K212)</f>
        <v>92632457.840870231</v>
      </c>
      <c r="DQ212" s="1118">
        <f>VLOOKUP($E212,DO$442:DR$453,3,FALSE)*DO212*($K212)+IF($G212&lt;&gt;0,($I212/$G212)*DO212,0)*(1-$K212)</f>
        <v>0</v>
      </c>
      <c r="DR212" s="1118">
        <f>VLOOKUP($E212,DO$442:DR$453,4,FALSE)*DO212*($K212)+(DO212-DP212-DQ212)*(1-$K212)</f>
        <v>2954058.8785398453</v>
      </c>
      <c r="DS212" s="1074"/>
      <c r="DW212" s="1117">
        <f>$G212</f>
        <v>95586516.719410077</v>
      </c>
      <c r="DX212" s="1118">
        <f>VLOOKUP($E212,DW$442:DZ$453,2,FALSE)*DW212*($K212)+IF($G212&lt;&gt;0,($H212/$G212)*DW212,0)*(1-$K212)</f>
        <v>92632457.840870231</v>
      </c>
      <c r="DY212" s="1118">
        <f>VLOOKUP($E212,DW$442:DZ$453,3,FALSE)*DW212*($K212)+IF($G212&lt;&gt;0,($I212/$G212)*DW212,0)*(1-$K212)</f>
        <v>0</v>
      </c>
      <c r="DZ212" s="1118">
        <f>VLOOKUP($E212,DW$442:DZ$453,4,FALSE)*DW212*($K212)+(DW212-DX212-DY212)*(1-$K212)</f>
        <v>2954058.8785398453</v>
      </c>
      <c r="EA212" s="1074"/>
      <c r="EE212" s="1117">
        <f>$G212</f>
        <v>95586516.719410077</v>
      </c>
      <c r="EF212" s="1118">
        <f>VLOOKUP($E212,EE$442:EH$453,2,FALSE)*EE212*($K212)+IF($G212&lt;&gt;0,($H212/$G212)*EE212,0)*(1-$K212)</f>
        <v>92632457.840870231</v>
      </c>
      <c r="EG212" s="1118">
        <f>VLOOKUP($E212,EE$442:EH$453,3,FALSE)*EE212*($K212)+IF($G212&lt;&gt;0,($I212/$G212)*EE212,0)*(1-$K212)</f>
        <v>0</v>
      </c>
      <c r="EH212" s="1118">
        <f>VLOOKUP($E212,EE$442:EH$453,4,FALSE)*EE212*($K212)+(EE212-EF212-EG212)*(1-$K212)</f>
        <v>2954058.8785398453</v>
      </c>
      <c r="EI212" s="1074"/>
      <c r="EM212" s="1117">
        <f>$G212</f>
        <v>95586516.719410077</v>
      </c>
      <c r="EN212" s="1118">
        <f>VLOOKUP($E212,EM$442:EP$453,2,FALSE)*EM212*($K212)+IF($G212&lt;&gt;0,($H212/$G212)*EM212,0)*(1-$K212)</f>
        <v>92632457.840870231</v>
      </c>
      <c r="EO212" s="1118">
        <f>VLOOKUP($E212,EM$442:EP$453,3,FALSE)*EM212*($K212)+IF($G212&lt;&gt;0,($I212/$G212)*EM212,0)*(1-$K212)</f>
        <v>0</v>
      </c>
      <c r="EP212" s="1118">
        <f>VLOOKUP($E212,EM$442:EP$453,4,FALSE)*EM212*($K212)+(EM212-EN212-EO212)*(1-$K212)</f>
        <v>2954058.8785398453</v>
      </c>
      <c r="EQ212" s="1074"/>
      <c r="EU212" s="1117">
        <f>$G212</f>
        <v>95586516.719410077</v>
      </c>
      <c r="EV212" s="1118">
        <f>VLOOKUP($E212,EU$442:EX$453,2,FALSE)*EU212*($K212)+IF($G212&lt;&gt;0,($H212/$G212)*EU212,0)*(1-$K212)</f>
        <v>92632457.840870231</v>
      </c>
      <c r="EW212" s="1118">
        <f>VLOOKUP($E212,EU$442:EX$453,3,FALSE)*EU212*($K212)+IF($G212&lt;&gt;0,($I212/$G212)*EU212,0)*(1-$K212)</f>
        <v>0</v>
      </c>
      <c r="EX212" s="1118">
        <f>VLOOKUP($E212,EU$442:EX$453,4,FALSE)*EU212*($K212)+(EU212-EV212-EW212)*(1-$K212)</f>
        <v>2954058.8785398453</v>
      </c>
      <c r="EY212" s="1074"/>
      <c r="FC212" s="1117">
        <f>$G212</f>
        <v>95586516.719410077</v>
      </c>
      <c r="FD212" s="1118">
        <f>VLOOKUP($E212,FC$442:FF$453,2,FALSE)*FC212*($K212)+IF($G212&lt;&gt;0,($H212/$G212)*FC212,0)*(1-$K212)</f>
        <v>92632457.840870231</v>
      </c>
      <c r="FE212" s="1118">
        <f>VLOOKUP($E212,FC$442:FF$453,3,FALSE)*FC212*($K212)+IF($G212&lt;&gt;0,($I212/$G212)*FC212,0)*(1-$K212)</f>
        <v>0</v>
      </c>
      <c r="FF212" s="1118">
        <f>VLOOKUP($E212,FC$442:FF$453,4,FALSE)*FC212*($K212)+(FC212-FD212-FE212)*(1-$K212)</f>
        <v>2954058.8785398453</v>
      </c>
      <c r="FG212" s="1074"/>
      <c r="FK212" s="1117">
        <f>$G212</f>
        <v>95586516.719410077</v>
      </c>
      <c r="FL212" s="1118">
        <f>VLOOKUP($E212,FK$442:FN$453,2,FALSE)*FK212*($K212)+IF($G212&lt;&gt;0,($H212/$G212)*FK212,0)*(1-$K212)</f>
        <v>92632457.840870231</v>
      </c>
      <c r="FM212" s="1118">
        <f>VLOOKUP($E212,FK$442:FN$453,3,FALSE)*FK212*($K212)+IF($G212&lt;&gt;0,($I212/$G212)*FK212,0)*(1-$K212)</f>
        <v>0</v>
      </c>
      <c r="FN212" s="1118">
        <f>VLOOKUP($E212,FK$442:FN$453,4,FALSE)*FK212*($K212)+(FK212-FL212-FM212)*(1-$K212)</f>
        <v>2954058.8785398453</v>
      </c>
      <c r="FO212" s="1074"/>
    </row>
    <row r="213" spans="1:171" x14ac:dyDescent="0.25">
      <c r="A213" s="1421"/>
      <c r="B213" s="914" t="s">
        <v>172</v>
      </c>
      <c r="C213" s="889" t="s">
        <v>72</v>
      </c>
      <c r="D213" s="889" t="s">
        <v>5710</v>
      </c>
      <c r="E213" s="182" t="str">
        <f>'Sch 3 - Expenses'!E53</f>
        <v>DIST</v>
      </c>
      <c r="F213" s="890"/>
      <c r="G213" s="182">
        <f>'Sch 3 - Expenses'!G53</f>
        <v>2369458.8863290716</v>
      </c>
      <c r="H213" s="182">
        <f>'Sch 3 - Expenses'!H53</f>
        <v>0</v>
      </c>
      <c r="I213" s="182">
        <f>'Sch 3 - Expenses'!I53</f>
        <v>0</v>
      </c>
      <c r="J213" s="1422">
        <f>'Sch 3 - Expenses'!J53</f>
        <v>2369458.8863290716</v>
      </c>
      <c r="K213" s="904">
        <f>IF($E213="DIRECT",0,1)</f>
        <v>1</v>
      </c>
      <c r="O213" s="1117">
        <f>$G213</f>
        <v>2369458.8863290716</v>
      </c>
      <c r="P213" s="1118">
        <f>VLOOKUP($E213,O$442:R$453,2,FALSE)*O213*($K213)+IF($G213&lt;&gt;0,($H213/$G213)*O213,0)*(1-$K213)</f>
        <v>0</v>
      </c>
      <c r="Q213" s="1118">
        <f>VLOOKUP($E213,O$442:R$453,3,FALSE)*O213*($K213)+IF($G213&lt;&gt;0,($I213/$G213)*O213,0)*(1-$K213)</f>
        <v>0</v>
      </c>
      <c r="R213" s="1118">
        <f>VLOOKUP($E213,O$442:R$453,4,FALSE)*O213*($K213)+(O213-P213-Q213)*(1-$K213)</f>
        <v>2369458.8863290716</v>
      </c>
      <c r="S213" s="1074"/>
      <c r="W213" s="1117">
        <f>$G213</f>
        <v>2369458.8863290716</v>
      </c>
      <c r="X213" s="1118">
        <f>VLOOKUP($E213,W$442:Z$453,2,FALSE)*W213*($K213)+IF($G213&lt;&gt;0,($H213/$G213)*W213,0)*(1-$K213)</f>
        <v>0</v>
      </c>
      <c r="Y213" s="1118">
        <f>VLOOKUP($E213,W$442:Z$453,3,FALSE)*W213*($K213)+IF($G213&lt;&gt;0,($I213/$G213)*W213,0)*(1-$K213)</f>
        <v>0</v>
      </c>
      <c r="Z213" s="1118">
        <f>VLOOKUP($E213,W$442:Z$453,4,FALSE)*W213*($K213)+(W213-X213-Y213)*(1-$K213)</f>
        <v>2369458.8863290716</v>
      </c>
      <c r="AA213" s="1074"/>
      <c r="AE213" s="1117">
        <f>$G213</f>
        <v>2369458.8863290716</v>
      </c>
      <c r="AF213" s="1118">
        <f>VLOOKUP($E213,AE$442:AH$453,2,FALSE)*AE213*($K213)+IF($G213&lt;&gt;0,($H213/$G213)*AE213,0)*(1-$K213)</f>
        <v>0</v>
      </c>
      <c r="AG213" s="1118">
        <f>VLOOKUP($E213,AE$442:AH$453,3,FALSE)*AE213*($K213)+IF($G213&lt;&gt;0,($I213/$G213)*AE213,0)*(1-$K213)</f>
        <v>0</v>
      </c>
      <c r="AH213" s="1118">
        <f>VLOOKUP($E213,AE$442:AH$453,4,FALSE)*AE213*($K213)+(AE213-AF213-AG213)*(1-$K213)</f>
        <v>2369458.8863290716</v>
      </c>
      <c r="AI213" s="1074"/>
      <c r="AM213" s="1117">
        <f>$G213</f>
        <v>2369458.8863290716</v>
      </c>
      <c r="AN213" s="1118">
        <f>VLOOKUP($E213,AM$442:AP$453,2,FALSE)*AM213*($K213)+IF($G213&lt;&gt;0,($H213/$G213)*AM213,0)*(1-$K213)</f>
        <v>0</v>
      </c>
      <c r="AO213" s="1118">
        <f>VLOOKUP($E213,AM$442:AP$453,3,FALSE)*AM213*($K213)+IF($G213&lt;&gt;0,($I213/$G213)*AM213,0)*(1-$K213)</f>
        <v>0</v>
      </c>
      <c r="AP213" s="1118">
        <f>VLOOKUP($E213,AM$442:AP$453,4,FALSE)*AM213*($K213)+(AM213-AN213-AO213)*(1-$K213)</f>
        <v>2369458.8863290716</v>
      </c>
      <c r="AQ213" s="1074"/>
      <c r="AU213" s="1117">
        <f>$G213</f>
        <v>2369458.8863290716</v>
      </c>
      <c r="AV213" s="1118">
        <f>VLOOKUP($E213,AU$442:AX$453,2,FALSE)*AU213*($K213)+IF($G213&lt;&gt;0,($H213/$G213)*AU213,0)*(1-$K213)</f>
        <v>0</v>
      </c>
      <c r="AW213" s="1118">
        <f>VLOOKUP($E213,AU$442:AX$453,3,FALSE)*AU213*($K213)+IF($G213&lt;&gt;0,($I213/$G213)*AU213,0)*(1-$K213)</f>
        <v>0</v>
      </c>
      <c r="AX213" s="1118">
        <f>VLOOKUP($E213,AU$442:AX$453,4,FALSE)*AU213*($K213)+(AU213-AV213-AW213)*(1-$K213)</f>
        <v>2369458.8863290716</v>
      </c>
      <c r="AY213" s="1074"/>
      <c r="BC213" s="1117">
        <f>$G213</f>
        <v>2369458.8863290716</v>
      </c>
      <c r="BD213" s="1118">
        <f>VLOOKUP($E213,BC$442:BF$453,2,FALSE)*BC213*($K213)+IF($G213&lt;&gt;0,($H213/$G213)*BC213,0)*(1-$K213)</f>
        <v>0</v>
      </c>
      <c r="BE213" s="1118">
        <f>VLOOKUP($E213,BC$442:BF$453,3,FALSE)*BC213*($K213)+IF($G213&lt;&gt;0,($I213/$G213)*BC213,0)*(1-$K213)</f>
        <v>0</v>
      </c>
      <c r="BF213" s="1118">
        <f>VLOOKUP($E213,BC$442:BF$453,4,FALSE)*BC213*($K213)+(BC213-BD213-BE213)*(1-$K213)</f>
        <v>2369458.8863290716</v>
      </c>
      <c r="BG213" s="1074"/>
      <c r="BK213" s="1117">
        <f>$G213</f>
        <v>2369458.8863290716</v>
      </c>
      <c r="BL213" s="1118">
        <f>VLOOKUP($E213,BK$442:BN$453,2,FALSE)*BK213*($K213)+IF($G213&lt;&gt;0,($H213/$G213)*BK213,0)*(1-$K213)</f>
        <v>0</v>
      </c>
      <c r="BM213" s="1118">
        <f>VLOOKUP($E213,BK$442:BN$453,3,FALSE)*BK213*($K213)+IF($G213&lt;&gt;0,($I213/$G213)*BK213,0)*(1-$K213)</f>
        <v>0</v>
      </c>
      <c r="BN213" s="1118">
        <f>VLOOKUP($E213,BK$442:BN$453,4,FALSE)*BK213*($K213)+(BK213-BL213-BM213)*(1-$K213)</f>
        <v>2369458.8863290716</v>
      </c>
      <c r="BO213" s="1074"/>
      <c r="BS213" s="1117">
        <f>$G213</f>
        <v>2369458.8863290716</v>
      </c>
      <c r="BT213" s="1118">
        <f>VLOOKUP($E213,BS$442:BV$453,2,FALSE)*BS213*($K213)+IF($G213&lt;&gt;0,($H213/$G213)*BS213,0)*(1-$K213)</f>
        <v>0</v>
      </c>
      <c r="BU213" s="1118">
        <f>VLOOKUP($E213,BS$442:BV$453,3,FALSE)*BS213*($K213)+IF($G213&lt;&gt;0,($I213/$G213)*BS213,0)*(1-$K213)</f>
        <v>0</v>
      </c>
      <c r="BV213" s="1118">
        <f>VLOOKUP($E213,BS$442:BV$453,4,FALSE)*BS213*($K213)+(BS213-BT213-BU213)*(1-$K213)</f>
        <v>2369458.8863290716</v>
      </c>
      <c r="BW213" s="1074"/>
      <c r="CA213" s="1117">
        <f>$G213</f>
        <v>2369458.8863290716</v>
      </c>
      <c r="CB213" s="1118">
        <f>VLOOKUP($E213,CA$442:CD$453,2,FALSE)*CA213*($K213)+IF($G213&lt;&gt;0,($H213/$G213)*CA213,0)*(1-$K213)</f>
        <v>0</v>
      </c>
      <c r="CC213" s="1118">
        <f>VLOOKUP($E213,CA$442:CD$453,3,FALSE)*CA213*($K213)+IF($G213&lt;&gt;0,($I213/$G213)*CA213,0)*(1-$K213)</f>
        <v>0</v>
      </c>
      <c r="CD213" s="1118">
        <f>VLOOKUP($E213,CA$442:CD$453,4,FALSE)*CA213*($K213)+(CA213-CB213-CC213)*(1-$K213)</f>
        <v>2369458.8863290716</v>
      </c>
      <c r="CE213" s="1074"/>
      <c r="CI213" s="1117">
        <f>$G213</f>
        <v>2369458.8863290716</v>
      </c>
      <c r="CJ213" s="1118">
        <f>VLOOKUP($E213,CI$442:CL$453,2,FALSE)*CI213*($K213)+IF($G213&lt;&gt;0,($H213/$G213)*CI213,0)*(1-$K213)</f>
        <v>0</v>
      </c>
      <c r="CK213" s="1118">
        <f>VLOOKUP($E213,CI$442:CL$453,3,FALSE)*CI213*($K213)+IF($G213&lt;&gt;0,($I213/$G213)*CI213,0)*(1-$K213)</f>
        <v>0</v>
      </c>
      <c r="CL213" s="1118">
        <f>VLOOKUP($E213,CI$442:CL$453,4,FALSE)*CI213*($K213)+(CI213-CJ213-CK213)*(1-$K213)</f>
        <v>2369458.8863290716</v>
      </c>
      <c r="CM213" s="1074"/>
      <c r="CQ213" s="1117">
        <f>$G213</f>
        <v>2369458.8863290716</v>
      </c>
      <c r="CR213" s="1118">
        <f>VLOOKUP($E213,CQ$442:CT$453,2,FALSE)*CQ213*($K213)+IF($G213&lt;&gt;0,($H213/$G213)*CQ213,0)*(1-$K213)</f>
        <v>0</v>
      </c>
      <c r="CS213" s="1118">
        <f>VLOOKUP($E213,CQ$442:CT$453,3,FALSE)*CQ213*($K213)+IF($G213&lt;&gt;0,($I213/$G213)*CQ213,0)*(1-$K213)</f>
        <v>0</v>
      </c>
      <c r="CT213" s="1118">
        <f>VLOOKUP($E213,CQ$442:CT$453,4,FALSE)*CQ213*($K213)+(CQ213-CR213-CS213)*(1-$K213)</f>
        <v>2369458.8863290716</v>
      </c>
      <c r="CU213" s="1074"/>
      <c r="CY213" s="1117">
        <f>$G213</f>
        <v>2369458.8863290716</v>
      </c>
      <c r="CZ213" s="1118">
        <f>VLOOKUP($E213,CY$442:DB$453,2,FALSE)*CY213*($K213)+IF($G213&lt;&gt;0,($H213/$G213)*CY213,0)*(1-$K213)</f>
        <v>0</v>
      </c>
      <c r="DA213" s="1118">
        <f>VLOOKUP($E213,CY$442:DB$453,3,FALSE)*CY213*($K213)+IF($G213&lt;&gt;0,($I213/$G213)*CY213,0)*(1-$K213)</f>
        <v>0</v>
      </c>
      <c r="DB213" s="1118">
        <f>VLOOKUP($E213,CY$442:DB$453,4,FALSE)*CY213*($K213)+(CY213-CZ213-DA213)*(1-$K213)</f>
        <v>2369458.8863290716</v>
      </c>
      <c r="DC213" s="1074"/>
      <c r="DG213" s="1117">
        <f>$G213</f>
        <v>2369458.8863290716</v>
      </c>
      <c r="DH213" s="1118">
        <f>VLOOKUP($E213,DG$442:DJ$453,2,FALSE)*DG213*($K213)+IF($G213&lt;&gt;0,($H213/$G213)*DG213,0)*(1-$K213)</f>
        <v>0</v>
      </c>
      <c r="DI213" s="1118">
        <f>VLOOKUP($E213,DG$442:DJ$453,3,FALSE)*DG213*($K213)+IF($G213&lt;&gt;0,($I213/$G213)*DG213,0)*(1-$K213)</f>
        <v>0</v>
      </c>
      <c r="DJ213" s="1118">
        <f>VLOOKUP($E213,DG$442:DJ$453,4,FALSE)*DG213*($K213)+(DG213-DH213-DI213)*(1-$K213)</f>
        <v>2369458.8863290716</v>
      </c>
      <c r="DK213" s="1074"/>
      <c r="DO213" s="1117">
        <f>$G213</f>
        <v>2369458.8863290716</v>
      </c>
      <c r="DP213" s="1118">
        <f>VLOOKUP($E213,DO$442:DR$453,2,FALSE)*DO213*($K213)+IF($G213&lt;&gt;0,($H213/$G213)*DO213,0)*(1-$K213)</f>
        <v>0</v>
      </c>
      <c r="DQ213" s="1118">
        <f>VLOOKUP($E213,DO$442:DR$453,3,FALSE)*DO213*($K213)+IF($G213&lt;&gt;0,($I213/$G213)*DO213,0)*(1-$K213)</f>
        <v>0</v>
      </c>
      <c r="DR213" s="1118">
        <f>VLOOKUP($E213,DO$442:DR$453,4,FALSE)*DO213*($K213)+(DO213-DP213-DQ213)*(1-$K213)</f>
        <v>2369458.8863290716</v>
      </c>
      <c r="DS213" s="1074"/>
      <c r="DW213" s="1117">
        <f>$G213</f>
        <v>2369458.8863290716</v>
      </c>
      <c r="DX213" s="1118">
        <f>VLOOKUP($E213,DW$442:DZ$453,2,FALSE)*DW213*($K213)+IF($G213&lt;&gt;0,($H213/$G213)*DW213,0)*(1-$K213)</f>
        <v>0</v>
      </c>
      <c r="DY213" s="1118">
        <f>VLOOKUP($E213,DW$442:DZ$453,3,FALSE)*DW213*($K213)+IF($G213&lt;&gt;0,($I213/$G213)*DW213,0)*(1-$K213)</f>
        <v>0</v>
      </c>
      <c r="DZ213" s="1118">
        <f>VLOOKUP($E213,DW$442:DZ$453,4,FALSE)*DW213*($K213)+(DW213-DX213-DY213)*(1-$K213)</f>
        <v>2369458.8863290716</v>
      </c>
      <c r="EA213" s="1074"/>
      <c r="EE213" s="1117">
        <f>$G213</f>
        <v>2369458.8863290716</v>
      </c>
      <c r="EF213" s="1118">
        <f>VLOOKUP($E213,EE$442:EH$453,2,FALSE)*EE213*($K213)+IF($G213&lt;&gt;0,($H213/$G213)*EE213,0)*(1-$K213)</f>
        <v>0</v>
      </c>
      <c r="EG213" s="1118">
        <f>VLOOKUP($E213,EE$442:EH$453,3,FALSE)*EE213*($K213)+IF($G213&lt;&gt;0,($I213/$G213)*EE213,0)*(1-$K213)</f>
        <v>0</v>
      </c>
      <c r="EH213" s="1118">
        <f>VLOOKUP($E213,EE$442:EH$453,4,FALSE)*EE213*($K213)+(EE213-EF213-EG213)*(1-$K213)</f>
        <v>2369458.8863290716</v>
      </c>
      <c r="EI213" s="1074"/>
      <c r="EM213" s="1117">
        <f>$G213</f>
        <v>2369458.8863290716</v>
      </c>
      <c r="EN213" s="1118">
        <f>VLOOKUP($E213,EM$442:EP$453,2,FALSE)*EM213*($K213)+IF($G213&lt;&gt;0,($H213/$G213)*EM213,0)*(1-$K213)</f>
        <v>0</v>
      </c>
      <c r="EO213" s="1118">
        <f>VLOOKUP($E213,EM$442:EP$453,3,FALSE)*EM213*($K213)+IF($G213&lt;&gt;0,($I213/$G213)*EM213,0)*(1-$K213)</f>
        <v>0</v>
      </c>
      <c r="EP213" s="1118">
        <f>VLOOKUP($E213,EM$442:EP$453,4,FALSE)*EM213*($K213)+(EM213-EN213-EO213)*(1-$K213)</f>
        <v>2369458.8863290716</v>
      </c>
      <c r="EQ213" s="1074"/>
      <c r="EU213" s="1117">
        <f>$G213</f>
        <v>2369458.8863290716</v>
      </c>
      <c r="EV213" s="1118">
        <f>VLOOKUP($E213,EU$442:EX$453,2,FALSE)*EU213*($K213)+IF($G213&lt;&gt;0,($H213/$G213)*EU213,0)*(1-$K213)</f>
        <v>0</v>
      </c>
      <c r="EW213" s="1118">
        <f>VLOOKUP($E213,EU$442:EX$453,3,FALSE)*EU213*($K213)+IF($G213&lt;&gt;0,($I213/$G213)*EU213,0)*(1-$K213)</f>
        <v>0</v>
      </c>
      <c r="EX213" s="1118">
        <f>VLOOKUP($E213,EU$442:EX$453,4,FALSE)*EU213*($K213)+(EU213-EV213-EW213)*(1-$K213)</f>
        <v>2369458.8863290716</v>
      </c>
      <c r="EY213" s="1074"/>
      <c r="FC213" s="1117">
        <f>$G213</f>
        <v>2369458.8863290716</v>
      </c>
      <c r="FD213" s="1118">
        <f>VLOOKUP($E213,FC$442:FF$453,2,FALSE)*FC213*($K213)+IF($G213&lt;&gt;0,($H213/$G213)*FC213,0)*(1-$K213)</f>
        <v>0</v>
      </c>
      <c r="FE213" s="1118">
        <f>VLOOKUP($E213,FC$442:FF$453,3,FALSE)*FC213*($K213)+IF($G213&lt;&gt;0,($I213/$G213)*FC213,0)*(1-$K213)</f>
        <v>0</v>
      </c>
      <c r="FF213" s="1118">
        <f>VLOOKUP($E213,FC$442:FF$453,4,FALSE)*FC213*($K213)+(FC213-FD213-FE213)*(1-$K213)</f>
        <v>2369458.8863290716</v>
      </c>
      <c r="FG213" s="1074"/>
      <c r="FK213" s="1117">
        <f>$G213</f>
        <v>2369458.8863290716</v>
      </c>
      <c r="FL213" s="1118">
        <f>VLOOKUP($E213,FK$442:FN$453,2,FALSE)*FK213*($K213)+IF($G213&lt;&gt;0,($H213/$G213)*FK213,0)*(1-$K213)</f>
        <v>0</v>
      </c>
      <c r="FM213" s="1118">
        <f>VLOOKUP($E213,FK$442:FN$453,3,FALSE)*FK213*($K213)+IF($G213&lt;&gt;0,($I213/$G213)*FK213,0)*(1-$K213)</f>
        <v>0</v>
      </c>
      <c r="FN213" s="1118">
        <f>VLOOKUP($E213,FK$442:FN$453,4,FALSE)*FK213*($K213)+(FK213-FL213-FM213)*(1-$K213)</f>
        <v>2369458.8863290716</v>
      </c>
      <c r="FO213" s="1074"/>
    </row>
    <row r="214" spans="1:171" x14ac:dyDescent="0.25">
      <c r="A214" s="1421"/>
      <c r="B214" s="914" t="s">
        <v>396</v>
      </c>
      <c r="C214" s="889" t="s">
        <v>72</v>
      </c>
      <c r="D214" s="889" t="s">
        <v>397</v>
      </c>
      <c r="E214" s="182" t="str">
        <f>'Sch 3 - Expenses'!E54</f>
        <v>DIST</v>
      </c>
      <c r="F214" s="890"/>
      <c r="G214" s="182">
        <f>'Sch 3 - Expenses'!G54</f>
        <v>0</v>
      </c>
      <c r="H214" s="182">
        <f>'Sch 3 - Expenses'!H54</f>
        <v>0</v>
      </c>
      <c r="I214" s="182">
        <f>'Sch 3 - Expenses'!I54</f>
        <v>0</v>
      </c>
      <c r="J214" s="1422">
        <f>'Sch 3 - Expenses'!J54</f>
        <v>0</v>
      </c>
      <c r="K214" s="904">
        <f>IF($E214="DIRECT",0,1)</f>
        <v>1</v>
      </c>
      <c r="O214" s="1117">
        <f>$G214</f>
        <v>0</v>
      </c>
      <c r="P214" s="1118">
        <f>VLOOKUP($E214,O$442:R$453,2,FALSE)*O214*($K214)+IF($G214&lt;&gt;0,($H214/$G214)*O214,0)*(1-$K214)</f>
        <v>0</v>
      </c>
      <c r="Q214" s="1118">
        <f>VLOOKUP($E214,O$442:R$453,3,FALSE)*O214*($K214)+IF($G214&lt;&gt;0,($I214/$G214)*O214,0)*(1-$K214)</f>
        <v>0</v>
      </c>
      <c r="R214" s="1118">
        <f>VLOOKUP($E214,O$442:R$453,4,FALSE)*O214*($K214)+(O214-P214-Q214)*(1-$K214)</f>
        <v>0</v>
      </c>
      <c r="S214" s="1074"/>
      <c r="W214" s="1117">
        <f>$G214</f>
        <v>0</v>
      </c>
      <c r="X214" s="1118">
        <f>VLOOKUP($E214,W$442:Z$453,2,FALSE)*W214*($K214)+IF($G214&lt;&gt;0,($H214/$G214)*W214,0)*(1-$K214)</f>
        <v>0</v>
      </c>
      <c r="Y214" s="1118">
        <f>VLOOKUP($E214,W$442:Z$453,3,FALSE)*W214*($K214)+IF($G214&lt;&gt;0,($I214/$G214)*W214,0)*(1-$K214)</f>
        <v>0</v>
      </c>
      <c r="Z214" s="1118">
        <f>VLOOKUP($E214,W$442:Z$453,4,FALSE)*W214*($K214)+(W214-X214-Y214)*(1-$K214)</f>
        <v>0</v>
      </c>
      <c r="AA214" s="1074"/>
      <c r="AE214" s="1117">
        <f>$G214</f>
        <v>0</v>
      </c>
      <c r="AF214" s="1118">
        <f>VLOOKUP($E214,AE$442:AH$453,2,FALSE)*AE214*($K214)+IF($G214&lt;&gt;0,($H214/$G214)*AE214,0)*(1-$K214)</f>
        <v>0</v>
      </c>
      <c r="AG214" s="1118">
        <f>VLOOKUP($E214,AE$442:AH$453,3,FALSE)*AE214*($K214)+IF($G214&lt;&gt;0,($I214/$G214)*AE214,0)*(1-$K214)</f>
        <v>0</v>
      </c>
      <c r="AH214" s="1118">
        <f>VLOOKUP($E214,AE$442:AH$453,4,FALSE)*AE214*($K214)+(AE214-AF214-AG214)*(1-$K214)</f>
        <v>0</v>
      </c>
      <c r="AI214" s="1074"/>
      <c r="AM214" s="1117">
        <f>$G214</f>
        <v>0</v>
      </c>
      <c r="AN214" s="1118">
        <f>VLOOKUP($E214,AM$442:AP$453,2,FALSE)*AM214*($K214)+IF($G214&lt;&gt;0,($H214/$G214)*AM214,0)*(1-$K214)</f>
        <v>0</v>
      </c>
      <c r="AO214" s="1118">
        <f>VLOOKUP($E214,AM$442:AP$453,3,FALSE)*AM214*($K214)+IF($G214&lt;&gt;0,($I214/$G214)*AM214,0)*(1-$K214)</f>
        <v>0</v>
      </c>
      <c r="AP214" s="1118">
        <f>VLOOKUP($E214,AM$442:AP$453,4,FALSE)*AM214*($K214)+(AM214-AN214-AO214)*(1-$K214)</f>
        <v>0</v>
      </c>
      <c r="AQ214" s="1074"/>
      <c r="AU214" s="1117">
        <f>$G214</f>
        <v>0</v>
      </c>
      <c r="AV214" s="1118">
        <f>VLOOKUP($E214,AU$442:AX$453,2,FALSE)*AU214*($K214)+IF($G214&lt;&gt;0,($H214/$G214)*AU214,0)*(1-$K214)</f>
        <v>0</v>
      </c>
      <c r="AW214" s="1118">
        <f>VLOOKUP($E214,AU$442:AX$453,3,FALSE)*AU214*($K214)+IF($G214&lt;&gt;0,($I214/$G214)*AU214,0)*(1-$K214)</f>
        <v>0</v>
      </c>
      <c r="AX214" s="1118">
        <f>VLOOKUP($E214,AU$442:AX$453,4,FALSE)*AU214*($K214)+(AU214-AV214-AW214)*(1-$K214)</f>
        <v>0</v>
      </c>
      <c r="AY214" s="1074"/>
      <c r="BC214" s="1117">
        <f>$G214</f>
        <v>0</v>
      </c>
      <c r="BD214" s="1118">
        <f>VLOOKUP($E214,BC$442:BF$453,2,FALSE)*BC214*($K214)+IF($G214&lt;&gt;0,($H214/$G214)*BC214,0)*(1-$K214)</f>
        <v>0</v>
      </c>
      <c r="BE214" s="1118">
        <f>VLOOKUP($E214,BC$442:BF$453,3,FALSE)*BC214*($K214)+IF($G214&lt;&gt;0,($I214/$G214)*BC214,0)*(1-$K214)</f>
        <v>0</v>
      </c>
      <c r="BF214" s="1118">
        <f>VLOOKUP($E214,BC$442:BF$453,4,FALSE)*BC214*($K214)+(BC214-BD214-BE214)*(1-$K214)</f>
        <v>0</v>
      </c>
      <c r="BG214" s="1074"/>
      <c r="BK214" s="1117">
        <f>$G214</f>
        <v>0</v>
      </c>
      <c r="BL214" s="1118">
        <f>VLOOKUP($E214,BK$442:BN$453,2,FALSE)*BK214*($K214)+IF($G214&lt;&gt;0,($H214/$G214)*BK214,0)*(1-$K214)</f>
        <v>0</v>
      </c>
      <c r="BM214" s="1118">
        <f>VLOOKUP($E214,BK$442:BN$453,3,FALSE)*BK214*($K214)+IF($G214&lt;&gt;0,($I214/$G214)*BK214,0)*(1-$K214)</f>
        <v>0</v>
      </c>
      <c r="BN214" s="1118">
        <f>VLOOKUP($E214,BK$442:BN$453,4,FALSE)*BK214*($K214)+(BK214-BL214-BM214)*(1-$K214)</f>
        <v>0</v>
      </c>
      <c r="BO214" s="1074"/>
      <c r="BS214" s="1117">
        <f>$G214</f>
        <v>0</v>
      </c>
      <c r="BT214" s="1118">
        <f>VLOOKUP($E214,BS$442:BV$453,2,FALSE)*BS214*($K214)+IF($G214&lt;&gt;0,($H214/$G214)*BS214,0)*(1-$K214)</f>
        <v>0</v>
      </c>
      <c r="BU214" s="1118">
        <f>VLOOKUP($E214,BS$442:BV$453,3,FALSE)*BS214*($K214)+IF($G214&lt;&gt;0,($I214/$G214)*BS214,0)*(1-$K214)</f>
        <v>0</v>
      </c>
      <c r="BV214" s="1118">
        <f>VLOOKUP($E214,BS$442:BV$453,4,FALSE)*BS214*($K214)+(BS214-BT214-BU214)*(1-$K214)</f>
        <v>0</v>
      </c>
      <c r="BW214" s="1074"/>
      <c r="CA214" s="1117">
        <f>$G214</f>
        <v>0</v>
      </c>
      <c r="CB214" s="1118">
        <f>VLOOKUP($E214,CA$442:CD$453,2,FALSE)*CA214*($K214)+IF($G214&lt;&gt;0,($H214/$G214)*CA214,0)*(1-$K214)</f>
        <v>0</v>
      </c>
      <c r="CC214" s="1118">
        <f>VLOOKUP($E214,CA$442:CD$453,3,FALSE)*CA214*($K214)+IF($G214&lt;&gt;0,($I214/$G214)*CA214,0)*(1-$K214)</f>
        <v>0</v>
      </c>
      <c r="CD214" s="1118">
        <f>VLOOKUP($E214,CA$442:CD$453,4,FALSE)*CA214*($K214)+(CA214-CB214-CC214)*(1-$K214)</f>
        <v>0</v>
      </c>
      <c r="CE214" s="1074"/>
      <c r="CI214" s="1117">
        <f>$G214</f>
        <v>0</v>
      </c>
      <c r="CJ214" s="1118">
        <f>VLOOKUP($E214,CI$442:CL$453,2,FALSE)*CI214*($K214)+IF($G214&lt;&gt;0,($H214/$G214)*CI214,0)*(1-$K214)</f>
        <v>0</v>
      </c>
      <c r="CK214" s="1118">
        <f>VLOOKUP($E214,CI$442:CL$453,3,FALSE)*CI214*($K214)+IF($G214&lt;&gt;0,($I214/$G214)*CI214,0)*(1-$K214)</f>
        <v>0</v>
      </c>
      <c r="CL214" s="1118">
        <f>VLOOKUP($E214,CI$442:CL$453,4,FALSE)*CI214*($K214)+(CI214-CJ214-CK214)*(1-$K214)</f>
        <v>0</v>
      </c>
      <c r="CM214" s="1074"/>
      <c r="CQ214" s="1117">
        <f>$G214</f>
        <v>0</v>
      </c>
      <c r="CR214" s="1118">
        <f>VLOOKUP($E214,CQ$442:CT$453,2,FALSE)*CQ214*($K214)+IF($G214&lt;&gt;0,($H214/$G214)*CQ214,0)*(1-$K214)</f>
        <v>0</v>
      </c>
      <c r="CS214" s="1118">
        <f>VLOOKUP($E214,CQ$442:CT$453,3,FALSE)*CQ214*($K214)+IF($G214&lt;&gt;0,($I214/$G214)*CQ214,0)*(1-$K214)</f>
        <v>0</v>
      </c>
      <c r="CT214" s="1118">
        <f>VLOOKUP($E214,CQ$442:CT$453,4,FALSE)*CQ214*($K214)+(CQ214-CR214-CS214)*(1-$K214)</f>
        <v>0</v>
      </c>
      <c r="CU214" s="1074"/>
      <c r="CY214" s="1117">
        <f>$G214</f>
        <v>0</v>
      </c>
      <c r="CZ214" s="1118">
        <f>VLOOKUP($E214,CY$442:DB$453,2,FALSE)*CY214*($K214)+IF($G214&lt;&gt;0,($H214/$G214)*CY214,0)*(1-$K214)</f>
        <v>0</v>
      </c>
      <c r="DA214" s="1118">
        <f>VLOOKUP($E214,CY$442:DB$453,3,FALSE)*CY214*($K214)+IF($G214&lt;&gt;0,($I214/$G214)*CY214,0)*(1-$K214)</f>
        <v>0</v>
      </c>
      <c r="DB214" s="1118">
        <f>VLOOKUP($E214,CY$442:DB$453,4,FALSE)*CY214*($K214)+(CY214-CZ214-DA214)*(1-$K214)</f>
        <v>0</v>
      </c>
      <c r="DC214" s="1074"/>
      <c r="DG214" s="1117">
        <f>$G214</f>
        <v>0</v>
      </c>
      <c r="DH214" s="1118">
        <f>VLOOKUP($E214,DG$442:DJ$453,2,FALSE)*DG214*($K214)+IF($G214&lt;&gt;0,($H214/$G214)*DG214,0)*(1-$K214)</f>
        <v>0</v>
      </c>
      <c r="DI214" s="1118">
        <f>VLOOKUP($E214,DG$442:DJ$453,3,FALSE)*DG214*($K214)+IF($G214&lt;&gt;0,($I214/$G214)*DG214,0)*(1-$K214)</f>
        <v>0</v>
      </c>
      <c r="DJ214" s="1118">
        <f>VLOOKUP($E214,DG$442:DJ$453,4,FALSE)*DG214*($K214)+(DG214-DH214-DI214)*(1-$K214)</f>
        <v>0</v>
      </c>
      <c r="DK214" s="1074"/>
      <c r="DO214" s="1117">
        <f>$G214</f>
        <v>0</v>
      </c>
      <c r="DP214" s="1118">
        <f>VLOOKUP($E214,DO$442:DR$453,2,FALSE)*DO214*($K214)+IF($G214&lt;&gt;0,($H214/$G214)*DO214,0)*(1-$K214)</f>
        <v>0</v>
      </c>
      <c r="DQ214" s="1118">
        <f>VLOOKUP($E214,DO$442:DR$453,3,FALSE)*DO214*($K214)+IF($G214&lt;&gt;0,($I214/$G214)*DO214,0)*(1-$K214)</f>
        <v>0</v>
      </c>
      <c r="DR214" s="1118">
        <f>VLOOKUP($E214,DO$442:DR$453,4,FALSE)*DO214*($K214)+(DO214-DP214-DQ214)*(1-$K214)</f>
        <v>0</v>
      </c>
      <c r="DS214" s="1074"/>
      <c r="DW214" s="1117">
        <f>$G214</f>
        <v>0</v>
      </c>
      <c r="DX214" s="1118">
        <f>VLOOKUP($E214,DW$442:DZ$453,2,FALSE)*DW214*($K214)+IF($G214&lt;&gt;0,($H214/$G214)*DW214,0)*(1-$K214)</f>
        <v>0</v>
      </c>
      <c r="DY214" s="1118">
        <f>VLOOKUP($E214,DW$442:DZ$453,3,FALSE)*DW214*($K214)+IF($G214&lt;&gt;0,($I214/$G214)*DW214,0)*(1-$K214)</f>
        <v>0</v>
      </c>
      <c r="DZ214" s="1118">
        <f>VLOOKUP($E214,DW$442:DZ$453,4,FALSE)*DW214*($K214)+(DW214-DX214-DY214)*(1-$K214)</f>
        <v>0</v>
      </c>
      <c r="EA214" s="1074"/>
      <c r="EE214" s="1117">
        <f>$G214</f>
        <v>0</v>
      </c>
      <c r="EF214" s="1118">
        <f>VLOOKUP($E214,EE$442:EH$453,2,FALSE)*EE214*($K214)+IF($G214&lt;&gt;0,($H214/$G214)*EE214,0)*(1-$K214)</f>
        <v>0</v>
      </c>
      <c r="EG214" s="1118">
        <f>VLOOKUP($E214,EE$442:EH$453,3,FALSE)*EE214*($K214)+IF($G214&lt;&gt;0,($I214/$G214)*EE214,0)*(1-$K214)</f>
        <v>0</v>
      </c>
      <c r="EH214" s="1118">
        <f>VLOOKUP($E214,EE$442:EH$453,4,FALSE)*EE214*($K214)+(EE214-EF214-EG214)*(1-$K214)</f>
        <v>0</v>
      </c>
      <c r="EI214" s="1074"/>
      <c r="EM214" s="1117">
        <f>$G214</f>
        <v>0</v>
      </c>
      <c r="EN214" s="1118">
        <f>VLOOKUP($E214,EM$442:EP$453,2,FALSE)*EM214*($K214)+IF($G214&lt;&gt;0,($H214/$G214)*EM214,0)*(1-$K214)</f>
        <v>0</v>
      </c>
      <c r="EO214" s="1118">
        <f>VLOOKUP($E214,EM$442:EP$453,3,FALSE)*EM214*($K214)+IF($G214&lt;&gt;0,($I214/$G214)*EM214,0)*(1-$K214)</f>
        <v>0</v>
      </c>
      <c r="EP214" s="1118">
        <f>VLOOKUP($E214,EM$442:EP$453,4,FALSE)*EM214*($K214)+(EM214-EN214-EO214)*(1-$K214)</f>
        <v>0</v>
      </c>
      <c r="EQ214" s="1074"/>
      <c r="EU214" s="1117">
        <f>$G214</f>
        <v>0</v>
      </c>
      <c r="EV214" s="1118">
        <f>VLOOKUP($E214,EU$442:EX$453,2,FALSE)*EU214*($K214)+IF($G214&lt;&gt;0,($H214/$G214)*EU214,0)*(1-$K214)</f>
        <v>0</v>
      </c>
      <c r="EW214" s="1118">
        <f>VLOOKUP($E214,EU$442:EX$453,3,FALSE)*EU214*($K214)+IF($G214&lt;&gt;0,($I214/$G214)*EU214,0)*(1-$K214)</f>
        <v>0</v>
      </c>
      <c r="EX214" s="1118">
        <f>VLOOKUP($E214,EU$442:EX$453,4,FALSE)*EU214*($K214)+(EU214-EV214-EW214)*(1-$K214)</f>
        <v>0</v>
      </c>
      <c r="EY214" s="1074"/>
      <c r="FC214" s="1117">
        <f>$G214</f>
        <v>0</v>
      </c>
      <c r="FD214" s="1118">
        <f>VLOOKUP($E214,FC$442:FF$453,2,FALSE)*FC214*($K214)+IF($G214&lt;&gt;0,($H214/$G214)*FC214,0)*(1-$K214)</f>
        <v>0</v>
      </c>
      <c r="FE214" s="1118">
        <f>VLOOKUP($E214,FC$442:FF$453,3,FALSE)*FC214*($K214)+IF($G214&lt;&gt;0,($I214/$G214)*FC214,0)*(1-$K214)</f>
        <v>0</v>
      </c>
      <c r="FF214" s="1118">
        <f>VLOOKUP($E214,FC$442:FF$453,4,FALSE)*FC214*($K214)+(FC214-FD214-FE214)*(1-$K214)</f>
        <v>0</v>
      </c>
      <c r="FG214" s="1074"/>
      <c r="FK214" s="1117">
        <f>$G214</f>
        <v>0</v>
      </c>
      <c r="FL214" s="1118">
        <f>VLOOKUP($E214,FK$442:FN$453,2,FALSE)*FK214*($K214)+IF($G214&lt;&gt;0,($H214/$G214)*FK214,0)*(1-$K214)</f>
        <v>0</v>
      </c>
      <c r="FM214" s="1118">
        <f>VLOOKUP($E214,FK$442:FN$453,3,FALSE)*FK214*($K214)+IF($G214&lt;&gt;0,($I214/$G214)*FK214,0)*(1-$K214)</f>
        <v>0</v>
      </c>
      <c r="FN214" s="1118">
        <f>VLOOKUP($E214,FK$442:FN$453,4,FALSE)*FK214*($K214)+(FK214-FL214-FM214)*(1-$K214)</f>
        <v>0</v>
      </c>
      <c r="FO214" s="1074"/>
    </row>
    <row r="215" spans="1:171" x14ac:dyDescent="0.25">
      <c r="A215" s="1344" t="s">
        <v>490</v>
      </c>
      <c r="B215" s="10"/>
      <c r="C215" s="915"/>
      <c r="D215" s="916"/>
      <c r="E215" s="916"/>
      <c r="F215" s="917"/>
      <c r="G215" s="924">
        <f>SUM(G210:G214)</f>
        <v>143324807.44432506</v>
      </c>
      <c r="H215" s="924">
        <f>SUM(H210:H214)</f>
        <v>92632457.840870231</v>
      </c>
      <c r="I215" s="924">
        <f>SUM(I210:I214)</f>
        <v>0</v>
      </c>
      <c r="J215" s="1429">
        <f>SUM(J210:J214)</f>
        <v>50692349.603454813</v>
      </c>
      <c r="K215" s="904"/>
      <c r="O215" s="1137">
        <f>SUM(O210:O214)</f>
        <v>143324807.44432506</v>
      </c>
      <c r="P215" s="1137">
        <f>SUM(P210:P214)</f>
        <v>92632457.840870231</v>
      </c>
      <c r="Q215" s="1137">
        <f>SUM(Q210:Q214)</f>
        <v>0</v>
      </c>
      <c r="R215" s="1137">
        <f>SUM(R210:R214)</f>
        <v>50692349.603454821</v>
      </c>
      <c r="S215" s="1074"/>
      <c r="W215" s="1137">
        <f>SUM(W210:W214)</f>
        <v>143324807.44432506</v>
      </c>
      <c r="X215" s="1137">
        <f>SUM(X210:X214)</f>
        <v>92632457.840870231</v>
      </c>
      <c r="Y215" s="1137">
        <f>SUM(Y210:Y214)</f>
        <v>0</v>
      </c>
      <c r="Z215" s="1137">
        <f>SUM(Z210:Z214)</f>
        <v>50692349.603454821</v>
      </c>
      <c r="AA215" s="1074"/>
      <c r="AE215" s="1137">
        <f>SUM(AE210:AE214)</f>
        <v>143324807.44432506</v>
      </c>
      <c r="AF215" s="1137">
        <f>SUM(AF210:AF214)</f>
        <v>92632457.840870231</v>
      </c>
      <c r="AG215" s="1137">
        <f>SUM(AG210:AG214)</f>
        <v>0</v>
      </c>
      <c r="AH215" s="1137">
        <f>SUM(AH210:AH214)</f>
        <v>50692349.603454821</v>
      </c>
      <c r="AI215" s="1074"/>
      <c r="AM215" s="1137">
        <f>SUM(AM210:AM214)</f>
        <v>143324807.44432506</v>
      </c>
      <c r="AN215" s="1137">
        <f>SUM(AN210:AN214)</f>
        <v>92632457.840870231</v>
      </c>
      <c r="AO215" s="1137">
        <f>SUM(AO210:AO214)</f>
        <v>0</v>
      </c>
      <c r="AP215" s="1137">
        <f>SUM(AP210:AP214)</f>
        <v>50692349.603454821</v>
      </c>
      <c r="AQ215" s="1074"/>
      <c r="AU215" s="1137">
        <f>SUM(AU210:AU214)</f>
        <v>143324807.44432506</v>
      </c>
      <c r="AV215" s="1137">
        <f>SUM(AV210:AV214)</f>
        <v>92632457.840870231</v>
      </c>
      <c r="AW215" s="1137">
        <f>SUM(AW210:AW214)</f>
        <v>0</v>
      </c>
      <c r="AX215" s="1137">
        <f>SUM(AX210:AX214)</f>
        <v>50692349.603454821</v>
      </c>
      <c r="AY215" s="1074"/>
      <c r="BC215" s="1137">
        <f>SUM(BC210:BC214)</f>
        <v>143324807.44432506</v>
      </c>
      <c r="BD215" s="1137">
        <f>SUM(BD210:BD214)</f>
        <v>92632457.840870231</v>
      </c>
      <c r="BE215" s="1137">
        <f>SUM(BE210:BE214)</f>
        <v>0</v>
      </c>
      <c r="BF215" s="1137">
        <f>SUM(BF210:BF214)</f>
        <v>50692349.603454821</v>
      </c>
      <c r="BG215" s="1074"/>
      <c r="BK215" s="1137">
        <f>SUM(BK210:BK214)</f>
        <v>143324807.44432506</v>
      </c>
      <c r="BL215" s="1137">
        <f>SUM(BL210:BL214)</f>
        <v>92632457.840870231</v>
      </c>
      <c r="BM215" s="1137">
        <f>SUM(BM210:BM214)</f>
        <v>0</v>
      </c>
      <c r="BN215" s="1137">
        <f>SUM(BN210:BN214)</f>
        <v>50692349.603454821</v>
      </c>
      <c r="BO215" s="1074"/>
      <c r="BS215" s="1137">
        <f>SUM(BS210:BS214)</f>
        <v>143324807.44432506</v>
      </c>
      <c r="BT215" s="1137">
        <f>SUM(BT210:BT214)</f>
        <v>92632457.840870231</v>
      </c>
      <c r="BU215" s="1137">
        <f>SUM(BU210:BU214)</f>
        <v>0</v>
      </c>
      <c r="BV215" s="1137">
        <f>SUM(BV210:BV214)</f>
        <v>50692349.603454821</v>
      </c>
      <c r="BW215" s="1074"/>
      <c r="CA215" s="1137">
        <f>SUM(CA210:CA214)</f>
        <v>143324807.44432506</v>
      </c>
      <c r="CB215" s="1137">
        <f>SUM(CB210:CB214)</f>
        <v>92632457.840870231</v>
      </c>
      <c r="CC215" s="1137">
        <f>SUM(CC210:CC214)</f>
        <v>0</v>
      </c>
      <c r="CD215" s="1137">
        <f>SUM(CD210:CD214)</f>
        <v>50692349.603454821</v>
      </c>
      <c r="CE215" s="1074"/>
      <c r="CI215" s="1137">
        <f>SUM(CI210:CI214)</f>
        <v>143324807.44432506</v>
      </c>
      <c r="CJ215" s="1137">
        <f>SUM(CJ210:CJ214)</f>
        <v>92632457.840870231</v>
      </c>
      <c r="CK215" s="1137">
        <f>SUM(CK210:CK214)</f>
        <v>0</v>
      </c>
      <c r="CL215" s="1137">
        <f>SUM(CL210:CL214)</f>
        <v>50692349.603454821</v>
      </c>
      <c r="CM215" s="1074"/>
      <c r="CQ215" s="1137">
        <f>SUM(CQ210:CQ214)</f>
        <v>143324807.44432506</v>
      </c>
      <c r="CR215" s="1137">
        <f>SUM(CR210:CR214)</f>
        <v>92632457.840870231</v>
      </c>
      <c r="CS215" s="1137">
        <f>SUM(CS210:CS214)</f>
        <v>0</v>
      </c>
      <c r="CT215" s="1137">
        <f>SUM(CT210:CT214)</f>
        <v>50692349.603454821</v>
      </c>
      <c r="CU215" s="1074"/>
      <c r="CY215" s="1137">
        <f>SUM(CY210:CY214)</f>
        <v>143324807.44432506</v>
      </c>
      <c r="CZ215" s="1137">
        <f>SUM(CZ210:CZ214)</f>
        <v>92632457.840870231</v>
      </c>
      <c r="DA215" s="1137">
        <f>SUM(DA210:DA214)</f>
        <v>0</v>
      </c>
      <c r="DB215" s="1137">
        <f>SUM(DB210:DB214)</f>
        <v>50692349.603454821</v>
      </c>
      <c r="DC215" s="1074"/>
      <c r="DG215" s="1137">
        <f>SUM(DG210:DG214)</f>
        <v>143324807.44432506</v>
      </c>
      <c r="DH215" s="1137">
        <f>SUM(DH210:DH214)</f>
        <v>92632457.840870231</v>
      </c>
      <c r="DI215" s="1137">
        <f>SUM(DI210:DI214)</f>
        <v>0</v>
      </c>
      <c r="DJ215" s="1137">
        <f>SUM(DJ210:DJ214)</f>
        <v>50692349.603454821</v>
      </c>
      <c r="DK215" s="1074"/>
      <c r="DO215" s="1137">
        <f>SUM(DO210:DO214)</f>
        <v>143324807.44432506</v>
      </c>
      <c r="DP215" s="1137">
        <f>SUM(DP210:DP214)</f>
        <v>92632457.840870231</v>
      </c>
      <c r="DQ215" s="1137">
        <f>SUM(DQ210:DQ214)</f>
        <v>0</v>
      </c>
      <c r="DR215" s="1137">
        <f>SUM(DR210:DR214)</f>
        <v>50692349.603454821</v>
      </c>
      <c r="DS215" s="1074"/>
      <c r="DW215" s="1137">
        <f>SUM(DW210:DW214)</f>
        <v>143324807.44432506</v>
      </c>
      <c r="DX215" s="1137">
        <f>SUM(DX210:DX214)</f>
        <v>92632457.840870231</v>
      </c>
      <c r="DY215" s="1137">
        <f>SUM(DY210:DY214)</f>
        <v>0</v>
      </c>
      <c r="DZ215" s="1137">
        <f>SUM(DZ210:DZ214)</f>
        <v>50692349.603454821</v>
      </c>
      <c r="EA215" s="1074"/>
      <c r="EE215" s="1137">
        <f>SUM(EE210:EE214)</f>
        <v>143324807.44432506</v>
      </c>
      <c r="EF215" s="1137">
        <f>SUM(EF210:EF214)</f>
        <v>92632457.840870231</v>
      </c>
      <c r="EG215" s="1137">
        <f>SUM(EG210:EG214)</f>
        <v>0</v>
      </c>
      <c r="EH215" s="1137">
        <f>SUM(EH210:EH214)</f>
        <v>50692349.603454821</v>
      </c>
      <c r="EI215" s="1074"/>
      <c r="EM215" s="1137">
        <f>SUM(EM210:EM214)</f>
        <v>143324807.44432506</v>
      </c>
      <c r="EN215" s="1137">
        <f>SUM(EN210:EN214)</f>
        <v>92632457.840870231</v>
      </c>
      <c r="EO215" s="1137">
        <f>SUM(EO210:EO214)</f>
        <v>0</v>
      </c>
      <c r="EP215" s="1137">
        <f>SUM(EP210:EP214)</f>
        <v>50692349.603454821</v>
      </c>
      <c r="EQ215" s="1074"/>
      <c r="EU215" s="1137">
        <f>SUM(EU210:EU214)</f>
        <v>143324807.44432506</v>
      </c>
      <c r="EV215" s="1137">
        <f>SUM(EV210:EV214)</f>
        <v>92632457.840870231</v>
      </c>
      <c r="EW215" s="1137">
        <f>SUM(EW210:EW214)</f>
        <v>0</v>
      </c>
      <c r="EX215" s="1137">
        <f>SUM(EX210:EX214)</f>
        <v>50692349.603454821</v>
      </c>
      <c r="EY215" s="1074"/>
      <c r="FC215" s="1137">
        <f>SUM(FC210:FC214)</f>
        <v>143324807.44432506</v>
      </c>
      <c r="FD215" s="1137">
        <f>SUM(FD210:FD214)</f>
        <v>92632457.840870231</v>
      </c>
      <c r="FE215" s="1137">
        <f>SUM(FE210:FE214)</f>
        <v>0</v>
      </c>
      <c r="FF215" s="1137">
        <f>SUM(FF210:FF214)</f>
        <v>50692349.603454821</v>
      </c>
      <c r="FG215" s="1074"/>
      <c r="FK215" s="1137">
        <f>SUM(FK210:FK214)</f>
        <v>143324807.44432506</v>
      </c>
      <c r="FL215" s="1137">
        <f>SUM(FL210:FL214)</f>
        <v>92632457.840870231</v>
      </c>
      <c r="FM215" s="1137">
        <f>SUM(FM210:FM214)</f>
        <v>0</v>
      </c>
      <c r="FN215" s="1137">
        <f>SUM(FN210:FN214)</f>
        <v>50692349.603454821</v>
      </c>
      <c r="FO215" s="1074"/>
    </row>
    <row r="216" spans="1:171" x14ac:dyDescent="0.25">
      <c r="A216" s="1372"/>
      <c r="B216" s="10"/>
      <c r="C216" s="55"/>
      <c r="D216" s="196"/>
      <c r="E216" s="196"/>
      <c r="F216" s="196"/>
      <c r="G216" s="999"/>
      <c r="H216" s="56"/>
      <c r="I216" s="56"/>
      <c r="J216" s="1469"/>
      <c r="K216" s="904"/>
      <c r="O216" s="1080"/>
      <c r="S216" s="1074"/>
      <c r="W216" s="1080"/>
      <c r="AA216" s="1074"/>
      <c r="AE216" s="1080"/>
      <c r="AI216" s="1074"/>
      <c r="AM216" s="1080"/>
      <c r="AQ216" s="1074"/>
      <c r="AU216" s="1080"/>
      <c r="AY216" s="1074"/>
      <c r="BC216" s="1080"/>
      <c r="BG216" s="1074"/>
      <c r="BK216" s="1080"/>
      <c r="BO216" s="1074"/>
      <c r="BS216" s="1080"/>
      <c r="BW216" s="1074"/>
      <c r="CA216" s="1080"/>
      <c r="CE216" s="1074"/>
      <c r="CI216" s="1080"/>
      <c r="CM216" s="1074"/>
      <c r="CQ216" s="1080"/>
      <c r="CU216" s="1074"/>
      <c r="CY216" s="1080"/>
      <c r="DC216" s="1074"/>
      <c r="DG216" s="1080"/>
      <c r="DK216" s="1074"/>
      <c r="DO216" s="1080"/>
      <c r="DS216" s="1074"/>
      <c r="DW216" s="1080"/>
      <c r="EA216" s="1074"/>
      <c r="EE216" s="1080"/>
      <c r="EI216" s="1074"/>
      <c r="EM216" s="1080"/>
      <c r="EQ216" s="1074"/>
      <c r="EU216" s="1080"/>
      <c r="EY216" s="1074"/>
      <c r="FC216" s="1080"/>
      <c r="FG216" s="1074"/>
      <c r="FK216" s="1080"/>
      <c r="FO216" s="1074"/>
    </row>
    <row r="217" spans="1:171" x14ac:dyDescent="0.25">
      <c r="A217" s="1361" t="s">
        <v>491</v>
      </c>
      <c r="B217" s="10"/>
      <c r="C217" s="55"/>
      <c r="D217" s="196"/>
      <c r="E217" s="10"/>
      <c r="F217" s="10"/>
      <c r="G217" s="990"/>
      <c r="H217" s="886"/>
      <c r="I217" s="886"/>
      <c r="J217" s="1434"/>
      <c r="K217" s="904"/>
      <c r="O217" s="1080"/>
      <c r="S217" s="1074"/>
      <c r="W217" s="1080"/>
      <c r="AA217" s="1074"/>
      <c r="AE217" s="1080"/>
      <c r="AI217" s="1074"/>
      <c r="AM217" s="1080"/>
      <c r="AQ217" s="1074"/>
      <c r="AU217" s="1080"/>
      <c r="AY217" s="1074"/>
      <c r="BC217" s="1080"/>
      <c r="BG217" s="1074"/>
      <c r="BK217" s="1080"/>
      <c r="BO217" s="1074"/>
      <c r="BS217" s="1080"/>
      <c r="BW217" s="1074"/>
      <c r="CA217" s="1080"/>
      <c r="CE217" s="1074"/>
      <c r="CI217" s="1080"/>
      <c r="CM217" s="1074"/>
      <c r="CQ217" s="1080"/>
      <c r="CU217" s="1074"/>
      <c r="CY217" s="1080"/>
      <c r="DC217" s="1074"/>
      <c r="DG217" s="1080"/>
      <c r="DK217" s="1074"/>
      <c r="DO217" s="1080"/>
      <c r="DS217" s="1074"/>
      <c r="DW217" s="1080"/>
      <c r="EA217" s="1074"/>
      <c r="EE217" s="1080"/>
      <c r="EI217" s="1074"/>
      <c r="EM217" s="1080"/>
      <c r="EQ217" s="1074"/>
      <c r="EU217" s="1080"/>
      <c r="EY217" s="1074"/>
      <c r="FC217" s="1080"/>
      <c r="FG217" s="1074"/>
      <c r="FK217" s="1080"/>
      <c r="FO217" s="1074"/>
    </row>
    <row r="218" spans="1:171" x14ac:dyDescent="0.25">
      <c r="A218" s="1361"/>
      <c r="B218" s="991" t="s">
        <v>437</v>
      </c>
      <c r="C218" s="55"/>
      <c r="D218" s="196"/>
      <c r="E218" s="10"/>
      <c r="F218" s="10"/>
      <c r="G218" s="990"/>
      <c r="H218" s="886"/>
      <c r="I218" s="886"/>
      <c r="J218" s="1434"/>
      <c r="K218" s="904"/>
      <c r="O218" s="1080"/>
      <c r="S218" s="1074"/>
      <c r="W218" s="1080"/>
      <c r="AA218" s="1074"/>
      <c r="AE218" s="1080"/>
      <c r="AI218" s="1074"/>
      <c r="AM218" s="1080"/>
      <c r="AQ218" s="1074"/>
      <c r="AU218" s="1080"/>
      <c r="AY218" s="1074"/>
      <c r="BC218" s="1080"/>
      <c r="BG218" s="1074"/>
      <c r="BK218" s="1080"/>
      <c r="BO218" s="1074"/>
      <c r="BS218" s="1080"/>
      <c r="BW218" s="1074"/>
      <c r="CA218" s="1080"/>
      <c r="CE218" s="1074"/>
      <c r="CI218" s="1080"/>
      <c r="CM218" s="1074"/>
      <c r="CQ218" s="1080"/>
      <c r="CU218" s="1074"/>
      <c r="CY218" s="1080"/>
      <c r="DC218" s="1074"/>
      <c r="DG218" s="1080"/>
      <c r="DK218" s="1074"/>
      <c r="DO218" s="1080"/>
      <c r="DS218" s="1074"/>
      <c r="DW218" s="1080"/>
      <c r="EA218" s="1074"/>
      <c r="EE218" s="1080"/>
      <c r="EI218" s="1074"/>
      <c r="EM218" s="1080"/>
      <c r="EQ218" s="1074"/>
      <c r="EU218" s="1080"/>
      <c r="EY218" s="1074"/>
      <c r="FC218" s="1080"/>
      <c r="FG218" s="1074"/>
      <c r="FK218" s="1080"/>
      <c r="FO218" s="1074"/>
    </row>
    <row r="219" spans="1:171" x14ac:dyDescent="0.25">
      <c r="A219" s="1421"/>
      <c r="B219" s="914" t="s">
        <v>163</v>
      </c>
      <c r="C219" s="889" t="s">
        <v>72</v>
      </c>
      <c r="D219" s="889">
        <v>920</v>
      </c>
      <c r="E219" s="182" t="str">
        <f>'Sch 3 - Expenses'!E59</f>
        <v>LABOR</v>
      </c>
      <c r="F219" s="890"/>
      <c r="G219" s="182">
        <f>'Sch 3 - Expenses'!G59</f>
        <v>33958085.334903657</v>
      </c>
      <c r="H219" s="182">
        <f>'Sch 3 - Expenses'!H59</f>
        <v>14155543.390048165</v>
      </c>
      <c r="I219" s="182">
        <f>'Sch 3 - Expenses'!I59</f>
        <v>0</v>
      </c>
      <c r="J219" s="1422">
        <f>'Sch 3 - Expenses'!J59</f>
        <v>19802541.944855493</v>
      </c>
      <c r="K219" s="904">
        <f t="shared" ref="K219:K234" si="548">IF($E219="DIRECT",0,1)</f>
        <v>1</v>
      </c>
      <c r="O219" s="1117">
        <f t="shared" ref="O219:O232" si="549">$G219</f>
        <v>33958085.334903657</v>
      </c>
      <c r="P219" s="1118">
        <f t="shared" ref="P219:P234" si="550">VLOOKUP($E219,O$442:R$453,2,FALSE)*O219*($K219)+IF($G219&lt;&gt;0,($H219/$G219)*O219,0)*(1-$K219)</f>
        <v>14155543.390048165</v>
      </c>
      <c r="Q219" s="1118">
        <f t="shared" ref="Q219:Q234" si="551">VLOOKUP($E219,O$442:R$453,3,FALSE)*O219*($K219)+IF($G219&lt;&gt;0,($I219/$G219)*O219,0)*(1-$K219)</f>
        <v>917186.14490737079</v>
      </c>
      <c r="R219" s="1118">
        <f t="shared" ref="R219:R234" si="552">VLOOKUP($E219,O$442:R$453,4,FALSE)*O219*($K219)+(O219-P219-Q219)*(1-$K219)</f>
        <v>18885355.799948119</v>
      </c>
      <c r="S219" s="1074"/>
      <c r="W219" s="1117">
        <f t="shared" ref="W219:W232" si="553">$G219</f>
        <v>33958085.334903657</v>
      </c>
      <c r="X219" s="1118">
        <f t="shared" ref="X219:X232" si="554">VLOOKUP($E219,W$442:Z$453,2,FALSE)*W219*($K219)+IF($G219&lt;&gt;0,($H219/$G219)*W219,0)*(1-$K219)</f>
        <v>14155543.390048165</v>
      </c>
      <c r="Y219" s="1118">
        <f t="shared" ref="Y219:Y232" si="555">VLOOKUP($E219,W$442:Z$453,3,FALSE)*W219*($K219)+IF($G219&lt;&gt;0,($I219/$G219)*W219,0)*(1-$K219)</f>
        <v>917186.14490737079</v>
      </c>
      <c r="Z219" s="1118">
        <f t="shared" ref="Z219:Z232" si="556">VLOOKUP($E219,W$442:Z$453,4,FALSE)*W219*($K219)+(W219-X219-Y219)*(1-$K219)</f>
        <v>18885355.799948119</v>
      </c>
      <c r="AA219" s="1074"/>
      <c r="AE219" s="1117">
        <f t="shared" ref="AE219:AE232" si="557">$G219</f>
        <v>33958085.334903657</v>
      </c>
      <c r="AF219" s="1118">
        <f t="shared" ref="AF219:AF232" si="558">VLOOKUP($E219,AE$442:AH$453,2,FALSE)*AE219*($K219)+IF($G219&lt;&gt;0,($H219/$G219)*AE219,0)*(1-$K219)</f>
        <v>14155543.390048165</v>
      </c>
      <c r="AG219" s="1118">
        <f t="shared" ref="AG219:AG232" si="559">VLOOKUP($E219,AE$442:AH$453,3,FALSE)*AE219*($K219)+IF($G219&lt;&gt;0,($I219/$G219)*AE219,0)*(1-$K219)</f>
        <v>917186.14490737079</v>
      </c>
      <c r="AH219" s="1118">
        <f t="shared" ref="AH219:AH232" si="560">VLOOKUP($E219,AE$442:AH$453,4,FALSE)*AE219*($K219)+(AE219-AF219-AG219)*(1-$K219)</f>
        <v>18885355.799948119</v>
      </c>
      <c r="AI219" s="1074"/>
      <c r="AM219" s="1117">
        <f t="shared" ref="AM219:AM232" si="561">$G219</f>
        <v>33958085.334903657</v>
      </c>
      <c r="AN219" s="1118">
        <f t="shared" ref="AN219:AN232" si="562">VLOOKUP($E219,AM$442:AP$453,2,FALSE)*AM219*($K219)+IF($G219&lt;&gt;0,($H219/$G219)*AM219,0)*(1-$K219)</f>
        <v>14155543.390048165</v>
      </c>
      <c r="AO219" s="1118">
        <f t="shared" ref="AO219:AO232" si="563">VLOOKUP($E219,AM$442:AP$453,3,FALSE)*AM219*($K219)+IF($G219&lt;&gt;0,($I219/$G219)*AM219,0)*(1-$K219)</f>
        <v>917186.14490737079</v>
      </c>
      <c r="AP219" s="1118">
        <f t="shared" ref="AP219:AP232" si="564">VLOOKUP($E219,AM$442:AP$453,4,FALSE)*AM219*($K219)+(AM219-AN219-AO219)*(1-$K219)</f>
        <v>18885355.799948119</v>
      </c>
      <c r="AQ219" s="1074"/>
      <c r="AU219" s="1117">
        <f t="shared" ref="AU219:AU232" si="565">$G219</f>
        <v>33958085.334903657</v>
      </c>
      <c r="AV219" s="1118">
        <f t="shared" ref="AV219:AV232" si="566">VLOOKUP($E219,AU$442:AX$453,2,FALSE)*AU219*($K219)+IF($G219&lt;&gt;0,($H219/$G219)*AU219,0)*(1-$K219)</f>
        <v>14155543.390048165</v>
      </c>
      <c r="AW219" s="1118">
        <f t="shared" ref="AW219:AW232" si="567">VLOOKUP($E219,AU$442:AX$453,3,FALSE)*AU219*($K219)+IF($G219&lt;&gt;0,($I219/$G219)*AU219,0)*(1-$K219)</f>
        <v>917186.14490737079</v>
      </c>
      <c r="AX219" s="1118">
        <f t="shared" ref="AX219:AX232" si="568">VLOOKUP($E219,AU$442:AX$453,4,FALSE)*AU219*($K219)+(AU219-AV219-AW219)*(1-$K219)</f>
        <v>18885355.799948119</v>
      </c>
      <c r="AY219" s="1074"/>
      <c r="BC219" s="1117">
        <f t="shared" ref="BC219:BC232" si="569">$G219</f>
        <v>33958085.334903657</v>
      </c>
      <c r="BD219" s="1118">
        <f t="shared" ref="BD219:BD232" si="570">VLOOKUP($E219,BC$442:BF$453,2,FALSE)*BC219*($K219)+IF($G219&lt;&gt;0,($H219/$G219)*BC219,0)*(1-$K219)</f>
        <v>14155543.390048165</v>
      </c>
      <c r="BE219" s="1118">
        <f t="shared" ref="BE219:BE232" si="571">VLOOKUP($E219,BC$442:BF$453,3,FALSE)*BC219*($K219)+IF($G219&lt;&gt;0,($I219/$G219)*BC219,0)*(1-$K219)</f>
        <v>917186.14490737079</v>
      </c>
      <c r="BF219" s="1118">
        <f t="shared" ref="BF219:BF232" si="572">VLOOKUP($E219,BC$442:BF$453,4,FALSE)*BC219*($K219)+(BC219-BD219-BE219)*(1-$K219)</f>
        <v>18885355.799948119</v>
      </c>
      <c r="BG219" s="1074"/>
      <c r="BK219" s="1117">
        <f t="shared" ref="BK219:BK232" si="573">$G219</f>
        <v>33958085.334903657</v>
      </c>
      <c r="BL219" s="1118">
        <f t="shared" ref="BL219:BL232" si="574">VLOOKUP($E219,BK$442:BN$453,2,FALSE)*BK219*($K219)+IF($G219&lt;&gt;0,($H219/$G219)*BK219,0)*(1-$K219)</f>
        <v>14155543.390048165</v>
      </c>
      <c r="BM219" s="1118">
        <f t="shared" ref="BM219:BM232" si="575">VLOOKUP($E219,BK$442:BN$453,3,FALSE)*BK219*($K219)+IF($G219&lt;&gt;0,($I219/$G219)*BK219,0)*(1-$K219)</f>
        <v>917186.14490737079</v>
      </c>
      <c r="BN219" s="1118">
        <f t="shared" ref="BN219:BN232" si="576">VLOOKUP($E219,BK$442:BN$453,4,FALSE)*BK219*($K219)+(BK219-BL219-BM219)*(1-$K219)</f>
        <v>18885355.799948119</v>
      </c>
      <c r="BO219" s="1074"/>
      <c r="BS219" s="1117">
        <f t="shared" ref="BS219:BS232" si="577">$G219</f>
        <v>33958085.334903657</v>
      </c>
      <c r="BT219" s="1118">
        <f t="shared" ref="BT219:BT232" si="578">VLOOKUP($E219,BS$442:BV$453,2,FALSE)*BS219*($K219)+IF($G219&lt;&gt;0,($H219/$G219)*BS219,0)*(1-$K219)</f>
        <v>14155543.390048165</v>
      </c>
      <c r="BU219" s="1118">
        <f t="shared" ref="BU219:BU232" si="579">VLOOKUP($E219,BS$442:BV$453,3,FALSE)*BS219*($K219)+IF($G219&lt;&gt;0,($I219/$G219)*BS219,0)*(1-$K219)</f>
        <v>917186.14490737079</v>
      </c>
      <c r="BV219" s="1118">
        <f t="shared" ref="BV219:BV232" si="580">VLOOKUP($E219,BS$442:BV$453,4,FALSE)*BS219*($K219)+(BS219-BT219-BU219)*(1-$K219)</f>
        <v>18885355.799948119</v>
      </c>
      <c r="BW219" s="1074"/>
      <c r="CA219" s="1117">
        <f t="shared" ref="CA219:CA232" si="581">$G219</f>
        <v>33958085.334903657</v>
      </c>
      <c r="CB219" s="1118">
        <f t="shared" ref="CB219:CB232" si="582">VLOOKUP($E219,CA$442:CD$453,2,FALSE)*CA219*($K219)+IF($G219&lt;&gt;0,($H219/$G219)*CA219,0)*(1-$K219)</f>
        <v>14155543.390048165</v>
      </c>
      <c r="CC219" s="1118">
        <f t="shared" ref="CC219:CC232" si="583">VLOOKUP($E219,CA$442:CD$453,3,FALSE)*CA219*($K219)+IF($G219&lt;&gt;0,($I219/$G219)*CA219,0)*(1-$K219)</f>
        <v>917186.14490737079</v>
      </c>
      <c r="CD219" s="1118">
        <f t="shared" ref="CD219:CD232" si="584">VLOOKUP($E219,CA$442:CD$453,4,FALSE)*CA219*($K219)+(CA219-CB219-CC219)*(1-$K219)</f>
        <v>18885355.799948119</v>
      </c>
      <c r="CE219" s="1074"/>
      <c r="CI219" s="1117">
        <f t="shared" ref="CI219:CI232" si="585">$G219</f>
        <v>33958085.334903657</v>
      </c>
      <c r="CJ219" s="1118">
        <f t="shared" ref="CJ219:CJ232" si="586">VLOOKUP($E219,CI$442:CL$453,2,FALSE)*CI219*($K219)+IF($G219&lt;&gt;0,($H219/$G219)*CI219,0)*(1-$K219)</f>
        <v>14155543.390048165</v>
      </c>
      <c r="CK219" s="1118">
        <f t="shared" ref="CK219:CK232" si="587">VLOOKUP($E219,CI$442:CL$453,3,FALSE)*CI219*($K219)+IF($G219&lt;&gt;0,($I219/$G219)*CI219,0)*(1-$K219)</f>
        <v>917186.14490737079</v>
      </c>
      <c r="CL219" s="1118">
        <f t="shared" ref="CL219:CL232" si="588">VLOOKUP($E219,CI$442:CL$453,4,FALSE)*CI219*($K219)+(CI219-CJ219-CK219)*(1-$K219)</f>
        <v>18885355.799948119</v>
      </c>
      <c r="CM219" s="1074"/>
      <c r="CQ219" s="1117">
        <f t="shared" ref="CQ219:CQ232" si="589">$G219</f>
        <v>33958085.334903657</v>
      </c>
      <c r="CR219" s="1118">
        <f t="shared" ref="CR219:CR232" si="590">VLOOKUP($E219,CQ$442:CT$453,2,FALSE)*CQ219*($K219)+IF($G219&lt;&gt;0,($H219/$G219)*CQ219,0)*(1-$K219)</f>
        <v>14155543.390048165</v>
      </c>
      <c r="CS219" s="1118">
        <f t="shared" ref="CS219:CS232" si="591">VLOOKUP($E219,CQ$442:CT$453,3,FALSE)*CQ219*($K219)+IF($G219&lt;&gt;0,($I219/$G219)*CQ219,0)*(1-$K219)</f>
        <v>917186.14490737079</v>
      </c>
      <c r="CT219" s="1118">
        <f t="shared" ref="CT219:CT232" si="592">VLOOKUP($E219,CQ$442:CT$453,4,FALSE)*CQ219*($K219)+(CQ219-CR219-CS219)*(1-$K219)</f>
        <v>18885355.799948119</v>
      </c>
      <c r="CU219" s="1074"/>
      <c r="CY219" s="1117">
        <f t="shared" ref="CY219:CY232" si="593">$G219</f>
        <v>33958085.334903657</v>
      </c>
      <c r="CZ219" s="1118">
        <f t="shared" ref="CZ219:CZ232" si="594">VLOOKUP($E219,CY$442:DB$453,2,FALSE)*CY219*($K219)+IF($G219&lt;&gt;0,($H219/$G219)*CY219,0)*(1-$K219)</f>
        <v>14155543.390048165</v>
      </c>
      <c r="DA219" s="1118">
        <f t="shared" ref="DA219:DA232" si="595">VLOOKUP($E219,CY$442:DB$453,3,FALSE)*CY219*($K219)+IF($G219&lt;&gt;0,($I219/$G219)*CY219,0)*(1-$K219)</f>
        <v>917186.14490737079</v>
      </c>
      <c r="DB219" s="1118">
        <f t="shared" ref="DB219:DB232" si="596">VLOOKUP($E219,CY$442:DB$453,4,FALSE)*CY219*($K219)+(CY219-CZ219-DA219)*(1-$K219)</f>
        <v>18885355.799948119</v>
      </c>
      <c r="DC219" s="1074"/>
      <c r="DG219" s="1117">
        <f t="shared" ref="DG219:DG232" si="597">$G219</f>
        <v>33958085.334903657</v>
      </c>
      <c r="DH219" s="1118">
        <f t="shared" ref="DH219:DH232" si="598">VLOOKUP($E219,DG$442:DJ$453,2,FALSE)*DG219*($K219)+IF($G219&lt;&gt;0,($H219/$G219)*DG219,0)*(1-$K219)</f>
        <v>14155543.390048165</v>
      </c>
      <c r="DI219" s="1118">
        <f t="shared" ref="DI219:DI232" si="599">VLOOKUP($E219,DG$442:DJ$453,3,FALSE)*DG219*($K219)+IF($G219&lt;&gt;0,($I219/$G219)*DG219,0)*(1-$K219)</f>
        <v>917186.14490737079</v>
      </c>
      <c r="DJ219" s="1118">
        <f t="shared" ref="DJ219:DJ232" si="600">VLOOKUP($E219,DG$442:DJ$453,4,FALSE)*DG219*($K219)+(DG219-DH219-DI219)*(1-$K219)</f>
        <v>18885355.799948119</v>
      </c>
      <c r="DK219" s="1074"/>
      <c r="DO219" s="1117">
        <f t="shared" ref="DO219:DO232" si="601">$G219</f>
        <v>33958085.334903657</v>
      </c>
      <c r="DP219" s="1118">
        <f t="shared" ref="DP219:DP232" si="602">VLOOKUP($E219,DO$442:DR$453,2,FALSE)*DO219*($K219)+IF($G219&lt;&gt;0,($H219/$G219)*DO219,0)*(1-$K219)</f>
        <v>14155543.390048165</v>
      </c>
      <c r="DQ219" s="1118">
        <f t="shared" ref="DQ219:DQ232" si="603">VLOOKUP($E219,DO$442:DR$453,3,FALSE)*DO219*($K219)+IF($G219&lt;&gt;0,($I219/$G219)*DO219,0)*(1-$K219)</f>
        <v>917186.14490737079</v>
      </c>
      <c r="DR219" s="1118">
        <f t="shared" ref="DR219:DR232" si="604">VLOOKUP($E219,DO$442:DR$453,4,FALSE)*DO219*($K219)+(DO219-DP219-DQ219)*(1-$K219)</f>
        <v>18885355.799948119</v>
      </c>
      <c r="DS219" s="1074"/>
      <c r="DW219" s="1117">
        <f t="shared" ref="DW219:DW232" si="605">$G219</f>
        <v>33958085.334903657</v>
      </c>
      <c r="DX219" s="1118">
        <f t="shared" ref="DX219:DX232" si="606">VLOOKUP($E219,DW$442:DZ$453,2,FALSE)*DW219*($K219)+IF($G219&lt;&gt;0,($H219/$G219)*DW219,0)*(1-$K219)</f>
        <v>14155543.390048165</v>
      </c>
      <c r="DY219" s="1118">
        <f t="shared" ref="DY219:DY232" si="607">VLOOKUP($E219,DW$442:DZ$453,3,FALSE)*DW219*($K219)+IF($G219&lt;&gt;0,($I219/$G219)*DW219,0)*(1-$K219)</f>
        <v>917186.14490737079</v>
      </c>
      <c r="DZ219" s="1118">
        <f t="shared" ref="DZ219:DZ232" si="608">VLOOKUP($E219,DW$442:DZ$453,4,FALSE)*DW219*($K219)+(DW219-DX219-DY219)*(1-$K219)</f>
        <v>18885355.799948119</v>
      </c>
      <c r="EA219" s="1074"/>
      <c r="EE219" s="1117">
        <f t="shared" ref="EE219:EE232" si="609">$G219</f>
        <v>33958085.334903657</v>
      </c>
      <c r="EF219" s="1118">
        <f t="shared" ref="EF219:EF232" si="610">VLOOKUP($E219,EE$442:EH$453,2,FALSE)*EE219*($K219)+IF($G219&lt;&gt;0,($H219/$G219)*EE219,0)*(1-$K219)</f>
        <v>14155543.390048165</v>
      </c>
      <c r="EG219" s="1118">
        <f t="shared" ref="EG219:EG232" si="611">VLOOKUP($E219,EE$442:EH$453,3,FALSE)*EE219*($K219)+IF($G219&lt;&gt;0,($I219/$G219)*EE219,0)*(1-$K219)</f>
        <v>917186.14490737079</v>
      </c>
      <c r="EH219" s="1118">
        <f t="shared" ref="EH219:EH232" si="612">VLOOKUP($E219,EE$442:EH$453,4,FALSE)*EE219*($K219)+(EE219-EF219-EG219)*(1-$K219)</f>
        <v>18885355.799948119</v>
      </c>
      <c r="EI219" s="1074"/>
      <c r="EM219" s="1117">
        <f t="shared" ref="EM219:EM232" si="613">$G219</f>
        <v>33958085.334903657</v>
      </c>
      <c r="EN219" s="1118">
        <f t="shared" ref="EN219:EN232" si="614">VLOOKUP($E219,EM$442:EP$453,2,FALSE)*EM219*($K219)+IF($G219&lt;&gt;0,($H219/$G219)*EM219,0)*(1-$K219)</f>
        <v>14155543.390048165</v>
      </c>
      <c r="EO219" s="1118">
        <f t="shared" ref="EO219:EO232" si="615">VLOOKUP($E219,EM$442:EP$453,3,FALSE)*EM219*($K219)+IF($G219&lt;&gt;0,($I219/$G219)*EM219,0)*(1-$K219)</f>
        <v>917186.14490737079</v>
      </c>
      <c r="EP219" s="1118">
        <f t="shared" ref="EP219:EP232" si="616">VLOOKUP($E219,EM$442:EP$453,4,FALSE)*EM219*($K219)+(EM219-EN219-EO219)*(1-$K219)</f>
        <v>18885355.799948119</v>
      </c>
      <c r="EQ219" s="1074"/>
      <c r="EU219" s="1117">
        <f t="shared" ref="EU219:EU232" si="617">$G219</f>
        <v>33958085.334903657</v>
      </c>
      <c r="EV219" s="1118">
        <f t="shared" ref="EV219:EV232" si="618">VLOOKUP($E219,EU$442:EX$453,2,FALSE)*EU219*($K219)+IF($G219&lt;&gt;0,($H219/$G219)*EU219,0)*(1-$K219)</f>
        <v>14155543.390048165</v>
      </c>
      <c r="EW219" s="1118">
        <f t="shared" ref="EW219:EW232" si="619">VLOOKUP($E219,EU$442:EX$453,3,FALSE)*EU219*($K219)+IF($G219&lt;&gt;0,($I219/$G219)*EU219,0)*(1-$K219)</f>
        <v>917186.14490737079</v>
      </c>
      <c r="EX219" s="1118">
        <f t="shared" ref="EX219:EX232" si="620">VLOOKUP($E219,EU$442:EX$453,4,FALSE)*EU219*($K219)+(EU219-EV219-EW219)*(1-$K219)</f>
        <v>18885355.799948119</v>
      </c>
      <c r="EY219" s="1074"/>
      <c r="FC219" s="1117">
        <f t="shared" ref="FC219:FC232" si="621">$G219</f>
        <v>33958085.334903657</v>
      </c>
      <c r="FD219" s="1118">
        <f t="shared" ref="FD219:FD232" si="622">VLOOKUP($E219,FC$442:FF$453,2,FALSE)*FC219*($K219)+IF($G219&lt;&gt;0,($H219/$G219)*FC219,0)*(1-$K219)</f>
        <v>14155543.390048165</v>
      </c>
      <c r="FE219" s="1118">
        <f t="shared" ref="FE219:FE232" si="623">VLOOKUP($E219,FC$442:FF$453,3,FALSE)*FC219*($K219)+IF($G219&lt;&gt;0,($I219/$G219)*FC219,0)*(1-$K219)</f>
        <v>917186.14490737079</v>
      </c>
      <c r="FF219" s="1118">
        <f t="shared" ref="FF219:FF232" si="624">VLOOKUP($E219,FC$442:FF$453,4,FALSE)*FC219*($K219)+(FC219-FD219-FE219)*(1-$K219)</f>
        <v>18885355.799948119</v>
      </c>
      <c r="FG219" s="1074"/>
      <c r="FK219" s="1117">
        <f t="shared" ref="FK219:FK232" si="625">$G219</f>
        <v>33958085.334903657</v>
      </c>
      <c r="FL219" s="1118">
        <f t="shared" ref="FL219:FL232" si="626">VLOOKUP($E219,FK$442:FN$453,2,FALSE)*FK219*($K219)+IF($G219&lt;&gt;0,($H219/$G219)*FK219,0)*(1-$K219)</f>
        <v>14155543.390048165</v>
      </c>
      <c r="FM219" s="1118">
        <f t="shared" ref="FM219:FM232" si="627">VLOOKUP($E219,FK$442:FN$453,3,FALSE)*FK219*($K219)+IF($G219&lt;&gt;0,($I219/$G219)*FK219,0)*(1-$K219)</f>
        <v>917186.14490737079</v>
      </c>
      <c r="FN219" s="1118">
        <f t="shared" ref="FN219:FN232" si="628">VLOOKUP($E219,FK$442:FN$453,4,FALSE)*FK219*($K219)+(FK219-FL219-FM219)*(1-$K219)</f>
        <v>18885355.799948119</v>
      </c>
      <c r="FO219" s="1074"/>
    </row>
    <row r="220" spans="1:171" x14ac:dyDescent="0.25">
      <c r="A220" s="1421"/>
      <c r="B220" s="914" t="s">
        <v>164</v>
      </c>
      <c r="C220" s="889" t="s">
        <v>72</v>
      </c>
      <c r="D220" s="889">
        <v>921</v>
      </c>
      <c r="E220" s="182" t="str">
        <f>'Sch 3 - Expenses'!E60</f>
        <v>LABOR</v>
      </c>
      <c r="F220" s="890"/>
      <c r="G220" s="182">
        <f>'Sch 3 - Expenses'!G60</f>
        <v>6088941.7066276213</v>
      </c>
      <c r="H220" s="182">
        <f>'Sch 3 - Expenses'!H60</f>
        <v>2538196.0636941125</v>
      </c>
      <c r="I220" s="182">
        <f>'Sch 3 - Expenses'!I60</f>
        <v>0</v>
      </c>
      <c r="J220" s="1422">
        <f>'Sch 3 - Expenses'!J60</f>
        <v>3550745.6429335093</v>
      </c>
      <c r="K220" s="904">
        <f t="shared" si="548"/>
        <v>1</v>
      </c>
      <c r="O220" s="1117">
        <f t="shared" si="549"/>
        <v>6088941.7066276213</v>
      </c>
      <c r="P220" s="1118">
        <f t="shared" si="550"/>
        <v>2538196.0636941125</v>
      </c>
      <c r="Q220" s="1118">
        <f t="shared" si="551"/>
        <v>164458.41735156061</v>
      </c>
      <c r="R220" s="1118">
        <f t="shared" si="552"/>
        <v>3386287.2255819482</v>
      </c>
      <c r="S220" s="1074"/>
      <c r="W220" s="1117">
        <f t="shared" si="553"/>
        <v>6088941.7066276213</v>
      </c>
      <c r="X220" s="1118">
        <f t="shared" si="554"/>
        <v>2538196.0636941125</v>
      </c>
      <c r="Y220" s="1118">
        <f t="shared" si="555"/>
        <v>164458.41735156061</v>
      </c>
      <c r="Z220" s="1118">
        <f t="shared" si="556"/>
        <v>3386287.2255819482</v>
      </c>
      <c r="AA220" s="1074"/>
      <c r="AE220" s="1117">
        <f t="shared" si="557"/>
        <v>6088941.7066276213</v>
      </c>
      <c r="AF220" s="1118">
        <f t="shared" si="558"/>
        <v>2538196.0636941125</v>
      </c>
      <c r="AG220" s="1118">
        <f t="shared" si="559"/>
        <v>164458.41735156061</v>
      </c>
      <c r="AH220" s="1118">
        <f t="shared" si="560"/>
        <v>3386287.2255819482</v>
      </c>
      <c r="AI220" s="1074"/>
      <c r="AM220" s="1117">
        <f t="shared" si="561"/>
        <v>6088941.7066276213</v>
      </c>
      <c r="AN220" s="1118">
        <f t="shared" si="562"/>
        <v>2538196.0636941125</v>
      </c>
      <c r="AO220" s="1118">
        <f t="shared" si="563"/>
        <v>164458.41735156061</v>
      </c>
      <c r="AP220" s="1118">
        <f t="shared" si="564"/>
        <v>3386287.2255819482</v>
      </c>
      <c r="AQ220" s="1074"/>
      <c r="AU220" s="1117">
        <f t="shared" si="565"/>
        <v>6088941.7066276213</v>
      </c>
      <c r="AV220" s="1118">
        <f t="shared" si="566"/>
        <v>2538196.0636941125</v>
      </c>
      <c r="AW220" s="1118">
        <f t="shared" si="567"/>
        <v>164458.41735156061</v>
      </c>
      <c r="AX220" s="1118">
        <f t="shared" si="568"/>
        <v>3386287.2255819482</v>
      </c>
      <c r="AY220" s="1074"/>
      <c r="BC220" s="1117">
        <f t="shared" si="569"/>
        <v>6088941.7066276213</v>
      </c>
      <c r="BD220" s="1118">
        <f t="shared" si="570"/>
        <v>2538196.0636941125</v>
      </c>
      <c r="BE220" s="1118">
        <f t="shared" si="571"/>
        <v>164458.41735156061</v>
      </c>
      <c r="BF220" s="1118">
        <f t="shared" si="572"/>
        <v>3386287.2255819482</v>
      </c>
      <c r="BG220" s="1074"/>
      <c r="BK220" s="1117">
        <f t="shared" si="573"/>
        <v>6088941.7066276213</v>
      </c>
      <c r="BL220" s="1118">
        <f t="shared" si="574"/>
        <v>2538196.0636941125</v>
      </c>
      <c r="BM220" s="1118">
        <f t="shared" si="575"/>
        <v>164458.41735156061</v>
      </c>
      <c r="BN220" s="1118">
        <f t="shared" si="576"/>
        <v>3386287.2255819482</v>
      </c>
      <c r="BO220" s="1074"/>
      <c r="BS220" s="1117">
        <f t="shared" si="577"/>
        <v>6088941.7066276213</v>
      </c>
      <c r="BT220" s="1118">
        <f t="shared" si="578"/>
        <v>2538196.0636941125</v>
      </c>
      <c r="BU220" s="1118">
        <f t="shared" si="579"/>
        <v>164458.41735156061</v>
      </c>
      <c r="BV220" s="1118">
        <f t="shared" si="580"/>
        <v>3386287.2255819482</v>
      </c>
      <c r="BW220" s="1074"/>
      <c r="CA220" s="1117">
        <f t="shared" si="581"/>
        <v>6088941.7066276213</v>
      </c>
      <c r="CB220" s="1118">
        <f t="shared" si="582"/>
        <v>2538196.0636941125</v>
      </c>
      <c r="CC220" s="1118">
        <f t="shared" si="583"/>
        <v>164458.41735156061</v>
      </c>
      <c r="CD220" s="1118">
        <f t="shared" si="584"/>
        <v>3386287.2255819482</v>
      </c>
      <c r="CE220" s="1074"/>
      <c r="CI220" s="1117">
        <f t="shared" si="585"/>
        <v>6088941.7066276213</v>
      </c>
      <c r="CJ220" s="1118">
        <f t="shared" si="586"/>
        <v>2538196.0636941125</v>
      </c>
      <c r="CK220" s="1118">
        <f t="shared" si="587"/>
        <v>164458.41735156061</v>
      </c>
      <c r="CL220" s="1118">
        <f t="shared" si="588"/>
        <v>3386287.2255819482</v>
      </c>
      <c r="CM220" s="1074"/>
      <c r="CQ220" s="1117">
        <f t="shared" si="589"/>
        <v>6088941.7066276213</v>
      </c>
      <c r="CR220" s="1118">
        <f t="shared" si="590"/>
        <v>2538196.0636941125</v>
      </c>
      <c r="CS220" s="1118">
        <f t="shared" si="591"/>
        <v>164458.41735156061</v>
      </c>
      <c r="CT220" s="1118">
        <f t="shared" si="592"/>
        <v>3386287.2255819482</v>
      </c>
      <c r="CU220" s="1074"/>
      <c r="CY220" s="1117">
        <f t="shared" si="593"/>
        <v>6088941.7066276213</v>
      </c>
      <c r="CZ220" s="1118">
        <f t="shared" si="594"/>
        <v>2538196.0636941125</v>
      </c>
      <c r="DA220" s="1118">
        <f t="shared" si="595"/>
        <v>164458.41735156061</v>
      </c>
      <c r="DB220" s="1118">
        <f t="shared" si="596"/>
        <v>3386287.2255819482</v>
      </c>
      <c r="DC220" s="1074"/>
      <c r="DG220" s="1117">
        <f t="shared" si="597"/>
        <v>6088941.7066276213</v>
      </c>
      <c r="DH220" s="1118">
        <f t="shared" si="598"/>
        <v>2538196.0636941125</v>
      </c>
      <c r="DI220" s="1118">
        <f t="shared" si="599"/>
        <v>164458.41735156061</v>
      </c>
      <c r="DJ220" s="1118">
        <f t="shared" si="600"/>
        <v>3386287.2255819482</v>
      </c>
      <c r="DK220" s="1074"/>
      <c r="DO220" s="1117">
        <f t="shared" si="601"/>
        <v>6088941.7066276213</v>
      </c>
      <c r="DP220" s="1118">
        <f t="shared" si="602"/>
        <v>2538196.0636941125</v>
      </c>
      <c r="DQ220" s="1118">
        <f t="shared" si="603"/>
        <v>164458.41735156061</v>
      </c>
      <c r="DR220" s="1118">
        <f t="shared" si="604"/>
        <v>3386287.2255819482</v>
      </c>
      <c r="DS220" s="1074"/>
      <c r="DW220" s="1117">
        <f t="shared" si="605"/>
        <v>6088941.7066276213</v>
      </c>
      <c r="DX220" s="1118">
        <f t="shared" si="606"/>
        <v>2538196.0636941125</v>
      </c>
      <c r="DY220" s="1118">
        <f t="shared" si="607"/>
        <v>164458.41735156061</v>
      </c>
      <c r="DZ220" s="1118">
        <f t="shared" si="608"/>
        <v>3386287.2255819482</v>
      </c>
      <c r="EA220" s="1074"/>
      <c r="EE220" s="1117">
        <f t="shared" si="609"/>
        <v>6088941.7066276213</v>
      </c>
      <c r="EF220" s="1118">
        <f t="shared" si="610"/>
        <v>2538196.0636941125</v>
      </c>
      <c r="EG220" s="1118">
        <f t="shared" si="611"/>
        <v>164458.41735156061</v>
      </c>
      <c r="EH220" s="1118">
        <f t="shared" si="612"/>
        <v>3386287.2255819482</v>
      </c>
      <c r="EI220" s="1074"/>
      <c r="EM220" s="1117">
        <f t="shared" si="613"/>
        <v>6088941.7066276213</v>
      </c>
      <c r="EN220" s="1118">
        <f t="shared" si="614"/>
        <v>2538196.0636941125</v>
      </c>
      <c r="EO220" s="1118">
        <f t="shared" si="615"/>
        <v>164458.41735156061</v>
      </c>
      <c r="EP220" s="1118">
        <f t="shared" si="616"/>
        <v>3386287.2255819482</v>
      </c>
      <c r="EQ220" s="1074"/>
      <c r="EU220" s="1117">
        <f t="shared" si="617"/>
        <v>6088941.7066276213</v>
      </c>
      <c r="EV220" s="1118">
        <f t="shared" si="618"/>
        <v>2538196.0636941125</v>
      </c>
      <c r="EW220" s="1118">
        <f t="shared" si="619"/>
        <v>164458.41735156061</v>
      </c>
      <c r="EX220" s="1118">
        <f t="shared" si="620"/>
        <v>3386287.2255819482</v>
      </c>
      <c r="EY220" s="1074"/>
      <c r="FC220" s="1117">
        <f t="shared" si="621"/>
        <v>6088941.7066276213</v>
      </c>
      <c r="FD220" s="1118">
        <f t="shared" si="622"/>
        <v>2538196.0636941125</v>
      </c>
      <c r="FE220" s="1118">
        <f t="shared" si="623"/>
        <v>164458.41735156061</v>
      </c>
      <c r="FF220" s="1118">
        <f t="shared" si="624"/>
        <v>3386287.2255819482</v>
      </c>
      <c r="FG220" s="1074"/>
      <c r="FK220" s="1117">
        <f t="shared" si="625"/>
        <v>6088941.7066276213</v>
      </c>
      <c r="FL220" s="1118">
        <f t="shared" si="626"/>
        <v>2538196.0636941125</v>
      </c>
      <c r="FM220" s="1118">
        <f t="shared" si="627"/>
        <v>164458.41735156061</v>
      </c>
      <c r="FN220" s="1118">
        <f t="shared" si="628"/>
        <v>3386287.2255819482</v>
      </c>
      <c r="FO220" s="1074"/>
    </row>
    <row r="221" spans="1:171" x14ac:dyDescent="0.25">
      <c r="A221" s="1421"/>
      <c r="B221" s="914" t="s">
        <v>165</v>
      </c>
      <c r="C221" s="889" t="s">
        <v>72</v>
      </c>
      <c r="D221" s="889">
        <v>922</v>
      </c>
      <c r="E221" s="182" t="str">
        <f>'Sch 3 - Expenses'!E61</f>
        <v>LABOR</v>
      </c>
      <c r="F221" s="890"/>
      <c r="G221" s="182">
        <f>'Sch 3 - Expenses'!G61</f>
        <v>21046791.182086881</v>
      </c>
      <c r="H221" s="182">
        <f>'Sch 3 - Expenses'!H61</f>
        <v>8773426.5009661578</v>
      </c>
      <c r="I221" s="182">
        <f>'Sch 3 - Expenses'!I61</f>
        <v>0</v>
      </c>
      <c r="J221" s="1422">
        <f>'Sch 3 - Expenses'!J61</f>
        <v>12273364.681120725</v>
      </c>
      <c r="K221" s="904">
        <f t="shared" si="548"/>
        <v>1</v>
      </c>
      <c r="O221" s="1117">
        <f t="shared" si="549"/>
        <v>21046791.182086881</v>
      </c>
      <c r="P221" s="1118">
        <f t="shared" si="550"/>
        <v>8773426.5009661578</v>
      </c>
      <c r="Q221" s="1118">
        <f t="shared" si="551"/>
        <v>568460.3556587263</v>
      </c>
      <c r="R221" s="1118">
        <f t="shared" si="552"/>
        <v>11704904.325461997</v>
      </c>
      <c r="S221" s="1074"/>
      <c r="W221" s="1117">
        <f t="shared" si="553"/>
        <v>21046791.182086881</v>
      </c>
      <c r="X221" s="1118">
        <f t="shared" si="554"/>
        <v>8773426.5009661578</v>
      </c>
      <c r="Y221" s="1118">
        <f t="shared" si="555"/>
        <v>568460.3556587263</v>
      </c>
      <c r="Z221" s="1118">
        <f t="shared" si="556"/>
        <v>11704904.325461997</v>
      </c>
      <c r="AA221" s="1074"/>
      <c r="AE221" s="1117">
        <f t="shared" si="557"/>
        <v>21046791.182086881</v>
      </c>
      <c r="AF221" s="1118">
        <f t="shared" si="558"/>
        <v>8773426.5009661578</v>
      </c>
      <c r="AG221" s="1118">
        <f t="shared" si="559"/>
        <v>568460.3556587263</v>
      </c>
      <c r="AH221" s="1118">
        <f t="shared" si="560"/>
        <v>11704904.325461997</v>
      </c>
      <c r="AI221" s="1074"/>
      <c r="AM221" s="1117">
        <f t="shared" si="561"/>
        <v>21046791.182086881</v>
      </c>
      <c r="AN221" s="1118">
        <f t="shared" si="562"/>
        <v>8773426.5009661578</v>
      </c>
      <c r="AO221" s="1118">
        <f t="shared" si="563"/>
        <v>568460.3556587263</v>
      </c>
      <c r="AP221" s="1118">
        <f t="shared" si="564"/>
        <v>11704904.325461997</v>
      </c>
      <c r="AQ221" s="1074"/>
      <c r="AU221" s="1117">
        <f t="shared" si="565"/>
        <v>21046791.182086881</v>
      </c>
      <c r="AV221" s="1118">
        <f t="shared" si="566"/>
        <v>8773426.5009661578</v>
      </c>
      <c r="AW221" s="1118">
        <f t="shared" si="567"/>
        <v>568460.3556587263</v>
      </c>
      <c r="AX221" s="1118">
        <f t="shared" si="568"/>
        <v>11704904.325461997</v>
      </c>
      <c r="AY221" s="1074"/>
      <c r="BC221" s="1117">
        <f t="shared" si="569"/>
        <v>21046791.182086881</v>
      </c>
      <c r="BD221" s="1118">
        <f t="shared" si="570"/>
        <v>8773426.5009661578</v>
      </c>
      <c r="BE221" s="1118">
        <f t="shared" si="571"/>
        <v>568460.3556587263</v>
      </c>
      <c r="BF221" s="1118">
        <f t="shared" si="572"/>
        <v>11704904.325461997</v>
      </c>
      <c r="BG221" s="1074"/>
      <c r="BK221" s="1117">
        <f t="shared" si="573"/>
        <v>21046791.182086881</v>
      </c>
      <c r="BL221" s="1118">
        <f t="shared" si="574"/>
        <v>8773426.5009661578</v>
      </c>
      <c r="BM221" s="1118">
        <f t="shared" si="575"/>
        <v>568460.3556587263</v>
      </c>
      <c r="BN221" s="1118">
        <f t="shared" si="576"/>
        <v>11704904.325461997</v>
      </c>
      <c r="BO221" s="1074"/>
      <c r="BS221" s="1117">
        <f t="shared" si="577"/>
        <v>21046791.182086881</v>
      </c>
      <c r="BT221" s="1118">
        <f t="shared" si="578"/>
        <v>8773426.5009661578</v>
      </c>
      <c r="BU221" s="1118">
        <f t="shared" si="579"/>
        <v>568460.3556587263</v>
      </c>
      <c r="BV221" s="1118">
        <f t="shared" si="580"/>
        <v>11704904.325461997</v>
      </c>
      <c r="BW221" s="1074"/>
      <c r="CA221" s="1117">
        <f t="shared" si="581"/>
        <v>21046791.182086881</v>
      </c>
      <c r="CB221" s="1118">
        <f t="shared" si="582"/>
        <v>8773426.5009661578</v>
      </c>
      <c r="CC221" s="1118">
        <f t="shared" si="583"/>
        <v>568460.3556587263</v>
      </c>
      <c r="CD221" s="1118">
        <f t="shared" si="584"/>
        <v>11704904.325461997</v>
      </c>
      <c r="CE221" s="1074"/>
      <c r="CI221" s="1117">
        <f t="shared" si="585"/>
        <v>21046791.182086881</v>
      </c>
      <c r="CJ221" s="1118">
        <f t="shared" si="586"/>
        <v>8773426.5009661578</v>
      </c>
      <c r="CK221" s="1118">
        <f t="shared" si="587"/>
        <v>568460.3556587263</v>
      </c>
      <c r="CL221" s="1118">
        <f t="shared" si="588"/>
        <v>11704904.325461997</v>
      </c>
      <c r="CM221" s="1074"/>
      <c r="CQ221" s="1117">
        <f t="shared" si="589"/>
        <v>21046791.182086881</v>
      </c>
      <c r="CR221" s="1118">
        <f t="shared" si="590"/>
        <v>8773426.5009661578</v>
      </c>
      <c r="CS221" s="1118">
        <f t="shared" si="591"/>
        <v>568460.3556587263</v>
      </c>
      <c r="CT221" s="1118">
        <f t="shared" si="592"/>
        <v>11704904.325461997</v>
      </c>
      <c r="CU221" s="1074"/>
      <c r="CY221" s="1117">
        <f t="shared" si="593"/>
        <v>21046791.182086881</v>
      </c>
      <c r="CZ221" s="1118">
        <f t="shared" si="594"/>
        <v>8773426.5009661578</v>
      </c>
      <c r="DA221" s="1118">
        <f t="shared" si="595"/>
        <v>568460.3556587263</v>
      </c>
      <c r="DB221" s="1118">
        <f t="shared" si="596"/>
        <v>11704904.325461997</v>
      </c>
      <c r="DC221" s="1074"/>
      <c r="DG221" s="1117">
        <f t="shared" si="597"/>
        <v>21046791.182086881</v>
      </c>
      <c r="DH221" s="1118">
        <f t="shared" si="598"/>
        <v>8773426.5009661578</v>
      </c>
      <c r="DI221" s="1118">
        <f t="shared" si="599"/>
        <v>568460.3556587263</v>
      </c>
      <c r="DJ221" s="1118">
        <f t="shared" si="600"/>
        <v>11704904.325461997</v>
      </c>
      <c r="DK221" s="1074"/>
      <c r="DO221" s="1117">
        <f t="shared" si="601"/>
        <v>21046791.182086881</v>
      </c>
      <c r="DP221" s="1118">
        <f t="shared" si="602"/>
        <v>8773426.5009661578</v>
      </c>
      <c r="DQ221" s="1118">
        <f t="shared" si="603"/>
        <v>568460.3556587263</v>
      </c>
      <c r="DR221" s="1118">
        <f t="shared" si="604"/>
        <v>11704904.325461997</v>
      </c>
      <c r="DS221" s="1074"/>
      <c r="DW221" s="1117">
        <f t="shared" si="605"/>
        <v>21046791.182086881</v>
      </c>
      <c r="DX221" s="1118">
        <f t="shared" si="606"/>
        <v>8773426.5009661578</v>
      </c>
      <c r="DY221" s="1118">
        <f t="shared" si="607"/>
        <v>568460.3556587263</v>
      </c>
      <c r="DZ221" s="1118">
        <f t="shared" si="608"/>
        <v>11704904.325461997</v>
      </c>
      <c r="EA221" s="1074"/>
      <c r="EE221" s="1117">
        <f t="shared" si="609"/>
        <v>21046791.182086881</v>
      </c>
      <c r="EF221" s="1118">
        <f t="shared" si="610"/>
        <v>8773426.5009661578</v>
      </c>
      <c r="EG221" s="1118">
        <f t="shared" si="611"/>
        <v>568460.3556587263</v>
      </c>
      <c r="EH221" s="1118">
        <f t="shared" si="612"/>
        <v>11704904.325461997</v>
      </c>
      <c r="EI221" s="1074"/>
      <c r="EM221" s="1117">
        <f t="shared" si="613"/>
        <v>21046791.182086881</v>
      </c>
      <c r="EN221" s="1118">
        <f t="shared" si="614"/>
        <v>8773426.5009661578</v>
      </c>
      <c r="EO221" s="1118">
        <f t="shared" si="615"/>
        <v>568460.3556587263</v>
      </c>
      <c r="EP221" s="1118">
        <f t="shared" si="616"/>
        <v>11704904.325461997</v>
      </c>
      <c r="EQ221" s="1074"/>
      <c r="EU221" s="1117">
        <f t="shared" si="617"/>
        <v>21046791.182086881</v>
      </c>
      <c r="EV221" s="1118">
        <f t="shared" si="618"/>
        <v>8773426.5009661578</v>
      </c>
      <c r="EW221" s="1118">
        <f t="shared" si="619"/>
        <v>568460.3556587263</v>
      </c>
      <c r="EX221" s="1118">
        <f t="shared" si="620"/>
        <v>11704904.325461997</v>
      </c>
      <c r="EY221" s="1074"/>
      <c r="FC221" s="1117">
        <f t="shared" si="621"/>
        <v>21046791.182086881</v>
      </c>
      <c r="FD221" s="1118">
        <f t="shared" si="622"/>
        <v>8773426.5009661578</v>
      </c>
      <c r="FE221" s="1118">
        <f t="shared" si="623"/>
        <v>568460.3556587263</v>
      </c>
      <c r="FF221" s="1118">
        <f t="shared" si="624"/>
        <v>11704904.325461997</v>
      </c>
      <c r="FG221" s="1074"/>
      <c r="FK221" s="1117">
        <f t="shared" si="625"/>
        <v>21046791.182086881</v>
      </c>
      <c r="FL221" s="1118">
        <f t="shared" si="626"/>
        <v>8773426.5009661578</v>
      </c>
      <c r="FM221" s="1118">
        <f t="shared" si="627"/>
        <v>568460.3556587263</v>
      </c>
      <c r="FN221" s="1118">
        <f t="shared" si="628"/>
        <v>11704904.325461997</v>
      </c>
      <c r="FO221" s="1074"/>
    </row>
    <row r="222" spans="1:171" x14ac:dyDescent="0.25">
      <c r="A222" s="1421"/>
      <c r="B222" s="914" t="s">
        <v>166</v>
      </c>
      <c r="C222" s="889" t="s">
        <v>72</v>
      </c>
      <c r="D222" s="889">
        <v>923</v>
      </c>
      <c r="E222" s="182" t="str">
        <f>'Sch 3 - Expenses'!E62</f>
        <v>LABOR</v>
      </c>
      <c r="F222" s="890"/>
      <c r="G222" s="182">
        <f>'Sch 3 - Expenses'!G62</f>
        <v>18867079.710774634</v>
      </c>
      <c r="H222" s="182">
        <f>'Sch 3 - Expenses'!H62</f>
        <v>7864806.3592341943</v>
      </c>
      <c r="I222" s="182">
        <f>'Sch 3 - Expenses'!I62</f>
        <v>0</v>
      </c>
      <c r="J222" s="1422">
        <f>'Sch 3 - Expenses'!J62</f>
        <v>11002273.351540441</v>
      </c>
      <c r="K222" s="904">
        <f t="shared" si="548"/>
        <v>1</v>
      </c>
      <c r="O222" s="1117">
        <f t="shared" si="549"/>
        <v>18867079.710774634</v>
      </c>
      <c r="P222" s="1118">
        <f t="shared" si="550"/>
        <v>7864806.3592341943</v>
      </c>
      <c r="Q222" s="1118">
        <f t="shared" si="551"/>
        <v>509587.74427128799</v>
      </c>
      <c r="R222" s="1118">
        <f t="shared" si="552"/>
        <v>10492685.607269151</v>
      </c>
      <c r="S222" s="1074"/>
      <c r="W222" s="1117">
        <f t="shared" si="553"/>
        <v>18867079.710774634</v>
      </c>
      <c r="X222" s="1118">
        <f t="shared" si="554"/>
        <v>7864806.3592341943</v>
      </c>
      <c r="Y222" s="1118">
        <f t="shared" si="555"/>
        <v>509587.74427128799</v>
      </c>
      <c r="Z222" s="1118">
        <f t="shared" si="556"/>
        <v>10492685.607269151</v>
      </c>
      <c r="AA222" s="1074"/>
      <c r="AE222" s="1117">
        <f t="shared" si="557"/>
        <v>18867079.710774634</v>
      </c>
      <c r="AF222" s="1118">
        <f t="shared" si="558"/>
        <v>7864806.3592341943</v>
      </c>
      <c r="AG222" s="1118">
        <f t="shared" si="559"/>
        <v>509587.74427128799</v>
      </c>
      <c r="AH222" s="1118">
        <f t="shared" si="560"/>
        <v>10492685.607269151</v>
      </c>
      <c r="AI222" s="1074"/>
      <c r="AM222" s="1117">
        <f t="shared" si="561"/>
        <v>18867079.710774634</v>
      </c>
      <c r="AN222" s="1118">
        <f t="shared" si="562"/>
        <v>7864806.3592341943</v>
      </c>
      <c r="AO222" s="1118">
        <f t="shared" si="563"/>
        <v>509587.74427128799</v>
      </c>
      <c r="AP222" s="1118">
        <f t="shared" si="564"/>
        <v>10492685.607269151</v>
      </c>
      <c r="AQ222" s="1074"/>
      <c r="AU222" s="1117">
        <f t="shared" si="565"/>
        <v>18867079.710774634</v>
      </c>
      <c r="AV222" s="1118">
        <f t="shared" si="566"/>
        <v>7864806.3592341943</v>
      </c>
      <c r="AW222" s="1118">
        <f t="shared" si="567"/>
        <v>509587.74427128799</v>
      </c>
      <c r="AX222" s="1118">
        <f t="shared" si="568"/>
        <v>10492685.607269151</v>
      </c>
      <c r="AY222" s="1074"/>
      <c r="BC222" s="1117">
        <f t="shared" si="569"/>
        <v>18867079.710774634</v>
      </c>
      <c r="BD222" s="1118">
        <f t="shared" si="570"/>
        <v>7864806.3592341943</v>
      </c>
      <c r="BE222" s="1118">
        <f t="shared" si="571"/>
        <v>509587.74427128799</v>
      </c>
      <c r="BF222" s="1118">
        <f t="shared" si="572"/>
        <v>10492685.607269151</v>
      </c>
      <c r="BG222" s="1074"/>
      <c r="BK222" s="1117">
        <f t="shared" si="573"/>
        <v>18867079.710774634</v>
      </c>
      <c r="BL222" s="1118">
        <f t="shared" si="574"/>
        <v>7864806.3592341943</v>
      </c>
      <c r="BM222" s="1118">
        <f t="shared" si="575"/>
        <v>509587.74427128799</v>
      </c>
      <c r="BN222" s="1118">
        <f t="shared" si="576"/>
        <v>10492685.607269151</v>
      </c>
      <c r="BO222" s="1074"/>
      <c r="BS222" s="1117">
        <f t="shared" si="577"/>
        <v>18867079.710774634</v>
      </c>
      <c r="BT222" s="1118">
        <f t="shared" si="578"/>
        <v>7864806.3592341943</v>
      </c>
      <c r="BU222" s="1118">
        <f t="shared" si="579"/>
        <v>509587.74427128799</v>
      </c>
      <c r="BV222" s="1118">
        <f t="shared" si="580"/>
        <v>10492685.607269151</v>
      </c>
      <c r="BW222" s="1074"/>
      <c r="CA222" s="1117">
        <f t="shared" si="581"/>
        <v>18867079.710774634</v>
      </c>
      <c r="CB222" s="1118">
        <f t="shared" si="582"/>
        <v>7864806.3592341943</v>
      </c>
      <c r="CC222" s="1118">
        <f t="shared" si="583"/>
        <v>509587.74427128799</v>
      </c>
      <c r="CD222" s="1118">
        <f t="shared" si="584"/>
        <v>10492685.607269151</v>
      </c>
      <c r="CE222" s="1074"/>
      <c r="CI222" s="1117">
        <f t="shared" si="585"/>
        <v>18867079.710774634</v>
      </c>
      <c r="CJ222" s="1118">
        <f t="shared" si="586"/>
        <v>7864806.3592341943</v>
      </c>
      <c r="CK222" s="1118">
        <f t="shared" si="587"/>
        <v>509587.74427128799</v>
      </c>
      <c r="CL222" s="1118">
        <f t="shared" si="588"/>
        <v>10492685.607269151</v>
      </c>
      <c r="CM222" s="1074"/>
      <c r="CQ222" s="1117">
        <f t="shared" si="589"/>
        <v>18867079.710774634</v>
      </c>
      <c r="CR222" s="1118">
        <f t="shared" si="590"/>
        <v>7864806.3592341943</v>
      </c>
      <c r="CS222" s="1118">
        <f t="shared" si="591"/>
        <v>509587.74427128799</v>
      </c>
      <c r="CT222" s="1118">
        <f t="shared" si="592"/>
        <v>10492685.607269151</v>
      </c>
      <c r="CU222" s="1074"/>
      <c r="CY222" s="1117">
        <f t="shared" si="593"/>
        <v>18867079.710774634</v>
      </c>
      <c r="CZ222" s="1118">
        <f t="shared" si="594"/>
        <v>7864806.3592341943</v>
      </c>
      <c r="DA222" s="1118">
        <f t="shared" si="595"/>
        <v>509587.74427128799</v>
      </c>
      <c r="DB222" s="1118">
        <f t="shared" si="596"/>
        <v>10492685.607269151</v>
      </c>
      <c r="DC222" s="1074"/>
      <c r="DG222" s="1117">
        <f t="shared" si="597"/>
        <v>18867079.710774634</v>
      </c>
      <c r="DH222" s="1118">
        <f t="shared" si="598"/>
        <v>7864806.3592341943</v>
      </c>
      <c r="DI222" s="1118">
        <f t="shared" si="599"/>
        <v>509587.74427128799</v>
      </c>
      <c r="DJ222" s="1118">
        <f t="shared" si="600"/>
        <v>10492685.607269151</v>
      </c>
      <c r="DK222" s="1074"/>
      <c r="DO222" s="1117">
        <f t="shared" si="601"/>
        <v>18867079.710774634</v>
      </c>
      <c r="DP222" s="1118">
        <f t="shared" si="602"/>
        <v>7864806.3592341943</v>
      </c>
      <c r="DQ222" s="1118">
        <f t="shared" si="603"/>
        <v>509587.74427128799</v>
      </c>
      <c r="DR222" s="1118">
        <f t="shared" si="604"/>
        <v>10492685.607269151</v>
      </c>
      <c r="DS222" s="1074"/>
      <c r="DW222" s="1117">
        <f t="shared" si="605"/>
        <v>18867079.710774634</v>
      </c>
      <c r="DX222" s="1118">
        <f t="shared" si="606"/>
        <v>7864806.3592341943</v>
      </c>
      <c r="DY222" s="1118">
        <f t="shared" si="607"/>
        <v>509587.74427128799</v>
      </c>
      <c r="DZ222" s="1118">
        <f t="shared" si="608"/>
        <v>10492685.607269151</v>
      </c>
      <c r="EA222" s="1074"/>
      <c r="EE222" s="1117">
        <f t="shared" si="609"/>
        <v>18867079.710774634</v>
      </c>
      <c r="EF222" s="1118">
        <f t="shared" si="610"/>
        <v>7864806.3592341943</v>
      </c>
      <c r="EG222" s="1118">
        <f t="shared" si="611"/>
        <v>509587.74427128799</v>
      </c>
      <c r="EH222" s="1118">
        <f t="shared" si="612"/>
        <v>10492685.607269151</v>
      </c>
      <c r="EI222" s="1074"/>
      <c r="EM222" s="1117">
        <f t="shared" si="613"/>
        <v>18867079.710774634</v>
      </c>
      <c r="EN222" s="1118">
        <f t="shared" si="614"/>
        <v>7864806.3592341943</v>
      </c>
      <c r="EO222" s="1118">
        <f t="shared" si="615"/>
        <v>509587.74427128799</v>
      </c>
      <c r="EP222" s="1118">
        <f t="shared" si="616"/>
        <v>10492685.607269151</v>
      </c>
      <c r="EQ222" s="1074"/>
      <c r="EU222" s="1117">
        <f t="shared" si="617"/>
        <v>18867079.710774634</v>
      </c>
      <c r="EV222" s="1118">
        <f t="shared" si="618"/>
        <v>7864806.3592341943</v>
      </c>
      <c r="EW222" s="1118">
        <f t="shared" si="619"/>
        <v>509587.74427128799</v>
      </c>
      <c r="EX222" s="1118">
        <f t="shared" si="620"/>
        <v>10492685.607269151</v>
      </c>
      <c r="EY222" s="1074"/>
      <c r="FC222" s="1117">
        <f t="shared" si="621"/>
        <v>18867079.710774634</v>
      </c>
      <c r="FD222" s="1118">
        <f t="shared" si="622"/>
        <v>7864806.3592341943</v>
      </c>
      <c r="FE222" s="1118">
        <f t="shared" si="623"/>
        <v>509587.74427128799</v>
      </c>
      <c r="FF222" s="1118">
        <f t="shared" si="624"/>
        <v>10492685.607269151</v>
      </c>
      <c r="FG222" s="1074"/>
      <c r="FK222" s="1117">
        <f t="shared" si="625"/>
        <v>18867079.710774634</v>
      </c>
      <c r="FL222" s="1118">
        <f t="shared" si="626"/>
        <v>7864806.3592341943</v>
      </c>
      <c r="FM222" s="1118">
        <f t="shared" si="627"/>
        <v>509587.74427128799</v>
      </c>
      <c r="FN222" s="1118">
        <f t="shared" si="628"/>
        <v>10492685.607269151</v>
      </c>
      <c r="FO222" s="1074"/>
    </row>
    <row r="223" spans="1:171" x14ac:dyDescent="0.25">
      <c r="A223" s="1442">
        <v>94000</v>
      </c>
      <c r="B223" s="914" t="s">
        <v>167</v>
      </c>
      <c r="C223" s="889" t="s">
        <v>72</v>
      </c>
      <c r="D223" s="889">
        <v>924</v>
      </c>
      <c r="E223" s="182" t="str">
        <f>'Sch 3 - Expenses'!E63</f>
        <v>PTDG</v>
      </c>
      <c r="F223" s="890"/>
      <c r="G223" s="182">
        <f>'Sch 3 - Expenses'!G63</f>
        <v>28178553.189763118</v>
      </c>
      <c r="H223" s="182">
        <f>'Sch 3 - Expenses'!H63</f>
        <v>12241172.142426167</v>
      </c>
      <c r="I223" s="182">
        <f>'Sch 3 - Expenses'!I63</f>
        <v>0</v>
      </c>
      <c r="J223" s="1422">
        <f>'Sch 3 - Expenses'!J63</f>
        <v>15940200.991543749</v>
      </c>
      <c r="K223" s="904">
        <f t="shared" si="548"/>
        <v>1</v>
      </c>
      <c r="N223" s="1162">
        <f>VLOOKUP($A223,'New Resources - Group'!$A$4:$Y$133,N$2,FALSE)*N$1</f>
        <v>0</v>
      </c>
      <c r="O223" s="1117">
        <f>$G223+N223</f>
        <v>28178553.189763118</v>
      </c>
      <c r="P223" s="1118">
        <f t="shared" si="550"/>
        <v>12241172.142426167</v>
      </c>
      <c r="Q223" s="1118">
        <f t="shared" si="551"/>
        <v>7132020.5634806305</v>
      </c>
      <c r="R223" s="1118">
        <f t="shared" si="552"/>
        <v>8805360.4838563185</v>
      </c>
      <c r="S223" s="1074"/>
      <c r="V223" s="1162">
        <f>VLOOKUP($A223,'New Resources - Group'!$A$4:$Y$133,V$2,FALSE)*V$1</f>
        <v>0</v>
      </c>
      <c r="W223" s="1117">
        <f>$G223+V223</f>
        <v>28178553.189763118</v>
      </c>
      <c r="X223" s="1118">
        <f t="shared" si="554"/>
        <v>12241172.142426167</v>
      </c>
      <c r="Y223" s="1118">
        <f t="shared" si="555"/>
        <v>7132020.5634806305</v>
      </c>
      <c r="Z223" s="1118">
        <f t="shared" si="556"/>
        <v>8805360.4838563185</v>
      </c>
      <c r="AA223" s="1074"/>
      <c r="AD223" s="1162">
        <f>VLOOKUP($A223,'New Resources - Group'!$A$4:$Y$133,AD$2,FALSE)*AD$1</f>
        <v>0</v>
      </c>
      <c r="AE223" s="1117">
        <f>$G223+AD223</f>
        <v>28178553.189763118</v>
      </c>
      <c r="AF223" s="1118">
        <f t="shared" si="558"/>
        <v>12241172.142426167</v>
      </c>
      <c r="AG223" s="1118">
        <f t="shared" si="559"/>
        <v>7132020.5634806305</v>
      </c>
      <c r="AH223" s="1118">
        <f t="shared" si="560"/>
        <v>8805360.4838563185</v>
      </c>
      <c r="AI223" s="1074"/>
      <c r="AL223" s="1162">
        <f>VLOOKUP($A223,'New Resources - Group'!$A$4:$Y$133,AL$2,FALSE)*AL$1</f>
        <v>0</v>
      </c>
      <c r="AM223" s="1117">
        <f>$G223+AL223</f>
        <v>28178553.189763118</v>
      </c>
      <c r="AN223" s="1118">
        <f t="shared" si="562"/>
        <v>12241172.142426167</v>
      </c>
      <c r="AO223" s="1118">
        <f t="shared" si="563"/>
        <v>7132020.5634806305</v>
      </c>
      <c r="AP223" s="1118">
        <f t="shared" si="564"/>
        <v>8805360.4838563185</v>
      </c>
      <c r="AQ223" s="1074"/>
      <c r="AT223" s="1162">
        <f>VLOOKUP($A223,'New Resources - Group'!$A$4:$Y$133,AT$2,FALSE)*AT$1</f>
        <v>0</v>
      </c>
      <c r="AU223" s="1117">
        <f>$G223+AT223</f>
        <v>28178553.189763118</v>
      </c>
      <c r="AV223" s="1118">
        <f t="shared" si="566"/>
        <v>12241172.142426167</v>
      </c>
      <c r="AW223" s="1118">
        <f t="shared" si="567"/>
        <v>7132020.5634806305</v>
      </c>
      <c r="AX223" s="1118">
        <f t="shared" si="568"/>
        <v>8805360.4838563185</v>
      </c>
      <c r="AY223" s="1074"/>
      <c r="BB223" s="1162">
        <f>VLOOKUP($A223,'New Resources - Group'!$A$4:$Y$133,BB$2,FALSE)*BB$1</f>
        <v>0</v>
      </c>
      <c r="BC223" s="1117">
        <f>$G223+BB223</f>
        <v>28178553.189763118</v>
      </c>
      <c r="BD223" s="1118">
        <f t="shared" si="570"/>
        <v>12241172.142426167</v>
      </c>
      <c r="BE223" s="1118">
        <f t="shared" si="571"/>
        <v>7132020.5634806305</v>
      </c>
      <c r="BF223" s="1118">
        <f t="shared" si="572"/>
        <v>8805360.4838563185</v>
      </c>
      <c r="BG223" s="1074"/>
      <c r="BJ223" s="1162">
        <f>VLOOKUP($A223,'New Resources - Group'!$A$4:$Y$133,BJ$2,FALSE)*BJ$1</f>
        <v>0</v>
      </c>
      <c r="BK223" s="1117">
        <f>$G223+BJ223</f>
        <v>28178553.189763118</v>
      </c>
      <c r="BL223" s="1118">
        <f t="shared" si="574"/>
        <v>12241172.142426167</v>
      </c>
      <c r="BM223" s="1118">
        <f t="shared" si="575"/>
        <v>7132020.5634806305</v>
      </c>
      <c r="BN223" s="1118">
        <f t="shared" si="576"/>
        <v>8805360.4838563185</v>
      </c>
      <c r="BO223" s="1074"/>
      <c r="BR223" s="1162">
        <f>VLOOKUP($A223,'New Resources - Group'!$A$4:$Y$133,BR$2,FALSE)*BR$1</f>
        <v>0</v>
      </c>
      <c r="BS223" s="1117">
        <f>$G223+BR223</f>
        <v>28178553.189763118</v>
      </c>
      <c r="BT223" s="1118">
        <f t="shared" si="578"/>
        <v>12241172.142426167</v>
      </c>
      <c r="BU223" s="1118">
        <f t="shared" si="579"/>
        <v>7132020.5634806305</v>
      </c>
      <c r="BV223" s="1118">
        <f t="shared" si="580"/>
        <v>8805360.4838563185</v>
      </c>
      <c r="BW223" s="1074"/>
      <c r="BZ223" s="1162">
        <f>VLOOKUP($A223,'New Resources - Group'!$A$4:$Y$133,BZ$2,FALSE)*BZ$1</f>
        <v>0</v>
      </c>
      <c r="CA223" s="1117">
        <f>$G223+BZ223</f>
        <v>28178553.189763118</v>
      </c>
      <c r="CB223" s="1118">
        <f t="shared" si="582"/>
        <v>12241172.142426167</v>
      </c>
      <c r="CC223" s="1118">
        <f t="shared" si="583"/>
        <v>7132020.5634806305</v>
      </c>
      <c r="CD223" s="1118">
        <f t="shared" si="584"/>
        <v>8805360.4838563185</v>
      </c>
      <c r="CE223" s="1074"/>
      <c r="CH223" s="1162">
        <f>VLOOKUP($A223,'New Resources - Group'!$A$4:$Y$133,CH$2,FALSE)*CH$1</f>
        <v>0</v>
      </c>
      <c r="CI223" s="1117">
        <f>$G223+CH223</f>
        <v>28178553.189763118</v>
      </c>
      <c r="CJ223" s="1118">
        <f t="shared" si="586"/>
        <v>12241172.142426167</v>
      </c>
      <c r="CK223" s="1118">
        <f t="shared" si="587"/>
        <v>7132020.5634806305</v>
      </c>
      <c r="CL223" s="1118">
        <f t="shared" si="588"/>
        <v>8805360.4838563185</v>
      </c>
      <c r="CM223" s="1074"/>
      <c r="CP223" s="1162">
        <f>VLOOKUP($A223,'New Resources - Group'!$A$4:$Y$133,CP$2,FALSE)*CP$1</f>
        <v>0</v>
      </c>
      <c r="CQ223" s="1117">
        <f>$G223+CP223</f>
        <v>28178553.189763118</v>
      </c>
      <c r="CR223" s="1118">
        <f t="shared" si="590"/>
        <v>12241172.142426167</v>
      </c>
      <c r="CS223" s="1118">
        <f t="shared" si="591"/>
        <v>7132020.5634806305</v>
      </c>
      <c r="CT223" s="1118">
        <f t="shared" si="592"/>
        <v>8805360.4838563185</v>
      </c>
      <c r="CU223" s="1074"/>
      <c r="CX223" s="1162">
        <f>VLOOKUP($A223,'New Resources - Group'!$A$4:$Y$133,CX$2,FALSE)*CX$1</f>
        <v>0</v>
      </c>
      <c r="CY223" s="1117">
        <f>$G223+CX223</f>
        <v>28178553.189763118</v>
      </c>
      <c r="CZ223" s="1118">
        <f t="shared" si="594"/>
        <v>12241172.142426167</v>
      </c>
      <c r="DA223" s="1118">
        <f t="shared" si="595"/>
        <v>7132020.5634806305</v>
      </c>
      <c r="DB223" s="1118">
        <f t="shared" si="596"/>
        <v>8805360.4838563185</v>
      </c>
      <c r="DC223" s="1074"/>
      <c r="DF223" s="1162">
        <f>VLOOKUP($A223,'New Resources - Group'!$A$4:$Y$133,DF$2,FALSE)*DF$1</f>
        <v>0</v>
      </c>
      <c r="DG223" s="1117">
        <f>$G223+DF223</f>
        <v>28178553.189763118</v>
      </c>
      <c r="DH223" s="1118">
        <f t="shared" si="598"/>
        <v>12241172.142426167</v>
      </c>
      <c r="DI223" s="1118">
        <f t="shared" si="599"/>
        <v>7132020.5634806305</v>
      </c>
      <c r="DJ223" s="1118">
        <f t="shared" si="600"/>
        <v>8805360.4838563185</v>
      </c>
      <c r="DK223" s="1074"/>
      <c r="DN223" s="1162">
        <f>VLOOKUP($A223,'New Resources - Group'!$A$4:$Y$133,DN$2,FALSE)*DN$1</f>
        <v>0</v>
      </c>
      <c r="DO223" s="1117">
        <f>$G223+DN223</f>
        <v>28178553.189763118</v>
      </c>
      <c r="DP223" s="1118">
        <f t="shared" si="602"/>
        <v>12241172.142426167</v>
      </c>
      <c r="DQ223" s="1118">
        <f t="shared" si="603"/>
        <v>7132020.5634806305</v>
      </c>
      <c r="DR223" s="1118">
        <f t="shared" si="604"/>
        <v>8805360.4838563185</v>
      </c>
      <c r="DS223" s="1074"/>
      <c r="DV223" s="1162">
        <f>VLOOKUP($A223,'New Resources - Group'!$A$4:$Y$133,DV$2,FALSE)*DV$1</f>
        <v>0</v>
      </c>
      <c r="DW223" s="1117">
        <f>$G223+DV223</f>
        <v>28178553.189763118</v>
      </c>
      <c r="DX223" s="1118">
        <f t="shared" si="606"/>
        <v>12241172.142426167</v>
      </c>
      <c r="DY223" s="1118">
        <f t="shared" si="607"/>
        <v>7132020.5634806305</v>
      </c>
      <c r="DZ223" s="1118">
        <f t="shared" si="608"/>
        <v>8805360.4838563185</v>
      </c>
      <c r="EA223" s="1074"/>
      <c r="ED223" s="1162">
        <f>VLOOKUP($A223,'New Resources - Group'!$A$4:$Y$133,ED$2,FALSE)*ED$1</f>
        <v>0</v>
      </c>
      <c r="EE223" s="1117">
        <f>$G223+ED223</f>
        <v>28178553.189763118</v>
      </c>
      <c r="EF223" s="1118">
        <f t="shared" si="610"/>
        <v>12241172.142426167</v>
      </c>
      <c r="EG223" s="1118">
        <f t="shared" si="611"/>
        <v>7132020.5634806305</v>
      </c>
      <c r="EH223" s="1118">
        <f t="shared" si="612"/>
        <v>8805360.4838563185</v>
      </c>
      <c r="EI223" s="1074"/>
      <c r="EL223" s="1162">
        <f>VLOOKUP($A223,'New Resources - Group'!$A$4:$Y$133,EL$2,FALSE)*EL$1</f>
        <v>0</v>
      </c>
      <c r="EM223" s="1117">
        <f>$G223+EL223</f>
        <v>28178553.189763118</v>
      </c>
      <c r="EN223" s="1118">
        <f t="shared" si="614"/>
        <v>12241172.142426167</v>
      </c>
      <c r="EO223" s="1118">
        <f t="shared" si="615"/>
        <v>7132020.5634806305</v>
      </c>
      <c r="EP223" s="1118">
        <f t="shared" si="616"/>
        <v>8805360.4838563185</v>
      </c>
      <c r="EQ223" s="1074"/>
      <c r="ET223" s="1162">
        <f>VLOOKUP($A223,'New Resources - Group'!$A$4:$Y$133,ET$2,FALSE)*ET$1</f>
        <v>0</v>
      </c>
      <c r="EU223" s="1117">
        <f>$G223+ET223</f>
        <v>28178553.189763118</v>
      </c>
      <c r="EV223" s="1118">
        <f t="shared" si="618"/>
        <v>12241172.142426167</v>
      </c>
      <c r="EW223" s="1118">
        <f t="shared" si="619"/>
        <v>7132020.5634806305</v>
      </c>
      <c r="EX223" s="1118">
        <f t="shared" si="620"/>
        <v>8805360.4838563185</v>
      </c>
      <c r="EY223" s="1074"/>
      <c r="FB223" s="1162">
        <f>VLOOKUP($A223,'New Resources - Group'!$A$4:$Y$133,FB$2,FALSE)*FB$1</f>
        <v>0</v>
      </c>
      <c r="FC223" s="1117">
        <f>$G223+FB223</f>
        <v>28178553.189763118</v>
      </c>
      <c r="FD223" s="1118">
        <f t="shared" si="622"/>
        <v>12241172.142426167</v>
      </c>
      <c r="FE223" s="1118">
        <f t="shared" si="623"/>
        <v>7132020.5634806305</v>
      </c>
      <c r="FF223" s="1118">
        <f t="shared" si="624"/>
        <v>8805360.4838563185</v>
      </c>
      <c r="FG223" s="1074"/>
      <c r="FJ223" s="1162">
        <f>VLOOKUP($A223,'New Resources - Group'!$A$4:$Y$133,FJ$2,FALSE)*FJ$1</f>
        <v>0</v>
      </c>
      <c r="FK223" s="1117">
        <f>$G223+FJ223</f>
        <v>28178553.189763118</v>
      </c>
      <c r="FL223" s="1118">
        <f t="shared" si="626"/>
        <v>12241172.142426167</v>
      </c>
      <c r="FM223" s="1118">
        <f t="shared" si="627"/>
        <v>7132020.5634806305</v>
      </c>
      <c r="FN223" s="1118">
        <f t="shared" si="628"/>
        <v>8805360.4838563185</v>
      </c>
      <c r="FO223" s="1074"/>
    </row>
    <row r="224" spans="1:171" x14ac:dyDescent="0.25">
      <c r="A224" s="1421"/>
      <c r="B224" s="914" t="s">
        <v>465</v>
      </c>
      <c r="C224" s="889" t="s">
        <v>72</v>
      </c>
      <c r="D224" s="889">
        <v>925</v>
      </c>
      <c r="E224" s="182" t="str">
        <f>'Sch 3 - Expenses'!E64</f>
        <v>Labor</v>
      </c>
      <c r="F224" s="890"/>
      <c r="G224" s="182">
        <f>'Sch 3 - Expenses'!G64</f>
        <v>727189313.6231035</v>
      </c>
      <c r="H224" s="182">
        <f>'Sch 3 - Expenses'!H64</f>
        <v>303131339.12737983</v>
      </c>
      <c r="I224" s="182">
        <f>'Sch 3 - Expenses'!I64</f>
        <v>0</v>
      </c>
      <c r="J224" s="1422">
        <f>'Sch 3 - Expenses'!J64</f>
        <v>424057974.49572366</v>
      </c>
      <c r="K224" s="904">
        <f t="shared" si="548"/>
        <v>1</v>
      </c>
      <c r="O224" s="1117">
        <f t="shared" si="549"/>
        <v>727189313.6231035</v>
      </c>
      <c r="P224" s="1118">
        <f t="shared" si="550"/>
        <v>303131339.12737983</v>
      </c>
      <c r="Q224" s="1118">
        <f t="shared" si="551"/>
        <v>19640917.813887212</v>
      </c>
      <c r="R224" s="1118">
        <f t="shared" si="552"/>
        <v>404417056.68183643</v>
      </c>
      <c r="S224" s="1074"/>
      <c r="W224" s="1117">
        <f t="shared" si="553"/>
        <v>727189313.6231035</v>
      </c>
      <c r="X224" s="1118">
        <f t="shared" si="554"/>
        <v>303131339.12737983</v>
      </c>
      <c r="Y224" s="1118">
        <f t="shared" si="555"/>
        <v>19640917.813887212</v>
      </c>
      <c r="Z224" s="1118">
        <f t="shared" si="556"/>
        <v>404417056.68183643</v>
      </c>
      <c r="AA224" s="1074"/>
      <c r="AE224" s="1117">
        <f t="shared" si="557"/>
        <v>727189313.6231035</v>
      </c>
      <c r="AF224" s="1118">
        <f t="shared" si="558"/>
        <v>303131339.12737983</v>
      </c>
      <c r="AG224" s="1118">
        <f t="shared" si="559"/>
        <v>19640917.813887212</v>
      </c>
      <c r="AH224" s="1118">
        <f t="shared" si="560"/>
        <v>404417056.68183643</v>
      </c>
      <c r="AI224" s="1074"/>
      <c r="AM224" s="1117">
        <f t="shared" si="561"/>
        <v>727189313.6231035</v>
      </c>
      <c r="AN224" s="1118">
        <f t="shared" si="562"/>
        <v>303131339.12737983</v>
      </c>
      <c r="AO224" s="1118">
        <f t="shared" si="563"/>
        <v>19640917.813887212</v>
      </c>
      <c r="AP224" s="1118">
        <f t="shared" si="564"/>
        <v>404417056.68183643</v>
      </c>
      <c r="AQ224" s="1074"/>
      <c r="AU224" s="1117">
        <f t="shared" si="565"/>
        <v>727189313.6231035</v>
      </c>
      <c r="AV224" s="1118">
        <f t="shared" si="566"/>
        <v>303131339.12737983</v>
      </c>
      <c r="AW224" s="1118">
        <f t="shared" si="567"/>
        <v>19640917.813887212</v>
      </c>
      <c r="AX224" s="1118">
        <f t="shared" si="568"/>
        <v>404417056.68183643</v>
      </c>
      <c r="AY224" s="1074"/>
      <c r="BC224" s="1117">
        <f t="shared" si="569"/>
        <v>727189313.6231035</v>
      </c>
      <c r="BD224" s="1118">
        <f t="shared" si="570"/>
        <v>303131339.12737983</v>
      </c>
      <c r="BE224" s="1118">
        <f t="shared" si="571"/>
        <v>19640917.813887212</v>
      </c>
      <c r="BF224" s="1118">
        <f t="shared" si="572"/>
        <v>404417056.68183643</v>
      </c>
      <c r="BG224" s="1074"/>
      <c r="BK224" s="1117">
        <f t="shared" si="573"/>
        <v>727189313.6231035</v>
      </c>
      <c r="BL224" s="1118">
        <f t="shared" si="574"/>
        <v>303131339.12737983</v>
      </c>
      <c r="BM224" s="1118">
        <f t="shared" si="575"/>
        <v>19640917.813887212</v>
      </c>
      <c r="BN224" s="1118">
        <f t="shared" si="576"/>
        <v>404417056.68183643</v>
      </c>
      <c r="BO224" s="1074"/>
      <c r="BS224" s="1117">
        <f t="shared" si="577"/>
        <v>727189313.6231035</v>
      </c>
      <c r="BT224" s="1118">
        <f t="shared" si="578"/>
        <v>303131339.12737983</v>
      </c>
      <c r="BU224" s="1118">
        <f t="shared" si="579"/>
        <v>19640917.813887212</v>
      </c>
      <c r="BV224" s="1118">
        <f t="shared" si="580"/>
        <v>404417056.68183643</v>
      </c>
      <c r="BW224" s="1074"/>
      <c r="CA224" s="1117">
        <f t="shared" si="581"/>
        <v>727189313.6231035</v>
      </c>
      <c r="CB224" s="1118">
        <f t="shared" si="582"/>
        <v>303131339.12737983</v>
      </c>
      <c r="CC224" s="1118">
        <f t="shared" si="583"/>
        <v>19640917.813887212</v>
      </c>
      <c r="CD224" s="1118">
        <f t="shared" si="584"/>
        <v>404417056.68183643</v>
      </c>
      <c r="CE224" s="1074"/>
      <c r="CI224" s="1117">
        <f t="shared" si="585"/>
        <v>727189313.6231035</v>
      </c>
      <c r="CJ224" s="1118">
        <f t="shared" si="586"/>
        <v>303131339.12737983</v>
      </c>
      <c r="CK224" s="1118">
        <f t="shared" si="587"/>
        <v>19640917.813887212</v>
      </c>
      <c r="CL224" s="1118">
        <f t="shared" si="588"/>
        <v>404417056.68183643</v>
      </c>
      <c r="CM224" s="1074"/>
      <c r="CQ224" s="1117">
        <f t="shared" si="589"/>
        <v>727189313.6231035</v>
      </c>
      <c r="CR224" s="1118">
        <f t="shared" si="590"/>
        <v>303131339.12737983</v>
      </c>
      <c r="CS224" s="1118">
        <f t="shared" si="591"/>
        <v>19640917.813887212</v>
      </c>
      <c r="CT224" s="1118">
        <f t="shared" si="592"/>
        <v>404417056.68183643</v>
      </c>
      <c r="CU224" s="1074"/>
      <c r="CY224" s="1117">
        <f t="shared" si="593"/>
        <v>727189313.6231035</v>
      </c>
      <c r="CZ224" s="1118">
        <f t="shared" si="594"/>
        <v>303131339.12737983</v>
      </c>
      <c r="DA224" s="1118">
        <f t="shared" si="595"/>
        <v>19640917.813887212</v>
      </c>
      <c r="DB224" s="1118">
        <f t="shared" si="596"/>
        <v>404417056.68183643</v>
      </c>
      <c r="DC224" s="1074"/>
      <c r="DG224" s="1117">
        <f t="shared" si="597"/>
        <v>727189313.6231035</v>
      </c>
      <c r="DH224" s="1118">
        <f t="shared" si="598"/>
        <v>303131339.12737983</v>
      </c>
      <c r="DI224" s="1118">
        <f t="shared" si="599"/>
        <v>19640917.813887212</v>
      </c>
      <c r="DJ224" s="1118">
        <f t="shared" si="600"/>
        <v>404417056.68183643</v>
      </c>
      <c r="DK224" s="1074"/>
      <c r="DO224" s="1117">
        <f t="shared" si="601"/>
        <v>727189313.6231035</v>
      </c>
      <c r="DP224" s="1118">
        <f t="shared" si="602"/>
        <v>303131339.12737983</v>
      </c>
      <c r="DQ224" s="1118">
        <f t="shared" si="603"/>
        <v>19640917.813887212</v>
      </c>
      <c r="DR224" s="1118">
        <f t="shared" si="604"/>
        <v>404417056.68183643</v>
      </c>
      <c r="DS224" s="1074"/>
      <c r="DW224" s="1117">
        <f t="shared" si="605"/>
        <v>727189313.6231035</v>
      </c>
      <c r="DX224" s="1118">
        <f t="shared" si="606"/>
        <v>303131339.12737983</v>
      </c>
      <c r="DY224" s="1118">
        <f t="shared" si="607"/>
        <v>19640917.813887212</v>
      </c>
      <c r="DZ224" s="1118">
        <f t="shared" si="608"/>
        <v>404417056.68183643</v>
      </c>
      <c r="EA224" s="1074"/>
      <c r="EE224" s="1117">
        <f t="shared" si="609"/>
        <v>727189313.6231035</v>
      </c>
      <c r="EF224" s="1118">
        <f t="shared" si="610"/>
        <v>303131339.12737983</v>
      </c>
      <c r="EG224" s="1118">
        <f t="shared" si="611"/>
        <v>19640917.813887212</v>
      </c>
      <c r="EH224" s="1118">
        <f t="shared" si="612"/>
        <v>404417056.68183643</v>
      </c>
      <c r="EI224" s="1074"/>
      <c r="EM224" s="1117">
        <f t="shared" si="613"/>
        <v>727189313.6231035</v>
      </c>
      <c r="EN224" s="1118">
        <f t="shared" si="614"/>
        <v>303131339.12737983</v>
      </c>
      <c r="EO224" s="1118">
        <f t="shared" si="615"/>
        <v>19640917.813887212</v>
      </c>
      <c r="EP224" s="1118">
        <f t="shared" si="616"/>
        <v>404417056.68183643</v>
      </c>
      <c r="EQ224" s="1074"/>
      <c r="EU224" s="1117">
        <f t="shared" si="617"/>
        <v>727189313.6231035</v>
      </c>
      <c r="EV224" s="1118">
        <f t="shared" si="618"/>
        <v>303131339.12737983</v>
      </c>
      <c r="EW224" s="1118">
        <f t="shared" si="619"/>
        <v>19640917.813887212</v>
      </c>
      <c r="EX224" s="1118">
        <f t="shared" si="620"/>
        <v>404417056.68183643</v>
      </c>
      <c r="EY224" s="1074"/>
      <c r="FC224" s="1117">
        <f t="shared" si="621"/>
        <v>727189313.6231035</v>
      </c>
      <c r="FD224" s="1118">
        <f t="shared" si="622"/>
        <v>303131339.12737983</v>
      </c>
      <c r="FE224" s="1118">
        <f t="shared" si="623"/>
        <v>19640917.813887212</v>
      </c>
      <c r="FF224" s="1118">
        <f t="shared" si="624"/>
        <v>404417056.68183643</v>
      </c>
      <c r="FG224" s="1074"/>
      <c r="FK224" s="1117">
        <f t="shared" si="625"/>
        <v>727189313.6231035</v>
      </c>
      <c r="FL224" s="1118">
        <f t="shared" si="626"/>
        <v>303131339.12737983</v>
      </c>
      <c r="FM224" s="1118">
        <f t="shared" si="627"/>
        <v>19640917.813887212</v>
      </c>
      <c r="FN224" s="1118">
        <f t="shared" si="628"/>
        <v>404417056.68183643</v>
      </c>
      <c r="FO224" s="1074"/>
    </row>
    <row r="225" spans="1:171" x14ac:dyDescent="0.25">
      <c r="A225" s="1421"/>
      <c r="B225" s="914" t="s">
        <v>466</v>
      </c>
      <c r="C225" s="889" t="s">
        <v>72</v>
      </c>
      <c r="D225" s="889">
        <v>926</v>
      </c>
      <c r="E225" s="182" t="str">
        <f>'Sch 3 - Expenses'!E65</f>
        <v>LABOR</v>
      </c>
      <c r="F225" s="890"/>
      <c r="G225" s="182">
        <f>'Sch 3 - Expenses'!G65</f>
        <v>48983683.126018636</v>
      </c>
      <c r="H225" s="182">
        <f>'Sch 3 - Expenses'!H65</f>
        <v>20419014.943166677</v>
      </c>
      <c r="I225" s="182">
        <f>'Sch 3 - Expenses'!I65</f>
        <v>0</v>
      </c>
      <c r="J225" s="1422">
        <f>'Sch 3 - Expenses'!J65</f>
        <v>28564668.182851963</v>
      </c>
      <c r="K225" s="904">
        <f t="shared" si="548"/>
        <v>1</v>
      </c>
      <c r="O225" s="1117">
        <f t="shared" si="549"/>
        <v>48983683.126018636</v>
      </c>
      <c r="P225" s="1118">
        <f t="shared" si="550"/>
        <v>20419014.943166677</v>
      </c>
      <c r="Q225" s="1118">
        <f t="shared" si="551"/>
        <v>1323017.9218478817</v>
      </c>
      <c r="R225" s="1118">
        <f t="shared" si="552"/>
        <v>27241650.261004075</v>
      </c>
      <c r="S225" s="1074"/>
      <c r="W225" s="1117">
        <f t="shared" si="553"/>
        <v>48983683.126018636</v>
      </c>
      <c r="X225" s="1118">
        <f t="shared" si="554"/>
        <v>20419014.943166677</v>
      </c>
      <c r="Y225" s="1118">
        <f t="shared" si="555"/>
        <v>1323017.9218478817</v>
      </c>
      <c r="Z225" s="1118">
        <f t="shared" si="556"/>
        <v>27241650.261004075</v>
      </c>
      <c r="AA225" s="1074"/>
      <c r="AE225" s="1117">
        <f t="shared" si="557"/>
        <v>48983683.126018636</v>
      </c>
      <c r="AF225" s="1118">
        <f t="shared" si="558"/>
        <v>20419014.943166677</v>
      </c>
      <c r="AG225" s="1118">
        <f t="shared" si="559"/>
        <v>1323017.9218478817</v>
      </c>
      <c r="AH225" s="1118">
        <f t="shared" si="560"/>
        <v>27241650.261004075</v>
      </c>
      <c r="AI225" s="1074"/>
      <c r="AM225" s="1117">
        <f t="shared" si="561"/>
        <v>48983683.126018636</v>
      </c>
      <c r="AN225" s="1118">
        <f t="shared" si="562"/>
        <v>20419014.943166677</v>
      </c>
      <c r="AO225" s="1118">
        <f t="shared" si="563"/>
        <v>1323017.9218478817</v>
      </c>
      <c r="AP225" s="1118">
        <f t="shared" si="564"/>
        <v>27241650.261004075</v>
      </c>
      <c r="AQ225" s="1074"/>
      <c r="AU225" s="1117">
        <f t="shared" si="565"/>
        <v>48983683.126018636</v>
      </c>
      <c r="AV225" s="1118">
        <f t="shared" si="566"/>
        <v>20419014.943166677</v>
      </c>
      <c r="AW225" s="1118">
        <f t="shared" si="567"/>
        <v>1323017.9218478817</v>
      </c>
      <c r="AX225" s="1118">
        <f t="shared" si="568"/>
        <v>27241650.261004075</v>
      </c>
      <c r="AY225" s="1074"/>
      <c r="BC225" s="1117">
        <f t="shared" si="569"/>
        <v>48983683.126018636</v>
      </c>
      <c r="BD225" s="1118">
        <f t="shared" si="570"/>
        <v>20419014.943166677</v>
      </c>
      <c r="BE225" s="1118">
        <f t="shared" si="571"/>
        <v>1323017.9218478817</v>
      </c>
      <c r="BF225" s="1118">
        <f t="shared" si="572"/>
        <v>27241650.261004075</v>
      </c>
      <c r="BG225" s="1074"/>
      <c r="BK225" s="1117">
        <f t="shared" si="573"/>
        <v>48983683.126018636</v>
      </c>
      <c r="BL225" s="1118">
        <f t="shared" si="574"/>
        <v>20419014.943166677</v>
      </c>
      <c r="BM225" s="1118">
        <f t="shared" si="575"/>
        <v>1323017.9218478817</v>
      </c>
      <c r="BN225" s="1118">
        <f t="shared" si="576"/>
        <v>27241650.261004075</v>
      </c>
      <c r="BO225" s="1074"/>
      <c r="BS225" s="1117">
        <f t="shared" si="577"/>
        <v>48983683.126018636</v>
      </c>
      <c r="BT225" s="1118">
        <f t="shared" si="578"/>
        <v>20419014.943166677</v>
      </c>
      <c r="BU225" s="1118">
        <f t="shared" si="579"/>
        <v>1323017.9218478817</v>
      </c>
      <c r="BV225" s="1118">
        <f t="shared" si="580"/>
        <v>27241650.261004075</v>
      </c>
      <c r="BW225" s="1074"/>
      <c r="CA225" s="1117">
        <f t="shared" si="581"/>
        <v>48983683.126018636</v>
      </c>
      <c r="CB225" s="1118">
        <f t="shared" si="582"/>
        <v>20419014.943166677</v>
      </c>
      <c r="CC225" s="1118">
        <f t="shared" si="583"/>
        <v>1323017.9218478817</v>
      </c>
      <c r="CD225" s="1118">
        <f t="shared" si="584"/>
        <v>27241650.261004075</v>
      </c>
      <c r="CE225" s="1074"/>
      <c r="CI225" s="1117">
        <f t="shared" si="585"/>
        <v>48983683.126018636</v>
      </c>
      <c r="CJ225" s="1118">
        <f t="shared" si="586"/>
        <v>20419014.943166677</v>
      </c>
      <c r="CK225" s="1118">
        <f t="shared" si="587"/>
        <v>1323017.9218478817</v>
      </c>
      <c r="CL225" s="1118">
        <f t="shared" si="588"/>
        <v>27241650.261004075</v>
      </c>
      <c r="CM225" s="1074"/>
      <c r="CQ225" s="1117">
        <f t="shared" si="589"/>
        <v>48983683.126018636</v>
      </c>
      <c r="CR225" s="1118">
        <f t="shared" si="590"/>
        <v>20419014.943166677</v>
      </c>
      <c r="CS225" s="1118">
        <f t="shared" si="591"/>
        <v>1323017.9218478817</v>
      </c>
      <c r="CT225" s="1118">
        <f t="shared" si="592"/>
        <v>27241650.261004075</v>
      </c>
      <c r="CU225" s="1074"/>
      <c r="CY225" s="1117">
        <f t="shared" si="593"/>
        <v>48983683.126018636</v>
      </c>
      <c r="CZ225" s="1118">
        <f t="shared" si="594"/>
        <v>20419014.943166677</v>
      </c>
      <c r="DA225" s="1118">
        <f t="shared" si="595"/>
        <v>1323017.9218478817</v>
      </c>
      <c r="DB225" s="1118">
        <f t="shared" si="596"/>
        <v>27241650.261004075</v>
      </c>
      <c r="DC225" s="1074"/>
      <c r="DG225" s="1117">
        <f t="shared" si="597"/>
        <v>48983683.126018636</v>
      </c>
      <c r="DH225" s="1118">
        <f t="shared" si="598"/>
        <v>20419014.943166677</v>
      </c>
      <c r="DI225" s="1118">
        <f t="shared" si="599"/>
        <v>1323017.9218478817</v>
      </c>
      <c r="DJ225" s="1118">
        <f t="shared" si="600"/>
        <v>27241650.261004075</v>
      </c>
      <c r="DK225" s="1074"/>
      <c r="DO225" s="1117">
        <f t="shared" si="601"/>
        <v>48983683.126018636</v>
      </c>
      <c r="DP225" s="1118">
        <f t="shared" si="602"/>
        <v>20419014.943166677</v>
      </c>
      <c r="DQ225" s="1118">
        <f t="shared" si="603"/>
        <v>1323017.9218478817</v>
      </c>
      <c r="DR225" s="1118">
        <f t="shared" si="604"/>
        <v>27241650.261004075</v>
      </c>
      <c r="DS225" s="1074"/>
      <c r="DW225" s="1117">
        <f t="shared" si="605"/>
        <v>48983683.126018636</v>
      </c>
      <c r="DX225" s="1118">
        <f t="shared" si="606"/>
        <v>20419014.943166677</v>
      </c>
      <c r="DY225" s="1118">
        <f t="shared" si="607"/>
        <v>1323017.9218478817</v>
      </c>
      <c r="DZ225" s="1118">
        <f t="shared" si="608"/>
        <v>27241650.261004075</v>
      </c>
      <c r="EA225" s="1074"/>
      <c r="EE225" s="1117">
        <f t="shared" si="609"/>
        <v>48983683.126018636</v>
      </c>
      <c r="EF225" s="1118">
        <f t="shared" si="610"/>
        <v>20419014.943166677</v>
      </c>
      <c r="EG225" s="1118">
        <f t="shared" si="611"/>
        <v>1323017.9218478817</v>
      </c>
      <c r="EH225" s="1118">
        <f t="shared" si="612"/>
        <v>27241650.261004075</v>
      </c>
      <c r="EI225" s="1074"/>
      <c r="EM225" s="1117">
        <f t="shared" si="613"/>
        <v>48983683.126018636</v>
      </c>
      <c r="EN225" s="1118">
        <f t="shared" si="614"/>
        <v>20419014.943166677</v>
      </c>
      <c r="EO225" s="1118">
        <f t="shared" si="615"/>
        <v>1323017.9218478817</v>
      </c>
      <c r="EP225" s="1118">
        <f t="shared" si="616"/>
        <v>27241650.261004075</v>
      </c>
      <c r="EQ225" s="1074"/>
      <c r="EU225" s="1117">
        <f t="shared" si="617"/>
        <v>48983683.126018636</v>
      </c>
      <c r="EV225" s="1118">
        <f t="shared" si="618"/>
        <v>20419014.943166677</v>
      </c>
      <c r="EW225" s="1118">
        <f t="shared" si="619"/>
        <v>1323017.9218478817</v>
      </c>
      <c r="EX225" s="1118">
        <f t="shared" si="620"/>
        <v>27241650.261004075</v>
      </c>
      <c r="EY225" s="1074"/>
      <c r="FC225" s="1117">
        <f t="shared" si="621"/>
        <v>48983683.126018636</v>
      </c>
      <c r="FD225" s="1118">
        <f t="shared" si="622"/>
        <v>20419014.943166677</v>
      </c>
      <c r="FE225" s="1118">
        <f t="shared" si="623"/>
        <v>1323017.9218478817</v>
      </c>
      <c r="FF225" s="1118">
        <f t="shared" si="624"/>
        <v>27241650.261004075</v>
      </c>
      <c r="FG225" s="1074"/>
      <c r="FK225" s="1117">
        <f t="shared" si="625"/>
        <v>48983683.126018636</v>
      </c>
      <c r="FL225" s="1118">
        <f t="shared" si="626"/>
        <v>20419014.943166677</v>
      </c>
      <c r="FM225" s="1118">
        <f t="shared" si="627"/>
        <v>1323017.9218478817</v>
      </c>
      <c r="FN225" s="1118">
        <f t="shared" si="628"/>
        <v>27241650.261004075</v>
      </c>
      <c r="FO225" s="1074"/>
    </row>
    <row r="226" spans="1:171" x14ac:dyDescent="0.25">
      <c r="A226" s="1421"/>
      <c r="B226" s="914" t="s">
        <v>467</v>
      </c>
      <c r="C226" s="889" t="s">
        <v>72</v>
      </c>
      <c r="D226" s="889">
        <v>927</v>
      </c>
      <c r="E226" s="182" t="str">
        <f>'Sch 3 - Expenses'!E66</f>
        <v>DIST</v>
      </c>
      <c r="F226" s="890"/>
      <c r="G226" s="182">
        <f>'Sch 3 - Expenses'!G66</f>
        <v>0</v>
      </c>
      <c r="H226" s="182">
        <f>'Sch 3 - Expenses'!H66</f>
        <v>0</v>
      </c>
      <c r="I226" s="182">
        <f>'Sch 3 - Expenses'!I66</f>
        <v>0</v>
      </c>
      <c r="J226" s="1422">
        <f>'Sch 3 - Expenses'!J66</f>
        <v>0</v>
      </c>
      <c r="K226" s="904">
        <f t="shared" si="548"/>
        <v>1</v>
      </c>
      <c r="O226" s="1117">
        <f t="shared" si="549"/>
        <v>0</v>
      </c>
      <c r="P226" s="1118">
        <f t="shared" si="550"/>
        <v>0</v>
      </c>
      <c r="Q226" s="1118">
        <f t="shared" si="551"/>
        <v>0</v>
      </c>
      <c r="R226" s="1118">
        <f t="shared" si="552"/>
        <v>0</v>
      </c>
      <c r="S226" s="1074"/>
      <c r="W226" s="1117">
        <f t="shared" si="553"/>
        <v>0</v>
      </c>
      <c r="X226" s="1118">
        <f t="shared" si="554"/>
        <v>0</v>
      </c>
      <c r="Y226" s="1118">
        <f t="shared" si="555"/>
        <v>0</v>
      </c>
      <c r="Z226" s="1118">
        <f t="shared" si="556"/>
        <v>0</v>
      </c>
      <c r="AA226" s="1074"/>
      <c r="AE226" s="1117">
        <f t="shared" si="557"/>
        <v>0</v>
      </c>
      <c r="AF226" s="1118">
        <f t="shared" si="558"/>
        <v>0</v>
      </c>
      <c r="AG226" s="1118">
        <f t="shared" si="559"/>
        <v>0</v>
      </c>
      <c r="AH226" s="1118">
        <f t="shared" si="560"/>
        <v>0</v>
      </c>
      <c r="AI226" s="1074"/>
      <c r="AM226" s="1117">
        <f t="shared" si="561"/>
        <v>0</v>
      </c>
      <c r="AN226" s="1118">
        <f t="shared" si="562"/>
        <v>0</v>
      </c>
      <c r="AO226" s="1118">
        <f t="shared" si="563"/>
        <v>0</v>
      </c>
      <c r="AP226" s="1118">
        <f t="shared" si="564"/>
        <v>0</v>
      </c>
      <c r="AQ226" s="1074"/>
      <c r="AU226" s="1117">
        <f t="shared" si="565"/>
        <v>0</v>
      </c>
      <c r="AV226" s="1118">
        <f t="shared" si="566"/>
        <v>0</v>
      </c>
      <c r="AW226" s="1118">
        <f t="shared" si="567"/>
        <v>0</v>
      </c>
      <c r="AX226" s="1118">
        <f t="shared" si="568"/>
        <v>0</v>
      </c>
      <c r="AY226" s="1074"/>
      <c r="BC226" s="1117">
        <f t="shared" si="569"/>
        <v>0</v>
      </c>
      <c r="BD226" s="1118">
        <f t="shared" si="570"/>
        <v>0</v>
      </c>
      <c r="BE226" s="1118">
        <f t="shared" si="571"/>
        <v>0</v>
      </c>
      <c r="BF226" s="1118">
        <f t="shared" si="572"/>
        <v>0</v>
      </c>
      <c r="BG226" s="1074"/>
      <c r="BK226" s="1117">
        <f t="shared" si="573"/>
        <v>0</v>
      </c>
      <c r="BL226" s="1118">
        <f t="shared" si="574"/>
        <v>0</v>
      </c>
      <c r="BM226" s="1118">
        <f t="shared" si="575"/>
        <v>0</v>
      </c>
      <c r="BN226" s="1118">
        <f t="shared" si="576"/>
        <v>0</v>
      </c>
      <c r="BO226" s="1074"/>
      <c r="BS226" s="1117">
        <f t="shared" si="577"/>
        <v>0</v>
      </c>
      <c r="BT226" s="1118">
        <f t="shared" si="578"/>
        <v>0</v>
      </c>
      <c r="BU226" s="1118">
        <f t="shared" si="579"/>
        <v>0</v>
      </c>
      <c r="BV226" s="1118">
        <f t="shared" si="580"/>
        <v>0</v>
      </c>
      <c r="BW226" s="1074"/>
      <c r="CA226" s="1117">
        <f t="shared" si="581"/>
        <v>0</v>
      </c>
      <c r="CB226" s="1118">
        <f t="shared" si="582"/>
        <v>0</v>
      </c>
      <c r="CC226" s="1118">
        <f t="shared" si="583"/>
        <v>0</v>
      </c>
      <c r="CD226" s="1118">
        <f t="shared" si="584"/>
        <v>0</v>
      </c>
      <c r="CE226" s="1074"/>
      <c r="CI226" s="1117">
        <f t="shared" si="585"/>
        <v>0</v>
      </c>
      <c r="CJ226" s="1118">
        <f t="shared" si="586"/>
        <v>0</v>
      </c>
      <c r="CK226" s="1118">
        <f t="shared" si="587"/>
        <v>0</v>
      </c>
      <c r="CL226" s="1118">
        <f t="shared" si="588"/>
        <v>0</v>
      </c>
      <c r="CM226" s="1074"/>
      <c r="CQ226" s="1117">
        <f t="shared" si="589"/>
        <v>0</v>
      </c>
      <c r="CR226" s="1118">
        <f t="shared" si="590"/>
        <v>0</v>
      </c>
      <c r="CS226" s="1118">
        <f t="shared" si="591"/>
        <v>0</v>
      </c>
      <c r="CT226" s="1118">
        <f t="shared" si="592"/>
        <v>0</v>
      </c>
      <c r="CU226" s="1074"/>
      <c r="CY226" s="1117">
        <f t="shared" si="593"/>
        <v>0</v>
      </c>
      <c r="CZ226" s="1118">
        <f t="shared" si="594"/>
        <v>0</v>
      </c>
      <c r="DA226" s="1118">
        <f t="shared" si="595"/>
        <v>0</v>
      </c>
      <c r="DB226" s="1118">
        <f t="shared" si="596"/>
        <v>0</v>
      </c>
      <c r="DC226" s="1074"/>
      <c r="DG226" s="1117">
        <f t="shared" si="597"/>
        <v>0</v>
      </c>
      <c r="DH226" s="1118">
        <f t="shared" si="598"/>
        <v>0</v>
      </c>
      <c r="DI226" s="1118">
        <f t="shared" si="599"/>
        <v>0</v>
      </c>
      <c r="DJ226" s="1118">
        <f t="shared" si="600"/>
        <v>0</v>
      </c>
      <c r="DK226" s="1074"/>
      <c r="DO226" s="1117">
        <f t="shared" si="601"/>
        <v>0</v>
      </c>
      <c r="DP226" s="1118">
        <f t="shared" si="602"/>
        <v>0</v>
      </c>
      <c r="DQ226" s="1118">
        <f t="shared" si="603"/>
        <v>0</v>
      </c>
      <c r="DR226" s="1118">
        <f t="shared" si="604"/>
        <v>0</v>
      </c>
      <c r="DS226" s="1074"/>
      <c r="DW226" s="1117">
        <f t="shared" si="605"/>
        <v>0</v>
      </c>
      <c r="DX226" s="1118">
        <f t="shared" si="606"/>
        <v>0</v>
      </c>
      <c r="DY226" s="1118">
        <f t="shared" si="607"/>
        <v>0</v>
      </c>
      <c r="DZ226" s="1118">
        <f t="shared" si="608"/>
        <v>0</v>
      </c>
      <c r="EA226" s="1074"/>
      <c r="EE226" s="1117">
        <f t="shared" si="609"/>
        <v>0</v>
      </c>
      <c r="EF226" s="1118">
        <f t="shared" si="610"/>
        <v>0</v>
      </c>
      <c r="EG226" s="1118">
        <f t="shared" si="611"/>
        <v>0</v>
      </c>
      <c r="EH226" s="1118">
        <f t="shared" si="612"/>
        <v>0</v>
      </c>
      <c r="EI226" s="1074"/>
      <c r="EM226" s="1117">
        <f t="shared" si="613"/>
        <v>0</v>
      </c>
      <c r="EN226" s="1118">
        <f t="shared" si="614"/>
        <v>0</v>
      </c>
      <c r="EO226" s="1118">
        <f t="shared" si="615"/>
        <v>0</v>
      </c>
      <c r="EP226" s="1118">
        <f t="shared" si="616"/>
        <v>0</v>
      </c>
      <c r="EQ226" s="1074"/>
      <c r="EU226" s="1117">
        <f t="shared" si="617"/>
        <v>0</v>
      </c>
      <c r="EV226" s="1118">
        <f t="shared" si="618"/>
        <v>0</v>
      </c>
      <c r="EW226" s="1118">
        <f t="shared" si="619"/>
        <v>0</v>
      </c>
      <c r="EX226" s="1118">
        <f t="shared" si="620"/>
        <v>0</v>
      </c>
      <c r="EY226" s="1074"/>
      <c r="FC226" s="1117">
        <f t="shared" si="621"/>
        <v>0</v>
      </c>
      <c r="FD226" s="1118">
        <f t="shared" si="622"/>
        <v>0</v>
      </c>
      <c r="FE226" s="1118">
        <f t="shared" si="623"/>
        <v>0</v>
      </c>
      <c r="FF226" s="1118">
        <f t="shared" si="624"/>
        <v>0</v>
      </c>
      <c r="FG226" s="1074"/>
      <c r="FK226" s="1117">
        <f t="shared" si="625"/>
        <v>0</v>
      </c>
      <c r="FL226" s="1118">
        <f t="shared" si="626"/>
        <v>0</v>
      </c>
      <c r="FM226" s="1118">
        <f t="shared" si="627"/>
        <v>0</v>
      </c>
      <c r="FN226" s="1118">
        <f t="shared" si="628"/>
        <v>0</v>
      </c>
      <c r="FO226" s="1074"/>
    </row>
    <row r="227" spans="1:171" x14ac:dyDescent="0.25">
      <c r="A227" s="1421"/>
      <c r="B227" s="914" t="s">
        <v>469</v>
      </c>
      <c r="C227" s="889" t="s">
        <v>72</v>
      </c>
      <c r="D227" s="889">
        <v>928</v>
      </c>
      <c r="E227" s="182" t="str">
        <f>'Sch 3 - Expenses'!E67</f>
        <v>DIST</v>
      </c>
      <c r="F227" s="890"/>
      <c r="G227" s="182">
        <f>'Sch 3 - Expenses'!G67</f>
        <v>15830390.456935205</v>
      </c>
      <c r="H227" s="182">
        <f>'Sch 3 - Expenses'!H67</f>
        <v>0</v>
      </c>
      <c r="I227" s="182">
        <f>'Sch 3 - Expenses'!I67</f>
        <v>0</v>
      </c>
      <c r="J227" s="1422">
        <f>'Sch 3 - Expenses'!J67</f>
        <v>15830390.456935205</v>
      </c>
      <c r="K227" s="904">
        <f t="shared" si="548"/>
        <v>1</v>
      </c>
      <c r="O227" s="1117">
        <f t="shared" si="549"/>
        <v>15830390.456935205</v>
      </c>
      <c r="P227" s="1118">
        <f t="shared" si="550"/>
        <v>0</v>
      </c>
      <c r="Q227" s="1118">
        <f t="shared" si="551"/>
        <v>0</v>
      </c>
      <c r="R227" s="1118">
        <f t="shared" si="552"/>
        <v>15830390.456935205</v>
      </c>
      <c r="S227" s="1074"/>
      <c r="W227" s="1117">
        <f t="shared" si="553"/>
        <v>15830390.456935205</v>
      </c>
      <c r="X227" s="1118">
        <f t="shared" si="554"/>
        <v>0</v>
      </c>
      <c r="Y227" s="1118">
        <f t="shared" si="555"/>
        <v>0</v>
      </c>
      <c r="Z227" s="1118">
        <f t="shared" si="556"/>
        <v>15830390.456935205</v>
      </c>
      <c r="AA227" s="1074"/>
      <c r="AE227" s="1117">
        <f t="shared" si="557"/>
        <v>15830390.456935205</v>
      </c>
      <c r="AF227" s="1118">
        <f t="shared" si="558"/>
        <v>0</v>
      </c>
      <c r="AG227" s="1118">
        <f t="shared" si="559"/>
        <v>0</v>
      </c>
      <c r="AH227" s="1118">
        <f t="shared" si="560"/>
        <v>15830390.456935205</v>
      </c>
      <c r="AI227" s="1074"/>
      <c r="AM227" s="1117">
        <f t="shared" si="561"/>
        <v>15830390.456935205</v>
      </c>
      <c r="AN227" s="1118">
        <f t="shared" si="562"/>
        <v>0</v>
      </c>
      <c r="AO227" s="1118">
        <f t="shared" si="563"/>
        <v>0</v>
      </c>
      <c r="AP227" s="1118">
        <f t="shared" si="564"/>
        <v>15830390.456935205</v>
      </c>
      <c r="AQ227" s="1074"/>
      <c r="AU227" s="1117">
        <f t="shared" si="565"/>
        <v>15830390.456935205</v>
      </c>
      <c r="AV227" s="1118">
        <f t="shared" si="566"/>
        <v>0</v>
      </c>
      <c r="AW227" s="1118">
        <f t="shared" si="567"/>
        <v>0</v>
      </c>
      <c r="AX227" s="1118">
        <f t="shared" si="568"/>
        <v>15830390.456935205</v>
      </c>
      <c r="AY227" s="1074"/>
      <c r="BC227" s="1117">
        <f t="shared" si="569"/>
        <v>15830390.456935205</v>
      </c>
      <c r="BD227" s="1118">
        <f t="shared" si="570"/>
        <v>0</v>
      </c>
      <c r="BE227" s="1118">
        <f t="shared" si="571"/>
        <v>0</v>
      </c>
      <c r="BF227" s="1118">
        <f t="shared" si="572"/>
        <v>15830390.456935205</v>
      </c>
      <c r="BG227" s="1074"/>
      <c r="BK227" s="1117">
        <f t="shared" si="573"/>
        <v>15830390.456935205</v>
      </c>
      <c r="BL227" s="1118">
        <f t="shared" si="574"/>
        <v>0</v>
      </c>
      <c r="BM227" s="1118">
        <f t="shared" si="575"/>
        <v>0</v>
      </c>
      <c r="BN227" s="1118">
        <f t="shared" si="576"/>
        <v>15830390.456935205</v>
      </c>
      <c r="BO227" s="1074"/>
      <c r="BS227" s="1117">
        <f t="shared" si="577"/>
        <v>15830390.456935205</v>
      </c>
      <c r="BT227" s="1118">
        <f t="shared" si="578"/>
        <v>0</v>
      </c>
      <c r="BU227" s="1118">
        <f t="shared" si="579"/>
        <v>0</v>
      </c>
      <c r="BV227" s="1118">
        <f t="shared" si="580"/>
        <v>15830390.456935205</v>
      </c>
      <c r="BW227" s="1074"/>
      <c r="CA227" s="1117">
        <f t="shared" si="581"/>
        <v>15830390.456935205</v>
      </c>
      <c r="CB227" s="1118">
        <f t="shared" si="582"/>
        <v>0</v>
      </c>
      <c r="CC227" s="1118">
        <f t="shared" si="583"/>
        <v>0</v>
      </c>
      <c r="CD227" s="1118">
        <f t="shared" si="584"/>
        <v>15830390.456935205</v>
      </c>
      <c r="CE227" s="1074"/>
      <c r="CI227" s="1117">
        <f t="shared" si="585"/>
        <v>15830390.456935205</v>
      </c>
      <c r="CJ227" s="1118">
        <f t="shared" si="586"/>
        <v>0</v>
      </c>
      <c r="CK227" s="1118">
        <f t="shared" si="587"/>
        <v>0</v>
      </c>
      <c r="CL227" s="1118">
        <f t="shared" si="588"/>
        <v>15830390.456935205</v>
      </c>
      <c r="CM227" s="1074"/>
      <c r="CQ227" s="1117">
        <f t="shared" si="589"/>
        <v>15830390.456935205</v>
      </c>
      <c r="CR227" s="1118">
        <f t="shared" si="590"/>
        <v>0</v>
      </c>
      <c r="CS227" s="1118">
        <f t="shared" si="591"/>
        <v>0</v>
      </c>
      <c r="CT227" s="1118">
        <f t="shared" si="592"/>
        <v>15830390.456935205</v>
      </c>
      <c r="CU227" s="1074"/>
      <c r="CY227" s="1117">
        <f t="shared" si="593"/>
        <v>15830390.456935205</v>
      </c>
      <c r="CZ227" s="1118">
        <f t="shared" si="594"/>
        <v>0</v>
      </c>
      <c r="DA227" s="1118">
        <f t="shared" si="595"/>
        <v>0</v>
      </c>
      <c r="DB227" s="1118">
        <f t="shared" si="596"/>
        <v>15830390.456935205</v>
      </c>
      <c r="DC227" s="1074"/>
      <c r="DG227" s="1117">
        <f t="shared" si="597"/>
        <v>15830390.456935205</v>
      </c>
      <c r="DH227" s="1118">
        <f t="shared" si="598"/>
        <v>0</v>
      </c>
      <c r="DI227" s="1118">
        <f t="shared" si="599"/>
        <v>0</v>
      </c>
      <c r="DJ227" s="1118">
        <f t="shared" si="600"/>
        <v>15830390.456935205</v>
      </c>
      <c r="DK227" s="1074"/>
      <c r="DO227" s="1117">
        <f t="shared" si="601"/>
        <v>15830390.456935205</v>
      </c>
      <c r="DP227" s="1118">
        <f t="shared" si="602"/>
        <v>0</v>
      </c>
      <c r="DQ227" s="1118">
        <f t="shared" si="603"/>
        <v>0</v>
      </c>
      <c r="DR227" s="1118">
        <f t="shared" si="604"/>
        <v>15830390.456935205</v>
      </c>
      <c r="DS227" s="1074"/>
      <c r="DW227" s="1117">
        <f t="shared" si="605"/>
        <v>15830390.456935205</v>
      </c>
      <c r="DX227" s="1118">
        <f t="shared" si="606"/>
        <v>0</v>
      </c>
      <c r="DY227" s="1118">
        <f t="shared" si="607"/>
        <v>0</v>
      </c>
      <c r="DZ227" s="1118">
        <f t="shared" si="608"/>
        <v>15830390.456935205</v>
      </c>
      <c r="EA227" s="1074"/>
      <c r="EE227" s="1117">
        <f t="shared" si="609"/>
        <v>15830390.456935205</v>
      </c>
      <c r="EF227" s="1118">
        <f t="shared" si="610"/>
        <v>0</v>
      </c>
      <c r="EG227" s="1118">
        <f t="shared" si="611"/>
        <v>0</v>
      </c>
      <c r="EH227" s="1118">
        <f t="shared" si="612"/>
        <v>15830390.456935205</v>
      </c>
      <c r="EI227" s="1074"/>
      <c r="EM227" s="1117">
        <f t="shared" si="613"/>
        <v>15830390.456935205</v>
      </c>
      <c r="EN227" s="1118">
        <f t="shared" si="614"/>
        <v>0</v>
      </c>
      <c r="EO227" s="1118">
        <f t="shared" si="615"/>
        <v>0</v>
      </c>
      <c r="EP227" s="1118">
        <f t="shared" si="616"/>
        <v>15830390.456935205</v>
      </c>
      <c r="EQ227" s="1074"/>
      <c r="EU227" s="1117">
        <f t="shared" si="617"/>
        <v>15830390.456935205</v>
      </c>
      <c r="EV227" s="1118">
        <f t="shared" si="618"/>
        <v>0</v>
      </c>
      <c r="EW227" s="1118">
        <f t="shared" si="619"/>
        <v>0</v>
      </c>
      <c r="EX227" s="1118">
        <f t="shared" si="620"/>
        <v>15830390.456935205</v>
      </c>
      <c r="EY227" s="1074"/>
      <c r="FC227" s="1117">
        <f t="shared" si="621"/>
        <v>15830390.456935205</v>
      </c>
      <c r="FD227" s="1118">
        <f t="shared" si="622"/>
        <v>0</v>
      </c>
      <c r="FE227" s="1118">
        <f t="shared" si="623"/>
        <v>0</v>
      </c>
      <c r="FF227" s="1118">
        <f t="shared" si="624"/>
        <v>15830390.456935205</v>
      </c>
      <c r="FG227" s="1074"/>
      <c r="FK227" s="1117">
        <f t="shared" si="625"/>
        <v>15830390.456935205</v>
      </c>
      <c r="FL227" s="1118">
        <f t="shared" si="626"/>
        <v>0</v>
      </c>
      <c r="FM227" s="1118">
        <f t="shared" si="627"/>
        <v>0</v>
      </c>
      <c r="FN227" s="1118">
        <f t="shared" si="628"/>
        <v>15830390.456935205</v>
      </c>
      <c r="FO227" s="1074"/>
    </row>
    <row r="228" spans="1:171" x14ac:dyDescent="0.25">
      <c r="A228" s="1421"/>
      <c r="B228" s="914" t="s">
        <v>168</v>
      </c>
      <c r="C228" s="889" t="s">
        <v>72</v>
      </c>
      <c r="D228" s="889">
        <v>929</v>
      </c>
      <c r="E228" s="182" t="str">
        <f>'Sch 3 - Expenses'!E68</f>
        <v>PTDG</v>
      </c>
      <c r="F228" s="890"/>
      <c r="G228" s="182">
        <f>'Sch 3 - Expenses'!G68</f>
        <v>58868042.536690846</v>
      </c>
      <c r="H228" s="182">
        <f>'Sch 3 - Expenses'!H68</f>
        <v>25573131.364355773</v>
      </c>
      <c r="I228" s="182">
        <f>'Sch 3 - Expenses'!I68</f>
        <v>0</v>
      </c>
      <c r="J228" s="1422">
        <f>'Sch 3 - Expenses'!J68</f>
        <v>33300802.340501122</v>
      </c>
      <c r="K228" s="904">
        <f t="shared" si="548"/>
        <v>1</v>
      </c>
      <c r="O228" s="1117">
        <f t="shared" si="549"/>
        <v>58868042.536690846</v>
      </c>
      <c r="P228" s="1118">
        <f t="shared" si="550"/>
        <v>25573131.364355773</v>
      </c>
      <c r="Q228" s="1118">
        <f t="shared" si="551"/>
        <v>14899561.630298913</v>
      </c>
      <c r="R228" s="1118">
        <f t="shared" si="552"/>
        <v>18395349.542036157</v>
      </c>
      <c r="S228" s="1074"/>
      <c r="W228" s="1117">
        <f t="shared" si="553"/>
        <v>58868042.536690846</v>
      </c>
      <c r="X228" s="1118">
        <f t="shared" si="554"/>
        <v>25573131.364355773</v>
      </c>
      <c r="Y228" s="1118">
        <f t="shared" si="555"/>
        <v>14899561.630298913</v>
      </c>
      <c r="Z228" s="1118">
        <f t="shared" si="556"/>
        <v>18395349.542036157</v>
      </c>
      <c r="AA228" s="1074"/>
      <c r="AE228" s="1117">
        <f t="shared" si="557"/>
        <v>58868042.536690846</v>
      </c>
      <c r="AF228" s="1118">
        <f t="shared" si="558"/>
        <v>25573131.364355773</v>
      </c>
      <c r="AG228" s="1118">
        <f t="shared" si="559"/>
        <v>14899561.630298913</v>
      </c>
      <c r="AH228" s="1118">
        <f t="shared" si="560"/>
        <v>18395349.542036157</v>
      </c>
      <c r="AI228" s="1074"/>
      <c r="AM228" s="1117">
        <f t="shared" si="561"/>
        <v>58868042.536690846</v>
      </c>
      <c r="AN228" s="1118">
        <f t="shared" si="562"/>
        <v>25573131.364355773</v>
      </c>
      <c r="AO228" s="1118">
        <f t="shared" si="563"/>
        <v>14899561.630298913</v>
      </c>
      <c r="AP228" s="1118">
        <f t="shared" si="564"/>
        <v>18395349.542036157</v>
      </c>
      <c r="AQ228" s="1074"/>
      <c r="AU228" s="1117">
        <f t="shared" si="565"/>
        <v>58868042.536690846</v>
      </c>
      <c r="AV228" s="1118">
        <f t="shared" si="566"/>
        <v>25573131.364355773</v>
      </c>
      <c r="AW228" s="1118">
        <f t="shared" si="567"/>
        <v>14899561.630298913</v>
      </c>
      <c r="AX228" s="1118">
        <f t="shared" si="568"/>
        <v>18395349.542036157</v>
      </c>
      <c r="AY228" s="1074"/>
      <c r="BC228" s="1117">
        <f t="shared" si="569"/>
        <v>58868042.536690846</v>
      </c>
      <c r="BD228" s="1118">
        <f t="shared" si="570"/>
        <v>25573131.364355773</v>
      </c>
      <c r="BE228" s="1118">
        <f t="shared" si="571"/>
        <v>14899561.630298913</v>
      </c>
      <c r="BF228" s="1118">
        <f t="shared" si="572"/>
        <v>18395349.542036157</v>
      </c>
      <c r="BG228" s="1074"/>
      <c r="BK228" s="1117">
        <f t="shared" si="573"/>
        <v>58868042.536690846</v>
      </c>
      <c r="BL228" s="1118">
        <f t="shared" si="574"/>
        <v>25573131.364355773</v>
      </c>
      <c r="BM228" s="1118">
        <f t="shared" si="575"/>
        <v>14899561.630298913</v>
      </c>
      <c r="BN228" s="1118">
        <f t="shared" si="576"/>
        <v>18395349.542036157</v>
      </c>
      <c r="BO228" s="1074"/>
      <c r="BS228" s="1117">
        <f t="shared" si="577"/>
        <v>58868042.536690846</v>
      </c>
      <c r="BT228" s="1118">
        <f t="shared" si="578"/>
        <v>25573131.364355773</v>
      </c>
      <c r="BU228" s="1118">
        <f t="shared" si="579"/>
        <v>14899561.630298913</v>
      </c>
      <c r="BV228" s="1118">
        <f t="shared" si="580"/>
        <v>18395349.542036157</v>
      </c>
      <c r="BW228" s="1074"/>
      <c r="CA228" s="1117">
        <f t="shared" si="581"/>
        <v>58868042.536690846</v>
      </c>
      <c r="CB228" s="1118">
        <f t="shared" si="582"/>
        <v>25573131.364355773</v>
      </c>
      <c r="CC228" s="1118">
        <f t="shared" si="583"/>
        <v>14899561.630298913</v>
      </c>
      <c r="CD228" s="1118">
        <f t="shared" si="584"/>
        <v>18395349.542036157</v>
      </c>
      <c r="CE228" s="1074"/>
      <c r="CI228" s="1117">
        <f t="shared" si="585"/>
        <v>58868042.536690846</v>
      </c>
      <c r="CJ228" s="1118">
        <f t="shared" si="586"/>
        <v>25573131.364355773</v>
      </c>
      <c r="CK228" s="1118">
        <f t="shared" si="587"/>
        <v>14899561.630298913</v>
      </c>
      <c r="CL228" s="1118">
        <f t="shared" si="588"/>
        <v>18395349.542036157</v>
      </c>
      <c r="CM228" s="1074"/>
      <c r="CQ228" s="1117">
        <f t="shared" si="589"/>
        <v>58868042.536690846</v>
      </c>
      <c r="CR228" s="1118">
        <f t="shared" si="590"/>
        <v>25573131.364355773</v>
      </c>
      <c r="CS228" s="1118">
        <f t="shared" si="591"/>
        <v>14899561.630298913</v>
      </c>
      <c r="CT228" s="1118">
        <f t="shared" si="592"/>
        <v>18395349.542036157</v>
      </c>
      <c r="CU228" s="1074"/>
      <c r="CY228" s="1117">
        <f t="shared" si="593"/>
        <v>58868042.536690846</v>
      </c>
      <c r="CZ228" s="1118">
        <f t="shared" si="594"/>
        <v>25573131.364355773</v>
      </c>
      <c r="DA228" s="1118">
        <f t="shared" si="595"/>
        <v>14899561.630298913</v>
      </c>
      <c r="DB228" s="1118">
        <f t="shared" si="596"/>
        <v>18395349.542036157</v>
      </c>
      <c r="DC228" s="1074"/>
      <c r="DG228" s="1117">
        <f t="shared" si="597"/>
        <v>58868042.536690846</v>
      </c>
      <c r="DH228" s="1118">
        <f t="shared" si="598"/>
        <v>25573131.364355773</v>
      </c>
      <c r="DI228" s="1118">
        <f t="shared" si="599"/>
        <v>14899561.630298913</v>
      </c>
      <c r="DJ228" s="1118">
        <f t="shared" si="600"/>
        <v>18395349.542036157</v>
      </c>
      <c r="DK228" s="1074"/>
      <c r="DO228" s="1117">
        <f t="shared" si="601"/>
        <v>58868042.536690846</v>
      </c>
      <c r="DP228" s="1118">
        <f t="shared" si="602"/>
        <v>25573131.364355773</v>
      </c>
      <c r="DQ228" s="1118">
        <f t="shared" si="603"/>
        <v>14899561.630298913</v>
      </c>
      <c r="DR228" s="1118">
        <f t="shared" si="604"/>
        <v>18395349.542036157</v>
      </c>
      <c r="DS228" s="1074"/>
      <c r="DW228" s="1117">
        <f t="shared" si="605"/>
        <v>58868042.536690846</v>
      </c>
      <c r="DX228" s="1118">
        <f t="shared" si="606"/>
        <v>25573131.364355773</v>
      </c>
      <c r="DY228" s="1118">
        <f t="shared" si="607"/>
        <v>14899561.630298913</v>
      </c>
      <c r="DZ228" s="1118">
        <f t="shared" si="608"/>
        <v>18395349.542036157</v>
      </c>
      <c r="EA228" s="1074"/>
      <c r="EE228" s="1117">
        <f t="shared" si="609"/>
        <v>58868042.536690846</v>
      </c>
      <c r="EF228" s="1118">
        <f t="shared" si="610"/>
        <v>25573131.364355773</v>
      </c>
      <c r="EG228" s="1118">
        <f t="shared" si="611"/>
        <v>14899561.630298913</v>
      </c>
      <c r="EH228" s="1118">
        <f t="shared" si="612"/>
        <v>18395349.542036157</v>
      </c>
      <c r="EI228" s="1074"/>
      <c r="EM228" s="1117">
        <f t="shared" si="613"/>
        <v>58868042.536690846</v>
      </c>
      <c r="EN228" s="1118">
        <f t="shared" si="614"/>
        <v>25573131.364355773</v>
      </c>
      <c r="EO228" s="1118">
        <f t="shared" si="615"/>
        <v>14899561.630298913</v>
      </c>
      <c r="EP228" s="1118">
        <f t="shared" si="616"/>
        <v>18395349.542036157</v>
      </c>
      <c r="EQ228" s="1074"/>
      <c r="EU228" s="1117">
        <f t="shared" si="617"/>
        <v>58868042.536690846</v>
      </c>
      <c r="EV228" s="1118">
        <f t="shared" si="618"/>
        <v>25573131.364355773</v>
      </c>
      <c r="EW228" s="1118">
        <f t="shared" si="619"/>
        <v>14899561.630298913</v>
      </c>
      <c r="EX228" s="1118">
        <f t="shared" si="620"/>
        <v>18395349.542036157</v>
      </c>
      <c r="EY228" s="1074"/>
      <c r="FC228" s="1117">
        <f t="shared" si="621"/>
        <v>58868042.536690846</v>
      </c>
      <c r="FD228" s="1118">
        <f t="shared" si="622"/>
        <v>25573131.364355773</v>
      </c>
      <c r="FE228" s="1118">
        <f t="shared" si="623"/>
        <v>14899561.630298913</v>
      </c>
      <c r="FF228" s="1118">
        <f t="shared" si="624"/>
        <v>18395349.542036157</v>
      </c>
      <c r="FG228" s="1074"/>
      <c r="FK228" s="1117">
        <f t="shared" si="625"/>
        <v>58868042.536690846</v>
      </c>
      <c r="FL228" s="1118">
        <f t="shared" si="626"/>
        <v>25573131.364355773</v>
      </c>
      <c r="FM228" s="1118">
        <f t="shared" si="627"/>
        <v>14899561.630298913</v>
      </c>
      <c r="FN228" s="1118">
        <f t="shared" si="628"/>
        <v>18395349.542036157</v>
      </c>
      <c r="FO228" s="1074"/>
    </row>
    <row r="229" spans="1:171" x14ac:dyDescent="0.25">
      <c r="A229" s="1421"/>
      <c r="B229" s="914" t="s">
        <v>169</v>
      </c>
      <c r="C229" s="889" t="s">
        <v>72</v>
      </c>
      <c r="D229" s="889">
        <v>930.1</v>
      </c>
      <c r="E229" s="182" t="str">
        <f>'Sch 3 - Expenses'!E69</f>
        <v>DIST</v>
      </c>
      <c r="F229" s="890"/>
      <c r="G229" s="182">
        <f>'Sch 3 - Expenses'!G69</f>
        <v>19956.572503887328</v>
      </c>
      <c r="H229" s="182">
        <f>'Sch 3 - Expenses'!H69</f>
        <v>0</v>
      </c>
      <c r="I229" s="182">
        <f>'Sch 3 - Expenses'!I69</f>
        <v>0</v>
      </c>
      <c r="J229" s="1422">
        <f>'Sch 3 - Expenses'!J69</f>
        <v>19956.572503887328</v>
      </c>
      <c r="K229" s="904">
        <f t="shared" si="548"/>
        <v>1</v>
      </c>
      <c r="O229" s="1117">
        <f t="shared" si="549"/>
        <v>19956.572503887328</v>
      </c>
      <c r="P229" s="1118">
        <f t="shared" si="550"/>
        <v>0</v>
      </c>
      <c r="Q229" s="1118">
        <f t="shared" si="551"/>
        <v>0</v>
      </c>
      <c r="R229" s="1118">
        <f t="shared" si="552"/>
        <v>19956.572503887328</v>
      </c>
      <c r="S229" s="1074"/>
      <c r="W229" s="1117">
        <f t="shared" si="553"/>
        <v>19956.572503887328</v>
      </c>
      <c r="X229" s="1118">
        <f t="shared" si="554"/>
        <v>0</v>
      </c>
      <c r="Y229" s="1118">
        <f t="shared" si="555"/>
        <v>0</v>
      </c>
      <c r="Z229" s="1118">
        <f t="shared" si="556"/>
        <v>19956.572503887328</v>
      </c>
      <c r="AA229" s="1074"/>
      <c r="AE229" s="1117">
        <f t="shared" si="557"/>
        <v>19956.572503887328</v>
      </c>
      <c r="AF229" s="1118">
        <f t="shared" si="558"/>
        <v>0</v>
      </c>
      <c r="AG229" s="1118">
        <f t="shared" si="559"/>
        <v>0</v>
      </c>
      <c r="AH229" s="1118">
        <f t="shared" si="560"/>
        <v>19956.572503887328</v>
      </c>
      <c r="AI229" s="1074"/>
      <c r="AM229" s="1117">
        <f t="shared" si="561"/>
        <v>19956.572503887328</v>
      </c>
      <c r="AN229" s="1118">
        <f t="shared" si="562"/>
        <v>0</v>
      </c>
      <c r="AO229" s="1118">
        <f t="shared" si="563"/>
        <v>0</v>
      </c>
      <c r="AP229" s="1118">
        <f t="shared" si="564"/>
        <v>19956.572503887328</v>
      </c>
      <c r="AQ229" s="1074"/>
      <c r="AU229" s="1117">
        <f t="shared" si="565"/>
        <v>19956.572503887328</v>
      </c>
      <c r="AV229" s="1118">
        <f t="shared" si="566"/>
        <v>0</v>
      </c>
      <c r="AW229" s="1118">
        <f t="shared" si="567"/>
        <v>0</v>
      </c>
      <c r="AX229" s="1118">
        <f t="shared" si="568"/>
        <v>19956.572503887328</v>
      </c>
      <c r="AY229" s="1074"/>
      <c r="BC229" s="1117">
        <f t="shared" si="569"/>
        <v>19956.572503887328</v>
      </c>
      <c r="BD229" s="1118">
        <f t="shared" si="570"/>
        <v>0</v>
      </c>
      <c r="BE229" s="1118">
        <f t="shared" si="571"/>
        <v>0</v>
      </c>
      <c r="BF229" s="1118">
        <f t="shared" si="572"/>
        <v>19956.572503887328</v>
      </c>
      <c r="BG229" s="1074"/>
      <c r="BK229" s="1117">
        <f t="shared" si="573"/>
        <v>19956.572503887328</v>
      </c>
      <c r="BL229" s="1118">
        <f t="shared" si="574"/>
        <v>0</v>
      </c>
      <c r="BM229" s="1118">
        <f t="shared" si="575"/>
        <v>0</v>
      </c>
      <c r="BN229" s="1118">
        <f t="shared" si="576"/>
        <v>19956.572503887328</v>
      </c>
      <c r="BO229" s="1074"/>
      <c r="BS229" s="1117">
        <f t="shared" si="577"/>
        <v>19956.572503887328</v>
      </c>
      <c r="BT229" s="1118">
        <f t="shared" si="578"/>
        <v>0</v>
      </c>
      <c r="BU229" s="1118">
        <f t="shared" si="579"/>
        <v>0</v>
      </c>
      <c r="BV229" s="1118">
        <f t="shared" si="580"/>
        <v>19956.572503887328</v>
      </c>
      <c r="BW229" s="1074"/>
      <c r="CA229" s="1117">
        <f t="shared" si="581"/>
        <v>19956.572503887328</v>
      </c>
      <c r="CB229" s="1118">
        <f t="shared" si="582"/>
        <v>0</v>
      </c>
      <c r="CC229" s="1118">
        <f t="shared" si="583"/>
        <v>0</v>
      </c>
      <c r="CD229" s="1118">
        <f t="shared" si="584"/>
        <v>19956.572503887328</v>
      </c>
      <c r="CE229" s="1074"/>
      <c r="CI229" s="1117">
        <f t="shared" si="585"/>
        <v>19956.572503887328</v>
      </c>
      <c r="CJ229" s="1118">
        <f t="shared" si="586"/>
        <v>0</v>
      </c>
      <c r="CK229" s="1118">
        <f t="shared" si="587"/>
        <v>0</v>
      </c>
      <c r="CL229" s="1118">
        <f t="shared" si="588"/>
        <v>19956.572503887328</v>
      </c>
      <c r="CM229" s="1074"/>
      <c r="CQ229" s="1117">
        <f t="shared" si="589"/>
        <v>19956.572503887328</v>
      </c>
      <c r="CR229" s="1118">
        <f t="shared" si="590"/>
        <v>0</v>
      </c>
      <c r="CS229" s="1118">
        <f t="shared" si="591"/>
        <v>0</v>
      </c>
      <c r="CT229" s="1118">
        <f t="shared" si="592"/>
        <v>19956.572503887328</v>
      </c>
      <c r="CU229" s="1074"/>
      <c r="CY229" s="1117">
        <f t="shared" si="593"/>
        <v>19956.572503887328</v>
      </c>
      <c r="CZ229" s="1118">
        <f t="shared" si="594"/>
        <v>0</v>
      </c>
      <c r="DA229" s="1118">
        <f t="shared" si="595"/>
        <v>0</v>
      </c>
      <c r="DB229" s="1118">
        <f t="shared" si="596"/>
        <v>19956.572503887328</v>
      </c>
      <c r="DC229" s="1074"/>
      <c r="DG229" s="1117">
        <f t="shared" si="597"/>
        <v>19956.572503887328</v>
      </c>
      <c r="DH229" s="1118">
        <f t="shared" si="598"/>
        <v>0</v>
      </c>
      <c r="DI229" s="1118">
        <f t="shared" si="599"/>
        <v>0</v>
      </c>
      <c r="DJ229" s="1118">
        <f t="shared" si="600"/>
        <v>19956.572503887328</v>
      </c>
      <c r="DK229" s="1074"/>
      <c r="DO229" s="1117">
        <f t="shared" si="601"/>
        <v>19956.572503887328</v>
      </c>
      <c r="DP229" s="1118">
        <f t="shared" si="602"/>
        <v>0</v>
      </c>
      <c r="DQ229" s="1118">
        <f t="shared" si="603"/>
        <v>0</v>
      </c>
      <c r="DR229" s="1118">
        <f t="shared" si="604"/>
        <v>19956.572503887328</v>
      </c>
      <c r="DS229" s="1074"/>
      <c r="DW229" s="1117">
        <f t="shared" si="605"/>
        <v>19956.572503887328</v>
      </c>
      <c r="DX229" s="1118">
        <f t="shared" si="606"/>
        <v>0</v>
      </c>
      <c r="DY229" s="1118">
        <f t="shared" si="607"/>
        <v>0</v>
      </c>
      <c r="DZ229" s="1118">
        <f t="shared" si="608"/>
        <v>19956.572503887328</v>
      </c>
      <c r="EA229" s="1074"/>
      <c r="EE229" s="1117">
        <f t="shared" si="609"/>
        <v>19956.572503887328</v>
      </c>
      <c r="EF229" s="1118">
        <f t="shared" si="610"/>
        <v>0</v>
      </c>
      <c r="EG229" s="1118">
        <f t="shared" si="611"/>
        <v>0</v>
      </c>
      <c r="EH229" s="1118">
        <f t="shared" si="612"/>
        <v>19956.572503887328</v>
      </c>
      <c r="EI229" s="1074"/>
      <c r="EM229" s="1117">
        <f t="shared" si="613"/>
        <v>19956.572503887328</v>
      </c>
      <c r="EN229" s="1118">
        <f t="shared" si="614"/>
        <v>0</v>
      </c>
      <c r="EO229" s="1118">
        <f t="shared" si="615"/>
        <v>0</v>
      </c>
      <c r="EP229" s="1118">
        <f t="shared" si="616"/>
        <v>19956.572503887328</v>
      </c>
      <c r="EQ229" s="1074"/>
      <c r="EU229" s="1117">
        <f t="shared" si="617"/>
        <v>19956.572503887328</v>
      </c>
      <c r="EV229" s="1118">
        <f t="shared" si="618"/>
        <v>0</v>
      </c>
      <c r="EW229" s="1118">
        <f t="shared" si="619"/>
        <v>0</v>
      </c>
      <c r="EX229" s="1118">
        <f t="shared" si="620"/>
        <v>19956.572503887328</v>
      </c>
      <c r="EY229" s="1074"/>
      <c r="FC229" s="1117">
        <f t="shared" si="621"/>
        <v>19956.572503887328</v>
      </c>
      <c r="FD229" s="1118">
        <f t="shared" si="622"/>
        <v>0</v>
      </c>
      <c r="FE229" s="1118">
        <f t="shared" si="623"/>
        <v>0</v>
      </c>
      <c r="FF229" s="1118">
        <f t="shared" si="624"/>
        <v>19956.572503887328</v>
      </c>
      <c r="FG229" s="1074"/>
      <c r="FK229" s="1117">
        <f t="shared" si="625"/>
        <v>19956.572503887328</v>
      </c>
      <c r="FL229" s="1118">
        <f t="shared" si="626"/>
        <v>0</v>
      </c>
      <c r="FM229" s="1118">
        <f t="shared" si="627"/>
        <v>0</v>
      </c>
      <c r="FN229" s="1118">
        <f t="shared" si="628"/>
        <v>19956.572503887328</v>
      </c>
      <c r="FO229" s="1074"/>
    </row>
    <row r="230" spans="1:171" x14ac:dyDescent="0.25">
      <c r="A230" s="1421"/>
      <c r="B230" s="914" t="s">
        <v>468</v>
      </c>
      <c r="C230" s="889" t="s">
        <v>72</v>
      </c>
      <c r="D230" s="889">
        <v>930.2</v>
      </c>
      <c r="E230" s="182" t="str">
        <f>'Sch 3 - Expenses'!E70</f>
        <v>DIST</v>
      </c>
      <c r="F230" s="890"/>
      <c r="G230" s="182">
        <f>'Sch 3 - Expenses'!G70</f>
        <v>1105627.4233341326</v>
      </c>
      <c r="H230" s="182">
        <f>'Sch 3 - Expenses'!H70</f>
        <v>0</v>
      </c>
      <c r="I230" s="182">
        <f>'Sch 3 - Expenses'!I70</f>
        <v>0</v>
      </c>
      <c r="J230" s="1422">
        <f>'Sch 3 - Expenses'!J70</f>
        <v>1105627.4233341326</v>
      </c>
      <c r="K230" s="904">
        <f t="shared" si="548"/>
        <v>1</v>
      </c>
      <c r="O230" s="1117">
        <f t="shared" si="549"/>
        <v>1105627.4233341326</v>
      </c>
      <c r="P230" s="1118">
        <f t="shared" si="550"/>
        <v>0</v>
      </c>
      <c r="Q230" s="1118">
        <f t="shared" si="551"/>
        <v>0</v>
      </c>
      <c r="R230" s="1118">
        <f t="shared" si="552"/>
        <v>1105627.4233341326</v>
      </c>
      <c r="S230" s="1074"/>
      <c r="W230" s="1117">
        <f t="shared" si="553"/>
        <v>1105627.4233341326</v>
      </c>
      <c r="X230" s="1118">
        <f t="shared" si="554"/>
        <v>0</v>
      </c>
      <c r="Y230" s="1118">
        <f t="shared" si="555"/>
        <v>0</v>
      </c>
      <c r="Z230" s="1118">
        <f t="shared" si="556"/>
        <v>1105627.4233341326</v>
      </c>
      <c r="AA230" s="1074"/>
      <c r="AE230" s="1117">
        <f t="shared" si="557"/>
        <v>1105627.4233341326</v>
      </c>
      <c r="AF230" s="1118">
        <f t="shared" si="558"/>
        <v>0</v>
      </c>
      <c r="AG230" s="1118">
        <f t="shared" si="559"/>
        <v>0</v>
      </c>
      <c r="AH230" s="1118">
        <f t="shared" si="560"/>
        <v>1105627.4233341326</v>
      </c>
      <c r="AI230" s="1074"/>
      <c r="AM230" s="1117">
        <f t="shared" si="561"/>
        <v>1105627.4233341326</v>
      </c>
      <c r="AN230" s="1118">
        <f t="shared" si="562"/>
        <v>0</v>
      </c>
      <c r="AO230" s="1118">
        <f t="shared" si="563"/>
        <v>0</v>
      </c>
      <c r="AP230" s="1118">
        <f t="shared" si="564"/>
        <v>1105627.4233341326</v>
      </c>
      <c r="AQ230" s="1074"/>
      <c r="AU230" s="1117">
        <f t="shared" si="565"/>
        <v>1105627.4233341326</v>
      </c>
      <c r="AV230" s="1118">
        <f t="shared" si="566"/>
        <v>0</v>
      </c>
      <c r="AW230" s="1118">
        <f t="shared" si="567"/>
        <v>0</v>
      </c>
      <c r="AX230" s="1118">
        <f t="shared" si="568"/>
        <v>1105627.4233341326</v>
      </c>
      <c r="AY230" s="1074"/>
      <c r="BC230" s="1117">
        <f t="shared" si="569"/>
        <v>1105627.4233341326</v>
      </c>
      <c r="BD230" s="1118">
        <f t="shared" si="570"/>
        <v>0</v>
      </c>
      <c r="BE230" s="1118">
        <f t="shared" si="571"/>
        <v>0</v>
      </c>
      <c r="BF230" s="1118">
        <f t="shared" si="572"/>
        <v>1105627.4233341326</v>
      </c>
      <c r="BG230" s="1074"/>
      <c r="BK230" s="1117">
        <f t="shared" si="573"/>
        <v>1105627.4233341326</v>
      </c>
      <c r="BL230" s="1118">
        <f t="shared" si="574"/>
        <v>0</v>
      </c>
      <c r="BM230" s="1118">
        <f t="shared" si="575"/>
        <v>0</v>
      </c>
      <c r="BN230" s="1118">
        <f t="shared" si="576"/>
        <v>1105627.4233341326</v>
      </c>
      <c r="BO230" s="1074"/>
      <c r="BS230" s="1117">
        <f t="shared" si="577"/>
        <v>1105627.4233341326</v>
      </c>
      <c r="BT230" s="1118">
        <f t="shared" si="578"/>
        <v>0</v>
      </c>
      <c r="BU230" s="1118">
        <f t="shared" si="579"/>
        <v>0</v>
      </c>
      <c r="BV230" s="1118">
        <f t="shared" si="580"/>
        <v>1105627.4233341326</v>
      </c>
      <c r="BW230" s="1074"/>
      <c r="CA230" s="1117">
        <f t="shared" si="581"/>
        <v>1105627.4233341326</v>
      </c>
      <c r="CB230" s="1118">
        <f t="shared" si="582"/>
        <v>0</v>
      </c>
      <c r="CC230" s="1118">
        <f t="shared" si="583"/>
        <v>0</v>
      </c>
      <c r="CD230" s="1118">
        <f t="shared" si="584"/>
        <v>1105627.4233341326</v>
      </c>
      <c r="CE230" s="1074"/>
      <c r="CI230" s="1117">
        <f t="shared" si="585"/>
        <v>1105627.4233341326</v>
      </c>
      <c r="CJ230" s="1118">
        <f t="shared" si="586"/>
        <v>0</v>
      </c>
      <c r="CK230" s="1118">
        <f t="shared" si="587"/>
        <v>0</v>
      </c>
      <c r="CL230" s="1118">
        <f t="shared" si="588"/>
        <v>1105627.4233341326</v>
      </c>
      <c r="CM230" s="1074"/>
      <c r="CQ230" s="1117">
        <f t="shared" si="589"/>
        <v>1105627.4233341326</v>
      </c>
      <c r="CR230" s="1118">
        <f t="shared" si="590"/>
        <v>0</v>
      </c>
      <c r="CS230" s="1118">
        <f t="shared" si="591"/>
        <v>0</v>
      </c>
      <c r="CT230" s="1118">
        <f t="shared" si="592"/>
        <v>1105627.4233341326</v>
      </c>
      <c r="CU230" s="1074"/>
      <c r="CY230" s="1117">
        <f t="shared" si="593"/>
        <v>1105627.4233341326</v>
      </c>
      <c r="CZ230" s="1118">
        <f t="shared" si="594"/>
        <v>0</v>
      </c>
      <c r="DA230" s="1118">
        <f t="shared" si="595"/>
        <v>0</v>
      </c>
      <c r="DB230" s="1118">
        <f t="shared" si="596"/>
        <v>1105627.4233341326</v>
      </c>
      <c r="DC230" s="1074"/>
      <c r="DG230" s="1117">
        <f t="shared" si="597"/>
        <v>1105627.4233341326</v>
      </c>
      <c r="DH230" s="1118">
        <f t="shared" si="598"/>
        <v>0</v>
      </c>
      <c r="DI230" s="1118">
        <f t="shared" si="599"/>
        <v>0</v>
      </c>
      <c r="DJ230" s="1118">
        <f t="shared" si="600"/>
        <v>1105627.4233341326</v>
      </c>
      <c r="DK230" s="1074"/>
      <c r="DO230" s="1117">
        <f t="shared" si="601"/>
        <v>1105627.4233341326</v>
      </c>
      <c r="DP230" s="1118">
        <f t="shared" si="602"/>
        <v>0</v>
      </c>
      <c r="DQ230" s="1118">
        <f t="shared" si="603"/>
        <v>0</v>
      </c>
      <c r="DR230" s="1118">
        <f t="shared" si="604"/>
        <v>1105627.4233341326</v>
      </c>
      <c r="DS230" s="1074"/>
      <c r="DW230" s="1117">
        <f t="shared" si="605"/>
        <v>1105627.4233341326</v>
      </c>
      <c r="DX230" s="1118">
        <f t="shared" si="606"/>
        <v>0</v>
      </c>
      <c r="DY230" s="1118">
        <f t="shared" si="607"/>
        <v>0</v>
      </c>
      <c r="DZ230" s="1118">
        <f t="shared" si="608"/>
        <v>1105627.4233341326</v>
      </c>
      <c r="EA230" s="1074"/>
      <c r="EE230" s="1117">
        <f t="shared" si="609"/>
        <v>1105627.4233341326</v>
      </c>
      <c r="EF230" s="1118">
        <f t="shared" si="610"/>
        <v>0</v>
      </c>
      <c r="EG230" s="1118">
        <f t="shared" si="611"/>
        <v>0</v>
      </c>
      <c r="EH230" s="1118">
        <f t="shared" si="612"/>
        <v>1105627.4233341326</v>
      </c>
      <c r="EI230" s="1074"/>
      <c r="EM230" s="1117">
        <f t="shared" si="613"/>
        <v>1105627.4233341326</v>
      </c>
      <c r="EN230" s="1118">
        <f t="shared" si="614"/>
        <v>0</v>
      </c>
      <c r="EO230" s="1118">
        <f t="shared" si="615"/>
        <v>0</v>
      </c>
      <c r="EP230" s="1118">
        <f t="shared" si="616"/>
        <v>1105627.4233341326</v>
      </c>
      <c r="EQ230" s="1074"/>
      <c r="EU230" s="1117">
        <f t="shared" si="617"/>
        <v>1105627.4233341326</v>
      </c>
      <c r="EV230" s="1118">
        <f t="shared" si="618"/>
        <v>0</v>
      </c>
      <c r="EW230" s="1118">
        <f t="shared" si="619"/>
        <v>0</v>
      </c>
      <c r="EX230" s="1118">
        <f t="shared" si="620"/>
        <v>1105627.4233341326</v>
      </c>
      <c r="EY230" s="1074"/>
      <c r="FC230" s="1117">
        <f t="shared" si="621"/>
        <v>1105627.4233341326</v>
      </c>
      <c r="FD230" s="1118">
        <f t="shared" si="622"/>
        <v>0</v>
      </c>
      <c r="FE230" s="1118">
        <f t="shared" si="623"/>
        <v>0</v>
      </c>
      <c r="FF230" s="1118">
        <f t="shared" si="624"/>
        <v>1105627.4233341326</v>
      </c>
      <c r="FG230" s="1074"/>
      <c r="FK230" s="1117">
        <f t="shared" si="625"/>
        <v>1105627.4233341326</v>
      </c>
      <c r="FL230" s="1118">
        <f t="shared" si="626"/>
        <v>0</v>
      </c>
      <c r="FM230" s="1118">
        <f t="shared" si="627"/>
        <v>0</v>
      </c>
      <c r="FN230" s="1118">
        <f t="shared" si="628"/>
        <v>1105627.4233341326</v>
      </c>
      <c r="FO230" s="1074"/>
    </row>
    <row r="231" spans="1:171" x14ac:dyDescent="0.25">
      <c r="A231" s="1421"/>
      <c r="B231" s="914" t="s">
        <v>492</v>
      </c>
      <c r="C231" s="889" t="s">
        <v>72</v>
      </c>
      <c r="D231" s="889">
        <v>931</v>
      </c>
      <c r="E231" s="182" t="str">
        <f>'Sch 3 - Expenses'!E71</f>
        <v>DIST</v>
      </c>
      <c r="F231" s="890"/>
      <c r="G231" s="182">
        <f>'Sch 3 - Expenses'!G71</f>
        <v>754426.30276668374</v>
      </c>
      <c r="H231" s="182">
        <f>'Sch 3 - Expenses'!H71</f>
        <v>0</v>
      </c>
      <c r="I231" s="182">
        <f>'Sch 3 - Expenses'!I71</f>
        <v>0</v>
      </c>
      <c r="J231" s="1422">
        <f>'Sch 3 - Expenses'!J71</f>
        <v>754426.30276668374</v>
      </c>
      <c r="K231" s="904">
        <f t="shared" si="548"/>
        <v>1</v>
      </c>
      <c r="O231" s="1117">
        <f t="shared" si="549"/>
        <v>754426.30276668374</v>
      </c>
      <c r="P231" s="1118">
        <f t="shared" si="550"/>
        <v>0</v>
      </c>
      <c r="Q231" s="1118">
        <f t="shared" si="551"/>
        <v>0</v>
      </c>
      <c r="R231" s="1118">
        <f t="shared" si="552"/>
        <v>754426.30276668374</v>
      </c>
      <c r="S231" s="1074"/>
      <c r="W231" s="1117">
        <f t="shared" si="553"/>
        <v>754426.30276668374</v>
      </c>
      <c r="X231" s="1118">
        <f t="shared" si="554"/>
        <v>0</v>
      </c>
      <c r="Y231" s="1118">
        <f t="shared" si="555"/>
        <v>0</v>
      </c>
      <c r="Z231" s="1118">
        <f t="shared" si="556"/>
        <v>754426.30276668374</v>
      </c>
      <c r="AA231" s="1074"/>
      <c r="AE231" s="1117">
        <f t="shared" si="557"/>
        <v>754426.30276668374</v>
      </c>
      <c r="AF231" s="1118">
        <f t="shared" si="558"/>
        <v>0</v>
      </c>
      <c r="AG231" s="1118">
        <f t="shared" si="559"/>
        <v>0</v>
      </c>
      <c r="AH231" s="1118">
        <f t="shared" si="560"/>
        <v>754426.30276668374</v>
      </c>
      <c r="AI231" s="1074"/>
      <c r="AM231" s="1117">
        <f t="shared" si="561"/>
        <v>754426.30276668374</v>
      </c>
      <c r="AN231" s="1118">
        <f t="shared" si="562"/>
        <v>0</v>
      </c>
      <c r="AO231" s="1118">
        <f t="shared" si="563"/>
        <v>0</v>
      </c>
      <c r="AP231" s="1118">
        <f t="shared" si="564"/>
        <v>754426.30276668374</v>
      </c>
      <c r="AQ231" s="1074"/>
      <c r="AU231" s="1117">
        <f t="shared" si="565"/>
        <v>754426.30276668374</v>
      </c>
      <c r="AV231" s="1118">
        <f t="shared" si="566"/>
        <v>0</v>
      </c>
      <c r="AW231" s="1118">
        <f t="shared" si="567"/>
        <v>0</v>
      </c>
      <c r="AX231" s="1118">
        <f t="shared" si="568"/>
        <v>754426.30276668374</v>
      </c>
      <c r="AY231" s="1074"/>
      <c r="BC231" s="1117">
        <f t="shared" si="569"/>
        <v>754426.30276668374</v>
      </c>
      <c r="BD231" s="1118">
        <f t="shared" si="570"/>
        <v>0</v>
      </c>
      <c r="BE231" s="1118">
        <f t="shared" si="571"/>
        <v>0</v>
      </c>
      <c r="BF231" s="1118">
        <f t="shared" si="572"/>
        <v>754426.30276668374</v>
      </c>
      <c r="BG231" s="1074"/>
      <c r="BK231" s="1117">
        <f t="shared" si="573"/>
        <v>754426.30276668374</v>
      </c>
      <c r="BL231" s="1118">
        <f t="shared" si="574"/>
        <v>0</v>
      </c>
      <c r="BM231" s="1118">
        <f t="shared" si="575"/>
        <v>0</v>
      </c>
      <c r="BN231" s="1118">
        <f t="shared" si="576"/>
        <v>754426.30276668374</v>
      </c>
      <c r="BO231" s="1074"/>
      <c r="BS231" s="1117">
        <f t="shared" si="577"/>
        <v>754426.30276668374</v>
      </c>
      <c r="BT231" s="1118">
        <f t="shared" si="578"/>
        <v>0</v>
      </c>
      <c r="BU231" s="1118">
        <f t="shared" si="579"/>
        <v>0</v>
      </c>
      <c r="BV231" s="1118">
        <f t="shared" si="580"/>
        <v>754426.30276668374</v>
      </c>
      <c r="BW231" s="1074"/>
      <c r="CA231" s="1117">
        <f t="shared" si="581"/>
        <v>754426.30276668374</v>
      </c>
      <c r="CB231" s="1118">
        <f t="shared" si="582"/>
        <v>0</v>
      </c>
      <c r="CC231" s="1118">
        <f t="shared" si="583"/>
        <v>0</v>
      </c>
      <c r="CD231" s="1118">
        <f t="shared" si="584"/>
        <v>754426.30276668374</v>
      </c>
      <c r="CE231" s="1074"/>
      <c r="CI231" s="1117">
        <f t="shared" si="585"/>
        <v>754426.30276668374</v>
      </c>
      <c r="CJ231" s="1118">
        <f t="shared" si="586"/>
        <v>0</v>
      </c>
      <c r="CK231" s="1118">
        <f t="shared" si="587"/>
        <v>0</v>
      </c>
      <c r="CL231" s="1118">
        <f t="shared" si="588"/>
        <v>754426.30276668374</v>
      </c>
      <c r="CM231" s="1074"/>
      <c r="CQ231" s="1117">
        <f t="shared" si="589"/>
        <v>754426.30276668374</v>
      </c>
      <c r="CR231" s="1118">
        <f t="shared" si="590"/>
        <v>0</v>
      </c>
      <c r="CS231" s="1118">
        <f t="shared" si="591"/>
        <v>0</v>
      </c>
      <c r="CT231" s="1118">
        <f t="shared" si="592"/>
        <v>754426.30276668374</v>
      </c>
      <c r="CU231" s="1074"/>
      <c r="CY231" s="1117">
        <f t="shared" si="593"/>
        <v>754426.30276668374</v>
      </c>
      <c r="CZ231" s="1118">
        <f t="shared" si="594"/>
        <v>0</v>
      </c>
      <c r="DA231" s="1118">
        <f t="shared" si="595"/>
        <v>0</v>
      </c>
      <c r="DB231" s="1118">
        <f t="shared" si="596"/>
        <v>754426.30276668374</v>
      </c>
      <c r="DC231" s="1074"/>
      <c r="DG231" s="1117">
        <f t="shared" si="597"/>
        <v>754426.30276668374</v>
      </c>
      <c r="DH231" s="1118">
        <f t="shared" si="598"/>
        <v>0</v>
      </c>
      <c r="DI231" s="1118">
        <f t="shared" si="599"/>
        <v>0</v>
      </c>
      <c r="DJ231" s="1118">
        <f t="shared" si="600"/>
        <v>754426.30276668374</v>
      </c>
      <c r="DK231" s="1074"/>
      <c r="DO231" s="1117">
        <f t="shared" si="601"/>
        <v>754426.30276668374</v>
      </c>
      <c r="DP231" s="1118">
        <f t="shared" si="602"/>
        <v>0</v>
      </c>
      <c r="DQ231" s="1118">
        <f t="shared" si="603"/>
        <v>0</v>
      </c>
      <c r="DR231" s="1118">
        <f t="shared" si="604"/>
        <v>754426.30276668374</v>
      </c>
      <c r="DS231" s="1074"/>
      <c r="DW231" s="1117">
        <f t="shared" si="605"/>
        <v>754426.30276668374</v>
      </c>
      <c r="DX231" s="1118">
        <f t="shared" si="606"/>
        <v>0</v>
      </c>
      <c r="DY231" s="1118">
        <f t="shared" si="607"/>
        <v>0</v>
      </c>
      <c r="DZ231" s="1118">
        <f t="shared" si="608"/>
        <v>754426.30276668374</v>
      </c>
      <c r="EA231" s="1074"/>
      <c r="EE231" s="1117">
        <f t="shared" si="609"/>
        <v>754426.30276668374</v>
      </c>
      <c r="EF231" s="1118">
        <f t="shared" si="610"/>
        <v>0</v>
      </c>
      <c r="EG231" s="1118">
        <f t="shared" si="611"/>
        <v>0</v>
      </c>
      <c r="EH231" s="1118">
        <f t="shared" si="612"/>
        <v>754426.30276668374</v>
      </c>
      <c r="EI231" s="1074"/>
      <c r="EM231" s="1117">
        <f t="shared" si="613"/>
        <v>754426.30276668374</v>
      </c>
      <c r="EN231" s="1118">
        <f t="shared" si="614"/>
        <v>0</v>
      </c>
      <c r="EO231" s="1118">
        <f t="shared" si="615"/>
        <v>0</v>
      </c>
      <c r="EP231" s="1118">
        <f t="shared" si="616"/>
        <v>754426.30276668374</v>
      </c>
      <c r="EQ231" s="1074"/>
      <c r="EU231" s="1117">
        <f t="shared" si="617"/>
        <v>754426.30276668374</v>
      </c>
      <c r="EV231" s="1118">
        <f t="shared" si="618"/>
        <v>0</v>
      </c>
      <c r="EW231" s="1118">
        <f t="shared" si="619"/>
        <v>0</v>
      </c>
      <c r="EX231" s="1118">
        <f t="shared" si="620"/>
        <v>754426.30276668374</v>
      </c>
      <c r="EY231" s="1074"/>
      <c r="FC231" s="1117">
        <f t="shared" si="621"/>
        <v>754426.30276668374</v>
      </c>
      <c r="FD231" s="1118">
        <f t="shared" si="622"/>
        <v>0</v>
      </c>
      <c r="FE231" s="1118">
        <f t="shared" si="623"/>
        <v>0</v>
      </c>
      <c r="FF231" s="1118">
        <f t="shared" si="624"/>
        <v>754426.30276668374</v>
      </c>
      <c r="FG231" s="1074"/>
      <c r="FK231" s="1117">
        <f t="shared" si="625"/>
        <v>754426.30276668374</v>
      </c>
      <c r="FL231" s="1118">
        <f t="shared" si="626"/>
        <v>0</v>
      </c>
      <c r="FM231" s="1118">
        <f t="shared" si="627"/>
        <v>0</v>
      </c>
      <c r="FN231" s="1118">
        <f t="shared" si="628"/>
        <v>754426.30276668374</v>
      </c>
      <c r="FO231" s="1074"/>
    </row>
    <row r="232" spans="1:171" x14ac:dyDescent="0.25">
      <c r="A232" s="1421"/>
      <c r="B232" s="914" t="s">
        <v>269</v>
      </c>
      <c r="C232" s="889" t="s">
        <v>268</v>
      </c>
      <c r="D232" s="889">
        <v>933</v>
      </c>
      <c r="E232" s="182" t="str">
        <f>'Sch 3 - Expenses'!E72</f>
        <v>DIST</v>
      </c>
      <c r="F232" s="890"/>
      <c r="G232" s="182">
        <f>'Sch 3 - Expenses'!G72</f>
        <v>0</v>
      </c>
      <c r="H232" s="182">
        <f>'Sch 3 - Expenses'!H72</f>
        <v>0</v>
      </c>
      <c r="I232" s="182">
        <f>'Sch 3 - Expenses'!I72</f>
        <v>0</v>
      </c>
      <c r="J232" s="1422">
        <f>'Sch 3 - Expenses'!J72</f>
        <v>0</v>
      </c>
      <c r="K232" s="904">
        <f t="shared" si="548"/>
        <v>1</v>
      </c>
      <c r="O232" s="1117">
        <f t="shared" si="549"/>
        <v>0</v>
      </c>
      <c r="P232" s="1118">
        <f t="shared" si="550"/>
        <v>0</v>
      </c>
      <c r="Q232" s="1118">
        <f t="shared" si="551"/>
        <v>0</v>
      </c>
      <c r="R232" s="1118">
        <f t="shared" si="552"/>
        <v>0</v>
      </c>
      <c r="S232" s="1074"/>
      <c r="W232" s="1117">
        <f t="shared" si="553"/>
        <v>0</v>
      </c>
      <c r="X232" s="1118">
        <f t="shared" si="554"/>
        <v>0</v>
      </c>
      <c r="Y232" s="1118">
        <f t="shared" si="555"/>
        <v>0</v>
      </c>
      <c r="Z232" s="1118">
        <f t="shared" si="556"/>
        <v>0</v>
      </c>
      <c r="AA232" s="1074"/>
      <c r="AE232" s="1117">
        <f t="shared" si="557"/>
        <v>0</v>
      </c>
      <c r="AF232" s="1118">
        <f t="shared" si="558"/>
        <v>0</v>
      </c>
      <c r="AG232" s="1118">
        <f t="shared" si="559"/>
        <v>0</v>
      </c>
      <c r="AH232" s="1118">
        <f t="shared" si="560"/>
        <v>0</v>
      </c>
      <c r="AI232" s="1074"/>
      <c r="AM232" s="1117">
        <f t="shared" si="561"/>
        <v>0</v>
      </c>
      <c r="AN232" s="1118">
        <f t="shared" si="562"/>
        <v>0</v>
      </c>
      <c r="AO232" s="1118">
        <f t="shared" si="563"/>
        <v>0</v>
      </c>
      <c r="AP232" s="1118">
        <f t="shared" si="564"/>
        <v>0</v>
      </c>
      <c r="AQ232" s="1074"/>
      <c r="AU232" s="1117">
        <f t="shared" si="565"/>
        <v>0</v>
      </c>
      <c r="AV232" s="1118">
        <f t="shared" si="566"/>
        <v>0</v>
      </c>
      <c r="AW232" s="1118">
        <f t="shared" si="567"/>
        <v>0</v>
      </c>
      <c r="AX232" s="1118">
        <f t="shared" si="568"/>
        <v>0</v>
      </c>
      <c r="AY232" s="1074"/>
      <c r="BC232" s="1117">
        <f t="shared" si="569"/>
        <v>0</v>
      </c>
      <c r="BD232" s="1118">
        <f t="shared" si="570"/>
        <v>0</v>
      </c>
      <c r="BE232" s="1118">
        <f t="shared" si="571"/>
        <v>0</v>
      </c>
      <c r="BF232" s="1118">
        <f t="shared" si="572"/>
        <v>0</v>
      </c>
      <c r="BG232" s="1074"/>
      <c r="BK232" s="1117">
        <f t="shared" si="573"/>
        <v>0</v>
      </c>
      <c r="BL232" s="1118">
        <f t="shared" si="574"/>
        <v>0</v>
      </c>
      <c r="BM232" s="1118">
        <f t="shared" si="575"/>
        <v>0</v>
      </c>
      <c r="BN232" s="1118">
        <f t="shared" si="576"/>
        <v>0</v>
      </c>
      <c r="BO232" s="1074"/>
      <c r="BS232" s="1117">
        <f t="shared" si="577"/>
        <v>0</v>
      </c>
      <c r="BT232" s="1118">
        <f t="shared" si="578"/>
        <v>0</v>
      </c>
      <c r="BU232" s="1118">
        <f t="shared" si="579"/>
        <v>0</v>
      </c>
      <c r="BV232" s="1118">
        <f t="shared" si="580"/>
        <v>0</v>
      </c>
      <c r="BW232" s="1074"/>
      <c r="CA232" s="1117">
        <f t="shared" si="581"/>
        <v>0</v>
      </c>
      <c r="CB232" s="1118">
        <f t="shared" si="582"/>
        <v>0</v>
      </c>
      <c r="CC232" s="1118">
        <f t="shared" si="583"/>
        <v>0</v>
      </c>
      <c r="CD232" s="1118">
        <f t="shared" si="584"/>
        <v>0</v>
      </c>
      <c r="CE232" s="1074"/>
      <c r="CI232" s="1117">
        <f t="shared" si="585"/>
        <v>0</v>
      </c>
      <c r="CJ232" s="1118">
        <f t="shared" si="586"/>
        <v>0</v>
      </c>
      <c r="CK232" s="1118">
        <f t="shared" si="587"/>
        <v>0</v>
      </c>
      <c r="CL232" s="1118">
        <f t="shared" si="588"/>
        <v>0</v>
      </c>
      <c r="CM232" s="1074"/>
      <c r="CQ232" s="1117">
        <f t="shared" si="589"/>
        <v>0</v>
      </c>
      <c r="CR232" s="1118">
        <f t="shared" si="590"/>
        <v>0</v>
      </c>
      <c r="CS232" s="1118">
        <f t="shared" si="591"/>
        <v>0</v>
      </c>
      <c r="CT232" s="1118">
        <f t="shared" si="592"/>
        <v>0</v>
      </c>
      <c r="CU232" s="1074"/>
      <c r="CY232" s="1117">
        <f t="shared" si="593"/>
        <v>0</v>
      </c>
      <c r="CZ232" s="1118">
        <f t="shared" si="594"/>
        <v>0</v>
      </c>
      <c r="DA232" s="1118">
        <f t="shared" si="595"/>
        <v>0</v>
      </c>
      <c r="DB232" s="1118">
        <f t="shared" si="596"/>
        <v>0</v>
      </c>
      <c r="DC232" s="1074"/>
      <c r="DG232" s="1117">
        <f t="shared" si="597"/>
        <v>0</v>
      </c>
      <c r="DH232" s="1118">
        <f t="shared" si="598"/>
        <v>0</v>
      </c>
      <c r="DI232" s="1118">
        <f t="shared" si="599"/>
        <v>0</v>
      </c>
      <c r="DJ232" s="1118">
        <f t="shared" si="600"/>
        <v>0</v>
      </c>
      <c r="DK232" s="1074"/>
      <c r="DO232" s="1117">
        <f t="shared" si="601"/>
        <v>0</v>
      </c>
      <c r="DP232" s="1118">
        <f t="shared" si="602"/>
        <v>0</v>
      </c>
      <c r="DQ232" s="1118">
        <f t="shared" si="603"/>
        <v>0</v>
      </c>
      <c r="DR232" s="1118">
        <f t="shared" si="604"/>
        <v>0</v>
      </c>
      <c r="DS232" s="1074"/>
      <c r="DW232" s="1117">
        <f t="shared" si="605"/>
        <v>0</v>
      </c>
      <c r="DX232" s="1118">
        <f t="shared" si="606"/>
        <v>0</v>
      </c>
      <c r="DY232" s="1118">
        <f t="shared" si="607"/>
        <v>0</v>
      </c>
      <c r="DZ232" s="1118">
        <f t="shared" si="608"/>
        <v>0</v>
      </c>
      <c r="EA232" s="1074"/>
      <c r="EE232" s="1117">
        <f t="shared" si="609"/>
        <v>0</v>
      </c>
      <c r="EF232" s="1118">
        <f t="shared" si="610"/>
        <v>0</v>
      </c>
      <c r="EG232" s="1118">
        <f t="shared" si="611"/>
        <v>0</v>
      </c>
      <c r="EH232" s="1118">
        <f t="shared" si="612"/>
        <v>0</v>
      </c>
      <c r="EI232" s="1074"/>
      <c r="EM232" s="1117">
        <f t="shared" si="613"/>
        <v>0</v>
      </c>
      <c r="EN232" s="1118">
        <f t="shared" si="614"/>
        <v>0</v>
      </c>
      <c r="EO232" s="1118">
        <f t="shared" si="615"/>
        <v>0</v>
      </c>
      <c r="EP232" s="1118">
        <f t="shared" si="616"/>
        <v>0</v>
      </c>
      <c r="EQ232" s="1074"/>
      <c r="EU232" s="1117">
        <f t="shared" si="617"/>
        <v>0</v>
      </c>
      <c r="EV232" s="1118">
        <f t="shared" si="618"/>
        <v>0</v>
      </c>
      <c r="EW232" s="1118">
        <f t="shared" si="619"/>
        <v>0</v>
      </c>
      <c r="EX232" s="1118">
        <f t="shared" si="620"/>
        <v>0</v>
      </c>
      <c r="EY232" s="1074"/>
      <c r="FC232" s="1117">
        <f t="shared" si="621"/>
        <v>0</v>
      </c>
      <c r="FD232" s="1118">
        <f t="shared" si="622"/>
        <v>0</v>
      </c>
      <c r="FE232" s="1118">
        <f t="shared" si="623"/>
        <v>0</v>
      </c>
      <c r="FF232" s="1118">
        <f t="shared" si="624"/>
        <v>0</v>
      </c>
      <c r="FG232" s="1074"/>
      <c r="FK232" s="1117">
        <f t="shared" si="625"/>
        <v>0</v>
      </c>
      <c r="FL232" s="1118">
        <f t="shared" si="626"/>
        <v>0</v>
      </c>
      <c r="FM232" s="1118">
        <f t="shared" si="627"/>
        <v>0</v>
      </c>
      <c r="FN232" s="1118">
        <f t="shared" si="628"/>
        <v>0</v>
      </c>
      <c r="FO232" s="1074"/>
    </row>
    <row r="233" spans="1:171" x14ac:dyDescent="0.25">
      <c r="A233" s="1421"/>
      <c r="B233" s="991" t="s">
        <v>438</v>
      </c>
      <c r="C233" s="55"/>
      <c r="D233" s="196"/>
      <c r="E233" s="196"/>
      <c r="F233" s="196"/>
      <c r="G233" s="68"/>
      <c r="H233" s="68"/>
      <c r="I233" s="68"/>
      <c r="J233" s="1465"/>
      <c r="K233" s="904"/>
      <c r="O233" s="1117"/>
      <c r="S233" s="1074"/>
      <c r="W233" s="1117"/>
      <c r="AA233" s="1074"/>
      <c r="AE233" s="1117"/>
      <c r="AI233" s="1074"/>
      <c r="AM233" s="1117"/>
      <c r="AQ233" s="1074"/>
      <c r="AU233" s="1117"/>
      <c r="AY233" s="1074"/>
      <c r="BC233" s="1117"/>
      <c r="BG233" s="1074"/>
      <c r="BK233" s="1117"/>
      <c r="BO233" s="1074"/>
      <c r="BS233" s="1117"/>
      <c r="BW233" s="1074"/>
      <c r="CA233" s="1117"/>
      <c r="CE233" s="1074"/>
      <c r="CI233" s="1117"/>
      <c r="CM233" s="1074"/>
      <c r="CQ233" s="1117"/>
      <c r="CU233" s="1074"/>
      <c r="CY233" s="1117"/>
      <c r="DC233" s="1074"/>
      <c r="DG233" s="1117"/>
      <c r="DK233" s="1074"/>
      <c r="DO233" s="1117"/>
      <c r="DS233" s="1074"/>
      <c r="DW233" s="1117"/>
      <c r="EA233" s="1074"/>
      <c r="EE233" s="1117"/>
      <c r="EI233" s="1074"/>
      <c r="EM233" s="1117"/>
      <c r="EQ233" s="1074"/>
      <c r="EU233" s="1117"/>
      <c r="EY233" s="1074"/>
      <c r="FC233" s="1117"/>
      <c r="FG233" s="1074"/>
      <c r="FK233" s="1117"/>
      <c r="FO233" s="1074"/>
    </row>
    <row r="234" spans="1:171" x14ac:dyDescent="0.25">
      <c r="A234" s="1421"/>
      <c r="B234" s="914" t="s">
        <v>94</v>
      </c>
      <c r="C234" s="889" t="s">
        <v>72</v>
      </c>
      <c r="D234" s="889">
        <v>935</v>
      </c>
      <c r="E234" s="182" t="str">
        <f>'Sch 3 - Expenses'!E74</f>
        <v>GPM</v>
      </c>
      <c r="F234" s="890"/>
      <c r="G234" s="182">
        <f>'Sch 3 - Expenses'!G74</f>
        <v>15276304.380404986</v>
      </c>
      <c r="H234" s="182">
        <f>'Sch 3 - Expenses'!H74</f>
        <v>6690266.9233332537</v>
      </c>
      <c r="I234" s="182">
        <f>'Sch 3 - Expenses'!I74</f>
        <v>0</v>
      </c>
      <c r="J234" s="1422">
        <f>'Sch 3 - Expenses'!J74</f>
        <v>8586037.4570717309</v>
      </c>
      <c r="K234" s="904">
        <f t="shared" si="548"/>
        <v>1</v>
      </c>
      <c r="O234" s="1117">
        <f>$G234</f>
        <v>15276304.380404986</v>
      </c>
      <c r="P234" s="1118">
        <f t="shared" si="550"/>
        <v>6690266.9233332537</v>
      </c>
      <c r="Q234" s="1118">
        <f t="shared" si="551"/>
        <v>3627960.8188642049</v>
      </c>
      <c r="R234" s="1118">
        <f t="shared" si="552"/>
        <v>4958076.638207525</v>
      </c>
      <c r="S234" s="1074"/>
      <c r="W234" s="1117">
        <f>$G234</f>
        <v>15276304.380404986</v>
      </c>
      <c r="X234" s="1118">
        <f>VLOOKUP($E234,W$442:Z$453,2,FALSE)*W234*($K234)+IF($G234&lt;&gt;0,($H234/$G234)*W234,0)*(1-$K234)</f>
        <v>6690266.9233332537</v>
      </c>
      <c r="Y234" s="1118">
        <f>VLOOKUP($E234,W$442:Z$453,3,FALSE)*W234*($K234)+IF($G234&lt;&gt;0,($I234/$G234)*W234,0)*(1-$K234)</f>
        <v>3627960.8188642049</v>
      </c>
      <c r="Z234" s="1118">
        <f>VLOOKUP($E234,W$442:Z$453,4,FALSE)*W234*($K234)+(W234-X234-Y234)*(1-$K234)</f>
        <v>4958076.638207525</v>
      </c>
      <c r="AA234" s="1074"/>
      <c r="AE234" s="1117">
        <f>$G234</f>
        <v>15276304.380404986</v>
      </c>
      <c r="AF234" s="1118">
        <f>VLOOKUP($E234,AE$442:AH$453,2,FALSE)*AE234*($K234)+IF($G234&lt;&gt;0,($H234/$G234)*AE234,0)*(1-$K234)</f>
        <v>6690266.9233332537</v>
      </c>
      <c r="AG234" s="1118">
        <f>VLOOKUP($E234,AE$442:AH$453,3,FALSE)*AE234*($K234)+IF($G234&lt;&gt;0,($I234/$G234)*AE234,0)*(1-$K234)</f>
        <v>3627960.8188642049</v>
      </c>
      <c r="AH234" s="1118">
        <f>VLOOKUP($E234,AE$442:AH$453,4,FALSE)*AE234*($K234)+(AE234-AF234-AG234)*(1-$K234)</f>
        <v>4958076.638207525</v>
      </c>
      <c r="AI234" s="1074"/>
      <c r="AM234" s="1117">
        <f>$G234</f>
        <v>15276304.380404986</v>
      </c>
      <c r="AN234" s="1118">
        <f>VLOOKUP($E234,AM$442:AP$453,2,FALSE)*AM234*($K234)+IF($G234&lt;&gt;0,($H234/$G234)*AM234,0)*(1-$K234)</f>
        <v>6690266.9233332537</v>
      </c>
      <c r="AO234" s="1118">
        <f>VLOOKUP($E234,AM$442:AP$453,3,FALSE)*AM234*($K234)+IF($G234&lt;&gt;0,($I234/$G234)*AM234,0)*(1-$K234)</f>
        <v>3627960.8188642049</v>
      </c>
      <c r="AP234" s="1118">
        <f>VLOOKUP($E234,AM$442:AP$453,4,FALSE)*AM234*($K234)+(AM234-AN234-AO234)*(1-$K234)</f>
        <v>4958076.638207525</v>
      </c>
      <c r="AQ234" s="1074"/>
      <c r="AU234" s="1117">
        <f>$G234</f>
        <v>15276304.380404986</v>
      </c>
      <c r="AV234" s="1118">
        <f>VLOOKUP($E234,AU$442:AX$453,2,FALSE)*AU234*($K234)+IF($G234&lt;&gt;0,($H234/$G234)*AU234,0)*(1-$K234)</f>
        <v>6690266.9233332537</v>
      </c>
      <c r="AW234" s="1118">
        <f>VLOOKUP($E234,AU$442:AX$453,3,FALSE)*AU234*($K234)+IF($G234&lt;&gt;0,($I234/$G234)*AU234,0)*(1-$K234)</f>
        <v>3627960.8188642049</v>
      </c>
      <c r="AX234" s="1118">
        <f>VLOOKUP($E234,AU$442:AX$453,4,FALSE)*AU234*($K234)+(AU234-AV234-AW234)*(1-$K234)</f>
        <v>4958076.638207525</v>
      </c>
      <c r="AY234" s="1074"/>
      <c r="BC234" s="1117">
        <f>$G234</f>
        <v>15276304.380404986</v>
      </c>
      <c r="BD234" s="1118">
        <f>VLOOKUP($E234,BC$442:BF$453,2,FALSE)*BC234*($K234)+IF($G234&lt;&gt;0,($H234/$G234)*BC234,0)*(1-$K234)</f>
        <v>6690266.9233332537</v>
      </c>
      <c r="BE234" s="1118">
        <f>VLOOKUP($E234,BC$442:BF$453,3,FALSE)*BC234*($K234)+IF($G234&lt;&gt;0,($I234/$G234)*BC234,0)*(1-$K234)</f>
        <v>3627960.8188642049</v>
      </c>
      <c r="BF234" s="1118">
        <f>VLOOKUP($E234,BC$442:BF$453,4,FALSE)*BC234*($K234)+(BC234-BD234-BE234)*(1-$K234)</f>
        <v>4958076.638207525</v>
      </c>
      <c r="BG234" s="1074"/>
      <c r="BK234" s="1117">
        <f>$G234</f>
        <v>15276304.380404986</v>
      </c>
      <c r="BL234" s="1118">
        <f>VLOOKUP($E234,BK$442:BN$453,2,FALSE)*BK234*($K234)+IF($G234&lt;&gt;0,($H234/$G234)*BK234,0)*(1-$K234)</f>
        <v>6690266.9233332537</v>
      </c>
      <c r="BM234" s="1118">
        <f>VLOOKUP($E234,BK$442:BN$453,3,FALSE)*BK234*($K234)+IF($G234&lt;&gt;0,($I234/$G234)*BK234,0)*(1-$K234)</f>
        <v>3627960.8188642049</v>
      </c>
      <c r="BN234" s="1118">
        <f>VLOOKUP($E234,BK$442:BN$453,4,FALSE)*BK234*($K234)+(BK234-BL234-BM234)*(1-$K234)</f>
        <v>4958076.638207525</v>
      </c>
      <c r="BO234" s="1074"/>
      <c r="BS234" s="1117">
        <f>$G234</f>
        <v>15276304.380404986</v>
      </c>
      <c r="BT234" s="1118">
        <f>VLOOKUP($E234,BS$442:BV$453,2,FALSE)*BS234*($K234)+IF($G234&lt;&gt;0,($H234/$G234)*BS234,0)*(1-$K234)</f>
        <v>6690266.9233332537</v>
      </c>
      <c r="BU234" s="1118">
        <f>VLOOKUP($E234,BS$442:BV$453,3,FALSE)*BS234*($K234)+IF($G234&lt;&gt;0,($I234/$G234)*BS234,0)*(1-$K234)</f>
        <v>3627960.8188642049</v>
      </c>
      <c r="BV234" s="1118">
        <f>VLOOKUP($E234,BS$442:BV$453,4,FALSE)*BS234*($K234)+(BS234-BT234-BU234)*(1-$K234)</f>
        <v>4958076.638207525</v>
      </c>
      <c r="BW234" s="1074"/>
      <c r="CA234" s="1117">
        <f>$G234</f>
        <v>15276304.380404986</v>
      </c>
      <c r="CB234" s="1118">
        <f>VLOOKUP($E234,CA$442:CD$453,2,FALSE)*CA234*($K234)+IF($G234&lt;&gt;0,($H234/$G234)*CA234,0)*(1-$K234)</f>
        <v>6690266.9233332537</v>
      </c>
      <c r="CC234" s="1118">
        <f>VLOOKUP($E234,CA$442:CD$453,3,FALSE)*CA234*($K234)+IF($G234&lt;&gt;0,($I234/$G234)*CA234,0)*(1-$K234)</f>
        <v>3627960.8188642049</v>
      </c>
      <c r="CD234" s="1118">
        <f>VLOOKUP($E234,CA$442:CD$453,4,FALSE)*CA234*($K234)+(CA234-CB234-CC234)*(1-$K234)</f>
        <v>4958076.638207525</v>
      </c>
      <c r="CE234" s="1074"/>
      <c r="CI234" s="1117">
        <f>$G234</f>
        <v>15276304.380404986</v>
      </c>
      <c r="CJ234" s="1118">
        <f>VLOOKUP($E234,CI$442:CL$453,2,FALSE)*CI234*($K234)+IF($G234&lt;&gt;0,($H234/$G234)*CI234,0)*(1-$K234)</f>
        <v>6690266.9233332537</v>
      </c>
      <c r="CK234" s="1118">
        <f>VLOOKUP($E234,CI$442:CL$453,3,FALSE)*CI234*($K234)+IF($G234&lt;&gt;0,($I234/$G234)*CI234,0)*(1-$K234)</f>
        <v>3627960.8188642049</v>
      </c>
      <c r="CL234" s="1118">
        <f>VLOOKUP($E234,CI$442:CL$453,4,FALSE)*CI234*($K234)+(CI234-CJ234-CK234)*(1-$K234)</f>
        <v>4958076.638207525</v>
      </c>
      <c r="CM234" s="1074"/>
      <c r="CQ234" s="1117">
        <f>$G234</f>
        <v>15276304.380404986</v>
      </c>
      <c r="CR234" s="1118">
        <f>VLOOKUP($E234,CQ$442:CT$453,2,FALSE)*CQ234*($K234)+IF($G234&lt;&gt;0,($H234/$G234)*CQ234,0)*(1-$K234)</f>
        <v>6690266.9233332537</v>
      </c>
      <c r="CS234" s="1118">
        <f>VLOOKUP($E234,CQ$442:CT$453,3,FALSE)*CQ234*($K234)+IF($G234&lt;&gt;0,($I234/$G234)*CQ234,0)*(1-$K234)</f>
        <v>3627960.8188642049</v>
      </c>
      <c r="CT234" s="1118">
        <f>VLOOKUP($E234,CQ$442:CT$453,4,FALSE)*CQ234*($K234)+(CQ234-CR234-CS234)*(1-$K234)</f>
        <v>4958076.638207525</v>
      </c>
      <c r="CU234" s="1074"/>
      <c r="CY234" s="1117">
        <f>$G234</f>
        <v>15276304.380404986</v>
      </c>
      <c r="CZ234" s="1118">
        <f>VLOOKUP($E234,CY$442:DB$453,2,FALSE)*CY234*($K234)+IF($G234&lt;&gt;0,($H234/$G234)*CY234,0)*(1-$K234)</f>
        <v>6690266.9233332537</v>
      </c>
      <c r="DA234" s="1118">
        <f>VLOOKUP($E234,CY$442:DB$453,3,FALSE)*CY234*($K234)+IF($G234&lt;&gt;0,($I234/$G234)*CY234,0)*(1-$K234)</f>
        <v>3627960.8188642049</v>
      </c>
      <c r="DB234" s="1118">
        <f>VLOOKUP($E234,CY$442:DB$453,4,FALSE)*CY234*($K234)+(CY234-CZ234-DA234)*(1-$K234)</f>
        <v>4958076.638207525</v>
      </c>
      <c r="DC234" s="1074"/>
      <c r="DG234" s="1117">
        <f>$G234</f>
        <v>15276304.380404986</v>
      </c>
      <c r="DH234" s="1118">
        <f>VLOOKUP($E234,DG$442:DJ$453,2,FALSE)*DG234*($K234)+IF($G234&lt;&gt;0,($H234/$G234)*DG234,0)*(1-$K234)</f>
        <v>6690266.9233332537</v>
      </c>
      <c r="DI234" s="1118">
        <f>VLOOKUP($E234,DG$442:DJ$453,3,FALSE)*DG234*($K234)+IF($G234&lt;&gt;0,($I234/$G234)*DG234,0)*(1-$K234)</f>
        <v>3627960.8188642049</v>
      </c>
      <c r="DJ234" s="1118">
        <f>VLOOKUP($E234,DG$442:DJ$453,4,FALSE)*DG234*($K234)+(DG234-DH234-DI234)*(1-$K234)</f>
        <v>4958076.638207525</v>
      </c>
      <c r="DK234" s="1074"/>
      <c r="DO234" s="1117">
        <f>$G234</f>
        <v>15276304.380404986</v>
      </c>
      <c r="DP234" s="1118">
        <f>VLOOKUP($E234,DO$442:DR$453,2,FALSE)*DO234*($K234)+IF($G234&lt;&gt;0,($H234/$G234)*DO234,0)*(1-$K234)</f>
        <v>6690266.9233332537</v>
      </c>
      <c r="DQ234" s="1118">
        <f>VLOOKUP($E234,DO$442:DR$453,3,FALSE)*DO234*($K234)+IF($G234&lt;&gt;0,($I234/$G234)*DO234,0)*(1-$K234)</f>
        <v>3627960.8188642049</v>
      </c>
      <c r="DR234" s="1118">
        <f>VLOOKUP($E234,DO$442:DR$453,4,FALSE)*DO234*($K234)+(DO234-DP234-DQ234)*(1-$K234)</f>
        <v>4958076.638207525</v>
      </c>
      <c r="DS234" s="1074"/>
      <c r="DW234" s="1117">
        <f>$G234</f>
        <v>15276304.380404986</v>
      </c>
      <c r="DX234" s="1118">
        <f>VLOOKUP($E234,DW$442:DZ$453,2,FALSE)*DW234*($K234)+IF($G234&lt;&gt;0,($H234/$G234)*DW234,0)*(1-$K234)</f>
        <v>6690266.9233332537</v>
      </c>
      <c r="DY234" s="1118">
        <f>VLOOKUP($E234,DW$442:DZ$453,3,FALSE)*DW234*($K234)+IF($G234&lt;&gt;0,($I234/$G234)*DW234,0)*(1-$K234)</f>
        <v>3627960.8188642049</v>
      </c>
      <c r="DZ234" s="1118">
        <f>VLOOKUP($E234,DW$442:DZ$453,4,FALSE)*DW234*($K234)+(DW234-DX234-DY234)*(1-$K234)</f>
        <v>4958076.638207525</v>
      </c>
      <c r="EA234" s="1074"/>
      <c r="EE234" s="1117">
        <f>$G234</f>
        <v>15276304.380404986</v>
      </c>
      <c r="EF234" s="1118">
        <f>VLOOKUP($E234,EE$442:EH$453,2,FALSE)*EE234*($K234)+IF($G234&lt;&gt;0,($H234/$G234)*EE234,0)*(1-$K234)</f>
        <v>6690266.9233332537</v>
      </c>
      <c r="EG234" s="1118">
        <f>VLOOKUP($E234,EE$442:EH$453,3,FALSE)*EE234*($K234)+IF($G234&lt;&gt;0,($I234/$G234)*EE234,0)*(1-$K234)</f>
        <v>3627960.8188642049</v>
      </c>
      <c r="EH234" s="1118">
        <f>VLOOKUP($E234,EE$442:EH$453,4,FALSE)*EE234*($K234)+(EE234-EF234-EG234)*(1-$K234)</f>
        <v>4958076.638207525</v>
      </c>
      <c r="EI234" s="1074"/>
      <c r="EM234" s="1117">
        <f>$G234</f>
        <v>15276304.380404986</v>
      </c>
      <c r="EN234" s="1118">
        <f>VLOOKUP($E234,EM$442:EP$453,2,FALSE)*EM234*($K234)+IF($G234&lt;&gt;0,($H234/$G234)*EM234,0)*(1-$K234)</f>
        <v>6690266.9233332537</v>
      </c>
      <c r="EO234" s="1118">
        <f>VLOOKUP($E234,EM$442:EP$453,3,FALSE)*EM234*($K234)+IF($G234&lt;&gt;0,($I234/$G234)*EM234,0)*(1-$K234)</f>
        <v>3627960.8188642049</v>
      </c>
      <c r="EP234" s="1118">
        <f>VLOOKUP($E234,EM$442:EP$453,4,FALSE)*EM234*($K234)+(EM234-EN234-EO234)*(1-$K234)</f>
        <v>4958076.638207525</v>
      </c>
      <c r="EQ234" s="1074"/>
      <c r="EU234" s="1117">
        <f>$G234</f>
        <v>15276304.380404986</v>
      </c>
      <c r="EV234" s="1118">
        <f>VLOOKUP($E234,EU$442:EX$453,2,FALSE)*EU234*($K234)+IF($G234&lt;&gt;0,($H234/$G234)*EU234,0)*(1-$K234)</f>
        <v>6690266.9233332537</v>
      </c>
      <c r="EW234" s="1118">
        <f>VLOOKUP($E234,EU$442:EX$453,3,FALSE)*EU234*($K234)+IF($G234&lt;&gt;0,($I234/$G234)*EU234,0)*(1-$K234)</f>
        <v>3627960.8188642049</v>
      </c>
      <c r="EX234" s="1118">
        <f>VLOOKUP($E234,EU$442:EX$453,4,FALSE)*EU234*($K234)+(EU234-EV234-EW234)*(1-$K234)</f>
        <v>4958076.638207525</v>
      </c>
      <c r="EY234" s="1074"/>
      <c r="FC234" s="1117">
        <f>$G234</f>
        <v>15276304.380404986</v>
      </c>
      <c r="FD234" s="1118">
        <f>VLOOKUP($E234,FC$442:FF$453,2,FALSE)*FC234*($K234)+IF($G234&lt;&gt;0,($H234/$G234)*FC234,0)*(1-$K234)</f>
        <v>6690266.9233332537</v>
      </c>
      <c r="FE234" s="1118">
        <f>VLOOKUP($E234,FC$442:FF$453,3,FALSE)*FC234*($K234)+IF($G234&lt;&gt;0,($I234/$G234)*FC234,0)*(1-$K234)</f>
        <v>3627960.8188642049</v>
      </c>
      <c r="FF234" s="1118">
        <f>VLOOKUP($E234,FC$442:FF$453,4,FALSE)*FC234*($K234)+(FC234-FD234-FE234)*(1-$K234)</f>
        <v>4958076.638207525</v>
      </c>
      <c r="FG234" s="1074"/>
      <c r="FK234" s="1117">
        <f>$G234</f>
        <v>15276304.380404986</v>
      </c>
      <c r="FL234" s="1118">
        <f>VLOOKUP($E234,FK$442:FN$453,2,FALSE)*FK234*($K234)+IF($G234&lt;&gt;0,($H234/$G234)*FK234,0)*(1-$K234)</f>
        <v>6690266.9233332537</v>
      </c>
      <c r="FM234" s="1118">
        <f>VLOOKUP($E234,FK$442:FN$453,3,FALSE)*FK234*($K234)+IF($G234&lt;&gt;0,($I234/$G234)*FK234,0)*(1-$K234)</f>
        <v>3627960.8188642049</v>
      </c>
      <c r="FN234" s="1118">
        <f>VLOOKUP($E234,FK$442:FN$453,4,FALSE)*FK234*($K234)+(FK234-FL234-FM234)*(1-$K234)</f>
        <v>4958076.638207525</v>
      </c>
      <c r="FO234" s="1074"/>
    </row>
    <row r="235" spans="1:171" x14ac:dyDescent="0.25">
      <c r="A235" s="1344" t="s">
        <v>493</v>
      </c>
      <c r="B235" s="10"/>
      <c r="C235" s="915"/>
      <c r="D235" s="916"/>
      <c r="E235" s="916"/>
      <c r="F235" s="917"/>
      <c r="G235" s="924">
        <f>SUM(G219:G220,G222:G227,G229:G232,G234)-G221-G228</f>
        <v>816337528.10835838</v>
      </c>
      <c r="H235" s="924">
        <f>SUM(H219:H220,H222:H227,H229:H232,H234)-H221-H228</f>
        <v>332693781.08396053</v>
      </c>
      <c r="I235" s="924">
        <f>SUM(I219:I220,I222:I227,I229:I232,I234)-I221-I228</f>
        <v>0</v>
      </c>
      <c r="J235" s="1429">
        <f>SUM(J219:J220,J222:J227,J229:J232,J234)-J221-J228</f>
        <v>483640675.80043858</v>
      </c>
      <c r="K235" s="904"/>
      <c r="O235" s="1137">
        <f>SUM(O219:O220,O222:O227,O229:O232,O234)-O221-O228</f>
        <v>816337528.10835838</v>
      </c>
      <c r="P235" s="1137">
        <f>SUM(P219:P220,P222:P227,P229:P232,P234)-P221-P228</f>
        <v>332693781.08396053</v>
      </c>
      <c r="Q235" s="1137">
        <f>SUM(Q219:Q220,Q222:Q227,Q229:Q232,Q234)-Q221-Q228</f>
        <v>17847127.438652508</v>
      </c>
      <c r="R235" s="1137">
        <f>SUM(R219:R220,R222:R227,R229:R232,R234)-R221-R228</f>
        <v>465796619.58574533</v>
      </c>
      <c r="S235" s="1074"/>
      <c r="W235" s="1137">
        <f>SUM(W219:W220,W222:W227,W229:W232,W234)-W221-W228</f>
        <v>816337528.10835838</v>
      </c>
      <c r="X235" s="1137">
        <f>SUM(X219:X220,X222:X227,X229:X232,X234)-X221-X228</f>
        <v>332693781.08396053</v>
      </c>
      <c r="Y235" s="1137">
        <f>SUM(Y219:Y220,Y222:Y227,Y229:Y232,Y234)-Y221-Y228</f>
        <v>17847127.438652508</v>
      </c>
      <c r="Z235" s="1137">
        <f>SUM(Z219:Z220,Z222:Z227,Z229:Z232,Z234)-Z221-Z228</f>
        <v>465796619.58574533</v>
      </c>
      <c r="AA235" s="1074"/>
      <c r="AE235" s="1137">
        <f>SUM(AE219:AE220,AE222:AE227,AE229:AE232,AE234)-AE221-AE228</f>
        <v>816337528.10835838</v>
      </c>
      <c r="AF235" s="1137">
        <f>SUM(AF219:AF220,AF222:AF227,AF229:AF232,AF234)-AF221-AF228</f>
        <v>332693781.08396053</v>
      </c>
      <c r="AG235" s="1137">
        <f>SUM(AG219:AG220,AG222:AG227,AG229:AG232,AG234)-AG221-AG228</f>
        <v>17847127.438652508</v>
      </c>
      <c r="AH235" s="1137">
        <f>SUM(AH219:AH220,AH222:AH227,AH229:AH232,AH234)-AH221-AH228</f>
        <v>465796619.58574533</v>
      </c>
      <c r="AI235" s="1074"/>
      <c r="AM235" s="1137">
        <f>SUM(AM219:AM220,AM222:AM227,AM229:AM232,AM234)-AM221-AM228</f>
        <v>816337528.10835838</v>
      </c>
      <c r="AN235" s="1137">
        <f>SUM(AN219:AN220,AN222:AN227,AN229:AN232,AN234)-AN221-AN228</f>
        <v>332693781.08396053</v>
      </c>
      <c r="AO235" s="1137">
        <f>SUM(AO219:AO220,AO222:AO227,AO229:AO232,AO234)-AO221-AO228</f>
        <v>17847127.438652508</v>
      </c>
      <c r="AP235" s="1137">
        <f>SUM(AP219:AP220,AP222:AP227,AP229:AP232,AP234)-AP221-AP228</f>
        <v>465796619.58574533</v>
      </c>
      <c r="AQ235" s="1074"/>
      <c r="AU235" s="1137">
        <f>SUM(AU219:AU220,AU222:AU227,AU229:AU232,AU234)-AU221-AU228</f>
        <v>816337528.10835838</v>
      </c>
      <c r="AV235" s="1137">
        <f>SUM(AV219:AV220,AV222:AV227,AV229:AV232,AV234)-AV221-AV228</f>
        <v>332693781.08396053</v>
      </c>
      <c r="AW235" s="1137">
        <f>SUM(AW219:AW220,AW222:AW227,AW229:AW232,AW234)-AW221-AW228</f>
        <v>17847127.438652508</v>
      </c>
      <c r="AX235" s="1137">
        <f>SUM(AX219:AX220,AX222:AX227,AX229:AX232,AX234)-AX221-AX228</f>
        <v>465796619.58574533</v>
      </c>
      <c r="AY235" s="1074"/>
      <c r="BC235" s="1137">
        <f>SUM(BC219:BC220,BC222:BC227,BC229:BC232,BC234)-BC221-BC228</f>
        <v>816337528.10835838</v>
      </c>
      <c r="BD235" s="1137">
        <f>SUM(BD219:BD220,BD222:BD227,BD229:BD232,BD234)-BD221-BD228</f>
        <v>332693781.08396053</v>
      </c>
      <c r="BE235" s="1137">
        <f>SUM(BE219:BE220,BE222:BE227,BE229:BE232,BE234)-BE221-BE228</f>
        <v>17847127.438652508</v>
      </c>
      <c r="BF235" s="1137">
        <f>SUM(BF219:BF220,BF222:BF227,BF229:BF232,BF234)-BF221-BF228</f>
        <v>465796619.58574533</v>
      </c>
      <c r="BG235" s="1074"/>
      <c r="BK235" s="1137">
        <f>SUM(BK219:BK220,BK222:BK227,BK229:BK232,BK234)-BK221-BK228</f>
        <v>816337528.10835838</v>
      </c>
      <c r="BL235" s="1137">
        <f>SUM(BL219:BL220,BL222:BL227,BL229:BL232,BL234)-BL221-BL228</f>
        <v>332693781.08396053</v>
      </c>
      <c r="BM235" s="1137">
        <f>SUM(BM219:BM220,BM222:BM227,BM229:BM232,BM234)-BM221-BM228</f>
        <v>17847127.438652508</v>
      </c>
      <c r="BN235" s="1137">
        <f>SUM(BN219:BN220,BN222:BN227,BN229:BN232,BN234)-BN221-BN228</f>
        <v>465796619.58574533</v>
      </c>
      <c r="BO235" s="1074"/>
      <c r="BS235" s="1137">
        <f>SUM(BS219:BS220,BS222:BS227,BS229:BS232,BS234)-BS221-BS228</f>
        <v>816337528.10835838</v>
      </c>
      <c r="BT235" s="1137">
        <f>SUM(BT219:BT220,BT222:BT227,BT229:BT232,BT234)-BT221-BT228</f>
        <v>332693781.08396053</v>
      </c>
      <c r="BU235" s="1137">
        <f>SUM(BU219:BU220,BU222:BU227,BU229:BU232,BU234)-BU221-BU228</f>
        <v>17847127.438652508</v>
      </c>
      <c r="BV235" s="1137">
        <f>SUM(BV219:BV220,BV222:BV227,BV229:BV232,BV234)-BV221-BV228</f>
        <v>465796619.58574533</v>
      </c>
      <c r="BW235" s="1074"/>
      <c r="CA235" s="1137">
        <f>SUM(CA219:CA220,CA222:CA227,CA229:CA232,CA234)-CA221-CA228</f>
        <v>816337528.10835838</v>
      </c>
      <c r="CB235" s="1137">
        <f>SUM(CB219:CB220,CB222:CB227,CB229:CB232,CB234)-CB221-CB228</f>
        <v>332693781.08396053</v>
      </c>
      <c r="CC235" s="1137">
        <f>SUM(CC219:CC220,CC222:CC227,CC229:CC232,CC234)-CC221-CC228</f>
        <v>17847127.438652508</v>
      </c>
      <c r="CD235" s="1137">
        <f>SUM(CD219:CD220,CD222:CD227,CD229:CD232,CD234)-CD221-CD228</f>
        <v>465796619.58574533</v>
      </c>
      <c r="CE235" s="1074"/>
      <c r="CI235" s="1137">
        <f>SUM(CI219:CI220,CI222:CI227,CI229:CI232,CI234)-CI221-CI228</f>
        <v>816337528.10835838</v>
      </c>
      <c r="CJ235" s="1137">
        <f>SUM(CJ219:CJ220,CJ222:CJ227,CJ229:CJ232,CJ234)-CJ221-CJ228</f>
        <v>332693781.08396053</v>
      </c>
      <c r="CK235" s="1137">
        <f>SUM(CK219:CK220,CK222:CK227,CK229:CK232,CK234)-CK221-CK228</f>
        <v>17847127.438652508</v>
      </c>
      <c r="CL235" s="1137">
        <f>SUM(CL219:CL220,CL222:CL227,CL229:CL232,CL234)-CL221-CL228</f>
        <v>465796619.58574533</v>
      </c>
      <c r="CM235" s="1074"/>
      <c r="CQ235" s="1137">
        <f>SUM(CQ219:CQ220,CQ222:CQ227,CQ229:CQ232,CQ234)-CQ221-CQ228</f>
        <v>816337528.10835838</v>
      </c>
      <c r="CR235" s="1137">
        <f>SUM(CR219:CR220,CR222:CR227,CR229:CR232,CR234)-CR221-CR228</f>
        <v>332693781.08396053</v>
      </c>
      <c r="CS235" s="1137">
        <f>SUM(CS219:CS220,CS222:CS227,CS229:CS232,CS234)-CS221-CS228</f>
        <v>17847127.438652508</v>
      </c>
      <c r="CT235" s="1137">
        <f>SUM(CT219:CT220,CT222:CT227,CT229:CT232,CT234)-CT221-CT228</f>
        <v>465796619.58574533</v>
      </c>
      <c r="CU235" s="1074"/>
      <c r="CY235" s="1137">
        <f>SUM(CY219:CY220,CY222:CY227,CY229:CY232,CY234)-CY221-CY228</f>
        <v>816337528.10835838</v>
      </c>
      <c r="CZ235" s="1137">
        <f>SUM(CZ219:CZ220,CZ222:CZ227,CZ229:CZ232,CZ234)-CZ221-CZ228</f>
        <v>332693781.08396053</v>
      </c>
      <c r="DA235" s="1137">
        <f>SUM(DA219:DA220,DA222:DA227,DA229:DA232,DA234)-DA221-DA228</f>
        <v>17847127.438652508</v>
      </c>
      <c r="DB235" s="1137">
        <f>SUM(DB219:DB220,DB222:DB227,DB229:DB232,DB234)-DB221-DB228</f>
        <v>465796619.58574533</v>
      </c>
      <c r="DC235" s="1074"/>
      <c r="DG235" s="1137">
        <f>SUM(DG219:DG220,DG222:DG227,DG229:DG232,DG234)-DG221-DG228</f>
        <v>816337528.10835838</v>
      </c>
      <c r="DH235" s="1137">
        <f>SUM(DH219:DH220,DH222:DH227,DH229:DH232,DH234)-DH221-DH228</f>
        <v>332693781.08396053</v>
      </c>
      <c r="DI235" s="1137">
        <f>SUM(DI219:DI220,DI222:DI227,DI229:DI232,DI234)-DI221-DI228</f>
        <v>17847127.438652508</v>
      </c>
      <c r="DJ235" s="1137">
        <f>SUM(DJ219:DJ220,DJ222:DJ227,DJ229:DJ232,DJ234)-DJ221-DJ228</f>
        <v>465796619.58574533</v>
      </c>
      <c r="DK235" s="1074"/>
      <c r="DO235" s="1137">
        <f>SUM(DO219:DO220,DO222:DO227,DO229:DO232,DO234)-DO221-DO228</f>
        <v>816337528.10835838</v>
      </c>
      <c r="DP235" s="1137">
        <f>SUM(DP219:DP220,DP222:DP227,DP229:DP232,DP234)-DP221-DP228</f>
        <v>332693781.08396053</v>
      </c>
      <c r="DQ235" s="1137">
        <f>SUM(DQ219:DQ220,DQ222:DQ227,DQ229:DQ232,DQ234)-DQ221-DQ228</f>
        <v>17847127.438652508</v>
      </c>
      <c r="DR235" s="1137">
        <f>SUM(DR219:DR220,DR222:DR227,DR229:DR232,DR234)-DR221-DR228</f>
        <v>465796619.58574533</v>
      </c>
      <c r="DS235" s="1074"/>
      <c r="DW235" s="1137">
        <f>SUM(DW219:DW220,DW222:DW227,DW229:DW232,DW234)-DW221-DW228</f>
        <v>816337528.10835838</v>
      </c>
      <c r="DX235" s="1137">
        <f>SUM(DX219:DX220,DX222:DX227,DX229:DX232,DX234)-DX221-DX228</f>
        <v>332693781.08396053</v>
      </c>
      <c r="DY235" s="1137">
        <f>SUM(DY219:DY220,DY222:DY227,DY229:DY232,DY234)-DY221-DY228</f>
        <v>17847127.438652508</v>
      </c>
      <c r="DZ235" s="1137">
        <f>SUM(DZ219:DZ220,DZ222:DZ227,DZ229:DZ232,DZ234)-DZ221-DZ228</f>
        <v>465796619.58574533</v>
      </c>
      <c r="EA235" s="1074"/>
      <c r="EE235" s="1137">
        <f>SUM(EE219:EE220,EE222:EE227,EE229:EE232,EE234)-EE221-EE228</f>
        <v>816337528.10835838</v>
      </c>
      <c r="EF235" s="1137">
        <f>SUM(EF219:EF220,EF222:EF227,EF229:EF232,EF234)-EF221-EF228</f>
        <v>332693781.08396053</v>
      </c>
      <c r="EG235" s="1137">
        <f>SUM(EG219:EG220,EG222:EG227,EG229:EG232,EG234)-EG221-EG228</f>
        <v>17847127.438652508</v>
      </c>
      <c r="EH235" s="1137">
        <f>SUM(EH219:EH220,EH222:EH227,EH229:EH232,EH234)-EH221-EH228</f>
        <v>465796619.58574533</v>
      </c>
      <c r="EI235" s="1074"/>
      <c r="EM235" s="1137">
        <f>SUM(EM219:EM220,EM222:EM227,EM229:EM232,EM234)-EM221-EM228</f>
        <v>816337528.10835838</v>
      </c>
      <c r="EN235" s="1137">
        <f>SUM(EN219:EN220,EN222:EN227,EN229:EN232,EN234)-EN221-EN228</f>
        <v>332693781.08396053</v>
      </c>
      <c r="EO235" s="1137">
        <f>SUM(EO219:EO220,EO222:EO227,EO229:EO232,EO234)-EO221-EO228</f>
        <v>17847127.438652508</v>
      </c>
      <c r="EP235" s="1137">
        <f>SUM(EP219:EP220,EP222:EP227,EP229:EP232,EP234)-EP221-EP228</f>
        <v>465796619.58574533</v>
      </c>
      <c r="EQ235" s="1074"/>
      <c r="EU235" s="1137">
        <f>SUM(EU219:EU220,EU222:EU227,EU229:EU232,EU234)-EU221-EU228</f>
        <v>816337528.10835838</v>
      </c>
      <c r="EV235" s="1137">
        <f>SUM(EV219:EV220,EV222:EV227,EV229:EV232,EV234)-EV221-EV228</f>
        <v>332693781.08396053</v>
      </c>
      <c r="EW235" s="1137">
        <f>SUM(EW219:EW220,EW222:EW227,EW229:EW232,EW234)-EW221-EW228</f>
        <v>17847127.438652508</v>
      </c>
      <c r="EX235" s="1137">
        <f>SUM(EX219:EX220,EX222:EX227,EX229:EX232,EX234)-EX221-EX228</f>
        <v>465796619.58574533</v>
      </c>
      <c r="EY235" s="1074"/>
      <c r="FC235" s="1137">
        <f>SUM(FC219:FC220,FC222:FC227,FC229:FC232,FC234)-FC221-FC228</f>
        <v>816337528.10835838</v>
      </c>
      <c r="FD235" s="1137">
        <f>SUM(FD219:FD220,FD222:FD227,FD229:FD232,FD234)-FD221-FD228</f>
        <v>332693781.08396053</v>
      </c>
      <c r="FE235" s="1137">
        <f>SUM(FE219:FE220,FE222:FE227,FE229:FE232,FE234)-FE221-FE228</f>
        <v>17847127.438652508</v>
      </c>
      <c r="FF235" s="1137">
        <f>SUM(FF219:FF220,FF222:FF227,FF229:FF232,FF234)-FF221-FF228</f>
        <v>465796619.58574533</v>
      </c>
      <c r="FG235" s="1074"/>
      <c r="FK235" s="1137">
        <f>SUM(FK219:FK220,FK222:FK227,FK229:FK232,FK234)-FK221-FK228</f>
        <v>816337528.10835838</v>
      </c>
      <c r="FL235" s="1137">
        <f>SUM(FL219:FL220,FL222:FL227,FL229:FL232,FL234)-FL221-FL228</f>
        <v>332693781.08396053</v>
      </c>
      <c r="FM235" s="1137">
        <f>SUM(FM219:FM220,FM222:FM227,FM229:FM232,FM234)-FM221-FM228</f>
        <v>17847127.438652508</v>
      </c>
      <c r="FN235" s="1137">
        <f>SUM(FN219:FN220,FN222:FN227,FN229:FN232,FN234)-FN221-FN228</f>
        <v>465796619.58574533</v>
      </c>
      <c r="FO235" s="1074"/>
    </row>
    <row r="236" spans="1:171" ht="16.5" thickBot="1" x14ac:dyDescent="0.3">
      <c r="A236" s="1470"/>
      <c r="B236" s="996"/>
      <c r="C236" s="933"/>
      <c r="D236" s="1001"/>
      <c r="E236" s="1001"/>
      <c r="F236" s="1001"/>
      <c r="G236" s="1002"/>
      <c r="H236" s="1003"/>
      <c r="I236" s="1003"/>
      <c r="J236" s="1433"/>
      <c r="K236" s="904"/>
      <c r="O236" s="1080"/>
      <c r="S236" s="1074"/>
      <c r="W236" s="1080"/>
      <c r="AA236" s="1074"/>
      <c r="AE236" s="1080"/>
      <c r="AI236" s="1074"/>
      <c r="AM236" s="1080"/>
      <c r="AQ236" s="1074"/>
      <c r="AU236" s="1080"/>
      <c r="AY236" s="1074"/>
      <c r="BC236" s="1080"/>
      <c r="BG236" s="1074"/>
      <c r="BK236" s="1080"/>
      <c r="BO236" s="1074"/>
      <c r="BS236" s="1080"/>
      <c r="BW236" s="1074"/>
      <c r="CA236" s="1080"/>
      <c r="CE236" s="1074"/>
      <c r="CI236" s="1080"/>
      <c r="CM236" s="1074"/>
      <c r="CQ236" s="1080"/>
      <c r="CU236" s="1074"/>
      <c r="CY236" s="1080"/>
      <c r="DC236" s="1074"/>
      <c r="DG236" s="1080"/>
      <c r="DK236" s="1074"/>
      <c r="DO236" s="1080"/>
      <c r="DS236" s="1074"/>
      <c r="DW236" s="1080"/>
      <c r="EA236" s="1074"/>
      <c r="EE236" s="1080"/>
      <c r="EI236" s="1074"/>
      <c r="EM236" s="1080"/>
      <c r="EQ236" s="1074"/>
      <c r="EU236" s="1080"/>
      <c r="EY236" s="1074"/>
      <c r="FC236" s="1080"/>
      <c r="FG236" s="1074"/>
      <c r="FK236" s="1080"/>
      <c r="FO236" s="1074"/>
    </row>
    <row r="237" spans="1:171" ht="16.5" thickTop="1" x14ac:dyDescent="0.25">
      <c r="A237" s="1344" t="s">
        <v>494</v>
      </c>
      <c r="B237" s="10"/>
      <c r="C237" s="915"/>
      <c r="D237" s="916"/>
      <c r="E237" s="916"/>
      <c r="F237" s="917"/>
      <c r="G237" s="924">
        <f>G196+G202+G207+G215+G235</f>
        <v>2801115468.0404692</v>
      </c>
      <c r="H237" s="924">
        <f>H196+H202+H207+H215+H235</f>
        <v>2048936794.7969301</v>
      </c>
      <c r="I237" s="924">
        <f>I196+I202+I207+I215+I235</f>
        <v>0</v>
      </c>
      <c r="J237" s="1429">
        <f>J196+J202+J207+J215+J235</f>
        <v>752175602.01958001</v>
      </c>
      <c r="K237" s="904"/>
      <c r="O237" s="1136">
        <f>O196+O202+O207+O215+O235</f>
        <v>2801115468.0404692</v>
      </c>
      <c r="P237" s="1136">
        <f>P196+P202+P207+P215+P235</f>
        <v>2048936794.7969301</v>
      </c>
      <c r="Q237" s="1136">
        <f>Q196+Q202+Q207+Q215+Q235</f>
        <v>55345171.546346359</v>
      </c>
      <c r="R237" s="1136">
        <f>R196+R202+R207+R215+R235</f>
        <v>696833501.69719291</v>
      </c>
      <c r="S237" s="1074"/>
      <c r="W237" s="1136">
        <f>W196+W202+W207+W215+W235</f>
        <v>2801115468.0404692</v>
      </c>
      <c r="X237" s="1136">
        <f>X196+X202+X207+X215+X235</f>
        <v>2048936794.7969301</v>
      </c>
      <c r="Y237" s="1136">
        <f>Y196+Y202+Y207+Y215+Y235</f>
        <v>55345171.546346359</v>
      </c>
      <c r="Z237" s="1136">
        <f>Z196+Z202+Z207+Z215+Z235</f>
        <v>696833501.69719291</v>
      </c>
      <c r="AA237" s="1074"/>
      <c r="AE237" s="1136">
        <f>AE196+AE202+AE207+AE215+AE235</f>
        <v>2801115468.0404692</v>
      </c>
      <c r="AF237" s="1136">
        <f>AF196+AF202+AF207+AF215+AF235</f>
        <v>2048936794.7969301</v>
      </c>
      <c r="AG237" s="1136">
        <f>AG196+AG202+AG207+AG215+AG235</f>
        <v>55345171.546346359</v>
      </c>
      <c r="AH237" s="1136">
        <f>AH196+AH202+AH207+AH215+AH235</f>
        <v>696833501.69719291</v>
      </c>
      <c r="AI237" s="1074"/>
      <c r="AM237" s="1136">
        <f>AM196+AM202+AM207+AM215+AM235</f>
        <v>2801115468.0404692</v>
      </c>
      <c r="AN237" s="1136">
        <f>AN196+AN202+AN207+AN215+AN235</f>
        <v>2048936794.7969301</v>
      </c>
      <c r="AO237" s="1136">
        <f>AO196+AO202+AO207+AO215+AO235</f>
        <v>55345171.546346359</v>
      </c>
      <c r="AP237" s="1136">
        <f>AP196+AP202+AP207+AP215+AP235</f>
        <v>696833501.69719291</v>
      </c>
      <c r="AQ237" s="1074"/>
      <c r="AU237" s="1136">
        <f>AU196+AU202+AU207+AU215+AU235</f>
        <v>2801115468.0404692</v>
      </c>
      <c r="AV237" s="1136">
        <f>AV196+AV202+AV207+AV215+AV235</f>
        <v>2048936794.7969301</v>
      </c>
      <c r="AW237" s="1136">
        <f>AW196+AW202+AW207+AW215+AW235</f>
        <v>55345171.546346359</v>
      </c>
      <c r="AX237" s="1136">
        <f>AX196+AX202+AX207+AX215+AX235</f>
        <v>696833501.69719291</v>
      </c>
      <c r="AY237" s="1074"/>
      <c r="BC237" s="1136">
        <f>BC196+BC202+BC207+BC215+BC235</f>
        <v>2801115468.0404692</v>
      </c>
      <c r="BD237" s="1136">
        <f>BD196+BD202+BD207+BD215+BD235</f>
        <v>2048936794.7969301</v>
      </c>
      <c r="BE237" s="1136">
        <f>BE196+BE202+BE207+BE215+BE235</f>
        <v>55345171.546346359</v>
      </c>
      <c r="BF237" s="1136">
        <f>BF196+BF202+BF207+BF215+BF235</f>
        <v>696833501.69719291</v>
      </c>
      <c r="BG237" s="1074"/>
      <c r="BK237" s="1136">
        <f>BK196+BK202+BK207+BK215+BK235</f>
        <v>2801115468.0404692</v>
      </c>
      <c r="BL237" s="1136">
        <f>BL196+BL202+BL207+BL215+BL235</f>
        <v>2048936794.7969301</v>
      </c>
      <c r="BM237" s="1136">
        <f>BM196+BM202+BM207+BM215+BM235</f>
        <v>55345171.546346359</v>
      </c>
      <c r="BN237" s="1136">
        <f>BN196+BN202+BN207+BN215+BN235</f>
        <v>696833501.69719291</v>
      </c>
      <c r="BO237" s="1074"/>
      <c r="BS237" s="1136">
        <f>BS196+BS202+BS207+BS215+BS235</f>
        <v>2801115468.0404692</v>
      </c>
      <c r="BT237" s="1136">
        <f>BT196+BT202+BT207+BT215+BT235</f>
        <v>2048936794.7969301</v>
      </c>
      <c r="BU237" s="1136">
        <f>BU196+BU202+BU207+BU215+BU235</f>
        <v>55345171.546346359</v>
      </c>
      <c r="BV237" s="1136">
        <f>BV196+BV202+BV207+BV215+BV235</f>
        <v>696833501.69719291</v>
      </c>
      <c r="BW237" s="1074"/>
      <c r="CA237" s="1136">
        <f>CA196+CA202+CA207+CA215+CA235</f>
        <v>2801115468.0404692</v>
      </c>
      <c r="CB237" s="1136">
        <f>CB196+CB202+CB207+CB215+CB235</f>
        <v>2048936794.7969301</v>
      </c>
      <c r="CC237" s="1136">
        <f>CC196+CC202+CC207+CC215+CC235</f>
        <v>55345171.546346359</v>
      </c>
      <c r="CD237" s="1136">
        <f>CD196+CD202+CD207+CD215+CD235</f>
        <v>696833501.69719291</v>
      </c>
      <c r="CE237" s="1074"/>
      <c r="CI237" s="1136">
        <f>CI196+CI202+CI207+CI215+CI235</f>
        <v>2801115468.0404692</v>
      </c>
      <c r="CJ237" s="1136">
        <f>CJ196+CJ202+CJ207+CJ215+CJ235</f>
        <v>2048936794.7969301</v>
      </c>
      <c r="CK237" s="1136">
        <f>CK196+CK202+CK207+CK215+CK235</f>
        <v>55345171.546346359</v>
      </c>
      <c r="CL237" s="1136">
        <f>CL196+CL202+CL207+CL215+CL235</f>
        <v>696833501.69719291</v>
      </c>
      <c r="CM237" s="1074"/>
      <c r="CQ237" s="1136">
        <f>CQ196+CQ202+CQ207+CQ215+CQ235</f>
        <v>2801115468.0404692</v>
      </c>
      <c r="CR237" s="1136">
        <f>CR196+CR202+CR207+CR215+CR235</f>
        <v>2048936794.7969301</v>
      </c>
      <c r="CS237" s="1136">
        <f>CS196+CS202+CS207+CS215+CS235</f>
        <v>55345171.546346359</v>
      </c>
      <c r="CT237" s="1136">
        <f>CT196+CT202+CT207+CT215+CT235</f>
        <v>696833501.69719291</v>
      </c>
      <c r="CU237" s="1074"/>
      <c r="CY237" s="1136">
        <f>CY196+CY202+CY207+CY215+CY235</f>
        <v>2801115468.0404692</v>
      </c>
      <c r="CZ237" s="1136">
        <f>CZ196+CZ202+CZ207+CZ215+CZ235</f>
        <v>2048936794.7969301</v>
      </c>
      <c r="DA237" s="1136">
        <f>DA196+DA202+DA207+DA215+DA235</f>
        <v>55345171.546346359</v>
      </c>
      <c r="DB237" s="1136">
        <f>DB196+DB202+DB207+DB215+DB235</f>
        <v>696833501.69719291</v>
      </c>
      <c r="DC237" s="1074"/>
      <c r="DG237" s="1136">
        <f>DG196+DG202+DG207+DG215+DG235</f>
        <v>2801115468.0404692</v>
      </c>
      <c r="DH237" s="1136">
        <f>DH196+DH202+DH207+DH215+DH235</f>
        <v>2048936794.7969301</v>
      </c>
      <c r="DI237" s="1136">
        <f>DI196+DI202+DI207+DI215+DI235</f>
        <v>55345171.546346359</v>
      </c>
      <c r="DJ237" s="1136">
        <f>DJ196+DJ202+DJ207+DJ215+DJ235</f>
        <v>696833501.69719291</v>
      </c>
      <c r="DK237" s="1074"/>
      <c r="DO237" s="1136">
        <f>DO196+DO202+DO207+DO215+DO235</f>
        <v>2801115468.0404692</v>
      </c>
      <c r="DP237" s="1136">
        <f>DP196+DP202+DP207+DP215+DP235</f>
        <v>2048936794.7969301</v>
      </c>
      <c r="DQ237" s="1136">
        <f>DQ196+DQ202+DQ207+DQ215+DQ235</f>
        <v>55345171.546346359</v>
      </c>
      <c r="DR237" s="1136">
        <f>DR196+DR202+DR207+DR215+DR235</f>
        <v>696833501.69719291</v>
      </c>
      <c r="DS237" s="1074"/>
      <c r="DW237" s="1136">
        <f>DW196+DW202+DW207+DW215+DW235</f>
        <v>2801115468.0404692</v>
      </c>
      <c r="DX237" s="1136">
        <f>DX196+DX202+DX207+DX215+DX235</f>
        <v>2048936794.7969301</v>
      </c>
      <c r="DY237" s="1136">
        <f>DY196+DY202+DY207+DY215+DY235</f>
        <v>55345171.546346359</v>
      </c>
      <c r="DZ237" s="1136">
        <f>DZ196+DZ202+DZ207+DZ215+DZ235</f>
        <v>696833501.69719291</v>
      </c>
      <c r="EA237" s="1074"/>
      <c r="EE237" s="1136">
        <f>EE196+EE202+EE207+EE215+EE235</f>
        <v>2801115468.0404692</v>
      </c>
      <c r="EF237" s="1136">
        <f>EF196+EF202+EF207+EF215+EF235</f>
        <v>2048936794.7969301</v>
      </c>
      <c r="EG237" s="1136">
        <f>EG196+EG202+EG207+EG215+EG235</f>
        <v>55345171.546346359</v>
      </c>
      <c r="EH237" s="1136">
        <f>EH196+EH202+EH207+EH215+EH235</f>
        <v>696833501.69719291</v>
      </c>
      <c r="EI237" s="1074"/>
      <c r="EM237" s="1136">
        <f>EM196+EM202+EM207+EM215+EM235</f>
        <v>2801115468.0404692</v>
      </c>
      <c r="EN237" s="1136">
        <f>EN196+EN202+EN207+EN215+EN235</f>
        <v>2048936794.7969301</v>
      </c>
      <c r="EO237" s="1136">
        <f>EO196+EO202+EO207+EO215+EO235</f>
        <v>55345171.546346359</v>
      </c>
      <c r="EP237" s="1136">
        <f>EP196+EP202+EP207+EP215+EP235</f>
        <v>696833501.69719291</v>
      </c>
      <c r="EQ237" s="1074"/>
      <c r="EU237" s="1136">
        <f>EU196+EU202+EU207+EU215+EU235</f>
        <v>2801115468.0404692</v>
      </c>
      <c r="EV237" s="1136">
        <f>EV196+EV202+EV207+EV215+EV235</f>
        <v>2048936794.7969301</v>
      </c>
      <c r="EW237" s="1136">
        <f>EW196+EW202+EW207+EW215+EW235</f>
        <v>55345171.546346359</v>
      </c>
      <c r="EX237" s="1136">
        <f>EX196+EX202+EX207+EX215+EX235</f>
        <v>696833501.69719291</v>
      </c>
      <c r="EY237" s="1074"/>
      <c r="FC237" s="1136">
        <f>FC196+FC202+FC207+FC215+FC235</f>
        <v>2801115468.0404692</v>
      </c>
      <c r="FD237" s="1136">
        <f>FD196+FD202+FD207+FD215+FD235</f>
        <v>2048936794.7969301</v>
      </c>
      <c r="FE237" s="1136">
        <f>FE196+FE202+FE207+FE215+FE235</f>
        <v>55345171.546346359</v>
      </c>
      <c r="FF237" s="1136">
        <f>FF196+FF202+FF207+FF215+FF235</f>
        <v>696833501.69719291</v>
      </c>
      <c r="FG237" s="1074"/>
      <c r="FK237" s="1136">
        <f>FK196+FK202+FK207+FK215+FK235</f>
        <v>2801115468.0404692</v>
      </c>
      <c r="FL237" s="1136">
        <f>FL196+FL202+FL207+FL215+FL235</f>
        <v>2048936794.7969301</v>
      </c>
      <c r="FM237" s="1136">
        <f>FM196+FM202+FM207+FM215+FM235</f>
        <v>55345171.546346359</v>
      </c>
      <c r="FN237" s="1136">
        <f>FN196+FN202+FN207+FN215+FN235</f>
        <v>696833501.69719291</v>
      </c>
      <c r="FO237" s="1074"/>
    </row>
    <row r="238" spans="1:171" x14ac:dyDescent="0.25">
      <c r="A238" s="1471" t="s">
        <v>429</v>
      </c>
      <c r="B238" s="1004"/>
      <c r="C238" s="85"/>
      <c r="D238" s="914"/>
      <c r="E238" s="914"/>
      <c r="F238" s="914"/>
      <c r="G238" s="999"/>
      <c r="H238" s="1005"/>
      <c r="I238" s="1005"/>
      <c r="J238" s="1472"/>
      <c r="K238" s="904"/>
      <c r="S238" s="1074"/>
      <c r="AA238" s="1074"/>
      <c r="AI238" s="1074"/>
      <c r="AQ238" s="1074"/>
      <c r="AY238" s="1074"/>
      <c r="BG238" s="1074"/>
      <c r="BO238" s="1074"/>
      <c r="BW238" s="1074"/>
      <c r="CE238" s="1074"/>
      <c r="CM238" s="1074"/>
      <c r="CU238" s="1074"/>
      <c r="DC238" s="1074"/>
      <c r="DK238" s="1074"/>
      <c r="DS238" s="1074"/>
      <c r="EA238" s="1074"/>
      <c r="EI238" s="1074"/>
      <c r="EQ238" s="1074"/>
      <c r="EY238" s="1074"/>
      <c r="FG238" s="1074"/>
      <c r="FO238" s="1074"/>
    </row>
    <row r="239" spans="1:171" x14ac:dyDescent="0.25">
      <c r="A239" s="1440"/>
      <c r="B239" s="948"/>
      <c r="C239" s="1007"/>
      <c r="D239" s="1008"/>
      <c r="E239" s="1007"/>
      <c r="F239" s="1007"/>
      <c r="G239" s="1009"/>
      <c r="H239" s="1010"/>
      <c r="I239" s="1010"/>
      <c r="J239" s="1473"/>
      <c r="K239" s="904"/>
      <c r="S239" s="1074"/>
      <c r="AA239" s="1074"/>
      <c r="AI239" s="1074"/>
      <c r="AQ239" s="1074"/>
      <c r="AY239" s="1074"/>
      <c r="BG239" s="1074"/>
      <c r="BO239" s="1074"/>
      <c r="BW239" s="1074"/>
      <c r="CE239" s="1074"/>
      <c r="CM239" s="1074"/>
      <c r="CU239" s="1074"/>
      <c r="DC239" s="1074"/>
      <c r="DK239" s="1074"/>
      <c r="DS239" s="1074"/>
      <c r="EA239" s="1074"/>
      <c r="EI239" s="1074"/>
      <c r="EQ239" s="1074"/>
      <c r="EY239" s="1074"/>
      <c r="FG239" s="1074"/>
      <c r="FO239" s="1074"/>
    </row>
    <row r="240" spans="1:171" x14ac:dyDescent="0.25">
      <c r="A240" s="1361" t="s">
        <v>40</v>
      </c>
      <c r="B240" s="1012"/>
      <c r="C240" s="1013"/>
      <c r="D240" s="1013"/>
      <c r="E240" s="1013"/>
      <c r="F240" s="10"/>
      <c r="G240" s="1014"/>
      <c r="H240" s="990"/>
      <c r="I240" s="990"/>
      <c r="J240" s="1474"/>
      <c r="K240" s="904"/>
      <c r="S240" s="1074"/>
      <c r="AA240" s="1074"/>
      <c r="AI240" s="1074"/>
      <c r="AQ240" s="1074"/>
      <c r="AY240" s="1074"/>
      <c r="BG240" s="1074"/>
      <c r="BO240" s="1074"/>
      <c r="BW240" s="1074"/>
      <c r="CE240" s="1074"/>
      <c r="CM240" s="1074"/>
      <c r="CU240" s="1074"/>
      <c r="DC240" s="1074"/>
      <c r="DK240" s="1074"/>
      <c r="DS240" s="1074"/>
      <c r="EA240" s="1074"/>
      <c r="EI240" s="1074"/>
      <c r="EQ240" s="1074"/>
      <c r="EY240" s="1074"/>
      <c r="FG240" s="1074"/>
      <c r="FO240" s="1074"/>
    </row>
    <row r="241" spans="1:171" x14ac:dyDescent="0.25">
      <c r="A241" s="1437"/>
      <c r="B241" s="914" t="s">
        <v>370</v>
      </c>
      <c r="C241" s="889">
        <v>336</v>
      </c>
      <c r="D241" s="889">
        <v>403</v>
      </c>
      <c r="E241" s="182" t="str">
        <f>'Sch 3 - Expenses'!E81</f>
        <v>DIST</v>
      </c>
      <c r="F241" s="890"/>
      <c r="G241" s="182">
        <f>'Sch 3 - Expenses'!G81</f>
        <v>0</v>
      </c>
      <c r="H241" s="182">
        <f>'Sch 3 - Expenses'!H81</f>
        <v>0</v>
      </c>
      <c r="I241" s="182">
        <f>'Sch 3 - Expenses'!I81</f>
        <v>0</v>
      </c>
      <c r="J241" s="1422">
        <f>'Sch 3 - Expenses'!J81</f>
        <v>0</v>
      </c>
      <c r="K241" s="904">
        <f t="shared" ref="K241:K256" si="629">IF($E241="DIRECT",0,1)</f>
        <v>1</v>
      </c>
      <c r="O241" s="1117">
        <f>$G241</f>
        <v>0</v>
      </c>
      <c r="P241" s="1118">
        <f t="shared" ref="P241:P256" si="630">VLOOKUP($E241,O$442:R$453,2,FALSE)*O241*($K241)+IF($G241&lt;&gt;0,($H241/$G241)*O241,0)*(1-$K241)</f>
        <v>0</v>
      </c>
      <c r="Q241" s="1118">
        <f t="shared" ref="Q241:Q256" si="631">VLOOKUP($E241,O$442:R$453,3,FALSE)*O241*($K241)+IF($G241&lt;&gt;0,($I241/$G241)*O241,0)*(1-$K241)</f>
        <v>0</v>
      </c>
      <c r="R241" s="1118">
        <f t="shared" ref="R241:R256" si="632">VLOOKUP($E241,O$442:R$453,4,FALSE)*O241*($K241)+(O241-P241-Q241)*(1-$K241)</f>
        <v>0</v>
      </c>
      <c r="S241" s="1074"/>
      <c r="W241" s="1117">
        <f>$G241</f>
        <v>0</v>
      </c>
      <c r="X241" s="1118">
        <f t="shared" ref="X241:X256" si="633">VLOOKUP($E241,W$442:Z$453,2,FALSE)*W241*($K241)+IF($G241&lt;&gt;0,($H241/$G241)*W241,0)*(1-$K241)</f>
        <v>0</v>
      </c>
      <c r="Y241" s="1118">
        <f t="shared" ref="Y241:Y256" si="634">VLOOKUP($E241,W$442:Z$453,3,FALSE)*W241*($K241)+IF($G241&lt;&gt;0,($I241/$G241)*W241,0)*(1-$K241)</f>
        <v>0</v>
      </c>
      <c r="Z241" s="1118">
        <f t="shared" ref="Z241:Z256" si="635">VLOOKUP($E241,W$442:Z$453,4,FALSE)*W241*($K241)+(W241-X241-Y241)*(1-$K241)</f>
        <v>0</v>
      </c>
      <c r="AA241" s="1074"/>
      <c r="AE241" s="1117">
        <f>$G241</f>
        <v>0</v>
      </c>
      <c r="AF241" s="1118">
        <f t="shared" ref="AF241:AF256" si="636">VLOOKUP($E241,AE$442:AH$453,2,FALSE)*AE241*($K241)+IF($G241&lt;&gt;0,($H241/$G241)*AE241,0)*(1-$K241)</f>
        <v>0</v>
      </c>
      <c r="AG241" s="1118">
        <f t="shared" ref="AG241:AG256" si="637">VLOOKUP($E241,AE$442:AH$453,3,FALSE)*AE241*($K241)+IF($G241&lt;&gt;0,($I241/$G241)*AE241,0)*(1-$K241)</f>
        <v>0</v>
      </c>
      <c r="AH241" s="1118">
        <f t="shared" ref="AH241:AH256" si="638">VLOOKUP($E241,AE$442:AH$453,4,FALSE)*AE241*($K241)+(AE241-AF241-AG241)*(1-$K241)</f>
        <v>0</v>
      </c>
      <c r="AI241" s="1074"/>
      <c r="AM241" s="1117">
        <f>$G241</f>
        <v>0</v>
      </c>
      <c r="AN241" s="1118">
        <f t="shared" ref="AN241:AN256" si="639">VLOOKUP($E241,AM$442:AP$453,2,FALSE)*AM241*($K241)+IF($G241&lt;&gt;0,($H241/$G241)*AM241,0)*(1-$K241)</f>
        <v>0</v>
      </c>
      <c r="AO241" s="1118">
        <f t="shared" ref="AO241:AO256" si="640">VLOOKUP($E241,AM$442:AP$453,3,FALSE)*AM241*($K241)+IF($G241&lt;&gt;0,($I241/$G241)*AM241,0)*(1-$K241)</f>
        <v>0</v>
      </c>
      <c r="AP241" s="1118">
        <f t="shared" ref="AP241:AP256" si="641">VLOOKUP($E241,AM$442:AP$453,4,FALSE)*AM241*($K241)+(AM241-AN241-AO241)*(1-$K241)</f>
        <v>0</v>
      </c>
      <c r="AQ241" s="1074"/>
      <c r="AU241" s="1117">
        <f>$G241</f>
        <v>0</v>
      </c>
      <c r="AV241" s="1118">
        <f t="shared" ref="AV241:AV256" si="642">VLOOKUP($E241,AU$442:AX$453,2,FALSE)*AU241*($K241)+IF($G241&lt;&gt;0,($H241/$G241)*AU241,0)*(1-$K241)</f>
        <v>0</v>
      </c>
      <c r="AW241" s="1118">
        <f t="shared" ref="AW241:AW256" si="643">VLOOKUP($E241,AU$442:AX$453,3,FALSE)*AU241*($K241)+IF($G241&lt;&gt;0,($I241/$G241)*AU241,0)*(1-$K241)</f>
        <v>0</v>
      </c>
      <c r="AX241" s="1118">
        <f t="shared" ref="AX241:AX256" si="644">VLOOKUP($E241,AU$442:AX$453,4,FALSE)*AU241*($K241)+(AU241-AV241-AW241)*(1-$K241)</f>
        <v>0</v>
      </c>
      <c r="AY241" s="1074"/>
      <c r="BC241" s="1117">
        <f>$G241</f>
        <v>0</v>
      </c>
      <c r="BD241" s="1118">
        <f t="shared" ref="BD241:BD256" si="645">VLOOKUP($E241,BC$442:BF$453,2,FALSE)*BC241*($K241)+IF($G241&lt;&gt;0,($H241/$G241)*BC241,0)*(1-$K241)</f>
        <v>0</v>
      </c>
      <c r="BE241" s="1118">
        <f t="shared" ref="BE241:BE256" si="646">VLOOKUP($E241,BC$442:BF$453,3,FALSE)*BC241*($K241)+IF($G241&lt;&gt;0,($I241/$G241)*BC241,0)*(1-$K241)</f>
        <v>0</v>
      </c>
      <c r="BF241" s="1118">
        <f t="shared" ref="BF241:BF256" si="647">VLOOKUP($E241,BC$442:BF$453,4,FALSE)*BC241*($K241)+(BC241-BD241-BE241)*(1-$K241)</f>
        <v>0</v>
      </c>
      <c r="BG241" s="1074"/>
      <c r="BK241" s="1117">
        <f>$G241</f>
        <v>0</v>
      </c>
      <c r="BL241" s="1118">
        <f t="shared" ref="BL241:BL256" si="648">VLOOKUP($E241,BK$442:BN$453,2,FALSE)*BK241*($K241)+IF($G241&lt;&gt;0,($H241/$G241)*BK241,0)*(1-$K241)</f>
        <v>0</v>
      </c>
      <c r="BM241" s="1118">
        <f t="shared" ref="BM241:BM256" si="649">VLOOKUP($E241,BK$442:BN$453,3,FALSE)*BK241*($K241)+IF($G241&lt;&gt;0,($I241/$G241)*BK241,0)*(1-$K241)</f>
        <v>0</v>
      </c>
      <c r="BN241" s="1118">
        <f t="shared" ref="BN241:BN256" si="650">VLOOKUP($E241,BK$442:BN$453,4,FALSE)*BK241*($K241)+(BK241-BL241-BM241)*(1-$K241)</f>
        <v>0</v>
      </c>
      <c r="BO241" s="1074"/>
      <c r="BS241" s="1117">
        <f>$G241</f>
        <v>0</v>
      </c>
      <c r="BT241" s="1118">
        <f t="shared" ref="BT241:BT256" si="651">VLOOKUP($E241,BS$442:BV$453,2,FALSE)*BS241*($K241)+IF($G241&lt;&gt;0,($H241/$G241)*BS241,0)*(1-$K241)</f>
        <v>0</v>
      </c>
      <c r="BU241" s="1118">
        <f t="shared" ref="BU241:BU256" si="652">VLOOKUP($E241,BS$442:BV$453,3,FALSE)*BS241*($K241)+IF($G241&lt;&gt;0,($I241/$G241)*BS241,0)*(1-$K241)</f>
        <v>0</v>
      </c>
      <c r="BV241" s="1118">
        <f t="shared" ref="BV241:BV256" si="653">VLOOKUP($E241,BS$442:BV$453,4,FALSE)*BS241*($K241)+(BS241-BT241-BU241)*(1-$K241)</f>
        <v>0</v>
      </c>
      <c r="BW241" s="1074"/>
      <c r="CA241" s="1117">
        <f>$G241</f>
        <v>0</v>
      </c>
      <c r="CB241" s="1118">
        <f t="shared" ref="CB241:CB256" si="654">VLOOKUP($E241,CA$442:CD$453,2,FALSE)*CA241*($K241)+IF($G241&lt;&gt;0,($H241/$G241)*CA241,0)*(1-$K241)</f>
        <v>0</v>
      </c>
      <c r="CC241" s="1118">
        <f t="shared" ref="CC241:CC256" si="655">VLOOKUP($E241,CA$442:CD$453,3,FALSE)*CA241*($K241)+IF($G241&lt;&gt;0,($I241/$G241)*CA241,0)*(1-$K241)</f>
        <v>0</v>
      </c>
      <c r="CD241" s="1118">
        <f t="shared" ref="CD241:CD256" si="656">VLOOKUP($E241,CA$442:CD$453,4,FALSE)*CA241*($K241)+(CA241-CB241-CC241)*(1-$K241)</f>
        <v>0</v>
      </c>
      <c r="CE241" s="1074"/>
      <c r="CI241" s="1117">
        <f>$G241</f>
        <v>0</v>
      </c>
      <c r="CJ241" s="1118">
        <f t="shared" ref="CJ241:CJ256" si="657">VLOOKUP($E241,CI$442:CL$453,2,FALSE)*CI241*($K241)+IF($G241&lt;&gt;0,($H241/$G241)*CI241,0)*(1-$K241)</f>
        <v>0</v>
      </c>
      <c r="CK241" s="1118">
        <f t="shared" ref="CK241:CK256" si="658">VLOOKUP($E241,CI$442:CL$453,3,FALSE)*CI241*($K241)+IF($G241&lt;&gt;0,($I241/$G241)*CI241,0)*(1-$K241)</f>
        <v>0</v>
      </c>
      <c r="CL241" s="1118">
        <f t="shared" ref="CL241:CL256" si="659">VLOOKUP($E241,CI$442:CL$453,4,FALSE)*CI241*($K241)+(CI241-CJ241-CK241)*(1-$K241)</f>
        <v>0</v>
      </c>
      <c r="CM241" s="1074"/>
      <c r="CQ241" s="1117">
        <f>$G241</f>
        <v>0</v>
      </c>
      <c r="CR241" s="1118">
        <f t="shared" ref="CR241:CR256" si="660">VLOOKUP($E241,CQ$442:CT$453,2,FALSE)*CQ241*($K241)+IF($G241&lt;&gt;0,($H241/$G241)*CQ241,0)*(1-$K241)</f>
        <v>0</v>
      </c>
      <c r="CS241" s="1118">
        <f t="shared" ref="CS241:CS256" si="661">VLOOKUP($E241,CQ$442:CT$453,3,FALSE)*CQ241*($K241)+IF($G241&lt;&gt;0,($I241/$G241)*CQ241,0)*(1-$K241)</f>
        <v>0</v>
      </c>
      <c r="CT241" s="1118">
        <f t="shared" ref="CT241:CT256" si="662">VLOOKUP($E241,CQ$442:CT$453,4,FALSE)*CQ241*($K241)+(CQ241-CR241-CS241)*(1-$K241)</f>
        <v>0</v>
      </c>
      <c r="CU241" s="1074"/>
      <c r="CY241" s="1117">
        <f>$G241</f>
        <v>0</v>
      </c>
      <c r="CZ241" s="1118">
        <f t="shared" ref="CZ241:CZ256" si="663">VLOOKUP($E241,CY$442:DB$453,2,FALSE)*CY241*($K241)+IF($G241&lt;&gt;0,($H241/$G241)*CY241,0)*(1-$K241)</f>
        <v>0</v>
      </c>
      <c r="DA241" s="1118">
        <f t="shared" ref="DA241:DA256" si="664">VLOOKUP($E241,CY$442:DB$453,3,FALSE)*CY241*($K241)+IF($G241&lt;&gt;0,($I241/$G241)*CY241,0)*(1-$K241)</f>
        <v>0</v>
      </c>
      <c r="DB241" s="1118">
        <f t="shared" ref="DB241:DB256" si="665">VLOOKUP($E241,CY$442:DB$453,4,FALSE)*CY241*($K241)+(CY241-CZ241-DA241)*(1-$K241)</f>
        <v>0</v>
      </c>
      <c r="DC241" s="1074"/>
      <c r="DG241" s="1117">
        <f>$G241</f>
        <v>0</v>
      </c>
      <c r="DH241" s="1118">
        <f t="shared" ref="DH241:DH256" si="666">VLOOKUP($E241,DG$442:DJ$453,2,FALSE)*DG241*($K241)+IF($G241&lt;&gt;0,($H241/$G241)*DG241,0)*(1-$K241)</f>
        <v>0</v>
      </c>
      <c r="DI241" s="1118">
        <f t="shared" ref="DI241:DI256" si="667">VLOOKUP($E241,DG$442:DJ$453,3,FALSE)*DG241*($K241)+IF($G241&lt;&gt;0,($I241/$G241)*DG241,0)*(1-$K241)</f>
        <v>0</v>
      </c>
      <c r="DJ241" s="1118">
        <f t="shared" ref="DJ241:DJ256" si="668">VLOOKUP($E241,DG$442:DJ$453,4,FALSE)*DG241*($K241)+(DG241-DH241-DI241)*(1-$K241)</f>
        <v>0</v>
      </c>
      <c r="DK241" s="1074"/>
      <c r="DO241" s="1117">
        <f>$G241</f>
        <v>0</v>
      </c>
      <c r="DP241" s="1118">
        <f t="shared" ref="DP241:DP256" si="669">VLOOKUP($E241,DO$442:DR$453,2,FALSE)*DO241*($K241)+IF($G241&lt;&gt;0,($H241/$G241)*DO241,0)*(1-$K241)</f>
        <v>0</v>
      </c>
      <c r="DQ241" s="1118">
        <f t="shared" ref="DQ241:DQ256" si="670">VLOOKUP($E241,DO$442:DR$453,3,FALSE)*DO241*($K241)+IF($G241&lt;&gt;0,($I241/$G241)*DO241,0)*(1-$K241)</f>
        <v>0</v>
      </c>
      <c r="DR241" s="1118">
        <f t="shared" ref="DR241:DR256" si="671">VLOOKUP($E241,DO$442:DR$453,4,FALSE)*DO241*($K241)+(DO241-DP241-DQ241)*(1-$K241)</f>
        <v>0</v>
      </c>
      <c r="DS241" s="1074"/>
      <c r="DW241" s="1117">
        <f>$G241</f>
        <v>0</v>
      </c>
      <c r="DX241" s="1118">
        <f t="shared" ref="DX241:DX256" si="672">VLOOKUP($E241,DW$442:DZ$453,2,FALSE)*DW241*($K241)+IF($G241&lt;&gt;0,($H241/$G241)*DW241,0)*(1-$K241)</f>
        <v>0</v>
      </c>
      <c r="DY241" s="1118">
        <f t="shared" ref="DY241:DY256" si="673">VLOOKUP($E241,DW$442:DZ$453,3,FALSE)*DW241*($K241)+IF($G241&lt;&gt;0,($I241/$G241)*DW241,0)*(1-$K241)</f>
        <v>0</v>
      </c>
      <c r="DZ241" s="1118">
        <f t="shared" ref="DZ241:DZ256" si="674">VLOOKUP($E241,DW$442:DZ$453,4,FALSE)*DW241*($K241)+(DW241-DX241-DY241)*(1-$K241)</f>
        <v>0</v>
      </c>
      <c r="EA241" s="1074"/>
      <c r="EE241" s="1117">
        <f>$G241</f>
        <v>0</v>
      </c>
      <c r="EF241" s="1118">
        <f t="shared" ref="EF241:EF256" si="675">VLOOKUP($E241,EE$442:EH$453,2,FALSE)*EE241*($K241)+IF($G241&lt;&gt;0,($H241/$G241)*EE241,0)*(1-$K241)</f>
        <v>0</v>
      </c>
      <c r="EG241" s="1118">
        <f t="shared" ref="EG241:EG256" si="676">VLOOKUP($E241,EE$442:EH$453,3,FALSE)*EE241*($K241)+IF($G241&lt;&gt;0,($I241/$G241)*EE241,0)*(1-$K241)</f>
        <v>0</v>
      </c>
      <c r="EH241" s="1118">
        <f t="shared" ref="EH241:EH256" si="677">VLOOKUP($E241,EE$442:EH$453,4,FALSE)*EE241*($K241)+(EE241-EF241-EG241)*(1-$K241)</f>
        <v>0</v>
      </c>
      <c r="EI241" s="1074"/>
      <c r="EM241" s="1117">
        <f>$G241</f>
        <v>0</v>
      </c>
      <c r="EN241" s="1118">
        <f t="shared" ref="EN241:EN256" si="678">VLOOKUP($E241,EM$442:EP$453,2,FALSE)*EM241*($K241)+IF($G241&lt;&gt;0,($H241/$G241)*EM241,0)*(1-$K241)</f>
        <v>0</v>
      </c>
      <c r="EO241" s="1118">
        <f t="shared" ref="EO241:EO256" si="679">VLOOKUP($E241,EM$442:EP$453,3,FALSE)*EM241*($K241)+IF($G241&lt;&gt;0,($I241/$G241)*EM241,0)*(1-$K241)</f>
        <v>0</v>
      </c>
      <c r="EP241" s="1118">
        <f t="shared" ref="EP241:EP256" si="680">VLOOKUP($E241,EM$442:EP$453,4,FALSE)*EM241*($K241)+(EM241-EN241-EO241)*(1-$K241)</f>
        <v>0</v>
      </c>
      <c r="EQ241" s="1074"/>
      <c r="EU241" s="1117">
        <f>$G241</f>
        <v>0</v>
      </c>
      <c r="EV241" s="1118">
        <f t="shared" ref="EV241:EV256" si="681">VLOOKUP($E241,EU$442:EX$453,2,FALSE)*EU241*($K241)+IF($G241&lt;&gt;0,($H241/$G241)*EU241,0)*(1-$K241)</f>
        <v>0</v>
      </c>
      <c r="EW241" s="1118">
        <f t="shared" ref="EW241:EW256" si="682">VLOOKUP($E241,EU$442:EX$453,3,FALSE)*EU241*($K241)+IF($G241&lt;&gt;0,($I241/$G241)*EU241,0)*(1-$K241)</f>
        <v>0</v>
      </c>
      <c r="EX241" s="1118">
        <f t="shared" ref="EX241:EX256" si="683">VLOOKUP($E241,EU$442:EX$453,4,FALSE)*EU241*($K241)+(EU241-EV241-EW241)*(1-$K241)</f>
        <v>0</v>
      </c>
      <c r="EY241" s="1074"/>
      <c r="FC241" s="1117">
        <f>$G241</f>
        <v>0</v>
      </c>
      <c r="FD241" s="1118">
        <f t="shared" ref="FD241:FD256" si="684">VLOOKUP($E241,FC$442:FF$453,2,FALSE)*FC241*($K241)+IF($G241&lt;&gt;0,($H241/$G241)*FC241,0)*(1-$K241)</f>
        <v>0</v>
      </c>
      <c r="FE241" s="1118">
        <f t="shared" ref="FE241:FE256" si="685">VLOOKUP($E241,FC$442:FF$453,3,FALSE)*FC241*($K241)+IF($G241&lt;&gt;0,($I241/$G241)*FC241,0)*(1-$K241)</f>
        <v>0</v>
      </c>
      <c r="FF241" s="1118">
        <f t="shared" ref="FF241:FF256" si="686">VLOOKUP($E241,FC$442:FF$453,4,FALSE)*FC241*($K241)+(FC241-FD241-FE241)*(1-$K241)</f>
        <v>0</v>
      </c>
      <c r="FG241" s="1074"/>
      <c r="FK241" s="1117">
        <f>$G241</f>
        <v>0</v>
      </c>
      <c r="FL241" s="1118">
        <f t="shared" ref="FL241:FL256" si="687">VLOOKUP($E241,FK$442:FN$453,2,FALSE)*FK241*($K241)+IF($G241&lt;&gt;0,($H241/$G241)*FK241,0)*(1-$K241)</f>
        <v>0</v>
      </c>
      <c r="FM241" s="1118">
        <f t="shared" ref="FM241:FM256" si="688">VLOOKUP($E241,FK$442:FN$453,3,FALSE)*FK241*($K241)+IF($G241&lt;&gt;0,($I241/$G241)*FK241,0)*(1-$K241)</f>
        <v>0</v>
      </c>
      <c r="FN241" s="1118">
        <f t="shared" ref="FN241:FN256" si="689">VLOOKUP($E241,FK$442:FN$453,4,FALSE)*FK241*($K241)+(FK241-FL241-FM241)*(1-$K241)</f>
        <v>0</v>
      </c>
      <c r="FO241" s="1074"/>
    </row>
    <row r="242" spans="1:171" x14ac:dyDescent="0.25">
      <c r="A242" s="1437"/>
      <c r="B242" s="914" t="s">
        <v>371</v>
      </c>
      <c r="C242" s="889">
        <v>336</v>
      </c>
      <c r="D242" s="889">
        <v>403</v>
      </c>
      <c r="E242" s="182" t="str">
        <f>'Sch 3 - Expenses'!E82</f>
        <v>DIRECT</v>
      </c>
      <c r="F242" s="890"/>
      <c r="G242" s="182">
        <f>'Sch 3 - Expenses'!G82</f>
        <v>1472465.336227369</v>
      </c>
      <c r="H242" s="182">
        <f>'Sch 3 - Expenses'!H82</f>
        <v>1472465.336227369</v>
      </c>
      <c r="I242" s="182">
        <f>'Sch 3 - Expenses'!I82</f>
        <v>0</v>
      </c>
      <c r="J242" s="1422">
        <f>'Sch 3 - Expenses'!J82</f>
        <v>28321.771611505512</v>
      </c>
      <c r="K242" s="904">
        <f t="shared" si="629"/>
        <v>0</v>
      </c>
      <c r="O242" s="1117">
        <f>$G242</f>
        <v>1472465.336227369</v>
      </c>
      <c r="P242" s="1118">
        <f t="shared" si="630"/>
        <v>1472465.336227369</v>
      </c>
      <c r="Q242" s="1118">
        <f t="shared" si="631"/>
        <v>0</v>
      </c>
      <c r="R242" s="1118">
        <f t="shared" si="632"/>
        <v>0</v>
      </c>
      <c r="S242" s="1074"/>
      <c r="W242" s="1117">
        <f>$G242</f>
        <v>1472465.336227369</v>
      </c>
      <c r="X242" s="1118">
        <f t="shared" si="633"/>
        <v>1472465.336227369</v>
      </c>
      <c r="Y242" s="1118">
        <f t="shared" si="634"/>
        <v>0</v>
      </c>
      <c r="Z242" s="1118">
        <f t="shared" si="635"/>
        <v>0</v>
      </c>
      <c r="AA242" s="1074"/>
      <c r="AE242" s="1117">
        <f>$G242</f>
        <v>1472465.336227369</v>
      </c>
      <c r="AF242" s="1118">
        <f t="shared" si="636"/>
        <v>1472465.336227369</v>
      </c>
      <c r="AG242" s="1118">
        <f t="shared" si="637"/>
        <v>0</v>
      </c>
      <c r="AH242" s="1118">
        <f t="shared" si="638"/>
        <v>0</v>
      </c>
      <c r="AI242" s="1074"/>
      <c r="AM242" s="1117">
        <f>$G242</f>
        <v>1472465.336227369</v>
      </c>
      <c r="AN242" s="1118">
        <f t="shared" si="639"/>
        <v>1472465.336227369</v>
      </c>
      <c r="AO242" s="1118">
        <f t="shared" si="640"/>
        <v>0</v>
      </c>
      <c r="AP242" s="1118">
        <f t="shared" si="641"/>
        <v>0</v>
      </c>
      <c r="AQ242" s="1074"/>
      <c r="AU242" s="1117">
        <f>$G242</f>
        <v>1472465.336227369</v>
      </c>
      <c r="AV242" s="1118">
        <f t="shared" si="642"/>
        <v>1472465.336227369</v>
      </c>
      <c r="AW242" s="1118">
        <f t="shared" si="643"/>
        <v>0</v>
      </c>
      <c r="AX242" s="1118">
        <f t="shared" si="644"/>
        <v>0</v>
      </c>
      <c r="AY242" s="1074"/>
      <c r="BC242" s="1117">
        <f>$G242</f>
        <v>1472465.336227369</v>
      </c>
      <c r="BD242" s="1118">
        <f t="shared" si="645"/>
        <v>1472465.336227369</v>
      </c>
      <c r="BE242" s="1118">
        <f t="shared" si="646"/>
        <v>0</v>
      </c>
      <c r="BF242" s="1118">
        <f t="shared" si="647"/>
        <v>0</v>
      </c>
      <c r="BG242" s="1074"/>
      <c r="BK242" s="1117">
        <f>$G242</f>
        <v>1472465.336227369</v>
      </c>
      <c r="BL242" s="1118">
        <f t="shared" si="648"/>
        <v>1472465.336227369</v>
      </c>
      <c r="BM242" s="1118">
        <f t="shared" si="649"/>
        <v>0</v>
      </c>
      <c r="BN242" s="1118">
        <f t="shared" si="650"/>
        <v>0</v>
      </c>
      <c r="BO242" s="1074"/>
      <c r="BS242" s="1117">
        <f>$G242</f>
        <v>1472465.336227369</v>
      </c>
      <c r="BT242" s="1118">
        <f t="shared" si="651"/>
        <v>1472465.336227369</v>
      </c>
      <c r="BU242" s="1118">
        <f t="shared" si="652"/>
        <v>0</v>
      </c>
      <c r="BV242" s="1118">
        <f t="shared" si="653"/>
        <v>0</v>
      </c>
      <c r="BW242" s="1074"/>
      <c r="CA242" s="1117">
        <f>$G242</f>
        <v>1472465.336227369</v>
      </c>
      <c r="CB242" s="1118">
        <f t="shared" si="654"/>
        <v>1472465.336227369</v>
      </c>
      <c r="CC242" s="1118">
        <f t="shared" si="655"/>
        <v>0</v>
      </c>
      <c r="CD242" s="1118">
        <f t="shared" si="656"/>
        <v>0</v>
      </c>
      <c r="CE242" s="1074"/>
      <c r="CI242" s="1117">
        <f>$G242</f>
        <v>1472465.336227369</v>
      </c>
      <c r="CJ242" s="1118">
        <f t="shared" si="657"/>
        <v>1472465.336227369</v>
      </c>
      <c r="CK242" s="1118">
        <f t="shared" si="658"/>
        <v>0</v>
      </c>
      <c r="CL242" s="1118">
        <f t="shared" si="659"/>
        <v>0</v>
      </c>
      <c r="CM242" s="1074"/>
      <c r="CQ242" s="1117">
        <f>$G242</f>
        <v>1472465.336227369</v>
      </c>
      <c r="CR242" s="1118">
        <f t="shared" si="660"/>
        <v>1472465.336227369</v>
      </c>
      <c r="CS242" s="1118">
        <f t="shared" si="661"/>
        <v>0</v>
      </c>
      <c r="CT242" s="1118">
        <f t="shared" si="662"/>
        <v>0</v>
      </c>
      <c r="CU242" s="1074"/>
      <c r="CY242" s="1117">
        <f>$G242</f>
        <v>1472465.336227369</v>
      </c>
      <c r="CZ242" s="1118">
        <f t="shared" si="663"/>
        <v>1472465.336227369</v>
      </c>
      <c r="DA242" s="1118">
        <f t="shared" si="664"/>
        <v>0</v>
      </c>
      <c r="DB242" s="1118">
        <f t="shared" si="665"/>
        <v>0</v>
      </c>
      <c r="DC242" s="1074"/>
      <c r="DG242" s="1117">
        <f>$G242</f>
        <v>1472465.336227369</v>
      </c>
      <c r="DH242" s="1118">
        <f t="shared" si="666"/>
        <v>1472465.336227369</v>
      </c>
      <c r="DI242" s="1118">
        <f t="shared" si="667"/>
        <v>0</v>
      </c>
      <c r="DJ242" s="1118">
        <f t="shared" si="668"/>
        <v>0</v>
      </c>
      <c r="DK242" s="1074"/>
      <c r="DO242" s="1117">
        <f>$G242</f>
        <v>1472465.336227369</v>
      </c>
      <c r="DP242" s="1118">
        <f t="shared" si="669"/>
        <v>1472465.336227369</v>
      </c>
      <c r="DQ242" s="1118">
        <f t="shared" si="670"/>
        <v>0</v>
      </c>
      <c r="DR242" s="1118">
        <f t="shared" si="671"/>
        <v>0</v>
      </c>
      <c r="DS242" s="1074"/>
      <c r="DW242" s="1117">
        <f>$G242</f>
        <v>1472465.336227369</v>
      </c>
      <c r="DX242" s="1118">
        <f t="shared" si="672"/>
        <v>1472465.336227369</v>
      </c>
      <c r="DY242" s="1118">
        <f t="shared" si="673"/>
        <v>0</v>
      </c>
      <c r="DZ242" s="1118">
        <f t="shared" si="674"/>
        <v>0</v>
      </c>
      <c r="EA242" s="1074"/>
      <c r="EE242" s="1117">
        <f>$G242</f>
        <v>1472465.336227369</v>
      </c>
      <c r="EF242" s="1118">
        <f t="shared" si="675"/>
        <v>1472465.336227369</v>
      </c>
      <c r="EG242" s="1118">
        <f t="shared" si="676"/>
        <v>0</v>
      </c>
      <c r="EH242" s="1118">
        <f t="shared" si="677"/>
        <v>0</v>
      </c>
      <c r="EI242" s="1074"/>
      <c r="EM242" s="1117">
        <f>$G242</f>
        <v>1472465.336227369</v>
      </c>
      <c r="EN242" s="1118">
        <f t="shared" si="678"/>
        <v>1472465.336227369</v>
      </c>
      <c r="EO242" s="1118">
        <f t="shared" si="679"/>
        <v>0</v>
      </c>
      <c r="EP242" s="1118">
        <f t="shared" si="680"/>
        <v>0</v>
      </c>
      <c r="EQ242" s="1074"/>
      <c r="EU242" s="1117">
        <f>$G242</f>
        <v>1472465.336227369</v>
      </c>
      <c r="EV242" s="1118">
        <f t="shared" si="681"/>
        <v>1472465.336227369</v>
      </c>
      <c r="EW242" s="1118">
        <f t="shared" si="682"/>
        <v>0</v>
      </c>
      <c r="EX242" s="1118">
        <f t="shared" si="683"/>
        <v>0</v>
      </c>
      <c r="EY242" s="1074"/>
      <c r="FC242" s="1117">
        <f>$G242</f>
        <v>1472465.336227369</v>
      </c>
      <c r="FD242" s="1118">
        <f t="shared" si="684"/>
        <v>1472465.336227369</v>
      </c>
      <c r="FE242" s="1118">
        <f t="shared" si="685"/>
        <v>0</v>
      </c>
      <c r="FF242" s="1118">
        <f t="shared" si="686"/>
        <v>0</v>
      </c>
      <c r="FG242" s="1074"/>
      <c r="FK242" s="1117">
        <f>$G242</f>
        <v>1472465.336227369</v>
      </c>
      <c r="FL242" s="1118">
        <f t="shared" si="687"/>
        <v>1472465.336227369</v>
      </c>
      <c r="FM242" s="1118">
        <f t="shared" si="688"/>
        <v>0</v>
      </c>
      <c r="FN242" s="1118">
        <f t="shared" si="689"/>
        <v>0</v>
      </c>
      <c r="FO242" s="1074"/>
    </row>
    <row r="243" spans="1:171" x14ac:dyDescent="0.25">
      <c r="A243" s="1437"/>
      <c r="B243" s="914" t="s">
        <v>399</v>
      </c>
      <c r="C243" s="889">
        <v>336</v>
      </c>
      <c r="D243" s="889">
        <v>403</v>
      </c>
      <c r="E243" s="182" t="str">
        <f>'Sch 3 - Expenses'!E83</f>
        <v>DIRECT</v>
      </c>
      <c r="F243" s="890"/>
      <c r="G243" s="182">
        <f>'Sch 3 - Expenses'!G83</f>
        <v>23779220.607934885</v>
      </c>
      <c r="H243" s="182">
        <f>'Sch 3 - Expenses'!H83</f>
        <v>7894198.4267612863</v>
      </c>
      <c r="I243" s="182">
        <f>'Sch 3 - Expenses'!I83</f>
        <v>0</v>
      </c>
      <c r="J243" s="1422">
        <f>'Sch 3 - Expenses'!J83</f>
        <v>15885022.181173598</v>
      </c>
      <c r="K243" s="904">
        <f t="shared" si="629"/>
        <v>0</v>
      </c>
      <c r="O243" s="1117">
        <f>$G243</f>
        <v>23779220.607934885</v>
      </c>
      <c r="P243" s="1118">
        <f t="shared" si="630"/>
        <v>7894198.4267612863</v>
      </c>
      <c r="Q243" s="1118">
        <f t="shared" si="631"/>
        <v>0</v>
      </c>
      <c r="R243" s="1118">
        <f t="shared" si="632"/>
        <v>15885022.181173598</v>
      </c>
      <c r="S243" s="1074"/>
      <c r="W243" s="1117">
        <f>$G243</f>
        <v>23779220.607934885</v>
      </c>
      <c r="X243" s="1118">
        <f t="shared" si="633"/>
        <v>7894198.4267612863</v>
      </c>
      <c r="Y243" s="1118">
        <f t="shared" si="634"/>
        <v>0</v>
      </c>
      <c r="Z243" s="1118">
        <f t="shared" si="635"/>
        <v>15885022.181173598</v>
      </c>
      <c r="AA243" s="1074"/>
      <c r="AE243" s="1117">
        <f>$G243</f>
        <v>23779220.607934885</v>
      </c>
      <c r="AF243" s="1118">
        <f t="shared" si="636"/>
        <v>7894198.4267612863</v>
      </c>
      <c r="AG243" s="1118">
        <f t="shared" si="637"/>
        <v>0</v>
      </c>
      <c r="AH243" s="1118">
        <f t="shared" si="638"/>
        <v>15885022.181173598</v>
      </c>
      <c r="AI243" s="1074"/>
      <c r="AM243" s="1117">
        <f>$G243</f>
        <v>23779220.607934885</v>
      </c>
      <c r="AN243" s="1118">
        <f t="shared" si="639"/>
        <v>7894198.4267612863</v>
      </c>
      <c r="AO243" s="1118">
        <f t="shared" si="640"/>
        <v>0</v>
      </c>
      <c r="AP243" s="1118">
        <f t="shared" si="641"/>
        <v>15885022.181173598</v>
      </c>
      <c r="AQ243" s="1074"/>
      <c r="AU243" s="1117">
        <f>$G243</f>
        <v>23779220.607934885</v>
      </c>
      <c r="AV243" s="1118">
        <f t="shared" si="642"/>
        <v>7894198.4267612863</v>
      </c>
      <c r="AW243" s="1118">
        <f t="shared" si="643"/>
        <v>0</v>
      </c>
      <c r="AX243" s="1118">
        <f t="shared" si="644"/>
        <v>15885022.181173598</v>
      </c>
      <c r="AY243" s="1074"/>
      <c r="BC243" s="1117">
        <f>$G243</f>
        <v>23779220.607934885</v>
      </c>
      <c r="BD243" s="1118">
        <f t="shared" si="645"/>
        <v>7894198.4267612863</v>
      </c>
      <c r="BE243" s="1118">
        <f t="shared" si="646"/>
        <v>0</v>
      </c>
      <c r="BF243" s="1118">
        <f t="shared" si="647"/>
        <v>15885022.181173598</v>
      </c>
      <c r="BG243" s="1074"/>
      <c r="BK243" s="1117">
        <f>$G243</f>
        <v>23779220.607934885</v>
      </c>
      <c r="BL243" s="1118">
        <f t="shared" si="648"/>
        <v>7894198.4267612863</v>
      </c>
      <c r="BM243" s="1118">
        <f t="shared" si="649"/>
        <v>0</v>
      </c>
      <c r="BN243" s="1118">
        <f t="shared" si="650"/>
        <v>15885022.181173598</v>
      </c>
      <c r="BO243" s="1074"/>
      <c r="BS243" s="1117">
        <f>$G243</f>
        <v>23779220.607934885</v>
      </c>
      <c r="BT243" s="1118">
        <f t="shared" si="651"/>
        <v>7894198.4267612863</v>
      </c>
      <c r="BU243" s="1118">
        <f t="shared" si="652"/>
        <v>0</v>
      </c>
      <c r="BV243" s="1118">
        <f t="shared" si="653"/>
        <v>15885022.181173598</v>
      </c>
      <c r="BW243" s="1074"/>
      <c r="CA243" s="1117">
        <f>$G243</f>
        <v>23779220.607934885</v>
      </c>
      <c r="CB243" s="1118">
        <f t="shared" si="654"/>
        <v>7894198.4267612863</v>
      </c>
      <c r="CC243" s="1118">
        <f t="shared" si="655"/>
        <v>0</v>
      </c>
      <c r="CD243" s="1118">
        <f t="shared" si="656"/>
        <v>15885022.181173598</v>
      </c>
      <c r="CE243" s="1074"/>
      <c r="CI243" s="1117">
        <f>$G243</f>
        <v>23779220.607934885</v>
      </c>
      <c r="CJ243" s="1118">
        <f t="shared" si="657"/>
        <v>7894198.4267612863</v>
      </c>
      <c r="CK243" s="1118">
        <f t="shared" si="658"/>
        <v>0</v>
      </c>
      <c r="CL243" s="1118">
        <f t="shared" si="659"/>
        <v>15885022.181173598</v>
      </c>
      <c r="CM243" s="1074"/>
      <c r="CQ243" s="1117">
        <f>$G243</f>
        <v>23779220.607934885</v>
      </c>
      <c r="CR243" s="1118">
        <f t="shared" si="660"/>
        <v>7894198.4267612863</v>
      </c>
      <c r="CS243" s="1118">
        <f t="shared" si="661"/>
        <v>0</v>
      </c>
      <c r="CT243" s="1118">
        <f t="shared" si="662"/>
        <v>15885022.181173598</v>
      </c>
      <c r="CU243" s="1074"/>
      <c r="CY243" s="1117">
        <f>$G243</f>
        <v>23779220.607934885</v>
      </c>
      <c r="CZ243" s="1118">
        <f t="shared" si="663"/>
        <v>7894198.4267612863</v>
      </c>
      <c r="DA243" s="1118">
        <f t="shared" si="664"/>
        <v>0</v>
      </c>
      <c r="DB243" s="1118">
        <f t="shared" si="665"/>
        <v>15885022.181173598</v>
      </c>
      <c r="DC243" s="1074"/>
      <c r="DG243" s="1117">
        <f>$G243</f>
        <v>23779220.607934885</v>
      </c>
      <c r="DH243" s="1118">
        <f t="shared" si="666"/>
        <v>7894198.4267612863</v>
      </c>
      <c r="DI243" s="1118">
        <f t="shared" si="667"/>
        <v>0</v>
      </c>
      <c r="DJ243" s="1118">
        <f t="shared" si="668"/>
        <v>15885022.181173598</v>
      </c>
      <c r="DK243" s="1074"/>
      <c r="DO243" s="1117">
        <f>$G243</f>
        <v>23779220.607934885</v>
      </c>
      <c r="DP243" s="1118">
        <f t="shared" si="669"/>
        <v>7894198.4267612863</v>
      </c>
      <c r="DQ243" s="1118">
        <f t="shared" si="670"/>
        <v>0</v>
      </c>
      <c r="DR243" s="1118">
        <f t="shared" si="671"/>
        <v>15885022.181173598</v>
      </c>
      <c r="DS243" s="1074"/>
      <c r="DW243" s="1117">
        <f>$G243</f>
        <v>23779220.607934885</v>
      </c>
      <c r="DX243" s="1118">
        <f t="shared" si="672"/>
        <v>7894198.4267612863</v>
      </c>
      <c r="DY243" s="1118">
        <f t="shared" si="673"/>
        <v>0</v>
      </c>
      <c r="DZ243" s="1118">
        <f t="shared" si="674"/>
        <v>15885022.181173598</v>
      </c>
      <c r="EA243" s="1074"/>
      <c r="EE243" s="1117">
        <f>$G243</f>
        <v>23779220.607934885</v>
      </c>
      <c r="EF243" s="1118">
        <f t="shared" si="675"/>
        <v>7894198.4267612863</v>
      </c>
      <c r="EG243" s="1118">
        <f t="shared" si="676"/>
        <v>0</v>
      </c>
      <c r="EH243" s="1118">
        <f t="shared" si="677"/>
        <v>15885022.181173598</v>
      </c>
      <c r="EI243" s="1074"/>
      <c r="EM243" s="1117">
        <f>$G243</f>
        <v>23779220.607934885</v>
      </c>
      <c r="EN243" s="1118">
        <f t="shared" si="678"/>
        <v>7894198.4267612863</v>
      </c>
      <c r="EO243" s="1118">
        <f t="shared" si="679"/>
        <v>0</v>
      </c>
      <c r="EP243" s="1118">
        <f t="shared" si="680"/>
        <v>15885022.181173598</v>
      </c>
      <c r="EQ243" s="1074"/>
      <c r="EU243" s="1117">
        <f>$G243</f>
        <v>23779220.607934885</v>
      </c>
      <c r="EV243" s="1118">
        <f t="shared" si="681"/>
        <v>7894198.4267612863</v>
      </c>
      <c r="EW243" s="1118">
        <f t="shared" si="682"/>
        <v>0</v>
      </c>
      <c r="EX243" s="1118">
        <f t="shared" si="683"/>
        <v>15885022.181173598</v>
      </c>
      <c r="EY243" s="1074"/>
      <c r="FC243" s="1117">
        <f>$G243</f>
        <v>23779220.607934885</v>
      </c>
      <c r="FD243" s="1118">
        <f t="shared" si="684"/>
        <v>7894198.4267612863</v>
      </c>
      <c r="FE243" s="1118">
        <f t="shared" si="685"/>
        <v>0</v>
      </c>
      <c r="FF243" s="1118">
        <f t="shared" si="686"/>
        <v>15885022.181173598</v>
      </c>
      <c r="FG243" s="1074"/>
      <c r="FK243" s="1117">
        <f>$G243</f>
        <v>23779220.607934885</v>
      </c>
      <c r="FL243" s="1118">
        <f t="shared" si="687"/>
        <v>7894198.4267612863</v>
      </c>
      <c r="FM243" s="1118">
        <f t="shared" si="688"/>
        <v>0</v>
      </c>
      <c r="FN243" s="1118">
        <f t="shared" si="689"/>
        <v>15885022.181173598</v>
      </c>
      <c r="FO243" s="1074"/>
    </row>
    <row r="244" spans="1:171" x14ac:dyDescent="0.25">
      <c r="A244" s="1442">
        <v>200</v>
      </c>
      <c r="B244" s="914" t="s">
        <v>88</v>
      </c>
      <c r="C244" s="889">
        <v>336</v>
      </c>
      <c r="D244" s="889">
        <v>403</v>
      </c>
      <c r="E244" s="182" t="str">
        <f>'Sch 3 - Expenses'!E84</f>
        <v>PROD</v>
      </c>
      <c r="F244" s="890"/>
      <c r="G244" s="182">
        <f>'Sch 3 - Expenses'!G84</f>
        <v>141723842.23824352</v>
      </c>
      <c r="H244" s="182">
        <f>'Sch 3 - Expenses'!H84</f>
        <v>141723842.23824352</v>
      </c>
      <c r="I244" s="182">
        <f>'Sch 3 - Expenses'!I84</f>
        <v>0</v>
      </c>
      <c r="J244" s="1422">
        <f>'Sch 3 - Expenses'!J84</f>
        <v>0</v>
      </c>
      <c r="K244" s="904">
        <f t="shared" si="629"/>
        <v>1</v>
      </c>
      <c r="N244" s="1162">
        <f>VLOOKUP($A244,'New Resources - Group'!$A$4:$Y$133,N$2,FALSE)*N$1</f>
        <v>0</v>
      </c>
      <c r="O244" s="1117">
        <f t="shared" ref="O244:O249" si="690">$G244+N244</f>
        <v>141723842.23824352</v>
      </c>
      <c r="P244" s="1118">
        <f t="shared" si="630"/>
        <v>141723842.23824352</v>
      </c>
      <c r="Q244" s="1118">
        <f t="shared" si="631"/>
        <v>0</v>
      </c>
      <c r="R244" s="1118">
        <f t="shared" si="632"/>
        <v>0</v>
      </c>
      <c r="S244" s="1074"/>
      <c r="V244" s="1162">
        <f>VLOOKUP($A244,'New Resources - Group'!$A$4:$Y$133,V$2,FALSE)*V$1</f>
        <v>0</v>
      </c>
      <c r="W244" s="1117">
        <f t="shared" ref="W244:W249" si="691">$G244+V244</f>
        <v>141723842.23824352</v>
      </c>
      <c r="X244" s="1118">
        <f t="shared" si="633"/>
        <v>141723842.23824352</v>
      </c>
      <c r="Y244" s="1118">
        <f t="shared" si="634"/>
        <v>0</v>
      </c>
      <c r="Z244" s="1118">
        <f t="shared" si="635"/>
        <v>0</v>
      </c>
      <c r="AA244" s="1074"/>
      <c r="AD244" s="1162">
        <f>VLOOKUP($A244,'New Resources - Group'!$A$4:$Y$133,AD$2,FALSE)*AD$1</f>
        <v>0</v>
      </c>
      <c r="AE244" s="1117">
        <f t="shared" ref="AE244:AE249" si="692">$G244+AD244</f>
        <v>141723842.23824352</v>
      </c>
      <c r="AF244" s="1118">
        <f t="shared" si="636"/>
        <v>141723842.23824352</v>
      </c>
      <c r="AG244" s="1118">
        <f t="shared" si="637"/>
        <v>0</v>
      </c>
      <c r="AH244" s="1118">
        <f t="shared" si="638"/>
        <v>0</v>
      </c>
      <c r="AI244" s="1074"/>
      <c r="AL244" s="1162">
        <f>VLOOKUP($A244,'New Resources - Group'!$A$4:$Y$133,AL$2,FALSE)*AL$1</f>
        <v>0</v>
      </c>
      <c r="AM244" s="1117">
        <f t="shared" ref="AM244:AM249" si="693">$G244+AL244</f>
        <v>141723842.23824352</v>
      </c>
      <c r="AN244" s="1118">
        <f t="shared" si="639"/>
        <v>141723842.23824352</v>
      </c>
      <c r="AO244" s="1118">
        <f t="shared" si="640"/>
        <v>0</v>
      </c>
      <c r="AP244" s="1118">
        <f t="shared" si="641"/>
        <v>0</v>
      </c>
      <c r="AQ244" s="1074"/>
      <c r="AT244" s="1162">
        <f>VLOOKUP($A244,'New Resources - Group'!$A$4:$Y$133,AT$2,FALSE)*AT$1</f>
        <v>0</v>
      </c>
      <c r="AU244" s="1117">
        <f t="shared" ref="AU244:AU249" si="694">$G244+AT244</f>
        <v>141723842.23824352</v>
      </c>
      <c r="AV244" s="1118">
        <f t="shared" si="642"/>
        <v>141723842.23824352</v>
      </c>
      <c r="AW244" s="1118">
        <f t="shared" si="643"/>
        <v>0</v>
      </c>
      <c r="AX244" s="1118">
        <f t="shared" si="644"/>
        <v>0</v>
      </c>
      <c r="AY244" s="1074"/>
      <c r="BB244" s="1162">
        <f>VLOOKUP($A244,'New Resources - Group'!$A$4:$Y$133,BB$2,FALSE)*BB$1</f>
        <v>0</v>
      </c>
      <c r="BC244" s="1117">
        <f t="shared" ref="BC244:BC249" si="695">$G244+BB244</f>
        <v>141723842.23824352</v>
      </c>
      <c r="BD244" s="1118">
        <f t="shared" si="645"/>
        <v>141723842.23824352</v>
      </c>
      <c r="BE244" s="1118">
        <f t="shared" si="646"/>
        <v>0</v>
      </c>
      <c r="BF244" s="1118">
        <f t="shared" si="647"/>
        <v>0</v>
      </c>
      <c r="BG244" s="1074"/>
      <c r="BJ244" s="1162">
        <f>VLOOKUP($A244,'New Resources - Group'!$A$4:$Y$133,BJ$2,FALSE)*BJ$1</f>
        <v>0</v>
      </c>
      <c r="BK244" s="1117">
        <f t="shared" ref="BK244:BK249" si="696">$G244+BJ244</f>
        <v>141723842.23824352</v>
      </c>
      <c r="BL244" s="1118">
        <f t="shared" si="648"/>
        <v>141723842.23824352</v>
      </c>
      <c r="BM244" s="1118">
        <f t="shared" si="649"/>
        <v>0</v>
      </c>
      <c r="BN244" s="1118">
        <f t="shared" si="650"/>
        <v>0</v>
      </c>
      <c r="BO244" s="1074"/>
      <c r="BR244" s="1162">
        <f>VLOOKUP($A244,'New Resources - Group'!$A$4:$Y$133,BR$2,FALSE)*BR$1</f>
        <v>0</v>
      </c>
      <c r="BS244" s="1117">
        <f t="shared" ref="BS244:BS249" si="697">$G244+BR244</f>
        <v>141723842.23824352</v>
      </c>
      <c r="BT244" s="1118">
        <f t="shared" si="651"/>
        <v>141723842.23824352</v>
      </c>
      <c r="BU244" s="1118">
        <f t="shared" si="652"/>
        <v>0</v>
      </c>
      <c r="BV244" s="1118">
        <f t="shared" si="653"/>
        <v>0</v>
      </c>
      <c r="BW244" s="1074"/>
      <c r="BZ244" s="1162">
        <f>VLOOKUP($A244,'New Resources - Group'!$A$4:$Y$133,BZ$2,FALSE)*BZ$1</f>
        <v>0</v>
      </c>
      <c r="CA244" s="1117">
        <f t="shared" ref="CA244:CA249" si="698">$G244+BZ244</f>
        <v>141723842.23824352</v>
      </c>
      <c r="CB244" s="1118">
        <f t="shared" si="654"/>
        <v>141723842.23824352</v>
      </c>
      <c r="CC244" s="1118">
        <f t="shared" si="655"/>
        <v>0</v>
      </c>
      <c r="CD244" s="1118">
        <f t="shared" si="656"/>
        <v>0</v>
      </c>
      <c r="CE244" s="1074"/>
      <c r="CH244" s="1162">
        <f>VLOOKUP($A244,'New Resources - Group'!$A$4:$Y$133,CH$2,FALSE)*CH$1</f>
        <v>0</v>
      </c>
      <c r="CI244" s="1117">
        <f t="shared" ref="CI244:CI249" si="699">$G244+CH244</f>
        <v>141723842.23824352</v>
      </c>
      <c r="CJ244" s="1118">
        <f t="shared" si="657"/>
        <v>141723842.23824352</v>
      </c>
      <c r="CK244" s="1118">
        <f t="shared" si="658"/>
        <v>0</v>
      </c>
      <c r="CL244" s="1118">
        <f t="shared" si="659"/>
        <v>0</v>
      </c>
      <c r="CM244" s="1074"/>
      <c r="CP244" s="1162">
        <f>VLOOKUP($A244,'New Resources - Group'!$A$4:$Y$133,CP$2,FALSE)*CP$1</f>
        <v>0</v>
      </c>
      <c r="CQ244" s="1117">
        <f t="shared" ref="CQ244:CQ249" si="700">$G244+CP244</f>
        <v>141723842.23824352</v>
      </c>
      <c r="CR244" s="1118">
        <f t="shared" si="660"/>
        <v>141723842.23824352</v>
      </c>
      <c r="CS244" s="1118">
        <f t="shared" si="661"/>
        <v>0</v>
      </c>
      <c r="CT244" s="1118">
        <f t="shared" si="662"/>
        <v>0</v>
      </c>
      <c r="CU244" s="1074"/>
      <c r="CX244" s="1162">
        <f>VLOOKUP($A244,'New Resources - Group'!$A$4:$Y$133,CX$2,FALSE)*CX$1</f>
        <v>0</v>
      </c>
      <c r="CY244" s="1117">
        <f t="shared" ref="CY244:CY249" si="701">$G244+CX244</f>
        <v>141723842.23824352</v>
      </c>
      <c r="CZ244" s="1118">
        <f t="shared" si="663"/>
        <v>141723842.23824352</v>
      </c>
      <c r="DA244" s="1118">
        <f t="shared" si="664"/>
        <v>0</v>
      </c>
      <c r="DB244" s="1118">
        <f t="shared" si="665"/>
        <v>0</v>
      </c>
      <c r="DC244" s="1074"/>
      <c r="DF244" s="1162">
        <f>VLOOKUP($A244,'New Resources - Group'!$A$4:$Y$133,DF$2,FALSE)*DF$1</f>
        <v>0</v>
      </c>
      <c r="DG244" s="1117">
        <f t="shared" ref="DG244:DG249" si="702">$G244+DF244</f>
        <v>141723842.23824352</v>
      </c>
      <c r="DH244" s="1118">
        <f t="shared" si="666"/>
        <v>141723842.23824352</v>
      </c>
      <c r="DI244" s="1118">
        <f t="shared" si="667"/>
        <v>0</v>
      </c>
      <c r="DJ244" s="1118">
        <f t="shared" si="668"/>
        <v>0</v>
      </c>
      <c r="DK244" s="1074"/>
      <c r="DN244" s="1162">
        <f>VLOOKUP($A244,'New Resources - Group'!$A$4:$Y$133,DN$2,FALSE)*DN$1</f>
        <v>0</v>
      </c>
      <c r="DO244" s="1117">
        <f t="shared" ref="DO244:DO249" si="703">$G244+DN244</f>
        <v>141723842.23824352</v>
      </c>
      <c r="DP244" s="1118">
        <f t="shared" si="669"/>
        <v>141723842.23824352</v>
      </c>
      <c r="DQ244" s="1118">
        <f t="shared" si="670"/>
        <v>0</v>
      </c>
      <c r="DR244" s="1118">
        <f t="shared" si="671"/>
        <v>0</v>
      </c>
      <c r="DS244" s="1074"/>
      <c r="DV244" s="1162">
        <f>VLOOKUP($A244,'New Resources - Group'!$A$4:$Y$133,DV$2,FALSE)*DV$1</f>
        <v>0</v>
      </c>
      <c r="DW244" s="1117">
        <f t="shared" ref="DW244:DW249" si="704">$G244+DV244</f>
        <v>141723842.23824352</v>
      </c>
      <c r="DX244" s="1118">
        <f t="shared" si="672"/>
        <v>141723842.23824352</v>
      </c>
      <c r="DY244" s="1118">
        <f t="shared" si="673"/>
        <v>0</v>
      </c>
      <c r="DZ244" s="1118">
        <f t="shared" si="674"/>
        <v>0</v>
      </c>
      <c r="EA244" s="1074"/>
      <c r="ED244" s="1162">
        <f>VLOOKUP($A244,'New Resources - Group'!$A$4:$Y$133,ED$2,FALSE)*ED$1</f>
        <v>0</v>
      </c>
      <c r="EE244" s="1117">
        <f t="shared" ref="EE244:EE249" si="705">$G244+ED244</f>
        <v>141723842.23824352</v>
      </c>
      <c r="EF244" s="1118">
        <f t="shared" si="675"/>
        <v>141723842.23824352</v>
      </c>
      <c r="EG244" s="1118">
        <f t="shared" si="676"/>
        <v>0</v>
      </c>
      <c r="EH244" s="1118">
        <f t="shared" si="677"/>
        <v>0</v>
      </c>
      <c r="EI244" s="1074"/>
      <c r="EL244" s="1162">
        <f>VLOOKUP($A244,'New Resources - Group'!$A$4:$Y$133,EL$2,FALSE)*EL$1</f>
        <v>0</v>
      </c>
      <c r="EM244" s="1117">
        <f t="shared" ref="EM244:EM249" si="706">$G244+EL244</f>
        <v>141723842.23824352</v>
      </c>
      <c r="EN244" s="1118">
        <f t="shared" si="678"/>
        <v>141723842.23824352</v>
      </c>
      <c r="EO244" s="1118">
        <f t="shared" si="679"/>
        <v>0</v>
      </c>
      <c r="EP244" s="1118">
        <f t="shared" si="680"/>
        <v>0</v>
      </c>
      <c r="EQ244" s="1074"/>
      <c r="ET244" s="1162">
        <f>VLOOKUP($A244,'New Resources - Group'!$A$4:$Y$133,ET$2,FALSE)*ET$1</f>
        <v>0</v>
      </c>
      <c r="EU244" s="1117">
        <f t="shared" ref="EU244:EU249" si="707">$G244+ET244</f>
        <v>141723842.23824352</v>
      </c>
      <c r="EV244" s="1118">
        <f t="shared" si="681"/>
        <v>141723842.23824352</v>
      </c>
      <c r="EW244" s="1118">
        <f t="shared" si="682"/>
        <v>0</v>
      </c>
      <c r="EX244" s="1118">
        <f t="shared" si="683"/>
        <v>0</v>
      </c>
      <c r="EY244" s="1074"/>
      <c r="FB244" s="1162">
        <f>VLOOKUP($A244,'New Resources - Group'!$A$4:$Y$133,FB$2,FALSE)*FB$1</f>
        <v>0</v>
      </c>
      <c r="FC244" s="1117">
        <f t="shared" ref="FC244:FC249" si="708">$G244+FB244</f>
        <v>141723842.23824352</v>
      </c>
      <c r="FD244" s="1118">
        <f t="shared" si="684"/>
        <v>141723842.23824352</v>
      </c>
      <c r="FE244" s="1118">
        <f t="shared" si="685"/>
        <v>0</v>
      </c>
      <c r="FF244" s="1118">
        <f t="shared" si="686"/>
        <v>0</v>
      </c>
      <c r="FG244" s="1074"/>
      <c r="FJ244" s="1162">
        <f>VLOOKUP($A244,'New Resources - Group'!$A$4:$Y$133,FJ$2,FALSE)*FJ$1</f>
        <v>0</v>
      </c>
      <c r="FK244" s="1117">
        <f t="shared" ref="FK244:FK249" si="709">$G244+FJ244</f>
        <v>141723842.23824352</v>
      </c>
      <c r="FL244" s="1118">
        <f t="shared" si="687"/>
        <v>141723842.23824352</v>
      </c>
      <c r="FM244" s="1118">
        <f t="shared" si="688"/>
        <v>0</v>
      </c>
      <c r="FN244" s="1118">
        <f t="shared" si="689"/>
        <v>0</v>
      </c>
      <c r="FO244" s="1074"/>
    </row>
    <row r="245" spans="1:171" x14ac:dyDescent="0.25">
      <c r="A245" s="1442">
        <v>330</v>
      </c>
      <c r="B245" s="914" t="s">
        <v>89</v>
      </c>
      <c r="C245" s="889">
        <v>336</v>
      </c>
      <c r="D245" s="889">
        <v>403</v>
      </c>
      <c r="E245" s="182" t="str">
        <f>'Sch 3 - Expenses'!E85</f>
        <v>PROD</v>
      </c>
      <c r="F245" s="890"/>
      <c r="G245" s="182">
        <f>'Sch 3 - Expenses'!G85</f>
        <v>0</v>
      </c>
      <c r="H245" s="182">
        <f>'Sch 3 - Expenses'!H85</f>
        <v>0</v>
      </c>
      <c r="I245" s="182">
        <f>'Sch 3 - Expenses'!I85</f>
        <v>0</v>
      </c>
      <c r="J245" s="1422">
        <f>'Sch 3 - Expenses'!J85</f>
        <v>0</v>
      </c>
      <c r="K245" s="904">
        <f t="shared" si="629"/>
        <v>1</v>
      </c>
      <c r="N245" s="1162">
        <f>VLOOKUP($A245,'New Resources - Group'!$A$4:$Y$133,N$2,FALSE)*N$1</f>
        <v>0</v>
      </c>
      <c r="O245" s="1117">
        <f t="shared" si="690"/>
        <v>0</v>
      </c>
      <c r="P245" s="1118">
        <f t="shared" si="630"/>
        <v>0</v>
      </c>
      <c r="Q245" s="1118">
        <f t="shared" si="631"/>
        <v>0</v>
      </c>
      <c r="R245" s="1118">
        <f t="shared" si="632"/>
        <v>0</v>
      </c>
      <c r="S245" s="1074"/>
      <c r="V245" s="1162">
        <f>VLOOKUP($A245,'New Resources - Group'!$A$4:$Y$133,V$2,FALSE)*V$1</f>
        <v>0</v>
      </c>
      <c r="W245" s="1117">
        <f t="shared" si="691"/>
        <v>0</v>
      </c>
      <c r="X245" s="1118">
        <f t="shared" si="633"/>
        <v>0</v>
      </c>
      <c r="Y245" s="1118">
        <f t="shared" si="634"/>
        <v>0</v>
      </c>
      <c r="Z245" s="1118">
        <f t="shared" si="635"/>
        <v>0</v>
      </c>
      <c r="AA245" s="1074"/>
      <c r="AD245" s="1162">
        <f>VLOOKUP($A245,'New Resources - Group'!$A$4:$Y$133,AD$2,FALSE)*AD$1</f>
        <v>0</v>
      </c>
      <c r="AE245" s="1117">
        <f t="shared" si="692"/>
        <v>0</v>
      </c>
      <c r="AF245" s="1118">
        <f t="shared" si="636"/>
        <v>0</v>
      </c>
      <c r="AG245" s="1118">
        <f t="shared" si="637"/>
        <v>0</v>
      </c>
      <c r="AH245" s="1118">
        <f t="shared" si="638"/>
        <v>0</v>
      </c>
      <c r="AI245" s="1074"/>
      <c r="AL245" s="1162">
        <f>VLOOKUP($A245,'New Resources - Group'!$A$4:$Y$133,AL$2,FALSE)*AL$1</f>
        <v>0</v>
      </c>
      <c r="AM245" s="1117">
        <f t="shared" si="693"/>
        <v>0</v>
      </c>
      <c r="AN245" s="1118">
        <f t="shared" si="639"/>
        <v>0</v>
      </c>
      <c r="AO245" s="1118">
        <f t="shared" si="640"/>
        <v>0</v>
      </c>
      <c r="AP245" s="1118">
        <f t="shared" si="641"/>
        <v>0</v>
      </c>
      <c r="AQ245" s="1074"/>
      <c r="AT245" s="1162">
        <f>VLOOKUP($A245,'New Resources - Group'!$A$4:$Y$133,AT$2,FALSE)*AT$1</f>
        <v>0</v>
      </c>
      <c r="AU245" s="1117">
        <f t="shared" si="694"/>
        <v>0</v>
      </c>
      <c r="AV245" s="1118">
        <f t="shared" si="642"/>
        <v>0</v>
      </c>
      <c r="AW245" s="1118">
        <f t="shared" si="643"/>
        <v>0</v>
      </c>
      <c r="AX245" s="1118">
        <f t="shared" si="644"/>
        <v>0</v>
      </c>
      <c r="AY245" s="1074"/>
      <c r="BB245" s="1162">
        <f>VLOOKUP($A245,'New Resources - Group'!$A$4:$Y$133,BB$2,FALSE)*BB$1</f>
        <v>0</v>
      </c>
      <c r="BC245" s="1117">
        <f t="shared" si="695"/>
        <v>0</v>
      </c>
      <c r="BD245" s="1118">
        <f t="shared" si="645"/>
        <v>0</v>
      </c>
      <c r="BE245" s="1118">
        <f t="shared" si="646"/>
        <v>0</v>
      </c>
      <c r="BF245" s="1118">
        <f t="shared" si="647"/>
        <v>0</v>
      </c>
      <c r="BG245" s="1074"/>
      <c r="BJ245" s="1162">
        <f>VLOOKUP($A245,'New Resources - Group'!$A$4:$Y$133,BJ$2,FALSE)*BJ$1</f>
        <v>0</v>
      </c>
      <c r="BK245" s="1117">
        <f t="shared" si="696"/>
        <v>0</v>
      </c>
      <c r="BL245" s="1118">
        <f t="shared" si="648"/>
        <v>0</v>
      </c>
      <c r="BM245" s="1118">
        <f t="shared" si="649"/>
        <v>0</v>
      </c>
      <c r="BN245" s="1118">
        <f t="shared" si="650"/>
        <v>0</v>
      </c>
      <c r="BO245" s="1074"/>
      <c r="BR245" s="1162">
        <f>VLOOKUP($A245,'New Resources - Group'!$A$4:$Y$133,BR$2,FALSE)*BR$1</f>
        <v>0</v>
      </c>
      <c r="BS245" s="1117">
        <f t="shared" si="697"/>
        <v>0</v>
      </c>
      <c r="BT245" s="1118">
        <f t="shared" si="651"/>
        <v>0</v>
      </c>
      <c r="BU245" s="1118">
        <f t="shared" si="652"/>
        <v>0</v>
      </c>
      <c r="BV245" s="1118">
        <f t="shared" si="653"/>
        <v>0</v>
      </c>
      <c r="BW245" s="1074"/>
      <c r="BZ245" s="1162">
        <f>VLOOKUP($A245,'New Resources - Group'!$A$4:$Y$133,BZ$2,FALSE)*BZ$1</f>
        <v>0</v>
      </c>
      <c r="CA245" s="1117">
        <f t="shared" si="698"/>
        <v>0</v>
      </c>
      <c r="CB245" s="1118">
        <f t="shared" si="654"/>
        <v>0</v>
      </c>
      <c r="CC245" s="1118">
        <f t="shared" si="655"/>
        <v>0</v>
      </c>
      <c r="CD245" s="1118">
        <f t="shared" si="656"/>
        <v>0</v>
      </c>
      <c r="CE245" s="1074"/>
      <c r="CH245" s="1162">
        <f>VLOOKUP($A245,'New Resources - Group'!$A$4:$Y$133,CH$2,FALSE)*CH$1</f>
        <v>0</v>
      </c>
      <c r="CI245" s="1117">
        <f t="shared" si="699"/>
        <v>0</v>
      </c>
      <c r="CJ245" s="1118">
        <f t="shared" si="657"/>
        <v>0</v>
      </c>
      <c r="CK245" s="1118">
        <f t="shared" si="658"/>
        <v>0</v>
      </c>
      <c r="CL245" s="1118">
        <f t="shared" si="659"/>
        <v>0</v>
      </c>
      <c r="CM245" s="1074"/>
      <c r="CP245" s="1162">
        <f>VLOOKUP($A245,'New Resources - Group'!$A$4:$Y$133,CP$2,FALSE)*CP$1</f>
        <v>0</v>
      </c>
      <c r="CQ245" s="1117">
        <f t="shared" si="700"/>
        <v>0</v>
      </c>
      <c r="CR245" s="1118">
        <f t="shared" si="660"/>
        <v>0</v>
      </c>
      <c r="CS245" s="1118">
        <f t="shared" si="661"/>
        <v>0</v>
      </c>
      <c r="CT245" s="1118">
        <f t="shared" si="662"/>
        <v>0</v>
      </c>
      <c r="CU245" s="1074"/>
      <c r="CX245" s="1162">
        <f>VLOOKUP($A245,'New Resources - Group'!$A$4:$Y$133,CX$2,FALSE)*CX$1</f>
        <v>0</v>
      </c>
      <c r="CY245" s="1117">
        <f t="shared" si="701"/>
        <v>0</v>
      </c>
      <c r="CZ245" s="1118">
        <f t="shared" si="663"/>
        <v>0</v>
      </c>
      <c r="DA245" s="1118">
        <f t="shared" si="664"/>
        <v>0</v>
      </c>
      <c r="DB245" s="1118">
        <f t="shared" si="665"/>
        <v>0</v>
      </c>
      <c r="DC245" s="1074"/>
      <c r="DF245" s="1162">
        <f>VLOOKUP($A245,'New Resources - Group'!$A$4:$Y$133,DF$2,FALSE)*DF$1</f>
        <v>0</v>
      </c>
      <c r="DG245" s="1117">
        <f t="shared" si="702"/>
        <v>0</v>
      </c>
      <c r="DH245" s="1118">
        <f t="shared" si="666"/>
        <v>0</v>
      </c>
      <c r="DI245" s="1118">
        <f t="shared" si="667"/>
        <v>0</v>
      </c>
      <c r="DJ245" s="1118">
        <f t="shared" si="668"/>
        <v>0</v>
      </c>
      <c r="DK245" s="1074"/>
      <c r="DN245" s="1162">
        <f>VLOOKUP($A245,'New Resources - Group'!$A$4:$Y$133,DN$2,FALSE)*DN$1</f>
        <v>0</v>
      </c>
      <c r="DO245" s="1117">
        <f t="shared" si="703"/>
        <v>0</v>
      </c>
      <c r="DP245" s="1118">
        <f t="shared" si="669"/>
        <v>0</v>
      </c>
      <c r="DQ245" s="1118">
        <f t="shared" si="670"/>
        <v>0</v>
      </c>
      <c r="DR245" s="1118">
        <f t="shared" si="671"/>
        <v>0</v>
      </c>
      <c r="DS245" s="1074"/>
      <c r="DV245" s="1162">
        <f>VLOOKUP($A245,'New Resources - Group'!$A$4:$Y$133,DV$2,FALSE)*DV$1</f>
        <v>0</v>
      </c>
      <c r="DW245" s="1117">
        <f t="shared" si="704"/>
        <v>0</v>
      </c>
      <c r="DX245" s="1118">
        <f t="shared" si="672"/>
        <v>0</v>
      </c>
      <c r="DY245" s="1118">
        <f t="shared" si="673"/>
        <v>0</v>
      </c>
      <c r="DZ245" s="1118">
        <f t="shared" si="674"/>
        <v>0</v>
      </c>
      <c r="EA245" s="1074"/>
      <c r="ED245" s="1162">
        <f>VLOOKUP($A245,'New Resources - Group'!$A$4:$Y$133,ED$2,FALSE)*ED$1</f>
        <v>0</v>
      </c>
      <c r="EE245" s="1117">
        <f t="shared" si="705"/>
        <v>0</v>
      </c>
      <c r="EF245" s="1118">
        <f t="shared" si="675"/>
        <v>0</v>
      </c>
      <c r="EG245" s="1118">
        <f t="shared" si="676"/>
        <v>0</v>
      </c>
      <c r="EH245" s="1118">
        <f t="shared" si="677"/>
        <v>0</v>
      </c>
      <c r="EI245" s="1074"/>
      <c r="EL245" s="1162">
        <f>VLOOKUP($A245,'New Resources - Group'!$A$4:$Y$133,EL$2,FALSE)*EL$1</f>
        <v>0</v>
      </c>
      <c r="EM245" s="1117">
        <f t="shared" si="706"/>
        <v>0</v>
      </c>
      <c r="EN245" s="1118">
        <f t="shared" si="678"/>
        <v>0</v>
      </c>
      <c r="EO245" s="1118">
        <f t="shared" si="679"/>
        <v>0</v>
      </c>
      <c r="EP245" s="1118">
        <f t="shared" si="680"/>
        <v>0</v>
      </c>
      <c r="EQ245" s="1074"/>
      <c r="ET245" s="1162">
        <f>VLOOKUP($A245,'New Resources - Group'!$A$4:$Y$133,ET$2,FALSE)*ET$1</f>
        <v>0</v>
      </c>
      <c r="EU245" s="1117">
        <f t="shared" si="707"/>
        <v>0</v>
      </c>
      <c r="EV245" s="1118">
        <f t="shared" si="681"/>
        <v>0</v>
      </c>
      <c r="EW245" s="1118">
        <f t="shared" si="682"/>
        <v>0</v>
      </c>
      <c r="EX245" s="1118">
        <f t="shared" si="683"/>
        <v>0</v>
      </c>
      <c r="EY245" s="1074"/>
      <c r="FB245" s="1162">
        <f>VLOOKUP($A245,'New Resources - Group'!$A$4:$Y$133,FB$2,FALSE)*FB$1</f>
        <v>0</v>
      </c>
      <c r="FC245" s="1117">
        <f t="shared" si="708"/>
        <v>0</v>
      </c>
      <c r="FD245" s="1118">
        <f t="shared" si="684"/>
        <v>0</v>
      </c>
      <c r="FE245" s="1118">
        <f t="shared" si="685"/>
        <v>0</v>
      </c>
      <c r="FF245" s="1118">
        <f t="shared" si="686"/>
        <v>0</v>
      </c>
      <c r="FG245" s="1074"/>
      <c r="FJ245" s="1162">
        <f>VLOOKUP($A245,'New Resources - Group'!$A$4:$Y$133,FJ$2,FALSE)*FJ$1</f>
        <v>0</v>
      </c>
      <c r="FK245" s="1117">
        <f t="shared" si="709"/>
        <v>0</v>
      </c>
      <c r="FL245" s="1118">
        <f t="shared" si="687"/>
        <v>0</v>
      </c>
      <c r="FM245" s="1118">
        <f t="shared" si="688"/>
        <v>0</v>
      </c>
      <c r="FN245" s="1118">
        <f t="shared" si="689"/>
        <v>0</v>
      </c>
      <c r="FO245" s="1074"/>
    </row>
    <row r="246" spans="1:171" x14ac:dyDescent="0.25">
      <c r="A246" s="1442">
        <v>450</v>
      </c>
      <c r="B246" s="914" t="s">
        <v>430</v>
      </c>
      <c r="C246" s="889">
        <v>336</v>
      </c>
      <c r="D246" s="889">
        <v>403</v>
      </c>
      <c r="E246" s="182" t="str">
        <f>'Sch 3 - Expenses'!E86</f>
        <v>PROD</v>
      </c>
      <c r="F246" s="890"/>
      <c r="G246" s="182">
        <f>'Sch 3 - Expenses'!G86</f>
        <v>12578940.113235414</v>
      </c>
      <c r="H246" s="182">
        <f>'Sch 3 - Expenses'!H86</f>
        <v>12578940.113235414</v>
      </c>
      <c r="I246" s="182">
        <f>'Sch 3 - Expenses'!I86</f>
        <v>0</v>
      </c>
      <c r="J246" s="1422">
        <f>'Sch 3 - Expenses'!J86</f>
        <v>0</v>
      </c>
      <c r="K246" s="904">
        <f t="shared" si="629"/>
        <v>1</v>
      </c>
      <c r="N246" s="1162">
        <f>VLOOKUP($A246,'New Resources - Group'!$A$4:$Y$133,N$2,FALSE)*N$1</f>
        <v>0</v>
      </c>
      <c r="O246" s="1117">
        <f t="shared" si="690"/>
        <v>12578940.113235414</v>
      </c>
      <c r="P246" s="1118">
        <f t="shared" si="630"/>
        <v>12578940.113235414</v>
      </c>
      <c r="Q246" s="1118">
        <f t="shared" si="631"/>
        <v>0</v>
      </c>
      <c r="R246" s="1118">
        <f t="shared" si="632"/>
        <v>0</v>
      </c>
      <c r="S246" s="1074"/>
      <c r="V246" s="1162">
        <f>VLOOKUP($A246,'New Resources - Group'!$A$4:$Y$133,V$2,FALSE)*V$1</f>
        <v>0</v>
      </c>
      <c r="W246" s="1117">
        <f t="shared" si="691"/>
        <v>12578940.113235414</v>
      </c>
      <c r="X246" s="1118">
        <f t="shared" si="633"/>
        <v>12578940.113235414</v>
      </c>
      <c r="Y246" s="1118">
        <f t="shared" si="634"/>
        <v>0</v>
      </c>
      <c r="Z246" s="1118">
        <f t="shared" si="635"/>
        <v>0</v>
      </c>
      <c r="AA246" s="1074"/>
      <c r="AD246" s="1162">
        <f>VLOOKUP($A246,'New Resources - Group'!$A$4:$Y$133,AD$2,FALSE)*AD$1</f>
        <v>0</v>
      </c>
      <c r="AE246" s="1117">
        <f t="shared" si="692"/>
        <v>12578940.113235414</v>
      </c>
      <c r="AF246" s="1118">
        <f t="shared" si="636"/>
        <v>12578940.113235414</v>
      </c>
      <c r="AG246" s="1118">
        <f t="shared" si="637"/>
        <v>0</v>
      </c>
      <c r="AH246" s="1118">
        <f t="shared" si="638"/>
        <v>0</v>
      </c>
      <c r="AI246" s="1074"/>
      <c r="AL246" s="1162">
        <f>VLOOKUP($A246,'New Resources - Group'!$A$4:$Y$133,AL$2,FALSE)*AL$1</f>
        <v>0</v>
      </c>
      <c r="AM246" s="1117">
        <f t="shared" si="693"/>
        <v>12578940.113235414</v>
      </c>
      <c r="AN246" s="1118">
        <f t="shared" si="639"/>
        <v>12578940.113235414</v>
      </c>
      <c r="AO246" s="1118">
        <f t="shared" si="640"/>
        <v>0</v>
      </c>
      <c r="AP246" s="1118">
        <f t="shared" si="641"/>
        <v>0</v>
      </c>
      <c r="AQ246" s="1074"/>
      <c r="AT246" s="1162">
        <f>VLOOKUP($A246,'New Resources - Group'!$A$4:$Y$133,AT$2,FALSE)*AT$1</f>
        <v>0</v>
      </c>
      <c r="AU246" s="1117">
        <f t="shared" si="694"/>
        <v>12578940.113235414</v>
      </c>
      <c r="AV246" s="1118">
        <f t="shared" si="642"/>
        <v>12578940.113235414</v>
      </c>
      <c r="AW246" s="1118">
        <f t="shared" si="643"/>
        <v>0</v>
      </c>
      <c r="AX246" s="1118">
        <f t="shared" si="644"/>
        <v>0</v>
      </c>
      <c r="AY246" s="1074"/>
      <c r="BB246" s="1162">
        <f>VLOOKUP($A246,'New Resources - Group'!$A$4:$Y$133,BB$2,FALSE)*BB$1</f>
        <v>0</v>
      </c>
      <c r="BC246" s="1117">
        <f t="shared" si="695"/>
        <v>12578940.113235414</v>
      </c>
      <c r="BD246" s="1118">
        <f t="shared" si="645"/>
        <v>12578940.113235414</v>
      </c>
      <c r="BE246" s="1118">
        <f t="shared" si="646"/>
        <v>0</v>
      </c>
      <c r="BF246" s="1118">
        <f t="shared" si="647"/>
        <v>0</v>
      </c>
      <c r="BG246" s="1074"/>
      <c r="BJ246" s="1162">
        <f>VLOOKUP($A246,'New Resources - Group'!$A$4:$Y$133,BJ$2,FALSE)*BJ$1</f>
        <v>0</v>
      </c>
      <c r="BK246" s="1117">
        <f t="shared" si="696"/>
        <v>12578940.113235414</v>
      </c>
      <c r="BL246" s="1118">
        <f t="shared" si="648"/>
        <v>12578940.113235414</v>
      </c>
      <c r="BM246" s="1118">
        <f t="shared" si="649"/>
        <v>0</v>
      </c>
      <c r="BN246" s="1118">
        <f t="shared" si="650"/>
        <v>0</v>
      </c>
      <c r="BO246" s="1074"/>
      <c r="BR246" s="1162">
        <f>VLOOKUP($A246,'New Resources - Group'!$A$4:$Y$133,BR$2,FALSE)*BR$1</f>
        <v>0</v>
      </c>
      <c r="BS246" s="1117">
        <f t="shared" si="697"/>
        <v>12578940.113235414</v>
      </c>
      <c r="BT246" s="1118">
        <f t="shared" si="651"/>
        <v>12578940.113235414</v>
      </c>
      <c r="BU246" s="1118">
        <f t="shared" si="652"/>
        <v>0</v>
      </c>
      <c r="BV246" s="1118">
        <f t="shared" si="653"/>
        <v>0</v>
      </c>
      <c r="BW246" s="1074"/>
      <c r="BZ246" s="1162">
        <f>VLOOKUP($A246,'New Resources - Group'!$A$4:$Y$133,BZ$2,FALSE)*BZ$1</f>
        <v>0</v>
      </c>
      <c r="CA246" s="1117">
        <f t="shared" si="698"/>
        <v>12578940.113235414</v>
      </c>
      <c r="CB246" s="1118">
        <f t="shared" si="654"/>
        <v>12578940.113235414</v>
      </c>
      <c r="CC246" s="1118">
        <f t="shared" si="655"/>
        <v>0</v>
      </c>
      <c r="CD246" s="1118">
        <f t="shared" si="656"/>
        <v>0</v>
      </c>
      <c r="CE246" s="1074"/>
      <c r="CH246" s="1162">
        <f>VLOOKUP($A246,'New Resources - Group'!$A$4:$Y$133,CH$2,FALSE)*CH$1</f>
        <v>0</v>
      </c>
      <c r="CI246" s="1117">
        <f t="shared" si="699"/>
        <v>12578940.113235414</v>
      </c>
      <c r="CJ246" s="1118">
        <f t="shared" si="657"/>
        <v>12578940.113235414</v>
      </c>
      <c r="CK246" s="1118">
        <f t="shared" si="658"/>
        <v>0</v>
      </c>
      <c r="CL246" s="1118">
        <f t="shared" si="659"/>
        <v>0</v>
      </c>
      <c r="CM246" s="1074"/>
      <c r="CP246" s="1162">
        <f>VLOOKUP($A246,'New Resources - Group'!$A$4:$Y$133,CP$2,FALSE)*CP$1</f>
        <v>0</v>
      </c>
      <c r="CQ246" s="1117">
        <f t="shared" si="700"/>
        <v>12578940.113235414</v>
      </c>
      <c r="CR246" s="1118">
        <f t="shared" si="660"/>
        <v>12578940.113235414</v>
      </c>
      <c r="CS246" s="1118">
        <f t="shared" si="661"/>
        <v>0</v>
      </c>
      <c r="CT246" s="1118">
        <f t="shared" si="662"/>
        <v>0</v>
      </c>
      <c r="CU246" s="1074"/>
      <c r="CX246" s="1162">
        <f>VLOOKUP($A246,'New Resources - Group'!$A$4:$Y$133,CX$2,FALSE)*CX$1</f>
        <v>0</v>
      </c>
      <c r="CY246" s="1117">
        <f t="shared" si="701"/>
        <v>12578940.113235414</v>
      </c>
      <c r="CZ246" s="1118">
        <f t="shared" si="663"/>
        <v>12578940.113235414</v>
      </c>
      <c r="DA246" s="1118">
        <f t="shared" si="664"/>
        <v>0</v>
      </c>
      <c r="DB246" s="1118">
        <f t="shared" si="665"/>
        <v>0</v>
      </c>
      <c r="DC246" s="1074"/>
      <c r="DF246" s="1162">
        <f>VLOOKUP($A246,'New Resources - Group'!$A$4:$Y$133,DF$2,FALSE)*DF$1</f>
        <v>0</v>
      </c>
      <c r="DG246" s="1117">
        <f t="shared" si="702"/>
        <v>12578940.113235414</v>
      </c>
      <c r="DH246" s="1118">
        <f t="shared" si="666"/>
        <v>12578940.113235414</v>
      </c>
      <c r="DI246" s="1118">
        <f t="shared" si="667"/>
        <v>0</v>
      </c>
      <c r="DJ246" s="1118">
        <f t="shared" si="668"/>
        <v>0</v>
      </c>
      <c r="DK246" s="1074"/>
      <c r="DN246" s="1162">
        <f>VLOOKUP($A246,'New Resources - Group'!$A$4:$Y$133,DN$2,FALSE)*DN$1</f>
        <v>0</v>
      </c>
      <c r="DO246" s="1117">
        <f t="shared" si="703"/>
        <v>12578940.113235414</v>
      </c>
      <c r="DP246" s="1118">
        <f t="shared" si="669"/>
        <v>12578940.113235414</v>
      </c>
      <c r="DQ246" s="1118">
        <f t="shared" si="670"/>
        <v>0</v>
      </c>
      <c r="DR246" s="1118">
        <f t="shared" si="671"/>
        <v>0</v>
      </c>
      <c r="DS246" s="1074"/>
      <c r="DV246" s="1162">
        <f>VLOOKUP($A246,'New Resources - Group'!$A$4:$Y$133,DV$2,FALSE)*DV$1</f>
        <v>0</v>
      </c>
      <c r="DW246" s="1117">
        <f t="shared" si="704"/>
        <v>12578940.113235414</v>
      </c>
      <c r="DX246" s="1118">
        <f t="shared" si="672"/>
        <v>12578940.113235414</v>
      </c>
      <c r="DY246" s="1118">
        <f t="shared" si="673"/>
        <v>0</v>
      </c>
      <c r="DZ246" s="1118">
        <f t="shared" si="674"/>
        <v>0</v>
      </c>
      <c r="EA246" s="1074"/>
      <c r="ED246" s="1162">
        <f>VLOOKUP($A246,'New Resources - Group'!$A$4:$Y$133,ED$2,FALSE)*ED$1</f>
        <v>0</v>
      </c>
      <c r="EE246" s="1117">
        <f t="shared" si="705"/>
        <v>12578940.113235414</v>
      </c>
      <c r="EF246" s="1118">
        <f t="shared" si="675"/>
        <v>12578940.113235414</v>
      </c>
      <c r="EG246" s="1118">
        <f t="shared" si="676"/>
        <v>0</v>
      </c>
      <c r="EH246" s="1118">
        <f t="shared" si="677"/>
        <v>0</v>
      </c>
      <c r="EI246" s="1074"/>
      <c r="EL246" s="1162">
        <f>VLOOKUP($A246,'New Resources - Group'!$A$4:$Y$133,EL$2,FALSE)*EL$1</f>
        <v>0</v>
      </c>
      <c r="EM246" s="1117">
        <f t="shared" si="706"/>
        <v>12578940.113235414</v>
      </c>
      <c r="EN246" s="1118">
        <f t="shared" si="678"/>
        <v>12578940.113235414</v>
      </c>
      <c r="EO246" s="1118">
        <f t="shared" si="679"/>
        <v>0</v>
      </c>
      <c r="EP246" s="1118">
        <f t="shared" si="680"/>
        <v>0</v>
      </c>
      <c r="EQ246" s="1074"/>
      <c r="ET246" s="1162">
        <f>VLOOKUP($A246,'New Resources - Group'!$A$4:$Y$133,ET$2,FALSE)*ET$1</f>
        <v>0</v>
      </c>
      <c r="EU246" s="1117">
        <f t="shared" si="707"/>
        <v>12578940.113235414</v>
      </c>
      <c r="EV246" s="1118">
        <f t="shared" si="681"/>
        <v>12578940.113235414</v>
      </c>
      <c r="EW246" s="1118">
        <f t="shared" si="682"/>
        <v>0</v>
      </c>
      <c r="EX246" s="1118">
        <f t="shared" si="683"/>
        <v>0</v>
      </c>
      <c r="EY246" s="1074"/>
      <c r="FB246" s="1162">
        <f>VLOOKUP($A246,'New Resources - Group'!$A$4:$Y$133,FB$2,FALSE)*FB$1</f>
        <v>0</v>
      </c>
      <c r="FC246" s="1117">
        <f t="shared" si="708"/>
        <v>12578940.113235414</v>
      </c>
      <c r="FD246" s="1118">
        <f t="shared" si="684"/>
        <v>12578940.113235414</v>
      </c>
      <c r="FE246" s="1118">
        <f t="shared" si="685"/>
        <v>0</v>
      </c>
      <c r="FF246" s="1118">
        <f t="shared" si="686"/>
        <v>0</v>
      </c>
      <c r="FG246" s="1074"/>
      <c r="FJ246" s="1162">
        <f>VLOOKUP($A246,'New Resources - Group'!$A$4:$Y$133,FJ$2,FALSE)*FJ$1</f>
        <v>0</v>
      </c>
      <c r="FK246" s="1117">
        <f t="shared" si="709"/>
        <v>12578940.113235414</v>
      </c>
      <c r="FL246" s="1118">
        <f t="shared" si="687"/>
        <v>12578940.113235414</v>
      </c>
      <c r="FM246" s="1118">
        <f t="shared" si="688"/>
        <v>0</v>
      </c>
      <c r="FN246" s="1118">
        <f t="shared" si="689"/>
        <v>0</v>
      </c>
      <c r="FO246" s="1074"/>
    </row>
    <row r="247" spans="1:171" x14ac:dyDescent="0.25">
      <c r="A247" s="1442">
        <v>460</v>
      </c>
      <c r="B247" s="914" t="s">
        <v>431</v>
      </c>
      <c r="C247" s="889">
        <v>336</v>
      </c>
      <c r="D247" s="889">
        <v>403</v>
      </c>
      <c r="E247" s="182" t="str">
        <f>'Sch 3 - Expenses'!E87</f>
        <v>PROD</v>
      </c>
      <c r="F247" s="890"/>
      <c r="G247" s="182">
        <f>'Sch 3 - Expenses'!G87</f>
        <v>0</v>
      </c>
      <c r="H247" s="182">
        <f>'Sch 3 - Expenses'!H87</f>
        <v>0</v>
      </c>
      <c r="I247" s="182">
        <f>'Sch 3 - Expenses'!I87</f>
        <v>0</v>
      </c>
      <c r="J247" s="1422">
        <f>'Sch 3 - Expenses'!J87</f>
        <v>0</v>
      </c>
      <c r="K247" s="904">
        <f t="shared" si="629"/>
        <v>1</v>
      </c>
      <c r="N247" s="1162">
        <f>VLOOKUP($A247,'New Resources - Group'!$A$4:$Y$133,N$2,FALSE)*N$1</f>
        <v>0</v>
      </c>
      <c r="O247" s="1117">
        <f t="shared" si="690"/>
        <v>0</v>
      </c>
      <c r="P247" s="1118">
        <f t="shared" si="630"/>
        <v>0</v>
      </c>
      <c r="Q247" s="1118">
        <f t="shared" si="631"/>
        <v>0</v>
      </c>
      <c r="R247" s="1118">
        <f t="shared" si="632"/>
        <v>0</v>
      </c>
      <c r="S247" s="1074"/>
      <c r="V247" s="1162">
        <f>VLOOKUP($A247,'New Resources - Group'!$A$4:$Y$133,V$2,FALSE)*V$1</f>
        <v>0</v>
      </c>
      <c r="W247" s="1117">
        <f t="shared" si="691"/>
        <v>0</v>
      </c>
      <c r="X247" s="1118">
        <f t="shared" si="633"/>
        <v>0</v>
      </c>
      <c r="Y247" s="1118">
        <f t="shared" si="634"/>
        <v>0</v>
      </c>
      <c r="Z247" s="1118">
        <f t="shared" si="635"/>
        <v>0</v>
      </c>
      <c r="AA247" s="1074"/>
      <c r="AD247" s="1162">
        <f>VLOOKUP($A247,'New Resources - Group'!$A$4:$Y$133,AD$2,FALSE)*AD$1</f>
        <v>0</v>
      </c>
      <c r="AE247" s="1117">
        <f t="shared" si="692"/>
        <v>0</v>
      </c>
      <c r="AF247" s="1118">
        <f t="shared" si="636"/>
        <v>0</v>
      </c>
      <c r="AG247" s="1118">
        <f t="shared" si="637"/>
        <v>0</v>
      </c>
      <c r="AH247" s="1118">
        <f t="shared" si="638"/>
        <v>0</v>
      </c>
      <c r="AI247" s="1074"/>
      <c r="AL247" s="1162">
        <f>VLOOKUP($A247,'New Resources - Group'!$A$4:$Y$133,AL$2,FALSE)*AL$1</f>
        <v>0</v>
      </c>
      <c r="AM247" s="1117">
        <f t="shared" si="693"/>
        <v>0</v>
      </c>
      <c r="AN247" s="1118">
        <f t="shared" si="639"/>
        <v>0</v>
      </c>
      <c r="AO247" s="1118">
        <f t="shared" si="640"/>
        <v>0</v>
      </c>
      <c r="AP247" s="1118">
        <f t="shared" si="641"/>
        <v>0</v>
      </c>
      <c r="AQ247" s="1074"/>
      <c r="AT247" s="1162">
        <f>VLOOKUP($A247,'New Resources - Group'!$A$4:$Y$133,AT$2,FALSE)*AT$1</f>
        <v>0</v>
      </c>
      <c r="AU247" s="1117">
        <f t="shared" si="694"/>
        <v>0</v>
      </c>
      <c r="AV247" s="1118">
        <f t="shared" si="642"/>
        <v>0</v>
      </c>
      <c r="AW247" s="1118">
        <f t="shared" si="643"/>
        <v>0</v>
      </c>
      <c r="AX247" s="1118">
        <f t="shared" si="644"/>
        <v>0</v>
      </c>
      <c r="AY247" s="1074"/>
      <c r="BB247" s="1162">
        <f>VLOOKUP($A247,'New Resources - Group'!$A$4:$Y$133,BB$2,FALSE)*BB$1</f>
        <v>0</v>
      </c>
      <c r="BC247" s="1117">
        <f t="shared" si="695"/>
        <v>0</v>
      </c>
      <c r="BD247" s="1118">
        <f t="shared" si="645"/>
        <v>0</v>
      </c>
      <c r="BE247" s="1118">
        <f t="shared" si="646"/>
        <v>0</v>
      </c>
      <c r="BF247" s="1118">
        <f t="shared" si="647"/>
        <v>0</v>
      </c>
      <c r="BG247" s="1074"/>
      <c r="BJ247" s="1162">
        <f>VLOOKUP($A247,'New Resources - Group'!$A$4:$Y$133,BJ$2,FALSE)*BJ$1</f>
        <v>0</v>
      </c>
      <c r="BK247" s="1117">
        <f t="shared" si="696"/>
        <v>0</v>
      </c>
      <c r="BL247" s="1118">
        <f t="shared" si="648"/>
        <v>0</v>
      </c>
      <c r="BM247" s="1118">
        <f t="shared" si="649"/>
        <v>0</v>
      </c>
      <c r="BN247" s="1118">
        <f t="shared" si="650"/>
        <v>0</v>
      </c>
      <c r="BO247" s="1074"/>
      <c r="BR247" s="1162">
        <f>VLOOKUP($A247,'New Resources - Group'!$A$4:$Y$133,BR$2,FALSE)*BR$1</f>
        <v>0</v>
      </c>
      <c r="BS247" s="1117">
        <f t="shared" si="697"/>
        <v>0</v>
      </c>
      <c r="BT247" s="1118">
        <f t="shared" si="651"/>
        <v>0</v>
      </c>
      <c r="BU247" s="1118">
        <f t="shared" si="652"/>
        <v>0</v>
      </c>
      <c r="BV247" s="1118">
        <f t="shared" si="653"/>
        <v>0</v>
      </c>
      <c r="BW247" s="1074"/>
      <c r="BZ247" s="1162">
        <f>VLOOKUP($A247,'New Resources - Group'!$A$4:$Y$133,BZ$2,FALSE)*BZ$1</f>
        <v>0</v>
      </c>
      <c r="CA247" s="1117">
        <f t="shared" si="698"/>
        <v>0</v>
      </c>
      <c r="CB247" s="1118">
        <f t="shared" si="654"/>
        <v>0</v>
      </c>
      <c r="CC247" s="1118">
        <f t="shared" si="655"/>
        <v>0</v>
      </c>
      <c r="CD247" s="1118">
        <f t="shared" si="656"/>
        <v>0</v>
      </c>
      <c r="CE247" s="1074"/>
      <c r="CH247" s="1162">
        <f>VLOOKUP($A247,'New Resources - Group'!$A$4:$Y$133,CH$2,FALSE)*CH$1</f>
        <v>0</v>
      </c>
      <c r="CI247" s="1117">
        <f t="shared" si="699"/>
        <v>0</v>
      </c>
      <c r="CJ247" s="1118">
        <f t="shared" si="657"/>
        <v>0</v>
      </c>
      <c r="CK247" s="1118">
        <f t="shared" si="658"/>
        <v>0</v>
      </c>
      <c r="CL247" s="1118">
        <f t="shared" si="659"/>
        <v>0</v>
      </c>
      <c r="CM247" s="1074"/>
      <c r="CP247" s="1162">
        <f>VLOOKUP($A247,'New Resources - Group'!$A$4:$Y$133,CP$2,FALSE)*CP$1</f>
        <v>0</v>
      </c>
      <c r="CQ247" s="1117">
        <f t="shared" si="700"/>
        <v>0</v>
      </c>
      <c r="CR247" s="1118">
        <f t="shared" si="660"/>
        <v>0</v>
      </c>
      <c r="CS247" s="1118">
        <f t="shared" si="661"/>
        <v>0</v>
      </c>
      <c r="CT247" s="1118">
        <f t="shared" si="662"/>
        <v>0</v>
      </c>
      <c r="CU247" s="1074"/>
      <c r="CX247" s="1162">
        <f>VLOOKUP($A247,'New Resources - Group'!$A$4:$Y$133,CX$2,FALSE)*CX$1</f>
        <v>0</v>
      </c>
      <c r="CY247" s="1117">
        <f t="shared" si="701"/>
        <v>0</v>
      </c>
      <c r="CZ247" s="1118">
        <f t="shared" si="663"/>
        <v>0</v>
      </c>
      <c r="DA247" s="1118">
        <f t="shared" si="664"/>
        <v>0</v>
      </c>
      <c r="DB247" s="1118">
        <f t="shared" si="665"/>
        <v>0</v>
      </c>
      <c r="DC247" s="1074"/>
      <c r="DF247" s="1162">
        <f>VLOOKUP($A247,'New Resources - Group'!$A$4:$Y$133,DF$2,FALSE)*DF$1</f>
        <v>0</v>
      </c>
      <c r="DG247" s="1117">
        <f t="shared" si="702"/>
        <v>0</v>
      </c>
      <c r="DH247" s="1118">
        <f t="shared" si="666"/>
        <v>0</v>
      </c>
      <c r="DI247" s="1118">
        <f t="shared" si="667"/>
        <v>0</v>
      </c>
      <c r="DJ247" s="1118">
        <f t="shared" si="668"/>
        <v>0</v>
      </c>
      <c r="DK247" s="1074"/>
      <c r="DN247" s="1162">
        <f>VLOOKUP($A247,'New Resources - Group'!$A$4:$Y$133,DN$2,FALSE)*DN$1</f>
        <v>0</v>
      </c>
      <c r="DO247" s="1117">
        <f t="shared" si="703"/>
        <v>0</v>
      </c>
      <c r="DP247" s="1118">
        <f t="shared" si="669"/>
        <v>0</v>
      </c>
      <c r="DQ247" s="1118">
        <f t="shared" si="670"/>
        <v>0</v>
      </c>
      <c r="DR247" s="1118">
        <f t="shared" si="671"/>
        <v>0</v>
      </c>
      <c r="DS247" s="1074"/>
      <c r="DV247" s="1162">
        <f>VLOOKUP($A247,'New Resources - Group'!$A$4:$Y$133,DV$2,FALSE)*DV$1</f>
        <v>0</v>
      </c>
      <c r="DW247" s="1117">
        <f t="shared" si="704"/>
        <v>0</v>
      </c>
      <c r="DX247" s="1118">
        <f t="shared" si="672"/>
        <v>0</v>
      </c>
      <c r="DY247" s="1118">
        <f t="shared" si="673"/>
        <v>0</v>
      </c>
      <c r="DZ247" s="1118">
        <f t="shared" si="674"/>
        <v>0</v>
      </c>
      <c r="EA247" s="1074"/>
      <c r="ED247" s="1162">
        <f>VLOOKUP($A247,'New Resources - Group'!$A$4:$Y$133,ED$2,FALSE)*ED$1</f>
        <v>0</v>
      </c>
      <c r="EE247" s="1117">
        <f t="shared" si="705"/>
        <v>0</v>
      </c>
      <c r="EF247" s="1118">
        <f t="shared" si="675"/>
        <v>0</v>
      </c>
      <c r="EG247" s="1118">
        <f t="shared" si="676"/>
        <v>0</v>
      </c>
      <c r="EH247" s="1118">
        <f t="shared" si="677"/>
        <v>0</v>
      </c>
      <c r="EI247" s="1074"/>
      <c r="EL247" s="1162">
        <f>VLOOKUP($A247,'New Resources - Group'!$A$4:$Y$133,EL$2,FALSE)*EL$1</f>
        <v>0</v>
      </c>
      <c r="EM247" s="1117">
        <f t="shared" si="706"/>
        <v>0</v>
      </c>
      <c r="EN247" s="1118">
        <f t="shared" si="678"/>
        <v>0</v>
      </c>
      <c r="EO247" s="1118">
        <f t="shared" si="679"/>
        <v>0</v>
      </c>
      <c r="EP247" s="1118">
        <f t="shared" si="680"/>
        <v>0</v>
      </c>
      <c r="EQ247" s="1074"/>
      <c r="ET247" s="1162">
        <f>VLOOKUP($A247,'New Resources - Group'!$A$4:$Y$133,ET$2,FALSE)*ET$1</f>
        <v>0</v>
      </c>
      <c r="EU247" s="1117">
        <f t="shared" si="707"/>
        <v>0</v>
      </c>
      <c r="EV247" s="1118">
        <f t="shared" si="681"/>
        <v>0</v>
      </c>
      <c r="EW247" s="1118">
        <f t="shared" si="682"/>
        <v>0</v>
      </c>
      <c r="EX247" s="1118">
        <f t="shared" si="683"/>
        <v>0</v>
      </c>
      <c r="EY247" s="1074"/>
      <c r="FB247" s="1162">
        <f>VLOOKUP($A247,'New Resources - Group'!$A$4:$Y$133,FB$2,FALSE)*FB$1</f>
        <v>0</v>
      </c>
      <c r="FC247" s="1117">
        <f t="shared" si="708"/>
        <v>0</v>
      </c>
      <c r="FD247" s="1118">
        <f t="shared" si="684"/>
        <v>0</v>
      </c>
      <c r="FE247" s="1118">
        <f t="shared" si="685"/>
        <v>0</v>
      </c>
      <c r="FF247" s="1118">
        <f t="shared" si="686"/>
        <v>0</v>
      </c>
      <c r="FG247" s="1074"/>
      <c r="FJ247" s="1162">
        <f>VLOOKUP($A247,'New Resources - Group'!$A$4:$Y$133,FJ$2,FALSE)*FJ$1</f>
        <v>0</v>
      </c>
      <c r="FK247" s="1117">
        <f t="shared" si="709"/>
        <v>0</v>
      </c>
      <c r="FL247" s="1118">
        <f t="shared" si="687"/>
        <v>0</v>
      </c>
      <c r="FM247" s="1118">
        <f t="shared" si="688"/>
        <v>0</v>
      </c>
      <c r="FN247" s="1118">
        <f t="shared" si="689"/>
        <v>0</v>
      </c>
      <c r="FO247" s="1074"/>
    </row>
    <row r="248" spans="1:171" x14ac:dyDescent="0.25">
      <c r="A248" s="1442">
        <v>600</v>
      </c>
      <c r="B248" s="914" t="s">
        <v>137</v>
      </c>
      <c r="C248" s="889">
        <v>336</v>
      </c>
      <c r="D248" s="889">
        <v>403</v>
      </c>
      <c r="E248" s="182" t="str">
        <f>'Sch 3 - Expenses'!E88</f>
        <v>PROD</v>
      </c>
      <c r="F248" s="890"/>
      <c r="G248" s="182">
        <f>'Sch 3 - Expenses'!G88</f>
        <v>86888185.679734245</v>
      </c>
      <c r="H248" s="182">
        <f>'Sch 3 - Expenses'!H88</f>
        <v>86888185.679734245</v>
      </c>
      <c r="I248" s="182">
        <f>'Sch 3 - Expenses'!I88</f>
        <v>0</v>
      </c>
      <c r="J248" s="1422">
        <f>'Sch 3 - Expenses'!J88</f>
        <v>0</v>
      </c>
      <c r="K248" s="904">
        <f t="shared" si="629"/>
        <v>1</v>
      </c>
      <c r="N248" s="1162">
        <f>VLOOKUP($A248,'New Resources - Group'!$A$4:$Y$133,N$2,FALSE)*N$1</f>
        <v>0</v>
      </c>
      <c r="O248" s="1117">
        <f t="shared" si="690"/>
        <v>86888185.679734245</v>
      </c>
      <c r="P248" s="1118">
        <f t="shared" si="630"/>
        <v>86888185.679734245</v>
      </c>
      <c r="Q248" s="1118">
        <f t="shared" si="631"/>
        <v>0</v>
      </c>
      <c r="R248" s="1118">
        <f t="shared" si="632"/>
        <v>0</v>
      </c>
      <c r="S248" s="1074"/>
      <c r="V248" s="1162">
        <f>VLOOKUP($A248,'New Resources - Group'!$A$4:$Y$133,V$2,FALSE)*V$1</f>
        <v>0</v>
      </c>
      <c r="W248" s="1117">
        <f t="shared" si="691"/>
        <v>86888185.679734245</v>
      </c>
      <c r="X248" s="1118">
        <f t="shared" si="633"/>
        <v>86888185.679734245</v>
      </c>
      <c r="Y248" s="1118">
        <f t="shared" si="634"/>
        <v>0</v>
      </c>
      <c r="Z248" s="1118">
        <f t="shared" si="635"/>
        <v>0</v>
      </c>
      <c r="AA248" s="1074"/>
      <c r="AD248" s="1162">
        <f>VLOOKUP($A248,'New Resources - Group'!$A$4:$Y$133,AD$2,FALSE)*AD$1</f>
        <v>0</v>
      </c>
      <c r="AE248" s="1117">
        <f t="shared" si="692"/>
        <v>86888185.679734245</v>
      </c>
      <c r="AF248" s="1118">
        <f t="shared" si="636"/>
        <v>86888185.679734245</v>
      </c>
      <c r="AG248" s="1118">
        <f t="shared" si="637"/>
        <v>0</v>
      </c>
      <c r="AH248" s="1118">
        <f t="shared" si="638"/>
        <v>0</v>
      </c>
      <c r="AI248" s="1074"/>
      <c r="AL248" s="1162">
        <f>VLOOKUP($A248,'New Resources - Group'!$A$4:$Y$133,AL$2,FALSE)*AL$1</f>
        <v>0</v>
      </c>
      <c r="AM248" s="1117">
        <f t="shared" si="693"/>
        <v>86888185.679734245</v>
      </c>
      <c r="AN248" s="1118">
        <f t="shared" si="639"/>
        <v>86888185.679734245</v>
      </c>
      <c r="AO248" s="1118">
        <f t="shared" si="640"/>
        <v>0</v>
      </c>
      <c r="AP248" s="1118">
        <f t="shared" si="641"/>
        <v>0</v>
      </c>
      <c r="AQ248" s="1074"/>
      <c r="AT248" s="1162">
        <f>VLOOKUP($A248,'New Resources - Group'!$A$4:$Y$133,AT$2,FALSE)*AT$1</f>
        <v>0</v>
      </c>
      <c r="AU248" s="1117">
        <f t="shared" si="694"/>
        <v>86888185.679734245</v>
      </c>
      <c r="AV248" s="1118">
        <f t="shared" si="642"/>
        <v>86888185.679734245</v>
      </c>
      <c r="AW248" s="1118">
        <f t="shared" si="643"/>
        <v>0</v>
      </c>
      <c r="AX248" s="1118">
        <f t="shared" si="644"/>
        <v>0</v>
      </c>
      <c r="AY248" s="1074"/>
      <c r="BB248" s="1162">
        <f>VLOOKUP($A248,'New Resources - Group'!$A$4:$Y$133,BB$2,FALSE)*BB$1</f>
        <v>0</v>
      </c>
      <c r="BC248" s="1117">
        <f t="shared" si="695"/>
        <v>86888185.679734245</v>
      </c>
      <c r="BD248" s="1118">
        <f t="shared" si="645"/>
        <v>86888185.679734245</v>
      </c>
      <c r="BE248" s="1118">
        <f t="shared" si="646"/>
        <v>0</v>
      </c>
      <c r="BF248" s="1118">
        <f t="shared" si="647"/>
        <v>0</v>
      </c>
      <c r="BG248" s="1074"/>
      <c r="BJ248" s="1162">
        <f>VLOOKUP($A248,'New Resources - Group'!$A$4:$Y$133,BJ$2,FALSE)*BJ$1</f>
        <v>0</v>
      </c>
      <c r="BK248" s="1117">
        <f t="shared" si="696"/>
        <v>86888185.679734245</v>
      </c>
      <c r="BL248" s="1118">
        <f t="shared" si="648"/>
        <v>86888185.679734245</v>
      </c>
      <c r="BM248" s="1118">
        <f t="shared" si="649"/>
        <v>0</v>
      </c>
      <c r="BN248" s="1118">
        <f t="shared" si="650"/>
        <v>0</v>
      </c>
      <c r="BO248" s="1074"/>
      <c r="BR248" s="1162">
        <f>VLOOKUP($A248,'New Resources - Group'!$A$4:$Y$133,BR$2,FALSE)*BR$1</f>
        <v>0</v>
      </c>
      <c r="BS248" s="1117">
        <f t="shared" si="697"/>
        <v>86888185.679734245</v>
      </c>
      <c r="BT248" s="1118">
        <f t="shared" si="651"/>
        <v>86888185.679734245</v>
      </c>
      <c r="BU248" s="1118">
        <f t="shared" si="652"/>
        <v>0</v>
      </c>
      <c r="BV248" s="1118">
        <f t="shared" si="653"/>
        <v>0</v>
      </c>
      <c r="BW248" s="1074"/>
      <c r="BZ248" s="1162">
        <f>VLOOKUP($A248,'New Resources - Group'!$A$4:$Y$133,BZ$2,FALSE)*BZ$1</f>
        <v>0</v>
      </c>
      <c r="CA248" s="1117">
        <f t="shared" si="698"/>
        <v>86888185.679734245</v>
      </c>
      <c r="CB248" s="1118">
        <f t="shared" si="654"/>
        <v>86888185.679734245</v>
      </c>
      <c r="CC248" s="1118">
        <f t="shared" si="655"/>
        <v>0</v>
      </c>
      <c r="CD248" s="1118">
        <f t="shared" si="656"/>
        <v>0</v>
      </c>
      <c r="CE248" s="1074"/>
      <c r="CH248" s="1162">
        <f>VLOOKUP($A248,'New Resources - Group'!$A$4:$Y$133,CH$2,FALSE)*CH$1</f>
        <v>0</v>
      </c>
      <c r="CI248" s="1117">
        <f t="shared" si="699"/>
        <v>86888185.679734245</v>
      </c>
      <c r="CJ248" s="1118">
        <f t="shared" si="657"/>
        <v>86888185.679734245</v>
      </c>
      <c r="CK248" s="1118">
        <f t="shared" si="658"/>
        <v>0</v>
      </c>
      <c r="CL248" s="1118">
        <f t="shared" si="659"/>
        <v>0</v>
      </c>
      <c r="CM248" s="1074"/>
      <c r="CP248" s="1162">
        <f>VLOOKUP($A248,'New Resources - Group'!$A$4:$Y$133,CP$2,FALSE)*CP$1</f>
        <v>0</v>
      </c>
      <c r="CQ248" s="1117">
        <f t="shared" si="700"/>
        <v>86888185.679734245</v>
      </c>
      <c r="CR248" s="1118">
        <f t="shared" si="660"/>
        <v>86888185.679734245</v>
      </c>
      <c r="CS248" s="1118">
        <f t="shared" si="661"/>
        <v>0</v>
      </c>
      <c r="CT248" s="1118">
        <f t="shared" si="662"/>
        <v>0</v>
      </c>
      <c r="CU248" s="1074"/>
      <c r="CX248" s="1162">
        <f>VLOOKUP($A248,'New Resources - Group'!$A$4:$Y$133,CX$2,FALSE)*CX$1</f>
        <v>0</v>
      </c>
      <c r="CY248" s="1117">
        <f t="shared" si="701"/>
        <v>86888185.679734245</v>
      </c>
      <c r="CZ248" s="1118">
        <f t="shared" si="663"/>
        <v>86888185.679734245</v>
      </c>
      <c r="DA248" s="1118">
        <f t="shared" si="664"/>
        <v>0</v>
      </c>
      <c r="DB248" s="1118">
        <f t="shared" si="665"/>
        <v>0</v>
      </c>
      <c r="DC248" s="1074"/>
      <c r="DF248" s="1162">
        <f>VLOOKUP($A248,'New Resources - Group'!$A$4:$Y$133,DF$2,FALSE)*DF$1</f>
        <v>0</v>
      </c>
      <c r="DG248" s="1117">
        <f t="shared" si="702"/>
        <v>86888185.679734245</v>
      </c>
      <c r="DH248" s="1118">
        <f t="shared" si="666"/>
        <v>86888185.679734245</v>
      </c>
      <c r="DI248" s="1118">
        <f t="shared" si="667"/>
        <v>0</v>
      </c>
      <c r="DJ248" s="1118">
        <f t="shared" si="668"/>
        <v>0</v>
      </c>
      <c r="DK248" s="1074"/>
      <c r="DN248" s="1162">
        <f>VLOOKUP($A248,'New Resources - Group'!$A$4:$Y$133,DN$2,FALSE)*DN$1</f>
        <v>0</v>
      </c>
      <c r="DO248" s="1117">
        <f t="shared" si="703"/>
        <v>86888185.679734245</v>
      </c>
      <c r="DP248" s="1118">
        <f t="shared" si="669"/>
        <v>86888185.679734245</v>
      </c>
      <c r="DQ248" s="1118">
        <f t="shared" si="670"/>
        <v>0</v>
      </c>
      <c r="DR248" s="1118">
        <f t="shared" si="671"/>
        <v>0</v>
      </c>
      <c r="DS248" s="1074"/>
      <c r="DV248" s="1162">
        <f>VLOOKUP($A248,'New Resources - Group'!$A$4:$Y$133,DV$2,FALSE)*DV$1</f>
        <v>0</v>
      </c>
      <c r="DW248" s="1117">
        <f t="shared" si="704"/>
        <v>86888185.679734245</v>
      </c>
      <c r="DX248" s="1118">
        <f t="shared" si="672"/>
        <v>86888185.679734245</v>
      </c>
      <c r="DY248" s="1118">
        <f t="shared" si="673"/>
        <v>0</v>
      </c>
      <c r="DZ248" s="1118">
        <f t="shared" si="674"/>
        <v>0</v>
      </c>
      <c r="EA248" s="1074"/>
      <c r="ED248" s="1162">
        <f>VLOOKUP($A248,'New Resources - Group'!$A$4:$Y$133,ED$2,FALSE)*ED$1</f>
        <v>0</v>
      </c>
      <c r="EE248" s="1117">
        <f t="shared" si="705"/>
        <v>86888185.679734245</v>
      </c>
      <c r="EF248" s="1118">
        <f t="shared" si="675"/>
        <v>86888185.679734245</v>
      </c>
      <c r="EG248" s="1118">
        <f t="shared" si="676"/>
        <v>0</v>
      </c>
      <c r="EH248" s="1118">
        <f t="shared" si="677"/>
        <v>0</v>
      </c>
      <c r="EI248" s="1074"/>
      <c r="EL248" s="1162">
        <f>VLOOKUP($A248,'New Resources - Group'!$A$4:$Y$133,EL$2,FALSE)*EL$1</f>
        <v>0</v>
      </c>
      <c r="EM248" s="1117">
        <f t="shared" si="706"/>
        <v>86888185.679734245</v>
      </c>
      <c r="EN248" s="1118">
        <f t="shared" si="678"/>
        <v>86888185.679734245</v>
      </c>
      <c r="EO248" s="1118">
        <f t="shared" si="679"/>
        <v>0</v>
      </c>
      <c r="EP248" s="1118">
        <f t="shared" si="680"/>
        <v>0</v>
      </c>
      <c r="EQ248" s="1074"/>
      <c r="ET248" s="1162">
        <f>VLOOKUP($A248,'New Resources - Group'!$A$4:$Y$133,ET$2,FALSE)*ET$1</f>
        <v>0</v>
      </c>
      <c r="EU248" s="1117">
        <f t="shared" si="707"/>
        <v>86888185.679734245</v>
      </c>
      <c r="EV248" s="1118">
        <f t="shared" si="681"/>
        <v>86888185.679734245</v>
      </c>
      <c r="EW248" s="1118">
        <f t="shared" si="682"/>
        <v>0</v>
      </c>
      <c r="EX248" s="1118">
        <f t="shared" si="683"/>
        <v>0</v>
      </c>
      <c r="EY248" s="1074"/>
      <c r="FB248" s="1162">
        <f>VLOOKUP($A248,'New Resources - Group'!$A$4:$Y$133,FB$2,FALSE)*FB$1</f>
        <v>0</v>
      </c>
      <c r="FC248" s="1117">
        <f t="shared" si="708"/>
        <v>86888185.679734245</v>
      </c>
      <c r="FD248" s="1118">
        <f t="shared" si="684"/>
        <v>86888185.679734245</v>
      </c>
      <c r="FE248" s="1118">
        <f t="shared" si="685"/>
        <v>0</v>
      </c>
      <c r="FF248" s="1118">
        <f t="shared" si="686"/>
        <v>0</v>
      </c>
      <c r="FG248" s="1074"/>
      <c r="FJ248" s="1162">
        <f>VLOOKUP($A248,'New Resources - Group'!$A$4:$Y$133,FJ$2,FALSE)*FJ$1</f>
        <v>0</v>
      </c>
      <c r="FK248" s="1117">
        <f t="shared" si="709"/>
        <v>86888185.679734245</v>
      </c>
      <c r="FL248" s="1118">
        <f t="shared" si="687"/>
        <v>86888185.679734245</v>
      </c>
      <c r="FM248" s="1118">
        <f t="shared" si="688"/>
        <v>0</v>
      </c>
      <c r="FN248" s="1118">
        <f t="shared" si="689"/>
        <v>0</v>
      </c>
      <c r="FO248" s="1074"/>
    </row>
    <row r="249" spans="1:171" x14ac:dyDescent="0.25">
      <c r="A249" s="1442">
        <v>924</v>
      </c>
      <c r="B249" s="914" t="s">
        <v>143</v>
      </c>
      <c r="C249" s="889">
        <v>336</v>
      </c>
      <c r="D249" s="889">
        <v>403</v>
      </c>
      <c r="E249" s="182" t="str">
        <f>'Sch 3 - Expenses'!E89</f>
        <v>TRANS</v>
      </c>
      <c r="F249" s="890"/>
      <c r="G249" s="182">
        <f>'Sch 3 - Expenses'!G89</f>
        <v>54962239.888260253</v>
      </c>
      <c r="H249" s="182">
        <f>'Sch 3 - Expenses'!H89</f>
        <v>0</v>
      </c>
      <c r="I249" s="182">
        <f>'Sch 3 - Expenses'!I89</f>
        <v>0</v>
      </c>
      <c r="J249" s="1422">
        <f>'Sch 3 - Expenses'!J89</f>
        <v>54962239.888260253</v>
      </c>
      <c r="K249" s="904">
        <f t="shared" si="629"/>
        <v>1</v>
      </c>
      <c r="N249" s="1162">
        <f>VLOOKUP($A249,'New Resources - Group'!$A$4:$Y$133,N$2,FALSE)*N$1</f>
        <v>0</v>
      </c>
      <c r="O249" s="1117">
        <f t="shared" si="690"/>
        <v>54962239.888260253</v>
      </c>
      <c r="P249" s="1118">
        <f t="shared" si="630"/>
        <v>0</v>
      </c>
      <c r="Q249" s="1118">
        <f t="shared" si="631"/>
        <v>54962239.888260253</v>
      </c>
      <c r="R249" s="1118">
        <f t="shared" si="632"/>
        <v>0</v>
      </c>
      <c r="S249" s="1074"/>
      <c r="V249" s="1162">
        <f>VLOOKUP($A249,'New Resources - Group'!$A$4:$Y$133,V$2,FALSE)*V$1</f>
        <v>0</v>
      </c>
      <c r="W249" s="1117">
        <f t="shared" si="691"/>
        <v>54962239.888260253</v>
      </c>
      <c r="X249" s="1118">
        <f t="shared" si="633"/>
        <v>0</v>
      </c>
      <c r="Y249" s="1118">
        <f t="shared" si="634"/>
        <v>54962239.888260253</v>
      </c>
      <c r="Z249" s="1118">
        <f t="shared" si="635"/>
        <v>0</v>
      </c>
      <c r="AA249" s="1074"/>
      <c r="AD249" s="1162">
        <f>VLOOKUP($A249,'New Resources - Group'!$A$4:$Y$133,AD$2,FALSE)*AD$1</f>
        <v>0</v>
      </c>
      <c r="AE249" s="1117">
        <f t="shared" si="692"/>
        <v>54962239.888260253</v>
      </c>
      <c r="AF249" s="1118">
        <f t="shared" si="636"/>
        <v>0</v>
      </c>
      <c r="AG249" s="1118">
        <f t="shared" si="637"/>
        <v>54962239.888260253</v>
      </c>
      <c r="AH249" s="1118">
        <f t="shared" si="638"/>
        <v>0</v>
      </c>
      <c r="AI249" s="1074"/>
      <c r="AL249" s="1162">
        <f>VLOOKUP($A249,'New Resources - Group'!$A$4:$Y$133,AL$2,FALSE)*AL$1</f>
        <v>0</v>
      </c>
      <c r="AM249" s="1117">
        <f t="shared" si="693"/>
        <v>54962239.888260253</v>
      </c>
      <c r="AN249" s="1118">
        <f t="shared" si="639"/>
        <v>0</v>
      </c>
      <c r="AO249" s="1118">
        <f t="shared" si="640"/>
        <v>54962239.888260253</v>
      </c>
      <c r="AP249" s="1118">
        <f t="shared" si="641"/>
        <v>0</v>
      </c>
      <c r="AQ249" s="1074"/>
      <c r="AT249" s="1162">
        <f>VLOOKUP($A249,'New Resources - Group'!$A$4:$Y$133,AT$2,FALSE)*AT$1</f>
        <v>0</v>
      </c>
      <c r="AU249" s="1117">
        <f t="shared" si="694"/>
        <v>54962239.888260253</v>
      </c>
      <c r="AV249" s="1118">
        <f t="shared" si="642"/>
        <v>0</v>
      </c>
      <c r="AW249" s="1118">
        <f t="shared" si="643"/>
        <v>54962239.888260253</v>
      </c>
      <c r="AX249" s="1118">
        <f t="shared" si="644"/>
        <v>0</v>
      </c>
      <c r="AY249" s="1074"/>
      <c r="BB249" s="1162">
        <f>VLOOKUP($A249,'New Resources - Group'!$A$4:$Y$133,BB$2,FALSE)*BB$1</f>
        <v>0</v>
      </c>
      <c r="BC249" s="1117">
        <f t="shared" si="695"/>
        <v>54962239.888260253</v>
      </c>
      <c r="BD249" s="1118">
        <f t="shared" si="645"/>
        <v>0</v>
      </c>
      <c r="BE249" s="1118">
        <f t="shared" si="646"/>
        <v>54962239.888260253</v>
      </c>
      <c r="BF249" s="1118">
        <f t="shared" si="647"/>
        <v>0</v>
      </c>
      <c r="BG249" s="1074"/>
      <c r="BJ249" s="1162">
        <f>VLOOKUP($A249,'New Resources - Group'!$A$4:$Y$133,BJ$2,FALSE)*BJ$1</f>
        <v>0</v>
      </c>
      <c r="BK249" s="1117">
        <f t="shared" si="696"/>
        <v>54962239.888260253</v>
      </c>
      <c r="BL249" s="1118">
        <f t="shared" si="648"/>
        <v>0</v>
      </c>
      <c r="BM249" s="1118">
        <f t="shared" si="649"/>
        <v>54962239.888260253</v>
      </c>
      <c r="BN249" s="1118">
        <f t="shared" si="650"/>
        <v>0</v>
      </c>
      <c r="BO249" s="1074"/>
      <c r="BR249" s="1162">
        <f>VLOOKUP($A249,'New Resources - Group'!$A$4:$Y$133,BR$2,FALSE)*BR$1</f>
        <v>0</v>
      </c>
      <c r="BS249" s="1117">
        <f t="shared" si="697"/>
        <v>54962239.888260253</v>
      </c>
      <c r="BT249" s="1118">
        <f t="shared" si="651"/>
        <v>0</v>
      </c>
      <c r="BU249" s="1118">
        <f t="shared" si="652"/>
        <v>54962239.888260253</v>
      </c>
      <c r="BV249" s="1118">
        <f t="shared" si="653"/>
        <v>0</v>
      </c>
      <c r="BW249" s="1074"/>
      <c r="BZ249" s="1162">
        <f>VLOOKUP($A249,'New Resources - Group'!$A$4:$Y$133,BZ$2,FALSE)*BZ$1</f>
        <v>0</v>
      </c>
      <c r="CA249" s="1117">
        <f t="shared" si="698"/>
        <v>54962239.888260253</v>
      </c>
      <c r="CB249" s="1118">
        <f t="shared" si="654"/>
        <v>0</v>
      </c>
      <c r="CC249" s="1118">
        <f t="shared" si="655"/>
        <v>54962239.888260253</v>
      </c>
      <c r="CD249" s="1118">
        <f t="shared" si="656"/>
        <v>0</v>
      </c>
      <c r="CE249" s="1074"/>
      <c r="CH249" s="1162">
        <f>VLOOKUP($A249,'New Resources - Group'!$A$4:$Y$133,CH$2,FALSE)*CH$1</f>
        <v>0</v>
      </c>
      <c r="CI249" s="1117">
        <f t="shared" si="699"/>
        <v>54962239.888260253</v>
      </c>
      <c r="CJ249" s="1118">
        <f t="shared" si="657"/>
        <v>0</v>
      </c>
      <c r="CK249" s="1118">
        <f t="shared" si="658"/>
        <v>54962239.888260253</v>
      </c>
      <c r="CL249" s="1118">
        <f t="shared" si="659"/>
        <v>0</v>
      </c>
      <c r="CM249" s="1074"/>
      <c r="CP249" s="1162">
        <f>VLOOKUP($A249,'New Resources - Group'!$A$4:$Y$133,CP$2,FALSE)*CP$1</f>
        <v>0</v>
      </c>
      <c r="CQ249" s="1117">
        <f t="shared" si="700"/>
        <v>54962239.888260253</v>
      </c>
      <c r="CR249" s="1118">
        <f t="shared" si="660"/>
        <v>0</v>
      </c>
      <c r="CS249" s="1118">
        <f t="shared" si="661"/>
        <v>54962239.888260253</v>
      </c>
      <c r="CT249" s="1118">
        <f t="shared" si="662"/>
        <v>0</v>
      </c>
      <c r="CU249" s="1074"/>
      <c r="CX249" s="1162">
        <f>VLOOKUP($A249,'New Resources - Group'!$A$4:$Y$133,CX$2,FALSE)*CX$1</f>
        <v>0</v>
      </c>
      <c r="CY249" s="1117">
        <f t="shared" si="701"/>
        <v>54962239.888260253</v>
      </c>
      <c r="CZ249" s="1118">
        <f t="shared" si="663"/>
        <v>0</v>
      </c>
      <c r="DA249" s="1118">
        <f t="shared" si="664"/>
        <v>54962239.888260253</v>
      </c>
      <c r="DB249" s="1118">
        <f t="shared" si="665"/>
        <v>0</v>
      </c>
      <c r="DC249" s="1074"/>
      <c r="DF249" s="1162">
        <f>VLOOKUP($A249,'New Resources - Group'!$A$4:$Y$133,DF$2,FALSE)*DF$1</f>
        <v>0</v>
      </c>
      <c r="DG249" s="1117">
        <f t="shared" si="702"/>
        <v>54962239.888260253</v>
      </c>
      <c r="DH249" s="1118">
        <f t="shared" si="666"/>
        <v>0</v>
      </c>
      <c r="DI249" s="1118">
        <f t="shared" si="667"/>
        <v>54962239.888260253</v>
      </c>
      <c r="DJ249" s="1118">
        <f t="shared" si="668"/>
        <v>0</v>
      </c>
      <c r="DK249" s="1074"/>
      <c r="DN249" s="1162">
        <f>VLOOKUP($A249,'New Resources - Group'!$A$4:$Y$133,DN$2,FALSE)*DN$1</f>
        <v>0</v>
      </c>
      <c r="DO249" s="1117">
        <f t="shared" si="703"/>
        <v>54962239.888260253</v>
      </c>
      <c r="DP249" s="1118">
        <f t="shared" si="669"/>
        <v>0</v>
      </c>
      <c r="DQ249" s="1118">
        <f t="shared" si="670"/>
        <v>54962239.888260253</v>
      </c>
      <c r="DR249" s="1118">
        <f t="shared" si="671"/>
        <v>0</v>
      </c>
      <c r="DS249" s="1074"/>
      <c r="DV249" s="1162">
        <f>VLOOKUP($A249,'New Resources - Group'!$A$4:$Y$133,DV$2,FALSE)*DV$1</f>
        <v>0</v>
      </c>
      <c r="DW249" s="1117">
        <f t="shared" si="704"/>
        <v>54962239.888260253</v>
      </c>
      <c r="DX249" s="1118">
        <f t="shared" si="672"/>
        <v>0</v>
      </c>
      <c r="DY249" s="1118">
        <f t="shared" si="673"/>
        <v>54962239.888260253</v>
      </c>
      <c r="DZ249" s="1118">
        <f t="shared" si="674"/>
        <v>0</v>
      </c>
      <c r="EA249" s="1074"/>
      <c r="ED249" s="1162">
        <f>VLOOKUP($A249,'New Resources - Group'!$A$4:$Y$133,ED$2,FALSE)*ED$1</f>
        <v>0</v>
      </c>
      <c r="EE249" s="1117">
        <f t="shared" si="705"/>
        <v>54962239.888260253</v>
      </c>
      <c r="EF249" s="1118">
        <f t="shared" si="675"/>
        <v>0</v>
      </c>
      <c r="EG249" s="1118">
        <f t="shared" si="676"/>
        <v>54962239.888260253</v>
      </c>
      <c r="EH249" s="1118">
        <f t="shared" si="677"/>
        <v>0</v>
      </c>
      <c r="EI249" s="1074"/>
      <c r="EL249" s="1162">
        <f>VLOOKUP($A249,'New Resources - Group'!$A$4:$Y$133,EL$2,FALSE)*EL$1</f>
        <v>0</v>
      </c>
      <c r="EM249" s="1117">
        <f t="shared" si="706"/>
        <v>54962239.888260253</v>
      </c>
      <c r="EN249" s="1118">
        <f t="shared" si="678"/>
        <v>0</v>
      </c>
      <c r="EO249" s="1118">
        <f t="shared" si="679"/>
        <v>54962239.888260253</v>
      </c>
      <c r="EP249" s="1118">
        <f t="shared" si="680"/>
        <v>0</v>
      </c>
      <c r="EQ249" s="1074"/>
      <c r="ET249" s="1162">
        <f>VLOOKUP($A249,'New Resources - Group'!$A$4:$Y$133,ET$2,FALSE)*ET$1</f>
        <v>0</v>
      </c>
      <c r="EU249" s="1117">
        <f t="shared" si="707"/>
        <v>54962239.888260253</v>
      </c>
      <c r="EV249" s="1118">
        <f t="shared" si="681"/>
        <v>0</v>
      </c>
      <c r="EW249" s="1118">
        <f t="shared" si="682"/>
        <v>54962239.888260253</v>
      </c>
      <c r="EX249" s="1118">
        <f t="shared" si="683"/>
        <v>0</v>
      </c>
      <c r="EY249" s="1074"/>
      <c r="FB249" s="1162">
        <f>VLOOKUP($A249,'New Resources - Group'!$A$4:$Y$133,FB$2,FALSE)*FB$1</f>
        <v>0</v>
      </c>
      <c r="FC249" s="1117">
        <f t="shared" si="708"/>
        <v>54962239.888260253</v>
      </c>
      <c r="FD249" s="1118">
        <f t="shared" si="684"/>
        <v>0</v>
      </c>
      <c r="FE249" s="1118">
        <f t="shared" si="685"/>
        <v>54962239.888260253</v>
      </c>
      <c r="FF249" s="1118">
        <f t="shared" si="686"/>
        <v>0</v>
      </c>
      <c r="FG249" s="1074"/>
      <c r="FJ249" s="1162">
        <f>VLOOKUP($A249,'New Resources - Group'!$A$4:$Y$133,FJ$2,FALSE)*FJ$1</f>
        <v>0</v>
      </c>
      <c r="FK249" s="1117">
        <f t="shared" si="709"/>
        <v>54962239.888260253</v>
      </c>
      <c r="FL249" s="1118">
        <f t="shared" si="687"/>
        <v>0</v>
      </c>
      <c r="FM249" s="1118">
        <f t="shared" si="688"/>
        <v>54962239.888260253</v>
      </c>
      <c r="FN249" s="1118">
        <f t="shared" si="689"/>
        <v>0</v>
      </c>
      <c r="FO249" s="1074"/>
    </row>
    <row r="250" spans="1:171" x14ac:dyDescent="0.25">
      <c r="A250" s="1437"/>
      <c r="B250" s="914" t="s">
        <v>470</v>
      </c>
      <c r="C250" s="889">
        <v>336</v>
      </c>
      <c r="D250" s="889">
        <v>403</v>
      </c>
      <c r="E250" s="182" t="str">
        <f>'Sch 3 - Expenses'!E90</f>
        <v>DIST</v>
      </c>
      <c r="F250" s="890"/>
      <c r="G250" s="182">
        <f>'Sch 3 - Expenses'!G90</f>
        <v>85882444.570000008</v>
      </c>
      <c r="H250" s="182">
        <f>'Sch 3 - Expenses'!H90</f>
        <v>0</v>
      </c>
      <c r="I250" s="182">
        <f>'Sch 3 - Expenses'!I90</f>
        <v>0</v>
      </c>
      <c r="J250" s="1422">
        <f>'Sch 3 - Expenses'!J90</f>
        <v>85882444.570000008</v>
      </c>
      <c r="K250" s="904">
        <f t="shared" si="629"/>
        <v>1</v>
      </c>
      <c r="O250" s="1117">
        <f t="shared" ref="O250:O256" si="710">$G250</f>
        <v>85882444.570000008</v>
      </c>
      <c r="P250" s="1118">
        <f t="shared" si="630"/>
        <v>0</v>
      </c>
      <c r="Q250" s="1118">
        <f t="shared" si="631"/>
        <v>0</v>
      </c>
      <c r="R250" s="1118">
        <f t="shared" si="632"/>
        <v>85882444.570000008</v>
      </c>
      <c r="S250" s="1074"/>
      <c r="W250" s="1117">
        <f t="shared" ref="W250:W256" si="711">$G250</f>
        <v>85882444.570000008</v>
      </c>
      <c r="X250" s="1118">
        <f t="shared" si="633"/>
        <v>0</v>
      </c>
      <c r="Y250" s="1118">
        <f t="shared" si="634"/>
        <v>0</v>
      </c>
      <c r="Z250" s="1118">
        <f t="shared" si="635"/>
        <v>85882444.570000008</v>
      </c>
      <c r="AA250" s="1074"/>
      <c r="AE250" s="1117">
        <f t="shared" ref="AE250:AE256" si="712">$G250</f>
        <v>85882444.570000008</v>
      </c>
      <c r="AF250" s="1118">
        <f t="shared" si="636"/>
        <v>0</v>
      </c>
      <c r="AG250" s="1118">
        <f t="shared" si="637"/>
        <v>0</v>
      </c>
      <c r="AH250" s="1118">
        <f t="shared" si="638"/>
        <v>85882444.570000008</v>
      </c>
      <c r="AI250" s="1074"/>
      <c r="AM250" s="1117">
        <f t="shared" ref="AM250:AM256" si="713">$G250</f>
        <v>85882444.570000008</v>
      </c>
      <c r="AN250" s="1118">
        <f t="shared" si="639"/>
        <v>0</v>
      </c>
      <c r="AO250" s="1118">
        <f t="shared" si="640"/>
        <v>0</v>
      </c>
      <c r="AP250" s="1118">
        <f t="shared" si="641"/>
        <v>85882444.570000008</v>
      </c>
      <c r="AQ250" s="1074"/>
      <c r="AU250" s="1117">
        <f t="shared" ref="AU250:AU256" si="714">$G250</f>
        <v>85882444.570000008</v>
      </c>
      <c r="AV250" s="1118">
        <f t="shared" si="642"/>
        <v>0</v>
      </c>
      <c r="AW250" s="1118">
        <f t="shared" si="643"/>
        <v>0</v>
      </c>
      <c r="AX250" s="1118">
        <f t="shared" si="644"/>
        <v>85882444.570000008</v>
      </c>
      <c r="AY250" s="1074"/>
      <c r="BC250" s="1117">
        <f t="shared" ref="BC250:BC256" si="715">$G250</f>
        <v>85882444.570000008</v>
      </c>
      <c r="BD250" s="1118">
        <f t="shared" si="645"/>
        <v>0</v>
      </c>
      <c r="BE250" s="1118">
        <f t="shared" si="646"/>
        <v>0</v>
      </c>
      <c r="BF250" s="1118">
        <f t="shared" si="647"/>
        <v>85882444.570000008</v>
      </c>
      <c r="BG250" s="1074"/>
      <c r="BK250" s="1117">
        <f t="shared" ref="BK250:BK256" si="716">$G250</f>
        <v>85882444.570000008</v>
      </c>
      <c r="BL250" s="1118">
        <f t="shared" si="648"/>
        <v>0</v>
      </c>
      <c r="BM250" s="1118">
        <f t="shared" si="649"/>
        <v>0</v>
      </c>
      <c r="BN250" s="1118">
        <f t="shared" si="650"/>
        <v>85882444.570000008</v>
      </c>
      <c r="BO250" s="1074"/>
      <c r="BS250" s="1117">
        <f t="shared" ref="BS250:BS256" si="717">$G250</f>
        <v>85882444.570000008</v>
      </c>
      <c r="BT250" s="1118">
        <f t="shared" si="651"/>
        <v>0</v>
      </c>
      <c r="BU250" s="1118">
        <f t="shared" si="652"/>
        <v>0</v>
      </c>
      <c r="BV250" s="1118">
        <f t="shared" si="653"/>
        <v>85882444.570000008</v>
      </c>
      <c r="BW250" s="1074"/>
      <c r="CA250" s="1117">
        <f t="shared" ref="CA250:CA256" si="718">$G250</f>
        <v>85882444.570000008</v>
      </c>
      <c r="CB250" s="1118">
        <f t="shared" si="654"/>
        <v>0</v>
      </c>
      <c r="CC250" s="1118">
        <f t="shared" si="655"/>
        <v>0</v>
      </c>
      <c r="CD250" s="1118">
        <f t="shared" si="656"/>
        <v>85882444.570000008</v>
      </c>
      <c r="CE250" s="1074"/>
      <c r="CI250" s="1117">
        <f t="shared" ref="CI250:CI256" si="719">$G250</f>
        <v>85882444.570000008</v>
      </c>
      <c r="CJ250" s="1118">
        <f t="shared" si="657"/>
        <v>0</v>
      </c>
      <c r="CK250" s="1118">
        <f t="shared" si="658"/>
        <v>0</v>
      </c>
      <c r="CL250" s="1118">
        <f t="shared" si="659"/>
        <v>85882444.570000008</v>
      </c>
      <c r="CM250" s="1074"/>
      <c r="CQ250" s="1117">
        <f t="shared" ref="CQ250:CQ256" si="720">$G250</f>
        <v>85882444.570000008</v>
      </c>
      <c r="CR250" s="1118">
        <f t="shared" si="660"/>
        <v>0</v>
      </c>
      <c r="CS250" s="1118">
        <f t="shared" si="661"/>
        <v>0</v>
      </c>
      <c r="CT250" s="1118">
        <f t="shared" si="662"/>
        <v>85882444.570000008</v>
      </c>
      <c r="CU250" s="1074"/>
      <c r="CY250" s="1117">
        <f t="shared" ref="CY250:CY256" si="721">$G250</f>
        <v>85882444.570000008</v>
      </c>
      <c r="CZ250" s="1118">
        <f t="shared" si="663"/>
        <v>0</v>
      </c>
      <c r="DA250" s="1118">
        <f t="shared" si="664"/>
        <v>0</v>
      </c>
      <c r="DB250" s="1118">
        <f t="shared" si="665"/>
        <v>85882444.570000008</v>
      </c>
      <c r="DC250" s="1074"/>
      <c r="DG250" s="1117">
        <f t="shared" ref="DG250:DG256" si="722">$G250</f>
        <v>85882444.570000008</v>
      </c>
      <c r="DH250" s="1118">
        <f t="shared" si="666"/>
        <v>0</v>
      </c>
      <c r="DI250" s="1118">
        <f t="shared" si="667"/>
        <v>0</v>
      </c>
      <c r="DJ250" s="1118">
        <f t="shared" si="668"/>
        <v>85882444.570000008</v>
      </c>
      <c r="DK250" s="1074"/>
      <c r="DO250" s="1117">
        <f t="shared" ref="DO250:DO256" si="723">$G250</f>
        <v>85882444.570000008</v>
      </c>
      <c r="DP250" s="1118">
        <f t="shared" si="669"/>
        <v>0</v>
      </c>
      <c r="DQ250" s="1118">
        <f t="shared" si="670"/>
        <v>0</v>
      </c>
      <c r="DR250" s="1118">
        <f t="shared" si="671"/>
        <v>85882444.570000008</v>
      </c>
      <c r="DS250" s="1074"/>
      <c r="DW250" s="1117">
        <f t="shared" ref="DW250:DW256" si="724">$G250</f>
        <v>85882444.570000008</v>
      </c>
      <c r="DX250" s="1118">
        <f t="shared" si="672"/>
        <v>0</v>
      </c>
      <c r="DY250" s="1118">
        <f t="shared" si="673"/>
        <v>0</v>
      </c>
      <c r="DZ250" s="1118">
        <f t="shared" si="674"/>
        <v>85882444.570000008</v>
      </c>
      <c r="EA250" s="1074"/>
      <c r="EE250" s="1117">
        <f t="shared" ref="EE250:EE256" si="725">$G250</f>
        <v>85882444.570000008</v>
      </c>
      <c r="EF250" s="1118">
        <f t="shared" si="675"/>
        <v>0</v>
      </c>
      <c r="EG250" s="1118">
        <f t="shared" si="676"/>
        <v>0</v>
      </c>
      <c r="EH250" s="1118">
        <f t="shared" si="677"/>
        <v>85882444.570000008</v>
      </c>
      <c r="EI250" s="1074"/>
      <c r="EM250" s="1117">
        <f t="shared" ref="EM250:EM256" si="726">$G250</f>
        <v>85882444.570000008</v>
      </c>
      <c r="EN250" s="1118">
        <f t="shared" si="678"/>
        <v>0</v>
      </c>
      <c r="EO250" s="1118">
        <f t="shared" si="679"/>
        <v>0</v>
      </c>
      <c r="EP250" s="1118">
        <f t="shared" si="680"/>
        <v>85882444.570000008</v>
      </c>
      <c r="EQ250" s="1074"/>
      <c r="EU250" s="1117">
        <f t="shared" ref="EU250:EU256" si="727">$G250</f>
        <v>85882444.570000008</v>
      </c>
      <c r="EV250" s="1118">
        <f t="shared" si="681"/>
        <v>0</v>
      </c>
      <c r="EW250" s="1118">
        <f t="shared" si="682"/>
        <v>0</v>
      </c>
      <c r="EX250" s="1118">
        <f t="shared" si="683"/>
        <v>85882444.570000008</v>
      </c>
      <c r="EY250" s="1074"/>
      <c r="FC250" s="1117">
        <f t="shared" ref="FC250:FC256" si="728">$G250</f>
        <v>85882444.570000008</v>
      </c>
      <c r="FD250" s="1118">
        <f t="shared" si="684"/>
        <v>0</v>
      </c>
      <c r="FE250" s="1118">
        <f t="shared" si="685"/>
        <v>0</v>
      </c>
      <c r="FF250" s="1118">
        <f t="shared" si="686"/>
        <v>85882444.570000008</v>
      </c>
      <c r="FG250" s="1074"/>
      <c r="FK250" s="1117">
        <f t="shared" ref="FK250:FK256" si="729">$G250</f>
        <v>85882444.570000008</v>
      </c>
      <c r="FL250" s="1118">
        <f t="shared" si="687"/>
        <v>0</v>
      </c>
      <c r="FM250" s="1118">
        <f t="shared" si="688"/>
        <v>0</v>
      </c>
      <c r="FN250" s="1118">
        <f t="shared" si="689"/>
        <v>85882444.570000008</v>
      </c>
      <c r="FO250" s="1074"/>
    </row>
    <row r="251" spans="1:171" x14ac:dyDescent="0.25">
      <c r="A251" s="1437"/>
      <c r="B251" s="914" t="s">
        <v>92</v>
      </c>
      <c r="C251" s="889">
        <v>336</v>
      </c>
      <c r="D251" s="889">
        <v>403</v>
      </c>
      <c r="E251" s="182" t="str">
        <f>'Sch 3 - Expenses'!E91</f>
        <v>GP</v>
      </c>
      <c r="F251" s="890"/>
      <c r="G251" s="182">
        <f>'Sch 3 - Expenses'!G91</f>
        <v>20454459.004238889</v>
      </c>
      <c r="H251" s="182">
        <f>'Sch 3 - Expenses'!H91</f>
        <v>6557460.8322858298</v>
      </c>
      <c r="I251" s="182">
        <f>'Sch 3 - Expenses'!I91</f>
        <v>0</v>
      </c>
      <c r="J251" s="1422">
        <f>'Sch 3 - Expenses'!J91</f>
        <v>13896998.171953062</v>
      </c>
      <c r="K251" s="904">
        <f t="shared" si="629"/>
        <v>1</v>
      </c>
      <c r="O251" s="1117">
        <f>($G251/$G50)*O50</f>
        <v>20454459.004238889</v>
      </c>
      <c r="P251" s="1118">
        <f t="shared" si="630"/>
        <v>6557460.8322858289</v>
      </c>
      <c r="Q251" s="1118">
        <f t="shared" si="631"/>
        <v>6154439.5515515935</v>
      </c>
      <c r="R251" s="1118">
        <f t="shared" si="632"/>
        <v>7742558.6204014644</v>
      </c>
      <c r="S251" s="1074"/>
      <c r="W251" s="1117">
        <f>($G251/$G50)*W50</f>
        <v>20454459.004238889</v>
      </c>
      <c r="X251" s="1118">
        <f t="shared" si="633"/>
        <v>6557460.8322858289</v>
      </c>
      <c r="Y251" s="1118">
        <f t="shared" si="634"/>
        <v>6154439.5515515935</v>
      </c>
      <c r="Z251" s="1118">
        <f t="shared" si="635"/>
        <v>7742558.6204014644</v>
      </c>
      <c r="AA251" s="1074"/>
      <c r="AE251" s="1117">
        <f>($G251/$G50)*AE50</f>
        <v>20454459.004238889</v>
      </c>
      <c r="AF251" s="1118">
        <f t="shared" si="636"/>
        <v>6557460.8322858289</v>
      </c>
      <c r="AG251" s="1118">
        <f t="shared" si="637"/>
        <v>6154439.5515515935</v>
      </c>
      <c r="AH251" s="1118">
        <f t="shared" si="638"/>
        <v>7742558.6204014644</v>
      </c>
      <c r="AI251" s="1074"/>
      <c r="AM251" s="1117">
        <f>($G251/$G50)*AM50</f>
        <v>20454459.004238889</v>
      </c>
      <c r="AN251" s="1118">
        <f t="shared" si="639"/>
        <v>6557460.8322858289</v>
      </c>
      <c r="AO251" s="1118">
        <f t="shared" si="640"/>
        <v>6154439.5515515935</v>
      </c>
      <c r="AP251" s="1118">
        <f t="shared" si="641"/>
        <v>7742558.6204014644</v>
      </c>
      <c r="AQ251" s="1074"/>
      <c r="AU251" s="1117">
        <f>($G251/$G50)*AU50</f>
        <v>20454459.004238889</v>
      </c>
      <c r="AV251" s="1118">
        <f t="shared" si="642"/>
        <v>6557460.8322858289</v>
      </c>
      <c r="AW251" s="1118">
        <f t="shared" si="643"/>
        <v>6154439.5515515935</v>
      </c>
      <c r="AX251" s="1118">
        <f t="shared" si="644"/>
        <v>7742558.6204014644</v>
      </c>
      <c r="AY251" s="1074"/>
      <c r="BC251" s="1117">
        <f>($G251/$G50)*BC50</f>
        <v>20454459.004238889</v>
      </c>
      <c r="BD251" s="1118">
        <f t="shared" si="645"/>
        <v>6557460.8322858289</v>
      </c>
      <c r="BE251" s="1118">
        <f t="shared" si="646"/>
        <v>6154439.5515515935</v>
      </c>
      <c r="BF251" s="1118">
        <f t="shared" si="647"/>
        <v>7742558.6204014644</v>
      </c>
      <c r="BG251" s="1074"/>
      <c r="BK251" s="1117">
        <f>($G251/$G50)*BK50</f>
        <v>20454459.004238889</v>
      </c>
      <c r="BL251" s="1118">
        <f t="shared" si="648"/>
        <v>6557460.8322858289</v>
      </c>
      <c r="BM251" s="1118">
        <f t="shared" si="649"/>
        <v>6154439.5515515935</v>
      </c>
      <c r="BN251" s="1118">
        <f t="shared" si="650"/>
        <v>7742558.6204014644</v>
      </c>
      <c r="BO251" s="1074"/>
      <c r="BS251" s="1117">
        <f>($G251/$G50)*BS50</f>
        <v>20454459.004238889</v>
      </c>
      <c r="BT251" s="1118">
        <f t="shared" si="651"/>
        <v>6557460.8322858289</v>
      </c>
      <c r="BU251" s="1118">
        <f t="shared" si="652"/>
        <v>6154439.5515515935</v>
      </c>
      <c r="BV251" s="1118">
        <f t="shared" si="653"/>
        <v>7742558.6204014644</v>
      </c>
      <c r="BW251" s="1074"/>
      <c r="CA251" s="1117">
        <f>($G251/$G50)*CA50</f>
        <v>20454459.004238889</v>
      </c>
      <c r="CB251" s="1118">
        <f t="shared" si="654"/>
        <v>6557460.8322858289</v>
      </c>
      <c r="CC251" s="1118">
        <f t="shared" si="655"/>
        <v>6154439.5515515935</v>
      </c>
      <c r="CD251" s="1118">
        <f t="shared" si="656"/>
        <v>7742558.6204014644</v>
      </c>
      <c r="CE251" s="1074"/>
      <c r="CI251" s="1117">
        <f>($G251/$G50)*CI50</f>
        <v>20454459.004238889</v>
      </c>
      <c r="CJ251" s="1118">
        <f t="shared" si="657"/>
        <v>6557460.8322858289</v>
      </c>
      <c r="CK251" s="1118">
        <f t="shared" si="658"/>
        <v>6154439.5515515935</v>
      </c>
      <c r="CL251" s="1118">
        <f t="shared" si="659"/>
        <v>7742558.6204014644</v>
      </c>
      <c r="CM251" s="1074"/>
      <c r="CQ251" s="1117">
        <f>($G251/$G50)*CQ50</f>
        <v>20454459.004238889</v>
      </c>
      <c r="CR251" s="1118">
        <f t="shared" si="660"/>
        <v>6557460.8322858289</v>
      </c>
      <c r="CS251" s="1118">
        <f t="shared" si="661"/>
        <v>6154439.5515515935</v>
      </c>
      <c r="CT251" s="1118">
        <f t="shared" si="662"/>
        <v>7742558.6204014644</v>
      </c>
      <c r="CU251" s="1074"/>
      <c r="CY251" s="1117">
        <f>($G251/$G50)*CY50</f>
        <v>20454459.004238889</v>
      </c>
      <c r="CZ251" s="1118">
        <f t="shared" si="663"/>
        <v>6557460.8322858289</v>
      </c>
      <c r="DA251" s="1118">
        <f t="shared" si="664"/>
        <v>6154439.5515515935</v>
      </c>
      <c r="DB251" s="1118">
        <f t="shared" si="665"/>
        <v>7742558.6204014644</v>
      </c>
      <c r="DC251" s="1074"/>
      <c r="DG251" s="1117">
        <f>($G251/$G50)*DG50</f>
        <v>20454459.004238889</v>
      </c>
      <c r="DH251" s="1118">
        <f t="shared" si="666"/>
        <v>6557460.8322858289</v>
      </c>
      <c r="DI251" s="1118">
        <f t="shared" si="667"/>
        <v>6154439.5515515935</v>
      </c>
      <c r="DJ251" s="1118">
        <f t="shared" si="668"/>
        <v>7742558.6204014644</v>
      </c>
      <c r="DK251" s="1074"/>
      <c r="DO251" s="1117">
        <f>($G251/$G50)*DO50</f>
        <v>20454459.004238889</v>
      </c>
      <c r="DP251" s="1118">
        <f t="shared" si="669"/>
        <v>6557460.8322858289</v>
      </c>
      <c r="DQ251" s="1118">
        <f t="shared" si="670"/>
        <v>6154439.5515515935</v>
      </c>
      <c r="DR251" s="1118">
        <f t="shared" si="671"/>
        <v>7742558.6204014644</v>
      </c>
      <c r="DS251" s="1074"/>
      <c r="DW251" s="1117">
        <f>($G251/$G50)*DW50</f>
        <v>20454459.004238889</v>
      </c>
      <c r="DX251" s="1118">
        <f t="shared" si="672"/>
        <v>6557460.8322858289</v>
      </c>
      <c r="DY251" s="1118">
        <f t="shared" si="673"/>
        <v>6154439.5515515935</v>
      </c>
      <c r="DZ251" s="1118">
        <f t="shared" si="674"/>
        <v>7742558.6204014644</v>
      </c>
      <c r="EA251" s="1074"/>
      <c r="EE251" s="1117">
        <f>($G251/$G50)*EE50</f>
        <v>20454459.004238889</v>
      </c>
      <c r="EF251" s="1118">
        <f t="shared" si="675"/>
        <v>6557460.8322858289</v>
      </c>
      <c r="EG251" s="1118">
        <f t="shared" si="676"/>
        <v>6154439.5515515935</v>
      </c>
      <c r="EH251" s="1118">
        <f t="shared" si="677"/>
        <v>7742558.6204014644</v>
      </c>
      <c r="EI251" s="1074"/>
      <c r="EM251" s="1117">
        <f>($G251/$G50)*EM50</f>
        <v>20454459.004238889</v>
      </c>
      <c r="EN251" s="1118">
        <f t="shared" si="678"/>
        <v>6557460.8322858289</v>
      </c>
      <c r="EO251" s="1118">
        <f t="shared" si="679"/>
        <v>6154439.5515515935</v>
      </c>
      <c r="EP251" s="1118">
        <f t="shared" si="680"/>
        <v>7742558.6204014644</v>
      </c>
      <c r="EQ251" s="1074"/>
      <c r="EU251" s="1117">
        <f>($G251/$G50)*EU50</f>
        <v>20454459.004238889</v>
      </c>
      <c r="EV251" s="1118">
        <f t="shared" si="681"/>
        <v>6557460.8322858289</v>
      </c>
      <c r="EW251" s="1118">
        <f t="shared" si="682"/>
        <v>6154439.5515515935</v>
      </c>
      <c r="EX251" s="1118">
        <f t="shared" si="683"/>
        <v>7742558.6204014644</v>
      </c>
      <c r="EY251" s="1074"/>
      <c r="FC251" s="1117">
        <f>($G251/$G50)*FC50</f>
        <v>20454459.004238889</v>
      </c>
      <c r="FD251" s="1118">
        <f t="shared" si="684"/>
        <v>6557460.8322858289</v>
      </c>
      <c r="FE251" s="1118">
        <f t="shared" si="685"/>
        <v>6154439.5515515935</v>
      </c>
      <c r="FF251" s="1118">
        <f t="shared" si="686"/>
        <v>7742558.6204014644</v>
      </c>
      <c r="FG251" s="1074"/>
      <c r="FK251" s="1117">
        <f>($G251/$G50)*FK50</f>
        <v>20454459.004238889</v>
      </c>
      <c r="FL251" s="1118">
        <f t="shared" si="687"/>
        <v>6557460.8322858289</v>
      </c>
      <c r="FM251" s="1118">
        <f t="shared" si="688"/>
        <v>6154439.5515515935</v>
      </c>
      <c r="FN251" s="1118">
        <f t="shared" si="689"/>
        <v>7742558.6204014644</v>
      </c>
      <c r="FO251" s="1074"/>
    </row>
    <row r="252" spans="1:171" x14ac:dyDescent="0.25">
      <c r="A252" s="1437"/>
      <c r="B252" s="914" t="s">
        <v>432</v>
      </c>
      <c r="C252" s="889">
        <v>336</v>
      </c>
      <c r="D252" s="1016">
        <v>404</v>
      </c>
      <c r="E252" s="182" t="str">
        <f>'Sch 3 - Expenses'!E92</f>
        <v>DIRECT</v>
      </c>
      <c r="F252" s="890"/>
      <c r="G252" s="182">
        <f>'Sch 3 - Expenses'!G92</f>
        <v>0</v>
      </c>
      <c r="H252" s="182">
        <f>'Sch 3 - Expenses'!H92</f>
        <v>0</v>
      </c>
      <c r="I252" s="182">
        <f>'Sch 3 - Expenses'!I92</f>
        <v>0</v>
      </c>
      <c r="J252" s="1422">
        <f>'Sch 3 - Expenses'!J92</f>
        <v>0</v>
      </c>
      <c r="K252" s="904">
        <f t="shared" si="629"/>
        <v>0</v>
      </c>
      <c r="O252" s="1117">
        <f t="shared" si="710"/>
        <v>0</v>
      </c>
      <c r="P252" s="1118">
        <f t="shared" si="630"/>
        <v>0</v>
      </c>
      <c r="Q252" s="1118">
        <f t="shared" si="631"/>
        <v>0</v>
      </c>
      <c r="R252" s="1118">
        <f t="shared" si="632"/>
        <v>0</v>
      </c>
      <c r="S252" s="1074"/>
      <c r="W252" s="1117">
        <f t="shared" si="711"/>
        <v>0</v>
      </c>
      <c r="X252" s="1118">
        <f t="shared" si="633"/>
        <v>0</v>
      </c>
      <c r="Y252" s="1118">
        <f t="shared" si="634"/>
        <v>0</v>
      </c>
      <c r="Z252" s="1118">
        <f t="shared" si="635"/>
        <v>0</v>
      </c>
      <c r="AA252" s="1074"/>
      <c r="AE252" s="1117">
        <f t="shared" si="712"/>
        <v>0</v>
      </c>
      <c r="AF252" s="1118">
        <f t="shared" si="636"/>
        <v>0</v>
      </c>
      <c r="AG252" s="1118">
        <f t="shared" si="637"/>
        <v>0</v>
      </c>
      <c r="AH252" s="1118">
        <f t="shared" si="638"/>
        <v>0</v>
      </c>
      <c r="AI252" s="1074"/>
      <c r="AM252" s="1117">
        <f t="shared" si="713"/>
        <v>0</v>
      </c>
      <c r="AN252" s="1118">
        <f t="shared" si="639"/>
        <v>0</v>
      </c>
      <c r="AO252" s="1118">
        <f t="shared" si="640"/>
        <v>0</v>
      </c>
      <c r="AP252" s="1118">
        <f t="shared" si="641"/>
        <v>0</v>
      </c>
      <c r="AQ252" s="1074"/>
      <c r="AU252" s="1117">
        <f t="shared" si="714"/>
        <v>0</v>
      </c>
      <c r="AV252" s="1118">
        <f t="shared" si="642"/>
        <v>0</v>
      </c>
      <c r="AW252" s="1118">
        <f t="shared" si="643"/>
        <v>0</v>
      </c>
      <c r="AX252" s="1118">
        <f t="shared" si="644"/>
        <v>0</v>
      </c>
      <c r="AY252" s="1074"/>
      <c r="BC252" s="1117">
        <f t="shared" si="715"/>
        <v>0</v>
      </c>
      <c r="BD252" s="1118">
        <f t="shared" si="645"/>
        <v>0</v>
      </c>
      <c r="BE252" s="1118">
        <f t="shared" si="646"/>
        <v>0</v>
      </c>
      <c r="BF252" s="1118">
        <f t="shared" si="647"/>
        <v>0</v>
      </c>
      <c r="BG252" s="1074"/>
      <c r="BK252" s="1117">
        <f t="shared" si="716"/>
        <v>0</v>
      </c>
      <c r="BL252" s="1118">
        <f t="shared" si="648"/>
        <v>0</v>
      </c>
      <c r="BM252" s="1118">
        <f t="shared" si="649"/>
        <v>0</v>
      </c>
      <c r="BN252" s="1118">
        <f t="shared" si="650"/>
        <v>0</v>
      </c>
      <c r="BO252" s="1074"/>
      <c r="BS252" s="1117">
        <f t="shared" si="717"/>
        <v>0</v>
      </c>
      <c r="BT252" s="1118">
        <f t="shared" si="651"/>
        <v>0</v>
      </c>
      <c r="BU252" s="1118">
        <f t="shared" si="652"/>
        <v>0</v>
      </c>
      <c r="BV252" s="1118">
        <f t="shared" si="653"/>
        <v>0</v>
      </c>
      <c r="BW252" s="1074"/>
      <c r="CA252" s="1117">
        <f t="shared" si="718"/>
        <v>0</v>
      </c>
      <c r="CB252" s="1118">
        <f t="shared" si="654"/>
        <v>0</v>
      </c>
      <c r="CC252" s="1118">
        <f t="shared" si="655"/>
        <v>0</v>
      </c>
      <c r="CD252" s="1118">
        <f t="shared" si="656"/>
        <v>0</v>
      </c>
      <c r="CE252" s="1074"/>
      <c r="CI252" s="1117">
        <f t="shared" si="719"/>
        <v>0</v>
      </c>
      <c r="CJ252" s="1118">
        <f t="shared" si="657"/>
        <v>0</v>
      </c>
      <c r="CK252" s="1118">
        <f t="shared" si="658"/>
        <v>0</v>
      </c>
      <c r="CL252" s="1118">
        <f t="shared" si="659"/>
        <v>0</v>
      </c>
      <c r="CM252" s="1074"/>
      <c r="CQ252" s="1117">
        <f t="shared" si="720"/>
        <v>0</v>
      </c>
      <c r="CR252" s="1118">
        <f t="shared" si="660"/>
        <v>0</v>
      </c>
      <c r="CS252" s="1118">
        <f t="shared" si="661"/>
        <v>0</v>
      </c>
      <c r="CT252" s="1118">
        <f t="shared" si="662"/>
        <v>0</v>
      </c>
      <c r="CU252" s="1074"/>
      <c r="CY252" s="1117">
        <f t="shared" si="721"/>
        <v>0</v>
      </c>
      <c r="CZ252" s="1118">
        <f t="shared" si="663"/>
        <v>0</v>
      </c>
      <c r="DA252" s="1118">
        <f t="shared" si="664"/>
        <v>0</v>
      </c>
      <c r="DB252" s="1118">
        <f t="shared" si="665"/>
        <v>0</v>
      </c>
      <c r="DC252" s="1074"/>
      <c r="DG252" s="1117">
        <f t="shared" si="722"/>
        <v>0</v>
      </c>
      <c r="DH252" s="1118">
        <f t="shared" si="666"/>
        <v>0</v>
      </c>
      <c r="DI252" s="1118">
        <f t="shared" si="667"/>
        <v>0</v>
      </c>
      <c r="DJ252" s="1118">
        <f t="shared" si="668"/>
        <v>0</v>
      </c>
      <c r="DK252" s="1074"/>
      <c r="DO252" s="1117">
        <f t="shared" si="723"/>
        <v>0</v>
      </c>
      <c r="DP252" s="1118">
        <f t="shared" si="669"/>
        <v>0</v>
      </c>
      <c r="DQ252" s="1118">
        <f t="shared" si="670"/>
        <v>0</v>
      </c>
      <c r="DR252" s="1118">
        <f t="shared" si="671"/>
        <v>0</v>
      </c>
      <c r="DS252" s="1074"/>
      <c r="DW252" s="1117">
        <f t="shared" si="724"/>
        <v>0</v>
      </c>
      <c r="DX252" s="1118">
        <f t="shared" si="672"/>
        <v>0</v>
      </c>
      <c r="DY252" s="1118">
        <f t="shared" si="673"/>
        <v>0</v>
      </c>
      <c r="DZ252" s="1118">
        <f t="shared" si="674"/>
        <v>0</v>
      </c>
      <c r="EA252" s="1074"/>
      <c r="EE252" s="1117">
        <f t="shared" si="725"/>
        <v>0</v>
      </c>
      <c r="EF252" s="1118">
        <f t="shared" si="675"/>
        <v>0</v>
      </c>
      <c r="EG252" s="1118">
        <f t="shared" si="676"/>
        <v>0</v>
      </c>
      <c r="EH252" s="1118">
        <f t="shared" si="677"/>
        <v>0</v>
      </c>
      <c r="EI252" s="1074"/>
      <c r="EM252" s="1117">
        <f t="shared" si="726"/>
        <v>0</v>
      </c>
      <c r="EN252" s="1118">
        <f t="shared" si="678"/>
        <v>0</v>
      </c>
      <c r="EO252" s="1118">
        <f t="shared" si="679"/>
        <v>0</v>
      </c>
      <c r="EP252" s="1118">
        <f t="shared" si="680"/>
        <v>0</v>
      </c>
      <c r="EQ252" s="1074"/>
      <c r="EU252" s="1117">
        <f t="shared" si="727"/>
        <v>0</v>
      </c>
      <c r="EV252" s="1118">
        <f t="shared" si="681"/>
        <v>0</v>
      </c>
      <c r="EW252" s="1118">
        <f t="shared" si="682"/>
        <v>0</v>
      </c>
      <c r="EX252" s="1118">
        <f t="shared" si="683"/>
        <v>0</v>
      </c>
      <c r="EY252" s="1074"/>
      <c r="FC252" s="1117">
        <f t="shared" si="728"/>
        <v>0</v>
      </c>
      <c r="FD252" s="1118">
        <f t="shared" si="684"/>
        <v>0</v>
      </c>
      <c r="FE252" s="1118">
        <f t="shared" si="685"/>
        <v>0</v>
      </c>
      <c r="FF252" s="1118">
        <f t="shared" si="686"/>
        <v>0</v>
      </c>
      <c r="FG252" s="1074"/>
      <c r="FK252" s="1117">
        <f t="shared" si="729"/>
        <v>0</v>
      </c>
      <c r="FL252" s="1118">
        <f t="shared" si="687"/>
        <v>0</v>
      </c>
      <c r="FM252" s="1118">
        <f t="shared" si="688"/>
        <v>0</v>
      </c>
      <c r="FN252" s="1118">
        <f t="shared" si="689"/>
        <v>0</v>
      </c>
      <c r="FO252" s="1074"/>
    </row>
    <row r="253" spans="1:171" x14ac:dyDescent="0.25">
      <c r="A253" s="1437"/>
      <c r="B253" s="914" t="s">
        <v>432</v>
      </c>
      <c r="C253" s="889">
        <v>336</v>
      </c>
      <c r="D253" s="1016">
        <v>404</v>
      </c>
      <c r="E253" s="182" t="str">
        <f>'Sch 3 - Expenses'!E93</f>
        <v>DIRECT</v>
      </c>
      <c r="F253" s="890"/>
      <c r="G253" s="182">
        <f>'Sch 3 - Expenses'!G93</f>
        <v>0</v>
      </c>
      <c r="H253" s="182">
        <f>'Sch 3 - Expenses'!H93</f>
        <v>0</v>
      </c>
      <c r="I253" s="182">
        <f>'Sch 3 - Expenses'!I93</f>
        <v>0</v>
      </c>
      <c r="J253" s="1422">
        <f>'Sch 3 - Expenses'!J93</f>
        <v>0</v>
      </c>
      <c r="K253" s="904">
        <f t="shared" si="629"/>
        <v>0</v>
      </c>
      <c r="O253" s="1117">
        <f t="shared" si="710"/>
        <v>0</v>
      </c>
      <c r="P253" s="1118">
        <f t="shared" si="630"/>
        <v>0</v>
      </c>
      <c r="Q253" s="1118">
        <f t="shared" si="631"/>
        <v>0</v>
      </c>
      <c r="R253" s="1118">
        <f t="shared" si="632"/>
        <v>0</v>
      </c>
      <c r="S253" s="1074"/>
      <c r="W253" s="1117">
        <f t="shared" si="711"/>
        <v>0</v>
      </c>
      <c r="X253" s="1118">
        <f t="shared" si="633"/>
        <v>0</v>
      </c>
      <c r="Y253" s="1118">
        <f t="shared" si="634"/>
        <v>0</v>
      </c>
      <c r="Z253" s="1118">
        <f t="shared" si="635"/>
        <v>0</v>
      </c>
      <c r="AA253" s="1074"/>
      <c r="AE253" s="1117">
        <f t="shared" si="712"/>
        <v>0</v>
      </c>
      <c r="AF253" s="1118">
        <f t="shared" si="636"/>
        <v>0</v>
      </c>
      <c r="AG253" s="1118">
        <f t="shared" si="637"/>
        <v>0</v>
      </c>
      <c r="AH253" s="1118">
        <f t="shared" si="638"/>
        <v>0</v>
      </c>
      <c r="AI253" s="1074"/>
      <c r="AM253" s="1117">
        <f t="shared" si="713"/>
        <v>0</v>
      </c>
      <c r="AN253" s="1118">
        <f t="shared" si="639"/>
        <v>0</v>
      </c>
      <c r="AO253" s="1118">
        <f t="shared" si="640"/>
        <v>0</v>
      </c>
      <c r="AP253" s="1118">
        <f t="shared" si="641"/>
        <v>0</v>
      </c>
      <c r="AQ253" s="1074"/>
      <c r="AU253" s="1117">
        <f t="shared" si="714"/>
        <v>0</v>
      </c>
      <c r="AV253" s="1118">
        <f t="shared" si="642"/>
        <v>0</v>
      </c>
      <c r="AW253" s="1118">
        <f t="shared" si="643"/>
        <v>0</v>
      </c>
      <c r="AX253" s="1118">
        <f t="shared" si="644"/>
        <v>0</v>
      </c>
      <c r="AY253" s="1074"/>
      <c r="BC253" s="1117">
        <f t="shared" si="715"/>
        <v>0</v>
      </c>
      <c r="BD253" s="1118">
        <f t="shared" si="645"/>
        <v>0</v>
      </c>
      <c r="BE253" s="1118">
        <f t="shared" si="646"/>
        <v>0</v>
      </c>
      <c r="BF253" s="1118">
        <f t="shared" si="647"/>
        <v>0</v>
      </c>
      <c r="BG253" s="1074"/>
      <c r="BK253" s="1117">
        <f t="shared" si="716"/>
        <v>0</v>
      </c>
      <c r="BL253" s="1118">
        <f t="shared" si="648"/>
        <v>0</v>
      </c>
      <c r="BM253" s="1118">
        <f t="shared" si="649"/>
        <v>0</v>
      </c>
      <c r="BN253" s="1118">
        <f t="shared" si="650"/>
        <v>0</v>
      </c>
      <c r="BO253" s="1074"/>
      <c r="BS253" s="1117">
        <f t="shared" si="717"/>
        <v>0</v>
      </c>
      <c r="BT253" s="1118">
        <f t="shared" si="651"/>
        <v>0</v>
      </c>
      <c r="BU253" s="1118">
        <f t="shared" si="652"/>
        <v>0</v>
      </c>
      <c r="BV253" s="1118">
        <f t="shared" si="653"/>
        <v>0</v>
      </c>
      <c r="BW253" s="1074"/>
      <c r="CA253" s="1117">
        <f t="shared" si="718"/>
        <v>0</v>
      </c>
      <c r="CB253" s="1118">
        <f t="shared" si="654"/>
        <v>0</v>
      </c>
      <c r="CC253" s="1118">
        <f t="shared" si="655"/>
        <v>0</v>
      </c>
      <c r="CD253" s="1118">
        <f t="shared" si="656"/>
        <v>0</v>
      </c>
      <c r="CE253" s="1074"/>
      <c r="CI253" s="1117">
        <f t="shared" si="719"/>
        <v>0</v>
      </c>
      <c r="CJ253" s="1118">
        <f t="shared" si="657"/>
        <v>0</v>
      </c>
      <c r="CK253" s="1118">
        <f t="shared" si="658"/>
        <v>0</v>
      </c>
      <c r="CL253" s="1118">
        <f t="shared" si="659"/>
        <v>0</v>
      </c>
      <c r="CM253" s="1074"/>
      <c r="CQ253" s="1117">
        <f t="shared" si="720"/>
        <v>0</v>
      </c>
      <c r="CR253" s="1118">
        <f t="shared" si="660"/>
        <v>0</v>
      </c>
      <c r="CS253" s="1118">
        <f t="shared" si="661"/>
        <v>0</v>
      </c>
      <c r="CT253" s="1118">
        <f t="shared" si="662"/>
        <v>0</v>
      </c>
      <c r="CU253" s="1074"/>
      <c r="CY253" s="1117">
        <f t="shared" si="721"/>
        <v>0</v>
      </c>
      <c r="CZ253" s="1118">
        <f t="shared" si="663"/>
        <v>0</v>
      </c>
      <c r="DA253" s="1118">
        <f t="shared" si="664"/>
        <v>0</v>
      </c>
      <c r="DB253" s="1118">
        <f t="shared" si="665"/>
        <v>0</v>
      </c>
      <c r="DC253" s="1074"/>
      <c r="DG253" s="1117">
        <f t="shared" si="722"/>
        <v>0</v>
      </c>
      <c r="DH253" s="1118">
        <f t="shared" si="666"/>
        <v>0</v>
      </c>
      <c r="DI253" s="1118">
        <f t="shared" si="667"/>
        <v>0</v>
      </c>
      <c r="DJ253" s="1118">
        <f t="shared" si="668"/>
        <v>0</v>
      </c>
      <c r="DK253" s="1074"/>
      <c r="DO253" s="1117">
        <f t="shared" si="723"/>
        <v>0</v>
      </c>
      <c r="DP253" s="1118">
        <f t="shared" si="669"/>
        <v>0</v>
      </c>
      <c r="DQ253" s="1118">
        <f t="shared" si="670"/>
        <v>0</v>
      </c>
      <c r="DR253" s="1118">
        <f t="shared" si="671"/>
        <v>0</v>
      </c>
      <c r="DS253" s="1074"/>
      <c r="DW253" s="1117">
        <f t="shared" si="724"/>
        <v>0</v>
      </c>
      <c r="DX253" s="1118">
        <f t="shared" si="672"/>
        <v>0</v>
      </c>
      <c r="DY253" s="1118">
        <f t="shared" si="673"/>
        <v>0</v>
      </c>
      <c r="DZ253" s="1118">
        <f t="shared" si="674"/>
        <v>0</v>
      </c>
      <c r="EA253" s="1074"/>
      <c r="EE253" s="1117">
        <f t="shared" si="725"/>
        <v>0</v>
      </c>
      <c r="EF253" s="1118">
        <f t="shared" si="675"/>
        <v>0</v>
      </c>
      <c r="EG253" s="1118">
        <f t="shared" si="676"/>
        <v>0</v>
      </c>
      <c r="EH253" s="1118">
        <f t="shared" si="677"/>
        <v>0</v>
      </c>
      <c r="EI253" s="1074"/>
      <c r="EM253" s="1117">
        <f t="shared" si="726"/>
        <v>0</v>
      </c>
      <c r="EN253" s="1118">
        <f t="shared" si="678"/>
        <v>0</v>
      </c>
      <c r="EO253" s="1118">
        <f t="shared" si="679"/>
        <v>0</v>
      </c>
      <c r="EP253" s="1118">
        <f t="shared" si="680"/>
        <v>0</v>
      </c>
      <c r="EQ253" s="1074"/>
      <c r="EU253" s="1117">
        <f t="shared" si="727"/>
        <v>0</v>
      </c>
      <c r="EV253" s="1118">
        <f t="shared" si="681"/>
        <v>0</v>
      </c>
      <c r="EW253" s="1118">
        <f t="shared" si="682"/>
        <v>0</v>
      </c>
      <c r="EX253" s="1118">
        <f t="shared" si="683"/>
        <v>0</v>
      </c>
      <c r="EY253" s="1074"/>
      <c r="FC253" s="1117">
        <f t="shared" si="728"/>
        <v>0</v>
      </c>
      <c r="FD253" s="1118">
        <f t="shared" si="684"/>
        <v>0</v>
      </c>
      <c r="FE253" s="1118">
        <f t="shared" si="685"/>
        <v>0</v>
      </c>
      <c r="FF253" s="1118">
        <f t="shared" si="686"/>
        <v>0</v>
      </c>
      <c r="FG253" s="1074"/>
      <c r="FK253" s="1117">
        <f t="shared" si="729"/>
        <v>0</v>
      </c>
      <c r="FL253" s="1118">
        <f t="shared" si="687"/>
        <v>0</v>
      </c>
      <c r="FM253" s="1118">
        <f t="shared" si="688"/>
        <v>0</v>
      </c>
      <c r="FN253" s="1118">
        <f t="shared" si="689"/>
        <v>0</v>
      </c>
      <c r="FO253" s="1074"/>
    </row>
    <row r="254" spans="1:171" x14ac:dyDescent="0.25">
      <c r="A254" s="1437"/>
      <c r="B254" s="914" t="s">
        <v>564</v>
      </c>
      <c r="C254" s="889">
        <v>336</v>
      </c>
      <c r="D254" s="1016">
        <v>403.1</v>
      </c>
      <c r="E254" s="182" t="str">
        <f>'Sch 3 - Expenses'!E94</f>
        <v>DIRECT</v>
      </c>
      <c r="F254" s="890"/>
      <c r="G254" s="182">
        <f>'Sch 3 - Expenses'!G94</f>
        <v>0</v>
      </c>
      <c r="H254" s="182">
        <f>'Sch 3 - Expenses'!H94</f>
        <v>0</v>
      </c>
      <c r="I254" s="182">
        <f>'Sch 3 - Expenses'!I94</f>
        <v>0</v>
      </c>
      <c r="J254" s="1422">
        <f>'Sch 3 - Expenses'!J94</f>
        <v>0</v>
      </c>
      <c r="K254" s="904">
        <f t="shared" si="629"/>
        <v>0</v>
      </c>
      <c r="O254" s="1117">
        <f t="shared" si="710"/>
        <v>0</v>
      </c>
      <c r="P254" s="1118">
        <f t="shared" si="630"/>
        <v>0</v>
      </c>
      <c r="Q254" s="1118">
        <f t="shared" si="631"/>
        <v>0</v>
      </c>
      <c r="R254" s="1118">
        <f t="shared" si="632"/>
        <v>0</v>
      </c>
      <c r="S254" s="1074"/>
      <c r="W254" s="1117">
        <f t="shared" si="711"/>
        <v>0</v>
      </c>
      <c r="X254" s="1118">
        <f t="shared" si="633"/>
        <v>0</v>
      </c>
      <c r="Y254" s="1118">
        <f t="shared" si="634"/>
        <v>0</v>
      </c>
      <c r="Z254" s="1118">
        <f t="shared" si="635"/>
        <v>0</v>
      </c>
      <c r="AA254" s="1074"/>
      <c r="AE254" s="1117">
        <f t="shared" si="712"/>
        <v>0</v>
      </c>
      <c r="AF254" s="1118">
        <f t="shared" si="636"/>
        <v>0</v>
      </c>
      <c r="AG254" s="1118">
        <f t="shared" si="637"/>
        <v>0</v>
      </c>
      <c r="AH254" s="1118">
        <f t="shared" si="638"/>
        <v>0</v>
      </c>
      <c r="AI254" s="1074"/>
      <c r="AM254" s="1117">
        <f t="shared" si="713"/>
        <v>0</v>
      </c>
      <c r="AN254" s="1118">
        <f t="shared" si="639"/>
        <v>0</v>
      </c>
      <c r="AO254" s="1118">
        <f t="shared" si="640"/>
        <v>0</v>
      </c>
      <c r="AP254" s="1118">
        <f t="shared" si="641"/>
        <v>0</v>
      </c>
      <c r="AQ254" s="1074"/>
      <c r="AU254" s="1117">
        <f t="shared" si="714"/>
        <v>0</v>
      </c>
      <c r="AV254" s="1118">
        <f t="shared" si="642"/>
        <v>0</v>
      </c>
      <c r="AW254" s="1118">
        <f t="shared" si="643"/>
        <v>0</v>
      </c>
      <c r="AX254" s="1118">
        <f t="shared" si="644"/>
        <v>0</v>
      </c>
      <c r="AY254" s="1074"/>
      <c r="BC254" s="1117">
        <f t="shared" si="715"/>
        <v>0</v>
      </c>
      <c r="BD254" s="1118">
        <f t="shared" si="645"/>
        <v>0</v>
      </c>
      <c r="BE254" s="1118">
        <f t="shared" si="646"/>
        <v>0</v>
      </c>
      <c r="BF254" s="1118">
        <f t="shared" si="647"/>
        <v>0</v>
      </c>
      <c r="BG254" s="1074"/>
      <c r="BK254" s="1117">
        <f t="shared" si="716"/>
        <v>0</v>
      </c>
      <c r="BL254" s="1118">
        <f t="shared" si="648"/>
        <v>0</v>
      </c>
      <c r="BM254" s="1118">
        <f t="shared" si="649"/>
        <v>0</v>
      </c>
      <c r="BN254" s="1118">
        <f t="shared" si="650"/>
        <v>0</v>
      </c>
      <c r="BO254" s="1074"/>
      <c r="BS254" s="1117">
        <f t="shared" si="717"/>
        <v>0</v>
      </c>
      <c r="BT254" s="1118">
        <f t="shared" si="651"/>
        <v>0</v>
      </c>
      <c r="BU254" s="1118">
        <f t="shared" si="652"/>
        <v>0</v>
      </c>
      <c r="BV254" s="1118">
        <f t="shared" si="653"/>
        <v>0</v>
      </c>
      <c r="BW254" s="1074"/>
      <c r="CA254" s="1117">
        <f t="shared" si="718"/>
        <v>0</v>
      </c>
      <c r="CB254" s="1118">
        <f t="shared" si="654"/>
        <v>0</v>
      </c>
      <c r="CC254" s="1118">
        <f t="shared" si="655"/>
        <v>0</v>
      </c>
      <c r="CD254" s="1118">
        <f t="shared" si="656"/>
        <v>0</v>
      </c>
      <c r="CE254" s="1074"/>
      <c r="CI254" s="1117">
        <f t="shared" si="719"/>
        <v>0</v>
      </c>
      <c r="CJ254" s="1118">
        <f t="shared" si="657"/>
        <v>0</v>
      </c>
      <c r="CK254" s="1118">
        <f t="shared" si="658"/>
        <v>0</v>
      </c>
      <c r="CL254" s="1118">
        <f t="shared" si="659"/>
        <v>0</v>
      </c>
      <c r="CM254" s="1074"/>
      <c r="CQ254" s="1117">
        <f t="shared" si="720"/>
        <v>0</v>
      </c>
      <c r="CR254" s="1118">
        <f t="shared" si="660"/>
        <v>0</v>
      </c>
      <c r="CS254" s="1118">
        <f t="shared" si="661"/>
        <v>0</v>
      </c>
      <c r="CT254" s="1118">
        <f t="shared" si="662"/>
        <v>0</v>
      </c>
      <c r="CU254" s="1074"/>
      <c r="CY254" s="1117">
        <f t="shared" si="721"/>
        <v>0</v>
      </c>
      <c r="CZ254" s="1118">
        <f t="shared" si="663"/>
        <v>0</v>
      </c>
      <c r="DA254" s="1118">
        <f t="shared" si="664"/>
        <v>0</v>
      </c>
      <c r="DB254" s="1118">
        <f t="shared" si="665"/>
        <v>0</v>
      </c>
      <c r="DC254" s="1074"/>
      <c r="DG254" s="1117">
        <f t="shared" si="722"/>
        <v>0</v>
      </c>
      <c r="DH254" s="1118">
        <f t="shared" si="666"/>
        <v>0</v>
      </c>
      <c r="DI254" s="1118">
        <f t="shared" si="667"/>
        <v>0</v>
      </c>
      <c r="DJ254" s="1118">
        <f t="shared" si="668"/>
        <v>0</v>
      </c>
      <c r="DK254" s="1074"/>
      <c r="DO254" s="1117">
        <f t="shared" si="723"/>
        <v>0</v>
      </c>
      <c r="DP254" s="1118">
        <f t="shared" si="669"/>
        <v>0</v>
      </c>
      <c r="DQ254" s="1118">
        <f t="shared" si="670"/>
        <v>0</v>
      </c>
      <c r="DR254" s="1118">
        <f t="shared" si="671"/>
        <v>0</v>
      </c>
      <c r="DS254" s="1074"/>
      <c r="DW254" s="1117">
        <f t="shared" si="724"/>
        <v>0</v>
      </c>
      <c r="DX254" s="1118">
        <f t="shared" si="672"/>
        <v>0</v>
      </c>
      <c r="DY254" s="1118">
        <f t="shared" si="673"/>
        <v>0</v>
      </c>
      <c r="DZ254" s="1118">
        <f t="shared" si="674"/>
        <v>0</v>
      </c>
      <c r="EA254" s="1074"/>
      <c r="EE254" s="1117">
        <f t="shared" si="725"/>
        <v>0</v>
      </c>
      <c r="EF254" s="1118">
        <f t="shared" si="675"/>
        <v>0</v>
      </c>
      <c r="EG254" s="1118">
        <f t="shared" si="676"/>
        <v>0</v>
      </c>
      <c r="EH254" s="1118">
        <f t="shared" si="677"/>
        <v>0</v>
      </c>
      <c r="EI254" s="1074"/>
      <c r="EM254" s="1117">
        <f t="shared" si="726"/>
        <v>0</v>
      </c>
      <c r="EN254" s="1118">
        <f t="shared" si="678"/>
        <v>0</v>
      </c>
      <c r="EO254" s="1118">
        <f t="shared" si="679"/>
        <v>0</v>
      </c>
      <c r="EP254" s="1118">
        <f t="shared" si="680"/>
        <v>0</v>
      </c>
      <c r="EQ254" s="1074"/>
      <c r="EU254" s="1117">
        <f t="shared" si="727"/>
        <v>0</v>
      </c>
      <c r="EV254" s="1118">
        <f t="shared" si="681"/>
        <v>0</v>
      </c>
      <c r="EW254" s="1118">
        <f t="shared" si="682"/>
        <v>0</v>
      </c>
      <c r="EX254" s="1118">
        <f t="shared" si="683"/>
        <v>0</v>
      </c>
      <c r="EY254" s="1074"/>
      <c r="FC254" s="1117">
        <f t="shared" si="728"/>
        <v>0</v>
      </c>
      <c r="FD254" s="1118">
        <f t="shared" si="684"/>
        <v>0</v>
      </c>
      <c r="FE254" s="1118">
        <f t="shared" si="685"/>
        <v>0</v>
      </c>
      <c r="FF254" s="1118">
        <f t="shared" si="686"/>
        <v>0</v>
      </c>
      <c r="FG254" s="1074"/>
      <c r="FK254" s="1117">
        <f t="shared" si="729"/>
        <v>0</v>
      </c>
      <c r="FL254" s="1118">
        <f t="shared" si="687"/>
        <v>0</v>
      </c>
      <c r="FM254" s="1118">
        <f t="shared" si="688"/>
        <v>0</v>
      </c>
      <c r="FN254" s="1118">
        <f t="shared" si="689"/>
        <v>0</v>
      </c>
      <c r="FO254" s="1074"/>
    </row>
    <row r="255" spans="1:171" x14ac:dyDescent="0.25">
      <c r="A255" s="1437"/>
      <c r="B255" s="914" t="s">
        <v>565</v>
      </c>
      <c r="C255" s="889">
        <v>336</v>
      </c>
      <c r="D255" s="1016">
        <v>404</v>
      </c>
      <c r="E255" s="182" t="str">
        <f>'Sch 3 - Expenses'!E95</f>
        <v>DIRECT</v>
      </c>
      <c r="F255" s="890"/>
      <c r="G255" s="182">
        <f>'Sch 3 - Expenses'!G95</f>
        <v>668326.76052095089</v>
      </c>
      <c r="H255" s="182">
        <f>'Sch 3 - Expenses'!H95</f>
        <v>380607.82273420098</v>
      </c>
      <c r="I255" s="182">
        <f>'Sch 3 - Expenses'!I95</f>
        <v>0</v>
      </c>
      <c r="J255" s="1422">
        <f>'Sch 3 - Expenses'!J95</f>
        <v>287718.93778674991</v>
      </c>
      <c r="K255" s="904">
        <f t="shared" si="629"/>
        <v>0</v>
      </c>
      <c r="O255" s="1117">
        <f t="shared" si="710"/>
        <v>668326.76052095089</v>
      </c>
      <c r="P255" s="1118">
        <f t="shared" si="630"/>
        <v>380607.82273420098</v>
      </c>
      <c r="Q255" s="1118">
        <f t="shared" si="631"/>
        <v>0</v>
      </c>
      <c r="R255" s="1118">
        <f t="shared" si="632"/>
        <v>287718.93778674991</v>
      </c>
      <c r="S255" s="1074"/>
      <c r="W255" s="1117">
        <f t="shared" si="711"/>
        <v>668326.76052095089</v>
      </c>
      <c r="X255" s="1118">
        <f t="shared" si="633"/>
        <v>380607.82273420098</v>
      </c>
      <c r="Y255" s="1118">
        <f t="shared" si="634"/>
        <v>0</v>
      </c>
      <c r="Z255" s="1118">
        <f t="shared" si="635"/>
        <v>287718.93778674991</v>
      </c>
      <c r="AA255" s="1074"/>
      <c r="AE255" s="1117">
        <f t="shared" si="712"/>
        <v>668326.76052095089</v>
      </c>
      <c r="AF255" s="1118">
        <f t="shared" si="636"/>
        <v>380607.82273420098</v>
      </c>
      <c r="AG255" s="1118">
        <f t="shared" si="637"/>
        <v>0</v>
      </c>
      <c r="AH255" s="1118">
        <f t="shared" si="638"/>
        <v>287718.93778674991</v>
      </c>
      <c r="AI255" s="1074"/>
      <c r="AM255" s="1117">
        <f t="shared" si="713"/>
        <v>668326.76052095089</v>
      </c>
      <c r="AN255" s="1118">
        <f t="shared" si="639"/>
        <v>380607.82273420098</v>
      </c>
      <c r="AO255" s="1118">
        <f t="shared" si="640"/>
        <v>0</v>
      </c>
      <c r="AP255" s="1118">
        <f t="shared" si="641"/>
        <v>287718.93778674991</v>
      </c>
      <c r="AQ255" s="1074"/>
      <c r="AU255" s="1117">
        <f t="shared" si="714"/>
        <v>668326.76052095089</v>
      </c>
      <c r="AV255" s="1118">
        <f t="shared" si="642"/>
        <v>380607.82273420098</v>
      </c>
      <c r="AW255" s="1118">
        <f t="shared" si="643"/>
        <v>0</v>
      </c>
      <c r="AX255" s="1118">
        <f t="shared" si="644"/>
        <v>287718.93778674991</v>
      </c>
      <c r="AY255" s="1074"/>
      <c r="BC255" s="1117">
        <f t="shared" si="715"/>
        <v>668326.76052095089</v>
      </c>
      <c r="BD255" s="1118">
        <f t="shared" si="645"/>
        <v>380607.82273420098</v>
      </c>
      <c r="BE255" s="1118">
        <f t="shared" si="646"/>
        <v>0</v>
      </c>
      <c r="BF255" s="1118">
        <f t="shared" si="647"/>
        <v>287718.93778674991</v>
      </c>
      <c r="BG255" s="1074"/>
      <c r="BK255" s="1117">
        <f t="shared" si="716"/>
        <v>668326.76052095089</v>
      </c>
      <c r="BL255" s="1118">
        <f t="shared" si="648"/>
        <v>380607.82273420098</v>
      </c>
      <c r="BM255" s="1118">
        <f t="shared" si="649"/>
        <v>0</v>
      </c>
      <c r="BN255" s="1118">
        <f t="shared" si="650"/>
        <v>287718.93778674991</v>
      </c>
      <c r="BO255" s="1074"/>
      <c r="BS255" s="1117">
        <f t="shared" si="717"/>
        <v>668326.76052095089</v>
      </c>
      <c r="BT255" s="1118">
        <f t="shared" si="651"/>
        <v>380607.82273420098</v>
      </c>
      <c r="BU255" s="1118">
        <f t="shared" si="652"/>
        <v>0</v>
      </c>
      <c r="BV255" s="1118">
        <f t="shared" si="653"/>
        <v>287718.93778674991</v>
      </c>
      <c r="BW255" s="1074"/>
      <c r="CA255" s="1117">
        <f t="shared" si="718"/>
        <v>668326.76052095089</v>
      </c>
      <c r="CB255" s="1118">
        <f t="shared" si="654"/>
        <v>380607.82273420098</v>
      </c>
      <c r="CC255" s="1118">
        <f t="shared" si="655"/>
        <v>0</v>
      </c>
      <c r="CD255" s="1118">
        <f t="shared" si="656"/>
        <v>287718.93778674991</v>
      </c>
      <c r="CE255" s="1074"/>
      <c r="CI255" s="1117">
        <f t="shared" si="719"/>
        <v>668326.76052095089</v>
      </c>
      <c r="CJ255" s="1118">
        <f t="shared" si="657"/>
        <v>380607.82273420098</v>
      </c>
      <c r="CK255" s="1118">
        <f t="shared" si="658"/>
        <v>0</v>
      </c>
      <c r="CL255" s="1118">
        <f t="shared" si="659"/>
        <v>287718.93778674991</v>
      </c>
      <c r="CM255" s="1074"/>
      <c r="CQ255" s="1117">
        <f t="shared" si="720"/>
        <v>668326.76052095089</v>
      </c>
      <c r="CR255" s="1118">
        <f t="shared" si="660"/>
        <v>380607.82273420098</v>
      </c>
      <c r="CS255" s="1118">
        <f t="shared" si="661"/>
        <v>0</v>
      </c>
      <c r="CT255" s="1118">
        <f t="shared" si="662"/>
        <v>287718.93778674991</v>
      </c>
      <c r="CU255" s="1074"/>
      <c r="CY255" s="1117">
        <f t="shared" si="721"/>
        <v>668326.76052095089</v>
      </c>
      <c r="CZ255" s="1118">
        <f t="shared" si="663"/>
        <v>380607.82273420098</v>
      </c>
      <c r="DA255" s="1118">
        <f t="shared" si="664"/>
        <v>0</v>
      </c>
      <c r="DB255" s="1118">
        <f t="shared" si="665"/>
        <v>287718.93778674991</v>
      </c>
      <c r="DC255" s="1074"/>
      <c r="DG255" s="1117">
        <f t="shared" si="722"/>
        <v>668326.76052095089</v>
      </c>
      <c r="DH255" s="1118">
        <f t="shared" si="666"/>
        <v>380607.82273420098</v>
      </c>
      <c r="DI255" s="1118">
        <f t="shared" si="667"/>
        <v>0</v>
      </c>
      <c r="DJ255" s="1118">
        <f t="shared" si="668"/>
        <v>287718.93778674991</v>
      </c>
      <c r="DK255" s="1074"/>
      <c r="DO255" s="1117">
        <f t="shared" si="723"/>
        <v>668326.76052095089</v>
      </c>
      <c r="DP255" s="1118">
        <f t="shared" si="669"/>
        <v>380607.82273420098</v>
      </c>
      <c r="DQ255" s="1118">
        <f t="shared" si="670"/>
        <v>0</v>
      </c>
      <c r="DR255" s="1118">
        <f t="shared" si="671"/>
        <v>287718.93778674991</v>
      </c>
      <c r="DS255" s="1074"/>
      <c r="DW255" s="1117">
        <f t="shared" si="724"/>
        <v>668326.76052095089</v>
      </c>
      <c r="DX255" s="1118">
        <f t="shared" si="672"/>
        <v>380607.82273420098</v>
      </c>
      <c r="DY255" s="1118">
        <f t="shared" si="673"/>
        <v>0</v>
      </c>
      <c r="DZ255" s="1118">
        <f t="shared" si="674"/>
        <v>287718.93778674991</v>
      </c>
      <c r="EA255" s="1074"/>
      <c r="EE255" s="1117">
        <f t="shared" si="725"/>
        <v>668326.76052095089</v>
      </c>
      <c r="EF255" s="1118">
        <f t="shared" si="675"/>
        <v>380607.82273420098</v>
      </c>
      <c r="EG255" s="1118">
        <f t="shared" si="676"/>
        <v>0</v>
      </c>
      <c r="EH255" s="1118">
        <f t="shared" si="677"/>
        <v>287718.93778674991</v>
      </c>
      <c r="EI255" s="1074"/>
      <c r="EM255" s="1117">
        <f t="shared" si="726"/>
        <v>668326.76052095089</v>
      </c>
      <c r="EN255" s="1118">
        <f t="shared" si="678"/>
        <v>380607.82273420098</v>
      </c>
      <c r="EO255" s="1118">
        <f t="shared" si="679"/>
        <v>0</v>
      </c>
      <c r="EP255" s="1118">
        <f t="shared" si="680"/>
        <v>287718.93778674991</v>
      </c>
      <c r="EQ255" s="1074"/>
      <c r="EU255" s="1117">
        <f t="shared" si="727"/>
        <v>668326.76052095089</v>
      </c>
      <c r="EV255" s="1118">
        <f t="shared" si="681"/>
        <v>380607.82273420098</v>
      </c>
      <c r="EW255" s="1118">
        <f t="shared" si="682"/>
        <v>0</v>
      </c>
      <c r="EX255" s="1118">
        <f t="shared" si="683"/>
        <v>287718.93778674991</v>
      </c>
      <c r="EY255" s="1074"/>
      <c r="FC255" s="1117">
        <f t="shared" si="728"/>
        <v>668326.76052095089</v>
      </c>
      <c r="FD255" s="1118">
        <f t="shared" si="684"/>
        <v>380607.82273420098</v>
      </c>
      <c r="FE255" s="1118">
        <f t="shared" si="685"/>
        <v>0</v>
      </c>
      <c r="FF255" s="1118">
        <f t="shared" si="686"/>
        <v>287718.93778674991</v>
      </c>
      <c r="FG255" s="1074"/>
      <c r="FK255" s="1117">
        <f t="shared" si="729"/>
        <v>668326.76052095089</v>
      </c>
      <c r="FL255" s="1118">
        <f t="shared" si="687"/>
        <v>380607.82273420098</v>
      </c>
      <c r="FM255" s="1118">
        <f t="shared" si="688"/>
        <v>0</v>
      </c>
      <c r="FN255" s="1118">
        <f t="shared" si="689"/>
        <v>287718.93778674991</v>
      </c>
      <c r="FO255" s="1074"/>
    </row>
    <row r="256" spans="1:171" x14ac:dyDescent="0.25">
      <c r="A256" s="1437"/>
      <c r="B256" s="914" t="s">
        <v>30</v>
      </c>
      <c r="C256" s="889" t="s">
        <v>69</v>
      </c>
      <c r="D256" s="1016">
        <v>114</v>
      </c>
      <c r="E256" s="182" t="str">
        <f>'Sch 3 - Expenses'!E96</f>
        <v>DIRECT</v>
      </c>
      <c r="F256" s="890"/>
      <c r="G256" s="182">
        <f>'Sch 3 - Expenses'!G96</f>
        <v>30235.05476747407</v>
      </c>
      <c r="H256" s="182">
        <f>'Sch 3 - Expenses'!H96</f>
        <v>30235.05476747407</v>
      </c>
      <c r="I256" s="182">
        <f>'Sch 3 - Expenses'!I96</f>
        <v>0</v>
      </c>
      <c r="J256" s="1422">
        <f>'Sch 3 - Expenses'!J96</f>
        <v>0</v>
      </c>
      <c r="K256" s="904">
        <f t="shared" si="629"/>
        <v>0</v>
      </c>
      <c r="O256" s="1117">
        <f t="shared" si="710"/>
        <v>30235.05476747407</v>
      </c>
      <c r="P256" s="1118">
        <f t="shared" si="630"/>
        <v>30235.05476747407</v>
      </c>
      <c r="Q256" s="1118">
        <f t="shared" si="631"/>
        <v>0</v>
      </c>
      <c r="R256" s="1118">
        <f t="shared" si="632"/>
        <v>0</v>
      </c>
      <c r="S256" s="1074"/>
      <c r="W256" s="1117">
        <f t="shared" si="711"/>
        <v>30235.05476747407</v>
      </c>
      <c r="X256" s="1118">
        <f t="shared" si="633"/>
        <v>30235.05476747407</v>
      </c>
      <c r="Y256" s="1118">
        <f t="shared" si="634"/>
        <v>0</v>
      </c>
      <c r="Z256" s="1118">
        <f t="shared" si="635"/>
        <v>0</v>
      </c>
      <c r="AA256" s="1074"/>
      <c r="AE256" s="1117">
        <f t="shared" si="712"/>
        <v>30235.05476747407</v>
      </c>
      <c r="AF256" s="1118">
        <f t="shared" si="636"/>
        <v>30235.05476747407</v>
      </c>
      <c r="AG256" s="1118">
        <f t="shared" si="637"/>
        <v>0</v>
      </c>
      <c r="AH256" s="1118">
        <f t="shared" si="638"/>
        <v>0</v>
      </c>
      <c r="AI256" s="1074"/>
      <c r="AM256" s="1117">
        <f t="shared" si="713"/>
        <v>30235.05476747407</v>
      </c>
      <c r="AN256" s="1118">
        <f t="shared" si="639"/>
        <v>30235.05476747407</v>
      </c>
      <c r="AO256" s="1118">
        <f t="shared" si="640"/>
        <v>0</v>
      </c>
      <c r="AP256" s="1118">
        <f t="shared" si="641"/>
        <v>0</v>
      </c>
      <c r="AQ256" s="1074"/>
      <c r="AU256" s="1117">
        <f t="shared" si="714"/>
        <v>30235.05476747407</v>
      </c>
      <c r="AV256" s="1118">
        <f t="shared" si="642"/>
        <v>30235.05476747407</v>
      </c>
      <c r="AW256" s="1118">
        <f t="shared" si="643"/>
        <v>0</v>
      </c>
      <c r="AX256" s="1118">
        <f t="shared" si="644"/>
        <v>0</v>
      </c>
      <c r="AY256" s="1074"/>
      <c r="BC256" s="1117">
        <f t="shared" si="715"/>
        <v>30235.05476747407</v>
      </c>
      <c r="BD256" s="1118">
        <f t="shared" si="645"/>
        <v>30235.05476747407</v>
      </c>
      <c r="BE256" s="1118">
        <f t="shared" si="646"/>
        <v>0</v>
      </c>
      <c r="BF256" s="1118">
        <f t="shared" si="647"/>
        <v>0</v>
      </c>
      <c r="BG256" s="1074"/>
      <c r="BK256" s="1117">
        <f t="shared" si="716"/>
        <v>30235.05476747407</v>
      </c>
      <c r="BL256" s="1118">
        <f t="shared" si="648"/>
        <v>30235.05476747407</v>
      </c>
      <c r="BM256" s="1118">
        <f t="shared" si="649"/>
        <v>0</v>
      </c>
      <c r="BN256" s="1118">
        <f t="shared" si="650"/>
        <v>0</v>
      </c>
      <c r="BO256" s="1074"/>
      <c r="BS256" s="1117">
        <f t="shared" si="717"/>
        <v>30235.05476747407</v>
      </c>
      <c r="BT256" s="1118">
        <f t="shared" si="651"/>
        <v>30235.05476747407</v>
      </c>
      <c r="BU256" s="1118">
        <f t="shared" si="652"/>
        <v>0</v>
      </c>
      <c r="BV256" s="1118">
        <f t="shared" si="653"/>
        <v>0</v>
      </c>
      <c r="BW256" s="1074"/>
      <c r="CA256" s="1117">
        <f t="shared" si="718"/>
        <v>30235.05476747407</v>
      </c>
      <c r="CB256" s="1118">
        <f t="shared" si="654"/>
        <v>30235.05476747407</v>
      </c>
      <c r="CC256" s="1118">
        <f t="shared" si="655"/>
        <v>0</v>
      </c>
      <c r="CD256" s="1118">
        <f t="shared" si="656"/>
        <v>0</v>
      </c>
      <c r="CE256" s="1074"/>
      <c r="CI256" s="1117">
        <f t="shared" si="719"/>
        <v>30235.05476747407</v>
      </c>
      <c r="CJ256" s="1118">
        <f t="shared" si="657"/>
        <v>30235.05476747407</v>
      </c>
      <c r="CK256" s="1118">
        <f t="shared" si="658"/>
        <v>0</v>
      </c>
      <c r="CL256" s="1118">
        <f t="shared" si="659"/>
        <v>0</v>
      </c>
      <c r="CM256" s="1074"/>
      <c r="CQ256" s="1117">
        <f t="shared" si="720"/>
        <v>30235.05476747407</v>
      </c>
      <c r="CR256" s="1118">
        <f t="shared" si="660"/>
        <v>30235.05476747407</v>
      </c>
      <c r="CS256" s="1118">
        <f t="shared" si="661"/>
        <v>0</v>
      </c>
      <c r="CT256" s="1118">
        <f t="shared" si="662"/>
        <v>0</v>
      </c>
      <c r="CU256" s="1074"/>
      <c r="CY256" s="1117">
        <f t="shared" si="721"/>
        <v>30235.05476747407</v>
      </c>
      <c r="CZ256" s="1118">
        <f t="shared" si="663"/>
        <v>30235.05476747407</v>
      </c>
      <c r="DA256" s="1118">
        <f t="shared" si="664"/>
        <v>0</v>
      </c>
      <c r="DB256" s="1118">
        <f t="shared" si="665"/>
        <v>0</v>
      </c>
      <c r="DC256" s="1074"/>
      <c r="DG256" s="1117">
        <f t="shared" si="722"/>
        <v>30235.05476747407</v>
      </c>
      <c r="DH256" s="1118">
        <f t="shared" si="666"/>
        <v>30235.05476747407</v>
      </c>
      <c r="DI256" s="1118">
        <f t="shared" si="667"/>
        <v>0</v>
      </c>
      <c r="DJ256" s="1118">
        <f t="shared" si="668"/>
        <v>0</v>
      </c>
      <c r="DK256" s="1074"/>
      <c r="DO256" s="1117">
        <f t="shared" si="723"/>
        <v>30235.05476747407</v>
      </c>
      <c r="DP256" s="1118">
        <f t="shared" si="669"/>
        <v>30235.05476747407</v>
      </c>
      <c r="DQ256" s="1118">
        <f t="shared" si="670"/>
        <v>0</v>
      </c>
      <c r="DR256" s="1118">
        <f t="shared" si="671"/>
        <v>0</v>
      </c>
      <c r="DS256" s="1074"/>
      <c r="DW256" s="1117">
        <f t="shared" si="724"/>
        <v>30235.05476747407</v>
      </c>
      <c r="DX256" s="1118">
        <f t="shared" si="672"/>
        <v>30235.05476747407</v>
      </c>
      <c r="DY256" s="1118">
        <f t="shared" si="673"/>
        <v>0</v>
      </c>
      <c r="DZ256" s="1118">
        <f t="shared" si="674"/>
        <v>0</v>
      </c>
      <c r="EA256" s="1074"/>
      <c r="EE256" s="1117">
        <f t="shared" si="725"/>
        <v>30235.05476747407</v>
      </c>
      <c r="EF256" s="1118">
        <f t="shared" si="675"/>
        <v>30235.05476747407</v>
      </c>
      <c r="EG256" s="1118">
        <f t="shared" si="676"/>
        <v>0</v>
      </c>
      <c r="EH256" s="1118">
        <f t="shared" si="677"/>
        <v>0</v>
      </c>
      <c r="EI256" s="1074"/>
      <c r="EM256" s="1117">
        <f t="shared" si="726"/>
        <v>30235.05476747407</v>
      </c>
      <c r="EN256" s="1118">
        <f t="shared" si="678"/>
        <v>30235.05476747407</v>
      </c>
      <c r="EO256" s="1118">
        <f t="shared" si="679"/>
        <v>0</v>
      </c>
      <c r="EP256" s="1118">
        <f t="shared" si="680"/>
        <v>0</v>
      </c>
      <c r="EQ256" s="1074"/>
      <c r="EU256" s="1117">
        <f t="shared" si="727"/>
        <v>30235.05476747407</v>
      </c>
      <c r="EV256" s="1118">
        <f t="shared" si="681"/>
        <v>30235.05476747407</v>
      </c>
      <c r="EW256" s="1118">
        <f t="shared" si="682"/>
        <v>0</v>
      </c>
      <c r="EX256" s="1118">
        <f t="shared" si="683"/>
        <v>0</v>
      </c>
      <c r="EY256" s="1074"/>
      <c r="FC256" s="1117">
        <f t="shared" si="728"/>
        <v>30235.05476747407</v>
      </c>
      <c r="FD256" s="1118">
        <f t="shared" si="684"/>
        <v>30235.05476747407</v>
      </c>
      <c r="FE256" s="1118">
        <f t="shared" si="685"/>
        <v>0</v>
      </c>
      <c r="FF256" s="1118">
        <f t="shared" si="686"/>
        <v>0</v>
      </c>
      <c r="FG256" s="1074"/>
      <c r="FK256" s="1117">
        <f t="shared" si="729"/>
        <v>30235.05476747407</v>
      </c>
      <c r="FL256" s="1118">
        <f t="shared" si="687"/>
        <v>30235.05476747407</v>
      </c>
      <c r="FM256" s="1118">
        <f t="shared" si="688"/>
        <v>0</v>
      </c>
      <c r="FN256" s="1118">
        <f t="shared" si="689"/>
        <v>0</v>
      </c>
      <c r="FO256" s="1074"/>
    </row>
    <row r="257" spans="1:171" x14ac:dyDescent="0.25">
      <c r="A257" s="1344" t="s">
        <v>471</v>
      </c>
      <c r="B257" s="10"/>
      <c r="C257" s="915"/>
      <c r="D257" s="916"/>
      <c r="E257" s="916"/>
      <c r="F257" s="917"/>
      <c r="G257" s="924">
        <f>SUM(G241:G256)</f>
        <v>428440359.25316298</v>
      </c>
      <c r="H257" s="924">
        <f>SUM(H241:H256)</f>
        <v>257525935.50398934</v>
      </c>
      <c r="I257" s="924">
        <f>SUM(I241:I256)</f>
        <v>0</v>
      </c>
      <c r="J257" s="1429">
        <f>SUM(J241:J256)</f>
        <v>170942745.52078518</v>
      </c>
      <c r="K257" s="904"/>
      <c r="O257" s="1136">
        <f>SUM(O241:O256)</f>
        <v>428440359.25316298</v>
      </c>
      <c r="P257" s="1136">
        <f>SUM(P241:P256)</f>
        <v>257525935.50398934</v>
      </c>
      <c r="Q257" s="1136">
        <f>SUM(Q241:Q256)</f>
        <v>61116679.439811848</v>
      </c>
      <c r="R257" s="1136">
        <f>SUM(R241:R256)</f>
        <v>109797744.3093618</v>
      </c>
      <c r="S257" s="1074"/>
      <c r="W257" s="1136">
        <f>SUM(W241:W256)</f>
        <v>428440359.25316298</v>
      </c>
      <c r="X257" s="1136">
        <f>SUM(X241:X256)</f>
        <v>257525935.50398934</v>
      </c>
      <c r="Y257" s="1136">
        <f>SUM(Y241:Y256)</f>
        <v>61116679.439811848</v>
      </c>
      <c r="Z257" s="1136">
        <f>SUM(Z241:Z256)</f>
        <v>109797744.3093618</v>
      </c>
      <c r="AA257" s="1074"/>
      <c r="AE257" s="1136">
        <f>SUM(AE241:AE256)</f>
        <v>428440359.25316298</v>
      </c>
      <c r="AF257" s="1136">
        <f>SUM(AF241:AF256)</f>
        <v>257525935.50398934</v>
      </c>
      <c r="AG257" s="1136">
        <f>SUM(AG241:AG256)</f>
        <v>61116679.439811848</v>
      </c>
      <c r="AH257" s="1136">
        <f>SUM(AH241:AH256)</f>
        <v>109797744.3093618</v>
      </c>
      <c r="AI257" s="1074"/>
      <c r="AM257" s="1136">
        <f>SUM(AM241:AM256)</f>
        <v>428440359.25316298</v>
      </c>
      <c r="AN257" s="1136">
        <f>SUM(AN241:AN256)</f>
        <v>257525935.50398934</v>
      </c>
      <c r="AO257" s="1136">
        <f>SUM(AO241:AO256)</f>
        <v>61116679.439811848</v>
      </c>
      <c r="AP257" s="1136">
        <f>SUM(AP241:AP256)</f>
        <v>109797744.3093618</v>
      </c>
      <c r="AQ257" s="1074"/>
      <c r="AU257" s="1136">
        <f>SUM(AU241:AU256)</f>
        <v>428440359.25316298</v>
      </c>
      <c r="AV257" s="1136">
        <f>SUM(AV241:AV256)</f>
        <v>257525935.50398934</v>
      </c>
      <c r="AW257" s="1136">
        <f>SUM(AW241:AW256)</f>
        <v>61116679.439811848</v>
      </c>
      <c r="AX257" s="1136">
        <f>SUM(AX241:AX256)</f>
        <v>109797744.3093618</v>
      </c>
      <c r="AY257" s="1074"/>
      <c r="BC257" s="1136">
        <f>SUM(BC241:BC256)</f>
        <v>428440359.25316298</v>
      </c>
      <c r="BD257" s="1136">
        <f>SUM(BD241:BD256)</f>
        <v>257525935.50398934</v>
      </c>
      <c r="BE257" s="1136">
        <f>SUM(BE241:BE256)</f>
        <v>61116679.439811848</v>
      </c>
      <c r="BF257" s="1136">
        <f>SUM(BF241:BF256)</f>
        <v>109797744.3093618</v>
      </c>
      <c r="BG257" s="1074"/>
      <c r="BK257" s="1136">
        <f>SUM(BK241:BK256)</f>
        <v>428440359.25316298</v>
      </c>
      <c r="BL257" s="1136">
        <f>SUM(BL241:BL256)</f>
        <v>257525935.50398934</v>
      </c>
      <c r="BM257" s="1136">
        <f>SUM(BM241:BM256)</f>
        <v>61116679.439811848</v>
      </c>
      <c r="BN257" s="1136">
        <f>SUM(BN241:BN256)</f>
        <v>109797744.3093618</v>
      </c>
      <c r="BO257" s="1074"/>
      <c r="BS257" s="1136">
        <f>SUM(BS241:BS256)</f>
        <v>428440359.25316298</v>
      </c>
      <c r="BT257" s="1136">
        <f>SUM(BT241:BT256)</f>
        <v>257525935.50398934</v>
      </c>
      <c r="BU257" s="1136">
        <f>SUM(BU241:BU256)</f>
        <v>61116679.439811848</v>
      </c>
      <c r="BV257" s="1136">
        <f>SUM(BV241:BV256)</f>
        <v>109797744.3093618</v>
      </c>
      <c r="BW257" s="1074"/>
      <c r="CA257" s="1136">
        <f>SUM(CA241:CA256)</f>
        <v>428440359.25316298</v>
      </c>
      <c r="CB257" s="1136">
        <f>SUM(CB241:CB256)</f>
        <v>257525935.50398934</v>
      </c>
      <c r="CC257" s="1136">
        <f>SUM(CC241:CC256)</f>
        <v>61116679.439811848</v>
      </c>
      <c r="CD257" s="1136">
        <f>SUM(CD241:CD256)</f>
        <v>109797744.3093618</v>
      </c>
      <c r="CE257" s="1074"/>
      <c r="CI257" s="1136">
        <f>SUM(CI241:CI256)</f>
        <v>428440359.25316298</v>
      </c>
      <c r="CJ257" s="1136">
        <f>SUM(CJ241:CJ256)</f>
        <v>257525935.50398934</v>
      </c>
      <c r="CK257" s="1136">
        <f>SUM(CK241:CK256)</f>
        <v>61116679.439811848</v>
      </c>
      <c r="CL257" s="1136">
        <f>SUM(CL241:CL256)</f>
        <v>109797744.3093618</v>
      </c>
      <c r="CM257" s="1074"/>
      <c r="CQ257" s="1136">
        <f>SUM(CQ241:CQ256)</f>
        <v>428440359.25316298</v>
      </c>
      <c r="CR257" s="1136">
        <f>SUM(CR241:CR256)</f>
        <v>257525935.50398934</v>
      </c>
      <c r="CS257" s="1136">
        <f>SUM(CS241:CS256)</f>
        <v>61116679.439811848</v>
      </c>
      <c r="CT257" s="1136">
        <f>SUM(CT241:CT256)</f>
        <v>109797744.3093618</v>
      </c>
      <c r="CU257" s="1074"/>
      <c r="CY257" s="1136">
        <f>SUM(CY241:CY256)</f>
        <v>428440359.25316298</v>
      </c>
      <c r="CZ257" s="1136">
        <f>SUM(CZ241:CZ256)</f>
        <v>257525935.50398934</v>
      </c>
      <c r="DA257" s="1136">
        <f>SUM(DA241:DA256)</f>
        <v>61116679.439811848</v>
      </c>
      <c r="DB257" s="1136">
        <f>SUM(DB241:DB256)</f>
        <v>109797744.3093618</v>
      </c>
      <c r="DC257" s="1074"/>
      <c r="DG257" s="1136">
        <f>SUM(DG241:DG256)</f>
        <v>428440359.25316298</v>
      </c>
      <c r="DH257" s="1136">
        <f>SUM(DH241:DH256)</f>
        <v>257525935.50398934</v>
      </c>
      <c r="DI257" s="1136">
        <f>SUM(DI241:DI256)</f>
        <v>61116679.439811848</v>
      </c>
      <c r="DJ257" s="1136">
        <f>SUM(DJ241:DJ256)</f>
        <v>109797744.3093618</v>
      </c>
      <c r="DK257" s="1074"/>
      <c r="DO257" s="1136">
        <f>SUM(DO241:DO256)</f>
        <v>428440359.25316298</v>
      </c>
      <c r="DP257" s="1136">
        <f>SUM(DP241:DP256)</f>
        <v>257525935.50398934</v>
      </c>
      <c r="DQ257" s="1136">
        <f>SUM(DQ241:DQ256)</f>
        <v>61116679.439811848</v>
      </c>
      <c r="DR257" s="1136">
        <f>SUM(DR241:DR256)</f>
        <v>109797744.3093618</v>
      </c>
      <c r="DS257" s="1074"/>
      <c r="DW257" s="1136">
        <f>SUM(DW241:DW256)</f>
        <v>428440359.25316298</v>
      </c>
      <c r="DX257" s="1136">
        <f>SUM(DX241:DX256)</f>
        <v>257525935.50398934</v>
      </c>
      <c r="DY257" s="1136">
        <f>SUM(DY241:DY256)</f>
        <v>61116679.439811848</v>
      </c>
      <c r="DZ257" s="1136">
        <f>SUM(DZ241:DZ256)</f>
        <v>109797744.3093618</v>
      </c>
      <c r="EA257" s="1074"/>
      <c r="EE257" s="1136">
        <f>SUM(EE241:EE256)</f>
        <v>428440359.25316298</v>
      </c>
      <c r="EF257" s="1136">
        <f>SUM(EF241:EF256)</f>
        <v>257525935.50398934</v>
      </c>
      <c r="EG257" s="1136">
        <f>SUM(EG241:EG256)</f>
        <v>61116679.439811848</v>
      </c>
      <c r="EH257" s="1136">
        <f>SUM(EH241:EH256)</f>
        <v>109797744.3093618</v>
      </c>
      <c r="EI257" s="1074"/>
      <c r="EM257" s="1136">
        <f>SUM(EM241:EM256)</f>
        <v>428440359.25316298</v>
      </c>
      <c r="EN257" s="1136">
        <f>SUM(EN241:EN256)</f>
        <v>257525935.50398934</v>
      </c>
      <c r="EO257" s="1136">
        <f>SUM(EO241:EO256)</f>
        <v>61116679.439811848</v>
      </c>
      <c r="EP257" s="1136">
        <f>SUM(EP241:EP256)</f>
        <v>109797744.3093618</v>
      </c>
      <c r="EQ257" s="1074"/>
      <c r="EU257" s="1136">
        <f>SUM(EU241:EU256)</f>
        <v>428440359.25316298</v>
      </c>
      <c r="EV257" s="1136">
        <f>SUM(EV241:EV256)</f>
        <v>257525935.50398934</v>
      </c>
      <c r="EW257" s="1136">
        <f>SUM(EW241:EW256)</f>
        <v>61116679.439811848</v>
      </c>
      <c r="EX257" s="1136">
        <f>SUM(EX241:EX256)</f>
        <v>109797744.3093618</v>
      </c>
      <c r="EY257" s="1074"/>
      <c r="FC257" s="1136">
        <f>SUM(FC241:FC256)</f>
        <v>428440359.25316298</v>
      </c>
      <c r="FD257" s="1136">
        <f>SUM(FD241:FD256)</f>
        <v>257525935.50398934</v>
      </c>
      <c r="FE257" s="1136">
        <f>SUM(FE241:FE256)</f>
        <v>61116679.439811848</v>
      </c>
      <c r="FF257" s="1136">
        <f>SUM(FF241:FF256)</f>
        <v>109797744.3093618</v>
      </c>
      <c r="FG257" s="1074"/>
      <c r="FK257" s="1136">
        <f>SUM(FK241:FK256)</f>
        <v>428440359.25316298</v>
      </c>
      <c r="FL257" s="1136">
        <f>SUM(FL241:FL256)</f>
        <v>257525935.50398934</v>
      </c>
      <c r="FM257" s="1136">
        <f>SUM(FM241:FM256)</f>
        <v>61116679.439811848</v>
      </c>
      <c r="FN257" s="1136">
        <f>SUM(FN241:FN256)</f>
        <v>109797744.3093618</v>
      </c>
      <c r="FO257" s="1074"/>
    </row>
    <row r="258" spans="1:171" x14ac:dyDescent="0.25">
      <c r="A258" s="1344"/>
      <c r="B258" s="10"/>
      <c r="C258" s="55"/>
      <c r="D258" s="196"/>
      <c r="E258" s="10"/>
      <c r="F258" s="10"/>
      <c r="G258" s="1017"/>
      <c r="H258" s="1018"/>
      <c r="I258" s="1018"/>
      <c r="J258" s="1475"/>
      <c r="K258" s="904"/>
      <c r="S258" s="1074"/>
      <c r="AA258" s="1074"/>
      <c r="AI258" s="1074"/>
      <c r="AQ258" s="1074"/>
      <c r="AY258" s="1074"/>
      <c r="BG258" s="1074"/>
      <c r="BO258" s="1074"/>
      <c r="BW258" s="1074"/>
      <c r="CE258" s="1074"/>
      <c r="CM258" s="1074"/>
      <c r="CU258" s="1074"/>
      <c r="DC258" s="1074"/>
      <c r="DK258" s="1074"/>
      <c r="DS258" s="1074"/>
      <c r="EA258" s="1074"/>
      <c r="EI258" s="1074"/>
      <c r="EQ258" s="1074"/>
      <c r="EY258" s="1074"/>
      <c r="FG258" s="1074"/>
      <c r="FO258" s="1074"/>
    </row>
    <row r="259" spans="1:171" x14ac:dyDescent="0.25">
      <c r="A259" s="1373"/>
      <c r="B259" s="79"/>
      <c r="C259" s="79"/>
      <c r="D259" s="79"/>
      <c r="E259" s="79"/>
      <c r="F259" s="79"/>
      <c r="G259" s="1012"/>
      <c r="H259" s="1"/>
      <c r="I259" s="1"/>
      <c r="J259" s="1456"/>
      <c r="K259" s="904"/>
      <c r="S259" s="1074"/>
      <c r="AA259" s="1074"/>
      <c r="AI259" s="1074"/>
      <c r="AQ259" s="1074"/>
      <c r="AY259" s="1074"/>
      <c r="BG259" s="1074"/>
      <c r="BO259" s="1074"/>
      <c r="BW259" s="1074"/>
      <c r="CE259" s="1074"/>
      <c r="CM259" s="1074"/>
      <c r="CU259" s="1074"/>
      <c r="DC259" s="1074"/>
      <c r="DK259" s="1074"/>
      <c r="DS259" s="1074"/>
      <c r="EA259" s="1074"/>
      <c r="EI259" s="1074"/>
      <c r="EQ259" s="1074"/>
      <c r="EY259" s="1074"/>
      <c r="FG259" s="1074"/>
      <c r="FO259" s="1074"/>
    </row>
    <row r="260" spans="1:171" x14ac:dyDescent="0.25">
      <c r="A260" s="1344" t="s">
        <v>50</v>
      </c>
      <c r="B260" s="64"/>
      <c r="C260" s="915"/>
      <c r="D260" s="916"/>
      <c r="E260" s="916"/>
      <c r="F260" s="917"/>
      <c r="G260" s="924">
        <f>G237+G257</f>
        <v>3229555827.293632</v>
      </c>
      <c r="H260" s="924">
        <f>H237+H257</f>
        <v>2306462730.3009195</v>
      </c>
      <c r="I260" s="924">
        <f>I237+I257</f>
        <v>0</v>
      </c>
      <c r="J260" s="1429">
        <f>J237+J257</f>
        <v>923118347.54036522</v>
      </c>
      <c r="K260" s="904"/>
      <c r="O260" s="1137">
        <f>O237+O257</f>
        <v>3229555827.293632</v>
      </c>
      <c r="P260" s="1137">
        <f>P237+P257</f>
        <v>2306462730.3009195</v>
      </c>
      <c r="Q260" s="1137">
        <f>Q237+Q257</f>
        <v>116461850.98615821</v>
      </c>
      <c r="R260" s="1137">
        <f>R237+R257</f>
        <v>806631246.00655472</v>
      </c>
      <c r="S260" s="1074"/>
      <c r="W260" s="1137">
        <f>W237+W257</f>
        <v>3229555827.293632</v>
      </c>
      <c r="X260" s="1137">
        <f>X237+X257</f>
        <v>2306462730.3009195</v>
      </c>
      <c r="Y260" s="1137">
        <f>Y237+Y257</f>
        <v>116461850.98615821</v>
      </c>
      <c r="Z260" s="1137">
        <f>Z237+Z257</f>
        <v>806631246.00655472</v>
      </c>
      <c r="AA260" s="1074"/>
      <c r="AE260" s="1137">
        <f>AE237+AE257</f>
        <v>3229555827.293632</v>
      </c>
      <c r="AF260" s="1137">
        <f>AF237+AF257</f>
        <v>2306462730.3009195</v>
      </c>
      <c r="AG260" s="1137">
        <f>AG237+AG257</f>
        <v>116461850.98615821</v>
      </c>
      <c r="AH260" s="1137">
        <f>AH237+AH257</f>
        <v>806631246.00655472</v>
      </c>
      <c r="AI260" s="1074"/>
      <c r="AM260" s="1137">
        <f>AM237+AM257</f>
        <v>3229555827.293632</v>
      </c>
      <c r="AN260" s="1137">
        <f>AN237+AN257</f>
        <v>2306462730.3009195</v>
      </c>
      <c r="AO260" s="1137">
        <f>AO237+AO257</f>
        <v>116461850.98615821</v>
      </c>
      <c r="AP260" s="1137">
        <f>AP237+AP257</f>
        <v>806631246.00655472</v>
      </c>
      <c r="AQ260" s="1074"/>
      <c r="AU260" s="1137">
        <f>AU237+AU257</f>
        <v>3229555827.293632</v>
      </c>
      <c r="AV260" s="1137">
        <f>AV237+AV257</f>
        <v>2306462730.3009195</v>
      </c>
      <c r="AW260" s="1137">
        <f>AW237+AW257</f>
        <v>116461850.98615821</v>
      </c>
      <c r="AX260" s="1137">
        <f>AX237+AX257</f>
        <v>806631246.00655472</v>
      </c>
      <c r="AY260" s="1074"/>
      <c r="BC260" s="1137">
        <f>BC237+BC257</f>
        <v>3229555827.293632</v>
      </c>
      <c r="BD260" s="1137">
        <f>BD237+BD257</f>
        <v>2306462730.3009195</v>
      </c>
      <c r="BE260" s="1137">
        <f>BE237+BE257</f>
        <v>116461850.98615821</v>
      </c>
      <c r="BF260" s="1137">
        <f>BF237+BF257</f>
        <v>806631246.00655472</v>
      </c>
      <c r="BG260" s="1074"/>
      <c r="BK260" s="1137">
        <f>BK237+BK257</f>
        <v>3229555827.293632</v>
      </c>
      <c r="BL260" s="1137">
        <f>BL237+BL257</f>
        <v>2306462730.3009195</v>
      </c>
      <c r="BM260" s="1137">
        <f>BM237+BM257</f>
        <v>116461850.98615821</v>
      </c>
      <c r="BN260" s="1137">
        <f>BN237+BN257</f>
        <v>806631246.00655472</v>
      </c>
      <c r="BO260" s="1074"/>
      <c r="BS260" s="1137">
        <f>BS237+BS257</f>
        <v>3229555827.293632</v>
      </c>
      <c r="BT260" s="1137">
        <f>BT237+BT257</f>
        <v>2306462730.3009195</v>
      </c>
      <c r="BU260" s="1137">
        <f>BU237+BU257</f>
        <v>116461850.98615821</v>
      </c>
      <c r="BV260" s="1137">
        <f>BV237+BV257</f>
        <v>806631246.00655472</v>
      </c>
      <c r="BW260" s="1074"/>
      <c r="CA260" s="1137">
        <f>CA237+CA257</f>
        <v>3229555827.293632</v>
      </c>
      <c r="CB260" s="1137">
        <f>CB237+CB257</f>
        <v>2306462730.3009195</v>
      </c>
      <c r="CC260" s="1137">
        <f>CC237+CC257</f>
        <v>116461850.98615821</v>
      </c>
      <c r="CD260" s="1137">
        <f>CD237+CD257</f>
        <v>806631246.00655472</v>
      </c>
      <c r="CE260" s="1074"/>
      <c r="CI260" s="1137">
        <f>CI237+CI257</f>
        <v>3229555827.293632</v>
      </c>
      <c r="CJ260" s="1137">
        <f>CJ237+CJ257</f>
        <v>2306462730.3009195</v>
      </c>
      <c r="CK260" s="1137">
        <f>CK237+CK257</f>
        <v>116461850.98615821</v>
      </c>
      <c r="CL260" s="1137">
        <f>CL237+CL257</f>
        <v>806631246.00655472</v>
      </c>
      <c r="CM260" s="1074"/>
      <c r="CQ260" s="1137">
        <f>CQ237+CQ257</f>
        <v>3229555827.293632</v>
      </c>
      <c r="CR260" s="1137">
        <f>CR237+CR257</f>
        <v>2306462730.3009195</v>
      </c>
      <c r="CS260" s="1137">
        <f>CS237+CS257</f>
        <v>116461850.98615821</v>
      </c>
      <c r="CT260" s="1137">
        <f>CT237+CT257</f>
        <v>806631246.00655472</v>
      </c>
      <c r="CU260" s="1074"/>
      <c r="CY260" s="1137">
        <f>CY237+CY257</f>
        <v>3229555827.293632</v>
      </c>
      <c r="CZ260" s="1137">
        <f>CZ237+CZ257</f>
        <v>2306462730.3009195</v>
      </c>
      <c r="DA260" s="1137">
        <f>DA237+DA257</f>
        <v>116461850.98615821</v>
      </c>
      <c r="DB260" s="1137">
        <f>DB237+DB257</f>
        <v>806631246.00655472</v>
      </c>
      <c r="DC260" s="1074"/>
      <c r="DG260" s="1137">
        <f>DG237+DG257</f>
        <v>3229555827.293632</v>
      </c>
      <c r="DH260" s="1137">
        <f>DH237+DH257</f>
        <v>2306462730.3009195</v>
      </c>
      <c r="DI260" s="1137">
        <f>DI237+DI257</f>
        <v>116461850.98615821</v>
      </c>
      <c r="DJ260" s="1137">
        <f>DJ237+DJ257</f>
        <v>806631246.00655472</v>
      </c>
      <c r="DK260" s="1074"/>
      <c r="DO260" s="1137">
        <f>DO237+DO257</f>
        <v>3229555827.293632</v>
      </c>
      <c r="DP260" s="1137">
        <f>DP237+DP257</f>
        <v>2306462730.3009195</v>
      </c>
      <c r="DQ260" s="1137">
        <f>DQ237+DQ257</f>
        <v>116461850.98615821</v>
      </c>
      <c r="DR260" s="1137">
        <f>DR237+DR257</f>
        <v>806631246.00655472</v>
      </c>
      <c r="DS260" s="1074"/>
      <c r="DW260" s="1137">
        <f>DW237+DW257</f>
        <v>3229555827.293632</v>
      </c>
      <c r="DX260" s="1137">
        <f>DX237+DX257</f>
        <v>2306462730.3009195</v>
      </c>
      <c r="DY260" s="1137">
        <f>DY237+DY257</f>
        <v>116461850.98615821</v>
      </c>
      <c r="DZ260" s="1137">
        <f>DZ237+DZ257</f>
        <v>806631246.00655472</v>
      </c>
      <c r="EA260" s="1074"/>
      <c r="EE260" s="1137">
        <f>EE237+EE257</f>
        <v>3229555827.293632</v>
      </c>
      <c r="EF260" s="1137">
        <f>EF237+EF257</f>
        <v>2306462730.3009195</v>
      </c>
      <c r="EG260" s="1137">
        <f>EG237+EG257</f>
        <v>116461850.98615821</v>
      </c>
      <c r="EH260" s="1137">
        <f>EH237+EH257</f>
        <v>806631246.00655472</v>
      </c>
      <c r="EI260" s="1074"/>
      <c r="EM260" s="1137">
        <f>EM237+EM257</f>
        <v>3229555827.293632</v>
      </c>
      <c r="EN260" s="1137">
        <f>EN237+EN257</f>
        <v>2306462730.3009195</v>
      </c>
      <c r="EO260" s="1137">
        <f>EO237+EO257</f>
        <v>116461850.98615821</v>
      </c>
      <c r="EP260" s="1137">
        <f>EP237+EP257</f>
        <v>806631246.00655472</v>
      </c>
      <c r="EQ260" s="1074"/>
      <c r="EU260" s="1137">
        <f>EU237+EU257</f>
        <v>3229555827.293632</v>
      </c>
      <c r="EV260" s="1137">
        <f>EV237+EV257</f>
        <v>2306462730.3009195</v>
      </c>
      <c r="EW260" s="1137">
        <f>EW237+EW257</f>
        <v>116461850.98615821</v>
      </c>
      <c r="EX260" s="1137">
        <f>EX237+EX257</f>
        <v>806631246.00655472</v>
      </c>
      <c r="EY260" s="1074"/>
      <c r="FC260" s="1137">
        <f>FC237+FC257</f>
        <v>3229555827.293632</v>
      </c>
      <c r="FD260" s="1137">
        <f>FD237+FD257</f>
        <v>2306462730.3009195</v>
      </c>
      <c r="FE260" s="1137">
        <f>FE237+FE257</f>
        <v>116461850.98615821</v>
      </c>
      <c r="FF260" s="1137">
        <f>FF237+FF257</f>
        <v>806631246.00655472</v>
      </c>
      <c r="FG260" s="1074"/>
      <c r="FK260" s="1137">
        <f>FK237+FK257</f>
        <v>3229555827.293632</v>
      </c>
      <c r="FL260" s="1137">
        <f>FL237+FL257</f>
        <v>2306462730.3009195</v>
      </c>
      <c r="FM260" s="1137">
        <f>FM237+FM257</f>
        <v>116461850.98615821</v>
      </c>
      <c r="FN260" s="1137">
        <f>FN237+FN257</f>
        <v>806631246.00655472</v>
      </c>
      <c r="FO260" s="1074"/>
    </row>
    <row r="261" spans="1:171" ht="16.5" thickBot="1" x14ac:dyDescent="0.3">
      <c r="A261" s="1359"/>
      <c r="B261" s="932"/>
      <c r="C261" s="933"/>
      <c r="D261" s="933"/>
      <c r="E261" s="933"/>
      <c r="F261" s="933"/>
      <c r="G261" s="1002"/>
      <c r="H261" s="1003"/>
      <c r="I261" s="1003"/>
      <c r="J261" s="1433"/>
      <c r="K261" s="904"/>
      <c r="S261" s="1074"/>
      <c r="AA261" s="1074"/>
      <c r="AI261" s="1074"/>
      <c r="AQ261" s="1074"/>
      <c r="AY261" s="1074"/>
      <c r="BG261" s="1074"/>
      <c r="BO261" s="1074"/>
      <c r="BW261" s="1074"/>
      <c r="CE261" s="1074"/>
      <c r="CM261" s="1074"/>
      <c r="CU261" s="1074"/>
      <c r="DC261" s="1074"/>
      <c r="DK261" s="1074"/>
      <c r="DS261" s="1074"/>
      <c r="EA261" s="1074"/>
      <c r="EI261" s="1074"/>
      <c r="EQ261" s="1074"/>
      <c r="EY261" s="1074"/>
      <c r="FG261" s="1074"/>
      <c r="FO261" s="1074"/>
    </row>
    <row r="262" spans="1:171" ht="16.5" thickTop="1" x14ac:dyDescent="0.25">
      <c r="A262" s="1455"/>
      <c r="B262" s="1"/>
      <c r="C262" s="1"/>
      <c r="D262" s="1"/>
      <c r="E262" s="1"/>
      <c r="F262" s="1"/>
      <c r="G262" s="1012"/>
      <c r="H262" s="1012"/>
      <c r="I262" s="1012"/>
      <c r="J262" s="1476"/>
      <c r="K262" s="904"/>
      <c r="S262" s="1074"/>
      <c r="AA262" s="1074"/>
      <c r="AI262" s="1074"/>
      <c r="AQ262" s="1074"/>
      <c r="AY262" s="1074"/>
      <c r="BG262" s="1074"/>
      <c r="BO262" s="1074"/>
      <c r="BW262" s="1074"/>
      <c r="CE262" s="1074"/>
      <c r="CM262" s="1074"/>
      <c r="CU262" s="1074"/>
      <c r="DC262" s="1074"/>
      <c r="DK262" s="1074"/>
      <c r="DS262" s="1074"/>
      <c r="EA262" s="1074"/>
      <c r="EI262" s="1074"/>
      <c r="EQ262" s="1074"/>
      <c r="EY262" s="1074"/>
      <c r="FG262" s="1074"/>
      <c r="FO262" s="1074"/>
    </row>
    <row r="263" spans="1:171" ht="16.5" thickBot="1" x14ac:dyDescent="0.3">
      <c r="A263" s="1477" t="s">
        <v>148</v>
      </c>
      <c r="B263" s="1020"/>
      <c r="C263" s="1020"/>
      <c r="D263" s="1020"/>
      <c r="E263" s="147"/>
      <c r="F263" s="4"/>
      <c r="G263" s="1021"/>
      <c r="H263" s="1021"/>
      <c r="I263" s="1022"/>
      <c r="J263" s="1478"/>
      <c r="K263" s="904"/>
      <c r="S263" s="1074"/>
      <c r="AA263" s="1074"/>
      <c r="AI263" s="1074"/>
      <c r="AQ263" s="1074"/>
      <c r="AY263" s="1074"/>
      <c r="BG263" s="1074"/>
      <c r="BO263" s="1074"/>
      <c r="BW263" s="1074"/>
      <c r="CE263" s="1074"/>
      <c r="CM263" s="1074"/>
      <c r="CU263" s="1074"/>
      <c r="DC263" s="1074"/>
      <c r="DK263" s="1074"/>
      <c r="DS263" s="1074"/>
      <c r="EA263" s="1074"/>
      <c r="EI263" s="1074"/>
      <c r="EQ263" s="1074"/>
      <c r="EY263" s="1074"/>
      <c r="FG263" s="1074"/>
      <c r="FO263" s="1074"/>
    </row>
    <row r="264" spans="1:171" ht="17.25" thickTop="1" thickBot="1" x14ac:dyDescent="0.3">
      <c r="A264" s="1461"/>
      <c r="B264" s="3675" t="s">
        <v>100</v>
      </c>
      <c r="C264" s="325" t="s">
        <v>323</v>
      </c>
      <c r="D264" s="325"/>
      <c r="E264" s="3783" t="s">
        <v>354</v>
      </c>
      <c r="F264" s="3774"/>
      <c r="G264" s="3775" t="s">
        <v>104</v>
      </c>
      <c r="H264" s="3777" t="s">
        <v>105</v>
      </c>
      <c r="I264" s="3753" t="s">
        <v>106</v>
      </c>
      <c r="J264" s="1462"/>
      <c r="K264" s="904"/>
      <c r="S264" s="1074"/>
      <c r="AA264" s="1074"/>
      <c r="AI264" s="1074"/>
      <c r="AQ264" s="1074"/>
      <c r="AY264" s="1074"/>
      <c r="BG264" s="1074"/>
      <c r="BO264" s="1074"/>
      <c r="BW264" s="1074"/>
      <c r="CE264" s="1074"/>
      <c r="CM264" s="1074"/>
      <c r="CU264" s="1074"/>
      <c r="DC264" s="1074"/>
      <c r="DK264" s="1074"/>
      <c r="DS264" s="1074"/>
      <c r="EA264" s="1074"/>
      <c r="EI264" s="1074"/>
      <c r="EQ264" s="1074"/>
      <c r="EY264" s="1074"/>
      <c r="FG264" s="1074"/>
      <c r="FO264" s="1074"/>
    </row>
    <row r="265" spans="1:171" ht="16.5" thickBot="1" x14ac:dyDescent="0.3">
      <c r="A265" s="1339"/>
      <c r="B265" s="3756"/>
      <c r="C265" s="322" t="s">
        <v>272</v>
      </c>
      <c r="D265" s="322" t="s">
        <v>96</v>
      </c>
      <c r="E265" s="3760"/>
      <c r="F265" s="3761"/>
      <c r="G265" s="3763"/>
      <c r="H265" s="3766"/>
      <c r="I265" s="3754"/>
      <c r="J265" s="1340" t="s">
        <v>98</v>
      </c>
      <c r="K265" s="904"/>
      <c r="S265" s="1074"/>
      <c r="AA265" s="1074"/>
      <c r="AI265" s="1074"/>
      <c r="AQ265" s="1074"/>
      <c r="AY265" s="1074"/>
      <c r="BG265" s="1074"/>
      <c r="BO265" s="1074"/>
      <c r="BW265" s="1074"/>
      <c r="CE265" s="1074"/>
      <c r="CM265" s="1074"/>
      <c r="CU265" s="1074"/>
      <c r="DC265" s="1074"/>
      <c r="DK265" s="1074"/>
      <c r="DS265" s="1074"/>
      <c r="EA265" s="1074"/>
      <c r="EI265" s="1074"/>
      <c r="EQ265" s="1074"/>
      <c r="EY265" s="1074"/>
      <c r="FG265" s="1074"/>
      <c r="FO265" s="1074"/>
    </row>
    <row r="266" spans="1:171" ht="16.5" thickBot="1" x14ac:dyDescent="0.3">
      <c r="A266" s="1463"/>
      <c r="B266" s="3757"/>
      <c r="C266" s="311" t="s">
        <v>273</v>
      </c>
      <c r="D266" s="311" t="s">
        <v>252</v>
      </c>
      <c r="E266" s="311" t="s">
        <v>450</v>
      </c>
      <c r="F266" s="311" t="s">
        <v>619</v>
      </c>
      <c r="G266" s="3764"/>
      <c r="H266" s="3767"/>
      <c r="I266" s="3769"/>
      <c r="J266" s="1464" t="s">
        <v>107</v>
      </c>
      <c r="K266" s="904"/>
      <c r="S266" s="1074"/>
      <c r="AA266" s="1074"/>
      <c r="AI266" s="1074"/>
      <c r="AQ266" s="1074"/>
      <c r="AY266" s="1074"/>
      <c r="BG266" s="1074"/>
      <c r="BO266" s="1074"/>
      <c r="BW266" s="1074"/>
      <c r="CE266" s="1074"/>
      <c r="CM266" s="1074"/>
      <c r="CU266" s="1074"/>
      <c r="DC266" s="1074"/>
      <c r="DK266" s="1074"/>
      <c r="DS266" s="1074"/>
      <c r="EA266" s="1074"/>
      <c r="EI266" s="1074"/>
      <c r="EQ266" s="1074"/>
      <c r="EY266" s="1074"/>
      <c r="FG266" s="1074"/>
      <c r="FO266" s="1074"/>
    </row>
    <row r="267" spans="1:171" ht="16.5" thickTop="1" x14ac:dyDescent="0.25">
      <c r="A267" s="1341" t="s">
        <v>149</v>
      </c>
      <c r="B267" s="79"/>
      <c r="C267" s="150"/>
      <c r="D267" s="195"/>
      <c r="E267" s="196"/>
      <c r="F267" s="196"/>
      <c r="G267" s="197"/>
      <c r="H267" s="198"/>
      <c r="I267" s="198"/>
      <c r="J267" s="1427"/>
      <c r="K267" s="904"/>
      <c r="S267" s="1074"/>
      <c r="AA267" s="1074"/>
      <c r="AI267" s="1074"/>
      <c r="AQ267" s="1074"/>
      <c r="AY267" s="1074"/>
      <c r="BG267" s="1074"/>
      <c r="BO267" s="1074"/>
      <c r="BW267" s="1074"/>
      <c r="CE267" s="1074"/>
      <c r="CM267" s="1074"/>
      <c r="CU267" s="1074"/>
      <c r="DC267" s="1074"/>
      <c r="DK267" s="1074"/>
      <c r="DS267" s="1074"/>
      <c r="EA267" s="1074"/>
      <c r="EI267" s="1074"/>
      <c r="EQ267" s="1074"/>
      <c r="EY267" s="1074"/>
      <c r="FG267" s="1074"/>
      <c r="FO267" s="1074"/>
    </row>
    <row r="268" spans="1:171" x14ac:dyDescent="0.25">
      <c r="A268" s="1373"/>
      <c r="B268" s="63" t="s">
        <v>35</v>
      </c>
      <c r="C268" s="1023">
        <v>262</v>
      </c>
      <c r="D268" s="1024">
        <v>409.1</v>
      </c>
      <c r="E268" s="182" t="str">
        <f>'Sch 3A - Taxes'!E16</f>
        <v>DIST</v>
      </c>
      <c r="F268" s="890"/>
      <c r="G268" s="182">
        <f>'Sch 3A - Taxes'!F16</f>
        <v>0</v>
      </c>
      <c r="H268" s="182">
        <f>'Sch 3A - Taxes'!G16</f>
        <v>0</v>
      </c>
      <c r="I268" s="182">
        <f>'Sch 3A - Taxes'!H16</f>
        <v>0</v>
      </c>
      <c r="J268" s="1422">
        <f>'Sch 3A - Taxes'!I16</f>
        <v>0</v>
      </c>
      <c r="K268" s="904">
        <f>IF($E268="DIRECT",0,1)</f>
        <v>1</v>
      </c>
      <c r="O268" s="1117">
        <f>$G268</f>
        <v>0</v>
      </c>
      <c r="P268" s="1118">
        <f>VLOOKUP($E268,O$442:R$453,2,FALSE)*O268*($K268)+IF($G268&lt;&gt;0,($H268/$G268)*O268,0)*(1-$K268)</f>
        <v>0</v>
      </c>
      <c r="Q268" s="1118">
        <f>VLOOKUP($E268,O$442:R$453,3,FALSE)*O268*($K268)+IF($G268&lt;&gt;0,($I268/$G268)*O268,0)*(1-$K268)</f>
        <v>0</v>
      </c>
      <c r="R268" s="1118">
        <f>VLOOKUP($E268,O$442:R$453,4,FALSE)*O268*($K268)+(O268-P268-Q268)*(1-$K268)</f>
        <v>0</v>
      </c>
      <c r="S268" s="1074"/>
      <c r="W268" s="1117">
        <f>$G268</f>
        <v>0</v>
      </c>
      <c r="X268" s="1118">
        <f>VLOOKUP($E268,W$442:Z$453,2,FALSE)*W268*($K268)+IF($G268&lt;&gt;0,($H268/$G268)*W268,0)*(1-$K268)</f>
        <v>0</v>
      </c>
      <c r="Y268" s="1118">
        <f>VLOOKUP($E268,W$442:Z$453,3,FALSE)*W268*($K268)+IF($G268&lt;&gt;0,($I268/$G268)*W268,0)*(1-$K268)</f>
        <v>0</v>
      </c>
      <c r="Z268" s="1118">
        <f>VLOOKUP($E268,W$442:Z$453,4,FALSE)*W268*($K268)+(W268-X268-Y268)*(1-$K268)</f>
        <v>0</v>
      </c>
      <c r="AA268" s="1074"/>
      <c r="AE268" s="1117">
        <f>$G268</f>
        <v>0</v>
      </c>
      <c r="AF268" s="1118">
        <f>VLOOKUP($E268,AE$442:AH$453,2,FALSE)*AE268*($K268)+IF($G268&lt;&gt;0,($H268/$G268)*AE268,0)*(1-$K268)</f>
        <v>0</v>
      </c>
      <c r="AG268" s="1118">
        <f>VLOOKUP($E268,AE$442:AH$453,3,FALSE)*AE268*($K268)+IF($G268&lt;&gt;0,($I268/$G268)*AE268,0)*(1-$K268)</f>
        <v>0</v>
      </c>
      <c r="AH268" s="1118">
        <f>VLOOKUP($E268,AE$442:AH$453,4,FALSE)*AE268*($K268)+(AE268-AF268-AG268)*(1-$K268)</f>
        <v>0</v>
      </c>
      <c r="AI268" s="1074"/>
      <c r="AM268" s="1117">
        <f>$G268</f>
        <v>0</v>
      </c>
      <c r="AN268" s="1118">
        <f>VLOOKUP($E268,AM$442:AP$453,2,FALSE)*AM268*($K268)+IF($G268&lt;&gt;0,($H268/$G268)*AM268,0)*(1-$K268)</f>
        <v>0</v>
      </c>
      <c r="AO268" s="1118">
        <f>VLOOKUP($E268,AM$442:AP$453,3,FALSE)*AM268*($K268)+IF($G268&lt;&gt;0,($I268/$G268)*AM268,0)*(1-$K268)</f>
        <v>0</v>
      </c>
      <c r="AP268" s="1118">
        <f>VLOOKUP($E268,AM$442:AP$453,4,FALSE)*AM268*($K268)+(AM268-AN268-AO268)*(1-$K268)</f>
        <v>0</v>
      </c>
      <c r="AQ268" s="1074"/>
      <c r="AU268" s="1117">
        <f>$G268</f>
        <v>0</v>
      </c>
      <c r="AV268" s="1118">
        <f>VLOOKUP($E268,AU$442:AX$453,2,FALSE)*AU268*($K268)+IF($G268&lt;&gt;0,($H268/$G268)*AU268,0)*(1-$K268)</f>
        <v>0</v>
      </c>
      <c r="AW268" s="1118">
        <f>VLOOKUP($E268,AU$442:AX$453,3,FALSE)*AU268*($K268)+IF($G268&lt;&gt;0,($I268/$G268)*AU268,0)*(1-$K268)</f>
        <v>0</v>
      </c>
      <c r="AX268" s="1118">
        <f>VLOOKUP($E268,AU$442:AX$453,4,FALSE)*AU268*($K268)+(AU268-AV268-AW268)*(1-$K268)</f>
        <v>0</v>
      </c>
      <c r="AY268" s="1074"/>
      <c r="BC268" s="1117">
        <f>$G268</f>
        <v>0</v>
      </c>
      <c r="BD268" s="1118">
        <f>VLOOKUP($E268,BC$442:BF$453,2,FALSE)*BC268*($K268)+IF($G268&lt;&gt;0,($H268/$G268)*BC268,0)*(1-$K268)</f>
        <v>0</v>
      </c>
      <c r="BE268" s="1118">
        <f>VLOOKUP($E268,BC$442:BF$453,3,FALSE)*BC268*($K268)+IF($G268&lt;&gt;0,($I268/$G268)*BC268,0)*(1-$K268)</f>
        <v>0</v>
      </c>
      <c r="BF268" s="1118">
        <f>VLOOKUP($E268,BC$442:BF$453,4,FALSE)*BC268*($K268)+(BC268-BD268-BE268)*(1-$K268)</f>
        <v>0</v>
      </c>
      <c r="BG268" s="1074"/>
      <c r="BK268" s="1117">
        <f>$G268</f>
        <v>0</v>
      </c>
      <c r="BL268" s="1118">
        <f>VLOOKUP($E268,BK$442:BN$453,2,FALSE)*BK268*($K268)+IF($G268&lt;&gt;0,($H268/$G268)*BK268,0)*(1-$K268)</f>
        <v>0</v>
      </c>
      <c r="BM268" s="1118">
        <f>VLOOKUP($E268,BK$442:BN$453,3,FALSE)*BK268*($K268)+IF($G268&lt;&gt;0,($I268/$G268)*BK268,0)*(1-$K268)</f>
        <v>0</v>
      </c>
      <c r="BN268" s="1118">
        <f>VLOOKUP($E268,BK$442:BN$453,4,FALSE)*BK268*($K268)+(BK268-BL268-BM268)*(1-$K268)</f>
        <v>0</v>
      </c>
      <c r="BO268" s="1074"/>
      <c r="BS268" s="1117">
        <f>$G268</f>
        <v>0</v>
      </c>
      <c r="BT268" s="1118">
        <f>VLOOKUP($E268,BS$442:BV$453,2,FALSE)*BS268*($K268)+IF($G268&lt;&gt;0,($H268/$G268)*BS268,0)*(1-$K268)</f>
        <v>0</v>
      </c>
      <c r="BU268" s="1118">
        <f>VLOOKUP($E268,BS$442:BV$453,3,FALSE)*BS268*($K268)+IF($G268&lt;&gt;0,($I268/$G268)*BS268,0)*(1-$K268)</f>
        <v>0</v>
      </c>
      <c r="BV268" s="1118">
        <f>VLOOKUP($E268,BS$442:BV$453,4,FALSE)*BS268*($K268)+(BS268-BT268-BU268)*(1-$K268)</f>
        <v>0</v>
      </c>
      <c r="BW268" s="1074"/>
      <c r="CA268" s="1117">
        <f>$G268</f>
        <v>0</v>
      </c>
      <c r="CB268" s="1118">
        <f>VLOOKUP($E268,CA$442:CD$453,2,FALSE)*CA268*($K268)+IF($G268&lt;&gt;0,($H268/$G268)*CA268,0)*(1-$K268)</f>
        <v>0</v>
      </c>
      <c r="CC268" s="1118">
        <f>VLOOKUP($E268,CA$442:CD$453,3,FALSE)*CA268*($K268)+IF($G268&lt;&gt;0,($I268/$G268)*CA268,0)*(1-$K268)</f>
        <v>0</v>
      </c>
      <c r="CD268" s="1118">
        <f>VLOOKUP($E268,CA$442:CD$453,4,FALSE)*CA268*($K268)+(CA268-CB268-CC268)*(1-$K268)</f>
        <v>0</v>
      </c>
      <c r="CE268" s="1074"/>
      <c r="CI268" s="1117">
        <f>$G268</f>
        <v>0</v>
      </c>
      <c r="CJ268" s="1118">
        <f>VLOOKUP($E268,CI$442:CL$453,2,FALSE)*CI268*($K268)+IF($G268&lt;&gt;0,($H268/$G268)*CI268,0)*(1-$K268)</f>
        <v>0</v>
      </c>
      <c r="CK268" s="1118">
        <f>VLOOKUP($E268,CI$442:CL$453,3,FALSE)*CI268*($K268)+IF($G268&lt;&gt;0,($I268/$G268)*CI268,0)*(1-$K268)</f>
        <v>0</v>
      </c>
      <c r="CL268" s="1118">
        <f>VLOOKUP($E268,CI$442:CL$453,4,FALSE)*CI268*($K268)+(CI268-CJ268-CK268)*(1-$K268)</f>
        <v>0</v>
      </c>
      <c r="CM268" s="1074"/>
      <c r="CQ268" s="1117">
        <f>$G268</f>
        <v>0</v>
      </c>
      <c r="CR268" s="1118">
        <f>VLOOKUP($E268,CQ$442:CT$453,2,FALSE)*CQ268*($K268)+IF($G268&lt;&gt;0,($H268/$G268)*CQ268,0)*(1-$K268)</f>
        <v>0</v>
      </c>
      <c r="CS268" s="1118">
        <f>VLOOKUP($E268,CQ$442:CT$453,3,FALSE)*CQ268*($K268)+IF($G268&lt;&gt;0,($I268/$G268)*CQ268,0)*(1-$K268)</f>
        <v>0</v>
      </c>
      <c r="CT268" s="1118">
        <f>VLOOKUP($E268,CQ$442:CT$453,4,FALSE)*CQ268*($K268)+(CQ268-CR268-CS268)*(1-$K268)</f>
        <v>0</v>
      </c>
      <c r="CU268" s="1074"/>
      <c r="CY268" s="1117">
        <f>$G268</f>
        <v>0</v>
      </c>
      <c r="CZ268" s="1118">
        <f>VLOOKUP($E268,CY$442:DB$453,2,FALSE)*CY268*($K268)+IF($G268&lt;&gt;0,($H268/$G268)*CY268,0)*(1-$K268)</f>
        <v>0</v>
      </c>
      <c r="DA268" s="1118">
        <f>VLOOKUP($E268,CY$442:DB$453,3,FALSE)*CY268*($K268)+IF($G268&lt;&gt;0,($I268/$G268)*CY268,0)*(1-$K268)</f>
        <v>0</v>
      </c>
      <c r="DB268" s="1118">
        <f>VLOOKUP($E268,CY$442:DB$453,4,FALSE)*CY268*($K268)+(CY268-CZ268-DA268)*(1-$K268)</f>
        <v>0</v>
      </c>
      <c r="DC268" s="1074"/>
      <c r="DG268" s="1117">
        <f>$G268</f>
        <v>0</v>
      </c>
      <c r="DH268" s="1118">
        <f>VLOOKUP($E268,DG$442:DJ$453,2,FALSE)*DG268*($K268)+IF($G268&lt;&gt;0,($H268/$G268)*DG268,0)*(1-$K268)</f>
        <v>0</v>
      </c>
      <c r="DI268" s="1118">
        <f>VLOOKUP($E268,DG$442:DJ$453,3,FALSE)*DG268*($K268)+IF($G268&lt;&gt;0,($I268/$G268)*DG268,0)*(1-$K268)</f>
        <v>0</v>
      </c>
      <c r="DJ268" s="1118">
        <f>VLOOKUP($E268,DG$442:DJ$453,4,FALSE)*DG268*($K268)+(DG268-DH268-DI268)*(1-$K268)</f>
        <v>0</v>
      </c>
      <c r="DK268" s="1074"/>
      <c r="DO268" s="1117">
        <f>$G268</f>
        <v>0</v>
      </c>
      <c r="DP268" s="1118">
        <f>VLOOKUP($E268,DO$442:DR$453,2,FALSE)*DO268*($K268)+IF($G268&lt;&gt;0,($H268/$G268)*DO268,0)*(1-$K268)</f>
        <v>0</v>
      </c>
      <c r="DQ268" s="1118">
        <f>VLOOKUP($E268,DO$442:DR$453,3,FALSE)*DO268*($K268)+IF($G268&lt;&gt;0,($I268/$G268)*DO268,0)*(1-$K268)</f>
        <v>0</v>
      </c>
      <c r="DR268" s="1118">
        <f>VLOOKUP($E268,DO$442:DR$453,4,FALSE)*DO268*($K268)+(DO268-DP268-DQ268)*(1-$K268)</f>
        <v>0</v>
      </c>
      <c r="DS268" s="1074"/>
      <c r="DW268" s="1117">
        <f>$G268</f>
        <v>0</v>
      </c>
      <c r="DX268" s="1118">
        <f>VLOOKUP($E268,DW$442:DZ$453,2,FALSE)*DW268*($K268)+IF($G268&lt;&gt;0,($H268/$G268)*DW268,0)*(1-$K268)</f>
        <v>0</v>
      </c>
      <c r="DY268" s="1118">
        <f>VLOOKUP($E268,DW$442:DZ$453,3,FALSE)*DW268*($K268)+IF($G268&lt;&gt;0,($I268/$G268)*DW268,0)*(1-$K268)</f>
        <v>0</v>
      </c>
      <c r="DZ268" s="1118">
        <f>VLOOKUP($E268,DW$442:DZ$453,4,FALSE)*DW268*($K268)+(DW268-DX268-DY268)*(1-$K268)</f>
        <v>0</v>
      </c>
      <c r="EA268" s="1074"/>
      <c r="EE268" s="1117">
        <f>$G268</f>
        <v>0</v>
      </c>
      <c r="EF268" s="1118">
        <f>VLOOKUP($E268,EE$442:EH$453,2,FALSE)*EE268*($K268)+IF($G268&lt;&gt;0,($H268/$G268)*EE268,0)*(1-$K268)</f>
        <v>0</v>
      </c>
      <c r="EG268" s="1118">
        <f>VLOOKUP($E268,EE$442:EH$453,3,FALSE)*EE268*($K268)+IF($G268&lt;&gt;0,($I268/$G268)*EE268,0)*(1-$K268)</f>
        <v>0</v>
      </c>
      <c r="EH268" s="1118">
        <f>VLOOKUP($E268,EE$442:EH$453,4,FALSE)*EE268*($K268)+(EE268-EF268-EG268)*(1-$K268)</f>
        <v>0</v>
      </c>
      <c r="EI268" s="1074"/>
      <c r="EM268" s="1117">
        <f>$G268</f>
        <v>0</v>
      </c>
      <c r="EN268" s="1118">
        <f>VLOOKUP($E268,EM$442:EP$453,2,FALSE)*EM268*($K268)+IF($G268&lt;&gt;0,($H268/$G268)*EM268,0)*(1-$K268)</f>
        <v>0</v>
      </c>
      <c r="EO268" s="1118">
        <f>VLOOKUP($E268,EM$442:EP$453,3,FALSE)*EM268*($K268)+IF($G268&lt;&gt;0,($I268/$G268)*EM268,0)*(1-$K268)</f>
        <v>0</v>
      </c>
      <c r="EP268" s="1118">
        <f>VLOOKUP($E268,EM$442:EP$453,4,FALSE)*EM268*($K268)+(EM268-EN268-EO268)*(1-$K268)</f>
        <v>0</v>
      </c>
      <c r="EQ268" s="1074"/>
      <c r="EU268" s="1117">
        <f>$G268</f>
        <v>0</v>
      </c>
      <c r="EV268" s="1118">
        <f>VLOOKUP($E268,EU$442:EX$453,2,FALSE)*EU268*($K268)+IF($G268&lt;&gt;0,($H268/$G268)*EU268,0)*(1-$K268)</f>
        <v>0</v>
      </c>
      <c r="EW268" s="1118">
        <f>VLOOKUP($E268,EU$442:EX$453,3,FALSE)*EU268*($K268)+IF($G268&lt;&gt;0,($I268/$G268)*EU268,0)*(1-$K268)</f>
        <v>0</v>
      </c>
      <c r="EX268" s="1118">
        <f>VLOOKUP($E268,EU$442:EX$453,4,FALSE)*EU268*($K268)+(EU268-EV268-EW268)*(1-$K268)</f>
        <v>0</v>
      </c>
      <c r="EY268" s="1074"/>
      <c r="FC268" s="1117">
        <f>$G268</f>
        <v>0</v>
      </c>
      <c r="FD268" s="1118">
        <f>VLOOKUP($E268,FC$442:FF$453,2,FALSE)*FC268*($K268)+IF($G268&lt;&gt;0,($H268/$G268)*FC268,0)*(1-$K268)</f>
        <v>0</v>
      </c>
      <c r="FE268" s="1118">
        <f>VLOOKUP($E268,FC$442:FF$453,3,FALSE)*FC268*($K268)+IF($G268&lt;&gt;0,($I268/$G268)*FC268,0)*(1-$K268)</f>
        <v>0</v>
      </c>
      <c r="FF268" s="1118">
        <f>VLOOKUP($E268,FC$442:FF$453,4,FALSE)*FC268*($K268)+(FC268-FD268-FE268)*(1-$K268)</f>
        <v>0</v>
      </c>
      <c r="FG268" s="1074"/>
      <c r="FK268" s="1117">
        <f>$G268</f>
        <v>0</v>
      </c>
      <c r="FL268" s="1118">
        <f>VLOOKUP($E268,FK$442:FN$453,2,FALSE)*FK268*($K268)+IF($G268&lt;&gt;0,($H268/$G268)*FK268,0)*(1-$K268)</f>
        <v>0</v>
      </c>
      <c r="FM268" s="1118">
        <f>VLOOKUP($E268,FK$442:FN$453,3,FALSE)*FK268*($K268)+IF($G268&lt;&gt;0,($I268/$G268)*FK268,0)*(1-$K268)</f>
        <v>0</v>
      </c>
      <c r="FN268" s="1118">
        <f>VLOOKUP($E268,FK$442:FN$453,4,FALSE)*FK268*($K268)+(FK268-FL268-FM268)*(1-$K268)</f>
        <v>0</v>
      </c>
      <c r="FO268" s="1074"/>
    </row>
    <row r="269" spans="1:171" x14ac:dyDescent="0.25">
      <c r="A269" s="1373"/>
      <c r="B269" s="63" t="s">
        <v>150</v>
      </c>
      <c r="C269" s="1023">
        <v>262</v>
      </c>
      <c r="D269" s="1024">
        <v>408.1</v>
      </c>
      <c r="E269" s="182" t="str">
        <f>'Sch 3A - Taxes'!E17</f>
        <v>LABOR</v>
      </c>
      <c r="F269" s="890"/>
      <c r="G269" s="182">
        <f>'Sch 3A - Taxes'!F17</f>
        <v>19019048.084836535</v>
      </c>
      <c r="H269" s="182">
        <f>'Sch 3A - Taxes'!G17</f>
        <v>7928154.892926028</v>
      </c>
      <c r="I269" s="182">
        <f>'Sch 3A - Taxes'!H17</f>
        <v>0</v>
      </c>
      <c r="J269" s="1422">
        <f>'Sch 3A - Taxes'!I17</f>
        <v>11090893.191910507</v>
      </c>
      <c r="K269" s="904">
        <f>IF($E269="DIRECT",0,1)</f>
        <v>1</v>
      </c>
      <c r="O269" s="1117">
        <f>$G269</f>
        <v>19019048.084836535</v>
      </c>
      <c r="P269" s="1118">
        <f>VLOOKUP($E269,O$442:R$453,2,FALSE)*O269*($K269)+IF($G269&lt;&gt;0,($H269/$G269)*O269,0)*(1-$K269)</f>
        <v>7928154.892926028</v>
      </c>
      <c r="Q269" s="1118">
        <f>VLOOKUP($E269,O$442:R$453,3,FALSE)*O269*($K269)+IF($G269&lt;&gt;0,($I269/$G269)*O269,0)*(1-$K269)</f>
        <v>513692.31276444771</v>
      </c>
      <c r="R269" s="1118">
        <f>VLOOKUP($E269,O$442:R$453,4,FALSE)*O269*($K269)+(O269-P269-Q269)*(1-$K269)</f>
        <v>10577200.879146058</v>
      </c>
      <c r="S269" s="1074"/>
      <c r="W269" s="1117">
        <f>$G269</f>
        <v>19019048.084836535</v>
      </c>
      <c r="X269" s="1118">
        <f>VLOOKUP($E269,W$442:Z$453,2,FALSE)*W269*($K269)+IF($G269&lt;&gt;0,($H269/$G269)*W269,0)*(1-$K269)</f>
        <v>7928154.892926028</v>
      </c>
      <c r="Y269" s="1118">
        <f>VLOOKUP($E269,W$442:Z$453,3,FALSE)*W269*($K269)+IF($G269&lt;&gt;0,($I269/$G269)*W269,0)*(1-$K269)</f>
        <v>513692.31276444771</v>
      </c>
      <c r="Z269" s="1118">
        <f>VLOOKUP($E269,W$442:Z$453,4,FALSE)*W269*($K269)+(W269-X269-Y269)*(1-$K269)</f>
        <v>10577200.879146058</v>
      </c>
      <c r="AA269" s="1074"/>
      <c r="AE269" s="1117">
        <f>$G269</f>
        <v>19019048.084836535</v>
      </c>
      <c r="AF269" s="1118">
        <f>VLOOKUP($E269,AE$442:AH$453,2,FALSE)*AE269*($K269)+IF($G269&lt;&gt;0,($H269/$G269)*AE269,0)*(1-$K269)</f>
        <v>7928154.892926028</v>
      </c>
      <c r="AG269" s="1118">
        <f>VLOOKUP($E269,AE$442:AH$453,3,FALSE)*AE269*($K269)+IF($G269&lt;&gt;0,($I269/$G269)*AE269,0)*(1-$K269)</f>
        <v>513692.31276444771</v>
      </c>
      <c r="AH269" s="1118">
        <f>VLOOKUP($E269,AE$442:AH$453,4,FALSE)*AE269*($K269)+(AE269-AF269-AG269)*(1-$K269)</f>
        <v>10577200.879146058</v>
      </c>
      <c r="AI269" s="1074"/>
      <c r="AM269" s="1117">
        <f>$G269</f>
        <v>19019048.084836535</v>
      </c>
      <c r="AN269" s="1118">
        <f>VLOOKUP($E269,AM$442:AP$453,2,FALSE)*AM269*($K269)+IF($G269&lt;&gt;0,($H269/$G269)*AM269,0)*(1-$K269)</f>
        <v>7928154.892926028</v>
      </c>
      <c r="AO269" s="1118">
        <f>VLOOKUP($E269,AM$442:AP$453,3,FALSE)*AM269*($K269)+IF($G269&lt;&gt;0,($I269/$G269)*AM269,0)*(1-$K269)</f>
        <v>513692.31276444771</v>
      </c>
      <c r="AP269" s="1118">
        <f>VLOOKUP($E269,AM$442:AP$453,4,FALSE)*AM269*($K269)+(AM269-AN269-AO269)*(1-$K269)</f>
        <v>10577200.879146058</v>
      </c>
      <c r="AQ269" s="1074"/>
      <c r="AU269" s="1117">
        <f>$G269</f>
        <v>19019048.084836535</v>
      </c>
      <c r="AV269" s="1118">
        <f>VLOOKUP($E269,AU$442:AX$453,2,FALSE)*AU269*($K269)+IF($G269&lt;&gt;0,($H269/$G269)*AU269,0)*(1-$K269)</f>
        <v>7928154.892926028</v>
      </c>
      <c r="AW269" s="1118">
        <f>VLOOKUP($E269,AU$442:AX$453,3,FALSE)*AU269*($K269)+IF($G269&lt;&gt;0,($I269/$G269)*AU269,0)*(1-$K269)</f>
        <v>513692.31276444771</v>
      </c>
      <c r="AX269" s="1118">
        <f>VLOOKUP($E269,AU$442:AX$453,4,FALSE)*AU269*($K269)+(AU269-AV269-AW269)*(1-$K269)</f>
        <v>10577200.879146058</v>
      </c>
      <c r="AY269" s="1074"/>
      <c r="BC269" s="1117">
        <f>$G269</f>
        <v>19019048.084836535</v>
      </c>
      <c r="BD269" s="1118">
        <f>VLOOKUP($E269,BC$442:BF$453,2,FALSE)*BC269*($K269)+IF($G269&lt;&gt;0,($H269/$G269)*BC269,0)*(1-$K269)</f>
        <v>7928154.892926028</v>
      </c>
      <c r="BE269" s="1118">
        <f>VLOOKUP($E269,BC$442:BF$453,3,FALSE)*BC269*($K269)+IF($G269&lt;&gt;0,($I269/$G269)*BC269,0)*(1-$K269)</f>
        <v>513692.31276444771</v>
      </c>
      <c r="BF269" s="1118">
        <f>VLOOKUP($E269,BC$442:BF$453,4,FALSE)*BC269*($K269)+(BC269-BD269-BE269)*(1-$K269)</f>
        <v>10577200.879146058</v>
      </c>
      <c r="BG269" s="1074"/>
      <c r="BK269" s="1117">
        <f>$G269</f>
        <v>19019048.084836535</v>
      </c>
      <c r="BL269" s="1118">
        <f>VLOOKUP($E269,BK$442:BN$453,2,FALSE)*BK269*($K269)+IF($G269&lt;&gt;0,($H269/$G269)*BK269,0)*(1-$K269)</f>
        <v>7928154.892926028</v>
      </c>
      <c r="BM269" s="1118">
        <f>VLOOKUP($E269,BK$442:BN$453,3,FALSE)*BK269*($K269)+IF($G269&lt;&gt;0,($I269/$G269)*BK269,0)*(1-$K269)</f>
        <v>513692.31276444771</v>
      </c>
      <c r="BN269" s="1118">
        <f>VLOOKUP($E269,BK$442:BN$453,4,FALSE)*BK269*($K269)+(BK269-BL269-BM269)*(1-$K269)</f>
        <v>10577200.879146058</v>
      </c>
      <c r="BO269" s="1074"/>
      <c r="BS269" s="1117">
        <f>$G269</f>
        <v>19019048.084836535</v>
      </c>
      <c r="BT269" s="1118">
        <f>VLOOKUP($E269,BS$442:BV$453,2,FALSE)*BS269*($K269)+IF($G269&lt;&gt;0,($H269/$G269)*BS269,0)*(1-$K269)</f>
        <v>7928154.892926028</v>
      </c>
      <c r="BU269" s="1118">
        <f>VLOOKUP($E269,BS$442:BV$453,3,FALSE)*BS269*($K269)+IF($G269&lt;&gt;0,($I269/$G269)*BS269,0)*(1-$K269)</f>
        <v>513692.31276444771</v>
      </c>
      <c r="BV269" s="1118">
        <f>VLOOKUP($E269,BS$442:BV$453,4,FALSE)*BS269*($K269)+(BS269-BT269-BU269)*(1-$K269)</f>
        <v>10577200.879146058</v>
      </c>
      <c r="BW269" s="1074"/>
      <c r="CA269" s="1117">
        <f>$G269</f>
        <v>19019048.084836535</v>
      </c>
      <c r="CB269" s="1118">
        <f>VLOOKUP($E269,CA$442:CD$453,2,FALSE)*CA269*($K269)+IF($G269&lt;&gt;0,($H269/$G269)*CA269,0)*(1-$K269)</f>
        <v>7928154.892926028</v>
      </c>
      <c r="CC269" s="1118">
        <f>VLOOKUP($E269,CA$442:CD$453,3,FALSE)*CA269*($K269)+IF($G269&lt;&gt;0,($I269/$G269)*CA269,0)*(1-$K269)</f>
        <v>513692.31276444771</v>
      </c>
      <c r="CD269" s="1118">
        <f>VLOOKUP($E269,CA$442:CD$453,4,FALSE)*CA269*($K269)+(CA269-CB269-CC269)*(1-$K269)</f>
        <v>10577200.879146058</v>
      </c>
      <c r="CE269" s="1074"/>
      <c r="CI269" s="1117">
        <f>$G269</f>
        <v>19019048.084836535</v>
      </c>
      <c r="CJ269" s="1118">
        <f>VLOOKUP($E269,CI$442:CL$453,2,FALSE)*CI269*($K269)+IF($G269&lt;&gt;0,($H269/$G269)*CI269,0)*(1-$K269)</f>
        <v>7928154.892926028</v>
      </c>
      <c r="CK269" s="1118">
        <f>VLOOKUP($E269,CI$442:CL$453,3,FALSE)*CI269*($K269)+IF($G269&lt;&gt;0,($I269/$G269)*CI269,0)*(1-$K269)</f>
        <v>513692.31276444771</v>
      </c>
      <c r="CL269" s="1118">
        <f>VLOOKUP($E269,CI$442:CL$453,4,FALSE)*CI269*($K269)+(CI269-CJ269-CK269)*(1-$K269)</f>
        <v>10577200.879146058</v>
      </c>
      <c r="CM269" s="1074"/>
      <c r="CQ269" s="1117">
        <f>$G269</f>
        <v>19019048.084836535</v>
      </c>
      <c r="CR269" s="1118">
        <f>VLOOKUP($E269,CQ$442:CT$453,2,FALSE)*CQ269*($K269)+IF($G269&lt;&gt;0,($H269/$G269)*CQ269,0)*(1-$K269)</f>
        <v>7928154.892926028</v>
      </c>
      <c r="CS269" s="1118">
        <f>VLOOKUP($E269,CQ$442:CT$453,3,FALSE)*CQ269*($K269)+IF($G269&lt;&gt;0,($I269/$G269)*CQ269,0)*(1-$K269)</f>
        <v>513692.31276444771</v>
      </c>
      <c r="CT269" s="1118">
        <f>VLOOKUP($E269,CQ$442:CT$453,4,FALSE)*CQ269*($K269)+(CQ269-CR269-CS269)*(1-$K269)</f>
        <v>10577200.879146058</v>
      </c>
      <c r="CU269" s="1074"/>
      <c r="CY269" s="1117">
        <f>$G269</f>
        <v>19019048.084836535</v>
      </c>
      <c r="CZ269" s="1118">
        <f>VLOOKUP($E269,CY$442:DB$453,2,FALSE)*CY269*($K269)+IF($G269&lt;&gt;0,($H269/$G269)*CY269,0)*(1-$K269)</f>
        <v>7928154.892926028</v>
      </c>
      <c r="DA269" s="1118">
        <f>VLOOKUP($E269,CY$442:DB$453,3,FALSE)*CY269*($K269)+IF($G269&lt;&gt;0,($I269/$G269)*CY269,0)*(1-$K269)</f>
        <v>513692.31276444771</v>
      </c>
      <c r="DB269" s="1118">
        <f>VLOOKUP($E269,CY$442:DB$453,4,FALSE)*CY269*($K269)+(CY269-CZ269-DA269)*(1-$K269)</f>
        <v>10577200.879146058</v>
      </c>
      <c r="DC269" s="1074"/>
      <c r="DG269" s="1117">
        <f>$G269</f>
        <v>19019048.084836535</v>
      </c>
      <c r="DH269" s="1118">
        <f>VLOOKUP($E269,DG$442:DJ$453,2,FALSE)*DG269*($K269)+IF($G269&lt;&gt;0,($H269/$G269)*DG269,0)*(1-$K269)</f>
        <v>7928154.892926028</v>
      </c>
      <c r="DI269" s="1118">
        <f>VLOOKUP($E269,DG$442:DJ$453,3,FALSE)*DG269*($K269)+IF($G269&lt;&gt;0,($I269/$G269)*DG269,0)*(1-$K269)</f>
        <v>513692.31276444771</v>
      </c>
      <c r="DJ269" s="1118">
        <f>VLOOKUP($E269,DG$442:DJ$453,4,FALSE)*DG269*($K269)+(DG269-DH269-DI269)*(1-$K269)</f>
        <v>10577200.879146058</v>
      </c>
      <c r="DK269" s="1074"/>
      <c r="DO269" s="1117">
        <f>$G269</f>
        <v>19019048.084836535</v>
      </c>
      <c r="DP269" s="1118">
        <f>VLOOKUP($E269,DO$442:DR$453,2,FALSE)*DO269*($K269)+IF($G269&lt;&gt;0,($H269/$G269)*DO269,0)*(1-$K269)</f>
        <v>7928154.892926028</v>
      </c>
      <c r="DQ269" s="1118">
        <f>VLOOKUP($E269,DO$442:DR$453,3,FALSE)*DO269*($K269)+IF($G269&lt;&gt;0,($I269/$G269)*DO269,0)*(1-$K269)</f>
        <v>513692.31276444771</v>
      </c>
      <c r="DR269" s="1118">
        <f>VLOOKUP($E269,DO$442:DR$453,4,FALSE)*DO269*($K269)+(DO269-DP269-DQ269)*(1-$K269)</f>
        <v>10577200.879146058</v>
      </c>
      <c r="DS269" s="1074"/>
      <c r="DW269" s="1117">
        <f>$G269</f>
        <v>19019048.084836535</v>
      </c>
      <c r="DX269" s="1118">
        <f>VLOOKUP($E269,DW$442:DZ$453,2,FALSE)*DW269*($K269)+IF($G269&lt;&gt;0,($H269/$G269)*DW269,0)*(1-$K269)</f>
        <v>7928154.892926028</v>
      </c>
      <c r="DY269" s="1118">
        <f>VLOOKUP($E269,DW$442:DZ$453,3,FALSE)*DW269*($K269)+IF($G269&lt;&gt;0,($I269/$G269)*DW269,0)*(1-$K269)</f>
        <v>513692.31276444771</v>
      </c>
      <c r="DZ269" s="1118">
        <f>VLOOKUP($E269,DW$442:DZ$453,4,FALSE)*DW269*($K269)+(DW269-DX269-DY269)*(1-$K269)</f>
        <v>10577200.879146058</v>
      </c>
      <c r="EA269" s="1074"/>
      <c r="EE269" s="1117">
        <f>$G269</f>
        <v>19019048.084836535</v>
      </c>
      <c r="EF269" s="1118">
        <f>VLOOKUP($E269,EE$442:EH$453,2,FALSE)*EE269*($K269)+IF($G269&lt;&gt;0,($H269/$G269)*EE269,0)*(1-$K269)</f>
        <v>7928154.892926028</v>
      </c>
      <c r="EG269" s="1118">
        <f>VLOOKUP($E269,EE$442:EH$453,3,FALSE)*EE269*($K269)+IF($G269&lt;&gt;0,($I269/$G269)*EE269,0)*(1-$K269)</f>
        <v>513692.31276444771</v>
      </c>
      <c r="EH269" s="1118">
        <f>VLOOKUP($E269,EE$442:EH$453,4,FALSE)*EE269*($K269)+(EE269-EF269-EG269)*(1-$K269)</f>
        <v>10577200.879146058</v>
      </c>
      <c r="EI269" s="1074"/>
      <c r="EM269" s="1117">
        <f>$G269</f>
        <v>19019048.084836535</v>
      </c>
      <c r="EN269" s="1118">
        <f>VLOOKUP($E269,EM$442:EP$453,2,FALSE)*EM269*($K269)+IF($G269&lt;&gt;0,($H269/$G269)*EM269,0)*(1-$K269)</f>
        <v>7928154.892926028</v>
      </c>
      <c r="EO269" s="1118">
        <f>VLOOKUP($E269,EM$442:EP$453,3,FALSE)*EM269*($K269)+IF($G269&lt;&gt;0,($I269/$G269)*EM269,0)*(1-$K269)</f>
        <v>513692.31276444771</v>
      </c>
      <c r="EP269" s="1118">
        <f>VLOOKUP($E269,EM$442:EP$453,4,FALSE)*EM269*($K269)+(EM269-EN269-EO269)*(1-$K269)</f>
        <v>10577200.879146058</v>
      </c>
      <c r="EQ269" s="1074"/>
      <c r="EU269" s="1117">
        <f>$G269</f>
        <v>19019048.084836535</v>
      </c>
      <c r="EV269" s="1118">
        <f>VLOOKUP($E269,EU$442:EX$453,2,FALSE)*EU269*($K269)+IF($G269&lt;&gt;0,($H269/$G269)*EU269,0)*(1-$K269)</f>
        <v>7928154.892926028</v>
      </c>
      <c r="EW269" s="1118">
        <f>VLOOKUP($E269,EU$442:EX$453,3,FALSE)*EU269*($K269)+IF($G269&lt;&gt;0,($I269/$G269)*EU269,0)*(1-$K269)</f>
        <v>513692.31276444771</v>
      </c>
      <c r="EX269" s="1118">
        <f>VLOOKUP($E269,EU$442:EX$453,4,FALSE)*EU269*($K269)+(EU269-EV269-EW269)*(1-$K269)</f>
        <v>10577200.879146058</v>
      </c>
      <c r="EY269" s="1074"/>
      <c r="FC269" s="1117">
        <f>$G269</f>
        <v>19019048.084836535</v>
      </c>
      <c r="FD269" s="1118">
        <f>VLOOKUP($E269,FC$442:FF$453,2,FALSE)*FC269*($K269)+IF($G269&lt;&gt;0,($H269/$G269)*FC269,0)*(1-$K269)</f>
        <v>7928154.892926028</v>
      </c>
      <c r="FE269" s="1118">
        <f>VLOOKUP($E269,FC$442:FF$453,3,FALSE)*FC269*($K269)+IF($G269&lt;&gt;0,($I269/$G269)*FC269,0)*(1-$K269)</f>
        <v>513692.31276444771</v>
      </c>
      <c r="FF269" s="1118">
        <f>VLOOKUP($E269,FC$442:FF$453,4,FALSE)*FC269*($K269)+(FC269-FD269-FE269)*(1-$K269)</f>
        <v>10577200.879146058</v>
      </c>
      <c r="FG269" s="1074"/>
      <c r="FK269" s="1117">
        <f>$G269</f>
        <v>19019048.084836535</v>
      </c>
      <c r="FL269" s="1118">
        <f>VLOOKUP($E269,FK$442:FN$453,2,FALSE)*FK269*($K269)+IF($G269&lt;&gt;0,($H269/$G269)*FK269,0)*(1-$K269)</f>
        <v>7928154.892926028</v>
      </c>
      <c r="FM269" s="1118">
        <f>VLOOKUP($E269,FK$442:FN$453,3,FALSE)*FK269*($K269)+IF($G269&lt;&gt;0,($I269/$G269)*FK269,0)*(1-$K269)</f>
        <v>513692.31276444771</v>
      </c>
      <c r="FN269" s="1118">
        <f>VLOOKUP($E269,FK$442:FN$453,4,FALSE)*FK269*($K269)+(FK269-FL269-FM269)*(1-$K269)</f>
        <v>10577200.879146058</v>
      </c>
      <c r="FO269" s="1074"/>
    </row>
    <row r="270" spans="1:171" ht="16.5" thickBot="1" x14ac:dyDescent="0.3">
      <c r="A270" s="1373"/>
      <c r="B270" s="63" t="s">
        <v>151</v>
      </c>
      <c r="C270" s="1023">
        <v>262</v>
      </c>
      <c r="D270" s="1024">
        <v>408.1</v>
      </c>
      <c r="E270" s="182" t="str">
        <f>'Sch 3A - Taxes'!E18</f>
        <v>DIST</v>
      </c>
      <c r="F270" s="890"/>
      <c r="G270" s="182">
        <f>'Sch 3A - Taxes'!F18</f>
        <v>0</v>
      </c>
      <c r="H270" s="182">
        <f>'Sch 3A - Taxes'!G18</f>
        <v>0</v>
      </c>
      <c r="I270" s="182">
        <f>'Sch 3A - Taxes'!H18</f>
        <v>0</v>
      </c>
      <c r="J270" s="1422">
        <f>'Sch 3A - Taxes'!I18</f>
        <v>0</v>
      </c>
      <c r="K270" s="904">
        <f>IF($E270="DIRECT",0,1)</f>
        <v>1</v>
      </c>
      <c r="O270" s="1117">
        <f>$G270</f>
        <v>0</v>
      </c>
      <c r="P270" s="1118">
        <f>VLOOKUP($E270,O$442:R$453,2,FALSE)*O270*($K270)+IF($G270&lt;&gt;0,($H270/$G270)*O270,0)*(1-$K270)</f>
        <v>0</v>
      </c>
      <c r="Q270" s="1118">
        <f>VLOOKUP($E270,O$442:R$453,3,FALSE)*O270*($K270)+IF($G270&lt;&gt;0,($I270/$G270)*O270,0)*(1-$K270)</f>
        <v>0</v>
      </c>
      <c r="R270" s="1118">
        <f>VLOOKUP($E270,O$442:R$453,4,FALSE)*O270*($K270)+(O270-P270-Q270)*(1-$K270)</f>
        <v>0</v>
      </c>
      <c r="S270" s="1074"/>
      <c r="W270" s="1117">
        <f>$G270</f>
        <v>0</v>
      </c>
      <c r="X270" s="1118">
        <f>VLOOKUP($E270,W$442:Z$453,2,FALSE)*W270*($K270)+IF($G270&lt;&gt;0,($H270/$G270)*W270,0)*(1-$K270)</f>
        <v>0</v>
      </c>
      <c r="Y270" s="1118">
        <f>VLOOKUP($E270,W$442:Z$453,3,FALSE)*W270*($K270)+IF($G270&lt;&gt;0,($I270/$G270)*W270,0)*(1-$K270)</f>
        <v>0</v>
      </c>
      <c r="Z270" s="1118">
        <f>VLOOKUP($E270,W$442:Z$453,4,FALSE)*W270*($K270)+(W270-X270-Y270)*(1-$K270)</f>
        <v>0</v>
      </c>
      <c r="AA270" s="1074"/>
      <c r="AE270" s="1117">
        <f>$G270</f>
        <v>0</v>
      </c>
      <c r="AF270" s="1118">
        <f>VLOOKUP($E270,AE$442:AH$453,2,FALSE)*AE270*($K270)+IF($G270&lt;&gt;0,($H270/$G270)*AE270,0)*(1-$K270)</f>
        <v>0</v>
      </c>
      <c r="AG270" s="1118">
        <f>VLOOKUP($E270,AE$442:AH$453,3,FALSE)*AE270*($K270)+IF($G270&lt;&gt;0,($I270/$G270)*AE270,0)*(1-$K270)</f>
        <v>0</v>
      </c>
      <c r="AH270" s="1118">
        <f>VLOOKUP($E270,AE$442:AH$453,4,FALSE)*AE270*($K270)+(AE270-AF270-AG270)*(1-$K270)</f>
        <v>0</v>
      </c>
      <c r="AI270" s="1074"/>
      <c r="AM270" s="1117">
        <f>$G270</f>
        <v>0</v>
      </c>
      <c r="AN270" s="1118">
        <f>VLOOKUP($E270,AM$442:AP$453,2,FALSE)*AM270*($K270)+IF($G270&lt;&gt;0,($H270/$G270)*AM270,0)*(1-$K270)</f>
        <v>0</v>
      </c>
      <c r="AO270" s="1118">
        <f>VLOOKUP($E270,AM$442:AP$453,3,FALSE)*AM270*($K270)+IF($G270&lt;&gt;0,($I270/$G270)*AM270,0)*(1-$K270)</f>
        <v>0</v>
      </c>
      <c r="AP270" s="1118">
        <f>VLOOKUP($E270,AM$442:AP$453,4,FALSE)*AM270*($K270)+(AM270-AN270-AO270)*(1-$K270)</f>
        <v>0</v>
      </c>
      <c r="AQ270" s="1074"/>
      <c r="AU270" s="1117">
        <f>$G270</f>
        <v>0</v>
      </c>
      <c r="AV270" s="1118">
        <f>VLOOKUP($E270,AU$442:AX$453,2,FALSE)*AU270*($K270)+IF($G270&lt;&gt;0,($H270/$G270)*AU270,0)*(1-$K270)</f>
        <v>0</v>
      </c>
      <c r="AW270" s="1118">
        <f>VLOOKUP($E270,AU$442:AX$453,3,FALSE)*AU270*($K270)+IF($G270&lt;&gt;0,($I270/$G270)*AU270,0)*(1-$K270)</f>
        <v>0</v>
      </c>
      <c r="AX270" s="1118">
        <f>VLOOKUP($E270,AU$442:AX$453,4,FALSE)*AU270*($K270)+(AU270-AV270-AW270)*(1-$K270)</f>
        <v>0</v>
      </c>
      <c r="AY270" s="1074"/>
      <c r="BC270" s="1117">
        <f>$G270</f>
        <v>0</v>
      </c>
      <c r="BD270" s="1118">
        <f>VLOOKUP($E270,BC$442:BF$453,2,FALSE)*BC270*($K270)+IF($G270&lt;&gt;0,($H270/$G270)*BC270,0)*(1-$K270)</f>
        <v>0</v>
      </c>
      <c r="BE270" s="1118">
        <f>VLOOKUP($E270,BC$442:BF$453,3,FALSE)*BC270*($K270)+IF($G270&lt;&gt;0,($I270/$G270)*BC270,0)*(1-$K270)</f>
        <v>0</v>
      </c>
      <c r="BF270" s="1118">
        <f>VLOOKUP($E270,BC$442:BF$453,4,FALSE)*BC270*($K270)+(BC270-BD270-BE270)*(1-$K270)</f>
        <v>0</v>
      </c>
      <c r="BG270" s="1074"/>
      <c r="BK270" s="1117">
        <f>$G270</f>
        <v>0</v>
      </c>
      <c r="BL270" s="1118">
        <f>VLOOKUP($E270,BK$442:BN$453,2,FALSE)*BK270*($K270)+IF($G270&lt;&gt;0,($H270/$G270)*BK270,0)*(1-$K270)</f>
        <v>0</v>
      </c>
      <c r="BM270" s="1118">
        <f>VLOOKUP($E270,BK$442:BN$453,3,FALSE)*BK270*($K270)+IF($G270&lt;&gt;0,($I270/$G270)*BK270,0)*(1-$K270)</f>
        <v>0</v>
      </c>
      <c r="BN270" s="1118">
        <f>VLOOKUP($E270,BK$442:BN$453,4,FALSE)*BK270*($K270)+(BK270-BL270-BM270)*(1-$K270)</f>
        <v>0</v>
      </c>
      <c r="BO270" s="1074"/>
      <c r="BS270" s="1117">
        <f>$G270</f>
        <v>0</v>
      </c>
      <c r="BT270" s="1118">
        <f>VLOOKUP($E270,BS$442:BV$453,2,FALSE)*BS270*($K270)+IF($G270&lt;&gt;0,($H270/$G270)*BS270,0)*(1-$K270)</f>
        <v>0</v>
      </c>
      <c r="BU270" s="1118">
        <f>VLOOKUP($E270,BS$442:BV$453,3,FALSE)*BS270*($K270)+IF($G270&lt;&gt;0,($I270/$G270)*BS270,0)*(1-$K270)</f>
        <v>0</v>
      </c>
      <c r="BV270" s="1118">
        <f>VLOOKUP($E270,BS$442:BV$453,4,FALSE)*BS270*($K270)+(BS270-BT270-BU270)*(1-$K270)</f>
        <v>0</v>
      </c>
      <c r="BW270" s="1074"/>
      <c r="CA270" s="1117">
        <f>$G270</f>
        <v>0</v>
      </c>
      <c r="CB270" s="1118">
        <f>VLOOKUP($E270,CA$442:CD$453,2,FALSE)*CA270*($K270)+IF($G270&lt;&gt;0,($H270/$G270)*CA270,0)*(1-$K270)</f>
        <v>0</v>
      </c>
      <c r="CC270" s="1118">
        <f>VLOOKUP($E270,CA$442:CD$453,3,FALSE)*CA270*($K270)+IF($G270&lt;&gt;0,($I270/$G270)*CA270,0)*(1-$K270)</f>
        <v>0</v>
      </c>
      <c r="CD270" s="1118">
        <f>VLOOKUP($E270,CA$442:CD$453,4,FALSE)*CA270*($K270)+(CA270-CB270-CC270)*(1-$K270)</f>
        <v>0</v>
      </c>
      <c r="CE270" s="1074"/>
      <c r="CI270" s="1117">
        <f>$G270</f>
        <v>0</v>
      </c>
      <c r="CJ270" s="1118">
        <f>VLOOKUP($E270,CI$442:CL$453,2,FALSE)*CI270*($K270)+IF($G270&lt;&gt;0,($H270/$G270)*CI270,0)*(1-$K270)</f>
        <v>0</v>
      </c>
      <c r="CK270" s="1118">
        <f>VLOOKUP($E270,CI$442:CL$453,3,FALSE)*CI270*($K270)+IF($G270&lt;&gt;0,($I270/$G270)*CI270,0)*(1-$K270)</f>
        <v>0</v>
      </c>
      <c r="CL270" s="1118">
        <f>VLOOKUP($E270,CI$442:CL$453,4,FALSE)*CI270*($K270)+(CI270-CJ270-CK270)*(1-$K270)</f>
        <v>0</v>
      </c>
      <c r="CM270" s="1074"/>
      <c r="CQ270" s="1117">
        <f>$G270</f>
        <v>0</v>
      </c>
      <c r="CR270" s="1118">
        <f>VLOOKUP($E270,CQ$442:CT$453,2,FALSE)*CQ270*($K270)+IF($G270&lt;&gt;0,($H270/$G270)*CQ270,0)*(1-$K270)</f>
        <v>0</v>
      </c>
      <c r="CS270" s="1118">
        <f>VLOOKUP($E270,CQ$442:CT$453,3,FALSE)*CQ270*($K270)+IF($G270&lt;&gt;0,($I270/$G270)*CQ270,0)*(1-$K270)</f>
        <v>0</v>
      </c>
      <c r="CT270" s="1118">
        <f>VLOOKUP($E270,CQ$442:CT$453,4,FALSE)*CQ270*($K270)+(CQ270-CR270-CS270)*(1-$K270)</f>
        <v>0</v>
      </c>
      <c r="CU270" s="1074"/>
      <c r="CY270" s="1117">
        <f>$G270</f>
        <v>0</v>
      </c>
      <c r="CZ270" s="1118">
        <f>VLOOKUP($E270,CY$442:DB$453,2,FALSE)*CY270*($K270)+IF($G270&lt;&gt;0,($H270/$G270)*CY270,0)*(1-$K270)</f>
        <v>0</v>
      </c>
      <c r="DA270" s="1118">
        <f>VLOOKUP($E270,CY$442:DB$453,3,FALSE)*CY270*($K270)+IF($G270&lt;&gt;0,($I270/$G270)*CY270,0)*(1-$K270)</f>
        <v>0</v>
      </c>
      <c r="DB270" s="1118">
        <f>VLOOKUP($E270,CY$442:DB$453,4,FALSE)*CY270*($K270)+(CY270-CZ270-DA270)*(1-$K270)</f>
        <v>0</v>
      </c>
      <c r="DC270" s="1074"/>
      <c r="DG270" s="1117">
        <f>$G270</f>
        <v>0</v>
      </c>
      <c r="DH270" s="1118">
        <f>VLOOKUP($E270,DG$442:DJ$453,2,FALSE)*DG270*($K270)+IF($G270&lt;&gt;0,($H270/$G270)*DG270,0)*(1-$K270)</f>
        <v>0</v>
      </c>
      <c r="DI270" s="1118">
        <f>VLOOKUP($E270,DG$442:DJ$453,3,FALSE)*DG270*($K270)+IF($G270&lt;&gt;0,($I270/$G270)*DG270,0)*(1-$K270)</f>
        <v>0</v>
      </c>
      <c r="DJ270" s="1118">
        <f>VLOOKUP($E270,DG$442:DJ$453,4,FALSE)*DG270*($K270)+(DG270-DH270-DI270)*(1-$K270)</f>
        <v>0</v>
      </c>
      <c r="DK270" s="1074"/>
      <c r="DO270" s="1117">
        <f>$G270</f>
        <v>0</v>
      </c>
      <c r="DP270" s="1118">
        <f>VLOOKUP($E270,DO$442:DR$453,2,FALSE)*DO270*($K270)+IF($G270&lt;&gt;0,($H270/$G270)*DO270,0)*(1-$K270)</f>
        <v>0</v>
      </c>
      <c r="DQ270" s="1118">
        <f>VLOOKUP($E270,DO$442:DR$453,3,FALSE)*DO270*($K270)+IF($G270&lt;&gt;0,($I270/$G270)*DO270,0)*(1-$K270)</f>
        <v>0</v>
      </c>
      <c r="DR270" s="1118">
        <f>VLOOKUP($E270,DO$442:DR$453,4,FALSE)*DO270*($K270)+(DO270-DP270-DQ270)*(1-$K270)</f>
        <v>0</v>
      </c>
      <c r="DS270" s="1074"/>
      <c r="DW270" s="1117">
        <f>$G270</f>
        <v>0</v>
      </c>
      <c r="DX270" s="1118">
        <f>VLOOKUP($E270,DW$442:DZ$453,2,FALSE)*DW270*($K270)+IF($G270&lt;&gt;0,($H270/$G270)*DW270,0)*(1-$K270)</f>
        <v>0</v>
      </c>
      <c r="DY270" s="1118">
        <f>VLOOKUP($E270,DW$442:DZ$453,3,FALSE)*DW270*($K270)+IF($G270&lt;&gt;0,($I270/$G270)*DW270,0)*(1-$K270)</f>
        <v>0</v>
      </c>
      <c r="DZ270" s="1118">
        <f>VLOOKUP($E270,DW$442:DZ$453,4,FALSE)*DW270*($K270)+(DW270-DX270-DY270)*(1-$K270)</f>
        <v>0</v>
      </c>
      <c r="EA270" s="1074"/>
      <c r="EE270" s="1117">
        <f>$G270</f>
        <v>0</v>
      </c>
      <c r="EF270" s="1118">
        <f>VLOOKUP($E270,EE$442:EH$453,2,FALSE)*EE270*($K270)+IF($G270&lt;&gt;0,($H270/$G270)*EE270,0)*(1-$K270)</f>
        <v>0</v>
      </c>
      <c r="EG270" s="1118">
        <f>VLOOKUP($E270,EE$442:EH$453,3,FALSE)*EE270*($K270)+IF($G270&lt;&gt;0,($I270/$G270)*EE270,0)*(1-$K270)</f>
        <v>0</v>
      </c>
      <c r="EH270" s="1118">
        <f>VLOOKUP($E270,EE$442:EH$453,4,FALSE)*EE270*($K270)+(EE270-EF270-EG270)*(1-$K270)</f>
        <v>0</v>
      </c>
      <c r="EI270" s="1074"/>
      <c r="EM270" s="1117">
        <f>$G270</f>
        <v>0</v>
      </c>
      <c r="EN270" s="1118">
        <f>VLOOKUP($E270,EM$442:EP$453,2,FALSE)*EM270*($K270)+IF($G270&lt;&gt;0,($H270/$G270)*EM270,0)*(1-$K270)</f>
        <v>0</v>
      </c>
      <c r="EO270" s="1118">
        <f>VLOOKUP($E270,EM$442:EP$453,3,FALSE)*EM270*($K270)+IF($G270&lt;&gt;0,($I270/$G270)*EM270,0)*(1-$K270)</f>
        <v>0</v>
      </c>
      <c r="EP270" s="1118">
        <f>VLOOKUP($E270,EM$442:EP$453,4,FALSE)*EM270*($K270)+(EM270-EN270-EO270)*(1-$K270)</f>
        <v>0</v>
      </c>
      <c r="EQ270" s="1074"/>
      <c r="EU270" s="1117">
        <f>$G270</f>
        <v>0</v>
      </c>
      <c r="EV270" s="1118">
        <f>VLOOKUP($E270,EU$442:EX$453,2,FALSE)*EU270*($K270)+IF($G270&lt;&gt;0,($H270/$G270)*EU270,0)*(1-$K270)</f>
        <v>0</v>
      </c>
      <c r="EW270" s="1118">
        <f>VLOOKUP($E270,EU$442:EX$453,3,FALSE)*EU270*($K270)+IF($G270&lt;&gt;0,($I270/$G270)*EU270,0)*(1-$K270)</f>
        <v>0</v>
      </c>
      <c r="EX270" s="1118">
        <f>VLOOKUP($E270,EU$442:EX$453,4,FALSE)*EU270*($K270)+(EU270-EV270-EW270)*(1-$K270)</f>
        <v>0</v>
      </c>
      <c r="EY270" s="1074"/>
      <c r="FC270" s="1117">
        <f>$G270</f>
        <v>0</v>
      </c>
      <c r="FD270" s="1118">
        <f>VLOOKUP($E270,FC$442:FF$453,2,FALSE)*FC270*($K270)+IF($G270&lt;&gt;0,($H270/$G270)*FC270,0)*(1-$K270)</f>
        <v>0</v>
      </c>
      <c r="FE270" s="1118">
        <f>VLOOKUP($E270,FC$442:FF$453,3,FALSE)*FC270*($K270)+IF($G270&lt;&gt;0,($I270/$G270)*FC270,0)*(1-$K270)</f>
        <v>0</v>
      </c>
      <c r="FF270" s="1118">
        <f>VLOOKUP($E270,FC$442:FF$453,4,FALSE)*FC270*($K270)+(FC270-FD270-FE270)*(1-$K270)</f>
        <v>0</v>
      </c>
      <c r="FG270" s="1074"/>
      <c r="FK270" s="1117">
        <f>$G270</f>
        <v>0</v>
      </c>
      <c r="FL270" s="1118">
        <f>VLOOKUP($E270,FK$442:FN$453,2,FALSE)*FK270*($K270)+IF($G270&lt;&gt;0,($H270/$G270)*FK270,0)*(1-$K270)</f>
        <v>0</v>
      </c>
      <c r="FM270" s="1118">
        <f>VLOOKUP($E270,FK$442:FN$453,3,FALSE)*FK270*($K270)+IF($G270&lt;&gt;0,($I270/$G270)*FK270,0)*(1-$K270)</f>
        <v>0</v>
      </c>
      <c r="FN270" s="1118">
        <f>VLOOKUP($E270,FK$442:FN$453,4,FALSE)*FK270*($K270)+(FK270-FL270-FM270)*(1-$K270)</f>
        <v>0</v>
      </c>
      <c r="FO270" s="1074"/>
    </row>
    <row r="271" spans="1:171" ht="16.5" thickBot="1" x14ac:dyDescent="0.3">
      <c r="A271" s="1479" t="s">
        <v>37</v>
      </c>
      <c r="B271" s="58"/>
      <c r="C271" s="915"/>
      <c r="D271" s="916"/>
      <c r="E271" s="916"/>
      <c r="F271" s="917"/>
      <c r="G271" s="924">
        <f>SUM(G268:G270)</f>
        <v>19019048.084836535</v>
      </c>
      <c r="H271" s="924">
        <f>SUM(H268:H270)</f>
        <v>7928154.892926028</v>
      </c>
      <c r="I271" s="924">
        <f>SUM(I268:I270)</f>
        <v>0</v>
      </c>
      <c r="J271" s="1429">
        <f>SUM(J268:J270)</f>
        <v>11090893.191910507</v>
      </c>
      <c r="K271" s="904"/>
      <c r="O271" s="1138">
        <f>SUM(O268:O270)</f>
        <v>19019048.084836535</v>
      </c>
      <c r="P271" s="1139">
        <f>SUM(P268:P270)</f>
        <v>7928154.892926028</v>
      </c>
      <c r="Q271" s="1139">
        <f>SUM(Q268:Q270)</f>
        <v>513692.31276444771</v>
      </c>
      <c r="R271" s="1139">
        <f>SUM(R268:R270)</f>
        <v>10577200.879146058</v>
      </c>
      <c r="S271" s="1074"/>
      <c r="W271" s="1138">
        <f>SUM(W268:W270)</f>
        <v>19019048.084836535</v>
      </c>
      <c r="X271" s="1139">
        <f>SUM(X268:X270)</f>
        <v>7928154.892926028</v>
      </c>
      <c r="Y271" s="1139">
        <f>SUM(Y268:Y270)</f>
        <v>513692.31276444771</v>
      </c>
      <c r="Z271" s="1139">
        <f>SUM(Z268:Z270)</f>
        <v>10577200.879146058</v>
      </c>
      <c r="AA271" s="1074"/>
      <c r="AE271" s="1138">
        <f>SUM(AE268:AE270)</f>
        <v>19019048.084836535</v>
      </c>
      <c r="AF271" s="1139">
        <f>SUM(AF268:AF270)</f>
        <v>7928154.892926028</v>
      </c>
      <c r="AG271" s="1139">
        <f>SUM(AG268:AG270)</f>
        <v>513692.31276444771</v>
      </c>
      <c r="AH271" s="1139">
        <f>SUM(AH268:AH270)</f>
        <v>10577200.879146058</v>
      </c>
      <c r="AI271" s="1074"/>
      <c r="AM271" s="1138">
        <f>SUM(AM268:AM270)</f>
        <v>19019048.084836535</v>
      </c>
      <c r="AN271" s="1139">
        <f>SUM(AN268:AN270)</f>
        <v>7928154.892926028</v>
      </c>
      <c r="AO271" s="1139">
        <f>SUM(AO268:AO270)</f>
        <v>513692.31276444771</v>
      </c>
      <c r="AP271" s="1139">
        <f>SUM(AP268:AP270)</f>
        <v>10577200.879146058</v>
      </c>
      <c r="AQ271" s="1074"/>
      <c r="AU271" s="1138">
        <f>SUM(AU268:AU270)</f>
        <v>19019048.084836535</v>
      </c>
      <c r="AV271" s="1139">
        <f>SUM(AV268:AV270)</f>
        <v>7928154.892926028</v>
      </c>
      <c r="AW271" s="1139">
        <f>SUM(AW268:AW270)</f>
        <v>513692.31276444771</v>
      </c>
      <c r="AX271" s="1139">
        <f>SUM(AX268:AX270)</f>
        <v>10577200.879146058</v>
      </c>
      <c r="AY271" s="1074"/>
      <c r="BC271" s="1138">
        <f>SUM(BC268:BC270)</f>
        <v>19019048.084836535</v>
      </c>
      <c r="BD271" s="1139">
        <f>SUM(BD268:BD270)</f>
        <v>7928154.892926028</v>
      </c>
      <c r="BE271" s="1139">
        <f>SUM(BE268:BE270)</f>
        <v>513692.31276444771</v>
      </c>
      <c r="BF271" s="1139">
        <f>SUM(BF268:BF270)</f>
        <v>10577200.879146058</v>
      </c>
      <c r="BG271" s="1074"/>
      <c r="BK271" s="1138">
        <f>SUM(BK268:BK270)</f>
        <v>19019048.084836535</v>
      </c>
      <c r="BL271" s="1139">
        <f>SUM(BL268:BL270)</f>
        <v>7928154.892926028</v>
      </c>
      <c r="BM271" s="1139">
        <f>SUM(BM268:BM270)</f>
        <v>513692.31276444771</v>
      </c>
      <c r="BN271" s="1139">
        <f>SUM(BN268:BN270)</f>
        <v>10577200.879146058</v>
      </c>
      <c r="BO271" s="1074"/>
      <c r="BS271" s="1138">
        <f>SUM(BS268:BS270)</f>
        <v>19019048.084836535</v>
      </c>
      <c r="BT271" s="1139">
        <f>SUM(BT268:BT270)</f>
        <v>7928154.892926028</v>
      </c>
      <c r="BU271" s="1139">
        <f>SUM(BU268:BU270)</f>
        <v>513692.31276444771</v>
      </c>
      <c r="BV271" s="1139">
        <f>SUM(BV268:BV270)</f>
        <v>10577200.879146058</v>
      </c>
      <c r="BW271" s="1074"/>
      <c r="CA271" s="1138">
        <f>SUM(CA268:CA270)</f>
        <v>19019048.084836535</v>
      </c>
      <c r="CB271" s="1139">
        <f>SUM(CB268:CB270)</f>
        <v>7928154.892926028</v>
      </c>
      <c r="CC271" s="1139">
        <f>SUM(CC268:CC270)</f>
        <v>513692.31276444771</v>
      </c>
      <c r="CD271" s="1139">
        <f>SUM(CD268:CD270)</f>
        <v>10577200.879146058</v>
      </c>
      <c r="CE271" s="1074"/>
      <c r="CI271" s="1138">
        <f>SUM(CI268:CI270)</f>
        <v>19019048.084836535</v>
      </c>
      <c r="CJ271" s="1139">
        <f>SUM(CJ268:CJ270)</f>
        <v>7928154.892926028</v>
      </c>
      <c r="CK271" s="1139">
        <f>SUM(CK268:CK270)</f>
        <v>513692.31276444771</v>
      </c>
      <c r="CL271" s="1139">
        <f>SUM(CL268:CL270)</f>
        <v>10577200.879146058</v>
      </c>
      <c r="CM271" s="1074"/>
      <c r="CQ271" s="1138">
        <f>SUM(CQ268:CQ270)</f>
        <v>19019048.084836535</v>
      </c>
      <c r="CR271" s="1139">
        <f>SUM(CR268:CR270)</f>
        <v>7928154.892926028</v>
      </c>
      <c r="CS271" s="1139">
        <f>SUM(CS268:CS270)</f>
        <v>513692.31276444771</v>
      </c>
      <c r="CT271" s="1139">
        <f>SUM(CT268:CT270)</f>
        <v>10577200.879146058</v>
      </c>
      <c r="CU271" s="1074"/>
      <c r="CY271" s="1138">
        <f>SUM(CY268:CY270)</f>
        <v>19019048.084836535</v>
      </c>
      <c r="CZ271" s="1139">
        <f>SUM(CZ268:CZ270)</f>
        <v>7928154.892926028</v>
      </c>
      <c r="DA271" s="1139">
        <f>SUM(DA268:DA270)</f>
        <v>513692.31276444771</v>
      </c>
      <c r="DB271" s="1139">
        <f>SUM(DB268:DB270)</f>
        <v>10577200.879146058</v>
      </c>
      <c r="DC271" s="1074"/>
      <c r="DG271" s="1138">
        <f>SUM(DG268:DG270)</f>
        <v>19019048.084836535</v>
      </c>
      <c r="DH271" s="1139">
        <f>SUM(DH268:DH270)</f>
        <v>7928154.892926028</v>
      </c>
      <c r="DI271" s="1139">
        <f>SUM(DI268:DI270)</f>
        <v>513692.31276444771</v>
      </c>
      <c r="DJ271" s="1139">
        <f>SUM(DJ268:DJ270)</f>
        <v>10577200.879146058</v>
      </c>
      <c r="DK271" s="1074"/>
      <c r="DO271" s="1138">
        <f>SUM(DO268:DO270)</f>
        <v>19019048.084836535</v>
      </c>
      <c r="DP271" s="1139">
        <f>SUM(DP268:DP270)</f>
        <v>7928154.892926028</v>
      </c>
      <c r="DQ271" s="1139">
        <f>SUM(DQ268:DQ270)</f>
        <v>513692.31276444771</v>
      </c>
      <c r="DR271" s="1139">
        <f>SUM(DR268:DR270)</f>
        <v>10577200.879146058</v>
      </c>
      <c r="DS271" s="1074"/>
      <c r="DW271" s="1138">
        <f>SUM(DW268:DW270)</f>
        <v>19019048.084836535</v>
      </c>
      <c r="DX271" s="1139">
        <f>SUM(DX268:DX270)</f>
        <v>7928154.892926028</v>
      </c>
      <c r="DY271" s="1139">
        <f>SUM(DY268:DY270)</f>
        <v>513692.31276444771</v>
      </c>
      <c r="DZ271" s="1139">
        <f>SUM(DZ268:DZ270)</f>
        <v>10577200.879146058</v>
      </c>
      <c r="EA271" s="1074"/>
      <c r="EE271" s="1138">
        <f>SUM(EE268:EE270)</f>
        <v>19019048.084836535</v>
      </c>
      <c r="EF271" s="1139">
        <f>SUM(EF268:EF270)</f>
        <v>7928154.892926028</v>
      </c>
      <c r="EG271" s="1139">
        <f>SUM(EG268:EG270)</f>
        <v>513692.31276444771</v>
      </c>
      <c r="EH271" s="1139">
        <f>SUM(EH268:EH270)</f>
        <v>10577200.879146058</v>
      </c>
      <c r="EI271" s="1074"/>
      <c r="EM271" s="1138">
        <f>SUM(EM268:EM270)</f>
        <v>19019048.084836535</v>
      </c>
      <c r="EN271" s="1139">
        <f>SUM(EN268:EN270)</f>
        <v>7928154.892926028</v>
      </c>
      <c r="EO271" s="1139">
        <f>SUM(EO268:EO270)</f>
        <v>513692.31276444771</v>
      </c>
      <c r="EP271" s="1139">
        <f>SUM(EP268:EP270)</f>
        <v>10577200.879146058</v>
      </c>
      <c r="EQ271" s="1074"/>
      <c r="EU271" s="1138">
        <f>SUM(EU268:EU270)</f>
        <v>19019048.084836535</v>
      </c>
      <c r="EV271" s="1139">
        <f>SUM(EV268:EV270)</f>
        <v>7928154.892926028</v>
      </c>
      <c r="EW271" s="1139">
        <f>SUM(EW268:EW270)</f>
        <v>513692.31276444771</v>
      </c>
      <c r="EX271" s="1139">
        <f>SUM(EX268:EX270)</f>
        <v>10577200.879146058</v>
      </c>
      <c r="EY271" s="1074"/>
      <c r="FC271" s="1138">
        <f>SUM(FC268:FC270)</f>
        <v>19019048.084836535</v>
      </c>
      <c r="FD271" s="1139">
        <f>SUM(FD268:FD270)</f>
        <v>7928154.892926028</v>
      </c>
      <c r="FE271" s="1139">
        <f>SUM(FE268:FE270)</f>
        <v>513692.31276444771</v>
      </c>
      <c r="FF271" s="1139">
        <f>SUM(FF268:FF270)</f>
        <v>10577200.879146058</v>
      </c>
      <c r="FG271" s="1074"/>
      <c r="FK271" s="1138">
        <f>SUM(FK268:FK270)</f>
        <v>19019048.084836535</v>
      </c>
      <c r="FL271" s="1139">
        <f>SUM(FL268:FL270)</f>
        <v>7928154.892926028</v>
      </c>
      <c r="FM271" s="1139">
        <f>SUM(FM268:FM270)</f>
        <v>513692.31276444771</v>
      </c>
      <c r="FN271" s="1139">
        <f>SUM(FN268:FN270)</f>
        <v>10577200.879146058</v>
      </c>
      <c r="FO271" s="1074"/>
    </row>
    <row r="272" spans="1:171" x14ac:dyDescent="0.25">
      <c r="A272" s="1479"/>
      <c r="B272" s="58"/>
      <c r="C272" s="1025"/>
      <c r="D272" s="1026"/>
      <c r="E272" s="196"/>
      <c r="F272" s="196"/>
      <c r="G272" s="197"/>
      <c r="H272" s="197"/>
      <c r="I272" s="197"/>
      <c r="J272" s="1480"/>
      <c r="K272" s="904"/>
      <c r="S272" s="1074"/>
      <c r="AA272" s="1074"/>
      <c r="AI272" s="1074"/>
      <c r="AQ272" s="1074"/>
      <c r="AY272" s="1074"/>
      <c r="BG272" s="1074"/>
      <c r="BO272" s="1074"/>
      <c r="BW272" s="1074"/>
      <c r="CE272" s="1074"/>
      <c r="CM272" s="1074"/>
      <c r="CU272" s="1074"/>
      <c r="DC272" s="1074"/>
      <c r="DK272" s="1074"/>
      <c r="DS272" s="1074"/>
      <c r="EA272" s="1074"/>
      <c r="EI272" s="1074"/>
      <c r="EQ272" s="1074"/>
      <c r="EY272" s="1074"/>
      <c r="FG272" s="1074"/>
      <c r="FO272" s="1074"/>
    </row>
    <row r="273" spans="1:171" x14ac:dyDescent="0.25">
      <c r="A273" s="1481" t="s">
        <v>38</v>
      </c>
      <c r="B273" s="63"/>
      <c r="C273" s="150"/>
      <c r="D273" s="195"/>
      <c r="E273" s="196"/>
      <c r="F273" s="196"/>
      <c r="G273" s="197"/>
      <c r="H273" s="197"/>
      <c r="I273" s="197"/>
      <c r="J273" s="1480"/>
      <c r="K273" s="904"/>
      <c r="S273" s="1074"/>
      <c r="AA273" s="1074"/>
      <c r="AI273" s="1074"/>
      <c r="AQ273" s="1074"/>
      <c r="AY273" s="1074"/>
      <c r="BG273" s="1074"/>
      <c r="BO273" s="1074"/>
      <c r="BW273" s="1074"/>
      <c r="CE273" s="1074"/>
      <c r="CM273" s="1074"/>
      <c r="CU273" s="1074"/>
      <c r="DC273" s="1074"/>
      <c r="DK273" s="1074"/>
      <c r="DS273" s="1074"/>
      <c r="EA273" s="1074"/>
      <c r="EI273" s="1074"/>
      <c r="EQ273" s="1074"/>
      <c r="EY273" s="1074"/>
      <c r="FG273" s="1074"/>
      <c r="FO273" s="1074"/>
    </row>
    <row r="274" spans="1:171" x14ac:dyDescent="0.25">
      <c r="A274" s="1442">
        <v>96000</v>
      </c>
      <c r="B274" s="63" t="s">
        <v>567</v>
      </c>
      <c r="C274" s="1023">
        <v>262</v>
      </c>
      <c r="D274" s="1024">
        <v>408.1</v>
      </c>
      <c r="E274" s="182" t="str">
        <f>'Sch 3A - Taxes'!E22</f>
        <v>PTDG</v>
      </c>
      <c r="F274" s="890"/>
      <c r="G274" s="182">
        <f>'Sch 3A - Taxes'!F22</f>
        <v>62757268.946259603</v>
      </c>
      <c r="H274" s="182">
        <f>'Sch 3A - Taxes'!G22</f>
        <v>27262667.717048887</v>
      </c>
      <c r="I274" s="182">
        <f>'Sch 3A - Taxes'!H22</f>
        <v>0</v>
      </c>
      <c r="J274" s="1422">
        <f>'Sch 3A - Taxes'!I22</f>
        <v>35500881.608327694</v>
      </c>
      <c r="K274" s="904">
        <f t="shared" ref="K274:K280" si="730">IF($E274="DIRECT",0,1)</f>
        <v>1</v>
      </c>
      <c r="N274" s="1162">
        <f>VLOOKUP($A274,'New Resources - Group'!$A$4:$Y$133,N$2,FALSE)*N$1</f>
        <v>0</v>
      </c>
      <c r="O274" s="1117">
        <f>$G274+N274</f>
        <v>62757268.946259603</v>
      </c>
      <c r="P274" s="1118">
        <f t="shared" ref="P274:P280" si="731">VLOOKUP($E274,O$442:R$453,2,FALSE)*O274*($K274)+IF($G274&lt;&gt;0,($H274/$G274)*O274,0)*(1-$K274)</f>
        <v>27262667.717048887</v>
      </c>
      <c r="Q274" s="1118">
        <f t="shared" ref="Q274:Q280" si="732">VLOOKUP($E274,O$442:R$453,3,FALSE)*O274*($K274)+IF($G274&lt;&gt;0,($I274/$G274)*O274,0)*(1-$K274)</f>
        <v>15883928.802817663</v>
      </c>
      <c r="R274" s="1118">
        <f t="shared" ref="R274:R280" si="733">VLOOKUP($E274,O$442:R$453,4,FALSE)*O274*($K274)+(O274-P274-Q274)*(1-$K274)</f>
        <v>19610672.426393051</v>
      </c>
      <c r="S274" s="1074"/>
      <c r="V274" s="1162">
        <f>VLOOKUP($A274,'New Resources - Group'!$A$4:$Y$133,V$2,FALSE)*V$1</f>
        <v>0</v>
      </c>
      <c r="W274" s="1117">
        <f>$G274+V274</f>
        <v>62757268.946259603</v>
      </c>
      <c r="X274" s="1118">
        <f t="shared" ref="X274:X280" si="734">VLOOKUP($E274,W$442:Z$453,2,FALSE)*W274*($K274)+IF($G274&lt;&gt;0,($H274/$G274)*W274,0)*(1-$K274)</f>
        <v>27262667.717048887</v>
      </c>
      <c r="Y274" s="1118">
        <f t="shared" ref="Y274:Y280" si="735">VLOOKUP($E274,W$442:Z$453,3,FALSE)*W274*($K274)+IF($G274&lt;&gt;0,($I274/$G274)*W274,0)*(1-$K274)</f>
        <v>15883928.802817663</v>
      </c>
      <c r="Z274" s="1118">
        <f t="shared" ref="Z274:Z280" si="736">VLOOKUP($E274,W$442:Z$453,4,FALSE)*W274*($K274)+(W274-X274-Y274)*(1-$K274)</f>
        <v>19610672.426393051</v>
      </c>
      <c r="AA274" s="1074"/>
      <c r="AD274" s="1162">
        <f>VLOOKUP($A274,'New Resources - Group'!$A$4:$Y$133,AD$2,FALSE)*AD$1</f>
        <v>0</v>
      </c>
      <c r="AE274" s="1117">
        <f>$G274+AD274</f>
        <v>62757268.946259603</v>
      </c>
      <c r="AF274" s="1118">
        <f t="shared" ref="AF274:AF280" si="737">VLOOKUP($E274,AE$442:AH$453,2,FALSE)*AE274*($K274)+IF($G274&lt;&gt;0,($H274/$G274)*AE274,0)*(1-$K274)</f>
        <v>27262667.717048887</v>
      </c>
      <c r="AG274" s="1118">
        <f t="shared" ref="AG274:AG280" si="738">VLOOKUP($E274,AE$442:AH$453,3,FALSE)*AE274*($K274)+IF($G274&lt;&gt;0,($I274/$G274)*AE274,0)*(1-$K274)</f>
        <v>15883928.802817663</v>
      </c>
      <c r="AH274" s="1118">
        <f t="shared" ref="AH274:AH280" si="739">VLOOKUP($E274,AE$442:AH$453,4,FALSE)*AE274*($K274)+(AE274-AF274-AG274)*(1-$K274)</f>
        <v>19610672.426393051</v>
      </c>
      <c r="AI274" s="1074"/>
      <c r="AL274" s="1162">
        <f>VLOOKUP($A274,'New Resources - Group'!$A$4:$Y$133,AL$2,FALSE)*AL$1</f>
        <v>0</v>
      </c>
      <c r="AM274" s="1117">
        <f>$G274+AL274</f>
        <v>62757268.946259603</v>
      </c>
      <c r="AN274" s="1118">
        <f t="shared" ref="AN274:AN280" si="740">VLOOKUP($E274,AM$442:AP$453,2,FALSE)*AM274*($K274)+IF($G274&lt;&gt;0,($H274/$G274)*AM274,0)*(1-$K274)</f>
        <v>27262667.717048887</v>
      </c>
      <c r="AO274" s="1118">
        <f t="shared" ref="AO274:AO280" si="741">VLOOKUP($E274,AM$442:AP$453,3,FALSE)*AM274*($K274)+IF($G274&lt;&gt;0,($I274/$G274)*AM274,0)*(1-$K274)</f>
        <v>15883928.802817663</v>
      </c>
      <c r="AP274" s="1118">
        <f t="shared" ref="AP274:AP280" si="742">VLOOKUP($E274,AM$442:AP$453,4,FALSE)*AM274*($K274)+(AM274-AN274-AO274)*(1-$K274)</f>
        <v>19610672.426393051</v>
      </c>
      <c r="AQ274" s="1074"/>
      <c r="AT274" s="1162">
        <f>VLOOKUP($A274,'New Resources - Group'!$A$4:$Y$133,AT$2,FALSE)*AT$1</f>
        <v>0</v>
      </c>
      <c r="AU274" s="1117">
        <f>$G274+AT274</f>
        <v>62757268.946259603</v>
      </c>
      <c r="AV274" s="1118">
        <f t="shared" ref="AV274:AV280" si="743">VLOOKUP($E274,AU$442:AX$453,2,FALSE)*AU274*($K274)+IF($G274&lt;&gt;0,($H274/$G274)*AU274,0)*(1-$K274)</f>
        <v>27262667.717048887</v>
      </c>
      <c r="AW274" s="1118">
        <f t="shared" ref="AW274:AW280" si="744">VLOOKUP($E274,AU$442:AX$453,3,FALSE)*AU274*($K274)+IF($G274&lt;&gt;0,($I274/$G274)*AU274,0)*(1-$K274)</f>
        <v>15883928.802817663</v>
      </c>
      <c r="AX274" s="1118">
        <f t="shared" ref="AX274:AX280" si="745">VLOOKUP($E274,AU$442:AX$453,4,FALSE)*AU274*($K274)+(AU274-AV274-AW274)*(1-$K274)</f>
        <v>19610672.426393051</v>
      </c>
      <c r="AY274" s="1074"/>
      <c r="BB274" s="1162">
        <f>VLOOKUP($A274,'New Resources - Group'!$A$4:$Y$133,BB$2,FALSE)*BB$1</f>
        <v>0</v>
      </c>
      <c r="BC274" s="1117">
        <f>$G274+BB274</f>
        <v>62757268.946259603</v>
      </c>
      <c r="BD274" s="1118">
        <f t="shared" ref="BD274:BD280" si="746">VLOOKUP($E274,BC$442:BF$453,2,FALSE)*BC274*($K274)+IF($G274&lt;&gt;0,($H274/$G274)*BC274,0)*(1-$K274)</f>
        <v>27262667.717048887</v>
      </c>
      <c r="BE274" s="1118">
        <f t="shared" ref="BE274:BE280" si="747">VLOOKUP($E274,BC$442:BF$453,3,FALSE)*BC274*($K274)+IF($G274&lt;&gt;0,($I274/$G274)*BC274,0)*(1-$K274)</f>
        <v>15883928.802817663</v>
      </c>
      <c r="BF274" s="1118">
        <f t="shared" ref="BF274:BF280" si="748">VLOOKUP($E274,BC$442:BF$453,4,FALSE)*BC274*($K274)+(BC274-BD274-BE274)*(1-$K274)</f>
        <v>19610672.426393051</v>
      </c>
      <c r="BG274" s="1074"/>
      <c r="BJ274" s="1162">
        <f>VLOOKUP($A274,'New Resources - Group'!$A$4:$Y$133,BJ$2,FALSE)*BJ$1</f>
        <v>0</v>
      </c>
      <c r="BK274" s="1117">
        <f>$G274+BJ274</f>
        <v>62757268.946259603</v>
      </c>
      <c r="BL274" s="1118">
        <f t="shared" ref="BL274:BL280" si="749">VLOOKUP($E274,BK$442:BN$453,2,FALSE)*BK274*($K274)+IF($G274&lt;&gt;0,($H274/$G274)*BK274,0)*(1-$K274)</f>
        <v>27262667.717048887</v>
      </c>
      <c r="BM274" s="1118">
        <f t="shared" ref="BM274:BM280" si="750">VLOOKUP($E274,BK$442:BN$453,3,FALSE)*BK274*($K274)+IF($G274&lt;&gt;0,($I274/$G274)*BK274,0)*(1-$K274)</f>
        <v>15883928.802817663</v>
      </c>
      <c r="BN274" s="1118">
        <f t="shared" ref="BN274:BN280" si="751">VLOOKUP($E274,BK$442:BN$453,4,FALSE)*BK274*($K274)+(BK274-BL274-BM274)*(1-$K274)</f>
        <v>19610672.426393051</v>
      </c>
      <c r="BO274" s="1074"/>
      <c r="BR274" s="1162">
        <f>VLOOKUP($A274,'New Resources - Group'!$A$4:$Y$133,BR$2,FALSE)*BR$1</f>
        <v>0</v>
      </c>
      <c r="BS274" s="1117">
        <f>$G274+BR274</f>
        <v>62757268.946259603</v>
      </c>
      <c r="BT274" s="1118">
        <f t="shared" ref="BT274:BT280" si="752">VLOOKUP($E274,BS$442:BV$453,2,FALSE)*BS274*($K274)+IF($G274&lt;&gt;0,($H274/$G274)*BS274,0)*(1-$K274)</f>
        <v>27262667.717048887</v>
      </c>
      <c r="BU274" s="1118">
        <f t="shared" ref="BU274:BU280" si="753">VLOOKUP($E274,BS$442:BV$453,3,FALSE)*BS274*($K274)+IF($G274&lt;&gt;0,($I274/$G274)*BS274,0)*(1-$K274)</f>
        <v>15883928.802817663</v>
      </c>
      <c r="BV274" s="1118">
        <f t="shared" ref="BV274:BV280" si="754">VLOOKUP($E274,BS$442:BV$453,4,FALSE)*BS274*($K274)+(BS274-BT274-BU274)*(1-$K274)</f>
        <v>19610672.426393051</v>
      </c>
      <c r="BW274" s="1074"/>
      <c r="BZ274" s="1162">
        <f>VLOOKUP($A274,'New Resources - Group'!$A$4:$Y$133,BZ$2,FALSE)*BZ$1</f>
        <v>0</v>
      </c>
      <c r="CA274" s="1117">
        <f>$G274+BZ274</f>
        <v>62757268.946259603</v>
      </c>
      <c r="CB274" s="1118">
        <f t="shared" ref="CB274:CB280" si="755">VLOOKUP($E274,CA$442:CD$453,2,FALSE)*CA274*($K274)+IF($G274&lt;&gt;0,($H274/$G274)*CA274,0)*(1-$K274)</f>
        <v>27262667.717048887</v>
      </c>
      <c r="CC274" s="1118">
        <f t="shared" ref="CC274:CC280" si="756">VLOOKUP($E274,CA$442:CD$453,3,FALSE)*CA274*($K274)+IF($G274&lt;&gt;0,($I274/$G274)*CA274,0)*(1-$K274)</f>
        <v>15883928.802817663</v>
      </c>
      <c r="CD274" s="1118">
        <f t="shared" ref="CD274:CD280" si="757">VLOOKUP($E274,CA$442:CD$453,4,FALSE)*CA274*($K274)+(CA274-CB274-CC274)*(1-$K274)</f>
        <v>19610672.426393051</v>
      </c>
      <c r="CE274" s="1074"/>
      <c r="CH274" s="1162">
        <f>VLOOKUP($A274,'New Resources - Group'!$A$4:$Y$133,CH$2,FALSE)*CH$1</f>
        <v>0</v>
      </c>
      <c r="CI274" s="1117">
        <f>$G274+CH274</f>
        <v>62757268.946259603</v>
      </c>
      <c r="CJ274" s="1118">
        <f t="shared" ref="CJ274:CJ280" si="758">VLOOKUP($E274,CI$442:CL$453,2,FALSE)*CI274*($K274)+IF($G274&lt;&gt;0,($H274/$G274)*CI274,0)*(1-$K274)</f>
        <v>27262667.717048887</v>
      </c>
      <c r="CK274" s="1118">
        <f t="shared" ref="CK274:CK280" si="759">VLOOKUP($E274,CI$442:CL$453,3,FALSE)*CI274*($K274)+IF($G274&lt;&gt;0,($I274/$G274)*CI274,0)*(1-$K274)</f>
        <v>15883928.802817663</v>
      </c>
      <c r="CL274" s="1118">
        <f t="shared" ref="CL274:CL280" si="760">VLOOKUP($E274,CI$442:CL$453,4,FALSE)*CI274*($K274)+(CI274-CJ274-CK274)*(1-$K274)</f>
        <v>19610672.426393051</v>
      </c>
      <c r="CM274" s="1074"/>
      <c r="CP274" s="1162">
        <f>VLOOKUP($A274,'New Resources - Group'!$A$4:$Y$133,CP$2,FALSE)*CP$1</f>
        <v>0</v>
      </c>
      <c r="CQ274" s="1117">
        <f>$G274+CP274</f>
        <v>62757268.946259603</v>
      </c>
      <c r="CR274" s="1118">
        <f t="shared" ref="CR274:CR280" si="761">VLOOKUP($E274,CQ$442:CT$453,2,FALSE)*CQ274*($K274)+IF($G274&lt;&gt;0,($H274/$G274)*CQ274,0)*(1-$K274)</f>
        <v>27262667.717048887</v>
      </c>
      <c r="CS274" s="1118">
        <f t="shared" ref="CS274:CS280" si="762">VLOOKUP($E274,CQ$442:CT$453,3,FALSE)*CQ274*($K274)+IF($G274&lt;&gt;0,($I274/$G274)*CQ274,0)*(1-$K274)</f>
        <v>15883928.802817663</v>
      </c>
      <c r="CT274" s="1118">
        <f t="shared" ref="CT274:CT280" si="763">VLOOKUP($E274,CQ$442:CT$453,4,FALSE)*CQ274*($K274)+(CQ274-CR274-CS274)*(1-$K274)</f>
        <v>19610672.426393051</v>
      </c>
      <c r="CU274" s="1074"/>
      <c r="CX274" s="1162">
        <f>VLOOKUP($A274,'New Resources - Group'!$A$4:$Y$133,CX$2,FALSE)*CX$1</f>
        <v>0</v>
      </c>
      <c r="CY274" s="1117">
        <f>$G274+CX274</f>
        <v>62757268.946259603</v>
      </c>
      <c r="CZ274" s="1118">
        <f t="shared" ref="CZ274:CZ280" si="764">VLOOKUP($E274,CY$442:DB$453,2,FALSE)*CY274*($K274)+IF($G274&lt;&gt;0,($H274/$G274)*CY274,0)*(1-$K274)</f>
        <v>27262667.717048887</v>
      </c>
      <c r="DA274" s="1118">
        <f t="shared" ref="DA274:DA280" si="765">VLOOKUP($E274,CY$442:DB$453,3,FALSE)*CY274*($K274)+IF($G274&lt;&gt;0,($I274/$G274)*CY274,0)*(1-$K274)</f>
        <v>15883928.802817663</v>
      </c>
      <c r="DB274" s="1118">
        <f t="shared" ref="DB274:DB280" si="766">VLOOKUP($E274,CY$442:DB$453,4,FALSE)*CY274*($K274)+(CY274-CZ274-DA274)*(1-$K274)</f>
        <v>19610672.426393051</v>
      </c>
      <c r="DC274" s="1074"/>
      <c r="DF274" s="1162">
        <f>VLOOKUP($A274,'New Resources - Group'!$A$4:$Y$133,DF$2,FALSE)*DF$1</f>
        <v>0</v>
      </c>
      <c r="DG274" s="1117">
        <f>$G274+DF274</f>
        <v>62757268.946259603</v>
      </c>
      <c r="DH274" s="1118">
        <f t="shared" ref="DH274:DH280" si="767">VLOOKUP($E274,DG$442:DJ$453,2,FALSE)*DG274*($K274)+IF($G274&lt;&gt;0,($H274/$G274)*DG274,0)*(1-$K274)</f>
        <v>27262667.717048887</v>
      </c>
      <c r="DI274" s="1118">
        <f t="shared" ref="DI274:DI280" si="768">VLOOKUP($E274,DG$442:DJ$453,3,FALSE)*DG274*($K274)+IF($G274&lt;&gt;0,($I274/$G274)*DG274,0)*(1-$K274)</f>
        <v>15883928.802817663</v>
      </c>
      <c r="DJ274" s="1118">
        <f t="shared" ref="DJ274:DJ280" si="769">VLOOKUP($E274,DG$442:DJ$453,4,FALSE)*DG274*($K274)+(DG274-DH274-DI274)*(1-$K274)</f>
        <v>19610672.426393051</v>
      </c>
      <c r="DK274" s="1074"/>
      <c r="DN274" s="1162">
        <f>VLOOKUP($A274,'New Resources - Group'!$A$4:$Y$133,DN$2,FALSE)*DN$1</f>
        <v>0</v>
      </c>
      <c r="DO274" s="1117">
        <f>$G274+DN274</f>
        <v>62757268.946259603</v>
      </c>
      <c r="DP274" s="1118">
        <f t="shared" ref="DP274:DP280" si="770">VLOOKUP($E274,DO$442:DR$453,2,FALSE)*DO274*($K274)+IF($G274&lt;&gt;0,($H274/$G274)*DO274,0)*(1-$K274)</f>
        <v>27262667.717048887</v>
      </c>
      <c r="DQ274" s="1118">
        <f t="shared" ref="DQ274:DQ280" si="771">VLOOKUP($E274,DO$442:DR$453,3,FALSE)*DO274*($K274)+IF($G274&lt;&gt;0,($I274/$G274)*DO274,0)*(1-$K274)</f>
        <v>15883928.802817663</v>
      </c>
      <c r="DR274" s="1118">
        <f t="shared" ref="DR274:DR280" si="772">VLOOKUP($E274,DO$442:DR$453,4,FALSE)*DO274*($K274)+(DO274-DP274-DQ274)*(1-$K274)</f>
        <v>19610672.426393051</v>
      </c>
      <c r="DS274" s="1074"/>
      <c r="DV274" s="1162">
        <f>VLOOKUP($A274,'New Resources - Group'!$A$4:$Y$133,DV$2,FALSE)*DV$1</f>
        <v>0</v>
      </c>
      <c r="DW274" s="1117">
        <f>$G274+DV274</f>
        <v>62757268.946259603</v>
      </c>
      <c r="DX274" s="1118">
        <f t="shared" ref="DX274:DX280" si="773">VLOOKUP($E274,DW$442:DZ$453,2,FALSE)*DW274*($K274)+IF($G274&lt;&gt;0,($H274/$G274)*DW274,0)*(1-$K274)</f>
        <v>27262667.717048887</v>
      </c>
      <c r="DY274" s="1118">
        <f t="shared" ref="DY274:DY280" si="774">VLOOKUP($E274,DW$442:DZ$453,3,FALSE)*DW274*($K274)+IF($G274&lt;&gt;0,($I274/$G274)*DW274,0)*(1-$K274)</f>
        <v>15883928.802817663</v>
      </c>
      <c r="DZ274" s="1118">
        <f t="shared" ref="DZ274:DZ280" si="775">VLOOKUP($E274,DW$442:DZ$453,4,FALSE)*DW274*($K274)+(DW274-DX274-DY274)*(1-$K274)</f>
        <v>19610672.426393051</v>
      </c>
      <c r="EA274" s="1074"/>
      <c r="ED274" s="1162">
        <f>VLOOKUP($A274,'New Resources - Group'!$A$4:$Y$133,ED$2,FALSE)*ED$1</f>
        <v>0</v>
      </c>
      <c r="EE274" s="1117">
        <f>$G274+ED274</f>
        <v>62757268.946259603</v>
      </c>
      <c r="EF274" s="1118">
        <f t="shared" ref="EF274:EF280" si="776">VLOOKUP($E274,EE$442:EH$453,2,FALSE)*EE274*($K274)+IF($G274&lt;&gt;0,($H274/$G274)*EE274,0)*(1-$K274)</f>
        <v>27262667.717048887</v>
      </c>
      <c r="EG274" s="1118">
        <f t="shared" ref="EG274:EG280" si="777">VLOOKUP($E274,EE$442:EH$453,3,FALSE)*EE274*($K274)+IF($G274&lt;&gt;0,($I274/$G274)*EE274,0)*(1-$K274)</f>
        <v>15883928.802817663</v>
      </c>
      <c r="EH274" s="1118">
        <f t="shared" ref="EH274:EH280" si="778">VLOOKUP($E274,EE$442:EH$453,4,FALSE)*EE274*($K274)+(EE274-EF274-EG274)*(1-$K274)</f>
        <v>19610672.426393051</v>
      </c>
      <c r="EI274" s="1074"/>
      <c r="EL274" s="1162">
        <f>VLOOKUP($A274,'New Resources - Group'!$A$4:$Y$133,EL$2,FALSE)*EL$1</f>
        <v>0</v>
      </c>
      <c r="EM274" s="1117">
        <f>$G274+EL274</f>
        <v>62757268.946259603</v>
      </c>
      <c r="EN274" s="1118">
        <f t="shared" ref="EN274:EN280" si="779">VLOOKUP($E274,EM$442:EP$453,2,FALSE)*EM274*($K274)+IF($G274&lt;&gt;0,($H274/$G274)*EM274,0)*(1-$K274)</f>
        <v>27262667.717048887</v>
      </c>
      <c r="EO274" s="1118">
        <f t="shared" ref="EO274:EO280" si="780">VLOOKUP($E274,EM$442:EP$453,3,FALSE)*EM274*($K274)+IF($G274&lt;&gt;0,($I274/$G274)*EM274,0)*(1-$K274)</f>
        <v>15883928.802817663</v>
      </c>
      <c r="EP274" s="1118">
        <f t="shared" ref="EP274:EP280" si="781">VLOOKUP($E274,EM$442:EP$453,4,FALSE)*EM274*($K274)+(EM274-EN274-EO274)*(1-$K274)</f>
        <v>19610672.426393051</v>
      </c>
      <c r="EQ274" s="1074"/>
      <c r="ET274" s="1162">
        <f>VLOOKUP($A274,'New Resources - Group'!$A$4:$Y$133,ET$2,FALSE)*ET$1</f>
        <v>0</v>
      </c>
      <c r="EU274" s="1117">
        <f>$G274+ET274</f>
        <v>62757268.946259603</v>
      </c>
      <c r="EV274" s="1118">
        <f t="shared" ref="EV274:EV280" si="782">VLOOKUP($E274,EU$442:EX$453,2,FALSE)*EU274*($K274)+IF($G274&lt;&gt;0,($H274/$G274)*EU274,0)*(1-$K274)</f>
        <v>27262667.717048887</v>
      </c>
      <c r="EW274" s="1118">
        <f t="shared" ref="EW274:EW280" si="783">VLOOKUP($E274,EU$442:EX$453,3,FALSE)*EU274*($K274)+IF($G274&lt;&gt;0,($I274/$G274)*EU274,0)*(1-$K274)</f>
        <v>15883928.802817663</v>
      </c>
      <c r="EX274" s="1118">
        <f t="shared" ref="EX274:EX280" si="784">VLOOKUP($E274,EU$442:EX$453,4,FALSE)*EU274*($K274)+(EU274-EV274-EW274)*(1-$K274)</f>
        <v>19610672.426393051</v>
      </c>
      <c r="EY274" s="1074"/>
      <c r="FB274" s="1162">
        <f>VLOOKUP($A274,'New Resources - Group'!$A$4:$Y$133,FB$2,FALSE)*FB$1</f>
        <v>0</v>
      </c>
      <c r="FC274" s="1117">
        <f>$G274+FB274</f>
        <v>62757268.946259603</v>
      </c>
      <c r="FD274" s="1118">
        <f t="shared" ref="FD274:FD280" si="785">VLOOKUP($E274,FC$442:FF$453,2,FALSE)*FC274*($K274)+IF($G274&lt;&gt;0,($H274/$G274)*FC274,0)*(1-$K274)</f>
        <v>27262667.717048887</v>
      </c>
      <c r="FE274" s="1118">
        <f t="shared" ref="FE274:FE280" si="786">VLOOKUP($E274,FC$442:FF$453,3,FALSE)*FC274*($K274)+IF($G274&lt;&gt;0,($I274/$G274)*FC274,0)*(1-$K274)</f>
        <v>15883928.802817663</v>
      </c>
      <c r="FF274" s="1118">
        <f t="shared" ref="FF274:FF280" si="787">VLOOKUP($E274,FC$442:FF$453,4,FALSE)*FC274*($K274)+(FC274-FD274-FE274)*(1-$K274)</f>
        <v>19610672.426393051</v>
      </c>
      <c r="FG274" s="1074"/>
      <c r="FJ274" s="1162">
        <f>VLOOKUP($A274,'New Resources - Group'!$A$4:$Y$133,FJ$2,FALSE)*FJ$1</f>
        <v>0</v>
      </c>
      <c r="FK274" s="1117">
        <f>$G274+FJ274</f>
        <v>62757268.946259603</v>
      </c>
      <c r="FL274" s="1118">
        <f t="shared" ref="FL274:FL280" si="788">VLOOKUP($E274,FK$442:FN$453,2,FALSE)*FK274*($K274)+IF($G274&lt;&gt;0,($H274/$G274)*FK274,0)*(1-$K274)</f>
        <v>27262667.717048887</v>
      </c>
      <c r="FM274" s="1118">
        <f t="shared" ref="FM274:FM280" si="789">VLOOKUP($E274,FK$442:FN$453,3,FALSE)*FK274*($K274)+IF($G274&lt;&gt;0,($I274/$G274)*FK274,0)*(1-$K274)</f>
        <v>15883928.802817663</v>
      </c>
      <c r="FN274" s="1118">
        <f t="shared" ref="FN274:FN280" si="790">VLOOKUP($E274,FK$442:FN$453,4,FALSE)*FK274*($K274)+(FK274-FL274-FM274)*(1-$K274)</f>
        <v>19610672.426393051</v>
      </c>
      <c r="FO274" s="1074"/>
    </row>
    <row r="275" spans="1:171" x14ac:dyDescent="0.25">
      <c r="A275" s="1373"/>
      <c r="B275" s="63" t="s">
        <v>152</v>
      </c>
      <c r="C275" s="1023">
        <v>262</v>
      </c>
      <c r="D275" s="1024">
        <v>408.1</v>
      </c>
      <c r="E275" s="182" t="str">
        <f>'Sch 3A - Taxes'!E23</f>
        <v>LABOR</v>
      </c>
      <c r="F275" s="890"/>
      <c r="G275" s="182">
        <f>'Sch 3A - Taxes'!F23</f>
        <v>1364754.9693939744</v>
      </c>
      <c r="H275" s="182">
        <f>'Sch 3A - Taxes'!G23</f>
        <v>568902.75159840868</v>
      </c>
      <c r="I275" s="182">
        <f>'Sch 3A - Taxes'!H23</f>
        <v>0</v>
      </c>
      <c r="J275" s="1422">
        <f>'Sch 3A - Taxes'!I23</f>
        <v>795852.21779556572</v>
      </c>
      <c r="K275" s="904">
        <f t="shared" si="730"/>
        <v>1</v>
      </c>
      <c r="O275" s="1117">
        <f t="shared" ref="O275:O280" si="791">$G275</f>
        <v>1364754.9693939744</v>
      </c>
      <c r="P275" s="1118">
        <f t="shared" si="731"/>
        <v>568902.75159840868</v>
      </c>
      <c r="Q275" s="1118">
        <f t="shared" si="732"/>
        <v>36861.158006309823</v>
      </c>
      <c r="R275" s="1118">
        <f t="shared" si="733"/>
        <v>758991.05978925584</v>
      </c>
      <c r="S275" s="1074"/>
      <c r="W275" s="1117">
        <f t="shared" ref="W275:W280" si="792">$G275</f>
        <v>1364754.9693939744</v>
      </c>
      <c r="X275" s="1118">
        <f t="shared" si="734"/>
        <v>568902.75159840868</v>
      </c>
      <c r="Y275" s="1118">
        <f t="shared" si="735"/>
        <v>36861.158006309823</v>
      </c>
      <c r="Z275" s="1118">
        <f t="shared" si="736"/>
        <v>758991.05978925584</v>
      </c>
      <c r="AA275" s="1074"/>
      <c r="AE275" s="1117">
        <f t="shared" ref="AE275:AE280" si="793">$G275</f>
        <v>1364754.9693939744</v>
      </c>
      <c r="AF275" s="1118">
        <f t="shared" si="737"/>
        <v>568902.75159840868</v>
      </c>
      <c r="AG275" s="1118">
        <f t="shared" si="738"/>
        <v>36861.158006309823</v>
      </c>
      <c r="AH275" s="1118">
        <f t="shared" si="739"/>
        <v>758991.05978925584</v>
      </c>
      <c r="AI275" s="1074"/>
      <c r="AM275" s="1117">
        <f t="shared" ref="AM275:AM280" si="794">$G275</f>
        <v>1364754.9693939744</v>
      </c>
      <c r="AN275" s="1118">
        <f t="shared" si="740"/>
        <v>568902.75159840868</v>
      </c>
      <c r="AO275" s="1118">
        <f t="shared" si="741"/>
        <v>36861.158006309823</v>
      </c>
      <c r="AP275" s="1118">
        <f t="shared" si="742"/>
        <v>758991.05978925584</v>
      </c>
      <c r="AQ275" s="1074"/>
      <c r="AU275" s="1117">
        <f t="shared" ref="AU275:AU280" si="795">$G275</f>
        <v>1364754.9693939744</v>
      </c>
      <c r="AV275" s="1118">
        <f t="shared" si="743"/>
        <v>568902.75159840868</v>
      </c>
      <c r="AW275" s="1118">
        <f t="shared" si="744"/>
        <v>36861.158006309823</v>
      </c>
      <c r="AX275" s="1118">
        <f t="shared" si="745"/>
        <v>758991.05978925584</v>
      </c>
      <c r="AY275" s="1074"/>
      <c r="BC275" s="1117">
        <f t="shared" ref="BC275:BC280" si="796">$G275</f>
        <v>1364754.9693939744</v>
      </c>
      <c r="BD275" s="1118">
        <f t="shared" si="746"/>
        <v>568902.75159840868</v>
      </c>
      <c r="BE275" s="1118">
        <f t="shared" si="747"/>
        <v>36861.158006309823</v>
      </c>
      <c r="BF275" s="1118">
        <f t="shared" si="748"/>
        <v>758991.05978925584</v>
      </c>
      <c r="BG275" s="1074"/>
      <c r="BK275" s="1117">
        <f t="shared" ref="BK275:BK280" si="797">$G275</f>
        <v>1364754.9693939744</v>
      </c>
      <c r="BL275" s="1118">
        <f t="shared" si="749"/>
        <v>568902.75159840868</v>
      </c>
      <c r="BM275" s="1118">
        <f t="shared" si="750"/>
        <v>36861.158006309823</v>
      </c>
      <c r="BN275" s="1118">
        <f t="shared" si="751"/>
        <v>758991.05978925584</v>
      </c>
      <c r="BO275" s="1074"/>
      <c r="BS275" s="1117">
        <f t="shared" ref="BS275:BS280" si="798">$G275</f>
        <v>1364754.9693939744</v>
      </c>
      <c r="BT275" s="1118">
        <f t="shared" si="752"/>
        <v>568902.75159840868</v>
      </c>
      <c r="BU275" s="1118">
        <f t="shared" si="753"/>
        <v>36861.158006309823</v>
      </c>
      <c r="BV275" s="1118">
        <f t="shared" si="754"/>
        <v>758991.05978925584</v>
      </c>
      <c r="BW275" s="1074"/>
      <c r="CA275" s="1117">
        <f t="shared" ref="CA275:CA280" si="799">$G275</f>
        <v>1364754.9693939744</v>
      </c>
      <c r="CB275" s="1118">
        <f t="shared" si="755"/>
        <v>568902.75159840868</v>
      </c>
      <c r="CC275" s="1118">
        <f t="shared" si="756"/>
        <v>36861.158006309823</v>
      </c>
      <c r="CD275" s="1118">
        <f t="shared" si="757"/>
        <v>758991.05978925584</v>
      </c>
      <c r="CE275" s="1074"/>
      <c r="CI275" s="1117">
        <f t="shared" ref="CI275:CI280" si="800">$G275</f>
        <v>1364754.9693939744</v>
      </c>
      <c r="CJ275" s="1118">
        <f t="shared" si="758"/>
        <v>568902.75159840868</v>
      </c>
      <c r="CK275" s="1118">
        <f t="shared" si="759"/>
        <v>36861.158006309823</v>
      </c>
      <c r="CL275" s="1118">
        <f t="shared" si="760"/>
        <v>758991.05978925584</v>
      </c>
      <c r="CM275" s="1074"/>
      <c r="CQ275" s="1117">
        <f t="shared" ref="CQ275:CQ280" si="801">$G275</f>
        <v>1364754.9693939744</v>
      </c>
      <c r="CR275" s="1118">
        <f t="shared" si="761"/>
        <v>568902.75159840868</v>
      </c>
      <c r="CS275" s="1118">
        <f t="shared" si="762"/>
        <v>36861.158006309823</v>
      </c>
      <c r="CT275" s="1118">
        <f t="shared" si="763"/>
        <v>758991.05978925584</v>
      </c>
      <c r="CU275" s="1074"/>
      <c r="CY275" s="1117">
        <f t="shared" ref="CY275:CY280" si="802">$G275</f>
        <v>1364754.9693939744</v>
      </c>
      <c r="CZ275" s="1118">
        <f t="shared" si="764"/>
        <v>568902.75159840868</v>
      </c>
      <c r="DA275" s="1118">
        <f t="shared" si="765"/>
        <v>36861.158006309823</v>
      </c>
      <c r="DB275" s="1118">
        <f t="shared" si="766"/>
        <v>758991.05978925584</v>
      </c>
      <c r="DC275" s="1074"/>
      <c r="DG275" s="1117">
        <f t="shared" ref="DG275:DG280" si="803">$G275</f>
        <v>1364754.9693939744</v>
      </c>
      <c r="DH275" s="1118">
        <f t="shared" si="767"/>
        <v>568902.75159840868</v>
      </c>
      <c r="DI275" s="1118">
        <f t="shared" si="768"/>
        <v>36861.158006309823</v>
      </c>
      <c r="DJ275" s="1118">
        <f t="shared" si="769"/>
        <v>758991.05978925584</v>
      </c>
      <c r="DK275" s="1074"/>
      <c r="DO275" s="1117">
        <f t="shared" ref="DO275:DO280" si="804">$G275</f>
        <v>1364754.9693939744</v>
      </c>
      <c r="DP275" s="1118">
        <f t="shared" si="770"/>
        <v>568902.75159840868</v>
      </c>
      <c r="DQ275" s="1118">
        <f t="shared" si="771"/>
        <v>36861.158006309823</v>
      </c>
      <c r="DR275" s="1118">
        <f t="shared" si="772"/>
        <v>758991.05978925584</v>
      </c>
      <c r="DS275" s="1074"/>
      <c r="DW275" s="1117">
        <f t="shared" ref="DW275:DW280" si="805">$G275</f>
        <v>1364754.9693939744</v>
      </c>
      <c r="DX275" s="1118">
        <f t="shared" si="773"/>
        <v>568902.75159840868</v>
      </c>
      <c r="DY275" s="1118">
        <f t="shared" si="774"/>
        <v>36861.158006309823</v>
      </c>
      <c r="DZ275" s="1118">
        <f t="shared" si="775"/>
        <v>758991.05978925584</v>
      </c>
      <c r="EA275" s="1074"/>
      <c r="EE275" s="1117">
        <f t="shared" ref="EE275:EE280" si="806">$G275</f>
        <v>1364754.9693939744</v>
      </c>
      <c r="EF275" s="1118">
        <f t="shared" si="776"/>
        <v>568902.75159840868</v>
      </c>
      <c r="EG275" s="1118">
        <f t="shared" si="777"/>
        <v>36861.158006309823</v>
      </c>
      <c r="EH275" s="1118">
        <f t="shared" si="778"/>
        <v>758991.05978925584</v>
      </c>
      <c r="EI275" s="1074"/>
      <c r="EM275" s="1117">
        <f t="shared" ref="EM275:EM280" si="807">$G275</f>
        <v>1364754.9693939744</v>
      </c>
      <c r="EN275" s="1118">
        <f t="shared" si="779"/>
        <v>568902.75159840868</v>
      </c>
      <c r="EO275" s="1118">
        <f t="shared" si="780"/>
        <v>36861.158006309823</v>
      </c>
      <c r="EP275" s="1118">
        <f t="shared" si="781"/>
        <v>758991.05978925584</v>
      </c>
      <c r="EQ275" s="1074"/>
      <c r="EU275" s="1117">
        <f t="shared" ref="EU275:EU280" si="808">$G275</f>
        <v>1364754.9693939744</v>
      </c>
      <c r="EV275" s="1118">
        <f t="shared" si="782"/>
        <v>568902.75159840868</v>
      </c>
      <c r="EW275" s="1118">
        <f t="shared" si="783"/>
        <v>36861.158006309823</v>
      </c>
      <c r="EX275" s="1118">
        <f t="shared" si="784"/>
        <v>758991.05978925584</v>
      </c>
      <c r="EY275" s="1074"/>
      <c r="FC275" s="1117">
        <f t="shared" ref="FC275:FC280" si="809">$G275</f>
        <v>1364754.9693939744</v>
      </c>
      <c r="FD275" s="1118">
        <f t="shared" si="785"/>
        <v>568902.75159840868</v>
      </c>
      <c r="FE275" s="1118">
        <f t="shared" si="786"/>
        <v>36861.158006309823</v>
      </c>
      <c r="FF275" s="1118">
        <f t="shared" si="787"/>
        <v>758991.05978925584</v>
      </c>
      <c r="FG275" s="1074"/>
      <c r="FK275" s="1117">
        <f t="shared" ref="FK275:FK280" si="810">$G275</f>
        <v>1364754.9693939744</v>
      </c>
      <c r="FL275" s="1118">
        <f t="shared" si="788"/>
        <v>568902.75159840868</v>
      </c>
      <c r="FM275" s="1118">
        <f t="shared" si="789"/>
        <v>36861.158006309823</v>
      </c>
      <c r="FN275" s="1118">
        <f t="shared" si="790"/>
        <v>758991.05978925584</v>
      </c>
      <c r="FO275" s="1074"/>
    </row>
    <row r="276" spans="1:171" x14ac:dyDescent="0.25">
      <c r="A276" s="1373"/>
      <c r="B276" s="63" t="s">
        <v>568</v>
      </c>
      <c r="C276" s="1023">
        <v>262</v>
      </c>
      <c r="D276" s="1024">
        <v>409.1</v>
      </c>
      <c r="E276" s="182" t="str">
        <f>'Sch 3A - Taxes'!E24</f>
        <v>DIST</v>
      </c>
      <c r="F276" s="890"/>
      <c r="G276" s="182">
        <f>'Sch 3A - Taxes'!F24</f>
        <v>1066334.5535052733</v>
      </c>
      <c r="H276" s="182">
        <f>'Sch 3A - Taxes'!G24</f>
        <v>0</v>
      </c>
      <c r="I276" s="182">
        <f>'Sch 3A - Taxes'!H24</f>
        <v>0</v>
      </c>
      <c r="J276" s="1422">
        <f>'Sch 3A - Taxes'!I24</f>
        <v>1066334.5535052733</v>
      </c>
      <c r="K276" s="904">
        <f t="shared" si="730"/>
        <v>1</v>
      </c>
      <c r="O276" s="1117">
        <f t="shared" si="791"/>
        <v>1066334.5535052733</v>
      </c>
      <c r="P276" s="1118">
        <f t="shared" si="731"/>
        <v>0</v>
      </c>
      <c r="Q276" s="1118">
        <f t="shared" si="732"/>
        <v>0</v>
      </c>
      <c r="R276" s="1118">
        <f t="shared" si="733"/>
        <v>1066334.5535052733</v>
      </c>
      <c r="S276" s="1074"/>
      <c r="W276" s="1117">
        <f t="shared" si="792"/>
        <v>1066334.5535052733</v>
      </c>
      <c r="X276" s="1118">
        <f t="shared" si="734"/>
        <v>0</v>
      </c>
      <c r="Y276" s="1118">
        <f t="shared" si="735"/>
        <v>0</v>
      </c>
      <c r="Z276" s="1118">
        <f t="shared" si="736"/>
        <v>1066334.5535052733</v>
      </c>
      <c r="AA276" s="1074"/>
      <c r="AE276" s="1117">
        <f t="shared" si="793"/>
        <v>1066334.5535052733</v>
      </c>
      <c r="AF276" s="1118">
        <f t="shared" si="737"/>
        <v>0</v>
      </c>
      <c r="AG276" s="1118">
        <f t="shared" si="738"/>
        <v>0</v>
      </c>
      <c r="AH276" s="1118">
        <f t="shared" si="739"/>
        <v>1066334.5535052733</v>
      </c>
      <c r="AI276" s="1074"/>
      <c r="AM276" s="1117">
        <f t="shared" si="794"/>
        <v>1066334.5535052733</v>
      </c>
      <c r="AN276" s="1118">
        <f t="shared" si="740"/>
        <v>0</v>
      </c>
      <c r="AO276" s="1118">
        <f t="shared" si="741"/>
        <v>0</v>
      </c>
      <c r="AP276" s="1118">
        <f t="shared" si="742"/>
        <v>1066334.5535052733</v>
      </c>
      <c r="AQ276" s="1074"/>
      <c r="AU276" s="1117">
        <f t="shared" si="795"/>
        <v>1066334.5535052733</v>
      </c>
      <c r="AV276" s="1118">
        <f t="shared" si="743"/>
        <v>0</v>
      </c>
      <c r="AW276" s="1118">
        <f t="shared" si="744"/>
        <v>0</v>
      </c>
      <c r="AX276" s="1118">
        <f t="shared" si="745"/>
        <v>1066334.5535052733</v>
      </c>
      <c r="AY276" s="1074"/>
      <c r="BC276" s="1117">
        <f t="shared" si="796"/>
        <v>1066334.5535052733</v>
      </c>
      <c r="BD276" s="1118">
        <f t="shared" si="746"/>
        <v>0</v>
      </c>
      <c r="BE276" s="1118">
        <f t="shared" si="747"/>
        <v>0</v>
      </c>
      <c r="BF276" s="1118">
        <f t="shared" si="748"/>
        <v>1066334.5535052733</v>
      </c>
      <c r="BG276" s="1074"/>
      <c r="BK276" s="1117">
        <f t="shared" si="797"/>
        <v>1066334.5535052733</v>
      </c>
      <c r="BL276" s="1118">
        <f t="shared" si="749"/>
        <v>0</v>
      </c>
      <c r="BM276" s="1118">
        <f t="shared" si="750"/>
        <v>0</v>
      </c>
      <c r="BN276" s="1118">
        <f t="shared" si="751"/>
        <v>1066334.5535052733</v>
      </c>
      <c r="BO276" s="1074"/>
      <c r="BS276" s="1117">
        <f t="shared" si="798"/>
        <v>1066334.5535052733</v>
      </c>
      <c r="BT276" s="1118">
        <f t="shared" si="752"/>
        <v>0</v>
      </c>
      <c r="BU276" s="1118">
        <f t="shared" si="753"/>
        <v>0</v>
      </c>
      <c r="BV276" s="1118">
        <f t="shared" si="754"/>
        <v>1066334.5535052733</v>
      </c>
      <c r="BW276" s="1074"/>
      <c r="CA276" s="1117">
        <f t="shared" si="799"/>
        <v>1066334.5535052733</v>
      </c>
      <c r="CB276" s="1118">
        <f t="shared" si="755"/>
        <v>0</v>
      </c>
      <c r="CC276" s="1118">
        <f t="shared" si="756"/>
        <v>0</v>
      </c>
      <c r="CD276" s="1118">
        <f t="shared" si="757"/>
        <v>1066334.5535052733</v>
      </c>
      <c r="CE276" s="1074"/>
      <c r="CI276" s="1117">
        <f t="shared" si="800"/>
        <v>1066334.5535052733</v>
      </c>
      <c r="CJ276" s="1118">
        <f t="shared" si="758"/>
        <v>0</v>
      </c>
      <c r="CK276" s="1118">
        <f t="shared" si="759"/>
        <v>0</v>
      </c>
      <c r="CL276" s="1118">
        <f t="shared" si="760"/>
        <v>1066334.5535052733</v>
      </c>
      <c r="CM276" s="1074"/>
      <c r="CQ276" s="1117">
        <f t="shared" si="801"/>
        <v>1066334.5535052733</v>
      </c>
      <c r="CR276" s="1118">
        <f t="shared" si="761"/>
        <v>0</v>
      </c>
      <c r="CS276" s="1118">
        <f t="shared" si="762"/>
        <v>0</v>
      </c>
      <c r="CT276" s="1118">
        <f t="shared" si="763"/>
        <v>1066334.5535052733</v>
      </c>
      <c r="CU276" s="1074"/>
      <c r="CY276" s="1117">
        <f t="shared" si="802"/>
        <v>1066334.5535052733</v>
      </c>
      <c r="CZ276" s="1118">
        <f t="shared" si="764"/>
        <v>0</v>
      </c>
      <c r="DA276" s="1118">
        <f t="shared" si="765"/>
        <v>0</v>
      </c>
      <c r="DB276" s="1118">
        <f t="shared" si="766"/>
        <v>1066334.5535052733</v>
      </c>
      <c r="DC276" s="1074"/>
      <c r="DG276" s="1117">
        <f t="shared" si="803"/>
        <v>1066334.5535052733</v>
      </c>
      <c r="DH276" s="1118">
        <f t="shared" si="767"/>
        <v>0</v>
      </c>
      <c r="DI276" s="1118">
        <f t="shared" si="768"/>
        <v>0</v>
      </c>
      <c r="DJ276" s="1118">
        <f t="shared" si="769"/>
        <v>1066334.5535052733</v>
      </c>
      <c r="DK276" s="1074"/>
      <c r="DO276" s="1117">
        <f t="shared" si="804"/>
        <v>1066334.5535052733</v>
      </c>
      <c r="DP276" s="1118">
        <f t="shared" si="770"/>
        <v>0</v>
      </c>
      <c r="DQ276" s="1118">
        <f t="shared" si="771"/>
        <v>0</v>
      </c>
      <c r="DR276" s="1118">
        <f t="shared" si="772"/>
        <v>1066334.5535052733</v>
      </c>
      <c r="DS276" s="1074"/>
      <c r="DW276" s="1117">
        <f t="shared" si="805"/>
        <v>1066334.5535052733</v>
      </c>
      <c r="DX276" s="1118">
        <f t="shared" si="773"/>
        <v>0</v>
      </c>
      <c r="DY276" s="1118">
        <f t="shared" si="774"/>
        <v>0</v>
      </c>
      <c r="DZ276" s="1118">
        <f t="shared" si="775"/>
        <v>1066334.5535052733</v>
      </c>
      <c r="EA276" s="1074"/>
      <c r="EE276" s="1117">
        <f t="shared" si="806"/>
        <v>1066334.5535052733</v>
      </c>
      <c r="EF276" s="1118">
        <f t="shared" si="776"/>
        <v>0</v>
      </c>
      <c r="EG276" s="1118">
        <f t="shared" si="777"/>
        <v>0</v>
      </c>
      <c r="EH276" s="1118">
        <f t="shared" si="778"/>
        <v>1066334.5535052733</v>
      </c>
      <c r="EI276" s="1074"/>
      <c r="EM276" s="1117">
        <f t="shared" si="807"/>
        <v>1066334.5535052733</v>
      </c>
      <c r="EN276" s="1118">
        <f t="shared" si="779"/>
        <v>0</v>
      </c>
      <c r="EO276" s="1118">
        <f t="shared" si="780"/>
        <v>0</v>
      </c>
      <c r="EP276" s="1118">
        <f t="shared" si="781"/>
        <v>1066334.5535052733</v>
      </c>
      <c r="EQ276" s="1074"/>
      <c r="EU276" s="1117">
        <f t="shared" si="808"/>
        <v>1066334.5535052733</v>
      </c>
      <c r="EV276" s="1118">
        <f t="shared" si="782"/>
        <v>0</v>
      </c>
      <c r="EW276" s="1118">
        <f t="shared" si="783"/>
        <v>0</v>
      </c>
      <c r="EX276" s="1118">
        <f t="shared" si="784"/>
        <v>1066334.5535052733</v>
      </c>
      <c r="EY276" s="1074"/>
      <c r="FC276" s="1117">
        <f t="shared" si="809"/>
        <v>1066334.5535052733</v>
      </c>
      <c r="FD276" s="1118">
        <f t="shared" si="785"/>
        <v>0</v>
      </c>
      <c r="FE276" s="1118">
        <f t="shared" si="786"/>
        <v>0</v>
      </c>
      <c r="FF276" s="1118">
        <f t="shared" si="787"/>
        <v>1066334.5535052733</v>
      </c>
      <c r="FG276" s="1074"/>
      <c r="FK276" s="1117">
        <f t="shared" si="810"/>
        <v>1066334.5535052733</v>
      </c>
      <c r="FL276" s="1118">
        <f t="shared" si="788"/>
        <v>0</v>
      </c>
      <c r="FM276" s="1118">
        <f t="shared" si="789"/>
        <v>0</v>
      </c>
      <c r="FN276" s="1118">
        <f t="shared" si="790"/>
        <v>1066334.5535052733</v>
      </c>
      <c r="FO276" s="1074"/>
    </row>
    <row r="277" spans="1:171" x14ac:dyDescent="0.25">
      <c r="A277" s="1373"/>
      <c r="B277" s="63" t="s">
        <v>569</v>
      </c>
      <c r="C277" s="1023">
        <v>262</v>
      </c>
      <c r="D277" s="1024">
        <v>408.1</v>
      </c>
      <c r="E277" s="182" t="str">
        <f>'Sch 3A - Taxes'!E25</f>
        <v>DIST</v>
      </c>
      <c r="F277" s="890"/>
      <c r="G277" s="182">
        <f>'Sch 3A - Taxes'!F25</f>
        <v>33981773.116844907</v>
      </c>
      <c r="H277" s="182">
        <f>'Sch 3A - Taxes'!G25</f>
        <v>0</v>
      </c>
      <c r="I277" s="182">
        <f>'Sch 3A - Taxes'!H25</f>
        <v>0</v>
      </c>
      <c r="J277" s="1422">
        <f>'Sch 3A - Taxes'!I25</f>
        <v>33981773.116844907</v>
      </c>
      <c r="K277" s="904">
        <f t="shared" si="730"/>
        <v>1</v>
      </c>
      <c r="O277" s="1117">
        <f t="shared" si="791"/>
        <v>33981773.116844907</v>
      </c>
      <c r="P277" s="1118">
        <f t="shared" si="731"/>
        <v>0</v>
      </c>
      <c r="Q277" s="1118">
        <f t="shared" si="732"/>
        <v>0</v>
      </c>
      <c r="R277" s="1118">
        <f t="shared" si="733"/>
        <v>33981773.116844907</v>
      </c>
      <c r="S277" s="1074"/>
      <c r="W277" s="1117">
        <f t="shared" si="792"/>
        <v>33981773.116844907</v>
      </c>
      <c r="X277" s="1118">
        <f t="shared" si="734"/>
        <v>0</v>
      </c>
      <c r="Y277" s="1118">
        <f t="shared" si="735"/>
        <v>0</v>
      </c>
      <c r="Z277" s="1118">
        <f t="shared" si="736"/>
        <v>33981773.116844907</v>
      </c>
      <c r="AA277" s="1074"/>
      <c r="AE277" s="1117">
        <f t="shared" si="793"/>
        <v>33981773.116844907</v>
      </c>
      <c r="AF277" s="1118">
        <f t="shared" si="737"/>
        <v>0</v>
      </c>
      <c r="AG277" s="1118">
        <f t="shared" si="738"/>
        <v>0</v>
      </c>
      <c r="AH277" s="1118">
        <f t="shared" si="739"/>
        <v>33981773.116844907</v>
      </c>
      <c r="AI277" s="1074"/>
      <c r="AM277" s="1117">
        <f t="shared" si="794"/>
        <v>33981773.116844907</v>
      </c>
      <c r="AN277" s="1118">
        <f t="shared" si="740"/>
        <v>0</v>
      </c>
      <c r="AO277" s="1118">
        <f t="shared" si="741"/>
        <v>0</v>
      </c>
      <c r="AP277" s="1118">
        <f t="shared" si="742"/>
        <v>33981773.116844907</v>
      </c>
      <c r="AQ277" s="1074"/>
      <c r="AU277" s="1117">
        <f t="shared" si="795"/>
        <v>33981773.116844907</v>
      </c>
      <c r="AV277" s="1118">
        <f t="shared" si="743"/>
        <v>0</v>
      </c>
      <c r="AW277" s="1118">
        <f t="shared" si="744"/>
        <v>0</v>
      </c>
      <c r="AX277" s="1118">
        <f t="shared" si="745"/>
        <v>33981773.116844907</v>
      </c>
      <c r="AY277" s="1074"/>
      <c r="BC277" s="1117">
        <f t="shared" si="796"/>
        <v>33981773.116844907</v>
      </c>
      <c r="BD277" s="1118">
        <f t="shared" si="746"/>
        <v>0</v>
      </c>
      <c r="BE277" s="1118">
        <f t="shared" si="747"/>
        <v>0</v>
      </c>
      <c r="BF277" s="1118">
        <f t="shared" si="748"/>
        <v>33981773.116844907</v>
      </c>
      <c r="BG277" s="1074"/>
      <c r="BK277" s="1117">
        <f t="shared" si="797"/>
        <v>33981773.116844907</v>
      </c>
      <c r="BL277" s="1118">
        <f t="shared" si="749"/>
        <v>0</v>
      </c>
      <c r="BM277" s="1118">
        <f t="shared" si="750"/>
        <v>0</v>
      </c>
      <c r="BN277" s="1118">
        <f t="shared" si="751"/>
        <v>33981773.116844907</v>
      </c>
      <c r="BO277" s="1074"/>
      <c r="BS277" s="1117">
        <f t="shared" si="798"/>
        <v>33981773.116844907</v>
      </c>
      <c r="BT277" s="1118">
        <f t="shared" si="752"/>
        <v>0</v>
      </c>
      <c r="BU277" s="1118">
        <f t="shared" si="753"/>
        <v>0</v>
      </c>
      <c r="BV277" s="1118">
        <f t="shared" si="754"/>
        <v>33981773.116844907</v>
      </c>
      <c r="BW277" s="1074"/>
      <c r="CA277" s="1117">
        <f t="shared" si="799"/>
        <v>33981773.116844907</v>
      </c>
      <c r="CB277" s="1118">
        <f t="shared" si="755"/>
        <v>0</v>
      </c>
      <c r="CC277" s="1118">
        <f t="shared" si="756"/>
        <v>0</v>
      </c>
      <c r="CD277" s="1118">
        <f t="shared" si="757"/>
        <v>33981773.116844907</v>
      </c>
      <c r="CE277" s="1074"/>
      <c r="CI277" s="1117">
        <f t="shared" si="800"/>
        <v>33981773.116844907</v>
      </c>
      <c r="CJ277" s="1118">
        <f t="shared" si="758"/>
        <v>0</v>
      </c>
      <c r="CK277" s="1118">
        <f t="shared" si="759"/>
        <v>0</v>
      </c>
      <c r="CL277" s="1118">
        <f t="shared" si="760"/>
        <v>33981773.116844907</v>
      </c>
      <c r="CM277" s="1074"/>
      <c r="CQ277" s="1117">
        <f t="shared" si="801"/>
        <v>33981773.116844907</v>
      </c>
      <c r="CR277" s="1118">
        <f t="shared" si="761"/>
        <v>0</v>
      </c>
      <c r="CS277" s="1118">
        <f t="shared" si="762"/>
        <v>0</v>
      </c>
      <c r="CT277" s="1118">
        <f t="shared" si="763"/>
        <v>33981773.116844907</v>
      </c>
      <c r="CU277" s="1074"/>
      <c r="CY277" s="1117">
        <f t="shared" si="802"/>
        <v>33981773.116844907</v>
      </c>
      <c r="CZ277" s="1118">
        <f t="shared" si="764"/>
        <v>0</v>
      </c>
      <c r="DA277" s="1118">
        <f t="shared" si="765"/>
        <v>0</v>
      </c>
      <c r="DB277" s="1118">
        <f t="shared" si="766"/>
        <v>33981773.116844907</v>
      </c>
      <c r="DC277" s="1074"/>
      <c r="DG277" s="1117">
        <f t="shared" si="803"/>
        <v>33981773.116844907</v>
      </c>
      <c r="DH277" s="1118">
        <f t="shared" si="767"/>
        <v>0</v>
      </c>
      <c r="DI277" s="1118">
        <f t="shared" si="768"/>
        <v>0</v>
      </c>
      <c r="DJ277" s="1118">
        <f t="shared" si="769"/>
        <v>33981773.116844907</v>
      </c>
      <c r="DK277" s="1074"/>
      <c r="DO277" s="1117">
        <f t="shared" si="804"/>
        <v>33981773.116844907</v>
      </c>
      <c r="DP277" s="1118">
        <f t="shared" si="770"/>
        <v>0</v>
      </c>
      <c r="DQ277" s="1118">
        <f t="shared" si="771"/>
        <v>0</v>
      </c>
      <c r="DR277" s="1118">
        <f t="shared" si="772"/>
        <v>33981773.116844907</v>
      </c>
      <c r="DS277" s="1074"/>
      <c r="DW277" s="1117">
        <f t="shared" si="805"/>
        <v>33981773.116844907</v>
      </c>
      <c r="DX277" s="1118">
        <f t="shared" si="773"/>
        <v>0</v>
      </c>
      <c r="DY277" s="1118">
        <f t="shared" si="774"/>
        <v>0</v>
      </c>
      <c r="DZ277" s="1118">
        <f t="shared" si="775"/>
        <v>33981773.116844907</v>
      </c>
      <c r="EA277" s="1074"/>
      <c r="EE277" s="1117">
        <f t="shared" si="806"/>
        <v>33981773.116844907</v>
      </c>
      <c r="EF277" s="1118">
        <f t="shared" si="776"/>
        <v>0</v>
      </c>
      <c r="EG277" s="1118">
        <f t="shared" si="777"/>
        <v>0</v>
      </c>
      <c r="EH277" s="1118">
        <f t="shared" si="778"/>
        <v>33981773.116844907</v>
      </c>
      <c r="EI277" s="1074"/>
      <c r="EM277" s="1117">
        <f t="shared" si="807"/>
        <v>33981773.116844907</v>
      </c>
      <c r="EN277" s="1118">
        <f t="shared" si="779"/>
        <v>0</v>
      </c>
      <c r="EO277" s="1118">
        <f t="shared" si="780"/>
        <v>0</v>
      </c>
      <c r="EP277" s="1118">
        <f t="shared" si="781"/>
        <v>33981773.116844907</v>
      </c>
      <c r="EQ277" s="1074"/>
      <c r="EU277" s="1117">
        <f t="shared" si="808"/>
        <v>33981773.116844907</v>
      </c>
      <c r="EV277" s="1118">
        <f t="shared" si="782"/>
        <v>0</v>
      </c>
      <c r="EW277" s="1118">
        <f t="shared" si="783"/>
        <v>0</v>
      </c>
      <c r="EX277" s="1118">
        <f t="shared" si="784"/>
        <v>33981773.116844907</v>
      </c>
      <c r="EY277" s="1074"/>
      <c r="FC277" s="1117">
        <f t="shared" si="809"/>
        <v>33981773.116844907</v>
      </c>
      <c r="FD277" s="1118">
        <f t="shared" si="785"/>
        <v>0</v>
      </c>
      <c r="FE277" s="1118">
        <f t="shared" si="786"/>
        <v>0</v>
      </c>
      <c r="FF277" s="1118">
        <f t="shared" si="787"/>
        <v>33981773.116844907</v>
      </c>
      <c r="FG277" s="1074"/>
      <c r="FK277" s="1117">
        <f t="shared" si="810"/>
        <v>33981773.116844907</v>
      </c>
      <c r="FL277" s="1118">
        <f t="shared" si="788"/>
        <v>0</v>
      </c>
      <c r="FM277" s="1118">
        <f t="shared" si="789"/>
        <v>0</v>
      </c>
      <c r="FN277" s="1118">
        <f t="shared" si="790"/>
        <v>33981773.116844907</v>
      </c>
      <c r="FO277" s="1074"/>
    </row>
    <row r="278" spans="1:171" x14ac:dyDescent="0.25">
      <c r="A278" s="1373"/>
      <c r="B278" s="63" t="s">
        <v>153</v>
      </c>
      <c r="C278" s="1023">
        <v>262</v>
      </c>
      <c r="D278" s="1024">
        <v>408.1</v>
      </c>
      <c r="E278" s="182" t="str">
        <f>'Sch 3A - Taxes'!E26</f>
        <v>DIST</v>
      </c>
      <c r="F278" s="890"/>
      <c r="G278" s="182">
        <f>'Sch 3A - Taxes'!F26</f>
        <v>7839988.4010800999</v>
      </c>
      <c r="H278" s="182">
        <f>'Sch 3A - Taxes'!G26</f>
        <v>0</v>
      </c>
      <c r="I278" s="182">
        <f>'Sch 3A - Taxes'!H26</f>
        <v>0</v>
      </c>
      <c r="J278" s="1422">
        <f>'Sch 3A - Taxes'!I26</f>
        <v>7839988.4010800999</v>
      </c>
      <c r="K278" s="904">
        <f t="shared" si="730"/>
        <v>1</v>
      </c>
      <c r="O278" s="1117">
        <f t="shared" si="791"/>
        <v>7839988.4010800999</v>
      </c>
      <c r="P278" s="1118">
        <f t="shared" si="731"/>
        <v>0</v>
      </c>
      <c r="Q278" s="1118">
        <f t="shared" si="732"/>
        <v>0</v>
      </c>
      <c r="R278" s="1118">
        <f t="shared" si="733"/>
        <v>7839988.4010800999</v>
      </c>
      <c r="S278" s="1074"/>
      <c r="W278" s="1117">
        <f t="shared" si="792"/>
        <v>7839988.4010800999</v>
      </c>
      <c r="X278" s="1118">
        <f t="shared" si="734"/>
        <v>0</v>
      </c>
      <c r="Y278" s="1118">
        <f t="shared" si="735"/>
        <v>0</v>
      </c>
      <c r="Z278" s="1118">
        <f t="shared" si="736"/>
        <v>7839988.4010800999</v>
      </c>
      <c r="AA278" s="1074"/>
      <c r="AE278" s="1117">
        <f t="shared" si="793"/>
        <v>7839988.4010800999</v>
      </c>
      <c r="AF278" s="1118">
        <f t="shared" si="737"/>
        <v>0</v>
      </c>
      <c r="AG278" s="1118">
        <f t="shared" si="738"/>
        <v>0</v>
      </c>
      <c r="AH278" s="1118">
        <f t="shared" si="739"/>
        <v>7839988.4010800999</v>
      </c>
      <c r="AI278" s="1074"/>
      <c r="AM278" s="1117">
        <f t="shared" si="794"/>
        <v>7839988.4010800999</v>
      </c>
      <c r="AN278" s="1118">
        <f t="shared" si="740"/>
        <v>0</v>
      </c>
      <c r="AO278" s="1118">
        <f t="shared" si="741"/>
        <v>0</v>
      </c>
      <c r="AP278" s="1118">
        <f t="shared" si="742"/>
        <v>7839988.4010800999</v>
      </c>
      <c r="AQ278" s="1074"/>
      <c r="AU278" s="1117">
        <f t="shared" si="795"/>
        <v>7839988.4010800999</v>
      </c>
      <c r="AV278" s="1118">
        <f t="shared" si="743"/>
        <v>0</v>
      </c>
      <c r="AW278" s="1118">
        <f t="shared" si="744"/>
        <v>0</v>
      </c>
      <c r="AX278" s="1118">
        <f t="shared" si="745"/>
        <v>7839988.4010800999</v>
      </c>
      <c r="AY278" s="1074"/>
      <c r="BC278" s="1117">
        <f t="shared" si="796"/>
        <v>7839988.4010800999</v>
      </c>
      <c r="BD278" s="1118">
        <f t="shared" si="746"/>
        <v>0</v>
      </c>
      <c r="BE278" s="1118">
        <f t="shared" si="747"/>
        <v>0</v>
      </c>
      <c r="BF278" s="1118">
        <f t="shared" si="748"/>
        <v>7839988.4010800999</v>
      </c>
      <c r="BG278" s="1074"/>
      <c r="BK278" s="1117">
        <f t="shared" si="797"/>
        <v>7839988.4010800999</v>
      </c>
      <c r="BL278" s="1118">
        <f t="shared" si="749"/>
        <v>0</v>
      </c>
      <c r="BM278" s="1118">
        <f t="shared" si="750"/>
        <v>0</v>
      </c>
      <c r="BN278" s="1118">
        <f t="shared" si="751"/>
        <v>7839988.4010800999</v>
      </c>
      <c r="BO278" s="1074"/>
      <c r="BS278" s="1117">
        <f t="shared" si="798"/>
        <v>7839988.4010800999</v>
      </c>
      <c r="BT278" s="1118">
        <f t="shared" si="752"/>
        <v>0</v>
      </c>
      <c r="BU278" s="1118">
        <f t="shared" si="753"/>
        <v>0</v>
      </c>
      <c r="BV278" s="1118">
        <f t="shared" si="754"/>
        <v>7839988.4010800999</v>
      </c>
      <c r="BW278" s="1074"/>
      <c r="CA278" s="1117">
        <f t="shared" si="799"/>
        <v>7839988.4010800999</v>
      </c>
      <c r="CB278" s="1118">
        <f t="shared" si="755"/>
        <v>0</v>
      </c>
      <c r="CC278" s="1118">
        <f t="shared" si="756"/>
        <v>0</v>
      </c>
      <c r="CD278" s="1118">
        <f t="shared" si="757"/>
        <v>7839988.4010800999</v>
      </c>
      <c r="CE278" s="1074"/>
      <c r="CI278" s="1117">
        <f t="shared" si="800"/>
        <v>7839988.4010800999</v>
      </c>
      <c r="CJ278" s="1118">
        <f t="shared" si="758"/>
        <v>0</v>
      </c>
      <c r="CK278" s="1118">
        <f t="shared" si="759"/>
        <v>0</v>
      </c>
      <c r="CL278" s="1118">
        <f t="shared" si="760"/>
        <v>7839988.4010800999</v>
      </c>
      <c r="CM278" s="1074"/>
      <c r="CQ278" s="1117">
        <f t="shared" si="801"/>
        <v>7839988.4010800999</v>
      </c>
      <c r="CR278" s="1118">
        <f t="shared" si="761"/>
        <v>0</v>
      </c>
      <c r="CS278" s="1118">
        <f t="shared" si="762"/>
        <v>0</v>
      </c>
      <c r="CT278" s="1118">
        <f t="shared" si="763"/>
        <v>7839988.4010800999</v>
      </c>
      <c r="CU278" s="1074"/>
      <c r="CY278" s="1117">
        <f t="shared" si="802"/>
        <v>7839988.4010800999</v>
      </c>
      <c r="CZ278" s="1118">
        <f t="shared" si="764"/>
        <v>0</v>
      </c>
      <c r="DA278" s="1118">
        <f t="shared" si="765"/>
        <v>0</v>
      </c>
      <c r="DB278" s="1118">
        <f t="shared" si="766"/>
        <v>7839988.4010800999</v>
      </c>
      <c r="DC278" s="1074"/>
      <c r="DG278" s="1117">
        <f t="shared" si="803"/>
        <v>7839988.4010800999</v>
      </c>
      <c r="DH278" s="1118">
        <f t="shared" si="767"/>
        <v>0</v>
      </c>
      <c r="DI278" s="1118">
        <f t="shared" si="768"/>
        <v>0</v>
      </c>
      <c r="DJ278" s="1118">
        <f t="shared" si="769"/>
        <v>7839988.4010800999</v>
      </c>
      <c r="DK278" s="1074"/>
      <c r="DO278" s="1117">
        <f t="shared" si="804"/>
        <v>7839988.4010800999</v>
      </c>
      <c r="DP278" s="1118">
        <f t="shared" si="770"/>
        <v>0</v>
      </c>
      <c r="DQ278" s="1118">
        <f t="shared" si="771"/>
        <v>0</v>
      </c>
      <c r="DR278" s="1118">
        <f t="shared" si="772"/>
        <v>7839988.4010800999</v>
      </c>
      <c r="DS278" s="1074"/>
      <c r="DW278" s="1117">
        <f t="shared" si="805"/>
        <v>7839988.4010800999</v>
      </c>
      <c r="DX278" s="1118">
        <f t="shared" si="773"/>
        <v>0</v>
      </c>
      <c r="DY278" s="1118">
        <f t="shared" si="774"/>
        <v>0</v>
      </c>
      <c r="DZ278" s="1118">
        <f t="shared" si="775"/>
        <v>7839988.4010800999</v>
      </c>
      <c r="EA278" s="1074"/>
      <c r="EE278" s="1117">
        <f t="shared" si="806"/>
        <v>7839988.4010800999</v>
      </c>
      <c r="EF278" s="1118">
        <f t="shared" si="776"/>
        <v>0</v>
      </c>
      <c r="EG278" s="1118">
        <f t="shared" si="777"/>
        <v>0</v>
      </c>
      <c r="EH278" s="1118">
        <f t="shared" si="778"/>
        <v>7839988.4010800999</v>
      </c>
      <c r="EI278" s="1074"/>
      <c r="EM278" s="1117">
        <f t="shared" si="807"/>
        <v>7839988.4010800999</v>
      </c>
      <c r="EN278" s="1118">
        <f t="shared" si="779"/>
        <v>0</v>
      </c>
      <c r="EO278" s="1118">
        <f t="shared" si="780"/>
        <v>0</v>
      </c>
      <c r="EP278" s="1118">
        <f t="shared" si="781"/>
        <v>7839988.4010800999</v>
      </c>
      <c r="EQ278" s="1074"/>
      <c r="EU278" s="1117">
        <f t="shared" si="808"/>
        <v>7839988.4010800999</v>
      </c>
      <c r="EV278" s="1118">
        <f t="shared" si="782"/>
        <v>0</v>
      </c>
      <c r="EW278" s="1118">
        <f t="shared" si="783"/>
        <v>0</v>
      </c>
      <c r="EX278" s="1118">
        <f t="shared" si="784"/>
        <v>7839988.4010800999</v>
      </c>
      <c r="EY278" s="1074"/>
      <c r="FC278" s="1117">
        <f t="shared" si="809"/>
        <v>7839988.4010800999</v>
      </c>
      <c r="FD278" s="1118">
        <f t="shared" si="785"/>
        <v>0</v>
      </c>
      <c r="FE278" s="1118">
        <f t="shared" si="786"/>
        <v>0</v>
      </c>
      <c r="FF278" s="1118">
        <f t="shared" si="787"/>
        <v>7839988.4010800999</v>
      </c>
      <c r="FG278" s="1074"/>
      <c r="FK278" s="1117">
        <f t="shared" si="810"/>
        <v>7839988.4010800999</v>
      </c>
      <c r="FL278" s="1118">
        <f t="shared" si="788"/>
        <v>0</v>
      </c>
      <c r="FM278" s="1118">
        <f t="shared" si="789"/>
        <v>0</v>
      </c>
      <c r="FN278" s="1118">
        <f t="shared" si="790"/>
        <v>7839988.4010800999</v>
      </c>
      <c r="FO278" s="1074"/>
    </row>
    <row r="279" spans="1:171" x14ac:dyDescent="0.25">
      <c r="A279" s="1373"/>
      <c r="B279" s="63" t="s">
        <v>570</v>
      </c>
      <c r="C279" s="1023">
        <v>262</v>
      </c>
      <c r="D279" s="1024">
        <v>408.1</v>
      </c>
      <c r="E279" s="182" t="str">
        <f>'Sch 3A - Taxes'!E27</f>
        <v>DIST</v>
      </c>
      <c r="F279" s="890"/>
      <c r="G279" s="182">
        <f>'Sch 3A - Taxes'!F27</f>
        <v>6706015.4391418342</v>
      </c>
      <c r="H279" s="182">
        <f>'Sch 3A - Taxes'!G27</f>
        <v>0</v>
      </c>
      <c r="I279" s="182">
        <f>'Sch 3A - Taxes'!H27</f>
        <v>0</v>
      </c>
      <c r="J279" s="1422">
        <f>'Sch 3A - Taxes'!I27</f>
        <v>6706015.4391418342</v>
      </c>
      <c r="K279" s="904">
        <f t="shared" si="730"/>
        <v>1</v>
      </c>
      <c r="O279" s="1117">
        <f t="shared" si="791"/>
        <v>6706015.4391418342</v>
      </c>
      <c r="P279" s="1118">
        <f t="shared" si="731"/>
        <v>0</v>
      </c>
      <c r="Q279" s="1118">
        <f t="shared" si="732"/>
        <v>0</v>
      </c>
      <c r="R279" s="1118">
        <f t="shared" si="733"/>
        <v>6706015.4391418342</v>
      </c>
      <c r="S279" s="1074"/>
      <c r="W279" s="1117">
        <f t="shared" si="792"/>
        <v>6706015.4391418342</v>
      </c>
      <c r="X279" s="1118">
        <f t="shared" si="734"/>
        <v>0</v>
      </c>
      <c r="Y279" s="1118">
        <f t="shared" si="735"/>
        <v>0</v>
      </c>
      <c r="Z279" s="1118">
        <f t="shared" si="736"/>
        <v>6706015.4391418342</v>
      </c>
      <c r="AA279" s="1074"/>
      <c r="AE279" s="1117">
        <f t="shared" si="793"/>
        <v>6706015.4391418342</v>
      </c>
      <c r="AF279" s="1118">
        <f t="shared" si="737"/>
        <v>0</v>
      </c>
      <c r="AG279" s="1118">
        <f t="shared" si="738"/>
        <v>0</v>
      </c>
      <c r="AH279" s="1118">
        <f t="shared" si="739"/>
        <v>6706015.4391418342</v>
      </c>
      <c r="AI279" s="1074"/>
      <c r="AM279" s="1117">
        <f t="shared" si="794"/>
        <v>6706015.4391418342</v>
      </c>
      <c r="AN279" s="1118">
        <f t="shared" si="740"/>
        <v>0</v>
      </c>
      <c r="AO279" s="1118">
        <f t="shared" si="741"/>
        <v>0</v>
      </c>
      <c r="AP279" s="1118">
        <f t="shared" si="742"/>
        <v>6706015.4391418342</v>
      </c>
      <c r="AQ279" s="1074"/>
      <c r="AU279" s="1117">
        <f t="shared" si="795"/>
        <v>6706015.4391418342</v>
      </c>
      <c r="AV279" s="1118">
        <f t="shared" si="743"/>
        <v>0</v>
      </c>
      <c r="AW279" s="1118">
        <f t="shared" si="744"/>
        <v>0</v>
      </c>
      <c r="AX279" s="1118">
        <f t="shared" si="745"/>
        <v>6706015.4391418342</v>
      </c>
      <c r="AY279" s="1074"/>
      <c r="BC279" s="1117">
        <f t="shared" si="796"/>
        <v>6706015.4391418342</v>
      </c>
      <c r="BD279" s="1118">
        <f t="shared" si="746"/>
        <v>0</v>
      </c>
      <c r="BE279" s="1118">
        <f t="shared" si="747"/>
        <v>0</v>
      </c>
      <c r="BF279" s="1118">
        <f t="shared" si="748"/>
        <v>6706015.4391418342</v>
      </c>
      <c r="BG279" s="1074"/>
      <c r="BK279" s="1117">
        <f t="shared" si="797"/>
        <v>6706015.4391418342</v>
      </c>
      <c r="BL279" s="1118">
        <f t="shared" si="749"/>
        <v>0</v>
      </c>
      <c r="BM279" s="1118">
        <f t="shared" si="750"/>
        <v>0</v>
      </c>
      <c r="BN279" s="1118">
        <f t="shared" si="751"/>
        <v>6706015.4391418342</v>
      </c>
      <c r="BO279" s="1074"/>
      <c r="BS279" s="1117">
        <f t="shared" si="798"/>
        <v>6706015.4391418342</v>
      </c>
      <c r="BT279" s="1118">
        <f t="shared" si="752"/>
        <v>0</v>
      </c>
      <c r="BU279" s="1118">
        <f t="shared" si="753"/>
        <v>0</v>
      </c>
      <c r="BV279" s="1118">
        <f t="shared" si="754"/>
        <v>6706015.4391418342</v>
      </c>
      <c r="BW279" s="1074"/>
      <c r="CA279" s="1117">
        <f t="shared" si="799"/>
        <v>6706015.4391418342</v>
      </c>
      <c r="CB279" s="1118">
        <f t="shared" si="755"/>
        <v>0</v>
      </c>
      <c r="CC279" s="1118">
        <f t="shared" si="756"/>
        <v>0</v>
      </c>
      <c r="CD279" s="1118">
        <f t="shared" si="757"/>
        <v>6706015.4391418342</v>
      </c>
      <c r="CE279" s="1074"/>
      <c r="CI279" s="1117">
        <f t="shared" si="800"/>
        <v>6706015.4391418342</v>
      </c>
      <c r="CJ279" s="1118">
        <f t="shared" si="758"/>
        <v>0</v>
      </c>
      <c r="CK279" s="1118">
        <f t="shared" si="759"/>
        <v>0</v>
      </c>
      <c r="CL279" s="1118">
        <f t="shared" si="760"/>
        <v>6706015.4391418342</v>
      </c>
      <c r="CM279" s="1074"/>
      <c r="CQ279" s="1117">
        <f t="shared" si="801"/>
        <v>6706015.4391418342</v>
      </c>
      <c r="CR279" s="1118">
        <f t="shared" si="761"/>
        <v>0</v>
      </c>
      <c r="CS279" s="1118">
        <f t="shared" si="762"/>
        <v>0</v>
      </c>
      <c r="CT279" s="1118">
        <f t="shared" si="763"/>
        <v>6706015.4391418342</v>
      </c>
      <c r="CU279" s="1074"/>
      <c r="CY279" s="1117">
        <f t="shared" si="802"/>
        <v>6706015.4391418342</v>
      </c>
      <c r="CZ279" s="1118">
        <f t="shared" si="764"/>
        <v>0</v>
      </c>
      <c r="DA279" s="1118">
        <f t="shared" si="765"/>
        <v>0</v>
      </c>
      <c r="DB279" s="1118">
        <f t="shared" si="766"/>
        <v>6706015.4391418342</v>
      </c>
      <c r="DC279" s="1074"/>
      <c r="DG279" s="1117">
        <f t="shared" si="803"/>
        <v>6706015.4391418342</v>
      </c>
      <c r="DH279" s="1118">
        <f t="shared" si="767"/>
        <v>0</v>
      </c>
      <c r="DI279" s="1118">
        <f t="shared" si="768"/>
        <v>0</v>
      </c>
      <c r="DJ279" s="1118">
        <f t="shared" si="769"/>
        <v>6706015.4391418342</v>
      </c>
      <c r="DK279" s="1074"/>
      <c r="DO279" s="1117">
        <f t="shared" si="804"/>
        <v>6706015.4391418342</v>
      </c>
      <c r="DP279" s="1118">
        <f t="shared" si="770"/>
        <v>0</v>
      </c>
      <c r="DQ279" s="1118">
        <f t="shared" si="771"/>
        <v>0</v>
      </c>
      <c r="DR279" s="1118">
        <f t="shared" si="772"/>
        <v>6706015.4391418342</v>
      </c>
      <c r="DS279" s="1074"/>
      <c r="DW279" s="1117">
        <f t="shared" si="805"/>
        <v>6706015.4391418342</v>
      </c>
      <c r="DX279" s="1118">
        <f t="shared" si="773"/>
        <v>0</v>
      </c>
      <c r="DY279" s="1118">
        <f t="shared" si="774"/>
        <v>0</v>
      </c>
      <c r="DZ279" s="1118">
        <f t="shared" si="775"/>
        <v>6706015.4391418342</v>
      </c>
      <c r="EA279" s="1074"/>
      <c r="EE279" s="1117">
        <f t="shared" si="806"/>
        <v>6706015.4391418342</v>
      </c>
      <c r="EF279" s="1118">
        <f t="shared" si="776"/>
        <v>0</v>
      </c>
      <c r="EG279" s="1118">
        <f t="shared" si="777"/>
        <v>0</v>
      </c>
      <c r="EH279" s="1118">
        <f t="shared" si="778"/>
        <v>6706015.4391418342</v>
      </c>
      <c r="EI279" s="1074"/>
      <c r="EM279" s="1117">
        <f t="shared" si="807"/>
        <v>6706015.4391418342</v>
      </c>
      <c r="EN279" s="1118">
        <f t="shared" si="779"/>
        <v>0</v>
      </c>
      <c r="EO279" s="1118">
        <f t="shared" si="780"/>
        <v>0</v>
      </c>
      <c r="EP279" s="1118">
        <f t="shared" si="781"/>
        <v>6706015.4391418342</v>
      </c>
      <c r="EQ279" s="1074"/>
      <c r="EU279" s="1117">
        <f t="shared" si="808"/>
        <v>6706015.4391418342</v>
      </c>
      <c r="EV279" s="1118">
        <f t="shared" si="782"/>
        <v>0</v>
      </c>
      <c r="EW279" s="1118">
        <f t="shared" si="783"/>
        <v>0</v>
      </c>
      <c r="EX279" s="1118">
        <f t="shared" si="784"/>
        <v>6706015.4391418342</v>
      </c>
      <c r="EY279" s="1074"/>
      <c r="FC279" s="1117">
        <f t="shared" si="809"/>
        <v>6706015.4391418342</v>
      </c>
      <c r="FD279" s="1118">
        <f t="shared" si="785"/>
        <v>0</v>
      </c>
      <c r="FE279" s="1118">
        <f t="shared" si="786"/>
        <v>0</v>
      </c>
      <c r="FF279" s="1118">
        <f t="shared" si="787"/>
        <v>6706015.4391418342</v>
      </c>
      <c r="FG279" s="1074"/>
      <c r="FK279" s="1117">
        <f t="shared" si="810"/>
        <v>6706015.4391418342</v>
      </c>
      <c r="FL279" s="1118">
        <f t="shared" si="788"/>
        <v>0</v>
      </c>
      <c r="FM279" s="1118">
        <f t="shared" si="789"/>
        <v>0</v>
      </c>
      <c r="FN279" s="1118">
        <f t="shared" si="790"/>
        <v>6706015.4391418342</v>
      </c>
      <c r="FO279" s="1074"/>
    </row>
    <row r="280" spans="1:171" ht="16.5" thickBot="1" x14ac:dyDescent="0.3">
      <c r="A280" s="1373"/>
      <c r="B280" s="63" t="s">
        <v>107</v>
      </c>
      <c r="C280" s="1023">
        <v>262</v>
      </c>
      <c r="D280" s="1024">
        <v>408.1</v>
      </c>
      <c r="E280" s="182" t="str">
        <f>'Sch 3A - Taxes'!E28</f>
        <v>DIST</v>
      </c>
      <c r="F280" s="890"/>
      <c r="G280" s="182">
        <f>'Sch 3A - Taxes'!F28</f>
        <v>5067613.3007748257</v>
      </c>
      <c r="H280" s="182">
        <f>'Sch 3A - Taxes'!G28</f>
        <v>0</v>
      </c>
      <c r="I280" s="182">
        <f>'Sch 3A - Taxes'!H28</f>
        <v>0</v>
      </c>
      <c r="J280" s="1422">
        <f>'Sch 3A - Taxes'!I28</f>
        <v>5067613.3007748257</v>
      </c>
      <c r="K280" s="904">
        <f t="shared" si="730"/>
        <v>1</v>
      </c>
      <c r="O280" s="1117">
        <f t="shared" si="791"/>
        <v>5067613.3007748257</v>
      </c>
      <c r="P280" s="1118">
        <f t="shared" si="731"/>
        <v>0</v>
      </c>
      <c r="Q280" s="1118">
        <f t="shared" si="732"/>
        <v>0</v>
      </c>
      <c r="R280" s="1118">
        <f t="shared" si="733"/>
        <v>5067613.3007748257</v>
      </c>
      <c r="S280" s="1074"/>
      <c r="W280" s="1117">
        <f t="shared" si="792"/>
        <v>5067613.3007748257</v>
      </c>
      <c r="X280" s="1118">
        <f t="shared" si="734"/>
        <v>0</v>
      </c>
      <c r="Y280" s="1118">
        <f t="shared" si="735"/>
        <v>0</v>
      </c>
      <c r="Z280" s="1118">
        <f t="shared" si="736"/>
        <v>5067613.3007748257</v>
      </c>
      <c r="AA280" s="1074"/>
      <c r="AE280" s="1117">
        <f t="shared" si="793"/>
        <v>5067613.3007748257</v>
      </c>
      <c r="AF280" s="1118">
        <f t="shared" si="737"/>
        <v>0</v>
      </c>
      <c r="AG280" s="1118">
        <f t="shared" si="738"/>
        <v>0</v>
      </c>
      <c r="AH280" s="1118">
        <f t="shared" si="739"/>
        <v>5067613.3007748257</v>
      </c>
      <c r="AI280" s="1074"/>
      <c r="AM280" s="1117">
        <f t="shared" si="794"/>
        <v>5067613.3007748257</v>
      </c>
      <c r="AN280" s="1118">
        <f t="shared" si="740"/>
        <v>0</v>
      </c>
      <c r="AO280" s="1118">
        <f t="shared" si="741"/>
        <v>0</v>
      </c>
      <c r="AP280" s="1118">
        <f t="shared" si="742"/>
        <v>5067613.3007748257</v>
      </c>
      <c r="AQ280" s="1074"/>
      <c r="AU280" s="1117">
        <f t="shared" si="795"/>
        <v>5067613.3007748257</v>
      </c>
      <c r="AV280" s="1118">
        <f t="shared" si="743"/>
        <v>0</v>
      </c>
      <c r="AW280" s="1118">
        <f t="shared" si="744"/>
        <v>0</v>
      </c>
      <c r="AX280" s="1118">
        <f t="shared" si="745"/>
        <v>5067613.3007748257</v>
      </c>
      <c r="AY280" s="1074"/>
      <c r="BC280" s="1117">
        <f t="shared" si="796"/>
        <v>5067613.3007748257</v>
      </c>
      <c r="BD280" s="1118">
        <f t="shared" si="746"/>
        <v>0</v>
      </c>
      <c r="BE280" s="1118">
        <f t="shared" si="747"/>
        <v>0</v>
      </c>
      <c r="BF280" s="1118">
        <f t="shared" si="748"/>
        <v>5067613.3007748257</v>
      </c>
      <c r="BG280" s="1074"/>
      <c r="BK280" s="1117">
        <f t="shared" si="797"/>
        <v>5067613.3007748257</v>
      </c>
      <c r="BL280" s="1118">
        <f t="shared" si="749"/>
        <v>0</v>
      </c>
      <c r="BM280" s="1118">
        <f t="shared" si="750"/>
        <v>0</v>
      </c>
      <c r="BN280" s="1118">
        <f t="shared" si="751"/>
        <v>5067613.3007748257</v>
      </c>
      <c r="BO280" s="1074"/>
      <c r="BS280" s="1117">
        <f t="shared" si="798"/>
        <v>5067613.3007748257</v>
      </c>
      <c r="BT280" s="1118">
        <f t="shared" si="752"/>
        <v>0</v>
      </c>
      <c r="BU280" s="1118">
        <f t="shared" si="753"/>
        <v>0</v>
      </c>
      <c r="BV280" s="1118">
        <f t="shared" si="754"/>
        <v>5067613.3007748257</v>
      </c>
      <c r="BW280" s="1074"/>
      <c r="CA280" s="1117">
        <f t="shared" si="799"/>
        <v>5067613.3007748257</v>
      </c>
      <c r="CB280" s="1118">
        <f t="shared" si="755"/>
        <v>0</v>
      </c>
      <c r="CC280" s="1118">
        <f t="shared" si="756"/>
        <v>0</v>
      </c>
      <c r="CD280" s="1118">
        <f t="shared" si="757"/>
        <v>5067613.3007748257</v>
      </c>
      <c r="CE280" s="1074"/>
      <c r="CI280" s="1117">
        <f t="shared" si="800"/>
        <v>5067613.3007748257</v>
      </c>
      <c r="CJ280" s="1118">
        <f t="shared" si="758"/>
        <v>0</v>
      </c>
      <c r="CK280" s="1118">
        <f t="shared" si="759"/>
        <v>0</v>
      </c>
      <c r="CL280" s="1118">
        <f t="shared" si="760"/>
        <v>5067613.3007748257</v>
      </c>
      <c r="CM280" s="1074"/>
      <c r="CQ280" s="1117">
        <f t="shared" si="801"/>
        <v>5067613.3007748257</v>
      </c>
      <c r="CR280" s="1118">
        <f t="shared" si="761"/>
        <v>0</v>
      </c>
      <c r="CS280" s="1118">
        <f t="shared" si="762"/>
        <v>0</v>
      </c>
      <c r="CT280" s="1118">
        <f t="shared" si="763"/>
        <v>5067613.3007748257</v>
      </c>
      <c r="CU280" s="1074"/>
      <c r="CY280" s="1117">
        <f t="shared" si="802"/>
        <v>5067613.3007748257</v>
      </c>
      <c r="CZ280" s="1118">
        <f t="shared" si="764"/>
        <v>0</v>
      </c>
      <c r="DA280" s="1118">
        <f t="shared" si="765"/>
        <v>0</v>
      </c>
      <c r="DB280" s="1118">
        <f t="shared" si="766"/>
        <v>5067613.3007748257</v>
      </c>
      <c r="DC280" s="1074"/>
      <c r="DG280" s="1117">
        <f t="shared" si="803"/>
        <v>5067613.3007748257</v>
      </c>
      <c r="DH280" s="1118">
        <f t="shared" si="767"/>
        <v>0</v>
      </c>
      <c r="DI280" s="1118">
        <f t="shared" si="768"/>
        <v>0</v>
      </c>
      <c r="DJ280" s="1118">
        <f t="shared" si="769"/>
        <v>5067613.3007748257</v>
      </c>
      <c r="DK280" s="1074"/>
      <c r="DO280" s="1117">
        <f t="shared" si="804"/>
        <v>5067613.3007748257</v>
      </c>
      <c r="DP280" s="1118">
        <f t="shared" si="770"/>
        <v>0</v>
      </c>
      <c r="DQ280" s="1118">
        <f t="shared" si="771"/>
        <v>0</v>
      </c>
      <c r="DR280" s="1118">
        <f t="shared" si="772"/>
        <v>5067613.3007748257</v>
      </c>
      <c r="DS280" s="1074"/>
      <c r="DW280" s="1117">
        <f t="shared" si="805"/>
        <v>5067613.3007748257</v>
      </c>
      <c r="DX280" s="1118">
        <f t="shared" si="773"/>
        <v>0</v>
      </c>
      <c r="DY280" s="1118">
        <f t="shared" si="774"/>
        <v>0</v>
      </c>
      <c r="DZ280" s="1118">
        <f t="shared" si="775"/>
        <v>5067613.3007748257</v>
      </c>
      <c r="EA280" s="1074"/>
      <c r="EE280" s="1117">
        <f t="shared" si="806"/>
        <v>5067613.3007748257</v>
      </c>
      <c r="EF280" s="1118">
        <f t="shared" si="776"/>
        <v>0</v>
      </c>
      <c r="EG280" s="1118">
        <f t="shared" si="777"/>
        <v>0</v>
      </c>
      <c r="EH280" s="1118">
        <f t="shared" si="778"/>
        <v>5067613.3007748257</v>
      </c>
      <c r="EI280" s="1074"/>
      <c r="EM280" s="1117">
        <f t="shared" si="807"/>
        <v>5067613.3007748257</v>
      </c>
      <c r="EN280" s="1118">
        <f t="shared" si="779"/>
        <v>0</v>
      </c>
      <c r="EO280" s="1118">
        <f t="shared" si="780"/>
        <v>0</v>
      </c>
      <c r="EP280" s="1118">
        <f t="shared" si="781"/>
        <v>5067613.3007748257</v>
      </c>
      <c r="EQ280" s="1074"/>
      <c r="EU280" s="1117">
        <f t="shared" si="808"/>
        <v>5067613.3007748257</v>
      </c>
      <c r="EV280" s="1118">
        <f t="shared" si="782"/>
        <v>0</v>
      </c>
      <c r="EW280" s="1118">
        <f t="shared" si="783"/>
        <v>0</v>
      </c>
      <c r="EX280" s="1118">
        <f t="shared" si="784"/>
        <v>5067613.3007748257</v>
      </c>
      <c r="EY280" s="1074"/>
      <c r="FC280" s="1117">
        <f t="shared" si="809"/>
        <v>5067613.3007748257</v>
      </c>
      <c r="FD280" s="1118">
        <f t="shared" si="785"/>
        <v>0</v>
      </c>
      <c r="FE280" s="1118">
        <f t="shared" si="786"/>
        <v>0</v>
      </c>
      <c r="FF280" s="1118">
        <f t="shared" si="787"/>
        <v>5067613.3007748257</v>
      </c>
      <c r="FG280" s="1074"/>
      <c r="FK280" s="1117">
        <f t="shared" si="810"/>
        <v>5067613.3007748257</v>
      </c>
      <c r="FL280" s="1118">
        <f t="shared" si="788"/>
        <v>0</v>
      </c>
      <c r="FM280" s="1118">
        <f t="shared" si="789"/>
        <v>0</v>
      </c>
      <c r="FN280" s="1118">
        <f t="shared" si="790"/>
        <v>5067613.3007748257</v>
      </c>
      <c r="FO280" s="1074"/>
    </row>
    <row r="281" spans="1:171" ht="16.5" thickBot="1" x14ac:dyDescent="0.3">
      <c r="A281" s="1479" t="s">
        <v>36</v>
      </c>
      <c r="B281" s="63"/>
      <c r="C281" s="915"/>
      <c r="D281" s="916"/>
      <c r="E281" s="916"/>
      <c r="F281" s="917"/>
      <c r="G281" s="924">
        <f>SUM(G274:G280)</f>
        <v>118783748.72700052</v>
      </c>
      <c r="H281" s="924">
        <f>SUM(H274:H280)</f>
        <v>27831570.468647297</v>
      </c>
      <c r="I281" s="924">
        <f>SUM(I274:I280)</f>
        <v>0</v>
      </c>
      <c r="J281" s="1429">
        <f>SUM(J274:J280)</f>
        <v>90958458.637470201</v>
      </c>
      <c r="K281" s="904"/>
      <c r="O281" s="1138">
        <f>SUM(O274:O280)</f>
        <v>118783748.72700052</v>
      </c>
      <c r="P281" s="1138">
        <f>SUM(P274:P280)</f>
        <v>27831570.468647297</v>
      </c>
      <c r="Q281" s="1138">
        <f>SUM(Q274:Q280)</f>
        <v>15920789.960823974</v>
      </c>
      <c r="R281" s="1138">
        <f>SUM(R274:R280)</f>
        <v>75031388.29752925</v>
      </c>
      <c r="S281" s="1074"/>
      <c r="W281" s="1138">
        <f>SUM(W274:W280)</f>
        <v>118783748.72700052</v>
      </c>
      <c r="X281" s="1138">
        <f>SUM(X274:X280)</f>
        <v>27831570.468647297</v>
      </c>
      <c r="Y281" s="1138">
        <f>SUM(Y274:Y280)</f>
        <v>15920789.960823974</v>
      </c>
      <c r="Z281" s="1138">
        <f>SUM(Z274:Z280)</f>
        <v>75031388.29752925</v>
      </c>
      <c r="AA281" s="1074"/>
      <c r="AE281" s="1138">
        <f>SUM(AE274:AE280)</f>
        <v>118783748.72700052</v>
      </c>
      <c r="AF281" s="1138">
        <f>SUM(AF274:AF280)</f>
        <v>27831570.468647297</v>
      </c>
      <c r="AG281" s="1138">
        <f>SUM(AG274:AG280)</f>
        <v>15920789.960823974</v>
      </c>
      <c r="AH281" s="1138">
        <f>SUM(AH274:AH280)</f>
        <v>75031388.29752925</v>
      </c>
      <c r="AI281" s="1074"/>
      <c r="AM281" s="1138">
        <f>SUM(AM274:AM280)</f>
        <v>118783748.72700052</v>
      </c>
      <c r="AN281" s="1138">
        <f>SUM(AN274:AN280)</f>
        <v>27831570.468647297</v>
      </c>
      <c r="AO281" s="1138">
        <f>SUM(AO274:AO280)</f>
        <v>15920789.960823974</v>
      </c>
      <c r="AP281" s="1138">
        <f>SUM(AP274:AP280)</f>
        <v>75031388.29752925</v>
      </c>
      <c r="AQ281" s="1074"/>
      <c r="AU281" s="1138">
        <f>SUM(AU274:AU280)</f>
        <v>118783748.72700052</v>
      </c>
      <c r="AV281" s="1138">
        <f>SUM(AV274:AV280)</f>
        <v>27831570.468647297</v>
      </c>
      <c r="AW281" s="1138">
        <f>SUM(AW274:AW280)</f>
        <v>15920789.960823974</v>
      </c>
      <c r="AX281" s="1138">
        <f>SUM(AX274:AX280)</f>
        <v>75031388.29752925</v>
      </c>
      <c r="AY281" s="1074"/>
      <c r="BC281" s="1138">
        <f>SUM(BC274:BC280)</f>
        <v>118783748.72700052</v>
      </c>
      <c r="BD281" s="1138">
        <f>SUM(BD274:BD280)</f>
        <v>27831570.468647297</v>
      </c>
      <c r="BE281" s="1138">
        <f>SUM(BE274:BE280)</f>
        <v>15920789.960823974</v>
      </c>
      <c r="BF281" s="1138">
        <f>SUM(BF274:BF280)</f>
        <v>75031388.29752925</v>
      </c>
      <c r="BG281" s="1074"/>
      <c r="BK281" s="1138">
        <f>SUM(BK274:BK280)</f>
        <v>118783748.72700052</v>
      </c>
      <c r="BL281" s="1138">
        <f>SUM(BL274:BL280)</f>
        <v>27831570.468647297</v>
      </c>
      <c r="BM281" s="1138">
        <f>SUM(BM274:BM280)</f>
        <v>15920789.960823974</v>
      </c>
      <c r="BN281" s="1138">
        <f>SUM(BN274:BN280)</f>
        <v>75031388.29752925</v>
      </c>
      <c r="BO281" s="1074"/>
      <c r="BS281" s="1138">
        <f>SUM(BS274:BS280)</f>
        <v>118783748.72700052</v>
      </c>
      <c r="BT281" s="1138">
        <f>SUM(BT274:BT280)</f>
        <v>27831570.468647297</v>
      </c>
      <c r="BU281" s="1138">
        <f>SUM(BU274:BU280)</f>
        <v>15920789.960823974</v>
      </c>
      <c r="BV281" s="1138">
        <f>SUM(BV274:BV280)</f>
        <v>75031388.29752925</v>
      </c>
      <c r="BW281" s="1074"/>
      <c r="CA281" s="1138">
        <f>SUM(CA274:CA280)</f>
        <v>118783748.72700052</v>
      </c>
      <c r="CB281" s="1138">
        <f>SUM(CB274:CB280)</f>
        <v>27831570.468647297</v>
      </c>
      <c r="CC281" s="1138">
        <f>SUM(CC274:CC280)</f>
        <v>15920789.960823974</v>
      </c>
      <c r="CD281" s="1138">
        <f>SUM(CD274:CD280)</f>
        <v>75031388.29752925</v>
      </c>
      <c r="CE281" s="1074"/>
      <c r="CI281" s="1138">
        <f>SUM(CI274:CI280)</f>
        <v>118783748.72700052</v>
      </c>
      <c r="CJ281" s="1138">
        <f>SUM(CJ274:CJ280)</f>
        <v>27831570.468647297</v>
      </c>
      <c r="CK281" s="1138">
        <f>SUM(CK274:CK280)</f>
        <v>15920789.960823974</v>
      </c>
      <c r="CL281" s="1138">
        <f>SUM(CL274:CL280)</f>
        <v>75031388.29752925</v>
      </c>
      <c r="CM281" s="1074"/>
      <c r="CQ281" s="1138">
        <f>SUM(CQ274:CQ280)</f>
        <v>118783748.72700052</v>
      </c>
      <c r="CR281" s="1138">
        <f>SUM(CR274:CR280)</f>
        <v>27831570.468647297</v>
      </c>
      <c r="CS281" s="1138">
        <f>SUM(CS274:CS280)</f>
        <v>15920789.960823974</v>
      </c>
      <c r="CT281" s="1138">
        <f>SUM(CT274:CT280)</f>
        <v>75031388.29752925</v>
      </c>
      <c r="CU281" s="1074"/>
      <c r="CY281" s="1138">
        <f>SUM(CY274:CY280)</f>
        <v>118783748.72700052</v>
      </c>
      <c r="CZ281" s="1138">
        <f>SUM(CZ274:CZ280)</f>
        <v>27831570.468647297</v>
      </c>
      <c r="DA281" s="1138">
        <f>SUM(DA274:DA280)</f>
        <v>15920789.960823974</v>
      </c>
      <c r="DB281" s="1138">
        <f>SUM(DB274:DB280)</f>
        <v>75031388.29752925</v>
      </c>
      <c r="DC281" s="1074"/>
      <c r="DG281" s="1138">
        <f>SUM(DG274:DG280)</f>
        <v>118783748.72700052</v>
      </c>
      <c r="DH281" s="1138">
        <f>SUM(DH274:DH280)</f>
        <v>27831570.468647297</v>
      </c>
      <c r="DI281" s="1138">
        <f>SUM(DI274:DI280)</f>
        <v>15920789.960823974</v>
      </c>
      <c r="DJ281" s="1138">
        <f>SUM(DJ274:DJ280)</f>
        <v>75031388.29752925</v>
      </c>
      <c r="DK281" s="1074"/>
      <c r="DO281" s="1138">
        <f>SUM(DO274:DO280)</f>
        <v>118783748.72700052</v>
      </c>
      <c r="DP281" s="1138">
        <f>SUM(DP274:DP280)</f>
        <v>27831570.468647297</v>
      </c>
      <c r="DQ281" s="1138">
        <f>SUM(DQ274:DQ280)</f>
        <v>15920789.960823974</v>
      </c>
      <c r="DR281" s="1138">
        <f>SUM(DR274:DR280)</f>
        <v>75031388.29752925</v>
      </c>
      <c r="DS281" s="1074"/>
      <c r="DW281" s="1138">
        <f>SUM(DW274:DW280)</f>
        <v>118783748.72700052</v>
      </c>
      <c r="DX281" s="1138">
        <f>SUM(DX274:DX280)</f>
        <v>27831570.468647297</v>
      </c>
      <c r="DY281" s="1138">
        <f>SUM(DY274:DY280)</f>
        <v>15920789.960823974</v>
      </c>
      <c r="DZ281" s="1138">
        <f>SUM(DZ274:DZ280)</f>
        <v>75031388.29752925</v>
      </c>
      <c r="EA281" s="1074"/>
      <c r="EE281" s="1138">
        <f>SUM(EE274:EE280)</f>
        <v>118783748.72700052</v>
      </c>
      <c r="EF281" s="1138">
        <f>SUM(EF274:EF280)</f>
        <v>27831570.468647297</v>
      </c>
      <c r="EG281" s="1138">
        <f>SUM(EG274:EG280)</f>
        <v>15920789.960823974</v>
      </c>
      <c r="EH281" s="1138">
        <f>SUM(EH274:EH280)</f>
        <v>75031388.29752925</v>
      </c>
      <c r="EI281" s="1074"/>
      <c r="EM281" s="1138">
        <f>SUM(EM274:EM280)</f>
        <v>118783748.72700052</v>
      </c>
      <c r="EN281" s="1138">
        <f>SUM(EN274:EN280)</f>
        <v>27831570.468647297</v>
      </c>
      <c r="EO281" s="1138">
        <f>SUM(EO274:EO280)</f>
        <v>15920789.960823974</v>
      </c>
      <c r="EP281" s="1138">
        <f>SUM(EP274:EP280)</f>
        <v>75031388.29752925</v>
      </c>
      <c r="EQ281" s="1074"/>
      <c r="EU281" s="1138">
        <f>SUM(EU274:EU280)</f>
        <v>118783748.72700052</v>
      </c>
      <c r="EV281" s="1138">
        <f>SUM(EV274:EV280)</f>
        <v>27831570.468647297</v>
      </c>
      <c r="EW281" s="1138">
        <f>SUM(EW274:EW280)</f>
        <v>15920789.960823974</v>
      </c>
      <c r="EX281" s="1138">
        <f>SUM(EX274:EX280)</f>
        <v>75031388.29752925</v>
      </c>
      <c r="EY281" s="1074"/>
      <c r="FC281" s="1138">
        <f>SUM(FC274:FC280)</f>
        <v>118783748.72700052</v>
      </c>
      <c r="FD281" s="1138">
        <f>SUM(FD274:FD280)</f>
        <v>27831570.468647297</v>
      </c>
      <c r="FE281" s="1138">
        <f>SUM(FE274:FE280)</f>
        <v>15920789.960823974</v>
      </c>
      <c r="FF281" s="1138">
        <f>SUM(FF274:FF280)</f>
        <v>75031388.29752925</v>
      </c>
      <c r="FG281" s="1074"/>
      <c r="FK281" s="1138">
        <f>SUM(FK274:FK280)</f>
        <v>118783748.72700052</v>
      </c>
      <c r="FL281" s="1138">
        <f>SUM(FL274:FL280)</f>
        <v>27831570.468647297</v>
      </c>
      <c r="FM281" s="1138">
        <f>SUM(FM274:FM280)</f>
        <v>15920789.960823974</v>
      </c>
      <c r="FN281" s="1138">
        <f>SUM(FN274:FN280)</f>
        <v>75031388.29752925</v>
      </c>
      <c r="FO281" s="1074"/>
    </row>
    <row r="282" spans="1:171" ht="16.5" thickBot="1" x14ac:dyDescent="0.3">
      <c r="A282" s="1373"/>
      <c r="B282" s="63"/>
      <c r="C282" s="150"/>
      <c r="D282" s="195"/>
      <c r="E282" s="196"/>
      <c r="F282" s="196"/>
      <c r="G282" s="1028"/>
      <c r="H282" s="1028"/>
      <c r="I282" s="1028"/>
      <c r="J282" s="1482"/>
      <c r="K282" s="904"/>
      <c r="O282" s="1080"/>
      <c r="P282" s="1080"/>
      <c r="Q282" s="1080"/>
      <c r="R282" s="1080"/>
      <c r="S282" s="1074"/>
      <c r="W282" s="1080"/>
      <c r="X282" s="1080"/>
      <c r="Y282" s="1080"/>
      <c r="Z282" s="1080"/>
      <c r="AA282" s="1074"/>
      <c r="AE282" s="1080"/>
      <c r="AF282" s="1080"/>
      <c r="AG282" s="1080"/>
      <c r="AH282" s="1080"/>
      <c r="AI282" s="1074"/>
      <c r="AM282" s="1080"/>
      <c r="AN282" s="1080"/>
      <c r="AO282" s="1080"/>
      <c r="AP282" s="1080"/>
      <c r="AQ282" s="1074"/>
      <c r="AU282" s="1080"/>
      <c r="AV282" s="1080"/>
      <c r="AW282" s="1080"/>
      <c r="AX282" s="1080"/>
      <c r="AY282" s="1074"/>
      <c r="BC282" s="1080"/>
      <c r="BD282" s="1080"/>
      <c r="BE282" s="1080"/>
      <c r="BF282" s="1080"/>
      <c r="BG282" s="1074"/>
      <c r="BK282" s="1080"/>
      <c r="BL282" s="1080"/>
      <c r="BM282" s="1080"/>
      <c r="BN282" s="1080"/>
      <c r="BO282" s="1074"/>
      <c r="BS282" s="1080"/>
      <c r="BT282" s="1080"/>
      <c r="BU282" s="1080"/>
      <c r="BV282" s="1080"/>
      <c r="BW282" s="1074"/>
      <c r="CA282" s="1080"/>
      <c r="CB282" s="1080"/>
      <c r="CC282" s="1080"/>
      <c r="CD282" s="1080"/>
      <c r="CE282" s="1074"/>
      <c r="CI282" s="1080"/>
      <c r="CJ282" s="1080"/>
      <c r="CK282" s="1080"/>
      <c r="CL282" s="1080"/>
      <c r="CM282" s="1074"/>
      <c r="CQ282" s="1080"/>
      <c r="CR282" s="1080"/>
      <c r="CS282" s="1080"/>
      <c r="CT282" s="1080"/>
      <c r="CU282" s="1074"/>
      <c r="CY282" s="1080"/>
      <c r="CZ282" s="1080"/>
      <c r="DA282" s="1080"/>
      <c r="DB282" s="1080"/>
      <c r="DC282" s="1074"/>
      <c r="DG282" s="1080"/>
      <c r="DH282" s="1080"/>
      <c r="DI282" s="1080"/>
      <c r="DJ282" s="1080"/>
      <c r="DK282" s="1074"/>
      <c r="DO282" s="1080"/>
      <c r="DP282" s="1080"/>
      <c r="DQ282" s="1080"/>
      <c r="DR282" s="1080"/>
      <c r="DS282" s="1074"/>
      <c r="DW282" s="1080"/>
      <c r="DX282" s="1080"/>
      <c r="DY282" s="1080"/>
      <c r="DZ282" s="1080"/>
      <c r="EA282" s="1074"/>
      <c r="EE282" s="1080"/>
      <c r="EF282" s="1080"/>
      <c r="EG282" s="1080"/>
      <c r="EH282" s="1080"/>
      <c r="EI282" s="1074"/>
      <c r="EM282" s="1080"/>
      <c r="EN282" s="1080"/>
      <c r="EO282" s="1080"/>
      <c r="EP282" s="1080"/>
      <c r="EQ282" s="1074"/>
      <c r="EU282" s="1080"/>
      <c r="EV282" s="1080"/>
      <c r="EW282" s="1080"/>
      <c r="EX282" s="1080"/>
      <c r="EY282" s="1074"/>
      <c r="FC282" s="1080"/>
      <c r="FD282" s="1080"/>
      <c r="FE282" s="1080"/>
      <c r="FF282" s="1080"/>
      <c r="FG282" s="1074"/>
      <c r="FK282" s="1080"/>
      <c r="FL282" s="1080"/>
      <c r="FM282" s="1080"/>
      <c r="FN282" s="1080"/>
      <c r="FO282" s="1074"/>
    </row>
    <row r="283" spans="1:171" ht="16.5" thickBot="1" x14ac:dyDescent="0.3">
      <c r="A283" s="1479" t="s">
        <v>571</v>
      </c>
      <c r="B283" s="79"/>
      <c r="C283" s="915"/>
      <c r="D283" s="916"/>
      <c r="E283" s="916"/>
      <c r="F283" s="917"/>
      <c r="G283" s="924">
        <f>SUM(G271,G281)</f>
        <v>137802796.81183705</v>
      </c>
      <c r="H283" s="924">
        <f>SUM(H271,H281)</f>
        <v>35759725.361573324</v>
      </c>
      <c r="I283" s="924">
        <f>SUM(I271,I281)</f>
        <v>0</v>
      </c>
      <c r="J283" s="1429">
        <f>SUM(J271,J281)</f>
        <v>102049351.82938071</v>
      </c>
      <c r="K283" s="904"/>
      <c r="O283" s="1138">
        <f>SUM(O271,O281)</f>
        <v>137802796.81183705</v>
      </c>
      <c r="P283" s="1138">
        <f>SUM(P271,P281)</f>
        <v>35759725.361573324</v>
      </c>
      <c r="Q283" s="1138">
        <f>SUM(Q271,Q281)</f>
        <v>16434482.273588421</v>
      </c>
      <c r="R283" s="1138">
        <f>SUM(R271,R281)</f>
        <v>85608589.176675305</v>
      </c>
      <c r="S283" s="1074"/>
      <c r="W283" s="1138">
        <f>SUM(W271,W281)</f>
        <v>137802796.81183705</v>
      </c>
      <c r="X283" s="1138">
        <f>SUM(X271,X281)</f>
        <v>35759725.361573324</v>
      </c>
      <c r="Y283" s="1138">
        <f>SUM(Y271,Y281)</f>
        <v>16434482.273588421</v>
      </c>
      <c r="Z283" s="1138">
        <f>SUM(Z271,Z281)</f>
        <v>85608589.176675305</v>
      </c>
      <c r="AA283" s="1074"/>
      <c r="AE283" s="1138">
        <f>SUM(AE271,AE281)</f>
        <v>137802796.81183705</v>
      </c>
      <c r="AF283" s="1138">
        <f>SUM(AF271,AF281)</f>
        <v>35759725.361573324</v>
      </c>
      <c r="AG283" s="1138">
        <f>SUM(AG271,AG281)</f>
        <v>16434482.273588421</v>
      </c>
      <c r="AH283" s="1138">
        <f>SUM(AH271,AH281)</f>
        <v>85608589.176675305</v>
      </c>
      <c r="AI283" s="1074"/>
      <c r="AM283" s="1138">
        <f>SUM(AM271,AM281)</f>
        <v>137802796.81183705</v>
      </c>
      <c r="AN283" s="1138">
        <f>SUM(AN271,AN281)</f>
        <v>35759725.361573324</v>
      </c>
      <c r="AO283" s="1138">
        <f>SUM(AO271,AO281)</f>
        <v>16434482.273588421</v>
      </c>
      <c r="AP283" s="1138">
        <f>SUM(AP271,AP281)</f>
        <v>85608589.176675305</v>
      </c>
      <c r="AQ283" s="1074"/>
      <c r="AU283" s="1138">
        <f>SUM(AU271,AU281)</f>
        <v>137802796.81183705</v>
      </c>
      <c r="AV283" s="1138">
        <f>SUM(AV271,AV281)</f>
        <v>35759725.361573324</v>
      </c>
      <c r="AW283" s="1138">
        <f>SUM(AW271,AW281)</f>
        <v>16434482.273588421</v>
      </c>
      <c r="AX283" s="1138">
        <f>SUM(AX271,AX281)</f>
        <v>85608589.176675305</v>
      </c>
      <c r="AY283" s="1074"/>
      <c r="BC283" s="1138">
        <f>SUM(BC271,BC281)</f>
        <v>137802796.81183705</v>
      </c>
      <c r="BD283" s="1138">
        <f>SUM(BD271,BD281)</f>
        <v>35759725.361573324</v>
      </c>
      <c r="BE283" s="1138">
        <f>SUM(BE271,BE281)</f>
        <v>16434482.273588421</v>
      </c>
      <c r="BF283" s="1138">
        <f>SUM(BF271,BF281)</f>
        <v>85608589.176675305</v>
      </c>
      <c r="BG283" s="1074"/>
      <c r="BK283" s="1138">
        <f>SUM(BK271,BK281)</f>
        <v>137802796.81183705</v>
      </c>
      <c r="BL283" s="1138">
        <f>SUM(BL271,BL281)</f>
        <v>35759725.361573324</v>
      </c>
      <c r="BM283" s="1138">
        <f>SUM(BM271,BM281)</f>
        <v>16434482.273588421</v>
      </c>
      <c r="BN283" s="1138">
        <f>SUM(BN271,BN281)</f>
        <v>85608589.176675305</v>
      </c>
      <c r="BO283" s="1074"/>
      <c r="BS283" s="1138">
        <f>SUM(BS271,BS281)</f>
        <v>137802796.81183705</v>
      </c>
      <c r="BT283" s="1138">
        <f>SUM(BT271,BT281)</f>
        <v>35759725.361573324</v>
      </c>
      <c r="BU283" s="1138">
        <f>SUM(BU271,BU281)</f>
        <v>16434482.273588421</v>
      </c>
      <c r="BV283" s="1138">
        <f>SUM(BV271,BV281)</f>
        <v>85608589.176675305</v>
      </c>
      <c r="BW283" s="1074"/>
      <c r="CA283" s="1138">
        <f>SUM(CA271,CA281)</f>
        <v>137802796.81183705</v>
      </c>
      <c r="CB283" s="1138">
        <f>SUM(CB271,CB281)</f>
        <v>35759725.361573324</v>
      </c>
      <c r="CC283" s="1138">
        <f>SUM(CC271,CC281)</f>
        <v>16434482.273588421</v>
      </c>
      <c r="CD283" s="1138">
        <f>SUM(CD271,CD281)</f>
        <v>85608589.176675305</v>
      </c>
      <c r="CE283" s="1074"/>
      <c r="CI283" s="1138">
        <f>SUM(CI271,CI281)</f>
        <v>137802796.81183705</v>
      </c>
      <c r="CJ283" s="1138">
        <f>SUM(CJ271,CJ281)</f>
        <v>35759725.361573324</v>
      </c>
      <c r="CK283" s="1138">
        <f>SUM(CK271,CK281)</f>
        <v>16434482.273588421</v>
      </c>
      <c r="CL283" s="1138">
        <f>SUM(CL271,CL281)</f>
        <v>85608589.176675305</v>
      </c>
      <c r="CM283" s="1074"/>
      <c r="CQ283" s="1138">
        <f>SUM(CQ271,CQ281)</f>
        <v>137802796.81183705</v>
      </c>
      <c r="CR283" s="1138">
        <f>SUM(CR271,CR281)</f>
        <v>35759725.361573324</v>
      </c>
      <c r="CS283" s="1138">
        <f>SUM(CS271,CS281)</f>
        <v>16434482.273588421</v>
      </c>
      <c r="CT283" s="1138">
        <f>SUM(CT271,CT281)</f>
        <v>85608589.176675305</v>
      </c>
      <c r="CU283" s="1074"/>
      <c r="CY283" s="1138">
        <f>SUM(CY271,CY281)</f>
        <v>137802796.81183705</v>
      </c>
      <c r="CZ283" s="1138">
        <f>SUM(CZ271,CZ281)</f>
        <v>35759725.361573324</v>
      </c>
      <c r="DA283" s="1138">
        <f>SUM(DA271,DA281)</f>
        <v>16434482.273588421</v>
      </c>
      <c r="DB283" s="1138">
        <f>SUM(DB271,DB281)</f>
        <v>85608589.176675305</v>
      </c>
      <c r="DC283" s="1074"/>
      <c r="DG283" s="1138">
        <f>SUM(DG271,DG281)</f>
        <v>137802796.81183705</v>
      </c>
      <c r="DH283" s="1138">
        <f>SUM(DH271,DH281)</f>
        <v>35759725.361573324</v>
      </c>
      <c r="DI283" s="1138">
        <f>SUM(DI271,DI281)</f>
        <v>16434482.273588421</v>
      </c>
      <c r="DJ283" s="1138">
        <f>SUM(DJ271,DJ281)</f>
        <v>85608589.176675305</v>
      </c>
      <c r="DK283" s="1074"/>
      <c r="DO283" s="1138">
        <f>SUM(DO271,DO281)</f>
        <v>137802796.81183705</v>
      </c>
      <c r="DP283" s="1138">
        <f>SUM(DP271,DP281)</f>
        <v>35759725.361573324</v>
      </c>
      <c r="DQ283" s="1138">
        <f>SUM(DQ271,DQ281)</f>
        <v>16434482.273588421</v>
      </c>
      <c r="DR283" s="1138">
        <f>SUM(DR271,DR281)</f>
        <v>85608589.176675305</v>
      </c>
      <c r="DS283" s="1074"/>
      <c r="DW283" s="1138">
        <f>SUM(DW271,DW281)</f>
        <v>137802796.81183705</v>
      </c>
      <c r="DX283" s="1138">
        <f>SUM(DX271,DX281)</f>
        <v>35759725.361573324</v>
      </c>
      <c r="DY283" s="1138">
        <f>SUM(DY271,DY281)</f>
        <v>16434482.273588421</v>
      </c>
      <c r="DZ283" s="1138">
        <f>SUM(DZ271,DZ281)</f>
        <v>85608589.176675305</v>
      </c>
      <c r="EA283" s="1074"/>
      <c r="EE283" s="1138">
        <f>SUM(EE271,EE281)</f>
        <v>137802796.81183705</v>
      </c>
      <c r="EF283" s="1138">
        <f>SUM(EF271,EF281)</f>
        <v>35759725.361573324</v>
      </c>
      <c r="EG283" s="1138">
        <f>SUM(EG271,EG281)</f>
        <v>16434482.273588421</v>
      </c>
      <c r="EH283" s="1138">
        <f>SUM(EH271,EH281)</f>
        <v>85608589.176675305</v>
      </c>
      <c r="EI283" s="1074"/>
      <c r="EM283" s="1138">
        <f>SUM(EM271,EM281)</f>
        <v>137802796.81183705</v>
      </c>
      <c r="EN283" s="1138">
        <f>SUM(EN271,EN281)</f>
        <v>35759725.361573324</v>
      </c>
      <c r="EO283" s="1138">
        <f>SUM(EO271,EO281)</f>
        <v>16434482.273588421</v>
      </c>
      <c r="EP283" s="1138">
        <f>SUM(EP271,EP281)</f>
        <v>85608589.176675305</v>
      </c>
      <c r="EQ283" s="1074"/>
      <c r="EU283" s="1138">
        <f>SUM(EU271,EU281)</f>
        <v>137802796.81183705</v>
      </c>
      <c r="EV283" s="1138">
        <f>SUM(EV271,EV281)</f>
        <v>35759725.361573324</v>
      </c>
      <c r="EW283" s="1138">
        <f>SUM(EW271,EW281)</f>
        <v>16434482.273588421</v>
      </c>
      <c r="EX283" s="1138">
        <f>SUM(EX271,EX281)</f>
        <v>85608589.176675305</v>
      </c>
      <c r="EY283" s="1074"/>
      <c r="FC283" s="1138">
        <f>SUM(FC271,FC281)</f>
        <v>137802796.81183705</v>
      </c>
      <c r="FD283" s="1138">
        <f>SUM(FD271,FD281)</f>
        <v>35759725.361573324</v>
      </c>
      <c r="FE283" s="1138">
        <f>SUM(FE271,FE281)</f>
        <v>16434482.273588421</v>
      </c>
      <c r="FF283" s="1138">
        <f>SUM(FF271,FF281)</f>
        <v>85608589.176675305</v>
      </c>
      <c r="FG283" s="1074"/>
      <c r="FK283" s="1138">
        <f>SUM(FK271,FK281)</f>
        <v>137802796.81183705</v>
      </c>
      <c r="FL283" s="1138">
        <f>SUM(FL271,FL281)</f>
        <v>35759725.361573324</v>
      </c>
      <c r="FM283" s="1138">
        <f>SUM(FM271,FM281)</f>
        <v>16434482.273588421</v>
      </c>
      <c r="FN283" s="1138">
        <f>SUM(FN271,FN281)</f>
        <v>85608589.176675305</v>
      </c>
      <c r="FO283" s="1074"/>
    </row>
    <row r="284" spans="1:171" ht="16.5" thickBot="1" x14ac:dyDescent="0.3">
      <c r="A284" s="1470"/>
      <c r="B284" s="203"/>
      <c r="C284" s="203"/>
      <c r="D284" s="203"/>
      <c r="E284" s="203"/>
      <c r="F284" s="203"/>
      <c r="G284" s="203"/>
      <c r="H284" s="203"/>
      <c r="I284" s="203"/>
      <c r="J284" s="1483"/>
      <c r="K284" s="904"/>
      <c r="S284" s="1074"/>
      <c r="AA284" s="1074"/>
      <c r="AI284" s="1074"/>
      <c r="AQ284" s="1074"/>
      <c r="AY284" s="1074"/>
      <c r="BG284" s="1074"/>
      <c r="BO284" s="1074"/>
      <c r="BW284" s="1074"/>
      <c r="CE284" s="1074"/>
      <c r="CM284" s="1074"/>
      <c r="CU284" s="1074"/>
      <c r="DC284" s="1074"/>
      <c r="DK284" s="1074"/>
      <c r="DS284" s="1074"/>
      <c r="EA284" s="1074"/>
      <c r="EI284" s="1074"/>
      <c r="EQ284" s="1074"/>
      <c r="EY284" s="1074"/>
      <c r="FG284" s="1074"/>
      <c r="FO284" s="1074"/>
    </row>
    <row r="285" spans="1:171" ht="16.5" thickTop="1" x14ac:dyDescent="0.25">
      <c r="A285" s="1455"/>
      <c r="B285" s="1"/>
      <c r="C285" s="1"/>
      <c r="D285" s="1"/>
      <c r="E285" s="1"/>
      <c r="F285" s="1"/>
      <c r="G285" s="1"/>
      <c r="H285" s="1"/>
      <c r="I285" s="1"/>
      <c r="J285" s="1456"/>
      <c r="K285" s="904"/>
      <c r="S285" s="1074"/>
      <c r="AA285" s="1074"/>
      <c r="AI285" s="1074"/>
      <c r="AQ285" s="1074"/>
      <c r="AY285" s="1074"/>
      <c r="BG285" s="1074"/>
      <c r="BO285" s="1074"/>
      <c r="BW285" s="1074"/>
      <c r="CE285" s="1074"/>
      <c r="CM285" s="1074"/>
      <c r="CU285" s="1074"/>
      <c r="DC285" s="1074"/>
      <c r="DK285" s="1074"/>
      <c r="DS285" s="1074"/>
      <c r="EA285" s="1074"/>
      <c r="EI285" s="1074"/>
      <c r="EQ285" s="1074"/>
      <c r="EY285" s="1074"/>
      <c r="FG285" s="1074"/>
      <c r="FO285" s="1074"/>
    </row>
    <row r="286" spans="1:171" ht="16.5" thickBot="1" x14ac:dyDescent="0.3">
      <c r="A286" s="1477" t="s">
        <v>628</v>
      </c>
      <c r="B286" s="1020"/>
      <c r="C286" s="1020"/>
      <c r="D286" s="1020"/>
      <c r="E286" s="147"/>
      <c r="F286" s="4"/>
      <c r="G286" s="1021"/>
      <c r="H286" s="1021"/>
      <c r="I286" s="1022"/>
      <c r="J286" s="1478"/>
      <c r="K286" s="904"/>
      <c r="S286" s="1074"/>
      <c r="AA286" s="1074"/>
      <c r="AI286" s="1074"/>
      <c r="AQ286" s="1074"/>
      <c r="AY286" s="1074"/>
      <c r="BG286" s="1074"/>
      <c r="BO286" s="1074"/>
      <c r="BW286" s="1074"/>
      <c r="CE286" s="1074"/>
      <c r="CM286" s="1074"/>
      <c r="CU286" s="1074"/>
      <c r="DC286" s="1074"/>
      <c r="DK286" s="1074"/>
      <c r="DS286" s="1074"/>
      <c r="EA286" s="1074"/>
      <c r="EI286" s="1074"/>
      <c r="EQ286" s="1074"/>
      <c r="EY286" s="1074"/>
      <c r="FG286" s="1074"/>
      <c r="FO286" s="1074"/>
    </row>
    <row r="287" spans="1:171" ht="17.25" thickTop="1" thickBot="1" x14ac:dyDescent="0.3">
      <c r="A287" s="1461"/>
      <c r="B287" s="3675" t="s">
        <v>100</v>
      </c>
      <c r="C287" s="325" t="s">
        <v>323</v>
      </c>
      <c r="D287" s="325"/>
      <c r="E287" s="3783" t="s">
        <v>354</v>
      </c>
      <c r="F287" s="3774"/>
      <c r="G287" s="3775" t="s">
        <v>104</v>
      </c>
      <c r="H287" s="3777" t="s">
        <v>105</v>
      </c>
      <c r="I287" s="3753" t="s">
        <v>106</v>
      </c>
      <c r="J287" s="1462"/>
      <c r="K287" s="904"/>
      <c r="S287" s="1074"/>
      <c r="AA287" s="1074"/>
      <c r="AI287" s="1074"/>
      <c r="AQ287" s="1074"/>
      <c r="AY287" s="1074"/>
      <c r="BG287" s="1074"/>
      <c r="BO287" s="1074"/>
      <c r="BW287" s="1074"/>
      <c r="CE287" s="1074"/>
      <c r="CM287" s="1074"/>
      <c r="CU287" s="1074"/>
      <c r="DC287" s="1074"/>
      <c r="DK287" s="1074"/>
      <c r="DS287" s="1074"/>
      <c r="EA287" s="1074"/>
      <c r="EI287" s="1074"/>
      <c r="EQ287" s="1074"/>
      <c r="EY287" s="1074"/>
      <c r="FG287" s="1074"/>
      <c r="FO287" s="1074"/>
    </row>
    <row r="288" spans="1:171" ht="16.5" thickBot="1" x14ac:dyDescent="0.3">
      <c r="A288" s="1339"/>
      <c r="B288" s="3756"/>
      <c r="C288" s="322" t="s">
        <v>272</v>
      </c>
      <c r="D288" s="322" t="s">
        <v>96</v>
      </c>
      <c r="E288" s="3760"/>
      <c r="F288" s="3761"/>
      <c r="G288" s="3763"/>
      <c r="H288" s="3766"/>
      <c r="I288" s="3754"/>
      <c r="J288" s="1340" t="s">
        <v>98</v>
      </c>
      <c r="K288" s="904"/>
      <c r="S288" s="1074"/>
      <c r="AA288" s="1074"/>
      <c r="AI288" s="1074"/>
      <c r="AQ288" s="1074"/>
      <c r="AY288" s="1074"/>
      <c r="BG288" s="1074"/>
      <c r="BO288" s="1074"/>
      <c r="BW288" s="1074"/>
      <c r="CE288" s="1074"/>
      <c r="CM288" s="1074"/>
      <c r="CU288" s="1074"/>
      <c r="DC288" s="1074"/>
      <c r="DK288" s="1074"/>
      <c r="DS288" s="1074"/>
      <c r="EA288" s="1074"/>
      <c r="EI288" s="1074"/>
      <c r="EQ288" s="1074"/>
      <c r="EY288" s="1074"/>
      <c r="FG288" s="1074"/>
      <c r="FO288" s="1074"/>
    </row>
    <row r="289" spans="1:171" ht="16.5" thickBot="1" x14ac:dyDescent="0.3">
      <c r="A289" s="1463"/>
      <c r="B289" s="3757"/>
      <c r="C289" s="311" t="s">
        <v>273</v>
      </c>
      <c r="D289" s="311" t="s">
        <v>252</v>
      </c>
      <c r="E289" s="311" t="s">
        <v>450</v>
      </c>
      <c r="F289" s="311" t="s">
        <v>619</v>
      </c>
      <c r="G289" s="3764"/>
      <c r="H289" s="3767"/>
      <c r="I289" s="3769"/>
      <c r="J289" s="1464" t="s">
        <v>107</v>
      </c>
      <c r="K289" s="904"/>
      <c r="S289" s="1074"/>
      <c r="AA289" s="1074"/>
      <c r="AI289" s="1074"/>
      <c r="AQ289" s="1074"/>
      <c r="AY289" s="1074"/>
      <c r="BG289" s="1074"/>
      <c r="BO289" s="1074"/>
      <c r="BW289" s="1074"/>
      <c r="CE289" s="1074"/>
      <c r="CM289" s="1074"/>
      <c r="CU289" s="1074"/>
      <c r="DC289" s="1074"/>
      <c r="DK289" s="1074"/>
      <c r="DS289" s="1074"/>
      <c r="EA289" s="1074"/>
      <c r="EI289" s="1074"/>
      <c r="EQ289" s="1074"/>
      <c r="EY289" s="1074"/>
      <c r="FG289" s="1074"/>
      <c r="FO289" s="1074"/>
    </row>
    <row r="290" spans="1:171" ht="16.5" thickTop="1" x14ac:dyDescent="0.25">
      <c r="A290" s="1341" t="s">
        <v>41</v>
      </c>
      <c r="B290" s="10"/>
      <c r="C290" s="51"/>
      <c r="D290" s="947"/>
      <c r="E290" s="55"/>
      <c r="F290" s="55"/>
      <c r="G290" s="221"/>
      <c r="H290" s="221"/>
      <c r="I290" s="221"/>
      <c r="J290" s="1426"/>
      <c r="K290" s="904"/>
      <c r="S290" s="1074"/>
      <c r="AA290" s="1074"/>
      <c r="AI290" s="1074"/>
      <c r="AQ290" s="1074"/>
      <c r="AY290" s="1074"/>
      <c r="BG290" s="1074"/>
      <c r="BO290" s="1074"/>
      <c r="BW290" s="1074"/>
      <c r="CE290" s="1074"/>
      <c r="CM290" s="1074"/>
      <c r="CU290" s="1074"/>
      <c r="DC290" s="1074"/>
      <c r="DK290" s="1074"/>
      <c r="DS290" s="1074"/>
      <c r="EA290" s="1074"/>
      <c r="EI290" s="1074"/>
      <c r="EQ290" s="1074"/>
      <c r="EY290" s="1074"/>
      <c r="FG290" s="1074"/>
      <c r="FO290" s="1074"/>
    </row>
    <row r="291" spans="1:171" x14ac:dyDescent="0.25">
      <c r="A291" s="1341"/>
      <c r="B291" s="1031" t="s">
        <v>566</v>
      </c>
      <c r="C291" s="889">
        <v>114</v>
      </c>
      <c r="D291" s="890">
        <v>407.3</v>
      </c>
      <c r="E291" s="182" t="str">
        <f>'Sch 3B - Other Items'!E15</f>
        <v>DIRECT</v>
      </c>
      <c r="F291" s="890"/>
      <c r="G291" s="182">
        <f>'Sch 3B - Other Items'!G15</f>
        <v>0</v>
      </c>
      <c r="H291" s="182">
        <f>'Sch 3B - Other Items'!H15</f>
        <v>0</v>
      </c>
      <c r="I291" s="182">
        <f>'Sch 3B - Other Items'!I15</f>
        <v>0</v>
      </c>
      <c r="J291" s="1422">
        <f>'Sch 3B - Other Items'!J15</f>
        <v>0</v>
      </c>
      <c r="K291" s="904">
        <f t="shared" ref="K291:K297" si="811">IF($E291="DIRECT",0,1)</f>
        <v>0</v>
      </c>
      <c r="O291" s="1117">
        <f t="shared" ref="O291:O297" si="812">$G291</f>
        <v>0</v>
      </c>
      <c r="P291" s="1118">
        <f t="shared" ref="P291:P297" si="813">VLOOKUP($E291,O$442:R$453,2,FALSE)*O291*($K291)+IF($G291&lt;&gt;0,($H291/$G291)*O291,0)*(1-$K291)</f>
        <v>0</v>
      </c>
      <c r="Q291" s="1118">
        <f t="shared" ref="Q291:Q297" si="814">VLOOKUP($E291,O$442:R$453,3,FALSE)*O291*($K291)+IF($G291&lt;&gt;0,($I291/$G291)*O291,0)*(1-$K291)</f>
        <v>0</v>
      </c>
      <c r="R291" s="1118">
        <f t="shared" ref="R291:R297" si="815">VLOOKUP($E291,O$442:R$453,4,FALSE)*O291*($K291)+(O291-P291-Q291)*(1-$K291)</f>
        <v>0</v>
      </c>
      <c r="S291" s="1074"/>
      <c r="W291" s="1117">
        <f t="shared" ref="W291:W297" si="816">$G291</f>
        <v>0</v>
      </c>
      <c r="X291" s="1118">
        <f t="shared" ref="X291:X297" si="817">VLOOKUP($E291,W$442:Z$453,2,FALSE)*W291*($K291)+IF($G291&lt;&gt;0,($H291/$G291)*W291,0)*(1-$K291)</f>
        <v>0</v>
      </c>
      <c r="Y291" s="1118">
        <f t="shared" ref="Y291:Y297" si="818">VLOOKUP($E291,W$442:Z$453,3,FALSE)*W291*($K291)+IF($G291&lt;&gt;0,($I291/$G291)*W291,0)*(1-$K291)</f>
        <v>0</v>
      </c>
      <c r="Z291" s="1118">
        <f t="shared" ref="Z291:Z297" si="819">VLOOKUP($E291,W$442:Z$453,4,FALSE)*W291*($K291)+(W291-X291-Y291)*(1-$K291)</f>
        <v>0</v>
      </c>
      <c r="AA291" s="1074"/>
      <c r="AE291" s="1117">
        <f t="shared" ref="AE291:AE297" si="820">$G291</f>
        <v>0</v>
      </c>
      <c r="AF291" s="1118">
        <f t="shared" ref="AF291:AF297" si="821">VLOOKUP($E291,AE$442:AH$453,2,FALSE)*AE291*($K291)+IF($G291&lt;&gt;0,($H291/$G291)*AE291,0)*(1-$K291)</f>
        <v>0</v>
      </c>
      <c r="AG291" s="1118">
        <f t="shared" ref="AG291:AG297" si="822">VLOOKUP($E291,AE$442:AH$453,3,FALSE)*AE291*($K291)+IF($G291&lt;&gt;0,($I291/$G291)*AE291,0)*(1-$K291)</f>
        <v>0</v>
      </c>
      <c r="AH291" s="1118">
        <f t="shared" ref="AH291:AH297" si="823">VLOOKUP($E291,AE$442:AH$453,4,FALSE)*AE291*($K291)+(AE291-AF291-AG291)*(1-$K291)</f>
        <v>0</v>
      </c>
      <c r="AI291" s="1074"/>
      <c r="AM291" s="1117">
        <f t="shared" ref="AM291:AM297" si="824">$G291</f>
        <v>0</v>
      </c>
      <c r="AN291" s="1118">
        <f t="shared" ref="AN291:AN297" si="825">VLOOKUP($E291,AM$442:AP$453,2,FALSE)*AM291*($K291)+IF($G291&lt;&gt;0,($H291/$G291)*AM291,0)*(1-$K291)</f>
        <v>0</v>
      </c>
      <c r="AO291" s="1118">
        <f t="shared" ref="AO291:AO297" si="826">VLOOKUP($E291,AM$442:AP$453,3,FALSE)*AM291*($K291)+IF($G291&lt;&gt;0,($I291/$G291)*AM291,0)*(1-$K291)</f>
        <v>0</v>
      </c>
      <c r="AP291" s="1118">
        <f t="shared" ref="AP291:AP297" si="827">VLOOKUP($E291,AM$442:AP$453,4,FALSE)*AM291*($K291)+(AM291-AN291-AO291)*(1-$K291)</f>
        <v>0</v>
      </c>
      <c r="AQ291" s="1074"/>
      <c r="AU291" s="1117">
        <f t="shared" ref="AU291:AU297" si="828">$G291</f>
        <v>0</v>
      </c>
      <c r="AV291" s="1118">
        <f t="shared" ref="AV291:AV297" si="829">VLOOKUP($E291,AU$442:AX$453,2,FALSE)*AU291*($K291)+IF($G291&lt;&gt;0,($H291/$G291)*AU291,0)*(1-$K291)</f>
        <v>0</v>
      </c>
      <c r="AW291" s="1118">
        <f t="shared" ref="AW291:AW297" si="830">VLOOKUP($E291,AU$442:AX$453,3,FALSE)*AU291*($K291)+IF($G291&lt;&gt;0,($I291/$G291)*AU291,0)*(1-$K291)</f>
        <v>0</v>
      </c>
      <c r="AX291" s="1118">
        <f t="shared" ref="AX291:AX297" si="831">VLOOKUP($E291,AU$442:AX$453,4,FALSE)*AU291*($K291)+(AU291-AV291-AW291)*(1-$K291)</f>
        <v>0</v>
      </c>
      <c r="AY291" s="1074"/>
      <c r="BC291" s="1117">
        <f t="shared" ref="BC291:BC297" si="832">$G291</f>
        <v>0</v>
      </c>
      <c r="BD291" s="1118">
        <f t="shared" ref="BD291:BD297" si="833">VLOOKUP($E291,BC$442:BF$453,2,FALSE)*BC291*($K291)+IF($G291&lt;&gt;0,($H291/$G291)*BC291,0)*(1-$K291)</f>
        <v>0</v>
      </c>
      <c r="BE291" s="1118">
        <f t="shared" ref="BE291:BE297" si="834">VLOOKUP($E291,BC$442:BF$453,3,FALSE)*BC291*($K291)+IF($G291&lt;&gt;0,($I291/$G291)*BC291,0)*(1-$K291)</f>
        <v>0</v>
      </c>
      <c r="BF291" s="1118">
        <f t="shared" ref="BF291:BF297" si="835">VLOOKUP($E291,BC$442:BF$453,4,FALSE)*BC291*($K291)+(BC291-BD291-BE291)*(1-$K291)</f>
        <v>0</v>
      </c>
      <c r="BG291" s="1074"/>
      <c r="BK291" s="1117">
        <f t="shared" ref="BK291:BK297" si="836">$G291</f>
        <v>0</v>
      </c>
      <c r="BL291" s="1118">
        <f t="shared" ref="BL291:BL297" si="837">VLOOKUP($E291,BK$442:BN$453,2,FALSE)*BK291*($K291)+IF($G291&lt;&gt;0,($H291/$G291)*BK291,0)*(1-$K291)</f>
        <v>0</v>
      </c>
      <c r="BM291" s="1118">
        <f t="shared" ref="BM291:BM297" si="838">VLOOKUP($E291,BK$442:BN$453,3,FALSE)*BK291*($K291)+IF($G291&lt;&gt;0,($I291/$G291)*BK291,0)*(1-$K291)</f>
        <v>0</v>
      </c>
      <c r="BN291" s="1118">
        <f t="shared" ref="BN291:BN297" si="839">VLOOKUP($E291,BK$442:BN$453,4,FALSE)*BK291*($K291)+(BK291-BL291-BM291)*(1-$K291)</f>
        <v>0</v>
      </c>
      <c r="BO291" s="1074"/>
      <c r="BS291" s="1117">
        <f t="shared" ref="BS291:BS297" si="840">$G291</f>
        <v>0</v>
      </c>
      <c r="BT291" s="1118">
        <f t="shared" ref="BT291:BT297" si="841">VLOOKUP($E291,BS$442:BV$453,2,FALSE)*BS291*($K291)+IF($G291&lt;&gt;0,($H291/$G291)*BS291,0)*(1-$K291)</f>
        <v>0</v>
      </c>
      <c r="BU291" s="1118">
        <f t="shared" ref="BU291:BU297" si="842">VLOOKUP($E291,BS$442:BV$453,3,FALSE)*BS291*($K291)+IF($G291&lt;&gt;0,($I291/$G291)*BS291,0)*(1-$K291)</f>
        <v>0</v>
      </c>
      <c r="BV291" s="1118">
        <f t="shared" ref="BV291:BV297" si="843">VLOOKUP($E291,BS$442:BV$453,4,FALSE)*BS291*($K291)+(BS291-BT291-BU291)*(1-$K291)</f>
        <v>0</v>
      </c>
      <c r="BW291" s="1074"/>
      <c r="CA291" s="1117">
        <f t="shared" ref="CA291:CA297" si="844">$G291</f>
        <v>0</v>
      </c>
      <c r="CB291" s="1118">
        <f t="shared" ref="CB291:CB297" si="845">VLOOKUP($E291,CA$442:CD$453,2,FALSE)*CA291*($K291)+IF($G291&lt;&gt;0,($H291/$G291)*CA291,0)*(1-$K291)</f>
        <v>0</v>
      </c>
      <c r="CC291" s="1118">
        <f t="shared" ref="CC291:CC297" si="846">VLOOKUP($E291,CA$442:CD$453,3,FALSE)*CA291*($K291)+IF($G291&lt;&gt;0,($I291/$G291)*CA291,0)*(1-$K291)</f>
        <v>0</v>
      </c>
      <c r="CD291" s="1118">
        <f t="shared" ref="CD291:CD297" si="847">VLOOKUP($E291,CA$442:CD$453,4,FALSE)*CA291*($K291)+(CA291-CB291-CC291)*(1-$K291)</f>
        <v>0</v>
      </c>
      <c r="CE291" s="1074"/>
      <c r="CI291" s="1117">
        <f t="shared" ref="CI291:CI297" si="848">$G291</f>
        <v>0</v>
      </c>
      <c r="CJ291" s="1118">
        <f t="shared" ref="CJ291:CJ297" si="849">VLOOKUP($E291,CI$442:CL$453,2,FALSE)*CI291*($K291)+IF($G291&lt;&gt;0,($H291/$G291)*CI291,0)*(1-$K291)</f>
        <v>0</v>
      </c>
      <c r="CK291" s="1118">
        <f t="shared" ref="CK291:CK297" si="850">VLOOKUP($E291,CI$442:CL$453,3,FALSE)*CI291*($K291)+IF($G291&lt;&gt;0,($I291/$G291)*CI291,0)*(1-$K291)</f>
        <v>0</v>
      </c>
      <c r="CL291" s="1118">
        <f t="shared" ref="CL291:CL297" si="851">VLOOKUP($E291,CI$442:CL$453,4,FALSE)*CI291*($K291)+(CI291-CJ291-CK291)*(1-$K291)</f>
        <v>0</v>
      </c>
      <c r="CM291" s="1074"/>
      <c r="CQ291" s="1117">
        <f t="shared" ref="CQ291:CQ297" si="852">$G291</f>
        <v>0</v>
      </c>
      <c r="CR291" s="1118">
        <f t="shared" ref="CR291:CR297" si="853">VLOOKUP($E291,CQ$442:CT$453,2,FALSE)*CQ291*($K291)+IF($G291&lt;&gt;0,($H291/$G291)*CQ291,0)*(1-$K291)</f>
        <v>0</v>
      </c>
      <c r="CS291" s="1118">
        <f t="shared" ref="CS291:CS297" si="854">VLOOKUP($E291,CQ$442:CT$453,3,FALSE)*CQ291*($K291)+IF($G291&lt;&gt;0,($I291/$G291)*CQ291,0)*(1-$K291)</f>
        <v>0</v>
      </c>
      <c r="CT291" s="1118">
        <f t="shared" ref="CT291:CT297" si="855">VLOOKUP($E291,CQ$442:CT$453,4,FALSE)*CQ291*($K291)+(CQ291-CR291-CS291)*(1-$K291)</f>
        <v>0</v>
      </c>
      <c r="CU291" s="1074"/>
      <c r="CY291" s="1117">
        <f t="shared" ref="CY291:CY297" si="856">$G291</f>
        <v>0</v>
      </c>
      <c r="CZ291" s="1118">
        <f t="shared" ref="CZ291:CZ297" si="857">VLOOKUP($E291,CY$442:DB$453,2,FALSE)*CY291*($K291)+IF($G291&lt;&gt;0,($H291/$G291)*CY291,0)*(1-$K291)</f>
        <v>0</v>
      </c>
      <c r="DA291" s="1118">
        <f t="shared" ref="DA291:DA297" si="858">VLOOKUP($E291,CY$442:DB$453,3,FALSE)*CY291*($K291)+IF($G291&lt;&gt;0,($I291/$G291)*CY291,0)*(1-$K291)</f>
        <v>0</v>
      </c>
      <c r="DB291" s="1118">
        <f t="shared" ref="DB291:DB297" si="859">VLOOKUP($E291,CY$442:DB$453,4,FALSE)*CY291*($K291)+(CY291-CZ291-DA291)*(1-$K291)</f>
        <v>0</v>
      </c>
      <c r="DC291" s="1074"/>
      <c r="DG291" s="1117">
        <f t="shared" ref="DG291:DG297" si="860">$G291</f>
        <v>0</v>
      </c>
      <c r="DH291" s="1118">
        <f t="shared" ref="DH291:DH297" si="861">VLOOKUP($E291,DG$442:DJ$453,2,FALSE)*DG291*($K291)+IF($G291&lt;&gt;0,($H291/$G291)*DG291,0)*(1-$K291)</f>
        <v>0</v>
      </c>
      <c r="DI291" s="1118">
        <f t="shared" ref="DI291:DI297" si="862">VLOOKUP($E291,DG$442:DJ$453,3,FALSE)*DG291*($K291)+IF($G291&lt;&gt;0,($I291/$G291)*DG291,0)*(1-$K291)</f>
        <v>0</v>
      </c>
      <c r="DJ291" s="1118">
        <f t="shared" ref="DJ291:DJ297" si="863">VLOOKUP($E291,DG$442:DJ$453,4,FALSE)*DG291*($K291)+(DG291-DH291-DI291)*(1-$K291)</f>
        <v>0</v>
      </c>
      <c r="DK291" s="1074"/>
      <c r="DO291" s="1117">
        <f t="shared" ref="DO291:DO297" si="864">$G291</f>
        <v>0</v>
      </c>
      <c r="DP291" s="1118">
        <f t="shared" ref="DP291:DP297" si="865">VLOOKUP($E291,DO$442:DR$453,2,FALSE)*DO291*($K291)+IF($G291&lt;&gt;0,($H291/$G291)*DO291,0)*(1-$K291)</f>
        <v>0</v>
      </c>
      <c r="DQ291" s="1118">
        <f t="shared" ref="DQ291:DQ297" si="866">VLOOKUP($E291,DO$442:DR$453,3,FALSE)*DO291*($K291)+IF($G291&lt;&gt;0,($I291/$G291)*DO291,0)*(1-$K291)</f>
        <v>0</v>
      </c>
      <c r="DR291" s="1118">
        <f t="shared" ref="DR291:DR297" si="867">VLOOKUP($E291,DO$442:DR$453,4,FALSE)*DO291*($K291)+(DO291-DP291-DQ291)*(1-$K291)</f>
        <v>0</v>
      </c>
      <c r="DS291" s="1074"/>
      <c r="DW291" s="1117">
        <f t="shared" ref="DW291:DW297" si="868">$G291</f>
        <v>0</v>
      </c>
      <c r="DX291" s="1118">
        <f t="shared" ref="DX291:DX297" si="869">VLOOKUP($E291,DW$442:DZ$453,2,FALSE)*DW291*($K291)+IF($G291&lt;&gt;0,($H291/$G291)*DW291,0)*(1-$K291)</f>
        <v>0</v>
      </c>
      <c r="DY291" s="1118">
        <f t="shared" ref="DY291:DY297" si="870">VLOOKUP($E291,DW$442:DZ$453,3,FALSE)*DW291*($K291)+IF($G291&lt;&gt;0,($I291/$G291)*DW291,0)*(1-$K291)</f>
        <v>0</v>
      </c>
      <c r="DZ291" s="1118">
        <f t="shared" ref="DZ291:DZ297" si="871">VLOOKUP($E291,DW$442:DZ$453,4,FALSE)*DW291*($K291)+(DW291-DX291-DY291)*(1-$K291)</f>
        <v>0</v>
      </c>
      <c r="EA291" s="1074"/>
      <c r="EE291" s="1117">
        <f t="shared" ref="EE291:EE297" si="872">$G291</f>
        <v>0</v>
      </c>
      <c r="EF291" s="1118">
        <f t="shared" ref="EF291:EF297" si="873">VLOOKUP($E291,EE$442:EH$453,2,FALSE)*EE291*($K291)+IF($G291&lt;&gt;0,($H291/$G291)*EE291,0)*(1-$K291)</f>
        <v>0</v>
      </c>
      <c r="EG291" s="1118">
        <f t="shared" ref="EG291:EG297" si="874">VLOOKUP($E291,EE$442:EH$453,3,FALSE)*EE291*($K291)+IF($G291&lt;&gt;0,($I291/$G291)*EE291,0)*(1-$K291)</f>
        <v>0</v>
      </c>
      <c r="EH291" s="1118">
        <f t="shared" ref="EH291:EH297" si="875">VLOOKUP($E291,EE$442:EH$453,4,FALSE)*EE291*($K291)+(EE291-EF291-EG291)*(1-$K291)</f>
        <v>0</v>
      </c>
      <c r="EI291" s="1074"/>
      <c r="EM291" s="1117">
        <f t="shared" ref="EM291:EM297" si="876">$G291</f>
        <v>0</v>
      </c>
      <c r="EN291" s="1118">
        <f t="shared" ref="EN291:EN297" si="877">VLOOKUP($E291,EM$442:EP$453,2,FALSE)*EM291*($K291)+IF($G291&lt;&gt;0,($H291/$G291)*EM291,0)*(1-$K291)</f>
        <v>0</v>
      </c>
      <c r="EO291" s="1118">
        <f t="shared" ref="EO291:EO297" si="878">VLOOKUP($E291,EM$442:EP$453,3,FALSE)*EM291*($K291)+IF($G291&lt;&gt;0,($I291/$G291)*EM291,0)*(1-$K291)</f>
        <v>0</v>
      </c>
      <c r="EP291" s="1118">
        <f t="shared" ref="EP291:EP297" si="879">VLOOKUP($E291,EM$442:EP$453,4,FALSE)*EM291*($K291)+(EM291-EN291-EO291)*(1-$K291)</f>
        <v>0</v>
      </c>
      <c r="EQ291" s="1074"/>
      <c r="EU291" s="1117">
        <f t="shared" ref="EU291:EU297" si="880">$G291</f>
        <v>0</v>
      </c>
      <c r="EV291" s="1118">
        <f t="shared" ref="EV291:EV297" si="881">VLOOKUP($E291,EU$442:EX$453,2,FALSE)*EU291*($K291)+IF($G291&lt;&gt;0,($H291/$G291)*EU291,0)*(1-$K291)</f>
        <v>0</v>
      </c>
      <c r="EW291" s="1118">
        <f t="shared" ref="EW291:EW297" si="882">VLOOKUP($E291,EU$442:EX$453,3,FALSE)*EU291*($K291)+IF($G291&lt;&gt;0,($I291/$G291)*EU291,0)*(1-$K291)</f>
        <v>0</v>
      </c>
      <c r="EX291" s="1118">
        <f t="shared" ref="EX291:EX297" si="883">VLOOKUP($E291,EU$442:EX$453,4,FALSE)*EU291*($K291)+(EU291-EV291-EW291)*(1-$K291)</f>
        <v>0</v>
      </c>
      <c r="EY291" s="1074"/>
      <c r="FC291" s="1117">
        <f t="shared" ref="FC291:FC297" si="884">$G291</f>
        <v>0</v>
      </c>
      <c r="FD291" s="1118">
        <f t="shared" ref="FD291:FD297" si="885">VLOOKUP($E291,FC$442:FF$453,2,FALSE)*FC291*($K291)+IF($G291&lt;&gt;0,($H291/$G291)*FC291,0)*(1-$K291)</f>
        <v>0</v>
      </c>
      <c r="FE291" s="1118">
        <f t="shared" ref="FE291:FE297" si="886">VLOOKUP($E291,FC$442:FF$453,3,FALSE)*FC291*($K291)+IF($G291&lt;&gt;0,($I291/$G291)*FC291,0)*(1-$K291)</f>
        <v>0</v>
      </c>
      <c r="FF291" s="1118">
        <f t="shared" ref="FF291:FF297" si="887">VLOOKUP($E291,FC$442:FF$453,4,FALSE)*FC291*($K291)+(FC291-FD291-FE291)*(1-$K291)</f>
        <v>0</v>
      </c>
      <c r="FG291" s="1074"/>
      <c r="FK291" s="1117">
        <f t="shared" ref="FK291:FK297" si="888">$G291</f>
        <v>0</v>
      </c>
      <c r="FL291" s="1118">
        <f t="shared" ref="FL291:FL297" si="889">VLOOKUP($E291,FK$442:FN$453,2,FALSE)*FK291*($K291)+IF($G291&lt;&gt;0,($H291/$G291)*FK291,0)*(1-$K291)</f>
        <v>0</v>
      </c>
      <c r="FM291" s="1118">
        <f t="shared" ref="FM291:FM297" si="890">VLOOKUP($E291,FK$442:FN$453,3,FALSE)*FK291*($K291)+IF($G291&lt;&gt;0,($I291/$G291)*FK291,0)*(1-$K291)</f>
        <v>0</v>
      </c>
      <c r="FN291" s="1118">
        <f t="shared" ref="FN291:FN297" si="891">VLOOKUP($E291,FK$442:FN$453,4,FALSE)*FK291*($K291)+(FK291-FL291-FM291)*(1-$K291)</f>
        <v>0</v>
      </c>
      <c r="FO291" s="1074"/>
    </row>
    <row r="292" spans="1:171" x14ac:dyDescent="0.25">
      <c r="A292" s="1341"/>
      <c r="B292" s="1032" t="s">
        <v>629</v>
      </c>
      <c r="C292" s="889">
        <v>114</v>
      </c>
      <c r="D292" s="890">
        <v>407.4</v>
      </c>
      <c r="E292" s="182" t="str">
        <f>'Sch 3B - Other Items'!E16</f>
        <v>DIRECT</v>
      </c>
      <c r="F292" s="890"/>
      <c r="G292" s="182">
        <f>'Sch 3B - Other Items'!G16</f>
        <v>5441242.9300000006</v>
      </c>
      <c r="H292" s="182">
        <f>'Sch 3B - Other Items'!H16</f>
        <v>739917.129723388</v>
      </c>
      <c r="I292" s="182">
        <f>'Sch 3B - Other Items'!I16</f>
        <v>0</v>
      </c>
      <c r="J292" s="1422">
        <f>'Sch 3B - Other Items'!J16</f>
        <v>4701325.8002766119</v>
      </c>
      <c r="K292" s="904">
        <f t="shared" si="811"/>
        <v>0</v>
      </c>
      <c r="O292" s="1117">
        <f t="shared" si="812"/>
        <v>5441242.9300000006</v>
      </c>
      <c r="P292" s="1118">
        <f t="shared" si="813"/>
        <v>739917.129723388</v>
      </c>
      <c r="Q292" s="1118">
        <f t="shared" si="814"/>
        <v>0</v>
      </c>
      <c r="R292" s="1118">
        <f t="shared" si="815"/>
        <v>4701325.8002766129</v>
      </c>
      <c r="S292" s="1074"/>
      <c r="W292" s="1117">
        <f t="shared" si="816"/>
        <v>5441242.9300000006</v>
      </c>
      <c r="X292" s="1118">
        <f t="shared" si="817"/>
        <v>739917.129723388</v>
      </c>
      <c r="Y292" s="1118">
        <f t="shared" si="818"/>
        <v>0</v>
      </c>
      <c r="Z292" s="1118">
        <f t="shared" si="819"/>
        <v>4701325.8002766129</v>
      </c>
      <c r="AA292" s="1074"/>
      <c r="AE292" s="1117">
        <f t="shared" si="820"/>
        <v>5441242.9300000006</v>
      </c>
      <c r="AF292" s="1118">
        <f t="shared" si="821"/>
        <v>739917.129723388</v>
      </c>
      <c r="AG292" s="1118">
        <f t="shared" si="822"/>
        <v>0</v>
      </c>
      <c r="AH292" s="1118">
        <f t="shared" si="823"/>
        <v>4701325.8002766129</v>
      </c>
      <c r="AI292" s="1074"/>
      <c r="AM292" s="1117">
        <f t="shared" si="824"/>
        <v>5441242.9300000006</v>
      </c>
      <c r="AN292" s="1118">
        <f t="shared" si="825"/>
        <v>739917.129723388</v>
      </c>
      <c r="AO292" s="1118">
        <f t="shared" si="826"/>
        <v>0</v>
      </c>
      <c r="AP292" s="1118">
        <f t="shared" si="827"/>
        <v>4701325.8002766129</v>
      </c>
      <c r="AQ292" s="1074"/>
      <c r="AU292" s="1117">
        <f t="shared" si="828"/>
        <v>5441242.9300000006</v>
      </c>
      <c r="AV292" s="1118">
        <f t="shared" si="829"/>
        <v>739917.129723388</v>
      </c>
      <c r="AW292" s="1118">
        <f t="shared" si="830"/>
        <v>0</v>
      </c>
      <c r="AX292" s="1118">
        <f t="shared" si="831"/>
        <v>4701325.8002766129</v>
      </c>
      <c r="AY292" s="1074"/>
      <c r="BC292" s="1117">
        <f t="shared" si="832"/>
        <v>5441242.9300000006</v>
      </c>
      <c r="BD292" s="1118">
        <f t="shared" si="833"/>
        <v>739917.129723388</v>
      </c>
      <c r="BE292" s="1118">
        <f t="shared" si="834"/>
        <v>0</v>
      </c>
      <c r="BF292" s="1118">
        <f t="shared" si="835"/>
        <v>4701325.8002766129</v>
      </c>
      <c r="BG292" s="1074"/>
      <c r="BK292" s="1117">
        <f t="shared" si="836"/>
        <v>5441242.9300000006</v>
      </c>
      <c r="BL292" s="1118">
        <f t="shared" si="837"/>
        <v>739917.129723388</v>
      </c>
      <c r="BM292" s="1118">
        <f t="shared" si="838"/>
        <v>0</v>
      </c>
      <c r="BN292" s="1118">
        <f t="shared" si="839"/>
        <v>4701325.8002766129</v>
      </c>
      <c r="BO292" s="1074"/>
      <c r="BS292" s="1117">
        <f t="shared" si="840"/>
        <v>5441242.9300000006</v>
      </c>
      <c r="BT292" s="1118">
        <f t="shared" si="841"/>
        <v>739917.129723388</v>
      </c>
      <c r="BU292" s="1118">
        <f t="shared" si="842"/>
        <v>0</v>
      </c>
      <c r="BV292" s="1118">
        <f t="shared" si="843"/>
        <v>4701325.8002766129</v>
      </c>
      <c r="BW292" s="1074"/>
      <c r="CA292" s="1117">
        <f t="shared" si="844"/>
        <v>5441242.9300000006</v>
      </c>
      <c r="CB292" s="1118">
        <f t="shared" si="845"/>
        <v>739917.129723388</v>
      </c>
      <c r="CC292" s="1118">
        <f t="shared" si="846"/>
        <v>0</v>
      </c>
      <c r="CD292" s="1118">
        <f t="shared" si="847"/>
        <v>4701325.8002766129</v>
      </c>
      <c r="CE292" s="1074"/>
      <c r="CI292" s="1117">
        <f t="shared" si="848"/>
        <v>5441242.9300000006</v>
      </c>
      <c r="CJ292" s="1118">
        <f t="shared" si="849"/>
        <v>739917.129723388</v>
      </c>
      <c r="CK292" s="1118">
        <f t="shared" si="850"/>
        <v>0</v>
      </c>
      <c r="CL292" s="1118">
        <f t="shared" si="851"/>
        <v>4701325.8002766129</v>
      </c>
      <c r="CM292" s="1074"/>
      <c r="CQ292" s="1117">
        <f t="shared" si="852"/>
        <v>5441242.9300000006</v>
      </c>
      <c r="CR292" s="1118">
        <f t="shared" si="853"/>
        <v>739917.129723388</v>
      </c>
      <c r="CS292" s="1118">
        <f t="shared" si="854"/>
        <v>0</v>
      </c>
      <c r="CT292" s="1118">
        <f t="shared" si="855"/>
        <v>4701325.8002766129</v>
      </c>
      <c r="CU292" s="1074"/>
      <c r="CY292" s="1117">
        <f t="shared" si="856"/>
        <v>5441242.9300000006</v>
      </c>
      <c r="CZ292" s="1118">
        <f t="shared" si="857"/>
        <v>739917.129723388</v>
      </c>
      <c r="DA292" s="1118">
        <f t="shared" si="858"/>
        <v>0</v>
      </c>
      <c r="DB292" s="1118">
        <f t="shared" si="859"/>
        <v>4701325.8002766129</v>
      </c>
      <c r="DC292" s="1074"/>
      <c r="DG292" s="1117">
        <f t="shared" si="860"/>
        <v>5441242.9300000006</v>
      </c>
      <c r="DH292" s="1118">
        <f t="shared" si="861"/>
        <v>739917.129723388</v>
      </c>
      <c r="DI292" s="1118">
        <f t="shared" si="862"/>
        <v>0</v>
      </c>
      <c r="DJ292" s="1118">
        <f t="shared" si="863"/>
        <v>4701325.8002766129</v>
      </c>
      <c r="DK292" s="1074"/>
      <c r="DO292" s="1117">
        <f t="shared" si="864"/>
        <v>5441242.9300000006</v>
      </c>
      <c r="DP292" s="1118">
        <f t="shared" si="865"/>
        <v>739917.129723388</v>
      </c>
      <c r="DQ292" s="1118">
        <f t="shared" si="866"/>
        <v>0</v>
      </c>
      <c r="DR292" s="1118">
        <f t="shared" si="867"/>
        <v>4701325.8002766129</v>
      </c>
      <c r="DS292" s="1074"/>
      <c r="DW292" s="1117">
        <f t="shared" si="868"/>
        <v>5441242.9300000006</v>
      </c>
      <c r="DX292" s="1118">
        <f t="shared" si="869"/>
        <v>739917.129723388</v>
      </c>
      <c r="DY292" s="1118">
        <f t="shared" si="870"/>
        <v>0</v>
      </c>
      <c r="DZ292" s="1118">
        <f t="shared" si="871"/>
        <v>4701325.8002766129</v>
      </c>
      <c r="EA292" s="1074"/>
      <c r="EE292" s="1117">
        <f t="shared" si="872"/>
        <v>5441242.9300000006</v>
      </c>
      <c r="EF292" s="1118">
        <f t="shared" si="873"/>
        <v>739917.129723388</v>
      </c>
      <c r="EG292" s="1118">
        <f t="shared" si="874"/>
        <v>0</v>
      </c>
      <c r="EH292" s="1118">
        <f t="shared" si="875"/>
        <v>4701325.8002766129</v>
      </c>
      <c r="EI292" s="1074"/>
      <c r="EM292" s="1117">
        <f t="shared" si="876"/>
        <v>5441242.9300000006</v>
      </c>
      <c r="EN292" s="1118">
        <f t="shared" si="877"/>
        <v>739917.129723388</v>
      </c>
      <c r="EO292" s="1118">
        <f t="shared" si="878"/>
        <v>0</v>
      </c>
      <c r="EP292" s="1118">
        <f t="shared" si="879"/>
        <v>4701325.8002766129</v>
      </c>
      <c r="EQ292" s="1074"/>
      <c r="EU292" s="1117">
        <f t="shared" si="880"/>
        <v>5441242.9300000006</v>
      </c>
      <c r="EV292" s="1118">
        <f t="shared" si="881"/>
        <v>739917.129723388</v>
      </c>
      <c r="EW292" s="1118">
        <f t="shared" si="882"/>
        <v>0</v>
      </c>
      <c r="EX292" s="1118">
        <f t="shared" si="883"/>
        <v>4701325.8002766129</v>
      </c>
      <c r="EY292" s="1074"/>
      <c r="FC292" s="1117">
        <f t="shared" si="884"/>
        <v>5441242.9300000006</v>
      </c>
      <c r="FD292" s="1118">
        <f t="shared" si="885"/>
        <v>739917.129723388</v>
      </c>
      <c r="FE292" s="1118">
        <f t="shared" si="886"/>
        <v>0</v>
      </c>
      <c r="FF292" s="1118">
        <f t="shared" si="887"/>
        <v>4701325.8002766129</v>
      </c>
      <c r="FG292" s="1074"/>
      <c r="FK292" s="1117">
        <f t="shared" si="888"/>
        <v>5441242.9300000006</v>
      </c>
      <c r="FL292" s="1118">
        <f t="shared" si="889"/>
        <v>739917.129723388</v>
      </c>
      <c r="FM292" s="1118">
        <f t="shared" si="890"/>
        <v>0</v>
      </c>
      <c r="FN292" s="1118">
        <f t="shared" si="891"/>
        <v>4701325.8002766129</v>
      </c>
      <c r="FO292" s="1074"/>
    </row>
    <row r="293" spans="1:171" x14ac:dyDescent="0.25">
      <c r="A293" s="1421"/>
      <c r="B293" s="1033" t="s">
        <v>390</v>
      </c>
      <c r="C293" s="889">
        <v>114</v>
      </c>
      <c r="D293" s="890">
        <v>411.6</v>
      </c>
      <c r="E293" s="182" t="str">
        <f>'Sch 3B - Other Items'!E17</f>
        <v>DIRECT</v>
      </c>
      <c r="F293" s="890"/>
      <c r="G293" s="182">
        <f>'Sch 3B - Other Items'!G17</f>
        <v>0</v>
      </c>
      <c r="H293" s="182">
        <f>'Sch 3B - Other Items'!H17</f>
        <v>0</v>
      </c>
      <c r="I293" s="182">
        <f>'Sch 3B - Other Items'!I17</f>
        <v>0</v>
      </c>
      <c r="J293" s="1422">
        <f>'Sch 3B - Other Items'!J17</f>
        <v>0</v>
      </c>
      <c r="K293" s="904">
        <f t="shared" si="811"/>
        <v>0</v>
      </c>
      <c r="O293" s="1117">
        <f t="shared" si="812"/>
        <v>0</v>
      </c>
      <c r="P293" s="1118">
        <f t="shared" si="813"/>
        <v>0</v>
      </c>
      <c r="Q293" s="1118">
        <f t="shared" si="814"/>
        <v>0</v>
      </c>
      <c r="R293" s="1118">
        <f t="shared" si="815"/>
        <v>0</v>
      </c>
      <c r="S293" s="1074"/>
      <c r="W293" s="1117">
        <f t="shared" si="816"/>
        <v>0</v>
      </c>
      <c r="X293" s="1118">
        <f t="shared" si="817"/>
        <v>0</v>
      </c>
      <c r="Y293" s="1118">
        <f t="shared" si="818"/>
        <v>0</v>
      </c>
      <c r="Z293" s="1118">
        <f t="shared" si="819"/>
        <v>0</v>
      </c>
      <c r="AA293" s="1074"/>
      <c r="AE293" s="1117">
        <f t="shared" si="820"/>
        <v>0</v>
      </c>
      <c r="AF293" s="1118">
        <f t="shared" si="821"/>
        <v>0</v>
      </c>
      <c r="AG293" s="1118">
        <f t="shared" si="822"/>
        <v>0</v>
      </c>
      <c r="AH293" s="1118">
        <f t="shared" si="823"/>
        <v>0</v>
      </c>
      <c r="AI293" s="1074"/>
      <c r="AM293" s="1117">
        <f t="shared" si="824"/>
        <v>0</v>
      </c>
      <c r="AN293" s="1118">
        <f t="shared" si="825"/>
        <v>0</v>
      </c>
      <c r="AO293" s="1118">
        <f t="shared" si="826"/>
        <v>0</v>
      </c>
      <c r="AP293" s="1118">
        <f t="shared" si="827"/>
        <v>0</v>
      </c>
      <c r="AQ293" s="1074"/>
      <c r="AU293" s="1117">
        <f t="shared" si="828"/>
        <v>0</v>
      </c>
      <c r="AV293" s="1118">
        <f t="shared" si="829"/>
        <v>0</v>
      </c>
      <c r="AW293" s="1118">
        <f t="shared" si="830"/>
        <v>0</v>
      </c>
      <c r="AX293" s="1118">
        <f t="shared" si="831"/>
        <v>0</v>
      </c>
      <c r="AY293" s="1074"/>
      <c r="BC293" s="1117">
        <f t="shared" si="832"/>
        <v>0</v>
      </c>
      <c r="BD293" s="1118">
        <f t="shared" si="833"/>
        <v>0</v>
      </c>
      <c r="BE293" s="1118">
        <f t="shared" si="834"/>
        <v>0</v>
      </c>
      <c r="BF293" s="1118">
        <f t="shared" si="835"/>
        <v>0</v>
      </c>
      <c r="BG293" s="1074"/>
      <c r="BK293" s="1117">
        <f t="shared" si="836"/>
        <v>0</v>
      </c>
      <c r="BL293" s="1118">
        <f t="shared" si="837"/>
        <v>0</v>
      </c>
      <c r="BM293" s="1118">
        <f t="shared" si="838"/>
        <v>0</v>
      </c>
      <c r="BN293" s="1118">
        <f t="shared" si="839"/>
        <v>0</v>
      </c>
      <c r="BO293" s="1074"/>
      <c r="BS293" s="1117">
        <f t="shared" si="840"/>
        <v>0</v>
      </c>
      <c r="BT293" s="1118">
        <f t="shared" si="841"/>
        <v>0</v>
      </c>
      <c r="BU293" s="1118">
        <f t="shared" si="842"/>
        <v>0</v>
      </c>
      <c r="BV293" s="1118">
        <f t="shared" si="843"/>
        <v>0</v>
      </c>
      <c r="BW293" s="1074"/>
      <c r="CA293" s="1117">
        <f t="shared" si="844"/>
        <v>0</v>
      </c>
      <c r="CB293" s="1118">
        <f t="shared" si="845"/>
        <v>0</v>
      </c>
      <c r="CC293" s="1118">
        <f t="shared" si="846"/>
        <v>0</v>
      </c>
      <c r="CD293" s="1118">
        <f t="shared" si="847"/>
        <v>0</v>
      </c>
      <c r="CE293" s="1074"/>
      <c r="CI293" s="1117">
        <f t="shared" si="848"/>
        <v>0</v>
      </c>
      <c r="CJ293" s="1118">
        <f t="shared" si="849"/>
        <v>0</v>
      </c>
      <c r="CK293" s="1118">
        <f t="shared" si="850"/>
        <v>0</v>
      </c>
      <c r="CL293" s="1118">
        <f t="shared" si="851"/>
        <v>0</v>
      </c>
      <c r="CM293" s="1074"/>
      <c r="CQ293" s="1117">
        <f t="shared" si="852"/>
        <v>0</v>
      </c>
      <c r="CR293" s="1118">
        <f t="shared" si="853"/>
        <v>0</v>
      </c>
      <c r="CS293" s="1118">
        <f t="shared" si="854"/>
        <v>0</v>
      </c>
      <c r="CT293" s="1118">
        <f t="shared" si="855"/>
        <v>0</v>
      </c>
      <c r="CU293" s="1074"/>
      <c r="CY293" s="1117">
        <f t="shared" si="856"/>
        <v>0</v>
      </c>
      <c r="CZ293" s="1118">
        <f t="shared" si="857"/>
        <v>0</v>
      </c>
      <c r="DA293" s="1118">
        <f t="shared" si="858"/>
        <v>0</v>
      </c>
      <c r="DB293" s="1118">
        <f t="shared" si="859"/>
        <v>0</v>
      </c>
      <c r="DC293" s="1074"/>
      <c r="DG293" s="1117">
        <f t="shared" si="860"/>
        <v>0</v>
      </c>
      <c r="DH293" s="1118">
        <f t="shared" si="861"/>
        <v>0</v>
      </c>
      <c r="DI293" s="1118">
        <f t="shared" si="862"/>
        <v>0</v>
      </c>
      <c r="DJ293" s="1118">
        <f t="shared" si="863"/>
        <v>0</v>
      </c>
      <c r="DK293" s="1074"/>
      <c r="DO293" s="1117">
        <f t="shared" si="864"/>
        <v>0</v>
      </c>
      <c r="DP293" s="1118">
        <f t="shared" si="865"/>
        <v>0</v>
      </c>
      <c r="DQ293" s="1118">
        <f t="shared" si="866"/>
        <v>0</v>
      </c>
      <c r="DR293" s="1118">
        <f t="shared" si="867"/>
        <v>0</v>
      </c>
      <c r="DS293" s="1074"/>
      <c r="DW293" s="1117">
        <f t="shared" si="868"/>
        <v>0</v>
      </c>
      <c r="DX293" s="1118">
        <f t="shared" si="869"/>
        <v>0</v>
      </c>
      <c r="DY293" s="1118">
        <f t="shared" si="870"/>
        <v>0</v>
      </c>
      <c r="DZ293" s="1118">
        <f t="shared" si="871"/>
        <v>0</v>
      </c>
      <c r="EA293" s="1074"/>
      <c r="EE293" s="1117">
        <f t="shared" si="872"/>
        <v>0</v>
      </c>
      <c r="EF293" s="1118">
        <f t="shared" si="873"/>
        <v>0</v>
      </c>
      <c r="EG293" s="1118">
        <f t="shared" si="874"/>
        <v>0</v>
      </c>
      <c r="EH293" s="1118">
        <f t="shared" si="875"/>
        <v>0</v>
      </c>
      <c r="EI293" s="1074"/>
      <c r="EM293" s="1117">
        <f t="shared" si="876"/>
        <v>0</v>
      </c>
      <c r="EN293" s="1118">
        <f t="shared" si="877"/>
        <v>0</v>
      </c>
      <c r="EO293" s="1118">
        <f t="shared" si="878"/>
        <v>0</v>
      </c>
      <c r="EP293" s="1118">
        <f t="shared" si="879"/>
        <v>0</v>
      </c>
      <c r="EQ293" s="1074"/>
      <c r="EU293" s="1117">
        <f t="shared" si="880"/>
        <v>0</v>
      </c>
      <c r="EV293" s="1118">
        <f t="shared" si="881"/>
        <v>0</v>
      </c>
      <c r="EW293" s="1118">
        <f t="shared" si="882"/>
        <v>0</v>
      </c>
      <c r="EX293" s="1118">
        <f t="shared" si="883"/>
        <v>0</v>
      </c>
      <c r="EY293" s="1074"/>
      <c r="FC293" s="1117">
        <f t="shared" si="884"/>
        <v>0</v>
      </c>
      <c r="FD293" s="1118">
        <f t="shared" si="885"/>
        <v>0</v>
      </c>
      <c r="FE293" s="1118">
        <f t="shared" si="886"/>
        <v>0</v>
      </c>
      <c r="FF293" s="1118">
        <f t="shared" si="887"/>
        <v>0</v>
      </c>
      <c r="FG293" s="1074"/>
      <c r="FK293" s="1117">
        <f t="shared" si="888"/>
        <v>0</v>
      </c>
      <c r="FL293" s="1118">
        <f t="shared" si="889"/>
        <v>0</v>
      </c>
      <c r="FM293" s="1118">
        <f t="shared" si="890"/>
        <v>0</v>
      </c>
      <c r="FN293" s="1118">
        <f t="shared" si="891"/>
        <v>0</v>
      </c>
      <c r="FO293" s="1074"/>
    </row>
    <row r="294" spans="1:171" x14ac:dyDescent="0.25">
      <c r="A294" s="1421"/>
      <c r="B294" s="1034" t="s">
        <v>630</v>
      </c>
      <c r="C294" s="889">
        <v>114</v>
      </c>
      <c r="D294" s="890" t="s">
        <v>42</v>
      </c>
      <c r="E294" s="182" t="str">
        <f>'Sch 3B - Other Items'!E18</f>
        <v>DIRECT</v>
      </c>
      <c r="F294" s="890"/>
      <c r="G294" s="182">
        <f>'Sch 3B - Other Items'!G18</f>
        <v>0</v>
      </c>
      <c r="H294" s="182">
        <f>'Sch 3B - Other Items'!H18</f>
        <v>0</v>
      </c>
      <c r="I294" s="182">
        <f>'Sch 3B - Other Items'!I18</f>
        <v>0</v>
      </c>
      <c r="J294" s="1422">
        <f>'Sch 3B - Other Items'!J18</f>
        <v>0</v>
      </c>
      <c r="K294" s="904">
        <f t="shared" si="811"/>
        <v>0</v>
      </c>
      <c r="O294" s="1117">
        <f t="shared" si="812"/>
        <v>0</v>
      </c>
      <c r="P294" s="1118">
        <f t="shared" si="813"/>
        <v>0</v>
      </c>
      <c r="Q294" s="1118">
        <f t="shared" si="814"/>
        <v>0</v>
      </c>
      <c r="R294" s="1118">
        <f t="shared" si="815"/>
        <v>0</v>
      </c>
      <c r="S294" s="1074"/>
      <c r="W294" s="1117">
        <f t="shared" si="816"/>
        <v>0</v>
      </c>
      <c r="X294" s="1118">
        <f t="shared" si="817"/>
        <v>0</v>
      </c>
      <c r="Y294" s="1118">
        <f t="shared" si="818"/>
        <v>0</v>
      </c>
      <c r="Z294" s="1118">
        <f t="shared" si="819"/>
        <v>0</v>
      </c>
      <c r="AA294" s="1074"/>
      <c r="AE294" s="1117">
        <f t="shared" si="820"/>
        <v>0</v>
      </c>
      <c r="AF294" s="1118">
        <f t="shared" si="821"/>
        <v>0</v>
      </c>
      <c r="AG294" s="1118">
        <f t="shared" si="822"/>
        <v>0</v>
      </c>
      <c r="AH294" s="1118">
        <f t="shared" si="823"/>
        <v>0</v>
      </c>
      <c r="AI294" s="1074"/>
      <c r="AM294" s="1117">
        <f t="shared" si="824"/>
        <v>0</v>
      </c>
      <c r="AN294" s="1118">
        <f t="shared" si="825"/>
        <v>0</v>
      </c>
      <c r="AO294" s="1118">
        <f t="shared" si="826"/>
        <v>0</v>
      </c>
      <c r="AP294" s="1118">
        <f t="shared" si="827"/>
        <v>0</v>
      </c>
      <c r="AQ294" s="1074"/>
      <c r="AU294" s="1117">
        <f t="shared" si="828"/>
        <v>0</v>
      </c>
      <c r="AV294" s="1118">
        <f t="shared" si="829"/>
        <v>0</v>
      </c>
      <c r="AW294" s="1118">
        <f t="shared" si="830"/>
        <v>0</v>
      </c>
      <c r="AX294" s="1118">
        <f t="shared" si="831"/>
        <v>0</v>
      </c>
      <c r="AY294" s="1074"/>
      <c r="BC294" s="1117">
        <f t="shared" si="832"/>
        <v>0</v>
      </c>
      <c r="BD294" s="1118">
        <f t="shared" si="833"/>
        <v>0</v>
      </c>
      <c r="BE294" s="1118">
        <f t="shared" si="834"/>
        <v>0</v>
      </c>
      <c r="BF294" s="1118">
        <f t="shared" si="835"/>
        <v>0</v>
      </c>
      <c r="BG294" s="1074"/>
      <c r="BK294" s="1117">
        <f t="shared" si="836"/>
        <v>0</v>
      </c>
      <c r="BL294" s="1118">
        <f t="shared" si="837"/>
        <v>0</v>
      </c>
      <c r="BM294" s="1118">
        <f t="shared" si="838"/>
        <v>0</v>
      </c>
      <c r="BN294" s="1118">
        <f t="shared" si="839"/>
        <v>0</v>
      </c>
      <c r="BO294" s="1074"/>
      <c r="BS294" s="1117">
        <f t="shared" si="840"/>
        <v>0</v>
      </c>
      <c r="BT294" s="1118">
        <f t="shared" si="841"/>
        <v>0</v>
      </c>
      <c r="BU294" s="1118">
        <f t="shared" si="842"/>
        <v>0</v>
      </c>
      <c r="BV294" s="1118">
        <f t="shared" si="843"/>
        <v>0</v>
      </c>
      <c r="BW294" s="1074"/>
      <c r="CA294" s="1117">
        <f t="shared" si="844"/>
        <v>0</v>
      </c>
      <c r="CB294" s="1118">
        <f t="shared" si="845"/>
        <v>0</v>
      </c>
      <c r="CC294" s="1118">
        <f t="shared" si="846"/>
        <v>0</v>
      </c>
      <c r="CD294" s="1118">
        <f t="shared" si="847"/>
        <v>0</v>
      </c>
      <c r="CE294" s="1074"/>
      <c r="CI294" s="1117">
        <f t="shared" si="848"/>
        <v>0</v>
      </c>
      <c r="CJ294" s="1118">
        <f t="shared" si="849"/>
        <v>0</v>
      </c>
      <c r="CK294" s="1118">
        <f t="shared" si="850"/>
        <v>0</v>
      </c>
      <c r="CL294" s="1118">
        <f t="shared" si="851"/>
        <v>0</v>
      </c>
      <c r="CM294" s="1074"/>
      <c r="CQ294" s="1117">
        <f t="shared" si="852"/>
        <v>0</v>
      </c>
      <c r="CR294" s="1118">
        <f t="shared" si="853"/>
        <v>0</v>
      </c>
      <c r="CS294" s="1118">
        <f t="shared" si="854"/>
        <v>0</v>
      </c>
      <c r="CT294" s="1118">
        <f t="shared" si="855"/>
        <v>0</v>
      </c>
      <c r="CU294" s="1074"/>
      <c r="CY294" s="1117">
        <f t="shared" si="856"/>
        <v>0</v>
      </c>
      <c r="CZ294" s="1118">
        <f t="shared" si="857"/>
        <v>0</v>
      </c>
      <c r="DA294" s="1118">
        <f t="shared" si="858"/>
        <v>0</v>
      </c>
      <c r="DB294" s="1118">
        <f t="shared" si="859"/>
        <v>0</v>
      </c>
      <c r="DC294" s="1074"/>
      <c r="DG294" s="1117">
        <f t="shared" si="860"/>
        <v>0</v>
      </c>
      <c r="DH294" s="1118">
        <f t="shared" si="861"/>
        <v>0</v>
      </c>
      <c r="DI294" s="1118">
        <f t="shared" si="862"/>
        <v>0</v>
      </c>
      <c r="DJ294" s="1118">
        <f t="shared" si="863"/>
        <v>0</v>
      </c>
      <c r="DK294" s="1074"/>
      <c r="DO294" s="1117">
        <f t="shared" si="864"/>
        <v>0</v>
      </c>
      <c r="DP294" s="1118">
        <f t="shared" si="865"/>
        <v>0</v>
      </c>
      <c r="DQ294" s="1118">
        <f t="shared" si="866"/>
        <v>0</v>
      </c>
      <c r="DR294" s="1118">
        <f t="shared" si="867"/>
        <v>0</v>
      </c>
      <c r="DS294" s="1074"/>
      <c r="DW294" s="1117">
        <f t="shared" si="868"/>
        <v>0</v>
      </c>
      <c r="DX294" s="1118">
        <f t="shared" si="869"/>
        <v>0</v>
      </c>
      <c r="DY294" s="1118">
        <f t="shared" si="870"/>
        <v>0</v>
      </c>
      <c r="DZ294" s="1118">
        <f t="shared" si="871"/>
        <v>0</v>
      </c>
      <c r="EA294" s="1074"/>
      <c r="EE294" s="1117">
        <f t="shared" si="872"/>
        <v>0</v>
      </c>
      <c r="EF294" s="1118">
        <f t="shared" si="873"/>
        <v>0</v>
      </c>
      <c r="EG294" s="1118">
        <f t="shared" si="874"/>
        <v>0</v>
      </c>
      <c r="EH294" s="1118">
        <f t="shared" si="875"/>
        <v>0</v>
      </c>
      <c r="EI294" s="1074"/>
      <c r="EM294" s="1117">
        <f t="shared" si="876"/>
        <v>0</v>
      </c>
      <c r="EN294" s="1118">
        <f t="shared" si="877"/>
        <v>0</v>
      </c>
      <c r="EO294" s="1118">
        <f t="shared" si="878"/>
        <v>0</v>
      </c>
      <c r="EP294" s="1118">
        <f t="shared" si="879"/>
        <v>0</v>
      </c>
      <c r="EQ294" s="1074"/>
      <c r="EU294" s="1117">
        <f t="shared" si="880"/>
        <v>0</v>
      </c>
      <c r="EV294" s="1118">
        <f t="shared" si="881"/>
        <v>0</v>
      </c>
      <c r="EW294" s="1118">
        <f t="shared" si="882"/>
        <v>0</v>
      </c>
      <c r="EX294" s="1118">
        <f t="shared" si="883"/>
        <v>0</v>
      </c>
      <c r="EY294" s="1074"/>
      <c r="FC294" s="1117">
        <f t="shared" si="884"/>
        <v>0</v>
      </c>
      <c r="FD294" s="1118">
        <f t="shared" si="885"/>
        <v>0</v>
      </c>
      <c r="FE294" s="1118">
        <f t="shared" si="886"/>
        <v>0</v>
      </c>
      <c r="FF294" s="1118">
        <f t="shared" si="887"/>
        <v>0</v>
      </c>
      <c r="FG294" s="1074"/>
      <c r="FK294" s="1117">
        <f t="shared" si="888"/>
        <v>0</v>
      </c>
      <c r="FL294" s="1118">
        <f t="shared" si="889"/>
        <v>0</v>
      </c>
      <c r="FM294" s="1118">
        <f t="shared" si="890"/>
        <v>0</v>
      </c>
      <c r="FN294" s="1118">
        <f t="shared" si="891"/>
        <v>0</v>
      </c>
      <c r="FO294" s="1074"/>
    </row>
    <row r="295" spans="1:171" x14ac:dyDescent="0.25">
      <c r="A295" s="1421"/>
      <c r="B295" s="1033" t="s">
        <v>391</v>
      </c>
      <c r="C295" s="889">
        <v>114</v>
      </c>
      <c r="D295" s="890">
        <v>411.8</v>
      </c>
      <c r="E295" s="182" t="str">
        <f>'Sch 3B - Other Items'!E19</f>
        <v>PROD</v>
      </c>
      <c r="F295" s="890"/>
      <c r="G295" s="182">
        <f>'Sch 3B - Other Items'!G19</f>
        <v>36.514148040899343</v>
      </c>
      <c r="H295" s="182">
        <f>'Sch 3B - Other Items'!H19</f>
        <v>36.514148040899343</v>
      </c>
      <c r="I295" s="182">
        <f>'Sch 3B - Other Items'!I19</f>
        <v>0</v>
      </c>
      <c r="J295" s="1422">
        <f>'Sch 3B - Other Items'!J19</f>
        <v>0</v>
      </c>
      <c r="K295" s="904">
        <f t="shared" si="811"/>
        <v>1</v>
      </c>
      <c r="O295" s="1117">
        <f t="shared" si="812"/>
        <v>36.514148040899343</v>
      </c>
      <c r="P295" s="1118">
        <f t="shared" si="813"/>
        <v>36.514148040899343</v>
      </c>
      <c r="Q295" s="1118">
        <f t="shared" si="814"/>
        <v>0</v>
      </c>
      <c r="R295" s="1118">
        <f t="shared" si="815"/>
        <v>0</v>
      </c>
      <c r="S295" s="1074"/>
      <c r="W295" s="1117">
        <f t="shared" si="816"/>
        <v>36.514148040899343</v>
      </c>
      <c r="X295" s="1118">
        <f t="shared" si="817"/>
        <v>36.514148040899343</v>
      </c>
      <c r="Y295" s="1118">
        <f t="shared" si="818"/>
        <v>0</v>
      </c>
      <c r="Z295" s="1118">
        <f t="shared" si="819"/>
        <v>0</v>
      </c>
      <c r="AA295" s="1074"/>
      <c r="AE295" s="1117">
        <f t="shared" si="820"/>
        <v>36.514148040899343</v>
      </c>
      <c r="AF295" s="1118">
        <f t="shared" si="821"/>
        <v>36.514148040899343</v>
      </c>
      <c r="AG295" s="1118">
        <f t="shared" si="822"/>
        <v>0</v>
      </c>
      <c r="AH295" s="1118">
        <f t="shared" si="823"/>
        <v>0</v>
      </c>
      <c r="AI295" s="1074"/>
      <c r="AM295" s="1117">
        <f t="shared" si="824"/>
        <v>36.514148040899343</v>
      </c>
      <c r="AN295" s="1118">
        <f t="shared" si="825"/>
        <v>36.514148040899343</v>
      </c>
      <c r="AO295" s="1118">
        <f t="shared" si="826"/>
        <v>0</v>
      </c>
      <c r="AP295" s="1118">
        <f t="shared" si="827"/>
        <v>0</v>
      </c>
      <c r="AQ295" s="1074"/>
      <c r="AU295" s="1117">
        <f t="shared" si="828"/>
        <v>36.514148040899343</v>
      </c>
      <c r="AV295" s="1118">
        <f t="shared" si="829"/>
        <v>36.514148040899343</v>
      </c>
      <c r="AW295" s="1118">
        <f t="shared" si="830"/>
        <v>0</v>
      </c>
      <c r="AX295" s="1118">
        <f t="shared" si="831"/>
        <v>0</v>
      </c>
      <c r="AY295" s="1074"/>
      <c r="BC295" s="1117">
        <f t="shared" si="832"/>
        <v>36.514148040899343</v>
      </c>
      <c r="BD295" s="1118">
        <f t="shared" si="833"/>
        <v>36.514148040899343</v>
      </c>
      <c r="BE295" s="1118">
        <f t="shared" si="834"/>
        <v>0</v>
      </c>
      <c r="BF295" s="1118">
        <f t="shared" si="835"/>
        <v>0</v>
      </c>
      <c r="BG295" s="1074"/>
      <c r="BK295" s="1117">
        <f t="shared" si="836"/>
        <v>36.514148040899343</v>
      </c>
      <c r="BL295" s="1118">
        <f t="shared" si="837"/>
        <v>36.514148040899343</v>
      </c>
      <c r="BM295" s="1118">
        <f t="shared" si="838"/>
        <v>0</v>
      </c>
      <c r="BN295" s="1118">
        <f t="shared" si="839"/>
        <v>0</v>
      </c>
      <c r="BO295" s="1074"/>
      <c r="BS295" s="1117">
        <f t="shared" si="840"/>
        <v>36.514148040899343</v>
      </c>
      <c r="BT295" s="1118">
        <f t="shared" si="841"/>
        <v>36.514148040899343</v>
      </c>
      <c r="BU295" s="1118">
        <f t="shared" si="842"/>
        <v>0</v>
      </c>
      <c r="BV295" s="1118">
        <f t="shared" si="843"/>
        <v>0</v>
      </c>
      <c r="BW295" s="1074"/>
      <c r="CA295" s="1117">
        <f t="shared" si="844"/>
        <v>36.514148040899343</v>
      </c>
      <c r="CB295" s="1118">
        <f t="shared" si="845"/>
        <v>36.514148040899343</v>
      </c>
      <c r="CC295" s="1118">
        <f t="shared" si="846"/>
        <v>0</v>
      </c>
      <c r="CD295" s="1118">
        <f t="shared" si="847"/>
        <v>0</v>
      </c>
      <c r="CE295" s="1074"/>
      <c r="CI295" s="1117">
        <f t="shared" si="848"/>
        <v>36.514148040899343</v>
      </c>
      <c r="CJ295" s="1118">
        <f t="shared" si="849"/>
        <v>36.514148040899343</v>
      </c>
      <c r="CK295" s="1118">
        <f t="shared" si="850"/>
        <v>0</v>
      </c>
      <c r="CL295" s="1118">
        <f t="shared" si="851"/>
        <v>0</v>
      </c>
      <c r="CM295" s="1074"/>
      <c r="CQ295" s="1117">
        <f t="shared" si="852"/>
        <v>36.514148040899343</v>
      </c>
      <c r="CR295" s="1118">
        <f t="shared" si="853"/>
        <v>36.514148040899343</v>
      </c>
      <c r="CS295" s="1118">
        <f t="shared" si="854"/>
        <v>0</v>
      </c>
      <c r="CT295" s="1118">
        <f t="shared" si="855"/>
        <v>0</v>
      </c>
      <c r="CU295" s="1074"/>
      <c r="CY295" s="1117">
        <f t="shared" si="856"/>
        <v>36.514148040899343</v>
      </c>
      <c r="CZ295" s="1118">
        <f t="shared" si="857"/>
        <v>36.514148040899343</v>
      </c>
      <c r="DA295" s="1118">
        <f t="shared" si="858"/>
        <v>0</v>
      </c>
      <c r="DB295" s="1118">
        <f t="shared" si="859"/>
        <v>0</v>
      </c>
      <c r="DC295" s="1074"/>
      <c r="DG295" s="1117">
        <f t="shared" si="860"/>
        <v>36.514148040899343</v>
      </c>
      <c r="DH295" s="1118">
        <f t="shared" si="861"/>
        <v>36.514148040899343</v>
      </c>
      <c r="DI295" s="1118">
        <f t="shared" si="862"/>
        <v>0</v>
      </c>
      <c r="DJ295" s="1118">
        <f t="shared" si="863"/>
        <v>0</v>
      </c>
      <c r="DK295" s="1074"/>
      <c r="DO295" s="1117">
        <f t="shared" si="864"/>
        <v>36.514148040899343</v>
      </c>
      <c r="DP295" s="1118">
        <f t="shared" si="865"/>
        <v>36.514148040899343</v>
      </c>
      <c r="DQ295" s="1118">
        <f t="shared" si="866"/>
        <v>0</v>
      </c>
      <c r="DR295" s="1118">
        <f t="shared" si="867"/>
        <v>0</v>
      </c>
      <c r="DS295" s="1074"/>
      <c r="DW295" s="1117">
        <f t="shared" si="868"/>
        <v>36.514148040899343</v>
      </c>
      <c r="DX295" s="1118">
        <f t="shared" si="869"/>
        <v>36.514148040899343</v>
      </c>
      <c r="DY295" s="1118">
        <f t="shared" si="870"/>
        <v>0</v>
      </c>
      <c r="DZ295" s="1118">
        <f t="shared" si="871"/>
        <v>0</v>
      </c>
      <c r="EA295" s="1074"/>
      <c r="EE295" s="1117">
        <f t="shared" si="872"/>
        <v>36.514148040899343</v>
      </c>
      <c r="EF295" s="1118">
        <f t="shared" si="873"/>
        <v>36.514148040899343</v>
      </c>
      <c r="EG295" s="1118">
        <f t="shared" si="874"/>
        <v>0</v>
      </c>
      <c r="EH295" s="1118">
        <f t="shared" si="875"/>
        <v>0</v>
      </c>
      <c r="EI295" s="1074"/>
      <c r="EM295" s="1117">
        <f t="shared" si="876"/>
        <v>36.514148040899343</v>
      </c>
      <c r="EN295" s="1118">
        <f t="shared" si="877"/>
        <v>36.514148040899343</v>
      </c>
      <c r="EO295" s="1118">
        <f t="shared" si="878"/>
        <v>0</v>
      </c>
      <c r="EP295" s="1118">
        <f t="shared" si="879"/>
        <v>0</v>
      </c>
      <c r="EQ295" s="1074"/>
      <c r="EU295" s="1117">
        <f t="shared" si="880"/>
        <v>36.514148040899343</v>
      </c>
      <c r="EV295" s="1118">
        <f t="shared" si="881"/>
        <v>36.514148040899343</v>
      </c>
      <c r="EW295" s="1118">
        <f t="shared" si="882"/>
        <v>0</v>
      </c>
      <c r="EX295" s="1118">
        <f t="shared" si="883"/>
        <v>0</v>
      </c>
      <c r="EY295" s="1074"/>
      <c r="FC295" s="1117">
        <f t="shared" si="884"/>
        <v>36.514148040899343</v>
      </c>
      <c r="FD295" s="1118">
        <f t="shared" si="885"/>
        <v>36.514148040899343</v>
      </c>
      <c r="FE295" s="1118">
        <f t="shared" si="886"/>
        <v>0</v>
      </c>
      <c r="FF295" s="1118">
        <f t="shared" si="887"/>
        <v>0</v>
      </c>
      <c r="FG295" s="1074"/>
      <c r="FK295" s="1117">
        <f t="shared" si="888"/>
        <v>36.514148040899343</v>
      </c>
      <c r="FL295" s="1118">
        <f t="shared" si="889"/>
        <v>36.514148040899343</v>
      </c>
      <c r="FM295" s="1118">
        <f t="shared" si="890"/>
        <v>0</v>
      </c>
      <c r="FN295" s="1118">
        <f t="shared" si="891"/>
        <v>0</v>
      </c>
      <c r="FO295" s="1074"/>
    </row>
    <row r="296" spans="1:171" x14ac:dyDescent="0.25">
      <c r="A296" s="1421"/>
      <c r="B296" s="1034" t="s">
        <v>631</v>
      </c>
      <c r="C296" s="889">
        <v>114</v>
      </c>
      <c r="D296" s="890">
        <v>411.9</v>
      </c>
      <c r="E296" s="182" t="str">
        <f>'Sch 3B - Other Items'!E20</f>
        <v>PROD</v>
      </c>
      <c r="F296" s="890"/>
      <c r="G296" s="182">
        <f>'Sch 3B - Other Items'!G20</f>
        <v>0</v>
      </c>
      <c r="H296" s="182">
        <f>'Sch 3B - Other Items'!H20</f>
        <v>0</v>
      </c>
      <c r="I296" s="182">
        <f>'Sch 3B - Other Items'!I20</f>
        <v>0</v>
      </c>
      <c r="J296" s="1422">
        <f>'Sch 3B - Other Items'!J20</f>
        <v>0</v>
      </c>
      <c r="K296" s="904">
        <f t="shared" si="811"/>
        <v>1</v>
      </c>
      <c r="O296" s="1117">
        <f t="shared" si="812"/>
        <v>0</v>
      </c>
      <c r="P296" s="1118">
        <f t="shared" si="813"/>
        <v>0</v>
      </c>
      <c r="Q296" s="1118">
        <f t="shared" si="814"/>
        <v>0</v>
      </c>
      <c r="R296" s="1118">
        <f t="shared" si="815"/>
        <v>0</v>
      </c>
      <c r="S296" s="1074"/>
      <c r="W296" s="1117">
        <f t="shared" si="816"/>
        <v>0</v>
      </c>
      <c r="X296" s="1118">
        <f t="shared" si="817"/>
        <v>0</v>
      </c>
      <c r="Y296" s="1118">
        <f t="shared" si="818"/>
        <v>0</v>
      </c>
      <c r="Z296" s="1118">
        <f t="shared" si="819"/>
        <v>0</v>
      </c>
      <c r="AA296" s="1074"/>
      <c r="AE296" s="1117">
        <f t="shared" si="820"/>
        <v>0</v>
      </c>
      <c r="AF296" s="1118">
        <f t="shared" si="821"/>
        <v>0</v>
      </c>
      <c r="AG296" s="1118">
        <f t="shared" si="822"/>
        <v>0</v>
      </c>
      <c r="AH296" s="1118">
        <f t="shared" si="823"/>
        <v>0</v>
      </c>
      <c r="AI296" s="1074"/>
      <c r="AM296" s="1117">
        <f t="shared" si="824"/>
        <v>0</v>
      </c>
      <c r="AN296" s="1118">
        <f t="shared" si="825"/>
        <v>0</v>
      </c>
      <c r="AO296" s="1118">
        <f t="shared" si="826"/>
        <v>0</v>
      </c>
      <c r="AP296" s="1118">
        <f t="shared" si="827"/>
        <v>0</v>
      </c>
      <c r="AQ296" s="1074"/>
      <c r="AU296" s="1117">
        <f t="shared" si="828"/>
        <v>0</v>
      </c>
      <c r="AV296" s="1118">
        <f t="shared" si="829"/>
        <v>0</v>
      </c>
      <c r="AW296" s="1118">
        <f t="shared" si="830"/>
        <v>0</v>
      </c>
      <c r="AX296" s="1118">
        <f t="shared" si="831"/>
        <v>0</v>
      </c>
      <c r="AY296" s="1074"/>
      <c r="BC296" s="1117">
        <f t="shared" si="832"/>
        <v>0</v>
      </c>
      <c r="BD296" s="1118">
        <f t="shared" si="833"/>
        <v>0</v>
      </c>
      <c r="BE296" s="1118">
        <f t="shared" si="834"/>
        <v>0</v>
      </c>
      <c r="BF296" s="1118">
        <f t="shared" si="835"/>
        <v>0</v>
      </c>
      <c r="BG296" s="1074"/>
      <c r="BK296" s="1117">
        <f t="shared" si="836"/>
        <v>0</v>
      </c>
      <c r="BL296" s="1118">
        <f t="shared" si="837"/>
        <v>0</v>
      </c>
      <c r="BM296" s="1118">
        <f t="shared" si="838"/>
        <v>0</v>
      </c>
      <c r="BN296" s="1118">
        <f t="shared" si="839"/>
        <v>0</v>
      </c>
      <c r="BO296" s="1074"/>
      <c r="BS296" s="1117">
        <f t="shared" si="840"/>
        <v>0</v>
      </c>
      <c r="BT296" s="1118">
        <f t="shared" si="841"/>
        <v>0</v>
      </c>
      <c r="BU296" s="1118">
        <f t="shared" si="842"/>
        <v>0</v>
      </c>
      <c r="BV296" s="1118">
        <f t="shared" si="843"/>
        <v>0</v>
      </c>
      <c r="BW296" s="1074"/>
      <c r="CA296" s="1117">
        <f t="shared" si="844"/>
        <v>0</v>
      </c>
      <c r="CB296" s="1118">
        <f t="shared" si="845"/>
        <v>0</v>
      </c>
      <c r="CC296" s="1118">
        <f t="shared" si="846"/>
        <v>0</v>
      </c>
      <c r="CD296" s="1118">
        <f t="shared" si="847"/>
        <v>0</v>
      </c>
      <c r="CE296" s="1074"/>
      <c r="CI296" s="1117">
        <f t="shared" si="848"/>
        <v>0</v>
      </c>
      <c r="CJ296" s="1118">
        <f t="shared" si="849"/>
        <v>0</v>
      </c>
      <c r="CK296" s="1118">
        <f t="shared" si="850"/>
        <v>0</v>
      </c>
      <c r="CL296" s="1118">
        <f t="shared" si="851"/>
        <v>0</v>
      </c>
      <c r="CM296" s="1074"/>
      <c r="CQ296" s="1117">
        <f t="shared" si="852"/>
        <v>0</v>
      </c>
      <c r="CR296" s="1118">
        <f t="shared" si="853"/>
        <v>0</v>
      </c>
      <c r="CS296" s="1118">
        <f t="shared" si="854"/>
        <v>0</v>
      </c>
      <c r="CT296" s="1118">
        <f t="shared" si="855"/>
        <v>0</v>
      </c>
      <c r="CU296" s="1074"/>
      <c r="CY296" s="1117">
        <f t="shared" si="856"/>
        <v>0</v>
      </c>
      <c r="CZ296" s="1118">
        <f t="shared" si="857"/>
        <v>0</v>
      </c>
      <c r="DA296" s="1118">
        <f t="shared" si="858"/>
        <v>0</v>
      </c>
      <c r="DB296" s="1118">
        <f t="shared" si="859"/>
        <v>0</v>
      </c>
      <c r="DC296" s="1074"/>
      <c r="DG296" s="1117">
        <f t="shared" si="860"/>
        <v>0</v>
      </c>
      <c r="DH296" s="1118">
        <f t="shared" si="861"/>
        <v>0</v>
      </c>
      <c r="DI296" s="1118">
        <f t="shared" si="862"/>
        <v>0</v>
      </c>
      <c r="DJ296" s="1118">
        <f t="shared" si="863"/>
        <v>0</v>
      </c>
      <c r="DK296" s="1074"/>
      <c r="DO296" s="1117">
        <f t="shared" si="864"/>
        <v>0</v>
      </c>
      <c r="DP296" s="1118">
        <f t="shared" si="865"/>
        <v>0</v>
      </c>
      <c r="DQ296" s="1118">
        <f t="shared" si="866"/>
        <v>0</v>
      </c>
      <c r="DR296" s="1118">
        <f t="shared" si="867"/>
        <v>0</v>
      </c>
      <c r="DS296" s="1074"/>
      <c r="DW296" s="1117">
        <f t="shared" si="868"/>
        <v>0</v>
      </c>
      <c r="DX296" s="1118">
        <f t="shared" si="869"/>
        <v>0</v>
      </c>
      <c r="DY296" s="1118">
        <f t="shared" si="870"/>
        <v>0</v>
      </c>
      <c r="DZ296" s="1118">
        <f t="shared" si="871"/>
        <v>0</v>
      </c>
      <c r="EA296" s="1074"/>
      <c r="EE296" s="1117">
        <f t="shared" si="872"/>
        <v>0</v>
      </c>
      <c r="EF296" s="1118">
        <f t="shared" si="873"/>
        <v>0</v>
      </c>
      <c r="EG296" s="1118">
        <f t="shared" si="874"/>
        <v>0</v>
      </c>
      <c r="EH296" s="1118">
        <f t="shared" si="875"/>
        <v>0</v>
      </c>
      <c r="EI296" s="1074"/>
      <c r="EM296" s="1117">
        <f t="shared" si="876"/>
        <v>0</v>
      </c>
      <c r="EN296" s="1118">
        <f t="shared" si="877"/>
        <v>0</v>
      </c>
      <c r="EO296" s="1118">
        <f t="shared" si="878"/>
        <v>0</v>
      </c>
      <c r="EP296" s="1118">
        <f t="shared" si="879"/>
        <v>0</v>
      </c>
      <c r="EQ296" s="1074"/>
      <c r="EU296" s="1117">
        <f t="shared" si="880"/>
        <v>0</v>
      </c>
      <c r="EV296" s="1118">
        <f t="shared" si="881"/>
        <v>0</v>
      </c>
      <c r="EW296" s="1118">
        <f t="shared" si="882"/>
        <v>0</v>
      </c>
      <c r="EX296" s="1118">
        <f t="shared" si="883"/>
        <v>0</v>
      </c>
      <c r="EY296" s="1074"/>
      <c r="FC296" s="1117">
        <f t="shared" si="884"/>
        <v>0</v>
      </c>
      <c r="FD296" s="1118">
        <f t="shared" si="885"/>
        <v>0</v>
      </c>
      <c r="FE296" s="1118">
        <f t="shared" si="886"/>
        <v>0</v>
      </c>
      <c r="FF296" s="1118">
        <f t="shared" si="887"/>
        <v>0</v>
      </c>
      <c r="FG296" s="1074"/>
      <c r="FK296" s="1117">
        <f t="shared" si="888"/>
        <v>0</v>
      </c>
      <c r="FL296" s="1118">
        <f t="shared" si="889"/>
        <v>0</v>
      </c>
      <c r="FM296" s="1118">
        <f t="shared" si="890"/>
        <v>0</v>
      </c>
      <c r="FN296" s="1118">
        <f t="shared" si="891"/>
        <v>0</v>
      </c>
      <c r="FO296" s="1074"/>
    </row>
    <row r="297" spans="1:171" x14ac:dyDescent="0.25">
      <c r="A297" s="1421"/>
      <c r="B297" s="1033" t="s">
        <v>181</v>
      </c>
      <c r="C297" s="889">
        <v>114</v>
      </c>
      <c r="D297" s="890">
        <v>421</v>
      </c>
      <c r="E297" s="182" t="str">
        <f>'Sch 3B - Other Items'!E21</f>
        <v>DIRECT</v>
      </c>
      <c r="F297" s="890"/>
      <c r="G297" s="182">
        <f>'Sch 3B - Other Items'!G21</f>
        <v>989991</v>
      </c>
      <c r="H297" s="182">
        <f>'Sch 3B - Other Items'!H21</f>
        <v>1739</v>
      </c>
      <c r="I297" s="182">
        <f>'Sch 3B - Other Items'!I21</f>
        <v>0</v>
      </c>
      <c r="J297" s="1422">
        <f>'Sch 3B - Other Items'!J21</f>
        <v>988252</v>
      </c>
      <c r="K297" s="904">
        <f t="shared" si="811"/>
        <v>0</v>
      </c>
      <c r="O297" s="1117">
        <f t="shared" si="812"/>
        <v>989991</v>
      </c>
      <c r="P297" s="1118">
        <f t="shared" si="813"/>
        <v>1739</v>
      </c>
      <c r="Q297" s="1118">
        <f t="shared" si="814"/>
        <v>0</v>
      </c>
      <c r="R297" s="1118">
        <f t="shared" si="815"/>
        <v>988252</v>
      </c>
      <c r="S297" s="1074"/>
      <c r="W297" s="1117">
        <f t="shared" si="816"/>
        <v>989991</v>
      </c>
      <c r="X297" s="1118">
        <f t="shared" si="817"/>
        <v>1739</v>
      </c>
      <c r="Y297" s="1118">
        <f t="shared" si="818"/>
        <v>0</v>
      </c>
      <c r="Z297" s="1118">
        <f t="shared" si="819"/>
        <v>988252</v>
      </c>
      <c r="AA297" s="1074"/>
      <c r="AE297" s="1117">
        <f t="shared" si="820"/>
        <v>989991</v>
      </c>
      <c r="AF297" s="1118">
        <f t="shared" si="821"/>
        <v>1739</v>
      </c>
      <c r="AG297" s="1118">
        <f t="shared" si="822"/>
        <v>0</v>
      </c>
      <c r="AH297" s="1118">
        <f t="shared" si="823"/>
        <v>988252</v>
      </c>
      <c r="AI297" s="1074"/>
      <c r="AM297" s="1117">
        <f t="shared" si="824"/>
        <v>989991</v>
      </c>
      <c r="AN297" s="1118">
        <f t="shared" si="825"/>
        <v>1739</v>
      </c>
      <c r="AO297" s="1118">
        <f t="shared" si="826"/>
        <v>0</v>
      </c>
      <c r="AP297" s="1118">
        <f t="shared" si="827"/>
        <v>988252</v>
      </c>
      <c r="AQ297" s="1074"/>
      <c r="AU297" s="1117">
        <f t="shared" si="828"/>
        <v>989991</v>
      </c>
      <c r="AV297" s="1118">
        <f t="shared" si="829"/>
        <v>1739</v>
      </c>
      <c r="AW297" s="1118">
        <f t="shared" si="830"/>
        <v>0</v>
      </c>
      <c r="AX297" s="1118">
        <f t="shared" si="831"/>
        <v>988252</v>
      </c>
      <c r="AY297" s="1074"/>
      <c r="BC297" s="1117">
        <f t="shared" si="832"/>
        <v>989991</v>
      </c>
      <c r="BD297" s="1118">
        <f t="shared" si="833"/>
        <v>1739</v>
      </c>
      <c r="BE297" s="1118">
        <f t="shared" si="834"/>
        <v>0</v>
      </c>
      <c r="BF297" s="1118">
        <f t="shared" si="835"/>
        <v>988252</v>
      </c>
      <c r="BG297" s="1074"/>
      <c r="BK297" s="1117">
        <f t="shared" si="836"/>
        <v>989991</v>
      </c>
      <c r="BL297" s="1118">
        <f t="shared" si="837"/>
        <v>1739</v>
      </c>
      <c r="BM297" s="1118">
        <f t="shared" si="838"/>
        <v>0</v>
      </c>
      <c r="BN297" s="1118">
        <f t="shared" si="839"/>
        <v>988252</v>
      </c>
      <c r="BO297" s="1074"/>
      <c r="BS297" s="1117">
        <f t="shared" si="840"/>
        <v>989991</v>
      </c>
      <c r="BT297" s="1118">
        <f t="shared" si="841"/>
        <v>1739</v>
      </c>
      <c r="BU297" s="1118">
        <f t="shared" si="842"/>
        <v>0</v>
      </c>
      <c r="BV297" s="1118">
        <f t="shared" si="843"/>
        <v>988252</v>
      </c>
      <c r="BW297" s="1074"/>
      <c r="CA297" s="1117">
        <f t="shared" si="844"/>
        <v>989991</v>
      </c>
      <c r="CB297" s="1118">
        <f t="shared" si="845"/>
        <v>1739</v>
      </c>
      <c r="CC297" s="1118">
        <f t="shared" si="846"/>
        <v>0</v>
      </c>
      <c r="CD297" s="1118">
        <f t="shared" si="847"/>
        <v>988252</v>
      </c>
      <c r="CE297" s="1074"/>
      <c r="CI297" s="1117">
        <f t="shared" si="848"/>
        <v>989991</v>
      </c>
      <c r="CJ297" s="1118">
        <f t="shared" si="849"/>
        <v>1739</v>
      </c>
      <c r="CK297" s="1118">
        <f t="shared" si="850"/>
        <v>0</v>
      </c>
      <c r="CL297" s="1118">
        <f t="shared" si="851"/>
        <v>988252</v>
      </c>
      <c r="CM297" s="1074"/>
      <c r="CQ297" s="1117">
        <f t="shared" si="852"/>
        <v>989991</v>
      </c>
      <c r="CR297" s="1118">
        <f t="shared" si="853"/>
        <v>1739</v>
      </c>
      <c r="CS297" s="1118">
        <f t="shared" si="854"/>
        <v>0</v>
      </c>
      <c r="CT297" s="1118">
        <f t="shared" si="855"/>
        <v>988252</v>
      </c>
      <c r="CU297" s="1074"/>
      <c r="CY297" s="1117">
        <f t="shared" si="856"/>
        <v>989991</v>
      </c>
      <c r="CZ297" s="1118">
        <f t="shared" si="857"/>
        <v>1739</v>
      </c>
      <c r="DA297" s="1118">
        <f t="shared" si="858"/>
        <v>0</v>
      </c>
      <c r="DB297" s="1118">
        <f t="shared" si="859"/>
        <v>988252</v>
      </c>
      <c r="DC297" s="1074"/>
      <c r="DG297" s="1117">
        <f t="shared" si="860"/>
        <v>989991</v>
      </c>
      <c r="DH297" s="1118">
        <f t="shared" si="861"/>
        <v>1739</v>
      </c>
      <c r="DI297" s="1118">
        <f t="shared" si="862"/>
        <v>0</v>
      </c>
      <c r="DJ297" s="1118">
        <f t="shared" si="863"/>
        <v>988252</v>
      </c>
      <c r="DK297" s="1074"/>
      <c r="DO297" s="1117">
        <f t="shared" si="864"/>
        <v>989991</v>
      </c>
      <c r="DP297" s="1118">
        <f t="shared" si="865"/>
        <v>1739</v>
      </c>
      <c r="DQ297" s="1118">
        <f t="shared" si="866"/>
        <v>0</v>
      </c>
      <c r="DR297" s="1118">
        <f t="shared" si="867"/>
        <v>988252</v>
      </c>
      <c r="DS297" s="1074"/>
      <c r="DW297" s="1117">
        <f t="shared" si="868"/>
        <v>989991</v>
      </c>
      <c r="DX297" s="1118">
        <f t="shared" si="869"/>
        <v>1739</v>
      </c>
      <c r="DY297" s="1118">
        <f t="shared" si="870"/>
        <v>0</v>
      </c>
      <c r="DZ297" s="1118">
        <f t="shared" si="871"/>
        <v>988252</v>
      </c>
      <c r="EA297" s="1074"/>
      <c r="EE297" s="1117">
        <f t="shared" si="872"/>
        <v>989991</v>
      </c>
      <c r="EF297" s="1118">
        <f t="shared" si="873"/>
        <v>1739</v>
      </c>
      <c r="EG297" s="1118">
        <f t="shared" si="874"/>
        <v>0</v>
      </c>
      <c r="EH297" s="1118">
        <f t="shared" si="875"/>
        <v>988252</v>
      </c>
      <c r="EI297" s="1074"/>
      <c r="EM297" s="1117">
        <f t="shared" si="876"/>
        <v>989991</v>
      </c>
      <c r="EN297" s="1118">
        <f t="shared" si="877"/>
        <v>1739</v>
      </c>
      <c r="EO297" s="1118">
        <f t="shared" si="878"/>
        <v>0</v>
      </c>
      <c r="EP297" s="1118">
        <f t="shared" si="879"/>
        <v>988252</v>
      </c>
      <c r="EQ297" s="1074"/>
      <c r="EU297" s="1117">
        <f t="shared" si="880"/>
        <v>989991</v>
      </c>
      <c r="EV297" s="1118">
        <f t="shared" si="881"/>
        <v>1739</v>
      </c>
      <c r="EW297" s="1118">
        <f t="shared" si="882"/>
        <v>0</v>
      </c>
      <c r="EX297" s="1118">
        <f t="shared" si="883"/>
        <v>988252</v>
      </c>
      <c r="EY297" s="1074"/>
      <c r="FC297" s="1117">
        <f t="shared" si="884"/>
        <v>989991</v>
      </c>
      <c r="FD297" s="1118">
        <f t="shared" si="885"/>
        <v>1739</v>
      </c>
      <c r="FE297" s="1118">
        <f t="shared" si="886"/>
        <v>0</v>
      </c>
      <c r="FF297" s="1118">
        <f t="shared" si="887"/>
        <v>988252</v>
      </c>
      <c r="FG297" s="1074"/>
      <c r="FK297" s="1117">
        <f t="shared" si="888"/>
        <v>989991</v>
      </c>
      <c r="FL297" s="1118">
        <f t="shared" si="889"/>
        <v>1739</v>
      </c>
      <c r="FM297" s="1118">
        <f t="shared" si="890"/>
        <v>0</v>
      </c>
      <c r="FN297" s="1118">
        <f t="shared" si="891"/>
        <v>988252</v>
      </c>
      <c r="FO297" s="1074"/>
    </row>
    <row r="298" spans="1:171" x14ac:dyDescent="0.25">
      <c r="A298" s="1350" t="s">
        <v>49</v>
      </c>
      <c r="B298" s="220"/>
      <c r="C298" s="915"/>
      <c r="D298" s="916"/>
      <c r="E298" s="916"/>
      <c r="F298" s="917"/>
      <c r="G298" s="924">
        <f>G291-G292+G293-G294+G295-G296+G297</f>
        <v>-4451215.41585196</v>
      </c>
      <c r="H298" s="924">
        <f>H291-H292+H293-H294+H295-H296+H297</f>
        <v>-738141.6155753471</v>
      </c>
      <c r="I298" s="924">
        <f>I291-I292+I293-I294+I295-I296+I297</f>
        <v>0</v>
      </c>
      <c r="J298" s="1429">
        <f>J291-J292+J293-J294+J295-J296+J297</f>
        <v>-3713073.8002766119</v>
      </c>
      <c r="K298" s="904"/>
      <c r="O298" s="1134">
        <f>O291-O292+O293-O294+O295-O296+O297</f>
        <v>-4451215.41585196</v>
      </c>
      <c r="P298" s="1140">
        <f>P291-P292+P293-P294+P295-P296+P297</f>
        <v>-738141.6155753471</v>
      </c>
      <c r="Q298" s="1140">
        <f>Q291-Q292+Q293-Q294+Q295-Q296+Q297</f>
        <v>0</v>
      </c>
      <c r="R298" s="1140">
        <f>R291-R292+R293-R294+R295-R296+R297</f>
        <v>-3713073.8002766129</v>
      </c>
      <c r="S298" s="1074"/>
      <c r="W298" s="1134">
        <f>W291-W292+W293-W294+W295-W296+W297</f>
        <v>-4451215.41585196</v>
      </c>
      <c r="X298" s="1140">
        <f>X291-X292+X293-X294+X295-X296+X297</f>
        <v>-738141.6155753471</v>
      </c>
      <c r="Y298" s="1140">
        <f>Y291-Y292+Y293-Y294+Y295-Y296+Y297</f>
        <v>0</v>
      </c>
      <c r="Z298" s="1140">
        <f>Z291-Z292+Z293-Z294+Z295-Z296+Z297</f>
        <v>-3713073.8002766129</v>
      </c>
      <c r="AA298" s="1074"/>
      <c r="AE298" s="1134">
        <f>AE291-AE292+AE293-AE294+AE295-AE296+AE297</f>
        <v>-4451215.41585196</v>
      </c>
      <c r="AF298" s="1140">
        <f>AF291-AF292+AF293-AF294+AF295-AF296+AF297</f>
        <v>-738141.6155753471</v>
      </c>
      <c r="AG298" s="1140">
        <f>AG291-AG292+AG293-AG294+AG295-AG296+AG297</f>
        <v>0</v>
      </c>
      <c r="AH298" s="1140">
        <f>AH291-AH292+AH293-AH294+AH295-AH296+AH297</f>
        <v>-3713073.8002766129</v>
      </c>
      <c r="AI298" s="1074"/>
      <c r="AM298" s="1134">
        <f>AM291-AM292+AM293-AM294+AM295-AM296+AM297</f>
        <v>-4451215.41585196</v>
      </c>
      <c r="AN298" s="1140">
        <f>AN291-AN292+AN293-AN294+AN295-AN296+AN297</f>
        <v>-738141.6155753471</v>
      </c>
      <c r="AO298" s="1140">
        <f>AO291-AO292+AO293-AO294+AO295-AO296+AO297</f>
        <v>0</v>
      </c>
      <c r="AP298" s="1140">
        <f>AP291-AP292+AP293-AP294+AP295-AP296+AP297</f>
        <v>-3713073.8002766129</v>
      </c>
      <c r="AQ298" s="1074"/>
      <c r="AU298" s="1134">
        <f>AU291-AU292+AU293-AU294+AU295-AU296+AU297</f>
        <v>-4451215.41585196</v>
      </c>
      <c r="AV298" s="1140">
        <f>AV291-AV292+AV293-AV294+AV295-AV296+AV297</f>
        <v>-738141.6155753471</v>
      </c>
      <c r="AW298" s="1140">
        <f>AW291-AW292+AW293-AW294+AW295-AW296+AW297</f>
        <v>0</v>
      </c>
      <c r="AX298" s="1140">
        <f>AX291-AX292+AX293-AX294+AX295-AX296+AX297</f>
        <v>-3713073.8002766129</v>
      </c>
      <c r="AY298" s="1074"/>
      <c r="BC298" s="1134">
        <f>BC291-BC292+BC293-BC294+BC295-BC296+BC297</f>
        <v>-4451215.41585196</v>
      </c>
      <c r="BD298" s="1140">
        <f>BD291-BD292+BD293-BD294+BD295-BD296+BD297</f>
        <v>-738141.6155753471</v>
      </c>
      <c r="BE298" s="1140">
        <f>BE291-BE292+BE293-BE294+BE295-BE296+BE297</f>
        <v>0</v>
      </c>
      <c r="BF298" s="1140">
        <f>BF291-BF292+BF293-BF294+BF295-BF296+BF297</f>
        <v>-3713073.8002766129</v>
      </c>
      <c r="BG298" s="1074"/>
      <c r="BK298" s="1134">
        <f>BK291-BK292+BK293-BK294+BK295-BK296+BK297</f>
        <v>-4451215.41585196</v>
      </c>
      <c r="BL298" s="1140">
        <f>BL291-BL292+BL293-BL294+BL295-BL296+BL297</f>
        <v>-738141.6155753471</v>
      </c>
      <c r="BM298" s="1140">
        <f>BM291-BM292+BM293-BM294+BM295-BM296+BM297</f>
        <v>0</v>
      </c>
      <c r="BN298" s="1140">
        <f>BN291-BN292+BN293-BN294+BN295-BN296+BN297</f>
        <v>-3713073.8002766129</v>
      </c>
      <c r="BO298" s="1074"/>
      <c r="BS298" s="1134">
        <f>BS291-BS292+BS293-BS294+BS295-BS296+BS297</f>
        <v>-4451215.41585196</v>
      </c>
      <c r="BT298" s="1140">
        <f>BT291-BT292+BT293-BT294+BT295-BT296+BT297</f>
        <v>-738141.6155753471</v>
      </c>
      <c r="BU298" s="1140">
        <f>BU291-BU292+BU293-BU294+BU295-BU296+BU297</f>
        <v>0</v>
      </c>
      <c r="BV298" s="1140">
        <f>BV291-BV292+BV293-BV294+BV295-BV296+BV297</f>
        <v>-3713073.8002766129</v>
      </c>
      <c r="BW298" s="1074"/>
      <c r="CA298" s="1134">
        <f>CA291-CA292+CA293-CA294+CA295-CA296+CA297</f>
        <v>-4451215.41585196</v>
      </c>
      <c r="CB298" s="1140">
        <f>CB291-CB292+CB293-CB294+CB295-CB296+CB297</f>
        <v>-738141.6155753471</v>
      </c>
      <c r="CC298" s="1140">
        <f>CC291-CC292+CC293-CC294+CC295-CC296+CC297</f>
        <v>0</v>
      </c>
      <c r="CD298" s="1140">
        <f>CD291-CD292+CD293-CD294+CD295-CD296+CD297</f>
        <v>-3713073.8002766129</v>
      </c>
      <c r="CE298" s="1074"/>
      <c r="CI298" s="1134">
        <f>CI291-CI292+CI293-CI294+CI295-CI296+CI297</f>
        <v>-4451215.41585196</v>
      </c>
      <c r="CJ298" s="1140">
        <f>CJ291-CJ292+CJ293-CJ294+CJ295-CJ296+CJ297</f>
        <v>-738141.6155753471</v>
      </c>
      <c r="CK298" s="1140">
        <f>CK291-CK292+CK293-CK294+CK295-CK296+CK297</f>
        <v>0</v>
      </c>
      <c r="CL298" s="1140">
        <f>CL291-CL292+CL293-CL294+CL295-CL296+CL297</f>
        <v>-3713073.8002766129</v>
      </c>
      <c r="CM298" s="1074"/>
      <c r="CQ298" s="1134">
        <f>CQ291-CQ292+CQ293-CQ294+CQ295-CQ296+CQ297</f>
        <v>-4451215.41585196</v>
      </c>
      <c r="CR298" s="1140">
        <f>CR291-CR292+CR293-CR294+CR295-CR296+CR297</f>
        <v>-738141.6155753471</v>
      </c>
      <c r="CS298" s="1140">
        <f>CS291-CS292+CS293-CS294+CS295-CS296+CS297</f>
        <v>0</v>
      </c>
      <c r="CT298" s="1140">
        <f>CT291-CT292+CT293-CT294+CT295-CT296+CT297</f>
        <v>-3713073.8002766129</v>
      </c>
      <c r="CU298" s="1074"/>
      <c r="CY298" s="1134">
        <f>CY291-CY292+CY293-CY294+CY295-CY296+CY297</f>
        <v>-4451215.41585196</v>
      </c>
      <c r="CZ298" s="1140">
        <f>CZ291-CZ292+CZ293-CZ294+CZ295-CZ296+CZ297</f>
        <v>-738141.6155753471</v>
      </c>
      <c r="DA298" s="1140">
        <f>DA291-DA292+DA293-DA294+DA295-DA296+DA297</f>
        <v>0</v>
      </c>
      <c r="DB298" s="1140">
        <f>DB291-DB292+DB293-DB294+DB295-DB296+DB297</f>
        <v>-3713073.8002766129</v>
      </c>
      <c r="DC298" s="1074"/>
      <c r="DG298" s="1134">
        <f>DG291-DG292+DG293-DG294+DG295-DG296+DG297</f>
        <v>-4451215.41585196</v>
      </c>
      <c r="DH298" s="1140">
        <f>DH291-DH292+DH293-DH294+DH295-DH296+DH297</f>
        <v>-738141.6155753471</v>
      </c>
      <c r="DI298" s="1140">
        <f>DI291-DI292+DI293-DI294+DI295-DI296+DI297</f>
        <v>0</v>
      </c>
      <c r="DJ298" s="1140">
        <f>DJ291-DJ292+DJ293-DJ294+DJ295-DJ296+DJ297</f>
        <v>-3713073.8002766129</v>
      </c>
      <c r="DK298" s="1074"/>
      <c r="DO298" s="1134">
        <f>DO291-DO292+DO293-DO294+DO295-DO296+DO297</f>
        <v>-4451215.41585196</v>
      </c>
      <c r="DP298" s="1140">
        <f>DP291-DP292+DP293-DP294+DP295-DP296+DP297</f>
        <v>-738141.6155753471</v>
      </c>
      <c r="DQ298" s="1140">
        <f>DQ291-DQ292+DQ293-DQ294+DQ295-DQ296+DQ297</f>
        <v>0</v>
      </c>
      <c r="DR298" s="1140">
        <f>DR291-DR292+DR293-DR294+DR295-DR296+DR297</f>
        <v>-3713073.8002766129</v>
      </c>
      <c r="DS298" s="1074"/>
      <c r="DW298" s="1134">
        <f>DW291-DW292+DW293-DW294+DW295-DW296+DW297</f>
        <v>-4451215.41585196</v>
      </c>
      <c r="DX298" s="1140">
        <f>DX291-DX292+DX293-DX294+DX295-DX296+DX297</f>
        <v>-738141.6155753471</v>
      </c>
      <c r="DY298" s="1140">
        <f>DY291-DY292+DY293-DY294+DY295-DY296+DY297</f>
        <v>0</v>
      </c>
      <c r="DZ298" s="1140">
        <f>DZ291-DZ292+DZ293-DZ294+DZ295-DZ296+DZ297</f>
        <v>-3713073.8002766129</v>
      </c>
      <c r="EA298" s="1074"/>
      <c r="EE298" s="1134">
        <f>EE291-EE292+EE293-EE294+EE295-EE296+EE297</f>
        <v>-4451215.41585196</v>
      </c>
      <c r="EF298" s="1140">
        <f>EF291-EF292+EF293-EF294+EF295-EF296+EF297</f>
        <v>-738141.6155753471</v>
      </c>
      <c r="EG298" s="1140">
        <f>EG291-EG292+EG293-EG294+EG295-EG296+EG297</f>
        <v>0</v>
      </c>
      <c r="EH298" s="1140">
        <f>EH291-EH292+EH293-EH294+EH295-EH296+EH297</f>
        <v>-3713073.8002766129</v>
      </c>
      <c r="EI298" s="1074"/>
      <c r="EM298" s="1134">
        <f>EM291-EM292+EM293-EM294+EM295-EM296+EM297</f>
        <v>-4451215.41585196</v>
      </c>
      <c r="EN298" s="1140">
        <f>EN291-EN292+EN293-EN294+EN295-EN296+EN297</f>
        <v>-738141.6155753471</v>
      </c>
      <c r="EO298" s="1140">
        <f>EO291-EO292+EO293-EO294+EO295-EO296+EO297</f>
        <v>0</v>
      </c>
      <c r="EP298" s="1140">
        <f>EP291-EP292+EP293-EP294+EP295-EP296+EP297</f>
        <v>-3713073.8002766129</v>
      </c>
      <c r="EQ298" s="1074"/>
      <c r="EU298" s="1134">
        <f>EU291-EU292+EU293-EU294+EU295-EU296+EU297</f>
        <v>-4451215.41585196</v>
      </c>
      <c r="EV298" s="1140">
        <f>EV291-EV292+EV293-EV294+EV295-EV296+EV297</f>
        <v>-738141.6155753471</v>
      </c>
      <c r="EW298" s="1140">
        <f>EW291-EW292+EW293-EW294+EW295-EW296+EW297</f>
        <v>0</v>
      </c>
      <c r="EX298" s="1140">
        <f>EX291-EX292+EX293-EX294+EX295-EX296+EX297</f>
        <v>-3713073.8002766129</v>
      </c>
      <c r="EY298" s="1074"/>
      <c r="FC298" s="1134">
        <f>FC291-FC292+FC293-FC294+FC295-FC296+FC297</f>
        <v>-4451215.41585196</v>
      </c>
      <c r="FD298" s="1140">
        <f>FD291-FD292+FD293-FD294+FD295-FD296+FD297</f>
        <v>-738141.6155753471</v>
      </c>
      <c r="FE298" s="1140">
        <f>FE291-FE292+FE293-FE294+FE295-FE296+FE297</f>
        <v>0</v>
      </c>
      <c r="FF298" s="1140">
        <f>FF291-FF292+FF293-FF294+FF295-FF296+FF297</f>
        <v>-3713073.8002766129</v>
      </c>
      <c r="FG298" s="1074"/>
      <c r="FK298" s="1134">
        <f>FK291-FK292+FK293-FK294+FK295-FK296+FK297</f>
        <v>-4451215.41585196</v>
      </c>
      <c r="FL298" s="1140">
        <f>FL291-FL292+FL293-FL294+FL295-FL296+FL297</f>
        <v>-738141.6155753471</v>
      </c>
      <c r="FM298" s="1140">
        <f>FM291-FM292+FM293-FM294+FM295-FM296+FM297</f>
        <v>0</v>
      </c>
      <c r="FN298" s="1140">
        <f>FN291-FN292+FN293-FN294+FN295-FN296+FN297</f>
        <v>-3713073.8002766129</v>
      </c>
      <c r="FO298" s="1074"/>
    </row>
    <row r="299" spans="1:171" x14ac:dyDescent="0.25">
      <c r="A299" s="1484"/>
      <c r="B299" s="220"/>
      <c r="C299" s="51"/>
      <c r="D299" s="51"/>
      <c r="E299" s="55"/>
      <c r="F299" s="55"/>
      <c r="G299" s="221"/>
      <c r="H299" s="221"/>
      <c r="I299" s="221"/>
      <c r="J299" s="1426"/>
      <c r="K299" s="904"/>
      <c r="S299" s="1074"/>
      <c r="AA299" s="1074"/>
      <c r="AI299" s="1074"/>
      <c r="AQ299" s="1074"/>
      <c r="AY299" s="1074"/>
      <c r="BG299" s="1074"/>
      <c r="BO299" s="1074"/>
      <c r="BW299" s="1074"/>
      <c r="CE299" s="1074"/>
      <c r="CM299" s="1074"/>
      <c r="CU299" s="1074"/>
      <c r="DC299" s="1074"/>
      <c r="DK299" s="1074"/>
      <c r="DS299" s="1074"/>
      <c r="EA299" s="1074"/>
      <c r="EI299" s="1074"/>
      <c r="EQ299" s="1074"/>
      <c r="EY299" s="1074"/>
      <c r="FG299" s="1074"/>
      <c r="FO299" s="1074"/>
    </row>
    <row r="300" spans="1:171" x14ac:dyDescent="0.25">
      <c r="A300" s="1341" t="s">
        <v>632</v>
      </c>
      <c r="B300" s="220"/>
      <c r="C300" s="55"/>
      <c r="D300" s="55"/>
      <c r="E300" s="55"/>
      <c r="F300" s="55"/>
      <c r="G300" s="221"/>
      <c r="H300" s="221"/>
      <c r="I300" s="221"/>
      <c r="J300" s="1426"/>
      <c r="K300" s="904"/>
      <c r="S300" s="1074"/>
      <c r="AA300" s="1074"/>
      <c r="AI300" s="1074"/>
      <c r="AQ300" s="1074"/>
      <c r="AY300" s="1074"/>
      <c r="BG300" s="1074"/>
      <c r="BO300" s="1074"/>
      <c r="BW300" s="1074"/>
      <c r="CE300" s="1074"/>
      <c r="CM300" s="1074"/>
      <c r="CU300" s="1074"/>
      <c r="DC300" s="1074"/>
      <c r="DK300" s="1074"/>
      <c r="DS300" s="1074"/>
      <c r="EA300" s="1074"/>
      <c r="EI300" s="1074"/>
      <c r="EQ300" s="1074"/>
      <c r="EY300" s="1074"/>
      <c r="FG300" s="1074"/>
      <c r="FO300" s="1074"/>
    </row>
    <row r="301" spans="1:171" x14ac:dyDescent="0.25">
      <c r="A301" s="1341"/>
      <c r="B301" s="914" t="s">
        <v>64</v>
      </c>
      <c r="C301" s="889">
        <v>310</v>
      </c>
      <c r="D301" s="890">
        <v>447</v>
      </c>
      <c r="E301" s="182" t="str">
        <f>'Sch 3B - Other Items'!E25</f>
        <v>PROD</v>
      </c>
      <c r="F301" s="890"/>
      <c r="G301" s="182">
        <f>'Sch 3B - Other Items'!G25</f>
        <v>79486840.52681087</v>
      </c>
      <c r="H301" s="182">
        <f>'Sch 3B - Other Items'!H25</f>
        <v>79486840.52681087</v>
      </c>
      <c r="I301" s="182">
        <f>'Sch 3B - Other Items'!I25</f>
        <v>0</v>
      </c>
      <c r="J301" s="1422">
        <f>'Sch 3B - Other Items'!J25</f>
        <v>0</v>
      </c>
      <c r="K301" s="904">
        <f>IF($E301="DIRECT",0,1)</f>
        <v>1</v>
      </c>
      <c r="O301" s="1146">
        <f>O466</f>
        <v>79486840.52681087</v>
      </c>
      <c r="P301" s="1118">
        <f>VLOOKUP($E301,O$442:R$453,2,FALSE)*O301*($K301)+IF($G301&lt;&gt;0,($H301/$G301)*O301,0)*(1-$K301)</f>
        <v>79486840.52681087</v>
      </c>
      <c r="Q301" s="1118">
        <f>VLOOKUP($E301,O$442:R$453,3,FALSE)*O301*($K301)+IF($G301&lt;&gt;0,($I301/$G301)*O301,0)*(1-$K301)</f>
        <v>0</v>
      </c>
      <c r="R301" s="1118">
        <f>VLOOKUP($E301,O$442:R$453,4,FALSE)*O301*($K301)+(O301-P301-Q301)*(1-$K301)</f>
        <v>0</v>
      </c>
      <c r="S301" s="1074"/>
      <c r="W301" s="1146">
        <f>W466</f>
        <v>79486840.52681087</v>
      </c>
      <c r="X301" s="1118">
        <f>VLOOKUP($E301,W$442:Z$453,2,FALSE)*W301*($K301)+IF($G301&lt;&gt;0,($H301/$G301)*W301,0)*(1-$K301)</f>
        <v>79486840.52681087</v>
      </c>
      <c r="Y301" s="1118">
        <f>VLOOKUP($E301,W$442:Z$453,3,FALSE)*W301*($K301)+IF($G301&lt;&gt;0,($I301/$G301)*W301,0)*(1-$K301)</f>
        <v>0</v>
      </c>
      <c r="Z301" s="1118">
        <f>VLOOKUP($E301,W$442:Z$453,4,FALSE)*W301*($K301)+(W301-X301-Y301)*(1-$K301)</f>
        <v>0</v>
      </c>
      <c r="AA301" s="1074"/>
      <c r="AE301" s="1146">
        <f>AE466</f>
        <v>79486840.52681087</v>
      </c>
      <c r="AF301" s="1118">
        <f>VLOOKUP($E301,AE$442:AH$453,2,FALSE)*AE301*($K301)+IF($G301&lt;&gt;0,($H301/$G301)*AE301,0)*(1-$K301)</f>
        <v>79486840.52681087</v>
      </c>
      <c r="AG301" s="1118">
        <f>VLOOKUP($E301,AE$442:AH$453,3,FALSE)*AE301*($K301)+IF($G301&lt;&gt;0,($I301/$G301)*AE301,0)*(1-$K301)</f>
        <v>0</v>
      </c>
      <c r="AH301" s="1118">
        <f>VLOOKUP($E301,AE$442:AH$453,4,FALSE)*AE301*($K301)+(AE301-AF301-AG301)*(1-$K301)</f>
        <v>0</v>
      </c>
      <c r="AI301" s="1074"/>
      <c r="AM301" s="1146">
        <f>AM466</f>
        <v>79486840.52681087</v>
      </c>
      <c r="AN301" s="1118">
        <f>VLOOKUP($E301,AM$442:AP$453,2,FALSE)*AM301*($K301)+IF($G301&lt;&gt;0,($H301/$G301)*AM301,0)*(1-$K301)</f>
        <v>79486840.52681087</v>
      </c>
      <c r="AO301" s="1118">
        <f>VLOOKUP($E301,AM$442:AP$453,3,FALSE)*AM301*($K301)+IF($G301&lt;&gt;0,($I301/$G301)*AM301,0)*(1-$K301)</f>
        <v>0</v>
      </c>
      <c r="AP301" s="1118">
        <f>VLOOKUP($E301,AM$442:AP$453,4,FALSE)*AM301*($K301)+(AM301-AN301-AO301)*(1-$K301)</f>
        <v>0</v>
      </c>
      <c r="AQ301" s="1074"/>
      <c r="AU301" s="1146">
        <f>AU466</f>
        <v>79486840.52681087</v>
      </c>
      <c r="AV301" s="1118">
        <f>VLOOKUP($E301,AU$442:AX$453,2,FALSE)*AU301*($K301)+IF($G301&lt;&gt;0,($H301/$G301)*AU301,0)*(1-$K301)</f>
        <v>79486840.52681087</v>
      </c>
      <c r="AW301" s="1118">
        <f>VLOOKUP($E301,AU$442:AX$453,3,FALSE)*AU301*($K301)+IF($G301&lt;&gt;0,($I301/$G301)*AU301,0)*(1-$K301)</f>
        <v>0</v>
      </c>
      <c r="AX301" s="1118">
        <f>VLOOKUP($E301,AU$442:AX$453,4,FALSE)*AU301*($K301)+(AU301-AV301-AW301)*(1-$K301)</f>
        <v>0</v>
      </c>
      <c r="AY301" s="1074"/>
      <c r="BC301" s="1146">
        <f>BC466</f>
        <v>79486840.52681087</v>
      </c>
      <c r="BD301" s="1118">
        <f>VLOOKUP($E301,BC$442:BF$453,2,FALSE)*BC301*($K301)+IF($G301&lt;&gt;0,($H301/$G301)*BC301,0)*(1-$K301)</f>
        <v>79486840.52681087</v>
      </c>
      <c r="BE301" s="1118">
        <f>VLOOKUP($E301,BC$442:BF$453,3,FALSE)*BC301*($K301)+IF($G301&lt;&gt;0,($I301/$G301)*BC301,0)*(1-$K301)</f>
        <v>0</v>
      </c>
      <c r="BF301" s="1118">
        <f>VLOOKUP($E301,BC$442:BF$453,4,FALSE)*BC301*($K301)+(BC301-BD301-BE301)*(1-$K301)</f>
        <v>0</v>
      </c>
      <c r="BG301" s="1074"/>
      <c r="BK301" s="1146">
        <f>BK466</f>
        <v>79486840.52681087</v>
      </c>
      <c r="BL301" s="1118">
        <f>VLOOKUP($E301,BK$442:BN$453,2,FALSE)*BK301*($K301)+IF($G301&lt;&gt;0,($H301/$G301)*BK301,0)*(1-$K301)</f>
        <v>79486840.52681087</v>
      </c>
      <c r="BM301" s="1118">
        <f>VLOOKUP($E301,BK$442:BN$453,3,FALSE)*BK301*($K301)+IF($G301&lt;&gt;0,($I301/$G301)*BK301,0)*(1-$K301)</f>
        <v>0</v>
      </c>
      <c r="BN301" s="1118">
        <f>VLOOKUP($E301,BK$442:BN$453,4,FALSE)*BK301*($K301)+(BK301-BL301-BM301)*(1-$K301)</f>
        <v>0</v>
      </c>
      <c r="BO301" s="1074"/>
      <c r="BS301" s="1146">
        <f>BS466</f>
        <v>79486840.52681087</v>
      </c>
      <c r="BT301" s="1118">
        <f>VLOOKUP($E301,BS$442:BV$453,2,FALSE)*BS301*($K301)+IF($G301&lt;&gt;0,($H301/$G301)*BS301,0)*(1-$K301)</f>
        <v>79486840.52681087</v>
      </c>
      <c r="BU301" s="1118">
        <f>VLOOKUP($E301,BS$442:BV$453,3,FALSE)*BS301*($K301)+IF($G301&lt;&gt;0,($I301/$G301)*BS301,0)*(1-$K301)</f>
        <v>0</v>
      </c>
      <c r="BV301" s="1118">
        <f>VLOOKUP($E301,BS$442:BV$453,4,FALSE)*BS301*($K301)+(BS301-BT301-BU301)*(1-$K301)</f>
        <v>0</v>
      </c>
      <c r="BW301" s="1074"/>
      <c r="CA301" s="1146">
        <f>CA466</f>
        <v>79486840.52681087</v>
      </c>
      <c r="CB301" s="1118">
        <f>VLOOKUP($E301,CA$442:CD$453,2,FALSE)*CA301*($K301)+IF($G301&lt;&gt;0,($H301/$G301)*CA301,0)*(1-$K301)</f>
        <v>79486840.52681087</v>
      </c>
      <c r="CC301" s="1118">
        <f>VLOOKUP($E301,CA$442:CD$453,3,FALSE)*CA301*($K301)+IF($G301&lt;&gt;0,($I301/$G301)*CA301,0)*(1-$K301)</f>
        <v>0</v>
      </c>
      <c r="CD301" s="1118">
        <f>VLOOKUP($E301,CA$442:CD$453,4,FALSE)*CA301*($K301)+(CA301-CB301-CC301)*(1-$K301)</f>
        <v>0</v>
      </c>
      <c r="CE301" s="1074"/>
      <c r="CI301" s="1146">
        <f>CI466</f>
        <v>79486840.52681087</v>
      </c>
      <c r="CJ301" s="1118">
        <f>VLOOKUP($E301,CI$442:CL$453,2,FALSE)*CI301*($K301)+IF($G301&lt;&gt;0,($H301/$G301)*CI301,0)*(1-$K301)</f>
        <v>79486840.52681087</v>
      </c>
      <c r="CK301" s="1118">
        <f>VLOOKUP($E301,CI$442:CL$453,3,FALSE)*CI301*($K301)+IF($G301&lt;&gt;0,($I301/$G301)*CI301,0)*(1-$K301)</f>
        <v>0</v>
      </c>
      <c r="CL301" s="1118">
        <f>VLOOKUP($E301,CI$442:CL$453,4,FALSE)*CI301*($K301)+(CI301-CJ301-CK301)*(1-$K301)</f>
        <v>0</v>
      </c>
      <c r="CM301" s="1074"/>
      <c r="CQ301" s="1146">
        <f>CQ466</f>
        <v>79486840.52681087</v>
      </c>
      <c r="CR301" s="1118">
        <f>VLOOKUP($E301,CQ$442:CT$453,2,FALSE)*CQ301*($K301)+IF($G301&lt;&gt;0,($H301/$G301)*CQ301,0)*(1-$K301)</f>
        <v>79486840.52681087</v>
      </c>
      <c r="CS301" s="1118">
        <f>VLOOKUP($E301,CQ$442:CT$453,3,FALSE)*CQ301*($K301)+IF($G301&lt;&gt;0,($I301/$G301)*CQ301,0)*(1-$K301)</f>
        <v>0</v>
      </c>
      <c r="CT301" s="1118">
        <f>VLOOKUP($E301,CQ$442:CT$453,4,FALSE)*CQ301*($K301)+(CQ301-CR301-CS301)*(1-$K301)</f>
        <v>0</v>
      </c>
      <c r="CU301" s="1074"/>
      <c r="CY301" s="1146">
        <f>CY466</f>
        <v>79486840.52681087</v>
      </c>
      <c r="CZ301" s="1118">
        <f>VLOOKUP($E301,CY$442:DB$453,2,FALSE)*CY301*($K301)+IF($G301&lt;&gt;0,($H301/$G301)*CY301,0)*(1-$K301)</f>
        <v>79486840.52681087</v>
      </c>
      <c r="DA301" s="1118">
        <f>VLOOKUP($E301,CY$442:DB$453,3,FALSE)*CY301*($K301)+IF($G301&lt;&gt;0,($I301/$G301)*CY301,0)*(1-$K301)</f>
        <v>0</v>
      </c>
      <c r="DB301" s="1118">
        <f>VLOOKUP($E301,CY$442:DB$453,4,FALSE)*CY301*($K301)+(CY301-CZ301-DA301)*(1-$K301)</f>
        <v>0</v>
      </c>
      <c r="DC301" s="1074"/>
      <c r="DG301" s="1146">
        <f>DG466</f>
        <v>79486840.52681087</v>
      </c>
      <c r="DH301" s="1118">
        <f>VLOOKUP($E301,DG$442:DJ$453,2,FALSE)*DG301*($K301)+IF($G301&lt;&gt;0,($H301/$G301)*DG301,0)*(1-$K301)</f>
        <v>79486840.52681087</v>
      </c>
      <c r="DI301" s="1118">
        <f>VLOOKUP($E301,DG$442:DJ$453,3,FALSE)*DG301*($K301)+IF($G301&lt;&gt;0,($I301/$G301)*DG301,0)*(1-$K301)</f>
        <v>0</v>
      </c>
      <c r="DJ301" s="1118">
        <f>VLOOKUP($E301,DG$442:DJ$453,4,FALSE)*DG301*($K301)+(DG301-DH301-DI301)*(1-$K301)</f>
        <v>0</v>
      </c>
      <c r="DK301" s="1074"/>
      <c r="DO301" s="1146">
        <f>DO466</f>
        <v>79486840.52681087</v>
      </c>
      <c r="DP301" s="1118">
        <f>VLOOKUP($E301,DO$442:DR$453,2,FALSE)*DO301*($K301)+IF($G301&lt;&gt;0,($H301/$G301)*DO301,0)*(1-$K301)</f>
        <v>79486840.52681087</v>
      </c>
      <c r="DQ301" s="1118">
        <f>VLOOKUP($E301,DO$442:DR$453,3,FALSE)*DO301*($K301)+IF($G301&lt;&gt;0,($I301/$G301)*DO301,0)*(1-$K301)</f>
        <v>0</v>
      </c>
      <c r="DR301" s="1118">
        <f>VLOOKUP($E301,DO$442:DR$453,4,FALSE)*DO301*($K301)+(DO301-DP301-DQ301)*(1-$K301)</f>
        <v>0</v>
      </c>
      <c r="DS301" s="1074"/>
      <c r="DW301" s="1146">
        <f>DW466</f>
        <v>79486840.52681087</v>
      </c>
      <c r="DX301" s="1118">
        <f>VLOOKUP($E301,DW$442:DZ$453,2,FALSE)*DW301*($K301)+IF($G301&lt;&gt;0,($H301/$G301)*DW301,0)*(1-$K301)</f>
        <v>79486840.52681087</v>
      </c>
      <c r="DY301" s="1118">
        <f>VLOOKUP($E301,DW$442:DZ$453,3,FALSE)*DW301*($K301)+IF($G301&lt;&gt;0,($I301/$G301)*DW301,0)*(1-$K301)</f>
        <v>0</v>
      </c>
      <c r="DZ301" s="1118">
        <f>VLOOKUP($E301,DW$442:DZ$453,4,FALSE)*DW301*($K301)+(DW301-DX301-DY301)*(1-$K301)</f>
        <v>0</v>
      </c>
      <c r="EA301" s="1074"/>
      <c r="EE301" s="1146">
        <f>EE466</f>
        <v>79486840.52681087</v>
      </c>
      <c r="EF301" s="1118">
        <f>VLOOKUP($E301,EE$442:EH$453,2,FALSE)*EE301*($K301)+IF($G301&lt;&gt;0,($H301/$G301)*EE301,0)*(1-$K301)</f>
        <v>79486840.52681087</v>
      </c>
      <c r="EG301" s="1118">
        <f>VLOOKUP($E301,EE$442:EH$453,3,FALSE)*EE301*($K301)+IF($G301&lt;&gt;0,($I301/$G301)*EE301,0)*(1-$K301)</f>
        <v>0</v>
      </c>
      <c r="EH301" s="1118">
        <f>VLOOKUP($E301,EE$442:EH$453,4,FALSE)*EE301*($K301)+(EE301-EF301-EG301)*(1-$K301)</f>
        <v>0</v>
      </c>
      <c r="EI301" s="1074"/>
      <c r="EM301" s="1146">
        <f>EM466</f>
        <v>79486840.52681087</v>
      </c>
      <c r="EN301" s="1118">
        <f>VLOOKUP($E301,EM$442:EP$453,2,FALSE)*EM301*($K301)+IF($G301&lt;&gt;0,($H301/$G301)*EM301,0)*(1-$K301)</f>
        <v>79486840.52681087</v>
      </c>
      <c r="EO301" s="1118">
        <f>VLOOKUP($E301,EM$442:EP$453,3,FALSE)*EM301*($K301)+IF($G301&lt;&gt;0,($I301/$G301)*EM301,0)*(1-$K301)</f>
        <v>0</v>
      </c>
      <c r="EP301" s="1118">
        <f>VLOOKUP($E301,EM$442:EP$453,4,FALSE)*EM301*($K301)+(EM301-EN301-EO301)*(1-$K301)</f>
        <v>0</v>
      </c>
      <c r="EQ301" s="1074"/>
      <c r="EU301" s="1146">
        <f>EU466</f>
        <v>79486840.52681087</v>
      </c>
      <c r="EV301" s="1118">
        <f>VLOOKUP($E301,EU$442:EX$453,2,FALSE)*EU301*($K301)+IF($G301&lt;&gt;0,($H301/$G301)*EU301,0)*(1-$K301)</f>
        <v>79486840.52681087</v>
      </c>
      <c r="EW301" s="1118">
        <f>VLOOKUP($E301,EU$442:EX$453,3,FALSE)*EU301*($K301)+IF($G301&lt;&gt;0,($I301/$G301)*EU301,0)*(1-$K301)</f>
        <v>0</v>
      </c>
      <c r="EX301" s="1118">
        <f>VLOOKUP($E301,EU$442:EX$453,4,FALSE)*EU301*($K301)+(EU301-EV301-EW301)*(1-$K301)</f>
        <v>0</v>
      </c>
      <c r="EY301" s="1074"/>
      <c r="FC301" s="1146">
        <f>FC466</f>
        <v>79486840.52681087</v>
      </c>
      <c r="FD301" s="1118">
        <f>VLOOKUP($E301,FC$442:FF$453,2,FALSE)*FC301*($K301)+IF($G301&lt;&gt;0,($H301/$G301)*FC301,0)*(1-$K301)</f>
        <v>79486840.52681087</v>
      </c>
      <c r="FE301" s="1118">
        <f>VLOOKUP($E301,FC$442:FF$453,3,FALSE)*FC301*($K301)+IF($G301&lt;&gt;0,($I301/$G301)*FC301,0)*(1-$K301)</f>
        <v>0</v>
      </c>
      <c r="FF301" s="1118">
        <f>VLOOKUP($E301,FC$442:FF$453,4,FALSE)*FC301*($K301)+(FC301-FD301-FE301)*(1-$K301)</f>
        <v>0</v>
      </c>
      <c r="FG301" s="1074"/>
      <c r="FK301" s="1146">
        <f>FK466</f>
        <v>79486840.52681087</v>
      </c>
      <c r="FL301" s="1118">
        <f>VLOOKUP($E301,FK$442:FN$453,2,FALSE)*FK301*($K301)+IF($G301&lt;&gt;0,($H301/$G301)*FK301,0)*(1-$K301)</f>
        <v>79486840.52681087</v>
      </c>
      <c r="FM301" s="1118">
        <f>VLOOKUP($E301,FK$442:FN$453,3,FALSE)*FK301*($K301)+IF($G301&lt;&gt;0,($I301/$G301)*FK301,0)*(1-$K301)</f>
        <v>0</v>
      </c>
      <c r="FN301" s="1118">
        <f>VLOOKUP($E301,FK$442:FN$453,4,FALSE)*FK301*($K301)+(FK301-FL301-FM301)*(1-$K301)</f>
        <v>0</v>
      </c>
      <c r="FO301" s="1074"/>
    </row>
    <row r="302" spans="1:171" x14ac:dyDescent="0.25">
      <c r="A302" s="1344" t="s">
        <v>65</v>
      </c>
      <c r="B302" s="64"/>
      <c r="C302" s="915"/>
      <c r="D302" s="916"/>
      <c r="E302" s="916"/>
      <c r="F302" s="917"/>
      <c r="G302" s="924">
        <f>SUM(G301)</f>
        <v>79486840.52681087</v>
      </c>
      <c r="H302" s="924">
        <f>SUM(H301)</f>
        <v>79486840.52681087</v>
      </c>
      <c r="I302" s="924">
        <f>SUM(I301)</f>
        <v>0</v>
      </c>
      <c r="J302" s="1429">
        <f>SUM(J301)</f>
        <v>0</v>
      </c>
      <c r="K302" s="904"/>
      <c r="O302" s="1134">
        <f>SUM(O301)</f>
        <v>79486840.52681087</v>
      </c>
      <c r="P302" s="1140">
        <f>SUM(P301)</f>
        <v>79486840.52681087</v>
      </c>
      <c r="Q302" s="1140">
        <f>SUM(Q301)</f>
        <v>0</v>
      </c>
      <c r="R302" s="1140">
        <f>SUM(R301)</f>
        <v>0</v>
      </c>
      <c r="S302" s="1074"/>
      <c r="W302" s="1134">
        <f>SUM(W301)</f>
        <v>79486840.52681087</v>
      </c>
      <c r="X302" s="1140">
        <f>SUM(X301)</f>
        <v>79486840.52681087</v>
      </c>
      <c r="Y302" s="1140">
        <f>SUM(Y301)</f>
        <v>0</v>
      </c>
      <c r="Z302" s="1140">
        <f>SUM(Z301)</f>
        <v>0</v>
      </c>
      <c r="AA302" s="1074"/>
      <c r="AE302" s="1134">
        <f>SUM(AE301)</f>
        <v>79486840.52681087</v>
      </c>
      <c r="AF302" s="1140">
        <f>SUM(AF301)</f>
        <v>79486840.52681087</v>
      </c>
      <c r="AG302" s="1140">
        <f>SUM(AG301)</f>
        <v>0</v>
      </c>
      <c r="AH302" s="1140">
        <f>SUM(AH301)</f>
        <v>0</v>
      </c>
      <c r="AI302" s="1074"/>
      <c r="AM302" s="1134">
        <f>SUM(AM301)</f>
        <v>79486840.52681087</v>
      </c>
      <c r="AN302" s="1140">
        <f>SUM(AN301)</f>
        <v>79486840.52681087</v>
      </c>
      <c r="AO302" s="1140">
        <f>SUM(AO301)</f>
        <v>0</v>
      </c>
      <c r="AP302" s="1140">
        <f>SUM(AP301)</f>
        <v>0</v>
      </c>
      <c r="AQ302" s="1074"/>
      <c r="AU302" s="1134">
        <f>SUM(AU301)</f>
        <v>79486840.52681087</v>
      </c>
      <c r="AV302" s="1140">
        <f>SUM(AV301)</f>
        <v>79486840.52681087</v>
      </c>
      <c r="AW302" s="1140">
        <f>SUM(AW301)</f>
        <v>0</v>
      </c>
      <c r="AX302" s="1140">
        <f>SUM(AX301)</f>
        <v>0</v>
      </c>
      <c r="AY302" s="1074"/>
      <c r="BC302" s="1134">
        <f>SUM(BC301)</f>
        <v>79486840.52681087</v>
      </c>
      <c r="BD302" s="1140">
        <f>SUM(BD301)</f>
        <v>79486840.52681087</v>
      </c>
      <c r="BE302" s="1140">
        <f>SUM(BE301)</f>
        <v>0</v>
      </c>
      <c r="BF302" s="1140">
        <f>SUM(BF301)</f>
        <v>0</v>
      </c>
      <c r="BG302" s="1074"/>
      <c r="BK302" s="1134">
        <f>SUM(BK301)</f>
        <v>79486840.52681087</v>
      </c>
      <c r="BL302" s="1140">
        <f>SUM(BL301)</f>
        <v>79486840.52681087</v>
      </c>
      <c r="BM302" s="1140">
        <f>SUM(BM301)</f>
        <v>0</v>
      </c>
      <c r="BN302" s="1140">
        <f>SUM(BN301)</f>
        <v>0</v>
      </c>
      <c r="BO302" s="1074"/>
      <c r="BS302" s="1134">
        <f>SUM(BS301)</f>
        <v>79486840.52681087</v>
      </c>
      <c r="BT302" s="1140">
        <f>SUM(BT301)</f>
        <v>79486840.52681087</v>
      </c>
      <c r="BU302" s="1140">
        <f>SUM(BU301)</f>
        <v>0</v>
      </c>
      <c r="BV302" s="1140">
        <f>SUM(BV301)</f>
        <v>0</v>
      </c>
      <c r="BW302" s="1074"/>
      <c r="CA302" s="1134">
        <f>SUM(CA301)</f>
        <v>79486840.52681087</v>
      </c>
      <c r="CB302" s="1140">
        <f>SUM(CB301)</f>
        <v>79486840.52681087</v>
      </c>
      <c r="CC302" s="1140">
        <f>SUM(CC301)</f>
        <v>0</v>
      </c>
      <c r="CD302" s="1140">
        <f>SUM(CD301)</f>
        <v>0</v>
      </c>
      <c r="CE302" s="1074"/>
      <c r="CI302" s="1134">
        <f>SUM(CI301)</f>
        <v>79486840.52681087</v>
      </c>
      <c r="CJ302" s="1140">
        <f>SUM(CJ301)</f>
        <v>79486840.52681087</v>
      </c>
      <c r="CK302" s="1140">
        <f>SUM(CK301)</f>
        <v>0</v>
      </c>
      <c r="CL302" s="1140">
        <f>SUM(CL301)</f>
        <v>0</v>
      </c>
      <c r="CM302" s="1074"/>
      <c r="CQ302" s="1134">
        <f>SUM(CQ301)</f>
        <v>79486840.52681087</v>
      </c>
      <c r="CR302" s="1140">
        <f>SUM(CR301)</f>
        <v>79486840.52681087</v>
      </c>
      <c r="CS302" s="1140">
        <f>SUM(CS301)</f>
        <v>0</v>
      </c>
      <c r="CT302" s="1140">
        <f>SUM(CT301)</f>
        <v>0</v>
      </c>
      <c r="CU302" s="1074"/>
      <c r="CY302" s="1134">
        <f>SUM(CY301)</f>
        <v>79486840.52681087</v>
      </c>
      <c r="CZ302" s="1140">
        <f>SUM(CZ301)</f>
        <v>79486840.52681087</v>
      </c>
      <c r="DA302" s="1140">
        <f>SUM(DA301)</f>
        <v>0</v>
      </c>
      <c r="DB302" s="1140">
        <f>SUM(DB301)</f>
        <v>0</v>
      </c>
      <c r="DC302" s="1074"/>
      <c r="DG302" s="1134">
        <f>SUM(DG301)</f>
        <v>79486840.52681087</v>
      </c>
      <c r="DH302" s="1140">
        <f>SUM(DH301)</f>
        <v>79486840.52681087</v>
      </c>
      <c r="DI302" s="1140">
        <f>SUM(DI301)</f>
        <v>0</v>
      </c>
      <c r="DJ302" s="1140">
        <f>SUM(DJ301)</f>
        <v>0</v>
      </c>
      <c r="DK302" s="1074"/>
      <c r="DO302" s="1134">
        <f>SUM(DO301)</f>
        <v>79486840.52681087</v>
      </c>
      <c r="DP302" s="1140">
        <f>SUM(DP301)</f>
        <v>79486840.52681087</v>
      </c>
      <c r="DQ302" s="1140">
        <f>SUM(DQ301)</f>
        <v>0</v>
      </c>
      <c r="DR302" s="1140">
        <f>SUM(DR301)</f>
        <v>0</v>
      </c>
      <c r="DS302" s="1074"/>
      <c r="DW302" s="1134">
        <f>SUM(DW301)</f>
        <v>79486840.52681087</v>
      </c>
      <c r="DX302" s="1140">
        <f>SUM(DX301)</f>
        <v>79486840.52681087</v>
      </c>
      <c r="DY302" s="1140">
        <f>SUM(DY301)</f>
        <v>0</v>
      </c>
      <c r="DZ302" s="1140">
        <f>SUM(DZ301)</f>
        <v>0</v>
      </c>
      <c r="EA302" s="1074"/>
      <c r="EE302" s="1134">
        <f>SUM(EE301)</f>
        <v>79486840.52681087</v>
      </c>
      <c r="EF302" s="1140">
        <f>SUM(EF301)</f>
        <v>79486840.52681087</v>
      </c>
      <c r="EG302" s="1140">
        <f>SUM(EG301)</f>
        <v>0</v>
      </c>
      <c r="EH302" s="1140">
        <f>SUM(EH301)</f>
        <v>0</v>
      </c>
      <c r="EI302" s="1074"/>
      <c r="EM302" s="1134">
        <f>SUM(EM301)</f>
        <v>79486840.52681087</v>
      </c>
      <c r="EN302" s="1140">
        <f>SUM(EN301)</f>
        <v>79486840.52681087</v>
      </c>
      <c r="EO302" s="1140">
        <f>SUM(EO301)</f>
        <v>0</v>
      </c>
      <c r="EP302" s="1140">
        <f>SUM(EP301)</f>
        <v>0</v>
      </c>
      <c r="EQ302" s="1074"/>
      <c r="EU302" s="1134">
        <f>SUM(EU301)</f>
        <v>79486840.52681087</v>
      </c>
      <c r="EV302" s="1140">
        <f>SUM(EV301)</f>
        <v>79486840.52681087</v>
      </c>
      <c r="EW302" s="1140">
        <f>SUM(EW301)</f>
        <v>0</v>
      </c>
      <c r="EX302" s="1140">
        <f>SUM(EX301)</f>
        <v>0</v>
      </c>
      <c r="EY302" s="1074"/>
      <c r="FC302" s="1134">
        <f>SUM(FC301)</f>
        <v>79486840.52681087</v>
      </c>
      <c r="FD302" s="1140">
        <f>SUM(FD301)</f>
        <v>79486840.52681087</v>
      </c>
      <c r="FE302" s="1140">
        <f>SUM(FE301)</f>
        <v>0</v>
      </c>
      <c r="FF302" s="1140">
        <f>SUM(FF301)</f>
        <v>0</v>
      </c>
      <c r="FG302" s="1074"/>
      <c r="FK302" s="1134">
        <f>SUM(FK301)</f>
        <v>79486840.52681087</v>
      </c>
      <c r="FL302" s="1140">
        <f>SUM(FL301)</f>
        <v>79486840.52681087</v>
      </c>
      <c r="FM302" s="1140">
        <f>SUM(FM301)</f>
        <v>0</v>
      </c>
      <c r="FN302" s="1140">
        <f>SUM(FN301)</f>
        <v>0</v>
      </c>
      <c r="FO302" s="1074"/>
    </row>
    <row r="303" spans="1:171" x14ac:dyDescent="0.25">
      <c r="A303" s="1372"/>
      <c r="B303" s="64"/>
      <c r="C303" s="55"/>
      <c r="D303" s="55"/>
      <c r="E303" s="55"/>
      <c r="F303" s="55"/>
      <c r="G303" s="221"/>
      <c r="H303" s="221"/>
      <c r="I303" s="221"/>
      <c r="J303" s="1426"/>
      <c r="K303" s="904"/>
      <c r="S303" s="1074"/>
      <c r="AA303" s="1074"/>
      <c r="AI303" s="1074"/>
      <c r="AQ303" s="1074"/>
      <c r="AY303" s="1074"/>
      <c r="BG303" s="1074"/>
      <c r="BO303" s="1074"/>
      <c r="BW303" s="1074"/>
      <c r="CE303" s="1074"/>
      <c r="CM303" s="1074"/>
      <c r="CU303" s="1074"/>
      <c r="DC303" s="1074"/>
      <c r="DK303" s="1074"/>
      <c r="DS303" s="1074"/>
      <c r="EA303" s="1074"/>
      <c r="EI303" s="1074"/>
      <c r="EQ303" s="1074"/>
      <c r="EY303" s="1074"/>
      <c r="FG303" s="1074"/>
      <c r="FO303" s="1074"/>
    </row>
    <row r="304" spans="1:171" x14ac:dyDescent="0.25">
      <c r="A304" s="1361" t="s">
        <v>43</v>
      </c>
      <c r="B304" s="64"/>
      <c r="C304" s="55"/>
      <c r="D304" s="55"/>
      <c r="E304" s="55"/>
      <c r="F304" s="55"/>
      <c r="G304" s="221"/>
      <c r="H304" s="221"/>
      <c r="I304" s="221"/>
      <c r="J304" s="1426"/>
      <c r="K304" s="904"/>
      <c r="S304" s="1074"/>
      <c r="AA304" s="1074"/>
      <c r="AI304" s="1074"/>
      <c r="AQ304" s="1074"/>
      <c r="AY304" s="1074"/>
      <c r="BG304" s="1074"/>
      <c r="BO304" s="1074"/>
      <c r="BW304" s="1074"/>
      <c r="CE304" s="1074"/>
      <c r="CM304" s="1074"/>
      <c r="CU304" s="1074"/>
      <c r="DC304" s="1074"/>
      <c r="DK304" s="1074"/>
      <c r="DS304" s="1074"/>
      <c r="EA304" s="1074"/>
      <c r="EI304" s="1074"/>
      <c r="EQ304" s="1074"/>
      <c r="EY304" s="1074"/>
      <c r="FG304" s="1074"/>
      <c r="FO304" s="1074"/>
    </row>
    <row r="305" spans="1:171" x14ac:dyDescent="0.25">
      <c r="A305" s="1421"/>
      <c r="B305" s="79" t="s">
        <v>327</v>
      </c>
      <c r="C305" s="889">
        <v>300</v>
      </c>
      <c r="D305" s="890">
        <v>450</v>
      </c>
      <c r="E305" s="182" t="str">
        <f>'Sch 3B - Other Items'!E29</f>
        <v>DIST</v>
      </c>
      <c r="F305" s="890"/>
      <c r="G305" s="182">
        <f>'Sch 3B - Other Items'!G29</f>
        <v>8515319.6916797031</v>
      </c>
      <c r="H305" s="182">
        <f>'Sch 3B - Other Items'!H29</f>
        <v>0</v>
      </c>
      <c r="I305" s="182">
        <f>'Sch 3B - Other Items'!I29</f>
        <v>0</v>
      </c>
      <c r="J305" s="1422">
        <f>'Sch 3B - Other Items'!J29</f>
        <v>8515319.6916797031</v>
      </c>
      <c r="K305" s="904">
        <f t="shared" ref="K305:K311" si="892">IF($E305="DIRECT",0,1)</f>
        <v>1</v>
      </c>
      <c r="O305" s="1117">
        <f>$G305</f>
        <v>8515319.6916797031</v>
      </c>
      <c r="P305" s="1118">
        <f t="shared" ref="P305:P311" si="893">VLOOKUP($E305,O$442:R$453,2,FALSE)*O305*($K305)+IF($G305&lt;&gt;0,($H305/$G305)*O305,0)*(1-$K305)</f>
        <v>0</v>
      </c>
      <c r="Q305" s="1118">
        <f t="shared" ref="Q305:Q311" si="894">VLOOKUP($E305,O$442:R$453,3,FALSE)*O305*($K305)+IF($G305&lt;&gt;0,($I305/$G305)*O305,0)*(1-$K305)</f>
        <v>0</v>
      </c>
      <c r="R305" s="1118">
        <f t="shared" ref="R305:R311" si="895">VLOOKUP($E305,O$442:R$453,4,FALSE)*O305*($K305)+(O305-P305-Q305)*(1-$K305)</f>
        <v>8515319.6916797031</v>
      </c>
      <c r="S305" s="1074"/>
      <c r="W305" s="1117">
        <f>$G305</f>
        <v>8515319.6916797031</v>
      </c>
      <c r="X305" s="1118">
        <f t="shared" ref="X305:X311" si="896">VLOOKUP($E305,W$442:Z$453,2,FALSE)*W305*($K305)+IF($G305&lt;&gt;0,($H305/$G305)*W305,0)*(1-$K305)</f>
        <v>0</v>
      </c>
      <c r="Y305" s="1118">
        <f t="shared" ref="Y305:Y311" si="897">VLOOKUP($E305,W$442:Z$453,3,FALSE)*W305*($K305)+IF($G305&lt;&gt;0,($I305/$G305)*W305,0)*(1-$K305)</f>
        <v>0</v>
      </c>
      <c r="Z305" s="1118">
        <f t="shared" ref="Z305:Z311" si="898">VLOOKUP($E305,W$442:Z$453,4,FALSE)*W305*($K305)+(W305-X305-Y305)*(1-$K305)</f>
        <v>8515319.6916797031</v>
      </c>
      <c r="AA305" s="1074"/>
      <c r="AE305" s="1117">
        <f>$G305</f>
        <v>8515319.6916797031</v>
      </c>
      <c r="AF305" s="1118">
        <f t="shared" ref="AF305:AF311" si="899">VLOOKUP($E305,AE$442:AH$453,2,FALSE)*AE305*($K305)+IF($G305&lt;&gt;0,($H305/$G305)*AE305,0)*(1-$K305)</f>
        <v>0</v>
      </c>
      <c r="AG305" s="1118">
        <f t="shared" ref="AG305:AG311" si="900">VLOOKUP($E305,AE$442:AH$453,3,FALSE)*AE305*($K305)+IF($G305&lt;&gt;0,($I305/$G305)*AE305,0)*(1-$K305)</f>
        <v>0</v>
      </c>
      <c r="AH305" s="1118">
        <f t="shared" ref="AH305:AH311" si="901">VLOOKUP($E305,AE$442:AH$453,4,FALSE)*AE305*($K305)+(AE305-AF305-AG305)*(1-$K305)</f>
        <v>8515319.6916797031</v>
      </c>
      <c r="AI305" s="1074"/>
      <c r="AM305" s="1117">
        <f>$G305</f>
        <v>8515319.6916797031</v>
      </c>
      <c r="AN305" s="1118">
        <f t="shared" ref="AN305:AN311" si="902">VLOOKUP($E305,AM$442:AP$453,2,FALSE)*AM305*($K305)+IF($G305&lt;&gt;0,($H305/$G305)*AM305,0)*(1-$K305)</f>
        <v>0</v>
      </c>
      <c r="AO305" s="1118">
        <f t="shared" ref="AO305:AO311" si="903">VLOOKUP($E305,AM$442:AP$453,3,FALSE)*AM305*($K305)+IF($G305&lt;&gt;0,($I305/$G305)*AM305,0)*(1-$K305)</f>
        <v>0</v>
      </c>
      <c r="AP305" s="1118">
        <f t="shared" ref="AP305:AP311" si="904">VLOOKUP($E305,AM$442:AP$453,4,FALSE)*AM305*($K305)+(AM305-AN305-AO305)*(1-$K305)</f>
        <v>8515319.6916797031</v>
      </c>
      <c r="AQ305" s="1074"/>
      <c r="AU305" s="1117">
        <f>$G305</f>
        <v>8515319.6916797031</v>
      </c>
      <c r="AV305" s="1118">
        <f t="shared" ref="AV305:AV311" si="905">VLOOKUP($E305,AU$442:AX$453,2,FALSE)*AU305*($K305)+IF($G305&lt;&gt;0,($H305/$G305)*AU305,0)*(1-$K305)</f>
        <v>0</v>
      </c>
      <c r="AW305" s="1118">
        <f t="shared" ref="AW305:AW311" si="906">VLOOKUP($E305,AU$442:AX$453,3,FALSE)*AU305*($K305)+IF($G305&lt;&gt;0,($I305/$G305)*AU305,0)*(1-$K305)</f>
        <v>0</v>
      </c>
      <c r="AX305" s="1118">
        <f t="shared" ref="AX305:AX311" si="907">VLOOKUP($E305,AU$442:AX$453,4,FALSE)*AU305*($K305)+(AU305-AV305-AW305)*(1-$K305)</f>
        <v>8515319.6916797031</v>
      </c>
      <c r="AY305" s="1074"/>
      <c r="BC305" s="1117">
        <f>$G305</f>
        <v>8515319.6916797031</v>
      </c>
      <c r="BD305" s="1118">
        <f t="shared" ref="BD305:BD311" si="908">VLOOKUP($E305,BC$442:BF$453,2,FALSE)*BC305*($K305)+IF($G305&lt;&gt;0,($H305/$G305)*BC305,0)*(1-$K305)</f>
        <v>0</v>
      </c>
      <c r="BE305" s="1118">
        <f t="shared" ref="BE305:BE311" si="909">VLOOKUP($E305,BC$442:BF$453,3,FALSE)*BC305*($K305)+IF($G305&lt;&gt;0,($I305/$G305)*BC305,0)*(1-$K305)</f>
        <v>0</v>
      </c>
      <c r="BF305" s="1118">
        <f t="shared" ref="BF305:BF311" si="910">VLOOKUP($E305,BC$442:BF$453,4,FALSE)*BC305*($K305)+(BC305-BD305-BE305)*(1-$K305)</f>
        <v>8515319.6916797031</v>
      </c>
      <c r="BG305" s="1074"/>
      <c r="BK305" s="1117">
        <f>$G305</f>
        <v>8515319.6916797031</v>
      </c>
      <c r="BL305" s="1118">
        <f t="shared" ref="BL305:BL311" si="911">VLOOKUP($E305,BK$442:BN$453,2,FALSE)*BK305*($K305)+IF($G305&lt;&gt;0,($H305/$G305)*BK305,0)*(1-$K305)</f>
        <v>0</v>
      </c>
      <c r="BM305" s="1118">
        <f t="shared" ref="BM305:BM311" si="912">VLOOKUP($E305,BK$442:BN$453,3,FALSE)*BK305*($K305)+IF($G305&lt;&gt;0,($I305/$G305)*BK305,0)*(1-$K305)</f>
        <v>0</v>
      </c>
      <c r="BN305" s="1118">
        <f t="shared" ref="BN305:BN311" si="913">VLOOKUP($E305,BK$442:BN$453,4,FALSE)*BK305*($K305)+(BK305-BL305-BM305)*(1-$K305)</f>
        <v>8515319.6916797031</v>
      </c>
      <c r="BO305" s="1074"/>
      <c r="BS305" s="1117">
        <f>$G305</f>
        <v>8515319.6916797031</v>
      </c>
      <c r="BT305" s="1118">
        <f t="shared" ref="BT305:BT311" si="914">VLOOKUP($E305,BS$442:BV$453,2,FALSE)*BS305*($K305)+IF($G305&lt;&gt;0,($H305/$G305)*BS305,0)*(1-$K305)</f>
        <v>0</v>
      </c>
      <c r="BU305" s="1118">
        <f t="shared" ref="BU305:BU311" si="915">VLOOKUP($E305,BS$442:BV$453,3,FALSE)*BS305*($K305)+IF($G305&lt;&gt;0,($I305/$G305)*BS305,0)*(1-$K305)</f>
        <v>0</v>
      </c>
      <c r="BV305" s="1118">
        <f t="shared" ref="BV305:BV311" si="916">VLOOKUP($E305,BS$442:BV$453,4,FALSE)*BS305*($K305)+(BS305-BT305-BU305)*(1-$K305)</f>
        <v>8515319.6916797031</v>
      </c>
      <c r="BW305" s="1074"/>
      <c r="CA305" s="1117">
        <f>$G305</f>
        <v>8515319.6916797031</v>
      </c>
      <c r="CB305" s="1118">
        <f t="shared" ref="CB305:CB311" si="917">VLOOKUP($E305,CA$442:CD$453,2,FALSE)*CA305*($K305)+IF($G305&lt;&gt;0,($H305/$G305)*CA305,0)*(1-$K305)</f>
        <v>0</v>
      </c>
      <c r="CC305" s="1118">
        <f t="shared" ref="CC305:CC311" si="918">VLOOKUP($E305,CA$442:CD$453,3,FALSE)*CA305*($K305)+IF($G305&lt;&gt;0,($I305/$G305)*CA305,0)*(1-$K305)</f>
        <v>0</v>
      </c>
      <c r="CD305" s="1118">
        <f t="shared" ref="CD305:CD311" si="919">VLOOKUP($E305,CA$442:CD$453,4,FALSE)*CA305*($K305)+(CA305-CB305-CC305)*(1-$K305)</f>
        <v>8515319.6916797031</v>
      </c>
      <c r="CE305" s="1074"/>
      <c r="CI305" s="1117">
        <f>$G305</f>
        <v>8515319.6916797031</v>
      </c>
      <c r="CJ305" s="1118">
        <f t="shared" ref="CJ305:CJ311" si="920">VLOOKUP($E305,CI$442:CL$453,2,FALSE)*CI305*($K305)+IF($G305&lt;&gt;0,($H305/$G305)*CI305,0)*(1-$K305)</f>
        <v>0</v>
      </c>
      <c r="CK305" s="1118">
        <f t="shared" ref="CK305:CK311" si="921">VLOOKUP($E305,CI$442:CL$453,3,FALSE)*CI305*($K305)+IF($G305&lt;&gt;0,($I305/$G305)*CI305,0)*(1-$K305)</f>
        <v>0</v>
      </c>
      <c r="CL305" s="1118">
        <f t="shared" ref="CL305:CL311" si="922">VLOOKUP($E305,CI$442:CL$453,4,FALSE)*CI305*($K305)+(CI305-CJ305-CK305)*(1-$K305)</f>
        <v>8515319.6916797031</v>
      </c>
      <c r="CM305" s="1074"/>
      <c r="CQ305" s="1117">
        <f>$G305</f>
        <v>8515319.6916797031</v>
      </c>
      <c r="CR305" s="1118">
        <f t="shared" ref="CR305:CR311" si="923">VLOOKUP($E305,CQ$442:CT$453,2,FALSE)*CQ305*($K305)+IF($G305&lt;&gt;0,($H305/$G305)*CQ305,0)*(1-$K305)</f>
        <v>0</v>
      </c>
      <c r="CS305" s="1118">
        <f t="shared" ref="CS305:CS311" si="924">VLOOKUP($E305,CQ$442:CT$453,3,FALSE)*CQ305*($K305)+IF($G305&lt;&gt;0,($I305/$G305)*CQ305,0)*(1-$K305)</f>
        <v>0</v>
      </c>
      <c r="CT305" s="1118">
        <f t="shared" ref="CT305:CT311" si="925">VLOOKUP($E305,CQ$442:CT$453,4,FALSE)*CQ305*($K305)+(CQ305-CR305-CS305)*(1-$K305)</f>
        <v>8515319.6916797031</v>
      </c>
      <c r="CU305" s="1074"/>
      <c r="CY305" s="1117">
        <f>$G305</f>
        <v>8515319.6916797031</v>
      </c>
      <c r="CZ305" s="1118">
        <f t="shared" ref="CZ305:CZ311" si="926">VLOOKUP($E305,CY$442:DB$453,2,FALSE)*CY305*($K305)+IF($G305&lt;&gt;0,($H305/$G305)*CY305,0)*(1-$K305)</f>
        <v>0</v>
      </c>
      <c r="DA305" s="1118">
        <f t="shared" ref="DA305:DA311" si="927">VLOOKUP($E305,CY$442:DB$453,3,FALSE)*CY305*($K305)+IF($G305&lt;&gt;0,($I305/$G305)*CY305,0)*(1-$K305)</f>
        <v>0</v>
      </c>
      <c r="DB305" s="1118">
        <f t="shared" ref="DB305:DB311" si="928">VLOOKUP($E305,CY$442:DB$453,4,FALSE)*CY305*($K305)+(CY305-CZ305-DA305)*(1-$K305)</f>
        <v>8515319.6916797031</v>
      </c>
      <c r="DC305" s="1074"/>
      <c r="DG305" s="1117">
        <f>$G305</f>
        <v>8515319.6916797031</v>
      </c>
      <c r="DH305" s="1118">
        <f t="shared" ref="DH305:DH311" si="929">VLOOKUP($E305,DG$442:DJ$453,2,FALSE)*DG305*($K305)+IF($G305&lt;&gt;0,($H305/$G305)*DG305,0)*(1-$K305)</f>
        <v>0</v>
      </c>
      <c r="DI305" s="1118">
        <f t="shared" ref="DI305:DI311" si="930">VLOOKUP($E305,DG$442:DJ$453,3,FALSE)*DG305*($K305)+IF($G305&lt;&gt;0,($I305/$G305)*DG305,0)*(1-$K305)</f>
        <v>0</v>
      </c>
      <c r="DJ305" s="1118">
        <f t="shared" ref="DJ305:DJ311" si="931">VLOOKUP($E305,DG$442:DJ$453,4,FALSE)*DG305*($K305)+(DG305-DH305-DI305)*(1-$K305)</f>
        <v>8515319.6916797031</v>
      </c>
      <c r="DK305" s="1074"/>
      <c r="DO305" s="1117">
        <f>$G305</f>
        <v>8515319.6916797031</v>
      </c>
      <c r="DP305" s="1118">
        <f t="shared" ref="DP305:DP311" si="932">VLOOKUP($E305,DO$442:DR$453,2,FALSE)*DO305*($K305)+IF($G305&lt;&gt;0,($H305/$G305)*DO305,0)*(1-$K305)</f>
        <v>0</v>
      </c>
      <c r="DQ305" s="1118">
        <f t="shared" ref="DQ305:DQ311" si="933">VLOOKUP($E305,DO$442:DR$453,3,FALSE)*DO305*($K305)+IF($G305&lt;&gt;0,($I305/$G305)*DO305,0)*(1-$K305)</f>
        <v>0</v>
      </c>
      <c r="DR305" s="1118">
        <f t="shared" ref="DR305:DR311" si="934">VLOOKUP($E305,DO$442:DR$453,4,FALSE)*DO305*($K305)+(DO305-DP305-DQ305)*(1-$K305)</f>
        <v>8515319.6916797031</v>
      </c>
      <c r="DS305" s="1074"/>
      <c r="DW305" s="1117">
        <f>$G305</f>
        <v>8515319.6916797031</v>
      </c>
      <c r="DX305" s="1118">
        <f t="shared" ref="DX305:DX311" si="935">VLOOKUP($E305,DW$442:DZ$453,2,FALSE)*DW305*($K305)+IF($G305&lt;&gt;0,($H305/$G305)*DW305,0)*(1-$K305)</f>
        <v>0</v>
      </c>
      <c r="DY305" s="1118">
        <f t="shared" ref="DY305:DY311" si="936">VLOOKUP($E305,DW$442:DZ$453,3,FALSE)*DW305*($K305)+IF($G305&lt;&gt;0,($I305/$G305)*DW305,0)*(1-$K305)</f>
        <v>0</v>
      </c>
      <c r="DZ305" s="1118">
        <f t="shared" ref="DZ305:DZ311" si="937">VLOOKUP($E305,DW$442:DZ$453,4,FALSE)*DW305*($K305)+(DW305-DX305-DY305)*(1-$K305)</f>
        <v>8515319.6916797031</v>
      </c>
      <c r="EA305" s="1074"/>
      <c r="EE305" s="1117">
        <f>$G305</f>
        <v>8515319.6916797031</v>
      </c>
      <c r="EF305" s="1118">
        <f t="shared" ref="EF305:EF311" si="938">VLOOKUP($E305,EE$442:EH$453,2,FALSE)*EE305*($K305)+IF($G305&lt;&gt;0,($H305/$G305)*EE305,0)*(1-$K305)</f>
        <v>0</v>
      </c>
      <c r="EG305" s="1118">
        <f t="shared" ref="EG305:EG311" si="939">VLOOKUP($E305,EE$442:EH$453,3,FALSE)*EE305*($K305)+IF($G305&lt;&gt;0,($I305/$G305)*EE305,0)*(1-$K305)</f>
        <v>0</v>
      </c>
      <c r="EH305" s="1118">
        <f t="shared" ref="EH305:EH311" si="940">VLOOKUP($E305,EE$442:EH$453,4,FALSE)*EE305*($K305)+(EE305-EF305-EG305)*(1-$K305)</f>
        <v>8515319.6916797031</v>
      </c>
      <c r="EI305" s="1074"/>
      <c r="EM305" s="1117">
        <f>$G305</f>
        <v>8515319.6916797031</v>
      </c>
      <c r="EN305" s="1118">
        <f t="shared" ref="EN305:EN311" si="941">VLOOKUP($E305,EM$442:EP$453,2,FALSE)*EM305*($K305)+IF($G305&lt;&gt;0,($H305/$G305)*EM305,0)*(1-$K305)</f>
        <v>0</v>
      </c>
      <c r="EO305" s="1118">
        <f t="shared" ref="EO305:EO311" si="942">VLOOKUP($E305,EM$442:EP$453,3,FALSE)*EM305*($K305)+IF($G305&lt;&gt;0,($I305/$G305)*EM305,0)*(1-$K305)</f>
        <v>0</v>
      </c>
      <c r="EP305" s="1118">
        <f t="shared" ref="EP305:EP311" si="943">VLOOKUP($E305,EM$442:EP$453,4,FALSE)*EM305*($K305)+(EM305-EN305-EO305)*(1-$K305)</f>
        <v>8515319.6916797031</v>
      </c>
      <c r="EQ305" s="1074"/>
      <c r="EU305" s="1117">
        <f>$G305</f>
        <v>8515319.6916797031</v>
      </c>
      <c r="EV305" s="1118">
        <f t="shared" ref="EV305:EV311" si="944">VLOOKUP($E305,EU$442:EX$453,2,FALSE)*EU305*($K305)+IF($G305&lt;&gt;0,($H305/$G305)*EU305,0)*(1-$K305)</f>
        <v>0</v>
      </c>
      <c r="EW305" s="1118">
        <f t="shared" ref="EW305:EW311" si="945">VLOOKUP($E305,EU$442:EX$453,3,FALSE)*EU305*($K305)+IF($G305&lt;&gt;0,($I305/$G305)*EU305,0)*(1-$K305)</f>
        <v>0</v>
      </c>
      <c r="EX305" s="1118">
        <f t="shared" ref="EX305:EX311" si="946">VLOOKUP($E305,EU$442:EX$453,4,FALSE)*EU305*($K305)+(EU305-EV305-EW305)*(1-$K305)</f>
        <v>8515319.6916797031</v>
      </c>
      <c r="EY305" s="1074"/>
      <c r="FC305" s="1117">
        <f>$G305</f>
        <v>8515319.6916797031</v>
      </c>
      <c r="FD305" s="1118">
        <f t="shared" ref="FD305:FD311" si="947">VLOOKUP($E305,FC$442:FF$453,2,FALSE)*FC305*($K305)+IF($G305&lt;&gt;0,($H305/$G305)*FC305,0)*(1-$K305)</f>
        <v>0</v>
      </c>
      <c r="FE305" s="1118">
        <f t="shared" ref="FE305:FE311" si="948">VLOOKUP($E305,FC$442:FF$453,3,FALSE)*FC305*($K305)+IF($G305&lt;&gt;0,($I305/$G305)*FC305,0)*(1-$K305)</f>
        <v>0</v>
      </c>
      <c r="FF305" s="1118">
        <f t="shared" ref="FF305:FF311" si="949">VLOOKUP($E305,FC$442:FF$453,4,FALSE)*FC305*($K305)+(FC305-FD305-FE305)*(1-$K305)</f>
        <v>8515319.6916797031</v>
      </c>
      <c r="FG305" s="1074"/>
      <c r="FK305" s="1117">
        <f>$G305</f>
        <v>8515319.6916797031</v>
      </c>
      <c r="FL305" s="1118">
        <f t="shared" ref="FL305:FL311" si="950">VLOOKUP($E305,FK$442:FN$453,2,FALSE)*FK305*($K305)+IF($G305&lt;&gt;0,($H305/$G305)*FK305,0)*(1-$K305)</f>
        <v>0</v>
      </c>
      <c r="FM305" s="1118">
        <f t="shared" ref="FM305:FM311" si="951">VLOOKUP($E305,FK$442:FN$453,3,FALSE)*FK305*($K305)+IF($G305&lt;&gt;0,($I305/$G305)*FK305,0)*(1-$K305)</f>
        <v>0</v>
      </c>
      <c r="FN305" s="1118">
        <f t="shared" ref="FN305:FN311" si="952">VLOOKUP($E305,FK$442:FN$453,4,FALSE)*FK305*($K305)+(FK305-FL305-FM305)*(1-$K305)</f>
        <v>8515319.6916797031</v>
      </c>
      <c r="FO305" s="1074"/>
    </row>
    <row r="306" spans="1:171" x14ac:dyDescent="0.25">
      <c r="A306" s="1421"/>
      <c r="B306" s="79" t="s">
        <v>546</v>
      </c>
      <c r="C306" s="889">
        <v>300</v>
      </c>
      <c r="D306" s="890" t="s">
        <v>44</v>
      </c>
      <c r="E306" s="182" t="str">
        <f>'Sch 3B - Other Items'!E30</f>
        <v>DIST</v>
      </c>
      <c r="F306" s="890"/>
      <c r="G306" s="182">
        <f>'Sch 3B - Other Items'!G30</f>
        <v>1980493.0813357825</v>
      </c>
      <c r="H306" s="182">
        <f>'Sch 3B - Other Items'!H30</f>
        <v>0</v>
      </c>
      <c r="I306" s="182">
        <f>'Sch 3B - Other Items'!I30</f>
        <v>0</v>
      </c>
      <c r="J306" s="1422">
        <f>'Sch 3B - Other Items'!J30</f>
        <v>1980493.0813357825</v>
      </c>
      <c r="K306" s="904">
        <f t="shared" si="892"/>
        <v>1</v>
      </c>
      <c r="O306" s="1117">
        <f>$G306</f>
        <v>1980493.0813357825</v>
      </c>
      <c r="P306" s="1118">
        <f t="shared" si="893"/>
        <v>0</v>
      </c>
      <c r="Q306" s="1118">
        <f t="shared" si="894"/>
        <v>0</v>
      </c>
      <c r="R306" s="1118">
        <f t="shared" si="895"/>
        <v>1980493.0813357825</v>
      </c>
      <c r="S306" s="1074"/>
      <c r="W306" s="1117">
        <f>$G306</f>
        <v>1980493.0813357825</v>
      </c>
      <c r="X306" s="1118">
        <f t="shared" si="896"/>
        <v>0</v>
      </c>
      <c r="Y306" s="1118">
        <f t="shared" si="897"/>
        <v>0</v>
      </c>
      <c r="Z306" s="1118">
        <f t="shared" si="898"/>
        <v>1980493.0813357825</v>
      </c>
      <c r="AA306" s="1074"/>
      <c r="AE306" s="1117">
        <f>$G306</f>
        <v>1980493.0813357825</v>
      </c>
      <c r="AF306" s="1118">
        <f t="shared" si="899"/>
        <v>0</v>
      </c>
      <c r="AG306" s="1118">
        <f t="shared" si="900"/>
        <v>0</v>
      </c>
      <c r="AH306" s="1118">
        <f t="shared" si="901"/>
        <v>1980493.0813357825</v>
      </c>
      <c r="AI306" s="1074"/>
      <c r="AM306" s="1117">
        <f>$G306</f>
        <v>1980493.0813357825</v>
      </c>
      <c r="AN306" s="1118">
        <f t="shared" si="902"/>
        <v>0</v>
      </c>
      <c r="AO306" s="1118">
        <f t="shared" si="903"/>
        <v>0</v>
      </c>
      <c r="AP306" s="1118">
        <f t="shared" si="904"/>
        <v>1980493.0813357825</v>
      </c>
      <c r="AQ306" s="1074"/>
      <c r="AU306" s="1117">
        <f>$G306</f>
        <v>1980493.0813357825</v>
      </c>
      <c r="AV306" s="1118">
        <f t="shared" si="905"/>
        <v>0</v>
      </c>
      <c r="AW306" s="1118">
        <f t="shared" si="906"/>
        <v>0</v>
      </c>
      <c r="AX306" s="1118">
        <f t="shared" si="907"/>
        <v>1980493.0813357825</v>
      </c>
      <c r="AY306" s="1074"/>
      <c r="BC306" s="1117">
        <f>$G306</f>
        <v>1980493.0813357825</v>
      </c>
      <c r="BD306" s="1118">
        <f t="shared" si="908"/>
        <v>0</v>
      </c>
      <c r="BE306" s="1118">
        <f t="shared" si="909"/>
        <v>0</v>
      </c>
      <c r="BF306" s="1118">
        <f t="shared" si="910"/>
        <v>1980493.0813357825</v>
      </c>
      <c r="BG306" s="1074"/>
      <c r="BK306" s="1117">
        <f>$G306</f>
        <v>1980493.0813357825</v>
      </c>
      <c r="BL306" s="1118">
        <f t="shared" si="911"/>
        <v>0</v>
      </c>
      <c r="BM306" s="1118">
        <f t="shared" si="912"/>
        <v>0</v>
      </c>
      <c r="BN306" s="1118">
        <f t="shared" si="913"/>
        <v>1980493.0813357825</v>
      </c>
      <c r="BO306" s="1074"/>
      <c r="BS306" s="1117">
        <f>$G306</f>
        <v>1980493.0813357825</v>
      </c>
      <c r="BT306" s="1118">
        <f t="shared" si="914"/>
        <v>0</v>
      </c>
      <c r="BU306" s="1118">
        <f t="shared" si="915"/>
        <v>0</v>
      </c>
      <c r="BV306" s="1118">
        <f t="shared" si="916"/>
        <v>1980493.0813357825</v>
      </c>
      <c r="BW306" s="1074"/>
      <c r="CA306" s="1117">
        <f>$G306</f>
        <v>1980493.0813357825</v>
      </c>
      <c r="CB306" s="1118">
        <f t="shared" si="917"/>
        <v>0</v>
      </c>
      <c r="CC306" s="1118">
        <f t="shared" si="918"/>
        <v>0</v>
      </c>
      <c r="CD306" s="1118">
        <f t="shared" si="919"/>
        <v>1980493.0813357825</v>
      </c>
      <c r="CE306" s="1074"/>
      <c r="CI306" s="1117">
        <f>$G306</f>
        <v>1980493.0813357825</v>
      </c>
      <c r="CJ306" s="1118">
        <f t="shared" si="920"/>
        <v>0</v>
      </c>
      <c r="CK306" s="1118">
        <f t="shared" si="921"/>
        <v>0</v>
      </c>
      <c r="CL306" s="1118">
        <f t="shared" si="922"/>
        <v>1980493.0813357825</v>
      </c>
      <c r="CM306" s="1074"/>
      <c r="CQ306" s="1117">
        <f>$G306</f>
        <v>1980493.0813357825</v>
      </c>
      <c r="CR306" s="1118">
        <f t="shared" si="923"/>
        <v>0</v>
      </c>
      <c r="CS306" s="1118">
        <f t="shared" si="924"/>
        <v>0</v>
      </c>
      <c r="CT306" s="1118">
        <f t="shared" si="925"/>
        <v>1980493.0813357825</v>
      </c>
      <c r="CU306" s="1074"/>
      <c r="CY306" s="1117">
        <f>$G306</f>
        <v>1980493.0813357825</v>
      </c>
      <c r="CZ306" s="1118">
        <f t="shared" si="926"/>
        <v>0</v>
      </c>
      <c r="DA306" s="1118">
        <f t="shared" si="927"/>
        <v>0</v>
      </c>
      <c r="DB306" s="1118">
        <f t="shared" si="928"/>
        <v>1980493.0813357825</v>
      </c>
      <c r="DC306" s="1074"/>
      <c r="DG306" s="1117">
        <f>$G306</f>
        <v>1980493.0813357825</v>
      </c>
      <c r="DH306" s="1118">
        <f t="shared" si="929"/>
        <v>0</v>
      </c>
      <c r="DI306" s="1118">
        <f t="shared" si="930"/>
        <v>0</v>
      </c>
      <c r="DJ306" s="1118">
        <f t="shared" si="931"/>
        <v>1980493.0813357825</v>
      </c>
      <c r="DK306" s="1074"/>
      <c r="DO306" s="1117">
        <f>$G306</f>
        <v>1980493.0813357825</v>
      </c>
      <c r="DP306" s="1118">
        <f t="shared" si="932"/>
        <v>0</v>
      </c>
      <c r="DQ306" s="1118">
        <f t="shared" si="933"/>
        <v>0</v>
      </c>
      <c r="DR306" s="1118">
        <f t="shared" si="934"/>
        <v>1980493.0813357825</v>
      </c>
      <c r="DS306" s="1074"/>
      <c r="DW306" s="1117">
        <f>$G306</f>
        <v>1980493.0813357825</v>
      </c>
      <c r="DX306" s="1118">
        <f t="shared" si="935"/>
        <v>0</v>
      </c>
      <c r="DY306" s="1118">
        <f t="shared" si="936"/>
        <v>0</v>
      </c>
      <c r="DZ306" s="1118">
        <f t="shared" si="937"/>
        <v>1980493.0813357825</v>
      </c>
      <c r="EA306" s="1074"/>
      <c r="EE306" s="1117">
        <f>$G306</f>
        <v>1980493.0813357825</v>
      </c>
      <c r="EF306" s="1118">
        <f t="shared" si="938"/>
        <v>0</v>
      </c>
      <c r="EG306" s="1118">
        <f t="shared" si="939"/>
        <v>0</v>
      </c>
      <c r="EH306" s="1118">
        <f t="shared" si="940"/>
        <v>1980493.0813357825</v>
      </c>
      <c r="EI306" s="1074"/>
      <c r="EM306" s="1117">
        <f>$G306</f>
        <v>1980493.0813357825</v>
      </c>
      <c r="EN306" s="1118">
        <f t="shared" si="941"/>
        <v>0</v>
      </c>
      <c r="EO306" s="1118">
        <f t="shared" si="942"/>
        <v>0</v>
      </c>
      <c r="EP306" s="1118">
        <f t="shared" si="943"/>
        <v>1980493.0813357825</v>
      </c>
      <c r="EQ306" s="1074"/>
      <c r="EU306" s="1117">
        <f>$G306</f>
        <v>1980493.0813357825</v>
      </c>
      <c r="EV306" s="1118">
        <f t="shared" si="944"/>
        <v>0</v>
      </c>
      <c r="EW306" s="1118">
        <f t="shared" si="945"/>
        <v>0</v>
      </c>
      <c r="EX306" s="1118">
        <f t="shared" si="946"/>
        <v>1980493.0813357825</v>
      </c>
      <c r="EY306" s="1074"/>
      <c r="FC306" s="1117">
        <f>$G306</f>
        <v>1980493.0813357825</v>
      </c>
      <c r="FD306" s="1118">
        <f t="shared" si="947"/>
        <v>0</v>
      </c>
      <c r="FE306" s="1118">
        <f t="shared" si="948"/>
        <v>0</v>
      </c>
      <c r="FF306" s="1118">
        <f t="shared" si="949"/>
        <v>1980493.0813357825</v>
      </c>
      <c r="FG306" s="1074"/>
      <c r="FK306" s="1117">
        <f>$G306</f>
        <v>1980493.0813357825</v>
      </c>
      <c r="FL306" s="1118">
        <f t="shared" si="950"/>
        <v>0</v>
      </c>
      <c r="FM306" s="1118">
        <f t="shared" si="951"/>
        <v>0</v>
      </c>
      <c r="FN306" s="1118">
        <f t="shared" si="952"/>
        <v>1980493.0813357825</v>
      </c>
      <c r="FO306" s="1074"/>
    </row>
    <row r="307" spans="1:171" x14ac:dyDescent="0.25">
      <c r="A307" s="1421"/>
      <c r="B307" s="79" t="s">
        <v>545</v>
      </c>
      <c r="C307" s="889">
        <v>300</v>
      </c>
      <c r="D307" s="890" t="s">
        <v>45</v>
      </c>
      <c r="E307" s="182" t="str">
        <f>'Sch 3B - Other Items'!E31</f>
        <v>PROD</v>
      </c>
      <c r="F307" s="890"/>
      <c r="G307" s="182">
        <f>'Sch 3B - Other Items'!G31</f>
        <v>0</v>
      </c>
      <c r="H307" s="182">
        <f>'Sch 3B - Other Items'!H31</f>
        <v>0</v>
      </c>
      <c r="I307" s="182">
        <f>'Sch 3B - Other Items'!I31</f>
        <v>0</v>
      </c>
      <c r="J307" s="1422">
        <f>'Sch 3B - Other Items'!J31</f>
        <v>0</v>
      </c>
      <c r="K307" s="904">
        <f t="shared" si="892"/>
        <v>1</v>
      </c>
      <c r="O307" s="1117">
        <f>$G307</f>
        <v>0</v>
      </c>
      <c r="P307" s="1118">
        <f t="shared" si="893"/>
        <v>0</v>
      </c>
      <c r="Q307" s="1118">
        <f t="shared" si="894"/>
        <v>0</v>
      </c>
      <c r="R307" s="1118">
        <f t="shared" si="895"/>
        <v>0</v>
      </c>
      <c r="S307" s="1074"/>
      <c r="W307" s="1117">
        <f>$G307</f>
        <v>0</v>
      </c>
      <c r="X307" s="1118">
        <f t="shared" si="896"/>
        <v>0</v>
      </c>
      <c r="Y307" s="1118">
        <f t="shared" si="897"/>
        <v>0</v>
      </c>
      <c r="Z307" s="1118">
        <f t="shared" si="898"/>
        <v>0</v>
      </c>
      <c r="AA307" s="1074"/>
      <c r="AE307" s="1117">
        <f>$G307</f>
        <v>0</v>
      </c>
      <c r="AF307" s="1118">
        <f t="shared" si="899"/>
        <v>0</v>
      </c>
      <c r="AG307" s="1118">
        <f t="shared" si="900"/>
        <v>0</v>
      </c>
      <c r="AH307" s="1118">
        <f t="shared" si="901"/>
        <v>0</v>
      </c>
      <c r="AI307" s="1074"/>
      <c r="AM307" s="1117">
        <f>$G307</f>
        <v>0</v>
      </c>
      <c r="AN307" s="1118">
        <f t="shared" si="902"/>
        <v>0</v>
      </c>
      <c r="AO307" s="1118">
        <f t="shared" si="903"/>
        <v>0</v>
      </c>
      <c r="AP307" s="1118">
        <f t="shared" si="904"/>
        <v>0</v>
      </c>
      <c r="AQ307" s="1074"/>
      <c r="AU307" s="1117">
        <f>$G307</f>
        <v>0</v>
      </c>
      <c r="AV307" s="1118">
        <f t="shared" si="905"/>
        <v>0</v>
      </c>
      <c r="AW307" s="1118">
        <f t="shared" si="906"/>
        <v>0</v>
      </c>
      <c r="AX307" s="1118">
        <f t="shared" si="907"/>
        <v>0</v>
      </c>
      <c r="AY307" s="1074"/>
      <c r="BC307" s="1117">
        <f>$G307</f>
        <v>0</v>
      </c>
      <c r="BD307" s="1118">
        <f t="shared" si="908"/>
        <v>0</v>
      </c>
      <c r="BE307" s="1118">
        <f t="shared" si="909"/>
        <v>0</v>
      </c>
      <c r="BF307" s="1118">
        <f t="shared" si="910"/>
        <v>0</v>
      </c>
      <c r="BG307" s="1074"/>
      <c r="BK307" s="1117">
        <f>$G307</f>
        <v>0</v>
      </c>
      <c r="BL307" s="1118">
        <f t="shared" si="911"/>
        <v>0</v>
      </c>
      <c r="BM307" s="1118">
        <f t="shared" si="912"/>
        <v>0</v>
      </c>
      <c r="BN307" s="1118">
        <f t="shared" si="913"/>
        <v>0</v>
      </c>
      <c r="BO307" s="1074"/>
      <c r="BS307" s="1117">
        <f>$G307</f>
        <v>0</v>
      </c>
      <c r="BT307" s="1118">
        <f t="shared" si="914"/>
        <v>0</v>
      </c>
      <c r="BU307" s="1118">
        <f t="shared" si="915"/>
        <v>0</v>
      </c>
      <c r="BV307" s="1118">
        <f t="shared" si="916"/>
        <v>0</v>
      </c>
      <c r="BW307" s="1074"/>
      <c r="CA307" s="1117">
        <f>$G307</f>
        <v>0</v>
      </c>
      <c r="CB307" s="1118">
        <f t="shared" si="917"/>
        <v>0</v>
      </c>
      <c r="CC307" s="1118">
        <f t="shared" si="918"/>
        <v>0</v>
      </c>
      <c r="CD307" s="1118">
        <f t="shared" si="919"/>
        <v>0</v>
      </c>
      <c r="CE307" s="1074"/>
      <c r="CI307" s="1117">
        <f>$G307</f>
        <v>0</v>
      </c>
      <c r="CJ307" s="1118">
        <f t="shared" si="920"/>
        <v>0</v>
      </c>
      <c r="CK307" s="1118">
        <f t="shared" si="921"/>
        <v>0</v>
      </c>
      <c r="CL307" s="1118">
        <f t="shared" si="922"/>
        <v>0</v>
      </c>
      <c r="CM307" s="1074"/>
      <c r="CQ307" s="1117">
        <f>$G307</f>
        <v>0</v>
      </c>
      <c r="CR307" s="1118">
        <f t="shared" si="923"/>
        <v>0</v>
      </c>
      <c r="CS307" s="1118">
        <f t="shared" si="924"/>
        <v>0</v>
      </c>
      <c r="CT307" s="1118">
        <f t="shared" si="925"/>
        <v>0</v>
      </c>
      <c r="CU307" s="1074"/>
      <c r="CY307" s="1117">
        <f>$G307</f>
        <v>0</v>
      </c>
      <c r="CZ307" s="1118">
        <f t="shared" si="926"/>
        <v>0</v>
      </c>
      <c r="DA307" s="1118">
        <f t="shared" si="927"/>
        <v>0</v>
      </c>
      <c r="DB307" s="1118">
        <f t="shared" si="928"/>
        <v>0</v>
      </c>
      <c r="DC307" s="1074"/>
      <c r="DG307" s="1117">
        <f>$G307</f>
        <v>0</v>
      </c>
      <c r="DH307" s="1118">
        <f t="shared" si="929"/>
        <v>0</v>
      </c>
      <c r="DI307" s="1118">
        <f t="shared" si="930"/>
        <v>0</v>
      </c>
      <c r="DJ307" s="1118">
        <f t="shared" si="931"/>
        <v>0</v>
      </c>
      <c r="DK307" s="1074"/>
      <c r="DO307" s="1117">
        <f>$G307</f>
        <v>0</v>
      </c>
      <c r="DP307" s="1118">
        <f t="shared" si="932"/>
        <v>0</v>
      </c>
      <c r="DQ307" s="1118">
        <f t="shared" si="933"/>
        <v>0</v>
      </c>
      <c r="DR307" s="1118">
        <f t="shared" si="934"/>
        <v>0</v>
      </c>
      <c r="DS307" s="1074"/>
      <c r="DW307" s="1117">
        <f>$G307</f>
        <v>0</v>
      </c>
      <c r="DX307" s="1118">
        <f t="shared" si="935"/>
        <v>0</v>
      </c>
      <c r="DY307" s="1118">
        <f t="shared" si="936"/>
        <v>0</v>
      </c>
      <c r="DZ307" s="1118">
        <f t="shared" si="937"/>
        <v>0</v>
      </c>
      <c r="EA307" s="1074"/>
      <c r="EE307" s="1117">
        <f>$G307</f>
        <v>0</v>
      </c>
      <c r="EF307" s="1118">
        <f t="shared" si="938"/>
        <v>0</v>
      </c>
      <c r="EG307" s="1118">
        <f t="shared" si="939"/>
        <v>0</v>
      </c>
      <c r="EH307" s="1118">
        <f t="shared" si="940"/>
        <v>0</v>
      </c>
      <c r="EI307" s="1074"/>
      <c r="EM307" s="1117">
        <f>$G307</f>
        <v>0</v>
      </c>
      <c r="EN307" s="1118">
        <f t="shared" si="941"/>
        <v>0</v>
      </c>
      <c r="EO307" s="1118">
        <f t="shared" si="942"/>
        <v>0</v>
      </c>
      <c r="EP307" s="1118">
        <f t="shared" si="943"/>
        <v>0</v>
      </c>
      <c r="EQ307" s="1074"/>
      <c r="EU307" s="1117">
        <f>$G307</f>
        <v>0</v>
      </c>
      <c r="EV307" s="1118">
        <f t="shared" si="944"/>
        <v>0</v>
      </c>
      <c r="EW307" s="1118">
        <f t="shared" si="945"/>
        <v>0</v>
      </c>
      <c r="EX307" s="1118">
        <f t="shared" si="946"/>
        <v>0</v>
      </c>
      <c r="EY307" s="1074"/>
      <c r="FC307" s="1117">
        <f>$G307</f>
        <v>0</v>
      </c>
      <c r="FD307" s="1118">
        <f t="shared" si="947"/>
        <v>0</v>
      </c>
      <c r="FE307" s="1118">
        <f t="shared" si="948"/>
        <v>0</v>
      </c>
      <c r="FF307" s="1118">
        <f t="shared" si="949"/>
        <v>0</v>
      </c>
      <c r="FG307" s="1074"/>
      <c r="FK307" s="1117">
        <f>$G307</f>
        <v>0</v>
      </c>
      <c r="FL307" s="1118">
        <f t="shared" si="950"/>
        <v>0</v>
      </c>
      <c r="FM307" s="1118">
        <f t="shared" si="951"/>
        <v>0</v>
      </c>
      <c r="FN307" s="1118">
        <f t="shared" si="952"/>
        <v>0</v>
      </c>
      <c r="FO307" s="1074"/>
    </row>
    <row r="308" spans="1:171" x14ac:dyDescent="0.25">
      <c r="A308" s="1421"/>
      <c r="B308" s="79" t="s">
        <v>544</v>
      </c>
      <c r="C308" s="889">
        <v>300</v>
      </c>
      <c r="D308" s="890" t="s">
        <v>46</v>
      </c>
      <c r="E308" s="182" t="str">
        <f>'Sch 3B - Other Items'!E32</f>
        <v>TD</v>
      </c>
      <c r="F308" s="890"/>
      <c r="G308" s="182">
        <f>'Sch 3B - Other Items'!G32</f>
        <v>9825273.839957241</v>
      </c>
      <c r="H308" s="182">
        <f>'Sch 3B - Other Items'!H32</f>
        <v>0</v>
      </c>
      <c r="I308" s="182">
        <f>'Sch 3B - Other Items'!I32</f>
        <v>0</v>
      </c>
      <c r="J308" s="1422">
        <f>'Sch 3B - Other Items'!J32</f>
        <v>9825273.839957241</v>
      </c>
      <c r="K308" s="904">
        <f t="shared" si="892"/>
        <v>1</v>
      </c>
      <c r="O308" s="1117">
        <f>$G308</f>
        <v>9825273.839957241</v>
      </c>
      <c r="P308" s="1118">
        <f t="shared" si="893"/>
        <v>0</v>
      </c>
      <c r="Q308" s="1118">
        <f t="shared" si="894"/>
        <v>4561442.8066009823</v>
      </c>
      <c r="R308" s="1118">
        <f t="shared" si="895"/>
        <v>5263831.0333562586</v>
      </c>
      <c r="S308" s="1074"/>
      <c r="W308" s="1117">
        <f>$G308</f>
        <v>9825273.839957241</v>
      </c>
      <c r="X308" s="1118">
        <f t="shared" si="896"/>
        <v>0</v>
      </c>
      <c r="Y308" s="1118">
        <f t="shared" si="897"/>
        <v>4561442.8066009823</v>
      </c>
      <c r="Z308" s="1118">
        <f t="shared" si="898"/>
        <v>5263831.0333562586</v>
      </c>
      <c r="AA308" s="1074"/>
      <c r="AE308" s="1117">
        <f>$G308</f>
        <v>9825273.839957241</v>
      </c>
      <c r="AF308" s="1118">
        <f t="shared" si="899"/>
        <v>0</v>
      </c>
      <c r="AG308" s="1118">
        <f t="shared" si="900"/>
        <v>4561442.8066009823</v>
      </c>
      <c r="AH308" s="1118">
        <f t="shared" si="901"/>
        <v>5263831.0333562586</v>
      </c>
      <c r="AI308" s="1074"/>
      <c r="AM308" s="1117">
        <f>$G308</f>
        <v>9825273.839957241</v>
      </c>
      <c r="AN308" s="1118">
        <f t="shared" si="902"/>
        <v>0</v>
      </c>
      <c r="AO308" s="1118">
        <f t="shared" si="903"/>
        <v>4561442.8066009823</v>
      </c>
      <c r="AP308" s="1118">
        <f t="shared" si="904"/>
        <v>5263831.0333562586</v>
      </c>
      <c r="AQ308" s="1074"/>
      <c r="AU308" s="1117">
        <f>$G308</f>
        <v>9825273.839957241</v>
      </c>
      <c r="AV308" s="1118">
        <f t="shared" si="905"/>
        <v>0</v>
      </c>
      <c r="AW308" s="1118">
        <f t="shared" si="906"/>
        <v>4561442.8066009823</v>
      </c>
      <c r="AX308" s="1118">
        <f t="shared" si="907"/>
        <v>5263831.0333562586</v>
      </c>
      <c r="AY308" s="1074"/>
      <c r="BC308" s="1117">
        <f>$G308</f>
        <v>9825273.839957241</v>
      </c>
      <c r="BD308" s="1118">
        <f t="shared" si="908"/>
        <v>0</v>
      </c>
      <c r="BE308" s="1118">
        <f t="shared" si="909"/>
        <v>4561442.8066009823</v>
      </c>
      <c r="BF308" s="1118">
        <f t="shared" si="910"/>
        <v>5263831.0333562586</v>
      </c>
      <c r="BG308" s="1074"/>
      <c r="BK308" s="1117">
        <f>$G308</f>
        <v>9825273.839957241</v>
      </c>
      <c r="BL308" s="1118">
        <f t="shared" si="911"/>
        <v>0</v>
      </c>
      <c r="BM308" s="1118">
        <f t="shared" si="912"/>
        <v>4561442.8066009823</v>
      </c>
      <c r="BN308" s="1118">
        <f t="shared" si="913"/>
        <v>5263831.0333562586</v>
      </c>
      <c r="BO308" s="1074"/>
      <c r="BS308" s="1117">
        <f>$G308</f>
        <v>9825273.839957241</v>
      </c>
      <c r="BT308" s="1118">
        <f t="shared" si="914"/>
        <v>0</v>
      </c>
      <c r="BU308" s="1118">
        <f t="shared" si="915"/>
        <v>4561442.8066009823</v>
      </c>
      <c r="BV308" s="1118">
        <f t="shared" si="916"/>
        <v>5263831.0333562586</v>
      </c>
      <c r="BW308" s="1074"/>
      <c r="CA308" s="1117">
        <f>$G308</f>
        <v>9825273.839957241</v>
      </c>
      <c r="CB308" s="1118">
        <f t="shared" si="917"/>
        <v>0</v>
      </c>
      <c r="CC308" s="1118">
        <f t="shared" si="918"/>
        <v>4561442.8066009823</v>
      </c>
      <c r="CD308" s="1118">
        <f t="shared" si="919"/>
        <v>5263831.0333562586</v>
      </c>
      <c r="CE308" s="1074"/>
      <c r="CI308" s="1117">
        <f>$G308</f>
        <v>9825273.839957241</v>
      </c>
      <c r="CJ308" s="1118">
        <f t="shared" si="920"/>
        <v>0</v>
      </c>
      <c r="CK308" s="1118">
        <f t="shared" si="921"/>
        <v>4561442.8066009823</v>
      </c>
      <c r="CL308" s="1118">
        <f t="shared" si="922"/>
        <v>5263831.0333562586</v>
      </c>
      <c r="CM308" s="1074"/>
      <c r="CQ308" s="1117">
        <f>$G308</f>
        <v>9825273.839957241</v>
      </c>
      <c r="CR308" s="1118">
        <f t="shared" si="923"/>
        <v>0</v>
      </c>
      <c r="CS308" s="1118">
        <f t="shared" si="924"/>
        <v>4561442.8066009823</v>
      </c>
      <c r="CT308" s="1118">
        <f t="shared" si="925"/>
        <v>5263831.0333562586</v>
      </c>
      <c r="CU308" s="1074"/>
      <c r="CY308" s="1117">
        <f>$G308</f>
        <v>9825273.839957241</v>
      </c>
      <c r="CZ308" s="1118">
        <f t="shared" si="926"/>
        <v>0</v>
      </c>
      <c r="DA308" s="1118">
        <f t="shared" si="927"/>
        <v>4561442.8066009823</v>
      </c>
      <c r="DB308" s="1118">
        <f t="shared" si="928"/>
        <v>5263831.0333562586</v>
      </c>
      <c r="DC308" s="1074"/>
      <c r="DG308" s="1117">
        <f>$G308</f>
        <v>9825273.839957241</v>
      </c>
      <c r="DH308" s="1118">
        <f t="shared" si="929"/>
        <v>0</v>
      </c>
      <c r="DI308" s="1118">
        <f t="shared" si="930"/>
        <v>4561442.8066009823</v>
      </c>
      <c r="DJ308" s="1118">
        <f t="shared" si="931"/>
        <v>5263831.0333562586</v>
      </c>
      <c r="DK308" s="1074"/>
      <c r="DO308" s="1117">
        <f>$G308</f>
        <v>9825273.839957241</v>
      </c>
      <c r="DP308" s="1118">
        <f t="shared" si="932"/>
        <v>0</v>
      </c>
      <c r="DQ308" s="1118">
        <f t="shared" si="933"/>
        <v>4561442.8066009823</v>
      </c>
      <c r="DR308" s="1118">
        <f t="shared" si="934"/>
        <v>5263831.0333562586</v>
      </c>
      <c r="DS308" s="1074"/>
      <c r="DW308" s="1117">
        <f>$G308</f>
        <v>9825273.839957241</v>
      </c>
      <c r="DX308" s="1118">
        <f t="shared" si="935"/>
        <v>0</v>
      </c>
      <c r="DY308" s="1118">
        <f t="shared" si="936"/>
        <v>4561442.8066009823</v>
      </c>
      <c r="DZ308" s="1118">
        <f t="shared" si="937"/>
        <v>5263831.0333562586</v>
      </c>
      <c r="EA308" s="1074"/>
      <c r="EE308" s="1117">
        <f>$G308</f>
        <v>9825273.839957241</v>
      </c>
      <c r="EF308" s="1118">
        <f t="shared" si="938"/>
        <v>0</v>
      </c>
      <c r="EG308" s="1118">
        <f t="shared" si="939"/>
        <v>4561442.8066009823</v>
      </c>
      <c r="EH308" s="1118">
        <f t="shared" si="940"/>
        <v>5263831.0333562586</v>
      </c>
      <c r="EI308" s="1074"/>
      <c r="EM308" s="1117">
        <f>$G308</f>
        <v>9825273.839957241</v>
      </c>
      <c r="EN308" s="1118">
        <f t="shared" si="941"/>
        <v>0</v>
      </c>
      <c r="EO308" s="1118">
        <f t="shared" si="942"/>
        <v>4561442.8066009823</v>
      </c>
      <c r="EP308" s="1118">
        <f t="shared" si="943"/>
        <v>5263831.0333562586</v>
      </c>
      <c r="EQ308" s="1074"/>
      <c r="EU308" s="1117">
        <f>$G308</f>
        <v>9825273.839957241</v>
      </c>
      <c r="EV308" s="1118">
        <f t="shared" si="944"/>
        <v>0</v>
      </c>
      <c r="EW308" s="1118">
        <f t="shared" si="945"/>
        <v>4561442.8066009823</v>
      </c>
      <c r="EX308" s="1118">
        <f t="shared" si="946"/>
        <v>5263831.0333562586</v>
      </c>
      <c r="EY308" s="1074"/>
      <c r="FC308" s="1117">
        <f>$G308</f>
        <v>9825273.839957241</v>
      </c>
      <c r="FD308" s="1118">
        <f t="shared" si="947"/>
        <v>0</v>
      </c>
      <c r="FE308" s="1118">
        <f t="shared" si="948"/>
        <v>4561442.8066009823</v>
      </c>
      <c r="FF308" s="1118">
        <f t="shared" si="949"/>
        <v>5263831.0333562586</v>
      </c>
      <c r="FG308" s="1074"/>
      <c r="FK308" s="1117">
        <f>$G308</f>
        <v>9825273.839957241</v>
      </c>
      <c r="FL308" s="1118">
        <f t="shared" si="950"/>
        <v>0</v>
      </c>
      <c r="FM308" s="1118">
        <f t="shared" si="951"/>
        <v>4561442.8066009823</v>
      </c>
      <c r="FN308" s="1118">
        <f t="shared" si="952"/>
        <v>5263831.0333562586</v>
      </c>
      <c r="FO308" s="1074"/>
    </row>
    <row r="309" spans="1:171" x14ac:dyDescent="0.25">
      <c r="A309" s="1421"/>
      <c r="B309" s="79" t="s">
        <v>329</v>
      </c>
      <c r="C309" s="889">
        <v>300</v>
      </c>
      <c r="D309" s="890">
        <v>455</v>
      </c>
      <c r="E309" s="182" t="str">
        <f>'Sch 3B - Other Items'!E33</f>
        <v>DIST</v>
      </c>
      <c r="F309" s="890"/>
      <c r="G309" s="182">
        <f>'Sch 3B - Other Items'!G33</f>
        <v>0</v>
      </c>
      <c r="H309" s="182">
        <f>'Sch 3B - Other Items'!H33</f>
        <v>0</v>
      </c>
      <c r="I309" s="182">
        <f>'Sch 3B - Other Items'!I33</f>
        <v>0</v>
      </c>
      <c r="J309" s="1422">
        <f>'Sch 3B - Other Items'!J33</f>
        <v>0</v>
      </c>
      <c r="K309" s="904">
        <f t="shared" si="892"/>
        <v>1</v>
      </c>
      <c r="O309" s="1117">
        <f>$G309</f>
        <v>0</v>
      </c>
      <c r="P309" s="1118">
        <f t="shared" si="893"/>
        <v>0</v>
      </c>
      <c r="Q309" s="1118">
        <f t="shared" si="894"/>
        <v>0</v>
      </c>
      <c r="R309" s="1118">
        <f t="shared" si="895"/>
        <v>0</v>
      </c>
      <c r="S309" s="1074"/>
      <c r="W309" s="1117">
        <f>$G309</f>
        <v>0</v>
      </c>
      <c r="X309" s="1118">
        <f t="shared" si="896"/>
        <v>0</v>
      </c>
      <c r="Y309" s="1118">
        <f t="shared" si="897"/>
        <v>0</v>
      </c>
      <c r="Z309" s="1118">
        <f t="shared" si="898"/>
        <v>0</v>
      </c>
      <c r="AA309" s="1074"/>
      <c r="AE309" s="1117">
        <f>$G309</f>
        <v>0</v>
      </c>
      <c r="AF309" s="1118">
        <f t="shared" si="899"/>
        <v>0</v>
      </c>
      <c r="AG309" s="1118">
        <f t="shared" si="900"/>
        <v>0</v>
      </c>
      <c r="AH309" s="1118">
        <f t="shared" si="901"/>
        <v>0</v>
      </c>
      <c r="AI309" s="1074"/>
      <c r="AM309" s="1117">
        <f>$G309</f>
        <v>0</v>
      </c>
      <c r="AN309" s="1118">
        <f t="shared" si="902"/>
        <v>0</v>
      </c>
      <c r="AO309" s="1118">
        <f t="shared" si="903"/>
        <v>0</v>
      </c>
      <c r="AP309" s="1118">
        <f t="shared" si="904"/>
        <v>0</v>
      </c>
      <c r="AQ309" s="1074"/>
      <c r="AU309" s="1117">
        <f>$G309</f>
        <v>0</v>
      </c>
      <c r="AV309" s="1118">
        <f t="shared" si="905"/>
        <v>0</v>
      </c>
      <c r="AW309" s="1118">
        <f t="shared" si="906"/>
        <v>0</v>
      </c>
      <c r="AX309" s="1118">
        <f t="shared" si="907"/>
        <v>0</v>
      </c>
      <c r="AY309" s="1074"/>
      <c r="BC309" s="1117">
        <f>$G309</f>
        <v>0</v>
      </c>
      <c r="BD309" s="1118">
        <f t="shared" si="908"/>
        <v>0</v>
      </c>
      <c r="BE309" s="1118">
        <f t="shared" si="909"/>
        <v>0</v>
      </c>
      <c r="BF309" s="1118">
        <f t="shared" si="910"/>
        <v>0</v>
      </c>
      <c r="BG309" s="1074"/>
      <c r="BK309" s="1117">
        <f>$G309</f>
        <v>0</v>
      </c>
      <c r="BL309" s="1118">
        <f t="shared" si="911"/>
        <v>0</v>
      </c>
      <c r="BM309" s="1118">
        <f t="shared" si="912"/>
        <v>0</v>
      </c>
      <c r="BN309" s="1118">
        <f t="shared" si="913"/>
        <v>0</v>
      </c>
      <c r="BO309" s="1074"/>
      <c r="BS309" s="1117">
        <f>$G309</f>
        <v>0</v>
      </c>
      <c r="BT309" s="1118">
        <f t="shared" si="914"/>
        <v>0</v>
      </c>
      <c r="BU309" s="1118">
        <f t="shared" si="915"/>
        <v>0</v>
      </c>
      <c r="BV309" s="1118">
        <f t="shared" si="916"/>
        <v>0</v>
      </c>
      <c r="BW309" s="1074"/>
      <c r="CA309" s="1117">
        <f>$G309</f>
        <v>0</v>
      </c>
      <c r="CB309" s="1118">
        <f t="shared" si="917"/>
        <v>0</v>
      </c>
      <c r="CC309" s="1118">
        <f t="shared" si="918"/>
        <v>0</v>
      </c>
      <c r="CD309" s="1118">
        <f t="shared" si="919"/>
        <v>0</v>
      </c>
      <c r="CE309" s="1074"/>
      <c r="CI309" s="1117">
        <f>$G309</f>
        <v>0</v>
      </c>
      <c r="CJ309" s="1118">
        <f t="shared" si="920"/>
        <v>0</v>
      </c>
      <c r="CK309" s="1118">
        <f t="shared" si="921"/>
        <v>0</v>
      </c>
      <c r="CL309" s="1118">
        <f t="shared" si="922"/>
        <v>0</v>
      </c>
      <c r="CM309" s="1074"/>
      <c r="CQ309" s="1117">
        <f>$G309</f>
        <v>0</v>
      </c>
      <c r="CR309" s="1118">
        <f t="shared" si="923"/>
        <v>0</v>
      </c>
      <c r="CS309" s="1118">
        <f t="shared" si="924"/>
        <v>0</v>
      </c>
      <c r="CT309" s="1118">
        <f t="shared" si="925"/>
        <v>0</v>
      </c>
      <c r="CU309" s="1074"/>
      <c r="CY309" s="1117">
        <f>$G309</f>
        <v>0</v>
      </c>
      <c r="CZ309" s="1118">
        <f t="shared" si="926"/>
        <v>0</v>
      </c>
      <c r="DA309" s="1118">
        <f t="shared" si="927"/>
        <v>0</v>
      </c>
      <c r="DB309" s="1118">
        <f t="shared" si="928"/>
        <v>0</v>
      </c>
      <c r="DC309" s="1074"/>
      <c r="DG309" s="1117">
        <f>$G309</f>
        <v>0</v>
      </c>
      <c r="DH309" s="1118">
        <f t="shared" si="929"/>
        <v>0</v>
      </c>
      <c r="DI309" s="1118">
        <f t="shared" si="930"/>
        <v>0</v>
      </c>
      <c r="DJ309" s="1118">
        <f t="shared" si="931"/>
        <v>0</v>
      </c>
      <c r="DK309" s="1074"/>
      <c r="DO309" s="1117">
        <f>$G309</f>
        <v>0</v>
      </c>
      <c r="DP309" s="1118">
        <f t="shared" si="932"/>
        <v>0</v>
      </c>
      <c r="DQ309" s="1118">
        <f t="shared" si="933"/>
        <v>0</v>
      </c>
      <c r="DR309" s="1118">
        <f t="shared" si="934"/>
        <v>0</v>
      </c>
      <c r="DS309" s="1074"/>
      <c r="DW309" s="1117">
        <f>$G309</f>
        <v>0</v>
      </c>
      <c r="DX309" s="1118">
        <f t="shared" si="935"/>
        <v>0</v>
      </c>
      <c r="DY309" s="1118">
        <f t="shared" si="936"/>
        <v>0</v>
      </c>
      <c r="DZ309" s="1118">
        <f t="shared" si="937"/>
        <v>0</v>
      </c>
      <c r="EA309" s="1074"/>
      <c r="EE309" s="1117">
        <f>$G309</f>
        <v>0</v>
      </c>
      <c r="EF309" s="1118">
        <f t="shared" si="938"/>
        <v>0</v>
      </c>
      <c r="EG309" s="1118">
        <f t="shared" si="939"/>
        <v>0</v>
      </c>
      <c r="EH309" s="1118">
        <f t="shared" si="940"/>
        <v>0</v>
      </c>
      <c r="EI309" s="1074"/>
      <c r="EM309" s="1117">
        <f>$G309</f>
        <v>0</v>
      </c>
      <c r="EN309" s="1118">
        <f t="shared" si="941"/>
        <v>0</v>
      </c>
      <c r="EO309" s="1118">
        <f t="shared" si="942"/>
        <v>0</v>
      </c>
      <c r="EP309" s="1118">
        <f t="shared" si="943"/>
        <v>0</v>
      </c>
      <c r="EQ309" s="1074"/>
      <c r="EU309" s="1117">
        <f>$G309</f>
        <v>0</v>
      </c>
      <c r="EV309" s="1118">
        <f t="shared" si="944"/>
        <v>0</v>
      </c>
      <c r="EW309" s="1118">
        <f t="shared" si="945"/>
        <v>0</v>
      </c>
      <c r="EX309" s="1118">
        <f t="shared" si="946"/>
        <v>0</v>
      </c>
      <c r="EY309" s="1074"/>
      <c r="FC309" s="1117">
        <f>$G309</f>
        <v>0</v>
      </c>
      <c r="FD309" s="1118">
        <f t="shared" si="947"/>
        <v>0</v>
      </c>
      <c r="FE309" s="1118">
        <f t="shared" si="948"/>
        <v>0</v>
      </c>
      <c r="FF309" s="1118">
        <f t="shared" si="949"/>
        <v>0</v>
      </c>
      <c r="FG309" s="1074"/>
      <c r="FK309" s="1117">
        <f>$G309</f>
        <v>0</v>
      </c>
      <c r="FL309" s="1118">
        <f t="shared" si="950"/>
        <v>0</v>
      </c>
      <c r="FM309" s="1118">
        <f t="shared" si="951"/>
        <v>0</v>
      </c>
      <c r="FN309" s="1118">
        <f t="shared" si="952"/>
        <v>0</v>
      </c>
      <c r="FO309" s="1074"/>
    </row>
    <row r="310" spans="1:171" x14ac:dyDescent="0.25">
      <c r="A310" s="1442">
        <v>920</v>
      </c>
      <c r="B310" s="79" t="s">
        <v>328</v>
      </c>
      <c r="C310" s="889">
        <v>300</v>
      </c>
      <c r="D310" s="890" t="s">
        <v>47</v>
      </c>
      <c r="E310" s="182" t="str">
        <f>'Sch 3B - Other Items'!E34</f>
        <v>DIRECT</v>
      </c>
      <c r="F310" s="890"/>
      <c r="G310" s="182">
        <f>'Sch 3B - Other Items'!G34</f>
        <v>17726557.22997893</v>
      </c>
      <c r="H310" s="182">
        <f>'Sch 3B - Other Items'!H34</f>
        <v>16037718.522941926</v>
      </c>
      <c r="I310" s="182">
        <f>'Sch 3B - Other Items'!I34</f>
        <v>0</v>
      </c>
      <c r="J310" s="1422">
        <f>'Sch 3B - Other Items'!J34</f>
        <v>1688838.7070370035</v>
      </c>
      <c r="K310" s="904">
        <f t="shared" si="892"/>
        <v>0</v>
      </c>
      <c r="N310" s="1162">
        <f>VLOOKUP($A310,'New Resources - Group'!$A$4:$Y$133,N$2,FALSE)*N$1</f>
        <v>0</v>
      </c>
      <c r="O310" s="1117">
        <f>$G310+N310</f>
        <v>17726557.22997893</v>
      </c>
      <c r="P310" s="1118">
        <f t="shared" si="893"/>
        <v>16037718.522941926</v>
      </c>
      <c r="Q310" s="1118">
        <f t="shared" si="894"/>
        <v>0</v>
      </c>
      <c r="R310" s="1118">
        <f t="shared" si="895"/>
        <v>1688838.7070370037</v>
      </c>
      <c r="S310" s="1074"/>
      <c r="V310" s="1162">
        <f>VLOOKUP($A310,'New Resources - Group'!$A$4:$Y$133,V$2,FALSE)*V$1</f>
        <v>0</v>
      </c>
      <c r="W310" s="1117">
        <f>$G310+V310</f>
        <v>17726557.22997893</v>
      </c>
      <c r="X310" s="1118">
        <f t="shared" si="896"/>
        <v>16037718.522941926</v>
      </c>
      <c r="Y310" s="1118">
        <f t="shared" si="897"/>
        <v>0</v>
      </c>
      <c r="Z310" s="1118">
        <f t="shared" si="898"/>
        <v>1688838.7070370037</v>
      </c>
      <c r="AA310" s="1074"/>
      <c r="AD310" s="1162">
        <f>VLOOKUP($A310,'New Resources - Group'!$A$4:$Y$133,AD$2,FALSE)*AD$1</f>
        <v>0</v>
      </c>
      <c r="AE310" s="1117">
        <f>$G310+AD310</f>
        <v>17726557.22997893</v>
      </c>
      <c r="AF310" s="1118">
        <f t="shared" si="899"/>
        <v>16037718.522941926</v>
      </c>
      <c r="AG310" s="1118">
        <f t="shared" si="900"/>
        <v>0</v>
      </c>
      <c r="AH310" s="1118">
        <f t="shared" si="901"/>
        <v>1688838.7070370037</v>
      </c>
      <c r="AI310" s="1074"/>
      <c r="AL310" s="1162">
        <f>VLOOKUP($A310,'New Resources - Group'!$A$4:$Y$133,AL$2,FALSE)*AL$1</f>
        <v>0</v>
      </c>
      <c r="AM310" s="1117">
        <f>$G310+AL310</f>
        <v>17726557.22997893</v>
      </c>
      <c r="AN310" s="1118">
        <f t="shared" si="902"/>
        <v>16037718.522941926</v>
      </c>
      <c r="AO310" s="1118">
        <f t="shared" si="903"/>
        <v>0</v>
      </c>
      <c r="AP310" s="1118">
        <f t="shared" si="904"/>
        <v>1688838.7070370037</v>
      </c>
      <c r="AQ310" s="1074"/>
      <c r="AT310" s="1162">
        <f>VLOOKUP($A310,'New Resources - Group'!$A$4:$Y$133,AT$2,FALSE)*AT$1</f>
        <v>0</v>
      </c>
      <c r="AU310" s="1117">
        <f>$G310+AT310</f>
        <v>17726557.22997893</v>
      </c>
      <c r="AV310" s="1118">
        <f t="shared" si="905"/>
        <v>16037718.522941926</v>
      </c>
      <c r="AW310" s="1118">
        <f t="shared" si="906"/>
        <v>0</v>
      </c>
      <c r="AX310" s="1118">
        <f t="shared" si="907"/>
        <v>1688838.7070370037</v>
      </c>
      <c r="AY310" s="1074"/>
      <c r="BB310" s="1162">
        <f>VLOOKUP($A310,'New Resources - Group'!$A$4:$Y$133,BB$2,FALSE)*BB$1</f>
        <v>0</v>
      </c>
      <c r="BC310" s="1117">
        <f>$G310+BB310</f>
        <v>17726557.22997893</v>
      </c>
      <c r="BD310" s="1118">
        <f t="shared" si="908"/>
        <v>16037718.522941926</v>
      </c>
      <c r="BE310" s="1118">
        <f t="shared" si="909"/>
        <v>0</v>
      </c>
      <c r="BF310" s="1118">
        <f t="shared" si="910"/>
        <v>1688838.7070370037</v>
      </c>
      <c r="BG310" s="1074"/>
      <c r="BJ310" s="1162">
        <f>VLOOKUP($A310,'New Resources - Group'!$A$4:$Y$133,BJ$2,FALSE)*BJ$1</f>
        <v>0</v>
      </c>
      <c r="BK310" s="1117">
        <f>$G310+BJ310</f>
        <v>17726557.22997893</v>
      </c>
      <c r="BL310" s="1118">
        <f t="shared" si="911"/>
        <v>16037718.522941926</v>
      </c>
      <c r="BM310" s="1118">
        <f t="shared" si="912"/>
        <v>0</v>
      </c>
      <c r="BN310" s="1118">
        <f t="shared" si="913"/>
        <v>1688838.7070370037</v>
      </c>
      <c r="BO310" s="1074"/>
      <c r="BR310" s="1162">
        <f>VLOOKUP($A310,'New Resources - Group'!$A$4:$Y$133,BR$2,FALSE)*BR$1</f>
        <v>0</v>
      </c>
      <c r="BS310" s="1117">
        <f>$G310+BR310</f>
        <v>17726557.22997893</v>
      </c>
      <c r="BT310" s="1118">
        <f t="shared" si="914"/>
        <v>16037718.522941926</v>
      </c>
      <c r="BU310" s="1118">
        <f t="shared" si="915"/>
        <v>0</v>
      </c>
      <c r="BV310" s="1118">
        <f t="shared" si="916"/>
        <v>1688838.7070370037</v>
      </c>
      <c r="BW310" s="1074"/>
      <c r="BZ310" s="1162">
        <f>VLOOKUP($A310,'New Resources - Group'!$A$4:$Y$133,BZ$2,FALSE)*BZ$1</f>
        <v>0</v>
      </c>
      <c r="CA310" s="1117">
        <f>$G310+BZ310</f>
        <v>17726557.22997893</v>
      </c>
      <c r="CB310" s="1118">
        <f t="shared" si="917"/>
        <v>16037718.522941926</v>
      </c>
      <c r="CC310" s="1118">
        <f t="shared" si="918"/>
        <v>0</v>
      </c>
      <c r="CD310" s="1118">
        <f t="shared" si="919"/>
        <v>1688838.7070370037</v>
      </c>
      <c r="CE310" s="1074"/>
      <c r="CH310" s="1162">
        <f>VLOOKUP($A310,'New Resources - Group'!$A$4:$Y$133,CH$2,FALSE)*CH$1</f>
        <v>0</v>
      </c>
      <c r="CI310" s="1117">
        <f>$G310+CH310</f>
        <v>17726557.22997893</v>
      </c>
      <c r="CJ310" s="1118">
        <f t="shared" si="920"/>
        <v>16037718.522941926</v>
      </c>
      <c r="CK310" s="1118">
        <f t="shared" si="921"/>
        <v>0</v>
      </c>
      <c r="CL310" s="1118">
        <f t="shared" si="922"/>
        <v>1688838.7070370037</v>
      </c>
      <c r="CM310" s="1074"/>
      <c r="CP310" s="1162">
        <f>VLOOKUP($A310,'New Resources - Group'!$A$4:$Y$133,CP$2,FALSE)*CP$1</f>
        <v>0</v>
      </c>
      <c r="CQ310" s="1117">
        <f>$G310+CP310</f>
        <v>17726557.22997893</v>
      </c>
      <c r="CR310" s="1118">
        <f t="shared" si="923"/>
        <v>16037718.522941926</v>
      </c>
      <c r="CS310" s="1118">
        <f t="shared" si="924"/>
        <v>0</v>
      </c>
      <c r="CT310" s="1118">
        <f t="shared" si="925"/>
        <v>1688838.7070370037</v>
      </c>
      <c r="CU310" s="1074"/>
      <c r="CX310" s="1162">
        <f>VLOOKUP($A310,'New Resources - Group'!$A$4:$Y$133,CX$2,FALSE)*CX$1</f>
        <v>0</v>
      </c>
      <c r="CY310" s="1117">
        <f>$G310+CX310</f>
        <v>17726557.22997893</v>
      </c>
      <c r="CZ310" s="1118">
        <f t="shared" si="926"/>
        <v>16037718.522941926</v>
      </c>
      <c r="DA310" s="1118">
        <f t="shared" si="927"/>
        <v>0</v>
      </c>
      <c r="DB310" s="1118">
        <f t="shared" si="928"/>
        <v>1688838.7070370037</v>
      </c>
      <c r="DC310" s="1074"/>
      <c r="DF310" s="1162">
        <f>VLOOKUP($A310,'New Resources - Group'!$A$4:$Y$133,DF$2,FALSE)*DF$1</f>
        <v>0</v>
      </c>
      <c r="DG310" s="1117">
        <f>$G310+DF310</f>
        <v>17726557.22997893</v>
      </c>
      <c r="DH310" s="1118">
        <f t="shared" si="929"/>
        <v>16037718.522941926</v>
      </c>
      <c r="DI310" s="1118">
        <f t="shared" si="930"/>
        <v>0</v>
      </c>
      <c r="DJ310" s="1118">
        <f t="shared" si="931"/>
        <v>1688838.7070370037</v>
      </c>
      <c r="DK310" s="1074"/>
      <c r="DN310" s="1162">
        <f>VLOOKUP($A310,'New Resources - Group'!$A$4:$Y$133,DN$2,FALSE)*DN$1</f>
        <v>0</v>
      </c>
      <c r="DO310" s="1117">
        <f>$G310+DN310</f>
        <v>17726557.22997893</v>
      </c>
      <c r="DP310" s="1118">
        <f t="shared" si="932"/>
        <v>16037718.522941926</v>
      </c>
      <c r="DQ310" s="1118">
        <f t="shared" si="933"/>
        <v>0</v>
      </c>
      <c r="DR310" s="1118">
        <f t="shared" si="934"/>
        <v>1688838.7070370037</v>
      </c>
      <c r="DS310" s="1074"/>
      <c r="DV310" s="1162">
        <f>VLOOKUP($A310,'New Resources - Group'!$A$4:$Y$133,DV$2,FALSE)*DV$1</f>
        <v>0</v>
      </c>
      <c r="DW310" s="1117">
        <f>$G310+DV310</f>
        <v>17726557.22997893</v>
      </c>
      <c r="DX310" s="1118">
        <f t="shared" si="935"/>
        <v>16037718.522941926</v>
      </c>
      <c r="DY310" s="1118">
        <f t="shared" si="936"/>
        <v>0</v>
      </c>
      <c r="DZ310" s="1118">
        <f t="shared" si="937"/>
        <v>1688838.7070370037</v>
      </c>
      <c r="EA310" s="1074"/>
      <c r="ED310" s="1162">
        <f>VLOOKUP($A310,'New Resources - Group'!$A$4:$Y$133,ED$2,FALSE)*ED$1</f>
        <v>0</v>
      </c>
      <c r="EE310" s="1117">
        <f>$G310+ED310</f>
        <v>17726557.22997893</v>
      </c>
      <c r="EF310" s="1118">
        <f t="shared" si="938"/>
        <v>16037718.522941926</v>
      </c>
      <c r="EG310" s="1118">
        <f t="shared" si="939"/>
        <v>0</v>
      </c>
      <c r="EH310" s="1118">
        <f t="shared" si="940"/>
        <v>1688838.7070370037</v>
      </c>
      <c r="EI310" s="1074"/>
      <c r="EL310" s="1162">
        <f>VLOOKUP($A310,'New Resources - Group'!$A$4:$Y$133,EL$2,FALSE)*EL$1</f>
        <v>0</v>
      </c>
      <c r="EM310" s="1117">
        <f>$G310+EL310</f>
        <v>17726557.22997893</v>
      </c>
      <c r="EN310" s="1118">
        <f t="shared" si="941"/>
        <v>16037718.522941926</v>
      </c>
      <c r="EO310" s="1118">
        <f t="shared" si="942"/>
        <v>0</v>
      </c>
      <c r="EP310" s="1118">
        <f t="shared" si="943"/>
        <v>1688838.7070370037</v>
      </c>
      <c r="EQ310" s="1074"/>
      <c r="ET310" s="1162">
        <f>VLOOKUP($A310,'New Resources - Group'!$A$4:$Y$133,ET$2,FALSE)*ET$1</f>
        <v>0</v>
      </c>
      <c r="EU310" s="1117">
        <f>$G310+ET310</f>
        <v>17726557.22997893</v>
      </c>
      <c r="EV310" s="1118">
        <f t="shared" si="944"/>
        <v>16037718.522941926</v>
      </c>
      <c r="EW310" s="1118">
        <f t="shared" si="945"/>
        <v>0</v>
      </c>
      <c r="EX310" s="1118">
        <f t="shared" si="946"/>
        <v>1688838.7070370037</v>
      </c>
      <c r="EY310" s="1074"/>
      <c r="FB310" s="1162">
        <f>VLOOKUP($A310,'New Resources - Group'!$A$4:$Y$133,FB$2,FALSE)*FB$1</f>
        <v>0</v>
      </c>
      <c r="FC310" s="1117">
        <f>$G310+FB310</f>
        <v>17726557.22997893</v>
      </c>
      <c r="FD310" s="1118">
        <f t="shared" si="947"/>
        <v>16037718.522941926</v>
      </c>
      <c r="FE310" s="1118">
        <f t="shared" si="948"/>
        <v>0</v>
      </c>
      <c r="FF310" s="1118">
        <f t="shared" si="949"/>
        <v>1688838.7070370037</v>
      </c>
      <c r="FG310" s="1074"/>
      <c r="FJ310" s="1162">
        <f>VLOOKUP($A310,'New Resources - Group'!$A$4:$Y$133,FJ$2,FALSE)*FJ$1</f>
        <v>0</v>
      </c>
      <c r="FK310" s="1117">
        <f>$G310+FJ310</f>
        <v>17726557.22997893</v>
      </c>
      <c r="FL310" s="1118">
        <f t="shared" si="950"/>
        <v>16037718.522941926</v>
      </c>
      <c r="FM310" s="1118">
        <f t="shared" si="951"/>
        <v>0</v>
      </c>
      <c r="FN310" s="1118">
        <f t="shared" si="952"/>
        <v>1688838.7070370037</v>
      </c>
      <c r="FO310" s="1074"/>
    </row>
    <row r="311" spans="1:171" x14ac:dyDescent="0.25">
      <c r="A311" s="1442">
        <v>930</v>
      </c>
      <c r="B311" s="79" t="s">
        <v>503</v>
      </c>
      <c r="C311" s="889">
        <v>330</v>
      </c>
      <c r="D311" s="889">
        <v>456.1</v>
      </c>
      <c r="E311" s="182" t="str">
        <f>'Sch 3B - Other Items'!E35</f>
        <v>TRANS</v>
      </c>
      <c r="F311" s="890"/>
      <c r="G311" s="182">
        <f>'Sch 3B - Other Items'!G35</f>
        <v>63773432.108888477</v>
      </c>
      <c r="H311" s="182">
        <f>'Sch 3B - Other Items'!H35</f>
        <v>0</v>
      </c>
      <c r="I311" s="182">
        <f>'Sch 3B - Other Items'!I35</f>
        <v>0</v>
      </c>
      <c r="J311" s="1422">
        <f>'Sch 3B - Other Items'!J35</f>
        <v>63773432.108888477</v>
      </c>
      <c r="K311" s="904">
        <f t="shared" si="892"/>
        <v>1</v>
      </c>
      <c r="N311" s="1162">
        <f>VLOOKUP($A311,'New Resources - Group'!$A$4:$Y$133,N$2,FALSE)*N$1</f>
        <v>0</v>
      </c>
      <c r="O311" s="1117">
        <f>$G311+N311</f>
        <v>63773432.108888477</v>
      </c>
      <c r="P311" s="1118">
        <f t="shared" si="893"/>
        <v>0</v>
      </c>
      <c r="Q311" s="1118">
        <f t="shared" si="894"/>
        <v>63773432.108888477</v>
      </c>
      <c r="R311" s="1118">
        <f t="shared" si="895"/>
        <v>0</v>
      </c>
      <c r="S311" s="1074"/>
      <c r="V311" s="1162">
        <f>VLOOKUP($A311,'New Resources - Group'!$A$4:$Y$133,V$2,FALSE)*V$1</f>
        <v>0</v>
      </c>
      <c r="W311" s="1117">
        <f>$G311+V311</f>
        <v>63773432.108888477</v>
      </c>
      <c r="X311" s="1118">
        <f t="shared" si="896"/>
        <v>0</v>
      </c>
      <c r="Y311" s="1118">
        <f t="shared" si="897"/>
        <v>63773432.108888477</v>
      </c>
      <c r="Z311" s="1118">
        <f t="shared" si="898"/>
        <v>0</v>
      </c>
      <c r="AA311" s="1074"/>
      <c r="AD311" s="1162">
        <f>VLOOKUP($A311,'New Resources - Group'!$A$4:$Y$133,AD$2,FALSE)*AD$1</f>
        <v>0</v>
      </c>
      <c r="AE311" s="1117">
        <f>$G311+AD311</f>
        <v>63773432.108888477</v>
      </c>
      <c r="AF311" s="1118">
        <f t="shared" si="899"/>
        <v>0</v>
      </c>
      <c r="AG311" s="1118">
        <f t="shared" si="900"/>
        <v>63773432.108888477</v>
      </c>
      <c r="AH311" s="1118">
        <f t="shared" si="901"/>
        <v>0</v>
      </c>
      <c r="AI311" s="1074"/>
      <c r="AL311" s="1162">
        <f>VLOOKUP($A311,'New Resources - Group'!$A$4:$Y$133,AL$2,FALSE)*AL$1</f>
        <v>0</v>
      </c>
      <c r="AM311" s="1117">
        <f>$G311+AL311</f>
        <v>63773432.108888477</v>
      </c>
      <c r="AN311" s="1118">
        <f t="shared" si="902"/>
        <v>0</v>
      </c>
      <c r="AO311" s="1118">
        <f t="shared" si="903"/>
        <v>63773432.108888477</v>
      </c>
      <c r="AP311" s="1118">
        <f t="shared" si="904"/>
        <v>0</v>
      </c>
      <c r="AQ311" s="1074"/>
      <c r="AT311" s="1162">
        <f>VLOOKUP($A311,'New Resources - Group'!$A$4:$Y$133,AT$2,FALSE)*AT$1</f>
        <v>0</v>
      </c>
      <c r="AU311" s="1117">
        <f>$G311+AT311</f>
        <v>63773432.108888477</v>
      </c>
      <c r="AV311" s="1118">
        <f t="shared" si="905"/>
        <v>0</v>
      </c>
      <c r="AW311" s="1118">
        <f t="shared" si="906"/>
        <v>63773432.108888477</v>
      </c>
      <c r="AX311" s="1118">
        <f t="shared" si="907"/>
        <v>0</v>
      </c>
      <c r="AY311" s="1074"/>
      <c r="BB311" s="1162">
        <f>VLOOKUP($A311,'New Resources - Group'!$A$4:$Y$133,BB$2,FALSE)*BB$1</f>
        <v>0</v>
      </c>
      <c r="BC311" s="1117">
        <f>$G311+BB311</f>
        <v>63773432.108888477</v>
      </c>
      <c r="BD311" s="1118">
        <f t="shared" si="908"/>
        <v>0</v>
      </c>
      <c r="BE311" s="1118">
        <f t="shared" si="909"/>
        <v>63773432.108888477</v>
      </c>
      <c r="BF311" s="1118">
        <f t="shared" si="910"/>
        <v>0</v>
      </c>
      <c r="BG311" s="1074"/>
      <c r="BJ311" s="1162">
        <f>VLOOKUP($A311,'New Resources - Group'!$A$4:$Y$133,BJ$2,FALSE)*BJ$1</f>
        <v>0</v>
      </c>
      <c r="BK311" s="1117">
        <f>$G311+BJ311</f>
        <v>63773432.108888477</v>
      </c>
      <c r="BL311" s="1118">
        <f t="shared" si="911"/>
        <v>0</v>
      </c>
      <c r="BM311" s="1118">
        <f t="shared" si="912"/>
        <v>63773432.108888477</v>
      </c>
      <c r="BN311" s="1118">
        <f t="shared" si="913"/>
        <v>0</v>
      </c>
      <c r="BO311" s="1074"/>
      <c r="BR311" s="1162">
        <f>VLOOKUP($A311,'New Resources - Group'!$A$4:$Y$133,BR$2,FALSE)*BR$1</f>
        <v>0</v>
      </c>
      <c r="BS311" s="1117">
        <f>$G311+BR311</f>
        <v>63773432.108888477</v>
      </c>
      <c r="BT311" s="1118">
        <f t="shared" si="914"/>
        <v>0</v>
      </c>
      <c r="BU311" s="1118">
        <f t="shared" si="915"/>
        <v>63773432.108888477</v>
      </c>
      <c r="BV311" s="1118">
        <f t="shared" si="916"/>
        <v>0</v>
      </c>
      <c r="BW311" s="1074"/>
      <c r="BZ311" s="1162">
        <f>VLOOKUP($A311,'New Resources - Group'!$A$4:$Y$133,BZ$2,FALSE)*BZ$1</f>
        <v>0</v>
      </c>
      <c r="CA311" s="1117">
        <f>$G311+BZ311</f>
        <v>63773432.108888477</v>
      </c>
      <c r="CB311" s="1118">
        <f t="shared" si="917"/>
        <v>0</v>
      </c>
      <c r="CC311" s="1118">
        <f t="shared" si="918"/>
        <v>63773432.108888477</v>
      </c>
      <c r="CD311" s="1118">
        <f t="shared" si="919"/>
        <v>0</v>
      </c>
      <c r="CE311" s="1074"/>
      <c r="CH311" s="1162">
        <f>VLOOKUP($A311,'New Resources - Group'!$A$4:$Y$133,CH$2,FALSE)*CH$1</f>
        <v>0</v>
      </c>
      <c r="CI311" s="1117">
        <f>$G311+CH311</f>
        <v>63773432.108888477</v>
      </c>
      <c r="CJ311" s="1118">
        <f t="shared" si="920"/>
        <v>0</v>
      </c>
      <c r="CK311" s="1118">
        <f t="shared" si="921"/>
        <v>63773432.108888477</v>
      </c>
      <c r="CL311" s="1118">
        <f t="shared" si="922"/>
        <v>0</v>
      </c>
      <c r="CM311" s="1074"/>
      <c r="CP311" s="1162">
        <f>VLOOKUP($A311,'New Resources - Group'!$A$4:$Y$133,CP$2,FALSE)*CP$1</f>
        <v>0</v>
      </c>
      <c r="CQ311" s="1117">
        <f>$G311+CP311</f>
        <v>63773432.108888477</v>
      </c>
      <c r="CR311" s="1118">
        <f t="shared" si="923"/>
        <v>0</v>
      </c>
      <c r="CS311" s="1118">
        <f t="shared" si="924"/>
        <v>63773432.108888477</v>
      </c>
      <c r="CT311" s="1118">
        <f t="shared" si="925"/>
        <v>0</v>
      </c>
      <c r="CU311" s="1074"/>
      <c r="CX311" s="1162">
        <f>VLOOKUP($A311,'New Resources - Group'!$A$4:$Y$133,CX$2,FALSE)*CX$1</f>
        <v>0</v>
      </c>
      <c r="CY311" s="1117">
        <f>$G311+CX311</f>
        <v>63773432.108888477</v>
      </c>
      <c r="CZ311" s="1118">
        <f t="shared" si="926"/>
        <v>0</v>
      </c>
      <c r="DA311" s="1118">
        <f t="shared" si="927"/>
        <v>63773432.108888477</v>
      </c>
      <c r="DB311" s="1118">
        <f t="shared" si="928"/>
        <v>0</v>
      </c>
      <c r="DC311" s="1074"/>
      <c r="DF311" s="1162">
        <f>VLOOKUP($A311,'New Resources - Group'!$A$4:$Y$133,DF$2,FALSE)*DF$1</f>
        <v>0</v>
      </c>
      <c r="DG311" s="1117">
        <f>$G311+DF311</f>
        <v>63773432.108888477</v>
      </c>
      <c r="DH311" s="1118">
        <f t="shared" si="929"/>
        <v>0</v>
      </c>
      <c r="DI311" s="1118">
        <f t="shared" si="930"/>
        <v>63773432.108888477</v>
      </c>
      <c r="DJ311" s="1118">
        <f t="shared" si="931"/>
        <v>0</v>
      </c>
      <c r="DK311" s="1074"/>
      <c r="DN311" s="1162">
        <f>VLOOKUP($A311,'New Resources - Group'!$A$4:$Y$133,DN$2,FALSE)*DN$1</f>
        <v>0</v>
      </c>
      <c r="DO311" s="1117">
        <f>$G311+DN311</f>
        <v>63773432.108888477</v>
      </c>
      <c r="DP311" s="1118">
        <f t="shared" si="932"/>
        <v>0</v>
      </c>
      <c r="DQ311" s="1118">
        <f t="shared" si="933"/>
        <v>63773432.108888477</v>
      </c>
      <c r="DR311" s="1118">
        <f t="shared" si="934"/>
        <v>0</v>
      </c>
      <c r="DS311" s="1074"/>
      <c r="DV311" s="1162">
        <f>VLOOKUP($A311,'New Resources - Group'!$A$4:$Y$133,DV$2,FALSE)*DV$1</f>
        <v>0</v>
      </c>
      <c r="DW311" s="1117">
        <f>$G311+DV311</f>
        <v>63773432.108888477</v>
      </c>
      <c r="DX311" s="1118">
        <f t="shared" si="935"/>
        <v>0</v>
      </c>
      <c r="DY311" s="1118">
        <f t="shared" si="936"/>
        <v>63773432.108888477</v>
      </c>
      <c r="DZ311" s="1118">
        <f t="shared" si="937"/>
        <v>0</v>
      </c>
      <c r="EA311" s="1074"/>
      <c r="ED311" s="1162">
        <f>VLOOKUP($A311,'New Resources - Group'!$A$4:$Y$133,ED$2,FALSE)*ED$1</f>
        <v>0</v>
      </c>
      <c r="EE311" s="1117">
        <f>$G311+ED311</f>
        <v>63773432.108888477</v>
      </c>
      <c r="EF311" s="1118">
        <f t="shared" si="938"/>
        <v>0</v>
      </c>
      <c r="EG311" s="1118">
        <f t="shared" si="939"/>
        <v>63773432.108888477</v>
      </c>
      <c r="EH311" s="1118">
        <f t="shared" si="940"/>
        <v>0</v>
      </c>
      <c r="EI311" s="1074"/>
      <c r="EL311" s="1162">
        <f>VLOOKUP($A311,'New Resources - Group'!$A$4:$Y$133,EL$2,FALSE)*EL$1</f>
        <v>0</v>
      </c>
      <c r="EM311" s="1117">
        <f>$G311+EL311</f>
        <v>63773432.108888477</v>
      </c>
      <c r="EN311" s="1118">
        <f t="shared" si="941"/>
        <v>0</v>
      </c>
      <c r="EO311" s="1118">
        <f t="shared" si="942"/>
        <v>63773432.108888477</v>
      </c>
      <c r="EP311" s="1118">
        <f t="shared" si="943"/>
        <v>0</v>
      </c>
      <c r="EQ311" s="1074"/>
      <c r="ET311" s="1162">
        <f>VLOOKUP($A311,'New Resources - Group'!$A$4:$Y$133,ET$2,FALSE)*ET$1</f>
        <v>0</v>
      </c>
      <c r="EU311" s="1117">
        <f>$G311+ET311</f>
        <v>63773432.108888477</v>
      </c>
      <c r="EV311" s="1118">
        <f t="shared" si="944"/>
        <v>0</v>
      </c>
      <c r="EW311" s="1118">
        <f t="shared" si="945"/>
        <v>63773432.108888477</v>
      </c>
      <c r="EX311" s="1118">
        <f t="shared" si="946"/>
        <v>0</v>
      </c>
      <c r="EY311" s="1074"/>
      <c r="FB311" s="1162">
        <f>VLOOKUP($A311,'New Resources - Group'!$A$4:$Y$133,FB$2,FALSE)*FB$1</f>
        <v>0</v>
      </c>
      <c r="FC311" s="1117">
        <f>$G311+FB311</f>
        <v>63773432.108888477</v>
      </c>
      <c r="FD311" s="1118">
        <f t="shared" si="947"/>
        <v>0</v>
      </c>
      <c r="FE311" s="1118">
        <f t="shared" si="948"/>
        <v>63773432.108888477</v>
      </c>
      <c r="FF311" s="1118">
        <f t="shared" si="949"/>
        <v>0</v>
      </c>
      <c r="FG311" s="1074"/>
      <c r="FJ311" s="1162">
        <f>VLOOKUP($A311,'New Resources - Group'!$A$4:$Y$133,FJ$2,FALSE)*FJ$1</f>
        <v>0</v>
      </c>
      <c r="FK311" s="1117">
        <f>$G311+FJ311</f>
        <v>63773432.108888477</v>
      </c>
      <c r="FL311" s="1118">
        <f t="shared" si="950"/>
        <v>0</v>
      </c>
      <c r="FM311" s="1118">
        <f t="shared" si="951"/>
        <v>63773432.108888477</v>
      </c>
      <c r="FN311" s="1118">
        <f t="shared" si="952"/>
        <v>0</v>
      </c>
      <c r="FO311" s="1074"/>
    </row>
    <row r="312" spans="1:171" x14ac:dyDescent="0.25">
      <c r="A312" s="1341"/>
      <c r="B312" s="79"/>
      <c r="C312" s="55"/>
      <c r="D312" s="196"/>
      <c r="E312" s="55"/>
      <c r="F312" s="55"/>
      <c r="G312" s="221"/>
      <c r="H312" s="221"/>
      <c r="I312" s="221"/>
      <c r="J312" s="1426"/>
      <c r="K312" s="904"/>
      <c r="S312" s="1074"/>
      <c r="AA312" s="1074"/>
      <c r="AI312" s="1074"/>
      <c r="AQ312" s="1074"/>
      <c r="AY312" s="1074"/>
      <c r="BG312" s="1074"/>
      <c r="BO312" s="1074"/>
      <c r="BW312" s="1074"/>
      <c r="CE312" s="1074"/>
      <c r="CM312" s="1074"/>
      <c r="CU312" s="1074"/>
      <c r="DC312" s="1074"/>
      <c r="DK312" s="1074"/>
      <c r="DS312" s="1074"/>
      <c r="EA312" s="1074"/>
      <c r="EI312" s="1074"/>
      <c r="EQ312" s="1074"/>
      <c r="EY312" s="1074"/>
      <c r="FG312" s="1074"/>
      <c r="FO312" s="1074"/>
    </row>
    <row r="313" spans="1:171" x14ac:dyDescent="0.25">
      <c r="A313" s="1344" t="s">
        <v>48</v>
      </c>
      <c r="B313" s="64"/>
      <c r="C313" s="915"/>
      <c r="D313" s="916"/>
      <c r="E313" s="916"/>
      <c r="F313" s="917"/>
      <c r="G313" s="924">
        <f>SUM(G305:G311)</f>
        <v>101821075.95184013</v>
      </c>
      <c r="H313" s="924">
        <f>SUM(H305:H311)</f>
        <v>16037718.522941926</v>
      </c>
      <c r="I313" s="924">
        <f>SUM(I305:I311)</f>
        <v>0</v>
      </c>
      <c r="J313" s="1429">
        <f>SUM(J305:J311)</f>
        <v>85783357.428898215</v>
      </c>
      <c r="K313" s="904"/>
      <c r="O313" s="1134">
        <f>SUM(O305:O311)</f>
        <v>101821075.95184013</v>
      </c>
      <c r="P313" s="1134">
        <f>SUM(P305:P311)</f>
        <v>16037718.522941926</v>
      </c>
      <c r="Q313" s="1134">
        <f>SUM(Q305:Q311)</f>
        <v>68334874.915489465</v>
      </c>
      <c r="R313" s="1134">
        <f>SUM(R305:R311)</f>
        <v>17448482.51340875</v>
      </c>
      <c r="S313" s="1074"/>
      <c r="W313" s="1134">
        <f>SUM(W305:W311)</f>
        <v>101821075.95184013</v>
      </c>
      <c r="X313" s="1134">
        <f>SUM(X305:X311)</f>
        <v>16037718.522941926</v>
      </c>
      <c r="Y313" s="1134">
        <f>SUM(Y305:Y311)</f>
        <v>68334874.915489465</v>
      </c>
      <c r="Z313" s="1134">
        <f>SUM(Z305:Z311)</f>
        <v>17448482.51340875</v>
      </c>
      <c r="AA313" s="1074"/>
      <c r="AE313" s="1134">
        <f>SUM(AE305:AE311)</f>
        <v>101821075.95184013</v>
      </c>
      <c r="AF313" s="1134">
        <f>SUM(AF305:AF311)</f>
        <v>16037718.522941926</v>
      </c>
      <c r="AG313" s="1134">
        <f>SUM(AG305:AG311)</f>
        <v>68334874.915489465</v>
      </c>
      <c r="AH313" s="1134">
        <f>SUM(AH305:AH311)</f>
        <v>17448482.51340875</v>
      </c>
      <c r="AI313" s="1074"/>
      <c r="AM313" s="1134">
        <f>SUM(AM305:AM311)</f>
        <v>101821075.95184013</v>
      </c>
      <c r="AN313" s="1134">
        <f>SUM(AN305:AN311)</f>
        <v>16037718.522941926</v>
      </c>
      <c r="AO313" s="1134">
        <f>SUM(AO305:AO311)</f>
        <v>68334874.915489465</v>
      </c>
      <c r="AP313" s="1134">
        <f>SUM(AP305:AP311)</f>
        <v>17448482.51340875</v>
      </c>
      <c r="AQ313" s="1074"/>
      <c r="AU313" s="1134">
        <f>SUM(AU305:AU311)</f>
        <v>101821075.95184013</v>
      </c>
      <c r="AV313" s="1134">
        <f>SUM(AV305:AV311)</f>
        <v>16037718.522941926</v>
      </c>
      <c r="AW313" s="1134">
        <f>SUM(AW305:AW311)</f>
        <v>68334874.915489465</v>
      </c>
      <c r="AX313" s="1134">
        <f>SUM(AX305:AX311)</f>
        <v>17448482.51340875</v>
      </c>
      <c r="AY313" s="1074"/>
      <c r="BC313" s="1134">
        <f>SUM(BC305:BC311)</f>
        <v>101821075.95184013</v>
      </c>
      <c r="BD313" s="1134">
        <f>SUM(BD305:BD311)</f>
        <v>16037718.522941926</v>
      </c>
      <c r="BE313" s="1134">
        <f>SUM(BE305:BE311)</f>
        <v>68334874.915489465</v>
      </c>
      <c r="BF313" s="1134">
        <f>SUM(BF305:BF311)</f>
        <v>17448482.51340875</v>
      </c>
      <c r="BG313" s="1074"/>
      <c r="BK313" s="1134">
        <f>SUM(BK305:BK311)</f>
        <v>101821075.95184013</v>
      </c>
      <c r="BL313" s="1134">
        <f>SUM(BL305:BL311)</f>
        <v>16037718.522941926</v>
      </c>
      <c r="BM313" s="1134">
        <f>SUM(BM305:BM311)</f>
        <v>68334874.915489465</v>
      </c>
      <c r="BN313" s="1134">
        <f>SUM(BN305:BN311)</f>
        <v>17448482.51340875</v>
      </c>
      <c r="BO313" s="1074"/>
      <c r="BS313" s="1134">
        <f>SUM(BS305:BS311)</f>
        <v>101821075.95184013</v>
      </c>
      <c r="BT313" s="1134">
        <f>SUM(BT305:BT311)</f>
        <v>16037718.522941926</v>
      </c>
      <c r="BU313" s="1134">
        <f>SUM(BU305:BU311)</f>
        <v>68334874.915489465</v>
      </c>
      <c r="BV313" s="1134">
        <f>SUM(BV305:BV311)</f>
        <v>17448482.51340875</v>
      </c>
      <c r="BW313" s="1074"/>
      <c r="CA313" s="1134">
        <f>SUM(CA305:CA311)</f>
        <v>101821075.95184013</v>
      </c>
      <c r="CB313" s="1134">
        <f>SUM(CB305:CB311)</f>
        <v>16037718.522941926</v>
      </c>
      <c r="CC313" s="1134">
        <f>SUM(CC305:CC311)</f>
        <v>68334874.915489465</v>
      </c>
      <c r="CD313" s="1134">
        <f>SUM(CD305:CD311)</f>
        <v>17448482.51340875</v>
      </c>
      <c r="CE313" s="1074"/>
      <c r="CI313" s="1134">
        <f>SUM(CI305:CI311)</f>
        <v>101821075.95184013</v>
      </c>
      <c r="CJ313" s="1134">
        <f>SUM(CJ305:CJ311)</f>
        <v>16037718.522941926</v>
      </c>
      <c r="CK313" s="1134">
        <f>SUM(CK305:CK311)</f>
        <v>68334874.915489465</v>
      </c>
      <c r="CL313" s="1134">
        <f>SUM(CL305:CL311)</f>
        <v>17448482.51340875</v>
      </c>
      <c r="CM313" s="1074"/>
      <c r="CQ313" s="1134">
        <f>SUM(CQ305:CQ311)</f>
        <v>101821075.95184013</v>
      </c>
      <c r="CR313" s="1134">
        <f>SUM(CR305:CR311)</f>
        <v>16037718.522941926</v>
      </c>
      <c r="CS313" s="1134">
        <f>SUM(CS305:CS311)</f>
        <v>68334874.915489465</v>
      </c>
      <c r="CT313" s="1134">
        <f>SUM(CT305:CT311)</f>
        <v>17448482.51340875</v>
      </c>
      <c r="CU313" s="1074"/>
      <c r="CY313" s="1134">
        <f>SUM(CY305:CY311)</f>
        <v>101821075.95184013</v>
      </c>
      <c r="CZ313" s="1134">
        <f>SUM(CZ305:CZ311)</f>
        <v>16037718.522941926</v>
      </c>
      <c r="DA313" s="1134">
        <f>SUM(DA305:DA311)</f>
        <v>68334874.915489465</v>
      </c>
      <c r="DB313" s="1134">
        <f>SUM(DB305:DB311)</f>
        <v>17448482.51340875</v>
      </c>
      <c r="DC313" s="1074"/>
      <c r="DG313" s="1134">
        <f>SUM(DG305:DG311)</f>
        <v>101821075.95184013</v>
      </c>
      <c r="DH313" s="1134">
        <f>SUM(DH305:DH311)</f>
        <v>16037718.522941926</v>
      </c>
      <c r="DI313" s="1134">
        <f>SUM(DI305:DI311)</f>
        <v>68334874.915489465</v>
      </c>
      <c r="DJ313" s="1134">
        <f>SUM(DJ305:DJ311)</f>
        <v>17448482.51340875</v>
      </c>
      <c r="DK313" s="1074"/>
      <c r="DO313" s="1134">
        <f>SUM(DO305:DO311)</f>
        <v>101821075.95184013</v>
      </c>
      <c r="DP313" s="1134">
        <f>SUM(DP305:DP311)</f>
        <v>16037718.522941926</v>
      </c>
      <c r="DQ313" s="1134">
        <f>SUM(DQ305:DQ311)</f>
        <v>68334874.915489465</v>
      </c>
      <c r="DR313" s="1134">
        <f>SUM(DR305:DR311)</f>
        <v>17448482.51340875</v>
      </c>
      <c r="DS313" s="1074"/>
      <c r="DW313" s="1134">
        <f>SUM(DW305:DW311)</f>
        <v>101821075.95184013</v>
      </c>
      <c r="DX313" s="1134">
        <f>SUM(DX305:DX311)</f>
        <v>16037718.522941926</v>
      </c>
      <c r="DY313" s="1134">
        <f>SUM(DY305:DY311)</f>
        <v>68334874.915489465</v>
      </c>
      <c r="DZ313" s="1134">
        <f>SUM(DZ305:DZ311)</f>
        <v>17448482.51340875</v>
      </c>
      <c r="EA313" s="1074"/>
      <c r="EE313" s="1134">
        <f>SUM(EE305:EE311)</f>
        <v>101821075.95184013</v>
      </c>
      <c r="EF313" s="1134">
        <f>SUM(EF305:EF311)</f>
        <v>16037718.522941926</v>
      </c>
      <c r="EG313" s="1134">
        <f>SUM(EG305:EG311)</f>
        <v>68334874.915489465</v>
      </c>
      <c r="EH313" s="1134">
        <f>SUM(EH305:EH311)</f>
        <v>17448482.51340875</v>
      </c>
      <c r="EI313" s="1074"/>
      <c r="EM313" s="1134">
        <f>SUM(EM305:EM311)</f>
        <v>101821075.95184013</v>
      </c>
      <c r="EN313" s="1134">
        <f>SUM(EN305:EN311)</f>
        <v>16037718.522941926</v>
      </c>
      <c r="EO313" s="1134">
        <f>SUM(EO305:EO311)</f>
        <v>68334874.915489465</v>
      </c>
      <c r="EP313" s="1134">
        <f>SUM(EP305:EP311)</f>
        <v>17448482.51340875</v>
      </c>
      <c r="EQ313" s="1074"/>
      <c r="EU313" s="1134">
        <f>SUM(EU305:EU311)</f>
        <v>101821075.95184013</v>
      </c>
      <c r="EV313" s="1134">
        <f>SUM(EV305:EV311)</f>
        <v>16037718.522941926</v>
      </c>
      <c r="EW313" s="1134">
        <f>SUM(EW305:EW311)</f>
        <v>68334874.915489465</v>
      </c>
      <c r="EX313" s="1134">
        <f>SUM(EX305:EX311)</f>
        <v>17448482.51340875</v>
      </c>
      <c r="EY313" s="1074"/>
      <c r="FC313" s="1134">
        <f>SUM(FC305:FC311)</f>
        <v>101821075.95184013</v>
      </c>
      <c r="FD313" s="1134">
        <f>SUM(FD305:FD311)</f>
        <v>16037718.522941926</v>
      </c>
      <c r="FE313" s="1134">
        <f>SUM(FE305:FE311)</f>
        <v>68334874.915489465</v>
      </c>
      <c r="FF313" s="1134">
        <f>SUM(FF305:FF311)</f>
        <v>17448482.51340875</v>
      </c>
      <c r="FG313" s="1074"/>
      <c r="FK313" s="1134">
        <f>SUM(FK305:FK311)</f>
        <v>101821075.95184013</v>
      </c>
      <c r="FL313" s="1134">
        <f>SUM(FL305:FL311)</f>
        <v>16037718.522941926</v>
      </c>
      <c r="FM313" s="1134">
        <f>SUM(FM305:FM311)</f>
        <v>68334874.915489465</v>
      </c>
      <c r="FN313" s="1134">
        <f>SUM(FN305:FN311)</f>
        <v>17448482.51340875</v>
      </c>
      <c r="FO313" s="1074"/>
    </row>
    <row r="314" spans="1:171" x14ac:dyDescent="0.25">
      <c r="A314" s="1344"/>
      <c r="B314" s="64"/>
      <c r="C314" s="55"/>
      <c r="D314" s="55"/>
      <c r="E314" s="55"/>
      <c r="F314" s="55"/>
      <c r="G314" s="1036"/>
      <c r="H314" s="1036"/>
      <c r="I314" s="1036"/>
      <c r="J314" s="1485"/>
      <c r="K314" s="904"/>
      <c r="O314" s="1080"/>
      <c r="P314" s="1080"/>
      <c r="Q314" s="1080"/>
      <c r="R314" s="1080"/>
      <c r="S314" s="1074"/>
      <c r="W314" s="1080"/>
      <c r="X314" s="1080"/>
      <c r="Y314" s="1080"/>
      <c r="Z314" s="1080"/>
      <c r="AA314" s="1074"/>
      <c r="AE314" s="1080"/>
      <c r="AF314" s="1080"/>
      <c r="AG314" s="1080"/>
      <c r="AH314" s="1080"/>
      <c r="AI314" s="1074"/>
      <c r="AM314" s="1080"/>
      <c r="AN314" s="1080"/>
      <c r="AO314" s="1080"/>
      <c r="AP314" s="1080"/>
      <c r="AQ314" s="1074"/>
      <c r="AU314" s="1080"/>
      <c r="AV314" s="1080"/>
      <c r="AW314" s="1080"/>
      <c r="AX314" s="1080"/>
      <c r="AY314" s="1074"/>
      <c r="BC314" s="1080"/>
      <c r="BD314" s="1080"/>
      <c r="BE314" s="1080"/>
      <c r="BF314" s="1080"/>
      <c r="BG314" s="1074"/>
      <c r="BK314" s="1080"/>
      <c r="BL314" s="1080"/>
      <c r="BM314" s="1080"/>
      <c r="BN314" s="1080"/>
      <c r="BO314" s="1074"/>
      <c r="BS314" s="1080"/>
      <c r="BT314" s="1080"/>
      <c r="BU314" s="1080"/>
      <c r="BV314" s="1080"/>
      <c r="BW314" s="1074"/>
      <c r="CA314" s="1080"/>
      <c r="CB314" s="1080"/>
      <c r="CC314" s="1080"/>
      <c r="CD314" s="1080"/>
      <c r="CE314" s="1074"/>
      <c r="CI314" s="1080"/>
      <c r="CJ314" s="1080"/>
      <c r="CK314" s="1080"/>
      <c r="CL314" s="1080"/>
      <c r="CM314" s="1074"/>
      <c r="CQ314" s="1080"/>
      <c r="CR314" s="1080"/>
      <c r="CS314" s="1080"/>
      <c r="CT314" s="1080"/>
      <c r="CU314" s="1074"/>
      <c r="CY314" s="1080"/>
      <c r="CZ314" s="1080"/>
      <c r="DA314" s="1080"/>
      <c r="DB314" s="1080"/>
      <c r="DC314" s="1074"/>
      <c r="DG314" s="1080"/>
      <c r="DH314" s="1080"/>
      <c r="DI314" s="1080"/>
      <c r="DJ314" s="1080"/>
      <c r="DK314" s="1074"/>
      <c r="DO314" s="1080"/>
      <c r="DP314" s="1080"/>
      <c r="DQ314" s="1080"/>
      <c r="DR314" s="1080"/>
      <c r="DS314" s="1074"/>
      <c r="DW314" s="1080"/>
      <c r="DX314" s="1080"/>
      <c r="DY314" s="1080"/>
      <c r="DZ314" s="1080"/>
      <c r="EA314" s="1074"/>
      <c r="EE314" s="1080"/>
      <c r="EF314" s="1080"/>
      <c r="EG314" s="1080"/>
      <c r="EH314" s="1080"/>
      <c r="EI314" s="1074"/>
      <c r="EM314" s="1080"/>
      <c r="EN314" s="1080"/>
      <c r="EO314" s="1080"/>
      <c r="EP314" s="1080"/>
      <c r="EQ314" s="1074"/>
      <c r="EU314" s="1080"/>
      <c r="EV314" s="1080"/>
      <c r="EW314" s="1080"/>
      <c r="EX314" s="1080"/>
      <c r="EY314" s="1074"/>
      <c r="FC314" s="1080"/>
      <c r="FD314" s="1080"/>
      <c r="FE314" s="1080"/>
      <c r="FF314" s="1080"/>
      <c r="FG314" s="1074"/>
      <c r="FK314" s="1080"/>
      <c r="FL314" s="1080"/>
      <c r="FM314" s="1080"/>
      <c r="FN314" s="1080"/>
      <c r="FO314" s="1074"/>
    </row>
    <row r="315" spans="1:171" x14ac:dyDescent="0.25">
      <c r="A315" s="1344" t="s">
        <v>49</v>
      </c>
      <c r="B315" s="64"/>
      <c r="C315" s="915"/>
      <c r="D315" s="916"/>
      <c r="E315" s="916"/>
      <c r="F315" s="917"/>
      <c r="G315" s="924">
        <f>+G313+G302+G298</f>
        <v>176856701.06279904</v>
      </c>
      <c r="H315" s="924">
        <f>+H313+H302+H298</f>
        <v>94786417.434177458</v>
      </c>
      <c r="I315" s="924">
        <f>+I313+I302+I298</f>
        <v>0</v>
      </c>
      <c r="J315" s="1429">
        <f>+J313+J302+J298</f>
        <v>82070283.628621608</v>
      </c>
      <c r="K315" s="904"/>
      <c r="O315" s="1134">
        <f>+O313+O302+O298</f>
        <v>176856701.06279904</v>
      </c>
      <c r="P315" s="1134">
        <f>+P313+P302+P298</f>
        <v>94786417.434177458</v>
      </c>
      <c r="Q315" s="1134">
        <f>+Q313+Q302+Q298</f>
        <v>68334874.915489465</v>
      </c>
      <c r="R315" s="1134">
        <f>+R313+R302+R298</f>
        <v>13735408.713132137</v>
      </c>
      <c r="S315" s="1074"/>
      <c r="W315" s="1134">
        <f>+W313+W302+W298</f>
        <v>176856701.06279904</v>
      </c>
      <c r="X315" s="1134">
        <f>+X313+X302+X298</f>
        <v>94786417.434177458</v>
      </c>
      <c r="Y315" s="1134">
        <f>+Y313+Y302+Y298</f>
        <v>68334874.915489465</v>
      </c>
      <c r="Z315" s="1134">
        <f>+Z313+Z302+Z298</f>
        <v>13735408.713132137</v>
      </c>
      <c r="AA315" s="1074"/>
      <c r="AE315" s="1134">
        <f>+AE313+AE302+AE298</f>
        <v>176856701.06279904</v>
      </c>
      <c r="AF315" s="1134">
        <f>+AF313+AF302+AF298</f>
        <v>94786417.434177458</v>
      </c>
      <c r="AG315" s="1134">
        <f>+AG313+AG302+AG298</f>
        <v>68334874.915489465</v>
      </c>
      <c r="AH315" s="1134">
        <f>+AH313+AH302+AH298</f>
        <v>13735408.713132137</v>
      </c>
      <c r="AI315" s="1074"/>
      <c r="AM315" s="1134">
        <f>+AM313+AM302+AM298</f>
        <v>176856701.06279904</v>
      </c>
      <c r="AN315" s="1134">
        <f>+AN313+AN302+AN298</f>
        <v>94786417.434177458</v>
      </c>
      <c r="AO315" s="1134">
        <f>+AO313+AO302+AO298</f>
        <v>68334874.915489465</v>
      </c>
      <c r="AP315" s="1134">
        <f>+AP313+AP302+AP298</f>
        <v>13735408.713132137</v>
      </c>
      <c r="AQ315" s="1074"/>
      <c r="AU315" s="1134">
        <f>+AU313+AU302+AU298</f>
        <v>176856701.06279904</v>
      </c>
      <c r="AV315" s="1134">
        <f>+AV313+AV302+AV298</f>
        <v>94786417.434177458</v>
      </c>
      <c r="AW315" s="1134">
        <f>+AW313+AW302+AW298</f>
        <v>68334874.915489465</v>
      </c>
      <c r="AX315" s="1134">
        <f>+AX313+AX302+AX298</f>
        <v>13735408.713132137</v>
      </c>
      <c r="AY315" s="1074"/>
      <c r="BC315" s="1134">
        <f>+BC313+BC302+BC298</f>
        <v>176856701.06279904</v>
      </c>
      <c r="BD315" s="1134">
        <f>+BD313+BD302+BD298</f>
        <v>94786417.434177458</v>
      </c>
      <c r="BE315" s="1134">
        <f>+BE313+BE302+BE298</f>
        <v>68334874.915489465</v>
      </c>
      <c r="BF315" s="1134">
        <f>+BF313+BF302+BF298</f>
        <v>13735408.713132137</v>
      </c>
      <c r="BG315" s="1074"/>
      <c r="BK315" s="1134">
        <f>+BK313+BK302+BK298</f>
        <v>176856701.06279904</v>
      </c>
      <c r="BL315" s="1134">
        <f>+BL313+BL302+BL298</f>
        <v>94786417.434177458</v>
      </c>
      <c r="BM315" s="1134">
        <f>+BM313+BM302+BM298</f>
        <v>68334874.915489465</v>
      </c>
      <c r="BN315" s="1134">
        <f>+BN313+BN302+BN298</f>
        <v>13735408.713132137</v>
      </c>
      <c r="BO315" s="1074"/>
      <c r="BS315" s="1134">
        <f>+BS313+BS302+BS298</f>
        <v>176856701.06279904</v>
      </c>
      <c r="BT315" s="1134">
        <f>+BT313+BT302+BT298</f>
        <v>94786417.434177458</v>
      </c>
      <c r="BU315" s="1134">
        <f>+BU313+BU302+BU298</f>
        <v>68334874.915489465</v>
      </c>
      <c r="BV315" s="1134">
        <f>+BV313+BV302+BV298</f>
        <v>13735408.713132137</v>
      </c>
      <c r="BW315" s="1074"/>
      <c r="CA315" s="1134">
        <f>+CA313+CA302+CA298</f>
        <v>176856701.06279904</v>
      </c>
      <c r="CB315" s="1134">
        <f>+CB313+CB302+CB298</f>
        <v>94786417.434177458</v>
      </c>
      <c r="CC315" s="1134">
        <f>+CC313+CC302+CC298</f>
        <v>68334874.915489465</v>
      </c>
      <c r="CD315" s="1134">
        <f>+CD313+CD302+CD298</f>
        <v>13735408.713132137</v>
      </c>
      <c r="CE315" s="1074"/>
      <c r="CI315" s="1134">
        <f>+CI313+CI302+CI298</f>
        <v>176856701.06279904</v>
      </c>
      <c r="CJ315" s="1134">
        <f>+CJ313+CJ302+CJ298</f>
        <v>94786417.434177458</v>
      </c>
      <c r="CK315" s="1134">
        <f>+CK313+CK302+CK298</f>
        <v>68334874.915489465</v>
      </c>
      <c r="CL315" s="1134">
        <f>+CL313+CL302+CL298</f>
        <v>13735408.713132137</v>
      </c>
      <c r="CM315" s="1074"/>
      <c r="CQ315" s="1134">
        <f>+CQ313+CQ302+CQ298</f>
        <v>176856701.06279904</v>
      </c>
      <c r="CR315" s="1134">
        <f>+CR313+CR302+CR298</f>
        <v>94786417.434177458</v>
      </c>
      <c r="CS315" s="1134">
        <f>+CS313+CS302+CS298</f>
        <v>68334874.915489465</v>
      </c>
      <c r="CT315" s="1134">
        <f>+CT313+CT302+CT298</f>
        <v>13735408.713132137</v>
      </c>
      <c r="CU315" s="1074"/>
      <c r="CY315" s="1134">
        <f>+CY313+CY302+CY298</f>
        <v>176856701.06279904</v>
      </c>
      <c r="CZ315" s="1134">
        <f>+CZ313+CZ302+CZ298</f>
        <v>94786417.434177458</v>
      </c>
      <c r="DA315" s="1134">
        <f>+DA313+DA302+DA298</f>
        <v>68334874.915489465</v>
      </c>
      <c r="DB315" s="1134">
        <f>+DB313+DB302+DB298</f>
        <v>13735408.713132137</v>
      </c>
      <c r="DC315" s="1074"/>
      <c r="DG315" s="1134">
        <f>+DG313+DG302+DG298</f>
        <v>176856701.06279904</v>
      </c>
      <c r="DH315" s="1134">
        <f>+DH313+DH302+DH298</f>
        <v>94786417.434177458</v>
      </c>
      <c r="DI315" s="1134">
        <f>+DI313+DI302+DI298</f>
        <v>68334874.915489465</v>
      </c>
      <c r="DJ315" s="1134">
        <f>+DJ313+DJ302+DJ298</f>
        <v>13735408.713132137</v>
      </c>
      <c r="DK315" s="1074"/>
      <c r="DO315" s="1134">
        <f>+DO313+DO302+DO298</f>
        <v>176856701.06279904</v>
      </c>
      <c r="DP315" s="1134">
        <f>+DP313+DP302+DP298</f>
        <v>94786417.434177458</v>
      </c>
      <c r="DQ315" s="1134">
        <f>+DQ313+DQ302+DQ298</f>
        <v>68334874.915489465</v>
      </c>
      <c r="DR315" s="1134">
        <f>+DR313+DR302+DR298</f>
        <v>13735408.713132137</v>
      </c>
      <c r="DS315" s="1074"/>
      <c r="DW315" s="1134">
        <f>+DW313+DW302+DW298</f>
        <v>176856701.06279904</v>
      </c>
      <c r="DX315" s="1134">
        <f>+DX313+DX302+DX298</f>
        <v>94786417.434177458</v>
      </c>
      <c r="DY315" s="1134">
        <f>+DY313+DY302+DY298</f>
        <v>68334874.915489465</v>
      </c>
      <c r="DZ315" s="1134">
        <f>+DZ313+DZ302+DZ298</f>
        <v>13735408.713132137</v>
      </c>
      <c r="EA315" s="1074"/>
      <c r="EE315" s="1134">
        <f>+EE313+EE302+EE298</f>
        <v>176856701.06279904</v>
      </c>
      <c r="EF315" s="1134">
        <f>+EF313+EF302+EF298</f>
        <v>94786417.434177458</v>
      </c>
      <c r="EG315" s="1134">
        <f>+EG313+EG302+EG298</f>
        <v>68334874.915489465</v>
      </c>
      <c r="EH315" s="1134">
        <f>+EH313+EH302+EH298</f>
        <v>13735408.713132137</v>
      </c>
      <c r="EI315" s="1074"/>
      <c r="EM315" s="1134">
        <f>+EM313+EM302+EM298</f>
        <v>176856701.06279904</v>
      </c>
      <c r="EN315" s="1134">
        <f>+EN313+EN302+EN298</f>
        <v>94786417.434177458</v>
      </c>
      <c r="EO315" s="1134">
        <f>+EO313+EO302+EO298</f>
        <v>68334874.915489465</v>
      </c>
      <c r="EP315" s="1134">
        <f>+EP313+EP302+EP298</f>
        <v>13735408.713132137</v>
      </c>
      <c r="EQ315" s="1074"/>
      <c r="EU315" s="1134">
        <f>+EU313+EU302+EU298</f>
        <v>176856701.06279904</v>
      </c>
      <c r="EV315" s="1134">
        <f>+EV313+EV302+EV298</f>
        <v>94786417.434177458</v>
      </c>
      <c r="EW315" s="1134">
        <f>+EW313+EW302+EW298</f>
        <v>68334874.915489465</v>
      </c>
      <c r="EX315" s="1134">
        <f>+EX313+EX302+EX298</f>
        <v>13735408.713132137</v>
      </c>
      <c r="EY315" s="1074"/>
      <c r="FC315" s="1134">
        <f>+FC313+FC302+FC298</f>
        <v>176856701.06279904</v>
      </c>
      <c r="FD315" s="1134">
        <f>+FD313+FD302+FD298</f>
        <v>94786417.434177458</v>
      </c>
      <c r="FE315" s="1134">
        <f>+FE313+FE302+FE298</f>
        <v>68334874.915489465</v>
      </c>
      <c r="FF315" s="1134">
        <f>+FF313+FF302+FF298</f>
        <v>13735408.713132137</v>
      </c>
      <c r="FG315" s="1074"/>
      <c r="FK315" s="1134">
        <f>+FK313+FK302+FK298</f>
        <v>176856701.06279904</v>
      </c>
      <c r="FL315" s="1134">
        <f>+FL313+FL302+FL298</f>
        <v>94786417.434177458</v>
      </c>
      <c r="FM315" s="1134">
        <f>+FM313+FM302+FM298</f>
        <v>68334874.915489465</v>
      </c>
      <c r="FN315" s="1134">
        <f>+FN313+FN302+FN298</f>
        <v>13735408.713132137</v>
      </c>
      <c r="FO315" s="1074"/>
    </row>
    <row r="316" spans="1:171" x14ac:dyDescent="0.25">
      <c r="A316" s="1428" t="s">
        <v>67</v>
      </c>
      <c r="B316" s="64"/>
      <c r="C316" s="79"/>
      <c r="D316" s="79"/>
      <c r="E316" s="79"/>
      <c r="F316" s="79"/>
      <c r="G316" s="79"/>
      <c r="H316" s="79"/>
      <c r="I316" s="79"/>
      <c r="J316" s="1486"/>
      <c r="K316" s="904"/>
      <c r="S316" s="1074"/>
      <c r="AA316" s="1074"/>
      <c r="AI316" s="1074"/>
      <c r="AQ316" s="1074"/>
      <c r="AY316" s="1074"/>
      <c r="BG316" s="1074"/>
      <c r="BO316" s="1074"/>
      <c r="BW316" s="1074"/>
      <c r="CE316" s="1074"/>
      <c r="CM316" s="1074"/>
      <c r="CU316" s="1074"/>
      <c r="DC316" s="1074"/>
      <c r="DK316" s="1074"/>
      <c r="DS316" s="1074"/>
      <c r="EA316" s="1074"/>
      <c r="EI316" s="1074"/>
      <c r="EQ316" s="1074"/>
      <c r="EY316" s="1074"/>
      <c r="FG316" s="1074"/>
      <c r="FO316" s="1074"/>
    </row>
    <row r="317" spans="1:171" ht="16.5" thickBot="1" x14ac:dyDescent="0.3">
      <c r="A317" s="1487"/>
      <c r="B317" s="216"/>
      <c r="C317" s="216"/>
      <c r="D317" s="216"/>
      <c r="E317" s="216"/>
      <c r="F317" s="216"/>
      <c r="G317" s="216"/>
      <c r="H317" s="216"/>
      <c r="I317" s="216"/>
      <c r="J317" s="1488"/>
      <c r="K317" s="904"/>
      <c r="S317" s="1074"/>
      <c r="AA317" s="1074"/>
      <c r="AI317" s="1074"/>
      <c r="AQ317" s="1074"/>
      <c r="AY317" s="1074"/>
      <c r="BG317" s="1074"/>
      <c r="BO317" s="1074"/>
      <c r="BW317" s="1074"/>
      <c r="CE317" s="1074"/>
      <c r="CM317" s="1074"/>
      <c r="CU317" s="1074"/>
      <c r="DC317" s="1074"/>
      <c r="DK317" s="1074"/>
      <c r="DS317" s="1074"/>
      <c r="EA317" s="1074"/>
      <c r="EI317" s="1074"/>
      <c r="EQ317" s="1074"/>
      <c r="EY317" s="1074"/>
      <c r="FG317" s="1074"/>
      <c r="FO317" s="1074"/>
    </row>
    <row r="318" spans="1:171" ht="17.25" thickTop="1" thickBot="1" x14ac:dyDescent="0.3">
      <c r="A318" s="1489" t="s">
        <v>66</v>
      </c>
      <c r="B318" s="1040"/>
      <c r="C318" s="1040"/>
      <c r="D318" s="1040"/>
      <c r="E318" s="1040"/>
      <c r="F318" s="1041"/>
      <c r="G318" s="1041"/>
      <c r="H318" s="1041"/>
      <c r="I318" s="1040"/>
      <c r="J318" s="1490"/>
      <c r="K318" s="904"/>
      <c r="S318" s="1074"/>
      <c r="AA318" s="1074"/>
      <c r="AI318" s="1074"/>
      <c r="AQ318" s="1074"/>
      <c r="AY318" s="1074"/>
      <c r="BG318" s="1074"/>
      <c r="BO318" s="1074"/>
      <c r="BW318" s="1074"/>
      <c r="CE318" s="1074"/>
      <c r="CM318" s="1074"/>
      <c r="CU318" s="1074"/>
      <c r="DC318" s="1074"/>
      <c r="DK318" s="1074"/>
      <c r="DS318" s="1074"/>
      <c r="EA318" s="1074"/>
      <c r="EI318" s="1074"/>
      <c r="EQ318" s="1074"/>
      <c r="EY318" s="1074"/>
      <c r="FG318" s="1074"/>
      <c r="FO318" s="1074"/>
    </row>
    <row r="319" spans="1:171" x14ac:dyDescent="0.25">
      <c r="A319" s="1491"/>
      <c r="B319" s="1043"/>
      <c r="C319" s="1044"/>
      <c r="D319" s="1044"/>
      <c r="E319" s="1044"/>
      <c r="F319" s="1044"/>
      <c r="G319" s="1043"/>
      <c r="H319" s="1043"/>
      <c r="I319" s="1043"/>
      <c r="J319" s="1492"/>
      <c r="K319" s="904"/>
      <c r="S319" s="1074"/>
      <c r="AA319" s="1074"/>
      <c r="AI319" s="1074"/>
      <c r="AQ319" s="1074"/>
      <c r="AY319" s="1074"/>
      <c r="BG319" s="1074"/>
      <c r="BO319" s="1074"/>
      <c r="BW319" s="1074"/>
      <c r="CE319" s="1074"/>
      <c r="CM319" s="1074"/>
      <c r="CU319" s="1074"/>
      <c r="DC319" s="1074"/>
      <c r="DK319" s="1074"/>
      <c r="DS319" s="1074"/>
      <c r="EA319" s="1074"/>
      <c r="EI319" s="1074"/>
      <c r="EQ319" s="1074"/>
      <c r="EY319" s="1074"/>
      <c r="FG319" s="1074"/>
      <c r="FO319" s="1074"/>
    </row>
    <row r="320" spans="1:171" ht="16.5" thickBot="1" x14ac:dyDescent="0.3">
      <c r="A320" s="1477"/>
      <c r="B320" s="1020"/>
      <c r="C320" s="1"/>
      <c r="D320" s="1"/>
      <c r="E320" s="1"/>
      <c r="F320" s="1"/>
      <c r="G320" s="1047" t="s">
        <v>97</v>
      </c>
      <c r="H320" s="1047" t="s">
        <v>97</v>
      </c>
      <c r="I320" s="1047" t="s">
        <v>97</v>
      </c>
      <c r="J320" s="1493" t="s">
        <v>97</v>
      </c>
      <c r="K320" s="904"/>
      <c r="S320" s="1074"/>
      <c r="AA320" s="1074"/>
      <c r="AI320" s="1074"/>
      <c r="AQ320" s="1074"/>
      <c r="AY320" s="1074"/>
      <c r="BG320" s="1074"/>
      <c r="BO320" s="1074"/>
      <c r="BW320" s="1074"/>
      <c r="CE320" s="1074"/>
      <c r="CM320" s="1074"/>
      <c r="CU320" s="1074"/>
      <c r="DC320" s="1074"/>
      <c r="DK320" s="1074"/>
      <c r="DS320" s="1074"/>
      <c r="EA320" s="1074"/>
      <c r="EI320" s="1074"/>
      <c r="EQ320" s="1074"/>
      <c r="EY320" s="1074"/>
      <c r="FG320" s="1074"/>
      <c r="FO320" s="1074"/>
    </row>
    <row r="321" spans="1:171" ht="16.5" thickBot="1" x14ac:dyDescent="0.3">
      <c r="A321" s="1455"/>
      <c r="B321" s="1"/>
      <c r="C321" s="1"/>
      <c r="D321" s="1"/>
      <c r="E321" s="1"/>
      <c r="F321" s="1"/>
      <c r="G321" s="305" t="s">
        <v>104</v>
      </c>
      <c r="H321" s="305" t="s">
        <v>105</v>
      </c>
      <c r="I321" s="305" t="s">
        <v>106</v>
      </c>
      <c r="J321" s="1494" t="s">
        <v>512</v>
      </c>
      <c r="K321" s="904"/>
      <c r="O321" s="305" t="s">
        <v>104</v>
      </c>
      <c r="P321" s="305" t="s">
        <v>105</v>
      </c>
      <c r="Q321" s="305" t="s">
        <v>106</v>
      </c>
      <c r="R321" s="305" t="s">
        <v>512</v>
      </c>
      <c r="S321" s="904"/>
      <c r="W321" s="305" t="s">
        <v>104</v>
      </c>
      <c r="X321" s="305" t="s">
        <v>105</v>
      </c>
      <c r="Y321" s="305" t="s">
        <v>106</v>
      </c>
      <c r="Z321" s="305" t="s">
        <v>512</v>
      </c>
      <c r="AA321" s="904"/>
      <c r="AE321" s="305" t="s">
        <v>104</v>
      </c>
      <c r="AF321" s="305" t="s">
        <v>105</v>
      </c>
      <c r="AG321" s="305" t="s">
        <v>106</v>
      </c>
      <c r="AH321" s="305" t="s">
        <v>512</v>
      </c>
      <c r="AI321" s="904"/>
      <c r="AM321" s="305" t="s">
        <v>104</v>
      </c>
      <c r="AN321" s="305" t="s">
        <v>105</v>
      </c>
      <c r="AO321" s="305" t="s">
        <v>106</v>
      </c>
      <c r="AP321" s="305" t="s">
        <v>512</v>
      </c>
      <c r="AQ321" s="904"/>
      <c r="AU321" s="305" t="s">
        <v>104</v>
      </c>
      <c r="AV321" s="305" t="s">
        <v>105</v>
      </c>
      <c r="AW321" s="305" t="s">
        <v>106</v>
      </c>
      <c r="AX321" s="305" t="s">
        <v>512</v>
      </c>
      <c r="AY321" s="904"/>
      <c r="BC321" s="305" t="s">
        <v>104</v>
      </c>
      <c r="BD321" s="305" t="s">
        <v>105</v>
      </c>
      <c r="BE321" s="305" t="s">
        <v>106</v>
      </c>
      <c r="BF321" s="305" t="s">
        <v>512</v>
      </c>
      <c r="BG321" s="904"/>
      <c r="BK321" s="305" t="s">
        <v>104</v>
      </c>
      <c r="BL321" s="305" t="s">
        <v>105</v>
      </c>
      <c r="BM321" s="305" t="s">
        <v>106</v>
      </c>
      <c r="BN321" s="305" t="s">
        <v>512</v>
      </c>
      <c r="BO321" s="904"/>
      <c r="BS321" s="305" t="s">
        <v>104</v>
      </c>
      <c r="BT321" s="305" t="s">
        <v>105</v>
      </c>
      <c r="BU321" s="305" t="s">
        <v>106</v>
      </c>
      <c r="BV321" s="305" t="s">
        <v>512</v>
      </c>
      <c r="BW321" s="904"/>
      <c r="CA321" s="305" t="s">
        <v>104</v>
      </c>
      <c r="CB321" s="305" t="s">
        <v>105</v>
      </c>
      <c r="CC321" s="305" t="s">
        <v>106</v>
      </c>
      <c r="CD321" s="305" t="s">
        <v>512</v>
      </c>
      <c r="CE321" s="904"/>
      <c r="CI321" s="305" t="s">
        <v>104</v>
      </c>
      <c r="CJ321" s="305" t="s">
        <v>105</v>
      </c>
      <c r="CK321" s="305" t="s">
        <v>106</v>
      </c>
      <c r="CL321" s="305" t="s">
        <v>512</v>
      </c>
      <c r="CM321" s="904"/>
      <c r="CQ321" s="305" t="s">
        <v>104</v>
      </c>
      <c r="CR321" s="305" t="s">
        <v>105</v>
      </c>
      <c r="CS321" s="305" t="s">
        <v>106</v>
      </c>
      <c r="CT321" s="305" t="s">
        <v>512</v>
      </c>
      <c r="CU321" s="904"/>
      <c r="CY321" s="305" t="s">
        <v>104</v>
      </c>
      <c r="CZ321" s="305" t="s">
        <v>105</v>
      </c>
      <c r="DA321" s="305" t="s">
        <v>106</v>
      </c>
      <c r="DB321" s="305" t="s">
        <v>512</v>
      </c>
      <c r="DC321" s="904"/>
      <c r="DG321" s="305" t="s">
        <v>104</v>
      </c>
      <c r="DH321" s="305" t="s">
        <v>105</v>
      </c>
      <c r="DI321" s="305" t="s">
        <v>106</v>
      </c>
      <c r="DJ321" s="305" t="s">
        <v>512</v>
      </c>
      <c r="DK321" s="904"/>
      <c r="DO321" s="305" t="s">
        <v>104</v>
      </c>
      <c r="DP321" s="305" t="s">
        <v>105</v>
      </c>
      <c r="DQ321" s="305" t="s">
        <v>106</v>
      </c>
      <c r="DR321" s="305" t="s">
        <v>512</v>
      </c>
      <c r="DS321" s="904"/>
      <c r="DW321" s="305" t="s">
        <v>104</v>
      </c>
      <c r="DX321" s="305" t="s">
        <v>105</v>
      </c>
      <c r="DY321" s="305" t="s">
        <v>106</v>
      </c>
      <c r="DZ321" s="305" t="s">
        <v>512</v>
      </c>
      <c r="EA321" s="904"/>
      <c r="EE321" s="305" t="s">
        <v>104</v>
      </c>
      <c r="EF321" s="305" t="s">
        <v>105</v>
      </c>
      <c r="EG321" s="305" t="s">
        <v>106</v>
      </c>
      <c r="EH321" s="305" t="s">
        <v>512</v>
      </c>
      <c r="EI321" s="904"/>
      <c r="EM321" s="305" t="s">
        <v>104</v>
      </c>
      <c r="EN321" s="305" t="s">
        <v>105</v>
      </c>
      <c r="EO321" s="305" t="s">
        <v>106</v>
      </c>
      <c r="EP321" s="305" t="s">
        <v>512</v>
      </c>
      <c r="EQ321" s="904"/>
      <c r="EU321" s="305" t="s">
        <v>104</v>
      </c>
      <c r="EV321" s="305" t="s">
        <v>105</v>
      </c>
      <c r="EW321" s="305" t="s">
        <v>106</v>
      </c>
      <c r="EX321" s="305" t="s">
        <v>512</v>
      </c>
      <c r="EY321" s="904"/>
      <c r="FC321" s="305" t="s">
        <v>104</v>
      </c>
      <c r="FD321" s="305" t="s">
        <v>105</v>
      </c>
      <c r="FE321" s="305" t="s">
        <v>106</v>
      </c>
      <c r="FF321" s="305" t="s">
        <v>512</v>
      </c>
      <c r="FG321" s="904"/>
      <c r="FK321" s="305" t="s">
        <v>104</v>
      </c>
      <c r="FL321" s="305" t="s">
        <v>105</v>
      </c>
      <c r="FM321" s="305" t="s">
        <v>106</v>
      </c>
      <c r="FN321" s="305" t="s">
        <v>512</v>
      </c>
      <c r="FO321" s="904"/>
    </row>
    <row r="322" spans="1:171" x14ac:dyDescent="0.25">
      <c r="A322" s="1344" t="s">
        <v>50</v>
      </c>
      <c r="B322" s="51"/>
      <c r="C322" s="1"/>
      <c r="D322" s="1"/>
      <c r="E322" s="1"/>
      <c r="F322" s="1"/>
      <c r="G322" s="924">
        <f>G260</f>
        <v>3229555827.293632</v>
      </c>
      <c r="H322" s="924">
        <f>H260</f>
        <v>2306462730.3009195</v>
      </c>
      <c r="I322" s="924">
        <f>I260</f>
        <v>0</v>
      </c>
      <c r="J322" s="1429">
        <f>J260</f>
        <v>923118347.54036522</v>
      </c>
      <c r="K322" s="904"/>
      <c r="O322" s="924">
        <f>O260</f>
        <v>3229555827.293632</v>
      </c>
      <c r="P322" s="924">
        <f>P260</f>
        <v>2306462730.3009195</v>
      </c>
      <c r="Q322" s="924">
        <f>Q260</f>
        <v>116461850.98615821</v>
      </c>
      <c r="R322" s="924">
        <f>R260</f>
        <v>806631246.00655472</v>
      </c>
      <c r="S322" s="904"/>
      <c r="W322" s="924">
        <f>W260</f>
        <v>3229555827.293632</v>
      </c>
      <c r="X322" s="924">
        <f>X260</f>
        <v>2306462730.3009195</v>
      </c>
      <c r="Y322" s="924">
        <f>Y260</f>
        <v>116461850.98615821</v>
      </c>
      <c r="Z322" s="924">
        <f>Z260</f>
        <v>806631246.00655472</v>
      </c>
      <c r="AA322" s="904"/>
      <c r="AE322" s="924">
        <f>AE260</f>
        <v>3229555827.293632</v>
      </c>
      <c r="AF322" s="924">
        <f>AF260</f>
        <v>2306462730.3009195</v>
      </c>
      <c r="AG322" s="924">
        <f>AG260</f>
        <v>116461850.98615821</v>
      </c>
      <c r="AH322" s="924">
        <f>AH260</f>
        <v>806631246.00655472</v>
      </c>
      <c r="AI322" s="904"/>
      <c r="AM322" s="924">
        <f>AM260</f>
        <v>3229555827.293632</v>
      </c>
      <c r="AN322" s="924">
        <f>AN260</f>
        <v>2306462730.3009195</v>
      </c>
      <c r="AO322" s="924">
        <f>AO260</f>
        <v>116461850.98615821</v>
      </c>
      <c r="AP322" s="924">
        <f>AP260</f>
        <v>806631246.00655472</v>
      </c>
      <c r="AQ322" s="904"/>
      <c r="AU322" s="924">
        <f>AU260</f>
        <v>3229555827.293632</v>
      </c>
      <c r="AV322" s="924">
        <f>AV260</f>
        <v>2306462730.3009195</v>
      </c>
      <c r="AW322" s="924">
        <f>AW260</f>
        <v>116461850.98615821</v>
      </c>
      <c r="AX322" s="924">
        <f>AX260</f>
        <v>806631246.00655472</v>
      </c>
      <c r="AY322" s="904"/>
      <c r="BC322" s="924">
        <f>BC260</f>
        <v>3229555827.293632</v>
      </c>
      <c r="BD322" s="924">
        <f>BD260</f>
        <v>2306462730.3009195</v>
      </c>
      <c r="BE322" s="924">
        <f>BE260</f>
        <v>116461850.98615821</v>
      </c>
      <c r="BF322" s="924">
        <f>BF260</f>
        <v>806631246.00655472</v>
      </c>
      <c r="BG322" s="904"/>
      <c r="BK322" s="924">
        <f>BK260</f>
        <v>3229555827.293632</v>
      </c>
      <c r="BL322" s="924">
        <f>BL260</f>
        <v>2306462730.3009195</v>
      </c>
      <c r="BM322" s="924">
        <f>BM260</f>
        <v>116461850.98615821</v>
      </c>
      <c r="BN322" s="924">
        <f>BN260</f>
        <v>806631246.00655472</v>
      </c>
      <c r="BO322" s="904"/>
      <c r="BS322" s="924">
        <f>BS260</f>
        <v>3229555827.293632</v>
      </c>
      <c r="BT322" s="924">
        <f>BT260</f>
        <v>2306462730.3009195</v>
      </c>
      <c r="BU322" s="924">
        <f>BU260</f>
        <v>116461850.98615821</v>
      </c>
      <c r="BV322" s="924">
        <f>BV260</f>
        <v>806631246.00655472</v>
      </c>
      <c r="BW322" s="904"/>
      <c r="CA322" s="924">
        <f>CA260</f>
        <v>3229555827.293632</v>
      </c>
      <c r="CB322" s="924">
        <f>CB260</f>
        <v>2306462730.3009195</v>
      </c>
      <c r="CC322" s="924">
        <f>CC260</f>
        <v>116461850.98615821</v>
      </c>
      <c r="CD322" s="924">
        <f>CD260</f>
        <v>806631246.00655472</v>
      </c>
      <c r="CE322" s="904"/>
      <c r="CI322" s="924">
        <f>CI260</f>
        <v>3229555827.293632</v>
      </c>
      <c r="CJ322" s="924">
        <f>CJ260</f>
        <v>2306462730.3009195</v>
      </c>
      <c r="CK322" s="924">
        <f>CK260</f>
        <v>116461850.98615821</v>
      </c>
      <c r="CL322" s="924">
        <f>CL260</f>
        <v>806631246.00655472</v>
      </c>
      <c r="CM322" s="904"/>
      <c r="CQ322" s="924">
        <f>CQ260</f>
        <v>3229555827.293632</v>
      </c>
      <c r="CR322" s="924">
        <f>CR260</f>
        <v>2306462730.3009195</v>
      </c>
      <c r="CS322" s="924">
        <f>CS260</f>
        <v>116461850.98615821</v>
      </c>
      <c r="CT322" s="924">
        <f>CT260</f>
        <v>806631246.00655472</v>
      </c>
      <c r="CU322" s="904"/>
      <c r="CY322" s="924">
        <f>CY260</f>
        <v>3229555827.293632</v>
      </c>
      <c r="CZ322" s="924">
        <f>CZ260</f>
        <v>2306462730.3009195</v>
      </c>
      <c r="DA322" s="924">
        <f>DA260</f>
        <v>116461850.98615821</v>
      </c>
      <c r="DB322" s="924">
        <f>DB260</f>
        <v>806631246.00655472</v>
      </c>
      <c r="DC322" s="904"/>
      <c r="DG322" s="924">
        <f>DG260</f>
        <v>3229555827.293632</v>
      </c>
      <c r="DH322" s="924">
        <f>DH260</f>
        <v>2306462730.3009195</v>
      </c>
      <c r="DI322" s="924">
        <f>DI260</f>
        <v>116461850.98615821</v>
      </c>
      <c r="DJ322" s="924">
        <f>DJ260</f>
        <v>806631246.00655472</v>
      </c>
      <c r="DK322" s="904"/>
      <c r="DO322" s="924">
        <f>DO260</f>
        <v>3229555827.293632</v>
      </c>
      <c r="DP322" s="924">
        <f>DP260</f>
        <v>2306462730.3009195</v>
      </c>
      <c r="DQ322" s="924">
        <f>DQ260</f>
        <v>116461850.98615821</v>
      </c>
      <c r="DR322" s="924">
        <f>DR260</f>
        <v>806631246.00655472</v>
      </c>
      <c r="DS322" s="904"/>
      <c r="DW322" s="924">
        <f>DW260</f>
        <v>3229555827.293632</v>
      </c>
      <c r="DX322" s="924">
        <f>DX260</f>
        <v>2306462730.3009195</v>
      </c>
      <c r="DY322" s="924">
        <f>DY260</f>
        <v>116461850.98615821</v>
      </c>
      <c r="DZ322" s="924">
        <f>DZ260</f>
        <v>806631246.00655472</v>
      </c>
      <c r="EA322" s="904"/>
      <c r="EE322" s="924">
        <f>EE260</f>
        <v>3229555827.293632</v>
      </c>
      <c r="EF322" s="924">
        <f>EF260</f>
        <v>2306462730.3009195</v>
      </c>
      <c r="EG322" s="924">
        <f>EG260</f>
        <v>116461850.98615821</v>
      </c>
      <c r="EH322" s="924">
        <f>EH260</f>
        <v>806631246.00655472</v>
      </c>
      <c r="EI322" s="904"/>
      <c r="EM322" s="924">
        <f>EM260</f>
        <v>3229555827.293632</v>
      </c>
      <c r="EN322" s="924">
        <f>EN260</f>
        <v>2306462730.3009195</v>
      </c>
      <c r="EO322" s="924">
        <f>EO260</f>
        <v>116461850.98615821</v>
      </c>
      <c r="EP322" s="924">
        <f>EP260</f>
        <v>806631246.00655472</v>
      </c>
      <c r="EQ322" s="904"/>
      <c r="EU322" s="924">
        <f>EU260</f>
        <v>3229555827.293632</v>
      </c>
      <c r="EV322" s="924">
        <f>EV260</f>
        <v>2306462730.3009195</v>
      </c>
      <c r="EW322" s="924">
        <f>EW260</f>
        <v>116461850.98615821</v>
      </c>
      <c r="EX322" s="924">
        <f>EX260</f>
        <v>806631246.00655472</v>
      </c>
      <c r="EY322" s="904"/>
      <c r="FC322" s="924">
        <f>FC260</f>
        <v>3229555827.293632</v>
      </c>
      <c r="FD322" s="924">
        <f>FD260</f>
        <v>2306462730.3009195</v>
      </c>
      <c r="FE322" s="924">
        <f>FE260</f>
        <v>116461850.98615821</v>
      </c>
      <c r="FF322" s="924">
        <f>FF260</f>
        <v>806631246.00655472</v>
      </c>
      <c r="FG322" s="904"/>
      <c r="FK322" s="924">
        <f>FK260</f>
        <v>3229555827.293632</v>
      </c>
      <c r="FL322" s="924">
        <f>FL260</f>
        <v>2306462730.3009195</v>
      </c>
      <c r="FM322" s="924">
        <f>FM260</f>
        <v>116461850.98615821</v>
      </c>
      <c r="FN322" s="924">
        <f>FN260</f>
        <v>806631246.00655472</v>
      </c>
      <c r="FO322" s="904"/>
    </row>
    <row r="323" spans="1:171" x14ac:dyDescent="0.25">
      <c r="A323" s="1428" t="s">
        <v>68</v>
      </c>
      <c r="B323" s="51"/>
      <c r="C323" s="1"/>
      <c r="D323" s="1"/>
      <c r="E323" s="1"/>
      <c r="F323" s="1"/>
      <c r="G323" s="221"/>
      <c r="H323" s="221"/>
      <c r="I323" s="221"/>
      <c r="J323" s="1426"/>
      <c r="K323" s="904"/>
      <c r="O323" s="221"/>
      <c r="P323" s="221"/>
      <c r="Q323" s="221"/>
      <c r="R323" s="1052"/>
      <c r="S323" s="904"/>
      <c r="W323" s="221"/>
      <c r="X323" s="221"/>
      <c r="Y323" s="221"/>
      <c r="Z323" s="1052"/>
      <c r="AA323" s="904"/>
      <c r="AE323" s="221"/>
      <c r="AF323" s="221"/>
      <c r="AG323" s="221"/>
      <c r="AH323" s="1052"/>
      <c r="AI323" s="904"/>
      <c r="AM323" s="221"/>
      <c r="AN323" s="221"/>
      <c r="AO323" s="221"/>
      <c r="AP323" s="1052"/>
      <c r="AQ323" s="904"/>
      <c r="AU323" s="221"/>
      <c r="AV323" s="221"/>
      <c r="AW323" s="221"/>
      <c r="AX323" s="1052"/>
      <c r="AY323" s="904"/>
      <c r="BC323" s="221"/>
      <c r="BD323" s="221"/>
      <c r="BE323" s="221"/>
      <c r="BF323" s="1052"/>
      <c r="BG323" s="904"/>
      <c r="BK323" s="221"/>
      <c r="BL323" s="221"/>
      <c r="BM323" s="221"/>
      <c r="BN323" s="1052"/>
      <c r="BO323" s="904"/>
      <c r="BS323" s="221"/>
      <c r="BT323" s="221"/>
      <c r="BU323" s="221"/>
      <c r="BV323" s="1052"/>
      <c r="BW323" s="904"/>
      <c r="CA323" s="221"/>
      <c r="CB323" s="221"/>
      <c r="CC323" s="221"/>
      <c r="CD323" s="1052"/>
      <c r="CE323" s="904"/>
      <c r="CI323" s="221"/>
      <c r="CJ323" s="221"/>
      <c r="CK323" s="221"/>
      <c r="CL323" s="1052"/>
      <c r="CM323" s="904"/>
      <c r="CQ323" s="221"/>
      <c r="CR323" s="221"/>
      <c r="CS323" s="221"/>
      <c r="CT323" s="1052"/>
      <c r="CU323" s="904"/>
      <c r="CY323" s="221"/>
      <c r="CZ323" s="221"/>
      <c r="DA323" s="221"/>
      <c r="DB323" s="1052"/>
      <c r="DC323" s="904"/>
      <c r="DG323" s="221"/>
      <c r="DH323" s="221"/>
      <c r="DI323" s="221"/>
      <c r="DJ323" s="1052"/>
      <c r="DK323" s="904"/>
      <c r="DO323" s="221"/>
      <c r="DP323" s="221"/>
      <c r="DQ323" s="221"/>
      <c r="DR323" s="1052"/>
      <c r="DS323" s="904"/>
      <c r="DW323" s="221"/>
      <c r="DX323" s="221"/>
      <c r="DY323" s="221"/>
      <c r="DZ323" s="1052"/>
      <c r="EA323" s="904"/>
      <c r="EE323" s="221"/>
      <c r="EF323" s="221"/>
      <c r="EG323" s="221"/>
      <c r="EH323" s="1052"/>
      <c r="EI323" s="904"/>
      <c r="EM323" s="221"/>
      <c r="EN323" s="221"/>
      <c r="EO323" s="221"/>
      <c r="EP323" s="1052"/>
      <c r="EQ323" s="904"/>
      <c r="EU323" s="221"/>
      <c r="EV323" s="221"/>
      <c r="EW323" s="221"/>
      <c r="EX323" s="1052"/>
      <c r="EY323" s="904"/>
      <c r="FC323" s="221"/>
      <c r="FD323" s="221"/>
      <c r="FE323" s="221"/>
      <c r="FF323" s="1052"/>
      <c r="FG323" s="904"/>
      <c r="FK323" s="221"/>
      <c r="FL323" s="221"/>
      <c r="FM323" s="221"/>
      <c r="FN323" s="1052"/>
      <c r="FO323" s="904"/>
    </row>
    <row r="324" spans="1:171" x14ac:dyDescent="0.25">
      <c r="A324" s="1428"/>
      <c r="B324" s="51"/>
      <c r="C324" s="1"/>
      <c r="D324" s="1"/>
      <c r="E324" s="1"/>
      <c r="F324" s="1"/>
      <c r="G324" s="221"/>
      <c r="H324" s="221"/>
      <c r="I324" s="221"/>
      <c r="J324" s="1426"/>
      <c r="K324" s="904"/>
      <c r="O324" s="221"/>
      <c r="P324" s="221"/>
      <c r="Q324" s="221"/>
      <c r="R324" s="1052"/>
      <c r="S324" s="904"/>
      <c r="W324" s="221"/>
      <c r="X324" s="221"/>
      <c r="Y324" s="221"/>
      <c r="Z324" s="1052"/>
      <c r="AA324" s="904"/>
      <c r="AE324" s="221"/>
      <c r="AF324" s="221"/>
      <c r="AG324" s="221"/>
      <c r="AH324" s="1052"/>
      <c r="AI324" s="904"/>
      <c r="AM324" s="221"/>
      <c r="AN324" s="221"/>
      <c r="AO324" s="221"/>
      <c r="AP324" s="1052"/>
      <c r="AQ324" s="904"/>
      <c r="AU324" s="221"/>
      <c r="AV324" s="221"/>
      <c r="AW324" s="221"/>
      <c r="AX324" s="1052"/>
      <c r="AY324" s="904"/>
      <c r="BC324" s="221"/>
      <c r="BD324" s="221"/>
      <c r="BE324" s="221"/>
      <c r="BF324" s="1052"/>
      <c r="BG324" s="904"/>
      <c r="BK324" s="221"/>
      <c r="BL324" s="221"/>
      <c r="BM324" s="221"/>
      <c r="BN324" s="1052"/>
      <c r="BO324" s="904"/>
      <c r="BS324" s="221"/>
      <c r="BT324" s="221"/>
      <c r="BU324" s="221"/>
      <c r="BV324" s="1052"/>
      <c r="BW324" s="904"/>
      <c r="CA324" s="221"/>
      <c r="CB324" s="221"/>
      <c r="CC324" s="221"/>
      <c r="CD324" s="1052"/>
      <c r="CE324" s="904"/>
      <c r="CI324" s="221"/>
      <c r="CJ324" s="221"/>
      <c r="CK324" s="221"/>
      <c r="CL324" s="1052"/>
      <c r="CM324" s="904"/>
      <c r="CQ324" s="221"/>
      <c r="CR324" s="221"/>
      <c r="CS324" s="221"/>
      <c r="CT324" s="1052"/>
      <c r="CU324" s="904"/>
      <c r="CY324" s="221"/>
      <c r="CZ324" s="221"/>
      <c r="DA324" s="221"/>
      <c r="DB324" s="1052"/>
      <c r="DC324" s="904"/>
      <c r="DG324" s="221"/>
      <c r="DH324" s="221"/>
      <c r="DI324" s="221"/>
      <c r="DJ324" s="1052"/>
      <c r="DK324" s="904"/>
      <c r="DO324" s="221"/>
      <c r="DP324" s="221"/>
      <c r="DQ324" s="221"/>
      <c r="DR324" s="1052"/>
      <c r="DS324" s="904"/>
      <c r="DW324" s="221"/>
      <c r="DX324" s="221"/>
      <c r="DY324" s="221"/>
      <c r="DZ324" s="1052"/>
      <c r="EA324" s="904"/>
      <c r="EE324" s="221"/>
      <c r="EF324" s="221"/>
      <c r="EG324" s="221"/>
      <c r="EH324" s="1052"/>
      <c r="EI324" s="904"/>
      <c r="EM324" s="221"/>
      <c r="EN324" s="221"/>
      <c r="EO324" s="221"/>
      <c r="EP324" s="1052"/>
      <c r="EQ324" s="904"/>
      <c r="EU324" s="221"/>
      <c r="EV324" s="221"/>
      <c r="EW324" s="221"/>
      <c r="EX324" s="1052"/>
      <c r="EY324" s="904"/>
      <c r="FC324" s="221"/>
      <c r="FD324" s="221"/>
      <c r="FE324" s="221"/>
      <c r="FF324" s="1052"/>
      <c r="FG324" s="904"/>
      <c r="FK324" s="221"/>
      <c r="FL324" s="221"/>
      <c r="FM324" s="221"/>
      <c r="FN324" s="1052"/>
      <c r="FO324" s="904"/>
    </row>
    <row r="325" spans="1:171" x14ac:dyDescent="0.25">
      <c r="A325" s="1344" t="s">
        <v>141</v>
      </c>
      <c r="B325" s="51"/>
      <c r="C325" s="1"/>
      <c r="D325" s="1"/>
      <c r="E325" s="1"/>
      <c r="F325" s="1"/>
      <c r="G325" s="924">
        <f>G167</f>
        <v>835755641.72235751</v>
      </c>
      <c r="H325" s="924">
        <f>H167</f>
        <v>341699295.91574723</v>
      </c>
      <c r="I325" s="924">
        <f>I167</f>
        <v>2011425.3370538021</v>
      </c>
      <c r="J325" s="1429">
        <f>J167</f>
        <v>491959942.95840907</v>
      </c>
      <c r="K325" s="904"/>
      <c r="O325" s="924">
        <f>O167</f>
        <v>835755641.72235751</v>
      </c>
      <c r="P325" s="924">
        <f>P167</f>
        <v>342393320.3549065</v>
      </c>
      <c r="Q325" s="924">
        <f>Q167</f>
        <v>222960308.39841032</v>
      </c>
      <c r="R325" s="924">
        <f>R167</f>
        <v>270402012.96904063</v>
      </c>
      <c r="S325" s="904"/>
      <c r="W325" s="924">
        <f>W167</f>
        <v>835755641.72235751</v>
      </c>
      <c r="X325" s="924">
        <f>X167</f>
        <v>342393320.3549065</v>
      </c>
      <c r="Y325" s="924">
        <f>Y167</f>
        <v>222960308.39841032</v>
      </c>
      <c r="Z325" s="924">
        <f>Z167</f>
        <v>270402012.96904063</v>
      </c>
      <c r="AA325" s="904"/>
      <c r="AE325" s="924">
        <f>AE167</f>
        <v>835755641.72235751</v>
      </c>
      <c r="AF325" s="924">
        <f>AF167</f>
        <v>342393320.3549065</v>
      </c>
      <c r="AG325" s="924">
        <f>AG167</f>
        <v>222960308.39841032</v>
      </c>
      <c r="AH325" s="924">
        <f>AH167</f>
        <v>270402012.96904063</v>
      </c>
      <c r="AI325" s="904"/>
      <c r="AM325" s="924">
        <f>AM167</f>
        <v>835755641.72235751</v>
      </c>
      <c r="AN325" s="924">
        <f>AN167</f>
        <v>342393320.3549065</v>
      </c>
      <c r="AO325" s="924">
        <f>AO167</f>
        <v>222960308.39841032</v>
      </c>
      <c r="AP325" s="924">
        <f>AP167</f>
        <v>270402012.96904063</v>
      </c>
      <c r="AQ325" s="904"/>
      <c r="AU325" s="924">
        <f>AU167</f>
        <v>835755641.72235751</v>
      </c>
      <c r="AV325" s="924">
        <f>AV167</f>
        <v>342393320.3549065</v>
      </c>
      <c r="AW325" s="924">
        <f>AW167</f>
        <v>222960308.39841032</v>
      </c>
      <c r="AX325" s="924">
        <f>AX167</f>
        <v>270402012.96904063</v>
      </c>
      <c r="AY325" s="904"/>
      <c r="BC325" s="924">
        <f>BC167</f>
        <v>835755641.72235751</v>
      </c>
      <c r="BD325" s="924">
        <f>BD167</f>
        <v>342393320.3549065</v>
      </c>
      <c r="BE325" s="924">
        <f>BE167</f>
        <v>222960308.39841032</v>
      </c>
      <c r="BF325" s="924">
        <f>BF167</f>
        <v>270402012.96904063</v>
      </c>
      <c r="BG325" s="904"/>
      <c r="BK325" s="924">
        <f>BK167</f>
        <v>835755641.72235751</v>
      </c>
      <c r="BL325" s="924">
        <f>BL167</f>
        <v>342393320.3549065</v>
      </c>
      <c r="BM325" s="924">
        <f>BM167</f>
        <v>222960308.39841032</v>
      </c>
      <c r="BN325" s="924">
        <f>BN167</f>
        <v>270402012.96904063</v>
      </c>
      <c r="BO325" s="904"/>
      <c r="BS325" s="924">
        <f>BS167</f>
        <v>835755641.72235751</v>
      </c>
      <c r="BT325" s="924">
        <f>BT167</f>
        <v>342393320.3549065</v>
      </c>
      <c r="BU325" s="924">
        <f>BU167</f>
        <v>222960308.39841032</v>
      </c>
      <c r="BV325" s="924">
        <f>BV167</f>
        <v>270402012.96904063</v>
      </c>
      <c r="BW325" s="904"/>
      <c r="CA325" s="924">
        <f>CA167</f>
        <v>835755641.72235751</v>
      </c>
      <c r="CB325" s="924">
        <f>CB167</f>
        <v>342393320.3549065</v>
      </c>
      <c r="CC325" s="924">
        <f>CC167</f>
        <v>222960308.39841032</v>
      </c>
      <c r="CD325" s="924">
        <f>CD167</f>
        <v>270402012.96904063</v>
      </c>
      <c r="CE325" s="904"/>
      <c r="CI325" s="924">
        <f>CI167</f>
        <v>835755641.72235751</v>
      </c>
      <c r="CJ325" s="924">
        <f>CJ167</f>
        <v>342393320.3549065</v>
      </c>
      <c r="CK325" s="924">
        <f>CK167</f>
        <v>222960308.39841032</v>
      </c>
      <c r="CL325" s="924">
        <f>CL167</f>
        <v>270402012.96904063</v>
      </c>
      <c r="CM325" s="904"/>
      <c r="CQ325" s="924">
        <f>CQ167</f>
        <v>835755641.72235751</v>
      </c>
      <c r="CR325" s="924">
        <f>CR167</f>
        <v>342393320.3549065</v>
      </c>
      <c r="CS325" s="924">
        <f>CS167</f>
        <v>222960308.39841032</v>
      </c>
      <c r="CT325" s="924">
        <f>CT167</f>
        <v>270402012.96904063</v>
      </c>
      <c r="CU325" s="904"/>
      <c r="CY325" s="924">
        <f>CY167</f>
        <v>835755641.72235751</v>
      </c>
      <c r="CZ325" s="924">
        <f>CZ167</f>
        <v>342393320.3549065</v>
      </c>
      <c r="DA325" s="924">
        <f>DA167</f>
        <v>222960308.39841032</v>
      </c>
      <c r="DB325" s="924">
        <f>DB167</f>
        <v>270402012.96904063</v>
      </c>
      <c r="DC325" s="904"/>
      <c r="DG325" s="924">
        <f>DG167</f>
        <v>835755641.72235751</v>
      </c>
      <c r="DH325" s="924">
        <f>DH167</f>
        <v>342393320.3549065</v>
      </c>
      <c r="DI325" s="924">
        <f>DI167</f>
        <v>222960308.39841032</v>
      </c>
      <c r="DJ325" s="924">
        <f>DJ167</f>
        <v>270402012.96904063</v>
      </c>
      <c r="DK325" s="904"/>
      <c r="DO325" s="924">
        <f>DO167</f>
        <v>835755641.72235751</v>
      </c>
      <c r="DP325" s="924">
        <f>DP167</f>
        <v>342393320.3549065</v>
      </c>
      <c r="DQ325" s="924">
        <f>DQ167</f>
        <v>222960308.39841032</v>
      </c>
      <c r="DR325" s="924">
        <f>DR167</f>
        <v>270402012.96904063</v>
      </c>
      <c r="DS325" s="904"/>
      <c r="DW325" s="924">
        <f>DW167</f>
        <v>835755641.72235751</v>
      </c>
      <c r="DX325" s="924">
        <f>DX167</f>
        <v>342393320.3549065</v>
      </c>
      <c r="DY325" s="924">
        <f>DY167</f>
        <v>222960308.39841032</v>
      </c>
      <c r="DZ325" s="924">
        <f>DZ167</f>
        <v>270402012.96904063</v>
      </c>
      <c r="EA325" s="904"/>
      <c r="EE325" s="924">
        <f>EE167</f>
        <v>835755641.72235751</v>
      </c>
      <c r="EF325" s="924">
        <f>EF167</f>
        <v>342393320.3549065</v>
      </c>
      <c r="EG325" s="924">
        <f>EG167</f>
        <v>222960308.39841032</v>
      </c>
      <c r="EH325" s="924">
        <f>EH167</f>
        <v>270402012.96904063</v>
      </c>
      <c r="EI325" s="904"/>
      <c r="EM325" s="924">
        <f>EM167</f>
        <v>835755641.72235751</v>
      </c>
      <c r="EN325" s="924">
        <f>EN167</f>
        <v>342393320.3549065</v>
      </c>
      <c r="EO325" s="924">
        <f>EO167</f>
        <v>222960308.39841032</v>
      </c>
      <c r="EP325" s="924">
        <f>EP167</f>
        <v>270402012.96904063</v>
      </c>
      <c r="EQ325" s="904"/>
      <c r="EU325" s="924">
        <f>EU167</f>
        <v>835755641.72235751</v>
      </c>
      <c r="EV325" s="924">
        <f>EV167</f>
        <v>342393320.3549065</v>
      </c>
      <c r="EW325" s="924">
        <f>EW167</f>
        <v>222960308.39841032</v>
      </c>
      <c r="EX325" s="924">
        <f>EX167</f>
        <v>270402012.96904063</v>
      </c>
      <c r="EY325" s="904"/>
      <c r="FC325" s="924">
        <f>FC167</f>
        <v>835755641.72235751</v>
      </c>
      <c r="FD325" s="924">
        <f>FD167</f>
        <v>342393320.3549065</v>
      </c>
      <c r="FE325" s="924">
        <f>FE167</f>
        <v>222960308.39841032</v>
      </c>
      <c r="FF325" s="924">
        <f>FF167</f>
        <v>270402012.96904063</v>
      </c>
      <c r="FG325" s="904"/>
      <c r="FK325" s="924">
        <f>FK167</f>
        <v>835755641.72235751</v>
      </c>
      <c r="FL325" s="924">
        <f>FL167</f>
        <v>342393320.3549065</v>
      </c>
      <c r="FM325" s="924">
        <f>FM167</f>
        <v>222960308.39841032</v>
      </c>
      <c r="FN325" s="924">
        <f>FN167</f>
        <v>270402012.96904063</v>
      </c>
      <c r="FO325" s="904"/>
    </row>
    <row r="326" spans="1:171" x14ac:dyDescent="0.25">
      <c r="A326" s="1428" t="s">
        <v>254</v>
      </c>
      <c r="B326" s="51"/>
      <c r="C326" s="1"/>
      <c r="D326" s="1"/>
      <c r="E326" s="1"/>
      <c r="F326" s="1"/>
      <c r="G326" s="221"/>
      <c r="H326" s="221"/>
      <c r="I326" s="221"/>
      <c r="J326" s="1426"/>
      <c r="K326" s="904"/>
      <c r="O326" s="221"/>
      <c r="P326" s="221"/>
      <c r="Q326" s="221"/>
      <c r="R326" s="1052"/>
      <c r="S326" s="904"/>
      <c r="W326" s="221"/>
      <c r="X326" s="221"/>
      <c r="Y326" s="221"/>
      <c r="Z326" s="1052"/>
      <c r="AA326" s="904"/>
      <c r="AE326" s="221"/>
      <c r="AF326" s="221"/>
      <c r="AG326" s="221"/>
      <c r="AH326" s="1052"/>
      <c r="AI326" s="904"/>
      <c r="AM326" s="221"/>
      <c r="AN326" s="221"/>
      <c r="AO326" s="221"/>
      <c r="AP326" s="1052"/>
      <c r="AQ326" s="904"/>
      <c r="AU326" s="221"/>
      <c r="AV326" s="221"/>
      <c r="AW326" s="221"/>
      <c r="AX326" s="1052"/>
      <c r="AY326" s="904"/>
      <c r="BC326" s="221"/>
      <c r="BD326" s="221"/>
      <c r="BE326" s="221"/>
      <c r="BF326" s="1052"/>
      <c r="BG326" s="904"/>
      <c r="BK326" s="221"/>
      <c r="BL326" s="221"/>
      <c r="BM326" s="221"/>
      <c r="BN326" s="1052"/>
      <c r="BO326" s="904"/>
      <c r="BS326" s="221"/>
      <c r="BT326" s="221"/>
      <c r="BU326" s="221"/>
      <c r="BV326" s="1052"/>
      <c r="BW326" s="904"/>
      <c r="CA326" s="221"/>
      <c r="CB326" s="221"/>
      <c r="CC326" s="221"/>
      <c r="CD326" s="1052"/>
      <c r="CE326" s="904"/>
      <c r="CI326" s="221"/>
      <c r="CJ326" s="221"/>
      <c r="CK326" s="221"/>
      <c r="CL326" s="1052"/>
      <c r="CM326" s="904"/>
      <c r="CQ326" s="221"/>
      <c r="CR326" s="221"/>
      <c r="CS326" s="221"/>
      <c r="CT326" s="1052"/>
      <c r="CU326" s="904"/>
      <c r="CY326" s="221"/>
      <c r="CZ326" s="221"/>
      <c r="DA326" s="221"/>
      <c r="DB326" s="1052"/>
      <c r="DC326" s="904"/>
      <c r="DG326" s="221"/>
      <c r="DH326" s="221"/>
      <c r="DI326" s="221"/>
      <c r="DJ326" s="1052"/>
      <c r="DK326" s="904"/>
      <c r="DO326" s="221"/>
      <c r="DP326" s="221"/>
      <c r="DQ326" s="221"/>
      <c r="DR326" s="1052"/>
      <c r="DS326" s="904"/>
      <c r="DW326" s="221"/>
      <c r="DX326" s="221"/>
      <c r="DY326" s="221"/>
      <c r="DZ326" s="1052"/>
      <c r="EA326" s="904"/>
      <c r="EE326" s="221"/>
      <c r="EF326" s="221"/>
      <c r="EG326" s="221"/>
      <c r="EH326" s="1052"/>
      <c r="EI326" s="904"/>
      <c r="EM326" s="221"/>
      <c r="EN326" s="221"/>
      <c r="EO326" s="221"/>
      <c r="EP326" s="1052"/>
      <c r="EQ326" s="904"/>
      <c r="EU326" s="221"/>
      <c r="EV326" s="221"/>
      <c r="EW326" s="221"/>
      <c r="EX326" s="1052"/>
      <c r="EY326" s="904"/>
      <c r="FC326" s="221"/>
      <c r="FD326" s="221"/>
      <c r="FE326" s="221"/>
      <c r="FF326" s="1052"/>
      <c r="FG326" s="904"/>
      <c r="FK326" s="221"/>
      <c r="FL326" s="221"/>
      <c r="FM326" s="221"/>
      <c r="FN326" s="1052"/>
      <c r="FO326" s="904"/>
    </row>
    <row r="327" spans="1:171" x14ac:dyDescent="0.25">
      <c r="A327" s="1428"/>
      <c r="B327" s="51"/>
      <c r="C327" s="1"/>
      <c r="D327" s="1"/>
      <c r="E327" s="1"/>
      <c r="F327" s="1"/>
      <c r="G327" s="221"/>
      <c r="H327" s="221"/>
      <c r="I327" s="221"/>
      <c r="J327" s="1426"/>
      <c r="K327" s="904"/>
      <c r="O327" s="221"/>
      <c r="P327" s="221"/>
      <c r="Q327" s="221"/>
      <c r="R327" s="1052"/>
      <c r="S327" s="904"/>
      <c r="W327" s="221"/>
      <c r="X327" s="221"/>
      <c r="Y327" s="221"/>
      <c r="Z327" s="1052"/>
      <c r="AA327" s="904"/>
      <c r="AE327" s="221"/>
      <c r="AF327" s="221"/>
      <c r="AG327" s="221"/>
      <c r="AH327" s="1052"/>
      <c r="AI327" s="904"/>
      <c r="AM327" s="221"/>
      <c r="AN327" s="221"/>
      <c r="AO327" s="221"/>
      <c r="AP327" s="1052"/>
      <c r="AQ327" s="904"/>
      <c r="AU327" s="221"/>
      <c r="AV327" s="221"/>
      <c r="AW327" s="221"/>
      <c r="AX327" s="1052"/>
      <c r="AY327" s="904"/>
      <c r="BC327" s="221"/>
      <c r="BD327" s="221"/>
      <c r="BE327" s="221"/>
      <c r="BF327" s="1052"/>
      <c r="BG327" s="904"/>
      <c r="BK327" s="221"/>
      <c r="BL327" s="221"/>
      <c r="BM327" s="221"/>
      <c r="BN327" s="1052"/>
      <c r="BO327" s="904"/>
      <c r="BS327" s="221"/>
      <c r="BT327" s="221"/>
      <c r="BU327" s="221"/>
      <c r="BV327" s="1052"/>
      <c r="BW327" s="904"/>
      <c r="CA327" s="221"/>
      <c r="CB327" s="221"/>
      <c r="CC327" s="221"/>
      <c r="CD327" s="1052"/>
      <c r="CE327" s="904"/>
      <c r="CI327" s="221"/>
      <c r="CJ327" s="221"/>
      <c r="CK327" s="221"/>
      <c r="CL327" s="1052"/>
      <c r="CM327" s="904"/>
      <c r="CQ327" s="221"/>
      <c r="CR327" s="221"/>
      <c r="CS327" s="221"/>
      <c r="CT327" s="1052"/>
      <c r="CU327" s="904"/>
      <c r="CY327" s="221"/>
      <c r="CZ327" s="221"/>
      <c r="DA327" s="221"/>
      <c r="DB327" s="1052"/>
      <c r="DC327" s="904"/>
      <c r="DG327" s="221"/>
      <c r="DH327" s="221"/>
      <c r="DI327" s="221"/>
      <c r="DJ327" s="1052"/>
      <c r="DK327" s="904"/>
      <c r="DO327" s="221"/>
      <c r="DP327" s="221"/>
      <c r="DQ327" s="221"/>
      <c r="DR327" s="1052"/>
      <c r="DS327" s="904"/>
      <c r="DW327" s="221"/>
      <c r="DX327" s="221"/>
      <c r="DY327" s="221"/>
      <c r="DZ327" s="1052"/>
      <c r="EA327" s="904"/>
      <c r="EE327" s="221"/>
      <c r="EF327" s="221"/>
      <c r="EG327" s="221"/>
      <c r="EH327" s="1052"/>
      <c r="EI327" s="904"/>
      <c r="EM327" s="221"/>
      <c r="EN327" s="221"/>
      <c r="EO327" s="221"/>
      <c r="EP327" s="1052"/>
      <c r="EQ327" s="904"/>
      <c r="EU327" s="221"/>
      <c r="EV327" s="221"/>
      <c r="EW327" s="221"/>
      <c r="EX327" s="1052"/>
      <c r="EY327" s="904"/>
      <c r="FC327" s="221"/>
      <c r="FD327" s="221"/>
      <c r="FE327" s="221"/>
      <c r="FF327" s="1052"/>
      <c r="FG327" s="904"/>
      <c r="FK327" s="221"/>
      <c r="FL327" s="221"/>
      <c r="FM327" s="221"/>
      <c r="FN327" s="1052"/>
      <c r="FO327" s="904"/>
    </row>
    <row r="328" spans="1:171" x14ac:dyDescent="0.25">
      <c r="A328" s="1344" t="s">
        <v>39</v>
      </c>
      <c r="B328" s="51"/>
      <c r="C328" s="1"/>
      <c r="D328" s="1"/>
      <c r="E328" s="1"/>
      <c r="F328" s="1"/>
      <c r="G328" s="924">
        <f>G283</f>
        <v>137802796.81183705</v>
      </c>
      <c r="H328" s="924">
        <f>H283</f>
        <v>35759725.361573324</v>
      </c>
      <c r="I328" s="924">
        <f>I283</f>
        <v>0</v>
      </c>
      <c r="J328" s="1429">
        <f>J283</f>
        <v>102049351.82938071</v>
      </c>
      <c r="K328" s="904"/>
      <c r="O328" s="924">
        <f>O283</f>
        <v>137802796.81183705</v>
      </c>
      <c r="P328" s="924">
        <f>P283</f>
        <v>35759725.361573324</v>
      </c>
      <c r="Q328" s="924">
        <f>Q283</f>
        <v>16434482.273588421</v>
      </c>
      <c r="R328" s="924">
        <f>R283</f>
        <v>85608589.176675305</v>
      </c>
      <c r="S328" s="904"/>
      <c r="W328" s="924">
        <f>W283</f>
        <v>137802796.81183705</v>
      </c>
      <c r="X328" s="924">
        <f>X283</f>
        <v>35759725.361573324</v>
      </c>
      <c r="Y328" s="924">
        <f>Y283</f>
        <v>16434482.273588421</v>
      </c>
      <c r="Z328" s="924">
        <f>Z283</f>
        <v>85608589.176675305</v>
      </c>
      <c r="AA328" s="904"/>
      <c r="AE328" s="924">
        <f>AE283</f>
        <v>137802796.81183705</v>
      </c>
      <c r="AF328" s="924">
        <f>AF283</f>
        <v>35759725.361573324</v>
      </c>
      <c r="AG328" s="924">
        <f>AG283</f>
        <v>16434482.273588421</v>
      </c>
      <c r="AH328" s="924">
        <f>AH283</f>
        <v>85608589.176675305</v>
      </c>
      <c r="AI328" s="904"/>
      <c r="AM328" s="924">
        <f>AM283</f>
        <v>137802796.81183705</v>
      </c>
      <c r="AN328" s="924">
        <f>AN283</f>
        <v>35759725.361573324</v>
      </c>
      <c r="AO328" s="924">
        <f>AO283</f>
        <v>16434482.273588421</v>
      </c>
      <c r="AP328" s="924">
        <f>AP283</f>
        <v>85608589.176675305</v>
      </c>
      <c r="AQ328" s="904"/>
      <c r="AU328" s="924">
        <f>AU283</f>
        <v>137802796.81183705</v>
      </c>
      <c r="AV328" s="924">
        <f>AV283</f>
        <v>35759725.361573324</v>
      </c>
      <c r="AW328" s="924">
        <f>AW283</f>
        <v>16434482.273588421</v>
      </c>
      <c r="AX328" s="924">
        <f>AX283</f>
        <v>85608589.176675305</v>
      </c>
      <c r="AY328" s="904"/>
      <c r="BC328" s="924">
        <f>BC283</f>
        <v>137802796.81183705</v>
      </c>
      <c r="BD328" s="924">
        <f>BD283</f>
        <v>35759725.361573324</v>
      </c>
      <c r="BE328" s="924">
        <f>BE283</f>
        <v>16434482.273588421</v>
      </c>
      <c r="BF328" s="924">
        <f>BF283</f>
        <v>85608589.176675305</v>
      </c>
      <c r="BG328" s="904"/>
      <c r="BK328" s="924">
        <f>BK283</f>
        <v>137802796.81183705</v>
      </c>
      <c r="BL328" s="924">
        <f>BL283</f>
        <v>35759725.361573324</v>
      </c>
      <c r="BM328" s="924">
        <f>BM283</f>
        <v>16434482.273588421</v>
      </c>
      <c r="BN328" s="924">
        <f>BN283</f>
        <v>85608589.176675305</v>
      </c>
      <c r="BO328" s="904"/>
      <c r="BS328" s="924">
        <f>BS283</f>
        <v>137802796.81183705</v>
      </c>
      <c r="BT328" s="924">
        <f>BT283</f>
        <v>35759725.361573324</v>
      </c>
      <c r="BU328" s="924">
        <f>BU283</f>
        <v>16434482.273588421</v>
      </c>
      <c r="BV328" s="924">
        <f>BV283</f>
        <v>85608589.176675305</v>
      </c>
      <c r="BW328" s="904"/>
      <c r="CA328" s="924">
        <f>CA283</f>
        <v>137802796.81183705</v>
      </c>
      <c r="CB328" s="924">
        <f>CB283</f>
        <v>35759725.361573324</v>
      </c>
      <c r="CC328" s="924">
        <f>CC283</f>
        <v>16434482.273588421</v>
      </c>
      <c r="CD328" s="924">
        <f>CD283</f>
        <v>85608589.176675305</v>
      </c>
      <c r="CE328" s="904"/>
      <c r="CI328" s="924">
        <f>CI283</f>
        <v>137802796.81183705</v>
      </c>
      <c r="CJ328" s="924">
        <f>CJ283</f>
        <v>35759725.361573324</v>
      </c>
      <c r="CK328" s="924">
        <f>CK283</f>
        <v>16434482.273588421</v>
      </c>
      <c r="CL328" s="924">
        <f>CL283</f>
        <v>85608589.176675305</v>
      </c>
      <c r="CM328" s="904"/>
      <c r="CQ328" s="924">
        <f>CQ283</f>
        <v>137802796.81183705</v>
      </c>
      <c r="CR328" s="924">
        <f>CR283</f>
        <v>35759725.361573324</v>
      </c>
      <c r="CS328" s="924">
        <f>CS283</f>
        <v>16434482.273588421</v>
      </c>
      <c r="CT328" s="924">
        <f>CT283</f>
        <v>85608589.176675305</v>
      </c>
      <c r="CU328" s="904"/>
      <c r="CY328" s="924">
        <f>CY283</f>
        <v>137802796.81183705</v>
      </c>
      <c r="CZ328" s="924">
        <f>CZ283</f>
        <v>35759725.361573324</v>
      </c>
      <c r="DA328" s="924">
        <f>DA283</f>
        <v>16434482.273588421</v>
      </c>
      <c r="DB328" s="924">
        <f>DB283</f>
        <v>85608589.176675305</v>
      </c>
      <c r="DC328" s="904"/>
      <c r="DG328" s="924">
        <f>DG283</f>
        <v>137802796.81183705</v>
      </c>
      <c r="DH328" s="924">
        <f>DH283</f>
        <v>35759725.361573324</v>
      </c>
      <c r="DI328" s="924">
        <f>DI283</f>
        <v>16434482.273588421</v>
      </c>
      <c r="DJ328" s="924">
        <f>DJ283</f>
        <v>85608589.176675305</v>
      </c>
      <c r="DK328" s="904"/>
      <c r="DO328" s="924">
        <f>DO283</f>
        <v>137802796.81183705</v>
      </c>
      <c r="DP328" s="924">
        <f>DP283</f>
        <v>35759725.361573324</v>
      </c>
      <c r="DQ328" s="924">
        <f>DQ283</f>
        <v>16434482.273588421</v>
      </c>
      <c r="DR328" s="924">
        <f>DR283</f>
        <v>85608589.176675305</v>
      </c>
      <c r="DS328" s="904"/>
      <c r="DW328" s="924">
        <f>DW283</f>
        <v>137802796.81183705</v>
      </c>
      <c r="DX328" s="924">
        <f>DX283</f>
        <v>35759725.361573324</v>
      </c>
      <c r="DY328" s="924">
        <f>DY283</f>
        <v>16434482.273588421</v>
      </c>
      <c r="DZ328" s="924">
        <f>DZ283</f>
        <v>85608589.176675305</v>
      </c>
      <c r="EA328" s="904"/>
      <c r="EE328" s="924">
        <f>EE283</f>
        <v>137802796.81183705</v>
      </c>
      <c r="EF328" s="924">
        <f>EF283</f>
        <v>35759725.361573324</v>
      </c>
      <c r="EG328" s="924">
        <f>EG283</f>
        <v>16434482.273588421</v>
      </c>
      <c r="EH328" s="924">
        <f>EH283</f>
        <v>85608589.176675305</v>
      </c>
      <c r="EI328" s="904"/>
      <c r="EM328" s="924">
        <f>EM283</f>
        <v>137802796.81183705</v>
      </c>
      <c r="EN328" s="924">
        <f>EN283</f>
        <v>35759725.361573324</v>
      </c>
      <c r="EO328" s="924">
        <f>EO283</f>
        <v>16434482.273588421</v>
      </c>
      <c r="EP328" s="924">
        <f>EP283</f>
        <v>85608589.176675305</v>
      </c>
      <c r="EQ328" s="904"/>
      <c r="EU328" s="924">
        <f>EU283</f>
        <v>137802796.81183705</v>
      </c>
      <c r="EV328" s="924">
        <f>EV283</f>
        <v>35759725.361573324</v>
      </c>
      <c r="EW328" s="924">
        <f>EW283</f>
        <v>16434482.273588421</v>
      </c>
      <c r="EX328" s="924">
        <f>EX283</f>
        <v>85608589.176675305</v>
      </c>
      <c r="EY328" s="904"/>
      <c r="FC328" s="924">
        <f>FC283</f>
        <v>137802796.81183705</v>
      </c>
      <c r="FD328" s="924">
        <f>FD283</f>
        <v>35759725.361573324</v>
      </c>
      <c r="FE328" s="924">
        <f>FE283</f>
        <v>16434482.273588421</v>
      </c>
      <c r="FF328" s="924">
        <f>FF283</f>
        <v>85608589.176675305</v>
      </c>
      <c r="FG328" s="904"/>
      <c r="FK328" s="924">
        <f>FK283</f>
        <v>137802796.81183705</v>
      </c>
      <c r="FL328" s="924">
        <f>FL283</f>
        <v>35759725.361573324</v>
      </c>
      <c r="FM328" s="924">
        <f>FM283</f>
        <v>16434482.273588421</v>
      </c>
      <c r="FN328" s="924">
        <f>FN283</f>
        <v>85608589.176675305</v>
      </c>
      <c r="FO328" s="904"/>
    </row>
    <row r="329" spans="1:171" x14ac:dyDescent="0.25">
      <c r="A329" s="1428" t="s">
        <v>161</v>
      </c>
      <c r="B329" s="51"/>
      <c r="C329" s="1"/>
      <c r="D329" s="1"/>
      <c r="E329" s="1"/>
      <c r="F329" s="1"/>
      <c r="G329" s="221"/>
      <c r="H329" s="221"/>
      <c r="I329" s="221"/>
      <c r="J329" s="1426"/>
      <c r="K329" s="904"/>
      <c r="O329" s="221"/>
      <c r="P329" s="221"/>
      <c r="Q329" s="221"/>
      <c r="R329" s="1052"/>
      <c r="S329" s="904"/>
      <c r="W329" s="221"/>
      <c r="X329" s="221"/>
      <c r="Y329" s="221"/>
      <c r="Z329" s="1052"/>
      <c r="AA329" s="904"/>
      <c r="AE329" s="221"/>
      <c r="AF329" s="221"/>
      <c r="AG329" s="221"/>
      <c r="AH329" s="1052"/>
      <c r="AI329" s="904"/>
      <c r="AM329" s="221"/>
      <c r="AN329" s="221"/>
      <c r="AO329" s="221"/>
      <c r="AP329" s="1052"/>
      <c r="AQ329" s="904"/>
      <c r="AU329" s="221"/>
      <c r="AV329" s="221"/>
      <c r="AW329" s="221"/>
      <c r="AX329" s="1052"/>
      <c r="AY329" s="904"/>
      <c r="BC329" s="221"/>
      <c r="BD329" s="221"/>
      <c r="BE329" s="221"/>
      <c r="BF329" s="1052"/>
      <c r="BG329" s="904"/>
      <c r="BK329" s="221"/>
      <c r="BL329" s="221"/>
      <c r="BM329" s="221"/>
      <c r="BN329" s="1052"/>
      <c r="BO329" s="904"/>
      <c r="BS329" s="221"/>
      <c r="BT329" s="221"/>
      <c r="BU329" s="221"/>
      <c r="BV329" s="1052"/>
      <c r="BW329" s="904"/>
      <c r="CA329" s="221"/>
      <c r="CB329" s="221"/>
      <c r="CC329" s="221"/>
      <c r="CD329" s="1052"/>
      <c r="CE329" s="904"/>
      <c r="CI329" s="221"/>
      <c r="CJ329" s="221"/>
      <c r="CK329" s="221"/>
      <c r="CL329" s="1052"/>
      <c r="CM329" s="904"/>
      <c r="CQ329" s="221"/>
      <c r="CR329" s="221"/>
      <c r="CS329" s="221"/>
      <c r="CT329" s="1052"/>
      <c r="CU329" s="904"/>
      <c r="CY329" s="221"/>
      <c r="CZ329" s="221"/>
      <c r="DA329" s="221"/>
      <c r="DB329" s="1052"/>
      <c r="DC329" s="904"/>
      <c r="DG329" s="221"/>
      <c r="DH329" s="221"/>
      <c r="DI329" s="221"/>
      <c r="DJ329" s="1052"/>
      <c r="DK329" s="904"/>
      <c r="DO329" s="221"/>
      <c r="DP329" s="221"/>
      <c r="DQ329" s="221"/>
      <c r="DR329" s="1052"/>
      <c r="DS329" s="904"/>
      <c r="DW329" s="221"/>
      <c r="DX329" s="221"/>
      <c r="DY329" s="221"/>
      <c r="DZ329" s="1052"/>
      <c r="EA329" s="904"/>
      <c r="EE329" s="221"/>
      <c r="EF329" s="221"/>
      <c r="EG329" s="221"/>
      <c r="EH329" s="1052"/>
      <c r="EI329" s="904"/>
      <c r="EM329" s="221"/>
      <c r="EN329" s="221"/>
      <c r="EO329" s="221"/>
      <c r="EP329" s="1052"/>
      <c r="EQ329" s="904"/>
      <c r="EU329" s="221"/>
      <c r="EV329" s="221"/>
      <c r="EW329" s="221"/>
      <c r="EX329" s="1052"/>
      <c r="EY329" s="904"/>
      <c r="FC329" s="221"/>
      <c r="FD329" s="221"/>
      <c r="FE329" s="221"/>
      <c r="FF329" s="1052"/>
      <c r="FG329" s="904"/>
      <c r="FK329" s="221"/>
      <c r="FL329" s="221"/>
      <c r="FM329" s="221"/>
      <c r="FN329" s="1052"/>
      <c r="FO329" s="904"/>
    </row>
    <row r="330" spans="1:171" x14ac:dyDescent="0.25">
      <c r="A330" s="1428"/>
      <c r="B330" s="51"/>
      <c r="C330" s="1"/>
      <c r="D330" s="1"/>
      <c r="E330" s="1"/>
      <c r="F330" s="1"/>
      <c r="G330" s="221"/>
      <c r="H330" s="221"/>
      <c r="I330" s="221"/>
      <c r="J330" s="1426"/>
      <c r="K330" s="904"/>
      <c r="O330" s="221"/>
      <c r="P330" s="221"/>
      <c r="Q330" s="221"/>
      <c r="R330" s="1052"/>
      <c r="S330" s="904"/>
      <c r="W330" s="221"/>
      <c r="X330" s="221"/>
      <c r="Y330" s="221"/>
      <c r="Z330" s="1052"/>
      <c r="AA330" s="904"/>
      <c r="AE330" s="221"/>
      <c r="AF330" s="221"/>
      <c r="AG330" s="221"/>
      <c r="AH330" s="1052"/>
      <c r="AI330" s="904"/>
      <c r="AM330" s="221"/>
      <c r="AN330" s="221"/>
      <c r="AO330" s="221"/>
      <c r="AP330" s="1052"/>
      <c r="AQ330" s="904"/>
      <c r="AU330" s="221"/>
      <c r="AV330" s="221"/>
      <c r="AW330" s="221"/>
      <c r="AX330" s="1052"/>
      <c r="AY330" s="904"/>
      <c r="BC330" s="221"/>
      <c r="BD330" s="221"/>
      <c r="BE330" s="221"/>
      <c r="BF330" s="1052"/>
      <c r="BG330" s="904"/>
      <c r="BK330" s="221"/>
      <c r="BL330" s="221"/>
      <c r="BM330" s="221"/>
      <c r="BN330" s="1052"/>
      <c r="BO330" s="904"/>
      <c r="BS330" s="221"/>
      <c r="BT330" s="221"/>
      <c r="BU330" s="221"/>
      <c r="BV330" s="1052"/>
      <c r="BW330" s="904"/>
      <c r="CA330" s="221"/>
      <c r="CB330" s="221"/>
      <c r="CC330" s="221"/>
      <c r="CD330" s="1052"/>
      <c r="CE330" s="904"/>
      <c r="CI330" s="221"/>
      <c r="CJ330" s="221"/>
      <c r="CK330" s="221"/>
      <c r="CL330" s="1052"/>
      <c r="CM330" s="904"/>
      <c r="CQ330" s="221"/>
      <c r="CR330" s="221"/>
      <c r="CS330" s="221"/>
      <c r="CT330" s="1052"/>
      <c r="CU330" s="904"/>
      <c r="CY330" s="221"/>
      <c r="CZ330" s="221"/>
      <c r="DA330" s="221"/>
      <c r="DB330" s="1052"/>
      <c r="DC330" s="904"/>
      <c r="DG330" s="221"/>
      <c r="DH330" s="221"/>
      <c r="DI330" s="221"/>
      <c r="DJ330" s="1052"/>
      <c r="DK330" s="904"/>
      <c r="DO330" s="221"/>
      <c r="DP330" s="221"/>
      <c r="DQ330" s="221"/>
      <c r="DR330" s="1052"/>
      <c r="DS330" s="904"/>
      <c r="DW330" s="221"/>
      <c r="DX330" s="221"/>
      <c r="DY330" s="221"/>
      <c r="DZ330" s="1052"/>
      <c r="EA330" s="904"/>
      <c r="EE330" s="221"/>
      <c r="EF330" s="221"/>
      <c r="EG330" s="221"/>
      <c r="EH330" s="1052"/>
      <c r="EI330" s="904"/>
      <c r="EM330" s="221"/>
      <c r="EN330" s="221"/>
      <c r="EO330" s="221"/>
      <c r="EP330" s="1052"/>
      <c r="EQ330" s="904"/>
      <c r="EU330" s="221"/>
      <c r="EV330" s="221"/>
      <c r="EW330" s="221"/>
      <c r="EX330" s="1052"/>
      <c r="EY330" s="904"/>
      <c r="FC330" s="221"/>
      <c r="FD330" s="221"/>
      <c r="FE330" s="221"/>
      <c r="FF330" s="1052"/>
      <c r="FG330" s="904"/>
      <c r="FK330" s="221"/>
      <c r="FL330" s="221"/>
      <c r="FM330" s="221"/>
      <c r="FN330" s="1052"/>
      <c r="FO330" s="904"/>
    </row>
    <row r="331" spans="1:171" x14ac:dyDescent="0.25">
      <c r="A331" s="1344" t="s">
        <v>49</v>
      </c>
      <c r="B331" s="51"/>
      <c r="C331" s="1"/>
      <c r="D331" s="1"/>
      <c r="E331" s="1"/>
      <c r="F331" s="1"/>
      <c r="G331" s="924">
        <f>G315</f>
        <v>176856701.06279904</v>
      </c>
      <c r="H331" s="924">
        <f>H315</f>
        <v>94786417.434177458</v>
      </c>
      <c r="I331" s="924">
        <f>I315</f>
        <v>0</v>
      </c>
      <c r="J331" s="1429">
        <f>J315</f>
        <v>82070283.628621608</v>
      </c>
      <c r="K331" s="904"/>
      <c r="O331" s="924">
        <f>O315</f>
        <v>176856701.06279904</v>
      </c>
      <c r="P331" s="924">
        <f>P315</f>
        <v>94786417.434177458</v>
      </c>
      <c r="Q331" s="924">
        <f>Q315</f>
        <v>68334874.915489465</v>
      </c>
      <c r="R331" s="924">
        <f>R315</f>
        <v>13735408.713132137</v>
      </c>
      <c r="S331" s="904"/>
      <c r="W331" s="924">
        <f>W315</f>
        <v>176856701.06279904</v>
      </c>
      <c r="X331" s="924">
        <f>X315</f>
        <v>94786417.434177458</v>
      </c>
      <c r="Y331" s="924">
        <f>Y315</f>
        <v>68334874.915489465</v>
      </c>
      <c r="Z331" s="924">
        <f>Z315</f>
        <v>13735408.713132137</v>
      </c>
      <c r="AA331" s="904"/>
      <c r="AE331" s="924">
        <f>AE315</f>
        <v>176856701.06279904</v>
      </c>
      <c r="AF331" s="924">
        <f>AF315</f>
        <v>94786417.434177458</v>
      </c>
      <c r="AG331" s="924">
        <f>AG315</f>
        <v>68334874.915489465</v>
      </c>
      <c r="AH331" s="924">
        <f>AH315</f>
        <v>13735408.713132137</v>
      </c>
      <c r="AI331" s="904"/>
      <c r="AM331" s="924">
        <f>AM315</f>
        <v>176856701.06279904</v>
      </c>
      <c r="AN331" s="924">
        <f>AN315</f>
        <v>94786417.434177458</v>
      </c>
      <c r="AO331" s="924">
        <f>AO315</f>
        <v>68334874.915489465</v>
      </c>
      <c r="AP331" s="924">
        <f>AP315</f>
        <v>13735408.713132137</v>
      </c>
      <c r="AQ331" s="904"/>
      <c r="AU331" s="924">
        <f>AU315</f>
        <v>176856701.06279904</v>
      </c>
      <c r="AV331" s="924">
        <f>AV315</f>
        <v>94786417.434177458</v>
      </c>
      <c r="AW331" s="924">
        <f>AW315</f>
        <v>68334874.915489465</v>
      </c>
      <c r="AX331" s="924">
        <f>AX315</f>
        <v>13735408.713132137</v>
      </c>
      <c r="AY331" s="904"/>
      <c r="BC331" s="924">
        <f>BC315</f>
        <v>176856701.06279904</v>
      </c>
      <c r="BD331" s="924">
        <f>BD315</f>
        <v>94786417.434177458</v>
      </c>
      <c r="BE331" s="924">
        <f>BE315</f>
        <v>68334874.915489465</v>
      </c>
      <c r="BF331" s="924">
        <f>BF315</f>
        <v>13735408.713132137</v>
      </c>
      <c r="BG331" s="904"/>
      <c r="BK331" s="924">
        <f>BK315</f>
        <v>176856701.06279904</v>
      </c>
      <c r="BL331" s="924">
        <f>BL315</f>
        <v>94786417.434177458</v>
      </c>
      <c r="BM331" s="924">
        <f>BM315</f>
        <v>68334874.915489465</v>
      </c>
      <c r="BN331" s="924">
        <f>BN315</f>
        <v>13735408.713132137</v>
      </c>
      <c r="BO331" s="904"/>
      <c r="BS331" s="924">
        <f>BS315</f>
        <v>176856701.06279904</v>
      </c>
      <c r="BT331" s="924">
        <f>BT315</f>
        <v>94786417.434177458</v>
      </c>
      <c r="BU331" s="924">
        <f>BU315</f>
        <v>68334874.915489465</v>
      </c>
      <c r="BV331" s="924">
        <f>BV315</f>
        <v>13735408.713132137</v>
      </c>
      <c r="BW331" s="904"/>
      <c r="CA331" s="924">
        <f>CA315</f>
        <v>176856701.06279904</v>
      </c>
      <c r="CB331" s="924">
        <f>CB315</f>
        <v>94786417.434177458</v>
      </c>
      <c r="CC331" s="924">
        <f>CC315</f>
        <v>68334874.915489465</v>
      </c>
      <c r="CD331" s="924">
        <f>CD315</f>
        <v>13735408.713132137</v>
      </c>
      <c r="CE331" s="904"/>
      <c r="CI331" s="924">
        <f>CI315</f>
        <v>176856701.06279904</v>
      </c>
      <c r="CJ331" s="924">
        <f>CJ315</f>
        <v>94786417.434177458</v>
      </c>
      <c r="CK331" s="924">
        <f>CK315</f>
        <v>68334874.915489465</v>
      </c>
      <c r="CL331" s="924">
        <f>CL315</f>
        <v>13735408.713132137</v>
      </c>
      <c r="CM331" s="904"/>
      <c r="CQ331" s="924">
        <f>CQ315</f>
        <v>176856701.06279904</v>
      </c>
      <c r="CR331" s="924">
        <f>CR315</f>
        <v>94786417.434177458</v>
      </c>
      <c r="CS331" s="924">
        <f>CS315</f>
        <v>68334874.915489465</v>
      </c>
      <c r="CT331" s="924">
        <f>CT315</f>
        <v>13735408.713132137</v>
      </c>
      <c r="CU331" s="904"/>
      <c r="CY331" s="924">
        <f>CY315</f>
        <v>176856701.06279904</v>
      </c>
      <c r="CZ331" s="924">
        <f>CZ315</f>
        <v>94786417.434177458</v>
      </c>
      <c r="DA331" s="924">
        <f>DA315</f>
        <v>68334874.915489465</v>
      </c>
      <c r="DB331" s="924">
        <f>DB315</f>
        <v>13735408.713132137</v>
      </c>
      <c r="DC331" s="904"/>
      <c r="DG331" s="924">
        <f>DG315</f>
        <v>176856701.06279904</v>
      </c>
      <c r="DH331" s="924">
        <f>DH315</f>
        <v>94786417.434177458</v>
      </c>
      <c r="DI331" s="924">
        <f>DI315</f>
        <v>68334874.915489465</v>
      </c>
      <c r="DJ331" s="924">
        <f>DJ315</f>
        <v>13735408.713132137</v>
      </c>
      <c r="DK331" s="904"/>
      <c r="DO331" s="924">
        <f>DO315</f>
        <v>176856701.06279904</v>
      </c>
      <c r="DP331" s="924">
        <f>DP315</f>
        <v>94786417.434177458</v>
      </c>
      <c r="DQ331" s="924">
        <f>DQ315</f>
        <v>68334874.915489465</v>
      </c>
      <c r="DR331" s="924">
        <f>DR315</f>
        <v>13735408.713132137</v>
      </c>
      <c r="DS331" s="904"/>
      <c r="DW331" s="924">
        <f>DW315</f>
        <v>176856701.06279904</v>
      </c>
      <c r="DX331" s="924">
        <f>DX315</f>
        <v>94786417.434177458</v>
      </c>
      <c r="DY331" s="924">
        <f>DY315</f>
        <v>68334874.915489465</v>
      </c>
      <c r="DZ331" s="924">
        <f>DZ315</f>
        <v>13735408.713132137</v>
      </c>
      <c r="EA331" s="904"/>
      <c r="EE331" s="924">
        <f>EE315</f>
        <v>176856701.06279904</v>
      </c>
      <c r="EF331" s="924">
        <f>EF315</f>
        <v>94786417.434177458</v>
      </c>
      <c r="EG331" s="924">
        <f>EG315</f>
        <v>68334874.915489465</v>
      </c>
      <c r="EH331" s="924">
        <f>EH315</f>
        <v>13735408.713132137</v>
      </c>
      <c r="EI331" s="904"/>
      <c r="EM331" s="924">
        <f>EM315</f>
        <v>176856701.06279904</v>
      </c>
      <c r="EN331" s="924">
        <f>EN315</f>
        <v>94786417.434177458</v>
      </c>
      <c r="EO331" s="924">
        <f>EO315</f>
        <v>68334874.915489465</v>
      </c>
      <c r="EP331" s="924">
        <f>EP315</f>
        <v>13735408.713132137</v>
      </c>
      <c r="EQ331" s="904"/>
      <c r="EU331" s="924">
        <f>EU315</f>
        <v>176856701.06279904</v>
      </c>
      <c r="EV331" s="924">
        <f>EV315</f>
        <v>94786417.434177458</v>
      </c>
      <c r="EW331" s="924">
        <f>EW315</f>
        <v>68334874.915489465</v>
      </c>
      <c r="EX331" s="924">
        <f>EX315</f>
        <v>13735408.713132137</v>
      </c>
      <c r="EY331" s="904"/>
      <c r="FC331" s="924">
        <f>FC315</f>
        <v>176856701.06279904</v>
      </c>
      <c r="FD331" s="924">
        <f>FD315</f>
        <v>94786417.434177458</v>
      </c>
      <c r="FE331" s="924">
        <f>FE315</f>
        <v>68334874.915489465</v>
      </c>
      <c r="FF331" s="924">
        <f>FF315</f>
        <v>13735408.713132137</v>
      </c>
      <c r="FG331" s="904"/>
      <c r="FK331" s="924">
        <f>FK315</f>
        <v>176856701.06279904</v>
      </c>
      <c r="FL331" s="924">
        <f>FL315</f>
        <v>94786417.434177458</v>
      </c>
      <c r="FM331" s="924">
        <f>FM315</f>
        <v>68334874.915489465</v>
      </c>
      <c r="FN331" s="924">
        <f>FN315</f>
        <v>13735408.713132137</v>
      </c>
      <c r="FO331" s="904"/>
    </row>
    <row r="332" spans="1:171" x14ac:dyDescent="0.25">
      <c r="A332" s="1428" t="s">
        <v>504</v>
      </c>
      <c r="B332" s="51"/>
      <c r="C332" s="1"/>
      <c r="D332" s="1"/>
      <c r="E332" s="1"/>
      <c r="F332" s="1"/>
      <c r="G332" s="221"/>
      <c r="H332" s="221"/>
      <c r="I332" s="221"/>
      <c r="J332" s="1426"/>
      <c r="K332" s="904"/>
      <c r="O332" s="221"/>
      <c r="P332" s="221"/>
      <c r="Q332" s="221"/>
      <c r="R332" s="1052"/>
      <c r="S332" s="904"/>
      <c r="W332" s="221"/>
      <c r="X332" s="221"/>
      <c r="Y332" s="221"/>
      <c r="Z332" s="1052"/>
      <c r="AA332" s="904"/>
      <c r="AE332" s="221"/>
      <c r="AF332" s="221"/>
      <c r="AG332" s="221"/>
      <c r="AH332" s="1052"/>
      <c r="AI332" s="904"/>
      <c r="AM332" s="221"/>
      <c r="AN332" s="221"/>
      <c r="AO332" s="221"/>
      <c r="AP332" s="1052"/>
      <c r="AQ332" s="904"/>
      <c r="AU332" s="221"/>
      <c r="AV332" s="221"/>
      <c r="AW332" s="221"/>
      <c r="AX332" s="1052"/>
      <c r="AY332" s="904"/>
      <c r="BC332" s="221"/>
      <c r="BD332" s="221"/>
      <c r="BE332" s="221"/>
      <c r="BF332" s="1052"/>
      <c r="BG332" s="904"/>
      <c r="BK332" s="221"/>
      <c r="BL332" s="221"/>
      <c r="BM332" s="221"/>
      <c r="BN332" s="1052"/>
      <c r="BO332" s="904"/>
      <c r="BS332" s="221"/>
      <c r="BT332" s="221"/>
      <c r="BU332" s="221"/>
      <c r="BV332" s="1052"/>
      <c r="BW332" s="904"/>
      <c r="CA332" s="221"/>
      <c r="CB332" s="221"/>
      <c r="CC332" s="221"/>
      <c r="CD332" s="1052"/>
      <c r="CE332" s="904"/>
      <c r="CI332" s="221"/>
      <c r="CJ332" s="221"/>
      <c r="CK332" s="221"/>
      <c r="CL332" s="1052"/>
      <c r="CM332" s="904"/>
      <c r="CQ332" s="221"/>
      <c r="CR332" s="221"/>
      <c r="CS332" s="221"/>
      <c r="CT332" s="1052"/>
      <c r="CU332" s="904"/>
      <c r="CY332" s="221"/>
      <c r="CZ332" s="221"/>
      <c r="DA332" s="221"/>
      <c r="DB332" s="1052"/>
      <c r="DC332" s="904"/>
      <c r="DG332" s="221"/>
      <c r="DH332" s="221"/>
      <c r="DI332" s="221"/>
      <c r="DJ332" s="1052"/>
      <c r="DK332" s="904"/>
      <c r="DO332" s="221"/>
      <c r="DP332" s="221"/>
      <c r="DQ332" s="221"/>
      <c r="DR332" s="1052"/>
      <c r="DS332" s="904"/>
      <c r="DW332" s="221"/>
      <c r="DX332" s="221"/>
      <c r="DY332" s="221"/>
      <c r="DZ332" s="1052"/>
      <c r="EA332" s="904"/>
      <c r="EE332" s="221"/>
      <c r="EF332" s="221"/>
      <c r="EG332" s="221"/>
      <c r="EH332" s="1052"/>
      <c r="EI332" s="904"/>
      <c r="EM332" s="221"/>
      <c r="EN332" s="221"/>
      <c r="EO332" s="221"/>
      <c r="EP332" s="1052"/>
      <c r="EQ332" s="904"/>
      <c r="EU332" s="221"/>
      <c r="EV332" s="221"/>
      <c r="EW332" s="221"/>
      <c r="EX332" s="1052"/>
      <c r="EY332" s="904"/>
      <c r="FC332" s="221"/>
      <c r="FD332" s="221"/>
      <c r="FE332" s="221"/>
      <c r="FF332" s="1052"/>
      <c r="FG332" s="904"/>
      <c r="FK332" s="221"/>
      <c r="FL332" s="221"/>
      <c r="FM332" s="221"/>
      <c r="FN332" s="1052"/>
      <c r="FO332" s="904"/>
    </row>
    <row r="333" spans="1:171" x14ac:dyDescent="0.25">
      <c r="A333" s="1428"/>
      <c r="B333" s="51"/>
      <c r="C333" s="1"/>
      <c r="D333" s="1"/>
      <c r="E333" s="1"/>
      <c r="F333" s="1"/>
      <c r="G333" s="221"/>
      <c r="H333" s="221"/>
      <c r="I333" s="221"/>
      <c r="J333" s="1426"/>
      <c r="K333" s="904"/>
      <c r="O333" s="221"/>
      <c r="P333" s="221"/>
      <c r="Q333" s="221"/>
      <c r="R333" s="1052"/>
      <c r="S333" s="904"/>
      <c r="W333" s="221"/>
      <c r="X333" s="221"/>
      <c r="Y333" s="221"/>
      <c r="Z333" s="1052"/>
      <c r="AA333" s="904"/>
      <c r="AE333" s="221"/>
      <c r="AF333" s="221"/>
      <c r="AG333" s="221"/>
      <c r="AH333" s="1052"/>
      <c r="AI333" s="904"/>
      <c r="AM333" s="221"/>
      <c r="AN333" s="221"/>
      <c r="AO333" s="221"/>
      <c r="AP333" s="1052"/>
      <c r="AQ333" s="904"/>
      <c r="AU333" s="221"/>
      <c r="AV333" s="221"/>
      <c r="AW333" s="221"/>
      <c r="AX333" s="1052"/>
      <c r="AY333" s="904"/>
      <c r="BC333" s="221"/>
      <c r="BD333" s="221"/>
      <c r="BE333" s="221"/>
      <c r="BF333" s="1052"/>
      <c r="BG333" s="904"/>
      <c r="BK333" s="221"/>
      <c r="BL333" s="221"/>
      <c r="BM333" s="221"/>
      <c r="BN333" s="1052"/>
      <c r="BO333" s="904"/>
      <c r="BS333" s="221"/>
      <c r="BT333" s="221"/>
      <c r="BU333" s="221"/>
      <c r="BV333" s="1052"/>
      <c r="BW333" s="904"/>
      <c r="CA333" s="221"/>
      <c r="CB333" s="221"/>
      <c r="CC333" s="221"/>
      <c r="CD333" s="1052"/>
      <c r="CE333" s="904"/>
      <c r="CI333" s="221"/>
      <c r="CJ333" s="221"/>
      <c r="CK333" s="221"/>
      <c r="CL333" s="1052"/>
      <c r="CM333" s="904"/>
      <c r="CQ333" s="221"/>
      <c r="CR333" s="221"/>
      <c r="CS333" s="221"/>
      <c r="CT333" s="1052"/>
      <c r="CU333" s="904"/>
      <c r="CY333" s="221"/>
      <c r="CZ333" s="221"/>
      <c r="DA333" s="221"/>
      <c r="DB333" s="1052"/>
      <c r="DC333" s="904"/>
      <c r="DG333" s="221"/>
      <c r="DH333" s="221"/>
      <c r="DI333" s="221"/>
      <c r="DJ333" s="1052"/>
      <c r="DK333" s="904"/>
      <c r="DO333" s="221"/>
      <c r="DP333" s="221"/>
      <c r="DQ333" s="221"/>
      <c r="DR333" s="1052"/>
      <c r="DS333" s="904"/>
      <c r="DW333" s="221"/>
      <c r="DX333" s="221"/>
      <c r="DY333" s="221"/>
      <c r="DZ333" s="1052"/>
      <c r="EA333" s="904"/>
      <c r="EE333" s="221"/>
      <c r="EF333" s="221"/>
      <c r="EG333" s="221"/>
      <c r="EH333" s="1052"/>
      <c r="EI333" s="904"/>
      <c r="EM333" s="221"/>
      <c r="EN333" s="221"/>
      <c r="EO333" s="221"/>
      <c r="EP333" s="1052"/>
      <c r="EQ333" s="904"/>
      <c r="EU333" s="221"/>
      <c r="EV333" s="221"/>
      <c r="EW333" s="221"/>
      <c r="EX333" s="1052"/>
      <c r="EY333" s="904"/>
      <c r="FC333" s="221"/>
      <c r="FD333" s="221"/>
      <c r="FE333" s="221"/>
      <c r="FF333" s="1052"/>
      <c r="FG333" s="904"/>
      <c r="FK333" s="221"/>
      <c r="FL333" s="221"/>
      <c r="FM333" s="221"/>
      <c r="FN333" s="1052"/>
      <c r="FO333" s="904"/>
    </row>
    <row r="334" spans="1:171" x14ac:dyDescent="0.25">
      <c r="A334" s="1344" t="s">
        <v>51</v>
      </c>
      <c r="B334" s="51"/>
      <c r="C334" s="1"/>
      <c r="D334" s="1"/>
      <c r="E334" s="1"/>
      <c r="F334" s="1"/>
      <c r="G334" s="924">
        <f>G322+G325+G328-G331</f>
        <v>4026257564.7650275</v>
      </c>
      <c r="H334" s="924">
        <f>H322+H325+H328-H331</f>
        <v>2589135334.1440625</v>
      </c>
      <c r="I334" s="924">
        <f>I322+I325+I328-I331</f>
        <v>2011425.3370538021</v>
      </c>
      <c r="J334" s="1429">
        <f>J322+J325+J328-J331</f>
        <v>1435057358.6995335</v>
      </c>
      <c r="K334" s="904"/>
      <c r="O334" s="924">
        <f>O322+O325+O328-O331</f>
        <v>4026257564.7650275</v>
      </c>
      <c r="P334" s="924">
        <f>P322+P325+P328-P331</f>
        <v>2589829358.5832219</v>
      </c>
      <c r="Q334" s="924">
        <f>Q322+Q325+Q328-Q331</f>
        <v>287521766.74266744</v>
      </c>
      <c r="R334" s="924">
        <f>R322+R325+R328-R331</f>
        <v>1148906439.4391387</v>
      </c>
      <c r="S334" s="904"/>
      <c r="W334" s="924">
        <f>W322+W325+W328-W331</f>
        <v>4026257564.7650275</v>
      </c>
      <c r="X334" s="924">
        <f>X322+X325+X328-X331</f>
        <v>2589829358.5832219</v>
      </c>
      <c r="Y334" s="924">
        <f>Y322+Y325+Y328-Y331</f>
        <v>287521766.74266744</v>
      </c>
      <c r="Z334" s="924">
        <f>Z322+Z325+Z328-Z331</f>
        <v>1148906439.4391387</v>
      </c>
      <c r="AA334" s="904"/>
      <c r="AE334" s="924">
        <f>AE322+AE325+AE328-AE331</f>
        <v>4026257564.7650275</v>
      </c>
      <c r="AF334" s="924">
        <f>AF322+AF325+AF328-AF331</f>
        <v>2589829358.5832219</v>
      </c>
      <c r="AG334" s="924">
        <f>AG322+AG325+AG328-AG331</f>
        <v>287521766.74266744</v>
      </c>
      <c r="AH334" s="924">
        <f>AH322+AH325+AH328-AH331</f>
        <v>1148906439.4391387</v>
      </c>
      <c r="AI334" s="904"/>
      <c r="AM334" s="924">
        <f>AM322+AM325+AM328-AM331</f>
        <v>4026257564.7650275</v>
      </c>
      <c r="AN334" s="924">
        <f>AN322+AN325+AN328-AN331</f>
        <v>2589829358.5832219</v>
      </c>
      <c r="AO334" s="924">
        <f>AO322+AO325+AO328-AO331</f>
        <v>287521766.74266744</v>
      </c>
      <c r="AP334" s="924">
        <f>AP322+AP325+AP328-AP331</f>
        <v>1148906439.4391387</v>
      </c>
      <c r="AQ334" s="904"/>
      <c r="AU334" s="924">
        <f>AU322+AU325+AU328-AU331</f>
        <v>4026257564.7650275</v>
      </c>
      <c r="AV334" s="924">
        <f>AV322+AV325+AV328-AV331</f>
        <v>2589829358.5832219</v>
      </c>
      <c r="AW334" s="924">
        <f>AW322+AW325+AW328-AW331</f>
        <v>287521766.74266744</v>
      </c>
      <c r="AX334" s="924">
        <f>AX322+AX325+AX328-AX331</f>
        <v>1148906439.4391387</v>
      </c>
      <c r="AY334" s="904"/>
      <c r="BC334" s="924">
        <f>BC322+BC325+BC328-BC331</f>
        <v>4026257564.7650275</v>
      </c>
      <c r="BD334" s="924">
        <f>BD322+BD325+BD328-BD331</f>
        <v>2589829358.5832219</v>
      </c>
      <c r="BE334" s="924">
        <f>BE322+BE325+BE328-BE331</f>
        <v>287521766.74266744</v>
      </c>
      <c r="BF334" s="924">
        <f>BF322+BF325+BF328-BF331</f>
        <v>1148906439.4391387</v>
      </c>
      <c r="BG334" s="904"/>
      <c r="BK334" s="924">
        <f>BK322+BK325+BK328-BK331</f>
        <v>4026257564.7650275</v>
      </c>
      <c r="BL334" s="924">
        <f>BL322+BL325+BL328-BL331</f>
        <v>2589829358.5832219</v>
      </c>
      <c r="BM334" s="924">
        <f>BM322+BM325+BM328-BM331</f>
        <v>287521766.74266744</v>
      </c>
      <c r="BN334" s="924">
        <f>BN322+BN325+BN328-BN331</f>
        <v>1148906439.4391387</v>
      </c>
      <c r="BO334" s="904"/>
      <c r="BS334" s="924">
        <f>BS322+BS325+BS328-BS331</f>
        <v>4026257564.7650275</v>
      </c>
      <c r="BT334" s="924">
        <f>BT322+BT325+BT328-BT331</f>
        <v>2589829358.5832219</v>
      </c>
      <c r="BU334" s="924">
        <f>BU322+BU325+BU328-BU331</f>
        <v>287521766.74266744</v>
      </c>
      <c r="BV334" s="924">
        <f>BV322+BV325+BV328-BV331</f>
        <v>1148906439.4391387</v>
      </c>
      <c r="BW334" s="904"/>
      <c r="CA334" s="924">
        <f>CA322+CA325+CA328-CA331</f>
        <v>4026257564.7650275</v>
      </c>
      <c r="CB334" s="924">
        <f>CB322+CB325+CB328-CB331</f>
        <v>2589829358.5832219</v>
      </c>
      <c r="CC334" s="924">
        <f>CC322+CC325+CC328-CC331</f>
        <v>287521766.74266744</v>
      </c>
      <c r="CD334" s="924">
        <f>CD322+CD325+CD328-CD331</f>
        <v>1148906439.4391387</v>
      </c>
      <c r="CE334" s="904"/>
      <c r="CI334" s="924">
        <f>CI322+CI325+CI328-CI331</f>
        <v>4026257564.7650275</v>
      </c>
      <c r="CJ334" s="924">
        <f>CJ322+CJ325+CJ328-CJ331</f>
        <v>2589829358.5832219</v>
      </c>
      <c r="CK334" s="924">
        <f>CK322+CK325+CK328-CK331</f>
        <v>287521766.74266744</v>
      </c>
      <c r="CL334" s="924">
        <f>CL322+CL325+CL328-CL331</f>
        <v>1148906439.4391387</v>
      </c>
      <c r="CM334" s="904"/>
      <c r="CQ334" s="924">
        <f>CQ322+CQ325+CQ328-CQ331</f>
        <v>4026257564.7650275</v>
      </c>
      <c r="CR334" s="924">
        <f>CR322+CR325+CR328-CR331</f>
        <v>2589829358.5832219</v>
      </c>
      <c r="CS334" s="924">
        <f>CS322+CS325+CS328-CS331</f>
        <v>287521766.74266744</v>
      </c>
      <c r="CT334" s="924">
        <f>CT322+CT325+CT328-CT331</f>
        <v>1148906439.4391387</v>
      </c>
      <c r="CU334" s="904"/>
      <c r="CY334" s="924">
        <f>CY322+CY325+CY328-CY331</f>
        <v>4026257564.7650275</v>
      </c>
      <c r="CZ334" s="924">
        <f>CZ322+CZ325+CZ328-CZ331</f>
        <v>2589829358.5832219</v>
      </c>
      <c r="DA334" s="924">
        <f>DA322+DA325+DA328-DA331</f>
        <v>287521766.74266744</v>
      </c>
      <c r="DB334" s="924">
        <f>DB322+DB325+DB328-DB331</f>
        <v>1148906439.4391387</v>
      </c>
      <c r="DC334" s="904"/>
      <c r="DG334" s="924">
        <f>DG322+DG325+DG328-DG331</f>
        <v>4026257564.7650275</v>
      </c>
      <c r="DH334" s="924">
        <f>DH322+DH325+DH328-DH331</f>
        <v>2589829358.5832219</v>
      </c>
      <c r="DI334" s="924">
        <f>DI322+DI325+DI328-DI331</f>
        <v>287521766.74266744</v>
      </c>
      <c r="DJ334" s="924">
        <f>DJ322+DJ325+DJ328-DJ331</f>
        <v>1148906439.4391387</v>
      </c>
      <c r="DK334" s="904"/>
      <c r="DO334" s="924">
        <f>DO322+DO325+DO328-DO331</f>
        <v>4026257564.7650275</v>
      </c>
      <c r="DP334" s="924">
        <f>DP322+DP325+DP328-DP331</f>
        <v>2589829358.5832219</v>
      </c>
      <c r="DQ334" s="924">
        <f>DQ322+DQ325+DQ328-DQ331</f>
        <v>287521766.74266744</v>
      </c>
      <c r="DR334" s="924">
        <f>DR322+DR325+DR328-DR331</f>
        <v>1148906439.4391387</v>
      </c>
      <c r="DS334" s="904"/>
      <c r="DW334" s="924">
        <f>DW322+DW325+DW328-DW331</f>
        <v>4026257564.7650275</v>
      </c>
      <c r="DX334" s="924">
        <f>DX322+DX325+DX328-DX331</f>
        <v>2589829358.5832219</v>
      </c>
      <c r="DY334" s="924">
        <f>DY322+DY325+DY328-DY331</f>
        <v>287521766.74266744</v>
      </c>
      <c r="DZ334" s="924">
        <f>DZ322+DZ325+DZ328-DZ331</f>
        <v>1148906439.4391387</v>
      </c>
      <c r="EA334" s="904"/>
      <c r="EE334" s="924">
        <f>EE322+EE325+EE328-EE331</f>
        <v>4026257564.7650275</v>
      </c>
      <c r="EF334" s="924">
        <f>EF322+EF325+EF328-EF331</f>
        <v>2589829358.5832219</v>
      </c>
      <c r="EG334" s="924">
        <f>EG322+EG325+EG328-EG331</f>
        <v>287521766.74266744</v>
      </c>
      <c r="EH334" s="924">
        <f>EH322+EH325+EH328-EH331</f>
        <v>1148906439.4391387</v>
      </c>
      <c r="EI334" s="904"/>
      <c r="EM334" s="924">
        <f>EM322+EM325+EM328-EM331</f>
        <v>4026257564.7650275</v>
      </c>
      <c r="EN334" s="924">
        <f>EN322+EN325+EN328-EN331</f>
        <v>2589829358.5832219</v>
      </c>
      <c r="EO334" s="924">
        <f>EO322+EO325+EO328-EO331</f>
        <v>287521766.74266744</v>
      </c>
      <c r="EP334" s="924">
        <f>EP322+EP325+EP328-EP331</f>
        <v>1148906439.4391387</v>
      </c>
      <c r="EQ334" s="904"/>
      <c r="EU334" s="924">
        <f>EU322+EU325+EU328-EU331</f>
        <v>4026257564.7650275</v>
      </c>
      <c r="EV334" s="924">
        <f>EV322+EV325+EV328-EV331</f>
        <v>2589829358.5832219</v>
      </c>
      <c r="EW334" s="924">
        <f>EW322+EW325+EW328-EW331</f>
        <v>287521766.74266744</v>
      </c>
      <c r="EX334" s="924">
        <f>EX322+EX325+EX328-EX331</f>
        <v>1148906439.4391387</v>
      </c>
      <c r="EY334" s="904"/>
      <c r="FC334" s="924">
        <f>FC322+FC325+FC328-FC331</f>
        <v>4026257564.7650275</v>
      </c>
      <c r="FD334" s="924">
        <f>FD322+FD325+FD328-FD331</f>
        <v>2589829358.5832219</v>
      </c>
      <c r="FE334" s="924">
        <f>FE322+FE325+FE328-FE331</f>
        <v>287521766.74266744</v>
      </c>
      <c r="FF334" s="924">
        <f>FF322+FF325+FF328-FF331</f>
        <v>1148906439.4391387</v>
      </c>
      <c r="FG334" s="904"/>
      <c r="FK334" s="924">
        <f>FK322+FK325+FK328-FK331</f>
        <v>4026257564.7650275</v>
      </c>
      <c r="FL334" s="924">
        <f>FL322+FL325+FL328-FL331</f>
        <v>2589829358.5832219</v>
      </c>
      <c r="FM334" s="924">
        <f>FM322+FM325+FM328-FM331</f>
        <v>287521766.74266744</v>
      </c>
      <c r="FN334" s="924">
        <f>FN322+FN325+FN328-FN331</f>
        <v>1148906439.4391387</v>
      </c>
      <c r="FO334" s="904"/>
    </row>
    <row r="335" spans="1:171" x14ac:dyDescent="0.25">
      <c r="A335" s="1428" t="s">
        <v>251</v>
      </c>
      <c r="B335" s="64"/>
      <c r="C335" s="1"/>
      <c r="D335" s="1"/>
      <c r="E335" s="1"/>
      <c r="F335" s="1"/>
      <c r="G335" s="1053"/>
      <c r="H335" s="51"/>
      <c r="I335" s="51"/>
      <c r="J335" s="1495"/>
      <c r="K335" s="904"/>
      <c r="S335" s="1074"/>
      <c r="AA335" s="1074"/>
      <c r="AI335" s="1074"/>
      <c r="AQ335" s="1074"/>
      <c r="AY335" s="1074"/>
      <c r="BG335" s="1074"/>
      <c r="BO335" s="1074"/>
      <c r="BW335" s="1074"/>
      <c r="CE335" s="1074"/>
      <c r="CM335" s="1074"/>
      <c r="CU335" s="1074"/>
      <c r="DC335" s="1074"/>
      <c r="DK335" s="1074"/>
      <c r="DS335" s="1074"/>
      <c r="EA335" s="1074"/>
      <c r="EI335" s="1074"/>
      <c r="EQ335" s="1074"/>
      <c r="EY335" s="1074"/>
      <c r="FG335" s="1074"/>
      <c r="FO335" s="1074"/>
    </row>
    <row r="336" spans="1:171" x14ac:dyDescent="0.25">
      <c r="A336" s="1455"/>
      <c r="B336" s="1"/>
      <c r="C336" s="1"/>
      <c r="D336" s="1"/>
      <c r="E336" s="1"/>
      <c r="F336" s="1"/>
      <c r="G336" s="1"/>
      <c r="H336" s="1"/>
      <c r="I336" s="1"/>
      <c r="J336" s="1456"/>
      <c r="K336" s="904"/>
      <c r="S336" s="1074"/>
      <c r="AA336" s="1074"/>
      <c r="AI336" s="1074"/>
      <c r="AQ336" s="1074"/>
      <c r="AY336" s="1074"/>
      <c r="BG336" s="1074"/>
      <c r="BO336" s="1074"/>
      <c r="BW336" s="1074"/>
      <c r="CE336" s="1074"/>
      <c r="CM336" s="1074"/>
      <c r="CU336" s="1074"/>
      <c r="DC336" s="1074"/>
      <c r="DK336" s="1074"/>
      <c r="DS336" s="1074"/>
      <c r="EA336" s="1074"/>
      <c r="EI336" s="1074"/>
      <c r="EQ336" s="1074"/>
      <c r="EY336" s="1074"/>
      <c r="FG336" s="1074"/>
      <c r="FO336" s="1074"/>
    </row>
    <row r="337" spans="1:171" ht="16.5" thickBot="1" x14ac:dyDescent="0.3">
      <c r="A337" s="1496"/>
      <c r="B337" s="1057"/>
      <c r="C337" s="1057"/>
      <c r="D337" s="1057"/>
      <c r="E337" s="1057"/>
      <c r="F337" s="1057"/>
      <c r="G337" s="1057"/>
      <c r="H337" s="1057"/>
      <c r="I337" s="1057"/>
      <c r="J337" s="1497"/>
      <c r="K337" s="904"/>
      <c r="S337" s="1074"/>
      <c r="AA337" s="1074"/>
      <c r="AI337" s="1074"/>
      <c r="AQ337" s="1074"/>
      <c r="AY337" s="1074"/>
      <c r="BG337" s="1074"/>
      <c r="BO337" s="1074"/>
      <c r="BW337" s="1074"/>
      <c r="CE337" s="1074"/>
      <c r="CM337" s="1074"/>
      <c r="CU337" s="1074"/>
      <c r="DC337" s="1074"/>
      <c r="DK337" s="1074"/>
      <c r="DS337" s="1074"/>
      <c r="EA337" s="1074"/>
      <c r="EI337" s="1074"/>
      <c r="EQ337" s="1074"/>
      <c r="EY337" s="1074"/>
      <c r="FG337" s="1074"/>
      <c r="FO337" s="1074"/>
    </row>
    <row r="338" spans="1:171" ht="16.5" thickBot="1" x14ac:dyDescent="0.3">
      <c r="A338" s="1498" t="s">
        <v>505</v>
      </c>
      <c r="B338" s="1060"/>
      <c r="C338" s="51"/>
      <c r="D338" s="51"/>
      <c r="E338" s="51"/>
      <c r="F338" s="51"/>
      <c r="G338" s="51"/>
      <c r="H338" s="51"/>
      <c r="I338" s="51"/>
      <c r="J338" s="1495"/>
      <c r="K338" s="904"/>
      <c r="S338" s="1074"/>
      <c r="AA338" s="1074"/>
      <c r="AI338" s="1074"/>
      <c r="AQ338" s="1074"/>
      <c r="AY338" s="1074"/>
      <c r="BG338" s="1074"/>
      <c r="BO338" s="1074"/>
      <c r="BW338" s="1074"/>
      <c r="CE338" s="1074"/>
      <c r="CM338" s="1074"/>
      <c r="CU338" s="1074"/>
      <c r="DC338" s="1074"/>
      <c r="DK338" s="1074"/>
      <c r="DS338" s="1074"/>
      <c r="EA338" s="1074"/>
      <c r="EI338" s="1074"/>
      <c r="EQ338" s="1074"/>
      <c r="EY338" s="1074"/>
      <c r="FG338" s="1074"/>
      <c r="FO338" s="1074"/>
    </row>
    <row r="339" spans="1:171" ht="16.5" thickTop="1" x14ac:dyDescent="0.25">
      <c r="A339" s="1372" t="s">
        <v>319</v>
      </c>
      <c r="B339" s="51"/>
      <c r="C339" s="1"/>
      <c r="D339" s="1"/>
      <c r="E339" s="1"/>
      <c r="F339" s="1"/>
      <c r="G339" s="51"/>
      <c r="H339" s="1247">
        <f>H334</f>
        <v>2589135334.1440625</v>
      </c>
      <c r="I339" s="51"/>
      <c r="J339" s="1495"/>
      <c r="K339" s="904"/>
      <c r="P339" s="1247">
        <f>P334</f>
        <v>2589829358.5832219</v>
      </c>
      <c r="S339" s="1074"/>
      <c r="X339" s="1247">
        <f>X334</f>
        <v>2589829358.5832219</v>
      </c>
      <c r="AA339" s="1074"/>
      <c r="AF339" s="1247">
        <f>AF334</f>
        <v>2589829358.5832219</v>
      </c>
      <c r="AI339" s="1074"/>
      <c r="AN339" s="1247">
        <f>AN334</f>
        <v>2589829358.5832219</v>
      </c>
      <c r="AQ339" s="1074"/>
      <c r="AV339" s="1247">
        <f>AV334</f>
        <v>2589829358.5832219</v>
      </c>
      <c r="AY339" s="1074"/>
      <c r="BD339" s="1247">
        <f>BD334</f>
        <v>2589829358.5832219</v>
      </c>
      <c r="BG339" s="1074"/>
      <c r="BL339" s="1247">
        <f>BL334</f>
        <v>2589829358.5832219</v>
      </c>
      <c r="BO339" s="1074"/>
      <c r="BT339" s="1247">
        <f>BT334</f>
        <v>2589829358.5832219</v>
      </c>
      <c r="BW339" s="1074"/>
      <c r="CB339" s="1066">
        <f>CB334</f>
        <v>2589829358.5832219</v>
      </c>
      <c r="CE339" s="1074"/>
      <c r="CJ339" s="1066">
        <f>CJ334</f>
        <v>2589829358.5832219</v>
      </c>
      <c r="CM339" s="1074"/>
      <c r="CR339" s="1066">
        <f>CR334</f>
        <v>2589829358.5832219</v>
      </c>
      <c r="CU339" s="1074"/>
      <c r="CZ339" s="1247">
        <f>CZ334</f>
        <v>2589829358.5832219</v>
      </c>
      <c r="DC339" s="1074"/>
      <c r="DH339" s="1247">
        <f>DH334</f>
        <v>2589829358.5832219</v>
      </c>
      <c r="DK339" s="1074"/>
      <c r="DP339" s="1247">
        <f>DP334</f>
        <v>2589829358.5832219</v>
      </c>
      <c r="DS339" s="1074"/>
      <c r="DX339" s="1247">
        <f>DX334</f>
        <v>2589829358.5832219</v>
      </c>
      <c r="EA339" s="1074"/>
      <c r="EF339" s="1247">
        <f>EF334</f>
        <v>2589829358.5832219</v>
      </c>
      <c r="EI339" s="1074"/>
      <c r="EN339" s="1247">
        <f>EN334</f>
        <v>2589829358.5832219</v>
      </c>
      <c r="EQ339" s="1074"/>
      <c r="EV339" s="1247">
        <f>EV334</f>
        <v>2589829358.5832219</v>
      </c>
      <c r="EY339" s="1074"/>
      <c r="FD339" s="1247">
        <f>FD334</f>
        <v>2589829358.5832219</v>
      </c>
      <c r="FG339" s="1074"/>
      <c r="FL339" s="1247">
        <f>FL334</f>
        <v>2589829358.5832219</v>
      </c>
      <c r="FO339" s="1074"/>
    </row>
    <row r="340" spans="1:171" x14ac:dyDescent="0.25">
      <c r="A340" s="1372" t="s">
        <v>106</v>
      </c>
      <c r="B340" s="51"/>
      <c r="C340" s="1"/>
      <c r="D340" s="1"/>
      <c r="E340" s="1"/>
      <c r="F340" s="1"/>
      <c r="G340" s="51"/>
      <c r="H340" s="1248">
        <f>+I334</f>
        <v>2011425.3370538021</v>
      </c>
      <c r="I340" s="51"/>
      <c r="J340" s="1495"/>
      <c r="K340" s="904"/>
      <c r="P340" s="1248">
        <f>Q334</f>
        <v>287521766.74266744</v>
      </c>
      <c r="S340" s="1074"/>
      <c r="X340" s="1248">
        <f>Y334</f>
        <v>287521766.74266744</v>
      </c>
      <c r="AA340" s="1074"/>
      <c r="AF340" s="1248">
        <f>AG334</f>
        <v>287521766.74266744</v>
      </c>
      <c r="AI340" s="1074"/>
      <c r="AN340" s="1248">
        <f>AO334</f>
        <v>287521766.74266744</v>
      </c>
      <c r="AQ340" s="1074"/>
      <c r="AV340" s="1248">
        <f>AW334</f>
        <v>287521766.74266744</v>
      </c>
      <c r="AY340" s="1074"/>
      <c r="BD340" s="1248">
        <f>BE334</f>
        <v>287521766.74266744</v>
      </c>
      <c r="BG340" s="1074"/>
      <c r="BL340" s="1248">
        <f>BM334</f>
        <v>287521766.74266744</v>
      </c>
      <c r="BO340" s="1074"/>
      <c r="BT340" s="1248">
        <f>BU334</f>
        <v>287521766.74266744</v>
      </c>
      <c r="BW340" s="1074"/>
      <c r="CB340" s="1067">
        <f>CC334</f>
        <v>287521766.74266744</v>
      </c>
      <c r="CE340" s="1074"/>
      <c r="CJ340" s="1067">
        <f>CK334</f>
        <v>287521766.74266744</v>
      </c>
      <c r="CM340" s="1074"/>
      <c r="CR340" s="1067">
        <f>CS334</f>
        <v>287521766.74266744</v>
      </c>
      <c r="CU340" s="1074"/>
      <c r="CZ340" s="1248">
        <f>DA334</f>
        <v>287521766.74266744</v>
      </c>
      <c r="DC340" s="1074"/>
      <c r="DH340" s="1248">
        <f>DI334</f>
        <v>287521766.74266744</v>
      </c>
      <c r="DK340" s="1074"/>
      <c r="DP340" s="1248">
        <f>DQ334</f>
        <v>287521766.74266744</v>
      </c>
      <c r="DS340" s="1074"/>
      <c r="DX340" s="1248">
        <f>DY334</f>
        <v>287521766.74266744</v>
      </c>
      <c r="EA340" s="1074"/>
      <c r="EF340" s="1248">
        <f>EG334</f>
        <v>287521766.74266744</v>
      </c>
      <c r="EI340" s="1074"/>
      <c r="EN340" s="1248">
        <f>EO334</f>
        <v>287521766.74266744</v>
      </c>
      <c r="EQ340" s="1074"/>
      <c r="EV340" s="1248">
        <f>EW334</f>
        <v>287521766.74266744</v>
      </c>
      <c r="EY340" s="1074"/>
      <c r="FD340" s="1248">
        <f>FE334</f>
        <v>287521766.74266744</v>
      </c>
      <c r="FG340" s="1074"/>
      <c r="FL340" s="1248">
        <f>FM334</f>
        <v>287521766.74266744</v>
      </c>
      <c r="FO340" s="1074"/>
    </row>
    <row r="341" spans="1:171" x14ac:dyDescent="0.25">
      <c r="A341" s="1372" t="s">
        <v>509</v>
      </c>
      <c r="B341" s="51"/>
      <c r="C341" s="1"/>
      <c r="D341" s="1"/>
      <c r="E341" s="1"/>
      <c r="F341" s="1"/>
      <c r="G341" s="51"/>
      <c r="H341" s="891">
        <f>'Sch 4 - Average System Cost'!$D$34+'Sch 4 - Average System Cost'!$D$35</f>
        <v>0</v>
      </c>
      <c r="I341" s="51"/>
      <c r="J341" s="1495"/>
      <c r="K341" s="904"/>
      <c r="P341" s="891">
        <f>$H$341</f>
        <v>0</v>
      </c>
      <c r="S341" s="1074"/>
      <c r="X341" s="891">
        <f>$H$341</f>
        <v>0</v>
      </c>
      <c r="AA341" s="1074"/>
      <c r="AF341" s="891">
        <f>$H$341</f>
        <v>0</v>
      </c>
      <c r="AI341" s="1074"/>
      <c r="AN341" s="891">
        <f>$H$341</f>
        <v>0</v>
      </c>
      <c r="AQ341" s="1074"/>
      <c r="AV341" s="891">
        <f>$H$341</f>
        <v>0</v>
      </c>
      <c r="AY341" s="1074"/>
      <c r="BD341" s="891">
        <f>$H$341</f>
        <v>0</v>
      </c>
      <c r="BG341" s="1074"/>
      <c r="BL341" s="891">
        <f>$H$341</f>
        <v>0</v>
      </c>
      <c r="BO341" s="1074"/>
      <c r="BT341" s="891">
        <f>$H$341</f>
        <v>0</v>
      </c>
      <c r="BW341" s="1074"/>
      <c r="CB341" s="891">
        <f>$H$341</f>
        <v>0</v>
      </c>
      <c r="CE341" s="1074"/>
      <c r="CJ341" s="891">
        <f>$H$341</f>
        <v>0</v>
      </c>
      <c r="CM341" s="1074"/>
      <c r="CR341" s="891">
        <f>$H$341</f>
        <v>0</v>
      </c>
      <c r="CU341" s="1074"/>
      <c r="CZ341" s="891">
        <f>$H$341</f>
        <v>0</v>
      </c>
      <c r="DC341" s="1074"/>
      <c r="DH341" s="891">
        <f>$H$341</f>
        <v>0</v>
      </c>
      <c r="DK341" s="1074"/>
      <c r="DP341" s="891">
        <f>$H$341</f>
        <v>0</v>
      </c>
      <c r="DS341" s="1074"/>
      <c r="DX341" s="891">
        <f>$H$341</f>
        <v>0</v>
      </c>
      <c r="EA341" s="1074"/>
      <c r="EF341" s="891">
        <f>$H$341</f>
        <v>0</v>
      </c>
      <c r="EI341" s="1074"/>
      <c r="EN341" s="891">
        <f>$H$341</f>
        <v>0</v>
      </c>
      <c r="EQ341" s="1074"/>
      <c r="EV341" s="891">
        <f>$H$341</f>
        <v>0</v>
      </c>
      <c r="EY341" s="1074"/>
      <c r="FD341" s="891">
        <f>$H$341</f>
        <v>0</v>
      </c>
      <c r="FG341" s="1074"/>
      <c r="FL341" s="891">
        <f>$H$341</f>
        <v>0</v>
      </c>
      <c r="FO341" s="1074"/>
    </row>
    <row r="342" spans="1:171" x14ac:dyDescent="0.25">
      <c r="A342" s="1361" t="s">
        <v>506</v>
      </c>
      <c r="B342" s="51"/>
      <c r="C342" s="1"/>
      <c r="D342" s="1"/>
      <c r="E342" s="1"/>
      <c r="F342" s="1"/>
      <c r="G342" s="51"/>
      <c r="H342" s="1249">
        <f>H339+H340-H341</f>
        <v>2591146759.4811163</v>
      </c>
      <c r="I342" s="51"/>
      <c r="J342" s="1495"/>
      <c r="K342" s="904"/>
      <c r="P342" s="1249">
        <f>P339+P340-P341</f>
        <v>2877351125.3258896</v>
      </c>
      <c r="S342" s="1074"/>
      <c r="X342" s="1249">
        <f>X339+X340-X341</f>
        <v>2877351125.3258896</v>
      </c>
      <c r="AA342" s="1074"/>
      <c r="AF342" s="1249">
        <f>AF339+AF340-AF341</f>
        <v>2877351125.3258896</v>
      </c>
      <c r="AI342" s="1074"/>
      <c r="AN342" s="1249">
        <f>AN339+AN340-AN341</f>
        <v>2877351125.3258896</v>
      </c>
      <c r="AQ342" s="1074"/>
      <c r="AV342" s="1249">
        <f>AV339+AV340-AV341</f>
        <v>2877351125.3258896</v>
      </c>
      <c r="AY342" s="1074"/>
      <c r="BD342" s="1249">
        <f>BD339+BD340-BD341</f>
        <v>2877351125.3258896</v>
      </c>
      <c r="BG342" s="1074"/>
      <c r="BL342" s="1249">
        <f>BL339+BL340-BL341</f>
        <v>2877351125.3258896</v>
      </c>
      <c r="BO342" s="1074"/>
      <c r="BT342" s="1249">
        <f>BT339+BT340-BT341</f>
        <v>2877351125.3258896</v>
      </c>
      <c r="BW342" s="1074"/>
      <c r="CB342" s="924">
        <f>CB339+CB340-CB341</f>
        <v>2877351125.3258896</v>
      </c>
      <c r="CE342" s="1074"/>
      <c r="CJ342" s="924">
        <f>CJ339+CJ340-CJ341</f>
        <v>2877351125.3258896</v>
      </c>
      <c r="CM342" s="1074"/>
      <c r="CR342" s="924">
        <f>CR339+CR340-CR341</f>
        <v>2877351125.3258896</v>
      </c>
      <c r="CU342" s="1074"/>
      <c r="CZ342" s="1249">
        <f>CZ339+CZ340-CZ341</f>
        <v>2877351125.3258896</v>
      </c>
      <c r="DC342" s="1074"/>
      <c r="DH342" s="1249">
        <f>DH339+DH340-DH341</f>
        <v>2877351125.3258896</v>
      </c>
      <c r="DK342" s="1074"/>
      <c r="DP342" s="1249">
        <f>DP339+DP340-DP341</f>
        <v>2877351125.3258896</v>
      </c>
      <c r="DS342" s="1074"/>
      <c r="DX342" s="1249">
        <f>DX339+DX340-DX341</f>
        <v>2877351125.3258896</v>
      </c>
      <c r="EA342" s="1074"/>
      <c r="EF342" s="1249">
        <f>EF339+EF340-EF341</f>
        <v>2877351125.3258896</v>
      </c>
      <c r="EI342" s="1074"/>
      <c r="EN342" s="1249">
        <f>EN339+EN340-EN341</f>
        <v>2877351125.3258896</v>
      </c>
      <c r="EQ342" s="1074"/>
      <c r="EV342" s="1249">
        <f>EV339+EV340-EV341</f>
        <v>2877351125.3258896</v>
      </c>
      <c r="EY342" s="1074"/>
      <c r="FD342" s="1249">
        <f>FD339+FD340-FD341</f>
        <v>2877351125.3258896</v>
      </c>
      <c r="FG342" s="1074"/>
      <c r="FL342" s="1249">
        <f>FL339+FL340-FL341</f>
        <v>2877351125.3258896</v>
      </c>
      <c r="FO342" s="1074"/>
    </row>
    <row r="343" spans="1:171" ht="16.5" thickBot="1" x14ac:dyDescent="0.3">
      <c r="A343" s="1499"/>
      <c r="B343" s="51"/>
      <c r="C343" s="1"/>
      <c r="D343" s="1"/>
      <c r="E343" s="1"/>
      <c r="F343" s="1"/>
      <c r="G343" s="51"/>
      <c r="H343" s="595"/>
      <c r="I343" s="51"/>
      <c r="J343" s="1495"/>
      <c r="K343" s="904"/>
      <c r="P343" s="595"/>
      <c r="S343" s="1074"/>
      <c r="X343" s="595"/>
      <c r="AA343" s="1074"/>
      <c r="AF343" s="595"/>
      <c r="AI343" s="1074"/>
      <c r="AN343" s="595"/>
      <c r="AQ343" s="1074"/>
      <c r="AV343" s="595"/>
      <c r="AY343" s="1074"/>
      <c r="BD343" s="595"/>
      <c r="BG343" s="1074"/>
      <c r="BL343" s="595"/>
      <c r="BO343" s="1074"/>
      <c r="BT343" s="595"/>
      <c r="BW343" s="1074"/>
      <c r="CE343" s="1074"/>
      <c r="CM343" s="1074"/>
      <c r="CU343" s="1074"/>
      <c r="CZ343" s="595"/>
      <c r="DC343" s="1074"/>
      <c r="DH343" s="595"/>
      <c r="DK343" s="1074"/>
      <c r="DP343" s="595"/>
      <c r="DS343" s="1074"/>
      <c r="DX343" s="595"/>
      <c r="EA343" s="1074"/>
      <c r="EF343" s="595"/>
      <c r="EI343" s="1074"/>
      <c r="EN343" s="595"/>
      <c r="EQ343" s="1074"/>
      <c r="EV343" s="595"/>
      <c r="EY343" s="1074"/>
      <c r="FD343" s="595"/>
      <c r="FG343" s="1074"/>
      <c r="FL343" s="595"/>
      <c r="FO343" s="1074"/>
    </row>
    <row r="344" spans="1:171" ht="17.25" thickTop="1" thickBot="1" x14ac:dyDescent="0.3">
      <c r="A344" s="1500" t="s">
        <v>507</v>
      </c>
      <c r="B344" s="1063"/>
      <c r="C344" s="1"/>
      <c r="D344" s="1"/>
      <c r="E344" s="1"/>
      <c r="F344" s="1"/>
      <c r="G344" s="51"/>
      <c r="H344" s="595"/>
      <c r="I344" s="51"/>
      <c r="J344" s="1495"/>
      <c r="K344" s="904"/>
      <c r="P344" s="595"/>
      <c r="S344" s="1074"/>
      <c r="X344" s="595"/>
      <c r="AA344" s="1074"/>
      <c r="AF344" s="595"/>
      <c r="AI344" s="1074"/>
      <c r="AN344" s="595"/>
      <c r="AQ344" s="1074"/>
      <c r="AV344" s="595"/>
      <c r="AY344" s="1074"/>
      <c r="BD344" s="595"/>
      <c r="BG344" s="1074"/>
      <c r="BL344" s="595"/>
      <c r="BO344" s="1074"/>
      <c r="BT344" s="595"/>
      <c r="BW344" s="1074"/>
      <c r="CE344" s="1074"/>
      <c r="CM344" s="1074"/>
      <c r="CU344" s="1074"/>
      <c r="CZ344" s="595"/>
      <c r="DC344" s="1074"/>
      <c r="DH344" s="595"/>
      <c r="DK344" s="1074"/>
      <c r="DP344" s="595"/>
      <c r="DS344" s="1074"/>
      <c r="DX344" s="595"/>
      <c r="EA344" s="1074"/>
      <c r="EF344" s="595"/>
      <c r="EI344" s="1074"/>
      <c r="EN344" s="595"/>
      <c r="EQ344" s="1074"/>
      <c r="EV344" s="595"/>
      <c r="EY344" s="1074"/>
      <c r="FD344" s="595"/>
      <c r="FG344" s="1074"/>
      <c r="FL344" s="595"/>
      <c r="FO344" s="1074"/>
    </row>
    <row r="345" spans="1:171" ht="16.5" thickTop="1" x14ac:dyDescent="0.25">
      <c r="A345" s="1372" t="s">
        <v>320</v>
      </c>
      <c r="B345" s="51"/>
      <c r="C345" s="1"/>
      <c r="D345" s="1"/>
      <c r="E345" s="1"/>
      <c r="F345" s="1"/>
      <c r="G345" s="51"/>
      <c r="H345" s="1064">
        <f>'Sch 4 - Average System Cost'!D39</f>
        <v>21294859</v>
      </c>
      <c r="I345" s="51"/>
      <c r="J345" s="1495"/>
      <c r="K345" s="904"/>
      <c r="P345" s="1064">
        <f>$H$345</f>
        <v>21294859</v>
      </c>
      <c r="Q345" s="51"/>
      <c r="R345" s="51"/>
      <c r="S345" s="904"/>
      <c r="X345" s="1064">
        <f>$H$345</f>
        <v>21294859</v>
      </c>
      <c r="Y345" s="51"/>
      <c r="Z345" s="51"/>
      <c r="AA345" s="904"/>
      <c r="AF345" s="1064">
        <f>$H$345</f>
        <v>21294859</v>
      </c>
      <c r="AG345" s="51"/>
      <c r="AH345" s="51"/>
      <c r="AI345" s="904"/>
      <c r="AN345" s="1064">
        <f>$H$345</f>
        <v>21294859</v>
      </c>
      <c r="AO345" s="51"/>
      <c r="AP345" s="51"/>
      <c r="AQ345" s="904"/>
      <c r="AV345" s="1064">
        <f>$H$345</f>
        <v>21294859</v>
      </c>
      <c r="AW345" s="51"/>
      <c r="AX345" s="51"/>
      <c r="AY345" s="904"/>
      <c r="BD345" s="1064">
        <f>$H$345</f>
        <v>21294859</v>
      </c>
      <c r="BE345" s="51"/>
      <c r="BF345" s="51"/>
      <c r="BG345" s="904"/>
      <c r="BL345" s="1064">
        <f>$H$345</f>
        <v>21294859</v>
      </c>
      <c r="BM345" s="51"/>
      <c r="BN345" s="51"/>
      <c r="BO345" s="904"/>
      <c r="BT345" s="1064">
        <f>$H$345</f>
        <v>21294859</v>
      </c>
      <c r="BU345" s="51"/>
      <c r="BV345" s="51"/>
      <c r="BW345" s="904"/>
      <c r="CB345" s="1064">
        <f>$H$345</f>
        <v>21294859</v>
      </c>
      <c r="CC345" s="51"/>
      <c r="CD345" s="51"/>
      <c r="CE345" s="904"/>
      <c r="CJ345" s="1064">
        <f>$H$345</f>
        <v>21294859</v>
      </c>
      <c r="CK345" s="51"/>
      <c r="CL345" s="51"/>
      <c r="CM345" s="904"/>
      <c r="CR345" s="1064">
        <f>$H$345</f>
        <v>21294859</v>
      </c>
      <c r="CS345" s="51"/>
      <c r="CT345" s="51"/>
      <c r="CU345" s="904"/>
      <c r="CZ345" s="1064">
        <f>$H$345</f>
        <v>21294859</v>
      </c>
      <c r="DA345" s="51"/>
      <c r="DB345" s="51"/>
      <c r="DC345" s="904"/>
      <c r="DH345" s="1064">
        <f>$H$345</f>
        <v>21294859</v>
      </c>
      <c r="DI345" s="51"/>
      <c r="DJ345" s="51"/>
      <c r="DK345" s="904"/>
      <c r="DP345" s="1064">
        <f>$H$345</f>
        <v>21294859</v>
      </c>
      <c r="DQ345" s="51"/>
      <c r="DR345" s="51"/>
      <c r="DS345" s="904"/>
      <c r="DX345" s="1064">
        <f>$H$345</f>
        <v>21294859</v>
      </c>
      <c r="DY345" s="51"/>
      <c r="DZ345" s="51"/>
      <c r="EA345" s="904"/>
      <c r="EF345" s="1064">
        <f>$H$345</f>
        <v>21294859</v>
      </c>
      <c r="EG345" s="51"/>
      <c r="EH345" s="51"/>
      <c r="EI345" s="904"/>
      <c r="EN345" s="1064">
        <f>$H$345</f>
        <v>21294859</v>
      </c>
      <c r="EO345" s="51"/>
      <c r="EP345" s="51"/>
      <c r="EQ345" s="904"/>
      <c r="EV345" s="1064">
        <f>$H$345</f>
        <v>21294859</v>
      </c>
      <c r="EW345" s="51"/>
      <c r="EX345" s="51"/>
      <c r="EY345" s="904"/>
      <c r="FD345" s="1064">
        <f>$H$345</f>
        <v>21294859</v>
      </c>
      <c r="FE345" s="51"/>
      <c r="FF345" s="51"/>
      <c r="FG345" s="904"/>
      <c r="FL345" s="1064">
        <f>$H$345</f>
        <v>21294859</v>
      </c>
      <c r="FM345" s="51"/>
      <c r="FN345" s="51"/>
      <c r="FO345" s="904"/>
    </row>
    <row r="346" spans="1:171" x14ac:dyDescent="0.25">
      <c r="A346" s="1372" t="s">
        <v>321</v>
      </c>
      <c r="B346" s="51"/>
      <c r="C346" s="1"/>
      <c r="D346" s="1"/>
      <c r="E346" s="1"/>
      <c r="F346" s="1"/>
      <c r="G346" s="51"/>
      <c r="H346" s="1064">
        <f>'Sch 4 - Average System Cost'!$D$40+'Sch 4 - Average System Cost'!$D$43</f>
        <v>0</v>
      </c>
      <c r="I346" s="1065" t="s">
        <v>633</v>
      </c>
      <c r="J346" s="1501">
        <v>0</v>
      </c>
      <c r="K346" s="904"/>
      <c r="P346" s="1064">
        <f>$H$346</f>
        <v>0</v>
      </c>
      <c r="Q346" s="1065" t="s">
        <v>633</v>
      </c>
      <c r="R346" s="1064">
        <v>0</v>
      </c>
      <c r="S346" s="904"/>
      <c r="X346" s="1064">
        <f>$H$346</f>
        <v>0</v>
      </c>
      <c r="Y346" s="1065" t="s">
        <v>633</v>
      </c>
      <c r="Z346" s="1064">
        <v>0</v>
      </c>
      <c r="AA346" s="904"/>
      <c r="AF346" s="1064">
        <f>$H$346</f>
        <v>0</v>
      </c>
      <c r="AG346" s="1065" t="s">
        <v>633</v>
      </c>
      <c r="AH346" s="1064">
        <v>0</v>
      </c>
      <c r="AI346" s="904"/>
      <c r="AN346" s="1064">
        <f>$H$346</f>
        <v>0</v>
      </c>
      <c r="AO346" s="1065" t="s">
        <v>633</v>
      </c>
      <c r="AP346" s="1064">
        <v>0</v>
      </c>
      <c r="AQ346" s="904"/>
      <c r="AV346" s="1064">
        <f>$H$346</f>
        <v>0</v>
      </c>
      <c r="AW346" s="1065" t="s">
        <v>633</v>
      </c>
      <c r="AX346" s="1064">
        <v>0</v>
      </c>
      <c r="AY346" s="904"/>
      <c r="BD346" s="1064">
        <f>$H$346</f>
        <v>0</v>
      </c>
      <c r="BE346" s="1065" t="s">
        <v>633</v>
      </c>
      <c r="BF346" s="1064">
        <v>0</v>
      </c>
      <c r="BG346" s="904"/>
      <c r="BL346" s="1064">
        <f>$H$346</f>
        <v>0</v>
      </c>
      <c r="BM346" s="1065" t="s">
        <v>633</v>
      </c>
      <c r="BN346" s="1064">
        <v>0</v>
      </c>
      <c r="BO346" s="904"/>
      <c r="BT346" s="1064">
        <f>$H$346</f>
        <v>0</v>
      </c>
      <c r="BU346" s="1065" t="s">
        <v>633</v>
      </c>
      <c r="BV346" s="1064">
        <v>0</v>
      </c>
      <c r="BW346" s="904"/>
      <c r="CB346" s="1064">
        <f>$H$346</f>
        <v>0</v>
      </c>
      <c r="CC346" s="1065" t="s">
        <v>633</v>
      </c>
      <c r="CD346" s="1064">
        <v>0</v>
      </c>
      <c r="CE346" s="904"/>
      <c r="CJ346" s="1064">
        <f>$H$346</f>
        <v>0</v>
      </c>
      <c r="CK346" s="1065" t="s">
        <v>633</v>
      </c>
      <c r="CL346" s="1064">
        <v>0</v>
      </c>
      <c r="CM346" s="904"/>
      <c r="CR346" s="1064">
        <f>$H$346</f>
        <v>0</v>
      </c>
      <c r="CS346" s="1065" t="s">
        <v>633</v>
      </c>
      <c r="CT346" s="1064">
        <v>0</v>
      </c>
      <c r="CU346" s="904"/>
      <c r="CZ346" s="1064">
        <f>$H$346</f>
        <v>0</v>
      </c>
      <c r="DA346" s="1065" t="s">
        <v>633</v>
      </c>
      <c r="DB346" s="1064">
        <v>0</v>
      </c>
      <c r="DC346" s="904"/>
      <c r="DH346" s="1064">
        <f>$H$346</f>
        <v>0</v>
      </c>
      <c r="DI346" s="1065" t="s">
        <v>633</v>
      </c>
      <c r="DJ346" s="1064">
        <v>0</v>
      </c>
      <c r="DK346" s="904"/>
      <c r="DP346" s="1064">
        <f>$H$346</f>
        <v>0</v>
      </c>
      <c r="DQ346" s="1065" t="s">
        <v>633</v>
      </c>
      <c r="DR346" s="1064">
        <v>0</v>
      </c>
      <c r="DS346" s="904"/>
      <c r="DX346" s="1064">
        <f>$H$346</f>
        <v>0</v>
      </c>
      <c r="DY346" s="1065" t="s">
        <v>633</v>
      </c>
      <c r="DZ346" s="1064">
        <v>0</v>
      </c>
      <c r="EA346" s="904"/>
      <c r="EF346" s="1064">
        <f>$H$346</f>
        <v>0</v>
      </c>
      <c r="EG346" s="1065" t="s">
        <v>633</v>
      </c>
      <c r="EH346" s="1064">
        <v>0</v>
      </c>
      <c r="EI346" s="904"/>
      <c r="EN346" s="1064">
        <f>$H$346</f>
        <v>0</v>
      </c>
      <c r="EO346" s="1065" t="s">
        <v>633</v>
      </c>
      <c r="EP346" s="1064">
        <v>0</v>
      </c>
      <c r="EQ346" s="904"/>
      <c r="EV346" s="1064">
        <f>$H$346</f>
        <v>0</v>
      </c>
      <c r="EW346" s="1065" t="s">
        <v>633</v>
      </c>
      <c r="EX346" s="1064">
        <v>0</v>
      </c>
      <c r="EY346" s="904"/>
      <c r="FD346" s="1064">
        <f>$H$346</f>
        <v>0</v>
      </c>
      <c r="FE346" s="1065" t="s">
        <v>633</v>
      </c>
      <c r="FF346" s="1064">
        <v>0</v>
      </c>
      <c r="FG346" s="904"/>
      <c r="FL346" s="1064">
        <f>$H$346</f>
        <v>0</v>
      </c>
      <c r="FM346" s="1065" t="s">
        <v>633</v>
      </c>
      <c r="FN346" s="1064">
        <v>0</v>
      </c>
      <c r="FO346" s="904"/>
    </row>
    <row r="347" spans="1:171" x14ac:dyDescent="0.25">
      <c r="A347" s="1372" t="s">
        <v>510</v>
      </c>
      <c r="B347" s="51"/>
      <c r="C347" s="1"/>
      <c r="D347" s="1"/>
      <c r="E347" s="1"/>
      <c r="F347" s="1071"/>
      <c r="G347" s="51"/>
      <c r="H347" s="1068">
        <f>H345-H346</f>
        <v>21294859</v>
      </c>
      <c r="I347" s="51"/>
      <c r="J347" s="1495"/>
      <c r="K347" s="904"/>
      <c r="P347" s="1068">
        <f>P345-P346</f>
        <v>21294859</v>
      </c>
      <c r="Q347" s="51"/>
      <c r="R347" s="51"/>
      <c r="S347" s="904"/>
      <c r="X347" s="1068">
        <f>X345-X346</f>
        <v>21294859</v>
      </c>
      <c r="Y347" s="51"/>
      <c r="Z347" s="51"/>
      <c r="AA347" s="904"/>
      <c r="AF347" s="1068">
        <f>AF345-AF346</f>
        <v>21294859</v>
      </c>
      <c r="AG347" s="51"/>
      <c r="AH347" s="51"/>
      <c r="AI347" s="904"/>
      <c r="AN347" s="1068">
        <f>AN345-AN346</f>
        <v>21294859</v>
      </c>
      <c r="AO347" s="51"/>
      <c r="AP347" s="51"/>
      <c r="AQ347" s="904"/>
      <c r="AV347" s="1068">
        <f>AV345-AV346</f>
        <v>21294859</v>
      </c>
      <c r="AW347" s="51"/>
      <c r="AX347" s="51"/>
      <c r="AY347" s="904"/>
      <c r="BD347" s="1068">
        <f>BD345-BD346</f>
        <v>21294859</v>
      </c>
      <c r="BE347" s="51"/>
      <c r="BF347" s="51"/>
      <c r="BG347" s="904"/>
      <c r="BL347" s="1068">
        <f>BL345-BL346</f>
        <v>21294859</v>
      </c>
      <c r="BM347" s="51"/>
      <c r="BN347" s="51"/>
      <c r="BO347" s="904"/>
      <c r="BT347" s="1068">
        <f>BT345-BT346</f>
        <v>21294859</v>
      </c>
      <c r="BU347" s="51"/>
      <c r="BV347" s="51"/>
      <c r="BW347" s="904"/>
      <c r="CB347" s="1068">
        <f>CB345-CB346</f>
        <v>21294859</v>
      </c>
      <c r="CC347" s="51"/>
      <c r="CD347" s="51"/>
      <c r="CE347" s="904"/>
      <c r="CJ347" s="1068">
        <f>CJ345-CJ346</f>
        <v>21294859</v>
      </c>
      <c r="CK347" s="51"/>
      <c r="CL347" s="51"/>
      <c r="CM347" s="904"/>
      <c r="CR347" s="1068">
        <f>CR345-CR346</f>
        <v>21294859</v>
      </c>
      <c r="CS347" s="51"/>
      <c r="CT347" s="51"/>
      <c r="CU347" s="904"/>
      <c r="CZ347" s="1068">
        <f>CZ345-CZ346</f>
        <v>21294859</v>
      </c>
      <c r="DA347" s="51"/>
      <c r="DB347" s="51"/>
      <c r="DC347" s="904"/>
      <c r="DH347" s="1068">
        <f>DH345-DH346</f>
        <v>21294859</v>
      </c>
      <c r="DI347" s="51"/>
      <c r="DJ347" s="51"/>
      <c r="DK347" s="904"/>
      <c r="DP347" s="1068">
        <f>DP345-DP346</f>
        <v>21294859</v>
      </c>
      <c r="DQ347" s="51"/>
      <c r="DR347" s="51"/>
      <c r="DS347" s="904"/>
      <c r="DX347" s="1068">
        <f>DX345-DX346</f>
        <v>21294859</v>
      </c>
      <c r="DY347" s="51"/>
      <c r="DZ347" s="51"/>
      <c r="EA347" s="904"/>
      <c r="EF347" s="1068">
        <f>EF345-EF346</f>
        <v>21294859</v>
      </c>
      <c r="EG347" s="51"/>
      <c r="EH347" s="51"/>
      <c r="EI347" s="904"/>
      <c r="EN347" s="1068">
        <f>EN345-EN346</f>
        <v>21294859</v>
      </c>
      <c r="EO347" s="51"/>
      <c r="EP347" s="51"/>
      <c r="EQ347" s="904"/>
      <c r="EV347" s="1068">
        <f>EV345-EV346</f>
        <v>21294859</v>
      </c>
      <c r="EW347" s="51"/>
      <c r="EX347" s="51"/>
      <c r="EY347" s="904"/>
      <c r="FD347" s="1068">
        <f>FD345-FD346</f>
        <v>21294859</v>
      </c>
      <c r="FE347" s="51"/>
      <c r="FF347" s="51"/>
      <c r="FG347" s="904"/>
      <c r="FL347" s="1068">
        <f>FL345-FL346</f>
        <v>21294859</v>
      </c>
      <c r="FM347" s="51"/>
      <c r="FN347" s="51"/>
      <c r="FO347" s="904"/>
    </row>
    <row r="348" spans="1:171" ht="16.5" thickBot="1" x14ac:dyDescent="0.3">
      <c r="A348" s="1372" t="s">
        <v>634</v>
      </c>
      <c r="B348" s="51"/>
      <c r="C348" s="1"/>
      <c r="D348" s="1"/>
      <c r="E348" s="1"/>
      <c r="F348" s="1"/>
      <c r="G348" s="51"/>
      <c r="H348" s="1064">
        <f>'Sch 4 - Average System Cost'!$D$42</f>
        <v>1007459.77929</v>
      </c>
      <c r="I348" s="51"/>
      <c r="J348" s="1495"/>
      <c r="K348" s="904"/>
      <c r="P348" s="1064">
        <f>$H$348</f>
        <v>1007459.77929</v>
      </c>
      <c r="Q348" s="51"/>
      <c r="R348" s="51"/>
      <c r="S348" s="904"/>
      <c r="X348" s="1064">
        <f>$H$348</f>
        <v>1007459.77929</v>
      </c>
      <c r="Y348" s="51"/>
      <c r="Z348" s="51"/>
      <c r="AA348" s="904"/>
      <c r="AF348" s="1064">
        <f>$H$348</f>
        <v>1007459.77929</v>
      </c>
      <c r="AG348" s="51"/>
      <c r="AH348" s="51"/>
      <c r="AI348" s="904"/>
      <c r="AN348" s="1064">
        <f>$H$348</f>
        <v>1007459.77929</v>
      </c>
      <c r="AO348" s="51"/>
      <c r="AP348" s="51"/>
      <c r="AQ348" s="904"/>
      <c r="AV348" s="1064">
        <f>$H$348</f>
        <v>1007459.77929</v>
      </c>
      <c r="AW348" s="51"/>
      <c r="AX348" s="51"/>
      <c r="AY348" s="904"/>
      <c r="BD348" s="1064">
        <f>$H$348</f>
        <v>1007459.77929</v>
      </c>
      <c r="BE348" s="51"/>
      <c r="BF348" s="51"/>
      <c r="BG348" s="904"/>
      <c r="BL348" s="1064">
        <f>$H$348</f>
        <v>1007459.77929</v>
      </c>
      <c r="BM348" s="51"/>
      <c r="BN348" s="51"/>
      <c r="BO348" s="904"/>
      <c r="BT348" s="1064">
        <f>$H$348</f>
        <v>1007459.77929</v>
      </c>
      <c r="BU348" s="51"/>
      <c r="BV348" s="51"/>
      <c r="BW348" s="904"/>
      <c r="CB348" s="1064">
        <f>$H$348</f>
        <v>1007459.77929</v>
      </c>
      <c r="CC348" s="51"/>
      <c r="CD348" s="51"/>
      <c r="CE348" s="904"/>
      <c r="CJ348" s="1064">
        <f>$H$348</f>
        <v>1007459.77929</v>
      </c>
      <c r="CK348" s="51"/>
      <c r="CL348" s="51"/>
      <c r="CM348" s="904"/>
      <c r="CR348" s="1064">
        <f>$H$348</f>
        <v>1007459.77929</v>
      </c>
      <c r="CS348" s="51"/>
      <c r="CT348" s="51"/>
      <c r="CU348" s="904"/>
      <c r="CZ348" s="1064">
        <f>$H$348</f>
        <v>1007459.77929</v>
      </c>
      <c r="DA348" s="51"/>
      <c r="DB348" s="51"/>
      <c r="DC348" s="904"/>
      <c r="DH348" s="1064">
        <f>$H$348</f>
        <v>1007459.77929</v>
      </c>
      <c r="DI348" s="51"/>
      <c r="DJ348" s="51"/>
      <c r="DK348" s="904"/>
      <c r="DP348" s="1064">
        <f>$H$348</f>
        <v>1007459.77929</v>
      </c>
      <c r="DQ348" s="51"/>
      <c r="DR348" s="51"/>
      <c r="DS348" s="904"/>
      <c r="DX348" s="1064">
        <f>$H$348</f>
        <v>1007459.77929</v>
      </c>
      <c r="DY348" s="51"/>
      <c r="DZ348" s="51"/>
      <c r="EA348" s="904"/>
      <c r="EF348" s="1064">
        <f>$H$348</f>
        <v>1007459.77929</v>
      </c>
      <c r="EG348" s="51"/>
      <c r="EH348" s="51"/>
      <c r="EI348" s="904"/>
      <c r="EN348" s="1064">
        <f>$H$348</f>
        <v>1007459.77929</v>
      </c>
      <c r="EO348" s="51"/>
      <c r="EP348" s="51"/>
      <c r="EQ348" s="904"/>
      <c r="EV348" s="1064">
        <f>$H$348</f>
        <v>1007459.77929</v>
      </c>
      <c r="EW348" s="51"/>
      <c r="EX348" s="51"/>
      <c r="EY348" s="904"/>
      <c r="FD348" s="1064">
        <f>$H$348</f>
        <v>1007459.77929</v>
      </c>
      <c r="FE348" s="51"/>
      <c r="FF348" s="51"/>
      <c r="FG348" s="904"/>
      <c r="FL348" s="1064">
        <f>$H$348</f>
        <v>1007459.77929</v>
      </c>
      <c r="FM348" s="51"/>
      <c r="FN348" s="51"/>
      <c r="FO348" s="904"/>
    </row>
    <row r="349" spans="1:171" ht="16.5" thickBot="1" x14ac:dyDescent="0.3">
      <c r="A349" s="1361" t="s">
        <v>508</v>
      </c>
      <c r="B349" s="51"/>
      <c r="C349" s="1"/>
      <c r="D349" s="1"/>
      <c r="E349" s="1"/>
      <c r="F349" s="1"/>
      <c r="G349" s="51"/>
      <c r="H349" s="1250">
        <f>H347+H348</f>
        <v>22302318.779289998</v>
      </c>
      <c r="I349" s="51"/>
      <c r="J349" s="1495"/>
      <c r="K349" s="904"/>
      <c r="P349" s="1250">
        <f>P347+P348</f>
        <v>22302318.779289998</v>
      </c>
      <c r="Q349" s="51"/>
      <c r="R349" s="51"/>
      <c r="S349" s="904"/>
      <c r="X349" s="1250">
        <f>X347+X348</f>
        <v>22302318.779289998</v>
      </c>
      <c r="Y349" s="51"/>
      <c r="Z349" s="51"/>
      <c r="AA349" s="904"/>
      <c r="AF349" s="1250">
        <f>AF347+AF348</f>
        <v>22302318.779289998</v>
      </c>
      <c r="AG349" s="51"/>
      <c r="AH349" s="51"/>
      <c r="AI349" s="904"/>
      <c r="AN349" s="1250">
        <f>AN347+AN348</f>
        <v>22302318.779289998</v>
      </c>
      <c r="AO349" s="51"/>
      <c r="AP349" s="51"/>
      <c r="AQ349" s="904"/>
      <c r="AV349" s="1250">
        <f>AV347+AV348</f>
        <v>22302318.779289998</v>
      </c>
      <c r="AW349" s="51"/>
      <c r="AX349" s="51"/>
      <c r="AY349" s="904"/>
      <c r="BD349" s="1250">
        <f>BD347+BD348</f>
        <v>22302318.779289998</v>
      </c>
      <c r="BE349" s="51"/>
      <c r="BF349" s="51"/>
      <c r="BG349" s="904"/>
      <c r="BL349" s="1250">
        <f>BL347+BL348</f>
        <v>22302318.779289998</v>
      </c>
      <c r="BM349" s="51"/>
      <c r="BN349" s="51"/>
      <c r="BO349" s="904"/>
      <c r="BT349" s="1250">
        <f>BT347+BT348</f>
        <v>22302318.779289998</v>
      </c>
      <c r="BU349" s="51"/>
      <c r="BV349" s="51"/>
      <c r="BW349" s="904"/>
      <c r="CB349" s="1069">
        <f>CB347+CB348</f>
        <v>22302318.779289998</v>
      </c>
      <c r="CC349" s="51"/>
      <c r="CD349" s="51"/>
      <c r="CE349" s="904"/>
      <c r="CJ349" s="1069">
        <f>CJ347+CJ348</f>
        <v>22302318.779289998</v>
      </c>
      <c r="CK349" s="51"/>
      <c r="CL349" s="51"/>
      <c r="CM349" s="904"/>
      <c r="CR349" s="1069">
        <f>CR347+CR348</f>
        <v>22302318.779289998</v>
      </c>
      <c r="CS349" s="51"/>
      <c r="CT349" s="51"/>
      <c r="CU349" s="904"/>
      <c r="CZ349" s="1250">
        <f>CZ347+CZ348</f>
        <v>22302318.779289998</v>
      </c>
      <c r="DA349" s="51"/>
      <c r="DB349" s="51"/>
      <c r="DC349" s="904"/>
      <c r="DH349" s="1250">
        <f>DH347+DH348</f>
        <v>22302318.779289998</v>
      </c>
      <c r="DI349" s="51"/>
      <c r="DJ349" s="51"/>
      <c r="DK349" s="904"/>
      <c r="DP349" s="1250">
        <f>DP347+DP348</f>
        <v>22302318.779289998</v>
      </c>
      <c r="DQ349" s="51"/>
      <c r="DR349" s="51"/>
      <c r="DS349" s="904"/>
      <c r="DX349" s="1250">
        <f>DX347+DX348</f>
        <v>22302318.779289998</v>
      </c>
      <c r="DY349" s="51"/>
      <c r="DZ349" s="51"/>
      <c r="EA349" s="904"/>
      <c r="EF349" s="1250">
        <f>EF347+EF348</f>
        <v>22302318.779289998</v>
      </c>
      <c r="EG349" s="51"/>
      <c r="EH349" s="51"/>
      <c r="EI349" s="904"/>
      <c r="EN349" s="1250">
        <f>EN347+EN348</f>
        <v>22302318.779289998</v>
      </c>
      <c r="EO349" s="51"/>
      <c r="EP349" s="51"/>
      <c r="EQ349" s="904"/>
      <c r="EV349" s="1250">
        <f>EV347+EV348</f>
        <v>22302318.779289998</v>
      </c>
      <c r="EW349" s="51"/>
      <c r="EX349" s="51"/>
      <c r="EY349" s="904"/>
      <c r="FD349" s="1250">
        <f>FD347+FD348</f>
        <v>22302318.779289998</v>
      </c>
      <c r="FE349" s="51"/>
      <c r="FF349" s="51"/>
      <c r="FG349" s="904"/>
      <c r="FL349" s="1250">
        <f>FL347+FL348</f>
        <v>22302318.779289998</v>
      </c>
      <c r="FM349" s="51"/>
      <c r="FN349" s="51"/>
      <c r="FO349" s="904"/>
    </row>
    <row r="350" spans="1:171" ht="16.5" thickBot="1" x14ac:dyDescent="0.3">
      <c r="A350" s="1372"/>
      <c r="B350" s="51"/>
      <c r="C350" s="1"/>
      <c r="D350" s="1"/>
      <c r="E350" s="1"/>
      <c r="F350" s="1"/>
      <c r="G350" s="51"/>
      <c r="H350" s="56"/>
      <c r="I350" s="51"/>
      <c r="J350" s="1495"/>
      <c r="K350" s="904"/>
      <c r="P350" s="56"/>
      <c r="Q350" s="51"/>
      <c r="R350" s="51"/>
      <c r="S350" s="904"/>
      <c r="X350" s="56"/>
      <c r="Y350" s="51"/>
      <c r="Z350" s="51"/>
      <c r="AA350" s="904"/>
      <c r="AF350" s="56"/>
      <c r="AG350" s="51"/>
      <c r="AH350" s="51"/>
      <c r="AI350" s="904"/>
      <c r="AN350" s="56"/>
      <c r="AO350" s="51"/>
      <c r="AP350" s="51"/>
      <c r="AQ350" s="904"/>
      <c r="AV350" s="56"/>
      <c r="AW350" s="51"/>
      <c r="AX350" s="51"/>
      <c r="AY350" s="904"/>
      <c r="BD350" s="56"/>
      <c r="BE350" s="51"/>
      <c r="BF350" s="51"/>
      <c r="BG350" s="904"/>
      <c r="BL350" s="56"/>
      <c r="BM350" s="51"/>
      <c r="BN350" s="51"/>
      <c r="BO350" s="904"/>
      <c r="BT350" s="56"/>
      <c r="BU350" s="51"/>
      <c r="BV350" s="51"/>
      <c r="BW350" s="904"/>
      <c r="CB350" s="56"/>
      <c r="CC350" s="51"/>
      <c r="CD350" s="51"/>
      <c r="CE350" s="904"/>
      <c r="CJ350" s="56"/>
      <c r="CK350" s="51"/>
      <c r="CL350" s="51"/>
      <c r="CM350" s="904"/>
      <c r="CR350" s="56"/>
      <c r="CS350" s="51"/>
      <c r="CT350" s="51"/>
      <c r="CU350" s="904"/>
      <c r="CZ350" s="56"/>
      <c r="DA350" s="51"/>
      <c r="DB350" s="51"/>
      <c r="DC350" s="904"/>
      <c r="DH350" s="56"/>
      <c r="DI350" s="51"/>
      <c r="DJ350" s="51"/>
      <c r="DK350" s="904"/>
      <c r="DP350" s="56"/>
      <c r="DQ350" s="51"/>
      <c r="DR350" s="51"/>
      <c r="DS350" s="904"/>
      <c r="DX350" s="56"/>
      <c r="DY350" s="51"/>
      <c r="DZ350" s="51"/>
      <c r="EA350" s="904"/>
      <c r="EF350" s="56"/>
      <c r="EG350" s="51"/>
      <c r="EH350" s="51"/>
      <c r="EI350" s="904"/>
      <c r="EN350" s="56"/>
      <c r="EO350" s="51"/>
      <c r="EP350" s="51"/>
      <c r="EQ350" s="904"/>
      <c r="EV350" s="56"/>
      <c r="EW350" s="51"/>
      <c r="EX350" s="51"/>
      <c r="EY350" s="904"/>
      <c r="FD350" s="56"/>
      <c r="FE350" s="51"/>
      <c r="FF350" s="51"/>
      <c r="FG350" s="904"/>
      <c r="FL350" s="56"/>
      <c r="FM350" s="51"/>
      <c r="FN350" s="51"/>
      <c r="FO350" s="904"/>
    </row>
    <row r="351" spans="1:171" ht="17.25" thickTop="1" thickBot="1" x14ac:dyDescent="0.3">
      <c r="A351" s="1500" t="s">
        <v>322</v>
      </c>
      <c r="B351" s="1063"/>
      <c r="C351" s="1"/>
      <c r="D351" s="1"/>
      <c r="E351" s="1"/>
      <c r="F351" s="1"/>
      <c r="G351" s="51"/>
      <c r="H351" s="1251">
        <f>H342/H349</f>
        <v>116.18284112624482</v>
      </c>
      <c r="I351" s="51"/>
      <c r="J351" s="1495"/>
      <c r="K351" s="904"/>
      <c r="L351" s="1062" t="s">
        <v>322</v>
      </c>
      <c r="M351" s="1254"/>
      <c r="P351" s="1251">
        <f>P342/P349</f>
        <v>129.01578323765182</v>
      </c>
      <c r="Q351" s="51"/>
      <c r="R351" s="51"/>
      <c r="S351" s="904"/>
      <c r="T351" s="1062" t="s">
        <v>322</v>
      </c>
      <c r="U351" s="1254"/>
      <c r="X351" s="1251">
        <f>X342/X349</f>
        <v>129.01578323765182</v>
      </c>
      <c r="Y351" s="51"/>
      <c r="Z351" s="51"/>
      <c r="AA351" s="904"/>
      <c r="AB351" s="1062" t="s">
        <v>322</v>
      </c>
      <c r="AC351" s="1254"/>
      <c r="AF351" s="1251">
        <f>AF342/AF349</f>
        <v>129.01578323765182</v>
      </c>
      <c r="AG351" s="51"/>
      <c r="AH351" s="51"/>
      <c r="AI351" s="904"/>
      <c r="AJ351" s="1062" t="s">
        <v>322</v>
      </c>
      <c r="AK351" s="1254"/>
      <c r="AN351" s="1251">
        <f>AN342/AN349</f>
        <v>129.01578323765182</v>
      </c>
      <c r="AO351" s="51"/>
      <c r="AP351" s="51"/>
      <c r="AQ351" s="904"/>
      <c r="AR351" s="1062" t="s">
        <v>322</v>
      </c>
      <c r="AS351" s="1254"/>
      <c r="AV351" s="1251">
        <f>AV342/AV349</f>
        <v>129.01578323765182</v>
      </c>
      <c r="AW351" s="51"/>
      <c r="AX351" s="51"/>
      <c r="AY351" s="904"/>
      <c r="AZ351" s="1062" t="s">
        <v>322</v>
      </c>
      <c r="BA351" s="1254"/>
      <c r="BD351" s="1251">
        <f>BD342/BD349</f>
        <v>129.01578323765182</v>
      </c>
      <c r="BE351" s="51"/>
      <c r="BF351" s="51"/>
      <c r="BG351" s="904"/>
      <c r="BH351" s="1062" t="s">
        <v>322</v>
      </c>
      <c r="BI351" s="1254"/>
      <c r="BL351" s="1251">
        <f>BL342/BL349</f>
        <v>129.01578323765182</v>
      </c>
      <c r="BM351" s="51"/>
      <c r="BN351" s="51"/>
      <c r="BO351" s="904"/>
      <c r="BP351" s="1062" t="s">
        <v>322</v>
      </c>
      <c r="BQ351" s="1254"/>
      <c r="BT351" s="1251">
        <f>BT342/BT349</f>
        <v>129.01578323765182</v>
      </c>
      <c r="BU351" s="51"/>
      <c r="BV351" s="51"/>
      <c r="BW351" s="904"/>
      <c r="BX351" s="1062" t="s">
        <v>322</v>
      </c>
      <c r="BY351" s="1254"/>
      <c r="CB351" s="1070">
        <f>CB342/CB349</f>
        <v>129.01578323765182</v>
      </c>
      <c r="CC351" s="51"/>
      <c r="CD351" s="51"/>
      <c r="CE351" s="904"/>
      <c r="CF351" s="1062" t="s">
        <v>322</v>
      </c>
      <c r="CG351" s="1254"/>
      <c r="CJ351" s="1070">
        <f>CJ342/CJ349</f>
        <v>129.01578323765182</v>
      </c>
      <c r="CK351" s="51"/>
      <c r="CL351" s="51"/>
      <c r="CM351" s="904"/>
      <c r="CN351" s="1062" t="s">
        <v>322</v>
      </c>
      <c r="CO351" s="1254"/>
      <c r="CR351" s="1070">
        <f>CR342/CR349</f>
        <v>129.01578323765182</v>
      </c>
      <c r="CS351" s="51"/>
      <c r="CT351" s="51"/>
      <c r="CU351" s="904"/>
      <c r="CV351" s="1062" t="s">
        <v>322</v>
      </c>
      <c r="CW351" s="1254"/>
      <c r="CZ351" s="1251">
        <f>CZ342/CZ349</f>
        <v>129.01578323765182</v>
      </c>
      <c r="DA351" s="51"/>
      <c r="DB351" s="51"/>
      <c r="DC351" s="904"/>
      <c r="DD351" s="1062" t="s">
        <v>322</v>
      </c>
      <c r="DE351" s="1254"/>
      <c r="DH351" s="1251">
        <f>DH342/DH349</f>
        <v>129.01578323765182</v>
      </c>
      <c r="DI351" s="51"/>
      <c r="DJ351" s="51"/>
      <c r="DK351" s="904"/>
      <c r="DL351" s="1062" t="s">
        <v>322</v>
      </c>
      <c r="DM351" s="1254"/>
      <c r="DP351" s="1251">
        <f>DP342/DP349</f>
        <v>129.01578323765182</v>
      </c>
      <c r="DQ351" s="51"/>
      <c r="DR351" s="51"/>
      <c r="DS351" s="904"/>
      <c r="DT351" s="1062" t="s">
        <v>322</v>
      </c>
      <c r="DU351" s="1254"/>
      <c r="DX351" s="1251">
        <f>DX342/DX349</f>
        <v>129.01578323765182</v>
      </c>
      <c r="DY351" s="51"/>
      <c r="DZ351" s="51"/>
      <c r="EA351" s="904"/>
      <c r="EB351" s="1062" t="s">
        <v>322</v>
      </c>
      <c r="EC351" s="1254"/>
      <c r="EF351" s="1251">
        <f>EF342/EF349</f>
        <v>129.01578323765182</v>
      </c>
      <c r="EG351" s="51"/>
      <c r="EH351" s="51"/>
      <c r="EI351" s="904"/>
      <c r="EJ351" s="1062" t="s">
        <v>322</v>
      </c>
      <c r="EK351" s="1254"/>
      <c r="EN351" s="1251">
        <f>EN342/EN349</f>
        <v>129.01578323765182</v>
      </c>
      <c r="EO351" s="51"/>
      <c r="EP351" s="51"/>
      <c r="EQ351" s="904"/>
      <c r="ER351" s="1062" t="s">
        <v>322</v>
      </c>
      <c r="ES351" s="1254"/>
      <c r="EV351" s="1251">
        <f>EV342/EV349</f>
        <v>129.01578323765182</v>
      </c>
      <c r="EW351" s="51"/>
      <c r="EX351" s="51"/>
      <c r="EY351" s="904"/>
      <c r="EZ351" s="1062" t="s">
        <v>322</v>
      </c>
      <c r="FA351" s="1254"/>
      <c r="FD351" s="1251">
        <f>FD342/FD349</f>
        <v>129.01578323765182</v>
      </c>
      <c r="FE351" s="51"/>
      <c r="FF351" s="51"/>
      <c r="FG351" s="904"/>
      <c r="FH351" s="1062" t="s">
        <v>322</v>
      </c>
      <c r="FI351" s="1254"/>
      <c r="FL351" s="1252">
        <f>FL342/FL349</f>
        <v>129.01578323765182</v>
      </c>
      <c r="FM351" s="1253"/>
      <c r="FN351" s="51"/>
      <c r="FO351" s="904"/>
    </row>
    <row r="352" spans="1:171" ht="17.25" thickTop="1" thickBot="1" x14ac:dyDescent="0.3">
      <c r="A352" s="1455"/>
      <c r="B352" s="1"/>
      <c r="C352" s="1"/>
      <c r="D352" s="1"/>
      <c r="E352" s="1"/>
      <c r="F352" s="1"/>
      <c r="G352" s="1"/>
      <c r="H352" s="1"/>
      <c r="I352" s="1"/>
      <c r="J352" s="1456"/>
      <c r="K352" s="904"/>
      <c r="L352" s="1062" t="s">
        <v>683</v>
      </c>
      <c r="M352" s="1254"/>
      <c r="P352" s="1157">
        <f>(P351-$H351)/$H$351</f>
        <v>0.11045471075597693</v>
      </c>
      <c r="S352" s="904"/>
      <c r="T352" s="1062" t="s">
        <v>683</v>
      </c>
      <c r="U352" s="1254"/>
      <c r="X352" s="1157">
        <f>(X351-$H351)/$H$351</f>
        <v>0.11045471075597693</v>
      </c>
      <c r="AA352" s="904"/>
      <c r="AB352" s="1062" t="s">
        <v>683</v>
      </c>
      <c r="AC352" s="1254"/>
      <c r="AF352" s="1157">
        <f>(AF351-$H351)/$H$351</f>
        <v>0.11045471075597693</v>
      </c>
      <c r="AI352" s="904"/>
      <c r="AJ352" s="1062" t="s">
        <v>683</v>
      </c>
      <c r="AK352" s="1254"/>
      <c r="AN352" s="1157">
        <f>(AN351-$H351)/$H$351</f>
        <v>0.11045471075597693</v>
      </c>
      <c r="AQ352" s="904"/>
      <c r="AR352" s="1062" t="s">
        <v>683</v>
      </c>
      <c r="AS352" s="1254"/>
      <c r="AV352" s="1157">
        <f>(AV351-$H351)/$H$351</f>
        <v>0.11045471075597693</v>
      </c>
      <c r="AY352" s="904"/>
      <c r="AZ352" s="1062" t="s">
        <v>683</v>
      </c>
      <c r="BA352" s="1254"/>
      <c r="BD352" s="1157">
        <f>(BD351-$H351)/$H$351</f>
        <v>0.11045471075597693</v>
      </c>
      <c r="BG352" s="904"/>
      <c r="BH352" s="1062" t="s">
        <v>683</v>
      </c>
      <c r="BI352" s="1254"/>
      <c r="BL352" s="1157">
        <f>(BL351-$H351)/$H$351</f>
        <v>0.11045471075597693</v>
      </c>
      <c r="BO352" s="904"/>
      <c r="BP352" s="1062" t="s">
        <v>683</v>
      </c>
      <c r="BQ352" s="1254"/>
      <c r="BT352" s="1157">
        <f>(BT351-$H351)/$H$351</f>
        <v>0.11045471075597693</v>
      </c>
      <c r="BW352" s="904"/>
      <c r="BX352" s="1062" t="s">
        <v>683</v>
      </c>
      <c r="BY352" s="1254"/>
      <c r="CB352" s="1157">
        <f>(CB351-$H351)/$H$351</f>
        <v>0.11045471075597693</v>
      </c>
      <c r="CE352" s="904"/>
      <c r="CF352" s="1062" t="s">
        <v>683</v>
      </c>
      <c r="CG352" s="1254"/>
      <c r="CJ352" s="1157">
        <f>(CJ351-$H351)/$H$351</f>
        <v>0.11045471075597693</v>
      </c>
      <c r="CM352" s="904"/>
      <c r="CN352" s="1062" t="s">
        <v>683</v>
      </c>
      <c r="CO352" s="1254"/>
      <c r="CR352" s="1157">
        <f>(CR351-$H351)/$H$351</f>
        <v>0.11045471075597693</v>
      </c>
      <c r="CU352" s="904"/>
      <c r="CV352" s="1062" t="s">
        <v>683</v>
      </c>
      <c r="CW352" s="1254"/>
      <c r="CZ352" s="1157">
        <f>(CZ351-$H351)/$H$351</f>
        <v>0.11045471075597693</v>
      </c>
      <c r="DC352" s="904"/>
      <c r="DD352" s="1062" t="s">
        <v>683</v>
      </c>
      <c r="DE352" s="1254"/>
      <c r="DH352" s="1157">
        <f>(DH351-$H351)/$H$351</f>
        <v>0.11045471075597693</v>
      </c>
      <c r="DK352" s="904"/>
      <c r="DL352" s="1062" t="s">
        <v>683</v>
      </c>
      <c r="DM352" s="1254"/>
      <c r="DP352" s="1157">
        <f>(DP351-$H351)/$H$351</f>
        <v>0.11045471075597693</v>
      </c>
      <c r="DS352" s="904"/>
      <c r="DT352" s="1062" t="s">
        <v>683</v>
      </c>
      <c r="DU352" s="1254"/>
      <c r="DX352" s="1157">
        <f>(DX351-$H351)/$H$351</f>
        <v>0.11045471075597693</v>
      </c>
      <c r="EA352" s="904"/>
      <c r="EB352" s="1062" t="s">
        <v>683</v>
      </c>
      <c r="EC352" s="1254"/>
      <c r="EF352" s="1157">
        <f>(EF351-$H351)/$H$351</f>
        <v>0.11045471075597693</v>
      </c>
      <c r="EI352" s="904"/>
      <c r="EJ352" s="1062" t="s">
        <v>683</v>
      </c>
      <c r="EK352" s="1254"/>
      <c r="EN352" s="1157">
        <f>(EN351-$H351)/$H$351</f>
        <v>0.11045471075597693</v>
      </c>
      <c r="EQ352" s="904"/>
      <c r="ER352" s="1062" t="s">
        <v>683</v>
      </c>
      <c r="ES352" s="1254"/>
      <c r="EV352" s="1157">
        <f>(EV351-$H351)/$H$351</f>
        <v>0.11045471075597693</v>
      </c>
      <c r="EY352" s="904"/>
      <c r="EZ352" s="1062" t="s">
        <v>683</v>
      </c>
      <c r="FA352" s="1254"/>
      <c r="FD352" s="1157">
        <f>(FD351-$H351)/$H$351</f>
        <v>0.11045471075597693</v>
      </c>
      <c r="FG352" s="904"/>
      <c r="FH352" s="1062" t="s">
        <v>683</v>
      </c>
      <c r="FI352" s="1254"/>
      <c r="FL352" s="1157">
        <f>(FL351-$H351)/$H$351</f>
        <v>0.11045471075597693</v>
      </c>
      <c r="FO352" s="904"/>
    </row>
    <row r="353" spans="1:171" ht="16.5" thickTop="1" x14ac:dyDescent="0.25">
      <c r="A353" s="1502"/>
      <c r="J353" s="1412"/>
      <c r="K353" s="904"/>
      <c r="S353" s="904"/>
      <c r="AA353" s="904"/>
      <c r="AI353" s="904"/>
      <c r="AQ353" s="904"/>
      <c r="AY353" s="904"/>
      <c r="BG353" s="904"/>
      <c r="BO353" s="904"/>
      <c r="BW353" s="904"/>
      <c r="CE353" s="904"/>
      <c r="CM353" s="904"/>
      <c r="CU353" s="904"/>
      <c r="DC353" s="904"/>
      <c r="DK353" s="904"/>
      <c r="DS353" s="904"/>
      <c r="EA353" s="904"/>
      <c r="EI353" s="904"/>
      <c r="EQ353" s="904"/>
      <c r="EY353" s="904"/>
      <c r="FG353" s="904"/>
      <c r="FO353" s="904"/>
    </row>
    <row r="354" spans="1:171" x14ac:dyDescent="0.25">
      <c r="A354" s="1502"/>
      <c r="J354" s="1412"/>
      <c r="K354" s="904"/>
      <c r="P354" s="1071" t="str">
        <f>IF(P352&gt;=0.025,"Material",IF(P352&gt;0.005,"Group","Not Material"))</f>
        <v>Material</v>
      </c>
      <c r="S354" s="904"/>
      <c r="X354" s="1071" t="str">
        <f>IF(X352&gt;=0.025,"Material",IF(X352&gt;0.005,"Group","Not Material"))</f>
        <v>Material</v>
      </c>
      <c r="AA354" s="904"/>
      <c r="AF354" s="1071" t="str">
        <f>IF(AF352&gt;=0.025,"Material",IF(AF352&gt;0.005,"Group","Not Material"))</f>
        <v>Material</v>
      </c>
      <c r="AI354" s="904"/>
      <c r="AN354" s="1071" t="str">
        <f>IF(AN352&gt;=0.025,"Material",IF(AN352&gt;0.005,"Group","Not Material"))</f>
        <v>Material</v>
      </c>
      <c r="AQ354" s="904"/>
      <c r="AV354" s="1071" t="str">
        <f>IF(AV352&gt;=0.025,"Material",IF(AV352&gt;0.005,"Group","Not Material"))</f>
        <v>Material</v>
      </c>
      <c r="AY354" s="904"/>
      <c r="BD354" s="1071" t="str">
        <f>IF(BD352&gt;=0.025,"Material",IF(BD352&gt;0.005,"Group","Not Material"))</f>
        <v>Material</v>
      </c>
      <c r="BG354" s="904"/>
      <c r="BL354" s="1071" t="str">
        <f>IF(BL352&gt;=0.025,"Material",IF(BL352&gt;0.005,"Group","Not Material"))</f>
        <v>Material</v>
      </c>
      <c r="BO354" s="904"/>
      <c r="BT354" s="1071" t="str">
        <f>IF(BT352&gt;=0.025,"Material",IF(BT352&gt;0.005,"Group","Not Material"))</f>
        <v>Material</v>
      </c>
      <c r="BW354" s="904"/>
      <c r="CB354" s="1071" t="str">
        <f>IF(CB352&gt;=0.025,"Material",IF(CB352&gt;0.005,"Group","Not Material"))</f>
        <v>Material</v>
      </c>
      <c r="CE354" s="904"/>
      <c r="CJ354" s="1071" t="str">
        <f>IF(CJ352&gt;=0.025,"Material",IF(CJ352&gt;0.005,"Group","Not Material"))</f>
        <v>Material</v>
      </c>
      <c r="CM354" s="904"/>
      <c r="CR354" s="1071" t="str">
        <f>IF(CR352&gt;=0.025,"Material",IF(CR352&gt;0.005,"Group","Not Material"))</f>
        <v>Material</v>
      </c>
      <c r="CU354" s="904"/>
      <c r="CZ354" s="1071" t="str">
        <f>IF(CZ352&gt;=0.025,"Material",IF(CZ352&gt;0.005,"Group","Not Material"))</f>
        <v>Material</v>
      </c>
      <c r="DC354" s="904"/>
      <c r="DH354" s="1071" t="str">
        <f>IF(DH352&gt;=0.025,"Material",IF(DH352&gt;0.005,"Group","Not Material"))</f>
        <v>Material</v>
      </c>
      <c r="DK354" s="904"/>
      <c r="DP354" s="1071" t="str">
        <f>IF(DP352&gt;=0.025,"Material",IF(DP352&gt;0.005,"Group","Not Material"))</f>
        <v>Material</v>
      </c>
      <c r="DS354" s="904"/>
      <c r="DX354" s="1071" t="str">
        <f>IF(DX352&gt;=0.025,"Material",IF(DX352&gt;0.005,"Group","Not Material"))</f>
        <v>Material</v>
      </c>
      <c r="EA354" s="904"/>
      <c r="EF354" s="1071" t="str">
        <f>IF(EF352&gt;=0.025,"Material",IF(EF352&gt;0.005,"Group","Not Material"))</f>
        <v>Material</v>
      </c>
      <c r="EI354" s="904"/>
      <c r="EN354" s="1071" t="str">
        <f>IF(EN352&gt;=0.025,"Material",IF(EN352&gt;0.005,"Group","Not Material"))</f>
        <v>Material</v>
      </c>
      <c r="EQ354" s="904"/>
      <c r="EV354" s="1071" t="str">
        <f>IF(EV352&gt;=0.025,"Material",IF(EV352&gt;0.005,"Group","Not Material"))</f>
        <v>Material</v>
      </c>
      <c r="EY354" s="904"/>
      <c r="FD354" s="1071" t="str">
        <f>IF(FD352&gt;=0.025,"Material",IF(FD352&gt;0.005,"Group","Not Material"))</f>
        <v>Material</v>
      </c>
      <c r="FG354" s="904"/>
      <c r="FL354" s="1071" t="str">
        <f>IF(FL352&gt;=0.025,"Material",IF(FL352&gt;0.005,"Group","Not Material"))</f>
        <v>Material</v>
      </c>
      <c r="FO354" s="904"/>
    </row>
    <row r="355" spans="1:171" x14ac:dyDescent="0.25">
      <c r="A355" s="1502"/>
      <c r="J355" s="1412"/>
      <c r="K355" s="904"/>
      <c r="S355" s="904"/>
      <c r="AA355" s="904"/>
      <c r="AI355" s="904"/>
      <c r="AQ355" s="904"/>
      <c r="AY355" s="904"/>
      <c r="BG355" s="904"/>
      <c r="BO355" s="904"/>
      <c r="BW355" s="904"/>
      <c r="CE355" s="904"/>
      <c r="CM355" s="904"/>
      <c r="CU355" s="904"/>
      <c r="DC355" s="904"/>
      <c r="DK355" s="904"/>
      <c r="DS355" s="904"/>
      <c r="EA355" s="904"/>
      <c r="EI355" s="904"/>
      <c r="EQ355" s="904"/>
      <c r="EY355" s="904"/>
      <c r="FG355" s="904"/>
      <c r="FO355" s="904"/>
    </row>
    <row r="356" spans="1:171" ht="16.5" thickBot="1" x14ac:dyDescent="0.3">
      <c r="A356" s="1503"/>
      <c r="B356" s="1504"/>
      <c r="C356" s="1504"/>
      <c r="D356" s="1504"/>
      <c r="E356" s="1504"/>
      <c r="F356" s="1504"/>
      <c r="G356" s="1504"/>
      <c r="H356" s="1504"/>
      <c r="I356" s="1504"/>
      <c r="J356" s="1505"/>
      <c r="K356" s="904"/>
      <c r="S356" s="904"/>
      <c r="AA356" s="904"/>
      <c r="AI356" s="904"/>
      <c r="AQ356" s="904"/>
      <c r="AY356" s="904"/>
      <c r="BG356" s="904"/>
      <c r="BO356" s="904"/>
      <c r="BW356" s="904"/>
      <c r="CE356" s="904"/>
      <c r="CM356" s="904"/>
      <c r="CU356" s="904"/>
      <c r="DC356" s="904"/>
      <c r="DK356" s="904"/>
      <c r="DS356" s="904"/>
      <c r="EA356" s="904"/>
      <c r="EI356" s="904"/>
      <c r="EQ356" s="904"/>
      <c r="EY356" s="904"/>
      <c r="FG356" s="904"/>
      <c r="FO356" s="904"/>
    </row>
    <row r="357" spans="1:171" ht="16.5" thickTop="1" x14ac:dyDescent="0.25">
      <c r="K357" s="904"/>
      <c r="S357" s="904"/>
      <c r="AA357" s="904"/>
      <c r="AI357" s="904"/>
      <c r="AQ357" s="904"/>
      <c r="AY357" s="904"/>
      <c r="BG357" s="904"/>
      <c r="BO357" s="904"/>
      <c r="BW357" s="904"/>
      <c r="CE357" s="904"/>
      <c r="CM357" s="904"/>
      <c r="CU357" s="904"/>
      <c r="DC357" s="904"/>
      <c r="DK357" s="904"/>
      <c r="DS357" s="904"/>
      <c r="EA357" s="904"/>
      <c r="EI357" s="904"/>
      <c r="EQ357" s="904"/>
      <c r="EY357" s="904"/>
      <c r="FG357" s="904"/>
      <c r="FO357" s="904"/>
    </row>
    <row r="358" spans="1:171" x14ac:dyDescent="0.25">
      <c r="K358" s="904"/>
      <c r="S358" s="904"/>
      <c r="AA358" s="904"/>
      <c r="AI358" s="904"/>
      <c r="AQ358" s="904"/>
      <c r="AY358" s="904"/>
      <c r="BG358" s="904"/>
      <c r="BO358" s="904"/>
      <c r="BW358" s="904"/>
      <c r="CE358" s="904"/>
      <c r="CM358" s="904"/>
      <c r="CU358" s="904"/>
      <c r="DC358" s="904"/>
      <c r="DK358" s="904"/>
      <c r="DS358" s="904"/>
      <c r="EA358" s="904"/>
      <c r="EI358" s="904"/>
      <c r="EQ358" s="904"/>
      <c r="EY358" s="904"/>
      <c r="FG358" s="904"/>
      <c r="FO358" s="904"/>
    </row>
    <row r="359" spans="1:171" x14ac:dyDescent="0.25">
      <c r="K359" s="904"/>
      <c r="S359" s="904"/>
      <c r="AA359" s="904"/>
      <c r="AI359" s="904"/>
      <c r="AQ359" s="904"/>
      <c r="AY359" s="904"/>
      <c r="BG359" s="904"/>
      <c r="BO359" s="904"/>
      <c r="BW359" s="904"/>
      <c r="CE359" s="904"/>
      <c r="CM359" s="904"/>
      <c r="CU359" s="904"/>
      <c r="DC359" s="904"/>
      <c r="DK359" s="904"/>
      <c r="DS359" s="904"/>
      <c r="EA359" s="904"/>
      <c r="EI359" s="904"/>
      <c r="EQ359" s="904"/>
      <c r="EY359" s="904"/>
      <c r="FG359" s="904"/>
      <c r="FO359" s="904"/>
    </row>
    <row r="360" spans="1:171" x14ac:dyDescent="0.25">
      <c r="K360" s="904"/>
      <c r="S360" s="904"/>
      <c r="AA360" s="904"/>
      <c r="AI360" s="904"/>
      <c r="AQ360" s="904"/>
      <c r="AY360" s="904"/>
      <c r="BG360" s="904"/>
      <c r="BO360" s="904"/>
      <c r="BW360" s="904"/>
      <c r="CE360" s="904"/>
      <c r="CM360" s="904"/>
      <c r="CU360" s="904"/>
      <c r="DC360" s="904"/>
      <c r="DK360" s="904"/>
      <c r="DS360" s="904"/>
      <c r="EA360" s="904"/>
      <c r="EI360" s="904"/>
      <c r="EQ360" s="904"/>
      <c r="EY360" s="904"/>
      <c r="FG360" s="904"/>
      <c r="FO360" s="904"/>
    </row>
    <row r="361" spans="1:171" x14ac:dyDescent="0.25">
      <c r="K361" s="904"/>
      <c r="S361" s="904"/>
      <c r="AA361" s="904"/>
      <c r="AI361" s="904"/>
      <c r="AQ361" s="904"/>
      <c r="AY361" s="904"/>
      <c r="BG361" s="904"/>
      <c r="BO361" s="904"/>
      <c r="BW361" s="904"/>
      <c r="CE361" s="904"/>
      <c r="CM361" s="904"/>
      <c r="CU361" s="904"/>
      <c r="DC361" s="904"/>
      <c r="DK361" s="904"/>
      <c r="DS361" s="904"/>
      <c r="EA361" s="904"/>
      <c r="EI361" s="904"/>
      <c r="EQ361" s="904"/>
      <c r="EY361" s="904"/>
      <c r="FG361" s="904"/>
      <c r="FO361" s="904"/>
    </row>
    <row r="362" spans="1:171" x14ac:dyDescent="0.25">
      <c r="K362" s="904"/>
      <c r="S362" s="904"/>
      <c r="AA362" s="904"/>
      <c r="AI362" s="904"/>
      <c r="AQ362" s="904"/>
      <c r="AY362" s="904"/>
      <c r="BG362" s="904"/>
      <c r="BO362" s="904"/>
      <c r="BW362" s="904"/>
      <c r="CE362" s="904"/>
      <c r="CM362" s="904"/>
      <c r="CU362" s="904"/>
      <c r="DC362" s="904"/>
      <c r="DK362" s="904"/>
      <c r="DS362" s="904"/>
      <c r="EA362" s="904"/>
      <c r="EI362" s="904"/>
      <c r="EQ362" s="904"/>
      <c r="EY362" s="904"/>
      <c r="FG362" s="904"/>
      <c r="FO362" s="904"/>
    </row>
    <row r="363" spans="1:171" x14ac:dyDescent="0.25">
      <c r="K363" s="904"/>
      <c r="S363" s="904"/>
      <c r="AA363" s="904"/>
      <c r="AI363" s="904"/>
      <c r="AQ363" s="904"/>
      <c r="AY363" s="904"/>
      <c r="BG363" s="904"/>
      <c r="BO363" s="904"/>
      <c r="BW363" s="904"/>
      <c r="CE363" s="904"/>
      <c r="CM363" s="904"/>
      <c r="CU363" s="904"/>
      <c r="DC363" s="904"/>
      <c r="DK363" s="904"/>
      <c r="DS363" s="904"/>
      <c r="EA363" s="904"/>
      <c r="EI363" s="904"/>
      <c r="EQ363" s="904"/>
      <c r="EY363" s="904"/>
      <c r="FG363" s="904"/>
      <c r="FO363" s="904"/>
    </row>
    <row r="364" spans="1:171" x14ac:dyDescent="0.25">
      <c r="K364" s="904"/>
      <c r="S364" s="904"/>
      <c r="AA364" s="904"/>
      <c r="AI364" s="904"/>
      <c r="AQ364" s="904"/>
      <c r="AY364" s="904"/>
      <c r="BG364" s="904"/>
      <c r="BO364" s="904"/>
      <c r="BW364" s="904"/>
      <c r="CE364" s="904"/>
      <c r="CM364" s="904"/>
      <c r="CU364" s="904"/>
      <c r="DC364" s="904"/>
      <c r="DK364" s="904"/>
      <c r="DS364" s="904"/>
      <c r="EA364" s="904"/>
      <c r="EI364" s="904"/>
      <c r="EQ364" s="904"/>
      <c r="EY364" s="904"/>
      <c r="FG364" s="904"/>
      <c r="FO364" s="904"/>
    </row>
    <row r="365" spans="1:171" x14ac:dyDescent="0.25">
      <c r="K365" s="904"/>
      <c r="S365" s="904"/>
      <c r="AA365" s="904"/>
      <c r="AI365" s="904"/>
      <c r="AQ365" s="904"/>
      <c r="AY365" s="904"/>
      <c r="BG365" s="904"/>
      <c r="BO365" s="904"/>
      <c r="BW365" s="904"/>
      <c r="CE365" s="904"/>
      <c r="CM365" s="904"/>
      <c r="CU365" s="904"/>
      <c r="DC365" s="904"/>
      <c r="DK365" s="904"/>
      <c r="DS365" s="904"/>
      <c r="EA365" s="904"/>
      <c r="EI365" s="904"/>
      <c r="EQ365" s="904"/>
      <c r="EY365" s="904"/>
      <c r="FG365" s="904"/>
      <c r="FO365" s="904"/>
    </row>
    <row r="366" spans="1:171" x14ac:dyDescent="0.25">
      <c r="K366" s="904"/>
      <c r="S366" s="904"/>
      <c r="AA366" s="904"/>
      <c r="AI366" s="904"/>
      <c r="AQ366" s="904"/>
      <c r="AY366" s="904"/>
      <c r="BG366" s="904"/>
      <c r="BO366" s="904"/>
      <c r="BW366" s="904"/>
      <c r="CE366" s="904"/>
      <c r="CM366" s="904"/>
      <c r="CU366" s="904"/>
      <c r="DC366" s="904"/>
      <c r="DK366" s="904"/>
      <c r="DP366" s="1247"/>
      <c r="DS366" s="904"/>
      <c r="EA366" s="904"/>
      <c r="EI366" s="904"/>
      <c r="EQ366" s="904"/>
      <c r="EY366" s="904"/>
      <c r="FG366" s="904"/>
      <c r="FO366" s="904"/>
    </row>
    <row r="367" spans="1:171" x14ac:dyDescent="0.25">
      <c r="K367" s="904"/>
      <c r="S367" s="904"/>
      <c r="AA367" s="904"/>
      <c r="AI367" s="904"/>
      <c r="AQ367" s="904"/>
      <c r="AY367" s="904"/>
      <c r="BG367" s="904"/>
      <c r="BO367" s="904"/>
      <c r="BW367" s="904"/>
      <c r="CE367" s="904"/>
      <c r="CM367" s="904"/>
      <c r="CU367" s="904"/>
      <c r="DC367" s="904"/>
      <c r="DK367" s="904"/>
      <c r="DP367" s="1248"/>
      <c r="DS367" s="904"/>
      <c r="EA367" s="904"/>
      <c r="EI367" s="904"/>
      <c r="EQ367" s="904"/>
      <c r="EY367" s="904"/>
      <c r="FG367" s="904"/>
      <c r="FO367" s="904"/>
    </row>
    <row r="368" spans="1:171" x14ac:dyDescent="0.25">
      <c r="K368" s="904"/>
      <c r="S368" s="904"/>
      <c r="AA368" s="904"/>
      <c r="AI368" s="904"/>
      <c r="AQ368" s="904"/>
      <c r="AY368" s="904"/>
      <c r="BG368" s="904"/>
      <c r="BO368" s="904"/>
      <c r="BW368" s="904"/>
      <c r="CE368" s="904"/>
      <c r="CM368" s="904"/>
      <c r="CU368" s="904"/>
      <c r="DC368" s="904"/>
      <c r="DK368" s="904"/>
      <c r="DP368" s="891"/>
      <c r="DS368" s="904"/>
      <c r="EA368" s="904"/>
      <c r="EI368" s="904"/>
      <c r="EQ368" s="904"/>
      <c r="EY368" s="904"/>
      <c r="FG368" s="904"/>
      <c r="FO368" s="904"/>
    </row>
    <row r="369" spans="2:171" ht="18.75" x14ac:dyDescent="0.3">
      <c r="D369" s="1633"/>
      <c r="E369" s="302" t="s">
        <v>521</v>
      </c>
      <c r="G369" s="303" t="s">
        <v>104</v>
      </c>
      <c r="H369" s="303" t="s">
        <v>105</v>
      </c>
      <c r="I369" s="303" t="s">
        <v>106</v>
      </c>
      <c r="J369" s="304" t="s">
        <v>512</v>
      </c>
      <c r="K369" s="904"/>
      <c r="O369" s="303" t="s">
        <v>104</v>
      </c>
      <c r="P369" s="303" t="s">
        <v>105</v>
      </c>
      <c r="Q369" s="303" t="s">
        <v>106</v>
      </c>
      <c r="R369" s="304" t="s">
        <v>512</v>
      </c>
      <c r="S369" s="904"/>
      <c r="W369" s="303" t="s">
        <v>104</v>
      </c>
      <c r="X369" s="303" t="s">
        <v>105</v>
      </c>
      <c r="Y369" s="303" t="s">
        <v>106</v>
      </c>
      <c r="Z369" s="304" t="s">
        <v>512</v>
      </c>
      <c r="AA369" s="904"/>
      <c r="AE369" s="303" t="s">
        <v>104</v>
      </c>
      <c r="AF369" s="303" t="s">
        <v>105</v>
      </c>
      <c r="AG369" s="303" t="s">
        <v>106</v>
      </c>
      <c r="AH369" s="304" t="s">
        <v>512</v>
      </c>
      <c r="AI369" s="904"/>
      <c r="AM369" s="303" t="s">
        <v>104</v>
      </c>
      <c r="AN369" s="303" t="s">
        <v>105</v>
      </c>
      <c r="AO369" s="303" t="s">
        <v>106</v>
      </c>
      <c r="AP369" s="304" t="s">
        <v>512</v>
      </c>
      <c r="AQ369" s="904"/>
      <c r="AU369" s="303" t="s">
        <v>104</v>
      </c>
      <c r="AV369" s="303" t="s">
        <v>105</v>
      </c>
      <c r="AW369" s="303" t="s">
        <v>106</v>
      </c>
      <c r="AX369" s="304" t="s">
        <v>512</v>
      </c>
      <c r="AY369" s="904"/>
      <c r="BC369" s="303" t="s">
        <v>104</v>
      </c>
      <c r="BD369" s="303" t="s">
        <v>105</v>
      </c>
      <c r="BE369" s="303" t="s">
        <v>106</v>
      </c>
      <c r="BF369" s="304" t="s">
        <v>512</v>
      </c>
      <c r="BG369" s="904"/>
      <c r="BK369" s="303" t="s">
        <v>104</v>
      </c>
      <c r="BL369" s="303" t="s">
        <v>105</v>
      </c>
      <c r="BM369" s="303" t="s">
        <v>106</v>
      </c>
      <c r="BN369" s="304" t="s">
        <v>512</v>
      </c>
      <c r="BO369" s="904"/>
      <c r="BS369" s="303" t="s">
        <v>104</v>
      </c>
      <c r="BT369" s="303" t="s">
        <v>105</v>
      </c>
      <c r="BU369" s="303" t="s">
        <v>106</v>
      </c>
      <c r="BV369" s="304" t="s">
        <v>512</v>
      </c>
      <c r="BW369" s="904"/>
      <c r="CA369" s="303" t="s">
        <v>104</v>
      </c>
      <c r="CB369" s="303" t="s">
        <v>105</v>
      </c>
      <c r="CC369" s="303" t="s">
        <v>106</v>
      </c>
      <c r="CD369" s="304" t="s">
        <v>512</v>
      </c>
      <c r="CE369" s="904"/>
      <c r="CI369" s="303" t="s">
        <v>104</v>
      </c>
      <c r="CJ369" s="303" t="s">
        <v>105</v>
      </c>
      <c r="CK369" s="303" t="s">
        <v>106</v>
      </c>
      <c r="CL369" s="304" t="s">
        <v>512</v>
      </c>
      <c r="CM369" s="904"/>
      <c r="CQ369" s="303" t="s">
        <v>104</v>
      </c>
      <c r="CR369" s="303" t="s">
        <v>105</v>
      </c>
      <c r="CS369" s="303" t="s">
        <v>106</v>
      </c>
      <c r="CT369" s="304" t="s">
        <v>512</v>
      </c>
      <c r="CU369" s="904"/>
      <c r="CY369" s="303" t="s">
        <v>104</v>
      </c>
      <c r="CZ369" s="303" t="s">
        <v>105</v>
      </c>
      <c r="DA369" s="303" t="s">
        <v>106</v>
      </c>
      <c r="DB369" s="304" t="s">
        <v>512</v>
      </c>
      <c r="DC369" s="904"/>
      <c r="DG369" s="303" t="s">
        <v>104</v>
      </c>
      <c r="DH369" s="303" t="s">
        <v>105</v>
      </c>
      <c r="DI369" s="303" t="s">
        <v>106</v>
      </c>
      <c r="DJ369" s="304" t="s">
        <v>512</v>
      </c>
      <c r="DK369" s="904"/>
      <c r="DO369" s="303" t="s">
        <v>104</v>
      </c>
      <c r="DP369" s="303" t="s">
        <v>105</v>
      </c>
      <c r="DQ369" s="303" t="s">
        <v>106</v>
      </c>
      <c r="DR369" s="304" t="s">
        <v>512</v>
      </c>
      <c r="DS369" s="904"/>
      <c r="DW369" s="303" t="s">
        <v>104</v>
      </c>
      <c r="DX369" s="303" t="s">
        <v>105</v>
      </c>
      <c r="DY369" s="303" t="s">
        <v>106</v>
      </c>
      <c r="DZ369" s="304" t="s">
        <v>512</v>
      </c>
      <c r="EA369" s="904"/>
      <c r="EE369" s="303" t="s">
        <v>104</v>
      </c>
      <c r="EF369" s="303" t="s">
        <v>105</v>
      </c>
      <c r="EG369" s="303" t="s">
        <v>106</v>
      </c>
      <c r="EH369" s="304" t="s">
        <v>512</v>
      </c>
      <c r="EI369" s="904"/>
      <c r="EM369" s="303" t="s">
        <v>104</v>
      </c>
      <c r="EN369" s="303" t="s">
        <v>105</v>
      </c>
      <c r="EO369" s="303" t="s">
        <v>106</v>
      </c>
      <c r="EP369" s="304" t="s">
        <v>512</v>
      </c>
      <c r="EQ369" s="904"/>
      <c r="EU369" s="303" t="s">
        <v>104</v>
      </c>
      <c r="EV369" s="303" t="s">
        <v>105</v>
      </c>
      <c r="EW369" s="303" t="s">
        <v>106</v>
      </c>
      <c r="EX369" s="304" t="s">
        <v>512</v>
      </c>
      <c r="EY369" s="904"/>
      <c r="FC369" s="303" t="s">
        <v>104</v>
      </c>
      <c r="FD369" s="303" t="s">
        <v>105</v>
      </c>
      <c r="FE369" s="303" t="s">
        <v>106</v>
      </c>
      <c r="FF369" s="304" t="s">
        <v>512</v>
      </c>
      <c r="FG369" s="904"/>
      <c r="FK369" s="303" t="s">
        <v>104</v>
      </c>
      <c r="FL369" s="303" t="s">
        <v>105</v>
      </c>
      <c r="FM369" s="303" t="s">
        <v>106</v>
      </c>
      <c r="FN369" s="304" t="s">
        <v>512</v>
      </c>
      <c r="FO369" s="904"/>
    </row>
    <row r="370" spans="2:171" ht="18.75" x14ac:dyDescent="0.3">
      <c r="B370" s="1632" t="s">
        <v>517</v>
      </c>
      <c r="C370" s="108" t="s">
        <v>105</v>
      </c>
      <c r="D370" s="108"/>
      <c r="E370" s="905" t="str">
        <f>Ratios!C13</f>
        <v>PROD</v>
      </c>
      <c r="G370" s="891">
        <f>Ratios!D13</f>
        <v>143401785</v>
      </c>
      <c r="H370" s="891">
        <f>Ratios!E13</f>
        <v>143401785</v>
      </c>
      <c r="I370" s="891">
        <f>Ratios!F13</f>
        <v>0</v>
      </c>
      <c r="J370" s="891">
        <f>Ratios!G13</f>
        <v>0</v>
      </c>
      <c r="K370" s="904">
        <f t="shared" ref="K370:K376" si="953">IF($E370="DIRECT",0,1)</f>
        <v>1</v>
      </c>
      <c r="O370" s="891">
        <f t="shared" ref="O370:O376" si="954">$G370</f>
        <v>143401785</v>
      </c>
      <c r="P370" s="891">
        <f t="shared" ref="P370:P375" si="955">$H370</f>
        <v>143401785</v>
      </c>
      <c r="Q370" s="891">
        <f t="shared" ref="Q370:Q375" si="956">$I370</f>
        <v>0</v>
      </c>
      <c r="R370" s="891">
        <f t="shared" ref="R370:R375" si="957">$J370</f>
        <v>0</v>
      </c>
      <c r="S370" s="904"/>
      <c r="W370" s="891">
        <f t="shared" ref="W370:W376" si="958">$G370</f>
        <v>143401785</v>
      </c>
      <c r="X370" s="891">
        <f t="shared" ref="X370:X375" si="959">$H370</f>
        <v>143401785</v>
      </c>
      <c r="Y370" s="891">
        <f t="shared" ref="Y370:Y375" si="960">$I370</f>
        <v>0</v>
      </c>
      <c r="Z370" s="891">
        <f t="shared" ref="Z370:Z375" si="961">$J370</f>
        <v>0</v>
      </c>
      <c r="AA370" s="904"/>
      <c r="AE370" s="891">
        <f t="shared" ref="AE370:AE376" si="962">$G370</f>
        <v>143401785</v>
      </c>
      <c r="AF370" s="891">
        <f t="shared" ref="AF370:AF375" si="963">$H370</f>
        <v>143401785</v>
      </c>
      <c r="AG370" s="891">
        <f t="shared" ref="AG370:AG375" si="964">$I370</f>
        <v>0</v>
      </c>
      <c r="AH370" s="891">
        <f t="shared" ref="AH370:AH375" si="965">$J370</f>
        <v>0</v>
      </c>
      <c r="AI370" s="904"/>
      <c r="AM370" s="891">
        <f t="shared" ref="AM370:AM376" si="966">$G370</f>
        <v>143401785</v>
      </c>
      <c r="AN370" s="891">
        <f t="shared" ref="AN370:AN375" si="967">$H370</f>
        <v>143401785</v>
      </c>
      <c r="AO370" s="891">
        <f t="shared" ref="AO370:AO375" si="968">$I370</f>
        <v>0</v>
      </c>
      <c r="AP370" s="891">
        <f t="shared" ref="AP370:AP375" si="969">$J370</f>
        <v>0</v>
      </c>
      <c r="AQ370" s="904"/>
      <c r="AU370" s="891">
        <f t="shared" ref="AU370:AU376" si="970">$G370</f>
        <v>143401785</v>
      </c>
      <c r="AV370" s="891">
        <f t="shared" ref="AV370:AV375" si="971">$H370</f>
        <v>143401785</v>
      </c>
      <c r="AW370" s="891">
        <f t="shared" ref="AW370:AW375" si="972">$I370</f>
        <v>0</v>
      </c>
      <c r="AX370" s="891">
        <f t="shared" ref="AX370:AX375" si="973">$J370</f>
        <v>0</v>
      </c>
      <c r="AY370" s="904"/>
      <c r="BC370" s="891">
        <f t="shared" ref="BC370:BC376" si="974">$G370</f>
        <v>143401785</v>
      </c>
      <c r="BD370" s="891">
        <f t="shared" ref="BD370:BD375" si="975">$H370</f>
        <v>143401785</v>
      </c>
      <c r="BE370" s="891">
        <f t="shared" ref="BE370:BE375" si="976">$I370</f>
        <v>0</v>
      </c>
      <c r="BF370" s="891">
        <f t="shared" ref="BF370:BF375" si="977">$J370</f>
        <v>0</v>
      </c>
      <c r="BG370" s="904"/>
      <c r="BK370" s="891">
        <f t="shared" ref="BK370:BK376" si="978">$G370</f>
        <v>143401785</v>
      </c>
      <c r="BL370" s="891">
        <f t="shared" ref="BL370:BL375" si="979">$H370</f>
        <v>143401785</v>
      </c>
      <c r="BM370" s="891">
        <f t="shared" ref="BM370:BM375" si="980">$I370</f>
        <v>0</v>
      </c>
      <c r="BN370" s="891">
        <f t="shared" ref="BN370:BN375" si="981">$J370</f>
        <v>0</v>
      </c>
      <c r="BO370" s="904"/>
      <c r="BS370" s="891">
        <f t="shared" ref="BS370:BS376" si="982">$G370</f>
        <v>143401785</v>
      </c>
      <c r="BT370" s="891">
        <f t="shared" ref="BT370:BT375" si="983">$H370</f>
        <v>143401785</v>
      </c>
      <c r="BU370" s="891">
        <f t="shared" ref="BU370:BU375" si="984">$I370</f>
        <v>0</v>
      </c>
      <c r="BV370" s="891">
        <f t="shared" ref="BV370:BV375" si="985">$J370</f>
        <v>0</v>
      </c>
      <c r="BW370" s="904"/>
      <c r="CA370" s="891">
        <f t="shared" ref="CA370:CA376" si="986">$G370</f>
        <v>143401785</v>
      </c>
      <c r="CB370" s="891">
        <f t="shared" ref="CB370:CB375" si="987">$H370</f>
        <v>143401785</v>
      </c>
      <c r="CC370" s="891">
        <f t="shared" ref="CC370:CC375" si="988">$I370</f>
        <v>0</v>
      </c>
      <c r="CD370" s="891">
        <f t="shared" ref="CD370:CD375" si="989">$J370</f>
        <v>0</v>
      </c>
      <c r="CE370" s="904"/>
      <c r="CI370" s="891">
        <f t="shared" ref="CI370:CI376" si="990">$G370</f>
        <v>143401785</v>
      </c>
      <c r="CJ370" s="891">
        <f t="shared" ref="CJ370:CJ375" si="991">$H370</f>
        <v>143401785</v>
      </c>
      <c r="CK370" s="891">
        <f t="shared" ref="CK370:CK375" si="992">$I370</f>
        <v>0</v>
      </c>
      <c r="CL370" s="891">
        <f t="shared" ref="CL370:CL375" si="993">$J370</f>
        <v>0</v>
      </c>
      <c r="CM370" s="904"/>
      <c r="CQ370" s="891">
        <f t="shared" ref="CQ370:CQ376" si="994">$G370</f>
        <v>143401785</v>
      </c>
      <c r="CR370" s="891">
        <f t="shared" ref="CR370:CR375" si="995">$H370</f>
        <v>143401785</v>
      </c>
      <c r="CS370" s="891">
        <f t="shared" ref="CS370:CS375" si="996">$I370</f>
        <v>0</v>
      </c>
      <c r="CT370" s="891">
        <f t="shared" ref="CT370:CT375" si="997">$J370</f>
        <v>0</v>
      </c>
      <c r="CU370" s="904"/>
      <c r="CY370" s="891">
        <f t="shared" ref="CY370:CY376" si="998">$G370</f>
        <v>143401785</v>
      </c>
      <c r="CZ370" s="891">
        <f t="shared" ref="CZ370:CZ375" si="999">$H370</f>
        <v>143401785</v>
      </c>
      <c r="DA370" s="891">
        <f t="shared" ref="DA370:DA375" si="1000">$I370</f>
        <v>0</v>
      </c>
      <c r="DB370" s="891">
        <f t="shared" ref="DB370:DB375" si="1001">$J370</f>
        <v>0</v>
      </c>
      <c r="DC370" s="904"/>
      <c r="DG370" s="891">
        <f t="shared" ref="DG370:DG376" si="1002">$G370</f>
        <v>143401785</v>
      </c>
      <c r="DH370" s="891">
        <f t="shared" ref="DH370:DH375" si="1003">$H370</f>
        <v>143401785</v>
      </c>
      <c r="DI370" s="891">
        <f t="shared" ref="DI370:DI375" si="1004">$I370</f>
        <v>0</v>
      </c>
      <c r="DJ370" s="891">
        <f t="shared" ref="DJ370:DJ375" si="1005">$J370</f>
        <v>0</v>
      </c>
      <c r="DK370" s="904"/>
      <c r="DO370" s="891">
        <f t="shared" ref="DO370:DO376" si="1006">$G370</f>
        <v>143401785</v>
      </c>
      <c r="DP370" s="891">
        <f t="shared" ref="DP370:DP375" si="1007">$H370</f>
        <v>143401785</v>
      </c>
      <c r="DQ370" s="891">
        <f t="shared" ref="DQ370:DQ375" si="1008">$I370</f>
        <v>0</v>
      </c>
      <c r="DR370" s="891">
        <f t="shared" ref="DR370:DR375" si="1009">$J370</f>
        <v>0</v>
      </c>
      <c r="DS370" s="904"/>
      <c r="DW370" s="891">
        <f t="shared" ref="DW370:DW376" si="1010">$G370</f>
        <v>143401785</v>
      </c>
      <c r="DX370" s="891">
        <f t="shared" ref="DX370:DX375" si="1011">$H370</f>
        <v>143401785</v>
      </c>
      <c r="DY370" s="891">
        <f t="shared" ref="DY370:DY375" si="1012">$I370</f>
        <v>0</v>
      </c>
      <c r="DZ370" s="891">
        <f t="shared" ref="DZ370:DZ375" si="1013">$J370</f>
        <v>0</v>
      </c>
      <c r="EA370" s="904"/>
      <c r="EE370" s="891">
        <f t="shared" ref="EE370:EE376" si="1014">$G370</f>
        <v>143401785</v>
      </c>
      <c r="EF370" s="891">
        <f t="shared" ref="EF370:EF375" si="1015">$H370</f>
        <v>143401785</v>
      </c>
      <c r="EG370" s="891">
        <f t="shared" ref="EG370:EG375" si="1016">$I370</f>
        <v>0</v>
      </c>
      <c r="EH370" s="891">
        <f t="shared" ref="EH370:EH375" si="1017">$J370</f>
        <v>0</v>
      </c>
      <c r="EI370" s="904"/>
      <c r="EM370" s="891">
        <f t="shared" ref="EM370:EM376" si="1018">$G370</f>
        <v>143401785</v>
      </c>
      <c r="EN370" s="891">
        <f t="shared" ref="EN370:EN375" si="1019">$H370</f>
        <v>143401785</v>
      </c>
      <c r="EO370" s="891">
        <f t="shared" ref="EO370:EO375" si="1020">$I370</f>
        <v>0</v>
      </c>
      <c r="EP370" s="891">
        <f t="shared" ref="EP370:EP375" si="1021">$J370</f>
        <v>0</v>
      </c>
      <c r="EQ370" s="904"/>
      <c r="EU370" s="891">
        <f t="shared" ref="EU370:EU376" si="1022">$G370</f>
        <v>143401785</v>
      </c>
      <c r="EV370" s="891">
        <f t="shared" ref="EV370:EV375" si="1023">$H370</f>
        <v>143401785</v>
      </c>
      <c r="EW370" s="891">
        <f t="shared" ref="EW370:EW375" si="1024">$I370</f>
        <v>0</v>
      </c>
      <c r="EX370" s="891">
        <f t="shared" ref="EX370:EX375" si="1025">$J370</f>
        <v>0</v>
      </c>
      <c r="EY370" s="904"/>
      <c r="FC370" s="891">
        <f t="shared" ref="FC370:FC376" si="1026">$G370</f>
        <v>143401785</v>
      </c>
      <c r="FD370" s="891">
        <f t="shared" ref="FD370:FD375" si="1027">$H370</f>
        <v>143401785</v>
      </c>
      <c r="FE370" s="891">
        <f t="shared" ref="FE370:FE375" si="1028">$I370</f>
        <v>0</v>
      </c>
      <c r="FF370" s="891">
        <f t="shared" ref="FF370:FF375" si="1029">$J370</f>
        <v>0</v>
      </c>
      <c r="FG370" s="904"/>
      <c r="FK370" s="891">
        <f t="shared" ref="FK370:FK376" si="1030">$G370</f>
        <v>143401785</v>
      </c>
      <c r="FL370" s="891">
        <f t="shared" ref="FL370:FL375" si="1031">$H370</f>
        <v>143401785</v>
      </c>
      <c r="FM370" s="891">
        <f t="shared" ref="FM370:FM375" si="1032">$I370</f>
        <v>0</v>
      </c>
      <c r="FN370" s="891">
        <f t="shared" ref="FN370:FN375" si="1033">$J370</f>
        <v>0</v>
      </c>
      <c r="FO370" s="904"/>
    </row>
    <row r="371" spans="2:171" x14ac:dyDescent="0.25">
      <c r="B371" s="113"/>
      <c r="C371" s="108" t="s">
        <v>106</v>
      </c>
      <c r="D371" s="108"/>
      <c r="E371" s="905" t="str">
        <f>Ratios!C14</f>
        <v>TRANS</v>
      </c>
      <c r="G371" s="891">
        <f>Ratios!D14</f>
        <v>33170529</v>
      </c>
      <c r="H371" s="891">
        <f>Ratios!E14</f>
        <v>0</v>
      </c>
      <c r="I371" s="891">
        <f>Ratios!F14</f>
        <v>0</v>
      </c>
      <c r="J371" s="891">
        <f>Ratios!G14</f>
        <v>33170529</v>
      </c>
      <c r="K371" s="904">
        <f t="shared" si="953"/>
        <v>1</v>
      </c>
      <c r="O371" s="891">
        <f t="shared" si="954"/>
        <v>33170529</v>
      </c>
      <c r="P371" s="891">
        <f t="shared" si="955"/>
        <v>0</v>
      </c>
      <c r="Q371" s="891">
        <f t="shared" si="956"/>
        <v>0</v>
      </c>
      <c r="R371" s="891">
        <f t="shared" si="957"/>
        <v>33170529</v>
      </c>
      <c r="S371" s="904"/>
      <c r="W371" s="891">
        <f t="shared" si="958"/>
        <v>33170529</v>
      </c>
      <c r="X371" s="891">
        <f t="shared" si="959"/>
        <v>0</v>
      </c>
      <c r="Y371" s="891">
        <f t="shared" si="960"/>
        <v>0</v>
      </c>
      <c r="Z371" s="891">
        <f t="shared" si="961"/>
        <v>33170529</v>
      </c>
      <c r="AA371" s="904"/>
      <c r="AE371" s="891">
        <f t="shared" si="962"/>
        <v>33170529</v>
      </c>
      <c r="AF371" s="891">
        <f t="shared" si="963"/>
        <v>0</v>
      </c>
      <c r="AG371" s="891">
        <f t="shared" si="964"/>
        <v>0</v>
      </c>
      <c r="AH371" s="891">
        <f t="shared" si="965"/>
        <v>33170529</v>
      </c>
      <c r="AI371" s="904"/>
      <c r="AM371" s="891">
        <f t="shared" si="966"/>
        <v>33170529</v>
      </c>
      <c r="AN371" s="891">
        <f t="shared" si="967"/>
        <v>0</v>
      </c>
      <c r="AO371" s="891">
        <f t="shared" si="968"/>
        <v>0</v>
      </c>
      <c r="AP371" s="891">
        <f t="shared" si="969"/>
        <v>33170529</v>
      </c>
      <c r="AQ371" s="904"/>
      <c r="AU371" s="891">
        <f t="shared" si="970"/>
        <v>33170529</v>
      </c>
      <c r="AV371" s="891">
        <f t="shared" si="971"/>
        <v>0</v>
      </c>
      <c r="AW371" s="891">
        <f t="shared" si="972"/>
        <v>0</v>
      </c>
      <c r="AX371" s="891">
        <f t="shared" si="973"/>
        <v>33170529</v>
      </c>
      <c r="AY371" s="904"/>
      <c r="BC371" s="891">
        <f t="shared" si="974"/>
        <v>33170529</v>
      </c>
      <c r="BD371" s="891">
        <f t="shared" si="975"/>
        <v>0</v>
      </c>
      <c r="BE371" s="891">
        <f t="shared" si="976"/>
        <v>0</v>
      </c>
      <c r="BF371" s="891">
        <f t="shared" si="977"/>
        <v>33170529</v>
      </c>
      <c r="BG371" s="904"/>
      <c r="BK371" s="891">
        <f t="shared" si="978"/>
        <v>33170529</v>
      </c>
      <c r="BL371" s="891">
        <f t="shared" si="979"/>
        <v>0</v>
      </c>
      <c r="BM371" s="891">
        <f t="shared" si="980"/>
        <v>0</v>
      </c>
      <c r="BN371" s="891">
        <f t="shared" si="981"/>
        <v>33170529</v>
      </c>
      <c r="BO371" s="904"/>
      <c r="BS371" s="891">
        <f t="shared" si="982"/>
        <v>33170529</v>
      </c>
      <c r="BT371" s="891">
        <f t="shared" si="983"/>
        <v>0</v>
      </c>
      <c r="BU371" s="891">
        <f t="shared" si="984"/>
        <v>0</v>
      </c>
      <c r="BV371" s="891">
        <f t="shared" si="985"/>
        <v>33170529</v>
      </c>
      <c r="BW371" s="904"/>
      <c r="CA371" s="891">
        <f t="shared" si="986"/>
        <v>33170529</v>
      </c>
      <c r="CB371" s="891">
        <f t="shared" si="987"/>
        <v>0</v>
      </c>
      <c r="CC371" s="891">
        <f t="shared" si="988"/>
        <v>0</v>
      </c>
      <c r="CD371" s="891">
        <f t="shared" si="989"/>
        <v>33170529</v>
      </c>
      <c r="CE371" s="904"/>
      <c r="CI371" s="891">
        <f t="shared" si="990"/>
        <v>33170529</v>
      </c>
      <c r="CJ371" s="891">
        <f t="shared" si="991"/>
        <v>0</v>
      </c>
      <c r="CK371" s="891">
        <f t="shared" si="992"/>
        <v>0</v>
      </c>
      <c r="CL371" s="891">
        <f t="shared" si="993"/>
        <v>33170529</v>
      </c>
      <c r="CM371" s="904"/>
      <c r="CQ371" s="891">
        <f t="shared" si="994"/>
        <v>33170529</v>
      </c>
      <c r="CR371" s="891">
        <f t="shared" si="995"/>
        <v>0</v>
      </c>
      <c r="CS371" s="891">
        <f t="shared" si="996"/>
        <v>0</v>
      </c>
      <c r="CT371" s="891">
        <f t="shared" si="997"/>
        <v>33170529</v>
      </c>
      <c r="CU371" s="904"/>
      <c r="CY371" s="891">
        <f t="shared" si="998"/>
        <v>33170529</v>
      </c>
      <c r="CZ371" s="891">
        <f t="shared" si="999"/>
        <v>0</v>
      </c>
      <c r="DA371" s="891">
        <f t="shared" si="1000"/>
        <v>0</v>
      </c>
      <c r="DB371" s="891">
        <f t="shared" si="1001"/>
        <v>33170529</v>
      </c>
      <c r="DC371" s="904"/>
      <c r="DG371" s="891">
        <f t="shared" si="1002"/>
        <v>33170529</v>
      </c>
      <c r="DH371" s="891">
        <f t="shared" si="1003"/>
        <v>0</v>
      </c>
      <c r="DI371" s="891">
        <f t="shared" si="1004"/>
        <v>0</v>
      </c>
      <c r="DJ371" s="891">
        <f t="shared" si="1005"/>
        <v>33170529</v>
      </c>
      <c r="DK371" s="904"/>
      <c r="DO371" s="891">
        <f t="shared" si="1006"/>
        <v>33170529</v>
      </c>
      <c r="DP371" s="891">
        <f t="shared" si="1007"/>
        <v>0</v>
      </c>
      <c r="DQ371" s="891">
        <f t="shared" si="1008"/>
        <v>0</v>
      </c>
      <c r="DR371" s="891">
        <f t="shared" si="1009"/>
        <v>33170529</v>
      </c>
      <c r="DS371" s="904"/>
      <c r="DW371" s="891">
        <f t="shared" si="1010"/>
        <v>33170529</v>
      </c>
      <c r="DX371" s="891">
        <f t="shared" si="1011"/>
        <v>0</v>
      </c>
      <c r="DY371" s="891">
        <f t="shared" si="1012"/>
        <v>0</v>
      </c>
      <c r="DZ371" s="891">
        <f t="shared" si="1013"/>
        <v>33170529</v>
      </c>
      <c r="EA371" s="904"/>
      <c r="EE371" s="891">
        <f t="shared" si="1014"/>
        <v>33170529</v>
      </c>
      <c r="EF371" s="891">
        <f t="shared" si="1015"/>
        <v>0</v>
      </c>
      <c r="EG371" s="891">
        <f t="shared" si="1016"/>
        <v>0</v>
      </c>
      <c r="EH371" s="891">
        <f t="shared" si="1017"/>
        <v>33170529</v>
      </c>
      <c r="EI371" s="904"/>
      <c r="EM371" s="891">
        <f t="shared" si="1018"/>
        <v>33170529</v>
      </c>
      <c r="EN371" s="891">
        <f t="shared" si="1019"/>
        <v>0</v>
      </c>
      <c r="EO371" s="891">
        <f t="shared" si="1020"/>
        <v>0</v>
      </c>
      <c r="EP371" s="891">
        <f t="shared" si="1021"/>
        <v>33170529</v>
      </c>
      <c r="EQ371" s="904"/>
      <c r="EU371" s="891">
        <f t="shared" si="1022"/>
        <v>33170529</v>
      </c>
      <c r="EV371" s="891">
        <f t="shared" si="1023"/>
        <v>0</v>
      </c>
      <c r="EW371" s="891">
        <f t="shared" si="1024"/>
        <v>0</v>
      </c>
      <c r="EX371" s="891">
        <f t="shared" si="1025"/>
        <v>33170529</v>
      </c>
      <c r="EY371" s="904"/>
      <c r="FC371" s="891">
        <f t="shared" si="1026"/>
        <v>33170529</v>
      </c>
      <c r="FD371" s="891">
        <f t="shared" si="1027"/>
        <v>0</v>
      </c>
      <c r="FE371" s="891">
        <f t="shared" si="1028"/>
        <v>0</v>
      </c>
      <c r="FF371" s="891">
        <f t="shared" si="1029"/>
        <v>33170529</v>
      </c>
      <c r="FG371" s="904"/>
      <c r="FK371" s="891">
        <f t="shared" si="1030"/>
        <v>33170529</v>
      </c>
      <c r="FL371" s="891">
        <f t="shared" si="1031"/>
        <v>0</v>
      </c>
      <c r="FM371" s="891">
        <f t="shared" si="1032"/>
        <v>0</v>
      </c>
      <c r="FN371" s="891">
        <f t="shared" si="1033"/>
        <v>33170529</v>
      </c>
      <c r="FO371" s="904"/>
    </row>
    <row r="372" spans="2:171" x14ac:dyDescent="0.25">
      <c r="B372" s="113"/>
      <c r="C372" s="108" t="s">
        <v>512</v>
      </c>
      <c r="D372" s="108"/>
      <c r="E372" s="905" t="str">
        <f>Ratios!C15</f>
        <v>DIST</v>
      </c>
      <c r="G372" s="891">
        <f>Ratios!D15</f>
        <v>131214060</v>
      </c>
      <c r="H372" s="891">
        <f>Ratios!E15</f>
        <v>0</v>
      </c>
      <c r="I372" s="891">
        <f>Ratios!F15</f>
        <v>0</v>
      </c>
      <c r="J372" s="891">
        <f>Ratios!G15</f>
        <v>131214060</v>
      </c>
      <c r="K372" s="904">
        <f t="shared" si="953"/>
        <v>1</v>
      </c>
      <c r="O372" s="891">
        <f t="shared" si="954"/>
        <v>131214060</v>
      </c>
      <c r="P372" s="891">
        <f t="shared" si="955"/>
        <v>0</v>
      </c>
      <c r="Q372" s="891">
        <f t="shared" si="956"/>
        <v>0</v>
      </c>
      <c r="R372" s="891">
        <f t="shared" si="957"/>
        <v>131214060</v>
      </c>
      <c r="S372" s="904"/>
      <c r="W372" s="891">
        <f t="shared" si="958"/>
        <v>131214060</v>
      </c>
      <c r="X372" s="891">
        <f t="shared" si="959"/>
        <v>0</v>
      </c>
      <c r="Y372" s="891">
        <f t="shared" si="960"/>
        <v>0</v>
      </c>
      <c r="Z372" s="891">
        <f t="shared" si="961"/>
        <v>131214060</v>
      </c>
      <c r="AA372" s="904"/>
      <c r="AE372" s="891">
        <f t="shared" si="962"/>
        <v>131214060</v>
      </c>
      <c r="AF372" s="891">
        <f t="shared" si="963"/>
        <v>0</v>
      </c>
      <c r="AG372" s="891">
        <f t="shared" si="964"/>
        <v>0</v>
      </c>
      <c r="AH372" s="891">
        <f t="shared" si="965"/>
        <v>131214060</v>
      </c>
      <c r="AI372" s="904"/>
      <c r="AM372" s="891">
        <f t="shared" si="966"/>
        <v>131214060</v>
      </c>
      <c r="AN372" s="891">
        <f t="shared" si="967"/>
        <v>0</v>
      </c>
      <c r="AO372" s="891">
        <f t="shared" si="968"/>
        <v>0</v>
      </c>
      <c r="AP372" s="891">
        <f t="shared" si="969"/>
        <v>131214060</v>
      </c>
      <c r="AQ372" s="904"/>
      <c r="AU372" s="891">
        <f t="shared" si="970"/>
        <v>131214060</v>
      </c>
      <c r="AV372" s="891">
        <f t="shared" si="971"/>
        <v>0</v>
      </c>
      <c r="AW372" s="891">
        <f t="shared" si="972"/>
        <v>0</v>
      </c>
      <c r="AX372" s="891">
        <f t="shared" si="973"/>
        <v>131214060</v>
      </c>
      <c r="AY372" s="904"/>
      <c r="BC372" s="891">
        <f t="shared" si="974"/>
        <v>131214060</v>
      </c>
      <c r="BD372" s="891">
        <f t="shared" si="975"/>
        <v>0</v>
      </c>
      <c r="BE372" s="891">
        <f t="shared" si="976"/>
        <v>0</v>
      </c>
      <c r="BF372" s="891">
        <f t="shared" si="977"/>
        <v>131214060</v>
      </c>
      <c r="BG372" s="904"/>
      <c r="BK372" s="891">
        <f t="shared" si="978"/>
        <v>131214060</v>
      </c>
      <c r="BL372" s="891">
        <f t="shared" si="979"/>
        <v>0</v>
      </c>
      <c r="BM372" s="891">
        <f t="shared" si="980"/>
        <v>0</v>
      </c>
      <c r="BN372" s="891">
        <f t="shared" si="981"/>
        <v>131214060</v>
      </c>
      <c r="BO372" s="904"/>
      <c r="BS372" s="891">
        <f t="shared" si="982"/>
        <v>131214060</v>
      </c>
      <c r="BT372" s="891">
        <f t="shared" si="983"/>
        <v>0</v>
      </c>
      <c r="BU372" s="891">
        <f t="shared" si="984"/>
        <v>0</v>
      </c>
      <c r="BV372" s="891">
        <f t="shared" si="985"/>
        <v>131214060</v>
      </c>
      <c r="BW372" s="904"/>
      <c r="CA372" s="891">
        <f t="shared" si="986"/>
        <v>131214060</v>
      </c>
      <c r="CB372" s="891">
        <f t="shared" si="987"/>
        <v>0</v>
      </c>
      <c r="CC372" s="891">
        <f t="shared" si="988"/>
        <v>0</v>
      </c>
      <c r="CD372" s="891">
        <f t="shared" si="989"/>
        <v>131214060</v>
      </c>
      <c r="CE372" s="904"/>
      <c r="CI372" s="891">
        <f t="shared" si="990"/>
        <v>131214060</v>
      </c>
      <c r="CJ372" s="891">
        <f t="shared" si="991"/>
        <v>0</v>
      </c>
      <c r="CK372" s="891">
        <f t="shared" si="992"/>
        <v>0</v>
      </c>
      <c r="CL372" s="891">
        <f t="shared" si="993"/>
        <v>131214060</v>
      </c>
      <c r="CM372" s="904"/>
      <c r="CQ372" s="891">
        <f t="shared" si="994"/>
        <v>131214060</v>
      </c>
      <c r="CR372" s="891">
        <f t="shared" si="995"/>
        <v>0</v>
      </c>
      <c r="CS372" s="891">
        <f t="shared" si="996"/>
        <v>0</v>
      </c>
      <c r="CT372" s="891">
        <f t="shared" si="997"/>
        <v>131214060</v>
      </c>
      <c r="CU372" s="904"/>
      <c r="CY372" s="891">
        <f t="shared" si="998"/>
        <v>131214060</v>
      </c>
      <c r="CZ372" s="891">
        <f t="shared" si="999"/>
        <v>0</v>
      </c>
      <c r="DA372" s="891">
        <f t="shared" si="1000"/>
        <v>0</v>
      </c>
      <c r="DB372" s="891">
        <f t="shared" si="1001"/>
        <v>131214060</v>
      </c>
      <c r="DC372" s="904"/>
      <c r="DG372" s="891">
        <f t="shared" si="1002"/>
        <v>131214060</v>
      </c>
      <c r="DH372" s="891">
        <f t="shared" si="1003"/>
        <v>0</v>
      </c>
      <c r="DI372" s="891">
        <f t="shared" si="1004"/>
        <v>0</v>
      </c>
      <c r="DJ372" s="891">
        <f t="shared" si="1005"/>
        <v>131214060</v>
      </c>
      <c r="DK372" s="904"/>
      <c r="DO372" s="891">
        <f t="shared" si="1006"/>
        <v>131214060</v>
      </c>
      <c r="DP372" s="891">
        <f t="shared" si="1007"/>
        <v>0</v>
      </c>
      <c r="DQ372" s="891">
        <f t="shared" si="1008"/>
        <v>0</v>
      </c>
      <c r="DR372" s="891">
        <f t="shared" si="1009"/>
        <v>131214060</v>
      </c>
      <c r="DS372" s="904"/>
      <c r="DW372" s="891">
        <f t="shared" si="1010"/>
        <v>131214060</v>
      </c>
      <c r="DX372" s="891">
        <f t="shared" si="1011"/>
        <v>0</v>
      </c>
      <c r="DY372" s="891">
        <f t="shared" si="1012"/>
        <v>0</v>
      </c>
      <c r="DZ372" s="891">
        <f t="shared" si="1013"/>
        <v>131214060</v>
      </c>
      <c r="EA372" s="904"/>
      <c r="EE372" s="891">
        <f t="shared" si="1014"/>
        <v>131214060</v>
      </c>
      <c r="EF372" s="891">
        <f t="shared" si="1015"/>
        <v>0</v>
      </c>
      <c r="EG372" s="891">
        <f t="shared" si="1016"/>
        <v>0</v>
      </c>
      <c r="EH372" s="891">
        <f t="shared" si="1017"/>
        <v>131214060</v>
      </c>
      <c r="EI372" s="904"/>
      <c r="EM372" s="891">
        <f t="shared" si="1018"/>
        <v>131214060</v>
      </c>
      <c r="EN372" s="891">
        <f t="shared" si="1019"/>
        <v>0</v>
      </c>
      <c r="EO372" s="891">
        <f t="shared" si="1020"/>
        <v>0</v>
      </c>
      <c r="EP372" s="891">
        <f t="shared" si="1021"/>
        <v>131214060</v>
      </c>
      <c r="EQ372" s="904"/>
      <c r="EU372" s="891">
        <f t="shared" si="1022"/>
        <v>131214060</v>
      </c>
      <c r="EV372" s="891">
        <f t="shared" si="1023"/>
        <v>0</v>
      </c>
      <c r="EW372" s="891">
        <f t="shared" si="1024"/>
        <v>0</v>
      </c>
      <c r="EX372" s="891">
        <f t="shared" si="1025"/>
        <v>131214060</v>
      </c>
      <c r="EY372" s="904"/>
      <c r="FC372" s="891">
        <f t="shared" si="1026"/>
        <v>131214060</v>
      </c>
      <c r="FD372" s="891">
        <f t="shared" si="1027"/>
        <v>0</v>
      </c>
      <c r="FE372" s="891">
        <f t="shared" si="1028"/>
        <v>0</v>
      </c>
      <c r="FF372" s="891">
        <f t="shared" si="1029"/>
        <v>131214060</v>
      </c>
      <c r="FG372" s="904"/>
      <c r="FK372" s="891">
        <f t="shared" si="1030"/>
        <v>131214060</v>
      </c>
      <c r="FL372" s="891">
        <f t="shared" si="1031"/>
        <v>0</v>
      </c>
      <c r="FM372" s="891">
        <f t="shared" si="1032"/>
        <v>0</v>
      </c>
      <c r="FN372" s="891">
        <f t="shared" si="1033"/>
        <v>131214060</v>
      </c>
      <c r="FO372" s="904"/>
    </row>
    <row r="373" spans="2:171" x14ac:dyDescent="0.25">
      <c r="B373" s="113"/>
      <c r="C373" s="108" t="s">
        <v>513</v>
      </c>
      <c r="D373" s="108"/>
      <c r="E373" s="905" t="str">
        <f>Ratios!C16</f>
        <v>DIST</v>
      </c>
      <c r="G373" s="891">
        <f>Ratios!D16</f>
        <v>29892118</v>
      </c>
      <c r="H373" s="891">
        <f>Ratios!E16</f>
        <v>0</v>
      </c>
      <c r="I373" s="891">
        <f>Ratios!F16</f>
        <v>0</v>
      </c>
      <c r="J373" s="891">
        <f>Ratios!G16</f>
        <v>29892118</v>
      </c>
      <c r="K373" s="904">
        <f t="shared" si="953"/>
        <v>1</v>
      </c>
      <c r="O373" s="891">
        <f t="shared" si="954"/>
        <v>29892118</v>
      </c>
      <c r="P373" s="891">
        <f t="shared" si="955"/>
        <v>0</v>
      </c>
      <c r="Q373" s="891">
        <f t="shared" si="956"/>
        <v>0</v>
      </c>
      <c r="R373" s="891">
        <f t="shared" si="957"/>
        <v>29892118</v>
      </c>
      <c r="S373" s="904"/>
      <c r="W373" s="891">
        <f t="shared" si="958"/>
        <v>29892118</v>
      </c>
      <c r="X373" s="891">
        <f t="shared" si="959"/>
        <v>0</v>
      </c>
      <c r="Y373" s="891">
        <f t="shared" si="960"/>
        <v>0</v>
      </c>
      <c r="Z373" s="891">
        <f t="shared" si="961"/>
        <v>29892118</v>
      </c>
      <c r="AA373" s="904"/>
      <c r="AE373" s="891">
        <f t="shared" si="962"/>
        <v>29892118</v>
      </c>
      <c r="AF373" s="891">
        <f t="shared" si="963"/>
        <v>0</v>
      </c>
      <c r="AG373" s="891">
        <f t="shared" si="964"/>
        <v>0</v>
      </c>
      <c r="AH373" s="891">
        <f t="shared" si="965"/>
        <v>29892118</v>
      </c>
      <c r="AI373" s="904"/>
      <c r="AM373" s="891">
        <f t="shared" si="966"/>
        <v>29892118</v>
      </c>
      <c r="AN373" s="891">
        <f t="shared" si="967"/>
        <v>0</v>
      </c>
      <c r="AO373" s="891">
        <f t="shared" si="968"/>
        <v>0</v>
      </c>
      <c r="AP373" s="891">
        <f t="shared" si="969"/>
        <v>29892118</v>
      </c>
      <c r="AQ373" s="904"/>
      <c r="AU373" s="891">
        <f t="shared" si="970"/>
        <v>29892118</v>
      </c>
      <c r="AV373" s="891">
        <f t="shared" si="971"/>
        <v>0</v>
      </c>
      <c r="AW373" s="891">
        <f t="shared" si="972"/>
        <v>0</v>
      </c>
      <c r="AX373" s="891">
        <f t="shared" si="973"/>
        <v>29892118</v>
      </c>
      <c r="AY373" s="904"/>
      <c r="BC373" s="891">
        <f t="shared" si="974"/>
        <v>29892118</v>
      </c>
      <c r="BD373" s="891">
        <f t="shared" si="975"/>
        <v>0</v>
      </c>
      <c r="BE373" s="891">
        <f t="shared" si="976"/>
        <v>0</v>
      </c>
      <c r="BF373" s="891">
        <f t="shared" si="977"/>
        <v>29892118</v>
      </c>
      <c r="BG373" s="904"/>
      <c r="BK373" s="891">
        <f t="shared" si="978"/>
        <v>29892118</v>
      </c>
      <c r="BL373" s="891">
        <f t="shared" si="979"/>
        <v>0</v>
      </c>
      <c r="BM373" s="891">
        <f t="shared" si="980"/>
        <v>0</v>
      </c>
      <c r="BN373" s="891">
        <f t="shared" si="981"/>
        <v>29892118</v>
      </c>
      <c r="BO373" s="904"/>
      <c r="BS373" s="891">
        <f t="shared" si="982"/>
        <v>29892118</v>
      </c>
      <c r="BT373" s="891">
        <f t="shared" si="983"/>
        <v>0</v>
      </c>
      <c r="BU373" s="891">
        <f t="shared" si="984"/>
        <v>0</v>
      </c>
      <c r="BV373" s="891">
        <f t="shared" si="985"/>
        <v>29892118</v>
      </c>
      <c r="BW373" s="904"/>
      <c r="CA373" s="891">
        <f t="shared" si="986"/>
        <v>29892118</v>
      </c>
      <c r="CB373" s="891">
        <f t="shared" si="987"/>
        <v>0</v>
      </c>
      <c r="CC373" s="891">
        <f t="shared" si="988"/>
        <v>0</v>
      </c>
      <c r="CD373" s="891">
        <f t="shared" si="989"/>
        <v>29892118</v>
      </c>
      <c r="CE373" s="904"/>
      <c r="CI373" s="891">
        <f t="shared" si="990"/>
        <v>29892118</v>
      </c>
      <c r="CJ373" s="891">
        <f t="shared" si="991"/>
        <v>0</v>
      </c>
      <c r="CK373" s="891">
        <f t="shared" si="992"/>
        <v>0</v>
      </c>
      <c r="CL373" s="891">
        <f t="shared" si="993"/>
        <v>29892118</v>
      </c>
      <c r="CM373" s="904"/>
      <c r="CQ373" s="891">
        <f t="shared" si="994"/>
        <v>29892118</v>
      </c>
      <c r="CR373" s="891">
        <f t="shared" si="995"/>
        <v>0</v>
      </c>
      <c r="CS373" s="891">
        <f t="shared" si="996"/>
        <v>0</v>
      </c>
      <c r="CT373" s="891">
        <f t="shared" si="997"/>
        <v>29892118</v>
      </c>
      <c r="CU373" s="904"/>
      <c r="CY373" s="891">
        <f t="shared" si="998"/>
        <v>29892118</v>
      </c>
      <c r="CZ373" s="891">
        <f t="shared" si="999"/>
        <v>0</v>
      </c>
      <c r="DA373" s="891">
        <f t="shared" si="1000"/>
        <v>0</v>
      </c>
      <c r="DB373" s="891">
        <f t="shared" si="1001"/>
        <v>29892118</v>
      </c>
      <c r="DC373" s="904"/>
      <c r="DG373" s="891">
        <f t="shared" si="1002"/>
        <v>29892118</v>
      </c>
      <c r="DH373" s="891">
        <f t="shared" si="1003"/>
        <v>0</v>
      </c>
      <c r="DI373" s="891">
        <f t="shared" si="1004"/>
        <v>0</v>
      </c>
      <c r="DJ373" s="891">
        <f t="shared" si="1005"/>
        <v>29892118</v>
      </c>
      <c r="DK373" s="904"/>
      <c r="DO373" s="891">
        <f t="shared" si="1006"/>
        <v>29892118</v>
      </c>
      <c r="DP373" s="891">
        <f t="shared" si="1007"/>
        <v>0</v>
      </c>
      <c r="DQ373" s="891">
        <f t="shared" si="1008"/>
        <v>0</v>
      </c>
      <c r="DR373" s="891">
        <f t="shared" si="1009"/>
        <v>29892118</v>
      </c>
      <c r="DS373" s="904"/>
      <c r="DW373" s="891">
        <f t="shared" si="1010"/>
        <v>29892118</v>
      </c>
      <c r="DX373" s="891">
        <f t="shared" si="1011"/>
        <v>0</v>
      </c>
      <c r="DY373" s="891">
        <f t="shared" si="1012"/>
        <v>0</v>
      </c>
      <c r="DZ373" s="891">
        <f t="shared" si="1013"/>
        <v>29892118</v>
      </c>
      <c r="EA373" s="904"/>
      <c r="EE373" s="891">
        <f t="shared" si="1014"/>
        <v>29892118</v>
      </c>
      <c r="EF373" s="891">
        <f t="shared" si="1015"/>
        <v>0</v>
      </c>
      <c r="EG373" s="891">
        <f t="shared" si="1016"/>
        <v>0</v>
      </c>
      <c r="EH373" s="891">
        <f t="shared" si="1017"/>
        <v>29892118</v>
      </c>
      <c r="EI373" s="904"/>
      <c r="EM373" s="891">
        <f t="shared" si="1018"/>
        <v>29892118</v>
      </c>
      <c r="EN373" s="891">
        <f t="shared" si="1019"/>
        <v>0</v>
      </c>
      <c r="EO373" s="891">
        <f t="shared" si="1020"/>
        <v>0</v>
      </c>
      <c r="EP373" s="891">
        <f t="shared" si="1021"/>
        <v>29892118</v>
      </c>
      <c r="EQ373" s="904"/>
      <c r="EU373" s="891">
        <f t="shared" si="1022"/>
        <v>29892118</v>
      </c>
      <c r="EV373" s="891">
        <f t="shared" si="1023"/>
        <v>0</v>
      </c>
      <c r="EW373" s="891">
        <f t="shared" si="1024"/>
        <v>0</v>
      </c>
      <c r="EX373" s="891">
        <f t="shared" si="1025"/>
        <v>29892118</v>
      </c>
      <c r="EY373" s="904"/>
      <c r="FC373" s="891">
        <f t="shared" si="1026"/>
        <v>29892118</v>
      </c>
      <c r="FD373" s="891">
        <f t="shared" si="1027"/>
        <v>0</v>
      </c>
      <c r="FE373" s="891">
        <f t="shared" si="1028"/>
        <v>0</v>
      </c>
      <c r="FF373" s="891">
        <f t="shared" si="1029"/>
        <v>29892118</v>
      </c>
      <c r="FG373" s="904"/>
      <c r="FK373" s="891">
        <f t="shared" si="1030"/>
        <v>29892118</v>
      </c>
      <c r="FL373" s="891">
        <f t="shared" si="1031"/>
        <v>0</v>
      </c>
      <c r="FM373" s="891">
        <f t="shared" si="1032"/>
        <v>0</v>
      </c>
      <c r="FN373" s="891">
        <f t="shared" si="1033"/>
        <v>29892118</v>
      </c>
      <c r="FO373" s="904"/>
    </row>
    <row r="374" spans="2:171" x14ac:dyDescent="0.25">
      <c r="B374" s="113"/>
      <c r="C374" s="1528" t="s">
        <v>514</v>
      </c>
      <c r="D374" s="1528"/>
      <c r="E374" s="905" t="str">
        <f>Ratios!C17</f>
        <v>DIST</v>
      </c>
      <c r="G374" s="891">
        <f>Ratios!D17</f>
        <v>8580394</v>
      </c>
      <c r="H374" s="891">
        <f>Ratios!E17</f>
        <v>0</v>
      </c>
      <c r="I374" s="891">
        <f>Ratios!F17</f>
        <v>0</v>
      </c>
      <c r="J374" s="891">
        <f>Ratios!G17</f>
        <v>8580394</v>
      </c>
      <c r="K374" s="904">
        <f t="shared" si="953"/>
        <v>1</v>
      </c>
      <c r="O374" s="891">
        <f t="shared" si="954"/>
        <v>8580394</v>
      </c>
      <c r="P374" s="891">
        <f t="shared" si="955"/>
        <v>0</v>
      </c>
      <c r="Q374" s="891">
        <f t="shared" si="956"/>
        <v>0</v>
      </c>
      <c r="R374" s="891">
        <f t="shared" si="957"/>
        <v>8580394</v>
      </c>
      <c r="S374" s="904"/>
      <c r="W374" s="891">
        <f t="shared" si="958"/>
        <v>8580394</v>
      </c>
      <c r="X374" s="891">
        <f t="shared" si="959"/>
        <v>0</v>
      </c>
      <c r="Y374" s="891">
        <f t="shared" si="960"/>
        <v>0</v>
      </c>
      <c r="Z374" s="891">
        <f t="shared" si="961"/>
        <v>8580394</v>
      </c>
      <c r="AA374" s="904"/>
      <c r="AE374" s="891">
        <f t="shared" si="962"/>
        <v>8580394</v>
      </c>
      <c r="AF374" s="891">
        <f t="shared" si="963"/>
        <v>0</v>
      </c>
      <c r="AG374" s="891">
        <f t="shared" si="964"/>
        <v>0</v>
      </c>
      <c r="AH374" s="891">
        <f t="shared" si="965"/>
        <v>8580394</v>
      </c>
      <c r="AI374" s="904"/>
      <c r="AM374" s="891">
        <f t="shared" si="966"/>
        <v>8580394</v>
      </c>
      <c r="AN374" s="891">
        <f t="shared" si="967"/>
        <v>0</v>
      </c>
      <c r="AO374" s="891">
        <f t="shared" si="968"/>
        <v>0</v>
      </c>
      <c r="AP374" s="891">
        <f t="shared" si="969"/>
        <v>8580394</v>
      </c>
      <c r="AQ374" s="904"/>
      <c r="AU374" s="891">
        <f t="shared" si="970"/>
        <v>8580394</v>
      </c>
      <c r="AV374" s="891">
        <f t="shared" si="971"/>
        <v>0</v>
      </c>
      <c r="AW374" s="891">
        <f t="shared" si="972"/>
        <v>0</v>
      </c>
      <c r="AX374" s="891">
        <f t="shared" si="973"/>
        <v>8580394</v>
      </c>
      <c r="AY374" s="904"/>
      <c r="BC374" s="891">
        <f t="shared" si="974"/>
        <v>8580394</v>
      </c>
      <c r="BD374" s="891">
        <f t="shared" si="975"/>
        <v>0</v>
      </c>
      <c r="BE374" s="891">
        <f t="shared" si="976"/>
        <v>0</v>
      </c>
      <c r="BF374" s="891">
        <f t="shared" si="977"/>
        <v>8580394</v>
      </c>
      <c r="BG374" s="904"/>
      <c r="BK374" s="891">
        <f t="shared" si="978"/>
        <v>8580394</v>
      </c>
      <c r="BL374" s="891">
        <f t="shared" si="979"/>
        <v>0</v>
      </c>
      <c r="BM374" s="891">
        <f t="shared" si="980"/>
        <v>0</v>
      </c>
      <c r="BN374" s="891">
        <f t="shared" si="981"/>
        <v>8580394</v>
      </c>
      <c r="BO374" s="904"/>
      <c r="BS374" s="891">
        <f t="shared" si="982"/>
        <v>8580394</v>
      </c>
      <c r="BT374" s="891">
        <f t="shared" si="983"/>
        <v>0</v>
      </c>
      <c r="BU374" s="891">
        <f t="shared" si="984"/>
        <v>0</v>
      </c>
      <c r="BV374" s="891">
        <f t="shared" si="985"/>
        <v>8580394</v>
      </c>
      <c r="BW374" s="904"/>
      <c r="CA374" s="891">
        <f t="shared" si="986"/>
        <v>8580394</v>
      </c>
      <c r="CB374" s="891">
        <f t="shared" si="987"/>
        <v>0</v>
      </c>
      <c r="CC374" s="891">
        <f t="shared" si="988"/>
        <v>0</v>
      </c>
      <c r="CD374" s="891">
        <f t="shared" si="989"/>
        <v>8580394</v>
      </c>
      <c r="CE374" s="904"/>
      <c r="CI374" s="891">
        <f t="shared" si="990"/>
        <v>8580394</v>
      </c>
      <c r="CJ374" s="891">
        <f t="shared" si="991"/>
        <v>0</v>
      </c>
      <c r="CK374" s="891">
        <f t="shared" si="992"/>
        <v>0</v>
      </c>
      <c r="CL374" s="891">
        <f t="shared" si="993"/>
        <v>8580394</v>
      </c>
      <c r="CM374" s="904"/>
      <c r="CQ374" s="891">
        <f t="shared" si="994"/>
        <v>8580394</v>
      </c>
      <c r="CR374" s="891">
        <f t="shared" si="995"/>
        <v>0</v>
      </c>
      <c r="CS374" s="891">
        <f t="shared" si="996"/>
        <v>0</v>
      </c>
      <c r="CT374" s="891">
        <f t="shared" si="997"/>
        <v>8580394</v>
      </c>
      <c r="CU374" s="904"/>
      <c r="CY374" s="891">
        <f t="shared" si="998"/>
        <v>8580394</v>
      </c>
      <c r="CZ374" s="891">
        <f t="shared" si="999"/>
        <v>0</v>
      </c>
      <c r="DA374" s="891">
        <f t="shared" si="1000"/>
        <v>0</v>
      </c>
      <c r="DB374" s="891">
        <f t="shared" si="1001"/>
        <v>8580394</v>
      </c>
      <c r="DC374" s="904"/>
      <c r="DG374" s="891">
        <f t="shared" si="1002"/>
        <v>8580394</v>
      </c>
      <c r="DH374" s="891">
        <f t="shared" si="1003"/>
        <v>0</v>
      </c>
      <c r="DI374" s="891">
        <f t="shared" si="1004"/>
        <v>0</v>
      </c>
      <c r="DJ374" s="891">
        <f t="shared" si="1005"/>
        <v>8580394</v>
      </c>
      <c r="DK374" s="904"/>
      <c r="DO374" s="891">
        <f t="shared" si="1006"/>
        <v>8580394</v>
      </c>
      <c r="DP374" s="891">
        <f t="shared" si="1007"/>
        <v>0</v>
      </c>
      <c r="DQ374" s="891">
        <f t="shared" si="1008"/>
        <v>0</v>
      </c>
      <c r="DR374" s="891">
        <f t="shared" si="1009"/>
        <v>8580394</v>
      </c>
      <c r="DS374" s="904"/>
      <c r="DW374" s="891">
        <f t="shared" si="1010"/>
        <v>8580394</v>
      </c>
      <c r="DX374" s="891">
        <f t="shared" si="1011"/>
        <v>0</v>
      </c>
      <c r="DY374" s="891">
        <f t="shared" si="1012"/>
        <v>0</v>
      </c>
      <c r="DZ374" s="891">
        <f t="shared" si="1013"/>
        <v>8580394</v>
      </c>
      <c r="EA374" s="904"/>
      <c r="EE374" s="891">
        <f t="shared" si="1014"/>
        <v>8580394</v>
      </c>
      <c r="EF374" s="891">
        <f t="shared" si="1015"/>
        <v>0</v>
      </c>
      <c r="EG374" s="891">
        <f t="shared" si="1016"/>
        <v>0</v>
      </c>
      <c r="EH374" s="891">
        <f t="shared" si="1017"/>
        <v>8580394</v>
      </c>
      <c r="EI374" s="904"/>
      <c r="EM374" s="891">
        <f t="shared" si="1018"/>
        <v>8580394</v>
      </c>
      <c r="EN374" s="891">
        <f t="shared" si="1019"/>
        <v>0</v>
      </c>
      <c r="EO374" s="891">
        <f t="shared" si="1020"/>
        <v>0</v>
      </c>
      <c r="EP374" s="891">
        <f t="shared" si="1021"/>
        <v>8580394</v>
      </c>
      <c r="EQ374" s="904"/>
      <c r="EU374" s="891">
        <f t="shared" si="1022"/>
        <v>8580394</v>
      </c>
      <c r="EV374" s="891">
        <f t="shared" si="1023"/>
        <v>0</v>
      </c>
      <c r="EW374" s="891">
        <f t="shared" si="1024"/>
        <v>0</v>
      </c>
      <c r="EX374" s="891">
        <f t="shared" si="1025"/>
        <v>8580394</v>
      </c>
      <c r="EY374" s="904"/>
      <c r="FC374" s="891">
        <f t="shared" si="1026"/>
        <v>8580394</v>
      </c>
      <c r="FD374" s="891">
        <f t="shared" si="1027"/>
        <v>0</v>
      </c>
      <c r="FE374" s="891">
        <f t="shared" si="1028"/>
        <v>0</v>
      </c>
      <c r="FF374" s="891">
        <f t="shared" si="1029"/>
        <v>8580394</v>
      </c>
      <c r="FG374" s="904"/>
      <c r="FK374" s="891">
        <f t="shared" si="1030"/>
        <v>8580394</v>
      </c>
      <c r="FL374" s="891">
        <f t="shared" si="1031"/>
        <v>0</v>
      </c>
      <c r="FM374" s="891">
        <f t="shared" si="1032"/>
        <v>0</v>
      </c>
      <c r="FN374" s="891">
        <f t="shared" si="1033"/>
        <v>8580394</v>
      </c>
      <c r="FO374" s="904"/>
    </row>
    <row r="375" spans="2:171" x14ac:dyDescent="0.25">
      <c r="B375" s="113"/>
      <c r="C375" s="108" t="s">
        <v>515</v>
      </c>
      <c r="D375" s="108"/>
      <c r="E375" s="905" t="str">
        <f>Ratios!C18</f>
        <v>DIST</v>
      </c>
      <c r="G375" s="891">
        <f>Ratios!D18</f>
        <v>0</v>
      </c>
      <c r="H375" s="891">
        <f>Ratios!E18</f>
        <v>0</v>
      </c>
      <c r="I375" s="891">
        <f>Ratios!F18</f>
        <v>0</v>
      </c>
      <c r="J375" s="891">
        <f>Ratios!G18</f>
        <v>0</v>
      </c>
      <c r="K375" s="904">
        <f t="shared" si="953"/>
        <v>1</v>
      </c>
      <c r="O375" s="891">
        <f t="shared" si="954"/>
        <v>0</v>
      </c>
      <c r="P375" s="891">
        <f t="shared" si="955"/>
        <v>0</v>
      </c>
      <c r="Q375" s="891">
        <f t="shared" si="956"/>
        <v>0</v>
      </c>
      <c r="R375" s="891">
        <f t="shared" si="957"/>
        <v>0</v>
      </c>
      <c r="S375" s="904"/>
      <c r="W375" s="891">
        <f t="shared" si="958"/>
        <v>0</v>
      </c>
      <c r="X375" s="891">
        <f t="shared" si="959"/>
        <v>0</v>
      </c>
      <c r="Y375" s="891">
        <f t="shared" si="960"/>
        <v>0</v>
      </c>
      <c r="Z375" s="891">
        <f t="shared" si="961"/>
        <v>0</v>
      </c>
      <c r="AA375" s="904"/>
      <c r="AE375" s="891">
        <f t="shared" si="962"/>
        <v>0</v>
      </c>
      <c r="AF375" s="891">
        <f t="shared" si="963"/>
        <v>0</v>
      </c>
      <c r="AG375" s="891">
        <f t="shared" si="964"/>
        <v>0</v>
      </c>
      <c r="AH375" s="891">
        <f t="shared" si="965"/>
        <v>0</v>
      </c>
      <c r="AI375" s="904"/>
      <c r="AM375" s="891">
        <f t="shared" si="966"/>
        <v>0</v>
      </c>
      <c r="AN375" s="891">
        <f t="shared" si="967"/>
        <v>0</v>
      </c>
      <c r="AO375" s="891">
        <f t="shared" si="968"/>
        <v>0</v>
      </c>
      <c r="AP375" s="891">
        <f t="shared" si="969"/>
        <v>0</v>
      </c>
      <c r="AQ375" s="904"/>
      <c r="AU375" s="891">
        <f t="shared" si="970"/>
        <v>0</v>
      </c>
      <c r="AV375" s="891">
        <f t="shared" si="971"/>
        <v>0</v>
      </c>
      <c r="AW375" s="891">
        <f t="shared" si="972"/>
        <v>0</v>
      </c>
      <c r="AX375" s="891">
        <f t="shared" si="973"/>
        <v>0</v>
      </c>
      <c r="AY375" s="904"/>
      <c r="BC375" s="891">
        <f t="shared" si="974"/>
        <v>0</v>
      </c>
      <c r="BD375" s="891">
        <f t="shared" si="975"/>
        <v>0</v>
      </c>
      <c r="BE375" s="891">
        <f t="shared" si="976"/>
        <v>0</v>
      </c>
      <c r="BF375" s="891">
        <f t="shared" si="977"/>
        <v>0</v>
      </c>
      <c r="BG375" s="904"/>
      <c r="BK375" s="891">
        <f t="shared" si="978"/>
        <v>0</v>
      </c>
      <c r="BL375" s="891">
        <f t="shared" si="979"/>
        <v>0</v>
      </c>
      <c r="BM375" s="891">
        <f t="shared" si="980"/>
        <v>0</v>
      </c>
      <c r="BN375" s="891">
        <f t="shared" si="981"/>
        <v>0</v>
      </c>
      <c r="BO375" s="904"/>
      <c r="BS375" s="891">
        <f t="shared" si="982"/>
        <v>0</v>
      </c>
      <c r="BT375" s="891">
        <f t="shared" si="983"/>
        <v>0</v>
      </c>
      <c r="BU375" s="891">
        <f t="shared" si="984"/>
        <v>0</v>
      </c>
      <c r="BV375" s="891">
        <f t="shared" si="985"/>
        <v>0</v>
      </c>
      <c r="BW375" s="904"/>
      <c r="CA375" s="891">
        <f t="shared" si="986"/>
        <v>0</v>
      </c>
      <c r="CB375" s="891">
        <f t="shared" si="987"/>
        <v>0</v>
      </c>
      <c r="CC375" s="891">
        <f t="shared" si="988"/>
        <v>0</v>
      </c>
      <c r="CD375" s="891">
        <f t="shared" si="989"/>
        <v>0</v>
      </c>
      <c r="CE375" s="904"/>
      <c r="CI375" s="891">
        <f t="shared" si="990"/>
        <v>0</v>
      </c>
      <c r="CJ375" s="891">
        <f t="shared" si="991"/>
        <v>0</v>
      </c>
      <c r="CK375" s="891">
        <f t="shared" si="992"/>
        <v>0</v>
      </c>
      <c r="CL375" s="891">
        <f t="shared" si="993"/>
        <v>0</v>
      </c>
      <c r="CM375" s="904"/>
      <c r="CQ375" s="891">
        <f t="shared" si="994"/>
        <v>0</v>
      </c>
      <c r="CR375" s="891">
        <f t="shared" si="995"/>
        <v>0</v>
      </c>
      <c r="CS375" s="891">
        <f t="shared" si="996"/>
        <v>0</v>
      </c>
      <c r="CT375" s="891">
        <f t="shared" si="997"/>
        <v>0</v>
      </c>
      <c r="CU375" s="904"/>
      <c r="CY375" s="891">
        <f t="shared" si="998"/>
        <v>0</v>
      </c>
      <c r="CZ375" s="891">
        <f t="shared" si="999"/>
        <v>0</v>
      </c>
      <c r="DA375" s="891">
        <f t="shared" si="1000"/>
        <v>0</v>
      </c>
      <c r="DB375" s="891">
        <f t="shared" si="1001"/>
        <v>0</v>
      </c>
      <c r="DC375" s="904"/>
      <c r="DG375" s="891">
        <f t="shared" si="1002"/>
        <v>0</v>
      </c>
      <c r="DH375" s="891">
        <f t="shared" si="1003"/>
        <v>0</v>
      </c>
      <c r="DI375" s="891">
        <f t="shared" si="1004"/>
        <v>0</v>
      </c>
      <c r="DJ375" s="891">
        <f t="shared" si="1005"/>
        <v>0</v>
      </c>
      <c r="DK375" s="904"/>
      <c r="DO375" s="891">
        <f t="shared" si="1006"/>
        <v>0</v>
      </c>
      <c r="DP375" s="891">
        <f t="shared" si="1007"/>
        <v>0</v>
      </c>
      <c r="DQ375" s="891">
        <f t="shared" si="1008"/>
        <v>0</v>
      </c>
      <c r="DR375" s="891">
        <f t="shared" si="1009"/>
        <v>0</v>
      </c>
      <c r="DS375" s="904"/>
      <c r="DW375" s="891">
        <f t="shared" si="1010"/>
        <v>0</v>
      </c>
      <c r="DX375" s="891">
        <f t="shared" si="1011"/>
        <v>0</v>
      </c>
      <c r="DY375" s="891">
        <f t="shared" si="1012"/>
        <v>0</v>
      </c>
      <c r="DZ375" s="891">
        <f t="shared" si="1013"/>
        <v>0</v>
      </c>
      <c r="EA375" s="904"/>
      <c r="EE375" s="891">
        <f t="shared" si="1014"/>
        <v>0</v>
      </c>
      <c r="EF375" s="891">
        <f t="shared" si="1015"/>
        <v>0</v>
      </c>
      <c r="EG375" s="891">
        <f t="shared" si="1016"/>
        <v>0</v>
      </c>
      <c r="EH375" s="891">
        <f t="shared" si="1017"/>
        <v>0</v>
      </c>
      <c r="EI375" s="904"/>
      <c r="EM375" s="891">
        <f t="shared" si="1018"/>
        <v>0</v>
      </c>
      <c r="EN375" s="891">
        <f t="shared" si="1019"/>
        <v>0</v>
      </c>
      <c r="EO375" s="891">
        <f t="shared" si="1020"/>
        <v>0</v>
      </c>
      <c r="EP375" s="891">
        <f t="shared" si="1021"/>
        <v>0</v>
      </c>
      <c r="EQ375" s="904"/>
      <c r="EU375" s="891">
        <f t="shared" si="1022"/>
        <v>0</v>
      </c>
      <c r="EV375" s="891">
        <f t="shared" si="1023"/>
        <v>0</v>
      </c>
      <c r="EW375" s="891">
        <f t="shared" si="1024"/>
        <v>0</v>
      </c>
      <c r="EX375" s="891">
        <f t="shared" si="1025"/>
        <v>0</v>
      </c>
      <c r="EY375" s="904"/>
      <c r="FC375" s="891">
        <f t="shared" si="1026"/>
        <v>0</v>
      </c>
      <c r="FD375" s="891">
        <f t="shared" si="1027"/>
        <v>0</v>
      </c>
      <c r="FE375" s="891">
        <f t="shared" si="1028"/>
        <v>0</v>
      </c>
      <c r="FF375" s="891">
        <f t="shared" si="1029"/>
        <v>0</v>
      </c>
      <c r="FG375" s="904"/>
      <c r="FK375" s="891">
        <f t="shared" si="1030"/>
        <v>0</v>
      </c>
      <c r="FL375" s="891">
        <f t="shared" si="1031"/>
        <v>0</v>
      </c>
      <c r="FM375" s="891">
        <f t="shared" si="1032"/>
        <v>0</v>
      </c>
      <c r="FN375" s="891">
        <f t="shared" si="1033"/>
        <v>0</v>
      </c>
      <c r="FO375" s="904"/>
    </row>
    <row r="376" spans="2:171" x14ac:dyDescent="0.25">
      <c r="B376" s="113"/>
      <c r="C376" s="108" t="s">
        <v>518</v>
      </c>
      <c r="D376" s="108"/>
      <c r="E376" s="905" t="str">
        <f>Ratios!C19</f>
        <v>PTD</v>
      </c>
      <c r="G376" s="891">
        <f>Ratios!D19</f>
        <v>40158501</v>
      </c>
      <c r="H376" s="891">
        <f>Ratios!E19</f>
        <v>17677617.280825108</v>
      </c>
      <c r="I376" s="891">
        <f>Ratios!F19</f>
        <v>0</v>
      </c>
      <c r="J376" s="891">
        <f>Ratios!G19</f>
        <v>22480883.719174888</v>
      </c>
      <c r="K376" s="904">
        <f t="shared" si="953"/>
        <v>1</v>
      </c>
      <c r="O376" s="891">
        <f t="shared" si="954"/>
        <v>40158501</v>
      </c>
      <c r="P376" s="891">
        <f>VLOOKUP($E376,O$442:R$453,2,FALSE)*O376*($K376)+IF($G376&lt;&gt;0,($H376/$G376)*O376,0)*(1-$K376)</f>
        <v>17677617.280825108</v>
      </c>
      <c r="Q376" s="891">
        <f>VLOOKUP($E376,O$442:R$453,3,FALSE)*O376*($K376)+IF($G376&lt;&gt;0,($I376/$G376)*O376,0)*(1-$K376)</f>
        <v>10436886.238206843</v>
      </c>
      <c r="R376" s="891">
        <f>VLOOKUP($E376,O$442:R$453,4,FALSE)*O376*($K376)+(O376-P376-Q376)*(1-$K376)</f>
        <v>12043997.480968043</v>
      </c>
      <c r="S376" s="904"/>
      <c r="W376" s="891">
        <f t="shared" si="958"/>
        <v>40158501</v>
      </c>
      <c r="X376" s="891">
        <f>VLOOKUP($E376,W$442:Z$453,2,FALSE)*W376*($K376)+IF($G376&lt;&gt;0,($H376/$G376)*W376,0)*(1-$K376)</f>
        <v>17677617.280825108</v>
      </c>
      <c r="Y376" s="891">
        <f>VLOOKUP($E376,W$442:Z$453,3,FALSE)*W376*($K376)+IF($G376&lt;&gt;0,($I376/$G376)*W376,0)*(1-$K376)</f>
        <v>10436886.238206843</v>
      </c>
      <c r="Z376" s="891">
        <f>VLOOKUP($E376,W$442:Z$453,4,FALSE)*W376*($K376)+(W376-X376-Y376)*(1-$K376)</f>
        <v>12043997.480968043</v>
      </c>
      <c r="AA376" s="904"/>
      <c r="AE376" s="891">
        <f t="shared" si="962"/>
        <v>40158501</v>
      </c>
      <c r="AF376" s="891">
        <f>VLOOKUP($E376,AE$442:AH$453,2,FALSE)*AE376*($K376)+IF($G376&lt;&gt;0,($H376/$G376)*AE376,0)*(1-$K376)</f>
        <v>17677617.280825108</v>
      </c>
      <c r="AG376" s="891">
        <f>VLOOKUP($E376,AE$442:AH$453,3,FALSE)*AE376*($K376)+IF($G376&lt;&gt;0,($I376/$G376)*AE376,0)*(1-$K376)</f>
        <v>10436886.238206843</v>
      </c>
      <c r="AH376" s="891">
        <f>VLOOKUP($E376,AE$442:AH$453,4,FALSE)*AE376*($K376)+(AE376-AF376-AG376)*(1-$K376)</f>
        <v>12043997.480968043</v>
      </c>
      <c r="AI376" s="904"/>
      <c r="AM376" s="891">
        <f t="shared" si="966"/>
        <v>40158501</v>
      </c>
      <c r="AN376" s="891">
        <f>VLOOKUP($E376,AM$442:AP$453,2,FALSE)*AM376*($K376)+IF($G376&lt;&gt;0,($H376/$G376)*AM376,0)*(1-$K376)</f>
        <v>17677617.280825108</v>
      </c>
      <c r="AO376" s="891">
        <f>VLOOKUP($E376,AM$442:AP$453,3,FALSE)*AM376*($K376)+IF($G376&lt;&gt;0,($I376/$G376)*AM376,0)*(1-$K376)</f>
        <v>10436886.238206843</v>
      </c>
      <c r="AP376" s="891">
        <f>VLOOKUP($E376,AM$442:AP$453,4,FALSE)*AM376*($K376)+(AM376-AN376-AO376)*(1-$K376)</f>
        <v>12043997.480968043</v>
      </c>
      <c r="AQ376" s="904"/>
      <c r="AU376" s="891">
        <f t="shared" si="970"/>
        <v>40158501</v>
      </c>
      <c r="AV376" s="891">
        <f>VLOOKUP($E376,AU$442:AX$453,2,FALSE)*AU376*($K376)+IF($G376&lt;&gt;0,($H376/$G376)*AU376,0)*(1-$K376)</f>
        <v>17677617.280825108</v>
      </c>
      <c r="AW376" s="891">
        <f>VLOOKUP($E376,AU$442:AX$453,3,FALSE)*AU376*($K376)+IF($G376&lt;&gt;0,($I376/$G376)*AU376,0)*(1-$K376)</f>
        <v>10436886.238206843</v>
      </c>
      <c r="AX376" s="891">
        <f>VLOOKUP($E376,AU$442:AX$453,4,FALSE)*AU376*($K376)+(AU376-AV376-AW376)*(1-$K376)</f>
        <v>12043997.480968043</v>
      </c>
      <c r="AY376" s="904"/>
      <c r="BC376" s="891">
        <f t="shared" si="974"/>
        <v>40158501</v>
      </c>
      <c r="BD376" s="891">
        <f>VLOOKUP($E376,BC$442:BF$453,2,FALSE)*BC376*($K376)+IF($G376&lt;&gt;0,($H376/$G376)*BC376,0)*(1-$K376)</f>
        <v>17677617.280825108</v>
      </c>
      <c r="BE376" s="891">
        <f>VLOOKUP($E376,BC$442:BF$453,3,FALSE)*BC376*($K376)+IF($G376&lt;&gt;0,($I376/$G376)*BC376,0)*(1-$K376)</f>
        <v>10436886.238206843</v>
      </c>
      <c r="BF376" s="891">
        <f>VLOOKUP($E376,BC$442:BF$453,4,FALSE)*BC376*($K376)+(BC376-BD376-BE376)*(1-$K376)</f>
        <v>12043997.480968043</v>
      </c>
      <c r="BG376" s="904"/>
      <c r="BK376" s="891">
        <f t="shared" si="978"/>
        <v>40158501</v>
      </c>
      <c r="BL376" s="891">
        <f>VLOOKUP($E376,BK$442:BN$453,2,FALSE)*BK376*($K376)+IF($G376&lt;&gt;0,($H376/$G376)*BK376,0)*(1-$K376)</f>
        <v>17677617.280825108</v>
      </c>
      <c r="BM376" s="891">
        <f>VLOOKUP($E376,BK$442:BN$453,3,FALSE)*BK376*($K376)+IF($G376&lt;&gt;0,($I376/$G376)*BK376,0)*(1-$K376)</f>
        <v>10436886.238206843</v>
      </c>
      <c r="BN376" s="891">
        <f>VLOOKUP($E376,BK$442:BN$453,4,FALSE)*BK376*($K376)+(BK376-BL376-BM376)*(1-$K376)</f>
        <v>12043997.480968043</v>
      </c>
      <c r="BO376" s="904"/>
      <c r="BS376" s="891">
        <f t="shared" si="982"/>
        <v>40158501</v>
      </c>
      <c r="BT376" s="891">
        <f>VLOOKUP($E376,BS$442:BV$453,2,FALSE)*BS376*($K376)+IF($G376&lt;&gt;0,($H376/$G376)*BS376,0)*(1-$K376)</f>
        <v>17677617.280825108</v>
      </c>
      <c r="BU376" s="891">
        <f>VLOOKUP($E376,BS$442:BV$453,3,FALSE)*BS376*($K376)+IF($G376&lt;&gt;0,($I376/$G376)*BS376,0)*(1-$K376)</f>
        <v>10436886.238206843</v>
      </c>
      <c r="BV376" s="891">
        <f>VLOOKUP($E376,BS$442:BV$453,4,FALSE)*BS376*($K376)+(BS376-BT376-BU376)*(1-$K376)</f>
        <v>12043997.480968043</v>
      </c>
      <c r="BW376" s="904"/>
      <c r="CA376" s="891">
        <f t="shared" si="986"/>
        <v>40158501</v>
      </c>
      <c r="CB376" s="891">
        <f>VLOOKUP($E376,CA$442:CD$453,2,FALSE)*CA376*($K376)+IF($G376&lt;&gt;0,($H376/$G376)*CA376,0)*(1-$K376)</f>
        <v>17677617.280825108</v>
      </c>
      <c r="CC376" s="891">
        <f>VLOOKUP($E376,CA$442:CD$453,3,FALSE)*CA376*($K376)+IF($G376&lt;&gt;0,($I376/$G376)*CA376,0)*(1-$K376)</f>
        <v>10436886.238206843</v>
      </c>
      <c r="CD376" s="891">
        <f>VLOOKUP($E376,CA$442:CD$453,4,FALSE)*CA376*($K376)+(CA376-CB376-CC376)*(1-$K376)</f>
        <v>12043997.480968043</v>
      </c>
      <c r="CE376" s="904"/>
      <c r="CI376" s="891">
        <f t="shared" si="990"/>
        <v>40158501</v>
      </c>
      <c r="CJ376" s="891">
        <f>VLOOKUP($E376,CI$442:CL$453,2,FALSE)*CI376*($K376)+IF($G376&lt;&gt;0,($H376/$G376)*CI376,0)*(1-$K376)</f>
        <v>17677617.280825108</v>
      </c>
      <c r="CK376" s="891">
        <f>VLOOKUP($E376,CI$442:CL$453,3,FALSE)*CI376*($K376)+IF($G376&lt;&gt;0,($I376/$G376)*CI376,0)*(1-$K376)</f>
        <v>10436886.238206843</v>
      </c>
      <c r="CL376" s="891">
        <f>VLOOKUP($E376,CI$442:CL$453,4,FALSE)*CI376*($K376)+(CI376-CJ376-CK376)*(1-$K376)</f>
        <v>12043997.480968043</v>
      </c>
      <c r="CM376" s="904"/>
      <c r="CQ376" s="891">
        <f t="shared" si="994"/>
        <v>40158501</v>
      </c>
      <c r="CR376" s="891">
        <f>VLOOKUP($E376,CQ$442:CT$453,2,FALSE)*CQ376*($K376)+IF($G376&lt;&gt;0,($H376/$G376)*CQ376,0)*(1-$K376)</f>
        <v>17677617.280825108</v>
      </c>
      <c r="CS376" s="891">
        <f>VLOOKUP($E376,CQ$442:CT$453,3,FALSE)*CQ376*($K376)+IF($G376&lt;&gt;0,($I376/$G376)*CQ376,0)*(1-$K376)</f>
        <v>10436886.238206843</v>
      </c>
      <c r="CT376" s="891">
        <f>VLOOKUP($E376,CQ$442:CT$453,4,FALSE)*CQ376*($K376)+(CQ376-CR376-CS376)*(1-$K376)</f>
        <v>12043997.480968043</v>
      </c>
      <c r="CU376" s="904"/>
      <c r="CY376" s="891">
        <f t="shared" si="998"/>
        <v>40158501</v>
      </c>
      <c r="CZ376" s="891">
        <f>VLOOKUP($E376,CY$442:DB$453,2,FALSE)*CY376*($K376)+IF($G376&lt;&gt;0,($H376/$G376)*CY376,0)*(1-$K376)</f>
        <v>17677617.280825108</v>
      </c>
      <c r="DA376" s="891">
        <f>VLOOKUP($E376,CY$442:DB$453,3,FALSE)*CY376*($K376)+IF($G376&lt;&gt;0,($I376/$G376)*CY376,0)*(1-$K376)</f>
        <v>10436886.238206843</v>
      </c>
      <c r="DB376" s="891">
        <f>VLOOKUP($E376,CY$442:DB$453,4,FALSE)*CY376*($K376)+(CY376-CZ376-DA376)*(1-$K376)</f>
        <v>12043997.480968043</v>
      </c>
      <c r="DC376" s="904"/>
      <c r="DG376" s="891">
        <f t="shared" si="1002"/>
        <v>40158501</v>
      </c>
      <c r="DH376" s="891">
        <f>VLOOKUP($E376,DG$442:DJ$453,2,FALSE)*DG376*($K376)+IF($G376&lt;&gt;0,($H376/$G376)*DG376,0)*(1-$K376)</f>
        <v>17677617.280825108</v>
      </c>
      <c r="DI376" s="891">
        <f>VLOOKUP($E376,DG$442:DJ$453,3,FALSE)*DG376*($K376)+IF($G376&lt;&gt;0,($I376/$G376)*DG376,0)*(1-$K376)</f>
        <v>10436886.238206843</v>
      </c>
      <c r="DJ376" s="891">
        <f>VLOOKUP($E376,DG$442:DJ$453,4,FALSE)*DG376*($K376)+(DG376-DH376-DI376)*(1-$K376)</f>
        <v>12043997.480968043</v>
      </c>
      <c r="DK376" s="904"/>
      <c r="DO376" s="891">
        <f t="shared" si="1006"/>
        <v>40158501</v>
      </c>
      <c r="DP376" s="891">
        <f>VLOOKUP($E376,DO$442:DR$453,2,FALSE)*DO376*($K376)+IF($G376&lt;&gt;0,($H376/$G376)*DO376,0)*(1-$K376)</f>
        <v>17677617.280825108</v>
      </c>
      <c r="DQ376" s="891">
        <f>VLOOKUP($E376,DO$442:DR$453,3,FALSE)*DO376*($K376)+IF($G376&lt;&gt;0,($I376/$G376)*DO376,0)*(1-$K376)</f>
        <v>10436886.238206843</v>
      </c>
      <c r="DR376" s="891">
        <f>VLOOKUP($E376,DO$442:DR$453,4,FALSE)*DO376*($K376)+(DO376-DP376-DQ376)*(1-$K376)</f>
        <v>12043997.480968043</v>
      </c>
      <c r="DS376" s="904"/>
      <c r="DW376" s="891">
        <f t="shared" si="1010"/>
        <v>40158501</v>
      </c>
      <c r="DX376" s="891">
        <f>VLOOKUP($E376,DW$442:DZ$453,2,FALSE)*DW376*($K376)+IF($G376&lt;&gt;0,($H376/$G376)*DW376,0)*(1-$K376)</f>
        <v>17677617.280825108</v>
      </c>
      <c r="DY376" s="891">
        <f>VLOOKUP($E376,DW$442:DZ$453,3,FALSE)*DW376*($K376)+IF($G376&lt;&gt;0,($I376/$G376)*DW376,0)*(1-$K376)</f>
        <v>10436886.238206843</v>
      </c>
      <c r="DZ376" s="891">
        <f>VLOOKUP($E376,DW$442:DZ$453,4,FALSE)*DW376*($K376)+(DW376-DX376-DY376)*(1-$K376)</f>
        <v>12043997.480968043</v>
      </c>
      <c r="EA376" s="904"/>
      <c r="EE376" s="891">
        <f t="shared" si="1014"/>
        <v>40158501</v>
      </c>
      <c r="EF376" s="891">
        <f>VLOOKUP($E376,EE$442:EH$453,2,FALSE)*EE376*($K376)+IF($G376&lt;&gt;0,($H376/$G376)*EE376,0)*(1-$K376)</f>
        <v>17677617.280825108</v>
      </c>
      <c r="EG376" s="891">
        <f>VLOOKUP($E376,EE$442:EH$453,3,FALSE)*EE376*($K376)+IF($G376&lt;&gt;0,($I376/$G376)*EE376,0)*(1-$K376)</f>
        <v>10436886.238206843</v>
      </c>
      <c r="EH376" s="891">
        <f>VLOOKUP($E376,EE$442:EH$453,4,FALSE)*EE376*($K376)+(EE376-EF376-EG376)*(1-$K376)</f>
        <v>12043997.480968043</v>
      </c>
      <c r="EI376" s="904"/>
      <c r="EM376" s="891">
        <f t="shared" si="1018"/>
        <v>40158501</v>
      </c>
      <c r="EN376" s="891">
        <f>VLOOKUP($E376,EM$442:EP$453,2,FALSE)*EM376*($K376)+IF($G376&lt;&gt;0,($H376/$G376)*EM376,0)*(1-$K376)</f>
        <v>17677617.280825108</v>
      </c>
      <c r="EO376" s="891">
        <f>VLOOKUP($E376,EM$442:EP$453,3,FALSE)*EM376*($K376)+IF($G376&lt;&gt;0,($I376/$G376)*EM376,0)*(1-$K376)</f>
        <v>10436886.238206843</v>
      </c>
      <c r="EP376" s="891">
        <f>VLOOKUP($E376,EM$442:EP$453,4,FALSE)*EM376*($K376)+(EM376-EN376-EO376)*(1-$K376)</f>
        <v>12043997.480968043</v>
      </c>
      <c r="EQ376" s="904"/>
      <c r="EU376" s="891">
        <f t="shared" si="1022"/>
        <v>40158501</v>
      </c>
      <c r="EV376" s="891">
        <f>VLOOKUP($E376,EU$442:EX$453,2,FALSE)*EU376*($K376)+IF($G376&lt;&gt;0,($H376/$G376)*EU376,0)*(1-$K376)</f>
        <v>17677617.280825108</v>
      </c>
      <c r="EW376" s="891">
        <f>VLOOKUP($E376,EU$442:EX$453,3,FALSE)*EU376*($K376)+IF($G376&lt;&gt;0,($I376/$G376)*EU376,0)*(1-$K376)</f>
        <v>10436886.238206843</v>
      </c>
      <c r="EX376" s="891">
        <f>VLOOKUP($E376,EU$442:EX$453,4,FALSE)*EU376*($K376)+(EU376-EV376-EW376)*(1-$K376)</f>
        <v>12043997.480968043</v>
      </c>
      <c r="EY376" s="904"/>
      <c r="FC376" s="891">
        <f t="shared" si="1026"/>
        <v>40158501</v>
      </c>
      <c r="FD376" s="891">
        <f>VLOOKUP($E376,FC$442:FF$453,2,FALSE)*FC376*($K376)+IF($G376&lt;&gt;0,($H376/$G376)*FC376,0)*(1-$K376)</f>
        <v>17677617.280825108</v>
      </c>
      <c r="FE376" s="891">
        <f>VLOOKUP($E376,FC$442:FF$453,3,FALSE)*FC376*($K376)+IF($G376&lt;&gt;0,($I376/$G376)*FC376,0)*(1-$K376)</f>
        <v>10436886.238206843</v>
      </c>
      <c r="FF376" s="891">
        <f>VLOOKUP($E376,FC$442:FF$453,4,FALSE)*FC376*($K376)+(FC376-FD376-FE376)*(1-$K376)</f>
        <v>12043997.480968043</v>
      </c>
      <c r="FG376" s="904"/>
      <c r="FK376" s="891">
        <f t="shared" si="1030"/>
        <v>40158501</v>
      </c>
      <c r="FL376" s="891">
        <f>VLOOKUP($E376,FK$442:FN$453,2,FALSE)*FK376*($K376)+IF($G376&lt;&gt;0,($H376/$G376)*FK376,0)*(1-$K376)</f>
        <v>17677617.280825108</v>
      </c>
      <c r="FM376" s="891">
        <f>VLOOKUP($E376,FK$442:FN$453,3,FALSE)*FK376*($K376)+IF($G376&lt;&gt;0,($I376/$G376)*FK376,0)*(1-$K376)</f>
        <v>10436886.238206843</v>
      </c>
      <c r="FN376" s="891">
        <f>VLOOKUP($E376,FK$442:FN$453,4,FALSE)*FK376*($K376)+(FK376-FL376-FM376)*(1-$K376)</f>
        <v>12043997.480968043</v>
      </c>
      <c r="FO376" s="904"/>
    </row>
    <row r="377" spans="2:171" x14ac:dyDescent="0.25">
      <c r="K377" s="904"/>
      <c r="S377" s="904"/>
      <c r="AA377" s="904"/>
      <c r="AI377" s="904"/>
      <c r="AQ377" s="904"/>
      <c r="AY377" s="904"/>
      <c r="BG377" s="904"/>
      <c r="BO377" s="904"/>
      <c r="BW377" s="904"/>
      <c r="CE377" s="904"/>
      <c r="CM377" s="904"/>
      <c r="CU377" s="904"/>
      <c r="DC377" s="904"/>
      <c r="DK377" s="904"/>
      <c r="DS377" s="904"/>
      <c r="EA377" s="904"/>
      <c r="EI377" s="904"/>
      <c r="EQ377" s="904"/>
      <c r="EY377" s="904"/>
      <c r="FG377" s="904"/>
      <c r="FO377" s="904"/>
    </row>
    <row r="378" spans="2:171" x14ac:dyDescent="0.25">
      <c r="C378" s="108" t="s">
        <v>523</v>
      </c>
      <c r="G378" s="1634">
        <f>SUM(G370:G377)</f>
        <v>386417387</v>
      </c>
      <c r="H378" s="1634">
        <f>SUM(H370:H377)</f>
        <v>161079402.28082511</v>
      </c>
      <c r="I378" s="1634">
        <f>SUM(I370:I377)</f>
        <v>0</v>
      </c>
      <c r="J378" s="1634">
        <f>SUM(J370:J377)</f>
        <v>225337984.71917489</v>
      </c>
      <c r="K378" s="904"/>
      <c r="O378" s="906">
        <f>SUM(O370:O377)</f>
        <v>386417387</v>
      </c>
      <c r="P378" s="906">
        <f>SUM(P370:P377)</f>
        <v>161079402.28082511</v>
      </c>
      <c r="Q378" s="906">
        <f>SUM(Q370:Q377)</f>
        <v>10436886.238206843</v>
      </c>
      <c r="R378" s="906">
        <f>SUM(R370:R377)</f>
        <v>214901098.48096806</v>
      </c>
      <c r="S378" s="904"/>
      <c r="W378" s="906">
        <f>SUM(W370:W377)</f>
        <v>386417387</v>
      </c>
      <c r="X378" s="906">
        <f>SUM(X370:X377)</f>
        <v>161079402.28082511</v>
      </c>
      <c r="Y378" s="906">
        <f>SUM(Y370:Y377)</f>
        <v>10436886.238206843</v>
      </c>
      <c r="Z378" s="906">
        <f>SUM(Z370:Z377)</f>
        <v>214901098.48096806</v>
      </c>
      <c r="AA378" s="904"/>
      <c r="AE378" s="906">
        <f>SUM(AE370:AE377)</f>
        <v>386417387</v>
      </c>
      <c r="AF378" s="906">
        <f>SUM(AF370:AF377)</f>
        <v>161079402.28082511</v>
      </c>
      <c r="AG378" s="906">
        <f>SUM(AG370:AG377)</f>
        <v>10436886.238206843</v>
      </c>
      <c r="AH378" s="906">
        <f>SUM(AH370:AH377)</f>
        <v>214901098.48096806</v>
      </c>
      <c r="AI378" s="904"/>
      <c r="AM378" s="906">
        <f>SUM(AM370:AM377)</f>
        <v>386417387</v>
      </c>
      <c r="AN378" s="906">
        <f>SUM(AN370:AN377)</f>
        <v>161079402.28082511</v>
      </c>
      <c r="AO378" s="906">
        <f>SUM(AO370:AO377)</f>
        <v>10436886.238206843</v>
      </c>
      <c r="AP378" s="906">
        <f>SUM(AP370:AP377)</f>
        <v>214901098.48096806</v>
      </c>
      <c r="AQ378" s="904"/>
      <c r="AU378" s="906">
        <f>SUM(AU370:AU377)</f>
        <v>386417387</v>
      </c>
      <c r="AV378" s="906">
        <f>SUM(AV370:AV377)</f>
        <v>161079402.28082511</v>
      </c>
      <c r="AW378" s="906">
        <f>SUM(AW370:AW377)</f>
        <v>10436886.238206843</v>
      </c>
      <c r="AX378" s="906">
        <f>SUM(AX370:AX377)</f>
        <v>214901098.48096806</v>
      </c>
      <c r="AY378" s="904"/>
      <c r="BC378" s="906">
        <f>SUM(BC370:BC377)</f>
        <v>386417387</v>
      </c>
      <c r="BD378" s="906">
        <f>SUM(BD370:BD377)</f>
        <v>161079402.28082511</v>
      </c>
      <c r="BE378" s="906">
        <f>SUM(BE370:BE377)</f>
        <v>10436886.238206843</v>
      </c>
      <c r="BF378" s="906">
        <f>SUM(BF370:BF377)</f>
        <v>214901098.48096806</v>
      </c>
      <c r="BG378" s="904"/>
      <c r="BK378" s="906">
        <f>SUM(BK370:BK377)</f>
        <v>386417387</v>
      </c>
      <c r="BL378" s="906">
        <f>SUM(BL370:BL377)</f>
        <v>161079402.28082511</v>
      </c>
      <c r="BM378" s="906">
        <f>SUM(BM370:BM377)</f>
        <v>10436886.238206843</v>
      </c>
      <c r="BN378" s="906">
        <f>SUM(BN370:BN377)</f>
        <v>214901098.48096806</v>
      </c>
      <c r="BO378" s="904"/>
      <c r="BS378" s="906">
        <f>SUM(BS370:BS377)</f>
        <v>386417387</v>
      </c>
      <c r="BT378" s="906">
        <f>SUM(BT370:BT377)</f>
        <v>161079402.28082511</v>
      </c>
      <c r="BU378" s="906">
        <f>SUM(BU370:BU377)</f>
        <v>10436886.238206843</v>
      </c>
      <c r="BV378" s="906">
        <f>SUM(BV370:BV377)</f>
        <v>214901098.48096806</v>
      </c>
      <c r="BW378" s="904"/>
      <c r="CA378" s="906">
        <f>SUM(CA370:CA377)</f>
        <v>386417387</v>
      </c>
      <c r="CB378" s="906">
        <f>SUM(CB370:CB377)</f>
        <v>161079402.28082511</v>
      </c>
      <c r="CC378" s="906">
        <f>SUM(CC370:CC377)</f>
        <v>10436886.238206843</v>
      </c>
      <c r="CD378" s="906">
        <f>SUM(CD370:CD377)</f>
        <v>214901098.48096806</v>
      </c>
      <c r="CE378" s="904"/>
      <c r="CI378" s="906">
        <f>SUM(CI370:CI377)</f>
        <v>386417387</v>
      </c>
      <c r="CJ378" s="906">
        <f>SUM(CJ370:CJ377)</f>
        <v>161079402.28082511</v>
      </c>
      <c r="CK378" s="906">
        <f>SUM(CK370:CK377)</f>
        <v>10436886.238206843</v>
      </c>
      <c r="CL378" s="906">
        <f>SUM(CL370:CL377)</f>
        <v>214901098.48096806</v>
      </c>
      <c r="CM378" s="904"/>
      <c r="CQ378" s="906">
        <f>SUM(CQ370:CQ377)</f>
        <v>386417387</v>
      </c>
      <c r="CR378" s="906">
        <f>SUM(CR370:CR377)</f>
        <v>161079402.28082511</v>
      </c>
      <c r="CS378" s="906">
        <f>SUM(CS370:CS377)</f>
        <v>10436886.238206843</v>
      </c>
      <c r="CT378" s="906">
        <f>SUM(CT370:CT377)</f>
        <v>214901098.48096806</v>
      </c>
      <c r="CU378" s="904"/>
      <c r="CY378" s="906">
        <f>SUM(CY370:CY377)</f>
        <v>386417387</v>
      </c>
      <c r="CZ378" s="906">
        <f>SUM(CZ370:CZ377)</f>
        <v>161079402.28082511</v>
      </c>
      <c r="DA378" s="906">
        <f>SUM(DA370:DA377)</f>
        <v>10436886.238206843</v>
      </c>
      <c r="DB378" s="906">
        <f>SUM(DB370:DB377)</f>
        <v>214901098.48096806</v>
      </c>
      <c r="DC378" s="904"/>
      <c r="DG378" s="906">
        <f>SUM(DG370:DG377)</f>
        <v>386417387</v>
      </c>
      <c r="DH378" s="906">
        <f>SUM(DH370:DH377)</f>
        <v>161079402.28082511</v>
      </c>
      <c r="DI378" s="906">
        <f>SUM(DI370:DI377)</f>
        <v>10436886.238206843</v>
      </c>
      <c r="DJ378" s="906">
        <f>SUM(DJ370:DJ377)</f>
        <v>214901098.48096806</v>
      </c>
      <c r="DK378" s="904"/>
      <c r="DO378" s="906">
        <f>SUM(DO370:DO377)</f>
        <v>386417387</v>
      </c>
      <c r="DP378" s="906">
        <f>SUM(DP370:DP377)</f>
        <v>161079402.28082511</v>
      </c>
      <c r="DQ378" s="906">
        <f>SUM(DQ370:DQ377)</f>
        <v>10436886.238206843</v>
      </c>
      <c r="DR378" s="906">
        <f>SUM(DR370:DR377)</f>
        <v>214901098.48096806</v>
      </c>
      <c r="DS378" s="904"/>
      <c r="DW378" s="906">
        <f>SUM(DW370:DW377)</f>
        <v>386417387</v>
      </c>
      <c r="DX378" s="906">
        <f>SUM(DX370:DX377)</f>
        <v>161079402.28082511</v>
      </c>
      <c r="DY378" s="906">
        <f>SUM(DY370:DY377)</f>
        <v>10436886.238206843</v>
      </c>
      <c r="DZ378" s="906">
        <f>SUM(DZ370:DZ377)</f>
        <v>214901098.48096806</v>
      </c>
      <c r="EA378" s="904"/>
      <c r="EE378" s="906">
        <f>SUM(EE370:EE377)</f>
        <v>386417387</v>
      </c>
      <c r="EF378" s="906">
        <f>SUM(EF370:EF377)</f>
        <v>161079402.28082511</v>
      </c>
      <c r="EG378" s="906">
        <f>SUM(EG370:EG377)</f>
        <v>10436886.238206843</v>
      </c>
      <c r="EH378" s="906">
        <f>SUM(EH370:EH377)</f>
        <v>214901098.48096806</v>
      </c>
      <c r="EI378" s="904"/>
      <c r="EM378" s="906">
        <f>SUM(EM370:EM377)</f>
        <v>386417387</v>
      </c>
      <c r="EN378" s="906">
        <f>SUM(EN370:EN377)</f>
        <v>161079402.28082511</v>
      </c>
      <c r="EO378" s="906">
        <f>SUM(EO370:EO377)</f>
        <v>10436886.238206843</v>
      </c>
      <c r="EP378" s="906">
        <f>SUM(EP370:EP377)</f>
        <v>214901098.48096806</v>
      </c>
      <c r="EQ378" s="904"/>
      <c r="EU378" s="906">
        <f>SUM(EU370:EU377)</f>
        <v>386417387</v>
      </c>
      <c r="EV378" s="906">
        <f>SUM(EV370:EV377)</f>
        <v>161079402.28082511</v>
      </c>
      <c r="EW378" s="906">
        <f>SUM(EW370:EW377)</f>
        <v>10436886.238206843</v>
      </c>
      <c r="EX378" s="906">
        <f>SUM(EX370:EX377)</f>
        <v>214901098.48096806</v>
      </c>
      <c r="EY378" s="904"/>
      <c r="FC378" s="906">
        <f>SUM(FC370:FC377)</f>
        <v>386417387</v>
      </c>
      <c r="FD378" s="906">
        <f>SUM(FD370:FD377)</f>
        <v>161079402.28082511</v>
      </c>
      <c r="FE378" s="906">
        <f>SUM(FE370:FE377)</f>
        <v>10436886.238206843</v>
      </c>
      <c r="FF378" s="906">
        <f>SUM(FF370:FF377)</f>
        <v>214901098.48096806</v>
      </c>
      <c r="FG378" s="904"/>
      <c r="FK378" s="906">
        <f>SUM(FK370:FK377)</f>
        <v>386417387</v>
      </c>
      <c r="FL378" s="906">
        <f>SUM(FL370:FL377)</f>
        <v>161079402.28082511</v>
      </c>
      <c r="FM378" s="906">
        <f>SUM(FM370:FM377)</f>
        <v>10436886.238206843</v>
      </c>
      <c r="FN378" s="906">
        <f>SUM(FN370:FN377)</f>
        <v>214901098.48096806</v>
      </c>
      <c r="FO378" s="904"/>
    </row>
    <row r="379" spans="2:171" x14ac:dyDescent="0.25">
      <c r="D379" s="1299" t="s">
        <v>639</v>
      </c>
      <c r="E379" s="1295"/>
      <c r="G379" s="1635">
        <f>SUM(H379:J379)</f>
        <v>1</v>
      </c>
      <c r="H379" s="1635">
        <f>H378/$G378</f>
        <v>0.41685340178759894</v>
      </c>
      <c r="I379" s="1635">
        <f>I378/$G378</f>
        <v>0</v>
      </c>
      <c r="J379" s="1635">
        <f>J378/$G378</f>
        <v>0.58314659821240111</v>
      </c>
      <c r="K379" s="904"/>
      <c r="L379" s="1075" t="s">
        <v>639</v>
      </c>
      <c r="O379" s="1078">
        <f>SUM(P379:R379)</f>
        <v>1</v>
      </c>
      <c r="P379" s="1078">
        <f>P378/$G378</f>
        <v>0.41685340178759894</v>
      </c>
      <c r="Q379" s="1078">
        <f>Q378/$G378</f>
        <v>2.7009359799347855E-2</v>
      </c>
      <c r="R379" s="1078">
        <f>R378/$G378</f>
        <v>0.55613723841305318</v>
      </c>
      <c r="S379" s="904"/>
      <c r="T379" s="1075" t="s">
        <v>639</v>
      </c>
      <c r="W379" s="1078">
        <f>SUM(X379:Z379)</f>
        <v>1</v>
      </c>
      <c r="X379" s="1078">
        <f>X378/$G378</f>
        <v>0.41685340178759894</v>
      </c>
      <c r="Y379" s="1078">
        <f>Y378/$G378</f>
        <v>2.7009359799347855E-2</v>
      </c>
      <c r="Z379" s="1078">
        <f>Z378/$G378</f>
        <v>0.55613723841305318</v>
      </c>
      <c r="AA379" s="904"/>
      <c r="AB379" s="1075" t="s">
        <v>639</v>
      </c>
      <c r="AE379" s="1078">
        <f>SUM(AF379:AH379)</f>
        <v>1</v>
      </c>
      <c r="AF379" s="1078">
        <f>AF378/$G378</f>
        <v>0.41685340178759894</v>
      </c>
      <c r="AG379" s="1078">
        <f>AG378/$G378</f>
        <v>2.7009359799347855E-2</v>
      </c>
      <c r="AH379" s="1078">
        <f>AH378/$G378</f>
        <v>0.55613723841305318</v>
      </c>
      <c r="AI379" s="904"/>
      <c r="AJ379" s="1075" t="s">
        <v>639</v>
      </c>
      <c r="AM379" s="1078">
        <f>SUM(AN379:AP379)</f>
        <v>1</v>
      </c>
      <c r="AN379" s="1078">
        <f>AN378/$G378</f>
        <v>0.41685340178759894</v>
      </c>
      <c r="AO379" s="1078">
        <f>AO378/$G378</f>
        <v>2.7009359799347855E-2</v>
      </c>
      <c r="AP379" s="1078">
        <f>AP378/$G378</f>
        <v>0.55613723841305318</v>
      </c>
      <c r="AQ379" s="904"/>
      <c r="AR379" s="1075" t="s">
        <v>639</v>
      </c>
      <c r="AU379" s="1078">
        <f>SUM(AV379:AX379)</f>
        <v>1</v>
      </c>
      <c r="AV379" s="1078">
        <f>AV378/$G378</f>
        <v>0.41685340178759894</v>
      </c>
      <c r="AW379" s="1078">
        <f>AW378/$G378</f>
        <v>2.7009359799347855E-2</v>
      </c>
      <c r="AX379" s="1078">
        <f>AX378/$G378</f>
        <v>0.55613723841305318</v>
      </c>
      <c r="AY379" s="904"/>
      <c r="AZ379" s="1075" t="s">
        <v>639</v>
      </c>
      <c r="BC379" s="1078">
        <f>SUM(BD379:BF379)</f>
        <v>1</v>
      </c>
      <c r="BD379" s="1078">
        <f>BD378/$G378</f>
        <v>0.41685340178759894</v>
      </c>
      <c r="BE379" s="1078">
        <f>BE378/$G378</f>
        <v>2.7009359799347855E-2</v>
      </c>
      <c r="BF379" s="1078">
        <f>BF378/$G378</f>
        <v>0.55613723841305318</v>
      </c>
      <c r="BG379" s="904"/>
      <c r="BH379" s="1075" t="s">
        <v>639</v>
      </c>
      <c r="BK379" s="1078">
        <f>SUM(BL379:BN379)</f>
        <v>1</v>
      </c>
      <c r="BL379" s="1078">
        <f>BL378/$G378</f>
        <v>0.41685340178759894</v>
      </c>
      <c r="BM379" s="1078">
        <f>BM378/$G378</f>
        <v>2.7009359799347855E-2</v>
      </c>
      <c r="BN379" s="1078">
        <f>BN378/$G378</f>
        <v>0.55613723841305318</v>
      </c>
      <c r="BO379" s="904"/>
      <c r="BP379" s="1075" t="s">
        <v>639</v>
      </c>
      <c r="BS379" s="1078">
        <f>SUM(BT379:BV379)</f>
        <v>1</v>
      </c>
      <c r="BT379" s="1078">
        <f>BT378/$G378</f>
        <v>0.41685340178759894</v>
      </c>
      <c r="BU379" s="1078">
        <f>BU378/$G378</f>
        <v>2.7009359799347855E-2</v>
      </c>
      <c r="BV379" s="1078">
        <f>BV378/$G378</f>
        <v>0.55613723841305318</v>
      </c>
      <c r="BW379" s="904"/>
      <c r="BX379" s="1075" t="s">
        <v>639</v>
      </c>
      <c r="CA379" s="1078">
        <f>SUM(CB379:CD379)</f>
        <v>1</v>
      </c>
      <c r="CB379" s="1078">
        <f>CB378/$G378</f>
        <v>0.41685340178759894</v>
      </c>
      <c r="CC379" s="1078">
        <f>CC378/$G378</f>
        <v>2.7009359799347855E-2</v>
      </c>
      <c r="CD379" s="1078">
        <f>CD378/$G378</f>
        <v>0.55613723841305318</v>
      </c>
      <c r="CE379" s="904"/>
      <c r="CF379" s="1075" t="s">
        <v>639</v>
      </c>
      <c r="CI379" s="1078">
        <f>SUM(CJ379:CL379)</f>
        <v>1</v>
      </c>
      <c r="CJ379" s="1078">
        <f>CJ378/$G378</f>
        <v>0.41685340178759894</v>
      </c>
      <c r="CK379" s="1078">
        <f>CK378/$G378</f>
        <v>2.7009359799347855E-2</v>
      </c>
      <c r="CL379" s="1078">
        <f>CL378/$G378</f>
        <v>0.55613723841305318</v>
      </c>
      <c r="CM379" s="904"/>
      <c r="CN379" s="1075" t="s">
        <v>639</v>
      </c>
      <c r="CQ379" s="1078">
        <f>SUM(CR379:CT379)</f>
        <v>1</v>
      </c>
      <c r="CR379" s="1078">
        <f>CR378/$G378</f>
        <v>0.41685340178759894</v>
      </c>
      <c r="CS379" s="1078">
        <f>CS378/$G378</f>
        <v>2.7009359799347855E-2</v>
      </c>
      <c r="CT379" s="1078">
        <f>CT378/$G378</f>
        <v>0.55613723841305318</v>
      </c>
      <c r="CU379" s="904"/>
      <c r="CV379" s="1075" t="s">
        <v>639</v>
      </c>
      <c r="CY379" s="1078">
        <f>SUM(CZ379:DB379)</f>
        <v>1</v>
      </c>
      <c r="CZ379" s="1078">
        <f>CZ378/$G378</f>
        <v>0.41685340178759894</v>
      </c>
      <c r="DA379" s="1078">
        <f>DA378/$G378</f>
        <v>2.7009359799347855E-2</v>
      </c>
      <c r="DB379" s="1078">
        <f>DB378/$G378</f>
        <v>0.55613723841305318</v>
      </c>
      <c r="DC379" s="904"/>
      <c r="DD379" s="1075" t="s">
        <v>639</v>
      </c>
      <c r="DG379" s="1078">
        <f>SUM(DH379:DJ379)</f>
        <v>1</v>
      </c>
      <c r="DH379" s="1078">
        <f>DH378/$G378</f>
        <v>0.41685340178759894</v>
      </c>
      <c r="DI379" s="1078">
        <f>DI378/$G378</f>
        <v>2.7009359799347855E-2</v>
      </c>
      <c r="DJ379" s="1078">
        <f>DJ378/$G378</f>
        <v>0.55613723841305318</v>
      </c>
      <c r="DK379" s="904"/>
      <c r="DL379" s="1075" t="s">
        <v>639</v>
      </c>
      <c r="DO379" s="1078">
        <f>SUM(DP379:DR379)</f>
        <v>1</v>
      </c>
      <c r="DP379" s="1078">
        <f>DP378/$G378</f>
        <v>0.41685340178759894</v>
      </c>
      <c r="DQ379" s="1078">
        <f>DQ378/$G378</f>
        <v>2.7009359799347855E-2</v>
      </c>
      <c r="DR379" s="1078">
        <f>DR378/$G378</f>
        <v>0.55613723841305318</v>
      </c>
      <c r="DS379" s="904"/>
      <c r="DT379" s="1075" t="s">
        <v>639</v>
      </c>
      <c r="DW379" s="1078">
        <f>SUM(DX379:DZ379)</f>
        <v>1</v>
      </c>
      <c r="DX379" s="1078">
        <f>DX378/$G378</f>
        <v>0.41685340178759894</v>
      </c>
      <c r="DY379" s="1078">
        <f>DY378/$G378</f>
        <v>2.7009359799347855E-2</v>
      </c>
      <c r="DZ379" s="1078">
        <f>DZ378/$G378</f>
        <v>0.55613723841305318</v>
      </c>
      <c r="EA379" s="904"/>
      <c r="EB379" s="1075" t="s">
        <v>639</v>
      </c>
      <c r="EE379" s="1078">
        <f>SUM(EF379:EH379)</f>
        <v>1</v>
      </c>
      <c r="EF379" s="1078">
        <f>EF378/$G378</f>
        <v>0.41685340178759894</v>
      </c>
      <c r="EG379" s="1078">
        <f>EG378/$G378</f>
        <v>2.7009359799347855E-2</v>
      </c>
      <c r="EH379" s="1078">
        <f>EH378/$G378</f>
        <v>0.55613723841305318</v>
      </c>
      <c r="EI379" s="904"/>
      <c r="EJ379" s="1075" t="s">
        <v>639</v>
      </c>
      <c r="EM379" s="1078">
        <f>SUM(EN379:EP379)</f>
        <v>1</v>
      </c>
      <c r="EN379" s="1078">
        <f>EN378/$G378</f>
        <v>0.41685340178759894</v>
      </c>
      <c r="EO379" s="1078">
        <f>EO378/$G378</f>
        <v>2.7009359799347855E-2</v>
      </c>
      <c r="EP379" s="1078">
        <f>EP378/$G378</f>
        <v>0.55613723841305318</v>
      </c>
      <c r="EQ379" s="904"/>
      <c r="ER379" s="1075" t="s">
        <v>639</v>
      </c>
      <c r="EU379" s="1078">
        <f>SUM(EV379:EX379)</f>
        <v>1</v>
      </c>
      <c r="EV379" s="1078">
        <f>EV378/$G378</f>
        <v>0.41685340178759894</v>
      </c>
      <c r="EW379" s="1078">
        <f>EW378/$G378</f>
        <v>2.7009359799347855E-2</v>
      </c>
      <c r="EX379" s="1078">
        <f>EX378/$G378</f>
        <v>0.55613723841305318</v>
      </c>
      <c r="EY379" s="904"/>
      <c r="EZ379" s="1075" t="s">
        <v>639</v>
      </c>
      <c r="FC379" s="1078">
        <f>SUM(FD379:FF379)</f>
        <v>1</v>
      </c>
      <c r="FD379" s="1078">
        <f>FD378/$G378</f>
        <v>0.41685340178759894</v>
      </c>
      <c r="FE379" s="1078">
        <f>FE378/$G378</f>
        <v>2.7009359799347855E-2</v>
      </c>
      <c r="FF379" s="1078">
        <f>FF378/$G378</f>
        <v>0.55613723841305318</v>
      </c>
      <c r="FG379" s="904"/>
      <c r="FH379" s="1075" t="s">
        <v>639</v>
      </c>
      <c r="FK379" s="1078">
        <f>SUM(FL379:FN379)</f>
        <v>1</v>
      </c>
      <c r="FL379" s="1078">
        <f>FL378/$G378</f>
        <v>0.41685340178759894</v>
      </c>
      <c r="FM379" s="1078">
        <f>FM378/$G378</f>
        <v>2.7009359799347855E-2</v>
      </c>
      <c r="FN379" s="1078">
        <f>FN378/$G378</f>
        <v>0.55613723841305318</v>
      </c>
      <c r="FO379" s="904"/>
    </row>
    <row r="380" spans="2:171" x14ac:dyDescent="0.25">
      <c r="K380" s="904"/>
      <c r="S380" s="904"/>
      <c r="AA380" s="904"/>
      <c r="AI380" s="904"/>
      <c r="AQ380" s="904"/>
      <c r="AY380" s="904"/>
      <c r="BG380" s="904"/>
      <c r="BO380" s="904"/>
      <c r="BW380" s="904"/>
      <c r="CE380" s="904"/>
      <c r="CM380" s="904"/>
      <c r="CU380" s="904"/>
      <c r="DC380" s="904"/>
      <c r="DK380" s="904"/>
      <c r="DS380" s="904"/>
      <c r="EA380" s="904"/>
      <c r="EI380" s="904"/>
      <c r="EQ380" s="904"/>
      <c r="EY380" s="904"/>
      <c r="FG380" s="904"/>
      <c r="FO380" s="904"/>
    </row>
    <row r="381" spans="2:171" x14ac:dyDescent="0.25">
      <c r="E381" s="302" t="s">
        <v>521</v>
      </c>
      <c r="G381" s="303" t="s">
        <v>104</v>
      </c>
      <c r="H381" s="303" t="s">
        <v>105</v>
      </c>
      <c r="I381" s="303" t="s">
        <v>106</v>
      </c>
      <c r="J381" s="304" t="s">
        <v>512</v>
      </c>
      <c r="K381" s="904"/>
      <c r="O381" s="303" t="s">
        <v>104</v>
      </c>
      <c r="P381" s="303" t="s">
        <v>105</v>
      </c>
      <c r="Q381" s="303" t="s">
        <v>106</v>
      </c>
      <c r="R381" s="304" t="s">
        <v>512</v>
      </c>
      <c r="S381" s="904"/>
      <c r="W381" s="303" t="s">
        <v>104</v>
      </c>
      <c r="X381" s="303" t="s">
        <v>105</v>
      </c>
      <c r="Y381" s="303" t="s">
        <v>106</v>
      </c>
      <c r="Z381" s="304" t="s">
        <v>512</v>
      </c>
      <c r="AA381" s="904"/>
      <c r="AE381" s="303" t="s">
        <v>104</v>
      </c>
      <c r="AF381" s="303" t="s">
        <v>105</v>
      </c>
      <c r="AG381" s="303" t="s">
        <v>106</v>
      </c>
      <c r="AH381" s="304" t="s">
        <v>512</v>
      </c>
      <c r="AI381" s="904"/>
      <c r="AM381" s="303" t="s">
        <v>104</v>
      </c>
      <c r="AN381" s="303" t="s">
        <v>105</v>
      </c>
      <c r="AO381" s="303" t="s">
        <v>106</v>
      </c>
      <c r="AP381" s="304" t="s">
        <v>512</v>
      </c>
      <c r="AQ381" s="904"/>
      <c r="AU381" s="303" t="s">
        <v>104</v>
      </c>
      <c r="AV381" s="303" t="s">
        <v>105</v>
      </c>
      <c r="AW381" s="303" t="s">
        <v>106</v>
      </c>
      <c r="AX381" s="304" t="s">
        <v>512</v>
      </c>
      <c r="AY381" s="904"/>
      <c r="BC381" s="303" t="s">
        <v>104</v>
      </c>
      <c r="BD381" s="303" t="s">
        <v>105</v>
      </c>
      <c r="BE381" s="303" t="s">
        <v>106</v>
      </c>
      <c r="BF381" s="304" t="s">
        <v>512</v>
      </c>
      <c r="BG381" s="904"/>
      <c r="BK381" s="303" t="s">
        <v>104</v>
      </c>
      <c r="BL381" s="303" t="s">
        <v>105</v>
      </c>
      <c r="BM381" s="303" t="s">
        <v>106</v>
      </c>
      <c r="BN381" s="304" t="s">
        <v>512</v>
      </c>
      <c r="BO381" s="904"/>
      <c r="BS381" s="303" t="s">
        <v>104</v>
      </c>
      <c r="BT381" s="303" t="s">
        <v>105</v>
      </c>
      <c r="BU381" s="303" t="s">
        <v>106</v>
      </c>
      <c r="BV381" s="304" t="s">
        <v>512</v>
      </c>
      <c r="BW381" s="904"/>
      <c r="CA381" s="303" t="s">
        <v>104</v>
      </c>
      <c r="CB381" s="303" t="s">
        <v>105</v>
      </c>
      <c r="CC381" s="303" t="s">
        <v>106</v>
      </c>
      <c r="CD381" s="304" t="s">
        <v>512</v>
      </c>
      <c r="CE381" s="904"/>
      <c r="CI381" s="303" t="s">
        <v>104</v>
      </c>
      <c r="CJ381" s="303" t="s">
        <v>105</v>
      </c>
      <c r="CK381" s="303" t="s">
        <v>106</v>
      </c>
      <c r="CL381" s="304" t="s">
        <v>512</v>
      </c>
      <c r="CM381" s="904"/>
      <c r="CQ381" s="303" t="s">
        <v>104</v>
      </c>
      <c r="CR381" s="303" t="s">
        <v>105</v>
      </c>
      <c r="CS381" s="303" t="s">
        <v>106</v>
      </c>
      <c r="CT381" s="304" t="s">
        <v>512</v>
      </c>
      <c r="CU381" s="904"/>
      <c r="CY381" s="303" t="s">
        <v>104</v>
      </c>
      <c r="CZ381" s="303" t="s">
        <v>105</v>
      </c>
      <c r="DA381" s="303" t="s">
        <v>106</v>
      </c>
      <c r="DB381" s="304" t="s">
        <v>512</v>
      </c>
      <c r="DC381" s="904"/>
      <c r="DG381" s="303" t="s">
        <v>104</v>
      </c>
      <c r="DH381" s="303" t="s">
        <v>105</v>
      </c>
      <c r="DI381" s="303" t="s">
        <v>106</v>
      </c>
      <c r="DJ381" s="304" t="s">
        <v>512</v>
      </c>
      <c r="DK381" s="904"/>
      <c r="DO381" s="303" t="s">
        <v>104</v>
      </c>
      <c r="DP381" s="303" t="s">
        <v>105</v>
      </c>
      <c r="DQ381" s="303" t="s">
        <v>106</v>
      </c>
      <c r="DR381" s="304" t="s">
        <v>512</v>
      </c>
      <c r="DS381" s="904"/>
      <c r="DW381" s="303" t="s">
        <v>104</v>
      </c>
      <c r="DX381" s="303" t="s">
        <v>105</v>
      </c>
      <c r="DY381" s="303" t="s">
        <v>106</v>
      </c>
      <c r="DZ381" s="304" t="s">
        <v>512</v>
      </c>
      <c r="EA381" s="904"/>
      <c r="EE381" s="303" t="s">
        <v>104</v>
      </c>
      <c r="EF381" s="303" t="s">
        <v>105</v>
      </c>
      <c r="EG381" s="303" t="s">
        <v>106</v>
      </c>
      <c r="EH381" s="304" t="s">
        <v>512</v>
      </c>
      <c r="EI381" s="904"/>
      <c r="EM381" s="303" t="s">
        <v>104</v>
      </c>
      <c r="EN381" s="303" t="s">
        <v>105</v>
      </c>
      <c r="EO381" s="303" t="s">
        <v>106</v>
      </c>
      <c r="EP381" s="304" t="s">
        <v>512</v>
      </c>
      <c r="EQ381" s="904"/>
      <c r="EU381" s="303" t="s">
        <v>104</v>
      </c>
      <c r="EV381" s="303" t="s">
        <v>105</v>
      </c>
      <c r="EW381" s="303" t="s">
        <v>106</v>
      </c>
      <c r="EX381" s="304" t="s">
        <v>512</v>
      </c>
      <c r="EY381" s="904"/>
      <c r="FC381" s="303" t="s">
        <v>104</v>
      </c>
      <c r="FD381" s="303" t="s">
        <v>105</v>
      </c>
      <c r="FE381" s="303" t="s">
        <v>106</v>
      </c>
      <c r="FF381" s="304" t="s">
        <v>512</v>
      </c>
      <c r="FG381" s="904"/>
      <c r="FK381" s="303" t="s">
        <v>104</v>
      </c>
      <c r="FL381" s="303" t="s">
        <v>105</v>
      </c>
      <c r="FM381" s="303" t="s">
        <v>106</v>
      </c>
      <c r="FN381" s="304" t="s">
        <v>512</v>
      </c>
      <c r="FO381" s="904"/>
    </row>
    <row r="382" spans="2:171" x14ac:dyDescent="0.25">
      <c r="B382" s="108"/>
      <c r="C382" s="108" t="s">
        <v>125</v>
      </c>
      <c r="D382" s="1072"/>
      <c r="E382" s="905" t="str">
        <f t="shared" ref="E382:E393" si="1034">E37</f>
        <v>PTD</v>
      </c>
      <c r="G382" s="891">
        <f t="shared" ref="G382:J393" si="1035">G37</f>
        <v>10980784.643303178</v>
      </c>
      <c r="H382" s="891">
        <f t="shared" si="1035"/>
        <v>4833699.0558356559</v>
      </c>
      <c r="I382" s="891">
        <f t="shared" si="1035"/>
        <v>0</v>
      </c>
      <c r="J382" s="891">
        <f t="shared" si="1035"/>
        <v>6147085.5874675214</v>
      </c>
      <c r="K382" s="904">
        <f t="shared" ref="K382:K393" si="1036">IF($E382="DIRECT",0,1)</f>
        <v>1</v>
      </c>
      <c r="L382" s="1072"/>
      <c r="N382" s="1073"/>
      <c r="O382" s="891">
        <f t="shared" ref="O382:R382" si="1037">O37</f>
        <v>10980784.643303178</v>
      </c>
      <c r="P382" s="891">
        <f t="shared" si="1037"/>
        <v>4833699.0558356559</v>
      </c>
      <c r="Q382" s="891">
        <f t="shared" si="1037"/>
        <v>2853821.6635228484</v>
      </c>
      <c r="R382" s="891">
        <f t="shared" si="1037"/>
        <v>3293263.9239446726</v>
      </c>
      <c r="S382" s="1074"/>
      <c r="T382" s="1072"/>
      <c r="V382" s="1073"/>
      <c r="W382" s="891">
        <f t="shared" ref="W382:Z382" si="1038">W37</f>
        <v>10980784.643303178</v>
      </c>
      <c r="X382" s="891">
        <f t="shared" si="1038"/>
        <v>4833699.0558356559</v>
      </c>
      <c r="Y382" s="891">
        <f t="shared" si="1038"/>
        <v>2853821.6635228484</v>
      </c>
      <c r="Z382" s="891">
        <f t="shared" si="1038"/>
        <v>3293263.9239446726</v>
      </c>
      <c r="AA382" s="1074"/>
      <c r="AB382" s="1072"/>
      <c r="AD382" s="1073"/>
      <c r="AE382" s="891">
        <f t="shared" ref="AE382:AH382" si="1039">AE37</f>
        <v>10980784.643303178</v>
      </c>
      <c r="AF382" s="891">
        <f t="shared" si="1039"/>
        <v>4833699.0558356559</v>
      </c>
      <c r="AG382" s="891">
        <f t="shared" si="1039"/>
        <v>2853821.6635228484</v>
      </c>
      <c r="AH382" s="891">
        <f t="shared" si="1039"/>
        <v>3293263.9239446726</v>
      </c>
      <c r="AI382" s="1074"/>
      <c r="AJ382" s="1072"/>
      <c r="AL382" s="1073"/>
      <c r="AM382" s="891">
        <f t="shared" ref="AM382:AP382" si="1040">AM37</f>
        <v>10980784.643303178</v>
      </c>
      <c r="AN382" s="891">
        <f t="shared" si="1040"/>
        <v>4833699.0558356559</v>
      </c>
      <c r="AO382" s="891">
        <f t="shared" si="1040"/>
        <v>2853821.6635228484</v>
      </c>
      <c r="AP382" s="891">
        <f t="shared" si="1040"/>
        <v>3293263.9239446726</v>
      </c>
      <c r="AQ382" s="1074"/>
      <c r="AR382" s="1072"/>
      <c r="AT382" s="1073"/>
      <c r="AU382" s="891">
        <f t="shared" ref="AU382:AX382" si="1041">AU37</f>
        <v>10980784.643303178</v>
      </c>
      <c r="AV382" s="891">
        <f t="shared" si="1041"/>
        <v>4833699.0558356559</v>
      </c>
      <c r="AW382" s="891">
        <f t="shared" si="1041"/>
        <v>2853821.6635228484</v>
      </c>
      <c r="AX382" s="891">
        <f t="shared" si="1041"/>
        <v>3293263.9239446726</v>
      </c>
      <c r="AY382" s="1074"/>
      <c r="AZ382" s="1072"/>
      <c r="BB382" s="1073"/>
      <c r="BC382" s="891">
        <f t="shared" ref="BC382:BF382" si="1042">BC37</f>
        <v>10980784.643303178</v>
      </c>
      <c r="BD382" s="891">
        <f t="shared" si="1042"/>
        <v>4833699.0558356559</v>
      </c>
      <c r="BE382" s="891">
        <f t="shared" si="1042"/>
        <v>2853821.6635228484</v>
      </c>
      <c r="BF382" s="891">
        <f t="shared" si="1042"/>
        <v>3293263.9239446726</v>
      </c>
      <c r="BG382" s="1074"/>
      <c r="BH382" s="1072"/>
      <c r="BJ382" s="1073"/>
      <c r="BK382" s="891">
        <f t="shared" ref="BK382:BN382" si="1043">BK37</f>
        <v>10980784.643303178</v>
      </c>
      <c r="BL382" s="891">
        <f t="shared" si="1043"/>
        <v>4833699.0558356559</v>
      </c>
      <c r="BM382" s="891">
        <f t="shared" si="1043"/>
        <v>2853821.6635228484</v>
      </c>
      <c r="BN382" s="891">
        <f t="shared" si="1043"/>
        <v>3293263.9239446726</v>
      </c>
      <c r="BO382" s="1074"/>
      <c r="BP382" s="1072"/>
      <c r="BR382" s="1073"/>
      <c r="BS382" s="891">
        <f t="shared" ref="BS382:BV382" si="1044">BS37</f>
        <v>10980784.643303178</v>
      </c>
      <c r="BT382" s="891">
        <f t="shared" si="1044"/>
        <v>4833699.0558356559</v>
      </c>
      <c r="BU382" s="891">
        <f t="shared" si="1044"/>
        <v>2853821.6635228484</v>
      </c>
      <c r="BV382" s="891">
        <f t="shared" si="1044"/>
        <v>3293263.9239446726</v>
      </c>
      <c r="BW382" s="1074"/>
      <c r="BX382" s="1072"/>
      <c r="BZ382" s="1073"/>
      <c r="CA382" s="891">
        <f t="shared" ref="CA382:CD382" si="1045">CA37</f>
        <v>10980784.643303178</v>
      </c>
      <c r="CB382" s="891">
        <f t="shared" si="1045"/>
        <v>4833699.0558356559</v>
      </c>
      <c r="CC382" s="891">
        <f t="shared" si="1045"/>
        <v>2853821.6635228484</v>
      </c>
      <c r="CD382" s="891">
        <f t="shared" si="1045"/>
        <v>3293263.9239446726</v>
      </c>
      <c r="CE382" s="1074"/>
      <c r="CF382" s="1072"/>
      <c r="CH382" s="1073"/>
      <c r="CI382" s="891">
        <f t="shared" ref="CI382:CL382" si="1046">CI37</f>
        <v>10980784.643303178</v>
      </c>
      <c r="CJ382" s="891">
        <f t="shared" si="1046"/>
        <v>4833699.0558356559</v>
      </c>
      <c r="CK382" s="891">
        <f t="shared" si="1046"/>
        <v>2853821.6635228484</v>
      </c>
      <c r="CL382" s="891">
        <f t="shared" si="1046"/>
        <v>3293263.9239446726</v>
      </c>
      <c r="CM382" s="1074"/>
      <c r="CN382" s="1072"/>
      <c r="CP382" s="1073"/>
      <c r="CQ382" s="891">
        <f t="shared" ref="CQ382:CT382" si="1047">CQ37</f>
        <v>10980784.643303178</v>
      </c>
      <c r="CR382" s="891">
        <f t="shared" si="1047"/>
        <v>4833699.0558356559</v>
      </c>
      <c r="CS382" s="891">
        <f t="shared" si="1047"/>
        <v>2853821.6635228484</v>
      </c>
      <c r="CT382" s="891">
        <f t="shared" si="1047"/>
        <v>3293263.9239446726</v>
      </c>
      <c r="CU382" s="1074"/>
      <c r="CV382" s="1072"/>
      <c r="CX382" s="1073"/>
      <c r="CY382" s="891">
        <f t="shared" ref="CY382:DB382" si="1048">CY37</f>
        <v>10980784.643303178</v>
      </c>
      <c r="CZ382" s="891">
        <f t="shared" si="1048"/>
        <v>4833699.0558356559</v>
      </c>
      <c r="DA382" s="891">
        <f t="shared" si="1048"/>
        <v>2853821.6635228484</v>
      </c>
      <c r="DB382" s="891">
        <f t="shared" si="1048"/>
        <v>3293263.9239446726</v>
      </c>
      <c r="DC382" s="1074"/>
      <c r="DD382" s="1072"/>
      <c r="DF382" s="1073"/>
      <c r="DG382" s="891">
        <f t="shared" ref="DG382:DJ382" si="1049">DG37</f>
        <v>10980784.643303178</v>
      </c>
      <c r="DH382" s="891">
        <f t="shared" si="1049"/>
        <v>4833699.0558356559</v>
      </c>
      <c r="DI382" s="891">
        <f t="shared" si="1049"/>
        <v>2853821.6635228484</v>
      </c>
      <c r="DJ382" s="891">
        <f t="shared" si="1049"/>
        <v>3293263.9239446726</v>
      </c>
      <c r="DK382" s="1074"/>
      <c r="DL382" s="1072"/>
      <c r="DN382" s="1073"/>
      <c r="DO382" s="891">
        <f t="shared" ref="DO382:DR382" si="1050">DO37</f>
        <v>10980784.643303178</v>
      </c>
      <c r="DP382" s="891">
        <f t="shared" si="1050"/>
        <v>4833699.0558356559</v>
      </c>
      <c r="DQ382" s="891">
        <f t="shared" si="1050"/>
        <v>2853821.6635228484</v>
      </c>
      <c r="DR382" s="891">
        <f t="shared" si="1050"/>
        <v>3293263.9239446726</v>
      </c>
      <c r="DS382" s="1074"/>
      <c r="DT382" s="1072"/>
      <c r="DV382" s="1073"/>
      <c r="DW382" s="891">
        <f t="shared" ref="DW382:DZ382" si="1051">DW37</f>
        <v>10980784.643303178</v>
      </c>
      <c r="DX382" s="891">
        <f t="shared" si="1051"/>
        <v>4833699.0558356559</v>
      </c>
      <c r="DY382" s="891">
        <f t="shared" si="1051"/>
        <v>2853821.6635228484</v>
      </c>
      <c r="DZ382" s="891">
        <f t="shared" si="1051"/>
        <v>3293263.9239446726</v>
      </c>
      <c r="EA382" s="1074"/>
      <c r="EB382" s="1072"/>
      <c r="ED382" s="1073"/>
      <c r="EE382" s="891">
        <f t="shared" ref="EE382:EH382" si="1052">EE37</f>
        <v>10980784.643303178</v>
      </c>
      <c r="EF382" s="891">
        <f t="shared" si="1052"/>
        <v>4833699.0558356559</v>
      </c>
      <c r="EG382" s="891">
        <f t="shared" si="1052"/>
        <v>2853821.6635228484</v>
      </c>
      <c r="EH382" s="891">
        <f t="shared" si="1052"/>
        <v>3293263.9239446726</v>
      </c>
      <c r="EI382" s="1074"/>
      <c r="EJ382" s="1072"/>
      <c r="EL382" s="1073"/>
      <c r="EM382" s="891">
        <f t="shared" ref="EM382:EP382" si="1053">EM37</f>
        <v>10980784.643303178</v>
      </c>
      <c r="EN382" s="891">
        <f t="shared" si="1053"/>
        <v>4833699.0558356559</v>
      </c>
      <c r="EO382" s="891">
        <f t="shared" si="1053"/>
        <v>2853821.6635228484</v>
      </c>
      <c r="EP382" s="891">
        <f t="shared" si="1053"/>
        <v>3293263.9239446726</v>
      </c>
      <c r="EQ382" s="1074"/>
      <c r="ER382" s="1072"/>
      <c r="ET382" s="1073"/>
      <c r="EU382" s="891">
        <f t="shared" ref="EU382:EX382" si="1054">EU37</f>
        <v>10980784.643303178</v>
      </c>
      <c r="EV382" s="891">
        <f t="shared" si="1054"/>
        <v>4833699.0558356559</v>
      </c>
      <c r="EW382" s="891">
        <f t="shared" si="1054"/>
        <v>2853821.6635228484</v>
      </c>
      <c r="EX382" s="891">
        <f t="shared" si="1054"/>
        <v>3293263.9239446726</v>
      </c>
      <c r="EY382" s="1074"/>
      <c r="EZ382" s="1072"/>
      <c r="FB382" s="1073"/>
      <c r="FC382" s="891">
        <f t="shared" ref="FC382:FF382" si="1055">FC37</f>
        <v>10980784.643303178</v>
      </c>
      <c r="FD382" s="891">
        <f t="shared" si="1055"/>
        <v>4833699.0558356559</v>
      </c>
      <c r="FE382" s="891">
        <f t="shared" si="1055"/>
        <v>2853821.6635228484</v>
      </c>
      <c r="FF382" s="891">
        <f t="shared" si="1055"/>
        <v>3293263.9239446726</v>
      </c>
      <c r="FG382" s="1074"/>
      <c r="FH382" s="1072"/>
      <c r="FJ382" s="1073"/>
      <c r="FK382" s="891">
        <f t="shared" ref="FK382:FN382" si="1056">FK37</f>
        <v>10980784.643303178</v>
      </c>
      <c r="FL382" s="891">
        <f t="shared" si="1056"/>
        <v>4833699.0558356559</v>
      </c>
      <c r="FM382" s="891">
        <f t="shared" si="1056"/>
        <v>2853821.6635228484</v>
      </c>
      <c r="FN382" s="891">
        <f t="shared" si="1056"/>
        <v>3293263.9239446726</v>
      </c>
      <c r="FO382" s="1074"/>
    </row>
    <row r="383" spans="2:171" x14ac:dyDescent="0.25">
      <c r="B383" s="108"/>
      <c r="C383" s="108" t="s">
        <v>126</v>
      </c>
      <c r="D383" s="1072"/>
      <c r="E383" s="905" t="str">
        <f t="shared" si="1034"/>
        <v>PTD</v>
      </c>
      <c r="G383" s="891">
        <f t="shared" si="1035"/>
        <v>134526603.60952502</v>
      </c>
      <c r="H383" s="891">
        <f t="shared" si="1035"/>
        <v>59218092.146876924</v>
      </c>
      <c r="I383" s="891">
        <f t="shared" si="1035"/>
        <v>0</v>
      </c>
      <c r="J383" s="891">
        <f t="shared" si="1035"/>
        <v>75308511.462648094</v>
      </c>
      <c r="K383" s="904">
        <f t="shared" si="1036"/>
        <v>1</v>
      </c>
      <c r="L383" s="1072"/>
      <c r="N383" s="1073"/>
      <c r="O383" s="891">
        <f t="shared" ref="O383:R383" si="1057">O38</f>
        <v>134526603.60952502</v>
      </c>
      <c r="P383" s="891">
        <f t="shared" si="1057"/>
        <v>59218092.146876924</v>
      </c>
      <c r="Q383" s="891">
        <f t="shared" si="1057"/>
        <v>34962431.936514728</v>
      </c>
      <c r="R383" s="891">
        <f t="shared" si="1057"/>
        <v>40346079.526133358</v>
      </c>
      <c r="S383" s="1074"/>
      <c r="T383" s="1072"/>
      <c r="V383" s="1073"/>
      <c r="W383" s="891">
        <f t="shared" ref="W383:Z383" si="1058">W38</f>
        <v>134526603.60952502</v>
      </c>
      <c r="X383" s="891">
        <f t="shared" si="1058"/>
        <v>59218092.146876924</v>
      </c>
      <c r="Y383" s="891">
        <f t="shared" si="1058"/>
        <v>34962431.936514728</v>
      </c>
      <c r="Z383" s="891">
        <f t="shared" si="1058"/>
        <v>40346079.526133358</v>
      </c>
      <c r="AA383" s="1074"/>
      <c r="AB383" s="1072"/>
      <c r="AD383" s="1073"/>
      <c r="AE383" s="891">
        <f t="shared" ref="AE383:AH383" si="1059">AE38</f>
        <v>134526603.60952502</v>
      </c>
      <c r="AF383" s="891">
        <f t="shared" si="1059"/>
        <v>59218092.146876924</v>
      </c>
      <c r="AG383" s="891">
        <f t="shared" si="1059"/>
        <v>34962431.936514728</v>
      </c>
      <c r="AH383" s="891">
        <f t="shared" si="1059"/>
        <v>40346079.526133358</v>
      </c>
      <c r="AI383" s="1074"/>
      <c r="AJ383" s="1072"/>
      <c r="AL383" s="1073"/>
      <c r="AM383" s="891">
        <f t="shared" ref="AM383:AP383" si="1060">AM38</f>
        <v>134526603.60952502</v>
      </c>
      <c r="AN383" s="891">
        <f t="shared" si="1060"/>
        <v>59218092.146876924</v>
      </c>
      <c r="AO383" s="891">
        <f t="shared" si="1060"/>
        <v>34962431.936514728</v>
      </c>
      <c r="AP383" s="891">
        <f t="shared" si="1060"/>
        <v>40346079.526133358</v>
      </c>
      <c r="AQ383" s="1074"/>
      <c r="AR383" s="1072"/>
      <c r="AT383" s="1073"/>
      <c r="AU383" s="891">
        <f t="shared" ref="AU383:AX383" si="1061">AU38</f>
        <v>134526603.60952502</v>
      </c>
      <c r="AV383" s="891">
        <f t="shared" si="1061"/>
        <v>59218092.146876924</v>
      </c>
      <c r="AW383" s="891">
        <f t="shared" si="1061"/>
        <v>34962431.936514728</v>
      </c>
      <c r="AX383" s="891">
        <f t="shared" si="1061"/>
        <v>40346079.526133358</v>
      </c>
      <c r="AY383" s="1074"/>
      <c r="AZ383" s="1072"/>
      <c r="BB383" s="1073"/>
      <c r="BC383" s="891">
        <f t="shared" ref="BC383:BF383" si="1062">BC38</f>
        <v>134526603.60952502</v>
      </c>
      <c r="BD383" s="891">
        <f t="shared" si="1062"/>
        <v>59218092.146876924</v>
      </c>
      <c r="BE383" s="891">
        <f t="shared" si="1062"/>
        <v>34962431.936514728</v>
      </c>
      <c r="BF383" s="891">
        <f t="shared" si="1062"/>
        <v>40346079.526133358</v>
      </c>
      <c r="BG383" s="1074"/>
      <c r="BH383" s="1072"/>
      <c r="BJ383" s="1073"/>
      <c r="BK383" s="891">
        <f t="shared" ref="BK383:BN383" si="1063">BK38</f>
        <v>134526603.60952502</v>
      </c>
      <c r="BL383" s="891">
        <f t="shared" si="1063"/>
        <v>59218092.146876924</v>
      </c>
      <c r="BM383" s="891">
        <f t="shared" si="1063"/>
        <v>34962431.936514728</v>
      </c>
      <c r="BN383" s="891">
        <f t="shared" si="1063"/>
        <v>40346079.526133358</v>
      </c>
      <c r="BO383" s="1074"/>
      <c r="BP383" s="1072"/>
      <c r="BR383" s="1073"/>
      <c r="BS383" s="891">
        <f t="shared" ref="BS383:BV383" si="1064">BS38</f>
        <v>134526603.60952502</v>
      </c>
      <c r="BT383" s="891">
        <f t="shared" si="1064"/>
        <v>59218092.146876924</v>
      </c>
      <c r="BU383" s="891">
        <f t="shared" si="1064"/>
        <v>34962431.936514728</v>
      </c>
      <c r="BV383" s="891">
        <f t="shared" si="1064"/>
        <v>40346079.526133358</v>
      </c>
      <c r="BW383" s="1074"/>
      <c r="BX383" s="1072"/>
      <c r="BZ383" s="1073"/>
      <c r="CA383" s="891">
        <f t="shared" ref="CA383:CD383" si="1065">CA38</f>
        <v>134526603.60952502</v>
      </c>
      <c r="CB383" s="891">
        <f t="shared" si="1065"/>
        <v>59218092.146876924</v>
      </c>
      <c r="CC383" s="891">
        <f t="shared" si="1065"/>
        <v>34962431.936514728</v>
      </c>
      <c r="CD383" s="891">
        <f t="shared" si="1065"/>
        <v>40346079.526133358</v>
      </c>
      <c r="CE383" s="1074"/>
      <c r="CF383" s="1072"/>
      <c r="CH383" s="1073"/>
      <c r="CI383" s="891">
        <f t="shared" ref="CI383:CL383" si="1066">CI38</f>
        <v>134526603.60952502</v>
      </c>
      <c r="CJ383" s="891">
        <f t="shared" si="1066"/>
        <v>59218092.146876924</v>
      </c>
      <c r="CK383" s="891">
        <f t="shared" si="1066"/>
        <v>34962431.936514728</v>
      </c>
      <c r="CL383" s="891">
        <f t="shared" si="1066"/>
        <v>40346079.526133358</v>
      </c>
      <c r="CM383" s="1074"/>
      <c r="CN383" s="1072"/>
      <c r="CP383" s="1073"/>
      <c r="CQ383" s="891">
        <f t="shared" ref="CQ383:CT383" si="1067">CQ38</f>
        <v>134526603.60952502</v>
      </c>
      <c r="CR383" s="891">
        <f t="shared" si="1067"/>
        <v>59218092.146876924</v>
      </c>
      <c r="CS383" s="891">
        <f t="shared" si="1067"/>
        <v>34962431.936514728</v>
      </c>
      <c r="CT383" s="891">
        <f t="shared" si="1067"/>
        <v>40346079.526133358</v>
      </c>
      <c r="CU383" s="1074"/>
      <c r="CV383" s="1072"/>
      <c r="CX383" s="1073"/>
      <c r="CY383" s="891">
        <f t="shared" ref="CY383:DB383" si="1068">CY38</f>
        <v>134526603.60952502</v>
      </c>
      <c r="CZ383" s="891">
        <f t="shared" si="1068"/>
        <v>59218092.146876924</v>
      </c>
      <c r="DA383" s="891">
        <f t="shared" si="1068"/>
        <v>34962431.936514728</v>
      </c>
      <c r="DB383" s="891">
        <f t="shared" si="1068"/>
        <v>40346079.526133358</v>
      </c>
      <c r="DC383" s="1074"/>
      <c r="DD383" s="1072"/>
      <c r="DF383" s="1073"/>
      <c r="DG383" s="891">
        <f t="shared" ref="DG383:DJ383" si="1069">DG38</f>
        <v>134526603.60952502</v>
      </c>
      <c r="DH383" s="891">
        <f t="shared" si="1069"/>
        <v>59218092.146876924</v>
      </c>
      <c r="DI383" s="891">
        <f t="shared" si="1069"/>
        <v>34962431.936514728</v>
      </c>
      <c r="DJ383" s="891">
        <f t="shared" si="1069"/>
        <v>40346079.526133358</v>
      </c>
      <c r="DK383" s="1074"/>
      <c r="DL383" s="1072"/>
      <c r="DN383" s="1073"/>
      <c r="DO383" s="891">
        <f t="shared" ref="DO383:DR383" si="1070">DO38</f>
        <v>134526603.60952502</v>
      </c>
      <c r="DP383" s="891">
        <f t="shared" si="1070"/>
        <v>59218092.146876924</v>
      </c>
      <c r="DQ383" s="891">
        <f t="shared" si="1070"/>
        <v>34962431.936514728</v>
      </c>
      <c r="DR383" s="891">
        <f t="shared" si="1070"/>
        <v>40346079.526133358</v>
      </c>
      <c r="DS383" s="1074"/>
      <c r="DT383" s="1072"/>
      <c r="DV383" s="1073"/>
      <c r="DW383" s="891">
        <f t="shared" ref="DW383:DZ383" si="1071">DW38</f>
        <v>134526603.60952502</v>
      </c>
      <c r="DX383" s="891">
        <f t="shared" si="1071"/>
        <v>59218092.146876924</v>
      </c>
      <c r="DY383" s="891">
        <f t="shared" si="1071"/>
        <v>34962431.936514728</v>
      </c>
      <c r="DZ383" s="891">
        <f t="shared" si="1071"/>
        <v>40346079.526133358</v>
      </c>
      <c r="EA383" s="1074"/>
      <c r="EB383" s="1072"/>
      <c r="ED383" s="1073"/>
      <c r="EE383" s="891">
        <f t="shared" ref="EE383:EH383" si="1072">EE38</f>
        <v>134526603.60952502</v>
      </c>
      <c r="EF383" s="891">
        <f t="shared" si="1072"/>
        <v>59218092.146876924</v>
      </c>
      <c r="EG383" s="891">
        <f t="shared" si="1072"/>
        <v>34962431.936514728</v>
      </c>
      <c r="EH383" s="891">
        <f t="shared" si="1072"/>
        <v>40346079.526133358</v>
      </c>
      <c r="EI383" s="1074"/>
      <c r="EJ383" s="1072"/>
      <c r="EL383" s="1073"/>
      <c r="EM383" s="891">
        <f t="shared" ref="EM383:EP383" si="1073">EM38</f>
        <v>134526603.60952502</v>
      </c>
      <c r="EN383" s="891">
        <f t="shared" si="1073"/>
        <v>59218092.146876924</v>
      </c>
      <c r="EO383" s="891">
        <f t="shared" si="1073"/>
        <v>34962431.936514728</v>
      </c>
      <c r="EP383" s="891">
        <f t="shared" si="1073"/>
        <v>40346079.526133358</v>
      </c>
      <c r="EQ383" s="1074"/>
      <c r="ER383" s="1072"/>
      <c r="ET383" s="1073"/>
      <c r="EU383" s="891">
        <f t="shared" ref="EU383:EX383" si="1074">EU38</f>
        <v>134526603.60952502</v>
      </c>
      <c r="EV383" s="891">
        <f t="shared" si="1074"/>
        <v>59218092.146876924</v>
      </c>
      <c r="EW383" s="891">
        <f t="shared" si="1074"/>
        <v>34962431.936514728</v>
      </c>
      <c r="EX383" s="891">
        <f t="shared" si="1074"/>
        <v>40346079.526133358</v>
      </c>
      <c r="EY383" s="1074"/>
      <c r="EZ383" s="1072"/>
      <c r="FB383" s="1073"/>
      <c r="FC383" s="891">
        <f t="shared" ref="FC383:FF383" si="1075">FC38</f>
        <v>134526603.60952502</v>
      </c>
      <c r="FD383" s="891">
        <f t="shared" si="1075"/>
        <v>59218092.146876924</v>
      </c>
      <c r="FE383" s="891">
        <f t="shared" si="1075"/>
        <v>34962431.936514728</v>
      </c>
      <c r="FF383" s="891">
        <f t="shared" si="1075"/>
        <v>40346079.526133358</v>
      </c>
      <c r="FG383" s="1074"/>
      <c r="FH383" s="1072"/>
      <c r="FJ383" s="1073"/>
      <c r="FK383" s="891">
        <f t="shared" ref="FK383:FN383" si="1076">FK38</f>
        <v>134526603.60952502</v>
      </c>
      <c r="FL383" s="891">
        <f t="shared" si="1076"/>
        <v>59218092.146876924</v>
      </c>
      <c r="FM383" s="891">
        <f t="shared" si="1076"/>
        <v>34962431.936514728</v>
      </c>
      <c r="FN383" s="891">
        <f t="shared" si="1076"/>
        <v>40346079.526133358</v>
      </c>
      <c r="FO383" s="1074"/>
    </row>
    <row r="384" spans="2:171" x14ac:dyDescent="0.25">
      <c r="B384" s="108"/>
      <c r="C384" s="108" t="s">
        <v>127</v>
      </c>
      <c r="D384" s="1072"/>
      <c r="E384" s="905" t="str">
        <f t="shared" si="1034"/>
        <v>LABOR</v>
      </c>
      <c r="G384" s="891">
        <f t="shared" si="1035"/>
        <v>38698718.859569281</v>
      </c>
      <c r="H384" s="891">
        <f t="shared" si="1035"/>
        <v>16131692.601433367</v>
      </c>
      <c r="I384" s="891">
        <f t="shared" si="1035"/>
        <v>0</v>
      </c>
      <c r="J384" s="891">
        <f t="shared" si="1035"/>
        <v>22567026.258135919</v>
      </c>
      <c r="K384" s="1074">
        <f t="shared" si="1036"/>
        <v>1</v>
      </c>
      <c r="L384" s="1072"/>
      <c r="N384" s="1073"/>
      <c r="O384" s="891">
        <f t="shared" ref="O384:R384" si="1077">O39</f>
        <v>38698718.859569281</v>
      </c>
      <c r="P384" s="891">
        <f t="shared" si="1077"/>
        <v>16131692.601433367</v>
      </c>
      <c r="Q384" s="891">
        <f t="shared" si="1077"/>
        <v>1045227.6214519152</v>
      </c>
      <c r="R384" s="891">
        <f t="shared" si="1077"/>
        <v>21521798.636684</v>
      </c>
      <c r="S384" s="1074"/>
      <c r="T384" s="1072"/>
      <c r="V384" s="1073"/>
      <c r="W384" s="891">
        <f t="shared" ref="W384:Z384" si="1078">W39</f>
        <v>38698718.859569281</v>
      </c>
      <c r="X384" s="891">
        <f t="shared" si="1078"/>
        <v>16131692.601433367</v>
      </c>
      <c r="Y384" s="891">
        <f t="shared" si="1078"/>
        <v>1045227.6214519152</v>
      </c>
      <c r="Z384" s="891">
        <f t="shared" si="1078"/>
        <v>21521798.636684</v>
      </c>
      <c r="AA384" s="1074"/>
      <c r="AB384" s="1072"/>
      <c r="AD384" s="1073"/>
      <c r="AE384" s="891">
        <f t="shared" ref="AE384:AH384" si="1079">AE39</f>
        <v>38698718.859569281</v>
      </c>
      <c r="AF384" s="891">
        <f t="shared" si="1079"/>
        <v>16131692.601433367</v>
      </c>
      <c r="AG384" s="891">
        <f t="shared" si="1079"/>
        <v>1045227.6214519152</v>
      </c>
      <c r="AH384" s="891">
        <f t="shared" si="1079"/>
        <v>21521798.636684</v>
      </c>
      <c r="AI384" s="1074"/>
      <c r="AJ384" s="1072"/>
      <c r="AL384" s="1073"/>
      <c r="AM384" s="891">
        <f t="shared" ref="AM384:AP384" si="1080">AM39</f>
        <v>38698718.859569281</v>
      </c>
      <c r="AN384" s="891">
        <f t="shared" si="1080"/>
        <v>16131692.601433367</v>
      </c>
      <c r="AO384" s="891">
        <f t="shared" si="1080"/>
        <v>1045227.6214519152</v>
      </c>
      <c r="AP384" s="891">
        <f t="shared" si="1080"/>
        <v>21521798.636684</v>
      </c>
      <c r="AQ384" s="1074"/>
      <c r="AR384" s="1072"/>
      <c r="AT384" s="1073"/>
      <c r="AU384" s="891">
        <f t="shared" ref="AU384:AX384" si="1081">AU39</f>
        <v>38698718.859569281</v>
      </c>
      <c r="AV384" s="891">
        <f t="shared" si="1081"/>
        <v>16131692.601433367</v>
      </c>
      <c r="AW384" s="891">
        <f t="shared" si="1081"/>
        <v>1045227.6214519152</v>
      </c>
      <c r="AX384" s="891">
        <f t="shared" si="1081"/>
        <v>21521798.636684</v>
      </c>
      <c r="AY384" s="1074"/>
      <c r="AZ384" s="1072"/>
      <c r="BB384" s="1073"/>
      <c r="BC384" s="891">
        <f t="shared" ref="BC384:BF384" si="1082">BC39</f>
        <v>38698718.859569281</v>
      </c>
      <c r="BD384" s="891">
        <f t="shared" si="1082"/>
        <v>16131692.601433367</v>
      </c>
      <c r="BE384" s="891">
        <f t="shared" si="1082"/>
        <v>1045227.6214519152</v>
      </c>
      <c r="BF384" s="891">
        <f t="shared" si="1082"/>
        <v>21521798.636684</v>
      </c>
      <c r="BG384" s="1074"/>
      <c r="BH384" s="1072"/>
      <c r="BJ384" s="1073"/>
      <c r="BK384" s="891">
        <f t="shared" ref="BK384:BN384" si="1083">BK39</f>
        <v>38698718.859569281</v>
      </c>
      <c r="BL384" s="891">
        <f t="shared" si="1083"/>
        <v>16131692.601433367</v>
      </c>
      <c r="BM384" s="891">
        <f t="shared" si="1083"/>
        <v>1045227.6214519152</v>
      </c>
      <c r="BN384" s="891">
        <f t="shared" si="1083"/>
        <v>21521798.636684</v>
      </c>
      <c r="BO384" s="1074"/>
      <c r="BP384" s="1072"/>
      <c r="BR384" s="1073"/>
      <c r="BS384" s="891">
        <f t="shared" ref="BS384:BV384" si="1084">BS39</f>
        <v>38698718.859569281</v>
      </c>
      <c r="BT384" s="891">
        <f t="shared" si="1084"/>
        <v>16131692.601433367</v>
      </c>
      <c r="BU384" s="891">
        <f t="shared" si="1084"/>
        <v>1045227.6214519152</v>
      </c>
      <c r="BV384" s="891">
        <f t="shared" si="1084"/>
        <v>21521798.636684</v>
      </c>
      <c r="BW384" s="1074"/>
      <c r="BX384" s="1072"/>
      <c r="BZ384" s="1073"/>
      <c r="CA384" s="891">
        <f t="shared" ref="CA384:CD384" si="1085">CA39</f>
        <v>38698718.859569281</v>
      </c>
      <c r="CB384" s="891">
        <f t="shared" si="1085"/>
        <v>16131692.601433367</v>
      </c>
      <c r="CC384" s="891">
        <f t="shared" si="1085"/>
        <v>1045227.6214519152</v>
      </c>
      <c r="CD384" s="891">
        <f t="shared" si="1085"/>
        <v>21521798.636684</v>
      </c>
      <c r="CE384" s="1074"/>
      <c r="CF384" s="1072"/>
      <c r="CH384" s="1073"/>
      <c r="CI384" s="891">
        <f t="shared" ref="CI384:CL384" si="1086">CI39</f>
        <v>38698718.859569281</v>
      </c>
      <c r="CJ384" s="891">
        <f t="shared" si="1086"/>
        <v>16131692.601433367</v>
      </c>
      <c r="CK384" s="891">
        <f t="shared" si="1086"/>
        <v>1045227.6214519152</v>
      </c>
      <c r="CL384" s="891">
        <f t="shared" si="1086"/>
        <v>21521798.636684</v>
      </c>
      <c r="CM384" s="1074"/>
      <c r="CN384" s="1072"/>
      <c r="CP384" s="1073"/>
      <c r="CQ384" s="891">
        <f t="shared" ref="CQ384:CT384" si="1087">CQ39</f>
        <v>38698718.859569281</v>
      </c>
      <c r="CR384" s="891">
        <f t="shared" si="1087"/>
        <v>16131692.601433367</v>
      </c>
      <c r="CS384" s="891">
        <f t="shared" si="1087"/>
        <v>1045227.6214519152</v>
      </c>
      <c r="CT384" s="891">
        <f t="shared" si="1087"/>
        <v>21521798.636684</v>
      </c>
      <c r="CU384" s="1074"/>
      <c r="CV384" s="1072"/>
      <c r="CX384" s="1073"/>
      <c r="CY384" s="891">
        <f t="shared" ref="CY384:DB384" si="1088">CY39</f>
        <v>38698718.859569281</v>
      </c>
      <c r="CZ384" s="891">
        <f t="shared" si="1088"/>
        <v>16131692.601433367</v>
      </c>
      <c r="DA384" s="891">
        <f t="shared" si="1088"/>
        <v>1045227.6214519152</v>
      </c>
      <c r="DB384" s="891">
        <f t="shared" si="1088"/>
        <v>21521798.636684</v>
      </c>
      <c r="DC384" s="1074"/>
      <c r="DD384" s="1072"/>
      <c r="DF384" s="1073"/>
      <c r="DG384" s="891">
        <f t="shared" ref="DG384:DJ384" si="1089">DG39</f>
        <v>38698718.859569281</v>
      </c>
      <c r="DH384" s="891">
        <f t="shared" si="1089"/>
        <v>16131692.601433367</v>
      </c>
      <c r="DI384" s="891">
        <f t="shared" si="1089"/>
        <v>1045227.6214519152</v>
      </c>
      <c r="DJ384" s="891">
        <f t="shared" si="1089"/>
        <v>21521798.636684</v>
      </c>
      <c r="DK384" s="1074"/>
      <c r="DL384" s="1072"/>
      <c r="DN384" s="1073"/>
      <c r="DO384" s="891">
        <f t="shared" ref="DO384:DR384" si="1090">DO39</f>
        <v>38698718.859569281</v>
      </c>
      <c r="DP384" s="891">
        <f t="shared" si="1090"/>
        <v>16131692.601433367</v>
      </c>
      <c r="DQ384" s="891">
        <f t="shared" si="1090"/>
        <v>1045227.6214519152</v>
      </c>
      <c r="DR384" s="891">
        <f t="shared" si="1090"/>
        <v>21521798.636684</v>
      </c>
      <c r="DS384" s="1074"/>
      <c r="DT384" s="1072"/>
      <c r="DV384" s="1073"/>
      <c r="DW384" s="891">
        <f t="shared" ref="DW384:DZ384" si="1091">DW39</f>
        <v>38698718.859569281</v>
      </c>
      <c r="DX384" s="891">
        <f t="shared" si="1091"/>
        <v>16131692.601433367</v>
      </c>
      <c r="DY384" s="891">
        <f t="shared" si="1091"/>
        <v>1045227.6214519152</v>
      </c>
      <c r="DZ384" s="891">
        <f t="shared" si="1091"/>
        <v>21521798.636684</v>
      </c>
      <c r="EA384" s="1074"/>
      <c r="EB384" s="1072"/>
      <c r="ED384" s="1073"/>
      <c r="EE384" s="891">
        <f t="shared" ref="EE384:EH384" si="1092">EE39</f>
        <v>38698718.859569281</v>
      </c>
      <c r="EF384" s="891">
        <f t="shared" si="1092"/>
        <v>16131692.601433367</v>
      </c>
      <c r="EG384" s="891">
        <f t="shared" si="1092"/>
        <v>1045227.6214519152</v>
      </c>
      <c r="EH384" s="891">
        <f t="shared" si="1092"/>
        <v>21521798.636684</v>
      </c>
      <c r="EI384" s="1074"/>
      <c r="EJ384" s="1072"/>
      <c r="EL384" s="1073"/>
      <c r="EM384" s="891">
        <f t="shared" ref="EM384:EP384" si="1093">EM39</f>
        <v>38698718.859569281</v>
      </c>
      <c r="EN384" s="891">
        <f t="shared" si="1093"/>
        <v>16131692.601433367</v>
      </c>
      <c r="EO384" s="891">
        <f t="shared" si="1093"/>
        <v>1045227.6214519152</v>
      </c>
      <c r="EP384" s="891">
        <f t="shared" si="1093"/>
        <v>21521798.636684</v>
      </c>
      <c r="EQ384" s="1074"/>
      <c r="ER384" s="1072"/>
      <c r="ET384" s="1073"/>
      <c r="EU384" s="891">
        <f t="shared" ref="EU384:EX384" si="1094">EU39</f>
        <v>38698718.859569281</v>
      </c>
      <c r="EV384" s="891">
        <f t="shared" si="1094"/>
        <v>16131692.601433367</v>
      </c>
      <c r="EW384" s="891">
        <f t="shared" si="1094"/>
        <v>1045227.6214519152</v>
      </c>
      <c r="EX384" s="891">
        <f t="shared" si="1094"/>
        <v>21521798.636684</v>
      </c>
      <c r="EY384" s="1074"/>
      <c r="EZ384" s="1072"/>
      <c r="FB384" s="1073"/>
      <c r="FC384" s="891">
        <f t="shared" ref="FC384:FF384" si="1095">FC39</f>
        <v>38698718.859569281</v>
      </c>
      <c r="FD384" s="891">
        <f t="shared" si="1095"/>
        <v>16131692.601433367</v>
      </c>
      <c r="FE384" s="891">
        <f t="shared" si="1095"/>
        <v>1045227.6214519152</v>
      </c>
      <c r="FF384" s="891">
        <f t="shared" si="1095"/>
        <v>21521798.636684</v>
      </c>
      <c r="FG384" s="1074"/>
      <c r="FH384" s="1072"/>
      <c r="FJ384" s="1073"/>
      <c r="FK384" s="891">
        <f t="shared" ref="FK384:FN384" si="1096">FK39</f>
        <v>38698718.859569281</v>
      </c>
      <c r="FL384" s="891">
        <f t="shared" si="1096"/>
        <v>16131692.601433367</v>
      </c>
      <c r="FM384" s="891">
        <f t="shared" si="1096"/>
        <v>1045227.6214519152</v>
      </c>
      <c r="FN384" s="891">
        <f t="shared" si="1096"/>
        <v>21521798.636684</v>
      </c>
      <c r="FO384" s="1074"/>
    </row>
    <row r="385" spans="2:171" x14ac:dyDescent="0.25">
      <c r="B385" s="108"/>
      <c r="C385" s="108" t="s">
        <v>128</v>
      </c>
      <c r="D385" s="1072"/>
      <c r="E385" s="905" t="str">
        <f t="shared" si="1034"/>
        <v>TD</v>
      </c>
      <c r="G385" s="891">
        <f t="shared" si="1035"/>
        <v>70926422.960104048</v>
      </c>
      <c r="H385" s="891">
        <f t="shared" si="1035"/>
        <v>0</v>
      </c>
      <c r="I385" s="891">
        <f t="shared" si="1035"/>
        <v>0</v>
      </c>
      <c r="J385" s="891">
        <f t="shared" si="1035"/>
        <v>70926422.960104048</v>
      </c>
      <c r="K385" s="1074">
        <f t="shared" si="1036"/>
        <v>1</v>
      </c>
      <c r="L385" s="1072"/>
      <c r="N385" s="1073"/>
      <c r="O385" s="891">
        <f t="shared" ref="O385:R385" si="1097">O40</f>
        <v>70926422.960104048</v>
      </c>
      <c r="P385" s="891">
        <f t="shared" si="1097"/>
        <v>0</v>
      </c>
      <c r="Q385" s="891">
        <f t="shared" si="1097"/>
        <v>32928020.844934877</v>
      </c>
      <c r="R385" s="891">
        <f t="shared" si="1097"/>
        <v>37998402.115169168</v>
      </c>
      <c r="S385" s="1074"/>
      <c r="T385" s="1072"/>
      <c r="V385" s="1073"/>
      <c r="W385" s="891">
        <f t="shared" ref="W385:Z385" si="1098">W40</f>
        <v>70926422.960104048</v>
      </c>
      <c r="X385" s="891">
        <f t="shared" si="1098"/>
        <v>0</v>
      </c>
      <c r="Y385" s="891">
        <f t="shared" si="1098"/>
        <v>32928020.844934877</v>
      </c>
      <c r="Z385" s="891">
        <f t="shared" si="1098"/>
        <v>37998402.115169168</v>
      </c>
      <c r="AA385" s="1074"/>
      <c r="AB385" s="1072"/>
      <c r="AD385" s="1073"/>
      <c r="AE385" s="891">
        <f t="shared" ref="AE385:AH385" si="1099">AE40</f>
        <v>70926422.960104048</v>
      </c>
      <c r="AF385" s="891">
        <f t="shared" si="1099"/>
        <v>0</v>
      </c>
      <c r="AG385" s="891">
        <f t="shared" si="1099"/>
        <v>32928020.844934877</v>
      </c>
      <c r="AH385" s="891">
        <f t="shared" si="1099"/>
        <v>37998402.115169168</v>
      </c>
      <c r="AI385" s="1074"/>
      <c r="AJ385" s="1072"/>
      <c r="AL385" s="1073"/>
      <c r="AM385" s="891">
        <f t="shared" ref="AM385:AP385" si="1100">AM40</f>
        <v>70926422.960104048</v>
      </c>
      <c r="AN385" s="891">
        <f t="shared" si="1100"/>
        <v>0</v>
      </c>
      <c r="AO385" s="891">
        <f t="shared" si="1100"/>
        <v>32928020.844934877</v>
      </c>
      <c r="AP385" s="891">
        <f t="shared" si="1100"/>
        <v>37998402.115169168</v>
      </c>
      <c r="AQ385" s="1074"/>
      <c r="AR385" s="1072"/>
      <c r="AT385" s="1073"/>
      <c r="AU385" s="891">
        <f t="shared" ref="AU385:AX385" si="1101">AU40</f>
        <v>70926422.960104048</v>
      </c>
      <c r="AV385" s="891">
        <f t="shared" si="1101"/>
        <v>0</v>
      </c>
      <c r="AW385" s="891">
        <f t="shared" si="1101"/>
        <v>32928020.844934877</v>
      </c>
      <c r="AX385" s="891">
        <f t="shared" si="1101"/>
        <v>37998402.115169168</v>
      </c>
      <c r="AY385" s="1074"/>
      <c r="AZ385" s="1072"/>
      <c r="BB385" s="1073"/>
      <c r="BC385" s="891">
        <f t="shared" ref="BC385:BF385" si="1102">BC40</f>
        <v>70926422.960104048</v>
      </c>
      <c r="BD385" s="891">
        <f t="shared" si="1102"/>
        <v>0</v>
      </c>
      <c r="BE385" s="891">
        <f t="shared" si="1102"/>
        <v>32928020.844934877</v>
      </c>
      <c r="BF385" s="891">
        <f t="shared" si="1102"/>
        <v>37998402.115169168</v>
      </c>
      <c r="BG385" s="1074"/>
      <c r="BH385" s="1072"/>
      <c r="BJ385" s="1073"/>
      <c r="BK385" s="891">
        <f t="shared" ref="BK385:BN385" si="1103">BK40</f>
        <v>70926422.960104048</v>
      </c>
      <c r="BL385" s="891">
        <f t="shared" si="1103"/>
        <v>0</v>
      </c>
      <c r="BM385" s="891">
        <f t="shared" si="1103"/>
        <v>32928020.844934877</v>
      </c>
      <c r="BN385" s="891">
        <f t="shared" si="1103"/>
        <v>37998402.115169168</v>
      </c>
      <c r="BO385" s="1074"/>
      <c r="BP385" s="1072"/>
      <c r="BR385" s="1073"/>
      <c r="BS385" s="891">
        <f t="shared" ref="BS385:BV385" si="1104">BS40</f>
        <v>70926422.960104048</v>
      </c>
      <c r="BT385" s="891">
        <f t="shared" si="1104"/>
        <v>0</v>
      </c>
      <c r="BU385" s="891">
        <f t="shared" si="1104"/>
        <v>32928020.844934877</v>
      </c>
      <c r="BV385" s="891">
        <f t="shared" si="1104"/>
        <v>37998402.115169168</v>
      </c>
      <c r="BW385" s="1074"/>
      <c r="BX385" s="1072"/>
      <c r="BZ385" s="1073"/>
      <c r="CA385" s="891">
        <f t="shared" ref="CA385:CD385" si="1105">CA40</f>
        <v>70926422.960104048</v>
      </c>
      <c r="CB385" s="891">
        <f t="shared" si="1105"/>
        <v>0</v>
      </c>
      <c r="CC385" s="891">
        <f t="shared" si="1105"/>
        <v>32928020.844934877</v>
      </c>
      <c r="CD385" s="891">
        <f t="shared" si="1105"/>
        <v>37998402.115169168</v>
      </c>
      <c r="CE385" s="1074"/>
      <c r="CF385" s="1072"/>
      <c r="CH385" s="1073"/>
      <c r="CI385" s="891">
        <f t="shared" ref="CI385:CL385" si="1106">CI40</f>
        <v>70926422.960104048</v>
      </c>
      <c r="CJ385" s="891">
        <f t="shared" si="1106"/>
        <v>0</v>
      </c>
      <c r="CK385" s="891">
        <f t="shared" si="1106"/>
        <v>32928020.844934877</v>
      </c>
      <c r="CL385" s="891">
        <f t="shared" si="1106"/>
        <v>37998402.115169168</v>
      </c>
      <c r="CM385" s="1074"/>
      <c r="CN385" s="1072"/>
      <c r="CP385" s="1073"/>
      <c r="CQ385" s="891">
        <f t="shared" ref="CQ385:CT385" si="1107">CQ40</f>
        <v>70926422.960104048</v>
      </c>
      <c r="CR385" s="891">
        <f t="shared" si="1107"/>
        <v>0</v>
      </c>
      <c r="CS385" s="891">
        <f t="shared" si="1107"/>
        <v>32928020.844934877</v>
      </c>
      <c r="CT385" s="891">
        <f t="shared" si="1107"/>
        <v>37998402.115169168</v>
      </c>
      <c r="CU385" s="1074"/>
      <c r="CV385" s="1072"/>
      <c r="CX385" s="1073"/>
      <c r="CY385" s="891">
        <f t="shared" ref="CY385:DB385" si="1108">CY40</f>
        <v>70926422.960104048</v>
      </c>
      <c r="CZ385" s="891">
        <f t="shared" si="1108"/>
        <v>0</v>
      </c>
      <c r="DA385" s="891">
        <f t="shared" si="1108"/>
        <v>32928020.844934877</v>
      </c>
      <c r="DB385" s="891">
        <f t="shared" si="1108"/>
        <v>37998402.115169168</v>
      </c>
      <c r="DC385" s="1074"/>
      <c r="DD385" s="1072"/>
      <c r="DF385" s="1073"/>
      <c r="DG385" s="891">
        <f t="shared" ref="DG385:DJ385" si="1109">DG40</f>
        <v>70926422.960104048</v>
      </c>
      <c r="DH385" s="891">
        <f t="shared" si="1109"/>
        <v>0</v>
      </c>
      <c r="DI385" s="891">
        <f t="shared" si="1109"/>
        <v>32928020.844934877</v>
      </c>
      <c r="DJ385" s="891">
        <f t="shared" si="1109"/>
        <v>37998402.115169168</v>
      </c>
      <c r="DK385" s="1074"/>
      <c r="DL385" s="1072"/>
      <c r="DN385" s="1073"/>
      <c r="DO385" s="891">
        <f t="shared" ref="DO385:DR385" si="1110">DO40</f>
        <v>70926422.960104048</v>
      </c>
      <c r="DP385" s="891">
        <f t="shared" si="1110"/>
        <v>0</v>
      </c>
      <c r="DQ385" s="891">
        <f t="shared" si="1110"/>
        <v>32928020.844934877</v>
      </c>
      <c r="DR385" s="891">
        <f t="shared" si="1110"/>
        <v>37998402.115169168</v>
      </c>
      <c r="DS385" s="1074"/>
      <c r="DT385" s="1072"/>
      <c r="DV385" s="1073"/>
      <c r="DW385" s="891">
        <f t="shared" ref="DW385:DZ385" si="1111">DW40</f>
        <v>70926422.960104048</v>
      </c>
      <c r="DX385" s="891">
        <f t="shared" si="1111"/>
        <v>0</v>
      </c>
      <c r="DY385" s="891">
        <f t="shared" si="1111"/>
        <v>32928020.844934877</v>
      </c>
      <c r="DZ385" s="891">
        <f t="shared" si="1111"/>
        <v>37998402.115169168</v>
      </c>
      <c r="EA385" s="1074"/>
      <c r="EB385" s="1072"/>
      <c r="ED385" s="1073"/>
      <c r="EE385" s="891">
        <f t="shared" ref="EE385:EH385" si="1112">EE40</f>
        <v>70926422.960104048</v>
      </c>
      <c r="EF385" s="891">
        <f t="shared" si="1112"/>
        <v>0</v>
      </c>
      <c r="EG385" s="891">
        <f t="shared" si="1112"/>
        <v>32928020.844934877</v>
      </c>
      <c r="EH385" s="891">
        <f t="shared" si="1112"/>
        <v>37998402.115169168</v>
      </c>
      <c r="EI385" s="1074"/>
      <c r="EJ385" s="1072"/>
      <c r="EL385" s="1073"/>
      <c r="EM385" s="891">
        <f t="shared" ref="EM385:EP385" si="1113">EM40</f>
        <v>70926422.960104048</v>
      </c>
      <c r="EN385" s="891">
        <f t="shared" si="1113"/>
        <v>0</v>
      </c>
      <c r="EO385" s="891">
        <f t="shared" si="1113"/>
        <v>32928020.844934877</v>
      </c>
      <c r="EP385" s="891">
        <f t="shared" si="1113"/>
        <v>37998402.115169168</v>
      </c>
      <c r="EQ385" s="1074"/>
      <c r="ER385" s="1072"/>
      <c r="ET385" s="1073"/>
      <c r="EU385" s="891">
        <f t="shared" ref="EU385:EX385" si="1114">EU40</f>
        <v>70926422.960104048</v>
      </c>
      <c r="EV385" s="891">
        <f t="shared" si="1114"/>
        <v>0</v>
      </c>
      <c r="EW385" s="891">
        <f t="shared" si="1114"/>
        <v>32928020.844934877</v>
      </c>
      <c r="EX385" s="891">
        <f t="shared" si="1114"/>
        <v>37998402.115169168</v>
      </c>
      <c r="EY385" s="1074"/>
      <c r="EZ385" s="1072"/>
      <c r="FB385" s="1073"/>
      <c r="FC385" s="891">
        <f t="shared" ref="FC385:FF385" si="1115">FC40</f>
        <v>70926422.960104048</v>
      </c>
      <c r="FD385" s="891">
        <f t="shared" si="1115"/>
        <v>0</v>
      </c>
      <c r="FE385" s="891">
        <f t="shared" si="1115"/>
        <v>32928020.844934877</v>
      </c>
      <c r="FF385" s="891">
        <f t="shared" si="1115"/>
        <v>37998402.115169168</v>
      </c>
      <c r="FG385" s="1074"/>
      <c r="FH385" s="1072"/>
      <c r="FJ385" s="1073"/>
      <c r="FK385" s="891">
        <f t="shared" ref="FK385:FN385" si="1116">FK40</f>
        <v>70926422.960104048</v>
      </c>
      <c r="FL385" s="891">
        <f t="shared" si="1116"/>
        <v>0</v>
      </c>
      <c r="FM385" s="891">
        <f t="shared" si="1116"/>
        <v>32928020.844934877</v>
      </c>
      <c r="FN385" s="891">
        <f t="shared" si="1116"/>
        <v>37998402.115169168</v>
      </c>
      <c r="FO385" s="1074"/>
    </row>
    <row r="386" spans="2:171" x14ac:dyDescent="0.25">
      <c r="B386" s="108"/>
      <c r="C386" s="108" t="s">
        <v>129</v>
      </c>
      <c r="D386" s="1072"/>
      <c r="E386" s="905" t="str">
        <f t="shared" si="1034"/>
        <v>PTD</v>
      </c>
      <c r="G386" s="891">
        <f t="shared" si="1035"/>
        <v>8843323.1563989222</v>
      </c>
      <c r="H386" s="891">
        <f t="shared" si="1035"/>
        <v>3892796.7517880816</v>
      </c>
      <c r="I386" s="891">
        <f t="shared" si="1035"/>
        <v>0</v>
      </c>
      <c r="J386" s="891">
        <f t="shared" si="1035"/>
        <v>4950526.4046108397</v>
      </c>
      <c r="K386" s="1074">
        <f t="shared" si="1036"/>
        <v>1</v>
      </c>
      <c r="L386" s="1072"/>
      <c r="N386" s="1073"/>
      <c r="O386" s="891">
        <f t="shared" ref="O386:R386" si="1117">O41</f>
        <v>8843323.1563989222</v>
      </c>
      <c r="P386" s="891">
        <f t="shared" si="1117"/>
        <v>3892796.7517880816</v>
      </c>
      <c r="Q386" s="891">
        <f t="shared" si="1117"/>
        <v>2298311.8257087287</v>
      </c>
      <c r="R386" s="891">
        <f t="shared" si="1117"/>
        <v>2652214.5789021105</v>
      </c>
      <c r="S386" s="1074"/>
      <c r="T386" s="1072"/>
      <c r="V386" s="1073"/>
      <c r="W386" s="891">
        <f t="shared" ref="W386:Z386" si="1118">W41</f>
        <v>8843323.1563989222</v>
      </c>
      <c r="X386" s="891">
        <f t="shared" si="1118"/>
        <v>3892796.7517880816</v>
      </c>
      <c r="Y386" s="891">
        <f t="shared" si="1118"/>
        <v>2298311.8257087287</v>
      </c>
      <c r="Z386" s="891">
        <f t="shared" si="1118"/>
        <v>2652214.5789021105</v>
      </c>
      <c r="AA386" s="1074"/>
      <c r="AB386" s="1072"/>
      <c r="AD386" s="1073"/>
      <c r="AE386" s="891">
        <f t="shared" ref="AE386:AH386" si="1119">AE41</f>
        <v>8843323.1563989222</v>
      </c>
      <c r="AF386" s="891">
        <f t="shared" si="1119"/>
        <v>3892796.7517880816</v>
      </c>
      <c r="AG386" s="891">
        <f t="shared" si="1119"/>
        <v>2298311.8257087287</v>
      </c>
      <c r="AH386" s="891">
        <f t="shared" si="1119"/>
        <v>2652214.5789021105</v>
      </c>
      <c r="AI386" s="1074"/>
      <c r="AJ386" s="1072"/>
      <c r="AL386" s="1073"/>
      <c r="AM386" s="891">
        <f t="shared" ref="AM386:AP386" si="1120">AM41</f>
        <v>8843323.1563989222</v>
      </c>
      <c r="AN386" s="891">
        <f t="shared" si="1120"/>
        <v>3892796.7517880816</v>
      </c>
      <c r="AO386" s="891">
        <f t="shared" si="1120"/>
        <v>2298311.8257087287</v>
      </c>
      <c r="AP386" s="891">
        <f t="shared" si="1120"/>
        <v>2652214.5789021105</v>
      </c>
      <c r="AQ386" s="1074"/>
      <c r="AR386" s="1072"/>
      <c r="AT386" s="1073"/>
      <c r="AU386" s="891">
        <f t="shared" ref="AU386:AX386" si="1121">AU41</f>
        <v>8843323.1563989222</v>
      </c>
      <c r="AV386" s="891">
        <f t="shared" si="1121"/>
        <v>3892796.7517880816</v>
      </c>
      <c r="AW386" s="891">
        <f t="shared" si="1121"/>
        <v>2298311.8257087287</v>
      </c>
      <c r="AX386" s="891">
        <f t="shared" si="1121"/>
        <v>2652214.5789021105</v>
      </c>
      <c r="AY386" s="1074"/>
      <c r="AZ386" s="1072"/>
      <c r="BB386" s="1073"/>
      <c r="BC386" s="891">
        <f t="shared" ref="BC386:BF386" si="1122">BC41</f>
        <v>8843323.1563989222</v>
      </c>
      <c r="BD386" s="891">
        <f t="shared" si="1122"/>
        <v>3892796.7517880816</v>
      </c>
      <c r="BE386" s="891">
        <f t="shared" si="1122"/>
        <v>2298311.8257087287</v>
      </c>
      <c r="BF386" s="891">
        <f t="shared" si="1122"/>
        <v>2652214.5789021105</v>
      </c>
      <c r="BG386" s="1074"/>
      <c r="BH386" s="1072"/>
      <c r="BJ386" s="1073"/>
      <c r="BK386" s="891">
        <f t="shared" ref="BK386:BN386" si="1123">BK41</f>
        <v>8843323.1563989222</v>
      </c>
      <c r="BL386" s="891">
        <f t="shared" si="1123"/>
        <v>3892796.7517880816</v>
      </c>
      <c r="BM386" s="891">
        <f t="shared" si="1123"/>
        <v>2298311.8257087287</v>
      </c>
      <c r="BN386" s="891">
        <f t="shared" si="1123"/>
        <v>2652214.5789021105</v>
      </c>
      <c r="BO386" s="1074"/>
      <c r="BP386" s="1072"/>
      <c r="BR386" s="1073"/>
      <c r="BS386" s="891">
        <f t="shared" ref="BS386:BV386" si="1124">BS41</f>
        <v>8843323.1563989222</v>
      </c>
      <c r="BT386" s="891">
        <f t="shared" si="1124"/>
        <v>3892796.7517880816</v>
      </c>
      <c r="BU386" s="891">
        <f t="shared" si="1124"/>
        <v>2298311.8257087287</v>
      </c>
      <c r="BV386" s="891">
        <f t="shared" si="1124"/>
        <v>2652214.5789021105</v>
      </c>
      <c r="BW386" s="1074"/>
      <c r="BX386" s="1072"/>
      <c r="BZ386" s="1073"/>
      <c r="CA386" s="891">
        <f t="shared" ref="CA386:CD386" si="1125">CA41</f>
        <v>8843323.1563989222</v>
      </c>
      <c r="CB386" s="891">
        <f t="shared" si="1125"/>
        <v>3892796.7517880816</v>
      </c>
      <c r="CC386" s="891">
        <f t="shared" si="1125"/>
        <v>2298311.8257087287</v>
      </c>
      <c r="CD386" s="891">
        <f t="shared" si="1125"/>
        <v>2652214.5789021105</v>
      </c>
      <c r="CE386" s="1074"/>
      <c r="CF386" s="1072"/>
      <c r="CH386" s="1073"/>
      <c r="CI386" s="891">
        <f t="shared" ref="CI386:CL386" si="1126">CI41</f>
        <v>8843323.1563989222</v>
      </c>
      <c r="CJ386" s="891">
        <f t="shared" si="1126"/>
        <v>3892796.7517880816</v>
      </c>
      <c r="CK386" s="891">
        <f t="shared" si="1126"/>
        <v>2298311.8257087287</v>
      </c>
      <c r="CL386" s="891">
        <f t="shared" si="1126"/>
        <v>2652214.5789021105</v>
      </c>
      <c r="CM386" s="1074"/>
      <c r="CN386" s="1072"/>
      <c r="CP386" s="1073"/>
      <c r="CQ386" s="891">
        <f t="shared" ref="CQ386:CT386" si="1127">CQ41</f>
        <v>8843323.1563989222</v>
      </c>
      <c r="CR386" s="891">
        <f t="shared" si="1127"/>
        <v>3892796.7517880816</v>
      </c>
      <c r="CS386" s="891">
        <f t="shared" si="1127"/>
        <v>2298311.8257087287</v>
      </c>
      <c r="CT386" s="891">
        <f t="shared" si="1127"/>
        <v>2652214.5789021105</v>
      </c>
      <c r="CU386" s="1074"/>
      <c r="CV386" s="1072"/>
      <c r="CX386" s="1073"/>
      <c r="CY386" s="891">
        <f t="shared" ref="CY386:DB386" si="1128">CY41</f>
        <v>8843323.1563989222</v>
      </c>
      <c r="CZ386" s="891">
        <f t="shared" si="1128"/>
        <v>3892796.7517880816</v>
      </c>
      <c r="DA386" s="891">
        <f t="shared" si="1128"/>
        <v>2298311.8257087287</v>
      </c>
      <c r="DB386" s="891">
        <f t="shared" si="1128"/>
        <v>2652214.5789021105</v>
      </c>
      <c r="DC386" s="1074"/>
      <c r="DD386" s="1072"/>
      <c r="DF386" s="1073"/>
      <c r="DG386" s="891">
        <f t="shared" ref="DG386:DJ386" si="1129">DG41</f>
        <v>8843323.1563989222</v>
      </c>
      <c r="DH386" s="891">
        <f t="shared" si="1129"/>
        <v>3892796.7517880816</v>
      </c>
      <c r="DI386" s="891">
        <f t="shared" si="1129"/>
        <v>2298311.8257087287</v>
      </c>
      <c r="DJ386" s="891">
        <f t="shared" si="1129"/>
        <v>2652214.5789021105</v>
      </c>
      <c r="DK386" s="1074"/>
      <c r="DL386" s="1072"/>
      <c r="DN386" s="1073"/>
      <c r="DO386" s="891">
        <f t="shared" ref="DO386:DR386" si="1130">DO41</f>
        <v>8843323.1563989222</v>
      </c>
      <c r="DP386" s="891">
        <f t="shared" si="1130"/>
        <v>3892796.7517880816</v>
      </c>
      <c r="DQ386" s="891">
        <f t="shared" si="1130"/>
        <v>2298311.8257087287</v>
      </c>
      <c r="DR386" s="891">
        <f t="shared" si="1130"/>
        <v>2652214.5789021105</v>
      </c>
      <c r="DS386" s="1074"/>
      <c r="DT386" s="1072"/>
      <c r="DV386" s="1073"/>
      <c r="DW386" s="891">
        <f t="shared" ref="DW386:DZ386" si="1131">DW41</f>
        <v>8843323.1563989222</v>
      </c>
      <c r="DX386" s="891">
        <f t="shared" si="1131"/>
        <v>3892796.7517880816</v>
      </c>
      <c r="DY386" s="891">
        <f t="shared" si="1131"/>
        <v>2298311.8257087287</v>
      </c>
      <c r="DZ386" s="891">
        <f t="shared" si="1131"/>
        <v>2652214.5789021105</v>
      </c>
      <c r="EA386" s="1074"/>
      <c r="EB386" s="1072"/>
      <c r="ED386" s="1073"/>
      <c r="EE386" s="891">
        <f t="shared" ref="EE386:EH386" si="1132">EE41</f>
        <v>8843323.1563989222</v>
      </c>
      <c r="EF386" s="891">
        <f t="shared" si="1132"/>
        <v>3892796.7517880816</v>
      </c>
      <c r="EG386" s="891">
        <f t="shared" si="1132"/>
        <v>2298311.8257087287</v>
      </c>
      <c r="EH386" s="891">
        <f t="shared" si="1132"/>
        <v>2652214.5789021105</v>
      </c>
      <c r="EI386" s="1074"/>
      <c r="EJ386" s="1072"/>
      <c r="EL386" s="1073"/>
      <c r="EM386" s="891">
        <f t="shared" ref="EM386:EP386" si="1133">EM41</f>
        <v>8843323.1563989222</v>
      </c>
      <c r="EN386" s="891">
        <f t="shared" si="1133"/>
        <v>3892796.7517880816</v>
      </c>
      <c r="EO386" s="891">
        <f t="shared" si="1133"/>
        <v>2298311.8257087287</v>
      </c>
      <c r="EP386" s="891">
        <f t="shared" si="1133"/>
        <v>2652214.5789021105</v>
      </c>
      <c r="EQ386" s="1074"/>
      <c r="ER386" s="1072"/>
      <c r="ET386" s="1073"/>
      <c r="EU386" s="891">
        <f t="shared" ref="EU386:EX386" si="1134">EU41</f>
        <v>8843323.1563989222</v>
      </c>
      <c r="EV386" s="891">
        <f t="shared" si="1134"/>
        <v>3892796.7517880816</v>
      </c>
      <c r="EW386" s="891">
        <f t="shared" si="1134"/>
        <v>2298311.8257087287</v>
      </c>
      <c r="EX386" s="891">
        <f t="shared" si="1134"/>
        <v>2652214.5789021105</v>
      </c>
      <c r="EY386" s="1074"/>
      <c r="EZ386" s="1072"/>
      <c r="FB386" s="1073"/>
      <c r="FC386" s="891">
        <f t="shared" ref="FC386:FF386" si="1135">FC41</f>
        <v>8843323.1563989222</v>
      </c>
      <c r="FD386" s="891">
        <f t="shared" si="1135"/>
        <v>3892796.7517880816</v>
      </c>
      <c r="FE386" s="891">
        <f t="shared" si="1135"/>
        <v>2298311.8257087287</v>
      </c>
      <c r="FF386" s="891">
        <f t="shared" si="1135"/>
        <v>2652214.5789021105</v>
      </c>
      <c r="FG386" s="1074"/>
      <c r="FH386" s="1072"/>
      <c r="FJ386" s="1073"/>
      <c r="FK386" s="891">
        <f t="shared" ref="FK386:FN386" si="1136">FK41</f>
        <v>8843323.1563989222</v>
      </c>
      <c r="FL386" s="891">
        <f t="shared" si="1136"/>
        <v>3892796.7517880816</v>
      </c>
      <c r="FM386" s="891">
        <f t="shared" si="1136"/>
        <v>2298311.8257087287</v>
      </c>
      <c r="FN386" s="891">
        <f t="shared" si="1136"/>
        <v>2652214.5789021105</v>
      </c>
      <c r="FO386" s="1074"/>
    </row>
    <row r="387" spans="2:171" x14ac:dyDescent="0.25">
      <c r="B387" s="108"/>
      <c r="C387" s="108" t="s">
        <v>130</v>
      </c>
      <c r="D387" s="1072"/>
      <c r="E387" s="905" t="str">
        <f t="shared" si="1034"/>
        <v>PTD</v>
      </c>
      <c r="G387" s="891">
        <f t="shared" si="1035"/>
        <v>28801735.62174933</v>
      </c>
      <c r="H387" s="891">
        <f t="shared" si="1035"/>
        <v>12678412.955324007</v>
      </c>
      <c r="I387" s="891">
        <f t="shared" si="1035"/>
        <v>0</v>
      </c>
      <c r="J387" s="891">
        <f t="shared" si="1035"/>
        <v>16123322.666425321</v>
      </c>
      <c r="K387" s="1074">
        <f t="shared" si="1036"/>
        <v>1</v>
      </c>
      <c r="L387" s="1072"/>
      <c r="N387" s="1073"/>
      <c r="O387" s="891">
        <f t="shared" ref="O387:R387" si="1137">O42</f>
        <v>28801735.621749327</v>
      </c>
      <c r="P387" s="891">
        <f t="shared" si="1137"/>
        <v>12678412.955324005</v>
      </c>
      <c r="Q387" s="891">
        <f t="shared" si="1137"/>
        <v>7485350.0669038258</v>
      </c>
      <c r="R387" s="891">
        <f t="shared" si="1137"/>
        <v>8637972.5995214917</v>
      </c>
      <c r="S387" s="1074"/>
      <c r="T387" s="1072"/>
      <c r="V387" s="1073"/>
      <c r="W387" s="891">
        <f t="shared" ref="W387:Z387" si="1138">W42</f>
        <v>28801735.621749327</v>
      </c>
      <c r="X387" s="891">
        <f t="shared" si="1138"/>
        <v>12678412.955324005</v>
      </c>
      <c r="Y387" s="891">
        <f t="shared" si="1138"/>
        <v>7485350.0669038258</v>
      </c>
      <c r="Z387" s="891">
        <f t="shared" si="1138"/>
        <v>8637972.5995214917</v>
      </c>
      <c r="AA387" s="1074"/>
      <c r="AB387" s="1072"/>
      <c r="AD387" s="1073"/>
      <c r="AE387" s="891">
        <f t="shared" ref="AE387:AH387" si="1139">AE42</f>
        <v>28801735.621749327</v>
      </c>
      <c r="AF387" s="891">
        <f t="shared" si="1139"/>
        <v>12678412.955324005</v>
      </c>
      <c r="AG387" s="891">
        <f t="shared" si="1139"/>
        <v>7485350.0669038258</v>
      </c>
      <c r="AH387" s="891">
        <f t="shared" si="1139"/>
        <v>8637972.5995214917</v>
      </c>
      <c r="AI387" s="1074"/>
      <c r="AJ387" s="1072"/>
      <c r="AL387" s="1073"/>
      <c r="AM387" s="891">
        <f t="shared" ref="AM387:AP387" si="1140">AM42</f>
        <v>28801735.621749327</v>
      </c>
      <c r="AN387" s="891">
        <f t="shared" si="1140"/>
        <v>12678412.955324005</v>
      </c>
      <c r="AO387" s="891">
        <f t="shared" si="1140"/>
        <v>7485350.0669038258</v>
      </c>
      <c r="AP387" s="891">
        <f t="shared" si="1140"/>
        <v>8637972.5995214917</v>
      </c>
      <c r="AQ387" s="1074"/>
      <c r="AR387" s="1072"/>
      <c r="AT387" s="1073"/>
      <c r="AU387" s="891">
        <f t="shared" ref="AU387:AX387" si="1141">AU42</f>
        <v>28801735.621749327</v>
      </c>
      <c r="AV387" s="891">
        <f t="shared" si="1141"/>
        <v>12678412.955324005</v>
      </c>
      <c r="AW387" s="891">
        <f t="shared" si="1141"/>
        <v>7485350.0669038258</v>
      </c>
      <c r="AX387" s="891">
        <f t="shared" si="1141"/>
        <v>8637972.5995214917</v>
      </c>
      <c r="AY387" s="1074"/>
      <c r="AZ387" s="1072"/>
      <c r="BB387" s="1073"/>
      <c r="BC387" s="891">
        <f t="shared" ref="BC387:BF387" si="1142">BC42</f>
        <v>28801735.621749327</v>
      </c>
      <c r="BD387" s="891">
        <f t="shared" si="1142"/>
        <v>12678412.955324005</v>
      </c>
      <c r="BE387" s="891">
        <f t="shared" si="1142"/>
        <v>7485350.0669038258</v>
      </c>
      <c r="BF387" s="891">
        <f t="shared" si="1142"/>
        <v>8637972.5995214917</v>
      </c>
      <c r="BG387" s="1074"/>
      <c r="BH387" s="1072"/>
      <c r="BJ387" s="1073"/>
      <c r="BK387" s="891">
        <f t="shared" ref="BK387:BN387" si="1143">BK42</f>
        <v>28801735.621749327</v>
      </c>
      <c r="BL387" s="891">
        <f t="shared" si="1143"/>
        <v>12678412.955324005</v>
      </c>
      <c r="BM387" s="891">
        <f t="shared" si="1143"/>
        <v>7485350.0669038258</v>
      </c>
      <c r="BN387" s="891">
        <f t="shared" si="1143"/>
        <v>8637972.5995214917</v>
      </c>
      <c r="BO387" s="1074"/>
      <c r="BP387" s="1072"/>
      <c r="BR387" s="1073"/>
      <c r="BS387" s="891">
        <f t="shared" ref="BS387:BV387" si="1144">BS42</f>
        <v>28801735.621749327</v>
      </c>
      <c r="BT387" s="891">
        <f t="shared" si="1144"/>
        <v>12678412.955324005</v>
      </c>
      <c r="BU387" s="891">
        <f t="shared" si="1144"/>
        <v>7485350.0669038258</v>
      </c>
      <c r="BV387" s="891">
        <f t="shared" si="1144"/>
        <v>8637972.5995214917</v>
      </c>
      <c r="BW387" s="1074"/>
      <c r="BX387" s="1072"/>
      <c r="BZ387" s="1073"/>
      <c r="CA387" s="891">
        <f t="shared" ref="CA387:CD387" si="1145">CA42</f>
        <v>28801735.621749327</v>
      </c>
      <c r="CB387" s="891">
        <f t="shared" si="1145"/>
        <v>12678412.955324005</v>
      </c>
      <c r="CC387" s="891">
        <f t="shared" si="1145"/>
        <v>7485350.0669038258</v>
      </c>
      <c r="CD387" s="891">
        <f t="shared" si="1145"/>
        <v>8637972.5995214917</v>
      </c>
      <c r="CE387" s="1074"/>
      <c r="CF387" s="1072"/>
      <c r="CH387" s="1073"/>
      <c r="CI387" s="891">
        <f t="shared" ref="CI387:CL387" si="1146">CI42</f>
        <v>28801735.621749327</v>
      </c>
      <c r="CJ387" s="891">
        <f t="shared" si="1146"/>
        <v>12678412.955324005</v>
      </c>
      <c r="CK387" s="891">
        <f t="shared" si="1146"/>
        <v>7485350.0669038258</v>
      </c>
      <c r="CL387" s="891">
        <f t="shared" si="1146"/>
        <v>8637972.5995214917</v>
      </c>
      <c r="CM387" s="1074"/>
      <c r="CN387" s="1072"/>
      <c r="CP387" s="1073"/>
      <c r="CQ387" s="891">
        <f t="shared" ref="CQ387:CT387" si="1147">CQ42</f>
        <v>28801735.621749327</v>
      </c>
      <c r="CR387" s="891">
        <f t="shared" si="1147"/>
        <v>12678412.955324005</v>
      </c>
      <c r="CS387" s="891">
        <f t="shared" si="1147"/>
        <v>7485350.0669038258</v>
      </c>
      <c r="CT387" s="891">
        <f t="shared" si="1147"/>
        <v>8637972.5995214917</v>
      </c>
      <c r="CU387" s="1074"/>
      <c r="CV387" s="1072"/>
      <c r="CX387" s="1073"/>
      <c r="CY387" s="891">
        <f t="shared" ref="CY387:DB387" si="1148">CY42</f>
        <v>28801735.621749327</v>
      </c>
      <c r="CZ387" s="891">
        <f t="shared" si="1148"/>
        <v>12678412.955324005</v>
      </c>
      <c r="DA387" s="891">
        <f t="shared" si="1148"/>
        <v>7485350.0669038258</v>
      </c>
      <c r="DB387" s="891">
        <f t="shared" si="1148"/>
        <v>8637972.5995214917</v>
      </c>
      <c r="DC387" s="1074"/>
      <c r="DD387" s="1072"/>
      <c r="DF387" s="1073"/>
      <c r="DG387" s="891">
        <f t="shared" ref="DG387:DJ387" si="1149">DG42</f>
        <v>28801735.621749327</v>
      </c>
      <c r="DH387" s="891">
        <f t="shared" si="1149"/>
        <v>12678412.955324005</v>
      </c>
      <c r="DI387" s="891">
        <f t="shared" si="1149"/>
        <v>7485350.0669038258</v>
      </c>
      <c r="DJ387" s="891">
        <f t="shared" si="1149"/>
        <v>8637972.5995214917</v>
      </c>
      <c r="DK387" s="1074"/>
      <c r="DL387" s="1072"/>
      <c r="DN387" s="1073"/>
      <c r="DO387" s="891">
        <f t="shared" ref="DO387:DR387" si="1150">DO42</f>
        <v>28801735.621749327</v>
      </c>
      <c r="DP387" s="891">
        <f t="shared" si="1150"/>
        <v>12678412.955324005</v>
      </c>
      <c r="DQ387" s="891">
        <f t="shared" si="1150"/>
        <v>7485350.0669038258</v>
      </c>
      <c r="DR387" s="891">
        <f t="shared" si="1150"/>
        <v>8637972.5995214917</v>
      </c>
      <c r="DS387" s="1074"/>
      <c r="DT387" s="1072"/>
      <c r="DV387" s="1073"/>
      <c r="DW387" s="891">
        <f t="shared" ref="DW387:DZ387" si="1151">DW42</f>
        <v>28801735.621749327</v>
      </c>
      <c r="DX387" s="891">
        <f t="shared" si="1151"/>
        <v>12678412.955324005</v>
      </c>
      <c r="DY387" s="891">
        <f t="shared" si="1151"/>
        <v>7485350.0669038258</v>
      </c>
      <c r="DZ387" s="891">
        <f t="shared" si="1151"/>
        <v>8637972.5995214917</v>
      </c>
      <c r="EA387" s="1074"/>
      <c r="EB387" s="1072"/>
      <c r="ED387" s="1073"/>
      <c r="EE387" s="891">
        <f t="shared" ref="EE387:EH387" si="1152">EE42</f>
        <v>28801735.621749327</v>
      </c>
      <c r="EF387" s="891">
        <f t="shared" si="1152"/>
        <v>12678412.955324005</v>
      </c>
      <c r="EG387" s="891">
        <f t="shared" si="1152"/>
        <v>7485350.0669038258</v>
      </c>
      <c r="EH387" s="891">
        <f t="shared" si="1152"/>
        <v>8637972.5995214917</v>
      </c>
      <c r="EI387" s="1074"/>
      <c r="EJ387" s="1072"/>
      <c r="EL387" s="1073"/>
      <c r="EM387" s="891">
        <f t="shared" ref="EM387:EP387" si="1153">EM42</f>
        <v>28801735.621749327</v>
      </c>
      <c r="EN387" s="891">
        <f t="shared" si="1153"/>
        <v>12678412.955324005</v>
      </c>
      <c r="EO387" s="891">
        <f t="shared" si="1153"/>
        <v>7485350.0669038258</v>
      </c>
      <c r="EP387" s="891">
        <f t="shared" si="1153"/>
        <v>8637972.5995214917</v>
      </c>
      <c r="EQ387" s="1074"/>
      <c r="ER387" s="1072"/>
      <c r="ET387" s="1073"/>
      <c r="EU387" s="891">
        <f t="shared" ref="EU387:EX387" si="1154">EU42</f>
        <v>28801735.621749327</v>
      </c>
      <c r="EV387" s="891">
        <f t="shared" si="1154"/>
        <v>12678412.955324005</v>
      </c>
      <c r="EW387" s="891">
        <f t="shared" si="1154"/>
        <v>7485350.0669038258</v>
      </c>
      <c r="EX387" s="891">
        <f t="shared" si="1154"/>
        <v>8637972.5995214917</v>
      </c>
      <c r="EY387" s="1074"/>
      <c r="EZ387" s="1072"/>
      <c r="FB387" s="1073"/>
      <c r="FC387" s="891">
        <f t="shared" ref="FC387:FF387" si="1155">FC42</f>
        <v>28801735.621749327</v>
      </c>
      <c r="FD387" s="891">
        <f t="shared" si="1155"/>
        <v>12678412.955324005</v>
      </c>
      <c r="FE387" s="891">
        <f t="shared" si="1155"/>
        <v>7485350.0669038258</v>
      </c>
      <c r="FF387" s="891">
        <f t="shared" si="1155"/>
        <v>8637972.5995214917</v>
      </c>
      <c r="FG387" s="1074"/>
      <c r="FH387" s="1072"/>
      <c r="FJ387" s="1073"/>
      <c r="FK387" s="891">
        <f t="shared" ref="FK387:FN387" si="1156">FK42</f>
        <v>28801735.621749327</v>
      </c>
      <c r="FL387" s="891">
        <f t="shared" si="1156"/>
        <v>12678412.955324005</v>
      </c>
      <c r="FM387" s="891">
        <f t="shared" si="1156"/>
        <v>7485350.0669038258</v>
      </c>
      <c r="FN387" s="891">
        <f t="shared" si="1156"/>
        <v>8637972.5995214917</v>
      </c>
      <c r="FO387" s="1074"/>
    </row>
    <row r="388" spans="2:171" x14ac:dyDescent="0.25">
      <c r="B388" s="108"/>
      <c r="C388" s="108" t="s">
        <v>131</v>
      </c>
      <c r="D388" s="1072"/>
      <c r="E388" s="905" t="str">
        <f t="shared" si="1034"/>
        <v>PTD</v>
      </c>
      <c r="G388" s="891">
        <f t="shared" si="1035"/>
        <v>22065131.008344457</v>
      </c>
      <c r="H388" s="891">
        <f t="shared" si="1035"/>
        <v>9712985.5822252911</v>
      </c>
      <c r="I388" s="891">
        <f t="shared" si="1035"/>
        <v>0</v>
      </c>
      <c r="J388" s="891">
        <f t="shared" si="1035"/>
        <v>12352145.426119164</v>
      </c>
      <c r="K388" s="1074">
        <f t="shared" si="1036"/>
        <v>1</v>
      </c>
      <c r="L388" s="1072"/>
      <c r="N388" s="1073"/>
      <c r="O388" s="891">
        <f t="shared" ref="O388:R388" si="1157">O43</f>
        <v>22065131.008344457</v>
      </c>
      <c r="P388" s="891">
        <f t="shared" si="1157"/>
        <v>9712985.5822252911</v>
      </c>
      <c r="Q388" s="891">
        <f t="shared" si="1157"/>
        <v>5734558.2238047514</v>
      </c>
      <c r="R388" s="891">
        <f t="shared" si="1157"/>
        <v>6617587.2023144113</v>
      </c>
      <c r="S388" s="1074"/>
      <c r="T388" s="1072"/>
      <c r="V388" s="1073"/>
      <c r="W388" s="891">
        <f t="shared" ref="W388:Z388" si="1158">W43</f>
        <v>22065131.008344457</v>
      </c>
      <c r="X388" s="891">
        <f t="shared" si="1158"/>
        <v>9712985.5822252911</v>
      </c>
      <c r="Y388" s="891">
        <f t="shared" si="1158"/>
        <v>5734558.2238047514</v>
      </c>
      <c r="Z388" s="891">
        <f t="shared" si="1158"/>
        <v>6617587.2023144113</v>
      </c>
      <c r="AA388" s="1074"/>
      <c r="AB388" s="1072"/>
      <c r="AD388" s="1073"/>
      <c r="AE388" s="891">
        <f t="shared" ref="AE388:AH388" si="1159">AE43</f>
        <v>22065131.008344457</v>
      </c>
      <c r="AF388" s="891">
        <f t="shared" si="1159"/>
        <v>9712985.5822252911</v>
      </c>
      <c r="AG388" s="891">
        <f t="shared" si="1159"/>
        <v>5734558.2238047514</v>
      </c>
      <c r="AH388" s="891">
        <f t="shared" si="1159"/>
        <v>6617587.2023144113</v>
      </c>
      <c r="AI388" s="1074"/>
      <c r="AJ388" s="1072"/>
      <c r="AL388" s="1073"/>
      <c r="AM388" s="891">
        <f t="shared" ref="AM388:AP388" si="1160">AM43</f>
        <v>22065131.008344457</v>
      </c>
      <c r="AN388" s="891">
        <f t="shared" si="1160"/>
        <v>9712985.5822252911</v>
      </c>
      <c r="AO388" s="891">
        <f t="shared" si="1160"/>
        <v>5734558.2238047514</v>
      </c>
      <c r="AP388" s="891">
        <f t="shared" si="1160"/>
        <v>6617587.2023144113</v>
      </c>
      <c r="AQ388" s="1074"/>
      <c r="AR388" s="1072"/>
      <c r="AT388" s="1073"/>
      <c r="AU388" s="891">
        <f t="shared" ref="AU388:AX388" si="1161">AU43</f>
        <v>22065131.008344457</v>
      </c>
      <c r="AV388" s="891">
        <f t="shared" si="1161"/>
        <v>9712985.5822252911</v>
      </c>
      <c r="AW388" s="891">
        <f t="shared" si="1161"/>
        <v>5734558.2238047514</v>
      </c>
      <c r="AX388" s="891">
        <f t="shared" si="1161"/>
        <v>6617587.2023144113</v>
      </c>
      <c r="AY388" s="1074"/>
      <c r="AZ388" s="1072"/>
      <c r="BB388" s="1073"/>
      <c r="BC388" s="891">
        <f t="shared" ref="BC388:BF388" si="1162">BC43</f>
        <v>22065131.008344457</v>
      </c>
      <c r="BD388" s="891">
        <f t="shared" si="1162"/>
        <v>9712985.5822252911</v>
      </c>
      <c r="BE388" s="891">
        <f t="shared" si="1162"/>
        <v>5734558.2238047514</v>
      </c>
      <c r="BF388" s="891">
        <f t="shared" si="1162"/>
        <v>6617587.2023144113</v>
      </c>
      <c r="BG388" s="1074"/>
      <c r="BH388" s="1072"/>
      <c r="BJ388" s="1073"/>
      <c r="BK388" s="891">
        <f t="shared" ref="BK388:BN388" si="1163">BK43</f>
        <v>22065131.008344457</v>
      </c>
      <c r="BL388" s="891">
        <f t="shared" si="1163"/>
        <v>9712985.5822252911</v>
      </c>
      <c r="BM388" s="891">
        <f t="shared" si="1163"/>
        <v>5734558.2238047514</v>
      </c>
      <c r="BN388" s="891">
        <f t="shared" si="1163"/>
        <v>6617587.2023144113</v>
      </c>
      <c r="BO388" s="1074"/>
      <c r="BP388" s="1072"/>
      <c r="BR388" s="1073"/>
      <c r="BS388" s="891">
        <f t="shared" ref="BS388:BV388" si="1164">BS43</f>
        <v>22065131.008344457</v>
      </c>
      <c r="BT388" s="891">
        <f t="shared" si="1164"/>
        <v>9712985.5822252911</v>
      </c>
      <c r="BU388" s="891">
        <f t="shared" si="1164"/>
        <v>5734558.2238047514</v>
      </c>
      <c r="BV388" s="891">
        <f t="shared" si="1164"/>
        <v>6617587.2023144113</v>
      </c>
      <c r="BW388" s="1074"/>
      <c r="BX388" s="1072"/>
      <c r="BZ388" s="1073"/>
      <c r="CA388" s="891">
        <f t="shared" ref="CA388:CD388" si="1165">CA43</f>
        <v>22065131.008344457</v>
      </c>
      <c r="CB388" s="891">
        <f t="shared" si="1165"/>
        <v>9712985.5822252911</v>
      </c>
      <c r="CC388" s="891">
        <f t="shared" si="1165"/>
        <v>5734558.2238047514</v>
      </c>
      <c r="CD388" s="891">
        <f t="shared" si="1165"/>
        <v>6617587.2023144113</v>
      </c>
      <c r="CE388" s="1074"/>
      <c r="CF388" s="1072"/>
      <c r="CH388" s="1073"/>
      <c r="CI388" s="891">
        <f t="shared" ref="CI388:CL388" si="1166">CI43</f>
        <v>22065131.008344457</v>
      </c>
      <c r="CJ388" s="891">
        <f t="shared" si="1166"/>
        <v>9712985.5822252911</v>
      </c>
      <c r="CK388" s="891">
        <f t="shared" si="1166"/>
        <v>5734558.2238047514</v>
      </c>
      <c r="CL388" s="891">
        <f t="shared" si="1166"/>
        <v>6617587.2023144113</v>
      </c>
      <c r="CM388" s="1074"/>
      <c r="CN388" s="1072"/>
      <c r="CP388" s="1073"/>
      <c r="CQ388" s="891">
        <f t="shared" ref="CQ388:CT388" si="1167">CQ43</f>
        <v>22065131.008344457</v>
      </c>
      <c r="CR388" s="891">
        <f t="shared" si="1167"/>
        <v>9712985.5822252911</v>
      </c>
      <c r="CS388" s="891">
        <f t="shared" si="1167"/>
        <v>5734558.2238047514</v>
      </c>
      <c r="CT388" s="891">
        <f t="shared" si="1167"/>
        <v>6617587.2023144113</v>
      </c>
      <c r="CU388" s="1074"/>
      <c r="CV388" s="1072"/>
      <c r="CX388" s="1073"/>
      <c r="CY388" s="891">
        <f t="shared" ref="CY388:DB388" si="1168">CY43</f>
        <v>22065131.008344457</v>
      </c>
      <c r="CZ388" s="891">
        <f t="shared" si="1168"/>
        <v>9712985.5822252911</v>
      </c>
      <c r="DA388" s="891">
        <f t="shared" si="1168"/>
        <v>5734558.2238047514</v>
      </c>
      <c r="DB388" s="891">
        <f t="shared" si="1168"/>
        <v>6617587.2023144113</v>
      </c>
      <c r="DC388" s="1074"/>
      <c r="DD388" s="1072"/>
      <c r="DF388" s="1073"/>
      <c r="DG388" s="891">
        <f t="shared" ref="DG388:DJ388" si="1169">DG43</f>
        <v>22065131.008344457</v>
      </c>
      <c r="DH388" s="891">
        <f t="shared" si="1169"/>
        <v>9712985.5822252911</v>
      </c>
      <c r="DI388" s="891">
        <f t="shared" si="1169"/>
        <v>5734558.2238047514</v>
      </c>
      <c r="DJ388" s="891">
        <f t="shared" si="1169"/>
        <v>6617587.2023144113</v>
      </c>
      <c r="DK388" s="1074"/>
      <c r="DL388" s="1072"/>
      <c r="DN388" s="1073"/>
      <c r="DO388" s="891">
        <f t="shared" ref="DO388:DR388" si="1170">DO43</f>
        <v>22065131.008344457</v>
      </c>
      <c r="DP388" s="891">
        <f t="shared" si="1170"/>
        <v>9712985.5822252911</v>
      </c>
      <c r="DQ388" s="891">
        <f t="shared" si="1170"/>
        <v>5734558.2238047514</v>
      </c>
      <c r="DR388" s="891">
        <f t="shared" si="1170"/>
        <v>6617587.2023144113</v>
      </c>
      <c r="DS388" s="1074"/>
      <c r="DT388" s="1072"/>
      <c r="DV388" s="1073"/>
      <c r="DW388" s="891">
        <f t="shared" ref="DW388:DZ388" si="1171">DW43</f>
        <v>22065131.008344457</v>
      </c>
      <c r="DX388" s="891">
        <f t="shared" si="1171"/>
        <v>9712985.5822252911</v>
      </c>
      <c r="DY388" s="891">
        <f t="shared" si="1171"/>
        <v>5734558.2238047514</v>
      </c>
      <c r="DZ388" s="891">
        <f t="shared" si="1171"/>
        <v>6617587.2023144113</v>
      </c>
      <c r="EA388" s="1074"/>
      <c r="EB388" s="1072"/>
      <c r="ED388" s="1073"/>
      <c r="EE388" s="891">
        <f t="shared" ref="EE388:EH388" si="1172">EE43</f>
        <v>22065131.008344457</v>
      </c>
      <c r="EF388" s="891">
        <f t="shared" si="1172"/>
        <v>9712985.5822252911</v>
      </c>
      <c r="EG388" s="891">
        <f t="shared" si="1172"/>
        <v>5734558.2238047514</v>
      </c>
      <c r="EH388" s="891">
        <f t="shared" si="1172"/>
        <v>6617587.2023144113</v>
      </c>
      <c r="EI388" s="1074"/>
      <c r="EJ388" s="1072"/>
      <c r="EL388" s="1073"/>
      <c r="EM388" s="891">
        <f t="shared" ref="EM388:EP388" si="1173">EM43</f>
        <v>22065131.008344457</v>
      </c>
      <c r="EN388" s="891">
        <f t="shared" si="1173"/>
        <v>9712985.5822252911</v>
      </c>
      <c r="EO388" s="891">
        <f t="shared" si="1173"/>
        <v>5734558.2238047514</v>
      </c>
      <c r="EP388" s="891">
        <f t="shared" si="1173"/>
        <v>6617587.2023144113</v>
      </c>
      <c r="EQ388" s="1074"/>
      <c r="ER388" s="1072"/>
      <c r="ET388" s="1073"/>
      <c r="EU388" s="891">
        <f t="shared" ref="EU388:EX388" si="1174">EU43</f>
        <v>22065131.008344457</v>
      </c>
      <c r="EV388" s="891">
        <f t="shared" si="1174"/>
        <v>9712985.5822252911</v>
      </c>
      <c r="EW388" s="891">
        <f t="shared" si="1174"/>
        <v>5734558.2238047514</v>
      </c>
      <c r="EX388" s="891">
        <f t="shared" si="1174"/>
        <v>6617587.2023144113</v>
      </c>
      <c r="EY388" s="1074"/>
      <c r="EZ388" s="1072"/>
      <c r="FB388" s="1073"/>
      <c r="FC388" s="891">
        <f t="shared" ref="FC388:FF388" si="1175">FC43</f>
        <v>22065131.008344457</v>
      </c>
      <c r="FD388" s="891">
        <f t="shared" si="1175"/>
        <v>9712985.5822252911</v>
      </c>
      <c r="FE388" s="891">
        <f t="shared" si="1175"/>
        <v>5734558.2238047514</v>
      </c>
      <c r="FF388" s="891">
        <f t="shared" si="1175"/>
        <v>6617587.2023144113</v>
      </c>
      <c r="FG388" s="1074"/>
      <c r="FH388" s="1072"/>
      <c r="FJ388" s="1073"/>
      <c r="FK388" s="891">
        <f t="shared" ref="FK388:FN388" si="1176">FK43</f>
        <v>22065131.008344457</v>
      </c>
      <c r="FL388" s="891">
        <f t="shared" si="1176"/>
        <v>9712985.5822252911</v>
      </c>
      <c r="FM388" s="891">
        <f t="shared" si="1176"/>
        <v>5734558.2238047514</v>
      </c>
      <c r="FN388" s="891">
        <f t="shared" si="1176"/>
        <v>6617587.2023144113</v>
      </c>
      <c r="FO388" s="1074"/>
    </row>
    <row r="389" spans="2:171" x14ac:dyDescent="0.25">
      <c r="B389" s="108"/>
      <c r="C389" s="108" t="s">
        <v>132</v>
      </c>
      <c r="D389" s="1072"/>
      <c r="E389" s="905" t="str">
        <f t="shared" si="1034"/>
        <v>TD</v>
      </c>
      <c r="G389" s="891">
        <f t="shared" si="1035"/>
        <v>104224382.24860385</v>
      </c>
      <c r="H389" s="891">
        <f t="shared" si="1035"/>
        <v>0</v>
      </c>
      <c r="I389" s="891">
        <f t="shared" si="1035"/>
        <v>0</v>
      </c>
      <c r="J389" s="891">
        <f t="shared" si="1035"/>
        <v>104224382.24860385</v>
      </c>
      <c r="K389" s="1074">
        <f t="shared" si="1036"/>
        <v>1</v>
      </c>
      <c r="L389" s="1072"/>
      <c r="N389" s="1073"/>
      <c r="O389" s="891">
        <f t="shared" ref="O389:R389" si="1177">O44</f>
        <v>104224382.24860385</v>
      </c>
      <c r="P389" s="891">
        <f t="shared" si="1177"/>
        <v>0</v>
      </c>
      <c r="Q389" s="891">
        <f t="shared" si="1177"/>
        <v>48386799.841335937</v>
      </c>
      <c r="R389" s="891">
        <f t="shared" si="1177"/>
        <v>55837582.407267913</v>
      </c>
      <c r="S389" s="1074"/>
      <c r="T389" s="1072"/>
      <c r="V389" s="1073"/>
      <c r="W389" s="891">
        <f t="shared" ref="W389:Z389" si="1178">W44</f>
        <v>104224382.24860385</v>
      </c>
      <c r="X389" s="891">
        <f t="shared" si="1178"/>
        <v>0</v>
      </c>
      <c r="Y389" s="891">
        <f t="shared" si="1178"/>
        <v>48386799.841335937</v>
      </c>
      <c r="Z389" s="891">
        <f t="shared" si="1178"/>
        <v>55837582.407267913</v>
      </c>
      <c r="AA389" s="1074"/>
      <c r="AB389" s="1072"/>
      <c r="AD389" s="1073"/>
      <c r="AE389" s="891">
        <f t="shared" ref="AE389:AH389" si="1179">AE44</f>
        <v>104224382.24860385</v>
      </c>
      <c r="AF389" s="891">
        <f t="shared" si="1179"/>
        <v>0</v>
      </c>
      <c r="AG389" s="891">
        <f t="shared" si="1179"/>
        <v>48386799.841335937</v>
      </c>
      <c r="AH389" s="891">
        <f t="shared" si="1179"/>
        <v>55837582.407267913</v>
      </c>
      <c r="AI389" s="1074"/>
      <c r="AJ389" s="1072"/>
      <c r="AL389" s="1073"/>
      <c r="AM389" s="891">
        <f t="shared" ref="AM389:AP389" si="1180">AM44</f>
        <v>104224382.24860385</v>
      </c>
      <c r="AN389" s="891">
        <f t="shared" si="1180"/>
        <v>0</v>
      </c>
      <c r="AO389" s="891">
        <f t="shared" si="1180"/>
        <v>48386799.841335937</v>
      </c>
      <c r="AP389" s="891">
        <f t="shared" si="1180"/>
        <v>55837582.407267913</v>
      </c>
      <c r="AQ389" s="1074"/>
      <c r="AR389" s="1072"/>
      <c r="AT389" s="1073"/>
      <c r="AU389" s="891">
        <f t="shared" ref="AU389:AX389" si="1181">AU44</f>
        <v>104224382.24860385</v>
      </c>
      <c r="AV389" s="891">
        <f t="shared" si="1181"/>
        <v>0</v>
      </c>
      <c r="AW389" s="891">
        <f t="shared" si="1181"/>
        <v>48386799.841335937</v>
      </c>
      <c r="AX389" s="891">
        <f t="shared" si="1181"/>
        <v>55837582.407267913</v>
      </c>
      <c r="AY389" s="1074"/>
      <c r="AZ389" s="1072"/>
      <c r="BB389" s="1073"/>
      <c r="BC389" s="891">
        <f t="shared" ref="BC389:BF389" si="1182">BC44</f>
        <v>104224382.24860385</v>
      </c>
      <c r="BD389" s="891">
        <f t="shared" si="1182"/>
        <v>0</v>
      </c>
      <c r="BE389" s="891">
        <f t="shared" si="1182"/>
        <v>48386799.841335937</v>
      </c>
      <c r="BF389" s="891">
        <f t="shared" si="1182"/>
        <v>55837582.407267913</v>
      </c>
      <c r="BG389" s="1074"/>
      <c r="BH389" s="1072"/>
      <c r="BJ389" s="1073"/>
      <c r="BK389" s="891">
        <f t="shared" ref="BK389:BN389" si="1183">BK44</f>
        <v>104224382.24860385</v>
      </c>
      <c r="BL389" s="891">
        <f t="shared" si="1183"/>
        <v>0</v>
      </c>
      <c r="BM389" s="891">
        <f t="shared" si="1183"/>
        <v>48386799.841335937</v>
      </c>
      <c r="BN389" s="891">
        <f t="shared" si="1183"/>
        <v>55837582.407267913</v>
      </c>
      <c r="BO389" s="1074"/>
      <c r="BP389" s="1072"/>
      <c r="BR389" s="1073"/>
      <c r="BS389" s="891">
        <f t="shared" ref="BS389:BV389" si="1184">BS44</f>
        <v>104224382.24860385</v>
      </c>
      <c r="BT389" s="891">
        <f t="shared" si="1184"/>
        <v>0</v>
      </c>
      <c r="BU389" s="891">
        <f t="shared" si="1184"/>
        <v>48386799.841335937</v>
      </c>
      <c r="BV389" s="891">
        <f t="shared" si="1184"/>
        <v>55837582.407267913</v>
      </c>
      <c r="BW389" s="1074"/>
      <c r="BX389" s="1072"/>
      <c r="BZ389" s="1073"/>
      <c r="CA389" s="891">
        <f t="shared" ref="CA389:CD389" si="1185">CA44</f>
        <v>104224382.24860385</v>
      </c>
      <c r="CB389" s="891">
        <f t="shared" si="1185"/>
        <v>0</v>
      </c>
      <c r="CC389" s="891">
        <f t="shared" si="1185"/>
        <v>48386799.841335937</v>
      </c>
      <c r="CD389" s="891">
        <f t="shared" si="1185"/>
        <v>55837582.407267913</v>
      </c>
      <c r="CE389" s="1074"/>
      <c r="CF389" s="1072"/>
      <c r="CH389" s="1073"/>
      <c r="CI389" s="891">
        <f t="shared" ref="CI389:CL389" si="1186">CI44</f>
        <v>104224382.24860385</v>
      </c>
      <c r="CJ389" s="891">
        <f t="shared" si="1186"/>
        <v>0</v>
      </c>
      <c r="CK389" s="891">
        <f t="shared" si="1186"/>
        <v>48386799.841335937</v>
      </c>
      <c r="CL389" s="891">
        <f t="shared" si="1186"/>
        <v>55837582.407267913</v>
      </c>
      <c r="CM389" s="1074"/>
      <c r="CN389" s="1072"/>
      <c r="CP389" s="1073"/>
      <c r="CQ389" s="891">
        <f t="shared" ref="CQ389:CT389" si="1187">CQ44</f>
        <v>104224382.24860385</v>
      </c>
      <c r="CR389" s="891">
        <f t="shared" si="1187"/>
        <v>0</v>
      </c>
      <c r="CS389" s="891">
        <f t="shared" si="1187"/>
        <v>48386799.841335937</v>
      </c>
      <c r="CT389" s="891">
        <f t="shared" si="1187"/>
        <v>55837582.407267913</v>
      </c>
      <c r="CU389" s="1074"/>
      <c r="CV389" s="1072"/>
      <c r="CX389" s="1073"/>
      <c r="CY389" s="891">
        <f t="shared" ref="CY389:DB389" si="1188">CY44</f>
        <v>104224382.24860385</v>
      </c>
      <c r="CZ389" s="891">
        <f t="shared" si="1188"/>
        <v>0</v>
      </c>
      <c r="DA389" s="891">
        <f t="shared" si="1188"/>
        <v>48386799.841335937</v>
      </c>
      <c r="DB389" s="891">
        <f t="shared" si="1188"/>
        <v>55837582.407267913</v>
      </c>
      <c r="DC389" s="1074"/>
      <c r="DD389" s="1072"/>
      <c r="DF389" s="1073"/>
      <c r="DG389" s="891">
        <f t="shared" ref="DG389:DJ389" si="1189">DG44</f>
        <v>104224382.24860385</v>
      </c>
      <c r="DH389" s="891">
        <f t="shared" si="1189"/>
        <v>0</v>
      </c>
      <c r="DI389" s="891">
        <f t="shared" si="1189"/>
        <v>48386799.841335937</v>
      </c>
      <c r="DJ389" s="891">
        <f t="shared" si="1189"/>
        <v>55837582.407267913</v>
      </c>
      <c r="DK389" s="1074"/>
      <c r="DL389" s="1072"/>
      <c r="DN389" s="1073"/>
      <c r="DO389" s="891">
        <f t="shared" ref="DO389:DR389" si="1190">DO44</f>
        <v>104224382.24860385</v>
      </c>
      <c r="DP389" s="891">
        <f t="shared" si="1190"/>
        <v>0</v>
      </c>
      <c r="DQ389" s="891">
        <f t="shared" si="1190"/>
        <v>48386799.841335937</v>
      </c>
      <c r="DR389" s="891">
        <f t="shared" si="1190"/>
        <v>55837582.407267913</v>
      </c>
      <c r="DS389" s="1074"/>
      <c r="DT389" s="1072"/>
      <c r="DV389" s="1073"/>
      <c r="DW389" s="891">
        <f t="shared" ref="DW389:DZ389" si="1191">DW44</f>
        <v>104224382.24860385</v>
      </c>
      <c r="DX389" s="891">
        <f t="shared" si="1191"/>
        <v>0</v>
      </c>
      <c r="DY389" s="891">
        <f t="shared" si="1191"/>
        <v>48386799.841335937</v>
      </c>
      <c r="DZ389" s="891">
        <f t="shared" si="1191"/>
        <v>55837582.407267913</v>
      </c>
      <c r="EA389" s="1074"/>
      <c r="EB389" s="1072"/>
      <c r="ED389" s="1073"/>
      <c r="EE389" s="891">
        <f t="shared" ref="EE389:EH389" si="1192">EE44</f>
        <v>104224382.24860385</v>
      </c>
      <c r="EF389" s="891">
        <f t="shared" si="1192"/>
        <v>0</v>
      </c>
      <c r="EG389" s="891">
        <f t="shared" si="1192"/>
        <v>48386799.841335937</v>
      </c>
      <c r="EH389" s="891">
        <f t="shared" si="1192"/>
        <v>55837582.407267913</v>
      </c>
      <c r="EI389" s="1074"/>
      <c r="EJ389" s="1072"/>
      <c r="EL389" s="1073"/>
      <c r="EM389" s="891">
        <f t="shared" ref="EM389:EP389" si="1193">EM44</f>
        <v>104224382.24860385</v>
      </c>
      <c r="EN389" s="891">
        <f t="shared" si="1193"/>
        <v>0</v>
      </c>
      <c r="EO389" s="891">
        <f t="shared" si="1193"/>
        <v>48386799.841335937</v>
      </c>
      <c r="EP389" s="891">
        <f t="shared" si="1193"/>
        <v>55837582.407267913</v>
      </c>
      <c r="EQ389" s="1074"/>
      <c r="ER389" s="1072"/>
      <c r="ET389" s="1073"/>
      <c r="EU389" s="891">
        <f t="shared" ref="EU389:EX389" si="1194">EU44</f>
        <v>104224382.24860385</v>
      </c>
      <c r="EV389" s="891">
        <f t="shared" si="1194"/>
        <v>0</v>
      </c>
      <c r="EW389" s="891">
        <f t="shared" si="1194"/>
        <v>48386799.841335937</v>
      </c>
      <c r="EX389" s="891">
        <f t="shared" si="1194"/>
        <v>55837582.407267913</v>
      </c>
      <c r="EY389" s="1074"/>
      <c r="EZ389" s="1072"/>
      <c r="FB389" s="1073"/>
      <c r="FC389" s="891">
        <f t="shared" ref="FC389:FF389" si="1195">FC44</f>
        <v>104224382.24860385</v>
      </c>
      <c r="FD389" s="891">
        <f t="shared" si="1195"/>
        <v>0</v>
      </c>
      <c r="FE389" s="891">
        <f t="shared" si="1195"/>
        <v>48386799.841335937</v>
      </c>
      <c r="FF389" s="891">
        <f t="shared" si="1195"/>
        <v>55837582.407267913</v>
      </c>
      <c r="FG389" s="1074"/>
      <c r="FH389" s="1072"/>
      <c r="FJ389" s="1073"/>
      <c r="FK389" s="891">
        <f t="shared" ref="FK389:FN389" si="1196">FK44</f>
        <v>104224382.24860385</v>
      </c>
      <c r="FL389" s="891">
        <f t="shared" si="1196"/>
        <v>0</v>
      </c>
      <c r="FM389" s="891">
        <f t="shared" si="1196"/>
        <v>48386799.841335937</v>
      </c>
      <c r="FN389" s="891">
        <f t="shared" si="1196"/>
        <v>55837582.407267913</v>
      </c>
      <c r="FO389" s="1074"/>
    </row>
    <row r="390" spans="2:171" x14ac:dyDescent="0.25">
      <c r="B390" s="108"/>
      <c r="C390" s="108" t="s">
        <v>133</v>
      </c>
      <c r="D390" s="1072"/>
      <c r="E390" s="905" t="str">
        <f t="shared" si="1034"/>
        <v>PTD</v>
      </c>
      <c r="G390" s="891">
        <f t="shared" si="1035"/>
        <v>225166384.95095226</v>
      </c>
      <c r="H390" s="891">
        <f t="shared" si="1035"/>
        <v>99117374.367879733</v>
      </c>
      <c r="I390" s="891">
        <f t="shared" si="1035"/>
        <v>0</v>
      </c>
      <c r="J390" s="891">
        <f t="shared" si="1035"/>
        <v>126049010.58307251</v>
      </c>
      <c r="K390" s="1074">
        <f t="shared" si="1036"/>
        <v>1</v>
      </c>
      <c r="L390" s="1072"/>
      <c r="N390" s="1073"/>
      <c r="O390" s="891">
        <f t="shared" ref="O390:R390" si="1197">O45</f>
        <v>225166384.95095223</v>
      </c>
      <c r="P390" s="891">
        <f t="shared" si="1197"/>
        <v>99117374.367879719</v>
      </c>
      <c r="Q390" s="891">
        <f t="shared" si="1197"/>
        <v>58519015.547950298</v>
      </c>
      <c r="R390" s="891">
        <f t="shared" si="1197"/>
        <v>67529995.035122186</v>
      </c>
      <c r="S390" s="1074"/>
      <c r="T390" s="1072"/>
      <c r="V390" s="1073"/>
      <c r="W390" s="891">
        <f t="shared" ref="W390:Z390" si="1198">W45</f>
        <v>225166384.95095223</v>
      </c>
      <c r="X390" s="891">
        <f t="shared" si="1198"/>
        <v>99117374.367879719</v>
      </c>
      <c r="Y390" s="891">
        <f t="shared" si="1198"/>
        <v>58519015.547950298</v>
      </c>
      <c r="Z390" s="891">
        <f t="shared" si="1198"/>
        <v>67529995.035122186</v>
      </c>
      <c r="AA390" s="1074"/>
      <c r="AB390" s="1072"/>
      <c r="AD390" s="1073"/>
      <c r="AE390" s="891">
        <f t="shared" ref="AE390:AH390" si="1199">AE45</f>
        <v>225166384.95095223</v>
      </c>
      <c r="AF390" s="891">
        <f t="shared" si="1199"/>
        <v>99117374.367879719</v>
      </c>
      <c r="AG390" s="891">
        <f t="shared" si="1199"/>
        <v>58519015.547950298</v>
      </c>
      <c r="AH390" s="891">
        <f t="shared" si="1199"/>
        <v>67529995.035122186</v>
      </c>
      <c r="AI390" s="1074"/>
      <c r="AJ390" s="1072"/>
      <c r="AL390" s="1073"/>
      <c r="AM390" s="891">
        <f t="shared" ref="AM390:AP390" si="1200">AM45</f>
        <v>225166384.95095223</v>
      </c>
      <c r="AN390" s="891">
        <f t="shared" si="1200"/>
        <v>99117374.367879719</v>
      </c>
      <c r="AO390" s="891">
        <f t="shared" si="1200"/>
        <v>58519015.547950298</v>
      </c>
      <c r="AP390" s="891">
        <f t="shared" si="1200"/>
        <v>67529995.035122186</v>
      </c>
      <c r="AQ390" s="1074"/>
      <c r="AR390" s="1072"/>
      <c r="AT390" s="1073"/>
      <c r="AU390" s="891">
        <f t="shared" ref="AU390:AX390" si="1201">AU45</f>
        <v>225166384.95095223</v>
      </c>
      <c r="AV390" s="891">
        <f t="shared" si="1201"/>
        <v>99117374.367879719</v>
      </c>
      <c r="AW390" s="891">
        <f t="shared" si="1201"/>
        <v>58519015.547950298</v>
      </c>
      <c r="AX390" s="891">
        <f t="shared" si="1201"/>
        <v>67529995.035122186</v>
      </c>
      <c r="AY390" s="1074"/>
      <c r="AZ390" s="1072"/>
      <c r="BB390" s="1073"/>
      <c r="BC390" s="891">
        <f t="shared" ref="BC390:BF390" si="1202">BC45</f>
        <v>225166384.95095223</v>
      </c>
      <c r="BD390" s="891">
        <f t="shared" si="1202"/>
        <v>99117374.367879719</v>
      </c>
      <c r="BE390" s="891">
        <f t="shared" si="1202"/>
        <v>58519015.547950298</v>
      </c>
      <c r="BF390" s="891">
        <f t="shared" si="1202"/>
        <v>67529995.035122186</v>
      </c>
      <c r="BG390" s="1074"/>
      <c r="BH390" s="1072"/>
      <c r="BJ390" s="1073"/>
      <c r="BK390" s="891">
        <f t="shared" ref="BK390:BN390" si="1203">BK45</f>
        <v>225166384.95095223</v>
      </c>
      <c r="BL390" s="891">
        <f t="shared" si="1203"/>
        <v>99117374.367879719</v>
      </c>
      <c r="BM390" s="891">
        <f t="shared" si="1203"/>
        <v>58519015.547950298</v>
      </c>
      <c r="BN390" s="891">
        <f t="shared" si="1203"/>
        <v>67529995.035122186</v>
      </c>
      <c r="BO390" s="1074"/>
      <c r="BP390" s="1072"/>
      <c r="BR390" s="1073"/>
      <c r="BS390" s="891">
        <f t="shared" ref="BS390:BV390" si="1204">BS45</f>
        <v>225166384.95095223</v>
      </c>
      <c r="BT390" s="891">
        <f t="shared" si="1204"/>
        <v>99117374.367879719</v>
      </c>
      <c r="BU390" s="891">
        <f t="shared" si="1204"/>
        <v>58519015.547950298</v>
      </c>
      <c r="BV390" s="891">
        <f t="shared" si="1204"/>
        <v>67529995.035122186</v>
      </c>
      <c r="BW390" s="1074"/>
      <c r="BX390" s="1072"/>
      <c r="BZ390" s="1073"/>
      <c r="CA390" s="891">
        <f t="shared" ref="CA390:CD390" si="1205">CA45</f>
        <v>225166384.95095223</v>
      </c>
      <c r="CB390" s="891">
        <f t="shared" si="1205"/>
        <v>99117374.367879719</v>
      </c>
      <c r="CC390" s="891">
        <f t="shared" si="1205"/>
        <v>58519015.547950298</v>
      </c>
      <c r="CD390" s="891">
        <f t="shared" si="1205"/>
        <v>67529995.035122186</v>
      </c>
      <c r="CE390" s="1074"/>
      <c r="CF390" s="1072"/>
      <c r="CH390" s="1073"/>
      <c r="CI390" s="891">
        <f t="shared" ref="CI390:CL390" si="1206">CI45</f>
        <v>225166384.95095223</v>
      </c>
      <c r="CJ390" s="891">
        <f t="shared" si="1206"/>
        <v>99117374.367879719</v>
      </c>
      <c r="CK390" s="891">
        <f t="shared" si="1206"/>
        <v>58519015.547950298</v>
      </c>
      <c r="CL390" s="891">
        <f t="shared" si="1206"/>
        <v>67529995.035122186</v>
      </c>
      <c r="CM390" s="1074"/>
      <c r="CN390" s="1072"/>
      <c r="CP390" s="1073"/>
      <c r="CQ390" s="891">
        <f t="shared" ref="CQ390:CT390" si="1207">CQ45</f>
        <v>225166384.95095223</v>
      </c>
      <c r="CR390" s="891">
        <f t="shared" si="1207"/>
        <v>99117374.367879719</v>
      </c>
      <c r="CS390" s="891">
        <f t="shared" si="1207"/>
        <v>58519015.547950298</v>
      </c>
      <c r="CT390" s="891">
        <f t="shared" si="1207"/>
        <v>67529995.035122186</v>
      </c>
      <c r="CU390" s="1074"/>
      <c r="CV390" s="1072"/>
      <c r="CX390" s="1073"/>
      <c r="CY390" s="891">
        <f t="shared" ref="CY390:DB390" si="1208">CY45</f>
        <v>225166384.95095223</v>
      </c>
      <c r="CZ390" s="891">
        <f t="shared" si="1208"/>
        <v>99117374.367879719</v>
      </c>
      <c r="DA390" s="891">
        <f t="shared" si="1208"/>
        <v>58519015.547950298</v>
      </c>
      <c r="DB390" s="891">
        <f t="shared" si="1208"/>
        <v>67529995.035122186</v>
      </c>
      <c r="DC390" s="1074"/>
      <c r="DD390" s="1072"/>
      <c r="DF390" s="1073"/>
      <c r="DG390" s="891">
        <f t="shared" ref="DG390:DJ390" si="1209">DG45</f>
        <v>225166384.95095223</v>
      </c>
      <c r="DH390" s="891">
        <f t="shared" si="1209"/>
        <v>99117374.367879719</v>
      </c>
      <c r="DI390" s="891">
        <f t="shared" si="1209"/>
        <v>58519015.547950298</v>
      </c>
      <c r="DJ390" s="891">
        <f t="shared" si="1209"/>
        <v>67529995.035122186</v>
      </c>
      <c r="DK390" s="1074"/>
      <c r="DL390" s="1072"/>
      <c r="DN390" s="1073"/>
      <c r="DO390" s="891">
        <f t="shared" ref="DO390:DR390" si="1210">DO45</f>
        <v>225166384.95095223</v>
      </c>
      <c r="DP390" s="891">
        <f t="shared" si="1210"/>
        <v>99117374.367879719</v>
      </c>
      <c r="DQ390" s="891">
        <f t="shared" si="1210"/>
        <v>58519015.547950298</v>
      </c>
      <c r="DR390" s="891">
        <f t="shared" si="1210"/>
        <v>67529995.035122186</v>
      </c>
      <c r="DS390" s="1074"/>
      <c r="DT390" s="1072"/>
      <c r="DV390" s="1073"/>
      <c r="DW390" s="891">
        <f t="shared" ref="DW390:DZ390" si="1211">DW45</f>
        <v>225166384.95095223</v>
      </c>
      <c r="DX390" s="891">
        <f t="shared" si="1211"/>
        <v>99117374.367879719</v>
      </c>
      <c r="DY390" s="891">
        <f t="shared" si="1211"/>
        <v>58519015.547950298</v>
      </c>
      <c r="DZ390" s="891">
        <f t="shared" si="1211"/>
        <v>67529995.035122186</v>
      </c>
      <c r="EA390" s="1074"/>
      <c r="EB390" s="1072"/>
      <c r="ED390" s="1073"/>
      <c r="EE390" s="891">
        <f t="shared" ref="EE390:EH390" si="1212">EE45</f>
        <v>225166384.95095223</v>
      </c>
      <c r="EF390" s="891">
        <f t="shared" si="1212"/>
        <v>99117374.367879719</v>
      </c>
      <c r="EG390" s="891">
        <f t="shared" si="1212"/>
        <v>58519015.547950298</v>
      </c>
      <c r="EH390" s="891">
        <f t="shared" si="1212"/>
        <v>67529995.035122186</v>
      </c>
      <c r="EI390" s="1074"/>
      <c r="EJ390" s="1072"/>
      <c r="EL390" s="1073"/>
      <c r="EM390" s="891">
        <f t="shared" ref="EM390:EP390" si="1213">EM45</f>
        <v>225166384.95095223</v>
      </c>
      <c r="EN390" s="891">
        <f t="shared" si="1213"/>
        <v>99117374.367879719</v>
      </c>
      <c r="EO390" s="891">
        <f t="shared" si="1213"/>
        <v>58519015.547950298</v>
      </c>
      <c r="EP390" s="891">
        <f t="shared" si="1213"/>
        <v>67529995.035122186</v>
      </c>
      <c r="EQ390" s="1074"/>
      <c r="ER390" s="1072"/>
      <c r="ET390" s="1073"/>
      <c r="EU390" s="891">
        <f t="shared" ref="EU390:EX390" si="1214">EU45</f>
        <v>225166384.95095223</v>
      </c>
      <c r="EV390" s="891">
        <f t="shared" si="1214"/>
        <v>99117374.367879719</v>
      </c>
      <c r="EW390" s="891">
        <f t="shared" si="1214"/>
        <v>58519015.547950298</v>
      </c>
      <c r="EX390" s="891">
        <f t="shared" si="1214"/>
        <v>67529995.035122186</v>
      </c>
      <c r="EY390" s="1074"/>
      <c r="EZ390" s="1072"/>
      <c r="FB390" s="1073"/>
      <c r="FC390" s="891">
        <f t="shared" ref="FC390:FF390" si="1215">FC45</f>
        <v>225166384.95095223</v>
      </c>
      <c r="FD390" s="891">
        <f t="shared" si="1215"/>
        <v>99117374.367879719</v>
      </c>
      <c r="FE390" s="891">
        <f t="shared" si="1215"/>
        <v>58519015.547950298</v>
      </c>
      <c r="FF390" s="891">
        <f t="shared" si="1215"/>
        <v>67529995.035122186</v>
      </c>
      <c r="FG390" s="1074"/>
      <c r="FH390" s="1072"/>
      <c r="FJ390" s="1073"/>
      <c r="FK390" s="891">
        <f t="shared" ref="FK390:FN390" si="1216">FK45</f>
        <v>225166384.95095223</v>
      </c>
      <c r="FL390" s="891">
        <f t="shared" si="1216"/>
        <v>99117374.367879719</v>
      </c>
      <c r="FM390" s="891">
        <f t="shared" si="1216"/>
        <v>58519015.547950298</v>
      </c>
      <c r="FN390" s="891">
        <f t="shared" si="1216"/>
        <v>67529995.035122186</v>
      </c>
      <c r="FO390" s="1074"/>
    </row>
    <row r="391" spans="2:171" x14ac:dyDescent="0.25">
      <c r="B391" s="108"/>
      <c r="C391" s="108" t="s">
        <v>134</v>
      </c>
      <c r="D391" s="1072"/>
      <c r="E391" s="905" t="str">
        <f t="shared" si="1034"/>
        <v>PTD</v>
      </c>
      <c r="G391" s="891">
        <f t="shared" si="1035"/>
        <v>3889871.2322740913</v>
      </c>
      <c r="H391" s="891">
        <f t="shared" si="1035"/>
        <v>1712306.316309788</v>
      </c>
      <c r="I391" s="891">
        <f t="shared" si="1035"/>
        <v>0</v>
      </c>
      <c r="J391" s="891">
        <f t="shared" si="1035"/>
        <v>2177564.9159643031</v>
      </c>
      <c r="K391" s="1074">
        <f t="shared" si="1036"/>
        <v>1</v>
      </c>
      <c r="L391" s="1072"/>
      <c r="N391" s="1073"/>
      <c r="O391" s="891">
        <f t="shared" ref="O391:R391" si="1217">O46</f>
        <v>3889871.2322740913</v>
      </c>
      <c r="P391" s="891">
        <f t="shared" si="1217"/>
        <v>1712306.316309788</v>
      </c>
      <c r="Q391" s="891">
        <f t="shared" si="1217"/>
        <v>1010947.6828459847</v>
      </c>
      <c r="R391" s="891">
        <f t="shared" si="1217"/>
        <v>1166617.2331183183</v>
      </c>
      <c r="S391" s="1074"/>
      <c r="T391" s="1072"/>
      <c r="V391" s="1073"/>
      <c r="W391" s="891">
        <f t="shared" ref="W391:Z391" si="1218">W46</f>
        <v>3889871.2322740913</v>
      </c>
      <c r="X391" s="891">
        <f t="shared" si="1218"/>
        <v>1712306.316309788</v>
      </c>
      <c r="Y391" s="891">
        <f t="shared" si="1218"/>
        <v>1010947.6828459847</v>
      </c>
      <c r="Z391" s="891">
        <f t="shared" si="1218"/>
        <v>1166617.2331183183</v>
      </c>
      <c r="AA391" s="1074"/>
      <c r="AB391" s="1072"/>
      <c r="AD391" s="1073"/>
      <c r="AE391" s="891">
        <f t="shared" ref="AE391:AH391" si="1219">AE46</f>
        <v>3889871.2322740913</v>
      </c>
      <c r="AF391" s="891">
        <f t="shared" si="1219"/>
        <v>1712306.316309788</v>
      </c>
      <c r="AG391" s="891">
        <f t="shared" si="1219"/>
        <v>1010947.6828459847</v>
      </c>
      <c r="AH391" s="891">
        <f t="shared" si="1219"/>
        <v>1166617.2331183183</v>
      </c>
      <c r="AI391" s="1074"/>
      <c r="AJ391" s="1072"/>
      <c r="AL391" s="1073"/>
      <c r="AM391" s="891">
        <f t="shared" ref="AM391:AP391" si="1220">AM46</f>
        <v>3889871.2322740913</v>
      </c>
      <c r="AN391" s="891">
        <f t="shared" si="1220"/>
        <v>1712306.316309788</v>
      </c>
      <c r="AO391" s="891">
        <f t="shared" si="1220"/>
        <v>1010947.6828459847</v>
      </c>
      <c r="AP391" s="891">
        <f t="shared" si="1220"/>
        <v>1166617.2331183183</v>
      </c>
      <c r="AQ391" s="1074"/>
      <c r="AR391" s="1072"/>
      <c r="AT391" s="1073"/>
      <c r="AU391" s="891">
        <f t="shared" ref="AU391:AX391" si="1221">AU46</f>
        <v>3889871.2322740913</v>
      </c>
      <c r="AV391" s="891">
        <f t="shared" si="1221"/>
        <v>1712306.316309788</v>
      </c>
      <c r="AW391" s="891">
        <f t="shared" si="1221"/>
        <v>1010947.6828459847</v>
      </c>
      <c r="AX391" s="891">
        <f t="shared" si="1221"/>
        <v>1166617.2331183183</v>
      </c>
      <c r="AY391" s="1074"/>
      <c r="AZ391" s="1072"/>
      <c r="BB391" s="1073"/>
      <c r="BC391" s="891">
        <f t="shared" ref="BC391:BF391" si="1222">BC46</f>
        <v>3889871.2322740913</v>
      </c>
      <c r="BD391" s="891">
        <f t="shared" si="1222"/>
        <v>1712306.316309788</v>
      </c>
      <c r="BE391" s="891">
        <f t="shared" si="1222"/>
        <v>1010947.6828459847</v>
      </c>
      <c r="BF391" s="891">
        <f t="shared" si="1222"/>
        <v>1166617.2331183183</v>
      </c>
      <c r="BG391" s="1074"/>
      <c r="BH391" s="1072"/>
      <c r="BJ391" s="1073"/>
      <c r="BK391" s="891">
        <f t="shared" ref="BK391:BN391" si="1223">BK46</f>
        <v>3889871.2322740913</v>
      </c>
      <c r="BL391" s="891">
        <f t="shared" si="1223"/>
        <v>1712306.316309788</v>
      </c>
      <c r="BM391" s="891">
        <f t="shared" si="1223"/>
        <v>1010947.6828459847</v>
      </c>
      <c r="BN391" s="891">
        <f t="shared" si="1223"/>
        <v>1166617.2331183183</v>
      </c>
      <c r="BO391" s="1074"/>
      <c r="BP391" s="1072"/>
      <c r="BR391" s="1073"/>
      <c r="BS391" s="891">
        <f t="shared" ref="BS391:BV391" si="1224">BS46</f>
        <v>3889871.2322740913</v>
      </c>
      <c r="BT391" s="891">
        <f t="shared" si="1224"/>
        <v>1712306.316309788</v>
      </c>
      <c r="BU391" s="891">
        <f t="shared" si="1224"/>
        <v>1010947.6828459847</v>
      </c>
      <c r="BV391" s="891">
        <f t="shared" si="1224"/>
        <v>1166617.2331183183</v>
      </c>
      <c r="BW391" s="1074"/>
      <c r="BX391" s="1072"/>
      <c r="BZ391" s="1073"/>
      <c r="CA391" s="891">
        <f t="shared" ref="CA391:CD391" si="1225">CA46</f>
        <v>3889871.2322740913</v>
      </c>
      <c r="CB391" s="891">
        <f t="shared" si="1225"/>
        <v>1712306.316309788</v>
      </c>
      <c r="CC391" s="891">
        <f t="shared" si="1225"/>
        <v>1010947.6828459847</v>
      </c>
      <c r="CD391" s="891">
        <f t="shared" si="1225"/>
        <v>1166617.2331183183</v>
      </c>
      <c r="CE391" s="1074"/>
      <c r="CF391" s="1072"/>
      <c r="CH391" s="1073"/>
      <c r="CI391" s="891">
        <f t="shared" ref="CI391:CL391" si="1226">CI46</f>
        <v>3889871.2322740913</v>
      </c>
      <c r="CJ391" s="891">
        <f t="shared" si="1226"/>
        <v>1712306.316309788</v>
      </c>
      <c r="CK391" s="891">
        <f t="shared" si="1226"/>
        <v>1010947.6828459847</v>
      </c>
      <c r="CL391" s="891">
        <f t="shared" si="1226"/>
        <v>1166617.2331183183</v>
      </c>
      <c r="CM391" s="1074"/>
      <c r="CN391" s="1072"/>
      <c r="CP391" s="1073"/>
      <c r="CQ391" s="891">
        <f t="shared" ref="CQ391:CT391" si="1227">CQ46</f>
        <v>3889871.2322740913</v>
      </c>
      <c r="CR391" s="891">
        <f t="shared" si="1227"/>
        <v>1712306.316309788</v>
      </c>
      <c r="CS391" s="891">
        <f t="shared" si="1227"/>
        <v>1010947.6828459847</v>
      </c>
      <c r="CT391" s="891">
        <f t="shared" si="1227"/>
        <v>1166617.2331183183</v>
      </c>
      <c r="CU391" s="1074"/>
      <c r="CV391" s="1072"/>
      <c r="CX391" s="1073"/>
      <c r="CY391" s="891">
        <f t="shared" ref="CY391:DB391" si="1228">CY46</f>
        <v>3889871.2322740913</v>
      </c>
      <c r="CZ391" s="891">
        <f t="shared" si="1228"/>
        <v>1712306.316309788</v>
      </c>
      <c r="DA391" s="891">
        <f t="shared" si="1228"/>
        <v>1010947.6828459847</v>
      </c>
      <c r="DB391" s="891">
        <f t="shared" si="1228"/>
        <v>1166617.2331183183</v>
      </c>
      <c r="DC391" s="1074"/>
      <c r="DD391" s="1072"/>
      <c r="DF391" s="1073"/>
      <c r="DG391" s="891">
        <f t="shared" ref="DG391:DJ391" si="1229">DG46</f>
        <v>3889871.2322740913</v>
      </c>
      <c r="DH391" s="891">
        <f t="shared" si="1229"/>
        <v>1712306.316309788</v>
      </c>
      <c r="DI391" s="891">
        <f t="shared" si="1229"/>
        <v>1010947.6828459847</v>
      </c>
      <c r="DJ391" s="891">
        <f t="shared" si="1229"/>
        <v>1166617.2331183183</v>
      </c>
      <c r="DK391" s="1074"/>
      <c r="DL391" s="1072"/>
      <c r="DN391" s="1073"/>
      <c r="DO391" s="891">
        <f t="shared" ref="DO391:DR391" si="1230">DO46</f>
        <v>3889871.2322740913</v>
      </c>
      <c r="DP391" s="891">
        <f t="shared" si="1230"/>
        <v>1712306.316309788</v>
      </c>
      <c r="DQ391" s="891">
        <f t="shared" si="1230"/>
        <v>1010947.6828459847</v>
      </c>
      <c r="DR391" s="891">
        <f t="shared" si="1230"/>
        <v>1166617.2331183183</v>
      </c>
      <c r="DS391" s="1074"/>
      <c r="DT391" s="1072"/>
      <c r="DV391" s="1073"/>
      <c r="DW391" s="891">
        <f t="shared" ref="DW391:DZ391" si="1231">DW46</f>
        <v>3889871.2322740913</v>
      </c>
      <c r="DX391" s="891">
        <f t="shared" si="1231"/>
        <v>1712306.316309788</v>
      </c>
      <c r="DY391" s="891">
        <f t="shared" si="1231"/>
        <v>1010947.6828459847</v>
      </c>
      <c r="DZ391" s="891">
        <f t="shared" si="1231"/>
        <v>1166617.2331183183</v>
      </c>
      <c r="EA391" s="1074"/>
      <c r="EB391" s="1072"/>
      <c r="ED391" s="1073"/>
      <c r="EE391" s="891">
        <f t="shared" ref="EE391:EH391" si="1232">EE46</f>
        <v>3889871.2322740913</v>
      </c>
      <c r="EF391" s="891">
        <f t="shared" si="1232"/>
        <v>1712306.316309788</v>
      </c>
      <c r="EG391" s="891">
        <f t="shared" si="1232"/>
        <v>1010947.6828459847</v>
      </c>
      <c r="EH391" s="891">
        <f t="shared" si="1232"/>
        <v>1166617.2331183183</v>
      </c>
      <c r="EI391" s="1074"/>
      <c r="EJ391" s="1072"/>
      <c r="EL391" s="1073"/>
      <c r="EM391" s="891">
        <f t="shared" ref="EM391:EP391" si="1233">EM46</f>
        <v>3889871.2322740913</v>
      </c>
      <c r="EN391" s="891">
        <f t="shared" si="1233"/>
        <v>1712306.316309788</v>
      </c>
      <c r="EO391" s="891">
        <f t="shared" si="1233"/>
        <v>1010947.6828459847</v>
      </c>
      <c r="EP391" s="891">
        <f t="shared" si="1233"/>
        <v>1166617.2331183183</v>
      </c>
      <c r="EQ391" s="1074"/>
      <c r="ER391" s="1072"/>
      <c r="ET391" s="1073"/>
      <c r="EU391" s="891">
        <f t="shared" ref="EU391:EX391" si="1234">EU46</f>
        <v>3889871.2322740913</v>
      </c>
      <c r="EV391" s="891">
        <f t="shared" si="1234"/>
        <v>1712306.316309788</v>
      </c>
      <c r="EW391" s="891">
        <f t="shared" si="1234"/>
        <v>1010947.6828459847</v>
      </c>
      <c r="EX391" s="891">
        <f t="shared" si="1234"/>
        <v>1166617.2331183183</v>
      </c>
      <c r="EY391" s="1074"/>
      <c r="EZ391" s="1072"/>
      <c r="FB391" s="1073"/>
      <c r="FC391" s="891">
        <f t="shared" ref="FC391:FF391" si="1235">FC46</f>
        <v>3889871.2322740913</v>
      </c>
      <c r="FD391" s="891">
        <f t="shared" si="1235"/>
        <v>1712306.316309788</v>
      </c>
      <c r="FE391" s="891">
        <f t="shared" si="1235"/>
        <v>1010947.6828459847</v>
      </c>
      <c r="FF391" s="891">
        <f t="shared" si="1235"/>
        <v>1166617.2331183183</v>
      </c>
      <c r="FG391" s="1074"/>
      <c r="FH391" s="1072"/>
      <c r="FJ391" s="1073"/>
      <c r="FK391" s="891">
        <f t="shared" ref="FK391:FN391" si="1236">FK46</f>
        <v>3889871.2322740913</v>
      </c>
      <c r="FL391" s="891">
        <f t="shared" si="1236"/>
        <v>1712306.316309788</v>
      </c>
      <c r="FM391" s="891">
        <f t="shared" si="1236"/>
        <v>1010947.6828459847</v>
      </c>
      <c r="FN391" s="891">
        <f t="shared" si="1236"/>
        <v>1166617.2331183183</v>
      </c>
      <c r="FO391" s="1074"/>
    </row>
    <row r="392" spans="2:171" x14ac:dyDescent="0.25">
      <c r="B392" s="108"/>
      <c r="C392" s="108" t="s">
        <v>256</v>
      </c>
      <c r="D392" s="1072"/>
      <c r="E392" s="905" t="str">
        <f t="shared" si="1034"/>
        <v>DIRECT</v>
      </c>
      <c r="G392" s="891">
        <f t="shared" si="1035"/>
        <v>708735.65050650423</v>
      </c>
      <c r="H392" s="891">
        <f t="shared" si="1035"/>
        <v>708735.65050650423</v>
      </c>
      <c r="I392" s="891">
        <f t="shared" si="1035"/>
        <v>0</v>
      </c>
      <c r="J392" s="891">
        <f t="shared" si="1035"/>
        <v>0</v>
      </c>
      <c r="K392" s="1074">
        <f t="shared" si="1036"/>
        <v>0</v>
      </c>
      <c r="L392" s="1072"/>
      <c r="N392" s="1073"/>
      <c r="O392" s="891">
        <f t="shared" ref="O392:R392" si="1237">O47</f>
        <v>708735.65050650423</v>
      </c>
      <c r="P392" s="891">
        <f t="shared" si="1237"/>
        <v>708735.65050650423</v>
      </c>
      <c r="Q392" s="891">
        <f t="shared" si="1237"/>
        <v>0</v>
      </c>
      <c r="R392" s="891">
        <f t="shared" si="1237"/>
        <v>0</v>
      </c>
      <c r="S392" s="1074"/>
      <c r="T392" s="1072"/>
      <c r="V392" s="1073"/>
      <c r="W392" s="891">
        <f t="shared" ref="W392:Z392" si="1238">W47</f>
        <v>708735.65050650423</v>
      </c>
      <c r="X392" s="891">
        <f t="shared" si="1238"/>
        <v>708735.65050650423</v>
      </c>
      <c r="Y392" s="891">
        <f t="shared" si="1238"/>
        <v>0</v>
      </c>
      <c r="Z392" s="891">
        <f t="shared" si="1238"/>
        <v>0</v>
      </c>
      <c r="AA392" s="1074"/>
      <c r="AB392" s="1072"/>
      <c r="AD392" s="1073"/>
      <c r="AE392" s="891">
        <f t="shared" ref="AE392:AH392" si="1239">AE47</f>
        <v>708735.65050650423</v>
      </c>
      <c r="AF392" s="891">
        <f t="shared" si="1239"/>
        <v>708735.65050650423</v>
      </c>
      <c r="AG392" s="891">
        <f t="shared" si="1239"/>
        <v>0</v>
      </c>
      <c r="AH392" s="891">
        <f t="shared" si="1239"/>
        <v>0</v>
      </c>
      <c r="AI392" s="1074"/>
      <c r="AJ392" s="1072"/>
      <c r="AL392" s="1073"/>
      <c r="AM392" s="891">
        <f t="shared" ref="AM392:AP392" si="1240">AM47</f>
        <v>708735.65050650423</v>
      </c>
      <c r="AN392" s="891">
        <f t="shared" si="1240"/>
        <v>708735.65050650423</v>
      </c>
      <c r="AO392" s="891">
        <f t="shared" si="1240"/>
        <v>0</v>
      </c>
      <c r="AP392" s="891">
        <f t="shared" si="1240"/>
        <v>0</v>
      </c>
      <c r="AQ392" s="1074"/>
      <c r="AR392" s="1072"/>
      <c r="AT392" s="1073"/>
      <c r="AU392" s="891">
        <f t="shared" ref="AU392:AX392" si="1241">AU47</f>
        <v>708735.65050650423</v>
      </c>
      <c r="AV392" s="891">
        <f t="shared" si="1241"/>
        <v>708735.65050650423</v>
      </c>
      <c r="AW392" s="891">
        <f t="shared" si="1241"/>
        <v>0</v>
      </c>
      <c r="AX392" s="891">
        <f t="shared" si="1241"/>
        <v>0</v>
      </c>
      <c r="AY392" s="1074"/>
      <c r="AZ392" s="1072"/>
      <c r="BB392" s="1073"/>
      <c r="BC392" s="891">
        <f t="shared" ref="BC392:BF392" si="1242">BC47</f>
        <v>708735.65050650423</v>
      </c>
      <c r="BD392" s="891">
        <f t="shared" si="1242"/>
        <v>708735.65050650423</v>
      </c>
      <c r="BE392" s="891">
        <f t="shared" si="1242"/>
        <v>0</v>
      </c>
      <c r="BF392" s="891">
        <f t="shared" si="1242"/>
        <v>0</v>
      </c>
      <c r="BG392" s="1074"/>
      <c r="BH392" s="1072"/>
      <c r="BJ392" s="1073"/>
      <c r="BK392" s="891">
        <f t="shared" ref="BK392:BN392" si="1243">BK47</f>
        <v>708735.65050650423</v>
      </c>
      <c r="BL392" s="891">
        <f t="shared" si="1243"/>
        <v>708735.65050650423</v>
      </c>
      <c r="BM392" s="891">
        <f t="shared" si="1243"/>
        <v>0</v>
      </c>
      <c r="BN392" s="891">
        <f t="shared" si="1243"/>
        <v>0</v>
      </c>
      <c r="BO392" s="1074"/>
      <c r="BP392" s="1072"/>
      <c r="BR392" s="1073"/>
      <c r="BS392" s="891">
        <f t="shared" ref="BS392:BV392" si="1244">BS47</f>
        <v>708735.65050650423</v>
      </c>
      <c r="BT392" s="891">
        <f t="shared" si="1244"/>
        <v>708735.65050650423</v>
      </c>
      <c r="BU392" s="891">
        <f t="shared" si="1244"/>
        <v>0</v>
      </c>
      <c r="BV392" s="891">
        <f t="shared" si="1244"/>
        <v>0</v>
      </c>
      <c r="BW392" s="1074"/>
      <c r="BX392" s="1072"/>
      <c r="BZ392" s="1073"/>
      <c r="CA392" s="891">
        <f t="shared" ref="CA392:CD392" si="1245">CA47</f>
        <v>708735.65050650423</v>
      </c>
      <c r="CB392" s="891">
        <f t="shared" si="1245"/>
        <v>708735.65050650423</v>
      </c>
      <c r="CC392" s="891">
        <f t="shared" si="1245"/>
        <v>0</v>
      </c>
      <c r="CD392" s="891">
        <f t="shared" si="1245"/>
        <v>0</v>
      </c>
      <c r="CE392" s="1074"/>
      <c r="CF392" s="1072"/>
      <c r="CH392" s="1073"/>
      <c r="CI392" s="891">
        <f t="shared" ref="CI392:CL392" si="1246">CI47</f>
        <v>708735.65050650423</v>
      </c>
      <c r="CJ392" s="891">
        <f t="shared" si="1246"/>
        <v>708735.65050650423</v>
      </c>
      <c r="CK392" s="891">
        <f t="shared" si="1246"/>
        <v>0</v>
      </c>
      <c r="CL392" s="891">
        <f t="shared" si="1246"/>
        <v>0</v>
      </c>
      <c r="CM392" s="1074"/>
      <c r="CN392" s="1072"/>
      <c r="CP392" s="1073"/>
      <c r="CQ392" s="891">
        <f t="shared" ref="CQ392:CT392" si="1247">CQ47</f>
        <v>708735.65050650423</v>
      </c>
      <c r="CR392" s="891">
        <f t="shared" si="1247"/>
        <v>708735.65050650423</v>
      </c>
      <c r="CS392" s="891">
        <f t="shared" si="1247"/>
        <v>0</v>
      </c>
      <c r="CT392" s="891">
        <f t="shared" si="1247"/>
        <v>0</v>
      </c>
      <c r="CU392" s="1074"/>
      <c r="CV392" s="1072"/>
      <c r="CX392" s="1073"/>
      <c r="CY392" s="891">
        <f t="shared" ref="CY392:DB392" si="1248">CY47</f>
        <v>708735.65050650423</v>
      </c>
      <c r="CZ392" s="891">
        <f t="shared" si="1248"/>
        <v>708735.65050650423</v>
      </c>
      <c r="DA392" s="891">
        <f t="shared" si="1248"/>
        <v>0</v>
      </c>
      <c r="DB392" s="891">
        <f t="shared" si="1248"/>
        <v>0</v>
      </c>
      <c r="DC392" s="1074"/>
      <c r="DD392" s="1072"/>
      <c r="DF392" s="1073"/>
      <c r="DG392" s="891">
        <f t="shared" ref="DG392:DJ392" si="1249">DG47</f>
        <v>708735.65050650423</v>
      </c>
      <c r="DH392" s="891">
        <f t="shared" si="1249"/>
        <v>708735.65050650423</v>
      </c>
      <c r="DI392" s="891">
        <f t="shared" si="1249"/>
        <v>0</v>
      </c>
      <c r="DJ392" s="891">
        <f t="shared" si="1249"/>
        <v>0</v>
      </c>
      <c r="DK392" s="1074"/>
      <c r="DL392" s="1072"/>
      <c r="DN392" s="1073"/>
      <c r="DO392" s="891">
        <f t="shared" ref="DO392:DR392" si="1250">DO47</f>
        <v>708735.65050650423</v>
      </c>
      <c r="DP392" s="891">
        <f t="shared" si="1250"/>
        <v>708735.65050650423</v>
      </c>
      <c r="DQ392" s="891">
        <f t="shared" si="1250"/>
        <v>0</v>
      </c>
      <c r="DR392" s="891">
        <f t="shared" si="1250"/>
        <v>0</v>
      </c>
      <c r="DS392" s="1074"/>
      <c r="DT392" s="1072"/>
      <c r="DV392" s="1073"/>
      <c r="DW392" s="891">
        <f t="shared" ref="DW392:DZ392" si="1251">DW47</f>
        <v>708735.65050650423</v>
      </c>
      <c r="DX392" s="891">
        <f t="shared" si="1251"/>
        <v>708735.65050650423</v>
      </c>
      <c r="DY392" s="891">
        <f t="shared" si="1251"/>
        <v>0</v>
      </c>
      <c r="DZ392" s="891">
        <f t="shared" si="1251"/>
        <v>0</v>
      </c>
      <c r="EA392" s="1074"/>
      <c r="EB392" s="1072"/>
      <c r="ED392" s="1073"/>
      <c r="EE392" s="891">
        <f t="shared" ref="EE392:EH392" si="1252">EE47</f>
        <v>708735.65050650423</v>
      </c>
      <c r="EF392" s="891">
        <f t="shared" si="1252"/>
        <v>708735.65050650423</v>
      </c>
      <c r="EG392" s="891">
        <f t="shared" si="1252"/>
        <v>0</v>
      </c>
      <c r="EH392" s="891">
        <f t="shared" si="1252"/>
        <v>0</v>
      </c>
      <c r="EI392" s="1074"/>
      <c r="EJ392" s="1072"/>
      <c r="EL392" s="1073"/>
      <c r="EM392" s="891">
        <f t="shared" ref="EM392:EP392" si="1253">EM47</f>
        <v>708735.65050650423</v>
      </c>
      <c r="EN392" s="891">
        <f t="shared" si="1253"/>
        <v>708735.65050650423</v>
      </c>
      <c r="EO392" s="891">
        <f t="shared" si="1253"/>
        <v>0</v>
      </c>
      <c r="EP392" s="891">
        <f t="shared" si="1253"/>
        <v>0</v>
      </c>
      <c r="EQ392" s="1074"/>
      <c r="ER392" s="1072"/>
      <c r="ET392" s="1073"/>
      <c r="EU392" s="891">
        <f t="shared" ref="EU392:EX392" si="1254">EU47</f>
        <v>708735.65050650423</v>
      </c>
      <c r="EV392" s="891">
        <f t="shared" si="1254"/>
        <v>708735.65050650423</v>
      </c>
      <c r="EW392" s="891">
        <f t="shared" si="1254"/>
        <v>0</v>
      </c>
      <c r="EX392" s="891">
        <f t="shared" si="1254"/>
        <v>0</v>
      </c>
      <c r="EY392" s="1074"/>
      <c r="EZ392" s="1072"/>
      <c r="FB392" s="1073"/>
      <c r="FC392" s="891">
        <f t="shared" ref="FC392:FF392" si="1255">FC47</f>
        <v>708735.65050650423</v>
      </c>
      <c r="FD392" s="891">
        <f t="shared" si="1255"/>
        <v>708735.65050650423</v>
      </c>
      <c r="FE392" s="891">
        <f t="shared" si="1255"/>
        <v>0</v>
      </c>
      <c r="FF392" s="891">
        <f t="shared" si="1255"/>
        <v>0</v>
      </c>
      <c r="FG392" s="1074"/>
      <c r="FH392" s="1072"/>
      <c r="FJ392" s="1073"/>
      <c r="FK392" s="891">
        <f t="shared" ref="FK392:FN392" si="1256">FK47</f>
        <v>708735.65050650423</v>
      </c>
      <c r="FL392" s="891">
        <f t="shared" si="1256"/>
        <v>708735.65050650423</v>
      </c>
      <c r="FM392" s="891">
        <f t="shared" si="1256"/>
        <v>0</v>
      </c>
      <c r="FN392" s="891">
        <f t="shared" si="1256"/>
        <v>0</v>
      </c>
      <c r="FO392" s="1074"/>
    </row>
    <row r="393" spans="2:171" x14ac:dyDescent="0.25">
      <c r="B393" s="108"/>
      <c r="C393" s="108" t="s">
        <v>442</v>
      </c>
      <c r="D393" s="1072"/>
      <c r="E393" s="905" t="str">
        <f t="shared" si="1034"/>
        <v>PTD</v>
      </c>
      <c r="G393" s="891">
        <f t="shared" si="1035"/>
        <v>15896.576261311178</v>
      </c>
      <c r="H393" s="891">
        <f t="shared" si="1035"/>
        <v>6997.6115697871464</v>
      </c>
      <c r="I393" s="891">
        <f t="shared" si="1035"/>
        <v>0</v>
      </c>
      <c r="J393" s="891">
        <f t="shared" si="1035"/>
        <v>8898.9646915240301</v>
      </c>
      <c r="K393" s="1074">
        <f t="shared" si="1036"/>
        <v>1</v>
      </c>
      <c r="L393" s="1072"/>
      <c r="N393" s="1073"/>
      <c r="O393" s="891">
        <f t="shared" ref="O393:R393" si="1257">O48</f>
        <v>15896.576261311178</v>
      </c>
      <c r="P393" s="891">
        <f t="shared" si="1257"/>
        <v>6997.6115697871464</v>
      </c>
      <c r="Q393" s="891">
        <f t="shared" si="1257"/>
        <v>4131.3981818266629</v>
      </c>
      <c r="R393" s="891">
        <f t="shared" si="1257"/>
        <v>4767.5665096973671</v>
      </c>
      <c r="S393" s="1074"/>
      <c r="T393" s="1072"/>
      <c r="V393" s="1073"/>
      <c r="W393" s="891">
        <f t="shared" ref="W393:Z393" si="1258">W48</f>
        <v>15896.576261311178</v>
      </c>
      <c r="X393" s="891">
        <f t="shared" si="1258"/>
        <v>6997.6115697871464</v>
      </c>
      <c r="Y393" s="891">
        <f t="shared" si="1258"/>
        <v>4131.3981818266629</v>
      </c>
      <c r="Z393" s="891">
        <f t="shared" si="1258"/>
        <v>4767.5665096973671</v>
      </c>
      <c r="AA393" s="1074"/>
      <c r="AB393" s="1072"/>
      <c r="AD393" s="1073"/>
      <c r="AE393" s="891">
        <f t="shared" ref="AE393:AH393" si="1259">AE48</f>
        <v>15896.576261311178</v>
      </c>
      <c r="AF393" s="891">
        <f t="shared" si="1259"/>
        <v>6997.6115697871464</v>
      </c>
      <c r="AG393" s="891">
        <f t="shared" si="1259"/>
        <v>4131.3981818266629</v>
      </c>
      <c r="AH393" s="891">
        <f t="shared" si="1259"/>
        <v>4767.5665096973671</v>
      </c>
      <c r="AI393" s="1074"/>
      <c r="AJ393" s="1072"/>
      <c r="AL393" s="1073"/>
      <c r="AM393" s="891">
        <f t="shared" ref="AM393:AP393" si="1260">AM48</f>
        <v>15896.576261311178</v>
      </c>
      <c r="AN393" s="891">
        <f t="shared" si="1260"/>
        <v>6997.6115697871464</v>
      </c>
      <c r="AO393" s="891">
        <f t="shared" si="1260"/>
        <v>4131.3981818266629</v>
      </c>
      <c r="AP393" s="891">
        <f t="shared" si="1260"/>
        <v>4767.5665096973671</v>
      </c>
      <c r="AQ393" s="1074"/>
      <c r="AR393" s="1072"/>
      <c r="AT393" s="1073"/>
      <c r="AU393" s="891">
        <f t="shared" ref="AU393:AX393" si="1261">AU48</f>
        <v>15896.576261311178</v>
      </c>
      <c r="AV393" s="891">
        <f t="shared" si="1261"/>
        <v>6997.6115697871464</v>
      </c>
      <c r="AW393" s="891">
        <f t="shared" si="1261"/>
        <v>4131.3981818266629</v>
      </c>
      <c r="AX393" s="891">
        <f t="shared" si="1261"/>
        <v>4767.5665096973671</v>
      </c>
      <c r="AY393" s="1074"/>
      <c r="AZ393" s="1072"/>
      <c r="BB393" s="1073"/>
      <c r="BC393" s="891">
        <f t="shared" ref="BC393:BF393" si="1262">BC48</f>
        <v>15896.576261311178</v>
      </c>
      <c r="BD393" s="891">
        <f t="shared" si="1262"/>
        <v>6997.6115697871464</v>
      </c>
      <c r="BE393" s="891">
        <f t="shared" si="1262"/>
        <v>4131.3981818266629</v>
      </c>
      <c r="BF393" s="891">
        <f t="shared" si="1262"/>
        <v>4767.5665096973671</v>
      </c>
      <c r="BG393" s="1074"/>
      <c r="BH393" s="1072"/>
      <c r="BJ393" s="1073"/>
      <c r="BK393" s="891">
        <f t="shared" ref="BK393:BN393" si="1263">BK48</f>
        <v>15896.576261311178</v>
      </c>
      <c r="BL393" s="891">
        <f t="shared" si="1263"/>
        <v>6997.6115697871464</v>
      </c>
      <c r="BM393" s="891">
        <f t="shared" si="1263"/>
        <v>4131.3981818266629</v>
      </c>
      <c r="BN393" s="891">
        <f t="shared" si="1263"/>
        <v>4767.5665096973671</v>
      </c>
      <c r="BO393" s="1074"/>
      <c r="BP393" s="1072"/>
      <c r="BR393" s="1073"/>
      <c r="BS393" s="891">
        <f t="shared" ref="BS393:BV393" si="1264">BS48</f>
        <v>15896.576261311178</v>
      </c>
      <c r="BT393" s="891">
        <f t="shared" si="1264"/>
        <v>6997.6115697871464</v>
      </c>
      <c r="BU393" s="891">
        <f t="shared" si="1264"/>
        <v>4131.3981818266629</v>
      </c>
      <c r="BV393" s="891">
        <f t="shared" si="1264"/>
        <v>4767.5665096973671</v>
      </c>
      <c r="BW393" s="1074"/>
      <c r="BX393" s="1072"/>
      <c r="BZ393" s="1073"/>
      <c r="CA393" s="891">
        <f t="shared" ref="CA393:CD393" si="1265">CA48</f>
        <v>15896.576261311178</v>
      </c>
      <c r="CB393" s="891">
        <f t="shared" si="1265"/>
        <v>6997.6115697871464</v>
      </c>
      <c r="CC393" s="891">
        <f t="shared" si="1265"/>
        <v>4131.3981818266629</v>
      </c>
      <c r="CD393" s="891">
        <f t="shared" si="1265"/>
        <v>4767.5665096973671</v>
      </c>
      <c r="CE393" s="1074"/>
      <c r="CF393" s="1072"/>
      <c r="CH393" s="1073"/>
      <c r="CI393" s="891">
        <f t="shared" ref="CI393:CL393" si="1266">CI48</f>
        <v>15896.576261311178</v>
      </c>
      <c r="CJ393" s="891">
        <f t="shared" si="1266"/>
        <v>6997.6115697871464</v>
      </c>
      <c r="CK393" s="891">
        <f t="shared" si="1266"/>
        <v>4131.3981818266629</v>
      </c>
      <c r="CL393" s="891">
        <f t="shared" si="1266"/>
        <v>4767.5665096973671</v>
      </c>
      <c r="CM393" s="1074"/>
      <c r="CN393" s="1072"/>
      <c r="CP393" s="1073"/>
      <c r="CQ393" s="891">
        <f t="shared" ref="CQ393:CT393" si="1267">CQ48</f>
        <v>15896.576261311178</v>
      </c>
      <c r="CR393" s="891">
        <f t="shared" si="1267"/>
        <v>6997.6115697871464</v>
      </c>
      <c r="CS393" s="891">
        <f t="shared" si="1267"/>
        <v>4131.3981818266629</v>
      </c>
      <c r="CT393" s="891">
        <f t="shared" si="1267"/>
        <v>4767.5665096973671</v>
      </c>
      <c r="CU393" s="1074"/>
      <c r="CV393" s="1072"/>
      <c r="CX393" s="1073"/>
      <c r="CY393" s="891">
        <f t="shared" ref="CY393:DB393" si="1268">CY48</f>
        <v>15896.576261311178</v>
      </c>
      <c r="CZ393" s="891">
        <f t="shared" si="1268"/>
        <v>6997.6115697871464</v>
      </c>
      <c r="DA393" s="891">
        <f t="shared" si="1268"/>
        <v>4131.3981818266629</v>
      </c>
      <c r="DB393" s="891">
        <f t="shared" si="1268"/>
        <v>4767.5665096973671</v>
      </c>
      <c r="DC393" s="1074"/>
      <c r="DD393" s="1072"/>
      <c r="DF393" s="1073"/>
      <c r="DG393" s="891">
        <f t="shared" ref="DG393:DJ393" si="1269">DG48</f>
        <v>15896.576261311178</v>
      </c>
      <c r="DH393" s="891">
        <f t="shared" si="1269"/>
        <v>6997.6115697871464</v>
      </c>
      <c r="DI393" s="891">
        <f t="shared" si="1269"/>
        <v>4131.3981818266629</v>
      </c>
      <c r="DJ393" s="891">
        <f t="shared" si="1269"/>
        <v>4767.5665096973671</v>
      </c>
      <c r="DK393" s="1074"/>
      <c r="DL393" s="1072"/>
      <c r="DN393" s="1073"/>
      <c r="DO393" s="891">
        <f t="shared" ref="DO393:DR393" si="1270">DO48</f>
        <v>15896.576261311178</v>
      </c>
      <c r="DP393" s="891">
        <f t="shared" si="1270"/>
        <v>6997.6115697871464</v>
      </c>
      <c r="DQ393" s="891">
        <f t="shared" si="1270"/>
        <v>4131.3981818266629</v>
      </c>
      <c r="DR393" s="891">
        <f t="shared" si="1270"/>
        <v>4767.5665096973671</v>
      </c>
      <c r="DS393" s="1074"/>
      <c r="DT393" s="1072"/>
      <c r="DV393" s="1073"/>
      <c r="DW393" s="891">
        <f t="shared" ref="DW393:DZ393" si="1271">DW48</f>
        <v>15896.576261311178</v>
      </c>
      <c r="DX393" s="891">
        <f t="shared" si="1271"/>
        <v>6997.6115697871464</v>
      </c>
      <c r="DY393" s="891">
        <f t="shared" si="1271"/>
        <v>4131.3981818266629</v>
      </c>
      <c r="DZ393" s="891">
        <f t="shared" si="1271"/>
        <v>4767.5665096973671</v>
      </c>
      <c r="EA393" s="1074"/>
      <c r="EB393" s="1072"/>
      <c r="ED393" s="1073"/>
      <c r="EE393" s="891">
        <f t="shared" ref="EE393:EH393" si="1272">EE48</f>
        <v>15896.576261311178</v>
      </c>
      <c r="EF393" s="891">
        <f t="shared" si="1272"/>
        <v>6997.6115697871464</v>
      </c>
      <c r="EG393" s="891">
        <f t="shared" si="1272"/>
        <v>4131.3981818266629</v>
      </c>
      <c r="EH393" s="891">
        <f t="shared" si="1272"/>
        <v>4767.5665096973671</v>
      </c>
      <c r="EI393" s="1074"/>
      <c r="EJ393" s="1072"/>
      <c r="EL393" s="1073"/>
      <c r="EM393" s="891">
        <f t="shared" ref="EM393:EP393" si="1273">EM48</f>
        <v>15896.576261311178</v>
      </c>
      <c r="EN393" s="891">
        <f t="shared" si="1273"/>
        <v>6997.6115697871464</v>
      </c>
      <c r="EO393" s="891">
        <f t="shared" si="1273"/>
        <v>4131.3981818266629</v>
      </c>
      <c r="EP393" s="891">
        <f t="shared" si="1273"/>
        <v>4767.5665096973671</v>
      </c>
      <c r="EQ393" s="1074"/>
      <c r="ER393" s="1072"/>
      <c r="ET393" s="1073"/>
      <c r="EU393" s="891">
        <f t="shared" ref="EU393:EX393" si="1274">EU48</f>
        <v>15896.576261311178</v>
      </c>
      <c r="EV393" s="891">
        <f t="shared" si="1274"/>
        <v>6997.6115697871464</v>
      </c>
      <c r="EW393" s="891">
        <f t="shared" si="1274"/>
        <v>4131.3981818266629</v>
      </c>
      <c r="EX393" s="891">
        <f t="shared" si="1274"/>
        <v>4767.5665096973671</v>
      </c>
      <c r="EY393" s="1074"/>
      <c r="EZ393" s="1072"/>
      <c r="FB393" s="1073"/>
      <c r="FC393" s="891">
        <f t="shared" ref="FC393:FF393" si="1275">FC48</f>
        <v>15896.576261311178</v>
      </c>
      <c r="FD393" s="891">
        <f t="shared" si="1275"/>
        <v>6997.6115697871464</v>
      </c>
      <c r="FE393" s="891">
        <f t="shared" si="1275"/>
        <v>4131.3981818266629</v>
      </c>
      <c r="FF393" s="891">
        <f t="shared" si="1275"/>
        <v>4767.5665096973671</v>
      </c>
      <c r="FG393" s="1074"/>
      <c r="FH393" s="1072"/>
      <c r="FJ393" s="1073"/>
      <c r="FK393" s="891">
        <f t="shared" ref="FK393:FN393" si="1276">FK48</f>
        <v>15896.576261311178</v>
      </c>
      <c r="FL393" s="891">
        <f t="shared" si="1276"/>
        <v>6997.6115697871464</v>
      </c>
      <c r="FM393" s="891">
        <f t="shared" si="1276"/>
        <v>4131.3981818266629</v>
      </c>
      <c r="FN393" s="891">
        <f t="shared" si="1276"/>
        <v>4767.5665096973671</v>
      </c>
      <c r="FO393" s="1074"/>
    </row>
    <row r="394" spans="2:171" x14ac:dyDescent="0.25">
      <c r="B394" s="108"/>
      <c r="C394" s="108" t="s">
        <v>523</v>
      </c>
      <c r="D394" s="1072"/>
      <c r="E394" s="1073"/>
      <c r="F394" s="1073"/>
      <c r="G394" s="1634">
        <f>SUM(G382:G393)</f>
        <v>648847990.51759219</v>
      </c>
      <c r="H394" s="1634">
        <f>SUM(H382:H393)</f>
        <v>208013093.03974915</v>
      </c>
      <c r="I394" s="1634">
        <f>SUM(I382:I393)</f>
        <v>0</v>
      </c>
      <c r="J394" s="1634">
        <f>SUM(J382:J393)</f>
        <v>440834897.47784311</v>
      </c>
      <c r="K394" s="1074"/>
      <c r="L394" s="1072"/>
      <c r="M394" s="1073"/>
      <c r="N394" s="1073"/>
      <c r="O394" s="1634">
        <f>SUM(O382:O393)</f>
        <v>648847990.51759219</v>
      </c>
      <c r="P394" s="1634">
        <f>SUM(P382:P393)</f>
        <v>208013093.03974912</v>
      </c>
      <c r="Q394" s="1634">
        <f>SUM(Q382:Q393)</f>
        <v>195228616.65315571</v>
      </c>
      <c r="R394" s="1634">
        <f>SUM(R382:R393)</f>
        <v>245606280.82468733</v>
      </c>
      <c r="S394" s="1074"/>
      <c r="T394" s="1072"/>
      <c r="U394" s="1073"/>
      <c r="V394" s="1073"/>
      <c r="W394" s="1634">
        <f>SUM(W382:W393)</f>
        <v>648847990.51759219</v>
      </c>
      <c r="X394" s="1634">
        <f>SUM(X382:X393)</f>
        <v>208013093.03974912</v>
      </c>
      <c r="Y394" s="1634">
        <f>SUM(Y382:Y393)</f>
        <v>195228616.65315571</v>
      </c>
      <c r="Z394" s="1634">
        <f>SUM(Z382:Z393)</f>
        <v>245606280.82468733</v>
      </c>
      <c r="AA394" s="1074"/>
      <c r="AB394" s="1072"/>
      <c r="AC394" s="1073"/>
      <c r="AD394" s="1073"/>
      <c r="AE394" s="1634">
        <f>SUM(AE382:AE393)</f>
        <v>648847990.51759219</v>
      </c>
      <c r="AF394" s="1634">
        <f>SUM(AF382:AF393)</f>
        <v>208013093.03974912</v>
      </c>
      <c r="AG394" s="1634">
        <f>SUM(AG382:AG393)</f>
        <v>195228616.65315571</v>
      </c>
      <c r="AH394" s="1634">
        <f>SUM(AH382:AH393)</f>
        <v>245606280.82468733</v>
      </c>
      <c r="AI394" s="1074"/>
      <c r="AJ394" s="1072"/>
      <c r="AK394" s="1073"/>
      <c r="AL394" s="1073"/>
      <c r="AM394" s="1634">
        <f>SUM(AM382:AM393)</f>
        <v>648847990.51759219</v>
      </c>
      <c r="AN394" s="1634">
        <f>SUM(AN382:AN393)</f>
        <v>208013093.03974912</v>
      </c>
      <c r="AO394" s="1634">
        <f>SUM(AO382:AO393)</f>
        <v>195228616.65315571</v>
      </c>
      <c r="AP394" s="1634">
        <f>SUM(AP382:AP393)</f>
        <v>245606280.82468733</v>
      </c>
      <c r="AQ394" s="1074"/>
      <c r="AR394" s="1072"/>
      <c r="AS394" s="1073"/>
      <c r="AT394" s="1073"/>
      <c r="AU394" s="1634">
        <f>SUM(AU382:AU393)</f>
        <v>648847990.51759219</v>
      </c>
      <c r="AV394" s="1634">
        <f>SUM(AV382:AV393)</f>
        <v>208013093.03974912</v>
      </c>
      <c r="AW394" s="1634">
        <f>SUM(AW382:AW393)</f>
        <v>195228616.65315571</v>
      </c>
      <c r="AX394" s="1634">
        <f>SUM(AX382:AX393)</f>
        <v>245606280.82468733</v>
      </c>
      <c r="AY394" s="1074"/>
      <c r="AZ394" s="1072"/>
      <c r="BA394" s="1073"/>
      <c r="BB394" s="1073"/>
      <c r="BC394" s="1634">
        <f>SUM(BC382:BC393)</f>
        <v>648847990.51759219</v>
      </c>
      <c r="BD394" s="1634">
        <f>SUM(BD382:BD393)</f>
        <v>208013093.03974912</v>
      </c>
      <c r="BE394" s="1634">
        <f>SUM(BE382:BE393)</f>
        <v>195228616.65315571</v>
      </c>
      <c r="BF394" s="1634">
        <f>SUM(BF382:BF393)</f>
        <v>245606280.82468733</v>
      </c>
      <c r="BG394" s="1074"/>
      <c r="BH394" s="1072"/>
      <c r="BI394" s="1073"/>
      <c r="BJ394" s="1073"/>
      <c r="BK394" s="1634">
        <f>SUM(BK382:BK393)</f>
        <v>648847990.51759219</v>
      </c>
      <c r="BL394" s="1634">
        <f>SUM(BL382:BL393)</f>
        <v>208013093.03974912</v>
      </c>
      <c r="BM394" s="1634">
        <f>SUM(BM382:BM393)</f>
        <v>195228616.65315571</v>
      </c>
      <c r="BN394" s="1634">
        <f>SUM(BN382:BN393)</f>
        <v>245606280.82468733</v>
      </c>
      <c r="BO394" s="1074"/>
      <c r="BP394" s="1072"/>
      <c r="BQ394" s="1073"/>
      <c r="BR394" s="1073"/>
      <c r="BS394" s="1634">
        <f>SUM(BS382:BS393)</f>
        <v>648847990.51759219</v>
      </c>
      <c r="BT394" s="1634">
        <f>SUM(BT382:BT393)</f>
        <v>208013093.03974912</v>
      </c>
      <c r="BU394" s="1634">
        <f>SUM(BU382:BU393)</f>
        <v>195228616.65315571</v>
      </c>
      <c r="BV394" s="1634">
        <f>SUM(BV382:BV393)</f>
        <v>245606280.82468733</v>
      </c>
      <c r="BW394" s="1074"/>
      <c r="BX394" s="1072"/>
      <c r="BY394" s="1073"/>
      <c r="BZ394" s="1073"/>
      <c r="CA394" s="1634">
        <f>SUM(CA382:CA393)</f>
        <v>648847990.51759219</v>
      </c>
      <c r="CB394" s="1634">
        <f>SUM(CB382:CB393)</f>
        <v>208013093.03974912</v>
      </c>
      <c r="CC394" s="1634">
        <f>SUM(CC382:CC393)</f>
        <v>195228616.65315571</v>
      </c>
      <c r="CD394" s="1634">
        <f>SUM(CD382:CD393)</f>
        <v>245606280.82468733</v>
      </c>
      <c r="CE394" s="1074"/>
      <c r="CF394" s="1072"/>
      <c r="CG394" s="1073"/>
      <c r="CH394" s="1073"/>
      <c r="CI394" s="1634">
        <f>SUM(CI382:CI393)</f>
        <v>648847990.51759219</v>
      </c>
      <c r="CJ394" s="1634">
        <f>SUM(CJ382:CJ393)</f>
        <v>208013093.03974912</v>
      </c>
      <c r="CK394" s="1634">
        <f>SUM(CK382:CK393)</f>
        <v>195228616.65315571</v>
      </c>
      <c r="CL394" s="1634">
        <f>SUM(CL382:CL393)</f>
        <v>245606280.82468733</v>
      </c>
      <c r="CM394" s="1074"/>
      <c r="CN394" s="1072"/>
      <c r="CO394" s="1073"/>
      <c r="CP394" s="1073"/>
      <c r="CQ394" s="1634">
        <f>SUM(CQ382:CQ393)</f>
        <v>648847990.51759219</v>
      </c>
      <c r="CR394" s="1634">
        <f>SUM(CR382:CR393)</f>
        <v>208013093.03974912</v>
      </c>
      <c r="CS394" s="1634">
        <f>SUM(CS382:CS393)</f>
        <v>195228616.65315571</v>
      </c>
      <c r="CT394" s="1634">
        <f>SUM(CT382:CT393)</f>
        <v>245606280.82468733</v>
      </c>
      <c r="CU394" s="1074"/>
      <c r="CV394" s="1072"/>
      <c r="CW394" s="1073"/>
      <c r="CX394" s="1073"/>
      <c r="CY394" s="1634">
        <f>SUM(CY382:CY393)</f>
        <v>648847990.51759219</v>
      </c>
      <c r="CZ394" s="1634">
        <f>SUM(CZ382:CZ393)</f>
        <v>208013093.03974912</v>
      </c>
      <c r="DA394" s="1634">
        <f>SUM(DA382:DA393)</f>
        <v>195228616.65315571</v>
      </c>
      <c r="DB394" s="1634">
        <f>SUM(DB382:DB393)</f>
        <v>245606280.82468733</v>
      </c>
      <c r="DC394" s="1074"/>
      <c r="DD394" s="1072"/>
      <c r="DE394" s="1073"/>
      <c r="DF394" s="1073"/>
      <c r="DG394" s="1634">
        <f>SUM(DG382:DG393)</f>
        <v>648847990.51759219</v>
      </c>
      <c r="DH394" s="1634">
        <f>SUM(DH382:DH393)</f>
        <v>208013093.03974912</v>
      </c>
      <c r="DI394" s="1634">
        <f>SUM(DI382:DI393)</f>
        <v>195228616.65315571</v>
      </c>
      <c r="DJ394" s="1634">
        <f>SUM(DJ382:DJ393)</f>
        <v>245606280.82468733</v>
      </c>
      <c r="DK394" s="1074"/>
      <c r="DL394" s="1072"/>
      <c r="DM394" s="1073"/>
      <c r="DN394" s="1073"/>
      <c r="DO394" s="1634">
        <f>SUM(DO382:DO393)</f>
        <v>648847990.51759219</v>
      </c>
      <c r="DP394" s="1634">
        <f>SUM(DP382:DP393)</f>
        <v>208013093.03974912</v>
      </c>
      <c r="DQ394" s="1634">
        <f>SUM(DQ382:DQ393)</f>
        <v>195228616.65315571</v>
      </c>
      <c r="DR394" s="1634">
        <f>SUM(DR382:DR393)</f>
        <v>245606280.82468733</v>
      </c>
      <c r="DS394" s="1074"/>
      <c r="DT394" s="1072"/>
      <c r="DU394" s="1073"/>
      <c r="DV394" s="1073"/>
      <c r="DW394" s="1634">
        <f>SUM(DW382:DW393)</f>
        <v>648847990.51759219</v>
      </c>
      <c r="DX394" s="1634">
        <f>SUM(DX382:DX393)</f>
        <v>208013093.03974912</v>
      </c>
      <c r="DY394" s="1634">
        <f>SUM(DY382:DY393)</f>
        <v>195228616.65315571</v>
      </c>
      <c r="DZ394" s="1634">
        <f>SUM(DZ382:DZ393)</f>
        <v>245606280.82468733</v>
      </c>
      <c r="EA394" s="1074"/>
      <c r="EB394" s="1072"/>
      <c r="EC394" s="1073"/>
      <c r="ED394" s="1073"/>
      <c r="EE394" s="1634">
        <f>SUM(EE382:EE393)</f>
        <v>648847990.51759219</v>
      </c>
      <c r="EF394" s="1634">
        <f>SUM(EF382:EF393)</f>
        <v>208013093.03974912</v>
      </c>
      <c r="EG394" s="1634">
        <f>SUM(EG382:EG393)</f>
        <v>195228616.65315571</v>
      </c>
      <c r="EH394" s="1634">
        <f>SUM(EH382:EH393)</f>
        <v>245606280.82468733</v>
      </c>
      <c r="EI394" s="1074"/>
      <c r="EJ394" s="1072"/>
      <c r="EK394" s="1073"/>
      <c r="EL394" s="1073"/>
      <c r="EM394" s="1634">
        <f>SUM(EM382:EM393)</f>
        <v>648847990.51759219</v>
      </c>
      <c r="EN394" s="1634">
        <f>SUM(EN382:EN393)</f>
        <v>208013093.03974912</v>
      </c>
      <c r="EO394" s="1634">
        <f>SUM(EO382:EO393)</f>
        <v>195228616.65315571</v>
      </c>
      <c r="EP394" s="1634">
        <f>SUM(EP382:EP393)</f>
        <v>245606280.82468733</v>
      </c>
      <c r="EQ394" s="1074"/>
      <c r="ER394" s="1072"/>
      <c r="ES394" s="1073"/>
      <c r="ET394" s="1073"/>
      <c r="EU394" s="1634">
        <f>SUM(EU382:EU393)</f>
        <v>648847990.51759219</v>
      </c>
      <c r="EV394" s="1634">
        <f>SUM(EV382:EV393)</f>
        <v>208013093.03974912</v>
      </c>
      <c r="EW394" s="1634">
        <f>SUM(EW382:EW393)</f>
        <v>195228616.65315571</v>
      </c>
      <c r="EX394" s="1634">
        <f>SUM(EX382:EX393)</f>
        <v>245606280.82468733</v>
      </c>
      <c r="EY394" s="1074"/>
      <c r="EZ394" s="1072"/>
      <c r="FA394" s="1073"/>
      <c r="FB394" s="1073"/>
      <c r="FC394" s="1634">
        <f>SUM(FC382:FC393)</f>
        <v>648847990.51759219</v>
      </c>
      <c r="FD394" s="1634">
        <f>SUM(FD382:FD393)</f>
        <v>208013093.03974912</v>
      </c>
      <c r="FE394" s="1634">
        <f>SUM(FE382:FE393)</f>
        <v>195228616.65315571</v>
      </c>
      <c r="FF394" s="1634">
        <f>SUM(FF382:FF393)</f>
        <v>245606280.82468733</v>
      </c>
      <c r="FG394" s="1074"/>
      <c r="FH394" s="1072"/>
      <c r="FI394" s="1073"/>
      <c r="FJ394" s="1073"/>
      <c r="FK394" s="1634">
        <f>SUM(FK382:FK393)</f>
        <v>648847990.51759219</v>
      </c>
      <c r="FL394" s="1634">
        <f>SUM(FL382:FL393)</f>
        <v>208013093.03974912</v>
      </c>
      <c r="FM394" s="1634">
        <f>SUM(FM382:FM393)</f>
        <v>195228616.65315571</v>
      </c>
      <c r="FN394" s="1634">
        <f>SUM(FN382:FN393)</f>
        <v>245606280.82468733</v>
      </c>
      <c r="FO394" s="1074"/>
    </row>
    <row r="395" spans="2:171" x14ac:dyDescent="0.25">
      <c r="B395" s="123"/>
      <c r="C395" s="123" t="s">
        <v>524</v>
      </c>
      <c r="D395" s="1296" t="s">
        <v>640</v>
      </c>
      <c r="E395" s="1095"/>
      <c r="F395" s="1095"/>
      <c r="G395" s="1635">
        <f>H395+I395+J395</f>
        <v>1</v>
      </c>
      <c r="H395" s="1635">
        <f>H394/G394</f>
        <v>0.32058832897642964</v>
      </c>
      <c r="I395" s="1635">
        <f>I394/G394</f>
        <v>0</v>
      </c>
      <c r="J395" s="1635">
        <f>J394/G394</f>
        <v>0.67941167102357047</v>
      </c>
      <c r="K395" s="1074"/>
      <c r="L395" s="1075" t="s">
        <v>640</v>
      </c>
      <c r="M395" s="1095"/>
      <c r="N395" s="1095"/>
      <c r="O395" s="1635">
        <f>P395+Q395+R395</f>
        <v>1</v>
      </c>
      <c r="P395" s="1635">
        <f>P394/O394</f>
        <v>0.32058832897642958</v>
      </c>
      <c r="Q395" s="1635">
        <f>Q394/O394</f>
        <v>0.30088498308736378</v>
      </c>
      <c r="R395" s="1635">
        <f>R394/O394</f>
        <v>0.37852668793620659</v>
      </c>
      <c r="S395" s="1096"/>
      <c r="T395" s="1075" t="s">
        <v>640</v>
      </c>
      <c r="U395" s="1095"/>
      <c r="V395" s="1095"/>
      <c r="W395" s="1635">
        <f>X395+Y395+Z395</f>
        <v>1</v>
      </c>
      <c r="X395" s="1635">
        <f>X394/W394</f>
        <v>0.32058832897642958</v>
      </c>
      <c r="Y395" s="1635">
        <f>Y394/W394</f>
        <v>0.30088498308736378</v>
      </c>
      <c r="Z395" s="1635">
        <f>Z394/W394</f>
        <v>0.37852668793620659</v>
      </c>
      <c r="AA395" s="1096"/>
      <c r="AB395" s="1075" t="s">
        <v>640</v>
      </c>
      <c r="AC395" s="1095"/>
      <c r="AD395" s="1095"/>
      <c r="AE395" s="1635">
        <f>AF395+AG395+AH395</f>
        <v>1</v>
      </c>
      <c r="AF395" s="1635">
        <f>AF394/AE394</f>
        <v>0.32058832897642958</v>
      </c>
      <c r="AG395" s="1635">
        <f>AG394/AE394</f>
        <v>0.30088498308736378</v>
      </c>
      <c r="AH395" s="1635">
        <f>AH394/AE394</f>
        <v>0.37852668793620659</v>
      </c>
      <c r="AI395" s="1096"/>
      <c r="AJ395" s="1075" t="s">
        <v>640</v>
      </c>
      <c r="AK395" s="1095"/>
      <c r="AL395" s="1095"/>
      <c r="AM395" s="1635">
        <f>AN395+AO395+AP395</f>
        <v>1</v>
      </c>
      <c r="AN395" s="1635">
        <f>AN394/AM394</f>
        <v>0.32058832897642958</v>
      </c>
      <c r="AO395" s="1635">
        <f>AO394/AM394</f>
        <v>0.30088498308736378</v>
      </c>
      <c r="AP395" s="1635">
        <f>AP394/AM394</f>
        <v>0.37852668793620659</v>
      </c>
      <c r="AQ395" s="1096"/>
      <c r="AR395" s="1075" t="s">
        <v>640</v>
      </c>
      <c r="AS395" s="1095"/>
      <c r="AT395" s="1095"/>
      <c r="AU395" s="1635">
        <f>AV395+AW395+AX395</f>
        <v>1</v>
      </c>
      <c r="AV395" s="1635">
        <f>AV394/AU394</f>
        <v>0.32058832897642958</v>
      </c>
      <c r="AW395" s="1635">
        <f>AW394/AU394</f>
        <v>0.30088498308736378</v>
      </c>
      <c r="AX395" s="1635">
        <f>AX394/AU394</f>
        <v>0.37852668793620659</v>
      </c>
      <c r="AY395" s="1096"/>
      <c r="AZ395" s="1075" t="s">
        <v>640</v>
      </c>
      <c r="BA395" s="1095"/>
      <c r="BB395" s="1095"/>
      <c r="BC395" s="1635">
        <f>BD395+BE395+BF395</f>
        <v>1</v>
      </c>
      <c r="BD395" s="1635">
        <f>BD394/BC394</f>
        <v>0.32058832897642958</v>
      </c>
      <c r="BE395" s="1635">
        <f>BE394/BC394</f>
        <v>0.30088498308736378</v>
      </c>
      <c r="BF395" s="1635">
        <f>BF394/BC394</f>
        <v>0.37852668793620659</v>
      </c>
      <c r="BG395" s="1096"/>
      <c r="BH395" s="1075" t="s">
        <v>640</v>
      </c>
      <c r="BI395" s="1095"/>
      <c r="BJ395" s="1095"/>
      <c r="BK395" s="1635">
        <f>BL395+BM395+BN395</f>
        <v>1</v>
      </c>
      <c r="BL395" s="1635">
        <f>BL394/BK394</f>
        <v>0.32058832897642958</v>
      </c>
      <c r="BM395" s="1635">
        <f>BM394/BK394</f>
        <v>0.30088498308736378</v>
      </c>
      <c r="BN395" s="1635">
        <f>BN394/BK394</f>
        <v>0.37852668793620659</v>
      </c>
      <c r="BO395" s="1096"/>
      <c r="BP395" s="1075" t="s">
        <v>640</v>
      </c>
      <c r="BQ395" s="1095"/>
      <c r="BR395" s="1095"/>
      <c r="BS395" s="1635">
        <f>BT395+BU395+BV395</f>
        <v>1</v>
      </c>
      <c r="BT395" s="1635">
        <f>BT394/BS394</f>
        <v>0.32058832897642958</v>
      </c>
      <c r="BU395" s="1635">
        <f>BU394/BS394</f>
        <v>0.30088498308736378</v>
      </c>
      <c r="BV395" s="1635">
        <f>BV394/BS394</f>
        <v>0.37852668793620659</v>
      </c>
      <c r="BW395" s="1096"/>
      <c r="BX395" s="1075" t="s">
        <v>640</v>
      </c>
      <c r="BY395" s="1095"/>
      <c r="BZ395" s="1095"/>
      <c r="CA395" s="1635">
        <f>CB395+CC395+CD395</f>
        <v>1</v>
      </c>
      <c r="CB395" s="1635">
        <f>CB394/CA394</f>
        <v>0.32058832897642958</v>
      </c>
      <c r="CC395" s="1635">
        <f>CC394/CA394</f>
        <v>0.30088498308736378</v>
      </c>
      <c r="CD395" s="1635">
        <f>CD394/CA394</f>
        <v>0.37852668793620659</v>
      </c>
      <c r="CE395" s="1096"/>
      <c r="CF395" s="1075" t="s">
        <v>640</v>
      </c>
      <c r="CG395" s="1095"/>
      <c r="CH395" s="1095"/>
      <c r="CI395" s="1635">
        <f>CJ395+CK395+CL395</f>
        <v>1</v>
      </c>
      <c r="CJ395" s="1635">
        <f>CJ394/CI394</f>
        <v>0.32058832897642958</v>
      </c>
      <c r="CK395" s="1635">
        <f>CK394/CI394</f>
        <v>0.30088498308736378</v>
      </c>
      <c r="CL395" s="1635">
        <f>CL394/CI394</f>
        <v>0.37852668793620659</v>
      </c>
      <c r="CM395" s="1096"/>
      <c r="CN395" s="1075" t="s">
        <v>640</v>
      </c>
      <c r="CO395" s="1095"/>
      <c r="CP395" s="1095"/>
      <c r="CQ395" s="1635">
        <f>CR395+CS395+CT395</f>
        <v>1</v>
      </c>
      <c r="CR395" s="1635">
        <f>CR394/CQ394</f>
        <v>0.32058832897642958</v>
      </c>
      <c r="CS395" s="1635">
        <f>CS394/CQ394</f>
        <v>0.30088498308736378</v>
      </c>
      <c r="CT395" s="1635">
        <f>CT394/CQ394</f>
        <v>0.37852668793620659</v>
      </c>
      <c r="CU395" s="1096"/>
      <c r="CV395" s="1075" t="s">
        <v>640</v>
      </c>
      <c r="CW395" s="1095"/>
      <c r="CX395" s="1095"/>
      <c r="CY395" s="1635">
        <f>CZ395+DA395+DB395</f>
        <v>1</v>
      </c>
      <c r="CZ395" s="1635">
        <f>CZ394/CY394</f>
        <v>0.32058832897642958</v>
      </c>
      <c r="DA395" s="1635">
        <f>DA394/CY394</f>
        <v>0.30088498308736378</v>
      </c>
      <c r="DB395" s="1635">
        <f>DB394/CY394</f>
        <v>0.37852668793620659</v>
      </c>
      <c r="DC395" s="1096"/>
      <c r="DD395" s="1075" t="s">
        <v>640</v>
      </c>
      <c r="DE395" s="1095"/>
      <c r="DF395" s="1095"/>
      <c r="DG395" s="1635">
        <f>DH395+DI395+DJ395</f>
        <v>1</v>
      </c>
      <c r="DH395" s="1635">
        <f>DH394/DG394</f>
        <v>0.32058832897642958</v>
      </c>
      <c r="DI395" s="1635">
        <f>DI394/DG394</f>
        <v>0.30088498308736378</v>
      </c>
      <c r="DJ395" s="1635">
        <f>DJ394/DG394</f>
        <v>0.37852668793620659</v>
      </c>
      <c r="DK395" s="1096"/>
      <c r="DL395" s="1075" t="s">
        <v>640</v>
      </c>
      <c r="DM395" s="1095"/>
      <c r="DN395" s="1095"/>
      <c r="DO395" s="1635">
        <f>DP395+DQ395+DR395</f>
        <v>1</v>
      </c>
      <c r="DP395" s="1635">
        <f>DP394/DO394</f>
        <v>0.32058832897642958</v>
      </c>
      <c r="DQ395" s="1635">
        <f>DQ394/DO394</f>
        <v>0.30088498308736378</v>
      </c>
      <c r="DR395" s="1635">
        <f>DR394/DO394</f>
        <v>0.37852668793620659</v>
      </c>
      <c r="DS395" s="1096"/>
      <c r="DT395" s="1075" t="s">
        <v>640</v>
      </c>
      <c r="DU395" s="1095"/>
      <c r="DV395" s="1095"/>
      <c r="DW395" s="1635">
        <f>DX395+DY395+DZ395</f>
        <v>1</v>
      </c>
      <c r="DX395" s="1635">
        <f>DX394/DW394</f>
        <v>0.32058832897642958</v>
      </c>
      <c r="DY395" s="1635">
        <f>DY394/DW394</f>
        <v>0.30088498308736378</v>
      </c>
      <c r="DZ395" s="1635">
        <f>DZ394/DW394</f>
        <v>0.37852668793620659</v>
      </c>
      <c r="EA395" s="1096"/>
      <c r="EB395" s="1075" t="s">
        <v>640</v>
      </c>
      <c r="EC395" s="1095"/>
      <c r="ED395" s="1095"/>
      <c r="EE395" s="1635">
        <f>EF395+EG395+EH395</f>
        <v>1</v>
      </c>
      <c r="EF395" s="1635">
        <f>EF394/EE394</f>
        <v>0.32058832897642958</v>
      </c>
      <c r="EG395" s="1635">
        <f>EG394/EE394</f>
        <v>0.30088498308736378</v>
      </c>
      <c r="EH395" s="1635">
        <f>EH394/EE394</f>
        <v>0.37852668793620659</v>
      </c>
      <c r="EI395" s="1096"/>
      <c r="EJ395" s="1075" t="s">
        <v>640</v>
      </c>
      <c r="EK395" s="1095"/>
      <c r="EL395" s="1095"/>
      <c r="EM395" s="1635">
        <f>EN395+EO395+EP395</f>
        <v>1</v>
      </c>
      <c r="EN395" s="1635">
        <f>EN394/EM394</f>
        <v>0.32058832897642958</v>
      </c>
      <c r="EO395" s="1635">
        <f>EO394/EM394</f>
        <v>0.30088498308736378</v>
      </c>
      <c r="EP395" s="1635">
        <f>EP394/EM394</f>
        <v>0.37852668793620659</v>
      </c>
      <c r="EQ395" s="1096"/>
      <c r="ER395" s="1075" t="s">
        <v>640</v>
      </c>
      <c r="ES395" s="1095"/>
      <c r="ET395" s="1095"/>
      <c r="EU395" s="1635">
        <f>EV395+EW395+EX395</f>
        <v>1</v>
      </c>
      <c r="EV395" s="1635">
        <f>EV394/EU394</f>
        <v>0.32058832897642958</v>
      </c>
      <c r="EW395" s="1635">
        <f>EW394/EU394</f>
        <v>0.30088498308736378</v>
      </c>
      <c r="EX395" s="1635">
        <f>EX394/EU394</f>
        <v>0.37852668793620659</v>
      </c>
      <c r="EY395" s="1096"/>
      <c r="EZ395" s="1075" t="s">
        <v>640</v>
      </c>
      <c r="FA395" s="1095"/>
      <c r="FB395" s="1095"/>
      <c r="FC395" s="1635">
        <f>FD395+FE395+FF395</f>
        <v>1</v>
      </c>
      <c r="FD395" s="1635">
        <f>FD394/FC394</f>
        <v>0.32058832897642958</v>
      </c>
      <c r="FE395" s="1635">
        <f>FE394/FC394</f>
        <v>0.30088498308736378</v>
      </c>
      <c r="FF395" s="1635">
        <f>FF394/FC394</f>
        <v>0.37852668793620659</v>
      </c>
      <c r="FG395" s="1096"/>
      <c r="FH395" s="1075" t="s">
        <v>640</v>
      </c>
      <c r="FI395" s="1095"/>
      <c r="FJ395" s="1095"/>
      <c r="FK395" s="1635">
        <f>FL395+FM395+FN395</f>
        <v>1</v>
      </c>
      <c r="FL395" s="1635">
        <f>FL394/FK394</f>
        <v>0.32058832897642958</v>
      </c>
      <c r="FM395" s="1635">
        <f>FM394/FK394</f>
        <v>0.30088498308736378</v>
      </c>
      <c r="FN395" s="1635">
        <f>FN394/FK394</f>
        <v>0.37852668793620659</v>
      </c>
      <c r="FO395" s="1096"/>
    </row>
    <row r="396" spans="2:171" x14ac:dyDescent="0.25">
      <c r="K396" s="1074"/>
      <c r="S396" s="1096"/>
      <c r="AA396" s="1096"/>
      <c r="AI396" s="1096"/>
      <c r="AQ396" s="1096"/>
      <c r="AY396" s="1096"/>
      <c r="BG396" s="1096"/>
      <c r="BO396" s="1096"/>
      <c r="BW396" s="1096"/>
      <c r="CE396" s="1096"/>
      <c r="CM396" s="1096"/>
      <c r="CU396" s="1096"/>
      <c r="DC396" s="1096"/>
      <c r="DK396" s="1096"/>
      <c r="DS396" s="1096"/>
      <c r="EA396" s="1096"/>
      <c r="EI396" s="1096"/>
      <c r="EQ396" s="1096"/>
      <c r="EY396" s="1096"/>
      <c r="FG396" s="1096"/>
      <c r="FO396" s="1096"/>
    </row>
    <row r="397" spans="2:171" x14ac:dyDescent="0.25">
      <c r="E397" s="302" t="s">
        <v>521</v>
      </c>
      <c r="G397" s="303" t="s">
        <v>104</v>
      </c>
      <c r="H397" s="303" t="s">
        <v>105</v>
      </c>
      <c r="I397" s="303" t="s">
        <v>106</v>
      </c>
      <c r="J397" s="304" t="s">
        <v>512</v>
      </c>
      <c r="K397" s="1074"/>
      <c r="O397" s="303" t="s">
        <v>104</v>
      </c>
      <c r="P397" s="303" t="s">
        <v>105</v>
      </c>
      <c r="Q397" s="303" t="s">
        <v>106</v>
      </c>
      <c r="R397" s="304" t="s">
        <v>512</v>
      </c>
      <c r="S397" s="1074"/>
      <c r="W397" s="303" t="s">
        <v>104</v>
      </c>
      <c r="X397" s="303" t="s">
        <v>105</v>
      </c>
      <c r="Y397" s="303" t="s">
        <v>106</v>
      </c>
      <c r="Z397" s="304" t="s">
        <v>512</v>
      </c>
      <c r="AA397" s="1074"/>
      <c r="AE397" s="303" t="s">
        <v>104</v>
      </c>
      <c r="AF397" s="303" t="s">
        <v>105</v>
      </c>
      <c r="AG397" s="303" t="s">
        <v>106</v>
      </c>
      <c r="AH397" s="304" t="s">
        <v>512</v>
      </c>
      <c r="AI397" s="1074"/>
      <c r="AM397" s="303" t="s">
        <v>104</v>
      </c>
      <c r="AN397" s="303" t="s">
        <v>105</v>
      </c>
      <c r="AO397" s="303" t="s">
        <v>106</v>
      </c>
      <c r="AP397" s="304" t="s">
        <v>512</v>
      </c>
      <c r="AQ397" s="1074"/>
      <c r="AU397" s="303" t="s">
        <v>104</v>
      </c>
      <c r="AV397" s="303" t="s">
        <v>105</v>
      </c>
      <c r="AW397" s="303" t="s">
        <v>106</v>
      </c>
      <c r="AX397" s="304" t="s">
        <v>512</v>
      </c>
      <c r="AY397" s="1074"/>
      <c r="BC397" s="303" t="s">
        <v>104</v>
      </c>
      <c r="BD397" s="303" t="s">
        <v>105</v>
      </c>
      <c r="BE397" s="303" t="s">
        <v>106</v>
      </c>
      <c r="BF397" s="304" t="s">
        <v>512</v>
      </c>
      <c r="BG397" s="1074"/>
      <c r="BK397" s="303" t="s">
        <v>104</v>
      </c>
      <c r="BL397" s="303" t="s">
        <v>105</v>
      </c>
      <c r="BM397" s="303" t="s">
        <v>106</v>
      </c>
      <c r="BN397" s="304" t="s">
        <v>512</v>
      </c>
      <c r="BO397" s="1074"/>
      <c r="BS397" s="303" t="s">
        <v>104</v>
      </c>
      <c r="BT397" s="303" t="s">
        <v>105</v>
      </c>
      <c r="BU397" s="303" t="s">
        <v>106</v>
      </c>
      <c r="BV397" s="304" t="s">
        <v>512</v>
      </c>
      <c r="BW397" s="1074"/>
      <c r="CA397" s="303" t="s">
        <v>104</v>
      </c>
      <c r="CB397" s="303" t="s">
        <v>105</v>
      </c>
      <c r="CC397" s="303" t="s">
        <v>106</v>
      </c>
      <c r="CD397" s="304" t="s">
        <v>512</v>
      </c>
      <c r="CE397" s="1074"/>
      <c r="CI397" s="303" t="s">
        <v>104</v>
      </c>
      <c r="CJ397" s="303" t="s">
        <v>105</v>
      </c>
      <c r="CK397" s="303" t="s">
        <v>106</v>
      </c>
      <c r="CL397" s="304" t="s">
        <v>512</v>
      </c>
      <c r="CM397" s="1074"/>
      <c r="CQ397" s="303" t="s">
        <v>104</v>
      </c>
      <c r="CR397" s="303" t="s">
        <v>105</v>
      </c>
      <c r="CS397" s="303" t="s">
        <v>106</v>
      </c>
      <c r="CT397" s="304" t="s">
        <v>512</v>
      </c>
      <c r="CU397" s="1074"/>
      <c r="CY397" s="303" t="s">
        <v>104</v>
      </c>
      <c r="CZ397" s="303" t="s">
        <v>105</v>
      </c>
      <c r="DA397" s="303" t="s">
        <v>106</v>
      </c>
      <c r="DB397" s="304" t="s">
        <v>512</v>
      </c>
      <c r="DC397" s="1074"/>
      <c r="DG397" s="303" t="s">
        <v>104</v>
      </c>
      <c r="DH397" s="303" t="s">
        <v>105</v>
      </c>
      <c r="DI397" s="303" t="s">
        <v>106</v>
      </c>
      <c r="DJ397" s="304" t="s">
        <v>512</v>
      </c>
      <c r="DK397" s="1074"/>
      <c r="DO397" s="303" t="s">
        <v>104</v>
      </c>
      <c r="DP397" s="303" t="s">
        <v>105</v>
      </c>
      <c r="DQ397" s="303" t="s">
        <v>106</v>
      </c>
      <c r="DR397" s="304" t="s">
        <v>512</v>
      </c>
      <c r="DS397" s="1074"/>
      <c r="DW397" s="303" t="s">
        <v>104</v>
      </c>
      <c r="DX397" s="303" t="s">
        <v>105</v>
      </c>
      <c r="DY397" s="303" t="s">
        <v>106</v>
      </c>
      <c r="DZ397" s="304" t="s">
        <v>512</v>
      </c>
      <c r="EA397" s="1074"/>
      <c r="EE397" s="303" t="s">
        <v>104</v>
      </c>
      <c r="EF397" s="303" t="s">
        <v>105</v>
      </c>
      <c r="EG397" s="303" t="s">
        <v>106</v>
      </c>
      <c r="EH397" s="304" t="s">
        <v>512</v>
      </c>
      <c r="EI397" s="1074"/>
      <c r="EM397" s="303" t="s">
        <v>104</v>
      </c>
      <c r="EN397" s="303" t="s">
        <v>105</v>
      </c>
      <c r="EO397" s="303" t="s">
        <v>106</v>
      </c>
      <c r="EP397" s="304" t="s">
        <v>512</v>
      </c>
      <c r="EQ397" s="1074"/>
      <c r="EU397" s="303" t="s">
        <v>104</v>
      </c>
      <c r="EV397" s="303" t="s">
        <v>105</v>
      </c>
      <c r="EW397" s="303" t="s">
        <v>106</v>
      </c>
      <c r="EX397" s="304" t="s">
        <v>512</v>
      </c>
      <c r="EY397" s="1074"/>
      <c r="FC397" s="303" t="s">
        <v>104</v>
      </c>
      <c r="FD397" s="303" t="s">
        <v>105</v>
      </c>
      <c r="FE397" s="303" t="s">
        <v>106</v>
      </c>
      <c r="FF397" s="304" t="s">
        <v>512</v>
      </c>
      <c r="FG397" s="1074"/>
      <c r="FK397" s="303" t="s">
        <v>104</v>
      </c>
      <c r="FL397" s="303" t="s">
        <v>105</v>
      </c>
      <c r="FM397" s="303" t="s">
        <v>106</v>
      </c>
      <c r="FN397" s="304" t="s">
        <v>512</v>
      </c>
      <c r="FO397" s="1074"/>
    </row>
    <row r="398" spans="2:171" x14ac:dyDescent="0.25">
      <c r="B398" s="108"/>
      <c r="C398" s="108" t="s">
        <v>111</v>
      </c>
      <c r="D398" s="1072"/>
      <c r="E398" s="905" t="s">
        <v>394</v>
      </c>
      <c r="G398" s="891">
        <f t="shared" ref="G398:J401" si="1277">G22</f>
        <v>2890625949.8270597</v>
      </c>
      <c r="H398" s="891">
        <f t="shared" si="1277"/>
        <v>2890625949.8270597</v>
      </c>
      <c r="I398" s="891">
        <f t="shared" si="1277"/>
        <v>0</v>
      </c>
      <c r="J398" s="891">
        <f t="shared" si="1277"/>
        <v>0</v>
      </c>
      <c r="K398" s="1074"/>
      <c r="L398" s="1072"/>
      <c r="M398" s="1073"/>
      <c r="N398" s="1073"/>
      <c r="O398" s="891">
        <f t="shared" ref="O398:R398" si="1278">O22</f>
        <v>2890625949.8270597</v>
      </c>
      <c r="P398" s="891">
        <f t="shared" si="1278"/>
        <v>2890625949.8270597</v>
      </c>
      <c r="Q398" s="891">
        <f t="shared" si="1278"/>
        <v>0</v>
      </c>
      <c r="R398" s="891">
        <f t="shared" si="1278"/>
        <v>0</v>
      </c>
      <c r="S398" s="1074"/>
      <c r="T398" s="1072"/>
      <c r="U398" s="1073"/>
      <c r="V398" s="1073"/>
      <c r="W398" s="891">
        <f t="shared" ref="W398:Z398" si="1279">W22</f>
        <v>2890625949.8270597</v>
      </c>
      <c r="X398" s="891">
        <f t="shared" si="1279"/>
        <v>2890625949.8270597</v>
      </c>
      <c r="Y398" s="891">
        <f t="shared" si="1279"/>
        <v>0</v>
      </c>
      <c r="Z398" s="891">
        <f t="shared" si="1279"/>
        <v>0</v>
      </c>
      <c r="AA398" s="1074"/>
      <c r="AB398" s="1072"/>
      <c r="AC398" s="1073"/>
      <c r="AD398" s="1073"/>
      <c r="AE398" s="891">
        <f t="shared" ref="AE398:AH398" si="1280">AE22</f>
        <v>2890625949.8270597</v>
      </c>
      <c r="AF398" s="891">
        <f t="shared" si="1280"/>
        <v>2890625949.8270597</v>
      </c>
      <c r="AG398" s="891">
        <f t="shared" si="1280"/>
        <v>0</v>
      </c>
      <c r="AH398" s="891">
        <f t="shared" si="1280"/>
        <v>0</v>
      </c>
      <c r="AI398" s="1074"/>
      <c r="AJ398" s="1072"/>
      <c r="AK398" s="1073"/>
      <c r="AL398" s="1073"/>
      <c r="AM398" s="891">
        <f t="shared" ref="AM398:AP398" si="1281">AM22</f>
        <v>2890625949.8270597</v>
      </c>
      <c r="AN398" s="891">
        <f t="shared" si="1281"/>
        <v>2890625949.8270597</v>
      </c>
      <c r="AO398" s="891">
        <f t="shared" si="1281"/>
        <v>0</v>
      </c>
      <c r="AP398" s="891">
        <f t="shared" si="1281"/>
        <v>0</v>
      </c>
      <c r="AQ398" s="1074"/>
      <c r="AR398" s="1072"/>
      <c r="AS398" s="1073"/>
      <c r="AT398" s="1073"/>
      <c r="AU398" s="891">
        <f t="shared" ref="AU398:AX398" si="1282">AU22</f>
        <v>2890625949.8270597</v>
      </c>
      <c r="AV398" s="891">
        <f t="shared" si="1282"/>
        <v>2890625949.8270597</v>
      </c>
      <c r="AW398" s="891">
        <f t="shared" si="1282"/>
        <v>0</v>
      </c>
      <c r="AX398" s="891">
        <f t="shared" si="1282"/>
        <v>0</v>
      </c>
      <c r="AY398" s="1074"/>
      <c r="AZ398" s="1072"/>
      <c r="BA398" s="1073"/>
      <c r="BB398" s="1073"/>
      <c r="BC398" s="891">
        <f t="shared" ref="BC398:BF398" si="1283">BC22</f>
        <v>2890625949.8270597</v>
      </c>
      <c r="BD398" s="891">
        <f t="shared" si="1283"/>
        <v>2890625949.8270597</v>
      </c>
      <c r="BE398" s="891">
        <f t="shared" si="1283"/>
        <v>0</v>
      </c>
      <c r="BF398" s="891">
        <f t="shared" si="1283"/>
        <v>0</v>
      </c>
      <c r="BG398" s="1074"/>
      <c r="BH398" s="1072"/>
      <c r="BI398" s="1073"/>
      <c r="BJ398" s="1073"/>
      <c r="BK398" s="891">
        <f t="shared" ref="BK398:BN398" si="1284">BK22</f>
        <v>2890625949.8270597</v>
      </c>
      <c r="BL398" s="891">
        <f t="shared" si="1284"/>
        <v>2890625949.8270597</v>
      </c>
      <c r="BM398" s="891">
        <f t="shared" si="1284"/>
        <v>0</v>
      </c>
      <c r="BN398" s="891">
        <f t="shared" si="1284"/>
        <v>0</v>
      </c>
      <c r="BO398" s="1074"/>
      <c r="BP398" s="1072"/>
      <c r="BQ398" s="1073"/>
      <c r="BR398" s="1073"/>
      <c r="BS398" s="891">
        <f t="shared" ref="BS398:BV398" si="1285">BS22</f>
        <v>2890625949.8270597</v>
      </c>
      <c r="BT398" s="891">
        <f t="shared" si="1285"/>
        <v>2890625949.8270597</v>
      </c>
      <c r="BU398" s="891">
        <f t="shared" si="1285"/>
        <v>0</v>
      </c>
      <c r="BV398" s="891">
        <f t="shared" si="1285"/>
        <v>0</v>
      </c>
      <c r="BW398" s="1074"/>
      <c r="BX398" s="1072"/>
      <c r="BY398" s="1073"/>
      <c r="BZ398" s="1073"/>
      <c r="CA398" s="891">
        <f t="shared" ref="CA398:CD398" si="1286">CA22</f>
        <v>2890625949.8270597</v>
      </c>
      <c r="CB398" s="891">
        <f t="shared" si="1286"/>
        <v>2890625949.8270597</v>
      </c>
      <c r="CC398" s="891">
        <f t="shared" si="1286"/>
        <v>0</v>
      </c>
      <c r="CD398" s="891">
        <f t="shared" si="1286"/>
        <v>0</v>
      </c>
      <c r="CE398" s="1074"/>
      <c r="CF398" s="1072"/>
      <c r="CG398" s="1073"/>
      <c r="CH398" s="1073"/>
      <c r="CI398" s="891">
        <f t="shared" ref="CI398:CL398" si="1287">CI22</f>
        <v>2890625949.8270597</v>
      </c>
      <c r="CJ398" s="891">
        <f t="shared" si="1287"/>
        <v>2890625949.8270597</v>
      </c>
      <c r="CK398" s="891">
        <f t="shared" si="1287"/>
        <v>0</v>
      </c>
      <c r="CL398" s="891">
        <f t="shared" si="1287"/>
        <v>0</v>
      </c>
      <c r="CM398" s="1074"/>
      <c r="CN398" s="1072"/>
      <c r="CO398" s="1073"/>
      <c r="CP398" s="1073"/>
      <c r="CQ398" s="891">
        <f t="shared" ref="CQ398:CT398" si="1288">CQ22</f>
        <v>2890625949.8270597</v>
      </c>
      <c r="CR398" s="891">
        <f t="shared" si="1288"/>
        <v>2890625949.8270597</v>
      </c>
      <c r="CS398" s="891">
        <f t="shared" si="1288"/>
        <v>0</v>
      </c>
      <c r="CT398" s="891">
        <f t="shared" si="1288"/>
        <v>0</v>
      </c>
      <c r="CU398" s="1074"/>
      <c r="CV398" s="1072"/>
      <c r="CW398" s="1073"/>
      <c r="CX398" s="1073"/>
      <c r="CY398" s="891">
        <f t="shared" ref="CY398:DB398" si="1289">CY22</f>
        <v>2890625949.8270597</v>
      </c>
      <c r="CZ398" s="891">
        <f t="shared" si="1289"/>
        <v>2890625949.8270597</v>
      </c>
      <c r="DA398" s="891">
        <f t="shared" si="1289"/>
        <v>0</v>
      </c>
      <c r="DB398" s="891">
        <f t="shared" si="1289"/>
        <v>0</v>
      </c>
      <c r="DC398" s="1074"/>
      <c r="DD398" s="1072"/>
      <c r="DE398" s="1073"/>
      <c r="DF398" s="1073"/>
      <c r="DG398" s="891">
        <f t="shared" ref="DG398:DJ398" si="1290">DG22</f>
        <v>2890625949.8270597</v>
      </c>
      <c r="DH398" s="891">
        <f t="shared" si="1290"/>
        <v>2890625949.8270597</v>
      </c>
      <c r="DI398" s="891">
        <f t="shared" si="1290"/>
        <v>0</v>
      </c>
      <c r="DJ398" s="891">
        <f t="shared" si="1290"/>
        <v>0</v>
      </c>
      <c r="DK398" s="1074"/>
      <c r="DL398" s="1072"/>
      <c r="DM398" s="1073"/>
      <c r="DN398" s="1073"/>
      <c r="DO398" s="891">
        <f t="shared" ref="DO398:DR398" si="1291">DO22</f>
        <v>2890625949.8270597</v>
      </c>
      <c r="DP398" s="891">
        <f t="shared" si="1291"/>
        <v>2890625949.8270597</v>
      </c>
      <c r="DQ398" s="891">
        <f t="shared" si="1291"/>
        <v>0</v>
      </c>
      <c r="DR398" s="891">
        <f t="shared" si="1291"/>
        <v>0</v>
      </c>
      <c r="DS398" s="1074"/>
      <c r="DT398" s="1072"/>
      <c r="DU398" s="1073"/>
      <c r="DV398" s="1073"/>
      <c r="DW398" s="891">
        <f t="shared" ref="DW398:DZ398" si="1292">DW22</f>
        <v>2890625949.8270597</v>
      </c>
      <c r="DX398" s="891">
        <f t="shared" si="1292"/>
        <v>2890625949.8270597</v>
      </c>
      <c r="DY398" s="891">
        <f t="shared" si="1292"/>
        <v>0</v>
      </c>
      <c r="DZ398" s="891">
        <f t="shared" si="1292"/>
        <v>0</v>
      </c>
      <c r="EA398" s="1074"/>
      <c r="EB398" s="1072"/>
      <c r="EC398" s="1073"/>
      <c r="ED398" s="1073"/>
      <c r="EE398" s="891">
        <f t="shared" ref="EE398:EH398" si="1293">EE22</f>
        <v>2890625949.8270597</v>
      </c>
      <c r="EF398" s="891">
        <f t="shared" si="1293"/>
        <v>2890625949.8270597</v>
      </c>
      <c r="EG398" s="891">
        <f t="shared" si="1293"/>
        <v>0</v>
      </c>
      <c r="EH398" s="891">
        <f t="shared" si="1293"/>
        <v>0</v>
      </c>
      <c r="EI398" s="1074"/>
      <c r="EJ398" s="1072"/>
      <c r="EK398" s="1073"/>
      <c r="EL398" s="1073"/>
      <c r="EM398" s="891">
        <f t="shared" ref="EM398:EP398" si="1294">EM22</f>
        <v>2890625949.8270597</v>
      </c>
      <c r="EN398" s="891">
        <f t="shared" si="1294"/>
        <v>2890625949.8270597</v>
      </c>
      <c r="EO398" s="891">
        <f t="shared" si="1294"/>
        <v>0</v>
      </c>
      <c r="EP398" s="891">
        <f t="shared" si="1294"/>
        <v>0</v>
      </c>
      <c r="EQ398" s="1074"/>
      <c r="ER398" s="1072"/>
      <c r="ES398" s="1073"/>
      <c r="ET398" s="1073"/>
      <c r="EU398" s="891">
        <f t="shared" ref="EU398:EX398" si="1295">EU22</f>
        <v>2890625949.8270597</v>
      </c>
      <c r="EV398" s="891">
        <f t="shared" si="1295"/>
        <v>2890625949.8270597</v>
      </c>
      <c r="EW398" s="891">
        <f t="shared" si="1295"/>
        <v>0</v>
      </c>
      <c r="EX398" s="891">
        <f t="shared" si="1295"/>
        <v>0</v>
      </c>
      <c r="EY398" s="1074"/>
      <c r="EZ398" s="1072"/>
      <c r="FA398" s="1073"/>
      <c r="FB398" s="1073"/>
      <c r="FC398" s="891">
        <f t="shared" ref="FC398:FF398" si="1296">FC22</f>
        <v>2890625949.8270597</v>
      </c>
      <c r="FD398" s="891">
        <f t="shared" si="1296"/>
        <v>2890625949.8270597</v>
      </c>
      <c r="FE398" s="891">
        <f t="shared" si="1296"/>
        <v>0</v>
      </c>
      <c r="FF398" s="891">
        <f t="shared" si="1296"/>
        <v>0</v>
      </c>
      <c r="FG398" s="1074"/>
      <c r="FH398" s="1072"/>
      <c r="FI398" s="1073"/>
      <c r="FJ398" s="1073"/>
      <c r="FK398" s="891">
        <f t="shared" ref="FK398:FN398" si="1297">FK22</f>
        <v>2890625949.8270597</v>
      </c>
      <c r="FL398" s="891">
        <f t="shared" si="1297"/>
        <v>2890625949.8270597</v>
      </c>
      <c r="FM398" s="891">
        <f t="shared" si="1297"/>
        <v>0</v>
      </c>
      <c r="FN398" s="891">
        <f t="shared" si="1297"/>
        <v>0</v>
      </c>
      <c r="FO398" s="1074"/>
    </row>
    <row r="399" spans="2:171" x14ac:dyDescent="0.25">
      <c r="B399" s="108"/>
      <c r="C399" s="108" t="s">
        <v>113</v>
      </c>
      <c r="D399" s="1072"/>
      <c r="E399" s="905" t="s">
        <v>394</v>
      </c>
      <c r="G399" s="891">
        <f t="shared" si="1277"/>
        <v>0</v>
      </c>
      <c r="H399" s="891">
        <f t="shared" si="1277"/>
        <v>0</v>
      </c>
      <c r="I399" s="891">
        <f t="shared" si="1277"/>
        <v>0</v>
      </c>
      <c r="J399" s="891">
        <f t="shared" si="1277"/>
        <v>0</v>
      </c>
      <c r="K399" s="1074"/>
      <c r="L399" s="1072"/>
      <c r="M399" s="1073"/>
      <c r="N399" s="1073"/>
      <c r="O399" s="891">
        <f t="shared" ref="O399:R399" si="1298">O23</f>
        <v>0</v>
      </c>
      <c r="P399" s="891">
        <f t="shared" si="1298"/>
        <v>0</v>
      </c>
      <c r="Q399" s="891">
        <f t="shared" si="1298"/>
        <v>0</v>
      </c>
      <c r="R399" s="891">
        <f t="shared" si="1298"/>
        <v>0</v>
      </c>
      <c r="S399" s="1074"/>
      <c r="T399" s="1072"/>
      <c r="U399" s="1073"/>
      <c r="V399" s="1073"/>
      <c r="W399" s="891">
        <f t="shared" ref="W399:Z399" si="1299">W23</f>
        <v>0</v>
      </c>
      <c r="X399" s="891">
        <f t="shared" si="1299"/>
        <v>0</v>
      </c>
      <c r="Y399" s="891">
        <f t="shared" si="1299"/>
        <v>0</v>
      </c>
      <c r="Z399" s="891">
        <f t="shared" si="1299"/>
        <v>0</v>
      </c>
      <c r="AA399" s="1074"/>
      <c r="AB399" s="1072"/>
      <c r="AC399" s="1073"/>
      <c r="AD399" s="1073"/>
      <c r="AE399" s="891">
        <f t="shared" ref="AE399:AH399" si="1300">AE23</f>
        <v>0</v>
      </c>
      <c r="AF399" s="891">
        <f t="shared" si="1300"/>
        <v>0</v>
      </c>
      <c r="AG399" s="891">
        <f t="shared" si="1300"/>
        <v>0</v>
      </c>
      <c r="AH399" s="891">
        <f t="shared" si="1300"/>
        <v>0</v>
      </c>
      <c r="AI399" s="1074"/>
      <c r="AJ399" s="1072"/>
      <c r="AK399" s="1073"/>
      <c r="AL399" s="1073"/>
      <c r="AM399" s="891">
        <f t="shared" ref="AM399:AP399" si="1301">AM23</f>
        <v>0</v>
      </c>
      <c r="AN399" s="891">
        <f t="shared" si="1301"/>
        <v>0</v>
      </c>
      <c r="AO399" s="891">
        <f t="shared" si="1301"/>
        <v>0</v>
      </c>
      <c r="AP399" s="891">
        <f t="shared" si="1301"/>
        <v>0</v>
      </c>
      <c r="AQ399" s="1074"/>
      <c r="AR399" s="1072"/>
      <c r="AS399" s="1073"/>
      <c r="AT399" s="1073"/>
      <c r="AU399" s="891">
        <f t="shared" ref="AU399:AX399" si="1302">AU23</f>
        <v>0</v>
      </c>
      <c r="AV399" s="891">
        <f t="shared" si="1302"/>
        <v>0</v>
      </c>
      <c r="AW399" s="891">
        <f t="shared" si="1302"/>
        <v>0</v>
      </c>
      <c r="AX399" s="891">
        <f t="shared" si="1302"/>
        <v>0</v>
      </c>
      <c r="AY399" s="1074"/>
      <c r="AZ399" s="1072"/>
      <c r="BA399" s="1073"/>
      <c r="BB399" s="1073"/>
      <c r="BC399" s="891">
        <f t="shared" ref="BC399:BF399" si="1303">BC23</f>
        <v>0</v>
      </c>
      <c r="BD399" s="891">
        <f t="shared" si="1303"/>
        <v>0</v>
      </c>
      <c r="BE399" s="891">
        <f t="shared" si="1303"/>
        <v>0</v>
      </c>
      <c r="BF399" s="891">
        <f t="shared" si="1303"/>
        <v>0</v>
      </c>
      <c r="BG399" s="1074"/>
      <c r="BH399" s="1072"/>
      <c r="BI399" s="1073"/>
      <c r="BJ399" s="1073"/>
      <c r="BK399" s="891">
        <f t="shared" ref="BK399:BN399" si="1304">BK23</f>
        <v>0</v>
      </c>
      <c r="BL399" s="891">
        <f t="shared" si="1304"/>
        <v>0</v>
      </c>
      <c r="BM399" s="891">
        <f t="shared" si="1304"/>
        <v>0</v>
      </c>
      <c r="BN399" s="891">
        <f t="shared" si="1304"/>
        <v>0</v>
      </c>
      <c r="BO399" s="1074"/>
      <c r="BP399" s="1072"/>
      <c r="BQ399" s="1073"/>
      <c r="BR399" s="1073"/>
      <c r="BS399" s="891">
        <f t="shared" ref="BS399:BV399" si="1305">BS23</f>
        <v>0</v>
      </c>
      <c r="BT399" s="891">
        <f t="shared" si="1305"/>
        <v>0</v>
      </c>
      <c r="BU399" s="891">
        <f t="shared" si="1305"/>
        <v>0</v>
      </c>
      <c r="BV399" s="891">
        <f t="shared" si="1305"/>
        <v>0</v>
      </c>
      <c r="BW399" s="1074"/>
      <c r="BX399" s="1072"/>
      <c r="BY399" s="1073"/>
      <c r="BZ399" s="1073"/>
      <c r="CA399" s="891">
        <f t="shared" ref="CA399:CD399" si="1306">CA23</f>
        <v>0</v>
      </c>
      <c r="CB399" s="891">
        <f t="shared" si="1306"/>
        <v>0</v>
      </c>
      <c r="CC399" s="891">
        <f t="shared" si="1306"/>
        <v>0</v>
      </c>
      <c r="CD399" s="891">
        <f t="shared" si="1306"/>
        <v>0</v>
      </c>
      <c r="CE399" s="1074"/>
      <c r="CF399" s="1072"/>
      <c r="CG399" s="1073"/>
      <c r="CH399" s="1073"/>
      <c r="CI399" s="891">
        <f t="shared" ref="CI399:CL399" si="1307">CI23</f>
        <v>0</v>
      </c>
      <c r="CJ399" s="891">
        <f t="shared" si="1307"/>
        <v>0</v>
      </c>
      <c r="CK399" s="891">
        <f t="shared" si="1307"/>
        <v>0</v>
      </c>
      <c r="CL399" s="891">
        <f t="shared" si="1307"/>
        <v>0</v>
      </c>
      <c r="CM399" s="1074"/>
      <c r="CN399" s="1072"/>
      <c r="CO399" s="1073"/>
      <c r="CP399" s="1073"/>
      <c r="CQ399" s="891">
        <f t="shared" ref="CQ399:CT399" si="1308">CQ23</f>
        <v>0</v>
      </c>
      <c r="CR399" s="891">
        <f t="shared" si="1308"/>
        <v>0</v>
      </c>
      <c r="CS399" s="891">
        <f t="shared" si="1308"/>
        <v>0</v>
      </c>
      <c r="CT399" s="891">
        <f t="shared" si="1308"/>
        <v>0</v>
      </c>
      <c r="CU399" s="1074"/>
      <c r="CV399" s="1072"/>
      <c r="CW399" s="1073"/>
      <c r="CX399" s="1073"/>
      <c r="CY399" s="891">
        <f t="shared" ref="CY399:DB399" si="1309">CY23</f>
        <v>0</v>
      </c>
      <c r="CZ399" s="891">
        <f t="shared" si="1309"/>
        <v>0</v>
      </c>
      <c r="DA399" s="891">
        <f t="shared" si="1309"/>
        <v>0</v>
      </c>
      <c r="DB399" s="891">
        <f t="shared" si="1309"/>
        <v>0</v>
      </c>
      <c r="DC399" s="1074"/>
      <c r="DD399" s="1072"/>
      <c r="DE399" s="1073"/>
      <c r="DF399" s="1073"/>
      <c r="DG399" s="891">
        <f t="shared" ref="DG399:DJ399" si="1310">DG23</f>
        <v>0</v>
      </c>
      <c r="DH399" s="891">
        <f t="shared" si="1310"/>
        <v>0</v>
      </c>
      <c r="DI399" s="891">
        <f t="shared" si="1310"/>
        <v>0</v>
      </c>
      <c r="DJ399" s="891">
        <f t="shared" si="1310"/>
        <v>0</v>
      </c>
      <c r="DK399" s="1074"/>
      <c r="DL399" s="1072"/>
      <c r="DM399" s="1073"/>
      <c r="DN399" s="1073"/>
      <c r="DO399" s="891">
        <f t="shared" ref="DO399:DR399" si="1311">DO23</f>
        <v>0</v>
      </c>
      <c r="DP399" s="891">
        <f t="shared" si="1311"/>
        <v>0</v>
      </c>
      <c r="DQ399" s="891">
        <f t="shared" si="1311"/>
        <v>0</v>
      </c>
      <c r="DR399" s="891">
        <f t="shared" si="1311"/>
        <v>0</v>
      </c>
      <c r="DS399" s="1074"/>
      <c r="DT399" s="1072"/>
      <c r="DU399" s="1073"/>
      <c r="DV399" s="1073"/>
      <c r="DW399" s="891">
        <f t="shared" ref="DW399:DZ399" si="1312">DW23</f>
        <v>0</v>
      </c>
      <c r="DX399" s="891">
        <f t="shared" si="1312"/>
        <v>0</v>
      </c>
      <c r="DY399" s="891">
        <f t="shared" si="1312"/>
        <v>0</v>
      </c>
      <c r="DZ399" s="891">
        <f t="shared" si="1312"/>
        <v>0</v>
      </c>
      <c r="EA399" s="1074"/>
      <c r="EB399" s="1072"/>
      <c r="EC399" s="1073"/>
      <c r="ED399" s="1073"/>
      <c r="EE399" s="891">
        <f t="shared" ref="EE399:EH399" si="1313">EE23</f>
        <v>0</v>
      </c>
      <c r="EF399" s="891">
        <f t="shared" si="1313"/>
        <v>0</v>
      </c>
      <c r="EG399" s="891">
        <f t="shared" si="1313"/>
        <v>0</v>
      </c>
      <c r="EH399" s="891">
        <f t="shared" si="1313"/>
        <v>0</v>
      </c>
      <c r="EI399" s="1074"/>
      <c r="EJ399" s="1072"/>
      <c r="EK399" s="1073"/>
      <c r="EL399" s="1073"/>
      <c r="EM399" s="891">
        <f t="shared" ref="EM399:EP399" si="1314">EM23</f>
        <v>0</v>
      </c>
      <c r="EN399" s="891">
        <f t="shared" si="1314"/>
        <v>0</v>
      </c>
      <c r="EO399" s="891">
        <f t="shared" si="1314"/>
        <v>0</v>
      </c>
      <c r="EP399" s="891">
        <f t="shared" si="1314"/>
        <v>0</v>
      </c>
      <c r="EQ399" s="1074"/>
      <c r="ER399" s="1072"/>
      <c r="ES399" s="1073"/>
      <c r="ET399" s="1073"/>
      <c r="EU399" s="891">
        <f t="shared" ref="EU399:EX399" si="1315">EU23</f>
        <v>0</v>
      </c>
      <c r="EV399" s="891">
        <f t="shared" si="1315"/>
        <v>0</v>
      </c>
      <c r="EW399" s="891">
        <f t="shared" si="1315"/>
        <v>0</v>
      </c>
      <c r="EX399" s="891">
        <f t="shared" si="1315"/>
        <v>0</v>
      </c>
      <c r="EY399" s="1074"/>
      <c r="EZ399" s="1072"/>
      <c r="FA399" s="1073"/>
      <c r="FB399" s="1073"/>
      <c r="FC399" s="891">
        <f t="shared" ref="FC399:FF399" si="1316">FC23</f>
        <v>0</v>
      </c>
      <c r="FD399" s="891">
        <f t="shared" si="1316"/>
        <v>0</v>
      </c>
      <c r="FE399" s="891">
        <f t="shared" si="1316"/>
        <v>0</v>
      </c>
      <c r="FF399" s="891">
        <f t="shared" si="1316"/>
        <v>0</v>
      </c>
      <c r="FG399" s="1074"/>
      <c r="FH399" s="1072"/>
      <c r="FI399" s="1073"/>
      <c r="FJ399" s="1073"/>
      <c r="FK399" s="891">
        <f t="shared" ref="FK399:FN399" si="1317">FK23</f>
        <v>0</v>
      </c>
      <c r="FL399" s="891">
        <f t="shared" si="1317"/>
        <v>0</v>
      </c>
      <c r="FM399" s="891">
        <f t="shared" si="1317"/>
        <v>0</v>
      </c>
      <c r="FN399" s="891">
        <f t="shared" si="1317"/>
        <v>0</v>
      </c>
      <c r="FO399" s="1074"/>
    </row>
    <row r="400" spans="2:171" x14ac:dyDescent="0.25">
      <c r="B400" s="108"/>
      <c r="C400" s="108" t="s">
        <v>115</v>
      </c>
      <c r="D400" s="1072"/>
      <c r="E400" s="905" t="s">
        <v>394</v>
      </c>
      <c r="G400" s="891">
        <f t="shared" si="1277"/>
        <v>433360289.62213159</v>
      </c>
      <c r="H400" s="891">
        <f t="shared" si="1277"/>
        <v>433360289.62213159</v>
      </c>
      <c r="I400" s="891">
        <f t="shared" si="1277"/>
        <v>0</v>
      </c>
      <c r="J400" s="891">
        <f t="shared" si="1277"/>
        <v>0</v>
      </c>
      <c r="K400" s="1074"/>
      <c r="L400" s="1072"/>
      <c r="M400" s="1073"/>
      <c r="N400" s="1073"/>
      <c r="O400" s="891">
        <f t="shared" ref="O400:R400" si="1318">O24</f>
        <v>433360289.62213159</v>
      </c>
      <c r="P400" s="891">
        <f t="shared" si="1318"/>
        <v>433360289.62213159</v>
      </c>
      <c r="Q400" s="891">
        <f t="shared" si="1318"/>
        <v>0</v>
      </c>
      <c r="R400" s="891">
        <f t="shared" si="1318"/>
        <v>0</v>
      </c>
      <c r="S400" s="1074"/>
      <c r="T400" s="1072"/>
      <c r="U400" s="1073"/>
      <c r="V400" s="1073"/>
      <c r="W400" s="891">
        <f t="shared" ref="W400:Z400" si="1319">W24</f>
        <v>433360289.62213159</v>
      </c>
      <c r="X400" s="891">
        <f t="shared" si="1319"/>
        <v>433360289.62213159</v>
      </c>
      <c r="Y400" s="891">
        <f t="shared" si="1319"/>
        <v>0</v>
      </c>
      <c r="Z400" s="891">
        <f t="shared" si="1319"/>
        <v>0</v>
      </c>
      <c r="AA400" s="1074"/>
      <c r="AB400" s="1072"/>
      <c r="AC400" s="1073"/>
      <c r="AD400" s="1073"/>
      <c r="AE400" s="891">
        <f t="shared" ref="AE400:AH400" si="1320">AE24</f>
        <v>433360289.62213159</v>
      </c>
      <c r="AF400" s="891">
        <f t="shared" si="1320"/>
        <v>433360289.62213159</v>
      </c>
      <c r="AG400" s="891">
        <f t="shared" si="1320"/>
        <v>0</v>
      </c>
      <c r="AH400" s="891">
        <f t="shared" si="1320"/>
        <v>0</v>
      </c>
      <c r="AI400" s="1074"/>
      <c r="AJ400" s="1072"/>
      <c r="AK400" s="1073"/>
      <c r="AL400" s="1073"/>
      <c r="AM400" s="891">
        <f t="shared" ref="AM400:AP400" si="1321">AM24</f>
        <v>433360289.62213159</v>
      </c>
      <c r="AN400" s="891">
        <f t="shared" si="1321"/>
        <v>433360289.62213159</v>
      </c>
      <c r="AO400" s="891">
        <f t="shared" si="1321"/>
        <v>0</v>
      </c>
      <c r="AP400" s="891">
        <f t="shared" si="1321"/>
        <v>0</v>
      </c>
      <c r="AQ400" s="1074"/>
      <c r="AR400" s="1072"/>
      <c r="AS400" s="1073"/>
      <c r="AT400" s="1073"/>
      <c r="AU400" s="891">
        <f t="shared" ref="AU400:AX400" si="1322">AU24</f>
        <v>433360289.62213159</v>
      </c>
      <c r="AV400" s="891">
        <f t="shared" si="1322"/>
        <v>433360289.62213159</v>
      </c>
      <c r="AW400" s="891">
        <f t="shared" si="1322"/>
        <v>0</v>
      </c>
      <c r="AX400" s="891">
        <f t="shared" si="1322"/>
        <v>0</v>
      </c>
      <c r="AY400" s="1074"/>
      <c r="AZ400" s="1072"/>
      <c r="BA400" s="1073"/>
      <c r="BB400" s="1073"/>
      <c r="BC400" s="891">
        <f t="shared" ref="BC400:BF400" si="1323">BC24</f>
        <v>433360289.62213159</v>
      </c>
      <c r="BD400" s="891">
        <f t="shared" si="1323"/>
        <v>433360289.62213159</v>
      </c>
      <c r="BE400" s="891">
        <f t="shared" si="1323"/>
        <v>0</v>
      </c>
      <c r="BF400" s="891">
        <f t="shared" si="1323"/>
        <v>0</v>
      </c>
      <c r="BG400" s="1074"/>
      <c r="BH400" s="1072"/>
      <c r="BI400" s="1073"/>
      <c r="BJ400" s="1073"/>
      <c r="BK400" s="891">
        <f t="shared" ref="BK400:BN400" si="1324">BK24</f>
        <v>433360289.62213159</v>
      </c>
      <c r="BL400" s="891">
        <f t="shared" si="1324"/>
        <v>433360289.62213159</v>
      </c>
      <c r="BM400" s="891">
        <f t="shared" si="1324"/>
        <v>0</v>
      </c>
      <c r="BN400" s="891">
        <f t="shared" si="1324"/>
        <v>0</v>
      </c>
      <c r="BO400" s="1074"/>
      <c r="BP400" s="1072"/>
      <c r="BQ400" s="1073"/>
      <c r="BR400" s="1073"/>
      <c r="BS400" s="891">
        <f t="shared" ref="BS400:BV400" si="1325">BS24</f>
        <v>433360289.62213159</v>
      </c>
      <c r="BT400" s="891">
        <f t="shared" si="1325"/>
        <v>433360289.62213159</v>
      </c>
      <c r="BU400" s="891">
        <f t="shared" si="1325"/>
        <v>0</v>
      </c>
      <c r="BV400" s="891">
        <f t="shared" si="1325"/>
        <v>0</v>
      </c>
      <c r="BW400" s="1074"/>
      <c r="BX400" s="1072"/>
      <c r="BY400" s="1073"/>
      <c r="BZ400" s="1073"/>
      <c r="CA400" s="891">
        <f t="shared" ref="CA400:CD400" si="1326">CA24</f>
        <v>433360289.62213159</v>
      </c>
      <c r="CB400" s="891">
        <f t="shared" si="1326"/>
        <v>433360289.62213159</v>
      </c>
      <c r="CC400" s="891">
        <f t="shared" si="1326"/>
        <v>0</v>
      </c>
      <c r="CD400" s="891">
        <f t="shared" si="1326"/>
        <v>0</v>
      </c>
      <c r="CE400" s="1074"/>
      <c r="CF400" s="1072"/>
      <c r="CG400" s="1073"/>
      <c r="CH400" s="1073"/>
      <c r="CI400" s="891">
        <f t="shared" ref="CI400:CL400" si="1327">CI24</f>
        <v>433360289.62213159</v>
      </c>
      <c r="CJ400" s="891">
        <f t="shared" si="1327"/>
        <v>433360289.62213159</v>
      </c>
      <c r="CK400" s="891">
        <f t="shared" si="1327"/>
        <v>0</v>
      </c>
      <c r="CL400" s="891">
        <f t="shared" si="1327"/>
        <v>0</v>
      </c>
      <c r="CM400" s="1074"/>
      <c r="CN400" s="1072"/>
      <c r="CO400" s="1073"/>
      <c r="CP400" s="1073"/>
      <c r="CQ400" s="891">
        <f t="shared" ref="CQ400:CT400" si="1328">CQ24</f>
        <v>433360289.62213159</v>
      </c>
      <c r="CR400" s="891">
        <f t="shared" si="1328"/>
        <v>433360289.62213159</v>
      </c>
      <c r="CS400" s="891">
        <f t="shared" si="1328"/>
        <v>0</v>
      </c>
      <c r="CT400" s="891">
        <f t="shared" si="1328"/>
        <v>0</v>
      </c>
      <c r="CU400" s="1074"/>
      <c r="CV400" s="1072"/>
      <c r="CW400" s="1073"/>
      <c r="CX400" s="1073"/>
      <c r="CY400" s="891">
        <f t="shared" ref="CY400:DB400" si="1329">CY24</f>
        <v>433360289.62213159</v>
      </c>
      <c r="CZ400" s="891">
        <f t="shared" si="1329"/>
        <v>433360289.62213159</v>
      </c>
      <c r="DA400" s="891">
        <f t="shared" si="1329"/>
        <v>0</v>
      </c>
      <c r="DB400" s="891">
        <f t="shared" si="1329"/>
        <v>0</v>
      </c>
      <c r="DC400" s="1074"/>
      <c r="DD400" s="1072"/>
      <c r="DE400" s="1073"/>
      <c r="DF400" s="1073"/>
      <c r="DG400" s="891">
        <f t="shared" ref="DG400:DJ400" si="1330">DG24</f>
        <v>433360289.62213159</v>
      </c>
      <c r="DH400" s="891">
        <f t="shared" si="1330"/>
        <v>433360289.62213159</v>
      </c>
      <c r="DI400" s="891">
        <f t="shared" si="1330"/>
        <v>0</v>
      </c>
      <c r="DJ400" s="891">
        <f t="shared" si="1330"/>
        <v>0</v>
      </c>
      <c r="DK400" s="1074"/>
      <c r="DL400" s="1072"/>
      <c r="DM400" s="1073"/>
      <c r="DN400" s="1073"/>
      <c r="DO400" s="891">
        <f t="shared" ref="DO400:DR400" si="1331">DO24</f>
        <v>433360289.62213159</v>
      </c>
      <c r="DP400" s="891">
        <f t="shared" si="1331"/>
        <v>433360289.62213159</v>
      </c>
      <c r="DQ400" s="891">
        <f t="shared" si="1331"/>
        <v>0</v>
      </c>
      <c r="DR400" s="891">
        <f t="shared" si="1331"/>
        <v>0</v>
      </c>
      <c r="DS400" s="1074"/>
      <c r="DT400" s="1072"/>
      <c r="DU400" s="1073"/>
      <c r="DV400" s="1073"/>
      <c r="DW400" s="891">
        <f t="shared" ref="DW400:DZ400" si="1332">DW24</f>
        <v>433360289.62213159</v>
      </c>
      <c r="DX400" s="891">
        <f t="shared" si="1332"/>
        <v>433360289.62213159</v>
      </c>
      <c r="DY400" s="891">
        <f t="shared" si="1332"/>
        <v>0</v>
      </c>
      <c r="DZ400" s="891">
        <f t="shared" si="1332"/>
        <v>0</v>
      </c>
      <c r="EA400" s="1074"/>
      <c r="EB400" s="1072"/>
      <c r="EC400" s="1073"/>
      <c r="ED400" s="1073"/>
      <c r="EE400" s="891">
        <f t="shared" ref="EE400:EH400" si="1333">EE24</f>
        <v>433360289.62213159</v>
      </c>
      <c r="EF400" s="891">
        <f t="shared" si="1333"/>
        <v>433360289.62213159</v>
      </c>
      <c r="EG400" s="891">
        <f t="shared" si="1333"/>
        <v>0</v>
      </c>
      <c r="EH400" s="891">
        <f t="shared" si="1333"/>
        <v>0</v>
      </c>
      <c r="EI400" s="1074"/>
      <c r="EJ400" s="1072"/>
      <c r="EK400" s="1073"/>
      <c r="EL400" s="1073"/>
      <c r="EM400" s="891">
        <f t="shared" ref="EM400:EP400" si="1334">EM24</f>
        <v>433360289.62213159</v>
      </c>
      <c r="EN400" s="891">
        <f t="shared" si="1334"/>
        <v>433360289.62213159</v>
      </c>
      <c r="EO400" s="891">
        <f t="shared" si="1334"/>
        <v>0</v>
      </c>
      <c r="EP400" s="891">
        <f t="shared" si="1334"/>
        <v>0</v>
      </c>
      <c r="EQ400" s="1074"/>
      <c r="ER400" s="1072"/>
      <c r="ES400" s="1073"/>
      <c r="ET400" s="1073"/>
      <c r="EU400" s="891">
        <f t="shared" ref="EU400:EX400" si="1335">EU24</f>
        <v>433360289.62213159</v>
      </c>
      <c r="EV400" s="891">
        <f t="shared" si="1335"/>
        <v>433360289.62213159</v>
      </c>
      <c r="EW400" s="891">
        <f t="shared" si="1335"/>
        <v>0</v>
      </c>
      <c r="EX400" s="891">
        <f t="shared" si="1335"/>
        <v>0</v>
      </c>
      <c r="EY400" s="1074"/>
      <c r="EZ400" s="1072"/>
      <c r="FA400" s="1073"/>
      <c r="FB400" s="1073"/>
      <c r="FC400" s="891">
        <f t="shared" ref="FC400:FF400" si="1336">FC24</f>
        <v>433360289.62213159</v>
      </c>
      <c r="FD400" s="891">
        <f t="shared" si="1336"/>
        <v>433360289.62213159</v>
      </c>
      <c r="FE400" s="891">
        <f t="shared" si="1336"/>
        <v>0</v>
      </c>
      <c r="FF400" s="891">
        <f t="shared" si="1336"/>
        <v>0</v>
      </c>
      <c r="FG400" s="1074"/>
      <c r="FH400" s="1072"/>
      <c r="FI400" s="1073"/>
      <c r="FJ400" s="1073"/>
      <c r="FK400" s="891">
        <f t="shared" ref="FK400:FN400" si="1337">FK24</f>
        <v>433360289.62213159</v>
      </c>
      <c r="FL400" s="891">
        <f t="shared" si="1337"/>
        <v>433360289.62213159</v>
      </c>
      <c r="FM400" s="891">
        <f t="shared" si="1337"/>
        <v>0</v>
      </c>
      <c r="FN400" s="891">
        <f t="shared" si="1337"/>
        <v>0</v>
      </c>
      <c r="FO400" s="1074"/>
    </row>
    <row r="401" spans="2:171" x14ac:dyDescent="0.25">
      <c r="B401" s="108"/>
      <c r="C401" s="108" t="s">
        <v>117</v>
      </c>
      <c r="D401" s="1072"/>
      <c r="E401" s="905" t="s">
        <v>394</v>
      </c>
      <c r="G401" s="891">
        <f t="shared" si="1277"/>
        <v>2258385628.1561666</v>
      </c>
      <c r="H401" s="891">
        <f t="shared" si="1277"/>
        <v>2258385628.1561666</v>
      </c>
      <c r="I401" s="891">
        <f t="shared" si="1277"/>
        <v>0</v>
      </c>
      <c r="J401" s="891">
        <f t="shared" si="1277"/>
        <v>0</v>
      </c>
      <c r="K401" s="1074"/>
      <c r="L401" s="1072"/>
      <c r="M401" s="1073"/>
      <c r="N401" s="1073"/>
      <c r="O401" s="891">
        <f t="shared" ref="O401:R401" si="1338">O25</f>
        <v>2258385628.1561666</v>
      </c>
      <c r="P401" s="891">
        <f t="shared" si="1338"/>
        <v>2258385628.1561666</v>
      </c>
      <c r="Q401" s="891">
        <f t="shared" si="1338"/>
        <v>0</v>
      </c>
      <c r="R401" s="891">
        <f t="shared" si="1338"/>
        <v>0</v>
      </c>
      <c r="S401" s="1074"/>
      <c r="T401" s="1072"/>
      <c r="U401" s="1073"/>
      <c r="V401" s="1073"/>
      <c r="W401" s="891">
        <f t="shared" ref="W401:Z401" si="1339">W25</f>
        <v>2258385628.1561666</v>
      </c>
      <c r="X401" s="891">
        <f t="shared" si="1339"/>
        <v>2258385628.1561666</v>
      </c>
      <c r="Y401" s="891">
        <f t="shared" si="1339"/>
        <v>0</v>
      </c>
      <c r="Z401" s="891">
        <f t="shared" si="1339"/>
        <v>0</v>
      </c>
      <c r="AA401" s="1074"/>
      <c r="AB401" s="1072"/>
      <c r="AC401" s="1073"/>
      <c r="AD401" s="1073"/>
      <c r="AE401" s="891">
        <f t="shared" ref="AE401:AH401" si="1340">AE25</f>
        <v>2258385628.1561666</v>
      </c>
      <c r="AF401" s="891">
        <f t="shared" si="1340"/>
        <v>2258385628.1561666</v>
      </c>
      <c r="AG401" s="891">
        <f t="shared" si="1340"/>
        <v>0</v>
      </c>
      <c r="AH401" s="891">
        <f t="shared" si="1340"/>
        <v>0</v>
      </c>
      <c r="AI401" s="1074"/>
      <c r="AJ401" s="1072"/>
      <c r="AK401" s="1073"/>
      <c r="AL401" s="1073"/>
      <c r="AM401" s="891">
        <f t="shared" ref="AM401:AP401" si="1341">AM25</f>
        <v>2258385628.1561666</v>
      </c>
      <c r="AN401" s="891">
        <f t="shared" si="1341"/>
        <v>2258385628.1561666</v>
      </c>
      <c r="AO401" s="891">
        <f t="shared" si="1341"/>
        <v>0</v>
      </c>
      <c r="AP401" s="891">
        <f t="shared" si="1341"/>
        <v>0</v>
      </c>
      <c r="AQ401" s="1074"/>
      <c r="AR401" s="1072"/>
      <c r="AS401" s="1073"/>
      <c r="AT401" s="1073"/>
      <c r="AU401" s="891">
        <f t="shared" ref="AU401:AX401" si="1342">AU25</f>
        <v>2258385628.1561666</v>
      </c>
      <c r="AV401" s="891">
        <f t="shared" si="1342"/>
        <v>2258385628.1561666</v>
      </c>
      <c r="AW401" s="891">
        <f t="shared" si="1342"/>
        <v>0</v>
      </c>
      <c r="AX401" s="891">
        <f t="shared" si="1342"/>
        <v>0</v>
      </c>
      <c r="AY401" s="1074"/>
      <c r="AZ401" s="1072"/>
      <c r="BA401" s="1073"/>
      <c r="BB401" s="1073"/>
      <c r="BC401" s="891">
        <f t="shared" ref="BC401:BF401" si="1343">BC25</f>
        <v>2258385628.1561666</v>
      </c>
      <c r="BD401" s="891">
        <f t="shared" si="1343"/>
        <v>2258385628.1561666</v>
      </c>
      <c r="BE401" s="891">
        <f t="shared" si="1343"/>
        <v>0</v>
      </c>
      <c r="BF401" s="891">
        <f t="shared" si="1343"/>
        <v>0</v>
      </c>
      <c r="BG401" s="1074"/>
      <c r="BH401" s="1072"/>
      <c r="BI401" s="1073"/>
      <c r="BJ401" s="1073"/>
      <c r="BK401" s="891">
        <f t="shared" ref="BK401:BN401" si="1344">BK25</f>
        <v>2258385628.1561666</v>
      </c>
      <c r="BL401" s="891">
        <f t="shared" si="1344"/>
        <v>2258385628.1561666</v>
      </c>
      <c r="BM401" s="891">
        <f t="shared" si="1344"/>
        <v>0</v>
      </c>
      <c r="BN401" s="891">
        <f t="shared" si="1344"/>
        <v>0</v>
      </c>
      <c r="BO401" s="1074"/>
      <c r="BP401" s="1072"/>
      <c r="BQ401" s="1073"/>
      <c r="BR401" s="1073"/>
      <c r="BS401" s="891">
        <f t="shared" ref="BS401:BV401" si="1345">BS25</f>
        <v>2258385628.1561666</v>
      </c>
      <c r="BT401" s="891">
        <f t="shared" si="1345"/>
        <v>2258385628.1561666</v>
      </c>
      <c r="BU401" s="891">
        <f t="shared" si="1345"/>
        <v>0</v>
      </c>
      <c r="BV401" s="891">
        <f t="shared" si="1345"/>
        <v>0</v>
      </c>
      <c r="BW401" s="1074"/>
      <c r="BX401" s="1072"/>
      <c r="BY401" s="1073"/>
      <c r="BZ401" s="1073"/>
      <c r="CA401" s="891">
        <f t="shared" ref="CA401:CD401" si="1346">CA25</f>
        <v>2258385628.1561666</v>
      </c>
      <c r="CB401" s="891">
        <f t="shared" si="1346"/>
        <v>2258385628.1561666</v>
      </c>
      <c r="CC401" s="891">
        <f t="shared" si="1346"/>
        <v>0</v>
      </c>
      <c r="CD401" s="891">
        <f t="shared" si="1346"/>
        <v>0</v>
      </c>
      <c r="CE401" s="1074"/>
      <c r="CF401" s="1072"/>
      <c r="CG401" s="1073"/>
      <c r="CH401" s="1073"/>
      <c r="CI401" s="891">
        <f t="shared" ref="CI401:CL401" si="1347">CI25</f>
        <v>2258385628.1561666</v>
      </c>
      <c r="CJ401" s="891">
        <f t="shared" si="1347"/>
        <v>2258385628.1561666</v>
      </c>
      <c r="CK401" s="891">
        <f t="shared" si="1347"/>
        <v>0</v>
      </c>
      <c r="CL401" s="891">
        <f t="shared" si="1347"/>
        <v>0</v>
      </c>
      <c r="CM401" s="1074"/>
      <c r="CN401" s="1072"/>
      <c r="CO401" s="1073"/>
      <c r="CP401" s="1073"/>
      <c r="CQ401" s="891">
        <f t="shared" ref="CQ401:CT401" si="1348">CQ25</f>
        <v>2258385628.1561666</v>
      </c>
      <c r="CR401" s="891">
        <f t="shared" si="1348"/>
        <v>2258385628.1561666</v>
      </c>
      <c r="CS401" s="891">
        <f t="shared" si="1348"/>
        <v>0</v>
      </c>
      <c r="CT401" s="891">
        <f t="shared" si="1348"/>
        <v>0</v>
      </c>
      <c r="CU401" s="1074"/>
      <c r="CV401" s="1072"/>
      <c r="CW401" s="1073"/>
      <c r="CX401" s="1073"/>
      <c r="CY401" s="891">
        <f t="shared" ref="CY401:DB401" si="1349">CY25</f>
        <v>2258385628.1561666</v>
      </c>
      <c r="CZ401" s="891">
        <f t="shared" si="1349"/>
        <v>2258385628.1561666</v>
      </c>
      <c r="DA401" s="891">
        <f t="shared" si="1349"/>
        <v>0</v>
      </c>
      <c r="DB401" s="891">
        <f t="shared" si="1349"/>
        <v>0</v>
      </c>
      <c r="DC401" s="1074"/>
      <c r="DD401" s="1072"/>
      <c r="DE401" s="1073"/>
      <c r="DF401" s="1073"/>
      <c r="DG401" s="891">
        <f t="shared" ref="DG401:DJ401" si="1350">DG25</f>
        <v>2258385628.1561666</v>
      </c>
      <c r="DH401" s="891">
        <f t="shared" si="1350"/>
        <v>2258385628.1561666</v>
      </c>
      <c r="DI401" s="891">
        <f t="shared" si="1350"/>
        <v>0</v>
      </c>
      <c r="DJ401" s="891">
        <f t="shared" si="1350"/>
        <v>0</v>
      </c>
      <c r="DK401" s="1074"/>
      <c r="DL401" s="1072"/>
      <c r="DM401" s="1073"/>
      <c r="DN401" s="1073"/>
      <c r="DO401" s="891">
        <f t="shared" ref="DO401:DR401" si="1351">DO25</f>
        <v>2258385628.1561666</v>
      </c>
      <c r="DP401" s="891">
        <f t="shared" si="1351"/>
        <v>2258385628.1561666</v>
      </c>
      <c r="DQ401" s="891">
        <f t="shared" si="1351"/>
        <v>0</v>
      </c>
      <c r="DR401" s="891">
        <f t="shared" si="1351"/>
        <v>0</v>
      </c>
      <c r="DS401" s="1074"/>
      <c r="DT401" s="1072"/>
      <c r="DU401" s="1073"/>
      <c r="DV401" s="1073"/>
      <c r="DW401" s="891">
        <f t="shared" ref="DW401:DZ401" si="1352">DW25</f>
        <v>2258385628.1561666</v>
      </c>
      <c r="DX401" s="891">
        <f t="shared" si="1352"/>
        <v>2258385628.1561666</v>
      </c>
      <c r="DY401" s="891">
        <f t="shared" si="1352"/>
        <v>0</v>
      </c>
      <c r="DZ401" s="891">
        <f t="shared" si="1352"/>
        <v>0</v>
      </c>
      <c r="EA401" s="1074"/>
      <c r="EB401" s="1072"/>
      <c r="EC401" s="1073"/>
      <c r="ED401" s="1073"/>
      <c r="EE401" s="891">
        <f t="shared" ref="EE401:EH401" si="1353">EE25</f>
        <v>2258385628.1561666</v>
      </c>
      <c r="EF401" s="891">
        <f t="shared" si="1353"/>
        <v>2258385628.1561666</v>
      </c>
      <c r="EG401" s="891">
        <f t="shared" si="1353"/>
        <v>0</v>
      </c>
      <c r="EH401" s="891">
        <f t="shared" si="1353"/>
        <v>0</v>
      </c>
      <c r="EI401" s="1074"/>
      <c r="EJ401" s="1072"/>
      <c r="EK401" s="1073"/>
      <c r="EL401" s="1073"/>
      <c r="EM401" s="891">
        <f t="shared" ref="EM401:EP401" si="1354">EM25</f>
        <v>2258385628.1561666</v>
      </c>
      <c r="EN401" s="891">
        <f t="shared" si="1354"/>
        <v>2258385628.1561666</v>
      </c>
      <c r="EO401" s="891">
        <f t="shared" si="1354"/>
        <v>0</v>
      </c>
      <c r="EP401" s="891">
        <f t="shared" si="1354"/>
        <v>0</v>
      </c>
      <c r="EQ401" s="1074"/>
      <c r="ER401" s="1072"/>
      <c r="ES401" s="1073"/>
      <c r="ET401" s="1073"/>
      <c r="EU401" s="891">
        <f t="shared" ref="EU401:EX401" si="1355">EU25</f>
        <v>2258385628.1561666</v>
      </c>
      <c r="EV401" s="891">
        <f t="shared" si="1355"/>
        <v>2258385628.1561666</v>
      </c>
      <c r="EW401" s="891">
        <f t="shared" si="1355"/>
        <v>0</v>
      </c>
      <c r="EX401" s="891">
        <f t="shared" si="1355"/>
        <v>0</v>
      </c>
      <c r="EY401" s="1074"/>
      <c r="EZ401" s="1072"/>
      <c r="FA401" s="1073"/>
      <c r="FB401" s="1073"/>
      <c r="FC401" s="891">
        <f t="shared" ref="FC401:FF401" si="1356">FC25</f>
        <v>2258385628.1561666</v>
      </c>
      <c r="FD401" s="891">
        <f t="shared" si="1356"/>
        <v>2258385628.1561666</v>
      </c>
      <c r="FE401" s="891">
        <f t="shared" si="1356"/>
        <v>0</v>
      </c>
      <c r="FF401" s="891">
        <f t="shared" si="1356"/>
        <v>0</v>
      </c>
      <c r="FG401" s="1074"/>
      <c r="FH401" s="1072"/>
      <c r="FI401" s="1073"/>
      <c r="FJ401" s="1073"/>
      <c r="FK401" s="891">
        <f t="shared" ref="FK401:FN401" si="1357">FK25</f>
        <v>2258385628.1561666</v>
      </c>
      <c r="FL401" s="891">
        <f t="shared" si="1357"/>
        <v>2258385628.1561666</v>
      </c>
      <c r="FM401" s="891">
        <f t="shared" si="1357"/>
        <v>0</v>
      </c>
      <c r="FN401" s="891">
        <f t="shared" si="1357"/>
        <v>0</v>
      </c>
      <c r="FO401" s="1074"/>
    </row>
    <row r="402" spans="2:171" x14ac:dyDescent="0.25">
      <c r="B402" s="108"/>
      <c r="C402" s="108" t="s">
        <v>119</v>
      </c>
      <c r="D402" s="1072"/>
      <c r="E402" s="905"/>
      <c r="G402" s="891">
        <f>SUM(G398:G401)</f>
        <v>5582371867.6053581</v>
      </c>
      <c r="H402" s="891">
        <f t="shared" ref="H402:J402" si="1358">SUM(H398:H401)</f>
        <v>5582371867.6053581</v>
      </c>
      <c r="I402" s="891">
        <f t="shared" si="1358"/>
        <v>0</v>
      </c>
      <c r="J402" s="891">
        <f t="shared" si="1358"/>
        <v>0</v>
      </c>
      <c r="K402" s="1074"/>
      <c r="L402" s="1072"/>
      <c r="M402" s="1073"/>
      <c r="N402" s="1073"/>
      <c r="O402" s="891">
        <f>SUM(O398:O401)</f>
        <v>5582371867.6053581</v>
      </c>
      <c r="P402" s="891">
        <f t="shared" ref="P402:R402" si="1359">SUM(P398:P401)</f>
        <v>5582371867.6053581</v>
      </c>
      <c r="Q402" s="891">
        <f t="shared" si="1359"/>
        <v>0</v>
      </c>
      <c r="R402" s="891">
        <f t="shared" si="1359"/>
        <v>0</v>
      </c>
      <c r="S402" s="1074"/>
      <c r="T402" s="1072"/>
      <c r="U402" s="1073"/>
      <c r="V402" s="1073"/>
      <c r="W402" s="891">
        <f>SUM(W398:W401)</f>
        <v>5582371867.6053581</v>
      </c>
      <c r="X402" s="891">
        <f t="shared" ref="X402:Z402" si="1360">SUM(X398:X401)</f>
        <v>5582371867.6053581</v>
      </c>
      <c r="Y402" s="891">
        <f t="shared" si="1360"/>
        <v>0</v>
      </c>
      <c r="Z402" s="891">
        <f t="shared" si="1360"/>
        <v>0</v>
      </c>
      <c r="AA402" s="1074"/>
      <c r="AB402" s="1072"/>
      <c r="AC402" s="1073"/>
      <c r="AD402" s="1073"/>
      <c r="AE402" s="891">
        <f>SUM(AE398:AE401)</f>
        <v>5582371867.6053581</v>
      </c>
      <c r="AF402" s="891">
        <f t="shared" ref="AF402:AH402" si="1361">SUM(AF398:AF401)</f>
        <v>5582371867.6053581</v>
      </c>
      <c r="AG402" s="891">
        <f t="shared" si="1361"/>
        <v>0</v>
      </c>
      <c r="AH402" s="891">
        <f t="shared" si="1361"/>
        <v>0</v>
      </c>
      <c r="AI402" s="1074"/>
      <c r="AJ402" s="1072"/>
      <c r="AK402" s="1073"/>
      <c r="AL402" s="1073"/>
      <c r="AM402" s="891">
        <f>SUM(AM398:AM401)</f>
        <v>5582371867.6053581</v>
      </c>
      <c r="AN402" s="891">
        <f t="shared" ref="AN402:AP402" si="1362">SUM(AN398:AN401)</f>
        <v>5582371867.6053581</v>
      </c>
      <c r="AO402" s="891">
        <f t="shared" si="1362"/>
        <v>0</v>
      </c>
      <c r="AP402" s="891">
        <f t="shared" si="1362"/>
        <v>0</v>
      </c>
      <c r="AQ402" s="1074"/>
      <c r="AR402" s="1072"/>
      <c r="AS402" s="1073"/>
      <c r="AT402" s="1073"/>
      <c r="AU402" s="891">
        <f>SUM(AU398:AU401)</f>
        <v>5582371867.6053581</v>
      </c>
      <c r="AV402" s="891">
        <f t="shared" ref="AV402:AX402" si="1363">SUM(AV398:AV401)</f>
        <v>5582371867.6053581</v>
      </c>
      <c r="AW402" s="891">
        <f t="shared" si="1363"/>
        <v>0</v>
      </c>
      <c r="AX402" s="891">
        <f t="shared" si="1363"/>
        <v>0</v>
      </c>
      <c r="AY402" s="1074"/>
      <c r="AZ402" s="1072"/>
      <c r="BA402" s="1073"/>
      <c r="BB402" s="1073"/>
      <c r="BC402" s="891">
        <f>SUM(BC398:BC401)</f>
        <v>5582371867.6053581</v>
      </c>
      <c r="BD402" s="891">
        <f t="shared" ref="BD402:BF402" si="1364">SUM(BD398:BD401)</f>
        <v>5582371867.6053581</v>
      </c>
      <c r="BE402" s="891">
        <f t="shared" si="1364"/>
        <v>0</v>
      </c>
      <c r="BF402" s="891">
        <f t="shared" si="1364"/>
        <v>0</v>
      </c>
      <c r="BG402" s="1074"/>
      <c r="BH402" s="1072"/>
      <c r="BI402" s="1073"/>
      <c r="BJ402" s="1073"/>
      <c r="BK402" s="891">
        <f>SUM(BK398:BK401)</f>
        <v>5582371867.6053581</v>
      </c>
      <c r="BL402" s="891">
        <f t="shared" ref="BL402:BN402" si="1365">SUM(BL398:BL401)</f>
        <v>5582371867.6053581</v>
      </c>
      <c r="BM402" s="891">
        <f t="shared" si="1365"/>
        <v>0</v>
      </c>
      <c r="BN402" s="891">
        <f t="shared" si="1365"/>
        <v>0</v>
      </c>
      <c r="BO402" s="1074"/>
      <c r="BP402" s="1072"/>
      <c r="BQ402" s="1073"/>
      <c r="BR402" s="1073"/>
      <c r="BS402" s="891">
        <f>SUM(BS398:BS401)</f>
        <v>5582371867.6053581</v>
      </c>
      <c r="BT402" s="891">
        <f t="shared" ref="BT402:BV402" si="1366">SUM(BT398:BT401)</f>
        <v>5582371867.6053581</v>
      </c>
      <c r="BU402" s="891">
        <f t="shared" si="1366"/>
        <v>0</v>
      </c>
      <c r="BV402" s="891">
        <f t="shared" si="1366"/>
        <v>0</v>
      </c>
      <c r="BW402" s="1074"/>
      <c r="BX402" s="1072"/>
      <c r="BY402" s="1073"/>
      <c r="BZ402" s="1073"/>
      <c r="CA402" s="891">
        <f>SUM(CA398:CA401)</f>
        <v>5582371867.6053581</v>
      </c>
      <c r="CB402" s="891">
        <f t="shared" ref="CB402:CD402" si="1367">SUM(CB398:CB401)</f>
        <v>5582371867.6053581</v>
      </c>
      <c r="CC402" s="891">
        <f t="shared" si="1367"/>
        <v>0</v>
      </c>
      <c r="CD402" s="891">
        <f t="shared" si="1367"/>
        <v>0</v>
      </c>
      <c r="CE402" s="1074"/>
      <c r="CF402" s="1072"/>
      <c r="CG402" s="1073"/>
      <c r="CH402" s="1073"/>
      <c r="CI402" s="891">
        <f>SUM(CI398:CI401)</f>
        <v>5582371867.6053581</v>
      </c>
      <c r="CJ402" s="891">
        <f t="shared" ref="CJ402:CL402" si="1368">SUM(CJ398:CJ401)</f>
        <v>5582371867.6053581</v>
      </c>
      <c r="CK402" s="891">
        <f t="shared" si="1368"/>
        <v>0</v>
      </c>
      <c r="CL402" s="891">
        <f t="shared" si="1368"/>
        <v>0</v>
      </c>
      <c r="CM402" s="1074"/>
      <c r="CN402" s="1072"/>
      <c r="CO402" s="1073"/>
      <c r="CP402" s="1073"/>
      <c r="CQ402" s="891">
        <f>SUM(CQ398:CQ401)</f>
        <v>5582371867.6053581</v>
      </c>
      <c r="CR402" s="891">
        <f t="shared" ref="CR402:CT402" si="1369">SUM(CR398:CR401)</f>
        <v>5582371867.6053581</v>
      </c>
      <c r="CS402" s="891">
        <f t="shared" si="1369"/>
        <v>0</v>
      </c>
      <c r="CT402" s="891">
        <f t="shared" si="1369"/>
        <v>0</v>
      </c>
      <c r="CU402" s="1074"/>
      <c r="CV402" s="1072"/>
      <c r="CW402" s="1073"/>
      <c r="CX402" s="1073"/>
      <c r="CY402" s="891">
        <f>SUM(CY398:CY401)</f>
        <v>5582371867.6053581</v>
      </c>
      <c r="CZ402" s="891">
        <f t="shared" ref="CZ402:DB402" si="1370">SUM(CZ398:CZ401)</f>
        <v>5582371867.6053581</v>
      </c>
      <c r="DA402" s="891">
        <f t="shared" si="1370"/>
        <v>0</v>
      </c>
      <c r="DB402" s="891">
        <f t="shared" si="1370"/>
        <v>0</v>
      </c>
      <c r="DC402" s="1074"/>
      <c r="DD402" s="1072"/>
      <c r="DE402" s="1073"/>
      <c r="DF402" s="1073"/>
      <c r="DG402" s="891">
        <f>SUM(DG398:DG401)</f>
        <v>5582371867.6053581</v>
      </c>
      <c r="DH402" s="891">
        <f t="shared" ref="DH402:DJ402" si="1371">SUM(DH398:DH401)</f>
        <v>5582371867.6053581</v>
      </c>
      <c r="DI402" s="891">
        <f t="shared" si="1371"/>
        <v>0</v>
      </c>
      <c r="DJ402" s="891">
        <f t="shared" si="1371"/>
        <v>0</v>
      </c>
      <c r="DK402" s="1074"/>
      <c r="DL402" s="1072"/>
      <c r="DM402" s="1073"/>
      <c r="DN402" s="1073"/>
      <c r="DO402" s="891">
        <f>SUM(DO398:DO401)</f>
        <v>5582371867.6053581</v>
      </c>
      <c r="DP402" s="891">
        <f t="shared" ref="DP402:DR402" si="1372">SUM(DP398:DP401)</f>
        <v>5582371867.6053581</v>
      </c>
      <c r="DQ402" s="891">
        <f t="shared" si="1372"/>
        <v>0</v>
      </c>
      <c r="DR402" s="891">
        <f t="shared" si="1372"/>
        <v>0</v>
      </c>
      <c r="DS402" s="1074"/>
      <c r="DT402" s="1072"/>
      <c r="DU402" s="1073"/>
      <c r="DV402" s="1073"/>
      <c r="DW402" s="891">
        <f>SUM(DW398:DW401)</f>
        <v>5582371867.6053581</v>
      </c>
      <c r="DX402" s="891">
        <f t="shared" ref="DX402:DZ402" si="1373">SUM(DX398:DX401)</f>
        <v>5582371867.6053581</v>
      </c>
      <c r="DY402" s="891">
        <f t="shared" si="1373"/>
        <v>0</v>
      </c>
      <c r="DZ402" s="891">
        <f t="shared" si="1373"/>
        <v>0</v>
      </c>
      <c r="EA402" s="1074"/>
      <c r="EB402" s="1072"/>
      <c r="EC402" s="1073"/>
      <c r="ED402" s="1073"/>
      <c r="EE402" s="891">
        <f>SUM(EE398:EE401)</f>
        <v>5582371867.6053581</v>
      </c>
      <c r="EF402" s="891">
        <f t="shared" ref="EF402:EH402" si="1374">SUM(EF398:EF401)</f>
        <v>5582371867.6053581</v>
      </c>
      <c r="EG402" s="891">
        <f t="shared" si="1374"/>
        <v>0</v>
      </c>
      <c r="EH402" s="891">
        <f t="shared" si="1374"/>
        <v>0</v>
      </c>
      <c r="EI402" s="1074"/>
      <c r="EJ402" s="1072"/>
      <c r="EK402" s="1073"/>
      <c r="EL402" s="1073"/>
      <c r="EM402" s="891">
        <f>SUM(EM398:EM401)</f>
        <v>5582371867.6053581</v>
      </c>
      <c r="EN402" s="891">
        <f t="shared" ref="EN402:EP402" si="1375">SUM(EN398:EN401)</f>
        <v>5582371867.6053581</v>
      </c>
      <c r="EO402" s="891">
        <f t="shared" si="1375"/>
        <v>0</v>
      </c>
      <c r="EP402" s="891">
        <f t="shared" si="1375"/>
        <v>0</v>
      </c>
      <c r="EQ402" s="1074"/>
      <c r="ER402" s="1072"/>
      <c r="ES402" s="1073"/>
      <c r="ET402" s="1073"/>
      <c r="EU402" s="891">
        <f>SUM(EU398:EU401)</f>
        <v>5582371867.6053581</v>
      </c>
      <c r="EV402" s="891">
        <f t="shared" ref="EV402:EX402" si="1376">SUM(EV398:EV401)</f>
        <v>5582371867.6053581</v>
      </c>
      <c r="EW402" s="891">
        <f t="shared" si="1376"/>
        <v>0</v>
      </c>
      <c r="EX402" s="891">
        <f t="shared" si="1376"/>
        <v>0</v>
      </c>
      <c r="EY402" s="1074"/>
      <c r="EZ402" s="1072"/>
      <c r="FA402" s="1073"/>
      <c r="FB402" s="1073"/>
      <c r="FC402" s="891">
        <f>SUM(FC398:FC401)</f>
        <v>5582371867.6053581</v>
      </c>
      <c r="FD402" s="891">
        <f t="shared" ref="FD402:FF402" si="1377">SUM(FD398:FD401)</f>
        <v>5582371867.6053581</v>
      </c>
      <c r="FE402" s="891">
        <f t="shared" si="1377"/>
        <v>0</v>
      </c>
      <c r="FF402" s="891">
        <f t="shared" si="1377"/>
        <v>0</v>
      </c>
      <c r="FG402" s="1074"/>
      <c r="FH402" s="1072"/>
      <c r="FI402" s="1073"/>
      <c r="FJ402" s="1073"/>
      <c r="FK402" s="891">
        <f>SUM(FK398:FK401)</f>
        <v>5582371867.6053581</v>
      </c>
      <c r="FL402" s="891">
        <f t="shared" ref="FL402:FN402" si="1378">SUM(FL398:FL401)</f>
        <v>5582371867.6053581</v>
      </c>
      <c r="FM402" s="891">
        <f t="shared" si="1378"/>
        <v>0</v>
      </c>
      <c r="FN402" s="891">
        <f t="shared" si="1378"/>
        <v>0</v>
      </c>
      <c r="FO402" s="1074"/>
    </row>
    <row r="403" spans="2:171" x14ac:dyDescent="0.25">
      <c r="B403" s="108"/>
      <c r="C403" s="108" t="s">
        <v>526</v>
      </c>
      <c r="D403" s="1072"/>
      <c r="E403" s="905" t="s">
        <v>393</v>
      </c>
      <c r="G403" s="891">
        <f>G30</f>
        <v>3295838980.7862144</v>
      </c>
      <c r="H403" s="891">
        <f t="shared" ref="H403:J403" si="1379">H30</f>
        <v>0</v>
      </c>
      <c r="I403" s="891">
        <f t="shared" si="1379"/>
        <v>0</v>
      </c>
      <c r="J403" s="891">
        <f t="shared" si="1379"/>
        <v>3295838980.7862144</v>
      </c>
      <c r="K403" s="1074"/>
      <c r="L403" s="1072"/>
      <c r="M403" s="1073"/>
      <c r="N403" s="1073"/>
      <c r="O403" s="891">
        <f>O30</f>
        <v>3295838980.7862144</v>
      </c>
      <c r="P403" s="891">
        <f t="shared" ref="P403:R403" si="1380">P30</f>
        <v>0</v>
      </c>
      <c r="Q403" s="891">
        <f t="shared" si="1380"/>
        <v>3295838980.7862144</v>
      </c>
      <c r="R403" s="891">
        <f t="shared" si="1380"/>
        <v>0</v>
      </c>
      <c r="S403" s="1074"/>
      <c r="T403" s="1072"/>
      <c r="U403" s="1073"/>
      <c r="V403" s="1073"/>
      <c r="W403" s="891">
        <f>W30</f>
        <v>3295838980.7862144</v>
      </c>
      <c r="X403" s="891">
        <f t="shared" ref="X403:Z403" si="1381">X30</f>
        <v>0</v>
      </c>
      <c r="Y403" s="891">
        <f t="shared" si="1381"/>
        <v>3295838980.7862144</v>
      </c>
      <c r="Z403" s="891">
        <f t="shared" si="1381"/>
        <v>0</v>
      </c>
      <c r="AA403" s="1074"/>
      <c r="AB403" s="1072"/>
      <c r="AC403" s="1073"/>
      <c r="AD403" s="1073"/>
      <c r="AE403" s="891">
        <f>AE30</f>
        <v>3295838980.7862144</v>
      </c>
      <c r="AF403" s="891">
        <f t="shared" ref="AF403:AH403" si="1382">AF30</f>
        <v>0</v>
      </c>
      <c r="AG403" s="891">
        <f t="shared" si="1382"/>
        <v>3295838980.7862144</v>
      </c>
      <c r="AH403" s="891">
        <f t="shared" si="1382"/>
        <v>0</v>
      </c>
      <c r="AI403" s="1074"/>
      <c r="AJ403" s="1072"/>
      <c r="AK403" s="1073"/>
      <c r="AL403" s="1073"/>
      <c r="AM403" s="891">
        <f>AM30</f>
        <v>3295838980.7862144</v>
      </c>
      <c r="AN403" s="891">
        <f t="shared" ref="AN403:AP403" si="1383">AN30</f>
        <v>0</v>
      </c>
      <c r="AO403" s="891">
        <f t="shared" si="1383"/>
        <v>3295838980.7862144</v>
      </c>
      <c r="AP403" s="891">
        <f t="shared" si="1383"/>
        <v>0</v>
      </c>
      <c r="AQ403" s="1074"/>
      <c r="AR403" s="1072"/>
      <c r="AS403" s="1073"/>
      <c r="AT403" s="1073"/>
      <c r="AU403" s="891">
        <f>AU30</f>
        <v>3295838980.7862144</v>
      </c>
      <c r="AV403" s="891">
        <f t="shared" ref="AV403:AX403" si="1384">AV30</f>
        <v>0</v>
      </c>
      <c r="AW403" s="891">
        <f t="shared" si="1384"/>
        <v>3295838980.7862144</v>
      </c>
      <c r="AX403" s="891">
        <f t="shared" si="1384"/>
        <v>0</v>
      </c>
      <c r="AY403" s="1074"/>
      <c r="AZ403" s="1072"/>
      <c r="BA403" s="1073"/>
      <c r="BB403" s="1073"/>
      <c r="BC403" s="891">
        <f>BC30</f>
        <v>3295838980.7862144</v>
      </c>
      <c r="BD403" s="891">
        <f t="shared" ref="BD403:BF403" si="1385">BD30</f>
        <v>0</v>
      </c>
      <c r="BE403" s="891">
        <f t="shared" si="1385"/>
        <v>3295838980.7862144</v>
      </c>
      <c r="BF403" s="891">
        <f t="shared" si="1385"/>
        <v>0</v>
      </c>
      <c r="BG403" s="1074"/>
      <c r="BH403" s="1072"/>
      <c r="BI403" s="1073"/>
      <c r="BJ403" s="1073"/>
      <c r="BK403" s="891">
        <f>BK30</f>
        <v>3295838980.7862144</v>
      </c>
      <c r="BL403" s="891">
        <f t="shared" ref="BL403:BN403" si="1386">BL30</f>
        <v>0</v>
      </c>
      <c r="BM403" s="891">
        <f t="shared" si="1386"/>
        <v>3295838980.7862144</v>
      </c>
      <c r="BN403" s="891">
        <f t="shared" si="1386"/>
        <v>0</v>
      </c>
      <c r="BO403" s="1074"/>
      <c r="BP403" s="1072"/>
      <c r="BQ403" s="1073"/>
      <c r="BR403" s="1073"/>
      <c r="BS403" s="891">
        <f>BS30</f>
        <v>3295838980.7862144</v>
      </c>
      <c r="BT403" s="891">
        <f t="shared" ref="BT403:BV403" si="1387">BT30</f>
        <v>0</v>
      </c>
      <c r="BU403" s="891">
        <f t="shared" si="1387"/>
        <v>3295838980.7862144</v>
      </c>
      <c r="BV403" s="891">
        <f t="shared" si="1387"/>
        <v>0</v>
      </c>
      <c r="BW403" s="1074"/>
      <c r="BX403" s="1072"/>
      <c r="BY403" s="1073"/>
      <c r="BZ403" s="1073"/>
      <c r="CA403" s="891">
        <f>CA30</f>
        <v>3295838980.7862144</v>
      </c>
      <c r="CB403" s="891">
        <f t="shared" ref="CB403:CD403" si="1388">CB30</f>
        <v>0</v>
      </c>
      <c r="CC403" s="891">
        <f t="shared" si="1388"/>
        <v>3295838980.7862144</v>
      </c>
      <c r="CD403" s="891">
        <f t="shared" si="1388"/>
        <v>0</v>
      </c>
      <c r="CE403" s="1074"/>
      <c r="CF403" s="1072"/>
      <c r="CG403" s="1073"/>
      <c r="CH403" s="1073"/>
      <c r="CI403" s="891">
        <f>CI30</f>
        <v>3295838980.7862144</v>
      </c>
      <c r="CJ403" s="891">
        <f t="shared" ref="CJ403:CL403" si="1389">CJ30</f>
        <v>0</v>
      </c>
      <c r="CK403" s="891">
        <f t="shared" si="1389"/>
        <v>3295838980.7862144</v>
      </c>
      <c r="CL403" s="891">
        <f t="shared" si="1389"/>
        <v>0</v>
      </c>
      <c r="CM403" s="1074"/>
      <c r="CN403" s="1072"/>
      <c r="CO403" s="1073"/>
      <c r="CP403" s="1073"/>
      <c r="CQ403" s="891">
        <f>CQ30</f>
        <v>3295838980.7862144</v>
      </c>
      <c r="CR403" s="891">
        <f t="shared" ref="CR403:CT403" si="1390">CR30</f>
        <v>0</v>
      </c>
      <c r="CS403" s="891">
        <f t="shared" si="1390"/>
        <v>3295838980.7862144</v>
      </c>
      <c r="CT403" s="891">
        <f t="shared" si="1390"/>
        <v>0</v>
      </c>
      <c r="CU403" s="1074"/>
      <c r="CV403" s="1072"/>
      <c r="CW403" s="1073"/>
      <c r="CX403" s="1073"/>
      <c r="CY403" s="891">
        <f>CY30</f>
        <v>3295838980.7862144</v>
      </c>
      <c r="CZ403" s="891">
        <f t="shared" ref="CZ403:DB403" si="1391">CZ30</f>
        <v>0</v>
      </c>
      <c r="DA403" s="891">
        <f t="shared" si="1391"/>
        <v>3295838980.7862144</v>
      </c>
      <c r="DB403" s="891">
        <f t="shared" si="1391"/>
        <v>0</v>
      </c>
      <c r="DC403" s="1074"/>
      <c r="DD403" s="1072"/>
      <c r="DE403" s="1073"/>
      <c r="DF403" s="1073"/>
      <c r="DG403" s="891">
        <f>DG30</f>
        <v>3295838980.7862144</v>
      </c>
      <c r="DH403" s="891">
        <f t="shared" ref="DH403:DJ403" si="1392">DH30</f>
        <v>0</v>
      </c>
      <c r="DI403" s="891">
        <f t="shared" si="1392"/>
        <v>3295838980.7862144</v>
      </c>
      <c r="DJ403" s="891">
        <f t="shared" si="1392"/>
        <v>0</v>
      </c>
      <c r="DK403" s="1074"/>
      <c r="DL403" s="1072"/>
      <c r="DM403" s="1073"/>
      <c r="DN403" s="1073"/>
      <c r="DO403" s="891">
        <f>DO30</f>
        <v>3295838980.7862144</v>
      </c>
      <c r="DP403" s="891">
        <f t="shared" ref="DP403:DR403" si="1393">DP30</f>
        <v>0</v>
      </c>
      <c r="DQ403" s="891">
        <f t="shared" si="1393"/>
        <v>3295838980.7862144</v>
      </c>
      <c r="DR403" s="891">
        <f t="shared" si="1393"/>
        <v>0</v>
      </c>
      <c r="DS403" s="1074"/>
      <c r="DT403" s="1072"/>
      <c r="DU403" s="1073"/>
      <c r="DV403" s="1073"/>
      <c r="DW403" s="891">
        <f>DW30</f>
        <v>3295838980.7862144</v>
      </c>
      <c r="DX403" s="891">
        <f t="shared" ref="DX403:DZ403" si="1394">DX30</f>
        <v>0</v>
      </c>
      <c r="DY403" s="891">
        <f t="shared" si="1394"/>
        <v>3295838980.7862144</v>
      </c>
      <c r="DZ403" s="891">
        <f t="shared" si="1394"/>
        <v>0</v>
      </c>
      <c r="EA403" s="1074"/>
      <c r="EB403" s="1072"/>
      <c r="EC403" s="1073"/>
      <c r="ED403" s="1073"/>
      <c r="EE403" s="891">
        <f>EE30</f>
        <v>3295838980.7862144</v>
      </c>
      <c r="EF403" s="891">
        <f t="shared" ref="EF403:EH403" si="1395">EF30</f>
        <v>0</v>
      </c>
      <c r="EG403" s="891">
        <f t="shared" si="1395"/>
        <v>3295838980.7862144</v>
      </c>
      <c r="EH403" s="891">
        <f t="shared" si="1395"/>
        <v>0</v>
      </c>
      <c r="EI403" s="1074"/>
      <c r="EJ403" s="1072"/>
      <c r="EK403" s="1073"/>
      <c r="EL403" s="1073"/>
      <c r="EM403" s="891">
        <f>EM30</f>
        <v>3295838980.7862144</v>
      </c>
      <c r="EN403" s="891">
        <f t="shared" ref="EN403:EP403" si="1396">EN30</f>
        <v>0</v>
      </c>
      <c r="EO403" s="891">
        <f t="shared" si="1396"/>
        <v>3295838980.7862144</v>
      </c>
      <c r="EP403" s="891">
        <f t="shared" si="1396"/>
        <v>0</v>
      </c>
      <c r="EQ403" s="1074"/>
      <c r="ER403" s="1072"/>
      <c r="ES403" s="1073"/>
      <c r="ET403" s="1073"/>
      <c r="EU403" s="891">
        <f>EU30</f>
        <v>3295838980.7862144</v>
      </c>
      <c r="EV403" s="891">
        <f t="shared" ref="EV403:EX403" si="1397">EV30</f>
        <v>0</v>
      </c>
      <c r="EW403" s="891">
        <f t="shared" si="1397"/>
        <v>3295838980.7862144</v>
      </c>
      <c r="EX403" s="891">
        <f t="shared" si="1397"/>
        <v>0</v>
      </c>
      <c r="EY403" s="1074"/>
      <c r="EZ403" s="1072"/>
      <c r="FA403" s="1073"/>
      <c r="FB403" s="1073"/>
      <c r="FC403" s="891">
        <f>FC30</f>
        <v>3295838980.7862144</v>
      </c>
      <c r="FD403" s="891">
        <f t="shared" ref="FD403:FF403" si="1398">FD30</f>
        <v>0</v>
      </c>
      <c r="FE403" s="891">
        <f t="shared" si="1398"/>
        <v>3295838980.7862144</v>
      </c>
      <c r="FF403" s="891">
        <f t="shared" si="1398"/>
        <v>0</v>
      </c>
      <c r="FG403" s="1074"/>
      <c r="FH403" s="1072"/>
      <c r="FI403" s="1073"/>
      <c r="FJ403" s="1073"/>
      <c r="FK403" s="891">
        <f>FK30</f>
        <v>3295838980.7862144</v>
      </c>
      <c r="FL403" s="891">
        <f t="shared" ref="FL403:FN403" si="1399">FL30</f>
        <v>0</v>
      </c>
      <c r="FM403" s="891">
        <f t="shared" si="1399"/>
        <v>3295838980.7862144</v>
      </c>
      <c r="FN403" s="891">
        <f t="shared" si="1399"/>
        <v>0</v>
      </c>
      <c r="FO403" s="1074"/>
    </row>
    <row r="404" spans="2:171" x14ac:dyDescent="0.25">
      <c r="B404" s="108"/>
      <c r="C404" s="108" t="s">
        <v>122</v>
      </c>
      <c r="D404" s="1072"/>
      <c r="E404" s="905" t="s">
        <v>392</v>
      </c>
      <c r="G404" s="891">
        <f>G33</f>
        <v>3803344740.5943408</v>
      </c>
      <c r="H404" s="891">
        <f t="shared" ref="H404:J404" si="1400">H33</f>
        <v>0</v>
      </c>
      <c r="I404" s="891">
        <f t="shared" si="1400"/>
        <v>0</v>
      </c>
      <c r="J404" s="891">
        <f t="shared" si="1400"/>
        <v>3803344740.5943408</v>
      </c>
      <c r="K404" s="1074"/>
      <c r="L404" s="1072"/>
      <c r="M404" s="1073"/>
      <c r="N404" s="1073"/>
      <c r="O404" s="891">
        <f>O33</f>
        <v>3803344740.5943408</v>
      </c>
      <c r="P404" s="891">
        <f t="shared" ref="P404:R404" si="1401">P33</f>
        <v>0</v>
      </c>
      <c r="Q404" s="891">
        <f t="shared" si="1401"/>
        <v>0</v>
      </c>
      <c r="R404" s="891">
        <f t="shared" si="1401"/>
        <v>3803344740.5943408</v>
      </c>
      <c r="S404" s="1074"/>
      <c r="T404" s="1072"/>
      <c r="U404" s="1073"/>
      <c r="V404" s="1073"/>
      <c r="W404" s="891">
        <f>W33</f>
        <v>3803344740.5943408</v>
      </c>
      <c r="X404" s="891">
        <f t="shared" ref="X404:Z404" si="1402">X33</f>
        <v>0</v>
      </c>
      <c r="Y404" s="891">
        <f t="shared" si="1402"/>
        <v>0</v>
      </c>
      <c r="Z404" s="891">
        <f t="shared" si="1402"/>
        <v>3803344740.5943408</v>
      </c>
      <c r="AA404" s="1074"/>
      <c r="AB404" s="1072"/>
      <c r="AC404" s="1073"/>
      <c r="AD404" s="1073"/>
      <c r="AE404" s="891">
        <f>AE33</f>
        <v>3803344740.5943408</v>
      </c>
      <c r="AF404" s="891">
        <f t="shared" ref="AF404:AH404" si="1403">AF33</f>
        <v>0</v>
      </c>
      <c r="AG404" s="891">
        <f t="shared" si="1403"/>
        <v>0</v>
      </c>
      <c r="AH404" s="891">
        <f t="shared" si="1403"/>
        <v>3803344740.5943408</v>
      </c>
      <c r="AI404" s="1074"/>
      <c r="AJ404" s="1072"/>
      <c r="AK404" s="1073"/>
      <c r="AL404" s="1073"/>
      <c r="AM404" s="891">
        <f>AM33</f>
        <v>3803344740.5943408</v>
      </c>
      <c r="AN404" s="891">
        <f t="shared" ref="AN404:AP404" si="1404">AN33</f>
        <v>0</v>
      </c>
      <c r="AO404" s="891">
        <f t="shared" si="1404"/>
        <v>0</v>
      </c>
      <c r="AP404" s="891">
        <f t="shared" si="1404"/>
        <v>3803344740.5943408</v>
      </c>
      <c r="AQ404" s="1074"/>
      <c r="AR404" s="1072"/>
      <c r="AS404" s="1073"/>
      <c r="AT404" s="1073"/>
      <c r="AU404" s="891">
        <f>AU33</f>
        <v>3803344740.5943408</v>
      </c>
      <c r="AV404" s="891">
        <f t="shared" ref="AV404:AX404" si="1405">AV33</f>
        <v>0</v>
      </c>
      <c r="AW404" s="891">
        <f t="shared" si="1405"/>
        <v>0</v>
      </c>
      <c r="AX404" s="891">
        <f t="shared" si="1405"/>
        <v>3803344740.5943408</v>
      </c>
      <c r="AY404" s="1074"/>
      <c r="AZ404" s="1072"/>
      <c r="BA404" s="1073"/>
      <c r="BB404" s="1073"/>
      <c r="BC404" s="891">
        <f>BC33</f>
        <v>3803344740.5943408</v>
      </c>
      <c r="BD404" s="891">
        <f t="shared" ref="BD404:BF404" si="1406">BD33</f>
        <v>0</v>
      </c>
      <c r="BE404" s="891">
        <f t="shared" si="1406"/>
        <v>0</v>
      </c>
      <c r="BF404" s="891">
        <f t="shared" si="1406"/>
        <v>3803344740.5943408</v>
      </c>
      <c r="BG404" s="1074"/>
      <c r="BH404" s="1072"/>
      <c r="BI404" s="1073"/>
      <c r="BJ404" s="1073"/>
      <c r="BK404" s="891">
        <f>BK33</f>
        <v>3803344740.5943408</v>
      </c>
      <c r="BL404" s="891">
        <f t="shared" ref="BL404:BN404" si="1407">BL33</f>
        <v>0</v>
      </c>
      <c r="BM404" s="891">
        <f t="shared" si="1407"/>
        <v>0</v>
      </c>
      <c r="BN404" s="891">
        <f t="shared" si="1407"/>
        <v>3803344740.5943408</v>
      </c>
      <c r="BO404" s="1074"/>
      <c r="BP404" s="1072"/>
      <c r="BQ404" s="1073"/>
      <c r="BR404" s="1073"/>
      <c r="BS404" s="891">
        <f>BS33</f>
        <v>3803344740.5943408</v>
      </c>
      <c r="BT404" s="891">
        <f t="shared" ref="BT404:BV404" si="1408">BT33</f>
        <v>0</v>
      </c>
      <c r="BU404" s="891">
        <f t="shared" si="1408"/>
        <v>0</v>
      </c>
      <c r="BV404" s="891">
        <f t="shared" si="1408"/>
        <v>3803344740.5943408</v>
      </c>
      <c r="BW404" s="1074"/>
      <c r="BX404" s="1072"/>
      <c r="BY404" s="1073"/>
      <c r="BZ404" s="1073"/>
      <c r="CA404" s="891">
        <f>CA33</f>
        <v>3803344740.5943408</v>
      </c>
      <c r="CB404" s="891">
        <f t="shared" ref="CB404:CD404" si="1409">CB33</f>
        <v>0</v>
      </c>
      <c r="CC404" s="891">
        <f t="shared" si="1409"/>
        <v>0</v>
      </c>
      <c r="CD404" s="891">
        <f t="shared" si="1409"/>
        <v>3803344740.5943408</v>
      </c>
      <c r="CE404" s="1074"/>
      <c r="CF404" s="1072"/>
      <c r="CG404" s="1073"/>
      <c r="CH404" s="1073"/>
      <c r="CI404" s="891">
        <f>CI33</f>
        <v>3803344740.5943408</v>
      </c>
      <c r="CJ404" s="891">
        <f t="shared" ref="CJ404:CL404" si="1410">CJ33</f>
        <v>0</v>
      </c>
      <c r="CK404" s="891">
        <f t="shared" si="1410"/>
        <v>0</v>
      </c>
      <c r="CL404" s="891">
        <f t="shared" si="1410"/>
        <v>3803344740.5943408</v>
      </c>
      <c r="CM404" s="1074"/>
      <c r="CN404" s="1072"/>
      <c r="CO404" s="1073"/>
      <c r="CP404" s="1073"/>
      <c r="CQ404" s="891">
        <f>CQ33</f>
        <v>3803344740.5943408</v>
      </c>
      <c r="CR404" s="891">
        <f t="shared" ref="CR404:CT404" si="1411">CR33</f>
        <v>0</v>
      </c>
      <c r="CS404" s="891">
        <f t="shared" si="1411"/>
        <v>0</v>
      </c>
      <c r="CT404" s="891">
        <f t="shared" si="1411"/>
        <v>3803344740.5943408</v>
      </c>
      <c r="CU404" s="1074"/>
      <c r="CV404" s="1072"/>
      <c r="CW404" s="1073"/>
      <c r="CX404" s="1073"/>
      <c r="CY404" s="891">
        <f>CY33</f>
        <v>3803344740.5943408</v>
      </c>
      <c r="CZ404" s="891">
        <f t="shared" ref="CZ404:DB404" si="1412">CZ33</f>
        <v>0</v>
      </c>
      <c r="DA404" s="891">
        <f t="shared" si="1412"/>
        <v>0</v>
      </c>
      <c r="DB404" s="891">
        <f t="shared" si="1412"/>
        <v>3803344740.5943408</v>
      </c>
      <c r="DC404" s="1074"/>
      <c r="DD404" s="1072"/>
      <c r="DE404" s="1073"/>
      <c r="DF404" s="1073"/>
      <c r="DG404" s="891">
        <f>DG33</f>
        <v>3803344740.5943408</v>
      </c>
      <c r="DH404" s="891">
        <f t="shared" ref="DH404:DJ404" si="1413">DH33</f>
        <v>0</v>
      </c>
      <c r="DI404" s="891">
        <f t="shared" si="1413"/>
        <v>0</v>
      </c>
      <c r="DJ404" s="891">
        <f t="shared" si="1413"/>
        <v>3803344740.5943408</v>
      </c>
      <c r="DK404" s="1074"/>
      <c r="DL404" s="1072"/>
      <c r="DM404" s="1073"/>
      <c r="DN404" s="1073"/>
      <c r="DO404" s="891">
        <f>DO33</f>
        <v>3803344740.5943408</v>
      </c>
      <c r="DP404" s="891">
        <f t="shared" ref="DP404:DR404" si="1414">DP33</f>
        <v>0</v>
      </c>
      <c r="DQ404" s="891">
        <f t="shared" si="1414"/>
        <v>0</v>
      </c>
      <c r="DR404" s="891">
        <f t="shared" si="1414"/>
        <v>3803344740.5943408</v>
      </c>
      <c r="DS404" s="1074"/>
      <c r="DT404" s="1072"/>
      <c r="DU404" s="1073"/>
      <c r="DV404" s="1073"/>
      <c r="DW404" s="891">
        <f>DW33</f>
        <v>3803344740.5943408</v>
      </c>
      <c r="DX404" s="891">
        <f t="shared" ref="DX404:DZ404" si="1415">DX33</f>
        <v>0</v>
      </c>
      <c r="DY404" s="891">
        <f t="shared" si="1415"/>
        <v>0</v>
      </c>
      <c r="DZ404" s="891">
        <f t="shared" si="1415"/>
        <v>3803344740.5943408</v>
      </c>
      <c r="EA404" s="1074"/>
      <c r="EB404" s="1072"/>
      <c r="EC404" s="1073"/>
      <c r="ED404" s="1073"/>
      <c r="EE404" s="891">
        <f>EE33</f>
        <v>3803344740.5943408</v>
      </c>
      <c r="EF404" s="891">
        <f t="shared" ref="EF404:EH404" si="1416">EF33</f>
        <v>0</v>
      </c>
      <c r="EG404" s="891">
        <f t="shared" si="1416"/>
        <v>0</v>
      </c>
      <c r="EH404" s="891">
        <f t="shared" si="1416"/>
        <v>3803344740.5943408</v>
      </c>
      <c r="EI404" s="1074"/>
      <c r="EJ404" s="1072"/>
      <c r="EK404" s="1073"/>
      <c r="EL404" s="1073"/>
      <c r="EM404" s="891">
        <f>EM33</f>
        <v>3803344740.5943408</v>
      </c>
      <c r="EN404" s="891">
        <f t="shared" ref="EN404:EP404" si="1417">EN33</f>
        <v>0</v>
      </c>
      <c r="EO404" s="891">
        <f t="shared" si="1417"/>
        <v>0</v>
      </c>
      <c r="EP404" s="891">
        <f t="shared" si="1417"/>
        <v>3803344740.5943408</v>
      </c>
      <c r="EQ404" s="1074"/>
      <c r="ER404" s="1072"/>
      <c r="ES404" s="1073"/>
      <c r="ET404" s="1073"/>
      <c r="EU404" s="891">
        <f>EU33</f>
        <v>3803344740.5943408</v>
      </c>
      <c r="EV404" s="891">
        <f t="shared" ref="EV404:EX404" si="1418">EV33</f>
        <v>0</v>
      </c>
      <c r="EW404" s="891">
        <f t="shared" si="1418"/>
        <v>0</v>
      </c>
      <c r="EX404" s="891">
        <f t="shared" si="1418"/>
        <v>3803344740.5943408</v>
      </c>
      <c r="EY404" s="1074"/>
      <c r="EZ404" s="1072"/>
      <c r="FA404" s="1073"/>
      <c r="FB404" s="1073"/>
      <c r="FC404" s="891">
        <f>FC33</f>
        <v>3803344740.5943408</v>
      </c>
      <c r="FD404" s="891">
        <f t="shared" ref="FD404:FF404" si="1419">FD33</f>
        <v>0</v>
      </c>
      <c r="FE404" s="891">
        <f t="shared" si="1419"/>
        <v>0</v>
      </c>
      <c r="FF404" s="891">
        <f t="shared" si="1419"/>
        <v>3803344740.5943408</v>
      </c>
      <c r="FG404" s="1074"/>
      <c r="FH404" s="1072"/>
      <c r="FI404" s="1073"/>
      <c r="FJ404" s="1073"/>
      <c r="FK404" s="891">
        <f>FK33</f>
        <v>3803344740.5943408</v>
      </c>
      <c r="FL404" s="891">
        <f t="shared" ref="FL404:FN404" si="1420">FL33</f>
        <v>0</v>
      </c>
      <c r="FM404" s="891">
        <f t="shared" si="1420"/>
        <v>0</v>
      </c>
      <c r="FN404" s="891">
        <f t="shared" si="1420"/>
        <v>3803344740.5943408</v>
      </c>
      <c r="FO404" s="1074"/>
    </row>
    <row r="405" spans="2:171" x14ac:dyDescent="0.25">
      <c r="B405" s="108"/>
      <c r="C405" s="108" t="s">
        <v>523</v>
      </c>
      <c r="D405" s="1072"/>
      <c r="E405" s="124"/>
      <c r="F405" s="1073"/>
      <c r="G405" s="1634">
        <f>G402+G403+G404</f>
        <v>12681555588.985914</v>
      </c>
      <c r="H405" s="1634">
        <f>H402+H403+H404</f>
        <v>5582371867.6053581</v>
      </c>
      <c r="I405" s="1634">
        <f>I402+I403+I404</f>
        <v>0</v>
      </c>
      <c r="J405" s="1634">
        <f>J402+J403+J404</f>
        <v>7099183721.3805552</v>
      </c>
      <c r="K405" s="1074"/>
      <c r="L405" s="1072"/>
      <c r="M405" s="1073"/>
      <c r="N405" s="1073"/>
      <c r="O405" s="1634">
        <f>O402+O403+O404</f>
        <v>12681555588.985914</v>
      </c>
      <c r="P405" s="1634">
        <f>P402+P403+P404</f>
        <v>5582371867.6053581</v>
      </c>
      <c r="Q405" s="1634">
        <f>Q402+Q403+Q404</f>
        <v>3295838980.7862144</v>
      </c>
      <c r="R405" s="1634">
        <f>R402+R403+R404</f>
        <v>3803344740.5943408</v>
      </c>
      <c r="S405" s="1074"/>
      <c r="T405" s="1072"/>
      <c r="U405" s="1073"/>
      <c r="V405" s="1073"/>
      <c r="W405" s="1634">
        <f>W402+W403+W404</f>
        <v>12681555588.985914</v>
      </c>
      <c r="X405" s="1634">
        <f>X402+X403+X404</f>
        <v>5582371867.6053581</v>
      </c>
      <c r="Y405" s="1634">
        <f>Y402+Y403+Y404</f>
        <v>3295838980.7862144</v>
      </c>
      <c r="Z405" s="1634">
        <f>Z402+Z403+Z404</f>
        <v>3803344740.5943408</v>
      </c>
      <c r="AA405" s="1074"/>
      <c r="AB405" s="1072"/>
      <c r="AC405" s="1073"/>
      <c r="AD405" s="1073"/>
      <c r="AE405" s="1634">
        <f>AE402+AE403+AE404</f>
        <v>12681555588.985914</v>
      </c>
      <c r="AF405" s="1634">
        <f>AF402+AF403+AF404</f>
        <v>5582371867.6053581</v>
      </c>
      <c r="AG405" s="1634">
        <f>AG402+AG403+AG404</f>
        <v>3295838980.7862144</v>
      </c>
      <c r="AH405" s="1634">
        <f>AH402+AH403+AH404</f>
        <v>3803344740.5943408</v>
      </c>
      <c r="AI405" s="1074"/>
      <c r="AJ405" s="1072"/>
      <c r="AK405" s="1073"/>
      <c r="AL405" s="1073"/>
      <c r="AM405" s="1634">
        <f>AM402+AM403+AM404</f>
        <v>12681555588.985914</v>
      </c>
      <c r="AN405" s="1634">
        <f>AN402+AN403+AN404</f>
        <v>5582371867.6053581</v>
      </c>
      <c r="AO405" s="1634">
        <f>AO402+AO403+AO404</f>
        <v>3295838980.7862144</v>
      </c>
      <c r="AP405" s="1634">
        <f>AP402+AP403+AP404</f>
        <v>3803344740.5943408</v>
      </c>
      <c r="AQ405" s="1074"/>
      <c r="AR405" s="1072"/>
      <c r="AS405" s="1073"/>
      <c r="AT405" s="1073"/>
      <c r="AU405" s="1634">
        <f>AU402+AU403+AU404</f>
        <v>12681555588.985914</v>
      </c>
      <c r="AV405" s="1634">
        <f>AV402+AV403+AV404</f>
        <v>5582371867.6053581</v>
      </c>
      <c r="AW405" s="1634">
        <f>AW402+AW403+AW404</f>
        <v>3295838980.7862144</v>
      </c>
      <c r="AX405" s="1634">
        <f>AX402+AX403+AX404</f>
        <v>3803344740.5943408</v>
      </c>
      <c r="AY405" s="1074"/>
      <c r="AZ405" s="1072"/>
      <c r="BA405" s="1073"/>
      <c r="BB405" s="1073"/>
      <c r="BC405" s="1634">
        <f>BC402+BC403+BC404</f>
        <v>12681555588.985914</v>
      </c>
      <c r="BD405" s="1634">
        <f>BD402+BD403+BD404</f>
        <v>5582371867.6053581</v>
      </c>
      <c r="BE405" s="1634">
        <f>BE402+BE403+BE404</f>
        <v>3295838980.7862144</v>
      </c>
      <c r="BF405" s="1634">
        <f>BF402+BF403+BF404</f>
        <v>3803344740.5943408</v>
      </c>
      <c r="BG405" s="1074"/>
      <c r="BH405" s="1072"/>
      <c r="BI405" s="1073"/>
      <c r="BJ405" s="1073"/>
      <c r="BK405" s="1634">
        <f>BK402+BK403+BK404</f>
        <v>12681555588.985914</v>
      </c>
      <c r="BL405" s="1634">
        <f>BL402+BL403+BL404</f>
        <v>5582371867.6053581</v>
      </c>
      <c r="BM405" s="1634">
        <f>BM402+BM403+BM404</f>
        <v>3295838980.7862144</v>
      </c>
      <c r="BN405" s="1634">
        <f>BN402+BN403+BN404</f>
        <v>3803344740.5943408</v>
      </c>
      <c r="BO405" s="1074"/>
      <c r="BP405" s="1072"/>
      <c r="BQ405" s="1073"/>
      <c r="BR405" s="1073"/>
      <c r="BS405" s="1634">
        <f>BS402+BS403+BS404</f>
        <v>12681555588.985914</v>
      </c>
      <c r="BT405" s="1634">
        <f>BT402+BT403+BT404</f>
        <v>5582371867.6053581</v>
      </c>
      <c r="BU405" s="1634">
        <f>BU402+BU403+BU404</f>
        <v>3295838980.7862144</v>
      </c>
      <c r="BV405" s="1634">
        <f>BV402+BV403+BV404</f>
        <v>3803344740.5943408</v>
      </c>
      <c r="BW405" s="1074"/>
      <c r="BX405" s="1072"/>
      <c r="BY405" s="1073"/>
      <c r="BZ405" s="1073"/>
      <c r="CA405" s="1634">
        <f>CA402+CA403+CA404</f>
        <v>12681555588.985914</v>
      </c>
      <c r="CB405" s="1634">
        <f>CB402+CB403+CB404</f>
        <v>5582371867.6053581</v>
      </c>
      <c r="CC405" s="1634">
        <f>CC402+CC403+CC404</f>
        <v>3295838980.7862144</v>
      </c>
      <c r="CD405" s="1634">
        <f>CD402+CD403+CD404</f>
        <v>3803344740.5943408</v>
      </c>
      <c r="CE405" s="1074"/>
      <c r="CF405" s="1072"/>
      <c r="CG405" s="1073"/>
      <c r="CH405" s="1073"/>
      <c r="CI405" s="1634">
        <f>CI402+CI403+CI404</f>
        <v>12681555588.985914</v>
      </c>
      <c r="CJ405" s="1634">
        <f>CJ402+CJ403+CJ404</f>
        <v>5582371867.6053581</v>
      </c>
      <c r="CK405" s="1634">
        <f>CK402+CK403+CK404</f>
        <v>3295838980.7862144</v>
      </c>
      <c r="CL405" s="1634">
        <f>CL402+CL403+CL404</f>
        <v>3803344740.5943408</v>
      </c>
      <c r="CM405" s="1074"/>
      <c r="CN405" s="1072"/>
      <c r="CO405" s="1073"/>
      <c r="CP405" s="1073"/>
      <c r="CQ405" s="1634">
        <f>CQ402+CQ403+CQ404</f>
        <v>12681555588.985914</v>
      </c>
      <c r="CR405" s="1634">
        <f>CR402+CR403+CR404</f>
        <v>5582371867.6053581</v>
      </c>
      <c r="CS405" s="1634">
        <f>CS402+CS403+CS404</f>
        <v>3295838980.7862144</v>
      </c>
      <c r="CT405" s="1634">
        <f>CT402+CT403+CT404</f>
        <v>3803344740.5943408</v>
      </c>
      <c r="CU405" s="1074"/>
      <c r="CV405" s="1072"/>
      <c r="CW405" s="1073"/>
      <c r="CX405" s="1073"/>
      <c r="CY405" s="1634">
        <f>CY402+CY403+CY404</f>
        <v>12681555588.985914</v>
      </c>
      <c r="CZ405" s="1634">
        <f>CZ402+CZ403+CZ404</f>
        <v>5582371867.6053581</v>
      </c>
      <c r="DA405" s="1634">
        <f>DA402+DA403+DA404</f>
        <v>3295838980.7862144</v>
      </c>
      <c r="DB405" s="1634">
        <f>DB402+DB403+DB404</f>
        <v>3803344740.5943408</v>
      </c>
      <c r="DC405" s="1074"/>
      <c r="DD405" s="1072"/>
      <c r="DE405" s="1073"/>
      <c r="DF405" s="1073"/>
      <c r="DG405" s="1634">
        <f>DG402+DG403+DG404</f>
        <v>12681555588.985914</v>
      </c>
      <c r="DH405" s="1634">
        <f>DH402+DH403+DH404</f>
        <v>5582371867.6053581</v>
      </c>
      <c r="DI405" s="1634">
        <f>DI402+DI403+DI404</f>
        <v>3295838980.7862144</v>
      </c>
      <c r="DJ405" s="1634">
        <f>DJ402+DJ403+DJ404</f>
        <v>3803344740.5943408</v>
      </c>
      <c r="DK405" s="1074"/>
      <c r="DL405" s="1072"/>
      <c r="DM405" s="1073"/>
      <c r="DN405" s="1073"/>
      <c r="DO405" s="1634">
        <f>DO402+DO403+DO404</f>
        <v>12681555588.985914</v>
      </c>
      <c r="DP405" s="1634">
        <f>DP402+DP403+DP404</f>
        <v>5582371867.6053581</v>
      </c>
      <c r="DQ405" s="1634">
        <f>DQ402+DQ403+DQ404</f>
        <v>3295838980.7862144</v>
      </c>
      <c r="DR405" s="1634">
        <f>DR402+DR403+DR404</f>
        <v>3803344740.5943408</v>
      </c>
      <c r="DS405" s="1074"/>
      <c r="DT405" s="1072"/>
      <c r="DU405" s="1073"/>
      <c r="DV405" s="1073"/>
      <c r="DW405" s="1634">
        <f>DW402+DW403+DW404</f>
        <v>12681555588.985914</v>
      </c>
      <c r="DX405" s="1634">
        <f>DX402+DX403+DX404</f>
        <v>5582371867.6053581</v>
      </c>
      <c r="DY405" s="1634">
        <f>DY402+DY403+DY404</f>
        <v>3295838980.7862144</v>
      </c>
      <c r="DZ405" s="1634">
        <f>DZ402+DZ403+DZ404</f>
        <v>3803344740.5943408</v>
      </c>
      <c r="EA405" s="1074"/>
      <c r="EB405" s="1072"/>
      <c r="EC405" s="1073"/>
      <c r="ED405" s="1073"/>
      <c r="EE405" s="1634">
        <f>EE402+EE403+EE404</f>
        <v>12681555588.985914</v>
      </c>
      <c r="EF405" s="1634">
        <f>EF402+EF403+EF404</f>
        <v>5582371867.6053581</v>
      </c>
      <c r="EG405" s="1634">
        <f>EG402+EG403+EG404</f>
        <v>3295838980.7862144</v>
      </c>
      <c r="EH405" s="1634">
        <f>EH402+EH403+EH404</f>
        <v>3803344740.5943408</v>
      </c>
      <c r="EI405" s="1074"/>
      <c r="EJ405" s="1072"/>
      <c r="EK405" s="1073"/>
      <c r="EL405" s="1073"/>
      <c r="EM405" s="1634">
        <f>EM402+EM403+EM404</f>
        <v>12681555588.985914</v>
      </c>
      <c r="EN405" s="1634">
        <f>EN402+EN403+EN404</f>
        <v>5582371867.6053581</v>
      </c>
      <c r="EO405" s="1634">
        <f>EO402+EO403+EO404</f>
        <v>3295838980.7862144</v>
      </c>
      <c r="EP405" s="1634">
        <f>EP402+EP403+EP404</f>
        <v>3803344740.5943408</v>
      </c>
      <c r="EQ405" s="1074"/>
      <c r="ER405" s="1072"/>
      <c r="ES405" s="1073"/>
      <c r="ET405" s="1073"/>
      <c r="EU405" s="1634">
        <f>EU402+EU403+EU404</f>
        <v>12681555588.985914</v>
      </c>
      <c r="EV405" s="1634">
        <f>EV402+EV403+EV404</f>
        <v>5582371867.6053581</v>
      </c>
      <c r="EW405" s="1634">
        <f>EW402+EW403+EW404</f>
        <v>3295838980.7862144</v>
      </c>
      <c r="EX405" s="1634">
        <f>EX402+EX403+EX404</f>
        <v>3803344740.5943408</v>
      </c>
      <c r="EY405" s="1074"/>
      <c r="EZ405" s="1072"/>
      <c r="FA405" s="1073"/>
      <c r="FB405" s="1073"/>
      <c r="FC405" s="1634">
        <f>FC402+FC403+FC404</f>
        <v>12681555588.985914</v>
      </c>
      <c r="FD405" s="1634">
        <f>FD402+FD403+FD404</f>
        <v>5582371867.6053581</v>
      </c>
      <c r="FE405" s="1634">
        <f>FE402+FE403+FE404</f>
        <v>3295838980.7862144</v>
      </c>
      <c r="FF405" s="1634">
        <f>FF402+FF403+FF404</f>
        <v>3803344740.5943408</v>
      </c>
      <c r="FG405" s="1074"/>
      <c r="FH405" s="1072"/>
      <c r="FI405" s="1073"/>
      <c r="FJ405" s="1073"/>
      <c r="FK405" s="1634">
        <f>FK402+FK403+FK404</f>
        <v>12681555588.985914</v>
      </c>
      <c r="FL405" s="1634">
        <f>FL402+FL403+FL404</f>
        <v>5582371867.6053581</v>
      </c>
      <c r="FM405" s="1634">
        <f>FM402+FM403+FM404</f>
        <v>3295838980.7862144</v>
      </c>
      <c r="FN405" s="1634">
        <f>FN402+FN403+FN404</f>
        <v>3803344740.5943408</v>
      </c>
      <c r="FO405" s="1074"/>
    </row>
    <row r="406" spans="2:171" x14ac:dyDescent="0.25">
      <c r="B406" s="123"/>
      <c r="C406" s="123" t="s">
        <v>339</v>
      </c>
      <c r="D406" s="1296" t="s">
        <v>635</v>
      </c>
      <c r="E406" s="564"/>
      <c r="F406" s="1077"/>
      <c r="G406" s="1635">
        <f>H406+I406+J406</f>
        <v>0.99999999999999989</v>
      </c>
      <c r="H406" s="1635">
        <f>IF($G405=0,0,H405/G405)</f>
        <v>0.44019614379593275</v>
      </c>
      <c r="I406" s="1635">
        <f>IF($G405=0,0,I405/G405)</f>
        <v>0</v>
      </c>
      <c r="J406" s="1635">
        <f>IF($G405=0,0,J405/G405)</f>
        <v>0.55980385620406714</v>
      </c>
      <c r="K406" s="1079"/>
      <c r="L406" s="1075" t="s">
        <v>635</v>
      </c>
      <c r="M406" s="1076"/>
      <c r="N406" s="1077"/>
      <c r="O406" s="1635">
        <f>P406+Q406+R406</f>
        <v>0.99999999999999989</v>
      </c>
      <c r="P406" s="1635">
        <f>IF($G405=0,0,P405/O405)</f>
        <v>0.44019614379593275</v>
      </c>
      <c r="Q406" s="1635">
        <f>IF($G405=0,0,Q405/O405)</f>
        <v>0.25989232611562973</v>
      </c>
      <c r="R406" s="1635">
        <f>IF($G405=0,0,R405/O405)</f>
        <v>0.29991153008843741</v>
      </c>
      <c r="S406" s="1079"/>
      <c r="T406" s="1075" t="s">
        <v>635</v>
      </c>
      <c r="U406" s="1076"/>
      <c r="V406" s="1077"/>
      <c r="W406" s="1635">
        <f>X406+Y406+Z406</f>
        <v>0.99999999999999989</v>
      </c>
      <c r="X406" s="1635">
        <f>IF($G405=0,0,X405/W405)</f>
        <v>0.44019614379593275</v>
      </c>
      <c r="Y406" s="1635">
        <f>IF($G405=0,0,Y405/W405)</f>
        <v>0.25989232611562973</v>
      </c>
      <c r="Z406" s="1635">
        <f>IF($G405=0,0,Z405/W405)</f>
        <v>0.29991153008843741</v>
      </c>
      <c r="AA406" s="1079"/>
      <c r="AB406" s="1075" t="s">
        <v>635</v>
      </c>
      <c r="AC406" s="1076"/>
      <c r="AD406" s="1077"/>
      <c r="AE406" s="1635">
        <f>AF406+AG406+AH406</f>
        <v>0.99999999999999989</v>
      </c>
      <c r="AF406" s="1635">
        <f>IF($G405=0,0,AF405/AE405)</f>
        <v>0.44019614379593275</v>
      </c>
      <c r="AG406" s="1635">
        <f>IF($G405=0,0,AG405/AE405)</f>
        <v>0.25989232611562973</v>
      </c>
      <c r="AH406" s="1635">
        <f>IF($G405=0,0,AH405/AE405)</f>
        <v>0.29991153008843741</v>
      </c>
      <c r="AI406" s="1079"/>
      <c r="AJ406" s="1075" t="s">
        <v>635</v>
      </c>
      <c r="AK406" s="1076"/>
      <c r="AL406" s="1077"/>
      <c r="AM406" s="1635">
        <f>AN406+AO406+AP406</f>
        <v>0.99999999999999989</v>
      </c>
      <c r="AN406" s="1635">
        <f>IF($G405=0,0,AN405/AM405)</f>
        <v>0.44019614379593275</v>
      </c>
      <c r="AO406" s="1635">
        <f>IF($G405=0,0,AO405/AM405)</f>
        <v>0.25989232611562973</v>
      </c>
      <c r="AP406" s="1635">
        <f>IF($G405=0,0,AP405/AM405)</f>
        <v>0.29991153008843741</v>
      </c>
      <c r="AQ406" s="1079"/>
      <c r="AR406" s="1075" t="s">
        <v>635</v>
      </c>
      <c r="AS406" s="1076"/>
      <c r="AT406" s="1077"/>
      <c r="AU406" s="1635">
        <f>AV406+AW406+AX406</f>
        <v>0.99999999999999989</v>
      </c>
      <c r="AV406" s="1635">
        <f>IF($G405=0,0,AV405/AU405)</f>
        <v>0.44019614379593275</v>
      </c>
      <c r="AW406" s="1635">
        <f>IF($G405=0,0,AW405/AU405)</f>
        <v>0.25989232611562973</v>
      </c>
      <c r="AX406" s="1635">
        <f>IF($G405=0,0,AX405/AU405)</f>
        <v>0.29991153008843741</v>
      </c>
      <c r="AY406" s="1079"/>
      <c r="AZ406" s="1075" t="s">
        <v>635</v>
      </c>
      <c r="BA406" s="1076"/>
      <c r="BB406" s="1077"/>
      <c r="BC406" s="1635">
        <f>BD406+BE406+BF406</f>
        <v>0.99999999999999989</v>
      </c>
      <c r="BD406" s="1635">
        <f>IF($G405=0,0,BD405/BC405)</f>
        <v>0.44019614379593275</v>
      </c>
      <c r="BE406" s="1635">
        <f>IF($G405=0,0,BE405/BC405)</f>
        <v>0.25989232611562973</v>
      </c>
      <c r="BF406" s="1635">
        <f>IF($G405=0,0,BF405/BC405)</f>
        <v>0.29991153008843741</v>
      </c>
      <c r="BG406" s="1079"/>
      <c r="BH406" s="1075" t="s">
        <v>635</v>
      </c>
      <c r="BI406" s="1076"/>
      <c r="BJ406" s="1077"/>
      <c r="BK406" s="1635">
        <f>BL406+BM406+BN406</f>
        <v>0.99999999999999989</v>
      </c>
      <c r="BL406" s="1635">
        <f>IF($G405=0,0,BL405/BK405)</f>
        <v>0.44019614379593275</v>
      </c>
      <c r="BM406" s="1635">
        <f>IF($G405=0,0,BM405/BK405)</f>
        <v>0.25989232611562973</v>
      </c>
      <c r="BN406" s="1635">
        <f>IF($G405=0,0,BN405/BK405)</f>
        <v>0.29991153008843741</v>
      </c>
      <c r="BO406" s="1079"/>
      <c r="BP406" s="1075" t="s">
        <v>635</v>
      </c>
      <c r="BQ406" s="1076"/>
      <c r="BR406" s="1077"/>
      <c r="BS406" s="1635">
        <f>BT406+BU406+BV406</f>
        <v>0.99999999999999989</v>
      </c>
      <c r="BT406" s="1635">
        <f>IF($G405=0,0,BT405/BS405)</f>
        <v>0.44019614379593275</v>
      </c>
      <c r="BU406" s="1635">
        <f>IF($G405=0,0,BU405/BS405)</f>
        <v>0.25989232611562973</v>
      </c>
      <c r="BV406" s="1635">
        <f>IF($G405=0,0,BV405/BS405)</f>
        <v>0.29991153008843741</v>
      </c>
      <c r="BW406" s="1079"/>
      <c r="BX406" s="1075" t="s">
        <v>635</v>
      </c>
      <c r="BY406" s="1076"/>
      <c r="BZ406" s="1077"/>
      <c r="CA406" s="1635">
        <f>CB406+CC406+CD406</f>
        <v>0.99999999999999989</v>
      </c>
      <c r="CB406" s="1635">
        <f>IF($G405=0,0,CB405/CA405)</f>
        <v>0.44019614379593275</v>
      </c>
      <c r="CC406" s="1635">
        <f>IF($G405=0,0,CC405/CA405)</f>
        <v>0.25989232611562973</v>
      </c>
      <c r="CD406" s="1635">
        <f>IF($G405=0,0,CD405/CA405)</f>
        <v>0.29991153008843741</v>
      </c>
      <c r="CE406" s="1079"/>
      <c r="CF406" s="1075" t="s">
        <v>635</v>
      </c>
      <c r="CG406" s="1076"/>
      <c r="CH406" s="1077"/>
      <c r="CI406" s="1635">
        <f>CJ406+CK406+CL406</f>
        <v>0.99999999999999989</v>
      </c>
      <c r="CJ406" s="1635">
        <f>IF($G405=0,0,CJ405/CI405)</f>
        <v>0.44019614379593275</v>
      </c>
      <c r="CK406" s="1635">
        <f>IF($G405=0,0,CK405/CI405)</f>
        <v>0.25989232611562973</v>
      </c>
      <c r="CL406" s="1635">
        <f>IF($G405=0,0,CL405/CI405)</f>
        <v>0.29991153008843741</v>
      </c>
      <c r="CM406" s="1079"/>
      <c r="CN406" s="1075" t="s">
        <v>635</v>
      </c>
      <c r="CO406" s="1076"/>
      <c r="CP406" s="1077"/>
      <c r="CQ406" s="1635">
        <f>CR406+CS406+CT406</f>
        <v>0.99999999999999989</v>
      </c>
      <c r="CR406" s="1635">
        <f>IF($G405=0,0,CR405/CQ405)</f>
        <v>0.44019614379593275</v>
      </c>
      <c r="CS406" s="1635">
        <f>IF($G405=0,0,CS405/CQ405)</f>
        <v>0.25989232611562973</v>
      </c>
      <c r="CT406" s="1635">
        <f>IF($G405=0,0,CT405/CQ405)</f>
        <v>0.29991153008843741</v>
      </c>
      <c r="CU406" s="1079"/>
      <c r="CV406" s="1075" t="s">
        <v>635</v>
      </c>
      <c r="CW406" s="1076"/>
      <c r="CX406" s="1077"/>
      <c r="CY406" s="1635">
        <f>CZ406+DA406+DB406</f>
        <v>0.99999999999999989</v>
      </c>
      <c r="CZ406" s="1635">
        <f>IF($G405=0,0,CZ405/CY405)</f>
        <v>0.44019614379593275</v>
      </c>
      <c r="DA406" s="1635">
        <f>IF($G405=0,0,DA405/CY405)</f>
        <v>0.25989232611562973</v>
      </c>
      <c r="DB406" s="1635">
        <f>IF($G405=0,0,DB405/CY405)</f>
        <v>0.29991153008843741</v>
      </c>
      <c r="DC406" s="1079"/>
      <c r="DD406" s="1075" t="s">
        <v>635</v>
      </c>
      <c r="DE406" s="1076"/>
      <c r="DF406" s="1077"/>
      <c r="DG406" s="1635">
        <f>DH406+DI406+DJ406</f>
        <v>0.99999999999999989</v>
      </c>
      <c r="DH406" s="1635">
        <f>IF($G405=0,0,DH405/DG405)</f>
        <v>0.44019614379593275</v>
      </c>
      <c r="DI406" s="1635">
        <f>IF($G405=0,0,DI405/DG405)</f>
        <v>0.25989232611562973</v>
      </c>
      <c r="DJ406" s="1635">
        <f>IF($G405=0,0,DJ405/DG405)</f>
        <v>0.29991153008843741</v>
      </c>
      <c r="DK406" s="1079"/>
      <c r="DL406" s="1075" t="s">
        <v>635</v>
      </c>
      <c r="DM406" s="1076"/>
      <c r="DN406" s="1077"/>
      <c r="DO406" s="1635">
        <f>DP406+DQ406+DR406</f>
        <v>0.99999999999999989</v>
      </c>
      <c r="DP406" s="1635">
        <f>IF($G405=0,0,DP405/DO405)</f>
        <v>0.44019614379593275</v>
      </c>
      <c r="DQ406" s="1635">
        <f>IF($G405=0,0,DQ405/DO405)</f>
        <v>0.25989232611562973</v>
      </c>
      <c r="DR406" s="1635">
        <f>IF($G405=0,0,DR405/DO405)</f>
        <v>0.29991153008843741</v>
      </c>
      <c r="DS406" s="1079"/>
      <c r="DT406" s="1075" t="s">
        <v>635</v>
      </c>
      <c r="DU406" s="1076"/>
      <c r="DV406" s="1077"/>
      <c r="DW406" s="1635">
        <f>DX406+DY406+DZ406</f>
        <v>0.99999999999999989</v>
      </c>
      <c r="DX406" s="1635">
        <f>IF($G405=0,0,DX405/DW405)</f>
        <v>0.44019614379593275</v>
      </c>
      <c r="DY406" s="1635">
        <f>IF($G405=0,0,DY405/DW405)</f>
        <v>0.25989232611562973</v>
      </c>
      <c r="DZ406" s="1635">
        <f>IF($G405=0,0,DZ405/DW405)</f>
        <v>0.29991153008843741</v>
      </c>
      <c r="EA406" s="1079"/>
      <c r="EB406" s="1075" t="s">
        <v>635</v>
      </c>
      <c r="EC406" s="1076"/>
      <c r="ED406" s="1077"/>
      <c r="EE406" s="1635">
        <f>EF406+EG406+EH406</f>
        <v>0.99999999999999989</v>
      </c>
      <c r="EF406" s="1635">
        <f>IF($G405=0,0,EF405/EE405)</f>
        <v>0.44019614379593275</v>
      </c>
      <c r="EG406" s="1635">
        <f>IF($G405=0,0,EG405/EE405)</f>
        <v>0.25989232611562973</v>
      </c>
      <c r="EH406" s="1635">
        <f>IF($G405=0,0,EH405/EE405)</f>
        <v>0.29991153008843741</v>
      </c>
      <c r="EI406" s="1079"/>
      <c r="EJ406" s="1075" t="s">
        <v>635</v>
      </c>
      <c r="EK406" s="1076"/>
      <c r="EL406" s="1077"/>
      <c r="EM406" s="1635">
        <f>EN406+EO406+EP406</f>
        <v>0.99999999999999989</v>
      </c>
      <c r="EN406" s="1635">
        <f>IF($G405=0,0,EN405/EM405)</f>
        <v>0.44019614379593275</v>
      </c>
      <c r="EO406" s="1635">
        <f>IF($G405=0,0,EO405/EM405)</f>
        <v>0.25989232611562973</v>
      </c>
      <c r="EP406" s="1635">
        <f>IF($G405=0,0,EP405/EM405)</f>
        <v>0.29991153008843741</v>
      </c>
      <c r="EQ406" s="1079"/>
      <c r="ER406" s="1075" t="s">
        <v>635</v>
      </c>
      <c r="ES406" s="1076"/>
      <c r="ET406" s="1077"/>
      <c r="EU406" s="1635">
        <f>EV406+EW406+EX406</f>
        <v>0.99999999999999989</v>
      </c>
      <c r="EV406" s="1635">
        <f>IF($G405=0,0,EV405/EU405)</f>
        <v>0.44019614379593275</v>
      </c>
      <c r="EW406" s="1635">
        <f>IF($G405=0,0,EW405/EU405)</f>
        <v>0.25989232611562973</v>
      </c>
      <c r="EX406" s="1635">
        <f>IF($G405=0,0,EX405/EU405)</f>
        <v>0.29991153008843741</v>
      </c>
      <c r="EY406" s="1079"/>
      <c r="EZ406" s="1075" t="s">
        <v>635</v>
      </c>
      <c r="FA406" s="1076"/>
      <c r="FB406" s="1077"/>
      <c r="FC406" s="1635">
        <f>FD406+FE406+FF406</f>
        <v>0.99999999999999989</v>
      </c>
      <c r="FD406" s="1635">
        <f>IF($G405=0,0,FD405/FC405)</f>
        <v>0.44019614379593275</v>
      </c>
      <c r="FE406" s="1635">
        <f>IF($G405=0,0,FE405/FC405)</f>
        <v>0.25989232611562973</v>
      </c>
      <c r="FF406" s="1635">
        <f>IF($G405=0,0,FF405/FC405)</f>
        <v>0.29991153008843741</v>
      </c>
      <c r="FG406" s="1079"/>
      <c r="FH406" s="1075" t="s">
        <v>635</v>
      </c>
      <c r="FI406" s="1076"/>
      <c r="FJ406" s="1077"/>
      <c r="FK406" s="1635">
        <f>FL406+FM406+FN406</f>
        <v>0.99999999999999989</v>
      </c>
      <c r="FL406" s="1635">
        <f>IF($G405=0,0,FL405/FK405)</f>
        <v>0.44019614379593275</v>
      </c>
      <c r="FM406" s="1635">
        <f>IF($G405=0,0,FM405/FK405)</f>
        <v>0.25989232611562973</v>
      </c>
      <c r="FN406" s="1635">
        <f>IF($G405=0,0,FN405/FK405)</f>
        <v>0.29991153008843741</v>
      </c>
      <c r="FO406" s="1079"/>
    </row>
    <row r="407" spans="2:171" x14ac:dyDescent="0.25">
      <c r="K407" s="1074"/>
      <c r="S407" s="1074"/>
      <c r="AA407" s="1074"/>
      <c r="AI407" s="1074"/>
      <c r="AQ407" s="1074"/>
      <c r="AY407" s="1074"/>
      <c r="BG407" s="1074"/>
      <c r="BO407" s="1074"/>
      <c r="BW407" s="1074"/>
      <c r="CE407" s="1074"/>
      <c r="CM407" s="1074"/>
      <c r="CU407" s="1074"/>
      <c r="DC407" s="1074"/>
      <c r="DK407" s="1074"/>
      <c r="DS407" s="1074"/>
      <c r="EA407" s="1074"/>
      <c r="EI407" s="1074"/>
      <c r="EQ407" s="1074"/>
      <c r="EY407" s="1074"/>
      <c r="FG407" s="1074"/>
      <c r="FO407" s="1074"/>
    </row>
    <row r="408" spans="2:171" x14ac:dyDescent="0.25">
      <c r="E408" s="302" t="s">
        <v>521</v>
      </c>
      <c r="G408" s="303" t="s">
        <v>104</v>
      </c>
      <c r="H408" s="303" t="s">
        <v>105</v>
      </c>
      <c r="I408" s="303" t="s">
        <v>106</v>
      </c>
      <c r="J408" s="304" t="s">
        <v>512</v>
      </c>
      <c r="K408" s="1074"/>
      <c r="O408" s="303" t="s">
        <v>104</v>
      </c>
      <c r="P408" s="303" t="s">
        <v>105</v>
      </c>
      <c r="Q408" s="303" t="s">
        <v>106</v>
      </c>
      <c r="R408" s="304" t="s">
        <v>512</v>
      </c>
      <c r="S408" s="1079"/>
      <c r="W408" s="303" t="s">
        <v>104</v>
      </c>
      <c r="X408" s="303" t="s">
        <v>105</v>
      </c>
      <c r="Y408" s="303" t="s">
        <v>106</v>
      </c>
      <c r="Z408" s="304" t="s">
        <v>512</v>
      </c>
      <c r="AA408" s="1079"/>
      <c r="AE408" s="303" t="s">
        <v>104</v>
      </c>
      <c r="AF408" s="303" t="s">
        <v>105</v>
      </c>
      <c r="AG408" s="303" t="s">
        <v>106</v>
      </c>
      <c r="AH408" s="304" t="s">
        <v>512</v>
      </c>
      <c r="AI408" s="1079"/>
      <c r="AM408" s="303" t="s">
        <v>104</v>
      </c>
      <c r="AN408" s="303" t="s">
        <v>105</v>
      </c>
      <c r="AO408" s="303" t="s">
        <v>106</v>
      </c>
      <c r="AP408" s="304" t="s">
        <v>512</v>
      </c>
      <c r="AQ408" s="1079"/>
      <c r="AU408" s="303" t="s">
        <v>104</v>
      </c>
      <c r="AV408" s="303" t="s">
        <v>105</v>
      </c>
      <c r="AW408" s="303" t="s">
        <v>106</v>
      </c>
      <c r="AX408" s="304" t="s">
        <v>512</v>
      </c>
      <c r="AY408" s="1079"/>
      <c r="BC408" s="303" t="s">
        <v>104</v>
      </c>
      <c r="BD408" s="303" t="s">
        <v>105</v>
      </c>
      <c r="BE408" s="303" t="s">
        <v>106</v>
      </c>
      <c r="BF408" s="304" t="s">
        <v>512</v>
      </c>
      <c r="BG408" s="1079"/>
      <c r="BK408" s="303" t="s">
        <v>104</v>
      </c>
      <c r="BL408" s="303" t="s">
        <v>105</v>
      </c>
      <c r="BM408" s="303" t="s">
        <v>106</v>
      </c>
      <c r="BN408" s="304" t="s">
        <v>512</v>
      </c>
      <c r="BO408" s="1079"/>
      <c r="BS408" s="303" t="s">
        <v>104</v>
      </c>
      <c r="BT408" s="303" t="s">
        <v>105</v>
      </c>
      <c r="BU408" s="303" t="s">
        <v>106</v>
      </c>
      <c r="BV408" s="304" t="s">
        <v>512</v>
      </c>
      <c r="BW408" s="1079"/>
      <c r="CA408" s="303" t="s">
        <v>104</v>
      </c>
      <c r="CB408" s="303" t="s">
        <v>105</v>
      </c>
      <c r="CC408" s="303" t="s">
        <v>106</v>
      </c>
      <c r="CD408" s="304" t="s">
        <v>512</v>
      </c>
      <c r="CE408" s="1079"/>
      <c r="CI408" s="303" t="s">
        <v>104</v>
      </c>
      <c r="CJ408" s="303" t="s">
        <v>105</v>
      </c>
      <c r="CK408" s="303" t="s">
        <v>106</v>
      </c>
      <c r="CL408" s="304" t="s">
        <v>512</v>
      </c>
      <c r="CM408" s="1079"/>
      <c r="CQ408" s="303" t="s">
        <v>104</v>
      </c>
      <c r="CR408" s="303" t="s">
        <v>105</v>
      </c>
      <c r="CS408" s="303" t="s">
        <v>106</v>
      </c>
      <c r="CT408" s="304" t="s">
        <v>512</v>
      </c>
      <c r="CU408" s="1079"/>
      <c r="CY408" s="303" t="s">
        <v>104</v>
      </c>
      <c r="CZ408" s="303" t="s">
        <v>105</v>
      </c>
      <c r="DA408" s="303" t="s">
        <v>106</v>
      </c>
      <c r="DB408" s="304" t="s">
        <v>512</v>
      </c>
      <c r="DC408" s="1079"/>
      <c r="DG408" s="303" t="s">
        <v>104</v>
      </c>
      <c r="DH408" s="303" t="s">
        <v>105</v>
      </c>
      <c r="DI408" s="303" t="s">
        <v>106</v>
      </c>
      <c r="DJ408" s="304" t="s">
        <v>512</v>
      </c>
      <c r="DK408" s="1079"/>
      <c r="DO408" s="303" t="s">
        <v>104</v>
      </c>
      <c r="DP408" s="303" t="s">
        <v>105</v>
      </c>
      <c r="DQ408" s="303" t="s">
        <v>106</v>
      </c>
      <c r="DR408" s="304" t="s">
        <v>512</v>
      </c>
      <c r="DS408" s="1079"/>
      <c r="DW408" s="303" t="s">
        <v>104</v>
      </c>
      <c r="DX408" s="303" t="s">
        <v>105</v>
      </c>
      <c r="DY408" s="303" t="s">
        <v>106</v>
      </c>
      <c r="DZ408" s="304" t="s">
        <v>512</v>
      </c>
      <c r="EA408" s="1079"/>
      <c r="EE408" s="303" t="s">
        <v>104</v>
      </c>
      <c r="EF408" s="303" t="s">
        <v>105</v>
      </c>
      <c r="EG408" s="303" t="s">
        <v>106</v>
      </c>
      <c r="EH408" s="304" t="s">
        <v>512</v>
      </c>
      <c r="EI408" s="1079"/>
      <c r="EM408" s="303" t="s">
        <v>104</v>
      </c>
      <c r="EN408" s="303" t="s">
        <v>105</v>
      </c>
      <c r="EO408" s="303" t="s">
        <v>106</v>
      </c>
      <c r="EP408" s="304" t="s">
        <v>512</v>
      </c>
      <c r="EQ408" s="1079"/>
      <c r="EU408" s="303" t="s">
        <v>104</v>
      </c>
      <c r="EV408" s="303" t="s">
        <v>105</v>
      </c>
      <c r="EW408" s="303" t="s">
        <v>106</v>
      </c>
      <c r="EX408" s="304" t="s">
        <v>512</v>
      </c>
      <c r="EY408" s="1079"/>
      <c r="FC408" s="303" t="s">
        <v>104</v>
      </c>
      <c r="FD408" s="303" t="s">
        <v>105</v>
      </c>
      <c r="FE408" s="303" t="s">
        <v>106</v>
      </c>
      <c r="FF408" s="304" t="s">
        <v>512</v>
      </c>
      <c r="FG408" s="1079"/>
      <c r="FK408" s="303" t="s">
        <v>104</v>
      </c>
      <c r="FL408" s="303" t="s">
        <v>105</v>
      </c>
      <c r="FM408" s="303" t="s">
        <v>106</v>
      </c>
      <c r="FN408" s="304" t="s">
        <v>512</v>
      </c>
      <c r="FO408" s="1079"/>
    </row>
    <row r="409" spans="2:171" x14ac:dyDescent="0.25">
      <c r="B409" s="108"/>
      <c r="C409" s="108" t="s">
        <v>527</v>
      </c>
      <c r="D409" s="1072"/>
      <c r="E409" s="905"/>
      <c r="G409" s="891">
        <f>G405</f>
        <v>12681555588.985914</v>
      </c>
      <c r="H409" s="891">
        <f t="shared" ref="H409:J409" si="1421">H405</f>
        <v>5582371867.6053581</v>
      </c>
      <c r="I409" s="891">
        <f t="shared" si="1421"/>
        <v>0</v>
      </c>
      <c r="J409" s="891">
        <f t="shared" si="1421"/>
        <v>7099183721.3805552</v>
      </c>
      <c r="K409" s="1079"/>
      <c r="L409" s="1072"/>
      <c r="M409" s="1073"/>
      <c r="N409" s="1073"/>
      <c r="O409" s="891">
        <f>O405</f>
        <v>12681555588.985914</v>
      </c>
      <c r="P409" s="891">
        <f t="shared" ref="P409:R409" si="1422">P405</f>
        <v>5582371867.6053581</v>
      </c>
      <c r="Q409" s="891">
        <f t="shared" si="1422"/>
        <v>3295838980.7862144</v>
      </c>
      <c r="R409" s="891">
        <f t="shared" si="1422"/>
        <v>3803344740.5943408</v>
      </c>
      <c r="S409" s="1079"/>
      <c r="T409" s="1072"/>
      <c r="U409" s="1073"/>
      <c r="V409" s="1073"/>
      <c r="W409" s="891">
        <f>W405</f>
        <v>12681555588.985914</v>
      </c>
      <c r="X409" s="891">
        <f t="shared" ref="X409:Z409" si="1423">X405</f>
        <v>5582371867.6053581</v>
      </c>
      <c r="Y409" s="891">
        <f t="shared" si="1423"/>
        <v>3295838980.7862144</v>
      </c>
      <c r="Z409" s="891">
        <f t="shared" si="1423"/>
        <v>3803344740.5943408</v>
      </c>
      <c r="AA409" s="1079"/>
      <c r="AB409" s="1072"/>
      <c r="AC409" s="1073"/>
      <c r="AD409" s="1073"/>
      <c r="AE409" s="891">
        <f>AE405</f>
        <v>12681555588.985914</v>
      </c>
      <c r="AF409" s="891">
        <f t="shared" ref="AF409:AH409" si="1424">AF405</f>
        <v>5582371867.6053581</v>
      </c>
      <c r="AG409" s="891">
        <f t="shared" si="1424"/>
        <v>3295838980.7862144</v>
      </c>
      <c r="AH409" s="891">
        <f t="shared" si="1424"/>
        <v>3803344740.5943408</v>
      </c>
      <c r="AI409" s="1079"/>
      <c r="AJ409" s="1072"/>
      <c r="AK409" s="1073"/>
      <c r="AL409" s="1073"/>
      <c r="AM409" s="891">
        <f>AM405</f>
        <v>12681555588.985914</v>
      </c>
      <c r="AN409" s="891">
        <f t="shared" ref="AN409:AP409" si="1425">AN405</f>
        <v>5582371867.6053581</v>
      </c>
      <c r="AO409" s="891">
        <f t="shared" si="1425"/>
        <v>3295838980.7862144</v>
      </c>
      <c r="AP409" s="891">
        <f t="shared" si="1425"/>
        <v>3803344740.5943408</v>
      </c>
      <c r="AQ409" s="1079"/>
      <c r="AR409" s="1072"/>
      <c r="AS409" s="1073"/>
      <c r="AT409" s="1073"/>
      <c r="AU409" s="891">
        <f>AU405</f>
        <v>12681555588.985914</v>
      </c>
      <c r="AV409" s="891">
        <f t="shared" ref="AV409:AX409" si="1426">AV405</f>
        <v>5582371867.6053581</v>
      </c>
      <c r="AW409" s="891">
        <f t="shared" si="1426"/>
        <v>3295838980.7862144</v>
      </c>
      <c r="AX409" s="891">
        <f t="shared" si="1426"/>
        <v>3803344740.5943408</v>
      </c>
      <c r="AY409" s="1079"/>
      <c r="AZ409" s="1072"/>
      <c r="BA409" s="1073"/>
      <c r="BB409" s="1073"/>
      <c r="BC409" s="891">
        <f>BC405</f>
        <v>12681555588.985914</v>
      </c>
      <c r="BD409" s="891">
        <f t="shared" ref="BD409:BF409" si="1427">BD405</f>
        <v>5582371867.6053581</v>
      </c>
      <c r="BE409" s="891">
        <f t="shared" si="1427"/>
        <v>3295838980.7862144</v>
      </c>
      <c r="BF409" s="891">
        <f t="shared" si="1427"/>
        <v>3803344740.5943408</v>
      </c>
      <c r="BG409" s="1079"/>
      <c r="BH409" s="1072"/>
      <c r="BI409" s="1073"/>
      <c r="BJ409" s="1073"/>
      <c r="BK409" s="891">
        <f>BK405</f>
        <v>12681555588.985914</v>
      </c>
      <c r="BL409" s="891">
        <f t="shared" ref="BL409:BN409" si="1428">BL405</f>
        <v>5582371867.6053581</v>
      </c>
      <c r="BM409" s="891">
        <f t="shared" si="1428"/>
        <v>3295838980.7862144</v>
      </c>
      <c r="BN409" s="891">
        <f t="shared" si="1428"/>
        <v>3803344740.5943408</v>
      </c>
      <c r="BO409" s="1079"/>
      <c r="BP409" s="1072"/>
      <c r="BQ409" s="1073"/>
      <c r="BR409" s="1073"/>
      <c r="BS409" s="891">
        <f>BS405</f>
        <v>12681555588.985914</v>
      </c>
      <c r="BT409" s="891">
        <f t="shared" ref="BT409:BV409" si="1429">BT405</f>
        <v>5582371867.6053581</v>
      </c>
      <c r="BU409" s="891">
        <f t="shared" si="1429"/>
        <v>3295838980.7862144</v>
      </c>
      <c r="BV409" s="891">
        <f t="shared" si="1429"/>
        <v>3803344740.5943408</v>
      </c>
      <c r="BW409" s="1079"/>
      <c r="BX409" s="1072"/>
      <c r="BY409" s="1073"/>
      <c r="BZ409" s="1073"/>
      <c r="CA409" s="891">
        <f>CA405</f>
        <v>12681555588.985914</v>
      </c>
      <c r="CB409" s="891">
        <f t="shared" ref="CB409:CD409" si="1430">CB405</f>
        <v>5582371867.6053581</v>
      </c>
      <c r="CC409" s="891">
        <f t="shared" si="1430"/>
        <v>3295838980.7862144</v>
      </c>
      <c r="CD409" s="891">
        <f t="shared" si="1430"/>
        <v>3803344740.5943408</v>
      </c>
      <c r="CE409" s="1079"/>
      <c r="CF409" s="1072"/>
      <c r="CG409" s="1073"/>
      <c r="CH409" s="1073"/>
      <c r="CI409" s="891">
        <f>CI405</f>
        <v>12681555588.985914</v>
      </c>
      <c r="CJ409" s="891">
        <f t="shared" ref="CJ409:CL409" si="1431">CJ405</f>
        <v>5582371867.6053581</v>
      </c>
      <c r="CK409" s="891">
        <f t="shared" si="1431"/>
        <v>3295838980.7862144</v>
      </c>
      <c r="CL409" s="891">
        <f t="shared" si="1431"/>
        <v>3803344740.5943408</v>
      </c>
      <c r="CM409" s="1079"/>
      <c r="CN409" s="1072"/>
      <c r="CO409" s="1073"/>
      <c r="CP409" s="1073"/>
      <c r="CQ409" s="891">
        <f>CQ405</f>
        <v>12681555588.985914</v>
      </c>
      <c r="CR409" s="891">
        <f t="shared" ref="CR409:CT409" si="1432">CR405</f>
        <v>5582371867.6053581</v>
      </c>
      <c r="CS409" s="891">
        <f t="shared" si="1432"/>
        <v>3295838980.7862144</v>
      </c>
      <c r="CT409" s="891">
        <f t="shared" si="1432"/>
        <v>3803344740.5943408</v>
      </c>
      <c r="CU409" s="1079"/>
      <c r="CV409" s="1072"/>
      <c r="CW409" s="1073"/>
      <c r="CX409" s="1073"/>
      <c r="CY409" s="891">
        <f>CY405</f>
        <v>12681555588.985914</v>
      </c>
      <c r="CZ409" s="891">
        <f t="shared" ref="CZ409:DB409" si="1433">CZ405</f>
        <v>5582371867.6053581</v>
      </c>
      <c r="DA409" s="891">
        <f t="shared" si="1433"/>
        <v>3295838980.7862144</v>
      </c>
      <c r="DB409" s="891">
        <f t="shared" si="1433"/>
        <v>3803344740.5943408</v>
      </c>
      <c r="DC409" s="1079"/>
      <c r="DD409" s="1072"/>
      <c r="DE409" s="1073"/>
      <c r="DF409" s="1073"/>
      <c r="DG409" s="891">
        <f>DG405</f>
        <v>12681555588.985914</v>
      </c>
      <c r="DH409" s="891">
        <f t="shared" ref="DH409:DJ409" si="1434">DH405</f>
        <v>5582371867.6053581</v>
      </c>
      <c r="DI409" s="891">
        <f t="shared" si="1434"/>
        <v>3295838980.7862144</v>
      </c>
      <c r="DJ409" s="891">
        <f t="shared" si="1434"/>
        <v>3803344740.5943408</v>
      </c>
      <c r="DK409" s="1079"/>
      <c r="DL409" s="1072"/>
      <c r="DM409" s="1073"/>
      <c r="DN409" s="1073"/>
      <c r="DO409" s="891">
        <f>DO405</f>
        <v>12681555588.985914</v>
      </c>
      <c r="DP409" s="891">
        <f t="shared" ref="DP409:DR409" si="1435">DP405</f>
        <v>5582371867.6053581</v>
      </c>
      <c r="DQ409" s="891">
        <f t="shared" si="1435"/>
        <v>3295838980.7862144</v>
      </c>
      <c r="DR409" s="891">
        <f t="shared" si="1435"/>
        <v>3803344740.5943408</v>
      </c>
      <c r="DS409" s="1079"/>
      <c r="DT409" s="1072"/>
      <c r="DU409" s="1073"/>
      <c r="DV409" s="1073"/>
      <c r="DW409" s="891">
        <f>DW405</f>
        <v>12681555588.985914</v>
      </c>
      <c r="DX409" s="891">
        <f t="shared" ref="DX409:DZ409" si="1436">DX405</f>
        <v>5582371867.6053581</v>
      </c>
      <c r="DY409" s="891">
        <f t="shared" si="1436"/>
        <v>3295838980.7862144</v>
      </c>
      <c r="DZ409" s="891">
        <f t="shared" si="1436"/>
        <v>3803344740.5943408</v>
      </c>
      <c r="EA409" s="1079"/>
      <c r="EB409" s="1072"/>
      <c r="EC409" s="1073"/>
      <c r="ED409" s="1073"/>
      <c r="EE409" s="891">
        <f>EE405</f>
        <v>12681555588.985914</v>
      </c>
      <c r="EF409" s="891">
        <f t="shared" ref="EF409:EH409" si="1437">EF405</f>
        <v>5582371867.6053581</v>
      </c>
      <c r="EG409" s="891">
        <f t="shared" si="1437"/>
        <v>3295838980.7862144</v>
      </c>
      <c r="EH409" s="891">
        <f t="shared" si="1437"/>
        <v>3803344740.5943408</v>
      </c>
      <c r="EI409" s="1079"/>
      <c r="EJ409" s="1072"/>
      <c r="EK409" s="1073"/>
      <c r="EL409" s="1073"/>
      <c r="EM409" s="891">
        <f>EM405</f>
        <v>12681555588.985914</v>
      </c>
      <c r="EN409" s="891">
        <f t="shared" ref="EN409:EP409" si="1438">EN405</f>
        <v>5582371867.6053581</v>
      </c>
      <c r="EO409" s="891">
        <f t="shared" si="1438"/>
        <v>3295838980.7862144</v>
      </c>
      <c r="EP409" s="891">
        <f t="shared" si="1438"/>
        <v>3803344740.5943408</v>
      </c>
      <c r="EQ409" s="1079"/>
      <c r="ER409" s="1072"/>
      <c r="ES409" s="1073"/>
      <c r="ET409" s="1073"/>
      <c r="EU409" s="891">
        <f>EU405</f>
        <v>12681555588.985914</v>
      </c>
      <c r="EV409" s="891">
        <f t="shared" ref="EV409:EX409" si="1439">EV405</f>
        <v>5582371867.6053581</v>
      </c>
      <c r="EW409" s="891">
        <f t="shared" si="1439"/>
        <v>3295838980.7862144</v>
      </c>
      <c r="EX409" s="891">
        <f t="shared" si="1439"/>
        <v>3803344740.5943408</v>
      </c>
      <c r="EY409" s="1079"/>
      <c r="EZ409" s="1072"/>
      <c r="FA409" s="1073"/>
      <c r="FB409" s="1073"/>
      <c r="FC409" s="891">
        <f>FC405</f>
        <v>12681555588.985914</v>
      </c>
      <c r="FD409" s="891">
        <f t="shared" ref="FD409:FF409" si="1440">FD405</f>
        <v>5582371867.6053581</v>
      </c>
      <c r="FE409" s="891">
        <f t="shared" si="1440"/>
        <v>3295838980.7862144</v>
      </c>
      <c r="FF409" s="891">
        <f t="shared" si="1440"/>
        <v>3803344740.5943408</v>
      </c>
      <c r="FG409" s="1079"/>
      <c r="FH409" s="1072"/>
      <c r="FI409" s="1073"/>
      <c r="FJ409" s="1073"/>
      <c r="FK409" s="891">
        <f>FK405</f>
        <v>12681555588.985914</v>
      </c>
      <c r="FL409" s="891">
        <f t="shared" ref="FL409:FN409" si="1441">FL405</f>
        <v>5582371867.6053581</v>
      </c>
      <c r="FM409" s="891">
        <f t="shared" si="1441"/>
        <v>3295838980.7862144</v>
      </c>
      <c r="FN409" s="891">
        <f t="shared" si="1441"/>
        <v>3803344740.5943408</v>
      </c>
      <c r="FO409" s="1079"/>
    </row>
    <row r="410" spans="2:171" x14ac:dyDescent="0.25">
      <c r="B410" s="108"/>
      <c r="C410" s="108" t="s">
        <v>528</v>
      </c>
      <c r="D410" s="1072"/>
      <c r="E410" s="905" t="str">
        <f>E16</f>
        <v>DIST</v>
      </c>
      <c r="G410" s="891">
        <f t="shared" ref="G410:J412" si="1442">G16</f>
        <v>0</v>
      </c>
      <c r="H410" s="891">
        <f t="shared" si="1442"/>
        <v>0</v>
      </c>
      <c r="I410" s="891">
        <f t="shared" si="1442"/>
        <v>0</v>
      </c>
      <c r="J410" s="891">
        <f t="shared" si="1442"/>
        <v>0</v>
      </c>
      <c r="K410" s="1074"/>
      <c r="L410" s="1072"/>
      <c r="M410" s="1073"/>
      <c r="N410" s="1073"/>
      <c r="O410" s="891">
        <f t="shared" ref="O410:R410" si="1443">O16</f>
        <v>0</v>
      </c>
      <c r="P410" s="891">
        <f t="shared" si="1443"/>
        <v>0</v>
      </c>
      <c r="Q410" s="891">
        <f t="shared" si="1443"/>
        <v>0</v>
      </c>
      <c r="R410" s="891">
        <f t="shared" si="1443"/>
        <v>0</v>
      </c>
      <c r="S410" s="1074"/>
      <c r="T410" s="1072"/>
      <c r="U410" s="1073"/>
      <c r="V410" s="1073"/>
      <c r="W410" s="891">
        <f t="shared" ref="W410:Z410" si="1444">W16</f>
        <v>0</v>
      </c>
      <c r="X410" s="891">
        <f t="shared" si="1444"/>
        <v>0</v>
      </c>
      <c r="Y410" s="891">
        <f t="shared" si="1444"/>
        <v>0</v>
      </c>
      <c r="Z410" s="891">
        <f t="shared" si="1444"/>
        <v>0</v>
      </c>
      <c r="AA410" s="1074"/>
      <c r="AB410" s="1072"/>
      <c r="AC410" s="1073"/>
      <c r="AD410" s="1073"/>
      <c r="AE410" s="891">
        <f t="shared" ref="AE410:AH410" si="1445">AE16</f>
        <v>0</v>
      </c>
      <c r="AF410" s="891">
        <f t="shared" si="1445"/>
        <v>0</v>
      </c>
      <c r="AG410" s="891">
        <f t="shared" si="1445"/>
        <v>0</v>
      </c>
      <c r="AH410" s="891">
        <f t="shared" si="1445"/>
        <v>0</v>
      </c>
      <c r="AI410" s="1074"/>
      <c r="AJ410" s="1072"/>
      <c r="AK410" s="1073"/>
      <c r="AL410" s="1073"/>
      <c r="AM410" s="891">
        <f t="shared" ref="AM410:AP410" si="1446">AM16</f>
        <v>0</v>
      </c>
      <c r="AN410" s="891">
        <f t="shared" si="1446"/>
        <v>0</v>
      </c>
      <c r="AO410" s="891">
        <f t="shared" si="1446"/>
        <v>0</v>
      </c>
      <c r="AP410" s="891">
        <f t="shared" si="1446"/>
        <v>0</v>
      </c>
      <c r="AQ410" s="1074"/>
      <c r="AR410" s="1072"/>
      <c r="AS410" s="1073"/>
      <c r="AT410" s="1073"/>
      <c r="AU410" s="891">
        <f t="shared" ref="AU410:AX410" si="1447">AU16</f>
        <v>0</v>
      </c>
      <c r="AV410" s="891">
        <f t="shared" si="1447"/>
        <v>0</v>
      </c>
      <c r="AW410" s="891">
        <f t="shared" si="1447"/>
        <v>0</v>
      </c>
      <c r="AX410" s="891">
        <f t="shared" si="1447"/>
        <v>0</v>
      </c>
      <c r="AY410" s="1074"/>
      <c r="AZ410" s="1072"/>
      <c r="BA410" s="1073"/>
      <c r="BB410" s="1073"/>
      <c r="BC410" s="891">
        <f t="shared" ref="BC410:BF410" si="1448">BC16</f>
        <v>0</v>
      </c>
      <c r="BD410" s="891">
        <f t="shared" si="1448"/>
        <v>0</v>
      </c>
      <c r="BE410" s="891">
        <f t="shared" si="1448"/>
        <v>0</v>
      </c>
      <c r="BF410" s="891">
        <f t="shared" si="1448"/>
        <v>0</v>
      </c>
      <c r="BG410" s="1074"/>
      <c r="BH410" s="1072"/>
      <c r="BI410" s="1073"/>
      <c r="BJ410" s="1073"/>
      <c r="BK410" s="891">
        <f t="shared" ref="BK410:BN410" si="1449">BK16</f>
        <v>0</v>
      </c>
      <c r="BL410" s="891">
        <f t="shared" si="1449"/>
        <v>0</v>
      </c>
      <c r="BM410" s="891">
        <f t="shared" si="1449"/>
        <v>0</v>
      </c>
      <c r="BN410" s="891">
        <f t="shared" si="1449"/>
        <v>0</v>
      </c>
      <c r="BO410" s="1074"/>
      <c r="BP410" s="1072"/>
      <c r="BQ410" s="1073"/>
      <c r="BR410" s="1073"/>
      <c r="BS410" s="891">
        <f t="shared" ref="BS410:BV410" si="1450">BS16</f>
        <v>0</v>
      </c>
      <c r="BT410" s="891">
        <f t="shared" si="1450"/>
        <v>0</v>
      </c>
      <c r="BU410" s="891">
        <f t="shared" si="1450"/>
        <v>0</v>
      </c>
      <c r="BV410" s="891">
        <f t="shared" si="1450"/>
        <v>0</v>
      </c>
      <c r="BW410" s="1074"/>
      <c r="BX410" s="1072"/>
      <c r="BY410" s="1073"/>
      <c r="BZ410" s="1073"/>
      <c r="CA410" s="891">
        <f t="shared" ref="CA410:CD410" si="1451">CA16</f>
        <v>0</v>
      </c>
      <c r="CB410" s="891">
        <f t="shared" si="1451"/>
        <v>0</v>
      </c>
      <c r="CC410" s="891">
        <f t="shared" si="1451"/>
        <v>0</v>
      </c>
      <c r="CD410" s="891">
        <f t="shared" si="1451"/>
        <v>0</v>
      </c>
      <c r="CE410" s="1074"/>
      <c r="CF410" s="1072"/>
      <c r="CG410" s="1073"/>
      <c r="CH410" s="1073"/>
      <c r="CI410" s="891">
        <f t="shared" ref="CI410:CL410" si="1452">CI16</f>
        <v>0</v>
      </c>
      <c r="CJ410" s="891">
        <f t="shared" si="1452"/>
        <v>0</v>
      </c>
      <c r="CK410" s="891">
        <f t="shared" si="1452"/>
        <v>0</v>
      </c>
      <c r="CL410" s="891">
        <f t="shared" si="1452"/>
        <v>0</v>
      </c>
      <c r="CM410" s="1074"/>
      <c r="CN410" s="1072"/>
      <c r="CO410" s="1073"/>
      <c r="CP410" s="1073"/>
      <c r="CQ410" s="891">
        <f t="shared" ref="CQ410:CT410" si="1453">CQ16</f>
        <v>0</v>
      </c>
      <c r="CR410" s="891">
        <f t="shared" si="1453"/>
        <v>0</v>
      </c>
      <c r="CS410" s="891">
        <f t="shared" si="1453"/>
        <v>0</v>
      </c>
      <c r="CT410" s="891">
        <f t="shared" si="1453"/>
        <v>0</v>
      </c>
      <c r="CU410" s="1074"/>
      <c r="CV410" s="1072"/>
      <c r="CW410" s="1073"/>
      <c r="CX410" s="1073"/>
      <c r="CY410" s="891">
        <f t="shared" ref="CY410:DB410" si="1454">CY16</f>
        <v>0</v>
      </c>
      <c r="CZ410" s="891">
        <f t="shared" si="1454"/>
        <v>0</v>
      </c>
      <c r="DA410" s="891">
        <f t="shared" si="1454"/>
        <v>0</v>
      </c>
      <c r="DB410" s="891">
        <f t="shared" si="1454"/>
        <v>0</v>
      </c>
      <c r="DC410" s="1074"/>
      <c r="DD410" s="1072"/>
      <c r="DE410" s="1073"/>
      <c r="DF410" s="1073"/>
      <c r="DG410" s="891">
        <f t="shared" ref="DG410:DJ410" si="1455">DG16</f>
        <v>0</v>
      </c>
      <c r="DH410" s="891">
        <f t="shared" si="1455"/>
        <v>0</v>
      </c>
      <c r="DI410" s="891">
        <f t="shared" si="1455"/>
        <v>0</v>
      </c>
      <c r="DJ410" s="891">
        <f t="shared" si="1455"/>
        <v>0</v>
      </c>
      <c r="DK410" s="1074"/>
      <c r="DL410" s="1072"/>
      <c r="DM410" s="1073"/>
      <c r="DN410" s="1073"/>
      <c r="DO410" s="891">
        <f t="shared" ref="DO410:DR410" si="1456">DO16</f>
        <v>0</v>
      </c>
      <c r="DP410" s="891">
        <f t="shared" si="1456"/>
        <v>0</v>
      </c>
      <c r="DQ410" s="891">
        <f t="shared" si="1456"/>
        <v>0</v>
      </c>
      <c r="DR410" s="891">
        <f t="shared" si="1456"/>
        <v>0</v>
      </c>
      <c r="DS410" s="1074"/>
      <c r="DT410" s="1072"/>
      <c r="DU410" s="1073"/>
      <c r="DV410" s="1073"/>
      <c r="DW410" s="891">
        <f t="shared" ref="DW410:DZ410" si="1457">DW16</f>
        <v>0</v>
      </c>
      <c r="DX410" s="891">
        <f t="shared" si="1457"/>
        <v>0</v>
      </c>
      <c r="DY410" s="891">
        <f t="shared" si="1457"/>
        <v>0</v>
      </c>
      <c r="DZ410" s="891">
        <f t="shared" si="1457"/>
        <v>0</v>
      </c>
      <c r="EA410" s="1074"/>
      <c r="EB410" s="1072"/>
      <c r="EC410" s="1073"/>
      <c r="ED410" s="1073"/>
      <c r="EE410" s="891">
        <f t="shared" ref="EE410:EH410" si="1458">EE16</f>
        <v>0</v>
      </c>
      <c r="EF410" s="891">
        <f t="shared" si="1458"/>
        <v>0</v>
      </c>
      <c r="EG410" s="891">
        <f t="shared" si="1458"/>
        <v>0</v>
      </c>
      <c r="EH410" s="891">
        <f t="shared" si="1458"/>
        <v>0</v>
      </c>
      <c r="EI410" s="1074"/>
      <c r="EJ410" s="1072"/>
      <c r="EK410" s="1073"/>
      <c r="EL410" s="1073"/>
      <c r="EM410" s="891">
        <f t="shared" ref="EM410:EP410" si="1459">EM16</f>
        <v>0</v>
      </c>
      <c r="EN410" s="891">
        <f t="shared" si="1459"/>
        <v>0</v>
      </c>
      <c r="EO410" s="891">
        <f t="shared" si="1459"/>
        <v>0</v>
      </c>
      <c r="EP410" s="891">
        <f t="shared" si="1459"/>
        <v>0</v>
      </c>
      <c r="EQ410" s="1074"/>
      <c r="ER410" s="1072"/>
      <c r="ES410" s="1073"/>
      <c r="ET410" s="1073"/>
      <c r="EU410" s="891">
        <f t="shared" ref="EU410:EX410" si="1460">EU16</f>
        <v>0</v>
      </c>
      <c r="EV410" s="891">
        <f t="shared" si="1460"/>
        <v>0</v>
      </c>
      <c r="EW410" s="891">
        <f t="shared" si="1460"/>
        <v>0</v>
      </c>
      <c r="EX410" s="891">
        <f t="shared" si="1460"/>
        <v>0</v>
      </c>
      <c r="EY410" s="1074"/>
      <c r="EZ410" s="1072"/>
      <c r="FA410" s="1073"/>
      <c r="FB410" s="1073"/>
      <c r="FC410" s="891">
        <f t="shared" ref="FC410:FF410" si="1461">FC16</f>
        <v>0</v>
      </c>
      <c r="FD410" s="891">
        <f t="shared" si="1461"/>
        <v>0</v>
      </c>
      <c r="FE410" s="891">
        <f t="shared" si="1461"/>
        <v>0</v>
      </c>
      <c r="FF410" s="891">
        <f t="shared" si="1461"/>
        <v>0</v>
      </c>
      <c r="FG410" s="1074"/>
      <c r="FH410" s="1072"/>
      <c r="FI410" s="1073"/>
      <c r="FJ410" s="1073"/>
      <c r="FK410" s="891">
        <f t="shared" ref="FK410:FN410" si="1462">FK16</f>
        <v>0</v>
      </c>
      <c r="FL410" s="891">
        <f t="shared" si="1462"/>
        <v>0</v>
      </c>
      <c r="FM410" s="891">
        <f t="shared" si="1462"/>
        <v>0</v>
      </c>
      <c r="FN410" s="891">
        <f t="shared" si="1462"/>
        <v>0</v>
      </c>
      <c r="FO410" s="1074"/>
    </row>
    <row r="411" spans="2:171" x14ac:dyDescent="0.25">
      <c r="B411" s="108"/>
      <c r="C411" s="108" t="s">
        <v>529</v>
      </c>
      <c r="D411" s="1072"/>
      <c r="E411" s="905" t="str">
        <f t="shared" ref="E411:E412" si="1463">E17</f>
        <v>DIRECT</v>
      </c>
      <c r="G411" s="891">
        <f t="shared" si="1442"/>
        <v>71764696.193237215</v>
      </c>
      <c r="H411" s="891">
        <f t="shared" si="1442"/>
        <v>71764696.193237215</v>
      </c>
      <c r="I411" s="891">
        <f t="shared" si="1442"/>
        <v>0</v>
      </c>
      <c r="J411" s="891">
        <f t="shared" si="1442"/>
        <v>1380340.3620770171</v>
      </c>
      <c r="K411" s="1074"/>
      <c r="L411" s="1072"/>
      <c r="M411" s="1073"/>
      <c r="N411" s="1073"/>
      <c r="O411" s="891">
        <f t="shared" ref="O411:R411" si="1464">O17</f>
        <v>71764696.193237215</v>
      </c>
      <c r="P411" s="891">
        <f t="shared" si="1464"/>
        <v>71764696.193237215</v>
      </c>
      <c r="Q411" s="891">
        <f t="shared" si="1464"/>
        <v>0</v>
      </c>
      <c r="R411" s="891">
        <f t="shared" si="1464"/>
        <v>0</v>
      </c>
      <c r="S411" s="1074"/>
      <c r="T411" s="1072"/>
      <c r="U411" s="1073"/>
      <c r="V411" s="1073"/>
      <c r="W411" s="891">
        <f t="shared" ref="W411:Z411" si="1465">W17</f>
        <v>71764696.193237215</v>
      </c>
      <c r="X411" s="891">
        <f t="shared" si="1465"/>
        <v>71764696.193237215</v>
      </c>
      <c r="Y411" s="891">
        <f t="shared" si="1465"/>
        <v>0</v>
      </c>
      <c r="Z411" s="891">
        <f t="shared" si="1465"/>
        <v>0</v>
      </c>
      <c r="AA411" s="1074"/>
      <c r="AB411" s="1072"/>
      <c r="AC411" s="1073"/>
      <c r="AD411" s="1073"/>
      <c r="AE411" s="891">
        <f t="shared" ref="AE411:AH411" si="1466">AE17</f>
        <v>71764696.193237215</v>
      </c>
      <c r="AF411" s="891">
        <f t="shared" si="1466"/>
        <v>71764696.193237215</v>
      </c>
      <c r="AG411" s="891">
        <f t="shared" si="1466"/>
        <v>0</v>
      </c>
      <c r="AH411" s="891">
        <f t="shared" si="1466"/>
        <v>0</v>
      </c>
      <c r="AI411" s="1074"/>
      <c r="AJ411" s="1072"/>
      <c r="AK411" s="1073"/>
      <c r="AL411" s="1073"/>
      <c r="AM411" s="891">
        <f t="shared" ref="AM411:AP411" si="1467">AM17</f>
        <v>71764696.193237215</v>
      </c>
      <c r="AN411" s="891">
        <f t="shared" si="1467"/>
        <v>71764696.193237215</v>
      </c>
      <c r="AO411" s="891">
        <f t="shared" si="1467"/>
        <v>0</v>
      </c>
      <c r="AP411" s="891">
        <f t="shared" si="1467"/>
        <v>0</v>
      </c>
      <c r="AQ411" s="1074"/>
      <c r="AR411" s="1072"/>
      <c r="AS411" s="1073"/>
      <c r="AT411" s="1073"/>
      <c r="AU411" s="891">
        <f t="shared" ref="AU411:AX411" si="1468">AU17</f>
        <v>71764696.193237215</v>
      </c>
      <c r="AV411" s="891">
        <f t="shared" si="1468"/>
        <v>71764696.193237215</v>
      </c>
      <c r="AW411" s="891">
        <f t="shared" si="1468"/>
        <v>0</v>
      </c>
      <c r="AX411" s="891">
        <f t="shared" si="1468"/>
        <v>0</v>
      </c>
      <c r="AY411" s="1074"/>
      <c r="AZ411" s="1072"/>
      <c r="BA411" s="1073"/>
      <c r="BB411" s="1073"/>
      <c r="BC411" s="891">
        <f t="shared" ref="BC411:BF411" si="1469">BC17</f>
        <v>71764696.193237215</v>
      </c>
      <c r="BD411" s="891">
        <f t="shared" si="1469"/>
        <v>71764696.193237215</v>
      </c>
      <c r="BE411" s="891">
        <f t="shared" si="1469"/>
        <v>0</v>
      </c>
      <c r="BF411" s="891">
        <f t="shared" si="1469"/>
        <v>0</v>
      </c>
      <c r="BG411" s="1074"/>
      <c r="BH411" s="1072"/>
      <c r="BI411" s="1073"/>
      <c r="BJ411" s="1073"/>
      <c r="BK411" s="891">
        <f t="shared" ref="BK411:BN411" si="1470">BK17</f>
        <v>71764696.193237215</v>
      </c>
      <c r="BL411" s="891">
        <f t="shared" si="1470"/>
        <v>71764696.193237215</v>
      </c>
      <c r="BM411" s="891">
        <f t="shared" si="1470"/>
        <v>0</v>
      </c>
      <c r="BN411" s="891">
        <f t="shared" si="1470"/>
        <v>0</v>
      </c>
      <c r="BO411" s="1074"/>
      <c r="BP411" s="1072"/>
      <c r="BQ411" s="1073"/>
      <c r="BR411" s="1073"/>
      <c r="BS411" s="891">
        <f t="shared" ref="BS411:BV411" si="1471">BS17</f>
        <v>71764696.193237215</v>
      </c>
      <c r="BT411" s="891">
        <f t="shared" si="1471"/>
        <v>71764696.193237215</v>
      </c>
      <c r="BU411" s="891">
        <f t="shared" si="1471"/>
        <v>0</v>
      </c>
      <c r="BV411" s="891">
        <f t="shared" si="1471"/>
        <v>0</v>
      </c>
      <c r="BW411" s="1074"/>
      <c r="BX411" s="1072"/>
      <c r="BY411" s="1073"/>
      <c r="BZ411" s="1073"/>
      <c r="CA411" s="891">
        <f t="shared" ref="CA411:CD411" si="1472">CA17</f>
        <v>71764696.193237215</v>
      </c>
      <c r="CB411" s="891">
        <f t="shared" si="1472"/>
        <v>71764696.193237215</v>
      </c>
      <c r="CC411" s="891">
        <f t="shared" si="1472"/>
        <v>0</v>
      </c>
      <c r="CD411" s="891">
        <f t="shared" si="1472"/>
        <v>0</v>
      </c>
      <c r="CE411" s="1074"/>
      <c r="CF411" s="1072"/>
      <c r="CG411" s="1073"/>
      <c r="CH411" s="1073"/>
      <c r="CI411" s="891">
        <f t="shared" ref="CI411:CL411" si="1473">CI17</f>
        <v>71764696.193237215</v>
      </c>
      <c r="CJ411" s="891">
        <f t="shared" si="1473"/>
        <v>71764696.193237215</v>
      </c>
      <c r="CK411" s="891">
        <f t="shared" si="1473"/>
        <v>0</v>
      </c>
      <c r="CL411" s="891">
        <f t="shared" si="1473"/>
        <v>0</v>
      </c>
      <c r="CM411" s="1074"/>
      <c r="CN411" s="1072"/>
      <c r="CO411" s="1073"/>
      <c r="CP411" s="1073"/>
      <c r="CQ411" s="891">
        <f t="shared" ref="CQ411:CT411" si="1474">CQ17</f>
        <v>71764696.193237215</v>
      </c>
      <c r="CR411" s="891">
        <f t="shared" si="1474"/>
        <v>71764696.193237215</v>
      </c>
      <c r="CS411" s="891">
        <f t="shared" si="1474"/>
        <v>0</v>
      </c>
      <c r="CT411" s="891">
        <f t="shared" si="1474"/>
        <v>0</v>
      </c>
      <c r="CU411" s="1074"/>
      <c r="CV411" s="1072"/>
      <c r="CW411" s="1073"/>
      <c r="CX411" s="1073"/>
      <c r="CY411" s="891">
        <f t="shared" ref="CY411:DB411" si="1475">CY17</f>
        <v>71764696.193237215</v>
      </c>
      <c r="CZ411" s="891">
        <f t="shared" si="1475"/>
        <v>71764696.193237215</v>
      </c>
      <c r="DA411" s="891">
        <f t="shared" si="1475"/>
        <v>0</v>
      </c>
      <c r="DB411" s="891">
        <f t="shared" si="1475"/>
        <v>0</v>
      </c>
      <c r="DC411" s="1074"/>
      <c r="DD411" s="1072"/>
      <c r="DE411" s="1073"/>
      <c r="DF411" s="1073"/>
      <c r="DG411" s="891">
        <f t="shared" ref="DG411:DJ411" si="1476">DG17</f>
        <v>71764696.193237215</v>
      </c>
      <c r="DH411" s="891">
        <f t="shared" si="1476"/>
        <v>71764696.193237215</v>
      </c>
      <c r="DI411" s="891">
        <f t="shared" si="1476"/>
        <v>0</v>
      </c>
      <c r="DJ411" s="891">
        <f t="shared" si="1476"/>
        <v>0</v>
      </c>
      <c r="DK411" s="1074"/>
      <c r="DL411" s="1072"/>
      <c r="DM411" s="1073"/>
      <c r="DN411" s="1073"/>
      <c r="DO411" s="891">
        <f t="shared" ref="DO411:DR411" si="1477">DO17</f>
        <v>71764696.193237215</v>
      </c>
      <c r="DP411" s="891">
        <f t="shared" si="1477"/>
        <v>71764696.193237215</v>
      </c>
      <c r="DQ411" s="891">
        <f t="shared" si="1477"/>
        <v>0</v>
      </c>
      <c r="DR411" s="891">
        <f t="shared" si="1477"/>
        <v>0</v>
      </c>
      <c r="DS411" s="1074"/>
      <c r="DT411" s="1072"/>
      <c r="DU411" s="1073"/>
      <c r="DV411" s="1073"/>
      <c r="DW411" s="891">
        <f t="shared" ref="DW411:DZ411" si="1478">DW17</f>
        <v>71764696.193237215</v>
      </c>
      <c r="DX411" s="891">
        <f t="shared" si="1478"/>
        <v>71764696.193237215</v>
      </c>
      <c r="DY411" s="891">
        <f t="shared" si="1478"/>
        <v>0</v>
      </c>
      <c r="DZ411" s="891">
        <f t="shared" si="1478"/>
        <v>0</v>
      </c>
      <c r="EA411" s="1074"/>
      <c r="EB411" s="1072"/>
      <c r="EC411" s="1073"/>
      <c r="ED411" s="1073"/>
      <c r="EE411" s="891">
        <f t="shared" ref="EE411:EH411" si="1479">EE17</f>
        <v>71764696.193237215</v>
      </c>
      <c r="EF411" s="891">
        <f t="shared" si="1479"/>
        <v>71764696.193237215</v>
      </c>
      <c r="EG411" s="891">
        <f t="shared" si="1479"/>
        <v>0</v>
      </c>
      <c r="EH411" s="891">
        <f t="shared" si="1479"/>
        <v>0</v>
      </c>
      <c r="EI411" s="1074"/>
      <c r="EJ411" s="1072"/>
      <c r="EK411" s="1073"/>
      <c r="EL411" s="1073"/>
      <c r="EM411" s="891">
        <f t="shared" ref="EM411:EP411" si="1480">EM17</f>
        <v>71764696.193237215</v>
      </c>
      <c r="EN411" s="891">
        <f t="shared" si="1480"/>
        <v>71764696.193237215</v>
      </c>
      <c r="EO411" s="891">
        <f t="shared" si="1480"/>
        <v>0</v>
      </c>
      <c r="EP411" s="891">
        <f t="shared" si="1480"/>
        <v>0</v>
      </c>
      <c r="EQ411" s="1074"/>
      <c r="ER411" s="1072"/>
      <c r="ES411" s="1073"/>
      <c r="ET411" s="1073"/>
      <c r="EU411" s="891">
        <f t="shared" ref="EU411:EX411" si="1481">EU17</f>
        <v>71764696.193237215</v>
      </c>
      <c r="EV411" s="891">
        <f t="shared" si="1481"/>
        <v>71764696.193237215</v>
      </c>
      <c r="EW411" s="891">
        <f t="shared" si="1481"/>
        <v>0</v>
      </c>
      <c r="EX411" s="891">
        <f t="shared" si="1481"/>
        <v>0</v>
      </c>
      <c r="EY411" s="1074"/>
      <c r="EZ411" s="1072"/>
      <c r="FA411" s="1073"/>
      <c r="FB411" s="1073"/>
      <c r="FC411" s="891">
        <f t="shared" ref="FC411:FF411" si="1482">FC17</f>
        <v>71764696.193237215</v>
      </c>
      <c r="FD411" s="891">
        <f t="shared" si="1482"/>
        <v>71764696.193237215</v>
      </c>
      <c r="FE411" s="891">
        <f t="shared" si="1482"/>
        <v>0</v>
      </c>
      <c r="FF411" s="891">
        <f t="shared" si="1482"/>
        <v>0</v>
      </c>
      <c r="FG411" s="1074"/>
      <c r="FH411" s="1072"/>
      <c r="FI411" s="1073"/>
      <c r="FJ411" s="1073"/>
      <c r="FK411" s="891">
        <f t="shared" ref="FK411:FN411" si="1483">FK17</f>
        <v>71764696.193237215</v>
      </c>
      <c r="FL411" s="891">
        <f t="shared" si="1483"/>
        <v>71764696.193237215</v>
      </c>
      <c r="FM411" s="891">
        <f t="shared" si="1483"/>
        <v>0</v>
      </c>
      <c r="FN411" s="891">
        <f t="shared" si="1483"/>
        <v>0</v>
      </c>
      <c r="FO411" s="1074"/>
    </row>
    <row r="412" spans="2:171" x14ac:dyDescent="0.25">
      <c r="B412" s="108"/>
      <c r="C412" s="108" t="s">
        <v>543</v>
      </c>
      <c r="D412" s="1072"/>
      <c r="E412" s="905" t="str">
        <f t="shared" si="1463"/>
        <v>DIRECT</v>
      </c>
      <c r="G412" s="891">
        <f t="shared" si="1442"/>
        <v>391010404.58104789</v>
      </c>
      <c r="H412" s="891">
        <f t="shared" si="1442"/>
        <v>129807186.3491185</v>
      </c>
      <c r="I412" s="891">
        <f t="shared" si="1442"/>
        <v>0</v>
      </c>
      <c r="J412" s="891">
        <f t="shared" si="1442"/>
        <v>261203218.23192942</v>
      </c>
      <c r="K412" s="1074"/>
      <c r="L412" s="1072"/>
      <c r="M412" s="1073"/>
      <c r="N412" s="1073"/>
      <c r="O412" s="891">
        <f t="shared" ref="O412:R412" si="1484">O18</f>
        <v>391010404.58104789</v>
      </c>
      <c r="P412" s="891">
        <f t="shared" si="1484"/>
        <v>129807186.34911849</v>
      </c>
      <c r="Q412" s="891">
        <f t="shared" si="1484"/>
        <v>0</v>
      </c>
      <c r="R412" s="891">
        <f t="shared" si="1484"/>
        <v>261203218.23192942</v>
      </c>
      <c r="S412" s="1074"/>
      <c r="T412" s="1072"/>
      <c r="U412" s="1073"/>
      <c r="V412" s="1073"/>
      <c r="W412" s="891">
        <f t="shared" ref="W412:Z412" si="1485">W18</f>
        <v>391010404.58104789</v>
      </c>
      <c r="X412" s="891">
        <f t="shared" si="1485"/>
        <v>129807186.34911849</v>
      </c>
      <c r="Y412" s="891">
        <f t="shared" si="1485"/>
        <v>0</v>
      </c>
      <c r="Z412" s="891">
        <f t="shared" si="1485"/>
        <v>261203218.23192942</v>
      </c>
      <c r="AA412" s="1074"/>
      <c r="AB412" s="1072"/>
      <c r="AC412" s="1073"/>
      <c r="AD412" s="1073"/>
      <c r="AE412" s="891">
        <f t="shared" ref="AE412:AH412" si="1486">AE18</f>
        <v>391010404.58104789</v>
      </c>
      <c r="AF412" s="891">
        <f t="shared" si="1486"/>
        <v>129807186.34911849</v>
      </c>
      <c r="AG412" s="891">
        <f t="shared" si="1486"/>
        <v>0</v>
      </c>
      <c r="AH412" s="891">
        <f t="shared" si="1486"/>
        <v>261203218.23192942</v>
      </c>
      <c r="AI412" s="1074"/>
      <c r="AJ412" s="1072"/>
      <c r="AK412" s="1073"/>
      <c r="AL412" s="1073"/>
      <c r="AM412" s="891">
        <f t="shared" ref="AM412:AP412" si="1487">AM18</f>
        <v>391010404.58104789</v>
      </c>
      <c r="AN412" s="891">
        <f t="shared" si="1487"/>
        <v>129807186.34911849</v>
      </c>
      <c r="AO412" s="891">
        <f t="shared" si="1487"/>
        <v>0</v>
      </c>
      <c r="AP412" s="891">
        <f t="shared" si="1487"/>
        <v>261203218.23192942</v>
      </c>
      <c r="AQ412" s="1074"/>
      <c r="AR412" s="1072"/>
      <c r="AS412" s="1073"/>
      <c r="AT412" s="1073"/>
      <c r="AU412" s="891">
        <f t="shared" ref="AU412:AX412" si="1488">AU18</f>
        <v>391010404.58104789</v>
      </c>
      <c r="AV412" s="891">
        <f t="shared" si="1488"/>
        <v>129807186.34911849</v>
      </c>
      <c r="AW412" s="891">
        <f t="shared" si="1488"/>
        <v>0</v>
      </c>
      <c r="AX412" s="891">
        <f t="shared" si="1488"/>
        <v>261203218.23192942</v>
      </c>
      <c r="AY412" s="1074"/>
      <c r="AZ412" s="1072"/>
      <c r="BA412" s="1073"/>
      <c r="BB412" s="1073"/>
      <c r="BC412" s="891">
        <f t="shared" ref="BC412:BF412" si="1489">BC18</f>
        <v>391010404.58104789</v>
      </c>
      <c r="BD412" s="891">
        <f t="shared" si="1489"/>
        <v>129807186.34911849</v>
      </c>
      <c r="BE412" s="891">
        <f t="shared" si="1489"/>
        <v>0</v>
      </c>
      <c r="BF412" s="891">
        <f t="shared" si="1489"/>
        <v>261203218.23192942</v>
      </c>
      <c r="BG412" s="1074"/>
      <c r="BH412" s="1072"/>
      <c r="BI412" s="1073"/>
      <c r="BJ412" s="1073"/>
      <c r="BK412" s="891">
        <f t="shared" ref="BK412:BN412" si="1490">BK18</f>
        <v>391010404.58104789</v>
      </c>
      <c r="BL412" s="891">
        <f t="shared" si="1490"/>
        <v>129807186.34911849</v>
      </c>
      <c r="BM412" s="891">
        <f t="shared" si="1490"/>
        <v>0</v>
      </c>
      <c r="BN412" s="891">
        <f t="shared" si="1490"/>
        <v>261203218.23192942</v>
      </c>
      <c r="BO412" s="1074"/>
      <c r="BP412" s="1072"/>
      <c r="BQ412" s="1073"/>
      <c r="BR412" s="1073"/>
      <c r="BS412" s="891">
        <f t="shared" ref="BS412:BV412" si="1491">BS18</f>
        <v>391010404.58104789</v>
      </c>
      <c r="BT412" s="891">
        <f t="shared" si="1491"/>
        <v>129807186.34911849</v>
      </c>
      <c r="BU412" s="891">
        <f t="shared" si="1491"/>
        <v>0</v>
      </c>
      <c r="BV412" s="891">
        <f t="shared" si="1491"/>
        <v>261203218.23192942</v>
      </c>
      <c r="BW412" s="1074"/>
      <c r="BX412" s="1072"/>
      <c r="BY412" s="1073"/>
      <c r="BZ412" s="1073"/>
      <c r="CA412" s="891">
        <f t="shared" ref="CA412:CD412" si="1492">CA18</f>
        <v>391010404.58104789</v>
      </c>
      <c r="CB412" s="891">
        <f t="shared" si="1492"/>
        <v>129807186.34911849</v>
      </c>
      <c r="CC412" s="891">
        <f t="shared" si="1492"/>
        <v>0</v>
      </c>
      <c r="CD412" s="891">
        <f t="shared" si="1492"/>
        <v>261203218.23192942</v>
      </c>
      <c r="CE412" s="1074"/>
      <c r="CF412" s="1072"/>
      <c r="CG412" s="1073"/>
      <c r="CH412" s="1073"/>
      <c r="CI412" s="891">
        <f t="shared" ref="CI412:CL412" si="1493">CI18</f>
        <v>391010404.58104789</v>
      </c>
      <c r="CJ412" s="891">
        <f t="shared" si="1493"/>
        <v>129807186.34911849</v>
      </c>
      <c r="CK412" s="891">
        <f t="shared" si="1493"/>
        <v>0</v>
      </c>
      <c r="CL412" s="891">
        <f t="shared" si="1493"/>
        <v>261203218.23192942</v>
      </c>
      <c r="CM412" s="1074"/>
      <c r="CN412" s="1072"/>
      <c r="CO412" s="1073"/>
      <c r="CP412" s="1073"/>
      <c r="CQ412" s="891">
        <f t="shared" ref="CQ412:CT412" si="1494">CQ18</f>
        <v>391010404.58104789</v>
      </c>
      <c r="CR412" s="891">
        <f t="shared" si="1494"/>
        <v>129807186.34911849</v>
      </c>
      <c r="CS412" s="891">
        <f t="shared" si="1494"/>
        <v>0</v>
      </c>
      <c r="CT412" s="891">
        <f t="shared" si="1494"/>
        <v>261203218.23192942</v>
      </c>
      <c r="CU412" s="1074"/>
      <c r="CV412" s="1072"/>
      <c r="CW412" s="1073"/>
      <c r="CX412" s="1073"/>
      <c r="CY412" s="891">
        <f t="shared" ref="CY412:DB412" si="1495">CY18</f>
        <v>391010404.58104789</v>
      </c>
      <c r="CZ412" s="891">
        <f t="shared" si="1495"/>
        <v>129807186.34911849</v>
      </c>
      <c r="DA412" s="891">
        <f t="shared" si="1495"/>
        <v>0</v>
      </c>
      <c r="DB412" s="891">
        <f t="shared" si="1495"/>
        <v>261203218.23192942</v>
      </c>
      <c r="DC412" s="1074"/>
      <c r="DD412" s="1072"/>
      <c r="DE412" s="1073"/>
      <c r="DF412" s="1073"/>
      <c r="DG412" s="891">
        <f t="shared" ref="DG412:DJ412" si="1496">DG18</f>
        <v>391010404.58104789</v>
      </c>
      <c r="DH412" s="891">
        <f t="shared" si="1496"/>
        <v>129807186.34911849</v>
      </c>
      <c r="DI412" s="891">
        <f t="shared" si="1496"/>
        <v>0</v>
      </c>
      <c r="DJ412" s="891">
        <f t="shared" si="1496"/>
        <v>261203218.23192942</v>
      </c>
      <c r="DK412" s="1074"/>
      <c r="DL412" s="1072"/>
      <c r="DM412" s="1073"/>
      <c r="DN412" s="1073"/>
      <c r="DO412" s="891">
        <f t="shared" ref="DO412:DR412" si="1497">DO18</f>
        <v>391010404.58104789</v>
      </c>
      <c r="DP412" s="891">
        <f t="shared" si="1497"/>
        <v>129807186.34911849</v>
      </c>
      <c r="DQ412" s="891">
        <f t="shared" si="1497"/>
        <v>0</v>
      </c>
      <c r="DR412" s="891">
        <f t="shared" si="1497"/>
        <v>261203218.23192942</v>
      </c>
      <c r="DS412" s="1074"/>
      <c r="DT412" s="1072"/>
      <c r="DU412" s="1073"/>
      <c r="DV412" s="1073"/>
      <c r="DW412" s="891">
        <f t="shared" ref="DW412:DZ412" si="1498">DW18</f>
        <v>391010404.58104789</v>
      </c>
      <c r="DX412" s="891">
        <f t="shared" si="1498"/>
        <v>129807186.34911849</v>
      </c>
      <c r="DY412" s="891">
        <f t="shared" si="1498"/>
        <v>0</v>
      </c>
      <c r="DZ412" s="891">
        <f t="shared" si="1498"/>
        <v>261203218.23192942</v>
      </c>
      <c r="EA412" s="1074"/>
      <c r="EB412" s="1072"/>
      <c r="EC412" s="1073"/>
      <c r="ED412" s="1073"/>
      <c r="EE412" s="891">
        <f t="shared" ref="EE412:EH412" si="1499">EE18</f>
        <v>391010404.58104789</v>
      </c>
      <c r="EF412" s="891">
        <f t="shared" si="1499"/>
        <v>129807186.34911849</v>
      </c>
      <c r="EG412" s="891">
        <f t="shared" si="1499"/>
        <v>0</v>
      </c>
      <c r="EH412" s="891">
        <f t="shared" si="1499"/>
        <v>261203218.23192942</v>
      </c>
      <c r="EI412" s="1074"/>
      <c r="EJ412" s="1072"/>
      <c r="EK412" s="1073"/>
      <c r="EL412" s="1073"/>
      <c r="EM412" s="891">
        <f t="shared" ref="EM412:EP412" si="1500">EM18</f>
        <v>391010404.58104789</v>
      </c>
      <c r="EN412" s="891">
        <f t="shared" si="1500"/>
        <v>129807186.34911849</v>
      </c>
      <c r="EO412" s="891">
        <f t="shared" si="1500"/>
        <v>0</v>
      </c>
      <c r="EP412" s="891">
        <f t="shared" si="1500"/>
        <v>261203218.23192942</v>
      </c>
      <c r="EQ412" s="1074"/>
      <c r="ER412" s="1072"/>
      <c r="ES412" s="1073"/>
      <c r="ET412" s="1073"/>
      <c r="EU412" s="891">
        <f t="shared" ref="EU412:EX412" si="1501">EU18</f>
        <v>391010404.58104789</v>
      </c>
      <c r="EV412" s="891">
        <f t="shared" si="1501"/>
        <v>129807186.34911849</v>
      </c>
      <c r="EW412" s="891">
        <f t="shared" si="1501"/>
        <v>0</v>
      </c>
      <c r="EX412" s="891">
        <f t="shared" si="1501"/>
        <v>261203218.23192942</v>
      </c>
      <c r="EY412" s="1074"/>
      <c r="EZ412" s="1072"/>
      <c r="FA412" s="1073"/>
      <c r="FB412" s="1073"/>
      <c r="FC412" s="891">
        <f t="shared" ref="FC412:FF412" si="1502">FC18</f>
        <v>391010404.58104789</v>
      </c>
      <c r="FD412" s="891">
        <f t="shared" si="1502"/>
        <v>129807186.34911849</v>
      </c>
      <c r="FE412" s="891">
        <f t="shared" si="1502"/>
        <v>0</v>
      </c>
      <c r="FF412" s="891">
        <f t="shared" si="1502"/>
        <v>261203218.23192942</v>
      </c>
      <c r="FG412" s="1074"/>
      <c r="FH412" s="1072"/>
      <c r="FI412" s="1073"/>
      <c r="FJ412" s="1073"/>
      <c r="FK412" s="891">
        <f t="shared" ref="FK412:FN412" si="1503">FK18</f>
        <v>391010404.58104789</v>
      </c>
      <c r="FL412" s="891">
        <f t="shared" si="1503"/>
        <v>129807186.34911849</v>
      </c>
      <c r="FM412" s="891">
        <f t="shared" si="1503"/>
        <v>0</v>
      </c>
      <c r="FN412" s="891">
        <f t="shared" si="1503"/>
        <v>261203218.23192942</v>
      </c>
      <c r="FO412" s="1074"/>
    </row>
    <row r="413" spans="2:171" x14ac:dyDescent="0.25">
      <c r="B413" s="108"/>
      <c r="C413" s="108" t="s">
        <v>341</v>
      </c>
      <c r="D413" s="1072"/>
      <c r="E413" s="905"/>
      <c r="G413" s="891">
        <f>G394</f>
        <v>648847990.51759219</v>
      </c>
      <c r="H413" s="891">
        <f t="shared" ref="H413:J413" si="1504">H394</f>
        <v>208013093.03974915</v>
      </c>
      <c r="I413" s="891">
        <f t="shared" si="1504"/>
        <v>0</v>
      </c>
      <c r="J413" s="891">
        <f t="shared" si="1504"/>
        <v>440834897.47784311</v>
      </c>
      <c r="K413" s="1074"/>
      <c r="L413" s="1072"/>
      <c r="M413" s="1073"/>
      <c r="N413" s="1073"/>
      <c r="O413" s="891">
        <f>O394</f>
        <v>648847990.51759219</v>
      </c>
      <c r="P413" s="891">
        <f t="shared" ref="P413:R413" si="1505">P394</f>
        <v>208013093.03974912</v>
      </c>
      <c r="Q413" s="891">
        <f t="shared" si="1505"/>
        <v>195228616.65315571</v>
      </c>
      <c r="R413" s="891">
        <f t="shared" si="1505"/>
        <v>245606280.82468733</v>
      </c>
      <c r="S413" s="1074"/>
      <c r="T413" s="1072"/>
      <c r="U413" s="1073"/>
      <c r="V413" s="1073"/>
      <c r="W413" s="891">
        <f>W394</f>
        <v>648847990.51759219</v>
      </c>
      <c r="X413" s="891">
        <f t="shared" ref="X413:Z413" si="1506">X394</f>
        <v>208013093.03974912</v>
      </c>
      <c r="Y413" s="891">
        <f t="shared" si="1506"/>
        <v>195228616.65315571</v>
      </c>
      <c r="Z413" s="891">
        <f t="shared" si="1506"/>
        <v>245606280.82468733</v>
      </c>
      <c r="AA413" s="1074"/>
      <c r="AB413" s="1072"/>
      <c r="AC413" s="1073"/>
      <c r="AD413" s="1073"/>
      <c r="AE413" s="891">
        <f>AE394</f>
        <v>648847990.51759219</v>
      </c>
      <c r="AF413" s="891">
        <f t="shared" ref="AF413:AH413" si="1507">AF394</f>
        <v>208013093.03974912</v>
      </c>
      <c r="AG413" s="891">
        <f t="shared" si="1507"/>
        <v>195228616.65315571</v>
      </c>
      <c r="AH413" s="891">
        <f t="shared" si="1507"/>
        <v>245606280.82468733</v>
      </c>
      <c r="AI413" s="1074"/>
      <c r="AJ413" s="1072"/>
      <c r="AK413" s="1073"/>
      <c r="AL413" s="1073"/>
      <c r="AM413" s="891">
        <f>AM394</f>
        <v>648847990.51759219</v>
      </c>
      <c r="AN413" s="891">
        <f t="shared" ref="AN413:AP413" si="1508">AN394</f>
        <v>208013093.03974912</v>
      </c>
      <c r="AO413" s="891">
        <f t="shared" si="1508"/>
        <v>195228616.65315571</v>
      </c>
      <c r="AP413" s="891">
        <f t="shared" si="1508"/>
        <v>245606280.82468733</v>
      </c>
      <c r="AQ413" s="1074"/>
      <c r="AR413" s="1072"/>
      <c r="AS413" s="1073"/>
      <c r="AT413" s="1073"/>
      <c r="AU413" s="891">
        <f>AU394</f>
        <v>648847990.51759219</v>
      </c>
      <c r="AV413" s="891">
        <f t="shared" ref="AV413:AX413" si="1509">AV394</f>
        <v>208013093.03974912</v>
      </c>
      <c r="AW413" s="891">
        <f t="shared" si="1509"/>
        <v>195228616.65315571</v>
      </c>
      <c r="AX413" s="891">
        <f t="shared" si="1509"/>
        <v>245606280.82468733</v>
      </c>
      <c r="AY413" s="1074"/>
      <c r="AZ413" s="1072"/>
      <c r="BA413" s="1073"/>
      <c r="BB413" s="1073"/>
      <c r="BC413" s="891">
        <f>BC394</f>
        <v>648847990.51759219</v>
      </c>
      <c r="BD413" s="891">
        <f t="shared" ref="BD413:BF413" si="1510">BD394</f>
        <v>208013093.03974912</v>
      </c>
      <c r="BE413" s="891">
        <f t="shared" si="1510"/>
        <v>195228616.65315571</v>
      </c>
      <c r="BF413" s="891">
        <f t="shared" si="1510"/>
        <v>245606280.82468733</v>
      </c>
      <c r="BG413" s="1074"/>
      <c r="BH413" s="1072"/>
      <c r="BI413" s="1073"/>
      <c r="BJ413" s="1073"/>
      <c r="BK413" s="891">
        <f>BK394</f>
        <v>648847990.51759219</v>
      </c>
      <c r="BL413" s="891">
        <f t="shared" ref="BL413:BN413" si="1511">BL394</f>
        <v>208013093.03974912</v>
      </c>
      <c r="BM413" s="891">
        <f t="shared" si="1511"/>
        <v>195228616.65315571</v>
      </c>
      <c r="BN413" s="891">
        <f t="shared" si="1511"/>
        <v>245606280.82468733</v>
      </c>
      <c r="BO413" s="1074"/>
      <c r="BP413" s="1072"/>
      <c r="BQ413" s="1073"/>
      <c r="BR413" s="1073"/>
      <c r="BS413" s="891">
        <f>BS394</f>
        <v>648847990.51759219</v>
      </c>
      <c r="BT413" s="891">
        <f t="shared" ref="BT413:BV413" si="1512">BT394</f>
        <v>208013093.03974912</v>
      </c>
      <c r="BU413" s="891">
        <f t="shared" si="1512"/>
        <v>195228616.65315571</v>
      </c>
      <c r="BV413" s="891">
        <f t="shared" si="1512"/>
        <v>245606280.82468733</v>
      </c>
      <c r="BW413" s="1074"/>
      <c r="BX413" s="1072"/>
      <c r="BY413" s="1073"/>
      <c r="BZ413" s="1073"/>
      <c r="CA413" s="891">
        <f>CA394</f>
        <v>648847990.51759219</v>
      </c>
      <c r="CB413" s="891">
        <f t="shared" ref="CB413:CD413" si="1513">CB394</f>
        <v>208013093.03974912</v>
      </c>
      <c r="CC413" s="891">
        <f t="shared" si="1513"/>
        <v>195228616.65315571</v>
      </c>
      <c r="CD413" s="891">
        <f t="shared" si="1513"/>
        <v>245606280.82468733</v>
      </c>
      <c r="CE413" s="1074"/>
      <c r="CF413" s="1072"/>
      <c r="CG413" s="1073"/>
      <c r="CH413" s="1073"/>
      <c r="CI413" s="891">
        <f>CI394</f>
        <v>648847990.51759219</v>
      </c>
      <c r="CJ413" s="891">
        <f t="shared" ref="CJ413:CL413" si="1514">CJ394</f>
        <v>208013093.03974912</v>
      </c>
      <c r="CK413" s="891">
        <f t="shared" si="1514"/>
        <v>195228616.65315571</v>
      </c>
      <c r="CL413" s="891">
        <f t="shared" si="1514"/>
        <v>245606280.82468733</v>
      </c>
      <c r="CM413" s="1074"/>
      <c r="CN413" s="1072"/>
      <c r="CO413" s="1073"/>
      <c r="CP413" s="1073"/>
      <c r="CQ413" s="891">
        <f>CQ394</f>
        <v>648847990.51759219</v>
      </c>
      <c r="CR413" s="891">
        <f t="shared" ref="CR413:CT413" si="1515">CR394</f>
        <v>208013093.03974912</v>
      </c>
      <c r="CS413" s="891">
        <f t="shared" si="1515"/>
        <v>195228616.65315571</v>
      </c>
      <c r="CT413" s="891">
        <f t="shared" si="1515"/>
        <v>245606280.82468733</v>
      </c>
      <c r="CU413" s="1074"/>
      <c r="CV413" s="1072"/>
      <c r="CW413" s="1073"/>
      <c r="CX413" s="1073"/>
      <c r="CY413" s="891">
        <f>CY394</f>
        <v>648847990.51759219</v>
      </c>
      <c r="CZ413" s="891">
        <f t="shared" ref="CZ413:DB413" si="1516">CZ394</f>
        <v>208013093.03974912</v>
      </c>
      <c r="DA413" s="891">
        <f t="shared" si="1516"/>
        <v>195228616.65315571</v>
      </c>
      <c r="DB413" s="891">
        <f t="shared" si="1516"/>
        <v>245606280.82468733</v>
      </c>
      <c r="DC413" s="1074"/>
      <c r="DD413" s="1072"/>
      <c r="DE413" s="1073"/>
      <c r="DF413" s="1073"/>
      <c r="DG413" s="891">
        <f>DG394</f>
        <v>648847990.51759219</v>
      </c>
      <c r="DH413" s="891">
        <f t="shared" ref="DH413:DJ413" si="1517">DH394</f>
        <v>208013093.03974912</v>
      </c>
      <c r="DI413" s="891">
        <f t="shared" si="1517"/>
        <v>195228616.65315571</v>
      </c>
      <c r="DJ413" s="891">
        <f t="shared" si="1517"/>
        <v>245606280.82468733</v>
      </c>
      <c r="DK413" s="1074"/>
      <c r="DL413" s="1072"/>
      <c r="DM413" s="1073"/>
      <c r="DN413" s="1073"/>
      <c r="DO413" s="891">
        <f>DO394</f>
        <v>648847990.51759219</v>
      </c>
      <c r="DP413" s="891">
        <f t="shared" ref="DP413:DR413" si="1518">DP394</f>
        <v>208013093.03974912</v>
      </c>
      <c r="DQ413" s="891">
        <f t="shared" si="1518"/>
        <v>195228616.65315571</v>
      </c>
      <c r="DR413" s="891">
        <f t="shared" si="1518"/>
        <v>245606280.82468733</v>
      </c>
      <c r="DS413" s="1074"/>
      <c r="DT413" s="1072"/>
      <c r="DU413" s="1073"/>
      <c r="DV413" s="1073"/>
      <c r="DW413" s="891">
        <f>DW394</f>
        <v>648847990.51759219</v>
      </c>
      <c r="DX413" s="891">
        <f t="shared" ref="DX413:DZ413" si="1519">DX394</f>
        <v>208013093.03974912</v>
      </c>
      <c r="DY413" s="891">
        <f t="shared" si="1519"/>
        <v>195228616.65315571</v>
      </c>
      <c r="DZ413" s="891">
        <f t="shared" si="1519"/>
        <v>245606280.82468733</v>
      </c>
      <c r="EA413" s="1074"/>
      <c r="EB413" s="1072"/>
      <c r="EC413" s="1073"/>
      <c r="ED413" s="1073"/>
      <c r="EE413" s="891">
        <f>EE394</f>
        <v>648847990.51759219</v>
      </c>
      <c r="EF413" s="891">
        <f t="shared" ref="EF413:EH413" si="1520">EF394</f>
        <v>208013093.03974912</v>
      </c>
      <c r="EG413" s="891">
        <f t="shared" si="1520"/>
        <v>195228616.65315571</v>
      </c>
      <c r="EH413" s="891">
        <f t="shared" si="1520"/>
        <v>245606280.82468733</v>
      </c>
      <c r="EI413" s="1074"/>
      <c r="EJ413" s="1072"/>
      <c r="EK413" s="1073"/>
      <c r="EL413" s="1073"/>
      <c r="EM413" s="891">
        <f>EM394</f>
        <v>648847990.51759219</v>
      </c>
      <c r="EN413" s="891">
        <f t="shared" ref="EN413:EP413" si="1521">EN394</f>
        <v>208013093.03974912</v>
      </c>
      <c r="EO413" s="891">
        <f t="shared" si="1521"/>
        <v>195228616.65315571</v>
      </c>
      <c r="EP413" s="891">
        <f t="shared" si="1521"/>
        <v>245606280.82468733</v>
      </c>
      <c r="EQ413" s="1074"/>
      <c r="ER413" s="1072"/>
      <c r="ES413" s="1073"/>
      <c r="ET413" s="1073"/>
      <c r="EU413" s="891">
        <f>EU394</f>
        <v>648847990.51759219</v>
      </c>
      <c r="EV413" s="891">
        <f t="shared" ref="EV413:EX413" si="1522">EV394</f>
        <v>208013093.03974912</v>
      </c>
      <c r="EW413" s="891">
        <f t="shared" si="1522"/>
        <v>195228616.65315571</v>
      </c>
      <c r="EX413" s="891">
        <f t="shared" si="1522"/>
        <v>245606280.82468733</v>
      </c>
      <c r="EY413" s="1074"/>
      <c r="EZ413" s="1072"/>
      <c r="FA413" s="1073"/>
      <c r="FB413" s="1073"/>
      <c r="FC413" s="891">
        <f>FC394</f>
        <v>648847990.51759219</v>
      </c>
      <c r="FD413" s="891">
        <f t="shared" ref="FD413:FF413" si="1523">FD394</f>
        <v>208013093.03974912</v>
      </c>
      <c r="FE413" s="891">
        <f t="shared" si="1523"/>
        <v>195228616.65315571</v>
      </c>
      <c r="FF413" s="891">
        <f t="shared" si="1523"/>
        <v>245606280.82468733</v>
      </c>
      <c r="FG413" s="1074"/>
      <c r="FH413" s="1072"/>
      <c r="FI413" s="1073"/>
      <c r="FJ413" s="1073"/>
      <c r="FK413" s="891">
        <f>FK394</f>
        <v>648847990.51759219</v>
      </c>
      <c r="FL413" s="891">
        <f t="shared" ref="FL413:FN413" si="1524">FL394</f>
        <v>208013093.03974912</v>
      </c>
      <c r="FM413" s="891">
        <f t="shared" si="1524"/>
        <v>195228616.65315571</v>
      </c>
      <c r="FN413" s="891">
        <f t="shared" si="1524"/>
        <v>245606280.82468733</v>
      </c>
      <c r="FO413" s="1074"/>
    </row>
    <row r="414" spans="2:171" x14ac:dyDescent="0.25">
      <c r="B414" s="108"/>
      <c r="C414" s="108" t="s">
        <v>523</v>
      </c>
      <c r="D414" s="1072"/>
      <c r="E414" s="124"/>
      <c r="F414" s="1073"/>
      <c r="G414" s="1634">
        <f>SUM(G409:G413)</f>
        <v>13793178680.27779</v>
      </c>
      <c r="H414" s="1634">
        <f>SUM(H409:H413)</f>
        <v>5991956843.1874628</v>
      </c>
      <c r="I414" s="1634">
        <f>SUM(I409:I413)</f>
        <v>0</v>
      </c>
      <c r="J414" s="1634">
        <f>SUM(J409:J413)</f>
        <v>7802602177.452405</v>
      </c>
      <c r="K414" s="1074"/>
      <c r="L414" s="1072"/>
      <c r="M414" s="1073"/>
      <c r="N414" s="1073"/>
      <c r="O414" s="1634">
        <f>SUM(O409:O413)</f>
        <v>13793178680.27779</v>
      </c>
      <c r="P414" s="1634">
        <f>SUM(P409:P413)</f>
        <v>5991956843.1874628</v>
      </c>
      <c r="Q414" s="1634">
        <f>SUM(Q409:Q413)</f>
        <v>3491067597.4393702</v>
      </c>
      <c r="R414" s="1634">
        <f>SUM(R409:R413)</f>
        <v>4310154239.6509571</v>
      </c>
      <c r="S414" s="1074"/>
      <c r="T414" s="1072"/>
      <c r="U414" s="1073"/>
      <c r="V414" s="1073"/>
      <c r="W414" s="1634">
        <f>SUM(W409:W413)</f>
        <v>13793178680.27779</v>
      </c>
      <c r="X414" s="1634">
        <f>SUM(X409:X413)</f>
        <v>5991956843.1874628</v>
      </c>
      <c r="Y414" s="1634">
        <f>SUM(Y409:Y413)</f>
        <v>3491067597.4393702</v>
      </c>
      <c r="Z414" s="1634">
        <f>SUM(Z409:Z413)</f>
        <v>4310154239.6509571</v>
      </c>
      <c r="AA414" s="1074"/>
      <c r="AB414" s="1072"/>
      <c r="AC414" s="1073"/>
      <c r="AD414" s="1073"/>
      <c r="AE414" s="1634">
        <f>SUM(AE409:AE413)</f>
        <v>13793178680.27779</v>
      </c>
      <c r="AF414" s="1634">
        <f>SUM(AF409:AF413)</f>
        <v>5991956843.1874628</v>
      </c>
      <c r="AG414" s="1634">
        <f>SUM(AG409:AG413)</f>
        <v>3491067597.4393702</v>
      </c>
      <c r="AH414" s="1634">
        <f>SUM(AH409:AH413)</f>
        <v>4310154239.6509571</v>
      </c>
      <c r="AI414" s="1074"/>
      <c r="AJ414" s="1072"/>
      <c r="AK414" s="1073"/>
      <c r="AL414" s="1073"/>
      <c r="AM414" s="1634">
        <f>SUM(AM409:AM413)</f>
        <v>13793178680.27779</v>
      </c>
      <c r="AN414" s="1634">
        <f>SUM(AN409:AN413)</f>
        <v>5991956843.1874628</v>
      </c>
      <c r="AO414" s="1634">
        <f>SUM(AO409:AO413)</f>
        <v>3491067597.4393702</v>
      </c>
      <c r="AP414" s="1634">
        <f>SUM(AP409:AP413)</f>
        <v>4310154239.6509571</v>
      </c>
      <c r="AQ414" s="1074"/>
      <c r="AR414" s="1072"/>
      <c r="AS414" s="1073"/>
      <c r="AT414" s="1073"/>
      <c r="AU414" s="1634">
        <f>SUM(AU409:AU413)</f>
        <v>13793178680.27779</v>
      </c>
      <c r="AV414" s="1634">
        <f>SUM(AV409:AV413)</f>
        <v>5991956843.1874628</v>
      </c>
      <c r="AW414" s="1634">
        <f>SUM(AW409:AW413)</f>
        <v>3491067597.4393702</v>
      </c>
      <c r="AX414" s="1634">
        <f>SUM(AX409:AX413)</f>
        <v>4310154239.6509571</v>
      </c>
      <c r="AY414" s="1074"/>
      <c r="AZ414" s="1072"/>
      <c r="BA414" s="1073"/>
      <c r="BB414" s="1073"/>
      <c r="BC414" s="1634">
        <f>SUM(BC409:BC413)</f>
        <v>13793178680.27779</v>
      </c>
      <c r="BD414" s="1634">
        <f>SUM(BD409:BD413)</f>
        <v>5991956843.1874628</v>
      </c>
      <c r="BE414" s="1634">
        <f>SUM(BE409:BE413)</f>
        <v>3491067597.4393702</v>
      </c>
      <c r="BF414" s="1634">
        <f>SUM(BF409:BF413)</f>
        <v>4310154239.6509571</v>
      </c>
      <c r="BG414" s="1074"/>
      <c r="BH414" s="1072"/>
      <c r="BI414" s="1073"/>
      <c r="BJ414" s="1073"/>
      <c r="BK414" s="1634">
        <f>SUM(BK409:BK413)</f>
        <v>13793178680.27779</v>
      </c>
      <c r="BL414" s="1634">
        <f>SUM(BL409:BL413)</f>
        <v>5991956843.1874628</v>
      </c>
      <c r="BM414" s="1634">
        <f>SUM(BM409:BM413)</f>
        <v>3491067597.4393702</v>
      </c>
      <c r="BN414" s="1634">
        <f>SUM(BN409:BN413)</f>
        <v>4310154239.6509571</v>
      </c>
      <c r="BO414" s="1074"/>
      <c r="BP414" s="1072"/>
      <c r="BQ414" s="1073"/>
      <c r="BR414" s="1073"/>
      <c r="BS414" s="1634">
        <f>SUM(BS409:BS413)</f>
        <v>13793178680.27779</v>
      </c>
      <c r="BT414" s="1634">
        <f>SUM(BT409:BT413)</f>
        <v>5991956843.1874628</v>
      </c>
      <c r="BU414" s="1634">
        <f>SUM(BU409:BU413)</f>
        <v>3491067597.4393702</v>
      </c>
      <c r="BV414" s="1634">
        <f>SUM(BV409:BV413)</f>
        <v>4310154239.6509571</v>
      </c>
      <c r="BW414" s="1074"/>
      <c r="BX414" s="1072"/>
      <c r="BY414" s="1073"/>
      <c r="BZ414" s="1073"/>
      <c r="CA414" s="1634">
        <f>SUM(CA409:CA413)</f>
        <v>13793178680.27779</v>
      </c>
      <c r="CB414" s="1634">
        <f>SUM(CB409:CB413)</f>
        <v>5991956843.1874628</v>
      </c>
      <c r="CC414" s="1634">
        <f>SUM(CC409:CC413)</f>
        <v>3491067597.4393702</v>
      </c>
      <c r="CD414" s="1634">
        <f>SUM(CD409:CD413)</f>
        <v>4310154239.6509571</v>
      </c>
      <c r="CE414" s="1074"/>
      <c r="CF414" s="1072"/>
      <c r="CG414" s="1073"/>
      <c r="CH414" s="1073"/>
      <c r="CI414" s="1634">
        <f>SUM(CI409:CI413)</f>
        <v>13793178680.27779</v>
      </c>
      <c r="CJ414" s="1634">
        <f>SUM(CJ409:CJ413)</f>
        <v>5991956843.1874628</v>
      </c>
      <c r="CK414" s="1634">
        <f>SUM(CK409:CK413)</f>
        <v>3491067597.4393702</v>
      </c>
      <c r="CL414" s="1634">
        <f>SUM(CL409:CL413)</f>
        <v>4310154239.6509571</v>
      </c>
      <c r="CM414" s="1074"/>
      <c r="CN414" s="1072"/>
      <c r="CO414" s="1073"/>
      <c r="CP414" s="1073"/>
      <c r="CQ414" s="1634">
        <f>SUM(CQ409:CQ413)</f>
        <v>13793178680.27779</v>
      </c>
      <c r="CR414" s="1634">
        <f>SUM(CR409:CR413)</f>
        <v>5991956843.1874628</v>
      </c>
      <c r="CS414" s="1634">
        <f>SUM(CS409:CS413)</f>
        <v>3491067597.4393702</v>
      </c>
      <c r="CT414" s="1634">
        <f>SUM(CT409:CT413)</f>
        <v>4310154239.6509571</v>
      </c>
      <c r="CU414" s="1074"/>
      <c r="CV414" s="1072"/>
      <c r="CW414" s="1073"/>
      <c r="CX414" s="1073"/>
      <c r="CY414" s="1634">
        <f>SUM(CY409:CY413)</f>
        <v>13793178680.27779</v>
      </c>
      <c r="CZ414" s="1634">
        <f>SUM(CZ409:CZ413)</f>
        <v>5991956843.1874628</v>
      </c>
      <c r="DA414" s="1634">
        <f>SUM(DA409:DA413)</f>
        <v>3491067597.4393702</v>
      </c>
      <c r="DB414" s="1634">
        <f>SUM(DB409:DB413)</f>
        <v>4310154239.6509571</v>
      </c>
      <c r="DC414" s="1074"/>
      <c r="DD414" s="1072"/>
      <c r="DE414" s="1073"/>
      <c r="DF414" s="1073"/>
      <c r="DG414" s="1634">
        <f>SUM(DG409:DG413)</f>
        <v>13793178680.27779</v>
      </c>
      <c r="DH414" s="1634">
        <f>SUM(DH409:DH413)</f>
        <v>5991956843.1874628</v>
      </c>
      <c r="DI414" s="1634">
        <f>SUM(DI409:DI413)</f>
        <v>3491067597.4393702</v>
      </c>
      <c r="DJ414" s="1634">
        <f>SUM(DJ409:DJ413)</f>
        <v>4310154239.6509571</v>
      </c>
      <c r="DK414" s="1074"/>
      <c r="DL414" s="1072"/>
      <c r="DM414" s="1073"/>
      <c r="DN414" s="1073"/>
      <c r="DO414" s="1634">
        <f>SUM(DO409:DO413)</f>
        <v>13793178680.27779</v>
      </c>
      <c r="DP414" s="1634">
        <f>SUM(DP409:DP413)</f>
        <v>5991956843.1874628</v>
      </c>
      <c r="DQ414" s="1634">
        <f>SUM(DQ409:DQ413)</f>
        <v>3491067597.4393702</v>
      </c>
      <c r="DR414" s="1634">
        <f>SUM(DR409:DR413)</f>
        <v>4310154239.6509571</v>
      </c>
      <c r="DS414" s="1074"/>
      <c r="DT414" s="1072"/>
      <c r="DU414" s="1073"/>
      <c r="DV414" s="1073"/>
      <c r="DW414" s="1634">
        <f>SUM(DW409:DW413)</f>
        <v>13793178680.27779</v>
      </c>
      <c r="DX414" s="1634">
        <f>SUM(DX409:DX413)</f>
        <v>5991956843.1874628</v>
      </c>
      <c r="DY414" s="1634">
        <f>SUM(DY409:DY413)</f>
        <v>3491067597.4393702</v>
      </c>
      <c r="DZ414" s="1634">
        <f>SUM(DZ409:DZ413)</f>
        <v>4310154239.6509571</v>
      </c>
      <c r="EA414" s="1074"/>
      <c r="EB414" s="1072"/>
      <c r="EC414" s="1073"/>
      <c r="ED414" s="1073"/>
      <c r="EE414" s="1634">
        <f>SUM(EE409:EE413)</f>
        <v>13793178680.27779</v>
      </c>
      <c r="EF414" s="1634">
        <f>SUM(EF409:EF413)</f>
        <v>5991956843.1874628</v>
      </c>
      <c r="EG414" s="1634">
        <f>SUM(EG409:EG413)</f>
        <v>3491067597.4393702</v>
      </c>
      <c r="EH414" s="1634">
        <f>SUM(EH409:EH413)</f>
        <v>4310154239.6509571</v>
      </c>
      <c r="EI414" s="1074"/>
      <c r="EJ414" s="1072"/>
      <c r="EK414" s="1073"/>
      <c r="EL414" s="1073"/>
      <c r="EM414" s="1634">
        <f>SUM(EM409:EM413)</f>
        <v>13793178680.27779</v>
      </c>
      <c r="EN414" s="1634">
        <f>SUM(EN409:EN413)</f>
        <v>5991956843.1874628</v>
      </c>
      <c r="EO414" s="1634">
        <f>SUM(EO409:EO413)</f>
        <v>3491067597.4393702</v>
      </c>
      <c r="EP414" s="1634">
        <f>SUM(EP409:EP413)</f>
        <v>4310154239.6509571</v>
      </c>
      <c r="EQ414" s="1074"/>
      <c r="ER414" s="1072"/>
      <c r="ES414" s="1073"/>
      <c r="ET414" s="1073"/>
      <c r="EU414" s="1634">
        <f>SUM(EU409:EU413)</f>
        <v>13793178680.27779</v>
      </c>
      <c r="EV414" s="1634">
        <f>SUM(EV409:EV413)</f>
        <v>5991956843.1874628</v>
      </c>
      <c r="EW414" s="1634">
        <f>SUM(EW409:EW413)</f>
        <v>3491067597.4393702</v>
      </c>
      <c r="EX414" s="1634">
        <f>SUM(EX409:EX413)</f>
        <v>4310154239.6509571</v>
      </c>
      <c r="EY414" s="1074"/>
      <c r="EZ414" s="1072"/>
      <c r="FA414" s="1073"/>
      <c r="FB414" s="1073"/>
      <c r="FC414" s="1634">
        <f>SUM(FC409:FC413)</f>
        <v>13793178680.27779</v>
      </c>
      <c r="FD414" s="1634">
        <f>SUM(FD409:FD413)</f>
        <v>5991956843.1874628</v>
      </c>
      <c r="FE414" s="1634">
        <f>SUM(FE409:FE413)</f>
        <v>3491067597.4393702</v>
      </c>
      <c r="FF414" s="1634">
        <f>SUM(FF409:FF413)</f>
        <v>4310154239.6509571</v>
      </c>
      <c r="FG414" s="1074"/>
      <c r="FH414" s="1072"/>
      <c r="FI414" s="1073"/>
      <c r="FJ414" s="1073"/>
      <c r="FK414" s="1634">
        <f>SUM(FK409:FK413)</f>
        <v>13793178680.27779</v>
      </c>
      <c r="FL414" s="1634">
        <f>SUM(FL409:FL413)</f>
        <v>5991956843.1874628</v>
      </c>
      <c r="FM414" s="1634">
        <f>SUM(FM409:FM413)</f>
        <v>3491067597.4393702</v>
      </c>
      <c r="FN414" s="1634">
        <f>SUM(FN409:FN413)</f>
        <v>4310154239.6509571</v>
      </c>
      <c r="FO414" s="1074"/>
    </row>
    <row r="415" spans="2:171" x14ac:dyDescent="0.25">
      <c r="B415" s="123"/>
      <c r="C415" s="123" t="s">
        <v>342</v>
      </c>
      <c r="D415" s="1296" t="s">
        <v>636</v>
      </c>
      <c r="E415" s="564"/>
      <c r="F415" s="1076"/>
      <c r="G415" s="1635">
        <f>H415+I415+J415</f>
        <v>1.0001000741304142</v>
      </c>
      <c r="H415" s="1635">
        <f>IF($G414=0,0,H414/G414)</f>
        <v>0.43441450169532542</v>
      </c>
      <c r="I415" s="1635">
        <f>IF($G414=0,0,I414/G414)</f>
        <v>0</v>
      </c>
      <c r="J415" s="1635">
        <f>IF($G414=0,0,J414/G414)</f>
        <v>0.56568557243508888</v>
      </c>
      <c r="K415" s="1079"/>
      <c r="L415" s="1075" t="s">
        <v>636</v>
      </c>
      <c r="M415" s="1076"/>
      <c r="N415" s="1076"/>
      <c r="O415" s="1635">
        <f>P415+Q415+R415</f>
        <v>1</v>
      </c>
      <c r="P415" s="1635">
        <f>IF($G414=0,0,P414/O414)</f>
        <v>0.43441450169532542</v>
      </c>
      <c r="Q415" s="1635">
        <f>IF($G414=0,0,Q414/O414)</f>
        <v>0.2531010203203618</v>
      </c>
      <c r="R415" s="1635">
        <f>IF($G414=0,0,R414/O414)</f>
        <v>0.31248447798431273</v>
      </c>
      <c r="S415" s="1079"/>
      <c r="T415" s="1075" t="s">
        <v>636</v>
      </c>
      <c r="U415" s="1076"/>
      <c r="V415" s="1076"/>
      <c r="W415" s="1635">
        <f>X415+Y415+Z415</f>
        <v>1</v>
      </c>
      <c r="X415" s="1635">
        <f>IF($G414=0,0,X414/W414)</f>
        <v>0.43441450169532542</v>
      </c>
      <c r="Y415" s="1635">
        <f>IF($G414=0,0,Y414/W414)</f>
        <v>0.2531010203203618</v>
      </c>
      <c r="Z415" s="1635">
        <f>IF($G414=0,0,Z414/W414)</f>
        <v>0.31248447798431273</v>
      </c>
      <c r="AA415" s="1079"/>
      <c r="AB415" s="1075" t="s">
        <v>636</v>
      </c>
      <c r="AC415" s="1076"/>
      <c r="AD415" s="1076"/>
      <c r="AE415" s="1635">
        <f>AF415+AG415+AH415</f>
        <v>1</v>
      </c>
      <c r="AF415" s="1635">
        <f>IF($G414=0,0,AF414/AE414)</f>
        <v>0.43441450169532542</v>
      </c>
      <c r="AG415" s="1635">
        <f>IF($G414=0,0,AG414/AE414)</f>
        <v>0.2531010203203618</v>
      </c>
      <c r="AH415" s="1635">
        <f>IF($G414=0,0,AH414/AE414)</f>
        <v>0.31248447798431273</v>
      </c>
      <c r="AI415" s="1079"/>
      <c r="AJ415" s="1075" t="s">
        <v>636</v>
      </c>
      <c r="AK415" s="1076"/>
      <c r="AL415" s="1076"/>
      <c r="AM415" s="1635">
        <f>AN415+AO415+AP415</f>
        <v>1</v>
      </c>
      <c r="AN415" s="1635">
        <f>IF($G414=0,0,AN414/AM414)</f>
        <v>0.43441450169532542</v>
      </c>
      <c r="AO415" s="1635">
        <f>IF($G414=0,0,AO414/AM414)</f>
        <v>0.2531010203203618</v>
      </c>
      <c r="AP415" s="1635">
        <f>IF($G414=0,0,AP414/AM414)</f>
        <v>0.31248447798431273</v>
      </c>
      <c r="AQ415" s="1079"/>
      <c r="AR415" s="1075" t="s">
        <v>636</v>
      </c>
      <c r="AS415" s="1076"/>
      <c r="AT415" s="1076"/>
      <c r="AU415" s="1635">
        <f>AV415+AW415+AX415</f>
        <v>1</v>
      </c>
      <c r="AV415" s="1635">
        <f>IF($G414=0,0,AV414/AU414)</f>
        <v>0.43441450169532542</v>
      </c>
      <c r="AW415" s="1635">
        <f>IF($G414=0,0,AW414/AU414)</f>
        <v>0.2531010203203618</v>
      </c>
      <c r="AX415" s="1635">
        <f>IF($G414=0,0,AX414/AU414)</f>
        <v>0.31248447798431273</v>
      </c>
      <c r="AY415" s="1079"/>
      <c r="AZ415" s="1075" t="s">
        <v>636</v>
      </c>
      <c r="BA415" s="1076"/>
      <c r="BB415" s="1076"/>
      <c r="BC415" s="1635">
        <f>BD415+BE415+BF415</f>
        <v>1</v>
      </c>
      <c r="BD415" s="1635">
        <f>IF($G414=0,0,BD414/BC414)</f>
        <v>0.43441450169532542</v>
      </c>
      <c r="BE415" s="1635">
        <f>IF($G414=0,0,BE414/BC414)</f>
        <v>0.2531010203203618</v>
      </c>
      <c r="BF415" s="1635">
        <f>IF($G414=0,0,BF414/BC414)</f>
        <v>0.31248447798431273</v>
      </c>
      <c r="BG415" s="1079"/>
      <c r="BH415" s="1075" t="s">
        <v>636</v>
      </c>
      <c r="BI415" s="1076"/>
      <c r="BJ415" s="1076"/>
      <c r="BK415" s="1635">
        <f>BL415+BM415+BN415</f>
        <v>1</v>
      </c>
      <c r="BL415" s="1635">
        <f>IF($G414=0,0,BL414/BK414)</f>
        <v>0.43441450169532542</v>
      </c>
      <c r="BM415" s="1635">
        <f>IF($G414=0,0,BM414/BK414)</f>
        <v>0.2531010203203618</v>
      </c>
      <c r="BN415" s="1635">
        <f>IF($G414=0,0,BN414/BK414)</f>
        <v>0.31248447798431273</v>
      </c>
      <c r="BO415" s="1079"/>
      <c r="BP415" s="1075" t="s">
        <v>636</v>
      </c>
      <c r="BQ415" s="1076"/>
      <c r="BR415" s="1076"/>
      <c r="BS415" s="1635">
        <f>BT415+BU415+BV415</f>
        <v>1</v>
      </c>
      <c r="BT415" s="1635">
        <f>IF($G414=0,0,BT414/BS414)</f>
        <v>0.43441450169532542</v>
      </c>
      <c r="BU415" s="1635">
        <f>IF($G414=0,0,BU414/BS414)</f>
        <v>0.2531010203203618</v>
      </c>
      <c r="BV415" s="1635">
        <f>IF($G414=0,0,BV414/BS414)</f>
        <v>0.31248447798431273</v>
      </c>
      <c r="BW415" s="1079"/>
      <c r="BX415" s="1075" t="s">
        <v>636</v>
      </c>
      <c r="BY415" s="1076"/>
      <c r="BZ415" s="1076"/>
      <c r="CA415" s="1635">
        <f>CB415+CC415+CD415</f>
        <v>1</v>
      </c>
      <c r="CB415" s="1635">
        <f>IF($G414=0,0,CB414/CA414)</f>
        <v>0.43441450169532542</v>
      </c>
      <c r="CC415" s="1635">
        <f>IF($G414=0,0,CC414/CA414)</f>
        <v>0.2531010203203618</v>
      </c>
      <c r="CD415" s="1635">
        <f>IF($G414=0,0,CD414/CA414)</f>
        <v>0.31248447798431273</v>
      </c>
      <c r="CE415" s="1079"/>
      <c r="CF415" s="1075" t="s">
        <v>636</v>
      </c>
      <c r="CG415" s="1076"/>
      <c r="CH415" s="1076"/>
      <c r="CI415" s="1635">
        <f>CJ415+CK415+CL415</f>
        <v>1</v>
      </c>
      <c r="CJ415" s="1635">
        <f>IF($G414=0,0,CJ414/CI414)</f>
        <v>0.43441450169532542</v>
      </c>
      <c r="CK415" s="1635">
        <f>IF($G414=0,0,CK414/CI414)</f>
        <v>0.2531010203203618</v>
      </c>
      <c r="CL415" s="1635">
        <f>IF($G414=0,0,CL414/CI414)</f>
        <v>0.31248447798431273</v>
      </c>
      <c r="CM415" s="1079"/>
      <c r="CN415" s="1075" t="s">
        <v>636</v>
      </c>
      <c r="CO415" s="1076"/>
      <c r="CP415" s="1076"/>
      <c r="CQ415" s="1635">
        <f>CR415+CS415+CT415</f>
        <v>1</v>
      </c>
      <c r="CR415" s="1635">
        <f>IF($G414=0,0,CR414/CQ414)</f>
        <v>0.43441450169532542</v>
      </c>
      <c r="CS415" s="1635">
        <f>IF($G414=0,0,CS414/CQ414)</f>
        <v>0.2531010203203618</v>
      </c>
      <c r="CT415" s="1635">
        <f>IF($G414=0,0,CT414/CQ414)</f>
        <v>0.31248447798431273</v>
      </c>
      <c r="CU415" s="1079"/>
      <c r="CV415" s="1075" t="s">
        <v>636</v>
      </c>
      <c r="CW415" s="1076"/>
      <c r="CX415" s="1076"/>
      <c r="CY415" s="1635">
        <f>CZ415+DA415+DB415</f>
        <v>1</v>
      </c>
      <c r="CZ415" s="1635">
        <f>IF($G414=0,0,CZ414/CY414)</f>
        <v>0.43441450169532542</v>
      </c>
      <c r="DA415" s="1635">
        <f>IF($G414=0,0,DA414/CY414)</f>
        <v>0.2531010203203618</v>
      </c>
      <c r="DB415" s="1635">
        <f>IF($G414=0,0,DB414/CY414)</f>
        <v>0.31248447798431273</v>
      </c>
      <c r="DC415" s="1079"/>
      <c r="DD415" s="1075" t="s">
        <v>636</v>
      </c>
      <c r="DE415" s="1076"/>
      <c r="DF415" s="1076"/>
      <c r="DG415" s="1635">
        <f>DH415+DI415+DJ415</f>
        <v>1</v>
      </c>
      <c r="DH415" s="1635">
        <f>IF($G414=0,0,DH414/DG414)</f>
        <v>0.43441450169532542</v>
      </c>
      <c r="DI415" s="1635">
        <f>IF($G414=0,0,DI414/DG414)</f>
        <v>0.2531010203203618</v>
      </c>
      <c r="DJ415" s="1635">
        <f>IF($G414=0,0,DJ414/DG414)</f>
        <v>0.31248447798431273</v>
      </c>
      <c r="DK415" s="1079"/>
      <c r="DL415" s="1075" t="s">
        <v>636</v>
      </c>
      <c r="DM415" s="1076"/>
      <c r="DN415" s="1076"/>
      <c r="DO415" s="1635">
        <f>DP415+DQ415+DR415</f>
        <v>1</v>
      </c>
      <c r="DP415" s="1635">
        <f>IF($G414=0,0,DP414/DO414)</f>
        <v>0.43441450169532542</v>
      </c>
      <c r="DQ415" s="1635">
        <f>IF($G414=0,0,DQ414/DO414)</f>
        <v>0.2531010203203618</v>
      </c>
      <c r="DR415" s="1635">
        <f>IF($G414=0,0,DR414/DO414)</f>
        <v>0.31248447798431273</v>
      </c>
      <c r="DS415" s="1079"/>
      <c r="DT415" s="1075" t="s">
        <v>636</v>
      </c>
      <c r="DU415" s="1076"/>
      <c r="DV415" s="1076"/>
      <c r="DW415" s="1635">
        <f>DX415+DY415+DZ415</f>
        <v>1</v>
      </c>
      <c r="DX415" s="1635">
        <f>IF($G414=0,0,DX414/DW414)</f>
        <v>0.43441450169532542</v>
      </c>
      <c r="DY415" s="1635">
        <f>IF($G414=0,0,DY414/DW414)</f>
        <v>0.2531010203203618</v>
      </c>
      <c r="DZ415" s="1635">
        <f>IF($G414=0,0,DZ414/DW414)</f>
        <v>0.31248447798431273</v>
      </c>
      <c r="EA415" s="1079"/>
      <c r="EB415" s="1075" t="s">
        <v>636</v>
      </c>
      <c r="EC415" s="1076"/>
      <c r="ED415" s="1076"/>
      <c r="EE415" s="1635">
        <f>EF415+EG415+EH415</f>
        <v>1</v>
      </c>
      <c r="EF415" s="1635">
        <f>IF($G414=0,0,EF414/EE414)</f>
        <v>0.43441450169532542</v>
      </c>
      <c r="EG415" s="1635">
        <f>IF($G414=0,0,EG414/EE414)</f>
        <v>0.2531010203203618</v>
      </c>
      <c r="EH415" s="1635">
        <f>IF($G414=0,0,EH414/EE414)</f>
        <v>0.31248447798431273</v>
      </c>
      <c r="EI415" s="1079"/>
      <c r="EJ415" s="1075" t="s">
        <v>636</v>
      </c>
      <c r="EK415" s="1076"/>
      <c r="EL415" s="1076"/>
      <c r="EM415" s="1635">
        <f>EN415+EO415+EP415</f>
        <v>1</v>
      </c>
      <c r="EN415" s="1635">
        <f>IF($G414=0,0,EN414/EM414)</f>
        <v>0.43441450169532542</v>
      </c>
      <c r="EO415" s="1635">
        <f>IF($G414=0,0,EO414/EM414)</f>
        <v>0.2531010203203618</v>
      </c>
      <c r="EP415" s="1635">
        <f>IF($G414=0,0,EP414/EM414)</f>
        <v>0.31248447798431273</v>
      </c>
      <c r="EQ415" s="1079"/>
      <c r="ER415" s="1075" t="s">
        <v>636</v>
      </c>
      <c r="ES415" s="1076"/>
      <c r="ET415" s="1076"/>
      <c r="EU415" s="1635">
        <f>EV415+EW415+EX415</f>
        <v>1</v>
      </c>
      <c r="EV415" s="1635">
        <f>IF($G414=0,0,EV414/EU414)</f>
        <v>0.43441450169532542</v>
      </c>
      <c r="EW415" s="1635">
        <f>IF($G414=0,0,EW414/EU414)</f>
        <v>0.2531010203203618</v>
      </c>
      <c r="EX415" s="1635">
        <f>IF($G414=0,0,EX414/EU414)</f>
        <v>0.31248447798431273</v>
      </c>
      <c r="EY415" s="1079"/>
      <c r="EZ415" s="1075" t="s">
        <v>636</v>
      </c>
      <c r="FA415" s="1076"/>
      <c r="FB415" s="1076"/>
      <c r="FC415" s="1635">
        <f>FD415+FE415+FF415</f>
        <v>1</v>
      </c>
      <c r="FD415" s="1635">
        <f>IF($G414=0,0,FD414/FC414)</f>
        <v>0.43441450169532542</v>
      </c>
      <c r="FE415" s="1635">
        <f>IF($G414=0,0,FE414/FC414)</f>
        <v>0.2531010203203618</v>
      </c>
      <c r="FF415" s="1635">
        <f>IF($G414=0,0,FF414/FC414)</f>
        <v>0.31248447798431273</v>
      </c>
      <c r="FG415" s="1079"/>
      <c r="FH415" s="1075" t="s">
        <v>636</v>
      </c>
      <c r="FI415" s="1076"/>
      <c r="FJ415" s="1076"/>
      <c r="FK415" s="1635">
        <f>FL415+FM415+FN415</f>
        <v>1</v>
      </c>
      <c r="FL415" s="1635">
        <f>IF($G414=0,0,FL414/FK414)</f>
        <v>0.43441450169532542</v>
      </c>
      <c r="FM415" s="1635">
        <f>IF($G414=0,0,FM414/FK414)</f>
        <v>0.2531010203203618</v>
      </c>
      <c r="FN415" s="1635">
        <f>IF($G414=0,0,FN414/FK414)</f>
        <v>0.31248447798431273</v>
      </c>
      <c r="FO415" s="1079"/>
    </row>
    <row r="416" spans="2:171" x14ac:dyDescent="0.25">
      <c r="K416" s="1074"/>
      <c r="S416" s="1074"/>
      <c r="AA416" s="1074"/>
      <c r="AI416" s="1074"/>
      <c r="AQ416" s="1074"/>
      <c r="AY416" s="1074"/>
      <c r="BG416" s="1074"/>
      <c r="BO416" s="1074"/>
      <c r="BW416" s="1074"/>
      <c r="CE416" s="1074"/>
      <c r="CM416" s="1074"/>
      <c r="CU416" s="1074"/>
      <c r="DC416" s="1074"/>
      <c r="DK416" s="1074"/>
      <c r="DS416" s="1074"/>
      <c r="EA416" s="1074"/>
      <c r="EI416" s="1074"/>
      <c r="EQ416" s="1074"/>
      <c r="EY416" s="1074"/>
      <c r="FG416" s="1074"/>
      <c r="FO416" s="1074"/>
    </row>
    <row r="417" spans="2:171" x14ac:dyDescent="0.25">
      <c r="E417" s="302" t="s">
        <v>521</v>
      </c>
      <c r="G417" s="303" t="s">
        <v>104</v>
      </c>
      <c r="H417" s="303" t="s">
        <v>105</v>
      </c>
      <c r="I417" s="303" t="s">
        <v>106</v>
      </c>
      <c r="J417" s="304" t="s">
        <v>512</v>
      </c>
      <c r="K417" s="1079"/>
      <c r="O417" s="303" t="s">
        <v>104</v>
      </c>
      <c r="P417" s="303" t="s">
        <v>105</v>
      </c>
      <c r="Q417" s="303" t="s">
        <v>106</v>
      </c>
      <c r="R417" s="304" t="s">
        <v>512</v>
      </c>
      <c r="S417" s="1079"/>
      <c r="W417" s="303" t="s">
        <v>104</v>
      </c>
      <c r="X417" s="303" t="s">
        <v>105</v>
      </c>
      <c r="Y417" s="303" t="s">
        <v>106</v>
      </c>
      <c r="Z417" s="304" t="s">
        <v>512</v>
      </c>
      <c r="AA417" s="1079"/>
      <c r="AE417" s="303" t="s">
        <v>104</v>
      </c>
      <c r="AF417" s="303" t="s">
        <v>105</v>
      </c>
      <c r="AG417" s="303" t="s">
        <v>106</v>
      </c>
      <c r="AH417" s="304" t="s">
        <v>512</v>
      </c>
      <c r="AI417" s="1079"/>
      <c r="AM417" s="303" t="s">
        <v>104</v>
      </c>
      <c r="AN417" s="303" t="s">
        <v>105</v>
      </c>
      <c r="AO417" s="303" t="s">
        <v>106</v>
      </c>
      <c r="AP417" s="304" t="s">
        <v>512</v>
      </c>
      <c r="AQ417" s="1079"/>
      <c r="AU417" s="303" t="s">
        <v>104</v>
      </c>
      <c r="AV417" s="303" t="s">
        <v>105</v>
      </c>
      <c r="AW417" s="303" t="s">
        <v>106</v>
      </c>
      <c r="AX417" s="304" t="s">
        <v>512</v>
      </c>
      <c r="AY417" s="1079"/>
      <c r="BC417" s="303" t="s">
        <v>104</v>
      </c>
      <c r="BD417" s="303" t="s">
        <v>105</v>
      </c>
      <c r="BE417" s="303" t="s">
        <v>106</v>
      </c>
      <c r="BF417" s="304" t="s">
        <v>512</v>
      </c>
      <c r="BG417" s="1079"/>
      <c r="BK417" s="303" t="s">
        <v>104</v>
      </c>
      <c r="BL417" s="303" t="s">
        <v>105</v>
      </c>
      <c r="BM417" s="303" t="s">
        <v>106</v>
      </c>
      <c r="BN417" s="304" t="s">
        <v>512</v>
      </c>
      <c r="BO417" s="1079"/>
      <c r="BS417" s="303" t="s">
        <v>104</v>
      </c>
      <c r="BT417" s="303" t="s">
        <v>105</v>
      </c>
      <c r="BU417" s="303" t="s">
        <v>106</v>
      </c>
      <c r="BV417" s="304" t="s">
        <v>512</v>
      </c>
      <c r="BW417" s="1079"/>
      <c r="CA417" s="303" t="s">
        <v>104</v>
      </c>
      <c r="CB417" s="303" t="s">
        <v>105</v>
      </c>
      <c r="CC417" s="303" t="s">
        <v>106</v>
      </c>
      <c r="CD417" s="304" t="s">
        <v>512</v>
      </c>
      <c r="CE417" s="1079"/>
      <c r="CI417" s="303" t="s">
        <v>104</v>
      </c>
      <c r="CJ417" s="303" t="s">
        <v>105</v>
      </c>
      <c r="CK417" s="303" t="s">
        <v>106</v>
      </c>
      <c r="CL417" s="304" t="s">
        <v>512</v>
      </c>
      <c r="CM417" s="1079"/>
      <c r="CQ417" s="303" t="s">
        <v>104</v>
      </c>
      <c r="CR417" s="303" t="s">
        <v>105</v>
      </c>
      <c r="CS417" s="303" t="s">
        <v>106</v>
      </c>
      <c r="CT417" s="304" t="s">
        <v>512</v>
      </c>
      <c r="CU417" s="1079"/>
      <c r="CY417" s="303" t="s">
        <v>104</v>
      </c>
      <c r="CZ417" s="303" t="s">
        <v>105</v>
      </c>
      <c r="DA417" s="303" t="s">
        <v>106</v>
      </c>
      <c r="DB417" s="304" t="s">
        <v>512</v>
      </c>
      <c r="DC417" s="1079"/>
      <c r="DG417" s="303" t="s">
        <v>104</v>
      </c>
      <c r="DH417" s="303" t="s">
        <v>105</v>
      </c>
      <c r="DI417" s="303" t="s">
        <v>106</v>
      </c>
      <c r="DJ417" s="304" t="s">
        <v>512</v>
      </c>
      <c r="DK417" s="1079"/>
      <c r="DO417" s="303" t="s">
        <v>104</v>
      </c>
      <c r="DP417" s="303" t="s">
        <v>105</v>
      </c>
      <c r="DQ417" s="303" t="s">
        <v>106</v>
      </c>
      <c r="DR417" s="304" t="s">
        <v>512</v>
      </c>
      <c r="DS417" s="1079"/>
      <c r="DW417" s="303" t="s">
        <v>104</v>
      </c>
      <c r="DX417" s="303" t="s">
        <v>105</v>
      </c>
      <c r="DY417" s="303" t="s">
        <v>106</v>
      </c>
      <c r="DZ417" s="304" t="s">
        <v>512</v>
      </c>
      <c r="EA417" s="1079"/>
      <c r="EE417" s="303" t="s">
        <v>104</v>
      </c>
      <c r="EF417" s="303" t="s">
        <v>105</v>
      </c>
      <c r="EG417" s="303" t="s">
        <v>106</v>
      </c>
      <c r="EH417" s="304" t="s">
        <v>512</v>
      </c>
      <c r="EI417" s="1079"/>
      <c r="EM417" s="303" t="s">
        <v>104</v>
      </c>
      <c r="EN417" s="303" t="s">
        <v>105</v>
      </c>
      <c r="EO417" s="303" t="s">
        <v>106</v>
      </c>
      <c r="EP417" s="304" t="s">
        <v>512</v>
      </c>
      <c r="EQ417" s="1079"/>
      <c r="EU417" s="303" t="s">
        <v>104</v>
      </c>
      <c r="EV417" s="303" t="s">
        <v>105</v>
      </c>
      <c r="EW417" s="303" t="s">
        <v>106</v>
      </c>
      <c r="EX417" s="304" t="s">
        <v>512</v>
      </c>
      <c r="EY417" s="1079"/>
      <c r="FC417" s="303" t="s">
        <v>104</v>
      </c>
      <c r="FD417" s="303" t="s">
        <v>105</v>
      </c>
      <c r="FE417" s="303" t="s">
        <v>106</v>
      </c>
      <c r="FF417" s="304" t="s">
        <v>512</v>
      </c>
      <c r="FG417" s="1079"/>
      <c r="FK417" s="303" t="s">
        <v>104</v>
      </c>
      <c r="FL417" s="303" t="s">
        <v>105</v>
      </c>
      <c r="FM417" s="303" t="s">
        <v>106</v>
      </c>
      <c r="FN417" s="304" t="s">
        <v>512</v>
      </c>
      <c r="FO417" s="1079"/>
    </row>
    <row r="418" spans="2:171" x14ac:dyDescent="0.25">
      <c r="B418" s="108"/>
      <c r="C418" s="108" t="s">
        <v>121</v>
      </c>
      <c r="D418" s="1072"/>
      <c r="E418" s="905" t="s">
        <v>393</v>
      </c>
      <c r="G418" s="891">
        <f t="shared" ref="G418:J419" si="1525">G403</f>
        <v>3295838980.7862144</v>
      </c>
      <c r="H418" s="891">
        <f t="shared" si="1525"/>
        <v>0</v>
      </c>
      <c r="I418" s="891">
        <f t="shared" si="1525"/>
        <v>0</v>
      </c>
      <c r="J418" s="891">
        <f t="shared" si="1525"/>
        <v>3295838980.7862144</v>
      </c>
      <c r="K418" s="1074"/>
      <c r="L418" s="1072"/>
      <c r="M418" s="1073"/>
      <c r="N418" s="1073"/>
      <c r="O418" s="891">
        <f t="shared" ref="O418:R418" si="1526">O403</f>
        <v>3295838980.7862144</v>
      </c>
      <c r="P418" s="891">
        <f t="shared" si="1526"/>
        <v>0</v>
      </c>
      <c r="Q418" s="891">
        <f t="shared" si="1526"/>
        <v>3295838980.7862144</v>
      </c>
      <c r="R418" s="891">
        <f t="shared" si="1526"/>
        <v>0</v>
      </c>
      <c r="S418" s="1074"/>
      <c r="T418" s="1072"/>
      <c r="U418" s="1073"/>
      <c r="V418" s="1073"/>
      <c r="W418" s="891">
        <f t="shared" ref="W418:Z418" si="1527">W403</f>
        <v>3295838980.7862144</v>
      </c>
      <c r="X418" s="891">
        <f t="shared" si="1527"/>
        <v>0</v>
      </c>
      <c r="Y418" s="891">
        <f t="shared" si="1527"/>
        <v>3295838980.7862144</v>
      </c>
      <c r="Z418" s="891">
        <f t="shared" si="1527"/>
        <v>0</v>
      </c>
      <c r="AA418" s="1074"/>
      <c r="AB418" s="1072"/>
      <c r="AC418" s="1073"/>
      <c r="AD418" s="1073"/>
      <c r="AE418" s="891">
        <f t="shared" ref="AE418:AH418" si="1528">AE403</f>
        <v>3295838980.7862144</v>
      </c>
      <c r="AF418" s="891">
        <f t="shared" si="1528"/>
        <v>0</v>
      </c>
      <c r="AG418" s="891">
        <f t="shared" si="1528"/>
        <v>3295838980.7862144</v>
      </c>
      <c r="AH418" s="891">
        <f t="shared" si="1528"/>
        <v>0</v>
      </c>
      <c r="AI418" s="1074"/>
      <c r="AJ418" s="1072"/>
      <c r="AK418" s="1073"/>
      <c r="AL418" s="1073"/>
      <c r="AM418" s="891">
        <f t="shared" ref="AM418:AP418" si="1529">AM403</f>
        <v>3295838980.7862144</v>
      </c>
      <c r="AN418" s="891">
        <f t="shared" si="1529"/>
        <v>0</v>
      </c>
      <c r="AO418" s="891">
        <f t="shared" si="1529"/>
        <v>3295838980.7862144</v>
      </c>
      <c r="AP418" s="891">
        <f t="shared" si="1529"/>
        <v>0</v>
      </c>
      <c r="AQ418" s="1074"/>
      <c r="AR418" s="1072"/>
      <c r="AS418" s="1073"/>
      <c r="AT418" s="1073"/>
      <c r="AU418" s="891">
        <f t="shared" ref="AU418:AX418" si="1530">AU403</f>
        <v>3295838980.7862144</v>
      </c>
      <c r="AV418" s="891">
        <f t="shared" si="1530"/>
        <v>0</v>
      </c>
      <c r="AW418" s="891">
        <f t="shared" si="1530"/>
        <v>3295838980.7862144</v>
      </c>
      <c r="AX418" s="891">
        <f t="shared" si="1530"/>
        <v>0</v>
      </c>
      <c r="AY418" s="1074"/>
      <c r="AZ418" s="1072"/>
      <c r="BA418" s="1073"/>
      <c r="BB418" s="1073"/>
      <c r="BC418" s="891">
        <f t="shared" ref="BC418:BF418" si="1531">BC403</f>
        <v>3295838980.7862144</v>
      </c>
      <c r="BD418" s="891">
        <f t="shared" si="1531"/>
        <v>0</v>
      </c>
      <c r="BE418" s="891">
        <f t="shared" si="1531"/>
        <v>3295838980.7862144</v>
      </c>
      <c r="BF418" s="891">
        <f t="shared" si="1531"/>
        <v>0</v>
      </c>
      <c r="BG418" s="1074"/>
      <c r="BH418" s="1072"/>
      <c r="BI418" s="1073"/>
      <c r="BJ418" s="1073"/>
      <c r="BK418" s="891">
        <f t="shared" ref="BK418:BN418" si="1532">BK403</f>
        <v>3295838980.7862144</v>
      </c>
      <c r="BL418" s="891">
        <f t="shared" si="1532"/>
        <v>0</v>
      </c>
      <c r="BM418" s="891">
        <f t="shared" si="1532"/>
        <v>3295838980.7862144</v>
      </c>
      <c r="BN418" s="891">
        <f t="shared" si="1532"/>
        <v>0</v>
      </c>
      <c r="BO418" s="1074"/>
      <c r="BP418" s="1072"/>
      <c r="BQ418" s="1073"/>
      <c r="BR418" s="1073"/>
      <c r="BS418" s="891">
        <f t="shared" ref="BS418:BV418" si="1533">BS403</f>
        <v>3295838980.7862144</v>
      </c>
      <c r="BT418" s="891">
        <f t="shared" si="1533"/>
        <v>0</v>
      </c>
      <c r="BU418" s="891">
        <f t="shared" si="1533"/>
        <v>3295838980.7862144</v>
      </c>
      <c r="BV418" s="891">
        <f t="shared" si="1533"/>
        <v>0</v>
      </c>
      <c r="BW418" s="1074"/>
      <c r="BX418" s="1072"/>
      <c r="BY418" s="1073"/>
      <c r="BZ418" s="1073"/>
      <c r="CA418" s="891">
        <f t="shared" ref="CA418:CD418" si="1534">CA403</f>
        <v>3295838980.7862144</v>
      </c>
      <c r="CB418" s="891">
        <f t="shared" si="1534"/>
        <v>0</v>
      </c>
      <c r="CC418" s="891">
        <f t="shared" si="1534"/>
        <v>3295838980.7862144</v>
      </c>
      <c r="CD418" s="891">
        <f t="shared" si="1534"/>
        <v>0</v>
      </c>
      <c r="CE418" s="1074"/>
      <c r="CF418" s="1072"/>
      <c r="CG418" s="1073"/>
      <c r="CH418" s="1073"/>
      <c r="CI418" s="891">
        <f t="shared" ref="CI418:CL418" si="1535">CI403</f>
        <v>3295838980.7862144</v>
      </c>
      <c r="CJ418" s="891">
        <f t="shared" si="1535"/>
        <v>0</v>
      </c>
      <c r="CK418" s="891">
        <f t="shared" si="1535"/>
        <v>3295838980.7862144</v>
      </c>
      <c r="CL418" s="891">
        <f t="shared" si="1535"/>
        <v>0</v>
      </c>
      <c r="CM418" s="1074"/>
      <c r="CN418" s="1072"/>
      <c r="CO418" s="1073"/>
      <c r="CP418" s="1073"/>
      <c r="CQ418" s="891">
        <f t="shared" ref="CQ418:CT418" si="1536">CQ403</f>
        <v>3295838980.7862144</v>
      </c>
      <c r="CR418" s="891">
        <f t="shared" si="1536"/>
        <v>0</v>
      </c>
      <c r="CS418" s="891">
        <f t="shared" si="1536"/>
        <v>3295838980.7862144</v>
      </c>
      <c r="CT418" s="891">
        <f t="shared" si="1536"/>
        <v>0</v>
      </c>
      <c r="CU418" s="1074"/>
      <c r="CV418" s="1072"/>
      <c r="CW418" s="1073"/>
      <c r="CX418" s="1073"/>
      <c r="CY418" s="891">
        <f t="shared" ref="CY418:DB418" si="1537">CY403</f>
        <v>3295838980.7862144</v>
      </c>
      <c r="CZ418" s="891">
        <f t="shared" si="1537"/>
        <v>0</v>
      </c>
      <c r="DA418" s="891">
        <f t="shared" si="1537"/>
        <v>3295838980.7862144</v>
      </c>
      <c r="DB418" s="891">
        <f t="shared" si="1537"/>
        <v>0</v>
      </c>
      <c r="DC418" s="1074"/>
      <c r="DD418" s="1072"/>
      <c r="DE418" s="1073"/>
      <c r="DF418" s="1073"/>
      <c r="DG418" s="891">
        <f t="shared" ref="DG418:DJ418" si="1538">DG403</f>
        <v>3295838980.7862144</v>
      </c>
      <c r="DH418" s="891">
        <f t="shared" si="1538"/>
        <v>0</v>
      </c>
      <c r="DI418" s="891">
        <f t="shared" si="1538"/>
        <v>3295838980.7862144</v>
      </c>
      <c r="DJ418" s="891">
        <f t="shared" si="1538"/>
        <v>0</v>
      </c>
      <c r="DK418" s="1074"/>
      <c r="DL418" s="1072"/>
      <c r="DM418" s="1073"/>
      <c r="DN418" s="1073"/>
      <c r="DO418" s="891">
        <f t="shared" ref="DO418:DR418" si="1539">DO403</f>
        <v>3295838980.7862144</v>
      </c>
      <c r="DP418" s="891">
        <f t="shared" si="1539"/>
        <v>0</v>
      </c>
      <c r="DQ418" s="891">
        <f t="shared" si="1539"/>
        <v>3295838980.7862144</v>
      </c>
      <c r="DR418" s="891">
        <f t="shared" si="1539"/>
        <v>0</v>
      </c>
      <c r="DS418" s="1074"/>
      <c r="DT418" s="1072"/>
      <c r="DU418" s="1073"/>
      <c r="DV418" s="1073"/>
      <c r="DW418" s="891">
        <f t="shared" ref="DW418:DZ418" si="1540">DW403</f>
        <v>3295838980.7862144</v>
      </c>
      <c r="DX418" s="891">
        <f t="shared" si="1540"/>
        <v>0</v>
      </c>
      <c r="DY418" s="891">
        <f t="shared" si="1540"/>
        <v>3295838980.7862144</v>
      </c>
      <c r="DZ418" s="891">
        <f t="shared" si="1540"/>
        <v>0</v>
      </c>
      <c r="EA418" s="1074"/>
      <c r="EB418" s="1072"/>
      <c r="EC418" s="1073"/>
      <c r="ED418" s="1073"/>
      <c r="EE418" s="891">
        <f t="shared" ref="EE418:EH418" si="1541">EE403</f>
        <v>3295838980.7862144</v>
      </c>
      <c r="EF418" s="891">
        <f t="shared" si="1541"/>
        <v>0</v>
      </c>
      <c r="EG418" s="891">
        <f t="shared" si="1541"/>
        <v>3295838980.7862144</v>
      </c>
      <c r="EH418" s="891">
        <f t="shared" si="1541"/>
        <v>0</v>
      </c>
      <c r="EI418" s="1074"/>
      <c r="EJ418" s="1072"/>
      <c r="EK418" s="1073"/>
      <c r="EL418" s="1073"/>
      <c r="EM418" s="891">
        <f t="shared" ref="EM418:EP418" si="1542">EM403</f>
        <v>3295838980.7862144</v>
      </c>
      <c r="EN418" s="891">
        <f t="shared" si="1542"/>
        <v>0</v>
      </c>
      <c r="EO418" s="891">
        <f t="shared" si="1542"/>
        <v>3295838980.7862144</v>
      </c>
      <c r="EP418" s="891">
        <f t="shared" si="1542"/>
        <v>0</v>
      </c>
      <c r="EQ418" s="1074"/>
      <c r="ER418" s="1072"/>
      <c r="ES418" s="1073"/>
      <c r="ET418" s="1073"/>
      <c r="EU418" s="891">
        <f t="shared" ref="EU418:EX418" si="1543">EU403</f>
        <v>3295838980.7862144</v>
      </c>
      <c r="EV418" s="891">
        <f t="shared" si="1543"/>
        <v>0</v>
      </c>
      <c r="EW418" s="891">
        <f t="shared" si="1543"/>
        <v>3295838980.7862144</v>
      </c>
      <c r="EX418" s="891">
        <f t="shared" si="1543"/>
        <v>0</v>
      </c>
      <c r="EY418" s="1074"/>
      <c r="EZ418" s="1072"/>
      <c r="FA418" s="1073"/>
      <c r="FB418" s="1073"/>
      <c r="FC418" s="891">
        <f t="shared" ref="FC418:FF418" si="1544">FC403</f>
        <v>3295838980.7862144</v>
      </c>
      <c r="FD418" s="891">
        <f t="shared" si="1544"/>
        <v>0</v>
      </c>
      <c r="FE418" s="891">
        <f t="shared" si="1544"/>
        <v>3295838980.7862144</v>
      </c>
      <c r="FF418" s="891">
        <f t="shared" si="1544"/>
        <v>0</v>
      </c>
      <c r="FG418" s="1074"/>
      <c r="FH418" s="1072"/>
      <c r="FI418" s="1073"/>
      <c r="FJ418" s="1073"/>
      <c r="FK418" s="891">
        <f t="shared" ref="FK418:FN418" si="1545">FK403</f>
        <v>3295838980.7862144</v>
      </c>
      <c r="FL418" s="891">
        <f t="shared" si="1545"/>
        <v>0</v>
      </c>
      <c r="FM418" s="891">
        <f t="shared" si="1545"/>
        <v>3295838980.7862144</v>
      </c>
      <c r="FN418" s="891">
        <f t="shared" si="1545"/>
        <v>0</v>
      </c>
      <c r="FO418" s="1074"/>
    </row>
    <row r="419" spans="2:171" x14ac:dyDescent="0.25">
      <c r="B419" s="108"/>
      <c r="C419" s="108" t="s">
        <v>122</v>
      </c>
      <c r="D419" s="1072"/>
      <c r="E419" s="905" t="s">
        <v>392</v>
      </c>
      <c r="G419" s="891">
        <f t="shared" si="1525"/>
        <v>3803344740.5943408</v>
      </c>
      <c r="H419" s="891">
        <f t="shared" si="1525"/>
        <v>0</v>
      </c>
      <c r="I419" s="891">
        <f t="shared" si="1525"/>
        <v>0</v>
      </c>
      <c r="J419" s="891">
        <f t="shared" si="1525"/>
        <v>3803344740.5943408</v>
      </c>
      <c r="K419" s="1079"/>
      <c r="L419" s="1072"/>
      <c r="M419" s="1073"/>
      <c r="N419" s="1073"/>
      <c r="O419" s="891">
        <f t="shared" ref="O419:R419" si="1546">O404</f>
        <v>3803344740.5943408</v>
      </c>
      <c r="P419" s="891">
        <f t="shared" si="1546"/>
        <v>0</v>
      </c>
      <c r="Q419" s="891">
        <f t="shared" si="1546"/>
        <v>0</v>
      </c>
      <c r="R419" s="891">
        <f t="shared" si="1546"/>
        <v>3803344740.5943408</v>
      </c>
      <c r="S419" s="1079"/>
      <c r="T419" s="1072"/>
      <c r="U419" s="1073"/>
      <c r="V419" s="1073"/>
      <c r="W419" s="891">
        <f t="shared" ref="W419:Z419" si="1547">W404</f>
        <v>3803344740.5943408</v>
      </c>
      <c r="X419" s="891">
        <f t="shared" si="1547"/>
        <v>0</v>
      </c>
      <c r="Y419" s="891">
        <f t="shared" si="1547"/>
        <v>0</v>
      </c>
      <c r="Z419" s="891">
        <f t="shared" si="1547"/>
        <v>3803344740.5943408</v>
      </c>
      <c r="AA419" s="1079"/>
      <c r="AB419" s="1072"/>
      <c r="AC419" s="1073"/>
      <c r="AD419" s="1073"/>
      <c r="AE419" s="891">
        <f t="shared" ref="AE419:AH419" si="1548">AE404</f>
        <v>3803344740.5943408</v>
      </c>
      <c r="AF419" s="891">
        <f t="shared" si="1548"/>
        <v>0</v>
      </c>
      <c r="AG419" s="891">
        <f t="shared" si="1548"/>
        <v>0</v>
      </c>
      <c r="AH419" s="891">
        <f t="shared" si="1548"/>
        <v>3803344740.5943408</v>
      </c>
      <c r="AI419" s="1079"/>
      <c r="AJ419" s="1072"/>
      <c r="AK419" s="1073"/>
      <c r="AL419" s="1073"/>
      <c r="AM419" s="891">
        <f t="shared" ref="AM419:AP419" si="1549">AM404</f>
        <v>3803344740.5943408</v>
      </c>
      <c r="AN419" s="891">
        <f t="shared" si="1549"/>
        <v>0</v>
      </c>
      <c r="AO419" s="891">
        <f t="shared" si="1549"/>
        <v>0</v>
      </c>
      <c r="AP419" s="891">
        <f t="shared" si="1549"/>
        <v>3803344740.5943408</v>
      </c>
      <c r="AQ419" s="1079"/>
      <c r="AR419" s="1072"/>
      <c r="AS419" s="1073"/>
      <c r="AT419" s="1073"/>
      <c r="AU419" s="891">
        <f t="shared" ref="AU419:AX419" si="1550">AU404</f>
        <v>3803344740.5943408</v>
      </c>
      <c r="AV419" s="891">
        <f t="shared" si="1550"/>
        <v>0</v>
      </c>
      <c r="AW419" s="891">
        <f t="shared" si="1550"/>
        <v>0</v>
      </c>
      <c r="AX419" s="891">
        <f t="shared" si="1550"/>
        <v>3803344740.5943408</v>
      </c>
      <c r="AY419" s="1079"/>
      <c r="AZ419" s="1072"/>
      <c r="BA419" s="1073"/>
      <c r="BB419" s="1073"/>
      <c r="BC419" s="891">
        <f t="shared" ref="BC419:BF419" si="1551">BC404</f>
        <v>3803344740.5943408</v>
      </c>
      <c r="BD419" s="891">
        <f t="shared" si="1551"/>
        <v>0</v>
      </c>
      <c r="BE419" s="891">
        <f t="shared" si="1551"/>
        <v>0</v>
      </c>
      <c r="BF419" s="891">
        <f t="shared" si="1551"/>
        <v>3803344740.5943408</v>
      </c>
      <c r="BG419" s="1079"/>
      <c r="BH419" s="1072"/>
      <c r="BI419" s="1073"/>
      <c r="BJ419" s="1073"/>
      <c r="BK419" s="891">
        <f t="shared" ref="BK419:BN419" si="1552">BK404</f>
        <v>3803344740.5943408</v>
      </c>
      <c r="BL419" s="891">
        <f t="shared" si="1552"/>
        <v>0</v>
      </c>
      <c r="BM419" s="891">
        <f t="shared" si="1552"/>
        <v>0</v>
      </c>
      <c r="BN419" s="891">
        <f t="shared" si="1552"/>
        <v>3803344740.5943408</v>
      </c>
      <c r="BO419" s="1079"/>
      <c r="BP419" s="1072"/>
      <c r="BQ419" s="1073"/>
      <c r="BR419" s="1073"/>
      <c r="BS419" s="891">
        <f t="shared" ref="BS419:BV419" si="1553">BS404</f>
        <v>3803344740.5943408</v>
      </c>
      <c r="BT419" s="891">
        <f t="shared" si="1553"/>
        <v>0</v>
      </c>
      <c r="BU419" s="891">
        <f t="shared" si="1553"/>
        <v>0</v>
      </c>
      <c r="BV419" s="891">
        <f t="shared" si="1553"/>
        <v>3803344740.5943408</v>
      </c>
      <c r="BW419" s="1079"/>
      <c r="BX419" s="1072"/>
      <c r="BY419" s="1073"/>
      <c r="BZ419" s="1073"/>
      <c r="CA419" s="891">
        <f t="shared" ref="CA419:CD419" si="1554">CA404</f>
        <v>3803344740.5943408</v>
      </c>
      <c r="CB419" s="891">
        <f t="shared" si="1554"/>
        <v>0</v>
      </c>
      <c r="CC419" s="891">
        <f t="shared" si="1554"/>
        <v>0</v>
      </c>
      <c r="CD419" s="891">
        <f t="shared" si="1554"/>
        <v>3803344740.5943408</v>
      </c>
      <c r="CE419" s="1079"/>
      <c r="CF419" s="1072"/>
      <c r="CG419" s="1073"/>
      <c r="CH419" s="1073"/>
      <c r="CI419" s="891">
        <f t="shared" ref="CI419:CL419" si="1555">CI404</f>
        <v>3803344740.5943408</v>
      </c>
      <c r="CJ419" s="891">
        <f t="shared" si="1555"/>
        <v>0</v>
      </c>
      <c r="CK419" s="891">
        <f t="shared" si="1555"/>
        <v>0</v>
      </c>
      <c r="CL419" s="891">
        <f t="shared" si="1555"/>
        <v>3803344740.5943408</v>
      </c>
      <c r="CM419" s="1079"/>
      <c r="CN419" s="1072"/>
      <c r="CO419" s="1073"/>
      <c r="CP419" s="1073"/>
      <c r="CQ419" s="891">
        <f t="shared" ref="CQ419:CT419" si="1556">CQ404</f>
        <v>3803344740.5943408</v>
      </c>
      <c r="CR419" s="891">
        <f t="shared" si="1556"/>
        <v>0</v>
      </c>
      <c r="CS419" s="891">
        <f t="shared" si="1556"/>
        <v>0</v>
      </c>
      <c r="CT419" s="891">
        <f t="shared" si="1556"/>
        <v>3803344740.5943408</v>
      </c>
      <c r="CU419" s="1079"/>
      <c r="CV419" s="1072"/>
      <c r="CW419" s="1073"/>
      <c r="CX419" s="1073"/>
      <c r="CY419" s="891">
        <f t="shared" ref="CY419:DB419" si="1557">CY404</f>
        <v>3803344740.5943408</v>
      </c>
      <c r="CZ419" s="891">
        <f t="shared" si="1557"/>
        <v>0</v>
      </c>
      <c r="DA419" s="891">
        <f t="shared" si="1557"/>
        <v>0</v>
      </c>
      <c r="DB419" s="891">
        <f t="shared" si="1557"/>
        <v>3803344740.5943408</v>
      </c>
      <c r="DC419" s="1079"/>
      <c r="DD419" s="1072"/>
      <c r="DE419" s="1073"/>
      <c r="DF419" s="1073"/>
      <c r="DG419" s="891">
        <f t="shared" ref="DG419:DJ419" si="1558">DG404</f>
        <v>3803344740.5943408</v>
      </c>
      <c r="DH419" s="891">
        <f t="shared" si="1558"/>
        <v>0</v>
      </c>
      <c r="DI419" s="891">
        <f t="shared" si="1558"/>
        <v>0</v>
      </c>
      <c r="DJ419" s="891">
        <f t="shared" si="1558"/>
        <v>3803344740.5943408</v>
      </c>
      <c r="DK419" s="1079"/>
      <c r="DL419" s="1072"/>
      <c r="DM419" s="1073"/>
      <c r="DN419" s="1073"/>
      <c r="DO419" s="891">
        <f t="shared" ref="DO419:DR419" si="1559">DO404</f>
        <v>3803344740.5943408</v>
      </c>
      <c r="DP419" s="891">
        <f t="shared" si="1559"/>
        <v>0</v>
      </c>
      <c r="DQ419" s="891">
        <f t="shared" si="1559"/>
        <v>0</v>
      </c>
      <c r="DR419" s="891">
        <f t="shared" si="1559"/>
        <v>3803344740.5943408</v>
      </c>
      <c r="DS419" s="1079"/>
      <c r="DT419" s="1072"/>
      <c r="DU419" s="1073"/>
      <c r="DV419" s="1073"/>
      <c r="DW419" s="891">
        <f t="shared" ref="DW419:DZ419" si="1560">DW404</f>
        <v>3803344740.5943408</v>
      </c>
      <c r="DX419" s="891">
        <f t="shared" si="1560"/>
        <v>0</v>
      </c>
      <c r="DY419" s="891">
        <f t="shared" si="1560"/>
        <v>0</v>
      </c>
      <c r="DZ419" s="891">
        <f t="shared" si="1560"/>
        <v>3803344740.5943408</v>
      </c>
      <c r="EA419" s="1079"/>
      <c r="EB419" s="1072"/>
      <c r="EC419" s="1073"/>
      <c r="ED419" s="1073"/>
      <c r="EE419" s="891">
        <f t="shared" ref="EE419:EH419" si="1561">EE404</f>
        <v>3803344740.5943408</v>
      </c>
      <c r="EF419" s="891">
        <f t="shared" si="1561"/>
        <v>0</v>
      </c>
      <c r="EG419" s="891">
        <f t="shared" si="1561"/>
        <v>0</v>
      </c>
      <c r="EH419" s="891">
        <f t="shared" si="1561"/>
        <v>3803344740.5943408</v>
      </c>
      <c r="EI419" s="1079"/>
      <c r="EJ419" s="1072"/>
      <c r="EK419" s="1073"/>
      <c r="EL419" s="1073"/>
      <c r="EM419" s="891">
        <f t="shared" ref="EM419:EP419" si="1562">EM404</f>
        <v>3803344740.5943408</v>
      </c>
      <c r="EN419" s="891">
        <f t="shared" si="1562"/>
        <v>0</v>
      </c>
      <c r="EO419" s="891">
        <f t="shared" si="1562"/>
        <v>0</v>
      </c>
      <c r="EP419" s="891">
        <f t="shared" si="1562"/>
        <v>3803344740.5943408</v>
      </c>
      <c r="EQ419" s="1079"/>
      <c r="ER419" s="1072"/>
      <c r="ES419" s="1073"/>
      <c r="ET419" s="1073"/>
      <c r="EU419" s="891">
        <f t="shared" ref="EU419:EX419" si="1563">EU404</f>
        <v>3803344740.5943408</v>
      </c>
      <c r="EV419" s="891">
        <f t="shared" si="1563"/>
        <v>0</v>
      </c>
      <c r="EW419" s="891">
        <f t="shared" si="1563"/>
        <v>0</v>
      </c>
      <c r="EX419" s="891">
        <f t="shared" si="1563"/>
        <v>3803344740.5943408</v>
      </c>
      <c r="EY419" s="1079"/>
      <c r="EZ419" s="1072"/>
      <c r="FA419" s="1073"/>
      <c r="FB419" s="1073"/>
      <c r="FC419" s="891">
        <f t="shared" ref="FC419:FF419" si="1564">FC404</f>
        <v>3803344740.5943408</v>
      </c>
      <c r="FD419" s="891">
        <f t="shared" si="1564"/>
        <v>0</v>
      </c>
      <c r="FE419" s="891">
        <f t="shared" si="1564"/>
        <v>0</v>
      </c>
      <c r="FF419" s="891">
        <f t="shared" si="1564"/>
        <v>3803344740.5943408</v>
      </c>
      <c r="FG419" s="1079"/>
      <c r="FH419" s="1072"/>
      <c r="FI419" s="1073"/>
      <c r="FJ419" s="1073"/>
      <c r="FK419" s="891">
        <f t="shared" ref="FK419:FN419" si="1565">FK404</f>
        <v>3803344740.5943408</v>
      </c>
      <c r="FL419" s="891">
        <f t="shared" si="1565"/>
        <v>0</v>
      </c>
      <c r="FM419" s="891">
        <f t="shared" si="1565"/>
        <v>0</v>
      </c>
      <c r="FN419" s="891">
        <f t="shared" si="1565"/>
        <v>3803344740.5943408</v>
      </c>
      <c r="FO419" s="1079"/>
    </row>
    <row r="420" spans="2:171" x14ac:dyDescent="0.25">
      <c r="B420" s="108"/>
      <c r="C420" s="108" t="s">
        <v>523</v>
      </c>
      <c r="D420" s="1072"/>
      <c r="E420" s="124"/>
      <c r="F420" s="1073"/>
      <c r="G420" s="1634">
        <f>SUM(G418:G419)</f>
        <v>7099183721.3805552</v>
      </c>
      <c r="H420" s="1634">
        <f>SUM(H418:H419)</f>
        <v>0</v>
      </c>
      <c r="I420" s="1634">
        <f>SUM(I418:I419)</f>
        <v>0</v>
      </c>
      <c r="J420" s="1634">
        <f>SUM(J418:J419)</f>
        <v>7099183721.3805552</v>
      </c>
      <c r="K420" s="1074"/>
      <c r="L420" s="1072"/>
      <c r="M420" s="1073"/>
      <c r="N420" s="1073"/>
      <c r="O420" s="1634">
        <f>SUM(O418:O419)</f>
        <v>7099183721.3805552</v>
      </c>
      <c r="P420" s="1634">
        <f>SUM(P418:P419)</f>
        <v>0</v>
      </c>
      <c r="Q420" s="1634">
        <f>SUM(Q418:Q419)</f>
        <v>3295838980.7862144</v>
      </c>
      <c r="R420" s="1634">
        <f>SUM(R418:R419)</f>
        <v>3803344740.5943408</v>
      </c>
      <c r="S420" s="1074"/>
      <c r="T420" s="1072"/>
      <c r="U420" s="1073"/>
      <c r="V420" s="1073"/>
      <c r="W420" s="1634">
        <f>SUM(W418:W419)</f>
        <v>7099183721.3805552</v>
      </c>
      <c r="X420" s="1634">
        <f>SUM(X418:X419)</f>
        <v>0</v>
      </c>
      <c r="Y420" s="1634">
        <f>SUM(Y418:Y419)</f>
        <v>3295838980.7862144</v>
      </c>
      <c r="Z420" s="1634">
        <f>SUM(Z418:Z419)</f>
        <v>3803344740.5943408</v>
      </c>
      <c r="AA420" s="1074"/>
      <c r="AB420" s="1072"/>
      <c r="AC420" s="1073"/>
      <c r="AD420" s="1073"/>
      <c r="AE420" s="1634">
        <f>SUM(AE418:AE419)</f>
        <v>7099183721.3805552</v>
      </c>
      <c r="AF420" s="1634">
        <f>SUM(AF418:AF419)</f>
        <v>0</v>
      </c>
      <c r="AG420" s="1634">
        <f>SUM(AG418:AG419)</f>
        <v>3295838980.7862144</v>
      </c>
      <c r="AH420" s="1634">
        <f>SUM(AH418:AH419)</f>
        <v>3803344740.5943408</v>
      </c>
      <c r="AI420" s="1074"/>
      <c r="AJ420" s="1072"/>
      <c r="AK420" s="1073"/>
      <c r="AL420" s="1073"/>
      <c r="AM420" s="1634">
        <f>SUM(AM418:AM419)</f>
        <v>7099183721.3805552</v>
      </c>
      <c r="AN420" s="1634">
        <f>SUM(AN418:AN419)</f>
        <v>0</v>
      </c>
      <c r="AO420" s="1634">
        <f>SUM(AO418:AO419)</f>
        <v>3295838980.7862144</v>
      </c>
      <c r="AP420" s="1634">
        <f>SUM(AP418:AP419)</f>
        <v>3803344740.5943408</v>
      </c>
      <c r="AQ420" s="1074"/>
      <c r="AR420" s="1072"/>
      <c r="AS420" s="1073"/>
      <c r="AT420" s="1073"/>
      <c r="AU420" s="1634">
        <f>SUM(AU418:AU419)</f>
        <v>7099183721.3805552</v>
      </c>
      <c r="AV420" s="1634">
        <f>SUM(AV418:AV419)</f>
        <v>0</v>
      </c>
      <c r="AW420" s="1634">
        <f>SUM(AW418:AW419)</f>
        <v>3295838980.7862144</v>
      </c>
      <c r="AX420" s="1634">
        <f>SUM(AX418:AX419)</f>
        <v>3803344740.5943408</v>
      </c>
      <c r="AY420" s="1074"/>
      <c r="AZ420" s="1072"/>
      <c r="BA420" s="1073"/>
      <c r="BB420" s="1073"/>
      <c r="BC420" s="1634">
        <f>SUM(BC418:BC419)</f>
        <v>7099183721.3805552</v>
      </c>
      <c r="BD420" s="1634">
        <f>SUM(BD418:BD419)</f>
        <v>0</v>
      </c>
      <c r="BE420" s="1634">
        <f>SUM(BE418:BE419)</f>
        <v>3295838980.7862144</v>
      </c>
      <c r="BF420" s="1634">
        <f>SUM(BF418:BF419)</f>
        <v>3803344740.5943408</v>
      </c>
      <c r="BG420" s="1074"/>
      <c r="BH420" s="1072"/>
      <c r="BI420" s="1073"/>
      <c r="BJ420" s="1073"/>
      <c r="BK420" s="1634">
        <f>SUM(BK418:BK419)</f>
        <v>7099183721.3805552</v>
      </c>
      <c r="BL420" s="1634">
        <f>SUM(BL418:BL419)</f>
        <v>0</v>
      </c>
      <c r="BM420" s="1634">
        <f>SUM(BM418:BM419)</f>
        <v>3295838980.7862144</v>
      </c>
      <c r="BN420" s="1634">
        <f>SUM(BN418:BN419)</f>
        <v>3803344740.5943408</v>
      </c>
      <c r="BO420" s="1074"/>
      <c r="BP420" s="1072"/>
      <c r="BQ420" s="1073"/>
      <c r="BR420" s="1073"/>
      <c r="BS420" s="1634">
        <f>SUM(BS418:BS419)</f>
        <v>7099183721.3805552</v>
      </c>
      <c r="BT420" s="1634">
        <f>SUM(BT418:BT419)</f>
        <v>0</v>
      </c>
      <c r="BU420" s="1634">
        <f>SUM(BU418:BU419)</f>
        <v>3295838980.7862144</v>
      </c>
      <c r="BV420" s="1634">
        <f>SUM(BV418:BV419)</f>
        <v>3803344740.5943408</v>
      </c>
      <c r="BW420" s="1074"/>
      <c r="BX420" s="1072"/>
      <c r="BY420" s="1073"/>
      <c r="BZ420" s="1073"/>
      <c r="CA420" s="1634">
        <f>SUM(CA418:CA419)</f>
        <v>7099183721.3805552</v>
      </c>
      <c r="CB420" s="1634">
        <f>SUM(CB418:CB419)</f>
        <v>0</v>
      </c>
      <c r="CC420" s="1634">
        <f>SUM(CC418:CC419)</f>
        <v>3295838980.7862144</v>
      </c>
      <c r="CD420" s="1634">
        <f>SUM(CD418:CD419)</f>
        <v>3803344740.5943408</v>
      </c>
      <c r="CE420" s="1074"/>
      <c r="CF420" s="1072"/>
      <c r="CG420" s="1073"/>
      <c r="CH420" s="1073"/>
      <c r="CI420" s="1634">
        <f>SUM(CI418:CI419)</f>
        <v>7099183721.3805552</v>
      </c>
      <c r="CJ420" s="1634">
        <f>SUM(CJ418:CJ419)</f>
        <v>0</v>
      </c>
      <c r="CK420" s="1634">
        <f>SUM(CK418:CK419)</f>
        <v>3295838980.7862144</v>
      </c>
      <c r="CL420" s="1634">
        <f>SUM(CL418:CL419)</f>
        <v>3803344740.5943408</v>
      </c>
      <c r="CM420" s="1074"/>
      <c r="CN420" s="1072"/>
      <c r="CO420" s="1073"/>
      <c r="CP420" s="1073"/>
      <c r="CQ420" s="1634">
        <f>SUM(CQ418:CQ419)</f>
        <v>7099183721.3805552</v>
      </c>
      <c r="CR420" s="1634">
        <f>SUM(CR418:CR419)</f>
        <v>0</v>
      </c>
      <c r="CS420" s="1634">
        <f>SUM(CS418:CS419)</f>
        <v>3295838980.7862144</v>
      </c>
      <c r="CT420" s="1634">
        <f>SUM(CT418:CT419)</f>
        <v>3803344740.5943408</v>
      </c>
      <c r="CU420" s="1074"/>
      <c r="CV420" s="1072"/>
      <c r="CW420" s="1073"/>
      <c r="CX420" s="1073"/>
      <c r="CY420" s="1634">
        <f>SUM(CY418:CY419)</f>
        <v>7099183721.3805552</v>
      </c>
      <c r="CZ420" s="1634">
        <f>SUM(CZ418:CZ419)</f>
        <v>0</v>
      </c>
      <c r="DA420" s="1634">
        <f>SUM(DA418:DA419)</f>
        <v>3295838980.7862144</v>
      </c>
      <c r="DB420" s="1634">
        <f>SUM(DB418:DB419)</f>
        <v>3803344740.5943408</v>
      </c>
      <c r="DC420" s="1074"/>
      <c r="DD420" s="1072"/>
      <c r="DE420" s="1073"/>
      <c r="DF420" s="1073"/>
      <c r="DG420" s="1634">
        <f>SUM(DG418:DG419)</f>
        <v>7099183721.3805552</v>
      </c>
      <c r="DH420" s="1634">
        <f>SUM(DH418:DH419)</f>
        <v>0</v>
      </c>
      <c r="DI420" s="1634">
        <f>SUM(DI418:DI419)</f>
        <v>3295838980.7862144</v>
      </c>
      <c r="DJ420" s="1634">
        <f>SUM(DJ418:DJ419)</f>
        <v>3803344740.5943408</v>
      </c>
      <c r="DK420" s="1074"/>
      <c r="DL420" s="1072"/>
      <c r="DM420" s="1073"/>
      <c r="DN420" s="1073"/>
      <c r="DO420" s="1634">
        <f>SUM(DO418:DO419)</f>
        <v>7099183721.3805552</v>
      </c>
      <c r="DP420" s="1634">
        <f>SUM(DP418:DP419)</f>
        <v>0</v>
      </c>
      <c r="DQ420" s="1634">
        <f>SUM(DQ418:DQ419)</f>
        <v>3295838980.7862144</v>
      </c>
      <c r="DR420" s="1634">
        <f>SUM(DR418:DR419)</f>
        <v>3803344740.5943408</v>
      </c>
      <c r="DS420" s="1074"/>
      <c r="DT420" s="1072"/>
      <c r="DU420" s="1073"/>
      <c r="DV420" s="1073"/>
      <c r="DW420" s="1634">
        <f>SUM(DW418:DW419)</f>
        <v>7099183721.3805552</v>
      </c>
      <c r="DX420" s="1634">
        <f>SUM(DX418:DX419)</f>
        <v>0</v>
      </c>
      <c r="DY420" s="1634">
        <f>SUM(DY418:DY419)</f>
        <v>3295838980.7862144</v>
      </c>
      <c r="DZ420" s="1634">
        <f>SUM(DZ418:DZ419)</f>
        <v>3803344740.5943408</v>
      </c>
      <c r="EA420" s="1074"/>
      <c r="EB420" s="1072"/>
      <c r="EC420" s="1073"/>
      <c r="ED420" s="1073"/>
      <c r="EE420" s="1634">
        <f>SUM(EE418:EE419)</f>
        <v>7099183721.3805552</v>
      </c>
      <c r="EF420" s="1634">
        <f>SUM(EF418:EF419)</f>
        <v>0</v>
      </c>
      <c r="EG420" s="1634">
        <f>SUM(EG418:EG419)</f>
        <v>3295838980.7862144</v>
      </c>
      <c r="EH420" s="1634">
        <f>SUM(EH418:EH419)</f>
        <v>3803344740.5943408</v>
      </c>
      <c r="EI420" s="1074"/>
      <c r="EJ420" s="1072"/>
      <c r="EK420" s="1073"/>
      <c r="EL420" s="1073"/>
      <c r="EM420" s="1634">
        <f>SUM(EM418:EM419)</f>
        <v>7099183721.3805552</v>
      </c>
      <c r="EN420" s="1634">
        <f>SUM(EN418:EN419)</f>
        <v>0</v>
      </c>
      <c r="EO420" s="1634">
        <f>SUM(EO418:EO419)</f>
        <v>3295838980.7862144</v>
      </c>
      <c r="EP420" s="1634">
        <f>SUM(EP418:EP419)</f>
        <v>3803344740.5943408</v>
      </c>
      <c r="EQ420" s="1074"/>
      <c r="ER420" s="1072"/>
      <c r="ES420" s="1073"/>
      <c r="ET420" s="1073"/>
      <c r="EU420" s="1634">
        <f>SUM(EU418:EU419)</f>
        <v>7099183721.3805552</v>
      </c>
      <c r="EV420" s="1634">
        <f>SUM(EV418:EV419)</f>
        <v>0</v>
      </c>
      <c r="EW420" s="1634">
        <f>SUM(EW418:EW419)</f>
        <v>3295838980.7862144</v>
      </c>
      <c r="EX420" s="1634">
        <f>SUM(EX418:EX419)</f>
        <v>3803344740.5943408</v>
      </c>
      <c r="EY420" s="1074"/>
      <c r="EZ420" s="1072"/>
      <c r="FA420" s="1073"/>
      <c r="FB420" s="1073"/>
      <c r="FC420" s="1634">
        <f>SUM(FC418:FC419)</f>
        <v>7099183721.3805552</v>
      </c>
      <c r="FD420" s="1634">
        <f>SUM(FD418:FD419)</f>
        <v>0</v>
      </c>
      <c r="FE420" s="1634">
        <f>SUM(FE418:FE419)</f>
        <v>3295838980.7862144</v>
      </c>
      <c r="FF420" s="1634">
        <f>SUM(FF418:FF419)</f>
        <v>3803344740.5943408</v>
      </c>
      <c r="FG420" s="1074"/>
      <c r="FH420" s="1072"/>
      <c r="FI420" s="1073"/>
      <c r="FJ420" s="1073"/>
      <c r="FK420" s="1634">
        <f>SUM(FK418:FK419)</f>
        <v>7099183721.3805552</v>
      </c>
      <c r="FL420" s="1634">
        <f>SUM(FL418:FL419)</f>
        <v>0</v>
      </c>
      <c r="FM420" s="1634">
        <f>SUM(FM418:FM419)</f>
        <v>3295838980.7862144</v>
      </c>
      <c r="FN420" s="1634">
        <f>SUM(FN418:FN419)</f>
        <v>3803344740.5943408</v>
      </c>
      <c r="FO420" s="1074"/>
    </row>
    <row r="421" spans="2:171" x14ac:dyDescent="0.25">
      <c r="B421" s="123"/>
      <c r="C421" s="123" t="s">
        <v>344</v>
      </c>
      <c r="D421" s="1296" t="s">
        <v>637</v>
      </c>
      <c r="E421" s="617"/>
      <c r="F421" s="1076"/>
      <c r="G421" s="1635">
        <f>H421+I421+J421</f>
        <v>1</v>
      </c>
      <c r="H421" s="1635">
        <f>IF($G420=0,0,H420/G420)</f>
        <v>0</v>
      </c>
      <c r="I421" s="1635">
        <f>IF($G420=0,0,I420/G420)</f>
        <v>0</v>
      </c>
      <c r="J421" s="1635">
        <f>IF($G420=0,0,J420/G420)</f>
        <v>1</v>
      </c>
      <c r="K421" s="1079"/>
      <c r="L421" s="1075" t="s">
        <v>637</v>
      </c>
      <c r="M421" s="1076"/>
      <c r="N421" s="1076"/>
      <c r="O421" s="1635">
        <f>P421+Q421+R421</f>
        <v>1</v>
      </c>
      <c r="P421" s="1635">
        <f>IF($G420=0,0,P420/O420)</f>
        <v>0</v>
      </c>
      <c r="Q421" s="1635">
        <f>IF($G420=0,0,Q420/O420)</f>
        <v>0.46425604832005718</v>
      </c>
      <c r="R421" s="1635">
        <f>IF($G420=0,0,R420/O420)</f>
        <v>0.53574395167994282</v>
      </c>
      <c r="S421" s="1079"/>
      <c r="T421" s="1075" t="s">
        <v>637</v>
      </c>
      <c r="U421" s="1076"/>
      <c r="V421" s="1076"/>
      <c r="W421" s="1635">
        <f>X421+Y421+Z421</f>
        <v>1</v>
      </c>
      <c r="X421" s="1635">
        <f>IF($G420=0,0,X420/W420)</f>
        <v>0</v>
      </c>
      <c r="Y421" s="1635">
        <f>IF($G420=0,0,Y420/W420)</f>
        <v>0.46425604832005718</v>
      </c>
      <c r="Z421" s="1635">
        <f>IF($G420=0,0,Z420/W420)</f>
        <v>0.53574395167994282</v>
      </c>
      <c r="AA421" s="1079"/>
      <c r="AB421" s="1075" t="s">
        <v>637</v>
      </c>
      <c r="AC421" s="1076"/>
      <c r="AD421" s="1076"/>
      <c r="AE421" s="1635">
        <f>AF421+AG421+AH421</f>
        <v>1</v>
      </c>
      <c r="AF421" s="1635">
        <f>IF($G420=0,0,AF420/AE420)</f>
        <v>0</v>
      </c>
      <c r="AG421" s="1635">
        <f>IF($G420=0,0,AG420/AE420)</f>
        <v>0.46425604832005718</v>
      </c>
      <c r="AH421" s="1635">
        <f>IF($G420=0,0,AH420/AE420)</f>
        <v>0.53574395167994282</v>
      </c>
      <c r="AI421" s="1079"/>
      <c r="AJ421" s="1075" t="s">
        <v>637</v>
      </c>
      <c r="AK421" s="1076"/>
      <c r="AL421" s="1076"/>
      <c r="AM421" s="1635">
        <f>AN421+AO421+AP421</f>
        <v>1</v>
      </c>
      <c r="AN421" s="1635">
        <f>IF($G420=0,0,AN420/AM420)</f>
        <v>0</v>
      </c>
      <c r="AO421" s="1635">
        <f>IF($G420=0,0,AO420/AM420)</f>
        <v>0.46425604832005718</v>
      </c>
      <c r="AP421" s="1635">
        <f>IF($G420=0,0,AP420/AM420)</f>
        <v>0.53574395167994282</v>
      </c>
      <c r="AQ421" s="1079"/>
      <c r="AR421" s="1075" t="s">
        <v>637</v>
      </c>
      <c r="AS421" s="1076"/>
      <c r="AT421" s="1076"/>
      <c r="AU421" s="1635">
        <f>AV421+AW421+AX421</f>
        <v>1</v>
      </c>
      <c r="AV421" s="1635">
        <f>IF($G420=0,0,AV420/AU420)</f>
        <v>0</v>
      </c>
      <c r="AW421" s="1635">
        <f>IF($G420=0,0,AW420/AU420)</f>
        <v>0.46425604832005718</v>
      </c>
      <c r="AX421" s="1635">
        <f>IF($G420=0,0,AX420/AU420)</f>
        <v>0.53574395167994282</v>
      </c>
      <c r="AY421" s="1079"/>
      <c r="AZ421" s="1075" t="s">
        <v>637</v>
      </c>
      <c r="BA421" s="1076"/>
      <c r="BB421" s="1076"/>
      <c r="BC421" s="1635">
        <f>BD421+BE421+BF421</f>
        <v>1</v>
      </c>
      <c r="BD421" s="1635">
        <f>IF($G420=0,0,BD420/BC420)</f>
        <v>0</v>
      </c>
      <c r="BE421" s="1635">
        <f>IF($G420=0,0,BE420/BC420)</f>
        <v>0.46425604832005718</v>
      </c>
      <c r="BF421" s="1635">
        <f>IF($G420=0,0,BF420/BC420)</f>
        <v>0.53574395167994282</v>
      </c>
      <c r="BG421" s="1079"/>
      <c r="BH421" s="1075" t="s">
        <v>637</v>
      </c>
      <c r="BI421" s="1076"/>
      <c r="BJ421" s="1076"/>
      <c r="BK421" s="1635">
        <f>BL421+BM421+BN421</f>
        <v>1</v>
      </c>
      <c r="BL421" s="1635">
        <f>IF($G420=0,0,BL420/BK420)</f>
        <v>0</v>
      </c>
      <c r="BM421" s="1635">
        <f>IF($G420=0,0,BM420/BK420)</f>
        <v>0.46425604832005718</v>
      </c>
      <c r="BN421" s="1635">
        <f>IF($G420=0,0,BN420/BK420)</f>
        <v>0.53574395167994282</v>
      </c>
      <c r="BO421" s="1079"/>
      <c r="BP421" s="1075" t="s">
        <v>637</v>
      </c>
      <c r="BQ421" s="1076"/>
      <c r="BR421" s="1076"/>
      <c r="BS421" s="1635">
        <f>BT421+BU421+BV421</f>
        <v>1</v>
      </c>
      <c r="BT421" s="1635">
        <f>IF($G420=0,0,BT420/BS420)</f>
        <v>0</v>
      </c>
      <c r="BU421" s="1635">
        <f>IF($G420=0,0,BU420/BS420)</f>
        <v>0.46425604832005718</v>
      </c>
      <c r="BV421" s="1635">
        <f>IF($G420=0,0,BV420/BS420)</f>
        <v>0.53574395167994282</v>
      </c>
      <c r="BW421" s="1079"/>
      <c r="BX421" s="1075" t="s">
        <v>637</v>
      </c>
      <c r="BY421" s="1076"/>
      <c r="BZ421" s="1076"/>
      <c r="CA421" s="1635">
        <f>CB421+CC421+CD421</f>
        <v>1</v>
      </c>
      <c r="CB421" s="1635">
        <f>IF($G420=0,0,CB420/CA420)</f>
        <v>0</v>
      </c>
      <c r="CC421" s="1635">
        <f>IF($G420=0,0,CC420/CA420)</f>
        <v>0.46425604832005718</v>
      </c>
      <c r="CD421" s="1635">
        <f>IF($G420=0,0,CD420/CA420)</f>
        <v>0.53574395167994282</v>
      </c>
      <c r="CE421" s="1079"/>
      <c r="CF421" s="1075" t="s">
        <v>637</v>
      </c>
      <c r="CG421" s="1076"/>
      <c r="CH421" s="1076"/>
      <c r="CI421" s="1635">
        <f>CJ421+CK421+CL421</f>
        <v>1</v>
      </c>
      <c r="CJ421" s="1635">
        <f>IF($G420=0,0,CJ420/CI420)</f>
        <v>0</v>
      </c>
      <c r="CK421" s="1635">
        <f>IF($G420=0,0,CK420/CI420)</f>
        <v>0.46425604832005718</v>
      </c>
      <c r="CL421" s="1635">
        <f>IF($G420=0,0,CL420/CI420)</f>
        <v>0.53574395167994282</v>
      </c>
      <c r="CM421" s="1079"/>
      <c r="CN421" s="1075" t="s">
        <v>637</v>
      </c>
      <c r="CO421" s="1076"/>
      <c r="CP421" s="1076"/>
      <c r="CQ421" s="1635">
        <f>CR421+CS421+CT421</f>
        <v>1</v>
      </c>
      <c r="CR421" s="1635">
        <f>IF($G420=0,0,CR420/CQ420)</f>
        <v>0</v>
      </c>
      <c r="CS421" s="1635">
        <f>IF($G420=0,0,CS420/CQ420)</f>
        <v>0.46425604832005718</v>
      </c>
      <c r="CT421" s="1635">
        <f>IF($G420=0,0,CT420/CQ420)</f>
        <v>0.53574395167994282</v>
      </c>
      <c r="CU421" s="1079"/>
      <c r="CV421" s="1075" t="s">
        <v>637</v>
      </c>
      <c r="CW421" s="1076"/>
      <c r="CX421" s="1076"/>
      <c r="CY421" s="1635">
        <f>CZ421+DA421+DB421</f>
        <v>1</v>
      </c>
      <c r="CZ421" s="1635">
        <f>IF($G420=0,0,CZ420/CY420)</f>
        <v>0</v>
      </c>
      <c r="DA421" s="1635">
        <f>IF($G420=0,0,DA420/CY420)</f>
        <v>0.46425604832005718</v>
      </c>
      <c r="DB421" s="1635">
        <f>IF($G420=0,0,DB420/CY420)</f>
        <v>0.53574395167994282</v>
      </c>
      <c r="DC421" s="1079"/>
      <c r="DD421" s="1075" t="s">
        <v>637</v>
      </c>
      <c r="DE421" s="1076"/>
      <c r="DF421" s="1076"/>
      <c r="DG421" s="1635">
        <f>DH421+DI421+DJ421</f>
        <v>1</v>
      </c>
      <c r="DH421" s="1635">
        <f>IF($G420=0,0,DH420/DG420)</f>
        <v>0</v>
      </c>
      <c r="DI421" s="1635">
        <f>IF($G420=0,0,DI420/DG420)</f>
        <v>0.46425604832005718</v>
      </c>
      <c r="DJ421" s="1635">
        <f>IF($G420=0,0,DJ420/DG420)</f>
        <v>0.53574395167994282</v>
      </c>
      <c r="DK421" s="1079"/>
      <c r="DL421" s="1075" t="s">
        <v>637</v>
      </c>
      <c r="DM421" s="1076"/>
      <c r="DN421" s="1076"/>
      <c r="DO421" s="1635">
        <f>DP421+DQ421+DR421</f>
        <v>1</v>
      </c>
      <c r="DP421" s="1635">
        <f>IF($G420=0,0,DP420/DO420)</f>
        <v>0</v>
      </c>
      <c r="DQ421" s="1635">
        <f>IF($G420=0,0,DQ420/DO420)</f>
        <v>0.46425604832005718</v>
      </c>
      <c r="DR421" s="1635">
        <f>IF($G420=0,0,DR420/DO420)</f>
        <v>0.53574395167994282</v>
      </c>
      <c r="DS421" s="1079"/>
      <c r="DT421" s="1075" t="s">
        <v>637</v>
      </c>
      <c r="DU421" s="1076"/>
      <c r="DV421" s="1076"/>
      <c r="DW421" s="1635">
        <f>DX421+DY421+DZ421</f>
        <v>1</v>
      </c>
      <c r="DX421" s="1635">
        <f>IF($G420=0,0,DX420/DW420)</f>
        <v>0</v>
      </c>
      <c r="DY421" s="1635">
        <f>IF($G420=0,0,DY420/DW420)</f>
        <v>0.46425604832005718</v>
      </c>
      <c r="DZ421" s="1635">
        <f>IF($G420=0,0,DZ420/DW420)</f>
        <v>0.53574395167994282</v>
      </c>
      <c r="EA421" s="1079"/>
      <c r="EB421" s="1075" t="s">
        <v>637</v>
      </c>
      <c r="EC421" s="1076"/>
      <c r="ED421" s="1076"/>
      <c r="EE421" s="1635">
        <f>EF421+EG421+EH421</f>
        <v>1</v>
      </c>
      <c r="EF421" s="1635">
        <f>IF($G420=0,0,EF420/EE420)</f>
        <v>0</v>
      </c>
      <c r="EG421" s="1635">
        <f>IF($G420=0,0,EG420/EE420)</f>
        <v>0.46425604832005718</v>
      </c>
      <c r="EH421" s="1635">
        <f>IF($G420=0,0,EH420/EE420)</f>
        <v>0.53574395167994282</v>
      </c>
      <c r="EI421" s="1079"/>
      <c r="EJ421" s="1075" t="s">
        <v>637</v>
      </c>
      <c r="EK421" s="1076"/>
      <c r="EL421" s="1076"/>
      <c r="EM421" s="1635">
        <f>EN421+EO421+EP421</f>
        <v>1</v>
      </c>
      <c r="EN421" s="1635">
        <f>IF($G420=0,0,EN420/EM420)</f>
        <v>0</v>
      </c>
      <c r="EO421" s="1635">
        <f>IF($G420=0,0,EO420/EM420)</f>
        <v>0.46425604832005718</v>
      </c>
      <c r="EP421" s="1635">
        <f>IF($G420=0,0,EP420/EM420)</f>
        <v>0.53574395167994282</v>
      </c>
      <c r="EQ421" s="1079"/>
      <c r="ER421" s="1075" t="s">
        <v>637</v>
      </c>
      <c r="ES421" s="1076"/>
      <c r="ET421" s="1076"/>
      <c r="EU421" s="1635">
        <f>EV421+EW421+EX421</f>
        <v>1</v>
      </c>
      <c r="EV421" s="1635">
        <f>IF($G420=0,0,EV420/EU420)</f>
        <v>0</v>
      </c>
      <c r="EW421" s="1635">
        <f>IF($G420=0,0,EW420/EU420)</f>
        <v>0.46425604832005718</v>
      </c>
      <c r="EX421" s="1635">
        <f>IF($G420=0,0,EX420/EU420)</f>
        <v>0.53574395167994282</v>
      </c>
      <c r="EY421" s="1079"/>
      <c r="EZ421" s="1075" t="s">
        <v>637</v>
      </c>
      <c r="FA421" s="1076"/>
      <c r="FB421" s="1076"/>
      <c r="FC421" s="1635">
        <f>FD421+FE421+FF421</f>
        <v>1</v>
      </c>
      <c r="FD421" s="1635">
        <f>IF($G420=0,0,FD420/FC420)</f>
        <v>0</v>
      </c>
      <c r="FE421" s="1635">
        <f>IF($G420=0,0,FE420/FC420)</f>
        <v>0.46425604832005718</v>
      </c>
      <c r="FF421" s="1635">
        <f>IF($G420=0,0,FF420/FC420)</f>
        <v>0.53574395167994282</v>
      </c>
      <c r="FG421" s="1079"/>
      <c r="FH421" s="1075" t="s">
        <v>637</v>
      </c>
      <c r="FI421" s="1076"/>
      <c r="FJ421" s="1076"/>
      <c r="FK421" s="1635">
        <f>FL421+FM421+FN421</f>
        <v>1</v>
      </c>
      <c r="FL421" s="1635">
        <f>IF($G420=0,0,FL420/FK420)</f>
        <v>0</v>
      </c>
      <c r="FM421" s="1635">
        <f>IF($G420=0,0,FM420/FK420)</f>
        <v>0.46425604832005718</v>
      </c>
      <c r="FN421" s="1635">
        <f>IF($G420=0,0,FN420/FK420)</f>
        <v>0.53574395167994282</v>
      </c>
      <c r="FO421" s="1079"/>
    </row>
    <row r="422" spans="2:171" x14ac:dyDescent="0.25">
      <c r="K422" s="1074"/>
      <c r="S422" s="1074"/>
      <c r="AA422" s="1074"/>
      <c r="AI422" s="1074"/>
      <c r="AQ422" s="1074"/>
      <c r="AY422" s="1074"/>
      <c r="BG422" s="1074"/>
      <c r="BO422" s="1074"/>
      <c r="BW422" s="1074"/>
      <c r="CE422" s="1074"/>
      <c r="CM422" s="1074"/>
      <c r="CU422" s="1074"/>
      <c r="DC422" s="1074"/>
      <c r="DK422" s="1074"/>
      <c r="DS422" s="1074"/>
      <c r="EA422" s="1074"/>
      <c r="EI422" s="1074"/>
      <c r="EQ422" s="1074"/>
      <c r="EY422" s="1074"/>
      <c r="FG422" s="1074"/>
      <c r="FO422" s="1074"/>
    </row>
    <row r="423" spans="2:171" x14ac:dyDescent="0.25">
      <c r="E423" s="302" t="s">
        <v>521</v>
      </c>
      <c r="G423" s="303" t="s">
        <v>104</v>
      </c>
      <c r="H423" s="303" t="s">
        <v>105</v>
      </c>
      <c r="I423" s="303" t="s">
        <v>106</v>
      </c>
      <c r="J423" s="304" t="s">
        <v>512</v>
      </c>
      <c r="K423" s="1079"/>
      <c r="O423" s="303" t="s">
        <v>104</v>
      </c>
      <c r="P423" s="303" t="s">
        <v>105</v>
      </c>
      <c r="Q423" s="303" t="s">
        <v>106</v>
      </c>
      <c r="R423" s="304" t="s">
        <v>512</v>
      </c>
      <c r="S423" s="1079"/>
      <c r="W423" s="303" t="s">
        <v>104</v>
      </c>
      <c r="X423" s="303" t="s">
        <v>105</v>
      </c>
      <c r="Y423" s="303" t="s">
        <v>106</v>
      </c>
      <c r="Z423" s="304" t="s">
        <v>512</v>
      </c>
      <c r="AA423" s="1079"/>
      <c r="AE423" s="303" t="s">
        <v>104</v>
      </c>
      <c r="AF423" s="303" t="s">
        <v>105</v>
      </c>
      <c r="AG423" s="303" t="s">
        <v>106</v>
      </c>
      <c r="AH423" s="304" t="s">
        <v>512</v>
      </c>
      <c r="AI423" s="1079"/>
      <c r="AM423" s="303" t="s">
        <v>104</v>
      </c>
      <c r="AN423" s="303" t="s">
        <v>105</v>
      </c>
      <c r="AO423" s="303" t="s">
        <v>106</v>
      </c>
      <c r="AP423" s="304" t="s">
        <v>512</v>
      </c>
      <c r="AQ423" s="1079"/>
      <c r="AU423" s="303" t="s">
        <v>104</v>
      </c>
      <c r="AV423" s="303" t="s">
        <v>105</v>
      </c>
      <c r="AW423" s="303" t="s">
        <v>106</v>
      </c>
      <c r="AX423" s="304" t="s">
        <v>512</v>
      </c>
      <c r="AY423" s="1079"/>
      <c r="BC423" s="303" t="s">
        <v>104</v>
      </c>
      <c r="BD423" s="303" t="s">
        <v>105</v>
      </c>
      <c r="BE423" s="303" t="s">
        <v>106</v>
      </c>
      <c r="BF423" s="304" t="s">
        <v>512</v>
      </c>
      <c r="BG423" s="1079"/>
      <c r="BK423" s="303" t="s">
        <v>104</v>
      </c>
      <c r="BL423" s="303" t="s">
        <v>105</v>
      </c>
      <c r="BM423" s="303" t="s">
        <v>106</v>
      </c>
      <c r="BN423" s="304" t="s">
        <v>512</v>
      </c>
      <c r="BO423" s="1079"/>
      <c r="BS423" s="303" t="s">
        <v>104</v>
      </c>
      <c r="BT423" s="303" t="s">
        <v>105</v>
      </c>
      <c r="BU423" s="303" t="s">
        <v>106</v>
      </c>
      <c r="BV423" s="304" t="s">
        <v>512</v>
      </c>
      <c r="BW423" s="1079"/>
      <c r="CA423" s="303" t="s">
        <v>104</v>
      </c>
      <c r="CB423" s="303" t="s">
        <v>105</v>
      </c>
      <c r="CC423" s="303" t="s">
        <v>106</v>
      </c>
      <c r="CD423" s="304" t="s">
        <v>512</v>
      </c>
      <c r="CE423" s="1079"/>
      <c r="CI423" s="303" t="s">
        <v>104</v>
      </c>
      <c r="CJ423" s="303" t="s">
        <v>105</v>
      </c>
      <c r="CK423" s="303" t="s">
        <v>106</v>
      </c>
      <c r="CL423" s="304" t="s">
        <v>512</v>
      </c>
      <c r="CM423" s="1079"/>
      <c r="CQ423" s="303" t="s">
        <v>104</v>
      </c>
      <c r="CR423" s="303" t="s">
        <v>105</v>
      </c>
      <c r="CS423" s="303" t="s">
        <v>106</v>
      </c>
      <c r="CT423" s="304" t="s">
        <v>512</v>
      </c>
      <c r="CU423" s="1079"/>
      <c r="CY423" s="303" t="s">
        <v>104</v>
      </c>
      <c r="CZ423" s="303" t="s">
        <v>105</v>
      </c>
      <c r="DA423" s="303" t="s">
        <v>106</v>
      </c>
      <c r="DB423" s="304" t="s">
        <v>512</v>
      </c>
      <c r="DC423" s="1079"/>
      <c r="DG423" s="303" t="s">
        <v>104</v>
      </c>
      <c r="DH423" s="303" t="s">
        <v>105</v>
      </c>
      <c r="DI423" s="303" t="s">
        <v>106</v>
      </c>
      <c r="DJ423" s="304" t="s">
        <v>512</v>
      </c>
      <c r="DK423" s="1079"/>
      <c r="DO423" s="303" t="s">
        <v>104</v>
      </c>
      <c r="DP423" s="303" t="s">
        <v>105</v>
      </c>
      <c r="DQ423" s="303" t="s">
        <v>106</v>
      </c>
      <c r="DR423" s="304" t="s">
        <v>512</v>
      </c>
      <c r="DS423" s="1079"/>
      <c r="DW423" s="303" t="s">
        <v>104</v>
      </c>
      <c r="DX423" s="303" t="s">
        <v>105</v>
      </c>
      <c r="DY423" s="303" t="s">
        <v>106</v>
      </c>
      <c r="DZ423" s="304" t="s">
        <v>512</v>
      </c>
      <c r="EA423" s="1079"/>
      <c r="EE423" s="303" t="s">
        <v>104</v>
      </c>
      <c r="EF423" s="303" t="s">
        <v>105</v>
      </c>
      <c r="EG423" s="303" t="s">
        <v>106</v>
      </c>
      <c r="EH423" s="304" t="s">
        <v>512</v>
      </c>
      <c r="EI423" s="1079"/>
      <c r="EM423" s="303" t="s">
        <v>104</v>
      </c>
      <c r="EN423" s="303" t="s">
        <v>105</v>
      </c>
      <c r="EO423" s="303" t="s">
        <v>106</v>
      </c>
      <c r="EP423" s="304" t="s">
        <v>512</v>
      </c>
      <c r="EQ423" s="1079"/>
      <c r="EU423" s="303" t="s">
        <v>104</v>
      </c>
      <c r="EV423" s="303" t="s">
        <v>105</v>
      </c>
      <c r="EW423" s="303" t="s">
        <v>106</v>
      </c>
      <c r="EX423" s="304" t="s">
        <v>512</v>
      </c>
      <c r="EY423" s="1079"/>
      <c r="FC423" s="303" t="s">
        <v>104</v>
      </c>
      <c r="FD423" s="303" t="s">
        <v>105</v>
      </c>
      <c r="FE423" s="303" t="s">
        <v>106</v>
      </c>
      <c r="FF423" s="304" t="s">
        <v>512</v>
      </c>
      <c r="FG423" s="1079"/>
      <c r="FK423" s="303" t="s">
        <v>104</v>
      </c>
      <c r="FL423" s="303" t="s">
        <v>105</v>
      </c>
      <c r="FM423" s="303" t="s">
        <v>106</v>
      </c>
      <c r="FN423" s="304" t="s">
        <v>512</v>
      </c>
      <c r="FO423" s="1079"/>
    </row>
    <row r="424" spans="2:171" x14ac:dyDescent="0.25">
      <c r="C424" s="108" t="s">
        <v>121</v>
      </c>
      <c r="D424" s="1072"/>
      <c r="E424" s="905" t="s">
        <v>393</v>
      </c>
      <c r="G424" s="891">
        <f>G403</f>
        <v>3295838980.7862144</v>
      </c>
      <c r="H424" s="891">
        <f t="shared" ref="H424:J425" si="1566">H403</f>
        <v>0</v>
      </c>
      <c r="I424" s="891">
        <f t="shared" si="1566"/>
        <v>0</v>
      </c>
      <c r="J424" s="891">
        <f t="shared" si="1566"/>
        <v>3295838980.7862144</v>
      </c>
      <c r="K424" s="1074">
        <f t="shared" ref="K424:K429" si="1567">IF($E424="DIRECT",0,1)</f>
        <v>1</v>
      </c>
      <c r="L424" s="1072"/>
      <c r="N424" s="1073"/>
      <c r="O424" s="891">
        <f>O403</f>
        <v>3295838980.7862144</v>
      </c>
      <c r="P424" s="891">
        <f t="shared" ref="P424:R424" si="1568">P403</f>
        <v>0</v>
      </c>
      <c r="Q424" s="891">
        <f t="shared" si="1568"/>
        <v>3295838980.7862144</v>
      </c>
      <c r="R424" s="891">
        <f t="shared" si="1568"/>
        <v>0</v>
      </c>
      <c r="S424" s="1074"/>
      <c r="T424" s="1072"/>
      <c r="V424" s="1073"/>
      <c r="W424" s="891">
        <f>W403</f>
        <v>3295838980.7862144</v>
      </c>
      <c r="X424" s="891">
        <f t="shared" ref="X424:Z424" si="1569">X403</f>
        <v>0</v>
      </c>
      <c r="Y424" s="891">
        <f t="shared" si="1569"/>
        <v>3295838980.7862144</v>
      </c>
      <c r="Z424" s="891">
        <f t="shared" si="1569"/>
        <v>0</v>
      </c>
      <c r="AA424" s="1074"/>
      <c r="AB424" s="1072"/>
      <c r="AD424" s="1073"/>
      <c r="AE424" s="891">
        <f>AE403</f>
        <v>3295838980.7862144</v>
      </c>
      <c r="AF424" s="891">
        <f t="shared" ref="AF424:AH424" si="1570">AF403</f>
        <v>0</v>
      </c>
      <c r="AG424" s="891">
        <f t="shared" si="1570"/>
        <v>3295838980.7862144</v>
      </c>
      <c r="AH424" s="891">
        <f t="shared" si="1570"/>
        <v>0</v>
      </c>
      <c r="AI424" s="1074"/>
      <c r="AJ424" s="1072"/>
      <c r="AL424" s="1073"/>
      <c r="AM424" s="891">
        <f>AM403</f>
        <v>3295838980.7862144</v>
      </c>
      <c r="AN424" s="891">
        <f t="shared" ref="AN424:AP424" si="1571">AN403</f>
        <v>0</v>
      </c>
      <c r="AO424" s="891">
        <f t="shared" si="1571"/>
        <v>3295838980.7862144</v>
      </c>
      <c r="AP424" s="891">
        <f t="shared" si="1571"/>
        <v>0</v>
      </c>
      <c r="AQ424" s="1074"/>
      <c r="AR424" s="1072"/>
      <c r="AT424" s="1073"/>
      <c r="AU424" s="891">
        <f>AU403</f>
        <v>3295838980.7862144</v>
      </c>
      <c r="AV424" s="891">
        <f t="shared" ref="AV424:AX424" si="1572">AV403</f>
        <v>0</v>
      </c>
      <c r="AW424" s="891">
        <f t="shared" si="1572"/>
        <v>3295838980.7862144</v>
      </c>
      <c r="AX424" s="891">
        <f t="shared" si="1572"/>
        <v>0</v>
      </c>
      <c r="AY424" s="1074"/>
      <c r="AZ424" s="1072"/>
      <c r="BB424" s="1073"/>
      <c r="BC424" s="891">
        <f>BC403</f>
        <v>3295838980.7862144</v>
      </c>
      <c r="BD424" s="891">
        <f t="shared" ref="BD424:BF424" si="1573">BD403</f>
        <v>0</v>
      </c>
      <c r="BE424" s="891">
        <f t="shared" si="1573"/>
        <v>3295838980.7862144</v>
      </c>
      <c r="BF424" s="891">
        <f t="shared" si="1573"/>
        <v>0</v>
      </c>
      <c r="BG424" s="1074"/>
      <c r="BH424" s="1072"/>
      <c r="BJ424" s="1073"/>
      <c r="BK424" s="891">
        <f>BK403</f>
        <v>3295838980.7862144</v>
      </c>
      <c r="BL424" s="891">
        <f t="shared" ref="BL424:BN424" si="1574">BL403</f>
        <v>0</v>
      </c>
      <c r="BM424" s="891">
        <f t="shared" si="1574"/>
        <v>3295838980.7862144</v>
      </c>
      <c r="BN424" s="891">
        <f t="shared" si="1574"/>
        <v>0</v>
      </c>
      <c r="BO424" s="1074"/>
      <c r="BP424" s="1072"/>
      <c r="BR424" s="1073"/>
      <c r="BS424" s="891">
        <f>BS403</f>
        <v>3295838980.7862144</v>
      </c>
      <c r="BT424" s="891">
        <f t="shared" ref="BT424:BV424" si="1575">BT403</f>
        <v>0</v>
      </c>
      <c r="BU424" s="891">
        <f t="shared" si="1575"/>
        <v>3295838980.7862144</v>
      </c>
      <c r="BV424" s="891">
        <f t="shared" si="1575"/>
        <v>0</v>
      </c>
      <c r="BW424" s="1074"/>
      <c r="BX424" s="1072"/>
      <c r="BZ424" s="1073"/>
      <c r="CA424" s="891">
        <f>CA403</f>
        <v>3295838980.7862144</v>
      </c>
      <c r="CB424" s="891">
        <f t="shared" ref="CB424:CD424" si="1576">CB403</f>
        <v>0</v>
      </c>
      <c r="CC424" s="891">
        <f t="shared" si="1576"/>
        <v>3295838980.7862144</v>
      </c>
      <c r="CD424" s="891">
        <f t="shared" si="1576"/>
        <v>0</v>
      </c>
      <c r="CE424" s="1074"/>
      <c r="CF424" s="1072"/>
      <c r="CH424" s="1073"/>
      <c r="CI424" s="891">
        <f>CI403</f>
        <v>3295838980.7862144</v>
      </c>
      <c r="CJ424" s="891">
        <f t="shared" ref="CJ424:CL424" si="1577">CJ403</f>
        <v>0</v>
      </c>
      <c r="CK424" s="891">
        <f t="shared" si="1577"/>
        <v>3295838980.7862144</v>
      </c>
      <c r="CL424" s="891">
        <f t="shared" si="1577"/>
        <v>0</v>
      </c>
      <c r="CM424" s="1074"/>
      <c r="CN424" s="1072"/>
      <c r="CP424" s="1073"/>
      <c r="CQ424" s="891">
        <f>CQ403</f>
        <v>3295838980.7862144</v>
      </c>
      <c r="CR424" s="891">
        <f t="shared" ref="CR424:CT424" si="1578">CR403</f>
        <v>0</v>
      </c>
      <c r="CS424" s="891">
        <f t="shared" si="1578"/>
        <v>3295838980.7862144</v>
      </c>
      <c r="CT424" s="891">
        <f t="shared" si="1578"/>
        <v>0</v>
      </c>
      <c r="CU424" s="1074"/>
      <c r="CV424" s="1072"/>
      <c r="CX424" s="1073"/>
      <c r="CY424" s="891">
        <f>CY403</f>
        <v>3295838980.7862144</v>
      </c>
      <c r="CZ424" s="891">
        <f t="shared" ref="CZ424:DB424" si="1579">CZ403</f>
        <v>0</v>
      </c>
      <c r="DA424" s="891">
        <f t="shared" si="1579"/>
        <v>3295838980.7862144</v>
      </c>
      <c r="DB424" s="891">
        <f t="shared" si="1579"/>
        <v>0</v>
      </c>
      <c r="DC424" s="1074"/>
      <c r="DD424" s="1072"/>
      <c r="DF424" s="1073"/>
      <c r="DG424" s="891">
        <f>DG403</f>
        <v>3295838980.7862144</v>
      </c>
      <c r="DH424" s="891">
        <f t="shared" ref="DH424:DJ424" si="1580">DH403</f>
        <v>0</v>
      </c>
      <c r="DI424" s="891">
        <f t="shared" si="1580"/>
        <v>3295838980.7862144</v>
      </c>
      <c r="DJ424" s="891">
        <f t="shared" si="1580"/>
        <v>0</v>
      </c>
      <c r="DK424" s="1074"/>
      <c r="DL424" s="1072"/>
      <c r="DN424" s="1073"/>
      <c r="DO424" s="891">
        <f>DO403</f>
        <v>3295838980.7862144</v>
      </c>
      <c r="DP424" s="891">
        <f t="shared" ref="DP424:DR424" si="1581">DP403</f>
        <v>0</v>
      </c>
      <c r="DQ424" s="891">
        <f t="shared" si="1581"/>
        <v>3295838980.7862144</v>
      </c>
      <c r="DR424" s="891">
        <f t="shared" si="1581"/>
        <v>0</v>
      </c>
      <c r="DS424" s="1074"/>
      <c r="DT424" s="1072"/>
      <c r="DV424" s="1073"/>
      <c r="DW424" s="891">
        <f>DW403</f>
        <v>3295838980.7862144</v>
      </c>
      <c r="DX424" s="891">
        <f t="shared" ref="DX424:DZ424" si="1582">DX403</f>
        <v>0</v>
      </c>
      <c r="DY424" s="891">
        <f t="shared" si="1582"/>
        <v>3295838980.7862144</v>
      </c>
      <c r="DZ424" s="891">
        <f t="shared" si="1582"/>
        <v>0</v>
      </c>
      <c r="EA424" s="1074"/>
      <c r="EB424" s="1072"/>
      <c r="ED424" s="1073"/>
      <c r="EE424" s="891">
        <f>EE403</f>
        <v>3295838980.7862144</v>
      </c>
      <c r="EF424" s="891">
        <f t="shared" ref="EF424:EH424" si="1583">EF403</f>
        <v>0</v>
      </c>
      <c r="EG424" s="891">
        <f t="shared" si="1583"/>
        <v>3295838980.7862144</v>
      </c>
      <c r="EH424" s="891">
        <f t="shared" si="1583"/>
        <v>0</v>
      </c>
      <c r="EI424" s="1074"/>
      <c r="EJ424" s="1072"/>
      <c r="EL424" s="1073"/>
      <c r="EM424" s="891">
        <f>EM403</f>
        <v>3295838980.7862144</v>
      </c>
      <c r="EN424" s="891">
        <f t="shared" ref="EN424:EP424" si="1584">EN403</f>
        <v>0</v>
      </c>
      <c r="EO424" s="891">
        <f t="shared" si="1584"/>
        <v>3295838980.7862144</v>
      </c>
      <c r="EP424" s="891">
        <f t="shared" si="1584"/>
        <v>0</v>
      </c>
      <c r="EQ424" s="1074"/>
      <c r="ER424" s="1072"/>
      <c r="ET424" s="1073"/>
      <c r="EU424" s="891">
        <f>EU403</f>
        <v>3295838980.7862144</v>
      </c>
      <c r="EV424" s="891">
        <f t="shared" ref="EV424:EX424" si="1585">EV403</f>
        <v>0</v>
      </c>
      <c r="EW424" s="891">
        <f t="shared" si="1585"/>
        <v>3295838980.7862144</v>
      </c>
      <c r="EX424" s="891">
        <f t="shared" si="1585"/>
        <v>0</v>
      </c>
      <c r="EY424" s="1074"/>
      <c r="EZ424" s="1072"/>
      <c r="FB424" s="1073"/>
      <c r="FC424" s="891">
        <f>FC403</f>
        <v>3295838980.7862144</v>
      </c>
      <c r="FD424" s="891">
        <f t="shared" ref="FD424:FF424" si="1586">FD403</f>
        <v>0</v>
      </c>
      <c r="FE424" s="891">
        <f t="shared" si="1586"/>
        <v>3295838980.7862144</v>
      </c>
      <c r="FF424" s="891">
        <f t="shared" si="1586"/>
        <v>0</v>
      </c>
      <c r="FG424" s="1074"/>
      <c r="FH424" s="1072"/>
      <c r="FJ424" s="1073"/>
      <c r="FK424" s="891">
        <f>FK403</f>
        <v>3295838980.7862144</v>
      </c>
      <c r="FL424" s="891">
        <f t="shared" ref="FL424:FN424" si="1587">FL403</f>
        <v>0</v>
      </c>
      <c r="FM424" s="891">
        <f t="shared" si="1587"/>
        <v>3295838980.7862144</v>
      </c>
      <c r="FN424" s="891">
        <f t="shared" si="1587"/>
        <v>0</v>
      </c>
      <c r="FO424" s="1074"/>
    </row>
    <row r="425" spans="2:171" x14ac:dyDescent="0.25">
      <c r="C425" s="108" t="s">
        <v>122</v>
      </c>
      <c r="D425" s="1072"/>
      <c r="E425" s="905" t="s">
        <v>392</v>
      </c>
      <c r="G425" s="891">
        <f>G404</f>
        <v>3803344740.5943408</v>
      </c>
      <c r="H425" s="891">
        <f t="shared" si="1566"/>
        <v>0</v>
      </c>
      <c r="I425" s="891">
        <f t="shared" si="1566"/>
        <v>0</v>
      </c>
      <c r="J425" s="891">
        <f t="shared" si="1566"/>
        <v>3803344740.5943408</v>
      </c>
      <c r="K425" s="1074">
        <f t="shared" si="1567"/>
        <v>1</v>
      </c>
      <c r="L425" s="1072"/>
      <c r="N425" s="1073"/>
      <c r="O425" s="891">
        <f>O404</f>
        <v>3803344740.5943408</v>
      </c>
      <c r="P425" s="891">
        <f t="shared" ref="P425:R425" si="1588">P404</f>
        <v>0</v>
      </c>
      <c r="Q425" s="891">
        <f t="shared" si="1588"/>
        <v>0</v>
      </c>
      <c r="R425" s="891">
        <f t="shared" si="1588"/>
        <v>3803344740.5943408</v>
      </c>
      <c r="S425" s="1074"/>
      <c r="T425" s="1072"/>
      <c r="V425" s="1073"/>
      <c r="W425" s="891">
        <f>W404</f>
        <v>3803344740.5943408</v>
      </c>
      <c r="X425" s="891">
        <f t="shared" ref="X425:Z425" si="1589">X404</f>
        <v>0</v>
      </c>
      <c r="Y425" s="891">
        <f t="shared" si="1589"/>
        <v>0</v>
      </c>
      <c r="Z425" s="891">
        <f t="shared" si="1589"/>
        <v>3803344740.5943408</v>
      </c>
      <c r="AA425" s="1074"/>
      <c r="AB425" s="1072"/>
      <c r="AD425" s="1073"/>
      <c r="AE425" s="891">
        <f>AE404</f>
        <v>3803344740.5943408</v>
      </c>
      <c r="AF425" s="891">
        <f t="shared" ref="AF425:AH425" si="1590">AF404</f>
        <v>0</v>
      </c>
      <c r="AG425" s="891">
        <f t="shared" si="1590"/>
        <v>0</v>
      </c>
      <c r="AH425" s="891">
        <f t="shared" si="1590"/>
        <v>3803344740.5943408</v>
      </c>
      <c r="AI425" s="1074"/>
      <c r="AJ425" s="1072"/>
      <c r="AL425" s="1073"/>
      <c r="AM425" s="891">
        <f>AM404</f>
        <v>3803344740.5943408</v>
      </c>
      <c r="AN425" s="891">
        <f t="shared" ref="AN425:AP425" si="1591">AN404</f>
        <v>0</v>
      </c>
      <c r="AO425" s="891">
        <f t="shared" si="1591"/>
        <v>0</v>
      </c>
      <c r="AP425" s="891">
        <f t="shared" si="1591"/>
        <v>3803344740.5943408</v>
      </c>
      <c r="AQ425" s="1074"/>
      <c r="AR425" s="1072"/>
      <c r="AT425" s="1073"/>
      <c r="AU425" s="891">
        <f>AU404</f>
        <v>3803344740.5943408</v>
      </c>
      <c r="AV425" s="891">
        <f t="shared" ref="AV425:AX425" si="1592">AV404</f>
        <v>0</v>
      </c>
      <c r="AW425" s="891">
        <f t="shared" si="1592"/>
        <v>0</v>
      </c>
      <c r="AX425" s="891">
        <f t="shared" si="1592"/>
        <v>3803344740.5943408</v>
      </c>
      <c r="AY425" s="1074"/>
      <c r="AZ425" s="1072"/>
      <c r="BB425" s="1073"/>
      <c r="BC425" s="891">
        <f>BC404</f>
        <v>3803344740.5943408</v>
      </c>
      <c r="BD425" s="891">
        <f t="shared" ref="BD425:BF425" si="1593">BD404</f>
        <v>0</v>
      </c>
      <c r="BE425" s="891">
        <f t="shared" si="1593"/>
        <v>0</v>
      </c>
      <c r="BF425" s="891">
        <f t="shared" si="1593"/>
        <v>3803344740.5943408</v>
      </c>
      <c r="BG425" s="1074"/>
      <c r="BH425" s="1072"/>
      <c r="BJ425" s="1073"/>
      <c r="BK425" s="891">
        <f>BK404</f>
        <v>3803344740.5943408</v>
      </c>
      <c r="BL425" s="891">
        <f t="shared" ref="BL425:BN425" si="1594">BL404</f>
        <v>0</v>
      </c>
      <c r="BM425" s="891">
        <f t="shared" si="1594"/>
        <v>0</v>
      </c>
      <c r="BN425" s="891">
        <f t="shared" si="1594"/>
        <v>3803344740.5943408</v>
      </c>
      <c r="BO425" s="1074"/>
      <c r="BP425" s="1072"/>
      <c r="BR425" s="1073"/>
      <c r="BS425" s="891">
        <f>BS404</f>
        <v>3803344740.5943408</v>
      </c>
      <c r="BT425" s="891">
        <f t="shared" ref="BT425:BV425" si="1595">BT404</f>
        <v>0</v>
      </c>
      <c r="BU425" s="891">
        <f t="shared" si="1595"/>
        <v>0</v>
      </c>
      <c r="BV425" s="891">
        <f t="shared" si="1595"/>
        <v>3803344740.5943408</v>
      </c>
      <c r="BW425" s="1074"/>
      <c r="BX425" s="1072"/>
      <c r="BZ425" s="1073"/>
      <c r="CA425" s="891">
        <f>CA404</f>
        <v>3803344740.5943408</v>
      </c>
      <c r="CB425" s="891">
        <f t="shared" ref="CB425:CD425" si="1596">CB404</f>
        <v>0</v>
      </c>
      <c r="CC425" s="891">
        <f t="shared" si="1596"/>
        <v>0</v>
      </c>
      <c r="CD425" s="891">
        <f t="shared" si="1596"/>
        <v>3803344740.5943408</v>
      </c>
      <c r="CE425" s="1074"/>
      <c r="CF425" s="1072"/>
      <c r="CH425" s="1073"/>
      <c r="CI425" s="891">
        <f>CI404</f>
        <v>3803344740.5943408</v>
      </c>
      <c r="CJ425" s="891">
        <f t="shared" ref="CJ425:CL425" si="1597">CJ404</f>
        <v>0</v>
      </c>
      <c r="CK425" s="891">
        <f t="shared" si="1597"/>
        <v>0</v>
      </c>
      <c r="CL425" s="891">
        <f t="shared" si="1597"/>
        <v>3803344740.5943408</v>
      </c>
      <c r="CM425" s="1074"/>
      <c r="CN425" s="1072"/>
      <c r="CP425" s="1073"/>
      <c r="CQ425" s="891">
        <f>CQ404</f>
        <v>3803344740.5943408</v>
      </c>
      <c r="CR425" s="891">
        <f t="shared" ref="CR425:CT425" si="1598">CR404</f>
        <v>0</v>
      </c>
      <c r="CS425" s="891">
        <f t="shared" si="1598"/>
        <v>0</v>
      </c>
      <c r="CT425" s="891">
        <f t="shared" si="1598"/>
        <v>3803344740.5943408</v>
      </c>
      <c r="CU425" s="1074"/>
      <c r="CV425" s="1072"/>
      <c r="CX425" s="1073"/>
      <c r="CY425" s="891">
        <f>CY404</f>
        <v>3803344740.5943408</v>
      </c>
      <c r="CZ425" s="891">
        <f t="shared" ref="CZ425:DB425" si="1599">CZ404</f>
        <v>0</v>
      </c>
      <c r="DA425" s="891">
        <f t="shared" si="1599"/>
        <v>0</v>
      </c>
      <c r="DB425" s="891">
        <f t="shared" si="1599"/>
        <v>3803344740.5943408</v>
      </c>
      <c r="DC425" s="1074"/>
      <c r="DD425" s="1072"/>
      <c r="DF425" s="1073"/>
      <c r="DG425" s="891">
        <f>DG404</f>
        <v>3803344740.5943408</v>
      </c>
      <c r="DH425" s="891">
        <f t="shared" ref="DH425:DJ425" si="1600">DH404</f>
        <v>0</v>
      </c>
      <c r="DI425" s="891">
        <f t="shared" si="1600"/>
        <v>0</v>
      </c>
      <c r="DJ425" s="891">
        <f t="shared" si="1600"/>
        <v>3803344740.5943408</v>
      </c>
      <c r="DK425" s="1074"/>
      <c r="DL425" s="1072"/>
      <c r="DN425" s="1073"/>
      <c r="DO425" s="891">
        <f>DO404</f>
        <v>3803344740.5943408</v>
      </c>
      <c r="DP425" s="891">
        <f t="shared" ref="DP425:DR425" si="1601">DP404</f>
        <v>0</v>
      </c>
      <c r="DQ425" s="891">
        <f t="shared" si="1601"/>
        <v>0</v>
      </c>
      <c r="DR425" s="891">
        <f t="shared" si="1601"/>
        <v>3803344740.5943408</v>
      </c>
      <c r="DS425" s="1074"/>
      <c r="DT425" s="1072"/>
      <c r="DV425" s="1073"/>
      <c r="DW425" s="891">
        <f>DW404</f>
        <v>3803344740.5943408</v>
      </c>
      <c r="DX425" s="891">
        <f t="shared" ref="DX425:DZ425" si="1602">DX404</f>
        <v>0</v>
      </c>
      <c r="DY425" s="891">
        <f t="shared" si="1602"/>
        <v>0</v>
      </c>
      <c r="DZ425" s="891">
        <f t="shared" si="1602"/>
        <v>3803344740.5943408</v>
      </c>
      <c r="EA425" s="1074"/>
      <c r="EB425" s="1072"/>
      <c r="ED425" s="1073"/>
      <c r="EE425" s="891">
        <f>EE404</f>
        <v>3803344740.5943408</v>
      </c>
      <c r="EF425" s="891">
        <f t="shared" ref="EF425:EH425" si="1603">EF404</f>
        <v>0</v>
      </c>
      <c r="EG425" s="891">
        <f t="shared" si="1603"/>
        <v>0</v>
      </c>
      <c r="EH425" s="891">
        <f t="shared" si="1603"/>
        <v>3803344740.5943408</v>
      </c>
      <c r="EI425" s="1074"/>
      <c r="EJ425" s="1072"/>
      <c r="EL425" s="1073"/>
      <c r="EM425" s="891">
        <f>EM404</f>
        <v>3803344740.5943408</v>
      </c>
      <c r="EN425" s="891">
        <f t="shared" ref="EN425:EP425" si="1604">EN404</f>
        <v>0</v>
      </c>
      <c r="EO425" s="891">
        <f t="shared" si="1604"/>
        <v>0</v>
      </c>
      <c r="EP425" s="891">
        <f t="shared" si="1604"/>
        <v>3803344740.5943408</v>
      </c>
      <c r="EQ425" s="1074"/>
      <c r="ER425" s="1072"/>
      <c r="ET425" s="1073"/>
      <c r="EU425" s="891">
        <f>EU404</f>
        <v>3803344740.5943408</v>
      </c>
      <c r="EV425" s="891">
        <f t="shared" ref="EV425:EX425" si="1605">EV404</f>
        <v>0</v>
      </c>
      <c r="EW425" s="891">
        <f t="shared" si="1605"/>
        <v>0</v>
      </c>
      <c r="EX425" s="891">
        <f t="shared" si="1605"/>
        <v>3803344740.5943408</v>
      </c>
      <c r="EY425" s="1074"/>
      <c r="EZ425" s="1072"/>
      <c r="FB425" s="1073"/>
      <c r="FC425" s="891">
        <f>FC404</f>
        <v>3803344740.5943408</v>
      </c>
      <c r="FD425" s="891">
        <f t="shared" ref="FD425:FF425" si="1606">FD404</f>
        <v>0</v>
      </c>
      <c r="FE425" s="891">
        <f t="shared" si="1606"/>
        <v>0</v>
      </c>
      <c r="FF425" s="891">
        <f t="shared" si="1606"/>
        <v>3803344740.5943408</v>
      </c>
      <c r="FG425" s="1074"/>
      <c r="FH425" s="1072"/>
      <c r="FJ425" s="1073"/>
      <c r="FK425" s="891">
        <f>FK404</f>
        <v>3803344740.5943408</v>
      </c>
      <c r="FL425" s="891">
        <f t="shared" ref="FL425:FN425" si="1607">FL404</f>
        <v>0</v>
      </c>
      <c r="FM425" s="891">
        <f t="shared" si="1607"/>
        <v>0</v>
      </c>
      <c r="FN425" s="891">
        <f t="shared" si="1607"/>
        <v>3803344740.5943408</v>
      </c>
      <c r="FO425" s="1074"/>
    </row>
    <row r="426" spans="2:171" x14ac:dyDescent="0.25">
      <c r="C426" s="108" t="s">
        <v>528</v>
      </c>
      <c r="D426" s="1072"/>
      <c r="E426" s="905" t="str">
        <f>E16</f>
        <v>DIST</v>
      </c>
      <c r="G426" s="891">
        <f>I410+J410</f>
        <v>0</v>
      </c>
      <c r="H426" s="891">
        <v>0</v>
      </c>
      <c r="I426" s="891">
        <f>I410</f>
        <v>0</v>
      </c>
      <c r="J426" s="891">
        <f>J410</f>
        <v>0</v>
      </c>
      <c r="K426" s="1074">
        <f t="shared" si="1567"/>
        <v>1</v>
      </c>
      <c r="L426" s="1072"/>
      <c r="N426" s="1073"/>
      <c r="O426" s="891">
        <f>Q410+R410</f>
        <v>0</v>
      </c>
      <c r="P426" s="891">
        <v>0</v>
      </c>
      <c r="Q426" s="891">
        <f>Q410</f>
        <v>0</v>
      </c>
      <c r="R426" s="891">
        <f>R410</f>
        <v>0</v>
      </c>
      <c r="S426" s="1074"/>
      <c r="T426" s="1072"/>
      <c r="V426" s="1073"/>
      <c r="W426" s="891">
        <f>Y410+Z410</f>
        <v>0</v>
      </c>
      <c r="X426" s="891">
        <v>0</v>
      </c>
      <c r="Y426" s="891">
        <f>Y410</f>
        <v>0</v>
      </c>
      <c r="Z426" s="891">
        <f>Z410</f>
        <v>0</v>
      </c>
      <c r="AA426" s="1074"/>
      <c r="AB426" s="1072"/>
      <c r="AD426" s="1073"/>
      <c r="AE426" s="891">
        <f>AG410+AH410</f>
        <v>0</v>
      </c>
      <c r="AF426" s="891">
        <v>0</v>
      </c>
      <c r="AG426" s="891">
        <f>AG410</f>
        <v>0</v>
      </c>
      <c r="AH426" s="891">
        <f>AH410</f>
        <v>0</v>
      </c>
      <c r="AI426" s="1074"/>
      <c r="AJ426" s="1072"/>
      <c r="AL426" s="1073"/>
      <c r="AM426" s="891">
        <f>AO410+AP410</f>
        <v>0</v>
      </c>
      <c r="AN426" s="891">
        <v>0</v>
      </c>
      <c r="AO426" s="891">
        <f>AO410</f>
        <v>0</v>
      </c>
      <c r="AP426" s="891">
        <f>AP410</f>
        <v>0</v>
      </c>
      <c r="AQ426" s="1074"/>
      <c r="AR426" s="1072"/>
      <c r="AT426" s="1073"/>
      <c r="AU426" s="891">
        <f>AW410+AX410</f>
        <v>0</v>
      </c>
      <c r="AV426" s="891">
        <v>0</v>
      </c>
      <c r="AW426" s="891">
        <f>AW410</f>
        <v>0</v>
      </c>
      <c r="AX426" s="891">
        <f>AX410</f>
        <v>0</v>
      </c>
      <c r="AY426" s="1074"/>
      <c r="AZ426" s="1072"/>
      <c r="BB426" s="1073"/>
      <c r="BC426" s="891">
        <f>BE410+BF410</f>
        <v>0</v>
      </c>
      <c r="BD426" s="891">
        <v>0</v>
      </c>
      <c r="BE426" s="891">
        <f>BE410</f>
        <v>0</v>
      </c>
      <c r="BF426" s="891">
        <f>BF410</f>
        <v>0</v>
      </c>
      <c r="BG426" s="1074"/>
      <c r="BH426" s="1072"/>
      <c r="BJ426" s="1073"/>
      <c r="BK426" s="891">
        <f>BM410+BN410</f>
        <v>0</v>
      </c>
      <c r="BL426" s="891">
        <v>0</v>
      </c>
      <c r="BM426" s="891">
        <f>BM410</f>
        <v>0</v>
      </c>
      <c r="BN426" s="891">
        <f>BN410</f>
        <v>0</v>
      </c>
      <c r="BO426" s="1074"/>
      <c r="BP426" s="1072"/>
      <c r="BR426" s="1073"/>
      <c r="BS426" s="891">
        <f>BU410+BV410</f>
        <v>0</v>
      </c>
      <c r="BT426" s="891">
        <v>0</v>
      </c>
      <c r="BU426" s="891">
        <f>BU410</f>
        <v>0</v>
      </c>
      <c r="BV426" s="891">
        <f>BV410</f>
        <v>0</v>
      </c>
      <c r="BW426" s="1074"/>
      <c r="BX426" s="1072"/>
      <c r="BZ426" s="1073"/>
      <c r="CA426" s="891">
        <f>CC410+CD410</f>
        <v>0</v>
      </c>
      <c r="CB426" s="891">
        <v>0</v>
      </c>
      <c r="CC426" s="891">
        <f>CC410</f>
        <v>0</v>
      </c>
      <c r="CD426" s="891">
        <f>CD410</f>
        <v>0</v>
      </c>
      <c r="CE426" s="1074"/>
      <c r="CF426" s="1072"/>
      <c r="CH426" s="1073"/>
      <c r="CI426" s="891">
        <f>CK410+CL410</f>
        <v>0</v>
      </c>
      <c r="CJ426" s="891">
        <v>0</v>
      </c>
      <c r="CK426" s="891">
        <f>CK410</f>
        <v>0</v>
      </c>
      <c r="CL426" s="891">
        <f>CL410</f>
        <v>0</v>
      </c>
      <c r="CM426" s="1074"/>
      <c r="CN426" s="1072"/>
      <c r="CP426" s="1073"/>
      <c r="CQ426" s="891">
        <f>CS410+CT410</f>
        <v>0</v>
      </c>
      <c r="CR426" s="891">
        <v>0</v>
      </c>
      <c r="CS426" s="891">
        <f>CS410</f>
        <v>0</v>
      </c>
      <c r="CT426" s="891">
        <f>CT410</f>
        <v>0</v>
      </c>
      <c r="CU426" s="1074"/>
      <c r="CV426" s="1072"/>
      <c r="CX426" s="1073"/>
      <c r="CY426" s="891">
        <f>DA410+DB410</f>
        <v>0</v>
      </c>
      <c r="CZ426" s="891">
        <v>0</v>
      </c>
      <c r="DA426" s="891">
        <f>DA410</f>
        <v>0</v>
      </c>
      <c r="DB426" s="891">
        <f>DB410</f>
        <v>0</v>
      </c>
      <c r="DC426" s="1074"/>
      <c r="DD426" s="1072"/>
      <c r="DF426" s="1073"/>
      <c r="DG426" s="891">
        <f>DI410+DJ410</f>
        <v>0</v>
      </c>
      <c r="DH426" s="891">
        <v>0</v>
      </c>
      <c r="DI426" s="891">
        <f>DI410</f>
        <v>0</v>
      </c>
      <c r="DJ426" s="891">
        <f>DJ410</f>
        <v>0</v>
      </c>
      <c r="DK426" s="1074"/>
      <c r="DL426" s="1072"/>
      <c r="DN426" s="1073"/>
      <c r="DO426" s="891">
        <f>DQ410+DR410</f>
        <v>0</v>
      </c>
      <c r="DP426" s="891">
        <v>0</v>
      </c>
      <c r="DQ426" s="891">
        <f>DQ410</f>
        <v>0</v>
      </c>
      <c r="DR426" s="891">
        <f>DR410</f>
        <v>0</v>
      </c>
      <c r="DS426" s="1074"/>
      <c r="DT426" s="1072"/>
      <c r="DV426" s="1073"/>
      <c r="DW426" s="891">
        <f>DY410+DZ410</f>
        <v>0</v>
      </c>
      <c r="DX426" s="891">
        <v>0</v>
      </c>
      <c r="DY426" s="891">
        <f>DY410</f>
        <v>0</v>
      </c>
      <c r="DZ426" s="891">
        <f>DZ410</f>
        <v>0</v>
      </c>
      <c r="EA426" s="1074"/>
      <c r="EB426" s="1072"/>
      <c r="ED426" s="1073"/>
      <c r="EE426" s="891">
        <f>EG410+EH410</f>
        <v>0</v>
      </c>
      <c r="EF426" s="891">
        <v>0</v>
      </c>
      <c r="EG426" s="891">
        <f>EG410</f>
        <v>0</v>
      </c>
      <c r="EH426" s="891">
        <f>EH410</f>
        <v>0</v>
      </c>
      <c r="EI426" s="1074"/>
      <c r="EJ426" s="1072"/>
      <c r="EL426" s="1073"/>
      <c r="EM426" s="891">
        <f>EO410+EP410</f>
        <v>0</v>
      </c>
      <c r="EN426" s="891">
        <v>0</v>
      </c>
      <c r="EO426" s="891">
        <f>EO410</f>
        <v>0</v>
      </c>
      <c r="EP426" s="891">
        <f>EP410</f>
        <v>0</v>
      </c>
      <c r="EQ426" s="1074"/>
      <c r="ER426" s="1072"/>
      <c r="ET426" s="1073"/>
      <c r="EU426" s="891">
        <f>EW410+EX410</f>
        <v>0</v>
      </c>
      <c r="EV426" s="891">
        <v>0</v>
      </c>
      <c r="EW426" s="891">
        <f>EW410</f>
        <v>0</v>
      </c>
      <c r="EX426" s="891">
        <f>EX410</f>
        <v>0</v>
      </c>
      <c r="EY426" s="1074"/>
      <c r="EZ426" s="1072"/>
      <c r="FB426" s="1073"/>
      <c r="FC426" s="891">
        <f>FE410+FF410</f>
        <v>0</v>
      </c>
      <c r="FD426" s="891">
        <v>0</v>
      </c>
      <c r="FE426" s="891">
        <f>FE410</f>
        <v>0</v>
      </c>
      <c r="FF426" s="891">
        <f>FF410</f>
        <v>0</v>
      </c>
      <c r="FG426" s="1074"/>
      <c r="FH426" s="1072"/>
      <c r="FJ426" s="1073"/>
      <c r="FK426" s="891">
        <f>FM410+FN410</f>
        <v>0</v>
      </c>
      <c r="FL426" s="891">
        <v>0</v>
      </c>
      <c r="FM426" s="891">
        <f>FM410</f>
        <v>0</v>
      </c>
      <c r="FN426" s="891">
        <f>FN410</f>
        <v>0</v>
      </c>
      <c r="FO426" s="1074"/>
    </row>
    <row r="427" spans="2:171" x14ac:dyDescent="0.25">
      <c r="C427" s="108" t="s">
        <v>529</v>
      </c>
      <c r="D427" s="1072"/>
      <c r="E427" s="905" t="str">
        <f t="shared" ref="E427:E428" si="1608">E17</f>
        <v>DIRECT</v>
      </c>
      <c r="G427" s="891">
        <f t="shared" ref="G427:G428" si="1609">I411+J411</f>
        <v>1380340.3620770171</v>
      </c>
      <c r="H427" s="891">
        <v>0</v>
      </c>
      <c r="I427" s="891">
        <f t="shared" ref="I427:J428" si="1610">I411</f>
        <v>0</v>
      </c>
      <c r="J427" s="891">
        <f t="shared" si="1610"/>
        <v>1380340.3620770171</v>
      </c>
      <c r="K427" s="1074">
        <f t="shared" si="1567"/>
        <v>0</v>
      </c>
      <c r="L427" s="1072"/>
      <c r="N427" s="1073"/>
      <c r="O427" s="891">
        <f t="shared" ref="O427:O428" si="1611">Q411+R411</f>
        <v>0</v>
      </c>
      <c r="P427" s="891">
        <v>0</v>
      </c>
      <c r="Q427" s="891">
        <f t="shared" ref="Q427:R427" si="1612">Q411</f>
        <v>0</v>
      </c>
      <c r="R427" s="891">
        <f t="shared" si="1612"/>
        <v>0</v>
      </c>
      <c r="S427" s="1074"/>
      <c r="T427" s="1072"/>
      <c r="V427" s="1073"/>
      <c r="W427" s="891">
        <f t="shared" ref="W427:W428" si="1613">Y411+Z411</f>
        <v>0</v>
      </c>
      <c r="X427" s="891">
        <v>0</v>
      </c>
      <c r="Y427" s="891">
        <f t="shared" ref="Y427:Z427" si="1614">Y411</f>
        <v>0</v>
      </c>
      <c r="Z427" s="891">
        <f t="shared" si="1614"/>
        <v>0</v>
      </c>
      <c r="AA427" s="1074"/>
      <c r="AB427" s="1072"/>
      <c r="AD427" s="1073"/>
      <c r="AE427" s="891">
        <f t="shared" ref="AE427:AE428" si="1615">AG411+AH411</f>
        <v>0</v>
      </c>
      <c r="AF427" s="891">
        <v>0</v>
      </c>
      <c r="AG427" s="891">
        <f t="shared" ref="AG427:AH427" si="1616">AG411</f>
        <v>0</v>
      </c>
      <c r="AH427" s="891">
        <f t="shared" si="1616"/>
        <v>0</v>
      </c>
      <c r="AI427" s="1074"/>
      <c r="AJ427" s="1072"/>
      <c r="AL427" s="1073"/>
      <c r="AM427" s="891">
        <f t="shared" ref="AM427:AM428" si="1617">AO411+AP411</f>
        <v>0</v>
      </c>
      <c r="AN427" s="891">
        <v>0</v>
      </c>
      <c r="AO427" s="891">
        <f t="shared" ref="AO427:AP427" si="1618">AO411</f>
        <v>0</v>
      </c>
      <c r="AP427" s="891">
        <f t="shared" si="1618"/>
        <v>0</v>
      </c>
      <c r="AQ427" s="1074"/>
      <c r="AR427" s="1072"/>
      <c r="AT427" s="1073"/>
      <c r="AU427" s="891">
        <f t="shared" ref="AU427:AU428" si="1619">AW411+AX411</f>
        <v>0</v>
      </c>
      <c r="AV427" s="891">
        <v>0</v>
      </c>
      <c r="AW427" s="891">
        <f t="shared" ref="AW427:AX427" si="1620">AW411</f>
        <v>0</v>
      </c>
      <c r="AX427" s="891">
        <f t="shared" si="1620"/>
        <v>0</v>
      </c>
      <c r="AY427" s="1074"/>
      <c r="AZ427" s="1072"/>
      <c r="BB427" s="1073"/>
      <c r="BC427" s="891">
        <f t="shared" ref="BC427:BC428" si="1621">BE411+BF411</f>
        <v>0</v>
      </c>
      <c r="BD427" s="891">
        <v>0</v>
      </c>
      <c r="BE427" s="891">
        <f t="shared" ref="BE427:BF427" si="1622">BE411</f>
        <v>0</v>
      </c>
      <c r="BF427" s="891">
        <f t="shared" si="1622"/>
        <v>0</v>
      </c>
      <c r="BG427" s="1074"/>
      <c r="BH427" s="1072"/>
      <c r="BJ427" s="1073"/>
      <c r="BK427" s="891">
        <f t="shared" ref="BK427:BK428" si="1623">BM411+BN411</f>
        <v>0</v>
      </c>
      <c r="BL427" s="891">
        <v>0</v>
      </c>
      <c r="BM427" s="891">
        <f t="shared" ref="BM427:BN427" si="1624">BM411</f>
        <v>0</v>
      </c>
      <c r="BN427" s="891">
        <f t="shared" si="1624"/>
        <v>0</v>
      </c>
      <c r="BO427" s="1074"/>
      <c r="BP427" s="1072"/>
      <c r="BR427" s="1073"/>
      <c r="BS427" s="891">
        <f t="shared" ref="BS427:BS428" si="1625">BU411+BV411</f>
        <v>0</v>
      </c>
      <c r="BT427" s="891">
        <v>0</v>
      </c>
      <c r="BU427" s="891">
        <f t="shared" ref="BU427:BV427" si="1626">BU411</f>
        <v>0</v>
      </c>
      <c r="BV427" s="891">
        <f t="shared" si="1626"/>
        <v>0</v>
      </c>
      <c r="BW427" s="1074"/>
      <c r="BX427" s="1072"/>
      <c r="BZ427" s="1073"/>
      <c r="CA427" s="891">
        <f t="shared" ref="CA427:CA428" si="1627">CC411+CD411</f>
        <v>0</v>
      </c>
      <c r="CB427" s="891">
        <v>0</v>
      </c>
      <c r="CC427" s="891">
        <f t="shared" ref="CC427:CD427" si="1628">CC411</f>
        <v>0</v>
      </c>
      <c r="CD427" s="891">
        <f t="shared" si="1628"/>
        <v>0</v>
      </c>
      <c r="CE427" s="1074"/>
      <c r="CF427" s="1072"/>
      <c r="CH427" s="1073"/>
      <c r="CI427" s="891">
        <f t="shared" ref="CI427:CI428" si="1629">CK411+CL411</f>
        <v>0</v>
      </c>
      <c r="CJ427" s="891">
        <v>0</v>
      </c>
      <c r="CK427" s="891">
        <f t="shared" ref="CK427:CL427" si="1630">CK411</f>
        <v>0</v>
      </c>
      <c r="CL427" s="891">
        <f t="shared" si="1630"/>
        <v>0</v>
      </c>
      <c r="CM427" s="1074"/>
      <c r="CN427" s="1072"/>
      <c r="CP427" s="1073"/>
      <c r="CQ427" s="891">
        <f t="shared" ref="CQ427:CQ428" si="1631">CS411+CT411</f>
        <v>0</v>
      </c>
      <c r="CR427" s="891">
        <v>0</v>
      </c>
      <c r="CS427" s="891">
        <f t="shared" ref="CS427:CT427" si="1632">CS411</f>
        <v>0</v>
      </c>
      <c r="CT427" s="891">
        <f t="shared" si="1632"/>
        <v>0</v>
      </c>
      <c r="CU427" s="1074"/>
      <c r="CV427" s="1072"/>
      <c r="CX427" s="1073"/>
      <c r="CY427" s="891">
        <f t="shared" ref="CY427:CY428" si="1633">DA411+DB411</f>
        <v>0</v>
      </c>
      <c r="CZ427" s="891">
        <v>0</v>
      </c>
      <c r="DA427" s="891">
        <f t="shared" ref="DA427:DB427" si="1634">DA411</f>
        <v>0</v>
      </c>
      <c r="DB427" s="891">
        <f t="shared" si="1634"/>
        <v>0</v>
      </c>
      <c r="DC427" s="1074"/>
      <c r="DD427" s="1072"/>
      <c r="DF427" s="1073"/>
      <c r="DG427" s="891">
        <f t="shared" ref="DG427:DG428" si="1635">DI411+DJ411</f>
        <v>0</v>
      </c>
      <c r="DH427" s="891">
        <v>0</v>
      </c>
      <c r="DI427" s="891">
        <f t="shared" ref="DI427:DJ427" si="1636">DI411</f>
        <v>0</v>
      </c>
      <c r="DJ427" s="891">
        <f t="shared" si="1636"/>
        <v>0</v>
      </c>
      <c r="DK427" s="1074"/>
      <c r="DL427" s="1072"/>
      <c r="DN427" s="1073"/>
      <c r="DO427" s="891">
        <f t="shared" ref="DO427:DO428" si="1637">DQ411+DR411</f>
        <v>0</v>
      </c>
      <c r="DP427" s="891">
        <v>0</v>
      </c>
      <c r="DQ427" s="891">
        <f t="shared" ref="DQ427:DR427" si="1638">DQ411</f>
        <v>0</v>
      </c>
      <c r="DR427" s="891">
        <f t="shared" si="1638"/>
        <v>0</v>
      </c>
      <c r="DS427" s="1074"/>
      <c r="DT427" s="1072"/>
      <c r="DV427" s="1073"/>
      <c r="DW427" s="891">
        <f t="shared" ref="DW427:DW428" si="1639">DY411+DZ411</f>
        <v>0</v>
      </c>
      <c r="DX427" s="891">
        <v>0</v>
      </c>
      <c r="DY427" s="891">
        <f t="shared" ref="DY427:DZ427" si="1640">DY411</f>
        <v>0</v>
      </c>
      <c r="DZ427" s="891">
        <f t="shared" si="1640"/>
        <v>0</v>
      </c>
      <c r="EA427" s="1074"/>
      <c r="EB427" s="1072"/>
      <c r="ED427" s="1073"/>
      <c r="EE427" s="891">
        <f t="shared" ref="EE427:EE428" si="1641">EG411+EH411</f>
        <v>0</v>
      </c>
      <c r="EF427" s="891">
        <v>0</v>
      </c>
      <c r="EG427" s="891">
        <f t="shared" ref="EG427:EH427" si="1642">EG411</f>
        <v>0</v>
      </c>
      <c r="EH427" s="891">
        <f t="shared" si="1642"/>
        <v>0</v>
      </c>
      <c r="EI427" s="1074"/>
      <c r="EJ427" s="1072"/>
      <c r="EL427" s="1073"/>
      <c r="EM427" s="891">
        <f t="shared" ref="EM427:EM428" si="1643">EO411+EP411</f>
        <v>0</v>
      </c>
      <c r="EN427" s="891">
        <v>0</v>
      </c>
      <c r="EO427" s="891">
        <f t="shared" ref="EO427:EP427" si="1644">EO411</f>
        <v>0</v>
      </c>
      <c r="EP427" s="891">
        <f t="shared" si="1644"/>
        <v>0</v>
      </c>
      <c r="EQ427" s="1074"/>
      <c r="ER427" s="1072"/>
      <c r="ET427" s="1073"/>
      <c r="EU427" s="891">
        <f t="shared" ref="EU427:EU428" si="1645">EW411+EX411</f>
        <v>0</v>
      </c>
      <c r="EV427" s="891">
        <v>0</v>
      </c>
      <c r="EW427" s="891">
        <f t="shared" ref="EW427:EX427" si="1646">EW411</f>
        <v>0</v>
      </c>
      <c r="EX427" s="891">
        <f t="shared" si="1646"/>
        <v>0</v>
      </c>
      <c r="EY427" s="1074"/>
      <c r="EZ427" s="1072"/>
      <c r="FB427" s="1073"/>
      <c r="FC427" s="891">
        <f t="shared" ref="FC427:FC428" si="1647">FE411+FF411</f>
        <v>0</v>
      </c>
      <c r="FD427" s="891">
        <v>0</v>
      </c>
      <c r="FE427" s="891">
        <f t="shared" ref="FE427:FF427" si="1648">FE411</f>
        <v>0</v>
      </c>
      <c r="FF427" s="891">
        <f t="shared" si="1648"/>
        <v>0</v>
      </c>
      <c r="FG427" s="1074"/>
      <c r="FH427" s="1072"/>
      <c r="FJ427" s="1073"/>
      <c r="FK427" s="891">
        <f t="shared" ref="FK427:FK428" si="1649">FM411+FN411</f>
        <v>0</v>
      </c>
      <c r="FL427" s="891">
        <v>0</v>
      </c>
      <c r="FM427" s="891">
        <f t="shared" ref="FM427:FN427" si="1650">FM411</f>
        <v>0</v>
      </c>
      <c r="FN427" s="891">
        <f t="shared" si="1650"/>
        <v>0</v>
      </c>
      <c r="FO427" s="1074"/>
    </row>
    <row r="428" spans="2:171" x14ac:dyDescent="0.25">
      <c r="C428" s="108" t="s">
        <v>543</v>
      </c>
      <c r="D428" s="1072"/>
      <c r="E428" s="905" t="str">
        <f t="shared" si="1608"/>
        <v>DIRECT</v>
      </c>
      <c r="G428" s="891">
        <f t="shared" si="1609"/>
        <v>261203218.23192942</v>
      </c>
      <c r="H428" s="891">
        <v>0</v>
      </c>
      <c r="I428" s="891">
        <f t="shared" si="1610"/>
        <v>0</v>
      </c>
      <c r="J428" s="891">
        <f t="shared" si="1610"/>
        <v>261203218.23192942</v>
      </c>
      <c r="K428" s="1074">
        <f t="shared" si="1567"/>
        <v>0</v>
      </c>
      <c r="L428" s="1072"/>
      <c r="N428" s="1073"/>
      <c r="O428" s="891">
        <f t="shared" si="1611"/>
        <v>261203218.23192942</v>
      </c>
      <c r="P428" s="891">
        <v>0</v>
      </c>
      <c r="Q428" s="891">
        <f t="shared" ref="Q428:R428" si="1651">Q412</f>
        <v>0</v>
      </c>
      <c r="R428" s="891">
        <f t="shared" si="1651"/>
        <v>261203218.23192942</v>
      </c>
      <c r="S428" s="1074"/>
      <c r="T428" s="1072"/>
      <c r="V428" s="1073"/>
      <c r="W428" s="891">
        <f t="shared" si="1613"/>
        <v>261203218.23192942</v>
      </c>
      <c r="X428" s="891">
        <v>0</v>
      </c>
      <c r="Y428" s="891">
        <f t="shared" ref="Y428:Z428" si="1652">Y412</f>
        <v>0</v>
      </c>
      <c r="Z428" s="891">
        <f t="shared" si="1652"/>
        <v>261203218.23192942</v>
      </c>
      <c r="AA428" s="1074"/>
      <c r="AB428" s="1072"/>
      <c r="AD428" s="1073"/>
      <c r="AE428" s="891">
        <f t="shared" si="1615"/>
        <v>261203218.23192942</v>
      </c>
      <c r="AF428" s="891">
        <v>0</v>
      </c>
      <c r="AG428" s="891">
        <f t="shared" ref="AG428:AH428" si="1653">AG412</f>
        <v>0</v>
      </c>
      <c r="AH428" s="891">
        <f t="shared" si="1653"/>
        <v>261203218.23192942</v>
      </c>
      <c r="AI428" s="1074"/>
      <c r="AJ428" s="1072"/>
      <c r="AL428" s="1073"/>
      <c r="AM428" s="891">
        <f t="shared" si="1617"/>
        <v>261203218.23192942</v>
      </c>
      <c r="AN428" s="891">
        <v>0</v>
      </c>
      <c r="AO428" s="891">
        <f t="shared" ref="AO428:AP428" si="1654">AO412</f>
        <v>0</v>
      </c>
      <c r="AP428" s="891">
        <f t="shared" si="1654"/>
        <v>261203218.23192942</v>
      </c>
      <c r="AQ428" s="1074"/>
      <c r="AR428" s="1072"/>
      <c r="AT428" s="1073"/>
      <c r="AU428" s="891">
        <f t="shared" si="1619"/>
        <v>261203218.23192942</v>
      </c>
      <c r="AV428" s="891">
        <v>0</v>
      </c>
      <c r="AW428" s="891">
        <f t="shared" ref="AW428:AX428" si="1655">AW412</f>
        <v>0</v>
      </c>
      <c r="AX428" s="891">
        <f t="shared" si="1655"/>
        <v>261203218.23192942</v>
      </c>
      <c r="AY428" s="1074"/>
      <c r="AZ428" s="1072"/>
      <c r="BB428" s="1073"/>
      <c r="BC428" s="891">
        <f t="shared" si="1621"/>
        <v>261203218.23192942</v>
      </c>
      <c r="BD428" s="891">
        <v>0</v>
      </c>
      <c r="BE428" s="891">
        <f t="shared" ref="BE428:BF428" si="1656">BE412</f>
        <v>0</v>
      </c>
      <c r="BF428" s="891">
        <f t="shared" si="1656"/>
        <v>261203218.23192942</v>
      </c>
      <c r="BG428" s="1074"/>
      <c r="BH428" s="1072"/>
      <c r="BJ428" s="1073"/>
      <c r="BK428" s="891">
        <f t="shared" si="1623"/>
        <v>261203218.23192942</v>
      </c>
      <c r="BL428" s="891">
        <v>0</v>
      </c>
      <c r="BM428" s="891">
        <f t="shared" ref="BM428:BN428" si="1657">BM412</f>
        <v>0</v>
      </c>
      <c r="BN428" s="891">
        <f t="shared" si="1657"/>
        <v>261203218.23192942</v>
      </c>
      <c r="BO428" s="1074"/>
      <c r="BP428" s="1072"/>
      <c r="BR428" s="1073"/>
      <c r="BS428" s="891">
        <f t="shared" si="1625"/>
        <v>261203218.23192942</v>
      </c>
      <c r="BT428" s="891">
        <v>0</v>
      </c>
      <c r="BU428" s="891">
        <f t="shared" ref="BU428:BV428" si="1658">BU412</f>
        <v>0</v>
      </c>
      <c r="BV428" s="891">
        <f t="shared" si="1658"/>
        <v>261203218.23192942</v>
      </c>
      <c r="BW428" s="1074"/>
      <c r="BX428" s="1072"/>
      <c r="BZ428" s="1073"/>
      <c r="CA428" s="891">
        <f t="shared" si="1627"/>
        <v>261203218.23192942</v>
      </c>
      <c r="CB428" s="891">
        <v>0</v>
      </c>
      <c r="CC428" s="891">
        <f t="shared" ref="CC428:CD428" si="1659">CC412</f>
        <v>0</v>
      </c>
      <c r="CD428" s="891">
        <f t="shared" si="1659"/>
        <v>261203218.23192942</v>
      </c>
      <c r="CE428" s="1074"/>
      <c r="CF428" s="1072"/>
      <c r="CH428" s="1073"/>
      <c r="CI428" s="891">
        <f t="shared" si="1629"/>
        <v>261203218.23192942</v>
      </c>
      <c r="CJ428" s="891">
        <v>0</v>
      </c>
      <c r="CK428" s="891">
        <f t="shared" ref="CK428:CL428" si="1660">CK412</f>
        <v>0</v>
      </c>
      <c r="CL428" s="891">
        <f t="shared" si="1660"/>
        <v>261203218.23192942</v>
      </c>
      <c r="CM428" s="1074"/>
      <c r="CN428" s="1072"/>
      <c r="CP428" s="1073"/>
      <c r="CQ428" s="891">
        <f t="shared" si="1631"/>
        <v>261203218.23192942</v>
      </c>
      <c r="CR428" s="891">
        <v>0</v>
      </c>
      <c r="CS428" s="891">
        <f t="shared" ref="CS428:CT428" si="1661">CS412</f>
        <v>0</v>
      </c>
      <c r="CT428" s="891">
        <f t="shared" si="1661"/>
        <v>261203218.23192942</v>
      </c>
      <c r="CU428" s="1074"/>
      <c r="CV428" s="1072"/>
      <c r="CX428" s="1073"/>
      <c r="CY428" s="891">
        <f t="shared" si="1633"/>
        <v>261203218.23192942</v>
      </c>
      <c r="CZ428" s="891">
        <v>0</v>
      </c>
      <c r="DA428" s="891">
        <f t="shared" ref="DA428:DB428" si="1662">DA412</f>
        <v>0</v>
      </c>
      <c r="DB428" s="891">
        <f t="shared" si="1662"/>
        <v>261203218.23192942</v>
      </c>
      <c r="DC428" s="1074"/>
      <c r="DD428" s="1072"/>
      <c r="DF428" s="1073"/>
      <c r="DG428" s="891">
        <f t="shared" si="1635"/>
        <v>261203218.23192942</v>
      </c>
      <c r="DH428" s="891">
        <v>0</v>
      </c>
      <c r="DI428" s="891">
        <f t="shared" ref="DI428:DJ428" si="1663">DI412</f>
        <v>0</v>
      </c>
      <c r="DJ428" s="891">
        <f t="shared" si="1663"/>
        <v>261203218.23192942</v>
      </c>
      <c r="DK428" s="1074"/>
      <c r="DL428" s="1072"/>
      <c r="DN428" s="1073"/>
      <c r="DO428" s="891">
        <f t="shared" si="1637"/>
        <v>261203218.23192942</v>
      </c>
      <c r="DP428" s="891">
        <v>0</v>
      </c>
      <c r="DQ428" s="891">
        <f t="shared" ref="DQ428:DR428" si="1664">DQ412</f>
        <v>0</v>
      </c>
      <c r="DR428" s="891">
        <f t="shared" si="1664"/>
        <v>261203218.23192942</v>
      </c>
      <c r="DS428" s="1074"/>
      <c r="DT428" s="1072"/>
      <c r="DV428" s="1073"/>
      <c r="DW428" s="891">
        <f t="shared" si="1639"/>
        <v>261203218.23192942</v>
      </c>
      <c r="DX428" s="891">
        <v>0</v>
      </c>
      <c r="DY428" s="891">
        <f t="shared" ref="DY428:DZ428" si="1665">DY412</f>
        <v>0</v>
      </c>
      <c r="DZ428" s="891">
        <f t="shared" si="1665"/>
        <v>261203218.23192942</v>
      </c>
      <c r="EA428" s="1074"/>
      <c r="EB428" s="1072"/>
      <c r="ED428" s="1073"/>
      <c r="EE428" s="891">
        <f t="shared" si="1641"/>
        <v>261203218.23192942</v>
      </c>
      <c r="EF428" s="891">
        <v>0</v>
      </c>
      <c r="EG428" s="891">
        <f t="shared" ref="EG428:EH428" si="1666">EG412</f>
        <v>0</v>
      </c>
      <c r="EH428" s="891">
        <f t="shared" si="1666"/>
        <v>261203218.23192942</v>
      </c>
      <c r="EI428" s="1074"/>
      <c r="EJ428" s="1072"/>
      <c r="EL428" s="1073"/>
      <c r="EM428" s="891">
        <f t="shared" si="1643"/>
        <v>261203218.23192942</v>
      </c>
      <c r="EN428" s="891">
        <v>0</v>
      </c>
      <c r="EO428" s="891">
        <f t="shared" ref="EO428:EP428" si="1667">EO412</f>
        <v>0</v>
      </c>
      <c r="EP428" s="891">
        <f t="shared" si="1667"/>
        <v>261203218.23192942</v>
      </c>
      <c r="EQ428" s="1074"/>
      <c r="ER428" s="1072"/>
      <c r="ET428" s="1073"/>
      <c r="EU428" s="891">
        <f t="shared" si="1645"/>
        <v>261203218.23192942</v>
      </c>
      <c r="EV428" s="891">
        <v>0</v>
      </c>
      <c r="EW428" s="891">
        <f t="shared" ref="EW428:EX428" si="1668">EW412</f>
        <v>0</v>
      </c>
      <c r="EX428" s="891">
        <f t="shared" si="1668"/>
        <v>261203218.23192942</v>
      </c>
      <c r="EY428" s="1074"/>
      <c r="EZ428" s="1072"/>
      <c r="FB428" s="1073"/>
      <c r="FC428" s="891">
        <f t="shared" si="1647"/>
        <v>261203218.23192942</v>
      </c>
      <c r="FD428" s="891">
        <v>0</v>
      </c>
      <c r="FE428" s="891">
        <f t="shared" ref="FE428:FF428" si="1669">FE412</f>
        <v>0</v>
      </c>
      <c r="FF428" s="891">
        <f t="shared" si="1669"/>
        <v>261203218.23192942</v>
      </c>
      <c r="FG428" s="1074"/>
      <c r="FH428" s="1072"/>
      <c r="FJ428" s="1073"/>
      <c r="FK428" s="891">
        <f t="shared" si="1649"/>
        <v>261203218.23192942</v>
      </c>
      <c r="FL428" s="891">
        <v>0</v>
      </c>
      <c r="FM428" s="891">
        <f t="shared" ref="FM428:FN428" si="1670">FM412</f>
        <v>0</v>
      </c>
      <c r="FN428" s="891">
        <f t="shared" si="1670"/>
        <v>261203218.23192942</v>
      </c>
      <c r="FO428" s="1074"/>
    </row>
    <row r="429" spans="2:171" x14ac:dyDescent="0.25">
      <c r="C429" s="108" t="s">
        <v>807</v>
      </c>
      <c r="D429" s="1072"/>
      <c r="E429" s="905" t="s">
        <v>109</v>
      </c>
      <c r="G429" s="891">
        <f>I394+J394</f>
        <v>440834897.47784311</v>
      </c>
      <c r="H429" s="891">
        <v>0</v>
      </c>
      <c r="I429" s="891">
        <f>I394</f>
        <v>0</v>
      </c>
      <c r="J429" s="891">
        <f>J394</f>
        <v>440834897.47784311</v>
      </c>
      <c r="K429" s="1074">
        <f t="shared" si="1567"/>
        <v>1</v>
      </c>
      <c r="L429" s="1072"/>
      <c r="N429" s="1073"/>
      <c r="O429" s="891">
        <f>Q394+R394</f>
        <v>440834897.47784305</v>
      </c>
      <c r="P429" s="891">
        <v>0</v>
      </c>
      <c r="Q429" s="891">
        <f>Q394</f>
        <v>195228616.65315571</v>
      </c>
      <c r="R429" s="891">
        <f>R394</f>
        <v>245606280.82468733</v>
      </c>
      <c r="S429" s="1074"/>
      <c r="T429" s="1072"/>
      <c r="V429" s="1073"/>
      <c r="W429" s="891">
        <f>Y394+Z394</f>
        <v>440834897.47784305</v>
      </c>
      <c r="X429" s="891">
        <v>0</v>
      </c>
      <c r="Y429" s="891">
        <f>Y394</f>
        <v>195228616.65315571</v>
      </c>
      <c r="Z429" s="891">
        <f>Z394</f>
        <v>245606280.82468733</v>
      </c>
      <c r="AA429" s="1074"/>
      <c r="AB429" s="1072"/>
      <c r="AD429" s="1073"/>
      <c r="AE429" s="891">
        <f>AG394+AH394</f>
        <v>440834897.47784305</v>
      </c>
      <c r="AF429" s="891">
        <v>0</v>
      </c>
      <c r="AG429" s="891">
        <f>AG394</f>
        <v>195228616.65315571</v>
      </c>
      <c r="AH429" s="891">
        <f>AH394</f>
        <v>245606280.82468733</v>
      </c>
      <c r="AI429" s="1074"/>
      <c r="AJ429" s="1072"/>
      <c r="AL429" s="1073"/>
      <c r="AM429" s="891">
        <f>AO394+AP394</f>
        <v>440834897.47784305</v>
      </c>
      <c r="AN429" s="891">
        <v>0</v>
      </c>
      <c r="AO429" s="891">
        <f>AO394</f>
        <v>195228616.65315571</v>
      </c>
      <c r="AP429" s="891">
        <f>AP394</f>
        <v>245606280.82468733</v>
      </c>
      <c r="AQ429" s="1074"/>
      <c r="AR429" s="1072"/>
      <c r="AT429" s="1073"/>
      <c r="AU429" s="891">
        <f>AW394+AX394</f>
        <v>440834897.47784305</v>
      </c>
      <c r="AV429" s="891">
        <v>0</v>
      </c>
      <c r="AW429" s="891">
        <f>AW394</f>
        <v>195228616.65315571</v>
      </c>
      <c r="AX429" s="891">
        <f>AX394</f>
        <v>245606280.82468733</v>
      </c>
      <c r="AY429" s="1074"/>
      <c r="AZ429" s="1072"/>
      <c r="BB429" s="1073"/>
      <c r="BC429" s="891">
        <f>BE394+BF394</f>
        <v>440834897.47784305</v>
      </c>
      <c r="BD429" s="891">
        <v>0</v>
      </c>
      <c r="BE429" s="891">
        <f>BE394</f>
        <v>195228616.65315571</v>
      </c>
      <c r="BF429" s="891">
        <f>BF394</f>
        <v>245606280.82468733</v>
      </c>
      <c r="BG429" s="1074"/>
      <c r="BH429" s="1072"/>
      <c r="BJ429" s="1073"/>
      <c r="BK429" s="891">
        <f>BM394+BN394</f>
        <v>440834897.47784305</v>
      </c>
      <c r="BL429" s="891">
        <v>0</v>
      </c>
      <c r="BM429" s="891">
        <f>BM394</f>
        <v>195228616.65315571</v>
      </c>
      <c r="BN429" s="891">
        <f>BN394</f>
        <v>245606280.82468733</v>
      </c>
      <c r="BO429" s="1074"/>
      <c r="BP429" s="1072"/>
      <c r="BR429" s="1073"/>
      <c r="BS429" s="891">
        <f>BU394+BV394</f>
        <v>440834897.47784305</v>
      </c>
      <c r="BT429" s="891">
        <v>0</v>
      </c>
      <c r="BU429" s="891">
        <f>BU394</f>
        <v>195228616.65315571</v>
      </c>
      <c r="BV429" s="891">
        <f>BV394</f>
        <v>245606280.82468733</v>
      </c>
      <c r="BW429" s="1074"/>
      <c r="BX429" s="1072"/>
      <c r="BZ429" s="1073"/>
      <c r="CA429" s="891">
        <f>CC394+CD394</f>
        <v>440834897.47784305</v>
      </c>
      <c r="CB429" s="891">
        <v>0</v>
      </c>
      <c r="CC429" s="891">
        <f>CC394</f>
        <v>195228616.65315571</v>
      </c>
      <c r="CD429" s="891">
        <f>CD394</f>
        <v>245606280.82468733</v>
      </c>
      <c r="CE429" s="1074"/>
      <c r="CF429" s="1072"/>
      <c r="CH429" s="1073"/>
      <c r="CI429" s="891">
        <f>CK394+CL394</f>
        <v>440834897.47784305</v>
      </c>
      <c r="CJ429" s="891">
        <v>0</v>
      </c>
      <c r="CK429" s="891">
        <f>CK394</f>
        <v>195228616.65315571</v>
      </c>
      <c r="CL429" s="891">
        <f>CL394</f>
        <v>245606280.82468733</v>
      </c>
      <c r="CM429" s="1074"/>
      <c r="CN429" s="1072"/>
      <c r="CP429" s="1073"/>
      <c r="CQ429" s="891">
        <f>CS394+CT394</f>
        <v>440834897.47784305</v>
      </c>
      <c r="CR429" s="891">
        <v>0</v>
      </c>
      <c r="CS429" s="891">
        <f>CS394</f>
        <v>195228616.65315571</v>
      </c>
      <c r="CT429" s="891">
        <f>CT394</f>
        <v>245606280.82468733</v>
      </c>
      <c r="CU429" s="1074"/>
      <c r="CV429" s="1072"/>
      <c r="CX429" s="1073"/>
      <c r="CY429" s="891">
        <f>DA394+DB394</f>
        <v>440834897.47784305</v>
      </c>
      <c r="CZ429" s="891">
        <v>0</v>
      </c>
      <c r="DA429" s="891">
        <f>DA394</f>
        <v>195228616.65315571</v>
      </c>
      <c r="DB429" s="891">
        <f>DB394</f>
        <v>245606280.82468733</v>
      </c>
      <c r="DC429" s="1074"/>
      <c r="DD429" s="1072"/>
      <c r="DF429" s="1073"/>
      <c r="DG429" s="891">
        <f>DI394+DJ394</f>
        <v>440834897.47784305</v>
      </c>
      <c r="DH429" s="891">
        <v>0</v>
      </c>
      <c r="DI429" s="891">
        <f>DI394</f>
        <v>195228616.65315571</v>
      </c>
      <c r="DJ429" s="891">
        <f>DJ394</f>
        <v>245606280.82468733</v>
      </c>
      <c r="DK429" s="1074"/>
      <c r="DL429" s="1072"/>
      <c r="DN429" s="1073"/>
      <c r="DO429" s="891">
        <f>DQ394+DR394</f>
        <v>440834897.47784305</v>
      </c>
      <c r="DP429" s="891">
        <v>0</v>
      </c>
      <c r="DQ429" s="891">
        <f>DQ394</f>
        <v>195228616.65315571</v>
      </c>
      <c r="DR429" s="891">
        <f>DR394</f>
        <v>245606280.82468733</v>
      </c>
      <c r="DS429" s="1074"/>
      <c r="DT429" s="1072"/>
      <c r="DV429" s="1073"/>
      <c r="DW429" s="891">
        <f>DY394+DZ394</f>
        <v>440834897.47784305</v>
      </c>
      <c r="DX429" s="891">
        <v>0</v>
      </c>
      <c r="DY429" s="891">
        <f>DY394</f>
        <v>195228616.65315571</v>
      </c>
      <c r="DZ429" s="891">
        <f>DZ394</f>
        <v>245606280.82468733</v>
      </c>
      <c r="EA429" s="1074"/>
      <c r="EB429" s="1072"/>
      <c r="ED429" s="1073"/>
      <c r="EE429" s="891">
        <f>EG394+EH394</f>
        <v>440834897.47784305</v>
      </c>
      <c r="EF429" s="891">
        <v>0</v>
      </c>
      <c r="EG429" s="891">
        <f>EG394</f>
        <v>195228616.65315571</v>
      </c>
      <c r="EH429" s="891">
        <f>EH394</f>
        <v>245606280.82468733</v>
      </c>
      <c r="EI429" s="1074"/>
      <c r="EJ429" s="1072"/>
      <c r="EL429" s="1073"/>
      <c r="EM429" s="891">
        <f>EO394+EP394</f>
        <v>440834897.47784305</v>
      </c>
      <c r="EN429" s="891">
        <v>0</v>
      </c>
      <c r="EO429" s="891">
        <f>EO394</f>
        <v>195228616.65315571</v>
      </c>
      <c r="EP429" s="891">
        <f>EP394</f>
        <v>245606280.82468733</v>
      </c>
      <c r="EQ429" s="1074"/>
      <c r="ER429" s="1072"/>
      <c r="ET429" s="1073"/>
      <c r="EU429" s="891">
        <f>EW394+EX394</f>
        <v>440834897.47784305</v>
      </c>
      <c r="EV429" s="891">
        <v>0</v>
      </c>
      <c r="EW429" s="891">
        <f>EW394</f>
        <v>195228616.65315571</v>
      </c>
      <c r="EX429" s="891">
        <f>EX394</f>
        <v>245606280.82468733</v>
      </c>
      <c r="EY429" s="1074"/>
      <c r="EZ429" s="1072"/>
      <c r="FB429" s="1073"/>
      <c r="FC429" s="891">
        <f>FE394+FF394</f>
        <v>440834897.47784305</v>
      </c>
      <c r="FD429" s="891">
        <v>0</v>
      </c>
      <c r="FE429" s="891">
        <f>FE394</f>
        <v>195228616.65315571</v>
      </c>
      <c r="FF429" s="891">
        <f>FF394</f>
        <v>245606280.82468733</v>
      </c>
      <c r="FG429" s="1074"/>
      <c r="FH429" s="1072"/>
      <c r="FJ429" s="1073"/>
      <c r="FK429" s="891">
        <f>FM394+FN394</f>
        <v>440834897.47784305</v>
      </c>
      <c r="FL429" s="891">
        <v>0</v>
      </c>
      <c r="FM429" s="891">
        <f>FM394</f>
        <v>195228616.65315571</v>
      </c>
      <c r="FN429" s="891">
        <f>FN394</f>
        <v>245606280.82468733</v>
      </c>
      <c r="FO429" s="1074"/>
    </row>
    <row r="430" spans="2:171" x14ac:dyDescent="0.25">
      <c r="C430" s="108" t="s">
        <v>523</v>
      </c>
      <c r="D430" s="1072"/>
      <c r="E430" s="1094"/>
      <c r="F430" s="1073"/>
      <c r="G430" s="1634">
        <f>SUM(G424:G429)</f>
        <v>7802602177.452405</v>
      </c>
      <c r="H430" s="1634">
        <f>SUM(H424:H429)</f>
        <v>0</v>
      </c>
      <c r="I430" s="1634">
        <f>SUM(I424:I429)</f>
        <v>0</v>
      </c>
      <c r="J430" s="1634">
        <f>SUM(J424:J429)</f>
        <v>7802602177.452405</v>
      </c>
      <c r="K430" s="1074"/>
      <c r="L430" s="1072"/>
      <c r="N430" s="1073"/>
      <c r="O430" s="1634">
        <f>SUM(O424:O429)</f>
        <v>7801221837.0903282</v>
      </c>
      <c r="P430" s="1634">
        <f>SUM(P424:P429)</f>
        <v>0</v>
      </c>
      <c r="Q430" s="1634">
        <f>SUM(Q424:Q429)</f>
        <v>3491067597.4393702</v>
      </c>
      <c r="R430" s="1634">
        <f>SUM(R424:R429)</f>
        <v>4310154239.6509571</v>
      </c>
      <c r="S430" s="1074"/>
      <c r="T430" s="1072"/>
      <c r="V430" s="1073"/>
      <c r="W430" s="1634">
        <f>SUM(W424:W429)</f>
        <v>7801221837.0903282</v>
      </c>
      <c r="X430" s="1634">
        <f>SUM(X424:X429)</f>
        <v>0</v>
      </c>
      <c r="Y430" s="1634">
        <f>SUM(Y424:Y429)</f>
        <v>3491067597.4393702</v>
      </c>
      <c r="Z430" s="1634">
        <f>SUM(Z424:Z429)</f>
        <v>4310154239.6509571</v>
      </c>
      <c r="AA430" s="1074"/>
      <c r="AB430" s="1072"/>
      <c r="AD430" s="1073"/>
      <c r="AE430" s="1634">
        <f>SUM(AE424:AE429)</f>
        <v>7801221837.0903282</v>
      </c>
      <c r="AF430" s="1634">
        <f>SUM(AF424:AF429)</f>
        <v>0</v>
      </c>
      <c r="AG430" s="1634">
        <f>SUM(AG424:AG429)</f>
        <v>3491067597.4393702</v>
      </c>
      <c r="AH430" s="1634">
        <f>SUM(AH424:AH429)</f>
        <v>4310154239.6509571</v>
      </c>
      <c r="AI430" s="1074"/>
      <c r="AJ430" s="1072"/>
      <c r="AL430" s="1073"/>
      <c r="AM430" s="1634">
        <f>SUM(AM424:AM429)</f>
        <v>7801221837.0903282</v>
      </c>
      <c r="AN430" s="1634">
        <f>SUM(AN424:AN429)</f>
        <v>0</v>
      </c>
      <c r="AO430" s="1634">
        <f>SUM(AO424:AO429)</f>
        <v>3491067597.4393702</v>
      </c>
      <c r="AP430" s="1634">
        <f>SUM(AP424:AP429)</f>
        <v>4310154239.6509571</v>
      </c>
      <c r="AQ430" s="1074"/>
      <c r="AR430" s="1072"/>
      <c r="AT430" s="1073"/>
      <c r="AU430" s="1634">
        <f>SUM(AU424:AU429)</f>
        <v>7801221837.0903282</v>
      </c>
      <c r="AV430" s="1634">
        <f>SUM(AV424:AV429)</f>
        <v>0</v>
      </c>
      <c r="AW430" s="1634">
        <f>SUM(AW424:AW429)</f>
        <v>3491067597.4393702</v>
      </c>
      <c r="AX430" s="1634">
        <f>SUM(AX424:AX429)</f>
        <v>4310154239.6509571</v>
      </c>
      <c r="AY430" s="1074"/>
      <c r="AZ430" s="1072"/>
      <c r="BB430" s="1073"/>
      <c r="BC430" s="1634">
        <f>SUM(BC424:BC429)</f>
        <v>7801221837.0903282</v>
      </c>
      <c r="BD430" s="1634">
        <f>SUM(BD424:BD429)</f>
        <v>0</v>
      </c>
      <c r="BE430" s="1634">
        <f>SUM(BE424:BE429)</f>
        <v>3491067597.4393702</v>
      </c>
      <c r="BF430" s="1634">
        <f>SUM(BF424:BF429)</f>
        <v>4310154239.6509571</v>
      </c>
      <c r="BG430" s="1074"/>
      <c r="BH430" s="1072"/>
      <c r="BJ430" s="1073"/>
      <c r="BK430" s="1634">
        <f>SUM(BK424:BK429)</f>
        <v>7801221837.0903282</v>
      </c>
      <c r="BL430" s="1634">
        <f>SUM(BL424:BL429)</f>
        <v>0</v>
      </c>
      <c r="BM430" s="1634">
        <f>SUM(BM424:BM429)</f>
        <v>3491067597.4393702</v>
      </c>
      <c r="BN430" s="1634">
        <f>SUM(BN424:BN429)</f>
        <v>4310154239.6509571</v>
      </c>
      <c r="BO430" s="1074"/>
      <c r="BP430" s="1072"/>
      <c r="BR430" s="1073"/>
      <c r="BS430" s="1634">
        <f>SUM(BS424:BS429)</f>
        <v>7801221837.0903282</v>
      </c>
      <c r="BT430" s="1634">
        <f>SUM(BT424:BT429)</f>
        <v>0</v>
      </c>
      <c r="BU430" s="1634">
        <f>SUM(BU424:BU429)</f>
        <v>3491067597.4393702</v>
      </c>
      <c r="BV430" s="1634">
        <f>SUM(BV424:BV429)</f>
        <v>4310154239.6509571</v>
      </c>
      <c r="BW430" s="1074"/>
      <c r="BX430" s="1072"/>
      <c r="BZ430" s="1073"/>
      <c r="CA430" s="1634">
        <f>SUM(CA424:CA429)</f>
        <v>7801221837.0903282</v>
      </c>
      <c r="CB430" s="1634">
        <f>SUM(CB424:CB429)</f>
        <v>0</v>
      </c>
      <c r="CC430" s="1634">
        <f>SUM(CC424:CC429)</f>
        <v>3491067597.4393702</v>
      </c>
      <c r="CD430" s="1634">
        <f>SUM(CD424:CD429)</f>
        <v>4310154239.6509571</v>
      </c>
      <c r="CE430" s="1074"/>
      <c r="CF430" s="1072"/>
      <c r="CH430" s="1073"/>
      <c r="CI430" s="1634">
        <f>SUM(CI424:CI429)</f>
        <v>7801221837.0903282</v>
      </c>
      <c r="CJ430" s="1634">
        <f>SUM(CJ424:CJ429)</f>
        <v>0</v>
      </c>
      <c r="CK430" s="1634">
        <f>SUM(CK424:CK429)</f>
        <v>3491067597.4393702</v>
      </c>
      <c r="CL430" s="1634">
        <f>SUM(CL424:CL429)</f>
        <v>4310154239.6509571</v>
      </c>
      <c r="CM430" s="1074"/>
      <c r="CN430" s="1072"/>
      <c r="CP430" s="1073"/>
      <c r="CQ430" s="1634">
        <f>SUM(CQ424:CQ429)</f>
        <v>7801221837.0903282</v>
      </c>
      <c r="CR430" s="1634">
        <f>SUM(CR424:CR429)</f>
        <v>0</v>
      </c>
      <c r="CS430" s="1634">
        <f>SUM(CS424:CS429)</f>
        <v>3491067597.4393702</v>
      </c>
      <c r="CT430" s="1634">
        <f>SUM(CT424:CT429)</f>
        <v>4310154239.6509571</v>
      </c>
      <c r="CU430" s="1074"/>
      <c r="CV430" s="1072"/>
      <c r="CX430" s="1073"/>
      <c r="CY430" s="1634">
        <f>SUM(CY424:CY429)</f>
        <v>7801221837.0903282</v>
      </c>
      <c r="CZ430" s="1634">
        <f>SUM(CZ424:CZ429)</f>
        <v>0</v>
      </c>
      <c r="DA430" s="1634">
        <f>SUM(DA424:DA429)</f>
        <v>3491067597.4393702</v>
      </c>
      <c r="DB430" s="1634">
        <f>SUM(DB424:DB429)</f>
        <v>4310154239.6509571</v>
      </c>
      <c r="DC430" s="1074"/>
      <c r="DD430" s="1072"/>
      <c r="DF430" s="1073"/>
      <c r="DG430" s="1634">
        <f>SUM(DG424:DG429)</f>
        <v>7801221837.0903282</v>
      </c>
      <c r="DH430" s="1634">
        <f>SUM(DH424:DH429)</f>
        <v>0</v>
      </c>
      <c r="DI430" s="1634">
        <f>SUM(DI424:DI429)</f>
        <v>3491067597.4393702</v>
      </c>
      <c r="DJ430" s="1634">
        <f>SUM(DJ424:DJ429)</f>
        <v>4310154239.6509571</v>
      </c>
      <c r="DK430" s="1074"/>
      <c r="DL430" s="1072"/>
      <c r="DN430" s="1073"/>
      <c r="DO430" s="1634">
        <f>SUM(DO424:DO429)</f>
        <v>7801221837.0903282</v>
      </c>
      <c r="DP430" s="1634">
        <f>SUM(DP424:DP429)</f>
        <v>0</v>
      </c>
      <c r="DQ430" s="1634">
        <f>SUM(DQ424:DQ429)</f>
        <v>3491067597.4393702</v>
      </c>
      <c r="DR430" s="1634">
        <f>SUM(DR424:DR429)</f>
        <v>4310154239.6509571</v>
      </c>
      <c r="DS430" s="1074"/>
      <c r="DT430" s="1072"/>
      <c r="DV430" s="1073"/>
      <c r="DW430" s="1634">
        <f>SUM(DW424:DW429)</f>
        <v>7801221837.0903282</v>
      </c>
      <c r="DX430" s="1634">
        <f>SUM(DX424:DX429)</f>
        <v>0</v>
      </c>
      <c r="DY430" s="1634">
        <f>SUM(DY424:DY429)</f>
        <v>3491067597.4393702</v>
      </c>
      <c r="DZ430" s="1634">
        <f>SUM(DZ424:DZ429)</f>
        <v>4310154239.6509571</v>
      </c>
      <c r="EA430" s="1074"/>
      <c r="EB430" s="1072"/>
      <c r="ED430" s="1073"/>
      <c r="EE430" s="1634">
        <f>SUM(EE424:EE429)</f>
        <v>7801221837.0903282</v>
      </c>
      <c r="EF430" s="1634">
        <f>SUM(EF424:EF429)</f>
        <v>0</v>
      </c>
      <c r="EG430" s="1634">
        <f>SUM(EG424:EG429)</f>
        <v>3491067597.4393702</v>
      </c>
      <c r="EH430" s="1634">
        <f>SUM(EH424:EH429)</f>
        <v>4310154239.6509571</v>
      </c>
      <c r="EI430" s="1074"/>
      <c r="EJ430" s="1072"/>
      <c r="EL430" s="1073"/>
      <c r="EM430" s="1634">
        <f>SUM(EM424:EM429)</f>
        <v>7801221837.0903282</v>
      </c>
      <c r="EN430" s="1634">
        <f>SUM(EN424:EN429)</f>
        <v>0</v>
      </c>
      <c r="EO430" s="1634">
        <f>SUM(EO424:EO429)</f>
        <v>3491067597.4393702</v>
      </c>
      <c r="EP430" s="1634">
        <f>SUM(EP424:EP429)</f>
        <v>4310154239.6509571</v>
      </c>
      <c r="EQ430" s="1074"/>
      <c r="ER430" s="1072"/>
      <c r="ET430" s="1073"/>
      <c r="EU430" s="1634">
        <f>SUM(EU424:EU429)</f>
        <v>7801221837.0903282</v>
      </c>
      <c r="EV430" s="1634">
        <f>SUM(EV424:EV429)</f>
        <v>0</v>
      </c>
      <c r="EW430" s="1634">
        <f>SUM(EW424:EW429)</f>
        <v>3491067597.4393702</v>
      </c>
      <c r="EX430" s="1634">
        <f>SUM(EX424:EX429)</f>
        <v>4310154239.6509571</v>
      </c>
      <c r="EY430" s="1074"/>
      <c r="EZ430" s="1072"/>
      <c r="FB430" s="1073"/>
      <c r="FC430" s="1634">
        <f>SUM(FC424:FC429)</f>
        <v>7801221837.0903282</v>
      </c>
      <c r="FD430" s="1634">
        <f>SUM(FD424:FD429)</f>
        <v>0</v>
      </c>
      <c r="FE430" s="1634">
        <f>SUM(FE424:FE429)</f>
        <v>3491067597.4393702</v>
      </c>
      <c r="FF430" s="1634">
        <f>SUM(FF424:FF429)</f>
        <v>4310154239.6509571</v>
      </c>
      <c r="FG430" s="1074"/>
      <c r="FH430" s="1072"/>
      <c r="FJ430" s="1073"/>
      <c r="FK430" s="1634">
        <f>SUM(FK424:FK429)</f>
        <v>7801221837.0903282</v>
      </c>
      <c r="FL430" s="1634">
        <f>SUM(FL424:FL429)</f>
        <v>0</v>
      </c>
      <c r="FM430" s="1634">
        <f>SUM(FM424:FM429)</f>
        <v>3491067597.4393702</v>
      </c>
      <c r="FN430" s="1634">
        <f>SUM(FN424:FN429)</f>
        <v>4310154239.6509571</v>
      </c>
      <c r="FO430" s="1074"/>
    </row>
    <row r="431" spans="2:171" x14ac:dyDescent="0.25">
      <c r="C431" s="123" t="s">
        <v>808</v>
      </c>
      <c r="D431" s="1296" t="s">
        <v>638</v>
      </c>
      <c r="E431" s="1076"/>
      <c r="F431" s="1076"/>
      <c r="G431" s="1635">
        <f>H431+I431+J431</f>
        <v>1</v>
      </c>
      <c r="H431" s="1635">
        <f>H430/G430</f>
        <v>0</v>
      </c>
      <c r="I431" s="1635">
        <f>I430/G430</f>
        <v>0</v>
      </c>
      <c r="J431" s="1635">
        <f>J430/G430</f>
        <v>1</v>
      </c>
      <c r="K431" s="1079"/>
      <c r="L431" s="1075" t="s">
        <v>638</v>
      </c>
      <c r="M431" s="1076"/>
      <c r="N431" s="1076"/>
      <c r="O431" s="1635">
        <f>P431+Q431+R431</f>
        <v>0.99999999999999989</v>
      </c>
      <c r="P431" s="1635">
        <f>P430/O430</f>
        <v>0</v>
      </c>
      <c r="Q431" s="1635">
        <f>Q430/O430</f>
        <v>0.4475026694974048</v>
      </c>
      <c r="R431" s="1635">
        <f>R430/O430</f>
        <v>0.55249733050259509</v>
      </c>
      <c r="S431" s="1079"/>
      <c r="T431" s="1075" t="s">
        <v>638</v>
      </c>
      <c r="U431" s="1076"/>
      <c r="V431" s="1076"/>
      <c r="W431" s="1635">
        <f>X431+Y431+Z431</f>
        <v>0.99999999999999989</v>
      </c>
      <c r="X431" s="1635">
        <f>X430/W430</f>
        <v>0</v>
      </c>
      <c r="Y431" s="1635">
        <f>Y430/W430</f>
        <v>0.4475026694974048</v>
      </c>
      <c r="Z431" s="1635">
        <f>Z430/W430</f>
        <v>0.55249733050259509</v>
      </c>
      <c r="AA431" s="1079"/>
      <c r="AB431" s="1075" t="s">
        <v>638</v>
      </c>
      <c r="AC431" s="1076"/>
      <c r="AD431" s="1076"/>
      <c r="AE431" s="1635">
        <f>AF431+AG431+AH431</f>
        <v>0.99999999999999989</v>
      </c>
      <c r="AF431" s="1635">
        <f>AF430/AE430</f>
        <v>0</v>
      </c>
      <c r="AG431" s="1635">
        <f>AG430/AE430</f>
        <v>0.4475026694974048</v>
      </c>
      <c r="AH431" s="1635">
        <f>AH430/AE430</f>
        <v>0.55249733050259509</v>
      </c>
      <c r="AI431" s="1079"/>
      <c r="AJ431" s="1075" t="s">
        <v>638</v>
      </c>
      <c r="AK431" s="1076"/>
      <c r="AL431" s="1076"/>
      <c r="AM431" s="1635">
        <f>AN431+AO431+AP431</f>
        <v>0.99999999999999989</v>
      </c>
      <c r="AN431" s="1635">
        <f>AN430/AM430</f>
        <v>0</v>
      </c>
      <c r="AO431" s="1635">
        <f>AO430/AM430</f>
        <v>0.4475026694974048</v>
      </c>
      <c r="AP431" s="1635">
        <f>AP430/AM430</f>
        <v>0.55249733050259509</v>
      </c>
      <c r="AQ431" s="1079"/>
      <c r="AR431" s="1075" t="s">
        <v>638</v>
      </c>
      <c r="AS431" s="1076"/>
      <c r="AT431" s="1076"/>
      <c r="AU431" s="1635">
        <f>AV431+AW431+AX431</f>
        <v>0.99999999999999989</v>
      </c>
      <c r="AV431" s="1635">
        <f>AV430/AU430</f>
        <v>0</v>
      </c>
      <c r="AW431" s="1635">
        <f>AW430/AU430</f>
        <v>0.4475026694974048</v>
      </c>
      <c r="AX431" s="1635">
        <f>AX430/AU430</f>
        <v>0.55249733050259509</v>
      </c>
      <c r="AY431" s="1079"/>
      <c r="AZ431" s="1075" t="s">
        <v>638</v>
      </c>
      <c r="BA431" s="1076"/>
      <c r="BB431" s="1076"/>
      <c r="BC431" s="1635">
        <f>BD431+BE431+BF431</f>
        <v>0.99999999999999989</v>
      </c>
      <c r="BD431" s="1635">
        <f>BD430/BC430</f>
        <v>0</v>
      </c>
      <c r="BE431" s="1635">
        <f>BE430/BC430</f>
        <v>0.4475026694974048</v>
      </c>
      <c r="BF431" s="1635">
        <f>BF430/BC430</f>
        <v>0.55249733050259509</v>
      </c>
      <c r="BG431" s="1079"/>
      <c r="BH431" s="1075" t="s">
        <v>638</v>
      </c>
      <c r="BI431" s="1076"/>
      <c r="BJ431" s="1076"/>
      <c r="BK431" s="1635">
        <f>BL431+BM431+BN431</f>
        <v>0.99999999999999989</v>
      </c>
      <c r="BL431" s="1635">
        <f>BL430/BK430</f>
        <v>0</v>
      </c>
      <c r="BM431" s="1635">
        <f>BM430/BK430</f>
        <v>0.4475026694974048</v>
      </c>
      <c r="BN431" s="1635">
        <f>BN430/BK430</f>
        <v>0.55249733050259509</v>
      </c>
      <c r="BO431" s="1079"/>
      <c r="BP431" s="1075" t="s">
        <v>638</v>
      </c>
      <c r="BQ431" s="1076"/>
      <c r="BR431" s="1076"/>
      <c r="BS431" s="1635">
        <f>BT431+BU431+BV431</f>
        <v>0.99999999999999989</v>
      </c>
      <c r="BT431" s="1635">
        <f>BT430/BS430</f>
        <v>0</v>
      </c>
      <c r="BU431" s="1635">
        <f>BU430/BS430</f>
        <v>0.4475026694974048</v>
      </c>
      <c r="BV431" s="1635">
        <f>BV430/BS430</f>
        <v>0.55249733050259509</v>
      </c>
      <c r="BW431" s="1079"/>
      <c r="BX431" s="1075" t="s">
        <v>638</v>
      </c>
      <c r="BY431" s="1076"/>
      <c r="BZ431" s="1076"/>
      <c r="CA431" s="1635">
        <f>CB431+CC431+CD431</f>
        <v>0.99999999999999989</v>
      </c>
      <c r="CB431" s="1635">
        <f>CB430/CA430</f>
        <v>0</v>
      </c>
      <c r="CC431" s="1635">
        <f>CC430/CA430</f>
        <v>0.4475026694974048</v>
      </c>
      <c r="CD431" s="1635">
        <f>CD430/CA430</f>
        <v>0.55249733050259509</v>
      </c>
      <c r="CE431" s="1079"/>
      <c r="CF431" s="1075" t="s">
        <v>638</v>
      </c>
      <c r="CG431" s="1076"/>
      <c r="CH431" s="1076"/>
      <c r="CI431" s="1635">
        <f>CJ431+CK431+CL431</f>
        <v>0.99999999999999989</v>
      </c>
      <c r="CJ431" s="1635">
        <f>CJ430/CI430</f>
        <v>0</v>
      </c>
      <c r="CK431" s="1635">
        <f>CK430/CI430</f>
        <v>0.4475026694974048</v>
      </c>
      <c r="CL431" s="1635">
        <f>CL430/CI430</f>
        <v>0.55249733050259509</v>
      </c>
      <c r="CM431" s="1079"/>
      <c r="CN431" s="1075" t="s">
        <v>638</v>
      </c>
      <c r="CO431" s="1076"/>
      <c r="CP431" s="1076"/>
      <c r="CQ431" s="1635">
        <f>CR431+CS431+CT431</f>
        <v>0.99999999999999989</v>
      </c>
      <c r="CR431" s="1635">
        <f>CR430/CQ430</f>
        <v>0</v>
      </c>
      <c r="CS431" s="1635">
        <f>CS430/CQ430</f>
        <v>0.4475026694974048</v>
      </c>
      <c r="CT431" s="1635">
        <f>CT430/CQ430</f>
        <v>0.55249733050259509</v>
      </c>
      <c r="CU431" s="1079"/>
      <c r="CV431" s="1075" t="s">
        <v>638</v>
      </c>
      <c r="CW431" s="1076"/>
      <c r="CX431" s="1076"/>
      <c r="CY431" s="1635">
        <f>CZ431+DA431+DB431</f>
        <v>0.99999999999999989</v>
      </c>
      <c r="CZ431" s="1635">
        <f>CZ430/CY430</f>
        <v>0</v>
      </c>
      <c r="DA431" s="1635">
        <f>DA430/CY430</f>
        <v>0.4475026694974048</v>
      </c>
      <c r="DB431" s="1635">
        <f>DB430/CY430</f>
        <v>0.55249733050259509</v>
      </c>
      <c r="DC431" s="1079"/>
      <c r="DD431" s="1075" t="s">
        <v>638</v>
      </c>
      <c r="DE431" s="1076"/>
      <c r="DF431" s="1076"/>
      <c r="DG431" s="1635">
        <f>DH431+DI431+DJ431</f>
        <v>0.99999999999999989</v>
      </c>
      <c r="DH431" s="1635">
        <f>DH430/DG430</f>
        <v>0</v>
      </c>
      <c r="DI431" s="1635">
        <f>DI430/DG430</f>
        <v>0.4475026694974048</v>
      </c>
      <c r="DJ431" s="1635">
        <f>DJ430/DG430</f>
        <v>0.55249733050259509</v>
      </c>
      <c r="DK431" s="1079"/>
      <c r="DL431" s="1075" t="s">
        <v>638</v>
      </c>
      <c r="DM431" s="1076"/>
      <c r="DN431" s="1076"/>
      <c r="DO431" s="1635">
        <f>DP431+DQ431+DR431</f>
        <v>0.99999999999999989</v>
      </c>
      <c r="DP431" s="1635">
        <f>DP430/DO430</f>
        <v>0</v>
      </c>
      <c r="DQ431" s="1635">
        <f>DQ430/DO430</f>
        <v>0.4475026694974048</v>
      </c>
      <c r="DR431" s="1635">
        <f>DR430/DO430</f>
        <v>0.55249733050259509</v>
      </c>
      <c r="DS431" s="1079"/>
      <c r="DT431" s="1075" t="s">
        <v>638</v>
      </c>
      <c r="DU431" s="1076"/>
      <c r="DV431" s="1076"/>
      <c r="DW431" s="1635">
        <f>DX431+DY431+DZ431</f>
        <v>0.99999999999999989</v>
      </c>
      <c r="DX431" s="1635">
        <f>DX430/DW430</f>
        <v>0</v>
      </c>
      <c r="DY431" s="1635">
        <f>DY430/DW430</f>
        <v>0.4475026694974048</v>
      </c>
      <c r="DZ431" s="1635">
        <f>DZ430/DW430</f>
        <v>0.55249733050259509</v>
      </c>
      <c r="EA431" s="1079"/>
      <c r="EB431" s="1075" t="s">
        <v>638</v>
      </c>
      <c r="EC431" s="1076"/>
      <c r="ED431" s="1076"/>
      <c r="EE431" s="1635">
        <f>EF431+EG431+EH431</f>
        <v>0.99999999999999989</v>
      </c>
      <c r="EF431" s="1635">
        <f>EF430/EE430</f>
        <v>0</v>
      </c>
      <c r="EG431" s="1635">
        <f>EG430/EE430</f>
        <v>0.4475026694974048</v>
      </c>
      <c r="EH431" s="1635">
        <f>EH430/EE430</f>
        <v>0.55249733050259509</v>
      </c>
      <c r="EI431" s="1079"/>
      <c r="EJ431" s="1075" t="s">
        <v>638</v>
      </c>
      <c r="EK431" s="1076"/>
      <c r="EL431" s="1076"/>
      <c r="EM431" s="1635">
        <f>EN431+EO431+EP431</f>
        <v>0.99999999999999989</v>
      </c>
      <c r="EN431" s="1635">
        <f>EN430/EM430</f>
        <v>0</v>
      </c>
      <c r="EO431" s="1635">
        <f>EO430/EM430</f>
        <v>0.4475026694974048</v>
      </c>
      <c r="EP431" s="1635">
        <f>EP430/EM430</f>
        <v>0.55249733050259509</v>
      </c>
      <c r="EQ431" s="1079"/>
      <c r="ER431" s="1075" t="s">
        <v>638</v>
      </c>
      <c r="ES431" s="1076"/>
      <c r="ET431" s="1076"/>
      <c r="EU431" s="1635">
        <f>EV431+EW431+EX431</f>
        <v>0.99999999999999989</v>
      </c>
      <c r="EV431" s="1635">
        <f>EV430/EU430</f>
        <v>0</v>
      </c>
      <c r="EW431" s="1635">
        <f>EW430/EU430</f>
        <v>0.4475026694974048</v>
      </c>
      <c r="EX431" s="1635">
        <f>EX430/EU430</f>
        <v>0.55249733050259509</v>
      </c>
      <c r="EY431" s="1079"/>
      <c r="EZ431" s="1075" t="s">
        <v>638</v>
      </c>
      <c r="FA431" s="1076"/>
      <c r="FB431" s="1076"/>
      <c r="FC431" s="1635">
        <f>FD431+FE431+FF431</f>
        <v>0.99999999999999989</v>
      </c>
      <c r="FD431" s="1635">
        <f>FD430/FC430</f>
        <v>0</v>
      </c>
      <c r="FE431" s="1635">
        <f>FE430/FC430</f>
        <v>0.4475026694974048</v>
      </c>
      <c r="FF431" s="1635">
        <f>FF430/FC430</f>
        <v>0.55249733050259509</v>
      </c>
      <c r="FG431" s="1079"/>
      <c r="FH431" s="1075" t="s">
        <v>638</v>
      </c>
      <c r="FI431" s="1076"/>
      <c r="FJ431" s="1076"/>
      <c r="FK431" s="1635">
        <f>FL431+FM431+FN431</f>
        <v>0.99999999999999989</v>
      </c>
      <c r="FL431" s="1635">
        <f>FL430/FK430</f>
        <v>0</v>
      </c>
      <c r="FM431" s="1635">
        <f>FM430/FK430</f>
        <v>0.4475026694974048</v>
      </c>
      <c r="FN431" s="1635">
        <f>FN430/FK430</f>
        <v>0.55249733050259509</v>
      </c>
      <c r="FO431" s="1079"/>
    </row>
    <row r="432" spans="2:171" x14ac:dyDescent="0.25">
      <c r="K432" s="1074"/>
      <c r="S432" s="1074"/>
      <c r="AA432" s="1074"/>
      <c r="AI432" s="1074"/>
      <c r="AQ432" s="1074"/>
      <c r="AY432" s="1074"/>
      <c r="BG432" s="1074"/>
      <c r="BO432" s="1074"/>
      <c r="BW432" s="1074"/>
      <c r="CE432" s="1074"/>
      <c r="CM432" s="1074"/>
      <c r="CU432" s="1074"/>
      <c r="DC432" s="1074"/>
      <c r="DK432" s="1074"/>
      <c r="DS432" s="1074"/>
      <c r="EA432" s="1074"/>
      <c r="EI432" s="1074"/>
      <c r="EQ432" s="1074"/>
      <c r="EY432" s="1074"/>
      <c r="FG432" s="1074"/>
      <c r="FO432" s="1074"/>
    </row>
    <row r="433" spans="2:171" x14ac:dyDescent="0.25">
      <c r="E433" s="302" t="s">
        <v>521</v>
      </c>
      <c r="G433" s="303" t="s">
        <v>104</v>
      </c>
      <c r="H433" s="303" t="s">
        <v>105</v>
      </c>
      <c r="I433" s="303" t="s">
        <v>106</v>
      </c>
      <c r="J433" s="304" t="s">
        <v>512</v>
      </c>
      <c r="K433" s="1074"/>
      <c r="O433" s="303" t="s">
        <v>104</v>
      </c>
      <c r="P433" s="303" t="s">
        <v>105</v>
      </c>
      <c r="Q433" s="303" t="s">
        <v>106</v>
      </c>
      <c r="R433" s="304" t="s">
        <v>512</v>
      </c>
      <c r="S433" s="1074"/>
      <c r="W433" s="303" t="s">
        <v>104</v>
      </c>
      <c r="X433" s="303" t="s">
        <v>105</v>
      </c>
      <c r="Y433" s="303" t="s">
        <v>106</v>
      </c>
      <c r="Z433" s="304" t="s">
        <v>512</v>
      </c>
      <c r="AA433" s="1074"/>
      <c r="AE433" s="303" t="s">
        <v>104</v>
      </c>
      <c r="AF433" s="303" t="s">
        <v>105</v>
      </c>
      <c r="AG433" s="303" t="s">
        <v>106</v>
      </c>
      <c r="AH433" s="304" t="s">
        <v>512</v>
      </c>
      <c r="AI433" s="1074"/>
      <c r="AM433" s="303" t="s">
        <v>104</v>
      </c>
      <c r="AN433" s="303" t="s">
        <v>105</v>
      </c>
      <c r="AO433" s="303" t="s">
        <v>106</v>
      </c>
      <c r="AP433" s="304" t="s">
        <v>512</v>
      </c>
      <c r="AQ433" s="1074"/>
      <c r="AU433" s="303" t="s">
        <v>104</v>
      </c>
      <c r="AV433" s="303" t="s">
        <v>105</v>
      </c>
      <c r="AW433" s="303" t="s">
        <v>106</v>
      </c>
      <c r="AX433" s="304" t="s">
        <v>512</v>
      </c>
      <c r="AY433" s="1074"/>
      <c r="BC433" s="303" t="s">
        <v>104</v>
      </c>
      <c r="BD433" s="303" t="s">
        <v>105</v>
      </c>
      <c r="BE433" s="303" t="s">
        <v>106</v>
      </c>
      <c r="BF433" s="304" t="s">
        <v>512</v>
      </c>
      <c r="BG433" s="1074"/>
      <c r="BK433" s="303" t="s">
        <v>104</v>
      </c>
      <c r="BL433" s="303" t="s">
        <v>105</v>
      </c>
      <c r="BM433" s="303" t="s">
        <v>106</v>
      </c>
      <c r="BN433" s="304" t="s">
        <v>512</v>
      </c>
      <c r="BO433" s="1074"/>
      <c r="BS433" s="303" t="s">
        <v>104</v>
      </c>
      <c r="BT433" s="303" t="s">
        <v>105</v>
      </c>
      <c r="BU433" s="303" t="s">
        <v>106</v>
      </c>
      <c r="BV433" s="304" t="s">
        <v>512</v>
      </c>
      <c r="BW433" s="1074"/>
      <c r="CA433" s="303" t="s">
        <v>104</v>
      </c>
      <c r="CB433" s="303" t="s">
        <v>105</v>
      </c>
      <c r="CC433" s="303" t="s">
        <v>106</v>
      </c>
      <c r="CD433" s="304" t="s">
        <v>512</v>
      </c>
      <c r="CE433" s="1074"/>
      <c r="CI433" s="303" t="s">
        <v>104</v>
      </c>
      <c r="CJ433" s="303" t="s">
        <v>105</v>
      </c>
      <c r="CK433" s="303" t="s">
        <v>106</v>
      </c>
      <c r="CL433" s="304" t="s">
        <v>512</v>
      </c>
      <c r="CM433" s="1074"/>
      <c r="CQ433" s="303" t="s">
        <v>104</v>
      </c>
      <c r="CR433" s="303" t="s">
        <v>105</v>
      </c>
      <c r="CS433" s="303" t="s">
        <v>106</v>
      </c>
      <c r="CT433" s="304" t="s">
        <v>512</v>
      </c>
      <c r="CU433" s="1074"/>
      <c r="CY433" s="303" t="s">
        <v>104</v>
      </c>
      <c r="CZ433" s="303" t="s">
        <v>105</v>
      </c>
      <c r="DA433" s="303" t="s">
        <v>106</v>
      </c>
      <c r="DB433" s="304" t="s">
        <v>512</v>
      </c>
      <c r="DC433" s="1074"/>
      <c r="DG433" s="303" t="s">
        <v>104</v>
      </c>
      <c r="DH433" s="303" t="s">
        <v>105</v>
      </c>
      <c r="DI433" s="303" t="s">
        <v>106</v>
      </c>
      <c r="DJ433" s="304" t="s">
        <v>512</v>
      </c>
      <c r="DK433" s="1074"/>
      <c r="DO433" s="303" t="s">
        <v>104</v>
      </c>
      <c r="DP433" s="303" t="s">
        <v>105</v>
      </c>
      <c r="DQ433" s="303" t="s">
        <v>106</v>
      </c>
      <c r="DR433" s="304" t="s">
        <v>512</v>
      </c>
      <c r="DS433" s="1074"/>
      <c r="DW433" s="303" t="s">
        <v>104</v>
      </c>
      <c r="DX433" s="303" t="s">
        <v>105</v>
      </c>
      <c r="DY433" s="303" t="s">
        <v>106</v>
      </c>
      <c r="DZ433" s="304" t="s">
        <v>512</v>
      </c>
      <c r="EA433" s="1074"/>
      <c r="EE433" s="303" t="s">
        <v>104</v>
      </c>
      <c r="EF433" s="303" t="s">
        <v>105</v>
      </c>
      <c r="EG433" s="303" t="s">
        <v>106</v>
      </c>
      <c r="EH433" s="304" t="s">
        <v>512</v>
      </c>
      <c r="EI433" s="1074"/>
      <c r="EM433" s="303" t="s">
        <v>104</v>
      </c>
      <c r="EN433" s="303" t="s">
        <v>105</v>
      </c>
      <c r="EO433" s="303" t="s">
        <v>106</v>
      </c>
      <c r="EP433" s="304" t="s">
        <v>512</v>
      </c>
      <c r="EQ433" s="1074"/>
      <c r="EU433" s="303" t="s">
        <v>104</v>
      </c>
      <c r="EV433" s="303" t="s">
        <v>105</v>
      </c>
      <c r="EW433" s="303" t="s">
        <v>106</v>
      </c>
      <c r="EX433" s="304" t="s">
        <v>512</v>
      </c>
      <c r="EY433" s="1074"/>
      <c r="FC433" s="303" t="s">
        <v>104</v>
      </c>
      <c r="FD433" s="303" t="s">
        <v>105</v>
      </c>
      <c r="FE433" s="303" t="s">
        <v>106</v>
      </c>
      <c r="FF433" s="304" t="s">
        <v>512</v>
      </c>
      <c r="FG433" s="1074"/>
      <c r="FK433" s="303" t="s">
        <v>104</v>
      </c>
      <c r="FL433" s="303" t="s">
        <v>105</v>
      </c>
      <c r="FM433" s="303" t="s">
        <v>106</v>
      </c>
      <c r="FN433" s="304" t="s">
        <v>512</v>
      </c>
      <c r="FO433" s="1074"/>
    </row>
    <row r="434" spans="2:171" x14ac:dyDescent="0.25">
      <c r="B434" s="108"/>
      <c r="C434" s="108" t="s">
        <v>126</v>
      </c>
      <c r="D434" s="1072"/>
      <c r="E434" s="905" t="str">
        <f t="shared" ref="E434:E435" si="1671">E383</f>
        <v>PTD</v>
      </c>
      <c r="G434" s="891">
        <f t="shared" ref="G434:J435" si="1672">G383</f>
        <v>134526603.60952502</v>
      </c>
      <c r="H434" s="891">
        <f t="shared" si="1672"/>
        <v>59218092.146876924</v>
      </c>
      <c r="I434" s="891">
        <f t="shared" si="1672"/>
        <v>0</v>
      </c>
      <c r="J434" s="891">
        <f t="shared" si="1672"/>
        <v>75308511.462648094</v>
      </c>
      <c r="K434" s="1079"/>
      <c r="L434" s="1072"/>
      <c r="M434" s="1073"/>
      <c r="N434" s="1073"/>
      <c r="O434" s="891">
        <f t="shared" ref="O434:R434" si="1673">O383</f>
        <v>134526603.60952502</v>
      </c>
      <c r="P434" s="891">
        <f t="shared" si="1673"/>
        <v>59218092.146876924</v>
      </c>
      <c r="Q434" s="891">
        <f t="shared" si="1673"/>
        <v>34962431.936514728</v>
      </c>
      <c r="R434" s="891">
        <f t="shared" si="1673"/>
        <v>40346079.526133358</v>
      </c>
      <c r="S434" s="1079"/>
      <c r="T434" s="1072"/>
      <c r="U434" s="1073"/>
      <c r="V434" s="1073"/>
      <c r="W434" s="891">
        <f t="shared" ref="W434:Z434" si="1674">W383</f>
        <v>134526603.60952502</v>
      </c>
      <c r="X434" s="891">
        <f t="shared" si="1674"/>
        <v>59218092.146876924</v>
      </c>
      <c r="Y434" s="891">
        <f t="shared" si="1674"/>
        <v>34962431.936514728</v>
      </c>
      <c r="Z434" s="891">
        <f t="shared" si="1674"/>
        <v>40346079.526133358</v>
      </c>
      <c r="AA434" s="1079"/>
      <c r="AB434" s="1072"/>
      <c r="AC434" s="1073"/>
      <c r="AD434" s="1073"/>
      <c r="AE434" s="891">
        <f t="shared" ref="AE434:AH434" si="1675">AE383</f>
        <v>134526603.60952502</v>
      </c>
      <c r="AF434" s="891">
        <f t="shared" si="1675"/>
        <v>59218092.146876924</v>
      </c>
      <c r="AG434" s="891">
        <f t="shared" si="1675"/>
        <v>34962431.936514728</v>
      </c>
      <c r="AH434" s="891">
        <f t="shared" si="1675"/>
        <v>40346079.526133358</v>
      </c>
      <c r="AI434" s="1079"/>
      <c r="AJ434" s="1072"/>
      <c r="AK434" s="1073"/>
      <c r="AL434" s="1073"/>
      <c r="AM434" s="891">
        <f t="shared" ref="AM434:AP434" si="1676">AM383</f>
        <v>134526603.60952502</v>
      </c>
      <c r="AN434" s="891">
        <f t="shared" si="1676"/>
        <v>59218092.146876924</v>
      </c>
      <c r="AO434" s="891">
        <f t="shared" si="1676"/>
        <v>34962431.936514728</v>
      </c>
      <c r="AP434" s="891">
        <f t="shared" si="1676"/>
        <v>40346079.526133358</v>
      </c>
      <c r="AQ434" s="1079"/>
      <c r="AR434" s="1072"/>
      <c r="AS434" s="1073"/>
      <c r="AT434" s="1073"/>
      <c r="AU434" s="891">
        <f t="shared" ref="AU434:AX434" si="1677">AU383</f>
        <v>134526603.60952502</v>
      </c>
      <c r="AV434" s="891">
        <f t="shared" si="1677"/>
        <v>59218092.146876924</v>
      </c>
      <c r="AW434" s="891">
        <f t="shared" si="1677"/>
        <v>34962431.936514728</v>
      </c>
      <c r="AX434" s="891">
        <f t="shared" si="1677"/>
        <v>40346079.526133358</v>
      </c>
      <c r="AY434" s="1079"/>
      <c r="AZ434" s="1072"/>
      <c r="BA434" s="1073"/>
      <c r="BB434" s="1073"/>
      <c r="BC434" s="891">
        <f t="shared" ref="BC434:BF434" si="1678">BC383</f>
        <v>134526603.60952502</v>
      </c>
      <c r="BD434" s="891">
        <f t="shared" si="1678"/>
        <v>59218092.146876924</v>
      </c>
      <c r="BE434" s="891">
        <f t="shared" si="1678"/>
        <v>34962431.936514728</v>
      </c>
      <c r="BF434" s="891">
        <f t="shared" si="1678"/>
        <v>40346079.526133358</v>
      </c>
      <c r="BG434" s="1079"/>
      <c r="BH434" s="1072"/>
      <c r="BI434" s="1073"/>
      <c r="BJ434" s="1073"/>
      <c r="BK434" s="891">
        <f t="shared" ref="BK434:BN434" si="1679">BK383</f>
        <v>134526603.60952502</v>
      </c>
      <c r="BL434" s="891">
        <f t="shared" si="1679"/>
        <v>59218092.146876924</v>
      </c>
      <c r="BM434" s="891">
        <f t="shared" si="1679"/>
        <v>34962431.936514728</v>
      </c>
      <c r="BN434" s="891">
        <f t="shared" si="1679"/>
        <v>40346079.526133358</v>
      </c>
      <c r="BO434" s="1079"/>
      <c r="BP434" s="1072"/>
      <c r="BQ434" s="1073"/>
      <c r="BR434" s="1073"/>
      <c r="BS434" s="891">
        <f t="shared" ref="BS434:BV434" si="1680">BS383</f>
        <v>134526603.60952502</v>
      </c>
      <c r="BT434" s="891">
        <f t="shared" si="1680"/>
        <v>59218092.146876924</v>
      </c>
      <c r="BU434" s="891">
        <f t="shared" si="1680"/>
        <v>34962431.936514728</v>
      </c>
      <c r="BV434" s="891">
        <f t="shared" si="1680"/>
        <v>40346079.526133358</v>
      </c>
      <c r="BW434" s="1079"/>
      <c r="BX434" s="1072"/>
      <c r="BY434" s="1073"/>
      <c r="BZ434" s="1073"/>
      <c r="CA434" s="891">
        <f t="shared" ref="CA434:CD434" si="1681">CA383</f>
        <v>134526603.60952502</v>
      </c>
      <c r="CB434" s="891">
        <f t="shared" si="1681"/>
        <v>59218092.146876924</v>
      </c>
      <c r="CC434" s="891">
        <f t="shared" si="1681"/>
        <v>34962431.936514728</v>
      </c>
      <c r="CD434" s="891">
        <f t="shared" si="1681"/>
        <v>40346079.526133358</v>
      </c>
      <c r="CE434" s="1079"/>
      <c r="CF434" s="1072"/>
      <c r="CG434" s="1073"/>
      <c r="CH434" s="1073"/>
      <c r="CI434" s="891">
        <f t="shared" ref="CI434:CL434" si="1682">CI383</f>
        <v>134526603.60952502</v>
      </c>
      <c r="CJ434" s="891">
        <f t="shared" si="1682"/>
        <v>59218092.146876924</v>
      </c>
      <c r="CK434" s="891">
        <f t="shared" si="1682"/>
        <v>34962431.936514728</v>
      </c>
      <c r="CL434" s="891">
        <f t="shared" si="1682"/>
        <v>40346079.526133358</v>
      </c>
      <c r="CM434" s="1079"/>
      <c r="CN434" s="1072"/>
      <c r="CO434" s="1073"/>
      <c r="CP434" s="1073"/>
      <c r="CQ434" s="891">
        <f t="shared" ref="CQ434:CT434" si="1683">CQ383</f>
        <v>134526603.60952502</v>
      </c>
      <c r="CR434" s="891">
        <f t="shared" si="1683"/>
        <v>59218092.146876924</v>
      </c>
      <c r="CS434" s="891">
        <f t="shared" si="1683"/>
        <v>34962431.936514728</v>
      </c>
      <c r="CT434" s="891">
        <f t="shared" si="1683"/>
        <v>40346079.526133358</v>
      </c>
      <c r="CU434" s="1079"/>
      <c r="CV434" s="1072"/>
      <c r="CW434" s="1073"/>
      <c r="CX434" s="1073"/>
      <c r="CY434" s="891">
        <f t="shared" ref="CY434:DB434" si="1684">CY383</f>
        <v>134526603.60952502</v>
      </c>
      <c r="CZ434" s="891">
        <f t="shared" si="1684"/>
        <v>59218092.146876924</v>
      </c>
      <c r="DA434" s="891">
        <f t="shared" si="1684"/>
        <v>34962431.936514728</v>
      </c>
      <c r="DB434" s="891">
        <f t="shared" si="1684"/>
        <v>40346079.526133358</v>
      </c>
      <c r="DC434" s="1079"/>
      <c r="DD434" s="1072"/>
      <c r="DE434" s="1073"/>
      <c r="DF434" s="1073"/>
      <c r="DG434" s="891">
        <f t="shared" ref="DG434:DJ434" si="1685">DG383</f>
        <v>134526603.60952502</v>
      </c>
      <c r="DH434" s="891">
        <f t="shared" si="1685"/>
        <v>59218092.146876924</v>
      </c>
      <c r="DI434" s="891">
        <f t="shared" si="1685"/>
        <v>34962431.936514728</v>
      </c>
      <c r="DJ434" s="891">
        <f t="shared" si="1685"/>
        <v>40346079.526133358</v>
      </c>
      <c r="DK434" s="1079"/>
      <c r="DL434" s="1072"/>
      <c r="DM434" s="1073"/>
      <c r="DN434" s="1073"/>
      <c r="DO434" s="891">
        <f t="shared" ref="DO434:DR434" si="1686">DO383</f>
        <v>134526603.60952502</v>
      </c>
      <c r="DP434" s="891">
        <f t="shared" si="1686"/>
        <v>59218092.146876924</v>
      </c>
      <c r="DQ434" s="891">
        <f t="shared" si="1686"/>
        <v>34962431.936514728</v>
      </c>
      <c r="DR434" s="891">
        <f t="shared" si="1686"/>
        <v>40346079.526133358</v>
      </c>
      <c r="DS434" s="1079"/>
      <c r="DT434" s="1072"/>
      <c r="DU434" s="1073"/>
      <c r="DV434" s="1073"/>
      <c r="DW434" s="891">
        <f t="shared" ref="DW434:DZ434" si="1687">DW383</f>
        <v>134526603.60952502</v>
      </c>
      <c r="DX434" s="891">
        <f t="shared" si="1687"/>
        <v>59218092.146876924</v>
      </c>
      <c r="DY434" s="891">
        <f t="shared" si="1687"/>
        <v>34962431.936514728</v>
      </c>
      <c r="DZ434" s="891">
        <f t="shared" si="1687"/>
        <v>40346079.526133358</v>
      </c>
      <c r="EA434" s="1079"/>
      <c r="EB434" s="1072"/>
      <c r="EC434" s="1073"/>
      <c r="ED434" s="1073"/>
      <c r="EE434" s="891">
        <f t="shared" ref="EE434:EH434" si="1688">EE383</f>
        <v>134526603.60952502</v>
      </c>
      <c r="EF434" s="891">
        <f t="shared" si="1688"/>
        <v>59218092.146876924</v>
      </c>
      <c r="EG434" s="891">
        <f t="shared" si="1688"/>
        <v>34962431.936514728</v>
      </c>
      <c r="EH434" s="891">
        <f t="shared" si="1688"/>
        <v>40346079.526133358</v>
      </c>
      <c r="EI434" s="1079"/>
      <c r="EJ434" s="1072"/>
      <c r="EK434" s="1073"/>
      <c r="EL434" s="1073"/>
      <c r="EM434" s="891">
        <f t="shared" ref="EM434:EP434" si="1689">EM383</f>
        <v>134526603.60952502</v>
      </c>
      <c r="EN434" s="891">
        <f t="shared" si="1689"/>
        <v>59218092.146876924</v>
      </c>
      <c r="EO434" s="891">
        <f t="shared" si="1689"/>
        <v>34962431.936514728</v>
      </c>
      <c r="EP434" s="891">
        <f t="shared" si="1689"/>
        <v>40346079.526133358</v>
      </c>
      <c r="EQ434" s="1079"/>
      <c r="ER434" s="1072"/>
      <c r="ES434" s="1073"/>
      <c r="ET434" s="1073"/>
      <c r="EU434" s="891">
        <f t="shared" ref="EU434:EX434" si="1690">EU383</f>
        <v>134526603.60952502</v>
      </c>
      <c r="EV434" s="891">
        <f t="shared" si="1690"/>
        <v>59218092.146876924</v>
      </c>
      <c r="EW434" s="891">
        <f t="shared" si="1690"/>
        <v>34962431.936514728</v>
      </c>
      <c r="EX434" s="891">
        <f t="shared" si="1690"/>
        <v>40346079.526133358</v>
      </c>
      <c r="EY434" s="1079"/>
      <c r="EZ434" s="1072"/>
      <c r="FA434" s="1073"/>
      <c r="FB434" s="1073"/>
      <c r="FC434" s="891">
        <f t="shared" ref="FC434:FF434" si="1691">FC383</f>
        <v>134526603.60952502</v>
      </c>
      <c r="FD434" s="891">
        <f t="shared" si="1691"/>
        <v>59218092.146876924</v>
      </c>
      <c r="FE434" s="891">
        <f t="shared" si="1691"/>
        <v>34962431.936514728</v>
      </c>
      <c r="FF434" s="891">
        <f t="shared" si="1691"/>
        <v>40346079.526133358</v>
      </c>
      <c r="FG434" s="1079"/>
      <c r="FH434" s="1072"/>
      <c r="FI434" s="1073"/>
      <c r="FJ434" s="1073"/>
      <c r="FK434" s="891">
        <f t="shared" ref="FK434:FN434" si="1692">FK383</f>
        <v>134526603.60952502</v>
      </c>
      <c r="FL434" s="891">
        <f t="shared" si="1692"/>
        <v>59218092.146876924</v>
      </c>
      <c r="FM434" s="891">
        <f t="shared" si="1692"/>
        <v>34962431.936514728</v>
      </c>
      <c r="FN434" s="891">
        <f t="shared" si="1692"/>
        <v>40346079.526133358</v>
      </c>
      <c r="FO434" s="1079"/>
    </row>
    <row r="435" spans="2:171" x14ac:dyDescent="0.25">
      <c r="B435" s="108"/>
      <c r="C435" s="108" t="s">
        <v>127</v>
      </c>
      <c r="D435" s="1072"/>
      <c r="E435" s="905" t="str">
        <f t="shared" si="1671"/>
        <v>LABOR</v>
      </c>
      <c r="G435" s="891">
        <f t="shared" si="1672"/>
        <v>38698718.859569281</v>
      </c>
      <c r="H435" s="891">
        <f t="shared" si="1672"/>
        <v>16131692.601433367</v>
      </c>
      <c r="I435" s="891">
        <f t="shared" si="1672"/>
        <v>0</v>
      </c>
      <c r="J435" s="891">
        <f t="shared" si="1672"/>
        <v>22567026.258135919</v>
      </c>
      <c r="K435" s="1074"/>
      <c r="L435" s="1072"/>
      <c r="M435" s="1073"/>
      <c r="N435" s="1073"/>
      <c r="O435" s="891">
        <f t="shared" ref="O435:R435" si="1693">O384</f>
        <v>38698718.859569281</v>
      </c>
      <c r="P435" s="891">
        <f t="shared" si="1693"/>
        <v>16131692.601433367</v>
      </c>
      <c r="Q435" s="891">
        <f t="shared" si="1693"/>
        <v>1045227.6214519152</v>
      </c>
      <c r="R435" s="891">
        <f t="shared" si="1693"/>
        <v>21521798.636684</v>
      </c>
      <c r="S435" s="1074"/>
      <c r="T435" s="1072"/>
      <c r="U435" s="1073"/>
      <c r="V435" s="1073"/>
      <c r="W435" s="891">
        <f t="shared" ref="W435:Z435" si="1694">W384</f>
        <v>38698718.859569281</v>
      </c>
      <c r="X435" s="891">
        <f t="shared" si="1694"/>
        <v>16131692.601433367</v>
      </c>
      <c r="Y435" s="891">
        <f t="shared" si="1694"/>
        <v>1045227.6214519152</v>
      </c>
      <c r="Z435" s="891">
        <f t="shared" si="1694"/>
        <v>21521798.636684</v>
      </c>
      <c r="AA435" s="1074"/>
      <c r="AB435" s="1072"/>
      <c r="AC435" s="1073"/>
      <c r="AD435" s="1073"/>
      <c r="AE435" s="891">
        <f t="shared" ref="AE435:AH435" si="1695">AE384</f>
        <v>38698718.859569281</v>
      </c>
      <c r="AF435" s="891">
        <f t="shared" si="1695"/>
        <v>16131692.601433367</v>
      </c>
      <c r="AG435" s="891">
        <f t="shared" si="1695"/>
        <v>1045227.6214519152</v>
      </c>
      <c r="AH435" s="891">
        <f t="shared" si="1695"/>
        <v>21521798.636684</v>
      </c>
      <c r="AI435" s="1074"/>
      <c r="AJ435" s="1072"/>
      <c r="AK435" s="1073"/>
      <c r="AL435" s="1073"/>
      <c r="AM435" s="891">
        <f t="shared" ref="AM435:AP435" si="1696">AM384</f>
        <v>38698718.859569281</v>
      </c>
      <c r="AN435" s="891">
        <f t="shared" si="1696"/>
        <v>16131692.601433367</v>
      </c>
      <c r="AO435" s="891">
        <f t="shared" si="1696"/>
        <v>1045227.6214519152</v>
      </c>
      <c r="AP435" s="891">
        <f t="shared" si="1696"/>
        <v>21521798.636684</v>
      </c>
      <c r="AQ435" s="1074"/>
      <c r="AR435" s="1072"/>
      <c r="AS435" s="1073"/>
      <c r="AT435" s="1073"/>
      <c r="AU435" s="891">
        <f t="shared" ref="AU435:AX435" si="1697">AU384</f>
        <v>38698718.859569281</v>
      </c>
      <c r="AV435" s="891">
        <f t="shared" si="1697"/>
        <v>16131692.601433367</v>
      </c>
      <c r="AW435" s="891">
        <f t="shared" si="1697"/>
        <v>1045227.6214519152</v>
      </c>
      <c r="AX435" s="891">
        <f t="shared" si="1697"/>
        <v>21521798.636684</v>
      </c>
      <c r="AY435" s="1074"/>
      <c r="AZ435" s="1072"/>
      <c r="BA435" s="1073"/>
      <c r="BB435" s="1073"/>
      <c r="BC435" s="891">
        <f t="shared" ref="BC435:BF435" si="1698">BC384</f>
        <v>38698718.859569281</v>
      </c>
      <c r="BD435" s="891">
        <f t="shared" si="1698"/>
        <v>16131692.601433367</v>
      </c>
      <c r="BE435" s="891">
        <f t="shared" si="1698"/>
        <v>1045227.6214519152</v>
      </c>
      <c r="BF435" s="891">
        <f t="shared" si="1698"/>
        <v>21521798.636684</v>
      </c>
      <c r="BG435" s="1074"/>
      <c r="BH435" s="1072"/>
      <c r="BI435" s="1073"/>
      <c r="BJ435" s="1073"/>
      <c r="BK435" s="891">
        <f t="shared" ref="BK435:BN435" si="1699">BK384</f>
        <v>38698718.859569281</v>
      </c>
      <c r="BL435" s="891">
        <f t="shared" si="1699"/>
        <v>16131692.601433367</v>
      </c>
      <c r="BM435" s="891">
        <f t="shared" si="1699"/>
        <v>1045227.6214519152</v>
      </c>
      <c r="BN435" s="891">
        <f t="shared" si="1699"/>
        <v>21521798.636684</v>
      </c>
      <c r="BO435" s="1074"/>
      <c r="BP435" s="1072"/>
      <c r="BQ435" s="1073"/>
      <c r="BR435" s="1073"/>
      <c r="BS435" s="891">
        <f t="shared" ref="BS435:BV435" si="1700">BS384</f>
        <v>38698718.859569281</v>
      </c>
      <c r="BT435" s="891">
        <f t="shared" si="1700"/>
        <v>16131692.601433367</v>
      </c>
      <c r="BU435" s="891">
        <f t="shared" si="1700"/>
        <v>1045227.6214519152</v>
      </c>
      <c r="BV435" s="891">
        <f t="shared" si="1700"/>
        <v>21521798.636684</v>
      </c>
      <c r="BW435" s="1074"/>
      <c r="BX435" s="1072"/>
      <c r="BY435" s="1073"/>
      <c r="BZ435" s="1073"/>
      <c r="CA435" s="891">
        <f t="shared" ref="CA435:CD435" si="1701">CA384</f>
        <v>38698718.859569281</v>
      </c>
      <c r="CB435" s="891">
        <f t="shared" si="1701"/>
        <v>16131692.601433367</v>
      </c>
      <c r="CC435" s="891">
        <f t="shared" si="1701"/>
        <v>1045227.6214519152</v>
      </c>
      <c r="CD435" s="891">
        <f t="shared" si="1701"/>
        <v>21521798.636684</v>
      </c>
      <c r="CE435" s="1074"/>
      <c r="CF435" s="1072"/>
      <c r="CG435" s="1073"/>
      <c r="CH435" s="1073"/>
      <c r="CI435" s="891">
        <f t="shared" ref="CI435:CL435" si="1702">CI384</f>
        <v>38698718.859569281</v>
      </c>
      <c r="CJ435" s="891">
        <f t="shared" si="1702"/>
        <v>16131692.601433367</v>
      </c>
      <c r="CK435" s="891">
        <f t="shared" si="1702"/>
        <v>1045227.6214519152</v>
      </c>
      <c r="CL435" s="891">
        <f t="shared" si="1702"/>
        <v>21521798.636684</v>
      </c>
      <c r="CM435" s="1074"/>
      <c r="CN435" s="1072"/>
      <c r="CO435" s="1073"/>
      <c r="CP435" s="1073"/>
      <c r="CQ435" s="891">
        <f t="shared" ref="CQ435:CT435" si="1703">CQ384</f>
        <v>38698718.859569281</v>
      </c>
      <c r="CR435" s="891">
        <f t="shared" si="1703"/>
        <v>16131692.601433367</v>
      </c>
      <c r="CS435" s="891">
        <f t="shared" si="1703"/>
        <v>1045227.6214519152</v>
      </c>
      <c r="CT435" s="891">
        <f t="shared" si="1703"/>
        <v>21521798.636684</v>
      </c>
      <c r="CU435" s="1074"/>
      <c r="CV435" s="1072"/>
      <c r="CW435" s="1073"/>
      <c r="CX435" s="1073"/>
      <c r="CY435" s="891">
        <f t="shared" ref="CY435:DB435" si="1704">CY384</f>
        <v>38698718.859569281</v>
      </c>
      <c r="CZ435" s="891">
        <f t="shared" si="1704"/>
        <v>16131692.601433367</v>
      </c>
      <c r="DA435" s="891">
        <f t="shared" si="1704"/>
        <v>1045227.6214519152</v>
      </c>
      <c r="DB435" s="891">
        <f t="shared" si="1704"/>
        <v>21521798.636684</v>
      </c>
      <c r="DC435" s="1074"/>
      <c r="DD435" s="1072"/>
      <c r="DE435" s="1073"/>
      <c r="DF435" s="1073"/>
      <c r="DG435" s="891">
        <f t="shared" ref="DG435:DJ435" si="1705">DG384</f>
        <v>38698718.859569281</v>
      </c>
      <c r="DH435" s="891">
        <f t="shared" si="1705"/>
        <v>16131692.601433367</v>
      </c>
      <c r="DI435" s="891">
        <f t="shared" si="1705"/>
        <v>1045227.6214519152</v>
      </c>
      <c r="DJ435" s="891">
        <f t="shared" si="1705"/>
        <v>21521798.636684</v>
      </c>
      <c r="DK435" s="1074"/>
      <c r="DL435" s="1072"/>
      <c r="DM435" s="1073"/>
      <c r="DN435" s="1073"/>
      <c r="DO435" s="891">
        <f t="shared" ref="DO435:DR435" si="1706">DO384</f>
        <v>38698718.859569281</v>
      </c>
      <c r="DP435" s="891">
        <f t="shared" si="1706"/>
        <v>16131692.601433367</v>
      </c>
      <c r="DQ435" s="891">
        <f t="shared" si="1706"/>
        <v>1045227.6214519152</v>
      </c>
      <c r="DR435" s="891">
        <f t="shared" si="1706"/>
        <v>21521798.636684</v>
      </c>
      <c r="DS435" s="1074"/>
      <c r="DT435" s="1072"/>
      <c r="DU435" s="1073"/>
      <c r="DV435" s="1073"/>
      <c r="DW435" s="891">
        <f t="shared" ref="DW435:DZ435" si="1707">DW384</f>
        <v>38698718.859569281</v>
      </c>
      <c r="DX435" s="891">
        <f t="shared" si="1707"/>
        <v>16131692.601433367</v>
      </c>
      <c r="DY435" s="891">
        <f t="shared" si="1707"/>
        <v>1045227.6214519152</v>
      </c>
      <c r="DZ435" s="891">
        <f t="shared" si="1707"/>
        <v>21521798.636684</v>
      </c>
      <c r="EA435" s="1074"/>
      <c r="EB435" s="1072"/>
      <c r="EC435" s="1073"/>
      <c r="ED435" s="1073"/>
      <c r="EE435" s="891">
        <f t="shared" ref="EE435:EH435" si="1708">EE384</f>
        <v>38698718.859569281</v>
      </c>
      <c r="EF435" s="891">
        <f t="shared" si="1708"/>
        <v>16131692.601433367</v>
      </c>
      <c r="EG435" s="891">
        <f t="shared" si="1708"/>
        <v>1045227.6214519152</v>
      </c>
      <c r="EH435" s="891">
        <f t="shared" si="1708"/>
        <v>21521798.636684</v>
      </c>
      <c r="EI435" s="1074"/>
      <c r="EJ435" s="1072"/>
      <c r="EK435" s="1073"/>
      <c r="EL435" s="1073"/>
      <c r="EM435" s="891">
        <f t="shared" ref="EM435:EP435" si="1709">EM384</f>
        <v>38698718.859569281</v>
      </c>
      <c r="EN435" s="891">
        <f t="shared" si="1709"/>
        <v>16131692.601433367</v>
      </c>
      <c r="EO435" s="891">
        <f t="shared" si="1709"/>
        <v>1045227.6214519152</v>
      </c>
      <c r="EP435" s="891">
        <f t="shared" si="1709"/>
        <v>21521798.636684</v>
      </c>
      <c r="EQ435" s="1074"/>
      <c r="ER435" s="1072"/>
      <c r="ES435" s="1073"/>
      <c r="ET435" s="1073"/>
      <c r="EU435" s="891">
        <f t="shared" ref="EU435:EX435" si="1710">EU384</f>
        <v>38698718.859569281</v>
      </c>
      <c r="EV435" s="891">
        <f t="shared" si="1710"/>
        <v>16131692.601433367</v>
      </c>
      <c r="EW435" s="891">
        <f t="shared" si="1710"/>
        <v>1045227.6214519152</v>
      </c>
      <c r="EX435" s="891">
        <f t="shared" si="1710"/>
        <v>21521798.636684</v>
      </c>
      <c r="EY435" s="1074"/>
      <c r="EZ435" s="1072"/>
      <c r="FA435" s="1073"/>
      <c r="FB435" s="1073"/>
      <c r="FC435" s="891">
        <f t="shared" ref="FC435:FF435" si="1711">FC384</f>
        <v>38698718.859569281</v>
      </c>
      <c r="FD435" s="891">
        <f t="shared" si="1711"/>
        <v>16131692.601433367</v>
      </c>
      <c r="FE435" s="891">
        <f t="shared" si="1711"/>
        <v>1045227.6214519152</v>
      </c>
      <c r="FF435" s="891">
        <f t="shared" si="1711"/>
        <v>21521798.636684</v>
      </c>
      <c r="FG435" s="1074"/>
      <c r="FH435" s="1072"/>
      <c r="FI435" s="1073"/>
      <c r="FJ435" s="1073"/>
      <c r="FK435" s="891">
        <f t="shared" ref="FK435:FN435" si="1712">FK384</f>
        <v>38698718.859569281</v>
      </c>
      <c r="FL435" s="891">
        <f t="shared" si="1712"/>
        <v>16131692.601433367</v>
      </c>
      <c r="FM435" s="891">
        <f t="shared" si="1712"/>
        <v>1045227.6214519152</v>
      </c>
      <c r="FN435" s="891">
        <f t="shared" si="1712"/>
        <v>21521798.636684</v>
      </c>
      <c r="FO435" s="1074"/>
    </row>
    <row r="436" spans="2:171" x14ac:dyDescent="0.25">
      <c r="B436" s="108"/>
      <c r="C436" s="108" t="s">
        <v>133</v>
      </c>
      <c r="D436" s="1072"/>
      <c r="E436" s="905" t="str">
        <f t="shared" ref="E436:E437" si="1713">E390</f>
        <v>PTD</v>
      </c>
      <c r="G436" s="891">
        <f t="shared" ref="G436:J437" si="1714">G390</f>
        <v>225166384.95095226</v>
      </c>
      <c r="H436" s="891">
        <f t="shared" si="1714"/>
        <v>99117374.367879733</v>
      </c>
      <c r="I436" s="891">
        <f t="shared" si="1714"/>
        <v>0</v>
      </c>
      <c r="J436" s="891">
        <f t="shared" si="1714"/>
        <v>126049010.58307251</v>
      </c>
      <c r="K436" s="1074"/>
      <c r="L436" s="1072"/>
      <c r="M436" s="1073"/>
      <c r="N436" s="1073"/>
      <c r="O436" s="891">
        <f t="shared" ref="O436:R436" si="1715">O390</f>
        <v>225166384.95095223</v>
      </c>
      <c r="P436" s="891">
        <f t="shared" si="1715"/>
        <v>99117374.367879719</v>
      </c>
      <c r="Q436" s="891">
        <f t="shared" si="1715"/>
        <v>58519015.547950298</v>
      </c>
      <c r="R436" s="891">
        <f t="shared" si="1715"/>
        <v>67529995.035122186</v>
      </c>
      <c r="S436" s="1074"/>
      <c r="T436" s="1072"/>
      <c r="U436" s="1073"/>
      <c r="V436" s="1073"/>
      <c r="W436" s="891">
        <f t="shared" ref="W436:Z436" si="1716">W390</f>
        <v>225166384.95095223</v>
      </c>
      <c r="X436" s="891">
        <f t="shared" si="1716"/>
        <v>99117374.367879719</v>
      </c>
      <c r="Y436" s="891">
        <f t="shared" si="1716"/>
        <v>58519015.547950298</v>
      </c>
      <c r="Z436" s="891">
        <f t="shared" si="1716"/>
        <v>67529995.035122186</v>
      </c>
      <c r="AA436" s="1074"/>
      <c r="AB436" s="1072"/>
      <c r="AC436" s="1073"/>
      <c r="AD436" s="1073"/>
      <c r="AE436" s="891">
        <f t="shared" ref="AE436:AH436" si="1717">AE390</f>
        <v>225166384.95095223</v>
      </c>
      <c r="AF436" s="891">
        <f t="shared" si="1717"/>
        <v>99117374.367879719</v>
      </c>
      <c r="AG436" s="891">
        <f t="shared" si="1717"/>
        <v>58519015.547950298</v>
      </c>
      <c r="AH436" s="891">
        <f t="shared" si="1717"/>
        <v>67529995.035122186</v>
      </c>
      <c r="AI436" s="1074"/>
      <c r="AJ436" s="1072"/>
      <c r="AK436" s="1073"/>
      <c r="AL436" s="1073"/>
      <c r="AM436" s="891">
        <f t="shared" ref="AM436:AP436" si="1718">AM390</f>
        <v>225166384.95095223</v>
      </c>
      <c r="AN436" s="891">
        <f t="shared" si="1718"/>
        <v>99117374.367879719</v>
      </c>
      <c r="AO436" s="891">
        <f t="shared" si="1718"/>
        <v>58519015.547950298</v>
      </c>
      <c r="AP436" s="891">
        <f t="shared" si="1718"/>
        <v>67529995.035122186</v>
      </c>
      <c r="AQ436" s="1074"/>
      <c r="AR436" s="1072"/>
      <c r="AS436" s="1073"/>
      <c r="AT436" s="1073"/>
      <c r="AU436" s="891">
        <f t="shared" ref="AU436:AX436" si="1719">AU390</f>
        <v>225166384.95095223</v>
      </c>
      <c r="AV436" s="891">
        <f t="shared" si="1719"/>
        <v>99117374.367879719</v>
      </c>
      <c r="AW436" s="891">
        <f t="shared" si="1719"/>
        <v>58519015.547950298</v>
      </c>
      <c r="AX436" s="891">
        <f t="shared" si="1719"/>
        <v>67529995.035122186</v>
      </c>
      <c r="AY436" s="1074"/>
      <c r="AZ436" s="1072"/>
      <c r="BA436" s="1073"/>
      <c r="BB436" s="1073"/>
      <c r="BC436" s="891">
        <f t="shared" ref="BC436:BF436" si="1720">BC390</f>
        <v>225166384.95095223</v>
      </c>
      <c r="BD436" s="891">
        <f t="shared" si="1720"/>
        <v>99117374.367879719</v>
      </c>
      <c r="BE436" s="891">
        <f t="shared" si="1720"/>
        <v>58519015.547950298</v>
      </c>
      <c r="BF436" s="891">
        <f t="shared" si="1720"/>
        <v>67529995.035122186</v>
      </c>
      <c r="BG436" s="1074"/>
      <c r="BH436" s="1072"/>
      <c r="BI436" s="1073"/>
      <c r="BJ436" s="1073"/>
      <c r="BK436" s="891">
        <f t="shared" ref="BK436:BN436" si="1721">BK390</f>
        <v>225166384.95095223</v>
      </c>
      <c r="BL436" s="891">
        <f t="shared" si="1721"/>
        <v>99117374.367879719</v>
      </c>
      <c r="BM436" s="891">
        <f t="shared" si="1721"/>
        <v>58519015.547950298</v>
      </c>
      <c r="BN436" s="891">
        <f t="shared" si="1721"/>
        <v>67529995.035122186</v>
      </c>
      <c r="BO436" s="1074"/>
      <c r="BP436" s="1072"/>
      <c r="BQ436" s="1073"/>
      <c r="BR436" s="1073"/>
      <c r="BS436" s="891">
        <f t="shared" ref="BS436:BV436" si="1722">BS390</f>
        <v>225166384.95095223</v>
      </c>
      <c r="BT436" s="891">
        <f t="shared" si="1722"/>
        <v>99117374.367879719</v>
      </c>
      <c r="BU436" s="891">
        <f t="shared" si="1722"/>
        <v>58519015.547950298</v>
      </c>
      <c r="BV436" s="891">
        <f t="shared" si="1722"/>
        <v>67529995.035122186</v>
      </c>
      <c r="BW436" s="1074"/>
      <c r="BX436" s="1072"/>
      <c r="BY436" s="1073"/>
      <c r="BZ436" s="1073"/>
      <c r="CA436" s="891">
        <f t="shared" ref="CA436:CD436" si="1723">CA390</f>
        <v>225166384.95095223</v>
      </c>
      <c r="CB436" s="891">
        <f t="shared" si="1723"/>
        <v>99117374.367879719</v>
      </c>
      <c r="CC436" s="891">
        <f t="shared" si="1723"/>
        <v>58519015.547950298</v>
      </c>
      <c r="CD436" s="891">
        <f t="shared" si="1723"/>
        <v>67529995.035122186</v>
      </c>
      <c r="CE436" s="1074"/>
      <c r="CF436" s="1072"/>
      <c r="CG436" s="1073"/>
      <c r="CH436" s="1073"/>
      <c r="CI436" s="891">
        <f t="shared" ref="CI436:CL436" si="1724">CI390</f>
        <v>225166384.95095223</v>
      </c>
      <c r="CJ436" s="891">
        <f t="shared" si="1724"/>
        <v>99117374.367879719</v>
      </c>
      <c r="CK436" s="891">
        <f t="shared" si="1724"/>
        <v>58519015.547950298</v>
      </c>
      <c r="CL436" s="891">
        <f t="shared" si="1724"/>
        <v>67529995.035122186</v>
      </c>
      <c r="CM436" s="1074"/>
      <c r="CN436" s="1072"/>
      <c r="CO436" s="1073"/>
      <c r="CP436" s="1073"/>
      <c r="CQ436" s="891">
        <f t="shared" ref="CQ436:CT436" si="1725">CQ390</f>
        <v>225166384.95095223</v>
      </c>
      <c r="CR436" s="891">
        <f t="shared" si="1725"/>
        <v>99117374.367879719</v>
      </c>
      <c r="CS436" s="891">
        <f t="shared" si="1725"/>
        <v>58519015.547950298</v>
      </c>
      <c r="CT436" s="891">
        <f t="shared" si="1725"/>
        <v>67529995.035122186</v>
      </c>
      <c r="CU436" s="1074"/>
      <c r="CV436" s="1072"/>
      <c r="CW436" s="1073"/>
      <c r="CX436" s="1073"/>
      <c r="CY436" s="891">
        <f t="shared" ref="CY436:DB436" si="1726">CY390</f>
        <v>225166384.95095223</v>
      </c>
      <c r="CZ436" s="891">
        <f t="shared" si="1726"/>
        <v>99117374.367879719</v>
      </c>
      <c r="DA436" s="891">
        <f t="shared" si="1726"/>
        <v>58519015.547950298</v>
      </c>
      <c r="DB436" s="891">
        <f t="shared" si="1726"/>
        <v>67529995.035122186</v>
      </c>
      <c r="DC436" s="1074"/>
      <c r="DD436" s="1072"/>
      <c r="DE436" s="1073"/>
      <c r="DF436" s="1073"/>
      <c r="DG436" s="891">
        <f t="shared" ref="DG436:DJ436" si="1727">DG390</f>
        <v>225166384.95095223</v>
      </c>
      <c r="DH436" s="891">
        <f t="shared" si="1727"/>
        <v>99117374.367879719</v>
      </c>
      <c r="DI436" s="891">
        <f t="shared" si="1727"/>
        <v>58519015.547950298</v>
      </c>
      <c r="DJ436" s="891">
        <f t="shared" si="1727"/>
        <v>67529995.035122186</v>
      </c>
      <c r="DK436" s="1074"/>
      <c r="DL436" s="1072"/>
      <c r="DM436" s="1073"/>
      <c r="DN436" s="1073"/>
      <c r="DO436" s="891">
        <f t="shared" ref="DO436:DR436" si="1728">DO390</f>
        <v>225166384.95095223</v>
      </c>
      <c r="DP436" s="891">
        <f t="shared" si="1728"/>
        <v>99117374.367879719</v>
      </c>
      <c r="DQ436" s="891">
        <f t="shared" si="1728"/>
        <v>58519015.547950298</v>
      </c>
      <c r="DR436" s="891">
        <f t="shared" si="1728"/>
        <v>67529995.035122186</v>
      </c>
      <c r="DS436" s="1074"/>
      <c r="DT436" s="1072"/>
      <c r="DU436" s="1073"/>
      <c r="DV436" s="1073"/>
      <c r="DW436" s="891">
        <f t="shared" ref="DW436:DZ436" si="1729">DW390</f>
        <v>225166384.95095223</v>
      </c>
      <c r="DX436" s="891">
        <f t="shared" si="1729"/>
        <v>99117374.367879719</v>
      </c>
      <c r="DY436" s="891">
        <f t="shared" si="1729"/>
        <v>58519015.547950298</v>
      </c>
      <c r="DZ436" s="891">
        <f t="shared" si="1729"/>
        <v>67529995.035122186</v>
      </c>
      <c r="EA436" s="1074"/>
      <c r="EB436" s="1072"/>
      <c r="EC436" s="1073"/>
      <c r="ED436" s="1073"/>
      <c r="EE436" s="891">
        <f t="shared" ref="EE436:EH436" si="1730">EE390</f>
        <v>225166384.95095223</v>
      </c>
      <c r="EF436" s="891">
        <f t="shared" si="1730"/>
        <v>99117374.367879719</v>
      </c>
      <c r="EG436" s="891">
        <f t="shared" si="1730"/>
        <v>58519015.547950298</v>
      </c>
      <c r="EH436" s="891">
        <f t="shared" si="1730"/>
        <v>67529995.035122186</v>
      </c>
      <c r="EI436" s="1074"/>
      <c r="EJ436" s="1072"/>
      <c r="EK436" s="1073"/>
      <c r="EL436" s="1073"/>
      <c r="EM436" s="891">
        <f t="shared" ref="EM436:EP436" si="1731">EM390</f>
        <v>225166384.95095223</v>
      </c>
      <c r="EN436" s="891">
        <f t="shared" si="1731"/>
        <v>99117374.367879719</v>
      </c>
      <c r="EO436" s="891">
        <f t="shared" si="1731"/>
        <v>58519015.547950298</v>
      </c>
      <c r="EP436" s="891">
        <f t="shared" si="1731"/>
        <v>67529995.035122186</v>
      </c>
      <c r="EQ436" s="1074"/>
      <c r="ER436" s="1072"/>
      <c r="ES436" s="1073"/>
      <c r="ET436" s="1073"/>
      <c r="EU436" s="891">
        <f t="shared" ref="EU436:EX436" si="1732">EU390</f>
        <v>225166384.95095223</v>
      </c>
      <c r="EV436" s="891">
        <f t="shared" si="1732"/>
        <v>99117374.367879719</v>
      </c>
      <c r="EW436" s="891">
        <f t="shared" si="1732"/>
        <v>58519015.547950298</v>
      </c>
      <c r="EX436" s="891">
        <f t="shared" si="1732"/>
        <v>67529995.035122186</v>
      </c>
      <c r="EY436" s="1074"/>
      <c r="EZ436" s="1072"/>
      <c r="FA436" s="1073"/>
      <c r="FB436" s="1073"/>
      <c r="FC436" s="891">
        <f t="shared" ref="FC436:FF436" si="1733">FC390</f>
        <v>225166384.95095223</v>
      </c>
      <c r="FD436" s="891">
        <f t="shared" si="1733"/>
        <v>99117374.367879719</v>
      </c>
      <c r="FE436" s="891">
        <f t="shared" si="1733"/>
        <v>58519015.547950298</v>
      </c>
      <c r="FF436" s="891">
        <f t="shared" si="1733"/>
        <v>67529995.035122186</v>
      </c>
      <c r="FG436" s="1074"/>
      <c r="FH436" s="1072"/>
      <c r="FI436" s="1073"/>
      <c r="FJ436" s="1073"/>
      <c r="FK436" s="891">
        <f t="shared" ref="FK436:FN436" si="1734">FK390</f>
        <v>225166384.95095223</v>
      </c>
      <c r="FL436" s="891">
        <f t="shared" si="1734"/>
        <v>99117374.367879719</v>
      </c>
      <c r="FM436" s="891">
        <f t="shared" si="1734"/>
        <v>58519015.547950298</v>
      </c>
      <c r="FN436" s="891">
        <f t="shared" si="1734"/>
        <v>67529995.035122186</v>
      </c>
      <c r="FO436" s="1074"/>
    </row>
    <row r="437" spans="2:171" x14ac:dyDescent="0.25">
      <c r="B437" s="108"/>
      <c r="C437" s="108" t="s">
        <v>134</v>
      </c>
      <c r="D437" s="1072"/>
      <c r="E437" s="905" t="str">
        <f t="shared" si="1713"/>
        <v>PTD</v>
      </c>
      <c r="G437" s="891">
        <f t="shared" si="1714"/>
        <v>3889871.2322740913</v>
      </c>
      <c r="H437" s="891">
        <f t="shared" si="1714"/>
        <v>1712306.316309788</v>
      </c>
      <c r="I437" s="891">
        <f t="shared" si="1714"/>
        <v>0</v>
      </c>
      <c r="J437" s="891">
        <f t="shared" si="1714"/>
        <v>2177564.9159643031</v>
      </c>
      <c r="K437" s="1079"/>
      <c r="L437" s="1072"/>
      <c r="M437" s="1073"/>
      <c r="N437" s="1073"/>
      <c r="O437" s="891">
        <f t="shared" ref="O437:R437" si="1735">O391</f>
        <v>3889871.2322740913</v>
      </c>
      <c r="P437" s="891">
        <f t="shared" si="1735"/>
        <v>1712306.316309788</v>
      </c>
      <c r="Q437" s="891">
        <f t="shared" si="1735"/>
        <v>1010947.6828459847</v>
      </c>
      <c r="R437" s="891">
        <f t="shared" si="1735"/>
        <v>1166617.2331183183</v>
      </c>
      <c r="S437" s="1079"/>
      <c r="T437" s="1072"/>
      <c r="U437" s="1073"/>
      <c r="V437" s="1073"/>
      <c r="W437" s="891">
        <f t="shared" ref="W437:Z437" si="1736">W391</f>
        <v>3889871.2322740913</v>
      </c>
      <c r="X437" s="891">
        <f t="shared" si="1736"/>
        <v>1712306.316309788</v>
      </c>
      <c r="Y437" s="891">
        <f t="shared" si="1736"/>
        <v>1010947.6828459847</v>
      </c>
      <c r="Z437" s="891">
        <f t="shared" si="1736"/>
        <v>1166617.2331183183</v>
      </c>
      <c r="AA437" s="1079"/>
      <c r="AB437" s="1072"/>
      <c r="AC437" s="1073"/>
      <c r="AD437" s="1073"/>
      <c r="AE437" s="891">
        <f t="shared" ref="AE437:AH437" si="1737">AE391</f>
        <v>3889871.2322740913</v>
      </c>
      <c r="AF437" s="891">
        <f t="shared" si="1737"/>
        <v>1712306.316309788</v>
      </c>
      <c r="AG437" s="891">
        <f t="shared" si="1737"/>
        <v>1010947.6828459847</v>
      </c>
      <c r="AH437" s="891">
        <f t="shared" si="1737"/>
        <v>1166617.2331183183</v>
      </c>
      <c r="AI437" s="1079"/>
      <c r="AJ437" s="1072"/>
      <c r="AK437" s="1073"/>
      <c r="AL437" s="1073"/>
      <c r="AM437" s="891">
        <f t="shared" ref="AM437:AP437" si="1738">AM391</f>
        <v>3889871.2322740913</v>
      </c>
      <c r="AN437" s="891">
        <f t="shared" si="1738"/>
        <v>1712306.316309788</v>
      </c>
      <c r="AO437" s="891">
        <f t="shared" si="1738"/>
        <v>1010947.6828459847</v>
      </c>
      <c r="AP437" s="891">
        <f t="shared" si="1738"/>
        <v>1166617.2331183183</v>
      </c>
      <c r="AQ437" s="1079"/>
      <c r="AR437" s="1072"/>
      <c r="AS437" s="1073"/>
      <c r="AT437" s="1073"/>
      <c r="AU437" s="891">
        <f t="shared" ref="AU437:AX437" si="1739">AU391</f>
        <v>3889871.2322740913</v>
      </c>
      <c r="AV437" s="891">
        <f t="shared" si="1739"/>
        <v>1712306.316309788</v>
      </c>
      <c r="AW437" s="891">
        <f t="shared" si="1739"/>
        <v>1010947.6828459847</v>
      </c>
      <c r="AX437" s="891">
        <f t="shared" si="1739"/>
        <v>1166617.2331183183</v>
      </c>
      <c r="AY437" s="1079"/>
      <c r="AZ437" s="1072"/>
      <c r="BA437" s="1073"/>
      <c r="BB437" s="1073"/>
      <c r="BC437" s="891">
        <f t="shared" ref="BC437:BF437" si="1740">BC391</f>
        <v>3889871.2322740913</v>
      </c>
      <c r="BD437" s="891">
        <f t="shared" si="1740"/>
        <v>1712306.316309788</v>
      </c>
      <c r="BE437" s="891">
        <f t="shared" si="1740"/>
        <v>1010947.6828459847</v>
      </c>
      <c r="BF437" s="891">
        <f t="shared" si="1740"/>
        <v>1166617.2331183183</v>
      </c>
      <c r="BG437" s="1079"/>
      <c r="BH437" s="1072"/>
      <c r="BI437" s="1073"/>
      <c r="BJ437" s="1073"/>
      <c r="BK437" s="891">
        <f t="shared" ref="BK437:BN437" si="1741">BK391</f>
        <v>3889871.2322740913</v>
      </c>
      <c r="BL437" s="891">
        <f t="shared" si="1741"/>
        <v>1712306.316309788</v>
      </c>
      <c r="BM437" s="891">
        <f t="shared" si="1741"/>
        <v>1010947.6828459847</v>
      </c>
      <c r="BN437" s="891">
        <f t="shared" si="1741"/>
        <v>1166617.2331183183</v>
      </c>
      <c r="BO437" s="1079"/>
      <c r="BP437" s="1072"/>
      <c r="BQ437" s="1073"/>
      <c r="BR437" s="1073"/>
      <c r="BS437" s="891">
        <f t="shared" ref="BS437:BV437" si="1742">BS391</f>
        <v>3889871.2322740913</v>
      </c>
      <c r="BT437" s="891">
        <f t="shared" si="1742"/>
        <v>1712306.316309788</v>
      </c>
      <c r="BU437" s="891">
        <f t="shared" si="1742"/>
        <v>1010947.6828459847</v>
      </c>
      <c r="BV437" s="891">
        <f t="shared" si="1742"/>
        <v>1166617.2331183183</v>
      </c>
      <c r="BW437" s="1079"/>
      <c r="BX437" s="1072"/>
      <c r="BY437" s="1073"/>
      <c r="BZ437" s="1073"/>
      <c r="CA437" s="891">
        <f t="shared" ref="CA437:CD437" si="1743">CA391</f>
        <v>3889871.2322740913</v>
      </c>
      <c r="CB437" s="891">
        <f t="shared" si="1743"/>
        <v>1712306.316309788</v>
      </c>
      <c r="CC437" s="891">
        <f t="shared" si="1743"/>
        <v>1010947.6828459847</v>
      </c>
      <c r="CD437" s="891">
        <f t="shared" si="1743"/>
        <v>1166617.2331183183</v>
      </c>
      <c r="CE437" s="1079"/>
      <c r="CF437" s="1072"/>
      <c r="CG437" s="1073"/>
      <c r="CH437" s="1073"/>
      <c r="CI437" s="891">
        <f t="shared" ref="CI437:CL437" si="1744">CI391</f>
        <v>3889871.2322740913</v>
      </c>
      <c r="CJ437" s="891">
        <f t="shared" si="1744"/>
        <v>1712306.316309788</v>
      </c>
      <c r="CK437" s="891">
        <f t="shared" si="1744"/>
        <v>1010947.6828459847</v>
      </c>
      <c r="CL437" s="891">
        <f t="shared" si="1744"/>
        <v>1166617.2331183183</v>
      </c>
      <c r="CM437" s="1079"/>
      <c r="CN437" s="1072"/>
      <c r="CO437" s="1073"/>
      <c r="CP437" s="1073"/>
      <c r="CQ437" s="891">
        <f t="shared" ref="CQ437:CT437" si="1745">CQ391</f>
        <v>3889871.2322740913</v>
      </c>
      <c r="CR437" s="891">
        <f t="shared" si="1745"/>
        <v>1712306.316309788</v>
      </c>
      <c r="CS437" s="891">
        <f t="shared" si="1745"/>
        <v>1010947.6828459847</v>
      </c>
      <c r="CT437" s="891">
        <f t="shared" si="1745"/>
        <v>1166617.2331183183</v>
      </c>
      <c r="CU437" s="1079"/>
      <c r="CV437" s="1072"/>
      <c r="CW437" s="1073"/>
      <c r="CX437" s="1073"/>
      <c r="CY437" s="891">
        <f t="shared" ref="CY437:DB437" si="1746">CY391</f>
        <v>3889871.2322740913</v>
      </c>
      <c r="CZ437" s="891">
        <f t="shared" si="1746"/>
        <v>1712306.316309788</v>
      </c>
      <c r="DA437" s="891">
        <f t="shared" si="1746"/>
        <v>1010947.6828459847</v>
      </c>
      <c r="DB437" s="891">
        <f t="shared" si="1746"/>
        <v>1166617.2331183183</v>
      </c>
      <c r="DC437" s="1079"/>
      <c r="DD437" s="1072"/>
      <c r="DE437" s="1073"/>
      <c r="DF437" s="1073"/>
      <c r="DG437" s="891">
        <f t="shared" ref="DG437:DJ437" si="1747">DG391</f>
        <v>3889871.2322740913</v>
      </c>
      <c r="DH437" s="891">
        <f t="shared" si="1747"/>
        <v>1712306.316309788</v>
      </c>
      <c r="DI437" s="891">
        <f t="shared" si="1747"/>
        <v>1010947.6828459847</v>
      </c>
      <c r="DJ437" s="891">
        <f t="shared" si="1747"/>
        <v>1166617.2331183183</v>
      </c>
      <c r="DK437" s="1079"/>
      <c r="DL437" s="1072"/>
      <c r="DM437" s="1073"/>
      <c r="DN437" s="1073"/>
      <c r="DO437" s="891">
        <f t="shared" ref="DO437:DR437" si="1748">DO391</f>
        <v>3889871.2322740913</v>
      </c>
      <c r="DP437" s="891">
        <f t="shared" si="1748"/>
        <v>1712306.316309788</v>
      </c>
      <c r="DQ437" s="891">
        <f t="shared" si="1748"/>
        <v>1010947.6828459847</v>
      </c>
      <c r="DR437" s="891">
        <f t="shared" si="1748"/>
        <v>1166617.2331183183</v>
      </c>
      <c r="DS437" s="1079"/>
      <c r="DT437" s="1072"/>
      <c r="DU437" s="1073"/>
      <c r="DV437" s="1073"/>
      <c r="DW437" s="891">
        <f t="shared" ref="DW437:DZ437" si="1749">DW391</f>
        <v>3889871.2322740913</v>
      </c>
      <c r="DX437" s="891">
        <f t="shared" si="1749"/>
        <v>1712306.316309788</v>
      </c>
      <c r="DY437" s="891">
        <f t="shared" si="1749"/>
        <v>1010947.6828459847</v>
      </c>
      <c r="DZ437" s="891">
        <f t="shared" si="1749"/>
        <v>1166617.2331183183</v>
      </c>
      <c r="EA437" s="1079"/>
      <c r="EB437" s="1072"/>
      <c r="EC437" s="1073"/>
      <c r="ED437" s="1073"/>
      <c r="EE437" s="891">
        <f t="shared" ref="EE437:EH437" si="1750">EE391</f>
        <v>3889871.2322740913</v>
      </c>
      <c r="EF437" s="891">
        <f t="shared" si="1750"/>
        <v>1712306.316309788</v>
      </c>
      <c r="EG437" s="891">
        <f t="shared" si="1750"/>
        <v>1010947.6828459847</v>
      </c>
      <c r="EH437" s="891">
        <f t="shared" si="1750"/>
        <v>1166617.2331183183</v>
      </c>
      <c r="EI437" s="1079"/>
      <c r="EJ437" s="1072"/>
      <c r="EK437" s="1073"/>
      <c r="EL437" s="1073"/>
      <c r="EM437" s="891">
        <f t="shared" ref="EM437:EP437" si="1751">EM391</f>
        <v>3889871.2322740913</v>
      </c>
      <c r="EN437" s="891">
        <f t="shared" si="1751"/>
        <v>1712306.316309788</v>
      </c>
      <c r="EO437" s="891">
        <f t="shared" si="1751"/>
        <v>1010947.6828459847</v>
      </c>
      <c r="EP437" s="891">
        <f t="shared" si="1751"/>
        <v>1166617.2331183183</v>
      </c>
      <c r="EQ437" s="1079"/>
      <c r="ER437" s="1072"/>
      <c r="ES437" s="1073"/>
      <c r="ET437" s="1073"/>
      <c r="EU437" s="891">
        <f t="shared" ref="EU437:EX437" si="1752">EU391</f>
        <v>3889871.2322740913</v>
      </c>
      <c r="EV437" s="891">
        <f t="shared" si="1752"/>
        <v>1712306.316309788</v>
      </c>
      <c r="EW437" s="891">
        <f t="shared" si="1752"/>
        <v>1010947.6828459847</v>
      </c>
      <c r="EX437" s="891">
        <f t="shared" si="1752"/>
        <v>1166617.2331183183</v>
      </c>
      <c r="EY437" s="1079"/>
      <c r="EZ437" s="1072"/>
      <c r="FA437" s="1073"/>
      <c r="FB437" s="1073"/>
      <c r="FC437" s="891">
        <f t="shared" ref="FC437:FF437" si="1753">FC391</f>
        <v>3889871.2322740913</v>
      </c>
      <c r="FD437" s="891">
        <f t="shared" si="1753"/>
        <v>1712306.316309788</v>
      </c>
      <c r="FE437" s="891">
        <f t="shared" si="1753"/>
        <v>1010947.6828459847</v>
      </c>
      <c r="FF437" s="891">
        <f t="shared" si="1753"/>
        <v>1166617.2331183183</v>
      </c>
      <c r="FG437" s="1079"/>
      <c r="FH437" s="1072"/>
      <c r="FI437" s="1073"/>
      <c r="FJ437" s="1073"/>
      <c r="FK437" s="891">
        <f t="shared" ref="FK437:FN437" si="1754">FK391</f>
        <v>3889871.2322740913</v>
      </c>
      <c r="FL437" s="891">
        <f t="shared" si="1754"/>
        <v>1712306.316309788</v>
      </c>
      <c r="FM437" s="891">
        <f t="shared" si="1754"/>
        <v>1010947.6828459847</v>
      </c>
      <c r="FN437" s="891">
        <f t="shared" si="1754"/>
        <v>1166617.2331183183</v>
      </c>
      <c r="FO437" s="1079"/>
    </row>
    <row r="438" spans="2:171" x14ac:dyDescent="0.25">
      <c r="B438" s="108"/>
      <c r="C438" s="108" t="s">
        <v>523</v>
      </c>
      <c r="D438" s="1072"/>
      <c r="E438" s="124"/>
      <c r="F438" s="1073"/>
      <c r="G438" s="1634">
        <f>SUM(G434:G437)</f>
        <v>402281578.65232068</v>
      </c>
      <c r="H438" s="1634">
        <f>SUM(H434:H437)</f>
        <v>176179465.4324998</v>
      </c>
      <c r="I438" s="1634">
        <f>SUM(I434:I437)</f>
        <v>0</v>
      </c>
      <c r="J438" s="1634">
        <f>SUM(J434:J437)</f>
        <v>226102113.21982083</v>
      </c>
      <c r="K438" s="1074"/>
      <c r="L438" s="1072"/>
      <c r="M438" s="1073"/>
      <c r="N438" s="1073"/>
      <c r="O438" s="1634">
        <f>SUM(O434:O437)</f>
        <v>402281578.65232068</v>
      </c>
      <c r="P438" s="1634">
        <f>SUM(P434:P437)</f>
        <v>176179465.4324998</v>
      </c>
      <c r="Q438" s="1634">
        <f>SUM(Q434:Q437)</f>
        <v>95537622.788762927</v>
      </c>
      <c r="R438" s="1634">
        <f>SUM(R434:R437)</f>
        <v>130564490.43105787</v>
      </c>
      <c r="S438" s="1074"/>
      <c r="T438" s="1072"/>
      <c r="U438" s="1073"/>
      <c r="V438" s="1073"/>
      <c r="W438" s="1634">
        <f>SUM(W434:W437)</f>
        <v>402281578.65232068</v>
      </c>
      <c r="X438" s="1634">
        <f>SUM(X434:X437)</f>
        <v>176179465.4324998</v>
      </c>
      <c r="Y438" s="1634">
        <f>SUM(Y434:Y437)</f>
        <v>95537622.788762927</v>
      </c>
      <c r="Z438" s="1634">
        <f>SUM(Z434:Z437)</f>
        <v>130564490.43105787</v>
      </c>
      <c r="AA438" s="1074"/>
      <c r="AB438" s="1072"/>
      <c r="AC438" s="1073"/>
      <c r="AD438" s="1073"/>
      <c r="AE438" s="1634">
        <f>SUM(AE434:AE437)</f>
        <v>402281578.65232068</v>
      </c>
      <c r="AF438" s="1634">
        <f>SUM(AF434:AF437)</f>
        <v>176179465.4324998</v>
      </c>
      <c r="AG438" s="1634">
        <f>SUM(AG434:AG437)</f>
        <v>95537622.788762927</v>
      </c>
      <c r="AH438" s="1634">
        <f>SUM(AH434:AH437)</f>
        <v>130564490.43105787</v>
      </c>
      <c r="AI438" s="1074"/>
      <c r="AJ438" s="1072"/>
      <c r="AK438" s="1073"/>
      <c r="AL438" s="1073"/>
      <c r="AM438" s="1634">
        <f>SUM(AM434:AM437)</f>
        <v>402281578.65232068</v>
      </c>
      <c r="AN438" s="1634">
        <f>SUM(AN434:AN437)</f>
        <v>176179465.4324998</v>
      </c>
      <c r="AO438" s="1634">
        <f>SUM(AO434:AO437)</f>
        <v>95537622.788762927</v>
      </c>
      <c r="AP438" s="1634">
        <f>SUM(AP434:AP437)</f>
        <v>130564490.43105787</v>
      </c>
      <c r="AQ438" s="1074"/>
      <c r="AR438" s="1072"/>
      <c r="AS438" s="1073"/>
      <c r="AT438" s="1073"/>
      <c r="AU438" s="1634">
        <f>SUM(AU434:AU437)</f>
        <v>402281578.65232068</v>
      </c>
      <c r="AV438" s="1634">
        <f>SUM(AV434:AV437)</f>
        <v>176179465.4324998</v>
      </c>
      <c r="AW438" s="1634">
        <f>SUM(AW434:AW437)</f>
        <v>95537622.788762927</v>
      </c>
      <c r="AX438" s="1634">
        <f>SUM(AX434:AX437)</f>
        <v>130564490.43105787</v>
      </c>
      <c r="AY438" s="1074"/>
      <c r="AZ438" s="1072"/>
      <c r="BA438" s="1073"/>
      <c r="BB438" s="1073"/>
      <c r="BC438" s="1634">
        <f>SUM(BC434:BC437)</f>
        <v>402281578.65232068</v>
      </c>
      <c r="BD438" s="1634">
        <f>SUM(BD434:BD437)</f>
        <v>176179465.4324998</v>
      </c>
      <c r="BE438" s="1634">
        <f>SUM(BE434:BE437)</f>
        <v>95537622.788762927</v>
      </c>
      <c r="BF438" s="1634">
        <f>SUM(BF434:BF437)</f>
        <v>130564490.43105787</v>
      </c>
      <c r="BG438" s="1074"/>
      <c r="BH438" s="1072"/>
      <c r="BI438" s="1073"/>
      <c r="BJ438" s="1073"/>
      <c r="BK438" s="1634">
        <f>SUM(BK434:BK437)</f>
        <v>402281578.65232068</v>
      </c>
      <c r="BL438" s="1634">
        <f>SUM(BL434:BL437)</f>
        <v>176179465.4324998</v>
      </c>
      <c r="BM438" s="1634">
        <f>SUM(BM434:BM437)</f>
        <v>95537622.788762927</v>
      </c>
      <c r="BN438" s="1634">
        <f>SUM(BN434:BN437)</f>
        <v>130564490.43105787</v>
      </c>
      <c r="BO438" s="1074"/>
      <c r="BP438" s="1072"/>
      <c r="BQ438" s="1073"/>
      <c r="BR438" s="1073"/>
      <c r="BS438" s="1634">
        <f>SUM(BS434:BS437)</f>
        <v>402281578.65232068</v>
      </c>
      <c r="BT438" s="1634">
        <f>SUM(BT434:BT437)</f>
        <v>176179465.4324998</v>
      </c>
      <c r="BU438" s="1634">
        <f>SUM(BU434:BU437)</f>
        <v>95537622.788762927</v>
      </c>
      <c r="BV438" s="1634">
        <f>SUM(BV434:BV437)</f>
        <v>130564490.43105787</v>
      </c>
      <c r="BW438" s="1074"/>
      <c r="BX438" s="1072"/>
      <c r="BY438" s="1073"/>
      <c r="BZ438" s="1073"/>
      <c r="CA438" s="1634">
        <f>SUM(CA434:CA437)</f>
        <v>402281578.65232068</v>
      </c>
      <c r="CB438" s="1634">
        <f>SUM(CB434:CB437)</f>
        <v>176179465.4324998</v>
      </c>
      <c r="CC438" s="1634">
        <f>SUM(CC434:CC437)</f>
        <v>95537622.788762927</v>
      </c>
      <c r="CD438" s="1634">
        <f>SUM(CD434:CD437)</f>
        <v>130564490.43105787</v>
      </c>
      <c r="CE438" s="1074"/>
      <c r="CF438" s="1072"/>
      <c r="CG438" s="1073"/>
      <c r="CH438" s="1073"/>
      <c r="CI438" s="1634">
        <f>SUM(CI434:CI437)</f>
        <v>402281578.65232068</v>
      </c>
      <c r="CJ438" s="1634">
        <f>SUM(CJ434:CJ437)</f>
        <v>176179465.4324998</v>
      </c>
      <c r="CK438" s="1634">
        <f>SUM(CK434:CK437)</f>
        <v>95537622.788762927</v>
      </c>
      <c r="CL438" s="1634">
        <f>SUM(CL434:CL437)</f>
        <v>130564490.43105787</v>
      </c>
      <c r="CM438" s="1074"/>
      <c r="CN438" s="1072"/>
      <c r="CO438" s="1073"/>
      <c r="CP438" s="1073"/>
      <c r="CQ438" s="1634">
        <f>SUM(CQ434:CQ437)</f>
        <v>402281578.65232068</v>
      </c>
      <c r="CR438" s="1634">
        <f>SUM(CR434:CR437)</f>
        <v>176179465.4324998</v>
      </c>
      <c r="CS438" s="1634">
        <f>SUM(CS434:CS437)</f>
        <v>95537622.788762927</v>
      </c>
      <c r="CT438" s="1634">
        <f>SUM(CT434:CT437)</f>
        <v>130564490.43105787</v>
      </c>
      <c r="CU438" s="1074"/>
      <c r="CV438" s="1072"/>
      <c r="CW438" s="1073"/>
      <c r="CX438" s="1073"/>
      <c r="CY438" s="1634">
        <f>SUM(CY434:CY437)</f>
        <v>402281578.65232068</v>
      </c>
      <c r="CZ438" s="1634">
        <f>SUM(CZ434:CZ437)</f>
        <v>176179465.4324998</v>
      </c>
      <c r="DA438" s="1634">
        <f>SUM(DA434:DA437)</f>
        <v>95537622.788762927</v>
      </c>
      <c r="DB438" s="1634">
        <f>SUM(DB434:DB437)</f>
        <v>130564490.43105787</v>
      </c>
      <c r="DC438" s="1074"/>
      <c r="DD438" s="1072"/>
      <c r="DE438" s="1073"/>
      <c r="DF438" s="1073"/>
      <c r="DG438" s="1634">
        <f>SUM(DG434:DG437)</f>
        <v>402281578.65232068</v>
      </c>
      <c r="DH438" s="1634">
        <f>SUM(DH434:DH437)</f>
        <v>176179465.4324998</v>
      </c>
      <c r="DI438" s="1634">
        <f>SUM(DI434:DI437)</f>
        <v>95537622.788762927</v>
      </c>
      <c r="DJ438" s="1634">
        <f>SUM(DJ434:DJ437)</f>
        <v>130564490.43105787</v>
      </c>
      <c r="DK438" s="1074"/>
      <c r="DL438" s="1072"/>
      <c r="DM438" s="1073"/>
      <c r="DN438" s="1073"/>
      <c r="DO438" s="1634">
        <f>SUM(DO434:DO437)</f>
        <v>402281578.65232068</v>
      </c>
      <c r="DP438" s="1634">
        <f>SUM(DP434:DP437)</f>
        <v>176179465.4324998</v>
      </c>
      <c r="DQ438" s="1634">
        <f>SUM(DQ434:DQ437)</f>
        <v>95537622.788762927</v>
      </c>
      <c r="DR438" s="1634">
        <f>SUM(DR434:DR437)</f>
        <v>130564490.43105787</v>
      </c>
      <c r="DS438" s="1074"/>
      <c r="DT438" s="1072"/>
      <c r="DU438" s="1073"/>
      <c r="DV438" s="1073"/>
      <c r="DW438" s="1634">
        <f>SUM(DW434:DW437)</f>
        <v>402281578.65232068</v>
      </c>
      <c r="DX438" s="1634">
        <f>SUM(DX434:DX437)</f>
        <v>176179465.4324998</v>
      </c>
      <c r="DY438" s="1634">
        <f>SUM(DY434:DY437)</f>
        <v>95537622.788762927</v>
      </c>
      <c r="DZ438" s="1634">
        <f>SUM(DZ434:DZ437)</f>
        <v>130564490.43105787</v>
      </c>
      <c r="EA438" s="1074"/>
      <c r="EB438" s="1072"/>
      <c r="EC438" s="1073"/>
      <c r="ED438" s="1073"/>
      <c r="EE438" s="1634">
        <f>SUM(EE434:EE437)</f>
        <v>402281578.65232068</v>
      </c>
      <c r="EF438" s="1634">
        <f>SUM(EF434:EF437)</f>
        <v>176179465.4324998</v>
      </c>
      <c r="EG438" s="1634">
        <f>SUM(EG434:EG437)</f>
        <v>95537622.788762927</v>
      </c>
      <c r="EH438" s="1634">
        <f>SUM(EH434:EH437)</f>
        <v>130564490.43105787</v>
      </c>
      <c r="EI438" s="1074"/>
      <c r="EJ438" s="1072"/>
      <c r="EK438" s="1073"/>
      <c r="EL438" s="1073"/>
      <c r="EM438" s="1634">
        <f>SUM(EM434:EM437)</f>
        <v>402281578.65232068</v>
      </c>
      <c r="EN438" s="1634">
        <f>SUM(EN434:EN437)</f>
        <v>176179465.4324998</v>
      </c>
      <c r="EO438" s="1634">
        <f>SUM(EO434:EO437)</f>
        <v>95537622.788762927</v>
      </c>
      <c r="EP438" s="1634">
        <f>SUM(EP434:EP437)</f>
        <v>130564490.43105787</v>
      </c>
      <c r="EQ438" s="1074"/>
      <c r="ER438" s="1072"/>
      <c r="ES438" s="1073"/>
      <c r="ET438" s="1073"/>
      <c r="EU438" s="1634">
        <f>SUM(EU434:EU437)</f>
        <v>402281578.65232068</v>
      </c>
      <c r="EV438" s="1634">
        <f>SUM(EV434:EV437)</f>
        <v>176179465.4324998</v>
      </c>
      <c r="EW438" s="1634">
        <f>SUM(EW434:EW437)</f>
        <v>95537622.788762927</v>
      </c>
      <c r="EX438" s="1634">
        <f>SUM(EX434:EX437)</f>
        <v>130564490.43105787</v>
      </c>
      <c r="EY438" s="1074"/>
      <c r="EZ438" s="1072"/>
      <c r="FA438" s="1073"/>
      <c r="FB438" s="1073"/>
      <c r="FC438" s="1634">
        <f>SUM(FC434:FC437)</f>
        <v>402281578.65232068</v>
      </c>
      <c r="FD438" s="1634">
        <f>SUM(FD434:FD437)</f>
        <v>176179465.4324998</v>
      </c>
      <c r="FE438" s="1634">
        <f>SUM(FE434:FE437)</f>
        <v>95537622.788762927</v>
      </c>
      <c r="FF438" s="1634">
        <f>SUM(FF434:FF437)</f>
        <v>130564490.43105787</v>
      </c>
      <c r="FG438" s="1074"/>
      <c r="FH438" s="1072"/>
      <c r="FI438" s="1073"/>
      <c r="FJ438" s="1073"/>
      <c r="FK438" s="1634">
        <f>SUM(FK434:FK437)</f>
        <v>402281578.65232068</v>
      </c>
      <c r="FL438" s="1634">
        <f>SUM(FL434:FL437)</f>
        <v>176179465.4324998</v>
      </c>
      <c r="FM438" s="1634">
        <f>SUM(FM434:FM437)</f>
        <v>95537622.788762927</v>
      </c>
      <c r="FN438" s="1634">
        <f>SUM(FN434:FN437)</f>
        <v>130564490.43105787</v>
      </c>
      <c r="FO438" s="1074"/>
    </row>
    <row r="439" spans="2:171" x14ac:dyDescent="0.25">
      <c r="B439" s="123"/>
      <c r="C439" s="123" t="s">
        <v>346</v>
      </c>
      <c r="D439" s="1296" t="s">
        <v>641</v>
      </c>
      <c r="E439" s="564"/>
      <c r="F439" s="1076"/>
      <c r="G439" s="1635">
        <f>SUM(H439:J439)</f>
        <v>0.99999999999999978</v>
      </c>
      <c r="H439" s="1635">
        <f>H438/G438</f>
        <v>0.43795061663702523</v>
      </c>
      <c r="I439" s="1635">
        <f>I438/G438</f>
        <v>0</v>
      </c>
      <c r="J439" s="1635">
        <f>J438/G438</f>
        <v>0.56204938336297461</v>
      </c>
      <c r="K439" s="1074"/>
      <c r="L439" s="1075" t="s">
        <v>641</v>
      </c>
      <c r="M439" s="1076"/>
      <c r="N439" s="1076"/>
      <c r="O439" s="1635">
        <f>SUM(P439:R439)</f>
        <v>0.99999999999999978</v>
      </c>
      <c r="P439" s="1635">
        <f>P438/O438</f>
        <v>0.43795061663702523</v>
      </c>
      <c r="Q439" s="1635">
        <f>Q438/O438</f>
        <v>0.23748942993816052</v>
      </c>
      <c r="R439" s="1635">
        <f>R438/O438</f>
        <v>0.32455995342481403</v>
      </c>
      <c r="S439" s="1074"/>
      <c r="T439" s="1075" t="s">
        <v>641</v>
      </c>
      <c r="U439" s="1076"/>
      <c r="V439" s="1076"/>
      <c r="W439" s="1635">
        <f>SUM(X439:Z439)</f>
        <v>0.99999999999999978</v>
      </c>
      <c r="X439" s="1635">
        <f>X438/W438</f>
        <v>0.43795061663702523</v>
      </c>
      <c r="Y439" s="1635">
        <f>Y438/W438</f>
        <v>0.23748942993816052</v>
      </c>
      <c r="Z439" s="1635">
        <f>Z438/W438</f>
        <v>0.32455995342481403</v>
      </c>
      <c r="AA439" s="1074"/>
      <c r="AB439" s="1075" t="s">
        <v>641</v>
      </c>
      <c r="AC439" s="1076"/>
      <c r="AD439" s="1076"/>
      <c r="AE439" s="1635">
        <f>SUM(AF439:AH439)</f>
        <v>0.99999999999999978</v>
      </c>
      <c r="AF439" s="1635">
        <f>AF438/AE438</f>
        <v>0.43795061663702523</v>
      </c>
      <c r="AG439" s="1635">
        <f>AG438/AE438</f>
        <v>0.23748942993816052</v>
      </c>
      <c r="AH439" s="1635">
        <f>AH438/AE438</f>
        <v>0.32455995342481403</v>
      </c>
      <c r="AI439" s="1074"/>
      <c r="AJ439" s="1075" t="s">
        <v>641</v>
      </c>
      <c r="AK439" s="1076"/>
      <c r="AL439" s="1076"/>
      <c r="AM439" s="1635">
        <f>SUM(AN439:AP439)</f>
        <v>0.99999999999999978</v>
      </c>
      <c r="AN439" s="1635">
        <f>AN438/AM438</f>
        <v>0.43795061663702523</v>
      </c>
      <c r="AO439" s="1635">
        <f>AO438/AM438</f>
        <v>0.23748942993816052</v>
      </c>
      <c r="AP439" s="1635">
        <f>AP438/AM438</f>
        <v>0.32455995342481403</v>
      </c>
      <c r="AQ439" s="1074"/>
      <c r="AR439" s="1075" t="s">
        <v>641</v>
      </c>
      <c r="AS439" s="1076"/>
      <c r="AT439" s="1076"/>
      <c r="AU439" s="1635">
        <f>SUM(AV439:AX439)</f>
        <v>0.99999999999999978</v>
      </c>
      <c r="AV439" s="1635">
        <f>AV438/AU438</f>
        <v>0.43795061663702523</v>
      </c>
      <c r="AW439" s="1635">
        <f>AW438/AU438</f>
        <v>0.23748942993816052</v>
      </c>
      <c r="AX439" s="1635">
        <f>AX438/AU438</f>
        <v>0.32455995342481403</v>
      </c>
      <c r="AY439" s="1074"/>
      <c r="AZ439" s="1075" t="s">
        <v>641</v>
      </c>
      <c r="BA439" s="1076"/>
      <c r="BB439" s="1076"/>
      <c r="BC439" s="1635">
        <f>SUM(BD439:BF439)</f>
        <v>0.99999999999999978</v>
      </c>
      <c r="BD439" s="1635">
        <f>BD438/BC438</f>
        <v>0.43795061663702523</v>
      </c>
      <c r="BE439" s="1635">
        <f>BE438/BC438</f>
        <v>0.23748942993816052</v>
      </c>
      <c r="BF439" s="1635">
        <f>BF438/BC438</f>
        <v>0.32455995342481403</v>
      </c>
      <c r="BG439" s="1074"/>
      <c r="BH439" s="1075" t="s">
        <v>641</v>
      </c>
      <c r="BI439" s="1076"/>
      <c r="BJ439" s="1076"/>
      <c r="BK439" s="1635">
        <f>SUM(BL439:BN439)</f>
        <v>0.99999999999999978</v>
      </c>
      <c r="BL439" s="1635">
        <f>BL438/BK438</f>
        <v>0.43795061663702523</v>
      </c>
      <c r="BM439" s="1635">
        <f>BM438/BK438</f>
        <v>0.23748942993816052</v>
      </c>
      <c r="BN439" s="1635">
        <f>BN438/BK438</f>
        <v>0.32455995342481403</v>
      </c>
      <c r="BO439" s="1074"/>
      <c r="BP439" s="1075" t="s">
        <v>641</v>
      </c>
      <c r="BQ439" s="1076"/>
      <c r="BR439" s="1076"/>
      <c r="BS439" s="1635">
        <f>SUM(BT439:BV439)</f>
        <v>0.99999999999999978</v>
      </c>
      <c r="BT439" s="1635">
        <f>BT438/BS438</f>
        <v>0.43795061663702523</v>
      </c>
      <c r="BU439" s="1635">
        <f>BU438/BS438</f>
        <v>0.23748942993816052</v>
      </c>
      <c r="BV439" s="1635">
        <f>BV438/BS438</f>
        <v>0.32455995342481403</v>
      </c>
      <c r="BW439" s="1074"/>
      <c r="BX439" s="1075" t="s">
        <v>641</v>
      </c>
      <c r="BY439" s="1076"/>
      <c r="BZ439" s="1076"/>
      <c r="CA439" s="1635">
        <f>SUM(CB439:CD439)</f>
        <v>0.99999999999999978</v>
      </c>
      <c r="CB439" s="1635">
        <f>CB438/CA438</f>
        <v>0.43795061663702523</v>
      </c>
      <c r="CC439" s="1635">
        <f>CC438/CA438</f>
        <v>0.23748942993816052</v>
      </c>
      <c r="CD439" s="1635">
        <f>CD438/CA438</f>
        <v>0.32455995342481403</v>
      </c>
      <c r="CE439" s="1074"/>
      <c r="CF439" s="1075" t="s">
        <v>641</v>
      </c>
      <c r="CG439" s="1076"/>
      <c r="CH439" s="1076"/>
      <c r="CI439" s="1635">
        <f>SUM(CJ439:CL439)</f>
        <v>0.99999999999999978</v>
      </c>
      <c r="CJ439" s="1635">
        <f>CJ438/CI438</f>
        <v>0.43795061663702523</v>
      </c>
      <c r="CK439" s="1635">
        <f>CK438/CI438</f>
        <v>0.23748942993816052</v>
      </c>
      <c r="CL439" s="1635">
        <f>CL438/CI438</f>
        <v>0.32455995342481403</v>
      </c>
      <c r="CM439" s="1074"/>
      <c r="CN439" s="1075" t="s">
        <v>641</v>
      </c>
      <c r="CO439" s="1076"/>
      <c r="CP439" s="1076"/>
      <c r="CQ439" s="1635">
        <f>SUM(CR439:CT439)</f>
        <v>0.99999999999999978</v>
      </c>
      <c r="CR439" s="1635">
        <f>CR438/CQ438</f>
        <v>0.43795061663702523</v>
      </c>
      <c r="CS439" s="1635">
        <f>CS438/CQ438</f>
        <v>0.23748942993816052</v>
      </c>
      <c r="CT439" s="1635">
        <f>CT438/CQ438</f>
        <v>0.32455995342481403</v>
      </c>
      <c r="CU439" s="1074"/>
      <c r="CV439" s="1075" t="s">
        <v>641</v>
      </c>
      <c r="CW439" s="1076"/>
      <c r="CX439" s="1076"/>
      <c r="CY439" s="1635">
        <f>SUM(CZ439:DB439)</f>
        <v>0.99999999999999978</v>
      </c>
      <c r="CZ439" s="1635">
        <f>CZ438/CY438</f>
        <v>0.43795061663702523</v>
      </c>
      <c r="DA439" s="1635">
        <f>DA438/CY438</f>
        <v>0.23748942993816052</v>
      </c>
      <c r="DB439" s="1635">
        <f>DB438/CY438</f>
        <v>0.32455995342481403</v>
      </c>
      <c r="DC439" s="1074"/>
      <c r="DD439" s="1075" t="s">
        <v>641</v>
      </c>
      <c r="DE439" s="1076"/>
      <c r="DF439" s="1076"/>
      <c r="DG439" s="1635">
        <f>SUM(DH439:DJ439)</f>
        <v>0.99999999999999978</v>
      </c>
      <c r="DH439" s="1635">
        <f>DH438/DG438</f>
        <v>0.43795061663702523</v>
      </c>
      <c r="DI439" s="1635">
        <f>DI438/DG438</f>
        <v>0.23748942993816052</v>
      </c>
      <c r="DJ439" s="1635">
        <f>DJ438/DG438</f>
        <v>0.32455995342481403</v>
      </c>
      <c r="DK439" s="1074"/>
      <c r="DL439" s="1075" t="s">
        <v>641</v>
      </c>
      <c r="DM439" s="1076"/>
      <c r="DN439" s="1076"/>
      <c r="DO439" s="1635">
        <f>SUM(DP439:DR439)</f>
        <v>0.99999999999999978</v>
      </c>
      <c r="DP439" s="1635">
        <f>DP438/DO438</f>
        <v>0.43795061663702523</v>
      </c>
      <c r="DQ439" s="1635">
        <f>DQ438/DO438</f>
        <v>0.23748942993816052</v>
      </c>
      <c r="DR439" s="1635">
        <f>DR438/DO438</f>
        <v>0.32455995342481403</v>
      </c>
      <c r="DS439" s="1074"/>
      <c r="DT439" s="1075" t="s">
        <v>641</v>
      </c>
      <c r="DU439" s="1076"/>
      <c r="DV439" s="1076"/>
      <c r="DW439" s="1635">
        <f>SUM(DX439:DZ439)</f>
        <v>0.99999999999999978</v>
      </c>
      <c r="DX439" s="1635">
        <f>DX438/DW438</f>
        <v>0.43795061663702523</v>
      </c>
      <c r="DY439" s="1635">
        <f>DY438/DW438</f>
        <v>0.23748942993816052</v>
      </c>
      <c r="DZ439" s="1635">
        <f>DZ438/DW438</f>
        <v>0.32455995342481403</v>
      </c>
      <c r="EA439" s="1074"/>
      <c r="EB439" s="1075" t="s">
        <v>641</v>
      </c>
      <c r="EC439" s="1076"/>
      <c r="ED439" s="1076"/>
      <c r="EE439" s="1635">
        <f>SUM(EF439:EH439)</f>
        <v>0.99999999999999978</v>
      </c>
      <c r="EF439" s="1635">
        <f>EF438/EE438</f>
        <v>0.43795061663702523</v>
      </c>
      <c r="EG439" s="1635">
        <f>EG438/EE438</f>
        <v>0.23748942993816052</v>
      </c>
      <c r="EH439" s="1635">
        <f>EH438/EE438</f>
        <v>0.32455995342481403</v>
      </c>
      <c r="EI439" s="1074"/>
      <c r="EJ439" s="1075" t="s">
        <v>641</v>
      </c>
      <c r="EK439" s="1076"/>
      <c r="EL439" s="1076"/>
      <c r="EM439" s="1635">
        <f>SUM(EN439:EP439)</f>
        <v>0.99999999999999978</v>
      </c>
      <c r="EN439" s="1635">
        <f>EN438/EM438</f>
        <v>0.43795061663702523</v>
      </c>
      <c r="EO439" s="1635">
        <f>EO438/EM438</f>
        <v>0.23748942993816052</v>
      </c>
      <c r="EP439" s="1635">
        <f>EP438/EM438</f>
        <v>0.32455995342481403</v>
      </c>
      <c r="EQ439" s="1074"/>
      <c r="ER439" s="1075" t="s">
        <v>641</v>
      </c>
      <c r="ES439" s="1076"/>
      <c r="ET439" s="1076"/>
      <c r="EU439" s="1635">
        <f>SUM(EV439:EX439)</f>
        <v>0.99999999999999978</v>
      </c>
      <c r="EV439" s="1635">
        <f>EV438/EU438</f>
        <v>0.43795061663702523</v>
      </c>
      <c r="EW439" s="1635">
        <f>EW438/EU438</f>
        <v>0.23748942993816052</v>
      </c>
      <c r="EX439" s="1635">
        <f>EX438/EU438</f>
        <v>0.32455995342481403</v>
      </c>
      <c r="EY439" s="1074"/>
      <c r="EZ439" s="1075" t="s">
        <v>641</v>
      </c>
      <c r="FA439" s="1076"/>
      <c r="FB439" s="1076"/>
      <c r="FC439" s="1635">
        <f>SUM(FD439:FF439)</f>
        <v>0.99999999999999978</v>
      </c>
      <c r="FD439" s="1635">
        <f>FD438/FC438</f>
        <v>0.43795061663702523</v>
      </c>
      <c r="FE439" s="1635">
        <f>FE438/FC438</f>
        <v>0.23748942993816052</v>
      </c>
      <c r="FF439" s="1635">
        <f>FF438/FC438</f>
        <v>0.32455995342481403</v>
      </c>
      <c r="FG439" s="1074"/>
      <c r="FH439" s="1075" t="s">
        <v>641</v>
      </c>
      <c r="FI439" s="1076"/>
      <c r="FJ439" s="1076"/>
      <c r="FK439" s="1635">
        <f>SUM(FL439:FN439)</f>
        <v>0.99999999999999978</v>
      </c>
      <c r="FL439" s="1635">
        <f>FL438/FK438</f>
        <v>0.43795061663702523</v>
      </c>
      <c r="FM439" s="1635">
        <f>FM438/FK438</f>
        <v>0.23748942993816052</v>
      </c>
      <c r="FN439" s="1635">
        <f>FN438/FK438</f>
        <v>0.32455995342481403</v>
      </c>
      <c r="FO439" s="1074"/>
    </row>
    <row r="440" spans="2:171" ht="16.5" thickBot="1" x14ac:dyDescent="0.3">
      <c r="K440" s="1079"/>
      <c r="S440" s="1074"/>
      <c r="AA440" s="1074"/>
      <c r="AI440" s="1074"/>
      <c r="AQ440" s="1074"/>
      <c r="AY440" s="1074"/>
      <c r="BG440" s="1074"/>
      <c r="BO440" s="1074"/>
      <c r="BW440" s="1074"/>
      <c r="CE440" s="1074"/>
      <c r="CM440" s="1074"/>
      <c r="CU440" s="1074"/>
      <c r="DC440" s="1074"/>
      <c r="DK440" s="1074"/>
      <c r="DS440" s="1074"/>
      <c r="EA440" s="1074"/>
      <c r="EI440" s="1074"/>
      <c r="EQ440" s="1074"/>
      <c r="EY440" s="1074"/>
      <c r="FG440" s="1074"/>
      <c r="FO440" s="1074"/>
    </row>
    <row r="441" spans="2:171" ht="17.25" thickTop="1" thickBot="1" x14ac:dyDescent="0.3">
      <c r="D441" s="1072"/>
      <c r="E441" s="1080"/>
      <c r="F441" s="1080"/>
      <c r="G441" s="1081"/>
      <c r="H441" s="1082"/>
      <c r="I441" s="1082"/>
      <c r="J441" s="1083"/>
      <c r="K441" s="1074"/>
      <c r="O441" s="1081"/>
      <c r="P441" s="1082"/>
      <c r="Q441" s="1082"/>
      <c r="R441" s="1083"/>
      <c r="S441" s="1074"/>
      <c r="W441" s="1081"/>
      <c r="X441" s="1082"/>
      <c r="Y441" s="1082"/>
      <c r="Z441" s="1083"/>
      <c r="AA441" s="1074"/>
      <c r="AE441" s="1081"/>
      <c r="AF441" s="1082"/>
      <c r="AG441" s="1082"/>
      <c r="AH441" s="1083"/>
      <c r="AI441" s="1074"/>
      <c r="AM441" s="1081"/>
      <c r="AN441" s="1082"/>
      <c r="AO441" s="1082"/>
      <c r="AP441" s="1083"/>
      <c r="AQ441" s="1074"/>
      <c r="AU441" s="1081"/>
      <c r="AV441" s="1082"/>
      <c r="AW441" s="1082"/>
      <c r="AX441" s="1083"/>
      <c r="AY441" s="1074"/>
      <c r="BC441" s="1081"/>
      <c r="BD441" s="1082"/>
      <c r="BE441" s="1082"/>
      <c r="BF441" s="1083"/>
      <c r="BG441" s="1074"/>
      <c r="BK441" s="1081"/>
      <c r="BL441" s="1082"/>
      <c r="BM441" s="1082"/>
      <c r="BN441" s="1083"/>
      <c r="BO441" s="1074"/>
      <c r="BS441" s="1081"/>
      <c r="BT441" s="1082"/>
      <c r="BU441" s="1082"/>
      <c r="BV441" s="1083"/>
      <c r="BW441" s="1074"/>
      <c r="CA441" s="1081"/>
      <c r="CB441" s="1082"/>
      <c r="CC441" s="1082"/>
      <c r="CD441" s="1083"/>
      <c r="CE441" s="1074"/>
      <c r="CI441" s="1081"/>
      <c r="CJ441" s="1082"/>
      <c r="CK441" s="1082"/>
      <c r="CL441" s="1083"/>
      <c r="CM441" s="1074"/>
      <c r="CQ441" s="1081"/>
      <c r="CR441" s="1082"/>
      <c r="CS441" s="1082"/>
      <c r="CT441" s="1083"/>
      <c r="CU441" s="1074"/>
      <c r="CY441" s="1081"/>
      <c r="CZ441" s="1082"/>
      <c r="DA441" s="1082"/>
      <c r="DB441" s="1083"/>
      <c r="DC441" s="1074"/>
      <c r="DG441" s="1081"/>
      <c r="DH441" s="1082"/>
      <c r="DI441" s="1082"/>
      <c r="DJ441" s="1083"/>
      <c r="DK441" s="1074"/>
      <c r="DO441" s="1081"/>
      <c r="DP441" s="1082"/>
      <c r="DQ441" s="1082"/>
      <c r="DR441" s="1083"/>
      <c r="DS441" s="1074"/>
      <c r="DW441" s="1081"/>
      <c r="DX441" s="1082"/>
      <c r="DY441" s="1082"/>
      <c r="DZ441" s="1083"/>
      <c r="EA441" s="1074"/>
      <c r="EE441" s="1081"/>
      <c r="EF441" s="1082"/>
      <c r="EG441" s="1082"/>
      <c r="EH441" s="1083"/>
      <c r="EI441" s="1074"/>
      <c r="EM441" s="1081"/>
      <c r="EN441" s="1082"/>
      <c r="EO441" s="1082"/>
      <c r="EP441" s="1083"/>
      <c r="EQ441" s="1074"/>
      <c r="EU441" s="1081"/>
      <c r="EV441" s="1082"/>
      <c r="EW441" s="1082"/>
      <c r="EX441" s="1083"/>
      <c r="EY441" s="1074"/>
      <c r="FC441" s="1081"/>
      <c r="FD441" s="1082"/>
      <c r="FE441" s="1082"/>
      <c r="FF441" s="1083"/>
      <c r="FG441" s="1074"/>
      <c r="FK441" s="1081"/>
      <c r="FL441" s="1082"/>
      <c r="FM441" s="1082"/>
      <c r="FN441" s="1083"/>
      <c r="FO441" s="1074"/>
    </row>
    <row r="442" spans="2:171" x14ac:dyDescent="0.25">
      <c r="D442" s="1084"/>
      <c r="E442" s="1085"/>
      <c r="F442" s="1080"/>
      <c r="G442" s="1086"/>
      <c r="H442" s="1087"/>
      <c r="I442" s="1087"/>
      <c r="J442" s="1088"/>
      <c r="K442" s="1074"/>
      <c r="O442" s="1086"/>
      <c r="P442" s="1087"/>
      <c r="Q442" s="1087"/>
      <c r="R442" s="1088"/>
      <c r="S442" s="1074"/>
      <c r="W442" s="1086"/>
      <c r="X442" s="1087"/>
      <c r="Y442" s="1087"/>
      <c r="Z442" s="1088"/>
      <c r="AA442" s="1074"/>
      <c r="AE442" s="1086"/>
      <c r="AF442" s="1087"/>
      <c r="AG442" s="1087"/>
      <c r="AH442" s="1088"/>
      <c r="AI442" s="1074"/>
      <c r="AM442" s="1086"/>
      <c r="AN442" s="1087"/>
      <c r="AO442" s="1087"/>
      <c r="AP442" s="1088"/>
      <c r="AQ442" s="1074"/>
      <c r="AU442" s="1086"/>
      <c r="AV442" s="1087"/>
      <c r="AW442" s="1087"/>
      <c r="AX442" s="1088"/>
      <c r="AY442" s="1074"/>
      <c r="BC442" s="1086"/>
      <c r="BD442" s="1087"/>
      <c r="BE442" s="1087"/>
      <c r="BF442" s="1088"/>
      <c r="BG442" s="1074"/>
      <c r="BK442" s="1086"/>
      <c r="BL442" s="1087"/>
      <c r="BM442" s="1087"/>
      <c r="BN442" s="1088"/>
      <c r="BO442" s="1074"/>
      <c r="BS442" s="1086"/>
      <c r="BT442" s="1087"/>
      <c r="BU442" s="1087"/>
      <c r="BV442" s="1088"/>
      <c r="BW442" s="1074"/>
      <c r="CA442" s="1086"/>
      <c r="CB442" s="1087"/>
      <c r="CC442" s="1087"/>
      <c r="CD442" s="1088"/>
      <c r="CE442" s="1074"/>
      <c r="CI442" s="1086"/>
      <c r="CJ442" s="1087"/>
      <c r="CK442" s="1087"/>
      <c r="CL442" s="1088"/>
      <c r="CM442" s="1074"/>
      <c r="CQ442" s="1086"/>
      <c r="CR442" s="1087"/>
      <c r="CS442" s="1087"/>
      <c r="CT442" s="1088"/>
      <c r="CU442" s="1074"/>
      <c r="CY442" s="1086"/>
      <c r="CZ442" s="1087"/>
      <c r="DA442" s="1087"/>
      <c r="DB442" s="1088"/>
      <c r="DC442" s="1074"/>
      <c r="DG442" s="1086"/>
      <c r="DH442" s="1087"/>
      <c r="DI442" s="1087"/>
      <c r="DJ442" s="1088"/>
      <c r="DK442" s="1074"/>
      <c r="DO442" s="1086"/>
      <c r="DP442" s="1087"/>
      <c r="DQ442" s="1087"/>
      <c r="DR442" s="1088"/>
      <c r="DS442" s="1074"/>
      <c r="DW442" s="1086"/>
      <c r="DX442" s="1087"/>
      <c r="DY442" s="1087"/>
      <c r="DZ442" s="1088"/>
      <c r="EA442" s="1074"/>
      <c r="EE442" s="1086"/>
      <c r="EF442" s="1087"/>
      <c r="EG442" s="1087"/>
      <c r="EH442" s="1088"/>
      <c r="EI442" s="1074"/>
      <c r="EM442" s="1086"/>
      <c r="EN442" s="1087"/>
      <c r="EO442" s="1087"/>
      <c r="EP442" s="1088"/>
      <c r="EQ442" s="1074"/>
      <c r="EU442" s="1086"/>
      <c r="EV442" s="1087"/>
      <c r="EW442" s="1087"/>
      <c r="EX442" s="1088"/>
      <c r="EY442" s="1074"/>
      <c r="FC442" s="1086"/>
      <c r="FD442" s="1087"/>
      <c r="FE442" s="1087"/>
      <c r="FF442" s="1088"/>
      <c r="FG442" s="1074"/>
      <c r="FK442" s="1086"/>
      <c r="FL442" s="1087"/>
      <c r="FM442" s="1087"/>
      <c r="FN442" s="1088"/>
      <c r="FO442" s="1074"/>
    </row>
    <row r="443" spans="2:171" x14ac:dyDescent="0.25">
      <c r="D443" s="1084"/>
      <c r="E443" s="1085"/>
      <c r="F443" s="1080"/>
      <c r="G443" s="1086" t="s">
        <v>392</v>
      </c>
      <c r="H443" s="1089">
        <v>0</v>
      </c>
      <c r="I443" s="1089">
        <v>0</v>
      </c>
      <c r="J443" s="1090">
        <v>1</v>
      </c>
      <c r="K443" s="1079"/>
      <c r="O443" s="1086" t="s">
        <v>392</v>
      </c>
      <c r="P443" s="1089">
        <v>0</v>
      </c>
      <c r="Q443" s="1089">
        <v>0</v>
      </c>
      <c r="R443" s="1090">
        <v>1</v>
      </c>
      <c r="S443" s="1079"/>
      <c r="W443" s="1086" t="s">
        <v>392</v>
      </c>
      <c r="X443" s="1089">
        <v>0</v>
      </c>
      <c r="Y443" s="1089">
        <v>0</v>
      </c>
      <c r="Z443" s="1090">
        <v>1</v>
      </c>
      <c r="AA443" s="1079"/>
      <c r="AE443" s="1086" t="s">
        <v>392</v>
      </c>
      <c r="AF443" s="1089">
        <v>0</v>
      </c>
      <c r="AG443" s="1089">
        <v>0</v>
      </c>
      <c r="AH443" s="1090">
        <v>1</v>
      </c>
      <c r="AI443" s="1079"/>
      <c r="AM443" s="1086" t="s">
        <v>392</v>
      </c>
      <c r="AN443" s="1089">
        <v>0</v>
      </c>
      <c r="AO443" s="1089">
        <v>0</v>
      </c>
      <c r="AP443" s="1090">
        <v>1</v>
      </c>
      <c r="AQ443" s="1079"/>
      <c r="AU443" s="1086" t="s">
        <v>392</v>
      </c>
      <c r="AV443" s="1089">
        <v>0</v>
      </c>
      <c r="AW443" s="1089">
        <v>0</v>
      </c>
      <c r="AX443" s="1090">
        <v>1</v>
      </c>
      <c r="AY443" s="1079"/>
      <c r="BC443" s="1086" t="s">
        <v>392</v>
      </c>
      <c r="BD443" s="1089">
        <v>0</v>
      </c>
      <c r="BE443" s="1089">
        <v>0</v>
      </c>
      <c r="BF443" s="1090">
        <v>1</v>
      </c>
      <c r="BG443" s="1079"/>
      <c r="BK443" s="1086" t="s">
        <v>392</v>
      </c>
      <c r="BL443" s="1089">
        <v>0</v>
      </c>
      <c r="BM443" s="1089">
        <v>0</v>
      </c>
      <c r="BN443" s="1090">
        <v>1</v>
      </c>
      <c r="BO443" s="1079"/>
      <c r="BS443" s="1086" t="s">
        <v>392</v>
      </c>
      <c r="BT443" s="1089">
        <v>0</v>
      </c>
      <c r="BU443" s="1089">
        <v>0</v>
      </c>
      <c r="BV443" s="1090">
        <v>1</v>
      </c>
      <c r="BW443" s="1079"/>
      <c r="CA443" s="1086" t="s">
        <v>392</v>
      </c>
      <c r="CB443" s="1089">
        <v>0</v>
      </c>
      <c r="CC443" s="1089">
        <v>0</v>
      </c>
      <c r="CD443" s="1090">
        <v>1</v>
      </c>
      <c r="CE443" s="1079"/>
      <c r="CI443" s="1086" t="s">
        <v>392</v>
      </c>
      <c r="CJ443" s="1089">
        <v>0</v>
      </c>
      <c r="CK443" s="1089">
        <v>0</v>
      </c>
      <c r="CL443" s="1090">
        <v>1</v>
      </c>
      <c r="CM443" s="1079"/>
      <c r="CQ443" s="1086" t="s">
        <v>392</v>
      </c>
      <c r="CR443" s="1089">
        <v>0</v>
      </c>
      <c r="CS443" s="1089">
        <v>0</v>
      </c>
      <c r="CT443" s="1090">
        <v>1</v>
      </c>
      <c r="CU443" s="1079"/>
      <c r="CY443" s="1086" t="s">
        <v>392</v>
      </c>
      <c r="CZ443" s="1089">
        <v>0</v>
      </c>
      <c r="DA443" s="1089">
        <v>0</v>
      </c>
      <c r="DB443" s="1090">
        <v>1</v>
      </c>
      <c r="DC443" s="1079"/>
      <c r="DG443" s="1086" t="s">
        <v>392</v>
      </c>
      <c r="DH443" s="1089">
        <v>0</v>
      </c>
      <c r="DI443" s="1089">
        <v>0</v>
      </c>
      <c r="DJ443" s="1090">
        <v>1</v>
      </c>
      <c r="DK443" s="1079"/>
      <c r="DO443" s="1086" t="s">
        <v>392</v>
      </c>
      <c r="DP443" s="1089">
        <v>0</v>
      </c>
      <c r="DQ443" s="1089">
        <v>0</v>
      </c>
      <c r="DR443" s="1090">
        <v>1</v>
      </c>
      <c r="DS443" s="1079"/>
      <c r="DW443" s="1086" t="s">
        <v>392</v>
      </c>
      <c r="DX443" s="1089">
        <v>0</v>
      </c>
      <c r="DY443" s="1089">
        <v>0</v>
      </c>
      <c r="DZ443" s="1090">
        <v>1</v>
      </c>
      <c r="EA443" s="1079"/>
      <c r="EE443" s="1086" t="s">
        <v>392</v>
      </c>
      <c r="EF443" s="1089">
        <v>0</v>
      </c>
      <c r="EG443" s="1089">
        <v>0</v>
      </c>
      <c r="EH443" s="1090">
        <v>1</v>
      </c>
      <c r="EI443" s="1079"/>
      <c r="EM443" s="1086" t="s">
        <v>392</v>
      </c>
      <c r="EN443" s="1089">
        <v>0</v>
      </c>
      <c r="EO443" s="1089">
        <v>0</v>
      </c>
      <c r="EP443" s="1090">
        <v>1</v>
      </c>
      <c r="EQ443" s="1079"/>
      <c r="EU443" s="1086" t="s">
        <v>392</v>
      </c>
      <c r="EV443" s="1089">
        <v>0</v>
      </c>
      <c r="EW443" s="1089">
        <v>0</v>
      </c>
      <c r="EX443" s="1090">
        <v>1</v>
      </c>
      <c r="EY443" s="1079"/>
      <c r="FC443" s="1086" t="s">
        <v>392</v>
      </c>
      <c r="FD443" s="1089">
        <v>0</v>
      </c>
      <c r="FE443" s="1089">
        <v>0</v>
      </c>
      <c r="FF443" s="1090">
        <v>1</v>
      </c>
      <c r="FG443" s="1079"/>
      <c r="FK443" s="1086" t="s">
        <v>392</v>
      </c>
      <c r="FL443" s="1089">
        <v>0</v>
      </c>
      <c r="FM443" s="1089">
        <v>0</v>
      </c>
      <c r="FN443" s="1090">
        <v>1</v>
      </c>
      <c r="FO443" s="1079"/>
    </row>
    <row r="444" spans="2:171" x14ac:dyDescent="0.25">
      <c r="D444" s="1084"/>
      <c r="E444" s="1085"/>
      <c r="F444" s="1080"/>
      <c r="G444" s="1086" t="s">
        <v>394</v>
      </c>
      <c r="H444" s="1089">
        <v>1</v>
      </c>
      <c r="I444" s="1089">
        <v>0</v>
      </c>
      <c r="J444" s="1090">
        <v>0</v>
      </c>
      <c r="K444" s="1074"/>
      <c r="O444" s="1086" t="s">
        <v>394</v>
      </c>
      <c r="P444" s="1089">
        <v>1</v>
      </c>
      <c r="Q444" s="1089">
        <v>0</v>
      </c>
      <c r="R444" s="1090">
        <v>0</v>
      </c>
      <c r="S444" s="1074"/>
      <c r="W444" s="1086" t="s">
        <v>394</v>
      </c>
      <c r="X444" s="1089">
        <v>1</v>
      </c>
      <c r="Y444" s="1089">
        <v>0</v>
      </c>
      <c r="Z444" s="1090">
        <v>0</v>
      </c>
      <c r="AA444" s="1074"/>
      <c r="AE444" s="1086" t="s">
        <v>394</v>
      </c>
      <c r="AF444" s="1089">
        <v>1</v>
      </c>
      <c r="AG444" s="1089">
        <v>0</v>
      </c>
      <c r="AH444" s="1090">
        <v>0</v>
      </c>
      <c r="AI444" s="1074"/>
      <c r="AM444" s="1086" t="s">
        <v>394</v>
      </c>
      <c r="AN444" s="1089">
        <v>1</v>
      </c>
      <c r="AO444" s="1089">
        <v>0</v>
      </c>
      <c r="AP444" s="1090">
        <v>0</v>
      </c>
      <c r="AQ444" s="1074"/>
      <c r="AU444" s="1086" t="s">
        <v>394</v>
      </c>
      <c r="AV444" s="1089">
        <v>1</v>
      </c>
      <c r="AW444" s="1089">
        <v>0</v>
      </c>
      <c r="AX444" s="1090">
        <v>0</v>
      </c>
      <c r="AY444" s="1074"/>
      <c r="BC444" s="1086" t="s">
        <v>394</v>
      </c>
      <c r="BD444" s="1089">
        <v>1</v>
      </c>
      <c r="BE444" s="1089">
        <v>0</v>
      </c>
      <c r="BF444" s="1090">
        <v>0</v>
      </c>
      <c r="BG444" s="1074"/>
      <c r="BK444" s="1086" t="s">
        <v>394</v>
      </c>
      <c r="BL444" s="1089">
        <v>1</v>
      </c>
      <c r="BM444" s="1089">
        <v>0</v>
      </c>
      <c r="BN444" s="1090">
        <v>0</v>
      </c>
      <c r="BO444" s="1074"/>
      <c r="BS444" s="1086" t="s">
        <v>394</v>
      </c>
      <c r="BT444" s="1089">
        <v>1</v>
      </c>
      <c r="BU444" s="1089">
        <v>0</v>
      </c>
      <c r="BV444" s="1090">
        <v>0</v>
      </c>
      <c r="BW444" s="1074"/>
      <c r="CA444" s="1086" t="s">
        <v>394</v>
      </c>
      <c r="CB444" s="1089">
        <v>1</v>
      </c>
      <c r="CC444" s="1089">
        <v>0</v>
      </c>
      <c r="CD444" s="1090">
        <v>0</v>
      </c>
      <c r="CE444" s="1074"/>
      <c r="CI444" s="1086" t="s">
        <v>394</v>
      </c>
      <c r="CJ444" s="1089">
        <v>1</v>
      </c>
      <c r="CK444" s="1089">
        <v>0</v>
      </c>
      <c r="CL444" s="1090">
        <v>0</v>
      </c>
      <c r="CM444" s="1074"/>
      <c r="CQ444" s="1086" t="s">
        <v>394</v>
      </c>
      <c r="CR444" s="1089">
        <v>1</v>
      </c>
      <c r="CS444" s="1089">
        <v>0</v>
      </c>
      <c r="CT444" s="1090">
        <v>0</v>
      </c>
      <c r="CU444" s="1074"/>
      <c r="CY444" s="1086" t="s">
        <v>394</v>
      </c>
      <c r="CZ444" s="1089">
        <v>1</v>
      </c>
      <c r="DA444" s="1089">
        <v>0</v>
      </c>
      <c r="DB444" s="1090">
        <v>0</v>
      </c>
      <c r="DC444" s="1074"/>
      <c r="DG444" s="1086" t="s">
        <v>394</v>
      </c>
      <c r="DH444" s="1089">
        <v>1</v>
      </c>
      <c r="DI444" s="1089">
        <v>0</v>
      </c>
      <c r="DJ444" s="1090">
        <v>0</v>
      </c>
      <c r="DK444" s="1074"/>
      <c r="DO444" s="1086" t="s">
        <v>394</v>
      </c>
      <c r="DP444" s="1089">
        <v>1</v>
      </c>
      <c r="DQ444" s="1089">
        <v>0</v>
      </c>
      <c r="DR444" s="1090">
        <v>0</v>
      </c>
      <c r="DS444" s="1074"/>
      <c r="DW444" s="1086" t="s">
        <v>394</v>
      </c>
      <c r="DX444" s="1089">
        <v>1</v>
      </c>
      <c r="DY444" s="1089">
        <v>0</v>
      </c>
      <c r="DZ444" s="1090">
        <v>0</v>
      </c>
      <c r="EA444" s="1074"/>
      <c r="EE444" s="1086" t="s">
        <v>394</v>
      </c>
      <c r="EF444" s="1089">
        <v>1</v>
      </c>
      <c r="EG444" s="1089">
        <v>0</v>
      </c>
      <c r="EH444" s="1090">
        <v>0</v>
      </c>
      <c r="EI444" s="1074"/>
      <c r="EM444" s="1086" t="s">
        <v>394</v>
      </c>
      <c r="EN444" s="1089">
        <v>1</v>
      </c>
      <c r="EO444" s="1089">
        <v>0</v>
      </c>
      <c r="EP444" s="1090">
        <v>0</v>
      </c>
      <c r="EQ444" s="1074"/>
      <c r="EU444" s="1086" t="s">
        <v>394</v>
      </c>
      <c r="EV444" s="1089">
        <v>1</v>
      </c>
      <c r="EW444" s="1089">
        <v>0</v>
      </c>
      <c r="EX444" s="1090">
        <v>0</v>
      </c>
      <c r="EY444" s="1074"/>
      <c r="FC444" s="1086" t="s">
        <v>394</v>
      </c>
      <c r="FD444" s="1089">
        <v>1</v>
      </c>
      <c r="FE444" s="1089">
        <v>0</v>
      </c>
      <c r="FF444" s="1090">
        <v>0</v>
      </c>
      <c r="FG444" s="1074"/>
      <c r="FK444" s="1086" t="s">
        <v>394</v>
      </c>
      <c r="FL444" s="1089">
        <v>1</v>
      </c>
      <c r="FM444" s="1089">
        <v>0</v>
      </c>
      <c r="FN444" s="1090">
        <v>0</v>
      </c>
      <c r="FO444" s="1074"/>
    </row>
    <row r="445" spans="2:171" x14ac:dyDescent="0.25">
      <c r="D445" s="1084"/>
      <c r="E445" s="1085"/>
      <c r="F445" s="1080"/>
      <c r="G445" s="1086" t="s">
        <v>393</v>
      </c>
      <c r="H445" s="1089">
        <v>0</v>
      </c>
      <c r="I445" s="1089">
        <v>1</v>
      </c>
      <c r="J445" s="1090">
        <v>0</v>
      </c>
      <c r="K445" s="1074"/>
      <c r="O445" s="1086" t="s">
        <v>393</v>
      </c>
      <c r="P445" s="1089">
        <v>0</v>
      </c>
      <c r="Q445" s="1089">
        <v>1</v>
      </c>
      <c r="R445" s="1090">
        <v>0</v>
      </c>
      <c r="S445" s="1074"/>
      <c r="W445" s="1086" t="s">
        <v>393</v>
      </c>
      <c r="X445" s="1089">
        <v>0</v>
      </c>
      <c r="Y445" s="1089">
        <v>1</v>
      </c>
      <c r="Z445" s="1090">
        <v>0</v>
      </c>
      <c r="AA445" s="1074"/>
      <c r="AE445" s="1086" t="s">
        <v>393</v>
      </c>
      <c r="AF445" s="1089">
        <v>0</v>
      </c>
      <c r="AG445" s="1089">
        <v>1</v>
      </c>
      <c r="AH445" s="1090">
        <v>0</v>
      </c>
      <c r="AI445" s="1074"/>
      <c r="AM445" s="1086" t="s">
        <v>393</v>
      </c>
      <c r="AN445" s="1089">
        <v>0</v>
      </c>
      <c r="AO445" s="1089">
        <v>1</v>
      </c>
      <c r="AP445" s="1090">
        <v>0</v>
      </c>
      <c r="AQ445" s="1074"/>
      <c r="AU445" s="1086" t="s">
        <v>393</v>
      </c>
      <c r="AV445" s="1089">
        <v>0</v>
      </c>
      <c r="AW445" s="1089">
        <v>1</v>
      </c>
      <c r="AX445" s="1090">
        <v>0</v>
      </c>
      <c r="AY445" s="1074"/>
      <c r="BC445" s="1086" t="s">
        <v>393</v>
      </c>
      <c r="BD445" s="1089">
        <v>0</v>
      </c>
      <c r="BE445" s="1089">
        <v>1</v>
      </c>
      <c r="BF445" s="1090">
        <v>0</v>
      </c>
      <c r="BG445" s="1074"/>
      <c r="BK445" s="1086" t="s">
        <v>393</v>
      </c>
      <c r="BL445" s="1089">
        <v>0</v>
      </c>
      <c r="BM445" s="1089">
        <v>1</v>
      </c>
      <c r="BN445" s="1090">
        <v>0</v>
      </c>
      <c r="BO445" s="1074"/>
      <c r="BS445" s="1086" t="s">
        <v>393</v>
      </c>
      <c r="BT445" s="1089">
        <v>0</v>
      </c>
      <c r="BU445" s="1089">
        <v>1</v>
      </c>
      <c r="BV445" s="1090">
        <v>0</v>
      </c>
      <c r="BW445" s="1074"/>
      <c r="CA445" s="1086" t="s">
        <v>393</v>
      </c>
      <c r="CB445" s="1089">
        <v>0</v>
      </c>
      <c r="CC445" s="1089">
        <v>1</v>
      </c>
      <c r="CD445" s="1090">
        <v>0</v>
      </c>
      <c r="CE445" s="1074"/>
      <c r="CI445" s="1086" t="s">
        <v>393</v>
      </c>
      <c r="CJ445" s="1089">
        <v>0</v>
      </c>
      <c r="CK445" s="1089">
        <v>1</v>
      </c>
      <c r="CL445" s="1090">
        <v>0</v>
      </c>
      <c r="CM445" s="1074"/>
      <c r="CQ445" s="1086" t="s">
        <v>393</v>
      </c>
      <c r="CR445" s="1089">
        <v>0</v>
      </c>
      <c r="CS445" s="1089">
        <v>1</v>
      </c>
      <c r="CT445" s="1090">
        <v>0</v>
      </c>
      <c r="CU445" s="1074"/>
      <c r="CY445" s="1086" t="s">
        <v>393</v>
      </c>
      <c r="CZ445" s="1089">
        <v>0</v>
      </c>
      <c r="DA445" s="1089">
        <v>1</v>
      </c>
      <c r="DB445" s="1090">
        <v>0</v>
      </c>
      <c r="DC445" s="1074"/>
      <c r="DG445" s="1086" t="s">
        <v>393</v>
      </c>
      <c r="DH445" s="1089">
        <v>0</v>
      </c>
      <c r="DI445" s="1089">
        <v>1</v>
      </c>
      <c r="DJ445" s="1090">
        <v>0</v>
      </c>
      <c r="DK445" s="1074"/>
      <c r="DO445" s="1086" t="s">
        <v>393</v>
      </c>
      <c r="DP445" s="1089">
        <v>0</v>
      </c>
      <c r="DQ445" s="1089">
        <v>1</v>
      </c>
      <c r="DR445" s="1090">
        <v>0</v>
      </c>
      <c r="DS445" s="1074"/>
      <c r="DW445" s="1086" t="s">
        <v>393</v>
      </c>
      <c r="DX445" s="1089">
        <v>0</v>
      </c>
      <c r="DY445" s="1089">
        <v>1</v>
      </c>
      <c r="DZ445" s="1090">
        <v>0</v>
      </c>
      <c r="EA445" s="1074"/>
      <c r="EE445" s="1086" t="s">
        <v>393</v>
      </c>
      <c r="EF445" s="1089">
        <v>0</v>
      </c>
      <c r="EG445" s="1089">
        <v>1</v>
      </c>
      <c r="EH445" s="1090">
        <v>0</v>
      </c>
      <c r="EI445" s="1074"/>
      <c r="EM445" s="1086" t="s">
        <v>393</v>
      </c>
      <c r="EN445" s="1089">
        <v>0</v>
      </c>
      <c r="EO445" s="1089">
        <v>1</v>
      </c>
      <c r="EP445" s="1090">
        <v>0</v>
      </c>
      <c r="EQ445" s="1074"/>
      <c r="EU445" s="1086" t="s">
        <v>393</v>
      </c>
      <c r="EV445" s="1089">
        <v>0</v>
      </c>
      <c r="EW445" s="1089">
        <v>1</v>
      </c>
      <c r="EX445" s="1090">
        <v>0</v>
      </c>
      <c r="EY445" s="1074"/>
      <c r="FC445" s="1086" t="s">
        <v>393</v>
      </c>
      <c r="FD445" s="1089">
        <v>0</v>
      </c>
      <c r="FE445" s="1089">
        <v>1</v>
      </c>
      <c r="FF445" s="1090">
        <v>0</v>
      </c>
      <c r="FG445" s="1074"/>
      <c r="FK445" s="1086" t="s">
        <v>393</v>
      </c>
      <c r="FL445" s="1089">
        <v>0</v>
      </c>
      <c r="FM445" s="1089">
        <v>1</v>
      </c>
      <c r="FN445" s="1090">
        <v>0</v>
      </c>
      <c r="FO445" s="1074"/>
    </row>
    <row r="446" spans="2:171" x14ac:dyDescent="0.25">
      <c r="D446" s="1084"/>
      <c r="E446" s="1085"/>
      <c r="F446" s="1080"/>
      <c r="G446" s="1086" t="s">
        <v>90</v>
      </c>
      <c r="H446" s="1089">
        <v>0</v>
      </c>
      <c r="I446" s="1089">
        <v>0</v>
      </c>
      <c r="J446" s="1090">
        <v>0</v>
      </c>
      <c r="K446" s="1079"/>
      <c r="O446" s="1086" t="s">
        <v>90</v>
      </c>
      <c r="P446" s="1089">
        <v>0</v>
      </c>
      <c r="Q446" s="1089">
        <v>0</v>
      </c>
      <c r="R446" s="1090">
        <v>0</v>
      </c>
      <c r="S446" s="1079"/>
      <c r="W446" s="1086" t="s">
        <v>90</v>
      </c>
      <c r="X446" s="1089">
        <v>0</v>
      </c>
      <c r="Y446" s="1089">
        <v>0</v>
      </c>
      <c r="Z446" s="1090">
        <v>0</v>
      </c>
      <c r="AA446" s="1079"/>
      <c r="AE446" s="1086" t="s">
        <v>90</v>
      </c>
      <c r="AF446" s="1089">
        <v>0</v>
      </c>
      <c r="AG446" s="1089">
        <v>0</v>
      </c>
      <c r="AH446" s="1090">
        <v>0</v>
      </c>
      <c r="AI446" s="1079"/>
      <c r="AM446" s="1086" t="s">
        <v>90</v>
      </c>
      <c r="AN446" s="1089">
        <v>0</v>
      </c>
      <c r="AO446" s="1089">
        <v>0</v>
      </c>
      <c r="AP446" s="1090">
        <v>0</v>
      </c>
      <c r="AQ446" s="1079"/>
      <c r="AU446" s="1086" t="s">
        <v>90</v>
      </c>
      <c r="AV446" s="1089">
        <v>0</v>
      </c>
      <c r="AW446" s="1089">
        <v>0</v>
      </c>
      <c r="AX446" s="1090">
        <v>0</v>
      </c>
      <c r="AY446" s="1079"/>
      <c r="BC446" s="1086" t="s">
        <v>90</v>
      </c>
      <c r="BD446" s="1089">
        <v>0</v>
      </c>
      <c r="BE446" s="1089">
        <v>0</v>
      </c>
      <c r="BF446" s="1090">
        <v>0</v>
      </c>
      <c r="BG446" s="1079"/>
      <c r="BK446" s="1086" t="s">
        <v>90</v>
      </c>
      <c r="BL446" s="1089">
        <v>0</v>
      </c>
      <c r="BM446" s="1089">
        <v>0</v>
      </c>
      <c r="BN446" s="1090">
        <v>0</v>
      </c>
      <c r="BO446" s="1079"/>
      <c r="BS446" s="1086" t="s">
        <v>90</v>
      </c>
      <c r="BT446" s="1089">
        <v>0</v>
      </c>
      <c r="BU446" s="1089">
        <v>0</v>
      </c>
      <c r="BV446" s="1090">
        <v>0</v>
      </c>
      <c r="BW446" s="1079"/>
      <c r="CA446" s="1086" t="s">
        <v>90</v>
      </c>
      <c r="CB446" s="1089">
        <v>0</v>
      </c>
      <c r="CC446" s="1089">
        <v>0</v>
      </c>
      <c r="CD446" s="1090">
        <v>0</v>
      </c>
      <c r="CE446" s="1079"/>
      <c r="CI446" s="1086" t="s">
        <v>90</v>
      </c>
      <c r="CJ446" s="1089">
        <v>0</v>
      </c>
      <c r="CK446" s="1089">
        <v>0</v>
      </c>
      <c r="CL446" s="1090">
        <v>0</v>
      </c>
      <c r="CM446" s="1079"/>
      <c r="CQ446" s="1086" t="s">
        <v>90</v>
      </c>
      <c r="CR446" s="1089">
        <v>0</v>
      </c>
      <c r="CS446" s="1089">
        <v>0</v>
      </c>
      <c r="CT446" s="1090">
        <v>0</v>
      </c>
      <c r="CU446" s="1079"/>
      <c r="CY446" s="1086" t="s">
        <v>90</v>
      </c>
      <c r="CZ446" s="1089">
        <v>0</v>
      </c>
      <c r="DA446" s="1089">
        <v>0</v>
      </c>
      <c r="DB446" s="1090">
        <v>0</v>
      </c>
      <c r="DC446" s="1079"/>
      <c r="DG446" s="1086" t="s">
        <v>90</v>
      </c>
      <c r="DH446" s="1089">
        <v>0</v>
      </c>
      <c r="DI446" s="1089">
        <v>0</v>
      </c>
      <c r="DJ446" s="1090">
        <v>0</v>
      </c>
      <c r="DK446" s="1079"/>
      <c r="DO446" s="1086" t="s">
        <v>90</v>
      </c>
      <c r="DP446" s="1089">
        <v>0</v>
      </c>
      <c r="DQ446" s="1089">
        <v>0</v>
      </c>
      <c r="DR446" s="1090">
        <v>0</v>
      </c>
      <c r="DS446" s="1079"/>
      <c r="DW446" s="1086" t="s">
        <v>90</v>
      </c>
      <c r="DX446" s="1089">
        <v>0</v>
      </c>
      <c r="DY446" s="1089">
        <v>0</v>
      </c>
      <c r="DZ446" s="1090">
        <v>0</v>
      </c>
      <c r="EA446" s="1079"/>
      <c r="EE446" s="1086" t="s">
        <v>90</v>
      </c>
      <c r="EF446" s="1089">
        <v>0</v>
      </c>
      <c r="EG446" s="1089">
        <v>0</v>
      </c>
      <c r="EH446" s="1090">
        <v>0</v>
      </c>
      <c r="EI446" s="1079"/>
      <c r="EM446" s="1086" t="s">
        <v>90</v>
      </c>
      <c r="EN446" s="1089">
        <v>0</v>
      </c>
      <c r="EO446" s="1089">
        <v>0</v>
      </c>
      <c r="EP446" s="1090">
        <v>0</v>
      </c>
      <c r="EQ446" s="1079"/>
      <c r="EU446" s="1086" t="s">
        <v>90</v>
      </c>
      <c r="EV446" s="1089">
        <v>0</v>
      </c>
      <c r="EW446" s="1089">
        <v>0</v>
      </c>
      <c r="EX446" s="1090">
        <v>0</v>
      </c>
      <c r="EY446" s="1079"/>
      <c r="FC446" s="1086" t="s">
        <v>90</v>
      </c>
      <c r="FD446" s="1089">
        <v>0</v>
      </c>
      <c r="FE446" s="1089">
        <v>0</v>
      </c>
      <c r="FF446" s="1090">
        <v>0</v>
      </c>
      <c r="FG446" s="1079"/>
      <c r="FK446" s="1086" t="s">
        <v>90</v>
      </c>
      <c r="FL446" s="1089">
        <v>0</v>
      </c>
      <c r="FM446" s="1089">
        <v>0</v>
      </c>
      <c r="FN446" s="1090">
        <v>0</v>
      </c>
      <c r="FO446" s="1079"/>
    </row>
    <row r="447" spans="2:171" x14ac:dyDescent="0.25">
      <c r="D447" s="1084"/>
      <c r="E447" s="1085"/>
      <c r="F447" s="1080"/>
      <c r="G447" s="1086" t="s">
        <v>91</v>
      </c>
      <c r="H447" s="1089">
        <f>H395</f>
        <v>0.32058832897642964</v>
      </c>
      <c r="I447" s="1089">
        <f>I395</f>
        <v>0</v>
      </c>
      <c r="J447" s="1090">
        <f>J395</f>
        <v>0.67941167102357047</v>
      </c>
      <c r="K447" s="1074"/>
      <c r="O447" s="1086" t="s">
        <v>91</v>
      </c>
      <c r="P447" s="1089">
        <f>P395</f>
        <v>0.32058832897642958</v>
      </c>
      <c r="Q447" s="1089">
        <f>Q395</f>
        <v>0.30088498308736378</v>
      </c>
      <c r="R447" s="1090">
        <f>R395</f>
        <v>0.37852668793620659</v>
      </c>
      <c r="S447" s="1074"/>
      <c r="W447" s="1086" t="s">
        <v>91</v>
      </c>
      <c r="X447" s="1089">
        <f>X395</f>
        <v>0.32058832897642958</v>
      </c>
      <c r="Y447" s="1089">
        <f>Y395</f>
        <v>0.30088498308736378</v>
      </c>
      <c r="Z447" s="1090">
        <f>Z395</f>
        <v>0.37852668793620659</v>
      </c>
      <c r="AA447" s="1074"/>
      <c r="AE447" s="1086" t="s">
        <v>91</v>
      </c>
      <c r="AF447" s="1089">
        <f>AF395</f>
        <v>0.32058832897642958</v>
      </c>
      <c r="AG447" s="1089">
        <f>AG395</f>
        <v>0.30088498308736378</v>
      </c>
      <c r="AH447" s="1090">
        <f>AH395</f>
        <v>0.37852668793620659</v>
      </c>
      <c r="AI447" s="1074"/>
      <c r="AM447" s="1086" t="s">
        <v>91</v>
      </c>
      <c r="AN447" s="1089">
        <f>AN395</f>
        <v>0.32058832897642958</v>
      </c>
      <c r="AO447" s="1089">
        <f>AO395</f>
        <v>0.30088498308736378</v>
      </c>
      <c r="AP447" s="1090">
        <f>AP395</f>
        <v>0.37852668793620659</v>
      </c>
      <c r="AQ447" s="1074"/>
      <c r="AU447" s="1086" t="s">
        <v>91</v>
      </c>
      <c r="AV447" s="1089">
        <f>AV395</f>
        <v>0.32058832897642958</v>
      </c>
      <c r="AW447" s="1089">
        <f>AW395</f>
        <v>0.30088498308736378</v>
      </c>
      <c r="AX447" s="1090">
        <f>AX395</f>
        <v>0.37852668793620659</v>
      </c>
      <c r="AY447" s="1074"/>
      <c r="BC447" s="1086" t="s">
        <v>91</v>
      </c>
      <c r="BD447" s="1089">
        <f>BD395</f>
        <v>0.32058832897642958</v>
      </c>
      <c r="BE447" s="1089">
        <f>BE395</f>
        <v>0.30088498308736378</v>
      </c>
      <c r="BF447" s="1090">
        <f>BF395</f>
        <v>0.37852668793620659</v>
      </c>
      <c r="BG447" s="1074"/>
      <c r="BK447" s="1086" t="s">
        <v>91</v>
      </c>
      <c r="BL447" s="1089">
        <f>BL395</f>
        <v>0.32058832897642958</v>
      </c>
      <c r="BM447" s="1089">
        <f>BM395</f>
        <v>0.30088498308736378</v>
      </c>
      <c r="BN447" s="1090">
        <f>BN395</f>
        <v>0.37852668793620659</v>
      </c>
      <c r="BO447" s="1074"/>
      <c r="BS447" s="1086" t="s">
        <v>91</v>
      </c>
      <c r="BT447" s="1089">
        <f>BT395</f>
        <v>0.32058832897642958</v>
      </c>
      <c r="BU447" s="1089">
        <f>BU395</f>
        <v>0.30088498308736378</v>
      </c>
      <c r="BV447" s="1090">
        <f>BV395</f>
        <v>0.37852668793620659</v>
      </c>
      <c r="BW447" s="1074"/>
      <c r="CA447" s="1086" t="s">
        <v>91</v>
      </c>
      <c r="CB447" s="1089">
        <f>CB395</f>
        <v>0.32058832897642958</v>
      </c>
      <c r="CC447" s="1089">
        <f>CC395</f>
        <v>0.30088498308736378</v>
      </c>
      <c r="CD447" s="1090">
        <f>CD395</f>
        <v>0.37852668793620659</v>
      </c>
      <c r="CE447" s="1074"/>
      <c r="CI447" s="1086" t="s">
        <v>91</v>
      </c>
      <c r="CJ447" s="1089">
        <f>CJ395</f>
        <v>0.32058832897642958</v>
      </c>
      <c r="CK447" s="1089">
        <f>CK395</f>
        <v>0.30088498308736378</v>
      </c>
      <c r="CL447" s="1090">
        <f>CL395</f>
        <v>0.37852668793620659</v>
      </c>
      <c r="CM447" s="1074"/>
      <c r="CQ447" s="1086" t="s">
        <v>91</v>
      </c>
      <c r="CR447" s="1089">
        <f>CR395</f>
        <v>0.32058832897642958</v>
      </c>
      <c r="CS447" s="1089">
        <f>CS395</f>
        <v>0.30088498308736378</v>
      </c>
      <c r="CT447" s="1090">
        <f>CT395</f>
        <v>0.37852668793620659</v>
      </c>
      <c r="CU447" s="1074"/>
      <c r="CY447" s="1086" t="s">
        <v>91</v>
      </c>
      <c r="CZ447" s="1089">
        <f>CZ395</f>
        <v>0.32058832897642958</v>
      </c>
      <c r="DA447" s="1089">
        <f>DA395</f>
        <v>0.30088498308736378</v>
      </c>
      <c r="DB447" s="1090">
        <f>DB395</f>
        <v>0.37852668793620659</v>
      </c>
      <c r="DC447" s="1074"/>
      <c r="DG447" s="1086" t="s">
        <v>91</v>
      </c>
      <c r="DH447" s="1089">
        <f>DH395</f>
        <v>0.32058832897642958</v>
      </c>
      <c r="DI447" s="1089">
        <f>DI395</f>
        <v>0.30088498308736378</v>
      </c>
      <c r="DJ447" s="1090">
        <f>DJ395</f>
        <v>0.37852668793620659</v>
      </c>
      <c r="DK447" s="1074"/>
      <c r="DO447" s="1086" t="s">
        <v>91</v>
      </c>
      <c r="DP447" s="1089">
        <f>DP395</f>
        <v>0.32058832897642958</v>
      </c>
      <c r="DQ447" s="1089">
        <f>DQ395</f>
        <v>0.30088498308736378</v>
      </c>
      <c r="DR447" s="1090">
        <f>DR395</f>
        <v>0.37852668793620659</v>
      </c>
      <c r="DS447" s="1074"/>
      <c r="DW447" s="1086" t="s">
        <v>91</v>
      </c>
      <c r="DX447" s="1089">
        <f>DX395</f>
        <v>0.32058832897642958</v>
      </c>
      <c r="DY447" s="1089">
        <f>DY395</f>
        <v>0.30088498308736378</v>
      </c>
      <c r="DZ447" s="1090">
        <f>DZ395</f>
        <v>0.37852668793620659</v>
      </c>
      <c r="EA447" s="1074"/>
      <c r="EE447" s="1086" t="s">
        <v>91</v>
      </c>
      <c r="EF447" s="1089">
        <f>EF395</f>
        <v>0.32058832897642958</v>
      </c>
      <c r="EG447" s="1089">
        <f>EG395</f>
        <v>0.30088498308736378</v>
      </c>
      <c r="EH447" s="1090">
        <f>EH395</f>
        <v>0.37852668793620659</v>
      </c>
      <c r="EI447" s="1074"/>
      <c r="EM447" s="1086" t="s">
        <v>91</v>
      </c>
      <c r="EN447" s="1089">
        <f>EN395</f>
        <v>0.32058832897642958</v>
      </c>
      <c r="EO447" s="1089">
        <f>EO395</f>
        <v>0.30088498308736378</v>
      </c>
      <c r="EP447" s="1090">
        <f>EP395</f>
        <v>0.37852668793620659</v>
      </c>
      <c r="EQ447" s="1074"/>
      <c r="EU447" s="1086" t="s">
        <v>91</v>
      </c>
      <c r="EV447" s="1089">
        <f>EV395</f>
        <v>0.32058832897642958</v>
      </c>
      <c r="EW447" s="1089">
        <f>EW395</f>
        <v>0.30088498308736378</v>
      </c>
      <c r="EX447" s="1090">
        <f>EX395</f>
        <v>0.37852668793620659</v>
      </c>
      <c r="EY447" s="1074"/>
      <c r="FC447" s="1086" t="s">
        <v>91</v>
      </c>
      <c r="FD447" s="1089">
        <f>FD395</f>
        <v>0.32058832897642958</v>
      </c>
      <c r="FE447" s="1089">
        <f>FE395</f>
        <v>0.30088498308736378</v>
      </c>
      <c r="FF447" s="1090">
        <f>FF395</f>
        <v>0.37852668793620659</v>
      </c>
      <c r="FG447" s="1074"/>
      <c r="FK447" s="1086" t="s">
        <v>91</v>
      </c>
      <c r="FL447" s="1089">
        <f>FL395</f>
        <v>0.32058832897642958</v>
      </c>
      <c r="FM447" s="1089">
        <f>FM395</f>
        <v>0.30088498308736378</v>
      </c>
      <c r="FN447" s="1090">
        <f>FN395</f>
        <v>0.37852668793620659</v>
      </c>
      <c r="FO447" s="1074"/>
    </row>
    <row r="448" spans="2:171" x14ac:dyDescent="0.25">
      <c r="D448" s="1084"/>
      <c r="E448" s="1085"/>
      <c r="F448" s="1080"/>
      <c r="G448" s="1086" t="s">
        <v>93</v>
      </c>
      <c r="H448" s="1089">
        <f>H439</f>
        <v>0.43795061663702523</v>
      </c>
      <c r="I448" s="1089">
        <f>I439</f>
        <v>0</v>
      </c>
      <c r="J448" s="1090">
        <f>J439</f>
        <v>0.56204938336297461</v>
      </c>
      <c r="K448" s="1074"/>
      <c r="O448" s="1086" t="s">
        <v>93</v>
      </c>
      <c r="P448" s="1089">
        <f>P439</f>
        <v>0.43795061663702523</v>
      </c>
      <c r="Q448" s="1089">
        <f>Q439</f>
        <v>0.23748942993816052</v>
      </c>
      <c r="R448" s="1090">
        <f>R439</f>
        <v>0.32455995342481403</v>
      </c>
      <c r="S448" s="1074"/>
      <c r="W448" s="1086" t="s">
        <v>93</v>
      </c>
      <c r="X448" s="1089">
        <f>X439</f>
        <v>0.43795061663702523</v>
      </c>
      <c r="Y448" s="1089">
        <f>Y439</f>
        <v>0.23748942993816052</v>
      </c>
      <c r="Z448" s="1090">
        <f>Z439</f>
        <v>0.32455995342481403</v>
      </c>
      <c r="AA448" s="1074"/>
      <c r="AE448" s="1086" t="s">
        <v>93</v>
      </c>
      <c r="AF448" s="1089">
        <f>AF439</f>
        <v>0.43795061663702523</v>
      </c>
      <c r="AG448" s="1089">
        <f>AG439</f>
        <v>0.23748942993816052</v>
      </c>
      <c r="AH448" s="1090">
        <f>AH439</f>
        <v>0.32455995342481403</v>
      </c>
      <c r="AI448" s="1074"/>
      <c r="AM448" s="1086" t="s">
        <v>93</v>
      </c>
      <c r="AN448" s="1089">
        <f>AN439</f>
        <v>0.43795061663702523</v>
      </c>
      <c r="AO448" s="1089">
        <f>AO439</f>
        <v>0.23748942993816052</v>
      </c>
      <c r="AP448" s="1090">
        <f>AP439</f>
        <v>0.32455995342481403</v>
      </c>
      <c r="AQ448" s="1074"/>
      <c r="AU448" s="1086" t="s">
        <v>93</v>
      </c>
      <c r="AV448" s="1089">
        <f>AV439</f>
        <v>0.43795061663702523</v>
      </c>
      <c r="AW448" s="1089">
        <f>AW439</f>
        <v>0.23748942993816052</v>
      </c>
      <c r="AX448" s="1090">
        <f>AX439</f>
        <v>0.32455995342481403</v>
      </c>
      <c r="AY448" s="1074"/>
      <c r="BC448" s="1086" t="s">
        <v>93</v>
      </c>
      <c r="BD448" s="1089">
        <f>BD439</f>
        <v>0.43795061663702523</v>
      </c>
      <c r="BE448" s="1089">
        <f>BE439</f>
        <v>0.23748942993816052</v>
      </c>
      <c r="BF448" s="1090">
        <f>BF439</f>
        <v>0.32455995342481403</v>
      </c>
      <c r="BG448" s="1074"/>
      <c r="BK448" s="1086" t="s">
        <v>93</v>
      </c>
      <c r="BL448" s="1089">
        <f>BL439</f>
        <v>0.43795061663702523</v>
      </c>
      <c r="BM448" s="1089">
        <f>BM439</f>
        <v>0.23748942993816052</v>
      </c>
      <c r="BN448" s="1090">
        <f>BN439</f>
        <v>0.32455995342481403</v>
      </c>
      <c r="BO448" s="1074"/>
      <c r="BS448" s="1086" t="s">
        <v>93</v>
      </c>
      <c r="BT448" s="1089">
        <f>BT439</f>
        <v>0.43795061663702523</v>
      </c>
      <c r="BU448" s="1089">
        <f>BU439</f>
        <v>0.23748942993816052</v>
      </c>
      <c r="BV448" s="1090">
        <f>BV439</f>
        <v>0.32455995342481403</v>
      </c>
      <c r="BW448" s="1074"/>
      <c r="CA448" s="1086" t="s">
        <v>93</v>
      </c>
      <c r="CB448" s="1089">
        <f>CB439</f>
        <v>0.43795061663702523</v>
      </c>
      <c r="CC448" s="1089">
        <f>CC439</f>
        <v>0.23748942993816052</v>
      </c>
      <c r="CD448" s="1090">
        <f>CD439</f>
        <v>0.32455995342481403</v>
      </c>
      <c r="CE448" s="1074"/>
      <c r="CI448" s="1086" t="s">
        <v>93</v>
      </c>
      <c r="CJ448" s="1089">
        <f>CJ439</f>
        <v>0.43795061663702523</v>
      </c>
      <c r="CK448" s="1089">
        <f>CK439</f>
        <v>0.23748942993816052</v>
      </c>
      <c r="CL448" s="1090">
        <f>CL439</f>
        <v>0.32455995342481403</v>
      </c>
      <c r="CM448" s="1074"/>
      <c r="CQ448" s="1086" t="s">
        <v>93</v>
      </c>
      <c r="CR448" s="1089">
        <f>CR439</f>
        <v>0.43795061663702523</v>
      </c>
      <c r="CS448" s="1089">
        <f>CS439</f>
        <v>0.23748942993816052</v>
      </c>
      <c r="CT448" s="1090">
        <f>CT439</f>
        <v>0.32455995342481403</v>
      </c>
      <c r="CU448" s="1074"/>
      <c r="CY448" s="1086" t="s">
        <v>93</v>
      </c>
      <c r="CZ448" s="1089">
        <f>CZ439</f>
        <v>0.43795061663702523</v>
      </c>
      <c r="DA448" s="1089">
        <f>DA439</f>
        <v>0.23748942993816052</v>
      </c>
      <c r="DB448" s="1090">
        <f>DB439</f>
        <v>0.32455995342481403</v>
      </c>
      <c r="DC448" s="1074"/>
      <c r="DG448" s="1086" t="s">
        <v>93</v>
      </c>
      <c r="DH448" s="1089">
        <f>DH439</f>
        <v>0.43795061663702523</v>
      </c>
      <c r="DI448" s="1089">
        <f>DI439</f>
        <v>0.23748942993816052</v>
      </c>
      <c r="DJ448" s="1090">
        <f>DJ439</f>
        <v>0.32455995342481403</v>
      </c>
      <c r="DK448" s="1074"/>
      <c r="DO448" s="1086" t="s">
        <v>93</v>
      </c>
      <c r="DP448" s="1089">
        <f>DP439</f>
        <v>0.43795061663702523</v>
      </c>
      <c r="DQ448" s="1089">
        <f>DQ439</f>
        <v>0.23748942993816052</v>
      </c>
      <c r="DR448" s="1090">
        <f>DR439</f>
        <v>0.32455995342481403</v>
      </c>
      <c r="DS448" s="1074"/>
      <c r="DW448" s="1086" t="s">
        <v>93</v>
      </c>
      <c r="DX448" s="1089">
        <f>DX439</f>
        <v>0.43795061663702523</v>
      </c>
      <c r="DY448" s="1089">
        <f>DY439</f>
        <v>0.23748942993816052</v>
      </c>
      <c r="DZ448" s="1090">
        <f>DZ439</f>
        <v>0.32455995342481403</v>
      </c>
      <c r="EA448" s="1074"/>
      <c r="EE448" s="1086" t="s">
        <v>93</v>
      </c>
      <c r="EF448" s="1089">
        <f>EF439</f>
        <v>0.43795061663702523</v>
      </c>
      <c r="EG448" s="1089">
        <f>EG439</f>
        <v>0.23748942993816052</v>
      </c>
      <c r="EH448" s="1090">
        <f>EH439</f>
        <v>0.32455995342481403</v>
      </c>
      <c r="EI448" s="1074"/>
      <c r="EM448" s="1086" t="s">
        <v>93</v>
      </c>
      <c r="EN448" s="1089">
        <f>EN439</f>
        <v>0.43795061663702523</v>
      </c>
      <c r="EO448" s="1089">
        <f>EO439</f>
        <v>0.23748942993816052</v>
      </c>
      <c r="EP448" s="1090">
        <f>EP439</f>
        <v>0.32455995342481403</v>
      </c>
      <c r="EQ448" s="1074"/>
      <c r="EU448" s="1086" t="s">
        <v>93</v>
      </c>
      <c r="EV448" s="1089">
        <f>EV439</f>
        <v>0.43795061663702523</v>
      </c>
      <c r="EW448" s="1089">
        <f>EW439</f>
        <v>0.23748942993816052</v>
      </c>
      <c r="EX448" s="1090">
        <f>EX439</f>
        <v>0.32455995342481403</v>
      </c>
      <c r="EY448" s="1074"/>
      <c r="FC448" s="1086" t="s">
        <v>93</v>
      </c>
      <c r="FD448" s="1089">
        <f>FD439</f>
        <v>0.43795061663702523</v>
      </c>
      <c r="FE448" s="1089">
        <f>FE439</f>
        <v>0.23748942993816052</v>
      </c>
      <c r="FF448" s="1090">
        <f>FF439</f>
        <v>0.32455995342481403</v>
      </c>
      <c r="FG448" s="1074"/>
      <c r="FK448" s="1086" t="s">
        <v>93</v>
      </c>
      <c r="FL448" s="1089">
        <f>FL439</f>
        <v>0.43795061663702523</v>
      </c>
      <c r="FM448" s="1089">
        <f>FM439</f>
        <v>0.23748942993816052</v>
      </c>
      <c r="FN448" s="1090">
        <f>FN439</f>
        <v>0.32455995342481403</v>
      </c>
      <c r="FO448" s="1074"/>
    </row>
    <row r="449" spans="1:171" x14ac:dyDescent="0.25">
      <c r="D449" s="1084"/>
      <c r="E449" s="1085"/>
      <c r="F449" s="1080"/>
      <c r="G449" s="1086" t="s">
        <v>95</v>
      </c>
      <c r="H449" s="1089">
        <f>H379</f>
        <v>0.41685340178759894</v>
      </c>
      <c r="I449" s="1089">
        <f>I379</f>
        <v>0</v>
      </c>
      <c r="J449" s="1090">
        <f>J379</f>
        <v>0.58314659821240111</v>
      </c>
      <c r="K449" s="1079"/>
      <c r="O449" s="1086" t="s">
        <v>95</v>
      </c>
      <c r="P449" s="1089">
        <f>P379</f>
        <v>0.41685340178759894</v>
      </c>
      <c r="Q449" s="1089">
        <f>Q379</f>
        <v>2.7009359799347855E-2</v>
      </c>
      <c r="R449" s="1090">
        <f>R379</f>
        <v>0.55613723841305318</v>
      </c>
      <c r="S449" s="1079"/>
      <c r="W449" s="1086" t="s">
        <v>95</v>
      </c>
      <c r="X449" s="1089">
        <f>X379</f>
        <v>0.41685340178759894</v>
      </c>
      <c r="Y449" s="1089">
        <f>Y379</f>
        <v>2.7009359799347855E-2</v>
      </c>
      <c r="Z449" s="1090">
        <f>Z379</f>
        <v>0.55613723841305318</v>
      </c>
      <c r="AA449" s="1079"/>
      <c r="AE449" s="1086" t="s">
        <v>95</v>
      </c>
      <c r="AF449" s="1089">
        <f>AF379</f>
        <v>0.41685340178759894</v>
      </c>
      <c r="AG449" s="1089">
        <f>AG379</f>
        <v>2.7009359799347855E-2</v>
      </c>
      <c r="AH449" s="1090">
        <f>AH379</f>
        <v>0.55613723841305318</v>
      </c>
      <c r="AI449" s="1079"/>
      <c r="AM449" s="1086" t="s">
        <v>95</v>
      </c>
      <c r="AN449" s="1089">
        <f>AN379</f>
        <v>0.41685340178759894</v>
      </c>
      <c r="AO449" s="1089">
        <f>AO379</f>
        <v>2.7009359799347855E-2</v>
      </c>
      <c r="AP449" s="1090">
        <f>AP379</f>
        <v>0.55613723841305318</v>
      </c>
      <c r="AQ449" s="1079"/>
      <c r="AU449" s="1086" t="s">
        <v>95</v>
      </c>
      <c r="AV449" s="1089">
        <f>AV379</f>
        <v>0.41685340178759894</v>
      </c>
      <c r="AW449" s="1089">
        <f>AW379</f>
        <v>2.7009359799347855E-2</v>
      </c>
      <c r="AX449" s="1090">
        <f>AX379</f>
        <v>0.55613723841305318</v>
      </c>
      <c r="AY449" s="1079"/>
      <c r="BC449" s="1086" t="s">
        <v>95</v>
      </c>
      <c r="BD449" s="1089">
        <f>BD379</f>
        <v>0.41685340178759894</v>
      </c>
      <c r="BE449" s="1089">
        <f>BE379</f>
        <v>2.7009359799347855E-2</v>
      </c>
      <c r="BF449" s="1090">
        <f>BF379</f>
        <v>0.55613723841305318</v>
      </c>
      <c r="BG449" s="1079"/>
      <c r="BK449" s="1086" t="s">
        <v>95</v>
      </c>
      <c r="BL449" s="1089">
        <f>BL379</f>
        <v>0.41685340178759894</v>
      </c>
      <c r="BM449" s="1089">
        <f>BM379</f>
        <v>2.7009359799347855E-2</v>
      </c>
      <c r="BN449" s="1090">
        <f>BN379</f>
        <v>0.55613723841305318</v>
      </c>
      <c r="BO449" s="1079"/>
      <c r="BS449" s="1086" t="s">
        <v>95</v>
      </c>
      <c r="BT449" s="1089">
        <f>BT379</f>
        <v>0.41685340178759894</v>
      </c>
      <c r="BU449" s="1089">
        <f>BU379</f>
        <v>2.7009359799347855E-2</v>
      </c>
      <c r="BV449" s="1090">
        <f>BV379</f>
        <v>0.55613723841305318</v>
      </c>
      <c r="BW449" s="1079"/>
      <c r="CA449" s="1086" t="s">
        <v>95</v>
      </c>
      <c r="CB449" s="1089">
        <f>CB379</f>
        <v>0.41685340178759894</v>
      </c>
      <c r="CC449" s="1089">
        <f>CC379</f>
        <v>2.7009359799347855E-2</v>
      </c>
      <c r="CD449" s="1090">
        <f>CD379</f>
        <v>0.55613723841305318</v>
      </c>
      <c r="CE449" s="1079"/>
      <c r="CI449" s="1086" t="s">
        <v>95</v>
      </c>
      <c r="CJ449" s="1089">
        <f>CJ379</f>
        <v>0.41685340178759894</v>
      </c>
      <c r="CK449" s="1089">
        <f>CK379</f>
        <v>2.7009359799347855E-2</v>
      </c>
      <c r="CL449" s="1090">
        <f>CL379</f>
        <v>0.55613723841305318</v>
      </c>
      <c r="CM449" s="1079"/>
      <c r="CQ449" s="1086" t="s">
        <v>95</v>
      </c>
      <c r="CR449" s="1089">
        <f>CR379</f>
        <v>0.41685340178759894</v>
      </c>
      <c r="CS449" s="1089">
        <f>CS379</f>
        <v>2.7009359799347855E-2</v>
      </c>
      <c r="CT449" s="1090">
        <f>CT379</f>
        <v>0.55613723841305318</v>
      </c>
      <c r="CU449" s="1079"/>
      <c r="CY449" s="1086" t="s">
        <v>95</v>
      </c>
      <c r="CZ449" s="1089">
        <f>CZ379</f>
        <v>0.41685340178759894</v>
      </c>
      <c r="DA449" s="1089">
        <f>DA379</f>
        <v>2.7009359799347855E-2</v>
      </c>
      <c r="DB449" s="1090">
        <f>DB379</f>
        <v>0.55613723841305318</v>
      </c>
      <c r="DC449" s="1079"/>
      <c r="DG449" s="1086" t="s">
        <v>95</v>
      </c>
      <c r="DH449" s="1089">
        <f>DH379</f>
        <v>0.41685340178759894</v>
      </c>
      <c r="DI449" s="1089">
        <f>DI379</f>
        <v>2.7009359799347855E-2</v>
      </c>
      <c r="DJ449" s="1090">
        <f>DJ379</f>
        <v>0.55613723841305318</v>
      </c>
      <c r="DK449" s="1079"/>
      <c r="DO449" s="1086" t="s">
        <v>95</v>
      </c>
      <c r="DP449" s="1089">
        <f>DP379</f>
        <v>0.41685340178759894</v>
      </c>
      <c r="DQ449" s="1089">
        <f>DQ379</f>
        <v>2.7009359799347855E-2</v>
      </c>
      <c r="DR449" s="1090">
        <f>DR379</f>
        <v>0.55613723841305318</v>
      </c>
      <c r="DS449" s="1079"/>
      <c r="DW449" s="1086" t="s">
        <v>95</v>
      </c>
      <c r="DX449" s="1089">
        <f>DX379</f>
        <v>0.41685340178759894</v>
      </c>
      <c r="DY449" s="1089">
        <f>DY379</f>
        <v>2.7009359799347855E-2</v>
      </c>
      <c r="DZ449" s="1090">
        <f>DZ379</f>
        <v>0.55613723841305318</v>
      </c>
      <c r="EA449" s="1079"/>
      <c r="EE449" s="1086" t="s">
        <v>95</v>
      </c>
      <c r="EF449" s="1089">
        <f>EF379</f>
        <v>0.41685340178759894</v>
      </c>
      <c r="EG449" s="1089">
        <f>EG379</f>
        <v>2.7009359799347855E-2</v>
      </c>
      <c r="EH449" s="1090">
        <f>EH379</f>
        <v>0.55613723841305318</v>
      </c>
      <c r="EI449" s="1079"/>
      <c r="EM449" s="1086" t="s">
        <v>95</v>
      </c>
      <c r="EN449" s="1089">
        <f>EN379</f>
        <v>0.41685340178759894</v>
      </c>
      <c r="EO449" s="1089">
        <f>EO379</f>
        <v>2.7009359799347855E-2</v>
      </c>
      <c r="EP449" s="1090">
        <f>EP379</f>
        <v>0.55613723841305318</v>
      </c>
      <c r="EQ449" s="1079"/>
      <c r="EU449" s="1086" t="s">
        <v>95</v>
      </c>
      <c r="EV449" s="1089">
        <f>EV379</f>
        <v>0.41685340178759894</v>
      </c>
      <c r="EW449" s="1089">
        <f>EW379</f>
        <v>2.7009359799347855E-2</v>
      </c>
      <c r="EX449" s="1090">
        <f>EX379</f>
        <v>0.55613723841305318</v>
      </c>
      <c r="EY449" s="1079"/>
      <c r="FC449" s="1086" t="s">
        <v>95</v>
      </c>
      <c r="FD449" s="1089">
        <f>FD379</f>
        <v>0.41685340178759894</v>
      </c>
      <c r="FE449" s="1089">
        <f>FE379</f>
        <v>2.7009359799347855E-2</v>
      </c>
      <c r="FF449" s="1090">
        <f>FF379</f>
        <v>0.55613723841305318</v>
      </c>
      <c r="FG449" s="1079"/>
      <c r="FK449" s="1086" t="s">
        <v>95</v>
      </c>
      <c r="FL449" s="1089">
        <f>FL379</f>
        <v>0.41685340178759894</v>
      </c>
      <c r="FM449" s="1089">
        <f>FM379</f>
        <v>2.7009359799347855E-2</v>
      </c>
      <c r="FN449" s="1090">
        <f>FN379</f>
        <v>0.55613723841305318</v>
      </c>
      <c r="FO449" s="1079"/>
    </row>
    <row r="450" spans="1:171" x14ac:dyDescent="0.25">
      <c r="D450" s="1084"/>
      <c r="E450" s="1085"/>
      <c r="F450" s="1080"/>
      <c r="G450" s="1086" t="s">
        <v>99</v>
      </c>
      <c r="H450" s="1089">
        <f>H406</f>
        <v>0.44019614379593275</v>
      </c>
      <c r="I450" s="1089">
        <f>I406</f>
        <v>0</v>
      </c>
      <c r="J450" s="1090">
        <f>J406</f>
        <v>0.55980385620406714</v>
      </c>
      <c r="K450" s="1074"/>
      <c r="O450" s="1086" t="s">
        <v>99</v>
      </c>
      <c r="P450" s="1089">
        <f>P406</f>
        <v>0.44019614379593275</v>
      </c>
      <c r="Q450" s="1089">
        <f>Q406</f>
        <v>0.25989232611562973</v>
      </c>
      <c r="R450" s="1090">
        <f>R406</f>
        <v>0.29991153008843741</v>
      </c>
      <c r="S450" s="1074"/>
      <c r="W450" s="1086" t="s">
        <v>99</v>
      </c>
      <c r="X450" s="1089">
        <f>X406</f>
        <v>0.44019614379593275</v>
      </c>
      <c r="Y450" s="1089">
        <f>Y406</f>
        <v>0.25989232611562973</v>
      </c>
      <c r="Z450" s="1090">
        <f>Z406</f>
        <v>0.29991153008843741</v>
      </c>
      <c r="AA450" s="1074"/>
      <c r="AE450" s="1086" t="s">
        <v>99</v>
      </c>
      <c r="AF450" s="1089">
        <f>AF406</f>
        <v>0.44019614379593275</v>
      </c>
      <c r="AG450" s="1089">
        <f>AG406</f>
        <v>0.25989232611562973</v>
      </c>
      <c r="AH450" s="1090">
        <f>AH406</f>
        <v>0.29991153008843741</v>
      </c>
      <c r="AI450" s="1074"/>
      <c r="AM450" s="1086" t="s">
        <v>99</v>
      </c>
      <c r="AN450" s="1089">
        <f>AN406</f>
        <v>0.44019614379593275</v>
      </c>
      <c r="AO450" s="1089">
        <f>AO406</f>
        <v>0.25989232611562973</v>
      </c>
      <c r="AP450" s="1090">
        <f>AP406</f>
        <v>0.29991153008843741</v>
      </c>
      <c r="AQ450" s="1074"/>
      <c r="AU450" s="1086" t="s">
        <v>99</v>
      </c>
      <c r="AV450" s="1089">
        <f>AV406</f>
        <v>0.44019614379593275</v>
      </c>
      <c r="AW450" s="1089">
        <f>AW406</f>
        <v>0.25989232611562973</v>
      </c>
      <c r="AX450" s="1090">
        <f>AX406</f>
        <v>0.29991153008843741</v>
      </c>
      <c r="AY450" s="1074"/>
      <c r="BC450" s="1086" t="s">
        <v>99</v>
      </c>
      <c r="BD450" s="1089">
        <f>BD406</f>
        <v>0.44019614379593275</v>
      </c>
      <c r="BE450" s="1089">
        <f>BE406</f>
        <v>0.25989232611562973</v>
      </c>
      <c r="BF450" s="1090">
        <f>BF406</f>
        <v>0.29991153008843741</v>
      </c>
      <c r="BG450" s="1074"/>
      <c r="BK450" s="1086" t="s">
        <v>99</v>
      </c>
      <c r="BL450" s="1089">
        <f>BL406</f>
        <v>0.44019614379593275</v>
      </c>
      <c r="BM450" s="1089">
        <f>BM406</f>
        <v>0.25989232611562973</v>
      </c>
      <c r="BN450" s="1090">
        <f>BN406</f>
        <v>0.29991153008843741</v>
      </c>
      <c r="BO450" s="1074"/>
      <c r="BS450" s="1086" t="s">
        <v>99</v>
      </c>
      <c r="BT450" s="1089">
        <f>BT406</f>
        <v>0.44019614379593275</v>
      </c>
      <c r="BU450" s="1089">
        <f>BU406</f>
        <v>0.25989232611562973</v>
      </c>
      <c r="BV450" s="1090">
        <f>BV406</f>
        <v>0.29991153008843741</v>
      </c>
      <c r="BW450" s="1074"/>
      <c r="CA450" s="1086" t="s">
        <v>99</v>
      </c>
      <c r="CB450" s="1089">
        <f>CB406</f>
        <v>0.44019614379593275</v>
      </c>
      <c r="CC450" s="1089">
        <f>CC406</f>
        <v>0.25989232611562973</v>
      </c>
      <c r="CD450" s="1090">
        <f>CD406</f>
        <v>0.29991153008843741</v>
      </c>
      <c r="CE450" s="1074"/>
      <c r="CI450" s="1086" t="s">
        <v>99</v>
      </c>
      <c r="CJ450" s="1089">
        <f>CJ406</f>
        <v>0.44019614379593275</v>
      </c>
      <c r="CK450" s="1089">
        <f>CK406</f>
        <v>0.25989232611562973</v>
      </c>
      <c r="CL450" s="1090">
        <f>CL406</f>
        <v>0.29991153008843741</v>
      </c>
      <c r="CM450" s="1074"/>
      <c r="CQ450" s="1086" t="s">
        <v>99</v>
      </c>
      <c r="CR450" s="1089">
        <f>CR406</f>
        <v>0.44019614379593275</v>
      </c>
      <c r="CS450" s="1089">
        <f>CS406</f>
        <v>0.25989232611562973</v>
      </c>
      <c r="CT450" s="1090">
        <f>CT406</f>
        <v>0.29991153008843741</v>
      </c>
      <c r="CU450" s="1074"/>
      <c r="CY450" s="1086" t="s">
        <v>99</v>
      </c>
      <c r="CZ450" s="1089">
        <f>CZ406</f>
        <v>0.44019614379593275</v>
      </c>
      <c r="DA450" s="1089">
        <f>DA406</f>
        <v>0.25989232611562973</v>
      </c>
      <c r="DB450" s="1090">
        <f>DB406</f>
        <v>0.29991153008843741</v>
      </c>
      <c r="DC450" s="1074"/>
      <c r="DG450" s="1086" t="s">
        <v>99</v>
      </c>
      <c r="DH450" s="1089">
        <f>DH406</f>
        <v>0.44019614379593275</v>
      </c>
      <c r="DI450" s="1089">
        <f>DI406</f>
        <v>0.25989232611562973</v>
      </c>
      <c r="DJ450" s="1090">
        <f>DJ406</f>
        <v>0.29991153008843741</v>
      </c>
      <c r="DK450" s="1074"/>
      <c r="DO450" s="1086" t="s">
        <v>99</v>
      </c>
      <c r="DP450" s="1089">
        <f>DP406</f>
        <v>0.44019614379593275</v>
      </c>
      <c r="DQ450" s="1089">
        <f>DQ406</f>
        <v>0.25989232611562973</v>
      </c>
      <c r="DR450" s="1090">
        <f>DR406</f>
        <v>0.29991153008843741</v>
      </c>
      <c r="DS450" s="1074"/>
      <c r="DW450" s="1086" t="s">
        <v>99</v>
      </c>
      <c r="DX450" s="1089">
        <f>DX406</f>
        <v>0.44019614379593275</v>
      </c>
      <c r="DY450" s="1089">
        <f>DY406</f>
        <v>0.25989232611562973</v>
      </c>
      <c r="DZ450" s="1090">
        <f>DZ406</f>
        <v>0.29991153008843741</v>
      </c>
      <c r="EA450" s="1074"/>
      <c r="EE450" s="1086" t="s">
        <v>99</v>
      </c>
      <c r="EF450" s="1089">
        <f>EF406</f>
        <v>0.44019614379593275</v>
      </c>
      <c r="EG450" s="1089">
        <f>EG406</f>
        <v>0.25989232611562973</v>
      </c>
      <c r="EH450" s="1090">
        <f>EH406</f>
        <v>0.29991153008843741</v>
      </c>
      <c r="EI450" s="1074"/>
      <c r="EM450" s="1086" t="s">
        <v>99</v>
      </c>
      <c r="EN450" s="1089">
        <f>EN406</f>
        <v>0.44019614379593275</v>
      </c>
      <c r="EO450" s="1089">
        <f>EO406</f>
        <v>0.25989232611562973</v>
      </c>
      <c r="EP450" s="1090">
        <f>EP406</f>
        <v>0.29991153008843741</v>
      </c>
      <c r="EQ450" s="1074"/>
      <c r="EU450" s="1086" t="s">
        <v>99</v>
      </c>
      <c r="EV450" s="1089">
        <f>EV406</f>
        <v>0.44019614379593275</v>
      </c>
      <c r="EW450" s="1089">
        <f>EW406</f>
        <v>0.25989232611562973</v>
      </c>
      <c r="EX450" s="1090">
        <f>EX406</f>
        <v>0.29991153008843741</v>
      </c>
      <c r="EY450" s="1074"/>
      <c r="FC450" s="1086" t="s">
        <v>99</v>
      </c>
      <c r="FD450" s="1089">
        <f>FD406</f>
        <v>0.44019614379593275</v>
      </c>
      <c r="FE450" s="1089">
        <f>FE406</f>
        <v>0.25989232611562973</v>
      </c>
      <c r="FF450" s="1090">
        <f>FF406</f>
        <v>0.29991153008843741</v>
      </c>
      <c r="FG450" s="1074"/>
      <c r="FK450" s="1086" t="s">
        <v>99</v>
      </c>
      <c r="FL450" s="1089">
        <f>FL406</f>
        <v>0.44019614379593275</v>
      </c>
      <c r="FM450" s="1089">
        <f>FM406</f>
        <v>0.25989232611562973</v>
      </c>
      <c r="FN450" s="1090">
        <f>FN406</f>
        <v>0.29991153008843741</v>
      </c>
      <c r="FO450" s="1074"/>
    </row>
    <row r="451" spans="1:171" x14ac:dyDescent="0.25">
      <c r="D451" s="1084"/>
      <c r="E451" s="1085"/>
      <c r="F451" s="1080"/>
      <c r="G451" s="1086" t="s">
        <v>108</v>
      </c>
      <c r="H451" s="1089">
        <f>H415</f>
        <v>0.43441450169532542</v>
      </c>
      <c r="I451" s="1089">
        <f>I415</f>
        <v>0</v>
      </c>
      <c r="J451" s="1090">
        <f>J415</f>
        <v>0.56568557243508888</v>
      </c>
      <c r="K451" s="1074"/>
      <c r="O451" s="1086" t="s">
        <v>108</v>
      </c>
      <c r="P451" s="1089">
        <f>P415</f>
        <v>0.43441450169532542</v>
      </c>
      <c r="Q451" s="1089">
        <f>Q415</f>
        <v>0.2531010203203618</v>
      </c>
      <c r="R451" s="1090">
        <f>R415</f>
        <v>0.31248447798431273</v>
      </c>
      <c r="S451" s="1074"/>
      <c r="W451" s="1086" t="s">
        <v>108</v>
      </c>
      <c r="X451" s="1089">
        <f>X415</f>
        <v>0.43441450169532542</v>
      </c>
      <c r="Y451" s="1089">
        <f>Y415</f>
        <v>0.2531010203203618</v>
      </c>
      <c r="Z451" s="1090">
        <f>Z415</f>
        <v>0.31248447798431273</v>
      </c>
      <c r="AA451" s="1074"/>
      <c r="AE451" s="1086" t="s">
        <v>108</v>
      </c>
      <c r="AF451" s="1089">
        <f>AF415</f>
        <v>0.43441450169532542</v>
      </c>
      <c r="AG451" s="1089">
        <f>AG415</f>
        <v>0.2531010203203618</v>
      </c>
      <c r="AH451" s="1090">
        <f>AH415</f>
        <v>0.31248447798431273</v>
      </c>
      <c r="AI451" s="1074"/>
      <c r="AM451" s="1086" t="s">
        <v>108</v>
      </c>
      <c r="AN451" s="1089">
        <f>AN415</f>
        <v>0.43441450169532542</v>
      </c>
      <c r="AO451" s="1089">
        <f>AO415</f>
        <v>0.2531010203203618</v>
      </c>
      <c r="AP451" s="1090">
        <f>AP415</f>
        <v>0.31248447798431273</v>
      </c>
      <c r="AQ451" s="1074"/>
      <c r="AU451" s="1086" t="s">
        <v>108</v>
      </c>
      <c r="AV451" s="1089">
        <f>AV415</f>
        <v>0.43441450169532542</v>
      </c>
      <c r="AW451" s="1089">
        <f>AW415</f>
        <v>0.2531010203203618</v>
      </c>
      <c r="AX451" s="1090">
        <f>AX415</f>
        <v>0.31248447798431273</v>
      </c>
      <c r="AY451" s="1074"/>
      <c r="BC451" s="1086" t="s">
        <v>108</v>
      </c>
      <c r="BD451" s="1089">
        <f>BD415</f>
        <v>0.43441450169532542</v>
      </c>
      <c r="BE451" s="1089">
        <f>BE415</f>
        <v>0.2531010203203618</v>
      </c>
      <c r="BF451" s="1090">
        <f>BF415</f>
        <v>0.31248447798431273</v>
      </c>
      <c r="BG451" s="1074"/>
      <c r="BK451" s="1086" t="s">
        <v>108</v>
      </c>
      <c r="BL451" s="1089">
        <f>BL415</f>
        <v>0.43441450169532542</v>
      </c>
      <c r="BM451" s="1089">
        <f>BM415</f>
        <v>0.2531010203203618</v>
      </c>
      <c r="BN451" s="1090">
        <f>BN415</f>
        <v>0.31248447798431273</v>
      </c>
      <c r="BO451" s="1074"/>
      <c r="BS451" s="1086" t="s">
        <v>108</v>
      </c>
      <c r="BT451" s="1089">
        <f>BT415</f>
        <v>0.43441450169532542</v>
      </c>
      <c r="BU451" s="1089">
        <f>BU415</f>
        <v>0.2531010203203618</v>
      </c>
      <c r="BV451" s="1090">
        <f>BV415</f>
        <v>0.31248447798431273</v>
      </c>
      <c r="BW451" s="1074"/>
      <c r="CA451" s="1086" t="s">
        <v>108</v>
      </c>
      <c r="CB451" s="1089">
        <f>CB415</f>
        <v>0.43441450169532542</v>
      </c>
      <c r="CC451" s="1089">
        <f>CC415</f>
        <v>0.2531010203203618</v>
      </c>
      <c r="CD451" s="1090">
        <f>CD415</f>
        <v>0.31248447798431273</v>
      </c>
      <c r="CE451" s="1074"/>
      <c r="CI451" s="1086" t="s">
        <v>108</v>
      </c>
      <c r="CJ451" s="1089">
        <f>CJ415</f>
        <v>0.43441450169532542</v>
      </c>
      <c r="CK451" s="1089">
        <f>CK415</f>
        <v>0.2531010203203618</v>
      </c>
      <c r="CL451" s="1090">
        <f>CL415</f>
        <v>0.31248447798431273</v>
      </c>
      <c r="CM451" s="1074"/>
      <c r="CQ451" s="1086" t="s">
        <v>108</v>
      </c>
      <c r="CR451" s="1089">
        <f>CR415</f>
        <v>0.43441450169532542</v>
      </c>
      <c r="CS451" s="1089">
        <f>CS415</f>
        <v>0.2531010203203618</v>
      </c>
      <c r="CT451" s="1090">
        <f>CT415</f>
        <v>0.31248447798431273</v>
      </c>
      <c r="CU451" s="1074"/>
      <c r="CY451" s="1086" t="s">
        <v>108</v>
      </c>
      <c r="CZ451" s="1089">
        <f>CZ415</f>
        <v>0.43441450169532542</v>
      </c>
      <c r="DA451" s="1089">
        <f>DA415</f>
        <v>0.2531010203203618</v>
      </c>
      <c r="DB451" s="1090">
        <f>DB415</f>
        <v>0.31248447798431273</v>
      </c>
      <c r="DC451" s="1074"/>
      <c r="DG451" s="1086" t="s">
        <v>108</v>
      </c>
      <c r="DH451" s="1089">
        <f>DH415</f>
        <v>0.43441450169532542</v>
      </c>
      <c r="DI451" s="1089">
        <f>DI415</f>
        <v>0.2531010203203618</v>
      </c>
      <c r="DJ451" s="1090">
        <f>DJ415</f>
        <v>0.31248447798431273</v>
      </c>
      <c r="DK451" s="1074"/>
      <c r="DO451" s="1086" t="s">
        <v>108</v>
      </c>
      <c r="DP451" s="1089">
        <f>DP415</f>
        <v>0.43441450169532542</v>
      </c>
      <c r="DQ451" s="1089">
        <f>DQ415</f>
        <v>0.2531010203203618</v>
      </c>
      <c r="DR451" s="1090">
        <f>DR415</f>
        <v>0.31248447798431273</v>
      </c>
      <c r="DS451" s="1074"/>
      <c r="DW451" s="1086" t="s">
        <v>108</v>
      </c>
      <c r="DX451" s="1089">
        <f>DX415</f>
        <v>0.43441450169532542</v>
      </c>
      <c r="DY451" s="1089">
        <f>DY415</f>
        <v>0.2531010203203618</v>
      </c>
      <c r="DZ451" s="1090">
        <f>DZ415</f>
        <v>0.31248447798431273</v>
      </c>
      <c r="EA451" s="1074"/>
      <c r="EE451" s="1086" t="s">
        <v>108</v>
      </c>
      <c r="EF451" s="1089">
        <f>EF415</f>
        <v>0.43441450169532542</v>
      </c>
      <c r="EG451" s="1089">
        <f>EG415</f>
        <v>0.2531010203203618</v>
      </c>
      <c r="EH451" s="1090">
        <f>EH415</f>
        <v>0.31248447798431273</v>
      </c>
      <c r="EI451" s="1074"/>
      <c r="EM451" s="1086" t="s">
        <v>108</v>
      </c>
      <c r="EN451" s="1089">
        <f>EN415</f>
        <v>0.43441450169532542</v>
      </c>
      <c r="EO451" s="1089">
        <f>EO415</f>
        <v>0.2531010203203618</v>
      </c>
      <c r="EP451" s="1090">
        <f>EP415</f>
        <v>0.31248447798431273</v>
      </c>
      <c r="EQ451" s="1074"/>
      <c r="EU451" s="1086" t="s">
        <v>108</v>
      </c>
      <c r="EV451" s="1089">
        <f>EV415</f>
        <v>0.43441450169532542</v>
      </c>
      <c r="EW451" s="1089">
        <f>EW415</f>
        <v>0.2531010203203618</v>
      </c>
      <c r="EX451" s="1090">
        <f>EX415</f>
        <v>0.31248447798431273</v>
      </c>
      <c r="EY451" s="1074"/>
      <c r="FC451" s="1086" t="s">
        <v>108</v>
      </c>
      <c r="FD451" s="1089">
        <f>FD415</f>
        <v>0.43441450169532542</v>
      </c>
      <c r="FE451" s="1089">
        <f>FE415</f>
        <v>0.2531010203203618</v>
      </c>
      <c r="FF451" s="1090">
        <f>FF415</f>
        <v>0.31248447798431273</v>
      </c>
      <c r="FG451" s="1074"/>
      <c r="FK451" s="1086" t="s">
        <v>108</v>
      </c>
      <c r="FL451" s="1089">
        <f>FL415</f>
        <v>0.43441450169532542</v>
      </c>
      <c r="FM451" s="1089">
        <f>FM415</f>
        <v>0.2531010203203618</v>
      </c>
      <c r="FN451" s="1090">
        <f>FN415</f>
        <v>0.31248447798431273</v>
      </c>
      <c r="FO451" s="1074"/>
    </row>
    <row r="452" spans="1:171" x14ac:dyDescent="0.25">
      <c r="D452" s="1084"/>
      <c r="E452" s="1085"/>
      <c r="F452" s="1080"/>
      <c r="G452" s="1091" t="s">
        <v>109</v>
      </c>
      <c r="H452" s="1089">
        <f>H421</f>
        <v>0</v>
      </c>
      <c r="I452" s="1089">
        <f>I421</f>
        <v>0</v>
      </c>
      <c r="J452" s="1090">
        <f>J421</f>
        <v>1</v>
      </c>
      <c r="K452" s="1079"/>
      <c r="O452" s="1091" t="s">
        <v>109</v>
      </c>
      <c r="P452" s="1089">
        <f>P421</f>
        <v>0</v>
      </c>
      <c r="Q452" s="1089">
        <f>Q421</f>
        <v>0.46425604832005718</v>
      </c>
      <c r="R452" s="1090">
        <f>R421</f>
        <v>0.53574395167994282</v>
      </c>
      <c r="S452" s="1079"/>
      <c r="W452" s="1091" t="s">
        <v>109</v>
      </c>
      <c r="X452" s="1089">
        <f>X421</f>
        <v>0</v>
      </c>
      <c r="Y452" s="1089">
        <f>Y421</f>
        <v>0.46425604832005718</v>
      </c>
      <c r="Z452" s="1090">
        <f>Z421</f>
        <v>0.53574395167994282</v>
      </c>
      <c r="AA452" s="1079"/>
      <c r="AE452" s="1091" t="s">
        <v>109</v>
      </c>
      <c r="AF452" s="1089">
        <f>AF421</f>
        <v>0</v>
      </c>
      <c r="AG452" s="1089">
        <f>AG421</f>
        <v>0.46425604832005718</v>
      </c>
      <c r="AH452" s="1090">
        <f>AH421</f>
        <v>0.53574395167994282</v>
      </c>
      <c r="AI452" s="1079"/>
      <c r="AM452" s="1091" t="s">
        <v>109</v>
      </c>
      <c r="AN452" s="1089">
        <f>AN421</f>
        <v>0</v>
      </c>
      <c r="AO452" s="1089">
        <f>AO421</f>
        <v>0.46425604832005718</v>
      </c>
      <c r="AP452" s="1090">
        <f>AP421</f>
        <v>0.53574395167994282</v>
      </c>
      <c r="AQ452" s="1079"/>
      <c r="AU452" s="1091" t="s">
        <v>109</v>
      </c>
      <c r="AV452" s="1089">
        <f>AV421</f>
        <v>0</v>
      </c>
      <c r="AW452" s="1089">
        <f>AW421</f>
        <v>0.46425604832005718</v>
      </c>
      <c r="AX452" s="1090">
        <f>AX421</f>
        <v>0.53574395167994282</v>
      </c>
      <c r="AY452" s="1079"/>
      <c r="BC452" s="1091" t="s">
        <v>109</v>
      </c>
      <c r="BD452" s="1089">
        <f>BD421</f>
        <v>0</v>
      </c>
      <c r="BE452" s="1089">
        <f>BE421</f>
        <v>0.46425604832005718</v>
      </c>
      <c r="BF452" s="1090">
        <f>BF421</f>
        <v>0.53574395167994282</v>
      </c>
      <c r="BG452" s="1079"/>
      <c r="BK452" s="1091" t="s">
        <v>109</v>
      </c>
      <c r="BL452" s="1089">
        <f>BL421</f>
        <v>0</v>
      </c>
      <c r="BM452" s="1089">
        <f>BM421</f>
        <v>0.46425604832005718</v>
      </c>
      <c r="BN452" s="1090">
        <f>BN421</f>
        <v>0.53574395167994282</v>
      </c>
      <c r="BO452" s="1079"/>
      <c r="BS452" s="1091" t="s">
        <v>109</v>
      </c>
      <c r="BT452" s="1089">
        <f>BT421</f>
        <v>0</v>
      </c>
      <c r="BU452" s="1089">
        <f>BU421</f>
        <v>0.46425604832005718</v>
      </c>
      <c r="BV452" s="1090">
        <f>BV421</f>
        <v>0.53574395167994282</v>
      </c>
      <c r="BW452" s="1079"/>
      <c r="CA452" s="1091" t="s">
        <v>109</v>
      </c>
      <c r="CB452" s="1089">
        <f>CB421</f>
        <v>0</v>
      </c>
      <c r="CC452" s="1089">
        <f>CC421</f>
        <v>0.46425604832005718</v>
      </c>
      <c r="CD452" s="1090">
        <f>CD421</f>
        <v>0.53574395167994282</v>
      </c>
      <c r="CE452" s="1079"/>
      <c r="CI452" s="1091" t="s">
        <v>109</v>
      </c>
      <c r="CJ452" s="1089">
        <f>CJ421</f>
        <v>0</v>
      </c>
      <c r="CK452" s="1089">
        <f>CK421</f>
        <v>0.46425604832005718</v>
      </c>
      <c r="CL452" s="1090">
        <f>CL421</f>
        <v>0.53574395167994282</v>
      </c>
      <c r="CM452" s="1079"/>
      <c r="CQ452" s="1091" t="s">
        <v>109</v>
      </c>
      <c r="CR452" s="1089">
        <f>CR421</f>
        <v>0</v>
      </c>
      <c r="CS452" s="1089">
        <f>CS421</f>
        <v>0.46425604832005718</v>
      </c>
      <c r="CT452" s="1090">
        <f>CT421</f>
        <v>0.53574395167994282</v>
      </c>
      <c r="CU452" s="1079"/>
      <c r="CY452" s="1091" t="s">
        <v>109</v>
      </c>
      <c r="CZ452" s="1089">
        <f>CZ421</f>
        <v>0</v>
      </c>
      <c r="DA452" s="1089">
        <f>DA421</f>
        <v>0.46425604832005718</v>
      </c>
      <c r="DB452" s="1090">
        <f>DB421</f>
        <v>0.53574395167994282</v>
      </c>
      <c r="DC452" s="1079"/>
      <c r="DG452" s="1091" t="s">
        <v>109</v>
      </c>
      <c r="DH452" s="1089">
        <f>DH421</f>
        <v>0</v>
      </c>
      <c r="DI452" s="1089">
        <f>DI421</f>
        <v>0.46425604832005718</v>
      </c>
      <c r="DJ452" s="1090">
        <f>DJ421</f>
        <v>0.53574395167994282</v>
      </c>
      <c r="DK452" s="1079"/>
      <c r="DO452" s="1091" t="s">
        <v>109</v>
      </c>
      <c r="DP452" s="1089">
        <f>DP421</f>
        <v>0</v>
      </c>
      <c r="DQ452" s="1089">
        <f>DQ421</f>
        <v>0.46425604832005718</v>
      </c>
      <c r="DR452" s="1090">
        <f>DR421</f>
        <v>0.53574395167994282</v>
      </c>
      <c r="DS452" s="1079"/>
      <c r="DW452" s="1091" t="s">
        <v>109</v>
      </c>
      <c r="DX452" s="1089">
        <f>DX421</f>
        <v>0</v>
      </c>
      <c r="DY452" s="1089">
        <f>DY421</f>
        <v>0.46425604832005718</v>
      </c>
      <c r="DZ452" s="1090">
        <f>DZ421</f>
        <v>0.53574395167994282</v>
      </c>
      <c r="EA452" s="1079"/>
      <c r="EE452" s="1091" t="s">
        <v>109</v>
      </c>
      <c r="EF452" s="1089">
        <f>EF421</f>
        <v>0</v>
      </c>
      <c r="EG452" s="1089">
        <f>EG421</f>
        <v>0.46425604832005718</v>
      </c>
      <c r="EH452" s="1090">
        <f>EH421</f>
        <v>0.53574395167994282</v>
      </c>
      <c r="EI452" s="1079"/>
      <c r="EM452" s="1091" t="s">
        <v>109</v>
      </c>
      <c r="EN452" s="1089">
        <f>EN421</f>
        <v>0</v>
      </c>
      <c r="EO452" s="1089">
        <f>EO421</f>
        <v>0.46425604832005718</v>
      </c>
      <c r="EP452" s="1090">
        <f>EP421</f>
        <v>0.53574395167994282</v>
      </c>
      <c r="EQ452" s="1079"/>
      <c r="EU452" s="1091" t="s">
        <v>109</v>
      </c>
      <c r="EV452" s="1089">
        <f>EV421</f>
        <v>0</v>
      </c>
      <c r="EW452" s="1089">
        <f>EW421</f>
        <v>0.46425604832005718</v>
      </c>
      <c r="EX452" s="1090">
        <f>EX421</f>
        <v>0.53574395167994282</v>
      </c>
      <c r="EY452" s="1079"/>
      <c r="FC452" s="1091" t="s">
        <v>109</v>
      </c>
      <c r="FD452" s="1089">
        <f>FD421</f>
        <v>0</v>
      </c>
      <c r="FE452" s="1089">
        <f>FE421</f>
        <v>0.46425604832005718</v>
      </c>
      <c r="FF452" s="1090">
        <f>FF421</f>
        <v>0.53574395167994282</v>
      </c>
      <c r="FG452" s="1079"/>
      <c r="FK452" s="1091" t="s">
        <v>109</v>
      </c>
      <c r="FL452" s="1089">
        <f>FL421</f>
        <v>0</v>
      </c>
      <c r="FM452" s="1089">
        <f>FM421</f>
        <v>0.46425604832005718</v>
      </c>
      <c r="FN452" s="1090">
        <f>FN421</f>
        <v>0.53574395167994282</v>
      </c>
      <c r="FO452" s="1079"/>
    </row>
    <row r="453" spans="1:171" ht="16.5" thickBot="1" x14ac:dyDescent="0.3">
      <c r="D453" s="866"/>
      <c r="E453" s="1080"/>
      <c r="F453" s="1080"/>
      <c r="G453" s="114"/>
      <c r="H453" s="1092"/>
      <c r="I453" s="1092"/>
      <c r="J453" s="1093"/>
      <c r="K453" s="1074"/>
      <c r="O453" s="114"/>
      <c r="P453" s="1092"/>
      <c r="Q453" s="1092"/>
      <c r="R453" s="1093"/>
      <c r="S453" s="1074"/>
      <c r="W453" s="114"/>
      <c r="X453" s="1092"/>
      <c r="Y453" s="1092"/>
      <c r="Z453" s="1093"/>
      <c r="AA453" s="1074"/>
      <c r="AE453" s="114"/>
      <c r="AF453" s="1092"/>
      <c r="AG453" s="1092"/>
      <c r="AH453" s="1093"/>
      <c r="AI453" s="1074"/>
      <c r="AM453" s="114"/>
      <c r="AN453" s="1092"/>
      <c r="AO453" s="1092"/>
      <c r="AP453" s="1093"/>
      <c r="AQ453" s="1074"/>
      <c r="AU453" s="114"/>
      <c r="AV453" s="1092"/>
      <c r="AW453" s="1092"/>
      <c r="AX453" s="1093"/>
      <c r="AY453" s="1074"/>
      <c r="BC453" s="114"/>
      <c r="BD453" s="1092"/>
      <c r="BE453" s="1092"/>
      <c r="BF453" s="1093"/>
      <c r="BG453" s="1074"/>
      <c r="BK453" s="114"/>
      <c r="BL453" s="1092"/>
      <c r="BM453" s="1092"/>
      <c r="BN453" s="1093"/>
      <c r="BO453" s="1074"/>
      <c r="BS453" s="114"/>
      <c r="BT453" s="1092"/>
      <c r="BU453" s="1092"/>
      <c r="BV453" s="1093"/>
      <c r="BW453" s="1074"/>
      <c r="CA453" s="114"/>
      <c r="CB453" s="1092"/>
      <c r="CC453" s="1092"/>
      <c r="CD453" s="1093"/>
      <c r="CE453" s="1074"/>
      <c r="CI453" s="114"/>
      <c r="CJ453" s="1092"/>
      <c r="CK453" s="1092"/>
      <c r="CL453" s="1093"/>
      <c r="CM453" s="1074"/>
      <c r="CQ453" s="114"/>
      <c r="CR453" s="1092"/>
      <c r="CS453" s="1092"/>
      <c r="CT453" s="1093"/>
      <c r="CU453" s="1074"/>
      <c r="CY453" s="114"/>
      <c r="CZ453" s="1092"/>
      <c r="DA453" s="1092"/>
      <c r="DB453" s="1093"/>
      <c r="DC453" s="1074"/>
      <c r="DG453" s="114"/>
      <c r="DH453" s="1092"/>
      <c r="DI453" s="1092"/>
      <c r="DJ453" s="1093"/>
      <c r="DK453" s="1074"/>
      <c r="DO453" s="114"/>
      <c r="DP453" s="1092"/>
      <c r="DQ453" s="1092"/>
      <c r="DR453" s="1093"/>
      <c r="DS453" s="1074"/>
      <c r="DW453" s="114"/>
      <c r="DX453" s="1092"/>
      <c r="DY453" s="1092"/>
      <c r="DZ453" s="1093"/>
      <c r="EA453" s="1074"/>
      <c r="EE453" s="114"/>
      <c r="EF453" s="1092"/>
      <c r="EG453" s="1092"/>
      <c r="EH453" s="1093"/>
      <c r="EI453" s="1074"/>
      <c r="EM453" s="114"/>
      <c r="EN453" s="1092"/>
      <c r="EO453" s="1092"/>
      <c r="EP453" s="1093"/>
      <c r="EQ453" s="1074"/>
      <c r="EU453" s="114"/>
      <c r="EV453" s="1092"/>
      <c r="EW453" s="1092"/>
      <c r="EX453" s="1093"/>
      <c r="EY453" s="1074"/>
      <c r="FC453" s="114"/>
      <c r="FD453" s="1092"/>
      <c r="FE453" s="1092"/>
      <c r="FF453" s="1093"/>
      <c r="FG453" s="1074"/>
      <c r="FK453" s="114"/>
      <c r="FL453" s="1092"/>
      <c r="FM453" s="1092"/>
      <c r="FN453" s="1093"/>
      <c r="FO453" s="1074"/>
    </row>
    <row r="454" spans="1:171" ht="16.5" thickTop="1" x14ac:dyDescent="0.25">
      <c r="K454" s="1074"/>
      <c r="S454" s="1074"/>
      <c r="AA454" s="1074"/>
      <c r="AI454" s="1074"/>
      <c r="AQ454" s="1074"/>
      <c r="AY454" s="1074"/>
      <c r="BG454" s="1074"/>
      <c r="BO454" s="1074"/>
      <c r="BW454" s="1074"/>
      <c r="CE454" s="1074"/>
      <c r="CM454" s="1074"/>
      <c r="CU454" s="1074"/>
      <c r="DC454" s="1074"/>
      <c r="DK454" s="1074"/>
      <c r="DS454" s="1074"/>
      <c r="EA454" s="1074"/>
      <c r="EI454" s="1074"/>
      <c r="EQ454" s="1074"/>
      <c r="EY454" s="1074"/>
      <c r="FG454" s="1074"/>
      <c r="FO454" s="1074"/>
    </row>
    <row r="455" spans="1:171" x14ac:dyDescent="0.25">
      <c r="K455" s="1074"/>
      <c r="S455" s="1074"/>
      <c r="AA455" s="1074"/>
      <c r="AI455" s="1074"/>
      <c r="AQ455" s="1074"/>
      <c r="AY455" s="1074"/>
      <c r="BG455" s="1074"/>
      <c r="BO455" s="1074"/>
      <c r="BW455" s="1074"/>
      <c r="CE455" s="1074"/>
      <c r="CM455" s="1074"/>
      <c r="CU455" s="1074"/>
      <c r="DC455" s="1074"/>
      <c r="DK455" s="1074"/>
      <c r="DS455" s="1074"/>
      <c r="EA455" s="1074"/>
      <c r="EI455" s="1074"/>
      <c r="EQ455" s="1074"/>
      <c r="EY455" s="1074"/>
      <c r="FG455" s="1074"/>
      <c r="FO455" s="1074"/>
    </row>
    <row r="456" spans="1:171" x14ac:dyDescent="0.25">
      <c r="K456" s="1074"/>
      <c r="S456" s="1074"/>
      <c r="AA456" s="1074"/>
      <c r="AI456" s="1074"/>
      <c r="AQ456" s="1074"/>
      <c r="AY456" s="1074"/>
      <c r="BG456" s="1074"/>
      <c r="BO456" s="1074"/>
      <c r="BW456" s="1074"/>
      <c r="CE456" s="1074"/>
      <c r="CM456" s="1074"/>
      <c r="CU456" s="1074"/>
      <c r="DC456" s="1074"/>
      <c r="DK456" s="1074"/>
      <c r="DS456" s="1074"/>
      <c r="EA456" s="1074"/>
      <c r="EI456" s="1074"/>
      <c r="EQ456" s="1074"/>
      <c r="EY456" s="1074"/>
      <c r="FG456" s="1074"/>
      <c r="FO456" s="1074"/>
    </row>
    <row r="457" spans="1:171" x14ac:dyDescent="0.25">
      <c r="K457" s="1074"/>
      <c r="S457" s="1074"/>
      <c r="AA457" s="1074"/>
      <c r="AI457" s="1074"/>
      <c r="AQ457" s="1074"/>
      <c r="AY457" s="1074"/>
      <c r="BG457" s="1074"/>
      <c r="BO457" s="1074"/>
      <c r="BW457" s="1074"/>
      <c r="CE457" s="1074"/>
      <c r="CM457" s="1074"/>
      <c r="CU457" s="1074"/>
      <c r="DC457" s="1074"/>
      <c r="DK457" s="1074"/>
      <c r="DS457" s="1074"/>
      <c r="EA457" s="1074"/>
      <c r="EI457" s="1074"/>
      <c r="EQ457" s="1074"/>
      <c r="EY457" s="1074"/>
      <c r="FG457" s="1074"/>
      <c r="FO457" s="1074"/>
    </row>
    <row r="458" spans="1:171" x14ac:dyDescent="0.25">
      <c r="K458" s="1074"/>
      <c r="S458" s="1074"/>
      <c r="AA458" s="1074"/>
      <c r="AI458" s="1074"/>
      <c r="AQ458" s="1074"/>
      <c r="AY458" s="1074"/>
      <c r="BG458" s="1074"/>
      <c r="BO458" s="1074"/>
      <c r="BW458" s="1074"/>
      <c r="CE458" s="1074"/>
      <c r="CM458" s="1074"/>
      <c r="CU458" s="1074"/>
      <c r="DC458" s="1074"/>
      <c r="DK458" s="1074"/>
      <c r="DS458" s="1074"/>
      <c r="EA458" s="1074"/>
      <c r="EI458" s="1074"/>
      <c r="EQ458" s="1074"/>
      <c r="EY458" s="1074"/>
      <c r="FG458" s="1074"/>
      <c r="FO458" s="1074"/>
    </row>
    <row r="459" spans="1:171" x14ac:dyDescent="0.25">
      <c r="K459" s="1074"/>
      <c r="S459" s="1074"/>
      <c r="AA459" s="1074"/>
      <c r="AI459" s="1074"/>
      <c r="AQ459" s="1074"/>
      <c r="AY459" s="1074"/>
      <c r="BG459" s="1074"/>
      <c r="BO459" s="1074"/>
      <c r="BW459" s="1074"/>
      <c r="CE459" s="1074"/>
      <c r="CM459" s="1074"/>
      <c r="CU459" s="1074"/>
      <c r="DC459" s="1074"/>
      <c r="DK459" s="1074"/>
      <c r="DS459" s="1074"/>
      <c r="EA459" s="1074"/>
      <c r="EI459" s="1074"/>
      <c r="EQ459" s="1074"/>
      <c r="EY459" s="1074"/>
      <c r="FG459" s="1074"/>
      <c r="FO459" s="1074"/>
    </row>
    <row r="460" spans="1:171" x14ac:dyDescent="0.25">
      <c r="K460" s="1074"/>
      <c r="S460" s="1074"/>
      <c r="AA460" s="1074"/>
      <c r="AI460" s="1074"/>
      <c r="AQ460" s="1074"/>
      <c r="AY460" s="1074"/>
      <c r="BG460" s="1074"/>
      <c r="BO460" s="1074"/>
      <c r="BW460" s="1074"/>
      <c r="CE460" s="1074"/>
      <c r="CM460" s="1074"/>
      <c r="CU460" s="1074"/>
      <c r="DC460" s="1074"/>
      <c r="DK460" s="1074"/>
      <c r="DS460" s="1074"/>
      <c r="EA460" s="1074"/>
      <c r="EI460" s="1074"/>
      <c r="EQ460" s="1074"/>
      <c r="EY460" s="1074"/>
      <c r="FG460" s="1074"/>
      <c r="FO460" s="1074"/>
    </row>
    <row r="461" spans="1:171" x14ac:dyDescent="0.25">
      <c r="A461" s="904"/>
      <c r="B461" s="904"/>
      <c r="C461" s="904"/>
      <c r="D461" s="904"/>
      <c r="E461" s="904"/>
      <c r="F461" s="904"/>
      <c r="G461" s="904"/>
      <c r="H461" s="904"/>
      <c r="I461" s="904"/>
      <c r="J461" s="904"/>
      <c r="K461" s="1074"/>
      <c r="L461" s="904"/>
      <c r="M461" s="904"/>
      <c r="N461" s="904"/>
      <c r="O461" s="904"/>
      <c r="P461" s="904"/>
      <c r="Q461" s="904"/>
      <c r="R461" s="904"/>
      <c r="S461" s="1074"/>
      <c r="T461" s="904"/>
      <c r="U461" s="904"/>
      <c r="V461" s="904"/>
      <c r="W461" s="904"/>
      <c r="X461" s="904"/>
      <c r="Y461" s="904"/>
      <c r="Z461" s="904"/>
      <c r="AA461" s="1074"/>
      <c r="AB461" s="904"/>
      <c r="AC461" s="904"/>
      <c r="AD461" s="904"/>
      <c r="AE461" s="904"/>
      <c r="AF461" s="904"/>
      <c r="AG461" s="904"/>
      <c r="AH461" s="904"/>
      <c r="AI461" s="1074"/>
      <c r="AJ461" s="904"/>
      <c r="AK461" s="904"/>
      <c r="AL461" s="904"/>
      <c r="AM461" s="904"/>
      <c r="AN461" s="904"/>
      <c r="AO461" s="904"/>
      <c r="AP461" s="904"/>
      <c r="AQ461" s="1074"/>
      <c r="AR461" s="904"/>
      <c r="AS461" s="904"/>
      <c r="AT461" s="904"/>
      <c r="AU461" s="904"/>
      <c r="AV461" s="904"/>
      <c r="AW461" s="904"/>
      <c r="AX461" s="904"/>
      <c r="AY461" s="1074"/>
      <c r="AZ461" s="904"/>
      <c r="BA461" s="904"/>
      <c r="BB461" s="904"/>
      <c r="BC461" s="904"/>
      <c r="BD461" s="904"/>
      <c r="BE461" s="904"/>
      <c r="BF461" s="904"/>
      <c r="BG461" s="1074"/>
      <c r="BH461" s="904"/>
      <c r="BI461" s="904"/>
      <c r="BJ461" s="904"/>
      <c r="BK461" s="904"/>
      <c r="BL461" s="904"/>
      <c r="BM461" s="904"/>
      <c r="BN461" s="904"/>
      <c r="BO461" s="1074"/>
      <c r="BP461" s="904"/>
      <c r="BQ461" s="904"/>
      <c r="BR461" s="904"/>
      <c r="BS461" s="904"/>
      <c r="BT461" s="904"/>
      <c r="BU461" s="904"/>
      <c r="BV461" s="904"/>
      <c r="BW461" s="1074"/>
      <c r="BX461" s="904"/>
      <c r="BY461" s="904"/>
      <c r="BZ461" s="904"/>
      <c r="CA461" s="904"/>
      <c r="CB461" s="904"/>
      <c r="CC461" s="904"/>
      <c r="CD461" s="904"/>
      <c r="CE461" s="1074"/>
      <c r="CF461" s="904"/>
      <c r="CG461" s="904"/>
      <c r="CH461" s="904"/>
      <c r="CI461" s="904"/>
      <c r="CJ461" s="904"/>
      <c r="CK461" s="904"/>
      <c r="CL461" s="904"/>
      <c r="CM461" s="1074"/>
      <c r="CN461" s="904"/>
      <c r="CO461" s="904"/>
      <c r="CP461" s="904"/>
      <c r="CQ461" s="904"/>
      <c r="CR461" s="904"/>
      <c r="CS461" s="904"/>
      <c r="CT461" s="904"/>
      <c r="CU461" s="1074"/>
      <c r="CV461" s="904"/>
      <c r="CW461" s="904"/>
      <c r="CX461" s="904"/>
      <c r="CY461" s="904"/>
      <c r="CZ461" s="904"/>
      <c r="DA461" s="904"/>
      <c r="DB461" s="904"/>
      <c r="DC461" s="1074"/>
      <c r="DD461" s="904"/>
      <c r="DE461" s="904"/>
      <c r="DF461" s="904"/>
      <c r="DG461" s="904"/>
      <c r="DH461" s="904"/>
      <c r="DI461" s="904"/>
      <c r="DJ461" s="904"/>
      <c r="DK461" s="1074"/>
      <c r="DL461" s="904"/>
      <c r="DM461" s="904"/>
      <c r="DN461" s="904"/>
      <c r="DO461" s="904"/>
      <c r="DP461" s="904"/>
      <c r="DQ461" s="904"/>
      <c r="DR461" s="904"/>
      <c r="DS461" s="1074"/>
      <c r="DT461" s="904"/>
      <c r="DU461" s="904"/>
      <c r="DV461" s="904"/>
      <c r="DW461" s="904"/>
      <c r="DX461" s="904"/>
      <c r="DY461" s="904"/>
      <c r="DZ461" s="904"/>
      <c r="EA461" s="1074"/>
      <c r="EB461" s="904"/>
      <c r="EC461" s="904"/>
      <c r="ED461" s="904"/>
      <c r="EE461" s="904"/>
      <c r="EF461" s="904"/>
      <c r="EG461" s="904"/>
      <c r="EH461" s="904"/>
      <c r="EI461" s="1074"/>
      <c r="EJ461" s="904"/>
      <c r="EK461" s="904"/>
      <c r="EL461" s="904"/>
      <c r="EM461" s="904"/>
      <c r="EN461" s="904"/>
      <c r="EO461" s="904"/>
      <c r="EP461" s="904"/>
      <c r="EQ461" s="1074"/>
      <c r="ER461" s="904"/>
      <c r="ES461" s="904"/>
      <c r="ET461" s="904"/>
      <c r="EU461" s="904"/>
      <c r="EV461" s="904"/>
      <c r="EW461" s="904"/>
      <c r="EX461" s="904"/>
      <c r="EY461" s="1074"/>
      <c r="EZ461" s="904"/>
      <c r="FA461" s="904"/>
      <c r="FB461" s="904"/>
      <c r="FC461" s="904"/>
      <c r="FD461" s="904"/>
      <c r="FE461" s="904"/>
      <c r="FF461" s="904"/>
      <c r="FG461" s="1074"/>
      <c r="FH461" s="904"/>
      <c r="FI461" s="904"/>
      <c r="FJ461" s="904"/>
      <c r="FK461" s="904"/>
      <c r="FL461" s="904"/>
      <c r="FM461" s="904"/>
      <c r="FN461" s="904"/>
      <c r="FO461" s="1074"/>
    </row>
    <row r="462" spans="1:171" x14ac:dyDescent="0.25">
      <c r="K462" s="1074"/>
      <c r="S462" s="1074"/>
      <c r="AA462" s="1074"/>
      <c r="AI462" s="1074"/>
      <c r="AQ462" s="1074"/>
      <c r="AY462" s="1074"/>
      <c r="BG462" s="1074"/>
      <c r="BO462" s="1074"/>
      <c r="BW462" s="1074"/>
      <c r="CE462" s="1074"/>
      <c r="CM462" s="1074"/>
      <c r="CU462" s="1074"/>
      <c r="DC462" s="1074"/>
      <c r="DK462" s="1074"/>
      <c r="DS462" s="1074"/>
      <c r="EA462" s="1074"/>
      <c r="EI462" s="1074"/>
      <c r="EQ462" s="1074"/>
      <c r="EY462" s="1074"/>
      <c r="FG462" s="1074"/>
      <c r="FO462" s="1074"/>
    </row>
    <row r="463" spans="1:171" x14ac:dyDescent="0.25">
      <c r="B463" s="1097" t="s">
        <v>642</v>
      </c>
      <c r="G463" s="1098" t="s">
        <v>643</v>
      </c>
      <c r="K463" s="1074"/>
      <c r="S463" s="1074"/>
      <c r="AA463" s="1074"/>
      <c r="AI463" s="1074"/>
      <c r="AQ463" s="1074"/>
      <c r="AY463" s="1074"/>
      <c r="BG463" s="1074"/>
      <c r="BO463" s="1074"/>
      <c r="BW463" s="1074"/>
      <c r="CE463" s="1074"/>
      <c r="CM463" s="1074"/>
      <c r="CU463" s="1074"/>
      <c r="DC463" s="1074"/>
      <c r="DK463" s="1074"/>
      <c r="DS463" s="1074"/>
      <c r="EA463" s="1074"/>
      <c r="EI463" s="1074"/>
      <c r="EQ463" s="1074"/>
      <c r="EY463" s="1074"/>
      <c r="FG463" s="1074"/>
      <c r="FO463" s="1074"/>
    </row>
    <row r="464" spans="1:171" x14ac:dyDescent="0.25">
      <c r="K464" s="1074"/>
      <c r="S464" s="1074"/>
      <c r="AA464" s="1074"/>
      <c r="AI464" s="1074"/>
      <c r="AQ464" s="1074"/>
      <c r="AY464" s="1074"/>
      <c r="BG464" s="1074"/>
      <c r="BO464" s="1074"/>
      <c r="BW464" s="1074"/>
      <c r="CE464" s="1074"/>
      <c r="CM464" s="1074"/>
      <c r="CU464" s="1074"/>
      <c r="DC464" s="1074"/>
      <c r="DK464" s="1074"/>
      <c r="DS464" s="1074"/>
      <c r="EA464" s="1074"/>
      <c r="EI464" s="1074"/>
      <c r="EQ464" s="1074"/>
      <c r="EY464" s="1074"/>
      <c r="FG464" s="1074"/>
      <c r="FO464" s="1074"/>
    </row>
    <row r="465" spans="1:171" x14ac:dyDescent="0.25">
      <c r="B465" s="3779" t="s">
        <v>667</v>
      </c>
      <c r="C465" s="3780"/>
      <c r="D465" s="3780"/>
      <c r="E465" s="3780"/>
      <c r="F465" s="1160"/>
      <c r="G465" s="525">
        <f>G470+G484</f>
        <v>882712895.70983398</v>
      </c>
      <c r="K465" s="1074"/>
      <c r="O465" s="525">
        <f>O470+O484</f>
        <v>882712895.70983398</v>
      </c>
      <c r="S465" s="1074"/>
      <c r="W465" s="525">
        <f>W470+W484</f>
        <v>882712895.70983398</v>
      </c>
      <c r="AA465" s="1074"/>
      <c r="AE465" s="525">
        <f>AE470+AE484</f>
        <v>882712895.70983398</v>
      </c>
      <c r="AI465" s="1074"/>
      <c r="AM465" s="525">
        <f>AM470+AM484</f>
        <v>882712895.70983398</v>
      </c>
      <c r="AQ465" s="1074"/>
      <c r="AU465" s="525">
        <f>AU470+AU484</f>
        <v>882712895.70983398</v>
      </c>
      <c r="AY465" s="1074"/>
      <c r="BC465" s="525">
        <f>BC470+BC484</f>
        <v>882712895.70983398</v>
      </c>
      <c r="BG465" s="1074"/>
      <c r="BK465" s="525">
        <f>BK470+BK484</f>
        <v>882712895.70983398</v>
      </c>
      <c r="BO465" s="1074"/>
      <c r="BS465" s="525">
        <f>BS470+BS484</f>
        <v>882712895.70983398</v>
      </c>
      <c r="BW465" s="1074"/>
      <c r="CA465" s="525">
        <f>CA470+CA484</f>
        <v>882712895.70983398</v>
      </c>
      <c r="CE465" s="1074"/>
      <c r="CI465" s="525">
        <f>CI470+CI484</f>
        <v>882712895.70983398</v>
      </c>
      <c r="CM465" s="1074"/>
      <c r="CQ465" s="525">
        <f>CQ470+CQ484</f>
        <v>882712895.70983398</v>
      </c>
      <c r="CU465" s="1074"/>
      <c r="CY465" s="525">
        <f>CY470+CY484</f>
        <v>882712895.70983398</v>
      </c>
      <c r="DC465" s="1074"/>
      <c r="DG465" s="525">
        <f>DG470+DG484</f>
        <v>882712895.70983398</v>
      </c>
      <c r="DK465" s="1074"/>
      <c r="DO465" s="525">
        <f>DO470+DO484</f>
        <v>882712895.70983398</v>
      </c>
      <c r="DS465" s="1074"/>
      <c r="DW465" s="525">
        <f>DW470+DW484</f>
        <v>882712895.70983398</v>
      </c>
      <c r="EA465" s="1074"/>
      <c r="EE465" s="525">
        <f>EE470+EE484</f>
        <v>882712895.70983398</v>
      </c>
      <c r="EI465" s="1074"/>
      <c r="EM465" s="525">
        <f>EM470+EM484</f>
        <v>882712895.70983398</v>
      </c>
      <c r="EQ465" s="1074"/>
      <c r="EU465" s="525">
        <f>EU470+EU484</f>
        <v>882712895.70983398</v>
      </c>
      <c r="EY465" s="1074"/>
      <c r="FC465" s="525">
        <f>FC470+FC484</f>
        <v>882712895.70983398</v>
      </c>
      <c r="FG465" s="1074"/>
      <c r="FK465" s="525">
        <f>FK470+FK484</f>
        <v>882712895.70983398</v>
      </c>
      <c r="FO465" s="1074"/>
    </row>
    <row r="466" spans="1:171" x14ac:dyDescent="0.25">
      <c r="B466" s="3781" t="s">
        <v>668</v>
      </c>
      <c r="C466" s="3782"/>
      <c r="D466" s="3782"/>
      <c r="E466" s="3782"/>
      <c r="F466" s="1161"/>
      <c r="G466" s="525">
        <f>G489+G493</f>
        <v>79486840.526810884</v>
      </c>
      <c r="K466" s="1074"/>
      <c r="O466" s="525">
        <f>O489+O493</f>
        <v>79486840.52681087</v>
      </c>
      <c r="S466" s="1074"/>
      <c r="W466" s="525">
        <f>W489+W493</f>
        <v>79486840.52681087</v>
      </c>
      <c r="AA466" s="1074"/>
      <c r="AE466" s="525">
        <f>AE489+AE493</f>
        <v>79486840.52681087</v>
      </c>
      <c r="AI466" s="1074"/>
      <c r="AM466" s="525">
        <f>AM489+AM493</f>
        <v>79486840.52681087</v>
      </c>
      <c r="AQ466" s="1074"/>
      <c r="AU466" s="525">
        <f>AU489+AU493</f>
        <v>79486840.52681087</v>
      </c>
      <c r="AY466" s="1074"/>
      <c r="BC466" s="525">
        <f>BC489+BC493</f>
        <v>79486840.52681087</v>
      </c>
      <c r="BG466" s="1074"/>
      <c r="BK466" s="525">
        <f>BK489+BK493</f>
        <v>79486840.52681087</v>
      </c>
      <c r="BO466" s="1074"/>
      <c r="BS466" s="525">
        <f>BS489+BS493</f>
        <v>79486840.52681087</v>
      </c>
      <c r="BW466" s="1074"/>
      <c r="CA466" s="525">
        <f>CA489+CA493</f>
        <v>79486840.52681087</v>
      </c>
      <c r="CE466" s="1074"/>
      <c r="CI466" s="525">
        <f>CI489+CI493</f>
        <v>79486840.52681087</v>
      </c>
      <c r="CM466" s="1074"/>
      <c r="CQ466" s="525">
        <f>CQ489+CQ493</f>
        <v>79486840.52681087</v>
      </c>
      <c r="CU466" s="1074"/>
      <c r="CY466" s="525">
        <f>CY489+CY493</f>
        <v>79486840.52681087</v>
      </c>
      <c r="DC466" s="1074"/>
      <c r="DG466" s="525">
        <f>DG489+DG493</f>
        <v>79486840.52681087</v>
      </c>
      <c r="DK466" s="1074"/>
      <c r="DO466" s="525">
        <f>DO489+DO493</f>
        <v>79486840.52681087</v>
      </c>
      <c r="DS466" s="1074"/>
      <c r="DW466" s="525">
        <f>DW489+DW493</f>
        <v>79486840.52681087</v>
      </c>
      <c r="EA466" s="1074"/>
      <c r="EE466" s="525">
        <f>EE489+EE493</f>
        <v>79486840.52681087</v>
      </c>
      <c r="EI466" s="1074"/>
      <c r="EM466" s="525">
        <f>EM489+EM493</f>
        <v>79486840.52681087</v>
      </c>
      <c r="EQ466" s="1074"/>
      <c r="EU466" s="525">
        <f>EU489+EU493</f>
        <v>79486840.52681087</v>
      </c>
      <c r="EY466" s="1074"/>
      <c r="FC466" s="525">
        <f>FC489+FC493</f>
        <v>79486840.52681087</v>
      </c>
      <c r="FG466" s="1074"/>
      <c r="FK466" s="525">
        <f>FK489+FK493</f>
        <v>79486840.52681087</v>
      </c>
      <c r="FO466" s="1074"/>
    </row>
    <row r="467" spans="1:171" x14ac:dyDescent="0.25">
      <c r="K467" s="1074"/>
      <c r="S467" s="1074"/>
      <c r="AA467" s="1074"/>
      <c r="AI467" s="1074"/>
      <c r="AQ467" s="1074"/>
      <c r="AY467" s="1074"/>
      <c r="BG467" s="1074"/>
      <c r="BO467" s="1074"/>
      <c r="BW467" s="1074"/>
      <c r="CE467" s="1074"/>
      <c r="CM467" s="1074"/>
      <c r="CU467" s="1074"/>
      <c r="DC467" s="1074"/>
      <c r="DK467" s="1074"/>
      <c r="DS467" s="1074"/>
      <c r="EA467" s="1074"/>
      <c r="EI467" s="1074"/>
      <c r="EQ467" s="1074"/>
      <c r="EY467" s="1074"/>
      <c r="FG467" s="1074"/>
      <c r="FO467" s="1074"/>
    </row>
    <row r="468" spans="1:171" x14ac:dyDescent="0.25">
      <c r="K468" s="1074"/>
      <c r="S468" s="1074"/>
      <c r="AA468" s="1074"/>
      <c r="AI468" s="1074"/>
      <c r="AQ468" s="1074"/>
      <c r="AY468" s="1074"/>
      <c r="BG468" s="1074"/>
      <c r="BO468" s="1074"/>
      <c r="BW468" s="1074"/>
      <c r="CE468" s="1074"/>
      <c r="CM468" s="1074"/>
      <c r="CU468" s="1074"/>
      <c r="DC468" s="1074"/>
      <c r="DK468" s="1074"/>
      <c r="DS468" s="1074"/>
      <c r="EA468" s="1074"/>
      <c r="EI468" s="1074"/>
      <c r="EQ468" s="1074"/>
      <c r="EY468" s="1074"/>
      <c r="FG468" s="1074"/>
      <c r="FO468" s="1074"/>
    </row>
    <row r="469" spans="1:171" x14ac:dyDescent="0.25">
      <c r="A469" s="1099"/>
      <c r="B469" s="1100" t="s">
        <v>644</v>
      </c>
      <c r="C469" s="1103"/>
      <c r="K469" s="1074"/>
      <c r="S469" s="1074"/>
      <c r="AA469" s="1074"/>
      <c r="AI469" s="1074"/>
      <c r="AQ469" s="1074"/>
      <c r="AY469" s="1074"/>
      <c r="BG469" s="1074"/>
      <c r="BO469" s="1074"/>
      <c r="BW469" s="1074"/>
      <c r="CE469" s="1074"/>
      <c r="CM469" s="1074"/>
      <c r="CU469" s="1074"/>
      <c r="DC469" s="1074"/>
      <c r="DK469" s="1074"/>
      <c r="DS469" s="1074"/>
      <c r="EA469" s="1074"/>
      <c r="EI469" s="1074"/>
      <c r="EQ469" s="1074"/>
      <c r="EY469" s="1074"/>
      <c r="FG469" s="1074"/>
      <c r="FO469" s="1074"/>
    </row>
    <row r="470" spans="1:171" x14ac:dyDescent="0.25">
      <c r="A470" s="1129">
        <v>105000</v>
      </c>
      <c r="B470" s="1101"/>
      <c r="C470" s="1098" t="s">
        <v>648</v>
      </c>
      <c r="G470" s="1107">
        <f>'3-YEAR PP &amp; OSS Worksheet'!$D$11+'3-YEAR PP &amp; OSS Worksheet'!$D$12+'3-YEAR PP &amp; OSS Worksheet'!$D$13+'3-YEAR PP &amp; OSS Worksheet'!$D$15+'3-YEAR PP &amp; OSS Worksheet'!$D$16</f>
        <v>320633367.22537863</v>
      </c>
      <c r="K470" s="1074"/>
      <c r="N470" s="1162">
        <f>VLOOKUP($A470,'New Resources - Group'!$A$4:$Y$133,N$2,FALSE)*N$1</f>
        <v>0</v>
      </c>
      <c r="O470" s="1142">
        <f>$G470+N470</f>
        <v>320633367.22537863</v>
      </c>
      <c r="S470" s="1074"/>
      <c r="V470" s="1162">
        <f>VLOOKUP($A470,'New Resources - Group'!$A$4:$Y$133,V$2,FALSE)*V$1</f>
        <v>0</v>
      </c>
      <c r="W470" s="1142">
        <f>$G470+V470</f>
        <v>320633367.22537863</v>
      </c>
      <c r="AA470" s="1074"/>
      <c r="AD470" s="1162">
        <f>VLOOKUP($A470,'New Resources - Group'!$A$4:$Y$133,AD$2,FALSE)*AD$1</f>
        <v>0</v>
      </c>
      <c r="AE470" s="1142">
        <f>$G470+AD470</f>
        <v>320633367.22537863</v>
      </c>
      <c r="AI470" s="1074"/>
      <c r="AL470" s="1162">
        <f>VLOOKUP($A470,'New Resources - Group'!$A$4:$Y$133,AL$2,FALSE)*AL$1</f>
        <v>0</v>
      </c>
      <c r="AM470" s="1142">
        <f>$G470+AL470</f>
        <v>320633367.22537863</v>
      </c>
      <c r="AQ470" s="1074"/>
      <c r="AT470" s="1162">
        <f>VLOOKUP($A470,'New Resources - Group'!$A$4:$Y$133,AT$2,FALSE)*AT$1</f>
        <v>0</v>
      </c>
      <c r="AU470" s="1142">
        <f>$G470+AT470</f>
        <v>320633367.22537863</v>
      </c>
      <c r="AY470" s="1074"/>
      <c r="BB470" s="1162">
        <f>VLOOKUP($A470,'New Resources - Group'!$A$4:$Y$133,BB$2,FALSE)*BB$1</f>
        <v>0</v>
      </c>
      <c r="BC470" s="1142">
        <f>$G470+BB470</f>
        <v>320633367.22537863</v>
      </c>
      <c r="BG470" s="1074"/>
      <c r="BJ470" s="1162">
        <f>VLOOKUP($A470,'New Resources - Group'!$A$4:$Y$133,BJ$2,FALSE)*BJ$1</f>
        <v>0</v>
      </c>
      <c r="BK470" s="1142">
        <f>$G470+BJ470</f>
        <v>320633367.22537863</v>
      </c>
      <c r="BO470" s="1074"/>
      <c r="BR470" s="1162">
        <f>VLOOKUP($A470,'New Resources - Group'!$A$4:$Y$133,BR$2,FALSE)*BR$1</f>
        <v>0</v>
      </c>
      <c r="BS470" s="1142">
        <f>$G470+BR470</f>
        <v>320633367.22537863</v>
      </c>
      <c r="BW470" s="1074"/>
      <c r="BZ470" s="1162">
        <f>VLOOKUP($A470,'New Resources - Group'!$A$4:$Y$133,BZ$2,FALSE)*BZ$1</f>
        <v>0</v>
      </c>
      <c r="CA470" s="1142">
        <f>$G470+BZ470</f>
        <v>320633367.22537863</v>
      </c>
      <c r="CE470" s="1074"/>
      <c r="CH470" s="1162">
        <f>VLOOKUP($A470,'New Resources - Group'!$A$4:$Y$133,CH$2,FALSE)*CH$1</f>
        <v>0</v>
      </c>
      <c r="CI470" s="1142">
        <f>$G470+CH470</f>
        <v>320633367.22537863</v>
      </c>
      <c r="CM470" s="1074"/>
      <c r="CP470" s="1162">
        <f>VLOOKUP($A470,'New Resources - Group'!$A$4:$Y$133,CP$2,FALSE)*CP$1</f>
        <v>0</v>
      </c>
      <c r="CQ470" s="1142">
        <f>$G470+CP470</f>
        <v>320633367.22537863</v>
      </c>
      <c r="CU470" s="1074"/>
      <c r="CX470" s="1162">
        <f>VLOOKUP($A470,'New Resources - Group'!$A$4:$Y$133,CX$2,FALSE)*CX$1</f>
        <v>0</v>
      </c>
      <c r="CY470" s="1142">
        <f>$G470+CX470</f>
        <v>320633367.22537863</v>
      </c>
      <c r="DC470" s="1074"/>
      <c r="DF470" s="1162">
        <f>VLOOKUP($A470,'New Resources - Group'!$A$4:$Y$133,DF$2,FALSE)*DF$1</f>
        <v>0</v>
      </c>
      <c r="DG470" s="1142">
        <f>$G470+DF470</f>
        <v>320633367.22537863</v>
      </c>
      <c r="DK470" s="1074"/>
      <c r="DN470" s="1162">
        <f>VLOOKUP($A470,'New Resources - Group'!$A$4:$Y$133,DN$2,FALSE)*DN$1</f>
        <v>0</v>
      </c>
      <c r="DO470" s="1142">
        <f>$G470+DN470</f>
        <v>320633367.22537863</v>
      </c>
      <c r="DS470" s="1074"/>
      <c r="DV470" s="1162">
        <f>VLOOKUP($A470,'New Resources - Group'!$A$4:$Y$133,DV$2,FALSE)*DV$1</f>
        <v>0</v>
      </c>
      <c r="DW470" s="1142">
        <f>$G470+DV470</f>
        <v>320633367.22537863</v>
      </c>
      <c r="EA470" s="1074"/>
      <c r="ED470" s="1162">
        <f>VLOOKUP($A470,'New Resources - Group'!$A$4:$Y$133,ED$2,FALSE)*ED$1</f>
        <v>0</v>
      </c>
      <c r="EE470" s="1142">
        <f>$G470+ED470</f>
        <v>320633367.22537863</v>
      </c>
      <c r="EI470" s="1074"/>
      <c r="EL470" s="1162">
        <f>VLOOKUP($A470,'New Resources - Group'!$A$4:$Y$133,EL$2,FALSE)*EL$1</f>
        <v>0</v>
      </c>
      <c r="EM470" s="1142">
        <f>$G470+EL470</f>
        <v>320633367.22537863</v>
      </c>
      <c r="EQ470" s="1074"/>
      <c r="ET470" s="1162">
        <f>VLOOKUP($A470,'New Resources - Group'!$A$4:$Y$133,ET$2,FALSE)*ET$1</f>
        <v>0</v>
      </c>
      <c r="EU470" s="1142">
        <f>$G470+ET470</f>
        <v>320633367.22537863</v>
      </c>
      <c r="EY470" s="1074"/>
      <c r="FB470" s="1162">
        <f>VLOOKUP($A470,'New Resources - Group'!$A$4:$Y$133,FB$2,FALSE)*FB$1</f>
        <v>0</v>
      </c>
      <c r="FC470" s="1142">
        <f>$G470+FB470</f>
        <v>320633367.22537863</v>
      </c>
      <c r="FG470" s="1074"/>
      <c r="FJ470" s="1162">
        <f>VLOOKUP($A470,'New Resources - Group'!$A$4:$Y$133,FJ$2,FALSE)*FJ$1</f>
        <v>0</v>
      </c>
      <c r="FK470" s="1142">
        <f>$G470+FJ470</f>
        <v>320633367.22537863</v>
      </c>
      <c r="FO470" s="1074"/>
    </row>
    <row r="471" spans="1:171" x14ac:dyDescent="0.25">
      <c r="B471" s="1101"/>
      <c r="K471" s="1074"/>
      <c r="S471" s="1074"/>
      <c r="AA471" s="1074"/>
      <c r="AI471" s="1074"/>
      <c r="AQ471" s="1074"/>
      <c r="AY471" s="1074"/>
      <c r="BG471" s="1074"/>
      <c r="BO471" s="1074"/>
      <c r="BW471" s="1074"/>
      <c r="CE471" s="1074"/>
      <c r="CM471" s="1074"/>
      <c r="CU471" s="1074"/>
      <c r="DC471" s="1074"/>
      <c r="DK471" s="1074"/>
      <c r="DS471" s="1074"/>
      <c r="EA471" s="1074"/>
      <c r="EI471" s="1074"/>
      <c r="EQ471" s="1074"/>
      <c r="EY471" s="1074"/>
      <c r="FG471" s="1074"/>
      <c r="FO471" s="1074"/>
    </row>
    <row r="472" spans="1:171" x14ac:dyDescent="0.25">
      <c r="A472" s="1099"/>
      <c r="B472" s="1101"/>
      <c r="C472" s="1098"/>
      <c r="K472" s="1074"/>
      <c r="S472" s="1074"/>
      <c r="AA472" s="1074"/>
      <c r="AI472" s="1074"/>
      <c r="AQ472" s="1074"/>
      <c r="AY472" s="1074"/>
      <c r="BG472" s="1074"/>
      <c r="BO472" s="1074"/>
      <c r="BW472" s="1074"/>
      <c r="CE472" s="1074"/>
      <c r="CM472" s="1074"/>
      <c r="CU472" s="1074"/>
      <c r="DC472" s="1074"/>
      <c r="DK472" s="1074"/>
      <c r="DS472" s="1074"/>
      <c r="EA472" s="1074"/>
      <c r="EI472" s="1074"/>
      <c r="EQ472" s="1074"/>
      <c r="EY472" s="1074"/>
      <c r="FG472" s="1074"/>
      <c r="FO472" s="1074"/>
    </row>
    <row r="473" spans="1:171" x14ac:dyDescent="0.25">
      <c r="A473" s="1129">
        <v>106000</v>
      </c>
      <c r="B473" s="1100"/>
      <c r="C473" s="1098" t="s">
        <v>649</v>
      </c>
      <c r="K473" s="1074"/>
      <c r="N473" s="1162">
        <f>VLOOKUP($A473,'New Resources - Group'!$A$4:$Y$133,N$2,FALSE)*N$1</f>
        <v>0</v>
      </c>
      <c r="S473" s="1074"/>
      <c r="V473" s="1162">
        <f>VLOOKUP($A473,'New Resources - Group'!$A$4:$Y$133,V$2,FALSE)*V$1</f>
        <v>0</v>
      </c>
      <c r="AA473" s="1074"/>
      <c r="AD473" s="1162">
        <f>VLOOKUP($A473,'New Resources - Group'!$A$4:$Y$133,AD$2,FALSE)*AD$1</f>
        <v>0</v>
      </c>
      <c r="AI473" s="1074"/>
      <c r="AL473" s="1162">
        <f>VLOOKUP($A473,'New Resources - Group'!$A$4:$Y$133,AL$2,FALSE)*AL$1</f>
        <v>0</v>
      </c>
      <c r="AQ473" s="1074"/>
      <c r="AT473" s="1162">
        <f>VLOOKUP($A473,'New Resources - Group'!$A$4:$Y$133,AT$2,FALSE)*AT$1</f>
        <v>0</v>
      </c>
      <c r="AY473" s="1074"/>
      <c r="BB473" s="1162">
        <f>VLOOKUP($A473,'New Resources - Group'!$A$4:$Y$133,BB$2,FALSE)*BB$1</f>
        <v>0</v>
      </c>
      <c r="BG473" s="1074"/>
      <c r="BJ473" s="1162">
        <f>VLOOKUP($A473,'New Resources - Group'!$A$4:$Y$133,BJ$2,FALSE)*BJ$1</f>
        <v>0</v>
      </c>
      <c r="BO473" s="1074"/>
      <c r="BR473" s="1162">
        <f>VLOOKUP($A473,'New Resources - Group'!$A$4:$Y$133,BR$2,FALSE)*BR$1</f>
        <v>0</v>
      </c>
      <c r="BW473" s="1074"/>
      <c r="BZ473" s="1162">
        <f>VLOOKUP($A473,'New Resources - Group'!$A$4:$Y$133,BZ$2,FALSE)*BZ$1</f>
        <v>0</v>
      </c>
      <c r="CE473" s="1074"/>
      <c r="CH473" s="1162">
        <f>VLOOKUP($A473,'New Resources - Group'!$A$4:$Y$133,CH$2,FALSE)*CH$1</f>
        <v>0</v>
      </c>
      <c r="CM473" s="1074"/>
      <c r="CP473" s="1162">
        <f>VLOOKUP($A473,'New Resources - Group'!$A$4:$Y$133,CP$2,FALSE)*CP$1</f>
        <v>0</v>
      </c>
      <c r="CU473" s="1074"/>
      <c r="CX473" s="1162">
        <f>VLOOKUP($A473,'New Resources - Group'!$A$4:$Y$133,CX$2,FALSE)*CX$1</f>
        <v>0</v>
      </c>
      <c r="DC473" s="1074"/>
      <c r="DF473" s="1162">
        <f>VLOOKUP($A473,'New Resources - Group'!$A$4:$Y$133,DF$2,FALSE)*DF$1</f>
        <v>0</v>
      </c>
      <c r="DK473" s="1074"/>
      <c r="DN473" s="1162">
        <f>VLOOKUP($A473,'New Resources - Group'!$A$4:$Y$133,DN$2,FALSE)*DN$1</f>
        <v>0</v>
      </c>
      <c r="DS473" s="1074"/>
      <c r="DV473" s="1162">
        <f>VLOOKUP($A473,'New Resources - Group'!$A$4:$Y$133,DV$2,FALSE)*DV$1</f>
        <v>0</v>
      </c>
      <c r="EA473" s="1074"/>
      <c r="ED473" s="1162">
        <f>VLOOKUP($A473,'New Resources - Group'!$A$4:$Y$133,ED$2,FALSE)*ED$1</f>
        <v>0</v>
      </c>
      <c r="EI473" s="1074"/>
      <c r="EL473" s="1162">
        <f>VLOOKUP($A473,'New Resources - Group'!$A$4:$Y$133,EL$2,FALSE)*EL$1</f>
        <v>0</v>
      </c>
      <c r="EQ473" s="1074"/>
      <c r="ET473" s="1162">
        <f>VLOOKUP($A473,'New Resources - Group'!$A$4:$Y$133,ET$2,FALSE)*ET$1</f>
        <v>0</v>
      </c>
      <c r="EY473" s="1074"/>
      <c r="FB473" s="1162">
        <f>VLOOKUP($A473,'New Resources - Group'!$A$4:$Y$133,FB$2,FALSE)*FB$1</f>
        <v>0</v>
      </c>
      <c r="FG473" s="1074"/>
      <c r="FJ473" s="1162">
        <f>VLOOKUP($A473,'New Resources - Group'!$A$4:$Y$133,FJ$2,FALSE)*FJ$1</f>
        <v>0</v>
      </c>
      <c r="FO473" s="1074"/>
    </row>
    <row r="474" spans="1:171" x14ac:dyDescent="0.25">
      <c r="A474" s="1129">
        <v>107000</v>
      </c>
      <c r="B474" s="1100"/>
      <c r="C474" s="1098" t="s">
        <v>650</v>
      </c>
      <c r="K474" s="1074"/>
      <c r="N474" s="1162">
        <f>VLOOKUP($A474,'New Resources - Group'!$A$4:$Y$133,N$2,FALSE)*N$1</f>
        <v>0</v>
      </c>
      <c r="S474" s="1074"/>
      <c r="V474" s="1162">
        <f>VLOOKUP($A474,'New Resources - Group'!$A$4:$Y$133,V$2,FALSE)*V$1</f>
        <v>0</v>
      </c>
      <c r="AA474" s="1074"/>
      <c r="AD474" s="1162">
        <f>VLOOKUP($A474,'New Resources - Group'!$A$4:$Y$133,AD$2,FALSE)*AD$1</f>
        <v>0</v>
      </c>
      <c r="AI474" s="1074"/>
      <c r="AL474" s="1162">
        <f>VLOOKUP($A474,'New Resources - Group'!$A$4:$Y$133,AL$2,FALSE)*AL$1</f>
        <v>0</v>
      </c>
      <c r="AQ474" s="1074"/>
      <c r="AT474" s="1162">
        <f>VLOOKUP($A474,'New Resources - Group'!$A$4:$Y$133,AT$2,FALSE)*AT$1</f>
        <v>0</v>
      </c>
      <c r="AY474" s="1074"/>
      <c r="BB474" s="1162">
        <f>VLOOKUP($A474,'New Resources - Group'!$A$4:$Y$133,BB$2,FALSE)*BB$1</f>
        <v>0</v>
      </c>
      <c r="BG474" s="1074"/>
      <c r="BJ474" s="1162">
        <f>VLOOKUP($A474,'New Resources - Group'!$A$4:$Y$133,BJ$2,FALSE)*BJ$1</f>
        <v>0</v>
      </c>
      <c r="BO474" s="1074"/>
      <c r="BR474" s="1162">
        <f>VLOOKUP($A474,'New Resources - Group'!$A$4:$Y$133,BR$2,FALSE)*BR$1</f>
        <v>0</v>
      </c>
      <c r="BW474" s="1074"/>
      <c r="BZ474" s="1162">
        <f>VLOOKUP($A474,'New Resources - Group'!$A$4:$Y$133,BZ$2,FALSE)*BZ$1</f>
        <v>0</v>
      </c>
      <c r="CE474" s="1074"/>
      <c r="CH474" s="1162">
        <f>VLOOKUP($A474,'New Resources - Group'!$A$4:$Y$133,CH$2,FALSE)*CH$1</f>
        <v>0</v>
      </c>
      <c r="CM474" s="1074"/>
      <c r="CP474" s="1162">
        <f>VLOOKUP($A474,'New Resources - Group'!$A$4:$Y$133,CP$2,FALSE)*CP$1</f>
        <v>0</v>
      </c>
      <c r="CU474" s="1074"/>
      <c r="CX474" s="1162">
        <f>VLOOKUP($A474,'New Resources - Group'!$A$4:$Y$133,CX$2,FALSE)*CX$1</f>
        <v>0</v>
      </c>
      <c r="DC474" s="1074"/>
      <c r="DF474" s="1162">
        <f>VLOOKUP($A474,'New Resources - Group'!$A$4:$Y$133,DF$2,FALSE)*DF$1</f>
        <v>0</v>
      </c>
      <c r="DK474" s="1074"/>
      <c r="DN474" s="1162">
        <f>VLOOKUP($A474,'New Resources - Group'!$A$4:$Y$133,DN$2,FALSE)*DN$1</f>
        <v>0</v>
      </c>
      <c r="DS474" s="1074"/>
      <c r="DV474" s="1162">
        <f>VLOOKUP($A474,'New Resources - Group'!$A$4:$Y$133,DV$2,FALSE)*DV$1</f>
        <v>0</v>
      </c>
      <c r="EA474" s="1074"/>
      <c r="ED474" s="1162">
        <f>VLOOKUP($A474,'New Resources - Group'!$A$4:$Y$133,ED$2,FALSE)*ED$1</f>
        <v>0</v>
      </c>
      <c r="EI474" s="1074"/>
      <c r="EL474" s="1162">
        <f>VLOOKUP($A474,'New Resources - Group'!$A$4:$Y$133,EL$2,FALSE)*EL$1</f>
        <v>0</v>
      </c>
      <c r="EQ474" s="1074"/>
      <c r="ET474" s="1162">
        <f>VLOOKUP($A474,'New Resources - Group'!$A$4:$Y$133,ET$2,FALSE)*ET$1</f>
        <v>0</v>
      </c>
      <c r="EY474" s="1074"/>
      <c r="FB474" s="1162">
        <f>VLOOKUP($A474,'New Resources - Group'!$A$4:$Y$133,FB$2,FALSE)*FB$1</f>
        <v>0</v>
      </c>
      <c r="FG474" s="1074"/>
      <c r="FJ474" s="1162">
        <f>VLOOKUP($A474,'New Resources - Group'!$A$4:$Y$133,FJ$2,FALSE)*FJ$1</f>
        <v>0</v>
      </c>
      <c r="FO474" s="1074"/>
    </row>
    <row r="475" spans="1:171" x14ac:dyDescent="0.25">
      <c r="A475" s="1129">
        <v>104000</v>
      </c>
      <c r="B475" s="1099"/>
      <c r="C475" s="1098" t="s">
        <v>651</v>
      </c>
      <c r="K475" s="1074"/>
      <c r="N475" s="1162">
        <f>VLOOKUP($A475,'New Resources - Group'!$A$4:$Y$133,N$2,FALSE)*N$1</f>
        <v>0</v>
      </c>
      <c r="O475" s="1141"/>
      <c r="S475" s="1074"/>
      <c r="V475" s="1162">
        <f>VLOOKUP($A475,'New Resources - Group'!$A$4:$Y$133,V$2,FALSE)*V$1</f>
        <v>0</v>
      </c>
      <c r="W475" s="1141"/>
      <c r="AA475" s="1074"/>
      <c r="AD475" s="1162">
        <f>VLOOKUP($A475,'New Resources - Group'!$A$4:$Y$133,AD$2,FALSE)*AD$1</f>
        <v>0</v>
      </c>
      <c r="AE475" s="1141"/>
      <c r="AI475" s="1074"/>
      <c r="AL475" s="1162">
        <f>VLOOKUP($A475,'New Resources - Group'!$A$4:$Y$133,AL$2,FALSE)*AL$1</f>
        <v>0</v>
      </c>
      <c r="AM475" s="1141"/>
      <c r="AQ475" s="1074"/>
      <c r="AT475" s="1162">
        <f>VLOOKUP($A475,'New Resources - Group'!$A$4:$Y$133,AT$2,FALSE)*AT$1</f>
        <v>0</v>
      </c>
      <c r="AU475" s="1141"/>
      <c r="AY475" s="1074"/>
      <c r="BB475" s="1162">
        <f>VLOOKUP($A475,'New Resources - Group'!$A$4:$Y$133,BB$2,FALSE)*BB$1</f>
        <v>0</v>
      </c>
      <c r="BC475" s="1141"/>
      <c r="BG475" s="1074"/>
      <c r="BJ475" s="1162">
        <f>VLOOKUP($A475,'New Resources - Group'!$A$4:$Y$133,BJ$2,FALSE)*BJ$1</f>
        <v>0</v>
      </c>
      <c r="BK475" s="1141"/>
      <c r="BO475" s="1074"/>
      <c r="BR475" s="1162">
        <f>VLOOKUP($A475,'New Resources - Group'!$A$4:$Y$133,BR$2,FALSE)*BR$1</f>
        <v>0</v>
      </c>
      <c r="BS475" s="1141"/>
      <c r="BW475" s="1074"/>
      <c r="BZ475" s="1162">
        <f>VLOOKUP($A475,'New Resources - Group'!$A$4:$Y$133,BZ$2,FALSE)*BZ$1</f>
        <v>0</v>
      </c>
      <c r="CA475" s="1141"/>
      <c r="CE475" s="1074"/>
      <c r="CH475" s="1162">
        <f>VLOOKUP($A475,'New Resources - Group'!$A$4:$Y$133,CH$2,FALSE)*CH$1</f>
        <v>0</v>
      </c>
      <c r="CI475" s="1141"/>
      <c r="CM475" s="1074"/>
      <c r="CP475" s="1162">
        <f>VLOOKUP($A475,'New Resources - Group'!$A$4:$Y$133,CP$2,FALSE)*CP$1</f>
        <v>0</v>
      </c>
      <c r="CQ475" s="1141"/>
      <c r="CU475" s="1074"/>
      <c r="CX475" s="1162">
        <f>VLOOKUP($A475,'New Resources - Group'!$A$4:$Y$133,CX$2,FALSE)*CX$1</f>
        <v>0</v>
      </c>
      <c r="CY475" s="1141"/>
      <c r="DC475" s="1074"/>
      <c r="DF475" s="1162">
        <f>VLOOKUP($A475,'New Resources - Group'!$A$4:$Y$133,DF$2,FALSE)*DF$1</f>
        <v>0</v>
      </c>
      <c r="DG475" s="1141"/>
      <c r="DK475" s="1074"/>
      <c r="DN475" s="1162">
        <f>VLOOKUP($A475,'New Resources - Group'!$A$4:$Y$133,DN$2,FALSE)*DN$1</f>
        <v>0</v>
      </c>
      <c r="DO475" s="1141"/>
      <c r="DS475" s="1074"/>
      <c r="DV475" s="1162">
        <f>VLOOKUP($A475,'New Resources - Group'!$A$4:$Y$133,DV$2,FALSE)*DV$1</f>
        <v>0</v>
      </c>
      <c r="DW475" s="1141"/>
      <c r="EA475" s="1074"/>
      <c r="ED475" s="1162">
        <f>VLOOKUP($A475,'New Resources - Group'!$A$4:$Y$133,ED$2,FALSE)*ED$1</f>
        <v>0</v>
      </c>
      <c r="EE475" s="1141"/>
      <c r="EI475" s="1074"/>
      <c r="EL475" s="1162">
        <f>VLOOKUP($A475,'New Resources - Group'!$A$4:$Y$133,EL$2,FALSE)*EL$1</f>
        <v>0</v>
      </c>
      <c r="EM475" s="1141"/>
      <c r="EQ475" s="1074"/>
      <c r="ET475" s="1162">
        <f>VLOOKUP($A475,'New Resources - Group'!$A$4:$Y$133,ET$2,FALSE)*ET$1</f>
        <v>0</v>
      </c>
      <c r="EU475" s="1141"/>
      <c r="EY475" s="1074"/>
      <c r="FB475" s="1162">
        <f>VLOOKUP($A475,'New Resources - Group'!$A$4:$Y$133,FB$2,FALSE)*FB$1</f>
        <v>0</v>
      </c>
      <c r="FC475" s="1141"/>
      <c r="FG475" s="1074"/>
      <c r="FJ475" s="1162">
        <f>VLOOKUP($A475,'New Resources - Group'!$A$4:$Y$133,FJ$2,FALSE)*FJ$1</f>
        <v>0</v>
      </c>
      <c r="FK475" s="1141"/>
      <c r="FO475" s="1074"/>
    </row>
    <row r="476" spans="1:171" x14ac:dyDescent="0.25">
      <c r="A476" s="1099"/>
      <c r="B476" s="1099"/>
      <c r="C476" s="1098" t="s">
        <v>652</v>
      </c>
      <c r="K476" s="1074"/>
      <c r="N476" s="1143">
        <f>N473+N474-N475</f>
        <v>0</v>
      </c>
      <c r="O476" s="1143">
        <f>N476</f>
        <v>0</v>
      </c>
      <c r="S476" s="1074"/>
      <c r="V476" s="1143">
        <f>V473+V474-V475</f>
        <v>0</v>
      </c>
      <c r="W476" s="1143">
        <f>V476</f>
        <v>0</v>
      </c>
      <c r="AA476" s="1074"/>
      <c r="AD476" s="1143">
        <f>AD473+AD474-AD475</f>
        <v>0</v>
      </c>
      <c r="AE476" s="1143">
        <f>AD476</f>
        <v>0</v>
      </c>
      <c r="AI476" s="1074"/>
      <c r="AL476" s="1143">
        <f>AL473+AL474-AL475</f>
        <v>0</v>
      </c>
      <c r="AM476" s="1143">
        <f>AL476</f>
        <v>0</v>
      </c>
      <c r="AQ476" s="1074"/>
      <c r="AT476" s="1143">
        <f>AT473+AT474-AT475</f>
        <v>0</v>
      </c>
      <c r="AU476" s="1143">
        <f>AT476</f>
        <v>0</v>
      </c>
      <c r="AY476" s="1074"/>
      <c r="BB476" s="1143">
        <f>BB473+BB474-BB475</f>
        <v>0</v>
      </c>
      <c r="BC476" s="1143">
        <f>BB476</f>
        <v>0</v>
      </c>
      <c r="BG476" s="1074"/>
      <c r="BJ476" s="1143">
        <f>BJ473+BJ474-BJ475</f>
        <v>0</v>
      </c>
      <c r="BK476" s="1143">
        <f>BJ476</f>
        <v>0</v>
      </c>
      <c r="BO476" s="1074"/>
      <c r="BR476" s="1143">
        <f>BR473+BR474-BR475</f>
        <v>0</v>
      </c>
      <c r="BS476" s="1143">
        <f>BR476</f>
        <v>0</v>
      </c>
      <c r="BW476" s="1074"/>
      <c r="BZ476" s="1143">
        <f>BZ473+BZ474-BZ475</f>
        <v>0</v>
      </c>
      <c r="CA476" s="1143">
        <f>BZ476</f>
        <v>0</v>
      </c>
      <c r="CE476" s="1074"/>
      <c r="CH476" s="1143">
        <f>CH473+CH474-CH475</f>
        <v>0</v>
      </c>
      <c r="CI476" s="1143">
        <f>CH476</f>
        <v>0</v>
      </c>
      <c r="CM476" s="1074"/>
      <c r="CP476" s="1143">
        <f>CP473+CP474-CP475</f>
        <v>0</v>
      </c>
      <c r="CQ476" s="1143">
        <f>CP476</f>
        <v>0</v>
      </c>
      <c r="CU476" s="1074"/>
      <c r="CX476" s="1143">
        <f>CX473+CX474-CX475</f>
        <v>0</v>
      </c>
      <c r="CY476" s="1143">
        <f>CX476</f>
        <v>0</v>
      </c>
      <c r="DC476" s="1074"/>
      <c r="DF476" s="1143">
        <f>DF473+DF474-DF475</f>
        <v>0</v>
      </c>
      <c r="DG476" s="1143">
        <f>DF476</f>
        <v>0</v>
      </c>
      <c r="DK476" s="1074"/>
      <c r="DN476" s="1143">
        <f>DN473+DN474-DN475</f>
        <v>0</v>
      </c>
      <c r="DO476" s="1143">
        <f>DN476</f>
        <v>0</v>
      </c>
      <c r="DS476" s="1074"/>
      <c r="DV476" s="1143">
        <f>DV473+DV474-DV475</f>
        <v>0</v>
      </c>
      <c r="DW476" s="1143">
        <f>DV476</f>
        <v>0</v>
      </c>
      <c r="EA476" s="1074"/>
      <c r="ED476" s="1143">
        <f>ED473+ED474-ED475</f>
        <v>0</v>
      </c>
      <c r="EE476" s="1143">
        <f>ED476</f>
        <v>0</v>
      </c>
      <c r="EI476" s="1074"/>
      <c r="EL476" s="1143">
        <f>EL473+EL474-EL475</f>
        <v>0</v>
      </c>
      <c r="EM476" s="1143">
        <f>EL476</f>
        <v>0</v>
      </c>
      <c r="EQ476" s="1074"/>
      <c r="ET476" s="1143">
        <f>ET473+ET474-ET475</f>
        <v>0</v>
      </c>
      <c r="EU476" s="1143">
        <f>ET476</f>
        <v>0</v>
      </c>
      <c r="EY476" s="1074"/>
      <c r="FB476" s="1143">
        <f>FB473+FB474-FB475</f>
        <v>0</v>
      </c>
      <c r="FC476" s="1143">
        <f>FB476</f>
        <v>0</v>
      </c>
      <c r="FG476" s="1074"/>
      <c r="FJ476" s="1143">
        <f>FJ473+FJ474-FJ475</f>
        <v>0</v>
      </c>
      <c r="FK476" s="1143">
        <f>FJ476</f>
        <v>0</v>
      </c>
      <c r="FO476" s="1074"/>
    </row>
    <row r="477" spans="1:171" x14ac:dyDescent="0.25">
      <c r="A477" s="1099"/>
      <c r="B477" s="1099"/>
      <c r="C477" s="1103"/>
      <c r="K477" s="1074"/>
      <c r="S477" s="1074"/>
      <c r="AA477" s="1074"/>
      <c r="AI477" s="1074"/>
      <c r="AQ477" s="1074"/>
      <c r="AY477" s="1074"/>
      <c r="BG477" s="1074"/>
      <c r="BO477" s="1074"/>
      <c r="BW477" s="1074"/>
      <c r="CE477" s="1074"/>
      <c r="CM477" s="1074"/>
      <c r="CU477" s="1074"/>
      <c r="DC477" s="1074"/>
      <c r="DK477" s="1074"/>
      <c r="DS477" s="1074"/>
      <c r="EA477" s="1074"/>
      <c r="EI477" s="1074"/>
      <c r="EQ477" s="1074"/>
      <c r="EY477" s="1074"/>
      <c r="FG477" s="1074"/>
      <c r="FO477" s="1074"/>
    </row>
    <row r="478" spans="1:171" x14ac:dyDescent="0.25">
      <c r="A478" s="1099"/>
      <c r="B478" s="1099"/>
      <c r="C478" s="1104" t="s">
        <v>653</v>
      </c>
      <c r="G478" s="1107">
        <f>'3-YEAR PP &amp; OSS Worksheet'!$E$14+'3-YEAR PP &amp; OSS Worksheet'!$E$17+'3-YEAR PP &amp; OSS Worksheet'!$E$18+'3-YEAR PP &amp; OSS Worksheet'!$E$19+'3-YEAR PP &amp; OSS Worksheet'!$E$20</f>
        <v>5090269.5470583336</v>
      </c>
      <c r="K478" s="1074"/>
      <c r="O478" s="1144">
        <f>$G478</f>
        <v>5090269.5470583336</v>
      </c>
      <c r="S478" s="1074"/>
      <c r="W478" s="1144">
        <f>$G478</f>
        <v>5090269.5470583336</v>
      </c>
      <c r="AA478" s="1074"/>
      <c r="AE478" s="1144">
        <f>$G478</f>
        <v>5090269.5470583336</v>
      </c>
      <c r="AI478" s="1074"/>
      <c r="AM478" s="1144">
        <f>$G478</f>
        <v>5090269.5470583336</v>
      </c>
      <c r="AQ478" s="1074"/>
      <c r="AU478" s="1144">
        <f>$G478</f>
        <v>5090269.5470583336</v>
      </c>
      <c r="AY478" s="1074"/>
      <c r="BC478" s="1144">
        <f>$G478</f>
        <v>5090269.5470583336</v>
      </c>
      <c r="BG478" s="1074"/>
      <c r="BK478" s="1144">
        <f>$G478</f>
        <v>5090269.5470583336</v>
      </c>
      <c r="BO478" s="1074"/>
      <c r="BS478" s="1144">
        <f>$G478</f>
        <v>5090269.5470583336</v>
      </c>
      <c r="BW478" s="1074"/>
      <c r="CA478" s="1144">
        <f>$G478</f>
        <v>5090269.5470583336</v>
      </c>
      <c r="CE478" s="1074"/>
      <c r="CI478" s="1144">
        <f>$G478</f>
        <v>5090269.5470583336</v>
      </c>
      <c r="CM478" s="1074"/>
      <c r="CQ478" s="1144">
        <f>$G478</f>
        <v>5090269.5470583336</v>
      </c>
      <c r="CU478" s="1074"/>
      <c r="CY478" s="1144">
        <f>$G478</f>
        <v>5090269.5470583336</v>
      </c>
      <c r="DC478" s="1074"/>
      <c r="DG478" s="1144">
        <f>$G478</f>
        <v>5090269.5470583336</v>
      </c>
      <c r="DK478" s="1074"/>
      <c r="DO478" s="1144">
        <f>$G478</f>
        <v>5090269.5470583336</v>
      </c>
      <c r="DS478" s="1074"/>
      <c r="DW478" s="1144">
        <f>$G478</f>
        <v>5090269.5470583336</v>
      </c>
      <c r="EA478" s="1074"/>
      <c r="EE478" s="1144">
        <f>$G478</f>
        <v>5090269.5470583336</v>
      </c>
      <c r="EI478" s="1074"/>
      <c r="EM478" s="1144">
        <f>$G478</f>
        <v>5090269.5470583336</v>
      </c>
      <c r="EQ478" s="1074"/>
      <c r="EU478" s="1144">
        <f>$G478</f>
        <v>5090269.5470583336</v>
      </c>
      <c r="EY478" s="1074"/>
      <c r="FC478" s="1144">
        <f>$G478</f>
        <v>5090269.5470583336</v>
      </c>
      <c r="FG478" s="1074"/>
      <c r="FK478" s="1144">
        <f>$G478</f>
        <v>5090269.5470583336</v>
      </c>
      <c r="FO478" s="1074"/>
    </row>
    <row r="479" spans="1:171" x14ac:dyDescent="0.25">
      <c r="A479" s="1099"/>
      <c r="B479" s="1099"/>
      <c r="C479" s="1103"/>
      <c r="K479" s="1074"/>
      <c r="S479" s="1074"/>
      <c r="AA479" s="1074"/>
      <c r="AI479" s="1074"/>
      <c r="AQ479" s="1074"/>
      <c r="AY479" s="1074"/>
      <c r="BG479" s="1074"/>
      <c r="BO479" s="1074"/>
      <c r="BW479" s="1074"/>
      <c r="CE479" s="1074"/>
      <c r="CM479" s="1074"/>
      <c r="CU479" s="1074"/>
      <c r="DC479" s="1074"/>
      <c r="DK479" s="1074"/>
      <c r="DS479" s="1074"/>
      <c r="EA479" s="1074"/>
      <c r="EI479" s="1074"/>
      <c r="EQ479" s="1074"/>
      <c r="EY479" s="1074"/>
      <c r="FG479" s="1074"/>
      <c r="FO479" s="1074"/>
    </row>
    <row r="480" spans="1:171" x14ac:dyDescent="0.25">
      <c r="A480" s="1099"/>
      <c r="B480" s="1099"/>
      <c r="C480" s="1259" t="s">
        <v>654</v>
      </c>
      <c r="K480" s="1074"/>
      <c r="O480" s="1141">
        <f>O478-O476</f>
        <v>5090269.5470583336</v>
      </c>
      <c r="S480" s="1074"/>
      <c r="W480" s="1141">
        <f>W478-W476</f>
        <v>5090269.5470583336</v>
      </c>
      <c r="AA480" s="1074"/>
      <c r="AE480" s="1141">
        <f>AE478-AE476</f>
        <v>5090269.5470583336</v>
      </c>
      <c r="AI480" s="1074"/>
      <c r="AM480" s="1141">
        <f>AM478-AM476</f>
        <v>5090269.5470583336</v>
      </c>
      <c r="AQ480" s="1074"/>
      <c r="AU480" s="1141">
        <f>AU478-AU476</f>
        <v>5090269.5470583336</v>
      </c>
      <c r="AY480" s="1074"/>
      <c r="BC480" s="1141">
        <f>BC478-BC476</f>
        <v>5090269.5470583336</v>
      </c>
      <c r="BG480" s="1074"/>
      <c r="BK480" s="1141">
        <f>BK478-BK476</f>
        <v>5090269.5470583336</v>
      </c>
      <c r="BO480" s="1074"/>
      <c r="BS480" s="1141">
        <f>BS478-BS476</f>
        <v>5090269.5470583336</v>
      </c>
      <c r="BW480" s="1074"/>
      <c r="CA480" s="1141">
        <f>CA478-CA476</f>
        <v>5090269.5470583336</v>
      </c>
      <c r="CE480" s="1074"/>
      <c r="CI480" s="1141">
        <f>CI478-CI476</f>
        <v>5090269.5470583336</v>
      </c>
      <c r="CM480" s="1074"/>
      <c r="CQ480" s="1141">
        <f>CQ478-CQ476</f>
        <v>5090269.5470583336</v>
      </c>
      <c r="CU480" s="1074"/>
      <c r="CY480" s="1141">
        <f>CY478-CY476</f>
        <v>5090269.5470583336</v>
      </c>
      <c r="DC480" s="1074"/>
      <c r="DG480" s="1141">
        <f>DG478-DG476</f>
        <v>5090269.5470583336</v>
      </c>
      <c r="DK480" s="1074"/>
      <c r="DO480" s="1141">
        <f>DO478-DO476</f>
        <v>5090269.5470583336</v>
      </c>
      <c r="DS480" s="1074"/>
      <c r="DW480" s="1141">
        <f>DW478-DW476</f>
        <v>5090269.5470583336</v>
      </c>
      <c r="EA480" s="1074"/>
      <c r="EE480" s="1141">
        <f>EE478-EE476</f>
        <v>5090269.5470583336</v>
      </c>
      <c r="EI480" s="1074"/>
      <c r="EM480" s="1141">
        <f>EM478-EM476</f>
        <v>5090269.5470583336</v>
      </c>
      <c r="EQ480" s="1074"/>
      <c r="EU480" s="1141">
        <f>EU478-EU476</f>
        <v>5090269.5470583336</v>
      </c>
      <c r="EY480" s="1074"/>
      <c r="FC480" s="1141">
        <f>FC478-FC476</f>
        <v>5090269.5470583336</v>
      </c>
      <c r="FG480" s="1074"/>
      <c r="FK480" s="1141">
        <f>FK478-FK476</f>
        <v>5090269.5470583336</v>
      </c>
      <c r="FO480" s="1074"/>
    </row>
    <row r="481" spans="1:171" x14ac:dyDescent="0.25">
      <c r="A481" s="1099"/>
      <c r="B481" s="1099"/>
      <c r="C481" s="1260" t="s">
        <v>655</v>
      </c>
      <c r="K481" s="1074"/>
      <c r="O481" s="1141">
        <f>IF(O480&gt;0,O480,0)</f>
        <v>5090269.5470583336</v>
      </c>
      <c r="S481" s="1074"/>
      <c r="W481" s="1141">
        <f>IF(W480&gt;0,W480,0)</f>
        <v>5090269.5470583336</v>
      </c>
      <c r="AA481" s="1074"/>
      <c r="AE481" s="1141">
        <f>IF(AE480&gt;0,AE480,0)</f>
        <v>5090269.5470583336</v>
      </c>
      <c r="AI481" s="1074"/>
      <c r="AM481" s="1141">
        <f>IF(AM480&gt;0,AM480,0)</f>
        <v>5090269.5470583336</v>
      </c>
      <c r="AQ481" s="1074"/>
      <c r="AU481" s="1141">
        <f>IF(AU480&gt;0,AU480,0)</f>
        <v>5090269.5470583336</v>
      </c>
      <c r="AY481" s="1074"/>
      <c r="BC481" s="1141">
        <f>IF(BC480&gt;0,BC480,0)</f>
        <v>5090269.5470583336</v>
      </c>
      <c r="BG481" s="1074"/>
      <c r="BK481" s="1141">
        <f>IF(BK480&gt;0,BK480,0)</f>
        <v>5090269.5470583336</v>
      </c>
      <c r="BO481" s="1074"/>
      <c r="BS481" s="1141">
        <f>IF(BS480&gt;0,BS480,0)</f>
        <v>5090269.5470583336</v>
      </c>
      <c r="BW481" s="1074"/>
      <c r="CA481" s="1141">
        <f>IF(CA480&gt;0,CA480,0)</f>
        <v>5090269.5470583336</v>
      </c>
      <c r="CE481" s="1074"/>
      <c r="CI481" s="1141">
        <f>IF(CI480&gt;0,CI480,0)</f>
        <v>5090269.5470583336</v>
      </c>
      <c r="CM481" s="1074"/>
      <c r="CQ481" s="1141">
        <f>IF(CQ480&gt;0,CQ480,0)</f>
        <v>5090269.5470583336</v>
      </c>
      <c r="CU481" s="1074"/>
      <c r="CY481" s="1141">
        <f>IF(CY480&gt;0,CY480,0)</f>
        <v>5090269.5470583336</v>
      </c>
      <c r="DC481" s="1074"/>
      <c r="DG481" s="1141">
        <f>IF(DG480&gt;0,DG480,0)</f>
        <v>5090269.5470583336</v>
      </c>
      <c r="DK481" s="1074"/>
      <c r="DO481" s="1141">
        <f>IF(DO480&gt;0,DO480,0)</f>
        <v>5090269.5470583336</v>
      </c>
      <c r="DS481" s="1074"/>
      <c r="DW481" s="1141">
        <f>IF(DW480&gt;0,DW480,0)</f>
        <v>5090269.5470583336</v>
      </c>
      <c r="EA481" s="1074"/>
      <c r="EE481" s="1141">
        <f>IF(EE480&gt;0,EE480,0)</f>
        <v>5090269.5470583336</v>
      </c>
      <c r="EI481" s="1074"/>
      <c r="EM481" s="1141">
        <f>IF(EM480&gt;0,EM480,0)</f>
        <v>5090269.5470583336</v>
      </c>
      <c r="EQ481" s="1074"/>
      <c r="EU481" s="1141">
        <f>IF(EU480&gt;0,EU480,0)</f>
        <v>5090269.5470583336</v>
      </c>
      <c r="EY481" s="1074"/>
      <c r="FC481" s="1141">
        <f>IF(FC480&gt;0,FC480,0)</f>
        <v>5090269.5470583336</v>
      </c>
      <c r="FG481" s="1074"/>
      <c r="FK481" s="1141">
        <f>IF(FK480&gt;0,FK480,0)</f>
        <v>5090269.5470583336</v>
      </c>
      <c r="FO481" s="1074"/>
    </row>
    <row r="482" spans="1:171" x14ac:dyDescent="0.25">
      <c r="A482" s="1099"/>
      <c r="B482" s="1099"/>
      <c r="C482" s="1105"/>
      <c r="K482" s="1074"/>
      <c r="S482" s="1074"/>
      <c r="AA482" s="1074"/>
      <c r="AI482" s="1074"/>
      <c r="AQ482" s="1074"/>
      <c r="AY482" s="1074"/>
      <c r="BG482" s="1074"/>
      <c r="BO482" s="1074"/>
      <c r="BW482" s="1074"/>
      <c r="CE482" s="1074"/>
      <c r="CM482" s="1074"/>
      <c r="CU482" s="1074"/>
      <c r="DC482" s="1074"/>
      <c r="DK482" s="1074"/>
      <c r="DS482" s="1074"/>
      <c r="EA482" s="1074"/>
      <c r="EI482" s="1074"/>
      <c r="EQ482" s="1074"/>
      <c r="EY482" s="1074"/>
      <c r="FG482" s="1074"/>
      <c r="FO482" s="1074"/>
    </row>
    <row r="483" spans="1:171" x14ac:dyDescent="0.25">
      <c r="A483" s="1099"/>
      <c r="B483" s="1099"/>
      <c r="C483" s="1259" t="s">
        <v>656</v>
      </c>
      <c r="G483" s="1106">
        <f>G484/G478</f>
        <v>110.42235058245217</v>
      </c>
      <c r="K483" s="1074"/>
      <c r="O483" s="1145">
        <f>$G483</f>
        <v>110.42235058245217</v>
      </c>
      <c r="S483" s="1074"/>
      <c r="W483" s="1145">
        <f>$G483</f>
        <v>110.42235058245217</v>
      </c>
      <c r="AA483" s="1074"/>
      <c r="AE483" s="1145">
        <f>$G483</f>
        <v>110.42235058245217</v>
      </c>
      <c r="AI483" s="1074"/>
      <c r="AM483" s="1145">
        <f>$G483</f>
        <v>110.42235058245217</v>
      </c>
      <c r="AQ483" s="1074"/>
      <c r="AU483" s="1145">
        <f>$G483</f>
        <v>110.42235058245217</v>
      </c>
      <c r="AY483" s="1074"/>
      <c r="BC483" s="1145">
        <f>$G483</f>
        <v>110.42235058245217</v>
      </c>
      <c r="BG483" s="1074"/>
      <c r="BK483" s="1145">
        <f>$G483</f>
        <v>110.42235058245217</v>
      </c>
      <c r="BO483" s="1074"/>
      <c r="BS483" s="1145">
        <f>$G483</f>
        <v>110.42235058245217</v>
      </c>
      <c r="BW483" s="1074"/>
      <c r="CA483" s="1145">
        <f>$G483</f>
        <v>110.42235058245217</v>
      </c>
      <c r="CE483" s="1074"/>
      <c r="CI483" s="1145">
        <f>$G483</f>
        <v>110.42235058245217</v>
      </c>
      <c r="CM483" s="1074"/>
      <c r="CQ483" s="1145">
        <f>$G483</f>
        <v>110.42235058245217</v>
      </c>
      <c r="CU483" s="1074"/>
      <c r="CY483" s="1145">
        <f>$G483</f>
        <v>110.42235058245217</v>
      </c>
      <c r="DC483" s="1074"/>
      <c r="DG483" s="1145">
        <f>$G483</f>
        <v>110.42235058245217</v>
      </c>
      <c r="DK483" s="1074"/>
      <c r="DO483" s="1145">
        <f>$G483</f>
        <v>110.42235058245217</v>
      </c>
      <c r="DS483" s="1074"/>
      <c r="DW483" s="1145">
        <f>$G483</f>
        <v>110.42235058245217</v>
      </c>
      <c r="EA483" s="1074"/>
      <c r="EE483" s="1145">
        <f>$G483</f>
        <v>110.42235058245217</v>
      </c>
      <c r="EI483" s="1074"/>
      <c r="EM483" s="1145">
        <f>$G483</f>
        <v>110.42235058245217</v>
      </c>
      <c r="EQ483" s="1074"/>
      <c r="EU483" s="1145">
        <f>$G483</f>
        <v>110.42235058245217</v>
      </c>
      <c r="EY483" s="1074"/>
      <c r="FC483" s="1145">
        <f>$G483</f>
        <v>110.42235058245217</v>
      </c>
      <c r="FG483" s="1074"/>
      <c r="FK483" s="1145">
        <f>$G483</f>
        <v>110.42235058245217</v>
      </c>
      <c r="FO483" s="1074"/>
    </row>
    <row r="484" spans="1:171" x14ac:dyDescent="0.25">
      <c r="A484" s="1099"/>
      <c r="B484" s="1258"/>
      <c r="C484" s="1261" t="s">
        <v>657</v>
      </c>
      <c r="G484" s="891">
        <f>'3-YEAR PP &amp; OSS Worksheet'!$D$14+'3-YEAR PP &amp; OSS Worksheet'!$D$17+'3-YEAR PP &amp; OSS Worksheet'!$D$18+'3-YEAR PP &amp; OSS Worksheet'!$D$19+'3-YEAR PP &amp; OSS Worksheet'!$D$20</f>
        <v>562079528.48445535</v>
      </c>
      <c r="K484" s="1074"/>
      <c r="O484" s="1142">
        <f>O481*O483</f>
        <v>562079528.48445535</v>
      </c>
      <c r="S484" s="1074"/>
      <c r="W484" s="1142">
        <f>W481*W483</f>
        <v>562079528.48445535</v>
      </c>
      <c r="AA484" s="1074"/>
      <c r="AE484" s="1142">
        <f>AE481*AE483</f>
        <v>562079528.48445535</v>
      </c>
      <c r="AI484" s="1074"/>
      <c r="AM484" s="1142">
        <f>AM481*AM483</f>
        <v>562079528.48445535</v>
      </c>
      <c r="AQ484" s="1074"/>
      <c r="AU484" s="1142">
        <f>AU481*AU483</f>
        <v>562079528.48445535</v>
      </c>
      <c r="AY484" s="1074"/>
      <c r="BC484" s="1142">
        <f>BC481*BC483</f>
        <v>562079528.48445535</v>
      </c>
      <c r="BG484" s="1074"/>
      <c r="BK484" s="1142">
        <f>BK481*BK483</f>
        <v>562079528.48445535</v>
      </c>
      <c r="BO484" s="1074"/>
      <c r="BS484" s="1142">
        <f>BS481*BS483</f>
        <v>562079528.48445535</v>
      </c>
      <c r="BW484" s="1074"/>
      <c r="CA484" s="1142">
        <f>CA481*CA483</f>
        <v>562079528.48445535</v>
      </c>
      <c r="CE484" s="1074"/>
      <c r="CI484" s="1142">
        <f>CI481*CI483</f>
        <v>562079528.48445535</v>
      </c>
      <c r="CM484" s="1074"/>
      <c r="CQ484" s="1142">
        <f>CQ481*CQ483</f>
        <v>562079528.48445535</v>
      </c>
      <c r="CU484" s="1074"/>
      <c r="CY484" s="1142">
        <f>CY481*CY483</f>
        <v>562079528.48445535</v>
      </c>
      <c r="DC484" s="1074"/>
      <c r="DG484" s="1142">
        <f>DG481*DG483</f>
        <v>562079528.48445535</v>
      </c>
      <c r="DK484" s="1074"/>
      <c r="DO484" s="1142">
        <f>DO481*DO483</f>
        <v>562079528.48445535</v>
      </c>
      <c r="DS484" s="1074"/>
      <c r="DW484" s="1142">
        <f>DW481*DW483</f>
        <v>562079528.48445535</v>
      </c>
      <c r="EA484" s="1074"/>
      <c r="EE484" s="1142">
        <f>EE481*EE483</f>
        <v>562079528.48445535</v>
      </c>
      <c r="EI484" s="1074"/>
      <c r="EM484" s="1142">
        <f>EM481*EM483</f>
        <v>562079528.48445535</v>
      </c>
      <c r="EQ484" s="1074"/>
      <c r="EU484" s="1142">
        <f>EU481*EU483</f>
        <v>562079528.48445535</v>
      </c>
      <c r="EY484" s="1074"/>
      <c r="FC484" s="1142">
        <f>FC481*FC483</f>
        <v>562079528.48445535</v>
      </c>
      <c r="FG484" s="1074"/>
      <c r="FK484" s="1142">
        <f>FK481*FK483</f>
        <v>562079528.48445535</v>
      </c>
      <c r="FO484" s="1074"/>
    </row>
    <row r="485" spans="1:171" x14ac:dyDescent="0.25">
      <c r="A485" s="1099"/>
      <c r="B485" s="1099"/>
      <c r="C485" s="1105"/>
      <c r="K485" s="1074"/>
      <c r="S485" s="1074"/>
      <c r="AA485" s="1074"/>
      <c r="AI485" s="1074"/>
      <c r="AQ485" s="1074"/>
      <c r="AY485" s="1074"/>
      <c r="BG485" s="1074"/>
      <c r="BO485" s="1074"/>
      <c r="BW485" s="1074"/>
      <c r="CE485" s="1074"/>
      <c r="CM485" s="1074"/>
      <c r="CU485" s="1074"/>
      <c r="DC485" s="1074"/>
      <c r="DK485" s="1074"/>
      <c r="DS485" s="1074"/>
      <c r="EA485" s="1074"/>
      <c r="EI485" s="1074"/>
      <c r="EQ485" s="1074"/>
      <c r="EY485" s="1074"/>
      <c r="FG485" s="1074"/>
      <c r="FO485" s="1074"/>
    </row>
    <row r="486" spans="1:171" x14ac:dyDescent="0.25">
      <c r="A486" s="1099"/>
      <c r="B486" s="1099"/>
      <c r="C486" s="1105" t="s">
        <v>658</v>
      </c>
      <c r="G486" s="1107">
        <f>'3-YEAR PP &amp; OSS Worksheet'!$E$29+'3-YEAR PP &amp; OSS Worksheet'!$E$32+'3-YEAR PP &amp; OSS Worksheet'!$E$33+'3-YEAR PP &amp; OSS Worksheet'!$E$34+'3-YEAR PP &amp; OSS Worksheet'!$E$35</f>
        <v>865755.15125696291</v>
      </c>
      <c r="K486" s="1074"/>
      <c r="O486" s="1141">
        <f>$G486</f>
        <v>865755.15125696291</v>
      </c>
      <c r="S486" s="1074"/>
      <c r="W486" s="1141">
        <f>$G486</f>
        <v>865755.15125696291</v>
      </c>
      <c r="AA486" s="1074"/>
      <c r="AE486" s="1141">
        <f>$G486</f>
        <v>865755.15125696291</v>
      </c>
      <c r="AI486" s="1074"/>
      <c r="AM486" s="1141">
        <f>$G486</f>
        <v>865755.15125696291</v>
      </c>
      <c r="AQ486" s="1074"/>
      <c r="AU486" s="1141">
        <f>$G486</f>
        <v>865755.15125696291</v>
      </c>
      <c r="AY486" s="1074"/>
      <c r="BC486" s="1141">
        <f>$G486</f>
        <v>865755.15125696291</v>
      </c>
      <c r="BG486" s="1074"/>
      <c r="BK486" s="1141">
        <f>$G486</f>
        <v>865755.15125696291</v>
      </c>
      <c r="BO486" s="1074"/>
      <c r="BS486" s="1141">
        <f>$G486</f>
        <v>865755.15125696291</v>
      </c>
      <c r="BW486" s="1074"/>
      <c r="CA486" s="1141">
        <f>$G486</f>
        <v>865755.15125696291</v>
      </c>
      <c r="CE486" s="1074"/>
      <c r="CI486" s="1141">
        <f>$G486</f>
        <v>865755.15125696291</v>
      </c>
      <c r="CM486" s="1074"/>
      <c r="CQ486" s="1141">
        <f>$G486</f>
        <v>865755.15125696291</v>
      </c>
      <c r="CU486" s="1074"/>
      <c r="CY486" s="1141">
        <f>$G486</f>
        <v>865755.15125696291</v>
      </c>
      <c r="DC486" s="1074"/>
      <c r="DG486" s="1141">
        <f>$G486</f>
        <v>865755.15125696291</v>
      </c>
      <c r="DK486" s="1074"/>
      <c r="DO486" s="1141">
        <f>$G486</f>
        <v>865755.15125696291</v>
      </c>
      <c r="DS486" s="1074"/>
      <c r="DW486" s="1141">
        <f>$G486</f>
        <v>865755.15125696291</v>
      </c>
      <c r="EA486" s="1074"/>
      <c r="EE486" s="1141">
        <f>$G486</f>
        <v>865755.15125696291</v>
      </c>
      <c r="EI486" s="1074"/>
      <c r="EM486" s="1141">
        <f>$G486</f>
        <v>865755.15125696291</v>
      </c>
      <c r="EQ486" s="1074"/>
      <c r="EU486" s="1141">
        <f>$G486</f>
        <v>865755.15125696291</v>
      </c>
      <c r="EY486" s="1074"/>
      <c r="FC486" s="1141">
        <f>$G486</f>
        <v>865755.15125696291</v>
      </c>
      <c r="FG486" s="1074"/>
      <c r="FK486" s="1141">
        <f>$G486</f>
        <v>865755.15125696291</v>
      </c>
      <c r="FO486" s="1074"/>
    </row>
    <row r="487" spans="1:171" x14ac:dyDescent="0.25">
      <c r="A487" s="1099"/>
      <c r="B487" s="1099"/>
      <c r="C487" s="1105" t="s">
        <v>659</v>
      </c>
      <c r="K487" s="1074"/>
      <c r="O487" s="1141">
        <f>IF(O480&gt;0,0,-O480)</f>
        <v>0</v>
      </c>
      <c r="S487" s="1074"/>
      <c r="W487" s="1141">
        <f>IF(W480&gt;0,0,-W480)</f>
        <v>0</v>
      </c>
      <c r="AA487" s="1074"/>
      <c r="AE487" s="1141">
        <f>IF(AE480&gt;0,0,-AE480)</f>
        <v>0</v>
      </c>
      <c r="AI487" s="1074"/>
      <c r="AM487" s="1141">
        <f>IF(AM480&gt;0,0,-AM480)</f>
        <v>0</v>
      </c>
      <c r="AQ487" s="1074"/>
      <c r="AU487" s="1141">
        <f>IF(AU480&gt;0,0,-AU480)</f>
        <v>0</v>
      </c>
      <c r="AY487" s="1074"/>
      <c r="BC487" s="1141">
        <f>IF(BC480&gt;0,0,-BC480)</f>
        <v>0</v>
      </c>
      <c r="BG487" s="1074"/>
      <c r="BK487" s="1141">
        <f>IF(BK480&gt;0,0,-BK480)</f>
        <v>0</v>
      </c>
      <c r="BO487" s="1074"/>
      <c r="BS487" s="1141">
        <f>IF(BS480&gt;0,0,-BS480)</f>
        <v>0</v>
      </c>
      <c r="BW487" s="1074"/>
      <c r="CA487" s="1141">
        <f>IF(CA480&gt;0,0,-CA480)</f>
        <v>0</v>
      </c>
      <c r="CE487" s="1074"/>
      <c r="CI487" s="1141">
        <f>IF(CI480&gt;0,0,-CI480)</f>
        <v>0</v>
      </c>
      <c r="CM487" s="1074"/>
      <c r="CQ487" s="1141">
        <f>IF(CQ480&gt;0,0,-CQ480)</f>
        <v>0</v>
      </c>
      <c r="CU487" s="1074"/>
      <c r="CY487" s="1141">
        <f>IF(CY480&gt;0,0,-CY480)</f>
        <v>0</v>
      </c>
      <c r="DC487" s="1074"/>
      <c r="DG487" s="1141">
        <f>IF(DG480&gt;0,0,-DG480)</f>
        <v>0</v>
      </c>
      <c r="DK487" s="1074"/>
      <c r="DO487" s="1141">
        <f>IF(DO480&gt;0,0,-DO480)</f>
        <v>0</v>
      </c>
      <c r="DS487" s="1074"/>
      <c r="DW487" s="1141">
        <f>IF(DW480&gt;0,0,-DW480)</f>
        <v>0</v>
      </c>
      <c r="EA487" s="1074"/>
      <c r="EE487" s="1141">
        <f>IF(EE480&gt;0,0,-EE480)</f>
        <v>0</v>
      </c>
      <c r="EI487" s="1074"/>
      <c r="EM487" s="1141">
        <f>IF(EM480&gt;0,0,-EM480)</f>
        <v>0</v>
      </c>
      <c r="EQ487" s="1074"/>
      <c r="EU487" s="1141">
        <f>IF(EU480&gt;0,0,-EU480)</f>
        <v>0</v>
      </c>
      <c r="EY487" s="1074"/>
      <c r="FC487" s="1141">
        <f>IF(FC480&gt;0,0,-FC480)</f>
        <v>0</v>
      </c>
      <c r="FG487" s="1074"/>
      <c r="FK487" s="1141">
        <f>IF(FK480&gt;0,0,-FK480)</f>
        <v>0</v>
      </c>
      <c r="FO487" s="1074"/>
    </row>
    <row r="488" spans="1:171" x14ac:dyDescent="0.25">
      <c r="A488" s="1099"/>
      <c r="B488" s="1099"/>
      <c r="C488" s="1260" t="s">
        <v>660</v>
      </c>
      <c r="K488" s="1074"/>
      <c r="O488" s="1141">
        <f>SUM(O486:O487)</f>
        <v>865755.15125696291</v>
      </c>
      <c r="S488" s="1074"/>
      <c r="W488" s="1141">
        <f>SUM(W486:W487)</f>
        <v>865755.15125696291</v>
      </c>
      <c r="AA488" s="1074"/>
      <c r="AE488" s="1141">
        <f>SUM(AE486:AE487)</f>
        <v>865755.15125696291</v>
      </c>
      <c r="AI488" s="1074"/>
      <c r="AM488" s="1141">
        <f>SUM(AM486:AM487)</f>
        <v>865755.15125696291</v>
      </c>
      <c r="AQ488" s="1074"/>
      <c r="AU488" s="1141">
        <f>SUM(AU486:AU487)</f>
        <v>865755.15125696291</v>
      </c>
      <c r="AY488" s="1074"/>
      <c r="BC488" s="1141">
        <f>SUM(BC486:BC487)</f>
        <v>865755.15125696291</v>
      </c>
      <c r="BG488" s="1074"/>
      <c r="BK488" s="1141">
        <f>SUM(BK486:BK487)</f>
        <v>865755.15125696291</v>
      </c>
      <c r="BO488" s="1074"/>
      <c r="BS488" s="1141">
        <f>SUM(BS486:BS487)</f>
        <v>865755.15125696291</v>
      </c>
      <c r="BW488" s="1074"/>
      <c r="CA488" s="1141">
        <f>SUM(CA486:CA487)</f>
        <v>865755.15125696291</v>
      </c>
      <c r="CE488" s="1074"/>
      <c r="CI488" s="1141">
        <f>SUM(CI486:CI487)</f>
        <v>865755.15125696291</v>
      </c>
      <c r="CM488" s="1074"/>
      <c r="CQ488" s="1141">
        <f>SUM(CQ486:CQ487)</f>
        <v>865755.15125696291</v>
      </c>
      <c r="CU488" s="1074"/>
      <c r="CY488" s="1141">
        <f>SUM(CY486:CY487)</f>
        <v>865755.15125696291</v>
      </c>
      <c r="DC488" s="1074"/>
      <c r="DG488" s="1141">
        <f>SUM(DG486:DG487)</f>
        <v>865755.15125696291</v>
      </c>
      <c r="DK488" s="1074"/>
      <c r="DO488" s="1141">
        <f>SUM(DO486:DO487)</f>
        <v>865755.15125696291</v>
      </c>
      <c r="DS488" s="1074"/>
      <c r="DW488" s="1141">
        <f>SUM(DW486:DW487)</f>
        <v>865755.15125696291</v>
      </c>
      <c r="EA488" s="1074"/>
      <c r="EE488" s="1141">
        <f>SUM(EE486:EE487)</f>
        <v>865755.15125696291</v>
      </c>
      <c r="EI488" s="1074"/>
      <c r="EM488" s="1141">
        <f>SUM(EM486:EM487)</f>
        <v>865755.15125696291</v>
      </c>
      <c r="EQ488" s="1074"/>
      <c r="EU488" s="1141">
        <f>SUM(EU486:EU487)</f>
        <v>865755.15125696291</v>
      </c>
      <c r="EY488" s="1074"/>
      <c r="FC488" s="1141">
        <f>SUM(FC486:FC487)</f>
        <v>865755.15125696291</v>
      </c>
      <c r="FG488" s="1074"/>
      <c r="FK488" s="1141">
        <f>SUM(FK486:FK487)</f>
        <v>865755.15125696291</v>
      </c>
      <c r="FO488" s="1074"/>
    </row>
    <row r="489" spans="1:171" x14ac:dyDescent="0.25">
      <c r="A489" s="1099"/>
      <c r="B489" s="1258"/>
      <c r="C489" s="1261" t="s">
        <v>661</v>
      </c>
      <c r="G489" s="891">
        <f>'3-YEAR PP &amp; OSS Worksheet'!$D$29+'3-YEAR PP &amp; OSS Worksheet'!$D$32+'3-YEAR PP &amp; OSS Worksheet'!$D$33+'3-YEAR PP &amp; OSS Worksheet'!$D$34+'3-YEAR PP &amp; OSS Worksheet'!$D$35</f>
        <v>65981316.13157171</v>
      </c>
      <c r="K489" s="1074"/>
      <c r="O489" s="1142">
        <f>O488*O490</f>
        <v>65981316.131571703</v>
      </c>
      <c r="S489" s="1074"/>
      <c r="W489" s="1142">
        <f>W488*W490</f>
        <v>65981316.131571703</v>
      </c>
      <c r="AA489" s="1074"/>
      <c r="AE489" s="1142">
        <f>AE488*AE490</f>
        <v>65981316.131571703</v>
      </c>
      <c r="AI489" s="1074"/>
      <c r="AM489" s="1142">
        <f>AM488*AM490</f>
        <v>65981316.131571703</v>
      </c>
      <c r="AQ489" s="1074"/>
      <c r="AU489" s="1142">
        <f>AU488*AU490</f>
        <v>65981316.131571703</v>
      </c>
      <c r="AY489" s="1074"/>
      <c r="BC489" s="1142">
        <f>BC488*BC490</f>
        <v>65981316.131571703</v>
      </c>
      <c r="BG489" s="1074"/>
      <c r="BK489" s="1142">
        <f>BK488*BK490</f>
        <v>65981316.131571703</v>
      </c>
      <c r="BO489" s="1074"/>
      <c r="BS489" s="1142">
        <f>BS488*BS490</f>
        <v>65981316.131571703</v>
      </c>
      <c r="BW489" s="1074"/>
      <c r="CA489" s="1142">
        <f>CA488*CA490</f>
        <v>65981316.131571703</v>
      </c>
      <c r="CE489" s="1074"/>
      <c r="CI489" s="1142">
        <f>CI488*CI490</f>
        <v>65981316.131571703</v>
      </c>
      <c r="CM489" s="1074"/>
      <c r="CQ489" s="1142">
        <f>CQ488*CQ490</f>
        <v>65981316.131571703</v>
      </c>
      <c r="CU489" s="1074"/>
      <c r="CY489" s="1142">
        <f>CY488*CY490</f>
        <v>65981316.131571703</v>
      </c>
      <c r="DC489" s="1074"/>
      <c r="DG489" s="1142">
        <f>DG488*DG490</f>
        <v>65981316.131571703</v>
      </c>
      <c r="DK489" s="1074"/>
      <c r="DO489" s="1142">
        <f>DO488*DO490</f>
        <v>65981316.131571703</v>
      </c>
      <c r="DS489" s="1074"/>
      <c r="DW489" s="1142">
        <f>DW488*DW490</f>
        <v>65981316.131571703</v>
      </c>
      <c r="EA489" s="1074"/>
      <c r="EE489" s="1142">
        <f>EE488*EE490</f>
        <v>65981316.131571703</v>
      </c>
      <c r="EI489" s="1074"/>
      <c r="EM489" s="1142">
        <f>EM488*EM490</f>
        <v>65981316.131571703</v>
      </c>
      <c r="EQ489" s="1074"/>
      <c r="EU489" s="1142">
        <f>EU488*EU490</f>
        <v>65981316.131571703</v>
      </c>
      <c r="EY489" s="1074"/>
      <c r="FC489" s="1142">
        <f>FC488*FC490</f>
        <v>65981316.131571703</v>
      </c>
      <c r="FG489" s="1074"/>
      <c r="FK489" s="1142">
        <f>FK488*FK490</f>
        <v>65981316.131571703</v>
      </c>
      <c r="FO489" s="1074"/>
    </row>
    <row r="490" spans="1:171" x14ac:dyDescent="0.25">
      <c r="A490" s="1099"/>
      <c r="B490" s="1099"/>
      <c r="C490" s="1259" t="s">
        <v>662</v>
      </c>
      <c r="G490" s="1106">
        <f>G489/G486</f>
        <v>76.212444171744735</v>
      </c>
      <c r="K490" s="1074"/>
      <c r="O490" s="1145">
        <f>$G490</f>
        <v>76.212444171744735</v>
      </c>
      <c r="S490" s="1074"/>
      <c r="W490" s="1145">
        <f>$G490</f>
        <v>76.212444171744735</v>
      </c>
      <c r="AA490" s="1074"/>
      <c r="AE490" s="1145">
        <f>$G490</f>
        <v>76.212444171744735</v>
      </c>
      <c r="AI490" s="1074"/>
      <c r="AM490" s="1145">
        <f>$G490</f>
        <v>76.212444171744735</v>
      </c>
      <c r="AQ490" s="1074"/>
      <c r="AU490" s="1145">
        <f>$G490</f>
        <v>76.212444171744735</v>
      </c>
      <c r="AY490" s="1074"/>
      <c r="BC490" s="1145">
        <f>$G490</f>
        <v>76.212444171744735</v>
      </c>
      <c r="BG490" s="1074"/>
      <c r="BK490" s="1145">
        <f>$G490</f>
        <v>76.212444171744735</v>
      </c>
      <c r="BO490" s="1074"/>
      <c r="BS490" s="1145">
        <f>$G490</f>
        <v>76.212444171744735</v>
      </c>
      <c r="BW490" s="1074"/>
      <c r="CA490" s="1145">
        <f>$G490</f>
        <v>76.212444171744735</v>
      </c>
      <c r="CE490" s="1074"/>
      <c r="CI490" s="1145">
        <f>$G490</f>
        <v>76.212444171744735</v>
      </c>
      <c r="CM490" s="1074"/>
      <c r="CQ490" s="1145">
        <f>$G490</f>
        <v>76.212444171744735</v>
      </c>
      <c r="CU490" s="1074"/>
      <c r="CY490" s="1145">
        <f>$G490</f>
        <v>76.212444171744735</v>
      </c>
      <c r="DC490" s="1074"/>
      <c r="DG490" s="1145">
        <f>$G490</f>
        <v>76.212444171744735</v>
      </c>
      <c r="DK490" s="1074"/>
      <c r="DO490" s="1145">
        <f>$G490</f>
        <v>76.212444171744735</v>
      </c>
      <c r="DS490" s="1074"/>
      <c r="DW490" s="1145">
        <f>$G490</f>
        <v>76.212444171744735</v>
      </c>
      <c r="EA490" s="1074"/>
      <c r="EE490" s="1145">
        <f>$G490</f>
        <v>76.212444171744735</v>
      </c>
      <c r="EI490" s="1074"/>
      <c r="EM490" s="1145">
        <f>$G490</f>
        <v>76.212444171744735</v>
      </c>
      <c r="EQ490" s="1074"/>
      <c r="EU490" s="1145">
        <f>$G490</f>
        <v>76.212444171744735</v>
      </c>
      <c r="EY490" s="1074"/>
      <c r="FC490" s="1145">
        <f>$G490</f>
        <v>76.212444171744735</v>
      </c>
      <c r="FG490" s="1074"/>
      <c r="FK490" s="1145">
        <f>$G490</f>
        <v>76.212444171744735</v>
      </c>
      <c r="FO490" s="1074"/>
    </row>
    <row r="491" spans="1:171" x14ac:dyDescent="0.25">
      <c r="A491" s="1099"/>
      <c r="B491" s="1102" t="s">
        <v>645</v>
      </c>
      <c r="C491" s="1103"/>
      <c r="K491" s="1074"/>
      <c r="S491" s="1074"/>
      <c r="AA491" s="1074"/>
      <c r="AI491" s="1074"/>
      <c r="AQ491" s="1074"/>
      <c r="AY491" s="1074"/>
      <c r="BG491" s="1074"/>
      <c r="BO491" s="1074"/>
      <c r="BW491" s="1074"/>
      <c r="CE491" s="1074"/>
      <c r="CM491" s="1074"/>
      <c r="CU491" s="1074"/>
      <c r="DC491" s="1074"/>
      <c r="DK491" s="1074"/>
      <c r="DS491" s="1074"/>
      <c r="EA491" s="1074"/>
      <c r="EI491" s="1074"/>
      <c r="EQ491" s="1074"/>
      <c r="EY491" s="1074"/>
      <c r="FG491" s="1074"/>
      <c r="FO491" s="1074"/>
    </row>
    <row r="492" spans="1:171" x14ac:dyDescent="0.25">
      <c r="B492" s="1102" t="s">
        <v>646</v>
      </c>
      <c r="K492" s="1074"/>
      <c r="S492" s="1074"/>
      <c r="AA492" s="1074"/>
      <c r="AI492" s="1074"/>
      <c r="AQ492" s="1074"/>
      <c r="AY492" s="1074"/>
      <c r="BG492" s="1074"/>
      <c r="BO492" s="1074"/>
      <c r="BW492" s="1074"/>
      <c r="CE492" s="1074"/>
      <c r="CM492" s="1074"/>
      <c r="CU492" s="1074"/>
      <c r="DC492" s="1074"/>
      <c r="DK492" s="1074"/>
      <c r="DS492" s="1074"/>
      <c r="EA492" s="1074"/>
      <c r="EI492" s="1074"/>
      <c r="EQ492" s="1074"/>
      <c r="EY492" s="1074"/>
      <c r="FG492" s="1074"/>
      <c r="FO492" s="1074"/>
    </row>
    <row r="493" spans="1:171" x14ac:dyDescent="0.25">
      <c r="A493" s="1129">
        <v>103000</v>
      </c>
      <c r="B493" s="1204"/>
      <c r="C493" s="1261" t="s">
        <v>663</v>
      </c>
      <c r="G493" s="588">
        <f>'3-YEAR PP &amp; OSS Worksheet'!$D$26+'3-YEAR PP &amp; OSS Worksheet'!$D$27+'3-YEAR PP &amp; OSS Worksheet'!$D$28+'3-YEAR PP &amp; OSS Worksheet'!$D$30+'3-YEAR PP &amp; OSS Worksheet'!$D$31</f>
        <v>13505524.395239173</v>
      </c>
      <c r="K493" s="1074"/>
      <c r="N493" s="1162">
        <f>VLOOKUP($A493,'New Resources - Group'!$A$4:$Y$133,N$2,FALSE)*N$1</f>
        <v>0</v>
      </c>
      <c r="O493" s="1142">
        <f>$G493+N493</f>
        <v>13505524.395239173</v>
      </c>
      <c r="S493" s="1074"/>
      <c r="V493" s="1162">
        <f>VLOOKUP($A493,'New Resources - Group'!$A$4:$Y$133,V$2,FALSE)*V$1</f>
        <v>0</v>
      </c>
      <c r="W493" s="1142">
        <f>$G493+V493</f>
        <v>13505524.395239173</v>
      </c>
      <c r="AA493" s="1074"/>
      <c r="AD493" s="1162">
        <f>VLOOKUP($A493,'New Resources - Group'!$A$4:$Y$133,AD$2,FALSE)*AD$1</f>
        <v>0</v>
      </c>
      <c r="AE493" s="1142">
        <f>$G493+AD493</f>
        <v>13505524.395239173</v>
      </c>
      <c r="AI493" s="1074"/>
      <c r="AL493" s="1162">
        <f>VLOOKUP($A493,'New Resources - Group'!$A$4:$Y$133,AL$2,FALSE)*AL$1</f>
        <v>0</v>
      </c>
      <c r="AM493" s="1142">
        <f>$G493+AL493</f>
        <v>13505524.395239173</v>
      </c>
      <c r="AQ493" s="1074"/>
      <c r="AT493" s="1162">
        <f>VLOOKUP($A493,'New Resources - Group'!$A$4:$Y$133,AT$2,FALSE)*AT$1</f>
        <v>0</v>
      </c>
      <c r="AU493" s="1142">
        <f>$G493+AT493</f>
        <v>13505524.395239173</v>
      </c>
      <c r="AY493" s="1074"/>
      <c r="BB493" s="1162">
        <f>VLOOKUP($A493,'New Resources - Group'!$A$4:$Y$133,BB$2,FALSE)*BB$1</f>
        <v>0</v>
      </c>
      <c r="BC493" s="1142">
        <f>$G493+BB493</f>
        <v>13505524.395239173</v>
      </c>
      <c r="BG493" s="1074"/>
      <c r="BJ493" s="1162">
        <f>VLOOKUP($A493,'New Resources - Group'!$A$4:$Y$133,BJ$2,FALSE)*BJ$1</f>
        <v>0</v>
      </c>
      <c r="BK493" s="1142">
        <f>$G493+BJ493</f>
        <v>13505524.395239173</v>
      </c>
      <c r="BO493" s="1074"/>
      <c r="BR493" s="1162">
        <f>VLOOKUP($A493,'New Resources - Group'!$A$4:$Y$133,BR$2,FALSE)*BR$1</f>
        <v>0</v>
      </c>
      <c r="BS493" s="1142">
        <f>$G493+BR493</f>
        <v>13505524.395239173</v>
      </c>
      <c r="BW493" s="1074"/>
      <c r="BZ493" s="1162">
        <f>VLOOKUP($A493,'New Resources - Group'!$A$4:$Y$133,BZ$2,FALSE)*BZ$1</f>
        <v>0</v>
      </c>
      <c r="CA493" s="1142">
        <f>$G493+BZ493</f>
        <v>13505524.395239173</v>
      </c>
      <c r="CE493" s="1074"/>
      <c r="CH493" s="1162">
        <f>VLOOKUP($A493,'New Resources - Group'!$A$4:$Y$133,CH$2,FALSE)*CH$1</f>
        <v>0</v>
      </c>
      <c r="CI493" s="1142">
        <f>$G493+CH493</f>
        <v>13505524.395239173</v>
      </c>
      <c r="CM493" s="1074"/>
      <c r="CP493" s="1162">
        <f>VLOOKUP($A493,'New Resources - Group'!$A$4:$Y$133,CP$2,FALSE)*CP$1</f>
        <v>0</v>
      </c>
      <c r="CQ493" s="1142">
        <f>$G493+CP493</f>
        <v>13505524.395239173</v>
      </c>
      <c r="CU493" s="1074"/>
      <c r="CX493" s="1162">
        <f>VLOOKUP($A493,'New Resources - Group'!$A$4:$Y$133,CX$2,FALSE)*CX$1</f>
        <v>0</v>
      </c>
      <c r="CY493" s="1142">
        <f>$G493+CX493</f>
        <v>13505524.395239173</v>
      </c>
      <c r="DC493" s="1074"/>
      <c r="DF493" s="1162">
        <f>VLOOKUP($A493,'New Resources - Group'!$A$4:$Y$133,DF$2,FALSE)*DF$1</f>
        <v>0</v>
      </c>
      <c r="DG493" s="1142">
        <f>$G493+DF493</f>
        <v>13505524.395239173</v>
      </c>
      <c r="DK493" s="1074"/>
      <c r="DN493" s="1162">
        <f>VLOOKUP($A493,'New Resources - Group'!$A$4:$Y$133,DN$2,FALSE)*DN$1</f>
        <v>0</v>
      </c>
      <c r="DO493" s="1142">
        <f>$G493+DN493</f>
        <v>13505524.395239173</v>
      </c>
      <c r="DS493" s="1074"/>
      <c r="DV493" s="1162">
        <f>VLOOKUP($A493,'New Resources - Group'!$A$4:$Y$133,DV$2,FALSE)*DV$1</f>
        <v>0</v>
      </c>
      <c r="DW493" s="1142">
        <f>$G493+DV493</f>
        <v>13505524.395239173</v>
      </c>
      <c r="EA493" s="1074"/>
      <c r="ED493" s="1162">
        <f>VLOOKUP($A493,'New Resources - Group'!$A$4:$Y$133,ED$2,FALSE)*ED$1</f>
        <v>0</v>
      </c>
      <c r="EE493" s="1142">
        <f>$G493+ED493</f>
        <v>13505524.395239173</v>
      </c>
      <c r="EI493" s="1074"/>
      <c r="EL493" s="1162">
        <f>VLOOKUP($A493,'New Resources - Group'!$A$4:$Y$133,EL$2,FALSE)*EL$1</f>
        <v>0</v>
      </c>
      <c r="EM493" s="1142">
        <f>$G493+EL493</f>
        <v>13505524.395239173</v>
      </c>
      <c r="EQ493" s="1074"/>
      <c r="ET493" s="1162">
        <f>VLOOKUP($A493,'New Resources - Group'!$A$4:$Y$133,ET$2,FALSE)*ET$1</f>
        <v>0</v>
      </c>
      <c r="EU493" s="1142">
        <f>$G493+ET493</f>
        <v>13505524.395239173</v>
      </c>
      <c r="EY493" s="1074"/>
      <c r="FB493" s="1162">
        <f>VLOOKUP($A493,'New Resources - Group'!$A$4:$Y$133,FB$2,FALSE)*FB$1</f>
        <v>0</v>
      </c>
      <c r="FC493" s="1142">
        <f>$G493+FB493</f>
        <v>13505524.395239173</v>
      </c>
      <c r="FG493" s="1074"/>
      <c r="FJ493" s="1162">
        <f>VLOOKUP($A493,'New Resources - Group'!$A$4:$Y$133,FJ$2,FALSE)*FJ$1</f>
        <v>0</v>
      </c>
      <c r="FK493" s="1142">
        <f>$G493+FJ493</f>
        <v>13505524.395239173</v>
      </c>
      <c r="FO493" s="1074"/>
    </row>
    <row r="494" spans="1:171" x14ac:dyDescent="0.25">
      <c r="A494" s="1099" t="s">
        <v>647</v>
      </c>
      <c r="K494" s="1074"/>
      <c r="S494" s="1074"/>
      <c r="AA494" s="1074"/>
      <c r="AI494" s="1074"/>
      <c r="AQ494" s="1074"/>
      <c r="AY494" s="1074"/>
      <c r="BG494" s="1074"/>
      <c r="BO494" s="1074"/>
      <c r="BW494" s="1074"/>
      <c r="CE494" s="1074"/>
      <c r="CM494" s="1074"/>
      <c r="CU494" s="1074"/>
      <c r="DC494" s="1074"/>
      <c r="DK494" s="1074"/>
      <c r="DS494" s="1074"/>
      <c r="EA494" s="1074"/>
      <c r="EI494" s="1074"/>
      <c r="EQ494" s="1074"/>
      <c r="EY494" s="1074"/>
      <c r="FG494" s="1074"/>
      <c r="FO494" s="1074"/>
    </row>
    <row r="495" spans="1:171" x14ac:dyDescent="0.25">
      <c r="K495" s="1074"/>
      <c r="S495" s="1074"/>
      <c r="AA495" s="1074"/>
      <c r="AI495" s="1074"/>
      <c r="AQ495" s="1074"/>
      <c r="AY495" s="1074"/>
      <c r="BG495" s="1074"/>
      <c r="BO495" s="1074"/>
      <c r="BW495" s="1074"/>
      <c r="CE495" s="1074"/>
      <c r="CM495" s="1074"/>
      <c r="CU495" s="1074"/>
      <c r="DC495" s="1074"/>
      <c r="DK495" s="1074"/>
      <c r="DS495" s="1074"/>
      <c r="EA495" s="1074"/>
      <c r="EI495" s="1074"/>
      <c r="EQ495" s="1074"/>
      <c r="EY495" s="1074"/>
      <c r="FG495" s="1074"/>
      <c r="FO495" s="1074"/>
    </row>
    <row r="496" spans="1:171" x14ac:dyDescent="0.25">
      <c r="A496" s="904"/>
      <c r="B496" s="904"/>
      <c r="C496" s="904"/>
      <c r="D496" s="904"/>
      <c r="E496" s="904"/>
      <c r="F496" s="904"/>
      <c r="G496" s="904"/>
      <c r="H496" s="904"/>
      <c r="I496" s="904"/>
      <c r="J496" s="904"/>
      <c r="K496" s="904"/>
      <c r="L496" s="904"/>
      <c r="M496" s="904"/>
      <c r="N496" s="904"/>
      <c r="O496" s="904"/>
      <c r="P496" s="904"/>
      <c r="Q496" s="904"/>
      <c r="R496" s="904"/>
      <c r="S496" s="904"/>
      <c r="T496" s="904"/>
      <c r="U496" s="904"/>
      <c r="V496" s="904"/>
      <c r="W496" s="904"/>
      <c r="X496" s="904"/>
      <c r="Y496" s="904"/>
      <c r="Z496" s="904"/>
      <c r="AA496" s="904"/>
      <c r="AB496" s="904"/>
      <c r="AC496" s="904"/>
      <c r="AD496" s="904"/>
      <c r="AE496" s="904"/>
      <c r="AF496" s="904"/>
      <c r="AG496" s="904"/>
      <c r="AH496" s="904"/>
      <c r="AI496" s="904"/>
      <c r="AJ496" s="904"/>
      <c r="AK496" s="904"/>
      <c r="AL496" s="904"/>
      <c r="AM496" s="904"/>
      <c r="AN496" s="904"/>
      <c r="AO496" s="904"/>
      <c r="AP496" s="904"/>
      <c r="AQ496" s="904"/>
      <c r="AR496" s="904"/>
      <c r="AS496" s="904"/>
      <c r="AT496" s="904"/>
      <c r="AU496" s="904"/>
      <c r="AV496" s="904"/>
      <c r="AW496" s="904"/>
      <c r="AX496" s="904"/>
      <c r="AY496" s="904"/>
      <c r="AZ496" s="904"/>
      <c r="BA496" s="904"/>
      <c r="BB496" s="904"/>
      <c r="BC496" s="904"/>
      <c r="BD496" s="904"/>
      <c r="BE496" s="904"/>
      <c r="BF496" s="904"/>
      <c r="BG496" s="904"/>
      <c r="BH496" s="904"/>
      <c r="BI496" s="904"/>
      <c r="BJ496" s="904"/>
      <c r="BK496" s="904"/>
      <c r="BL496" s="904"/>
      <c r="BM496" s="904"/>
      <c r="BN496" s="904"/>
      <c r="BO496" s="904"/>
      <c r="BP496" s="904"/>
      <c r="BQ496" s="904"/>
      <c r="BR496" s="904"/>
      <c r="BS496" s="904"/>
      <c r="BT496" s="904"/>
      <c r="BU496" s="904"/>
      <c r="BV496" s="904"/>
      <c r="BW496" s="904"/>
      <c r="BX496" s="904"/>
      <c r="BY496" s="904"/>
      <c r="BZ496" s="904"/>
      <c r="CA496" s="904"/>
      <c r="CB496" s="904"/>
      <c r="CC496" s="904"/>
      <c r="CD496" s="904"/>
      <c r="CE496" s="904"/>
      <c r="CF496" s="904"/>
      <c r="CG496" s="904"/>
      <c r="CH496" s="904"/>
      <c r="CI496" s="904"/>
      <c r="CJ496" s="904"/>
      <c r="CK496" s="904"/>
      <c r="CL496" s="904"/>
      <c r="CM496" s="904"/>
      <c r="CN496" s="904"/>
      <c r="CO496" s="904"/>
      <c r="CP496" s="904"/>
      <c r="CQ496" s="904"/>
      <c r="CR496" s="904"/>
      <c r="CS496" s="904"/>
      <c r="CT496" s="904"/>
      <c r="CU496" s="904"/>
      <c r="CV496" s="904"/>
      <c r="CW496" s="904"/>
      <c r="CX496" s="904"/>
      <c r="CY496" s="904"/>
      <c r="CZ496" s="904"/>
      <c r="DA496" s="904"/>
      <c r="DB496" s="904"/>
      <c r="DC496" s="904"/>
      <c r="DD496" s="904"/>
      <c r="DE496" s="904"/>
      <c r="DF496" s="904"/>
      <c r="DG496" s="904"/>
      <c r="DH496" s="904"/>
      <c r="DI496" s="904"/>
      <c r="DJ496" s="904"/>
      <c r="DK496" s="904"/>
      <c r="DL496" s="904"/>
      <c r="DM496" s="904"/>
      <c r="DN496" s="904"/>
      <c r="DO496" s="904"/>
      <c r="DP496" s="904"/>
      <c r="DQ496" s="904"/>
      <c r="DR496" s="904"/>
      <c r="DS496" s="904"/>
      <c r="DT496" s="904"/>
      <c r="DU496" s="904"/>
      <c r="DV496" s="904"/>
      <c r="DW496" s="904"/>
      <c r="DX496" s="904"/>
      <c r="DY496" s="904"/>
      <c r="DZ496" s="904"/>
      <c r="EA496" s="904"/>
      <c r="EB496" s="904"/>
      <c r="EC496" s="904"/>
      <c r="ED496" s="904"/>
      <c r="EE496" s="904"/>
      <c r="EF496" s="904"/>
      <c r="EG496" s="904"/>
      <c r="EH496" s="904"/>
      <c r="EI496" s="904"/>
      <c r="EJ496" s="904"/>
      <c r="EK496" s="904"/>
      <c r="EL496" s="904"/>
      <c r="EM496" s="904"/>
      <c r="EN496" s="904"/>
      <c r="EO496" s="904"/>
      <c r="EP496" s="904"/>
      <c r="EQ496" s="904"/>
      <c r="ER496" s="904"/>
      <c r="ES496" s="904"/>
      <c r="ET496" s="904"/>
      <c r="EU496" s="904"/>
      <c r="EV496" s="904"/>
      <c r="EW496" s="904"/>
      <c r="EX496" s="904"/>
      <c r="EY496" s="904"/>
      <c r="EZ496" s="904"/>
      <c r="FA496" s="904"/>
      <c r="FB496" s="904"/>
      <c r="FC496" s="904"/>
      <c r="FD496" s="904"/>
      <c r="FE496" s="904"/>
      <c r="FF496" s="904"/>
      <c r="FG496" s="904"/>
      <c r="FH496" s="904"/>
      <c r="FI496" s="904"/>
      <c r="FJ496" s="904"/>
      <c r="FK496" s="904"/>
      <c r="FL496" s="904"/>
      <c r="FM496" s="904"/>
      <c r="FN496" s="904"/>
      <c r="FO496" s="904"/>
    </row>
  </sheetData>
  <mergeCells count="25">
    <mergeCell ref="I12:I14"/>
    <mergeCell ref="H287:H289"/>
    <mergeCell ref="C5:E5"/>
    <mergeCell ref="C6:E6"/>
    <mergeCell ref="C7:E7"/>
    <mergeCell ref="I287:I289"/>
    <mergeCell ref="I171:I173"/>
    <mergeCell ref="I264:I266"/>
    <mergeCell ref="E287:F288"/>
    <mergeCell ref="G287:G289"/>
    <mergeCell ref="B466:E466"/>
    <mergeCell ref="G12:G14"/>
    <mergeCell ref="H12:H14"/>
    <mergeCell ref="B264:B266"/>
    <mergeCell ref="E264:F265"/>
    <mergeCell ref="G264:G266"/>
    <mergeCell ref="H264:H266"/>
    <mergeCell ref="B171:B173"/>
    <mergeCell ref="E171:F172"/>
    <mergeCell ref="B287:B289"/>
    <mergeCell ref="B465:E465"/>
    <mergeCell ref="B12:B14"/>
    <mergeCell ref="E12:F13"/>
    <mergeCell ref="G171:G173"/>
    <mergeCell ref="H171:H173"/>
  </mergeCells>
  <phoneticPr fontId="0" type="noConversion"/>
  <hyperlinks>
    <hyperlink ref="A5" location="TOC!A1" display="TOC" xr:uid="{00000000-0004-0000-1200-000000000000}"/>
    <hyperlink ref="A6" location="'Materiality -  Group'!A15" display="é" xr:uid="{00000000-0004-0000-1200-000001000000}"/>
  </hyperlinks>
  <printOptions horizontalCentered="1" headings="1"/>
  <pageMargins left="0.5" right="0.5" top="1" bottom="0.75" header="0.5" footer="0.5"/>
  <pageSetup scale="39" orientation="portrait" r:id="rId1"/>
  <headerFooter alignWithMargins="0">
    <oddFooter>&amp;LFY 2026-2028 ASC Filing&amp;CPages &amp;P of &amp;N&amp;R&amp;A
&amp;D</oddFooter>
  </headerFooter>
  <rowBreaks count="5" manualBreakCount="5">
    <brk id="81" max="16383" man="1"/>
    <brk id="169" max="16383" man="1"/>
    <brk id="261" max="16383" man="1"/>
    <brk id="356" max="16383" man="1"/>
    <brk id="460" max="16383" man="1"/>
  </rowBreaks>
  <colBreaks count="2" manualBreakCount="2">
    <brk id="10" max="1048575" man="1"/>
    <brk id="27" max="1048575" man="1"/>
  </colBreaks>
  <customProperties>
    <customPr name="_pios_id" r:id="rId2"/>
  </customPropertie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2"/>
  <dimension ref="A2:AE79"/>
  <sheetViews>
    <sheetView zoomScaleNormal="100" workbookViewId="0">
      <selection sqref="A1:XFD1048576"/>
    </sheetView>
  </sheetViews>
  <sheetFormatPr defaultRowHeight="15.75" x14ac:dyDescent="0.25"/>
  <cols>
    <col min="2" max="2" width="50.125" bestFit="1" customWidth="1"/>
    <col min="3" max="3" width="18.5" bestFit="1" customWidth="1"/>
    <col min="4" max="4" width="17.875" bestFit="1" customWidth="1"/>
    <col min="5" max="5" width="13" bestFit="1" customWidth="1"/>
    <col min="6" max="6" width="15.625" bestFit="1" customWidth="1"/>
    <col min="7" max="7" width="17.5" bestFit="1" customWidth="1"/>
    <col min="8" max="8" width="17.375" bestFit="1" customWidth="1"/>
    <col min="9" max="9" width="12.5" bestFit="1" customWidth="1"/>
    <col min="10" max="10" width="14.125" bestFit="1" customWidth="1"/>
    <col min="11" max="11" width="15.75" bestFit="1" customWidth="1"/>
    <col min="12" max="12" width="12.875" bestFit="1" customWidth="1"/>
    <col min="13" max="13" width="19.875" bestFit="1" customWidth="1"/>
    <col min="14" max="14" width="13.375" bestFit="1" customWidth="1"/>
    <col min="15" max="15" width="12.875" bestFit="1" customWidth="1"/>
    <col min="16" max="16" width="20.5" bestFit="1" customWidth="1"/>
    <col min="17" max="17" width="17.75" bestFit="1" customWidth="1"/>
    <col min="18" max="18" width="13.875" bestFit="1" customWidth="1"/>
    <col min="19" max="19" width="16.75" bestFit="1" customWidth="1"/>
    <col min="20" max="20" width="19.25" bestFit="1" customWidth="1"/>
    <col min="21" max="21" width="13.125" bestFit="1" customWidth="1"/>
    <col min="22" max="22" width="5" bestFit="1" customWidth="1"/>
    <col min="23" max="23" width="12" bestFit="1" customWidth="1"/>
    <col min="31" max="31" width="14.75" bestFit="1" customWidth="1"/>
  </cols>
  <sheetData>
    <row r="2" spans="2:31" x14ac:dyDescent="0.25">
      <c r="B2" s="1236" t="s">
        <v>695</v>
      </c>
    </row>
    <row r="3" spans="2:31" ht="16.5" thickBot="1" x14ac:dyDescent="0.3"/>
    <row r="4" spans="2:31" ht="19.5" thickTop="1" x14ac:dyDescent="0.3">
      <c r="B4" s="3599" t="s">
        <v>54</v>
      </c>
      <c r="C4" s="3600"/>
      <c r="D4" s="3600"/>
      <c r="E4" s="3600"/>
      <c r="F4" s="3600"/>
      <c r="G4" s="3600"/>
      <c r="H4" s="3600"/>
      <c r="I4" s="3600"/>
      <c r="J4" s="3600"/>
      <c r="K4" s="3600"/>
      <c r="L4" s="3600"/>
      <c r="M4" s="3600"/>
      <c r="N4" s="3600"/>
      <c r="O4" s="3600"/>
      <c r="P4" s="3600"/>
      <c r="Q4" s="3600"/>
      <c r="R4" s="3600"/>
      <c r="S4" s="3600"/>
      <c r="T4" s="3600"/>
      <c r="U4" s="3600"/>
      <c r="V4" s="3600"/>
      <c r="W4" s="3600"/>
      <c r="X4" s="3600"/>
      <c r="Y4" s="3600"/>
      <c r="Z4" s="3600"/>
      <c r="AA4" s="3600"/>
      <c r="AB4" s="3600"/>
      <c r="AC4" s="3600"/>
      <c r="AD4" s="3600"/>
      <c r="AE4" s="3601"/>
    </row>
    <row r="5" spans="2:31" x14ac:dyDescent="0.25">
      <c r="B5" s="3611" t="s">
        <v>56</v>
      </c>
      <c r="C5" s="3612"/>
      <c r="D5" s="3612"/>
      <c r="E5" s="3612"/>
      <c r="F5" s="3612"/>
      <c r="G5" s="3612"/>
      <c r="H5" s="3612"/>
      <c r="I5" s="3612"/>
      <c r="J5" s="3612"/>
      <c r="K5" s="3612"/>
      <c r="L5" s="3612"/>
      <c r="M5" s="3612"/>
      <c r="N5" s="3612"/>
      <c r="O5" s="3612"/>
      <c r="P5" s="3612"/>
      <c r="Q5" s="3612"/>
      <c r="R5" s="3612"/>
      <c r="S5" s="3612"/>
      <c r="T5" s="3612"/>
      <c r="U5" s="3612"/>
      <c r="V5" s="3612"/>
      <c r="W5" s="3612"/>
      <c r="X5" s="3612"/>
      <c r="Y5" s="3612"/>
      <c r="Z5" s="3612"/>
      <c r="AA5" s="3612"/>
      <c r="AB5" s="3612"/>
      <c r="AC5" s="3612"/>
      <c r="AD5" s="3612"/>
      <c r="AE5" s="3613"/>
    </row>
    <row r="6" spans="2:31" x14ac:dyDescent="0.25">
      <c r="B6" s="3608" t="s">
        <v>719</v>
      </c>
      <c r="C6" s="3609"/>
      <c r="D6" s="3609"/>
      <c r="E6" s="3609"/>
      <c r="F6" s="3609"/>
      <c r="G6" s="3609"/>
      <c r="H6" s="3609"/>
      <c r="I6" s="3609"/>
      <c r="J6" s="3609"/>
      <c r="K6" s="3609"/>
      <c r="L6" s="3609"/>
      <c r="M6" s="3609"/>
      <c r="N6" s="3609"/>
      <c r="O6" s="3609"/>
      <c r="P6" s="3609"/>
      <c r="Q6" s="3609"/>
      <c r="R6" s="3609"/>
      <c r="S6" s="3609"/>
      <c r="T6" s="3609"/>
      <c r="U6" s="3609"/>
      <c r="V6" s="3609"/>
      <c r="W6" s="3609"/>
      <c r="X6" s="3609"/>
      <c r="Y6" s="3609"/>
      <c r="Z6" s="3609"/>
      <c r="AA6" s="3609"/>
      <c r="AB6" s="3609"/>
      <c r="AC6" s="3609"/>
      <c r="AD6" s="3609"/>
      <c r="AE6" s="3610"/>
    </row>
    <row r="7" spans="2:31" ht="16.5" thickBot="1" x14ac:dyDescent="0.3">
      <c r="B7" s="3789" t="s">
        <v>765</v>
      </c>
      <c r="C7" s="3790"/>
      <c r="D7" s="3790"/>
      <c r="E7" s="3790"/>
      <c r="F7" s="3790"/>
      <c r="G7" s="3790"/>
      <c r="H7" s="3790"/>
      <c r="I7" s="3790"/>
      <c r="J7" s="3790"/>
      <c r="K7" s="3790"/>
      <c r="L7" s="3790"/>
      <c r="M7" s="3790"/>
      <c r="N7" s="3790"/>
      <c r="O7" s="3790"/>
      <c r="P7" s="3790"/>
      <c r="Q7" s="3790"/>
      <c r="R7" s="3790"/>
      <c r="S7" s="3790"/>
      <c r="T7" s="3790"/>
      <c r="U7" s="3790"/>
      <c r="V7" s="3790"/>
      <c r="W7" s="3790"/>
      <c r="X7" s="3790"/>
      <c r="Y7" s="3790"/>
      <c r="Z7" s="3790"/>
      <c r="AA7" s="3790"/>
      <c r="AB7" s="3790"/>
      <c r="AC7" s="3790"/>
      <c r="AD7" s="3790"/>
      <c r="AE7" s="3791"/>
    </row>
    <row r="8" spans="2:31" ht="21" thickBot="1" x14ac:dyDescent="0.3">
      <c r="B8" s="1589" t="s">
        <v>716</v>
      </c>
      <c r="C8" s="686"/>
      <c r="D8" s="1590"/>
      <c r="E8" s="1590"/>
      <c r="F8" s="1590"/>
      <c r="G8" s="1590"/>
      <c r="H8" s="1590"/>
      <c r="I8" s="1590"/>
      <c r="J8" s="1590"/>
      <c r="K8" s="1590"/>
      <c r="L8" s="1590"/>
      <c r="M8" s="1590"/>
      <c r="N8" s="1590"/>
      <c r="O8" s="1590"/>
      <c r="P8" s="1590"/>
      <c r="Q8" s="1590"/>
      <c r="R8" s="1590"/>
      <c r="S8" s="1590"/>
      <c r="T8" s="1590"/>
      <c r="U8" s="1590"/>
      <c r="V8" s="1590"/>
      <c r="W8" s="1590"/>
      <c r="X8" s="687"/>
      <c r="Y8" s="1591"/>
      <c r="Z8" s="1591"/>
      <c r="AA8" s="1591"/>
      <c r="AB8" s="824"/>
      <c r="AC8" s="825"/>
      <c r="AD8" s="826"/>
      <c r="AE8" s="829"/>
    </row>
    <row r="9" spans="2:31" ht="16.5" thickBot="1" x14ac:dyDescent="0.3">
      <c r="B9" s="685" t="str">
        <f>'Sch 1- Rate Base '!E5</f>
        <v>PacifiCorp</v>
      </c>
      <c r="C9" s="690">
        <f>'Sch 1- Rate Base '!$E$6</f>
        <v>2023</v>
      </c>
      <c r="D9" s="1592"/>
      <c r="E9" s="1592"/>
      <c r="F9" s="1592"/>
      <c r="G9" s="1592"/>
      <c r="H9" s="1592"/>
      <c r="I9" s="1592"/>
      <c r="J9" s="1592"/>
      <c r="K9" s="1592"/>
      <c r="L9" s="1592"/>
      <c r="M9" s="1592"/>
      <c r="N9" s="1592"/>
      <c r="O9" s="1592"/>
      <c r="P9" s="1592"/>
      <c r="Q9" s="1592"/>
      <c r="R9" s="1592"/>
      <c r="S9" s="1592"/>
      <c r="T9" s="1592"/>
      <c r="U9" s="1592"/>
      <c r="V9" s="1592"/>
      <c r="W9" s="1592"/>
      <c r="X9" s="687"/>
      <c r="Y9" s="1591"/>
      <c r="Z9" s="1591"/>
      <c r="AA9" s="1591"/>
      <c r="AB9" s="824"/>
      <c r="AC9" s="825"/>
      <c r="AD9" s="826"/>
      <c r="AE9" s="829"/>
    </row>
    <row r="10" spans="2:31" ht="16.5" thickBot="1" x14ac:dyDescent="0.3">
      <c r="B10" s="691"/>
      <c r="C10" s="692"/>
      <c r="D10" s="1593"/>
      <c r="E10" s="1593"/>
      <c r="F10" s="1593"/>
      <c r="G10" s="1593"/>
      <c r="H10" s="1593"/>
      <c r="I10" s="1593"/>
      <c r="J10" s="1593"/>
      <c r="K10" s="1593"/>
      <c r="L10" s="1593"/>
      <c r="M10" s="1593"/>
      <c r="N10" s="1593"/>
      <c r="O10" s="1593"/>
      <c r="P10" s="1593"/>
      <c r="Q10" s="1593"/>
      <c r="R10" s="1593"/>
      <c r="S10" s="1593"/>
      <c r="T10" s="1593"/>
      <c r="U10" s="1593"/>
      <c r="V10" s="1593"/>
      <c r="W10" s="1593"/>
      <c r="X10" s="687"/>
      <c r="Y10" s="1591"/>
      <c r="Z10" s="1591"/>
      <c r="AA10" s="1591"/>
      <c r="AB10" s="824"/>
      <c r="AC10" s="825"/>
      <c r="AD10" s="826"/>
      <c r="AE10" s="829"/>
    </row>
    <row r="11" spans="2:31" ht="20.25" thickTop="1" thickBot="1" x14ac:dyDescent="0.35">
      <c r="B11" s="1594" t="s">
        <v>766</v>
      </c>
      <c r="C11" s="1595" t="str" cm="1">
        <f t="array" ref="C11:W11">TRANSPOSE('Pg 410 - Generating Plant Stati'!B36:B56)</f>
        <v>Cedar Springs II</v>
      </c>
      <c r="D11" s="1595" t="str">
        <v>Dunlap Ranch 1</v>
      </c>
      <c r="E11" s="1595" t="str">
        <v>Ekola Flats</v>
      </c>
      <c r="F11" s="1595" t="str">
        <v>Foote Creek I</v>
      </c>
      <c r="G11" s="1595" t="str">
        <v>Foote Creek III</v>
      </c>
      <c r="H11" s="1595" t="str">
        <v>Foote Creek IV</v>
      </c>
      <c r="I11" s="1595" t="str">
        <v>Glenrock</v>
      </c>
      <c r="J11" s="1595" t="str">
        <v>Glenrock III</v>
      </c>
      <c r="K11" s="1595" t="str">
        <v>Goodnoe Hills</v>
      </c>
      <c r="L11" s="1595" t="str">
        <v>High Plains</v>
      </c>
      <c r="M11" s="1595" t="str">
        <v>Leaning Juniper 1</v>
      </c>
      <c r="N11" s="1595" t="str">
        <v>Marengo</v>
      </c>
      <c r="O11" s="1595" t="str">
        <v>Marengo II</v>
      </c>
      <c r="P11" s="1595" t="str">
        <v>McFadden Ridge I</v>
      </c>
      <c r="Q11" s="1595" t="str">
        <v>Pryor Mountain</v>
      </c>
      <c r="R11" s="1595" t="str">
        <v>Rolling Hills</v>
      </c>
      <c r="S11" s="1595" t="str">
        <v>Seven Mile Hill</v>
      </c>
      <c r="T11" s="1595" t="str">
        <v>Seven Mile Hill II</v>
      </c>
      <c r="U11" s="1595" t="str">
        <v>TB Flats</v>
      </c>
      <c r="V11" s="3495">
        <v>0</v>
      </c>
      <c r="W11" s="1595" t="str">
        <v>Black Cap</v>
      </c>
      <c r="X11" s="1595"/>
      <c r="Y11" s="1595"/>
      <c r="Z11" s="1595"/>
      <c r="AA11" s="1595"/>
      <c r="AB11" s="1595"/>
      <c r="AC11" s="1595"/>
      <c r="AD11" s="1595"/>
      <c r="AE11" s="1596" t="s">
        <v>104</v>
      </c>
    </row>
    <row r="12" spans="2:31" ht="19.5" thickTop="1" x14ac:dyDescent="0.3">
      <c r="B12" s="1597" t="s">
        <v>767</v>
      </c>
      <c r="C12" s="1598" t="str" cm="1">
        <f t="array" ref="C12:W12">TRANSPOSE('Pg 410 - Generating Plant Stati'!C36:C56)</f>
        <v>2020</v>
      </c>
      <c r="D12" s="1598" t="str">
        <v>2010</v>
      </c>
      <c r="E12" s="1598" t="str">
        <v>2020</v>
      </c>
      <c r="F12" s="1598" t="str">
        <v>1999</v>
      </c>
      <c r="G12" s="1598" t="str">
        <v>2023</v>
      </c>
      <c r="H12" s="1598" t="str">
        <v>2023</v>
      </c>
      <c r="I12" s="1598" t="str">
        <v>2008</v>
      </c>
      <c r="J12" s="1598" t="str">
        <v>2009</v>
      </c>
      <c r="K12" s="1598" t="str">
        <v>2008</v>
      </c>
      <c r="L12" s="1598" t="str">
        <v>2009</v>
      </c>
      <c r="M12" s="1598" t="str">
        <v>2006</v>
      </c>
      <c r="N12" s="1598" t="str">
        <v>2007</v>
      </c>
      <c r="O12" s="1598" t="str">
        <v>2008</v>
      </c>
      <c r="P12" s="1598" t="str">
        <v>2009</v>
      </c>
      <c r="Q12" s="1598" t="str">
        <v>2020</v>
      </c>
      <c r="R12" s="1598" t="str">
        <v>2009</v>
      </c>
      <c r="S12" s="1598" t="str">
        <v>2008</v>
      </c>
      <c r="T12" s="1598" t="str">
        <v>2008</v>
      </c>
      <c r="U12" s="1598" t="str">
        <v>2020</v>
      </c>
      <c r="V12" s="3496">
        <v>0</v>
      </c>
      <c r="W12" s="1598" t="str">
        <v>2012</v>
      </c>
      <c r="X12" s="1598"/>
      <c r="Y12" s="1598"/>
      <c r="Z12" s="1598"/>
      <c r="AA12" s="1598"/>
      <c r="AB12" s="1598"/>
      <c r="AC12" s="1598"/>
      <c r="AD12" s="1598"/>
      <c r="AE12" s="1598"/>
    </row>
    <row r="13" spans="2:31" x14ac:dyDescent="0.25">
      <c r="B13" s="708" t="s">
        <v>768</v>
      </c>
      <c r="C13" s="1599"/>
      <c r="D13" s="1600"/>
      <c r="E13" s="1600"/>
      <c r="F13" s="1600"/>
      <c r="G13" s="1600"/>
      <c r="H13" s="1600"/>
      <c r="I13" s="1600"/>
      <c r="J13" s="1600"/>
      <c r="K13" s="1600"/>
      <c r="L13" s="1600"/>
      <c r="M13" s="1600"/>
      <c r="N13" s="1600"/>
      <c r="O13" s="1600"/>
      <c r="P13" s="1600"/>
      <c r="Q13" s="1600"/>
      <c r="R13" s="1600"/>
      <c r="S13" s="1600"/>
      <c r="T13" s="1600"/>
      <c r="U13" s="1600"/>
      <c r="V13" s="3497"/>
      <c r="W13" s="1600"/>
      <c r="X13" s="1600"/>
      <c r="Y13" s="1600"/>
      <c r="Z13" s="1600"/>
      <c r="AA13" s="1600"/>
      <c r="AB13" s="1601"/>
      <c r="AC13" s="1601"/>
      <c r="AD13" s="1600"/>
      <c r="AE13" s="1600"/>
    </row>
    <row r="14" spans="2:31" x14ac:dyDescent="0.25">
      <c r="B14" s="708" t="s">
        <v>769</v>
      </c>
      <c r="C14" s="1602"/>
      <c r="D14" s="709"/>
      <c r="E14" s="709"/>
      <c r="F14" s="709"/>
      <c r="G14" s="709"/>
      <c r="H14" s="709"/>
      <c r="I14" s="709"/>
      <c r="J14" s="709"/>
      <c r="K14" s="709"/>
      <c r="L14" s="709"/>
      <c r="M14" s="709"/>
      <c r="N14" s="709"/>
      <c r="O14" s="709"/>
      <c r="P14" s="709"/>
      <c r="Q14" s="709"/>
      <c r="R14" s="709"/>
      <c r="S14" s="709"/>
      <c r="T14" s="709"/>
      <c r="U14" s="709"/>
      <c r="V14" s="3498"/>
      <c r="W14" s="709"/>
      <c r="X14" s="709"/>
      <c r="Y14" s="709"/>
      <c r="Z14" s="709"/>
      <c r="AA14" s="709"/>
      <c r="AB14" s="709"/>
      <c r="AC14" s="709"/>
      <c r="AD14" s="709"/>
      <c r="AE14" s="709"/>
    </row>
    <row r="15" spans="2:31" x14ac:dyDescent="0.25">
      <c r="B15" s="708" t="s">
        <v>770</v>
      </c>
      <c r="C15" s="1603"/>
      <c r="D15" s="709"/>
      <c r="E15" s="709"/>
      <c r="F15" s="709"/>
      <c r="G15" s="709"/>
      <c r="H15" s="709"/>
      <c r="I15" s="709"/>
      <c r="J15" s="709"/>
      <c r="K15" s="709"/>
      <c r="L15" s="709"/>
      <c r="M15" s="709"/>
      <c r="N15" s="709"/>
      <c r="O15" s="709"/>
      <c r="P15" s="709"/>
      <c r="Q15" s="709"/>
      <c r="R15" s="709"/>
      <c r="S15" s="709"/>
      <c r="T15" s="709"/>
      <c r="U15" s="709"/>
      <c r="V15" s="3498"/>
      <c r="W15" s="709"/>
      <c r="X15" s="709"/>
      <c r="Y15" s="709"/>
      <c r="Z15" s="709"/>
      <c r="AA15" s="709"/>
      <c r="AB15" s="709"/>
      <c r="AC15" s="709"/>
      <c r="AD15" s="709"/>
      <c r="AE15" s="709"/>
    </row>
    <row r="16" spans="2:31" x14ac:dyDescent="0.25">
      <c r="B16" s="708" t="s">
        <v>771</v>
      </c>
      <c r="C16" s="1603"/>
      <c r="D16" s="714"/>
      <c r="E16" s="714"/>
      <c r="F16" s="714"/>
      <c r="G16" s="714"/>
      <c r="H16" s="714"/>
      <c r="I16" s="714"/>
      <c r="J16" s="714"/>
      <c r="K16" s="714"/>
      <c r="L16" s="714"/>
      <c r="M16" s="714"/>
      <c r="N16" s="714"/>
      <c r="O16" s="714"/>
      <c r="P16" s="714"/>
      <c r="Q16" s="714"/>
      <c r="R16" s="714"/>
      <c r="S16" s="714"/>
      <c r="T16" s="714"/>
      <c r="U16" s="714"/>
      <c r="V16" s="3499"/>
      <c r="W16" s="714"/>
      <c r="X16" s="714"/>
      <c r="Y16" s="714"/>
      <c r="Z16" s="714"/>
      <c r="AA16" s="714"/>
      <c r="AB16" s="714"/>
      <c r="AC16" s="714"/>
      <c r="AD16" s="714"/>
      <c r="AE16" s="714"/>
    </row>
    <row r="17" spans="2:31" x14ac:dyDescent="0.25">
      <c r="B17" s="708" t="s">
        <v>772</v>
      </c>
      <c r="C17" s="3489" cm="1">
        <f t="array" ref="C17:W17">TRANSPOSE('Pg 410 - Generating Plant Stati'!D36:D56)</f>
        <v>198.88</v>
      </c>
      <c r="D17" s="3489">
        <v>136.9</v>
      </c>
      <c r="E17" s="3489">
        <v>250.9</v>
      </c>
      <c r="F17" s="3489">
        <v>48</v>
      </c>
      <c r="G17" s="3489">
        <v>25.2</v>
      </c>
      <c r="H17" s="3489">
        <v>21</v>
      </c>
      <c r="I17" s="3489">
        <v>119.3</v>
      </c>
      <c r="J17" s="3489">
        <v>46</v>
      </c>
      <c r="K17" s="3489">
        <v>103.4</v>
      </c>
      <c r="L17" s="3489">
        <v>122.1</v>
      </c>
      <c r="M17" s="3489">
        <v>110.38</v>
      </c>
      <c r="N17" s="3489">
        <v>156</v>
      </c>
      <c r="O17" s="3489">
        <v>78</v>
      </c>
      <c r="P17" s="3489">
        <v>35.15</v>
      </c>
      <c r="Q17" s="3489">
        <v>239.8</v>
      </c>
      <c r="R17" s="3489">
        <v>115.8</v>
      </c>
      <c r="S17" s="3489">
        <v>122.1</v>
      </c>
      <c r="T17" s="3489">
        <v>24.05</v>
      </c>
      <c r="U17" s="3489">
        <v>503.2</v>
      </c>
      <c r="V17" s="3500">
        <v>0</v>
      </c>
      <c r="W17" s="3489">
        <v>2</v>
      </c>
      <c r="X17" s="719"/>
      <c r="Y17" s="719"/>
      <c r="Z17" s="719"/>
      <c r="AA17" s="719"/>
      <c r="AB17" s="719"/>
      <c r="AC17" s="719"/>
      <c r="AD17" s="719"/>
      <c r="AE17" s="3489">
        <f>SUM(C17:AD17)</f>
        <v>2458.16</v>
      </c>
    </row>
    <row r="18" spans="2:31" x14ac:dyDescent="0.25">
      <c r="B18" s="708" t="s">
        <v>773</v>
      </c>
      <c r="C18" s="3490" cm="1">
        <f t="array" ref="C18:W18">TRANSPOSE('Pg 410 - Generating Plant Stati'!E36:E56)</f>
        <v>244</v>
      </c>
      <c r="D18" s="3490">
        <v>111</v>
      </c>
      <c r="E18" s="3490">
        <v>189</v>
      </c>
      <c r="F18" s="3490">
        <v>42</v>
      </c>
      <c r="G18" s="3490">
        <v>25</v>
      </c>
      <c r="H18" s="3490">
        <v>18</v>
      </c>
      <c r="I18" s="3490">
        <v>105</v>
      </c>
      <c r="J18" s="3490">
        <v>44</v>
      </c>
      <c r="K18" s="3490">
        <v>94</v>
      </c>
      <c r="L18" s="3490">
        <v>102</v>
      </c>
      <c r="M18" s="3490">
        <v>102</v>
      </c>
      <c r="N18" s="3490">
        <v>154</v>
      </c>
      <c r="O18" s="3490">
        <v>77</v>
      </c>
      <c r="P18" s="3490">
        <v>33</v>
      </c>
      <c r="Q18" s="3490">
        <v>186</v>
      </c>
      <c r="R18" s="3490">
        <v>106</v>
      </c>
      <c r="S18" s="3490">
        <v>108</v>
      </c>
      <c r="T18" s="3490">
        <v>23</v>
      </c>
      <c r="U18" s="3490">
        <v>474</v>
      </c>
      <c r="V18" s="3501">
        <v>0</v>
      </c>
      <c r="W18" s="3490">
        <v>1.9</v>
      </c>
      <c r="X18" s="724"/>
      <c r="Y18" s="724"/>
      <c r="Z18" s="724"/>
      <c r="AA18" s="724"/>
      <c r="AB18" s="724"/>
      <c r="AC18" s="723"/>
      <c r="AD18" s="724"/>
      <c r="AE18" s="3490"/>
    </row>
    <row r="19" spans="2:31" x14ac:dyDescent="0.25">
      <c r="B19" s="708" t="s">
        <v>774</v>
      </c>
      <c r="C19" s="1605"/>
      <c r="D19" s="745"/>
      <c r="E19" s="745"/>
      <c r="F19" s="745"/>
      <c r="G19" s="745"/>
      <c r="H19" s="745"/>
      <c r="I19" s="745"/>
      <c r="J19" s="745"/>
      <c r="K19" s="745"/>
      <c r="L19" s="745"/>
      <c r="M19" s="745"/>
      <c r="N19" s="745"/>
      <c r="O19" s="745"/>
      <c r="P19" s="745"/>
      <c r="Q19" s="745"/>
      <c r="R19" s="745"/>
      <c r="S19" s="745"/>
      <c r="T19" s="745"/>
      <c r="U19" s="745"/>
      <c r="V19" s="3502"/>
      <c r="W19" s="745"/>
      <c r="X19" s="745"/>
      <c r="Y19" s="745"/>
      <c r="Z19" s="745"/>
      <c r="AA19" s="745"/>
      <c r="AB19" s="745"/>
      <c r="AC19" s="745"/>
      <c r="AD19" s="745"/>
      <c r="AE19" s="745"/>
    </row>
    <row r="20" spans="2:31" x14ac:dyDescent="0.25">
      <c r="B20" s="708" t="s">
        <v>775</v>
      </c>
      <c r="C20" s="1606"/>
      <c r="D20" s="727"/>
      <c r="E20" s="727"/>
      <c r="F20" s="727"/>
      <c r="G20" s="727"/>
      <c r="H20" s="727"/>
      <c r="I20" s="727"/>
      <c r="J20" s="727"/>
      <c r="K20" s="727"/>
      <c r="L20" s="727"/>
      <c r="M20" s="727"/>
      <c r="N20" s="727"/>
      <c r="O20" s="727"/>
      <c r="P20" s="727"/>
      <c r="Q20" s="727"/>
      <c r="R20" s="727"/>
      <c r="S20" s="727"/>
      <c r="T20" s="727"/>
      <c r="U20" s="727"/>
      <c r="V20" s="3503"/>
      <c r="W20" s="727"/>
      <c r="X20" s="727"/>
      <c r="Y20" s="727"/>
      <c r="Z20" s="727"/>
      <c r="AA20" s="727"/>
      <c r="AB20" s="714"/>
      <c r="AC20" s="714"/>
      <c r="AD20" s="727"/>
      <c r="AE20" s="727"/>
    </row>
    <row r="21" spans="2:31" x14ac:dyDescent="0.25">
      <c r="B21" s="708" t="s">
        <v>776</v>
      </c>
      <c r="C21" s="1605"/>
      <c r="D21" s="714"/>
      <c r="E21" s="714"/>
      <c r="F21" s="714"/>
      <c r="G21" s="714"/>
      <c r="H21" s="714"/>
      <c r="I21" s="714"/>
      <c r="J21" s="714"/>
      <c r="K21" s="714"/>
      <c r="L21" s="714"/>
      <c r="M21" s="714"/>
      <c r="N21" s="714"/>
      <c r="O21" s="714"/>
      <c r="P21" s="714"/>
      <c r="Q21" s="714"/>
      <c r="R21" s="714"/>
      <c r="S21" s="714"/>
      <c r="T21" s="714"/>
      <c r="U21" s="714"/>
      <c r="V21" s="3499"/>
      <c r="W21" s="714"/>
      <c r="X21" s="714"/>
      <c r="Y21" s="714"/>
      <c r="Z21" s="714"/>
      <c r="AA21" s="714"/>
      <c r="AB21" s="714"/>
      <c r="AC21" s="714"/>
      <c r="AD21" s="714"/>
      <c r="AE21" s="714"/>
    </row>
    <row r="22" spans="2:31" x14ac:dyDescent="0.25">
      <c r="B22" s="708" t="s">
        <v>777</v>
      </c>
      <c r="C22" s="3491" cm="1">
        <f t="array" ref="C22:W22">TRANSPOSE('Pg 410 - Generating Plant Stati'!F36:F56)</f>
        <v>580916000</v>
      </c>
      <c r="D22" s="3491">
        <v>432029000</v>
      </c>
      <c r="E22" s="3491">
        <v>753554000</v>
      </c>
      <c r="F22" s="3491">
        <v>215530000</v>
      </c>
      <c r="G22" s="3491">
        <v>14560139</v>
      </c>
      <c r="H22" s="3491">
        <v>11625078</v>
      </c>
      <c r="I22" s="3491">
        <v>229375000</v>
      </c>
      <c r="J22" s="3491">
        <v>84690000</v>
      </c>
      <c r="K22" s="3491">
        <v>223909000</v>
      </c>
      <c r="L22" s="3491">
        <v>342139000</v>
      </c>
      <c r="M22" s="3491">
        <v>254658000</v>
      </c>
      <c r="N22" s="3491">
        <v>369925000</v>
      </c>
      <c r="O22" s="3491">
        <v>190643000</v>
      </c>
      <c r="P22" s="3491">
        <v>104346000</v>
      </c>
      <c r="Q22" s="3491">
        <v>723768000</v>
      </c>
      <c r="R22" s="3491">
        <v>187786000</v>
      </c>
      <c r="S22" s="3491">
        <v>381599000</v>
      </c>
      <c r="T22" s="3491">
        <v>81561000</v>
      </c>
      <c r="U22" s="3491">
        <v>1316768000</v>
      </c>
      <c r="V22" s="3504">
        <v>0</v>
      </c>
      <c r="W22" s="3491">
        <v>3812089</v>
      </c>
      <c r="X22" s="714"/>
      <c r="Y22" s="714"/>
      <c r="Z22" s="714"/>
      <c r="AA22" s="714"/>
      <c r="AB22" s="714"/>
      <c r="AC22" s="714"/>
      <c r="AD22" s="714"/>
      <c r="AE22" s="3491">
        <f>SUM(C22:AD22)</f>
        <v>6503193306</v>
      </c>
    </row>
    <row r="23" spans="2:31" x14ac:dyDescent="0.25">
      <c r="B23" s="708"/>
      <c r="C23" s="714"/>
      <c r="D23" s="714"/>
      <c r="E23" s="714"/>
      <c r="F23" s="714"/>
      <c r="G23" s="714"/>
      <c r="H23" s="714"/>
      <c r="I23" s="714"/>
      <c r="J23" s="714"/>
      <c r="K23" s="714"/>
      <c r="L23" s="714"/>
      <c r="M23" s="714"/>
      <c r="N23" s="714"/>
      <c r="O23" s="714"/>
      <c r="P23" s="714"/>
      <c r="Q23" s="714"/>
      <c r="R23" s="714"/>
      <c r="S23" s="714"/>
      <c r="T23" s="714"/>
      <c r="U23" s="714"/>
      <c r="V23" s="3499"/>
      <c r="W23" s="714"/>
      <c r="X23" s="714"/>
      <c r="Y23" s="714"/>
      <c r="Z23" s="714"/>
      <c r="AA23" s="714"/>
      <c r="AB23" s="714"/>
      <c r="AC23" s="714"/>
      <c r="AD23" s="714"/>
      <c r="AE23" s="714"/>
    </row>
    <row r="24" spans="2:31" x14ac:dyDescent="0.25">
      <c r="B24" s="708" t="s">
        <v>778</v>
      </c>
      <c r="C24" s="745"/>
      <c r="D24" s="745"/>
      <c r="E24" s="745"/>
      <c r="F24" s="745"/>
      <c r="G24" s="745"/>
      <c r="H24" s="745"/>
      <c r="I24" s="745"/>
      <c r="J24" s="745"/>
      <c r="K24" s="745"/>
      <c r="L24" s="745"/>
      <c r="M24" s="745"/>
      <c r="N24" s="745"/>
      <c r="O24" s="745"/>
      <c r="P24" s="745"/>
      <c r="Q24" s="745"/>
      <c r="R24" s="745"/>
      <c r="S24" s="745"/>
      <c r="T24" s="745"/>
      <c r="U24" s="745"/>
      <c r="V24" s="3502"/>
      <c r="W24" s="745"/>
      <c r="X24" s="745"/>
      <c r="Y24" s="745"/>
      <c r="Z24" s="745"/>
      <c r="AA24" s="745"/>
      <c r="AB24" s="745"/>
      <c r="AC24" s="745"/>
      <c r="AD24" s="745"/>
      <c r="AE24" s="745">
        <f>SUM(C24:AD24)</f>
        <v>0</v>
      </c>
    </row>
    <row r="25" spans="2:31" x14ac:dyDescent="0.25">
      <c r="B25" s="729" t="s">
        <v>126</v>
      </c>
      <c r="C25" s="1607"/>
      <c r="D25" s="1608"/>
      <c r="E25" s="1608"/>
      <c r="F25" s="1608"/>
      <c r="G25" s="1608"/>
      <c r="H25" s="1608"/>
      <c r="I25" s="1608"/>
      <c r="J25" s="1608"/>
      <c r="K25" s="1608"/>
      <c r="L25" s="1608"/>
      <c r="M25" s="1608"/>
      <c r="N25" s="1608"/>
      <c r="O25" s="1608"/>
      <c r="P25" s="1608"/>
      <c r="Q25" s="1608"/>
      <c r="R25" s="1608"/>
      <c r="S25" s="1608"/>
      <c r="T25" s="1608"/>
      <c r="U25" s="1608"/>
      <c r="V25" s="3505"/>
      <c r="W25" s="1608"/>
      <c r="X25" s="1608"/>
      <c r="Y25" s="1608"/>
      <c r="Z25" s="1608"/>
      <c r="AA25" s="1608"/>
      <c r="AB25" s="1608"/>
      <c r="AC25" s="1608"/>
      <c r="AD25" s="1608"/>
      <c r="AE25" s="1608">
        <f t="shared" ref="AE25:AE41" si="0">SUM(C25:AD25)</f>
        <v>0</v>
      </c>
    </row>
    <row r="26" spans="2:31" x14ac:dyDescent="0.25">
      <c r="B26" s="708" t="s">
        <v>779</v>
      </c>
      <c r="C26" s="1609"/>
      <c r="D26" s="745"/>
      <c r="E26" s="745"/>
      <c r="F26" s="745"/>
      <c r="G26" s="745"/>
      <c r="H26" s="745"/>
      <c r="I26" s="745"/>
      <c r="J26" s="745"/>
      <c r="K26" s="745"/>
      <c r="L26" s="745"/>
      <c r="M26" s="745"/>
      <c r="N26" s="745"/>
      <c r="O26" s="745"/>
      <c r="P26" s="745"/>
      <c r="Q26" s="745"/>
      <c r="R26" s="745"/>
      <c r="S26" s="745"/>
      <c r="T26" s="745"/>
      <c r="U26" s="745"/>
      <c r="V26" s="3502"/>
      <c r="W26" s="745"/>
      <c r="X26" s="745"/>
      <c r="Y26" s="745"/>
      <c r="Z26" s="745"/>
      <c r="AA26" s="745"/>
      <c r="AB26" s="745"/>
      <c r="AC26" s="745"/>
      <c r="AD26" s="745"/>
      <c r="AE26" s="745">
        <f t="shared" si="0"/>
        <v>0</v>
      </c>
    </row>
    <row r="27" spans="2:31" x14ac:dyDescent="0.25">
      <c r="B27" s="708" t="s">
        <v>780</v>
      </c>
      <c r="C27" s="714"/>
      <c r="D27" s="714"/>
      <c r="E27" s="714"/>
      <c r="F27" s="714"/>
      <c r="G27" s="714"/>
      <c r="H27" s="714"/>
      <c r="I27" s="714"/>
      <c r="J27" s="714"/>
      <c r="K27" s="714"/>
      <c r="L27" s="714"/>
      <c r="M27" s="714"/>
      <c r="N27" s="714"/>
      <c r="O27" s="714"/>
      <c r="P27" s="714"/>
      <c r="Q27" s="714"/>
      <c r="R27" s="714"/>
      <c r="S27" s="714"/>
      <c r="T27" s="714"/>
      <c r="U27" s="714"/>
      <c r="V27" s="3499"/>
      <c r="W27" s="714"/>
      <c r="X27" s="714"/>
      <c r="Y27" s="714"/>
      <c r="Z27" s="714"/>
      <c r="AA27" s="714"/>
      <c r="AB27" s="714"/>
      <c r="AC27" s="714"/>
      <c r="AD27" s="714"/>
      <c r="AE27" s="714">
        <f t="shared" si="0"/>
        <v>0</v>
      </c>
    </row>
    <row r="28" spans="2:31" x14ac:dyDescent="0.25">
      <c r="B28" s="729" t="s">
        <v>781</v>
      </c>
      <c r="C28" s="3492" cm="1">
        <f t="array" ref="C28:W28">TRANSPOSE('Pg 410 - Generating Plant Stati'!G36:G56)</f>
        <v>255938718</v>
      </c>
      <c r="D28" s="3492">
        <v>218641544</v>
      </c>
      <c r="E28" s="3492">
        <v>319255325</v>
      </c>
      <c r="F28" s="3492">
        <v>82422588</v>
      </c>
      <c r="G28" s="3492">
        <v>41808323</v>
      </c>
      <c r="H28" s="3492">
        <v>33992214</v>
      </c>
      <c r="I28" s="3492">
        <v>193150606</v>
      </c>
      <c r="J28" s="3492">
        <v>81577963</v>
      </c>
      <c r="K28" s="3492">
        <v>155700092</v>
      </c>
      <c r="L28" s="3492">
        <v>190502873</v>
      </c>
      <c r="M28" s="3492">
        <v>177876957</v>
      </c>
      <c r="N28" s="3492">
        <v>213550991</v>
      </c>
      <c r="O28" s="3492">
        <v>111016021</v>
      </c>
      <c r="P28" s="3492">
        <v>52781371</v>
      </c>
      <c r="Q28" s="3492">
        <v>399514684</v>
      </c>
      <c r="R28" s="3492">
        <v>197323037</v>
      </c>
      <c r="S28" s="3492">
        <v>188743730</v>
      </c>
      <c r="T28" s="3492">
        <v>38548110</v>
      </c>
      <c r="U28" s="3492">
        <v>598264668</v>
      </c>
      <c r="V28" s="3499">
        <v>0</v>
      </c>
      <c r="W28" s="3492">
        <v>578966</v>
      </c>
      <c r="X28" s="714"/>
      <c r="Y28" s="714"/>
      <c r="Z28" s="714"/>
      <c r="AA28" s="714"/>
      <c r="AB28" s="714"/>
      <c r="AC28" s="714"/>
      <c r="AD28" s="714"/>
      <c r="AE28" s="3492">
        <f t="shared" si="0"/>
        <v>3551188781</v>
      </c>
    </row>
    <row r="29" spans="2:31" x14ac:dyDescent="0.25">
      <c r="B29" s="729" t="s">
        <v>782</v>
      </c>
      <c r="C29" s="3493">
        <f>C28/(C17*1000)</f>
        <v>1286.9002312952534</v>
      </c>
      <c r="D29" s="3493">
        <f t="shared" ref="D29:W29" si="1">D28/(D17*1000)</f>
        <v>1597.0894375456537</v>
      </c>
      <c r="E29" s="3493">
        <f t="shared" si="1"/>
        <v>1272.4405141490633</v>
      </c>
      <c r="F29" s="3493">
        <f t="shared" si="1"/>
        <v>1717.13725</v>
      </c>
      <c r="G29" s="3493">
        <f t="shared" si="1"/>
        <v>1659.0604365079364</v>
      </c>
      <c r="H29" s="3493">
        <f t="shared" si="1"/>
        <v>1618.6768571428572</v>
      </c>
      <c r="I29" s="3493">
        <f t="shared" si="1"/>
        <v>1619.0327409891031</v>
      </c>
      <c r="J29" s="3493">
        <f t="shared" si="1"/>
        <v>1773.4339782608695</v>
      </c>
      <c r="K29" s="3493">
        <f t="shared" si="1"/>
        <v>1505.8035976789167</v>
      </c>
      <c r="L29" s="3493">
        <f t="shared" si="1"/>
        <v>1560.22009009009</v>
      </c>
      <c r="M29" s="3493">
        <f t="shared" si="1"/>
        <v>1611.4962583801414</v>
      </c>
      <c r="N29" s="3493">
        <f t="shared" si="1"/>
        <v>1368.916608974359</v>
      </c>
      <c r="O29" s="3493">
        <f t="shared" si="1"/>
        <v>1423.2823205128204</v>
      </c>
      <c r="P29" s="3493">
        <f t="shared" si="1"/>
        <v>1501.6037268847795</v>
      </c>
      <c r="Q29" s="3493">
        <f t="shared" si="1"/>
        <v>1666.0328773978315</v>
      </c>
      <c r="R29" s="3493">
        <f t="shared" si="1"/>
        <v>1703.9985924006908</v>
      </c>
      <c r="S29" s="3493">
        <f t="shared" si="1"/>
        <v>1545.8126945126944</v>
      </c>
      <c r="T29" s="3493">
        <f t="shared" si="1"/>
        <v>1602.8320166320166</v>
      </c>
      <c r="U29" s="3493">
        <f t="shared" si="1"/>
        <v>1188.9202464228936</v>
      </c>
      <c r="V29" s="3506"/>
      <c r="W29" s="3493">
        <f t="shared" si="1"/>
        <v>289.483</v>
      </c>
      <c r="X29" s="714"/>
      <c r="Y29" s="714"/>
      <c r="Z29" s="714"/>
      <c r="AA29" s="714"/>
      <c r="AB29" s="714"/>
      <c r="AC29" s="714"/>
      <c r="AD29" s="714"/>
      <c r="AE29" s="3492">
        <f>AE28/AE17</f>
        <v>1444653.22883783</v>
      </c>
    </row>
    <row r="30" spans="2:31" x14ac:dyDescent="0.25">
      <c r="B30" s="729"/>
      <c r="C30" s="714"/>
      <c r="D30" s="714"/>
      <c r="E30" s="714"/>
      <c r="F30" s="714"/>
      <c r="G30" s="714"/>
      <c r="H30" s="714"/>
      <c r="I30" s="714"/>
      <c r="J30" s="714"/>
      <c r="K30" s="714"/>
      <c r="L30" s="714"/>
      <c r="M30" s="714"/>
      <c r="N30" s="714"/>
      <c r="O30" s="714"/>
      <c r="P30" s="714"/>
      <c r="Q30" s="714"/>
      <c r="R30" s="714"/>
      <c r="S30" s="714"/>
      <c r="T30" s="714"/>
      <c r="U30" s="714"/>
      <c r="V30" s="3499"/>
      <c r="W30" s="714"/>
      <c r="X30" s="714"/>
      <c r="Y30" s="714"/>
      <c r="Z30" s="714"/>
      <c r="AA30" s="714"/>
      <c r="AB30" s="714"/>
      <c r="AC30" s="714"/>
      <c r="AD30" s="714"/>
      <c r="AE30" s="714"/>
    </row>
    <row r="31" spans="2:31" x14ac:dyDescent="0.25">
      <c r="B31" s="729" t="s">
        <v>801</v>
      </c>
      <c r="C31" s="714">
        <f>-($C$9-C$12)/30*C28</f>
        <v>-25593871.800000001</v>
      </c>
      <c r="D31" s="714">
        <f t="shared" ref="D31:W31" si="2">-($C$9-D$12)/30*D28</f>
        <v>-94744669.066666663</v>
      </c>
      <c r="E31" s="714">
        <f t="shared" si="2"/>
        <v>-31925532.5</v>
      </c>
      <c r="F31" s="714">
        <f t="shared" si="2"/>
        <v>-65938070.400000006</v>
      </c>
      <c r="G31" s="714">
        <f t="shared" si="2"/>
        <v>0</v>
      </c>
      <c r="H31" s="714">
        <f t="shared" si="2"/>
        <v>0</v>
      </c>
      <c r="I31" s="714">
        <f t="shared" si="2"/>
        <v>-96575303</v>
      </c>
      <c r="J31" s="714">
        <f t="shared" si="2"/>
        <v>-38069716.06666667</v>
      </c>
      <c r="K31" s="714">
        <f t="shared" si="2"/>
        <v>-77850046</v>
      </c>
      <c r="L31" s="714">
        <f t="shared" si="2"/>
        <v>-88901340.733333334</v>
      </c>
      <c r="M31" s="714">
        <f t="shared" si="2"/>
        <v>-100796942.3</v>
      </c>
      <c r="N31" s="714">
        <f t="shared" si="2"/>
        <v>-113893861.86666666</v>
      </c>
      <c r="O31" s="714">
        <f t="shared" si="2"/>
        <v>-55508010.5</v>
      </c>
      <c r="P31" s="714">
        <f t="shared" si="2"/>
        <v>-24631306.466666669</v>
      </c>
      <c r="Q31" s="714">
        <f t="shared" si="2"/>
        <v>-39951468.399999999</v>
      </c>
      <c r="R31" s="714">
        <f t="shared" si="2"/>
        <v>-92084083.933333337</v>
      </c>
      <c r="S31" s="714">
        <f t="shared" si="2"/>
        <v>-94371865</v>
      </c>
      <c r="T31" s="714">
        <f t="shared" si="2"/>
        <v>-19274055</v>
      </c>
      <c r="U31" s="714">
        <f t="shared" si="2"/>
        <v>-59826466.800000004</v>
      </c>
      <c r="V31" s="3499"/>
      <c r="W31" s="714">
        <f t="shared" si="2"/>
        <v>-212287.53333333333</v>
      </c>
      <c r="X31" s="714"/>
      <c r="Y31" s="714"/>
      <c r="Z31" s="714"/>
      <c r="AA31" s="714"/>
      <c r="AB31" s="714"/>
      <c r="AC31" s="714"/>
      <c r="AD31" s="714"/>
      <c r="AE31" s="714">
        <f t="shared" si="0"/>
        <v>-1120148897.3666666</v>
      </c>
    </row>
    <row r="32" spans="2:31" x14ac:dyDescent="0.25">
      <c r="B32" s="729" t="s">
        <v>403</v>
      </c>
      <c r="C32" s="714">
        <f>C28/30</f>
        <v>8531290.5999999996</v>
      </c>
      <c r="D32" s="714">
        <f t="shared" ref="D32:W32" si="3">D28/30</f>
        <v>7288051.4666666668</v>
      </c>
      <c r="E32" s="714">
        <f t="shared" si="3"/>
        <v>10641844.166666666</v>
      </c>
      <c r="F32" s="714">
        <f t="shared" si="3"/>
        <v>2747419.6</v>
      </c>
      <c r="G32" s="714">
        <f t="shared" si="3"/>
        <v>1393610.7666666666</v>
      </c>
      <c r="H32" s="714">
        <f t="shared" si="3"/>
        <v>1133073.8</v>
      </c>
      <c r="I32" s="714">
        <f t="shared" si="3"/>
        <v>6438353.5333333332</v>
      </c>
      <c r="J32" s="714">
        <f t="shared" si="3"/>
        <v>2719265.4333333331</v>
      </c>
      <c r="K32" s="714">
        <f t="shared" si="3"/>
        <v>5190003.0666666664</v>
      </c>
      <c r="L32" s="714">
        <f t="shared" si="3"/>
        <v>6350095.7666666666</v>
      </c>
      <c r="M32" s="714">
        <f t="shared" si="3"/>
        <v>5929231.9000000004</v>
      </c>
      <c r="N32" s="714">
        <f t="shared" si="3"/>
        <v>7118366.3666666662</v>
      </c>
      <c r="O32" s="714">
        <f t="shared" si="3"/>
        <v>3700534.0333333332</v>
      </c>
      <c r="P32" s="714">
        <f t="shared" si="3"/>
        <v>1759379.0333333334</v>
      </c>
      <c r="Q32" s="714">
        <f t="shared" si="3"/>
        <v>13317156.133333333</v>
      </c>
      <c r="R32" s="714">
        <f t="shared" si="3"/>
        <v>6577434.5666666664</v>
      </c>
      <c r="S32" s="714">
        <f t="shared" si="3"/>
        <v>6291457.666666667</v>
      </c>
      <c r="T32" s="714">
        <f t="shared" si="3"/>
        <v>1284937</v>
      </c>
      <c r="U32" s="714">
        <f t="shared" si="3"/>
        <v>19942155.600000001</v>
      </c>
      <c r="V32" s="3499"/>
      <c r="W32" s="714">
        <f t="shared" si="3"/>
        <v>19298.866666666665</v>
      </c>
      <c r="X32" s="714"/>
      <c r="Y32" s="714"/>
      <c r="Z32" s="714"/>
      <c r="AA32" s="714"/>
      <c r="AB32" s="714"/>
      <c r="AC32" s="714"/>
      <c r="AD32" s="714"/>
      <c r="AE32" s="714">
        <f t="shared" si="0"/>
        <v>118372959.36666666</v>
      </c>
    </row>
    <row r="33" spans="1:31" x14ac:dyDescent="0.25">
      <c r="B33" s="729"/>
      <c r="C33" s="714"/>
      <c r="D33" s="714"/>
      <c r="E33" s="714"/>
      <c r="F33" s="714"/>
      <c r="G33" s="714"/>
      <c r="H33" s="714"/>
      <c r="I33" s="714"/>
      <c r="J33" s="714"/>
      <c r="K33" s="714"/>
      <c r="L33" s="714"/>
      <c r="M33" s="714"/>
      <c r="N33" s="714"/>
      <c r="O33" s="714"/>
      <c r="P33" s="714"/>
      <c r="Q33" s="714"/>
      <c r="R33" s="714"/>
      <c r="S33" s="714"/>
      <c r="T33" s="714"/>
      <c r="U33" s="714"/>
      <c r="V33" s="3499"/>
      <c r="W33" s="714"/>
      <c r="X33" s="714"/>
      <c r="Y33" s="714"/>
      <c r="Z33" s="714"/>
      <c r="AA33" s="714"/>
      <c r="AB33" s="714"/>
      <c r="AC33" s="714"/>
      <c r="AD33" s="714"/>
      <c r="AE33" s="714"/>
    </row>
    <row r="34" spans="1:31" x14ac:dyDescent="0.25">
      <c r="B34" s="708" t="s">
        <v>783</v>
      </c>
      <c r="C34" s="3492" cm="1">
        <f t="array" ref="C34:W34">TRANSPOSE('Pg 410 - Generating Plant Stati'!I36:I56)</f>
        <v>1934875</v>
      </c>
      <c r="D34" s="3492">
        <v>243677</v>
      </c>
      <c r="E34" s="3492">
        <v>1402044</v>
      </c>
      <c r="F34" s="3492">
        <v>828702</v>
      </c>
      <c r="G34" s="3492">
        <v>44245</v>
      </c>
      <c r="H34" s="3492">
        <v>30032</v>
      </c>
      <c r="I34" s="3492">
        <v>1981212</v>
      </c>
      <c r="J34" s="3492">
        <v>175268</v>
      </c>
      <c r="K34" s="3492">
        <v>1569034</v>
      </c>
      <c r="L34" s="3492">
        <v>1459637</v>
      </c>
      <c r="M34" s="3492">
        <v>1948711</v>
      </c>
      <c r="N34" s="3492">
        <v>1085815</v>
      </c>
      <c r="O34" s="3492">
        <v>587375</v>
      </c>
      <c r="P34" s="3492">
        <v>418266</v>
      </c>
      <c r="Q34" s="3492">
        <v>1112265</v>
      </c>
      <c r="R34" s="3492">
        <v>139304</v>
      </c>
      <c r="S34" s="3492">
        <v>479121</v>
      </c>
      <c r="T34" s="3492">
        <v>94162</v>
      </c>
      <c r="U34" s="3492">
        <v>2942484</v>
      </c>
      <c r="V34" s="3499">
        <v>0</v>
      </c>
      <c r="W34" s="3492">
        <v>421397</v>
      </c>
      <c r="X34" s="714"/>
      <c r="Y34" s="714"/>
      <c r="Z34" s="714"/>
      <c r="AA34" s="714"/>
      <c r="AB34" s="714"/>
      <c r="AC34" s="714"/>
      <c r="AD34" s="714"/>
      <c r="AE34" s="3492">
        <f t="shared" si="0"/>
        <v>18897626</v>
      </c>
    </row>
    <row r="35" spans="1:31" x14ac:dyDescent="0.25">
      <c r="B35" s="729" t="s">
        <v>784</v>
      </c>
      <c r="C35" s="714"/>
      <c r="D35" s="714"/>
      <c r="E35" s="714"/>
      <c r="F35" s="714"/>
      <c r="G35" s="714"/>
      <c r="H35" s="714"/>
      <c r="I35" s="714"/>
      <c r="J35" s="714"/>
      <c r="K35" s="714"/>
      <c r="L35" s="714"/>
      <c r="M35" s="714"/>
      <c r="N35" s="714"/>
      <c r="O35" s="714"/>
      <c r="P35" s="714"/>
      <c r="Q35" s="714"/>
      <c r="R35" s="714"/>
      <c r="S35" s="714"/>
      <c r="T35" s="714"/>
      <c r="U35" s="714"/>
      <c r="V35" s="3499"/>
      <c r="W35" s="714"/>
      <c r="X35" s="714"/>
      <c r="Y35" s="714"/>
      <c r="Z35" s="714"/>
      <c r="AA35" s="714"/>
      <c r="AB35" s="714"/>
      <c r="AC35" s="714"/>
      <c r="AD35" s="714"/>
      <c r="AE35" s="714">
        <f t="shared" si="0"/>
        <v>0</v>
      </c>
    </row>
    <row r="36" spans="1:31" x14ac:dyDescent="0.25">
      <c r="B36" s="729" t="s">
        <v>785</v>
      </c>
      <c r="C36" s="714"/>
      <c r="D36" s="714"/>
      <c r="E36" s="714"/>
      <c r="F36" s="714"/>
      <c r="G36" s="714"/>
      <c r="H36" s="714"/>
      <c r="I36" s="714"/>
      <c r="J36" s="714"/>
      <c r="K36" s="714"/>
      <c r="L36" s="714"/>
      <c r="M36" s="714"/>
      <c r="N36" s="714"/>
      <c r="O36" s="714"/>
      <c r="P36" s="714"/>
      <c r="Q36" s="714"/>
      <c r="R36" s="714"/>
      <c r="S36" s="714"/>
      <c r="T36" s="714"/>
      <c r="U36" s="714"/>
      <c r="V36" s="3499"/>
      <c r="W36" s="714"/>
      <c r="X36" s="714"/>
      <c r="Y36" s="714"/>
      <c r="Z36" s="714"/>
      <c r="AA36" s="714"/>
      <c r="AB36" s="714"/>
      <c r="AC36" s="714"/>
      <c r="AD36" s="714"/>
      <c r="AE36" s="714">
        <f t="shared" si="0"/>
        <v>0</v>
      </c>
    </row>
    <row r="37" spans="1:31" x14ac:dyDescent="0.25">
      <c r="B37" s="729" t="s">
        <v>786</v>
      </c>
      <c r="C37" s="714"/>
      <c r="D37" s="714"/>
      <c r="E37" s="714"/>
      <c r="F37" s="714"/>
      <c r="G37" s="714"/>
      <c r="H37" s="714"/>
      <c r="I37" s="714"/>
      <c r="J37" s="714"/>
      <c r="K37" s="714"/>
      <c r="L37" s="714"/>
      <c r="M37" s="714"/>
      <c r="N37" s="714"/>
      <c r="O37" s="714"/>
      <c r="P37" s="714"/>
      <c r="Q37" s="714"/>
      <c r="R37" s="714"/>
      <c r="S37" s="714"/>
      <c r="T37" s="714"/>
      <c r="U37" s="714"/>
      <c r="V37" s="3499"/>
      <c r="W37" s="714"/>
      <c r="X37" s="714"/>
      <c r="Y37" s="714"/>
      <c r="Z37" s="714"/>
      <c r="AA37" s="714"/>
      <c r="AB37" s="714"/>
      <c r="AC37" s="714"/>
      <c r="AD37" s="714"/>
      <c r="AE37" s="714">
        <f t="shared" si="0"/>
        <v>0</v>
      </c>
    </row>
    <row r="38" spans="1:31" x14ac:dyDescent="0.25">
      <c r="B38" s="729" t="s">
        <v>787</v>
      </c>
      <c r="C38" s="714"/>
      <c r="D38" s="714"/>
      <c r="E38" s="714"/>
      <c r="F38" s="714"/>
      <c r="G38" s="714"/>
      <c r="H38" s="714"/>
      <c r="I38" s="714"/>
      <c r="J38" s="714"/>
      <c r="K38" s="714"/>
      <c r="L38" s="714"/>
      <c r="M38" s="714"/>
      <c r="N38" s="714"/>
      <c r="O38" s="714"/>
      <c r="P38" s="714"/>
      <c r="Q38" s="714"/>
      <c r="R38" s="714"/>
      <c r="S38" s="714"/>
      <c r="T38" s="714"/>
      <c r="U38" s="714"/>
      <c r="V38" s="3499"/>
      <c r="W38" s="714"/>
      <c r="X38" s="714"/>
      <c r="Y38" s="714"/>
      <c r="Z38" s="714"/>
      <c r="AA38" s="714"/>
      <c r="AB38" s="714"/>
      <c r="AC38" s="731"/>
      <c r="AD38" s="714"/>
      <c r="AE38" s="714">
        <f t="shared" si="0"/>
        <v>0</v>
      </c>
    </row>
    <row r="39" spans="1:31" x14ac:dyDescent="0.25">
      <c r="B39" s="708" t="s">
        <v>788</v>
      </c>
      <c r="C39" s="714"/>
      <c r="D39" s="714"/>
      <c r="E39" s="714"/>
      <c r="F39" s="714"/>
      <c r="G39" s="714"/>
      <c r="H39" s="714"/>
      <c r="I39" s="714"/>
      <c r="J39" s="714"/>
      <c r="K39" s="714"/>
      <c r="L39" s="714"/>
      <c r="M39" s="714"/>
      <c r="N39" s="714"/>
      <c r="O39" s="714"/>
      <c r="P39" s="714"/>
      <c r="Q39" s="714"/>
      <c r="R39" s="714"/>
      <c r="S39" s="714"/>
      <c r="T39" s="714"/>
      <c r="U39" s="714"/>
      <c r="V39" s="3499"/>
      <c r="W39" s="714"/>
      <c r="X39" s="714"/>
      <c r="Y39" s="714"/>
      <c r="Z39" s="714"/>
      <c r="AA39" s="714"/>
      <c r="AB39" s="714"/>
      <c r="AC39" s="715"/>
      <c r="AD39" s="714"/>
      <c r="AE39" s="714">
        <f t="shared" si="0"/>
        <v>0</v>
      </c>
    </row>
    <row r="40" spans="1:31" x14ac:dyDescent="0.25">
      <c r="B40" s="708" t="s">
        <v>789</v>
      </c>
      <c r="C40" s="714" cm="1">
        <f t="array" ref="C40:W40">TRANSPOSE('Pg 410 - Generating Plant Stati'!K36:K56)</f>
        <v>2219341</v>
      </c>
      <c r="D40" s="714">
        <v>1484575</v>
      </c>
      <c r="E40" s="714">
        <v>1887232</v>
      </c>
      <c r="F40" s="714">
        <v>250269</v>
      </c>
      <c r="G40" s="714">
        <v>13715</v>
      </c>
      <c r="H40" s="714">
        <v>9310</v>
      </c>
      <c r="I40" s="714">
        <v>2008781</v>
      </c>
      <c r="J40" s="714">
        <v>574594</v>
      </c>
      <c r="K40" s="714">
        <v>108817</v>
      </c>
      <c r="L40" s="714">
        <v>1435686</v>
      </c>
      <c r="M40" s="714">
        <v>133102</v>
      </c>
      <c r="N40" s="714">
        <v>1573392</v>
      </c>
      <c r="O40" s="714">
        <v>786697</v>
      </c>
      <c r="P40" s="714">
        <v>426748</v>
      </c>
      <c r="Q40" s="714">
        <v>2879362</v>
      </c>
      <c r="R40" s="714">
        <v>61506</v>
      </c>
      <c r="S40" s="714">
        <v>248196</v>
      </c>
      <c r="T40" s="714">
        <v>53299</v>
      </c>
      <c r="U40" s="714">
        <v>3898631</v>
      </c>
      <c r="V40" s="3499">
        <v>0</v>
      </c>
      <c r="W40" s="714">
        <v>0</v>
      </c>
      <c r="X40" s="714"/>
      <c r="Y40" s="714"/>
      <c r="Z40" s="714"/>
      <c r="AA40" s="714"/>
      <c r="AB40" s="714"/>
      <c r="AC40" s="715"/>
      <c r="AD40" s="714"/>
      <c r="AE40" s="714">
        <f t="shared" si="0"/>
        <v>20053253</v>
      </c>
    </row>
    <row r="41" spans="1:31" x14ac:dyDescent="0.25">
      <c r="B41" s="708" t="s">
        <v>790</v>
      </c>
      <c r="C41" s="714">
        <f>SUM(C34:C40)</f>
        <v>4154216</v>
      </c>
      <c r="D41" s="714">
        <f>SUM(D34:D40)</f>
        <v>1728252</v>
      </c>
      <c r="E41" s="714">
        <f t="shared" ref="E41:W41" si="4">SUM(E34:E40)</f>
        <v>3289276</v>
      </c>
      <c r="F41" s="714">
        <f t="shared" si="4"/>
        <v>1078971</v>
      </c>
      <c r="G41" s="714">
        <f t="shared" si="4"/>
        <v>57960</v>
      </c>
      <c r="H41" s="714">
        <f t="shared" si="4"/>
        <v>39342</v>
      </c>
      <c r="I41" s="714">
        <f t="shared" si="4"/>
        <v>3989993</v>
      </c>
      <c r="J41" s="714">
        <f t="shared" si="4"/>
        <v>749862</v>
      </c>
      <c r="K41" s="714">
        <f t="shared" si="4"/>
        <v>1677851</v>
      </c>
      <c r="L41" s="714">
        <f t="shared" si="4"/>
        <v>2895323</v>
      </c>
      <c r="M41" s="714">
        <f t="shared" si="4"/>
        <v>2081813</v>
      </c>
      <c r="N41" s="714">
        <f t="shared" si="4"/>
        <v>2659207</v>
      </c>
      <c r="O41" s="714">
        <f t="shared" si="4"/>
        <v>1374072</v>
      </c>
      <c r="P41" s="714">
        <f t="shared" si="4"/>
        <v>845014</v>
      </c>
      <c r="Q41" s="714">
        <f t="shared" si="4"/>
        <v>3991627</v>
      </c>
      <c r="R41" s="714">
        <f t="shared" si="4"/>
        <v>200810</v>
      </c>
      <c r="S41" s="714">
        <f t="shared" si="4"/>
        <v>727317</v>
      </c>
      <c r="T41" s="714">
        <f t="shared" si="4"/>
        <v>147461</v>
      </c>
      <c r="U41" s="714">
        <f t="shared" si="4"/>
        <v>6841115</v>
      </c>
      <c r="V41" s="3499"/>
      <c r="W41" s="714">
        <f t="shared" si="4"/>
        <v>421397</v>
      </c>
      <c r="X41" s="714"/>
      <c r="Y41" s="714"/>
      <c r="Z41" s="714"/>
      <c r="AA41" s="714"/>
      <c r="AB41" s="714"/>
      <c r="AC41" s="714"/>
      <c r="AD41" s="714"/>
      <c r="AE41" s="714">
        <f t="shared" si="0"/>
        <v>38950879</v>
      </c>
    </row>
    <row r="42" spans="1:31" ht="16.5" thickBot="1" x14ac:dyDescent="0.3">
      <c r="B42" s="1610" t="s">
        <v>791</v>
      </c>
      <c r="C42" s="3494">
        <f>C41/C22</f>
        <v>7.1511474980892244E-3</v>
      </c>
      <c r="D42" s="3494">
        <f t="shared" ref="D42:W42" si="5">D41/D22</f>
        <v>4.0003147936828317E-3</v>
      </c>
      <c r="E42" s="3494">
        <f t="shared" si="5"/>
        <v>4.365016972904397E-3</v>
      </c>
      <c r="F42" s="3494">
        <f t="shared" si="5"/>
        <v>5.0061290771586326E-3</v>
      </c>
      <c r="G42" s="3494">
        <f t="shared" si="5"/>
        <v>3.9807312279092942E-3</v>
      </c>
      <c r="H42" s="3494">
        <f t="shared" si="5"/>
        <v>3.3842353573885699E-3</v>
      </c>
      <c r="I42" s="3494">
        <f t="shared" si="5"/>
        <v>1.7395064850136241E-2</v>
      </c>
      <c r="J42" s="3494">
        <f t="shared" si="5"/>
        <v>8.8541976620616358E-3</v>
      </c>
      <c r="K42" s="3494">
        <f t="shared" si="5"/>
        <v>7.4934504642511024E-3</v>
      </c>
      <c r="L42" s="3494">
        <f t="shared" si="5"/>
        <v>8.4624173216148995E-3</v>
      </c>
      <c r="M42" s="3494">
        <f t="shared" si="5"/>
        <v>8.174936581611416E-3</v>
      </c>
      <c r="N42" s="3494">
        <f t="shared" si="5"/>
        <v>7.1885030749476242E-3</v>
      </c>
      <c r="O42" s="3494">
        <f t="shared" si="5"/>
        <v>7.2075659740981832E-3</v>
      </c>
      <c r="P42" s="3494">
        <f t="shared" si="5"/>
        <v>8.0981925517029877E-3</v>
      </c>
      <c r="Q42" s="3494">
        <f t="shared" si="5"/>
        <v>5.5150642194736433E-3</v>
      </c>
      <c r="R42" s="3494">
        <f t="shared" si="5"/>
        <v>1.0693555430117262E-3</v>
      </c>
      <c r="S42" s="3494">
        <f t="shared" si="5"/>
        <v>1.9059719758175468E-3</v>
      </c>
      <c r="T42" s="3494">
        <f t="shared" si="5"/>
        <v>1.8079842081386937E-3</v>
      </c>
      <c r="U42" s="3494">
        <f t="shared" si="5"/>
        <v>5.195383697052176E-3</v>
      </c>
      <c r="V42" s="3507"/>
      <c r="W42" s="3494">
        <f t="shared" si="5"/>
        <v>0.11054227747568328</v>
      </c>
      <c r="X42" s="1611"/>
      <c r="Y42" s="1611"/>
      <c r="Z42" s="1611"/>
      <c r="AA42" s="1611"/>
      <c r="AB42" s="1611"/>
      <c r="AC42" s="1611"/>
      <c r="AD42" s="1611"/>
      <c r="AE42" s="3494">
        <f>AE41/AE22</f>
        <v>5.9895004142138906E-3</v>
      </c>
    </row>
    <row r="43" spans="1:31" ht="16.5" thickTop="1" x14ac:dyDescent="0.25"/>
    <row r="44" spans="1:31" x14ac:dyDescent="0.25">
      <c r="A44" s="3508" t="s">
        <v>12529</v>
      </c>
      <c r="B44" s="3508"/>
      <c r="C44" s="3508"/>
    </row>
    <row r="45" spans="1:31" x14ac:dyDescent="0.25">
      <c r="B45" s="3508" t="s">
        <v>12530</v>
      </c>
      <c r="C45" s="3508"/>
      <c r="D45" s="3508"/>
    </row>
    <row r="46" spans="1:31" x14ac:dyDescent="0.25">
      <c r="B46" s="3508" t="s">
        <v>12531</v>
      </c>
      <c r="C46" s="3508"/>
    </row>
    <row r="48" spans="1:31" ht="16.5" thickBot="1" x14ac:dyDescent="0.3"/>
    <row r="49" spans="2:31" x14ac:dyDescent="0.25">
      <c r="B49" s="3509" t="s">
        <v>283</v>
      </c>
      <c r="C49" s="3510" t="str">
        <f t="shared" ref="C49:S49" si="6">C12</f>
        <v>2020</v>
      </c>
      <c r="D49" s="3511" t="str">
        <f t="shared" si="6"/>
        <v>2010</v>
      </c>
      <c r="E49" s="3511" t="str">
        <f t="shared" si="6"/>
        <v>2020</v>
      </c>
      <c r="F49" s="3511" t="str">
        <f t="shared" si="6"/>
        <v>1999</v>
      </c>
      <c r="G49" s="3511" t="str">
        <f t="shared" si="6"/>
        <v>2023</v>
      </c>
      <c r="H49" s="3511" t="str">
        <f t="shared" si="6"/>
        <v>2023</v>
      </c>
      <c r="I49" s="3511" t="str">
        <f t="shared" si="6"/>
        <v>2008</v>
      </c>
      <c r="J49" s="3511" t="str">
        <f t="shared" si="6"/>
        <v>2009</v>
      </c>
      <c r="K49" s="3511" t="str">
        <f t="shared" si="6"/>
        <v>2008</v>
      </c>
      <c r="L49" s="3511" t="str">
        <f t="shared" si="6"/>
        <v>2009</v>
      </c>
      <c r="M49" s="3511" t="str">
        <f t="shared" si="6"/>
        <v>2006</v>
      </c>
      <c r="N49" s="3511" t="str">
        <f t="shared" si="6"/>
        <v>2007</v>
      </c>
      <c r="O49" s="3511" t="str">
        <f t="shared" si="6"/>
        <v>2008</v>
      </c>
      <c r="P49" s="3511" t="str">
        <f t="shared" si="6"/>
        <v>2009</v>
      </c>
      <c r="Q49" s="3511" t="str">
        <f t="shared" si="6"/>
        <v>2020</v>
      </c>
      <c r="R49" s="3511" t="str">
        <f t="shared" si="6"/>
        <v>2009</v>
      </c>
      <c r="S49" s="3511" t="str">
        <f t="shared" si="6"/>
        <v>2008</v>
      </c>
      <c r="T49" s="623"/>
      <c r="U49" s="3510" t="str">
        <f>U12</f>
        <v>2020</v>
      </c>
      <c r="V49" s="3512" t="s">
        <v>5459</v>
      </c>
      <c r="W49" s="3512" t="s">
        <v>5459</v>
      </c>
      <c r="X49" s="3512" t="s">
        <v>5459</v>
      </c>
      <c r="Y49" s="3512" t="s">
        <v>5459</v>
      </c>
      <c r="Z49" s="3512" t="s">
        <v>5459</v>
      </c>
      <c r="AA49" s="3512" t="s">
        <v>5459</v>
      </c>
      <c r="AB49" s="3512" t="s">
        <v>5459</v>
      </c>
      <c r="AC49" s="3512" t="s">
        <v>5459</v>
      </c>
      <c r="AD49" s="3512" t="s">
        <v>5459</v>
      </c>
      <c r="AE49" s="3512" t="s">
        <v>5459</v>
      </c>
    </row>
    <row r="50" spans="2:31" ht="16.5" thickBot="1" x14ac:dyDescent="0.3">
      <c r="B50" s="3513" t="s">
        <v>284</v>
      </c>
      <c r="C50" s="3514" t="str">
        <f>C11</f>
        <v>Cedar Springs II</v>
      </c>
      <c r="D50" s="3515" t="s">
        <v>10434</v>
      </c>
      <c r="E50" s="3515" t="s">
        <v>2582</v>
      </c>
      <c r="F50" s="3515" t="s">
        <v>10435</v>
      </c>
      <c r="G50" s="3515" t="s">
        <v>10440</v>
      </c>
      <c r="H50" s="3515" t="s">
        <v>10442</v>
      </c>
      <c r="I50" s="3515" t="s">
        <v>10444</v>
      </c>
      <c r="J50" s="3515" t="s">
        <v>10445</v>
      </c>
      <c r="K50" s="3515" t="s">
        <v>10446</v>
      </c>
      <c r="L50" s="3515" t="s">
        <v>10448</v>
      </c>
      <c r="M50" s="3515" t="s">
        <v>10449</v>
      </c>
      <c r="N50" s="3515" t="s">
        <v>10450</v>
      </c>
      <c r="O50" s="3515" t="s">
        <v>2592</v>
      </c>
      <c r="P50" s="3515" t="s">
        <v>10451</v>
      </c>
      <c r="Q50" s="3515" t="s">
        <v>2580</v>
      </c>
      <c r="R50" s="3515" t="s">
        <v>10452</v>
      </c>
      <c r="S50" s="3515" t="s">
        <v>10453</v>
      </c>
      <c r="T50" s="623"/>
      <c r="U50" s="3514" t="s">
        <v>10454</v>
      </c>
      <c r="V50" s="3516" t="s">
        <v>5459</v>
      </c>
      <c r="W50" s="3516" t="s">
        <v>5459</v>
      </c>
      <c r="X50" s="3516" t="s">
        <v>5459</v>
      </c>
      <c r="Y50" s="3516" t="s">
        <v>5459</v>
      </c>
      <c r="Z50" s="3516" t="s">
        <v>5459</v>
      </c>
      <c r="AA50" s="3516" t="s">
        <v>5459</v>
      </c>
      <c r="AB50" s="3516" t="s">
        <v>5459</v>
      </c>
      <c r="AC50" s="3516" t="s">
        <v>5459</v>
      </c>
      <c r="AD50" s="3516" t="s">
        <v>5459</v>
      </c>
      <c r="AE50" s="3516" t="s">
        <v>104</v>
      </c>
    </row>
    <row r="51" spans="2:31" x14ac:dyDescent="0.25">
      <c r="B51" s="3517" t="s">
        <v>552</v>
      </c>
      <c r="C51" s="3518">
        <f t="shared" ref="C51:S51" si="7">C22</f>
        <v>580916000</v>
      </c>
      <c r="D51" s="3518">
        <f t="shared" si="7"/>
        <v>432029000</v>
      </c>
      <c r="E51" s="3518">
        <f t="shared" si="7"/>
        <v>753554000</v>
      </c>
      <c r="F51" s="3518">
        <f t="shared" si="7"/>
        <v>215530000</v>
      </c>
      <c r="G51" s="3518">
        <f t="shared" si="7"/>
        <v>14560139</v>
      </c>
      <c r="H51" s="3518">
        <f t="shared" si="7"/>
        <v>11625078</v>
      </c>
      <c r="I51" s="3518">
        <f t="shared" si="7"/>
        <v>229375000</v>
      </c>
      <c r="J51" s="3518">
        <f t="shared" si="7"/>
        <v>84690000</v>
      </c>
      <c r="K51" s="3518">
        <f t="shared" si="7"/>
        <v>223909000</v>
      </c>
      <c r="L51" s="3518">
        <f t="shared" si="7"/>
        <v>342139000</v>
      </c>
      <c r="M51" s="3518">
        <f t="shared" si="7"/>
        <v>254658000</v>
      </c>
      <c r="N51" s="3518">
        <f t="shared" si="7"/>
        <v>369925000</v>
      </c>
      <c r="O51" s="3518">
        <f t="shared" si="7"/>
        <v>190643000</v>
      </c>
      <c r="P51" s="3518">
        <f t="shared" si="7"/>
        <v>104346000</v>
      </c>
      <c r="Q51" s="3518">
        <f t="shared" si="7"/>
        <v>723768000</v>
      </c>
      <c r="R51" s="3518">
        <f t="shared" si="7"/>
        <v>187786000</v>
      </c>
      <c r="S51" s="3518">
        <f t="shared" si="7"/>
        <v>381599000</v>
      </c>
      <c r="U51" s="3519">
        <f>U22</f>
        <v>1316768000</v>
      </c>
      <c r="V51" s="3520" t="s">
        <v>5459</v>
      </c>
      <c r="W51" s="3520" t="s">
        <v>5459</v>
      </c>
      <c r="X51" s="3520" t="s">
        <v>5459</v>
      </c>
      <c r="Y51" s="3520" t="s">
        <v>5459</v>
      </c>
      <c r="Z51" s="3520" t="s">
        <v>5459</v>
      </c>
      <c r="AA51" s="3520" t="s">
        <v>5459</v>
      </c>
      <c r="AB51" s="3520" t="s">
        <v>5459</v>
      </c>
      <c r="AC51" s="3520" t="s">
        <v>5459</v>
      </c>
      <c r="AD51" s="3520" t="s">
        <v>5459</v>
      </c>
      <c r="AE51" s="3521">
        <f>SUM(C51:AD51)</f>
        <v>6417820217</v>
      </c>
    </row>
    <row r="52" spans="2:31" x14ac:dyDescent="0.25">
      <c r="B52" s="3522" t="s">
        <v>5459</v>
      </c>
      <c r="C52" s="3523" t="s">
        <v>5459</v>
      </c>
      <c r="D52" s="3523" t="s">
        <v>5459</v>
      </c>
      <c r="E52" s="3523" t="s">
        <v>5459</v>
      </c>
      <c r="F52" s="3523" t="s">
        <v>5459</v>
      </c>
      <c r="G52" s="3523" t="s">
        <v>5459</v>
      </c>
      <c r="H52" s="3523" t="s">
        <v>5459</v>
      </c>
      <c r="I52" s="3523" t="s">
        <v>5459</v>
      </c>
      <c r="J52" s="3523" t="s">
        <v>5459</v>
      </c>
      <c r="K52" s="3523" t="s">
        <v>5459</v>
      </c>
      <c r="L52" s="3523" t="s">
        <v>5459</v>
      </c>
      <c r="M52" s="3523" t="s">
        <v>5459</v>
      </c>
      <c r="N52" s="3523" t="s">
        <v>5459</v>
      </c>
      <c r="O52" s="3523" t="s">
        <v>5459</v>
      </c>
      <c r="P52" s="3523" t="s">
        <v>5459</v>
      </c>
      <c r="Q52" s="3523" t="s">
        <v>5459</v>
      </c>
      <c r="R52" s="3523" t="s">
        <v>5459</v>
      </c>
      <c r="S52" s="3523" t="s">
        <v>5459</v>
      </c>
      <c r="U52" s="3524" t="s">
        <v>5459</v>
      </c>
      <c r="V52" s="3523" t="s">
        <v>5459</v>
      </c>
      <c r="W52" s="3523" t="s">
        <v>5459</v>
      </c>
      <c r="X52" s="3523" t="s">
        <v>5459</v>
      </c>
      <c r="Y52" s="3523" t="s">
        <v>5459</v>
      </c>
      <c r="Z52" s="3523" t="s">
        <v>5459</v>
      </c>
      <c r="AA52" s="3523" t="s">
        <v>5459</v>
      </c>
      <c r="AB52" s="3523" t="s">
        <v>5459</v>
      </c>
      <c r="AC52" s="3523" t="s">
        <v>5459</v>
      </c>
      <c r="AD52" s="3523" t="s">
        <v>5459</v>
      </c>
      <c r="AE52" s="3523" t="s">
        <v>5459</v>
      </c>
    </row>
    <row r="53" spans="2:31" x14ac:dyDescent="0.25">
      <c r="B53" s="3522" t="s">
        <v>553</v>
      </c>
      <c r="C53" s="3525">
        <f t="shared" ref="C53:S53" si="8">C28</f>
        <v>255938718</v>
      </c>
      <c r="D53" s="3525">
        <f t="shared" si="8"/>
        <v>218641544</v>
      </c>
      <c r="E53" s="3525">
        <f t="shared" si="8"/>
        <v>319255325</v>
      </c>
      <c r="F53" s="3525">
        <f t="shared" si="8"/>
        <v>82422588</v>
      </c>
      <c r="G53" s="3525">
        <f t="shared" si="8"/>
        <v>41808323</v>
      </c>
      <c r="H53" s="3525">
        <f t="shared" si="8"/>
        <v>33992214</v>
      </c>
      <c r="I53" s="3525">
        <f t="shared" si="8"/>
        <v>193150606</v>
      </c>
      <c r="J53" s="3525">
        <f t="shared" si="8"/>
        <v>81577963</v>
      </c>
      <c r="K53" s="3525">
        <f t="shared" si="8"/>
        <v>155700092</v>
      </c>
      <c r="L53" s="3525">
        <f t="shared" si="8"/>
        <v>190502873</v>
      </c>
      <c r="M53" s="3525">
        <f t="shared" si="8"/>
        <v>177876957</v>
      </c>
      <c r="N53" s="3525">
        <f t="shared" si="8"/>
        <v>213550991</v>
      </c>
      <c r="O53" s="3525">
        <f t="shared" si="8"/>
        <v>111016021</v>
      </c>
      <c r="P53" s="3525">
        <f t="shared" si="8"/>
        <v>52781371</v>
      </c>
      <c r="Q53" s="3525">
        <f t="shared" si="8"/>
        <v>399514684</v>
      </c>
      <c r="R53" s="3525">
        <f t="shared" si="8"/>
        <v>197323037</v>
      </c>
      <c r="S53" s="3525">
        <f t="shared" si="8"/>
        <v>188743730</v>
      </c>
      <c r="U53" s="3526">
        <f>U28</f>
        <v>598264668</v>
      </c>
      <c r="V53" s="3520" t="s">
        <v>5459</v>
      </c>
      <c r="W53" s="3520" t="s">
        <v>5459</v>
      </c>
      <c r="X53" s="3520" t="s">
        <v>5459</v>
      </c>
      <c r="Y53" s="3520" t="s">
        <v>5459</v>
      </c>
      <c r="Z53" s="3520" t="s">
        <v>5459</v>
      </c>
      <c r="AA53" s="3520" t="s">
        <v>5459</v>
      </c>
      <c r="AB53" s="3520" t="s">
        <v>5459</v>
      </c>
      <c r="AC53" s="3520" t="s">
        <v>5459</v>
      </c>
      <c r="AD53" s="3520" t="s">
        <v>5459</v>
      </c>
      <c r="AE53" s="3527">
        <f>SUM(C53:AD53)</f>
        <v>3512061705</v>
      </c>
    </row>
    <row r="54" spans="2:31" x14ac:dyDescent="0.25">
      <c r="B54" s="3522" t="s">
        <v>554</v>
      </c>
      <c r="C54" s="3528">
        <f>-(2023-C49)/30*C53</f>
        <v>-25593871.800000001</v>
      </c>
      <c r="D54" s="3528">
        <f t="shared" ref="D54:U54" si="9">-(2023-D49)/30*D53</f>
        <v>-94744669.066666663</v>
      </c>
      <c r="E54" s="3528">
        <f t="shared" si="9"/>
        <v>-31925532.5</v>
      </c>
      <c r="F54" s="3528">
        <f t="shared" si="9"/>
        <v>-65938070.400000006</v>
      </c>
      <c r="G54" s="3528">
        <f t="shared" si="9"/>
        <v>0</v>
      </c>
      <c r="H54" s="3528">
        <f t="shared" si="9"/>
        <v>0</v>
      </c>
      <c r="I54" s="3528">
        <f t="shared" si="9"/>
        <v>-96575303</v>
      </c>
      <c r="J54" s="3528">
        <f t="shared" si="9"/>
        <v>-38069716.06666667</v>
      </c>
      <c r="K54" s="3528">
        <f t="shared" si="9"/>
        <v>-77850046</v>
      </c>
      <c r="L54" s="3528">
        <f t="shared" si="9"/>
        <v>-88901340.733333334</v>
      </c>
      <c r="M54" s="3528">
        <f t="shared" si="9"/>
        <v>-100796942.3</v>
      </c>
      <c r="N54" s="3528">
        <f t="shared" si="9"/>
        <v>-113893861.86666666</v>
      </c>
      <c r="O54" s="3528">
        <f t="shared" si="9"/>
        <v>-55508010.5</v>
      </c>
      <c r="P54" s="3528">
        <f t="shared" si="9"/>
        <v>-24631306.466666669</v>
      </c>
      <c r="Q54" s="3528">
        <f t="shared" si="9"/>
        <v>-39951468.399999999</v>
      </c>
      <c r="R54" s="3528">
        <f t="shared" si="9"/>
        <v>-92084083.933333337</v>
      </c>
      <c r="S54" s="3528">
        <f t="shared" si="9"/>
        <v>-94371865</v>
      </c>
      <c r="U54" s="3529">
        <f t="shared" si="9"/>
        <v>-59826466.800000004</v>
      </c>
      <c r="V54" s="3530" t="s">
        <v>5459</v>
      </c>
      <c r="W54" s="3530" t="s">
        <v>5459</v>
      </c>
      <c r="X54" s="3530" t="s">
        <v>5459</v>
      </c>
      <c r="Y54" s="3530" t="s">
        <v>5459</v>
      </c>
      <c r="Z54" s="3530" t="s">
        <v>5459</v>
      </c>
      <c r="AA54" s="3530" t="s">
        <v>5459</v>
      </c>
      <c r="AB54" s="3530" t="s">
        <v>5459</v>
      </c>
      <c r="AC54" s="3530" t="s">
        <v>5459</v>
      </c>
      <c r="AD54" s="3530" t="s">
        <v>5459</v>
      </c>
      <c r="AE54" s="3531">
        <f>SUM(C54:AD54)</f>
        <v>-1100662554.8333333</v>
      </c>
    </row>
    <row r="55" spans="2:31" x14ac:dyDescent="0.25">
      <c r="B55" s="3522" t="s">
        <v>5459</v>
      </c>
      <c r="C55" s="3532" t="s">
        <v>5459</v>
      </c>
      <c r="D55" s="3532" t="s">
        <v>5459</v>
      </c>
      <c r="E55" s="3532" t="s">
        <v>5459</v>
      </c>
      <c r="F55" s="3532" t="s">
        <v>5459</v>
      </c>
      <c r="G55" s="3532" t="s">
        <v>5459</v>
      </c>
      <c r="H55" s="3532" t="s">
        <v>5459</v>
      </c>
      <c r="I55" s="3532" t="s">
        <v>5459</v>
      </c>
      <c r="J55" s="3532" t="s">
        <v>5459</v>
      </c>
      <c r="K55" s="3532" t="s">
        <v>5459</v>
      </c>
      <c r="L55" s="3532" t="s">
        <v>5459</v>
      </c>
      <c r="M55" s="3532" t="s">
        <v>5459</v>
      </c>
      <c r="N55" s="3532" t="s">
        <v>5459</v>
      </c>
      <c r="O55" s="3532" t="s">
        <v>5459</v>
      </c>
      <c r="P55" s="3532" t="s">
        <v>5459</v>
      </c>
      <c r="Q55" s="3532" t="s">
        <v>5459</v>
      </c>
      <c r="R55" s="3532" t="s">
        <v>5459</v>
      </c>
      <c r="S55" s="3532" t="s">
        <v>5459</v>
      </c>
      <c r="U55" s="3533" t="s">
        <v>5459</v>
      </c>
      <c r="V55" s="3532" t="s">
        <v>5459</v>
      </c>
      <c r="W55" s="3532" t="s">
        <v>5459</v>
      </c>
      <c r="X55" s="3532" t="s">
        <v>5459</v>
      </c>
      <c r="Y55" s="3532" t="s">
        <v>5459</v>
      </c>
      <c r="Z55" s="3532" t="s">
        <v>5459</v>
      </c>
      <c r="AA55" s="3532" t="s">
        <v>5459</v>
      </c>
      <c r="AB55" s="3532" t="s">
        <v>5459</v>
      </c>
      <c r="AC55" s="3532" t="s">
        <v>5459</v>
      </c>
      <c r="AD55" s="3532" t="s">
        <v>5459</v>
      </c>
      <c r="AE55" s="3532" t="s">
        <v>5459</v>
      </c>
    </row>
    <row r="56" spans="2:31" x14ac:dyDescent="0.25">
      <c r="B56" s="3534" t="s">
        <v>555</v>
      </c>
      <c r="C56" s="3535">
        <f t="shared" ref="C56:S56" si="10">C53+C54</f>
        <v>230344846.19999999</v>
      </c>
      <c r="D56" s="3535">
        <f t="shared" si="10"/>
        <v>123896874.93333334</v>
      </c>
      <c r="E56" s="3535">
        <f t="shared" si="10"/>
        <v>287329792.5</v>
      </c>
      <c r="F56" s="3535">
        <f t="shared" si="10"/>
        <v>16484517.599999994</v>
      </c>
      <c r="G56" s="3535">
        <f t="shared" si="10"/>
        <v>41808323</v>
      </c>
      <c r="H56" s="3535">
        <f t="shared" si="10"/>
        <v>33992214</v>
      </c>
      <c r="I56" s="3535">
        <f t="shared" si="10"/>
        <v>96575303</v>
      </c>
      <c r="J56" s="3535">
        <f t="shared" si="10"/>
        <v>43508246.93333333</v>
      </c>
      <c r="K56" s="3535">
        <f t="shared" si="10"/>
        <v>77850046</v>
      </c>
      <c r="L56" s="3535">
        <f t="shared" si="10"/>
        <v>101601532.26666667</v>
      </c>
      <c r="M56" s="3535">
        <f t="shared" si="10"/>
        <v>77080014.700000003</v>
      </c>
      <c r="N56" s="3535">
        <f t="shared" si="10"/>
        <v>99657129.13333334</v>
      </c>
      <c r="O56" s="3535">
        <f t="shared" si="10"/>
        <v>55508010.5</v>
      </c>
      <c r="P56" s="3535">
        <f t="shared" si="10"/>
        <v>28150064.533333331</v>
      </c>
      <c r="Q56" s="3535">
        <f t="shared" si="10"/>
        <v>359563215.60000002</v>
      </c>
      <c r="R56" s="3535">
        <f t="shared" si="10"/>
        <v>105238953.06666666</v>
      </c>
      <c r="S56" s="3535">
        <f t="shared" si="10"/>
        <v>94371865</v>
      </c>
      <c r="U56" s="3536">
        <f>U53+U54</f>
        <v>538438201.20000005</v>
      </c>
      <c r="V56" s="3537" t="s">
        <v>5459</v>
      </c>
      <c r="W56" s="3537" t="s">
        <v>5459</v>
      </c>
      <c r="X56" s="3537" t="s">
        <v>5459</v>
      </c>
      <c r="Y56" s="3537" t="s">
        <v>5459</v>
      </c>
      <c r="Z56" s="3537" t="s">
        <v>5459</v>
      </c>
      <c r="AA56" s="3537" t="s">
        <v>5459</v>
      </c>
      <c r="AB56" s="3537" t="s">
        <v>5459</v>
      </c>
      <c r="AC56" s="3537" t="s">
        <v>5459</v>
      </c>
      <c r="AD56" s="3537" t="s">
        <v>5459</v>
      </c>
      <c r="AE56" s="3535">
        <f>SUM(C56:AD56)</f>
        <v>2411399150.166667</v>
      </c>
    </row>
    <row r="57" spans="2:31" x14ac:dyDescent="0.25">
      <c r="B57" s="3522" t="s">
        <v>436</v>
      </c>
      <c r="C57" s="3523" t="s">
        <v>5459</v>
      </c>
      <c r="D57" s="3523" t="s">
        <v>5459</v>
      </c>
      <c r="E57" s="3523" t="s">
        <v>5459</v>
      </c>
      <c r="F57" s="3523" t="s">
        <v>5459</v>
      </c>
      <c r="G57" s="3523" t="s">
        <v>5459</v>
      </c>
      <c r="H57" s="3523" t="s">
        <v>5459</v>
      </c>
      <c r="I57" s="3523" t="s">
        <v>5459</v>
      </c>
      <c r="J57" s="3523" t="s">
        <v>5459</v>
      </c>
      <c r="K57" s="3523" t="s">
        <v>5459</v>
      </c>
      <c r="L57" s="3523" t="s">
        <v>5459</v>
      </c>
      <c r="M57" s="3523" t="s">
        <v>5459</v>
      </c>
      <c r="N57" s="3523" t="s">
        <v>5459</v>
      </c>
      <c r="O57" s="3523" t="s">
        <v>5459</v>
      </c>
      <c r="P57" s="3523" t="s">
        <v>5459</v>
      </c>
      <c r="Q57" s="3523" t="s">
        <v>5459</v>
      </c>
      <c r="R57" s="3523" t="s">
        <v>5459</v>
      </c>
      <c r="S57" s="3523" t="s">
        <v>5459</v>
      </c>
      <c r="U57" s="3524" t="s">
        <v>5459</v>
      </c>
      <c r="V57" s="3523" t="s">
        <v>5459</v>
      </c>
      <c r="W57" s="3523" t="s">
        <v>5459</v>
      </c>
      <c r="X57" s="3523" t="s">
        <v>5459</v>
      </c>
      <c r="Y57" s="3523" t="s">
        <v>5459</v>
      </c>
      <c r="Z57" s="3523" t="s">
        <v>5459</v>
      </c>
      <c r="AA57" s="3523" t="s">
        <v>5459</v>
      </c>
      <c r="AB57" s="3523" t="s">
        <v>5459</v>
      </c>
      <c r="AC57" s="3523" t="s">
        <v>5459</v>
      </c>
      <c r="AD57" s="3523" t="s">
        <v>5459</v>
      </c>
      <c r="AE57" s="3523" t="s">
        <v>5459</v>
      </c>
    </row>
    <row r="58" spans="2:31" x14ac:dyDescent="0.25">
      <c r="B58" s="3538" t="s">
        <v>556</v>
      </c>
      <c r="C58" s="3518">
        <f>C$28/'NLSL_Base_New-Calc'!$AA$17*'NLSL_Base_New-Calc'!$AA22</f>
        <v>4171923.1137848552</v>
      </c>
      <c r="D58" s="3525">
        <f>D$28/'NLSL_Base_New-Calc'!$AA$17*'NLSL_Base_New-Calc'!$AA22</f>
        <v>3563961.397381105</v>
      </c>
      <c r="E58" s="3525">
        <f>E$28/'NLSL_Base_New-Calc'!$AA$17*'NLSL_Base_New-Calc'!$AA22</f>
        <v>5204013.9919994287</v>
      </c>
      <c r="F58" s="3525">
        <f>F$28/'NLSL_Base_New-Calc'!$AA$17*'NLSL_Base_New-Calc'!$AA22</f>
        <v>1343527.4766640281</v>
      </c>
      <c r="G58" s="3525">
        <f>G$28/'NLSL_Base_New-Calc'!$AA$17*'NLSL_Base_New-Calc'!$AA22</f>
        <v>681495.59564599756</v>
      </c>
      <c r="H58" s="3525">
        <f>H$28/'NLSL_Base_New-Calc'!$AA$17*'NLSL_Base_New-Calc'!$AA22</f>
        <v>554089.29287252726</v>
      </c>
      <c r="I58" s="3525">
        <f>I$28/'NLSL_Base_New-Calc'!$AA$17*'NLSL_Base_New-Calc'!$AA22</f>
        <v>3148446.9560129303</v>
      </c>
      <c r="J58" s="3525">
        <f>J$28/'NLSL_Base_New-Calc'!$AA$17*'NLSL_Base_New-Calc'!$AA22</f>
        <v>1329759.6865167767</v>
      </c>
      <c r="K58" s="3525">
        <f>K$28/'NLSL_Base_New-Calc'!$AA$17*'NLSL_Base_New-Calc'!$AA22</f>
        <v>2537985.7245093668</v>
      </c>
      <c r="L58" s="3525">
        <f>L$28/'NLSL_Base_New-Calc'!$AA$17*'NLSL_Base_New-Calc'!$AA22</f>
        <v>3105287.6458931114</v>
      </c>
      <c r="M58" s="3525">
        <f>M$28/'NLSL_Base_New-Calc'!$AA$17*'NLSL_Base_New-Calc'!$AA22</f>
        <v>2899479.1961019938</v>
      </c>
      <c r="N58" s="3525">
        <f>N$28/'NLSL_Base_New-Calc'!$AA$17*'NLSL_Base_New-Calc'!$AA22</f>
        <v>3480982.9567270149</v>
      </c>
      <c r="O58" s="3525">
        <f>O$28/'NLSL_Base_New-Calc'!$AA$17*'NLSL_Base_New-Calc'!$AA22</f>
        <v>1809614.0655448812</v>
      </c>
      <c r="P58" s="3525">
        <f>P$28/'NLSL_Base_New-Calc'!$AA$17*'NLSL_Base_New-Calc'!$AA22</f>
        <v>860361.50908653717</v>
      </c>
      <c r="Q58" s="3525">
        <f>Q$28/'NLSL_Base_New-Calc'!$AA$17*'NLSL_Base_New-Calc'!$AA22</f>
        <v>6512279.8047150197</v>
      </c>
      <c r="R58" s="3525">
        <f>R$28/'NLSL_Base_New-Calc'!$AA$17*'NLSL_Base_New-Calc'!$AA22</f>
        <v>3216459.5703824861</v>
      </c>
      <c r="S58" s="3525">
        <f>S$28/'NLSL_Base_New-Calc'!$AA$17*'NLSL_Base_New-Calc'!$AA22</f>
        <v>3076612.7763794144</v>
      </c>
      <c r="U58" s="3526">
        <f>U$28/'NLSL_Base_New-Calc'!$AA$17*'NLSL_Base_New-Calc'!$AA22</f>
        <v>9751999.2914476618</v>
      </c>
      <c r="V58" s="3520" t="s">
        <v>5459</v>
      </c>
      <c r="W58" s="3520" t="s">
        <v>5459</v>
      </c>
      <c r="X58" s="3520" t="s">
        <v>5459</v>
      </c>
      <c r="Y58" s="3520" t="s">
        <v>5459</v>
      </c>
      <c r="Z58" s="3520" t="s">
        <v>5459</v>
      </c>
      <c r="AA58" s="3520" t="s">
        <v>5459</v>
      </c>
      <c r="AB58" s="3520" t="s">
        <v>5459</v>
      </c>
      <c r="AC58" s="3520" t="s">
        <v>5459</v>
      </c>
      <c r="AD58" s="3520" t="s">
        <v>5459</v>
      </c>
      <c r="AE58" s="3525">
        <f>SUM(C58:AD58)</f>
        <v>57248280.051665127</v>
      </c>
    </row>
    <row r="59" spans="2:31" x14ac:dyDescent="0.25">
      <c r="B59" s="3538" t="s">
        <v>402</v>
      </c>
      <c r="C59" s="3518">
        <f>C$28/'NLSL_Base_New-Calc'!$AA$17*'NLSL_Base_New-Calc'!$AA23</f>
        <v>5732827.4338785959</v>
      </c>
      <c r="D59" s="3525">
        <f>D$28/'NLSL_Base_New-Calc'!$AA$17*'NLSL_Base_New-Calc'!$AA23</f>
        <v>4897399.8597147549</v>
      </c>
      <c r="E59" s="3525">
        <f>E$28/'NLSL_Base_New-Calc'!$AA$17*'NLSL_Base_New-Calc'!$AA23</f>
        <v>7151069.9900115421</v>
      </c>
      <c r="F59" s="3525">
        <f>F$28/'NLSL_Base_New-Calc'!$AA$17*'NLSL_Base_New-Calc'!$AA23</f>
        <v>1846201.6116595252</v>
      </c>
      <c r="G59" s="3525">
        <f>G$28/'NLSL_Base_New-Calc'!$AA$17*'NLSL_Base_New-Calc'!$AA23</f>
        <v>936473.78924066294</v>
      </c>
      <c r="H59" s="3525">
        <f>H$28/'NLSL_Base_New-Calc'!$AA$17*'NLSL_Base_New-Calc'!$AA23</f>
        <v>761399.05083634937</v>
      </c>
      <c r="I59" s="3525">
        <f>I$28/'NLSL_Base_New-Calc'!$AA$17*'NLSL_Base_New-Calc'!$AA23</f>
        <v>4326422.7530712085</v>
      </c>
      <c r="J59" s="3525">
        <f>J$28/'NLSL_Base_New-Calc'!$AA$17*'NLSL_Base_New-Calc'!$AA23</f>
        <v>1827282.6711835489</v>
      </c>
      <c r="K59" s="3525">
        <f>K$28/'NLSL_Base_New-Calc'!$AA$17*'NLSL_Base_New-Calc'!$AA23</f>
        <v>3487560.4826426506</v>
      </c>
      <c r="L59" s="3525">
        <f>L$28/'NLSL_Base_New-Calc'!$AA$17*'NLSL_Base_New-Calc'!$AA23</f>
        <v>4267115.6013491089</v>
      </c>
      <c r="M59" s="3525">
        <f>M$28/'NLSL_Base_New-Calc'!$AA$17*'NLSL_Base_New-Calc'!$AA23</f>
        <v>3984304.9418745753</v>
      </c>
      <c r="N59" s="3525">
        <f>N$28/'NLSL_Base_New-Calc'!$AA$17*'NLSL_Base_New-Calc'!$AA23</f>
        <v>4783375.4474645806</v>
      </c>
      <c r="O59" s="3525">
        <f>O$28/'NLSL_Base_New-Calc'!$AA$17*'NLSL_Base_New-Calc'!$AA23</f>
        <v>2486672.1837250204</v>
      </c>
      <c r="P59" s="3525">
        <f>P$28/'NLSL_Base_New-Calc'!$AA$17*'NLSL_Base_New-Calc'!$AA23</f>
        <v>1182261.4961544198</v>
      </c>
      <c r="Q59" s="3525">
        <f>Q$28/'NLSL_Base_New-Calc'!$AA$17*'NLSL_Base_New-Calc'!$AA23</f>
        <v>8948816.9612248261</v>
      </c>
      <c r="R59" s="3525">
        <f>R$28/'NLSL_Base_New-Calc'!$AA$17*'NLSL_Base_New-Calc'!$AA23</f>
        <v>4419881.9494354157</v>
      </c>
      <c r="S59" s="3525">
        <f>S$28/'NLSL_Base_New-Calc'!$AA$17*'NLSL_Base_New-Calc'!$AA23</f>
        <v>4227712.1717729885</v>
      </c>
      <c r="U59" s="3526">
        <f>U$28/'NLSL_Base_New-Calc'!$AA$17*'NLSL_Base_New-Calc'!$AA23</f>
        <v>13400661.409231057</v>
      </c>
      <c r="V59" s="3520" t="s">
        <v>5459</v>
      </c>
      <c r="W59" s="3520" t="s">
        <v>5459</v>
      </c>
      <c r="X59" s="3520" t="s">
        <v>5459</v>
      </c>
      <c r="Y59" s="3520" t="s">
        <v>5459</v>
      </c>
      <c r="Z59" s="3520" t="s">
        <v>5459</v>
      </c>
      <c r="AA59" s="3520" t="s">
        <v>5459</v>
      </c>
      <c r="AB59" s="3520" t="s">
        <v>5459</v>
      </c>
      <c r="AC59" s="3520" t="s">
        <v>5459</v>
      </c>
      <c r="AD59" s="3520" t="s">
        <v>5459</v>
      </c>
      <c r="AE59" s="3525">
        <f>SUM(C59:AD59)</f>
        <v>78667439.804470822</v>
      </c>
    </row>
    <row r="60" spans="2:31" x14ac:dyDescent="0.25">
      <c r="B60" s="3534" t="s">
        <v>557</v>
      </c>
      <c r="C60" s="3535">
        <f t="shared" ref="C60:S60" si="11">SUM(C56:C59)</f>
        <v>240249596.74766344</v>
      </c>
      <c r="D60" s="3535">
        <f t="shared" si="11"/>
        <v>132358236.19042921</v>
      </c>
      <c r="E60" s="3535">
        <f t="shared" si="11"/>
        <v>299684876.48201096</v>
      </c>
      <c r="F60" s="3535">
        <f t="shared" si="11"/>
        <v>19674246.68832355</v>
      </c>
      <c r="G60" s="3535">
        <f t="shared" si="11"/>
        <v>43426292.38488666</v>
      </c>
      <c r="H60" s="3535">
        <f t="shared" si="11"/>
        <v>35307702.343708873</v>
      </c>
      <c r="I60" s="3535">
        <f t="shared" si="11"/>
        <v>104050172.70908414</v>
      </c>
      <c r="J60" s="3535">
        <f t="shared" si="11"/>
        <v>46665289.291033655</v>
      </c>
      <c r="K60" s="3535">
        <f t="shared" si="11"/>
        <v>83875592.207152024</v>
      </c>
      <c r="L60" s="3535">
        <f t="shared" si="11"/>
        <v>108973935.51390889</v>
      </c>
      <c r="M60" s="3535">
        <f t="shared" si="11"/>
        <v>83963798.837976575</v>
      </c>
      <c r="N60" s="3535">
        <f t="shared" si="11"/>
        <v>107921487.53752494</v>
      </c>
      <c r="O60" s="3535">
        <f t="shared" si="11"/>
        <v>59804296.749269903</v>
      </c>
      <c r="P60" s="3535">
        <f t="shared" si="11"/>
        <v>30192687.53857429</v>
      </c>
      <c r="Q60" s="3535">
        <f t="shared" si="11"/>
        <v>375024312.36593992</v>
      </c>
      <c r="R60" s="3535">
        <f t="shared" si="11"/>
        <v>112875294.58648457</v>
      </c>
      <c r="S60" s="3535">
        <f t="shared" si="11"/>
        <v>101676189.94815241</v>
      </c>
      <c r="U60" s="3536">
        <f>SUM(U56:U59)</f>
        <v>561590861.90067875</v>
      </c>
      <c r="V60" s="3537" t="s">
        <v>5459</v>
      </c>
      <c r="W60" s="3537" t="s">
        <v>5459</v>
      </c>
      <c r="X60" s="3537" t="s">
        <v>5459</v>
      </c>
      <c r="Y60" s="3537" t="s">
        <v>5459</v>
      </c>
      <c r="Z60" s="3537" t="s">
        <v>5459</v>
      </c>
      <c r="AA60" s="3537" t="s">
        <v>5459</v>
      </c>
      <c r="AB60" s="3537" t="s">
        <v>5459</v>
      </c>
      <c r="AC60" s="3537" t="s">
        <v>5459</v>
      </c>
      <c r="AD60" s="3537" t="s">
        <v>5459</v>
      </c>
      <c r="AE60" s="3535">
        <f>SUM(AE58:AE59)</f>
        <v>135915719.85613596</v>
      </c>
    </row>
    <row r="61" spans="2:31" x14ac:dyDescent="0.25">
      <c r="B61" s="3534" t="s">
        <v>277</v>
      </c>
      <c r="C61" s="3537" t="s">
        <v>5459</v>
      </c>
      <c r="D61" s="3537" t="s">
        <v>5459</v>
      </c>
      <c r="E61" s="3537" t="s">
        <v>5459</v>
      </c>
      <c r="F61" s="3537" t="s">
        <v>5459</v>
      </c>
      <c r="G61" s="3537" t="s">
        <v>5459</v>
      </c>
      <c r="H61" s="3537" t="s">
        <v>5459</v>
      </c>
      <c r="I61" s="3537" t="s">
        <v>5459</v>
      </c>
      <c r="J61" s="3537" t="s">
        <v>5459</v>
      </c>
      <c r="K61" s="3537" t="s">
        <v>5459</v>
      </c>
      <c r="L61" s="3537" t="s">
        <v>5459</v>
      </c>
      <c r="M61" s="3537" t="s">
        <v>5459</v>
      </c>
      <c r="N61" s="3537" t="s">
        <v>5459</v>
      </c>
      <c r="O61" s="3537" t="s">
        <v>5459</v>
      </c>
      <c r="P61" s="3537" t="s">
        <v>5459</v>
      </c>
      <c r="Q61" s="3537" t="s">
        <v>5459</v>
      </c>
      <c r="R61" s="3537" t="s">
        <v>5459</v>
      </c>
      <c r="S61" s="3537" t="s">
        <v>5459</v>
      </c>
      <c r="U61" s="3539" t="s">
        <v>5459</v>
      </c>
      <c r="V61" s="3537" t="s">
        <v>5459</v>
      </c>
      <c r="W61" s="3537" t="s">
        <v>5459</v>
      </c>
      <c r="X61" s="3537" t="s">
        <v>5459</v>
      </c>
      <c r="Y61" s="3537" t="s">
        <v>5459</v>
      </c>
      <c r="Z61" s="3537" t="s">
        <v>5459</v>
      </c>
      <c r="AA61" s="3537" t="s">
        <v>5459</v>
      </c>
      <c r="AB61" s="3537" t="s">
        <v>5459</v>
      </c>
      <c r="AC61" s="3537" t="s">
        <v>5459</v>
      </c>
      <c r="AD61" s="3537" t="s">
        <v>5459</v>
      </c>
      <c r="AE61" s="3540" t="str">
        <f>Q61</f>
        <v> </v>
      </c>
    </row>
    <row r="62" spans="2:31" x14ac:dyDescent="0.25">
      <c r="B62" s="3534" t="s">
        <v>558</v>
      </c>
      <c r="C62" s="3535">
        <v>0</v>
      </c>
      <c r="D62" s="3535">
        <v>0</v>
      </c>
      <c r="E62" s="3535">
        <v>0</v>
      </c>
      <c r="F62" s="3535">
        <v>0</v>
      </c>
      <c r="G62" s="3535">
        <v>0</v>
      </c>
      <c r="H62" s="3535">
        <v>0</v>
      </c>
      <c r="I62" s="3535">
        <v>0</v>
      </c>
      <c r="J62" s="3535">
        <v>0</v>
      </c>
      <c r="K62" s="3535">
        <v>0</v>
      </c>
      <c r="L62" s="3535">
        <v>0</v>
      </c>
      <c r="M62" s="3535">
        <v>0</v>
      </c>
      <c r="N62" s="3535">
        <v>0</v>
      </c>
      <c r="O62" s="3535">
        <v>0</v>
      </c>
      <c r="P62" s="3535">
        <v>0</v>
      </c>
      <c r="Q62" s="3535">
        <v>0</v>
      </c>
      <c r="R62" s="3535">
        <v>0</v>
      </c>
      <c r="S62" s="3535">
        <v>0</v>
      </c>
      <c r="U62" s="3536">
        <v>0</v>
      </c>
      <c r="V62" s="3537" t="s">
        <v>5459</v>
      </c>
      <c r="W62" s="3537" t="s">
        <v>5459</v>
      </c>
      <c r="X62" s="3537" t="s">
        <v>5459</v>
      </c>
      <c r="Y62" s="3537" t="s">
        <v>5459</v>
      </c>
      <c r="Z62" s="3537" t="s">
        <v>5459</v>
      </c>
      <c r="AA62" s="3537" t="s">
        <v>5459</v>
      </c>
      <c r="AB62" s="3537" t="s">
        <v>5459</v>
      </c>
      <c r="AC62" s="3537" t="s">
        <v>5459</v>
      </c>
      <c r="AD62" s="3537" t="s">
        <v>5459</v>
      </c>
      <c r="AE62" s="3535">
        <v>0</v>
      </c>
    </row>
    <row r="63" spans="2:31" x14ac:dyDescent="0.25">
      <c r="B63" s="3522" t="s">
        <v>5459</v>
      </c>
      <c r="C63" s="3523" t="s">
        <v>5459</v>
      </c>
      <c r="D63" s="3523" t="s">
        <v>5459</v>
      </c>
      <c r="E63" s="3523" t="s">
        <v>5459</v>
      </c>
      <c r="F63" s="3523" t="s">
        <v>5459</v>
      </c>
      <c r="G63" s="3523" t="s">
        <v>5459</v>
      </c>
      <c r="H63" s="3523" t="s">
        <v>5459</v>
      </c>
      <c r="I63" s="3523" t="s">
        <v>5459</v>
      </c>
      <c r="J63" s="3523" t="s">
        <v>5459</v>
      </c>
      <c r="K63" s="3523" t="s">
        <v>5459</v>
      </c>
      <c r="L63" s="3523" t="s">
        <v>5459</v>
      </c>
      <c r="M63" s="3523" t="s">
        <v>5459</v>
      </c>
      <c r="N63" s="3523" t="s">
        <v>5459</v>
      </c>
      <c r="O63" s="3523" t="s">
        <v>5459</v>
      </c>
      <c r="P63" s="3523" t="s">
        <v>5459</v>
      </c>
      <c r="Q63" s="3523" t="s">
        <v>5459</v>
      </c>
      <c r="R63" s="3523" t="s">
        <v>5459</v>
      </c>
      <c r="S63" s="3523" t="s">
        <v>5459</v>
      </c>
      <c r="U63" s="3524" t="s">
        <v>5459</v>
      </c>
      <c r="V63" s="3523" t="s">
        <v>5459</v>
      </c>
      <c r="W63" s="3523" t="s">
        <v>5459</v>
      </c>
      <c r="X63" s="3523" t="s">
        <v>5459</v>
      </c>
      <c r="Y63" s="3523" t="s">
        <v>5459</v>
      </c>
      <c r="Z63" s="3523" t="s">
        <v>5459</v>
      </c>
      <c r="AA63" s="3523" t="s">
        <v>5459</v>
      </c>
      <c r="AB63" s="3523" t="s">
        <v>5459</v>
      </c>
      <c r="AC63" s="3523" t="s">
        <v>5459</v>
      </c>
      <c r="AD63" s="3523" t="s">
        <v>5459</v>
      </c>
      <c r="AE63" s="3523" t="s">
        <v>5459</v>
      </c>
    </row>
    <row r="64" spans="2:31" x14ac:dyDescent="0.25">
      <c r="B64" s="3522" t="s">
        <v>403</v>
      </c>
      <c r="C64" s="3523" t="s">
        <v>5459</v>
      </c>
      <c r="D64" s="3523" t="s">
        <v>5459</v>
      </c>
      <c r="E64" s="3523" t="s">
        <v>5459</v>
      </c>
      <c r="F64" s="3523" t="s">
        <v>5459</v>
      </c>
      <c r="G64" s="3523" t="s">
        <v>5459</v>
      </c>
      <c r="H64" s="3523" t="s">
        <v>5459</v>
      </c>
      <c r="I64" s="3523" t="s">
        <v>5459</v>
      </c>
      <c r="J64" s="3523" t="s">
        <v>5459</v>
      </c>
      <c r="K64" s="3523" t="s">
        <v>5459</v>
      </c>
      <c r="L64" s="3523" t="s">
        <v>5459</v>
      </c>
      <c r="M64" s="3523" t="s">
        <v>5459</v>
      </c>
      <c r="N64" s="3523" t="s">
        <v>5459</v>
      </c>
      <c r="O64" s="3523" t="s">
        <v>5459</v>
      </c>
      <c r="P64" s="3523" t="s">
        <v>5459</v>
      </c>
      <c r="Q64" s="3523" t="s">
        <v>5459</v>
      </c>
      <c r="R64" s="3523" t="s">
        <v>5459</v>
      </c>
      <c r="S64" s="3523" t="s">
        <v>5459</v>
      </c>
      <c r="U64" s="3524" t="s">
        <v>5459</v>
      </c>
      <c r="V64" s="3523" t="s">
        <v>5459</v>
      </c>
      <c r="W64" s="3523" t="s">
        <v>5459</v>
      </c>
      <c r="X64" s="3523" t="s">
        <v>5459</v>
      </c>
      <c r="Y64" s="3523" t="s">
        <v>5459</v>
      </c>
      <c r="Z64" s="3523" t="s">
        <v>5459</v>
      </c>
      <c r="AA64" s="3523" t="s">
        <v>5459</v>
      </c>
      <c r="AB64" s="3523" t="s">
        <v>5459</v>
      </c>
      <c r="AC64" s="3523" t="s">
        <v>5459</v>
      </c>
      <c r="AD64" s="3523" t="s">
        <v>5459</v>
      </c>
      <c r="AE64" s="3523" t="s">
        <v>5459</v>
      </c>
    </row>
    <row r="65" spans="2:31" x14ac:dyDescent="0.25">
      <c r="B65" s="3541" t="s">
        <v>405</v>
      </c>
      <c r="C65" s="3525">
        <f t="shared" ref="C65:S65" si="12">C53/30</f>
        <v>8531290.5999999996</v>
      </c>
      <c r="D65" s="3525">
        <f t="shared" si="12"/>
        <v>7288051.4666666668</v>
      </c>
      <c r="E65" s="3525">
        <f t="shared" si="12"/>
        <v>10641844.166666666</v>
      </c>
      <c r="F65" s="3525">
        <f t="shared" si="12"/>
        <v>2747419.6</v>
      </c>
      <c r="G65" s="3525">
        <f t="shared" si="12"/>
        <v>1393610.7666666666</v>
      </c>
      <c r="H65" s="3525">
        <f t="shared" si="12"/>
        <v>1133073.8</v>
      </c>
      <c r="I65" s="3525">
        <f t="shared" si="12"/>
        <v>6438353.5333333332</v>
      </c>
      <c r="J65" s="3525">
        <f t="shared" si="12"/>
        <v>2719265.4333333331</v>
      </c>
      <c r="K65" s="3525">
        <f t="shared" si="12"/>
        <v>5190003.0666666664</v>
      </c>
      <c r="L65" s="3525">
        <f t="shared" si="12"/>
        <v>6350095.7666666666</v>
      </c>
      <c r="M65" s="3525">
        <f t="shared" si="12"/>
        <v>5929231.9000000004</v>
      </c>
      <c r="N65" s="3525">
        <f t="shared" si="12"/>
        <v>7118366.3666666662</v>
      </c>
      <c r="O65" s="3525">
        <f t="shared" si="12"/>
        <v>3700534.0333333332</v>
      </c>
      <c r="P65" s="3525">
        <f t="shared" si="12"/>
        <v>1759379.0333333334</v>
      </c>
      <c r="Q65" s="3525">
        <f t="shared" si="12"/>
        <v>13317156.133333333</v>
      </c>
      <c r="R65" s="3525">
        <f t="shared" si="12"/>
        <v>6577434.5666666664</v>
      </c>
      <c r="S65" s="3525">
        <f t="shared" si="12"/>
        <v>6291457.666666667</v>
      </c>
      <c r="U65" s="3542">
        <f>U53/30</f>
        <v>19942155.600000001</v>
      </c>
      <c r="V65" s="3520" t="s">
        <v>5459</v>
      </c>
      <c r="W65" s="3520" t="s">
        <v>5459</v>
      </c>
      <c r="X65" s="3520" t="s">
        <v>5459</v>
      </c>
      <c r="Y65" s="3520" t="s">
        <v>5459</v>
      </c>
      <c r="Z65" s="3520" t="s">
        <v>5459</v>
      </c>
      <c r="AA65" s="3520" t="s">
        <v>5459</v>
      </c>
      <c r="AB65" s="3520" t="s">
        <v>5459</v>
      </c>
      <c r="AC65" s="3520" t="s">
        <v>5459</v>
      </c>
      <c r="AD65" s="3520" t="s">
        <v>5459</v>
      </c>
      <c r="AE65" s="3527">
        <f>SUM(C65:AD65)</f>
        <v>117068723.5</v>
      </c>
    </row>
    <row r="66" spans="2:31" x14ac:dyDescent="0.25">
      <c r="B66" s="3541" t="s">
        <v>92</v>
      </c>
      <c r="C66" s="3543">
        <f>C$28/'NLSL_Base_New-Calc'!$AA$17*'NLSL_Base_New-Calc'!$AA30</f>
        <v>294815.87394481793</v>
      </c>
      <c r="D66" s="3525">
        <f>D$28/'NLSL_Base_New-Calc'!$AA$17*'NLSL_Base_New-Calc'!$AA30</f>
        <v>251853.24978850747</v>
      </c>
      <c r="E66" s="3525">
        <f>E$28/'NLSL_Base_New-Calc'!$AA$17*'NLSL_Base_New-Calc'!$AA30</f>
        <v>367750.2895494377</v>
      </c>
      <c r="F66" s="3525">
        <f>F$28/'NLSL_Base_New-Calc'!$AA$17*'NLSL_Base_New-Calc'!$AA30</f>
        <v>94942.599946967239</v>
      </c>
      <c r="G66" s="3525">
        <f>G$28/'NLSL_Base_New-Calc'!$AA$17*'NLSL_Base_New-Calc'!$AA30</f>
        <v>48159.01782946429</v>
      </c>
      <c r="H66" s="3525">
        <f>H$28/'NLSL_Base_New-Calc'!$AA$17*'NLSL_Base_New-Calc'!$AA30</f>
        <v>39155.639897083784</v>
      </c>
      <c r="I66" s="3525">
        <f>I$28/'NLSL_Base_New-Calc'!$AA$17*'NLSL_Base_New-Calc'!$AA30</f>
        <v>222490.23186425897</v>
      </c>
      <c r="J66" s="3525">
        <f>J$28/'NLSL_Base_New-Calc'!$AA$17*'NLSL_Base_New-Calc'!$AA30</f>
        <v>93969.676196014319</v>
      </c>
      <c r="K66" s="3525">
        <f>K$28/'NLSL_Base_New-Calc'!$AA$17*'NLSL_Base_New-Calc'!$AA30</f>
        <v>179350.97532319653</v>
      </c>
      <c r="L66" s="3525">
        <f>L$28/'NLSL_Base_New-Calc'!$AA$17*'NLSL_Base_New-Calc'!$AA30</f>
        <v>219440.30755242615</v>
      </c>
      <c r="M66" s="3525">
        <f>M$28/'NLSL_Base_New-Calc'!$AA$17*'NLSL_Base_New-Calc'!$AA30</f>
        <v>204896.51172121524</v>
      </c>
      <c r="N66" s="3525">
        <f>N$28/'NLSL_Base_New-Calc'!$AA$17*'NLSL_Base_New-Calc'!$AA30</f>
        <v>245989.44050132716</v>
      </c>
      <c r="O66" s="3525">
        <f>O$28/'NLSL_Base_New-Calc'!$AA$17*'NLSL_Base_New-Calc'!$AA30</f>
        <v>127879.38264577561</v>
      </c>
      <c r="P66" s="3525">
        <f>P$28/'NLSL_Base_New-Calc'!$AA$17*'NLSL_Base_New-Calc'!$AA30</f>
        <v>60798.874593763772</v>
      </c>
      <c r="Q66" s="3525">
        <f>Q$28/'NLSL_Base_New-Calc'!$AA$17*'NLSL_Base_New-Calc'!$AA30</f>
        <v>460201.06546461547</v>
      </c>
      <c r="R66" s="3525">
        <f>R$28/'NLSL_Base_New-Calc'!$AA$17*'NLSL_Base_New-Calc'!$AA30</f>
        <v>227296.45618761226</v>
      </c>
      <c r="S66" s="3525">
        <f>S$28/'NLSL_Base_New-Calc'!$AA$17*'NLSL_Base_New-Calc'!$AA30</f>
        <v>217413.95028615696</v>
      </c>
      <c r="U66" s="3526">
        <f>U$28/'NLSL_Base_New-Calc'!$AA$17*'NLSL_Base_New-Calc'!$AA30</f>
        <v>689141.22226214467</v>
      </c>
      <c r="V66" s="3520" t="s">
        <v>5459</v>
      </c>
      <c r="W66" s="3520" t="s">
        <v>5459</v>
      </c>
      <c r="X66" s="3520" t="s">
        <v>5459</v>
      </c>
      <c r="Y66" s="3520" t="s">
        <v>5459</v>
      </c>
      <c r="Z66" s="3520" t="s">
        <v>5459</v>
      </c>
      <c r="AA66" s="3520" t="s">
        <v>5459</v>
      </c>
      <c r="AB66" s="3520" t="s">
        <v>5459</v>
      </c>
      <c r="AC66" s="3520" t="s">
        <v>5459</v>
      </c>
      <c r="AD66" s="3520" t="s">
        <v>5459</v>
      </c>
      <c r="AE66" s="3525">
        <f>SUM(C66:AD66)</f>
        <v>4045544.7655547853</v>
      </c>
    </row>
    <row r="67" spans="2:31" x14ac:dyDescent="0.25">
      <c r="B67" s="3522" t="s">
        <v>407</v>
      </c>
      <c r="C67" s="3544">
        <f t="shared" ref="C67:S67" si="13">C65</f>
        <v>8531290.5999999996</v>
      </c>
      <c r="D67" s="3544">
        <f t="shared" si="13"/>
        <v>7288051.4666666668</v>
      </c>
      <c r="E67" s="3544">
        <f t="shared" si="13"/>
        <v>10641844.166666666</v>
      </c>
      <c r="F67" s="3544">
        <f t="shared" si="13"/>
        <v>2747419.6</v>
      </c>
      <c r="G67" s="3544">
        <f t="shared" si="13"/>
        <v>1393610.7666666666</v>
      </c>
      <c r="H67" s="3544">
        <f t="shared" si="13"/>
        <v>1133073.8</v>
      </c>
      <c r="I67" s="3544">
        <f t="shared" si="13"/>
        <v>6438353.5333333332</v>
      </c>
      <c r="J67" s="3544">
        <f t="shared" si="13"/>
        <v>2719265.4333333331</v>
      </c>
      <c r="K67" s="3544">
        <f t="shared" si="13"/>
        <v>5190003.0666666664</v>
      </c>
      <c r="L67" s="3544">
        <f t="shared" si="13"/>
        <v>6350095.7666666666</v>
      </c>
      <c r="M67" s="3544">
        <f t="shared" si="13"/>
        <v>5929231.9000000004</v>
      </c>
      <c r="N67" s="3544">
        <f t="shared" si="13"/>
        <v>7118366.3666666662</v>
      </c>
      <c r="O67" s="3544">
        <f t="shared" si="13"/>
        <v>3700534.0333333332</v>
      </c>
      <c r="P67" s="3544">
        <f t="shared" si="13"/>
        <v>1759379.0333333334</v>
      </c>
      <c r="Q67" s="3544">
        <f t="shared" si="13"/>
        <v>13317156.133333333</v>
      </c>
      <c r="R67" s="3544">
        <f t="shared" si="13"/>
        <v>6577434.5666666664</v>
      </c>
      <c r="S67" s="3544">
        <f t="shared" si="13"/>
        <v>6291457.666666667</v>
      </c>
      <c r="U67" s="3545">
        <f>U65</f>
        <v>19942155.600000001</v>
      </c>
      <c r="V67" s="3523" t="s">
        <v>5459</v>
      </c>
      <c r="W67" s="3523" t="s">
        <v>5459</v>
      </c>
      <c r="X67" s="3523" t="s">
        <v>5459</v>
      </c>
      <c r="Y67" s="3523" t="s">
        <v>5459</v>
      </c>
      <c r="Z67" s="3523" t="s">
        <v>5459</v>
      </c>
      <c r="AA67" s="3523" t="s">
        <v>5459</v>
      </c>
      <c r="AB67" s="3523" t="s">
        <v>5459</v>
      </c>
      <c r="AC67" s="3523" t="s">
        <v>5459</v>
      </c>
      <c r="AD67" s="3523" t="s">
        <v>5459</v>
      </c>
      <c r="AE67" s="3544">
        <f>SUM(AE65:AE66)</f>
        <v>121114268.26555479</v>
      </c>
    </row>
    <row r="68" spans="2:31" x14ac:dyDescent="0.25">
      <c r="B68" s="3522" t="s">
        <v>5459</v>
      </c>
      <c r="C68" s="3523" t="s">
        <v>5459</v>
      </c>
      <c r="D68" s="3523" t="s">
        <v>5459</v>
      </c>
      <c r="E68" s="3523" t="s">
        <v>5459</v>
      </c>
      <c r="F68" s="3523" t="s">
        <v>5459</v>
      </c>
      <c r="G68" s="3523" t="s">
        <v>5459</v>
      </c>
      <c r="H68" s="3523" t="s">
        <v>5459</v>
      </c>
      <c r="I68" s="3523" t="s">
        <v>5459</v>
      </c>
      <c r="J68" s="3523" t="s">
        <v>5459</v>
      </c>
      <c r="K68" s="3523" t="s">
        <v>5459</v>
      </c>
      <c r="L68" s="3523" t="s">
        <v>5459</v>
      </c>
      <c r="M68" s="3523" t="s">
        <v>5459</v>
      </c>
      <c r="N68" s="3523" t="s">
        <v>5459</v>
      </c>
      <c r="O68" s="3523" t="s">
        <v>5459</v>
      </c>
      <c r="P68" s="3523" t="s">
        <v>5459</v>
      </c>
      <c r="Q68" s="3523" t="s">
        <v>5459</v>
      </c>
      <c r="R68" s="3523" t="s">
        <v>5459</v>
      </c>
      <c r="S68" s="3523" t="s">
        <v>5459</v>
      </c>
      <c r="U68" s="3524" t="s">
        <v>5459</v>
      </c>
      <c r="V68" s="3523" t="s">
        <v>5459</v>
      </c>
      <c r="W68" s="3523" t="s">
        <v>5459</v>
      </c>
      <c r="X68" s="3523" t="s">
        <v>5459</v>
      </c>
      <c r="Y68" s="3523" t="s">
        <v>5459</v>
      </c>
      <c r="Z68" s="3523" t="s">
        <v>5459</v>
      </c>
      <c r="AA68" s="3523" t="s">
        <v>5459</v>
      </c>
      <c r="AB68" s="3523" t="s">
        <v>5459</v>
      </c>
      <c r="AC68" s="3523" t="s">
        <v>5459</v>
      </c>
      <c r="AD68" s="3523" t="s">
        <v>5459</v>
      </c>
      <c r="AE68" s="3523" t="s">
        <v>5459</v>
      </c>
    </row>
    <row r="69" spans="2:31" x14ac:dyDescent="0.25">
      <c r="B69" s="3522" t="s">
        <v>232</v>
      </c>
      <c r="C69" s="3544">
        <f t="shared" ref="C69:S69" si="14">C34</f>
        <v>1934875</v>
      </c>
      <c r="D69" s="3544">
        <f t="shared" si="14"/>
        <v>243677</v>
      </c>
      <c r="E69" s="3544">
        <f t="shared" si="14"/>
        <v>1402044</v>
      </c>
      <c r="F69" s="3544">
        <f t="shared" si="14"/>
        <v>828702</v>
      </c>
      <c r="G69" s="3544">
        <f t="shared" si="14"/>
        <v>44245</v>
      </c>
      <c r="H69" s="3544">
        <f t="shared" si="14"/>
        <v>30032</v>
      </c>
      <c r="I69" s="3544">
        <f t="shared" si="14"/>
        <v>1981212</v>
      </c>
      <c r="J69" s="3544">
        <f t="shared" si="14"/>
        <v>175268</v>
      </c>
      <c r="K69" s="3544">
        <f t="shared" si="14"/>
        <v>1569034</v>
      </c>
      <c r="L69" s="3544">
        <f t="shared" si="14"/>
        <v>1459637</v>
      </c>
      <c r="M69" s="3544">
        <f t="shared" si="14"/>
        <v>1948711</v>
      </c>
      <c r="N69" s="3544">
        <f t="shared" si="14"/>
        <v>1085815</v>
      </c>
      <c r="O69" s="3544">
        <f t="shared" si="14"/>
        <v>587375</v>
      </c>
      <c r="P69" s="3544">
        <f t="shared" si="14"/>
        <v>418266</v>
      </c>
      <c r="Q69" s="3544">
        <f t="shared" si="14"/>
        <v>1112265</v>
      </c>
      <c r="R69" s="3544">
        <f t="shared" si="14"/>
        <v>139304</v>
      </c>
      <c r="S69" s="3544">
        <f t="shared" si="14"/>
        <v>479121</v>
      </c>
      <c r="U69" s="3545">
        <f>U34</f>
        <v>2942484</v>
      </c>
      <c r="V69" s="3523" t="s">
        <v>5459</v>
      </c>
      <c r="W69" s="3523" t="s">
        <v>5459</v>
      </c>
      <c r="X69" s="3523" t="s">
        <v>5459</v>
      </c>
      <c r="Y69" s="3523" t="s">
        <v>5459</v>
      </c>
      <c r="Z69" s="3523" t="s">
        <v>5459</v>
      </c>
      <c r="AA69" s="3523" t="s">
        <v>5459</v>
      </c>
      <c r="AB69" s="3523" t="s">
        <v>5459</v>
      </c>
      <c r="AC69" s="3523" t="s">
        <v>5459</v>
      </c>
      <c r="AD69" s="3523" t="s">
        <v>5459</v>
      </c>
      <c r="AE69" s="3527">
        <f>SUM(C69:AD69)</f>
        <v>18382067</v>
      </c>
    </row>
    <row r="70" spans="2:31" x14ac:dyDescent="0.25">
      <c r="B70" s="3522" t="s">
        <v>233</v>
      </c>
      <c r="C70" s="3544">
        <f t="shared" ref="C70:S70" si="15">C40</f>
        <v>2219341</v>
      </c>
      <c r="D70" s="3544">
        <f t="shared" si="15"/>
        <v>1484575</v>
      </c>
      <c r="E70" s="3544">
        <f t="shared" si="15"/>
        <v>1887232</v>
      </c>
      <c r="F70" s="3544">
        <f t="shared" si="15"/>
        <v>250269</v>
      </c>
      <c r="G70" s="3544">
        <f t="shared" si="15"/>
        <v>13715</v>
      </c>
      <c r="H70" s="3544">
        <f t="shared" si="15"/>
        <v>9310</v>
      </c>
      <c r="I70" s="3544">
        <f t="shared" si="15"/>
        <v>2008781</v>
      </c>
      <c r="J70" s="3544">
        <f t="shared" si="15"/>
        <v>574594</v>
      </c>
      <c r="K70" s="3544">
        <f t="shared" si="15"/>
        <v>108817</v>
      </c>
      <c r="L70" s="3544">
        <f t="shared" si="15"/>
        <v>1435686</v>
      </c>
      <c r="M70" s="3544">
        <f t="shared" si="15"/>
        <v>133102</v>
      </c>
      <c r="N70" s="3544">
        <f t="shared" si="15"/>
        <v>1573392</v>
      </c>
      <c r="O70" s="3544">
        <f t="shared" si="15"/>
        <v>786697</v>
      </c>
      <c r="P70" s="3544">
        <f t="shared" si="15"/>
        <v>426748</v>
      </c>
      <c r="Q70" s="3544">
        <f t="shared" si="15"/>
        <v>2879362</v>
      </c>
      <c r="R70" s="3544">
        <f t="shared" si="15"/>
        <v>61506</v>
      </c>
      <c r="S70" s="3544">
        <f t="shared" si="15"/>
        <v>248196</v>
      </c>
      <c r="U70" s="3545">
        <f>U40</f>
        <v>3898631</v>
      </c>
      <c r="V70" s="3523" t="s">
        <v>5459</v>
      </c>
      <c r="W70" s="3523" t="s">
        <v>5459</v>
      </c>
      <c r="X70" s="3523" t="s">
        <v>5459</v>
      </c>
      <c r="Y70" s="3523" t="s">
        <v>5459</v>
      </c>
      <c r="Z70" s="3523" t="s">
        <v>5459</v>
      </c>
      <c r="AA70" s="3523" t="s">
        <v>5459</v>
      </c>
      <c r="AB70" s="3523" t="s">
        <v>5459</v>
      </c>
      <c r="AC70" s="3523" t="s">
        <v>5459</v>
      </c>
      <c r="AD70" s="3523" t="s">
        <v>5459</v>
      </c>
      <c r="AE70" s="3527">
        <f>SUM(C70:AD70)</f>
        <v>19999954</v>
      </c>
    </row>
    <row r="71" spans="2:31" x14ac:dyDescent="0.25">
      <c r="B71" s="3522" t="s">
        <v>559</v>
      </c>
      <c r="C71" s="3523" t="s">
        <v>5459</v>
      </c>
      <c r="D71" s="3523" t="s">
        <v>5459</v>
      </c>
      <c r="E71" s="3523" t="s">
        <v>5459</v>
      </c>
      <c r="F71" s="3523" t="s">
        <v>5459</v>
      </c>
      <c r="G71" s="3523" t="s">
        <v>5459</v>
      </c>
      <c r="H71" s="3523" t="s">
        <v>5459</v>
      </c>
      <c r="I71" s="3523" t="s">
        <v>5459</v>
      </c>
      <c r="J71" s="3523" t="s">
        <v>5459</v>
      </c>
      <c r="K71" s="3523" t="s">
        <v>5459</v>
      </c>
      <c r="L71" s="3523" t="s">
        <v>5459</v>
      </c>
      <c r="M71" s="3523" t="s">
        <v>5459</v>
      </c>
      <c r="N71" s="3523" t="s">
        <v>5459</v>
      </c>
      <c r="O71" s="3523" t="s">
        <v>5459</v>
      </c>
      <c r="P71" s="3523" t="s">
        <v>5459</v>
      </c>
      <c r="Q71" s="3523" t="s">
        <v>5459</v>
      </c>
      <c r="R71" s="3523" t="s">
        <v>5459</v>
      </c>
      <c r="S71" s="3523" t="s">
        <v>5459</v>
      </c>
      <c r="U71" s="3524" t="s">
        <v>5459</v>
      </c>
      <c r="V71" s="3523" t="s">
        <v>5459</v>
      </c>
      <c r="W71" s="3523" t="s">
        <v>5459</v>
      </c>
      <c r="X71" s="3523" t="s">
        <v>5459</v>
      </c>
      <c r="Y71" s="3523" t="s">
        <v>5459</v>
      </c>
      <c r="Z71" s="3523" t="s">
        <v>5459</v>
      </c>
      <c r="AA71" s="3523" t="s">
        <v>5459</v>
      </c>
      <c r="AB71" s="3523" t="s">
        <v>5459</v>
      </c>
      <c r="AC71" s="3523" t="s">
        <v>5459</v>
      </c>
      <c r="AD71" s="3523" t="s">
        <v>5459</v>
      </c>
      <c r="AE71" s="3523" t="s">
        <v>5459</v>
      </c>
    </row>
    <row r="72" spans="2:31" x14ac:dyDescent="0.25">
      <c r="B72" s="3538" t="s">
        <v>560</v>
      </c>
      <c r="C72" s="3543">
        <f>C$28/'NLSL_Base_New-Calc'!$AA$17*'NLSL_Base_New-Calc'!$AA36</f>
        <v>11357485.27544019</v>
      </c>
      <c r="D72" s="3525">
        <f>D$28/'NLSL_Base_New-Calc'!$AA$17*'NLSL_Base_New-Calc'!$AA36</f>
        <v>9702393.3540977892</v>
      </c>
      <c r="E72" s="3525">
        <f>E$28/'NLSL_Base_New-Calc'!$AA$17*'NLSL_Base_New-Calc'!$AA36</f>
        <v>14167210.342881268</v>
      </c>
      <c r="F72" s="3525">
        <f>F$28/'NLSL_Base_New-Calc'!$AA$17*'NLSL_Base_New-Calc'!$AA36</f>
        <v>3657568.2526223846</v>
      </c>
      <c r="G72" s="3525">
        <f>G$28/'NLSL_Base_New-Calc'!$AA$17*'NLSL_Base_New-Calc'!$AA36</f>
        <v>1855277.7656069505</v>
      </c>
      <c r="H72" s="3525">
        <f>H$28/'NLSL_Base_New-Calc'!$AA$17*'NLSL_Base_New-Calc'!$AA36</f>
        <v>1508431.6784950525</v>
      </c>
      <c r="I72" s="3525">
        <f>I$28/'NLSL_Base_New-Calc'!$AA$17*'NLSL_Base_New-Calc'!$AA36</f>
        <v>8571212.596240906</v>
      </c>
      <c r="J72" s="3525">
        <f>J$28/'NLSL_Base_New-Calc'!$AA$17*'NLSL_Base_New-Calc'!$AA36</f>
        <v>3620087.3428337816</v>
      </c>
      <c r="K72" s="3525">
        <f>K$28/'NLSL_Base_New-Calc'!$AA$17*'NLSL_Base_New-Calc'!$AA36</f>
        <v>6909316.0897785025</v>
      </c>
      <c r="L72" s="3525">
        <f>L$28/'NLSL_Base_New-Calc'!$AA$17*'NLSL_Base_New-Calc'!$AA36</f>
        <v>8453717.3270773068</v>
      </c>
      <c r="M72" s="3525">
        <f>M$28/'NLSL_Base_New-Calc'!$AA$17*'NLSL_Base_New-Calc'!$AA36</f>
        <v>7893432.2081257273</v>
      </c>
      <c r="N72" s="3525">
        <f>N$28/'NLSL_Base_New-Calc'!$AA$17*'NLSL_Base_New-Calc'!$AA36</f>
        <v>9476495.9940065052</v>
      </c>
      <c r="O72" s="3525">
        <f>O$28/'NLSL_Base_New-Calc'!$AA$17*'NLSL_Base_New-Calc'!$AA36</f>
        <v>4926424.7070482662</v>
      </c>
      <c r="P72" s="3525">
        <f>P$28/'NLSL_Base_New-Calc'!$AA$17*'NLSL_Base_New-Calc'!$AA36</f>
        <v>2342215.5453245877</v>
      </c>
      <c r="Q72" s="3525">
        <f>Q$28/'NLSL_Base_New-Calc'!$AA$17*'NLSL_Base_New-Calc'!$AA36</f>
        <v>17728783.578778964</v>
      </c>
      <c r="R72" s="3525">
        <f>R$28/'NLSL_Base_New-Calc'!$AA$17*'NLSL_Base_New-Calc'!$AA36</f>
        <v>8756367.558395911</v>
      </c>
      <c r="S72" s="3525">
        <f>S$28/'NLSL_Base_New-Calc'!$AA$17*'NLSL_Base_New-Calc'!$AA36</f>
        <v>8375653.9497343991</v>
      </c>
      <c r="U72" s="3526">
        <f>U$28/'NLSL_Base_New-Calc'!$AA$17*'NLSL_Base_New-Calc'!$AA36</f>
        <v>26548473.051373623</v>
      </c>
      <c r="V72" s="3520" t="s">
        <v>5459</v>
      </c>
      <c r="W72" s="3520" t="s">
        <v>5459</v>
      </c>
      <c r="X72" s="3520" t="s">
        <v>5459</v>
      </c>
      <c r="Y72" s="3520" t="s">
        <v>5459</v>
      </c>
      <c r="Z72" s="3520" t="s">
        <v>5459</v>
      </c>
      <c r="AA72" s="3520" t="s">
        <v>5459</v>
      </c>
      <c r="AB72" s="3520" t="s">
        <v>5459</v>
      </c>
      <c r="AC72" s="3520" t="s">
        <v>5459</v>
      </c>
      <c r="AD72" s="3520" t="s">
        <v>5459</v>
      </c>
      <c r="AE72" s="3525">
        <f>SUM(C72:AD72)</f>
        <v>155850546.61786211</v>
      </c>
    </row>
    <row r="73" spans="2:31" x14ac:dyDescent="0.25">
      <c r="B73" s="3522" t="s">
        <v>235</v>
      </c>
      <c r="C73" s="3523" t="s">
        <v>5459</v>
      </c>
      <c r="D73" s="3523" t="s">
        <v>5459</v>
      </c>
      <c r="E73" s="3523" t="s">
        <v>5459</v>
      </c>
      <c r="F73" s="3523" t="s">
        <v>5459</v>
      </c>
      <c r="G73" s="3523" t="s">
        <v>5459</v>
      </c>
      <c r="H73" s="3523" t="s">
        <v>5459</v>
      </c>
      <c r="I73" s="3523" t="s">
        <v>5459</v>
      </c>
      <c r="J73" s="3523" t="s">
        <v>5459</v>
      </c>
      <c r="K73" s="3523" t="s">
        <v>5459</v>
      </c>
      <c r="L73" s="3523" t="s">
        <v>5459</v>
      </c>
      <c r="M73" s="3523" t="s">
        <v>5459</v>
      </c>
      <c r="N73" s="3523" t="s">
        <v>5459</v>
      </c>
      <c r="O73" s="3523" t="s">
        <v>5459</v>
      </c>
      <c r="P73" s="3523" t="s">
        <v>5459</v>
      </c>
      <c r="Q73" s="3523" t="s">
        <v>5459</v>
      </c>
      <c r="R73" s="3523" t="s">
        <v>5459</v>
      </c>
      <c r="S73" s="3523" t="s">
        <v>5459</v>
      </c>
      <c r="U73" s="3524" t="s">
        <v>5459</v>
      </c>
      <c r="V73" s="3523" t="s">
        <v>5459</v>
      </c>
      <c r="W73" s="3523" t="s">
        <v>5459</v>
      </c>
      <c r="X73" s="3523" t="s">
        <v>5459</v>
      </c>
      <c r="Y73" s="3523" t="s">
        <v>5459</v>
      </c>
      <c r="Z73" s="3523" t="s">
        <v>5459</v>
      </c>
      <c r="AA73" s="3523" t="s">
        <v>5459</v>
      </c>
      <c r="AB73" s="3523" t="s">
        <v>5459</v>
      </c>
      <c r="AC73" s="3523" t="s">
        <v>5459</v>
      </c>
      <c r="AD73" s="3523" t="s">
        <v>5459</v>
      </c>
      <c r="AE73" s="3523" t="s">
        <v>5459</v>
      </c>
    </row>
    <row r="74" spans="2:31" x14ac:dyDescent="0.25">
      <c r="B74" s="3538" t="s">
        <v>236</v>
      </c>
      <c r="C74" s="3542">
        <f>C$28/'NLSL_Base_New-Calc'!$AA$17*'NLSL_Base_New-Calc'!$AA38</f>
        <v>272622.47087761696</v>
      </c>
      <c r="D74" s="3525">
        <f>D$28/'NLSL_Base_New-Calc'!$AA$17*'NLSL_Base_New-Calc'!$AA38</f>
        <v>232894.02411469928</v>
      </c>
      <c r="E74" s="3525">
        <f>E$28/'NLSL_Base_New-Calc'!$AA$17*'NLSL_Base_New-Calc'!$AA38</f>
        <v>340066.46677950711</v>
      </c>
      <c r="F74" s="3525">
        <f>F$28/'NLSL_Base_New-Calc'!$AA$17*'NLSL_Base_New-Calc'!$AA38</f>
        <v>87795.429203829262</v>
      </c>
      <c r="G74" s="3525">
        <f>G$28/'NLSL_Base_New-Calc'!$AA$17*'NLSL_Base_New-Calc'!$AA38</f>
        <v>44533.661841306493</v>
      </c>
      <c r="H74" s="3525">
        <f>H$28/'NLSL_Base_New-Calc'!$AA$17*'NLSL_Base_New-Calc'!$AA38</f>
        <v>36208.047940916564</v>
      </c>
      <c r="I74" s="3525">
        <f>I$28/'NLSL_Base_New-Calc'!$AA$17*'NLSL_Base_New-Calc'!$AA38</f>
        <v>205741.42072255386</v>
      </c>
      <c r="J74" s="3525">
        <f>J$28/'NLSL_Base_New-Calc'!$AA$17*'NLSL_Base_New-Calc'!$AA38</f>
        <v>86895.746044265237</v>
      </c>
      <c r="K74" s="3525">
        <f>K$28/'NLSL_Base_New-Calc'!$AA$17*'NLSL_Base_New-Calc'!$AA38</f>
        <v>165849.6382595473</v>
      </c>
      <c r="L74" s="3525">
        <f>L$28/'NLSL_Base_New-Calc'!$AA$17*'NLSL_Base_New-Calc'!$AA38</f>
        <v>202921.09123772694</v>
      </c>
      <c r="M74" s="3525">
        <f>M$28/'NLSL_Base_New-Calc'!$AA$17*'NLSL_Base_New-Calc'!$AA38</f>
        <v>189472.13578498751</v>
      </c>
      <c r="N74" s="3525">
        <f>N$28/'NLSL_Base_New-Calc'!$AA$17*'NLSL_Base_New-Calc'!$AA38</f>
        <v>227471.63570923157</v>
      </c>
      <c r="O74" s="3525">
        <f>O$28/'NLSL_Base_New-Calc'!$AA$17*'NLSL_Base_New-Calc'!$AA38</f>
        <v>118252.76843037641</v>
      </c>
      <c r="P74" s="3525">
        <f>P$28/'NLSL_Base_New-Calc'!$AA$17*'NLSL_Base_New-Calc'!$AA38</f>
        <v>56222.004590677825</v>
      </c>
      <c r="Q74" s="3525">
        <f>Q$28/'NLSL_Base_New-Calc'!$AA$17*'NLSL_Base_New-Calc'!$AA38</f>
        <v>425557.65362538991</v>
      </c>
      <c r="R74" s="3525">
        <f>R$28/'NLSL_Base_New-Calc'!$AA$17*'NLSL_Base_New-Calc'!$AA38</f>
        <v>210185.8379552227</v>
      </c>
      <c r="S74" s="3525">
        <f>S$28/'NLSL_Base_New-Calc'!$AA$17*'NLSL_Base_New-Calc'!$AA38</f>
        <v>201047.27583756123</v>
      </c>
      <c r="U74" s="3526">
        <f>U$28/'NLSL_Base_New-Calc'!$AA$17*'NLSL_Base_New-Calc'!$AA38</f>
        <v>637263.45628150401</v>
      </c>
      <c r="V74" s="3520" t="s">
        <v>5459</v>
      </c>
      <c r="W74" s="3520" t="s">
        <v>5459</v>
      </c>
      <c r="X74" s="3520" t="s">
        <v>5459</v>
      </c>
      <c r="Y74" s="3520" t="s">
        <v>5459</v>
      </c>
      <c r="Z74" s="3520" t="s">
        <v>5459</v>
      </c>
      <c r="AA74" s="3520" t="s">
        <v>5459</v>
      </c>
      <c r="AB74" s="3520" t="s">
        <v>5459</v>
      </c>
      <c r="AC74" s="3520" t="s">
        <v>5459</v>
      </c>
      <c r="AD74" s="3520" t="s">
        <v>5459</v>
      </c>
      <c r="AE74" s="3525">
        <f>SUM(C74:AD74)</f>
        <v>3741000.7652369202</v>
      </c>
    </row>
    <row r="75" spans="2:31" x14ac:dyDescent="0.25">
      <c r="B75" s="3538" t="s">
        <v>237</v>
      </c>
      <c r="C75" s="3543">
        <f>C$28/'NLSL_Base_New-Calc'!$AA$17*'NLSL_Base_New-Calc'!$AA39</f>
        <v>19562.644262692058</v>
      </c>
      <c r="D75" s="3525">
        <f>D$28/'NLSL_Base_New-Calc'!$AA$17*'NLSL_Base_New-Calc'!$AA39</f>
        <v>16711.839379916459</v>
      </c>
      <c r="E75" s="3525">
        <f>E$28/'NLSL_Base_New-Calc'!$AA$17*'NLSL_Base_New-Calc'!$AA39</f>
        <v>24402.241289436864</v>
      </c>
      <c r="F75" s="3525">
        <f>F$28/'NLSL_Base_New-Calc'!$AA$17*'NLSL_Base_New-Calc'!$AA39</f>
        <v>6299.9603219643832</v>
      </c>
      <c r="G75" s="3525">
        <f>G$28/'NLSL_Base_New-Calc'!$AA$17*'NLSL_Base_New-Calc'!$AA39</f>
        <v>3195.6139987726533</v>
      </c>
      <c r="H75" s="3525">
        <f>H$28/'NLSL_Base_New-Calc'!$AA$17*'NLSL_Base_New-Calc'!$AA39</f>
        <v>2598.1906738444345</v>
      </c>
      <c r="I75" s="3525">
        <f>I$28/'NLSL_Base_New-Calc'!$AA$17*'NLSL_Base_New-Calc'!$AA39</f>
        <v>14763.44268592216</v>
      </c>
      <c r="J75" s="3525">
        <f>J$28/'NLSL_Base_New-Calc'!$AA$17*'NLSL_Base_New-Calc'!$AA39</f>
        <v>6235.4015145299554</v>
      </c>
      <c r="K75" s="3525">
        <f>K$28/'NLSL_Base_New-Calc'!$AA$17*'NLSL_Base_New-Calc'!$AA39</f>
        <v>11900.917279207541</v>
      </c>
      <c r="L75" s="3525">
        <f>L$28/'NLSL_Base_New-Calc'!$AA$17*'NLSL_Base_New-Calc'!$AA39</f>
        <v>14561.063541467784</v>
      </c>
      <c r="M75" s="3525">
        <f>M$28/'NLSL_Base_New-Calc'!$AA$17*'NLSL_Base_New-Calc'!$AA39</f>
        <v>13596.003213242524</v>
      </c>
      <c r="N75" s="3525">
        <f>N$28/'NLSL_Base_New-Calc'!$AA$17*'NLSL_Base_New-Calc'!$AA39</f>
        <v>16322.743590824557</v>
      </c>
      <c r="O75" s="3525">
        <f>O$28/'NLSL_Base_New-Calc'!$AA$17*'NLSL_Base_New-Calc'!$AA39</f>
        <v>8485.4958376502891</v>
      </c>
      <c r="P75" s="3525">
        <f>P$28/'NLSL_Base_New-Calc'!$AA$17*'NLSL_Base_New-Calc'!$AA39</f>
        <v>4034.3375658003065</v>
      </c>
      <c r="Q75" s="3525">
        <f>Q$28/'NLSL_Base_New-Calc'!$AA$17*'NLSL_Base_New-Calc'!$AA39</f>
        <v>30536.855470276405</v>
      </c>
      <c r="R75" s="3525">
        <f>R$28/'NLSL_Base_New-Calc'!$AA$17*'NLSL_Base_New-Calc'!$AA39</f>
        <v>15082.361933472774</v>
      </c>
      <c r="S75" s="3525">
        <f>S$28/'NLSL_Base_New-Calc'!$AA$17*'NLSL_Base_New-Calc'!$AA39</f>
        <v>14426.603663786418</v>
      </c>
      <c r="U75" s="3526">
        <f>U$28/'NLSL_Base_New-Calc'!$AA$17*'NLSL_Base_New-Calc'!$AA39</f>
        <v>45728.28592124764</v>
      </c>
      <c r="V75" s="3520" t="s">
        <v>5459</v>
      </c>
      <c r="W75" s="3520" t="s">
        <v>5459</v>
      </c>
      <c r="X75" s="3520" t="s">
        <v>5459</v>
      </c>
      <c r="Y75" s="3520" t="s">
        <v>5459</v>
      </c>
      <c r="Z75" s="3520" t="s">
        <v>5459</v>
      </c>
      <c r="AA75" s="3520" t="s">
        <v>5459</v>
      </c>
      <c r="AB75" s="3520" t="s">
        <v>5459</v>
      </c>
      <c r="AC75" s="3520" t="s">
        <v>5459</v>
      </c>
      <c r="AD75" s="3520" t="s">
        <v>5459</v>
      </c>
      <c r="AE75" s="3525">
        <f>SUM(C75:AD75)</f>
        <v>268444.00214405521</v>
      </c>
    </row>
    <row r="76" spans="2:31" x14ac:dyDescent="0.25">
      <c r="B76" s="3538" t="s">
        <v>271</v>
      </c>
      <c r="C76" s="3543">
        <f>C$28/'NLSL_Base_New-Calc'!$AA$17*'NLSL_Base_New-Calc'!$AA40</f>
        <v>1249088.46104477</v>
      </c>
      <c r="D76" s="3525">
        <f>D$28/'NLSL_Base_New-Calc'!$AA$17*'NLSL_Base_New-Calc'!$AA40</f>
        <v>1067062.5837682455</v>
      </c>
      <c r="E76" s="3525">
        <f>E$28/'NLSL_Base_New-Calc'!$AA$17*'NLSL_Base_New-Calc'!$AA40</f>
        <v>1558100.1018556242</v>
      </c>
      <c r="F76" s="3525">
        <f>F$28/'NLSL_Base_New-Calc'!$AA$17*'NLSL_Base_New-Calc'!$AA40</f>
        <v>402256.85431559879</v>
      </c>
      <c r="G76" s="3525">
        <f>G$28/'NLSL_Base_New-Calc'!$AA$17*'NLSL_Base_New-Calc'!$AA40</f>
        <v>204042.17948349909</v>
      </c>
      <c r="H76" s="3525">
        <f>H$28/'NLSL_Base_New-Calc'!$AA$17*'NLSL_Base_New-Calc'!$AA40</f>
        <v>165896.28409705672</v>
      </c>
      <c r="I76" s="3525">
        <f>I$28/'NLSL_Base_New-Calc'!$AA$17*'NLSL_Base_New-Calc'!$AA40</f>
        <v>942656.09784919175</v>
      </c>
      <c r="J76" s="3525">
        <f>J$28/'NLSL_Base_New-Calc'!$AA$17*'NLSL_Base_New-Calc'!$AA40</f>
        <v>398134.72949738376</v>
      </c>
      <c r="K76" s="3525">
        <f>K$28/'NLSL_Base_New-Calc'!$AA$17*'NLSL_Base_New-Calc'!$AA40</f>
        <v>759881.8569561214</v>
      </c>
      <c r="L76" s="3525">
        <f>L$28/'NLSL_Base_New-Calc'!$AA$17*'NLSL_Base_New-Calc'!$AA40</f>
        <v>929734.04852398019</v>
      </c>
      <c r="M76" s="3525">
        <f>M$28/'NLSL_Base_New-Calc'!$AA$17*'NLSL_Base_New-Calc'!$AA40</f>
        <v>868114.27442743047</v>
      </c>
      <c r="N76" s="3525">
        <f>N$28/'NLSL_Base_New-Calc'!$AA$17*'NLSL_Base_New-Calc'!$AA40</f>
        <v>1042218.5466396512</v>
      </c>
      <c r="O76" s="3525">
        <f>O$28/'NLSL_Base_New-Calc'!$AA$17*'NLSL_Base_New-Calc'!$AA40</f>
        <v>541804.81916067051</v>
      </c>
      <c r="P76" s="3525">
        <f>P$28/'NLSL_Base_New-Calc'!$AA$17*'NLSL_Base_New-Calc'!$AA40</f>
        <v>257595.26338732016</v>
      </c>
      <c r="Q76" s="3525">
        <f>Q$28/'NLSL_Base_New-Calc'!$AA$17*'NLSL_Base_New-Calc'!$AA40</f>
        <v>1949799.4899011238</v>
      </c>
      <c r="R76" s="3525">
        <f>R$28/'NLSL_Base_New-Calc'!$AA$17*'NLSL_Base_New-Calc'!$AA40</f>
        <v>963019.31392424263</v>
      </c>
      <c r="S76" s="3525">
        <f>S$28/'NLSL_Base_New-Calc'!$AA$17*'NLSL_Base_New-Calc'!$AA40</f>
        <v>921148.69168622454</v>
      </c>
      <c r="U76" s="3526">
        <f>U$28/'NLSL_Base_New-Calc'!$AA$17*'NLSL_Base_New-Calc'!$AA40</f>
        <v>2919782.9046310228</v>
      </c>
      <c r="V76" s="3520" t="s">
        <v>5459</v>
      </c>
      <c r="W76" s="3520" t="s">
        <v>5459</v>
      </c>
      <c r="X76" s="3520" t="s">
        <v>5459</v>
      </c>
      <c r="Y76" s="3520" t="s">
        <v>5459</v>
      </c>
      <c r="Z76" s="3520" t="s">
        <v>5459</v>
      </c>
      <c r="AA76" s="3520" t="s">
        <v>5459</v>
      </c>
      <c r="AB76" s="3520" t="s">
        <v>5459</v>
      </c>
      <c r="AC76" s="3520" t="s">
        <v>5459</v>
      </c>
      <c r="AD76" s="3520" t="s">
        <v>5459</v>
      </c>
      <c r="AE76" s="3525">
        <f>SUM(C76:AD76)</f>
        <v>17140336.501149155</v>
      </c>
    </row>
    <row r="77" spans="2:31" x14ac:dyDescent="0.25">
      <c r="B77" s="3546" t="s">
        <v>5459</v>
      </c>
      <c r="C77" s="3547" t="s">
        <v>5459</v>
      </c>
      <c r="D77" s="3547" t="s">
        <v>5459</v>
      </c>
      <c r="E77" s="3547" t="s">
        <v>5459</v>
      </c>
      <c r="F77" s="3547" t="s">
        <v>5459</v>
      </c>
      <c r="G77" s="3547" t="s">
        <v>5459</v>
      </c>
      <c r="H77" s="3547" t="s">
        <v>5459</v>
      </c>
      <c r="I77" s="3547" t="s">
        <v>5459</v>
      </c>
      <c r="J77" s="3547" t="s">
        <v>5459</v>
      </c>
      <c r="K77" s="3547" t="s">
        <v>5459</v>
      </c>
      <c r="L77" s="3547" t="s">
        <v>5459</v>
      </c>
      <c r="M77" s="3547" t="s">
        <v>5459</v>
      </c>
      <c r="N77" s="3547" t="s">
        <v>5459</v>
      </c>
      <c r="O77" s="3547" t="s">
        <v>5459</v>
      </c>
      <c r="P77" s="3547" t="s">
        <v>5459</v>
      </c>
      <c r="Q77" s="3547" t="s">
        <v>5459</v>
      </c>
      <c r="R77" s="3547" t="s">
        <v>5459</v>
      </c>
      <c r="S77" s="3547" t="s">
        <v>5459</v>
      </c>
      <c r="U77" s="3548" t="s">
        <v>5459</v>
      </c>
      <c r="V77" s="3547" t="s">
        <v>5459</v>
      </c>
      <c r="W77" s="3547" t="s">
        <v>5459</v>
      </c>
      <c r="X77" s="3547" t="s">
        <v>5459</v>
      </c>
      <c r="Y77" s="3547" t="s">
        <v>5459</v>
      </c>
      <c r="Z77" s="3547" t="s">
        <v>5459</v>
      </c>
      <c r="AA77" s="3547" t="s">
        <v>5459</v>
      </c>
      <c r="AB77" s="3547" t="s">
        <v>5459</v>
      </c>
      <c r="AC77" s="3547" t="s">
        <v>5459</v>
      </c>
      <c r="AD77" s="3547" t="s">
        <v>5459</v>
      </c>
      <c r="AE77" s="3547" t="s">
        <v>5459</v>
      </c>
    </row>
    <row r="78" spans="2:31" x14ac:dyDescent="0.25">
      <c r="B78" s="3522" t="s">
        <v>561</v>
      </c>
      <c r="C78" s="3549">
        <f t="shared" ref="C78:S78" si="16">SUM(C67:C76)+C62</f>
        <v>25584265.451625269</v>
      </c>
      <c r="D78" s="3549">
        <f t="shared" si="16"/>
        <v>20035365.268027317</v>
      </c>
      <c r="E78" s="3549">
        <f t="shared" si="16"/>
        <v>30020899.319472503</v>
      </c>
      <c r="F78" s="3549">
        <f t="shared" si="16"/>
        <v>7980311.0964637762</v>
      </c>
      <c r="G78" s="3549">
        <f t="shared" si="16"/>
        <v>3558619.987597195</v>
      </c>
      <c r="H78" s="3549">
        <f t="shared" si="16"/>
        <v>2885550.0012068702</v>
      </c>
      <c r="I78" s="3549">
        <f t="shared" si="16"/>
        <v>20162720.090831906</v>
      </c>
      <c r="J78" s="3549">
        <f t="shared" si="16"/>
        <v>7580480.6532232938</v>
      </c>
      <c r="K78" s="3549">
        <f t="shared" si="16"/>
        <v>14714802.568940043</v>
      </c>
      <c r="L78" s="3549">
        <f t="shared" si="16"/>
        <v>18846352.297047149</v>
      </c>
      <c r="M78" s="3549">
        <f t="shared" si="16"/>
        <v>16975659.521551386</v>
      </c>
      <c r="N78" s="3549">
        <f t="shared" si="16"/>
        <v>20540082.286612879</v>
      </c>
      <c r="O78" s="3549">
        <f t="shared" si="16"/>
        <v>10669573.823810296</v>
      </c>
      <c r="P78" s="3549">
        <f t="shared" si="16"/>
        <v>5264460.1842017202</v>
      </c>
      <c r="Q78" s="3549">
        <f t="shared" si="16"/>
        <v>37443460.711109087</v>
      </c>
      <c r="R78" s="3549">
        <f t="shared" si="16"/>
        <v>16722899.638875516</v>
      </c>
      <c r="S78" s="3549">
        <f t="shared" si="16"/>
        <v>16531051.187588638</v>
      </c>
      <c r="U78" s="3550">
        <f>SUM(U67:U76)+U62</f>
        <v>56934518.298207402</v>
      </c>
      <c r="V78" s="3551" t="s">
        <v>5459</v>
      </c>
      <c r="W78" s="3551" t="s">
        <v>5459</v>
      </c>
      <c r="X78" s="3551" t="s">
        <v>5459</v>
      </c>
      <c r="Y78" s="3551" t="s">
        <v>5459</v>
      </c>
      <c r="Z78" s="3551" t="s">
        <v>5459</v>
      </c>
      <c r="AA78" s="3551" t="s">
        <v>5459</v>
      </c>
      <c r="AB78" s="3551" t="s">
        <v>5459</v>
      </c>
      <c r="AC78" s="3551" t="s">
        <v>5459</v>
      </c>
      <c r="AD78" s="3551" t="s">
        <v>5459</v>
      </c>
      <c r="AE78" s="3549">
        <f>SUM(AE67:AE76)+AE62</f>
        <v>336496617.15194702</v>
      </c>
    </row>
    <row r="79" spans="2:31" ht="16.5" thickBot="1" x14ac:dyDescent="0.3">
      <c r="B79" s="3552" t="s">
        <v>562</v>
      </c>
      <c r="C79" s="3553">
        <f t="shared" ref="C79:S79" si="17">C78/(C51/1000)</f>
        <v>44.041247704703039</v>
      </c>
      <c r="D79" s="3553">
        <f t="shared" si="17"/>
        <v>46.375047202913038</v>
      </c>
      <c r="E79" s="3553">
        <f t="shared" si="17"/>
        <v>39.839081631140573</v>
      </c>
      <c r="F79" s="3553">
        <f t="shared" si="17"/>
        <v>37.026451521661841</v>
      </c>
      <c r="G79" s="3553">
        <f t="shared" si="17"/>
        <v>244.40838013958486</v>
      </c>
      <c r="H79" s="3553">
        <f t="shared" si="17"/>
        <v>248.21768948190027</v>
      </c>
      <c r="I79" s="3553">
        <f t="shared" si="17"/>
        <v>87.902866881011036</v>
      </c>
      <c r="J79" s="3553">
        <f t="shared" si="17"/>
        <v>89.508568346006541</v>
      </c>
      <c r="K79" s="3553">
        <f t="shared" si="17"/>
        <v>65.717780745481619</v>
      </c>
      <c r="L79" s="3553">
        <f t="shared" si="17"/>
        <v>55.083905363162778</v>
      </c>
      <c r="M79" s="3553">
        <f t="shared" si="17"/>
        <v>66.660617461659896</v>
      </c>
      <c r="N79" s="3553">
        <f t="shared" si="17"/>
        <v>55.524990975502817</v>
      </c>
      <c r="O79" s="3553">
        <f t="shared" si="17"/>
        <v>55.966250131451439</v>
      </c>
      <c r="P79" s="3553">
        <f t="shared" si="17"/>
        <v>50.45195967456079</v>
      </c>
      <c r="Q79" s="3553">
        <f t="shared" si="17"/>
        <v>51.734064936704975</v>
      </c>
      <c r="R79" s="3553">
        <f t="shared" si="17"/>
        <v>89.052962621683804</v>
      </c>
      <c r="S79" s="3553">
        <f t="shared" si="17"/>
        <v>43.320478270615588</v>
      </c>
      <c r="U79" s="3554">
        <f>U78/(U51/1000)</f>
        <v>43.238078612335201</v>
      </c>
      <c r="V79" s="3555" t="s">
        <v>5459</v>
      </c>
      <c r="W79" s="3555" t="s">
        <v>5459</v>
      </c>
      <c r="X79" s="3555" t="s">
        <v>5459</v>
      </c>
      <c r="Y79" s="3555" t="s">
        <v>5459</v>
      </c>
      <c r="Z79" s="3555" t="s">
        <v>5459</v>
      </c>
      <c r="AA79" s="3555" t="s">
        <v>5459</v>
      </c>
      <c r="AB79" s="3555" t="s">
        <v>5459</v>
      </c>
      <c r="AC79" s="3555" t="s">
        <v>5459</v>
      </c>
      <c r="AD79" s="3555" t="s">
        <v>5459</v>
      </c>
      <c r="AE79" s="3556">
        <f>AE78/(AE51/1000)</f>
        <v>52.431605400944349</v>
      </c>
    </row>
  </sheetData>
  <mergeCells count="4">
    <mergeCell ref="B4:AE4"/>
    <mergeCell ref="B5:AE5"/>
    <mergeCell ref="B6:AE6"/>
    <mergeCell ref="B7:AE7"/>
  </mergeCells>
  <conditionalFormatting sqref="AB39:AC39">
    <cfRule type="expression" dxfId="2" priority="1" stopIfTrue="1">
      <formula>MOD(ROW(),2)=1</formula>
    </cfRule>
  </conditionalFormatting>
  <hyperlinks>
    <hyperlink ref="B2" location="TOC!A1" display="TOC" xr:uid="{00000000-0004-0000-1300-000000000000}"/>
  </hyperlinks>
  <printOptions horizontalCentered="1" headings="1"/>
  <pageMargins left="0.5" right="0.5" top="0.75" bottom="0.8" header="0.25" footer="0.25"/>
  <pageSetup scale="75" orientation="landscape" r:id="rId1"/>
  <headerFooter alignWithMargins="0">
    <oddFooter>&amp;LFY 2026-2028 ASC Filing&amp;CPage &amp;P of &amp;N&amp;R&amp;A
&amp;D</oddFooter>
  </headerFooter>
  <customProperties>
    <customPr name="_pios_id" r:id="rId2"/>
  </customPropertie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0">
    <tabColor indexed="60"/>
  </sheetPr>
  <dimension ref="A1:AA110"/>
  <sheetViews>
    <sheetView topLeftCell="A15" zoomScale="90" zoomScaleNormal="90" workbookViewId="0">
      <selection sqref="A1:XFD1048576"/>
    </sheetView>
  </sheetViews>
  <sheetFormatPr defaultRowHeight="15.75" x14ac:dyDescent="0.25"/>
  <cols>
    <col min="1" max="1" width="41.5" customWidth="1"/>
    <col min="2" max="6" width="14.625" customWidth="1"/>
    <col min="7" max="7" width="16.125" bestFit="1" customWidth="1"/>
    <col min="8" max="8" width="14.625" customWidth="1"/>
    <col min="9" max="9" width="11" bestFit="1" customWidth="1"/>
    <col min="10" max="13" width="10.125" bestFit="1" customWidth="1"/>
    <col min="14" max="14" width="12.75" bestFit="1" customWidth="1"/>
    <col min="15" max="15" width="11.375" bestFit="1" customWidth="1"/>
    <col min="16" max="17" width="11" bestFit="1" customWidth="1"/>
    <col min="18" max="18" width="11.125" bestFit="1" customWidth="1"/>
    <col min="19" max="19" width="11" bestFit="1" customWidth="1"/>
    <col min="20" max="26" width="7.625" customWidth="1"/>
    <col min="27" max="27" width="15.75" customWidth="1"/>
  </cols>
  <sheetData>
    <row r="1" spans="1:27" x14ac:dyDescent="0.25">
      <c r="A1" s="1196"/>
    </row>
    <row r="2" spans="1:27" x14ac:dyDescent="0.25">
      <c r="A2" s="1234" t="s">
        <v>695</v>
      </c>
    </row>
    <row r="3" spans="1:27" ht="16.5" thickBot="1" x14ac:dyDescent="0.3">
      <c r="A3" s="1203"/>
    </row>
    <row r="4" spans="1:27" ht="19.5" thickTop="1" x14ac:dyDescent="0.3">
      <c r="A4" s="3599" t="s">
        <v>54</v>
      </c>
      <c r="B4" s="3600"/>
      <c r="C4" s="3600"/>
      <c r="D4" s="3600"/>
      <c r="E4" s="3600"/>
      <c r="F4" s="3600"/>
      <c r="G4" s="3600"/>
      <c r="H4" s="3600"/>
      <c r="I4" s="3600"/>
      <c r="J4" s="3600"/>
      <c r="K4" s="3600"/>
      <c r="L4" s="3600"/>
      <c r="M4" s="3600"/>
      <c r="N4" s="3600"/>
      <c r="O4" s="3600"/>
      <c r="P4" s="3600"/>
      <c r="Q4" s="3600"/>
      <c r="R4" s="3600"/>
      <c r="S4" s="3600"/>
      <c r="T4" s="3600"/>
      <c r="U4" s="3600"/>
      <c r="V4" s="3600"/>
      <c r="W4" s="3600"/>
      <c r="X4" s="3600"/>
      <c r="Y4" s="3600"/>
      <c r="Z4" s="3600"/>
      <c r="AA4" s="3601"/>
    </row>
    <row r="5" spans="1:27" x14ac:dyDescent="0.25">
      <c r="A5" s="3611" t="s">
        <v>56</v>
      </c>
      <c r="B5" s="3612"/>
      <c r="C5" s="3612"/>
      <c r="D5" s="3612"/>
      <c r="E5" s="3612"/>
      <c r="F5" s="3612"/>
      <c r="G5" s="3612"/>
      <c r="H5" s="3612"/>
      <c r="I5" s="3612"/>
      <c r="J5" s="3612"/>
      <c r="K5" s="3612"/>
      <c r="L5" s="3612"/>
      <c r="M5" s="3612"/>
      <c r="N5" s="3612"/>
      <c r="O5" s="3612"/>
      <c r="P5" s="3612"/>
      <c r="Q5" s="3612"/>
      <c r="R5" s="3612"/>
      <c r="S5" s="3612"/>
      <c r="T5" s="3612"/>
      <c r="U5" s="3612"/>
      <c r="V5" s="3612"/>
      <c r="W5" s="3612"/>
      <c r="X5" s="3612"/>
      <c r="Y5" s="3612"/>
      <c r="Z5" s="3612"/>
      <c r="AA5" s="3613"/>
    </row>
    <row r="6" spans="1:27" ht="16.5" thickBot="1" x14ac:dyDescent="0.3">
      <c r="A6" s="3789" t="s">
        <v>719</v>
      </c>
      <c r="B6" s="3790"/>
      <c r="C6" s="3790"/>
      <c r="D6" s="3790"/>
      <c r="E6" s="3790"/>
      <c r="F6" s="3790"/>
      <c r="G6" s="3790"/>
      <c r="H6" s="3790"/>
      <c r="I6" s="3790"/>
      <c r="J6" s="3790"/>
      <c r="K6" s="3790"/>
      <c r="L6" s="3790"/>
      <c r="M6" s="3790"/>
      <c r="N6" s="3790"/>
      <c r="O6" s="3790"/>
      <c r="P6" s="3790"/>
      <c r="Q6" s="3790"/>
      <c r="R6" s="3790"/>
      <c r="S6" s="3790"/>
      <c r="T6" s="3790"/>
      <c r="U6" s="3790"/>
      <c r="V6" s="3790"/>
      <c r="W6" s="3790"/>
      <c r="X6" s="3790"/>
      <c r="Y6" s="3790"/>
      <c r="Z6" s="3790"/>
      <c r="AA6" s="3791"/>
    </row>
    <row r="7" spans="1:27" x14ac:dyDescent="0.25">
      <c r="A7" s="685" t="str">
        <f>'Sch 1- Rate Base '!E5</f>
        <v>PacifiCorp</v>
      </c>
      <c r="B7" s="686"/>
      <c r="C7" s="687"/>
      <c r="D7" s="824"/>
      <c r="E7" s="825"/>
      <c r="F7" s="826"/>
      <c r="G7" s="827"/>
      <c r="H7" s="828"/>
      <c r="I7" s="828"/>
      <c r="J7" s="828"/>
      <c r="K7" s="828"/>
      <c r="L7" s="828"/>
      <c r="M7" s="828"/>
      <c r="N7" s="828"/>
      <c r="O7" s="828"/>
      <c r="P7" s="828"/>
      <c r="Q7" s="828"/>
      <c r="R7" s="828"/>
      <c r="S7" s="828"/>
      <c r="T7" s="828"/>
      <c r="U7" s="828"/>
      <c r="V7" s="828"/>
      <c r="W7" s="828"/>
      <c r="X7" s="828"/>
      <c r="Y7" s="828"/>
      <c r="Z7" s="828"/>
      <c r="AA7" s="829"/>
    </row>
    <row r="8" spans="1:27" ht="16.5" thickBot="1" x14ac:dyDescent="0.3">
      <c r="A8" s="1246">
        <f>'Sch 1- Rate Base '!E7</f>
        <v>45446</v>
      </c>
      <c r="B8" s="690">
        <f>'Sch 1- Rate Base '!E6</f>
        <v>2023</v>
      </c>
      <c r="C8" s="687"/>
      <c r="D8" s="824"/>
      <c r="E8" s="825"/>
      <c r="F8" s="826"/>
      <c r="G8" s="827"/>
      <c r="H8" s="828"/>
      <c r="I8" s="828"/>
      <c r="J8" s="828"/>
      <c r="K8" s="828"/>
      <c r="L8" s="828"/>
      <c r="M8" s="828"/>
      <c r="N8" s="828"/>
      <c r="O8" s="828"/>
      <c r="P8" s="828"/>
      <c r="Q8" s="828"/>
      <c r="R8" s="828"/>
      <c r="S8" s="828"/>
      <c r="T8" s="828"/>
      <c r="U8" s="828"/>
      <c r="V8" s="828"/>
      <c r="W8" s="828"/>
      <c r="X8" s="828"/>
      <c r="Y8" s="828"/>
      <c r="Z8" s="828"/>
      <c r="AA8" s="829"/>
    </row>
    <row r="9" spans="1:27" ht="16.5" thickBot="1" x14ac:dyDescent="0.3">
      <c r="A9" s="691" t="s">
        <v>12488</v>
      </c>
      <c r="B9" s="693">
        <f>'RATE BASE DATA'!K7</f>
        <v>0.40125437407581699</v>
      </c>
      <c r="C9" s="687"/>
      <c r="D9" s="824"/>
      <c r="E9" s="825"/>
      <c r="F9" s="826"/>
      <c r="G9" s="827"/>
      <c r="H9" s="828"/>
      <c r="I9" s="828"/>
      <c r="J9" s="828"/>
      <c r="K9" s="828"/>
      <c r="L9" s="828"/>
      <c r="M9" s="828"/>
      <c r="N9" s="828"/>
      <c r="O9" s="828"/>
      <c r="P9" s="828"/>
      <c r="Q9" s="828"/>
      <c r="R9" s="828"/>
      <c r="S9" s="828"/>
      <c r="T9" s="828"/>
      <c r="U9" s="828"/>
      <c r="V9" s="828"/>
      <c r="W9" s="828"/>
      <c r="X9" s="828"/>
      <c r="Y9" s="828"/>
      <c r="Z9" s="828"/>
      <c r="AA9" s="829"/>
    </row>
    <row r="10" spans="1:27" ht="16.5" thickBot="1" x14ac:dyDescent="0.3">
      <c r="A10" s="691" t="s">
        <v>282</v>
      </c>
      <c r="B10" s="693">
        <f>'Sch 2 -Rate of Return'!E14</f>
        <v>8.4185220942944408E-2</v>
      </c>
      <c r="C10" s="688"/>
      <c r="D10" s="831"/>
      <c r="E10" s="831"/>
      <c r="F10" s="828"/>
      <c r="G10" s="828"/>
      <c r="H10" s="828"/>
      <c r="I10" s="828"/>
      <c r="J10" s="828"/>
      <c r="K10" s="828"/>
      <c r="L10" s="828"/>
      <c r="M10" s="828"/>
      <c r="N10" s="828"/>
      <c r="O10" s="828"/>
      <c r="P10" s="828"/>
      <c r="Q10" s="828"/>
      <c r="R10" s="828"/>
      <c r="S10" s="828"/>
      <c r="T10" s="828"/>
      <c r="U10" s="828"/>
      <c r="V10" s="828"/>
      <c r="W10" s="828"/>
      <c r="X10" s="828"/>
      <c r="Y10" s="828"/>
      <c r="Z10" s="828"/>
      <c r="AA10" s="830"/>
    </row>
    <row r="11" spans="1:27" ht="19.5" thickBot="1" x14ac:dyDescent="0.35">
      <c r="A11" s="694"/>
      <c r="B11" s="697">
        <f t="shared" ref="B11:Z11" si="0">IF(B14="Coal", 1,IF(B14="Hydro",2,IF(B14="Geo-Therm", 1, IF(B14="Natural Gas", 3,IF(B14="Wind",3,IF(B14= "Form 1 LF",4,IF(B14="Form 1 SF",5,"")))))))</f>
        <v>3</v>
      </c>
      <c r="C11" s="695">
        <f t="shared" si="0"/>
        <v>3</v>
      </c>
      <c r="D11" s="695">
        <f t="shared" si="0"/>
        <v>1</v>
      </c>
      <c r="E11" s="695">
        <f t="shared" si="0"/>
        <v>2</v>
      </c>
      <c r="F11" s="696">
        <f t="shared" si="0"/>
        <v>4</v>
      </c>
      <c r="G11" s="697">
        <f t="shared" si="0"/>
        <v>5</v>
      </c>
      <c r="H11" s="695">
        <f t="shared" si="0"/>
        <v>1</v>
      </c>
      <c r="I11" s="695" t="str">
        <f t="shared" si="0"/>
        <v/>
      </c>
      <c r="J11" s="695" t="str">
        <f t="shared" si="0"/>
        <v/>
      </c>
      <c r="K11" s="695" t="str">
        <f t="shared" si="0"/>
        <v/>
      </c>
      <c r="L11" s="695" t="str">
        <f t="shared" si="0"/>
        <v/>
      </c>
      <c r="M11" s="695" t="str">
        <f t="shared" si="0"/>
        <v/>
      </c>
      <c r="N11" s="695" t="str">
        <f t="shared" si="0"/>
        <v/>
      </c>
      <c r="O11" s="695" t="str">
        <f t="shared" si="0"/>
        <v/>
      </c>
      <c r="P11" s="695" t="str">
        <f t="shared" si="0"/>
        <v/>
      </c>
      <c r="Q11" s="695" t="str">
        <f t="shared" si="0"/>
        <v/>
      </c>
      <c r="R11" s="695" t="str">
        <f t="shared" si="0"/>
        <v/>
      </c>
      <c r="S11" s="695" t="str">
        <f t="shared" si="0"/>
        <v/>
      </c>
      <c r="T11" s="695" t="str">
        <f t="shared" si="0"/>
        <v/>
      </c>
      <c r="U11" s="695" t="str">
        <f t="shared" si="0"/>
        <v/>
      </c>
      <c r="V11" s="695" t="str">
        <f t="shared" si="0"/>
        <v/>
      </c>
      <c r="W11" s="695" t="str">
        <f t="shared" si="0"/>
        <v/>
      </c>
      <c r="X11" s="695" t="str">
        <f t="shared" si="0"/>
        <v/>
      </c>
      <c r="Y11" s="695" t="str">
        <f t="shared" si="0"/>
        <v/>
      </c>
      <c r="Z11" s="695" t="str">
        <f t="shared" si="0"/>
        <v/>
      </c>
      <c r="AA11" s="698"/>
    </row>
    <row r="12" spans="1:27" ht="19.5" thickBot="1" x14ac:dyDescent="0.35">
      <c r="A12" s="699"/>
      <c r="B12" s="700"/>
      <c r="C12" s="700"/>
      <c r="D12" s="700"/>
      <c r="E12" s="700"/>
      <c r="F12" s="700"/>
      <c r="G12" s="700"/>
      <c r="H12" s="700"/>
      <c r="I12" s="700"/>
      <c r="J12" s="700"/>
      <c r="K12" s="700"/>
      <c r="L12" s="700"/>
      <c r="M12" s="700"/>
      <c r="N12" s="700"/>
      <c r="O12" s="700"/>
      <c r="P12" s="700"/>
      <c r="Q12" s="700"/>
      <c r="R12" s="700"/>
      <c r="S12" s="700"/>
      <c r="T12" s="700"/>
      <c r="U12" s="700"/>
      <c r="V12" s="700"/>
      <c r="W12" s="700"/>
      <c r="X12" s="700"/>
      <c r="Y12" s="700"/>
      <c r="Z12" s="700"/>
      <c r="AA12" s="701" t="s">
        <v>286</v>
      </c>
    </row>
    <row r="13" spans="1:27" x14ac:dyDescent="0.25">
      <c r="A13" s="702" t="s">
        <v>283</v>
      </c>
      <c r="B13" s="703"/>
      <c r="C13" s="703"/>
      <c r="D13" s="703"/>
      <c r="E13" s="703"/>
      <c r="F13" s="703"/>
      <c r="G13" s="703"/>
      <c r="H13" s="703"/>
      <c r="I13" s="703"/>
      <c r="J13" s="703"/>
      <c r="K13" s="703"/>
      <c r="L13" s="703"/>
      <c r="M13" s="703"/>
      <c r="N13" s="703"/>
      <c r="O13" s="703"/>
      <c r="P13" s="703"/>
      <c r="Q13" s="703"/>
      <c r="R13" s="703"/>
      <c r="S13" s="703"/>
      <c r="T13" s="703"/>
      <c r="U13" s="703"/>
      <c r="V13" s="703"/>
      <c r="W13" s="703"/>
      <c r="X13" s="703"/>
      <c r="Y13" s="703"/>
      <c r="Z13" s="703"/>
      <c r="AA13" s="704"/>
    </row>
    <row r="14" spans="1:27" ht="16.5" thickBot="1" x14ac:dyDescent="0.3">
      <c r="A14" s="705" t="s">
        <v>284</v>
      </c>
      <c r="B14" s="706" t="s">
        <v>10433</v>
      </c>
      <c r="C14" s="706" t="s">
        <v>12489</v>
      </c>
      <c r="D14" s="706" t="s">
        <v>12490</v>
      </c>
      <c r="E14" s="706" t="s">
        <v>679</v>
      </c>
      <c r="F14" s="706" t="s">
        <v>12491</v>
      </c>
      <c r="G14" s="706" t="s">
        <v>12492</v>
      </c>
      <c r="H14" s="706" t="s">
        <v>10266</v>
      </c>
      <c r="I14" s="706"/>
      <c r="J14" s="706"/>
      <c r="K14" s="706"/>
      <c r="L14" s="706"/>
      <c r="M14" s="706"/>
      <c r="N14" s="706"/>
      <c r="O14" s="706"/>
      <c r="P14" s="706"/>
      <c r="Q14" s="706"/>
      <c r="R14" s="706"/>
      <c r="S14" s="706"/>
      <c r="T14" s="706"/>
      <c r="U14" s="706"/>
      <c r="V14" s="706"/>
      <c r="W14" s="706"/>
      <c r="X14" s="706"/>
      <c r="Y14" s="706"/>
      <c r="Z14" s="706"/>
      <c r="AA14" s="707"/>
    </row>
    <row r="15" spans="1:27" x14ac:dyDescent="0.25">
      <c r="A15" s="708" t="s">
        <v>552</v>
      </c>
      <c r="B15" s="709">
        <f>Wind_Resources_Costs!AE22*$B$9</f>
        <v>2609434759.493073</v>
      </c>
      <c r="C15" s="709">
        <f>C68*$B68</f>
        <v>5029129275.035676</v>
      </c>
      <c r="D15" s="709">
        <f>D68*$B68</f>
        <v>96499424.374315903</v>
      </c>
      <c r="E15" s="710">
        <f>E68*$B68</f>
        <v>0</v>
      </c>
      <c r="F15" s="710">
        <f>SUMIFS('3-YEAR PP &amp; OSS Worksheet'!$E$11:$E$20,'3-YEAR PP &amp; OSS Worksheet'!$B$11:$B$20,"LF")*1000</f>
        <v>9599990.2142380271</v>
      </c>
      <c r="G15" s="710">
        <f>SUMIFS('3-YEAR PP &amp; OSS Worksheet'!$E$11:$E$20,'3-YEAR PP &amp; OSS Worksheet'!$B$11:$B$20,"SF")*1000</f>
        <v>5019348889.284152</v>
      </c>
      <c r="H15" s="711">
        <f>H68*$B68</f>
        <v>1470643747.0397375</v>
      </c>
      <c r="I15" s="711"/>
      <c r="J15" s="711"/>
      <c r="K15" s="711"/>
      <c r="L15" s="711"/>
      <c r="M15" s="712"/>
      <c r="N15" s="712"/>
      <c r="O15" s="712"/>
      <c r="P15" s="712"/>
      <c r="Q15" s="712"/>
      <c r="R15" s="712"/>
      <c r="S15" s="712"/>
      <c r="T15" s="712"/>
      <c r="U15" s="712"/>
      <c r="V15" s="712"/>
      <c r="W15" s="712"/>
      <c r="X15" s="712"/>
      <c r="Y15" s="712"/>
      <c r="Z15" s="712"/>
      <c r="AA15" s="713">
        <f>SUM(B15:Z15)</f>
        <v>14234656085.441193</v>
      </c>
    </row>
    <row r="16" spans="1:27" x14ac:dyDescent="0.25">
      <c r="A16" s="708"/>
      <c r="B16" s="709"/>
      <c r="C16" s="709"/>
      <c r="D16" s="709"/>
      <c r="E16" s="710"/>
      <c r="F16" s="710"/>
      <c r="G16" s="710"/>
      <c r="H16" s="711"/>
      <c r="I16" s="711"/>
      <c r="J16" s="711"/>
      <c r="K16" s="711"/>
      <c r="L16" s="711"/>
      <c r="M16" s="712"/>
      <c r="N16" s="712"/>
      <c r="O16" s="712"/>
      <c r="P16" s="712"/>
      <c r="Q16" s="712"/>
      <c r="R16" s="712"/>
      <c r="S16" s="712"/>
      <c r="T16" s="712"/>
      <c r="U16" s="712"/>
      <c r="V16" s="712"/>
      <c r="W16" s="712"/>
      <c r="X16" s="712"/>
      <c r="Y16" s="712"/>
      <c r="Z16" s="712"/>
      <c r="AA16" s="713"/>
    </row>
    <row r="17" spans="1:27" x14ac:dyDescent="0.25">
      <c r="A17" s="708" t="s">
        <v>553</v>
      </c>
      <c r="B17" s="714">
        <f>Wind_Resources_Costs!AE28*$B$9</f>
        <v>1424930031.5452185</v>
      </c>
      <c r="C17" s="714">
        <f t="shared" ref="C17:E18" si="1">C93*$B93</f>
        <v>822222015.17578638</v>
      </c>
      <c r="D17" s="714">
        <f t="shared" si="1"/>
        <v>65258514.775776304</v>
      </c>
      <c r="E17" s="715">
        <f t="shared" si="1"/>
        <v>0</v>
      </c>
      <c r="F17" s="715">
        <f t="shared" ref="F17:G17" si="2">F93*$B93</f>
        <v>0</v>
      </c>
      <c r="G17" s="715">
        <f t="shared" si="2"/>
        <v>0</v>
      </c>
      <c r="H17" s="716">
        <f t="shared" ref="H17" si="3">H93*$B93</f>
        <v>559313274.72845614</v>
      </c>
      <c r="I17" s="716"/>
      <c r="J17" s="716"/>
      <c r="K17" s="716"/>
      <c r="L17" s="717"/>
      <c r="M17" s="718"/>
      <c r="N17" s="718"/>
      <c r="O17" s="718"/>
      <c r="P17" s="718"/>
      <c r="Q17" s="718"/>
      <c r="R17" s="718"/>
      <c r="S17" s="718"/>
      <c r="T17" s="718"/>
      <c r="U17" s="718"/>
      <c r="V17" s="718"/>
      <c r="W17" s="718"/>
      <c r="X17" s="718"/>
      <c r="Y17" s="718"/>
      <c r="Z17" s="718"/>
      <c r="AA17" s="713">
        <f>SUM(B17:Z17)</f>
        <v>2871723836.2252374</v>
      </c>
    </row>
    <row r="18" spans="1:27" x14ac:dyDescent="0.25">
      <c r="A18" s="708" t="s">
        <v>554</v>
      </c>
      <c r="B18" s="719">
        <f>Wind_Resources_Costs!AE31*$B$9</f>
        <v>-449464644.68457836</v>
      </c>
      <c r="C18" s="719">
        <f t="shared" si="1"/>
        <v>-332255184.33082557</v>
      </c>
      <c r="D18" s="719">
        <f t="shared" si="1"/>
        <v>-22698613.835052624</v>
      </c>
      <c r="E18" s="720">
        <f t="shared" si="1"/>
        <v>0</v>
      </c>
      <c r="F18" s="720">
        <f t="shared" ref="F18:G18" si="4">F94*$B94</f>
        <v>0</v>
      </c>
      <c r="G18" s="720">
        <f t="shared" si="4"/>
        <v>0</v>
      </c>
      <c r="H18" s="1638">
        <f t="shared" ref="H18" si="5">H94*$B94</f>
        <v>-492406094.10665601</v>
      </c>
      <c r="I18" s="1638"/>
      <c r="J18" s="1638"/>
      <c r="K18" s="1638"/>
      <c r="L18" s="1638"/>
      <c r="M18" s="1638"/>
      <c r="N18" s="1638"/>
      <c r="O18" s="1638"/>
      <c r="P18" s="1638"/>
      <c r="Q18" s="1638"/>
      <c r="R18" s="1638"/>
      <c r="S18" s="1638"/>
      <c r="T18" s="1638"/>
      <c r="U18" s="1638"/>
      <c r="V18" s="1638"/>
      <c r="W18" s="1638"/>
      <c r="X18" s="1638"/>
      <c r="Y18" s="1638"/>
      <c r="Z18" s="1638"/>
      <c r="AA18" s="1639">
        <f>SUM(B18:Z18)</f>
        <v>-1296824536.9571126</v>
      </c>
    </row>
    <row r="19" spans="1:27" x14ac:dyDescent="0.25">
      <c r="A19" s="708"/>
      <c r="B19" s="723"/>
      <c r="C19" s="724"/>
      <c r="D19" s="724"/>
      <c r="E19" s="723"/>
      <c r="F19" s="724"/>
      <c r="G19" s="724"/>
      <c r="H19" s="723"/>
      <c r="I19" s="723"/>
      <c r="J19" s="723"/>
      <c r="K19" s="723"/>
      <c r="L19" s="723"/>
      <c r="M19" s="725"/>
      <c r="N19" s="725"/>
      <c r="O19" s="725"/>
      <c r="P19" s="725"/>
      <c r="Q19" s="725"/>
      <c r="R19" s="725"/>
      <c r="S19" s="725"/>
      <c r="T19" s="725"/>
      <c r="U19" s="725"/>
      <c r="V19" s="725"/>
      <c r="W19" s="725"/>
      <c r="X19" s="725"/>
      <c r="Y19" s="725"/>
      <c r="Z19" s="725"/>
      <c r="AA19" s="1604"/>
    </row>
    <row r="20" spans="1:27" x14ac:dyDescent="0.25">
      <c r="A20" s="1240" t="s">
        <v>555</v>
      </c>
      <c r="B20" s="1241">
        <f>B17+B18</f>
        <v>975465386.86064005</v>
      </c>
      <c r="C20" s="1241">
        <f t="shared" ref="C20:D20" si="6">C17+C18</f>
        <v>489966830.84496081</v>
      </c>
      <c r="D20" s="1241">
        <f t="shared" si="6"/>
        <v>42559900.94072368</v>
      </c>
      <c r="E20" s="1241">
        <f t="shared" ref="E20:Z20" si="7">E17+E18</f>
        <v>0</v>
      </c>
      <c r="F20" s="1241">
        <f t="shared" si="7"/>
        <v>0</v>
      </c>
      <c r="G20" s="1241">
        <f t="shared" si="7"/>
        <v>0</v>
      </c>
      <c r="H20" s="1241">
        <f t="shared" si="7"/>
        <v>66907180.621800125</v>
      </c>
      <c r="I20" s="1241">
        <f t="shared" si="7"/>
        <v>0</v>
      </c>
      <c r="J20" s="1241">
        <f t="shared" si="7"/>
        <v>0</v>
      </c>
      <c r="K20" s="1241">
        <f t="shared" si="7"/>
        <v>0</v>
      </c>
      <c r="L20" s="1241">
        <f t="shared" si="7"/>
        <v>0</v>
      </c>
      <c r="M20" s="1241">
        <f t="shared" si="7"/>
        <v>0</v>
      </c>
      <c r="N20" s="1241">
        <f t="shared" si="7"/>
        <v>0</v>
      </c>
      <c r="O20" s="1241">
        <f t="shared" si="7"/>
        <v>0</v>
      </c>
      <c r="P20" s="1241">
        <f t="shared" si="7"/>
        <v>0</v>
      </c>
      <c r="Q20" s="1241">
        <f t="shared" si="7"/>
        <v>0</v>
      </c>
      <c r="R20" s="1241">
        <f t="shared" si="7"/>
        <v>0</v>
      </c>
      <c r="S20" s="1241">
        <f t="shared" si="7"/>
        <v>0</v>
      </c>
      <c r="T20" s="1241">
        <f t="shared" si="7"/>
        <v>0</v>
      </c>
      <c r="U20" s="1241">
        <f t="shared" si="7"/>
        <v>0</v>
      </c>
      <c r="V20" s="1241">
        <f t="shared" si="7"/>
        <v>0</v>
      </c>
      <c r="W20" s="1241">
        <f t="shared" si="7"/>
        <v>0</v>
      </c>
      <c r="X20" s="1241">
        <f t="shared" si="7"/>
        <v>0</v>
      </c>
      <c r="Y20" s="1241">
        <f t="shared" si="7"/>
        <v>0</v>
      </c>
      <c r="Z20" s="1241">
        <f t="shared" si="7"/>
        <v>0</v>
      </c>
      <c r="AA20" s="1242">
        <f>SUM(B20:Z20)</f>
        <v>1574899299.2681246</v>
      </c>
    </row>
    <row r="21" spans="1:27" x14ac:dyDescent="0.25">
      <c r="A21" s="708" t="s">
        <v>436</v>
      </c>
      <c r="B21" s="727"/>
      <c r="C21" s="727"/>
      <c r="D21" s="714"/>
      <c r="E21" s="715"/>
      <c r="F21" s="715"/>
      <c r="G21" s="715"/>
      <c r="H21" s="1638"/>
      <c r="I21" s="1638"/>
      <c r="J21" s="1638"/>
      <c r="K21" s="1638"/>
      <c r="L21" s="1638"/>
      <c r="M21" s="1638"/>
      <c r="N21" s="1638"/>
      <c r="O21" s="1638"/>
      <c r="P21" s="1638"/>
      <c r="Q21" s="1638"/>
      <c r="R21" s="1638"/>
      <c r="S21" s="1638"/>
      <c r="T21" s="1638"/>
      <c r="U21" s="1638"/>
      <c r="V21" s="1638"/>
      <c r="W21" s="1638"/>
      <c r="X21" s="1638"/>
      <c r="Y21" s="1638"/>
      <c r="Z21" s="1638"/>
      <c r="AA21" s="713">
        <f>SUM(B21:Z21)</f>
        <v>0</v>
      </c>
    </row>
    <row r="22" spans="1:27" x14ac:dyDescent="0.25">
      <c r="A22" s="832" t="s">
        <v>556</v>
      </c>
      <c r="B22" s="833" t="s">
        <v>241</v>
      </c>
      <c r="C22" s="733"/>
      <c r="D22" s="733"/>
      <c r="E22" s="733"/>
      <c r="F22" s="733"/>
      <c r="G22" s="733"/>
      <c r="H22" s="1640"/>
      <c r="I22" s="1640"/>
      <c r="J22" s="1640"/>
      <c r="K22" s="1640"/>
      <c r="L22" s="1640"/>
      <c r="M22" s="1640"/>
      <c r="N22" s="1640"/>
      <c r="O22" s="1640"/>
      <c r="P22" s="1640"/>
      <c r="Q22" s="1640"/>
      <c r="R22" s="1640"/>
      <c r="S22" s="1640"/>
      <c r="T22" s="1640"/>
      <c r="U22" s="1640"/>
      <c r="V22" s="1640"/>
      <c r="W22" s="1640"/>
      <c r="X22" s="1640"/>
      <c r="Y22" s="1640"/>
      <c r="Z22" s="1640"/>
      <c r="AA22" s="847">
        <f>'Sch 1- Rate Base '!G105*Ratios!R50</f>
        <v>46810467.530571058</v>
      </c>
    </row>
    <row r="23" spans="1:27" x14ac:dyDescent="0.25">
      <c r="A23" s="832" t="s">
        <v>402</v>
      </c>
      <c r="B23" s="833" t="s">
        <v>404</v>
      </c>
      <c r="C23" s="733"/>
      <c r="D23" s="733"/>
      <c r="E23" s="733"/>
      <c r="F23" s="733"/>
      <c r="G23" s="733"/>
      <c r="H23" s="1640"/>
      <c r="I23" s="1640"/>
      <c r="J23" s="1640"/>
      <c r="K23" s="1640"/>
      <c r="L23" s="1640"/>
      <c r="M23" s="1640"/>
      <c r="N23" s="1640"/>
      <c r="O23" s="1640"/>
      <c r="P23" s="1640"/>
      <c r="Q23" s="1640"/>
      <c r="R23" s="1640"/>
      <c r="S23" s="1640"/>
      <c r="T23" s="1640"/>
      <c r="U23" s="1640"/>
      <c r="V23" s="1640"/>
      <c r="W23" s="1640"/>
      <c r="X23" s="1640"/>
      <c r="Y23" s="1640"/>
      <c r="Z23" s="1640"/>
      <c r="AA23" s="847">
        <f>Ratios!R37-'Sch 1- Rate Base '!G63*Ratios!R38</f>
        <v>64324371.550673798</v>
      </c>
    </row>
    <row r="24" spans="1:27" x14ac:dyDescent="0.25">
      <c r="A24" s="1240" t="s">
        <v>557</v>
      </c>
      <c r="B24" s="1241">
        <f t="shared" ref="B24:AA24" si="8">SUM(B20:B23)</f>
        <v>975465386.86064005</v>
      </c>
      <c r="C24" s="1241">
        <f t="shared" ref="C24:D24" si="9">SUM(C20:C23)</f>
        <v>489966830.84496081</v>
      </c>
      <c r="D24" s="1241">
        <f t="shared" si="9"/>
        <v>42559900.94072368</v>
      </c>
      <c r="E24" s="1241">
        <f t="shared" si="8"/>
        <v>0</v>
      </c>
      <c r="F24" s="1241">
        <f t="shared" si="8"/>
        <v>0</v>
      </c>
      <c r="G24" s="1241">
        <f t="shared" si="8"/>
        <v>0</v>
      </c>
      <c r="H24" s="1241">
        <f t="shared" si="8"/>
        <v>66907180.621800125</v>
      </c>
      <c r="I24" s="1241">
        <f t="shared" si="8"/>
        <v>0</v>
      </c>
      <c r="J24" s="1241">
        <f t="shared" si="8"/>
        <v>0</v>
      </c>
      <c r="K24" s="1241">
        <f t="shared" si="8"/>
        <v>0</v>
      </c>
      <c r="L24" s="1241">
        <f t="shared" si="8"/>
        <v>0</v>
      </c>
      <c r="M24" s="1241">
        <f t="shared" si="8"/>
        <v>0</v>
      </c>
      <c r="N24" s="1241">
        <f t="shared" si="8"/>
        <v>0</v>
      </c>
      <c r="O24" s="1241">
        <f t="shared" si="8"/>
        <v>0</v>
      </c>
      <c r="P24" s="1241">
        <f t="shared" si="8"/>
        <v>0</v>
      </c>
      <c r="Q24" s="1241">
        <f t="shared" si="8"/>
        <v>0</v>
      </c>
      <c r="R24" s="1241">
        <f t="shared" si="8"/>
        <v>0</v>
      </c>
      <c r="S24" s="1241">
        <f t="shared" si="8"/>
        <v>0</v>
      </c>
      <c r="T24" s="1241">
        <f t="shared" si="8"/>
        <v>0</v>
      </c>
      <c r="U24" s="1241">
        <f t="shared" si="8"/>
        <v>0</v>
      </c>
      <c r="V24" s="1241">
        <f t="shared" si="8"/>
        <v>0</v>
      </c>
      <c r="W24" s="1241">
        <f t="shared" si="8"/>
        <v>0</v>
      </c>
      <c r="X24" s="1241">
        <f t="shared" si="8"/>
        <v>0</v>
      </c>
      <c r="Y24" s="1241">
        <f t="shared" si="8"/>
        <v>0</v>
      </c>
      <c r="Z24" s="1241">
        <f t="shared" si="8"/>
        <v>0</v>
      </c>
      <c r="AA24" s="1242">
        <f t="shared" si="8"/>
        <v>1686034138.3493693</v>
      </c>
    </row>
    <row r="25" spans="1:27" x14ac:dyDescent="0.25">
      <c r="A25" s="1243" t="s">
        <v>277</v>
      </c>
      <c r="B25" s="1244">
        <f t="shared" ref="B25:AA25" si="10">$B$10</f>
        <v>8.4185220942944408E-2</v>
      </c>
      <c r="C25" s="1244">
        <f t="shared" si="10"/>
        <v>8.4185220942944408E-2</v>
      </c>
      <c r="D25" s="1244">
        <f t="shared" si="10"/>
        <v>8.4185220942944408E-2</v>
      </c>
      <c r="E25" s="1244">
        <f t="shared" si="10"/>
        <v>8.4185220942944408E-2</v>
      </c>
      <c r="F25" s="1244">
        <f t="shared" si="10"/>
        <v>8.4185220942944408E-2</v>
      </c>
      <c r="G25" s="1244">
        <f t="shared" si="10"/>
        <v>8.4185220942944408E-2</v>
      </c>
      <c r="H25" s="1244">
        <f t="shared" si="10"/>
        <v>8.4185220942944408E-2</v>
      </c>
      <c r="I25" s="1244">
        <f t="shared" si="10"/>
        <v>8.4185220942944408E-2</v>
      </c>
      <c r="J25" s="1244">
        <f t="shared" si="10"/>
        <v>8.4185220942944408E-2</v>
      </c>
      <c r="K25" s="1244">
        <f t="shared" si="10"/>
        <v>8.4185220942944408E-2</v>
      </c>
      <c r="L25" s="1244">
        <f t="shared" si="10"/>
        <v>8.4185220942944408E-2</v>
      </c>
      <c r="M25" s="1244">
        <f t="shared" si="10"/>
        <v>8.4185220942944408E-2</v>
      </c>
      <c r="N25" s="1244">
        <f t="shared" si="10"/>
        <v>8.4185220942944408E-2</v>
      </c>
      <c r="O25" s="1244">
        <f t="shared" si="10"/>
        <v>8.4185220942944408E-2</v>
      </c>
      <c r="P25" s="1244">
        <f t="shared" si="10"/>
        <v>8.4185220942944408E-2</v>
      </c>
      <c r="Q25" s="1244">
        <f t="shared" si="10"/>
        <v>8.4185220942944408E-2</v>
      </c>
      <c r="R25" s="1244">
        <f t="shared" si="10"/>
        <v>8.4185220942944408E-2</v>
      </c>
      <c r="S25" s="1244">
        <f t="shared" si="10"/>
        <v>8.4185220942944408E-2</v>
      </c>
      <c r="T25" s="1244">
        <f t="shared" si="10"/>
        <v>8.4185220942944408E-2</v>
      </c>
      <c r="U25" s="1244">
        <f t="shared" si="10"/>
        <v>8.4185220942944408E-2</v>
      </c>
      <c r="V25" s="1244">
        <f t="shared" si="10"/>
        <v>8.4185220942944408E-2</v>
      </c>
      <c r="W25" s="1244">
        <f t="shared" si="10"/>
        <v>8.4185220942944408E-2</v>
      </c>
      <c r="X25" s="1244">
        <f t="shared" si="10"/>
        <v>8.4185220942944408E-2</v>
      </c>
      <c r="Y25" s="1244">
        <f t="shared" si="10"/>
        <v>8.4185220942944408E-2</v>
      </c>
      <c r="Z25" s="1244">
        <f t="shared" si="10"/>
        <v>8.4185220942944408E-2</v>
      </c>
      <c r="AA25" s="1245">
        <f t="shared" si="10"/>
        <v>8.4185220942944408E-2</v>
      </c>
    </row>
    <row r="26" spans="1:27" x14ac:dyDescent="0.25">
      <c r="A26" s="1240" t="s">
        <v>558</v>
      </c>
      <c r="B26" s="1241">
        <f t="shared" ref="B26:AA26" si="11">B24*B25</f>
        <v>82119769.115057722</v>
      </c>
      <c r="C26" s="1241">
        <f t="shared" ref="C26:D26" si="12">C24*C25</f>
        <v>41247965.909397297</v>
      </c>
      <c r="D26" s="1241">
        <f t="shared" si="12"/>
        <v>3582914.6640046504</v>
      </c>
      <c r="E26" s="1241">
        <f t="shared" si="11"/>
        <v>0</v>
      </c>
      <c r="F26" s="1241">
        <f t="shared" si="11"/>
        <v>0</v>
      </c>
      <c r="G26" s="1241">
        <f t="shared" si="11"/>
        <v>0</v>
      </c>
      <c r="H26" s="1241">
        <f t="shared" si="11"/>
        <v>5632595.7833157321</v>
      </c>
      <c r="I26" s="1241">
        <f t="shared" si="11"/>
        <v>0</v>
      </c>
      <c r="J26" s="1241">
        <f t="shared" si="11"/>
        <v>0</v>
      </c>
      <c r="K26" s="1241">
        <f t="shared" si="11"/>
        <v>0</v>
      </c>
      <c r="L26" s="1241">
        <f t="shared" si="11"/>
        <v>0</v>
      </c>
      <c r="M26" s="1241">
        <f t="shared" si="11"/>
        <v>0</v>
      </c>
      <c r="N26" s="1241">
        <f t="shared" si="11"/>
        <v>0</v>
      </c>
      <c r="O26" s="1241">
        <f t="shared" si="11"/>
        <v>0</v>
      </c>
      <c r="P26" s="1241">
        <f t="shared" si="11"/>
        <v>0</v>
      </c>
      <c r="Q26" s="1241">
        <f t="shared" si="11"/>
        <v>0</v>
      </c>
      <c r="R26" s="1241">
        <f t="shared" si="11"/>
        <v>0</v>
      </c>
      <c r="S26" s="1241">
        <f t="shared" si="11"/>
        <v>0</v>
      </c>
      <c r="T26" s="1241">
        <f t="shared" si="11"/>
        <v>0</v>
      </c>
      <c r="U26" s="1241">
        <f t="shared" si="11"/>
        <v>0</v>
      </c>
      <c r="V26" s="1241">
        <f t="shared" si="11"/>
        <v>0</v>
      </c>
      <c r="W26" s="1241">
        <f t="shared" si="11"/>
        <v>0</v>
      </c>
      <c r="X26" s="1241">
        <f t="shared" si="11"/>
        <v>0</v>
      </c>
      <c r="Y26" s="1241">
        <f t="shared" si="11"/>
        <v>0</v>
      </c>
      <c r="Z26" s="1241">
        <f t="shared" si="11"/>
        <v>0</v>
      </c>
      <c r="AA26" s="1242">
        <f t="shared" si="11"/>
        <v>141939156.45428854</v>
      </c>
    </row>
    <row r="27" spans="1:27" x14ac:dyDescent="0.25">
      <c r="A27" s="708"/>
      <c r="B27" s="714"/>
      <c r="C27" s="714"/>
      <c r="D27" s="714"/>
      <c r="E27" s="715"/>
      <c r="F27" s="715"/>
      <c r="G27" s="715"/>
      <c r="H27" s="714"/>
      <c r="I27" s="714"/>
      <c r="J27" s="714"/>
      <c r="K27" s="714"/>
      <c r="L27" s="714"/>
      <c r="M27" s="714"/>
      <c r="N27" s="714"/>
      <c r="O27" s="714"/>
      <c r="P27" s="714"/>
      <c r="Q27" s="714"/>
      <c r="R27" s="714"/>
      <c r="S27" s="714"/>
      <c r="T27" s="714"/>
      <c r="U27" s="714"/>
      <c r="V27" s="714"/>
      <c r="W27" s="714"/>
      <c r="X27" s="714"/>
      <c r="Y27" s="714"/>
      <c r="Z27" s="714"/>
      <c r="AA27" s="713"/>
    </row>
    <row r="28" spans="1:27" x14ac:dyDescent="0.25">
      <c r="A28" s="729" t="s">
        <v>403</v>
      </c>
      <c r="B28" s="714"/>
      <c r="C28" s="714"/>
      <c r="D28" s="714"/>
      <c r="E28" s="715"/>
      <c r="F28" s="715"/>
      <c r="G28" s="715"/>
      <c r="H28" s="714"/>
      <c r="I28" s="714"/>
      <c r="J28" s="714"/>
      <c r="K28" s="714"/>
      <c r="L28" s="714"/>
      <c r="M28" s="714"/>
      <c r="N28" s="714"/>
      <c r="O28" s="714"/>
      <c r="P28" s="714"/>
      <c r="Q28" s="714"/>
      <c r="R28" s="714"/>
      <c r="S28" s="714"/>
      <c r="T28" s="714"/>
      <c r="U28" s="714"/>
      <c r="V28" s="714"/>
      <c r="W28" s="714"/>
      <c r="X28" s="714"/>
      <c r="Y28" s="714"/>
      <c r="Z28" s="714"/>
      <c r="AA28" s="713"/>
    </row>
    <row r="29" spans="1:27" x14ac:dyDescent="0.25">
      <c r="A29" s="729" t="s">
        <v>405</v>
      </c>
      <c r="B29" s="714">
        <f>Wind_Resources_Costs!AE32*$B$9</f>
        <v>47497667.718173951</v>
      </c>
      <c r="C29" s="714">
        <f>C97*$B97</f>
        <v>20852725.827175364</v>
      </c>
      <c r="D29" s="714">
        <f>D97*$B97</f>
        <v>1418663.364690789</v>
      </c>
      <c r="E29" s="715">
        <f>E97*$B97</f>
        <v>0</v>
      </c>
      <c r="F29" s="715">
        <f t="shared" ref="F29:H29" si="13">F97*$B97</f>
        <v>0</v>
      </c>
      <c r="G29" s="715">
        <f t="shared" si="13"/>
        <v>0</v>
      </c>
      <c r="H29" s="716">
        <f t="shared" si="13"/>
        <v>12116493.916555546</v>
      </c>
      <c r="I29" s="716"/>
      <c r="J29" s="716"/>
      <c r="K29" s="716"/>
      <c r="L29" s="730"/>
      <c r="M29" s="718"/>
      <c r="N29" s="718"/>
      <c r="O29" s="718"/>
      <c r="P29" s="718"/>
      <c r="Q29" s="718"/>
      <c r="R29" s="718"/>
      <c r="S29" s="718"/>
      <c r="T29" s="718"/>
      <c r="U29" s="718"/>
      <c r="V29" s="718"/>
      <c r="W29" s="718"/>
      <c r="X29" s="718"/>
      <c r="Y29" s="718"/>
      <c r="Z29" s="718"/>
      <c r="AA29" s="713">
        <f>SUM(B29:Z29)</f>
        <v>81885550.826595664</v>
      </c>
    </row>
    <row r="30" spans="1:27" x14ac:dyDescent="0.25">
      <c r="A30" s="832" t="s">
        <v>92</v>
      </c>
      <c r="B30" s="833" t="s">
        <v>406</v>
      </c>
      <c r="C30" s="733"/>
      <c r="D30" s="733"/>
      <c r="E30" s="733"/>
      <c r="F30" s="1612"/>
      <c r="G30" s="1612"/>
      <c r="H30" s="1612"/>
      <c r="I30" s="1612"/>
      <c r="J30" s="1612"/>
      <c r="K30" s="1612"/>
      <c r="L30" s="1613"/>
      <c r="M30" s="1614"/>
      <c r="N30" s="1614"/>
      <c r="O30" s="1614"/>
      <c r="P30" s="1614"/>
      <c r="Q30" s="1614"/>
      <c r="R30" s="1614"/>
      <c r="S30" s="1614"/>
      <c r="T30" s="1614"/>
      <c r="U30" s="1614"/>
      <c r="V30" s="1614"/>
      <c r="W30" s="1614"/>
      <c r="X30" s="1614"/>
      <c r="Y30" s="1614"/>
      <c r="Z30" s="1614"/>
      <c r="AA30" s="1641">
        <f>'Sch 3 - Expenses'!G91*Ratios!R38</f>
        <v>3307939.4126874879</v>
      </c>
    </row>
    <row r="31" spans="1:27" x14ac:dyDescent="0.25">
      <c r="A31" s="729" t="s">
        <v>407</v>
      </c>
      <c r="B31" s="714">
        <f>B29</f>
        <v>47497667.718173951</v>
      </c>
      <c r="C31" s="714">
        <f>C29</f>
        <v>20852725.827175364</v>
      </c>
      <c r="D31" s="714">
        <f>D29</f>
        <v>1418663.364690789</v>
      </c>
      <c r="E31" s="715">
        <f>E29</f>
        <v>0</v>
      </c>
      <c r="F31" s="715">
        <f t="shared" ref="F31:G31" si="14">F29</f>
        <v>0</v>
      </c>
      <c r="G31" s="715">
        <f t="shared" si="14"/>
        <v>0</v>
      </c>
      <c r="H31" s="716">
        <f t="shared" ref="H31" si="15">H29</f>
        <v>12116493.916555546</v>
      </c>
      <c r="I31" s="716"/>
      <c r="J31" s="716"/>
      <c r="K31" s="716"/>
      <c r="L31" s="730"/>
      <c r="M31" s="718"/>
      <c r="N31" s="718"/>
      <c r="O31" s="718"/>
      <c r="P31" s="718"/>
      <c r="Q31" s="718"/>
      <c r="R31" s="718"/>
      <c r="S31" s="718"/>
      <c r="T31" s="718"/>
      <c r="U31" s="718"/>
      <c r="V31" s="718"/>
      <c r="W31" s="718"/>
      <c r="X31" s="718"/>
      <c r="Y31" s="718"/>
      <c r="Z31" s="718"/>
      <c r="AA31" s="713">
        <f>SUM(AA29:AA30)</f>
        <v>85193490.239283144</v>
      </c>
    </row>
    <row r="32" spans="1:27" x14ac:dyDescent="0.25">
      <c r="A32" s="729"/>
      <c r="B32" s="714"/>
      <c r="C32" s="714"/>
      <c r="D32" s="714"/>
      <c r="E32" s="715"/>
      <c r="F32" s="715"/>
      <c r="G32" s="715"/>
      <c r="H32" s="716"/>
      <c r="I32" s="716"/>
      <c r="J32" s="716"/>
      <c r="K32" s="716"/>
      <c r="L32" s="730"/>
      <c r="M32" s="718"/>
      <c r="N32" s="718"/>
      <c r="O32" s="718"/>
      <c r="P32" s="718"/>
      <c r="Q32" s="718"/>
      <c r="R32" s="718"/>
      <c r="S32" s="718"/>
      <c r="T32" s="718"/>
      <c r="U32" s="718"/>
      <c r="V32" s="718"/>
      <c r="W32" s="718"/>
      <c r="X32" s="718"/>
      <c r="Y32" s="718"/>
      <c r="Z32" s="718"/>
      <c r="AA32" s="713"/>
    </row>
    <row r="33" spans="1:27" x14ac:dyDescent="0.25">
      <c r="A33" s="729" t="s">
        <v>232</v>
      </c>
      <c r="B33" s="714">
        <f>SUM(Wind_Resources_Costs!AE34:AE37)*$B$9</f>
        <v>7582755.0921488851</v>
      </c>
      <c r="C33" s="714">
        <f>C99*$B99</f>
        <v>19116041.297464453</v>
      </c>
      <c r="D33" s="714">
        <f>D99*$B99</f>
        <v>5428691.0917362506</v>
      </c>
      <c r="E33" s="715">
        <f>E99*$B99</f>
        <v>0</v>
      </c>
      <c r="F33" s="715">
        <f t="shared" ref="F33:G33" si="16">F99*$B99</f>
        <v>0</v>
      </c>
      <c r="G33" s="715">
        <f t="shared" si="16"/>
        <v>0</v>
      </c>
      <c r="H33" s="716">
        <f t="shared" ref="H33" si="17">H99*$B99</f>
        <v>27419037.297313195</v>
      </c>
      <c r="I33" s="716"/>
      <c r="J33" s="716"/>
      <c r="K33" s="716"/>
      <c r="L33" s="730"/>
      <c r="M33" s="718"/>
      <c r="N33" s="718"/>
      <c r="O33" s="718"/>
      <c r="P33" s="718"/>
      <c r="Q33" s="718"/>
      <c r="R33" s="718"/>
      <c r="S33" s="718"/>
      <c r="T33" s="718"/>
      <c r="U33" s="718"/>
      <c r="V33" s="718"/>
      <c r="W33" s="718"/>
      <c r="X33" s="718"/>
      <c r="Y33" s="718"/>
      <c r="Z33" s="718"/>
      <c r="AA33" s="713">
        <f>SUM(B33:Z33)</f>
        <v>59546524.778662786</v>
      </c>
    </row>
    <row r="34" spans="1:27" x14ac:dyDescent="0.25">
      <c r="A34" s="729" t="s">
        <v>233</v>
      </c>
      <c r="B34" s="714">
        <f>SUM(Wind_Resources_Costs!AE38:AE40)*$B$9</f>
        <v>8046455.480698999</v>
      </c>
      <c r="C34" s="714">
        <v>0</v>
      </c>
      <c r="D34" s="714">
        <v>0</v>
      </c>
      <c r="E34" s="731">
        <v>0</v>
      </c>
      <c r="F34" s="731">
        <v>0</v>
      </c>
      <c r="G34" s="731">
        <v>0</v>
      </c>
      <c r="H34" s="716">
        <v>0</v>
      </c>
      <c r="I34" s="716"/>
      <c r="J34" s="716"/>
      <c r="K34" s="716"/>
      <c r="L34" s="730"/>
      <c r="M34" s="718"/>
      <c r="N34" s="718"/>
      <c r="O34" s="718"/>
      <c r="P34" s="718"/>
      <c r="Q34" s="718"/>
      <c r="R34" s="718"/>
      <c r="S34" s="718"/>
      <c r="T34" s="718"/>
      <c r="U34" s="718"/>
      <c r="V34" s="718"/>
      <c r="W34" s="718"/>
      <c r="X34" s="718"/>
      <c r="Y34" s="718"/>
      <c r="Z34" s="718"/>
      <c r="AA34" s="713">
        <f>SUM(B34:Z34)</f>
        <v>8046455.480698999</v>
      </c>
    </row>
    <row r="35" spans="1:27" x14ac:dyDescent="0.25">
      <c r="A35" s="708" t="s">
        <v>559</v>
      </c>
      <c r="B35" s="714"/>
      <c r="C35" s="714">
        <f>C98*$B98</f>
        <v>189151086.56093064</v>
      </c>
      <c r="D35" s="715">
        <f>D98*$B98</f>
        <v>0</v>
      </c>
      <c r="E35" s="732">
        <f>E98*$B98</f>
        <v>0</v>
      </c>
      <c r="F35" s="732">
        <f t="shared" ref="F35:G35" si="18">F98*$B98</f>
        <v>0</v>
      </c>
      <c r="G35" s="732">
        <f t="shared" si="18"/>
        <v>0</v>
      </c>
      <c r="H35" s="716">
        <f t="shared" ref="H35" si="19">H98*$B98</f>
        <v>42420748.59511102</v>
      </c>
      <c r="I35" s="716"/>
      <c r="J35" s="716"/>
      <c r="K35" s="716"/>
      <c r="L35" s="716"/>
      <c r="M35" s="718"/>
      <c r="N35" s="718"/>
      <c r="O35" s="718"/>
      <c r="P35" s="718"/>
      <c r="Q35" s="718"/>
      <c r="R35" s="718"/>
      <c r="S35" s="718"/>
      <c r="T35" s="718"/>
      <c r="U35" s="718"/>
      <c r="V35" s="718"/>
      <c r="W35" s="718"/>
      <c r="X35" s="718"/>
      <c r="Y35" s="718"/>
      <c r="Z35" s="718"/>
      <c r="AA35" s="713">
        <f>SUM(B35:Z35)</f>
        <v>231571835.15604165</v>
      </c>
    </row>
    <row r="36" spans="1:27" x14ac:dyDescent="0.25">
      <c r="A36" s="832" t="s">
        <v>560</v>
      </c>
      <c r="B36" s="733" t="s">
        <v>234</v>
      </c>
      <c r="C36" s="733"/>
      <c r="D36" s="834"/>
      <c r="E36" s="834"/>
      <c r="F36" s="834"/>
      <c r="G36" s="834"/>
      <c r="H36" s="733"/>
      <c r="I36" s="733"/>
      <c r="J36" s="733"/>
      <c r="K36" s="733"/>
      <c r="L36" s="733"/>
      <c r="M36" s="734"/>
      <c r="N36" s="734"/>
      <c r="O36" s="734"/>
      <c r="P36" s="734"/>
      <c r="Q36" s="734"/>
      <c r="R36" s="734"/>
      <c r="S36" s="734"/>
      <c r="T36" s="734"/>
      <c r="U36" s="734"/>
      <c r="V36" s="734"/>
      <c r="W36" s="734"/>
      <c r="X36" s="734"/>
      <c r="Y36" s="734"/>
      <c r="Z36" s="734"/>
      <c r="AA36" s="847">
        <f>('Sch 3 - Expenses'!G59+'Sch 3 - Expenses'!G60-'Sch 3 - Expenses'!G61+'Sch 3 - Expenses'!G62+'Sch 3 - Expenses'!G64+'Sch 3 - Expenses'!G65)*Ratios!R22+('Sch 3 - Expenses'!G63-'Sch 3 - Expenses'!G68)*Ratios!R59+'Sch 3 - Expenses'!G74*Ratios!R74</f>
        <v>127435041.63781404</v>
      </c>
    </row>
    <row r="37" spans="1:27" x14ac:dyDescent="0.25">
      <c r="A37" s="708" t="s">
        <v>235</v>
      </c>
      <c r="B37" s="714"/>
      <c r="C37" s="714">
        <f>'3-YEAR PP &amp; OSS Worksheet'!D12</f>
        <v>454578.44152403536</v>
      </c>
      <c r="D37" s="715"/>
      <c r="E37" s="715"/>
      <c r="F37" s="715">
        <f>SUMIFS('3-YEAR PP &amp; OSS Worksheet'!$D$11:$D$20,'3-YEAR PP &amp; OSS Worksheet'!$B$11:$B$20,"LF")</f>
        <v>454578.44152403536</v>
      </c>
      <c r="G37" s="715">
        <f>SUMIFS('3-YEAR PP &amp; OSS Worksheet'!$D$11:$D$20,'3-YEAR PP &amp; OSS Worksheet'!$B$11:$B$20,"SF")</f>
        <v>571601614.6090368</v>
      </c>
      <c r="H37" s="715"/>
      <c r="I37" s="715"/>
      <c r="J37" s="715"/>
      <c r="K37" s="715"/>
      <c r="L37" s="715"/>
      <c r="M37" s="715"/>
      <c r="N37" s="715"/>
      <c r="O37" s="715"/>
      <c r="P37" s="715"/>
      <c r="Q37" s="715"/>
      <c r="R37" s="715"/>
      <c r="S37" s="715"/>
      <c r="T37" s="715"/>
      <c r="U37" s="715"/>
      <c r="V37" s="715"/>
      <c r="W37" s="715"/>
      <c r="X37" s="715"/>
      <c r="Y37" s="715"/>
      <c r="Z37" s="715"/>
      <c r="AA37" s="713">
        <f>SUM(B37:Z37)</f>
        <v>572510771.49208486</v>
      </c>
    </row>
    <row r="38" spans="1:27" x14ac:dyDescent="0.25">
      <c r="A38" s="832" t="s">
        <v>236</v>
      </c>
      <c r="B38" s="733" t="s">
        <v>238</v>
      </c>
      <c r="C38" s="733"/>
      <c r="D38" s="834"/>
      <c r="E38" s="834"/>
      <c r="F38" s="834"/>
      <c r="G38" s="834"/>
      <c r="H38" s="735"/>
      <c r="I38" s="736"/>
      <c r="J38" s="736"/>
      <c r="K38" s="736"/>
      <c r="L38" s="737"/>
      <c r="M38" s="738"/>
      <c r="N38" s="738"/>
      <c r="O38" s="738"/>
      <c r="P38" s="738"/>
      <c r="Q38" s="738"/>
      <c r="R38" s="738"/>
      <c r="S38" s="738"/>
      <c r="T38" s="738"/>
      <c r="U38" s="738"/>
      <c r="V38" s="738"/>
      <c r="W38" s="738"/>
      <c r="X38" s="738"/>
      <c r="Y38" s="738"/>
      <c r="Z38" s="738"/>
      <c r="AA38" s="847">
        <f>'Sch 3A - Taxes'!F17*Ratios!R22</f>
        <v>3058921.5028805188</v>
      </c>
    </row>
    <row r="39" spans="1:27" x14ac:dyDescent="0.25">
      <c r="A39" s="832" t="s">
        <v>237</v>
      </c>
      <c r="B39" s="733" t="s">
        <v>239</v>
      </c>
      <c r="C39" s="733"/>
      <c r="D39" s="834"/>
      <c r="E39" s="834"/>
      <c r="F39" s="834"/>
      <c r="G39" s="834"/>
      <c r="H39" s="735"/>
      <c r="I39" s="736"/>
      <c r="J39" s="736"/>
      <c r="K39" s="736"/>
      <c r="L39" s="737"/>
      <c r="M39" s="738"/>
      <c r="N39" s="738"/>
      <c r="O39" s="738"/>
      <c r="P39" s="738"/>
      <c r="Q39" s="738"/>
      <c r="R39" s="738"/>
      <c r="S39" s="738"/>
      <c r="T39" s="738"/>
      <c r="U39" s="738"/>
      <c r="V39" s="738"/>
      <c r="W39" s="738"/>
      <c r="X39" s="738"/>
      <c r="Y39" s="738"/>
      <c r="Z39" s="738"/>
      <c r="AA39" s="847">
        <f>'Sch 3A - Taxes'!F23*Ratios!R22</f>
        <v>219499.85632407392</v>
      </c>
    </row>
    <row r="40" spans="1:27" x14ac:dyDescent="0.25">
      <c r="A40" s="832" t="s">
        <v>271</v>
      </c>
      <c r="B40" s="733" t="s">
        <v>240</v>
      </c>
      <c r="C40" s="733"/>
      <c r="D40" s="834"/>
      <c r="E40" s="834"/>
      <c r="F40" s="834"/>
      <c r="G40" s="834"/>
      <c r="H40" s="735"/>
      <c r="I40" s="736"/>
      <c r="J40" s="736"/>
      <c r="K40" s="736"/>
      <c r="L40" s="737"/>
      <c r="M40" s="738"/>
      <c r="N40" s="738"/>
      <c r="O40" s="738"/>
      <c r="P40" s="738"/>
      <c r="Q40" s="738"/>
      <c r="R40" s="738"/>
      <c r="S40" s="738"/>
      <c r="T40" s="738"/>
      <c r="U40" s="738"/>
      <c r="V40" s="738"/>
      <c r="W40" s="738"/>
      <c r="X40" s="738"/>
      <c r="Y40" s="738"/>
      <c r="Z40" s="738"/>
      <c r="AA40" s="847">
        <f>'Sch 3A - Taxes'!F22*Ratios!R59</f>
        <v>14015218.702221384</v>
      </c>
    </row>
    <row r="41" spans="1:27" x14ac:dyDescent="0.25">
      <c r="A41" s="739"/>
      <c r="B41" s="740"/>
      <c r="C41" s="740"/>
      <c r="D41" s="740"/>
      <c r="E41" s="740"/>
      <c r="F41" s="741"/>
      <c r="G41" s="741"/>
      <c r="H41" s="741"/>
      <c r="I41" s="742"/>
      <c r="J41" s="742"/>
      <c r="K41" s="742"/>
      <c r="L41" s="742"/>
      <c r="M41" s="743"/>
      <c r="N41" s="743"/>
      <c r="O41" s="743"/>
      <c r="P41" s="743"/>
      <c r="Q41" s="743"/>
      <c r="R41" s="743"/>
      <c r="S41" s="743"/>
      <c r="T41" s="743"/>
      <c r="U41" s="743"/>
      <c r="V41" s="743"/>
      <c r="W41" s="743"/>
      <c r="X41" s="743"/>
      <c r="Y41" s="743"/>
      <c r="Z41" s="743"/>
      <c r="AA41" s="744"/>
    </row>
    <row r="42" spans="1:27" x14ac:dyDescent="0.25">
      <c r="A42" s="708" t="s">
        <v>561</v>
      </c>
      <c r="B42" s="745">
        <f>B26+B31+B33+B34+B35+B37</f>
        <v>145246647.40607956</v>
      </c>
      <c r="C42" s="745">
        <f t="shared" ref="C42:D42" si="20">C26+C31+C33+C34+C35+C37</f>
        <v>270822398.03649175</v>
      </c>
      <c r="D42" s="745">
        <f t="shared" si="20"/>
        <v>10430269.120431691</v>
      </c>
      <c r="E42" s="745"/>
      <c r="F42" s="745">
        <f t="shared" ref="F42:H42" si="21">F26+F31+F33+F34+F35+F37</f>
        <v>454578.44152403536</v>
      </c>
      <c r="G42" s="745">
        <f t="shared" si="21"/>
        <v>571601614.6090368</v>
      </c>
      <c r="H42" s="745">
        <f t="shared" si="21"/>
        <v>87588875.592295498</v>
      </c>
      <c r="I42" s="745"/>
      <c r="J42" s="745"/>
      <c r="K42" s="745"/>
      <c r="L42" s="745"/>
      <c r="M42" s="746"/>
      <c r="N42" s="746"/>
      <c r="O42" s="746"/>
      <c r="P42" s="746"/>
      <c r="Q42" s="746"/>
      <c r="R42" s="746"/>
      <c r="S42" s="746"/>
      <c r="T42" s="746"/>
      <c r="U42" s="746"/>
      <c r="V42" s="746"/>
      <c r="W42" s="746"/>
      <c r="X42" s="746"/>
      <c r="Y42" s="746"/>
      <c r="Z42" s="746"/>
      <c r="AA42" s="713">
        <f>SUM(AA26,AA31,AA33:AA40)</f>
        <v>1243536915.3002999</v>
      </c>
    </row>
    <row r="43" spans="1:27" ht="16.5" thickBot="1" x14ac:dyDescent="0.3">
      <c r="A43" s="747" t="s">
        <v>562</v>
      </c>
      <c r="B43" s="748">
        <f>B42/(B15/1000)</f>
        <v>55.66211106741607</v>
      </c>
      <c r="C43" s="748">
        <f t="shared" ref="C43:D43" si="22">C42/(C15/1000)</f>
        <v>53.850752928710627</v>
      </c>
      <c r="D43" s="748">
        <f t="shared" si="22"/>
        <v>108.08633510572309</v>
      </c>
      <c r="E43" s="748"/>
      <c r="F43" s="748">
        <f t="shared" ref="F43:H43" si="23">F42/(F15/1000)</f>
        <v>47.351969260326612</v>
      </c>
      <c r="G43" s="748">
        <f t="shared" si="23"/>
        <v>113.87963403567218</v>
      </c>
      <c r="H43" s="748">
        <f t="shared" si="23"/>
        <v>59.558187201083449</v>
      </c>
      <c r="I43" s="748"/>
      <c r="J43" s="748"/>
      <c r="K43" s="748"/>
      <c r="L43" s="748"/>
      <c r="M43" s="749"/>
      <c r="N43" s="749"/>
      <c r="O43" s="749"/>
      <c r="P43" s="749"/>
      <c r="Q43" s="749"/>
      <c r="R43" s="749"/>
      <c r="S43" s="749"/>
      <c r="T43" s="749"/>
      <c r="U43" s="749"/>
      <c r="V43" s="749"/>
      <c r="W43" s="749"/>
      <c r="X43" s="749"/>
      <c r="Y43" s="749"/>
      <c r="Z43" s="749"/>
      <c r="AA43" s="750">
        <f>IF(AA15&gt;0,AA42/AA15*1000,0)</f>
        <v>87.359814514391715</v>
      </c>
    </row>
    <row r="44" spans="1:27" x14ac:dyDescent="0.25">
      <c r="A44" s="751"/>
      <c r="B44" s="752"/>
      <c r="C44" s="752"/>
      <c r="D44" s="752"/>
      <c r="E44" s="752"/>
      <c r="F44" s="689"/>
      <c r="G44" s="689"/>
      <c r="H44" s="753"/>
      <c r="I44" s="689"/>
      <c r="J44" s="689"/>
      <c r="K44" s="689"/>
      <c r="L44" s="689"/>
      <c r="M44" s="689"/>
      <c r="N44" s="689"/>
      <c r="O44" s="689"/>
      <c r="P44" s="689"/>
      <c r="Q44" s="689"/>
      <c r="R44" s="689"/>
      <c r="S44" s="689"/>
      <c r="T44" s="689"/>
      <c r="U44" s="689"/>
      <c r="V44" s="689"/>
      <c r="W44" s="689"/>
      <c r="X44" s="689"/>
      <c r="Y44" s="689"/>
      <c r="Z44" s="689"/>
      <c r="AA44" s="754"/>
    </row>
    <row r="45" spans="1:27" x14ac:dyDescent="0.25">
      <c r="A45" s="755" t="s">
        <v>812</v>
      </c>
      <c r="B45" s="752"/>
      <c r="C45" s="752"/>
      <c r="D45" s="752"/>
      <c r="E45" s="756"/>
      <c r="F45" s="689"/>
      <c r="G45" s="689"/>
      <c r="H45" s="689"/>
      <c r="I45" s="689"/>
      <c r="J45" s="689"/>
      <c r="K45" s="689"/>
      <c r="L45" s="689"/>
      <c r="M45" s="689"/>
      <c r="N45" s="689"/>
      <c r="O45" s="689"/>
      <c r="P45" s="689"/>
      <c r="Q45" s="689"/>
      <c r="R45" s="689"/>
      <c r="S45" s="689"/>
      <c r="T45" s="689"/>
      <c r="U45" s="689"/>
      <c r="V45" s="689"/>
      <c r="W45" s="689"/>
      <c r="X45" s="689"/>
      <c r="Y45" s="689"/>
      <c r="Z45" s="689"/>
      <c r="AA45" s="757">
        <f>IF(AA15&gt;0,AA42/AA15*1000,0)</f>
        <v>87.359814514391715</v>
      </c>
    </row>
    <row r="46" spans="1:27" x14ac:dyDescent="0.25">
      <c r="A46" s="755" t="s">
        <v>563</v>
      </c>
      <c r="B46" s="752"/>
      <c r="C46" s="752"/>
      <c r="D46" s="752"/>
      <c r="E46" s="756"/>
      <c r="F46" s="689"/>
      <c r="G46" s="689"/>
      <c r="H46" s="689"/>
      <c r="I46" s="689"/>
      <c r="J46" s="689"/>
      <c r="K46" s="689"/>
      <c r="L46" s="689"/>
      <c r="M46" s="689"/>
      <c r="N46" s="689"/>
      <c r="O46" s="689"/>
      <c r="P46" s="689"/>
      <c r="Q46" s="689"/>
      <c r="R46" s="689"/>
      <c r="S46" s="689"/>
      <c r="T46" s="689"/>
      <c r="U46" s="689"/>
      <c r="V46" s="689"/>
      <c r="W46" s="689"/>
      <c r="X46" s="689"/>
      <c r="Y46" s="689"/>
      <c r="Z46" s="689"/>
      <c r="AA46" s="757">
        <f>IF('Sch 4 - Average System Cost'!D39=0,0,'Sch 4 - Average System Cost'!D33/('Sch 4 - Average System Cost'!D39+'Sch 4 - Average System Cost'!D42))</f>
        <v>9.0189067646258281E-2</v>
      </c>
    </row>
    <row r="47" spans="1:27" ht="20.25" x14ac:dyDescent="0.25">
      <c r="A47" s="758" t="s">
        <v>867</v>
      </c>
      <c r="B47" s="759"/>
      <c r="C47" s="759"/>
      <c r="D47" s="759"/>
      <c r="E47" s="760"/>
      <c r="F47" s="761"/>
      <c r="G47" s="761"/>
      <c r="H47" s="761"/>
      <c r="I47" s="761"/>
      <c r="J47" s="761"/>
      <c r="K47" s="761"/>
      <c r="L47" s="761"/>
      <c r="M47" s="761"/>
      <c r="N47" s="761"/>
      <c r="O47" s="761"/>
      <c r="P47" s="761"/>
      <c r="Q47" s="761"/>
      <c r="R47" s="761"/>
      <c r="S47" s="761"/>
      <c r="T47" s="761"/>
      <c r="U47" s="761"/>
      <c r="V47" s="761"/>
      <c r="W47" s="761"/>
      <c r="X47" s="761"/>
      <c r="Y47" s="761"/>
      <c r="Z47" s="761"/>
      <c r="AA47" s="762">
        <f>SUM(AA45:AA46)</f>
        <v>87.450003582037979</v>
      </c>
    </row>
    <row r="48" spans="1:27" hidden="1" x14ac:dyDescent="0.25">
      <c r="A48" s="763"/>
      <c r="B48" s="764"/>
      <c r="C48" s="764"/>
      <c r="D48" s="764"/>
      <c r="E48" s="765"/>
      <c r="F48" s="689"/>
      <c r="G48" s="689"/>
      <c r="H48" s="689"/>
      <c r="I48" s="689"/>
      <c r="J48" s="689"/>
      <c r="K48" s="689"/>
      <c r="L48" s="689"/>
      <c r="M48" s="689"/>
      <c r="N48" s="689"/>
      <c r="O48" s="689"/>
      <c r="P48" s="689"/>
      <c r="Q48" s="689"/>
      <c r="R48" s="689"/>
      <c r="S48" s="689"/>
      <c r="T48" s="689"/>
      <c r="U48" s="689"/>
      <c r="V48" s="689"/>
      <c r="W48" s="689"/>
      <c r="X48" s="689"/>
      <c r="Y48" s="689"/>
      <c r="Z48" s="689"/>
      <c r="AA48" s="766"/>
    </row>
    <row r="49" spans="1:27" ht="18.75" hidden="1" x14ac:dyDescent="0.3">
      <c r="A49" s="767"/>
      <c r="B49" s="689"/>
      <c r="C49" s="689"/>
      <c r="D49" s="689"/>
      <c r="E49" s="768"/>
      <c r="F49" s="689"/>
      <c r="G49" s="689"/>
      <c r="H49" s="689"/>
      <c r="I49" s="689"/>
      <c r="J49" s="689"/>
      <c r="K49" s="689"/>
      <c r="L49" s="689"/>
      <c r="M49" s="689"/>
      <c r="N49" s="689"/>
      <c r="O49" s="689"/>
      <c r="P49" s="689"/>
      <c r="Q49" s="689"/>
      <c r="R49" s="689"/>
      <c r="S49" s="689"/>
      <c r="T49" s="689"/>
      <c r="U49" s="689"/>
      <c r="V49" s="689"/>
      <c r="W49" s="689"/>
      <c r="X49" s="689"/>
      <c r="Y49" s="689"/>
      <c r="Z49" s="689"/>
      <c r="AA49" s="769"/>
    </row>
    <row r="50" spans="1:27" ht="19.5" thickBot="1" x14ac:dyDescent="0.35">
      <c r="A50" s="770"/>
      <c r="B50" s="771"/>
      <c r="C50" s="771"/>
      <c r="D50" s="771"/>
      <c r="E50" s="771"/>
      <c r="F50" s="771"/>
      <c r="G50" s="771"/>
      <c r="H50" s="771"/>
      <c r="I50" s="771"/>
      <c r="J50" s="771"/>
      <c r="K50" s="771"/>
      <c r="L50" s="771"/>
      <c r="M50" s="771"/>
      <c r="N50" s="771"/>
      <c r="O50" s="771"/>
      <c r="P50" s="771"/>
      <c r="Q50" s="771"/>
      <c r="R50" s="771"/>
      <c r="S50" s="771"/>
      <c r="T50" s="771"/>
      <c r="U50" s="771"/>
      <c r="V50" s="771"/>
      <c r="W50" s="771"/>
      <c r="X50" s="771"/>
      <c r="Y50" s="771"/>
      <c r="Z50" s="771"/>
      <c r="AA50" s="772"/>
    </row>
    <row r="51" spans="1:27" ht="16.5" thickTop="1" x14ac:dyDescent="0.25"/>
    <row r="54" spans="1:27" x14ac:dyDescent="0.25">
      <c r="C54" s="3464" t="s">
        <v>12493</v>
      </c>
      <c r="D54" s="3464" t="s">
        <v>12494</v>
      </c>
      <c r="E54" s="3464" t="s">
        <v>5574</v>
      </c>
      <c r="F54" s="3464"/>
      <c r="G54" s="3464"/>
      <c r="H54" s="3464" t="s">
        <v>12495</v>
      </c>
      <c r="I54" s="3464" t="s">
        <v>12493</v>
      </c>
      <c r="J54" s="3464" t="s">
        <v>12495</v>
      </c>
      <c r="K54" s="3464" t="s">
        <v>12495</v>
      </c>
      <c r="L54" s="3464" t="s">
        <v>12495</v>
      </c>
      <c r="M54" s="3464" t="s">
        <v>12495</v>
      </c>
      <c r="N54" s="3464" t="s">
        <v>12494</v>
      </c>
      <c r="O54" s="3464" t="s">
        <v>12493</v>
      </c>
      <c r="P54" s="3464" t="s">
        <v>12493</v>
      </c>
      <c r="Q54" s="3464" t="s">
        <v>12493</v>
      </c>
      <c r="R54" s="3464" t="s">
        <v>12493</v>
      </c>
      <c r="S54" s="3464" t="s">
        <v>12493</v>
      </c>
    </row>
    <row r="55" spans="1:27" ht="38.25" x14ac:dyDescent="0.25">
      <c r="C55" s="3465" t="s">
        <v>12496</v>
      </c>
      <c r="D55" s="3466" t="s">
        <v>10290</v>
      </c>
      <c r="E55" s="3467"/>
      <c r="F55" s="3467"/>
      <c r="G55" s="3467"/>
      <c r="H55" s="3465" t="s">
        <v>12497</v>
      </c>
      <c r="I55" s="3468">
        <v>40</v>
      </c>
      <c r="J55" s="3468">
        <v>46</v>
      </c>
      <c r="K55" s="3468">
        <v>47</v>
      </c>
      <c r="L55" s="3468">
        <v>46</v>
      </c>
      <c r="M55" s="3468">
        <v>46</v>
      </c>
      <c r="N55" s="3468">
        <v>46</v>
      </c>
      <c r="O55" s="3468">
        <v>30</v>
      </c>
      <c r="P55" s="3468">
        <v>40</v>
      </c>
      <c r="Q55" s="3468">
        <v>40</v>
      </c>
      <c r="R55" s="3468">
        <v>40</v>
      </c>
      <c r="S55" s="3468">
        <v>40</v>
      </c>
    </row>
    <row r="56" spans="1:27" ht="18.75" thickBot="1" x14ac:dyDescent="0.3">
      <c r="B56" s="3469" t="s">
        <v>11818</v>
      </c>
      <c r="C56" s="3470" t="s">
        <v>12489</v>
      </c>
      <c r="D56" s="3470" t="s">
        <v>12490</v>
      </c>
      <c r="E56" s="3470" t="s">
        <v>679</v>
      </c>
      <c r="F56" s="3470" t="s">
        <v>12491</v>
      </c>
      <c r="G56" s="3470" t="s">
        <v>12492</v>
      </c>
      <c r="H56" s="3470" t="s">
        <v>10266</v>
      </c>
      <c r="I56" s="3471" t="s">
        <v>10289</v>
      </c>
      <c r="J56" s="3471" t="s">
        <v>10226</v>
      </c>
      <c r="K56" s="3471" t="s">
        <v>10228</v>
      </c>
      <c r="L56" s="3471" t="s">
        <v>12498</v>
      </c>
      <c r="M56" s="3471" t="s">
        <v>12499</v>
      </c>
      <c r="N56" s="3471" t="s">
        <v>10290</v>
      </c>
      <c r="O56" s="3471" t="s">
        <v>10304</v>
      </c>
      <c r="P56" s="3471" t="s">
        <v>10305</v>
      </c>
      <c r="Q56" s="3471" t="s">
        <v>10306</v>
      </c>
      <c r="R56" s="3471" t="s">
        <v>12500</v>
      </c>
      <c r="S56" s="3471" t="s">
        <v>10303</v>
      </c>
    </row>
    <row r="57" spans="1:27" x14ac:dyDescent="0.25">
      <c r="A57" s="2212" t="s">
        <v>10233</v>
      </c>
      <c r="I57" s="3472" t="str">
        <f>'Pg 402.2 - Steam Plant Stats - '!L9</f>
        <v>Combined Cycle</v>
      </c>
      <c r="J57" s="3472" t="str">
        <f>'Pg 402 - Steam Plant Stats - Co'!C9</f>
        <v>Steam</v>
      </c>
      <c r="K57" s="3472" t="str">
        <f>'Pg 402 - Steam Plant Stats - Co'!F9</f>
        <v>Steam</v>
      </c>
      <c r="L57" s="3472" t="str">
        <f>'Pg 402.1 - Steam Plant Stats - '!C9</f>
        <v>Steam</v>
      </c>
      <c r="M57" s="3472" t="str">
        <f>'Pg 402.1 - Steam Plant Stats - '!F9</f>
        <v>Steam</v>
      </c>
      <c r="N57" s="3472" t="str">
        <f>'Pg 402.2 - Steam Plant Stats - '!O9</f>
        <v>Steam - Geothermal</v>
      </c>
      <c r="O57" s="3472" t="str">
        <f>'Pg 402.3 - Steam Plant Stats - '!F9</f>
        <v>Gas Turbine</v>
      </c>
      <c r="P57" s="3472" t="str">
        <f>'Pg 402.3 - Steam Plant Stats - '!I9</f>
        <v>Combined Cycle</v>
      </c>
      <c r="Q57" s="3472" t="str">
        <f>'Pg 402.3 - Steam Plant Stats - '!L9</f>
        <v>Combined Cycle</v>
      </c>
      <c r="R57" s="3472" t="str">
        <f>'Pg 402.3 - Steam Plant Stats - '!O9</f>
        <v>Combined Cycle</v>
      </c>
      <c r="S57" s="3472" t="str">
        <f>'Pg 402.3 - Steam Plant Stats - '!C9</f>
        <v>Combined Cycle</v>
      </c>
    </row>
    <row r="58" spans="1:27" x14ac:dyDescent="0.25">
      <c r="A58" s="2212" t="s">
        <v>10234</v>
      </c>
      <c r="I58" s="3472" t="str">
        <f>'Pg 402.2 - Steam Plant Stats - '!L10</f>
        <v>Outdoor</v>
      </c>
      <c r="J58" s="3472" t="str">
        <f>'Pg 402 - Steam Plant Stats - Co'!C10</f>
        <v>Conventional</v>
      </c>
      <c r="K58" s="3472" t="str">
        <f>'Pg 402 - Steam Plant Stats - Co'!F10</f>
        <v>Outdoor Boiler</v>
      </c>
      <c r="L58" s="3472" t="str">
        <f>'Pg 402.1 - Steam Plant Stats - '!C10</f>
        <v>Outdoor Boiler</v>
      </c>
      <c r="M58" s="3472" t="str">
        <f>'Pg 402.1 - Steam Plant Stats - '!F10</f>
        <v>Outdoor Boiler</v>
      </c>
      <c r="N58" s="3472" t="str">
        <f>'Pg 402.2 - Steam Plant Stats - '!O10</f>
        <v>Indoor</v>
      </c>
      <c r="O58" s="3472" t="str">
        <f>'Pg 402.3 - Steam Plant Stats - '!F10</f>
        <v>Outdoor</v>
      </c>
      <c r="P58" s="3472" t="str">
        <f>'Pg 402.3 - Steam Plant Stats - '!I10</f>
        <v>Outdoor</v>
      </c>
      <c r="Q58" s="3472" t="str">
        <f>'Pg 402.3 - Steam Plant Stats - '!L10</f>
        <v>Outdoor</v>
      </c>
      <c r="R58" s="3472" t="str">
        <f>'Pg 402.3 - Steam Plant Stats - '!O10</f>
        <v>Outdoor</v>
      </c>
      <c r="S58" s="3472" t="str">
        <f>'Pg 402.3 - Steam Plant Stats - '!C10</f>
        <v>Outdoor</v>
      </c>
    </row>
    <row r="59" spans="1:27" x14ac:dyDescent="0.25">
      <c r="A59" s="2212" t="s">
        <v>770</v>
      </c>
      <c r="I59" s="3472" t="str">
        <f>'Pg 402.2 - Steam Plant Stats - '!L11</f>
        <v>1996</v>
      </c>
      <c r="J59" s="3472" t="str">
        <f>'Pg 402 - Steam Plant Stats - Co'!C11</f>
        <v>1984</v>
      </c>
      <c r="K59" s="3472" t="str">
        <f>'Pg 402 - Steam Plant Stats - Co'!F11</f>
        <v>1979</v>
      </c>
      <c r="L59" s="3472">
        <f>'Pg 402.1 - Steam Plant Stats - '!C11</f>
        <v>1980</v>
      </c>
      <c r="M59" s="3472">
        <f>'Pg 402.1 - Steam Plant Stats - '!F11</f>
        <v>1983</v>
      </c>
      <c r="N59" s="3472" t="str">
        <f>'Pg 402.2 - Steam Plant Stats - '!O11</f>
        <v>1984</v>
      </c>
      <c r="O59" s="3472">
        <f>'Pg 402.3 - Steam Plant Stats - '!F11</f>
        <v>2002</v>
      </c>
      <c r="P59" s="3472">
        <f>'Pg 402.3 - Steam Plant Stats - '!I11</f>
        <v>2005</v>
      </c>
      <c r="Q59" s="3472">
        <f>'Pg 402.3 - Steam Plant Stats - '!L11</f>
        <v>2007</v>
      </c>
      <c r="R59" s="3472">
        <f>'Pg 402.3 - Steam Plant Stats - '!O11</f>
        <v>2014</v>
      </c>
      <c r="S59" s="3472">
        <f>'Pg 402.3 - Steam Plant Stats - '!C11</f>
        <v>2003</v>
      </c>
    </row>
    <row r="60" spans="1:27" x14ac:dyDescent="0.25">
      <c r="A60" s="2212" t="s">
        <v>771</v>
      </c>
      <c r="I60" s="3472" t="str">
        <f>'Pg 402.2 - Steam Plant Stats - '!L12</f>
        <v>1996</v>
      </c>
      <c r="J60" s="3472" t="str">
        <f>'Pg 402 - Steam Plant Stats - Co'!C12</f>
        <v>1986</v>
      </c>
      <c r="K60" s="3472" t="str">
        <f>'Pg 402 - Steam Plant Stats - Co'!F12</f>
        <v>1980</v>
      </c>
      <c r="L60" s="3472">
        <f>'Pg 402.1 - Steam Plant Stats - '!C12</f>
        <v>1980</v>
      </c>
      <c r="M60" s="3472">
        <f>'Pg 402.1 - Steam Plant Stats - '!F12</f>
        <v>1983</v>
      </c>
      <c r="N60" s="3472" t="str">
        <f>'Pg 402.2 - Steam Plant Stats - '!O12</f>
        <v>2007</v>
      </c>
      <c r="O60" s="3472">
        <f>'Pg 402.3 - Steam Plant Stats - '!F12</f>
        <v>2002</v>
      </c>
      <c r="P60" s="3472">
        <f>'Pg 402.3 - Steam Plant Stats - '!I12</f>
        <v>2006</v>
      </c>
      <c r="Q60" s="3472">
        <f>'Pg 402.3 - Steam Plant Stats - '!L12</f>
        <v>2007</v>
      </c>
      <c r="R60" s="3472">
        <f>'Pg 402.3 - Steam Plant Stats - '!O12</f>
        <v>2014</v>
      </c>
      <c r="S60" s="3472">
        <f>'Pg 402.3 - Steam Plant Stats - '!C12</f>
        <v>2003</v>
      </c>
    </row>
    <row r="61" spans="1:27" x14ac:dyDescent="0.25">
      <c r="A61" s="2212" t="s">
        <v>10247</v>
      </c>
      <c r="C61" s="3473">
        <f t="shared" ref="C61:C91" si="24">SUMIF($I$54:$S$54,$C$54,$I61:$S61)</f>
        <v>2867.3100000000004</v>
      </c>
      <c r="D61" s="3473">
        <f>SUMIF($I$54:$S$54,$D$54,$I61:$S61)</f>
        <v>38.1</v>
      </c>
      <c r="E61" s="3473">
        <f>SUMIF($I$54:$S$54,$E$54,$I61:$S61)</f>
        <v>0</v>
      </c>
      <c r="F61" s="3473">
        <f>SUMIF($I$54:$S$54,$F$54,$I61:$S61)</f>
        <v>0</v>
      </c>
      <c r="G61" s="3473">
        <f>SUMIF($I$54:$S$54,$G$54,$I61:$S61)</f>
        <v>0</v>
      </c>
      <c r="H61" s="3473">
        <f>SUMIF($I$54:$S$54,$H$54,$I61:$S61)</f>
        <v>1117.79</v>
      </c>
      <c r="I61" s="3474">
        <f>'Pg 402.2 - Steam Plant Stats - '!L13</f>
        <v>279.56</v>
      </c>
      <c r="J61" s="3474">
        <f>'Pg 402 - Steam Plant Stats - Co'!C13</f>
        <v>155.61000000000001</v>
      </c>
      <c r="K61" s="3474">
        <f>'Pg 402 - Steam Plant Stats - Co'!F13</f>
        <v>172.13</v>
      </c>
      <c r="L61" s="3474">
        <f>'Pg 402.1 - Steam Plant Stats - '!C13</f>
        <v>294.45999999999998</v>
      </c>
      <c r="M61" s="3474">
        <f>'Pg 402.1 - Steam Plant Stats - '!F13</f>
        <v>495.59</v>
      </c>
      <c r="N61" s="3474">
        <f>'Pg 402.2 - Steam Plant Stats - '!O13</f>
        <v>38.1</v>
      </c>
      <c r="O61" s="3474">
        <f>'Pg 402.3 - Steam Plant Stats - '!F13</f>
        <v>181.05</v>
      </c>
      <c r="P61" s="3474">
        <f>'Pg 402.3 - Steam Plant Stats - '!I13</f>
        <v>566.9</v>
      </c>
      <c r="Q61" s="3474">
        <f>'Pg 402.3 - Steam Plant Stats - '!L13</f>
        <v>591.29999999999995</v>
      </c>
      <c r="R61" s="3474">
        <f>'Pg 402.3 - Steam Plant Stats - '!O13</f>
        <v>655.20000000000005</v>
      </c>
      <c r="S61" s="3474">
        <f>'Pg 402.3 - Steam Plant Stats - '!C13</f>
        <v>593.29999999999995</v>
      </c>
    </row>
    <row r="62" spans="1:27" x14ac:dyDescent="0.25">
      <c r="A62" s="2212" t="s">
        <v>10248</v>
      </c>
      <c r="C62" s="3473">
        <f t="shared" si="24"/>
        <v>2550</v>
      </c>
      <c r="D62" s="3473">
        <f t="shared" ref="D62:D94" si="25">SUMIF($I$54:$S$54,$D$54,$I62:$S62)</f>
        <v>35</v>
      </c>
      <c r="E62" s="3473">
        <f t="shared" ref="E62:E94" si="26">SUMIF($I$54:$S$54,$E$54,$I62:$S62)</f>
        <v>0</v>
      </c>
      <c r="F62" s="3473">
        <f t="shared" ref="F62:F94" si="27">SUMIF($I$54:$S$54,$F$54,$I62:$S62)</f>
        <v>0</v>
      </c>
      <c r="G62" s="3473">
        <f t="shared" ref="G62:G94" si="28">SUMIF($I$54:$S$54,$G$54,$I62:$S62)</f>
        <v>0</v>
      </c>
      <c r="H62" s="3473">
        <f t="shared" ref="H62:H94" si="29">SUMIF($I$54:$S$54,$H$54,$I62:$S62)</f>
        <v>1063</v>
      </c>
      <c r="I62" s="3474">
        <f>'Pg 402.2 - Steam Plant Stats - '!L14</f>
        <v>234</v>
      </c>
      <c r="J62" s="3474">
        <f>'Pg 402 - Steam Plant Stats - Co'!C14</f>
        <v>160</v>
      </c>
      <c r="K62" s="3474">
        <f>'Pg 402 - Steam Plant Stats - Co'!F14</f>
        <v>161</v>
      </c>
      <c r="L62" s="3474">
        <f>'Pg 402.1 - Steam Plant Stats - '!C14</f>
        <v>269</v>
      </c>
      <c r="M62" s="3474">
        <f>'Pg 402.1 - Steam Plant Stats - '!F14</f>
        <v>473</v>
      </c>
      <c r="N62" s="3474">
        <f>'Pg 402.2 - Steam Plant Stats - '!O14</f>
        <v>35</v>
      </c>
      <c r="O62" s="3474">
        <f>'Pg 402.3 - Steam Plant Stats - '!F14</f>
        <v>113</v>
      </c>
      <c r="P62" s="3474">
        <f>'Pg 402.3 - Steam Plant Stats - '!I14</f>
        <v>552</v>
      </c>
      <c r="Q62" s="3474">
        <f>'Pg 402.3 - Steam Plant Stats - '!L14</f>
        <v>520</v>
      </c>
      <c r="R62" s="3474">
        <f>'Pg 402.3 - Steam Plant Stats - '!O14</f>
        <v>624</v>
      </c>
      <c r="S62" s="3474">
        <f>'Pg 402.3 - Steam Plant Stats - '!C14</f>
        <v>507</v>
      </c>
    </row>
    <row r="63" spans="1:27" x14ac:dyDescent="0.25">
      <c r="A63" s="2212" t="s">
        <v>10249</v>
      </c>
      <c r="C63" s="3473">
        <f t="shared" si="24"/>
        <v>40282</v>
      </c>
      <c r="D63" s="3473">
        <f t="shared" si="25"/>
        <v>8605</v>
      </c>
      <c r="E63" s="3473">
        <f t="shared" si="26"/>
        <v>0</v>
      </c>
      <c r="F63" s="3473">
        <f t="shared" si="27"/>
        <v>0</v>
      </c>
      <c r="G63" s="3473">
        <f t="shared" si="28"/>
        <v>0</v>
      </c>
      <c r="H63" s="3473">
        <f t="shared" si="29"/>
        <v>30413</v>
      </c>
      <c r="I63" s="3474">
        <f>'Pg 402.2 - Steam Plant Stats - '!L15</f>
        <v>7238</v>
      </c>
      <c r="J63" s="3474">
        <f>'Pg 402 - Steam Plant Stats - Co'!C15</f>
        <v>8738</v>
      </c>
      <c r="K63" s="3474">
        <f>'Pg 402 - Steam Plant Stats - Co'!F15</f>
        <v>8162</v>
      </c>
      <c r="L63" s="3474">
        <f>'Pg 402.1 - Steam Plant Stats - '!C15</f>
        <v>7062</v>
      </c>
      <c r="M63" s="3474">
        <f>'Pg 402.1 - Steam Plant Stats - '!F15</f>
        <v>6451</v>
      </c>
      <c r="N63" s="3474">
        <f>'Pg 402.2 - Steam Plant Stats - '!O15</f>
        <v>8605</v>
      </c>
      <c r="O63" s="3474">
        <f>'Pg 402.3 - Steam Plant Stats - '!F15</f>
        <v>343</v>
      </c>
      <c r="P63" s="3474">
        <f>'Pg 402.3 - Steam Plant Stats - '!I15</f>
        <v>8446</v>
      </c>
      <c r="Q63" s="3474">
        <f>'Pg 402.3 - Steam Plant Stats - '!L15</f>
        <v>8635</v>
      </c>
      <c r="R63" s="3474">
        <f>'Pg 402.3 - Steam Plant Stats - '!O15</f>
        <v>7750</v>
      </c>
      <c r="S63" s="3474">
        <f>'Pg 402.3 - Steam Plant Stats - '!C15</f>
        <v>7870</v>
      </c>
    </row>
    <row r="64" spans="1:27" x14ac:dyDescent="0.25">
      <c r="A64" s="2212" t="s">
        <v>10250</v>
      </c>
      <c r="C64" s="3473">
        <f t="shared" si="24"/>
        <v>2628</v>
      </c>
      <c r="D64" s="3473">
        <f t="shared" si="25"/>
        <v>33</v>
      </c>
      <c r="E64" s="3473">
        <f t="shared" si="26"/>
        <v>0</v>
      </c>
      <c r="F64" s="3473">
        <f t="shared" si="27"/>
        <v>0</v>
      </c>
      <c r="G64" s="3473">
        <f t="shared" si="28"/>
        <v>0</v>
      </c>
      <c r="H64" s="3473">
        <f t="shared" si="29"/>
        <v>1049</v>
      </c>
      <c r="I64" s="3474">
        <f>'Pg 402.2 - Steam Plant Stats - '!L16</f>
        <v>237</v>
      </c>
      <c r="J64" s="3474">
        <f>'Pg 402 - Steam Plant Stats - Co'!C16</f>
        <v>148</v>
      </c>
      <c r="K64" s="3474">
        <f>'Pg 402 - Steam Plant Stats - Co'!F16</f>
        <v>161</v>
      </c>
      <c r="L64" s="3474">
        <f>'Pg 402.1 - Steam Plant Stats - '!C16</f>
        <v>269</v>
      </c>
      <c r="M64" s="3474">
        <f>'Pg 402.1 - Steam Plant Stats - '!F16</f>
        <v>471</v>
      </c>
      <c r="N64" s="3474">
        <f>'Pg 402.2 - Steam Plant Stats - '!O16</f>
        <v>33</v>
      </c>
      <c r="O64" s="3474">
        <f>'Pg 402.3 - Steam Plant Stats - '!F16</f>
        <v>120</v>
      </c>
      <c r="P64" s="3474">
        <f>'Pg 402.3 - Steam Plant Stats - '!I16</f>
        <v>550</v>
      </c>
      <c r="Q64" s="3474">
        <f>'Pg 402.3 - Steam Plant Stats - '!L16</f>
        <v>558</v>
      </c>
      <c r="R64" s="3474">
        <f>'Pg 402.3 - Steam Plant Stats - '!O16</f>
        <v>645</v>
      </c>
      <c r="S64" s="3474">
        <f>'Pg 402.3 - Steam Plant Stats - '!C16</f>
        <v>518</v>
      </c>
    </row>
    <row r="65" spans="1:19" x14ac:dyDescent="0.25">
      <c r="A65" s="2212" t="s">
        <v>12501</v>
      </c>
      <c r="C65" s="3473">
        <f t="shared" si="24"/>
        <v>2642</v>
      </c>
      <c r="D65" s="3473">
        <f t="shared" si="25"/>
        <v>34</v>
      </c>
      <c r="E65" s="3473">
        <f t="shared" si="26"/>
        <v>0</v>
      </c>
      <c r="F65" s="3473">
        <f t="shared" si="27"/>
        <v>0</v>
      </c>
      <c r="G65" s="3473">
        <f t="shared" si="28"/>
        <v>0</v>
      </c>
      <c r="H65" s="3473">
        <f t="shared" si="29"/>
        <v>1049</v>
      </c>
      <c r="I65" s="3474">
        <f>'Pg 402.2 - Steam Plant Stats - '!L17</f>
        <v>240</v>
      </c>
      <c r="J65" s="3474">
        <f>'Pg 402 - Steam Plant Stats - Co'!C17</f>
        <v>148</v>
      </c>
      <c r="K65" s="3474">
        <f>'Pg 402 - Steam Plant Stats - Co'!F17</f>
        <v>161</v>
      </c>
      <c r="L65" s="3474">
        <f>'Pg 402.1 - Steam Plant Stats - '!C17</f>
        <v>269</v>
      </c>
      <c r="M65" s="3474">
        <f>'Pg 402.1 - Steam Plant Stats - '!F17</f>
        <v>471</v>
      </c>
      <c r="N65" s="3474">
        <f>'Pg 402.2 - Steam Plant Stats - '!O17</f>
        <v>34</v>
      </c>
      <c r="O65" s="3474">
        <f>'Pg 402.3 - Steam Plant Stats - '!F17</f>
        <v>122</v>
      </c>
      <c r="P65" s="3474">
        <f>'Pg 402.3 - Steam Plant Stats - '!I17</f>
        <v>556</v>
      </c>
      <c r="Q65" s="3474">
        <f>'Pg 402.3 - Steam Plant Stats - '!L17</f>
        <v>562</v>
      </c>
      <c r="R65" s="3474">
        <f>'Pg 402.3 - Steam Plant Stats - '!O17</f>
        <v>656</v>
      </c>
      <c r="S65" s="3474">
        <f>'Pg 402.3 - Steam Plant Stats - '!C17</f>
        <v>506</v>
      </c>
    </row>
    <row r="66" spans="1:19" x14ac:dyDescent="0.25">
      <c r="A66" s="2212" t="s">
        <v>12502</v>
      </c>
      <c r="C66" s="3473">
        <f t="shared" si="24"/>
        <v>2528</v>
      </c>
      <c r="D66" s="3473">
        <f t="shared" si="25"/>
        <v>32</v>
      </c>
      <c r="E66" s="3473">
        <f t="shared" si="26"/>
        <v>0</v>
      </c>
      <c r="F66" s="3473">
        <f t="shared" si="27"/>
        <v>0</v>
      </c>
      <c r="G66" s="3473">
        <f t="shared" si="28"/>
        <v>0</v>
      </c>
      <c r="H66" s="3473">
        <f t="shared" si="29"/>
        <v>1049</v>
      </c>
      <c r="I66" s="3474">
        <f>'Pg 402.2 - Steam Plant Stats - '!L18</f>
        <v>231</v>
      </c>
      <c r="J66" s="3474">
        <f>'Pg 402 - Steam Plant Stats - Co'!C18</f>
        <v>148</v>
      </c>
      <c r="K66" s="3474">
        <f>'Pg 402 - Steam Plant Stats - Co'!F18</f>
        <v>161</v>
      </c>
      <c r="L66" s="3474">
        <f>'Pg 402.1 - Steam Plant Stats - '!C18</f>
        <v>269</v>
      </c>
      <c r="M66" s="3474">
        <f>'Pg 402.1 - Steam Plant Stats - '!F18</f>
        <v>471</v>
      </c>
      <c r="N66" s="3474">
        <f>'Pg 402.2 - Steam Plant Stats - '!O18</f>
        <v>32</v>
      </c>
      <c r="O66" s="3474">
        <f>'Pg 402.3 - Steam Plant Stats - '!F18</f>
        <v>119</v>
      </c>
      <c r="P66" s="3474">
        <f>'Pg 402.3 - Steam Plant Stats - '!I18</f>
        <v>524</v>
      </c>
      <c r="Q66" s="3474">
        <f>'Pg 402.3 - Steam Plant Stats - '!L18</f>
        <v>546</v>
      </c>
      <c r="R66" s="3474">
        <f>'Pg 402.3 - Steam Plant Stats - '!O18</f>
        <v>631</v>
      </c>
      <c r="S66" s="3474">
        <f>'Pg 402.3 - Steam Plant Stats - '!C18</f>
        <v>477</v>
      </c>
    </row>
    <row r="67" spans="1:19" x14ac:dyDescent="0.25">
      <c r="A67" s="2212" t="s">
        <v>776</v>
      </c>
      <c r="C67" s="3473">
        <f t="shared" si="24"/>
        <v>63</v>
      </c>
      <c r="D67" s="3473">
        <f t="shared" si="25"/>
        <v>18</v>
      </c>
      <c r="E67" s="3473">
        <f t="shared" si="26"/>
        <v>0</v>
      </c>
      <c r="F67" s="3473">
        <f t="shared" si="27"/>
        <v>0</v>
      </c>
      <c r="G67" s="3473">
        <f t="shared" si="28"/>
        <v>0</v>
      </c>
      <c r="H67" s="3473">
        <f t="shared" si="29"/>
        <v>0</v>
      </c>
      <c r="I67" s="3474">
        <f>'Pg 402.2 - Steam Plant Stats - '!L19</f>
        <v>0</v>
      </c>
      <c r="J67" s="3474">
        <f>'Pg 402 - Steam Plant Stats - Co'!C19</f>
        <v>0</v>
      </c>
      <c r="K67" s="3474">
        <f>'Pg 402 - Steam Plant Stats - Co'!F19</f>
        <v>0</v>
      </c>
      <c r="L67" s="3474">
        <f>'Pg 402.1 - Steam Plant Stats - '!C19</f>
        <v>0</v>
      </c>
      <c r="M67" s="3474">
        <f>'Pg 402.1 - Steam Plant Stats - '!F19</f>
        <v>0</v>
      </c>
      <c r="N67" s="3474">
        <f>'Pg 402.2 - Steam Plant Stats - '!O19</f>
        <v>18</v>
      </c>
      <c r="O67" s="3474">
        <f>'Pg 402.3 - Steam Plant Stats - '!F19</f>
        <v>0</v>
      </c>
      <c r="P67" s="3474">
        <f>'Pg 402.3 - Steam Plant Stats - '!I19</f>
        <v>17</v>
      </c>
      <c r="Q67" s="3474">
        <f>'Pg 402.3 - Steam Plant Stats - '!L19</f>
        <v>31</v>
      </c>
      <c r="R67" s="3474">
        <f>'Pg 402.3 - Steam Plant Stats - '!O19</f>
        <v>0</v>
      </c>
      <c r="S67" s="3474">
        <f>'Pg 402.3 - Steam Plant Stats - '!C19</f>
        <v>15</v>
      </c>
    </row>
    <row r="68" spans="1:19" x14ac:dyDescent="0.25">
      <c r="A68" s="3475" t="s">
        <v>10253</v>
      </c>
      <c r="B68" s="3476">
        <f>'RATE BASE DATA'!$K$6</f>
        <v>0.38879546969720469</v>
      </c>
      <c r="C68" s="3477">
        <f t="shared" si="24"/>
        <v>12935154000</v>
      </c>
      <c r="D68" s="3477">
        <f t="shared" si="25"/>
        <v>248201000</v>
      </c>
      <c r="E68" s="3478">
        <f t="shared" si="26"/>
        <v>0</v>
      </c>
      <c r="F68" s="3478">
        <f t="shared" si="27"/>
        <v>0</v>
      </c>
      <c r="G68" s="3478">
        <f t="shared" si="28"/>
        <v>0</v>
      </c>
      <c r="H68" s="3477">
        <f t="shared" si="29"/>
        <v>3782564000</v>
      </c>
      <c r="I68" s="3479">
        <f>'Pg 402.2 - Steam Plant Stats - '!L20</f>
        <v>1357915000</v>
      </c>
      <c r="J68" s="3479">
        <f>'Pg 402 - Steam Plant Stats - Co'!C20</f>
        <v>1048989000</v>
      </c>
      <c r="K68" s="3479">
        <f>'Pg 402 - Steam Plant Stats - Co'!F20</f>
        <v>797835000</v>
      </c>
      <c r="L68" s="3479">
        <f>'Pg 402.1 - Steam Plant Stats - '!C20</f>
        <v>803001000</v>
      </c>
      <c r="M68" s="3479">
        <f>'Pg 402.1 - Steam Plant Stats - '!F20</f>
        <v>1132739000</v>
      </c>
      <c r="N68" s="3479">
        <f>'Pg 402.2 - Steam Plant Stats - '!O20</f>
        <v>248201000</v>
      </c>
      <c r="O68" s="3479">
        <f>'Pg 402.3 - Steam Plant Stats - '!F20</f>
        <v>1788000</v>
      </c>
      <c r="P68" s="3479">
        <f>'Pg 402.3 - Steam Plant Stats - '!I20</f>
        <v>2879945000</v>
      </c>
      <c r="Q68" s="3479">
        <f>'Pg 402.3 - Steam Plant Stats - '!L20</f>
        <v>3106023000</v>
      </c>
      <c r="R68" s="3479">
        <f>'Pg 402.3 - Steam Plant Stats - '!O20</f>
        <v>3350476000</v>
      </c>
      <c r="S68" s="3479">
        <f>'Pg 402.3 - Steam Plant Stats - '!C20</f>
        <v>2239007000</v>
      </c>
    </row>
    <row r="69" spans="1:19" x14ac:dyDescent="0.25">
      <c r="A69" s="2212" t="s">
        <v>778</v>
      </c>
      <c r="C69" s="3480">
        <f t="shared" si="24"/>
        <v>39257634</v>
      </c>
      <c r="D69" s="3480">
        <f t="shared" si="25"/>
        <v>41195596</v>
      </c>
      <c r="E69" s="3480">
        <f t="shared" si="26"/>
        <v>0</v>
      </c>
      <c r="F69" s="3480">
        <f t="shared" si="27"/>
        <v>0</v>
      </c>
      <c r="G69" s="3480">
        <f t="shared" si="28"/>
        <v>0</v>
      </c>
      <c r="H69" s="3480">
        <f t="shared" si="29"/>
        <v>21871839</v>
      </c>
      <c r="I69" s="3481">
        <f>'Pg 402.2 - Steam Plant Stats - '!L21</f>
        <v>796929</v>
      </c>
      <c r="J69" s="3481">
        <f>'Pg 402 - Steam Plant Stats - Co'!C21</f>
        <v>1788644</v>
      </c>
      <c r="K69" s="3481">
        <f>'Pg 402 - Steam Plant Stats - Co'!F21</f>
        <v>137086</v>
      </c>
      <c r="L69" s="3481">
        <f>'Pg 402.1 - Steam Plant Stats - '!C21</f>
        <v>9679900</v>
      </c>
      <c r="M69" s="3481">
        <f>'Pg 402.1 - Steam Plant Stats - '!F21</f>
        <v>10266209</v>
      </c>
      <c r="N69" s="3481">
        <f>'Pg 402.2 - Steam Plant Stats - '!O21</f>
        <v>41195596</v>
      </c>
      <c r="O69" s="3481">
        <f>'Pg 402.3 - Steam Plant Stats - '!F21</f>
        <v>0</v>
      </c>
      <c r="P69" s="3481">
        <f>'Pg 402.3 - Steam Plant Stats - '!I21</f>
        <v>3403277</v>
      </c>
      <c r="Q69" s="3481">
        <f>'Pg 402.3 - Steam Plant Stats - '!L21</f>
        <v>14532275</v>
      </c>
      <c r="R69" s="3481">
        <f>'Pg 402.3 - Steam Plant Stats - '!O21</f>
        <v>16794626</v>
      </c>
      <c r="S69" s="3481">
        <f>'Pg 402.3 - Steam Plant Stats - '!C21</f>
        <v>3730527</v>
      </c>
    </row>
    <row r="70" spans="1:19" x14ac:dyDescent="0.25">
      <c r="A70" s="2212" t="s">
        <v>12503</v>
      </c>
      <c r="C70" s="3480">
        <f t="shared" si="24"/>
        <v>175526103</v>
      </c>
      <c r="D70" s="3480">
        <f t="shared" si="25"/>
        <v>8575917</v>
      </c>
      <c r="E70" s="3480">
        <f t="shared" si="26"/>
        <v>0</v>
      </c>
      <c r="F70" s="3480">
        <f t="shared" si="27"/>
        <v>0</v>
      </c>
      <c r="G70" s="3480">
        <f t="shared" si="28"/>
        <v>0</v>
      </c>
      <c r="H70" s="3480">
        <f t="shared" si="29"/>
        <v>258985996</v>
      </c>
      <c r="I70" s="3481">
        <f>'Pg 402.2 - Steam Plant Stats - '!L22</f>
        <v>12921287</v>
      </c>
      <c r="J70" s="3481">
        <f>'Pg 402 - Steam Plant Stats - Co'!C22</f>
        <v>70301953</v>
      </c>
      <c r="K70" s="3481">
        <f>'Pg 402 - Steam Plant Stats - Co'!F22</f>
        <v>38846211</v>
      </c>
      <c r="L70" s="3481">
        <f>'Pg 402.1 - Steam Plant Stats - '!C22</f>
        <v>55213535</v>
      </c>
      <c r="M70" s="3481">
        <f>'Pg 402.1 - Steam Plant Stats - '!F22</f>
        <v>94624297</v>
      </c>
      <c r="N70" s="3481">
        <f>'Pg 402.2 - Steam Plant Stats - '!O22</f>
        <v>8575917</v>
      </c>
      <c r="O70" s="3481">
        <f>'Pg 402.3 - Steam Plant Stats - '!F22</f>
        <v>4273000</v>
      </c>
      <c r="P70" s="3481">
        <f>'Pg 402.3 - Steam Plant Stats - '!I22</f>
        <v>44449150</v>
      </c>
      <c r="Q70" s="3481">
        <f>'Pg 402.3 - Steam Plant Stats - '!L22</f>
        <v>35808970</v>
      </c>
      <c r="R70" s="3481">
        <f>'Pg 402.3 - Steam Plant Stats - '!O22</f>
        <v>53403807</v>
      </c>
      <c r="S70" s="3481">
        <f>'Pg 402.3 - Steam Plant Stats - '!C22</f>
        <v>24669889</v>
      </c>
    </row>
    <row r="71" spans="1:19" x14ac:dyDescent="0.25">
      <c r="A71" s="2212" t="s">
        <v>12504</v>
      </c>
      <c r="C71" s="3480">
        <f t="shared" si="24"/>
        <v>1832227815</v>
      </c>
      <c r="D71" s="3480">
        <f t="shared" si="25"/>
        <v>107144082</v>
      </c>
      <c r="E71" s="3480">
        <f t="shared" si="26"/>
        <v>0</v>
      </c>
      <c r="F71" s="3480">
        <f t="shared" si="27"/>
        <v>0</v>
      </c>
      <c r="G71" s="3480">
        <f t="shared" si="28"/>
        <v>0</v>
      </c>
      <c r="H71" s="3480">
        <f t="shared" si="29"/>
        <v>1093742776</v>
      </c>
      <c r="I71" s="3481">
        <f>'Pg 402.2 - Steam Plant Stats - '!L23</f>
        <v>173277443</v>
      </c>
      <c r="J71" s="3481">
        <f>'Pg 402 - Steam Plant Stats - Co'!C23</f>
        <v>180821823</v>
      </c>
      <c r="K71" s="3481">
        <f>'Pg 402 - Steam Plant Stats - Co'!F23</f>
        <v>186771082</v>
      </c>
      <c r="L71" s="3481">
        <f>'Pg 402.1 - Steam Plant Stats - '!C23</f>
        <v>262341330</v>
      </c>
      <c r="M71" s="3481">
        <f>'Pg 402.1 - Steam Plant Stats - '!F23</f>
        <v>463808541</v>
      </c>
      <c r="N71" s="3481">
        <f>'Pg 402.2 - Steam Plant Stats - '!O23</f>
        <v>107144082</v>
      </c>
      <c r="O71" s="3481">
        <f>'Pg 402.3 - Steam Plant Stats - '!F23</f>
        <v>84598057</v>
      </c>
      <c r="P71" s="3481">
        <f>'Pg 402.3 - Steam Plant Stats - '!I23</f>
        <v>313969454</v>
      </c>
      <c r="Q71" s="3481">
        <f>'Pg 402.3 - Steam Plant Stats - '!L23</f>
        <v>335378177</v>
      </c>
      <c r="R71" s="3481">
        <f>'Pg 402.3 - Steam Plant Stats - '!O23</f>
        <v>589471126</v>
      </c>
      <c r="S71" s="3481">
        <f>'Pg 402.3 - Steam Plant Stats - '!C23</f>
        <v>335533558</v>
      </c>
    </row>
    <row r="72" spans="1:19" x14ac:dyDescent="0.25">
      <c r="A72" s="2212" t="s">
        <v>12505</v>
      </c>
      <c r="C72" s="3480">
        <f t="shared" si="24"/>
        <v>2051275</v>
      </c>
      <c r="D72" s="3480">
        <f t="shared" si="25"/>
        <v>5715415</v>
      </c>
      <c r="E72" s="3480">
        <f t="shared" si="26"/>
        <v>0</v>
      </c>
      <c r="F72" s="3480">
        <f t="shared" si="27"/>
        <v>0</v>
      </c>
      <c r="G72" s="3480">
        <f t="shared" si="28"/>
        <v>0</v>
      </c>
      <c r="H72" s="3480">
        <f t="shared" si="29"/>
        <v>19266275</v>
      </c>
      <c r="I72" s="3481">
        <f>'Pg 402.2 - Steam Plant Stats - '!L24</f>
        <v>618012</v>
      </c>
      <c r="J72" s="3481">
        <f>'Pg 402 - Steam Plant Stats - Co'!C24</f>
        <v>6949363</v>
      </c>
      <c r="K72" s="3481">
        <f>'Pg 402 - Steam Plant Stats - Co'!F24</f>
        <v>3180430</v>
      </c>
      <c r="L72" s="3481">
        <f>'Pg 402.1 - Steam Plant Stats - '!C24</f>
        <v>4568241</v>
      </c>
      <c r="M72" s="3481">
        <f>'Pg 402.1 - Steam Plant Stats - '!F24</f>
        <v>4568241</v>
      </c>
      <c r="N72" s="3481">
        <f>'Pg 402.2 - Steam Plant Stats - '!O24</f>
        <v>5715415</v>
      </c>
      <c r="O72" s="3481">
        <f>'Pg 402.3 - Steam Plant Stats - '!F24</f>
        <v>0</v>
      </c>
      <c r="P72" s="3481">
        <f>'Pg 402.3 - Steam Plant Stats - '!I24</f>
        <v>77461</v>
      </c>
      <c r="Q72" s="3481">
        <f>'Pg 402.3 - Steam Plant Stats - '!L24</f>
        <v>0</v>
      </c>
      <c r="R72" s="3481">
        <f>'Pg 402.3 - Steam Plant Stats - '!O24</f>
        <v>0</v>
      </c>
      <c r="S72" s="3481">
        <f>'Pg 402.3 - Steam Plant Stats - '!C24</f>
        <v>1355802</v>
      </c>
    </row>
    <row r="73" spans="1:19" x14ac:dyDescent="0.25">
      <c r="A73" s="2212" t="s">
        <v>12506</v>
      </c>
      <c r="C73" s="3480">
        <f t="shared" si="24"/>
        <v>2049062827</v>
      </c>
      <c r="D73" s="3480">
        <f t="shared" si="25"/>
        <v>162631010</v>
      </c>
      <c r="E73" s="3480">
        <f t="shared" si="26"/>
        <v>0</v>
      </c>
      <c r="F73" s="3480">
        <f t="shared" si="27"/>
        <v>0</v>
      </c>
      <c r="G73" s="3480">
        <f t="shared" si="28"/>
        <v>0</v>
      </c>
      <c r="H73" s="3480">
        <f t="shared" si="29"/>
        <v>1393866886</v>
      </c>
      <c r="I73" s="3481">
        <f>'Pg 402.2 - Steam Plant Stats - '!L25</f>
        <v>187613671</v>
      </c>
      <c r="J73" s="3481">
        <f>'Pg 402 - Steam Plant Stats - Co'!C25</f>
        <v>259861783</v>
      </c>
      <c r="K73" s="3481">
        <f>'Pg 402 - Steam Plant Stats - Co'!F25</f>
        <v>228934809</v>
      </c>
      <c r="L73" s="3481">
        <f>'Pg 402.1 - Steam Plant Stats - '!C25</f>
        <v>331803006</v>
      </c>
      <c r="M73" s="3481">
        <f>'Pg 402.1 - Steam Plant Stats - '!F25</f>
        <v>573267288</v>
      </c>
      <c r="N73" s="3481">
        <f>'Pg 402.2 - Steam Plant Stats - '!O25</f>
        <v>162631010</v>
      </c>
      <c r="O73" s="3481">
        <f>'Pg 402.3 - Steam Plant Stats - '!F25</f>
        <v>88871057</v>
      </c>
      <c r="P73" s="3481">
        <f>'Pg 402.3 - Steam Plant Stats - '!I25</f>
        <v>361899342</v>
      </c>
      <c r="Q73" s="3481">
        <f>'Pg 402.3 - Steam Plant Stats - '!L25</f>
        <v>385719422</v>
      </c>
      <c r="R73" s="3481">
        <f>'Pg 402.3 - Steam Plant Stats - '!O25</f>
        <v>659669559</v>
      </c>
      <c r="S73" s="3481">
        <f>'Pg 402.3 - Steam Plant Stats - '!C25</f>
        <v>365289776</v>
      </c>
    </row>
    <row r="74" spans="1:19" x14ac:dyDescent="0.25">
      <c r="A74" s="2212" t="s">
        <v>10254</v>
      </c>
      <c r="C74" s="3480">
        <f t="shared" si="24"/>
        <v>4075.188760793621</v>
      </c>
      <c r="D74" s="3480">
        <f t="shared" si="25"/>
        <v>4268.530446194226</v>
      </c>
      <c r="E74" s="3480">
        <f t="shared" si="26"/>
        <v>0</v>
      </c>
      <c r="F74" s="3480">
        <f t="shared" si="27"/>
        <v>0</v>
      </c>
      <c r="G74" s="3480">
        <f t="shared" si="28"/>
        <v>0</v>
      </c>
      <c r="H74" s="3480">
        <f t="shared" si="29"/>
        <v>5283.5222394370267</v>
      </c>
      <c r="I74" s="3481">
        <f>'Pg 402.2 - Steam Plant Stats - '!L26</f>
        <v>671.10341608241527</v>
      </c>
      <c r="J74" s="3481">
        <f>'Pg 402 - Steam Plant Stats - Co'!C26</f>
        <v>1669.9555491292333</v>
      </c>
      <c r="K74" s="3481">
        <f>'Pg 402 - Steam Plant Stats - Co'!F26</f>
        <v>1330.0110904548887</v>
      </c>
      <c r="L74" s="3481">
        <f>'Pg 402.1 - Steam Plant Stats - '!C26</f>
        <v>1126.818603545473</v>
      </c>
      <c r="M74" s="3481">
        <f>'Pg 402.1 - Steam Plant Stats - '!F26</f>
        <v>1156.7369963074316</v>
      </c>
      <c r="N74" s="3481">
        <f>'Pg 402.2 - Steam Plant Stats - '!O26</f>
        <v>4268.530446194226</v>
      </c>
      <c r="O74" s="3481">
        <f>'Pg 402.3 - Steam Plant Stats - '!F26</f>
        <v>490.86471692902512</v>
      </c>
      <c r="P74" s="3481">
        <f>'Pg 402.3 - Steam Plant Stats - '!I26</f>
        <v>638.38303404480507</v>
      </c>
      <c r="Q74" s="3481">
        <f>'Pg 402.3 - Steam Plant Stats - '!L26</f>
        <v>652.32440723828847</v>
      </c>
      <c r="R74" s="3481">
        <f>'Pg 402.3 - Steam Plant Stats - '!O26</f>
        <v>1006.8216712454213</v>
      </c>
      <c r="S74" s="3481">
        <f>'Pg 402.3 - Steam Plant Stats - '!C26</f>
        <v>615.6915152536659</v>
      </c>
    </row>
    <row r="75" spans="1:19" x14ac:dyDescent="0.25">
      <c r="A75" s="2212" t="s">
        <v>783</v>
      </c>
      <c r="C75" s="3480">
        <f t="shared" si="24"/>
        <v>577165</v>
      </c>
      <c r="D75" s="3480">
        <f t="shared" si="25"/>
        <v>6020</v>
      </c>
      <c r="E75" s="3480">
        <f t="shared" si="26"/>
        <v>0</v>
      </c>
      <c r="F75" s="3480">
        <f t="shared" si="27"/>
        <v>0</v>
      </c>
      <c r="G75" s="3480">
        <f t="shared" si="28"/>
        <v>0</v>
      </c>
      <c r="H75" s="3480">
        <f t="shared" si="29"/>
        <v>362146</v>
      </c>
      <c r="I75" s="3481">
        <f>'Pg 402.2 - Steam Plant Stats - '!L27</f>
        <v>0</v>
      </c>
      <c r="J75" s="3481">
        <f>'Pg 402 - Steam Plant Stats - Co'!C27</f>
        <v>36143</v>
      </c>
      <c r="K75" s="3481">
        <f>'Pg 402 - Steam Plant Stats - Co'!F27</f>
        <v>318900</v>
      </c>
      <c r="L75" s="3481">
        <f>'Pg 402.1 - Steam Plant Stats - '!C27</f>
        <v>2582</v>
      </c>
      <c r="M75" s="3481">
        <f>'Pg 402.1 - Steam Plant Stats - '!F27</f>
        <v>4521</v>
      </c>
      <c r="N75" s="3481">
        <f>'Pg 402.2 - Steam Plant Stats - '!O27</f>
        <v>6020</v>
      </c>
      <c r="O75" s="3481">
        <f>'Pg 402.3 - Steam Plant Stats - '!F27</f>
        <v>0</v>
      </c>
      <c r="P75" s="3481">
        <f>'Pg 402.3 - Steam Plant Stats - '!I27</f>
        <v>133300</v>
      </c>
      <c r="Q75" s="3481">
        <f>'Pg 402.3 - Steam Plant Stats - '!L27</f>
        <v>88510</v>
      </c>
      <c r="R75" s="3481">
        <f>'Pg 402.3 - Steam Plant Stats - '!O27</f>
        <v>102310</v>
      </c>
      <c r="S75" s="3481">
        <f>'Pg 402.3 - Steam Plant Stats - '!C27</f>
        <v>253045</v>
      </c>
    </row>
    <row r="76" spans="1:19" x14ac:dyDescent="0.25">
      <c r="A76" s="2212" t="s">
        <v>12507</v>
      </c>
      <c r="C76" s="3480">
        <f t="shared" si="24"/>
        <v>486505377</v>
      </c>
      <c r="D76" s="3480">
        <f t="shared" si="25"/>
        <v>0</v>
      </c>
      <c r="E76" s="3480">
        <f t="shared" si="26"/>
        <v>0</v>
      </c>
      <c r="F76" s="3480">
        <f t="shared" si="27"/>
        <v>0</v>
      </c>
      <c r="G76" s="3480">
        <f t="shared" si="28"/>
        <v>0</v>
      </c>
      <c r="H76" s="3480">
        <f t="shared" si="29"/>
        <v>109108135</v>
      </c>
      <c r="I76" s="3481">
        <f>'Pg 402.2 - Steam Plant Stats - '!L28</f>
        <v>34955391</v>
      </c>
      <c r="J76" s="3481">
        <f>'Pg 402 - Steam Plant Stats - Co'!C28</f>
        <v>23217547</v>
      </c>
      <c r="K76" s="3481">
        <f>'Pg 402 - Steam Plant Stats - Co'!F28</f>
        <v>27914521</v>
      </c>
      <c r="L76" s="3481">
        <f>'Pg 402.1 - Steam Plant Stats - '!C28</f>
        <v>23962941</v>
      </c>
      <c r="M76" s="3481">
        <f>'Pg 402.1 - Steam Plant Stats - '!F28</f>
        <v>34013126</v>
      </c>
      <c r="N76" s="3481">
        <f>'Pg 402.2 - Steam Plant Stats - '!O28</f>
        <v>0</v>
      </c>
      <c r="O76" s="3481">
        <f>'Pg 402.3 - Steam Plant Stats - '!F28</f>
        <v>583133</v>
      </c>
      <c r="P76" s="3481">
        <f>'Pg 402.3 - Steam Plant Stats - '!I28</f>
        <v>99903977</v>
      </c>
      <c r="Q76" s="3481">
        <f>'Pg 402.3 - Steam Plant Stats - '!L28</f>
        <v>111416135</v>
      </c>
      <c r="R76" s="3481">
        <f>'Pg 402.3 - Steam Plant Stats - '!O28</f>
        <v>115780157</v>
      </c>
      <c r="S76" s="3481">
        <f>'Pg 402.3 - Steam Plant Stats - '!C28</f>
        <v>123866584</v>
      </c>
    </row>
    <row r="77" spans="1:19" x14ac:dyDescent="0.25">
      <c r="A77" s="2212" t="s">
        <v>12508</v>
      </c>
      <c r="C77" s="3480">
        <f t="shared" si="24"/>
        <v>0</v>
      </c>
      <c r="D77" s="3480">
        <f t="shared" si="25"/>
        <v>0</v>
      </c>
      <c r="E77" s="3480">
        <f t="shared" si="26"/>
        <v>0</v>
      </c>
      <c r="F77" s="3480">
        <f t="shared" si="27"/>
        <v>0</v>
      </c>
      <c r="G77" s="3480">
        <f t="shared" si="28"/>
        <v>0</v>
      </c>
      <c r="H77" s="3480">
        <f t="shared" si="29"/>
        <v>0</v>
      </c>
      <c r="I77" s="3481">
        <f>'Pg 402.2 - Steam Plant Stats - '!L29</f>
        <v>0</v>
      </c>
      <c r="J77" s="3481">
        <f>'Pg 402 - Steam Plant Stats - Co'!C29</f>
        <v>0</v>
      </c>
      <c r="K77" s="3481">
        <f>'Pg 402 - Steam Plant Stats - Co'!F29</f>
        <v>0</v>
      </c>
      <c r="L77" s="3481">
        <f>'Pg 402.1 - Steam Plant Stats - '!C29</f>
        <v>0</v>
      </c>
      <c r="M77" s="3481">
        <f>'Pg 402.1 - Steam Plant Stats - '!F29</f>
        <v>0</v>
      </c>
      <c r="N77" s="3481">
        <f>'Pg 402.2 - Steam Plant Stats - '!O29</f>
        <v>0</v>
      </c>
      <c r="O77" s="3481">
        <f>'Pg 402.3 - Steam Plant Stats - '!F29</f>
        <v>0</v>
      </c>
      <c r="P77" s="3481">
        <f>'Pg 402.3 - Steam Plant Stats - '!I29</f>
        <v>0</v>
      </c>
      <c r="Q77" s="3481">
        <f>'Pg 402.3 - Steam Plant Stats - '!L29</f>
        <v>0</v>
      </c>
      <c r="R77" s="3481">
        <f>'Pg 402.3 - Steam Plant Stats - '!O29</f>
        <v>0</v>
      </c>
      <c r="S77" s="3481">
        <f>'Pg 402.3 - Steam Plant Stats - '!C29</f>
        <v>0</v>
      </c>
    </row>
    <row r="78" spans="1:19" x14ac:dyDescent="0.25">
      <c r="A78" s="2212" t="s">
        <v>12509</v>
      </c>
      <c r="C78" s="3480">
        <f t="shared" si="24"/>
        <v>0</v>
      </c>
      <c r="D78" s="3480">
        <f t="shared" si="25"/>
        <v>-80179</v>
      </c>
      <c r="E78" s="3480">
        <f t="shared" si="26"/>
        <v>0</v>
      </c>
      <c r="F78" s="3480">
        <f t="shared" si="27"/>
        <v>0</v>
      </c>
      <c r="G78" s="3480">
        <f t="shared" si="28"/>
        <v>0</v>
      </c>
      <c r="H78" s="3480">
        <f t="shared" si="29"/>
        <v>15212079</v>
      </c>
      <c r="I78" s="3481">
        <f>'Pg 402.2 - Steam Plant Stats - '!L30</f>
        <v>0</v>
      </c>
      <c r="J78" s="3481">
        <f>'Pg 402 - Steam Plant Stats - Co'!C30</f>
        <v>896337</v>
      </c>
      <c r="K78" s="3481">
        <f>'Pg 402 - Steam Plant Stats - Co'!F30</f>
        <v>2049382</v>
      </c>
      <c r="L78" s="3481">
        <f>'Pg 402.1 - Steam Plant Stats - '!C30</f>
        <v>5305198</v>
      </c>
      <c r="M78" s="3481">
        <f>'Pg 402.1 - Steam Plant Stats - '!F30</f>
        <v>6961162</v>
      </c>
      <c r="N78" s="3481">
        <f>'Pg 402.2 - Steam Plant Stats - '!O30</f>
        <v>-80179</v>
      </c>
      <c r="O78" s="3481">
        <f>'Pg 402.3 - Steam Plant Stats - '!F30</f>
        <v>0</v>
      </c>
      <c r="P78" s="3481">
        <f>'Pg 402.3 - Steam Plant Stats - '!I30</f>
        <v>0</v>
      </c>
      <c r="Q78" s="3481">
        <f>'Pg 402.3 - Steam Plant Stats - '!L30</f>
        <v>0</v>
      </c>
      <c r="R78" s="3481">
        <f>'Pg 402.3 - Steam Plant Stats - '!O30</f>
        <v>0</v>
      </c>
      <c r="S78" s="3481">
        <f>'Pg 402.3 - Steam Plant Stats - '!C30</f>
        <v>0</v>
      </c>
    </row>
    <row r="79" spans="1:19" x14ac:dyDescent="0.25">
      <c r="A79" s="2212" t="s">
        <v>12510</v>
      </c>
      <c r="C79" s="3480">
        <f t="shared" si="24"/>
        <v>0</v>
      </c>
      <c r="D79" s="3480">
        <f t="shared" si="25"/>
        <v>10794276</v>
      </c>
      <c r="E79" s="3480">
        <f t="shared" si="26"/>
        <v>0</v>
      </c>
      <c r="F79" s="3480">
        <f t="shared" si="27"/>
        <v>0</v>
      </c>
      <c r="G79" s="3480">
        <f t="shared" si="28"/>
        <v>0</v>
      </c>
      <c r="H79" s="3480">
        <f t="shared" si="29"/>
        <v>0</v>
      </c>
      <c r="I79" s="3481">
        <f>'Pg 402.2 - Steam Plant Stats - '!L31</f>
        <v>0</v>
      </c>
      <c r="J79" s="3481">
        <f>'Pg 402 - Steam Plant Stats - Co'!C31</f>
        <v>0</v>
      </c>
      <c r="K79" s="3481">
        <f>'Pg 402 - Steam Plant Stats - Co'!F31</f>
        <v>0</v>
      </c>
      <c r="L79" s="3481">
        <f>'Pg 402.1 - Steam Plant Stats - '!C31</f>
        <v>0</v>
      </c>
      <c r="M79" s="3481">
        <f>'Pg 402.1 - Steam Plant Stats - '!F31</f>
        <v>0</v>
      </c>
      <c r="N79" s="3481">
        <f>'Pg 402.2 - Steam Plant Stats - '!O31</f>
        <v>10794276</v>
      </c>
      <c r="O79" s="3481">
        <f>'Pg 402.3 - Steam Plant Stats - '!F31</f>
        <v>0</v>
      </c>
      <c r="P79" s="3481">
        <f>'Pg 402.3 - Steam Plant Stats - '!I31</f>
        <v>0</v>
      </c>
      <c r="Q79" s="3481">
        <f>'Pg 402.3 - Steam Plant Stats - '!L31</f>
        <v>0</v>
      </c>
      <c r="R79" s="3481">
        <f>'Pg 402.3 - Steam Plant Stats - '!O31</f>
        <v>0</v>
      </c>
      <c r="S79" s="3481">
        <f>'Pg 402.3 - Steam Plant Stats - '!C31</f>
        <v>0</v>
      </c>
    </row>
    <row r="80" spans="1:19" x14ac:dyDescent="0.25">
      <c r="A80" s="2212" t="s">
        <v>12511</v>
      </c>
      <c r="C80" s="3480">
        <f t="shared" si="24"/>
        <v>0</v>
      </c>
      <c r="D80" s="3480">
        <f t="shared" si="25"/>
        <v>0</v>
      </c>
      <c r="E80" s="3480">
        <f t="shared" si="26"/>
        <v>0</v>
      </c>
      <c r="F80" s="3480">
        <f t="shared" si="27"/>
        <v>0</v>
      </c>
      <c r="G80" s="3480">
        <f t="shared" si="28"/>
        <v>0</v>
      </c>
      <c r="H80" s="3480">
        <f t="shared" si="29"/>
        <v>0</v>
      </c>
      <c r="I80" s="3481">
        <f>'Pg 402.2 - Steam Plant Stats - '!L32</f>
        <v>0</v>
      </c>
      <c r="J80" s="3481">
        <f>'Pg 402 - Steam Plant Stats - Co'!C32</f>
        <v>0</v>
      </c>
      <c r="K80" s="3481">
        <f>'Pg 402 - Steam Plant Stats - Co'!F32</f>
        <v>0</v>
      </c>
      <c r="L80" s="3481">
        <f>'Pg 402.1 - Steam Plant Stats - '!C32</f>
        <v>0</v>
      </c>
      <c r="M80" s="3481">
        <f>'Pg 402.1 - Steam Plant Stats - '!F32</f>
        <v>0</v>
      </c>
      <c r="N80" s="3481">
        <f>'Pg 402.2 - Steam Plant Stats - '!O32</f>
        <v>0</v>
      </c>
      <c r="O80" s="3481">
        <f>'Pg 402.3 - Steam Plant Stats - '!F32</f>
        <v>0</v>
      </c>
      <c r="P80" s="3481">
        <f>'Pg 402.3 - Steam Plant Stats - '!I32</f>
        <v>0</v>
      </c>
      <c r="Q80" s="3481">
        <f>'Pg 402.3 - Steam Plant Stats - '!L32</f>
        <v>0</v>
      </c>
      <c r="R80" s="3481">
        <f>'Pg 402.3 - Steam Plant Stats - '!O32</f>
        <v>0</v>
      </c>
      <c r="S80" s="3481">
        <f>'Pg 402.3 - Steam Plant Stats - '!C32</f>
        <v>0</v>
      </c>
    </row>
    <row r="81" spans="1:19" x14ac:dyDescent="0.25">
      <c r="A81" s="2212" t="s">
        <v>12512</v>
      </c>
      <c r="C81" s="3480">
        <f t="shared" si="24"/>
        <v>20417017</v>
      </c>
      <c r="D81" s="3480">
        <f t="shared" si="25"/>
        <v>0</v>
      </c>
      <c r="E81" s="3480">
        <f t="shared" si="26"/>
        <v>0</v>
      </c>
      <c r="F81" s="3480">
        <f t="shared" si="27"/>
        <v>0</v>
      </c>
      <c r="G81" s="3480">
        <f t="shared" si="28"/>
        <v>0</v>
      </c>
      <c r="H81" s="3480">
        <f t="shared" si="29"/>
        <v>497050</v>
      </c>
      <c r="I81" s="3481">
        <f>'Pg 402.2 - Steam Plant Stats - '!L33</f>
        <v>6921024</v>
      </c>
      <c r="J81" s="3481">
        <f>'Pg 402 - Steam Plant Stats - Co'!C33</f>
        <v>-96376</v>
      </c>
      <c r="K81" s="3481">
        <f>'Pg 402 - Steam Plant Stats - Co'!F33</f>
        <v>549499</v>
      </c>
      <c r="L81" s="3481">
        <f>'Pg 402.1 - Steam Plant Stats - '!C33</f>
        <v>85654</v>
      </c>
      <c r="M81" s="3481">
        <f>'Pg 402.1 - Steam Plant Stats - '!F33</f>
        <v>-41727</v>
      </c>
      <c r="N81" s="3481">
        <f>'Pg 402.2 - Steam Plant Stats - '!O33</f>
        <v>0</v>
      </c>
      <c r="O81" s="3481">
        <f>'Pg 402.3 - Steam Plant Stats - '!F33</f>
        <v>927062</v>
      </c>
      <c r="P81" s="3481">
        <f>'Pg 402.3 - Steam Plant Stats - '!I33</f>
        <v>2339214</v>
      </c>
      <c r="Q81" s="3481">
        <f>'Pg 402.3 - Steam Plant Stats - '!L33</f>
        <v>2951536</v>
      </c>
      <c r="R81" s="3481">
        <f>'Pg 402.3 - Steam Plant Stats - '!O33</f>
        <v>4846192</v>
      </c>
      <c r="S81" s="3481">
        <f>'Pg 402.3 - Steam Plant Stats - '!C33</f>
        <v>2431989</v>
      </c>
    </row>
    <row r="82" spans="1:19" x14ac:dyDescent="0.25">
      <c r="A82" s="2212" t="s">
        <v>12513</v>
      </c>
      <c r="C82" s="3480">
        <f t="shared" si="24"/>
        <v>2432368</v>
      </c>
      <c r="D82" s="3480">
        <f t="shared" si="25"/>
        <v>-882937</v>
      </c>
      <c r="E82" s="3480">
        <f t="shared" si="26"/>
        <v>0</v>
      </c>
      <c r="F82" s="3480">
        <f t="shared" si="27"/>
        <v>0</v>
      </c>
      <c r="G82" s="3480">
        <f t="shared" si="28"/>
        <v>0</v>
      </c>
      <c r="H82" s="3480">
        <f t="shared" si="29"/>
        <v>5059070</v>
      </c>
      <c r="I82" s="3481">
        <f>'Pg 402.2 - Steam Plant Stats - '!L34</f>
        <v>0</v>
      </c>
      <c r="J82" s="3481">
        <f>'Pg 402 - Steam Plant Stats - Co'!C34</f>
        <v>4398230</v>
      </c>
      <c r="K82" s="3481">
        <f>'Pg 402 - Steam Plant Stats - Co'!F34</f>
        <v>994951</v>
      </c>
      <c r="L82" s="3481">
        <f>'Pg 402.1 - Steam Plant Stats - '!C34</f>
        <v>-4182632</v>
      </c>
      <c r="M82" s="3481">
        <f>'Pg 402.1 - Steam Plant Stats - '!F34</f>
        <v>3848521</v>
      </c>
      <c r="N82" s="3481">
        <f>'Pg 402.2 - Steam Plant Stats - '!O34</f>
        <v>-882937</v>
      </c>
      <c r="O82" s="3481">
        <f>'Pg 402.3 - Steam Plant Stats - '!F34</f>
        <v>0</v>
      </c>
      <c r="P82" s="3481">
        <f>'Pg 402.3 - Steam Plant Stats - '!I34</f>
        <v>651686</v>
      </c>
      <c r="Q82" s="3481">
        <f>'Pg 402.3 - Steam Plant Stats - '!L34</f>
        <v>447900</v>
      </c>
      <c r="R82" s="3481">
        <f>'Pg 402.3 - Steam Plant Stats - '!O34</f>
        <v>519534</v>
      </c>
      <c r="S82" s="3481">
        <f>'Pg 402.3 - Steam Plant Stats - '!C34</f>
        <v>813248</v>
      </c>
    </row>
    <row r="83" spans="1:19" x14ac:dyDescent="0.25">
      <c r="A83" s="2212" t="s">
        <v>12514</v>
      </c>
      <c r="C83" s="3480">
        <f t="shared" si="24"/>
        <v>500</v>
      </c>
      <c r="D83" s="3480">
        <f t="shared" si="25"/>
        <v>6247</v>
      </c>
      <c r="E83" s="3480">
        <f t="shared" si="26"/>
        <v>0</v>
      </c>
      <c r="F83" s="3480">
        <f t="shared" si="27"/>
        <v>0</v>
      </c>
      <c r="G83" s="3480">
        <f t="shared" si="28"/>
        <v>0</v>
      </c>
      <c r="H83" s="3480">
        <f t="shared" si="29"/>
        <v>511</v>
      </c>
      <c r="I83" s="3481">
        <f>'Pg 402.2 - Steam Plant Stats - '!L35</f>
        <v>0</v>
      </c>
      <c r="J83" s="3481">
        <f>'Pg 402 - Steam Plant Stats - Co'!C35</f>
        <v>0</v>
      </c>
      <c r="K83" s="3481">
        <f>'Pg 402 - Steam Plant Stats - Co'!F35</f>
        <v>0</v>
      </c>
      <c r="L83" s="3481">
        <f>'Pg 402.1 - Steam Plant Stats - '!C35</f>
        <v>186</v>
      </c>
      <c r="M83" s="3481">
        <f>'Pg 402.1 - Steam Plant Stats - '!F35</f>
        <v>325</v>
      </c>
      <c r="N83" s="3481">
        <f>'Pg 402.2 - Steam Plant Stats - '!O35</f>
        <v>6247</v>
      </c>
      <c r="O83" s="3481">
        <f>'Pg 402.3 - Steam Plant Stats - '!F35</f>
        <v>0</v>
      </c>
      <c r="P83" s="3481">
        <f>'Pg 402.3 - Steam Plant Stats - '!I35</f>
        <v>0</v>
      </c>
      <c r="Q83" s="3481">
        <f>'Pg 402.3 - Steam Plant Stats - '!L35</f>
        <v>232</v>
      </c>
      <c r="R83" s="3481">
        <f>'Pg 402.3 - Steam Plant Stats - '!O35</f>
        <v>268</v>
      </c>
      <c r="S83" s="3481">
        <f>'Pg 402.3 - Steam Plant Stats - '!C35</f>
        <v>0</v>
      </c>
    </row>
    <row r="84" spans="1:19" x14ac:dyDescent="0.25">
      <c r="A84" s="2212" t="s">
        <v>12515</v>
      </c>
      <c r="C84" s="3480">
        <f t="shared" si="24"/>
        <v>0</v>
      </c>
      <c r="D84" s="3480">
        <f t="shared" si="25"/>
        <v>0</v>
      </c>
      <c r="E84" s="3480">
        <f t="shared" si="26"/>
        <v>0</v>
      </c>
      <c r="F84" s="3480">
        <f t="shared" si="27"/>
        <v>0</v>
      </c>
      <c r="G84" s="3480">
        <f t="shared" si="28"/>
        <v>0</v>
      </c>
      <c r="H84" s="3480">
        <f t="shared" si="29"/>
        <v>0</v>
      </c>
      <c r="I84" s="3481">
        <f>'Pg 402.2 - Steam Plant Stats - '!L36</f>
        <v>0</v>
      </c>
      <c r="J84" s="3481">
        <f>'Pg 402 - Steam Plant Stats - Co'!C36</f>
        <v>0</v>
      </c>
      <c r="K84" s="3481">
        <f>'Pg 402 - Steam Plant Stats - Co'!F36</f>
        <v>0</v>
      </c>
      <c r="L84" s="3481">
        <f>'Pg 402.1 - Steam Plant Stats - '!C36</f>
        <v>0</v>
      </c>
      <c r="M84" s="3481">
        <f>'Pg 402.1 - Steam Plant Stats - '!F36</f>
        <v>0</v>
      </c>
      <c r="N84" s="3481">
        <f>'Pg 402.2 - Steam Plant Stats - '!O36</f>
        <v>0</v>
      </c>
      <c r="O84" s="3481">
        <f>'Pg 402.3 - Steam Plant Stats - '!F36</f>
        <v>0</v>
      </c>
      <c r="P84" s="3481">
        <f>'Pg 402.3 - Steam Plant Stats - '!I36</f>
        <v>0</v>
      </c>
      <c r="Q84" s="3481">
        <f>'Pg 402.3 - Steam Plant Stats - '!L36</f>
        <v>0</v>
      </c>
      <c r="R84" s="3481">
        <f>'Pg 402.3 - Steam Plant Stats - '!O36</f>
        <v>0</v>
      </c>
      <c r="S84" s="3481">
        <f>'Pg 402.3 - Steam Plant Stats - '!C36</f>
        <v>0</v>
      </c>
    </row>
    <row r="85" spans="1:19" x14ac:dyDescent="0.25">
      <c r="A85" s="2212" t="s">
        <v>12516</v>
      </c>
      <c r="C85" s="3480">
        <f t="shared" si="24"/>
        <v>0</v>
      </c>
      <c r="D85" s="3480">
        <f t="shared" si="25"/>
        <v>0</v>
      </c>
      <c r="E85" s="3480">
        <f t="shared" si="26"/>
        <v>0</v>
      </c>
      <c r="F85" s="3480">
        <f t="shared" si="27"/>
        <v>0</v>
      </c>
      <c r="G85" s="3480">
        <f t="shared" si="28"/>
        <v>0</v>
      </c>
      <c r="H85" s="3480">
        <f t="shared" si="29"/>
        <v>847468</v>
      </c>
      <c r="I85" s="3481">
        <f>'Pg 402.2 - Steam Plant Stats - '!L37</f>
        <v>0</v>
      </c>
      <c r="J85" s="3481">
        <f>'Pg 402 - Steam Plant Stats - Co'!C37</f>
        <v>187084</v>
      </c>
      <c r="K85" s="3481">
        <f>'Pg 402 - Steam Plant Stats - Co'!F37</f>
        <v>501482</v>
      </c>
      <c r="L85" s="3481">
        <f>'Pg 402.1 - Steam Plant Stats - '!C37</f>
        <v>57763</v>
      </c>
      <c r="M85" s="3481">
        <f>'Pg 402.1 - Steam Plant Stats - '!F37</f>
        <v>101139</v>
      </c>
      <c r="N85" s="3481">
        <f>'Pg 402.2 - Steam Plant Stats - '!O37</f>
        <v>0</v>
      </c>
      <c r="O85" s="3481">
        <f>'Pg 402.3 - Steam Plant Stats - '!F37</f>
        <v>0</v>
      </c>
      <c r="P85" s="3481">
        <f>'Pg 402.3 - Steam Plant Stats - '!I37</f>
        <v>0</v>
      </c>
      <c r="Q85" s="3481">
        <f>'Pg 402.3 - Steam Plant Stats - '!L37</f>
        <v>0</v>
      </c>
      <c r="R85" s="3481">
        <f>'Pg 402.3 - Steam Plant Stats - '!O37</f>
        <v>0</v>
      </c>
      <c r="S85" s="3481">
        <f>'Pg 402.3 - Steam Plant Stats - '!C37</f>
        <v>0</v>
      </c>
    </row>
    <row r="86" spans="1:19" x14ac:dyDescent="0.25">
      <c r="A86" s="2212" t="s">
        <v>12517</v>
      </c>
      <c r="C86" s="3480">
        <f t="shared" si="24"/>
        <v>4718703</v>
      </c>
      <c r="D86" s="3480">
        <f t="shared" si="25"/>
        <v>770390</v>
      </c>
      <c r="E86" s="3480">
        <f t="shared" si="26"/>
        <v>0</v>
      </c>
      <c r="F86" s="3480">
        <f t="shared" si="27"/>
        <v>0</v>
      </c>
      <c r="G86" s="3480">
        <f t="shared" si="28"/>
        <v>0</v>
      </c>
      <c r="H86" s="3480">
        <f t="shared" si="29"/>
        <v>4636092</v>
      </c>
      <c r="I86" s="3481">
        <f>'Pg 402.2 - Steam Plant Stats - '!L38</f>
        <v>0</v>
      </c>
      <c r="J86" s="3481">
        <f>'Pg 402 - Steam Plant Stats - Co'!C38</f>
        <v>497327</v>
      </c>
      <c r="K86" s="3481">
        <f>'Pg 402 - Steam Plant Stats - Co'!F38</f>
        <v>369107</v>
      </c>
      <c r="L86" s="3481">
        <f>'Pg 402.1 - Steam Plant Stats - '!C38</f>
        <v>2475393</v>
      </c>
      <c r="M86" s="3481">
        <f>'Pg 402.1 - Steam Plant Stats - '!F38</f>
        <v>1294265</v>
      </c>
      <c r="N86" s="3481">
        <f>'Pg 402.2 - Steam Plant Stats - '!O38</f>
        <v>770390</v>
      </c>
      <c r="O86" s="3481">
        <f>'Pg 402.3 - Steam Plant Stats - '!F38</f>
        <v>112407</v>
      </c>
      <c r="P86" s="3481">
        <f>'Pg 402.3 - Steam Plant Stats - '!I38</f>
        <v>564282</v>
      </c>
      <c r="Q86" s="3481">
        <f>'Pg 402.3 - Steam Plant Stats - '!L38</f>
        <v>1023486</v>
      </c>
      <c r="R86" s="3481">
        <f>'Pg 402.3 - Steam Plant Stats - '!O38</f>
        <v>2981915</v>
      </c>
      <c r="S86" s="3481">
        <f>'Pg 402.3 - Steam Plant Stats - '!C38</f>
        <v>36613</v>
      </c>
    </row>
    <row r="87" spans="1:19" x14ac:dyDescent="0.25">
      <c r="A87" s="2212" t="s">
        <v>12518</v>
      </c>
      <c r="C87" s="3480">
        <f t="shared" si="24"/>
        <v>0</v>
      </c>
      <c r="D87" s="3480">
        <f t="shared" si="25"/>
        <v>214965</v>
      </c>
      <c r="E87" s="3480">
        <f t="shared" si="26"/>
        <v>0</v>
      </c>
      <c r="F87" s="3480">
        <f t="shared" si="27"/>
        <v>0</v>
      </c>
      <c r="G87" s="3480">
        <f t="shared" si="28"/>
        <v>0</v>
      </c>
      <c r="H87" s="3480">
        <f t="shared" si="29"/>
        <v>22439070</v>
      </c>
      <c r="I87" s="3481">
        <f>'Pg 402.2 - Steam Plant Stats - '!L39</f>
        <v>0</v>
      </c>
      <c r="J87" s="3481">
        <f>'Pg 402 - Steam Plant Stats - Co'!C39</f>
        <v>3322658</v>
      </c>
      <c r="K87" s="3481">
        <f>'Pg 402 - Steam Plant Stats - Co'!F39</f>
        <v>5260739</v>
      </c>
      <c r="L87" s="3481">
        <f>'Pg 402.1 - Steam Plant Stats - '!C39</f>
        <v>8790583</v>
      </c>
      <c r="M87" s="3481">
        <f>'Pg 402.1 - Steam Plant Stats - '!F39</f>
        <v>5065090</v>
      </c>
      <c r="N87" s="3481">
        <f>'Pg 402.2 - Steam Plant Stats - '!O39</f>
        <v>214965</v>
      </c>
      <c r="O87" s="3481">
        <f>'Pg 402.3 - Steam Plant Stats - '!F39</f>
        <v>0</v>
      </c>
      <c r="P87" s="3481">
        <f>'Pg 402.3 - Steam Plant Stats - '!I39</f>
        <v>0</v>
      </c>
      <c r="Q87" s="3481">
        <f>'Pg 402.3 - Steam Plant Stats - '!L39</f>
        <v>0</v>
      </c>
      <c r="R87" s="3481">
        <f>'Pg 402.3 - Steam Plant Stats - '!O39</f>
        <v>0</v>
      </c>
      <c r="S87" s="3481">
        <f>'Pg 402.3 - Steam Plant Stats - '!C39</f>
        <v>0</v>
      </c>
    </row>
    <row r="88" spans="1:19" x14ac:dyDescent="0.25">
      <c r="A88" s="2212" t="s">
        <v>12519</v>
      </c>
      <c r="C88" s="3480">
        <f t="shared" si="24"/>
        <v>11580228</v>
      </c>
      <c r="D88" s="3480">
        <f t="shared" si="25"/>
        <v>421684</v>
      </c>
      <c r="E88" s="3480">
        <f t="shared" si="26"/>
        <v>0</v>
      </c>
      <c r="F88" s="3480">
        <f t="shared" si="27"/>
        <v>0</v>
      </c>
      <c r="G88" s="3480">
        <f t="shared" si="28"/>
        <v>0</v>
      </c>
      <c r="H88" s="3480">
        <f t="shared" si="29"/>
        <v>4922853</v>
      </c>
      <c r="I88" s="3481">
        <f>'Pg 402.2 - Steam Plant Stats - '!L40</f>
        <v>0</v>
      </c>
      <c r="J88" s="3481">
        <f>'Pg 402 - Steam Plant Stats - Co'!C40</f>
        <v>377900</v>
      </c>
      <c r="K88" s="3481">
        <f>'Pg 402 - Steam Plant Stats - Co'!F40</f>
        <v>1597219</v>
      </c>
      <c r="L88" s="3481">
        <f>'Pg 402.1 - Steam Plant Stats - '!C40</f>
        <v>2251943</v>
      </c>
      <c r="M88" s="3481">
        <f>'Pg 402.1 - Steam Plant Stats - '!F40</f>
        <v>695791</v>
      </c>
      <c r="N88" s="3481">
        <f>'Pg 402.2 - Steam Plant Stats - '!O40</f>
        <v>421684</v>
      </c>
      <c r="O88" s="3481">
        <f>'Pg 402.3 - Steam Plant Stats - '!F40</f>
        <v>332209</v>
      </c>
      <c r="P88" s="3481">
        <f>'Pg 402.3 - Steam Plant Stats - '!I40</f>
        <v>1624274</v>
      </c>
      <c r="Q88" s="3481">
        <f>'Pg 402.3 - Steam Plant Stats - '!L40</f>
        <v>602637</v>
      </c>
      <c r="R88" s="3481">
        <f>'Pg 402.3 - Steam Plant Stats - '!O40</f>
        <v>4604321</v>
      </c>
      <c r="S88" s="3481">
        <f>'Pg 402.3 - Steam Plant Stats - '!C40</f>
        <v>4416787</v>
      </c>
    </row>
    <row r="89" spans="1:19" x14ac:dyDescent="0.25">
      <c r="A89" s="2212" t="s">
        <v>12520</v>
      </c>
      <c r="C89" s="3480">
        <f t="shared" si="24"/>
        <v>257549</v>
      </c>
      <c r="D89" s="3480">
        <f t="shared" si="25"/>
        <v>104303</v>
      </c>
      <c r="E89" s="3480">
        <f t="shared" si="26"/>
        <v>0</v>
      </c>
      <c r="F89" s="3480">
        <f t="shared" si="27"/>
        <v>0</v>
      </c>
      <c r="G89" s="3480">
        <f t="shared" si="28"/>
        <v>0</v>
      </c>
      <c r="H89" s="3480">
        <f t="shared" si="29"/>
        <v>3373919</v>
      </c>
      <c r="I89" s="3481">
        <f>'Pg 402.2 - Steam Plant Stats - '!L41</f>
        <v>0</v>
      </c>
      <c r="J89" s="3481">
        <f>'Pg 402 - Steam Plant Stats - Co'!C41</f>
        <v>687593</v>
      </c>
      <c r="K89" s="3481">
        <f>'Pg 402 - Steam Plant Stats - Co'!F41</f>
        <v>786294</v>
      </c>
      <c r="L89" s="3481">
        <f>'Pg 402.1 - Steam Plant Stats - '!C41</f>
        <v>679143</v>
      </c>
      <c r="M89" s="3481">
        <f>'Pg 402.1 - Steam Plant Stats - '!F41</f>
        <v>1220889</v>
      </c>
      <c r="N89" s="3481">
        <f>'Pg 402.2 - Steam Plant Stats - '!O41</f>
        <v>104303</v>
      </c>
      <c r="O89" s="3481">
        <f>'Pg 402.3 - Steam Plant Stats - '!F41</f>
        <v>114877</v>
      </c>
      <c r="P89" s="3481">
        <f>'Pg 402.3 - Steam Plant Stats - '!I41</f>
        <v>77010</v>
      </c>
      <c r="Q89" s="3481">
        <f>'Pg 402.3 - Steam Plant Stats - '!L41</f>
        <v>32423</v>
      </c>
      <c r="R89" s="3481">
        <f>'Pg 402.3 - Steam Plant Stats - '!O41</f>
        <v>33239</v>
      </c>
      <c r="S89" s="3481">
        <f>'Pg 402.3 - Steam Plant Stats - '!C41</f>
        <v>0</v>
      </c>
    </row>
    <row r="90" spans="1:19" x14ac:dyDescent="0.25">
      <c r="A90" s="2212" t="s">
        <v>12521</v>
      </c>
      <c r="C90" s="3480">
        <f t="shared" si="24"/>
        <v>526488907</v>
      </c>
      <c r="D90" s="3480">
        <f t="shared" si="25"/>
        <v>11354769</v>
      </c>
      <c r="E90" s="3480">
        <f t="shared" si="26"/>
        <v>0</v>
      </c>
      <c r="F90" s="3480">
        <f t="shared" si="27"/>
        <v>0</v>
      </c>
      <c r="G90" s="3480">
        <f t="shared" si="28"/>
        <v>0</v>
      </c>
      <c r="H90" s="3480">
        <f t="shared" si="29"/>
        <v>166458393</v>
      </c>
      <c r="I90" s="3481">
        <f>'Pg 402.2 - Steam Plant Stats - '!L42</f>
        <v>41876415</v>
      </c>
      <c r="J90" s="3481">
        <f>'Pg 402 - Steam Plant Stats - Co'!C42</f>
        <v>33524443</v>
      </c>
      <c r="K90" s="3481">
        <f>'Pg 402 - Steam Plant Stats - Co'!F42</f>
        <v>40342094</v>
      </c>
      <c r="L90" s="3481">
        <f>'Pg 402.1 - Steam Plant Stats - '!C42</f>
        <v>39428754</v>
      </c>
      <c r="M90" s="3481">
        <f>'Pg 402.1 - Steam Plant Stats - '!F42</f>
        <v>53163102</v>
      </c>
      <c r="N90" s="3481">
        <f>'Pg 402.2 - Steam Plant Stats - '!O42</f>
        <v>11354769</v>
      </c>
      <c r="O90" s="3481">
        <f>'Pg 402.3 - Steam Plant Stats - '!F42</f>
        <v>2069688</v>
      </c>
      <c r="P90" s="3481">
        <f>'Pg 402.3 - Steam Plant Stats - '!I42</f>
        <v>105293743</v>
      </c>
      <c r="Q90" s="3481">
        <f>'Pg 402.3 - Steam Plant Stats - '!L42</f>
        <v>116562859</v>
      </c>
      <c r="R90" s="3481">
        <f>'Pg 402.3 - Steam Plant Stats - '!O42</f>
        <v>128867936</v>
      </c>
      <c r="S90" s="3481">
        <f>'Pg 402.3 - Steam Plant Stats - '!C42</f>
        <v>131818266</v>
      </c>
    </row>
    <row r="91" spans="1:19" x14ac:dyDescent="0.25">
      <c r="A91" s="2212" t="s">
        <v>12522</v>
      </c>
      <c r="C91" s="3482">
        <f t="shared" si="24"/>
        <v>1.3598075334276534</v>
      </c>
      <c r="D91" s="3482">
        <f t="shared" si="25"/>
        <v>4.5748280627394736E-2</v>
      </c>
      <c r="E91" s="3482">
        <f t="shared" si="26"/>
        <v>0</v>
      </c>
      <c r="F91" s="3482">
        <f t="shared" si="27"/>
        <v>0</v>
      </c>
      <c r="G91" s="3482">
        <f t="shared" si="28"/>
        <v>0</v>
      </c>
      <c r="H91" s="3482">
        <f t="shared" si="29"/>
        <v>0.17855825159937574</v>
      </c>
      <c r="I91" s="3483">
        <f>'Pg 402.2 - Steam Plant Stats - '!L43</f>
        <v>3.08387601580364E-2</v>
      </c>
      <c r="J91" s="3483">
        <f>'Pg 402 - Steam Plant Stats - Co'!C43</f>
        <v>3.1958812723488994E-2</v>
      </c>
      <c r="K91" s="3483">
        <f>'Pg 402 - Steam Plant Stats - Co'!F43</f>
        <v>5.0564457563280631E-2</v>
      </c>
      <c r="L91" s="3483">
        <f>'Pg 402.1 - Steam Plant Stats - '!C43</f>
        <v>4.9101749561955711E-2</v>
      </c>
      <c r="M91" s="3483">
        <f>'Pg 402.1 - Steam Plant Stats - '!F43</f>
        <v>4.6933231750650416E-2</v>
      </c>
      <c r="N91" s="3483">
        <f>'Pg 402.2 - Steam Plant Stats - '!O43</f>
        <v>4.5748280627394736E-2</v>
      </c>
      <c r="O91" s="3483">
        <f>'Pg 402.3 - Steam Plant Stats - '!F43</f>
        <v>1.1575436241610739</v>
      </c>
      <c r="P91" s="3483">
        <f>'Pg 402.3 - Steam Plant Stats - '!I43</f>
        <v>3.6561025644586964E-2</v>
      </c>
      <c r="Q91" s="3483">
        <f>'Pg 402.3 - Steam Plant Stats - '!L43</f>
        <v>3.7528008968381751E-2</v>
      </c>
      <c r="R91" s="3483">
        <f>'Pg 402.3 - Steam Plant Stats - '!O43</f>
        <v>3.8462575466888881E-2</v>
      </c>
      <c r="S91" s="3483">
        <f>'Pg 402.3 - Steam Plant Stats - '!C43</f>
        <v>5.8873539028685487E-2</v>
      </c>
    </row>
    <row r="92" spans="1:19" x14ac:dyDescent="0.25">
      <c r="A92" s="2212"/>
      <c r="I92" s="3472"/>
      <c r="J92" s="3472"/>
      <c r="K92" s="3472"/>
      <c r="L92" s="3472"/>
      <c r="M92" s="3472"/>
      <c r="N92" s="3472"/>
      <c r="O92" s="3472"/>
      <c r="P92" s="3472"/>
      <c r="Q92" s="3472"/>
      <c r="R92" s="3472"/>
      <c r="S92" s="3472"/>
    </row>
    <row r="93" spans="1:19" x14ac:dyDescent="0.25">
      <c r="A93" s="3475" t="s">
        <v>12523</v>
      </c>
      <c r="B93" s="3476">
        <f>'RATE BASE DATA'!$K$26</f>
        <v>0.40126735224589888</v>
      </c>
      <c r="C93" s="3484">
        <f t="shared" ref="C93:C94" si="30">SUMIF($I$54:$S$54,$C$54,$I93:$S93)</f>
        <v>2049062827</v>
      </c>
      <c r="D93" s="3484">
        <f t="shared" si="25"/>
        <v>162631010</v>
      </c>
      <c r="E93" s="3484">
        <f t="shared" si="26"/>
        <v>0</v>
      </c>
      <c r="F93" s="3484">
        <f t="shared" si="27"/>
        <v>0</v>
      </c>
      <c r="G93" s="3484">
        <f t="shared" si="28"/>
        <v>0</v>
      </c>
      <c r="H93" s="3484">
        <f t="shared" si="29"/>
        <v>1393866886</v>
      </c>
      <c r="I93" s="3485">
        <f t="shared" ref="I93:S93" si="31">SUM(I69:I72)</f>
        <v>187613671</v>
      </c>
      <c r="J93" s="3485">
        <f t="shared" si="31"/>
        <v>259861783</v>
      </c>
      <c r="K93" s="3485">
        <f t="shared" si="31"/>
        <v>228934809</v>
      </c>
      <c r="L93" s="3485">
        <f t="shared" si="31"/>
        <v>331803006</v>
      </c>
      <c r="M93" s="3485">
        <f t="shared" si="31"/>
        <v>573267288</v>
      </c>
      <c r="N93" s="3485">
        <f t="shared" si="31"/>
        <v>162631010</v>
      </c>
      <c r="O93" s="3485">
        <f t="shared" si="31"/>
        <v>88871057</v>
      </c>
      <c r="P93" s="3485">
        <f t="shared" si="31"/>
        <v>361899342</v>
      </c>
      <c r="Q93" s="3485">
        <f t="shared" si="31"/>
        <v>385719422</v>
      </c>
      <c r="R93" s="3485">
        <f t="shared" si="31"/>
        <v>659669559</v>
      </c>
      <c r="S93" s="3485">
        <f t="shared" si="31"/>
        <v>365289776</v>
      </c>
    </row>
    <row r="94" spans="1:19" x14ac:dyDescent="0.25">
      <c r="A94" s="3475" t="s">
        <v>12524</v>
      </c>
      <c r="B94" s="3476">
        <f>'RATE BASE DATA'!$K$26</f>
        <v>0.40126735224589888</v>
      </c>
      <c r="C94" s="3486">
        <f t="shared" si="30"/>
        <v>-828014495.75</v>
      </c>
      <c r="D94" s="3486">
        <f t="shared" si="25"/>
        <v>-56567307.826086953</v>
      </c>
      <c r="E94" s="3484">
        <f t="shared" si="26"/>
        <v>0</v>
      </c>
      <c r="F94" s="3484">
        <f t="shared" si="27"/>
        <v>0</v>
      </c>
      <c r="G94" s="3484">
        <f t="shared" si="28"/>
        <v>0</v>
      </c>
      <c r="H94" s="3486">
        <f t="shared" si="29"/>
        <v>-1227127229.1419981</v>
      </c>
      <c r="I94" s="3487">
        <f t="shared" ref="I94:S94" si="32">-(($B$8-I60)/I55)*I73</f>
        <v>-126639227.92500001</v>
      </c>
      <c r="J94" s="3487">
        <f t="shared" si="32"/>
        <v>-209019260.23913044</v>
      </c>
      <c r="K94" s="3487">
        <f t="shared" si="32"/>
        <v>-209450995.46808511</v>
      </c>
      <c r="L94" s="3487">
        <f t="shared" si="32"/>
        <v>-310163679.52173913</v>
      </c>
      <c r="M94" s="3487">
        <f t="shared" si="32"/>
        <v>-498493293.91304344</v>
      </c>
      <c r="N94" s="3487">
        <f t="shared" si="32"/>
        <v>-56567307.826086953</v>
      </c>
      <c r="O94" s="3487">
        <f t="shared" si="32"/>
        <v>-62209739.899999999</v>
      </c>
      <c r="P94" s="3487">
        <f t="shared" si="32"/>
        <v>-153807220.34999999</v>
      </c>
      <c r="Q94" s="3487">
        <f t="shared" si="32"/>
        <v>-154287768.80000001</v>
      </c>
      <c r="R94" s="3487">
        <f t="shared" si="32"/>
        <v>-148425650.77500001</v>
      </c>
      <c r="S94" s="3487">
        <f t="shared" si="32"/>
        <v>-182644888</v>
      </c>
    </row>
    <row r="95" spans="1:19" x14ac:dyDescent="0.25">
      <c r="A95" s="2212" t="s">
        <v>12525</v>
      </c>
      <c r="C95" s="3480">
        <f>I95+O95+P95+Q95+R95+S95</f>
        <v>1221048331.25</v>
      </c>
      <c r="D95" s="3480">
        <f>N95</f>
        <v>106063702.17391305</v>
      </c>
      <c r="E95" s="3480">
        <v>0</v>
      </c>
      <c r="F95" s="3480">
        <v>0</v>
      </c>
      <c r="G95" s="3480">
        <v>0</v>
      </c>
      <c r="H95" s="3480">
        <f>J95+K95+L95+M95</f>
        <v>166739656.85800189</v>
      </c>
      <c r="I95" s="3481">
        <f t="shared" ref="I95:S95" si="33">SUM(I93:I94)</f>
        <v>60974443.074999988</v>
      </c>
      <c r="J95" s="3481">
        <f t="shared" si="33"/>
        <v>50842522.760869563</v>
      </c>
      <c r="K95" s="3481">
        <f t="shared" si="33"/>
        <v>19483813.53191489</v>
      </c>
      <c r="L95" s="3481">
        <f t="shared" si="33"/>
        <v>21639326.478260875</v>
      </c>
      <c r="M95" s="3481">
        <f t="shared" si="33"/>
        <v>74773994.086956561</v>
      </c>
      <c r="N95" s="3481">
        <f t="shared" si="33"/>
        <v>106063702.17391305</v>
      </c>
      <c r="O95" s="3481">
        <f t="shared" si="33"/>
        <v>26661317.100000001</v>
      </c>
      <c r="P95" s="3481">
        <f t="shared" si="33"/>
        <v>208092121.65000001</v>
      </c>
      <c r="Q95" s="3481">
        <f t="shared" si="33"/>
        <v>231431653.19999999</v>
      </c>
      <c r="R95" s="3481">
        <f t="shared" si="33"/>
        <v>511243908.22500002</v>
      </c>
      <c r="S95" s="3481">
        <f t="shared" si="33"/>
        <v>182644888</v>
      </c>
    </row>
    <row r="96" spans="1:19" x14ac:dyDescent="0.25">
      <c r="A96" s="2212"/>
      <c r="C96" s="2212"/>
      <c r="D96" s="2212"/>
      <c r="E96" s="2212"/>
      <c r="F96" s="3480">
        <v>0</v>
      </c>
      <c r="G96" s="2212"/>
      <c r="H96" s="2212"/>
      <c r="I96" s="3472"/>
      <c r="J96" s="3472"/>
      <c r="K96" s="3472"/>
      <c r="L96" s="3472"/>
      <c r="M96" s="3472"/>
      <c r="N96" s="3472"/>
      <c r="O96" s="3472"/>
      <c r="P96" s="3472"/>
      <c r="Q96" s="3472"/>
      <c r="R96" s="3472"/>
      <c r="S96" s="3472"/>
    </row>
    <row r="97" spans="1:19" x14ac:dyDescent="0.25">
      <c r="A97" s="3475" t="s">
        <v>403</v>
      </c>
      <c r="B97" s="3476">
        <f>'RATE BASE DATA'!$K$26</f>
        <v>0.40126735224589888</v>
      </c>
      <c r="C97" s="3484">
        <f t="shared" ref="C97:C99" si="34">SUMIF($I$54:$S$54,$C$54,$I97:$S97)</f>
        <v>51967162.81666667</v>
      </c>
      <c r="D97" s="3484">
        <f t="shared" ref="D97:D99" si="35">SUMIF($I$54:$S$54,$D$54,$I97:$S97)</f>
        <v>3535456.7391304346</v>
      </c>
      <c r="E97" s="3484">
        <f t="shared" ref="E97:E99" si="36">SUMIF($I$54:$S$54,$E$54,$I97:$S97)</f>
        <v>0</v>
      </c>
      <c r="F97" s="3484">
        <f t="shared" ref="F97:F99" si="37">SUMIF($I$54:$S$54,$F$54,$I97:$S97)</f>
        <v>0</v>
      </c>
      <c r="G97" s="3484">
        <f t="shared" ref="G97:G99" si="38">SUMIF($I$54:$S$54,$G$54,$I97:$S97)</f>
        <v>0</v>
      </c>
      <c r="H97" s="3484">
        <f t="shared" ref="H97:H99" si="39">SUMIF($I$54:$S$54,$H$54,$I97:$S97)</f>
        <v>30195563.752543941</v>
      </c>
      <c r="I97" s="3485">
        <f t="shared" ref="I97:S97" si="40">I93/I55</f>
        <v>4690341.7750000004</v>
      </c>
      <c r="J97" s="3485">
        <f t="shared" si="40"/>
        <v>5649169.1956521738</v>
      </c>
      <c r="K97" s="3485">
        <f t="shared" si="40"/>
        <v>4870953.3829787234</v>
      </c>
      <c r="L97" s="3485">
        <f t="shared" si="40"/>
        <v>7213108.8260869561</v>
      </c>
      <c r="M97" s="3485">
        <f t="shared" si="40"/>
        <v>12462332.347826088</v>
      </c>
      <c r="N97" s="3485">
        <f t="shared" si="40"/>
        <v>3535456.7391304346</v>
      </c>
      <c r="O97" s="3485">
        <f t="shared" si="40"/>
        <v>2962368.5666666669</v>
      </c>
      <c r="P97" s="3485">
        <f t="shared" si="40"/>
        <v>9047483.5500000007</v>
      </c>
      <c r="Q97" s="3485">
        <f t="shared" si="40"/>
        <v>9642985.5500000007</v>
      </c>
      <c r="R97" s="3485">
        <f t="shared" si="40"/>
        <v>16491738.975</v>
      </c>
      <c r="S97" s="3485">
        <f t="shared" si="40"/>
        <v>9132244.4000000004</v>
      </c>
    </row>
    <row r="98" spans="1:19" x14ac:dyDescent="0.25">
      <c r="A98" s="3475" t="s">
        <v>559</v>
      </c>
      <c r="B98" s="3476">
        <f>'RATE BASE DATA'!$K$6</f>
        <v>0.38879546969720469</v>
      </c>
      <c r="C98" s="3484">
        <f t="shared" si="34"/>
        <v>486505377</v>
      </c>
      <c r="D98" s="3484">
        <f t="shared" si="35"/>
        <v>0</v>
      </c>
      <c r="E98" s="3484">
        <f t="shared" si="36"/>
        <v>0</v>
      </c>
      <c r="F98" s="3484">
        <f t="shared" si="37"/>
        <v>0</v>
      </c>
      <c r="G98" s="3484">
        <f t="shared" si="38"/>
        <v>0</v>
      </c>
      <c r="H98" s="3484">
        <f t="shared" si="39"/>
        <v>109108135</v>
      </c>
      <c r="I98" s="3485">
        <f t="shared" ref="I98:S98" si="41">I76</f>
        <v>34955391</v>
      </c>
      <c r="J98" s="3485">
        <f t="shared" si="41"/>
        <v>23217547</v>
      </c>
      <c r="K98" s="3485">
        <f t="shared" si="41"/>
        <v>27914521</v>
      </c>
      <c r="L98" s="3485">
        <f t="shared" si="41"/>
        <v>23962941</v>
      </c>
      <c r="M98" s="3485">
        <f t="shared" si="41"/>
        <v>34013126</v>
      </c>
      <c r="N98" s="3485">
        <f t="shared" si="41"/>
        <v>0</v>
      </c>
      <c r="O98" s="3485">
        <f t="shared" si="41"/>
        <v>583133</v>
      </c>
      <c r="P98" s="3485">
        <f t="shared" si="41"/>
        <v>99903977</v>
      </c>
      <c r="Q98" s="3485">
        <f t="shared" si="41"/>
        <v>111416135</v>
      </c>
      <c r="R98" s="3485">
        <f t="shared" si="41"/>
        <v>115780157</v>
      </c>
      <c r="S98" s="3485">
        <f t="shared" si="41"/>
        <v>123866584</v>
      </c>
    </row>
    <row r="99" spans="1:19" x14ac:dyDescent="0.25">
      <c r="A99" s="3475" t="s">
        <v>12526</v>
      </c>
      <c r="B99" s="3476">
        <f>'Base Expense Data'!$J$26</f>
        <v>0.4780978892425069</v>
      </c>
      <c r="C99" s="3484">
        <f t="shared" si="34"/>
        <v>39983530</v>
      </c>
      <c r="D99" s="3484">
        <f t="shared" si="35"/>
        <v>11354769</v>
      </c>
      <c r="E99" s="3484">
        <f t="shared" si="36"/>
        <v>0</v>
      </c>
      <c r="F99" s="3484">
        <f t="shared" si="37"/>
        <v>0</v>
      </c>
      <c r="G99" s="3484">
        <f t="shared" si="38"/>
        <v>0</v>
      </c>
      <c r="H99" s="3484">
        <f t="shared" si="39"/>
        <v>57350258</v>
      </c>
      <c r="I99" s="3485">
        <f t="shared" ref="I99:S99" si="42">I90-I98</f>
        <v>6921024</v>
      </c>
      <c r="J99" s="3485">
        <f t="shared" si="42"/>
        <v>10306896</v>
      </c>
      <c r="K99" s="3485">
        <f t="shared" si="42"/>
        <v>12427573</v>
      </c>
      <c r="L99" s="3485">
        <f t="shared" si="42"/>
        <v>15465813</v>
      </c>
      <c r="M99" s="3485">
        <f t="shared" si="42"/>
        <v>19149976</v>
      </c>
      <c r="N99" s="3485">
        <f t="shared" si="42"/>
        <v>11354769</v>
      </c>
      <c r="O99" s="3485">
        <f t="shared" si="42"/>
        <v>1486555</v>
      </c>
      <c r="P99" s="3485">
        <f t="shared" si="42"/>
        <v>5389766</v>
      </c>
      <c r="Q99" s="3485">
        <f t="shared" si="42"/>
        <v>5146724</v>
      </c>
      <c r="R99" s="3485">
        <f t="shared" si="42"/>
        <v>13087779</v>
      </c>
      <c r="S99" s="3485">
        <f t="shared" si="42"/>
        <v>7951682</v>
      </c>
    </row>
    <row r="100" spans="1:19" x14ac:dyDescent="0.25">
      <c r="A100" s="2212" t="s">
        <v>10263</v>
      </c>
      <c r="C100" s="3480">
        <f>I100+O100+P100+Q100+R100+S100</f>
        <v>578456069.8166666</v>
      </c>
      <c r="D100" s="3480">
        <f>N100</f>
        <v>14890225.739130434</v>
      </c>
      <c r="E100" s="3480">
        <v>0</v>
      </c>
      <c r="F100" s="3480">
        <v>0</v>
      </c>
      <c r="G100" s="3480">
        <v>0</v>
      </c>
      <c r="H100" s="3480">
        <f>J100+K100+L100+M100</f>
        <v>196653956.75254393</v>
      </c>
      <c r="I100" s="3481">
        <f t="shared" ref="I100:S100" si="43">SUM(I97:I99)</f>
        <v>46566756.774999999</v>
      </c>
      <c r="J100" s="3481">
        <f t="shared" si="43"/>
        <v>39173612.195652172</v>
      </c>
      <c r="K100" s="3481">
        <f t="shared" si="43"/>
        <v>45213047.382978722</v>
      </c>
      <c r="L100" s="3481">
        <f t="shared" si="43"/>
        <v>46641862.826086953</v>
      </c>
      <c r="M100" s="3481">
        <f t="shared" si="43"/>
        <v>65625434.347826086</v>
      </c>
      <c r="N100" s="3481">
        <f t="shared" si="43"/>
        <v>14890225.739130434</v>
      </c>
      <c r="O100" s="3481">
        <f t="shared" si="43"/>
        <v>5032056.5666666664</v>
      </c>
      <c r="P100" s="3481">
        <f t="shared" si="43"/>
        <v>114341226.55</v>
      </c>
      <c r="Q100" s="3481">
        <f t="shared" si="43"/>
        <v>126205844.55</v>
      </c>
      <c r="R100" s="3481">
        <f t="shared" si="43"/>
        <v>145359674.97499999</v>
      </c>
      <c r="S100" s="3481">
        <f t="shared" si="43"/>
        <v>140950510.40000001</v>
      </c>
    </row>
    <row r="105" spans="1:19" x14ac:dyDescent="0.25">
      <c r="H105" s="2212" t="s">
        <v>12523</v>
      </c>
      <c r="I105" s="2212"/>
    </row>
    <row r="106" spans="1:19" x14ac:dyDescent="0.25">
      <c r="H106" s="2212"/>
      <c r="I106" s="3471" t="s">
        <v>10289</v>
      </c>
      <c r="J106" s="3471" t="s">
        <v>10226</v>
      </c>
      <c r="K106" s="3471" t="s">
        <v>10228</v>
      </c>
      <c r="L106" s="3471" t="s">
        <v>12527</v>
      </c>
      <c r="M106" s="3471" t="s">
        <v>12528</v>
      </c>
      <c r="N106" s="3471" t="s">
        <v>10290</v>
      </c>
      <c r="O106" s="3471" t="s">
        <v>10304</v>
      </c>
      <c r="P106" s="3471" t="s">
        <v>10305</v>
      </c>
      <c r="Q106" s="3471" t="s">
        <v>10306</v>
      </c>
      <c r="R106" s="3471" t="s">
        <v>12500</v>
      </c>
      <c r="S106" s="3471" t="s">
        <v>10303</v>
      </c>
    </row>
    <row r="107" spans="1:19" x14ac:dyDescent="0.25">
      <c r="H107" s="2212">
        <v>2019</v>
      </c>
      <c r="I107" s="3488">
        <v>179684184</v>
      </c>
      <c r="J107" s="3488">
        <v>248767803</v>
      </c>
      <c r="K107" s="3488">
        <v>224005658</v>
      </c>
      <c r="L107" s="3488">
        <v>319404137</v>
      </c>
      <c r="M107" s="3488">
        <v>555280120</v>
      </c>
      <c r="N107" s="3488">
        <v>154912568</v>
      </c>
      <c r="O107" s="3488">
        <v>85592263</v>
      </c>
      <c r="P107" s="3488">
        <v>355044741</v>
      </c>
      <c r="Q107" s="3488">
        <v>389097094</v>
      </c>
      <c r="R107" s="3488">
        <v>639255161</v>
      </c>
      <c r="S107" s="3488">
        <v>358120287</v>
      </c>
    </row>
    <row r="108" spans="1:19" x14ac:dyDescent="0.25">
      <c r="H108" s="2212">
        <v>2021</v>
      </c>
      <c r="I108" s="3488">
        <v>184408015</v>
      </c>
      <c r="J108" s="3488">
        <v>250954835</v>
      </c>
      <c r="K108" s="3488">
        <v>224721064</v>
      </c>
      <c r="L108" s="3488">
        <v>321175317</v>
      </c>
      <c r="M108" s="3488">
        <v>562498371</v>
      </c>
      <c r="N108" s="3488">
        <v>160993581</v>
      </c>
      <c r="O108" s="3488">
        <v>85697584</v>
      </c>
      <c r="P108" s="3488">
        <v>360240858</v>
      </c>
      <c r="Q108" s="3488">
        <v>383636148</v>
      </c>
      <c r="R108" s="3488">
        <v>643280079</v>
      </c>
      <c r="S108" s="3488">
        <v>358385208</v>
      </c>
    </row>
    <row r="109" spans="1:19" x14ac:dyDescent="0.25">
      <c r="H109" s="2212">
        <v>2022</v>
      </c>
      <c r="I109" s="3488">
        <v>186297509</v>
      </c>
      <c r="J109" s="3488">
        <v>259792686</v>
      </c>
      <c r="K109" s="3488">
        <v>228792749</v>
      </c>
      <c r="L109" s="3488">
        <v>323812690</v>
      </c>
      <c r="M109" s="3488">
        <v>569379510</v>
      </c>
      <c r="N109" s="3488">
        <v>162040605</v>
      </c>
      <c r="O109" s="3488">
        <v>88616954</v>
      </c>
      <c r="P109" s="3488">
        <v>361631782</v>
      </c>
      <c r="Q109" s="3488">
        <v>385501882</v>
      </c>
      <c r="R109" s="3488">
        <v>644307203</v>
      </c>
      <c r="S109" s="3488">
        <v>364817509</v>
      </c>
    </row>
    <row r="110" spans="1:19" x14ac:dyDescent="0.25">
      <c r="H110" s="2212">
        <v>2023</v>
      </c>
      <c r="I110" s="3480">
        <f t="shared" ref="I110:S110" si="44">I93</f>
        <v>187613671</v>
      </c>
      <c r="J110" s="3480">
        <f t="shared" si="44"/>
        <v>259861783</v>
      </c>
      <c r="K110" s="3480">
        <f t="shared" si="44"/>
        <v>228934809</v>
      </c>
      <c r="L110" s="3480">
        <f t="shared" si="44"/>
        <v>331803006</v>
      </c>
      <c r="M110" s="3480">
        <f t="shared" si="44"/>
        <v>573267288</v>
      </c>
      <c r="N110" s="3480">
        <f t="shared" si="44"/>
        <v>162631010</v>
      </c>
      <c r="O110" s="3480">
        <f t="shared" si="44"/>
        <v>88871057</v>
      </c>
      <c r="P110" s="3480">
        <f t="shared" si="44"/>
        <v>361899342</v>
      </c>
      <c r="Q110" s="3480">
        <f t="shared" si="44"/>
        <v>385719422</v>
      </c>
      <c r="R110" s="3480">
        <f t="shared" si="44"/>
        <v>659669559</v>
      </c>
      <c r="S110" s="3480">
        <f t="shared" si="44"/>
        <v>365289776</v>
      </c>
    </row>
  </sheetData>
  <mergeCells count="3">
    <mergeCell ref="A4:AA4"/>
    <mergeCell ref="A5:AA5"/>
    <mergeCell ref="A6:AA6"/>
  </mergeCells>
  <phoneticPr fontId="0" type="noConversion"/>
  <conditionalFormatting sqref="E35:G35">
    <cfRule type="expression" dxfId="1" priority="1" stopIfTrue="1">
      <formula>MOD(ROW(),2)=1</formula>
    </cfRule>
  </conditionalFormatting>
  <dataValidations count="1">
    <dataValidation type="list" allowBlank="1" showInputMessage="1" showErrorMessage="1" sqref="B14:Z14" xr:uid="{00000000-0002-0000-1400-000000000000}">
      <formula1>"Coal, Natural Gas, Geo-Therm, Hydro, Form 1 LF,Form 1 SF,Wind"</formula1>
    </dataValidation>
  </dataValidations>
  <hyperlinks>
    <hyperlink ref="A2" location="TOC!A1" display="TOC" xr:uid="{00000000-0004-0000-1400-000000000000}"/>
  </hyperlinks>
  <printOptions horizontalCentered="1" headings="1"/>
  <pageMargins left="0.5" right="0.5" top="0.75" bottom="0.8" header="0.25" footer="0.25"/>
  <pageSetup scale="75" orientation="landscape" r:id="rId1"/>
  <headerFooter alignWithMargins="0">
    <oddFooter>&amp;LFY 2026-2028 ASC Filing&amp;CPage &amp;P of &amp;N&amp;R&amp;A
&amp;D</oddFooter>
  </headerFooter>
  <customProperties>
    <customPr name="_pios_id" r:id="rId2"/>
  </customPropertie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1">
    <tabColor rgb="FFFFC000"/>
  </sheetPr>
  <dimension ref="A1:AA51"/>
  <sheetViews>
    <sheetView zoomScale="90" zoomScaleNormal="90" workbookViewId="0">
      <selection sqref="A1:XFD1048576"/>
    </sheetView>
  </sheetViews>
  <sheetFormatPr defaultRowHeight="15.75" x14ac:dyDescent="0.25"/>
  <cols>
    <col min="1" max="1" width="41.5" customWidth="1"/>
    <col min="2" max="8" width="14.625" customWidth="1"/>
    <col min="9" max="26" width="7.625" customWidth="1"/>
    <col min="27" max="27" width="15.75" customWidth="1"/>
  </cols>
  <sheetData>
    <row r="1" spans="1:27" x14ac:dyDescent="0.25">
      <c r="A1" s="1196"/>
    </row>
    <row r="2" spans="1:27" x14ac:dyDescent="0.25">
      <c r="A2" s="1234" t="s">
        <v>695</v>
      </c>
    </row>
    <row r="3" spans="1:27" ht="16.5" thickBot="1" x14ac:dyDescent="0.3">
      <c r="A3" s="1203"/>
    </row>
    <row r="4" spans="1:27" ht="19.5" thickTop="1" x14ac:dyDescent="0.3">
      <c r="A4" s="3599" t="s">
        <v>54</v>
      </c>
      <c r="B4" s="3600"/>
      <c r="C4" s="3600"/>
      <c r="D4" s="3600"/>
      <c r="E4" s="3600"/>
      <c r="F4" s="3600"/>
      <c r="G4" s="3600"/>
      <c r="H4" s="3600"/>
      <c r="I4" s="3600"/>
      <c r="J4" s="3600"/>
      <c r="K4" s="3600"/>
      <c r="L4" s="3600"/>
      <c r="M4" s="3600"/>
      <c r="N4" s="3600"/>
      <c r="O4" s="3600"/>
      <c r="P4" s="3600"/>
      <c r="Q4" s="3600"/>
      <c r="R4" s="3600"/>
      <c r="S4" s="3600"/>
      <c r="T4" s="3600"/>
      <c r="U4" s="3600"/>
      <c r="V4" s="3600"/>
      <c r="W4" s="3600"/>
      <c r="X4" s="3600"/>
      <c r="Y4" s="3600"/>
      <c r="Z4" s="3600"/>
      <c r="AA4" s="3601"/>
    </row>
    <row r="5" spans="1:27" x14ac:dyDescent="0.25">
      <c r="A5" s="3611" t="s">
        <v>56</v>
      </c>
      <c r="B5" s="3612"/>
      <c r="C5" s="3612"/>
      <c r="D5" s="3612"/>
      <c r="E5" s="3612"/>
      <c r="F5" s="3612"/>
      <c r="G5" s="3612"/>
      <c r="H5" s="3612"/>
      <c r="I5" s="3612"/>
      <c r="J5" s="3612"/>
      <c r="K5" s="3612"/>
      <c r="L5" s="3612"/>
      <c r="M5" s="3612"/>
      <c r="N5" s="3612"/>
      <c r="O5" s="3612"/>
      <c r="P5" s="3612"/>
      <c r="Q5" s="3612"/>
      <c r="R5" s="3612"/>
      <c r="S5" s="3612"/>
      <c r="T5" s="3612"/>
      <c r="U5" s="3612"/>
      <c r="V5" s="3612"/>
      <c r="W5" s="3612"/>
      <c r="X5" s="3612"/>
      <c r="Y5" s="3612"/>
      <c r="Z5" s="3612"/>
      <c r="AA5" s="3613"/>
    </row>
    <row r="6" spans="1:27" ht="16.5" thickBot="1" x14ac:dyDescent="0.3">
      <c r="A6" s="3789" t="s">
        <v>719</v>
      </c>
      <c r="B6" s="3790"/>
      <c r="C6" s="3790"/>
      <c r="D6" s="3790"/>
      <c r="E6" s="3790"/>
      <c r="F6" s="3790"/>
      <c r="G6" s="3790"/>
      <c r="H6" s="3790"/>
      <c r="I6" s="3790"/>
      <c r="J6" s="3790"/>
      <c r="K6" s="3790"/>
      <c r="L6" s="3790"/>
      <c r="M6" s="3790"/>
      <c r="N6" s="3790"/>
      <c r="O6" s="3790"/>
      <c r="P6" s="3790"/>
      <c r="Q6" s="3790"/>
      <c r="R6" s="3790"/>
      <c r="S6" s="3790"/>
      <c r="T6" s="3790"/>
      <c r="U6" s="3790"/>
      <c r="V6" s="3790"/>
      <c r="W6" s="3790"/>
      <c r="X6" s="3790"/>
      <c r="Y6" s="3790"/>
      <c r="Z6" s="3790"/>
      <c r="AA6" s="3791"/>
    </row>
    <row r="7" spans="1:27" x14ac:dyDescent="0.25">
      <c r="A7" s="685" t="str">
        <f>'Sch 1- Rate Base '!E5</f>
        <v>PacifiCorp</v>
      </c>
      <c r="B7" s="686"/>
      <c r="C7" s="687"/>
      <c r="D7" s="824"/>
      <c r="E7" s="825"/>
      <c r="F7" s="826"/>
      <c r="G7" s="827"/>
      <c r="H7" s="828"/>
      <c r="I7" s="828"/>
      <c r="J7" s="828"/>
      <c r="K7" s="828"/>
      <c r="L7" s="828"/>
      <c r="M7" s="828"/>
      <c r="N7" s="828"/>
      <c r="O7" s="828"/>
      <c r="P7" s="828"/>
      <c r="Q7" s="828"/>
      <c r="R7" s="828"/>
      <c r="S7" s="828"/>
      <c r="T7" s="828"/>
      <c r="U7" s="828"/>
      <c r="V7" s="828"/>
      <c r="W7" s="828"/>
      <c r="X7" s="828"/>
      <c r="Y7" s="828"/>
      <c r="Z7" s="828"/>
      <c r="AA7" s="829"/>
    </row>
    <row r="8" spans="1:27" ht="16.5" thickBot="1" x14ac:dyDescent="0.3">
      <c r="A8" s="1246">
        <f>'Sch 1- Rate Base '!E7</f>
        <v>45446</v>
      </c>
      <c r="B8" s="690">
        <f>'Sch 1- Rate Base '!E6</f>
        <v>2023</v>
      </c>
      <c r="C8" s="687"/>
      <c r="D8" s="824"/>
      <c r="E8" s="825"/>
      <c r="F8" s="826"/>
      <c r="G8" s="827"/>
      <c r="H8" s="828"/>
      <c r="I8" s="828"/>
      <c r="J8" s="828"/>
      <c r="K8" s="828"/>
      <c r="L8" s="828"/>
      <c r="M8" s="828"/>
      <c r="N8" s="828"/>
      <c r="O8" s="828"/>
      <c r="P8" s="828"/>
      <c r="Q8" s="828"/>
      <c r="R8" s="828"/>
      <c r="S8" s="828"/>
      <c r="T8" s="828"/>
      <c r="U8" s="828"/>
      <c r="V8" s="828"/>
      <c r="W8" s="828"/>
      <c r="X8" s="828"/>
      <c r="Y8" s="828"/>
      <c r="Z8" s="828"/>
      <c r="AA8" s="829"/>
    </row>
    <row r="9" spans="1:27" x14ac:dyDescent="0.25">
      <c r="A9" s="691"/>
      <c r="B9" s="692"/>
      <c r="C9" s="687"/>
      <c r="D9" s="824"/>
      <c r="E9" s="825"/>
      <c r="F9" s="826"/>
      <c r="G9" s="827"/>
      <c r="H9" s="828"/>
      <c r="I9" s="828"/>
      <c r="J9" s="828"/>
      <c r="K9" s="828"/>
      <c r="L9" s="828"/>
      <c r="M9" s="828"/>
      <c r="N9" s="828"/>
      <c r="O9" s="828"/>
      <c r="P9" s="828"/>
      <c r="Q9" s="828"/>
      <c r="R9" s="828"/>
      <c r="S9" s="828"/>
      <c r="T9" s="828"/>
      <c r="U9" s="828"/>
      <c r="V9" s="828"/>
      <c r="W9" s="828"/>
      <c r="X9" s="828"/>
      <c r="Y9" s="828"/>
      <c r="Z9" s="828"/>
      <c r="AA9" s="829"/>
    </row>
    <row r="10" spans="1:27" ht="16.5" thickBot="1" x14ac:dyDescent="0.3">
      <c r="A10" s="691" t="s">
        <v>282</v>
      </c>
      <c r="B10" s="693">
        <f>'Sch 2 -Rate of Return'!E14</f>
        <v>8.4185220942944408E-2</v>
      </c>
      <c r="C10" s="688"/>
      <c r="D10" s="831"/>
      <c r="E10" s="831"/>
      <c r="F10" s="828"/>
      <c r="G10" s="828"/>
      <c r="H10" s="828"/>
      <c r="I10" s="828"/>
      <c r="J10" s="828"/>
      <c r="K10" s="828"/>
      <c r="L10" s="828"/>
      <c r="M10" s="828"/>
      <c r="N10" s="828"/>
      <c r="O10" s="828"/>
      <c r="P10" s="828"/>
      <c r="Q10" s="828"/>
      <c r="R10" s="828"/>
      <c r="S10" s="828"/>
      <c r="T10" s="828"/>
      <c r="U10" s="828"/>
      <c r="V10" s="828"/>
      <c r="W10" s="828"/>
      <c r="X10" s="828"/>
      <c r="Y10" s="828"/>
      <c r="Z10" s="828"/>
      <c r="AA10" s="830"/>
    </row>
    <row r="11" spans="1:27" ht="19.5" thickBot="1" x14ac:dyDescent="0.35">
      <c r="A11" s="694"/>
      <c r="B11" s="697">
        <f t="shared" ref="B11:Z11" si="0">IF(B14="Coal", 1,IF(B14="Hydro",2,IF(B14="Geo-Therm", 1, IF(B14="Natural Gas", 3,IF(B14="Wind",3,IF(B14= "Form 1 LF",4,IF(B14="Form 1 SF",5,"")))))))</f>
        <v>3</v>
      </c>
      <c r="C11" s="695" t="str">
        <f t="shared" si="0"/>
        <v/>
      </c>
      <c r="D11" s="695" t="str">
        <f t="shared" si="0"/>
        <v/>
      </c>
      <c r="E11" s="695" t="str">
        <f t="shared" si="0"/>
        <v/>
      </c>
      <c r="F11" s="696" t="str">
        <f t="shared" si="0"/>
        <v/>
      </c>
      <c r="G11" s="697" t="str">
        <f t="shared" si="0"/>
        <v/>
      </c>
      <c r="H11" s="695" t="str">
        <f t="shared" si="0"/>
        <v/>
      </c>
      <c r="I11" s="695" t="str">
        <f t="shared" si="0"/>
        <v/>
      </c>
      <c r="J11" s="695" t="str">
        <f t="shared" si="0"/>
        <v/>
      </c>
      <c r="K11" s="695" t="str">
        <f t="shared" si="0"/>
        <v/>
      </c>
      <c r="L11" s="695" t="str">
        <f t="shared" si="0"/>
        <v/>
      </c>
      <c r="M11" s="695" t="str">
        <f t="shared" si="0"/>
        <v/>
      </c>
      <c r="N11" s="695" t="str">
        <f t="shared" si="0"/>
        <v/>
      </c>
      <c r="O11" s="695" t="str">
        <f t="shared" si="0"/>
        <v/>
      </c>
      <c r="P11" s="695" t="str">
        <f t="shared" si="0"/>
        <v/>
      </c>
      <c r="Q11" s="695" t="str">
        <f t="shared" si="0"/>
        <v/>
      </c>
      <c r="R11" s="695" t="str">
        <f t="shared" si="0"/>
        <v/>
      </c>
      <c r="S11" s="695" t="str">
        <f t="shared" si="0"/>
        <v/>
      </c>
      <c r="T11" s="695" t="str">
        <f t="shared" si="0"/>
        <v/>
      </c>
      <c r="U11" s="695" t="str">
        <f t="shared" si="0"/>
        <v/>
      </c>
      <c r="V11" s="695" t="str">
        <f t="shared" si="0"/>
        <v/>
      </c>
      <c r="W11" s="695" t="str">
        <f t="shared" si="0"/>
        <v/>
      </c>
      <c r="X11" s="695" t="str">
        <f t="shared" si="0"/>
        <v/>
      </c>
      <c r="Y11" s="695" t="str">
        <f t="shared" si="0"/>
        <v/>
      </c>
      <c r="Z11" s="695" t="str">
        <f t="shared" si="0"/>
        <v/>
      </c>
      <c r="AA11" s="698"/>
    </row>
    <row r="12" spans="1:27" ht="19.5" thickBot="1" x14ac:dyDescent="0.35">
      <c r="A12" s="699"/>
      <c r="B12" s="700"/>
      <c r="C12" s="700"/>
      <c r="D12" s="700"/>
      <c r="E12" s="700"/>
      <c r="F12" s="700"/>
      <c r="G12" s="700"/>
      <c r="H12" s="700"/>
      <c r="I12" s="700"/>
      <c r="J12" s="700"/>
      <c r="K12" s="700"/>
      <c r="L12" s="700"/>
      <c r="M12" s="700"/>
      <c r="N12" s="700"/>
      <c r="O12" s="700"/>
      <c r="P12" s="700"/>
      <c r="Q12" s="700"/>
      <c r="R12" s="700"/>
      <c r="S12" s="700"/>
      <c r="T12" s="700"/>
      <c r="U12" s="700"/>
      <c r="V12" s="700"/>
      <c r="W12" s="700"/>
      <c r="X12" s="700"/>
      <c r="Y12" s="700"/>
      <c r="Z12" s="700"/>
      <c r="AA12" s="701" t="s">
        <v>286</v>
      </c>
    </row>
    <row r="13" spans="1:27" x14ac:dyDescent="0.25">
      <c r="A13" s="702" t="s">
        <v>283</v>
      </c>
      <c r="B13" s="703"/>
      <c r="C13" s="703"/>
      <c r="D13" s="703"/>
      <c r="E13" s="703"/>
      <c r="F13" s="703"/>
      <c r="G13" s="703"/>
      <c r="H13" s="703"/>
      <c r="I13" s="703"/>
      <c r="J13" s="703"/>
      <c r="K13" s="703"/>
      <c r="L13" s="703"/>
      <c r="M13" s="703"/>
      <c r="N13" s="703"/>
      <c r="O13" s="703"/>
      <c r="P13" s="703"/>
      <c r="Q13" s="703"/>
      <c r="R13" s="703"/>
      <c r="S13" s="703"/>
      <c r="T13" s="703"/>
      <c r="U13" s="703"/>
      <c r="V13" s="703"/>
      <c r="W13" s="703"/>
      <c r="X13" s="703"/>
      <c r="Y13" s="703"/>
      <c r="Z13" s="703"/>
      <c r="AA13" s="704"/>
    </row>
    <row r="14" spans="1:27" ht="16.5" thickBot="1" x14ac:dyDescent="0.3">
      <c r="A14" s="705" t="s">
        <v>284</v>
      </c>
      <c r="B14" s="706" t="s">
        <v>10433</v>
      </c>
      <c r="C14" s="706"/>
      <c r="D14" s="706"/>
      <c r="E14" s="706"/>
      <c r="F14" s="706"/>
      <c r="G14" s="706"/>
      <c r="H14" s="706"/>
      <c r="I14" s="706"/>
      <c r="J14" s="706"/>
      <c r="K14" s="706"/>
      <c r="L14" s="706"/>
      <c r="M14" s="706"/>
      <c r="N14" s="706"/>
      <c r="O14" s="706"/>
      <c r="P14" s="706"/>
      <c r="Q14" s="706"/>
      <c r="R14" s="706"/>
      <c r="S14" s="706"/>
      <c r="T14" s="706"/>
      <c r="U14" s="706"/>
      <c r="V14" s="706"/>
      <c r="W14" s="706"/>
      <c r="X14" s="706"/>
      <c r="Y14" s="706"/>
      <c r="Z14" s="706"/>
      <c r="AA14" s="707"/>
    </row>
    <row r="15" spans="1:27" x14ac:dyDescent="0.25">
      <c r="A15" s="708" t="s">
        <v>552</v>
      </c>
      <c r="B15" s="709">
        <f>Wind_Resources_Costs!C22</f>
        <v>580916000</v>
      </c>
      <c r="C15" s="709"/>
      <c r="D15" s="709"/>
      <c r="E15" s="710"/>
      <c r="F15" s="710"/>
      <c r="G15" s="710"/>
      <c r="H15" s="711"/>
      <c r="I15" s="711"/>
      <c r="J15" s="711"/>
      <c r="K15" s="711"/>
      <c r="L15" s="711"/>
      <c r="M15" s="712"/>
      <c r="N15" s="712"/>
      <c r="O15" s="712"/>
      <c r="P15" s="712"/>
      <c r="Q15" s="712"/>
      <c r="R15" s="712"/>
      <c r="S15" s="712"/>
      <c r="T15" s="712"/>
      <c r="U15" s="712"/>
      <c r="V15" s="712"/>
      <c r="W15" s="712"/>
      <c r="X15" s="712"/>
      <c r="Y15" s="712"/>
      <c r="Z15" s="712"/>
      <c r="AA15" s="713">
        <f>SUM(B15:Z15)</f>
        <v>580916000</v>
      </c>
    </row>
    <row r="16" spans="1:27" x14ac:dyDescent="0.25">
      <c r="A16" s="708"/>
      <c r="B16" s="709"/>
      <c r="C16" s="709"/>
      <c r="D16" s="709"/>
      <c r="E16" s="710"/>
      <c r="F16" s="710"/>
      <c r="G16" s="710"/>
      <c r="H16" s="711"/>
      <c r="I16" s="711"/>
      <c r="J16" s="711"/>
      <c r="K16" s="711"/>
      <c r="L16" s="711"/>
      <c r="M16" s="712"/>
      <c r="N16" s="712"/>
      <c r="O16" s="712"/>
      <c r="P16" s="712"/>
      <c r="Q16" s="712"/>
      <c r="R16" s="712"/>
      <c r="S16" s="712"/>
      <c r="T16" s="712"/>
      <c r="U16" s="712"/>
      <c r="V16" s="712"/>
      <c r="W16" s="712"/>
      <c r="X16" s="712"/>
      <c r="Y16" s="712"/>
      <c r="Z16" s="712"/>
      <c r="AA16" s="713"/>
    </row>
    <row r="17" spans="1:27" x14ac:dyDescent="0.25">
      <c r="A17" s="708" t="s">
        <v>553</v>
      </c>
      <c r="B17" s="714">
        <f>Wind_Resources_Costs!C28</f>
        <v>255938718</v>
      </c>
      <c r="C17" s="714"/>
      <c r="D17" s="714"/>
      <c r="E17" s="715"/>
      <c r="F17" s="715"/>
      <c r="G17" s="715"/>
      <c r="H17" s="716"/>
      <c r="I17" s="716"/>
      <c r="J17" s="716"/>
      <c r="K17" s="716"/>
      <c r="L17" s="717"/>
      <c r="M17" s="718"/>
      <c r="N17" s="718"/>
      <c r="O17" s="718"/>
      <c r="P17" s="718"/>
      <c r="Q17" s="718"/>
      <c r="R17" s="718"/>
      <c r="S17" s="718"/>
      <c r="T17" s="718"/>
      <c r="U17" s="718"/>
      <c r="V17" s="718"/>
      <c r="W17" s="718"/>
      <c r="X17" s="718"/>
      <c r="Y17" s="718"/>
      <c r="Z17" s="718"/>
      <c r="AA17" s="713">
        <f>SUM(B17:Z17)</f>
        <v>255938718</v>
      </c>
    </row>
    <row r="18" spans="1:27" x14ac:dyDescent="0.25">
      <c r="A18" s="708" t="s">
        <v>554</v>
      </c>
      <c r="B18" s="719">
        <f>Wind_Resources_Costs!C31</f>
        <v>-25593871.800000001</v>
      </c>
      <c r="C18" s="719"/>
      <c r="D18" s="719"/>
      <c r="E18" s="720"/>
      <c r="F18" s="720"/>
      <c r="G18" s="720"/>
      <c r="H18" s="721"/>
      <c r="I18" s="721"/>
      <c r="J18" s="721"/>
      <c r="K18" s="721"/>
      <c r="L18" s="721"/>
      <c r="M18" s="721"/>
      <c r="N18" s="721"/>
      <c r="O18" s="721"/>
      <c r="P18" s="721"/>
      <c r="Q18" s="721"/>
      <c r="R18" s="721"/>
      <c r="S18" s="721"/>
      <c r="T18" s="721"/>
      <c r="U18" s="721"/>
      <c r="V18" s="721"/>
      <c r="W18" s="721"/>
      <c r="X18" s="721"/>
      <c r="Y18" s="721"/>
      <c r="Z18" s="721"/>
      <c r="AA18" s="722">
        <f>SUM(B18:Z18)</f>
        <v>-25593871.800000001</v>
      </c>
    </row>
    <row r="19" spans="1:27" x14ac:dyDescent="0.25">
      <c r="A19" s="708"/>
      <c r="B19" s="723"/>
      <c r="C19" s="724"/>
      <c r="D19" s="724"/>
      <c r="E19" s="723"/>
      <c r="F19" s="724"/>
      <c r="G19" s="724"/>
      <c r="H19" s="723"/>
      <c r="I19" s="723"/>
      <c r="J19" s="723"/>
      <c r="K19" s="723"/>
      <c r="L19" s="723"/>
      <c r="M19" s="725"/>
      <c r="N19" s="725"/>
      <c r="O19" s="725"/>
      <c r="P19" s="725"/>
      <c r="Q19" s="725"/>
      <c r="R19" s="725"/>
      <c r="S19" s="725"/>
      <c r="T19" s="725"/>
      <c r="U19" s="725"/>
      <c r="V19" s="725"/>
      <c r="W19" s="725"/>
      <c r="X19" s="725"/>
      <c r="Y19" s="725"/>
      <c r="Z19" s="725"/>
      <c r="AA19" s="726"/>
    </row>
    <row r="20" spans="1:27" x14ac:dyDescent="0.25">
      <c r="A20" s="1240" t="s">
        <v>555</v>
      </c>
      <c r="B20" s="1241">
        <f>B17+B18</f>
        <v>230344846.19999999</v>
      </c>
      <c r="C20" s="1241">
        <f t="shared" ref="C20:Z20" si="1">C17+C18</f>
        <v>0</v>
      </c>
      <c r="D20" s="1241">
        <f t="shared" si="1"/>
        <v>0</v>
      </c>
      <c r="E20" s="1241">
        <f t="shared" si="1"/>
        <v>0</v>
      </c>
      <c r="F20" s="1241">
        <f t="shared" si="1"/>
        <v>0</v>
      </c>
      <c r="G20" s="1241">
        <f t="shared" si="1"/>
        <v>0</v>
      </c>
      <c r="H20" s="1241">
        <f t="shared" si="1"/>
        <v>0</v>
      </c>
      <c r="I20" s="1241">
        <f t="shared" si="1"/>
        <v>0</v>
      </c>
      <c r="J20" s="1241">
        <f t="shared" si="1"/>
        <v>0</v>
      </c>
      <c r="K20" s="1241">
        <f t="shared" si="1"/>
        <v>0</v>
      </c>
      <c r="L20" s="1241">
        <f t="shared" si="1"/>
        <v>0</v>
      </c>
      <c r="M20" s="1241">
        <f t="shared" si="1"/>
        <v>0</v>
      </c>
      <c r="N20" s="1241">
        <f t="shared" si="1"/>
        <v>0</v>
      </c>
      <c r="O20" s="1241">
        <f t="shared" si="1"/>
        <v>0</v>
      </c>
      <c r="P20" s="1241">
        <f t="shared" si="1"/>
        <v>0</v>
      </c>
      <c r="Q20" s="1241">
        <f t="shared" si="1"/>
        <v>0</v>
      </c>
      <c r="R20" s="1241">
        <f t="shared" si="1"/>
        <v>0</v>
      </c>
      <c r="S20" s="1241">
        <f t="shared" si="1"/>
        <v>0</v>
      </c>
      <c r="T20" s="1241">
        <f t="shared" si="1"/>
        <v>0</v>
      </c>
      <c r="U20" s="1241">
        <f t="shared" si="1"/>
        <v>0</v>
      </c>
      <c r="V20" s="1241">
        <f t="shared" si="1"/>
        <v>0</v>
      </c>
      <c r="W20" s="1241">
        <f t="shared" si="1"/>
        <v>0</v>
      </c>
      <c r="X20" s="1241">
        <f t="shared" si="1"/>
        <v>0</v>
      </c>
      <c r="Y20" s="1241">
        <f t="shared" si="1"/>
        <v>0</v>
      </c>
      <c r="Z20" s="1241">
        <f t="shared" si="1"/>
        <v>0</v>
      </c>
      <c r="AA20" s="1242">
        <f>SUM(B20:Z20)</f>
        <v>230344846.19999999</v>
      </c>
    </row>
    <row r="21" spans="1:27" x14ac:dyDescent="0.25">
      <c r="A21" s="708" t="s">
        <v>436</v>
      </c>
      <c r="B21" s="727"/>
      <c r="C21" s="727"/>
      <c r="D21" s="714"/>
      <c r="E21" s="715"/>
      <c r="F21" s="715"/>
      <c r="G21" s="715"/>
      <c r="H21" s="721"/>
      <c r="I21" s="721"/>
      <c r="J21" s="721"/>
      <c r="K21" s="721"/>
      <c r="L21" s="721"/>
      <c r="M21" s="721"/>
      <c r="N21" s="721"/>
      <c r="O21" s="721"/>
      <c r="P21" s="721"/>
      <c r="Q21" s="721"/>
      <c r="R21" s="721"/>
      <c r="S21" s="721"/>
      <c r="T21" s="721"/>
      <c r="U21" s="721"/>
      <c r="V21" s="721"/>
      <c r="W21" s="721"/>
      <c r="X21" s="721"/>
      <c r="Y21" s="721"/>
      <c r="Z21" s="721"/>
      <c r="AA21" s="713">
        <f>SUM(B21:Z21)</f>
        <v>0</v>
      </c>
    </row>
    <row r="22" spans="1:27" x14ac:dyDescent="0.25">
      <c r="A22" s="832" t="s">
        <v>556</v>
      </c>
      <c r="B22" s="833" t="s">
        <v>793</v>
      </c>
      <c r="C22" s="733"/>
      <c r="D22" s="733"/>
      <c r="E22" s="733"/>
      <c r="F22" s="733"/>
      <c r="G22" s="733"/>
      <c r="H22" s="728"/>
      <c r="I22" s="728"/>
      <c r="J22" s="728"/>
      <c r="K22" s="728"/>
      <c r="L22" s="728"/>
      <c r="M22" s="728"/>
      <c r="N22" s="728"/>
      <c r="O22" s="728"/>
      <c r="P22" s="728"/>
      <c r="Q22" s="728"/>
      <c r="R22" s="728"/>
      <c r="S22" s="728"/>
      <c r="T22" s="728"/>
      <c r="U22" s="728"/>
      <c r="V22" s="728"/>
      <c r="W22" s="728"/>
      <c r="X22" s="728"/>
      <c r="Y22" s="728"/>
      <c r="Z22" s="728"/>
      <c r="AA22" s="847">
        <f>'Sch 1- Rate Base '!G105*'A-RHWM_Ratios'!R50</f>
        <v>4171923.1137848548</v>
      </c>
    </row>
    <row r="23" spans="1:27" x14ac:dyDescent="0.25">
      <c r="A23" s="832" t="s">
        <v>402</v>
      </c>
      <c r="B23" s="833" t="s">
        <v>794</v>
      </c>
      <c r="C23" s="733"/>
      <c r="D23" s="733"/>
      <c r="E23" s="733"/>
      <c r="F23" s="733"/>
      <c r="G23" s="1612"/>
      <c r="H23" s="728"/>
      <c r="I23" s="728"/>
      <c r="J23" s="728"/>
      <c r="K23" s="728"/>
      <c r="L23" s="728"/>
      <c r="M23" s="728"/>
      <c r="N23" s="728"/>
      <c r="O23" s="728"/>
      <c r="P23" s="728"/>
      <c r="Q23" s="728"/>
      <c r="R23" s="728"/>
      <c r="S23" s="728"/>
      <c r="T23" s="728"/>
      <c r="U23" s="728"/>
      <c r="V23" s="728"/>
      <c r="W23" s="728"/>
      <c r="X23" s="728"/>
      <c r="Y23" s="728"/>
      <c r="Z23" s="728"/>
      <c r="AA23" s="847">
        <f>'A-RHWM_Ratios'!R37-'Sch 1- Rate Base '!G63*'A-RHWM_Ratios'!R38</f>
        <v>5642721.1949441256</v>
      </c>
    </row>
    <row r="24" spans="1:27" x14ac:dyDescent="0.25">
      <c r="A24" s="1240" t="s">
        <v>557</v>
      </c>
      <c r="B24" s="1241">
        <f t="shared" ref="B24:AA24" si="2">SUM(B20:B23)</f>
        <v>230344846.19999999</v>
      </c>
      <c r="C24" s="1241">
        <f t="shared" si="2"/>
        <v>0</v>
      </c>
      <c r="D24" s="1241">
        <f t="shared" si="2"/>
        <v>0</v>
      </c>
      <c r="E24" s="1241">
        <f t="shared" si="2"/>
        <v>0</v>
      </c>
      <c r="F24" s="1241">
        <f t="shared" si="2"/>
        <v>0</v>
      </c>
      <c r="G24" s="1241">
        <f t="shared" si="2"/>
        <v>0</v>
      </c>
      <c r="H24" s="1241">
        <f t="shared" si="2"/>
        <v>0</v>
      </c>
      <c r="I24" s="1241">
        <f t="shared" si="2"/>
        <v>0</v>
      </c>
      <c r="J24" s="1241">
        <f t="shared" si="2"/>
        <v>0</v>
      </c>
      <c r="K24" s="1241">
        <f t="shared" si="2"/>
        <v>0</v>
      </c>
      <c r="L24" s="1241">
        <f t="shared" si="2"/>
        <v>0</v>
      </c>
      <c r="M24" s="1241">
        <f t="shared" si="2"/>
        <v>0</v>
      </c>
      <c r="N24" s="1241">
        <f t="shared" si="2"/>
        <v>0</v>
      </c>
      <c r="O24" s="1241">
        <f t="shared" si="2"/>
        <v>0</v>
      </c>
      <c r="P24" s="1241">
        <f t="shared" si="2"/>
        <v>0</v>
      </c>
      <c r="Q24" s="1241">
        <f t="shared" si="2"/>
        <v>0</v>
      </c>
      <c r="R24" s="1241">
        <f t="shared" si="2"/>
        <v>0</v>
      </c>
      <c r="S24" s="1241">
        <f t="shared" si="2"/>
        <v>0</v>
      </c>
      <c r="T24" s="1241">
        <f t="shared" si="2"/>
        <v>0</v>
      </c>
      <c r="U24" s="1241">
        <f t="shared" si="2"/>
        <v>0</v>
      </c>
      <c r="V24" s="1241">
        <f t="shared" si="2"/>
        <v>0</v>
      </c>
      <c r="W24" s="1241">
        <f t="shared" si="2"/>
        <v>0</v>
      </c>
      <c r="X24" s="1241">
        <f t="shared" si="2"/>
        <v>0</v>
      </c>
      <c r="Y24" s="1241">
        <f t="shared" si="2"/>
        <v>0</v>
      </c>
      <c r="Z24" s="1241">
        <f t="shared" si="2"/>
        <v>0</v>
      </c>
      <c r="AA24" s="1242">
        <f t="shared" si="2"/>
        <v>240159490.50872895</v>
      </c>
    </row>
    <row r="25" spans="1:27" x14ac:dyDescent="0.25">
      <c r="A25" s="1243" t="s">
        <v>277</v>
      </c>
      <c r="B25" s="1244">
        <f t="shared" ref="B25:AA25" si="3">$B$10</f>
        <v>8.4185220942944408E-2</v>
      </c>
      <c r="C25" s="1244">
        <f t="shared" si="3"/>
        <v>8.4185220942944408E-2</v>
      </c>
      <c r="D25" s="1244">
        <f t="shared" si="3"/>
        <v>8.4185220942944408E-2</v>
      </c>
      <c r="E25" s="1244">
        <f t="shared" si="3"/>
        <v>8.4185220942944408E-2</v>
      </c>
      <c r="F25" s="1244">
        <f t="shared" si="3"/>
        <v>8.4185220942944408E-2</v>
      </c>
      <c r="G25" s="1244">
        <f t="shared" si="3"/>
        <v>8.4185220942944408E-2</v>
      </c>
      <c r="H25" s="1244">
        <f t="shared" si="3"/>
        <v>8.4185220942944408E-2</v>
      </c>
      <c r="I25" s="1244">
        <f t="shared" si="3"/>
        <v>8.4185220942944408E-2</v>
      </c>
      <c r="J25" s="1244">
        <f t="shared" si="3"/>
        <v>8.4185220942944408E-2</v>
      </c>
      <c r="K25" s="1244">
        <f t="shared" si="3"/>
        <v>8.4185220942944408E-2</v>
      </c>
      <c r="L25" s="1244">
        <f t="shared" si="3"/>
        <v>8.4185220942944408E-2</v>
      </c>
      <c r="M25" s="1244">
        <f t="shared" si="3"/>
        <v>8.4185220942944408E-2</v>
      </c>
      <c r="N25" s="1244">
        <f t="shared" si="3"/>
        <v>8.4185220942944408E-2</v>
      </c>
      <c r="O25" s="1244">
        <f t="shared" si="3"/>
        <v>8.4185220942944408E-2</v>
      </c>
      <c r="P25" s="1244">
        <f t="shared" si="3"/>
        <v>8.4185220942944408E-2</v>
      </c>
      <c r="Q25" s="1244">
        <f t="shared" si="3"/>
        <v>8.4185220942944408E-2</v>
      </c>
      <c r="R25" s="1244">
        <f t="shared" si="3"/>
        <v>8.4185220942944408E-2</v>
      </c>
      <c r="S25" s="1244">
        <f t="shared" si="3"/>
        <v>8.4185220942944408E-2</v>
      </c>
      <c r="T25" s="1244">
        <f t="shared" si="3"/>
        <v>8.4185220942944408E-2</v>
      </c>
      <c r="U25" s="1244">
        <f t="shared" si="3"/>
        <v>8.4185220942944408E-2</v>
      </c>
      <c r="V25" s="1244">
        <f t="shared" si="3"/>
        <v>8.4185220942944408E-2</v>
      </c>
      <c r="W25" s="1244">
        <f t="shared" si="3"/>
        <v>8.4185220942944408E-2</v>
      </c>
      <c r="X25" s="1244">
        <f t="shared" si="3"/>
        <v>8.4185220942944408E-2</v>
      </c>
      <c r="Y25" s="1244">
        <f t="shared" si="3"/>
        <v>8.4185220942944408E-2</v>
      </c>
      <c r="Z25" s="1244">
        <f t="shared" si="3"/>
        <v>8.4185220942944408E-2</v>
      </c>
      <c r="AA25" s="1245">
        <f t="shared" si="3"/>
        <v>8.4185220942944408E-2</v>
      </c>
    </row>
    <row r="26" spans="1:27" x14ac:dyDescent="0.25">
      <c r="A26" s="1240" t="s">
        <v>558</v>
      </c>
      <c r="B26" s="1241">
        <f t="shared" ref="B26:AA26" si="4">B24*B25</f>
        <v>19391631.770415548</v>
      </c>
      <c r="C26" s="1241">
        <f t="shared" si="4"/>
        <v>0</v>
      </c>
      <c r="D26" s="1241">
        <f t="shared" si="4"/>
        <v>0</v>
      </c>
      <c r="E26" s="1241">
        <f t="shared" si="4"/>
        <v>0</v>
      </c>
      <c r="F26" s="1241">
        <f t="shared" si="4"/>
        <v>0</v>
      </c>
      <c r="G26" s="1241">
        <f t="shared" si="4"/>
        <v>0</v>
      </c>
      <c r="H26" s="1241">
        <f t="shared" si="4"/>
        <v>0</v>
      </c>
      <c r="I26" s="1241">
        <f t="shared" si="4"/>
        <v>0</v>
      </c>
      <c r="J26" s="1241">
        <f t="shared" si="4"/>
        <v>0</v>
      </c>
      <c r="K26" s="1241">
        <f t="shared" si="4"/>
        <v>0</v>
      </c>
      <c r="L26" s="1241">
        <f t="shared" si="4"/>
        <v>0</v>
      </c>
      <c r="M26" s="1241">
        <f t="shared" si="4"/>
        <v>0</v>
      </c>
      <c r="N26" s="1241">
        <f t="shared" si="4"/>
        <v>0</v>
      </c>
      <c r="O26" s="1241">
        <f t="shared" si="4"/>
        <v>0</v>
      </c>
      <c r="P26" s="1241">
        <f t="shared" si="4"/>
        <v>0</v>
      </c>
      <c r="Q26" s="1241">
        <f t="shared" si="4"/>
        <v>0</v>
      </c>
      <c r="R26" s="1241">
        <f t="shared" si="4"/>
        <v>0</v>
      </c>
      <c r="S26" s="1241">
        <f t="shared" si="4"/>
        <v>0</v>
      </c>
      <c r="T26" s="1241">
        <f t="shared" si="4"/>
        <v>0</v>
      </c>
      <c r="U26" s="1241">
        <f t="shared" si="4"/>
        <v>0</v>
      </c>
      <c r="V26" s="1241">
        <f t="shared" si="4"/>
        <v>0</v>
      </c>
      <c r="W26" s="1241">
        <f t="shared" si="4"/>
        <v>0</v>
      </c>
      <c r="X26" s="1241">
        <f t="shared" si="4"/>
        <v>0</v>
      </c>
      <c r="Y26" s="1241">
        <f t="shared" si="4"/>
        <v>0</v>
      </c>
      <c r="Z26" s="1241">
        <f t="shared" si="4"/>
        <v>0</v>
      </c>
      <c r="AA26" s="1242">
        <f t="shared" si="4"/>
        <v>20217879.770022307</v>
      </c>
    </row>
    <row r="27" spans="1:27" x14ac:dyDescent="0.25">
      <c r="A27" s="708"/>
      <c r="B27" s="714"/>
      <c r="C27" s="714"/>
      <c r="D27" s="714"/>
      <c r="E27" s="715"/>
      <c r="F27" s="715"/>
      <c r="G27" s="715"/>
      <c r="H27" s="714"/>
      <c r="I27" s="714"/>
      <c r="J27" s="714"/>
      <c r="K27" s="714"/>
      <c r="L27" s="714"/>
      <c r="M27" s="714"/>
      <c r="N27" s="714"/>
      <c r="O27" s="714"/>
      <c r="P27" s="714"/>
      <c r="Q27" s="714"/>
      <c r="R27" s="714"/>
      <c r="S27" s="714"/>
      <c r="T27" s="714"/>
      <c r="U27" s="714"/>
      <c r="V27" s="714"/>
      <c r="W27" s="714"/>
      <c r="X27" s="714"/>
      <c r="Y27" s="714"/>
      <c r="Z27" s="714"/>
      <c r="AA27" s="713"/>
    </row>
    <row r="28" spans="1:27" x14ac:dyDescent="0.25">
      <c r="A28" s="729" t="s">
        <v>403</v>
      </c>
      <c r="B28" s="714"/>
      <c r="C28" s="714"/>
      <c r="D28" s="714"/>
      <c r="E28" s="715"/>
      <c r="F28" s="715"/>
      <c r="G28" s="715"/>
      <c r="H28" s="714"/>
      <c r="I28" s="714"/>
      <c r="J28" s="714"/>
      <c r="K28" s="714"/>
      <c r="L28" s="714"/>
      <c r="M28" s="714"/>
      <c r="N28" s="714"/>
      <c r="O28" s="714"/>
      <c r="P28" s="714"/>
      <c r="Q28" s="714"/>
      <c r="R28" s="714"/>
      <c r="S28" s="714"/>
      <c r="T28" s="714"/>
      <c r="U28" s="714"/>
      <c r="V28" s="714"/>
      <c r="W28" s="714"/>
      <c r="X28" s="714"/>
      <c r="Y28" s="714"/>
      <c r="Z28" s="714"/>
      <c r="AA28" s="713"/>
    </row>
    <row r="29" spans="1:27" x14ac:dyDescent="0.25">
      <c r="A29" s="729" t="s">
        <v>405</v>
      </c>
      <c r="B29" s="714">
        <f>Wind_Resources_Costs!C32</f>
        <v>8531290.5999999996</v>
      </c>
      <c r="C29" s="714"/>
      <c r="D29" s="714"/>
      <c r="E29" s="715"/>
      <c r="F29" s="715"/>
      <c r="G29" s="715"/>
      <c r="H29" s="716"/>
      <c r="I29" s="716"/>
      <c r="J29" s="716"/>
      <c r="K29" s="716"/>
      <c r="L29" s="730"/>
      <c r="M29" s="718"/>
      <c r="N29" s="718"/>
      <c r="O29" s="718"/>
      <c r="P29" s="718"/>
      <c r="Q29" s="718"/>
      <c r="R29" s="718"/>
      <c r="S29" s="718"/>
      <c r="T29" s="718"/>
      <c r="U29" s="718"/>
      <c r="V29" s="718"/>
      <c r="W29" s="718"/>
      <c r="X29" s="718"/>
      <c r="Y29" s="718"/>
      <c r="Z29" s="718"/>
      <c r="AA29" s="713">
        <f>SUM(B29:Z29)</f>
        <v>8531290.5999999996</v>
      </c>
    </row>
    <row r="30" spans="1:27" x14ac:dyDescent="0.25">
      <c r="A30" s="832" t="s">
        <v>92</v>
      </c>
      <c r="B30" s="833" t="s">
        <v>795</v>
      </c>
      <c r="C30" s="733"/>
      <c r="D30" s="733"/>
      <c r="E30" s="733"/>
      <c r="F30" s="733"/>
      <c r="G30" s="1612"/>
      <c r="H30" s="1612"/>
      <c r="I30" s="1612"/>
      <c r="J30" s="1612"/>
      <c r="K30" s="1612"/>
      <c r="L30" s="1613"/>
      <c r="M30" s="1614"/>
      <c r="N30" s="1614"/>
      <c r="O30" s="1614"/>
      <c r="P30" s="1614"/>
      <c r="Q30" s="1614"/>
      <c r="R30" s="1614"/>
      <c r="S30" s="1614"/>
      <c r="T30" s="1614"/>
      <c r="U30" s="1614"/>
      <c r="V30" s="1614"/>
      <c r="W30" s="1614"/>
      <c r="X30" s="1614"/>
      <c r="Y30" s="1614"/>
      <c r="Z30" s="1614"/>
      <c r="AA30" s="847">
        <f>'Sch 3 - Expenses'!G91*'A-RHWM_Ratios'!R38</f>
        <v>290182.07851215586</v>
      </c>
    </row>
    <row r="31" spans="1:27" x14ac:dyDescent="0.25">
      <c r="A31" s="729" t="s">
        <v>407</v>
      </c>
      <c r="B31" s="714"/>
      <c r="C31" s="714"/>
      <c r="D31" s="714"/>
      <c r="E31" s="715"/>
      <c r="F31" s="715"/>
      <c r="G31" s="715"/>
      <c r="H31" s="716"/>
      <c r="I31" s="716"/>
      <c r="J31" s="716"/>
      <c r="K31" s="716"/>
      <c r="L31" s="730"/>
      <c r="M31" s="718"/>
      <c r="N31" s="718"/>
      <c r="O31" s="718"/>
      <c r="P31" s="718"/>
      <c r="Q31" s="718"/>
      <c r="R31" s="718"/>
      <c r="S31" s="718"/>
      <c r="T31" s="718"/>
      <c r="U31" s="718"/>
      <c r="V31" s="718"/>
      <c r="W31" s="718"/>
      <c r="X31" s="718"/>
      <c r="Y31" s="718"/>
      <c r="Z31" s="718"/>
      <c r="AA31" s="713">
        <f>SUM(AA29:AA30)</f>
        <v>8821472.678512156</v>
      </c>
    </row>
    <row r="32" spans="1:27" x14ac:dyDescent="0.25">
      <c r="A32" s="729"/>
      <c r="B32" s="714"/>
      <c r="C32" s="714"/>
      <c r="D32" s="714"/>
      <c r="E32" s="715"/>
      <c r="F32" s="715"/>
      <c r="G32" s="715"/>
      <c r="H32" s="716"/>
      <c r="I32" s="716"/>
      <c r="J32" s="716"/>
      <c r="K32" s="716"/>
      <c r="L32" s="730"/>
      <c r="M32" s="718"/>
      <c r="N32" s="718"/>
      <c r="O32" s="718"/>
      <c r="P32" s="718"/>
      <c r="Q32" s="718"/>
      <c r="R32" s="718"/>
      <c r="S32" s="718"/>
      <c r="T32" s="718"/>
      <c r="U32" s="718"/>
      <c r="V32" s="718"/>
      <c r="W32" s="718"/>
      <c r="X32" s="718"/>
      <c r="Y32" s="718"/>
      <c r="Z32" s="718"/>
      <c r="AA32" s="713"/>
    </row>
    <row r="33" spans="1:27" x14ac:dyDescent="0.25">
      <c r="A33" s="729" t="s">
        <v>232</v>
      </c>
      <c r="B33" s="714">
        <f>SUM(Wind_Resources_Costs!C34:C37)</f>
        <v>1934875</v>
      </c>
      <c r="C33" s="714"/>
      <c r="D33" s="714"/>
      <c r="E33" s="715"/>
      <c r="F33" s="715"/>
      <c r="G33" s="715"/>
      <c r="H33" s="716"/>
      <c r="I33" s="716"/>
      <c r="J33" s="716"/>
      <c r="K33" s="716"/>
      <c r="L33" s="730"/>
      <c r="M33" s="718"/>
      <c r="N33" s="718"/>
      <c r="O33" s="718"/>
      <c r="P33" s="718"/>
      <c r="Q33" s="718"/>
      <c r="R33" s="718"/>
      <c r="S33" s="718"/>
      <c r="T33" s="718"/>
      <c r="U33" s="718"/>
      <c r="V33" s="718"/>
      <c r="W33" s="718"/>
      <c r="X33" s="718"/>
      <c r="Y33" s="718"/>
      <c r="Z33" s="718"/>
      <c r="AA33" s="713">
        <f>SUM(B33:Z33)</f>
        <v>1934875</v>
      </c>
    </row>
    <row r="34" spans="1:27" x14ac:dyDescent="0.25">
      <c r="A34" s="729" t="s">
        <v>233</v>
      </c>
      <c r="B34" s="714">
        <f>SUM(Wind_Resources_Costs!C38:C40)</f>
        <v>2219341</v>
      </c>
      <c r="C34" s="714"/>
      <c r="D34" s="714"/>
      <c r="E34" s="731"/>
      <c r="F34" s="731"/>
      <c r="G34" s="731"/>
      <c r="H34" s="716"/>
      <c r="I34" s="716"/>
      <c r="J34" s="716"/>
      <c r="K34" s="716"/>
      <c r="L34" s="730"/>
      <c r="M34" s="718"/>
      <c r="N34" s="718"/>
      <c r="O34" s="718"/>
      <c r="P34" s="718"/>
      <c r="Q34" s="718"/>
      <c r="R34" s="718"/>
      <c r="S34" s="718"/>
      <c r="T34" s="718"/>
      <c r="U34" s="718"/>
      <c r="V34" s="718"/>
      <c r="W34" s="718"/>
      <c r="X34" s="718"/>
      <c r="Y34" s="718"/>
      <c r="Z34" s="718"/>
      <c r="AA34" s="713">
        <f>SUM(B34:Z34)</f>
        <v>2219341</v>
      </c>
    </row>
    <row r="35" spans="1:27" x14ac:dyDescent="0.25">
      <c r="A35" s="708" t="s">
        <v>559</v>
      </c>
      <c r="B35" s="714"/>
      <c r="C35" s="714"/>
      <c r="D35" s="715"/>
      <c r="E35" s="732"/>
      <c r="F35" s="732"/>
      <c r="G35" s="732"/>
      <c r="H35" s="716"/>
      <c r="I35" s="716"/>
      <c r="J35" s="716"/>
      <c r="K35" s="716"/>
      <c r="L35" s="716"/>
      <c r="M35" s="718"/>
      <c r="N35" s="718"/>
      <c r="O35" s="718"/>
      <c r="P35" s="718"/>
      <c r="Q35" s="718"/>
      <c r="R35" s="718"/>
      <c r="S35" s="718"/>
      <c r="T35" s="718"/>
      <c r="U35" s="718"/>
      <c r="V35" s="718"/>
      <c r="W35" s="718"/>
      <c r="X35" s="718"/>
      <c r="Y35" s="718"/>
      <c r="Z35" s="718"/>
      <c r="AA35" s="713">
        <f>SUM(B35:Z35)</f>
        <v>0</v>
      </c>
    </row>
    <row r="36" spans="1:27" x14ac:dyDescent="0.25">
      <c r="A36" s="832" t="s">
        <v>560</v>
      </c>
      <c r="B36" s="733" t="s">
        <v>796</v>
      </c>
      <c r="C36" s="733"/>
      <c r="D36" s="834"/>
      <c r="E36" s="834"/>
      <c r="F36" s="834"/>
      <c r="G36" s="834"/>
      <c r="H36" s="733"/>
      <c r="I36" s="733"/>
      <c r="J36" s="733"/>
      <c r="K36" s="733"/>
      <c r="L36" s="733"/>
      <c r="M36" s="734"/>
      <c r="N36" s="734"/>
      <c r="O36" s="734"/>
      <c r="P36" s="734"/>
      <c r="Q36" s="734"/>
      <c r="R36" s="734"/>
      <c r="S36" s="734"/>
      <c r="T36" s="734"/>
      <c r="U36" s="734"/>
      <c r="V36" s="734"/>
      <c r="W36" s="734"/>
      <c r="X36" s="734"/>
      <c r="Y36" s="734"/>
      <c r="Z36" s="734"/>
      <c r="AA36" s="847">
        <f>('Sch 3 - Expenses'!G59+'Sch 3 - Expenses'!G60-'Sch 3 - Expenses'!G61+'Sch 3 - Expenses'!G62+'Sch 3 - Expenses'!G64+'Sch 3 - Expenses'!G65)*'A-RHWM_Ratios'!R22+('Sch 3 - Expenses'!G63-'Sch 3 - Expenses'!G68)*'A-RHWM_Ratios'!R59+'Sch 3 - Expenses'!G74*'A-RHWM_Ratios'!R74</f>
        <v>8260218.6145913526</v>
      </c>
    </row>
    <row r="37" spans="1:27" x14ac:dyDescent="0.25">
      <c r="A37" s="708" t="s">
        <v>235</v>
      </c>
      <c r="B37" s="714"/>
      <c r="C37" s="714"/>
      <c r="D37" s="715"/>
      <c r="E37" s="715"/>
      <c r="F37" s="715"/>
      <c r="G37" s="715"/>
      <c r="H37" s="715"/>
      <c r="I37" s="715"/>
      <c r="J37" s="715"/>
      <c r="K37" s="715"/>
      <c r="L37" s="715"/>
      <c r="M37" s="715"/>
      <c r="N37" s="715"/>
      <c r="O37" s="715"/>
      <c r="P37" s="715"/>
      <c r="Q37" s="715"/>
      <c r="R37" s="715"/>
      <c r="S37" s="715"/>
      <c r="T37" s="715"/>
      <c r="U37" s="715"/>
      <c r="V37" s="715"/>
      <c r="W37" s="715"/>
      <c r="X37" s="715"/>
      <c r="Y37" s="715"/>
      <c r="Z37" s="715"/>
      <c r="AA37" s="713">
        <f>SUM(B37:Z37)</f>
        <v>0</v>
      </c>
    </row>
    <row r="38" spans="1:27" x14ac:dyDescent="0.25">
      <c r="A38" s="832" t="s">
        <v>236</v>
      </c>
      <c r="B38" s="733" t="s">
        <v>797</v>
      </c>
      <c r="C38" s="733"/>
      <c r="D38" s="834"/>
      <c r="E38" s="834"/>
      <c r="F38" s="834"/>
      <c r="G38" s="834"/>
      <c r="H38" s="735"/>
      <c r="I38" s="736"/>
      <c r="J38" s="736"/>
      <c r="K38" s="736"/>
      <c r="L38" s="737"/>
      <c r="M38" s="738"/>
      <c r="N38" s="738"/>
      <c r="O38" s="738"/>
      <c r="P38" s="738"/>
      <c r="Q38" s="738"/>
      <c r="R38" s="738"/>
      <c r="S38" s="738"/>
      <c r="T38" s="738"/>
      <c r="U38" s="738"/>
      <c r="V38" s="738"/>
      <c r="W38" s="738"/>
      <c r="X38" s="738"/>
      <c r="Y38" s="738"/>
      <c r="Z38" s="738"/>
      <c r="AA38" s="847">
        <f>'Sch 3A - Taxes'!F17*'A-RHWM_Ratios'!R22</f>
        <v>200381.42707648792</v>
      </c>
    </row>
    <row r="39" spans="1:27" x14ac:dyDescent="0.25">
      <c r="A39" s="832" t="s">
        <v>237</v>
      </c>
      <c r="B39" s="733" t="s">
        <v>798</v>
      </c>
      <c r="C39" s="733"/>
      <c r="D39" s="834"/>
      <c r="E39" s="834"/>
      <c r="F39" s="834"/>
      <c r="G39" s="834"/>
      <c r="H39" s="735"/>
      <c r="I39" s="736"/>
      <c r="J39" s="736"/>
      <c r="K39" s="736"/>
      <c r="L39" s="737"/>
      <c r="M39" s="738"/>
      <c r="N39" s="738"/>
      <c r="O39" s="738"/>
      <c r="P39" s="738"/>
      <c r="Q39" s="738"/>
      <c r="R39" s="738"/>
      <c r="S39" s="738"/>
      <c r="T39" s="738"/>
      <c r="U39" s="738"/>
      <c r="V39" s="738"/>
      <c r="W39" s="738"/>
      <c r="X39" s="738"/>
      <c r="Y39" s="738"/>
      <c r="Z39" s="738"/>
      <c r="AA39" s="847">
        <f>'Sch 3A - Taxes'!F23*'A-RHWM_Ratios'!R22</f>
        <v>14378.824174429948</v>
      </c>
    </row>
    <row r="40" spans="1:27" x14ac:dyDescent="0.25">
      <c r="A40" s="832" t="s">
        <v>271</v>
      </c>
      <c r="B40" s="733" t="s">
        <v>799</v>
      </c>
      <c r="C40" s="733"/>
      <c r="D40" s="834"/>
      <c r="E40" s="834"/>
      <c r="F40" s="834"/>
      <c r="G40" s="834"/>
      <c r="H40" s="735"/>
      <c r="I40" s="736"/>
      <c r="J40" s="736"/>
      <c r="K40" s="736"/>
      <c r="L40" s="737"/>
      <c r="M40" s="738"/>
      <c r="N40" s="738"/>
      <c r="O40" s="738"/>
      <c r="P40" s="738"/>
      <c r="Q40" s="738"/>
      <c r="R40" s="738"/>
      <c r="S40" s="738"/>
      <c r="T40" s="738"/>
      <c r="U40" s="738"/>
      <c r="V40" s="738"/>
      <c r="W40" s="738"/>
      <c r="X40" s="738"/>
      <c r="Y40" s="738"/>
      <c r="Z40" s="738"/>
      <c r="AA40" s="847">
        <f>'Sch 3A - Taxes'!F22*'A-RHWM_Ratios'!R59</f>
        <v>1248419.6683859464</v>
      </c>
    </row>
    <row r="41" spans="1:27" x14ac:dyDescent="0.25">
      <c r="A41" s="739"/>
      <c r="B41" s="740"/>
      <c r="C41" s="740"/>
      <c r="D41" s="740"/>
      <c r="E41" s="740"/>
      <c r="F41" s="741"/>
      <c r="G41" s="741"/>
      <c r="H41" s="741"/>
      <c r="I41" s="742"/>
      <c r="J41" s="742"/>
      <c r="K41" s="742"/>
      <c r="L41" s="742"/>
      <c r="M41" s="743"/>
      <c r="N41" s="743"/>
      <c r="O41" s="743"/>
      <c r="P41" s="743"/>
      <c r="Q41" s="743"/>
      <c r="R41" s="743"/>
      <c r="S41" s="743"/>
      <c r="T41" s="743"/>
      <c r="U41" s="743"/>
      <c r="V41" s="743"/>
      <c r="W41" s="743"/>
      <c r="X41" s="743"/>
      <c r="Y41" s="743"/>
      <c r="Z41" s="743"/>
      <c r="AA41" s="744"/>
    </row>
    <row r="42" spans="1:27" x14ac:dyDescent="0.25">
      <c r="A42" s="708" t="s">
        <v>561</v>
      </c>
      <c r="B42" s="745"/>
      <c r="C42" s="745"/>
      <c r="D42" s="745"/>
      <c r="E42" s="745"/>
      <c r="F42" s="745"/>
      <c r="G42" s="745"/>
      <c r="H42" s="745"/>
      <c r="I42" s="745"/>
      <c r="J42" s="745"/>
      <c r="K42" s="745"/>
      <c r="L42" s="745"/>
      <c r="M42" s="746"/>
      <c r="N42" s="746"/>
      <c r="O42" s="746"/>
      <c r="P42" s="746"/>
      <c r="Q42" s="746"/>
      <c r="R42" s="746"/>
      <c r="S42" s="746"/>
      <c r="T42" s="746"/>
      <c r="U42" s="746"/>
      <c r="V42" s="746"/>
      <c r="W42" s="746"/>
      <c r="X42" s="746"/>
      <c r="Y42" s="746"/>
      <c r="Z42" s="746"/>
      <c r="AA42" s="713">
        <f>SUM(AA26,AA31,AA33:AA40)</f>
        <v>42916966.982762679</v>
      </c>
    </row>
    <row r="43" spans="1:27" ht="16.5" thickBot="1" x14ac:dyDescent="0.3">
      <c r="A43" s="747" t="s">
        <v>562</v>
      </c>
      <c r="B43" s="748"/>
      <c r="C43" s="748"/>
      <c r="D43" s="748"/>
      <c r="E43" s="748"/>
      <c r="F43" s="748"/>
      <c r="G43" s="748"/>
      <c r="H43" s="748"/>
      <c r="I43" s="748"/>
      <c r="J43" s="748"/>
      <c r="K43" s="748"/>
      <c r="L43" s="748"/>
      <c r="M43" s="749"/>
      <c r="N43" s="749"/>
      <c r="O43" s="749"/>
      <c r="P43" s="749"/>
      <c r="Q43" s="749"/>
      <c r="R43" s="749"/>
      <c r="S43" s="749"/>
      <c r="T43" s="749"/>
      <c r="U43" s="749"/>
      <c r="V43" s="749"/>
      <c r="W43" s="749"/>
      <c r="X43" s="749"/>
      <c r="Y43" s="749"/>
      <c r="Z43" s="749"/>
      <c r="AA43" s="750">
        <f>IF(AA15&gt;0,AA42/AA15*1000,0)</f>
        <v>73.878094221475536</v>
      </c>
    </row>
    <row r="44" spans="1:27" x14ac:dyDescent="0.25">
      <c r="A44" s="751"/>
      <c r="B44" s="752"/>
      <c r="C44" s="752"/>
      <c r="D44" s="752"/>
      <c r="E44" s="752"/>
      <c r="F44" s="689"/>
      <c r="G44" s="689"/>
      <c r="H44" s="753"/>
      <c r="I44" s="689"/>
      <c r="J44" s="689"/>
      <c r="K44" s="689"/>
      <c r="L44" s="689"/>
      <c r="M44" s="689"/>
      <c r="N44" s="689"/>
      <c r="O44" s="689"/>
      <c r="P44" s="689"/>
      <c r="Q44" s="689"/>
      <c r="R44" s="689"/>
      <c r="S44" s="689"/>
      <c r="T44" s="689"/>
      <c r="U44" s="689"/>
      <c r="V44" s="689"/>
      <c r="W44" s="689"/>
      <c r="X44" s="689"/>
      <c r="Y44" s="689"/>
      <c r="Z44" s="689"/>
      <c r="AA44" s="754"/>
    </row>
    <row r="45" spans="1:27" x14ac:dyDescent="0.25">
      <c r="A45" s="755" t="s">
        <v>757</v>
      </c>
      <c r="B45" s="752"/>
      <c r="C45" s="752"/>
      <c r="D45" s="752"/>
      <c r="E45" s="756"/>
      <c r="F45" s="689"/>
      <c r="G45" s="689"/>
      <c r="H45" s="689"/>
      <c r="I45" s="689"/>
      <c r="J45" s="689"/>
      <c r="K45" s="689"/>
      <c r="L45" s="689"/>
      <c r="M45" s="689"/>
      <c r="N45" s="689"/>
      <c r="O45" s="689"/>
      <c r="P45" s="689"/>
      <c r="Q45" s="689"/>
      <c r="R45" s="689"/>
      <c r="S45" s="689"/>
      <c r="T45" s="689"/>
      <c r="U45" s="689"/>
      <c r="V45" s="689"/>
      <c r="W45" s="689"/>
      <c r="X45" s="689"/>
      <c r="Y45" s="689"/>
      <c r="Z45" s="689"/>
      <c r="AA45" s="757">
        <f>IF(AA15&gt;0,AA42/AA15*1000,0)</f>
        <v>73.878094221475536</v>
      </c>
    </row>
    <row r="46" spans="1:27" x14ac:dyDescent="0.25">
      <c r="A46" s="755" t="s">
        <v>563</v>
      </c>
      <c r="B46" s="752"/>
      <c r="C46" s="752"/>
      <c r="D46" s="752"/>
      <c r="E46" s="756"/>
      <c r="F46" s="689"/>
      <c r="G46" s="689"/>
      <c r="H46" s="689"/>
      <c r="I46" s="689"/>
      <c r="J46" s="689"/>
      <c r="K46" s="689"/>
      <c r="L46" s="689"/>
      <c r="M46" s="689"/>
      <c r="N46" s="689"/>
      <c r="O46" s="689"/>
      <c r="P46" s="689"/>
      <c r="Q46" s="689"/>
      <c r="R46" s="689"/>
      <c r="S46" s="689"/>
      <c r="T46" s="689"/>
      <c r="U46" s="689"/>
      <c r="V46" s="689"/>
      <c r="W46" s="689"/>
      <c r="X46" s="689"/>
      <c r="Y46" s="689"/>
      <c r="Z46" s="689"/>
      <c r="AA46" s="757">
        <f>IF('Sch 4 - Average System Cost'!D39=0,0,'Sch 4 - Average System Cost'!D33/('Sch 4 - Average System Cost'!D39+'Sch 4 - Average System Cost'!D42))</f>
        <v>9.0189067646258281E-2</v>
      </c>
    </row>
    <row r="47" spans="1:27" ht="20.25" x14ac:dyDescent="0.25">
      <c r="A47" s="758" t="s">
        <v>868</v>
      </c>
      <c r="B47" s="759"/>
      <c r="C47" s="759"/>
      <c r="D47" s="759"/>
      <c r="E47" s="760"/>
      <c r="F47" s="761"/>
      <c r="G47" s="761"/>
      <c r="H47" s="761"/>
      <c r="I47" s="761"/>
      <c r="J47" s="761"/>
      <c r="K47" s="761"/>
      <c r="L47" s="761"/>
      <c r="M47" s="761"/>
      <c r="N47" s="761"/>
      <c r="O47" s="761"/>
      <c r="P47" s="761"/>
      <c r="Q47" s="761"/>
      <c r="R47" s="761"/>
      <c r="S47" s="761"/>
      <c r="T47" s="761"/>
      <c r="U47" s="761"/>
      <c r="V47" s="761"/>
      <c r="W47" s="761"/>
      <c r="X47" s="761"/>
      <c r="Y47" s="761"/>
      <c r="Z47" s="761"/>
      <c r="AA47" s="762">
        <f>SUM(AA45:AA46)</f>
        <v>73.9682832891218</v>
      </c>
    </row>
    <row r="48" spans="1:27" hidden="1" x14ac:dyDescent="0.25">
      <c r="A48" s="763"/>
      <c r="B48" s="764"/>
      <c r="C48" s="764"/>
      <c r="D48" s="764"/>
      <c r="E48" s="765"/>
      <c r="F48" s="689"/>
      <c r="G48" s="689"/>
      <c r="H48" s="689"/>
      <c r="I48" s="689"/>
      <c r="J48" s="689"/>
      <c r="K48" s="689"/>
      <c r="L48" s="689"/>
      <c r="M48" s="689"/>
      <c r="N48" s="689"/>
      <c r="O48" s="689"/>
      <c r="P48" s="689"/>
      <c r="Q48" s="689"/>
      <c r="R48" s="689"/>
      <c r="S48" s="689"/>
      <c r="T48" s="689"/>
      <c r="U48" s="689"/>
      <c r="V48" s="689"/>
      <c r="W48" s="689"/>
      <c r="X48" s="689"/>
      <c r="Y48" s="689"/>
      <c r="Z48" s="689"/>
      <c r="AA48" s="766"/>
    </row>
    <row r="49" spans="1:27" ht="18.75" hidden="1" x14ac:dyDescent="0.3">
      <c r="A49" s="767"/>
      <c r="B49" s="689"/>
      <c r="C49" s="689"/>
      <c r="D49" s="689"/>
      <c r="E49" s="768"/>
      <c r="F49" s="689"/>
      <c r="G49" s="689"/>
      <c r="H49" s="689"/>
      <c r="I49" s="689"/>
      <c r="J49" s="689"/>
      <c r="K49" s="689"/>
      <c r="L49" s="689"/>
      <c r="M49" s="689"/>
      <c r="N49" s="689"/>
      <c r="O49" s="689"/>
      <c r="P49" s="689"/>
      <c r="Q49" s="689"/>
      <c r="R49" s="689"/>
      <c r="S49" s="689"/>
      <c r="T49" s="689"/>
      <c r="U49" s="689"/>
      <c r="V49" s="689"/>
      <c r="W49" s="689"/>
      <c r="X49" s="689"/>
      <c r="Y49" s="689"/>
      <c r="Z49" s="689"/>
      <c r="AA49" s="769"/>
    </row>
    <row r="50" spans="1:27" ht="19.5" thickBot="1" x14ac:dyDescent="0.35">
      <c r="A50" s="770"/>
      <c r="B50" s="771"/>
      <c r="C50" s="771"/>
      <c r="D50" s="771"/>
      <c r="E50" s="771"/>
      <c r="F50" s="771"/>
      <c r="G50" s="771"/>
      <c r="H50" s="771"/>
      <c r="I50" s="771"/>
      <c r="J50" s="771"/>
      <c r="K50" s="771"/>
      <c r="L50" s="771"/>
      <c r="M50" s="771"/>
      <c r="N50" s="771"/>
      <c r="O50" s="771"/>
      <c r="P50" s="771"/>
      <c r="Q50" s="771"/>
      <c r="R50" s="771"/>
      <c r="S50" s="771"/>
      <c r="T50" s="771"/>
      <c r="U50" s="771"/>
      <c r="V50" s="771"/>
      <c r="W50" s="771"/>
      <c r="X50" s="771"/>
      <c r="Y50" s="771"/>
      <c r="Z50" s="771"/>
      <c r="AA50" s="772"/>
    </row>
    <row r="51" spans="1:27" ht="16.5" thickTop="1" x14ac:dyDescent="0.25"/>
  </sheetData>
  <mergeCells count="3">
    <mergeCell ref="A4:AA4"/>
    <mergeCell ref="A5:AA5"/>
    <mergeCell ref="A6:AA6"/>
  </mergeCells>
  <conditionalFormatting sqref="E35:G35">
    <cfRule type="expression" dxfId="0" priority="1" stopIfTrue="1">
      <formula>MOD(ROW(),2)=1</formula>
    </cfRule>
  </conditionalFormatting>
  <dataValidations count="1">
    <dataValidation type="list" allowBlank="1" showInputMessage="1" showErrorMessage="1" sqref="B14:Z14" xr:uid="{00000000-0002-0000-1500-000000000000}">
      <formula1>"Coal, Natural Gas, Geo-Therm, Hydro, Form 1 LF,Form 1 SF,Wind"</formula1>
    </dataValidation>
  </dataValidations>
  <hyperlinks>
    <hyperlink ref="A2" location="TOC!A1" display="TOC" xr:uid="{00000000-0004-0000-1500-000000000000}"/>
  </hyperlinks>
  <printOptions horizontalCentered="1" headings="1"/>
  <pageMargins left="0.5" right="0.5" top="0.75" bottom="0.8" header="0.25" footer="0.25"/>
  <pageSetup scale="75" orientation="landscape" r:id="rId1"/>
  <headerFooter alignWithMargins="0">
    <oddFooter>&amp;LFY 2026-2028 ASC Filing&amp;CPage &amp;P of &amp;N&amp;R&amp;A
&amp;D</oddFooter>
  </headerFooter>
  <customProperties>
    <customPr name="_pios_id" r:id="rId2"/>
  </customPropertie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1">
    <tabColor indexed="14"/>
  </sheetPr>
  <dimension ref="A1:K78"/>
  <sheetViews>
    <sheetView zoomScaleNormal="100" workbookViewId="0">
      <selection sqref="A1:XFD1048576"/>
    </sheetView>
  </sheetViews>
  <sheetFormatPr defaultRowHeight="12.75" customHeight="1" x14ac:dyDescent="0.25"/>
  <cols>
    <col min="1" max="1" width="35.625" customWidth="1"/>
    <col min="2" max="6" width="12.625" customWidth="1"/>
    <col min="7" max="7" width="7.375" bestFit="1" customWidth="1"/>
    <col min="8" max="8" width="5.875" customWidth="1"/>
    <col min="9" max="9" width="9" customWidth="1"/>
  </cols>
  <sheetData>
    <row r="1" spans="1:11" ht="15" customHeight="1" thickBot="1" x14ac:dyDescent="0.3">
      <c r="A1" s="1236" t="s">
        <v>695</v>
      </c>
      <c r="C1" s="505" t="s">
        <v>723</v>
      </c>
      <c r="D1" s="3792" t="str">
        <f>'Sch 1- Rate Base '!E5</f>
        <v>PacifiCorp</v>
      </c>
      <c r="E1" s="3793"/>
    </row>
    <row r="2" spans="1:11" ht="12.75" customHeight="1" x14ac:dyDescent="0.25">
      <c r="A2" s="505" t="s">
        <v>574</v>
      </c>
      <c r="B2" s="856">
        <f>DATE('Sch 1- Rate Base '!E6,12,31)</f>
        <v>45291</v>
      </c>
    </row>
    <row r="3" spans="1:11" ht="12.75" customHeight="1" x14ac:dyDescent="0.25">
      <c r="A3" s="1231" t="s">
        <v>696</v>
      </c>
    </row>
    <row r="4" spans="1:11" ht="12.75" customHeight="1" x14ac:dyDescent="0.25">
      <c r="A4" s="855" t="s">
        <v>581</v>
      </c>
      <c r="B4" s="854">
        <f>YEAR(B2)</f>
        <v>2023</v>
      </c>
      <c r="C4" s="854">
        <f>B4+1</f>
        <v>2024</v>
      </c>
      <c r="D4" s="854">
        <f>C4+1</f>
        <v>2025</v>
      </c>
      <c r="E4" s="854">
        <f>D4+1</f>
        <v>2026</v>
      </c>
      <c r="F4" s="854">
        <f>E4+1</f>
        <v>2027</v>
      </c>
      <c r="G4" s="854">
        <f>F4+1</f>
        <v>2028</v>
      </c>
      <c r="H4" s="854"/>
      <c r="I4" s="854"/>
    </row>
    <row r="5" spans="1:11" ht="12.75" customHeight="1" thickBot="1" x14ac:dyDescent="0.3">
      <c r="B5" s="849"/>
      <c r="C5" s="849"/>
      <c r="D5" s="849"/>
      <c r="E5" s="849"/>
      <c r="F5" s="849"/>
      <c r="G5" s="849"/>
      <c r="H5" s="849"/>
      <c r="I5" s="849"/>
    </row>
    <row r="6" spans="1:11" ht="12.75" customHeight="1" thickBot="1" x14ac:dyDescent="0.3">
      <c r="A6" s="859" t="s">
        <v>817</v>
      </c>
      <c r="B6" s="1553"/>
      <c r="C6" s="1553"/>
      <c r="D6" s="1554"/>
      <c r="E6" s="1555"/>
      <c r="F6" s="1563"/>
      <c r="G6" s="1556"/>
      <c r="I6" s="1643" t="s">
        <v>823</v>
      </c>
      <c r="J6" s="1907"/>
      <c r="K6" s="1905"/>
    </row>
    <row r="7" spans="1:11" ht="12.75" customHeight="1" thickBot="1" x14ac:dyDescent="0.3">
      <c r="A7" s="1552" t="s">
        <v>758</v>
      </c>
      <c r="B7" s="1557"/>
      <c r="C7" s="1557"/>
      <c r="D7" s="1557"/>
      <c r="E7" s="1934">
        <f>E22*I7</f>
        <v>0</v>
      </c>
      <c r="F7" s="1558">
        <f>F22*J7</f>
        <v>0</v>
      </c>
      <c r="G7" s="1558">
        <f>G22*K7</f>
        <v>0</v>
      </c>
      <c r="H7" s="1558"/>
      <c r="I7" s="1644"/>
      <c r="J7" s="1908"/>
      <c r="K7" s="1906"/>
    </row>
    <row r="8" spans="1:11" ht="12.75" customHeight="1" thickBot="1" x14ac:dyDescent="0.3">
      <c r="A8" s="859" t="s">
        <v>733</v>
      </c>
      <c r="B8" s="1553"/>
      <c r="C8" s="1553"/>
      <c r="D8" s="1554"/>
      <c r="E8" s="1555"/>
      <c r="F8" s="1563"/>
      <c r="G8" s="852"/>
    </row>
    <row r="9" spans="1:11" ht="12.75" customHeight="1" thickBot="1" x14ac:dyDescent="0.3">
      <c r="A9" s="859"/>
      <c r="B9" s="1557"/>
      <c r="C9" s="1557"/>
      <c r="D9" s="1557"/>
      <c r="E9" s="1558"/>
      <c r="F9" s="1558"/>
    </row>
    <row r="10" spans="1:11" ht="12.75" customHeight="1" thickBot="1" x14ac:dyDescent="0.3">
      <c r="A10" s="859" t="s">
        <v>734</v>
      </c>
      <c r="B10" s="1553"/>
      <c r="C10" s="1553">
        <v>0</v>
      </c>
      <c r="D10" s="1554">
        <v>0</v>
      </c>
      <c r="E10" s="1559">
        <v>0</v>
      </c>
      <c r="F10" s="1909">
        <v>0</v>
      </c>
      <c r="G10" s="1560">
        <v>0</v>
      </c>
    </row>
    <row r="11" spans="1:11" ht="12.75" customHeight="1" thickBot="1" x14ac:dyDescent="0.3">
      <c r="A11" s="859"/>
      <c r="B11" s="1557"/>
      <c r="C11" s="1557"/>
      <c r="D11" s="1557"/>
      <c r="E11" s="1558"/>
      <c r="F11" s="1558"/>
    </row>
    <row r="12" spans="1:11" ht="12.75" customHeight="1" thickBot="1" x14ac:dyDescent="0.3">
      <c r="A12" s="859" t="s">
        <v>735</v>
      </c>
      <c r="B12" s="1553"/>
      <c r="C12" s="1553">
        <v>0</v>
      </c>
      <c r="D12" s="1554">
        <v>0</v>
      </c>
      <c r="E12" s="1561">
        <v>0</v>
      </c>
      <c r="F12" s="1910">
        <v>0</v>
      </c>
      <c r="G12" s="1562">
        <v>0</v>
      </c>
    </row>
    <row r="13" spans="1:11" ht="12.75" customHeight="1" thickBot="1" x14ac:dyDescent="0.3">
      <c r="A13" s="859"/>
      <c r="B13" s="1557"/>
      <c r="C13" s="1557"/>
      <c r="D13" s="1557"/>
      <c r="E13" s="1558"/>
      <c r="F13" s="1558"/>
    </row>
    <row r="14" spans="1:11" ht="12.75" customHeight="1" thickBot="1" x14ac:dyDescent="0.3">
      <c r="A14" s="859" t="s">
        <v>736</v>
      </c>
      <c r="B14" s="1553"/>
      <c r="C14" s="1553"/>
      <c r="D14" s="1554"/>
      <c r="E14" s="1555"/>
      <c r="F14" s="1563"/>
      <c r="G14" s="1556"/>
    </row>
    <row r="15" spans="1:11" ht="12.75" customHeight="1" thickBot="1" x14ac:dyDescent="0.3">
      <c r="A15" s="859"/>
      <c r="B15" s="861"/>
      <c r="C15" s="861"/>
    </row>
    <row r="16" spans="1:11" ht="12.75" customHeight="1" thickBot="1" x14ac:dyDescent="0.3">
      <c r="A16" s="859" t="s">
        <v>408</v>
      </c>
      <c r="B16" s="862"/>
      <c r="C16" s="862">
        <v>0</v>
      </c>
      <c r="D16" s="852">
        <v>0</v>
      </c>
      <c r="E16" s="1935">
        <v>0</v>
      </c>
      <c r="F16" s="851">
        <v>0</v>
      </c>
      <c r="G16" s="852">
        <v>0</v>
      </c>
    </row>
    <row r="17" spans="1:7" ht="12.75" customHeight="1" thickBot="1" x14ac:dyDescent="0.3">
      <c r="A17" s="859"/>
      <c r="B17" s="863"/>
      <c r="C17" s="863"/>
    </row>
    <row r="18" spans="1:7" ht="12.75" customHeight="1" thickBot="1" x14ac:dyDescent="0.3">
      <c r="A18" s="859" t="s">
        <v>409</v>
      </c>
      <c r="B18" s="1564"/>
      <c r="C18" s="1565"/>
      <c r="D18" s="1566"/>
      <c r="E18" s="1567"/>
      <c r="F18" s="1911"/>
      <c r="G18" s="1568"/>
    </row>
    <row r="19" spans="1:7" ht="12.75" customHeight="1" thickBot="1" x14ac:dyDescent="0.3">
      <c r="A19" s="859"/>
      <c r="B19" s="1569"/>
      <c r="C19" s="1570"/>
      <c r="D19" s="1570"/>
      <c r="E19" s="1571"/>
      <c r="F19" s="1571"/>
    </row>
    <row r="20" spans="1:7" ht="12.75" customHeight="1" thickBot="1" x14ac:dyDescent="0.3">
      <c r="A20" s="859" t="s">
        <v>410</v>
      </c>
      <c r="B20" s="1564"/>
      <c r="C20" s="1565"/>
      <c r="D20" s="1566"/>
      <c r="E20" s="1567"/>
      <c r="F20" s="1911"/>
      <c r="G20" s="1568"/>
    </row>
    <row r="21" spans="1:7" ht="12.75" customHeight="1" thickBot="1" x14ac:dyDescent="0.3">
      <c r="A21" s="859"/>
      <c r="B21" s="1569"/>
      <c r="C21" s="1570"/>
      <c r="D21" s="1570"/>
      <c r="E21" s="1572"/>
      <c r="F21" s="1572"/>
    </row>
    <row r="22" spans="1:7" ht="12.75" customHeight="1" thickBot="1" x14ac:dyDescent="0.3">
      <c r="A22" s="859" t="s">
        <v>411</v>
      </c>
      <c r="B22" s="1564"/>
      <c r="C22" s="1565"/>
      <c r="D22" s="1566"/>
      <c r="E22" s="1567"/>
      <c r="F22" s="1911"/>
      <c r="G22" s="1568"/>
    </row>
    <row r="23" spans="1:7" ht="12.75" customHeight="1" thickBot="1" x14ac:dyDescent="0.3">
      <c r="A23" s="859"/>
      <c r="B23" s="861"/>
      <c r="C23" s="861"/>
      <c r="D23" s="861"/>
      <c r="E23" s="861"/>
      <c r="F23" s="861"/>
    </row>
    <row r="24" spans="1:7" ht="12.75" customHeight="1" thickBot="1" x14ac:dyDescent="0.3">
      <c r="A24" s="859" t="s">
        <v>412</v>
      </c>
      <c r="B24" s="860">
        <v>0</v>
      </c>
      <c r="C24" s="860">
        <v>0</v>
      </c>
      <c r="D24" s="1573">
        <v>0</v>
      </c>
      <c r="E24" s="860">
        <v>0</v>
      </c>
      <c r="F24" s="1912">
        <v>0</v>
      </c>
      <c r="G24" s="1573">
        <v>0</v>
      </c>
    </row>
    <row r="25" spans="1:7" ht="12.75" customHeight="1" thickBot="1" x14ac:dyDescent="0.3">
      <c r="A25" s="850"/>
      <c r="B25" s="861"/>
      <c r="C25" s="861"/>
      <c r="D25" s="861"/>
      <c r="E25" s="861"/>
      <c r="F25" s="861"/>
    </row>
    <row r="26" spans="1:7" ht="12.75" customHeight="1" thickBot="1" x14ac:dyDescent="0.3">
      <c r="A26" s="859" t="s">
        <v>731</v>
      </c>
      <c r="B26" s="1574"/>
      <c r="C26" s="1575"/>
      <c r="D26" s="1576"/>
      <c r="E26" s="1938"/>
      <c r="F26" s="1575"/>
      <c r="G26" s="1576"/>
    </row>
    <row r="27" spans="1:7" ht="12.75" customHeight="1" thickBot="1" x14ac:dyDescent="0.3">
      <c r="A27" s="859" t="s">
        <v>732</v>
      </c>
      <c r="B27" s="1574"/>
      <c r="C27" s="1577"/>
      <c r="D27" s="1578"/>
      <c r="E27" s="1936"/>
      <c r="F27" s="1577"/>
      <c r="G27" s="1578"/>
    </row>
    <row r="28" spans="1:7" ht="12.75" customHeight="1" thickBot="1" x14ac:dyDescent="0.3">
      <c r="B28" s="1579"/>
      <c r="C28" s="1575">
        <f>SUM(C26:C27)</f>
        <v>0</v>
      </c>
      <c r="D28" s="1576">
        <f>SUM(D26:D27)</f>
        <v>0</v>
      </c>
      <c r="E28" s="1913">
        <f>SUM(E26:E27)</f>
        <v>0</v>
      </c>
      <c r="F28" s="1913">
        <f>SUM(F26:F27)</f>
        <v>0</v>
      </c>
      <c r="G28" s="1913">
        <f>SUM(G26:G27)</f>
        <v>0</v>
      </c>
    </row>
    <row r="29" spans="1:7" ht="12.75" customHeight="1" thickBot="1" x14ac:dyDescent="0.3">
      <c r="A29" s="859" t="s">
        <v>413</v>
      </c>
      <c r="B29" s="1580" t="e">
        <f t="shared" ref="B29:F29" si="0">(B6+B8)/B14</f>
        <v>#DIV/0!</v>
      </c>
      <c r="C29" s="1580" t="e">
        <f t="shared" si="0"/>
        <v>#DIV/0!</v>
      </c>
      <c r="D29" s="1580" t="e">
        <f t="shared" si="0"/>
        <v>#DIV/0!</v>
      </c>
      <c r="E29" s="1580" t="e">
        <f t="shared" si="0"/>
        <v>#DIV/0!</v>
      </c>
      <c r="F29" s="862" t="e">
        <f t="shared" si="0"/>
        <v>#DIV/0!</v>
      </c>
      <c r="G29" s="1937" t="e">
        <f t="shared" ref="G29" si="1">(G6+G8)/G14</f>
        <v>#DIV/0!</v>
      </c>
    </row>
    <row r="30" spans="1:7" ht="12.75" customHeight="1" x14ac:dyDescent="0.25">
      <c r="A30" s="850"/>
    </row>
    <row r="31" spans="1:7" ht="12.75" customHeight="1" x14ac:dyDescent="0.25">
      <c r="A31" s="850" t="s">
        <v>414</v>
      </c>
    </row>
    <row r="32" spans="1:7" ht="12.75" customHeight="1" x14ac:dyDescent="0.25">
      <c r="A32" s="850"/>
    </row>
    <row r="33" spans="1:7" ht="12.75" customHeight="1" thickBot="1" x14ac:dyDescent="0.3">
      <c r="A33" s="850" t="s">
        <v>415</v>
      </c>
    </row>
    <row r="34" spans="1:7" ht="15.75" customHeight="1" x14ac:dyDescent="0.25">
      <c r="A34" s="864" t="s">
        <v>416</v>
      </c>
      <c r="B34" s="1581"/>
      <c r="C34" s="1581"/>
      <c r="D34" s="1917"/>
      <c r="E34" s="1921"/>
      <c r="F34" s="1922"/>
      <c r="G34" s="1914"/>
    </row>
    <row r="35" spans="1:7" ht="15.75" customHeight="1" x14ac:dyDescent="0.25">
      <c r="A35" s="864" t="s">
        <v>417</v>
      </c>
      <c r="B35" s="1582"/>
      <c r="C35" s="1582"/>
      <c r="D35" s="1918"/>
      <c r="E35" s="1923"/>
      <c r="F35" s="1920"/>
      <c r="G35" s="1915"/>
    </row>
    <row r="36" spans="1:7" ht="15.75" customHeight="1" x14ac:dyDescent="0.25">
      <c r="A36" s="864" t="s">
        <v>418</v>
      </c>
      <c r="B36" s="1582"/>
      <c r="C36" s="1582"/>
      <c r="D36" s="1918"/>
      <c r="E36" s="1923"/>
      <c r="F36" s="1920"/>
      <c r="G36" s="1915"/>
    </row>
    <row r="37" spans="1:7" ht="15.75" customHeight="1" x14ac:dyDescent="0.25">
      <c r="A37" s="864" t="s">
        <v>419</v>
      </c>
      <c r="B37" s="1582"/>
      <c r="C37" s="1582"/>
      <c r="D37" s="1918"/>
      <c r="E37" s="1923"/>
      <c r="F37" s="1920"/>
      <c r="G37" s="1915"/>
    </row>
    <row r="38" spans="1:7" ht="15.75" customHeight="1" x14ac:dyDescent="0.25">
      <c r="A38" s="864" t="s">
        <v>420</v>
      </c>
      <c r="B38" s="1582"/>
      <c r="C38" s="1582"/>
      <c r="D38" s="1918"/>
      <c r="E38" s="1923"/>
      <c r="F38" s="1920"/>
      <c r="G38" s="1915"/>
    </row>
    <row r="39" spans="1:7" ht="15.75" customHeight="1" x14ac:dyDescent="0.25">
      <c r="A39" s="864" t="s">
        <v>421</v>
      </c>
      <c r="B39" s="1582"/>
      <c r="C39" s="1582"/>
      <c r="D39" s="1918"/>
      <c r="E39" s="1923"/>
      <c r="F39" s="1920"/>
      <c r="G39" s="1915"/>
    </row>
    <row r="40" spans="1:7" ht="15.75" customHeight="1" x14ac:dyDescent="0.25">
      <c r="A40" s="864" t="s">
        <v>422</v>
      </c>
      <c r="B40" s="1582"/>
      <c r="C40" s="1582"/>
      <c r="D40" s="1918"/>
      <c r="E40" s="1923"/>
      <c r="F40" s="1920"/>
      <c r="G40" s="1915"/>
    </row>
    <row r="41" spans="1:7" ht="15.75" customHeight="1" x14ac:dyDescent="0.25">
      <c r="A41" s="864" t="s">
        <v>285</v>
      </c>
      <c r="B41" s="1582"/>
      <c r="C41" s="1582"/>
      <c r="D41" s="1918"/>
      <c r="E41" s="1923"/>
      <c r="F41" s="1920"/>
      <c r="G41" s="1915"/>
    </row>
    <row r="42" spans="1:7" ht="15.75" customHeight="1" x14ac:dyDescent="0.25">
      <c r="A42" s="864" t="s">
        <v>423</v>
      </c>
      <c r="B42" s="1582"/>
      <c r="C42" s="1582"/>
      <c r="D42" s="1918"/>
      <c r="E42" s="1923"/>
      <c r="F42" s="1920"/>
      <c r="G42" s="1915"/>
    </row>
    <row r="43" spans="1:7" ht="15.75" customHeight="1" x14ac:dyDescent="0.25">
      <c r="A43" s="864" t="s">
        <v>424</v>
      </c>
      <c r="B43" s="1582"/>
      <c r="C43" s="1582"/>
      <c r="D43" s="1918"/>
      <c r="E43" s="1923"/>
      <c r="F43" s="1920"/>
      <c r="G43" s="1915"/>
    </row>
    <row r="44" spans="1:7" ht="15.75" customHeight="1" x14ac:dyDescent="0.25">
      <c r="A44" s="864" t="s">
        <v>425</v>
      </c>
      <c r="B44" s="1582"/>
      <c r="C44" s="1582"/>
      <c r="D44" s="1918"/>
      <c r="E44" s="1923"/>
      <c r="F44" s="1920"/>
      <c r="G44" s="1915"/>
    </row>
    <row r="45" spans="1:7" ht="15.75" customHeight="1" thickBot="1" x14ac:dyDescent="0.3">
      <c r="A45" s="864" t="s">
        <v>426</v>
      </c>
      <c r="B45" s="1583"/>
      <c r="C45" s="1583"/>
      <c r="D45" s="1919"/>
      <c r="E45" s="1924"/>
      <c r="F45" s="1925"/>
      <c r="G45" s="1916"/>
    </row>
    <row r="46" spans="1:7" ht="12.75" customHeight="1" x14ac:dyDescent="0.25">
      <c r="A46" s="850"/>
      <c r="E46" s="1584"/>
      <c r="F46" s="1584"/>
    </row>
    <row r="47" spans="1:7" ht="12.75" customHeight="1" x14ac:dyDescent="0.25">
      <c r="A47" s="850"/>
      <c r="E47" s="1584"/>
      <c r="F47" s="1584"/>
    </row>
    <row r="48" spans="1:7" ht="12.75" customHeight="1" thickBot="1" x14ac:dyDescent="0.3">
      <c r="A48" s="850" t="s">
        <v>427</v>
      </c>
      <c r="E48" s="1584"/>
      <c r="F48" s="1584"/>
    </row>
    <row r="49" spans="1:7" ht="15.75" customHeight="1" x14ac:dyDescent="0.25">
      <c r="A49" s="864" t="s">
        <v>416</v>
      </c>
      <c r="B49" s="1581"/>
      <c r="C49" s="1581"/>
      <c r="D49" s="1917"/>
      <c r="E49" s="1921"/>
      <c r="F49" s="1922"/>
      <c r="G49" s="1914"/>
    </row>
    <row r="50" spans="1:7" ht="15.75" customHeight="1" x14ac:dyDescent="0.25">
      <c r="A50" s="864" t="s">
        <v>417</v>
      </c>
      <c r="B50" s="1582"/>
      <c r="C50" s="1582"/>
      <c r="D50" s="1918"/>
      <c r="E50" s="1923"/>
      <c r="F50" s="1920"/>
      <c r="G50" s="1915"/>
    </row>
    <row r="51" spans="1:7" ht="15.75" customHeight="1" x14ac:dyDescent="0.25">
      <c r="A51" s="864" t="s">
        <v>418</v>
      </c>
      <c r="B51" s="1582"/>
      <c r="C51" s="1582"/>
      <c r="D51" s="1918"/>
      <c r="E51" s="1923"/>
      <c r="F51" s="1920"/>
      <c r="G51" s="1915"/>
    </row>
    <row r="52" spans="1:7" ht="15.75" customHeight="1" x14ac:dyDescent="0.25">
      <c r="A52" s="864" t="s">
        <v>419</v>
      </c>
      <c r="B52" s="1582"/>
      <c r="C52" s="1582"/>
      <c r="D52" s="1918"/>
      <c r="E52" s="1923"/>
      <c r="F52" s="1920"/>
      <c r="G52" s="1915"/>
    </row>
    <row r="53" spans="1:7" ht="15.75" customHeight="1" x14ac:dyDescent="0.25">
      <c r="A53" s="864" t="s">
        <v>420</v>
      </c>
      <c r="B53" s="1582"/>
      <c r="C53" s="1582"/>
      <c r="D53" s="1918"/>
      <c r="E53" s="1923"/>
      <c r="F53" s="1920"/>
      <c r="G53" s="1915"/>
    </row>
    <row r="54" spans="1:7" ht="15.75" customHeight="1" x14ac:dyDescent="0.25">
      <c r="A54" s="864" t="s">
        <v>421</v>
      </c>
      <c r="B54" s="1582"/>
      <c r="C54" s="1582"/>
      <c r="D54" s="1918"/>
      <c r="E54" s="1923"/>
      <c r="F54" s="1920"/>
      <c r="G54" s="1915"/>
    </row>
    <row r="55" spans="1:7" ht="15.75" customHeight="1" x14ac:dyDescent="0.25">
      <c r="A55" s="864" t="s">
        <v>422</v>
      </c>
      <c r="B55" s="1582"/>
      <c r="C55" s="1582"/>
      <c r="D55" s="1918"/>
      <c r="E55" s="1923"/>
      <c r="F55" s="1920"/>
      <c r="G55" s="1915"/>
    </row>
    <row r="56" spans="1:7" ht="15.75" customHeight="1" x14ac:dyDescent="0.25">
      <c r="A56" s="864" t="s">
        <v>285</v>
      </c>
      <c r="B56" s="1582"/>
      <c r="C56" s="1582"/>
      <c r="D56" s="1918"/>
      <c r="E56" s="1923"/>
      <c r="F56" s="1920"/>
      <c r="G56" s="1915"/>
    </row>
    <row r="57" spans="1:7" ht="15.75" customHeight="1" x14ac:dyDescent="0.25">
      <c r="A57" s="864" t="s">
        <v>423</v>
      </c>
      <c r="B57" s="1582"/>
      <c r="C57" s="1582"/>
      <c r="D57" s="1918"/>
      <c r="E57" s="1923"/>
      <c r="F57" s="1920"/>
      <c r="G57" s="1915"/>
    </row>
    <row r="58" spans="1:7" ht="15.75" customHeight="1" x14ac:dyDescent="0.25">
      <c r="A58" s="864" t="s">
        <v>424</v>
      </c>
      <c r="B58" s="1582"/>
      <c r="C58" s="1582"/>
      <c r="D58" s="1918"/>
      <c r="E58" s="1923"/>
      <c r="F58" s="1920"/>
      <c r="G58" s="1915"/>
    </row>
    <row r="59" spans="1:7" ht="15.75" customHeight="1" x14ac:dyDescent="0.25">
      <c r="A59" s="864" t="s">
        <v>425</v>
      </c>
      <c r="B59" s="1582"/>
      <c r="C59" s="1582"/>
      <c r="D59" s="1918"/>
      <c r="E59" s="1923"/>
      <c r="F59" s="1920"/>
      <c r="G59" s="1915"/>
    </row>
    <row r="60" spans="1:7" ht="15.75" customHeight="1" thickBot="1" x14ac:dyDescent="0.3">
      <c r="A60" s="864" t="s">
        <v>426</v>
      </c>
      <c r="B60" s="1583"/>
      <c r="C60" s="1583"/>
      <c r="D60" s="1919"/>
      <c r="E60" s="1924"/>
      <c r="F60" s="1925"/>
      <c r="G60" s="1916"/>
    </row>
    <row r="61" spans="1:7" ht="15.75" customHeight="1" x14ac:dyDescent="0.25"/>
    <row r="62" spans="1:7" ht="15.75" customHeight="1" x14ac:dyDescent="0.25"/>
    <row r="63" spans="1:7" ht="15.75" customHeight="1" x14ac:dyDescent="0.25"/>
    <row r="64" spans="1:7" ht="15.75" customHeight="1" x14ac:dyDescent="0.25">
      <c r="A64" s="853" t="s">
        <v>428</v>
      </c>
    </row>
    <row r="65" spans="1:7" ht="15.75" customHeight="1" thickBot="1" x14ac:dyDescent="0.3"/>
    <row r="66" spans="1:7" ht="15.75" customHeight="1" x14ac:dyDescent="0.25">
      <c r="A66" s="849" t="s">
        <v>416</v>
      </c>
      <c r="B66" s="1585"/>
      <c r="C66" s="1585"/>
      <c r="D66" s="1926"/>
      <c r="E66" s="1929"/>
      <c r="F66" s="1930"/>
      <c r="G66" s="1914"/>
    </row>
    <row r="67" spans="1:7" ht="15.75" customHeight="1" x14ac:dyDescent="0.25">
      <c r="A67" s="849" t="s">
        <v>417</v>
      </c>
      <c r="B67" s="1586"/>
      <c r="C67" s="1586"/>
      <c r="D67" s="1927"/>
      <c r="E67" s="1931"/>
      <c r="G67" s="1915"/>
    </row>
    <row r="68" spans="1:7" ht="15.75" customHeight="1" x14ac:dyDescent="0.25">
      <c r="A68" s="849" t="s">
        <v>418</v>
      </c>
      <c r="B68" s="1586"/>
      <c r="C68" s="1586"/>
      <c r="D68" s="1927"/>
      <c r="E68" s="1931"/>
      <c r="G68" s="1915"/>
    </row>
    <row r="69" spans="1:7" ht="15.75" customHeight="1" x14ac:dyDescent="0.25">
      <c r="A69" s="849" t="s">
        <v>419</v>
      </c>
      <c r="B69" s="1586"/>
      <c r="C69" s="1586"/>
      <c r="D69" s="1927"/>
      <c r="E69" s="1931"/>
      <c r="G69" s="1915"/>
    </row>
    <row r="70" spans="1:7" ht="15.75" customHeight="1" x14ac:dyDescent="0.25">
      <c r="A70" s="849" t="s">
        <v>420</v>
      </c>
      <c r="B70" s="1586"/>
      <c r="C70" s="1586"/>
      <c r="D70" s="1927"/>
      <c r="E70" s="1931"/>
      <c r="G70" s="1915"/>
    </row>
    <row r="71" spans="1:7" ht="15.75" customHeight="1" x14ac:dyDescent="0.25">
      <c r="A71" s="849" t="s">
        <v>421</v>
      </c>
      <c r="B71" s="1586"/>
      <c r="C71" s="1586"/>
      <c r="D71" s="1927"/>
      <c r="E71" s="1931"/>
      <c r="G71" s="1915"/>
    </row>
    <row r="72" spans="1:7" ht="15.75" customHeight="1" x14ac:dyDescent="0.25">
      <c r="A72" s="849" t="s">
        <v>422</v>
      </c>
      <c r="B72" s="1586"/>
      <c r="C72" s="1586"/>
      <c r="D72" s="1927"/>
      <c r="E72" s="1931"/>
      <c r="G72" s="1915"/>
    </row>
    <row r="73" spans="1:7" ht="15.75" customHeight="1" x14ac:dyDescent="0.25">
      <c r="A73" s="849" t="s">
        <v>285</v>
      </c>
      <c r="B73" s="1586"/>
      <c r="C73" s="1586"/>
      <c r="D73" s="1927"/>
      <c r="E73" s="1931"/>
      <c r="G73" s="1915"/>
    </row>
    <row r="74" spans="1:7" ht="15.75" customHeight="1" x14ac:dyDescent="0.25">
      <c r="A74" s="849" t="s">
        <v>423</v>
      </c>
      <c r="B74" s="1586"/>
      <c r="C74" s="1586"/>
      <c r="D74" s="1927"/>
      <c r="E74" s="1931"/>
      <c r="G74" s="1915"/>
    </row>
    <row r="75" spans="1:7" ht="15.75" customHeight="1" x14ac:dyDescent="0.25">
      <c r="A75" s="849" t="s">
        <v>424</v>
      </c>
      <c r="B75" s="1586"/>
      <c r="C75" s="1586"/>
      <c r="D75" s="1927"/>
      <c r="E75" s="1931"/>
      <c r="G75" s="1915"/>
    </row>
    <row r="76" spans="1:7" ht="15.75" customHeight="1" x14ac:dyDescent="0.25">
      <c r="A76" s="849" t="s">
        <v>425</v>
      </c>
      <c r="B76" s="1586"/>
      <c r="C76" s="1586"/>
      <c r="D76" s="1927"/>
      <c r="E76" s="1931"/>
      <c r="G76" s="1915"/>
    </row>
    <row r="77" spans="1:7" ht="15.75" customHeight="1" thickBot="1" x14ac:dyDescent="0.3">
      <c r="A77" s="849" t="s">
        <v>426</v>
      </c>
      <c r="B77" s="1587"/>
      <c r="C77" s="1587"/>
      <c r="D77" s="1928"/>
      <c r="E77" s="1932"/>
      <c r="F77" s="1933"/>
      <c r="G77" s="1916"/>
    </row>
    <row r="78" spans="1:7" ht="15.75" customHeight="1" x14ac:dyDescent="0.25"/>
  </sheetData>
  <mergeCells count="1">
    <mergeCell ref="D1:E1"/>
  </mergeCells>
  <phoneticPr fontId="0" type="noConversion"/>
  <hyperlinks>
    <hyperlink ref="A1" location="TOC!A1" display="TOC" xr:uid="{00000000-0004-0000-1600-000000000000}"/>
    <hyperlink ref="A3" location="'Tiered Rates'!A5" display="é" xr:uid="{00000000-0004-0000-1600-000001000000}"/>
  </hyperlinks>
  <printOptions horizontalCentered="1" headings="1"/>
  <pageMargins left="0.5" right="0.5" top="0.75" bottom="0.8" header="0.25" footer="0.25"/>
  <pageSetup scale="75" orientation="landscape" r:id="rId1"/>
  <headerFooter alignWithMargins="0">
    <oddFooter>&amp;LFY 2026-2028 ASC Filing&amp;CPage &amp;P of &amp;N&amp;R&amp;A
&amp;D</oddFooter>
  </headerFooter>
  <rowBreaks count="2" manualBreakCount="2">
    <brk id="30" max="16383" man="1"/>
    <brk id="62" max="16383" man="1"/>
  </rowBreaks>
  <customProperties>
    <customPr name="_pios_id" r:id="rId2"/>
  </customPropertie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D92AF-65B3-4098-9585-00BEF282D57F}">
  <sheetPr>
    <tabColor theme="1"/>
  </sheetPr>
  <dimension ref="A1"/>
  <sheetViews>
    <sheetView workbookViewId="0">
      <selection sqref="A1:XFD1048576"/>
    </sheetView>
  </sheetViews>
  <sheetFormatPr defaultRowHeight="15.75" x14ac:dyDescent="0.25"/>
  <cols>
    <col min="1" max="16384" width="9" style="2472"/>
  </cols>
  <sheetData/>
  <pageMargins left="0.7" right="0.7" top="0.75" bottom="0.75" header="0.3" footer="0.3"/>
  <pageSetup orientation="portrait" horizontalDpi="1200" verticalDpi="1200" r:id="rId1"/>
  <customProperties>
    <customPr name="_pios_id" r:id="rId2"/>
  </customPropertie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3E12A7-4194-426F-9C11-876D19002AE8}">
  <sheetPr>
    <tabColor indexed="43"/>
  </sheetPr>
  <dimension ref="A1:T565"/>
  <sheetViews>
    <sheetView showWhiteSpace="0" topLeftCell="A107" zoomScale="90" zoomScaleNormal="90" zoomScaleSheetLayoutView="75" zoomScalePageLayoutView="145" workbookViewId="0">
      <selection sqref="A1:XFD1048576"/>
    </sheetView>
  </sheetViews>
  <sheetFormatPr defaultColWidth="9" defaultRowHeight="15" customHeight="1" x14ac:dyDescent="0.25"/>
  <cols>
    <col min="1" max="1" width="6.125" style="38" customWidth="1"/>
    <col min="2" max="2" width="44.5" style="38" customWidth="1"/>
    <col min="3" max="3" width="9.25" style="36" customWidth="1"/>
    <col min="4" max="4" width="8.625" style="36" customWidth="1"/>
    <col min="5" max="5" width="10" style="1" customWidth="1"/>
    <col min="6" max="6" width="8.5" style="1" customWidth="1"/>
    <col min="7" max="7" width="16" style="28" customWidth="1"/>
    <col min="8" max="10" width="16" style="39" customWidth="1"/>
    <col min="11" max="11" width="2.25" style="37" customWidth="1"/>
    <col min="12" max="18" width="17.625" style="1" customWidth="1"/>
    <col min="19" max="16384" width="9" style="1"/>
  </cols>
  <sheetData>
    <row r="1" spans="1:20" ht="19.5" customHeight="1" thickTop="1" x14ac:dyDescent="0.3">
      <c r="A1" s="3599" t="s">
        <v>54</v>
      </c>
      <c r="B1" s="3600"/>
      <c r="C1" s="3600"/>
      <c r="D1" s="3600"/>
      <c r="E1" s="3600"/>
      <c r="F1" s="3600"/>
      <c r="G1" s="3600"/>
      <c r="H1" s="3600"/>
      <c r="I1" s="3600"/>
      <c r="J1" s="3601"/>
      <c r="K1" s="13"/>
      <c r="L1" s="14"/>
    </row>
    <row r="2" spans="1:20" ht="19.5" customHeight="1" x14ac:dyDescent="0.25">
      <c r="A2" s="3611" t="s">
        <v>228</v>
      </c>
      <c r="B2" s="3612"/>
      <c r="C2" s="3612"/>
      <c r="D2" s="3612"/>
      <c r="E2" s="3612"/>
      <c r="F2" s="3612"/>
      <c r="G2" s="3612"/>
      <c r="H2" s="3612"/>
      <c r="I2" s="3612"/>
      <c r="J2" s="3613"/>
      <c r="K2" s="506"/>
      <c r="L2" s="507"/>
    </row>
    <row r="3" spans="1:20" ht="17.25" customHeight="1" x14ac:dyDescent="0.25">
      <c r="A3" s="3608" t="s">
        <v>719</v>
      </c>
      <c r="B3" s="3609"/>
      <c r="C3" s="3609"/>
      <c r="D3" s="3609"/>
      <c r="E3" s="3609"/>
      <c r="F3" s="3609"/>
      <c r="G3" s="3609"/>
      <c r="H3" s="3609"/>
      <c r="I3" s="3609"/>
      <c r="J3" s="3610"/>
      <c r="K3" s="506"/>
      <c r="L3" s="507"/>
    </row>
    <row r="4" spans="1:20" ht="15" customHeight="1" thickBot="1" x14ac:dyDescent="0.3">
      <c r="A4" s="1335"/>
      <c r="B4" s="180"/>
      <c r="C4" s="180"/>
      <c r="D4" s="180"/>
      <c r="E4" s="180"/>
      <c r="F4" s="180"/>
      <c r="G4" s="180"/>
      <c r="H4" s="180"/>
      <c r="J4" s="1269"/>
      <c r="K4" s="13"/>
      <c r="L4" s="14"/>
    </row>
    <row r="5" spans="1:20" ht="15.75" customHeight="1" x14ac:dyDescent="0.3">
      <c r="A5" s="1830" t="s">
        <v>695</v>
      </c>
      <c r="B5" s="1831"/>
      <c r="C5" s="991"/>
      <c r="D5" s="1832" t="s">
        <v>572</v>
      </c>
      <c r="E5" s="3614" t="s">
        <v>872</v>
      </c>
      <c r="F5" s="3615"/>
      <c r="G5" s="3616"/>
      <c r="H5" s="991"/>
      <c r="I5" s="1833" t="s">
        <v>717</v>
      </c>
      <c r="J5" s="1834"/>
      <c r="K5" s="13"/>
      <c r="L5" s="14"/>
    </row>
    <row r="6" spans="1:20" ht="15.75" customHeight="1" x14ac:dyDescent="0.25">
      <c r="A6" s="1835" t="s">
        <v>696</v>
      </c>
      <c r="B6" s="1836"/>
      <c r="C6" s="991"/>
      <c r="D6" s="1832" t="s">
        <v>574</v>
      </c>
      <c r="E6" s="3617">
        <v>2023</v>
      </c>
      <c r="F6" s="3618"/>
      <c r="G6" s="3619"/>
      <c r="H6" s="1837"/>
      <c r="I6" s="1838" t="s">
        <v>724</v>
      </c>
      <c r="J6" s="1834"/>
      <c r="K6" s="13"/>
      <c r="L6" s="14"/>
    </row>
    <row r="7" spans="1:20" ht="15.75" customHeight="1" thickBot="1" x14ac:dyDescent="0.3">
      <c r="A7" s="1839"/>
      <c r="B7" s="991"/>
      <c r="C7" s="991"/>
      <c r="D7" s="1832" t="s">
        <v>575</v>
      </c>
      <c r="E7" s="3620">
        <v>45446</v>
      </c>
      <c r="F7" s="3621"/>
      <c r="G7" s="3622"/>
      <c r="H7" s="1837"/>
      <c r="I7" s="1840" t="s">
        <v>724</v>
      </c>
      <c r="J7" s="1834"/>
      <c r="K7" s="13"/>
      <c r="L7" s="14"/>
    </row>
    <row r="8" spans="1:20" ht="9.75" customHeight="1" x14ac:dyDescent="0.25">
      <c r="A8" s="1839"/>
      <c r="B8" s="1841"/>
      <c r="C8" s="1842"/>
      <c r="D8" s="1842"/>
      <c r="E8" s="1841"/>
      <c r="F8" s="1841"/>
      <c r="G8" s="1843"/>
      <c r="H8" s="1844"/>
      <c r="I8" s="1844"/>
      <c r="J8" s="1845"/>
      <c r="K8" s="13"/>
      <c r="L8" s="14"/>
    </row>
    <row r="9" spans="1:20" ht="2.1" customHeight="1" x14ac:dyDescent="0.25">
      <c r="A9" s="1839"/>
      <c r="B9" s="1841"/>
      <c r="C9" s="1842"/>
      <c r="D9" s="1842"/>
      <c r="E9" s="1841"/>
      <c r="F9" s="1841"/>
      <c r="G9" s="1843"/>
      <c r="H9" s="1844"/>
      <c r="I9" s="1844"/>
      <c r="J9" s="1845"/>
      <c r="K9" s="13"/>
      <c r="L9" s="14"/>
    </row>
    <row r="10" spans="1:20" ht="15.75" customHeight="1" x14ac:dyDescent="0.25">
      <c r="A10" s="3626" t="s">
        <v>325</v>
      </c>
      <c r="B10" s="3627"/>
      <c r="C10" s="3627"/>
      <c r="D10" s="3627"/>
      <c r="E10" s="3627"/>
      <c r="F10" s="3627"/>
      <c r="G10" s="3627"/>
      <c r="H10" s="3627"/>
      <c r="I10" s="3627"/>
      <c r="J10" s="3628"/>
      <c r="K10" s="13"/>
      <c r="L10" s="14"/>
    </row>
    <row r="11" spans="1:20" ht="11.25" customHeight="1" thickBot="1" x14ac:dyDescent="0.3">
      <c r="A11" s="1337"/>
      <c r="B11" s="376"/>
      <c r="C11" s="366"/>
      <c r="D11" s="366"/>
      <c r="E11" s="376"/>
      <c r="F11" s="376"/>
      <c r="G11" s="376"/>
      <c r="H11" s="376"/>
      <c r="I11" s="376"/>
      <c r="J11" s="1338"/>
      <c r="K11" s="13"/>
      <c r="L11" s="14"/>
    </row>
    <row r="12" spans="1:20" ht="15" customHeight="1" thickBot="1" x14ac:dyDescent="0.3">
      <c r="A12" s="3602" t="s">
        <v>100</v>
      </c>
      <c r="B12" s="3603"/>
      <c r="C12" s="327" t="s">
        <v>276</v>
      </c>
      <c r="D12" s="328"/>
      <c r="E12" s="317" t="s">
        <v>354</v>
      </c>
      <c r="F12" s="318"/>
      <c r="G12" s="3606" t="s">
        <v>104</v>
      </c>
      <c r="H12" s="3606" t="s">
        <v>105</v>
      </c>
      <c r="I12" s="3606" t="s">
        <v>106</v>
      </c>
      <c r="J12" s="3630" t="s">
        <v>727</v>
      </c>
      <c r="K12" s="20"/>
      <c r="L12" s="3606" t="s">
        <v>105</v>
      </c>
      <c r="M12" s="3606" t="s">
        <v>106</v>
      </c>
      <c r="N12" s="307"/>
    </row>
    <row r="13" spans="1:20" ht="15" customHeight="1" thickBot="1" x14ac:dyDescent="0.3">
      <c r="A13" s="3604"/>
      <c r="B13" s="3605"/>
      <c r="C13" s="308" t="s">
        <v>272</v>
      </c>
      <c r="D13" s="308" t="s">
        <v>96</v>
      </c>
      <c r="E13" s="319" t="s">
        <v>450</v>
      </c>
      <c r="F13" s="320"/>
      <c r="G13" s="3607"/>
      <c r="H13" s="3607"/>
      <c r="I13" s="3607"/>
      <c r="J13" s="3631"/>
      <c r="K13" s="21"/>
      <c r="L13" s="3607"/>
      <c r="M13" s="3607"/>
      <c r="N13" s="310" t="s">
        <v>98</v>
      </c>
    </row>
    <row r="14" spans="1:20" ht="15" customHeight="1" thickBot="1" x14ac:dyDescent="0.3">
      <c r="A14" s="3604"/>
      <c r="B14" s="3605"/>
      <c r="C14" s="308" t="s">
        <v>273</v>
      </c>
      <c r="D14" s="308" t="s">
        <v>252</v>
      </c>
      <c r="E14" s="308" t="s">
        <v>352</v>
      </c>
      <c r="F14" s="308" t="s">
        <v>353</v>
      </c>
      <c r="G14" s="3607"/>
      <c r="H14" s="3607"/>
      <c r="I14" s="3607"/>
      <c r="J14" s="3632"/>
      <c r="K14" s="22"/>
      <c r="L14" s="3629"/>
      <c r="M14" s="3629"/>
      <c r="N14" s="324" t="s">
        <v>107</v>
      </c>
    </row>
    <row r="15" spans="1:20" ht="15" customHeight="1" thickTop="1" x14ac:dyDescent="0.25">
      <c r="A15" s="1515" t="s">
        <v>473</v>
      </c>
      <c r="B15" s="1516"/>
      <c r="C15" s="1517"/>
      <c r="D15" s="1517"/>
      <c r="E15" s="1517"/>
      <c r="F15" s="1517"/>
      <c r="G15" s="1518"/>
      <c r="H15" s="1518"/>
      <c r="I15" s="1518"/>
      <c r="J15" s="1519"/>
      <c r="K15" s="20"/>
      <c r="L15" s="1754"/>
      <c r="M15" s="1755"/>
      <c r="N15" s="1755"/>
    </row>
    <row r="16" spans="1:20" ht="15" customHeight="1" x14ac:dyDescent="0.25">
      <c r="A16" s="1342"/>
      <c r="B16" s="47" t="s">
        <v>145</v>
      </c>
      <c r="C16" s="1939" t="s">
        <v>70</v>
      </c>
      <c r="D16" s="184">
        <v>301</v>
      </c>
      <c r="E16" s="184" t="s">
        <v>392</v>
      </c>
      <c r="F16" s="184" t="s">
        <v>97</v>
      </c>
      <c r="G16" s="1756">
        <f>VLOOKUP($B16,'RATE BASE DATA'!$C:$J,6,FALSE)</f>
        <v>0</v>
      </c>
      <c r="H16" s="1738">
        <f>VLOOKUP($E16,Ratio,2,FALSE)*$G16</f>
        <v>0</v>
      </c>
      <c r="I16" s="1738">
        <f>VLOOKUP($E16,Ratio,3,FALSE)*$G16</f>
        <v>0</v>
      </c>
      <c r="J16" s="1739">
        <f>VLOOKUP($E16,Ratio,4,FALSE)*$G16</f>
        <v>0</v>
      </c>
      <c r="K16" s="24"/>
      <c r="L16" s="1755"/>
      <c r="M16" s="1755"/>
      <c r="N16" s="1755"/>
      <c r="O16" s="11"/>
      <c r="P16" s="11"/>
      <c r="Q16" s="11"/>
      <c r="R16" s="11"/>
      <c r="S16" s="11"/>
      <c r="T16" s="11"/>
    </row>
    <row r="17" spans="1:20" ht="15" customHeight="1" x14ac:dyDescent="0.25">
      <c r="A17" s="1342"/>
      <c r="B17" s="47" t="s">
        <v>146</v>
      </c>
      <c r="C17" s="1939" t="s">
        <v>70</v>
      </c>
      <c r="D17" s="184">
        <v>302</v>
      </c>
      <c r="E17" s="184" t="s">
        <v>90</v>
      </c>
      <c r="F17" s="184" t="s">
        <v>99</v>
      </c>
      <c r="G17" s="1756">
        <f>VLOOKUP($B17,'RATE BASE DATA'!$C:$J,6,FALSE)</f>
        <v>47525616.791076206</v>
      </c>
      <c r="H17" s="1738">
        <f>IF($E17="DIRECT",$L17,VLOOKUP($E17,Ratio,2,FALSE)*$G17)</f>
        <v>47525616.791076206</v>
      </c>
      <c r="I17" s="1738">
        <f>IF($E17="DIRECT",$M17,VLOOKUP($E17,Ratio,3,FALSE)*$G17)</f>
        <v>0</v>
      </c>
      <c r="J17" s="1739">
        <f>IF($E17="DIRECT",$N17,VLOOKUP($E17,Ratio,4,FALSE)*$G17)</f>
        <v>0</v>
      </c>
      <c r="K17" s="24"/>
      <c r="L17" s="1756">
        <f>VLOOKUP($B17,'RATE BASE DATA'!$C:$J,6,FALSE)*'B8-EPIS'!S588/'B8-EPIS'!$V$588</f>
        <v>47525616.791076206</v>
      </c>
      <c r="M17" s="1756">
        <v>0</v>
      </c>
      <c r="N17" s="1756">
        <v>0</v>
      </c>
      <c r="O17" s="11"/>
      <c r="P17" s="11"/>
      <c r="Q17" s="11"/>
      <c r="R17" s="11"/>
      <c r="S17" s="11"/>
      <c r="T17" s="11"/>
    </row>
    <row r="18" spans="1:20" ht="15" customHeight="1" x14ac:dyDescent="0.25">
      <c r="A18" s="1342"/>
      <c r="B18" s="47" t="s">
        <v>147</v>
      </c>
      <c r="C18" s="1939" t="s">
        <v>70</v>
      </c>
      <c r="D18" s="184">
        <v>303</v>
      </c>
      <c r="E18" s="184" t="s">
        <v>90</v>
      </c>
      <c r="F18" s="184" t="s">
        <v>392</v>
      </c>
      <c r="G18" s="1756">
        <f>VLOOKUP($B18,'RATE BASE DATA'!$C:$J,6,FALSE)</f>
        <v>269984868.30402285</v>
      </c>
      <c r="H18" s="1738">
        <f>IF($E18="DIRECT",$L18,VLOOKUP($E18,Ratio,2,FALSE)*$G18)</f>
        <v>89629267.40768671</v>
      </c>
      <c r="I18" s="1738">
        <f>IF($E18="DIRECT",$M18,VLOOKUP($E18,Ratio,3,FALSE)*$G18)</f>
        <v>0</v>
      </c>
      <c r="J18" s="1739">
        <f>IF($E18="DIRECT",$N18,VLOOKUP($E18,Ratio,4,FALSE)*$G18)</f>
        <v>180355600.89633614</v>
      </c>
      <c r="K18" s="24"/>
      <c r="L18" s="1756">
        <f>VLOOKUP($B18,'RATE BASE DATA'!$C:$J,6,FALSE)*'B8-EPIS'!S594/'B8-EPIS'!$V$594</f>
        <v>89629267.40768671</v>
      </c>
      <c r="M18" s="1756">
        <f>VLOOKUP($B18,'RATE BASE DATA'!$C:$J,6,FALSE)*'B8-EPIS'!T594/'B8-EPIS'!$V$594</f>
        <v>0</v>
      </c>
      <c r="N18" s="1756">
        <f>VLOOKUP($B18,'RATE BASE DATA'!$C:$J,6,FALSE)*'B8-EPIS'!U594/'B8-EPIS'!$V$594</f>
        <v>180355600.89633614</v>
      </c>
      <c r="O18" s="578"/>
      <c r="P18" s="11"/>
      <c r="Q18" s="11"/>
      <c r="R18" s="11"/>
      <c r="S18" s="11"/>
      <c r="T18" s="11"/>
    </row>
    <row r="19" spans="1:20" ht="15" customHeight="1" x14ac:dyDescent="0.25">
      <c r="A19" s="1344" t="s">
        <v>439</v>
      </c>
      <c r="B19" s="33"/>
      <c r="C19" s="1846"/>
      <c r="D19" s="1847"/>
      <c r="E19" s="1847"/>
      <c r="F19" s="1848"/>
      <c r="G19" s="1780">
        <f>SUM(G16:G18)</f>
        <v>317510485.09509903</v>
      </c>
      <c r="H19" s="1740">
        <f>SUM(H16:H18)</f>
        <v>137154884.19876292</v>
      </c>
      <c r="I19" s="1740">
        <f>SUM(I16:I18)</f>
        <v>0</v>
      </c>
      <c r="J19" s="1741">
        <f>SUM(J16:J18)</f>
        <v>180355600.89633614</v>
      </c>
      <c r="K19" s="24"/>
      <c r="L19" s="1757"/>
      <c r="M19" s="1758"/>
      <c r="N19" s="1758"/>
      <c r="O19" s="11"/>
      <c r="P19" s="11"/>
      <c r="Q19" s="11"/>
      <c r="R19" s="11"/>
      <c r="S19" s="11"/>
      <c r="T19" s="11"/>
    </row>
    <row r="20" spans="1:20" ht="8.1" customHeight="1" x14ac:dyDescent="0.25">
      <c r="A20" s="1346"/>
      <c r="B20" s="33"/>
      <c r="C20" s="48"/>
      <c r="D20" s="48"/>
      <c r="E20" s="48"/>
      <c r="F20" s="48"/>
      <c r="G20" s="377"/>
      <c r="H20" s="67"/>
      <c r="I20" s="142"/>
      <c r="J20" s="1347"/>
      <c r="K20" s="24"/>
      <c r="L20" s="1757"/>
      <c r="M20" s="1758"/>
      <c r="N20" s="1758"/>
      <c r="O20" s="11"/>
      <c r="P20" s="11"/>
      <c r="Q20" s="11"/>
      <c r="R20" s="11"/>
      <c r="S20" s="11"/>
      <c r="T20" s="11"/>
    </row>
    <row r="21" spans="1:20" ht="15" customHeight="1" x14ac:dyDescent="0.25">
      <c r="A21" s="1341" t="s">
        <v>110</v>
      </c>
      <c r="B21" s="78"/>
      <c r="C21" s="48"/>
      <c r="D21" s="48"/>
      <c r="E21" s="48"/>
      <c r="F21" s="48"/>
      <c r="G21" s="377"/>
      <c r="H21" s="142"/>
      <c r="I21" s="142"/>
      <c r="J21" s="1347"/>
      <c r="K21" s="20"/>
      <c r="L21" s="1754"/>
      <c r="M21" s="1755"/>
      <c r="N21" s="1755"/>
    </row>
    <row r="22" spans="1:20" ht="15" customHeight="1" x14ac:dyDescent="0.25">
      <c r="A22" s="1348"/>
      <c r="B22" s="49" t="s">
        <v>111</v>
      </c>
      <c r="C22" s="1939" t="s">
        <v>70</v>
      </c>
      <c r="D22" s="184" t="s">
        <v>824</v>
      </c>
      <c r="E22" s="184" t="s">
        <v>394</v>
      </c>
      <c r="F22" s="184"/>
      <c r="G22" s="1756">
        <f>VLOOKUP($B22,'RATE BASE DATA'!$C:$J,6,FALSE)</f>
        <v>1951836875.617208</v>
      </c>
      <c r="H22" s="1738">
        <f>VLOOKUP($E22,Ratio,2,FALSE)*$G22</f>
        <v>1951836875.617208</v>
      </c>
      <c r="I22" s="1738">
        <f>VLOOKUP($E22,Ratio,3,FALSE)*$G22</f>
        <v>0</v>
      </c>
      <c r="J22" s="1739">
        <f>VLOOKUP($E22,Ratio,4,FALSE)*$G22</f>
        <v>0</v>
      </c>
      <c r="K22" s="24"/>
      <c r="L22" s="1757"/>
      <c r="M22" s="1759"/>
      <c r="N22" s="1759"/>
      <c r="O22" s="26"/>
    </row>
    <row r="23" spans="1:20" ht="15" customHeight="1" x14ac:dyDescent="0.25">
      <c r="A23" s="1348"/>
      <c r="B23" s="49" t="s">
        <v>113</v>
      </c>
      <c r="C23" s="1939" t="s">
        <v>70</v>
      </c>
      <c r="D23" s="184" t="s">
        <v>825</v>
      </c>
      <c r="E23" s="184" t="s">
        <v>394</v>
      </c>
      <c r="F23" s="184"/>
      <c r="G23" s="1756">
        <f>VLOOKUP($B23,'RATE BASE DATA'!$C:$J,6,FALSE)</f>
        <v>0</v>
      </c>
      <c r="H23" s="1738">
        <f>VLOOKUP($E23,Ratio,2,FALSE)*$G23</f>
        <v>0</v>
      </c>
      <c r="I23" s="1738">
        <f>VLOOKUP($E23,Ratio,3,FALSE)*$G23</f>
        <v>0</v>
      </c>
      <c r="J23" s="1739">
        <f>VLOOKUP($E23,Ratio,4,FALSE)*$G23</f>
        <v>0</v>
      </c>
      <c r="K23" s="24"/>
      <c r="L23" s="1757"/>
      <c r="M23" s="1760"/>
      <c r="N23" s="1761"/>
      <c r="O23" s="26"/>
      <c r="P23" s="11"/>
      <c r="Q23" s="11"/>
      <c r="R23" s="11"/>
      <c r="S23" s="11"/>
      <c r="T23" s="11"/>
    </row>
    <row r="24" spans="1:20" ht="15" customHeight="1" x14ac:dyDescent="0.25">
      <c r="A24" s="1348"/>
      <c r="B24" s="49" t="s">
        <v>115</v>
      </c>
      <c r="C24" s="1939" t="s">
        <v>70</v>
      </c>
      <c r="D24" s="184" t="s">
        <v>826</v>
      </c>
      <c r="E24" s="184" t="s">
        <v>394</v>
      </c>
      <c r="F24" s="184"/>
      <c r="G24" s="1756">
        <f>VLOOKUP($B24,'RATE BASE DATA'!$C:$J,6,FALSE)</f>
        <v>292617794.76525491</v>
      </c>
      <c r="H24" s="1738">
        <f>VLOOKUP($E24,Ratio,2,FALSE)*$G24</f>
        <v>292617794.76525491</v>
      </c>
      <c r="I24" s="1738">
        <f>VLOOKUP($E24,Ratio,3,FALSE)*$G24</f>
        <v>0</v>
      </c>
      <c r="J24" s="1739">
        <f>VLOOKUP($E24,Ratio,4,FALSE)*$G24</f>
        <v>0</v>
      </c>
      <c r="K24" s="24"/>
      <c r="L24" s="1757"/>
      <c r="M24" s="1758"/>
      <c r="N24" s="1758"/>
      <c r="O24" s="11"/>
      <c r="P24" s="11"/>
      <c r="Q24" s="11"/>
      <c r="R24" s="11"/>
      <c r="S24" s="11"/>
      <c r="T24" s="11"/>
    </row>
    <row r="25" spans="1:20" ht="15" customHeight="1" x14ac:dyDescent="0.25">
      <c r="A25" s="1348"/>
      <c r="B25" s="49" t="s">
        <v>117</v>
      </c>
      <c r="C25" s="1939" t="s">
        <v>70</v>
      </c>
      <c r="D25" s="184" t="s">
        <v>870</v>
      </c>
      <c r="E25" s="184" t="s">
        <v>394</v>
      </c>
      <c r="F25" s="184"/>
      <c r="G25" s="1756">
        <f>VLOOKUP($B25,'RATE BASE DATA'!$C:$J,6,FALSE)</f>
        <v>1525123173.3055339</v>
      </c>
      <c r="H25" s="1738">
        <f>VLOOKUP($E25,Ratio,2,FALSE)*$G25</f>
        <v>1525123173.3055339</v>
      </c>
      <c r="I25" s="1738">
        <f>VLOOKUP($E25,Ratio,3,FALSE)*$G25</f>
        <v>0</v>
      </c>
      <c r="J25" s="1739">
        <f>VLOOKUP($E25,Ratio,4,FALSE)*$G25</f>
        <v>0</v>
      </c>
      <c r="K25" s="24"/>
      <c r="L25" s="1757"/>
      <c r="M25" s="1758"/>
      <c r="N25" s="1758"/>
      <c r="O25" s="11"/>
      <c r="P25" s="11"/>
      <c r="Q25" s="11"/>
      <c r="R25" s="11"/>
      <c r="S25" s="11"/>
      <c r="T25" s="11"/>
    </row>
    <row r="26" spans="1:20" ht="15" customHeight="1" x14ac:dyDescent="0.25">
      <c r="A26" s="1344" t="s">
        <v>119</v>
      </c>
      <c r="B26" s="33"/>
      <c r="C26" s="1846"/>
      <c r="D26" s="1847"/>
      <c r="E26" s="1847"/>
      <c r="F26" s="1848"/>
      <c r="G26" s="1781">
        <f>SUM(G22:G25)</f>
        <v>3769577843.6879969</v>
      </c>
      <c r="H26" s="495">
        <f>SUM(H22:H25)</f>
        <v>3769577843.6879969</v>
      </c>
      <c r="I26" s="1742">
        <f>SUM(I22:I25)</f>
        <v>0</v>
      </c>
      <c r="J26" s="1743">
        <f>SUM(J22:J25)</f>
        <v>0</v>
      </c>
      <c r="K26" s="24"/>
      <c r="L26" s="1757"/>
      <c r="M26" s="1758"/>
      <c r="N26" s="1758"/>
      <c r="O26" s="11"/>
      <c r="P26" s="11"/>
      <c r="Q26" s="11"/>
      <c r="R26" s="11"/>
      <c r="S26" s="11"/>
      <c r="T26" s="11"/>
    </row>
    <row r="27" spans="1:20" ht="8.1" customHeight="1" x14ac:dyDescent="0.25">
      <c r="A27" s="1346"/>
      <c r="B27" s="33"/>
      <c r="C27" s="48"/>
      <c r="D27" s="48"/>
      <c r="E27" s="48"/>
      <c r="F27" s="48"/>
      <c r="G27" s="1782"/>
      <c r="H27" s="142"/>
      <c r="I27" s="142"/>
      <c r="J27" s="1347"/>
      <c r="K27" s="24"/>
      <c r="L27" s="1757"/>
      <c r="M27" s="1758"/>
      <c r="N27" s="1758"/>
      <c r="O27" s="11"/>
    </row>
    <row r="28" spans="1:20" ht="15" customHeight="1" x14ac:dyDescent="0.25">
      <c r="A28" s="1341" t="s">
        <v>97</v>
      </c>
      <c r="B28" s="47"/>
      <c r="C28" s="48"/>
      <c r="D28" s="48"/>
      <c r="E28" s="1849"/>
      <c r="F28" s="1849"/>
      <c r="G28" s="377"/>
      <c r="H28" s="142"/>
      <c r="I28" s="142"/>
      <c r="J28" s="1347"/>
      <c r="K28" s="24"/>
      <c r="L28" s="1757"/>
      <c r="M28" s="1758"/>
      <c r="N28" s="1758"/>
      <c r="O28" s="11"/>
    </row>
    <row r="29" spans="1:20" ht="15" customHeight="1" x14ac:dyDescent="0.25">
      <c r="A29" s="1348"/>
      <c r="B29" s="49" t="s">
        <v>497</v>
      </c>
      <c r="C29" s="1942" t="s">
        <v>70</v>
      </c>
      <c r="D29" s="1943" t="s">
        <v>827</v>
      </c>
      <c r="E29" s="184" t="s">
        <v>393</v>
      </c>
      <c r="F29" s="184"/>
      <c r="G29" s="1756">
        <f>VLOOKUP($B29,'RATE BASE DATA'!$C:$J,6,FALSE)</f>
        <v>2225448802.5958657</v>
      </c>
      <c r="H29" s="1738">
        <f>VLOOKUP($E29,Ratio,2,FALSE)*$G29</f>
        <v>0</v>
      </c>
      <c r="I29" s="1738">
        <f>VLOOKUP($E29,Ratio,3,FALSE)*$G29</f>
        <v>0</v>
      </c>
      <c r="J29" s="1739">
        <f>VLOOKUP($E29,Ratio,4,FALSE)*$G29</f>
        <v>2225448802.5958657</v>
      </c>
      <c r="K29" s="24"/>
      <c r="L29" s="1757"/>
      <c r="M29" s="1758"/>
      <c r="N29" s="1758"/>
      <c r="O29" s="11"/>
      <c r="P29" s="11"/>
      <c r="Q29" s="11"/>
      <c r="R29" s="11"/>
      <c r="S29" s="11"/>
      <c r="T29" s="11"/>
    </row>
    <row r="30" spans="1:20" ht="15" customHeight="1" x14ac:dyDescent="0.25">
      <c r="A30" s="1344" t="s">
        <v>121</v>
      </c>
      <c r="B30" s="33"/>
      <c r="C30" s="1940"/>
      <c r="D30" s="1941"/>
      <c r="E30" s="1847"/>
      <c r="F30" s="1848"/>
      <c r="G30" s="1781">
        <f>SUM(G29)</f>
        <v>2225448802.5958657</v>
      </c>
      <c r="H30" s="1742">
        <f>SUM(H29)</f>
        <v>0</v>
      </c>
      <c r="I30" s="1740">
        <f>SUM(I29)</f>
        <v>0</v>
      </c>
      <c r="J30" s="1743">
        <f>SUM(J29)</f>
        <v>2225448802.5958657</v>
      </c>
      <c r="K30" s="24"/>
      <c r="L30" s="1757"/>
      <c r="M30" s="1758"/>
      <c r="N30" s="1758"/>
      <c r="O30" s="11"/>
      <c r="P30" s="11"/>
      <c r="Q30" s="11"/>
      <c r="R30" s="11"/>
      <c r="S30" s="11"/>
      <c r="T30" s="11"/>
    </row>
    <row r="31" spans="1:20" ht="8.1" customHeight="1" x14ac:dyDescent="0.25">
      <c r="A31" s="1346"/>
      <c r="B31" s="33"/>
      <c r="C31" s="48"/>
      <c r="D31" s="48"/>
      <c r="E31" s="48"/>
      <c r="F31" s="48"/>
      <c r="G31" s="377"/>
      <c r="H31" s="142"/>
      <c r="I31" s="142"/>
      <c r="J31" s="1347"/>
      <c r="K31" s="24"/>
      <c r="L31" s="1757"/>
      <c r="M31" s="1758"/>
      <c r="N31" s="1758"/>
      <c r="O31" s="11"/>
      <c r="P31" s="11"/>
      <c r="Q31" s="11"/>
      <c r="R31" s="11"/>
      <c r="S31" s="11"/>
      <c r="T31" s="11"/>
    </row>
    <row r="32" spans="1:20" ht="15" customHeight="1" x14ac:dyDescent="0.25">
      <c r="A32" s="1341" t="s">
        <v>472</v>
      </c>
      <c r="B32" s="47"/>
      <c r="C32" s="48"/>
      <c r="D32" s="48"/>
      <c r="E32" s="46"/>
      <c r="F32" s="46"/>
      <c r="G32" s="377"/>
      <c r="H32" s="142"/>
      <c r="I32" s="142"/>
      <c r="J32" s="1347"/>
      <c r="K32" s="24"/>
      <c r="L32" s="1757"/>
      <c r="M32" s="1758"/>
      <c r="N32" s="1758"/>
      <c r="O32" s="11"/>
    </row>
    <row r="33" spans="1:20" ht="15" customHeight="1" x14ac:dyDescent="0.25">
      <c r="A33" s="1348"/>
      <c r="B33" s="49" t="s">
        <v>140</v>
      </c>
      <c r="C33" s="1939" t="s">
        <v>70</v>
      </c>
      <c r="D33" s="184" t="s">
        <v>828</v>
      </c>
      <c r="E33" s="184" t="s">
        <v>392</v>
      </c>
      <c r="F33" s="184"/>
      <c r="G33" s="1756">
        <f>VLOOKUP($B33,'RATE BASE DATA'!$C:$J,6,FALSE)</f>
        <v>2697671223.5252719</v>
      </c>
      <c r="H33" s="1738">
        <f>VLOOKUP($E33,Ratio,2,FALSE)*$G33</f>
        <v>0</v>
      </c>
      <c r="I33" s="1738">
        <f>VLOOKUP($E33,Ratio,3,FALSE)*$G33</f>
        <v>0</v>
      </c>
      <c r="J33" s="1739">
        <f>VLOOKUP($E33,Ratio,4,FALSE)*$G33</f>
        <v>2697671223.5252719</v>
      </c>
      <c r="K33" s="24"/>
      <c r="L33" s="1757"/>
      <c r="M33" s="1758"/>
      <c r="N33" s="1758"/>
      <c r="O33" s="11"/>
      <c r="P33" s="11"/>
      <c r="Q33" s="11"/>
      <c r="R33" s="11"/>
      <c r="S33" s="11"/>
      <c r="T33" s="11"/>
    </row>
    <row r="34" spans="1:20" ht="15" customHeight="1" x14ac:dyDescent="0.25">
      <c r="A34" s="1350" t="s">
        <v>122</v>
      </c>
      <c r="B34" s="47"/>
      <c r="C34" s="1846"/>
      <c r="D34" s="1847"/>
      <c r="E34" s="1847"/>
      <c r="F34" s="1848"/>
      <c r="G34" s="1781">
        <f>SUM(G33)</f>
        <v>2697671223.5252719</v>
      </c>
      <c r="H34" s="1740">
        <f>SUM(H33)</f>
        <v>0</v>
      </c>
      <c r="I34" s="1740">
        <f>SUM(I33)</f>
        <v>0</v>
      </c>
      <c r="J34" s="1741">
        <f>SUM(J33)</f>
        <v>2697671223.5252719</v>
      </c>
      <c r="K34" s="24"/>
      <c r="L34" s="1757"/>
      <c r="M34" s="1758"/>
      <c r="N34" s="1758"/>
      <c r="O34" s="11"/>
      <c r="P34" s="11"/>
      <c r="Q34" s="11"/>
      <c r="R34" s="11"/>
      <c r="S34" s="11"/>
      <c r="T34" s="11"/>
    </row>
    <row r="35" spans="1:20" ht="8.1" customHeight="1" x14ac:dyDescent="0.25">
      <c r="A35" s="1351"/>
      <c r="B35" s="47"/>
      <c r="C35" s="48"/>
      <c r="D35" s="48"/>
      <c r="E35" s="48"/>
      <c r="F35" s="48"/>
      <c r="G35" s="378"/>
      <c r="H35" s="381"/>
      <c r="I35" s="381"/>
      <c r="J35" s="1744"/>
      <c r="K35" s="24"/>
      <c r="L35" s="1757"/>
      <c r="M35" s="1758"/>
      <c r="N35" s="1758"/>
      <c r="O35" s="11"/>
      <c r="P35" s="11"/>
      <c r="Q35" s="11"/>
      <c r="R35" s="11"/>
      <c r="S35" s="11"/>
      <c r="T35" s="11"/>
    </row>
    <row r="36" spans="1:20" ht="15" customHeight="1" x14ac:dyDescent="0.25">
      <c r="A36" s="1341" t="s">
        <v>124</v>
      </c>
      <c r="B36" s="33"/>
      <c r="C36" s="48"/>
      <c r="D36" s="48"/>
      <c r="E36" s="48"/>
      <c r="F36" s="48"/>
      <c r="G36" s="1784"/>
      <c r="H36" s="67"/>
      <c r="I36" s="67"/>
      <c r="J36" s="1352"/>
      <c r="K36" s="24"/>
      <c r="L36" s="1757"/>
      <c r="M36" s="1758"/>
      <c r="N36" s="1758"/>
      <c r="O36" s="11"/>
    </row>
    <row r="37" spans="1:20" ht="15" customHeight="1" x14ac:dyDescent="0.25">
      <c r="A37" s="1348"/>
      <c r="B37" s="46" t="s">
        <v>125</v>
      </c>
      <c r="C37" s="1939" t="s">
        <v>70</v>
      </c>
      <c r="D37" s="184">
        <v>389</v>
      </c>
      <c r="E37" s="184" t="s">
        <v>99</v>
      </c>
      <c r="F37" s="184"/>
      <c r="G37" s="1756">
        <f>VLOOKUP($B37,'RATE BASE DATA'!$C:$J,6,FALSE)</f>
        <v>8590234.6829186343</v>
      </c>
      <c r="H37" s="1738">
        <f t="shared" ref="H37:H46" si="0">VLOOKUP($E37,Ratio,2,FALSE)*$G37</f>
        <v>3781388.1817228599</v>
      </c>
      <c r="I37" s="1738">
        <f t="shared" ref="I37:I46" si="1">VLOOKUP($E37,Ratio,3,FALSE)*$G37</f>
        <v>0</v>
      </c>
      <c r="J37" s="1739">
        <f t="shared" ref="J37:J46" si="2">VLOOKUP($E37,Ratio,4,FALSE)*$G37</f>
        <v>4808846.5011957735</v>
      </c>
      <c r="K37" s="24"/>
      <c r="L37" s="1757"/>
      <c r="M37" s="1758"/>
      <c r="N37" s="1758"/>
      <c r="O37" s="11"/>
    </row>
    <row r="38" spans="1:20" ht="15" customHeight="1" x14ac:dyDescent="0.25">
      <c r="A38" s="1348"/>
      <c r="B38" s="46" t="s">
        <v>126</v>
      </c>
      <c r="C38" s="1939" t="s">
        <v>70</v>
      </c>
      <c r="D38" s="184">
        <v>390</v>
      </c>
      <c r="E38" s="184" t="s">
        <v>99</v>
      </c>
      <c r="F38" s="184"/>
      <c r="G38" s="1756">
        <f>VLOOKUP($B38,'RATE BASE DATA'!$C:$J,6,FALSE)</f>
        <v>86741200.100756764</v>
      </c>
      <c r="H38" s="1738">
        <f t="shared" si="0"/>
        <v>38183141.792584501</v>
      </c>
      <c r="I38" s="1738">
        <f t="shared" si="1"/>
        <v>0</v>
      </c>
      <c r="J38" s="1739">
        <f t="shared" si="2"/>
        <v>48558058.308172256</v>
      </c>
      <c r="K38" s="24"/>
      <c r="L38" s="1757"/>
      <c r="M38" s="1758"/>
      <c r="N38" s="1758"/>
      <c r="O38" s="11"/>
    </row>
    <row r="39" spans="1:20" ht="15" customHeight="1" x14ac:dyDescent="0.25">
      <c r="A39" s="1348"/>
      <c r="B39" s="46" t="s">
        <v>127</v>
      </c>
      <c r="C39" s="1939" t="s">
        <v>70</v>
      </c>
      <c r="D39" s="184">
        <v>391</v>
      </c>
      <c r="E39" s="184" t="s">
        <v>95</v>
      </c>
      <c r="F39" s="184"/>
      <c r="G39" s="1756">
        <f>VLOOKUP($B39,'RATE BASE DATA'!$C:$J,6,FALSE)</f>
        <v>26322731.852648888</v>
      </c>
      <c r="H39" s="1738">
        <f t="shared" si="0"/>
        <v>10972720.317119475</v>
      </c>
      <c r="I39" s="1738">
        <f t="shared" si="1"/>
        <v>0</v>
      </c>
      <c r="J39" s="1739">
        <f t="shared" si="2"/>
        <v>15350011.535529414</v>
      </c>
      <c r="K39" s="24"/>
      <c r="L39" s="1757"/>
      <c r="M39" s="1758"/>
      <c r="N39" s="1758"/>
      <c r="O39" s="11"/>
    </row>
    <row r="40" spans="1:20" ht="15" customHeight="1" x14ac:dyDescent="0.25">
      <c r="A40" s="1348"/>
      <c r="B40" s="46" t="s">
        <v>128</v>
      </c>
      <c r="C40" s="1939" t="s">
        <v>70</v>
      </c>
      <c r="D40" s="184">
        <v>392</v>
      </c>
      <c r="E40" s="184" t="s">
        <v>109</v>
      </c>
      <c r="F40" s="184"/>
      <c r="G40" s="1756">
        <f>VLOOKUP($B40,'RATE BASE DATA'!$C:$J,6,FALSE)</f>
        <v>47266718.906141326</v>
      </c>
      <c r="H40" s="1738">
        <f t="shared" si="0"/>
        <v>0</v>
      </c>
      <c r="I40" s="1738">
        <f t="shared" si="1"/>
        <v>0</v>
      </c>
      <c r="J40" s="1739">
        <f t="shared" si="2"/>
        <v>47266718.906141326</v>
      </c>
      <c r="K40" s="24"/>
      <c r="L40" s="1757"/>
      <c r="M40" s="1758"/>
      <c r="N40" s="1758"/>
      <c r="O40" s="11"/>
    </row>
    <row r="41" spans="1:20" ht="15" customHeight="1" x14ac:dyDescent="0.25">
      <c r="A41" s="1348"/>
      <c r="B41" s="46" t="s">
        <v>129</v>
      </c>
      <c r="C41" s="1939" t="s">
        <v>70</v>
      </c>
      <c r="D41" s="184">
        <v>393</v>
      </c>
      <c r="E41" s="184" t="s">
        <v>99</v>
      </c>
      <c r="F41" s="184"/>
      <c r="G41" s="1756">
        <f>VLOOKUP($B41,'RATE BASE DATA'!$C:$J,6,FALSE)</f>
        <v>5920482.052458101</v>
      </c>
      <c r="H41" s="1738">
        <f t="shared" si="0"/>
        <v>2606173.3689050851</v>
      </c>
      <c r="I41" s="1738">
        <f t="shared" si="1"/>
        <v>0</v>
      </c>
      <c r="J41" s="1739">
        <f t="shared" si="2"/>
        <v>3314308.6835530149</v>
      </c>
      <c r="K41" s="24"/>
      <c r="L41" s="1757"/>
      <c r="M41" s="1758"/>
      <c r="N41" s="1758"/>
      <c r="O41" s="11"/>
    </row>
    <row r="42" spans="1:20" ht="15" customHeight="1" x14ac:dyDescent="0.25">
      <c r="A42" s="1348"/>
      <c r="B42" s="46" t="s">
        <v>130</v>
      </c>
      <c r="C42" s="1939" t="s">
        <v>70</v>
      </c>
      <c r="D42" s="184">
        <v>394</v>
      </c>
      <c r="E42" s="184" t="s">
        <v>99</v>
      </c>
      <c r="F42" s="184"/>
      <c r="G42" s="1756">
        <f>VLOOKUP($B42,'RATE BASE DATA'!$C:$J,6,FALSE)</f>
        <v>19327171.845469795</v>
      </c>
      <c r="H42" s="1738">
        <f t="shared" si="0"/>
        <v>8507746.5168571249</v>
      </c>
      <c r="I42" s="1738">
        <f t="shared" si="1"/>
        <v>0</v>
      </c>
      <c r="J42" s="1739">
        <f t="shared" si="2"/>
        <v>10819425.328612668</v>
      </c>
      <c r="K42" s="24"/>
      <c r="L42" s="1757"/>
      <c r="M42" s="1758"/>
      <c r="N42" s="1758"/>
      <c r="O42" s="11"/>
    </row>
    <row r="43" spans="1:20" ht="15" customHeight="1" x14ac:dyDescent="0.25">
      <c r="A43" s="1348"/>
      <c r="B43" s="46" t="s">
        <v>131</v>
      </c>
      <c r="C43" s="1939" t="s">
        <v>70</v>
      </c>
      <c r="D43" s="184">
        <v>395</v>
      </c>
      <c r="E43" s="184" t="s">
        <v>99</v>
      </c>
      <c r="F43" s="184"/>
      <c r="G43" s="1756">
        <f>VLOOKUP($B43,'RATE BASE DATA'!$C:$J,6,FALSE)</f>
        <v>16670627.710184203</v>
      </c>
      <c r="H43" s="1738">
        <f t="shared" si="0"/>
        <v>7338346.0326807071</v>
      </c>
      <c r="I43" s="1738">
        <f t="shared" si="1"/>
        <v>0</v>
      </c>
      <c r="J43" s="1739">
        <f t="shared" si="2"/>
        <v>9332281.6775034945</v>
      </c>
      <c r="K43" s="24"/>
      <c r="L43" s="1757"/>
      <c r="M43" s="1758"/>
      <c r="N43" s="1758"/>
      <c r="O43" s="11"/>
    </row>
    <row r="44" spans="1:20" ht="15" customHeight="1" x14ac:dyDescent="0.25">
      <c r="A44" s="1348"/>
      <c r="B44" s="46" t="s">
        <v>132</v>
      </c>
      <c r="C44" s="1939" t="s">
        <v>70</v>
      </c>
      <c r="D44" s="184">
        <v>396</v>
      </c>
      <c r="E44" s="184" t="s">
        <v>109</v>
      </c>
      <c r="F44" s="184"/>
      <c r="G44" s="1756">
        <f>VLOOKUP($B44,'RATE BASE DATA'!$C:$J,6,FALSE)</f>
        <v>69694160.961733311</v>
      </c>
      <c r="H44" s="1738">
        <f t="shared" si="0"/>
        <v>0</v>
      </c>
      <c r="I44" s="1738">
        <f t="shared" si="1"/>
        <v>0</v>
      </c>
      <c r="J44" s="1739">
        <f t="shared" si="2"/>
        <v>69694160.961733311</v>
      </c>
      <c r="K44" s="24"/>
      <c r="L44" s="1757"/>
      <c r="M44" s="1758"/>
      <c r="N44" s="1758"/>
      <c r="O44" s="11"/>
    </row>
    <row r="45" spans="1:20" ht="15" customHeight="1" x14ac:dyDescent="0.25">
      <c r="A45" s="1348"/>
      <c r="B45" s="46" t="s">
        <v>133</v>
      </c>
      <c r="C45" s="1939" t="s">
        <v>70</v>
      </c>
      <c r="D45" s="184">
        <v>397</v>
      </c>
      <c r="E45" s="184" t="s">
        <v>99</v>
      </c>
      <c r="F45" s="184"/>
      <c r="G45" s="1756">
        <f>VLOOKUP($B45,'RATE BASE DATA'!$C:$J,6,FALSE)</f>
        <v>155914507.49471226</v>
      </c>
      <c r="H45" s="1738">
        <f t="shared" si="0"/>
        <v>68632964.96101439</v>
      </c>
      <c r="I45" s="1738">
        <f t="shared" si="1"/>
        <v>0</v>
      </c>
      <c r="J45" s="1739">
        <f t="shared" si="2"/>
        <v>87281542.533697858</v>
      </c>
      <c r="K45" s="24"/>
      <c r="L45" s="1757"/>
      <c r="M45" s="1758"/>
      <c r="N45" s="1758"/>
      <c r="O45" s="11"/>
    </row>
    <row r="46" spans="1:20" ht="15" customHeight="1" x14ac:dyDescent="0.25">
      <c r="A46" s="1348"/>
      <c r="B46" s="46" t="s">
        <v>134</v>
      </c>
      <c r="C46" s="1939" t="s">
        <v>70</v>
      </c>
      <c r="D46" s="184">
        <v>398</v>
      </c>
      <c r="E46" s="184" t="s">
        <v>99</v>
      </c>
      <c r="F46" s="184"/>
      <c r="G46" s="1756">
        <f>VLOOKUP($B46,'RATE BASE DATA'!$C:$J,6,FALSE)</f>
        <v>2902958.0596254542</v>
      </c>
      <c r="H46" s="1738">
        <f t="shared" si="0"/>
        <v>1277870.9434484483</v>
      </c>
      <c r="I46" s="1738">
        <f t="shared" si="1"/>
        <v>0</v>
      </c>
      <c r="J46" s="1739">
        <f t="shared" si="2"/>
        <v>1625087.1161770055</v>
      </c>
      <c r="K46" s="24"/>
      <c r="L46" s="1757"/>
      <c r="M46" s="1758"/>
      <c r="N46" s="1758"/>
      <c r="O46" s="11"/>
    </row>
    <row r="47" spans="1:20" ht="15" customHeight="1" x14ac:dyDescent="0.25">
      <c r="A47" s="1348"/>
      <c r="B47" s="46" t="s">
        <v>256</v>
      </c>
      <c r="C47" s="1939" t="s">
        <v>70</v>
      </c>
      <c r="D47" s="184">
        <v>399</v>
      </c>
      <c r="E47" s="184" t="s">
        <v>90</v>
      </c>
      <c r="F47" s="184" t="s">
        <v>99</v>
      </c>
      <c r="G47" s="1756">
        <f>VLOOKUP($B47,'RATE BASE DATA'!$C:$J,6,FALSE)</f>
        <v>470986.62682254362</v>
      </c>
      <c r="H47" s="1738">
        <f>IF($E47="DIRECT",$L47,VLOOKUP($E47,Ratio,2,FALSE)*$G47)</f>
        <v>470986.62682254362</v>
      </c>
      <c r="I47" s="1738">
        <f>IF($E47="DIRECT",$M47,VLOOKUP($E47,Ratio,3,FALSE)*$G47)</f>
        <v>0</v>
      </c>
      <c r="J47" s="1739">
        <f>IF($E47="DIRECT",$N47,VLOOKUP($E47,Ratio,4,FALSE)*$G47)</f>
        <v>0</v>
      </c>
      <c r="K47" s="24"/>
      <c r="L47" s="1756">
        <f>VLOOKUP($B47,'RATE BASE DATA'!$C:$J,6,FALSE)</f>
        <v>470986.62682254362</v>
      </c>
      <c r="M47" s="1756">
        <v>0</v>
      </c>
      <c r="N47" s="1756">
        <v>0</v>
      </c>
      <c r="O47" s="11"/>
    </row>
    <row r="48" spans="1:20" ht="15" customHeight="1" x14ac:dyDescent="0.25">
      <c r="A48" s="1348"/>
      <c r="B48" s="46" t="s">
        <v>442</v>
      </c>
      <c r="C48" s="1939" t="s">
        <v>70</v>
      </c>
      <c r="D48" s="184">
        <v>399.1</v>
      </c>
      <c r="E48" s="184" t="s">
        <v>99</v>
      </c>
      <c r="F48" s="184"/>
      <c r="G48" s="1756">
        <f>VLOOKUP($B48,'RATE BASE DATA'!$C:$J,6,FALSE)</f>
        <v>10771.11577225932</v>
      </c>
      <c r="H48" s="1738">
        <f>VLOOKUP($E48,Ratio,2,FALSE)*$G48</f>
        <v>4741.4036273281026</v>
      </c>
      <c r="I48" s="1738">
        <f>VLOOKUP($E48,Ratio,3,FALSE)*$G48</f>
        <v>0</v>
      </c>
      <c r="J48" s="1739">
        <f>VLOOKUP($E48,Ratio,4,FALSE)*$G48</f>
        <v>6029.7121449312162</v>
      </c>
      <c r="K48" s="24"/>
      <c r="L48" s="1762"/>
      <c r="M48" s="1762"/>
      <c r="N48" s="1762"/>
      <c r="O48" s="11"/>
    </row>
    <row r="49" spans="1:15" ht="8.1" customHeight="1" x14ac:dyDescent="0.25">
      <c r="A49" s="1353"/>
      <c r="B49" s="31"/>
      <c r="C49" s="34"/>
      <c r="D49" s="34"/>
      <c r="E49" s="34"/>
      <c r="F49" s="34"/>
      <c r="G49" s="379"/>
      <c r="H49" s="337"/>
      <c r="I49" s="337"/>
      <c r="J49" s="1354"/>
      <c r="K49" s="24"/>
      <c r="L49" s="1757"/>
      <c r="M49" s="1758"/>
      <c r="N49" s="1758"/>
      <c r="O49" s="11"/>
    </row>
    <row r="50" spans="1:15" ht="15" customHeight="1" thickBot="1" x14ac:dyDescent="0.3">
      <c r="A50" s="1355" t="s">
        <v>135</v>
      </c>
      <c r="B50" s="173"/>
      <c r="C50" s="1850"/>
      <c r="D50" s="1851"/>
      <c r="E50" s="1851"/>
      <c r="F50" s="1852"/>
      <c r="G50" s="1785">
        <f>SUM(G37:G49)</f>
        <v>439832551.40924358</v>
      </c>
      <c r="H50" s="1745">
        <f>SUM(H37:H49)</f>
        <v>141776080.14478245</v>
      </c>
      <c r="I50" s="1745">
        <f>SUM(I37:I49)</f>
        <v>0</v>
      </c>
      <c r="J50" s="1746">
        <f>SUM(J37:J49)</f>
        <v>298056471.26446104</v>
      </c>
      <c r="K50" s="24"/>
      <c r="L50" s="1757"/>
      <c r="M50" s="1758"/>
      <c r="N50" s="1758"/>
      <c r="O50" s="11"/>
    </row>
    <row r="51" spans="1:15" ht="8.1" customHeight="1" thickTop="1" x14ac:dyDescent="0.25">
      <c r="A51" s="1346"/>
      <c r="B51" s="32"/>
      <c r="C51" s="34"/>
      <c r="D51" s="34"/>
      <c r="E51" s="34"/>
      <c r="F51" s="34"/>
      <c r="G51" s="1784"/>
      <c r="H51" s="67"/>
      <c r="I51" s="67"/>
      <c r="J51" s="1352"/>
      <c r="K51" s="24"/>
      <c r="L51" s="1757"/>
      <c r="M51" s="1758"/>
      <c r="N51" s="1758"/>
      <c r="O51" s="11"/>
    </row>
    <row r="52" spans="1:15" ht="15" customHeight="1" x14ac:dyDescent="0.25">
      <c r="A52" s="1350" t="s">
        <v>136</v>
      </c>
      <c r="B52" s="32"/>
      <c r="C52" s="1853"/>
      <c r="D52" s="1847"/>
      <c r="E52" s="1847"/>
      <c r="F52" s="1848"/>
      <c r="G52" s="1781">
        <f>G19+G26+G30+G34+G50</f>
        <v>9450040906.3134766</v>
      </c>
      <c r="H52" s="495">
        <f>H19+H26+H30+H34+H50</f>
        <v>4048508808.0315423</v>
      </c>
      <c r="I52" s="495">
        <f>I19+I26+I30+I34+I50</f>
        <v>0</v>
      </c>
      <c r="J52" s="1365">
        <f>J19+J26+J30+J34+J50</f>
        <v>5401532098.2819347</v>
      </c>
      <c r="K52" s="24"/>
      <c r="L52" s="1763"/>
      <c r="M52" s="1758"/>
      <c r="N52" s="1758"/>
      <c r="O52" s="11"/>
    </row>
    <row r="53" spans="1:15" ht="15" customHeight="1" x14ac:dyDescent="0.25">
      <c r="A53" s="1356" t="s">
        <v>440</v>
      </c>
      <c r="B53" s="32"/>
      <c r="C53" s="34"/>
      <c r="D53" s="34"/>
      <c r="E53" s="46"/>
      <c r="F53" s="46"/>
      <c r="G53" s="1784"/>
      <c r="H53" s="67"/>
      <c r="I53" s="67"/>
      <c r="J53" s="1352"/>
      <c r="K53" s="24"/>
      <c r="L53" s="1757"/>
      <c r="M53" s="1758"/>
      <c r="N53" s="1758"/>
      <c r="O53" s="11"/>
    </row>
    <row r="54" spans="1:15" ht="15" customHeight="1" x14ac:dyDescent="0.25">
      <c r="A54" s="1357"/>
      <c r="B54" s="59"/>
      <c r="C54" s="34"/>
      <c r="D54" s="34"/>
      <c r="E54" s="34"/>
      <c r="F54" s="34"/>
      <c r="G54" s="1784"/>
      <c r="H54" s="67"/>
      <c r="I54" s="67"/>
      <c r="J54" s="1352"/>
      <c r="K54" s="24"/>
      <c r="L54" s="1757"/>
      <c r="M54" s="1758"/>
      <c r="N54" s="1758"/>
      <c r="O54" s="11"/>
    </row>
    <row r="55" spans="1:15" ht="15" customHeight="1" x14ac:dyDescent="0.25">
      <c r="A55" s="1341" t="s">
        <v>474</v>
      </c>
      <c r="B55" s="59"/>
      <c r="C55" s="34"/>
      <c r="D55" s="34"/>
      <c r="E55" s="34"/>
      <c r="F55" s="34"/>
      <c r="G55" s="377"/>
      <c r="H55" s="142"/>
      <c r="I55" s="142"/>
      <c r="J55" s="1347"/>
      <c r="K55" s="24"/>
      <c r="L55" s="1757"/>
      <c r="M55" s="1758"/>
      <c r="N55" s="1758"/>
      <c r="O55" s="11"/>
    </row>
    <row r="56" spans="1:15" ht="15" customHeight="1" x14ac:dyDescent="0.25">
      <c r="A56" s="1341" t="s">
        <v>210</v>
      </c>
      <c r="B56" s="59"/>
      <c r="C56" s="34"/>
      <c r="D56" s="34"/>
      <c r="E56" s="34"/>
      <c r="F56" s="34"/>
      <c r="G56" s="377"/>
      <c r="H56" s="142"/>
      <c r="I56" s="142"/>
      <c r="J56" s="1347"/>
      <c r="K56" s="24"/>
      <c r="L56" s="1757"/>
      <c r="M56" s="1758"/>
      <c r="N56" s="1758"/>
      <c r="O56" s="11"/>
    </row>
    <row r="57" spans="1:15" ht="15" customHeight="1" x14ac:dyDescent="0.25">
      <c r="A57" s="1348"/>
      <c r="B57" s="49" t="s">
        <v>88</v>
      </c>
      <c r="C57" s="184">
        <v>219</v>
      </c>
      <c r="D57" s="184">
        <v>108</v>
      </c>
      <c r="E57" s="184" t="s">
        <v>394</v>
      </c>
      <c r="F57" s="184"/>
      <c r="G57" s="1756">
        <f>VLOOKUP($B57,'RATE BASE DATA'!$C:$J,6,FALSE)</f>
        <v>1263401510.4029026</v>
      </c>
      <c r="H57" s="1738">
        <f t="shared" ref="H57:H64" si="3">VLOOKUP($E57,Ratio,2,FALSE)*$G57</f>
        <v>1263401510.4029026</v>
      </c>
      <c r="I57" s="1738">
        <f t="shared" ref="I57:I64" si="4">VLOOKUP($E57,Ratio,3,FALSE)*$G57</f>
        <v>0</v>
      </c>
      <c r="J57" s="1739">
        <f t="shared" ref="J57:J64" si="5">VLOOKUP($E57,Ratio,4,FALSE)*$G57</f>
        <v>0</v>
      </c>
      <c r="K57" s="24"/>
      <c r="L57" s="1757"/>
      <c r="M57" s="1758"/>
      <c r="N57" s="1758"/>
      <c r="O57" s="11"/>
    </row>
    <row r="58" spans="1:15" ht="15" customHeight="1" x14ac:dyDescent="0.25">
      <c r="A58" s="1348"/>
      <c r="B58" s="49" t="s">
        <v>89</v>
      </c>
      <c r="C58" s="184">
        <v>219</v>
      </c>
      <c r="D58" s="184">
        <v>108</v>
      </c>
      <c r="E58" s="184" t="s">
        <v>394</v>
      </c>
      <c r="F58" s="184"/>
      <c r="G58" s="1756">
        <f>VLOOKUP($B58,'RATE BASE DATA'!$C:$J,6,FALSE)</f>
        <v>0</v>
      </c>
      <c r="H58" s="1738">
        <f t="shared" si="3"/>
        <v>0</v>
      </c>
      <c r="I58" s="1738">
        <f t="shared" si="4"/>
        <v>0</v>
      </c>
      <c r="J58" s="1739">
        <f t="shared" si="5"/>
        <v>0</v>
      </c>
      <c r="K58" s="24"/>
      <c r="L58" s="1757"/>
      <c r="M58" s="1758"/>
      <c r="N58" s="1758"/>
      <c r="O58" s="11"/>
    </row>
    <row r="59" spans="1:15" ht="15" customHeight="1" x14ac:dyDescent="0.25">
      <c r="A59" s="1348"/>
      <c r="B59" s="49" t="s">
        <v>326</v>
      </c>
      <c r="C59" s="184">
        <v>219</v>
      </c>
      <c r="D59" s="184">
        <v>108</v>
      </c>
      <c r="E59" s="184" t="s">
        <v>394</v>
      </c>
      <c r="F59" s="184"/>
      <c r="G59" s="1756">
        <f>VLOOKUP($B59,'RATE BASE DATA'!$C:$J,6,FALSE)</f>
        <v>126472200.82860272</v>
      </c>
      <c r="H59" s="1738">
        <f t="shared" si="3"/>
        <v>126472200.82860272</v>
      </c>
      <c r="I59" s="1738">
        <f t="shared" si="4"/>
        <v>0</v>
      </c>
      <c r="J59" s="1739">
        <f t="shared" si="5"/>
        <v>0</v>
      </c>
      <c r="K59" s="24"/>
      <c r="L59" s="1757"/>
      <c r="M59" s="1758"/>
      <c r="N59" s="1758"/>
      <c r="O59" s="11"/>
    </row>
    <row r="60" spans="1:15" ht="15" customHeight="1" x14ac:dyDescent="0.25">
      <c r="A60" s="1348"/>
      <c r="B60" s="49" t="s">
        <v>137</v>
      </c>
      <c r="C60" s="184">
        <v>219</v>
      </c>
      <c r="D60" s="184">
        <v>108</v>
      </c>
      <c r="E60" s="184" t="s">
        <v>394</v>
      </c>
      <c r="F60" s="184"/>
      <c r="G60" s="1756">
        <f>VLOOKUP($B60,'RATE BASE DATA'!$C:$J,6,FALSE)</f>
        <v>206905995.98115754</v>
      </c>
      <c r="H60" s="1738">
        <f t="shared" si="3"/>
        <v>206905995.98115754</v>
      </c>
      <c r="I60" s="1738">
        <f t="shared" si="4"/>
        <v>0</v>
      </c>
      <c r="J60" s="1739">
        <f t="shared" si="5"/>
        <v>0</v>
      </c>
      <c r="K60" s="24"/>
      <c r="L60" s="1757"/>
      <c r="M60" s="1758"/>
      <c r="N60" s="1758"/>
      <c r="O60" s="11"/>
    </row>
    <row r="61" spans="1:15" ht="15" customHeight="1" x14ac:dyDescent="0.25">
      <c r="A61" s="1348"/>
      <c r="B61" s="49" t="s">
        <v>143</v>
      </c>
      <c r="C61" s="184">
        <v>219</v>
      </c>
      <c r="D61" s="184">
        <v>108</v>
      </c>
      <c r="E61" s="184" t="s">
        <v>393</v>
      </c>
      <c r="F61" s="184"/>
      <c r="G61" s="1756">
        <f>VLOOKUP($B61,'RATE BASE DATA'!$C:$J,6,FALSE)</f>
        <v>611998613.18887436</v>
      </c>
      <c r="H61" s="1738">
        <f t="shared" si="3"/>
        <v>0</v>
      </c>
      <c r="I61" s="1738">
        <f t="shared" si="4"/>
        <v>0</v>
      </c>
      <c r="J61" s="1739">
        <f t="shared" si="5"/>
        <v>611998613.18887436</v>
      </c>
      <c r="K61" s="24"/>
      <c r="L61" s="1757"/>
      <c r="M61" s="1758"/>
      <c r="N61" s="1758"/>
      <c r="O61" s="11"/>
    </row>
    <row r="62" spans="1:15" ht="15" customHeight="1" x14ac:dyDescent="0.25">
      <c r="A62" s="1348"/>
      <c r="B62" s="49" t="s">
        <v>470</v>
      </c>
      <c r="C62" s="184">
        <v>219</v>
      </c>
      <c r="D62" s="184">
        <v>108</v>
      </c>
      <c r="E62" s="184" t="s">
        <v>392</v>
      </c>
      <c r="F62" s="184"/>
      <c r="G62" s="1756">
        <f>VLOOKUP($B62,'RATE BASE DATA'!$C:$J,6,FALSE)</f>
        <v>1169642844.4995036</v>
      </c>
      <c r="H62" s="1738">
        <f t="shared" si="3"/>
        <v>0</v>
      </c>
      <c r="I62" s="1738">
        <f t="shared" si="4"/>
        <v>0</v>
      </c>
      <c r="J62" s="1739">
        <f t="shared" si="5"/>
        <v>1169642844.4995036</v>
      </c>
      <c r="K62" s="24"/>
      <c r="L62" s="1757"/>
      <c r="M62" s="1758"/>
      <c r="N62" s="1758"/>
      <c r="O62" s="11"/>
    </row>
    <row r="63" spans="1:15" ht="15" customHeight="1" x14ac:dyDescent="0.25">
      <c r="A63" s="1348"/>
      <c r="B63" s="49" t="s">
        <v>92</v>
      </c>
      <c r="C63" s="184">
        <v>219</v>
      </c>
      <c r="D63" s="184">
        <v>108</v>
      </c>
      <c r="E63" s="184" t="s">
        <v>91</v>
      </c>
      <c r="F63" s="184"/>
      <c r="G63" s="1756">
        <f>VLOOKUP($B63,'RATE BASE DATA'!$C:$J,6,FALSE)</f>
        <v>166128934.09438846</v>
      </c>
      <c r="H63" s="1738">
        <f t="shared" si="3"/>
        <v>53258997.375955403</v>
      </c>
      <c r="I63" s="1738">
        <f t="shared" si="4"/>
        <v>0</v>
      </c>
      <c r="J63" s="1739">
        <f t="shared" si="5"/>
        <v>112869936.71843307</v>
      </c>
      <c r="K63" s="24"/>
      <c r="L63" s="1757"/>
      <c r="M63" s="1758"/>
      <c r="N63" s="1758"/>
      <c r="O63" s="11"/>
    </row>
    <row r="64" spans="1:15" ht="15" customHeight="1" x14ac:dyDescent="0.25">
      <c r="A64" s="1348"/>
      <c r="B64" s="49" t="s">
        <v>370</v>
      </c>
      <c r="C64" s="184">
        <v>219</v>
      </c>
      <c r="D64" s="184">
        <v>111</v>
      </c>
      <c r="E64" s="184" t="s">
        <v>392</v>
      </c>
      <c r="F64" s="286" t="s">
        <v>97</v>
      </c>
      <c r="G64" s="1756">
        <f>VLOOKUP($B64,'RATE BASE DATA'!$C:$J,6,FALSE)</f>
        <v>0</v>
      </c>
      <c r="H64" s="1738">
        <f t="shared" si="3"/>
        <v>0</v>
      </c>
      <c r="I64" s="1738">
        <f t="shared" si="4"/>
        <v>0</v>
      </c>
      <c r="J64" s="1739">
        <f t="shared" si="5"/>
        <v>0</v>
      </c>
      <c r="K64" s="24"/>
      <c r="L64" s="1757"/>
      <c r="M64" s="1758"/>
      <c r="N64" s="1758"/>
      <c r="O64" s="11"/>
    </row>
    <row r="65" spans="1:15" ht="15" customHeight="1" x14ac:dyDescent="0.25">
      <c r="A65" s="1348"/>
      <c r="B65" s="49" t="s">
        <v>371</v>
      </c>
      <c r="C65" s="184">
        <v>219</v>
      </c>
      <c r="D65" s="184">
        <v>111</v>
      </c>
      <c r="E65" s="184" t="s">
        <v>90</v>
      </c>
      <c r="F65" s="286" t="s">
        <v>99</v>
      </c>
      <c r="G65" s="1756">
        <f>VLOOKUP($B65,'RATE BASE DATA'!$C:$J,6,FALSE)</f>
        <v>22968258.575880747</v>
      </c>
      <c r="H65" s="1738">
        <f>IF($E65="DIRECT",$L65,VLOOKUP($E65,Ratio,2,FALSE)*$G65)</f>
        <v>22968258.575880747</v>
      </c>
      <c r="I65" s="1738">
        <f>IF($E65="DIRECT",$M65,VLOOKUP($E65,Ratio,3,FALSE)*$G65)</f>
        <v>0</v>
      </c>
      <c r="J65" s="1739">
        <f>IF($E65="DIRECT",$N65,VLOOKUP($E65,Ratio,4,FALSE)*$G65)</f>
        <v>0</v>
      </c>
      <c r="K65" s="24"/>
      <c r="L65" s="1756">
        <f>$G$65*H17/$G$17</f>
        <v>22968258.575880747</v>
      </c>
      <c r="M65" s="1756">
        <v>0</v>
      </c>
      <c r="N65" s="1756">
        <v>0</v>
      </c>
      <c r="O65" s="11"/>
    </row>
    <row r="66" spans="1:15" ht="15" customHeight="1" x14ac:dyDescent="0.25">
      <c r="A66" s="1348"/>
      <c r="B66" s="49" t="s">
        <v>399</v>
      </c>
      <c r="C66" s="184">
        <v>219</v>
      </c>
      <c r="D66" s="184">
        <v>111</v>
      </c>
      <c r="E66" s="184" t="s">
        <v>90</v>
      </c>
      <c r="F66" s="286" t="s">
        <v>392</v>
      </c>
      <c r="G66" s="1756">
        <f>VLOOKUP($B66,'RATE BASE DATA'!$C:$J,6,FALSE)</f>
        <v>193308206.81975657</v>
      </c>
      <c r="H66" s="1738">
        <f>IF($E66="DIRECT",$L66,VLOOKUP($E66,Ratio,2,FALSE)*$G66)</f>
        <v>64174237.134052768</v>
      </c>
      <c r="I66" s="1738">
        <f>IF($E66="DIRECT",$M66,VLOOKUP($E66,Ratio,3,FALSE)*$G66)</f>
        <v>0</v>
      </c>
      <c r="J66" s="1739">
        <f>IF($E66="DIRECT",$N66,VLOOKUP($E66,Ratio,4,FALSE)*$G66)</f>
        <v>129133969.6857038</v>
      </c>
      <c r="K66" s="24"/>
      <c r="L66" s="1756">
        <f>$G$66*H18/$G$18</f>
        <v>64174237.134052768</v>
      </c>
      <c r="M66" s="1756">
        <f>$G$66*I18/$G$18</f>
        <v>0</v>
      </c>
      <c r="N66" s="1756">
        <f>$G$66*J18/$G$18</f>
        <v>129133969.6857038</v>
      </c>
      <c r="O66" s="11"/>
    </row>
    <row r="67" spans="1:15" ht="15" customHeight="1" x14ac:dyDescent="0.25">
      <c r="A67" s="1348"/>
      <c r="B67" s="49" t="s">
        <v>253</v>
      </c>
      <c r="C67" s="184">
        <v>219</v>
      </c>
      <c r="D67" s="184">
        <v>108</v>
      </c>
      <c r="E67" s="184" t="s">
        <v>394</v>
      </c>
      <c r="F67" s="184"/>
      <c r="G67" s="1756">
        <f>VLOOKUP($B67,'RATE BASE DATA'!$C:$J,6,FALSE)</f>
        <v>0</v>
      </c>
      <c r="H67" s="1738">
        <f>VLOOKUP($E67,Ratio,2,FALSE)*$G67</f>
        <v>0</v>
      </c>
      <c r="I67" s="1738">
        <f>VLOOKUP($E67,Ratio,3,FALSE)*$G67</f>
        <v>0</v>
      </c>
      <c r="J67" s="1739">
        <f>VLOOKUP($E67,Ratio,4,FALSE)*$G67</f>
        <v>0</v>
      </c>
      <c r="K67" s="24"/>
      <c r="L67" s="1757"/>
      <c r="M67" s="1758"/>
      <c r="N67" s="1758"/>
      <c r="O67" s="11"/>
    </row>
    <row r="68" spans="1:15" ht="15" customHeight="1" x14ac:dyDescent="0.25">
      <c r="A68" s="1348"/>
      <c r="B68" s="49" t="s">
        <v>28</v>
      </c>
      <c r="C68" s="184">
        <v>219</v>
      </c>
      <c r="D68" s="184">
        <v>111</v>
      </c>
      <c r="E68" s="184" t="s">
        <v>392</v>
      </c>
      <c r="F68" s="184"/>
      <c r="G68" s="1756">
        <f>VLOOKUP($B68,'RATE BASE DATA'!$C:$J,6,FALSE)</f>
        <v>0</v>
      </c>
      <c r="H68" s="1738">
        <f>VLOOKUP($E68,Ratio,2,FALSE)*$G68</f>
        <v>0</v>
      </c>
      <c r="I68" s="1738">
        <f>VLOOKUP($E68,Ratio,3,FALSE)*$G68</f>
        <v>0</v>
      </c>
      <c r="J68" s="1739">
        <f>VLOOKUP($E68,Ratio,4,FALSE)*$G68</f>
        <v>0</v>
      </c>
      <c r="K68" s="24"/>
      <c r="L68" s="1757"/>
      <c r="M68" s="1758"/>
      <c r="N68" s="1758"/>
      <c r="O68" s="11"/>
    </row>
    <row r="69" spans="1:15" ht="15" customHeight="1" x14ac:dyDescent="0.25">
      <c r="A69" s="1348"/>
      <c r="B69" s="49" t="s">
        <v>29</v>
      </c>
      <c r="C69" s="184">
        <v>219</v>
      </c>
      <c r="D69" s="184">
        <v>108</v>
      </c>
      <c r="E69" s="184" t="s">
        <v>90</v>
      </c>
      <c r="F69" s="286" t="s">
        <v>99</v>
      </c>
      <c r="G69" s="1756">
        <f>VLOOKUP($B69,'RATE BASE DATA'!$C:$J,6,FALSE)</f>
        <v>0</v>
      </c>
      <c r="H69" s="1738">
        <f>IF($E69="DIRECT",$L69,VLOOKUP($E69,Ratio,2,FALSE)*$G69)</f>
        <v>0</v>
      </c>
      <c r="I69" s="1738">
        <f>IF($E69="DIRECT",$M69,VLOOKUP($E69,Ratio,3,FALSE)*$G69)</f>
        <v>0</v>
      </c>
      <c r="J69" s="1739">
        <f>IF($E69="DIRECT",$N69,VLOOKUP($E69,Ratio,4,FALSE)*$G69)</f>
        <v>0</v>
      </c>
      <c r="K69" s="24"/>
      <c r="L69" s="1756"/>
      <c r="M69" s="1756"/>
      <c r="N69" s="1756"/>
      <c r="O69" s="11"/>
    </row>
    <row r="70" spans="1:15" ht="15" customHeight="1" x14ac:dyDescent="0.25">
      <c r="A70" s="1348"/>
      <c r="B70" s="49" t="s">
        <v>162</v>
      </c>
      <c r="C70" s="184" t="s">
        <v>69</v>
      </c>
      <c r="D70" s="184">
        <v>108</v>
      </c>
      <c r="E70" s="184" t="s">
        <v>90</v>
      </c>
      <c r="F70" s="184" t="s">
        <v>392</v>
      </c>
      <c r="G70" s="1756">
        <f>VLOOKUP($B70,'RATE BASE DATA'!$C:$J,6,FALSE)</f>
        <v>0</v>
      </c>
      <c r="H70" s="1738">
        <f>IF($E70="DIRECT",$L70,VLOOKUP($E70,Ratio,2,FALSE)*$G70)</f>
        <v>0</v>
      </c>
      <c r="I70" s="1738">
        <f>IF($E70="DIRECT",$M70,VLOOKUP($E70,Ratio,3,FALSE)*$G70)</f>
        <v>0</v>
      </c>
      <c r="J70" s="1739">
        <f>IF($E70="DIRECT",$N70,VLOOKUP($E70,Ratio,4,FALSE)*$G70)</f>
        <v>0</v>
      </c>
      <c r="K70" s="24"/>
      <c r="L70" s="1756"/>
      <c r="M70" s="1756"/>
      <c r="N70" s="1756"/>
      <c r="O70" s="11"/>
    </row>
    <row r="71" spans="1:15" ht="15" customHeight="1" x14ac:dyDescent="0.25">
      <c r="A71" s="1348"/>
      <c r="B71" s="49" t="s">
        <v>400</v>
      </c>
      <c r="C71" s="184" t="s">
        <v>69</v>
      </c>
      <c r="D71" s="184">
        <v>108</v>
      </c>
      <c r="E71" s="184" t="s">
        <v>90</v>
      </c>
      <c r="F71" s="286" t="s">
        <v>99</v>
      </c>
      <c r="G71" s="1756">
        <f>VLOOKUP($B71,'RATE BASE DATA'!$C:$J,6,FALSE)</f>
        <v>0</v>
      </c>
      <c r="H71" s="1738">
        <f>IF($E71="DIRECT",$L71,VLOOKUP($E71,Ratio,2,FALSE)*$G71)</f>
        <v>0</v>
      </c>
      <c r="I71" s="1738">
        <f>IF($E71="DIRECT",$M71,VLOOKUP($E71,Ratio,3,FALSE)*$G71)</f>
        <v>0</v>
      </c>
      <c r="J71" s="1739">
        <f>IF($E71="DIRECT",$N71,VLOOKUP($E71,Ratio,4,FALSE)*$G71)</f>
        <v>0</v>
      </c>
      <c r="K71" s="24"/>
      <c r="L71" s="1756"/>
      <c r="M71" s="1756"/>
      <c r="N71" s="1756"/>
      <c r="O71" s="11"/>
    </row>
    <row r="72" spans="1:15" ht="15" customHeight="1" x14ac:dyDescent="0.25">
      <c r="A72" s="1348"/>
      <c r="B72" s="49" t="s">
        <v>401</v>
      </c>
      <c r="C72" s="184" t="s">
        <v>69</v>
      </c>
      <c r="D72" s="184">
        <v>108</v>
      </c>
      <c r="E72" s="184" t="s">
        <v>90</v>
      </c>
      <c r="F72" s="184" t="s">
        <v>392</v>
      </c>
      <c r="G72" s="1756">
        <f>VLOOKUP($B72,'RATE BASE DATA'!$C:$J,6,FALSE)</f>
        <v>7150350.1546769449</v>
      </c>
      <c r="H72" s="1738">
        <f>IF($E72="DIRECT",$L72,VLOOKUP($E72,Ratio,2,FALSE)*$G72)</f>
        <v>3088734.0528347823</v>
      </c>
      <c r="I72" s="1738">
        <f>IF($E72="DIRECT",$M72,VLOOKUP($E72,Ratio,3,FALSE)*$G72)</f>
        <v>0</v>
      </c>
      <c r="J72" s="1739">
        <f>IF($E72="DIRECT",$N72,VLOOKUP($E72,Ratio,4,FALSE)*$G72)</f>
        <v>4061616.1018421636</v>
      </c>
      <c r="K72" s="24"/>
      <c r="L72" s="1756">
        <f>$G$72*H19/$G$19</f>
        <v>3088734.0528347823</v>
      </c>
      <c r="M72" s="1756">
        <f t="shared" ref="M72:N72" si="6">$G$72*I19/$G$19</f>
        <v>0</v>
      </c>
      <c r="N72" s="1756">
        <f t="shared" si="6"/>
        <v>4061616.1018421636</v>
      </c>
      <c r="O72" s="11"/>
    </row>
    <row r="73" spans="1:15" ht="15" customHeight="1" x14ac:dyDescent="0.25">
      <c r="A73" s="1348"/>
      <c r="B73" s="49" t="s">
        <v>547</v>
      </c>
      <c r="C73" s="184" t="s">
        <v>69</v>
      </c>
      <c r="D73" s="184">
        <v>115</v>
      </c>
      <c r="E73" s="184" t="s">
        <v>90</v>
      </c>
      <c r="F73" s="184" t="s">
        <v>392</v>
      </c>
      <c r="G73" s="1756">
        <f>VLOOKUP($B73,'RATE BASE DATA'!$C:$J,6,FALSE)</f>
        <v>38487193.000937663</v>
      </c>
      <c r="H73" s="1738">
        <f>IF($E73="DIRECT",$L73,VLOOKUP($E73,Ratio,2,FALSE)*$G73)</f>
        <v>38487193</v>
      </c>
      <c r="I73" s="1738">
        <f>IF($E73="DIRECT",$M73,VLOOKUP($E73,Ratio,3,FALSE)*$G73)</f>
        <v>0</v>
      </c>
      <c r="J73" s="1739">
        <f>IF($E73="DIRECT",$N73,VLOOKUP($E73,Ratio,4,FALSE)*$G73)</f>
        <v>0</v>
      </c>
      <c r="K73" s="24"/>
      <c r="L73" s="1756">
        <f>ROUND((-'B15-Misc Rate Base'!T238*1000),0)</f>
        <v>38487193</v>
      </c>
      <c r="M73" s="1756">
        <f>-'B15-Misc Rate Base'!U238*1000</f>
        <v>0</v>
      </c>
      <c r="N73" s="1756">
        <f>-'B15-Misc Rate Base'!V238*1000</f>
        <v>0</v>
      </c>
      <c r="O73" s="11"/>
    </row>
    <row r="74" spans="1:15" ht="15" customHeight="1" x14ac:dyDescent="0.25">
      <c r="A74" s="1348"/>
      <c r="B74" s="49"/>
      <c r="C74" s="48"/>
      <c r="D74" s="48"/>
      <c r="E74" s="48"/>
      <c r="F74" s="48"/>
      <c r="G74" s="379"/>
      <c r="H74" s="337"/>
      <c r="I74" s="337"/>
      <c r="J74" s="1354"/>
      <c r="K74" s="24"/>
      <c r="L74" s="1757"/>
      <c r="M74" s="1758"/>
      <c r="N74" s="1758"/>
      <c r="O74" s="11"/>
    </row>
    <row r="75" spans="1:15" ht="15" customHeight="1" x14ac:dyDescent="0.25">
      <c r="A75" s="1341" t="s">
        <v>211</v>
      </c>
      <c r="B75" s="49"/>
      <c r="C75" s="184"/>
      <c r="D75" s="184"/>
      <c r="E75" s="184" t="s">
        <v>90</v>
      </c>
      <c r="F75" s="184"/>
      <c r="G75" s="1756">
        <v>0</v>
      </c>
      <c r="H75" s="1738">
        <f>IF($E75="DIRECT",$L75,VLOOKUP($E75,Ratio,2,FALSE)*$G75)</f>
        <v>0</v>
      </c>
      <c r="I75" s="1738">
        <f>IF($E75="DIRECT",$M75,VLOOKUP($E75,Ratio,3,FALSE)*$G75)</f>
        <v>0</v>
      </c>
      <c r="J75" s="1739">
        <f>IF($E75="DIRECT",$N75,VLOOKUP($E75,Ratio,4,FALSE)*$G75)</f>
        <v>0</v>
      </c>
      <c r="K75" s="24"/>
      <c r="L75" s="1756"/>
      <c r="M75" s="1756"/>
      <c r="N75" s="1756"/>
      <c r="O75" s="11"/>
    </row>
    <row r="76" spans="1:15" ht="15" customHeight="1" x14ac:dyDescent="0.25">
      <c r="A76" s="1358"/>
      <c r="B76" s="49"/>
      <c r="C76" s="48"/>
      <c r="D76" s="48"/>
      <c r="E76" s="48"/>
      <c r="F76" s="48"/>
      <c r="G76" s="377"/>
      <c r="H76" s="337"/>
      <c r="I76" s="337"/>
      <c r="J76" s="1354"/>
      <c r="K76" s="24"/>
      <c r="L76" s="1757"/>
      <c r="M76" s="1758"/>
      <c r="N76" s="1758"/>
      <c r="O76" s="11"/>
    </row>
    <row r="77" spans="1:15" ht="15" customHeight="1" x14ac:dyDescent="0.25">
      <c r="A77" s="1350" t="s">
        <v>223</v>
      </c>
      <c r="B77" s="33"/>
      <c r="C77" s="1853"/>
      <c r="D77" s="1847"/>
      <c r="E77" s="1847"/>
      <c r="F77" s="1848"/>
      <c r="G77" s="1781">
        <f>SUM(G57:G75)</f>
        <v>3806464107.5466809</v>
      </c>
      <c r="H77" s="495">
        <f>SUM(H57:H75)</f>
        <v>1778757127.3513865</v>
      </c>
      <c r="I77" s="495">
        <f>SUM(I57:I75)</f>
        <v>0</v>
      </c>
      <c r="J77" s="1365">
        <f>SUM(J57:J75)</f>
        <v>2027706980.1943569</v>
      </c>
      <c r="K77" s="24"/>
      <c r="L77" s="1757"/>
      <c r="M77" s="1758"/>
      <c r="N77" s="1758"/>
      <c r="O77" s="11"/>
    </row>
    <row r="78" spans="1:15" ht="15" customHeight="1" x14ac:dyDescent="0.25">
      <c r="A78" s="1358"/>
      <c r="B78" s="60"/>
      <c r="C78" s="48"/>
      <c r="D78" s="48"/>
      <c r="E78" s="48"/>
      <c r="F78" s="48"/>
      <c r="G78" s="377"/>
      <c r="H78" s="142"/>
      <c r="I78" s="142"/>
      <c r="J78" s="1347"/>
      <c r="K78" s="24"/>
      <c r="L78" s="1757"/>
      <c r="M78" s="1758"/>
      <c r="N78" s="1758"/>
      <c r="O78" s="11"/>
    </row>
    <row r="79" spans="1:15" ht="15" customHeight="1" x14ac:dyDescent="0.25">
      <c r="A79" s="1350" t="s">
        <v>475</v>
      </c>
      <c r="B79" s="32"/>
      <c r="C79" s="1853"/>
      <c r="D79" s="1847"/>
      <c r="E79" s="1847"/>
      <c r="F79" s="1848"/>
      <c r="G79" s="1781">
        <f>G52-G77</f>
        <v>5643576798.7667961</v>
      </c>
      <c r="H79" s="495">
        <f>H52-H77</f>
        <v>2269751680.6801558</v>
      </c>
      <c r="I79" s="495">
        <f>I52-I77</f>
        <v>0</v>
      </c>
      <c r="J79" s="1365">
        <f>J52-J77</f>
        <v>3373825118.0875778</v>
      </c>
      <c r="K79" s="24"/>
      <c r="L79" s="1757"/>
      <c r="M79" s="1758"/>
      <c r="N79" s="1758"/>
      <c r="O79" s="11"/>
    </row>
    <row r="80" spans="1:15" ht="15" customHeight="1" x14ac:dyDescent="0.25">
      <c r="A80" s="1356" t="s">
        <v>84</v>
      </c>
      <c r="B80" s="32"/>
      <c r="C80" s="34"/>
      <c r="D80" s="34"/>
      <c r="E80" s="1854"/>
      <c r="F80" s="1854"/>
      <c r="G80" s="377"/>
      <c r="H80" s="142"/>
      <c r="I80" s="142"/>
      <c r="J80" s="1352"/>
      <c r="K80" s="24"/>
      <c r="L80" s="1757"/>
      <c r="M80" s="1758"/>
      <c r="N80" s="1758"/>
      <c r="O80" s="11"/>
    </row>
    <row r="81" spans="1:15" ht="15" customHeight="1" thickBot="1" x14ac:dyDescent="0.3">
      <c r="A81" s="1359"/>
      <c r="B81" s="173"/>
      <c r="C81" s="193"/>
      <c r="D81" s="193"/>
      <c r="E81" s="1855"/>
      <c r="F81" s="1855"/>
      <c r="G81" s="1786"/>
      <c r="H81" s="380"/>
      <c r="I81" s="380"/>
      <c r="J81" s="1360"/>
      <c r="K81" s="24"/>
      <c r="L81" s="1757"/>
      <c r="M81" s="1758"/>
      <c r="N81" s="1758"/>
      <c r="O81" s="11"/>
    </row>
    <row r="82" spans="1:15" ht="15" customHeight="1" thickTop="1" x14ac:dyDescent="0.25">
      <c r="A82" s="1361" t="s">
        <v>76</v>
      </c>
      <c r="B82" s="32"/>
      <c r="C82" s="34"/>
      <c r="D82" s="34"/>
      <c r="E82" s="1854"/>
      <c r="F82" s="1854"/>
      <c r="G82" s="377"/>
      <c r="H82" s="142"/>
      <c r="I82" s="142"/>
      <c r="J82" s="1352"/>
      <c r="K82" s="24"/>
      <c r="L82" s="1757"/>
      <c r="M82" s="1758"/>
      <c r="N82" s="1758"/>
      <c r="O82" s="11"/>
    </row>
    <row r="83" spans="1:15" ht="9.9499999999999993" customHeight="1" x14ac:dyDescent="0.25">
      <c r="A83" s="1362"/>
      <c r="B83" s="32"/>
      <c r="C83" s="34"/>
      <c r="D83" s="34"/>
      <c r="E83" s="1854"/>
      <c r="F83" s="1854"/>
      <c r="G83" s="377"/>
      <c r="H83" s="142"/>
      <c r="I83" s="142"/>
      <c r="J83" s="1352"/>
      <c r="K83" s="24"/>
      <c r="L83" s="1757"/>
      <c r="M83" s="1758"/>
      <c r="N83" s="1758"/>
      <c r="O83" s="11"/>
    </row>
    <row r="84" spans="1:15" ht="15" customHeight="1" x14ac:dyDescent="0.25">
      <c r="A84" s="1363" t="s">
        <v>144</v>
      </c>
      <c r="B84" s="77"/>
      <c r="C84" s="3623" t="s">
        <v>229</v>
      </c>
      <c r="D84" s="3624"/>
      <c r="E84" s="3624"/>
      <c r="F84" s="3625"/>
      <c r="G84" s="1787">
        <f>'Sch 1A - Cash Working Capital'!C24</f>
        <v>181575345.50577956</v>
      </c>
      <c r="H84" s="1747">
        <f>'Sch 1A - Cash Working Capital'!D24</f>
        <v>87836042.04533717</v>
      </c>
      <c r="I84" s="1748">
        <f>'Sch 1A - Cash Working Capital'!E24</f>
        <v>0</v>
      </c>
      <c r="J84" s="1749">
        <f>'Sch 1A - Cash Working Capital'!F24</f>
        <v>93738919.557447508</v>
      </c>
      <c r="K84" s="24"/>
      <c r="L84" s="1757"/>
      <c r="M84" s="1758"/>
      <c r="N84" s="1758"/>
      <c r="O84" s="11"/>
    </row>
    <row r="85" spans="1:15" ht="9.9499999999999993" customHeight="1" x14ac:dyDescent="0.25">
      <c r="A85" s="1348"/>
      <c r="B85" s="46"/>
      <c r="C85" s="48"/>
      <c r="D85" s="48"/>
      <c r="E85" s="48"/>
      <c r="F85" s="48"/>
      <c r="G85" s="378"/>
      <c r="H85" s="1750"/>
      <c r="I85" s="1750"/>
      <c r="J85" s="1751"/>
      <c r="K85" s="24"/>
      <c r="L85" s="1757"/>
      <c r="M85" s="1758"/>
      <c r="N85" s="1758"/>
      <c r="O85" s="11"/>
    </row>
    <row r="86" spans="1:15" ht="15" customHeight="1" x14ac:dyDescent="0.25">
      <c r="A86" s="1364" t="s">
        <v>274</v>
      </c>
      <c r="B86" s="79"/>
      <c r="C86" s="80"/>
      <c r="D86" s="48"/>
      <c r="E86" s="48"/>
      <c r="F86" s="48"/>
      <c r="G86" s="379"/>
      <c r="H86" s="337"/>
      <c r="I86" s="337"/>
      <c r="J86" s="1354"/>
      <c r="K86" s="25"/>
      <c r="L86" s="1757"/>
      <c r="M86" s="1758"/>
      <c r="N86" s="1758"/>
      <c r="O86" s="11"/>
    </row>
    <row r="87" spans="1:15" ht="15" customHeight="1" x14ac:dyDescent="0.25">
      <c r="A87" s="1348"/>
      <c r="B87" s="46" t="s">
        <v>433</v>
      </c>
      <c r="C87" s="184" t="s">
        <v>69</v>
      </c>
      <c r="D87" s="184">
        <v>105</v>
      </c>
      <c r="E87" s="184" t="s">
        <v>392</v>
      </c>
      <c r="F87" s="184"/>
      <c r="G87" s="1756">
        <f>VLOOKUP($B87,'RATE BASE DATA'!$C:$J,6,FALSE)</f>
        <v>7465839.1436980143</v>
      </c>
      <c r="H87" s="1738">
        <f>VLOOKUP($E87,Ratio,2,FALSE)*$G87</f>
        <v>0</v>
      </c>
      <c r="I87" s="1738">
        <f>VLOOKUP($E87,Ratio,3,FALSE)*$G87</f>
        <v>0</v>
      </c>
      <c r="J87" s="1739">
        <f>VLOOKUP($E87,Ratio,4,FALSE)*$G87</f>
        <v>7465839.1436980143</v>
      </c>
      <c r="K87" s="25"/>
      <c r="L87" s="1757"/>
      <c r="M87" s="1758"/>
      <c r="N87" s="1758"/>
      <c r="O87" s="11"/>
    </row>
    <row r="88" spans="1:15" ht="15" customHeight="1" x14ac:dyDescent="0.25">
      <c r="A88" s="1348"/>
      <c r="B88" s="46" t="s">
        <v>77</v>
      </c>
      <c r="C88" s="184" t="s">
        <v>69</v>
      </c>
      <c r="D88" s="184">
        <v>106</v>
      </c>
      <c r="E88" s="300" t="s">
        <v>99</v>
      </c>
      <c r="F88" s="184"/>
      <c r="G88" s="1756">
        <f>VLOOKUP($B88,'RATE BASE DATA'!$C:$J,6,FALSE)</f>
        <v>153194154.37356064</v>
      </c>
      <c r="H88" s="1738">
        <f>VLOOKUP($E88,Ratio,2,FALSE)*$G88</f>
        <v>67435476.007320225</v>
      </c>
      <c r="I88" s="1738">
        <f>VLOOKUP($E88,Ratio,3,FALSE)*$G88</f>
        <v>0</v>
      </c>
      <c r="J88" s="1739">
        <f>VLOOKUP($E88,Ratio,4,FALSE)*$G88</f>
        <v>85758678.366240397</v>
      </c>
      <c r="K88" s="25"/>
      <c r="L88" s="1757"/>
      <c r="M88" s="1758"/>
      <c r="N88" s="1758"/>
      <c r="O88" s="11"/>
    </row>
    <row r="89" spans="1:15" ht="15" customHeight="1" x14ac:dyDescent="0.25">
      <c r="A89" s="1348"/>
      <c r="B89" s="33" t="s">
        <v>476</v>
      </c>
      <c r="C89" s="184" t="s">
        <v>72</v>
      </c>
      <c r="D89" s="184" t="s">
        <v>257</v>
      </c>
      <c r="E89" s="184" t="s">
        <v>394</v>
      </c>
      <c r="F89" s="184"/>
      <c r="G89" s="1756">
        <f>VLOOKUP($B89,'RATE BASE DATA'!$C:$J,6,FALSE)</f>
        <v>0</v>
      </c>
      <c r="H89" s="1738">
        <f>VLOOKUP($E89,Ratio,2,FALSE)*$G89</f>
        <v>0</v>
      </c>
      <c r="I89" s="1738">
        <f>VLOOKUP($E89,Ratio,3,FALSE)*$G89</f>
        <v>0</v>
      </c>
      <c r="J89" s="1739">
        <f>VLOOKUP($E89,Ratio,4,FALSE)*$G89</f>
        <v>0</v>
      </c>
      <c r="K89" s="24"/>
      <c r="L89" s="1757"/>
      <c r="M89" s="1758"/>
      <c r="N89" s="1758"/>
      <c r="O89" s="11"/>
    </row>
    <row r="90" spans="1:15" ht="15" customHeight="1" x14ac:dyDescent="0.25">
      <c r="A90" s="1348"/>
      <c r="B90" s="46" t="s">
        <v>80</v>
      </c>
      <c r="C90" s="184" t="s">
        <v>69</v>
      </c>
      <c r="D90" s="184" t="s">
        <v>258</v>
      </c>
      <c r="E90" s="184" t="s">
        <v>392</v>
      </c>
      <c r="F90" s="184"/>
      <c r="G90" s="1756">
        <f>VLOOKUP($B90,'RATE BASE DATA'!$C:$J,6,FALSE)</f>
        <v>1278789896.6357574</v>
      </c>
      <c r="H90" s="1738">
        <f>VLOOKUP($E90,Ratio,2,FALSE)*$G90</f>
        <v>0</v>
      </c>
      <c r="I90" s="1738">
        <f>VLOOKUP($E90,Ratio,3,FALSE)*$G90</f>
        <v>0</v>
      </c>
      <c r="J90" s="1739">
        <f>VLOOKUP($E90,Ratio,4,FALSE)*$G90</f>
        <v>1278789896.6357574</v>
      </c>
      <c r="K90" s="25"/>
      <c r="L90" s="1757"/>
      <c r="M90" s="1758"/>
      <c r="N90" s="1758"/>
      <c r="O90" s="11"/>
    </row>
    <row r="91" spans="1:15" ht="15" customHeight="1" x14ac:dyDescent="0.25">
      <c r="A91" s="1348"/>
      <c r="B91" s="46" t="s">
        <v>224</v>
      </c>
      <c r="C91" s="184">
        <v>356</v>
      </c>
      <c r="D91" s="184"/>
      <c r="E91" s="184" t="s">
        <v>90</v>
      </c>
      <c r="F91" s="184"/>
      <c r="G91" s="1756">
        <f>VLOOKUP($B91,'RATE BASE DATA'!$C:$J,6,FALSE)</f>
        <v>0</v>
      </c>
      <c r="H91" s="1738">
        <f>IF($E91="DIRECT",$L91,VLOOKUP($E91,Ratio,2,FALSE)*$G91)</f>
        <v>0</v>
      </c>
      <c r="I91" s="1738">
        <f>IF($E91="DIRECT",$M91,VLOOKUP($E91,Ratio,3,FALSE)*$G91)</f>
        <v>0</v>
      </c>
      <c r="J91" s="1739">
        <f>IF($E91="DIRECT",$N91,VLOOKUP($E91,Ratio,4,FALSE)*$G91)</f>
        <v>0</v>
      </c>
      <c r="K91" s="25"/>
      <c r="L91" s="1756"/>
      <c r="M91" s="1756"/>
      <c r="N91" s="1756"/>
      <c r="O91" s="11"/>
    </row>
    <row r="92" spans="1:15" ht="15" customHeight="1" x14ac:dyDescent="0.25">
      <c r="A92" s="1348"/>
      <c r="B92" s="46" t="s">
        <v>71</v>
      </c>
      <c r="C92" s="184" t="s">
        <v>69</v>
      </c>
      <c r="D92" s="184">
        <v>114</v>
      </c>
      <c r="E92" s="184" t="s">
        <v>90</v>
      </c>
      <c r="F92" s="184" t="s">
        <v>392</v>
      </c>
      <c r="G92" s="1756">
        <f>VLOOKUP($B92,'RATE BASE DATA'!$C:$J,6,FALSE)</f>
        <v>39206135.496024787</v>
      </c>
      <c r="H92" s="1738">
        <f>IF($E92="DIRECT",$L92,VLOOKUP($E92,Ratio,2,FALSE)*$G92)</f>
        <v>39206135</v>
      </c>
      <c r="I92" s="1738">
        <f>IF($E92="DIRECT",$M92,VLOOKUP($E92,Ratio,3,FALSE)*$G92)</f>
        <v>0</v>
      </c>
      <c r="J92" s="1739">
        <f>IF($E92="DIRECT",$N92,VLOOKUP($E92,Ratio,4,FALSE)*$G92)</f>
        <v>0</v>
      </c>
      <c r="K92" s="25"/>
      <c r="L92" s="1756">
        <f>ROUND(('B15-Misc Rate Base'!T231*1000),0)</f>
        <v>39206135</v>
      </c>
      <c r="M92" s="1756">
        <f>'B15-Misc Rate Base'!U231*1000</f>
        <v>0</v>
      </c>
      <c r="N92" s="1756">
        <f>'B15-Misc Rate Base'!V231*1000</f>
        <v>0</v>
      </c>
      <c r="O92" s="11"/>
    </row>
    <row r="93" spans="1:15" ht="15" customHeight="1" x14ac:dyDescent="0.25">
      <c r="A93" s="1348"/>
      <c r="B93" s="76" t="s">
        <v>104</v>
      </c>
      <c r="C93" s="1853"/>
      <c r="D93" s="1847"/>
      <c r="E93" s="1847"/>
      <c r="F93" s="1848"/>
      <c r="G93" s="1781">
        <f>SUM(G87:G92)</f>
        <v>1478656025.6490409</v>
      </c>
      <c r="H93" s="495">
        <f>SUM(H87:H92)</f>
        <v>106641611.00732023</v>
      </c>
      <c r="I93" s="495">
        <f>SUM(I87:I92)</f>
        <v>0</v>
      </c>
      <c r="J93" s="1365">
        <f>SUM(J87:J92)</f>
        <v>1372014414.1456959</v>
      </c>
      <c r="K93" s="25"/>
      <c r="L93" s="1757"/>
      <c r="M93" s="1758"/>
      <c r="N93" s="1758"/>
      <c r="O93" s="11"/>
    </row>
    <row r="94" spans="1:15" ht="9.9499999999999993" customHeight="1" x14ac:dyDescent="0.25">
      <c r="A94" s="1348"/>
      <c r="B94" s="76"/>
      <c r="C94" s="74"/>
      <c r="D94" s="74"/>
      <c r="E94" s="74"/>
      <c r="F94" s="74"/>
      <c r="G94" s="928"/>
      <c r="H94" s="334"/>
      <c r="I94" s="334"/>
      <c r="J94" s="1366"/>
      <c r="K94" s="25"/>
      <c r="L94" s="1757"/>
      <c r="M94" s="1758"/>
      <c r="N94" s="1758"/>
      <c r="O94" s="11"/>
    </row>
    <row r="95" spans="1:15" ht="15" customHeight="1" x14ac:dyDescent="0.25">
      <c r="A95" s="1367" t="s">
        <v>275</v>
      </c>
      <c r="B95" s="79"/>
      <c r="C95" s="80"/>
      <c r="D95" s="48"/>
      <c r="E95" s="48"/>
      <c r="F95" s="48"/>
      <c r="G95" s="335"/>
      <c r="H95" s="1752"/>
      <c r="I95" s="1752"/>
      <c r="J95" s="1753"/>
      <c r="K95" s="25"/>
      <c r="L95" s="1757"/>
      <c r="M95" s="1758"/>
      <c r="N95" s="1758"/>
      <c r="O95" s="11"/>
    </row>
    <row r="96" spans="1:15" ht="15" customHeight="1" x14ac:dyDescent="0.25">
      <c r="A96" s="1348"/>
      <c r="B96" s="49" t="s">
        <v>444</v>
      </c>
      <c r="C96" s="184" t="s">
        <v>78</v>
      </c>
      <c r="D96" s="184">
        <v>123</v>
      </c>
      <c r="E96" s="184" t="s">
        <v>90</v>
      </c>
      <c r="F96" s="184" t="s">
        <v>392</v>
      </c>
      <c r="G96" s="1756">
        <f>VLOOKUP($B96,'RATE BASE DATA'!$C:$J,6,FALSE)</f>
        <v>42443961.756252475</v>
      </c>
      <c r="H96" s="1738">
        <f>IF($E96="DIRECT",$L96,VLOOKUP($E96,Ratio,2,FALSE)*$G96)</f>
        <v>0</v>
      </c>
      <c r="I96" s="1738">
        <f>IF($E96="DIRECT",$M96,VLOOKUP($E96,Ratio,3,FALSE)*$G96)</f>
        <v>0</v>
      </c>
      <c r="J96" s="1739">
        <f>IF($E96="DIRECT",$N96,VLOOKUP($E96,Ratio,4,FALSE)*$G96)</f>
        <v>42443961.756252475</v>
      </c>
      <c r="K96" s="25"/>
      <c r="L96" s="1756"/>
      <c r="M96" s="1756"/>
      <c r="N96" s="1756">
        <f>G96</f>
        <v>42443961.756252475</v>
      </c>
      <c r="O96" s="11"/>
    </row>
    <row r="97" spans="1:15" ht="15" customHeight="1" x14ac:dyDescent="0.25">
      <c r="A97" s="1348"/>
      <c r="B97" s="46" t="s">
        <v>477</v>
      </c>
      <c r="C97" s="184" t="s">
        <v>78</v>
      </c>
      <c r="D97" s="184">
        <v>124</v>
      </c>
      <c r="E97" s="184" t="s">
        <v>392</v>
      </c>
      <c r="F97" s="184"/>
      <c r="G97" s="1756">
        <f>VLOOKUP($B97,'RATE BASE DATA'!$C:$J,6,FALSE)</f>
        <v>30080687.307016551</v>
      </c>
      <c r="H97" s="1738">
        <f>VLOOKUP($E97,Ratio,2,FALSE)*$G97</f>
        <v>0</v>
      </c>
      <c r="I97" s="1738">
        <f>VLOOKUP($E97,Ratio,3,FALSE)*$G97</f>
        <v>0</v>
      </c>
      <c r="J97" s="1739">
        <f>VLOOKUP($E97,Ratio,4,FALSE)*$G97</f>
        <v>30080687.307016551</v>
      </c>
      <c r="K97" s="25"/>
      <c r="L97" s="1757"/>
      <c r="M97" s="1758"/>
      <c r="N97" s="1758"/>
      <c r="O97" s="11"/>
    </row>
    <row r="98" spans="1:15" ht="15" customHeight="1" x14ac:dyDescent="0.25">
      <c r="A98" s="1348"/>
      <c r="B98" s="54" t="s">
        <v>6</v>
      </c>
      <c r="C98" s="184" t="s">
        <v>78</v>
      </c>
      <c r="D98" s="184">
        <v>175</v>
      </c>
      <c r="E98" s="184" t="s">
        <v>392</v>
      </c>
      <c r="F98" s="184"/>
      <c r="G98" s="1756">
        <f>VLOOKUP($B98,'RATE BASE DATA'!$C:$J,6,FALSE)</f>
        <v>596094.62272543286</v>
      </c>
      <c r="H98" s="1738">
        <f>VLOOKUP($E98,Ratio,2,FALSE)*$G98</f>
        <v>0</v>
      </c>
      <c r="I98" s="1738">
        <f>VLOOKUP($E98,Ratio,3,FALSE)*$G98</f>
        <v>0</v>
      </c>
      <c r="J98" s="1739">
        <f>VLOOKUP($E98,Ratio,4,FALSE)*$G98</f>
        <v>596094.62272543286</v>
      </c>
      <c r="K98" s="25"/>
      <c r="L98" s="1757"/>
      <c r="M98" s="1758"/>
      <c r="N98" s="1758"/>
      <c r="O98" s="11"/>
    </row>
    <row r="99" spans="1:15" ht="15" customHeight="1" x14ac:dyDescent="0.25">
      <c r="A99" s="1348"/>
      <c r="B99" s="54" t="s">
        <v>372</v>
      </c>
      <c r="C99" s="184" t="s">
        <v>78</v>
      </c>
      <c r="D99" s="184">
        <v>176</v>
      </c>
      <c r="E99" s="184" t="s">
        <v>392</v>
      </c>
      <c r="F99" s="184"/>
      <c r="G99" s="1756">
        <f>VLOOKUP($B99,'RATE BASE DATA'!$C:$J,6,FALSE)</f>
        <v>0</v>
      </c>
      <c r="H99" s="1738">
        <f>VLOOKUP($E99,Ratio,2,FALSE)*$G99</f>
        <v>0</v>
      </c>
      <c r="I99" s="1738">
        <f>VLOOKUP($E99,Ratio,3,FALSE)*$G99</f>
        <v>0</v>
      </c>
      <c r="J99" s="1739">
        <f>VLOOKUP($E99,Ratio,4,FALSE)*$G99</f>
        <v>0</v>
      </c>
      <c r="K99" s="25"/>
      <c r="L99" s="1757"/>
      <c r="M99" s="1758"/>
      <c r="N99" s="1758"/>
      <c r="O99" s="11"/>
    </row>
    <row r="100" spans="1:15" ht="15" customHeight="1" x14ac:dyDescent="0.25">
      <c r="A100" s="1348"/>
      <c r="B100" s="76" t="s">
        <v>104</v>
      </c>
      <c r="C100" s="1853"/>
      <c r="D100" s="1847"/>
      <c r="E100" s="1847"/>
      <c r="F100" s="1848"/>
      <c r="G100" s="1781">
        <f>SUM(G96:G99)</f>
        <v>73120743.685994446</v>
      </c>
      <c r="H100" s="495">
        <f>SUM(H96:H99)</f>
        <v>0</v>
      </c>
      <c r="I100" s="495">
        <f>SUM(I96:I99)</f>
        <v>0</v>
      </c>
      <c r="J100" s="1365">
        <f>SUM(J96:J99)</f>
        <v>73120743.685994446</v>
      </c>
      <c r="K100" s="25"/>
      <c r="L100" s="1757"/>
      <c r="M100" s="1758"/>
      <c r="N100" s="1758"/>
      <c r="O100" s="11"/>
    </row>
    <row r="101" spans="1:15" ht="9.9499999999999993" customHeight="1" x14ac:dyDescent="0.25">
      <c r="A101" s="1348"/>
      <c r="B101" s="76"/>
      <c r="C101" s="74"/>
      <c r="D101" s="74"/>
      <c r="E101" s="74"/>
      <c r="F101" s="74"/>
      <c r="G101" s="928"/>
      <c r="H101" s="334"/>
      <c r="I101" s="334"/>
      <c r="J101" s="1366"/>
      <c r="K101" s="25"/>
      <c r="L101" s="1757"/>
      <c r="M101" s="1758"/>
      <c r="N101" s="1758"/>
      <c r="O101" s="11"/>
    </row>
    <row r="102" spans="1:15" ht="15" customHeight="1" x14ac:dyDescent="0.25">
      <c r="A102" s="1364" t="s">
        <v>177</v>
      </c>
      <c r="B102" s="79"/>
      <c r="C102" s="80"/>
      <c r="D102" s="48"/>
      <c r="E102" s="48"/>
      <c r="F102" s="48"/>
      <c r="G102" s="378"/>
      <c r="H102" s="381"/>
      <c r="I102" s="381"/>
      <c r="J102" s="1744"/>
      <c r="K102" s="25"/>
      <c r="L102" s="1757"/>
      <c r="M102" s="1758"/>
      <c r="N102" s="1758"/>
      <c r="O102" s="11"/>
    </row>
    <row r="103" spans="1:15" ht="15" customHeight="1" x14ac:dyDescent="0.25">
      <c r="A103" s="1348"/>
      <c r="B103" s="46" t="s">
        <v>436</v>
      </c>
      <c r="C103" s="184" t="s">
        <v>78</v>
      </c>
      <c r="D103" s="184">
        <v>151</v>
      </c>
      <c r="E103" s="184" t="s">
        <v>394</v>
      </c>
      <c r="F103" s="184"/>
      <c r="G103" s="1756">
        <f>VLOOKUP($B103,'RATE BASE DATA'!$C:$J,6,FALSE)</f>
        <v>26851019.161621038</v>
      </c>
      <c r="H103" s="1738">
        <f t="shared" ref="H103:H115" si="7">VLOOKUP($E103,Ratio,2,FALSE)*$G103</f>
        <v>26851019.161621038</v>
      </c>
      <c r="I103" s="1738">
        <f t="shared" ref="I103:I115" si="8">VLOOKUP($E103,Ratio,3,FALSE)*$G103</f>
        <v>0</v>
      </c>
      <c r="J103" s="1739">
        <f t="shared" ref="J103:J115" si="9">VLOOKUP($E103,Ratio,4,FALSE)*$G103</f>
        <v>0</v>
      </c>
      <c r="K103" s="25"/>
      <c r="L103" s="1757"/>
      <c r="M103" s="1758"/>
      <c r="N103" s="1758"/>
      <c r="O103" s="11"/>
    </row>
    <row r="104" spans="1:15" ht="15" customHeight="1" x14ac:dyDescent="0.25">
      <c r="A104" s="1348"/>
      <c r="B104" s="54" t="s">
        <v>7</v>
      </c>
      <c r="C104" s="184" t="s">
        <v>78</v>
      </c>
      <c r="D104" s="184">
        <v>152</v>
      </c>
      <c r="E104" s="184" t="s">
        <v>394</v>
      </c>
      <c r="F104" s="184"/>
      <c r="G104" s="1756">
        <f>VLOOKUP($B104,'RATE BASE DATA'!$C:$J,6,FALSE)</f>
        <v>0</v>
      </c>
      <c r="H104" s="1738">
        <f t="shared" si="7"/>
        <v>0</v>
      </c>
      <c r="I104" s="1738">
        <f t="shared" si="8"/>
        <v>0</v>
      </c>
      <c r="J104" s="1739">
        <f t="shared" si="9"/>
        <v>0</v>
      </c>
      <c r="K104" s="25"/>
      <c r="L104" s="1757"/>
      <c r="M104" s="1758"/>
      <c r="N104" s="1758"/>
      <c r="O104" s="11"/>
    </row>
    <row r="105" spans="1:15" ht="15" customHeight="1" x14ac:dyDescent="0.25">
      <c r="A105" s="1348"/>
      <c r="B105" s="46" t="s">
        <v>79</v>
      </c>
      <c r="C105" s="184" t="s">
        <v>78</v>
      </c>
      <c r="D105" s="184">
        <v>154</v>
      </c>
      <c r="E105" s="184" t="s">
        <v>99</v>
      </c>
      <c r="F105" s="184"/>
      <c r="G105" s="1756">
        <f>VLOOKUP($B105,'RATE BASE DATA'!$C:$J,6,FALSE)</f>
        <v>150884895.0791575</v>
      </c>
      <c r="H105" s="1738">
        <f t="shared" si="7"/>
        <v>66418948.970899038</v>
      </c>
      <c r="I105" s="1738">
        <f t="shared" si="8"/>
        <v>0</v>
      </c>
      <c r="J105" s="1739">
        <f t="shared" si="9"/>
        <v>84465946.108258441</v>
      </c>
      <c r="K105" s="25"/>
      <c r="L105" s="1757"/>
      <c r="M105" s="1758"/>
      <c r="N105" s="1758"/>
      <c r="O105" s="11"/>
    </row>
    <row r="106" spans="1:15" ht="15" customHeight="1" x14ac:dyDescent="0.25">
      <c r="A106" s="1348"/>
      <c r="B106" s="46" t="s">
        <v>355</v>
      </c>
      <c r="C106" s="184" t="s">
        <v>78</v>
      </c>
      <c r="D106" s="184">
        <v>155</v>
      </c>
      <c r="E106" s="184" t="s">
        <v>392</v>
      </c>
      <c r="F106" s="184"/>
      <c r="G106" s="1756">
        <f>VLOOKUP($B106,'RATE BASE DATA'!$C:$J,6,FALSE)</f>
        <v>0</v>
      </c>
      <c r="H106" s="1738">
        <f t="shared" si="7"/>
        <v>0</v>
      </c>
      <c r="I106" s="1738">
        <f t="shared" si="8"/>
        <v>0</v>
      </c>
      <c r="J106" s="1739">
        <f t="shared" si="9"/>
        <v>0</v>
      </c>
      <c r="K106" s="25"/>
      <c r="L106" s="1757"/>
      <c r="M106" s="1758"/>
      <c r="N106" s="1758"/>
      <c r="O106" s="11"/>
    </row>
    <row r="107" spans="1:15" ht="15" customHeight="1" x14ac:dyDescent="0.25">
      <c r="A107" s="1348"/>
      <c r="B107" s="46" t="s">
        <v>356</v>
      </c>
      <c r="C107" s="184" t="s">
        <v>78</v>
      </c>
      <c r="D107" s="184">
        <v>156</v>
      </c>
      <c r="E107" s="184" t="s">
        <v>392</v>
      </c>
      <c r="F107" s="184"/>
      <c r="G107" s="1756">
        <f>VLOOKUP($B107,'RATE BASE DATA'!$C:$J,6,FALSE)</f>
        <v>0</v>
      </c>
      <c r="H107" s="1738">
        <f t="shared" si="7"/>
        <v>0</v>
      </c>
      <c r="I107" s="1738">
        <f t="shared" si="8"/>
        <v>0</v>
      </c>
      <c r="J107" s="1739">
        <f t="shared" si="9"/>
        <v>0</v>
      </c>
      <c r="K107" s="25"/>
      <c r="L107" s="1757"/>
      <c r="M107" s="1758"/>
      <c r="N107" s="1758"/>
      <c r="O107" s="11"/>
    </row>
    <row r="108" spans="1:15" ht="15" customHeight="1" x14ac:dyDescent="0.25">
      <c r="A108" s="1348"/>
      <c r="B108" s="46" t="s">
        <v>357</v>
      </c>
      <c r="C108" s="184" t="s">
        <v>78</v>
      </c>
      <c r="D108" s="184">
        <v>158.1</v>
      </c>
      <c r="E108" s="184" t="s">
        <v>394</v>
      </c>
      <c r="F108" s="184"/>
      <c r="G108" s="1756">
        <f>VLOOKUP($B108,'RATE BASE DATA'!$C:$J,6,FALSE)</f>
        <v>893921.75297299691</v>
      </c>
      <c r="H108" s="1738">
        <f t="shared" si="7"/>
        <v>893921.75297299691</v>
      </c>
      <c r="I108" s="1738">
        <f t="shared" si="8"/>
        <v>0</v>
      </c>
      <c r="J108" s="1739">
        <f t="shared" si="9"/>
        <v>0</v>
      </c>
      <c r="K108" s="25"/>
      <c r="L108" s="1757"/>
      <c r="M108" s="1758"/>
      <c r="N108" s="1758"/>
      <c r="O108" s="11"/>
    </row>
    <row r="109" spans="1:15" ht="15" customHeight="1" x14ac:dyDescent="0.25">
      <c r="A109" s="1348"/>
      <c r="B109" s="46" t="s">
        <v>178</v>
      </c>
      <c r="C109" s="184" t="s">
        <v>78</v>
      </c>
      <c r="D109" s="184">
        <v>158.19999999999999</v>
      </c>
      <c r="E109" s="184" t="s">
        <v>394</v>
      </c>
      <c r="F109" s="184"/>
      <c r="G109" s="1756">
        <f>VLOOKUP($B109,'RATE BASE DATA'!$C:$J,6,FALSE)</f>
        <v>0</v>
      </c>
      <c r="H109" s="1738">
        <f t="shared" si="7"/>
        <v>0</v>
      </c>
      <c r="I109" s="1738">
        <f t="shared" si="8"/>
        <v>0</v>
      </c>
      <c r="J109" s="1739">
        <f t="shared" si="9"/>
        <v>0</v>
      </c>
      <c r="K109" s="25"/>
      <c r="L109" s="1757"/>
      <c r="M109" s="1758"/>
      <c r="N109" s="1758"/>
      <c r="O109" s="11"/>
    </row>
    <row r="110" spans="1:15" ht="14.25" customHeight="1" x14ac:dyDescent="0.25">
      <c r="A110" s="1348"/>
      <c r="B110" s="46" t="s">
        <v>55</v>
      </c>
      <c r="C110" s="184" t="s">
        <v>78</v>
      </c>
      <c r="D110" s="184">
        <v>163</v>
      </c>
      <c r="E110" s="184" t="s">
        <v>99</v>
      </c>
      <c r="F110" s="184"/>
      <c r="G110" s="1756">
        <f>VLOOKUP($B110,'RATE BASE DATA'!$C:$J,6,FALSE)</f>
        <v>0</v>
      </c>
      <c r="H110" s="1738">
        <f t="shared" si="7"/>
        <v>0</v>
      </c>
      <c r="I110" s="1738">
        <f t="shared" si="8"/>
        <v>0</v>
      </c>
      <c r="J110" s="1739">
        <f t="shared" si="9"/>
        <v>0</v>
      </c>
      <c r="K110" s="25"/>
      <c r="L110" s="1757"/>
      <c r="M110" s="1758"/>
      <c r="N110" s="1758"/>
      <c r="O110" s="11"/>
    </row>
    <row r="111" spans="1:15" ht="15" customHeight="1" x14ac:dyDescent="0.25">
      <c r="A111" s="1348"/>
      <c r="B111" s="46" t="s">
        <v>8</v>
      </c>
      <c r="C111" s="184" t="s">
        <v>78</v>
      </c>
      <c r="D111" s="184">
        <v>165</v>
      </c>
      <c r="E111" s="184" t="s">
        <v>99</v>
      </c>
      <c r="F111" s="184"/>
      <c r="G111" s="1756">
        <f>VLOOKUP($B111,'RATE BASE DATA'!$C:$J,6,FALSE)</f>
        <v>38679081.855033264</v>
      </c>
      <c r="H111" s="1738">
        <f t="shared" si="7"/>
        <v>17026382.678152874</v>
      </c>
      <c r="I111" s="1738">
        <f t="shared" si="8"/>
        <v>0</v>
      </c>
      <c r="J111" s="1739">
        <f t="shared" si="9"/>
        <v>21652699.176880382</v>
      </c>
      <c r="K111" s="25"/>
      <c r="L111" s="1757"/>
      <c r="M111" s="1758"/>
      <c r="N111" s="1758"/>
      <c r="O111" s="11"/>
    </row>
    <row r="112" spans="1:15" ht="15" customHeight="1" x14ac:dyDescent="0.25">
      <c r="A112" s="1348"/>
      <c r="B112" s="54" t="s">
        <v>9</v>
      </c>
      <c r="C112" s="184" t="s">
        <v>78</v>
      </c>
      <c r="D112" s="184">
        <v>175</v>
      </c>
      <c r="E112" s="184" t="s">
        <v>392</v>
      </c>
      <c r="F112" s="184"/>
      <c r="G112" s="1756">
        <f>VLOOKUP($B112,'RATE BASE DATA'!$C:$J,6,FALSE)</f>
        <v>4737670.8043864546</v>
      </c>
      <c r="H112" s="1738">
        <f t="shared" si="7"/>
        <v>0</v>
      </c>
      <c r="I112" s="1738">
        <f t="shared" si="8"/>
        <v>0</v>
      </c>
      <c r="J112" s="1739">
        <f t="shared" si="9"/>
        <v>4737670.8043864546</v>
      </c>
      <c r="K112" s="25"/>
      <c r="L112" s="1757"/>
      <c r="M112" s="1758"/>
      <c r="N112" s="1758"/>
      <c r="O112" s="11"/>
    </row>
    <row r="113" spans="1:15" ht="15" customHeight="1" x14ac:dyDescent="0.25">
      <c r="A113" s="1348"/>
      <c r="B113" s="143" t="s">
        <v>184</v>
      </c>
      <c r="C113" s="184" t="s">
        <v>78</v>
      </c>
      <c r="D113" s="184">
        <v>175</v>
      </c>
      <c r="E113" s="184" t="s">
        <v>392</v>
      </c>
      <c r="F113" s="184"/>
      <c r="G113" s="1756">
        <f>VLOOKUP($B113,'RATE BASE DATA'!$C:$J,6,FALSE)</f>
        <v>596094.62272543286</v>
      </c>
      <c r="H113" s="1738">
        <f t="shared" si="7"/>
        <v>0</v>
      </c>
      <c r="I113" s="1738">
        <f t="shared" si="8"/>
        <v>0</v>
      </c>
      <c r="J113" s="1739">
        <f t="shared" si="9"/>
        <v>596094.62272543286</v>
      </c>
      <c r="K113" s="25"/>
      <c r="L113" s="1757"/>
      <c r="M113" s="1758"/>
      <c r="N113" s="1758"/>
      <c r="O113" s="11"/>
    </row>
    <row r="114" spans="1:15" ht="15" customHeight="1" x14ac:dyDescent="0.25">
      <c r="A114" s="1348"/>
      <c r="B114" s="54" t="s">
        <v>334</v>
      </c>
      <c r="C114" s="250" t="s">
        <v>78</v>
      </c>
      <c r="D114" s="250">
        <v>176</v>
      </c>
      <c r="E114" s="250" t="s">
        <v>392</v>
      </c>
      <c r="F114" s="184"/>
      <c r="G114" s="1756">
        <f>VLOOKUP($B114,'RATE BASE DATA'!$C:$J,6,FALSE)</f>
        <v>0</v>
      </c>
      <c r="H114" s="1738">
        <f t="shared" si="7"/>
        <v>0</v>
      </c>
      <c r="I114" s="1738">
        <f t="shared" si="8"/>
        <v>0</v>
      </c>
      <c r="J114" s="1739">
        <f t="shared" si="9"/>
        <v>0</v>
      </c>
      <c r="K114" s="25"/>
      <c r="L114" s="1757"/>
      <c r="M114" s="1758"/>
      <c r="N114" s="1758"/>
      <c r="O114" s="11"/>
    </row>
    <row r="115" spans="1:15" ht="15" customHeight="1" x14ac:dyDescent="0.25">
      <c r="A115" s="1348"/>
      <c r="B115" s="143" t="s">
        <v>573</v>
      </c>
      <c r="C115" s="250" t="s">
        <v>78</v>
      </c>
      <c r="D115" s="250">
        <v>176</v>
      </c>
      <c r="E115" s="250" t="s">
        <v>392</v>
      </c>
      <c r="F115" s="184"/>
      <c r="G115" s="1756">
        <f>VLOOKUP($B115,'RATE BASE DATA'!$C:$J,6,FALSE)</f>
        <v>0</v>
      </c>
      <c r="H115" s="1738">
        <f t="shared" si="7"/>
        <v>0</v>
      </c>
      <c r="I115" s="1738">
        <f t="shared" si="8"/>
        <v>0</v>
      </c>
      <c r="J115" s="1739">
        <f t="shared" si="9"/>
        <v>0</v>
      </c>
      <c r="K115" s="25"/>
      <c r="L115" s="1757"/>
      <c r="M115" s="1758"/>
      <c r="N115" s="1758"/>
      <c r="O115" s="11"/>
    </row>
    <row r="116" spans="1:15" ht="15" customHeight="1" thickBot="1" x14ac:dyDescent="0.3">
      <c r="A116" s="1348"/>
      <c r="B116" s="76" t="s">
        <v>104</v>
      </c>
      <c r="C116" s="1856"/>
      <c r="D116" s="1857"/>
      <c r="E116" s="1857"/>
      <c r="F116" s="1858"/>
      <c r="G116" s="1788">
        <f>SUM(G103:G112,G114)-G113-G115</f>
        <v>221450494.03044584</v>
      </c>
      <c r="H116" s="1508">
        <f>SUM(H103:H112,H114)-H113-H115</f>
        <v>111190272.56364594</v>
      </c>
      <c r="I116" s="1508">
        <f>SUM(I103:I112,I114)-I113-I115</f>
        <v>0</v>
      </c>
      <c r="J116" s="1509">
        <f>SUM(J103:J112,J114)-J113-J115</f>
        <v>110260221.46679984</v>
      </c>
      <c r="K116" s="25"/>
      <c r="L116" s="1757"/>
      <c r="M116" s="1758"/>
      <c r="N116" s="1758"/>
      <c r="O116" s="11"/>
    </row>
    <row r="117" spans="1:15" ht="4.5" customHeight="1" thickTop="1" x14ac:dyDescent="0.25">
      <c r="A117" s="1510"/>
      <c r="B117" s="1511"/>
      <c r="C117" s="1859"/>
      <c r="D117" s="1859"/>
      <c r="E117" s="1859"/>
      <c r="F117" s="1859"/>
      <c r="G117" s="1789"/>
      <c r="H117" s="1513"/>
      <c r="I117" s="1513"/>
      <c r="J117" s="1514"/>
      <c r="K117" s="25"/>
      <c r="L117" s="1757"/>
      <c r="M117" s="1758"/>
      <c r="N117" s="1758"/>
      <c r="O117" s="11"/>
    </row>
    <row r="118" spans="1:15" ht="15" customHeight="1" x14ac:dyDescent="0.25">
      <c r="A118" s="1364" t="s">
        <v>179</v>
      </c>
      <c r="B118" s="62"/>
      <c r="C118" s="80"/>
      <c r="D118" s="48"/>
      <c r="E118" s="48"/>
      <c r="F118" s="48"/>
      <c r="G118" s="379"/>
      <c r="H118" s="337"/>
      <c r="I118" s="337"/>
      <c r="J118" s="1354"/>
      <c r="K118" s="25"/>
      <c r="L118" s="1757"/>
      <c r="M118" s="1758"/>
      <c r="N118" s="1758"/>
      <c r="O118" s="11"/>
    </row>
    <row r="119" spans="1:15" ht="15" customHeight="1" x14ac:dyDescent="0.25">
      <c r="A119" s="1348"/>
      <c r="B119" s="54" t="s">
        <v>10</v>
      </c>
      <c r="C119" s="184" t="s">
        <v>78</v>
      </c>
      <c r="D119" s="184">
        <v>181</v>
      </c>
      <c r="E119" s="184" t="s">
        <v>108</v>
      </c>
      <c r="F119" s="184"/>
      <c r="G119" s="1756">
        <f>VLOOKUP($B119,'RATE BASE DATA'!$C:$J,6,FALSE)</f>
        <v>15587451.976940991</v>
      </c>
      <c r="H119" s="1738">
        <f>VLOOKUP($E119,Ratio,2,FALSE)*$G119</f>
        <v>6771415.183262636</v>
      </c>
      <c r="I119" s="1738">
        <f>VLOOKUP($E119,Ratio,3,FALSE)*$G119</f>
        <v>0</v>
      </c>
      <c r="J119" s="1739">
        <f>VLOOKUP($E119,Ratio,4,FALSE)*$G119</f>
        <v>8817596.6943803225</v>
      </c>
      <c r="K119" s="25"/>
      <c r="L119" s="1757"/>
      <c r="M119" s="1758"/>
      <c r="N119" s="1758"/>
      <c r="O119" s="11"/>
    </row>
    <row r="120" spans="1:15" ht="15" customHeight="1" x14ac:dyDescent="0.25">
      <c r="A120" s="1348"/>
      <c r="B120" s="54" t="s">
        <v>11</v>
      </c>
      <c r="C120" s="184" t="s">
        <v>78</v>
      </c>
      <c r="D120" s="184">
        <v>182.1</v>
      </c>
      <c r="E120" s="184" t="s">
        <v>90</v>
      </c>
      <c r="F120" s="184" t="s">
        <v>392</v>
      </c>
      <c r="G120" s="1756">
        <f>VLOOKUP($B120,'RATE BASE DATA'!$C:$J,6,FALSE)</f>
        <v>0</v>
      </c>
      <c r="H120" s="1738">
        <f>IF($E120="DIRECT",$L120,VLOOKUP($E120,Ratio,2,FALSE)*$G120)</f>
        <v>0</v>
      </c>
      <c r="I120" s="1738">
        <f>IF($E120="DIRECT",$M120,VLOOKUP($E120,Ratio,3,FALSE)*$G120)</f>
        <v>0</v>
      </c>
      <c r="J120" s="1739">
        <f>IF($E120="DIRECT",$N120,VLOOKUP($E120,Ratio,4,FALSE)*$G120)</f>
        <v>0</v>
      </c>
      <c r="K120" s="25"/>
      <c r="L120" s="1756"/>
      <c r="M120" s="1756"/>
      <c r="N120" s="1756"/>
      <c r="O120" s="11"/>
    </row>
    <row r="121" spans="1:15" ht="15" customHeight="1" x14ac:dyDescent="0.25">
      <c r="A121" s="1348"/>
      <c r="B121" s="54" t="s">
        <v>12</v>
      </c>
      <c r="C121" s="184" t="s">
        <v>78</v>
      </c>
      <c r="D121" s="184">
        <v>182.2</v>
      </c>
      <c r="E121" s="184" t="s">
        <v>90</v>
      </c>
      <c r="F121" s="184" t="s">
        <v>392</v>
      </c>
      <c r="G121" s="1756">
        <f>VLOOKUP($B121,'RATE BASE DATA'!$C:$J,6,FALSE)</f>
        <v>0</v>
      </c>
      <c r="H121" s="1738">
        <f>IF($E121="DIRECT",$L121,VLOOKUP($E121,Ratio,2,FALSE)*$G121)</f>
        <v>0</v>
      </c>
      <c r="I121" s="1738">
        <f>IF($E121="DIRECT",$M121,VLOOKUP($E121,Ratio,3,FALSE)*$G121)</f>
        <v>0</v>
      </c>
      <c r="J121" s="1739">
        <f>IF($E121="DIRECT",$N121,VLOOKUP($E121,Ratio,4,FALSE)*$G121)</f>
        <v>0</v>
      </c>
      <c r="K121" s="25"/>
      <c r="L121" s="1756"/>
      <c r="M121" s="1756"/>
      <c r="N121" s="1756"/>
      <c r="O121" s="11"/>
    </row>
    <row r="122" spans="1:15" ht="15" customHeight="1" x14ac:dyDescent="0.25">
      <c r="A122" s="1348"/>
      <c r="B122" s="54" t="s">
        <v>13</v>
      </c>
      <c r="C122" s="184" t="s">
        <v>78</v>
      </c>
      <c r="D122" s="184">
        <v>182.3</v>
      </c>
      <c r="E122" s="184" t="s">
        <v>90</v>
      </c>
      <c r="F122" s="184" t="s">
        <v>392</v>
      </c>
      <c r="G122" s="1756">
        <f>VLOOKUP($B122,'RATE BASE DATA'!$C:$J,6,FALSE)</f>
        <v>416011319.21426857</v>
      </c>
      <c r="H122" s="1738">
        <f>IF($E122="DIRECT",$L122,VLOOKUP($E122,Ratio,2,FALSE)*$G122)</f>
        <v>277827030.70364779</v>
      </c>
      <c r="I122" s="1738">
        <f>IF($E122="DIRECT",$M122,VLOOKUP($E122,Ratio,3,FALSE)*$G122)</f>
        <v>0</v>
      </c>
      <c r="J122" s="1739">
        <f>IF($E122="DIRECT",$N122,VLOOKUP($E122,Ratio,4,FALSE)*$G122)</f>
        <v>138184288.51062071</v>
      </c>
      <c r="K122" s="25"/>
      <c r="L122" s="1756">
        <f>'B16-Reg Assets'!T1026*1000</f>
        <v>277827030.70364779</v>
      </c>
      <c r="M122" s="1756">
        <f>'B16-Reg Assets'!U1026*1000</f>
        <v>0</v>
      </c>
      <c r="N122" s="1756">
        <f>'B16-Reg Assets'!V1026*1000</f>
        <v>138184288.51062071</v>
      </c>
      <c r="O122" s="11"/>
    </row>
    <row r="123" spans="1:15" ht="15" customHeight="1" x14ac:dyDescent="0.25">
      <c r="A123" s="1348"/>
      <c r="B123" s="54" t="s">
        <v>183</v>
      </c>
      <c r="C123" s="184" t="s">
        <v>78</v>
      </c>
      <c r="D123" s="184">
        <v>183</v>
      </c>
      <c r="E123" s="184" t="s">
        <v>392</v>
      </c>
      <c r="F123" s="184"/>
      <c r="G123" s="1756">
        <f>VLOOKUP($B123,'RATE BASE DATA'!$C:$J,6,FALSE)</f>
        <v>7174671.0530598462</v>
      </c>
      <c r="H123" s="1738">
        <f t="shared" ref="H123:H132" si="10">VLOOKUP($E123,Ratio,2,FALSE)*$G123</f>
        <v>0</v>
      </c>
      <c r="I123" s="1738">
        <f t="shared" ref="I123:I132" si="11">VLOOKUP($E123,Ratio,3,FALSE)*$G123</f>
        <v>0</v>
      </c>
      <c r="J123" s="1739">
        <f t="shared" ref="J123:J132" si="12">VLOOKUP($E123,Ratio,4,FALSE)*$G123</f>
        <v>7174671.0530598462</v>
      </c>
      <c r="K123" s="25"/>
      <c r="L123" s="1764"/>
      <c r="M123" s="1755"/>
      <c r="N123" s="1755"/>
      <c r="O123" s="11"/>
    </row>
    <row r="124" spans="1:15" ht="15" customHeight="1" x14ac:dyDescent="0.25">
      <c r="A124" s="1348"/>
      <c r="B124" s="54" t="s">
        <v>14</v>
      </c>
      <c r="C124" s="184" t="s">
        <v>78</v>
      </c>
      <c r="D124" s="184">
        <v>183.1</v>
      </c>
      <c r="E124" s="184" t="s">
        <v>392</v>
      </c>
      <c r="F124" s="184"/>
      <c r="G124" s="1756">
        <f>VLOOKUP($B124,'RATE BASE DATA'!$C:$J,6,FALSE)</f>
        <v>0</v>
      </c>
      <c r="H124" s="1738">
        <f t="shared" si="10"/>
        <v>0</v>
      </c>
      <c r="I124" s="1738">
        <f t="shared" si="11"/>
        <v>0</v>
      </c>
      <c r="J124" s="1739">
        <f t="shared" si="12"/>
        <v>0</v>
      </c>
      <c r="K124" s="25"/>
      <c r="L124" s="1757"/>
      <c r="M124" s="1758"/>
      <c r="N124" s="1758"/>
      <c r="O124" s="11"/>
    </row>
    <row r="125" spans="1:15" ht="15" customHeight="1" x14ac:dyDescent="0.25">
      <c r="A125" s="1348"/>
      <c r="B125" s="54" t="s">
        <v>445</v>
      </c>
      <c r="C125" s="184" t="s">
        <v>78</v>
      </c>
      <c r="D125" s="184">
        <v>183.2</v>
      </c>
      <c r="E125" s="184" t="s">
        <v>392</v>
      </c>
      <c r="F125" s="184"/>
      <c r="G125" s="1756">
        <f>VLOOKUP($B125,'RATE BASE DATA'!$C:$J,6,FALSE)</f>
        <v>0</v>
      </c>
      <c r="H125" s="1738">
        <f t="shared" si="10"/>
        <v>0</v>
      </c>
      <c r="I125" s="1738">
        <f t="shared" si="11"/>
        <v>0</v>
      </c>
      <c r="J125" s="1739">
        <f t="shared" si="12"/>
        <v>0</v>
      </c>
      <c r="K125" s="25"/>
      <c r="L125" s="1757"/>
      <c r="M125" s="1758"/>
      <c r="N125" s="1758"/>
      <c r="O125" s="11"/>
    </row>
    <row r="126" spans="1:15" ht="15" customHeight="1" x14ac:dyDescent="0.25">
      <c r="A126" s="1348"/>
      <c r="B126" s="54" t="s">
        <v>15</v>
      </c>
      <c r="C126" s="184" t="s">
        <v>78</v>
      </c>
      <c r="D126" s="184">
        <v>184</v>
      </c>
      <c r="E126" s="184" t="s">
        <v>392</v>
      </c>
      <c r="F126" s="184"/>
      <c r="G126" s="1756">
        <f>VLOOKUP($B126,'RATE BASE DATA'!$C:$J,6,FALSE)</f>
        <v>1936.129549151902</v>
      </c>
      <c r="H126" s="1738">
        <f t="shared" si="10"/>
        <v>0</v>
      </c>
      <c r="I126" s="1738">
        <f t="shared" si="11"/>
        <v>0</v>
      </c>
      <c r="J126" s="1739">
        <f t="shared" si="12"/>
        <v>1936.129549151902</v>
      </c>
      <c r="K126" s="25"/>
      <c r="L126" s="1757"/>
      <c r="M126" s="1758"/>
      <c r="N126" s="1758"/>
      <c r="O126" s="11"/>
    </row>
    <row r="127" spans="1:15" ht="15" customHeight="1" x14ac:dyDescent="0.25">
      <c r="A127" s="1348"/>
      <c r="B127" s="54" t="s">
        <v>16</v>
      </c>
      <c r="C127" s="184" t="s">
        <v>78</v>
      </c>
      <c r="D127" s="184">
        <v>185</v>
      </c>
      <c r="E127" s="184" t="s">
        <v>108</v>
      </c>
      <c r="F127" s="184"/>
      <c r="G127" s="1756">
        <f>VLOOKUP($B127,'RATE BASE DATA'!$C:$J,6,FALSE)</f>
        <v>42695.639360978632</v>
      </c>
      <c r="H127" s="1738">
        <f t="shared" si="10"/>
        <v>18547.604897562855</v>
      </c>
      <c r="I127" s="1738">
        <f t="shared" si="11"/>
        <v>0</v>
      </c>
      <c r="J127" s="1739">
        <f t="shared" si="12"/>
        <v>24152.307192397311</v>
      </c>
      <c r="K127" s="25"/>
      <c r="L127" s="1757"/>
      <c r="M127" s="1758"/>
      <c r="N127" s="1758"/>
      <c r="O127" s="11"/>
    </row>
    <row r="128" spans="1:15" ht="15" customHeight="1" x14ac:dyDescent="0.25">
      <c r="A128" s="1348"/>
      <c r="B128" s="54" t="s">
        <v>17</v>
      </c>
      <c r="C128" s="184" t="s">
        <v>78</v>
      </c>
      <c r="D128" s="184">
        <v>186</v>
      </c>
      <c r="E128" s="184" t="s">
        <v>90</v>
      </c>
      <c r="F128" s="184" t="s">
        <v>392</v>
      </c>
      <c r="G128" s="1756">
        <f>VLOOKUP($B128,'RATE BASE DATA'!$C:$J,6,FALSE)</f>
        <v>34476594.035140738</v>
      </c>
      <c r="H128" s="1738">
        <f>IF($E128="DIRECT",$L128,VLOOKUP($E128,Ratio,2,FALSE)*$G128)</f>
        <v>32556472.949793022</v>
      </c>
      <c r="I128" s="1738">
        <f>IF($E128="DIRECT",$M128,VLOOKUP($E128,Ratio,3,FALSE)*$G128)</f>
        <v>0</v>
      </c>
      <c r="J128" s="1739">
        <f>IF($E128="DIRECT",$N128,VLOOKUP($E128,Ratio,4,FALSE)*$G128)</f>
        <v>1920121.085347716</v>
      </c>
      <c r="K128" s="25"/>
      <c r="L128" s="1756">
        <f>$G$128*'B11-Misc Def Debt'!M87/'B11-Misc Def Debt'!$P$87</f>
        <v>32556472.949793022</v>
      </c>
      <c r="M128" s="1756">
        <f>$G$128*'B11-Misc Def Debt'!N87/'B11-Misc Def Debt'!$P$87</f>
        <v>0</v>
      </c>
      <c r="N128" s="1756">
        <f>$G$128*'B11-Misc Def Debt'!O87/'B11-Misc Def Debt'!$P$87</f>
        <v>1920121.085347716</v>
      </c>
      <c r="O128" s="11"/>
    </row>
    <row r="129" spans="1:15" ht="15" customHeight="1" x14ac:dyDescent="0.25">
      <c r="A129" s="1348"/>
      <c r="B129" s="54" t="s">
        <v>18</v>
      </c>
      <c r="C129" s="184" t="s">
        <v>78</v>
      </c>
      <c r="D129" s="184">
        <v>187</v>
      </c>
      <c r="E129" s="184" t="s">
        <v>90</v>
      </c>
      <c r="F129" s="184"/>
      <c r="G129" s="1756">
        <f>VLOOKUP($B129,'RATE BASE DATA'!$C:$J,6,FALSE)</f>
        <v>0</v>
      </c>
      <c r="H129" s="1738">
        <f>IF($E129="DIRECT",$L129,VLOOKUP($E129,Ratio,2,FALSE)*$G129)</f>
        <v>0</v>
      </c>
      <c r="I129" s="1738">
        <f>IF($E129="DIRECT",$M129,VLOOKUP($E129,Ratio,3,FALSE)*$G129)</f>
        <v>0</v>
      </c>
      <c r="J129" s="1739">
        <f>IF($E129="DIRECT",$N129,VLOOKUP($E129,Ratio,4,FALSE)*$G129)</f>
        <v>0</v>
      </c>
      <c r="K129" s="25"/>
      <c r="L129" s="1756"/>
      <c r="M129" s="1756"/>
      <c r="N129" s="1756"/>
      <c r="O129" s="11"/>
    </row>
    <row r="130" spans="1:15" ht="15" customHeight="1" x14ac:dyDescent="0.25">
      <c r="A130" s="1348"/>
      <c r="B130" s="54" t="s">
        <v>19</v>
      </c>
      <c r="C130" s="184" t="s">
        <v>78</v>
      </c>
      <c r="D130" s="184">
        <v>188</v>
      </c>
      <c r="E130" s="184" t="s">
        <v>392</v>
      </c>
      <c r="F130" s="184"/>
      <c r="G130" s="1756">
        <f>VLOOKUP($B130,'RATE BASE DATA'!$C:$J,6,FALSE)</f>
        <v>0</v>
      </c>
      <c r="H130" s="1738">
        <f t="shared" si="10"/>
        <v>0</v>
      </c>
      <c r="I130" s="1738">
        <f t="shared" si="11"/>
        <v>0</v>
      </c>
      <c r="J130" s="1739">
        <f t="shared" si="12"/>
        <v>0</v>
      </c>
      <c r="K130" s="25"/>
      <c r="L130" s="1757"/>
      <c r="M130" s="1758"/>
      <c r="N130" s="1758"/>
      <c r="O130" s="11"/>
    </row>
    <row r="131" spans="1:15" ht="15" customHeight="1" x14ac:dyDescent="0.25">
      <c r="A131" s="1348"/>
      <c r="B131" s="54" t="s">
        <v>20</v>
      </c>
      <c r="C131" s="184" t="s">
        <v>78</v>
      </c>
      <c r="D131" s="184">
        <v>189</v>
      </c>
      <c r="E131" s="184" t="s">
        <v>108</v>
      </c>
      <c r="F131" s="184"/>
      <c r="G131" s="1756">
        <f>VLOOKUP($B131,'RATE BASE DATA'!$C:$J,6,FALSE)</f>
        <v>541284.76220552903</v>
      </c>
      <c r="H131" s="1738">
        <f t="shared" si="10"/>
        <v>235141.95024878762</v>
      </c>
      <c r="I131" s="1738">
        <f t="shared" si="11"/>
        <v>0</v>
      </c>
      <c r="J131" s="1739">
        <f t="shared" si="12"/>
        <v>306196.98055862566</v>
      </c>
      <c r="K131" s="25"/>
      <c r="L131" s="1757"/>
      <c r="M131" s="1758"/>
      <c r="N131" s="1758"/>
      <c r="O131" s="11"/>
    </row>
    <row r="132" spans="1:15" ht="15" customHeight="1" x14ac:dyDescent="0.25">
      <c r="A132" s="1348"/>
      <c r="B132" s="54" t="s">
        <v>21</v>
      </c>
      <c r="C132" s="184" t="s">
        <v>78</v>
      </c>
      <c r="D132" s="184">
        <v>190</v>
      </c>
      <c r="E132" s="184" t="s">
        <v>392</v>
      </c>
      <c r="F132" s="184"/>
      <c r="G132" s="1756">
        <f>VLOOKUP($B132,'RATE BASE DATA'!$C:$J,6,FALSE)</f>
        <v>246299450.79183847</v>
      </c>
      <c r="H132" s="1738">
        <f t="shared" si="10"/>
        <v>0</v>
      </c>
      <c r="I132" s="1738">
        <f t="shared" si="11"/>
        <v>0</v>
      </c>
      <c r="J132" s="1739">
        <f t="shared" si="12"/>
        <v>246299450.79183847</v>
      </c>
      <c r="K132" s="25"/>
      <c r="L132" s="1757"/>
      <c r="M132" s="1758"/>
      <c r="N132" s="1758"/>
      <c r="O132" s="11"/>
    </row>
    <row r="133" spans="1:15" ht="15" customHeight="1" x14ac:dyDescent="0.25">
      <c r="A133" s="1353"/>
      <c r="B133" s="76" t="s">
        <v>104</v>
      </c>
      <c r="C133" s="1853"/>
      <c r="D133" s="1847"/>
      <c r="E133" s="1847"/>
      <c r="F133" s="1848"/>
      <c r="G133" s="1781">
        <f>SUM(G119:G132)</f>
        <v>720135403.6023643</v>
      </c>
      <c r="H133" s="495">
        <f>SUM(H119:H132)</f>
        <v>317408608.39184982</v>
      </c>
      <c r="I133" s="495">
        <f>SUM(I119:I132)</f>
        <v>0</v>
      </c>
      <c r="J133" s="1365">
        <f>SUM(J119:J132)</f>
        <v>402728413.55254722</v>
      </c>
      <c r="K133" s="25"/>
      <c r="L133" s="1757"/>
      <c r="M133" s="1758"/>
      <c r="N133" s="1758"/>
      <c r="O133" s="11"/>
    </row>
    <row r="134" spans="1:15" ht="15" customHeight="1" x14ac:dyDescent="0.25">
      <c r="A134" s="1353"/>
      <c r="B134" s="61"/>
      <c r="C134" s="81"/>
      <c r="D134" s="34"/>
      <c r="E134" s="34"/>
      <c r="F134" s="34"/>
      <c r="G134" s="377"/>
      <c r="H134" s="337"/>
      <c r="I134" s="337"/>
      <c r="J134" s="1354"/>
      <c r="K134" s="25"/>
      <c r="L134" s="1757"/>
      <c r="M134" s="1758"/>
      <c r="N134" s="1758"/>
      <c r="O134" s="11"/>
    </row>
    <row r="135" spans="1:15" ht="15" customHeight="1" x14ac:dyDescent="0.25">
      <c r="A135" s="1350" t="s">
        <v>74</v>
      </c>
      <c r="B135" s="32"/>
      <c r="C135" s="1853"/>
      <c r="D135" s="1847"/>
      <c r="E135" s="1847"/>
      <c r="F135" s="1848"/>
      <c r="G135" s="1781">
        <f>G84+G93+G100+G116+G133</f>
        <v>2674938012.4736252</v>
      </c>
      <c r="H135" s="495">
        <f>H84+H93+H100+H116+H133</f>
        <v>623076534.0081532</v>
      </c>
      <c r="I135" s="495">
        <f>I84+I93+I100+I116+I133</f>
        <v>0</v>
      </c>
      <c r="J135" s="1365">
        <f>J84+J93+J100+J116+J133</f>
        <v>2051862712.4084847</v>
      </c>
      <c r="K135" s="24"/>
      <c r="L135" s="1757"/>
      <c r="M135" s="1758"/>
      <c r="N135" s="1758"/>
      <c r="O135" s="11"/>
    </row>
    <row r="136" spans="1:15" ht="15" customHeight="1" thickBot="1" x14ac:dyDescent="0.3">
      <c r="A136" s="1359"/>
      <c r="B136" s="173"/>
      <c r="C136" s="193"/>
      <c r="D136" s="193"/>
      <c r="E136" s="188"/>
      <c r="F136" s="188"/>
      <c r="G136" s="1790"/>
      <c r="H136" s="383"/>
      <c r="I136" s="383"/>
      <c r="J136" s="1370"/>
      <c r="K136" s="24"/>
      <c r="L136" s="1757"/>
      <c r="M136" s="1758"/>
      <c r="N136" s="1758"/>
      <c r="O136" s="11"/>
    </row>
    <row r="137" spans="1:15" ht="15" customHeight="1" thickTop="1" x14ac:dyDescent="0.25">
      <c r="A137" s="1361" t="s">
        <v>75</v>
      </c>
      <c r="B137" s="32"/>
      <c r="C137" s="34"/>
      <c r="D137" s="34"/>
      <c r="E137" s="34"/>
      <c r="F137" s="34"/>
      <c r="G137" s="377"/>
      <c r="H137" s="142"/>
      <c r="I137" s="142"/>
      <c r="J137" s="1347"/>
      <c r="K137" s="24"/>
      <c r="L137" s="1757"/>
      <c r="M137" s="1758"/>
      <c r="N137" s="1758"/>
      <c r="O137" s="11"/>
    </row>
    <row r="138" spans="1:15" ht="15" customHeight="1" x14ac:dyDescent="0.25">
      <c r="A138" s="1348"/>
      <c r="B138" s="53" t="s">
        <v>434</v>
      </c>
      <c r="C138" s="48"/>
      <c r="D138" s="1860"/>
      <c r="E138" s="48"/>
      <c r="F138" s="48"/>
      <c r="G138" s="1791"/>
      <c r="H138" s="337"/>
      <c r="I138" s="337"/>
      <c r="J138" s="1354"/>
      <c r="K138" s="24"/>
      <c r="L138" s="1757"/>
      <c r="M138" s="1758"/>
      <c r="N138" s="1758"/>
      <c r="O138" s="11"/>
    </row>
    <row r="139" spans="1:15" ht="15" customHeight="1" x14ac:dyDescent="0.25">
      <c r="A139" s="1348"/>
      <c r="B139" s="54" t="s">
        <v>332</v>
      </c>
      <c r="C139" s="184" t="s">
        <v>81</v>
      </c>
      <c r="D139" s="184">
        <v>175</v>
      </c>
      <c r="E139" s="184" t="s">
        <v>392</v>
      </c>
      <c r="F139" s="184"/>
      <c r="G139" s="1756">
        <f>VLOOKUP($B139,'RATE BASE DATA'!$C:$J,6,FALSE)</f>
        <v>22642393.493960042</v>
      </c>
      <c r="H139" s="1738">
        <f>VLOOKUP($E139,Ratio,2,FALSE)*$G139</f>
        <v>0</v>
      </c>
      <c r="I139" s="1738">
        <f>VLOOKUP($E139,Ratio,3,FALSE)*$G139</f>
        <v>0</v>
      </c>
      <c r="J139" s="1739">
        <f>VLOOKUP($E139,Ratio,4,FALSE)*$G139</f>
        <v>22642393.493960042</v>
      </c>
      <c r="K139" s="24"/>
      <c r="L139" s="1757"/>
      <c r="M139" s="1758"/>
      <c r="N139" s="1758"/>
      <c r="O139" s="11"/>
    </row>
    <row r="140" spans="1:15" ht="15" customHeight="1" x14ac:dyDescent="0.25">
      <c r="A140" s="1348"/>
      <c r="B140" s="143" t="s">
        <v>350</v>
      </c>
      <c r="C140" s="184" t="s">
        <v>81</v>
      </c>
      <c r="D140" s="184">
        <v>175</v>
      </c>
      <c r="E140" s="184" t="s">
        <v>392</v>
      </c>
      <c r="F140" s="184"/>
      <c r="G140" s="1756">
        <f>VLOOKUP($B140,'RATE BASE DATA'!$C:$J,6,FALSE)</f>
        <v>5417975.1411873503</v>
      </c>
      <c r="H140" s="1738">
        <f>VLOOKUP($E140,Ratio,2,FALSE)*$G140</f>
        <v>0</v>
      </c>
      <c r="I140" s="1738">
        <f>VLOOKUP($E140,Ratio,3,FALSE)*$G140</f>
        <v>0</v>
      </c>
      <c r="J140" s="1739">
        <f>VLOOKUP($E140,Ratio,4,FALSE)*$G140</f>
        <v>5417975.1411873503</v>
      </c>
      <c r="K140" s="24"/>
      <c r="L140" s="1757"/>
      <c r="M140" s="1758"/>
      <c r="N140" s="1758"/>
      <c r="O140" s="11"/>
    </row>
    <row r="141" spans="1:15" ht="15" customHeight="1" x14ac:dyDescent="0.25">
      <c r="A141" s="1348"/>
      <c r="B141" s="54" t="s">
        <v>333</v>
      </c>
      <c r="C141" s="184" t="s">
        <v>81</v>
      </c>
      <c r="D141" s="184">
        <v>176</v>
      </c>
      <c r="E141" s="184" t="s">
        <v>392</v>
      </c>
      <c r="F141" s="184"/>
      <c r="G141" s="1756">
        <f>VLOOKUP($B141,'RATE BASE DATA'!$C:$J,6,FALSE)</f>
        <v>0</v>
      </c>
      <c r="H141" s="1738">
        <f>VLOOKUP($E141,Ratio,2,FALSE)*$G141</f>
        <v>0</v>
      </c>
      <c r="I141" s="1738">
        <f>VLOOKUP($E141,Ratio,3,FALSE)*$G141</f>
        <v>0</v>
      </c>
      <c r="J141" s="1739">
        <f>VLOOKUP($E141,Ratio,4,FALSE)*$G141</f>
        <v>0</v>
      </c>
      <c r="K141" s="24"/>
      <c r="L141" s="1757"/>
      <c r="M141" s="1758"/>
      <c r="N141" s="1758"/>
      <c r="O141" s="11"/>
    </row>
    <row r="142" spans="1:15" ht="15" customHeight="1" x14ac:dyDescent="0.25">
      <c r="A142" s="1348"/>
      <c r="B142" s="143" t="s">
        <v>349</v>
      </c>
      <c r="C142" s="184" t="s">
        <v>81</v>
      </c>
      <c r="D142" s="184">
        <v>176</v>
      </c>
      <c r="E142" s="184" t="s">
        <v>392</v>
      </c>
      <c r="F142" s="184"/>
      <c r="G142" s="1756">
        <f>VLOOKUP($B142,'RATE BASE DATA'!$C:$J,6,FALSE)</f>
        <v>0</v>
      </c>
      <c r="H142" s="1738">
        <f>VLOOKUP($E142,Ratio,2,FALSE)*$G142</f>
        <v>0</v>
      </c>
      <c r="I142" s="1738">
        <f>VLOOKUP($E142,Ratio,3,FALSE)*$G142</f>
        <v>0</v>
      </c>
      <c r="J142" s="1739">
        <f>VLOOKUP($E142,Ratio,4,FALSE)*$G142</f>
        <v>0</v>
      </c>
      <c r="K142" s="24"/>
      <c r="L142" s="1757"/>
      <c r="M142" s="1758"/>
      <c r="N142" s="1758"/>
      <c r="O142" s="11"/>
    </row>
    <row r="143" spans="1:15" ht="15" customHeight="1" x14ac:dyDescent="0.25">
      <c r="A143" s="1348"/>
      <c r="B143" s="76" t="s">
        <v>104</v>
      </c>
      <c r="C143" s="1853"/>
      <c r="D143" s="1847"/>
      <c r="E143" s="1847"/>
      <c r="F143" s="1848"/>
      <c r="G143" s="1781">
        <f>G139-G140+G141-G142</f>
        <v>17224418.35277269</v>
      </c>
      <c r="H143" s="495">
        <f>H139-H140+H141-H142</f>
        <v>0</v>
      </c>
      <c r="I143" s="495">
        <f>I139-I140+I141-I142</f>
        <v>0</v>
      </c>
      <c r="J143" s="1365">
        <f>J139-J140+J141-J142</f>
        <v>17224418.35277269</v>
      </c>
      <c r="K143" s="24"/>
      <c r="L143" s="1757"/>
      <c r="M143" s="1758"/>
      <c r="N143" s="1758"/>
      <c r="O143" s="11"/>
    </row>
    <row r="144" spans="1:15" ht="15" customHeight="1" x14ac:dyDescent="0.25">
      <c r="A144" s="1348"/>
      <c r="B144" s="53" t="s">
        <v>435</v>
      </c>
      <c r="C144" s="48"/>
      <c r="D144" s="1860"/>
      <c r="E144" s="48"/>
      <c r="F144" s="48"/>
      <c r="G144" s="377"/>
      <c r="H144" s="337"/>
      <c r="I144" s="337"/>
      <c r="J144" s="1354"/>
      <c r="K144" s="24"/>
      <c r="L144" s="1757"/>
      <c r="M144" s="1758"/>
      <c r="N144" s="1758"/>
      <c r="O144" s="11"/>
    </row>
    <row r="145" spans="1:15" ht="15" hidden="1" customHeight="1" x14ac:dyDescent="0.25">
      <c r="A145" s="1348"/>
      <c r="B145" s="54" t="s">
        <v>374</v>
      </c>
      <c r="C145" s="184" t="s">
        <v>81</v>
      </c>
      <c r="D145" s="184">
        <v>244</v>
      </c>
      <c r="E145" s="184" t="s">
        <v>392</v>
      </c>
      <c r="F145" s="184"/>
      <c r="G145" s="1783"/>
      <c r="H145" s="1738">
        <f>VLOOKUP($E145,Ratio,2,FALSE)*$G145</f>
        <v>0</v>
      </c>
      <c r="I145" s="1738">
        <f>VLOOKUP($E145,Ratio,3,FALSE)*$G145</f>
        <v>0</v>
      </c>
      <c r="J145" s="1739">
        <f>VLOOKUP($E145,Ratio,4,FALSE)*$G145</f>
        <v>0</v>
      </c>
      <c r="K145" s="24"/>
      <c r="L145" s="1757"/>
      <c r="M145" s="1758"/>
      <c r="N145" s="1758"/>
      <c r="O145" s="11"/>
    </row>
    <row r="146" spans="1:15" ht="18" customHeight="1" x14ac:dyDescent="0.25">
      <c r="A146" s="1348"/>
      <c r="B146" s="54" t="s">
        <v>375</v>
      </c>
      <c r="C146" s="184" t="s">
        <v>81</v>
      </c>
      <c r="D146" s="184">
        <v>245</v>
      </c>
      <c r="E146" s="184" t="s">
        <v>392</v>
      </c>
      <c r="F146" s="184"/>
      <c r="G146" s="1756">
        <f>VLOOKUP($B146,'RATE BASE DATA'!$C:$J,6,FALSE)</f>
        <v>0</v>
      </c>
      <c r="H146" s="1738">
        <f>VLOOKUP($E146,Ratio,2,FALSE)*$G146</f>
        <v>0</v>
      </c>
      <c r="I146" s="1738">
        <f>VLOOKUP($E146,Ratio,3,FALSE)*$G146</f>
        <v>0</v>
      </c>
      <c r="J146" s="1739">
        <f>VLOOKUP($E146,Ratio,4,FALSE)*$G146</f>
        <v>0</v>
      </c>
      <c r="K146" s="24"/>
      <c r="L146" s="1757"/>
      <c r="M146" s="1758"/>
      <c r="N146" s="1758"/>
      <c r="O146" s="11"/>
    </row>
    <row r="147" spans="1:15" ht="15" customHeight="1" x14ac:dyDescent="0.25">
      <c r="A147" s="1348"/>
      <c r="B147" s="54" t="s">
        <v>22</v>
      </c>
      <c r="C147" s="184" t="s">
        <v>81</v>
      </c>
      <c r="D147" s="184">
        <v>252</v>
      </c>
      <c r="E147" s="184" t="s">
        <v>392</v>
      </c>
      <c r="F147" s="184"/>
      <c r="G147" s="1756">
        <f>VLOOKUP($B147,'RATE BASE DATA'!$C:$J,6,FALSE)</f>
        <v>116915919.87053765</v>
      </c>
      <c r="H147" s="1738">
        <f t="shared" ref="H147:H155" si="13">VLOOKUP($E147,Ratio,2,FALSE)*$G147</f>
        <v>0</v>
      </c>
      <c r="I147" s="1738">
        <f t="shared" ref="I147:I155" si="14">VLOOKUP($E147,Ratio,3,FALSE)*$G147</f>
        <v>0</v>
      </c>
      <c r="J147" s="1739">
        <f t="shared" ref="J147:J155" si="15">VLOOKUP($E147,Ratio,4,FALSE)*$G147</f>
        <v>116915919.87053765</v>
      </c>
      <c r="K147" s="24"/>
      <c r="L147" s="1757"/>
      <c r="M147" s="1758"/>
      <c r="N147" s="1758"/>
      <c r="O147" s="11"/>
    </row>
    <row r="148" spans="1:15" ht="15" customHeight="1" x14ac:dyDescent="0.25">
      <c r="A148" s="1348"/>
      <c r="B148" s="54" t="s">
        <v>25</v>
      </c>
      <c r="C148" s="184" t="s">
        <v>81</v>
      </c>
      <c r="D148" s="184">
        <v>253</v>
      </c>
      <c r="E148" s="184" t="s">
        <v>90</v>
      </c>
      <c r="F148" s="184" t="s">
        <v>392</v>
      </c>
      <c r="G148" s="1756">
        <f>VLOOKUP($B148,'RATE BASE DATA'!$C:$J,6,FALSE)</f>
        <v>94502054.237743318</v>
      </c>
      <c r="H148" s="1738">
        <f>IF($E148="DIRECT",$L148,VLOOKUP($E148,Ratio,2,FALSE)*$G148)</f>
        <v>25888712.071299382</v>
      </c>
      <c r="I148" s="1738">
        <f>IF($E148="DIRECT",$M148,VLOOKUP($E148,Ratio,3,FALSE)*$G148)</f>
        <v>0</v>
      </c>
      <c r="J148" s="1739">
        <f>IF($E148="DIRECT",$N148,VLOOKUP($E148,Ratio,4,FALSE)*$G148)</f>
        <v>68613342.166443944</v>
      </c>
      <c r="K148" s="24"/>
      <c r="L148" s="1756">
        <f>-'B15-Misc Rate Base'!T245*1000</f>
        <v>25888712.071299382</v>
      </c>
      <c r="M148" s="1756">
        <f>-'B15-Misc Rate Base'!U245*1000</f>
        <v>0</v>
      </c>
      <c r="N148" s="1756">
        <f>-'B15-Misc Rate Base'!V245*1000</f>
        <v>68613342.166443944</v>
      </c>
      <c r="O148" s="11"/>
    </row>
    <row r="149" spans="1:15" ht="15" customHeight="1" x14ac:dyDescent="0.25">
      <c r="A149" s="1348"/>
      <c r="B149" s="54" t="s">
        <v>26</v>
      </c>
      <c r="C149" s="184" t="s">
        <v>81</v>
      </c>
      <c r="D149" s="184">
        <v>254</v>
      </c>
      <c r="E149" s="184" t="s">
        <v>90</v>
      </c>
      <c r="F149" s="184" t="s">
        <v>392</v>
      </c>
      <c r="G149" s="1756">
        <f>VLOOKUP($B149,'RATE BASE DATA'!$C:$J,6,FALSE)</f>
        <v>359522698.61054516</v>
      </c>
      <c r="H149" s="1738">
        <f>IF($E149="DIRECT",$L149,VLOOKUP($E149,Ratio,2,FALSE)*$G149)</f>
        <v>32799742.085416801</v>
      </c>
      <c r="I149" s="1738">
        <f>IF($E149="DIRECT",$M149,VLOOKUP($E149,Ratio,3,FALSE)*$G149)</f>
        <v>0</v>
      </c>
      <c r="J149" s="1739">
        <f>IF($E149="DIRECT",$N149,VLOOKUP($E149,Ratio,4,FALSE)*$G149)</f>
        <v>326722956.52512836</v>
      </c>
      <c r="K149" s="24"/>
      <c r="L149" s="1756">
        <f>-'B15-Misc Rate Base'!T252*1000</f>
        <v>32799742.085416801</v>
      </c>
      <c r="M149" s="1756">
        <f>-'B15-Misc Rate Base'!U252*1000</f>
        <v>0</v>
      </c>
      <c r="N149" s="1756">
        <f>-'B15-Misc Rate Base'!V252*1000</f>
        <v>326722956.52512836</v>
      </c>
      <c r="O149" s="11"/>
    </row>
    <row r="150" spans="1:15" ht="15" customHeight="1" x14ac:dyDescent="0.25">
      <c r="A150" s="1348"/>
      <c r="B150" s="54" t="s">
        <v>23</v>
      </c>
      <c r="C150" s="184" t="s">
        <v>81</v>
      </c>
      <c r="D150" s="184">
        <v>255</v>
      </c>
      <c r="E150" s="184" t="s">
        <v>392</v>
      </c>
      <c r="F150" s="184"/>
      <c r="G150" s="1756">
        <f>VLOOKUP($B150,'RATE BASE DATA'!$C:$J,6,FALSE)</f>
        <v>204819.8228425734</v>
      </c>
      <c r="H150" s="1738">
        <f t="shared" si="13"/>
        <v>0</v>
      </c>
      <c r="I150" s="1738">
        <f t="shared" si="14"/>
        <v>0</v>
      </c>
      <c r="J150" s="1739">
        <f t="shared" si="15"/>
        <v>204819.8228425734</v>
      </c>
      <c r="K150" s="24"/>
      <c r="L150" s="1764"/>
      <c r="M150" s="1755"/>
      <c r="N150" s="1755"/>
      <c r="O150" s="11"/>
    </row>
    <row r="151" spans="1:15" ht="15" customHeight="1" x14ac:dyDescent="0.25">
      <c r="A151" s="1348"/>
      <c r="B151" s="54" t="s">
        <v>24</v>
      </c>
      <c r="C151" s="184" t="s">
        <v>81</v>
      </c>
      <c r="D151" s="184">
        <v>256</v>
      </c>
      <c r="E151" s="184" t="s">
        <v>90</v>
      </c>
      <c r="F151" s="184"/>
      <c r="G151" s="1756">
        <f>VLOOKUP($B151,'RATE BASE DATA'!$C:$J,6,FALSE)</f>
        <v>0</v>
      </c>
      <c r="H151" s="1738">
        <f>IF($E151="DIRECT",$L151,VLOOKUP($E151,Ratio,2,FALSE)*$G151)</f>
        <v>0</v>
      </c>
      <c r="I151" s="1738">
        <f>IF($E151="DIRECT",$M151,VLOOKUP($E151,Ratio,3,FALSE)*$G151)</f>
        <v>0</v>
      </c>
      <c r="J151" s="1739">
        <f>IF($E151="DIRECT",$N151,VLOOKUP($E151,Ratio,4,FALSE)*$G151)</f>
        <v>0</v>
      </c>
      <c r="K151" s="24"/>
      <c r="L151" s="1756"/>
      <c r="M151" s="1756"/>
      <c r="N151" s="1756"/>
      <c r="O151" s="11"/>
    </row>
    <row r="152" spans="1:15" ht="15.75" customHeight="1" x14ac:dyDescent="0.25">
      <c r="A152" s="1348"/>
      <c r="B152" s="54" t="s">
        <v>27</v>
      </c>
      <c r="C152" s="184" t="s">
        <v>81</v>
      </c>
      <c r="D152" s="184">
        <v>257</v>
      </c>
      <c r="E152" s="184" t="s">
        <v>108</v>
      </c>
      <c r="F152" s="184"/>
      <c r="G152" s="1756">
        <f>VLOOKUP($B152,'RATE BASE DATA'!$C:$J,6,FALSE)</f>
        <v>0</v>
      </c>
      <c r="H152" s="1738">
        <f t="shared" si="13"/>
        <v>0</v>
      </c>
      <c r="I152" s="1738">
        <f t="shared" si="14"/>
        <v>0</v>
      </c>
      <c r="J152" s="1739">
        <f t="shared" si="15"/>
        <v>0</v>
      </c>
      <c r="K152" s="24"/>
      <c r="L152" s="1757"/>
      <c r="M152" s="1758"/>
      <c r="N152" s="1758"/>
      <c r="O152" s="11"/>
    </row>
    <row r="153" spans="1:15" ht="15" customHeight="1" x14ac:dyDescent="0.25">
      <c r="A153" s="1348"/>
      <c r="B153" s="54" t="s">
        <v>31</v>
      </c>
      <c r="C153" s="184" t="s">
        <v>81</v>
      </c>
      <c r="D153" s="184">
        <v>281</v>
      </c>
      <c r="E153" s="184" t="s">
        <v>392</v>
      </c>
      <c r="F153" s="184"/>
      <c r="G153" s="1756">
        <f>VLOOKUP($B153,'RATE BASE DATA'!$C:$J,6,FALSE)</f>
        <v>33319510.70918411</v>
      </c>
      <c r="H153" s="1738">
        <f t="shared" si="13"/>
        <v>0</v>
      </c>
      <c r="I153" s="1738">
        <f t="shared" si="14"/>
        <v>0</v>
      </c>
      <c r="J153" s="1739">
        <f t="shared" si="15"/>
        <v>33319510.70918411</v>
      </c>
      <c r="K153" s="24"/>
      <c r="L153" s="1757"/>
      <c r="M153" s="1758"/>
      <c r="N153" s="1758"/>
      <c r="O153" s="11"/>
    </row>
    <row r="154" spans="1:15" ht="15" customHeight="1" x14ac:dyDescent="0.25">
      <c r="A154" s="1348"/>
      <c r="B154" s="54" t="s">
        <v>32</v>
      </c>
      <c r="C154" s="184" t="s">
        <v>81</v>
      </c>
      <c r="D154" s="184">
        <v>282</v>
      </c>
      <c r="E154" s="184" t="s">
        <v>392</v>
      </c>
      <c r="F154" s="184"/>
      <c r="G154" s="1756">
        <f>VLOOKUP($B154,'RATE BASE DATA'!$C:$J,6,FALSE)</f>
        <v>808449407.52286541</v>
      </c>
      <c r="H154" s="1738">
        <f t="shared" si="13"/>
        <v>0</v>
      </c>
      <c r="I154" s="1738">
        <f t="shared" si="14"/>
        <v>0</v>
      </c>
      <c r="J154" s="1739">
        <f t="shared" si="15"/>
        <v>808449407.52286541</v>
      </c>
      <c r="K154" s="24"/>
      <c r="L154" s="1757"/>
      <c r="M154" s="1758"/>
      <c r="N154" s="1758"/>
      <c r="O154" s="11"/>
    </row>
    <row r="155" spans="1:15" ht="15" customHeight="1" x14ac:dyDescent="0.25">
      <c r="A155" s="1348"/>
      <c r="B155" s="54" t="s">
        <v>33</v>
      </c>
      <c r="C155" s="184" t="s">
        <v>81</v>
      </c>
      <c r="D155" s="184">
        <v>283</v>
      </c>
      <c r="E155" s="184" t="s">
        <v>392</v>
      </c>
      <c r="F155" s="184"/>
      <c r="G155" s="1756">
        <f>VLOOKUP($B155,'RATE BASE DATA'!$C:$J,6,FALSE)</f>
        <v>66303684.399601184</v>
      </c>
      <c r="H155" s="1738">
        <f t="shared" si="13"/>
        <v>0</v>
      </c>
      <c r="I155" s="1738">
        <f t="shared" si="14"/>
        <v>0</v>
      </c>
      <c r="J155" s="1739">
        <f t="shared" si="15"/>
        <v>66303684.399601184</v>
      </c>
      <c r="K155" s="24"/>
      <c r="L155" s="1757"/>
      <c r="M155" s="1758"/>
      <c r="N155" s="1758"/>
      <c r="O155" s="11"/>
    </row>
    <row r="156" spans="1:15" ht="15" customHeight="1" x14ac:dyDescent="0.25">
      <c r="A156" s="1348"/>
      <c r="B156" s="76" t="s">
        <v>104</v>
      </c>
      <c r="C156" s="1853"/>
      <c r="D156" s="1847"/>
      <c r="E156" s="1847"/>
      <c r="F156" s="1848"/>
      <c r="G156" s="1781">
        <f>SUM(G145:G155)</f>
        <v>1479218095.1733196</v>
      </c>
      <c r="H156" s="495">
        <f>SUM(H145:H155)</f>
        <v>58688454.156716183</v>
      </c>
      <c r="I156" s="495">
        <f>SUM(I145:I155)</f>
        <v>0</v>
      </c>
      <c r="J156" s="1365">
        <f>SUM(J145:J155)</f>
        <v>1420529641.0166032</v>
      </c>
      <c r="K156" s="24"/>
      <c r="L156" s="1757"/>
      <c r="M156" s="1758"/>
      <c r="N156" s="1758"/>
      <c r="O156" s="11"/>
    </row>
    <row r="157" spans="1:15" ht="15" customHeight="1" x14ac:dyDescent="0.25">
      <c r="A157" s="1348"/>
      <c r="B157" s="62"/>
      <c r="C157" s="34"/>
      <c r="D157" s="1861"/>
      <c r="E157" s="34"/>
      <c r="F157" s="34"/>
      <c r="G157" s="384"/>
      <c r="H157" s="385"/>
      <c r="I157" s="385"/>
      <c r="J157" s="1371"/>
      <c r="K157" s="24"/>
      <c r="L157" s="1757"/>
      <c r="M157" s="1758"/>
      <c r="N157" s="1758"/>
      <c r="O157" s="11"/>
    </row>
    <row r="158" spans="1:15" ht="15" customHeight="1" x14ac:dyDescent="0.25">
      <c r="A158" s="1350" t="s">
        <v>73</v>
      </c>
      <c r="B158" s="32"/>
      <c r="C158" s="1853"/>
      <c r="D158" s="1847"/>
      <c r="E158" s="1847"/>
      <c r="F158" s="1848"/>
      <c r="G158" s="1781">
        <f>+G156+G143</f>
        <v>1496442513.5260923</v>
      </c>
      <c r="H158" s="495">
        <f>+H156+H143</f>
        <v>58688454.156716183</v>
      </c>
      <c r="I158" s="495">
        <f>+I156+I143</f>
        <v>0</v>
      </c>
      <c r="J158" s="1365">
        <f>+J156+J143</f>
        <v>1437754059.3693759</v>
      </c>
      <c r="L158" s="1765"/>
      <c r="M158" s="1758"/>
      <c r="N158" s="1758"/>
      <c r="O158" s="11"/>
    </row>
    <row r="159" spans="1:15" ht="15" customHeight="1" x14ac:dyDescent="0.25">
      <c r="A159" s="1372"/>
      <c r="B159" s="32"/>
      <c r="C159" s="34"/>
      <c r="D159" s="34"/>
      <c r="E159" s="34"/>
      <c r="F159" s="34"/>
      <c r="G159" s="377"/>
      <c r="H159" s="142"/>
      <c r="I159" s="142"/>
      <c r="J159" s="1347"/>
      <c r="L159" s="1765"/>
      <c r="M159" s="1758"/>
      <c r="N159" s="1758"/>
      <c r="O159" s="11"/>
    </row>
    <row r="160" spans="1:15" ht="15" customHeight="1" x14ac:dyDescent="0.25">
      <c r="A160" s="1373"/>
      <c r="B160" s="62"/>
      <c r="C160" s="1861"/>
      <c r="D160" s="1861"/>
      <c r="E160" s="1815"/>
      <c r="F160" s="1815"/>
      <c r="G160" s="1782"/>
      <c r="H160" s="338"/>
      <c r="I160" s="338"/>
      <c r="J160" s="1374"/>
      <c r="L160" s="1755"/>
      <c r="M160" s="1755"/>
      <c r="N160" s="1755"/>
    </row>
    <row r="161" spans="1:15" ht="15" customHeight="1" x14ac:dyDescent="0.25">
      <c r="A161" s="1344" t="s">
        <v>478</v>
      </c>
      <c r="B161" s="32"/>
      <c r="C161" s="1862"/>
      <c r="D161" s="1863"/>
      <c r="E161" s="1863"/>
      <c r="F161" s="1864"/>
      <c r="G161" s="1792">
        <f>G79+G135-G158</f>
        <v>6822072297.7143288</v>
      </c>
      <c r="H161" s="499">
        <f>H79+H135-H158</f>
        <v>2834139760.5315924</v>
      </c>
      <c r="I161" s="499">
        <f>I79+I135-I158</f>
        <v>0</v>
      </c>
      <c r="J161" s="1375">
        <f>J79+J135-J158</f>
        <v>3987933771.1266861</v>
      </c>
      <c r="L161" s="1766"/>
      <c r="M161" s="1758"/>
      <c r="N161" s="1758"/>
      <c r="O161" s="11"/>
    </row>
    <row r="162" spans="1:15" ht="15" customHeight="1" x14ac:dyDescent="0.25">
      <c r="A162" s="1356" t="s">
        <v>83</v>
      </c>
      <c r="B162" s="32"/>
      <c r="C162" s="8"/>
      <c r="D162" s="8"/>
      <c r="E162" s="8"/>
      <c r="F162" s="8"/>
      <c r="G162" s="1793"/>
      <c r="H162" s="23"/>
      <c r="I162" s="30"/>
      <c r="J162" s="1376"/>
      <c r="K162" s="11"/>
      <c r="L162" s="1758"/>
      <c r="M162" s="1758"/>
      <c r="N162" s="1755"/>
    </row>
    <row r="163" spans="1:15" ht="15" customHeight="1" thickBot="1" x14ac:dyDescent="0.3">
      <c r="A163" s="1359"/>
      <c r="B163" s="173"/>
      <c r="C163" s="174"/>
      <c r="D163" s="174"/>
      <c r="E163" s="174"/>
      <c r="F163" s="174"/>
      <c r="G163" s="1794"/>
      <c r="H163" s="271"/>
      <c r="I163" s="272"/>
      <c r="J163" s="1377"/>
      <c r="K163" s="11"/>
      <c r="L163" s="1758"/>
      <c r="M163" s="1758"/>
      <c r="N163" s="1755"/>
    </row>
    <row r="164" spans="1:15" ht="15" customHeight="1" thickTop="1" x14ac:dyDescent="0.25">
      <c r="A164" s="1"/>
      <c r="B164" s="1"/>
      <c r="C164" s="1"/>
      <c r="D164" s="1"/>
      <c r="G164" s="1755"/>
      <c r="H164" s="1"/>
      <c r="I164" s="1"/>
      <c r="J164" s="1"/>
      <c r="K164" s="11"/>
      <c r="L164" s="1758"/>
      <c r="M164" s="1758"/>
      <c r="N164" s="1755"/>
    </row>
    <row r="165" spans="1:15" ht="15" customHeight="1" x14ac:dyDescent="0.25">
      <c r="A165" s="1"/>
      <c r="B165" s="1"/>
      <c r="C165" s="1"/>
      <c r="D165" s="1"/>
      <c r="G165" s="1755"/>
      <c r="H165" s="1"/>
      <c r="I165" s="1"/>
      <c r="J165" s="1"/>
      <c r="L165" s="1765"/>
      <c r="M165" s="1758"/>
      <c r="N165" s="1758"/>
      <c r="O165" s="11"/>
    </row>
    <row r="166" spans="1:15" ht="15" customHeight="1" x14ac:dyDescent="0.25">
      <c r="A166" s="1"/>
      <c r="B166" s="1"/>
      <c r="C166" s="1"/>
      <c r="D166" s="1"/>
      <c r="G166" s="1755"/>
      <c r="H166" s="1"/>
      <c r="I166" s="1"/>
      <c r="J166" s="1"/>
      <c r="L166" s="1765"/>
      <c r="M166" s="1758"/>
      <c r="N166" s="1758"/>
      <c r="O166" s="11"/>
    </row>
    <row r="167" spans="1:15" ht="15" customHeight="1" x14ac:dyDescent="0.25">
      <c r="A167" s="1"/>
      <c r="B167" s="1"/>
      <c r="C167" s="1"/>
      <c r="D167" s="1"/>
      <c r="G167" s="1755"/>
      <c r="H167" s="1"/>
      <c r="I167" s="1"/>
      <c r="J167" s="1"/>
      <c r="L167" s="1765"/>
      <c r="M167" s="1758"/>
      <c r="N167" s="1758"/>
      <c r="O167" s="11"/>
    </row>
    <row r="168" spans="1:15" ht="15" customHeight="1" x14ac:dyDescent="0.25">
      <c r="A168" s="1"/>
      <c r="B168" s="1"/>
      <c r="C168" s="1"/>
      <c r="D168" s="1"/>
      <c r="G168" s="1755"/>
      <c r="H168" s="1"/>
      <c r="I168" s="1"/>
      <c r="J168" s="1"/>
      <c r="L168" s="1765"/>
      <c r="M168" s="1758"/>
      <c r="N168" s="1758"/>
      <c r="O168" s="11"/>
    </row>
    <row r="169" spans="1:15" ht="15" customHeight="1" x14ac:dyDescent="0.25">
      <c r="A169" s="1"/>
      <c r="B169" s="1"/>
      <c r="C169" s="1"/>
      <c r="D169" s="1"/>
      <c r="G169" s="1755"/>
      <c r="H169" s="1"/>
      <c r="I169" s="1"/>
      <c r="J169" s="1"/>
      <c r="L169" s="1765"/>
      <c r="M169" s="1758"/>
      <c r="N169" s="1758"/>
      <c r="O169" s="11"/>
    </row>
    <row r="170" spans="1:15" ht="15" customHeight="1" x14ac:dyDescent="0.25">
      <c r="A170" s="1"/>
      <c r="B170" s="1"/>
      <c r="C170" s="1"/>
      <c r="D170" s="1"/>
      <c r="G170" s="1755"/>
      <c r="H170" s="1"/>
      <c r="I170" s="1"/>
      <c r="J170" s="1"/>
      <c r="L170" s="1765"/>
      <c r="M170" s="1758"/>
      <c r="N170" s="1758"/>
      <c r="O170" s="11"/>
    </row>
    <row r="171" spans="1:15" ht="15" customHeight="1" x14ac:dyDescent="0.25">
      <c r="A171" s="1"/>
      <c r="B171" s="1"/>
      <c r="C171" s="1"/>
      <c r="D171" s="1"/>
      <c r="G171" s="1755"/>
      <c r="H171" s="1"/>
      <c r="I171" s="1"/>
      <c r="J171" s="1"/>
      <c r="L171" s="1765"/>
      <c r="M171" s="1758"/>
      <c r="N171" s="1758"/>
      <c r="O171" s="11"/>
    </row>
    <row r="172" spans="1:15" ht="15" customHeight="1" x14ac:dyDescent="0.25">
      <c r="A172" s="1"/>
      <c r="B172" s="1"/>
      <c r="C172" s="1"/>
      <c r="D172" s="1"/>
      <c r="G172" s="1755"/>
      <c r="H172" s="1"/>
      <c r="I172" s="1"/>
      <c r="J172" s="1"/>
      <c r="L172" s="1765"/>
      <c r="M172" s="1758"/>
      <c r="N172" s="1758"/>
      <c r="O172" s="11"/>
    </row>
    <row r="173" spans="1:15" ht="15" customHeight="1" x14ac:dyDescent="0.25">
      <c r="A173" s="1"/>
      <c r="B173" s="1"/>
      <c r="C173" s="1"/>
      <c r="D173" s="1"/>
      <c r="G173" s="1755"/>
      <c r="H173" s="1"/>
      <c r="I173" s="1"/>
      <c r="J173" s="1"/>
      <c r="L173" s="1765"/>
      <c r="M173" s="1758"/>
      <c r="N173" s="1758"/>
      <c r="O173" s="11"/>
    </row>
    <row r="174" spans="1:15" ht="15" customHeight="1" x14ac:dyDescent="0.25">
      <c r="A174" s="1"/>
      <c r="B174" s="1"/>
      <c r="C174" s="1"/>
      <c r="D174" s="1"/>
      <c r="G174" s="1755"/>
      <c r="H174" s="1"/>
      <c r="I174" s="1"/>
      <c r="J174" s="1"/>
      <c r="L174" s="1765"/>
      <c r="M174" s="1758"/>
      <c r="N174" s="1758"/>
      <c r="O174" s="11"/>
    </row>
    <row r="175" spans="1:15" ht="15" customHeight="1" x14ac:dyDescent="0.25">
      <c r="A175" s="1"/>
      <c r="B175" s="1"/>
      <c r="C175" s="1"/>
      <c r="D175" s="1"/>
      <c r="G175" s="1755"/>
      <c r="H175" s="1"/>
      <c r="I175" s="1"/>
      <c r="J175" s="1"/>
      <c r="L175" s="1765"/>
      <c r="M175" s="1758"/>
      <c r="N175" s="1758"/>
      <c r="O175" s="11"/>
    </row>
    <row r="176" spans="1:15" ht="15" customHeight="1" x14ac:dyDescent="0.25">
      <c r="A176" s="1"/>
      <c r="B176" s="1"/>
      <c r="C176" s="1"/>
      <c r="D176" s="1"/>
      <c r="G176" s="1755"/>
      <c r="H176" s="1"/>
      <c r="I176" s="1"/>
      <c r="J176" s="1"/>
      <c r="L176" s="1765"/>
      <c r="M176" s="1758"/>
      <c r="N176" s="1758"/>
      <c r="O176" s="11"/>
    </row>
    <row r="177" spans="1:15" ht="15" customHeight="1" x14ac:dyDescent="0.25">
      <c r="A177" s="1"/>
      <c r="B177" s="1"/>
      <c r="C177" s="1"/>
      <c r="D177" s="1"/>
      <c r="G177" s="1755"/>
      <c r="H177" s="1"/>
      <c r="I177" s="1"/>
      <c r="J177" s="1"/>
      <c r="L177" s="1765"/>
      <c r="M177" s="1758"/>
      <c r="N177" s="1758"/>
      <c r="O177" s="11"/>
    </row>
    <row r="178" spans="1:15" ht="15" customHeight="1" x14ac:dyDescent="0.25">
      <c r="A178" s="1"/>
      <c r="B178" s="1"/>
      <c r="C178" s="1"/>
      <c r="D178" s="1"/>
      <c r="G178" s="1755"/>
      <c r="H178" s="1"/>
      <c r="I178" s="1"/>
      <c r="J178" s="1"/>
      <c r="L178" s="1765"/>
      <c r="M178" s="1758"/>
      <c r="N178" s="1758"/>
      <c r="O178" s="11"/>
    </row>
    <row r="179" spans="1:15" ht="15" customHeight="1" x14ac:dyDescent="0.25">
      <c r="A179" s="1"/>
      <c r="B179" s="1"/>
      <c r="C179" s="1"/>
      <c r="D179" s="1"/>
      <c r="G179" s="1755"/>
      <c r="H179" s="1"/>
      <c r="I179" s="1"/>
      <c r="J179" s="1"/>
      <c r="L179" s="1765"/>
      <c r="M179" s="1758"/>
      <c r="N179" s="1758"/>
      <c r="O179" s="11"/>
    </row>
    <row r="180" spans="1:15" ht="15" customHeight="1" x14ac:dyDescent="0.25">
      <c r="A180" s="1"/>
      <c r="B180" s="1"/>
      <c r="C180" s="1"/>
      <c r="D180" s="1"/>
      <c r="G180" s="1755"/>
      <c r="H180" s="1"/>
      <c r="I180" s="1"/>
      <c r="J180" s="1"/>
      <c r="L180" s="1765"/>
      <c r="M180" s="1758"/>
      <c r="N180" s="1758"/>
      <c r="O180" s="11"/>
    </row>
    <row r="181" spans="1:15" ht="15" customHeight="1" x14ac:dyDescent="0.25">
      <c r="A181" s="1"/>
      <c r="B181" s="1"/>
      <c r="C181" s="1"/>
      <c r="D181" s="1"/>
      <c r="G181" s="1755"/>
      <c r="H181" s="1"/>
      <c r="I181" s="1"/>
      <c r="J181" s="1"/>
      <c r="L181" s="1765"/>
      <c r="M181" s="1758"/>
      <c r="N181" s="1758"/>
      <c r="O181" s="11"/>
    </row>
    <row r="182" spans="1:15" ht="15" customHeight="1" x14ac:dyDescent="0.25">
      <c r="A182" s="1"/>
      <c r="B182" s="1"/>
      <c r="C182" s="1"/>
      <c r="D182" s="1"/>
      <c r="G182" s="1755"/>
      <c r="H182" s="1"/>
      <c r="I182" s="1"/>
      <c r="J182" s="1"/>
      <c r="L182" s="1765"/>
      <c r="M182" s="1758"/>
      <c r="N182" s="1758"/>
      <c r="O182" s="11"/>
    </row>
    <row r="183" spans="1:15" ht="15" customHeight="1" x14ac:dyDescent="0.25">
      <c r="A183" s="1"/>
      <c r="B183" s="1"/>
      <c r="C183" s="1"/>
      <c r="D183" s="1"/>
      <c r="G183" s="1755"/>
      <c r="H183" s="1"/>
      <c r="I183" s="1"/>
      <c r="J183" s="1"/>
      <c r="L183" s="1765"/>
      <c r="M183" s="1758"/>
      <c r="N183" s="1758"/>
      <c r="O183" s="11"/>
    </row>
    <row r="184" spans="1:15" ht="15" customHeight="1" x14ac:dyDescent="0.25">
      <c r="A184" s="1"/>
      <c r="B184" s="1"/>
      <c r="C184" s="1"/>
      <c r="D184" s="1"/>
      <c r="G184" s="1755"/>
      <c r="H184" s="1"/>
      <c r="I184" s="1"/>
      <c r="J184" s="1"/>
      <c r="L184" s="1765"/>
      <c r="M184" s="1758"/>
      <c r="N184" s="1758"/>
      <c r="O184" s="11"/>
    </row>
    <row r="185" spans="1:15" ht="15" customHeight="1" x14ac:dyDescent="0.25">
      <c r="A185" s="1"/>
      <c r="B185" s="1"/>
      <c r="C185" s="1"/>
      <c r="D185" s="1"/>
      <c r="G185" s="1755"/>
      <c r="H185" s="1"/>
      <c r="I185" s="1"/>
      <c r="J185" s="1"/>
      <c r="L185" s="1765"/>
      <c r="M185" s="1758"/>
      <c r="N185" s="1758"/>
      <c r="O185" s="11"/>
    </row>
    <row r="186" spans="1:15" ht="15" customHeight="1" x14ac:dyDescent="0.25">
      <c r="A186" s="1"/>
      <c r="B186" s="1"/>
      <c r="C186" s="1"/>
      <c r="D186" s="1"/>
      <c r="G186" s="1755"/>
      <c r="H186" s="1"/>
      <c r="I186" s="1"/>
      <c r="J186" s="1"/>
      <c r="L186" s="1767"/>
      <c r="M186" s="1758"/>
      <c r="N186" s="1758"/>
      <c r="O186" s="11"/>
    </row>
    <row r="187" spans="1:15" ht="15" customHeight="1" x14ac:dyDescent="0.25">
      <c r="A187" s="1"/>
      <c r="B187" s="1"/>
      <c r="C187" s="1"/>
      <c r="D187" s="1"/>
      <c r="G187" s="1755"/>
      <c r="H187" s="1"/>
      <c r="I187" s="1"/>
      <c r="J187" s="1"/>
      <c r="L187" s="1765"/>
      <c r="M187" s="1758"/>
      <c r="N187" s="1758"/>
      <c r="O187" s="11"/>
    </row>
    <row r="188" spans="1:15" ht="15" customHeight="1" x14ac:dyDescent="0.25">
      <c r="A188" s="1"/>
      <c r="B188" s="1"/>
      <c r="C188" s="1"/>
      <c r="D188" s="1"/>
      <c r="G188" s="1755"/>
      <c r="H188" s="1"/>
      <c r="I188" s="1"/>
      <c r="J188" s="1"/>
      <c r="L188" s="1765"/>
      <c r="M188" s="1758"/>
      <c r="N188" s="1758"/>
      <c r="O188" s="11"/>
    </row>
    <row r="189" spans="1:15" ht="15" customHeight="1" x14ac:dyDescent="0.25">
      <c r="A189" s="1"/>
      <c r="B189" s="1"/>
      <c r="C189" s="1"/>
      <c r="D189" s="1"/>
      <c r="G189" s="1755"/>
      <c r="H189" s="1"/>
      <c r="I189" s="1"/>
      <c r="J189" s="1"/>
      <c r="L189" s="1765"/>
      <c r="M189" s="1758"/>
      <c r="N189" s="1758"/>
      <c r="O189" s="11"/>
    </row>
    <row r="190" spans="1:15" ht="15" customHeight="1" x14ac:dyDescent="0.25">
      <c r="A190" s="1"/>
      <c r="B190" s="1"/>
      <c r="C190" s="1"/>
      <c r="D190" s="1"/>
      <c r="G190" s="1755"/>
      <c r="H190" s="1"/>
      <c r="I190" s="1"/>
      <c r="J190" s="1"/>
      <c r="L190" s="1765"/>
      <c r="M190" s="1758"/>
      <c r="N190" s="1758"/>
      <c r="O190" s="11"/>
    </row>
    <row r="191" spans="1:15" ht="15" customHeight="1" x14ac:dyDescent="0.25">
      <c r="A191" s="1"/>
      <c r="B191" s="1"/>
      <c r="C191" s="1"/>
      <c r="D191" s="1"/>
      <c r="G191" s="1755"/>
      <c r="H191" s="1"/>
      <c r="I191" s="1"/>
      <c r="J191" s="1"/>
      <c r="L191" s="1765"/>
      <c r="M191" s="1758"/>
      <c r="N191" s="1758"/>
      <c r="O191" s="11"/>
    </row>
    <row r="192" spans="1:15" ht="15" customHeight="1" x14ac:dyDescent="0.25">
      <c r="A192" s="1"/>
      <c r="B192" s="1"/>
      <c r="C192" s="1"/>
      <c r="D192" s="1"/>
      <c r="G192" s="1755"/>
      <c r="H192" s="1"/>
      <c r="I192" s="1"/>
      <c r="J192" s="1"/>
      <c r="L192" s="1765"/>
      <c r="M192" s="1758"/>
      <c r="N192" s="1758"/>
      <c r="O192" s="11"/>
    </row>
    <row r="193" spans="1:15" ht="15" customHeight="1" x14ac:dyDescent="0.25">
      <c r="A193" s="1"/>
      <c r="B193" s="1"/>
      <c r="C193" s="1"/>
      <c r="D193" s="1"/>
      <c r="G193" s="1755"/>
      <c r="H193" s="1"/>
      <c r="I193" s="1"/>
      <c r="J193" s="1"/>
      <c r="L193" s="1765"/>
      <c r="M193" s="1758"/>
      <c r="N193" s="1758"/>
      <c r="O193" s="11"/>
    </row>
    <row r="194" spans="1:15" ht="15" customHeight="1" x14ac:dyDescent="0.25">
      <c r="A194" s="1"/>
      <c r="B194" s="1"/>
      <c r="C194" s="1"/>
      <c r="D194" s="1"/>
      <c r="G194" s="1755"/>
      <c r="H194" s="1"/>
      <c r="I194" s="1"/>
      <c r="J194" s="1"/>
      <c r="L194" s="1765"/>
      <c r="M194" s="1758"/>
      <c r="N194" s="1758"/>
      <c r="O194" s="11"/>
    </row>
    <row r="195" spans="1:15" ht="15" customHeight="1" x14ac:dyDescent="0.25">
      <c r="A195" s="1"/>
      <c r="B195" s="1"/>
      <c r="C195" s="1"/>
      <c r="D195" s="1"/>
      <c r="G195" s="1755"/>
      <c r="H195" s="1"/>
      <c r="I195" s="1"/>
      <c r="J195" s="1"/>
      <c r="L195" s="1765"/>
      <c r="M195" s="1758"/>
      <c r="N195" s="1758"/>
      <c r="O195" s="11"/>
    </row>
    <row r="196" spans="1:15" ht="15" customHeight="1" x14ac:dyDescent="0.25">
      <c r="A196" s="1"/>
      <c r="B196" s="1"/>
      <c r="C196" s="1"/>
      <c r="D196" s="1"/>
      <c r="G196" s="1755"/>
      <c r="H196" s="1"/>
      <c r="I196" s="1"/>
      <c r="J196" s="1"/>
      <c r="L196" s="1765"/>
      <c r="M196" s="1758"/>
      <c r="N196" s="1758"/>
      <c r="O196" s="11"/>
    </row>
    <row r="197" spans="1:15" ht="15" customHeight="1" x14ac:dyDescent="0.25">
      <c r="A197" s="1"/>
      <c r="B197" s="1"/>
      <c r="C197" s="1"/>
      <c r="D197" s="1"/>
      <c r="G197" s="1755"/>
      <c r="H197" s="1"/>
      <c r="I197" s="1"/>
      <c r="J197" s="1"/>
      <c r="L197" s="1767"/>
      <c r="M197" s="1758"/>
      <c r="N197" s="1758"/>
      <c r="O197" s="11"/>
    </row>
    <row r="198" spans="1:15" ht="15" customHeight="1" x14ac:dyDescent="0.25">
      <c r="A198" s="1"/>
      <c r="B198" s="1"/>
      <c r="C198" s="1"/>
      <c r="D198" s="1"/>
      <c r="G198" s="1755"/>
      <c r="H198" s="1"/>
      <c r="I198" s="1"/>
      <c r="J198" s="1"/>
      <c r="L198" s="1765"/>
      <c r="M198" s="1758"/>
      <c r="N198" s="1758"/>
      <c r="O198" s="11"/>
    </row>
    <row r="199" spans="1:15" ht="15" customHeight="1" x14ac:dyDescent="0.25">
      <c r="A199" s="1"/>
      <c r="B199" s="1"/>
      <c r="C199" s="1"/>
      <c r="D199" s="1"/>
      <c r="G199" s="1755"/>
      <c r="H199" s="1"/>
      <c r="I199" s="1"/>
      <c r="J199" s="1"/>
      <c r="L199" s="1765"/>
      <c r="M199" s="1758"/>
      <c r="N199" s="1758"/>
      <c r="O199" s="11"/>
    </row>
    <row r="200" spans="1:15" ht="15" customHeight="1" x14ac:dyDescent="0.25">
      <c r="A200" s="1"/>
      <c r="B200" s="1"/>
      <c r="C200" s="1"/>
      <c r="D200" s="1"/>
      <c r="G200" s="1755"/>
      <c r="H200" s="1"/>
      <c r="I200" s="1"/>
      <c r="J200" s="1"/>
      <c r="L200" s="1765"/>
      <c r="M200" s="1758"/>
      <c r="N200" s="1758"/>
      <c r="O200" s="11"/>
    </row>
    <row r="201" spans="1:15" ht="15" customHeight="1" x14ac:dyDescent="0.25">
      <c r="A201" s="1"/>
      <c r="B201" s="1"/>
      <c r="C201" s="1"/>
      <c r="D201" s="1"/>
      <c r="G201" s="1755"/>
      <c r="H201" s="1"/>
      <c r="I201" s="1"/>
      <c r="J201" s="1"/>
      <c r="L201" s="1765"/>
      <c r="M201" s="1758"/>
      <c r="N201" s="1758"/>
      <c r="O201" s="11"/>
    </row>
    <row r="202" spans="1:15" ht="15" customHeight="1" x14ac:dyDescent="0.25">
      <c r="A202" s="1"/>
      <c r="B202" s="1"/>
      <c r="C202" s="1"/>
      <c r="D202" s="1"/>
      <c r="G202" s="1755"/>
      <c r="H202" s="1"/>
      <c r="I202" s="1"/>
      <c r="J202" s="1"/>
      <c r="L202" s="1765"/>
      <c r="M202" s="1758"/>
      <c r="N202" s="1758"/>
      <c r="O202" s="11"/>
    </row>
    <row r="203" spans="1:15" ht="15" customHeight="1" x14ac:dyDescent="0.25">
      <c r="A203" s="1"/>
      <c r="B203" s="1"/>
      <c r="C203" s="1"/>
      <c r="D203" s="1"/>
      <c r="G203" s="1755"/>
      <c r="H203" s="1"/>
      <c r="I203" s="1"/>
      <c r="J203" s="1"/>
      <c r="L203" s="1765"/>
      <c r="M203" s="1758"/>
      <c r="N203" s="1758"/>
      <c r="O203" s="11"/>
    </row>
    <row r="204" spans="1:15" ht="15" customHeight="1" x14ac:dyDescent="0.25">
      <c r="A204" s="1"/>
      <c r="B204" s="1"/>
      <c r="C204" s="1"/>
      <c r="D204" s="1"/>
      <c r="G204" s="1755"/>
      <c r="H204" s="1"/>
      <c r="I204" s="1"/>
      <c r="J204" s="1"/>
      <c r="L204" s="1767"/>
      <c r="M204" s="1758"/>
      <c r="N204" s="1758"/>
      <c r="O204" s="11"/>
    </row>
    <row r="205" spans="1:15" ht="15" customHeight="1" x14ac:dyDescent="0.25">
      <c r="A205" s="1"/>
      <c r="B205" s="1"/>
      <c r="C205" s="1"/>
      <c r="D205" s="1"/>
      <c r="G205" s="1755"/>
      <c r="H205" s="1"/>
      <c r="I205" s="1"/>
      <c r="J205" s="1"/>
      <c r="L205" s="1765"/>
      <c r="M205" s="1758"/>
      <c r="N205" s="1758"/>
      <c r="O205" s="11"/>
    </row>
    <row r="206" spans="1:15" ht="15" customHeight="1" x14ac:dyDescent="0.25">
      <c r="A206" s="1"/>
      <c r="B206" s="1"/>
      <c r="C206" s="1"/>
      <c r="D206" s="1"/>
      <c r="G206" s="1755"/>
      <c r="H206" s="1"/>
      <c r="I206" s="1"/>
      <c r="J206" s="1"/>
      <c r="L206" s="1765"/>
      <c r="M206" s="1758"/>
      <c r="N206" s="1758"/>
      <c r="O206" s="11"/>
    </row>
    <row r="207" spans="1:15" ht="15" customHeight="1" x14ac:dyDescent="0.25">
      <c r="A207" s="1"/>
      <c r="B207" s="1"/>
      <c r="C207" s="1"/>
      <c r="D207" s="1"/>
      <c r="G207" s="1755"/>
      <c r="H207" s="1"/>
      <c r="I207" s="1"/>
      <c r="J207" s="1"/>
      <c r="L207" s="1765"/>
      <c r="M207" s="1758"/>
      <c r="N207" s="1758"/>
      <c r="O207" s="11"/>
    </row>
    <row r="208" spans="1:15" ht="15" customHeight="1" x14ac:dyDescent="0.25">
      <c r="A208" s="1"/>
      <c r="B208" s="1"/>
      <c r="C208" s="1"/>
      <c r="D208" s="1"/>
      <c r="G208" s="1755"/>
      <c r="H208" s="1"/>
      <c r="I208" s="1"/>
      <c r="J208" s="1"/>
      <c r="L208" s="1765"/>
      <c r="M208" s="1758"/>
      <c r="N208" s="1758"/>
      <c r="O208" s="11"/>
    </row>
    <row r="209" spans="1:15" ht="15" customHeight="1" x14ac:dyDescent="0.25">
      <c r="A209" s="1"/>
      <c r="B209" s="1"/>
      <c r="C209" s="1"/>
      <c r="D209" s="1"/>
      <c r="G209" s="1755"/>
      <c r="H209" s="1"/>
      <c r="I209" s="1"/>
      <c r="J209" s="1"/>
      <c r="L209" s="1765"/>
      <c r="M209" s="1758"/>
      <c r="N209" s="1758"/>
      <c r="O209" s="11"/>
    </row>
    <row r="210" spans="1:15" ht="15" customHeight="1" x14ac:dyDescent="0.25">
      <c r="A210" s="1"/>
      <c r="B210" s="1"/>
      <c r="C210" s="1"/>
      <c r="D210" s="1"/>
      <c r="G210" s="1755"/>
      <c r="H210" s="1"/>
      <c r="I210" s="1"/>
      <c r="J210" s="1"/>
      <c r="L210" s="1765"/>
      <c r="M210" s="1758"/>
      <c r="N210" s="1758"/>
      <c r="O210" s="11"/>
    </row>
    <row r="211" spans="1:15" ht="15" customHeight="1" x14ac:dyDescent="0.25">
      <c r="A211" s="1"/>
      <c r="B211" s="1"/>
      <c r="C211" s="1"/>
      <c r="D211" s="1"/>
      <c r="G211" s="1755"/>
      <c r="H211" s="1"/>
      <c r="I211" s="1"/>
      <c r="J211" s="1"/>
      <c r="L211" s="1765"/>
      <c r="M211" s="1758"/>
      <c r="N211" s="1758"/>
      <c r="O211" s="11"/>
    </row>
    <row r="212" spans="1:15" ht="15" customHeight="1" x14ac:dyDescent="0.25">
      <c r="A212" s="1"/>
      <c r="B212" s="1"/>
      <c r="C212" s="1"/>
      <c r="D212" s="1"/>
      <c r="G212" s="1755"/>
      <c r="H212" s="1"/>
      <c r="I212" s="1"/>
      <c r="J212" s="1"/>
      <c r="L212" s="1765"/>
      <c r="M212" s="1758"/>
      <c r="N212" s="1758"/>
      <c r="O212" s="11"/>
    </row>
    <row r="213" spans="1:15" ht="15" customHeight="1" x14ac:dyDescent="0.25">
      <c r="A213" s="1"/>
      <c r="B213" s="1"/>
      <c r="C213" s="1"/>
      <c r="D213" s="1"/>
      <c r="G213" s="1755"/>
      <c r="H213" s="1"/>
      <c r="I213" s="1"/>
      <c r="J213" s="1"/>
      <c r="L213" s="1765"/>
      <c r="M213" s="1758"/>
      <c r="N213" s="1758"/>
      <c r="O213" s="11"/>
    </row>
    <row r="214" spans="1:15" ht="15" customHeight="1" x14ac:dyDescent="0.25">
      <c r="A214" s="1"/>
      <c r="B214" s="1"/>
      <c r="C214" s="1"/>
      <c r="D214" s="1"/>
      <c r="G214" s="1755"/>
      <c r="H214" s="1"/>
      <c r="I214" s="1"/>
      <c r="J214" s="1"/>
      <c r="L214" s="1765"/>
      <c r="M214" s="1758"/>
      <c r="N214" s="1758"/>
      <c r="O214" s="11"/>
    </row>
    <row r="215" spans="1:15" ht="15" customHeight="1" x14ac:dyDescent="0.25">
      <c r="A215" s="1"/>
      <c r="B215" s="1"/>
      <c r="C215" s="1"/>
      <c r="D215" s="1"/>
      <c r="G215" s="1755"/>
      <c r="H215" s="1"/>
      <c r="I215" s="1"/>
      <c r="J215" s="1"/>
      <c r="L215" s="1765"/>
      <c r="M215" s="1758"/>
      <c r="N215" s="1758"/>
      <c r="O215" s="11"/>
    </row>
    <row r="216" spans="1:15" ht="15" customHeight="1" x14ac:dyDescent="0.25">
      <c r="A216" s="1"/>
      <c r="B216" s="1"/>
      <c r="C216" s="1"/>
      <c r="D216" s="1"/>
      <c r="G216" s="1755"/>
      <c r="H216" s="1"/>
      <c r="I216" s="1"/>
      <c r="J216" s="1"/>
      <c r="L216" s="1765"/>
      <c r="M216" s="1758"/>
      <c r="N216" s="1758"/>
      <c r="O216" s="11"/>
    </row>
    <row r="217" spans="1:15" ht="15" customHeight="1" x14ac:dyDescent="0.25">
      <c r="A217" s="1"/>
      <c r="B217" s="1"/>
      <c r="C217" s="1"/>
      <c r="D217" s="1"/>
      <c r="G217" s="1755"/>
      <c r="H217" s="1"/>
      <c r="I217" s="1"/>
      <c r="J217" s="1"/>
      <c r="L217" s="1765"/>
      <c r="M217" s="1758"/>
      <c r="N217" s="1758"/>
      <c r="O217" s="11"/>
    </row>
    <row r="218" spans="1:15" ht="15" customHeight="1" x14ac:dyDescent="0.25">
      <c r="A218" s="1"/>
      <c r="B218" s="1"/>
      <c r="C218" s="1"/>
      <c r="D218" s="1"/>
      <c r="G218" s="1755"/>
      <c r="H218" s="1"/>
      <c r="I218" s="1"/>
      <c r="J218" s="1"/>
      <c r="L218" s="1765"/>
      <c r="M218" s="1758"/>
      <c r="N218" s="1758"/>
      <c r="O218" s="11"/>
    </row>
    <row r="219" spans="1:15" ht="15" customHeight="1" x14ac:dyDescent="0.25">
      <c r="A219" s="1"/>
      <c r="B219" s="1"/>
      <c r="C219" s="1"/>
      <c r="D219" s="1"/>
      <c r="G219" s="1755"/>
      <c r="H219" s="1"/>
      <c r="I219" s="1"/>
      <c r="J219" s="1"/>
      <c r="L219" s="1765"/>
      <c r="M219" s="1758"/>
      <c r="N219" s="1758"/>
      <c r="O219" s="11"/>
    </row>
    <row r="220" spans="1:15" ht="15" customHeight="1" x14ac:dyDescent="0.25">
      <c r="A220" s="1"/>
      <c r="B220" s="1"/>
      <c r="C220" s="1"/>
      <c r="D220" s="1"/>
      <c r="G220" s="1755"/>
      <c r="H220" s="1"/>
      <c r="I220" s="1"/>
      <c r="J220" s="1"/>
      <c r="L220" s="1765"/>
      <c r="M220" s="1758"/>
      <c r="N220" s="1758"/>
      <c r="O220" s="11"/>
    </row>
    <row r="221" spans="1:15" ht="15" customHeight="1" x14ac:dyDescent="0.25">
      <c r="A221" s="1"/>
      <c r="B221" s="1"/>
      <c r="C221" s="1"/>
      <c r="D221" s="1"/>
      <c r="G221" s="1755"/>
      <c r="H221" s="1"/>
      <c r="I221" s="1"/>
      <c r="J221" s="1"/>
      <c r="L221" s="1765"/>
      <c r="M221" s="1758"/>
      <c r="N221" s="1758"/>
      <c r="O221" s="11"/>
    </row>
    <row r="222" spans="1:15" ht="15" customHeight="1" x14ac:dyDescent="0.25">
      <c r="A222" s="1"/>
      <c r="B222" s="1"/>
      <c r="C222" s="1"/>
      <c r="D222" s="1"/>
      <c r="G222" s="1755"/>
      <c r="H222" s="1"/>
      <c r="I222" s="1"/>
      <c r="J222" s="1"/>
      <c r="L222" s="1765"/>
      <c r="M222" s="1758"/>
      <c r="N222" s="1758"/>
      <c r="O222" s="11"/>
    </row>
    <row r="223" spans="1:15" ht="15" customHeight="1" x14ac:dyDescent="0.25">
      <c r="A223" s="1"/>
      <c r="B223" s="1"/>
      <c r="C223" s="1"/>
      <c r="D223" s="1"/>
      <c r="G223" s="1755"/>
      <c r="H223" s="1"/>
      <c r="I223" s="1"/>
      <c r="J223" s="1"/>
      <c r="L223" s="1765"/>
      <c r="M223" s="1758"/>
      <c r="N223" s="1758"/>
      <c r="O223" s="11"/>
    </row>
    <row r="224" spans="1:15" ht="15" customHeight="1" x14ac:dyDescent="0.25">
      <c r="A224" s="1"/>
      <c r="B224" s="1"/>
      <c r="C224" s="1"/>
      <c r="D224" s="1"/>
      <c r="G224" s="1755"/>
      <c r="H224" s="1"/>
      <c r="I224" s="1"/>
      <c r="J224" s="1"/>
      <c r="L224" s="1765"/>
      <c r="M224" s="1758"/>
      <c r="N224" s="1758"/>
      <c r="O224" s="11"/>
    </row>
    <row r="225" spans="1:15" ht="15" customHeight="1" x14ac:dyDescent="0.25">
      <c r="A225" s="1"/>
      <c r="B225" s="1"/>
      <c r="C225" s="1"/>
      <c r="D225" s="1"/>
      <c r="G225" s="1755"/>
      <c r="H225" s="1"/>
      <c r="I225" s="1"/>
      <c r="J225" s="1"/>
      <c r="L225" s="1765"/>
      <c r="M225" s="1758"/>
      <c r="N225" s="1758"/>
      <c r="O225" s="11"/>
    </row>
    <row r="226" spans="1:15" ht="15" customHeight="1" x14ac:dyDescent="0.25">
      <c r="A226" s="1"/>
      <c r="B226" s="1"/>
      <c r="C226" s="1"/>
      <c r="D226" s="1"/>
      <c r="G226" s="1755"/>
      <c r="H226" s="1"/>
      <c r="I226" s="1"/>
      <c r="J226" s="1"/>
      <c r="L226" s="1765"/>
      <c r="M226" s="1758"/>
      <c r="N226" s="1758"/>
      <c r="O226" s="11"/>
    </row>
    <row r="227" spans="1:15" ht="15" customHeight="1" x14ac:dyDescent="0.25">
      <c r="A227" s="1"/>
      <c r="B227" s="1"/>
      <c r="C227" s="1"/>
      <c r="D227" s="1"/>
      <c r="G227" s="1755"/>
      <c r="H227" s="1"/>
      <c r="I227" s="1"/>
      <c r="J227" s="1"/>
      <c r="L227" s="1765"/>
      <c r="M227" s="1758"/>
      <c r="N227" s="1758"/>
      <c r="O227" s="11"/>
    </row>
    <row r="228" spans="1:15" ht="15" customHeight="1" x14ac:dyDescent="0.25">
      <c r="A228" s="1"/>
      <c r="B228" s="1"/>
      <c r="C228" s="1"/>
      <c r="D228" s="1"/>
      <c r="G228" s="1755"/>
      <c r="H228" s="1"/>
      <c r="I228" s="1"/>
      <c r="J228" s="1"/>
      <c r="L228" s="1765"/>
      <c r="M228" s="1758"/>
      <c r="N228" s="1758"/>
      <c r="O228" s="11"/>
    </row>
    <row r="229" spans="1:15" ht="15" customHeight="1" x14ac:dyDescent="0.25">
      <c r="A229" s="1"/>
      <c r="B229" s="1"/>
      <c r="C229" s="1"/>
      <c r="D229" s="1"/>
      <c r="G229" s="1755"/>
      <c r="H229" s="1"/>
      <c r="I229" s="1"/>
      <c r="J229" s="1"/>
      <c r="L229" s="1765"/>
      <c r="M229" s="1758"/>
      <c r="N229" s="1758"/>
      <c r="O229" s="11"/>
    </row>
    <row r="230" spans="1:15" ht="15" customHeight="1" x14ac:dyDescent="0.25">
      <c r="A230" s="1"/>
      <c r="B230" s="1"/>
      <c r="C230" s="1"/>
      <c r="D230" s="1"/>
      <c r="G230" s="1755"/>
      <c r="H230" s="1"/>
      <c r="I230" s="1"/>
      <c r="J230" s="1"/>
      <c r="L230" s="1765"/>
      <c r="M230" s="1758"/>
      <c r="N230" s="1758"/>
      <c r="O230" s="11"/>
    </row>
    <row r="231" spans="1:15" ht="15" customHeight="1" x14ac:dyDescent="0.25">
      <c r="A231" s="1"/>
      <c r="B231" s="1"/>
      <c r="C231" s="1"/>
      <c r="D231" s="1"/>
      <c r="G231" s="1755"/>
      <c r="H231" s="1"/>
      <c r="I231" s="1"/>
      <c r="J231" s="1"/>
      <c r="L231" s="1765"/>
      <c r="M231" s="1758"/>
      <c r="N231" s="1758"/>
      <c r="O231" s="11"/>
    </row>
    <row r="232" spans="1:15" ht="15" customHeight="1" x14ac:dyDescent="0.25">
      <c r="A232" s="1"/>
      <c r="B232" s="1"/>
      <c r="C232" s="1"/>
      <c r="D232" s="1"/>
      <c r="G232" s="1755"/>
      <c r="H232" s="1"/>
      <c r="I232" s="1"/>
      <c r="J232" s="1"/>
      <c r="L232" s="1765"/>
      <c r="M232" s="1758"/>
      <c r="N232" s="1758"/>
      <c r="O232" s="11"/>
    </row>
    <row r="233" spans="1:15" ht="15" customHeight="1" x14ac:dyDescent="0.25">
      <c r="A233" s="1"/>
      <c r="B233" s="1"/>
      <c r="C233" s="1"/>
      <c r="D233" s="1"/>
      <c r="G233" s="1755"/>
      <c r="H233" s="1"/>
      <c r="I233" s="1"/>
      <c r="J233" s="1"/>
      <c r="L233" s="1765"/>
      <c r="M233" s="1758"/>
      <c r="N233" s="1758"/>
      <c r="O233" s="11"/>
    </row>
    <row r="234" spans="1:15" ht="15" customHeight="1" x14ac:dyDescent="0.25">
      <c r="A234" s="1"/>
      <c r="B234" s="1"/>
      <c r="C234" s="1"/>
      <c r="D234" s="1"/>
      <c r="G234" s="1755"/>
      <c r="H234" s="1"/>
      <c r="I234" s="1"/>
      <c r="J234" s="1"/>
      <c r="L234" s="1765"/>
      <c r="M234" s="1758"/>
      <c r="N234" s="1758"/>
      <c r="O234" s="11"/>
    </row>
    <row r="235" spans="1:15" ht="15" customHeight="1" x14ac:dyDescent="0.25">
      <c r="A235" s="1"/>
      <c r="B235" s="1"/>
      <c r="C235" s="1"/>
      <c r="D235" s="1"/>
      <c r="G235" s="1755"/>
      <c r="H235" s="1"/>
      <c r="I235" s="1"/>
      <c r="J235" s="1"/>
      <c r="L235" s="1765"/>
      <c r="M235" s="1758"/>
      <c r="N235" s="1758"/>
      <c r="O235" s="11"/>
    </row>
    <row r="236" spans="1:15" ht="15" customHeight="1" x14ac:dyDescent="0.25">
      <c r="A236" s="1"/>
      <c r="B236" s="1"/>
      <c r="C236" s="1"/>
      <c r="D236" s="1"/>
      <c r="G236" s="1755"/>
      <c r="H236" s="1"/>
      <c r="I236" s="1"/>
      <c r="J236" s="1"/>
      <c r="L236" s="1765"/>
      <c r="M236" s="1758"/>
      <c r="N236" s="1758"/>
      <c r="O236" s="11"/>
    </row>
    <row r="237" spans="1:15" ht="15" customHeight="1" x14ac:dyDescent="0.25">
      <c r="A237" s="1"/>
      <c r="B237" s="1"/>
      <c r="C237" s="1"/>
      <c r="D237" s="1"/>
      <c r="G237" s="1755"/>
      <c r="H237" s="1"/>
      <c r="I237" s="1"/>
      <c r="J237" s="1"/>
      <c r="L237" s="1765"/>
      <c r="M237" s="1758"/>
      <c r="N237" s="1758"/>
      <c r="O237" s="11"/>
    </row>
    <row r="238" spans="1:15" ht="15" customHeight="1" x14ac:dyDescent="0.25">
      <c r="A238" s="1"/>
      <c r="B238" s="1"/>
      <c r="C238" s="1"/>
      <c r="D238" s="1"/>
      <c r="G238" s="1755"/>
      <c r="H238" s="1"/>
      <c r="I238" s="1"/>
      <c r="J238" s="1"/>
      <c r="L238" s="1765"/>
      <c r="M238" s="1758"/>
      <c r="N238" s="1758"/>
      <c r="O238" s="11"/>
    </row>
    <row r="239" spans="1:15" ht="15" customHeight="1" x14ac:dyDescent="0.25">
      <c r="A239" s="1"/>
      <c r="B239" s="1"/>
      <c r="C239" s="1"/>
      <c r="D239" s="1"/>
      <c r="G239" s="1755"/>
      <c r="H239" s="1"/>
      <c r="I239" s="1"/>
      <c r="J239" s="1"/>
      <c r="L239" s="1765"/>
      <c r="M239" s="1758"/>
      <c r="N239" s="1758"/>
      <c r="O239" s="11"/>
    </row>
    <row r="240" spans="1:15" ht="15" customHeight="1" x14ac:dyDescent="0.25">
      <c r="A240" s="1"/>
      <c r="B240" s="1"/>
      <c r="C240" s="1"/>
      <c r="D240" s="1"/>
      <c r="G240" s="1755"/>
      <c r="H240" s="1"/>
      <c r="I240" s="1"/>
      <c r="J240" s="1"/>
      <c r="L240" s="1765"/>
      <c r="M240" s="1758"/>
      <c r="N240" s="1758"/>
      <c r="O240" s="11"/>
    </row>
    <row r="241" spans="1:15" ht="15" customHeight="1" x14ac:dyDescent="0.25">
      <c r="A241" s="1"/>
      <c r="B241" s="1"/>
      <c r="C241" s="1"/>
      <c r="D241" s="1"/>
      <c r="G241" s="1755"/>
      <c r="H241" s="1"/>
      <c r="I241" s="1"/>
      <c r="J241" s="1"/>
      <c r="L241" s="1765"/>
      <c r="M241" s="1758"/>
      <c r="N241" s="1758"/>
      <c r="O241" s="11"/>
    </row>
    <row r="242" spans="1:15" ht="15" customHeight="1" x14ac:dyDescent="0.25">
      <c r="A242" s="1"/>
      <c r="B242" s="1"/>
      <c r="C242" s="1"/>
      <c r="D242" s="1"/>
      <c r="G242" s="1755"/>
      <c r="H242" s="1"/>
      <c r="I242" s="1"/>
      <c r="J242" s="1"/>
      <c r="L242" s="1765"/>
      <c r="M242" s="1758"/>
      <c r="N242" s="1758"/>
      <c r="O242" s="11"/>
    </row>
    <row r="243" spans="1:15" ht="15" customHeight="1" x14ac:dyDescent="0.25">
      <c r="A243" s="1"/>
      <c r="B243" s="1"/>
      <c r="C243" s="1"/>
      <c r="D243" s="1"/>
      <c r="G243" s="1755"/>
      <c r="H243" s="1"/>
      <c r="I243" s="1"/>
      <c r="J243" s="1"/>
      <c r="L243" s="1765"/>
      <c r="M243" s="1758"/>
      <c r="N243" s="1758"/>
      <c r="O243" s="11"/>
    </row>
    <row r="244" spans="1:15" ht="15" customHeight="1" x14ac:dyDescent="0.25">
      <c r="A244" s="1"/>
      <c r="B244" s="1"/>
      <c r="C244" s="1"/>
      <c r="D244" s="1"/>
      <c r="G244" s="1755"/>
      <c r="H244" s="1"/>
      <c r="I244" s="1"/>
      <c r="J244" s="1"/>
      <c r="L244" s="1765"/>
      <c r="M244" s="1758"/>
      <c r="N244" s="1758"/>
      <c r="O244" s="11"/>
    </row>
    <row r="245" spans="1:15" ht="15" customHeight="1" x14ac:dyDescent="0.25">
      <c r="A245" s="1"/>
      <c r="B245" s="1"/>
      <c r="C245" s="1"/>
      <c r="D245" s="1"/>
      <c r="G245" s="1755"/>
      <c r="H245" s="1"/>
      <c r="I245" s="1"/>
      <c r="J245" s="1"/>
      <c r="L245" s="1765"/>
      <c r="M245" s="1758"/>
      <c r="N245" s="1758"/>
      <c r="O245" s="11"/>
    </row>
    <row r="246" spans="1:15" ht="15" customHeight="1" x14ac:dyDescent="0.25">
      <c r="A246" s="1"/>
      <c r="B246" s="1"/>
      <c r="C246" s="1"/>
      <c r="D246" s="1"/>
      <c r="G246" s="1755"/>
      <c r="H246" s="1"/>
      <c r="I246" s="1"/>
      <c r="J246" s="1"/>
      <c r="L246" s="1765"/>
      <c r="M246" s="1758"/>
      <c r="N246" s="1758"/>
      <c r="O246" s="11"/>
    </row>
    <row r="247" spans="1:15" ht="15" customHeight="1" x14ac:dyDescent="0.25">
      <c r="A247" s="1"/>
      <c r="B247" s="1"/>
      <c r="C247" s="1"/>
      <c r="D247" s="1"/>
      <c r="G247" s="1755"/>
      <c r="H247" s="1"/>
      <c r="I247" s="1"/>
      <c r="J247" s="1"/>
      <c r="L247" s="1765"/>
      <c r="M247" s="1758"/>
      <c r="N247" s="1758"/>
      <c r="O247" s="11"/>
    </row>
    <row r="248" spans="1:15" ht="15" customHeight="1" x14ac:dyDescent="0.25">
      <c r="A248" s="1"/>
      <c r="B248" s="1"/>
      <c r="C248" s="1"/>
      <c r="D248" s="1"/>
      <c r="G248" s="1755"/>
      <c r="H248" s="1"/>
      <c r="I248" s="1"/>
      <c r="J248" s="1"/>
      <c r="L248" s="1765"/>
      <c r="M248" s="1758"/>
      <c r="N248" s="1758"/>
      <c r="O248" s="11"/>
    </row>
    <row r="249" spans="1:15" ht="15" customHeight="1" x14ac:dyDescent="0.25">
      <c r="A249" s="1"/>
      <c r="B249" s="1"/>
      <c r="C249" s="1"/>
      <c r="D249" s="1"/>
      <c r="G249" s="1755"/>
      <c r="H249" s="1"/>
      <c r="I249" s="1"/>
      <c r="J249" s="1"/>
      <c r="L249" s="1768"/>
      <c r="M249" s="1758"/>
      <c r="N249" s="1758"/>
      <c r="O249" s="11"/>
    </row>
    <row r="250" spans="1:15" ht="15" customHeight="1" x14ac:dyDescent="0.25">
      <c r="A250" s="1"/>
      <c r="B250" s="1"/>
      <c r="C250" s="1"/>
      <c r="D250" s="1"/>
      <c r="G250" s="1755"/>
      <c r="H250" s="1"/>
      <c r="I250" s="1"/>
      <c r="J250" s="1"/>
      <c r="L250" s="1768"/>
      <c r="M250" s="1758"/>
      <c r="N250" s="1758"/>
      <c r="O250" s="11"/>
    </row>
    <row r="251" spans="1:15" ht="15" customHeight="1" x14ac:dyDescent="0.25">
      <c r="A251" s="1"/>
      <c r="B251" s="1"/>
      <c r="C251" s="1"/>
      <c r="D251" s="1"/>
      <c r="G251" s="1755"/>
      <c r="H251" s="1"/>
      <c r="I251" s="1"/>
      <c r="J251" s="1"/>
      <c r="L251" s="1769"/>
      <c r="M251" s="1758"/>
      <c r="N251" s="1758"/>
      <c r="O251" s="11"/>
    </row>
    <row r="252" spans="1:15" ht="15" customHeight="1" x14ac:dyDescent="0.25">
      <c r="A252" s="1"/>
      <c r="B252" s="1"/>
      <c r="C252" s="1"/>
      <c r="D252" s="1"/>
      <c r="G252" s="1755"/>
      <c r="H252" s="1"/>
      <c r="I252" s="1"/>
      <c r="J252" s="1"/>
      <c r="L252" s="1768"/>
      <c r="M252" s="1758"/>
      <c r="N252" s="1758"/>
      <c r="O252" s="11"/>
    </row>
    <row r="253" spans="1:15" ht="15" customHeight="1" x14ac:dyDescent="0.25">
      <c r="A253" s="1"/>
      <c r="B253" s="1"/>
      <c r="C253" s="1"/>
      <c r="D253" s="1"/>
      <c r="G253" s="1755"/>
      <c r="H253" s="1"/>
      <c r="I253" s="1"/>
      <c r="J253" s="1"/>
      <c r="L253" s="1768"/>
      <c r="M253" s="1758"/>
      <c r="N253" s="1758"/>
      <c r="O253" s="11"/>
    </row>
    <row r="254" spans="1:15" ht="15" customHeight="1" x14ac:dyDescent="0.25">
      <c r="A254" s="1"/>
      <c r="B254" s="1"/>
      <c r="C254" s="1"/>
      <c r="D254" s="1"/>
      <c r="G254" s="1755"/>
      <c r="H254" s="1"/>
      <c r="I254" s="1"/>
      <c r="J254" s="1"/>
      <c r="L254" s="1768"/>
      <c r="M254" s="1758"/>
      <c r="N254" s="1758"/>
      <c r="O254" s="11"/>
    </row>
    <row r="255" spans="1:15" ht="15" customHeight="1" x14ac:dyDescent="0.25">
      <c r="A255" s="1"/>
      <c r="B255" s="1"/>
      <c r="C255" s="1"/>
      <c r="D255" s="1"/>
      <c r="G255" s="1755"/>
      <c r="H255" s="1"/>
      <c r="I255" s="1"/>
      <c r="J255" s="1"/>
      <c r="L255" s="1768"/>
      <c r="M255" s="1758"/>
      <c r="N255" s="1758"/>
      <c r="O255" s="11"/>
    </row>
    <row r="256" spans="1:15" ht="15" customHeight="1" x14ac:dyDescent="0.25">
      <c r="A256" s="1"/>
      <c r="B256" s="1"/>
      <c r="C256" s="1"/>
      <c r="D256" s="1"/>
      <c r="G256" s="1755"/>
      <c r="H256" s="1"/>
      <c r="I256" s="1"/>
      <c r="J256" s="1"/>
      <c r="L256" s="1768"/>
      <c r="M256" s="1758"/>
      <c r="N256" s="1758"/>
      <c r="O256" s="11"/>
    </row>
    <row r="257" spans="1:19" ht="15" customHeight="1" x14ac:dyDescent="0.25">
      <c r="A257" s="1"/>
      <c r="B257" s="1"/>
      <c r="C257" s="1"/>
      <c r="D257" s="1"/>
      <c r="G257" s="1755"/>
      <c r="H257" s="1"/>
      <c r="I257" s="1"/>
      <c r="J257" s="1"/>
      <c r="L257" s="1768"/>
      <c r="M257" s="1758"/>
      <c r="N257" s="1758"/>
      <c r="O257" s="11"/>
    </row>
    <row r="258" spans="1:19" ht="15" customHeight="1" x14ac:dyDescent="0.25">
      <c r="A258" s="1"/>
      <c r="B258" s="1"/>
      <c r="C258" s="1"/>
      <c r="D258" s="1"/>
      <c r="G258" s="1755"/>
      <c r="H258" s="1"/>
      <c r="I258" s="1"/>
      <c r="J258" s="1"/>
      <c r="L258" s="1768"/>
      <c r="M258" s="1758"/>
      <c r="N258" s="1758"/>
      <c r="O258" s="11"/>
    </row>
    <row r="259" spans="1:19" ht="15" customHeight="1" x14ac:dyDescent="0.25">
      <c r="A259" s="1"/>
      <c r="B259" s="1"/>
      <c r="C259" s="1"/>
      <c r="D259" s="1"/>
      <c r="G259" s="1755"/>
      <c r="H259" s="1"/>
      <c r="I259" s="1"/>
      <c r="J259" s="1"/>
      <c r="K259" s="24"/>
      <c r="L259" s="1757"/>
      <c r="M259" s="1758"/>
      <c r="N259" s="1758"/>
      <c r="O259" s="11"/>
    </row>
    <row r="260" spans="1:19" ht="15" customHeight="1" x14ac:dyDescent="0.25">
      <c r="A260" s="1"/>
      <c r="B260" s="1"/>
      <c r="C260" s="1"/>
      <c r="D260" s="1"/>
      <c r="G260" s="1755"/>
      <c r="H260" s="1"/>
      <c r="I260" s="1"/>
      <c r="J260" s="1"/>
      <c r="K260" s="24"/>
      <c r="L260" s="1757"/>
      <c r="M260" s="1758"/>
      <c r="N260" s="1758"/>
      <c r="O260" s="11"/>
    </row>
    <row r="261" spans="1:19" ht="15" customHeight="1" x14ac:dyDescent="0.25">
      <c r="A261" s="1"/>
      <c r="B261" s="1"/>
      <c r="C261" s="1"/>
      <c r="D261" s="1"/>
      <c r="G261" s="1755"/>
      <c r="H261" s="1"/>
      <c r="I261" s="1"/>
      <c r="J261" s="1"/>
      <c r="K261" s="24"/>
      <c r="L261" s="1757"/>
      <c r="M261" s="1758"/>
      <c r="N261" s="1758"/>
      <c r="O261" s="11"/>
    </row>
    <row r="262" spans="1:19" ht="15" customHeight="1" x14ac:dyDescent="0.25">
      <c r="A262" s="1"/>
      <c r="B262" s="1"/>
      <c r="C262" s="1"/>
      <c r="D262" s="1"/>
      <c r="G262" s="1755"/>
      <c r="H262" s="1"/>
      <c r="I262" s="1"/>
      <c r="J262" s="1"/>
      <c r="L262" s="1765"/>
      <c r="M262" s="1758"/>
      <c r="N262" s="1758"/>
      <c r="O262" s="11"/>
    </row>
    <row r="263" spans="1:19" ht="15" customHeight="1" x14ac:dyDescent="0.25">
      <c r="A263" s="1"/>
      <c r="B263" s="1"/>
      <c r="C263" s="1"/>
      <c r="D263" s="1"/>
      <c r="G263" s="1755"/>
      <c r="H263" s="1"/>
      <c r="I263" s="1"/>
      <c r="J263" s="1"/>
      <c r="L263" s="1765"/>
      <c r="M263" s="1758"/>
      <c r="N263" s="1758"/>
      <c r="O263" s="11"/>
    </row>
    <row r="264" spans="1:19" ht="15" customHeight="1" x14ac:dyDescent="0.25">
      <c r="A264" s="1"/>
      <c r="B264" s="1"/>
      <c r="C264" s="1"/>
      <c r="D264" s="1"/>
      <c r="G264" s="1755"/>
      <c r="H264" s="1"/>
      <c r="I264" s="1"/>
      <c r="J264" s="1"/>
      <c r="L264" s="1770"/>
      <c r="M264" s="1758"/>
      <c r="N264" s="1758"/>
      <c r="O264" s="11"/>
    </row>
    <row r="265" spans="1:19" ht="15" customHeight="1" x14ac:dyDescent="0.25">
      <c r="A265" s="1"/>
      <c r="B265" s="1"/>
      <c r="C265" s="1"/>
      <c r="D265" s="1"/>
      <c r="G265" s="1755"/>
      <c r="H265" s="1"/>
      <c r="I265" s="1"/>
      <c r="J265" s="1"/>
      <c r="L265" s="1770"/>
      <c r="M265" s="1758"/>
      <c r="N265" s="1758"/>
      <c r="O265" s="11"/>
    </row>
    <row r="266" spans="1:19" ht="15" customHeight="1" x14ac:dyDescent="0.25">
      <c r="A266" s="1"/>
      <c r="B266" s="1"/>
      <c r="C266" s="1"/>
      <c r="D266" s="1"/>
      <c r="G266" s="1755"/>
      <c r="H266" s="1"/>
      <c r="I266" s="1"/>
      <c r="J266" s="1"/>
      <c r="K266" s="24"/>
      <c r="L266" s="1757"/>
      <c r="M266" s="1758"/>
      <c r="N266" s="1758"/>
      <c r="O266" s="11"/>
    </row>
    <row r="267" spans="1:19" ht="15" customHeight="1" x14ac:dyDescent="0.25">
      <c r="A267" s="1"/>
      <c r="B267" s="1"/>
      <c r="C267" s="1"/>
      <c r="D267" s="1"/>
      <c r="G267" s="1755"/>
      <c r="H267" s="1"/>
      <c r="I267" s="1"/>
      <c r="J267" s="1"/>
      <c r="L267" s="1771"/>
      <c r="M267" s="1758"/>
      <c r="N267" s="1758"/>
      <c r="O267" s="11"/>
    </row>
    <row r="268" spans="1:19" ht="15" customHeight="1" x14ac:dyDescent="0.25">
      <c r="A268" s="1"/>
      <c r="B268" s="1"/>
      <c r="C268" s="1"/>
      <c r="D268" s="1"/>
      <c r="G268" s="1755"/>
      <c r="H268" s="1"/>
      <c r="I268" s="1"/>
      <c r="J268" s="1"/>
      <c r="K268" s="24"/>
      <c r="L268" s="1762"/>
      <c r="M268" s="1762"/>
      <c r="N268" s="1762"/>
      <c r="O268"/>
      <c r="P268"/>
      <c r="Q268"/>
      <c r="R268"/>
      <c r="S268"/>
    </row>
    <row r="269" spans="1:19" ht="15" customHeight="1" x14ac:dyDescent="0.25">
      <c r="A269" s="1"/>
      <c r="B269" s="1"/>
      <c r="C269" s="1"/>
      <c r="D269" s="1"/>
      <c r="G269" s="1755"/>
      <c r="H269" s="1"/>
      <c r="I269" s="1"/>
      <c r="J269" s="1"/>
      <c r="K269" s="24"/>
      <c r="L269" s="1762"/>
      <c r="M269" s="1762"/>
      <c r="N269" s="1762"/>
      <c r="O269"/>
      <c r="P269"/>
      <c r="Q269"/>
      <c r="R269"/>
      <c r="S269"/>
    </row>
    <row r="270" spans="1:19" ht="15" customHeight="1" x14ac:dyDescent="0.25">
      <c r="A270" s="1"/>
      <c r="B270" s="1"/>
      <c r="C270" s="1"/>
      <c r="D270" s="1"/>
      <c r="G270" s="1755"/>
      <c r="H270" s="1"/>
      <c r="I270" s="1"/>
      <c r="J270" s="1"/>
      <c r="K270" s="24"/>
      <c r="L270" s="1762"/>
      <c r="M270" s="1762"/>
      <c r="N270" s="1762"/>
      <c r="O270"/>
      <c r="P270"/>
      <c r="Q270"/>
      <c r="R270"/>
      <c r="S270"/>
    </row>
    <row r="271" spans="1:19" ht="15" customHeight="1" x14ac:dyDescent="0.25">
      <c r="A271" s="1"/>
      <c r="B271" s="1"/>
      <c r="C271" s="1"/>
      <c r="D271" s="1"/>
      <c r="G271" s="1755"/>
      <c r="H271" s="1"/>
      <c r="I271" s="1"/>
      <c r="J271" s="1"/>
      <c r="K271" s="24"/>
      <c r="L271" s="1762"/>
      <c r="M271" s="1762"/>
      <c r="N271" s="1762"/>
      <c r="O271"/>
      <c r="P271"/>
      <c r="Q271"/>
      <c r="R271"/>
      <c r="S271"/>
    </row>
    <row r="272" spans="1:19" ht="15" customHeight="1" x14ac:dyDescent="0.25">
      <c r="A272" s="1"/>
      <c r="B272" s="1"/>
      <c r="C272" s="1"/>
      <c r="D272" s="1"/>
      <c r="G272" s="1755"/>
      <c r="H272" s="1"/>
      <c r="I272" s="1"/>
      <c r="J272" s="1"/>
      <c r="K272" s="24"/>
      <c r="L272" s="1762"/>
      <c r="M272" s="1762"/>
      <c r="N272" s="1762"/>
      <c r="O272"/>
      <c r="P272"/>
      <c r="Q272"/>
      <c r="R272"/>
      <c r="S272"/>
    </row>
    <row r="273" spans="1:19" ht="15" customHeight="1" x14ac:dyDescent="0.25">
      <c r="A273" s="1"/>
      <c r="B273" s="1"/>
      <c r="C273" s="1"/>
      <c r="D273" s="1"/>
      <c r="G273" s="1755"/>
      <c r="H273" s="1"/>
      <c r="I273" s="1"/>
      <c r="J273" s="1"/>
      <c r="K273" s="40"/>
      <c r="L273" s="1762"/>
      <c r="M273" s="1762"/>
      <c r="N273" s="1762"/>
      <c r="O273"/>
      <c r="P273"/>
      <c r="Q273"/>
      <c r="R273"/>
      <c r="S273"/>
    </row>
    <row r="274" spans="1:19" ht="15" customHeight="1" x14ac:dyDescent="0.25">
      <c r="A274" s="1"/>
      <c r="B274" s="1"/>
      <c r="C274" s="1"/>
      <c r="D274" s="1"/>
      <c r="G274" s="1755"/>
      <c r="H274" s="1"/>
      <c r="I274" s="1"/>
      <c r="J274" s="1"/>
      <c r="K274" s="40"/>
      <c r="L274" s="1762"/>
      <c r="M274" s="1762"/>
      <c r="N274" s="1762"/>
      <c r="O274"/>
      <c r="P274"/>
      <c r="Q274"/>
      <c r="R274"/>
      <c r="S274"/>
    </row>
    <row r="275" spans="1:19" ht="15" customHeight="1" x14ac:dyDescent="0.25">
      <c r="A275" s="1"/>
      <c r="B275" s="1"/>
      <c r="C275" s="1"/>
      <c r="D275" s="1"/>
      <c r="G275" s="1755"/>
      <c r="H275" s="1"/>
      <c r="I275" s="1"/>
      <c r="J275" s="1"/>
      <c r="K275" s="40"/>
      <c r="L275" s="1765"/>
      <c r="M275" s="1758"/>
      <c r="N275" s="1758"/>
      <c r="O275" s="11"/>
    </row>
    <row r="276" spans="1:19" ht="15" customHeight="1" x14ac:dyDescent="0.25">
      <c r="A276" s="1"/>
      <c r="B276" s="1"/>
      <c r="C276" s="1"/>
      <c r="D276" s="1"/>
      <c r="G276" s="1755"/>
      <c r="H276" s="1"/>
      <c r="I276" s="1"/>
      <c r="J276" s="1"/>
      <c r="K276" s="40"/>
      <c r="L276" s="1765"/>
      <c r="M276" s="1758"/>
      <c r="N276" s="1758"/>
      <c r="O276" s="11"/>
    </row>
    <row r="277" spans="1:19" ht="15" customHeight="1" x14ac:dyDescent="0.25">
      <c r="A277" s="1"/>
      <c r="B277" s="1"/>
      <c r="C277" s="1"/>
      <c r="D277" s="1"/>
      <c r="G277" s="1755"/>
      <c r="H277" s="1"/>
      <c r="I277" s="1"/>
      <c r="J277" s="1"/>
      <c r="K277" s="24"/>
      <c r="L277" s="1757"/>
      <c r="M277" s="1758"/>
      <c r="N277" s="1758"/>
      <c r="O277" s="11"/>
    </row>
    <row r="278" spans="1:19" s="38" customFormat="1" ht="15" customHeight="1" x14ac:dyDescent="0.25">
      <c r="A278" s="1"/>
      <c r="B278" s="1"/>
      <c r="C278" s="1"/>
      <c r="D278" s="1"/>
      <c r="E278" s="1"/>
      <c r="F278" s="1"/>
      <c r="G278" s="1755"/>
      <c r="H278" s="1"/>
      <c r="I278" s="1"/>
      <c r="J278" s="1"/>
      <c r="K278" s="24"/>
      <c r="L278" s="1757"/>
      <c r="M278" s="1772"/>
      <c r="N278" s="1772"/>
      <c r="O278" s="29"/>
    </row>
    <row r="279" spans="1:19" ht="15" customHeight="1" x14ac:dyDescent="0.25">
      <c r="A279" s="1"/>
      <c r="B279" s="1"/>
      <c r="C279" s="1"/>
      <c r="D279" s="1"/>
      <c r="G279" s="1755"/>
      <c r="H279" s="1"/>
      <c r="I279" s="1"/>
      <c r="J279" s="1"/>
      <c r="K279" s="24"/>
      <c r="L279" s="1757"/>
      <c r="M279" s="1758"/>
      <c r="N279" s="1758"/>
      <c r="O279" s="11"/>
    </row>
    <row r="280" spans="1:19" ht="15" customHeight="1" x14ac:dyDescent="0.25">
      <c r="A280" s="1"/>
      <c r="B280" s="1"/>
      <c r="C280" s="1"/>
      <c r="D280" s="1"/>
      <c r="G280" s="1755"/>
      <c r="H280" s="1"/>
      <c r="I280" s="1"/>
      <c r="J280" s="1"/>
      <c r="K280" s="24"/>
      <c r="L280" s="1757"/>
      <c r="M280" s="1758"/>
      <c r="N280" s="1758"/>
      <c r="O280" s="11"/>
    </row>
    <row r="281" spans="1:19" ht="15" customHeight="1" x14ac:dyDescent="0.25">
      <c r="A281" s="1"/>
      <c r="B281" s="1"/>
      <c r="C281" s="1"/>
      <c r="D281" s="1"/>
      <c r="G281" s="1755"/>
      <c r="H281" s="1"/>
      <c r="I281" s="1"/>
      <c r="J281" s="1"/>
      <c r="K281" s="24"/>
      <c r="L281" s="1757"/>
      <c r="M281" s="1758"/>
      <c r="N281" s="1758"/>
      <c r="O281" s="11"/>
    </row>
    <row r="282" spans="1:19" ht="15" customHeight="1" x14ac:dyDescent="0.25">
      <c r="A282" s="1"/>
      <c r="B282" s="1"/>
      <c r="C282" s="1"/>
      <c r="D282" s="1"/>
      <c r="G282" s="1755"/>
      <c r="H282" s="1"/>
      <c r="I282" s="1"/>
      <c r="J282" s="1"/>
      <c r="K282" s="24"/>
      <c r="L282" s="1757"/>
      <c r="M282" s="1758"/>
      <c r="N282" s="1758"/>
      <c r="O282" s="11"/>
    </row>
    <row r="283" spans="1:19" ht="15" customHeight="1" x14ac:dyDescent="0.25">
      <c r="A283" s="1"/>
      <c r="B283" s="1"/>
      <c r="C283" s="1"/>
      <c r="D283" s="1"/>
      <c r="G283" s="1755"/>
      <c r="H283" s="1"/>
      <c r="I283" s="1"/>
      <c r="J283" s="1"/>
      <c r="K283" s="42"/>
      <c r="L283" s="1773"/>
      <c r="M283" s="1758"/>
      <c r="N283" s="1758"/>
      <c r="O283" s="11"/>
    </row>
    <row r="284" spans="1:19" ht="15" customHeight="1" x14ac:dyDescent="0.25">
      <c r="A284" s="1"/>
      <c r="B284" s="1"/>
      <c r="C284" s="1"/>
      <c r="D284" s="1"/>
      <c r="G284" s="1755"/>
      <c r="H284" s="1"/>
      <c r="I284" s="1"/>
      <c r="J284" s="1"/>
      <c r="K284" s="42"/>
      <c r="L284" s="1773"/>
      <c r="M284" s="1758"/>
      <c r="N284" s="1758"/>
      <c r="O284" s="11"/>
    </row>
    <row r="285" spans="1:19" ht="15" customHeight="1" x14ac:dyDescent="0.25">
      <c r="A285" s="1"/>
      <c r="B285" s="1"/>
      <c r="C285" s="1"/>
      <c r="D285" s="1"/>
      <c r="G285" s="1755"/>
      <c r="H285" s="1"/>
      <c r="I285" s="1"/>
      <c r="J285" s="1"/>
      <c r="K285" s="42"/>
      <c r="L285" s="1773"/>
      <c r="M285" s="1758"/>
      <c r="N285" s="1758"/>
      <c r="O285" s="11"/>
    </row>
    <row r="286" spans="1:19" ht="15" customHeight="1" x14ac:dyDescent="0.25">
      <c r="A286" s="1"/>
      <c r="B286" s="1"/>
      <c r="C286" s="1"/>
      <c r="D286" s="1"/>
      <c r="G286" s="1755"/>
      <c r="H286" s="1"/>
      <c r="I286" s="1"/>
      <c r="J286" s="1"/>
      <c r="K286" s="42"/>
      <c r="L286" s="1773"/>
      <c r="M286" s="1758"/>
      <c r="N286" s="1758"/>
      <c r="O286" s="11"/>
    </row>
    <row r="287" spans="1:19" ht="15" customHeight="1" x14ac:dyDescent="0.25">
      <c r="A287" s="1"/>
      <c r="B287" s="1"/>
      <c r="C287" s="1"/>
      <c r="D287" s="1"/>
      <c r="G287" s="1755"/>
      <c r="H287" s="1"/>
      <c r="I287" s="1"/>
      <c r="J287" s="1"/>
      <c r="K287" s="42"/>
      <c r="L287" s="1773"/>
      <c r="M287" s="1758"/>
      <c r="N287" s="1758"/>
      <c r="O287" s="11"/>
    </row>
    <row r="288" spans="1:19" ht="15" customHeight="1" x14ac:dyDescent="0.25">
      <c r="A288" s="1"/>
      <c r="B288" s="1"/>
      <c r="C288" s="1"/>
      <c r="D288" s="1"/>
      <c r="G288" s="1755"/>
      <c r="H288" s="1"/>
      <c r="I288" s="1"/>
      <c r="J288" s="1"/>
      <c r="K288" s="42"/>
      <c r="L288" s="1773"/>
      <c r="M288" s="1758"/>
      <c r="N288" s="1758"/>
      <c r="O288" s="11"/>
    </row>
    <row r="289" spans="1:15" ht="15" customHeight="1" x14ac:dyDescent="0.25">
      <c r="A289" s="1"/>
      <c r="B289" s="1"/>
      <c r="C289" s="1"/>
      <c r="D289" s="1"/>
      <c r="G289" s="1755"/>
      <c r="H289" s="1"/>
      <c r="I289" s="1"/>
      <c r="J289" s="1"/>
      <c r="K289" s="20"/>
      <c r="L289" s="1754"/>
      <c r="M289" s="1758"/>
      <c r="N289" s="1758"/>
      <c r="O289" s="11"/>
    </row>
    <row r="290" spans="1:15" ht="15" customHeight="1" x14ac:dyDescent="0.25">
      <c r="A290" s="1"/>
      <c r="B290" s="1"/>
      <c r="C290" s="1"/>
      <c r="D290" s="1"/>
      <c r="G290" s="1755"/>
      <c r="H290" s="1"/>
      <c r="I290" s="1"/>
      <c r="J290" s="1"/>
      <c r="K290" s="20"/>
      <c r="L290" s="1754"/>
      <c r="M290" s="1758"/>
      <c r="N290" s="1758"/>
      <c r="O290" s="11"/>
    </row>
    <row r="291" spans="1:15" ht="15" customHeight="1" x14ac:dyDescent="0.25">
      <c r="A291" s="1"/>
      <c r="B291" s="1"/>
      <c r="C291" s="1"/>
      <c r="D291" s="1"/>
      <c r="G291" s="1755"/>
      <c r="H291" s="1"/>
      <c r="I291" s="1"/>
      <c r="J291" s="1"/>
      <c r="K291" s="20"/>
      <c r="L291" s="1754"/>
      <c r="M291" s="1758"/>
      <c r="N291" s="1758"/>
      <c r="O291" s="11"/>
    </row>
    <row r="292" spans="1:15" ht="15" customHeight="1" x14ac:dyDescent="0.25">
      <c r="A292" s="1"/>
      <c r="B292" s="1"/>
      <c r="C292" s="1"/>
      <c r="D292" s="1"/>
      <c r="G292" s="1755"/>
      <c r="H292" s="1"/>
      <c r="I292" s="1"/>
      <c r="J292" s="1"/>
      <c r="K292" s="20"/>
      <c r="L292" s="1754"/>
      <c r="M292" s="1758"/>
      <c r="N292" s="1758"/>
      <c r="O292" s="11"/>
    </row>
    <row r="293" spans="1:15" ht="15" customHeight="1" x14ac:dyDescent="0.25">
      <c r="A293" s="1"/>
      <c r="B293" s="1"/>
      <c r="C293" s="1"/>
      <c r="D293" s="1"/>
      <c r="G293" s="1755"/>
      <c r="H293" s="1"/>
      <c r="I293" s="1"/>
      <c r="J293" s="1"/>
      <c r="K293" s="20"/>
      <c r="L293" s="1754"/>
      <c r="M293" s="1758"/>
      <c r="N293" s="1758"/>
      <c r="O293" s="11"/>
    </row>
    <row r="294" spans="1:15" ht="15" customHeight="1" x14ac:dyDescent="0.25">
      <c r="A294" s="1"/>
      <c r="B294" s="1"/>
      <c r="C294" s="1"/>
      <c r="D294" s="1"/>
      <c r="G294" s="1755"/>
      <c r="H294" s="1"/>
      <c r="I294" s="1"/>
      <c r="J294" s="1"/>
      <c r="K294" s="20"/>
      <c r="L294" s="1754"/>
      <c r="M294" s="1758"/>
      <c r="N294" s="1758"/>
      <c r="O294" s="11"/>
    </row>
    <row r="295" spans="1:15" ht="15" customHeight="1" x14ac:dyDescent="0.25">
      <c r="A295" s="1"/>
      <c r="B295" s="1"/>
      <c r="C295" s="1"/>
      <c r="D295" s="1"/>
      <c r="G295" s="1755"/>
      <c r="H295" s="1"/>
      <c r="I295" s="1"/>
      <c r="J295" s="1"/>
      <c r="K295" s="20"/>
      <c r="L295" s="1754"/>
      <c r="M295" s="1758"/>
      <c r="N295" s="1758"/>
      <c r="O295" s="11"/>
    </row>
    <row r="296" spans="1:15" ht="15" customHeight="1" x14ac:dyDescent="0.25">
      <c r="A296" s="1"/>
      <c r="B296" s="1"/>
      <c r="C296" s="1"/>
      <c r="D296" s="1"/>
      <c r="G296" s="1755"/>
      <c r="H296" s="1"/>
      <c r="I296" s="1"/>
      <c r="J296" s="1"/>
      <c r="K296" s="20"/>
      <c r="L296" s="1754"/>
      <c r="M296" s="1758"/>
      <c r="N296" s="1758"/>
      <c r="O296" s="11"/>
    </row>
    <row r="297" spans="1:15" ht="15" customHeight="1" x14ac:dyDescent="0.25">
      <c r="A297" s="1"/>
      <c r="B297" s="1"/>
      <c r="C297" s="1"/>
      <c r="D297" s="1"/>
      <c r="G297" s="1755"/>
      <c r="H297" s="1"/>
      <c r="I297" s="1"/>
      <c r="J297" s="1"/>
      <c r="K297" s="20"/>
      <c r="L297" s="1754"/>
      <c r="M297" s="1758"/>
      <c r="N297" s="1758"/>
      <c r="O297" s="11"/>
    </row>
    <row r="298" spans="1:15" ht="15" customHeight="1" x14ac:dyDescent="0.25">
      <c r="A298" s="1"/>
      <c r="B298" s="1"/>
      <c r="C298" s="1"/>
      <c r="D298" s="1"/>
      <c r="G298" s="1755"/>
      <c r="H298" s="1"/>
      <c r="I298" s="1"/>
      <c r="J298" s="1"/>
      <c r="K298" s="20"/>
      <c r="L298" s="1754"/>
      <c r="M298" s="1758"/>
      <c r="N298" s="1758"/>
      <c r="O298" s="11"/>
    </row>
    <row r="299" spans="1:15" ht="15" customHeight="1" x14ac:dyDescent="0.25">
      <c r="A299" s="1"/>
      <c r="B299" s="1"/>
      <c r="C299" s="1"/>
      <c r="D299" s="1"/>
      <c r="G299" s="1755"/>
      <c r="H299" s="1"/>
      <c r="I299" s="1"/>
      <c r="J299" s="1"/>
      <c r="K299" s="20"/>
      <c r="L299" s="1754"/>
      <c r="M299" s="1758"/>
      <c r="N299" s="1758"/>
      <c r="O299" s="11"/>
    </row>
    <row r="300" spans="1:15" ht="15" customHeight="1" x14ac:dyDescent="0.25">
      <c r="A300" s="1"/>
      <c r="B300" s="1"/>
      <c r="C300" s="1"/>
      <c r="D300" s="1"/>
      <c r="G300" s="1755"/>
      <c r="H300" s="1"/>
      <c r="I300" s="1"/>
      <c r="J300" s="1"/>
      <c r="K300" s="20"/>
      <c r="L300" s="1754"/>
      <c r="M300" s="1758"/>
      <c r="N300" s="1758"/>
      <c r="O300" s="11"/>
    </row>
    <row r="301" spans="1:15" ht="15" customHeight="1" x14ac:dyDescent="0.25">
      <c r="A301" s="1"/>
      <c r="B301" s="1"/>
      <c r="C301" s="1"/>
      <c r="D301" s="1"/>
      <c r="G301" s="1755"/>
      <c r="H301" s="1"/>
      <c r="I301" s="1"/>
      <c r="J301" s="1"/>
      <c r="K301" s="20"/>
      <c r="L301" s="1754"/>
      <c r="M301" s="1758"/>
      <c r="N301" s="1758"/>
      <c r="O301" s="11"/>
    </row>
    <row r="302" spans="1:15" ht="15" customHeight="1" x14ac:dyDescent="0.25">
      <c r="A302" s="1"/>
      <c r="B302" s="1"/>
      <c r="C302" s="1"/>
      <c r="D302" s="1"/>
      <c r="G302" s="1755"/>
      <c r="H302" s="1"/>
      <c r="I302" s="1"/>
      <c r="J302" s="1"/>
      <c r="K302" s="20"/>
      <c r="L302" s="1754"/>
      <c r="M302" s="1758"/>
      <c r="N302" s="1758"/>
      <c r="O302" s="11"/>
    </row>
    <row r="303" spans="1:15" ht="15" customHeight="1" x14ac:dyDescent="0.25">
      <c r="A303" s="1"/>
      <c r="B303" s="1"/>
      <c r="C303" s="1"/>
      <c r="D303" s="1"/>
      <c r="G303" s="1755"/>
      <c r="H303" s="1"/>
      <c r="I303" s="1"/>
      <c r="J303" s="1"/>
      <c r="K303" s="20"/>
      <c r="L303" s="1754"/>
      <c r="M303" s="1758"/>
      <c r="N303" s="1758"/>
      <c r="O303" s="11"/>
    </row>
    <row r="304" spans="1:15" ht="15" customHeight="1" x14ac:dyDescent="0.25">
      <c r="A304" s="1"/>
      <c r="B304" s="1"/>
      <c r="C304" s="1"/>
      <c r="D304" s="1"/>
      <c r="G304" s="1755"/>
      <c r="H304" s="1"/>
      <c r="I304" s="1"/>
      <c r="J304" s="1"/>
      <c r="K304" s="20"/>
      <c r="L304" s="1754"/>
      <c r="M304" s="1758"/>
      <c r="N304" s="1758"/>
      <c r="O304" s="11"/>
    </row>
    <row r="305" spans="1:15" ht="15" customHeight="1" x14ac:dyDescent="0.25">
      <c r="A305" s="1"/>
      <c r="B305" s="1"/>
      <c r="C305" s="1"/>
      <c r="D305" s="1"/>
      <c r="G305" s="1755"/>
      <c r="H305" s="1"/>
      <c r="I305" s="1"/>
      <c r="J305" s="1"/>
      <c r="K305" s="20"/>
      <c r="L305" s="1754"/>
      <c r="M305" s="1758"/>
      <c r="N305" s="1758"/>
      <c r="O305" s="11"/>
    </row>
    <row r="306" spans="1:15" ht="15" customHeight="1" x14ac:dyDescent="0.25">
      <c r="A306" s="1"/>
      <c r="B306" s="1"/>
      <c r="C306" s="1"/>
      <c r="D306" s="1"/>
      <c r="G306" s="1755"/>
      <c r="H306" s="1"/>
      <c r="I306" s="1"/>
      <c r="J306" s="1"/>
      <c r="K306" s="20"/>
      <c r="L306" s="1754"/>
      <c r="M306" s="1758"/>
      <c r="N306" s="1758"/>
      <c r="O306" s="11"/>
    </row>
    <row r="307" spans="1:15" ht="15" customHeight="1" x14ac:dyDescent="0.25">
      <c r="A307" s="1"/>
      <c r="B307" s="1"/>
      <c r="C307" s="1"/>
      <c r="D307" s="1"/>
      <c r="G307" s="1755"/>
      <c r="H307" s="1"/>
      <c r="I307" s="1"/>
      <c r="J307" s="1"/>
      <c r="K307" s="20"/>
      <c r="L307" s="1754"/>
      <c r="M307" s="1758"/>
      <c r="N307" s="1758"/>
      <c r="O307" s="11"/>
    </row>
    <row r="308" spans="1:15" ht="15" customHeight="1" x14ac:dyDescent="0.25">
      <c r="A308" s="1"/>
      <c r="B308" s="1"/>
      <c r="C308" s="1"/>
      <c r="D308" s="1"/>
      <c r="G308" s="1755"/>
      <c r="H308" s="1"/>
      <c r="I308" s="1"/>
      <c r="J308" s="1"/>
      <c r="L308" s="1755"/>
      <c r="M308" s="1758"/>
      <c r="N308" s="1758"/>
      <c r="O308" s="11"/>
    </row>
    <row r="309" spans="1:15" ht="15" customHeight="1" x14ac:dyDescent="0.25">
      <c r="A309" s="1"/>
      <c r="B309" s="1"/>
      <c r="C309" s="1"/>
      <c r="D309" s="1"/>
      <c r="G309" s="1755"/>
      <c r="H309" s="1"/>
      <c r="I309" s="1"/>
      <c r="J309" s="1"/>
      <c r="L309" s="1755"/>
      <c r="M309" s="1758"/>
      <c r="N309" s="1758"/>
      <c r="O309" s="11"/>
    </row>
    <row r="310" spans="1:15" ht="15" customHeight="1" x14ac:dyDescent="0.25">
      <c r="A310" s="1"/>
      <c r="B310" s="1"/>
      <c r="C310" s="1"/>
      <c r="D310" s="1"/>
      <c r="G310" s="1755"/>
      <c r="H310" s="1"/>
      <c r="I310" s="1"/>
      <c r="J310" s="1"/>
      <c r="L310" s="1755"/>
      <c r="M310" s="1758"/>
      <c r="N310" s="1758"/>
      <c r="O310" s="11"/>
    </row>
    <row r="311" spans="1:15" ht="15" customHeight="1" x14ac:dyDescent="0.25">
      <c r="A311" s="1"/>
      <c r="B311" s="1"/>
      <c r="C311" s="1"/>
      <c r="D311" s="1"/>
      <c r="G311" s="1755"/>
      <c r="H311" s="1"/>
      <c r="I311" s="1"/>
      <c r="J311" s="1"/>
      <c r="K311" s="20"/>
      <c r="L311" s="1774"/>
      <c r="M311" s="1758"/>
      <c r="N311" s="1758"/>
      <c r="O311" s="11"/>
    </row>
    <row r="312" spans="1:15" ht="15" customHeight="1" x14ac:dyDescent="0.25">
      <c r="A312" s="1"/>
      <c r="B312" s="1"/>
      <c r="C312" s="1"/>
      <c r="D312" s="1"/>
      <c r="G312" s="1755"/>
      <c r="H312" s="1"/>
      <c r="I312" s="1"/>
      <c r="J312" s="1"/>
      <c r="K312" s="20"/>
      <c r="L312" s="1774"/>
      <c r="M312" s="1758"/>
      <c r="N312" s="1758"/>
      <c r="O312" s="11"/>
    </row>
    <row r="313" spans="1:15" ht="15" customHeight="1" x14ac:dyDescent="0.25">
      <c r="A313" s="1"/>
      <c r="B313" s="1"/>
      <c r="C313" s="1"/>
      <c r="D313" s="1"/>
      <c r="G313" s="1755"/>
      <c r="H313" s="1"/>
      <c r="I313" s="1"/>
      <c r="J313" s="1"/>
      <c r="K313" s="20"/>
      <c r="L313" s="1774"/>
      <c r="M313" s="1758"/>
      <c r="N313" s="1758"/>
      <c r="O313" s="11"/>
    </row>
    <row r="314" spans="1:15" ht="15" customHeight="1" x14ac:dyDescent="0.25">
      <c r="A314" s="1"/>
      <c r="B314" s="1"/>
      <c r="C314" s="1"/>
      <c r="D314" s="1"/>
      <c r="G314" s="1755"/>
      <c r="H314" s="1"/>
      <c r="I314" s="1"/>
      <c r="J314" s="1"/>
      <c r="K314" s="20"/>
      <c r="L314" s="1774"/>
      <c r="M314" s="1758"/>
      <c r="N314" s="1758"/>
      <c r="O314" s="11"/>
    </row>
    <row r="315" spans="1:15" ht="15" customHeight="1" x14ac:dyDescent="0.25">
      <c r="A315" s="1"/>
      <c r="B315" s="1"/>
      <c r="C315" s="1"/>
      <c r="D315" s="1"/>
      <c r="G315" s="1755"/>
      <c r="H315" s="1"/>
      <c r="I315" s="1"/>
      <c r="J315" s="1"/>
      <c r="K315" s="24"/>
      <c r="L315" s="1757"/>
      <c r="M315" s="1758"/>
      <c r="N315" s="1758"/>
      <c r="O315" s="11"/>
    </row>
    <row r="316" spans="1:15" ht="15" customHeight="1" x14ac:dyDescent="0.25">
      <c r="A316" s="1"/>
      <c r="B316" s="1"/>
      <c r="C316" s="1"/>
      <c r="D316" s="1"/>
      <c r="G316" s="1755"/>
      <c r="H316" s="1"/>
      <c r="I316" s="1"/>
      <c r="J316" s="1"/>
      <c r="K316" s="24"/>
      <c r="L316" s="1757"/>
      <c r="M316" s="1758"/>
      <c r="N316" s="1758"/>
      <c r="O316" s="11"/>
    </row>
    <row r="317" spans="1:15" ht="15" customHeight="1" x14ac:dyDescent="0.25">
      <c r="A317" s="1"/>
      <c r="B317" s="1"/>
      <c r="C317" s="1"/>
      <c r="D317" s="1"/>
      <c r="G317" s="1755"/>
      <c r="H317" s="1"/>
      <c r="I317" s="1"/>
      <c r="J317" s="1"/>
      <c r="K317" s="25"/>
      <c r="L317" s="1757"/>
      <c r="M317" s="1758"/>
      <c r="N317" s="1758"/>
      <c r="O317" s="11"/>
    </row>
    <row r="318" spans="1:15" ht="15" customHeight="1" x14ac:dyDescent="0.25">
      <c r="A318" s="1"/>
      <c r="B318" s="1"/>
      <c r="C318" s="1"/>
      <c r="D318" s="1"/>
      <c r="G318" s="1755"/>
      <c r="H318" s="1"/>
      <c r="I318" s="1"/>
      <c r="J318" s="1"/>
      <c r="K318" s="24"/>
      <c r="L318" s="1757"/>
      <c r="M318" s="1758"/>
      <c r="N318" s="1758"/>
      <c r="O318" s="11"/>
    </row>
    <row r="319" spans="1:15" ht="15" customHeight="1" x14ac:dyDescent="0.25">
      <c r="A319" s="1"/>
      <c r="B319" s="1"/>
      <c r="C319" s="1"/>
      <c r="D319" s="1"/>
      <c r="G319" s="1755"/>
      <c r="H319" s="1"/>
      <c r="I319" s="1"/>
      <c r="J319" s="1"/>
      <c r="K319" s="24"/>
      <c r="L319" s="1757"/>
      <c r="M319" s="1758"/>
      <c r="N319" s="1758"/>
      <c r="O319" s="11"/>
    </row>
    <row r="320" spans="1:15" ht="15" customHeight="1" x14ac:dyDescent="0.25">
      <c r="A320" s="1"/>
      <c r="B320" s="1"/>
      <c r="C320" s="1"/>
      <c r="D320" s="1"/>
      <c r="G320" s="1755"/>
      <c r="H320" s="1"/>
      <c r="I320" s="1"/>
      <c r="J320" s="1"/>
      <c r="K320" s="24"/>
      <c r="L320" s="1757"/>
      <c r="M320" s="1758"/>
      <c r="N320" s="1758"/>
      <c r="O320" s="11"/>
    </row>
    <row r="321" spans="1:15" ht="15" customHeight="1" x14ac:dyDescent="0.25">
      <c r="A321" s="1"/>
      <c r="B321" s="1"/>
      <c r="C321" s="1"/>
      <c r="D321" s="1"/>
      <c r="G321" s="1755"/>
      <c r="H321" s="1"/>
      <c r="I321" s="1"/>
      <c r="J321" s="1"/>
      <c r="K321" s="42"/>
      <c r="L321" s="1773"/>
      <c r="M321" s="1758"/>
      <c r="N321" s="1758"/>
      <c r="O321" s="11"/>
    </row>
    <row r="322" spans="1:15" ht="15" customHeight="1" x14ac:dyDescent="0.25">
      <c r="A322" s="1"/>
      <c r="B322" s="1"/>
      <c r="C322" s="1"/>
      <c r="D322" s="1"/>
      <c r="G322" s="1755"/>
      <c r="H322" s="1"/>
      <c r="I322" s="1"/>
      <c r="J322" s="1"/>
      <c r="K322" s="20"/>
      <c r="L322" s="1754"/>
      <c r="M322" s="1758"/>
      <c r="N322" s="1758"/>
      <c r="O322" s="11"/>
    </row>
    <row r="323" spans="1:15" ht="15" customHeight="1" x14ac:dyDescent="0.25">
      <c r="A323" s="1"/>
      <c r="B323" s="1"/>
      <c r="C323" s="1"/>
      <c r="D323" s="1"/>
      <c r="G323" s="1755"/>
      <c r="H323" s="1"/>
      <c r="I323" s="1"/>
      <c r="J323" s="1"/>
      <c r="K323" s="20"/>
      <c r="L323" s="1754"/>
      <c r="M323" s="1758"/>
      <c r="N323" s="1758"/>
      <c r="O323" s="11"/>
    </row>
    <row r="324" spans="1:15" ht="15" customHeight="1" x14ac:dyDescent="0.25">
      <c r="A324" s="1"/>
      <c r="B324" s="1"/>
      <c r="C324" s="1"/>
      <c r="D324" s="1"/>
      <c r="G324" s="1755"/>
      <c r="H324" s="1"/>
      <c r="I324" s="1"/>
      <c r="J324" s="1"/>
      <c r="K324" s="20"/>
      <c r="L324" s="1754"/>
      <c r="M324" s="1758"/>
      <c r="N324" s="1758"/>
      <c r="O324" s="11"/>
    </row>
    <row r="325" spans="1:15" ht="15" customHeight="1" x14ac:dyDescent="0.25">
      <c r="A325" s="1"/>
      <c r="B325" s="1"/>
      <c r="C325" s="1"/>
      <c r="D325" s="1"/>
      <c r="G325" s="1755"/>
      <c r="H325" s="1"/>
      <c r="I325" s="1"/>
      <c r="J325" s="1"/>
      <c r="K325" s="20"/>
      <c r="L325" s="1754"/>
      <c r="M325" s="1758"/>
      <c r="N325" s="1758"/>
      <c r="O325" s="11"/>
    </row>
    <row r="326" spans="1:15" ht="15" customHeight="1" x14ac:dyDescent="0.25">
      <c r="A326" s="1"/>
      <c r="B326" s="1"/>
      <c r="C326" s="1"/>
      <c r="D326" s="1"/>
      <c r="G326" s="1755"/>
      <c r="H326" s="1"/>
      <c r="I326" s="1"/>
      <c r="J326" s="1"/>
      <c r="K326" s="20"/>
      <c r="L326" s="1754"/>
      <c r="M326" s="1758"/>
      <c r="N326" s="1758"/>
      <c r="O326" s="11"/>
    </row>
    <row r="327" spans="1:15" ht="15" customHeight="1" x14ac:dyDescent="0.25">
      <c r="A327" s="1"/>
      <c r="B327" s="1"/>
      <c r="C327" s="1"/>
      <c r="D327" s="1"/>
      <c r="G327" s="1755"/>
      <c r="H327" s="1"/>
      <c r="I327" s="1"/>
      <c r="J327" s="1"/>
      <c r="K327" s="20"/>
      <c r="L327" s="1754"/>
      <c r="M327" s="1758"/>
      <c r="N327" s="1758"/>
      <c r="O327" s="11"/>
    </row>
    <row r="328" spans="1:15" ht="15" customHeight="1" x14ac:dyDescent="0.25">
      <c r="A328" s="1"/>
      <c r="B328" s="1"/>
      <c r="C328" s="1"/>
      <c r="D328" s="1"/>
      <c r="G328" s="1755"/>
      <c r="H328" s="1"/>
      <c r="I328" s="1"/>
      <c r="J328" s="1"/>
      <c r="K328" s="20"/>
      <c r="L328" s="1754"/>
      <c r="M328" s="1758"/>
      <c r="N328" s="1758"/>
      <c r="O328" s="11"/>
    </row>
    <row r="329" spans="1:15" ht="15" customHeight="1" x14ac:dyDescent="0.25">
      <c r="A329" s="1"/>
      <c r="B329" s="1"/>
      <c r="C329" s="1"/>
      <c r="D329" s="1"/>
      <c r="G329" s="1755"/>
      <c r="H329" s="1"/>
      <c r="I329" s="1"/>
      <c r="J329" s="1"/>
      <c r="K329" s="20"/>
      <c r="L329" s="1754"/>
      <c r="M329" s="1758"/>
      <c r="N329" s="1758"/>
      <c r="O329" s="11"/>
    </row>
    <row r="330" spans="1:15" ht="15" customHeight="1" x14ac:dyDescent="0.25">
      <c r="A330" s="1"/>
      <c r="B330" s="1"/>
      <c r="C330" s="1"/>
      <c r="D330" s="1"/>
      <c r="G330" s="1755"/>
      <c r="H330" s="1"/>
      <c r="I330" s="1"/>
      <c r="J330" s="1"/>
      <c r="K330" s="20"/>
      <c r="L330" s="1754"/>
      <c r="M330" s="1758"/>
      <c r="N330" s="1758"/>
      <c r="O330" s="11"/>
    </row>
    <row r="331" spans="1:15" ht="15" customHeight="1" x14ac:dyDescent="0.25">
      <c r="A331" s="1"/>
      <c r="B331" s="1"/>
      <c r="C331" s="1"/>
      <c r="D331" s="1"/>
      <c r="G331" s="1755"/>
      <c r="H331" s="1"/>
      <c r="I331" s="1"/>
      <c r="J331" s="1"/>
      <c r="K331" s="20"/>
      <c r="L331" s="1754"/>
      <c r="M331" s="1758"/>
      <c r="N331" s="1758"/>
      <c r="O331" s="11"/>
    </row>
    <row r="332" spans="1:15" ht="15" customHeight="1" x14ac:dyDescent="0.25">
      <c r="A332" s="1"/>
      <c r="B332" s="1"/>
      <c r="C332" s="1"/>
      <c r="D332" s="1"/>
      <c r="G332" s="1755"/>
      <c r="H332" s="1"/>
      <c r="I332" s="1"/>
      <c r="J332" s="1"/>
      <c r="K332" s="20"/>
      <c r="L332" s="1754"/>
      <c r="M332" s="1758"/>
      <c r="N332" s="1758"/>
      <c r="O332" s="11"/>
    </row>
    <row r="333" spans="1:15" ht="15" customHeight="1" x14ac:dyDescent="0.25">
      <c r="A333" s="1"/>
      <c r="B333" s="1"/>
      <c r="C333" s="1"/>
      <c r="D333" s="1"/>
      <c r="G333" s="1755"/>
      <c r="H333" s="1"/>
      <c r="I333" s="1"/>
      <c r="J333" s="1"/>
      <c r="K333" s="42"/>
      <c r="L333" s="1773"/>
      <c r="M333" s="1758"/>
      <c r="N333" s="1758"/>
      <c r="O333" s="11"/>
    </row>
    <row r="334" spans="1:15" ht="15" customHeight="1" x14ac:dyDescent="0.25">
      <c r="A334" s="1"/>
      <c r="B334" s="1"/>
      <c r="C334" s="1"/>
      <c r="D334" s="1"/>
      <c r="G334" s="1755"/>
      <c r="H334" s="1"/>
      <c r="I334" s="1"/>
      <c r="J334" s="1"/>
      <c r="K334" s="43"/>
      <c r="L334" s="1775"/>
      <c r="M334" s="1758"/>
      <c r="N334" s="1758"/>
      <c r="O334" s="11"/>
    </row>
    <row r="335" spans="1:15" ht="15" customHeight="1" x14ac:dyDescent="0.25">
      <c r="A335" s="1"/>
      <c r="B335" s="1"/>
      <c r="C335" s="1"/>
      <c r="D335" s="1"/>
      <c r="G335" s="1755"/>
      <c r="H335" s="1"/>
      <c r="I335" s="1"/>
      <c r="J335" s="1"/>
      <c r="K335" s="43"/>
      <c r="L335" s="1775"/>
      <c r="M335" s="1758"/>
      <c r="N335" s="1758"/>
      <c r="O335" s="11"/>
    </row>
    <row r="336" spans="1:15" ht="15" customHeight="1" x14ac:dyDescent="0.25">
      <c r="A336" s="1"/>
      <c r="B336" s="1"/>
      <c r="C336" s="1"/>
      <c r="D336" s="1"/>
      <c r="G336" s="1755"/>
      <c r="H336" s="1"/>
      <c r="I336" s="1"/>
      <c r="J336" s="1"/>
      <c r="K336" s="43"/>
      <c r="L336" s="1775"/>
      <c r="M336" s="1758"/>
      <c r="N336" s="1758"/>
      <c r="O336" s="11"/>
    </row>
    <row r="337" spans="1:15" ht="15" customHeight="1" x14ac:dyDescent="0.25">
      <c r="A337" s="1"/>
      <c r="B337" s="1"/>
      <c r="C337" s="1"/>
      <c r="D337" s="1"/>
      <c r="G337" s="1755"/>
      <c r="H337" s="1"/>
      <c r="I337" s="1"/>
      <c r="J337" s="1"/>
      <c r="K337" s="44"/>
      <c r="L337" s="1758"/>
      <c r="M337" s="1758"/>
      <c r="N337" s="1758"/>
      <c r="O337" s="11"/>
    </row>
    <row r="338" spans="1:15" ht="15" customHeight="1" x14ac:dyDescent="0.25">
      <c r="A338" s="1"/>
      <c r="B338" s="1"/>
      <c r="C338" s="1"/>
      <c r="D338" s="1"/>
      <c r="G338" s="1755"/>
      <c r="H338" s="1"/>
      <c r="I338" s="1"/>
      <c r="J338" s="1"/>
      <c r="K338" s="42"/>
      <c r="L338" s="1776"/>
      <c r="M338" s="1758"/>
      <c r="N338" s="1758"/>
      <c r="O338" s="11"/>
    </row>
    <row r="339" spans="1:15" ht="15" customHeight="1" x14ac:dyDescent="0.25">
      <c r="A339" s="1"/>
      <c r="B339" s="1"/>
      <c r="C339" s="1"/>
      <c r="D339" s="1"/>
      <c r="G339" s="1755"/>
      <c r="H339" s="1"/>
      <c r="I339" s="1"/>
      <c r="J339" s="1"/>
      <c r="K339" s="42"/>
      <c r="L339" s="1773"/>
      <c r="M339" s="1758"/>
      <c r="N339" s="1758"/>
      <c r="O339" s="11"/>
    </row>
    <row r="340" spans="1:15" ht="15" customHeight="1" x14ac:dyDescent="0.25">
      <c r="A340" s="1"/>
      <c r="B340" s="1"/>
      <c r="C340" s="1"/>
      <c r="D340" s="1"/>
      <c r="G340" s="1755"/>
      <c r="H340" s="1"/>
      <c r="I340" s="1"/>
      <c r="J340" s="1"/>
      <c r="K340" s="43"/>
      <c r="L340" s="1775"/>
      <c r="M340" s="1758"/>
      <c r="N340" s="1758"/>
      <c r="O340" s="11"/>
    </row>
    <row r="341" spans="1:15" ht="15" customHeight="1" x14ac:dyDescent="0.25">
      <c r="A341" s="1"/>
      <c r="B341" s="1"/>
      <c r="C341" s="1"/>
      <c r="D341" s="1"/>
      <c r="G341" s="1755"/>
      <c r="H341" s="1"/>
      <c r="I341" s="1"/>
      <c r="J341" s="1"/>
      <c r="K341" s="43"/>
      <c r="L341" s="1775"/>
      <c r="M341" s="1758"/>
      <c r="N341" s="1758"/>
      <c r="O341" s="11"/>
    </row>
    <row r="342" spans="1:15" ht="15" customHeight="1" x14ac:dyDescent="0.25">
      <c r="A342" s="1"/>
      <c r="B342" s="1"/>
      <c r="C342" s="1"/>
      <c r="D342" s="1"/>
      <c r="G342" s="1755"/>
      <c r="H342" s="1"/>
      <c r="I342" s="1"/>
      <c r="J342" s="1"/>
      <c r="K342" s="44"/>
      <c r="L342" s="1758"/>
      <c r="M342" s="1758"/>
      <c r="N342" s="1758"/>
      <c r="O342" s="11"/>
    </row>
    <row r="343" spans="1:15" ht="15" customHeight="1" x14ac:dyDescent="0.25">
      <c r="A343" s="1"/>
      <c r="B343" s="1"/>
      <c r="C343" s="1"/>
      <c r="D343" s="1"/>
      <c r="G343" s="1755"/>
      <c r="H343" s="1"/>
      <c r="I343" s="1"/>
      <c r="J343" s="1"/>
      <c r="K343" s="44"/>
      <c r="L343" s="1758"/>
      <c r="M343" s="1758"/>
      <c r="N343" s="1758"/>
      <c r="O343" s="11"/>
    </row>
    <row r="344" spans="1:15" ht="15" customHeight="1" x14ac:dyDescent="0.25">
      <c r="A344" s="1"/>
      <c r="B344" s="1"/>
      <c r="C344" s="1"/>
      <c r="D344" s="1"/>
      <c r="G344" s="1755"/>
      <c r="H344" s="1"/>
      <c r="I344" s="1"/>
      <c r="J344" s="1"/>
      <c r="K344" s="44"/>
      <c r="L344" s="1758"/>
      <c r="M344" s="1758"/>
      <c r="N344" s="1758"/>
      <c r="O344" s="11"/>
    </row>
    <row r="345" spans="1:15" ht="15" customHeight="1" x14ac:dyDescent="0.25">
      <c r="A345" s="1"/>
      <c r="B345" s="1"/>
      <c r="C345" s="1"/>
      <c r="D345" s="1"/>
      <c r="G345" s="1755"/>
      <c r="H345" s="1"/>
      <c r="I345" s="1"/>
      <c r="J345" s="1"/>
      <c r="K345" s="44"/>
      <c r="L345" s="1758"/>
      <c r="M345" s="1758"/>
      <c r="N345" s="1758"/>
      <c r="O345" s="11"/>
    </row>
    <row r="346" spans="1:15" ht="15" customHeight="1" x14ac:dyDescent="0.25">
      <c r="A346" s="1"/>
      <c r="B346" s="1"/>
      <c r="C346" s="1"/>
      <c r="D346" s="1"/>
      <c r="G346" s="1755"/>
      <c r="H346" s="1"/>
      <c r="I346" s="1"/>
      <c r="J346" s="1"/>
      <c r="K346" s="44"/>
      <c r="L346" s="1758"/>
      <c r="M346" s="1758"/>
      <c r="N346" s="1758"/>
      <c r="O346" s="11"/>
    </row>
    <row r="347" spans="1:15" ht="15" customHeight="1" x14ac:dyDescent="0.25">
      <c r="A347" s="1"/>
      <c r="B347" s="1"/>
      <c r="C347" s="1"/>
      <c r="D347" s="1"/>
      <c r="G347" s="1755"/>
      <c r="H347" s="1"/>
      <c r="I347" s="1"/>
      <c r="J347" s="1"/>
      <c r="K347" s="20"/>
      <c r="L347" s="1754"/>
      <c r="M347" s="1758"/>
      <c r="N347" s="1758"/>
      <c r="O347" s="11"/>
    </row>
    <row r="348" spans="1:15" ht="15" customHeight="1" x14ac:dyDescent="0.25">
      <c r="A348" s="1"/>
      <c r="B348" s="1"/>
      <c r="C348" s="1"/>
      <c r="D348" s="1"/>
      <c r="G348" s="1755"/>
      <c r="H348" s="1"/>
      <c r="I348" s="1"/>
      <c r="J348" s="1"/>
      <c r="K348" s="24"/>
      <c r="L348" s="1757"/>
      <c r="M348" s="1758"/>
      <c r="N348" s="1758"/>
      <c r="O348" s="11"/>
    </row>
    <row r="349" spans="1:15" ht="15" customHeight="1" x14ac:dyDescent="0.25">
      <c r="A349" s="1"/>
      <c r="B349" s="1"/>
      <c r="C349" s="1"/>
      <c r="D349" s="1"/>
      <c r="G349" s="1755"/>
      <c r="H349" s="1"/>
      <c r="I349" s="1"/>
      <c r="J349" s="1"/>
      <c r="K349" s="24"/>
      <c r="L349" s="1757"/>
      <c r="M349" s="1758"/>
      <c r="N349" s="1758"/>
      <c r="O349" s="11"/>
    </row>
    <row r="350" spans="1:15" ht="15" customHeight="1" x14ac:dyDescent="0.25">
      <c r="A350" s="1"/>
      <c r="B350" s="1"/>
      <c r="C350" s="1"/>
      <c r="D350" s="1"/>
      <c r="G350" s="1755"/>
      <c r="H350" s="1"/>
      <c r="I350" s="1"/>
      <c r="J350" s="1"/>
      <c r="K350" s="44"/>
      <c r="L350" s="1777"/>
      <c r="M350" s="1755"/>
      <c r="N350" s="1755"/>
    </row>
    <row r="351" spans="1:15" ht="15" customHeight="1" x14ac:dyDescent="0.25">
      <c r="A351" s="1"/>
      <c r="B351" s="1"/>
      <c r="C351" s="1"/>
      <c r="D351" s="1"/>
      <c r="G351" s="1755"/>
      <c r="H351" s="1"/>
      <c r="I351" s="1"/>
      <c r="J351" s="1"/>
      <c r="L351" s="1755"/>
      <c r="M351" s="1755"/>
      <c r="N351" s="1755"/>
    </row>
    <row r="352" spans="1:15" ht="15" customHeight="1" x14ac:dyDescent="0.25">
      <c r="A352" s="1"/>
      <c r="B352" s="1"/>
      <c r="C352" s="1"/>
      <c r="D352" s="1"/>
      <c r="G352" s="1755"/>
      <c r="H352" s="1"/>
      <c r="I352" s="1"/>
      <c r="J352" s="1"/>
      <c r="L352" s="1755"/>
      <c r="M352" s="1755"/>
      <c r="N352" s="1755"/>
    </row>
    <row r="353" spans="1:15" ht="15" customHeight="1" x14ac:dyDescent="0.25">
      <c r="A353" s="1"/>
      <c r="B353" s="1"/>
      <c r="C353" s="1"/>
      <c r="D353" s="1"/>
      <c r="G353" s="1755"/>
      <c r="H353" s="1"/>
      <c r="I353" s="1"/>
      <c r="J353" s="1"/>
      <c r="L353" s="1755"/>
      <c r="M353" s="1755"/>
      <c r="N353" s="1755"/>
    </row>
    <row r="354" spans="1:15" ht="15" customHeight="1" x14ac:dyDescent="0.25">
      <c r="A354" s="1"/>
      <c r="B354" s="1"/>
      <c r="C354" s="1"/>
      <c r="D354" s="1"/>
      <c r="G354" s="1755"/>
      <c r="H354" s="1"/>
      <c r="I354" s="1"/>
      <c r="J354" s="1"/>
      <c r="L354" s="1755"/>
      <c r="M354" s="1755"/>
      <c r="N354" s="1755"/>
    </row>
    <row r="355" spans="1:15" ht="15" customHeight="1" x14ac:dyDescent="0.25">
      <c r="A355" s="1"/>
      <c r="B355" s="1"/>
      <c r="C355" s="1"/>
      <c r="D355" s="1"/>
      <c r="G355" s="1755"/>
      <c r="H355" s="1"/>
      <c r="I355" s="1"/>
      <c r="J355" s="1"/>
      <c r="L355" s="1755"/>
      <c r="M355" s="1755"/>
      <c r="N355" s="1755"/>
    </row>
    <row r="356" spans="1:15" ht="15" customHeight="1" x14ac:dyDescent="0.25">
      <c r="A356" s="1"/>
      <c r="B356" s="1"/>
      <c r="C356" s="1"/>
      <c r="D356" s="1"/>
      <c r="G356" s="1755"/>
      <c r="H356" s="1"/>
      <c r="I356" s="1"/>
      <c r="J356" s="1"/>
      <c r="L356" s="1755"/>
      <c r="M356" s="1758"/>
      <c r="N356" s="1758"/>
      <c r="O356" s="11"/>
    </row>
    <row r="357" spans="1:15" ht="15" customHeight="1" x14ac:dyDescent="0.25">
      <c r="A357" s="1"/>
      <c r="B357" s="1"/>
      <c r="C357" s="1"/>
      <c r="D357" s="1"/>
      <c r="G357" s="1755"/>
      <c r="H357" s="1"/>
      <c r="I357" s="1"/>
      <c r="J357" s="1"/>
      <c r="L357" s="1755"/>
      <c r="M357" s="1758"/>
      <c r="N357" s="1758"/>
      <c r="O357" s="11"/>
    </row>
    <row r="358" spans="1:15" ht="15" customHeight="1" x14ac:dyDescent="0.25">
      <c r="A358" s="1"/>
      <c r="B358" s="1"/>
      <c r="C358" s="1"/>
      <c r="D358" s="1"/>
      <c r="G358" s="1755"/>
      <c r="H358" s="1"/>
      <c r="I358" s="1"/>
      <c r="J358" s="1"/>
      <c r="L358" s="1755"/>
      <c r="M358" s="1758"/>
      <c r="N358" s="1758"/>
      <c r="O358" s="11"/>
    </row>
    <row r="359" spans="1:15" ht="15" customHeight="1" x14ac:dyDescent="0.25">
      <c r="A359" s="1"/>
      <c r="B359" s="1"/>
      <c r="C359" s="1"/>
      <c r="D359" s="1"/>
      <c r="G359" s="1755"/>
      <c r="H359" s="1"/>
      <c r="I359" s="1"/>
      <c r="J359" s="1"/>
      <c r="L359" s="1755"/>
      <c r="M359" s="1758"/>
      <c r="N359" s="1758"/>
      <c r="O359" s="11"/>
    </row>
    <row r="360" spans="1:15" ht="15" customHeight="1" x14ac:dyDescent="0.25">
      <c r="A360" s="1"/>
      <c r="B360" s="1"/>
      <c r="C360" s="1"/>
      <c r="D360" s="1"/>
      <c r="G360" s="1755"/>
      <c r="H360" s="1"/>
      <c r="I360" s="1"/>
      <c r="J360" s="1"/>
      <c r="L360" s="1755"/>
      <c r="M360" s="1758"/>
      <c r="N360" s="1758"/>
      <c r="O360" s="11"/>
    </row>
    <row r="361" spans="1:15" ht="15" customHeight="1" x14ac:dyDescent="0.25">
      <c r="A361" s="1"/>
      <c r="B361" s="1"/>
      <c r="C361" s="1"/>
      <c r="D361" s="1"/>
      <c r="G361" s="1755"/>
      <c r="H361" s="1"/>
      <c r="I361" s="1"/>
      <c r="J361" s="1"/>
      <c r="L361" s="1755"/>
      <c r="M361" s="1758"/>
      <c r="N361" s="1758"/>
      <c r="O361" s="11"/>
    </row>
    <row r="362" spans="1:15" ht="15" customHeight="1" x14ac:dyDescent="0.25">
      <c r="A362" s="1"/>
      <c r="B362" s="1"/>
      <c r="C362" s="1"/>
      <c r="D362" s="1"/>
      <c r="G362" s="1755"/>
      <c r="H362" s="1"/>
      <c r="I362" s="1"/>
      <c r="J362" s="1"/>
      <c r="L362" s="1755"/>
      <c r="M362" s="1758"/>
      <c r="N362" s="1758"/>
      <c r="O362" s="11"/>
    </row>
    <row r="363" spans="1:15" ht="15" customHeight="1" x14ac:dyDescent="0.25">
      <c r="A363" s="1"/>
      <c r="B363" s="1"/>
      <c r="C363" s="1"/>
      <c r="D363" s="1"/>
      <c r="G363" s="1755"/>
      <c r="H363" s="1"/>
      <c r="I363" s="1"/>
      <c r="J363" s="1"/>
      <c r="L363" s="1755"/>
      <c r="M363" s="1758"/>
      <c r="N363" s="1758"/>
      <c r="O363" s="11"/>
    </row>
    <row r="364" spans="1:15" ht="15" customHeight="1" x14ac:dyDescent="0.25">
      <c r="A364" s="1"/>
      <c r="B364" s="1"/>
      <c r="C364" s="1"/>
      <c r="D364" s="1"/>
      <c r="G364" s="1755"/>
      <c r="H364" s="1"/>
      <c r="I364" s="1"/>
      <c r="J364" s="1"/>
      <c r="L364" s="1755"/>
      <c r="M364" s="1758"/>
      <c r="N364" s="1758"/>
      <c r="O364" s="11"/>
    </row>
    <row r="365" spans="1:15" ht="15" customHeight="1" x14ac:dyDescent="0.25">
      <c r="A365" s="1"/>
      <c r="B365" s="1"/>
      <c r="C365" s="1"/>
      <c r="D365" s="1"/>
      <c r="G365" s="1755"/>
      <c r="H365" s="1"/>
      <c r="I365" s="1"/>
      <c r="J365" s="1"/>
      <c r="L365" s="1755"/>
      <c r="M365" s="1758"/>
      <c r="N365" s="1758"/>
      <c r="O365" s="11"/>
    </row>
    <row r="366" spans="1:15" ht="15" customHeight="1" x14ac:dyDescent="0.25">
      <c r="A366" s="1"/>
      <c r="B366" s="1"/>
      <c r="C366" s="1"/>
      <c r="D366" s="1"/>
      <c r="G366" s="1755"/>
      <c r="H366" s="1"/>
      <c r="I366" s="1"/>
      <c r="J366" s="1"/>
      <c r="L366" s="1755"/>
      <c r="M366" s="1758"/>
      <c r="N366" s="1758"/>
      <c r="O366" s="11"/>
    </row>
    <row r="367" spans="1:15" ht="15" customHeight="1" x14ac:dyDescent="0.25">
      <c r="A367" s="1"/>
      <c r="B367" s="1"/>
      <c r="C367" s="1"/>
      <c r="D367" s="1"/>
      <c r="G367" s="1755"/>
      <c r="H367" s="1"/>
      <c r="I367" s="1"/>
      <c r="J367" s="1"/>
      <c r="L367" s="1755"/>
      <c r="M367" s="1758"/>
      <c r="N367" s="1758"/>
      <c r="O367" s="11"/>
    </row>
    <row r="368" spans="1:15" ht="15" customHeight="1" x14ac:dyDescent="0.25">
      <c r="A368" s="1"/>
      <c r="B368" s="1"/>
      <c r="C368" s="1"/>
      <c r="D368" s="1"/>
      <c r="G368" s="1755"/>
      <c r="H368" s="1"/>
      <c r="I368" s="1"/>
      <c r="J368" s="1"/>
      <c r="L368" s="1755"/>
      <c r="M368" s="1758"/>
      <c r="N368" s="1758"/>
      <c r="O368" s="11"/>
    </row>
    <row r="369" spans="1:15" ht="15" customHeight="1" x14ac:dyDescent="0.25">
      <c r="A369" s="1"/>
      <c r="B369" s="1"/>
      <c r="C369" s="1"/>
      <c r="D369" s="1"/>
      <c r="G369" s="1755"/>
      <c r="H369" s="1"/>
      <c r="I369" s="1"/>
      <c r="J369" s="1"/>
      <c r="L369" s="1755"/>
      <c r="M369" s="1758"/>
      <c r="N369" s="1758"/>
      <c r="O369" s="11"/>
    </row>
    <row r="370" spans="1:15" ht="15" customHeight="1" x14ac:dyDescent="0.25">
      <c r="A370" s="1"/>
      <c r="B370" s="1"/>
      <c r="C370" s="1"/>
      <c r="D370" s="1"/>
      <c r="G370" s="1755"/>
      <c r="H370" s="1"/>
      <c r="I370" s="1"/>
      <c r="J370" s="1"/>
      <c r="L370" s="1755"/>
      <c r="M370" s="1758"/>
      <c r="N370" s="1758"/>
      <c r="O370" s="11"/>
    </row>
    <row r="371" spans="1:15" ht="15" customHeight="1" x14ac:dyDescent="0.25">
      <c r="A371" s="1"/>
      <c r="B371" s="1"/>
      <c r="C371" s="1"/>
      <c r="D371" s="1"/>
      <c r="G371" s="1755"/>
      <c r="H371" s="1"/>
      <c r="I371" s="1"/>
      <c r="J371" s="1"/>
      <c r="L371" s="1755"/>
      <c r="M371" s="1758"/>
      <c r="N371" s="1758"/>
      <c r="O371" s="11"/>
    </row>
    <row r="372" spans="1:15" ht="15" customHeight="1" x14ac:dyDescent="0.25">
      <c r="A372" s="1"/>
      <c r="B372" s="1"/>
      <c r="C372" s="1"/>
      <c r="D372" s="1"/>
      <c r="G372" s="1755"/>
      <c r="H372" s="1"/>
      <c r="I372" s="1"/>
      <c r="J372" s="1"/>
      <c r="L372" s="1755"/>
      <c r="M372" s="1758"/>
      <c r="N372" s="1758"/>
      <c r="O372" s="11"/>
    </row>
    <row r="373" spans="1:15" ht="15" customHeight="1" x14ac:dyDescent="0.25">
      <c r="A373" s="1"/>
      <c r="B373" s="1"/>
      <c r="C373" s="1"/>
      <c r="D373" s="1"/>
      <c r="G373" s="1755"/>
      <c r="H373" s="1"/>
      <c r="I373" s="1"/>
      <c r="J373" s="1"/>
      <c r="L373" s="1755"/>
      <c r="M373" s="1758"/>
      <c r="N373" s="1758"/>
      <c r="O373" s="11"/>
    </row>
    <row r="374" spans="1:15" ht="15" customHeight="1" x14ac:dyDescent="0.25">
      <c r="A374" s="1"/>
      <c r="B374" s="1"/>
      <c r="C374" s="1"/>
      <c r="D374" s="1"/>
      <c r="G374" s="1755"/>
      <c r="H374" s="1"/>
      <c r="I374" s="1"/>
      <c r="J374" s="1"/>
      <c r="L374" s="1755"/>
      <c r="M374" s="1758"/>
      <c r="N374" s="1758"/>
      <c r="O374" s="11"/>
    </row>
    <row r="375" spans="1:15" ht="15" customHeight="1" x14ac:dyDescent="0.25">
      <c r="A375" s="1"/>
      <c r="B375" s="1"/>
      <c r="C375" s="1"/>
      <c r="D375" s="1"/>
      <c r="G375" s="1755"/>
      <c r="H375" s="1"/>
      <c r="I375" s="1"/>
      <c r="J375" s="1"/>
      <c r="L375" s="1755"/>
      <c r="M375" s="1758"/>
      <c r="N375" s="1758"/>
      <c r="O375" s="11"/>
    </row>
    <row r="376" spans="1:15" ht="15" customHeight="1" x14ac:dyDescent="0.25">
      <c r="A376" s="1"/>
      <c r="B376" s="1"/>
      <c r="C376" s="1"/>
      <c r="D376" s="1"/>
      <c r="G376" s="1755"/>
      <c r="H376" s="1"/>
      <c r="I376" s="1"/>
      <c r="J376" s="1"/>
      <c r="L376" s="1755"/>
      <c r="M376" s="1758"/>
      <c r="N376" s="1758"/>
      <c r="O376" s="11"/>
    </row>
    <row r="377" spans="1:15" ht="15" customHeight="1" x14ac:dyDescent="0.25">
      <c r="A377" s="1"/>
      <c r="B377" s="1"/>
      <c r="C377" s="1"/>
      <c r="D377" s="1"/>
      <c r="G377" s="1755"/>
      <c r="H377" s="1"/>
      <c r="I377" s="1"/>
      <c r="J377" s="1"/>
      <c r="L377" s="1755"/>
      <c r="M377" s="1758"/>
      <c r="N377" s="1758"/>
      <c r="O377" s="11"/>
    </row>
    <row r="378" spans="1:15" ht="15" customHeight="1" x14ac:dyDescent="0.25">
      <c r="A378" s="1"/>
      <c r="B378" s="1"/>
      <c r="C378" s="1"/>
      <c r="D378" s="1"/>
      <c r="G378" s="1755"/>
      <c r="H378" s="1"/>
      <c r="I378" s="1"/>
      <c r="J378" s="1"/>
      <c r="L378" s="1755"/>
      <c r="M378" s="1758"/>
      <c r="N378" s="1758"/>
      <c r="O378" s="11"/>
    </row>
    <row r="379" spans="1:15" ht="15" customHeight="1" x14ac:dyDescent="0.25">
      <c r="A379" s="1"/>
      <c r="B379" s="1"/>
      <c r="C379" s="1"/>
      <c r="D379" s="1"/>
      <c r="G379" s="1755"/>
      <c r="H379" s="1"/>
      <c r="I379" s="1"/>
      <c r="J379" s="1"/>
      <c r="L379" s="1755"/>
      <c r="M379" s="1758"/>
      <c r="N379" s="1758"/>
      <c r="O379" s="11"/>
    </row>
    <row r="380" spans="1:15" ht="15" customHeight="1" x14ac:dyDescent="0.25">
      <c r="A380" s="1"/>
      <c r="B380" s="1"/>
      <c r="C380" s="1"/>
      <c r="D380" s="1"/>
      <c r="G380" s="1755"/>
      <c r="H380" s="1"/>
      <c r="I380" s="1"/>
      <c r="J380" s="1"/>
      <c r="L380" s="1755"/>
      <c r="M380" s="1758"/>
      <c r="N380" s="1758"/>
      <c r="O380" s="11"/>
    </row>
    <row r="381" spans="1:15" ht="15" customHeight="1" x14ac:dyDescent="0.25">
      <c r="A381" s="1"/>
      <c r="B381" s="1"/>
      <c r="C381" s="1"/>
      <c r="D381" s="1"/>
      <c r="G381" s="1755"/>
      <c r="H381" s="1"/>
      <c r="I381" s="1"/>
      <c r="J381" s="1"/>
      <c r="L381" s="1755"/>
      <c r="M381" s="1758"/>
      <c r="N381" s="1758"/>
      <c r="O381" s="11"/>
    </row>
    <row r="382" spans="1:15" ht="15" customHeight="1" x14ac:dyDescent="0.25">
      <c r="A382" s="1"/>
      <c r="B382" s="1"/>
      <c r="C382" s="1"/>
      <c r="D382" s="1"/>
      <c r="G382" s="1755"/>
      <c r="H382" s="1"/>
      <c r="I382" s="1"/>
      <c r="J382" s="1"/>
      <c r="L382" s="1755"/>
      <c r="M382" s="1758"/>
      <c r="N382" s="1758"/>
      <c r="O382" s="11"/>
    </row>
    <row r="383" spans="1:15" ht="15" customHeight="1" x14ac:dyDescent="0.25">
      <c r="A383" s="1"/>
      <c r="B383" s="1"/>
      <c r="C383" s="1"/>
      <c r="D383" s="1"/>
      <c r="G383" s="1755"/>
      <c r="H383" s="1"/>
      <c r="I383" s="1"/>
      <c r="J383" s="1"/>
      <c r="L383" s="1755"/>
      <c r="M383" s="1758"/>
      <c r="N383" s="1758"/>
      <c r="O383" s="11"/>
    </row>
    <row r="384" spans="1:15" ht="15" customHeight="1" x14ac:dyDescent="0.25">
      <c r="A384" s="1"/>
      <c r="B384" s="1"/>
      <c r="C384" s="1"/>
      <c r="D384" s="1"/>
      <c r="G384" s="1755"/>
      <c r="H384" s="1"/>
      <c r="I384" s="1"/>
      <c r="J384" s="1"/>
      <c r="L384" s="1755"/>
      <c r="M384" s="1758"/>
      <c r="N384" s="1758"/>
      <c r="O384" s="11"/>
    </row>
    <row r="385" spans="1:15" ht="15" customHeight="1" x14ac:dyDescent="0.25">
      <c r="A385" s="1"/>
      <c r="B385" s="1"/>
      <c r="C385" s="1"/>
      <c r="D385" s="1"/>
      <c r="G385" s="1755"/>
      <c r="H385" s="1"/>
      <c r="I385" s="1"/>
      <c r="J385" s="1"/>
      <c r="L385" s="1755"/>
      <c r="M385" s="1758"/>
      <c r="N385" s="1758"/>
      <c r="O385" s="11"/>
    </row>
    <row r="386" spans="1:15" ht="15" customHeight="1" x14ac:dyDescent="0.25">
      <c r="A386" s="1"/>
      <c r="B386" s="1"/>
      <c r="C386" s="1"/>
      <c r="D386" s="1"/>
      <c r="G386" s="1755"/>
      <c r="H386" s="1"/>
      <c r="I386" s="1"/>
      <c r="J386" s="1"/>
      <c r="L386" s="1755"/>
      <c r="M386" s="1758"/>
      <c r="N386" s="1758"/>
      <c r="O386" s="11"/>
    </row>
    <row r="387" spans="1:15" ht="15" customHeight="1" x14ac:dyDescent="0.25">
      <c r="A387" s="1"/>
      <c r="B387" s="1"/>
      <c r="C387" s="1"/>
      <c r="D387" s="1"/>
      <c r="G387" s="1755"/>
      <c r="H387" s="1"/>
      <c r="I387" s="1"/>
      <c r="J387" s="1"/>
      <c r="L387" s="1755"/>
      <c r="M387" s="1758"/>
      <c r="N387" s="1758"/>
      <c r="O387" s="11"/>
    </row>
    <row r="388" spans="1:15" ht="15" customHeight="1" x14ac:dyDescent="0.25">
      <c r="A388" s="1"/>
      <c r="B388" s="1"/>
      <c r="C388" s="1"/>
      <c r="D388" s="1"/>
      <c r="G388" s="1755"/>
      <c r="H388" s="1"/>
      <c r="I388" s="1"/>
      <c r="J388" s="1"/>
      <c r="L388" s="1755"/>
      <c r="M388" s="1758"/>
      <c r="N388" s="1758"/>
      <c r="O388" s="11"/>
    </row>
    <row r="389" spans="1:15" ht="15" customHeight="1" x14ac:dyDescent="0.25">
      <c r="A389" s="1"/>
      <c r="B389" s="1"/>
      <c r="C389" s="1"/>
      <c r="D389" s="1"/>
      <c r="G389" s="1755"/>
      <c r="H389" s="1"/>
      <c r="I389" s="1"/>
      <c r="J389" s="1"/>
      <c r="L389" s="1755"/>
      <c r="M389" s="1758"/>
      <c r="N389" s="1758"/>
      <c r="O389" s="11"/>
    </row>
    <row r="390" spans="1:15" ht="15" customHeight="1" x14ac:dyDescent="0.25">
      <c r="A390" s="1"/>
      <c r="B390" s="1"/>
      <c r="C390" s="1"/>
      <c r="D390" s="1"/>
      <c r="G390" s="1755"/>
      <c r="H390" s="1"/>
      <c r="I390" s="1"/>
      <c r="J390" s="1"/>
      <c r="L390" s="1755"/>
      <c r="M390" s="1758"/>
      <c r="N390" s="1758"/>
      <c r="O390" s="11"/>
    </row>
    <row r="391" spans="1:15" ht="15" customHeight="1" x14ac:dyDescent="0.25">
      <c r="A391" s="1"/>
      <c r="B391" s="1"/>
      <c r="C391" s="1"/>
      <c r="D391" s="1"/>
      <c r="G391" s="1755"/>
      <c r="H391" s="1"/>
      <c r="I391" s="1"/>
      <c r="J391" s="1"/>
      <c r="L391" s="1755"/>
      <c r="M391" s="1758"/>
      <c r="N391" s="1758"/>
      <c r="O391" s="11"/>
    </row>
    <row r="392" spans="1:15" ht="15" customHeight="1" x14ac:dyDescent="0.25">
      <c r="A392" s="1"/>
      <c r="B392" s="1"/>
      <c r="C392" s="1"/>
      <c r="D392" s="1"/>
      <c r="G392" s="1755"/>
      <c r="H392" s="1"/>
      <c r="I392" s="1"/>
      <c r="J392" s="1"/>
      <c r="L392" s="1755"/>
      <c r="M392" s="1758"/>
      <c r="N392" s="1758"/>
      <c r="O392" s="11"/>
    </row>
    <row r="393" spans="1:15" ht="15" customHeight="1" x14ac:dyDescent="0.25">
      <c r="A393" s="1"/>
      <c r="B393" s="1"/>
      <c r="C393" s="1"/>
      <c r="D393" s="1"/>
      <c r="G393" s="1755"/>
      <c r="H393" s="1"/>
      <c r="I393" s="1"/>
      <c r="J393" s="1"/>
      <c r="L393" s="1755"/>
      <c r="M393" s="1758"/>
      <c r="N393" s="1758"/>
      <c r="O393" s="11"/>
    </row>
    <row r="394" spans="1:15" ht="15" customHeight="1" x14ac:dyDescent="0.25">
      <c r="A394" s="1"/>
      <c r="B394" s="1"/>
      <c r="C394" s="1"/>
      <c r="D394" s="1"/>
      <c r="G394" s="1755"/>
      <c r="H394" s="1"/>
      <c r="I394" s="1"/>
      <c r="J394" s="1"/>
      <c r="L394" s="1755"/>
      <c r="M394" s="1758"/>
      <c r="N394" s="1758"/>
      <c r="O394" s="11"/>
    </row>
    <row r="395" spans="1:15" ht="15" customHeight="1" x14ac:dyDescent="0.25">
      <c r="A395" s="1"/>
      <c r="B395" s="1"/>
      <c r="C395" s="1"/>
      <c r="D395" s="1"/>
      <c r="G395" s="1755"/>
      <c r="H395" s="1"/>
      <c r="I395" s="1"/>
      <c r="J395" s="1"/>
      <c r="L395" s="1755"/>
      <c r="M395" s="1758"/>
      <c r="N395" s="1758"/>
      <c r="O395" s="11"/>
    </row>
    <row r="396" spans="1:15" ht="15" customHeight="1" x14ac:dyDescent="0.25">
      <c r="A396" s="1"/>
      <c r="B396" s="1"/>
      <c r="C396" s="1"/>
      <c r="D396" s="1"/>
      <c r="G396" s="1755"/>
      <c r="H396" s="1"/>
      <c r="I396" s="1"/>
      <c r="J396" s="1"/>
      <c r="L396" s="1755"/>
      <c r="M396" s="1758"/>
      <c r="N396" s="1758"/>
      <c r="O396" s="11"/>
    </row>
    <row r="397" spans="1:15" ht="15" customHeight="1" x14ac:dyDescent="0.25">
      <c r="A397" s="1"/>
      <c r="B397" s="1"/>
      <c r="C397" s="1"/>
      <c r="D397" s="1"/>
      <c r="G397" s="1755"/>
      <c r="H397" s="1"/>
      <c r="I397" s="1"/>
      <c r="J397" s="1"/>
      <c r="L397" s="1755"/>
      <c r="M397" s="1758"/>
      <c r="N397" s="1758"/>
      <c r="O397" s="11"/>
    </row>
    <row r="398" spans="1:15" ht="15" customHeight="1" x14ac:dyDescent="0.25">
      <c r="A398" s="1"/>
      <c r="B398" s="1"/>
      <c r="C398" s="1"/>
      <c r="D398" s="1"/>
      <c r="G398" s="1755"/>
      <c r="H398" s="1"/>
      <c r="I398" s="1"/>
      <c r="J398" s="1"/>
      <c r="L398" s="1755"/>
      <c r="M398" s="1758"/>
      <c r="N398" s="1758"/>
      <c r="O398" s="11"/>
    </row>
    <row r="399" spans="1:15" ht="15" customHeight="1" x14ac:dyDescent="0.25">
      <c r="A399" s="1"/>
      <c r="B399" s="1"/>
      <c r="C399" s="1"/>
      <c r="D399" s="1"/>
      <c r="G399" s="1755"/>
      <c r="H399" s="1"/>
      <c r="I399" s="1"/>
      <c r="J399" s="1"/>
      <c r="L399" s="1755"/>
      <c r="M399" s="1758"/>
      <c r="N399" s="1758"/>
      <c r="O399" s="11"/>
    </row>
    <row r="400" spans="1:15" ht="15" customHeight="1" x14ac:dyDescent="0.25">
      <c r="A400" s="1"/>
      <c r="B400" s="1"/>
      <c r="C400" s="1"/>
      <c r="D400" s="1"/>
      <c r="G400" s="1755"/>
      <c r="H400" s="1"/>
      <c r="I400" s="1"/>
      <c r="J400" s="1"/>
      <c r="L400" s="1755"/>
      <c r="M400" s="1758"/>
      <c r="N400" s="1758"/>
      <c r="O400" s="11"/>
    </row>
    <row r="401" spans="1:15" ht="15" customHeight="1" x14ac:dyDescent="0.25">
      <c r="A401" s="1"/>
      <c r="B401" s="1"/>
      <c r="C401" s="1"/>
      <c r="D401" s="1"/>
      <c r="G401" s="1755"/>
      <c r="H401" s="1"/>
      <c r="I401" s="1"/>
      <c r="J401" s="1"/>
      <c r="L401" s="1755"/>
      <c r="M401" s="1758"/>
      <c r="N401" s="1758"/>
      <c r="O401" s="11"/>
    </row>
    <row r="402" spans="1:15" ht="15" customHeight="1" x14ac:dyDescent="0.25">
      <c r="A402" s="1"/>
      <c r="B402" s="1"/>
      <c r="C402" s="1"/>
      <c r="D402" s="1"/>
      <c r="G402" s="1755"/>
      <c r="H402" s="1"/>
      <c r="I402" s="1"/>
      <c r="J402" s="1"/>
      <c r="L402" s="1755"/>
      <c r="M402" s="1758"/>
      <c r="N402" s="1758"/>
      <c r="O402" s="11"/>
    </row>
    <row r="403" spans="1:15" ht="15" customHeight="1" x14ac:dyDescent="0.25">
      <c r="A403" s="1"/>
      <c r="B403" s="1"/>
      <c r="C403" s="1"/>
      <c r="D403" s="1"/>
      <c r="G403" s="1755"/>
      <c r="H403" s="1"/>
      <c r="I403" s="1"/>
      <c r="J403" s="1"/>
      <c r="L403" s="1755"/>
      <c r="M403" s="1758"/>
      <c r="N403" s="1758"/>
      <c r="O403" s="11"/>
    </row>
    <row r="404" spans="1:15" ht="15" customHeight="1" x14ac:dyDescent="0.25">
      <c r="A404" s="1"/>
      <c r="B404" s="1"/>
      <c r="C404" s="1"/>
      <c r="D404" s="1"/>
      <c r="G404" s="1755"/>
      <c r="H404" s="1"/>
      <c r="I404" s="1"/>
      <c r="J404" s="1"/>
      <c r="L404" s="1755"/>
      <c r="M404" s="1758"/>
      <c r="N404" s="1758"/>
      <c r="O404" s="11"/>
    </row>
    <row r="405" spans="1:15" ht="15" customHeight="1" x14ac:dyDescent="0.25">
      <c r="A405" s="1"/>
      <c r="B405" s="1"/>
      <c r="C405" s="1"/>
      <c r="D405" s="1"/>
      <c r="G405" s="1"/>
      <c r="H405" s="1"/>
      <c r="I405" s="1"/>
      <c r="J405" s="1"/>
      <c r="L405" s="1755"/>
      <c r="M405" s="1758"/>
      <c r="N405" s="1758"/>
      <c r="O405" s="11"/>
    </row>
    <row r="406" spans="1:15" ht="15" customHeight="1" x14ac:dyDescent="0.25">
      <c r="A406" s="1"/>
      <c r="B406" s="1"/>
      <c r="C406" s="1"/>
      <c r="D406" s="1"/>
      <c r="G406" s="1"/>
      <c r="H406" s="1"/>
      <c r="I406" s="1"/>
      <c r="J406" s="1"/>
      <c r="L406" s="1755"/>
      <c r="M406" s="1758"/>
      <c r="N406" s="1758"/>
      <c r="O406" s="11"/>
    </row>
    <row r="407" spans="1:15" ht="15" customHeight="1" x14ac:dyDescent="0.25">
      <c r="A407" s="1"/>
      <c r="B407" s="1"/>
      <c r="C407" s="1"/>
      <c r="D407" s="1"/>
      <c r="G407" s="1"/>
      <c r="H407" s="1"/>
      <c r="I407" s="1"/>
      <c r="J407" s="1"/>
      <c r="L407" s="1755"/>
      <c r="M407" s="1758"/>
      <c r="N407" s="1758"/>
      <c r="O407" s="11"/>
    </row>
    <row r="408" spans="1:15" ht="15" customHeight="1" x14ac:dyDescent="0.25">
      <c r="A408" s="1"/>
      <c r="B408" s="1"/>
      <c r="C408" s="1"/>
      <c r="D408" s="1"/>
      <c r="G408" s="1"/>
      <c r="H408" s="1"/>
      <c r="I408" s="1"/>
      <c r="J408" s="1"/>
      <c r="L408" s="1755"/>
      <c r="M408" s="1758"/>
      <c r="N408" s="1758"/>
      <c r="O408" s="11"/>
    </row>
    <row r="409" spans="1:15" ht="15" customHeight="1" x14ac:dyDescent="0.25">
      <c r="A409" s="1"/>
      <c r="B409" s="1"/>
      <c r="C409" s="1"/>
      <c r="D409" s="1"/>
      <c r="G409" s="1"/>
      <c r="H409" s="1"/>
      <c r="I409" s="1"/>
      <c r="J409" s="1"/>
      <c r="L409" s="1755"/>
      <c r="M409" s="1758"/>
      <c r="N409" s="1758"/>
      <c r="O409" s="11"/>
    </row>
    <row r="410" spans="1:15" ht="15" customHeight="1" x14ac:dyDescent="0.25">
      <c r="A410" s="1"/>
      <c r="B410" s="1"/>
      <c r="C410" s="1"/>
      <c r="D410" s="1"/>
      <c r="G410" s="1"/>
      <c r="H410" s="1"/>
      <c r="I410" s="1"/>
      <c r="J410" s="1"/>
      <c r="L410" s="1755"/>
      <c r="M410" s="1758"/>
      <c r="N410" s="1758"/>
      <c r="O410" s="11"/>
    </row>
    <row r="411" spans="1:15" ht="15" customHeight="1" x14ac:dyDescent="0.25">
      <c r="A411" s="1"/>
      <c r="B411" s="1"/>
      <c r="C411" s="1"/>
      <c r="D411" s="1"/>
      <c r="G411" s="1"/>
      <c r="H411" s="1"/>
      <c r="I411" s="1"/>
      <c r="J411" s="1"/>
      <c r="K411" s="13"/>
      <c r="L411" s="1778"/>
      <c r="M411" s="1758"/>
      <c r="N411" s="1758"/>
      <c r="O411" s="11"/>
    </row>
    <row r="412" spans="1:15" ht="15" customHeight="1" x14ac:dyDescent="0.25">
      <c r="A412" s="1"/>
      <c r="B412" s="1"/>
      <c r="C412" s="1"/>
      <c r="D412" s="1"/>
      <c r="G412" s="1"/>
      <c r="H412" s="1"/>
      <c r="I412" s="1"/>
      <c r="J412" s="1"/>
      <c r="L412" s="1755"/>
      <c r="M412" s="1758"/>
      <c r="N412" s="1758"/>
      <c r="O412" s="11"/>
    </row>
    <row r="413" spans="1:15" ht="15" customHeight="1" x14ac:dyDescent="0.25">
      <c r="A413" s="1"/>
      <c r="B413" s="1"/>
      <c r="C413" s="1"/>
      <c r="D413" s="1"/>
      <c r="G413" s="1"/>
      <c r="H413" s="1"/>
      <c r="I413" s="1"/>
      <c r="J413" s="1"/>
      <c r="L413" s="1755"/>
      <c r="M413" s="1755"/>
      <c r="N413" s="1755"/>
    </row>
    <row r="414" spans="1:15" ht="15" customHeight="1" x14ac:dyDescent="0.25">
      <c r="A414" s="1"/>
      <c r="B414" s="1"/>
      <c r="C414" s="1"/>
      <c r="D414" s="1"/>
      <c r="G414" s="1"/>
      <c r="H414" s="1"/>
      <c r="I414" s="1"/>
      <c r="J414" s="1"/>
      <c r="L414" s="1755"/>
      <c r="M414" s="1755"/>
      <c r="N414" s="1755"/>
    </row>
    <row r="415" spans="1:15" ht="15" customHeight="1" x14ac:dyDescent="0.25">
      <c r="A415" s="1"/>
      <c r="B415" s="1"/>
      <c r="C415" s="1"/>
      <c r="D415" s="1"/>
      <c r="G415" s="1"/>
      <c r="H415" s="1"/>
      <c r="I415" s="1"/>
      <c r="J415" s="1"/>
      <c r="L415" s="1755"/>
      <c r="M415" s="1755"/>
      <c r="N415" s="1755"/>
    </row>
    <row r="416" spans="1:15" ht="15" customHeight="1" x14ac:dyDescent="0.25">
      <c r="A416" s="1"/>
      <c r="B416" s="1"/>
      <c r="C416" s="1"/>
      <c r="D416" s="1"/>
      <c r="G416" s="1"/>
      <c r="H416" s="1"/>
      <c r="I416" s="1"/>
      <c r="J416" s="1"/>
      <c r="L416" s="1755"/>
      <c r="M416" s="1755"/>
      <c r="N416" s="1755"/>
    </row>
    <row r="417" spans="1:15" ht="15" customHeight="1" x14ac:dyDescent="0.25">
      <c r="A417" s="1"/>
      <c r="B417" s="1"/>
      <c r="C417" s="1"/>
      <c r="D417" s="1"/>
      <c r="G417" s="1"/>
      <c r="H417" s="1"/>
      <c r="I417" s="1"/>
      <c r="J417" s="1"/>
      <c r="L417" s="1755"/>
      <c r="M417" s="1755"/>
      <c r="N417" s="1755"/>
    </row>
    <row r="418" spans="1:15" ht="15" customHeight="1" x14ac:dyDescent="0.25">
      <c r="A418" s="1"/>
      <c r="B418" s="1"/>
      <c r="C418" s="1"/>
      <c r="D418" s="1"/>
      <c r="G418" s="1"/>
      <c r="H418" s="1"/>
      <c r="I418" s="1"/>
      <c r="J418" s="1"/>
      <c r="L418" s="1755"/>
      <c r="M418" s="1755"/>
      <c r="N418" s="1755"/>
    </row>
    <row r="419" spans="1:15" ht="15" customHeight="1" x14ac:dyDescent="0.25">
      <c r="A419" s="1"/>
      <c r="B419" s="1"/>
      <c r="C419" s="1"/>
      <c r="D419" s="1"/>
      <c r="G419" s="1"/>
      <c r="H419" s="1"/>
      <c r="I419" s="1"/>
      <c r="J419" s="1"/>
      <c r="L419" s="1755"/>
      <c r="M419" s="1755"/>
      <c r="N419" s="1755"/>
    </row>
    <row r="420" spans="1:15" ht="15" customHeight="1" x14ac:dyDescent="0.25">
      <c r="A420" s="1"/>
      <c r="B420" s="1"/>
      <c r="C420" s="1"/>
      <c r="D420" s="1"/>
      <c r="G420" s="1"/>
      <c r="H420" s="1"/>
      <c r="I420" s="1"/>
      <c r="J420" s="1"/>
      <c r="L420" s="1755"/>
      <c r="M420" s="1755"/>
      <c r="N420" s="1755"/>
    </row>
    <row r="421" spans="1:15" ht="15" customHeight="1" x14ac:dyDescent="0.25">
      <c r="A421" s="1"/>
      <c r="B421" s="1"/>
      <c r="C421" s="1"/>
      <c r="D421" s="1"/>
      <c r="G421" s="1"/>
      <c r="H421" s="1"/>
      <c r="I421" s="1"/>
      <c r="J421" s="1"/>
      <c r="L421" s="1755"/>
      <c r="M421" s="1755"/>
      <c r="N421" s="1755"/>
    </row>
    <row r="422" spans="1:15" ht="15" customHeight="1" x14ac:dyDescent="0.25">
      <c r="A422" s="1"/>
      <c r="B422" s="1"/>
      <c r="C422" s="1"/>
      <c r="D422" s="1"/>
      <c r="G422" s="1"/>
      <c r="H422" s="1"/>
      <c r="I422" s="1"/>
      <c r="J422" s="1"/>
      <c r="L422" s="1755"/>
      <c r="M422" s="1755"/>
      <c r="N422" s="1755"/>
    </row>
    <row r="423" spans="1:15" ht="15" customHeight="1" x14ac:dyDescent="0.25">
      <c r="A423" s="1"/>
      <c r="B423" s="1"/>
      <c r="C423" s="1"/>
      <c r="D423" s="1"/>
      <c r="G423" s="1"/>
      <c r="H423" s="1"/>
      <c r="I423" s="1"/>
      <c r="J423" s="1"/>
      <c r="L423" s="1755"/>
      <c r="M423" s="1755"/>
      <c r="N423" s="1755"/>
    </row>
    <row r="424" spans="1:15" ht="15" customHeight="1" x14ac:dyDescent="0.25">
      <c r="A424" s="1"/>
      <c r="B424" s="1"/>
      <c r="C424" s="1"/>
      <c r="D424" s="1"/>
      <c r="G424" s="1"/>
      <c r="H424" s="1"/>
      <c r="I424" s="1"/>
      <c r="J424" s="1"/>
      <c r="L424" s="1755"/>
      <c r="M424" s="1755"/>
      <c r="N424" s="1755"/>
    </row>
    <row r="425" spans="1:15" ht="15" customHeight="1" x14ac:dyDescent="0.25">
      <c r="A425" s="1"/>
      <c r="B425" s="1"/>
      <c r="C425" s="1"/>
      <c r="D425" s="1"/>
      <c r="G425" s="1"/>
      <c r="H425" s="1"/>
      <c r="I425" s="1"/>
      <c r="J425" s="1"/>
      <c r="L425" s="1755"/>
      <c r="M425" s="1755"/>
      <c r="N425" s="1755"/>
    </row>
    <row r="426" spans="1:15" s="38" customFormat="1" ht="15" customHeight="1" x14ac:dyDescent="0.25">
      <c r="A426" s="1"/>
      <c r="B426" s="1"/>
      <c r="C426" s="1"/>
      <c r="D426" s="1"/>
      <c r="E426" s="1"/>
      <c r="F426" s="1"/>
      <c r="G426" s="1"/>
      <c r="H426" s="1"/>
      <c r="I426" s="1"/>
      <c r="J426" s="1"/>
      <c r="K426" s="37"/>
      <c r="L426" s="1755"/>
      <c r="M426" s="1755"/>
      <c r="N426" s="1755"/>
      <c r="O426" s="1"/>
    </row>
    <row r="427" spans="1:15" s="38" customFormat="1" ht="15" customHeight="1" x14ac:dyDescent="0.25">
      <c r="A427" s="1"/>
      <c r="B427" s="1"/>
      <c r="C427" s="1"/>
      <c r="D427" s="1"/>
      <c r="E427" s="1"/>
      <c r="F427" s="1"/>
      <c r="G427" s="1"/>
      <c r="H427" s="1"/>
      <c r="I427" s="1"/>
      <c r="J427" s="1"/>
      <c r="K427" s="37"/>
      <c r="L427" s="1755"/>
      <c r="M427" s="1755"/>
      <c r="N427" s="1755"/>
      <c r="O427" s="1"/>
    </row>
    <row r="428" spans="1:15" s="38" customFormat="1" ht="15" customHeight="1" x14ac:dyDescent="0.25">
      <c r="A428" s="1"/>
      <c r="B428" s="1"/>
      <c r="C428" s="1"/>
      <c r="D428" s="1"/>
      <c r="E428" s="1"/>
      <c r="F428" s="1"/>
      <c r="G428" s="1"/>
      <c r="H428" s="1"/>
      <c r="I428" s="1"/>
      <c r="J428" s="1"/>
      <c r="K428" s="37"/>
      <c r="L428" s="1755"/>
      <c r="M428" s="1755"/>
      <c r="N428" s="1755"/>
      <c r="O428" s="1"/>
    </row>
    <row r="429" spans="1:15" s="38" customFormat="1" ht="15" customHeight="1" x14ac:dyDescent="0.25">
      <c r="A429" s="1"/>
      <c r="B429" s="1"/>
      <c r="C429" s="1"/>
      <c r="D429" s="1"/>
      <c r="E429" s="1"/>
      <c r="F429" s="1"/>
      <c r="G429" s="1"/>
      <c r="H429" s="1"/>
      <c r="I429" s="1"/>
      <c r="J429" s="1"/>
      <c r="L429" s="1779"/>
      <c r="M429" s="1779"/>
      <c r="N429" s="1779"/>
    </row>
    <row r="430" spans="1:15" s="38" customFormat="1" ht="15" customHeight="1" x14ac:dyDescent="0.25">
      <c r="A430" s="1"/>
      <c r="B430" s="1"/>
      <c r="C430" s="1"/>
      <c r="D430" s="1"/>
      <c r="E430" s="1"/>
      <c r="F430" s="1"/>
      <c r="G430" s="1"/>
      <c r="H430" s="1"/>
      <c r="I430" s="1"/>
      <c r="J430" s="1"/>
      <c r="K430" s="45"/>
      <c r="L430" s="1779"/>
      <c r="M430" s="1779"/>
      <c r="N430" s="1779"/>
    </row>
    <row r="431" spans="1:15" s="38" customFormat="1" ht="15" customHeight="1" x14ac:dyDescent="0.25">
      <c r="A431" s="1"/>
      <c r="B431" s="1"/>
      <c r="C431" s="1"/>
      <c r="D431" s="1"/>
      <c r="E431" s="1"/>
      <c r="F431" s="1"/>
      <c r="G431" s="1"/>
      <c r="H431" s="1"/>
      <c r="I431" s="1"/>
      <c r="J431" s="1"/>
      <c r="K431" s="45"/>
      <c r="L431" s="1779"/>
      <c r="M431" s="1779"/>
      <c r="N431" s="1779"/>
    </row>
    <row r="432" spans="1:15" s="38" customFormat="1" ht="15" customHeight="1" x14ac:dyDescent="0.25">
      <c r="A432" s="1"/>
      <c r="B432" s="1"/>
      <c r="C432" s="1"/>
      <c r="D432" s="1"/>
      <c r="E432" s="1"/>
      <c r="F432" s="1"/>
      <c r="G432" s="1"/>
      <c r="H432" s="1"/>
      <c r="I432" s="1"/>
      <c r="J432" s="1"/>
      <c r="K432" s="45"/>
      <c r="L432" s="1779"/>
      <c r="M432" s="1779"/>
      <c r="N432" s="1779"/>
    </row>
    <row r="433" spans="1:14" s="38" customFormat="1" ht="15" customHeight="1" x14ac:dyDescent="0.25">
      <c r="A433" s="1"/>
      <c r="B433" s="1"/>
      <c r="C433" s="1"/>
      <c r="D433" s="1"/>
      <c r="E433" s="1"/>
      <c r="F433" s="1"/>
      <c r="G433" s="1"/>
      <c r="H433" s="1"/>
      <c r="I433" s="1"/>
      <c r="J433" s="1"/>
      <c r="K433" s="45"/>
      <c r="L433" s="1779"/>
      <c r="M433" s="1779"/>
      <c r="N433" s="1779"/>
    </row>
    <row r="434" spans="1:14" s="38" customFormat="1" ht="15" customHeight="1" x14ac:dyDescent="0.25">
      <c r="A434" s="1"/>
      <c r="B434" s="1"/>
      <c r="C434" s="1"/>
      <c r="D434" s="1"/>
      <c r="E434" s="1"/>
      <c r="F434" s="1"/>
      <c r="G434" s="1"/>
      <c r="H434" s="1"/>
      <c r="I434" s="1"/>
      <c r="J434" s="1"/>
      <c r="K434" s="45"/>
      <c r="L434" s="1779"/>
      <c r="M434" s="1779"/>
      <c r="N434" s="1779"/>
    </row>
    <row r="435" spans="1:14" s="38" customFormat="1" ht="15" customHeight="1" x14ac:dyDescent="0.25">
      <c r="A435" s="1"/>
      <c r="B435" s="1"/>
      <c r="C435" s="1"/>
      <c r="D435" s="1"/>
      <c r="E435" s="1"/>
      <c r="F435" s="1"/>
      <c r="G435" s="1"/>
      <c r="H435" s="1"/>
      <c r="I435" s="1"/>
      <c r="J435" s="1"/>
      <c r="K435" s="45"/>
      <c r="L435" s="1779"/>
      <c r="M435" s="1779"/>
      <c r="N435" s="1779"/>
    </row>
    <row r="436" spans="1:14" s="38" customFormat="1" ht="15" customHeight="1" x14ac:dyDescent="0.25">
      <c r="A436" s="1"/>
      <c r="B436" s="1"/>
      <c r="C436" s="1"/>
      <c r="D436" s="1"/>
      <c r="E436" s="1"/>
      <c r="F436" s="1"/>
      <c r="G436" s="1"/>
      <c r="H436" s="1"/>
      <c r="I436" s="1"/>
      <c r="J436" s="1"/>
      <c r="K436" s="45"/>
      <c r="L436" s="1779"/>
      <c r="M436" s="1779"/>
      <c r="N436" s="1779"/>
    </row>
    <row r="437" spans="1:14" s="38" customFormat="1" ht="15" customHeight="1" x14ac:dyDescent="0.25">
      <c r="A437" s="1"/>
      <c r="B437" s="1"/>
      <c r="C437" s="1"/>
      <c r="D437" s="1"/>
      <c r="E437" s="1"/>
      <c r="F437" s="1"/>
      <c r="G437" s="1"/>
      <c r="H437" s="1"/>
      <c r="I437" s="1"/>
      <c r="J437" s="1"/>
      <c r="K437" s="45"/>
      <c r="L437" s="1779"/>
      <c r="M437" s="1779"/>
      <c r="N437" s="1779"/>
    </row>
    <row r="438" spans="1:14" s="38" customFormat="1" ht="15" customHeight="1" x14ac:dyDescent="0.25">
      <c r="A438" s="1"/>
      <c r="B438" s="1"/>
      <c r="C438" s="1"/>
      <c r="D438" s="1"/>
      <c r="E438" s="1"/>
      <c r="F438" s="1"/>
      <c r="G438" s="1"/>
      <c r="H438" s="1"/>
      <c r="I438" s="1"/>
      <c r="J438" s="1"/>
      <c r="K438" s="45"/>
      <c r="L438" s="1779"/>
      <c r="M438" s="1779"/>
      <c r="N438" s="1779"/>
    </row>
    <row r="439" spans="1:14" s="38" customFormat="1" ht="15" customHeight="1" x14ac:dyDescent="0.25">
      <c r="A439" s="1"/>
      <c r="B439" s="1"/>
      <c r="C439" s="1"/>
      <c r="D439" s="1"/>
      <c r="E439" s="1"/>
      <c r="F439" s="1"/>
      <c r="G439" s="1"/>
      <c r="H439" s="1"/>
      <c r="I439" s="1"/>
      <c r="J439" s="1"/>
      <c r="K439" s="45"/>
      <c r="L439" s="1779"/>
      <c r="M439" s="1779"/>
      <c r="N439" s="1779"/>
    </row>
    <row r="440" spans="1:14" s="38" customFormat="1" ht="15" customHeight="1" x14ac:dyDescent="0.25">
      <c r="A440" s="1"/>
      <c r="B440" s="1"/>
      <c r="C440" s="1"/>
      <c r="D440" s="1"/>
      <c r="E440" s="1"/>
      <c r="F440" s="1"/>
      <c r="G440" s="1"/>
      <c r="H440" s="1"/>
      <c r="I440" s="1"/>
      <c r="J440" s="1"/>
      <c r="K440" s="45"/>
      <c r="L440" s="1779"/>
      <c r="M440" s="1779"/>
      <c r="N440" s="1779"/>
    </row>
    <row r="441" spans="1:14" s="38" customFormat="1" ht="15" customHeight="1" x14ac:dyDescent="0.25">
      <c r="A441" s="1"/>
      <c r="B441" s="1"/>
      <c r="C441" s="1"/>
      <c r="D441" s="1"/>
      <c r="E441" s="1"/>
      <c r="F441" s="1"/>
      <c r="G441" s="1"/>
      <c r="H441" s="1"/>
      <c r="I441" s="1"/>
      <c r="J441" s="1"/>
      <c r="K441" s="45"/>
      <c r="L441" s="1779"/>
      <c r="M441" s="1779"/>
      <c r="N441" s="1779"/>
    </row>
    <row r="442" spans="1:14" s="38" customFormat="1" ht="15" customHeight="1" x14ac:dyDescent="0.25">
      <c r="A442" s="1"/>
      <c r="B442" s="1"/>
      <c r="C442" s="1"/>
      <c r="D442" s="1"/>
      <c r="E442" s="1"/>
      <c r="F442" s="1"/>
      <c r="G442" s="1"/>
      <c r="H442" s="1"/>
      <c r="I442" s="1"/>
      <c r="J442" s="1"/>
      <c r="K442" s="45"/>
      <c r="L442" s="1779"/>
      <c r="M442" s="1779"/>
      <c r="N442" s="1779"/>
    </row>
    <row r="443" spans="1:14" s="38" customFormat="1" ht="15" customHeight="1" x14ac:dyDescent="0.25">
      <c r="A443" s="1"/>
      <c r="B443" s="1"/>
      <c r="C443" s="1"/>
      <c r="D443" s="1"/>
      <c r="E443" s="1"/>
      <c r="F443" s="1"/>
      <c r="G443" s="1"/>
      <c r="H443" s="1"/>
      <c r="I443" s="1"/>
      <c r="J443" s="1"/>
      <c r="K443" s="45"/>
      <c r="L443" s="1779"/>
      <c r="M443" s="1779"/>
      <c r="N443" s="1779"/>
    </row>
    <row r="444" spans="1:14" s="38" customFormat="1" ht="15" customHeight="1" x14ac:dyDescent="0.25">
      <c r="A444" s="1"/>
      <c r="B444" s="1"/>
      <c r="C444" s="1"/>
      <c r="D444" s="1"/>
      <c r="E444" s="1"/>
      <c r="F444" s="1"/>
      <c r="G444" s="1"/>
      <c r="H444" s="1"/>
      <c r="I444" s="1"/>
      <c r="J444" s="1"/>
      <c r="K444" s="45"/>
      <c r="L444" s="1779"/>
      <c r="M444" s="1779"/>
      <c r="N444" s="1779"/>
    </row>
    <row r="445" spans="1:14" s="38" customFormat="1" ht="15" customHeight="1" x14ac:dyDescent="0.25">
      <c r="A445" s="1"/>
      <c r="B445" s="1"/>
      <c r="C445" s="1"/>
      <c r="D445" s="1"/>
      <c r="E445" s="1"/>
      <c r="F445" s="1"/>
      <c r="G445" s="1"/>
      <c r="H445" s="1"/>
      <c r="I445" s="1"/>
      <c r="J445" s="1"/>
      <c r="K445" s="45"/>
      <c r="L445" s="1779"/>
      <c r="M445" s="1779"/>
      <c r="N445" s="1779"/>
    </row>
    <row r="446" spans="1:14" s="38" customFormat="1" ht="15" customHeight="1" x14ac:dyDescent="0.25">
      <c r="A446" s="1"/>
      <c r="B446" s="1"/>
      <c r="C446" s="1"/>
      <c r="D446" s="1"/>
      <c r="E446" s="1"/>
      <c r="F446" s="1"/>
      <c r="G446" s="1"/>
      <c r="H446" s="1"/>
      <c r="I446" s="1"/>
      <c r="J446" s="1"/>
      <c r="K446" s="45"/>
      <c r="L446" s="1779"/>
      <c r="M446" s="1779"/>
      <c r="N446" s="1779"/>
    </row>
    <row r="447" spans="1:14" s="38" customFormat="1" ht="15" customHeight="1" x14ac:dyDescent="0.25">
      <c r="A447" s="1"/>
      <c r="B447" s="1"/>
      <c r="C447" s="1"/>
      <c r="D447" s="1"/>
      <c r="E447" s="1"/>
      <c r="F447" s="1"/>
      <c r="G447" s="1"/>
      <c r="H447" s="1"/>
      <c r="I447" s="1"/>
      <c r="J447" s="1"/>
      <c r="K447" s="45"/>
      <c r="L447" s="1779"/>
      <c r="M447" s="1779"/>
      <c r="N447" s="1779"/>
    </row>
    <row r="448" spans="1:14" s="38" customFormat="1" ht="15" customHeight="1" x14ac:dyDescent="0.25">
      <c r="A448" s="1"/>
      <c r="B448" s="1"/>
      <c r="C448" s="1"/>
      <c r="D448" s="1"/>
      <c r="E448" s="1"/>
      <c r="F448" s="1"/>
      <c r="G448" s="1"/>
      <c r="H448" s="1"/>
      <c r="I448" s="1"/>
      <c r="J448" s="1"/>
      <c r="K448" s="45"/>
      <c r="L448" s="1779"/>
      <c r="M448" s="1779"/>
      <c r="N448" s="1779"/>
    </row>
    <row r="449" spans="1:15" s="38" customFormat="1" ht="21.75" customHeight="1" x14ac:dyDescent="0.25">
      <c r="A449" s="1"/>
      <c r="B449" s="1"/>
      <c r="C449" s="1"/>
      <c r="D449" s="1"/>
      <c r="E449" s="1"/>
      <c r="F449" s="1"/>
      <c r="G449" s="1"/>
      <c r="H449" s="1"/>
      <c r="I449" s="1"/>
      <c r="J449" s="1"/>
      <c r="K449" s="45"/>
      <c r="L449" s="1779"/>
      <c r="M449" s="1779"/>
      <c r="N449" s="1779"/>
    </row>
    <row r="450" spans="1:15" s="38" customFormat="1" ht="15" customHeight="1" x14ac:dyDescent="0.25">
      <c r="A450" s="1"/>
      <c r="B450" s="1"/>
      <c r="C450" s="1"/>
      <c r="D450" s="1"/>
      <c r="E450" s="1"/>
      <c r="F450" s="1"/>
      <c r="G450" s="1"/>
      <c r="H450" s="1"/>
      <c r="I450" s="1"/>
      <c r="J450" s="1"/>
      <c r="K450" s="45"/>
      <c r="L450" s="1779"/>
      <c r="M450" s="1779"/>
      <c r="N450" s="1779"/>
    </row>
    <row r="451" spans="1:15" s="38" customFormat="1" ht="15" customHeight="1" x14ac:dyDescent="0.25">
      <c r="A451" s="1"/>
      <c r="B451" s="1"/>
      <c r="C451" s="1"/>
      <c r="D451" s="1"/>
      <c r="E451" s="1"/>
      <c r="F451" s="1"/>
      <c r="G451" s="1"/>
      <c r="H451" s="1"/>
      <c r="I451" s="1"/>
      <c r="J451" s="1"/>
      <c r="K451" s="45"/>
      <c r="L451" s="1779"/>
      <c r="M451" s="1779"/>
      <c r="N451" s="1779"/>
    </row>
    <row r="452" spans="1:15" s="38" customFormat="1" ht="15" customHeight="1" x14ac:dyDescent="0.25">
      <c r="A452" s="1"/>
      <c r="B452" s="1"/>
      <c r="C452" s="1"/>
      <c r="D452" s="1"/>
      <c r="E452" s="1"/>
      <c r="F452" s="1"/>
      <c r="G452" s="1"/>
      <c r="H452" s="1"/>
      <c r="I452" s="1"/>
      <c r="J452" s="1"/>
      <c r="K452" s="45"/>
      <c r="L452" s="1779"/>
      <c r="M452" s="1779"/>
      <c r="N452" s="1779"/>
    </row>
    <row r="453" spans="1:15" s="38" customFormat="1" ht="15" customHeight="1" x14ac:dyDescent="0.25">
      <c r="A453" s="1"/>
      <c r="B453" s="1"/>
      <c r="C453" s="1"/>
      <c r="D453" s="1"/>
      <c r="E453" s="1"/>
      <c r="F453" s="1"/>
      <c r="G453" s="1"/>
      <c r="H453" s="1"/>
      <c r="I453" s="1"/>
      <c r="J453" s="1"/>
      <c r="K453" s="45"/>
      <c r="L453" s="1779"/>
      <c r="M453" s="1779"/>
      <c r="N453" s="1779"/>
    </row>
    <row r="454" spans="1:15" s="38" customFormat="1" ht="15" customHeight="1" x14ac:dyDescent="0.25">
      <c r="A454" s="1"/>
      <c r="B454" s="1"/>
      <c r="C454" s="1"/>
      <c r="D454" s="1"/>
      <c r="E454" s="1"/>
      <c r="F454" s="1"/>
      <c r="G454" s="1"/>
      <c r="H454" s="1"/>
      <c r="I454" s="1"/>
      <c r="J454" s="1"/>
      <c r="K454" s="45"/>
      <c r="L454" s="1779"/>
      <c r="M454" s="1779"/>
      <c r="N454" s="1779"/>
    </row>
    <row r="455" spans="1:15" s="38" customFormat="1" ht="15" customHeight="1" x14ac:dyDescent="0.25">
      <c r="A455" s="1"/>
      <c r="B455" s="1"/>
      <c r="C455" s="1"/>
      <c r="D455" s="1"/>
      <c r="E455" s="1"/>
      <c r="F455" s="1"/>
      <c r="G455" s="1"/>
      <c r="H455" s="1"/>
      <c r="I455" s="1"/>
      <c r="J455" s="1"/>
      <c r="K455" s="45"/>
      <c r="L455" s="1779"/>
      <c r="M455" s="1779"/>
      <c r="N455" s="1779"/>
    </row>
    <row r="456" spans="1:15" s="38" customFormat="1" ht="15" customHeight="1" x14ac:dyDescent="0.25">
      <c r="A456" s="1"/>
      <c r="B456" s="1"/>
      <c r="C456" s="1"/>
      <c r="D456" s="1"/>
      <c r="E456" s="1"/>
      <c r="F456" s="1"/>
      <c r="G456" s="1"/>
      <c r="H456" s="1"/>
      <c r="I456" s="1"/>
      <c r="J456" s="1"/>
      <c r="K456" s="45"/>
      <c r="L456" s="1779"/>
      <c r="M456" s="1779"/>
      <c r="N456" s="1779"/>
    </row>
    <row r="457" spans="1:15" ht="15" customHeight="1" x14ac:dyDescent="0.25">
      <c r="A457" s="1"/>
      <c r="B457" s="1"/>
      <c r="C457" s="1"/>
      <c r="D457" s="1"/>
      <c r="G457" s="1"/>
      <c r="H457" s="1"/>
      <c r="I457" s="1"/>
      <c r="J457" s="1"/>
      <c r="K457" s="45"/>
      <c r="L457" s="1779"/>
      <c r="M457" s="1779"/>
      <c r="N457" s="1779"/>
      <c r="O457" s="38"/>
    </row>
    <row r="458" spans="1:15" ht="15" customHeight="1" x14ac:dyDescent="0.25">
      <c r="A458" s="1"/>
      <c r="B458" s="1"/>
      <c r="C458" s="1"/>
      <c r="D458" s="1"/>
      <c r="G458" s="1"/>
      <c r="H458" s="1"/>
      <c r="I458" s="1"/>
      <c r="J458" s="1"/>
      <c r="K458" s="45"/>
      <c r="L458" s="1779"/>
      <c r="M458" s="1779"/>
      <c r="N458" s="1779"/>
      <c r="O458" s="38"/>
    </row>
    <row r="459" spans="1:15" ht="15" customHeight="1" x14ac:dyDescent="0.25">
      <c r="A459" s="1"/>
      <c r="B459" s="1"/>
      <c r="C459" s="1"/>
      <c r="D459" s="1"/>
      <c r="G459" s="1"/>
      <c r="H459" s="1"/>
      <c r="I459" s="1"/>
      <c r="J459" s="1"/>
      <c r="K459" s="45"/>
      <c r="L459" s="1779"/>
      <c r="M459" s="1779"/>
      <c r="N459" s="1779"/>
      <c r="O459" s="38"/>
    </row>
    <row r="460" spans="1:15" ht="15" customHeight="1" x14ac:dyDescent="0.25">
      <c r="A460" s="1"/>
      <c r="B460" s="1"/>
      <c r="C460" s="1"/>
      <c r="D460" s="1"/>
      <c r="G460" s="1"/>
      <c r="H460" s="1"/>
      <c r="I460" s="1"/>
      <c r="J460" s="1"/>
      <c r="L460" s="1755"/>
      <c r="M460" s="1755"/>
      <c r="N460" s="1755"/>
    </row>
    <row r="461" spans="1:15" ht="15" customHeight="1" x14ac:dyDescent="0.25">
      <c r="A461" s="1"/>
      <c r="B461" s="1"/>
      <c r="C461" s="1"/>
      <c r="D461" s="1"/>
      <c r="G461" s="1"/>
      <c r="H461" s="1"/>
      <c r="I461" s="1"/>
      <c r="J461" s="1"/>
      <c r="L461" s="1755"/>
      <c r="M461" s="1755"/>
      <c r="N461" s="1755"/>
    </row>
    <row r="462" spans="1:15" ht="15" customHeight="1" x14ac:dyDescent="0.25">
      <c r="A462" s="1"/>
      <c r="B462" s="1"/>
      <c r="C462" s="1"/>
      <c r="D462" s="1"/>
      <c r="G462" s="1"/>
      <c r="H462" s="1"/>
      <c r="I462" s="1"/>
      <c r="J462" s="1"/>
      <c r="L462" s="1755"/>
      <c r="M462" s="1755"/>
      <c r="N462" s="1755"/>
    </row>
    <row r="463" spans="1:15" ht="15" customHeight="1" x14ac:dyDescent="0.25">
      <c r="A463" s="1"/>
      <c r="B463" s="1"/>
      <c r="C463" s="1"/>
      <c r="D463" s="1"/>
      <c r="G463" s="1"/>
      <c r="H463" s="1"/>
      <c r="I463" s="1"/>
      <c r="J463" s="1"/>
      <c r="L463" s="1755"/>
      <c r="M463" s="1755"/>
      <c r="N463" s="1755"/>
    </row>
    <row r="464" spans="1:15" ht="15" customHeight="1" x14ac:dyDescent="0.25">
      <c r="A464" s="1"/>
      <c r="B464" s="1"/>
      <c r="C464" s="1"/>
      <c r="D464" s="1"/>
      <c r="G464" s="1"/>
      <c r="H464" s="1"/>
      <c r="I464" s="1"/>
      <c r="J464" s="1"/>
      <c r="L464" s="1755"/>
      <c r="M464" s="1755"/>
      <c r="N464" s="1755"/>
    </row>
    <row r="465" spans="1:14" ht="15" customHeight="1" x14ac:dyDescent="0.25">
      <c r="A465" s="1"/>
      <c r="B465" s="1"/>
      <c r="C465" s="1"/>
      <c r="D465" s="1"/>
      <c r="G465" s="1"/>
      <c r="H465" s="1"/>
      <c r="I465" s="1"/>
      <c r="J465" s="1"/>
      <c r="L465" s="1755"/>
      <c r="M465" s="1755"/>
      <c r="N465" s="1755"/>
    </row>
    <row r="466" spans="1:14" ht="15" customHeight="1" x14ac:dyDescent="0.25">
      <c r="A466" s="1"/>
      <c r="B466" s="1"/>
      <c r="C466" s="1"/>
      <c r="D466" s="1"/>
      <c r="G466" s="1"/>
      <c r="H466" s="1"/>
      <c r="I466" s="1"/>
      <c r="J466" s="1"/>
      <c r="L466" s="1755"/>
      <c r="M466" s="1755"/>
      <c r="N466" s="1755"/>
    </row>
    <row r="467" spans="1:14" ht="15" customHeight="1" x14ac:dyDescent="0.25">
      <c r="A467" s="1"/>
      <c r="B467" s="1"/>
      <c r="C467" s="1"/>
      <c r="D467" s="1"/>
      <c r="G467" s="1"/>
      <c r="H467" s="1"/>
      <c r="I467" s="1"/>
      <c r="J467" s="1"/>
      <c r="L467" s="1755"/>
      <c r="M467" s="1755"/>
      <c r="N467" s="1755"/>
    </row>
    <row r="468" spans="1:14" ht="15" customHeight="1" x14ac:dyDescent="0.25">
      <c r="A468" s="1"/>
      <c r="B468" s="1"/>
      <c r="C468" s="1"/>
      <c r="D468" s="1"/>
      <c r="G468" s="1"/>
      <c r="H468" s="1"/>
      <c r="I468" s="1"/>
      <c r="J468" s="1"/>
      <c r="L468" s="1755"/>
      <c r="M468" s="1755"/>
      <c r="N468" s="1755"/>
    </row>
    <row r="469" spans="1:14" ht="15" customHeight="1" x14ac:dyDescent="0.25">
      <c r="A469" s="1"/>
      <c r="B469" s="1"/>
      <c r="C469" s="1"/>
      <c r="D469" s="1"/>
      <c r="G469" s="1"/>
      <c r="H469" s="1"/>
      <c r="I469" s="1"/>
      <c r="J469" s="1"/>
      <c r="L469" s="1755"/>
      <c r="M469" s="1755"/>
      <c r="N469" s="1755"/>
    </row>
    <row r="470" spans="1:14" ht="15" customHeight="1" x14ac:dyDescent="0.25">
      <c r="A470" s="1"/>
      <c r="B470" s="1"/>
      <c r="C470" s="1"/>
      <c r="D470" s="1"/>
      <c r="G470" s="1"/>
      <c r="H470" s="1"/>
      <c r="I470" s="1"/>
      <c r="J470" s="1"/>
      <c r="L470" s="1755"/>
      <c r="M470" s="1755"/>
      <c r="N470" s="1755"/>
    </row>
    <row r="471" spans="1:14" ht="15" customHeight="1" x14ac:dyDescent="0.25">
      <c r="A471" s="1"/>
      <c r="B471" s="1"/>
      <c r="C471" s="1"/>
      <c r="D471" s="1"/>
      <c r="G471" s="1"/>
      <c r="H471" s="1"/>
      <c r="I471" s="1"/>
      <c r="J471" s="1"/>
      <c r="L471" s="1755"/>
      <c r="M471" s="1755"/>
      <c r="N471" s="1755"/>
    </row>
    <row r="472" spans="1:14" ht="15" customHeight="1" x14ac:dyDescent="0.25">
      <c r="A472" s="1"/>
      <c r="B472" s="1"/>
      <c r="C472" s="1"/>
      <c r="D472" s="1"/>
      <c r="G472" s="1"/>
      <c r="H472" s="1"/>
      <c r="I472" s="1"/>
      <c r="J472" s="1"/>
      <c r="L472" s="1755"/>
      <c r="M472" s="1755"/>
      <c r="N472" s="1755"/>
    </row>
    <row r="473" spans="1:14" ht="15" customHeight="1" x14ac:dyDescent="0.25">
      <c r="A473" s="1"/>
      <c r="B473" s="1"/>
      <c r="C473" s="1"/>
      <c r="D473" s="1"/>
      <c r="G473" s="1"/>
      <c r="H473" s="1"/>
      <c r="I473" s="1"/>
      <c r="J473" s="1"/>
      <c r="L473" s="1755"/>
      <c r="M473" s="1755"/>
      <c r="N473" s="1755"/>
    </row>
    <row r="474" spans="1:14" ht="15" customHeight="1" x14ac:dyDescent="0.25">
      <c r="A474" s="1"/>
      <c r="B474" s="1"/>
      <c r="C474" s="1"/>
      <c r="D474" s="1"/>
      <c r="G474" s="1"/>
      <c r="H474" s="1"/>
      <c r="I474" s="1"/>
      <c r="J474" s="1"/>
      <c r="L474" s="1755"/>
      <c r="M474" s="1755"/>
      <c r="N474" s="1755"/>
    </row>
    <row r="475" spans="1:14" ht="15" customHeight="1" x14ac:dyDescent="0.25">
      <c r="A475" s="1"/>
      <c r="B475" s="1"/>
      <c r="C475" s="1"/>
      <c r="D475" s="1"/>
      <c r="G475" s="1"/>
      <c r="H475" s="1"/>
      <c r="I475" s="1"/>
      <c r="J475" s="1"/>
      <c r="L475" s="1755"/>
      <c r="M475" s="1755"/>
      <c r="N475" s="1755"/>
    </row>
    <row r="476" spans="1:14" ht="15" customHeight="1" x14ac:dyDescent="0.25">
      <c r="A476" s="1"/>
      <c r="B476" s="1"/>
      <c r="C476" s="1"/>
      <c r="D476" s="1"/>
      <c r="G476" s="1"/>
      <c r="H476" s="1"/>
      <c r="I476" s="1"/>
      <c r="J476" s="1"/>
      <c r="L476" s="1755"/>
      <c r="M476" s="1755"/>
      <c r="N476" s="1755"/>
    </row>
    <row r="477" spans="1:14" ht="15" customHeight="1" x14ac:dyDescent="0.25">
      <c r="A477" s="1"/>
      <c r="B477" s="1"/>
      <c r="C477" s="1"/>
      <c r="D477" s="1"/>
      <c r="G477" s="1"/>
      <c r="H477" s="1"/>
      <c r="I477" s="1"/>
      <c r="J477" s="1"/>
      <c r="L477" s="1755"/>
      <c r="M477" s="1755"/>
      <c r="N477" s="1755"/>
    </row>
    <row r="478" spans="1:14" ht="15" customHeight="1" x14ac:dyDescent="0.25">
      <c r="A478" s="1"/>
      <c r="B478" s="1"/>
      <c r="C478" s="1"/>
      <c r="D478" s="1"/>
      <c r="G478" s="1"/>
      <c r="H478" s="1"/>
      <c r="I478" s="1"/>
      <c r="J478" s="1"/>
      <c r="L478" s="1755"/>
      <c r="M478" s="1755"/>
      <c r="N478" s="1755"/>
    </row>
    <row r="479" spans="1:14" ht="15" customHeight="1" x14ac:dyDescent="0.25">
      <c r="A479" s="1"/>
      <c r="B479" s="1"/>
      <c r="C479" s="1"/>
      <c r="D479" s="1"/>
      <c r="G479" s="1"/>
      <c r="H479" s="1"/>
      <c r="I479" s="1"/>
      <c r="J479" s="1"/>
      <c r="L479" s="1755"/>
      <c r="M479" s="1755"/>
      <c r="N479" s="1755"/>
    </row>
    <row r="480" spans="1:14" ht="15" customHeight="1" x14ac:dyDescent="0.25">
      <c r="A480" s="1"/>
      <c r="B480" s="1"/>
      <c r="C480" s="1"/>
      <c r="D480" s="1"/>
      <c r="G480" s="1"/>
      <c r="H480" s="1"/>
      <c r="I480" s="1"/>
      <c r="J480" s="1"/>
      <c r="L480" s="1755"/>
      <c r="M480" s="1755"/>
      <c r="N480" s="1755"/>
    </row>
    <row r="481" spans="1:14" ht="15" customHeight="1" x14ac:dyDescent="0.25">
      <c r="A481" s="1"/>
      <c r="B481" s="1"/>
      <c r="C481" s="1"/>
      <c r="D481" s="1"/>
      <c r="G481" s="1"/>
      <c r="H481" s="1"/>
      <c r="I481" s="1"/>
      <c r="J481" s="1"/>
      <c r="L481" s="1755"/>
      <c r="M481" s="1755"/>
      <c r="N481" s="1755"/>
    </row>
    <row r="482" spans="1:14" ht="15" customHeight="1" x14ac:dyDescent="0.25">
      <c r="A482" s="1"/>
      <c r="B482" s="1"/>
      <c r="C482" s="1"/>
      <c r="D482" s="1"/>
      <c r="G482" s="1"/>
      <c r="H482" s="1"/>
      <c r="I482" s="1"/>
      <c r="J482" s="1"/>
      <c r="L482" s="1755"/>
      <c r="M482" s="1755"/>
      <c r="N482" s="1755"/>
    </row>
    <row r="483" spans="1:14" ht="15" customHeight="1" x14ac:dyDescent="0.25">
      <c r="A483" s="1"/>
      <c r="B483" s="1"/>
      <c r="C483" s="1"/>
      <c r="D483" s="1"/>
      <c r="G483" s="1"/>
      <c r="H483" s="1"/>
      <c r="I483" s="1"/>
      <c r="J483" s="1"/>
      <c r="L483" s="1755"/>
      <c r="M483" s="1755"/>
      <c r="N483" s="1755"/>
    </row>
    <row r="484" spans="1:14" ht="15" customHeight="1" x14ac:dyDescent="0.25">
      <c r="A484" s="1"/>
      <c r="B484" s="1"/>
      <c r="C484" s="1"/>
      <c r="D484" s="1"/>
      <c r="G484" s="1"/>
      <c r="H484" s="1"/>
      <c r="I484" s="1"/>
      <c r="J484" s="1"/>
      <c r="L484" s="1755"/>
      <c r="M484" s="1755"/>
      <c r="N484" s="1755"/>
    </row>
    <row r="485" spans="1:14" ht="15" customHeight="1" x14ac:dyDescent="0.25">
      <c r="A485" s="1"/>
      <c r="B485" s="1"/>
      <c r="C485" s="1"/>
      <c r="D485" s="1"/>
      <c r="G485" s="1"/>
      <c r="H485" s="1"/>
      <c r="I485" s="1"/>
      <c r="J485" s="1"/>
      <c r="L485" s="1755"/>
      <c r="M485" s="1755"/>
      <c r="N485" s="1755"/>
    </row>
    <row r="486" spans="1:14" ht="15" customHeight="1" x14ac:dyDescent="0.25">
      <c r="A486" s="1"/>
      <c r="B486" s="1"/>
      <c r="C486" s="1"/>
      <c r="D486" s="1"/>
      <c r="G486" s="1"/>
      <c r="H486" s="1"/>
      <c r="I486" s="1"/>
      <c r="J486" s="1"/>
      <c r="L486" s="1755"/>
      <c r="M486" s="1755"/>
      <c r="N486" s="1755"/>
    </row>
    <row r="487" spans="1:14" ht="15" customHeight="1" x14ac:dyDescent="0.25">
      <c r="A487" s="1"/>
      <c r="B487" s="1"/>
      <c r="C487" s="1"/>
      <c r="D487" s="1"/>
      <c r="G487" s="1"/>
      <c r="H487" s="1"/>
      <c r="I487" s="1"/>
      <c r="J487" s="1"/>
      <c r="L487" s="1755"/>
      <c r="M487" s="1755"/>
      <c r="N487" s="1755"/>
    </row>
    <row r="488" spans="1:14" ht="15" customHeight="1" x14ac:dyDescent="0.25">
      <c r="A488" s="1"/>
      <c r="B488" s="1"/>
      <c r="C488" s="1"/>
      <c r="D488" s="1"/>
      <c r="G488" s="1"/>
      <c r="H488" s="1"/>
      <c r="I488" s="1"/>
      <c r="J488" s="1"/>
      <c r="L488" s="1755"/>
      <c r="M488" s="1755"/>
      <c r="N488" s="1755"/>
    </row>
    <row r="489" spans="1:14" ht="15" customHeight="1" x14ac:dyDescent="0.25">
      <c r="A489" s="1"/>
      <c r="B489" s="1"/>
      <c r="C489" s="1"/>
      <c r="D489" s="1"/>
      <c r="G489" s="1"/>
      <c r="H489" s="1"/>
      <c r="I489" s="1"/>
      <c r="J489" s="1"/>
      <c r="L489" s="1755"/>
      <c r="M489" s="1755"/>
      <c r="N489" s="1755"/>
    </row>
    <row r="490" spans="1:14" ht="15" customHeight="1" x14ac:dyDescent="0.25">
      <c r="A490" s="1"/>
      <c r="B490" s="1"/>
      <c r="C490" s="1"/>
      <c r="D490" s="1"/>
      <c r="G490" s="1"/>
      <c r="H490" s="1"/>
      <c r="I490" s="1"/>
      <c r="J490" s="1"/>
      <c r="L490" s="1755"/>
      <c r="M490" s="1755"/>
      <c r="N490" s="1755"/>
    </row>
    <row r="491" spans="1:14" ht="15" customHeight="1" x14ac:dyDescent="0.25">
      <c r="A491" s="1"/>
      <c r="B491" s="1"/>
      <c r="C491" s="1"/>
      <c r="D491" s="1"/>
      <c r="G491" s="1"/>
      <c r="H491" s="1"/>
      <c r="I491" s="1"/>
      <c r="J491" s="1"/>
      <c r="L491" s="1755"/>
      <c r="M491" s="1755"/>
      <c r="N491" s="1755"/>
    </row>
    <row r="492" spans="1:14" ht="15" customHeight="1" x14ac:dyDescent="0.25">
      <c r="A492" s="1"/>
      <c r="B492" s="1"/>
      <c r="C492" s="1"/>
      <c r="D492" s="1"/>
      <c r="G492" s="1"/>
      <c r="H492" s="1"/>
      <c r="I492" s="1"/>
      <c r="J492" s="1"/>
      <c r="L492" s="1755"/>
      <c r="M492" s="1755"/>
      <c r="N492" s="1755"/>
    </row>
    <row r="493" spans="1:14" ht="15" customHeight="1" x14ac:dyDescent="0.25">
      <c r="A493" s="1"/>
      <c r="B493" s="1"/>
      <c r="C493" s="1"/>
      <c r="D493" s="1"/>
      <c r="G493" s="1"/>
      <c r="H493" s="1"/>
      <c r="I493" s="1"/>
      <c r="J493" s="1"/>
      <c r="L493" s="1755"/>
      <c r="M493" s="1755"/>
      <c r="N493" s="1755"/>
    </row>
    <row r="494" spans="1:14" ht="15" customHeight="1" x14ac:dyDescent="0.25">
      <c r="A494" s="1"/>
      <c r="B494" s="1"/>
      <c r="C494" s="1"/>
      <c r="D494" s="1"/>
      <c r="G494" s="1"/>
      <c r="H494" s="1"/>
      <c r="I494" s="1"/>
      <c r="J494" s="1"/>
      <c r="L494" s="1755"/>
      <c r="M494" s="1755"/>
      <c r="N494" s="1755"/>
    </row>
    <row r="495" spans="1:14" ht="15" customHeight="1" x14ac:dyDescent="0.25">
      <c r="A495" s="1"/>
      <c r="B495" s="1"/>
      <c r="C495" s="1"/>
      <c r="D495" s="1"/>
      <c r="G495" s="1"/>
      <c r="H495" s="1"/>
      <c r="I495" s="1"/>
      <c r="J495" s="1"/>
      <c r="L495" s="1755"/>
      <c r="M495" s="1755"/>
      <c r="N495" s="1755"/>
    </row>
    <row r="496" spans="1:14" ht="15" customHeight="1" x14ac:dyDescent="0.25">
      <c r="A496" s="1"/>
      <c r="B496" s="1"/>
      <c r="C496" s="1"/>
      <c r="D496" s="1"/>
      <c r="G496" s="1"/>
      <c r="H496" s="1"/>
      <c r="I496" s="1"/>
      <c r="J496" s="1"/>
      <c r="L496" s="1755"/>
      <c r="M496" s="1755"/>
      <c r="N496" s="1755"/>
    </row>
    <row r="497" spans="1:14" ht="15" customHeight="1" x14ac:dyDescent="0.25">
      <c r="A497" s="1"/>
      <c r="B497" s="1"/>
      <c r="C497" s="1"/>
      <c r="D497" s="1"/>
      <c r="G497" s="1"/>
      <c r="H497" s="1"/>
      <c r="I497" s="1"/>
      <c r="J497" s="1"/>
      <c r="L497" s="1755"/>
      <c r="M497" s="1755"/>
      <c r="N497" s="1755"/>
    </row>
    <row r="498" spans="1:14" ht="15" customHeight="1" x14ac:dyDescent="0.25">
      <c r="A498" s="1"/>
      <c r="B498" s="1"/>
      <c r="C498" s="1"/>
      <c r="D498" s="1"/>
      <c r="G498" s="1"/>
      <c r="H498" s="1"/>
      <c r="I498" s="1"/>
      <c r="J498" s="1"/>
      <c r="L498" s="1755"/>
      <c r="M498" s="1755"/>
      <c r="N498" s="1755"/>
    </row>
    <row r="499" spans="1:14" ht="15" customHeight="1" x14ac:dyDescent="0.25">
      <c r="A499" s="1"/>
      <c r="B499" s="1"/>
      <c r="C499" s="1"/>
      <c r="D499" s="1"/>
      <c r="G499" s="1"/>
      <c r="H499" s="1"/>
      <c r="I499" s="1"/>
      <c r="J499" s="1"/>
      <c r="L499" s="1755"/>
      <c r="M499" s="1755"/>
      <c r="N499" s="1755"/>
    </row>
    <row r="500" spans="1:14" ht="15" customHeight="1" x14ac:dyDescent="0.25">
      <c r="A500" s="1"/>
      <c r="B500" s="1"/>
      <c r="C500" s="1"/>
      <c r="D500" s="1"/>
      <c r="G500" s="1"/>
      <c r="H500" s="1"/>
      <c r="I500" s="1"/>
      <c r="J500" s="1"/>
      <c r="L500" s="1755"/>
      <c r="M500" s="1755"/>
      <c r="N500" s="1755"/>
    </row>
    <row r="501" spans="1:14" ht="15" customHeight="1" x14ac:dyDescent="0.25">
      <c r="A501" s="1"/>
      <c r="B501" s="1"/>
      <c r="C501" s="1"/>
      <c r="D501" s="1"/>
      <c r="G501" s="1"/>
      <c r="H501" s="1"/>
      <c r="I501" s="1"/>
      <c r="J501" s="1"/>
      <c r="L501" s="1755"/>
      <c r="M501" s="1755"/>
      <c r="N501" s="1755"/>
    </row>
    <row r="502" spans="1:14" ht="15" customHeight="1" x14ac:dyDescent="0.25">
      <c r="A502" s="1"/>
      <c r="B502" s="1"/>
      <c r="C502" s="1"/>
      <c r="D502" s="1"/>
      <c r="G502" s="1"/>
      <c r="H502" s="1"/>
      <c r="I502" s="1"/>
      <c r="J502" s="1"/>
    </row>
    <row r="503" spans="1:14" ht="15" customHeight="1" x14ac:dyDescent="0.25">
      <c r="A503" s="1"/>
      <c r="B503" s="1"/>
      <c r="C503" s="1"/>
      <c r="D503" s="1"/>
      <c r="G503" s="1"/>
      <c r="H503" s="1"/>
      <c r="I503" s="1"/>
      <c r="J503" s="1"/>
    </row>
    <row r="504" spans="1:14" ht="15" customHeight="1" x14ac:dyDescent="0.25">
      <c r="A504" s="1"/>
      <c r="B504" s="1"/>
      <c r="C504" s="1"/>
      <c r="D504" s="1"/>
      <c r="G504" s="1"/>
      <c r="H504" s="1"/>
      <c r="I504" s="1"/>
      <c r="J504" s="1"/>
    </row>
    <row r="505" spans="1:14" ht="15" customHeight="1" x14ac:dyDescent="0.25">
      <c r="A505" s="1"/>
      <c r="B505" s="1"/>
      <c r="C505" s="1"/>
      <c r="D505" s="1"/>
      <c r="G505" s="1"/>
      <c r="H505" s="1"/>
      <c r="I505" s="1"/>
      <c r="J505" s="1"/>
    </row>
    <row r="506" spans="1:14" ht="15" customHeight="1" x14ac:dyDescent="0.25">
      <c r="A506" s="1"/>
      <c r="B506" s="1"/>
      <c r="C506" s="1"/>
      <c r="D506" s="1"/>
      <c r="G506" s="1"/>
      <c r="H506" s="1"/>
      <c r="I506" s="1"/>
      <c r="J506" s="1"/>
    </row>
    <row r="507" spans="1:14" ht="15" customHeight="1" x14ac:dyDescent="0.25">
      <c r="A507" s="1"/>
      <c r="B507" s="1"/>
      <c r="C507" s="1"/>
      <c r="D507" s="1"/>
      <c r="G507" s="1"/>
      <c r="H507" s="1"/>
      <c r="I507" s="1"/>
      <c r="J507" s="1"/>
    </row>
    <row r="508" spans="1:14" ht="15" customHeight="1" x14ac:dyDescent="0.25">
      <c r="A508" s="1"/>
      <c r="B508" s="1"/>
      <c r="C508" s="1"/>
      <c r="D508" s="1"/>
      <c r="G508" s="1"/>
      <c r="H508" s="1"/>
      <c r="I508" s="1"/>
      <c r="J508" s="1"/>
    </row>
    <row r="509" spans="1:14" ht="15" customHeight="1" x14ac:dyDescent="0.25">
      <c r="A509" s="1"/>
      <c r="B509" s="1"/>
      <c r="C509" s="1"/>
      <c r="D509" s="1"/>
      <c r="G509" s="1"/>
      <c r="H509" s="1"/>
      <c r="I509" s="1"/>
      <c r="J509" s="1"/>
    </row>
    <row r="510" spans="1:14" ht="15" customHeight="1" x14ac:dyDescent="0.25">
      <c r="A510" s="1"/>
      <c r="B510" s="1"/>
      <c r="C510" s="1"/>
      <c r="D510" s="1"/>
      <c r="G510" s="1"/>
      <c r="H510" s="1"/>
      <c r="I510" s="1"/>
      <c r="J510" s="1"/>
    </row>
    <row r="511" spans="1:14" ht="15" customHeight="1" x14ac:dyDescent="0.25">
      <c r="A511" s="1"/>
      <c r="B511" s="1"/>
      <c r="C511" s="1"/>
      <c r="D511" s="1"/>
      <c r="G511" s="1"/>
      <c r="H511" s="1"/>
      <c r="I511" s="1"/>
      <c r="J511" s="1"/>
    </row>
    <row r="512" spans="1:14" ht="15" customHeight="1" x14ac:dyDescent="0.25">
      <c r="A512" s="1"/>
      <c r="B512" s="1"/>
      <c r="C512" s="1"/>
      <c r="D512" s="1"/>
      <c r="G512" s="1"/>
      <c r="H512" s="1"/>
      <c r="I512" s="1"/>
      <c r="J512" s="1"/>
    </row>
    <row r="513" spans="1:10" ht="15" customHeight="1" x14ac:dyDescent="0.25">
      <c r="A513" s="1"/>
      <c r="B513" s="1"/>
      <c r="C513" s="1"/>
      <c r="D513" s="1"/>
      <c r="G513" s="1"/>
      <c r="H513" s="1"/>
      <c r="I513" s="1"/>
      <c r="J513" s="1"/>
    </row>
    <row r="514" spans="1:10" ht="15" customHeight="1" x14ac:dyDescent="0.25">
      <c r="A514" s="1"/>
      <c r="B514" s="1"/>
      <c r="C514" s="1"/>
      <c r="D514" s="1"/>
      <c r="G514" s="1"/>
      <c r="H514" s="1"/>
      <c r="I514" s="1"/>
      <c r="J514" s="1"/>
    </row>
    <row r="515" spans="1:10" ht="15" customHeight="1" x14ac:dyDescent="0.25">
      <c r="A515" s="1"/>
      <c r="B515" s="1"/>
      <c r="C515" s="1"/>
      <c r="D515" s="1"/>
      <c r="G515" s="1"/>
      <c r="H515" s="1"/>
      <c r="I515" s="1"/>
      <c r="J515" s="1"/>
    </row>
    <row r="516" spans="1:10" ht="15" customHeight="1" x14ac:dyDescent="0.25">
      <c r="A516" s="1"/>
      <c r="B516" s="1"/>
      <c r="C516" s="1"/>
      <c r="D516" s="1"/>
      <c r="G516" s="1"/>
      <c r="H516" s="1"/>
      <c r="I516" s="1"/>
      <c r="J516" s="1"/>
    </row>
    <row r="517" spans="1:10" ht="15" customHeight="1" x14ac:dyDescent="0.25">
      <c r="A517" s="1"/>
      <c r="B517" s="1"/>
      <c r="C517" s="1"/>
      <c r="D517" s="1"/>
      <c r="G517" s="1"/>
      <c r="H517" s="1"/>
      <c r="I517" s="1"/>
      <c r="J517" s="1"/>
    </row>
    <row r="518" spans="1:10" ht="15" customHeight="1" x14ac:dyDescent="0.25">
      <c r="A518" s="1"/>
      <c r="B518" s="1"/>
      <c r="C518" s="1"/>
      <c r="D518" s="1"/>
      <c r="G518" s="1"/>
      <c r="H518" s="1"/>
      <c r="I518" s="1"/>
      <c r="J518" s="1"/>
    </row>
    <row r="519" spans="1:10" ht="15" customHeight="1" x14ac:dyDescent="0.25">
      <c r="A519" s="1"/>
      <c r="B519" s="1"/>
      <c r="C519" s="1"/>
      <c r="D519" s="1"/>
      <c r="G519" s="1"/>
      <c r="H519" s="1"/>
      <c r="I519" s="1"/>
      <c r="J519" s="1"/>
    </row>
    <row r="520" spans="1:10" ht="15" customHeight="1" x14ac:dyDescent="0.25">
      <c r="A520" s="1"/>
      <c r="B520" s="1"/>
      <c r="C520" s="1"/>
      <c r="D520" s="1"/>
      <c r="G520" s="1"/>
      <c r="H520" s="1"/>
      <c r="I520" s="1"/>
      <c r="J520" s="1"/>
    </row>
    <row r="521" spans="1:10" ht="15" customHeight="1" x14ac:dyDescent="0.25">
      <c r="A521" s="1"/>
      <c r="B521" s="1"/>
      <c r="C521" s="1"/>
      <c r="D521" s="1"/>
      <c r="G521" s="1"/>
      <c r="H521" s="1"/>
      <c r="I521" s="1"/>
      <c r="J521" s="1"/>
    </row>
    <row r="522" spans="1:10" ht="15" customHeight="1" x14ac:dyDescent="0.25">
      <c r="A522" s="1"/>
      <c r="B522" s="1"/>
      <c r="C522" s="1"/>
      <c r="D522" s="1"/>
      <c r="G522" s="1"/>
      <c r="H522" s="1"/>
      <c r="I522" s="1"/>
      <c r="J522" s="1"/>
    </row>
    <row r="523" spans="1:10" ht="15" customHeight="1" x14ac:dyDescent="0.25">
      <c r="A523" s="1"/>
      <c r="B523" s="1"/>
      <c r="C523" s="1"/>
      <c r="D523" s="1"/>
      <c r="G523" s="1"/>
      <c r="H523" s="1"/>
      <c r="I523" s="1"/>
      <c r="J523" s="1"/>
    </row>
    <row r="524" spans="1:10" ht="15" customHeight="1" x14ac:dyDescent="0.25">
      <c r="A524" s="1"/>
      <c r="B524" s="1"/>
      <c r="C524" s="1"/>
      <c r="D524" s="1"/>
      <c r="G524" s="1"/>
      <c r="H524" s="1"/>
      <c r="I524" s="1"/>
      <c r="J524" s="1"/>
    </row>
    <row r="525" spans="1:10" ht="15" customHeight="1" x14ac:dyDescent="0.25">
      <c r="A525" s="1"/>
      <c r="B525" s="1"/>
      <c r="C525" s="1"/>
      <c r="D525" s="1"/>
      <c r="G525" s="1"/>
      <c r="H525" s="1"/>
      <c r="I525" s="1"/>
      <c r="J525" s="1"/>
    </row>
    <row r="526" spans="1:10" ht="15" customHeight="1" x14ac:dyDescent="0.25">
      <c r="A526" s="1"/>
      <c r="B526" s="1"/>
      <c r="C526" s="1"/>
      <c r="D526" s="1"/>
      <c r="G526" s="1"/>
      <c r="H526" s="1"/>
      <c r="I526" s="1"/>
      <c r="J526" s="1"/>
    </row>
    <row r="527" spans="1:10" ht="15" customHeight="1" x14ac:dyDescent="0.25">
      <c r="A527" s="1"/>
      <c r="B527" s="1"/>
      <c r="C527" s="1"/>
      <c r="D527" s="1"/>
      <c r="G527" s="1"/>
      <c r="H527" s="1"/>
      <c r="I527" s="1"/>
      <c r="J527" s="1"/>
    </row>
    <row r="528" spans="1:10" ht="15" customHeight="1" x14ac:dyDescent="0.25">
      <c r="A528" s="1"/>
      <c r="B528" s="1"/>
      <c r="C528" s="1"/>
      <c r="D528" s="1"/>
      <c r="G528" s="1"/>
      <c r="H528" s="1"/>
      <c r="I528" s="1"/>
      <c r="J528" s="1"/>
    </row>
    <row r="529" spans="1:10" ht="15" customHeight="1" x14ac:dyDescent="0.25">
      <c r="A529" s="1"/>
      <c r="B529" s="1"/>
      <c r="C529" s="1"/>
      <c r="D529" s="1"/>
      <c r="G529" s="1"/>
      <c r="H529" s="1"/>
      <c r="I529" s="1"/>
      <c r="J529" s="1"/>
    </row>
    <row r="530" spans="1:10" ht="15" customHeight="1" x14ac:dyDescent="0.25">
      <c r="A530" s="1"/>
      <c r="B530" s="1"/>
      <c r="C530" s="1"/>
      <c r="D530" s="1"/>
      <c r="G530" s="1"/>
      <c r="H530" s="1"/>
      <c r="I530" s="1"/>
      <c r="J530" s="1"/>
    </row>
    <row r="531" spans="1:10" ht="15" customHeight="1" x14ac:dyDescent="0.25">
      <c r="A531" s="1"/>
      <c r="B531" s="1"/>
      <c r="C531" s="1"/>
      <c r="D531" s="1"/>
      <c r="G531" s="1"/>
      <c r="H531" s="1"/>
      <c r="I531" s="1"/>
      <c r="J531" s="1"/>
    </row>
    <row r="532" spans="1:10" ht="15" customHeight="1" x14ac:dyDescent="0.25">
      <c r="A532" s="1"/>
      <c r="B532" s="1"/>
      <c r="C532" s="1"/>
      <c r="D532" s="1"/>
      <c r="G532" s="1"/>
      <c r="H532" s="1"/>
      <c r="I532" s="1"/>
      <c r="J532" s="1"/>
    </row>
    <row r="533" spans="1:10" ht="15" customHeight="1" x14ac:dyDescent="0.25">
      <c r="A533" s="1"/>
      <c r="B533" s="1"/>
      <c r="C533" s="1"/>
      <c r="D533" s="1"/>
      <c r="G533" s="1"/>
      <c r="H533" s="1"/>
      <c r="I533" s="1"/>
      <c r="J533" s="1"/>
    </row>
    <row r="534" spans="1:10" ht="15" customHeight="1" x14ac:dyDescent="0.25">
      <c r="A534" s="1"/>
      <c r="B534" s="1"/>
      <c r="C534" s="1"/>
      <c r="D534" s="1"/>
      <c r="G534" s="1"/>
      <c r="H534" s="1"/>
      <c r="I534" s="1"/>
      <c r="J534" s="1"/>
    </row>
    <row r="535" spans="1:10" ht="15" customHeight="1" x14ac:dyDescent="0.25">
      <c r="A535" s="1"/>
      <c r="B535" s="1"/>
      <c r="C535" s="1"/>
      <c r="D535" s="1"/>
      <c r="G535" s="1"/>
      <c r="H535" s="1"/>
      <c r="I535" s="1"/>
      <c r="J535" s="1"/>
    </row>
    <row r="536" spans="1:10" ht="15" customHeight="1" x14ac:dyDescent="0.25">
      <c r="A536" s="1"/>
      <c r="B536" s="1"/>
      <c r="C536" s="1"/>
      <c r="D536" s="1"/>
      <c r="G536" s="1"/>
      <c r="H536" s="1"/>
      <c r="I536" s="1"/>
      <c r="J536" s="1"/>
    </row>
    <row r="537" spans="1:10" ht="15" customHeight="1" x14ac:dyDescent="0.25">
      <c r="A537" s="1"/>
      <c r="B537" s="1"/>
      <c r="C537" s="1"/>
      <c r="D537" s="1"/>
      <c r="G537" s="1"/>
      <c r="H537" s="1"/>
      <c r="I537" s="1"/>
      <c r="J537" s="1"/>
    </row>
    <row r="538" spans="1:10" ht="15" customHeight="1" x14ac:dyDescent="0.25">
      <c r="A538" s="1"/>
      <c r="B538" s="1"/>
      <c r="C538" s="1"/>
      <c r="D538" s="1"/>
      <c r="G538" s="1"/>
      <c r="H538" s="1"/>
      <c r="I538" s="1"/>
      <c r="J538" s="1"/>
    </row>
    <row r="539" spans="1:10" ht="15" customHeight="1" x14ac:dyDescent="0.25">
      <c r="A539" s="1"/>
      <c r="B539" s="1"/>
      <c r="C539" s="1"/>
      <c r="D539" s="1"/>
      <c r="G539" s="1"/>
      <c r="H539" s="1"/>
      <c r="I539" s="1"/>
      <c r="J539" s="1"/>
    </row>
    <row r="540" spans="1:10" ht="15" customHeight="1" x14ac:dyDescent="0.25">
      <c r="A540" s="1"/>
      <c r="B540" s="1"/>
      <c r="C540" s="1"/>
      <c r="D540" s="1"/>
      <c r="G540" s="1"/>
      <c r="H540" s="1"/>
      <c r="I540" s="1"/>
      <c r="J540" s="1"/>
    </row>
    <row r="541" spans="1:10" ht="15" customHeight="1" x14ac:dyDescent="0.25">
      <c r="A541" s="1"/>
      <c r="B541" s="1"/>
      <c r="C541" s="1"/>
      <c r="D541" s="1"/>
      <c r="G541" s="1"/>
      <c r="H541" s="1"/>
      <c r="I541" s="1"/>
      <c r="J541" s="1"/>
    </row>
    <row r="542" spans="1:10" ht="15" customHeight="1" x14ac:dyDescent="0.25">
      <c r="A542" s="1"/>
      <c r="B542" s="1"/>
      <c r="C542" s="1"/>
      <c r="D542" s="1"/>
      <c r="G542" s="1"/>
      <c r="H542" s="1"/>
      <c r="I542" s="1"/>
      <c r="J542" s="1"/>
    </row>
    <row r="543" spans="1:10" ht="15" customHeight="1" x14ac:dyDescent="0.25">
      <c r="A543" s="1"/>
      <c r="B543" s="1"/>
      <c r="C543" s="1"/>
      <c r="D543" s="1"/>
      <c r="G543" s="1"/>
      <c r="H543" s="1"/>
      <c r="I543" s="1"/>
      <c r="J543" s="1"/>
    </row>
    <row r="544" spans="1:10" ht="15" customHeight="1" x14ac:dyDescent="0.25">
      <c r="A544" s="1"/>
      <c r="B544" s="1"/>
      <c r="C544" s="1"/>
      <c r="D544" s="1"/>
      <c r="G544" s="1"/>
      <c r="H544" s="1"/>
      <c r="I544" s="1"/>
      <c r="J544" s="1"/>
    </row>
    <row r="545" spans="1:10" ht="15" customHeight="1" x14ac:dyDescent="0.25">
      <c r="A545" s="1"/>
      <c r="B545" s="1"/>
      <c r="C545" s="1"/>
      <c r="D545" s="1"/>
      <c r="G545" s="1"/>
      <c r="H545" s="1"/>
      <c r="I545" s="1"/>
      <c r="J545" s="1"/>
    </row>
    <row r="546" spans="1:10" ht="15" customHeight="1" x14ac:dyDescent="0.25">
      <c r="A546" s="1"/>
      <c r="B546" s="1"/>
      <c r="C546" s="1"/>
      <c r="D546" s="1"/>
      <c r="G546" s="1"/>
      <c r="H546" s="1"/>
      <c r="I546" s="1"/>
      <c r="J546" s="1"/>
    </row>
    <row r="547" spans="1:10" ht="15" customHeight="1" x14ac:dyDescent="0.25">
      <c r="A547" s="1"/>
      <c r="B547" s="1"/>
      <c r="C547" s="1"/>
      <c r="D547" s="1"/>
      <c r="G547" s="1"/>
      <c r="H547" s="1"/>
      <c r="I547" s="1"/>
      <c r="J547" s="1"/>
    </row>
    <row r="548" spans="1:10" ht="15" customHeight="1" x14ac:dyDescent="0.25">
      <c r="A548" s="1"/>
      <c r="B548" s="1"/>
      <c r="C548" s="1"/>
      <c r="D548" s="1"/>
      <c r="G548" s="1"/>
      <c r="H548" s="1"/>
      <c r="I548" s="1"/>
      <c r="J548" s="1"/>
    </row>
    <row r="549" spans="1:10" ht="15" customHeight="1" x14ac:dyDescent="0.25">
      <c r="A549" s="1"/>
      <c r="B549" s="1"/>
      <c r="C549" s="1"/>
      <c r="D549" s="1"/>
      <c r="G549" s="1"/>
      <c r="H549" s="1"/>
      <c r="I549" s="1"/>
      <c r="J549" s="1"/>
    </row>
    <row r="550" spans="1:10" ht="15" customHeight="1" x14ac:dyDescent="0.25">
      <c r="A550" s="1"/>
      <c r="B550" s="1"/>
      <c r="C550" s="1"/>
      <c r="D550" s="1"/>
      <c r="G550" s="1"/>
      <c r="H550" s="1"/>
      <c r="I550" s="1"/>
      <c r="J550" s="1"/>
    </row>
    <row r="551" spans="1:10" ht="15" customHeight="1" x14ac:dyDescent="0.25">
      <c r="A551" s="1"/>
      <c r="B551" s="1"/>
      <c r="C551" s="1"/>
      <c r="D551" s="1"/>
      <c r="G551" s="1"/>
      <c r="H551" s="1"/>
      <c r="I551" s="1"/>
      <c r="J551" s="1"/>
    </row>
    <row r="552" spans="1:10" ht="15" customHeight="1" x14ac:dyDescent="0.25">
      <c r="A552" s="1"/>
      <c r="B552" s="1"/>
      <c r="C552" s="1"/>
      <c r="D552" s="1"/>
      <c r="G552" s="1"/>
      <c r="H552" s="1"/>
      <c r="I552" s="1"/>
      <c r="J552" s="1"/>
    </row>
    <row r="553" spans="1:10" ht="15" customHeight="1" x14ac:dyDescent="0.25">
      <c r="A553" s="1"/>
      <c r="B553" s="1"/>
      <c r="C553" s="1"/>
      <c r="D553" s="1"/>
      <c r="G553" s="1"/>
      <c r="H553" s="1"/>
      <c r="I553" s="1"/>
      <c r="J553" s="1"/>
    </row>
    <row r="554" spans="1:10" ht="15" customHeight="1" x14ac:dyDescent="0.25">
      <c r="A554" s="1"/>
      <c r="B554" s="1"/>
      <c r="C554" s="1"/>
      <c r="D554" s="1"/>
      <c r="G554" s="1"/>
      <c r="H554" s="1"/>
      <c r="I554" s="1"/>
      <c r="J554" s="1"/>
    </row>
    <row r="555" spans="1:10" ht="15" customHeight="1" x14ac:dyDescent="0.25">
      <c r="A555" s="1"/>
      <c r="B555" s="1"/>
      <c r="C555" s="1"/>
      <c r="D555" s="1"/>
      <c r="G555" s="1"/>
      <c r="H555" s="1"/>
      <c r="I555" s="1"/>
      <c r="J555" s="1"/>
    </row>
    <row r="556" spans="1:10" ht="15" customHeight="1" x14ac:dyDescent="0.25">
      <c r="A556" s="1"/>
      <c r="B556" s="1"/>
      <c r="C556" s="1"/>
      <c r="D556" s="1"/>
      <c r="G556" s="1"/>
      <c r="H556" s="1"/>
      <c r="I556" s="1"/>
      <c r="J556" s="1"/>
    </row>
    <row r="557" spans="1:10" ht="15" customHeight="1" x14ac:dyDescent="0.25">
      <c r="A557" s="1"/>
      <c r="B557" s="1"/>
      <c r="C557" s="1"/>
      <c r="D557" s="1"/>
      <c r="G557" s="1"/>
      <c r="H557" s="1"/>
      <c r="I557" s="1"/>
      <c r="J557" s="1"/>
    </row>
    <row r="558" spans="1:10" ht="15" customHeight="1" x14ac:dyDescent="0.25">
      <c r="A558" s="1"/>
      <c r="B558" s="1"/>
      <c r="C558" s="1"/>
      <c r="D558" s="1"/>
      <c r="G558" s="1"/>
      <c r="H558" s="1"/>
      <c r="I558" s="1"/>
      <c r="J558" s="1"/>
    </row>
    <row r="559" spans="1:10" ht="15" customHeight="1" x14ac:dyDescent="0.25">
      <c r="A559" s="1"/>
      <c r="B559" s="1"/>
      <c r="C559" s="1"/>
      <c r="D559" s="1"/>
      <c r="G559" s="1"/>
      <c r="H559" s="1"/>
      <c r="I559" s="1"/>
      <c r="J559" s="1"/>
    </row>
    <row r="560" spans="1:10" ht="15" customHeight="1" x14ac:dyDescent="0.25">
      <c r="A560" s="1"/>
      <c r="B560" s="1"/>
      <c r="C560" s="1"/>
      <c r="D560" s="1"/>
      <c r="G560" s="1"/>
      <c r="H560" s="1"/>
      <c r="I560" s="1"/>
      <c r="J560" s="1"/>
    </row>
    <row r="561" spans="1:10" ht="15" customHeight="1" x14ac:dyDescent="0.25">
      <c r="A561" s="1"/>
      <c r="B561" s="1"/>
      <c r="C561" s="1"/>
      <c r="D561" s="1"/>
      <c r="G561" s="1"/>
      <c r="H561" s="1"/>
      <c r="I561" s="1"/>
      <c r="J561" s="1"/>
    </row>
    <row r="562" spans="1:10" ht="15" customHeight="1" x14ac:dyDescent="0.25">
      <c r="A562" s="1"/>
      <c r="B562" s="1"/>
      <c r="C562" s="1"/>
      <c r="D562" s="1"/>
      <c r="G562" s="1"/>
      <c r="H562" s="1"/>
      <c r="I562" s="1"/>
      <c r="J562" s="1"/>
    </row>
    <row r="563" spans="1:10" ht="15" customHeight="1" x14ac:dyDescent="0.25">
      <c r="A563" s="1"/>
      <c r="B563" s="1"/>
      <c r="C563" s="1"/>
      <c r="D563" s="1"/>
      <c r="G563" s="1"/>
      <c r="H563" s="1"/>
      <c r="I563" s="1"/>
      <c r="J563" s="1"/>
    </row>
    <row r="564" spans="1:10" ht="15" customHeight="1" x14ac:dyDescent="0.25">
      <c r="A564" s="1"/>
      <c r="B564" s="1"/>
      <c r="C564" s="1"/>
      <c r="D564" s="1"/>
      <c r="G564" s="1"/>
      <c r="H564" s="1"/>
      <c r="I564" s="1"/>
      <c r="J564" s="1"/>
    </row>
    <row r="565" spans="1:10" ht="15" customHeight="1" x14ac:dyDescent="0.25">
      <c r="A565" s="1"/>
      <c r="B565" s="1"/>
      <c r="C565" s="1"/>
      <c r="D565" s="1"/>
      <c r="G565" s="1"/>
      <c r="H565" s="1"/>
      <c r="I565" s="1"/>
      <c r="J565" s="1"/>
    </row>
  </sheetData>
  <mergeCells count="15">
    <mergeCell ref="E7:G7"/>
    <mergeCell ref="A1:J1"/>
    <mergeCell ref="A2:J2"/>
    <mergeCell ref="A3:J3"/>
    <mergeCell ref="E5:G5"/>
    <mergeCell ref="E6:G6"/>
    <mergeCell ref="L12:L14"/>
    <mergeCell ref="M12:M14"/>
    <mergeCell ref="C84:F84"/>
    <mergeCell ref="A10:J10"/>
    <mergeCell ref="A12:B14"/>
    <mergeCell ref="G12:G14"/>
    <mergeCell ref="H12:H14"/>
    <mergeCell ref="I12:I14"/>
    <mergeCell ref="J12:J14"/>
  </mergeCells>
  <dataValidations count="2">
    <dataValidation type="list" allowBlank="1" showInputMessage="1" showErrorMessage="1" sqref="E18 E148:E149 E128 E120:E122 E96 E92 E66 E70 E72:E73" xr:uid="{06D25FBA-6F7B-42D3-BAE7-FF50ED6C2DBE}">
      <formula1>DIST</formula1>
    </dataValidation>
    <dataValidation type="list" allowBlank="1" showInputMessage="1" showErrorMessage="1" sqref="E17 E65 E47 E69 E71" xr:uid="{4D03101D-0F2F-4627-A865-13A3D6510381}">
      <formula1>PTD</formula1>
    </dataValidation>
  </dataValidations>
  <hyperlinks>
    <hyperlink ref="A5" location="TOC!A1" display="TOC" xr:uid="{BBA31772-AF0F-4B83-A6B0-29AF4884805D}"/>
    <hyperlink ref="A6" location="'Sch 1- Rate Base '!A15" display="é" xr:uid="{5049EB7C-CF37-4F6A-B742-2E9CFB4BD34A}"/>
  </hyperlinks>
  <printOptions horizontalCentered="1" headings="1"/>
  <pageMargins left="0.5" right="0.5" top="0.5" bottom="0.75" header="0.25" footer="0.25"/>
  <pageSetup scale="74" fitToHeight="5" orientation="landscape" r:id="rId1"/>
  <headerFooter alignWithMargins="0">
    <oddFooter>&amp;LFY 2026-2028 ASC Filing
&amp;CPage &amp;P of &amp;N&amp;R&amp;A
&amp;D</oddFooter>
  </headerFooter>
  <rowBreaks count="4" manualBreakCount="4">
    <brk id="50" max="9" man="1"/>
    <brk id="81" max="9" man="1"/>
    <brk id="116" max="9" man="1"/>
    <brk id="136" max="9" man="1"/>
  </row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57B432-DE15-43BA-BF32-6648D5179042}">
  <sheetPr>
    <tabColor indexed="43"/>
  </sheetPr>
  <dimension ref="A1:T565"/>
  <sheetViews>
    <sheetView showWhiteSpace="0" zoomScale="90" zoomScaleNormal="90" zoomScaleSheetLayoutView="75" zoomScalePageLayoutView="145" workbookViewId="0">
      <selection sqref="A1:XFD1048576"/>
    </sheetView>
  </sheetViews>
  <sheetFormatPr defaultColWidth="9" defaultRowHeight="15" customHeight="1" x14ac:dyDescent="0.25"/>
  <cols>
    <col min="1" max="1" width="6.125" style="38" customWidth="1"/>
    <col min="2" max="2" width="44.5" style="38" customWidth="1"/>
    <col min="3" max="3" width="9.25" style="36" customWidth="1"/>
    <col min="4" max="4" width="8.625" style="36" customWidth="1"/>
    <col min="5" max="5" width="10" style="1" customWidth="1"/>
    <col min="6" max="6" width="8.5" style="1" customWidth="1"/>
    <col min="7" max="7" width="16" style="28" customWidth="1"/>
    <col min="8" max="10" width="16" style="39" customWidth="1"/>
    <col min="11" max="11" width="2.25" style="37" customWidth="1"/>
    <col min="12" max="18" width="17.625" style="1" customWidth="1"/>
    <col min="19" max="16384" width="9" style="1"/>
  </cols>
  <sheetData>
    <row r="1" spans="1:20" ht="19.5" customHeight="1" thickTop="1" x14ac:dyDescent="0.3">
      <c r="A1" s="3599" t="s">
        <v>54</v>
      </c>
      <c r="B1" s="3600"/>
      <c r="C1" s="3600"/>
      <c r="D1" s="3600"/>
      <c r="E1" s="3600"/>
      <c r="F1" s="3600"/>
      <c r="G1" s="3600"/>
      <c r="H1" s="3600"/>
      <c r="I1" s="3600"/>
      <c r="J1" s="3601"/>
      <c r="K1" s="13"/>
      <c r="L1" s="14"/>
    </row>
    <row r="2" spans="1:20" ht="19.5" customHeight="1" x14ac:dyDescent="0.25">
      <c r="A2" s="3611" t="s">
        <v>228</v>
      </c>
      <c r="B2" s="3612"/>
      <c r="C2" s="3612"/>
      <c r="D2" s="3612"/>
      <c r="E2" s="3612"/>
      <c r="F2" s="3612"/>
      <c r="G2" s="3612"/>
      <c r="H2" s="3612"/>
      <c r="I2" s="3612"/>
      <c r="J2" s="3613"/>
      <c r="K2" s="506"/>
      <c r="L2" s="507"/>
    </row>
    <row r="3" spans="1:20" ht="17.25" customHeight="1" x14ac:dyDescent="0.25">
      <c r="A3" s="3608" t="s">
        <v>719</v>
      </c>
      <c r="B3" s="3609"/>
      <c r="C3" s="3609"/>
      <c r="D3" s="3609"/>
      <c r="E3" s="3609"/>
      <c r="F3" s="3609"/>
      <c r="G3" s="3609"/>
      <c r="H3" s="3609"/>
      <c r="I3" s="3609"/>
      <c r="J3" s="3610"/>
      <c r="K3" s="506"/>
      <c r="L3" s="507"/>
    </row>
    <row r="4" spans="1:20" ht="15" customHeight="1" thickBot="1" x14ac:dyDescent="0.3">
      <c r="A4" s="1335"/>
      <c r="B4" s="180"/>
      <c r="C4" s="180"/>
      <c r="D4" s="180"/>
      <c r="E4" s="180"/>
      <c r="F4" s="180"/>
      <c r="G4" s="180"/>
      <c r="H4" s="180"/>
      <c r="J4" s="1269"/>
      <c r="K4" s="13"/>
      <c r="L4" s="14"/>
    </row>
    <row r="5" spans="1:20" ht="15.75" customHeight="1" x14ac:dyDescent="0.3">
      <c r="A5" s="1830" t="s">
        <v>695</v>
      </c>
      <c r="B5" s="1831"/>
      <c r="C5" s="991"/>
      <c r="D5" s="1832" t="s">
        <v>572</v>
      </c>
      <c r="E5" s="3614" t="s">
        <v>872</v>
      </c>
      <c r="F5" s="3615"/>
      <c r="G5" s="3616"/>
      <c r="H5" s="991"/>
      <c r="I5" s="1833" t="s">
        <v>717</v>
      </c>
      <c r="J5" s="1834"/>
      <c r="K5" s="13"/>
      <c r="L5" s="14"/>
    </row>
    <row r="6" spans="1:20" ht="15.75" customHeight="1" x14ac:dyDescent="0.25">
      <c r="A6" s="1835" t="s">
        <v>696</v>
      </c>
      <c r="B6" s="1836"/>
      <c r="C6" s="991"/>
      <c r="D6" s="1832" t="s">
        <v>574</v>
      </c>
      <c r="E6" s="3617">
        <v>2023</v>
      </c>
      <c r="F6" s="3618"/>
      <c r="G6" s="3619"/>
      <c r="H6" s="1837"/>
      <c r="I6" s="1838" t="s">
        <v>724</v>
      </c>
      <c r="J6" s="1834"/>
      <c r="K6" s="13"/>
      <c r="L6" s="14"/>
    </row>
    <row r="7" spans="1:20" ht="15.75" customHeight="1" thickBot="1" x14ac:dyDescent="0.3">
      <c r="A7" s="1839"/>
      <c r="B7" s="991"/>
      <c r="C7" s="991"/>
      <c r="D7" s="1832" t="s">
        <v>575</v>
      </c>
      <c r="E7" s="3620">
        <v>45446</v>
      </c>
      <c r="F7" s="3621"/>
      <c r="G7" s="3622"/>
      <c r="H7" s="1837"/>
      <c r="I7" s="1840" t="s">
        <v>724</v>
      </c>
      <c r="J7" s="1834"/>
      <c r="K7" s="13"/>
      <c r="L7" s="14"/>
    </row>
    <row r="8" spans="1:20" ht="9.75" customHeight="1" x14ac:dyDescent="0.25">
      <c r="A8" s="1839"/>
      <c r="B8" s="1841"/>
      <c r="C8" s="1842"/>
      <c r="D8" s="1842"/>
      <c r="E8" s="1841"/>
      <c r="F8" s="1841"/>
      <c r="G8" s="1843"/>
      <c r="H8" s="1844"/>
      <c r="I8" s="1844"/>
      <c r="J8" s="1845"/>
      <c r="K8" s="13"/>
      <c r="L8" s="14"/>
    </row>
    <row r="9" spans="1:20" ht="2.1" customHeight="1" x14ac:dyDescent="0.25">
      <c r="A9" s="1839"/>
      <c r="B9" s="1841"/>
      <c r="C9" s="1842"/>
      <c r="D9" s="1842"/>
      <c r="E9" s="1841"/>
      <c r="F9" s="1841"/>
      <c r="G9" s="1843"/>
      <c r="H9" s="1844"/>
      <c r="I9" s="1844"/>
      <c r="J9" s="1845"/>
      <c r="K9" s="13"/>
      <c r="L9" s="14"/>
    </row>
    <row r="10" spans="1:20" ht="15.75" customHeight="1" x14ac:dyDescent="0.25">
      <c r="A10" s="3626" t="s">
        <v>325</v>
      </c>
      <c r="B10" s="3627"/>
      <c r="C10" s="3627"/>
      <c r="D10" s="3627"/>
      <c r="E10" s="3627"/>
      <c r="F10" s="3627"/>
      <c r="G10" s="3627"/>
      <c r="H10" s="3627"/>
      <c r="I10" s="3627"/>
      <c r="J10" s="3628"/>
      <c r="K10" s="13"/>
      <c r="L10" s="14"/>
    </row>
    <row r="11" spans="1:20" ht="11.25" customHeight="1" thickBot="1" x14ac:dyDescent="0.3">
      <c r="A11" s="1337"/>
      <c r="B11" s="376"/>
      <c r="C11" s="366"/>
      <c r="D11" s="366"/>
      <c r="E11" s="376"/>
      <c r="F11" s="376"/>
      <c r="G11" s="376"/>
      <c r="H11" s="376"/>
      <c r="I11" s="376"/>
      <c r="J11" s="1338"/>
      <c r="K11" s="13"/>
      <c r="L11" s="14"/>
    </row>
    <row r="12" spans="1:20" ht="15" customHeight="1" thickBot="1" x14ac:dyDescent="0.3">
      <c r="A12" s="3602" t="s">
        <v>100</v>
      </c>
      <c r="B12" s="3603"/>
      <c r="C12" s="327" t="s">
        <v>276</v>
      </c>
      <c r="D12" s="328"/>
      <c r="E12" s="317" t="s">
        <v>354</v>
      </c>
      <c r="F12" s="318"/>
      <c r="G12" s="3606" t="s">
        <v>104</v>
      </c>
      <c r="H12" s="3606" t="s">
        <v>105</v>
      </c>
      <c r="I12" s="3606" t="s">
        <v>106</v>
      </c>
      <c r="J12" s="3630" t="s">
        <v>727</v>
      </c>
      <c r="K12" s="20"/>
      <c r="L12" s="3606" t="s">
        <v>105</v>
      </c>
      <c r="M12" s="3606" t="s">
        <v>106</v>
      </c>
      <c r="N12" s="307"/>
    </row>
    <row r="13" spans="1:20" ht="15" customHeight="1" thickBot="1" x14ac:dyDescent="0.3">
      <c r="A13" s="3604"/>
      <c r="B13" s="3605"/>
      <c r="C13" s="308" t="s">
        <v>272</v>
      </c>
      <c r="D13" s="308" t="s">
        <v>96</v>
      </c>
      <c r="E13" s="319" t="s">
        <v>450</v>
      </c>
      <c r="F13" s="320"/>
      <c r="G13" s="3607"/>
      <c r="H13" s="3607"/>
      <c r="I13" s="3607"/>
      <c r="J13" s="3631"/>
      <c r="K13" s="21"/>
      <c r="L13" s="3607"/>
      <c r="M13" s="3607"/>
      <c r="N13" s="310" t="s">
        <v>98</v>
      </c>
    </row>
    <row r="14" spans="1:20" ht="15" customHeight="1" thickBot="1" x14ac:dyDescent="0.3">
      <c r="A14" s="3604"/>
      <c r="B14" s="3605"/>
      <c r="C14" s="308" t="s">
        <v>273</v>
      </c>
      <c r="D14" s="308" t="s">
        <v>252</v>
      </c>
      <c r="E14" s="308" t="s">
        <v>352</v>
      </c>
      <c r="F14" s="308" t="s">
        <v>353</v>
      </c>
      <c r="G14" s="3607"/>
      <c r="H14" s="3607"/>
      <c r="I14" s="3607"/>
      <c r="J14" s="3632"/>
      <c r="K14" s="22"/>
      <c r="L14" s="3629"/>
      <c r="M14" s="3629"/>
      <c r="N14" s="324" t="s">
        <v>107</v>
      </c>
    </row>
    <row r="15" spans="1:20" ht="15" customHeight="1" thickTop="1" x14ac:dyDescent="0.25">
      <c r="A15" s="1515" t="s">
        <v>473</v>
      </c>
      <c r="B15" s="1516"/>
      <c r="C15" s="1517"/>
      <c r="D15" s="1517"/>
      <c r="E15" s="1517"/>
      <c r="F15" s="1517"/>
      <c r="G15" s="1518"/>
      <c r="H15" s="1518"/>
      <c r="I15" s="1518"/>
      <c r="J15" s="1519"/>
      <c r="K15" s="20"/>
      <c r="L15" s="1754"/>
      <c r="M15" s="1755"/>
      <c r="N15" s="1755"/>
    </row>
    <row r="16" spans="1:20" ht="15" customHeight="1" x14ac:dyDescent="0.25">
      <c r="A16" s="1342"/>
      <c r="B16" s="47" t="s">
        <v>145</v>
      </c>
      <c r="C16" s="1939" t="s">
        <v>70</v>
      </c>
      <c r="D16" s="184">
        <v>301</v>
      </c>
      <c r="E16" s="184" t="s">
        <v>392</v>
      </c>
      <c r="F16" s="184" t="s">
        <v>97</v>
      </c>
      <c r="G16" s="1756">
        <f>VLOOKUP($B16,'RATE BASE DATA'!$C:$J,7,FALSE)</f>
        <v>0</v>
      </c>
      <c r="H16" s="1738">
        <f>VLOOKUP($E16,Ratio,2,FALSE)*$G16</f>
        <v>0</v>
      </c>
      <c r="I16" s="1738">
        <f>VLOOKUP($E16,Ratio,3,FALSE)*$G16</f>
        <v>0</v>
      </c>
      <c r="J16" s="1739">
        <f>VLOOKUP($E16,Ratio,4,FALSE)*$G16</f>
        <v>0</v>
      </c>
      <c r="K16" s="24"/>
      <c r="L16" s="1755"/>
      <c r="M16" s="1755"/>
      <c r="N16" s="1755"/>
      <c r="O16" s="11"/>
      <c r="P16" s="11"/>
      <c r="Q16" s="11"/>
      <c r="R16" s="11"/>
      <c r="S16" s="11"/>
      <c r="T16" s="11"/>
    </row>
    <row r="17" spans="1:20" ht="15" customHeight="1" x14ac:dyDescent="0.25">
      <c r="A17" s="1342"/>
      <c r="B17" s="47" t="s">
        <v>146</v>
      </c>
      <c r="C17" s="1939" t="s">
        <v>70</v>
      </c>
      <c r="D17" s="184">
        <v>302</v>
      </c>
      <c r="E17" s="184" t="s">
        <v>90</v>
      </c>
      <c r="F17" s="184" t="s">
        <v>99</v>
      </c>
      <c r="G17" s="1756">
        <f>VLOOKUP($B17,'RATE BASE DATA'!$C:$J,7,FALSE)</f>
        <v>13362635.901188232</v>
      </c>
      <c r="H17" s="1738">
        <f>IF($E17="DIRECT",$L17,VLOOKUP($E17,Ratio,2,FALSE)*$G17)</f>
        <v>13362635.901188232</v>
      </c>
      <c r="I17" s="1738">
        <f>IF($E17="DIRECT",$M17,VLOOKUP($E17,Ratio,3,FALSE)*$G17)</f>
        <v>0</v>
      </c>
      <c r="J17" s="1739">
        <f>IF($E17="DIRECT",$N17,VLOOKUP($E17,Ratio,4,FALSE)*$G17)</f>
        <v>0</v>
      </c>
      <c r="K17" s="24"/>
      <c r="L17" s="1756">
        <f>VLOOKUP($B17,'RATE BASE DATA'!$C:$J,7,FALSE)*'B8-EPIS'!S589/'B8-EPIS'!$V$589</f>
        <v>13362635.901188232</v>
      </c>
      <c r="M17" s="1756">
        <v>0</v>
      </c>
      <c r="N17" s="1756">
        <v>0</v>
      </c>
      <c r="O17" s="11"/>
      <c r="P17" s="11"/>
      <c r="Q17" s="11"/>
      <c r="R17" s="11"/>
      <c r="S17" s="11"/>
      <c r="T17" s="11"/>
    </row>
    <row r="18" spans="1:20" ht="15" customHeight="1" x14ac:dyDescent="0.25">
      <c r="A18" s="1342"/>
      <c r="B18" s="47" t="s">
        <v>147</v>
      </c>
      <c r="C18" s="1939" t="s">
        <v>70</v>
      </c>
      <c r="D18" s="184">
        <v>303</v>
      </c>
      <c r="E18" s="184" t="s">
        <v>90</v>
      </c>
      <c r="F18" s="184" t="s">
        <v>392</v>
      </c>
      <c r="G18" s="1756">
        <f>VLOOKUP($B18,'RATE BASE DATA'!$C:$J,7,FALSE)</f>
        <v>70178233.571120694</v>
      </c>
      <c r="H18" s="1738">
        <f>IF($E18="DIRECT",$L18,VLOOKUP($E18,Ratio,2,FALSE)*$G18)</f>
        <v>23297689.61667157</v>
      </c>
      <c r="I18" s="1738">
        <f>IF($E18="DIRECT",$M18,VLOOKUP($E18,Ratio,3,FALSE)*$G18)</f>
        <v>0</v>
      </c>
      <c r="J18" s="1739">
        <f>IF($E18="DIRECT",$N18,VLOOKUP($E18,Ratio,4,FALSE)*$G18)</f>
        <v>46880543.954449132</v>
      </c>
      <c r="K18" s="24"/>
      <c r="L18" s="1756">
        <f>VLOOKUP($B18,'RATE BASE DATA'!$C:$J,7,FALSE)*'B8-EPIS'!S595/'B8-EPIS'!$V$595</f>
        <v>23297689.61667157</v>
      </c>
      <c r="M18" s="1756">
        <f>VLOOKUP($B18,'RATE BASE DATA'!$C:$J,7,FALSE)*'B8-EPIS'!T595/'B8-EPIS'!$V$595</f>
        <v>0</v>
      </c>
      <c r="N18" s="1756">
        <f>VLOOKUP($B18,'RATE BASE DATA'!$C:$J,7,FALSE)*'B8-EPIS'!U595/'B8-EPIS'!$V$595</f>
        <v>46880543.954449132</v>
      </c>
      <c r="O18" s="578"/>
      <c r="P18" s="11"/>
      <c r="Q18" s="11"/>
      <c r="R18" s="11"/>
      <c r="S18" s="11"/>
      <c r="T18" s="11"/>
    </row>
    <row r="19" spans="1:20" ht="15" customHeight="1" x14ac:dyDescent="0.25">
      <c r="A19" s="1344" t="s">
        <v>439</v>
      </c>
      <c r="B19" s="33"/>
      <c r="C19" s="1846"/>
      <c r="D19" s="1847"/>
      <c r="E19" s="1847"/>
      <c r="F19" s="1848"/>
      <c r="G19" s="1780">
        <f>SUM(G16:G18)</f>
        <v>83540869.472308934</v>
      </c>
      <c r="H19" s="1740">
        <f>SUM(H16:H18)</f>
        <v>36660325.517859802</v>
      </c>
      <c r="I19" s="1740">
        <f>SUM(I16:I18)</f>
        <v>0</v>
      </c>
      <c r="J19" s="1741">
        <f>SUM(J16:J18)</f>
        <v>46880543.954449132</v>
      </c>
      <c r="K19" s="24"/>
      <c r="L19" s="1757"/>
      <c r="M19" s="1758"/>
      <c r="N19" s="1758"/>
      <c r="O19" s="11"/>
      <c r="P19" s="11"/>
      <c r="Q19" s="11"/>
      <c r="R19" s="11"/>
      <c r="S19" s="11"/>
      <c r="T19" s="11"/>
    </row>
    <row r="20" spans="1:20" ht="8.1" customHeight="1" x14ac:dyDescent="0.25">
      <c r="A20" s="1346"/>
      <c r="B20" s="33"/>
      <c r="C20" s="48"/>
      <c r="D20" s="48"/>
      <c r="E20" s="48"/>
      <c r="F20" s="48"/>
      <c r="G20" s="377"/>
      <c r="H20" s="67"/>
      <c r="I20" s="142"/>
      <c r="J20" s="1347"/>
      <c r="K20" s="24"/>
      <c r="L20" s="1757"/>
      <c r="M20" s="1758"/>
      <c r="N20" s="1758"/>
      <c r="O20" s="11"/>
      <c r="P20" s="11"/>
      <c r="Q20" s="11"/>
      <c r="R20" s="11"/>
      <c r="S20" s="11"/>
      <c r="T20" s="11"/>
    </row>
    <row r="21" spans="1:20" ht="15" customHeight="1" x14ac:dyDescent="0.25">
      <c r="A21" s="1341" t="s">
        <v>110</v>
      </c>
      <c r="B21" s="78"/>
      <c r="C21" s="48"/>
      <c r="D21" s="48"/>
      <c r="E21" s="48"/>
      <c r="F21" s="48"/>
      <c r="G21" s="377"/>
      <c r="H21" s="142"/>
      <c r="I21" s="142"/>
      <c r="J21" s="1347"/>
      <c r="K21" s="20"/>
      <c r="L21" s="1754"/>
      <c r="M21" s="1755"/>
      <c r="N21" s="1755"/>
    </row>
    <row r="22" spans="1:20" ht="15" customHeight="1" x14ac:dyDescent="0.25">
      <c r="A22" s="1348"/>
      <c r="B22" s="49" t="s">
        <v>111</v>
      </c>
      <c r="C22" s="1939" t="s">
        <v>70</v>
      </c>
      <c r="D22" s="184" t="s">
        <v>824</v>
      </c>
      <c r="E22" s="184" t="s">
        <v>394</v>
      </c>
      <c r="F22" s="184"/>
      <c r="G22" s="1756">
        <f>VLOOKUP($B22,'RATE BASE DATA'!$C:$J,7,FALSE)</f>
        <v>548792151.86288476</v>
      </c>
      <c r="H22" s="1738">
        <f>VLOOKUP($E22,Ratio,2,FALSE)*$G22</f>
        <v>548792151.86288476</v>
      </c>
      <c r="I22" s="1738">
        <f>VLOOKUP($E22,Ratio,3,FALSE)*$G22</f>
        <v>0</v>
      </c>
      <c r="J22" s="1739">
        <f>VLOOKUP($E22,Ratio,4,FALSE)*$G22</f>
        <v>0</v>
      </c>
      <c r="K22" s="24"/>
      <c r="L22" s="1757"/>
      <c r="M22" s="1759"/>
      <c r="N22" s="1759"/>
      <c r="O22" s="26"/>
    </row>
    <row r="23" spans="1:20" ht="15" customHeight="1" x14ac:dyDescent="0.25">
      <c r="A23" s="1348"/>
      <c r="B23" s="49" t="s">
        <v>113</v>
      </c>
      <c r="C23" s="1939" t="s">
        <v>70</v>
      </c>
      <c r="D23" s="184" t="s">
        <v>825</v>
      </c>
      <c r="E23" s="184" t="s">
        <v>394</v>
      </c>
      <c r="F23" s="184"/>
      <c r="G23" s="1756">
        <f>VLOOKUP($B23,'RATE BASE DATA'!$C:$J,7,FALSE)</f>
        <v>0</v>
      </c>
      <c r="H23" s="1738">
        <f>VLOOKUP($E23,Ratio,2,FALSE)*$G23</f>
        <v>0</v>
      </c>
      <c r="I23" s="1738">
        <f>VLOOKUP($E23,Ratio,3,FALSE)*$G23</f>
        <v>0</v>
      </c>
      <c r="J23" s="1739">
        <f>VLOOKUP($E23,Ratio,4,FALSE)*$G23</f>
        <v>0</v>
      </c>
      <c r="K23" s="24"/>
      <c r="L23" s="1757"/>
      <c r="M23" s="1760"/>
      <c r="N23" s="1761"/>
      <c r="O23" s="26"/>
      <c r="P23" s="11"/>
      <c r="Q23" s="11"/>
      <c r="R23" s="11"/>
      <c r="S23" s="11"/>
      <c r="T23" s="11"/>
    </row>
    <row r="24" spans="1:20" ht="15" customHeight="1" x14ac:dyDescent="0.25">
      <c r="A24" s="1348"/>
      <c r="B24" s="49" t="s">
        <v>115</v>
      </c>
      <c r="C24" s="1939" t="s">
        <v>70</v>
      </c>
      <c r="D24" s="184" t="s">
        <v>826</v>
      </c>
      <c r="E24" s="184" t="s">
        <v>394</v>
      </c>
      <c r="F24" s="184"/>
      <c r="G24" s="1756">
        <f>VLOOKUP($B24,'RATE BASE DATA'!$C:$J,7,FALSE)</f>
        <v>82274472.470641494</v>
      </c>
      <c r="H24" s="1738">
        <f>VLOOKUP($E24,Ratio,2,FALSE)*$G24</f>
        <v>82274472.470641494</v>
      </c>
      <c r="I24" s="1738">
        <f>VLOOKUP($E24,Ratio,3,FALSE)*$G24</f>
        <v>0</v>
      </c>
      <c r="J24" s="1739">
        <f>VLOOKUP($E24,Ratio,4,FALSE)*$G24</f>
        <v>0</v>
      </c>
      <c r="K24" s="24"/>
      <c r="L24" s="1757"/>
      <c r="M24" s="1758"/>
      <c r="N24" s="1758"/>
      <c r="O24" s="11"/>
      <c r="P24" s="11"/>
      <c r="Q24" s="11"/>
      <c r="R24" s="11"/>
      <c r="S24" s="11"/>
      <c r="T24" s="11"/>
    </row>
    <row r="25" spans="1:20" ht="15" customHeight="1" x14ac:dyDescent="0.25">
      <c r="A25" s="1348"/>
      <c r="B25" s="49" t="s">
        <v>117</v>
      </c>
      <c r="C25" s="1939" t="s">
        <v>70</v>
      </c>
      <c r="D25" s="184" t="s">
        <v>870</v>
      </c>
      <c r="E25" s="184" t="s">
        <v>394</v>
      </c>
      <c r="F25" s="184"/>
      <c r="G25" s="1756">
        <f>VLOOKUP($B25,'RATE BASE DATA'!$C:$J,7,FALSE)</f>
        <v>428646531.50808603</v>
      </c>
      <c r="H25" s="1738">
        <f>VLOOKUP($E25,Ratio,2,FALSE)*$G25</f>
        <v>428646531.50808603</v>
      </c>
      <c r="I25" s="1738">
        <f>VLOOKUP($E25,Ratio,3,FALSE)*$G25</f>
        <v>0</v>
      </c>
      <c r="J25" s="1739">
        <f>VLOOKUP($E25,Ratio,4,FALSE)*$G25</f>
        <v>0</v>
      </c>
      <c r="K25" s="24"/>
      <c r="L25" s="1757"/>
      <c r="M25" s="1758"/>
      <c r="N25" s="1758"/>
      <c r="O25" s="11"/>
      <c r="P25" s="11"/>
      <c r="Q25" s="11"/>
      <c r="R25" s="11"/>
      <c r="S25" s="11"/>
      <c r="T25" s="11"/>
    </row>
    <row r="26" spans="1:20" ht="15" customHeight="1" x14ac:dyDescent="0.25">
      <c r="A26" s="1344" t="s">
        <v>119</v>
      </c>
      <c r="B26" s="33"/>
      <c r="C26" s="1846"/>
      <c r="D26" s="1847"/>
      <c r="E26" s="1847"/>
      <c r="F26" s="1848"/>
      <c r="G26" s="1781">
        <f>SUM(G22:G25)</f>
        <v>1059713155.8416123</v>
      </c>
      <c r="H26" s="495">
        <f>SUM(H22:H25)</f>
        <v>1059713155.8416123</v>
      </c>
      <c r="I26" s="1742">
        <f>SUM(I22:I25)</f>
        <v>0</v>
      </c>
      <c r="J26" s="1743">
        <f>SUM(J22:J25)</f>
        <v>0</v>
      </c>
      <c r="K26" s="24"/>
      <c r="L26" s="1757"/>
      <c r="M26" s="1758"/>
      <c r="N26" s="1758"/>
      <c r="O26" s="11"/>
      <c r="P26" s="11"/>
      <c r="Q26" s="11"/>
      <c r="R26" s="11"/>
      <c r="S26" s="11"/>
      <c r="T26" s="11"/>
    </row>
    <row r="27" spans="1:20" ht="8.1" customHeight="1" x14ac:dyDescent="0.25">
      <c r="A27" s="1346"/>
      <c r="B27" s="33"/>
      <c r="C27" s="48"/>
      <c r="D27" s="48"/>
      <c r="E27" s="48"/>
      <c r="F27" s="48"/>
      <c r="G27" s="1782"/>
      <c r="H27" s="142"/>
      <c r="I27" s="142"/>
      <c r="J27" s="1347"/>
      <c r="K27" s="24"/>
      <c r="L27" s="1757"/>
      <c r="M27" s="1758"/>
      <c r="N27" s="1758"/>
      <c r="O27" s="11"/>
    </row>
    <row r="28" spans="1:20" ht="15" customHeight="1" x14ac:dyDescent="0.25">
      <c r="A28" s="1341" t="s">
        <v>97</v>
      </c>
      <c r="B28" s="47"/>
      <c r="C28" s="48"/>
      <c r="D28" s="48"/>
      <c r="E28" s="1849"/>
      <c r="F28" s="1849"/>
      <c r="G28" s="377"/>
      <c r="H28" s="142"/>
      <c r="I28" s="142"/>
      <c r="J28" s="1347"/>
      <c r="K28" s="24"/>
      <c r="L28" s="1757"/>
      <c r="M28" s="1758"/>
      <c r="N28" s="1758"/>
      <c r="O28" s="11"/>
    </row>
    <row r="29" spans="1:20" ht="15" customHeight="1" x14ac:dyDescent="0.25">
      <c r="A29" s="1348"/>
      <c r="B29" s="49" t="s">
        <v>497</v>
      </c>
      <c r="C29" s="1942" t="s">
        <v>70</v>
      </c>
      <c r="D29" s="1943" t="s">
        <v>827</v>
      </c>
      <c r="E29" s="184" t="s">
        <v>393</v>
      </c>
      <c r="F29" s="184"/>
      <c r="G29" s="1756">
        <f>VLOOKUP($B29,'RATE BASE DATA'!$C:$J,7,FALSE)</f>
        <v>625722801.16957247</v>
      </c>
      <c r="H29" s="1738">
        <f>VLOOKUP($E29,Ratio,2,FALSE)*$G29</f>
        <v>0</v>
      </c>
      <c r="I29" s="1738">
        <f>VLOOKUP($E29,Ratio,3,FALSE)*$G29</f>
        <v>0</v>
      </c>
      <c r="J29" s="1739">
        <f>VLOOKUP($E29,Ratio,4,FALSE)*$G29</f>
        <v>625722801.16957247</v>
      </c>
      <c r="K29" s="24"/>
      <c r="L29" s="1757"/>
      <c r="M29" s="1758"/>
      <c r="N29" s="1758"/>
      <c r="O29" s="11"/>
      <c r="P29" s="11"/>
      <c r="Q29" s="11"/>
      <c r="R29" s="11"/>
      <c r="S29" s="11"/>
      <c r="T29" s="11"/>
    </row>
    <row r="30" spans="1:20" ht="15" customHeight="1" x14ac:dyDescent="0.25">
      <c r="A30" s="1344" t="s">
        <v>121</v>
      </c>
      <c r="B30" s="33"/>
      <c r="C30" s="1940"/>
      <c r="D30" s="1941"/>
      <c r="E30" s="1847"/>
      <c r="F30" s="1848"/>
      <c r="G30" s="1781">
        <f>SUM(G29)</f>
        <v>625722801.16957247</v>
      </c>
      <c r="H30" s="1742">
        <f>SUM(H29)</f>
        <v>0</v>
      </c>
      <c r="I30" s="1740">
        <f>SUM(I29)</f>
        <v>0</v>
      </c>
      <c r="J30" s="1743">
        <f>SUM(J29)</f>
        <v>625722801.16957247</v>
      </c>
      <c r="K30" s="24"/>
      <c r="L30" s="1757"/>
      <c r="M30" s="1758"/>
      <c r="N30" s="1758"/>
      <c r="O30" s="11"/>
      <c r="P30" s="11"/>
      <c r="Q30" s="11"/>
      <c r="R30" s="11"/>
      <c r="S30" s="11"/>
      <c r="T30" s="11"/>
    </row>
    <row r="31" spans="1:20" ht="8.1" customHeight="1" x14ac:dyDescent="0.25">
      <c r="A31" s="1346"/>
      <c r="B31" s="33"/>
      <c r="C31" s="48"/>
      <c r="D31" s="48"/>
      <c r="E31" s="48"/>
      <c r="F31" s="48"/>
      <c r="G31" s="377"/>
      <c r="H31" s="142"/>
      <c r="I31" s="142"/>
      <c r="J31" s="1347"/>
      <c r="K31" s="24"/>
      <c r="L31" s="1757"/>
      <c r="M31" s="1758"/>
      <c r="N31" s="1758"/>
      <c r="O31" s="11"/>
      <c r="P31" s="11"/>
      <c r="Q31" s="11"/>
      <c r="R31" s="11"/>
      <c r="S31" s="11"/>
      <c r="T31" s="11"/>
    </row>
    <row r="32" spans="1:20" ht="15" customHeight="1" x14ac:dyDescent="0.25">
      <c r="A32" s="1341" t="s">
        <v>472</v>
      </c>
      <c r="B32" s="47"/>
      <c r="C32" s="48"/>
      <c r="D32" s="48"/>
      <c r="E32" s="46"/>
      <c r="F32" s="46"/>
      <c r="G32" s="377"/>
      <c r="H32" s="142"/>
      <c r="I32" s="142"/>
      <c r="J32" s="1347"/>
      <c r="K32" s="24"/>
      <c r="L32" s="1757"/>
      <c r="M32" s="1758"/>
      <c r="N32" s="1758"/>
      <c r="O32" s="11"/>
    </row>
    <row r="33" spans="1:20" ht="15" customHeight="1" x14ac:dyDescent="0.25">
      <c r="A33" s="1348"/>
      <c r="B33" s="49" t="s">
        <v>140</v>
      </c>
      <c r="C33" s="1939" t="s">
        <v>70</v>
      </c>
      <c r="D33" s="184" t="s">
        <v>828</v>
      </c>
      <c r="E33" s="184" t="s">
        <v>392</v>
      </c>
      <c r="F33" s="184"/>
      <c r="G33" s="1756">
        <f>VLOOKUP($B33,'RATE BASE DATA'!$C:$J,7,FALSE)</f>
        <v>654154201.54668927</v>
      </c>
      <c r="H33" s="1738">
        <f>VLOOKUP($E33,Ratio,2,FALSE)*$G33</f>
        <v>0</v>
      </c>
      <c r="I33" s="1738">
        <f>VLOOKUP($E33,Ratio,3,FALSE)*$G33</f>
        <v>0</v>
      </c>
      <c r="J33" s="1739">
        <f>VLOOKUP($E33,Ratio,4,FALSE)*$G33</f>
        <v>654154201.54668927</v>
      </c>
      <c r="K33" s="24"/>
      <c r="L33" s="1757"/>
      <c r="M33" s="1758"/>
      <c r="N33" s="1758"/>
      <c r="O33" s="11"/>
      <c r="P33" s="11"/>
      <c r="Q33" s="11"/>
      <c r="R33" s="11"/>
      <c r="S33" s="11"/>
      <c r="T33" s="11"/>
    </row>
    <row r="34" spans="1:20" ht="15" customHeight="1" x14ac:dyDescent="0.25">
      <c r="A34" s="1350" t="s">
        <v>122</v>
      </c>
      <c r="B34" s="47"/>
      <c r="C34" s="1846"/>
      <c r="D34" s="1847"/>
      <c r="E34" s="1847"/>
      <c r="F34" s="1848"/>
      <c r="G34" s="1781">
        <f>SUM(G33)</f>
        <v>654154201.54668927</v>
      </c>
      <c r="H34" s="1740">
        <f>SUM(H33)</f>
        <v>0</v>
      </c>
      <c r="I34" s="1740">
        <f>SUM(I33)</f>
        <v>0</v>
      </c>
      <c r="J34" s="1741">
        <f>SUM(J33)</f>
        <v>654154201.54668927</v>
      </c>
      <c r="K34" s="24"/>
      <c r="L34" s="1757"/>
      <c r="M34" s="1758"/>
      <c r="N34" s="1758"/>
      <c r="O34" s="11"/>
      <c r="P34" s="11"/>
      <c r="Q34" s="11"/>
      <c r="R34" s="11"/>
      <c r="S34" s="11"/>
      <c r="T34" s="11"/>
    </row>
    <row r="35" spans="1:20" ht="8.1" customHeight="1" x14ac:dyDescent="0.25">
      <c r="A35" s="1351"/>
      <c r="B35" s="47"/>
      <c r="C35" s="48"/>
      <c r="D35" s="48"/>
      <c r="E35" s="48"/>
      <c r="F35" s="48"/>
      <c r="G35" s="378"/>
      <c r="H35" s="381"/>
      <c r="I35" s="381"/>
      <c r="J35" s="1744"/>
      <c r="K35" s="24"/>
      <c r="L35" s="1757"/>
      <c r="M35" s="1758"/>
      <c r="N35" s="1758"/>
      <c r="O35" s="11"/>
      <c r="P35" s="11"/>
      <c r="Q35" s="11"/>
      <c r="R35" s="11"/>
      <c r="S35" s="11"/>
      <c r="T35" s="11"/>
    </row>
    <row r="36" spans="1:20" ht="15" customHeight="1" x14ac:dyDescent="0.25">
      <c r="A36" s="1341" t="s">
        <v>124</v>
      </c>
      <c r="B36" s="33"/>
      <c r="C36" s="48"/>
      <c r="D36" s="48"/>
      <c r="E36" s="48"/>
      <c r="F36" s="48"/>
      <c r="G36" s="1784"/>
      <c r="H36" s="67"/>
      <c r="I36" s="67"/>
      <c r="J36" s="1352"/>
      <c r="K36" s="24"/>
      <c r="L36" s="1757"/>
      <c r="M36" s="1758"/>
      <c r="N36" s="1758"/>
      <c r="O36" s="11"/>
    </row>
    <row r="37" spans="1:20" ht="15" customHeight="1" x14ac:dyDescent="0.25">
      <c r="A37" s="1348"/>
      <c r="B37" s="46" t="s">
        <v>125</v>
      </c>
      <c r="C37" s="1939" t="s">
        <v>70</v>
      </c>
      <c r="D37" s="184">
        <v>389</v>
      </c>
      <c r="E37" s="184" t="s">
        <v>99</v>
      </c>
      <c r="F37" s="184"/>
      <c r="G37" s="1756">
        <f>VLOOKUP($B37,'RATE BASE DATA'!$C:$J,7,FALSE)</f>
        <v>1742429.3909180798</v>
      </c>
      <c r="H37" s="1738">
        <f t="shared" ref="H37:H46" si="0">VLOOKUP($E37,Ratio,2,FALSE)*$G37</f>
        <v>767010.69871883455</v>
      </c>
      <c r="I37" s="1738">
        <f t="shared" ref="I37:I46" si="1">VLOOKUP($E37,Ratio,3,FALSE)*$G37</f>
        <v>0</v>
      </c>
      <c r="J37" s="1739">
        <f t="shared" ref="J37:J46" si="2">VLOOKUP($E37,Ratio,4,FALSE)*$G37</f>
        <v>975418.69219924498</v>
      </c>
      <c r="K37" s="24"/>
      <c r="L37" s="1757"/>
      <c r="M37" s="1758"/>
      <c r="N37" s="1758"/>
      <c r="O37" s="11"/>
    </row>
    <row r="38" spans="1:20" ht="15" customHeight="1" x14ac:dyDescent="0.25">
      <c r="A38" s="1348"/>
      <c r="B38" s="46" t="s">
        <v>126</v>
      </c>
      <c r="C38" s="1939" t="s">
        <v>70</v>
      </c>
      <c r="D38" s="184">
        <v>390</v>
      </c>
      <c r="E38" s="184" t="s">
        <v>99</v>
      </c>
      <c r="F38" s="184"/>
      <c r="G38" s="1756">
        <f>VLOOKUP($B38,'RATE BASE DATA'!$C:$J,7,FALSE)</f>
        <v>25816189.255454689</v>
      </c>
      <c r="H38" s="1738">
        <f t="shared" si="0"/>
        <v>11364186.957757147</v>
      </c>
      <c r="I38" s="1738">
        <f t="shared" si="1"/>
        <v>0</v>
      </c>
      <c r="J38" s="1739">
        <f t="shared" si="2"/>
        <v>14452002.29769754</v>
      </c>
      <c r="K38" s="24"/>
      <c r="L38" s="1757"/>
      <c r="M38" s="1758"/>
      <c r="N38" s="1758"/>
      <c r="O38" s="11"/>
    </row>
    <row r="39" spans="1:20" ht="15" customHeight="1" x14ac:dyDescent="0.25">
      <c r="A39" s="1348"/>
      <c r="B39" s="46" t="s">
        <v>127</v>
      </c>
      <c r="C39" s="1939" t="s">
        <v>70</v>
      </c>
      <c r="D39" s="184">
        <v>391</v>
      </c>
      <c r="E39" s="184" t="s">
        <v>95</v>
      </c>
      <c r="F39" s="184"/>
      <c r="G39" s="1756">
        <f>VLOOKUP($B39,'RATE BASE DATA'!$C:$J,7,FALSE)</f>
        <v>7068004.5310630072</v>
      </c>
      <c r="H39" s="1738">
        <f t="shared" si="0"/>
        <v>2946321.7326237778</v>
      </c>
      <c r="I39" s="1738">
        <f t="shared" si="1"/>
        <v>0</v>
      </c>
      <c r="J39" s="1739">
        <f t="shared" si="2"/>
        <v>4121682.7984392298</v>
      </c>
      <c r="K39" s="24"/>
      <c r="L39" s="1757"/>
      <c r="M39" s="1758"/>
      <c r="N39" s="1758"/>
      <c r="O39" s="11"/>
    </row>
    <row r="40" spans="1:20" ht="15" customHeight="1" x14ac:dyDescent="0.25">
      <c r="A40" s="1348"/>
      <c r="B40" s="46" t="s">
        <v>128</v>
      </c>
      <c r="C40" s="1939" t="s">
        <v>70</v>
      </c>
      <c r="D40" s="184">
        <v>392</v>
      </c>
      <c r="E40" s="184" t="s">
        <v>109</v>
      </c>
      <c r="F40" s="184"/>
      <c r="G40" s="1756">
        <f>VLOOKUP($B40,'RATE BASE DATA'!$C:$J,7,FALSE)</f>
        <v>11225975.338704534</v>
      </c>
      <c r="H40" s="1738">
        <f t="shared" si="0"/>
        <v>0</v>
      </c>
      <c r="I40" s="1738">
        <f t="shared" si="1"/>
        <v>0</v>
      </c>
      <c r="J40" s="1739">
        <f t="shared" si="2"/>
        <v>11225975.338704534</v>
      </c>
      <c r="K40" s="24"/>
      <c r="L40" s="1757"/>
      <c r="M40" s="1758"/>
      <c r="N40" s="1758"/>
      <c r="O40" s="11"/>
    </row>
    <row r="41" spans="1:20" ht="15" customHeight="1" x14ac:dyDescent="0.25">
      <c r="A41" s="1348"/>
      <c r="B41" s="46" t="s">
        <v>129</v>
      </c>
      <c r="C41" s="1939" t="s">
        <v>70</v>
      </c>
      <c r="D41" s="184">
        <v>393</v>
      </c>
      <c r="E41" s="184" t="s">
        <v>99</v>
      </c>
      <c r="F41" s="184"/>
      <c r="G41" s="1756">
        <f>VLOOKUP($B41,'RATE BASE DATA'!$C:$J,7,FALSE)</f>
        <v>1470987.7179275388</v>
      </c>
      <c r="H41" s="1738">
        <f t="shared" si="0"/>
        <v>647523.12100288179</v>
      </c>
      <c r="I41" s="1738">
        <f t="shared" si="1"/>
        <v>0</v>
      </c>
      <c r="J41" s="1739">
        <f t="shared" si="2"/>
        <v>823464.59692465677</v>
      </c>
      <c r="K41" s="24"/>
      <c r="L41" s="1757"/>
      <c r="M41" s="1758"/>
      <c r="N41" s="1758"/>
      <c r="O41" s="11"/>
    </row>
    <row r="42" spans="1:20" ht="15" customHeight="1" x14ac:dyDescent="0.25">
      <c r="A42" s="1348"/>
      <c r="B42" s="46" t="s">
        <v>130</v>
      </c>
      <c r="C42" s="1939" t="s">
        <v>70</v>
      </c>
      <c r="D42" s="184">
        <v>394</v>
      </c>
      <c r="E42" s="184" t="s">
        <v>99</v>
      </c>
      <c r="F42" s="184"/>
      <c r="G42" s="1756">
        <f>VLOOKUP($B42,'RATE BASE DATA'!$C:$J,7,FALSE)</f>
        <v>5395320.7355268495</v>
      </c>
      <c r="H42" s="1738">
        <f t="shared" si="0"/>
        <v>2374999.3823211547</v>
      </c>
      <c r="I42" s="1738">
        <f t="shared" si="1"/>
        <v>0</v>
      </c>
      <c r="J42" s="1739">
        <f t="shared" si="2"/>
        <v>3020321.3532056944</v>
      </c>
      <c r="K42" s="24"/>
      <c r="L42" s="1757"/>
      <c r="M42" s="1758"/>
      <c r="N42" s="1758"/>
      <c r="O42" s="11"/>
    </row>
    <row r="43" spans="1:20" ht="15" customHeight="1" x14ac:dyDescent="0.25">
      <c r="A43" s="1348"/>
      <c r="B43" s="46" t="s">
        <v>131</v>
      </c>
      <c r="C43" s="1939" t="s">
        <v>70</v>
      </c>
      <c r="D43" s="184">
        <v>395</v>
      </c>
      <c r="E43" s="184" t="s">
        <v>99</v>
      </c>
      <c r="F43" s="184"/>
      <c r="G43" s="1756">
        <f>VLOOKUP($B43,'RATE BASE DATA'!$C:$J,7,FALSE)</f>
        <v>2862240.1518794228</v>
      </c>
      <c r="H43" s="1738">
        <f t="shared" si="0"/>
        <v>1259947.0774752067</v>
      </c>
      <c r="I43" s="1738">
        <f t="shared" si="1"/>
        <v>0</v>
      </c>
      <c r="J43" s="1739">
        <f t="shared" si="2"/>
        <v>1602293.0744042157</v>
      </c>
      <c r="K43" s="24"/>
      <c r="L43" s="1757"/>
      <c r="M43" s="1758"/>
      <c r="N43" s="1758"/>
      <c r="O43" s="11"/>
    </row>
    <row r="44" spans="1:20" ht="15" customHeight="1" x14ac:dyDescent="0.25">
      <c r="A44" s="1348"/>
      <c r="B44" s="46" t="s">
        <v>132</v>
      </c>
      <c r="C44" s="1939" t="s">
        <v>70</v>
      </c>
      <c r="D44" s="184">
        <v>396</v>
      </c>
      <c r="E44" s="184" t="s">
        <v>109</v>
      </c>
      <c r="F44" s="184"/>
      <c r="G44" s="1756">
        <f>VLOOKUP($B44,'RATE BASE DATA'!$C:$J,7,FALSE)</f>
        <v>15137782.67118541</v>
      </c>
      <c r="H44" s="1738">
        <f t="shared" si="0"/>
        <v>0</v>
      </c>
      <c r="I44" s="1738">
        <f t="shared" si="1"/>
        <v>0</v>
      </c>
      <c r="J44" s="1739">
        <f t="shared" si="2"/>
        <v>15137782.67118541</v>
      </c>
      <c r="K44" s="24"/>
      <c r="L44" s="1757"/>
      <c r="M44" s="1758"/>
      <c r="N44" s="1758"/>
      <c r="O44" s="11"/>
    </row>
    <row r="45" spans="1:20" ht="15" customHeight="1" x14ac:dyDescent="0.25">
      <c r="A45" s="1348"/>
      <c r="B45" s="46" t="s">
        <v>133</v>
      </c>
      <c r="C45" s="1939" t="s">
        <v>70</v>
      </c>
      <c r="D45" s="184">
        <v>397</v>
      </c>
      <c r="E45" s="184" t="s">
        <v>99</v>
      </c>
      <c r="F45" s="184"/>
      <c r="G45" s="1756">
        <f>VLOOKUP($B45,'RATE BASE DATA'!$C:$J,7,FALSE)</f>
        <v>38375808.524920203</v>
      </c>
      <c r="H45" s="1738">
        <f t="shared" si="0"/>
        <v>16892882.927720957</v>
      </c>
      <c r="I45" s="1738">
        <f t="shared" si="1"/>
        <v>0</v>
      </c>
      <c r="J45" s="1739">
        <f t="shared" si="2"/>
        <v>21482925.597199243</v>
      </c>
      <c r="K45" s="24"/>
      <c r="L45" s="1757"/>
      <c r="M45" s="1758"/>
      <c r="N45" s="1758"/>
      <c r="O45" s="11"/>
    </row>
    <row r="46" spans="1:20" ht="15" customHeight="1" x14ac:dyDescent="0.25">
      <c r="A46" s="1348"/>
      <c r="B46" s="46" t="s">
        <v>134</v>
      </c>
      <c r="C46" s="1939" t="s">
        <v>70</v>
      </c>
      <c r="D46" s="184">
        <v>398</v>
      </c>
      <c r="E46" s="184" t="s">
        <v>99</v>
      </c>
      <c r="F46" s="184"/>
      <c r="G46" s="1756">
        <f>VLOOKUP($B46,'RATE BASE DATA'!$C:$J,7,FALSE)</f>
        <v>617567.60066355555</v>
      </c>
      <c r="H46" s="1738">
        <f t="shared" si="0"/>
        <v>271850.87634540367</v>
      </c>
      <c r="I46" s="1738">
        <f t="shared" si="1"/>
        <v>0</v>
      </c>
      <c r="J46" s="1739">
        <f t="shared" si="2"/>
        <v>345716.72431815183</v>
      </c>
      <c r="K46" s="24"/>
      <c r="L46" s="1757"/>
      <c r="M46" s="1758"/>
      <c r="N46" s="1758"/>
      <c r="O46" s="11"/>
    </row>
    <row r="47" spans="1:20" ht="15" customHeight="1" x14ac:dyDescent="0.25">
      <c r="A47" s="1348"/>
      <c r="B47" s="46" t="s">
        <v>256</v>
      </c>
      <c r="C47" s="1939" t="s">
        <v>70</v>
      </c>
      <c r="D47" s="184">
        <v>399</v>
      </c>
      <c r="E47" s="184" t="s">
        <v>90</v>
      </c>
      <c r="F47" s="184" t="s">
        <v>99</v>
      </c>
      <c r="G47" s="1756">
        <f>VLOOKUP($B47,'RATE BASE DATA'!$C:$J,7,FALSE)</f>
        <v>130175.36934897432</v>
      </c>
      <c r="H47" s="1738">
        <f>IF($E47="DIRECT",$L47,VLOOKUP($E47,Ratio,2,FALSE)*$G47)</f>
        <v>130175.36934897432</v>
      </c>
      <c r="I47" s="1738">
        <f>IF($E47="DIRECT",$M47,VLOOKUP($E47,Ratio,3,FALSE)*$G47)</f>
        <v>0</v>
      </c>
      <c r="J47" s="1739">
        <f>IF($E47="DIRECT",$N47,VLOOKUP($E47,Ratio,4,FALSE)*$G47)</f>
        <v>0</v>
      </c>
      <c r="K47" s="24"/>
      <c r="L47" s="1756">
        <f>VLOOKUP($B47,'RATE BASE DATA'!$C:$J,7,FALSE)</f>
        <v>130175.36934897432</v>
      </c>
      <c r="M47" s="1756">
        <v>0</v>
      </c>
      <c r="N47" s="1756">
        <v>0</v>
      </c>
      <c r="O47" s="11"/>
    </row>
    <row r="48" spans="1:20" ht="15" customHeight="1" x14ac:dyDescent="0.25">
      <c r="A48" s="1348"/>
      <c r="B48" s="46" t="s">
        <v>442</v>
      </c>
      <c r="C48" s="1939" t="s">
        <v>70</v>
      </c>
      <c r="D48" s="184">
        <v>399.1</v>
      </c>
      <c r="E48" s="184" t="s">
        <v>99</v>
      </c>
      <c r="F48" s="184"/>
      <c r="G48" s="1756">
        <f>VLOOKUP($B48,'RATE BASE DATA'!$C:$J,7,FALSE)</f>
        <v>2690.6124461906365</v>
      </c>
      <c r="H48" s="1738">
        <f>VLOOKUP($E48,Ratio,2,FALSE)*$G48</f>
        <v>1184.3972232624599</v>
      </c>
      <c r="I48" s="1738">
        <f>VLOOKUP($E48,Ratio,3,FALSE)*$G48</f>
        <v>0</v>
      </c>
      <c r="J48" s="1739">
        <f>VLOOKUP($E48,Ratio,4,FALSE)*$G48</f>
        <v>1506.2152229281764</v>
      </c>
      <c r="K48" s="24"/>
      <c r="L48" s="1762"/>
      <c r="M48" s="1762"/>
      <c r="N48" s="1762"/>
      <c r="O48" s="11"/>
    </row>
    <row r="49" spans="1:15" ht="8.1" customHeight="1" x14ac:dyDescent="0.25">
      <c r="A49" s="1353"/>
      <c r="B49" s="31"/>
      <c r="C49" s="34"/>
      <c r="D49" s="34"/>
      <c r="E49" s="34"/>
      <c r="F49" s="34"/>
      <c r="G49" s="379"/>
      <c r="H49" s="337"/>
      <c r="I49" s="337"/>
      <c r="J49" s="1354"/>
      <c r="K49" s="24"/>
      <c r="L49" s="1757"/>
      <c r="M49" s="1758"/>
      <c r="N49" s="1758"/>
      <c r="O49" s="11"/>
    </row>
    <row r="50" spans="1:15" ht="15" customHeight="1" thickBot="1" x14ac:dyDescent="0.3">
      <c r="A50" s="1355" t="s">
        <v>135</v>
      </c>
      <c r="B50" s="173"/>
      <c r="C50" s="1850"/>
      <c r="D50" s="1851"/>
      <c r="E50" s="1851"/>
      <c r="F50" s="1852"/>
      <c r="G50" s="1785">
        <f>SUM(G37:G49)</f>
        <v>109845171.90003847</v>
      </c>
      <c r="H50" s="1745">
        <f>SUM(H37:H49)</f>
        <v>36656082.540537596</v>
      </c>
      <c r="I50" s="1745">
        <f>SUM(I37:I49)</f>
        <v>0</v>
      </c>
      <c r="J50" s="1746">
        <f>SUM(J37:J49)</f>
        <v>73189089.35950084</v>
      </c>
      <c r="K50" s="24"/>
      <c r="L50" s="1757"/>
      <c r="M50" s="1758"/>
      <c r="N50" s="1758"/>
      <c r="O50" s="11"/>
    </row>
    <row r="51" spans="1:15" ht="8.1" customHeight="1" thickTop="1" x14ac:dyDescent="0.25">
      <c r="A51" s="1346"/>
      <c r="B51" s="32"/>
      <c r="C51" s="34"/>
      <c r="D51" s="34"/>
      <c r="E51" s="34"/>
      <c r="F51" s="34"/>
      <c r="G51" s="1784"/>
      <c r="H51" s="67"/>
      <c r="I51" s="67"/>
      <c r="J51" s="1352"/>
      <c r="K51" s="24"/>
      <c r="L51" s="1757"/>
      <c r="M51" s="1758"/>
      <c r="N51" s="1758"/>
      <c r="O51" s="11"/>
    </row>
    <row r="52" spans="1:15" ht="15" customHeight="1" x14ac:dyDescent="0.25">
      <c r="A52" s="1350" t="s">
        <v>136</v>
      </c>
      <c r="B52" s="32"/>
      <c r="C52" s="1853"/>
      <c r="D52" s="1847"/>
      <c r="E52" s="1847"/>
      <c r="F52" s="1848"/>
      <c r="G52" s="1781">
        <f>G19+G26+G30+G34+G50</f>
        <v>2532976199.9302211</v>
      </c>
      <c r="H52" s="495">
        <f>H19+H26+H30+H34+H50</f>
        <v>1133029563.9000096</v>
      </c>
      <c r="I52" s="495">
        <f>I19+I26+I30+I34+I50</f>
        <v>0</v>
      </c>
      <c r="J52" s="1365">
        <f>J19+J26+J30+J34+J50</f>
        <v>1399946636.0302119</v>
      </c>
      <c r="K52" s="24"/>
      <c r="L52" s="1763"/>
      <c r="M52" s="1758"/>
      <c r="N52" s="1758"/>
      <c r="O52" s="11"/>
    </row>
    <row r="53" spans="1:15" ht="15" customHeight="1" x14ac:dyDescent="0.25">
      <c r="A53" s="1356" t="s">
        <v>440</v>
      </c>
      <c r="B53" s="32"/>
      <c r="C53" s="34"/>
      <c r="D53" s="34"/>
      <c r="E53" s="46"/>
      <c r="F53" s="46"/>
      <c r="G53" s="1784"/>
      <c r="H53" s="67"/>
      <c r="I53" s="67"/>
      <c r="J53" s="1352"/>
      <c r="K53" s="24"/>
      <c r="L53" s="1757"/>
      <c r="M53" s="1758"/>
      <c r="N53" s="1758"/>
      <c r="O53" s="11"/>
    </row>
    <row r="54" spans="1:15" ht="15" customHeight="1" x14ac:dyDescent="0.25">
      <c r="A54" s="1357"/>
      <c r="B54" s="59"/>
      <c r="C54" s="34"/>
      <c r="D54" s="34"/>
      <c r="E54" s="34"/>
      <c r="F54" s="34"/>
      <c r="G54" s="1784"/>
      <c r="H54" s="67"/>
      <c r="I54" s="67"/>
      <c r="J54" s="1352"/>
      <c r="K54" s="24"/>
      <c r="L54" s="1757"/>
      <c r="M54" s="1758"/>
      <c r="N54" s="1758"/>
      <c r="O54" s="11"/>
    </row>
    <row r="55" spans="1:15" ht="15" customHeight="1" x14ac:dyDescent="0.25">
      <c r="A55" s="1341" t="s">
        <v>474</v>
      </c>
      <c r="B55" s="59"/>
      <c r="C55" s="34"/>
      <c r="D55" s="34"/>
      <c r="E55" s="34"/>
      <c r="F55" s="34"/>
      <c r="G55" s="377"/>
      <c r="H55" s="142"/>
      <c r="I55" s="142"/>
      <c r="J55" s="1347"/>
      <c r="K55" s="24"/>
      <c r="L55" s="1757"/>
      <c r="M55" s="1758"/>
      <c r="N55" s="1758"/>
      <c r="O55" s="11"/>
    </row>
    <row r="56" spans="1:15" ht="15" customHeight="1" x14ac:dyDescent="0.25">
      <c r="A56" s="1341" t="s">
        <v>210</v>
      </c>
      <c r="B56" s="59"/>
      <c r="C56" s="34"/>
      <c r="D56" s="34"/>
      <c r="E56" s="34"/>
      <c r="F56" s="34"/>
      <c r="G56" s="377"/>
      <c r="H56" s="142"/>
      <c r="I56" s="142"/>
      <c r="J56" s="1347"/>
      <c r="K56" s="24"/>
      <c r="L56" s="1757"/>
      <c r="M56" s="1758"/>
      <c r="N56" s="1758"/>
      <c r="O56" s="11"/>
    </row>
    <row r="57" spans="1:15" ht="15" customHeight="1" x14ac:dyDescent="0.25">
      <c r="A57" s="1348"/>
      <c r="B57" s="49" t="s">
        <v>88</v>
      </c>
      <c r="C57" s="184">
        <v>219</v>
      </c>
      <c r="D57" s="184">
        <v>108</v>
      </c>
      <c r="E57" s="184" t="s">
        <v>394</v>
      </c>
      <c r="F57" s="184"/>
      <c r="G57" s="1756">
        <f>VLOOKUP($B57,'RATE BASE DATA'!$C:$J,7,FALSE)</f>
        <v>367408072.40996188</v>
      </c>
      <c r="H57" s="1738">
        <f t="shared" ref="H57:H64" si="3">VLOOKUP($E57,Ratio,2,FALSE)*$G57</f>
        <v>367408072.40996188</v>
      </c>
      <c r="I57" s="1738">
        <f t="shared" ref="I57:I64" si="4">VLOOKUP($E57,Ratio,3,FALSE)*$G57</f>
        <v>0</v>
      </c>
      <c r="J57" s="1739">
        <f t="shared" ref="J57:J64" si="5">VLOOKUP($E57,Ratio,4,FALSE)*$G57</f>
        <v>0</v>
      </c>
      <c r="K57" s="24"/>
      <c r="L57" s="1757"/>
      <c r="M57" s="1758"/>
      <c r="N57" s="1758"/>
      <c r="O57" s="11"/>
    </row>
    <row r="58" spans="1:15" ht="15" customHeight="1" x14ac:dyDescent="0.25">
      <c r="A58" s="1348"/>
      <c r="B58" s="49" t="s">
        <v>89</v>
      </c>
      <c r="C58" s="184">
        <v>219</v>
      </c>
      <c r="D58" s="184">
        <v>108</v>
      </c>
      <c r="E58" s="184" t="s">
        <v>394</v>
      </c>
      <c r="F58" s="184"/>
      <c r="G58" s="1756">
        <f>VLOOKUP($B58,'RATE BASE DATA'!$C:$J,7,FALSE)</f>
        <v>0</v>
      </c>
      <c r="H58" s="1738">
        <f t="shared" si="3"/>
        <v>0</v>
      </c>
      <c r="I58" s="1738">
        <f t="shared" si="4"/>
        <v>0</v>
      </c>
      <c r="J58" s="1739">
        <f t="shared" si="5"/>
        <v>0</v>
      </c>
      <c r="K58" s="24"/>
      <c r="L58" s="1757"/>
      <c r="M58" s="1758"/>
      <c r="N58" s="1758"/>
      <c r="O58" s="11"/>
    </row>
    <row r="59" spans="1:15" ht="15" customHeight="1" x14ac:dyDescent="0.25">
      <c r="A59" s="1348"/>
      <c r="B59" s="49" t="s">
        <v>326</v>
      </c>
      <c r="C59" s="184">
        <v>219</v>
      </c>
      <c r="D59" s="184">
        <v>108</v>
      </c>
      <c r="E59" s="184" t="s">
        <v>394</v>
      </c>
      <c r="F59" s="184"/>
      <c r="G59" s="1756">
        <f>VLOOKUP($B59,'RATE BASE DATA'!$C:$J,7,FALSE)</f>
        <v>35559811.432303242</v>
      </c>
      <c r="H59" s="1738">
        <f t="shared" si="3"/>
        <v>35559811.432303242</v>
      </c>
      <c r="I59" s="1738">
        <f t="shared" si="4"/>
        <v>0</v>
      </c>
      <c r="J59" s="1739">
        <f t="shared" si="5"/>
        <v>0</v>
      </c>
      <c r="K59" s="24"/>
      <c r="L59" s="1757"/>
      <c r="M59" s="1758"/>
      <c r="N59" s="1758"/>
      <c r="O59" s="11"/>
    </row>
    <row r="60" spans="1:15" ht="15" customHeight="1" x14ac:dyDescent="0.25">
      <c r="A60" s="1348"/>
      <c r="B60" s="49" t="s">
        <v>137</v>
      </c>
      <c r="C60" s="184">
        <v>219</v>
      </c>
      <c r="D60" s="184">
        <v>108</v>
      </c>
      <c r="E60" s="184" t="s">
        <v>394</v>
      </c>
      <c r="F60" s="184"/>
      <c r="G60" s="1756">
        <f>VLOOKUP($B60,'RATE BASE DATA'!$C:$J,7,FALSE)</f>
        <v>58174998.600199252</v>
      </c>
      <c r="H60" s="1738">
        <f t="shared" si="3"/>
        <v>58174998.600199252</v>
      </c>
      <c r="I60" s="1738">
        <f t="shared" si="4"/>
        <v>0</v>
      </c>
      <c r="J60" s="1739">
        <f t="shared" si="5"/>
        <v>0</v>
      </c>
      <c r="K60" s="24"/>
      <c r="L60" s="1757"/>
      <c r="M60" s="1758"/>
      <c r="N60" s="1758"/>
      <c r="O60" s="11"/>
    </row>
    <row r="61" spans="1:15" ht="15" customHeight="1" x14ac:dyDescent="0.25">
      <c r="A61" s="1348"/>
      <c r="B61" s="49" t="s">
        <v>143</v>
      </c>
      <c r="C61" s="184">
        <v>219</v>
      </c>
      <c r="D61" s="184">
        <v>108</v>
      </c>
      <c r="E61" s="184" t="s">
        <v>393</v>
      </c>
      <c r="F61" s="184"/>
      <c r="G61" s="1756">
        <f>VLOOKUP($B61,'RATE BASE DATA'!$C:$J,7,FALSE)</f>
        <v>172073824.43925717</v>
      </c>
      <c r="H61" s="1738">
        <f t="shared" si="3"/>
        <v>0</v>
      </c>
      <c r="I61" s="1738">
        <f t="shared" si="4"/>
        <v>0</v>
      </c>
      <c r="J61" s="1739">
        <f t="shared" si="5"/>
        <v>172073824.43925717</v>
      </c>
      <c r="K61" s="24"/>
      <c r="L61" s="1757"/>
      <c r="M61" s="1758"/>
      <c r="N61" s="1758"/>
      <c r="O61" s="11"/>
    </row>
    <row r="62" spans="1:15" ht="15" customHeight="1" x14ac:dyDescent="0.25">
      <c r="A62" s="1348"/>
      <c r="B62" s="49" t="s">
        <v>470</v>
      </c>
      <c r="C62" s="184">
        <v>219</v>
      </c>
      <c r="D62" s="184">
        <v>108</v>
      </c>
      <c r="E62" s="184" t="s">
        <v>392</v>
      </c>
      <c r="F62" s="184"/>
      <c r="G62" s="1756">
        <f>VLOOKUP($B62,'RATE BASE DATA'!$C:$J,7,FALSE)</f>
        <v>298997444.42964077</v>
      </c>
      <c r="H62" s="1738">
        <f t="shared" si="3"/>
        <v>0</v>
      </c>
      <c r="I62" s="1738">
        <f t="shared" si="4"/>
        <v>0</v>
      </c>
      <c r="J62" s="1739">
        <f t="shared" si="5"/>
        <v>298997444.42964077</v>
      </c>
      <c r="K62" s="24"/>
      <c r="L62" s="1757"/>
      <c r="M62" s="1758"/>
      <c r="N62" s="1758"/>
      <c r="O62" s="11"/>
    </row>
    <row r="63" spans="1:15" ht="15" customHeight="1" x14ac:dyDescent="0.25">
      <c r="A63" s="1348"/>
      <c r="B63" s="49" t="s">
        <v>92</v>
      </c>
      <c r="C63" s="184">
        <v>219</v>
      </c>
      <c r="D63" s="184">
        <v>108</v>
      </c>
      <c r="E63" s="184" t="s">
        <v>91</v>
      </c>
      <c r="F63" s="184"/>
      <c r="G63" s="1756">
        <f>VLOOKUP($B63,'RATE BASE DATA'!$C:$J,7,FALSE)</f>
        <v>47499022.698955551</v>
      </c>
      <c r="H63" s="1738">
        <f t="shared" si="3"/>
        <v>15227632.315071661</v>
      </c>
      <c r="I63" s="1738">
        <f t="shared" si="4"/>
        <v>0</v>
      </c>
      <c r="J63" s="1739">
        <f t="shared" si="5"/>
        <v>32271390.383883893</v>
      </c>
      <c r="K63" s="24"/>
      <c r="L63" s="1757"/>
      <c r="M63" s="1758"/>
      <c r="N63" s="1758"/>
      <c r="O63" s="11"/>
    </row>
    <row r="64" spans="1:15" ht="15" customHeight="1" x14ac:dyDescent="0.25">
      <c r="A64" s="1348"/>
      <c r="B64" s="49" t="s">
        <v>370</v>
      </c>
      <c r="C64" s="184">
        <v>219</v>
      </c>
      <c r="D64" s="184">
        <v>111</v>
      </c>
      <c r="E64" s="184" t="s">
        <v>392</v>
      </c>
      <c r="F64" s="286" t="s">
        <v>97</v>
      </c>
      <c r="G64" s="1756">
        <f>VLOOKUP($B64,'RATE BASE DATA'!$C:$J,7,FALSE)</f>
        <v>0</v>
      </c>
      <c r="H64" s="1738">
        <f t="shared" si="3"/>
        <v>0</v>
      </c>
      <c r="I64" s="1738">
        <f t="shared" si="4"/>
        <v>0</v>
      </c>
      <c r="J64" s="1739">
        <f t="shared" si="5"/>
        <v>0</v>
      </c>
      <c r="K64" s="24"/>
      <c r="L64" s="1757"/>
      <c r="M64" s="1758"/>
      <c r="N64" s="1758"/>
      <c r="O64" s="11"/>
    </row>
    <row r="65" spans="1:15" ht="15" customHeight="1" x14ac:dyDescent="0.25">
      <c r="A65" s="1348"/>
      <c r="B65" s="49" t="s">
        <v>371</v>
      </c>
      <c r="C65" s="184">
        <v>219</v>
      </c>
      <c r="D65" s="184">
        <v>111</v>
      </c>
      <c r="E65" s="184" t="s">
        <v>90</v>
      </c>
      <c r="F65" s="286" t="s">
        <v>99</v>
      </c>
      <c r="G65" s="1756">
        <f>VLOOKUP($B65,'RATE BASE DATA'!$C:$J,7,FALSE)</f>
        <v>6457916.747994055</v>
      </c>
      <c r="H65" s="1738">
        <f>IF($E65="DIRECT",$L65,VLOOKUP($E65,Ratio,2,FALSE)*$G65)</f>
        <v>6457916.7479940541</v>
      </c>
      <c r="I65" s="1738">
        <f>IF($E65="DIRECT",$M65,VLOOKUP($E65,Ratio,3,FALSE)*$G65)</f>
        <v>0</v>
      </c>
      <c r="J65" s="1739">
        <f>IF($E65="DIRECT",$N65,VLOOKUP($E65,Ratio,4,FALSE)*$G65)</f>
        <v>0</v>
      </c>
      <c r="K65" s="24"/>
      <c r="L65" s="1756">
        <f>$G$65*H17/$G$17</f>
        <v>6457916.7479940541</v>
      </c>
      <c r="M65" s="1756">
        <v>0</v>
      </c>
      <c r="N65" s="1756">
        <v>0</v>
      </c>
      <c r="O65" s="11"/>
    </row>
    <row r="66" spans="1:15" ht="15" customHeight="1" x14ac:dyDescent="0.25">
      <c r="A66" s="1348"/>
      <c r="B66" s="49" t="s">
        <v>399</v>
      </c>
      <c r="C66" s="184">
        <v>219</v>
      </c>
      <c r="D66" s="184">
        <v>111</v>
      </c>
      <c r="E66" s="184" t="s">
        <v>90</v>
      </c>
      <c r="F66" s="286" t="s">
        <v>392</v>
      </c>
      <c r="G66" s="1756">
        <f>VLOOKUP($B66,'RATE BASE DATA'!$C:$J,7,FALSE)</f>
        <v>49105891.085773215</v>
      </c>
      <c r="H66" s="1738">
        <f>IF($E66="DIRECT",$L66,VLOOKUP($E66,Ratio,2,FALSE)*$G66)</f>
        <v>16302117.48927829</v>
      </c>
      <c r="I66" s="1738">
        <f>IF($E66="DIRECT",$M66,VLOOKUP($E66,Ratio,3,FALSE)*$G66)</f>
        <v>0</v>
      </c>
      <c r="J66" s="1739">
        <f>IF($E66="DIRECT",$N66,VLOOKUP($E66,Ratio,4,FALSE)*$G66)</f>
        <v>32803773.596494928</v>
      </c>
      <c r="K66" s="24"/>
      <c r="L66" s="1756">
        <f>$G$66*H18/$G$18</f>
        <v>16302117.48927829</v>
      </c>
      <c r="M66" s="1756">
        <f>$G$66*I18/$G$18</f>
        <v>0</v>
      </c>
      <c r="N66" s="1756">
        <f>$G$66*J18/$G$18</f>
        <v>32803773.596494928</v>
      </c>
      <c r="O66" s="11"/>
    </row>
    <row r="67" spans="1:15" ht="15" customHeight="1" x14ac:dyDescent="0.25">
      <c r="A67" s="1348"/>
      <c r="B67" s="49" t="s">
        <v>253</v>
      </c>
      <c r="C67" s="184">
        <v>219</v>
      </c>
      <c r="D67" s="184">
        <v>108</v>
      </c>
      <c r="E67" s="184" t="s">
        <v>394</v>
      </c>
      <c r="F67" s="184"/>
      <c r="G67" s="1756">
        <f>VLOOKUP($B67,'RATE BASE DATA'!$C:$J,7,FALSE)</f>
        <v>0</v>
      </c>
      <c r="H67" s="1738">
        <f>VLOOKUP($E67,Ratio,2,FALSE)*$G67</f>
        <v>0</v>
      </c>
      <c r="I67" s="1738">
        <f>VLOOKUP($E67,Ratio,3,FALSE)*$G67</f>
        <v>0</v>
      </c>
      <c r="J67" s="1739">
        <f>VLOOKUP($E67,Ratio,4,FALSE)*$G67</f>
        <v>0</v>
      </c>
      <c r="K67" s="24"/>
      <c r="L67" s="1757"/>
      <c r="M67" s="1758"/>
      <c r="N67" s="1758"/>
      <c r="O67" s="11"/>
    </row>
    <row r="68" spans="1:15" ht="15" customHeight="1" x14ac:dyDescent="0.25">
      <c r="A68" s="1348"/>
      <c r="B68" s="49" t="s">
        <v>28</v>
      </c>
      <c r="C68" s="184">
        <v>219</v>
      </c>
      <c r="D68" s="184">
        <v>111</v>
      </c>
      <c r="E68" s="184" t="s">
        <v>392</v>
      </c>
      <c r="F68" s="184"/>
      <c r="G68" s="1756">
        <f>VLOOKUP($B68,'RATE BASE DATA'!$C:$J,7,FALSE)</f>
        <v>0</v>
      </c>
      <c r="H68" s="1738">
        <f>VLOOKUP($E68,Ratio,2,FALSE)*$G68</f>
        <v>0</v>
      </c>
      <c r="I68" s="1738">
        <f>VLOOKUP($E68,Ratio,3,FALSE)*$G68</f>
        <v>0</v>
      </c>
      <c r="J68" s="1739">
        <f>VLOOKUP($E68,Ratio,4,FALSE)*$G68</f>
        <v>0</v>
      </c>
      <c r="K68" s="24"/>
      <c r="L68" s="1757"/>
      <c r="M68" s="1758"/>
      <c r="N68" s="1758"/>
      <c r="O68" s="11"/>
    </row>
    <row r="69" spans="1:15" ht="15" customHeight="1" x14ac:dyDescent="0.25">
      <c r="A69" s="1348"/>
      <c r="B69" s="49" t="s">
        <v>29</v>
      </c>
      <c r="C69" s="184">
        <v>219</v>
      </c>
      <c r="D69" s="184">
        <v>108</v>
      </c>
      <c r="E69" s="184" t="s">
        <v>90</v>
      </c>
      <c r="F69" s="286" t="s">
        <v>99</v>
      </c>
      <c r="G69" s="1756">
        <f>VLOOKUP($B69,'RATE BASE DATA'!$C:$J,7,FALSE)</f>
        <v>0</v>
      </c>
      <c r="H69" s="1738">
        <f>IF($E69="DIRECT",$L69,VLOOKUP($E69,Ratio,2,FALSE)*$G69)</f>
        <v>0</v>
      </c>
      <c r="I69" s="1738">
        <f>IF($E69="DIRECT",$M69,VLOOKUP($E69,Ratio,3,FALSE)*$G69)</f>
        <v>0</v>
      </c>
      <c r="J69" s="1739">
        <f>IF($E69="DIRECT",$N69,VLOOKUP($E69,Ratio,4,FALSE)*$G69)</f>
        <v>0</v>
      </c>
      <c r="K69" s="24"/>
      <c r="L69" s="1756"/>
      <c r="M69" s="1756"/>
      <c r="N69" s="1756"/>
      <c r="O69" s="11"/>
    </row>
    <row r="70" spans="1:15" ht="15" customHeight="1" x14ac:dyDescent="0.25">
      <c r="A70" s="1348"/>
      <c r="B70" s="49" t="s">
        <v>162</v>
      </c>
      <c r="C70" s="184" t="s">
        <v>69</v>
      </c>
      <c r="D70" s="184">
        <v>108</v>
      </c>
      <c r="E70" s="184" t="s">
        <v>90</v>
      </c>
      <c r="F70" s="184" t="s">
        <v>392</v>
      </c>
      <c r="G70" s="1756">
        <f>VLOOKUP($B70,'RATE BASE DATA'!$C:$J,7,FALSE)</f>
        <v>0</v>
      </c>
      <c r="H70" s="1738">
        <f>IF($E70="DIRECT",$L70,VLOOKUP($E70,Ratio,2,FALSE)*$G70)</f>
        <v>0</v>
      </c>
      <c r="I70" s="1738">
        <f>IF($E70="DIRECT",$M70,VLOOKUP($E70,Ratio,3,FALSE)*$G70)</f>
        <v>0</v>
      </c>
      <c r="J70" s="1739">
        <f>IF($E70="DIRECT",$N70,VLOOKUP($E70,Ratio,4,FALSE)*$G70)</f>
        <v>0</v>
      </c>
      <c r="K70" s="24"/>
      <c r="L70" s="1756"/>
      <c r="M70" s="1756"/>
      <c r="N70" s="1756"/>
      <c r="O70" s="11"/>
    </row>
    <row r="71" spans="1:15" ht="15" customHeight="1" x14ac:dyDescent="0.25">
      <c r="A71" s="1348"/>
      <c r="B71" s="49" t="s">
        <v>400</v>
      </c>
      <c r="C71" s="184" t="s">
        <v>69</v>
      </c>
      <c r="D71" s="184">
        <v>108</v>
      </c>
      <c r="E71" s="184" t="s">
        <v>90</v>
      </c>
      <c r="F71" s="286" t="s">
        <v>99</v>
      </c>
      <c r="G71" s="1756">
        <f>VLOOKUP($B71,'RATE BASE DATA'!$C:$J,7,FALSE)</f>
        <v>0</v>
      </c>
      <c r="H71" s="1738">
        <f>IF($E71="DIRECT",$L71,VLOOKUP($E71,Ratio,2,FALSE)*$G71)</f>
        <v>0</v>
      </c>
      <c r="I71" s="1738">
        <f>IF($E71="DIRECT",$M71,VLOOKUP($E71,Ratio,3,FALSE)*$G71)</f>
        <v>0</v>
      </c>
      <c r="J71" s="1739">
        <f>IF($E71="DIRECT",$N71,VLOOKUP($E71,Ratio,4,FALSE)*$G71)</f>
        <v>0</v>
      </c>
      <c r="K71" s="24"/>
      <c r="L71" s="1756"/>
      <c r="M71" s="1756"/>
      <c r="N71" s="1756"/>
      <c r="O71" s="11"/>
    </row>
    <row r="72" spans="1:15" ht="15" customHeight="1" x14ac:dyDescent="0.25">
      <c r="A72" s="1348"/>
      <c r="B72" s="49" t="s">
        <v>401</v>
      </c>
      <c r="C72" s="184" t="s">
        <v>69</v>
      </c>
      <c r="D72" s="184">
        <v>108</v>
      </c>
      <c r="E72" s="184" t="s">
        <v>90</v>
      </c>
      <c r="F72" s="184" t="s">
        <v>392</v>
      </c>
      <c r="G72" s="1756">
        <f>VLOOKUP($B72,'RATE BASE DATA'!$C:$J,7,FALSE)</f>
        <v>1340511.8991872552</v>
      </c>
      <c r="H72" s="1738">
        <f>IF($E72="DIRECT",$L72,VLOOKUP($E72,Ratio,2,FALSE)*$G72)</f>
        <v>588258.21295837406</v>
      </c>
      <c r="I72" s="1738">
        <f>IF($E72="DIRECT",$M72,VLOOKUP($E72,Ratio,3,FALSE)*$G72)</f>
        <v>0</v>
      </c>
      <c r="J72" s="1739">
        <f>IF($E72="DIRECT",$N72,VLOOKUP($E72,Ratio,4,FALSE)*$G72)</f>
        <v>752253.68622888112</v>
      </c>
      <c r="K72" s="24"/>
      <c r="L72" s="1756">
        <f>$G$72*H19/$G$19</f>
        <v>588258.21295837406</v>
      </c>
      <c r="M72" s="1756">
        <f t="shared" ref="M72:N72" si="6">$G$72*I19/$G$19</f>
        <v>0</v>
      </c>
      <c r="N72" s="1756">
        <f t="shared" si="6"/>
        <v>752253.68622888112</v>
      </c>
      <c r="O72" s="11"/>
    </row>
    <row r="73" spans="1:15" ht="15" customHeight="1" x14ac:dyDescent="0.25">
      <c r="A73" s="1348"/>
      <c r="B73" s="49" t="s">
        <v>547</v>
      </c>
      <c r="C73" s="184" t="s">
        <v>69</v>
      </c>
      <c r="D73" s="184">
        <v>115</v>
      </c>
      <c r="E73" s="184" t="s">
        <v>90</v>
      </c>
      <c r="F73" s="184" t="s">
        <v>392</v>
      </c>
      <c r="G73" s="1756">
        <f>VLOOKUP($B73,'RATE BASE DATA'!$C:$J,7,FALSE)</f>
        <v>10821329.246312005</v>
      </c>
      <c r="H73" s="1738">
        <f>IF($E73="DIRECT",$L73,VLOOKUP($E73,Ratio,2,FALSE)*$G73)</f>
        <v>10821329</v>
      </c>
      <c r="I73" s="1738">
        <f>IF($E73="DIRECT",$M73,VLOOKUP($E73,Ratio,3,FALSE)*$G73)</f>
        <v>0</v>
      </c>
      <c r="J73" s="1739">
        <f>IF($E73="DIRECT",$N73,VLOOKUP($E73,Ratio,4,FALSE)*$G73)</f>
        <v>0</v>
      </c>
      <c r="K73" s="24"/>
      <c r="L73" s="1756">
        <f>ROUND((-'B15-Misc Rate Base'!T239*1000),0)</f>
        <v>10821329</v>
      </c>
      <c r="M73" s="1756">
        <f>-'B15-Misc Rate Base'!U239*1000</f>
        <v>0</v>
      </c>
      <c r="N73" s="1756">
        <f>-'B15-Misc Rate Base'!V239*1000</f>
        <v>0</v>
      </c>
      <c r="O73" s="11"/>
    </row>
    <row r="74" spans="1:15" ht="15" customHeight="1" x14ac:dyDescent="0.25">
      <c r="A74" s="1348"/>
      <c r="B74" s="49"/>
      <c r="C74" s="48"/>
      <c r="D74" s="48"/>
      <c r="E74" s="48"/>
      <c r="F74" s="48"/>
      <c r="G74" s="379"/>
      <c r="H74" s="337"/>
      <c r="I74" s="337"/>
      <c r="J74" s="1354"/>
      <c r="K74" s="24"/>
      <c r="L74" s="1757"/>
      <c r="M74" s="1758"/>
      <c r="N74" s="1758"/>
      <c r="O74" s="11"/>
    </row>
    <row r="75" spans="1:15" ht="15" customHeight="1" x14ac:dyDescent="0.25">
      <c r="A75" s="1341" t="s">
        <v>211</v>
      </c>
      <c r="B75" s="49"/>
      <c r="C75" s="184"/>
      <c r="D75" s="184"/>
      <c r="E75" s="184" t="s">
        <v>90</v>
      </c>
      <c r="F75" s="184"/>
      <c r="G75" s="1756">
        <v>0</v>
      </c>
      <c r="H75" s="1738">
        <f>IF($E75="DIRECT",$L75,VLOOKUP($E75,Ratio,2,FALSE)*$G75)</f>
        <v>0</v>
      </c>
      <c r="I75" s="1738">
        <f>IF($E75="DIRECT",$M75,VLOOKUP($E75,Ratio,3,FALSE)*$G75)</f>
        <v>0</v>
      </c>
      <c r="J75" s="1739">
        <f>IF($E75="DIRECT",$N75,VLOOKUP($E75,Ratio,4,FALSE)*$G75)</f>
        <v>0</v>
      </c>
      <c r="K75" s="24"/>
      <c r="L75" s="1756"/>
      <c r="M75" s="1756"/>
      <c r="N75" s="1756"/>
      <c r="O75" s="11"/>
    </row>
    <row r="76" spans="1:15" ht="15" customHeight="1" x14ac:dyDescent="0.25">
      <c r="A76" s="1358"/>
      <c r="B76" s="49"/>
      <c r="C76" s="48"/>
      <c r="D76" s="48"/>
      <c r="E76" s="48"/>
      <c r="F76" s="48"/>
      <c r="G76" s="377"/>
      <c r="H76" s="337"/>
      <c r="I76" s="337"/>
      <c r="J76" s="1354"/>
      <c r="K76" s="24"/>
      <c r="L76" s="1757"/>
      <c r="M76" s="1758"/>
      <c r="N76" s="1758"/>
      <c r="O76" s="11"/>
    </row>
    <row r="77" spans="1:15" ht="15" customHeight="1" x14ac:dyDescent="0.25">
      <c r="A77" s="1350" t="s">
        <v>223</v>
      </c>
      <c r="B77" s="33"/>
      <c r="C77" s="1853"/>
      <c r="D77" s="1847"/>
      <c r="E77" s="1847"/>
      <c r="F77" s="1848"/>
      <c r="G77" s="1781">
        <f>SUM(G57:G75)</f>
        <v>1047438822.9895843</v>
      </c>
      <c r="H77" s="495">
        <f>SUM(H57:H75)</f>
        <v>510540136.20776677</v>
      </c>
      <c r="I77" s="495">
        <f>SUM(I57:I75)</f>
        <v>0</v>
      </c>
      <c r="J77" s="1365">
        <f>SUM(J57:J75)</f>
        <v>536898686.53550565</v>
      </c>
      <c r="K77" s="24"/>
      <c r="L77" s="1757"/>
      <c r="M77" s="1758"/>
      <c r="N77" s="1758"/>
      <c r="O77" s="11"/>
    </row>
    <row r="78" spans="1:15" ht="15" customHeight="1" x14ac:dyDescent="0.25">
      <c r="A78" s="1358"/>
      <c r="B78" s="60"/>
      <c r="C78" s="48"/>
      <c r="D78" s="48"/>
      <c r="E78" s="48"/>
      <c r="F78" s="48"/>
      <c r="G78" s="377"/>
      <c r="H78" s="142"/>
      <c r="I78" s="142"/>
      <c r="J78" s="1347"/>
      <c r="K78" s="24"/>
      <c r="L78" s="1757"/>
      <c r="M78" s="1758"/>
      <c r="N78" s="1758"/>
      <c r="O78" s="11"/>
    </row>
    <row r="79" spans="1:15" ht="15" customHeight="1" x14ac:dyDescent="0.25">
      <c r="A79" s="1350" t="s">
        <v>475</v>
      </c>
      <c r="B79" s="32"/>
      <c r="C79" s="1853"/>
      <c r="D79" s="1847"/>
      <c r="E79" s="1847"/>
      <c r="F79" s="1848"/>
      <c r="G79" s="1781">
        <f>G52-G77</f>
        <v>1485537376.9406366</v>
      </c>
      <c r="H79" s="495">
        <f>H52-H77</f>
        <v>622489427.69224286</v>
      </c>
      <c r="I79" s="495">
        <f>I52-I77</f>
        <v>0</v>
      </c>
      <c r="J79" s="1365">
        <f>J52-J77</f>
        <v>863047949.49470627</v>
      </c>
      <c r="K79" s="24"/>
      <c r="L79" s="1757"/>
      <c r="M79" s="1758"/>
      <c r="N79" s="1758"/>
      <c r="O79" s="11"/>
    </row>
    <row r="80" spans="1:15" ht="15" customHeight="1" x14ac:dyDescent="0.25">
      <c r="A80" s="1356" t="s">
        <v>84</v>
      </c>
      <c r="B80" s="32"/>
      <c r="C80" s="34"/>
      <c r="D80" s="34"/>
      <c r="E80" s="1854"/>
      <c r="F80" s="1854"/>
      <c r="G80" s="377"/>
      <c r="H80" s="142"/>
      <c r="I80" s="142"/>
      <c r="J80" s="1352"/>
      <c r="K80" s="24"/>
      <c r="L80" s="1757"/>
      <c r="M80" s="1758"/>
      <c r="N80" s="1758"/>
      <c r="O80" s="11"/>
    </row>
    <row r="81" spans="1:15" ht="15" customHeight="1" thickBot="1" x14ac:dyDescent="0.3">
      <c r="A81" s="1359"/>
      <c r="B81" s="173"/>
      <c r="C81" s="193"/>
      <c r="D81" s="193"/>
      <c r="E81" s="1855"/>
      <c r="F81" s="1855"/>
      <c r="G81" s="1786"/>
      <c r="H81" s="380"/>
      <c r="I81" s="380"/>
      <c r="J81" s="1360"/>
      <c r="K81" s="24"/>
      <c r="L81" s="1757"/>
      <c r="M81" s="1758"/>
      <c r="N81" s="1758"/>
      <c r="O81" s="11"/>
    </row>
    <row r="82" spans="1:15" ht="15" customHeight="1" thickTop="1" x14ac:dyDescent="0.25">
      <c r="A82" s="1361" t="s">
        <v>76</v>
      </c>
      <c r="B82" s="32"/>
      <c r="C82" s="34"/>
      <c r="D82" s="34"/>
      <c r="E82" s="1854"/>
      <c r="F82" s="1854"/>
      <c r="G82" s="377"/>
      <c r="H82" s="142"/>
      <c r="I82" s="142"/>
      <c r="J82" s="1352"/>
      <c r="K82" s="24"/>
      <c r="L82" s="1757"/>
      <c r="M82" s="1758"/>
      <c r="N82" s="1758"/>
      <c r="O82" s="11"/>
    </row>
    <row r="83" spans="1:15" ht="9.9499999999999993" customHeight="1" x14ac:dyDescent="0.25">
      <c r="A83" s="1362"/>
      <c r="B83" s="32"/>
      <c r="C83" s="34"/>
      <c r="D83" s="34"/>
      <c r="E83" s="1854"/>
      <c r="F83" s="1854"/>
      <c r="G83" s="377"/>
      <c r="H83" s="142"/>
      <c r="I83" s="142"/>
      <c r="J83" s="1352"/>
      <c r="K83" s="24"/>
      <c r="L83" s="1757"/>
      <c r="M83" s="1758"/>
      <c r="N83" s="1758"/>
      <c r="O83" s="11"/>
    </row>
    <row r="84" spans="1:15" ht="15" customHeight="1" x14ac:dyDescent="0.25">
      <c r="A84" s="1363" t="s">
        <v>144</v>
      </c>
      <c r="B84" s="77"/>
      <c r="C84" s="3623" t="s">
        <v>229</v>
      </c>
      <c r="D84" s="3624"/>
      <c r="E84" s="3624"/>
      <c r="F84" s="3625"/>
      <c r="G84" s="1787">
        <f>'Sch 1A - Cash Working Capital'!C24</f>
        <v>181575345.50577956</v>
      </c>
      <c r="H84" s="1747">
        <f>'Sch 1A - Cash Working Capital'!D24</f>
        <v>87836042.04533717</v>
      </c>
      <c r="I84" s="1748">
        <f>'Sch 1A - Cash Working Capital'!E24</f>
        <v>0</v>
      </c>
      <c r="J84" s="1749">
        <f>'Sch 1A - Cash Working Capital'!F24</f>
        <v>93738919.557447508</v>
      </c>
      <c r="K84" s="24"/>
      <c r="L84" s="1757"/>
      <c r="M84" s="1758"/>
      <c r="N84" s="1758"/>
      <c r="O84" s="11"/>
    </row>
    <row r="85" spans="1:15" ht="9.9499999999999993" customHeight="1" x14ac:dyDescent="0.25">
      <c r="A85" s="1348"/>
      <c r="B85" s="46"/>
      <c r="C85" s="48"/>
      <c r="D85" s="48"/>
      <c r="E85" s="48"/>
      <c r="F85" s="48"/>
      <c r="G85" s="378"/>
      <c r="H85" s="1750"/>
      <c r="I85" s="1750"/>
      <c r="J85" s="1751"/>
      <c r="K85" s="24"/>
      <c r="L85" s="1757"/>
      <c r="M85" s="1758"/>
      <c r="N85" s="1758"/>
      <c r="O85" s="11"/>
    </row>
    <row r="86" spans="1:15" ht="15" customHeight="1" x14ac:dyDescent="0.25">
      <c r="A86" s="1364" t="s">
        <v>274</v>
      </c>
      <c r="B86" s="79"/>
      <c r="C86" s="80"/>
      <c r="D86" s="48"/>
      <c r="E86" s="48"/>
      <c r="F86" s="48"/>
      <c r="G86" s="379"/>
      <c r="H86" s="337"/>
      <c r="I86" s="337"/>
      <c r="J86" s="1354"/>
      <c r="K86" s="25"/>
      <c r="L86" s="1757"/>
      <c r="M86" s="1758"/>
      <c r="N86" s="1758"/>
      <c r="O86" s="11"/>
    </row>
    <row r="87" spans="1:15" ht="15" customHeight="1" x14ac:dyDescent="0.25">
      <c r="A87" s="1348"/>
      <c r="B87" s="46" t="s">
        <v>433</v>
      </c>
      <c r="C87" s="184" t="s">
        <v>69</v>
      </c>
      <c r="D87" s="184">
        <v>105</v>
      </c>
      <c r="E87" s="184" t="s">
        <v>392</v>
      </c>
      <c r="F87" s="184"/>
      <c r="G87" s="1756">
        <f>VLOOKUP($B87,'RATE BASE DATA'!$C:$J,7,FALSE)</f>
        <v>160901.26613714301</v>
      </c>
      <c r="H87" s="1738">
        <f>VLOOKUP($E87,Ratio,2,FALSE)*$G87</f>
        <v>0</v>
      </c>
      <c r="I87" s="1738">
        <f>VLOOKUP($E87,Ratio,3,FALSE)*$G87</f>
        <v>0</v>
      </c>
      <c r="J87" s="1739">
        <f>VLOOKUP($E87,Ratio,4,FALSE)*$G87</f>
        <v>160901.26613714301</v>
      </c>
      <c r="K87" s="25"/>
      <c r="L87" s="1757"/>
      <c r="M87" s="1758"/>
      <c r="N87" s="1758"/>
      <c r="O87" s="11"/>
    </row>
    <row r="88" spans="1:15" ht="15" customHeight="1" x14ac:dyDescent="0.25">
      <c r="A88" s="1348"/>
      <c r="B88" s="46" t="s">
        <v>77</v>
      </c>
      <c r="C88" s="184" t="s">
        <v>69</v>
      </c>
      <c r="D88" s="184">
        <v>106</v>
      </c>
      <c r="E88" s="300" t="s">
        <v>99</v>
      </c>
      <c r="F88" s="184"/>
      <c r="G88" s="1756">
        <f>VLOOKUP($B88,'RATE BASE DATA'!$C:$J,7,FALSE)</f>
        <v>40880530.814429522</v>
      </c>
      <c r="H88" s="1738">
        <f>VLOOKUP($E88,Ratio,2,FALSE)*$G88</f>
        <v>17995452.020842679</v>
      </c>
      <c r="I88" s="1738">
        <f>VLOOKUP($E88,Ratio,3,FALSE)*$G88</f>
        <v>0</v>
      </c>
      <c r="J88" s="1739">
        <f>VLOOKUP($E88,Ratio,4,FALSE)*$G88</f>
        <v>22885078.793586839</v>
      </c>
      <c r="K88" s="25"/>
      <c r="L88" s="1757"/>
      <c r="M88" s="1758"/>
      <c r="N88" s="1758"/>
      <c r="O88" s="11"/>
    </row>
    <row r="89" spans="1:15" ht="15" customHeight="1" x14ac:dyDescent="0.25">
      <c r="A89" s="1348"/>
      <c r="B89" s="33" t="s">
        <v>476</v>
      </c>
      <c r="C89" s="184" t="s">
        <v>72</v>
      </c>
      <c r="D89" s="184" t="s">
        <v>257</v>
      </c>
      <c r="E89" s="184" t="s">
        <v>394</v>
      </c>
      <c r="F89" s="184"/>
      <c r="G89" s="1756">
        <f>VLOOKUP($B89,'RATE BASE DATA'!$C:$J,7,FALSE)</f>
        <v>0</v>
      </c>
      <c r="H89" s="1738">
        <f>VLOOKUP($E89,Ratio,2,FALSE)*$G89</f>
        <v>0</v>
      </c>
      <c r="I89" s="1738">
        <f>VLOOKUP($E89,Ratio,3,FALSE)*$G89</f>
        <v>0</v>
      </c>
      <c r="J89" s="1739">
        <f>VLOOKUP($E89,Ratio,4,FALSE)*$G89</f>
        <v>0</v>
      </c>
      <c r="K89" s="24"/>
      <c r="L89" s="1757"/>
      <c r="M89" s="1758"/>
      <c r="N89" s="1758"/>
      <c r="O89" s="11"/>
    </row>
    <row r="90" spans="1:15" ht="15" customHeight="1" x14ac:dyDescent="0.25">
      <c r="A90" s="1348"/>
      <c r="B90" s="46" t="s">
        <v>80</v>
      </c>
      <c r="C90" s="184" t="s">
        <v>69</v>
      </c>
      <c r="D90" s="184" t="s">
        <v>258</v>
      </c>
      <c r="E90" s="184" t="s">
        <v>392</v>
      </c>
      <c r="F90" s="184"/>
      <c r="G90" s="1756">
        <f>VLOOKUP($B90,'RATE BASE DATA'!$C:$J,7,FALSE)</f>
        <v>359553540.52491409</v>
      </c>
      <c r="H90" s="1738">
        <f>VLOOKUP($E90,Ratio,2,FALSE)*$G90</f>
        <v>0</v>
      </c>
      <c r="I90" s="1738">
        <f>VLOOKUP($E90,Ratio,3,FALSE)*$G90</f>
        <v>0</v>
      </c>
      <c r="J90" s="1739">
        <f>VLOOKUP($E90,Ratio,4,FALSE)*$G90</f>
        <v>359553540.52491409</v>
      </c>
      <c r="K90" s="25"/>
      <c r="L90" s="1757"/>
      <c r="M90" s="1758"/>
      <c r="N90" s="1758"/>
      <c r="O90" s="11"/>
    </row>
    <row r="91" spans="1:15" ht="15" customHeight="1" x14ac:dyDescent="0.25">
      <c r="A91" s="1348"/>
      <c r="B91" s="46" t="s">
        <v>224</v>
      </c>
      <c r="C91" s="184">
        <v>356</v>
      </c>
      <c r="D91" s="184"/>
      <c r="E91" s="184" t="s">
        <v>90</v>
      </c>
      <c r="F91" s="184"/>
      <c r="G91" s="1756">
        <f>VLOOKUP($B91,'RATE BASE DATA'!$C:$J,7,FALSE)</f>
        <v>0</v>
      </c>
      <c r="H91" s="1738">
        <f>IF($E91="DIRECT",$L91,VLOOKUP($E91,Ratio,2,FALSE)*$G91)</f>
        <v>0</v>
      </c>
      <c r="I91" s="1738">
        <f>IF($E91="DIRECT",$M91,VLOOKUP($E91,Ratio,3,FALSE)*$G91)</f>
        <v>0</v>
      </c>
      <c r="J91" s="1739">
        <f>IF($E91="DIRECT",$N91,VLOOKUP($E91,Ratio,4,FALSE)*$G91)</f>
        <v>0</v>
      </c>
      <c r="K91" s="25"/>
      <c r="L91" s="1756"/>
      <c r="M91" s="1756"/>
      <c r="N91" s="1756"/>
      <c r="O91" s="11"/>
    </row>
    <row r="92" spans="1:15" ht="15" customHeight="1" x14ac:dyDescent="0.25">
      <c r="A92" s="1348"/>
      <c r="B92" s="46" t="s">
        <v>71</v>
      </c>
      <c r="C92" s="184" t="s">
        <v>69</v>
      </c>
      <c r="D92" s="184">
        <v>114</v>
      </c>
      <c r="E92" s="184" t="s">
        <v>90</v>
      </c>
      <c r="F92" s="184" t="s">
        <v>392</v>
      </c>
      <c r="G92" s="1756">
        <f>VLOOKUP($B92,'RATE BASE DATA'!$C:$J,7,FALSE)</f>
        <v>11023472.163004145</v>
      </c>
      <c r="H92" s="1738">
        <f>IF($E92="DIRECT",$L92,VLOOKUP($E92,Ratio,2,FALSE)*$G92)</f>
        <v>11023472</v>
      </c>
      <c r="I92" s="1738">
        <f>IF($E92="DIRECT",$M92,VLOOKUP($E92,Ratio,3,FALSE)*$G92)</f>
        <v>0</v>
      </c>
      <c r="J92" s="1739">
        <f>IF($E92="DIRECT",$N92,VLOOKUP($E92,Ratio,4,FALSE)*$G92)</f>
        <v>0</v>
      </c>
      <c r="K92" s="25"/>
      <c r="L92" s="1756">
        <f>ROUND(('B15-Misc Rate Base'!T232*1000),0)</f>
        <v>11023472</v>
      </c>
      <c r="M92" s="1756">
        <f>'B15-Misc Rate Base'!U232*1000</f>
        <v>0</v>
      </c>
      <c r="N92" s="1756">
        <f>'B15-Misc Rate Base'!V232*1000</f>
        <v>0</v>
      </c>
      <c r="O92" s="11"/>
    </row>
    <row r="93" spans="1:15" ht="15" customHeight="1" x14ac:dyDescent="0.25">
      <c r="A93" s="1348"/>
      <c r="B93" s="76" t="s">
        <v>104</v>
      </c>
      <c r="C93" s="1853"/>
      <c r="D93" s="1847"/>
      <c r="E93" s="1847"/>
      <c r="F93" s="1848"/>
      <c r="G93" s="1781">
        <f>SUM(G87:G92)</f>
        <v>411618444.76848489</v>
      </c>
      <c r="H93" s="495">
        <f>SUM(H87:H92)</f>
        <v>29018924.020842679</v>
      </c>
      <c r="I93" s="495">
        <f>SUM(I87:I92)</f>
        <v>0</v>
      </c>
      <c r="J93" s="1365">
        <f>SUM(J87:J92)</f>
        <v>382599520.58463806</v>
      </c>
      <c r="K93" s="25"/>
      <c r="L93" s="1757"/>
      <c r="M93" s="1758"/>
      <c r="N93" s="1758"/>
      <c r="O93" s="11"/>
    </row>
    <row r="94" spans="1:15" ht="9.9499999999999993" customHeight="1" x14ac:dyDescent="0.25">
      <c r="A94" s="1348"/>
      <c r="B94" s="76"/>
      <c r="C94" s="74"/>
      <c r="D94" s="74"/>
      <c r="E94" s="74"/>
      <c r="F94" s="74"/>
      <c r="G94" s="928"/>
      <c r="H94" s="334"/>
      <c r="I94" s="334"/>
      <c r="J94" s="1366"/>
      <c r="K94" s="25"/>
      <c r="L94" s="1757"/>
      <c r="M94" s="1758"/>
      <c r="N94" s="1758"/>
      <c r="O94" s="11"/>
    </row>
    <row r="95" spans="1:15" ht="15" customHeight="1" x14ac:dyDescent="0.25">
      <c r="A95" s="1367" t="s">
        <v>275</v>
      </c>
      <c r="B95" s="79"/>
      <c r="C95" s="80"/>
      <c r="D95" s="48"/>
      <c r="E95" s="48"/>
      <c r="F95" s="48"/>
      <c r="G95" s="335"/>
      <c r="H95" s="1752"/>
      <c r="I95" s="1752"/>
      <c r="J95" s="1753"/>
      <c r="K95" s="25"/>
      <c r="L95" s="1757"/>
      <c r="M95" s="1758"/>
      <c r="N95" s="1758"/>
      <c r="O95" s="11"/>
    </row>
    <row r="96" spans="1:15" ht="15" customHeight="1" x14ac:dyDescent="0.25">
      <c r="A96" s="1348"/>
      <c r="B96" s="49" t="s">
        <v>444</v>
      </c>
      <c r="C96" s="184" t="s">
        <v>78</v>
      </c>
      <c r="D96" s="184">
        <v>123</v>
      </c>
      <c r="E96" s="184" t="s">
        <v>90</v>
      </c>
      <c r="F96" s="184" t="s">
        <v>392</v>
      </c>
      <c r="G96" s="1756">
        <f>VLOOKUP($B96,'RATE BASE DATA'!$C:$J,7,FALSE)</f>
        <v>11933842.113949263</v>
      </c>
      <c r="H96" s="1738">
        <f>IF($E96="DIRECT",$L96,VLOOKUP($E96,Ratio,2,FALSE)*$G96)</f>
        <v>0</v>
      </c>
      <c r="I96" s="1738">
        <f>IF($E96="DIRECT",$M96,VLOOKUP($E96,Ratio,3,FALSE)*$G96)</f>
        <v>0</v>
      </c>
      <c r="J96" s="1739">
        <f>IF($E96="DIRECT",$N96,VLOOKUP($E96,Ratio,4,FALSE)*$G96)</f>
        <v>11933842.113949263</v>
      </c>
      <c r="K96" s="25"/>
      <c r="L96" s="1756"/>
      <c r="M96" s="1756"/>
      <c r="N96" s="1756">
        <f>G96</f>
        <v>11933842.113949263</v>
      </c>
      <c r="O96" s="11"/>
    </row>
    <row r="97" spans="1:15" ht="15" customHeight="1" x14ac:dyDescent="0.25">
      <c r="A97" s="1348"/>
      <c r="B97" s="46" t="s">
        <v>477</v>
      </c>
      <c r="C97" s="184" t="s">
        <v>78</v>
      </c>
      <c r="D97" s="184">
        <v>124</v>
      </c>
      <c r="E97" s="184" t="s">
        <v>392</v>
      </c>
      <c r="F97" s="184"/>
      <c r="G97" s="1756">
        <f>VLOOKUP($B97,'RATE BASE DATA'!$C:$J,7,FALSE)</f>
        <v>8457697.1174970865</v>
      </c>
      <c r="H97" s="1738">
        <f>VLOOKUP($E97,Ratio,2,FALSE)*$G97</f>
        <v>0</v>
      </c>
      <c r="I97" s="1738">
        <f>VLOOKUP($E97,Ratio,3,FALSE)*$G97</f>
        <v>0</v>
      </c>
      <c r="J97" s="1739">
        <f>VLOOKUP($E97,Ratio,4,FALSE)*$G97</f>
        <v>8457697.1174970865</v>
      </c>
      <c r="K97" s="25"/>
      <c r="L97" s="1757"/>
      <c r="M97" s="1758"/>
      <c r="N97" s="1758"/>
      <c r="O97" s="11"/>
    </row>
    <row r="98" spans="1:15" ht="15" customHeight="1" x14ac:dyDescent="0.25">
      <c r="A98" s="1348"/>
      <c r="B98" s="54" t="s">
        <v>6</v>
      </c>
      <c r="C98" s="184" t="s">
        <v>78</v>
      </c>
      <c r="D98" s="184">
        <v>175</v>
      </c>
      <c r="E98" s="184" t="s">
        <v>392</v>
      </c>
      <c r="F98" s="184"/>
      <c r="G98" s="1756">
        <f>VLOOKUP($B98,'RATE BASE DATA'!$C:$J,7,FALSE)</f>
        <v>167602.14688327347</v>
      </c>
      <c r="H98" s="1738">
        <f>VLOOKUP($E98,Ratio,2,FALSE)*$G98</f>
        <v>0</v>
      </c>
      <c r="I98" s="1738">
        <f>VLOOKUP($E98,Ratio,3,FALSE)*$G98</f>
        <v>0</v>
      </c>
      <c r="J98" s="1739">
        <f>VLOOKUP($E98,Ratio,4,FALSE)*$G98</f>
        <v>167602.14688327347</v>
      </c>
      <c r="K98" s="25"/>
      <c r="L98" s="1757"/>
      <c r="M98" s="1758"/>
      <c r="N98" s="1758"/>
      <c r="O98" s="11"/>
    </row>
    <row r="99" spans="1:15" ht="15" customHeight="1" x14ac:dyDescent="0.25">
      <c r="A99" s="1348"/>
      <c r="B99" s="54" t="s">
        <v>372</v>
      </c>
      <c r="C99" s="184" t="s">
        <v>78</v>
      </c>
      <c r="D99" s="184">
        <v>176</v>
      </c>
      <c r="E99" s="184" t="s">
        <v>392</v>
      </c>
      <c r="F99" s="184"/>
      <c r="G99" s="1756">
        <f>VLOOKUP($B99,'RATE BASE DATA'!$C:$J,7,FALSE)</f>
        <v>0</v>
      </c>
      <c r="H99" s="1738">
        <f>VLOOKUP($E99,Ratio,2,FALSE)*$G99</f>
        <v>0</v>
      </c>
      <c r="I99" s="1738">
        <f>VLOOKUP($E99,Ratio,3,FALSE)*$G99</f>
        <v>0</v>
      </c>
      <c r="J99" s="1739">
        <f>VLOOKUP($E99,Ratio,4,FALSE)*$G99</f>
        <v>0</v>
      </c>
      <c r="K99" s="25"/>
      <c r="L99" s="1757"/>
      <c r="M99" s="1758"/>
      <c r="N99" s="1758"/>
      <c r="O99" s="11"/>
    </row>
    <row r="100" spans="1:15" ht="15" customHeight="1" x14ac:dyDescent="0.25">
      <c r="A100" s="1348"/>
      <c r="B100" s="76" t="s">
        <v>104</v>
      </c>
      <c r="C100" s="1853"/>
      <c r="D100" s="1847"/>
      <c r="E100" s="1847"/>
      <c r="F100" s="1848"/>
      <c r="G100" s="1781">
        <f>SUM(G96:G99)</f>
        <v>20559141.37832962</v>
      </c>
      <c r="H100" s="495">
        <f>SUM(H96:H99)</f>
        <v>0</v>
      </c>
      <c r="I100" s="495">
        <f>SUM(I96:I99)</f>
        <v>0</v>
      </c>
      <c r="J100" s="1365">
        <f>SUM(J96:J99)</f>
        <v>20559141.37832962</v>
      </c>
      <c r="K100" s="25"/>
      <c r="L100" s="1757"/>
      <c r="M100" s="1758"/>
      <c r="N100" s="1758"/>
      <c r="O100" s="11"/>
    </row>
    <row r="101" spans="1:15" ht="9.9499999999999993" customHeight="1" x14ac:dyDescent="0.25">
      <c r="A101" s="1348"/>
      <c r="B101" s="76"/>
      <c r="C101" s="74"/>
      <c r="D101" s="74"/>
      <c r="E101" s="74"/>
      <c r="F101" s="74"/>
      <c r="G101" s="928"/>
      <c r="H101" s="334"/>
      <c r="I101" s="334"/>
      <c r="J101" s="1366"/>
      <c r="K101" s="25"/>
      <c r="L101" s="1757"/>
      <c r="M101" s="1758"/>
      <c r="N101" s="1758"/>
      <c r="O101" s="11"/>
    </row>
    <row r="102" spans="1:15" ht="15" customHeight="1" x14ac:dyDescent="0.25">
      <c r="A102" s="1364" t="s">
        <v>177</v>
      </c>
      <c r="B102" s="79"/>
      <c r="C102" s="80"/>
      <c r="D102" s="48"/>
      <c r="E102" s="48"/>
      <c r="F102" s="48"/>
      <c r="G102" s="378"/>
      <c r="H102" s="381"/>
      <c r="I102" s="381"/>
      <c r="J102" s="1744"/>
      <c r="K102" s="25"/>
      <c r="L102" s="1757"/>
      <c r="M102" s="1758"/>
      <c r="N102" s="1758"/>
      <c r="O102" s="11"/>
    </row>
    <row r="103" spans="1:15" ht="15" customHeight="1" x14ac:dyDescent="0.25">
      <c r="A103" s="1348"/>
      <c r="B103" s="46" t="s">
        <v>436</v>
      </c>
      <c r="C103" s="184" t="s">
        <v>78</v>
      </c>
      <c r="D103" s="184">
        <v>151</v>
      </c>
      <c r="E103" s="184" t="s">
        <v>394</v>
      </c>
      <c r="F103" s="184"/>
      <c r="G103" s="1756">
        <f>VLOOKUP($B103,'RATE BASE DATA'!$C:$J,7,FALSE)</f>
        <v>7421317.5867461842</v>
      </c>
      <c r="H103" s="1738">
        <f t="shared" ref="H103:H115" si="7">VLOOKUP($E103,Ratio,2,FALSE)*$G103</f>
        <v>7421317.5867461842</v>
      </c>
      <c r="I103" s="1738">
        <f t="shared" ref="I103:I115" si="8">VLOOKUP($E103,Ratio,3,FALSE)*$G103</f>
        <v>0</v>
      </c>
      <c r="J103" s="1739">
        <f t="shared" ref="J103:J115" si="9">VLOOKUP($E103,Ratio,4,FALSE)*$G103</f>
        <v>0</v>
      </c>
      <c r="K103" s="25"/>
      <c r="L103" s="1757"/>
      <c r="M103" s="1758"/>
      <c r="N103" s="1758"/>
      <c r="O103" s="11"/>
    </row>
    <row r="104" spans="1:15" ht="15" customHeight="1" x14ac:dyDescent="0.25">
      <c r="A104" s="1348"/>
      <c r="B104" s="54" t="s">
        <v>7</v>
      </c>
      <c r="C104" s="184" t="s">
        <v>78</v>
      </c>
      <c r="D104" s="184">
        <v>152</v>
      </c>
      <c r="E104" s="184" t="s">
        <v>394</v>
      </c>
      <c r="F104" s="184"/>
      <c r="G104" s="1756">
        <f>VLOOKUP($B104,'RATE BASE DATA'!$C:$J,7,FALSE)</f>
        <v>0</v>
      </c>
      <c r="H104" s="1738">
        <f t="shared" si="7"/>
        <v>0</v>
      </c>
      <c r="I104" s="1738">
        <f t="shared" si="8"/>
        <v>0</v>
      </c>
      <c r="J104" s="1739">
        <f t="shared" si="9"/>
        <v>0</v>
      </c>
      <c r="K104" s="25"/>
      <c r="L104" s="1757"/>
      <c r="M104" s="1758"/>
      <c r="N104" s="1758"/>
      <c r="O104" s="11"/>
    </row>
    <row r="105" spans="1:15" ht="15" customHeight="1" x14ac:dyDescent="0.25">
      <c r="A105" s="1348"/>
      <c r="B105" s="46" t="s">
        <v>79</v>
      </c>
      <c r="C105" s="184" t="s">
        <v>78</v>
      </c>
      <c r="D105" s="184">
        <v>154</v>
      </c>
      <c r="E105" s="184" t="s">
        <v>99</v>
      </c>
      <c r="F105" s="184"/>
      <c r="G105" s="1756">
        <f>VLOOKUP($B105,'RATE BASE DATA'!$C:$J,7,FALSE)</f>
        <v>34216500.076919243</v>
      </c>
      <c r="H105" s="1738">
        <f t="shared" si="7"/>
        <v>15061971.388053088</v>
      </c>
      <c r="I105" s="1738">
        <f t="shared" si="8"/>
        <v>0</v>
      </c>
      <c r="J105" s="1739">
        <f t="shared" si="9"/>
        <v>19154528.688866153</v>
      </c>
      <c r="K105" s="25"/>
      <c r="L105" s="1757"/>
      <c r="M105" s="1758"/>
      <c r="N105" s="1758"/>
      <c r="O105" s="11"/>
    </row>
    <row r="106" spans="1:15" ht="15" customHeight="1" x14ac:dyDescent="0.25">
      <c r="A106" s="1348"/>
      <c r="B106" s="46" t="s">
        <v>355</v>
      </c>
      <c r="C106" s="184" t="s">
        <v>78</v>
      </c>
      <c r="D106" s="184">
        <v>155</v>
      </c>
      <c r="E106" s="184" t="s">
        <v>392</v>
      </c>
      <c r="F106" s="184"/>
      <c r="G106" s="1756">
        <f>VLOOKUP($B106,'RATE BASE DATA'!$C:$J,7,FALSE)</f>
        <v>0</v>
      </c>
      <c r="H106" s="1738">
        <f t="shared" si="7"/>
        <v>0</v>
      </c>
      <c r="I106" s="1738">
        <f t="shared" si="8"/>
        <v>0</v>
      </c>
      <c r="J106" s="1739">
        <f t="shared" si="9"/>
        <v>0</v>
      </c>
      <c r="K106" s="25"/>
      <c r="L106" s="1757"/>
      <c r="M106" s="1758"/>
      <c r="N106" s="1758"/>
      <c r="O106" s="11"/>
    </row>
    <row r="107" spans="1:15" ht="15" customHeight="1" x14ac:dyDescent="0.25">
      <c r="A107" s="1348"/>
      <c r="B107" s="46" t="s">
        <v>356</v>
      </c>
      <c r="C107" s="184" t="s">
        <v>78</v>
      </c>
      <c r="D107" s="184">
        <v>156</v>
      </c>
      <c r="E107" s="184" t="s">
        <v>392</v>
      </c>
      <c r="F107" s="184"/>
      <c r="G107" s="1756">
        <f>VLOOKUP($B107,'RATE BASE DATA'!$C:$J,7,FALSE)</f>
        <v>0</v>
      </c>
      <c r="H107" s="1738">
        <f t="shared" si="7"/>
        <v>0</v>
      </c>
      <c r="I107" s="1738">
        <f t="shared" si="8"/>
        <v>0</v>
      </c>
      <c r="J107" s="1739">
        <f t="shared" si="9"/>
        <v>0</v>
      </c>
      <c r="K107" s="25"/>
      <c r="L107" s="1757"/>
      <c r="M107" s="1758"/>
      <c r="N107" s="1758"/>
      <c r="O107" s="11"/>
    </row>
    <row r="108" spans="1:15" ht="15" customHeight="1" x14ac:dyDescent="0.25">
      <c r="A108" s="1348"/>
      <c r="B108" s="46" t="s">
        <v>357</v>
      </c>
      <c r="C108" s="184" t="s">
        <v>78</v>
      </c>
      <c r="D108" s="184">
        <v>158.1</v>
      </c>
      <c r="E108" s="184" t="s">
        <v>394</v>
      </c>
      <c r="F108" s="184"/>
      <c r="G108" s="1756">
        <f>VLOOKUP($B108,'RATE BASE DATA'!$C:$J,7,FALSE)</f>
        <v>209417.1631710295</v>
      </c>
      <c r="H108" s="1738">
        <f t="shared" si="7"/>
        <v>209417.1631710295</v>
      </c>
      <c r="I108" s="1738">
        <f t="shared" si="8"/>
        <v>0</v>
      </c>
      <c r="J108" s="1739">
        <f t="shared" si="9"/>
        <v>0</v>
      </c>
      <c r="K108" s="25"/>
      <c r="L108" s="1757"/>
      <c r="M108" s="1758"/>
      <c r="N108" s="1758"/>
      <c r="O108" s="11"/>
    </row>
    <row r="109" spans="1:15" ht="15" customHeight="1" x14ac:dyDescent="0.25">
      <c r="A109" s="1348"/>
      <c r="B109" s="46" t="s">
        <v>178</v>
      </c>
      <c r="C109" s="184" t="s">
        <v>78</v>
      </c>
      <c r="D109" s="184">
        <v>158.19999999999999</v>
      </c>
      <c r="E109" s="184" t="s">
        <v>394</v>
      </c>
      <c r="F109" s="184"/>
      <c r="G109" s="1756">
        <f>VLOOKUP($B109,'RATE BASE DATA'!$C:$J,7,FALSE)</f>
        <v>0</v>
      </c>
      <c r="H109" s="1738">
        <f t="shared" si="7"/>
        <v>0</v>
      </c>
      <c r="I109" s="1738">
        <f t="shared" si="8"/>
        <v>0</v>
      </c>
      <c r="J109" s="1739">
        <f t="shared" si="9"/>
        <v>0</v>
      </c>
      <c r="K109" s="25"/>
      <c r="L109" s="1757"/>
      <c r="M109" s="1758"/>
      <c r="N109" s="1758"/>
      <c r="O109" s="11"/>
    </row>
    <row r="110" spans="1:15" ht="14.25" customHeight="1" x14ac:dyDescent="0.25">
      <c r="A110" s="1348"/>
      <c r="B110" s="46" t="s">
        <v>55</v>
      </c>
      <c r="C110" s="184" t="s">
        <v>78</v>
      </c>
      <c r="D110" s="184">
        <v>163</v>
      </c>
      <c r="E110" s="184" t="s">
        <v>99</v>
      </c>
      <c r="F110" s="184"/>
      <c r="G110" s="1756">
        <f>VLOOKUP($B110,'RATE BASE DATA'!$C:$J,7,FALSE)</f>
        <v>0</v>
      </c>
      <c r="H110" s="1738">
        <f t="shared" si="7"/>
        <v>0</v>
      </c>
      <c r="I110" s="1738">
        <f t="shared" si="8"/>
        <v>0</v>
      </c>
      <c r="J110" s="1739">
        <f t="shared" si="9"/>
        <v>0</v>
      </c>
      <c r="K110" s="25"/>
      <c r="L110" s="1757"/>
      <c r="M110" s="1758"/>
      <c r="N110" s="1758"/>
      <c r="O110" s="11"/>
    </row>
    <row r="111" spans="1:15" ht="15" customHeight="1" x14ac:dyDescent="0.25">
      <c r="A111" s="1348"/>
      <c r="B111" s="46" t="s">
        <v>8</v>
      </c>
      <c r="C111" s="184" t="s">
        <v>78</v>
      </c>
      <c r="D111" s="184">
        <v>165</v>
      </c>
      <c r="E111" s="184" t="s">
        <v>99</v>
      </c>
      <c r="F111" s="184"/>
      <c r="G111" s="1756">
        <f>VLOOKUP($B111,'RATE BASE DATA'!$C:$J,7,FALSE)</f>
        <v>9927149.8225690611</v>
      </c>
      <c r="H111" s="1738">
        <f t="shared" si="7"/>
        <v>4369893.0707793785</v>
      </c>
      <c r="I111" s="1738">
        <f t="shared" si="8"/>
        <v>0</v>
      </c>
      <c r="J111" s="1739">
        <f t="shared" si="9"/>
        <v>5557256.7517896816</v>
      </c>
      <c r="K111" s="25"/>
      <c r="L111" s="1757"/>
      <c r="M111" s="1758"/>
      <c r="N111" s="1758"/>
      <c r="O111" s="11"/>
    </row>
    <row r="112" spans="1:15" ht="15" customHeight="1" x14ac:dyDescent="0.25">
      <c r="A112" s="1348"/>
      <c r="B112" s="54" t="s">
        <v>9</v>
      </c>
      <c r="C112" s="184" t="s">
        <v>78</v>
      </c>
      <c r="D112" s="184">
        <v>175</v>
      </c>
      <c r="E112" s="184" t="s">
        <v>392</v>
      </c>
      <c r="F112" s="184"/>
      <c r="G112" s="1756">
        <f>VLOOKUP($B112,'RATE BASE DATA'!$C:$J,7,FALSE)</f>
        <v>1332076.7672939056</v>
      </c>
      <c r="H112" s="1738">
        <f t="shared" si="7"/>
        <v>0</v>
      </c>
      <c r="I112" s="1738">
        <f t="shared" si="8"/>
        <v>0</v>
      </c>
      <c r="J112" s="1739">
        <f t="shared" si="9"/>
        <v>1332076.7672939056</v>
      </c>
      <c r="K112" s="25"/>
      <c r="L112" s="1757"/>
      <c r="M112" s="1758"/>
      <c r="N112" s="1758"/>
      <c r="O112" s="11"/>
    </row>
    <row r="113" spans="1:15" ht="15" customHeight="1" x14ac:dyDescent="0.25">
      <c r="A113" s="1348"/>
      <c r="B113" s="143" t="s">
        <v>184</v>
      </c>
      <c r="C113" s="184" t="s">
        <v>78</v>
      </c>
      <c r="D113" s="184">
        <v>175</v>
      </c>
      <c r="E113" s="184" t="s">
        <v>392</v>
      </c>
      <c r="F113" s="184"/>
      <c r="G113" s="1756">
        <f>VLOOKUP($B113,'RATE BASE DATA'!$C:$J,7,FALSE)</f>
        <v>167602.14688327347</v>
      </c>
      <c r="H113" s="1738">
        <f t="shared" si="7"/>
        <v>0</v>
      </c>
      <c r="I113" s="1738">
        <f t="shared" si="8"/>
        <v>0</v>
      </c>
      <c r="J113" s="1739">
        <f t="shared" si="9"/>
        <v>167602.14688327347</v>
      </c>
      <c r="K113" s="25"/>
      <c r="L113" s="1757"/>
      <c r="M113" s="1758"/>
      <c r="N113" s="1758"/>
      <c r="O113" s="11"/>
    </row>
    <row r="114" spans="1:15" ht="15" customHeight="1" x14ac:dyDescent="0.25">
      <c r="A114" s="1348"/>
      <c r="B114" s="54" t="s">
        <v>334</v>
      </c>
      <c r="C114" s="250" t="s">
        <v>78</v>
      </c>
      <c r="D114" s="250">
        <v>176</v>
      </c>
      <c r="E114" s="250" t="s">
        <v>392</v>
      </c>
      <c r="F114" s="184"/>
      <c r="G114" s="1756">
        <f>VLOOKUP($B114,'RATE BASE DATA'!$C:$J,7,FALSE)</f>
        <v>0</v>
      </c>
      <c r="H114" s="1738">
        <f t="shared" si="7"/>
        <v>0</v>
      </c>
      <c r="I114" s="1738">
        <f t="shared" si="8"/>
        <v>0</v>
      </c>
      <c r="J114" s="1739">
        <f t="shared" si="9"/>
        <v>0</v>
      </c>
      <c r="K114" s="25"/>
      <c r="L114" s="1757"/>
      <c r="M114" s="1758"/>
      <c r="N114" s="1758"/>
      <c r="O114" s="11"/>
    </row>
    <row r="115" spans="1:15" ht="15" customHeight="1" x14ac:dyDescent="0.25">
      <c r="A115" s="1348"/>
      <c r="B115" s="143" t="s">
        <v>573</v>
      </c>
      <c r="C115" s="250" t="s">
        <v>78</v>
      </c>
      <c r="D115" s="250">
        <v>176</v>
      </c>
      <c r="E115" s="250" t="s">
        <v>392</v>
      </c>
      <c r="F115" s="184"/>
      <c r="G115" s="1756">
        <f>VLOOKUP($B115,'RATE BASE DATA'!$C:$J,7,FALSE)</f>
        <v>0</v>
      </c>
      <c r="H115" s="1738">
        <f t="shared" si="7"/>
        <v>0</v>
      </c>
      <c r="I115" s="1738">
        <f t="shared" si="8"/>
        <v>0</v>
      </c>
      <c r="J115" s="1739">
        <f t="shared" si="9"/>
        <v>0</v>
      </c>
      <c r="K115" s="25"/>
      <c r="L115" s="1757"/>
      <c r="M115" s="1758"/>
      <c r="N115" s="1758"/>
      <c r="O115" s="11"/>
    </row>
    <row r="116" spans="1:15" ht="15" customHeight="1" thickBot="1" x14ac:dyDescent="0.3">
      <c r="A116" s="1348"/>
      <c r="B116" s="76" t="s">
        <v>104</v>
      </c>
      <c r="C116" s="1856"/>
      <c r="D116" s="1857"/>
      <c r="E116" s="1857"/>
      <c r="F116" s="1858"/>
      <c r="G116" s="1788">
        <f>SUM(G103:G112,G114)-G113-G115</f>
        <v>52938859.26981616</v>
      </c>
      <c r="H116" s="1508">
        <f>SUM(H103:H112,H114)-H113-H115</f>
        <v>27062599.208749682</v>
      </c>
      <c r="I116" s="1508">
        <f>SUM(I103:I112,I114)-I113-I115</f>
        <v>0</v>
      </c>
      <c r="J116" s="1509">
        <f>SUM(J103:J112,J114)-J113-J115</f>
        <v>25876260.061066467</v>
      </c>
      <c r="K116" s="25"/>
      <c r="L116" s="1757"/>
      <c r="M116" s="1758"/>
      <c r="N116" s="1758"/>
      <c r="O116" s="11"/>
    </row>
    <row r="117" spans="1:15" ht="4.5" customHeight="1" thickTop="1" x14ac:dyDescent="0.25">
      <c r="A117" s="1510"/>
      <c r="B117" s="1511"/>
      <c r="C117" s="1859"/>
      <c r="D117" s="1859"/>
      <c r="E117" s="1859"/>
      <c r="F117" s="1859"/>
      <c r="G117" s="1789"/>
      <c r="H117" s="1513"/>
      <c r="I117" s="1513"/>
      <c r="J117" s="1514"/>
      <c r="K117" s="25"/>
      <c r="L117" s="1757"/>
      <c r="M117" s="1758"/>
      <c r="N117" s="1758"/>
      <c r="O117" s="11"/>
    </row>
    <row r="118" spans="1:15" ht="15" customHeight="1" x14ac:dyDescent="0.25">
      <c r="A118" s="1364" t="s">
        <v>179</v>
      </c>
      <c r="B118" s="62"/>
      <c r="C118" s="80"/>
      <c r="D118" s="48"/>
      <c r="E118" s="48"/>
      <c r="F118" s="48"/>
      <c r="G118" s="379"/>
      <c r="H118" s="337"/>
      <c r="I118" s="337"/>
      <c r="J118" s="1354"/>
      <c r="K118" s="25"/>
      <c r="L118" s="1757"/>
      <c r="M118" s="1758"/>
      <c r="N118" s="1758"/>
      <c r="O118" s="11"/>
    </row>
    <row r="119" spans="1:15" ht="15" customHeight="1" x14ac:dyDescent="0.25">
      <c r="A119" s="1348"/>
      <c r="B119" s="54" t="s">
        <v>10</v>
      </c>
      <c r="C119" s="184" t="s">
        <v>78</v>
      </c>
      <c r="D119" s="184">
        <v>181</v>
      </c>
      <c r="E119" s="184" t="s">
        <v>108</v>
      </c>
      <c r="F119" s="184"/>
      <c r="G119" s="1756">
        <f>VLOOKUP($B119,'RATE BASE DATA'!$C:$J,7,FALSE)</f>
        <v>4382677.3739889516</v>
      </c>
      <c r="H119" s="1738">
        <f>VLOOKUP($E119,Ratio,2,FALSE)*$G119</f>
        <v>1903898.6075127877</v>
      </c>
      <c r="I119" s="1738">
        <f>VLOOKUP($E119,Ratio,3,FALSE)*$G119</f>
        <v>0</v>
      </c>
      <c r="J119" s="1739">
        <f>VLOOKUP($E119,Ratio,4,FALSE)*$G119</f>
        <v>2479217.3591032522</v>
      </c>
      <c r="K119" s="25"/>
      <c r="L119" s="1757"/>
      <c r="M119" s="1758"/>
      <c r="N119" s="1758"/>
      <c r="O119" s="11"/>
    </row>
    <row r="120" spans="1:15" ht="15" customHeight="1" x14ac:dyDescent="0.25">
      <c r="A120" s="1348"/>
      <c r="B120" s="54" t="s">
        <v>11</v>
      </c>
      <c r="C120" s="184" t="s">
        <v>78</v>
      </c>
      <c r="D120" s="184">
        <v>182.1</v>
      </c>
      <c r="E120" s="184" t="s">
        <v>90</v>
      </c>
      <c r="F120" s="184" t="s">
        <v>392</v>
      </c>
      <c r="G120" s="1756">
        <f>VLOOKUP($B120,'RATE BASE DATA'!$C:$J,7,FALSE)</f>
        <v>0</v>
      </c>
      <c r="H120" s="1738">
        <f>IF($E120="DIRECT",$L120,VLOOKUP($E120,Ratio,2,FALSE)*$G120)</f>
        <v>0</v>
      </c>
      <c r="I120" s="1738">
        <f>IF($E120="DIRECT",$M120,VLOOKUP($E120,Ratio,3,FALSE)*$G120)</f>
        <v>0</v>
      </c>
      <c r="J120" s="1739">
        <f>IF($E120="DIRECT",$N120,VLOOKUP($E120,Ratio,4,FALSE)*$G120)</f>
        <v>0</v>
      </c>
      <c r="K120" s="25"/>
      <c r="L120" s="1756"/>
      <c r="M120" s="1756"/>
      <c r="N120" s="1756"/>
      <c r="O120" s="11"/>
    </row>
    <row r="121" spans="1:15" ht="15" customHeight="1" x14ac:dyDescent="0.25">
      <c r="A121" s="1348"/>
      <c r="B121" s="54" t="s">
        <v>12</v>
      </c>
      <c r="C121" s="184" t="s">
        <v>78</v>
      </c>
      <c r="D121" s="184">
        <v>182.2</v>
      </c>
      <c r="E121" s="184" t="s">
        <v>90</v>
      </c>
      <c r="F121" s="184" t="s">
        <v>392</v>
      </c>
      <c r="G121" s="1756">
        <f>VLOOKUP($B121,'RATE BASE DATA'!$C:$J,7,FALSE)</f>
        <v>0</v>
      </c>
      <c r="H121" s="1738">
        <f>IF($E121="DIRECT",$L121,VLOOKUP($E121,Ratio,2,FALSE)*$G121)</f>
        <v>0</v>
      </c>
      <c r="I121" s="1738">
        <f>IF($E121="DIRECT",$M121,VLOOKUP($E121,Ratio,3,FALSE)*$G121)</f>
        <v>0</v>
      </c>
      <c r="J121" s="1739">
        <f>IF($E121="DIRECT",$N121,VLOOKUP($E121,Ratio,4,FALSE)*$G121)</f>
        <v>0</v>
      </c>
      <c r="K121" s="25"/>
      <c r="L121" s="1756"/>
      <c r="M121" s="1756"/>
      <c r="N121" s="1756"/>
      <c r="O121" s="11"/>
    </row>
    <row r="122" spans="1:15" ht="15" customHeight="1" x14ac:dyDescent="0.25">
      <c r="A122" s="1348"/>
      <c r="B122" s="54" t="s">
        <v>13</v>
      </c>
      <c r="C122" s="184" t="s">
        <v>78</v>
      </c>
      <c r="D122" s="184">
        <v>182.3</v>
      </c>
      <c r="E122" s="184" t="s">
        <v>90</v>
      </c>
      <c r="F122" s="184" t="s">
        <v>392</v>
      </c>
      <c r="G122" s="1756">
        <f>VLOOKUP($B122,'RATE BASE DATA'!$C:$J,7,FALSE)</f>
        <v>169655173.82892996</v>
      </c>
      <c r="H122" s="1738">
        <f>IF($E122="DIRECT",$L122,VLOOKUP($E122,Ratio,2,FALSE)*$G122)</f>
        <v>904191.36875621974</v>
      </c>
      <c r="I122" s="1738">
        <f>IF($E122="DIRECT",$M122,VLOOKUP($E122,Ratio,3,FALSE)*$G122)</f>
        <v>0</v>
      </c>
      <c r="J122" s="1739">
        <f>IF($E122="DIRECT",$N122,VLOOKUP($E122,Ratio,4,FALSE)*$G122)</f>
        <v>168750982.46017373</v>
      </c>
      <c r="K122" s="25"/>
      <c r="L122" s="1756">
        <f>'B16-Reg Assets'!T1027*1000</f>
        <v>904191.36875621974</v>
      </c>
      <c r="M122" s="1756">
        <f>'B16-Reg Assets'!U1027*1000</f>
        <v>0</v>
      </c>
      <c r="N122" s="1756">
        <f>'B16-Reg Assets'!V1027*1000</f>
        <v>168750982.46017373</v>
      </c>
      <c r="O122" s="11"/>
    </row>
    <row r="123" spans="1:15" ht="15" customHeight="1" x14ac:dyDescent="0.25">
      <c r="A123" s="1348"/>
      <c r="B123" s="54" t="s">
        <v>183</v>
      </c>
      <c r="C123" s="184" t="s">
        <v>78</v>
      </c>
      <c r="D123" s="184">
        <v>183</v>
      </c>
      <c r="E123" s="184" t="s">
        <v>392</v>
      </c>
      <c r="F123" s="184"/>
      <c r="G123" s="1756">
        <f>VLOOKUP($B123,'RATE BASE DATA'!$C:$J,7,FALSE)</f>
        <v>2017280.8574855835</v>
      </c>
      <c r="H123" s="1738">
        <f t="shared" ref="H123:H132" si="10">VLOOKUP($E123,Ratio,2,FALSE)*$G123</f>
        <v>0</v>
      </c>
      <c r="I123" s="1738">
        <f t="shared" ref="I123:I132" si="11">VLOOKUP($E123,Ratio,3,FALSE)*$G123</f>
        <v>0</v>
      </c>
      <c r="J123" s="1739">
        <f t="shared" ref="J123:J132" si="12">VLOOKUP($E123,Ratio,4,FALSE)*$G123</f>
        <v>2017280.8574855835</v>
      </c>
      <c r="K123" s="25"/>
      <c r="L123" s="1764"/>
      <c r="M123" s="1755"/>
      <c r="N123" s="1755"/>
      <c r="O123" s="11"/>
    </row>
    <row r="124" spans="1:15" ht="15" customHeight="1" x14ac:dyDescent="0.25">
      <c r="A124" s="1348"/>
      <c r="B124" s="54" t="s">
        <v>14</v>
      </c>
      <c r="C124" s="184" t="s">
        <v>78</v>
      </c>
      <c r="D124" s="184">
        <v>183.1</v>
      </c>
      <c r="E124" s="184" t="s">
        <v>392</v>
      </c>
      <c r="F124" s="184"/>
      <c r="G124" s="1756">
        <f>VLOOKUP($B124,'RATE BASE DATA'!$C:$J,7,FALSE)</f>
        <v>0</v>
      </c>
      <c r="H124" s="1738">
        <f t="shared" si="10"/>
        <v>0</v>
      </c>
      <c r="I124" s="1738">
        <f t="shared" si="11"/>
        <v>0</v>
      </c>
      <c r="J124" s="1739">
        <f t="shared" si="12"/>
        <v>0</v>
      </c>
      <c r="K124" s="25"/>
      <c r="L124" s="1757"/>
      <c r="M124" s="1758"/>
      <c r="N124" s="1758"/>
      <c r="O124" s="11"/>
    </row>
    <row r="125" spans="1:15" ht="15" customHeight="1" x14ac:dyDescent="0.25">
      <c r="A125" s="1348"/>
      <c r="B125" s="54" t="s">
        <v>445</v>
      </c>
      <c r="C125" s="184" t="s">
        <v>78</v>
      </c>
      <c r="D125" s="184">
        <v>183.2</v>
      </c>
      <c r="E125" s="184" t="s">
        <v>392</v>
      </c>
      <c r="F125" s="184"/>
      <c r="G125" s="1756">
        <f>VLOOKUP($B125,'RATE BASE DATA'!$C:$J,7,FALSE)</f>
        <v>0</v>
      </c>
      <c r="H125" s="1738">
        <f t="shared" si="10"/>
        <v>0</v>
      </c>
      <c r="I125" s="1738">
        <f t="shared" si="11"/>
        <v>0</v>
      </c>
      <c r="J125" s="1739">
        <f t="shared" si="12"/>
        <v>0</v>
      </c>
      <c r="K125" s="25"/>
      <c r="L125" s="1757"/>
      <c r="M125" s="1758"/>
      <c r="N125" s="1758"/>
      <c r="O125" s="11"/>
    </row>
    <row r="126" spans="1:15" ht="15" customHeight="1" x14ac:dyDescent="0.25">
      <c r="A126" s="1348"/>
      <c r="B126" s="54" t="s">
        <v>15</v>
      </c>
      <c r="C126" s="184" t="s">
        <v>78</v>
      </c>
      <c r="D126" s="184">
        <v>184</v>
      </c>
      <c r="E126" s="184" t="s">
        <v>392</v>
      </c>
      <c r="F126" s="184"/>
      <c r="G126" s="1756">
        <f>VLOOKUP($B126,'RATE BASE DATA'!$C:$J,7,FALSE)</f>
        <v>544.37576973659566</v>
      </c>
      <c r="H126" s="1738">
        <f t="shared" si="10"/>
        <v>0</v>
      </c>
      <c r="I126" s="1738">
        <f t="shared" si="11"/>
        <v>0</v>
      </c>
      <c r="J126" s="1739">
        <f t="shared" si="12"/>
        <v>544.37576973659566</v>
      </c>
      <c r="K126" s="25"/>
      <c r="L126" s="1757"/>
      <c r="M126" s="1758"/>
      <c r="N126" s="1758"/>
      <c r="O126" s="11"/>
    </row>
    <row r="127" spans="1:15" ht="15" customHeight="1" x14ac:dyDescent="0.25">
      <c r="A127" s="1348"/>
      <c r="B127" s="54" t="s">
        <v>16</v>
      </c>
      <c r="C127" s="184" t="s">
        <v>78</v>
      </c>
      <c r="D127" s="184">
        <v>185</v>
      </c>
      <c r="E127" s="184" t="s">
        <v>108</v>
      </c>
      <c r="F127" s="184"/>
      <c r="G127" s="1756">
        <f>VLOOKUP($B127,'RATE BASE DATA'!$C:$J,7,FALSE)</f>
        <v>12004.605555299704</v>
      </c>
      <c r="H127" s="1738">
        <f t="shared" si="10"/>
        <v>5214.9747403544561</v>
      </c>
      <c r="I127" s="1738">
        <f t="shared" si="11"/>
        <v>0</v>
      </c>
      <c r="J127" s="1739">
        <f t="shared" si="12"/>
        <v>6790.8321654071615</v>
      </c>
      <c r="K127" s="25"/>
      <c r="L127" s="1757"/>
      <c r="M127" s="1758"/>
      <c r="N127" s="1758"/>
      <c r="O127" s="11"/>
    </row>
    <row r="128" spans="1:15" ht="15" customHeight="1" x14ac:dyDescent="0.25">
      <c r="A128" s="1348"/>
      <c r="B128" s="54" t="s">
        <v>17</v>
      </c>
      <c r="C128" s="184" t="s">
        <v>78</v>
      </c>
      <c r="D128" s="184">
        <v>186</v>
      </c>
      <c r="E128" s="184" t="s">
        <v>90</v>
      </c>
      <c r="F128" s="184" t="s">
        <v>392</v>
      </c>
      <c r="G128" s="1756">
        <f>VLOOKUP($B128,'RATE BASE DATA'!$C:$J,7,FALSE)</f>
        <v>9693135.8859464359</v>
      </c>
      <c r="H128" s="1738">
        <f>IF($E128="DIRECT",$L128,VLOOKUP($E128,Ratio,2,FALSE)*$G128)</f>
        <v>9153291.5330275875</v>
      </c>
      <c r="I128" s="1738">
        <f>IF($E128="DIRECT",$M128,VLOOKUP($E128,Ratio,3,FALSE)*$G128)</f>
        <v>0</v>
      </c>
      <c r="J128" s="1739">
        <f>IF($E128="DIRECT",$N128,VLOOKUP($E128,Ratio,4,FALSE)*$G128)</f>
        <v>539844.35291884793</v>
      </c>
      <c r="K128" s="25"/>
      <c r="L128" s="1756">
        <f>$G$128*'B11-Misc Def Debt'!M88/'B11-Misc Def Debt'!$P$88</f>
        <v>9153291.5330275875</v>
      </c>
      <c r="M128" s="1756">
        <f>$G$128*'B11-Misc Def Debt'!N88/'B11-Misc Def Debt'!$P$88</f>
        <v>0</v>
      </c>
      <c r="N128" s="1756">
        <f>$G$128*'B11-Misc Def Debt'!O88/'B11-Misc Def Debt'!$P$88</f>
        <v>539844.35291884793</v>
      </c>
      <c r="O128" s="11"/>
    </row>
    <row r="129" spans="1:15" ht="15" customHeight="1" x14ac:dyDescent="0.25">
      <c r="A129" s="1348"/>
      <c r="B129" s="54" t="s">
        <v>18</v>
      </c>
      <c r="C129" s="184" t="s">
        <v>78</v>
      </c>
      <c r="D129" s="184">
        <v>187</v>
      </c>
      <c r="E129" s="184" t="s">
        <v>90</v>
      </c>
      <c r="F129" s="184"/>
      <c r="G129" s="1756">
        <f>VLOOKUP($B129,'RATE BASE DATA'!$C:$J,7,FALSE)</f>
        <v>0</v>
      </c>
      <c r="H129" s="1738">
        <f>IF($E129="DIRECT",$L129,VLOOKUP($E129,Ratio,2,FALSE)*$G129)</f>
        <v>0</v>
      </c>
      <c r="I129" s="1738">
        <f>IF($E129="DIRECT",$M129,VLOOKUP($E129,Ratio,3,FALSE)*$G129)</f>
        <v>0</v>
      </c>
      <c r="J129" s="1739">
        <f>IF($E129="DIRECT",$N129,VLOOKUP($E129,Ratio,4,FALSE)*$G129)</f>
        <v>0</v>
      </c>
      <c r="K129" s="25"/>
      <c r="L129" s="1756"/>
      <c r="M129" s="1756"/>
      <c r="N129" s="1756"/>
      <c r="O129" s="11"/>
    </row>
    <row r="130" spans="1:15" ht="15" customHeight="1" x14ac:dyDescent="0.25">
      <c r="A130" s="1348"/>
      <c r="B130" s="54" t="s">
        <v>19</v>
      </c>
      <c r="C130" s="184" t="s">
        <v>78</v>
      </c>
      <c r="D130" s="184">
        <v>188</v>
      </c>
      <c r="E130" s="184" t="s">
        <v>392</v>
      </c>
      <c r="F130" s="184"/>
      <c r="G130" s="1756">
        <f>VLOOKUP($B130,'RATE BASE DATA'!$C:$J,7,FALSE)</f>
        <v>0</v>
      </c>
      <c r="H130" s="1738">
        <f t="shared" si="10"/>
        <v>0</v>
      </c>
      <c r="I130" s="1738">
        <f t="shared" si="11"/>
        <v>0</v>
      </c>
      <c r="J130" s="1739">
        <f t="shared" si="12"/>
        <v>0</v>
      </c>
      <c r="K130" s="25"/>
      <c r="L130" s="1757"/>
      <c r="M130" s="1758"/>
      <c r="N130" s="1758"/>
      <c r="O130" s="11"/>
    </row>
    <row r="131" spans="1:15" ht="15" customHeight="1" x14ac:dyDescent="0.25">
      <c r="A131" s="1348"/>
      <c r="B131" s="54" t="s">
        <v>20</v>
      </c>
      <c r="C131" s="184" t="s">
        <v>78</v>
      </c>
      <c r="D131" s="184">
        <v>189</v>
      </c>
      <c r="E131" s="184" t="s">
        <v>108</v>
      </c>
      <c r="F131" s="184"/>
      <c r="G131" s="1756">
        <f>VLOOKUP($B131,'RATE BASE DATA'!$C:$J,7,FALSE)</f>
        <v>152191.42190221633</v>
      </c>
      <c r="H131" s="1738">
        <f t="shared" si="10"/>
        <v>66114.160707954346</v>
      </c>
      <c r="I131" s="1738">
        <f t="shared" si="11"/>
        <v>0</v>
      </c>
      <c r="J131" s="1739">
        <f t="shared" si="12"/>
        <v>86092.49161846537</v>
      </c>
      <c r="K131" s="25"/>
      <c r="L131" s="1757"/>
      <c r="M131" s="1758"/>
      <c r="N131" s="1758"/>
      <c r="O131" s="11"/>
    </row>
    <row r="132" spans="1:15" ht="15" customHeight="1" x14ac:dyDescent="0.25">
      <c r="A132" s="1348"/>
      <c r="B132" s="54" t="s">
        <v>21</v>
      </c>
      <c r="C132" s="184" t="s">
        <v>78</v>
      </c>
      <c r="D132" s="184">
        <v>190</v>
      </c>
      <c r="E132" s="184" t="s">
        <v>392</v>
      </c>
      <c r="F132" s="184"/>
      <c r="G132" s="1756">
        <f>VLOOKUP($B132,'RATE BASE DATA'!$C:$J,7,FALSE)</f>
        <v>70570139.487552851</v>
      </c>
      <c r="H132" s="1738">
        <f t="shared" si="10"/>
        <v>0</v>
      </c>
      <c r="I132" s="1738">
        <f t="shared" si="11"/>
        <v>0</v>
      </c>
      <c r="J132" s="1739">
        <f t="shared" si="12"/>
        <v>70570139.487552851</v>
      </c>
      <c r="K132" s="25"/>
      <c r="L132" s="1757"/>
      <c r="M132" s="1758"/>
      <c r="N132" s="1758"/>
      <c r="O132" s="11"/>
    </row>
    <row r="133" spans="1:15" ht="15" customHeight="1" x14ac:dyDescent="0.25">
      <c r="A133" s="1353"/>
      <c r="B133" s="76" t="s">
        <v>104</v>
      </c>
      <c r="C133" s="1853"/>
      <c r="D133" s="1847"/>
      <c r="E133" s="1847"/>
      <c r="F133" s="1848"/>
      <c r="G133" s="1781">
        <f>SUM(G119:G132)</f>
        <v>256483147.83713102</v>
      </c>
      <c r="H133" s="495">
        <f>SUM(H119:H132)</f>
        <v>12032710.644744903</v>
      </c>
      <c r="I133" s="495">
        <f>SUM(I119:I132)</f>
        <v>0</v>
      </c>
      <c r="J133" s="1365">
        <f>SUM(J119:J132)</f>
        <v>244450892.21678787</v>
      </c>
      <c r="K133" s="25"/>
      <c r="L133" s="1757"/>
      <c r="M133" s="1758"/>
      <c r="N133" s="1758"/>
      <c r="O133" s="11"/>
    </row>
    <row r="134" spans="1:15" ht="15" customHeight="1" x14ac:dyDescent="0.25">
      <c r="A134" s="1353"/>
      <c r="B134" s="61"/>
      <c r="C134" s="81"/>
      <c r="D134" s="34"/>
      <c r="E134" s="34"/>
      <c r="F134" s="34"/>
      <c r="G134" s="377"/>
      <c r="H134" s="337"/>
      <c r="I134" s="337"/>
      <c r="J134" s="1354"/>
      <c r="K134" s="25"/>
      <c r="L134" s="1757"/>
      <c r="M134" s="1758"/>
      <c r="N134" s="1758"/>
      <c r="O134" s="11"/>
    </row>
    <row r="135" spans="1:15" ht="15" customHeight="1" x14ac:dyDescent="0.25">
      <c r="A135" s="1350" t="s">
        <v>74</v>
      </c>
      <c r="B135" s="32"/>
      <c r="C135" s="1853"/>
      <c r="D135" s="1847"/>
      <c r="E135" s="1847"/>
      <c r="F135" s="1848"/>
      <c r="G135" s="1781">
        <f>G84+G93+G100+G116+G133</f>
        <v>923174938.75954127</v>
      </c>
      <c r="H135" s="495">
        <f>H84+H93+H100+H116+H133</f>
        <v>155950275.91967443</v>
      </c>
      <c r="I135" s="495">
        <f>I84+I93+I100+I116+I133</f>
        <v>0</v>
      </c>
      <c r="J135" s="1365">
        <f>J84+J93+J100+J116+J133</f>
        <v>767224733.79826951</v>
      </c>
      <c r="K135" s="24"/>
      <c r="L135" s="1757"/>
      <c r="M135" s="1758"/>
      <c r="N135" s="1758"/>
      <c r="O135" s="11"/>
    </row>
    <row r="136" spans="1:15" ht="15" customHeight="1" thickBot="1" x14ac:dyDescent="0.3">
      <c r="A136" s="1359"/>
      <c r="B136" s="173"/>
      <c r="C136" s="193"/>
      <c r="D136" s="193"/>
      <c r="E136" s="188"/>
      <c r="F136" s="188"/>
      <c r="G136" s="1790"/>
      <c r="H136" s="383"/>
      <c r="I136" s="383"/>
      <c r="J136" s="1370"/>
      <c r="K136" s="24"/>
      <c r="L136" s="1757"/>
      <c r="M136" s="1758"/>
      <c r="N136" s="1758"/>
      <c r="O136" s="11"/>
    </row>
    <row r="137" spans="1:15" ht="15" customHeight="1" thickTop="1" x14ac:dyDescent="0.25">
      <c r="A137" s="1361" t="s">
        <v>75</v>
      </c>
      <c r="B137" s="32"/>
      <c r="C137" s="34"/>
      <c r="D137" s="34"/>
      <c r="E137" s="34"/>
      <c r="F137" s="34"/>
      <c r="G137" s="377"/>
      <c r="H137" s="142"/>
      <c r="I137" s="142"/>
      <c r="J137" s="1347"/>
      <c r="K137" s="24"/>
      <c r="L137" s="1757"/>
      <c r="M137" s="1758"/>
      <c r="N137" s="1758"/>
      <c r="O137" s="11"/>
    </row>
    <row r="138" spans="1:15" ht="15" customHeight="1" x14ac:dyDescent="0.25">
      <c r="A138" s="1348"/>
      <c r="B138" s="53" t="s">
        <v>434</v>
      </c>
      <c r="C138" s="48"/>
      <c r="D138" s="1860"/>
      <c r="E138" s="48"/>
      <c r="F138" s="48"/>
      <c r="G138" s="1791"/>
      <c r="H138" s="337"/>
      <c r="I138" s="337"/>
      <c r="J138" s="1354"/>
      <c r="K138" s="24"/>
      <c r="L138" s="1757"/>
      <c r="M138" s="1758"/>
      <c r="N138" s="1758"/>
      <c r="O138" s="11"/>
    </row>
    <row r="139" spans="1:15" ht="15" customHeight="1" x14ac:dyDescent="0.25">
      <c r="A139" s="1348"/>
      <c r="B139" s="54" t="s">
        <v>332</v>
      </c>
      <c r="C139" s="184" t="s">
        <v>81</v>
      </c>
      <c r="D139" s="184">
        <v>175</v>
      </c>
      <c r="E139" s="184" t="s">
        <v>392</v>
      </c>
      <c r="F139" s="184"/>
      <c r="G139" s="1756">
        <f>VLOOKUP($B139,'RATE BASE DATA'!$C:$J,7,FALSE)</f>
        <v>6366294.2349868193</v>
      </c>
      <c r="H139" s="1738">
        <f>VLOOKUP($E139,Ratio,2,FALSE)*$G139</f>
        <v>0</v>
      </c>
      <c r="I139" s="1738">
        <f>VLOOKUP($E139,Ratio,3,FALSE)*$G139</f>
        <v>0</v>
      </c>
      <c r="J139" s="1739">
        <f>VLOOKUP($E139,Ratio,4,FALSE)*$G139</f>
        <v>6366294.2349868193</v>
      </c>
      <c r="K139" s="24"/>
      <c r="L139" s="1757"/>
      <c r="M139" s="1758"/>
      <c r="N139" s="1758"/>
      <c r="O139" s="11"/>
    </row>
    <row r="140" spans="1:15" ht="15" customHeight="1" x14ac:dyDescent="0.25">
      <c r="A140" s="1348"/>
      <c r="B140" s="143" t="s">
        <v>350</v>
      </c>
      <c r="C140" s="184" t="s">
        <v>81</v>
      </c>
      <c r="D140" s="184">
        <v>175</v>
      </c>
      <c r="E140" s="184" t="s">
        <v>392</v>
      </c>
      <c r="F140" s="184"/>
      <c r="G140" s="1756">
        <f>VLOOKUP($B140,'RATE BASE DATA'!$C:$J,7,FALSE)</f>
        <v>1523355.9082808066</v>
      </c>
      <c r="H140" s="1738">
        <f>VLOOKUP($E140,Ratio,2,FALSE)*$G140</f>
        <v>0</v>
      </c>
      <c r="I140" s="1738">
        <f>VLOOKUP($E140,Ratio,3,FALSE)*$G140</f>
        <v>0</v>
      </c>
      <c r="J140" s="1739">
        <f>VLOOKUP($E140,Ratio,4,FALSE)*$G140</f>
        <v>1523355.9082808066</v>
      </c>
      <c r="K140" s="24"/>
      <c r="L140" s="1757"/>
      <c r="M140" s="1758"/>
      <c r="N140" s="1758"/>
      <c r="O140" s="11"/>
    </row>
    <row r="141" spans="1:15" ht="15" customHeight="1" x14ac:dyDescent="0.25">
      <c r="A141" s="1348"/>
      <c r="B141" s="54" t="s">
        <v>333</v>
      </c>
      <c r="C141" s="184" t="s">
        <v>81</v>
      </c>
      <c r="D141" s="184">
        <v>176</v>
      </c>
      <c r="E141" s="184" t="s">
        <v>392</v>
      </c>
      <c r="F141" s="184"/>
      <c r="G141" s="1756">
        <f>VLOOKUP($B141,'RATE BASE DATA'!$C:$J,7,FALSE)</f>
        <v>0</v>
      </c>
      <c r="H141" s="1738">
        <f>VLOOKUP($E141,Ratio,2,FALSE)*$G141</f>
        <v>0</v>
      </c>
      <c r="I141" s="1738">
        <f>VLOOKUP($E141,Ratio,3,FALSE)*$G141</f>
        <v>0</v>
      </c>
      <c r="J141" s="1739">
        <f>VLOOKUP($E141,Ratio,4,FALSE)*$G141</f>
        <v>0</v>
      </c>
      <c r="K141" s="24"/>
      <c r="L141" s="1757"/>
      <c r="M141" s="1758"/>
      <c r="N141" s="1758"/>
      <c r="O141" s="11"/>
    </row>
    <row r="142" spans="1:15" ht="15" customHeight="1" x14ac:dyDescent="0.25">
      <c r="A142" s="1348"/>
      <c r="B142" s="143" t="s">
        <v>349</v>
      </c>
      <c r="C142" s="184" t="s">
        <v>81</v>
      </c>
      <c r="D142" s="184">
        <v>176</v>
      </c>
      <c r="E142" s="184" t="s">
        <v>392</v>
      </c>
      <c r="F142" s="184"/>
      <c r="G142" s="1756">
        <f>VLOOKUP($B142,'RATE BASE DATA'!$C:$J,7,FALSE)</f>
        <v>0</v>
      </c>
      <c r="H142" s="1738">
        <f>VLOOKUP($E142,Ratio,2,FALSE)*$G142</f>
        <v>0</v>
      </c>
      <c r="I142" s="1738">
        <f>VLOOKUP($E142,Ratio,3,FALSE)*$G142</f>
        <v>0</v>
      </c>
      <c r="J142" s="1739">
        <f>VLOOKUP($E142,Ratio,4,FALSE)*$G142</f>
        <v>0</v>
      </c>
      <c r="K142" s="24"/>
      <c r="L142" s="1757"/>
      <c r="M142" s="1758"/>
      <c r="N142" s="1758"/>
      <c r="O142" s="11"/>
    </row>
    <row r="143" spans="1:15" ht="15" customHeight="1" x14ac:dyDescent="0.25">
      <c r="A143" s="1348"/>
      <c r="B143" s="76" t="s">
        <v>104</v>
      </c>
      <c r="C143" s="1853"/>
      <c r="D143" s="1847"/>
      <c r="E143" s="1847"/>
      <c r="F143" s="1848"/>
      <c r="G143" s="1781">
        <f>G139-G140+G141-G142</f>
        <v>4842938.3267060127</v>
      </c>
      <c r="H143" s="495">
        <f>H139-H140+H141-H142</f>
        <v>0</v>
      </c>
      <c r="I143" s="495">
        <f>I139-I140+I141-I142</f>
        <v>0</v>
      </c>
      <c r="J143" s="1365">
        <f>J139-J140+J141-J142</f>
        <v>4842938.3267060127</v>
      </c>
      <c r="K143" s="24"/>
      <c r="L143" s="1757"/>
      <c r="M143" s="1758"/>
      <c r="N143" s="1758"/>
      <c r="O143" s="11"/>
    </row>
    <row r="144" spans="1:15" ht="15" customHeight="1" x14ac:dyDescent="0.25">
      <c r="A144" s="1348"/>
      <c r="B144" s="53" t="s">
        <v>435</v>
      </c>
      <c r="C144" s="48"/>
      <c r="D144" s="1860"/>
      <c r="E144" s="48"/>
      <c r="F144" s="48"/>
      <c r="G144" s="377"/>
      <c r="H144" s="337"/>
      <c r="I144" s="337"/>
      <c r="J144" s="1354"/>
      <c r="K144" s="24"/>
      <c r="L144" s="1757"/>
      <c r="M144" s="1758"/>
      <c r="N144" s="1758"/>
      <c r="O144" s="11"/>
    </row>
    <row r="145" spans="1:15" ht="15" hidden="1" customHeight="1" x14ac:dyDescent="0.25">
      <c r="A145" s="1348"/>
      <c r="B145" s="54" t="s">
        <v>374</v>
      </c>
      <c r="C145" s="184" t="s">
        <v>81</v>
      </c>
      <c r="D145" s="184">
        <v>244</v>
      </c>
      <c r="E145" s="184" t="s">
        <v>392</v>
      </c>
      <c r="F145" s="184"/>
      <c r="G145" s="1783"/>
      <c r="H145" s="1738">
        <f>VLOOKUP($E145,Ratio,2,FALSE)*$G145</f>
        <v>0</v>
      </c>
      <c r="I145" s="1738">
        <f>VLOOKUP($E145,Ratio,3,FALSE)*$G145</f>
        <v>0</v>
      </c>
      <c r="J145" s="1739">
        <f>VLOOKUP($E145,Ratio,4,FALSE)*$G145</f>
        <v>0</v>
      </c>
      <c r="K145" s="24"/>
      <c r="L145" s="1757"/>
      <c r="M145" s="1758"/>
      <c r="N145" s="1758"/>
      <c r="O145" s="11"/>
    </row>
    <row r="146" spans="1:15" ht="18" customHeight="1" x14ac:dyDescent="0.25">
      <c r="A146" s="1348"/>
      <c r="B146" s="54" t="s">
        <v>375</v>
      </c>
      <c r="C146" s="184" t="s">
        <v>81</v>
      </c>
      <c r="D146" s="184">
        <v>245</v>
      </c>
      <c r="E146" s="184" t="s">
        <v>392</v>
      </c>
      <c r="F146" s="184"/>
      <c r="G146" s="1756">
        <f>VLOOKUP($B146,'RATE BASE DATA'!$C:$J,7,FALSE)</f>
        <v>0</v>
      </c>
      <c r="H146" s="1738">
        <f>VLOOKUP($E146,Ratio,2,FALSE)*$G146</f>
        <v>0</v>
      </c>
      <c r="I146" s="1738">
        <f>VLOOKUP($E146,Ratio,3,FALSE)*$G146</f>
        <v>0</v>
      </c>
      <c r="J146" s="1739">
        <f>VLOOKUP($E146,Ratio,4,FALSE)*$G146</f>
        <v>0</v>
      </c>
      <c r="K146" s="24"/>
      <c r="L146" s="1757"/>
      <c r="M146" s="1758"/>
      <c r="N146" s="1758"/>
      <c r="O146" s="11"/>
    </row>
    <row r="147" spans="1:15" ht="15" customHeight="1" x14ac:dyDescent="0.25">
      <c r="A147" s="1348"/>
      <c r="B147" s="54" t="s">
        <v>22</v>
      </c>
      <c r="C147" s="184" t="s">
        <v>81</v>
      </c>
      <c r="D147" s="184">
        <v>252</v>
      </c>
      <c r="E147" s="184" t="s">
        <v>392</v>
      </c>
      <c r="F147" s="184"/>
      <c r="G147" s="1756">
        <f>VLOOKUP($B147,'RATE BASE DATA'!$C:$J,7,FALSE)</f>
        <v>13536233.746447403</v>
      </c>
      <c r="H147" s="1738">
        <f t="shared" ref="H147:H155" si="13">VLOOKUP($E147,Ratio,2,FALSE)*$G147</f>
        <v>0</v>
      </c>
      <c r="I147" s="1738">
        <f t="shared" ref="I147:I155" si="14">VLOOKUP($E147,Ratio,3,FALSE)*$G147</f>
        <v>0</v>
      </c>
      <c r="J147" s="1739">
        <f t="shared" ref="J147:J155" si="15">VLOOKUP($E147,Ratio,4,FALSE)*$G147</f>
        <v>13536233.746447403</v>
      </c>
      <c r="K147" s="24"/>
      <c r="L147" s="1757"/>
      <c r="M147" s="1758"/>
      <c r="N147" s="1758"/>
      <c r="O147" s="11"/>
    </row>
    <row r="148" spans="1:15" ht="15" customHeight="1" x14ac:dyDescent="0.25">
      <c r="A148" s="1348"/>
      <c r="B148" s="54" t="s">
        <v>25</v>
      </c>
      <c r="C148" s="184" t="s">
        <v>81</v>
      </c>
      <c r="D148" s="184">
        <v>253</v>
      </c>
      <c r="E148" s="184" t="s">
        <v>90</v>
      </c>
      <c r="F148" s="184" t="s">
        <v>392</v>
      </c>
      <c r="G148" s="1756">
        <f>VLOOKUP($B148,'RATE BASE DATA'!$C:$J,7,FALSE)</f>
        <v>26149892.274204358</v>
      </c>
      <c r="H148" s="1738">
        <f>IF($E148="DIRECT",$L148,VLOOKUP($E148,Ratio,2,FALSE)*$G148)</f>
        <v>7163728.2093280684</v>
      </c>
      <c r="I148" s="1738">
        <f>IF($E148="DIRECT",$M148,VLOOKUP($E148,Ratio,3,FALSE)*$G148)</f>
        <v>0</v>
      </c>
      <c r="J148" s="1739">
        <f>IF($E148="DIRECT",$N148,VLOOKUP($E148,Ratio,4,FALSE)*$G148)</f>
        <v>18986164.064876292</v>
      </c>
      <c r="K148" s="24"/>
      <c r="L148" s="1756">
        <f>-'B15-Misc Rate Base'!T246*1000</f>
        <v>7163728.2093280684</v>
      </c>
      <c r="M148" s="1756">
        <f>-'B15-Misc Rate Base'!U246*1000</f>
        <v>0</v>
      </c>
      <c r="N148" s="1756">
        <f>-'B15-Misc Rate Base'!V246*1000</f>
        <v>18986164.064876292</v>
      </c>
      <c r="O148" s="11"/>
    </row>
    <row r="149" spans="1:15" ht="15" customHeight="1" x14ac:dyDescent="0.25">
      <c r="A149" s="1348"/>
      <c r="B149" s="54" t="s">
        <v>26</v>
      </c>
      <c r="C149" s="184" t="s">
        <v>81</v>
      </c>
      <c r="D149" s="184">
        <v>254</v>
      </c>
      <c r="E149" s="184" t="s">
        <v>90</v>
      </c>
      <c r="F149" s="184" t="s">
        <v>392</v>
      </c>
      <c r="G149" s="1756">
        <f>VLOOKUP($B149,'RATE BASE DATA'!$C:$J,7,FALSE)</f>
        <v>100783657.40017512</v>
      </c>
      <c r="H149" s="1738">
        <f>IF($E149="DIRECT",$L149,VLOOKUP($E149,Ratio,2,FALSE)*$G149)</f>
        <v>9194629.3848101255</v>
      </c>
      <c r="I149" s="1738">
        <f>IF($E149="DIRECT",$M149,VLOOKUP($E149,Ratio,3,FALSE)*$G149)</f>
        <v>0</v>
      </c>
      <c r="J149" s="1739">
        <f>IF($E149="DIRECT",$N149,VLOOKUP($E149,Ratio,4,FALSE)*$G149)</f>
        <v>91589028.015365005</v>
      </c>
      <c r="K149" s="24"/>
      <c r="L149" s="1756">
        <f>-'B15-Misc Rate Base'!T253*1000</f>
        <v>9194629.3848101255</v>
      </c>
      <c r="M149" s="1756">
        <f>-'B15-Misc Rate Base'!U253*1000</f>
        <v>0</v>
      </c>
      <c r="N149" s="1756">
        <f>-'B15-Misc Rate Base'!V253*1000</f>
        <v>91589028.015365005</v>
      </c>
      <c r="O149" s="11"/>
    </row>
    <row r="150" spans="1:15" ht="15" customHeight="1" x14ac:dyDescent="0.25">
      <c r="A150" s="1348"/>
      <c r="B150" s="54" t="s">
        <v>23</v>
      </c>
      <c r="C150" s="184" t="s">
        <v>81</v>
      </c>
      <c r="D150" s="184">
        <v>255</v>
      </c>
      <c r="E150" s="184" t="s">
        <v>392</v>
      </c>
      <c r="F150" s="184"/>
      <c r="G150" s="1756">
        <f>VLOOKUP($B150,'RATE BASE DATA'!$C:$J,7,FALSE)</f>
        <v>57588.578597997119</v>
      </c>
      <c r="H150" s="1738">
        <f t="shared" si="13"/>
        <v>0</v>
      </c>
      <c r="I150" s="1738">
        <f t="shared" si="14"/>
        <v>0</v>
      </c>
      <c r="J150" s="1739">
        <f t="shared" si="15"/>
        <v>57588.578597997119</v>
      </c>
      <c r="K150" s="24"/>
      <c r="L150" s="1764"/>
      <c r="M150" s="1755"/>
      <c r="N150" s="1755"/>
      <c r="O150" s="11"/>
    </row>
    <row r="151" spans="1:15" ht="15" customHeight="1" x14ac:dyDescent="0.25">
      <c r="A151" s="1348"/>
      <c r="B151" s="54" t="s">
        <v>24</v>
      </c>
      <c r="C151" s="184" t="s">
        <v>81</v>
      </c>
      <c r="D151" s="184">
        <v>256</v>
      </c>
      <c r="E151" s="184" t="s">
        <v>90</v>
      </c>
      <c r="F151" s="184"/>
      <c r="G151" s="1756">
        <f>VLOOKUP($B151,'RATE BASE DATA'!$C:$J,7,FALSE)</f>
        <v>0</v>
      </c>
      <c r="H151" s="1738">
        <f>IF($E151="DIRECT",$L151,VLOOKUP($E151,Ratio,2,FALSE)*$G151)</f>
        <v>0</v>
      </c>
      <c r="I151" s="1738">
        <f>IF($E151="DIRECT",$M151,VLOOKUP($E151,Ratio,3,FALSE)*$G151)</f>
        <v>0</v>
      </c>
      <c r="J151" s="1739">
        <f>IF($E151="DIRECT",$N151,VLOOKUP($E151,Ratio,4,FALSE)*$G151)</f>
        <v>0</v>
      </c>
      <c r="K151" s="24"/>
      <c r="L151" s="1756"/>
      <c r="M151" s="1756"/>
      <c r="N151" s="1756"/>
      <c r="O151" s="11"/>
    </row>
    <row r="152" spans="1:15" ht="15.75" customHeight="1" x14ac:dyDescent="0.25">
      <c r="A152" s="1348"/>
      <c r="B152" s="54" t="s">
        <v>27</v>
      </c>
      <c r="C152" s="184" t="s">
        <v>81</v>
      </c>
      <c r="D152" s="184">
        <v>257</v>
      </c>
      <c r="E152" s="184" t="s">
        <v>108</v>
      </c>
      <c r="F152" s="184"/>
      <c r="G152" s="1756">
        <f>VLOOKUP($B152,'RATE BASE DATA'!$C:$J,7,FALSE)</f>
        <v>0</v>
      </c>
      <c r="H152" s="1738">
        <f t="shared" si="13"/>
        <v>0</v>
      </c>
      <c r="I152" s="1738">
        <f t="shared" si="14"/>
        <v>0</v>
      </c>
      <c r="J152" s="1739">
        <f t="shared" si="15"/>
        <v>0</v>
      </c>
      <c r="K152" s="24"/>
      <c r="L152" s="1757"/>
      <c r="M152" s="1758"/>
      <c r="N152" s="1758"/>
      <c r="O152" s="11"/>
    </row>
    <row r="153" spans="1:15" ht="15" customHeight="1" x14ac:dyDescent="0.25">
      <c r="A153" s="1348"/>
      <c r="B153" s="54" t="s">
        <v>31</v>
      </c>
      <c r="C153" s="184" t="s">
        <v>81</v>
      </c>
      <c r="D153" s="184">
        <v>281</v>
      </c>
      <c r="E153" s="184" t="s">
        <v>392</v>
      </c>
      <c r="F153" s="184"/>
      <c r="G153" s="1756">
        <f>VLOOKUP($B153,'RATE BASE DATA'!$C:$J,7,FALSE)</f>
        <v>9368347.431866901</v>
      </c>
      <c r="H153" s="1738">
        <f t="shared" si="13"/>
        <v>0</v>
      </c>
      <c r="I153" s="1738">
        <f t="shared" si="14"/>
        <v>0</v>
      </c>
      <c r="J153" s="1739">
        <f t="shared" si="15"/>
        <v>9368347.431866901</v>
      </c>
      <c r="K153" s="24"/>
      <c r="L153" s="1757"/>
      <c r="M153" s="1758"/>
      <c r="N153" s="1758"/>
      <c r="O153" s="11"/>
    </row>
    <row r="154" spans="1:15" ht="15" customHeight="1" x14ac:dyDescent="0.25">
      <c r="A154" s="1348"/>
      <c r="B154" s="54" t="s">
        <v>32</v>
      </c>
      <c r="C154" s="184" t="s">
        <v>81</v>
      </c>
      <c r="D154" s="184">
        <v>282</v>
      </c>
      <c r="E154" s="184" t="s">
        <v>392</v>
      </c>
      <c r="F154" s="184"/>
      <c r="G154" s="1756">
        <f>VLOOKUP($B154,'RATE BASE DATA'!$C:$J,7,FALSE)</f>
        <v>242068795.12899095</v>
      </c>
      <c r="H154" s="1738">
        <f t="shared" si="13"/>
        <v>0</v>
      </c>
      <c r="I154" s="1738">
        <f t="shared" si="14"/>
        <v>0</v>
      </c>
      <c r="J154" s="1739">
        <f t="shared" si="15"/>
        <v>242068795.12899095</v>
      </c>
      <c r="K154" s="24"/>
      <c r="L154" s="1757"/>
      <c r="M154" s="1758"/>
      <c r="N154" s="1758"/>
      <c r="O154" s="11"/>
    </row>
    <row r="155" spans="1:15" ht="15" customHeight="1" x14ac:dyDescent="0.25">
      <c r="A155" s="1348"/>
      <c r="B155" s="54" t="s">
        <v>33</v>
      </c>
      <c r="C155" s="184" t="s">
        <v>81</v>
      </c>
      <c r="D155" s="184">
        <v>283</v>
      </c>
      <c r="E155" s="184" t="s">
        <v>392</v>
      </c>
      <c r="F155" s="184"/>
      <c r="G155" s="1756">
        <f>VLOOKUP($B155,'RATE BASE DATA'!$C:$J,7,FALSE)</f>
        <v>12754163.692504926</v>
      </c>
      <c r="H155" s="1738">
        <f t="shared" si="13"/>
        <v>0</v>
      </c>
      <c r="I155" s="1738">
        <f t="shared" si="14"/>
        <v>0</v>
      </c>
      <c r="J155" s="1739">
        <f t="shared" si="15"/>
        <v>12754163.692504926</v>
      </c>
      <c r="K155" s="24"/>
      <c r="L155" s="1757"/>
      <c r="M155" s="1758"/>
      <c r="N155" s="1758"/>
      <c r="O155" s="11"/>
    </row>
    <row r="156" spans="1:15" ht="15" customHeight="1" x14ac:dyDescent="0.25">
      <c r="A156" s="1348"/>
      <c r="B156" s="76" t="s">
        <v>104</v>
      </c>
      <c r="C156" s="1853"/>
      <c r="D156" s="1847"/>
      <c r="E156" s="1847"/>
      <c r="F156" s="1848"/>
      <c r="G156" s="1781">
        <f>SUM(G145:G155)</f>
        <v>404718678.25278765</v>
      </c>
      <c r="H156" s="495">
        <f>SUM(H145:H155)</f>
        <v>16358357.594138194</v>
      </c>
      <c r="I156" s="495">
        <f>SUM(I145:I155)</f>
        <v>0</v>
      </c>
      <c r="J156" s="1365">
        <f>SUM(J145:J155)</f>
        <v>388360320.6586495</v>
      </c>
      <c r="K156" s="24"/>
      <c r="L156" s="1757"/>
      <c r="M156" s="1758"/>
      <c r="N156" s="1758"/>
      <c r="O156" s="11"/>
    </row>
    <row r="157" spans="1:15" ht="15" customHeight="1" x14ac:dyDescent="0.25">
      <c r="A157" s="1348"/>
      <c r="B157" s="62"/>
      <c r="C157" s="34"/>
      <c r="D157" s="1861"/>
      <c r="E157" s="34"/>
      <c r="F157" s="34"/>
      <c r="G157" s="384"/>
      <c r="H157" s="385"/>
      <c r="I157" s="385"/>
      <c r="J157" s="1371"/>
      <c r="K157" s="24"/>
      <c r="L157" s="1757"/>
      <c r="M157" s="1758"/>
      <c r="N157" s="1758"/>
      <c r="O157" s="11"/>
    </row>
    <row r="158" spans="1:15" ht="15" customHeight="1" x14ac:dyDescent="0.25">
      <c r="A158" s="1350" t="s">
        <v>73</v>
      </c>
      <c r="B158" s="32"/>
      <c r="C158" s="1853"/>
      <c r="D158" s="1847"/>
      <c r="E158" s="1847"/>
      <c r="F158" s="1848"/>
      <c r="G158" s="1781">
        <f>+G156+G143</f>
        <v>409561616.57949364</v>
      </c>
      <c r="H158" s="495">
        <f>+H156+H143</f>
        <v>16358357.594138194</v>
      </c>
      <c r="I158" s="495">
        <f>+I156+I143</f>
        <v>0</v>
      </c>
      <c r="J158" s="1365">
        <f>+J156+J143</f>
        <v>393203258.9853555</v>
      </c>
      <c r="L158" s="1765"/>
      <c r="M158" s="1758"/>
      <c r="N158" s="1758"/>
      <c r="O158" s="11"/>
    </row>
    <row r="159" spans="1:15" ht="15" customHeight="1" x14ac:dyDescent="0.25">
      <c r="A159" s="1372"/>
      <c r="B159" s="32"/>
      <c r="C159" s="34"/>
      <c r="D159" s="34"/>
      <c r="E159" s="34"/>
      <c r="F159" s="34"/>
      <c r="G159" s="377"/>
      <c r="H159" s="142"/>
      <c r="I159" s="142"/>
      <c r="J159" s="1347"/>
      <c r="L159" s="1765"/>
      <c r="M159" s="1758"/>
      <c r="N159" s="1758"/>
      <c r="O159" s="11"/>
    </row>
    <row r="160" spans="1:15" ht="15" customHeight="1" x14ac:dyDescent="0.25">
      <c r="A160" s="1373"/>
      <c r="B160" s="62"/>
      <c r="C160" s="1861"/>
      <c r="D160" s="1861"/>
      <c r="E160" s="1815"/>
      <c r="F160" s="1815"/>
      <c r="G160" s="1782"/>
      <c r="H160" s="338"/>
      <c r="I160" s="338"/>
      <c r="J160" s="1374"/>
      <c r="L160" s="1755"/>
      <c r="M160" s="1755"/>
      <c r="N160" s="1755"/>
    </row>
    <row r="161" spans="1:15" ht="15" customHeight="1" x14ac:dyDescent="0.25">
      <c r="A161" s="1344" t="s">
        <v>478</v>
      </c>
      <c r="B161" s="32"/>
      <c r="C161" s="1862"/>
      <c r="D161" s="1863"/>
      <c r="E161" s="1863"/>
      <c r="F161" s="1864"/>
      <c r="G161" s="1792">
        <f>G79+G135-G158</f>
        <v>1999150699.1206846</v>
      </c>
      <c r="H161" s="499">
        <f>H79+H135-H158</f>
        <v>762081346.01777911</v>
      </c>
      <c r="I161" s="499">
        <f>I79+I135-I158</f>
        <v>0</v>
      </c>
      <c r="J161" s="1375">
        <f>J79+J135-J158</f>
        <v>1237069424.3076205</v>
      </c>
      <c r="L161" s="1766"/>
      <c r="M161" s="1758"/>
      <c r="N161" s="1758"/>
      <c r="O161" s="11"/>
    </row>
    <row r="162" spans="1:15" ht="15" customHeight="1" x14ac:dyDescent="0.25">
      <c r="A162" s="1356" t="s">
        <v>83</v>
      </c>
      <c r="B162" s="32"/>
      <c r="C162" s="8"/>
      <c r="D162" s="8"/>
      <c r="E162" s="8"/>
      <c r="F162" s="8"/>
      <c r="G162" s="1793"/>
      <c r="H162" s="23"/>
      <c r="I162" s="30"/>
      <c r="J162" s="1376"/>
      <c r="K162" s="11"/>
      <c r="L162" s="1758"/>
      <c r="M162" s="1758"/>
      <c r="N162" s="1755"/>
    </row>
    <row r="163" spans="1:15" ht="15" customHeight="1" thickBot="1" x14ac:dyDescent="0.3">
      <c r="A163" s="1359"/>
      <c r="B163" s="173"/>
      <c r="C163" s="174"/>
      <c r="D163" s="174"/>
      <c r="E163" s="174"/>
      <c r="F163" s="174"/>
      <c r="G163" s="1794"/>
      <c r="H163" s="271"/>
      <c r="I163" s="272"/>
      <c r="J163" s="1377"/>
      <c r="K163" s="11"/>
      <c r="L163" s="1758"/>
      <c r="M163" s="1758"/>
      <c r="N163" s="1755"/>
    </row>
    <row r="164" spans="1:15" ht="15" customHeight="1" thickTop="1" x14ac:dyDescent="0.25">
      <c r="A164" s="1"/>
      <c r="B164" s="1"/>
      <c r="C164" s="1"/>
      <c r="D164" s="1"/>
      <c r="G164" s="1755"/>
      <c r="H164" s="1"/>
      <c r="I164" s="1"/>
      <c r="J164" s="1"/>
      <c r="K164" s="11"/>
      <c r="L164" s="1758"/>
      <c r="M164" s="1758"/>
      <c r="N164" s="1755"/>
    </row>
    <row r="165" spans="1:15" ht="15" customHeight="1" x14ac:dyDescent="0.25">
      <c r="A165" s="1"/>
      <c r="B165" s="1"/>
      <c r="C165" s="1"/>
      <c r="D165" s="1"/>
      <c r="G165" s="1755"/>
      <c r="H165" s="1"/>
      <c r="I165" s="1"/>
      <c r="J165" s="1"/>
      <c r="L165" s="1765"/>
      <c r="M165" s="1758"/>
      <c r="N165" s="1758"/>
      <c r="O165" s="11"/>
    </row>
    <row r="166" spans="1:15" ht="15" customHeight="1" x14ac:dyDescent="0.25">
      <c r="A166" s="1"/>
      <c r="B166" s="1"/>
      <c r="C166" s="1"/>
      <c r="D166" s="1"/>
      <c r="G166" s="1755"/>
      <c r="H166" s="1"/>
      <c r="I166" s="1"/>
      <c r="J166" s="1"/>
      <c r="L166" s="1765"/>
      <c r="M166" s="1758"/>
      <c r="N166" s="1758"/>
      <c r="O166" s="11"/>
    </row>
    <row r="167" spans="1:15" ht="15" customHeight="1" x14ac:dyDescent="0.25">
      <c r="A167" s="1"/>
      <c r="B167" s="1"/>
      <c r="C167" s="1"/>
      <c r="D167" s="1"/>
      <c r="G167" s="1755"/>
      <c r="H167" s="1"/>
      <c r="I167" s="1"/>
      <c r="J167" s="1"/>
      <c r="L167" s="1765"/>
      <c r="M167" s="1758"/>
      <c r="N167" s="1758"/>
      <c r="O167" s="11"/>
    </row>
    <row r="168" spans="1:15" ht="15" customHeight="1" x14ac:dyDescent="0.25">
      <c r="A168" s="1"/>
      <c r="B168" s="1"/>
      <c r="C168" s="1"/>
      <c r="D168" s="1"/>
      <c r="G168" s="1755"/>
      <c r="H168" s="1"/>
      <c r="I168" s="1"/>
      <c r="J168" s="1"/>
      <c r="L168" s="1765"/>
      <c r="M168" s="1758"/>
      <c r="N168" s="1758"/>
      <c r="O168" s="11"/>
    </row>
    <row r="169" spans="1:15" ht="15" customHeight="1" x14ac:dyDescent="0.25">
      <c r="A169" s="1"/>
      <c r="B169" s="1"/>
      <c r="C169" s="1"/>
      <c r="D169" s="1"/>
      <c r="G169" s="1755"/>
      <c r="H169" s="1"/>
      <c r="I169" s="1"/>
      <c r="J169" s="1"/>
      <c r="L169" s="1765"/>
      <c r="M169" s="1758"/>
      <c r="N169" s="1758"/>
      <c r="O169" s="11"/>
    </row>
    <row r="170" spans="1:15" ht="15" customHeight="1" x14ac:dyDescent="0.25">
      <c r="A170" s="1"/>
      <c r="B170" s="1"/>
      <c r="C170" s="1"/>
      <c r="D170" s="1"/>
      <c r="G170" s="1755"/>
      <c r="H170" s="1"/>
      <c r="I170" s="1"/>
      <c r="J170" s="1"/>
      <c r="L170" s="1765"/>
      <c r="M170" s="1758"/>
      <c r="N170" s="1758"/>
      <c r="O170" s="11"/>
    </row>
    <row r="171" spans="1:15" ht="15" customHeight="1" x14ac:dyDescent="0.25">
      <c r="A171" s="1"/>
      <c r="B171" s="1"/>
      <c r="C171" s="1"/>
      <c r="D171" s="1"/>
      <c r="G171" s="1755"/>
      <c r="H171" s="1"/>
      <c r="I171" s="1"/>
      <c r="J171" s="1"/>
      <c r="L171" s="1765"/>
      <c r="M171" s="1758"/>
      <c r="N171" s="1758"/>
      <c r="O171" s="11"/>
    </row>
    <row r="172" spans="1:15" ht="15" customHeight="1" x14ac:dyDescent="0.25">
      <c r="A172" s="1"/>
      <c r="B172" s="1"/>
      <c r="C172" s="1"/>
      <c r="D172" s="1"/>
      <c r="G172" s="1755"/>
      <c r="H172" s="1"/>
      <c r="I172" s="1"/>
      <c r="J172" s="1"/>
      <c r="L172" s="1765"/>
      <c r="M172" s="1758"/>
      <c r="N172" s="1758"/>
      <c r="O172" s="11"/>
    </row>
    <row r="173" spans="1:15" ht="15" customHeight="1" x14ac:dyDescent="0.25">
      <c r="A173" s="1"/>
      <c r="B173" s="1"/>
      <c r="C173" s="1"/>
      <c r="D173" s="1"/>
      <c r="G173" s="1755"/>
      <c r="H173" s="1"/>
      <c r="I173" s="1"/>
      <c r="J173" s="1"/>
      <c r="L173" s="1765"/>
      <c r="M173" s="1758"/>
      <c r="N173" s="1758"/>
      <c r="O173" s="11"/>
    </row>
    <row r="174" spans="1:15" ht="15" customHeight="1" x14ac:dyDescent="0.25">
      <c r="A174" s="1"/>
      <c r="B174" s="1"/>
      <c r="C174" s="1"/>
      <c r="D174" s="1"/>
      <c r="G174" s="1755"/>
      <c r="H174" s="1"/>
      <c r="I174" s="1"/>
      <c r="J174" s="1"/>
      <c r="L174" s="1765"/>
      <c r="M174" s="1758"/>
      <c r="N174" s="1758"/>
      <c r="O174" s="11"/>
    </row>
    <row r="175" spans="1:15" ht="15" customHeight="1" x14ac:dyDescent="0.25">
      <c r="A175" s="1"/>
      <c r="B175" s="1"/>
      <c r="C175" s="1"/>
      <c r="D175" s="1"/>
      <c r="G175" s="1755"/>
      <c r="H175" s="1"/>
      <c r="I175" s="1"/>
      <c r="J175" s="1"/>
      <c r="L175" s="1765"/>
      <c r="M175" s="1758"/>
      <c r="N175" s="1758"/>
      <c r="O175" s="11"/>
    </row>
    <row r="176" spans="1:15" ht="15" customHeight="1" x14ac:dyDescent="0.25">
      <c r="A176" s="1"/>
      <c r="B176" s="1"/>
      <c r="C176" s="1"/>
      <c r="D176" s="1"/>
      <c r="G176" s="1755"/>
      <c r="H176" s="1"/>
      <c r="I176" s="1"/>
      <c r="J176" s="1"/>
      <c r="L176" s="1765"/>
      <c r="M176" s="1758"/>
      <c r="N176" s="1758"/>
      <c r="O176" s="11"/>
    </row>
    <row r="177" spans="1:15" ht="15" customHeight="1" x14ac:dyDescent="0.25">
      <c r="A177" s="1"/>
      <c r="B177" s="1"/>
      <c r="C177" s="1"/>
      <c r="D177" s="1"/>
      <c r="G177" s="1755"/>
      <c r="H177" s="1"/>
      <c r="I177" s="1"/>
      <c r="J177" s="1"/>
      <c r="L177" s="1765"/>
      <c r="M177" s="1758"/>
      <c r="N177" s="1758"/>
      <c r="O177" s="11"/>
    </row>
    <row r="178" spans="1:15" ht="15" customHeight="1" x14ac:dyDescent="0.25">
      <c r="A178" s="1"/>
      <c r="B178" s="1"/>
      <c r="C178" s="1"/>
      <c r="D178" s="1"/>
      <c r="G178" s="1755"/>
      <c r="H178" s="1"/>
      <c r="I178" s="1"/>
      <c r="J178" s="1"/>
      <c r="L178" s="1765"/>
      <c r="M178" s="1758"/>
      <c r="N178" s="1758"/>
      <c r="O178" s="11"/>
    </row>
    <row r="179" spans="1:15" ht="15" customHeight="1" x14ac:dyDescent="0.25">
      <c r="A179" s="1"/>
      <c r="B179" s="1"/>
      <c r="C179" s="1"/>
      <c r="D179" s="1"/>
      <c r="G179" s="1755"/>
      <c r="H179" s="1"/>
      <c r="I179" s="1"/>
      <c r="J179" s="1"/>
      <c r="L179" s="1765"/>
      <c r="M179" s="1758"/>
      <c r="N179" s="1758"/>
      <c r="O179" s="11"/>
    </row>
    <row r="180" spans="1:15" ht="15" customHeight="1" x14ac:dyDescent="0.25">
      <c r="A180" s="1"/>
      <c r="B180" s="1"/>
      <c r="C180" s="1"/>
      <c r="D180" s="1"/>
      <c r="G180" s="1755"/>
      <c r="H180" s="1"/>
      <c r="I180" s="1"/>
      <c r="J180" s="1"/>
      <c r="L180" s="1765"/>
      <c r="M180" s="1758"/>
      <c r="N180" s="1758"/>
      <c r="O180" s="11"/>
    </row>
    <row r="181" spans="1:15" ht="15" customHeight="1" x14ac:dyDescent="0.25">
      <c r="A181" s="1"/>
      <c r="B181" s="1"/>
      <c r="C181" s="1"/>
      <c r="D181" s="1"/>
      <c r="G181" s="1755"/>
      <c r="H181" s="1"/>
      <c r="I181" s="1"/>
      <c r="J181" s="1"/>
      <c r="L181" s="1765"/>
      <c r="M181" s="1758"/>
      <c r="N181" s="1758"/>
      <c r="O181" s="11"/>
    </row>
    <row r="182" spans="1:15" ht="15" customHeight="1" x14ac:dyDescent="0.25">
      <c r="A182" s="1"/>
      <c r="B182" s="1"/>
      <c r="C182" s="1"/>
      <c r="D182" s="1"/>
      <c r="G182" s="1755"/>
      <c r="H182" s="1"/>
      <c r="I182" s="1"/>
      <c r="J182" s="1"/>
      <c r="L182" s="1765"/>
      <c r="M182" s="1758"/>
      <c r="N182" s="1758"/>
      <c r="O182" s="11"/>
    </row>
    <row r="183" spans="1:15" ht="15" customHeight="1" x14ac:dyDescent="0.25">
      <c r="A183" s="1"/>
      <c r="B183" s="1"/>
      <c r="C183" s="1"/>
      <c r="D183" s="1"/>
      <c r="G183" s="1755"/>
      <c r="H183" s="1"/>
      <c r="I183" s="1"/>
      <c r="J183" s="1"/>
      <c r="L183" s="1765"/>
      <c r="M183" s="1758"/>
      <c r="N183" s="1758"/>
      <c r="O183" s="11"/>
    </row>
    <row r="184" spans="1:15" ht="15" customHeight="1" x14ac:dyDescent="0.25">
      <c r="A184" s="1"/>
      <c r="B184" s="1"/>
      <c r="C184" s="1"/>
      <c r="D184" s="1"/>
      <c r="G184" s="1755"/>
      <c r="H184" s="1"/>
      <c r="I184" s="1"/>
      <c r="J184" s="1"/>
      <c r="L184" s="1765"/>
      <c r="M184" s="1758"/>
      <c r="N184" s="1758"/>
      <c r="O184" s="11"/>
    </row>
    <row r="185" spans="1:15" ht="15" customHeight="1" x14ac:dyDescent="0.25">
      <c r="A185" s="1"/>
      <c r="B185" s="1"/>
      <c r="C185" s="1"/>
      <c r="D185" s="1"/>
      <c r="G185" s="1755"/>
      <c r="H185" s="1"/>
      <c r="I185" s="1"/>
      <c r="J185" s="1"/>
      <c r="L185" s="1765"/>
      <c r="M185" s="1758"/>
      <c r="N185" s="1758"/>
      <c r="O185" s="11"/>
    </row>
    <row r="186" spans="1:15" ht="15" customHeight="1" x14ac:dyDescent="0.25">
      <c r="A186" s="1"/>
      <c r="B186" s="1"/>
      <c r="C186" s="1"/>
      <c r="D186" s="1"/>
      <c r="G186" s="1755"/>
      <c r="H186" s="1"/>
      <c r="I186" s="1"/>
      <c r="J186" s="1"/>
      <c r="L186" s="1767"/>
      <c r="M186" s="1758"/>
      <c r="N186" s="1758"/>
      <c r="O186" s="11"/>
    </row>
    <row r="187" spans="1:15" ht="15" customHeight="1" x14ac:dyDescent="0.25">
      <c r="A187" s="1"/>
      <c r="B187" s="1"/>
      <c r="C187" s="1"/>
      <c r="D187" s="1"/>
      <c r="G187" s="1755"/>
      <c r="H187" s="1"/>
      <c r="I187" s="1"/>
      <c r="J187" s="1"/>
      <c r="L187" s="1765"/>
      <c r="M187" s="1758"/>
      <c r="N187" s="1758"/>
      <c r="O187" s="11"/>
    </row>
    <row r="188" spans="1:15" ht="15" customHeight="1" x14ac:dyDescent="0.25">
      <c r="A188" s="1"/>
      <c r="B188" s="1"/>
      <c r="C188" s="1"/>
      <c r="D188" s="1"/>
      <c r="G188" s="1755"/>
      <c r="H188" s="1"/>
      <c r="I188" s="1"/>
      <c r="J188" s="1"/>
      <c r="L188" s="1765"/>
      <c r="M188" s="1758"/>
      <c r="N188" s="1758"/>
      <c r="O188" s="11"/>
    </row>
    <row r="189" spans="1:15" ht="15" customHeight="1" x14ac:dyDescent="0.25">
      <c r="A189" s="1"/>
      <c r="B189" s="1"/>
      <c r="C189" s="1"/>
      <c r="D189" s="1"/>
      <c r="G189" s="1755"/>
      <c r="H189" s="1"/>
      <c r="I189" s="1"/>
      <c r="J189" s="1"/>
      <c r="L189" s="1765"/>
      <c r="M189" s="1758"/>
      <c r="N189" s="1758"/>
      <c r="O189" s="11"/>
    </row>
    <row r="190" spans="1:15" ht="15" customHeight="1" x14ac:dyDescent="0.25">
      <c r="A190" s="1"/>
      <c r="B190" s="1"/>
      <c r="C190" s="1"/>
      <c r="D190" s="1"/>
      <c r="G190" s="1755"/>
      <c r="H190" s="1"/>
      <c r="I190" s="1"/>
      <c r="J190" s="1"/>
      <c r="L190" s="1765"/>
      <c r="M190" s="1758"/>
      <c r="N190" s="1758"/>
      <c r="O190" s="11"/>
    </row>
    <row r="191" spans="1:15" ht="15" customHeight="1" x14ac:dyDescent="0.25">
      <c r="A191" s="1"/>
      <c r="B191" s="1"/>
      <c r="C191" s="1"/>
      <c r="D191" s="1"/>
      <c r="G191" s="1755"/>
      <c r="H191" s="1"/>
      <c r="I191" s="1"/>
      <c r="J191" s="1"/>
      <c r="L191" s="1765"/>
      <c r="M191" s="1758"/>
      <c r="N191" s="1758"/>
      <c r="O191" s="11"/>
    </row>
    <row r="192" spans="1:15" ht="15" customHeight="1" x14ac:dyDescent="0.25">
      <c r="A192" s="1"/>
      <c r="B192" s="1"/>
      <c r="C192" s="1"/>
      <c r="D192" s="1"/>
      <c r="G192" s="1755"/>
      <c r="H192" s="1"/>
      <c r="I192" s="1"/>
      <c r="J192" s="1"/>
      <c r="L192" s="1765"/>
      <c r="M192" s="1758"/>
      <c r="N192" s="1758"/>
      <c r="O192" s="11"/>
    </row>
    <row r="193" spans="1:15" ht="15" customHeight="1" x14ac:dyDescent="0.25">
      <c r="A193" s="1"/>
      <c r="B193" s="1"/>
      <c r="C193" s="1"/>
      <c r="D193" s="1"/>
      <c r="G193" s="1755"/>
      <c r="H193" s="1"/>
      <c r="I193" s="1"/>
      <c r="J193" s="1"/>
      <c r="L193" s="1765"/>
      <c r="M193" s="1758"/>
      <c r="N193" s="1758"/>
      <c r="O193" s="11"/>
    </row>
    <row r="194" spans="1:15" ht="15" customHeight="1" x14ac:dyDescent="0.25">
      <c r="A194" s="1"/>
      <c r="B194" s="1"/>
      <c r="C194" s="1"/>
      <c r="D194" s="1"/>
      <c r="G194" s="1755"/>
      <c r="H194" s="1"/>
      <c r="I194" s="1"/>
      <c r="J194" s="1"/>
      <c r="L194" s="1765"/>
      <c r="M194" s="1758"/>
      <c r="N194" s="1758"/>
      <c r="O194" s="11"/>
    </row>
    <row r="195" spans="1:15" ht="15" customHeight="1" x14ac:dyDescent="0.25">
      <c r="A195" s="1"/>
      <c r="B195" s="1"/>
      <c r="C195" s="1"/>
      <c r="D195" s="1"/>
      <c r="G195" s="1755"/>
      <c r="H195" s="1"/>
      <c r="I195" s="1"/>
      <c r="J195" s="1"/>
      <c r="L195" s="1765"/>
      <c r="M195" s="1758"/>
      <c r="N195" s="1758"/>
      <c r="O195" s="11"/>
    </row>
    <row r="196" spans="1:15" ht="15" customHeight="1" x14ac:dyDescent="0.25">
      <c r="A196" s="1"/>
      <c r="B196" s="1"/>
      <c r="C196" s="1"/>
      <c r="D196" s="1"/>
      <c r="G196" s="1755"/>
      <c r="H196" s="1"/>
      <c r="I196" s="1"/>
      <c r="J196" s="1"/>
      <c r="L196" s="1765"/>
      <c r="M196" s="1758"/>
      <c r="N196" s="1758"/>
      <c r="O196" s="11"/>
    </row>
    <row r="197" spans="1:15" ht="15" customHeight="1" x14ac:dyDescent="0.25">
      <c r="A197" s="1"/>
      <c r="B197" s="1"/>
      <c r="C197" s="1"/>
      <c r="D197" s="1"/>
      <c r="G197" s="1755"/>
      <c r="H197" s="1"/>
      <c r="I197" s="1"/>
      <c r="J197" s="1"/>
      <c r="L197" s="1767"/>
      <c r="M197" s="1758"/>
      <c r="N197" s="1758"/>
      <c r="O197" s="11"/>
    </row>
    <row r="198" spans="1:15" ht="15" customHeight="1" x14ac:dyDescent="0.25">
      <c r="A198" s="1"/>
      <c r="B198" s="1"/>
      <c r="C198" s="1"/>
      <c r="D198" s="1"/>
      <c r="G198" s="1755"/>
      <c r="H198" s="1"/>
      <c r="I198" s="1"/>
      <c r="J198" s="1"/>
      <c r="L198" s="1765"/>
      <c r="M198" s="1758"/>
      <c r="N198" s="1758"/>
      <c r="O198" s="11"/>
    </row>
    <row r="199" spans="1:15" ht="15" customHeight="1" x14ac:dyDescent="0.25">
      <c r="A199" s="1"/>
      <c r="B199" s="1"/>
      <c r="C199" s="1"/>
      <c r="D199" s="1"/>
      <c r="G199" s="1755"/>
      <c r="H199" s="1"/>
      <c r="I199" s="1"/>
      <c r="J199" s="1"/>
      <c r="L199" s="1765"/>
      <c r="M199" s="1758"/>
      <c r="N199" s="1758"/>
      <c r="O199" s="11"/>
    </row>
    <row r="200" spans="1:15" ht="15" customHeight="1" x14ac:dyDescent="0.25">
      <c r="A200" s="1"/>
      <c r="B200" s="1"/>
      <c r="C200" s="1"/>
      <c r="D200" s="1"/>
      <c r="G200" s="1755"/>
      <c r="H200" s="1"/>
      <c r="I200" s="1"/>
      <c r="J200" s="1"/>
      <c r="L200" s="1765"/>
      <c r="M200" s="1758"/>
      <c r="N200" s="1758"/>
      <c r="O200" s="11"/>
    </row>
    <row r="201" spans="1:15" ht="15" customHeight="1" x14ac:dyDescent="0.25">
      <c r="A201" s="1"/>
      <c r="B201" s="1"/>
      <c r="C201" s="1"/>
      <c r="D201" s="1"/>
      <c r="G201" s="1755"/>
      <c r="H201" s="1"/>
      <c r="I201" s="1"/>
      <c r="J201" s="1"/>
      <c r="L201" s="1765"/>
      <c r="M201" s="1758"/>
      <c r="N201" s="1758"/>
      <c r="O201" s="11"/>
    </row>
    <row r="202" spans="1:15" ht="15" customHeight="1" x14ac:dyDescent="0.25">
      <c r="A202" s="1"/>
      <c r="B202" s="1"/>
      <c r="C202" s="1"/>
      <c r="D202" s="1"/>
      <c r="G202" s="1755"/>
      <c r="H202" s="1"/>
      <c r="I202" s="1"/>
      <c r="J202" s="1"/>
      <c r="L202" s="1765"/>
      <c r="M202" s="1758"/>
      <c r="N202" s="1758"/>
      <c r="O202" s="11"/>
    </row>
    <row r="203" spans="1:15" ht="15" customHeight="1" x14ac:dyDescent="0.25">
      <c r="A203" s="1"/>
      <c r="B203" s="1"/>
      <c r="C203" s="1"/>
      <c r="D203" s="1"/>
      <c r="G203" s="1755"/>
      <c r="H203" s="1"/>
      <c r="I203" s="1"/>
      <c r="J203" s="1"/>
      <c r="L203" s="1765"/>
      <c r="M203" s="1758"/>
      <c r="N203" s="1758"/>
      <c r="O203" s="11"/>
    </row>
    <row r="204" spans="1:15" ht="15" customHeight="1" x14ac:dyDescent="0.25">
      <c r="A204" s="1"/>
      <c r="B204" s="1"/>
      <c r="C204" s="1"/>
      <c r="D204" s="1"/>
      <c r="G204" s="1755"/>
      <c r="H204" s="1"/>
      <c r="I204" s="1"/>
      <c r="J204" s="1"/>
      <c r="L204" s="1767"/>
      <c r="M204" s="1758"/>
      <c r="N204" s="1758"/>
      <c r="O204" s="11"/>
    </row>
    <row r="205" spans="1:15" ht="15" customHeight="1" x14ac:dyDescent="0.25">
      <c r="A205" s="1"/>
      <c r="B205" s="1"/>
      <c r="C205" s="1"/>
      <c r="D205" s="1"/>
      <c r="G205" s="1755"/>
      <c r="H205" s="1"/>
      <c r="I205" s="1"/>
      <c r="J205" s="1"/>
      <c r="L205" s="1765"/>
      <c r="M205" s="1758"/>
      <c r="N205" s="1758"/>
      <c r="O205" s="11"/>
    </row>
    <row r="206" spans="1:15" ht="15" customHeight="1" x14ac:dyDescent="0.25">
      <c r="A206" s="1"/>
      <c r="B206" s="1"/>
      <c r="C206" s="1"/>
      <c r="D206" s="1"/>
      <c r="G206" s="1755"/>
      <c r="H206" s="1"/>
      <c r="I206" s="1"/>
      <c r="J206" s="1"/>
      <c r="L206" s="1765"/>
      <c r="M206" s="1758"/>
      <c r="N206" s="1758"/>
      <c r="O206" s="11"/>
    </row>
    <row r="207" spans="1:15" ht="15" customHeight="1" x14ac:dyDescent="0.25">
      <c r="A207" s="1"/>
      <c r="B207" s="1"/>
      <c r="C207" s="1"/>
      <c r="D207" s="1"/>
      <c r="G207" s="1755"/>
      <c r="H207" s="1"/>
      <c r="I207" s="1"/>
      <c r="J207" s="1"/>
      <c r="L207" s="1765"/>
      <c r="M207" s="1758"/>
      <c r="N207" s="1758"/>
      <c r="O207" s="11"/>
    </row>
    <row r="208" spans="1:15" ht="15" customHeight="1" x14ac:dyDescent="0.25">
      <c r="A208" s="1"/>
      <c r="B208" s="1"/>
      <c r="C208" s="1"/>
      <c r="D208" s="1"/>
      <c r="G208" s="1755"/>
      <c r="H208" s="1"/>
      <c r="I208" s="1"/>
      <c r="J208" s="1"/>
      <c r="L208" s="1765"/>
      <c r="M208" s="1758"/>
      <c r="N208" s="1758"/>
      <c r="O208" s="11"/>
    </row>
    <row r="209" spans="1:15" ht="15" customHeight="1" x14ac:dyDescent="0.25">
      <c r="A209" s="1"/>
      <c r="B209" s="1"/>
      <c r="C209" s="1"/>
      <c r="D209" s="1"/>
      <c r="G209" s="1755"/>
      <c r="H209" s="1"/>
      <c r="I209" s="1"/>
      <c r="J209" s="1"/>
      <c r="L209" s="1765"/>
      <c r="M209" s="1758"/>
      <c r="N209" s="1758"/>
      <c r="O209" s="11"/>
    </row>
    <row r="210" spans="1:15" ht="15" customHeight="1" x14ac:dyDescent="0.25">
      <c r="A210" s="1"/>
      <c r="B210" s="1"/>
      <c r="C210" s="1"/>
      <c r="D210" s="1"/>
      <c r="G210" s="1755"/>
      <c r="H210" s="1"/>
      <c r="I210" s="1"/>
      <c r="J210" s="1"/>
      <c r="L210" s="1765"/>
      <c r="M210" s="1758"/>
      <c r="N210" s="1758"/>
      <c r="O210" s="11"/>
    </row>
    <row r="211" spans="1:15" ht="15" customHeight="1" x14ac:dyDescent="0.25">
      <c r="A211" s="1"/>
      <c r="B211" s="1"/>
      <c r="C211" s="1"/>
      <c r="D211" s="1"/>
      <c r="G211" s="1755"/>
      <c r="H211" s="1"/>
      <c r="I211" s="1"/>
      <c r="J211" s="1"/>
      <c r="L211" s="1765"/>
      <c r="M211" s="1758"/>
      <c r="N211" s="1758"/>
      <c r="O211" s="11"/>
    </row>
    <row r="212" spans="1:15" ht="15" customHeight="1" x14ac:dyDescent="0.25">
      <c r="A212" s="1"/>
      <c r="B212" s="1"/>
      <c r="C212" s="1"/>
      <c r="D212" s="1"/>
      <c r="G212" s="1755"/>
      <c r="H212" s="1"/>
      <c r="I212" s="1"/>
      <c r="J212" s="1"/>
      <c r="L212" s="1765"/>
      <c r="M212" s="1758"/>
      <c r="N212" s="1758"/>
      <c r="O212" s="11"/>
    </row>
    <row r="213" spans="1:15" ht="15" customHeight="1" x14ac:dyDescent="0.25">
      <c r="A213" s="1"/>
      <c r="B213" s="1"/>
      <c r="C213" s="1"/>
      <c r="D213" s="1"/>
      <c r="G213" s="1755"/>
      <c r="H213" s="1"/>
      <c r="I213" s="1"/>
      <c r="J213" s="1"/>
      <c r="L213" s="1765"/>
      <c r="M213" s="1758"/>
      <c r="N213" s="1758"/>
      <c r="O213" s="11"/>
    </row>
    <row r="214" spans="1:15" ht="15" customHeight="1" x14ac:dyDescent="0.25">
      <c r="A214" s="1"/>
      <c r="B214" s="1"/>
      <c r="C214" s="1"/>
      <c r="D214" s="1"/>
      <c r="G214" s="1755"/>
      <c r="H214" s="1"/>
      <c r="I214" s="1"/>
      <c r="J214" s="1"/>
      <c r="L214" s="1765"/>
      <c r="M214" s="1758"/>
      <c r="N214" s="1758"/>
      <c r="O214" s="11"/>
    </row>
    <row r="215" spans="1:15" ht="15" customHeight="1" x14ac:dyDescent="0.25">
      <c r="A215" s="1"/>
      <c r="B215" s="1"/>
      <c r="C215" s="1"/>
      <c r="D215" s="1"/>
      <c r="G215" s="1755"/>
      <c r="H215" s="1"/>
      <c r="I215" s="1"/>
      <c r="J215" s="1"/>
      <c r="L215" s="1765"/>
      <c r="M215" s="1758"/>
      <c r="N215" s="1758"/>
      <c r="O215" s="11"/>
    </row>
    <row r="216" spans="1:15" ht="15" customHeight="1" x14ac:dyDescent="0.25">
      <c r="A216" s="1"/>
      <c r="B216" s="1"/>
      <c r="C216" s="1"/>
      <c r="D216" s="1"/>
      <c r="G216" s="1755"/>
      <c r="H216" s="1"/>
      <c r="I216" s="1"/>
      <c r="J216" s="1"/>
      <c r="L216" s="1765"/>
      <c r="M216" s="1758"/>
      <c r="N216" s="1758"/>
      <c r="O216" s="11"/>
    </row>
    <row r="217" spans="1:15" ht="15" customHeight="1" x14ac:dyDescent="0.25">
      <c r="A217" s="1"/>
      <c r="B217" s="1"/>
      <c r="C217" s="1"/>
      <c r="D217" s="1"/>
      <c r="G217" s="1755"/>
      <c r="H217" s="1"/>
      <c r="I217" s="1"/>
      <c r="J217" s="1"/>
      <c r="L217" s="1765"/>
      <c r="M217" s="1758"/>
      <c r="N217" s="1758"/>
      <c r="O217" s="11"/>
    </row>
    <row r="218" spans="1:15" ht="15" customHeight="1" x14ac:dyDescent="0.25">
      <c r="A218" s="1"/>
      <c r="B218" s="1"/>
      <c r="C218" s="1"/>
      <c r="D218" s="1"/>
      <c r="G218" s="1755"/>
      <c r="H218" s="1"/>
      <c r="I218" s="1"/>
      <c r="J218" s="1"/>
      <c r="L218" s="1765"/>
      <c r="M218" s="1758"/>
      <c r="N218" s="1758"/>
      <c r="O218" s="11"/>
    </row>
    <row r="219" spans="1:15" ht="15" customHeight="1" x14ac:dyDescent="0.25">
      <c r="A219" s="1"/>
      <c r="B219" s="1"/>
      <c r="C219" s="1"/>
      <c r="D219" s="1"/>
      <c r="G219" s="1755"/>
      <c r="H219" s="1"/>
      <c r="I219" s="1"/>
      <c r="J219" s="1"/>
      <c r="L219" s="1765"/>
      <c r="M219" s="1758"/>
      <c r="N219" s="1758"/>
      <c r="O219" s="11"/>
    </row>
    <row r="220" spans="1:15" ht="15" customHeight="1" x14ac:dyDescent="0.25">
      <c r="A220" s="1"/>
      <c r="B220" s="1"/>
      <c r="C220" s="1"/>
      <c r="D220" s="1"/>
      <c r="G220" s="1755"/>
      <c r="H220" s="1"/>
      <c r="I220" s="1"/>
      <c r="J220" s="1"/>
      <c r="L220" s="1765"/>
      <c r="M220" s="1758"/>
      <c r="N220" s="1758"/>
      <c r="O220" s="11"/>
    </row>
    <row r="221" spans="1:15" ht="15" customHeight="1" x14ac:dyDescent="0.25">
      <c r="A221" s="1"/>
      <c r="B221" s="1"/>
      <c r="C221" s="1"/>
      <c r="D221" s="1"/>
      <c r="G221" s="1755"/>
      <c r="H221" s="1"/>
      <c r="I221" s="1"/>
      <c r="J221" s="1"/>
      <c r="L221" s="1765"/>
      <c r="M221" s="1758"/>
      <c r="N221" s="1758"/>
      <c r="O221" s="11"/>
    </row>
    <row r="222" spans="1:15" ht="15" customHeight="1" x14ac:dyDescent="0.25">
      <c r="A222" s="1"/>
      <c r="B222" s="1"/>
      <c r="C222" s="1"/>
      <c r="D222" s="1"/>
      <c r="G222" s="1755"/>
      <c r="H222" s="1"/>
      <c r="I222" s="1"/>
      <c r="J222" s="1"/>
      <c r="L222" s="1765"/>
      <c r="M222" s="1758"/>
      <c r="N222" s="1758"/>
      <c r="O222" s="11"/>
    </row>
    <row r="223" spans="1:15" ht="15" customHeight="1" x14ac:dyDescent="0.25">
      <c r="A223" s="1"/>
      <c r="B223" s="1"/>
      <c r="C223" s="1"/>
      <c r="D223" s="1"/>
      <c r="G223" s="1755"/>
      <c r="H223" s="1"/>
      <c r="I223" s="1"/>
      <c r="J223" s="1"/>
      <c r="L223" s="1765"/>
      <c r="M223" s="1758"/>
      <c r="N223" s="1758"/>
      <c r="O223" s="11"/>
    </row>
    <row r="224" spans="1:15" ht="15" customHeight="1" x14ac:dyDescent="0.25">
      <c r="A224" s="1"/>
      <c r="B224" s="1"/>
      <c r="C224" s="1"/>
      <c r="D224" s="1"/>
      <c r="G224" s="1755"/>
      <c r="H224" s="1"/>
      <c r="I224" s="1"/>
      <c r="J224" s="1"/>
      <c r="L224" s="1765"/>
      <c r="M224" s="1758"/>
      <c r="N224" s="1758"/>
      <c r="O224" s="11"/>
    </row>
    <row r="225" spans="1:15" ht="15" customHeight="1" x14ac:dyDescent="0.25">
      <c r="A225" s="1"/>
      <c r="B225" s="1"/>
      <c r="C225" s="1"/>
      <c r="D225" s="1"/>
      <c r="G225" s="1755"/>
      <c r="H225" s="1"/>
      <c r="I225" s="1"/>
      <c r="J225" s="1"/>
      <c r="L225" s="1765"/>
      <c r="M225" s="1758"/>
      <c r="N225" s="1758"/>
      <c r="O225" s="11"/>
    </row>
    <row r="226" spans="1:15" ht="15" customHeight="1" x14ac:dyDescent="0.25">
      <c r="A226" s="1"/>
      <c r="B226" s="1"/>
      <c r="C226" s="1"/>
      <c r="D226" s="1"/>
      <c r="G226" s="1755"/>
      <c r="H226" s="1"/>
      <c r="I226" s="1"/>
      <c r="J226" s="1"/>
      <c r="L226" s="1765"/>
      <c r="M226" s="1758"/>
      <c r="N226" s="1758"/>
      <c r="O226" s="11"/>
    </row>
    <row r="227" spans="1:15" ht="15" customHeight="1" x14ac:dyDescent="0.25">
      <c r="A227" s="1"/>
      <c r="B227" s="1"/>
      <c r="C227" s="1"/>
      <c r="D227" s="1"/>
      <c r="G227" s="1755"/>
      <c r="H227" s="1"/>
      <c r="I227" s="1"/>
      <c r="J227" s="1"/>
      <c r="L227" s="1765"/>
      <c r="M227" s="1758"/>
      <c r="N227" s="1758"/>
      <c r="O227" s="11"/>
    </row>
    <row r="228" spans="1:15" ht="15" customHeight="1" x14ac:dyDescent="0.25">
      <c r="A228" s="1"/>
      <c r="B228" s="1"/>
      <c r="C228" s="1"/>
      <c r="D228" s="1"/>
      <c r="G228" s="1755"/>
      <c r="H228" s="1"/>
      <c r="I228" s="1"/>
      <c r="J228" s="1"/>
      <c r="L228" s="1765"/>
      <c r="M228" s="1758"/>
      <c r="N228" s="1758"/>
      <c r="O228" s="11"/>
    </row>
    <row r="229" spans="1:15" ht="15" customHeight="1" x14ac:dyDescent="0.25">
      <c r="A229" s="1"/>
      <c r="B229" s="1"/>
      <c r="C229" s="1"/>
      <c r="D229" s="1"/>
      <c r="G229" s="1755"/>
      <c r="H229" s="1"/>
      <c r="I229" s="1"/>
      <c r="J229" s="1"/>
      <c r="L229" s="1765"/>
      <c r="M229" s="1758"/>
      <c r="N229" s="1758"/>
      <c r="O229" s="11"/>
    </row>
    <row r="230" spans="1:15" ht="15" customHeight="1" x14ac:dyDescent="0.25">
      <c r="A230" s="1"/>
      <c r="B230" s="1"/>
      <c r="C230" s="1"/>
      <c r="D230" s="1"/>
      <c r="G230" s="1755"/>
      <c r="H230" s="1"/>
      <c r="I230" s="1"/>
      <c r="J230" s="1"/>
      <c r="L230" s="1765"/>
      <c r="M230" s="1758"/>
      <c r="N230" s="1758"/>
      <c r="O230" s="11"/>
    </row>
    <row r="231" spans="1:15" ht="15" customHeight="1" x14ac:dyDescent="0.25">
      <c r="A231" s="1"/>
      <c r="B231" s="1"/>
      <c r="C231" s="1"/>
      <c r="D231" s="1"/>
      <c r="G231" s="1755"/>
      <c r="H231" s="1"/>
      <c r="I231" s="1"/>
      <c r="J231" s="1"/>
      <c r="L231" s="1765"/>
      <c r="M231" s="1758"/>
      <c r="N231" s="1758"/>
      <c r="O231" s="11"/>
    </row>
    <row r="232" spans="1:15" ht="15" customHeight="1" x14ac:dyDescent="0.25">
      <c r="A232" s="1"/>
      <c r="B232" s="1"/>
      <c r="C232" s="1"/>
      <c r="D232" s="1"/>
      <c r="G232" s="1755"/>
      <c r="H232" s="1"/>
      <c r="I232" s="1"/>
      <c r="J232" s="1"/>
      <c r="L232" s="1765"/>
      <c r="M232" s="1758"/>
      <c r="N232" s="1758"/>
      <c r="O232" s="11"/>
    </row>
    <row r="233" spans="1:15" ht="15" customHeight="1" x14ac:dyDescent="0.25">
      <c r="A233" s="1"/>
      <c r="B233" s="1"/>
      <c r="C233" s="1"/>
      <c r="D233" s="1"/>
      <c r="G233" s="1755"/>
      <c r="H233" s="1"/>
      <c r="I233" s="1"/>
      <c r="J233" s="1"/>
      <c r="L233" s="1765"/>
      <c r="M233" s="1758"/>
      <c r="N233" s="1758"/>
      <c r="O233" s="11"/>
    </row>
    <row r="234" spans="1:15" ht="15" customHeight="1" x14ac:dyDescent="0.25">
      <c r="A234" s="1"/>
      <c r="B234" s="1"/>
      <c r="C234" s="1"/>
      <c r="D234" s="1"/>
      <c r="G234" s="1755"/>
      <c r="H234" s="1"/>
      <c r="I234" s="1"/>
      <c r="J234" s="1"/>
      <c r="L234" s="1765"/>
      <c r="M234" s="1758"/>
      <c r="N234" s="1758"/>
      <c r="O234" s="11"/>
    </row>
    <row r="235" spans="1:15" ht="15" customHeight="1" x14ac:dyDescent="0.25">
      <c r="A235" s="1"/>
      <c r="B235" s="1"/>
      <c r="C235" s="1"/>
      <c r="D235" s="1"/>
      <c r="G235" s="1755"/>
      <c r="H235" s="1"/>
      <c r="I235" s="1"/>
      <c r="J235" s="1"/>
      <c r="L235" s="1765"/>
      <c r="M235" s="1758"/>
      <c r="N235" s="1758"/>
      <c r="O235" s="11"/>
    </row>
    <row r="236" spans="1:15" ht="15" customHeight="1" x14ac:dyDescent="0.25">
      <c r="A236" s="1"/>
      <c r="B236" s="1"/>
      <c r="C236" s="1"/>
      <c r="D236" s="1"/>
      <c r="G236" s="1755"/>
      <c r="H236" s="1"/>
      <c r="I236" s="1"/>
      <c r="J236" s="1"/>
      <c r="L236" s="1765"/>
      <c r="M236" s="1758"/>
      <c r="N236" s="1758"/>
      <c r="O236" s="11"/>
    </row>
    <row r="237" spans="1:15" ht="15" customHeight="1" x14ac:dyDescent="0.25">
      <c r="A237" s="1"/>
      <c r="B237" s="1"/>
      <c r="C237" s="1"/>
      <c r="D237" s="1"/>
      <c r="G237" s="1755"/>
      <c r="H237" s="1"/>
      <c r="I237" s="1"/>
      <c r="J237" s="1"/>
      <c r="L237" s="1765"/>
      <c r="M237" s="1758"/>
      <c r="N237" s="1758"/>
      <c r="O237" s="11"/>
    </row>
    <row r="238" spans="1:15" ht="15" customHeight="1" x14ac:dyDescent="0.25">
      <c r="A238" s="1"/>
      <c r="B238" s="1"/>
      <c r="C238" s="1"/>
      <c r="D238" s="1"/>
      <c r="G238" s="1755"/>
      <c r="H238" s="1"/>
      <c r="I238" s="1"/>
      <c r="J238" s="1"/>
      <c r="L238" s="1765"/>
      <c r="M238" s="1758"/>
      <c r="N238" s="1758"/>
      <c r="O238" s="11"/>
    </row>
    <row r="239" spans="1:15" ht="15" customHeight="1" x14ac:dyDescent="0.25">
      <c r="A239" s="1"/>
      <c r="B239" s="1"/>
      <c r="C239" s="1"/>
      <c r="D239" s="1"/>
      <c r="G239" s="1755"/>
      <c r="H239" s="1"/>
      <c r="I239" s="1"/>
      <c r="J239" s="1"/>
      <c r="L239" s="1765"/>
      <c r="M239" s="1758"/>
      <c r="N239" s="1758"/>
      <c r="O239" s="11"/>
    </row>
    <row r="240" spans="1:15" ht="15" customHeight="1" x14ac:dyDescent="0.25">
      <c r="A240" s="1"/>
      <c r="B240" s="1"/>
      <c r="C240" s="1"/>
      <c r="D240" s="1"/>
      <c r="G240" s="1755"/>
      <c r="H240" s="1"/>
      <c r="I240" s="1"/>
      <c r="J240" s="1"/>
      <c r="L240" s="1765"/>
      <c r="M240" s="1758"/>
      <c r="N240" s="1758"/>
      <c r="O240" s="11"/>
    </row>
    <row r="241" spans="1:15" ht="15" customHeight="1" x14ac:dyDescent="0.25">
      <c r="A241" s="1"/>
      <c r="B241" s="1"/>
      <c r="C241" s="1"/>
      <c r="D241" s="1"/>
      <c r="G241" s="1755"/>
      <c r="H241" s="1"/>
      <c r="I241" s="1"/>
      <c r="J241" s="1"/>
      <c r="L241" s="1765"/>
      <c r="M241" s="1758"/>
      <c r="N241" s="1758"/>
      <c r="O241" s="11"/>
    </row>
    <row r="242" spans="1:15" ht="15" customHeight="1" x14ac:dyDescent="0.25">
      <c r="A242" s="1"/>
      <c r="B242" s="1"/>
      <c r="C242" s="1"/>
      <c r="D242" s="1"/>
      <c r="G242" s="1755"/>
      <c r="H242" s="1"/>
      <c r="I242" s="1"/>
      <c r="J242" s="1"/>
      <c r="L242" s="1765"/>
      <c r="M242" s="1758"/>
      <c r="N242" s="1758"/>
      <c r="O242" s="11"/>
    </row>
    <row r="243" spans="1:15" ht="15" customHeight="1" x14ac:dyDescent="0.25">
      <c r="A243" s="1"/>
      <c r="B243" s="1"/>
      <c r="C243" s="1"/>
      <c r="D243" s="1"/>
      <c r="G243" s="1755"/>
      <c r="H243" s="1"/>
      <c r="I243" s="1"/>
      <c r="J243" s="1"/>
      <c r="L243" s="1765"/>
      <c r="M243" s="1758"/>
      <c r="N243" s="1758"/>
      <c r="O243" s="11"/>
    </row>
    <row r="244" spans="1:15" ht="15" customHeight="1" x14ac:dyDescent="0.25">
      <c r="A244" s="1"/>
      <c r="B244" s="1"/>
      <c r="C244" s="1"/>
      <c r="D244" s="1"/>
      <c r="G244" s="1755"/>
      <c r="H244" s="1"/>
      <c r="I244" s="1"/>
      <c r="J244" s="1"/>
      <c r="L244" s="1765"/>
      <c r="M244" s="1758"/>
      <c r="N244" s="1758"/>
      <c r="O244" s="11"/>
    </row>
    <row r="245" spans="1:15" ht="15" customHeight="1" x14ac:dyDescent="0.25">
      <c r="A245" s="1"/>
      <c r="B245" s="1"/>
      <c r="C245" s="1"/>
      <c r="D245" s="1"/>
      <c r="G245" s="1755"/>
      <c r="H245" s="1"/>
      <c r="I245" s="1"/>
      <c r="J245" s="1"/>
      <c r="L245" s="1765"/>
      <c r="M245" s="1758"/>
      <c r="N245" s="1758"/>
      <c r="O245" s="11"/>
    </row>
    <row r="246" spans="1:15" ht="15" customHeight="1" x14ac:dyDescent="0.25">
      <c r="A246" s="1"/>
      <c r="B246" s="1"/>
      <c r="C246" s="1"/>
      <c r="D246" s="1"/>
      <c r="G246" s="1755"/>
      <c r="H246" s="1"/>
      <c r="I246" s="1"/>
      <c r="J246" s="1"/>
      <c r="L246" s="1765"/>
      <c r="M246" s="1758"/>
      <c r="N246" s="1758"/>
      <c r="O246" s="11"/>
    </row>
    <row r="247" spans="1:15" ht="15" customHeight="1" x14ac:dyDescent="0.25">
      <c r="A247" s="1"/>
      <c r="B247" s="1"/>
      <c r="C247" s="1"/>
      <c r="D247" s="1"/>
      <c r="G247" s="1755"/>
      <c r="H247" s="1"/>
      <c r="I247" s="1"/>
      <c r="J247" s="1"/>
      <c r="L247" s="1765"/>
      <c r="M247" s="1758"/>
      <c r="N247" s="1758"/>
      <c r="O247" s="11"/>
    </row>
    <row r="248" spans="1:15" ht="15" customHeight="1" x14ac:dyDescent="0.25">
      <c r="A248" s="1"/>
      <c r="B248" s="1"/>
      <c r="C248" s="1"/>
      <c r="D248" s="1"/>
      <c r="G248" s="1755"/>
      <c r="H248" s="1"/>
      <c r="I248" s="1"/>
      <c r="J248" s="1"/>
      <c r="L248" s="1765"/>
      <c r="M248" s="1758"/>
      <c r="N248" s="1758"/>
      <c r="O248" s="11"/>
    </row>
    <row r="249" spans="1:15" ht="15" customHeight="1" x14ac:dyDescent="0.25">
      <c r="A249" s="1"/>
      <c r="B249" s="1"/>
      <c r="C249" s="1"/>
      <c r="D249" s="1"/>
      <c r="G249" s="1755"/>
      <c r="H249" s="1"/>
      <c r="I249" s="1"/>
      <c r="J249" s="1"/>
      <c r="L249" s="1768"/>
      <c r="M249" s="1758"/>
      <c r="N249" s="1758"/>
      <c r="O249" s="11"/>
    </row>
    <row r="250" spans="1:15" ht="15" customHeight="1" x14ac:dyDescent="0.25">
      <c r="A250" s="1"/>
      <c r="B250" s="1"/>
      <c r="C250" s="1"/>
      <c r="D250" s="1"/>
      <c r="G250" s="1755"/>
      <c r="H250" s="1"/>
      <c r="I250" s="1"/>
      <c r="J250" s="1"/>
      <c r="L250" s="1768"/>
      <c r="M250" s="1758"/>
      <c r="N250" s="1758"/>
      <c r="O250" s="11"/>
    </row>
    <row r="251" spans="1:15" ht="15" customHeight="1" x14ac:dyDescent="0.25">
      <c r="A251" s="1"/>
      <c r="B251" s="1"/>
      <c r="C251" s="1"/>
      <c r="D251" s="1"/>
      <c r="G251" s="1755"/>
      <c r="H251" s="1"/>
      <c r="I251" s="1"/>
      <c r="J251" s="1"/>
      <c r="L251" s="1769"/>
      <c r="M251" s="1758"/>
      <c r="N251" s="1758"/>
      <c r="O251" s="11"/>
    </row>
    <row r="252" spans="1:15" ht="15" customHeight="1" x14ac:dyDescent="0.25">
      <c r="A252" s="1"/>
      <c r="B252" s="1"/>
      <c r="C252" s="1"/>
      <c r="D252" s="1"/>
      <c r="G252" s="1755"/>
      <c r="H252" s="1"/>
      <c r="I252" s="1"/>
      <c r="J252" s="1"/>
      <c r="L252" s="1768"/>
      <c r="M252" s="1758"/>
      <c r="N252" s="1758"/>
      <c r="O252" s="11"/>
    </row>
    <row r="253" spans="1:15" ht="15" customHeight="1" x14ac:dyDescent="0.25">
      <c r="A253" s="1"/>
      <c r="B253" s="1"/>
      <c r="C253" s="1"/>
      <c r="D253" s="1"/>
      <c r="G253" s="1755"/>
      <c r="H253" s="1"/>
      <c r="I253" s="1"/>
      <c r="J253" s="1"/>
      <c r="L253" s="1768"/>
      <c r="M253" s="1758"/>
      <c r="N253" s="1758"/>
      <c r="O253" s="11"/>
    </row>
    <row r="254" spans="1:15" ht="15" customHeight="1" x14ac:dyDescent="0.25">
      <c r="A254" s="1"/>
      <c r="B254" s="1"/>
      <c r="C254" s="1"/>
      <c r="D254" s="1"/>
      <c r="G254" s="1755"/>
      <c r="H254" s="1"/>
      <c r="I254" s="1"/>
      <c r="J254" s="1"/>
      <c r="L254" s="1768"/>
      <c r="M254" s="1758"/>
      <c r="N254" s="1758"/>
      <c r="O254" s="11"/>
    </row>
    <row r="255" spans="1:15" ht="15" customHeight="1" x14ac:dyDescent="0.25">
      <c r="A255" s="1"/>
      <c r="B255" s="1"/>
      <c r="C255" s="1"/>
      <c r="D255" s="1"/>
      <c r="G255" s="1755"/>
      <c r="H255" s="1"/>
      <c r="I255" s="1"/>
      <c r="J255" s="1"/>
      <c r="L255" s="1768"/>
      <c r="M255" s="1758"/>
      <c r="N255" s="1758"/>
      <c r="O255" s="11"/>
    </row>
    <row r="256" spans="1:15" ht="15" customHeight="1" x14ac:dyDescent="0.25">
      <c r="A256" s="1"/>
      <c r="B256" s="1"/>
      <c r="C256" s="1"/>
      <c r="D256" s="1"/>
      <c r="G256" s="1755"/>
      <c r="H256" s="1"/>
      <c r="I256" s="1"/>
      <c r="J256" s="1"/>
      <c r="L256" s="1768"/>
      <c r="M256" s="1758"/>
      <c r="N256" s="1758"/>
      <c r="O256" s="11"/>
    </row>
    <row r="257" spans="1:19" ht="15" customHeight="1" x14ac:dyDescent="0.25">
      <c r="A257" s="1"/>
      <c r="B257" s="1"/>
      <c r="C257" s="1"/>
      <c r="D257" s="1"/>
      <c r="G257" s="1755"/>
      <c r="H257" s="1"/>
      <c r="I257" s="1"/>
      <c r="J257" s="1"/>
      <c r="L257" s="1768"/>
      <c r="M257" s="1758"/>
      <c r="N257" s="1758"/>
      <c r="O257" s="11"/>
    </row>
    <row r="258" spans="1:19" ht="15" customHeight="1" x14ac:dyDescent="0.25">
      <c r="A258" s="1"/>
      <c r="B258" s="1"/>
      <c r="C258" s="1"/>
      <c r="D258" s="1"/>
      <c r="G258" s="1755"/>
      <c r="H258" s="1"/>
      <c r="I258" s="1"/>
      <c r="J258" s="1"/>
      <c r="L258" s="1768"/>
      <c r="M258" s="1758"/>
      <c r="N258" s="1758"/>
      <c r="O258" s="11"/>
    </row>
    <row r="259" spans="1:19" ht="15" customHeight="1" x14ac:dyDescent="0.25">
      <c r="A259" s="1"/>
      <c r="B259" s="1"/>
      <c r="C259" s="1"/>
      <c r="D259" s="1"/>
      <c r="G259" s="1755"/>
      <c r="H259" s="1"/>
      <c r="I259" s="1"/>
      <c r="J259" s="1"/>
      <c r="K259" s="24"/>
      <c r="L259" s="1757"/>
      <c r="M259" s="1758"/>
      <c r="N259" s="1758"/>
      <c r="O259" s="11"/>
    </row>
    <row r="260" spans="1:19" ht="15" customHeight="1" x14ac:dyDescent="0.25">
      <c r="A260" s="1"/>
      <c r="B260" s="1"/>
      <c r="C260" s="1"/>
      <c r="D260" s="1"/>
      <c r="G260" s="1755"/>
      <c r="H260" s="1"/>
      <c r="I260" s="1"/>
      <c r="J260" s="1"/>
      <c r="K260" s="24"/>
      <c r="L260" s="1757"/>
      <c r="M260" s="1758"/>
      <c r="N260" s="1758"/>
      <c r="O260" s="11"/>
    </row>
    <row r="261" spans="1:19" ht="15" customHeight="1" x14ac:dyDescent="0.25">
      <c r="A261" s="1"/>
      <c r="B261" s="1"/>
      <c r="C261" s="1"/>
      <c r="D261" s="1"/>
      <c r="G261" s="1755"/>
      <c r="H261" s="1"/>
      <c r="I261" s="1"/>
      <c r="J261" s="1"/>
      <c r="K261" s="24"/>
      <c r="L261" s="1757"/>
      <c r="M261" s="1758"/>
      <c r="N261" s="1758"/>
      <c r="O261" s="11"/>
    </row>
    <row r="262" spans="1:19" ht="15" customHeight="1" x14ac:dyDescent="0.25">
      <c r="A262" s="1"/>
      <c r="B262" s="1"/>
      <c r="C262" s="1"/>
      <c r="D262" s="1"/>
      <c r="G262" s="1755"/>
      <c r="H262" s="1"/>
      <c r="I262" s="1"/>
      <c r="J262" s="1"/>
      <c r="L262" s="1765"/>
      <c r="M262" s="1758"/>
      <c r="N262" s="1758"/>
      <c r="O262" s="11"/>
    </row>
    <row r="263" spans="1:19" ht="15" customHeight="1" x14ac:dyDescent="0.25">
      <c r="A263" s="1"/>
      <c r="B263" s="1"/>
      <c r="C263" s="1"/>
      <c r="D263" s="1"/>
      <c r="G263" s="1755"/>
      <c r="H263" s="1"/>
      <c r="I263" s="1"/>
      <c r="J263" s="1"/>
      <c r="L263" s="1765"/>
      <c r="M263" s="1758"/>
      <c r="N263" s="1758"/>
      <c r="O263" s="11"/>
    </row>
    <row r="264" spans="1:19" ht="15" customHeight="1" x14ac:dyDescent="0.25">
      <c r="A264" s="1"/>
      <c r="B264" s="1"/>
      <c r="C264" s="1"/>
      <c r="D264" s="1"/>
      <c r="G264" s="1755"/>
      <c r="H264" s="1"/>
      <c r="I264" s="1"/>
      <c r="J264" s="1"/>
      <c r="L264" s="1770"/>
      <c r="M264" s="1758"/>
      <c r="N264" s="1758"/>
      <c r="O264" s="11"/>
    </row>
    <row r="265" spans="1:19" ht="15" customHeight="1" x14ac:dyDescent="0.25">
      <c r="A265" s="1"/>
      <c r="B265" s="1"/>
      <c r="C265" s="1"/>
      <c r="D265" s="1"/>
      <c r="G265" s="1755"/>
      <c r="H265" s="1"/>
      <c r="I265" s="1"/>
      <c r="J265" s="1"/>
      <c r="L265" s="1770"/>
      <c r="M265" s="1758"/>
      <c r="N265" s="1758"/>
      <c r="O265" s="11"/>
    </row>
    <row r="266" spans="1:19" ht="15" customHeight="1" x14ac:dyDescent="0.25">
      <c r="A266" s="1"/>
      <c r="B266" s="1"/>
      <c r="C266" s="1"/>
      <c r="D266" s="1"/>
      <c r="G266" s="1755"/>
      <c r="H266" s="1"/>
      <c r="I266" s="1"/>
      <c r="J266" s="1"/>
      <c r="K266" s="24"/>
      <c r="L266" s="1757"/>
      <c r="M266" s="1758"/>
      <c r="N266" s="1758"/>
      <c r="O266" s="11"/>
    </row>
    <row r="267" spans="1:19" ht="15" customHeight="1" x14ac:dyDescent="0.25">
      <c r="A267" s="1"/>
      <c r="B267" s="1"/>
      <c r="C267" s="1"/>
      <c r="D267" s="1"/>
      <c r="G267" s="1755"/>
      <c r="H267" s="1"/>
      <c r="I267" s="1"/>
      <c r="J267" s="1"/>
      <c r="L267" s="1771"/>
      <c r="M267" s="1758"/>
      <c r="N267" s="1758"/>
      <c r="O267" s="11"/>
    </row>
    <row r="268" spans="1:19" ht="15" customHeight="1" x14ac:dyDescent="0.25">
      <c r="A268" s="1"/>
      <c r="B268" s="1"/>
      <c r="C268" s="1"/>
      <c r="D268" s="1"/>
      <c r="G268" s="1755"/>
      <c r="H268" s="1"/>
      <c r="I268" s="1"/>
      <c r="J268" s="1"/>
      <c r="K268" s="24"/>
      <c r="L268" s="1762"/>
      <c r="M268" s="1762"/>
      <c r="N268" s="1762"/>
      <c r="O268"/>
      <c r="P268"/>
      <c r="Q268"/>
      <c r="R268"/>
      <c r="S268"/>
    </row>
    <row r="269" spans="1:19" ht="15" customHeight="1" x14ac:dyDescent="0.25">
      <c r="A269" s="1"/>
      <c r="B269" s="1"/>
      <c r="C269" s="1"/>
      <c r="D269" s="1"/>
      <c r="G269" s="1755"/>
      <c r="H269" s="1"/>
      <c r="I269" s="1"/>
      <c r="J269" s="1"/>
      <c r="K269" s="24"/>
      <c r="L269" s="1762"/>
      <c r="M269" s="1762"/>
      <c r="N269" s="1762"/>
      <c r="O269"/>
      <c r="P269"/>
      <c r="Q269"/>
      <c r="R269"/>
      <c r="S269"/>
    </row>
    <row r="270" spans="1:19" ht="15" customHeight="1" x14ac:dyDescent="0.25">
      <c r="A270" s="1"/>
      <c r="B270" s="1"/>
      <c r="C270" s="1"/>
      <c r="D270" s="1"/>
      <c r="G270" s="1755"/>
      <c r="H270" s="1"/>
      <c r="I270" s="1"/>
      <c r="J270" s="1"/>
      <c r="K270" s="24"/>
      <c r="L270" s="1762"/>
      <c r="M270" s="1762"/>
      <c r="N270" s="1762"/>
      <c r="O270"/>
      <c r="P270"/>
      <c r="Q270"/>
      <c r="R270"/>
      <c r="S270"/>
    </row>
    <row r="271" spans="1:19" ht="15" customHeight="1" x14ac:dyDescent="0.25">
      <c r="A271" s="1"/>
      <c r="B271" s="1"/>
      <c r="C271" s="1"/>
      <c r="D271" s="1"/>
      <c r="G271" s="1755"/>
      <c r="H271" s="1"/>
      <c r="I271" s="1"/>
      <c r="J271" s="1"/>
      <c r="K271" s="24"/>
      <c r="L271" s="1762"/>
      <c r="M271" s="1762"/>
      <c r="N271" s="1762"/>
      <c r="O271"/>
      <c r="P271"/>
      <c r="Q271"/>
      <c r="R271"/>
      <c r="S271"/>
    </row>
    <row r="272" spans="1:19" ht="15" customHeight="1" x14ac:dyDescent="0.25">
      <c r="A272" s="1"/>
      <c r="B272" s="1"/>
      <c r="C272" s="1"/>
      <c r="D272" s="1"/>
      <c r="G272" s="1755"/>
      <c r="H272" s="1"/>
      <c r="I272" s="1"/>
      <c r="J272" s="1"/>
      <c r="K272" s="24"/>
      <c r="L272" s="1762"/>
      <c r="M272" s="1762"/>
      <c r="N272" s="1762"/>
      <c r="O272"/>
      <c r="P272"/>
      <c r="Q272"/>
      <c r="R272"/>
      <c r="S272"/>
    </row>
    <row r="273" spans="1:19" ht="15" customHeight="1" x14ac:dyDescent="0.25">
      <c r="A273" s="1"/>
      <c r="B273" s="1"/>
      <c r="C273" s="1"/>
      <c r="D273" s="1"/>
      <c r="G273" s="1755"/>
      <c r="H273" s="1"/>
      <c r="I273" s="1"/>
      <c r="J273" s="1"/>
      <c r="K273" s="40"/>
      <c r="L273" s="1762"/>
      <c r="M273" s="1762"/>
      <c r="N273" s="1762"/>
      <c r="O273"/>
      <c r="P273"/>
      <c r="Q273"/>
      <c r="R273"/>
      <c r="S273"/>
    </row>
    <row r="274" spans="1:19" ht="15" customHeight="1" x14ac:dyDescent="0.25">
      <c r="A274" s="1"/>
      <c r="B274" s="1"/>
      <c r="C274" s="1"/>
      <c r="D274" s="1"/>
      <c r="G274" s="1755"/>
      <c r="H274" s="1"/>
      <c r="I274" s="1"/>
      <c r="J274" s="1"/>
      <c r="K274" s="40"/>
      <c r="L274" s="1762"/>
      <c r="M274" s="1762"/>
      <c r="N274" s="1762"/>
      <c r="O274"/>
      <c r="P274"/>
      <c r="Q274"/>
      <c r="R274"/>
      <c r="S274"/>
    </row>
    <row r="275" spans="1:19" ht="15" customHeight="1" x14ac:dyDescent="0.25">
      <c r="A275" s="1"/>
      <c r="B275" s="1"/>
      <c r="C275" s="1"/>
      <c r="D275" s="1"/>
      <c r="G275" s="1755"/>
      <c r="H275" s="1"/>
      <c r="I275" s="1"/>
      <c r="J275" s="1"/>
      <c r="K275" s="40"/>
      <c r="L275" s="1765"/>
      <c r="M275" s="1758"/>
      <c r="N275" s="1758"/>
      <c r="O275" s="11"/>
    </row>
    <row r="276" spans="1:19" ht="15" customHeight="1" x14ac:dyDescent="0.25">
      <c r="A276" s="1"/>
      <c r="B276" s="1"/>
      <c r="C276" s="1"/>
      <c r="D276" s="1"/>
      <c r="G276" s="1755"/>
      <c r="H276" s="1"/>
      <c r="I276" s="1"/>
      <c r="J276" s="1"/>
      <c r="K276" s="40"/>
      <c r="L276" s="1765"/>
      <c r="M276" s="1758"/>
      <c r="N276" s="1758"/>
      <c r="O276" s="11"/>
    </row>
    <row r="277" spans="1:19" ht="15" customHeight="1" x14ac:dyDescent="0.25">
      <c r="A277" s="1"/>
      <c r="B277" s="1"/>
      <c r="C277" s="1"/>
      <c r="D277" s="1"/>
      <c r="G277" s="1755"/>
      <c r="H277" s="1"/>
      <c r="I277" s="1"/>
      <c r="J277" s="1"/>
      <c r="K277" s="24"/>
      <c r="L277" s="1757"/>
      <c r="M277" s="1758"/>
      <c r="N277" s="1758"/>
      <c r="O277" s="11"/>
    </row>
    <row r="278" spans="1:19" s="38" customFormat="1" ht="15" customHeight="1" x14ac:dyDescent="0.25">
      <c r="A278" s="1"/>
      <c r="B278" s="1"/>
      <c r="C278" s="1"/>
      <c r="D278" s="1"/>
      <c r="E278" s="1"/>
      <c r="F278" s="1"/>
      <c r="G278" s="1755"/>
      <c r="H278" s="1"/>
      <c r="I278" s="1"/>
      <c r="J278" s="1"/>
      <c r="K278" s="24"/>
      <c r="L278" s="1757"/>
      <c r="M278" s="1772"/>
      <c r="N278" s="1772"/>
      <c r="O278" s="29"/>
    </row>
    <row r="279" spans="1:19" ht="15" customHeight="1" x14ac:dyDescent="0.25">
      <c r="A279" s="1"/>
      <c r="B279" s="1"/>
      <c r="C279" s="1"/>
      <c r="D279" s="1"/>
      <c r="G279" s="1755"/>
      <c r="H279" s="1"/>
      <c r="I279" s="1"/>
      <c r="J279" s="1"/>
      <c r="K279" s="24"/>
      <c r="L279" s="1757"/>
      <c r="M279" s="1758"/>
      <c r="N279" s="1758"/>
      <c r="O279" s="11"/>
    </row>
    <row r="280" spans="1:19" ht="15" customHeight="1" x14ac:dyDescent="0.25">
      <c r="A280" s="1"/>
      <c r="B280" s="1"/>
      <c r="C280" s="1"/>
      <c r="D280" s="1"/>
      <c r="G280" s="1755"/>
      <c r="H280" s="1"/>
      <c r="I280" s="1"/>
      <c r="J280" s="1"/>
      <c r="K280" s="24"/>
      <c r="L280" s="1757"/>
      <c r="M280" s="1758"/>
      <c r="N280" s="1758"/>
      <c r="O280" s="11"/>
    </row>
    <row r="281" spans="1:19" ht="15" customHeight="1" x14ac:dyDescent="0.25">
      <c r="A281" s="1"/>
      <c r="B281" s="1"/>
      <c r="C281" s="1"/>
      <c r="D281" s="1"/>
      <c r="G281" s="1755"/>
      <c r="H281" s="1"/>
      <c r="I281" s="1"/>
      <c r="J281" s="1"/>
      <c r="K281" s="24"/>
      <c r="L281" s="1757"/>
      <c r="M281" s="1758"/>
      <c r="N281" s="1758"/>
      <c r="O281" s="11"/>
    </row>
    <row r="282" spans="1:19" ht="15" customHeight="1" x14ac:dyDescent="0.25">
      <c r="A282" s="1"/>
      <c r="B282" s="1"/>
      <c r="C282" s="1"/>
      <c r="D282" s="1"/>
      <c r="G282" s="1755"/>
      <c r="H282" s="1"/>
      <c r="I282" s="1"/>
      <c r="J282" s="1"/>
      <c r="K282" s="24"/>
      <c r="L282" s="1757"/>
      <c r="M282" s="1758"/>
      <c r="N282" s="1758"/>
      <c r="O282" s="11"/>
    </row>
    <row r="283" spans="1:19" ht="15" customHeight="1" x14ac:dyDescent="0.25">
      <c r="A283" s="1"/>
      <c r="B283" s="1"/>
      <c r="C283" s="1"/>
      <c r="D283" s="1"/>
      <c r="G283" s="1755"/>
      <c r="H283" s="1"/>
      <c r="I283" s="1"/>
      <c r="J283" s="1"/>
      <c r="K283" s="42"/>
      <c r="L283" s="1773"/>
      <c r="M283" s="1758"/>
      <c r="N283" s="1758"/>
      <c r="O283" s="11"/>
    </row>
    <row r="284" spans="1:19" ht="15" customHeight="1" x14ac:dyDescent="0.25">
      <c r="A284" s="1"/>
      <c r="B284" s="1"/>
      <c r="C284" s="1"/>
      <c r="D284" s="1"/>
      <c r="G284" s="1755"/>
      <c r="H284" s="1"/>
      <c r="I284" s="1"/>
      <c r="J284" s="1"/>
      <c r="K284" s="42"/>
      <c r="L284" s="1773"/>
      <c r="M284" s="1758"/>
      <c r="N284" s="1758"/>
      <c r="O284" s="11"/>
    </row>
    <row r="285" spans="1:19" ht="15" customHeight="1" x14ac:dyDescent="0.25">
      <c r="A285" s="1"/>
      <c r="B285" s="1"/>
      <c r="C285" s="1"/>
      <c r="D285" s="1"/>
      <c r="G285" s="1755"/>
      <c r="H285" s="1"/>
      <c r="I285" s="1"/>
      <c r="J285" s="1"/>
      <c r="K285" s="42"/>
      <c r="L285" s="1773"/>
      <c r="M285" s="1758"/>
      <c r="N285" s="1758"/>
      <c r="O285" s="11"/>
    </row>
    <row r="286" spans="1:19" ht="15" customHeight="1" x14ac:dyDescent="0.25">
      <c r="A286" s="1"/>
      <c r="B286" s="1"/>
      <c r="C286" s="1"/>
      <c r="D286" s="1"/>
      <c r="G286" s="1755"/>
      <c r="H286" s="1"/>
      <c r="I286" s="1"/>
      <c r="J286" s="1"/>
      <c r="K286" s="42"/>
      <c r="L286" s="1773"/>
      <c r="M286" s="1758"/>
      <c r="N286" s="1758"/>
      <c r="O286" s="11"/>
    </row>
    <row r="287" spans="1:19" ht="15" customHeight="1" x14ac:dyDescent="0.25">
      <c r="A287" s="1"/>
      <c r="B287" s="1"/>
      <c r="C287" s="1"/>
      <c r="D287" s="1"/>
      <c r="G287" s="1755"/>
      <c r="H287" s="1"/>
      <c r="I287" s="1"/>
      <c r="J287" s="1"/>
      <c r="K287" s="42"/>
      <c r="L287" s="1773"/>
      <c r="M287" s="1758"/>
      <c r="N287" s="1758"/>
      <c r="O287" s="11"/>
    </row>
    <row r="288" spans="1:19" ht="15" customHeight="1" x14ac:dyDescent="0.25">
      <c r="A288" s="1"/>
      <c r="B288" s="1"/>
      <c r="C288" s="1"/>
      <c r="D288" s="1"/>
      <c r="G288" s="1755"/>
      <c r="H288" s="1"/>
      <c r="I288" s="1"/>
      <c r="J288" s="1"/>
      <c r="K288" s="42"/>
      <c r="L288" s="1773"/>
      <c r="M288" s="1758"/>
      <c r="N288" s="1758"/>
      <c r="O288" s="11"/>
    </row>
    <row r="289" spans="1:15" ht="15" customHeight="1" x14ac:dyDescent="0.25">
      <c r="A289" s="1"/>
      <c r="B289" s="1"/>
      <c r="C289" s="1"/>
      <c r="D289" s="1"/>
      <c r="G289" s="1755"/>
      <c r="H289" s="1"/>
      <c r="I289" s="1"/>
      <c r="J289" s="1"/>
      <c r="K289" s="20"/>
      <c r="L289" s="1754"/>
      <c r="M289" s="1758"/>
      <c r="N289" s="1758"/>
      <c r="O289" s="11"/>
    </row>
    <row r="290" spans="1:15" ht="15" customHeight="1" x14ac:dyDescent="0.25">
      <c r="A290" s="1"/>
      <c r="B290" s="1"/>
      <c r="C290" s="1"/>
      <c r="D290" s="1"/>
      <c r="G290" s="1755"/>
      <c r="H290" s="1"/>
      <c r="I290" s="1"/>
      <c r="J290" s="1"/>
      <c r="K290" s="20"/>
      <c r="L290" s="1754"/>
      <c r="M290" s="1758"/>
      <c r="N290" s="1758"/>
      <c r="O290" s="11"/>
    </row>
    <row r="291" spans="1:15" ht="15" customHeight="1" x14ac:dyDescent="0.25">
      <c r="A291" s="1"/>
      <c r="B291" s="1"/>
      <c r="C291" s="1"/>
      <c r="D291" s="1"/>
      <c r="G291" s="1755"/>
      <c r="H291" s="1"/>
      <c r="I291" s="1"/>
      <c r="J291" s="1"/>
      <c r="K291" s="20"/>
      <c r="L291" s="1754"/>
      <c r="M291" s="1758"/>
      <c r="N291" s="1758"/>
      <c r="O291" s="11"/>
    </row>
    <row r="292" spans="1:15" ht="15" customHeight="1" x14ac:dyDescent="0.25">
      <c r="A292" s="1"/>
      <c r="B292" s="1"/>
      <c r="C292" s="1"/>
      <c r="D292" s="1"/>
      <c r="G292" s="1755"/>
      <c r="H292" s="1"/>
      <c r="I292" s="1"/>
      <c r="J292" s="1"/>
      <c r="K292" s="20"/>
      <c r="L292" s="1754"/>
      <c r="M292" s="1758"/>
      <c r="N292" s="1758"/>
      <c r="O292" s="11"/>
    </row>
    <row r="293" spans="1:15" ht="15" customHeight="1" x14ac:dyDescent="0.25">
      <c r="A293" s="1"/>
      <c r="B293" s="1"/>
      <c r="C293" s="1"/>
      <c r="D293" s="1"/>
      <c r="G293" s="1755"/>
      <c r="H293" s="1"/>
      <c r="I293" s="1"/>
      <c r="J293" s="1"/>
      <c r="K293" s="20"/>
      <c r="L293" s="1754"/>
      <c r="M293" s="1758"/>
      <c r="N293" s="1758"/>
      <c r="O293" s="11"/>
    </row>
    <row r="294" spans="1:15" ht="15" customHeight="1" x14ac:dyDescent="0.25">
      <c r="A294" s="1"/>
      <c r="B294" s="1"/>
      <c r="C294" s="1"/>
      <c r="D294" s="1"/>
      <c r="G294" s="1755"/>
      <c r="H294" s="1"/>
      <c r="I294" s="1"/>
      <c r="J294" s="1"/>
      <c r="K294" s="20"/>
      <c r="L294" s="1754"/>
      <c r="M294" s="1758"/>
      <c r="N294" s="1758"/>
      <c r="O294" s="11"/>
    </row>
    <row r="295" spans="1:15" ht="15" customHeight="1" x14ac:dyDescent="0.25">
      <c r="A295" s="1"/>
      <c r="B295" s="1"/>
      <c r="C295" s="1"/>
      <c r="D295" s="1"/>
      <c r="G295" s="1755"/>
      <c r="H295" s="1"/>
      <c r="I295" s="1"/>
      <c r="J295" s="1"/>
      <c r="K295" s="20"/>
      <c r="L295" s="1754"/>
      <c r="M295" s="1758"/>
      <c r="N295" s="1758"/>
      <c r="O295" s="11"/>
    </row>
    <row r="296" spans="1:15" ht="15" customHeight="1" x14ac:dyDescent="0.25">
      <c r="A296" s="1"/>
      <c r="B296" s="1"/>
      <c r="C296" s="1"/>
      <c r="D296" s="1"/>
      <c r="G296" s="1755"/>
      <c r="H296" s="1"/>
      <c r="I296" s="1"/>
      <c r="J296" s="1"/>
      <c r="K296" s="20"/>
      <c r="L296" s="1754"/>
      <c r="M296" s="1758"/>
      <c r="N296" s="1758"/>
      <c r="O296" s="11"/>
    </row>
    <row r="297" spans="1:15" ht="15" customHeight="1" x14ac:dyDescent="0.25">
      <c r="A297" s="1"/>
      <c r="B297" s="1"/>
      <c r="C297" s="1"/>
      <c r="D297" s="1"/>
      <c r="G297" s="1755"/>
      <c r="H297" s="1"/>
      <c r="I297" s="1"/>
      <c r="J297" s="1"/>
      <c r="K297" s="20"/>
      <c r="L297" s="1754"/>
      <c r="M297" s="1758"/>
      <c r="N297" s="1758"/>
      <c r="O297" s="11"/>
    </row>
    <row r="298" spans="1:15" ht="15" customHeight="1" x14ac:dyDescent="0.25">
      <c r="A298" s="1"/>
      <c r="B298" s="1"/>
      <c r="C298" s="1"/>
      <c r="D298" s="1"/>
      <c r="G298" s="1755"/>
      <c r="H298" s="1"/>
      <c r="I298" s="1"/>
      <c r="J298" s="1"/>
      <c r="K298" s="20"/>
      <c r="L298" s="1754"/>
      <c r="M298" s="1758"/>
      <c r="N298" s="1758"/>
      <c r="O298" s="11"/>
    </row>
    <row r="299" spans="1:15" ht="15" customHeight="1" x14ac:dyDescent="0.25">
      <c r="A299" s="1"/>
      <c r="B299" s="1"/>
      <c r="C299" s="1"/>
      <c r="D299" s="1"/>
      <c r="G299" s="1755"/>
      <c r="H299" s="1"/>
      <c r="I299" s="1"/>
      <c r="J299" s="1"/>
      <c r="K299" s="20"/>
      <c r="L299" s="1754"/>
      <c r="M299" s="1758"/>
      <c r="N299" s="1758"/>
      <c r="O299" s="11"/>
    </row>
    <row r="300" spans="1:15" ht="15" customHeight="1" x14ac:dyDescent="0.25">
      <c r="A300" s="1"/>
      <c r="B300" s="1"/>
      <c r="C300" s="1"/>
      <c r="D300" s="1"/>
      <c r="G300" s="1755"/>
      <c r="H300" s="1"/>
      <c r="I300" s="1"/>
      <c r="J300" s="1"/>
      <c r="K300" s="20"/>
      <c r="L300" s="1754"/>
      <c r="M300" s="1758"/>
      <c r="N300" s="1758"/>
      <c r="O300" s="11"/>
    </row>
    <row r="301" spans="1:15" ht="15" customHeight="1" x14ac:dyDescent="0.25">
      <c r="A301" s="1"/>
      <c r="B301" s="1"/>
      <c r="C301" s="1"/>
      <c r="D301" s="1"/>
      <c r="G301" s="1755"/>
      <c r="H301" s="1"/>
      <c r="I301" s="1"/>
      <c r="J301" s="1"/>
      <c r="K301" s="20"/>
      <c r="L301" s="1754"/>
      <c r="M301" s="1758"/>
      <c r="N301" s="1758"/>
      <c r="O301" s="11"/>
    </row>
    <row r="302" spans="1:15" ht="15" customHeight="1" x14ac:dyDescent="0.25">
      <c r="A302" s="1"/>
      <c r="B302" s="1"/>
      <c r="C302" s="1"/>
      <c r="D302" s="1"/>
      <c r="G302" s="1755"/>
      <c r="H302" s="1"/>
      <c r="I302" s="1"/>
      <c r="J302" s="1"/>
      <c r="K302" s="20"/>
      <c r="L302" s="1754"/>
      <c r="M302" s="1758"/>
      <c r="N302" s="1758"/>
      <c r="O302" s="11"/>
    </row>
    <row r="303" spans="1:15" ht="15" customHeight="1" x14ac:dyDescent="0.25">
      <c r="A303" s="1"/>
      <c r="B303" s="1"/>
      <c r="C303" s="1"/>
      <c r="D303" s="1"/>
      <c r="G303" s="1755"/>
      <c r="H303" s="1"/>
      <c r="I303" s="1"/>
      <c r="J303" s="1"/>
      <c r="K303" s="20"/>
      <c r="L303" s="1754"/>
      <c r="M303" s="1758"/>
      <c r="N303" s="1758"/>
      <c r="O303" s="11"/>
    </row>
    <row r="304" spans="1:15" ht="15" customHeight="1" x14ac:dyDescent="0.25">
      <c r="A304" s="1"/>
      <c r="B304" s="1"/>
      <c r="C304" s="1"/>
      <c r="D304" s="1"/>
      <c r="G304" s="1755"/>
      <c r="H304" s="1"/>
      <c r="I304" s="1"/>
      <c r="J304" s="1"/>
      <c r="K304" s="20"/>
      <c r="L304" s="1754"/>
      <c r="M304" s="1758"/>
      <c r="N304" s="1758"/>
      <c r="O304" s="11"/>
    </row>
    <row r="305" spans="1:15" ht="15" customHeight="1" x14ac:dyDescent="0.25">
      <c r="A305" s="1"/>
      <c r="B305" s="1"/>
      <c r="C305" s="1"/>
      <c r="D305" s="1"/>
      <c r="G305" s="1755"/>
      <c r="H305" s="1"/>
      <c r="I305" s="1"/>
      <c r="J305" s="1"/>
      <c r="K305" s="20"/>
      <c r="L305" s="1754"/>
      <c r="M305" s="1758"/>
      <c r="N305" s="1758"/>
      <c r="O305" s="11"/>
    </row>
    <row r="306" spans="1:15" ht="15" customHeight="1" x14ac:dyDescent="0.25">
      <c r="A306" s="1"/>
      <c r="B306" s="1"/>
      <c r="C306" s="1"/>
      <c r="D306" s="1"/>
      <c r="G306" s="1755"/>
      <c r="H306" s="1"/>
      <c r="I306" s="1"/>
      <c r="J306" s="1"/>
      <c r="K306" s="20"/>
      <c r="L306" s="1754"/>
      <c r="M306" s="1758"/>
      <c r="N306" s="1758"/>
      <c r="O306" s="11"/>
    </row>
    <row r="307" spans="1:15" ht="15" customHeight="1" x14ac:dyDescent="0.25">
      <c r="A307" s="1"/>
      <c r="B307" s="1"/>
      <c r="C307" s="1"/>
      <c r="D307" s="1"/>
      <c r="G307" s="1755"/>
      <c r="H307" s="1"/>
      <c r="I307" s="1"/>
      <c r="J307" s="1"/>
      <c r="K307" s="20"/>
      <c r="L307" s="1754"/>
      <c r="M307" s="1758"/>
      <c r="N307" s="1758"/>
      <c r="O307" s="11"/>
    </row>
    <row r="308" spans="1:15" ht="15" customHeight="1" x14ac:dyDescent="0.25">
      <c r="A308" s="1"/>
      <c r="B308" s="1"/>
      <c r="C308" s="1"/>
      <c r="D308" s="1"/>
      <c r="G308" s="1755"/>
      <c r="H308" s="1"/>
      <c r="I308" s="1"/>
      <c r="J308" s="1"/>
      <c r="L308" s="1755"/>
      <c r="M308" s="1758"/>
      <c r="N308" s="1758"/>
      <c r="O308" s="11"/>
    </row>
    <row r="309" spans="1:15" ht="15" customHeight="1" x14ac:dyDescent="0.25">
      <c r="A309" s="1"/>
      <c r="B309" s="1"/>
      <c r="C309" s="1"/>
      <c r="D309" s="1"/>
      <c r="G309" s="1755"/>
      <c r="H309" s="1"/>
      <c r="I309" s="1"/>
      <c r="J309" s="1"/>
      <c r="L309" s="1755"/>
      <c r="M309" s="1758"/>
      <c r="N309" s="1758"/>
      <c r="O309" s="11"/>
    </row>
    <row r="310" spans="1:15" ht="15" customHeight="1" x14ac:dyDescent="0.25">
      <c r="A310" s="1"/>
      <c r="B310" s="1"/>
      <c r="C310" s="1"/>
      <c r="D310" s="1"/>
      <c r="G310" s="1755"/>
      <c r="H310" s="1"/>
      <c r="I310" s="1"/>
      <c r="J310" s="1"/>
      <c r="L310" s="1755"/>
      <c r="M310" s="1758"/>
      <c r="N310" s="1758"/>
      <c r="O310" s="11"/>
    </row>
    <row r="311" spans="1:15" ht="15" customHeight="1" x14ac:dyDescent="0.25">
      <c r="A311" s="1"/>
      <c r="B311" s="1"/>
      <c r="C311" s="1"/>
      <c r="D311" s="1"/>
      <c r="G311" s="1755"/>
      <c r="H311" s="1"/>
      <c r="I311" s="1"/>
      <c r="J311" s="1"/>
      <c r="K311" s="20"/>
      <c r="L311" s="1774"/>
      <c r="M311" s="1758"/>
      <c r="N311" s="1758"/>
      <c r="O311" s="11"/>
    </row>
    <row r="312" spans="1:15" ht="15" customHeight="1" x14ac:dyDescent="0.25">
      <c r="A312" s="1"/>
      <c r="B312" s="1"/>
      <c r="C312" s="1"/>
      <c r="D312" s="1"/>
      <c r="G312" s="1755"/>
      <c r="H312" s="1"/>
      <c r="I312" s="1"/>
      <c r="J312" s="1"/>
      <c r="K312" s="20"/>
      <c r="L312" s="1774"/>
      <c r="M312" s="1758"/>
      <c r="N312" s="1758"/>
      <c r="O312" s="11"/>
    </row>
    <row r="313" spans="1:15" ht="15" customHeight="1" x14ac:dyDescent="0.25">
      <c r="A313" s="1"/>
      <c r="B313" s="1"/>
      <c r="C313" s="1"/>
      <c r="D313" s="1"/>
      <c r="G313" s="1755"/>
      <c r="H313" s="1"/>
      <c r="I313" s="1"/>
      <c r="J313" s="1"/>
      <c r="K313" s="20"/>
      <c r="L313" s="1774"/>
      <c r="M313" s="1758"/>
      <c r="N313" s="1758"/>
      <c r="O313" s="11"/>
    </row>
    <row r="314" spans="1:15" ht="15" customHeight="1" x14ac:dyDescent="0.25">
      <c r="A314" s="1"/>
      <c r="B314" s="1"/>
      <c r="C314" s="1"/>
      <c r="D314" s="1"/>
      <c r="G314" s="1755"/>
      <c r="H314" s="1"/>
      <c r="I314" s="1"/>
      <c r="J314" s="1"/>
      <c r="K314" s="20"/>
      <c r="L314" s="1774"/>
      <c r="M314" s="1758"/>
      <c r="N314" s="1758"/>
      <c r="O314" s="11"/>
    </row>
    <row r="315" spans="1:15" ht="15" customHeight="1" x14ac:dyDescent="0.25">
      <c r="A315" s="1"/>
      <c r="B315" s="1"/>
      <c r="C315" s="1"/>
      <c r="D315" s="1"/>
      <c r="G315" s="1755"/>
      <c r="H315" s="1"/>
      <c r="I315" s="1"/>
      <c r="J315" s="1"/>
      <c r="K315" s="24"/>
      <c r="L315" s="1757"/>
      <c r="M315" s="1758"/>
      <c r="N315" s="1758"/>
      <c r="O315" s="11"/>
    </row>
    <row r="316" spans="1:15" ht="15" customHeight="1" x14ac:dyDescent="0.25">
      <c r="A316" s="1"/>
      <c r="B316" s="1"/>
      <c r="C316" s="1"/>
      <c r="D316" s="1"/>
      <c r="G316" s="1755"/>
      <c r="H316" s="1"/>
      <c r="I316" s="1"/>
      <c r="J316" s="1"/>
      <c r="K316" s="24"/>
      <c r="L316" s="1757"/>
      <c r="M316" s="1758"/>
      <c r="N316" s="1758"/>
      <c r="O316" s="11"/>
    </row>
    <row r="317" spans="1:15" ht="15" customHeight="1" x14ac:dyDescent="0.25">
      <c r="A317" s="1"/>
      <c r="B317" s="1"/>
      <c r="C317" s="1"/>
      <c r="D317" s="1"/>
      <c r="G317" s="1755"/>
      <c r="H317" s="1"/>
      <c r="I317" s="1"/>
      <c r="J317" s="1"/>
      <c r="K317" s="25"/>
      <c r="L317" s="1757"/>
      <c r="M317" s="1758"/>
      <c r="N317" s="1758"/>
      <c r="O317" s="11"/>
    </row>
    <row r="318" spans="1:15" ht="15" customHeight="1" x14ac:dyDescent="0.25">
      <c r="A318" s="1"/>
      <c r="B318" s="1"/>
      <c r="C318" s="1"/>
      <c r="D318" s="1"/>
      <c r="G318" s="1755"/>
      <c r="H318" s="1"/>
      <c r="I318" s="1"/>
      <c r="J318" s="1"/>
      <c r="K318" s="24"/>
      <c r="L318" s="1757"/>
      <c r="M318" s="1758"/>
      <c r="N318" s="1758"/>
      <c r="O318" s="11"/>
    </row>
    <row r="319" spans="1:15" ht="15" customHeight="1" x14ac:dyDescent="0.25">
      <c r="A319" s="1"/>
      <c r="B319" s="1"/>
      <c r="C319" s="1"/>
      <c r="D319" s="1"/>
      <c r="G319" s="1755"/>
      <c r="H319" s="1"/>
      <c r="I319" s="1"/>
      <c r="J319" s="1"/>
      <c r="K319" s="24"/>
      <c r="L319" s="1757"/>
      <c r="M319" s="1758"/>
      <c r="N319" s="1758"/>
      <c r="O319" s="11"/>
    </row>
    <row r="320" spans="1:15" ht="15" customHeight="1" x14ac:dyDescent="0.25">
      <c r="A320" s="1"/>
      <c r="B320" s="1"/>
      <c r="C320" s="1"/>
      <c r="D320" s="1"/>
      <c r="G320" s="1755"/>
      <c r="H320" s="1"/>
      <c r="I320" s="1"/>
      <c r="J320" s="1"/>
      <c r="K320" s="24"/>
      <c r="L320" s="1757"/>
      <c r="M320" s="1758"/>
      <c r="N320" s="1758"/>
      <c r="O320" s="11"/>
    </row>
    <row r="321" spans="1:15" ht="15" customHeight="1" x14ac:dyDescent="0.25">
      <c r="A321" s="1"/>
      <c r="B321" s="1"/>
      <c r="C321" s="1"/>
      <c r="D321" s="1"/>
      <c r="G321" s="1755"/>
      <c r="H321" s="1"/>
      <c r="I321" s="1"/>
      <c r="J321" s="1"/>
      <c r="K321" s="42"/>
      <c r="L321" s="1773"/>
      <c r="M321" s="1758"/>
      <c r="N321" s="1758"/>
      <c r="O321" s="11"/>
    </row>
    <row r="322" spans="1:15" ht="15" customHeight="1" x14ac:dyDescent="0.25">
      <c r="A322" s="1"/>
      <c r="B322" s="1"/>
      <c r="C322" s="1"/>
      <c r="D322" s="1"/>
      <c r="G322" s="1755"/>
      <c r="H322" s="1"/>
      <c r="I322" s="1"/>
      <c r="J322" s="1"/>
      <c r="K322" s="20"/>
      <c r="L322" s="1754"/>
      <c r="M322" s="1758"/>
      <c r="N322" s="1758"/>
      <c r="O322" s="11"/>
    </row>
    <row r="323" spans="1:15" ht="15" customHeight="1" x14ac:dyDescent="0.25">
      <c r="A323" s="1"/>
      <c r="B323" s="1"/>
      <c r="C323" s="1"/>
      <c r="D323" s="1"/>
      <c r="G323" s="1755"/>
      <c r="H323" s="1"/>
      <c r="I323" s="1"/>
      <c r="J323" s="1"/>
      <c r="K323" s="20"/>
      <c r="L323" s="1754"/>
      <c r="M323" s="1758"/>
      <c r="N323" s="1758"/>
      <c r="O323" s="11"/>
    </row>
    <row r="324" spans="1:15" ht="15" customHeight="1" x14ac:dyDescent="0.25">
      <c r="A324" s="1"/>
      <c r="B324" s="1"/>
      <c r="C324" s="1"/>
      <c r="D324" s="1"/>
      <c r="G324" s="1755"/>
      <c r="H324" s="1"/>
      <c r="I324" s="1"/>
      <c r="J324" s="1"/>
      <c r="K324" s="20"/>
      <c r="L324" s="1754"/>
      <c r="M324" s="1758"/>
      <c r="N324" s="1758"/>
      <c r="O324" s="11"/>
    </row>
    <row r="325" spans="1:15" ht="15" customHeight="1" x14ac:dyDescent="0.25">
      <c r="A325" s="1"/>
      <c r="B325" s="1"/>
      <c r="C325" s="1"/>
      <c r="D325" s="1"/>
      <c r="G325" s="1755"/>
      <c r="H325" s="1"/>
      <c r="I325" s="1"/>
      <c r="J325" s="1"/>
      <c r="K325" s="20"/>
      <c r="L325" s="1754"/>
      <c r="M325" s="1758"/>
      <c r="N325" s="1758"/>
      <c r="O325" s="11"/>
    </row>
    <row r="326" spans="1:15" ht="15" customHeight="1" x14ac:dyDescent="0.25">
      <c r="A326" s="1"/>
      <c r="B326" s="1"/>
      <c r="C326" s="1"/>
      <c r="D326" s="1"/>
      <c r="G326" s="1755"/>
      <c r="H326" s="1"/>
      <c r="I326" s="1"/>
      <c r="J326" s="1"/>
      <c r="K326" s="20"/>
      <c r="L326" s="1754"/>
      <c r="M326" s="1758"/>
      <c r="N326" s="1758"/>
      <c r="O326" s="11"/>
    </row>
    <row r="327" spans="1:15" ht="15" customHeight="1" x14ac:dyDescent="0.25">
      <c r="A327" s="1"/>
      <c r="B327" s="1"/>
      <c r="C327" s="1"/>
      <c r="D327" s="1"/>
      <c r="G327" s="1755"/>
      <c r="H327" s="1"/>
      <c r="I327" s="1"/>
      <c r="J327" s="1"/>
      <c r="K327" s="20"/>
      <c r="L327" s="1754"/>
      <c r="M327" s="1758"/>
      <c r="N327" s="1758"/>
      <c r="O327" s="11"/>
    </row>
    <row r="328" spans="1:15" ht="15" customHeight="1" x14ac:dyDescent="0.25">
      <c r="A328" s="1"/>
      <c r="B328" s="1"/>
      <c r="C328" s="1"/>
      <c r="D328" s="1"/>
      <c r="G328" s="1755"/>
      <c r="H328" s="1"/>
      <c r="I328" s="1"/>
      <c r="J328" s="1"/>
      <c r="K328" s="20"/>
      <c r="L328" s="1754"/>
      <c r="M328" s="1758"/>
      <c r="N328" s="1758"/>
      <c r="O328" s="11"/>
    </row>
    <row r="329" spans="1:15" ht="15" customHeight="1" x14ac:dyDescent="0.25">
      <c r="A329" s="1"/>
      <c r="B329" s="1"/>
      <c r="C329" s="1"/>
      <c r="D329" s="1"/>
      <c r="G329" s="1755"/>
      <c r="H329" s="1"/>
      <c r="I329" s="1"/>
      <c r="J329" s="1"/>
      <c r="K329" s="20"/>
      <c r="L329" s="1754"/>
      <c r="M329" s="1758"/>
      <c r="N329" s="1758"/>
      <c r="O329" s="11"/>
    </row>
    <row r="330" spans="1:15" ht="15" customHeight="1" x14ac:dyDescent="0.25">
      <c r="A330" s="1"/>
      <c r="B330" s="1"/>
      <c r="C330" s="1"/>
      <c r="D330" s="1"/>
      <c r="G330" s="1755"/>
      <c r="H330" s="1"/>
      <c r="I330" s="1"/>
      <c r="J330" s="1"/>
      <c r="K330" s="20"/>
      <c r="L330" s="1754"/>
      <c r="M330" s="1758"/>
      <c r="N330" s="1758"/>
      <c r="O330" s="11"/>
    </row>
    <row r="331" spans="1:15" ht="15" customHeight="1" x14ac:dyDescent="0.25">
      <c r="A331" s="1"/>
      <c r="B331" s="1"/>
      <c r="C331" s="1"/>
      <c r="D331" s="1"/>
      <c r="G331" s="1755"/>
      <c r="H331" s="1"/>
      <c r="I331" s="1"/>
      <c r="J331" s="1"/>
      <c r="K331" s="20"/>
      <c r="L331" s="1754"/>
      <c r="M331" s="1758"/>
      <c r="N331" s="1758"/>
      <c r="O331" s="11"/>
    </row>
    <row r="332" spans="1:15" ht="15" customHeight="1" x14ac:dyDescent="0.25">
      <c r="A332" s="1"/>
      <c r="B332" s="1"/>
      <c r="C332" s="1"/>
      <c r="D332" s="1"/>
      <c r="G332" s="1755"/>
      <c r="H332" s="1"/>
      <c r="I332" s="1"/>
      <c r="J332" s="1"/>
      <c r="K332" s="20"/>
      <c r="L332" s="1754"/>
      <c r="M332" s="1758"/>
      <c r="N332" s="1758"/>
      <c r="O332" s="11"/>
    </row>
    <row r="333" spans="1:15" ht="15" customHeight="1" x14ac:dyDescent="0.25">
      <c r="A333" s="1"/>
      <c r="B333" s="1"/>
      <c r="C333" s="1"/>
      <c r="D333" s="1"/>
      <c r="G333" s="1755"/>
      <c r="H333" s="1"/>
      <c r="I333" s="1"/>
      <c r="J333" s="1"/>
      <c r="K333" s="42"/>
      <c r="L333" s="1773"/>
      <c r="M333" s="1758"/>
      <c r="N333" s="1758"/>
      <c r="O333" s="11"/>
    </row>
    <row r="334" spans="1:15" ht="15" customHeight="1" x14ac:dyDescent="0.25">
      <c r="A334" s="1"/>
      <c r="B334" s="1"/>
      <c r="C334" s="1"/>
      <c r="D334" s="1"/>
      <c r="G334" s="1755"/>
      <c r="H334" s="1"/>
      <c r="I334" s="1"/>
      <c r="J334" s="1"/>
      <c r="K334" s="43"/>
      <c r="L334" s="1775"/>
      <c r="M334" s="1758"/>
      <c r="N334" s="1758"/>
      <c r="O334" s="11"/>
    </row>
    <row r="335" spans="1:15" ht="15" customHeight="1" x14ac:dyDescent="0.25">
      <c r="A335" s="1"/>
      <c r="B335" s="1"/>
      <c r="C335" s="1"/>
      <c r="D335" s="1"/>
      <c r="G335" s="1755"/>
      <c r="H335" s="1"/>
      <c r="I335" s="1"/>
      <c r="J335" s="1"/>
      <c r="K335" s="43"/>
      <c r="L335" s="1775"/>
      <c r="M335" s="1758"/>
      <c r="N335" s="1758"/>
      <c r="O335" s="11"/>
    </row>
    <row r="336" spans="1:15" ht="15" customHeight="1" x14ac:dyDescent="0.25">
      <c r="A336" s="1"/>
      <c r="B336" s="1"/>
      <c r="C336" s="1"/>
      <c r="D336" s="1"/>
      <c r="G336" s="1755"/>
      <c r="H336" s="1"/>
      <c r="I336" s="1"/>
      <c r="J336" s="1"/>
      <c r="K336" s="43"/>
      <c r="L336" s="1775"/>
      <c r="M336" s="1758"/>
      <c r="N336" s="1758"/>
      <c r="O336" s="11"/>
    </row>
    <row r="337" spans="1:15" ht="15" customHeight="1" x14ac:dyDescent="0.25">
      <c r="A337" s="1"/>
      <c r="B337" s="1"/>
      <c r="C337" s="1"/>
      <c r="D337" s="1"/>
      <c r="G337" s="1755"/>
      <c r="H337" s="1"/>
      <c r="I337" s="1"/>
      <c r="J337" s="1"/>
      <c r="K337" s="44"/>
      <c r="L337" s="1758"/>
      <c r="M337" s="1758"/>
      <c r="N337" s="1758"/>
      <c r="O337" s="11"/>
    </row>
    <row r="338" spans="1:15" ht="15" customHeight="1" x14ac:dyDescent="0.25">
      <c r="A338" s="1"/>
      <c r="B338" s="1"/>
      <c r="C338" s="1"/>
      <c r="D338" s="1"/>
      <c r="G338" s="1755"/>
      <c r="H338" s="1"/>
      <c r="I338" s="1"/>
      <c r="J338" s="1"/>
      <c r="K338" s="42"/>
      <c r="L338" s="1776"/>
      <c r="M338" s="1758"/>
      <c r="N338" s="1758"/>
      <c r="O338" s="11"/>
    </row>
    <row r="339" spans="1:15" ht="15" customHeight="1" x14ac:dyDescent="0.25">
      <c r="A339" s="1"/>
      <c r="B339" s="1"/>
      <c r="C339" s="1"/>
      <c r="D339" s="1"/>
      <c r="G339" s="1755"/>
      <c r="H339" s="1"/>
      <c r="I339" s="1"/>
      <c r="J339" s="1"/>
      <c r="K339" s="42"/>
      <c r="L339" s="1773"/>
      <c r="M339" s="1758"/>
      <c r="N339" s="1758"/>
      <c r="O339" s="11"/>
    </row>
    <row r="340" spans="1:15" ht="15" customHeight="1" x14ac:dyDescent="0.25">
      <c r="A340" s="1"/>
      <c r="B340" s="1"/>
      <c r="C340" s="1"/>
      <c r="D340" s="1"/>
      <c r="G340" s="1755"/>
      <c r="H340" s="1"/>
      <c r="I340" s="1"/>
      <c r="J340" s="1"/>
      <c r="K340" s="43"/>
      <c r="L340" s="1775"/>
      <c r="M340" s="1758"/>
      <c r="N340" s="1758"/>
      <c r="O340" s="11"/>
    </row>
    <row r="341" spans="1:15" ht="15" customHeight="1" x14ac:dyDescent="0.25">
      <c r="A341" s="1"/>
      <c r="B341" s="1"/>
      <c r="C341" s="1"/>
      <c r="D341" s="1"/>
      <c r="G341" s="1755"/>
      <c r="H341" s="1"/>
      <c r="I341" s="1"/>
      <c r="J341" s="1"/>
      <c r="K341" s="43"/>
      <c r="L341" s="1775"/>
      <c r="M341" s="1758"/>
      <c r="N341" s="1758"/>
      <c r="O341" s="11"/>
    </row>
    <row r="342" spans="1:15" ht="15" customHeight="1" x14ac:dyDescent="0.25">
      <c r="A342" s="1"/>
      <c r="B342" s="1"/>
      <c r="C342" s="1"/>
      <c r="D342" s="1"/>
      <c r="G342" s="1755"/>
      <c r="H342" s="1"/>
      <c r="I342" s="1"/>
      <c r="J342" s="1"/>
      <c r="K342" s="44"/>
      <c r="L342" s="1758"/>
      <c r="M342" s="1758"/>
      <c r="N342" s="1758"/>
      <c r="O342" s="11"/>
    </row>
    <row r="343" spans="1:15" ht="15" customHeight="1" x14ac:dyDescent="0.25">
      <c r="A343" s="1"/>
      <c r="B343" s="1"/>
      <c r="C343" s="1"/>
      <c r="D343" s="1"/>
      <c r="G343" s="1755"/>
      <c r="H343" s="1"/>
      <c r="I343" s="1"/>
      <c r="J343" s="1"/>
      <c r="K343" s="44"/>
      <c r="L343" s="1758"/>
      <c r="M343" s="1758"/>
      <c r="N343" s="1758"/>
      <c r="O343" s="11"/>
    </row>
    <row r="344" spans="1:15" ht="15" customHeight="1" x14ac:dyDescent="0.25">
      <c r="A344" s="1"/>
      <c r="B344" s="1"/>
      <c r="C344" s="1"/>
      <c r="D344" s="1"/>
      <c r="G344" s="1755"/>
      <c r="H344" s="1"/>
      <c r="I344" s="1"/>
      <c r="J344" s="1"/>
      <c r="K344" s="44"/>
      <c r="L344" s="1758"/>
      <c r="M344" s="1758"/>
      <c r="N344" s="1758"/>
      <c r="O344" s="11"/>
    </row>
    <row r="345" spans="1:15" ht="15" customHeight="1" x14ac:dyDescent="0.25">
      <c r="A345" s="1"/>
      <c r="B345" s="1"/>
      <c r="C345" s="1"/>
      <c r="D345" s="1"/>
      <c r="G345" s="1755"/>
      <c r="H345" s="1"/>
      <c r="I345" s="1"/>
      <c r="J345" s="1"/>
      <c r="K345" s="44"/>
      <c r="L345" s="1758"/>
      <c r="M345" s="1758"/>
      <c r="N345" s="1758"/>
      <c r="O345" s="11"/>
    </row>
    <row r="346" spans="1:15" ht="15" customHeight="1" x14ac:dyDescent="0.25">
      <c r="A346" s="1"/>
      <c r="B346" s="1"/>
      <c r="C346" s="1"/>
      <c r="D346" s="1"/>
      <c r="G346" s="1755"/>
      <c r="H346" s="1"/>
      <c r="I346" s="1"/>
      <c r="J346" s="1"/>
      <c r="K346" s="44"/>
      <c r="L346" s="1758"/>
      <c r="M346" s="1758"/>
      <c r="N346" s="1758"/>
      <c r="O346" s="11"/>
    </row>
    <row r="347" spans="1:15" ht="15" customHeight="1" x14ac:dyDescent="0.25">
      <c r="A347" s="1"/>
      <c r="B347" s="1"/>
      <c r="C347" s="1"/>
      <c r="D347" s="1"/>
      <c r="G347" s="1755"/>
      <c r="H347" s="1"/>
      <c r="I347" s="1"/>
      <c r="J347" s="1"/>
      <c r="K347" s="20"/>
      <c r="L347" s="1754"/>
      <c r="M347" s="1758"/>
      <c r="N347" s="1758"/>
      <c r="O347" s="11"/>
    </row>
    <row r="348" spans="1:15" ht="15" customHeight="1" x14ac:dyDescent="0.25">
      <c r="A348" s="1"/>
      <c r="B348" s="1"/>
      <c r="C348" s="1"/>
      <c r="D348" s="1"/>
      <c r="G348" s="1755"/>
      <c r="H348" s="1"/>
      <c r="I348" s="1"/>
      <c r="J348" s="1"/>
      <c r="K348" s="24"/>
      <c r="L348" s="1757"/>
      <c r="M348" s="1758"/>
      <c r="N348" s="1758"/>
      <c r="O348" s="11"/>
    </row>
    <row r="349" spans="1:15" ht="15" customHeight="1" x14ac:dyDescent="0.25">
      <c r="A349" s="1"/>
      <c r="B349" s="1"/>
      <c r="C349" s="1"/>
      <c r="D349" s="1"/>
      <c r="G349" s="1755"/>
      <c r="H349" s="1"/>
      <c r="I349" s="1"/>
      <c r="J349" s="1"/>
      <c r="K349" s="24"/>
      <c r="L349" s="1757"/>
      <c r="M349" s="1758"/>
      <c r="N349" s="1758"/>
      <c r="O349" s="11"/>
    </row>
    <row r="350" spans="1:15" ht="15" customHeight="1" x14ac:dyDescent="0.25">
      <c r="A350" s="1"/>
      <c r="B350" s="1"/>
      <c r="C350" s="1"/>
      <c r="D350" s="1"/>
      <c r="G350" s="1755"/>
      <c r="H350" s="1"/>
      <c r="I350" s="1"/>
      <c r="J350" s="1"/>
      <c r="K350" s="44"/>
      <c r="L350" s="1777"/>
      <c r="M350" s="1755"/>
      <c r="N350" s="1755"/>
    </row>
    <row r="351" spans="1:15" ht="15" customHeight="1" x14ac:dyDescent="0.25">
      <c r="A351" s="1"/>
      <c r="B351" s="1"/>
      <c r="C351" s="1"/>
      <c r="D351" s="1"/>
      <c r="G351" s="1755"/>
      <c r="H351" s="1"/>
      <c r="I351" s="1"/>
      <c r="J351" s="1"/>
      <c r="L351" s="1755"/>
      <c r="M351" s="1755"/>
      <c r="N351" s="1755"/>
    </row>
    <row r="352" spans="1:15" ht="15" customHeight="1" x14ac:dyDescent="0.25">
      <c r="A352" s="1"/>
      <c r="B352" s="1"/>
      <c r="C352" s="1"/>
      <c r="D352" s="1"/>
      <c r="G352" s="1755"/>
      <c r="H352" s="1"/>
      <c r="I352" s="1"/>
      <c r="J352" s="1"/>
      <c r="L352" s="1755"/>
      <c r="M352" s="1755"/>
      <c r="N352" s="1755"/>
    </row>
    <row r="353" spans="1:15" ht="15" customHeight="1" x14ac:dyDescent="0.25">
      <c r="A353" s="1"/>
      <c r="B353" s="1"/>
      <c r="C353" s="1"/>
      <c r="D353" s="1"/>
      <c r="G353" s="1755"/>
      <c r="H353" s="1"/>
      <c r="I353" s="1"/>
      <c r="J353" s="1"/>
      <c r="L353" s="1755"/>
      <c r="M353" s="1755"/>
      <c r="N353" s="1755"/>
    </row>
    <row r="354" spans="1:15" ht="15" customHeight="1" x14ac:dyDescent="0.25">
      <c r="A354" s="1"/>
      <c r="B354" s="1"/>
      <c r="C354" s="1"/>
      <c r="D354" s="1"/>
      <c r="G354" s="1755"/>
      <c r="H354" s="1"/>
      <c r="I354" s="1"/>
      <c r="J354" s="1"/>
      <c r="L354" s="1755"/>
      <c r="M354" s="1755"/>
      <c r="N354" s="1755"/>
    </row>
    <row r="355" spans="1:15" ht="15" customHeight="1" x14ac:dyDescent="0.25">
      <c r="A355" s="1"/>
      <c r="B355" s="1"/>
      <c r="C355" s="1"/>
      <c r="D355" s="1"/>
      <c r="G355" s="1755"/>
      <c r="H355" s="1"/>
      <c r="I355" s="1"/>
      <c r="J355" s="1"/>
      <c r="L355" s="1755"/>
      <c r="M355" s="1755"/>
      <c r="N355" s="1755"/>
    </row>
    <row r="356" spans="1:15" ht="15" customHeight="1" x14ac:dyDescent="0.25">
      <c r="A356" s="1"/>
      <c r="B356" s="1"/>
      <c r="C356" s="1"/>
      <c r="D356" s="1"/>
      <c r="G356" s="1755"/>
      <c r="H356" s="1"/>
      <c r="I356" s="1"/>
      <c r="J356" s="1"/>
      <c r="L356" s="1755"/>
      <c r="M356" s="1758"/>
      <c r="N356" s="1758"/>
      <c r="O356" s="11"/>
    </row>
    <row r="357" spans="1:15" ht="15" customHeight="1" x14ac:dyDescent="0.25">
      <c r="A357" s="1"/>
      <c r="B357" s="1"/>
      <c r="C357" s="1"/>
      <c r="D357" s="1"/>
      <c r="G357" s="1755"/>
      <c r="H357" s="1"/>
      <c r="I357" s="1"/>
      <c r="J357" s="1"/>
      <c r="L357" s="1755"/>
      <c r="M357" s="1758"/>
      <c r="N357" s="1758"/>
      <c r="O357" s="11"/>
    </row>
    <row r="358" spans="1:15" ht="15" customHeight="1" x14ac:dyDescent="0.25">
      <c r="A358" s="1"/>
      <c r="B358" s="1"/>
      <c r="C358" s="1"/>
      <c r="D358" s="1"/>
      <c r="G358" s="1755"/>
      <c r="H358" s="1"/>
      <c r="I358" s="1"/>
      <c r="J358" s="1"/>
      <c r="L358" s="1755"/>
      <c r="M358" s="1758"/>
      <c r="N358" s="1758"/>
      <c r="O358" s="11"/>
    </row>
    <row r="359" spans="1:15" ht="15" customHeight="1" x14ac:dyDescent="0.25">
      <c r="A359" s="1"/>
      <c r="B359" s="1"/>
      <c r="C359" s="1"/>
      <c r="D359" s="1"/>
      <c r="G359" s="1755"/>
      <c r="H359" s="1"/>
      <c r="I359" s="1"/>
      <c r="J359" s="1"/>
      <c r="L359" s="1755"/>
      <c r="M359" s="1758"/>
      <c r="N359" s="1758"/>
      <c r="O359" s="11"/>
    </row>
    <row r="360" spans="1:15" ht="15" customHeight="1" x14ac:dyDescent="0.25">
      <c r="A360" s="1"/>
      <c r="B360" s="1"/>
      <c r="C360" s="1"/>
      <c r="D360" s="1"/>
      <c r="G360" s="1755"/>
      <c r="H360" s="1"/>
      <c r="I360" s="1"/>
      <c r="J360" s="1"/>
      <c r="L360" s="1755"/>
      <c r="M360" s="1758"/>
      <c r="N360" s="1758"/>
      <c r="O360" s="11"/>
    </row>
    <row r="361" spans="1:15" ht="15" customHeight="1" x14ac:dyDescent="0.25">
      <c r="A361" s="1"/>
      <c r="B361" s="1"/>
      <c r="C361" s="1"/>
      <c r="D361" s="1"/>
      <c r="G361" s="1755"/>
      <c r="H361" s="1"/>
      <c r="I361" s="1"/>
      <c r="J361" s="1"/>
      <c r="L361" s="1755"/>
      <c r="M361" s="1758"/>
      <c r="N361" s="1758"/>
      <c r="O361" s="11"/>
    </row>
    <row r="362" spans="1:15" ht="15" customHeight="1" x14ac:dyDescent="0.25">
      <c r="A362" s="1"/>
      <c r="B362" s="1"/>
      <c r="C362" s="1"/>
      <c r="D362" s="1"/>
      <c r="G362" s="1755"/>
      <c r="H362" s="1"/>
      <c r="I362" s="1"/>
      <c r="J362" s="1"/>
      <c r="L362" s="1755"/>
      <c r="M362" s="1758"/>
      <c r="N362" s="1758"/>
      <c r="O362" s="11"/>
    </row>
    <row r="363" spans="1:15" ht="15" customHeight="1" x14ac:dyDescent="0.25">
      <c r="A363" s="1"/>
      <c r="B363" s="1"/>
      <c r="C363" s="1"/>
      <c r="D363" s="1"/>
      <c r="G363" s="1755"/>
      <c r="H363" s="1"/>
      <c r="I363" s="1"/>
      <c r="J363" s="1"/>
      <c r="L363" s="1755"/>
      <c r="M363" s="1758"/>
      <c r="N363" s="1758"/>
      <c r="O363" s="11"/>
    </row>
    <row r="364" spans="1:15" ht="15" customHeight="1" x14ac:dyDescent="0.25">
      <c r="A364" s="1"/>
      <c r="B364" s="1"/>
      <c r="C364" s="1"/>
      <c r="D364" s="1"/>
      <c r="G364" s="1755"/>
      <c r="H364" s="1"/>
      <c r="I364" s="1"/>
      <c r="J364" s="1"/>
      <c r="L364" s="1755"/>
      <c r="M364" s="1758"/>
      <c r="N364" s="1758"/>
      <c r="O364" s="11"/>
    </row>
    <row r="365" spans="1:15" ht="15" customHeight="1" x14ac:dyDescent="0.25">
      <c r="A365" s="1"/>
      <c r="B365" s="1"/>
      <c r="C365" s="1"/>
      <c r="D365" s="1"/>
      <c r="G365" s="1755"/>
      <c r="H365" s="1"/>
      <c r="I365" s="1"/>
      <c r="J365" s="1"/>
      <c r="L365" s="1755"/>
      <c r="M365" s="1758"/>
      <c r="N365" s="1758"/>
      <c r="O365" s="11"/>
    </row>
    <row r="366" spans="1:15" ht="15" customHeight="1" x14ac:dyDescent="0.25">
      <c r="A366" s="1"/>
      <c r="B366" s="1"/>
      <c r="C366" s="1"/>
      <c r="D366" s="1"/>
      <c r="G366" s="1755"/>
      <c r="H366" s="1"/>
      <c r="I366" s="1"/>
      <c r="J366" s="1"/>
      <c r="L366" s="1755"/>
      <c r="M366" s="1758"/>
      <c r="N366" s="1758"/>
      <c r="O366" s="11"/>
    </row>
    <row r="367" spans="1:15" ht="15" customHeight="1" x14ac:dyDescent="0.25">
      <c r="A367" s="1"/>
      <c r="B367" s="1"/>
      <c r="C367" s="1"/>
      <c r="D367" s="1"/>
      <c r="G367" s="1755"/>
      <c r="H367" s="1"/>
      <c r="I367" s="1"/>
      <c r="J367" s="1"/>
      <c r="L367" s="1755"/>
      <c r="M367" s="1758"/>
      <c r="N367" s="1758"/>
      <c r="O367" s="11"/>
    </row>
    <row r="368" spans="1:15" ht="15" customHeight="1" x14ac:dyDescent="0.25">
      <c r="A368" s="1"/>
      <c r="B368" s="1"/>
      <c r="C368" s="1"/>
      <c r="D368" s="1"/>
      <c r="G368" s="1755"/>
      <c r="H368" s="1"/>
      <c r="I368" s="1"/>
      <c r="J368" s="1"/>
      <c r="L368" s="1755"/>
      <c r="M368" s="1758"/>
      <c r="N368" s="1758"/>
      <c r="O368" s="11"/>
    </row>
    <row r="369" spans="1:15" ht="15" customHeight="1" x14ac:dyDescent="0.25">
      <c r="A369" s="1"/>
      <c r="B369" s="1"/>
      <c r="C369" s="1"/>
      <c r="D369" s="1"/>
      <c r="G369" s="1755"/>
      <c r="H369" s="1"/>
      <c r="I369" s="1"/>
      <c r="J369" s="1"/>
      <c r="L369" s="1755"/>
      <c r="M369" s="1758"/>
      <c r="N369" s="1758"/>
      <c r="O369" s="11"/>
    </row>
    <row r="370" spans="1:15" ht="15" customHeight="1" x14ac:dyDescent="0.25">
      <c r="A370" s="1"/>
      <c r="B370" s="1"/>
      <c r="C370" s="1"/>
      <c r="D370" s="1"/>
      <c r="G370" s="1755"/>
      <c r="H370" s="1"/>
      <c r="I370" s="1"/>
      <c r="J370" s="1"/>
      <c r="L370" s="1755"/>
      <c r="M370" s="1758"/>
      <c r="N370" s="1758"/>
      <c r="O370" s="11"/>
    </row>
    <row r="371" spans="1:15" ht="15" customHeight="1" x14ac:dyDescent="0.25">
      <c r="A371" s="1"/>
      <c r="B371" s="1"/>
      <c r="C371" s="1"/>
      <c r="D371" s="1"/>
      <c r="G371" s="1755"/>
      <c r="H371" s="1"/>
      <c r="I371" s="1"/>
      <c r="J371" s="1"/>
      <c r="L371" s="1755"/>
      <c r="M371" s="1758"/>
      <c r="N371" s="1758"/>
      <c r="O371" s="11"/>
    </row>
    <row r="372" spans="1:15" ht="15" customHeight="1" x14ac:dyDescent="0.25">
      <c r="A372" s="1"/>
      <c r="B372" s="1"/>
      <c r="C372" s="1"/>
      <c r="D372" s="1"/>
      <c r="G372" s="1755"/>
      <c r="H372" s="1"/>
      <c r="I372" s="1"/>
      <c r="J372" s="1"/>
      <c r="L372" s="1755"/>
      <c r="M372" s="1758"/>
      <c r="N372" s="1758"/>
      <c r="O372" s="11"/>
    </row>
    <row r="373" spans="1:15" ht="15" customHeight="1" x14ac:dyDescent="0.25">
      <c r="A373" s="1"/>
      <c r="B373" s="1"/>
      <c r="C373" s="1"/>
      <c r="D373" s="1"/>
      <c r="G373" s="1755"/>
      <c r="H373" s="1"/>
      <c r="I373" s="1"/>
      <c r="J373" s="1"/>
      <c r="L373" s="1755"/>
      <c r="M373" s="1758"/>
      <c r="N373" s="1758"/>
      <c r="O373" s="11"/>
    </row>
    <row r="374" spans="1:15" ht="15" customHeight="1" x14ac:dyDescent="0.25">
      <c r="A374" s="1"/>
      <c r="B374" s="1"/>
      <c r="C374" s="1"/>
      <c r="D374" s="1"/>
      <c r="G374" s="1755"/>
      <c r="H374" s="1"/>
      <c r="I374" s="1"/>
      <c r="J374" s="1"/>
      <c r="L374" s="1755"/>
      <c r="M374" s="1758"/>
      <c r="N374" s="1758"/>
      <c r="O374" s="11"/>
    </row>
    <row r="375" spans="1:15" ht="15" customHeight="1" x14ac:dyDescent="0.25">
      <c r="A375" s="1"/>
      <c r="B375" s="1"/>
      <c r="C375" s="1"/>
      <c r="D375" s="1"/>
      <c r="G375" s="1755"/>
      <c r="H375" s="1"/>
      <c r="I375" s="1"/>
      <c r="J375" s="1"/>
      <c r="L375" s="1755"/>
      <c r="M375" s="1758"/>
      <c r="N375" s="1758"/>
      <c r="O375" s="11"/>
    </row>
    <row r="376" spans="1:15" ht="15" customHeight="1" x14ac:dyDescent="0.25">
      <c r="A376" s="1"/>
      <c r="B376" s="1"/>
      <c r="C376" s="1"/>
      <c r="D376" s="1"/>
      <c r="G376" s="1755"/>
      <c r="H376" s="1"/>
      <c r="I376" s="1"/>
      <c r="J376" s="1"/>
      <c r="L376" s="1755"/>
      <c r="M376" s="1758"/>
      <c r="N376" s="1758"/>
      <c r="O376" s="11"/>
    </row>
    <row r="377" spans="1:15" ht="15" customHeight="1" x14ac:dyDescent="0.25">
      <c r="A377" s="1"/>
      <c r="B377" s="1"/>
      <c r="C377" s="1"/>
      <c r="D377" s="1"/>
      <c r="G377" s="1755"/>
      <c r="H377" s="1"/>
      <c r="I377" s="1"/>
      <c r="J377" s="1"/>
      <c r="L377" s="1755"/>
      <c r="M377" s="1758"/>
      <c r="N377" s="1758"/>
      <c r="O377" s="11"/>
    </row>
    <row r="378" spans="1:15" ht="15" customHeight="1" x14ac:dyDescent="0.25">
      <c r="A378" s="1"/>
      <c r="B378" s="1"/>
      <c r="C378" s="1"/>
      <c r="D378" s="1"/>
      <c r="G378" s="1755"/>
      <c r="H378" s="1"/>
      <c r="I378" s="1"/>
      <c r="J378" s="1"/>
      <c r="L378" s="1755"/>
      <c r="M378" s="1758"/>
      <c r="N378" s="1758"/>
      <c r="O378" s="11"/>
    </row>
    <row r="379" spans="1:15" ht="15" customHeight="1" x14ac:dyDescent="0.25">
      <c r="A379" s="1"/>
      <c r="B379" s="1"/>
      <c r="C379" s="1"/>
      <c r="D379" s="1"/>
      <c r="G379" s="1755"/>
      <c r="H379" s="1"/>
      <c r="I379" s="1"/>
      <c r="J379" s="1"/>
      <c r="L379" s="1755"/>
      <c r="M379" s="1758"/>
      <c r="N379" s="1758"/>
      <c r="O379" s="11"/>
    </row>
    <row r="380" spans="1:15" ht="15" customHeight="1" x14ac:dyDescent="0.25">
      <c r="A380" s="1"/>
      <c r="B380" s="1"/>
      <c r="C380" s="1"/>
      <c r="D380" s="1"/>
      <c r="G380" s="1755"/>
      <c r="H380" s="1"/>
      <c r="I380" s="1"/>
      <c r="J380" s="1"/>
      <c r="L380" s="1755"/>
      <c r="M380" s="1758"/>
      <c r="N380" s="1758"/>
      <c r="O380" s="11"/>
    </row>
    <row r="381" spans="1:15" ht="15" customHeight="1" x14ac:dyDescent="0.25">
      <c r="A381" s="1"/>
      <c r="B381" s="1"/>
      <c r="C381" s="1"/>
      <c r="D381" s="1"/>
      <c r="G381" s="1755"/>
      <c r="H381" s="1"/>
      <c r="I381" s="1"/>
      <c r="J381" s="1"/>
      <c r="L381" s="1755"/>
      <c r="M381" s="1758"/>
      <c r="N381" s="1758"/>
      <c r="O381" s="11"/>
    </row>
    <row r="382" spans="1:15" ht="15" customHeight="1" x14ac:dyDescent="0.25">
      <c r="A382" s="1"/>
      <c r="B382" s="1"/>
      <c r="C382" s="1"/>
      <c r="D382" s="1"/>
      <c r="G382" s="1755"/>
      <c r="H382" s="1"/>
      <c r="I382" s="1"/>
      <c r="J382" s="1"/>
      <c r="L382" s="1755"/>
      <c r="M382" s="1758"/>
      <c r="N382" s="1758"/>
      <c r="O382" s="11"/>
    </row>
    <row r="383" spans="1:15" ht="15" customHeight="1" x14ac:dyDescent="0.25">
      <c r="A383" s="1"/>
      <c r="B383" s="1"/>
      <c r="C383" s="1"/>
      <c r="D383" s="1"/>
      <c r="G383" s="1755"/>
      <c r="H383" s="1"/>
      <c r="I383" s="1"/>
      <c r="J383" s="1"/>
      <c r="L383" s="1755"/>
      <c r="M383" s="1758"/>
      <c r="N383" s="1758"/>
      <c r="O383" s="11"/>
    </row>
    <row r="384" spans="1:15" ht="15" customHeight="1" x14ac:dyDescent="0.25">
      <c r="A384" s="1"/>
      <c r="B384" s="1"/>
      <c r="C384" s="1"/>
      <c r="D384" s="1"/>
      <c r="G384" s="1755"/>
      <c r="H384" s="1"/>
      <c r="I384" s="1"/>
      <c r="J384" s="1"/>
      <c r="L384" s="1755"/>
      <c r="M384" s="1758"/>
      <c r="N384" s="1758"/>
      <c r="O384" s="11"/>
    </row>
    <row r="385" spans="1:15" ht="15" customHeight="1" x14ac:dyDescent="0.25">
      <c r="A385" s="1"/>
      <c r="B385" s="1"/>
      <c r="C385" s="1"/>
      <c r="D385" s="1"/>
      <c r="G385" s="1755"/>
      <c r="H385" s="1"/>
      <c r="I385" s="1"/>
      <c r="J385" s="1"/>
      <c r="L385" s="1755"/>
      <c r="M385" s="1758"/>
      <c r="N385" s="1758"/>
      <c r="O385" s="11"/>
    </row>
    <row r="386" spans="1:15" ht="15" customHeight="1" x14ac:dyDescent="0.25">
      <c r="A386" s="1"/>
      <c r="B386" s="1"/>
      <c r="C386" s="1"/>
      <c r="D386" s="1"/>
      <c r="G386" s="1755"/>
      <c r="H386" s="1"/>
      <c r="I386" s="1"/>
      <c r="J386" s="1"/>
      <c r="L386" s="1755"/>
      <c r="M386" s="1758"/>
      <c r="N386" s="1758"/>
      <c r="O386" s="11"/>
    </row>
    <row r="387" spans="1:15" ht="15" customHeight="1" x14ac:dyDescent="0.25">
      <c r="A387" s="1"/>
      <c r="B387" s="1"/>
      <c r="C387" s="1"/>
      <c r="D387" s="1"/>
      <c r="G387" s="1755"/>
      <c r="H387" s="1"/>
      <c r="I387" s="1"/>
      <c r="J387" s="1"/>
      <c r="L387" s="1755"/>
      <c r="M387" s="1758"/>
      <c r="N387" s="1758"/>
      <c r="O387" s="11"/>
    </row>
    <row r="388" spans="1:15" ht="15" customHeight="1" x14ac:dyDescent="0.25">
      <c r="A388" s="1"/>
      <c r="B388" s="1"/>
      <c r="C388" s="1"/>
      <c r="D388" s="1"/>
      <c r="G388" s="1755"/>
      <c r="H388" s="1"/>
      <c r="I388" s="1"/>
      <c r="J388" s="1"/>
      <c r="L388" s="1755"/>
      <c r="M388" s="1758"/>
      <c r="N388" s="1758"/>
      <c r="O388" s="11"/>
    </row>
    <row r="389" spans="1:15" ht="15" customHeight="1" x14ac:dyDescent="0.25">
      <c r="A389" s="1"/>
      <c r="B389" s="1"/>
      <c r="C389" s="1"/>
      <c r="D389" s="1"/>
      <c r="G389" s="1755"/>
      <c r="H389" s="1"/>
      <c r="I389" s="1"/>
      <c r="J389" s="1"/>
      <c r="L389" s="1755"/>
      <c r="M389" s="1758"/>
      <c r="N389" s="1758"/>
      <c r="O389" s="11"/>
    </row>
    <row r="390" spans="1:15" ht="15" customHeight="1" x14ac:dyDescent="0.25">
      <c r="A390" s="1"/>
      <c r="B390" s="1"/>
      <c r="C390" s="1"/>
      <c r="D390" s="1"/>
      <c r="G390" s="1755"/>
      <c r="H390" s="1"/>
      <c r="I390" s="1"/>
      <c r="J390" s="1"/>
      <c r="L390" s="1755"/>
      <c r="M390" s="1758"/>
      <c r="N390" s="1758"/>
      <c r="O390" s="11"/>
    </row>
    <row r="391" spans="1:15" ht="15" customHeight="1" x14ac:dyDescent="0.25">
      <c r="A391" s="1"/>
      <c r="B391" s="1"/>
      <c r="C391" s="1"/>
      <c r="D391" s="1"/>
      <c r="G391" s="1755"/>
      <c r="H391" s="1"/>
      <c r="I391" s="1"/>
      <c r="J391" s="1"/>
      <c r="L391" s="1755"/>
      <c r="M391" s="1758"/>
      <c r="N391" s="1758"/>
      <c r="O391" s="11"/>
    </row>
    <row r="392" spans="1:15" ht="15" customHeight="1" x14ac:dyDescent="0.25">
      <c r="A392" s="1"/>
      <c r="B392" s="1"/>
      <c r="C392" s="1"/>
      <c r="D392" s="1"/>
      <c r="G392" s="1755"/>
      <c r="H392" s="1"/>
      <c r="I392" s="1"/>
      <c r="J392" s="1"/>
      <c r="L392" s="1755"/>
      <c r="M392" s="1758"/>
      <c r="N392" s="1758"/>
      <c r="O392" s="11"/>
    </row>
    <row r="393" spans="1:15" ht="15" customHeight="1" x14ac:dyDescent="0.25">
      <c r="A393" s="1"/>
      <c r="B393" s="1"/>
      <c r="C393" s="1"/>
      <c r="D393" s="1"/>
      <c r="G393" s="1755"/>
      <c r="H393" s="1"/>
      <c r="I393" s="1"/>
      <c r="J393" s="1"/>
      <c r="L393" s="1755"/>
      <c r="M393" s="1758"/>
      <c r="N393" s="1758"/>
      <c r="O393" s="11"/>
    </row>
    <row r="394" spans="1:15" ht="15" customHeight="1" x14ac:dyDescent="0.25">
      <c r="A394" s="1"/>
      <c r="B394" s="1"/>
      <c r="C394" s="1"/>
      <c r="D394" s="1"/>
      <c r="G394" s="1755"/>
      <c r="H394" s="1"/>
      <c r="I394" s="1"/>
      <c r="J394" s="1"/>
      <c r="L394" s="1755"/>
      <c r="M394" s="1758"/>
      <c r="N394" s="1758"/>
      <c r="O394" s="11"/>
    </row>
    <row r="395" spans="1:15" ht="15" customHeight="1" x14ac:dyDescent="0.25">
      <c r="A395" s="1"/>
      <c r="B395" s="1"/>
      <c r="C395" s="1"/>
      <c r="D395" s="1"/>
      <c r="G395" s="1755"/>
      <c r="H395" s="1"/>
      <c r="I395" s="1"/>
      <c r="J395" s="1"/>
      <c r="L395" s="1755"/>
      <c r="M395" s="1758"/>
      <c r="N395" s="1758"/>
      <c r="O395" s="11"/>
    </row>
    <row r="396" spans="1:15" ht="15" customHeight="1" x14ac:dyDescent="0.25">
      <c r="A396" s="1"/>
      <c r="B396" s="1"/>
      <c r="C396" s="1"/>
      <c r="D396" s="1"/>
      <c r="G396" s="1755"/>
      <c r="H396" s="1"/>
      <c r="I396" s="1"/>
      <c r="J396" s="1"/>
      <c r="L396" s="1755"/>
      <c r="M396" s="1758"/>
      <c r="N396" s="1758"/>
      <c r="O396" s="11"/>
    </row>
    <row r="397" spans="1:15" ht="15" customHeight="1" x14ac:dyDescent="0.25">
      <c r="A397" s="1"/>
      <c r="B397" s="1"/>
      <c r="C397" s="1"/>
      <c r="D397" s="1"/>
      <c r="G397" s="1755"/>
      <c r="H397" s="1"/>
      <c r="I397" s="1"/>
      <c r="J397" s="1"/>
      <c r="L397" s="1755"/>
      <c r="M397" s="1758"/>
      <c r="N397" s="1758"/>
      <c r="O397" s="11"/>
    </row>
    <row r="398" spans="1:15" ht="15" customHeight="1" x14ac:dyDescent="0.25">
      <c r="A398" s="1"/>
      <c r="B398" s="1"/>
      <c r="C398" s="1"/>
      <c r="D398" s="1"/>
      <c r="G398" s="1755"/>
      <c r="H398" s="1"/>
      <c r="I398" s="1"/>
      <c r="J398" s="1"/>
      <c r="L398" s="1755"/>
      <c r="M398" s="1758"/>
      <c r="N398" s="1758"/>
      <c r="O398" s="11"/>
    </row>
    <row r="399" spans="1:15" ht="15" customHeight="1" x14ac:dyDescent="0.25">
      <c r="A399" s="1"/>
      <c r="B399" s="1"/>
      <c r="C399" s="1"/>
      <c r="D399" s="1"/>
      <c r="G399" s="1755"/>
      <c r="H399" s="1"/>
      <c r="I399" s="1"/>
      <c r="J399" s="1"/>
      <c r="L399" s="1755"/>
      <c r="M399" s="1758"/>
      <c r="N399" s="1758"/>
      <c r="O399" s="11"/>
    </row>
    <row r="400" spans="1:15" ht="15" customHeight="1" x14ac:dyDescent="0.25">
      <c r="A400" s="1"/>
      <c r="B400" s="1"/>
      <c r="C400" s="1"/>
      <c r="D400" s="1"/>
      <c r="G400" s="1755"/>
      <c r="H400" s="1"/>
      <c r="I400" s="1"/>
      <c r="J400" s="1"/>
      <c r="L400" s="1755"/>
      <c r="M400" s="1758"/>
      <c r="N400" s="1758"/>
      <c r="O400" s="11"/>
    </row>
    <row r="401" spans="1:15" ht="15" customHeight="1" x14ac:dyDescent="0.25">
      <c r="A401" s="1"/>
      <c r="B401" s="1"/>
      <c r="C401" s="1"/>
      <c r="D401" s="1"/>
      <c r="G401" s="1755"/>
      <c r="H401" s="1"/>
      <c r="I401" s="1"/>
      <c r="J401" s="1"/>
      <c r="L401" s="1755"/>
      <c r="M401" s="1758"/>
      <c r="N401" s="1758"/>
      <c r="O401" s="11"/>
    </row>
    <row r="402" spans="1:15" ht="15" customHeight="1" x14ac:dyDescent="0.25">
      <c r="A402" s="1"/>
      <c r="B402" s="1"/>
      <c r="C402" s="1"/>
      <c r="D402" s="1"/>
      <c r="G402" s="1755"/>
      <c r="H402" s="1"/>
      <c r="I402" s="1"/>
      <c r="J402" s="1"/>
      <c r="L402" s="1755"/>
      <c r="M402" s="1758"/>
      <c r="N402" s="1758"/>
      <c r="O402" s="11"/>
    </row>
    <row r="403" spans="1:15" ht="15" customHeight="1" x14ac:dyDescent="0.25">
      <c r="A403" s="1"/>
      <c r="B403" s="1"/>
      <c r="C403" s="1"/>
      <c r="D403" s="1"/>
      <c r="G403" s="1755"/>
      <c r="H403" s="1"/>
      <c r="I403" s="1"/>
      <c r="J403" s="1"/>
      <c r="L403" s="1755"/>
      <c r="M403" s="1758"/>
      <c r="N403" s="1758"/>
      <c r="O403" s="11"/>
    </row>
    <row r="404" spans="1:15" ht="15" customHeight="1" x14ac:dyDescent="0.25">
      <c r="A404" s="1"/>
      <c r="B404" s="1"/>
      <c r="C404" s="1"/>
      <c r="D404" s="1"/>
      <c r="G404" s="1755"/>
      <c r="H404" s="1"/>
      <c r="I404" s="1"/>
      <c r="J404" s="1"/>
      <c r="L404" s="1755"/>
      <c r="M404" s="1758"/>
      <c r="N404" s="1758"/>
      <c r="O404" s="11"/>
    </row>
    <row r="405" spans="1:15" ht="15" customHeight="1" x14ac:dyDescent="0.25">
      <c r="A405" s="1"/>
      <c r="B405" s="1"/>
      <c r="C405" s="1"/>
      <c r="D405" s="1"/>
      <c r="G405" s="1"/>
      <c r="H405" s="1"/>
      <c r="I405" s="1"/>
      <c r="J405" s="1"/>
      <c r="L405" s="1755"/>
      <c r="M405" s="1758"/>
      <c r="N405" s="1758"/>
      <c r="O405" s="11"/>
    </row>
    <row r="406" spans="1:15" ht="15" customHeight="1" x14ac:dyDescent="0.25">
      <c r="A406" s="1"/>
      <c r="B406" s="1"/>
      <c r="C406" s="1"/>
      <c r="D406" s="1"/>
      <c r="G406" s="1"/>
      <c r="H406" s="1"/>
      <c r="I406" s="1"/>
      <c r="J406" s="1"/>
      <c r="L406" s="1755"/>
      <c r="M406" s="1758"/>
      <c r="N406" s="1758"/>
      <c r="O406" s="11"/>
    </row>
    <row r="407" spans="1:15" ht="15" customHeight="1" x14ac:dyDescent="0.25">
      <c r="A407" s="1"/>
      <c r="B407" s="1"/>
      <c r="C407" s="1"/>
      <c r="D407" s="1"/>
      <c r="G407" s="1"/>
      <c r="H407" s="1"/>
      <c r="I407" s="1"/>
      <c r="J407" s="1"/>
      <c r="L407" s="1755"/>
      <c r="M407" s="1758"/>
      <c r="N407" s="1758"/>
      <c r="O407" s="11"/>
    </row>
    <row r="408" spans="1:15" ht="15" customHeight="1" x14ac:dyDescent="0.25">
      <c r="A408" s="1"/>
      <c r="B408" s="1"/>
      <c r="C408" s="1"/>
      <c r="D408" s="1"/>
      <c r="G408" s="1"/>
      <c r="H408" s="1"/>
      <c r="I408" s="1"/>
      <c r="J408" s="1"/>
      <c r="L408" s="1755"/>
      <c r="M408" s="1758"/>
      <c r="N408" s="1758"/>
      <c r="O408" s="11"/>
    </row>
    <row r="409" spans="1:15" ht="15" customHeight="1" x14ac:dyDescent="0.25">
      <c r="A409" s="1"/>
      <c r="B409" s="1"/>
      <c r="C409" s="1"/>
      <c r="D409" s="1"/>
      <c r="G409" s="1"/>
      <c r="H409" s="1"/>
      <c r="I409" s="1"/>
      <c r="J409" s="1"/>
      <c r="L409" s="1755"/>
      <c r="M409" s="1758"/>
      <c r="N409" s="1758"/>
      <c r="O409" s="11"/>
    </row>
    <row r="410" spans="1:15" ht="15" customHeight="1" x14ac:dyDescent="0.25">
      <c r="A410" s="1"/>
      <c r="B410" s="1"/>
      <c r="C410" s="1"/>
      <c r="D410" s="1"/>
      <c r="G410" s="1"/>
      <c r="H410" s="1"/>
      <c r="I410" s="1"/>
      <c r="J410" s="1"/>
      <c r="L410" s="1755"/>
      <c r="M410" s="1758"/>
      <c r="N410" s="1758"/>
      <c r="O410" s="11"/>
    </row>
    <row r="411" spans="1:15" ht="15" customHeight="1" x14ac:dyDescent="0.25">
      <c r="A411" s="1"/>
      <c r="B411" s="1"/>
      <c r="C411" s="1"/>
      <c r="D411" s="1"/>
      <c r="G411" s="1"/>
      <c r="H411" s="1"/>
      <c r="I411" s="1"/>
      <c r="J411" s="1"/>
      <c r="K411" s="13"/>
      <c r="L411" s="1778"/>
      <c r="M411" s="1758"/>
      <c r="N411" s="1758"/>
      <c r="O411" s="11"/>
    </row>
    <row r="412" spans="1:15" ht="15" customHeight="1" x14ac:dyDescent="0.25">
      <c r="A412" s="1"/>
      <c r="B412" s="1"/>
      <c r="C412" s="1"/>
      <c r="D412" s="1"/>
      <c r="G412" s="1"/>
      <c r="H412" s="1"/>
      <c r="I412" s="1"/>
      <c r="J412" s="1"/>
      <c r="L412" s="1755"/>
      <c r="M412" s="1758"/>
      <c r="N412" s="1758"/>
      <c r="O412" s="11"/>
    </row>
    <row r="413" spans="1:15" ht="15" customHeight="1" x14ac:dyDescent="0.25">
      <c r="A413" s="1"/>
      <c r="B413" s="1"/>
      <c r="C413" s="1"/>
      <c r="D413" s="1"/>
      <c r="G413" s="1"/>
      <c r="H413" s="1"/>
      <c r="I413" s="1"/>
      <c r="J413" s="1"/>
      <c r="L413" s="1755"/>
      <c r="M413" s="1755"/>
      <c r="N413" s="1755"/>
    </row>
    <row r="414" spans="1:15" ht="15" customHeight="1" x14ac:dyDescent="0.25">
      <c r="A414" s="1"/>
      <c r="B414" s="1"/>
      <c r="C414" s="1"/>
      <c r="D414" s="1"/>
      <c r="G414" s="1"/>
      <c r="H414" s="1"/>
      <c r="I414" s="1"/>
      <c r="J414" s="1"/>
      <c r="L414" s="1755"/>
      <c r="M414" s="1755"/>
      <c r="N414" s="1755"/>
    </row>
    <row r="415" spans="1:15" ht="15" customHeight="1" x14ac:dyDescent="0.25">
      <c r="A415" s="1"/>
      <c r="B415" s="1"/>
      <c r="C415" s="1"/>
      <c r="D415" s="1"/>
      <c r="G415" s="1"/>
      <c r="H415" s="1"/>
      <c r="I415" s="1"/>
      <c r="J415" s="1"/>
      <c r="L415" s="1755"/>
      <c r="M415" s="1755"/>
      <c r="N415" s="1755"/>
    </row>
    <row r="416" spans="1:15" ht="15" customHeight="1" x14ac:dyDescent="0.25">
      <c r="A416" s="1"/>
      <c r="B416" s="1"/>
      <c r="C416" s="1"/>
      <c r="D416" s="1"/>
      <c r="G416" s="1"/>
      <c r="H416" s="1"/>
      <c r="I416" s="1"/>
      <c r="J416" s="1"/>
      <c r="L416" s="1755"/>
      <c r="M416" s="1755"/>
      <c r="N416" s="1755"/>
    </row>
    <row r="417" spans="1:15" ht="15" customHeight="1" x14ac:dyDescent="0.25">
      <c r="A417" s="1"/>
      <c r="B417" s="1"/>
      <c r="C417" s="1"/>
      <c r="D417" s="1"/>
      <c r="G417" s="1"/>
      <c r="H417" s="1"/>
      <c r="I417" s="1"/>
      <c r="J417" s="1"/>
      <c r="L417" s="1755"/>
      <c r="M417" s="1755"/>
      <c r="N417" s="1755"/>
    </row>
    <row r="418" spans="1:15" ht="15" customHeight="1" x14ac:dyDescent="0.25">
      <c r="A418" s="1"/>
      <c r="B418" s="1"/>
      <c r="C418" s="1"/>
      <c r="D418" s="1"/>
      <c r="G418" s="1"/>
      <c r="H418" s="1"/>
      <c r="I418" s="1"/>
      <c r="J418" s="1"/>
      <c r="L418" s="1755"/>
      <c r="M418" s="1755"/>
      <c r="N418" s="1755"/>
    </row>
    <row r="419" spans="1:15" ht="15" customHeight="1" x14ac:dyDescent="0.25">
      <c r="A419" s="1"/>
      <c r="B419" s="1"/>
      <c r="C419" s="1"/>
      <c r="D419" s="1"/>
      <c r="G419" s="1"/>
      <c r="H419" s="1"/>
      <c r="I419" s="1"/>
      <c r="J419" s="1"/>
      <c r="L419" s="1755"/>
      <c r="M419" s="1755"/>
      <c r="N419" s="1755"/>
    </row>
    <row r="420" spans="1:15" ht="15" customHeight="1" x14ac:dyDescent="0.25">
      <c r="A420" s="1"/>
      <c r="B420" s="1"/>
      <c r="C420" s="1"/>
      <c r="D420" s="1"/>
      <c r="G420" s="1"/>
      <c r="H420" s="1"/>
      <c r="I420" s="1"/>
      <c r="J420" s="1"/>
      <c r="L420" s="1755"/>
      <c r="M420" s="1755"/>
      <c r="N420" s="1755"/>
    </row>
    <row r="421" spans="1:15" ht="15" customHeight="1" x14ac:dyDescent="0.25">
      <c r="A421" s="1"/>
      <c r="B421" s="1"/>
      <c r="C421" s="1"/>
      <c r="D421" s="1"/>
      <c r="G421" s="1"/>
      <c r="H421" s="1"/>
      <c r="I421" s="1"/>
      <c r="J421" s="1"/>
      <c r="L421" s="1755"/>
      <c r="M421" s="1755"/>
      <c r="N421" s="1755"/>
    </row>
    <row r="422" spans="1:15" ht="15" customHeight="1" x14ac:dyDescent="0.25">
      <c r="A422" s="1"/>
      <c r="B422" s="1"/>
      <c r="C422" s="1"/>
      <c r="D422" s="1"/>
      <c r="G422" s="1"/>
      <c r="H422" s="1"/>
      <c r="I422" s="1"/>
      <c r="J422" s="1"/>
      <c r="L422" s="1755"/>
      <c r="M422" s="1755"/>
      <c r="N422" s="1755"/>
    </row>
    <row r="423" spans="1:15" ht="15" customHeight="1" x14ac:dyDescent="0.25">
      <c r="A423" s="1"/>
      <c r="B423" s="1"/>
      <c r="C423" s="1"/>
      <c r="D423" s="1"/>
      <c r="G423" s="1"/>
      <c r="H423" s="1"/>
      <c r="I423" s="1"/>
      <c r="J423" s="1"/>
      <c r="L423" s="1755"/>
      <c r="M423" s="1755"/>
      <c r="N423" s="1755"/>
    </row>
    <row r="424" spans="1:15" ht="15" customHeight="1" x14ac:dyDescent="0.25">
      <c r="A424" s="1"/>
      <c r="B424" s="1"/>
      <c r="C424" s="1"/>
      <c r="D424" s="1"/>
      <c r="G424" s="1"/>
      <c r="H424" s="1"/>
      <c r="I424" s="1"/>
      <c r="J424" s="1"/>
      <c r="L424" s="1755"/>
      <c r="M424" s="1755"/>
      <c r="N424" s="1755"/>
    </row>
    <row r="425" spans="1:15" ht="15" customHeight="1" x14ac:dyDescent="0.25">
      <c r="A425" s="1"/>
      <c r="B425" s="1"/>
      <c r="C425" s="1"/>
      <c r="D425" s="1"/>
      <c r="G425" s="1"/>
      <c r="H425" s="1"/>
      <c r="I425" s="1"/>
      <c r="J425" s="1"/>
      <c r="L425" s="1755"/>
      <c r="M425" s="1755"/>
      <c r="N425" s="1755"/>
    </row>
    <row r="426" spans="1:15" s="38" customFormat="1" ht="15" customHeight="1" x14ac:dyDescent="0.25">
      <c r="A426" s="1"/>
      <c r="B426" s="1"/>
      <c r="C426" s="1"/>
      <c r="D426" s="1"/>
      <c r="E426" s="1"/>
      <c r="F426" s="1"/>
      <c r="G426" s="1"/>
      <c r="H426" s="1"/>
      <c r="I426" s="1"/>
      <c r="J426" s="1"/>
      <c r="K426" s="37"/>
      <c r="L426" s="1755"/>
      <c r="M426" s="1755"/>
      <c r="N426" s="1755"/>
      <c r="O426" s="1"/>
    </row>
    <row r="427" spans="1:15" s="38" customFormat="1" ht="15" customHeight="1" x14ac:dyDescent="0.25">
      <c r="A427" s="1"/>
      <c r="B427" s="1"/>
      <c r="C427" s="1"/>
      <c r="D427" s="1"/>
      <c r="E427" s="1"/>
      <c r="F427" s="1"/>
      <c r="G427" s="1"/>
      <c r="H427" s="1"/>
      <c r="I427" s="1"/>
      <c r="J427" s="1"/>
      <c r="K427" s="37"/>
      <c r="L427" s="1755"/>
      <c r="M427" s="1755"/>
      <c r="N427" s="1755"/>
      <c r="O427" s="1"/>
    </row>
    <row r="428" spans="1:15" s="38" customFormat="1" ht="15" customHeight="1" x14ac:dyDescent="0.25">
      <c r="A428" s="1"/>
      <c r="B428" s="1"/>
      <c r="C428" s="1"/>
      <c r="D428" s="1"/>
      <c r="E428" s="1"/>
      <c r="F428" s="1"/>
      <c r="G428" s="1"/>
      <c r="H428" s="1"/>
      <c r="I428" s="1"/>
      <c r="J428" s="1"/>
      <c r="K428" s="37"/>
      <c r="L428" s="1755"/>
      <c r="M428" s="1755"/>
      <c r="N428" s="1755"/>
      <c r="O428" s="1"/>
    </row>
    <row r="429" spans="1:15" s="38" customFormat="1" ht="15" customHeight="1" x14ac:dyDescent="0.25">
      <c r="A429" s="1"/>
      <c r="B429" s="1"/>
      <c r="C429" s="1"/>
      <c r="D429" s="1"/>
      <c r="E429" s="1"/>
      <c r="F429" s="1"/>
      <c r="G429" s="1"/>
      <c r="H429" s="1"/>
      <c r="I429" s="1"/>
      <c r="J429" s="1"/>
      <c r="L429" s="1779"/>
      <c r="M429" s="1779"/>
      <c r="N429" s="1779"/>
    </row>
    <row r="430" spans="1:15" s="38" customFormat="1" ht="15" customHeight="1" x14ac:dyDescent="0.25">
      <c r="A430" s="1"/>
      <c r="B430" s="1"/>
      <c r="C430" s="1"/>
      <c r="D430" s="1"/>
      <c r="E430" s="1"/>
      <c r="F430" s="1"/>
      <c r="G430" s="1"/>
      <c r="H430" s="1"/>
      <c r="I430" s="1"/>
      <c r="J430" s="1"/>
      <c r="K430" s="45"/>
      <c r="L430" s="1779"/>
      <c r="M430" s="1779"/>
      <c r="N430" s="1779"/>
    </row>
    <row r="431" spans="1:15" s="38" customFormat="1" ht="15" customHeight="1" x14ac:dyDescent="0.25">
      <c r="A431" s="1"/>
      <c r="B431" s="1"/>
      <c r="C431" s="1"/>
      <c r="D431" s="1"/>
      <c r="E431" s="1"/>
      <c r="F431" s="1"/>
      <c r="G431" s="1"/>
      <c r="H431" s="1"/>
      <c r="I431" s="1"/>
      <c r="J431" s="1"/>
      <c r="K431" s="45"/>
      <c r="L431" s="1779"/>
      <c r="M431" s="1779"/>
      <c r="N431" s="1779"/>
    </row>
    <row r="432" spans="1:15" s="38" customFormat="1" ht="15" customHeight="1" x14ac:dyDescent="0.25">
      <c r="A432" s="1"/>
      <c r="B432" s="1"/>
      <c r="C432" s="1"/>
      <c r="D432" s="1"/>
      <c r="E432" s="1"/>
      <c r="F432" s="1"/>
      <c r="G432" s="1"/>
      <c r="H432" s="1"/>
      <c r="I432" s="1"/>
      <c r="J432" s="1"/>
      <c r="K432" s="45"/>
      <c r="L432" s="1779"/>
      <c r="M432" s="1779"/>
      <c r="N432" s="1779"/>
    </row>
    <row r="433" spans="1:14" s="38" customFormat="1" ht="15" customHeight="1" x14ac:dyDescent="0.25">
      <c r="A433" s="1"/>
      <c r="B433" s="1"/>
      <c r="C433" s="1"/>
      <c r="D433" s="1"/>
      <c r="E433" s="1"/>
      <c r="F433" s="1"/>
      <c r="G433" s="1"/>
      <c r="H433" s="1"/>
      <c r="I433" s="1"/>
      <c r="J433" s="1"/>
      <c r="K433" s="45"/>
      <c r="L433" s="1779"/>
      <c r="M433" s="1779"/>
      <c r="N433" s="1779"/>
    </row>
    <row r="434" spans="1:14" s="38" customFormat="1" ht="15" customHeight="1" x14ac:dyDescent="0.25">
      <c r="A434" s="1"/>
      <c r="B434" s="1"/>
      <c r="C434" s="1"/>
      <c r="D434" s="1"/>
      <c r="E434" s="1"/>
      <c r="F434" s="1"/>
      <c r="G434" s="1"/>
      <c r="H434" s="1"/>
      <c r="I434" s="1"/>
      <c r="J434" s="1"/>
      <c r="K434" s="45"/>
      <c r="L434" s="1779"/>
      <c r="M434" s="1779"/>
      <c r="N434" s="1779"/>
    </row>
    <row r="435" spans="1:14" s="38" customFormat="1" ht="15" customHeight="1" x14ac:dyDescent="0.25">
      <c r="A435" s="1"/>
      <c r="B435" s="1"/>
      <c r="C435" s="1"/>
      <c r="D435" s="1"/>
      <c r="E435" s="1"/>
      <c r="F435" s="1"/>
      <c r="G435" s="1"/>
      <c r="H435" s="1"/>
      <c r="I435" s="1"/>
      <c r="J435" s="1"/>
      <c r="K435" s="45"/>
      <c r="L435" s="1779"/>
      <c r="M435" s="1779"/>
      <c r="N435" s="1779"/>
    </row>
    <row r="436" spans="1:14" s="38" customFormat="1" ht="15" customHeight="1" x14ac:dyDescent="0.25">
      <c r="A436" s="1"/>
      <c r="B436" s="1"/>
      <c r="C436" s="1"/>
      <c r="D436" s="1"/>
      <c r="E436" s="1"/>
      <c r="F436" s="1"/>
      <c r="G436" s="1"/>
      <c r="H436" s="1"/>
      <c r="I436" s="1"/>
      <c r="J436" s="1"/>
      <c r="K436" s="45"/>
      <c r="L436" s="1779"/>
      <c r="M436" s="1779"/>
      <c r="N436" s="1779"/>
    </row>
    <row r="437" spans="1:14" s="38" customFormat="1" ht="15" customHeight="1" x14ac:dyDescent="0.25">
      <c r="A437" s="1"/>
      <c r="B437" s="1"/>
      <c r="C437" s="1"/>
      <c r="D437" s="1"/>
      <c r="E437" s="1"/>
      <c r="F437" s="1"/>
      <c r="G437" s="1"/>
      <c r="H437" s="1"/>
      <c r="I437" s="1"/>
      <c r="J437" s="1"/>
      <c r="K437" s="45"/>
      <c r="L437" s="1779"/>
      <c r="M437" s="1779"/>
      <c r="N437" s="1779"/>
    </row>
    <row r="438" spans="1:14" s="38" customFormat="1" ht="15" customHeight="1" x14ac:dyDescent="0.25">
      <c r="A438" s="1"/>
      <c r="B438" s="1"/>
      <c r="C438" s="1"/>
      <c r="D438" s="1"/>
      <c r="E438" s="1"/>
      <c r="F438" s="1"/>
      <c r="G438" s="1"/>
      <c r="H438" s="1"/>
      <c r="I438" s="1"/>
      <c r="J438" s="1"/>
      <c r="K438" s="45"/>
      <c r="L438" s="1779"/>
      <c r="M438" s="1779"/>
      <c r="N438" s="1779"/>
    </row>
    <row r="439" spans="1:14" s="38" customFormat="1" ht="15" customHeight="1" x14ac:dyDescent="0.25">
      <c r="A439" s="1"/>
      <c r="B439" s="1"/>
      <c r="C439" s="1"/>
      <c r="D439" s="1"/>
      <c r="E439" s="1"/>
      <c r="F439" s="1"/>
      <c r="G439" s="1"/>
      <c r="H439" s="1"/>
      <c r="I439" s="1"/>
      <c r="J439" s="1"/>
      <c r="K439" s="45"/>
      <c r="L439" s="1779"/>
      <c r="M439" s="1779"/>
      <c r="N439" s="1779"/>
    </row>
    <row r="440" spans="1:14" s="38" customFormat="1" ht="15" customHeight="1" x14ac:dyDescent="0.25">
      <c r="A440" s="1"/>
      <c r="B440" s="1"/>
      <c r="C440" s="1"/>
      <c r="D440" s="1"/>
      <c r="E440" s="1"/>
      <c r="F440" s="1"/>
      <c r="G440" s="1"/>
      <c r="H440" s="1"/>
      <c r="I440" s="1"/>
      <c r="J440" s="1"/>
      <c r="K440" s="45"/>
      <c r="L440" s="1779"/>
      <c r="M440" s="1779"/>
      <c r="N440" s="1779"/>
    </row>
    <row r="441" spans="1:14" s="38" customFormat="1" ht="15" customHeight="1" x14ac:dyDescent="0.25">
      <c r="A441" s="1"/>
      <c r="B441" s="1"/>
      <c r="C441" s="1"/>
      <c r="D441" s="1"/>
      <c r="E441" s="1"/>
      <c r="F441" s="1"/>
      <c r="G441" s="1"/>
      <c r="H441" s="1"/>
      <c r="I441" s="1"/>
      <c r="J441" s="1"/>
      <c r="K441" s="45"/>
      <c r="L441" s="1779"/>
      <c r="M441" s="1779"/>
      <c r="N441" s="1779"/>
    </row>
    <row r="442" spans="1:14" s="38" customFormat="1" ht="15" customHeight="1" x14ac:dyDescent="0.25">
      <c r="A442" s="1"/>
      <c r="B442" s="1"/>
      <c r="C442" s="1"/>
      <c r="D442" s="1"/>
      <c r="E442" s="1"/>
      <c r="F442" s="1"/>
      <c r="G442" s="1"/>
      <c r="H442" s="1"/>
      <c r="I442" s="1"/>
      <c r="J442" s="1"/>
      <c r="K442" s="45"/>
      <c r="L442" s="1779"/>
      <c r="M442" s="1779"/>
      <c r="N442" s="1779"/>
    </row>
    <row r="443" spans="1:14" s="38" customFormat="1" ht="15" customHeight="1" x14ac:dyDescent="0.25">
      <c r="A443" s="1"/>
      <c r="B443" s="1"/>
      <c r="C443" s="1"/>
      <c r="D443" s="1"/>
      <c r="E443" s="1"/>
      <c r="F443" s="1"/>
      <c r="G443" s="1"/>
      <c r="H443" s="1"/>
      <c r="I443" s="1"/>
      <c r="J443" s="1"/>
      <c r="K443" s="45"/>
      <c r="L443" s="1779"/>
      <c r="M443" s="1779"/>
      <c r="N443" s="1779"/>
    </row>
    <row r="444" spans="1:14" s="38" customFormat="1" ht="15" customHeight="1" x14ac:dyDescent="0.25">
      <c r="A444" s="1"/>
      <c r="B444" s="1"/>
      <c r="C444" s="1"/>
      <c r="D444" s="1"/>
      <c r="E444" s="1"/>
      <c r="F444" s="1"/>
      <c r="G444" s="1"/>
      <c r="H444" s="1"/>
      <c r="I444" s="1"/>
      <c r="J444" s="1"/>
      <c r="K444" s="45"/>
      <c r="L444" s="1779"/>
      <c r="M444" s="1779"/>
      <c r="N444" s="1779"/>
    </row>
    <row r="445" spans="1:14" s="38" customFormat="1" ht="15" customHeight="1" x14ac:dyDescent="0.25">
      <c r="A445" s="1"/>
      <c r="B445" s="1"/>
      <c r="C445" s="1"/>
      <c r="D445" s="1"/>
      <c r="E445" s="1"/>
      <c r="F445" s="1"/>
      <c r="G445" s="1"/>
      <c r="H445" s="1"/>
      <c r="I445" s="1"/>
      <c r="J445" s="1"/>
      <c r="K445" s="45"/>
      <c r="L445" s="1779"/>
      <c r="M445" s="1779"/>
      <c r="N445" s="1779"/>
    </row>
    <row r="446" spans="1:14" s="38" customFormat="1" ht="15" customHeight="1" x14ac:dyDescent="0.25">
      <c r="A446" s="1"/>
      <c r="B446" s="1"/>
      <c r="C446" s="1"/>
      <c r="D446" s="1"/>
      <c r="E446" s="1"/>
      <c r="F446" s="1"/>
      <c r="G446" s="1"/>
      <c r="H446" s="1"/>
      <c r="I446" s="1"/>
      <c r="J446" s="1"/>
      <c r="K446" s="45"/>
      <c r="L446" s="1779"/>
      <c r="M446" s="1779"/>
      <c r="N446" s="1779"/>
    </row>
    <row r="447" spans="1:14" s="38" customFormat="1" ht="15" customHeight="1" x14ac:dyDescent="0.25">
      <c r="A447" s="1"/>
      <c r="B447" s="1"/>
      <c r="C447" s="1"/>
      <c r="D447" s="1"/>
      <c r="E447" s="1"/>
      <c r="F447" s="1"/>
      <c r="G447" s="1"/>
      <c r="H447" s="1"/>
      <c r="I447" s="1"/>
      <c r="J447" s="1"/>
      <c r="K447" s="45"/>
      <c r="L447" s="1779"/>
      <c r="M447" s="1779"/>
      <c r="N447" s="1779"/>
    </row>
    <row r="448" spans="1:14" s="38" customFormat="1" ht="15" customHeight="1" x14ac:dyDescent="0.25">
      <c r="A448" s="1"/>
      <c r="B448" s="1"/>
      <c r="C448" s="1"/>
      <c r="D448" s="1"/>
      <c r="E448" s="1"/>
      <c r="F448" s="1"/>
      <c r="G448" s="1"/>
      <c r="H448" s="1"/>
      <c r="I448" s="1"/>
      <c r="J448" s="1"/>
      <c r="K448" s="45"/>
      <c r="L448" s="1779"/>
      <c r="M448" s="1779"/>
      <c r="N448" s="1779"/>
    </row>
    <row r="449" spans="1:15" s="38" customFormat="1" ht="21.75" customHeight="1" x14ac:dyDescent="0.25">
      <c r="A449" s="1"/>
      <c r="B449" s="1"/>
      <c r="C449" s="1"/>
      <c r="D449" s="1"/>
      <c r="E449" s="1"/>
      <c r="F449" s="1"/>
      <c r="G449" s="1"/>
      <c r="H449" s="1"/>
      <c r="I449" s="1"/>
      <c r="J449" s="1"/>
      <c r="K449" s="45"/>
      <c r="L449" s="1779"/>
      <c r="M449" s="1779"/>
      <c r="N449" s="1779"/>
    </row>
    <row r="450" spans="1:15" s="38" customFormat="1" ht="15" customHeight="1" x14ac:dyDescent="0.25">
      <c r="A450" s="1"/>
      <c r="B450" s="1"/>
      <c r="C450" s="1"/>
      <c r="D450" s="1"/>
      <c r="E450" s="1"/>
      <c r="F450" s="1"/>
      <c r="G450" s="1"/>
      <c r="H450" s="1"/>
      <c r="I450" s="1"/>
      <c r="J450" s="1"/>
      <c r="K450" s="45"/>
      <c r="L450" s="1779"/>
      <c r="M450" s="1779"/>
      <c r="N450" s="1779"/>
    </row>
    <row r="451" spans="1:15" s="38" customFormat="1" ht="15" customHeight="1" x14ac:dyDescent="0.25">
      <c r="A451" s="1"/>
      <c r="B451" s="1"/>
      <c r="C451" s="1"/>
      <c r="D451" s="1"/>
      <c r="E451" s="1"/>
      <c r="F451" s="1"/>
      <c r="G451" s="1"/>
      <c r="H451" s="1"/>
      <c r="I451" s="1"/>
      <c r="J451" s="1"/>
      <c r="K451" s="45"/>
      <c r="L451" s="1779"/>
      <c r="M451" s="1779"/>
      <c r="N451" s="1779"/>
    </row>
    <row r="452" spans="1:15" s="38" customFormat="1" ht="15" customHeight="1" x14ac:dyDescent="0.25">
      <c r="A452" s="1"/>
      <c r="B452" s="1"/>
      <c r="C452" s="1"/>
      <c r="D452" s="1"/>
      <c r="E452" s="1"/>
      <c r="F452" s="1"/>
      <c r="G452" s="1"/>
      <c r="H452" s="1"/>
      <c r="I452" s="1"/>
      <c r="J452" s="1"/>
      <c r="K452" s="45"/>
      <c r="L452" s="1779"/>
      <c r="M452" s="1779"/>
      <c r="N452" s="1779"/>
    </row>
    <row r="453" spans="1:15" s="38" customFormat="1" ht="15" customHeight="1" x14ac:dyDescent="0.25">
      <c r="A453" s="1"/>
      <c r="B453" s="1"/>
      <c r="C453" s="1"/>
      <c r="D453" s="1"/>
      <c r="E453" s="1"/>
      <c r="F453" s="1"/>
      <c r="G453" s="1"/>
      <c r="H453" s="1"/>
      <c r="I453" s="1"/>
      <c r="J453" s="1"/>
      <c r="K453" s="45"/>
      <c r="L453" s="1779"/>
      <c r="M453" s="1779"/>
      <c r="N453" s="1779"/>
    </row>
    <row r="454" spans="1:15" s="38" customFormat="1" ht="15" customHeight="1" x14ac:dyDescent="0.25">
      <c r="A454" s="1"/>
      <c r="B454" s="1"/>
      <c r="C454" s="1"/>
      <c r="D454" s="1"/>
      <c r="E454" s="1"/>
      <c r="F454" s="1"/>
      <c r="G454" s="1"/>
      <c r="H454" s="1"/>
      <c r="I454" s="1"/>
      <c r="J454" s="1"/>
      <c r="K454" s="45"/>
      <c r="L454" s="1779"/>
      <c r="M454" s="1779"/>
      <c r="N454" s="1779"/>
    </row>
    <row r="455" spans="1:15" s="38" customFormat="1" ht="15" customHeight="1" x14ac:dyDescent="0.25">
      <c r="A455" s="1"/>
      <c r="B455" s="1"/>
      <c r="C455" s="1"/>
      <c r="D455" s="1"/>
      <c r="E455" s="1"/>
      <c r="F455" s="1"/>
      <c r="G455" s="1"/>
      <c r="H455" s="1"/>
      <c r="I455" s="1"/>
      <c r="J455" s="1"/>
      <c r="K455" s="45"/>
      <c r="L455" s="1779"/>
      <c r="M455" s="1779"/>
      <c r="N455" s="1779"/>
    </row>
    <row r="456" spans="1:15" s="38" customFormat="1" ht="15" customHeight="1" x14ac:dyDescent="0.25">
      <c r="A456" s="1"/>
      <c r="B456" s="1"/>
      <c r="C456" s="1"/>
      <c r="D456" s="1"/>
      <c r="E456" s="1"/>
      <c r="F456" s="1"/>
      <c r="G456" s="1"/>
      <c r="H456" s="1"/>
      <c r="I456" s="1"/>
      <c r="J456" s="1"/>
      <c r="K456" s="45"/>
      <c r="L456" s="1779"/>
      <c r="M456" s="1779"/>
      <c r="N456" s="1779"/>
    </row>
    <row r="457" spans="1:15" ht="15" customHeight="1" x14ac:dyDescent="0.25">
      <c r="A457" s="1"/>
      <c r="B457" s="1"/>
      <c r="C457" s="1"/>
      <c r="D457" s="1"/>
      <c r="G457" s="1"/>
      <c r="H457" s="1"/>
      <c r="I457" s="1"/>
      <c r="J457" s="1"/>
      <c r="K457" s="45"/>
      <c r="L457" s="1779"/>
      <c r="M457" s="1779"/>
      <c r="N457" s="1779"/>
      <c r="O457" s="38"/>
    </row>
    <row r="458" spans="1:15" ht="15" customHeight="1" x14ac:dyDescent="0.25">
      <c r="A458" s="1"/>
      <c r="B458" s="1"/>
      <c r="C458" s="1"/>
      <c r="D458" s="1"/>
      <c r="G458" s="1"/>
      <c r="H458" s="1"/>
      <c r="I458" s="1"/>
      <c r="J458" s="1"/>
      <c r="K458" s="45"/>
      <c r="L458" s="1779"/>
      <c r="M458" s="1779"/>
      <c r="N458" s="1779"/>
      <c r="O458" s="38"/>
    </row>
    <row r="459" spans="1:15" ht="15" customHeight="1" x14ac:dyDescent="0.25">
      <c r="A459" s="1"/>
      <c r="B459" s="1"/>
      <c r="C459" s="1"/>
      <c r="D459" s="1"/>
      <c r="G459" s="1"/>
      <c r="H459" s="1"/>
      <c r="I459" s="1"/>
      <c r="J459" s="1"/>
      <c r="K459" s="45"/>
      <c r="L459" s="1779"/>
      <c r="M459" s="1779"/>
      <c r="N459" s="1779"/>
      <c r="O459" s="38"/>
    </row>
    <row r="460" spans="1:15" ht="15" customHeight="1" x14ac:dyDescent="0.25">
      <c r="A460" s="1"/>
      <c r="B460" s="1"/>
      <c r="C460" s="1"/>
      <c r="D460" s="1"/>
      <c r="G460" s="1"/>
      <c r="H460" s="1"/>
      <c r="I460" s="1"/>
      <c r="J460" s="1"/>
      <c r="L460" s="1755"/>
      <c r="M460" s="1755"/>
      <c r="N460" s="1755"/>
    </row>
    <row r="461" spans="1:15" ht="15" customHeight="1" x14ac:dyDescent="0.25">
      <c r="A461" s="1"/>
      <c r="B461" s="1"/>
      <c r="C461" s="1"/>
      <c r="D461" s="1"/>
      <c r="G461" s="1"/>
      <c r="H461" s="1"/>
      <c r="I461" s="1"/>
      <c r="J461" s="1"/>
      <c r="L461" s="1755"/>
      <c r="M461" s="1755"/>
      <c r="N461" s="1755"/>
    </row>
    <row r="462" spans="1:15" ht="15" customHeight="1" x14ac:dyDescent="0.25">
      <c r="A462" s="1"/>
      <c r="B462" s="1"/>
      <c r="C462" s="1"/>
      <c r="D462" s="1"/>
      <c r="G462" s="1"/>
      <c r="H462" s="1"/>
      <c r="I462" s="1"/>
      <c r="J462" s="1"/>
      <c r="L462" s="1755"/>
      <c r="M462" s="1755"/>
      <c r="N462" s="1755"/>
    </row>
    <row r="463" spans="1:15" ht="15" customHeight="1" x14ac:dyDescent="0.25">
      <c r="A463" s="1"/>
      <c r="B463" s="1"/>
      <c r="C463" s="1"/>
      <c r="D463" s="1"/>
      <c r="G463" s="1"/>
      <c r="H463" s="1"/>
      <c r="I463" s="1"/>
      <c r="J463" s="1"/>
      <c r="L463" s="1755"/>
      <c r="M463" s="1755"/>
      <c r="N463" s="1755"/>
    </row>
    <row r="464" spans="1:15" ht="15" customHeight="1" x14ac:dyDescent="0.25">
      <c r="A464" s="1"/>
      <c r="B464" s="1"/>
      <c r="C464" s="1"/>
      <c r="D464" s="1"/>
      <c r="G464" s="1"/>
      <c r="H464" s="1"/>
      <c r="I464" s="1"/>
      <c r="J464" s="1"/>
      <c r="L464" s="1755"/>
      <c r="M464" s="1755"/>
      <c r="N464" s="1755"/>
    </row>
    <row r="465" spans="1:14" ht="15" customHeight="1" x14ac:dyDescent="0.25">
      <c r="A465" s="1"/>
      <c r="B465" s="1"/>
      <c r="C465" s="1"/>
      <c r="D465" s="1"/>
      <c r="G465" s="1"/>
      <c r="H465" s="1"/>
      <c r="I465" s="1"/>
      <c r="J465" s="1"/>
      <c r="L465" s="1755"/>
      <c r="M465" s="1755"/>
      <c r="N465" s="1755"/>
    </row>
    <row r="466" spans="1:14" ht="15" customHeight="1" x14ac:dyDescent="0.25">
      <c r="A466" s="1"/>
      <c r="B466" s="1"/>
      <c r="C466" s="1"/>
      <c r="D466" s="1"/>
      <c r="G466" s="1"/>
      <c r="H466" s="1"/>
      <c r="I466" s="1"/>
      <c r="J466" s="1"/>
      <c r="L466" s="1755"/>
      <c r="M466" s="1755"/>
      <c r="N466" s="1755"/>
    </row>
    <row r="467" spans="1:14" ht="15" customHeight="1" x14ac:dyDescent="0.25">
      <c r="A467" s="1"/>
      <c r="B467" s="1"/>
      <c r="C467" s="1"/>
      <c r="D467" s="1"/>
      <c r="G467" s="1"/>
      <c r="H467" s="1"/>
      <c r="I467" s="1"/>
      <c r="J467" s="1"/>
      <c r="L467" s="1755"/>
      <c r="M467" s="1755"/>
      <c r="N467" s="1755"/>
    </row>
    <row r="468" spans="1:14" ht="15" customHeight="1" x14ac:dyDescent="0.25">
      <c r="A468" s="1"/>
      <c r="B468" s="1"/>
      <c r="C468" s="1"/>
      <c r="D468" s="1"/>
      <c r="G468" s="1"/>
      <c r="H468" s="1"/>
      <c r="I468" s="1"/>
      <c r="J468" s="1"/>
      <c r="L468" s="1755"/>
      <c r="M468" s="1755"/>
      <c r="N468" s="1755"/>
    </row>
    <row r="469" spans="1:14" ht="15" customHeight="1" x14ac:dyDescent="0.25">
      <c r="A469" s="1"/>
      <c r="B469" s="1"/>
      <c r="C469" s="1"/>
      <c r="D469" s="1"/>
      <c r="G469" s="1"/>
      <c r="H469" s="1"/>
      <c r="I469" s="1"/>
      <c r="J469" s="1"/>
      <c r="L469" s="1755"/>
      <c r="M469" s="1755"/>
      <c r="N469" s="1755"/>
    </row>
    <row r="470" spans="1:14" ht="15" customHeight="1" x14ac:dyDescent="0.25">
      <c r="A470" s="1"/>
      <c r="B470" s="1"/>
      <c r="C470" s="1"/>
      <c r="D470" s="1"/>
      <c r="G470" s="1"/>
      <c r="H470" s="1"/>
      <c r="I470" s="1"/>
      <c r="J470" s="1"/>
      <c r="L470" s="1755"/>
      <c r="M470" s="1755"/>
      <c r="N470" s="1755"/>
    </row>
    <row r="471" spans="1:14" ht="15" customHeight="1" x14ac:dyDescent="0.25">
      <c r="A471" s="1"/>
      <c r="B471" s="1"/>
      <c r="C471" s="1"/>
      <c r="D471" s="1"/>
      <c r="G471" s="1"/>
      <c r="H471" s="1"/>
      <c r="I471" s="1"/>
      <c r="J471" s="1"/>
      <c r="L471" s="1755"/>
      <c r="M471" s="1755"/>
      <c r="N471" s="1755"/>
    </row>
    <row r="472" spans="1:14" ht="15" customHeight="1" x14ac:dyDescent="0.25">
      <c r="A472" s="1"/>
      <c r="B472" s="1"/>
      <c r="C472" s="1"/>
      <c r="D472" s="1"/>
      <c r="G472" s="1"/>
      <c r="H472" s="1"/>
      <c r="I472" s="1"/>
      <c r="J472" s="1"/>
      <c r="L472" s="1755"/>
      <c r="M472" s="1755"/>
      <c r="N472" s="1755"/>
    </row>
    <row r="473" spans="1:14" ht="15" customHeight="1" x14ac:dyDescent="0.25">
      <c r="A473" s="1"/>
      <c r="B473" s="1"/>
      <c r="C473" s="1"/>
      <c r="D473" s="1"/>
      <c r="G473" s="1"/>
      <c r="H473" s="1"/>
      <c r="I473" s="1"/>
      <c r="J473" s="1"/>
      <c r="L473" s="1755"/>
      <c r="M473" s="1755"/>
      <c r="N473" s="1755"/>
    </row>
    <row r="474" spans="1:14" ht="15" customHeight="1" x14ac:dyDescent="0.25">
      <c r="A474" s="1"/>
      <c r="B474" s="1"/>
      <c r="C474" s="1"/>
      <c r="D474" s="1"/>
      <c r="G474" s="1"/>
      <c r="H474" s="1"/>
      <c r="I474" s="1"/>
      <c r="J474" s="1"/>
      <c r="L474" s="1755"/>
      <c r="M474" s="1755"/>
      <c r="N474" s="1755"/>
    </row>
    <row r="475" spans="1:14" ht="15" customHeight="1" x14ac:dyDescent="0.25">
      <c r="A475" s="1"/>
      <c r="B475" s="1"/>
      <c r="C475" s="1"/>
      <c r="D475" s="1"/>
      <c r="G475" s="1"/>
      <c r="H475" s="1"/>
      <c r="I475" s="1"/>
      <c r="J475" s="1"/>
      <c r="L475" s="1755"/>
      <c r="M475" s="1755"/>
      <c r="N475" s="1755"/>
    </row>
    <row r="476" spans="1:14" ht="15" customHeight="1" x14ac:dyDescent="0.25">
      <c r="A476" s="1"/>
      <c r="B476" s="1"/>
      <c r="C476" s="1"/>
      <c r="D476" s="1"/>
      <c r="G476" s="1"/>
      <c r="H476" s="1"/>
      <c r="I476" s="1"/>
      <c r="J476" s="1"/>
      <c r="L476" s="1755"/>
      <c r="M476" s="1755"/>
      <c r="N476" s="1755"/>
    </row>
    <row r="477" spans="1:14" ht="15" customHeight="1" x14ac:dyDescent="0.25">
      <c r="A477" s="1"/>
      <c r="B477" s="1"/>
      <c r="C477" s="1"/>
      <c r="D477" s="1"/>
      <c r="G477" s="1"/>
      <c r="H477" s="1"/>
      <c r="I477" s="1"/>
      <c r="J477" s="1"/>
      <c r="L477" s="1755"/>
      <c r="M477" s="1755"/>
      <c r="N477" s="1755"/>
    </row>
    <row r="478" spans="1:14" ht="15" customHeight="1" x14ac:dyDescent="0.25">
      <c r="A478" s="1"/>
      <c r="B478" s="1"/>
      <c r="C478" s="1"/>
      <c r="D478" s="1"/>
      <c r="G478" s="1"/>
      <c r="H478" s="1"/>
      <c r="I478" s="1"/>
      <c r="J478" s="1"/>
      <c r="L478" s="1755"/>
      <c r="M478" s="1755"/>
      <c r="N478" s="1755"/>
    </row>
    <row r="479" spans="1:14" ht="15" customHeight="1" x14ac:dyDescent="0.25">
      <c r="A479" s="1"/>
      <c r="B479" s="1"/>
      <c r="C479" s="1"/>
      <c r="D479" s="1"/>
      <c r="G479" s="1"/>
      <c r="H479" s="1"/>
      <c r="I479" s="1"/>
      <c r="J479" s="1"/>
      <c r="L479" s="1755"/>
      <c r="M479" s="1755"/>
      <c r="N479" s="1755"/>
    </row>
    <row r="480" spans="1:14" ht="15" customHeight="1" x14ac:dyDescent="0.25">
      <c r="A480" s="1"/>
      <c r="B480" s="1"/>
      <c r="C480" s="1"/>
      <c r="D480" s="1"/>
      <c r="G480" s="1"/>
      <c r="H480" s="1"/>
      <c r="I480" s="1"/>
      <c r="J480" s="1"/>
      <c r="L480" s="1755"/>
      <c r="M480" s="1755"/>
      <c r="N480" s="1755"/>
    </row>
    <row r="481" spans="1:14" ht="15" customHeight="1" x14ac:dyDescent="0.25">
      <c r="A481" s="1"/>
      <c r="B481" s="1"/>
      <c r="C481" s="1"/>
      <c r="D481" s="1"/>
      <c r="G481" s="1"/>
      <c r="H481" s="1"/>
      <c r="I481" s="1"/>
      <c r="J481" s="1"/>
      <c r="L481" s="1755"/>
      <c r="M481" s="1755"/>
      <c r="N481" s="1755"/>
    </row>
    <row r="482" spans="1:14" ht="15" customHeight="1" x14ac:dyDescent="0.25">
      <c r="A482" s="1"/>
      <c r="B482" s="1"/>
      <c r="C482" s="1"/>
      <c r="D482" s="1"/>
      <c r="G482" s="1"/>
      <c r="H482" s="1"/>
      <c r="I482" s="1"/>
      <c r="J482" s="1"/>
      <c r="L482" s="1755"/>
      <c r="M482" s="1755"/>
      <c r="N482" s="1755"/>
    </row>
    <row r="483" spans="1:14" ht="15" customHeight="1" x14ac:dyDescent="0.25">
      <c r="A483" s="1"/>
      <c r="B483" s="1"/>
      <c r="C483" s="1"/>
      <c r="D483" s="1"/>
      <c r="G483" s="1"/>
      <c r="H483" s="1"/>
      <c r="I483" s="1"/>
      <c r="J483" s="1"/>
      <c r="L483" s="1755"/>
      <c r="M483" s="1755"/>
      <c r="N483" s="1755"/>
    </row>
    <row r="484" spans="1:14" ht="15" customHeight="1" x14ac:dyDescent="0.25">
      <c r="A484" s="1"/>
      <c r="B484" s="1"/>
      <c r="C484" s="1"/>
      <c r="D484" s="1"/>
      <c r="G484" s="1"/>
      <c r="H484" s="1"/>
      <c r="I484" s="1"/>
      <c r="J484" s="1"/>
      <c r="L484" s="1755"/>
      <c r="M484" s="1755"/>
      <c r="N484" s="1755"/>
    </row>
    <row r="485" spans="1:14" ht="15" customHeight="1" x14ac:dyDescent="0.25">
      <c r="A485" s="1"/>
      <c r="B485" s="1"/>
      <c r="C485" s="1"/>
      <c r="D485" s="1"/>
      <c r="G485" s="1"/>
      <c r="H485" s="1"/>
      <c r="I485" s="1"/>
      <c r="J485" s="1"/>
      <c r="L485" s="1755"/>
      <c r="M485" s="1755"/>
      <c r="N485" s="1755"/>
    </row>
    <row r="486" spans="1:14" ht="15" customHeight="1" x14ac:dyDescent="0.25">
      <c r="A486" s="1"/>
      <c r="B486" s="1"/>
      <c r="C486" s="1"/>
      <c r="D486" s="1"/>
      <c r="G486" s="1"/>
      <c r="H486" s="1"/>
      <c r="I486" s="1"/>
      <c r="J486" s="1"/>
      <c r="L486" s="1755"/>
      <c r="M486" s="1755"/>
      <c r="N486" s="1755"/>
    </row>
    <row r="487" spans="1:14" ht="15" customHeight="1" x14ac:dyDescent="0.25">
      <c r="A487" s="1"/>
      <c r="B487" s="1"/>
      <c r="C487" s="1"/>
      <c r="D487" s="1"/>
      <c r="G487" s="1"/>
      <c r="H487" s="1"/>
      <c r="I487" s="1"/>
      <c r="J487" s="1"/>
      <c r="L487" s="1755"/>
      <c r="M487" s="1755"/>
      <c r="N487" s="1755"/>
    </row>
    <row r="488" spans="1:14" ht="15" customHeight="1" x14ac:dyDescent="0.25">
      <c r="A488" s="1"/>
      <c r="B488" s="1"/>
      <c r="C488" s="1"/>
      <c r="D488" s="1"/>
      <c r="G488" s="1"/>
      <c r="H488" s="1"/>
      <c r="I488" s="1"/>
      <c r="J488" s="1"/>
      <c r="L488" s="1755"/>
      <c r="M488" s="1755"/>
      <c r="N488" s="1755"/>
    </row>
    <row r="489" spans="1:14" ht="15" customHeight="1" x14ac:dyDescent="0.25">
      <c r="A489" s="1"/>
      <c r="B489" s="1"/>
      <c r="C489" s="1"/>
      <c r="D489" s="1"/>
      <c r="G489" s="1"/>
      <c r="H489" s="1"/>
      <c r="I489" s="1"/>
      <c r="J489" s="1"/>
      <c r="L489" s="1755"/>
      <c r="M489" s="1755"/>
      <c r="N489" s="1755"/>
    </row>
    <row r="490" spans="1:14" ht="15" customHeight="1" x14ac:dyDescent="0.25">
      <c r="A490" s="1"/>
      <c r="B490" s="1"/>
      <c r="C490" s="1"/>
      <c r="D490" s="1"/>
      <c r="G490" s="1"/>
      <c r="H490" s="1"/>
      <c r="I490" s="1"/>
      <c r="J490" s="1"/>
      <c r="L490" s="1755"/>
      <c r="M490" s="1755"/>
      <c r="N490" s="1755"/>
    </row>
    <row r="491" spans="1:14" ht="15" customHeight="1" x14ac:dyDescent="0.25">
      <c r="A491" s="1"/>
      <c r="B491" s="1"/>
      <c r="C491" s="1"/>
      <c r="D491" s="1"/>
      <c r="G491" s="1"/>
      <c r="H491" s="1"/>
      <c r="I491" s="1"/>
      <c r="J491" s="1"/>
      <c r="L491" s="1755"/>
      <c r="M491" s="1755"/>
      <c r="N491" s="1755"/>
    </row>
    <row r="492" spans="1:14" ht="15" customHeight="1" x14ac:dyDescent="0.25">
      <c r="A492" s="1"/>
      <c r="B492" s="1"/>
      <c r="C492" s="1"/>
      <c r="D492" s="1"/>
      <c r="G492" s="1"/>
      <c r="H492" s="1"/>
      <c r="I492" s="1"/>
      <c r="J492" s="1"/>
      <c r="L492" s="1755"/>
      <c r="M492" s="1755"/>
      <c r="N492" s="1755"/>
    </row>
    <row r="493" spans="1:14" ht="15" customHeight="1" x14ac:dyDescent="0.25">
      <c r="A493" s="1"/>
      <c r="B493" s="1"/>
      <c r="C493" s="1"/>
      <c r="D493" s="1"/>
      <c r="G493" s="1"/>
      <c r="H493" s="1"/>
      <c r="I493" s="1"/>
      <c r="J493" s="1"/>
      <c r="L493" s="1755"/>
      <c r="M493" s="1755"/>
      <c r="N493" s="1755"/>
    </row>
    <row r="494" spans="1:14" ht="15" customHeight="1" x14ac:dyDescent="0.25">
      <c r="A494" s="1"/>
      <c r="B494" s="1"/>
      <c r="C494" s="1"/>
      <c r="D494" s="1"/>
      <c r="G494" s="1"/>
      <c r="H494" s="1"/>
      <c r="I494" s="1"/>
      <c r="J494" s="1"/>
      <c r="L494" s="1755"/>
      <c r="M494" s="1755"/>
      <c r="N494" s="1755"/>
    </row>
    <row r="495" spans="1:14" ht="15" customHeight="1" x14ac:dyDescent="0.25">
      <c r="A495" s="1"/>
      <c r="B495" s="1"/>
      <c r="C495" s="1"/>
      <c r="D495" s="1"/>
      <c r="G495" s="1"/>
      <c r="H495" s="1"/>
      <c r="I495" s="1"/>
      <c r="J495" s="1"/>
      <c r="L495" s="1755"/>
      <c r="M495" s="1755"/>
      <c r="N495" s="1755"/>
    </row>
    <row r="496" spans="1:14" ht="15" customHeight="1" x14ac:dyDescent="0.25">
      <c r="A496" s="1"/>
      <c r="B496" s="1"/>
      <c r="C496" s="1"/>
      <c r="D496" s="1"/>
      <c r="G496" s="1"/>
      <c r="H496" s="1"/>
      <c r="I496" s="1"/>
      <c r="J496" s="1"/>
      <c r="L496" s="1755"/>
      <c r="M496" s="1755"/>
      <c r="N496" s="1755"/>
    </row>
    <row r="497" spans="1:14" ht="15" customHeight="1" x14ac:dyDescent="0.25">
      <c r="A497" s="1"/>
      <c r="B497" s="1"/>
      <c r="C497" s="1"/>
      <c r="D497" s="1"/>
      <c r="G497" s="1"/>
      <c r="H497" s="1"/>
      <c r="I497" s="1"/>
      <c r="J497" s="1"/>
      <c r="L497" s="1755"/>
      <c r="M497" s="1755"/>
      <c r="N497" s="1755"/>
    </row>
    <row r="498" spans="1:14" ht="15" customHeight="1" x14ac:dyDescent="0.25">
      <c r="A498" s="1"/>
      <c r="B498" s="1"/>
      <c r="C498" s="1"/>
      <c r="D498" s="1"/>
      <c r="G498" s="1"/>
      <c r="H498" s="1"/>
      <c r="I498" s="1"/>
      <c r="J498" s="1"/>
      <c r="L498" s="1755"/>
      <c r="M498" s="1755"/>
      <c r="N498" s="1755"/>
    </row>
    <row r="499" spans="1:14" ht="15" customHeight="1" x14ac:dyDescent="0.25">
      <c r="A499" s="1"/>
      <c r="B499" s="1"/>
      <c r="C499" s="1"/>
      <c r="D499" s="1"/>
      <c r="G499" s="1"/>
      <c r="H499" s="1"/>
      <c r="I499" s="1"/>
      <c r="J499" s="1"/>
      <c r="L499" s="1755"/>
      <c r="M499" s="1755"/>
      <c r="N499" s="1755"/>
    </row>
    <row r="500" spans="1:14" ht="15" customHeight="1" x14ac:dyDescent="0.25">
      <c r="A500" s="1"/>
      <c r="B500" s="1"/>
      <c r="C500" s="1"/>
      <c r="D500" s="1"/>
      <c r="G500" s="1"/>
      <c r="H500" s="1"/>
      <c r="I500" s="1"/>
      <c r="J500" s="1"/>
      <c r="L500" s="1755"/>
      <c r="M500" s="1755"/>
      <c r="N500" s="1755"/>
    </row>
    <row r="501" spans="1:14" ht="15" customHeight="1" x14ac:dyDescent="0.25">
      <c r="A501" s="1"/>
      <c r="B501" s="1"/>
      <c r="C501" s="1"/>
      <c r="D501" s="1"/>
      <c r="G501" s="1"/>
      <c r="H501" s="1"/>
      <c r="I501" s="1"/>
      <c r="J501" s="1"/>
      <c r="L501" s="1755"/>
      <c r="M501" s="1755"/>
      <c r="N501" s="1755"/>
    </row>
    <row r="502" spans="1:14" ht="15" customHeight="1" x14ac:dyDescent="0.25">
      <c r="A502" s="1"/>
      <c r="B502" s="1"/>
      <c r="C502" s="1"/>
      <c r="D502" s="1"/>
      <c r="G502" s="1"/>
      <c r="H502" s="1"/>
      <c r="I502" s="1"/>
      <c r="J502" s="1"/>
    </row>
    <row r="503" spans="1:14" ht="15" customHeight="1" x14ac:dyDescent="0.25">
      <c r="A503" s="1"/>
      <c r="B503" s="1"/>
      <c r="C503" s="1"/>
      <c r="D503" s="1"/>
      <c r="G503" s="1"/>
      <c r="H503" s="1"/>
      <c r="I503" s="1"/>
      <c r="J503" s="1"/>
    </row>
    <row r="504" spans="1:14" ht="15" customHeight="1" x14ac:dyDescent="0.25">
      <c r="A504" s="1"/>
      <c r="B504" s="1"/>
      <c r="C504" s="1"/>
      <c r="D504" s="1"/>
      <c r="G504" s="1"/>
      <c r="H504" s="1"/>
      <c r="I504" s="1"/>
      <c r="J504" s="1"/>
    </row>
    <row r="505" spans="1:14" ht="15" customHeight="1" x14ac:dyDescent="0.25">
      <c r="A505" s="1"/>
      <c r="B505" s="1"/>
      <c r="C505" s="1"/>
      <c r="D505" s="1"/>
      <c r="G505" s="1"/>
      <c r="H505" s="1"/>
      <c r="I505" s="1"/>
      <c r="J505" s="1"/>
    </row>
    <row r="506" spans="1:14" ht="15" customHeight="1" x14ac:dyDescent="0.25">
      <c r="A506" s="1"/>
      <c r="B506" s="1"/>
      <c r="C506" s="1"/>
      <c r="D506" s="1"/>
      <c r="G506" s="1"/>
      <c r="H506" s="1"/>
      <c r="I506" s="1"/>
      <c r="J506" s="1"/>
    </row>
    <row r="507" spans="1:14" ht="15" customHeight="1" x14ac:dyDescent="0.25">
      <c r="A507" s="1"/>
      <c r="B507" s="1"/>
      <c r="C507" s="1"/>
      <c r="D507" s="1"/>
      <c r="G507" s="1"/>
      <c r="H507" s="1"/>
      <c r="I507" s="1"/>
      <c r="J507" s="1"/>
    </row>
    <row r="508" spans="1:14" ht="15" customHeight="1" x14ac:dyDescent="0.25">
      <c r="A508" s="1"/>
      <c r="B508" s="1"/>
      <c r="C508" s="1"/>
      <c r="D508" s="1"/>
      <c r="G508" s="1"/>
      <c r="H508" s="1"/>
      <c r="I508" s="1"/>
      <c r="J508" s="1"/>
    </row>
    <row r="509" spans="1:14" ht="15" customHeight="1" x14ac:dyDescent="0.25">
      <c r="A509" s="1"/>
      <c r="B509" s="1"/>
      <c r="C509" s="1"/>
      <c r="D509" s="1"/>
      <c r="G509" s="1"/>
      <c r="H509" s="1"/>
      <c r="I509" s="1"/>
      <c r="J509" s="1"/>
    </row>
    <row r="510" spans="1:14" ht="15" customHeight="1" x14ac:dyDescent="0.25">
      <c r="A510" s="1"/>
      <c r="B510" s="1"/>
      <c r="C510" s="1"/>
      <c r="D510" s="1"/>
      <c r="G510" s="1"/>
      <c r="H510" s="1"/>
      <c r="I510" s="1"/>
      <c r="J510" s="1"/>
    </row>
    <row r="511" spans="1:14" ht="15" customHeight="1" x14ac:dyDescent="0.25">
      <c r="A511" s="1"/>
      <c r="B511" s="1"/>
      <c r="C511" s="1"/>
      <c r="D511" s="1"/>
      <c r="G511" s="1"/>
      <c r="H511" s="1"/>
      <c r="I511" s="1"/>
      <c r="J511" s="1"/>
    </row>
    <row r="512" spans="1:14" ht="15" customHeight="1" x14ac:dyDescent="0.25">
      <c r="A512" s="1"/>
      <c r="B512" s="1"/>
      <c r="C512" s="1"/>
      <c r="D512" s="1"/>
      <c r="G512" s="1"/>
      <c r="H512" s="1"/>
      <c r="I512" s="1"/>
      <c r="J512" s="1"/>
    </row>
    <row r="513" spans="1:10" ht="15" customHeight="1" x14ac:dyDescent="0.25">
      <c r="A513" s="1"/>
      <c r="B513" s="1"/>
      <c r="C513" s="1"/>
      <c r="D513" s="1"/>
      <c r="G513" s="1"/>
      <c r="H513" s="1"/>
      <c r="I513" s="1"/>
      <c r="J513" s="1"/>
    </row>
    <row r="514" spans="1:10" ht="15" customHeight="1" x14ac:dyDescent="0.25">
      <c r="A514" s="1"/>
      <c r="B514" s="1"/>
      <c r="C514" s="1"/>
      <c r="D514" s="1"/>
      <c r="G514" s="1"/>
      <c r="H514" s="1"/>
      <c r="I514" s="1"/>
      <c r="J514" s="1"/>
    </row>
    <row r="515" spans="1:10" ht="15" customHeight="1" x14ac:dyDescent="0.25">
      <c r="A515" s="1"/>
      <c r="B515" s="1"/>
      <c r="C515" s="1"/>
      <c r="D515" s="1"/>
      <c r="G515" s="1"/>
      <c r="H515" s="1"/>
      <c r="I515" s="1"/>
      <c r="J515" s="1"/>
    </row>
    <row r="516" spans="1:10" ht="15" customHeight="1" x14ac:dyDescent="0.25">
      <c r="A516" s="1"/>
      <c r="B516" s="1"/>
      <c r="C516" s="1"/>
      <c r="D516" s="1"/>
      <c r="G516" s="1"/>
      <c r="H516" s="1"/>
      <c r="I516" s="1"/>
      <c r="J516" s="1"/>
    </row>
    <row r="517" spans="1:10" ht="15" customHeight="1" x14ac:dyDescent="0.25">
      <c r="A517" s="1"/>
      <c r="B517" s="1"/>
      <c r="C517" s="1"/>
      <c r="D517" s="1"/>
      <c r="G517" s="1"/>
      <c r="H517" s="1"/>
      <c r="I517" s="1"/>
      <c r="J517" s="1"/>
    </row>
    <row r="518" spans="1:10" ht="15" customHeight="1" x14ac:dyDescent="0.25">
      <c r="A518" s="1"/>
      <c r="B518" s="1"/>
      <c r="C518" s="1"/>
      <c r="D518" s="1"/>
      <c r="G518" s="1"/>
      <c r="H518" s="1"/>
      <c r="I518" s="1"/>
      <c r="J518" s="1"/>
    </row>
    <row r="519" spans="1:10" ht="15" customHeight="1" x14ac:dyDescent="0.25">
      <c r="A519" s="1"/>
      <c r="B519" s="1"/>
      <c r="C519" s="1"/>
      <c r="D519" s="1"/>
      <c r="G519" s="1"/>
      <c r="H519" s="1"/>
      <c r="I519" s="1"/>
      <c r="J519" s="1"/>
    </row>
    <row r="520" spans="1:10" ht="15" customHeight="1" x14ac:dyDescent="0.25">
      <c r="A520" s="1"/>
      <c r="B520" s="1"/>
      <c r="C520" s="1"/>
      <c r="D520" s="1"/>
      <c r="G520" s="1"/>
      <c r="H520" s="1"/>
      <c r="I520" s="1"/>
      <c r="J520" s="1"/>
    </row>
    <row r="521" spans="1:10" ht="15" customHeight="1" x14ac:dyDescent="0.25">
      <c r="A521" s="1"/>
      <c r="B521" s="1"/>
      <c r="C521" s="1"/>
      <c r="D521" s="1"/>
      <c r="G521" s="1"/>
      <c r="H521" s="1"/>
      <c r="I521" s="1"/>
      <c r="J521" s="1"/>
    </row>
    <row r="522" spans="1:10" ht="15" customHeight="1" x14ac:dyDescent="0.25">
      <c r="A522" s="1"/>
      <c r="B522" s="1"/>
      <c r="C522" s="1"/>
      <c r="D522" s="1"/>
      <c r="G522" s="1"/>
      <c r="H522" s="1"/>
      <c r="I522" s="1"/>
      <c r="J522" s="1"/>
    </row>
    <row r="523" spans="1:10" ht="15" customHeight="1" x14ac:dyDescent="0.25">
      <c r="A523" s="1"/>
      <c r="B523" s="1"/>
      <c r="C523" s="1"/>
      <c r="D523" s="1"/>
      <c r="G523" s="1"/>
      <c r="H523" s="1"/>
      <c r="I523" s="1"/>
      <c r="J523" s="1"/>
    </row>
    <row r="524" spans="1:10" ht="15" customHeight="1" x14ac:dyDescent="0.25">
      <c r="A524" s="1"/>
      <c r="B524" s="1"/>
      <c r="C524" s="1"/>
      <c r="D524" s="1"/>
      <c r="G524" s="1"/>
      <c r="H524" s="1"/>
      <c r="I524" s="1"/>
      <c r="J524" s="1"/>
    </row>
    <row r="525" spans="1:10" ht="15" customHeight="1" x14ac:dyDescent="0.25">
      <c r="A525" s="1"/>
      <c r="B525" s="1"/>
      <c r="C525" s="1"/>
      <c r="D525" s="1"/>
      <c r="G525" s="1"/>
      <c r="H525" s="1"/>
      <c r="I525" s="1"/>
      <c r="J525" s="1"/>
    </row>
    <row r="526" spans="1:10" ht="15" customHeight="1" x14ac:dyDescent="0.25">
      <c r="A526" s="1"/>
      <c r="B526" s="1"/>
      <c r="C526" s="1"/>
      <c r="D526" s="1"/>
      <c r="G526" s="1"/>
      <c r="H526" s="1"/>
      <c r="I526" s="1"/>
      <c r="J526" s="1"/>
    </row>
    <row r="527" spans="1:10" ht="15" customHeight="1" x14ac:dyDescent="0.25">
      <c r="A527" s="1"/>
      <c r="B527" s="1"/>
      <c r="C527" s="1"/>
      <c r="D527" s="1"/>
      <c r="G527" s="1"/>
      <c r="H527" s="1"/>
      <c r="I527" s="1"/>
      <c r="J527" s="1"/>
    </row>
    <row r="528" spans="1:10" ht="15" customHeight="1" x14ac:dyDescent="0.25">
      <c r="A528" s="1"/>
      <c r="B528" s="1"/>
      <c r="C528" s="1"/>
      <c r="D528" s="1"/>
      <c r="G528" s="1"/>
      <c r="H528" s="1"/>
      <c r="I528" s="1"/>
      <c r="J528" s="1"/>
    </row>
    <row r="529" spans="1:10" ht="15" customHeight="1" x14ac:dyDescent="0.25">
      <c r="A529" s="1"/>
      <c r="B529" s="1"/>
      <c r="C529" s="1"/>
      <c r="D529" s="1"/>
      <c r="G529" s="1"/>
      <c r="H529" s="1"/>
      <c r="I529" s="1"/>
      <c r="J529" s="1"/>
    </row>
    <row r="530" spans="1:10" ht="15" customHeight="1" x14ac:dyDescent="0.25">
      <c r="A530" s="1"/>
      <c r="B530" s="1"/>
      <c r="C530" s="1"/>
      <c r="D530" s="1"/>
      <c r="G530" s="1"/>
      <c r="H530" s="1"/>
      <c r="I530" s="1"/>
      <c r="J530" s="1"/>
    </row>
    <row r="531" spans="1:10" ht="15" customHeight="1" x14ac:dyDescent="0.25">
      <c r="A531" s="1"/>
      <c r="B531" s="1"/>
      <c r="C531" s="1"/>
      <c r="D531" s="1"/>
      <c r="G531" s="1"/>
      <c r="H531" s="1"/>
      <c r="I531" s="1"/>
      <c r="J531" s="1"/>
    </row>
    <row r="532" spans="1:10" ht="15" customHeight="1" x14ac:dyDescent="0.25">
      <c r="A532" s="1"/>
      <c r="B532" s="1"/>
      <c r="C532" s="1"/>
      <c r="D532" s="1"/>
      <c r="G532" s="1"/>
      <c r="H532" s="1"/>
      <c r="I532" s="1"/>
      <c r="J532" s="1"/>
    </row>
    <row r="533" spans="1:10" ht="15" customHeight="1" x14ac:dyDescent="0.25">
      <c r="A533" s="1"/>
      <c r="B533" s="1"/>
      <c r="C533" s="1"/>
      <c r="D533" s="1"/>
      <c r="G533" s="1"/>
      <c r="H533" s="1"/>
      <c r="I533" s="1"/>
      <c r="J533" s="1"/>
    </row>
    <row r="534" spans="1:10" ht="15" customHeight="1" x14ac:dyDescent="0.25">
      <c r="A534" s="1"/>
      <c r="B534" s="1"/>
      <c r="C534" s="1"/>
      <c r="D534" s="1"/>
      <c r="G534" s="1"/>
      <c r="H534" s="1"/>
      <c r="I534" s="1"/>
      <c r="J534" s="1"/>
    </row>
    <row r="535" spans="1:10" ht="15" customHeight="1" x14ac:dyDescent="0.25">
      <c r="A535" s="1"/>
      <c r="B535" s="1"/>
      <c r="C535" s="1"/>
      <c r="D535" s="1"/>
      <c r="G535" s="1"/>
      <c r="H535" s="1"/>
      <c r="I535" s="1"/>
      <c r="J535" s="1"/>
    </row>
    <row r="536" spans="1:10" ht="15" customHeight="1" x14ac:dyDescent="0.25">
      <c r="A536" s="1"/>
      <c r="B536" s="1"/>
      <c r="C536" s="1"/>
      <c r="D536" s="1"/>
      <c r="G536" s="1"/>
      <c r="H536" s="1"/>
      <c r="I536" s="1"/>
      <c r="J536" s="1"/>
    </row>
    <row r="537" spans="1:10" ht="15" customHeight="1" x14ac:dyDescent="0.25">
      <c r="A537" s="1"/>
      <c r="B537" s="1"/>
      <c r="C537" s="1"/>
      <c r="D537" s="1"/>
      <c r="G537" s="1"/>
      <c r="H537" s="1"/>
      <c r="I537" s="1"/>
      <c r="J537" s="1"/>
    </row>
    <row r="538" spans="1:10" ht="15" customHeight="1" x14ac:dyDescent="0.25">
      <c r="A538" s="1"/>
      <c r="B538" s="1"/>
      <c r="C538" s="1"/>
      <c r="D538" s="1"/>
      <c r="G538" s="1"/>
      <c r="H538" s="1"/>
      <c r="I538" s="1"/>
      <c r="J538" s="1"/>
    </row>
    <row r="539" spans="1:10" ht="15" customHeight="1" x14ac:dyDescent="0.25">
      <c r="A539" s="1"/>
      <c r="B539" s="1"/>
      <c r="C539" s="1"/>
      <c r="D539" s="1"/>
      <c r="G539" s="1"/>
      <c r="H539" s="1"/>
      <c r="I539" s="1"/>
      <c r="J539" s="1"/>
    </row>
    <row r="540" spans="1:10" ht="15" customHeight="1" x14ac:dyDescent="0.25">
      <c r="A540" s="1"/>
      <c r="B540" s="1"/>
      <c r="C540" s="1"/>
      <c r="D540" s="1"/>
      <c r="G540" s="1"/>
      <c r="H540" s="1"/>
      <c r="I540" s="1"/>
      <c r="J540" s="1"/>
    </row>
    <row r="541" spans="1:10" ht="15" customHeight="1" x14ac:dyDescent="0.25">
      <c r="A541" s="1"/>
      <c r="B541" s="1"/>
      <c r="C541" s="1"/>
      <c r="D541" s="1"/>
      <c r="G541" s="1"/>
      <c r="H541" s="1"/>
      <c r="I541" s="1"/>
      <c r="J541" s="1"/>
    </row>
    <row r="542" spans="1:10" ht="15" customHeight="1" x14ac:dyDescent="0.25">
      <c r="A542" s="1"/>
      <c r="B542" s="1"/>
      <c r="C542" s="1"/>
      <c r="D542" s="1"/>
      <c r="G542" s="1"/>
      <c r="H542" s="1"/>
      <c r="I542" s="1"/>
      <c r="J542" s="1"/>
    </row>
    <row r="543" spans="1:10" ht="15" customHeight="1" x14ac:dyDescent="0.25">
      <c r="A543" s="1"/>
      <c r="B543" s="1"/>
      <c r="C543" s="1"/>
      <c r="D543" s="1"/>
      <c r="G543" s="1"/>
      <c r="H543" s="1"/>
      <c r="I543" s="1"/>
      <c r="J543" s="1"/>
    </row>
    <row r="544" spans="1:10" ht="15" customHeight="1" x14ac:dyDescent="0.25">
      <c r="A544" s="1"/>
      <c r="B544" s="1"/>
      <c r="C544" s="1"/>
      <c r="D544" s="1"/>
      <c r="G544" s="1"/>
      <c r="H544" s="1"/>
      <c r="I544" s="1"/>
      <c r="J544" s="1"/>
    </row>
    <row r="545" spans="1:10" ht="15" customHeight="1" x14ac:dyDescent="0.25">
      <c r="A545" s="1"/>
      <c r="B545" s="1"/>
      <c r="C545" s="1"/>
      <c r="D545" s="1"/>
      <c r="G545" s="1"/>
      <c r="H545" s="1"/>
      <c r="I545" s="1"/>
      <c r="J545" s="1"/>
    </row>
    <row r="546" spans="1:10" ht="15" customHeight="1" x14ac:dyDescent="0.25">
      <c r="A546" s="1"/>
      <c r="B546" s="1"/>
      <c r="C546" s="1"/>
      <c r="D546" s="1"/>
      <c r="G546" s="1"/>
      <c r="H546" s="1"/>
      <c r="I546" s="1"/>
      <c r="J546" s="1"/>
    </row>
    <row r="547" spans="1:10" ht="15" customHeight="1" x14ac:dyDescent="0.25">
      <c r="A547" s="1"/>
      <c r="B547" s="1"/>
      <c r="C547" s="1"/>
      <c r="D547" s="1"/>
      <c r="G547" s="1"/>
      <c r="H547" s="1"/>
      <c r="I547" s="1"/>
      <c r="J547" s="1"/>
    </row>
    <row r="548" spans="1:10" ht="15" customHeight="1" x14ac:dyDescent="0.25">
      <c r="A548" s="1"/>
      <c r="B548" s="1"/>
      <c r="C548" s="1"/>
      <c r="D548" s="1"/>
      <c r="G548" s="1"/>
      <c r="H548" s="1"/>
      <c r="I548" s="1"/>
      <c r="J548" s="1"/>
    </row>
    <row r="549" spans="1:10" ht="15" customHeight="1" x14ac:dyDescent="0.25">
      <c r="A549" s="1"/>
      <c r="B549" s="1"/>
      <c r="C549" s="1"/>
      <c r="D549" s="1"/>
      <c r="G549" s="1"/>
      <c r="H549" s="1"/>
      <c r="I549" s="1"/>
      <c r="J549" s="1"/>
    </row>
    <row r="550" spans="1:10" ht="15" customHeight="1" x14ac:dyDescent="0.25">
      <c r="A550" s="1"/>
      <c r="B550" s="1"/>
      <c r="C550" s="1"/>
      <c r="D550" s="1"/>
      <c r="G550" s="1"/>
      <c r="H550" s="1"/>
      <c r="I550" s="1"/>
      <c r="J550" s="1"/>
    </row>
    <row r="551" spans="1:10" ht="15" customHeight="1" x14ac:dyDescent="0.25">
      <c r="A551" s="1"/>
      <c r="B551" s="1"/>
      <c r="C551" s="1"/>
      <c r="D551" s="1"/>
      <c r="G551" s="1"/>
      <c r="H551" s="1"/>
      <c r="I551" s="1"/>
      <c r="J551" s="1"/>
    </row>
    <row r="552" spans="1:10" ht="15" customHeight="1" x14ac:dyDescent="0.25">
      <c r="A552" s="1"/>
      <c r="B552" s="1"/>
      <c r="C552" s="1"/>
      <c r="D552" s="1"/>
      <c r="G552" s="1"/>
      <c r="H552" s="1"/>
      <c r="I552" s="1"/>
      <c r="J552" s="1"/>
    </row>
    <row r="553" spans="1:10" ht="15" customHeight="1" x14ac:dyDescent="0.25">
      <c r="A553" s="1"/>
      <c r="B553" s="1"/>
      <c r="C553" s="1"/>
      <c r="D553" s="1"/>
      <c r="G553" s="1"/>
      <c r="H553" s="1"/>
      <c r="I553" s="1"/>
      <c r="J553" s="1"/>
    </row>
    <row r="554" spans="1:10" ht="15" customHeight="1" x14ac:dyDescent="0.25">
      <c r="A554" s="1"/>
      <c r="B554" s="1"/>
      <c r="C554" s="1"/>
      <c r="D554" s="1"/>
      <c r="G554" s="1"/>
      <c r="H554" s="1"/>
      <c r="I554" s="1"/>
      <c r="J554" s="1"/>
    </row>
    <row r="555" spans="1:10" ht="15" customHeight="1" x14ac:dyDescent="0.25">
      <c r="A555" s="1"/>
      <c r="B555" s="1"/>
      <c r="C555" s="1"/>
      <c r="D555" s="1"/>
      <c r="G555" s="1"/>
      <c r="H555" s="1"/>
      <c r="I555" s="1"/>
      <c r="J555" s="1"/>
    </row>
    <row r="556" spans="1:10" ht="15" customHeight="1" x14ac:dyDescent="0.25">
      <c r="A556" s="1"/>
      <c r="B556" s="1"/>
      <c r="C556" s="1"/>
      <c r="D556" s="1"/>
      <c r="G556" s="1"/>
      <c r="H556" s="1"/>
      <c r="I556" s="1"/>
      <c r="J556" s="1"/>
    </row>
    <row r="557" spans="1:10" ht="15" customHeight="1" x14ac:dyDescent="0.25">
      <c r="A557" s="1"/>
      <c r="B557" s="1"/>
      <c r="C557" s="1"/>
      <c r="D557" s="1"/>
      <c r="G557" s="1"/>
      <c r="H557" s="1"/>
      <c r="I557" s="1"/>
      <c r="J557" s="1"/>
    </row>
    <row r="558" spans="1:10" ht="15" customHeight="1" x14ac:dyDescent="0.25">
      <c r="A558" s="1"/>
      <c r="B558" s="1"/>
      <c r="C558" s="1"/>
      <c r="D558" s="1"/>
      <c r="G558" s="1"/>
      <c r="H558" s="1"/>
      <c r="I558" s="1"/>
      <c r="J558" s="1"/>
    </row>
    <row r="559" spans="1:10" ht="15" customHeight="1" x14ac:dyDescent="0.25">
      <c r="A559" s="1"/>
      <c r="B559" s="1"/>
      <c r="C559" s="1"/>
      <c r="D559" s="1"/>
      <c r="G559" s="1"/>
      <c r="H559" s="1"/>
      <c r="I559" s="1"/>
      <c r="J559" s="1"/>
    </row>
    <row r="560" spans="1:10" ht="15" customHeight="1" x14ac:dyDescent="0.25">
      <c r="A560" s="1"/>
      <c r="B560" s="1"/>
      <c r="C560" s="1"/>
      <c r="D560" s="1"/>
      <c r="G560" s="1"/>
      <c r="H560" s="1"/>
      <c r="I560" s="1"/>
      <c r="J560" s="1"/>
    </row>
    <row r="561" spans="1:10" ht="15" customHeight="1" x14ac:dyDescent="0.25">
      <c r="A561" s="1"/>
      <c r="B561" s="1"/>
      <c r="C561" s="1"/>
      <c r="D561" s="1"/>
      <c r="G561" s="1"/>
      <c r="H561" s="1"/>
      <c r="I561" s="1"/>
      <c r="J561" s="1"/>
    </row>
    <row r="562" spans="1:10" ht="15" customHeight="1" x14ac:dyDescent="0.25">
      <c r="A562" s="1"/>
      <c r="B562" s="1"/>
      <c r="C562" s="1"/>
      <c r="D562" s="1"/>
      <c r="G562" s="1"/>
      <c r="H562" s="1"/>
      <c r="I562" s="1"/>
      <c r="J562" s="1"/>
    </row>
    <row r="563" spans="1:10" ht="15" customHeight="1" x14ac:dyDescent="0.25">
      <c r="A563" s="1"/>
      <c r="B563" s="1"/>
      <c r="C563" s="1"/>
      <c r="D563" s="1"/>
      <c r="G563" s="1"/>
      <c r="H563" s="1"/>
      <c r="I563" s="1"/>
      <c r="J563" s="1"/>
    </row>
    <row r="564" spans="1:10" ht="15" customHeight="1" x14ac:dyDescent="0.25">
      <c r="A564" s="1"/>
      <c r="B564" s="1"/>
      <c r="C564" s="1"/>
      <c r="D564" s="1"/>
      <c r="G564" s="1"/>
      <c r="H564" s="1"/>
      <c r="I564" s="1"/>
      <c r="J564" s="1"/>
    </row>
    <row r="565" spans="1:10" ht="15" customHeight="1" x14ac:dyDescent="0.25">
      <c r="A565" s="1"/>
      <c r="B565" s="1"/>
      <c r="C565" s="1"/>
      <c r="D565" s="1"/>
      <c r="G565" s="1"/>
      <c r="H565" s="1"/>
      <c r="I565" s="1"/>
      <c r="J565" s="1"/>
    </row>
  </sheetData>
  <mergeCells count="15">
    <mergeCell ref="L12:L14"/>
    <mergeCell ref="M12:M14"/>
    <mergeCell ref="C84:F84"/>
    <mergeCell ref="A10:J10"/>
    <mergeCell ref="A12:B14"/>
    <mergeCell ref="G12:G14"/>
    <mergeCell ref="H12:H14"/>
    <mergeCell ref="I12:I14"/>
    <mergeCell ref="J12:J14"/>
    <mergeCell ref="E7:G7"/>
    <mergeCell ref="A1:J1"/>
    <mergeCell ref="A2:J2"/>
    <mergeCell ref="A3:J3"/>
    <mergeCell ref="E5:G5"/>
    <mergeCell ref="E6:G6"/>
  </mergeCells>
  <dataValidations count="2">
    <dataValidation type="list" allowBlank="1" showInputMessage="1" showErrorMessage="1" sqref="E17 E65 E47 E69 E71" xr:uid="{CD7E82E9-5FD9-4F95-84C9-7137D6001C2E}">
      <formula1>PTD</formula1>
    </dataValidation>
    <dataValidation type="list" allowBlank="1" showInputMessage="1" showErrorMessage="1" sqref="E18 E148:E149 E128 E120:E122 E96 E92 E66 E70 E72:E73" xr:uid="{7566AB8C-9BE8-422A-9AD9-1673E1C4E3CE}">
      <formula1>DIST</formula1>
    </dataValidation>
  </dataValidations>
  <hyperlinks>
    <hyperlink ref="A5" location="TOC!A1" display="TOC" xr:uid="{C88BACC5-3011-4BF1-BF46-238BC38C6EDC}"/>
    <hyperlink ref="A6" location="'Sch 1- Rate Base '!A15" display="é" xr:uid="{5FABD2F5-FC8A-4488-AAFE-1AC93572C11D}"/>
  </hyperlinks>
  <printOptions horizontalCentered="1" headings="1"/>
  <pageMargins left="0.5" right="0.5" top="0.5" bottom="0.75" header="0.25" footer="0.25"/>
  <pageSetup scale="74" fitToHeight="5" orientation="landscape" r:id="rId1"/>
  <headerFooter alignWithMargins="0">
    <oddFooter>&amp;LFY 2026-2028 ASC Filing
&amp;CPage &amp;P of &amp;N&amp;R&amp;A
&amp;D</oddFooter>
  </headerFooter>
  <rowBreaks count="4" manualBreakCount="4">
    <brk id="50" max="9" man="1"/>
    <brk id="81" max="9" man="1"/>
    <brk id="116" max="9" man="1"/>
    <brk id="136" max="9" man="1"/>
  </row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2D90A-C2C2-4842-8DD2-CF40D1758C65}">
  <sheetPr>
    <tabColor indexed="43"/>
  </sheetPr>
  <dimension ref="A1:T565"/>
  <sheetViews>
    <sheetView showWhiteSpace="0" zoomScale="90" zoomScaleNormal="90" zoomScaleSheetLayoutView="75" zoomScalePageLayoutView="145" workbookViewId="0">
      <selection sqref="A1:XFD1048576"/>
    </sheetView>
  </sheetViews>
  <sheetFormatPr defaultColWidth="9" defaultRowHeight="15" customHeight="1" x14ac:dyDescent="0.25"/>
  <cols>
    <col min="1" max="1" width="6.125" style="38" customWidth="1"/>
    <col min="2" max="2" width="44.5" style="38" customWidth="1"/>
    <col min="3" max="3" width="9.25" style="36" customWidth="1"/>
    <col min="4" max="4" width="8.625" style="36" customWidth="1"/>
    <col min="5" max="5" width="10" style="1" customWidth="1"/>
    <col min="6" max="6" width="8.5" style="1" customWidth="1"/>
    <col min="7" max="7" width="16" style="28" customWidth="1"/>
    <col min="8" max="10" width="16" style="39" customWidth="1"/>
    <col min="11" max="11" width="2.25" style="37" customWidth="1"/>
    <col min="12" max="18" width="17.625" style="1" customWidth="1"/>
    <col min="19" max="16384" width="9" style="1"/>
  </cols>
  <sheetData>
    <row r="1" spans="1:20" ht="19.5" customHeight="1" thickTop="1" x14ac:dyDescent="0.3">
      <c r="A1" s="3599" t="s">
        <v>54</v>
      </c>
      <c r="B1" s="3600"/>
      <c r="C1" s="3600"/>
      <c r="D1" s="3600"/>
      <c r="E1" s="3600"/>
      <c r="F1" s="3600"/>
      <c r="G1" s="3600"/>
      <c r="H1" s="3600"/>
      <c r="I1" s="3600"/>
      <c r="J1" s="3601"/>
      <c r="K1" s="13"/>
      <c r="L1" s="14"/>
    </row>
    <row r="2" spans="1:20" ht="19.5" customHeight="1" x14ac:dyDescent="0.25">
      <c r="A2" s="3611" t="s">
        <v>228</v>
      </c>
      <c r="B2" s="3612"/>
      <c r="C2" s="3612"/>
      <c r="D2" s="3612"/>
      <c r="E2" s="3612"/>
      <c r="F2" s="3612"/>
      <c r="G2" s="3612"/>
      <c r="H2" s="3612"/>
      <c r="I2" s="3612"/>
      <c r="J2" s="3613"/>
      <c r="K2" s="506"/>
      <c r="L2" s="507"/>
    </row>
    <row r="3" spans="1:20" ht="17.25" customHeight="1" x14ac:dyDescent="0.25">
      <c r="A3" s="3608" t="s">
        <v>719</v>
      </c>
      <c r="B3" s="3609"/>
      <c r="C3" s="3609"/>
      <c r="D3" s="3609"/>
      <c r="E3" s="3609"/>
      <c r="F3" s="3609"/>
      <c r="G3" s="3609"/>
      <c r="H3" s="3609"/>
      <c r="I3" s="3609"/>
      <c r="J3" s="3610"/>
      <c r="K3" s="506"/>
      <c r="L3" s="507"/>
    </row>
    <row r="4" spans="1:20" ht="15" customHeight="1" thickBot="1" x14ac:dyDescent="0.3">
      <c r="A4" s="1335"/>
      <c r="B4" s="180"/>
      <c r="C4" s="180"/>
      <c r="D4" s="180"/>
      <c r="E4" s="180"/>
      <c r="F4" s="180"/>
      <c r="G4" s="180"/>
      <c r="H4" s="180"/>
      <c r="J4" s="1269"/>
      <c r="K4" s="13"/>
      <c r="L4" s="14"/>
    </row>
    <row r="5" spans="1:20" ht="15.75" customHeight="1" x14ac:dyDescent="0.3">
      <c r="A5" s="1830" t="s">
        <v>695</v>
      </c>
      <c r="B5" s="1831"/>
      <c r="C5" s="991"/>
      <c r="D5" s="1832" t="s">
        <v>572</v>
      </c>
      <c r="E5" s="3614" t="s">
        <v>872</v>
      </c>
      <c r="F5" s="3615"/>
      <c r="G5" s="3616"/>
      <c r="H5" s="991"/>
      <c r="I5" s="1833" t="s">
        <v>717</v>
      </c>
      <c r="J5" s="1834"/>
      <c r="K5" s="13"/>
      <c r="L5" s="14"/>
    </row>
    <row r="6" spans="1:20" ht="15.75" customHeight="1" x14ac:dyDescent="0.25">
      <c r="A6" s="1835" t="s">
        <v>696</v>
      </c>
      <c r="B6" s="1836"/>
      <c r="C6" s="991"/>
      <c r="D6" s="1832" t="s">
        <v>574</v>
      </c>
      <c r="E6" s="3617">
        <v>2023</v>
      </c>
      <c r="F6" s="3618"/>
      <c r="G6" s="3619"/>
      <c r="H6" s="1837"/>
      <c r="I6" s="1838" t="s">
        <v>724</v>
      </c>
      <c r="J6" s="1834"/>
      <c r="K6" s="13"/>
      <c r="L6" s="14"/>
    </row>
    <row r="7" spans="1:20" ht="15.75" customHeight="1" thickBot="1" x14ac:dyDescent="0.3">
      <c r="A7" s="1839"/>
      <c r="B7" s="991"/>
      <c r="C7" s="991"/>
      <c r="D7" s="1832" t="s">
        <v>575</v>
      </c>
      <c r="E7" s="3620">
        <v>45446</v>
      </c>
      <c r="F7" s="3621"/>
      <c r="G7" s="3622"/>
      <c r="H7" s="1837"/>
      <c r="I7" s="1840" t="s">
        <v>724</v>
      </c>
      <c r="J7" s="1834"/>
      <c r="K7" s="13"/>
      <c r="L7" s="14"/>
    </row>
    <row r="8" spans="1:20" ht="9.75" customHeight="1" x14ac:dyDescent="0.25">
      <c r="A8" s="1839"/>
      <c r="B8" s="1841"/>
      <c r="C8" s="1842"/>
      <c r="D8" s="1842"/>
      <c r="E8" s="1841"/>
      <c r="F8" s="1841"/>
      <c r="G8" s="1843"/>
      <c r="H8" s="1844"/>
      <c r="I8" s="1844"/>
      <c r="J8" s="1845"/>
      <c r="K8" s="13"/>
      <c r="L8" s="14"/>
    </row>
    <row r="9" spans="1:20" ht="2.1" customHeight="1" x14ac:dyDescent="0.25">
      <c r="A9" s="1839"/>
      <c r="B9" s="1841"/>
      <c r="C9" s="1842"/>
      <c r="D9" s="1842"/>
      <c r="E9" s="1841"/>
      <c r="F9" s="1841"/>
      <c r="G9" s="1843"/>
      <c r="H9" s="1844"/>
      <c r="I9" s="1844"/>
      <c r="J9" s="1845"/>
      <c r="K9" s="13"/>
      <c r="L9" s="14"/>
    </row>
    <row r="10" spans="1:20" ht="15.75" customHeight="1" x14ac:dyDescent="0.25">
      <c r="A10" s="3626" t="s">
        <v>325</v>
      </c>
      <c r="B10" s="3627"/>
      <c r="C10" s="3627"/>
      <c r="D10" s="3627"/>
      <c r="E10" s="3627"/>
      <c r="F10" s="3627"/>
      <c r="G10" s="3627"/>
      <c r="H10" s="3627"/>
      <c r="I10" s="3627"/>
      <c r="J10" s="3628"/>
      <c r="K10" s="13"/>
      <c r="L10" s="14"/>
    </row>
    <row r="11" spans="1:20" ht="11.25" customHeight="1" thickBot="1" x14ac:dyDescent="0.3">
      <c r="A11" s="1337"/>
      <c r="B11" s="376"/>
      <c r="C11" s="366"/>
      <c r="D11" s="366"/>
      <c r="E11" s="376"/>
      <c r="F11" s="376"/>
      <c r="G11" s="376"/>
      <c r="H11" s="376"/>
      <c r="I11" s="376"/>
      <c r="J11" s="1338"/>
      <c r="K11" s="13"/>
      <c r="L11" s="14"/>
    </row>
    <row r="12" spans="1:20" ht="15" customHeight="1" thickBot="1" x14ac:dyDescent="0.3">
      <c r="A12" s="3602" t="s">
        <v>100</v>
      </c>
      <c r="B12" s="3603"/>
      <c r="C12" s="327" t="s">
        <v>276</v>
      </c>
      <c r="D12" s="328"/>
      <c r="E12" s="317" t="s">
        <v>354</v>
      </c>
      <c r="F12" s="318"/>
      <c r="G12" s="3606" t="s">
        <v>104</v>
      </c>
      <c r="H12" s="3606" t="s">
        <v>105</v>
      </c>
      <c r="I12" s="3606" t="s">
        <v>106</v>
      </c>
      <c r="J12" s="3630" t="s">
        <v>727</v>
      </c>
      <c r="K12" s="20"/>
      <c r="L12" s="3606" t="s">
        <v>105</v>
      </c>
      <c r="M12" s="3606" t="s">
        <v>106</v>
      </c>
      <c r="N12" s="307"/>
    </row>
    <row r="13" spans="1:20" ht="15" customHeight="1" thickBot="1" x14ac:dyDescent="0.3">
      <c r="A13" s="3604"/>
      <c r="B13" s="3605"/>
      <c r="C13" s="308" t="s">
        <v>272</v>
      </c>
      <c r="D13" s="308" t="s">
        <v>96</v>
      </c>
      <c r="E13" s="319" t="s">
        <v>450</v>
      </c>
      <c r="F13" s="320"/>
      <c r="G13" s="3607"/>
      <c r="H13" s="3607"/>
      <c r="I13" s="3607"/>
      <c r="J13" s="3631"/>
      <c r="K13" s="21"/>
      <c r="L13" s="3607"/>
      <c r="M13" s="3607"/>
      <c r="N13" s="310" t="s">
        <v>98</v>
      </c>
    </row>
    <row r="14" spans="1:20" ht="15" customHeight="1" thickBot="1" x14ac:dyDescent="0.3">
      <c r="A14" s="3604"/>
      <c r="B14" s="3605"/>
      <c r="C14" s="308" t="s">
        <v>273</v>
      </c>
      <c r="D14" s="308" t="s">
        <v>252</v>
      </c>
      <c r="E14" s="308" t="s">
        <v>352</v>
      </c>
      <c r="F14" s="308" t="s">
        <v>353</v>
      </c>
      <c r="G14" s="3607"/>
      <c r="H14" s="3607"/>
      <c r="I14" s="3607"/>
      <c r="J14" s="3632"/>
      <c r="K14" s="22"/>
      <c r="L14" s="3629"/>
      <c r="M14" s="3629"/>
      <c r="N14" s="324" t="s">
        <v>107</v>
      </c>
    </row>
    <row r="15" spans="1:20" ht="15" customHeight="1" thickTop="1" x14ac:dyDescent="0.25">
      <c r="A15" s="1515" t="s">
        <v>473</v>
      </c>
      <c r="B15" s="1516"/>
      <c r="C15" s="1517"/>
      <c r="D15" s="1517"/>
      <c r="E15" s="1517"/>
      <c r="F15" s="1517"/>
      <c r="G15" s="1518"/>
      <c r="H15" s="1518"/>
      <c r="I15" s="1518"/>
      <c r="J15" s="1519"/>
      <c r="K15" s="20"/>
      <c r="L15" s="1754"/>
      <c r="M15" s="1755"/>
      <c r="N15" s="1755"/>
    </row>
    <row r="16" spans="1:20" ht="15" customHeight="1" x14ac:dyDescent="0.25">
      <c r="A16" s="1342"/>
      <c r="B16" s="47" t="s">
        <v>145</v>
      </c>
      <c r="C16" s="1939" t="s">
        <v>70</v>
      </c>
      <c r="D16" s="184">
        <v>301</v>
      </c>
      <c r="E16" s="184" t="s">
        <v>392</v>
      </c>
      <c r="F16" s="184" t="s">
        <v>97</v>
      </c>
      <c r="G16" s="1756">
        <f>VLOOKUP($B16,'RATE BASE DATA'!$C:$J,8,FALSE)</f>
        <v>0</v>
      </c>
      <c r="H16" s="1738">
        <f>VLOOKUP($E16,Ratio,2,FALSE)*$G16</f>
        <v>0</v>
      </c>
      <c r="I16" s="1738">
        <f>VLOOKUP($E16,Ratio,3,FALSE)*$G16</f>
        <v>0</v>
      </c>
      <c r="J16" s="1739">
        <f>VLOOKUP($E16,Ratio,4,FALSE)*$G16</f>
        <v>0</v>
      </c>
      <c r="K16" s="24"/>
      <c r="L16" s="1755"/>
      <c r="M16" s="1755"/>
      <c r="N16" s="1755"/>
      <c r="O16" s="11"/>
      <c r="P16" s="11"/>
      <c r="Q16" s="11"/>
      <c r="R16" s="11"/>
      <c r="S16" s="11"/>
      <c r="T16" s="11"/>
    </row>
    <row r="17" spans="1:20" ht="15" customHeight="1" x14ac:dyDescent="0.25">
      <c r="A17" s="1342"/>
      <c r="B17" s="47" t="s">
        <v>146</v>
      </c>
      <c r="C17" s="1939" t="s">
        <v>70</v>
      </c>
      <c r="D17" s="184">
        <v>302</v>
      </c>
      <c r="E17" s="184" t="s">
        <v>90</v>
      </c>
      <c r="F17" s="184" t="s">
        <v>99</v>
      </c>
      <c r="G17" s="1756">
        <f>VLOOKUP($B17,'RATE BASE DATA'!$C:$J,8,FALSE)</f>
        <v>10876443.500972776</v>
      </c>
      <c r="H17" s="1738">
        <f>IF($E17="DIRECT",$L17,VLOOKUP($E17,Ratio,2,FALSE)*$G17)</f>
        <v>10876443.500972776</v>
      </c>
      <c r="I17" s="1738">
        <f>IF($E17="DIRECT",$M17,VLOOKUP($E17,Ratio,3,FALSE)*$G17)</f>
        <v>0</v>
      </c>
      <c r="J17" s="1739">
        <f>IF($E17="DIRECT",$N17,VLOOKUP($E17,Ratio,4,FALSE)*$G17)</f>
        <v>0</v>
      </c>
      <c r="K17" s="24"/>
      <c r="L17" s="1756">
        <f>VLOOKUP($B17,'RATE BASE DATA'!$C:$J,8,FALSE)*'B8-EPIS'!S590/'B8-EPIS'!$V$590</f>
        <v>10876443.500972776</v>
      </c>
      <c r="M17" s="1756">
        <v>0</v>
      </c>
      <c r="N17" s="1756">
        <v>0</v>
      </c>
      <c r="O17" s="11"/>
      <c r="P17" s="11"/>
      <c r="Q17" s="11"/>
      <c r="R17" s="11"/>
      <c r="S17" s="11"/>
      <c r="T17" s="11"/>
    </row>
    <row r="18" spans="1:20" ht="15" customHeight="1" x14ac:dyDescent="0.25">
      <c r="A18" s="1342"/>
      <c r="B18" s="47" t="s">
        <v>147</v>
      </c>
      <c r="C18" s="1939" t="s">
        <v>70</v>
      </c>
      <c r="D18" s="184">
        <v>303</v>
      </c>
      <c r="E18" s="184" t="s">
        <v>90</v>
      </c>
      <c r="F18" s="184" t="s">
        <v>392</v>
      </c>
      <c r="G18" s="1756">
        <f>VLOOKUP($B18,'RATE BASE DATA'!$C:$J,8,FALSE)</f>
        <v>50847302.705904394</v>
      </c>
      <c r="H18" s="1738">
        <f>IF($E18="DIRECT",$L18,VLOOKUP($E18,Ratio,2,FALSE)*$G18)</f>
        <v>16880229.324760236</v>
      </c>
      <c r="I18" s="1738">
        <f>IF($E18="DIRECT",$M18,VLOOKUP($E18,Ratio,3,FALSE)*$G18)</f>
        <v>0</v>
      </c>
      <c r="J18" s="1739">
        <f>IF($E18="DIRECT",$N18,VLOOKUP($E18,Ratio,4,FALSE)*$G18)</f>
        <v>33967073.381144151</v>
      </c>
      <c r="K18" s="24"/>
      <c r="L18" s="1756">
        <f>VLOOKUP($B18,'RATE BASE DATA'!$C:$J,8,FALSE)*'B8-EPIS'!S596/'B8-EPIS'!$V$596</f>
        <v>16880229.324760236</v>
      </c>
      <c r="M18" s="1756">
        <f>VLOOKUP($B18,'RATE BASE DATA'!$C:$J,8,FALSE)*'B8-EPIS'!T596/'B8-EPIS'!$V$596</f>
        <v>0</v>
      </c>
      <c r="N18" s="1756">
        <f>VLOOKUP($B18,'RATE BASE DATA'!$C:$J,8,FALSE)*'B8-EPIS'!U596/'B8-EPIS'!$V$596</f>
        <v>33967073.381144151</v>
      </c>
      <c r="O18" s="578"/>
      <c r="P18" s="11"/>
      <c r="Q18" s="11"/>
      <c r="R18" s="11"/>
      <c r="S18" s="11"/>
      <c r="T18" s="11"/>
    </row>
    <row r="19" spans="1:20" ht="15" customHeight="1" x14ac:dyDescent="0.25">
      <c r="A19" s="1344" t="s">
        <v>439</v>
      </c>
      <c r="B19" s="33"/>
      <c r="C19" s="1846"/>
      <c r="D19" s="1847"/>
      <c r="E19" s="1847"/>
      <c r="F19" s="1848"/>
      <c r="G19" s="1780">
        <f>SUM(G16:G18)</f>
        <v>61723746.206877172</v>
      </c>
      <c r="H19" s="1740">
        <f>SUM(H16:H18)</f>
        <v>27756672.825733013</v>
      </c>
      <c r="I19" s="1740">
        <f>SUM(I16:I18)</f>
        <v>0</v>
      </c>
      <c r="J19" s="1741">
        <f>SUM(J16:J18)</f>
        <v>33967073.381144151</v>
      </c>
      <c r="K19" s="24"/>
      <c r="L19" s="1757"/>
      <c r="M19" s="1758"/>
      <c r="N19" s="1758"/>
      <c r="O19" s="11"/>
      <c r="P19" s="11"/>
      <c r="Q19" s="11"/>
      <c r="R19" s="11"/>
      <c r="S19" s="11"/>
      <c r="T19" s="11"/>
    </row>
    <row r="20" spans="1:20" ht="8.1" customHeight="1" x14ac:dyDescent="0.25">
      <c r="A20" s="1346"/>
      <c r="B20" s="33"/>
      <c r="C20" s="48"/>
      <c r="D20" s="48"/>
      <c r="E20" s="48"/>
      <c r="F20" s="48"/>
      <c r="G20" s="377"/>
      <c r="H20" s="67"/>
      <c r="I20" s="142"/>
      <c r="J20" s="1347"/>
      <c r="K20" s="24"/>
      <c r="L20" s="1757"/>
      <c r="M20" s="1758"/>
      <c r="N20" s="1758"/>
      <c r="O20" s="11"/>
      <c r="P20" s="11"/>
      <c r="Q20" s="11"/>
      <c r="R20" s="11"/>
      <c r="S20" s="11"/>
      <c r="T20" s="11"/>
    </row>
    <row r="21" spans="1:20" ht="15" customHeight="1" x14ac:dyDescent="0.25">
      <c r="A21" s="1341" t="s">
        <v>110</v>
      </c>
      <c r="B21" s="78"/>
      <c r="C21" s="48"/>
      <c r="D21" s="48"/>
      <c r="E21" s="48"/>
      <c r="F21" s="48"/>
      <c r="G21" s="377"/>
      <c r="H21" s="142"/>
      <c r="I21" s="142"/>
      <c r="J21" s="1347"/>
      <c r="K21" s="20"/>
      <c r="L21" s="1754"/>
      <c r="M21" s="1755"/>
      <c r="N21" s="1755"/>
    </row>
    <row r="22" spans="1:20" ht="15" customHeight="1" x14ac:dyDescent="0.25">
      <c r="A22" s="1348"/>
      <c r="B22" s="49" t="s">
        <v>111</v>
      </c>
      <c r="C22" s="1939" t="s">
        <v>70</v>
      </c>
      <c r="D22" s="184" t="s">
        <v>824</v>
      </c>
      <c r="E22" s="184" t="s">
        <v>394</v>
      </c>
      <c r="F22" s="184"/>
      <c r="G22" s="1756">
        <f>VLOOKUP($B22,'RATE BASE DATA'!$C:$J,8,FALSE)</f>
        <v>389996922.34696692</v>
      </c>
      <c r="H22" s="1738">
        <f>VLOOKUP($E22,Ratio,2,FALSE)*$G22</f>
        <v>389996922.34696692</v>
      </c>
      <c r="I22" s="1738">
        <f>VLOOKUP($E22,Ratio,3,FALSE)*$G22</f>
        <v>0</v>
      </c>
      <c r="J22" s="1739">
        <f>VLOOKUP($E22,Ratio,4,FALSE)*$G22</f>
        <v>0</v>
      </c>
      <c r="K22" s="24"/>
      <c r="L22" s="1757"/>
      <c r="M22" s="1759"/>
      <c r="N22" s="1759"/>
      <c r="O22" s="26"/>
    </row>
    <row r="23" spans="1:20" ht="15" customHeight="1" x14ac:dyDescent="0.25">
      <c r="A23" s="1348"/>
      <c r="B23" s="49" t="s">
        <v>113</v>
      </c>
      <c r="C23" s="1939" t="s">
        <v>70</v>
      </c>
      <c r="D23" s="184" t="s">
        <v>825</v>
      </c>
      <c r="E23" s="184" t="s">
        <v>394</v>
      </c>
      <c r="F23" s="184"/>
      <c r="G23" s="1756">
        <f>VLOOKUP($B23,'RATE BASE DATA'!$C:$J,8,FALSE)</f>
        <v>0</v>
      </c>
      <c r="H23" s="1738">
        <f>VLOOKUP($E23,Ratio,2,FALSE)*$G23</f>
        <v>0</v>
      </c>
      <c r="I23" s="1738">
        <f>VLOOKUP($E23,Ratio,3,FALSE)*$G23</f>
        <v>0</v>
      </c>
      <c r="J23" s="1739">
        <f>VLOOKUP($E23,Ratio,4,FALSE)*$G23</f>
        <v>0</v>
      </c>
      <c r="K23" s="24"/>
      <c r="L23" s="1757"/>
      <c r="M23" s="1760"/>
      <c r="N23" s="1761"/>
      <c r="O23" s="26"/>
      <c r="P23" s="11"/>
      <c r="Q23" s="11"/>
      <c r="R23" s="11"/>
      <c r="S23" s="11"/>
      <c r="T23" s="11"/>
    </row>
    <row r="24" spans="1:20" ht="15" customHeight="1" x14ac:dyDescent="0.25">
      <c r="A24" s="1348"/>
      <c r="B24" s="49" t="s">
        <v>115</v>
      </c>
      <c r="C24" s="1939" t="s">
        <v>70</v>
      </c>
      <c r="D24" s="184" t="s">
        <v>826</v>
      </c>
      <c r="E24" s="184" t="s">
        <v>394</v>
      </c>
      <c r="F24" s="184"/>
      <c r="G24" s="1756">
        <f>VLOOKUP($B24,'RATE BASE DATA'!$C:$J,8,FALSE)</f>
        <v>58468022.386235185</v>
      </c>
      <c r="H24" s="1738">
        <f>VLOOKUP($E24,Ratio,2,FALSE)*$G24</f>
        <v>58468022.386235185</v>
      </c>
      <c r="I24" s="1738">
        <f>VLOOKUP($E24,Ratio,3,FALSE)*$G24</f>
        <v>0</v>
      </c>
      <c r="J24" s="1739">
        <f>VLOOKUP($E24,Ratio,4,FALSE)*$G24</f>
        <v>0</v>
      </c>
      <c r="K24" s="24"/>
      <c r="L24" s="1757"/>
      <c r="M24" s="1758"/>
      <c r="N24" s="1758"/>
      <c r="O24" s="11"/>
      <c r="P24" s="11"/>
      <c r="Q24" s="11"/>
      <c r="R24" s="11"/>
      <c r="S24" s="11"/>
      <c r="T24" s="11"/>
    </row>
    <row r="25" spans="1:20" ht="15" customHeight="1" x14ac:dyDescent="0.25">
      <c r="A25" s="1348"/>
      <c r="B25" s="49" t="s">
        <v>117</v>
      </c>
      <c r="C25" s="1939" t="s">
        <v>70</v>
      </c>
      <c r="D25" s="184" t="s">
        <v>870</v>
      </c>
      <c r="E25" s="184" t="s">
        <v>394</v>
      </c>
      <c r="F25" s="184"/>
      <c r="G25" s="1756">
        <f>VLOOKUP($B25,'RATE BASE DATA'!$C:$J,8,FALSE)</f>
        <v>304615923.34254658</v>
      </c>
      <c r="H25" s="1738">
        <f>VLOOKUP($E25,Ratio,2,FALSE)*$G25</f>
        <v>304615923.34254658</v>
      </c>
      <c r="I25" s="1738">
        <f>VLOOKUP($E25,Ratio,3,FALSE)*$G25</f>
        <v>0</v>
      </c>
      <c r="J25" s="1739">
        <f>VLOOKUP($E25,Ratio,4,FALSE)*$G25</f>
        <v>0</v>
      </c>
      <c r="K25" s="24"/>
      <c r="L25" s="1757"/>
      <c r="M25" s="1758"/>
      <c r="N25" s="1758"/>
      <c r="O25" s="11"/>
      <c r="P25" s="11"/>
      <c r="Q25" s="11"/>
      <c r="R25" s="11"/>
      <c r="S25" s="11"/>
      <c r="T25" s="11"/>
    </row>
    <row r="26" spans="1:20" ht="15" customHeight="1" x14ac:dyDescent="0.25">
      <c r="A26" s="1344" t="s">
        <v>119</v>
      </c>
      <c r="B26" s="33"/>
      <c r="C26" s="1846"/>
      <c r="D26" s="1847"/>
      <c r="E26" s="1847"/>
      <c r="F26" s="1848"/>
      <c r="G26" s="1781">
        <f>SUM(G22:G25)</f>
        <v>753080868.07574868</v>
      </c>
      <c r="H26" s="495">
        <f>SUM(H22:H25)</f>
        <v>753080868.07574868</v>
      </c>
      <c r="I26" s="1742">
        <f>SUM(I22:I25)</f>
        <v>0</v>
      </c>
      <c r="J26" s="1743">
        <f>SUM(J22:J25)</f>
        <v>0</v>
      </c>
      <c r="K26" s="24"/>
      <c r="L26" s="1757"/>
      <c r="M26" s="1758"/>
      <c r="N26" s="1758"/>
      <c r="O26" s="11"/>
      <c r="P26" s="11"/>
      <c r="Q26" s="11"/>
      <c r="R26" s="11"/>
      <c r="S26" s="11"/>
      <c r="T26" s="11"/>
    </row>
    <row r="27" spans="1:20" ht="8.1" customHeight="1" x14ac:dyDescent="0.25">
      <c r="A27" s="1346"/>
      <c r="B27" s="33"/>
      <c r="C27" s="48"/>
      <c r="D27" s="48"/>
      <c r="E27" s="48"/>
      <c r="F27" s="48"/>
      <c r="G27" s="1782"/>
      <c r="H27" s="142"/>
      <c r="I27" s="142"/>
      <c r="J27" s="1347"/>
      <c r="K27" s="24"/>
      <c r="L27" s="1757"/>
      <c r="M27" s="1758"/>
      <c r="N27" s="1758"/>
      <c r="O27" s="11"/>
    </row>
    <row r="28" spans="1:20" ht="15" customHeight="1" x14ac:dyDescent="0.25">
      <c r="A28" s="1341" t="s">
        <v>97</v>
      </c>
      <c r="B28" s="47"/>
      <c r="C28" s="48"/>
      <c r="D28" s="48"/>
      <c r="E28" s="1849"/>
      <c r="F28" s="1849"/>
      <c r="G28" s="377"/>
      <c r="H28" s="142"/>
      <c r="I28" s="142"/>
      <c r="J28" s="1347"/>
      <c r="K28" s="24"/>
      <c r="L28" s="1757"/>
      <c r="M28" s="1758"/>
      <c r="N28" s="1758"/>
      <c r="O28" s="11"/>
    </row>
    <row r="29" spans="1:20" ht="15" customHeight="1" x14ac:dyDescent="0.25">
      <c r="A29" s="1348"/>
      <c r="B29" s="49" t="s">
        <v>497</v>
      </c>
      <c r="C29" s="1942" t="s">
        <v>70</v>
      </c>
      <c r="D29" s="1943" t="s">
        <v>827</v>
      </c>
      <c r="E29" s="184" t="s">
        <v>393</v>
      </c>
      <c r="F29" s="184"/>
      <c r="G29" s="1756">
        <f>VLOOKUP($B29,'RATE BASE DATA'!$C:$J,8,FALSE)</f>
        <v>444667377.02077609</v>
      </c>
      <c r="H29" s="1738">
        <f>VLOOKUP($E29,Ratio,2,FALSE)*$G29</f>
        <v>0</v>
      </c>
      <c r="I29" s="1738">
        <f>VLOOKUP($E29,Ratio,3,FALSE)*$G29</f>
        <v>0</v>
      </c>
      <c r="J29" s="1739">
        <f>VLOOKUP($E29,Ratio,4,FALSE)*$G29</f>
        <v>444667377.02077609</v>
      </c>
      <c r="K29" s="24"/>
      <c r="L29" s="1757"/>
      <c r="M29" s="1758"/>
      <c r="N29" s="1758"/>
      <c r="O29" s="11"/>
      <c r="P29" s="11"/>
      <c r="Q29" s="11"/>
      <c r="R29" s="11"/>
      <c r="S29" s="11"/>
      <c r="T29" s="11"/>
    </row>
    <row r="30" spans="1:20" ht="15" customHeight="1" x14ac:dyDescent="0.25">
      <c r="A30" s="1344" t="s">
        <v>121</v>
      </c>
      <c r="B30" s="33"/>
      <c r="C30" s="1940"/>
      <c r="D30" s="1941"/>
      <c r="E30" s="1847"/>
      <c r="F30" s="1848"/>
      <c r="G30" s="1781">
        <f>SUM(G29)</f>
        <v>444667377.02077609</v>
      </c>
      <c r="H30" s="1742">
        <f>SUM(H29)</f>
        <v>0</v>
      </c>
      <c r="I30" s="1740">
        <f>SUM(I29)</f>
        <v>0</v>
      </c>
      <c r="J30" s="1743">
        <f>SUM(J29)</f>
        <v>444667377.02077609</v>
      </c>
      <c r="K30" s="24"/>
      <c r="L30" s="1757"/>
      <c r="M30" s="1758"/>
      <c r="N30" s="1758"/>
      <c r="O30" s="11"/>
      <c r="P30" s="11"/>
      <c r="Q30" s="11"/>
      <c r="R30" s="11"/>
      <c r="S30" s="11"/>
      <c r="T30" s="11"/>
    </row>
    <row r="31" spans="1:20" ht="8.1" customHeight="1" x14ac:dyDescent="0.25">
      <c r="A31" s="1346"/>
      <c r="B31" s="33"/>
      <c r="C31" s="48"/>
      <c r="D31" s="48"/>
      <c r="E31" s="48"/>
      <c r="F31" s="48"/>
      <c r="G31" s="377"/>
      <c r="H31" s="142"/>
      <c r="I31" s="142"/>
      <c r="J31" s="1347"/>
      <c r="K31" s="24"/>
      <c r="L31" s="1757"/>
      <c r="M31" s="1758"/>
      <c r="N31" s="1758"/>
      <c r="O31" s="11"/>
      <c r="P31" s="11"/>
      <c r="Q31" s="11"/>
      <c r="R31" s="11"/>
      <c r="S31" s="11"/>
      <c r="T31" s="11"/>
    </row>
    <row r="32" spans="1:20" ht="15" customHeight="1" x14ac:dyDescent="0.25">
      <c r="A32" s="1341" t="s">
        <v>472</v>
      </c>
      <c r="B32" s="47"/>
      <c r="C32" s="48"/>
      <c r="D32" s="48"/>
      <c r="E32" s="46"/>
      <c r="F32" s="46"/>
      <c r="G32" s="377"/>
      <c r="H32" s="142"/>
      <c r="I32" s="142"/>
      <c r="J32" s="1347"/>
      <c r="K32" s="24"/>
      <c r="L32" s="1757"/>
      <c r="M32" s="1758"/>
      <c r="N32" s="1758"/>
      <c r="O32" s="11"/>
    </row>
    <row r="33" spans="1:20" ht="15" customHeight="1" x14ac:dyDescent="0.25">
      <c r="A33" s="1348"/>
      <c r="B33" s="49" t="s">
        <v>140</v>
      </c>
      <c r="C33" s="1939" t="s">
        <v>70</v>
      </c>
      <c r="D33" s="184" t="s">
        <v>828</v>
      </c>
      <c r="E33" s="184" t="s">
        <v>392</v>
      </c>
      <c r="F33" s="184"/>
      <c r="G33" s="1756">
        <f>VLOOKUP($B33,'RATE BASE DATA'!$C:$J,8,FALSE)</f>
        <v>451519315.52237946</v>
      </c>
      <c r="H33" s="1738">
        <f>VLOOKUP($E33,Ratio,2,FALSE)*$G33</f>
        <v>0</v>
      </c>
      <c r="I33" s="1738">
        <f>VLOOKUP($E33,Ratio,3,FALSE)*$G33</f>
        <v>0</v>
      </c>
      <c r="J33" s="1739">
        <f>VLOOKUP($E33,Ratio,4,FALSE)*$G33</f>
        <v>451519315.52237946</v>
      </c>
      <c r="K33" s="24"/>
      <c r="L33" s="1757"/>
      <c r="M33" s="1758"/>
      <c r="N33" s="1758"/>
      <c r="O33" s="11"/>
      <c r="P33" s="11"/>
      <c r="Q33" s="11"/>
      <c r="R33" s="11"/>
      <c r="S33" s="11"/>
      <c r="T33" s="11"/>
    </row>
    <row r="34" spans="1:20" ht="15" customHeight="1" x14ac:dyDescent="0.25">
      <c r="A34" s="1350" t="s">
        <v>122</v>
      </c>
      <c r="B34" s="47"/>
      <c r="C34" s="1846"/>
      <c r="D34" s="1847"/>
      <c r="E34" s="1847"/>
      <c r="F34" s="1848"/>
      <c r="G34" s="1781">
        <f>SUM(G33)</f>
        <v>451519315.52237946</v>
      </c>
      <c r="H34" s="1740">
        <f>SUM(H33)</f>
        <v>0</v>
      </c>
      <c r="I34" s="1740">
        <f>SUM(I33)</f>
        <v>0</v>
      </c>
      <c r="J34" s="1741">
        <f>SUM(J33)</f>
        <v>451519315.52237946</v>
      </c>
      <c r="K34" s="24"/>
      <c r="L34" s="1757"/>
      <c r="M34" s="1758"/>
      <c r="N34" s="1758"/>
      <c r="O34" s="11"/>
      <c r="P34" s="11"/>
      <c r="Q34" s="11"/>
      <c r="R34" s="11"/>
      <c r="S34" s="11"/>
      <c r="T34" s="11"/>
    </row>
    <row r="35" spans="1:20" ht="8.1" customHeight="1" x14ac:dyDescent="0.25">
      <c r="A35" s="1351"/>
      <c r="B35" s="47"/>
      <c r="C35" s="48"/>
      <c r="D35" s="48"/>
      <c r="E35" s="48"/>
      <c r="F35" s="48"/>
      <c r="G35" s="378"/>
      <c r="H35" s="381"/>
      <c r="I35" s="381"/>
      <c r="J35" s="1744"/>
      <c r="K35" s="24"/>
      <c r="L35" s="1757"/>
      <c r="M35" s="1758"/>
      <c r="N35" s="1758"/>
      <c r="O35" s="11"/>
      <c r="P35" s="11"/>
      <c r="Q35" s="11"/>
      <c r="R35" s="11"/>
      <c r="S35" s="11"/>
      <c r="T35" s="11"/>
    </row>
    <row r="36" spans="1:20" ht="15" customHeight="1" x14ac:dyDescent="0.25">
      <c r="A36" s="1341" t="s">
        <v>124</v>
      </c>
      <c r="B36" s="33"/>
      <c r="C36" s="48"/>
      <c r="D36" s="48"/>
      <c r="E36" s="48"/>
      <c r="F36" s="48"/>
      <c r="G36" s="1784"/>
      <c r="H36" s="67"/>
      <c r="I36" s="67"/>
      <c r="J36" s="1352"/>
      <c r="K36" s="24"/>
      <c r="L36" s="1757"/>
      <c r="M36" s="1758"/>
      <c r="N36" s="1758"/>
      <c r="O36" s="11"/>
    </row>
    <row r="37" spans="1:20" ht="15" customHeight="1" x14ac:dyDescent="0.25">
      <c r="A37" s="1348"/>
      <c r="B37" s="46" t="s">
        <v>125</v>
      </c>
      <c r="C37" s="1939" t="s">
        <v>70</v>
      </c>
      <c r="D37" s="184">
        <v>389</v>
      </c>
      <c r="E37" s="184" t="s">
        <v>99</v>
      </c>
      <c r="F37" s="184"/>
      <c r="G37" s="1756">
        <f>VLOOKUP($B37,'RATE BASE DATA'!$C:$J,8,FALSE)</f>
        <v>648120.56946646411</v>
      </c>
      <c r="H37" s="1738">
        <f t="shared" ref="H37:H46" si="0">VLOOKUP($E37,Ratio,2,FALSE)*$G37</f>
        <v>285300.17539396143</v>
      </c>
      <c r="I37" s="1738">
        <f t="shared" ref="I37:I46" si="1">VLOOKUP($E37,Ratio,3,FALSE)*$G37</f>
        <v>0</v>
      </c>
      <c r="J37" s="1739">
        <f t="shared" ref="J37:J46" si="2">VLOOKUP($E37,Ratio,4,FALSE)*$G37</f>
        <v>362820.39407250256</v>
      </c>
      <c r="K37" s="24"/>
      <c r="L37" s="1757"/>
      <c r="M37" s="1758"/>
      <c r="N37" s="1758"/>
      <c r="O37" s="11"/>
    </row>
    <row r="38" spans="1:20" ht="15" customHeight="1" x14ac:dyDescent="0.25">
      <c r="A38" s="1348"/>
      <c r="B38" s="46" t="s">
        <v>126</v>
      </c>
      <c r="C38" s="1939" t="s">
        <v>70</v>
      </c>
      <c r="D38" s="184">
        <v>390</v>
      </c>
      <c r="E38" s="184" t="s">
        <v>99</v>
      </c>
      <c r="F38" s="184"/>
      <c r="G38" s="1756">
        <f>VLOOKUP($B38,'RATE BASE DATA'!$C:$J,8,FALSE)</f>
        <v>21969214.253313571</v>
      </c>
      <c r="H38" s="1738">
        <f t="shared" si="0"/>
        <v>9670763.3965352755</v>
      </c>
      <c r="I38" s="1738">
        <f t="shared" si="1"/>
        <v>0</v>
      </c>
      <c r="J38" s="1739">
        <f t="shared" si="2"/>
        <v>12298450.856778292</v>
      </c>
      <c r="K38" s="24"/>
      <c r="L38" s="1757"/>
      <c r="M38" s="1758"/>
      <c r="N38" s="1758"/>
      <c r="O38" s="11"/>
    </row>
    <row r="39" spans="1:20" ht="15" customHeight="1" x14ac:dyDescent="0.25">
      <c r="A39" s="1348"/>
      <c r="B39" s="46" t="s">
        <v>127</v>
      </c>
      <c r="C39" s="1939" t="s">
        <v>70</v>
      </c>
      <c r="D39" s="184">
        <v>391</v>
      </c>
      <c r="E39" s="184" t="s">
        <v>95</v>
      </c>
      <c r="F39" s="184"/>
      <c r="G39" s="1756">
        <f>VLOOKUP($B39,'RATE BASE DATA'!$C:$J,8,FALSE)</f>
        <v>5307982.4758573845</v>
      </c>
      <c r="H39" s="1738">
        <f t="shared" si="0"/>
        <v>2212650.5516901123</v>
      </c>
      <c r="I39" s="1738">
        <f t="shared" si="1"/>
        <v>0</v>
      </c>
      <c r="J39" s="1739">
        <f t="shared" si="2"/>
        <v>3095331.9241672722</v>
      </c>
      <c r="K39" s="24"/>
      <c r="L39" s="1757"/>
      <c r="M39" s="1758"/>
      <c r="N39" s="1758"/>
      <c r="O39" s="11"/>
    </row>
    <row r="40" spans="1:20" ht="15" customHeight="1" x14ac:dyDescent="0.25">
      <c r="A40" s="1348"/>
      <c r="B40" s="46" t="s">
        <v>128</v>
      </c>
      <c r="C40" s="1939" t="s">
        <v>70</v>
      </c>
      <c r="D40" s="184">
        <v>392</v>
      </c>
      <c r="E40" s="184" t="s">
        <v>109</v>
      </c>
      <c r="F40" s="184"/>
      <c r="G40" s="1756">
        <f>VLOOKUP($B40,'RATE BASE DATA'!$C:$J,8,FALSE)</f>
        <v>12433728.71525819</v>
      </c>
      <c r="H40" s="1738">
        <f t="shared" si="0"/>
        <v>0</v>
      </c>
      <c r="I40" s="1738">
        <f t="shared" si="1"/>
        <v>0</v>
      </c>
      <c r="J40" s="1739">
        <f t="shared" si="2"/>
        <v>12433728.71525819</v>
      </c>
      <c r="K40" s="24"/>
      <c r="L40" s="1757"/>
      <c r="M40" s="1758"/>
      <c r="N40" s="1758"/>
      <c r="O40" s="11"/>
    </row>
    <row r="41" spans="1:20" ht="15" customHeight="1" x14ac:dyDescent="0.25">
      <c r="A41" s="1348"/>
      <c r="B41" s="46" t="s">
        <v>129</v>
      </c>
      <c r="C41" s="1939" t="s">
        <v>70</v>
      </c>
      <c r="D41" s="184">
        <v>393</v>
      </c>
      <c r="E41" s="184" t="s">
        <v>99</v>
      </c>
      <c r="F41" s="184"/>
      <c r="G41" s="1756">
        <f>VLOOKUP($B41,'RATE BASE DATA'!$C:$J,8,FALSE)</f>
        <v>1451853.3860132827</v>
      </c>
      <c r="H41" s="1738">
        <f t="shared" si="0"/>
        <v>639100.26188011479</v>
      </c>
      <c r="I41" s="1738">
        <f t="shared" si="1"/>
        <v>0</v>
      </c>
      <c r="J41" s="1739">
        <f t="shared" si="2"/>
        <v>812753.12413316767</v>
      </c>
      <c r="K41" s="24"/>
      <c r="L41" s="1757"/>
      <c r="M41" s="1758"/>
      <c r="N41" s="1758"/>
      <c r="O41" s="11"/>
    </row>
    <row r="42" spans="1:20" ht="15" customHeight="1" x14ac:dyDescent="0.25">
      <c r="A42" s="1348"/>
      <c r="B42" s="46" t="s">
        <v>130</v>
      </c>
      <c r="C42" s="1939" t="s">
        <v>70</v>
      </c>
      <c r="D42" s="184">
        <v>394</v>
      </c>
      <c r="E42" s="184" t="s">
        <v>99</v>
      </c>
      <c r="F42" s="184"/>
      <c r="G42" s="1756">
        <f>VLOOKUP($B42,'RATE BASE DATA'!$C:$J,8,FALSE)</f>
        <v>4079243.040752688</v>
      </c>
      <c r="H42" s="1738">
        <f t="shared" si="0"/>
        <v>1795667.0561457281</v>
      </c>
      <c r="I42" s="1738">
        <f t="shared" si="1"/>
        <v>0</v>
      </c>
      <c r="J42" s="1739">
        <f t="shared" si="2"/>
        <v>2283575.9846069594</v>
      </c>
      <c r="K42" s="24"/>
      <c r="L42" s="1757"/>
      <c r="M42" s="1758"/>
      <c r="N42" s="1758"/>
      <c r="O42" s="11"/>
    </row>
    <row r="43" spans="1:20" ht="15" customHeight="1" x14ac:dyDescent="0.25">
      <c r="A43" s="1348"/>
      <c r="B43" s="46" t="s">
        <v>131</v>
      </c>
      <c r="C43" s="1939" t="s">
        <v>70</v>
      </c>
      <c r="D43" s="184">
        <v>395</v>
      </c>
      <c r="E43" s="184" t="s">
        <v>99</v>
      </c>
      <c r="F43" s="184"/>
      <c r="G43" s="1756">
        <f>VLOOKUP($B43,'RATE BASE DATA'!$C:$J,8,FALSE)</f>
        <v>2532263.1462808298</v>
      </c>
      <c r="H43" s="1738">
        <f t="shared" si="0"/>
        <v>1114692.4720693773</v>
      </c>
      <c r="I43" s="1738">
        <f t="shared" si="1"/>
        <v>0</v>
      </c>
      <c r="J43" s="1739">
        <f t="shared" si="2"/>
        <v>1417570.6742114522</v>
      </c>
      <c r="K43" s="24"/>
      <c r="L43" s="1757"/>
      <c r="M43" s="1758"/>
      <c r="N43" s="1758"/>
      <c r="O43" s="11"/>
    </row>
    <row r="44" spans="1:20" ht="15" customHeight="1" x14ac:dyDescent="0.25">
      <c r="A44" s="1348"/>
      <c r="B44" s="46" t="s">
        <v>132</v>
      </c>
      <c r="C44" s="1939" t="s">
        <v>70</v>
      </c>
      <c r="D44" s="184">
        <v>396</v>
      </c>
      <c r="E44" s="184" t="s">
        <v>109</v>
      </c>
      <c r="F44" s="184"/>
      <c r="G44" s="1756">
        <f>VLOOKUP($B44,'RATE BASE DATA'!$C:$J,8,FALSE)</f>
        <v>19392438.615685131</v>
      </c>
      <c r="H44" s="1738">
        <f t="shared" si="0"/>
        <v>0</v>
      </c>
      <c r="I44" s="1738">
        <f t="shared" si="1"/>
        <v>0</v>
      </c>
      <c r="J44" s="1739">
        <f t="shared" si="2"/>
        <v>19392438.615685131</v>
      </c>
      <c r="K44" s="24"/>
      <c r="L44" s="1757"/>
      <c r="M44" s="1758"/>
      <c r="N44" s="1758"/>
      <c r="O44" s="11"/>
    </row>
    <row r="45" spans="1:20" ht="15" customHeight="1" x14ac:dyDescent="0.25">
      <c r="A45" s="1348"/>
      <c r="B45" s="46" t="s">
        <v>133</v>
      </c>
      <c r="C45" s="1939" t="s">
        <v>70</v>
      </c>
      <c r="D45" s="184">
        <v>397</v>
      </c>
      <c r="E45" s="184" t="s">
        <v>99</v>
      </c>
      <c r="F45" s="184"/>
      <c r="G45" s="1756">
        <f>VLOOKUP($B45,'RATE BASE DATA'!$C:$J,8,FALSE)</f>
        <v>30876068.931319792</v>
      </c>
      <c r="H45" s="1738">
        <f t="shared" si="0"/>
        <v>13591526.479144379</v>
      </c>
      <c r="I45" s="1738">
        <f t="shared" si="1"/>
        <v>0</v>
      </c>
      <c r="J45" s="1739">
        <f t="shared" si="2"/>
        <v>17284542.452175409</v>
      </c>
      <c r="K45" s="24"/>
      <c r="L45" s="1757"/>
      <c r="M45" s="1758"/>
      <c r="N45" s="1758"/>
      <c r="O45" s="11"/>
    </row>
    <row r="46" spans="1:20" ht="15" customHeight="1" x14ac:dyDescent="0.25">
      <c r="A46" s="1348"/>
      <c r="B46" s="46" t="s">
        <v>134</v>
      </c>
      <c r="C46" s="1939" t="s">
        <v>70</v>
      </c>
      <c r="D46" s="184">
        <v>398</v>
      </c>
      <c r="E46" s="184" t="s">
        <v>99</v>
      </c>
      <c r="F46" s="184"/>
      <c r="G46" s="1756">
        <f>VLOOKUP($B46,'RATE BASE DATA'!$C:$J,8,FALSE)</f>
        <v>369345.57198508125</v>
      </c>
      <c r="H46" s="1738">
        <f t="shared" si="0"/>
        <v>162584.49651593584</v>
      </c>
      <c r="I46" s="1738">
        <f t="shared" si="1"/>
        <v>0</v>
      </c>
      <c r="J46" s="1739">
        <f t="shared" si="2"/>
        <v>206761.07546914535</v>
      </c>
      <c r="K46" s="24"/>
      <c r="L46" s="1757"/>
      <c r="M46" s="1758"/>
      <c r="N46" s="1758"/>
      <c r="O46" s="11"/>
    </row>
    <row r="47" spans="1:20" ht="15" customHeight="1" x14ac:dyDescent="0.25">
      <c r="A47" s="1348"/>
      <c r="B47" s="46" t="s">
        <v>256</v>
      </c>
      <c r="C47" s="1939" t="s">
        <v>70</v>
      </c>
      <c r="D47" s="184">
        <v>399</v>
      </c>
      <c r="E47" s="184" t="s">
        <v>90</v>
      </c>
      <c r="F47" s="184" t="s">
        <v>99</v>
      </c>
      <c r="G47" s="1756">
        <f>VLOOKUP($B47,'RATE BASE DATA'!$C:$J,8,FALSE)</f>
        <v>107573.65433498619</v>
      </c>
      <c r="H47" s="1738">
        <f>IF($E47="DIRECT",$L47,VLOOKUP($E47,Ratio,2,FALSE)*$G47)</f>
        <v>107573.65433498619</v>
      </c>
      <c r="I47" s="1738">
        <f>IF($E47="DIRECT",$M47,VLOOKUP($E47,Ratio,3,FALSE)*$G47)</f>
        <v>0</v>
      </c>
      <c r="J47" s="1739">
        <f>IF($E47="DIRECT",$N47,VLOOKUP($E47,Ratio,4,FALSE)*$G47)</f>
        <v>0</v>
      </c>
      <c r="K47" s="24"/>
      <c r="L47" s="1756">
        <f>VLOOKUP($B47,'RATE BASE DATA'!$C:$J,8,FALSE)</f>
        <v>107573.65433498619</v>
      </c>
      <c r="M47" s="1756">
        <v>0</v>
      </c>
      <c r="N47" s="1756">
        <v>0</v>
      </c>
      <c r="O47" s="11"/>
    </row>
    <row r="48" spans="1:20" ht="15" customHeight="1" x14ac:dyDescent="0.25">
      <c r="A48" s="1348"/>
      <c r="B48" s="46" t="s">
        <v>442</v>
      </c>
      <c r="C48" s="1939" t="s">
        <v>70</v>
      </c>
      <c r="D48" s="184">
        <v>399.1</v>
      </c>
      <c r="E48" s="184" t="s">
        <v>99</v>
      </c>
      <c r="F48" s="184"/>
      <c r="G48" s="1756">
        <f>VLOOKUP($B48,'RATE BASE DATA'!$C:$J,8,FALSE)</f>
        <v>2434.8480428612215</v>
      </c>
      <c r="H48" s="1738">
        <f>VLOOKUP($E48,Ratio,2,FALSE)*$G48</f>
        <v>1071.8107191965837</v>
      </c>
      <c r="I48" s="1738">
        <f>VLOOKUP($E48,Ratio,3,FALSE)*$G48</f>
        <v>0</v>
      </c>
      <c r="J48" s="1739">
        <f>VLOOKUP($E48,Ratio,4,FALSE)*$G48</f>
        <v>1363.0373236646376</v>
      </c>
      <c r="K48" s="24"/>
      <c r="L48" s="1762"/>
      <c r="M48" s="1762"/>
      <c r="N48" s="1762"/>
      <c r="O48" s="11"/>
    </row>
    <row r="49" spans="1:15" ht="8.1" customHeight="1" x14ac:dyDescent="0.25">
      <c r="A49" s="1353"/>
      <c r="B49" s="31"/>
      <c r="C49" s="34"/>
      <c r="D49" s="34"/>
      <c r="E49" s="34"/>
      <c r="F49" s="34"/>
      <c r="G49" s="379"/>
      <c r="H49" s="337"/>
      <c r="I49" s="337"/>
      <c r="J49" s="1354"/>
      <c r="K49" s="24"/>
      <c r="L49" s="1757"/>
      <c r="M49" s="1758"/>
      <c r="N49" s="1758"/>
      <c r="O49" s="11"/>
    </row>
    <row r="50" spans="1:15" ht="15" customHeight="1" thickBot="1" x14ac:dyDescent="0.3">
      <c r="A50" s="1355" t="s">
        <v>135</v>
      </c>
      <c r="B50" s="173"/>
      <c r="C50" s="1850"/>
      <c r="D50" s="1851"/>
      <c r="E50" s="1851"/>
      <c r="F50" s="1852"/>
      <c r="G50" s="1785">
        <f>SUM(G37:G49)</f>
        <v>99170267.208310261</v>
      </c>
      <c r="H50" s="1745">
        <f>SUM(H37:H49)</f>
        <v>29580930.354429066</v>
      </c>
      <c r="I50" s="1745">
        <f>SUM(I37:I49)</f>
        <v>0</v>
      </c>
      <c r="J50" s="1746">
        <f>SUM(J37:J49)</f>
        <v>69589336.853881195</v>
      </c>
      <c r="K50" s="24"/>
      <c r="L50" s="1757"/>
      <c r="M50" s="1758"/>
      <c r="N50" s="1758"/>
      <c r="O50" s="11"/>
    </row>
    <row r="51" spans="1:15" ht="8.1" customHeight="1" thickTop="1" x14ac:dyDescent="0.25">
      <c r="A51" s="1346"/>
      <c r="B51" s="32"/>
      <c r="C51" s="34"/>
      <c r="D51" s="34"/>
      <c r="E51" s="34"/>
      <c r="F51" s="34"/>
      <c r="G51" s="1784"/>
      <c r="H51" s="67"/>
      <c r="I51" s="67"/>
      <c r="J51" s="1352"/>
      <c r="K51" s="24"/>
      <c r="L51" s="1757"/>
      <c r="M51" s="1758"/>
      <c r="N51" s="1758"/>
      <c r="O51" s="11"/>
    </row>
    <row r="52" spans="1:15" ht="15" customHeight="1" x14ac:dyDescent="0.25">
      <c r="A52" s="1350" t="s">
        <v>136</v>
      </c>
      <c r="B52" s="32"/>
      <c r="C52" s="1853"/>
      <c r="D52" s="1847"/>
      <c r="E52" s="1847"/>
      <c r="F52" s="1848"/>
      <c r="G52" s="1781">
        <f>G19+G26+G30+G34+G50</f>
        <v>1810161574.0340917</v>
      </c>
      <c r="H52" s="495">
        <f>H19+H26+H30+H34+H50</f>
        <v>810418471.25591087</v>
      </c>
      <c r="I52" s="495">
        <f>I19+I26+I30+I34+I50</f>
        <v>0</v>
      </c>
      <c r="J52" s="1365">
        <f>J19+J26+J30+J34+J50</f>
        <v>999743102.77818096</v>
      </c>
      <c r="K52" s="24"/>
      <c r="L52" s="1763"/>
      <c r="M52" s="1758"/>
      <c r="N52" s="1758"/>
      <c r="O52" s="11"/>
    </row>
    <row r="53" spans="1:15" ht="15" customHeight="1" x14ac:dyDescent="0.25">
      <c r="A53" s="1356" t="s">
        <v>440</v>
      </c>
      <c r="B53" s="32"/>
      <c r="C53" s="34"/>
      <c r="D53" s="34"/>
      <c r="E53" s="46"/>
      <c r="F53" s="46"/>
      <c r="G53" s="1784"/>
      <c r="H53" s="67"/>
      <c r="I53" s="67"/>
      <c r="J53" s="1352"/>
      <c r="K53" s="24"/>
      <c r="L53" s="1757"/>
      <c r="M53" s="1758"/>
      <c r="N53" s="1758"/>
      <c r="O53" s="11"/>
    </row>
    <row r="54" spans="1:15" ht="15" customHeight="1" x14ac:dyDescent="0.25">
      <c r="A54" s="1357"/>
      <c r="B54" s="59"/>
      <c r="C54" s="34"/>
      <c r="D54" s="34"/>
      <c r="E54" s="34"/>
      <c r="F54" s="34"/>
      <c r="G54" s="1784"/>
      <c r="H54" s="67"/>
      <c r="I54" s="67"/>
      <c r="J54" s="1352"/>
      <c r="K54" s="24"/>
      <c r="L54" s="1757"/>
      <c r="M54" s="1758"/>
      <c r="N54" s="1758"/>
      <c r="O54" s="11"/>
    </row>
    <row r="55" spans="1:15" ht="15" customHeight="1" x14ac:dyDescent="0.25">
      <c r="A55" s="1341" t="s">
        <v>474</v>
      </c>
      <c r="B55" s="59"/>
      <c r="C55" s="34"/>
      <c r="D55" s="34"/>
      <c r="E55" s="34"/>
      <c r="F55" s="34"/>
      <c r="G55" s="377"/>
      <c r="H55" s="142"/>
      <c r="I55" s="142"/>
      <c r="J55" s="1347"/>
      <c r="K55" s="24"/>
      <c r="L55" s="1757"/>
      <c r="M55" s="1758"/>
      <c r="N55" s="1758"/>
      <c r="O55" s="11"/>
    </row>
    <row r="56" spans="1:15" ht="15" customHeight="1" x14ac:dyDescent="0.25">
      <c r="A56" s="1341" t="s">
        <v>210</v>
      </c>
      <c r="B56" s="59"/>
      <c r="C56" s="34"/>
      <c r="D56" s="34"/>
      <c r="E56" s="34"/>
      <c r="F56" s="34"/>
      <c r="G56" s="377"/>
      <c r="H56" s="142"/>
      <c r="I56" s="142"/>
      <c r="J56" s="1347"/>
      <c r="K56" s="24"/>
      <c r="L56" s="1757"/>
      <c r="M56" s="1758"/>
      <c r="N56" s="1758"/>
      <c r="O56" s="11"/>
    </row>
    <row r="57" spans="1:15" ht="15" customHeight="1" x14ac:dyDescent="0.25">
      <c r="A57" s="1348"/>
      <c r="B57" s="49" t="s">
        <v>88</v>
      </c>
      <c r="C57" s="184">
        <v>219</v>
      </c>
      <c r="D57" s="184">
        <v>108</v>
      </c>
      <c r="E57" s="184" t="s">
        <v>394</v>
      </c>
      <c r="F57" s="184"/>
      <c r="G57" s="1756">
        <f>VLOOKUP($B57,'RATE BASE DATA'!$C:$J,8,FALSE)</f>
        <v>257373719.03043094</v>
      </c>
      <c r="H57" s="1738">
        <f t="shared" ref="H57:H64" si="3">VLOOKUP($E57,Ratio,2,FALSE)*$G57</f>
        <v>257373719.03043094</v>
      </c>
      <c r="I57" s="1738">
        <f t="shared" ref="I57:I64" si="4">VLOOKUP($E57,Ratio,3,FALSE)*$G57</f>
        <v>0</v>
      </c>
      <c r="J57" s="1739">
        <f t="shared" ref="J57:J64" si="5">VLOOKUP($E57,Ratio,4,FALSE)*$G57</f>
        <v>0</v>
      </c>
      <c r="K57" s="24"/>
      <c r="L57" s="1757"/>
      <c r="M57" s="1758"/>
      <c r="N57" s="1758"/>
      <c r="O57" s="11"/>
    </row>
    <row r="58" spans="1:15" ht="15" customHeight="1" x14ac:dyDescent="0.25">
      <c r="A58" s="1348"/>
      <c r="B58" s="49" t="s">
        <v>89</v>
      </c>
      <c r="C58" s="184">
        <v>219</v>
      </c>
      <c r="D58" s="184">
        <v>108</v>
      </c>
      <c r="E58" s="184" t="s">
        <v>394</v>
      </c>
      <c r="F58" s="184"/>
      <c r="G58" s="1756">
        <f>VLOOKUP($B58,'RATE BASE DATA'!$C:$J,8,FALSE)</f>
        <v>0</v>
      </c>
      <c r="H58" s="1738">
        <f t="shared" si="3"/>
        <v>0</v>
      </c>
      <c r="I58" s="1738">
        <f t="shared" si="4"/>
        <v>0</v>
      </c>
      <c r="J58" s="1739">
        <f t="shared" si="5"/>
        <v>0</v>
      </c>
      <c r="K58" s="24"/>
      <c r="L58" s="1757"/>
      <c r="M58" s="1758"/>
      <c r="N58" s="1758"/>
      <c r="O58" s="11"/>
    </row>
    <row r="59" spans="1:15" ht="15" customHeight="1" x14ac:dyDescent="0.25">
      <c r="A59" s="1348"/>
      <c r="B59" s="49" t="s">
        <v>326</v>
      </c>
      <c r="C59" s="184">
        <v>219</v>
      </c>
      <c r="D59" s="184">
        <v>108</v>
      </c>
      <c r="E59" s="184" t="s">
        <v>394</v>
      </c>
      <c r="F59" s="184"/>
      <c r="G59" s="1756">
        <f>VLOOKUP($B59,'RATE BASE DATA'!$C:$J,8,FALSE)</f>
        <v>25270436.121873915</v>
      </c>
      <c r="H59" s="1738">
        <f t="shared" si="3"/>
        <v>25270436.121873915</v>
      </c>
      <c r="I59" s="1738">
        <f t="shared" si="4"/>
        <v>0</v>
      </c>
      <c r="J59" s="1739">
        <f t="shared" si="5"/>
        <v>0</v>
      </c>
      <c r="K59" s="24"/>
      <c r="L59" s="1757"/>
      <c r="M59" s="1758"/>
      <c r="N59" s="1758"/>
      <c r="O59" s="11"/>
    </row>
    <row r="60" spans="1:15" ht="15" customHeight="1" x14ac:dyDescent="0.25">
      <c r="A60" s="1348"/>
      <c r="B60" s="49" t="s">
        <v>137</v>
      </c>
      <c r="C60" s="184">
        <v>219</v>
      </c>
      <c r="D60" s="184">
        <v>108</v>
      </c>
      <c r="E60" s="184" t="s">
        <v>394</v>
      </c>
      <c r="F60" s="184"/>
      <c r="G60" s="1756">
        <f>VLOOKUP($B60,'RATE BASE DATA'!$C:$J,8,FALSE)</f>
        <v>41341827.38328483</v>
      </c>
      <c r="H60" s="1738">
        <f t="shared" si="3"/>
        <v>41341827.38328483</v>
      </c>
      <c r="I60" s="1738">
        <f t="shared" si="4"/>
        <v>0</v>
      </c>
      <c r="J60" s="1739">
        <f t="shared" si="5"/>
        <v>0</v>
      </c>
      <c r="K60" s="24"/>
      <c r="L60" s="1757"/>
      <c r="M60" s="1758"/>
      <c r="N60" s="1758"/>
      <c r="O60" s="11"/>
    </row>
    <row r="61" spans="1:15" ht="15" customHeight="1" x14ac:dyDescent="0.25">
      <c r="A61" s="1348"/>
      <c r="B61" s="49" t="s">
        <v>143</v>
      </c>
      <c r="C61" s="184">
        <v>219</v>
      </c>
      <c r="D61" s="184">
        <v>108</v>
      </c>
      <c r="E61" s="184" t="s">
        <v>393</v>
      </c>
      <c r="F61" s="184"/>
      <c r="G61" s="1756">
        <f>VLOOKUP($B61,'RATE BASE DATA'!$C:$J,8,FALSE)</f>
        <v>122283567.1391845</v>
      </c>
      <c r="H61" s="1738">
        <f t="shared" si="3"/>
        <v>0</v>
      </c>
      <c r="I61" s="1738">
        <f t="shared" si="4"/>
        <v>0</v>
      </c>
      <c r="J61" s="1739">
        <f t="shared" si="5"/>
        <v>122283567.1391845</v>
      </c>
      <c r="K61" s="24"/>
      <c r="L61" s="1757"/>
      <c r="M61" s="1758"/>
      <c r="N61" s="1758"/>
      <c r="O61" s="11"/>
    </row>
    <row r="62" spans="1:15" ht="15" customHeight="1" x14ac:dyDescent="0.25">
      <c r="A62" s="1348"/>
      <c r="B62" s="49" t="s">
        <v>470</v>
      </c>
      <c r="C62" s="184">
        <v>219</v>
      </c>
      <c r="D62" s="184">
        <v>108</v>
      </c>
      <c r="E62" s="184" t="s">
        <v>392</v>
      </c>
      <c r="F62" s="184"/>
      <c r="G62" s="1756">
        <f>VLOOKUP($B62,'RATE BASE DATA'!$C:$J,8,FALSE)</f>
        <v>164513480.57229903</v>
      </c>
      <c r="H62" s="1738">
        <f t="shared" si="3"/>
        <v>0</v>
      </c>
      <c r="I62" s="1738">
        <f t="shared" si="4"/>
        <v>0</v>
      </c>
      <c r="J62" s="1739">
        <f t="shared" si="5"/>
        <v>164513480.57229903</v>
      </c>
      <c r="K62" s="24"/>
      <c r="L62" s="1757"/>
      <c r="M62" s="1758"/>
      <c r="N62" s="1758"/>
      <c r="O62" s="11"/>
    </row>
    <row r="63" spans="1:15" ht="15" customHeight="1" x14ac:dyDescent="0.25">
      <c r="A63" s="1348"/>
      <c r="B63" s="49" t="s">
        <v>92</v>
      </c>
      <c r="C63" s="184">
        <v>219</v>
      </c>
      <c r="D63" s="184">
        <v>108</v>
      </c>
      <c r="E63" s="184" t="s">
        <v>91</v>
      </c>
      <c r="F63" s="184"/>
      <c r="G63" s="1756">
        <f>VLOOKUP($B63,'RATE BASE DATA'!$C:$J,8,FALSE)</f>
        <v>37473867.089427732</v>
      </c>
      <c r="H63" s="1738">
        <f t="shared" si="3"/>
        <v>12013684.430484457</v>
      </c>
      <c r="I63" s="1738">
        <f t="shared" si="4"/>
        <v>0</v>
      </c>
      <c r="J63" s="1739">
        <f t="shared" si="5"/>
        <v>25460182.658943277</v>
      </c>
      <c r="K63" s="24"/>
      <c r="L63" s="1757"/>
      <c r="M63" s="1758"/>
      <c r="N63" s="1758"/>
      <c r="O63" s="11"/>
    </row>
    <row r="64" spans="1:15" ht="15" customHeight="1" x14ac:dyDescent="0.25">
      <c r="A64" s="1348"/>
      <c r="B64" s="49" t="s">
        <v>370</v>
      </c>
      <c r="C64" s="184">
        <v>219</v>
      </c>
      <c r="D64" s="184">
        <v>111</v>
      </c>
      <c r="E64" s="184" t="s">
        <v>392</v>
      </c>
      <c r="F64" s="286" t="s">
        <v>97</v>
      </c>
      <c r="G64" s="1756">
        <f>VLOOKUP($B64,'RATE BASE DATA'!$C:$J,8,FALSE)</f>
        <v>0</v>
      </c>
      <c r="H64" s="1738">
        <f t="shared" si="3"/>
        <v>0</v>
      </c>
      <c r="I64" s="1738">
        <f t="shared" si="4"/>
        <v>0</v>
      </c>
      <c r="J64" s="1739">
        <f t="shared" si="5"/>
        <v>0</v>
      </c>
      <c r="K64" s="24"/>
      <c r="L64" s="1757"/>
      <c r="M64" s="1758"/>
      <c r="N64" s="1758"/>
      <c r="O64" s="11"/>
    </row>
    <row r="65" spans="1:15" ht="15" customHeight="1" x14ac:dyDescent="0.25">
      <c r="A65" s="1348"/>
      <c r="B65" s="49" t="s">
        <v>371</v>
      </c>
      <c r="C65" s="184">
        <v>219</v>
      </c>
      <c r="D65" s="184">
        <v>111</v>
      </c>
      <c r="E65" s="184" t="s">
        <v>90</v>
      </c>
      <c r="F65" s="286" t="s">
        <v>99</v>
      </c>
      <c r="G65" s="1756">
        <f>VLOOKUP($B65,'RATE BASE DATA'!$C:$J,8,FALSE)</f>
        <v>5990631.8493413329</v>
      </c>
      <c r="H65" s="1738">
        <f>IF($E65="DIRECT",$L65,VLOOKUP($E65,Ratio,2,FALSE)*$G65)</f>
        <v>5990631.8493413329</v>
      </c>
      <c r="I65" s="1738">
        <f>IF($E65="DIRECT",$M65,VLOOKUP($E65,Ratio,3,FALSE)*$G65)</f>
        <v>0</v>
      </c>
      <c r="J65" s="1739">
        <f>IF($E65="DIRECT",$N65,VLOOKUP($E65,Ratio,4,FALSE)*$G65)</f>
        <v>0</v>
      </c>
      <c r="K65" s="24"/>
      <c r="L65" s="1756">
        <f>$G$65*H17/$G$17</f>
        <v>5990631.8493413329</v>
      </c>
      <c r="M65" s="1756">
        <v>0</v>
      </c>
      <c r="N65" s="1756">
        <v>0</v>
      </c>
      <c r="O65" s="11"/>
    </row>
    <row r="66" spans="1:15" ht="15" customHeight="1" x14ac:dyDescent="0.25">
      <c r="A66" s="1348"/>
      <c r="B66" s="49" t="s">
        <v>399</v>
      </c>
      <c r="C66" s="184">
        <v>219</v>
      </c>
      <c r="D66" s="184">
        <v>111</v>
      </c>
      <c r="E66" s="184" t="s">
        <v>90</v>
      </c>
      <c r="F66" s="286" t="s">
        <v>392</v>
      </c>
      <c r="G66" s="1756">
        <f>VLOOKUP($B66,'RATE BASE DATA'!$C:$J,8,FALSE)</f>
        <v>34092414.276276283</v>
      </c>
      <c r="H66" s="1738">
        <f>IF($E66="DIRECT",$L66,VLOOKUP($E66,Ratio,2,FALSE)*$G66)</f>
        <v>11317960.650672777</v>
      </c>
      <c r="I66" s="1738">
        <f>IF($E66="DIRECT",$M66,VLOOKUP($E66,Ratio,3,FALSE)*$G66)</f>
        <v>0</v>
      </c>
      <c r="J66" s="1739">
        <f>IF($E66="DIRECT",$N66,VLOOKUP($E66,Ratio,4,FALSE)*$G66)</f>
        <v>22774453.625603501</v>
      </c>
      <c r="K66" s="24"/>
      <c r="L66" s="1756">
        <f>$G$66*H18/$G$18</f>
        <v>11317960.650672777</v>
      </c>
      <c r="M66" s="1756">
        <f>$G$66*I18/$G$18</f>
        <v>0</v>
      </c>
      <c r="N66" s="1756">
        <f>$G$66*J18/$G$18</f>
        <v>22774453.625603501</v>
      </c>
      <c r="O66" s="11"/>
    </row>
    <row r="67" spans="1:15" ht="15" customHeight="1" x14ac:dyDescent="0.25">
      <c r="A67" s="1348"/>
      <c r="B67" s="49" t="s">
        <v>253</v>
      </c>
      <c r="C67" s="184">
        <v>219</v>
      </c>
      <c r="D67" s="184">
        <v>108</v>
      </c>
      <c r="E67" s="184" t="s">
        <v>394</v>
      </c>
      <c r="F67" s="184"/>
      <c r="G67" s="1756">
        <f>VLOOKUP($B67,'RATE BASE DATA'!$C:$J,8,FALSE)</f>
        <v>0</v>
      </c>
      <c r="H67" s="1738">
        <f>VLOOKUP($E67,Ratio,2,FALSE)*$G67</f>
        <v>0</v>
      </c>
      <c r="I67" s="1738">
        <f>VLOOKUP($E67,Ratio,3,FALSE)*$G67</f>
        <v>0</v>
      </c>
      <c r="J67" s="1739">
        <f>VLOOKUP($E67,Ratio,4,FALSE)*$G67</f>
        <v>0</v>
      </c>
      <c r="K67" s="24"/>
      <c r="L67" s="1757"/>
      <c r="M67" s="1758"/>
      <c r="N67" s="1758"/>
      <c r="O67" s="11"/>
    </row>
    <row r="68" spans="1:15" ht="15" customHeight="1" x14ac:dyDescent="0.25">
      <c r="A68" s="1348"/>
      <c r="B68" s="49" t="s">
        <v>28</v>
      </c>
      <c r="C68" s="184">
        <v>219</v>
      </c>
      <c r="D68" s="184">
        <v>111</v>
      </c>
      <c r="E68" s="184" t="s">
        <v>392</v>
      </c>
      <c r="F68" s="184"/>
      <c r="G68" s="1756">
        <f>VLOOKUP($B68,'RATE BASE DATA'!$C:$J,8,FALSE)</f>
        <v>0</v>
      </c>
      <c r="H68" s="1738">
        <f>VLOOKUP($E68,Ratio,2,FALSE)*$G68</f>
        <v>0</v>
      </c>
      <c r="I68" s="1738">
        <f>VLOOKUP($E68,Ratio,3,FALSE)*$G68</f>
        <v>0</v>
      </c>
      <c r="J68" s="1739">
        <f>VLOOKUP($E68,Ratio,4,FALSE)*$G68</f>
        <v>0</v>
      </c>
      <c r="K68" s="24"/>
      <c r="L68" s="1757"/>
      <c r="M68" s="1758"/>
      <c r="N68" s="1758"/>
      <c r="O68" s="11"/>
    </row>
    <row r="69" spans="1:15" ht="15" customHeight="1" x14ac:dyDescent="0.25">
      <c r="A69" s="1348"/>
      <c r="B69" s="49" t="s">
        <v>29</v>
      </c>
      <c r="C69" s="184">
        <v>219</v>
      </c>
      <c r="D69" s="184">
        <v>108</v>
      </c>
      <c r="E69" s="184" t="s">
        <v>90</v>
      </c>
      <c r="F69" s="286" t="s">
        <v>99</v>
      </c>
      <c r="G69" s="1756">
        <f>VLOOKUP($B69,'RATE BASE DATA'!$C:$J,8,FALSE)</f>
        <v>0</v>
      </c>
      <c r="H69" s="1738">
        <f>IF($E69="DIRECT",$L69,VLOOKUP($E69,Ratio,2,FALSE)*$G69)</f>
        <v>0</v>
      </c>
      <c r="I69" s="1738">
        <f>IF($E69="DIRECT",$M69,VLOOKUP($E69,Ratio,3,FALSE)*$G69)</f>
        <v>0</v>
      </c>
      <c r="J69" s="1739">
        <f>IF($E69="DIRECT",$N69,VLOOKUP($E69,Ratio,4,FALSE)*$G69)</f>
        <v>0</v>
      </c>
      <c r="K69" s="24"/>
      <c r="L69" s="1756"/>
      <c r="M69" s="1756"/>
      <c r="N69" s="1756"/>
      <c r="O69" s="11"/>
    </row>
    <row r="70" spans="1:15" ht="15" customHeight="1" x14ac:dyDescent="0.25">
      <c r="A70" s="1348"/>
      <c r="B70" s="49" t="s">
        <v>162</v>
      </c>
      <c r="C70" s="184" t="s">
        <v>69</v>
      </c>
      <c r="D70" s="184">
        <v>108</v>
      </c>
      <c r="E70" s="184" t="s">
        <v>90</v>
      </c>
      <c r="F70" s="184" t="s">
        <v>392</v>
      </c>
      <c r="G70" s="1756">
        <f>VLOOKUP($B70,'RATE BASE DATA'!$C:$J,8,FALSE)</f>
        <v>0</v>
      </c>
      <c r="H70" s="1738">
        <f>IF($E70="DIRECT",$L70,VLOOKUP($E70,Ratio,2,FALSE)*$G70)</f>
        <v>0</v>
      </c>
      <c r="I70" s="1738">
        <f>IF($E70="DIRECT",$M70,VLOOKUP($E70,Ratio,3,FALSE)*$G70)</f>
        <v>0</v>
      </c>
      <c r="J70" s="1739">
        <f>IF($E70="DIRECT",$N70,VLOOKUP($E70,Ratio,4,FALSE)*$G70)</f>
        <v>0</v>
      </c>
      <c r="K70" s="24"/>
      <c r="L70" s="1756"/>
      <c r="M70" s="1756"/>
      <c r="N70" s="1756"/>
      <c r="O70" s="11"/>
    </row>
    <row r="71" spans="1:15" ht="15" customHeight="1" x14ac:dyDescent="0.25">
      <c r="A71" s="1348"/>
      <c r="B71" s="49" t="s">
        <v>400</v>
      </c>
      <c r="C71" s="184" t="s">
        <v>69</v>
      </c>
      <c r="D71" s="184">
        <v>108</v>
      </c>
      <c r="E71" s="184" t="s">
        <v>90</v>
      </c>
      <c r="F71" s="286" t="s">
        <v>99</v>
      </c>
      <c r="G71" s="1756">
        <f>VLOOKUP($B71,'RATE BASE DATA'!$C:$J,8,FALSE)</f>
        <v>0</v>
      </c>
      <c r="H71" s="1738">
        <f>IF($E71="DIRECT",$L71,VLOOKUP($E71,Ratio,2,FALSE)*$G71)</f>
        <v>0</v>
      </c>
      <c r="I71" s="1738">
        <f>IF($E71="DIRECT",$M71,VLOOKUP($E71,Ratio,3,FALSE)*$G71)</f>
        <v>0</v>
      </c>
      <c r="J71" s="1739">
        <f>IF($E71="DIRECT",$N71,VLOOKUP($E71,Ratio,4,FALSE)*$G71)</f>
        <v>0</v>
      </c>
      <c r="K71" s="24"/>
      <c r="L71" s="1756"/>
      <c r="M71" s="1756"/>
      <c r="N71" s="1756"/>
      <c r="O71" s="11"/>
    </row>
    <row r="72" spans="1:15" ht="15" customHeight="1" x14ac:dyDescent="0.25">
      <c r="A72" s="1348"/>
      <c r="B72" s="49" t="s">
        <v>401</v>
      </c>
      <c r="C72" s="184" t="s">
        <v>69</v>
      </c>
      <c r="D72" s="184">
        <v>108</v>
      </c>
      <c r="E72" s="184" t="s">
        <v>90</v>
      </c>
      <c r="F72" s="184" t="s">
        <v>392</v>
      </c>
      <c r="G72" s="1756">
        <f>VLOOKUP($B72,'RATE BASE DATA'!$C:$J,8,FALSE)</f>
        <v>930668.11331339879</v>
      </c>
      <c r="H72" s="1738">
        <f>IF($E72="DIRECT",$L72,VLOOKUP($E72,Ratio,2,FALSE)*$G72)</f>
        <v>418513.97424908791</v>
      </c>
      <c r="I72" s="1738">
        <f>IF($E72="DIRECT",$M72,VLOOKUP($E72,Ratio,3,FALSE)*$G72)</f>
        <v>0</v>
      </c>
      <c r="J72" s="1739">
        <f>IF($E72="DIRECT",$N72,VLOOKUP($E72,Ratio,4,FALSE)*$G72)</f>
        <v>512154.13906431076</v>
      </c>
      <c r="K72" s="24"/>
      <c r="L72" s="1756">
        <f>$G$72*H19/$G$19</f>
        <v>418513.97424908791</v>
      </c>
      <c r="M72" s="1756">
        <f t="shared" ref="M72:N72" si="6">$G$72*I19/$G$19</f>
        <v>0</v>
      </c>
      <c r="N72" s="1756">
        <f t="shared" si="6"/>
        <v>512154.13906431076</v>
      </c>
      <c r="O72" s="11"/>
    </row>
    <row r="73" spans="1:15" ht="15" customHeight="1" x14ac:dyDescent="0.25">
      <c r="A73" s="1348"/>
      <c r="B73" s="49" t="s">
        <v>547</v>
      </c>
      <c r="C73" s="184" t="s">
        <v>69</v>
      </c>
      <c r="D73" s="184">
        <v>115</v>
      </c>
      <c r="E73" s="184" t="s">
        <v>90</v>
      </c>
      <c r="F73" s="184" t="s">
        <v>392</v>
      </c>
      <c r="G73" s="1756">
        <f>VLOOKUP($B73,'RATE BASE DATA'!$C:$J,8,FALSE)</f>
        <v>7690133.8465556987</v>
      </c>
      <c r="H73" s="1738">
        <f>IF($E73="DIRECT",$L73,VLOOKUP($E73,Ratio,2,FALSE)*$G73)</f>
        <v>7690134</v>
      </c>
      <c r="I73" s="1738">
        <f>IF($E73="DIRECT",$M73,VLOOKUP($E73,Ratio,3,FALSE)*$G73)</f>
        <v>0</v>
      </c>
      <c r="J73" s="1739">
        <f>IF($E73="DIRECT",$N73,VLOOKUP($E73,Ratio,4,FALSE)*$G73)</f>
        <v>0</v>
      </c>
      <c r="K73" s="24"/>
      <c r="L73" s="1756">
        <f>ROUND((-'B15-Misc Rate Base'!T240*1000),0)</f>
        <v>7690134</v>
      </c>
      <c r="M73" s="1756">
        <f>-'B15-Misc Rate Base'!U240*1000</f>
        <v>0</v>
      </c>
      <c r="N73" s="1756">
        <f>-'B15-Misc Rate Base'!V240*1000</f>
        <v>0</v>
      </c>
      <c r="O73" s="11"/>
    </row>
    <row r="74" spans="1:15" ht="15" customHeight="1" x14ac:dyDescent="0.25">
      <c r="A74" s="1348"/>
      <c r="B74" s="49"/>
      <c r="C74" s="48"/>
      <c r="D74" s="48"/>
      <c r="E74" s="48"/>
      <c r="F74" s="48"/>
      <c r="G74" s="379"/>
      <c r="H74" s="337"/>
      <c r="I74" s="337"/>
      <c r="J74" s="1354"/>
      <c r="K74" s="24"/>
      <c r="L74" s="1757"/>
      <c r="M74" s="1758"/>
      <c r="N74" s="1758"/>
      <c r="O74" s="11"/>
    </row>
    <row r="75" spans="1:15" ht="15" customHeight="1" x14ac:dyDescent="0.25">
      <c r="A75" s="1341" t="s">
        <v>211</v>
      </c>
      <c r="B75" s="49"/>
      <c r="C75" s="184"/>
      <c r="D75" s="184"/>
      <c r="E75" s="184" t="s">
        <v>90</v>
      </c>
      <c r="F75" s="184"/>
      <c r="G75" s="1756">
        <v>0</v>
      </c>
      <c r="H75" s="1738">
        <f>IF($E75="DIRECT",$L75,VLOOKUP($E75,Ratio,2,FALSE)*$G75)</f>
        <v>0</v>
      </c>
      <c r="I75" s="1738">
        <f>IF($E75="DIRECT",$M75,VLOOKUP($E75,Ratio,3,FALSE)*$G75)</f>
        <v>0</v>
      </c>
      <c r="J75" s="1739">
        <f>IF($E75="DIRECT",$N75,VLOOKUP($E75,Ratio,4,FALSE)*$G75)</f>
        <v>0</v>
      </c>
      <c r="K75" s="24"/>
      <c r="L75" s="1756"/>
      <c r="M75" s="1756"/>
      <c r="N75" s="1756"/>
      <c r="O75" s="11"/>
    </row>
    <row r="76" spans="1:15" ht="15" customHeight="1" x14ac:dyDescent="0.25">
      <c r="A76" s="1358"/>
      <c r="B76" s="49"/>
      <c r="C76" s="48"/>
      <c r="D76" s="48"/>
      <c r="E76" s="48"/>
      <c r="F76" s="48"/>
      <c r="G76" s="377"/>
      <c r="H76" s="337"/>
      <c r="I76" s="337"/>
      <c r="J76" s="1354"/>
      <c r="K76" s="24"/>
      <c r="L76" s="1757"/>
      <c r="M76" s="1758"/>
      <c r="N76" s="1758"/>
      <c r="O76" s="11"/>
    </row>
    <row r="77" spans="1:15" ht="15" customHeight="1" x14ac:dyDescent="0.25">
      <c r="A77" s="1350" t="s">
        <v>223</v>
      </c>
      <c r="B77" s="33"/>
      <c r="C77" s="1853"/>
      <c r="D77" s="1847"/>
      <c r="E77" s="1847"/>
      <c r="F77" s="1848"/>
      <c r="G77" s="1781">
        <f>SUM(G57:G75)</f>
        <v>696960745.42198765</v>
      </c>
      <c r="H77" s="495">
        <f>SUM(H57:H75)</f>
        <v>361416907.44033736</v>
      </c>
      <c r="I77" s="495">
        <f>SUM(I57:I75)</f>
        <v>0</v>
      </c>
      <c r="J77" s="1365">
        <f>SUM(J57:J75)</f>
        <v>335543838.13509464</v>
      </c>
      <c r="K77" s="24"/>
      <c r="L77" s="1757"/>
      <c r="M77" s="1758"/>
      <c r="N77" s="1758"/>
      <c r="O77" s="11"/>
    </row>
    <row r="78" spans="1:15" ht="15" customHeight="1" x14ac:dyDescent="0.25">
      <c r="A78" s="1358"/>
      <c r="B78" s="60"/>
      <c r="C78" s="48"/>
      <c r="D78" s="48"/>
      <c r="E78" s="48"/>
      <c r="F78" s="48"/>
      <c r="G78" s="377"/>
      <c r="H78" s="142"/>
      <c r="I78" s="142"/>
      <c r="J78" s="1347"/>
      <c r="K78" s="24"/>
      <c r="L78" s="1757"/>
      <c r="M78" s="1758"/>
      <c r="N78" s="1758"/>
      <c r="O78" s="11"/>
    </row>
    <row r="79" spans="1:15" ht="15" customHeight="1" x14ac:dyDescent="0.25">
      <c r="A79" s="1350" t="s">
        <v>475</v>
      </c>
      <c r="B79" s="32"/>
      <c r="C79" s="1853"/>
      <c r="D79" s="1847"/>
      <c r="E79" s="1847"/>
      <c r="F79" s="1848"/>
      <c r="G79" s="1781">
        <f>G52-G77</f>
        <v>1113200828.6121039</v>
      </c>
      <c r="H79" s="495">
        <f>H52-H77</f>
        <v>449001563.81557351</v>
      </c>
      <c r="I79" s="495">
        <f>I52-I77</f>
        <v>0</v>
      </c>
      <c r="J79" s="1365">
        <f>J52-J77</f>
        <v>664199264.64308631</v>
      </c>
      <c r="K79" s="24"/>
      <c r="L79" s="1757"/>
      <c r="M79" s="1758"/>
      <c r="N79" s="1758"/>
      <c r="O79" s="11"/>
    </row>
    <row r="80" spans="1:15" ht="15" customHeight="1" x14ac:dyDescent="0.25">
      <c r="A80" s="1356" t="s">
        <v>84</v>
      </c>
      <c r="B80" s="32"/>
      <c r="C80" s="34"/>
      <c r="D80" s="34"/>
      <c r="E80" s="1854"/>
      <c r="F80" s="1854"/>
      <c r="G80" s="377"/>
      <c r="H80" s="142"/>
      <c r="I80" s="142"/>
      <c r="J80" s="1352"/>
      <c r="K80" s="24"/>
      <c r="L80" s="1757"/>
      <c r="M80" s="1758"/>
      <c r="N80" s="1758"/>
      <c r="O80" s="11"/>
    </row>
    <row r="81" spans="1:15" ht="15" customHeight="1" thickBot="1" x14ac:dyDescent="0.3">
      <c r="A81" s="1359"/>
      <c r="B81" s="173"/>
      <c r="C81" s="193"/>
      <c r="D81" s="193"/>
      <c r="E81" s="1855"/>
      <c r="F81" s="1855"/>
      <c r="G81" s="1786"/>
      <c r="H81" s="380"/>
      <c r="I81" s="380"/>
      <c r="J81" s="1360"/>
      <c r="K81" s="24"/>
      <c r="L81" s="1757"/>
      <c r="M81" s="1758"/>
      <c r="N81" s="1758"/>
      <c r="O81" s="11"/>
    </row>
    <row r="82" spans="1:15" ht="15" customHeight="1" thickTop="1" x14ac:dyDescent="0.25">
      <c r="A82" s="1361" t="s">
        <v>76</v>
      </c>
      <c r="B82" s="32"/>
      <c r="C82" s="34"/>
      <c r="D82" s="34"/>
      <c r="E82" s="1854"/>
      <c r="F82" s="1854"/>
      <c r="G82" s="377"/>
      <c r="H82" s="142"/>
      <c r="I82" s="142"/>
      <c r="J82" s="1352"/>
      <c r="K82" s="24"/>
      <c r="L82" s="1757"/>
      <c r="M82" s="1758"/>
      <c r="N82" s="1758"/>
      <c r="O82" s="11"/>
    </row>
    <row r="83" spans="1:15" ht="9.9499999999999993" customHeight="1" x14ac:dyDescent="0.25">
      <c r="A83" s="1362"/>
      <c r="B83" s="32"/>
      <c r="C83" s="34"/>
      <c r="D83" s="34"/>
      <c r="E83" s="1854"/>
      <c r="F83" s="1854"/>
      <c r="G83" s="377"/>
      <c r="H83" s="142"/>
      <c r="I83" s="142"/>
      <c r="J83" s="1352"/>
      <c r="K83" s="24"/>
      <c r="L83" s="1757"/>
      <c r="M83" s="1758"/>
      <c r="N83" s="1758"/>
      <c r="O83" s="11"/>
    </row>
    <row r="84" spans="1:15" ht="15" customHeight="1" x14ac:dyDescent="0.25">
      <c r="A84" s="1363" t="s">
        <v>144</v>
      </c>
      <c r="B84" s="77"/>
      <c r="C84" s="3623" t="s">
        <v>229</v>
      </c>
      <c r="D84" s="3624"/>
      <c r="E84" s="3624"/>
      <c r="F84" s="3625"/>
      <c r="G84" s="1787">
        <f>'Sch 1A - Cash Working Capital'!C24</f>
        <v>181575345.50577956</v>
      </c>
      <c r="H84" s="1747">
        <f>'Sch 1A - Cash Working Capital'!D24</f>
        <v>87836042.04533717</v>
      </c>
      <c r="I84" s="1748">
        <f>'Sch 1A - Cash Working Capital'!E24</f>
        <v>0</v>
      </c>
      <c r="J84" s="1749">
        <f>'Sch 1A - Cash Working Capital'!F24</f>
        <v>93738919.557447508</v>
      </c>
      <c r="K84" s="24"/>
      <c r="L84" s="1757"/>
      <c r="M84" s="1758"/>
      <c r="N84" s="1758"/>
      <c r="O84" s="11"/>
    </row>
    <row r="85" spans="1:15" ht="9.9499999999999993" customHeight="1" x14ac:dyDescent="0.25">
      <c r="A85" s="1348"/>
      <c r="B85" s="46"/>
      <c r="C85" s="48"/>
      <c r="D85" s="48"/>
      <c r="E85" s="48"/>
      <c r="F85" s="48"/>
      <c r="G85" s="378"/>
      <c r="H85" s="1750"/>
      <c r="I85" s="1750"/>
      <c r="J85" s="1751"/>
      <c r="K85" s="24"/>
      <c r="L85" s="1757"/>
      <c r="M85" s="1758"/>
      <c r="N85" s="1758"/>
      <c r="O85" s="11"/>
    </row>
    <row r="86" spans="1:15" ht="15" customHeight="1" x14ac:dyDescent="0.25">
      <c r="A86" s="1364" t="s">
        <v>274</v>
      </c>
      <c r="B86" s="79"/>
      <c r="C86" s="80"/>
      <c r="D86" s="48"/>
      <c r="E86" s="48"/>
      <c r="F86" s="48"/>
      <c r="G86" s="379"/>
      <c r="H86" s="337"/>
      <c r="I86" s="337"/>
      <c r="J86" s="1354"/>
      <c r="K86" s="25"/>
      <c r="L86" s="1757"/>
      <c r="M86" s="1758"/>
      <c r="N86" s="1758"/>
      <c r="O86" s="11"/>
    </row>
    <row r="87" spans="1:15" ht="15" customHeight="1" x14ac:dyDescent="0.25">
      <c r="A87" s="1348"/>
      <c r="B87" s="46" t="s">
        <v>433</v>
      </c>
      <c r="C87" s="184" t="s">
        <v>69</v>
      </c>
      <c r="D87" s="184">
        <v>105</v>
      </c>
      <c r="E87" s="184" t="s">
        <v>392</v>
      </c>
      <c r="F87" s="184"/>
      <c r="G87" s="1756">
        <f>VLOOKUP($B87,'RATE BASE DATA'!$C:$J,8,FALSE)</f>
        <v>114343.83378517102</v>
      </c>
      <c r="H87" s="1738">
        <f>VLOOKUP($E87,Ratio,2,FALSE)*$G87</f>
        <v>0</v>
      </c>
      <c r="I87" s="1738">
        <f>VLOOKUP($E87,Ratio,3,FALSE)*$G87</f>
        <v>0</v>
      </c>
      <c r="J87" s="1739">
        <f>VLOOKUP($E87,Ratio,4,FALSE)*$G87</f>
        <v>114343.83378517102</v>
      </c>
      <c r="K87" s="25"/>
      <c r="L87" s="1757"/>
      <c r="M87" s="1758"/>
      <c r="N87" s="1758"/>
      <c r="O87" s="11"/>
    </row>
    <row r="88" spans="1:15" ht="15" customHeight="1" x14ac:dyDescent="0.25">
      <c r="A88" s="1348"/>
      <c r="B88" s="46" t="s">
        <v>77</v>
      </c>
      <c r="C88" s="184" t="s">
        <v>69</v>
      </c>
      <c r="D88" s="184">
        <v>106</v>
      </c>
      <c r="E88" s="300" t="s">
        <v>99</v>
      </c>
      <c r="F88" s="184"/>
      <c r="G88" s="1756">
        <f>VLOOKUP($B88,'RATE BASE DATA'!$C:$J,8,FALSE)</f>
        <v>29206716.2073466</v>
      </c>
      <c r="H88" s="1738">
        <f>VLOOKUP($E88,Ratio,2,FALSE)*$G88</f>
        <v>12856683.847416144</v>
      </c>
      <c r="I88" s="1738">
        <f>VLOOKUP($E88,Ratio,3,FALSE)*$G88</f>
        <v>0</v>
      </c>
      <c r="J88" s="1739">
        <f>VLOOKUP($E88,Ratio,4,FALSE)*$G88</f>
        <v>16350032.359930454</v>
      </c>
      <c r="K88" s="25"/>
      <c r="L88" s="1757"/>
      <c r="M88" s="1758"/>
      <c r="N88" s="1758"/>
      <c r="O88" s="11"/>
    </row>
    <row r="89" spans="1:15" ht="15" customHeight="1" x14ac:dyDescent="0.25">
      <c r="A89" s="1348"/>
      <c r="B89" s="33" t="s">
        <v>476</v>
      </c>
      <c r="C89" s="184" t="s">
        <v>72</v>
      </c>
      <c r="D89" s="184" t="s">
        <v>257</v>
      </c>
      <c r="E89" s="184" t="s">
        <v>394</v>
      </c>
      <c r="F89" s="184"/>
      <c r="G89" s="1756">
        <f>VLOOKUP($B89,'RATE BASE DATA'!$C:$J,8,FALSE)</f>
        <v>0</v>
      </c>
      <c r="H89" s="1738">
        <f>VLOOKUP($E89,Ratio,2,FALSE)*$G89</f>
        <v>0</v>
      </c>
      <c r="I89" s="1738">
        <f>VLOOKUP($E89,Ratio,3,FALSE)*$G89</f>
        <v>0</v>
      </c>
      <c r="J89" s="1739">
        <f>VLOOKUP($E89,Ratio,4,FALSE)*$G89</f>
        <v>0</v>
      </c>
      <c r="K89" s="24"/>
      <c r="L89" s="1757"/>
      <c r="M89" s="1758"/>
      <c r="N89" s="1758"/>
      <c r="O89" s="11"/>
    </row>
    <row r="90" spans="1:15" ht="15" customHeight="1" x14ac:dyDescent="0.25">
      <c r="A90" s="1348"/>
      <c r="B90" s="46" t="s">
        <v>80</v>
      </c>
      <c r="C90" s="184" t="s">
        <v>69</v>
      </c>
      <c r="D90" s="184" t="s">
        <v>258</v>
      </c>
      <c r="E90" s="184" t="s">
        <v>392</v>
      </c>
      <c r="F90" s="184"/>
      <c r="G90" s="1756">
        <f>VLOOKUP($B90,'RATE BASE DATA'!$C:$J,8,FALSE)</f>
        <v>255515268.84573045</v>
      </c>
      <c r="H90" s="1738">
        <f>VLOOKUP($E90,Ratio,2,FALSE)*$G90</f>
        <v>0</v>
      </c>
      <c r="I90" s="1738">
        <f>VLOOKUP($E90,Ratio,3,FALSE)*$G90</f>
        <v>0</v>
      </c>
      <c r="J90" s="1739">
        <f>VLOOKUP($E90,Ratio,4,FALSE)*$G90</f>
        <v>255515268.84573045</v>
      </c>
      <c r="K90" s="25"/>
      <c r="L90" s="1757"/>
      <c r="M90" s="1758"/>
      <c r="N90" s="1758"/>
      <c r="O90" s="11"/>
    </row>
    <row r="91" spans="1:15" ht="15" customHeight="1" x14ac:dyDescent="0.25">
      <c r="A91" s="1348"/>
      <c r="B91" s="46" t="s">
        <v>224</v>
      </c>
      <c r="C91" s="184">
        <v>356</v>
      </c>
      <c r="D91" s="184"/>
      <c r="E91" s="184" t="s">
        <v>90</v>
      </c>
      <c r="F91" s="184"/>
      <c r="G91" s="1756">
        <f>VLOOKUP($B91,'RATE BASE DATA'!$C:$J,8,FALSE)</f>
        <v>0</v>
      </c>
      <c r="H91" s="1738">
        <f>IF($E91="DIRECT",$L91,VLOOKUP($E91,Ratio,2,FALSE)*$G91)</f>
        <v>0</v>
      </c>
      <c r="I91" s="1738">
        <f>IF($E91="DIRECT",$M91,VLOOKUP($E91,Ratio,3,FALSE)*$G91)</f>
        <v>0</v>
      </c>
      <c r="J91" s="1739">
        <f>IF($E91="DIRECT",$N91,VLOOKUP($E91,Ratio,4,FALSE)*$G91)</f>
        <v>0</v>
      </c>
      <c r="K91" s="25"/>
      <c r="L91" s="1756"/>
      <c r="M91" s="1756"/>
      <c r="N91" s="1756"/>
      <c r="O91" s="11"/>
    </row>
    <row r="92" spans="1:15" ht="15" customHeight="1" x14ac:dyDescent="0.25">
      <c r="A92" s="1348"/>
      <c r="B92" s="46" t="s">
        <v>71</v>
      </c>
      <c r="C92" s="184" t="s">
        <v>69</v>
      </c>
      <c r="D92" s="184">
        <v>114</v>
      </c>
      <c r="E92" s="184" t="s">
        <v>90</v>
      </c>
      <c r="F92" s="184" t="s">
        <v>392</v>
      </c>
      <c r="G92" s="1756">
        <f>VLOOKUP($B92,'RATE BASE DATA'!$C:$J,8,FALSE)</f>
        <v>7833785.892446965</v>
      </c>
      <c r="H92" s="1738">
        <f>IF($E92="DIRECT",$L92,VLOOKUP($E92,Ratio,2,FALSE)*$G92)</f>
        <v>7833786</v>
      </c>
      <c r="I92" s="1738">
        <f>IF($E92="DIRECT",$M92,VLOOKUP($E92,Ratio,3,FALSE)*$G92)</f>
        <v>0</v>
      </c>
      <c r="J92" s="1739">
        <f>IF($E92="DIRECT",$N92,VLOOKUP($E92,Ratio,4,FALSE)*$G92)</f>
        <v>0</v>
      </c>
      <c r="K92" s="25"/>
      <c r="L92" s="1756">
        <f>ROUND(('B15-Misc Rate Base'!T233*1000),0)</f>
        <v>7833786</v>
      </c>
      <c r="M92" s="1756">
        <f>'B15-Misc Rate Base'!U233*1000</f>
        <v>0</v>
      </c>
      <c r="N92" s="1756">
        <f>'B15-Misc Rate Base'!V233*1000</f>
        <v>0</v>
      </c>
      <c r="O92" s="11"/>
    </row>
    <row r="93" spans="1:15" ht="15" customHeight="1" x14ac:dyDescent="0.25">
      <c r="A93" s="1348"/>
      <c r="B93" s="76" t="s">
        <v>104</v>
      </c>
      <c r="C93" s="1853"/>
      <c r="D93" s="1847"/>
      <c r="E93" s="1847"/>
      <c r="F93" s="1848"/>
      <c r="G93" s="1781">
        <f>SUM(G87:G92)</f>
        <v>292670114.77930915</v>
      </c>
      <c r="H93" s="495">
        <f>SUM(H87:H92)</f>
        <v>20690469.847416144</v>
      </c>
      <c r="I93" s="495">
        <f>SUM(I87:I92)</f>
        <v>0</v>
      </c>
      <c r="J93" s="1365">
        <f>SUM(J87:J92)</f>
        <v>271979645.03944606</v>
      </c>
      <c r="K93" s="25"/>
      <c r="L93" s="1757"/>
      <c r="M93" s="1758"/>
      <c r="N93" s="1758"/>
      <c r="O93" s="11"/>
    </row>
    <row r="94" spans="1:15" ht="9.9499999999999993" customHeight="1" x14ac:dyDescent="0.25">
      <c r="A94" s="1348"/>
      <c r="B94" s="76"/>
      <c r="C94" s="74"/>
      <c r="D94" s="74"/>
      <c r="E94" s="74"/>
      <c r="F94" s="74"/>
      <c r="G94" s="928"/>
      <c r="H94" s="334"/>
      <c r="I94" s="334"/>
      <c r="J94" s="1366"/>
      <c r="K94" s="25"/>
      <c r="L94" s="1757"/>
      <c r="M94" s="1758"/>
      <c r="N94" s="1758"/>
      <c r="O94" s="11"/>
    </row>
    <row r="95" spans="1:15" ht="15" customHeight="1" x14ac:dyDescent="0.25">
      <c r="A95" s="1367" t="s">
        <v>275</v>
      </c>
      <c r="B95" s="79"/>
      <c r="C95" s="80"/>
      <c r="D95" s="48"/>
      <c r="E95" s="48"/>
      <c r="F95" s="48"/>
      <c r="G95" s="335"/>
      <c r="H95" s="1752"/>
      <c r="I95" s="1752"/>
      <c r="J95" s="1753"/>
      <c r="K95" s="25"/>
      <c r="L95" s="1757"/>
      <c r="M95" s="1758"/>
      <c r="N95" s="1758"/>
      <c r="O95" s="11"/>
    </row>
    <row r="96" spans="1:15" ht="15" customHeight="1" x14ac:dyDescent="0.25">
      <c r="A96" s="1348"/>
      <c r="B96" s="49" t="s">
        <v>444</v>
      </c>
      <c r="C96" s="184" t="s">
        <v>78</v>
      </c>
      <c r="D96" s="184">
        <v>123</v>
      </c>
      <c r="E96" s="184" t="s">
        <v>90</v>
      </c>
      <c r="F96" s="184" t="s">
        <v>392</v>
      </c>
      <c r="G96" s="1756">
        <f>VLOOKUP($B96,'RATE BASE DATA'!$C:$J,8,FALSE)</f>
        <v>8480736.6147934124</v>
      </c>
      <c r="H96" s="1738">
        <f>IF($E96="DIRECT",$L96,VLOOKUP($E96,Ratio,2,FALSE)*$G96)</f>
        <v>0</v>
      </c>
      <c r="I96" s="1738">
        <f>IF($E96="DIRECT",$M96,VLOOKUP($E96,Ratio,3,FALSE)*$G96)</f>
        <v>0</v>
      </c>
      <c r="J96" s="1739">
        <f>IF($E96="DIRECT",$N96,VLOOKUP($E96,Ratio,4,FALSE)*$G96)</f>
        <v>8480736.6147934124</v>
      </c>
      <c r="K96" s="25"/>
      <c r="L96" s="1756"/>
      <c r="M96" s="1756"/>
      <c r="N96" s="1756">
        <f>G96</f>
        <v>8480736.6147934124</v>
      </c>
      <c r="O96" s="11"/>
    </row>
    <row r="97" spans="1:15" ht="15" customHeight="1" x14ac:dyDescent="0.25">
      <c r="A97" s="1348"/>
      <c r="B97" s="46" t="s">
        <v>477</v>
      </c>
      <c r="C97" s="184" t="s">
        <v>78</v>
      </c>
      <c r="D97" s="184">
        <v>124</v>
      </c>
      <c r="E97" s="184" t="s">
        <v>392</v>
      </c>
      <c r="F97" s="184"/>
      <c r="G97" s="1756">
        <f>VLOOKUP($B97,'RATE BASE DATA'!$C:$J,8,FALSE)</f>
        <v>6010428.2373024877</v>
      </c>
      <c r="H97" s="1738">
        <f>VLOOKUP($E97,Ratio,2,FALSE)*$G97</f>
        <v>0</v>
      </c>
      <c r="I97" s="1738">
        <f>VLOOKUP($E97,Ratio,3,FALSE)*$G97</f>
        <v>0</v>
      </c>
      <c r="J97" s="1739">
        <f>VLOOKUP($E97,Ratio,4,FALSE)*$G97</f>
        <v>6010428.2373024877</v>
      </c>
      <c r="K97" s="25"/>
      <c r="L97" s="1757"/>
      <c r="M97" s="1758"/>
      <c r="N97" s="1758"/>
      <c r="O97" s="11"/>
    </row>
    <row r="98" spans="1:15" ht="15" customHeight="1" x14ac:dyDescent="0.25">
      <c r="A98" s="1348"/>
      <c r="B98" s="54" t="s">
        <v>6</v>
      </c>
      <c r="C98" s="184" t="s">
        <v>78</v>
      </c>
      <c r="D98" s="184">
        <v>175</v>
      </c>
      <c r="E98" s="184" t="s">
        <v>392</v>
      </c>
      <c r="F98" s="184"/>
      <c r="G98" s="1756">
        <f>VLOOKUP($B98,'RATE BASE DATA'!$C:$J,8,FALSE)</f>
        <v>119105.78757611709</v>
      </c>
      <c r="H98" s="1738">
        <f>VLOOKUP($E98,Ratio,2,FALSE)*$G98</f>
        <v>0</v>
      </c>
      <c r="I98" s="1738">
        <f>VLOOKUP($E98,Ratio,3,FALSE)*$G98</f>
        <v>0</v>
      </c>
      <c r="J98" s="1739">
        <f>VLOOKUP($E98,Ratio,4,FALSE)*$G98</f>
        <v>119105.78757611709</v>
      </c>
      <c r="K98" s="25"/>
      <c r="L98" s="1757"/>
      <c r="M98" s="1758"/>
      <c r="N98" s="1758"/>
      <c r="O98" s="11"/>
    </row>
    <row r="99" spans="1:15" ht="15" customHeight="1" x14ac:dyDescent="0.25">
      <c r="A99" s="1348"/>
      <c r="B99" s="54" t="s">
        <v>372</v>
      </c>
      <c r="C99" s="184" t="s">
        <v>78</v>
      </c>
      <c r="D99" s="184">
        <v>176</v>
      </c>
      <c r="E99" s="184" t="s">
        <v>392</v>
      </c>
      <c r="F99" s="184"/>
      <c r="G99" s="1756">
        <f>VLOOKUP($B99,'RATE BASE DATA'!$C:$J,8,FALSE)</f>
        <v>0</v>
      </c>
      <c r="H99" s="1738">
        <f>VLOOKUP($E99,Ratio,2,FALSE)*$G99</f>
        <v>0</v>
      </c>
      <c r="I99" s="1738">
        <f>VLOOKUP($E99,Ratio,3,FALSE)*$G99</f>
        <v>0</v>
      </c>
      <c r="J99" s="1739">
        <f>VLOOKUP($E99,Ratio,4,FALSE)*$G99</f>
        <v>0</v>
      </c>
      <c r="K99" s="25"/>
      <c r="L99" s="1757"/>
      <c r="M99" s="1758"/>
      <c r="N99" s="1758"/>
      <c r="O99" s="11"/>
    </row>
    <row r="100" spans="1:15" ht="15" customHeight="1" x14ac:dyDescent="0.25">
      <c r="A100" s="1348"/>
      <c r="B100" s="76" t="s">
        <v>104</v>
      </c>
      <c r="C100" s="1853"/>
      <c r="D100" s="1847"/>
      <c r="E100" s="1847"/>
      <c r="F100" s="1848"/>
      <c r="G100" s="1781">
        <f>SUM(G96:G99)</f>
        <v>14610270.639672017</v>
      </c>
      <c r="H100" s="495">
        <f>SUM(H96:H99)</f>
        <v>0</v>
      </c>
      <c r="I100" s="495">
        <f>SUM(I96:I99)</f>
        <v>0</v>
      </c>
      <c r="J100" s="1365">
        <f>SUM(J96:J99)</f>
        <v>14610270.639672017</v>
      </c>
      <c r="K100" s="25"/>
      <c r="L100" s="1757"/>
      <c r="M100" s="1758"/>
      <c r="N100" s="1758"/>
      <c r="O100" s="11"/>
    </row>
    <row r="101" spans="1:15" ht="9.9499999999999993" customHeight="1" x14ac:dyDescent="0.25">
      <c r="A101" s="1348"/>
      <c r="B101" s="76"/>
      <c r="C101" s="74"/>
      <c r="D101" s="74"/>
      <c r="E101" s="74"/>
      <c r="F101" s="74"/>
      <c r="G101" s="928"/>
      <c r="H101" s="334"/>
      <c r="I101" s="334"/>
      <c r="J101" s="1366"/>
      <c r="K101" s="25"/>
      <c r="L101" s="1757"/>
      <c r="M101" s="1758"/>
      <c r="N101" s="1758"/>
      <c r="O101" s="11"/>
    </row>
    <row r="102" spans="1:15" ht="15" customHeight="1" x14ac:dyDescent="0.25">
      <c r="A102" s="1364" t="s">
        <v>177</v>
      </c>
      <c r="B102" s="79"/>
      <c r="C102" s="80"/>
      <c r="D102" s="48"/>
      <c r="E102" s="48"/>
      <c r="F102" s="48"/>
      <c r="G102" s="378"/>
      <c r="H102" s="381"/>
      <c r="I102" s="381"/>
      <c r="J102" s="1744"/>
      <c r="K102" s="25"/>
      <c r="L102" s="1757"/>
      <c r="M102" s="1758"/>
      <c r="N102" s="1758"/>
      <c r="O102" s="11"/>
    </row>
    <row r="103" spans="1:15" ht="15" customHeight="1" x14ac:dyDescent="0.25">
      <c r="A103" s="1348"/>
      <c r="B103" s="46" t="s">
        <v>436</v>
      </c>
      <c r="C103" s="184" t="s">
        <v>78</v>
      </c>
      <c r="D103" s="184">
        <v>151</v>
      </c>
      <c r="E103" s="184" t="s">
        <v>394</v>
      </c>
      <c r="F103" s="184"/>
      <c r="G103" s="1756">
        <f>VLOOKUP($B103,'RATE BASE DATA'!$C:$J,8,FALSE)</f>
        <v>6132790.3794657299</v>
      </c>
      <c r="H103" s="1738">
        <f t="shared" ref="H103:H115" si="7">VLOOKUP($E103,Ratio,2,FALSE)*$G103</f>
        <v>6132790.3794657299</v>
      </c>
      <c r="I103" s="1738">
        <f t="shared" ref="I103:I115" si="8">VLOOKUP($E103,Ratio,3,FALSE)*$G103</f>
        <v>0</v>
      </c>
      <c r="J103" s="1739">
        <f t="shared" ref="J103:J115" si="9">VLOOKUP($E103,Ratio,4,FALSE)*$G103</f>
        <v>0</v>
      </c>
      <c r="K103" s="25"/>
      <c r="L103" s="1757"/>
      <c r="M103" s="1758"/>
      <c r="N103" s="1758"/>
      <c r="O103" s="11"/>
    </row>
    <row r="104" spans="1:15" ht="15" customHeight="1" x14ac:dyDescent="0.25">
      <c r="A104" s="1348"/>
      <c r="B104" s="54" t="s">
        <v>7</v>
      </c>
      <c r="C104" s="184" t="s">
        <v>78</v>
      </c>
      <c r="D104" s="184">
        <v>152</v>
      </c>
      <c r="E104" s="184" t="s">
        <v>394</v>
      </c>
      <c r="F104" s="184"/>
      <c r="G104" s="1756">
        <f>VLOOKUP($B104,'RATE BASE DATA'!$C:$J,8,FALSE)</f>
        <v>0</v>
      </c>
      <c r="H104" s="1738">
        <f t="shared" si="7"/>
        <v>0</v>
      </c>
      <c r="I104" s="1738">
        <f t="shared" si="8"/>
        <v>0</v>
      </c>
      <c r="J104" s="1739">
        <f t="shared" si="9"/>
        <v>0</v>
      </c>
      <c r="K104" s="25"/>
      <c r="L104" s="1757"/>
      <c r="M104" s="1758"/>
      <c r="N104" s="1758"/>
      <c r="O104" s="11"/>
    </row>
    <row r="105" spans="1:15" ht="15" customHeight="1" x14ac:dyDescent="0.25">
      <c r="A105" s="1348"/>
      <c r="B105" s="46" t="s">
        <v>79</v>
      </c>
      <c r="C105" s="184" t="s">
        <v>78</v>
      </c>
      <c r="D105" s="184">
        <v>154</v>
      </c>
      <c r="E105" s="184" t="s">
        <v>99</v>
      </c>
      <c r="F105" s="184"/>
      <c r="G105" s="1756">
        <f>VLOOKUP($B105,'RATE BASE DATA'!$C:$J,8,FALSE)</f>
        <v>21614006.459859494</v>
      </c>
      <c r="H105" s="1738">
        <f t="shared" si="7"/>
        <v>9514402.2956105284</v>
      </c>
      <c r="I105" s="1738">
        <f t="shared" si="8"/>
        <v>0</v>
      </c>
      <c r="J105" s="1739">
        <f t="shared" si="9"/>
        <v>12099604.164248962</v>
      </c>
      <c r="K105" s="25"/>
      <c r="L105" s="1757"/>
      <c r="M105" s="1758"/>
      <c r="N105" s="1758"/>
      <c r="O105" s="11"/>
    </row>
    <row r="106" spans="1:15" ht="15" customHeight="1" x14ac:dyDescent="0.25">
      <c r="A106" s="1348"/>
      <c r="B106" s="46" t="s">
        <v>355</v>
      </c>
      <c r="C106" s="184" t="s">
        <v>78</v>
      </c>
      <c r="D106" s="184">
        <v>155</v>
      </c>
      <c r="E106" s="184" t="s">
        <v>392</v>
      </c>
      <c r="F106" s="184"/>
      <c r="G106" s="1756">
        <f>VLOOKUP($B106,'RATE BASE DATA'!$C:$J,8,FALSE)</f>
        <v>0</v>
      </c>
      <c r="H106" s="1738">
        <f t="shared" si="7"/>
        <v>0</v>
      </c>
      <c r="I106" s="1738">
        <f t="shared" si="8"/>
        <v>0</v>
      </c>
      <c r="J106" s="1739">
        <f t="shared" si="9"/>
        <v>0</v>
      </c>
      <c r="K106" s="25"/>
      <c r="L106" s="1757"/>
      <c r="M106" s="1758"/>
      <c r="N106" s="1758"/>
      <c r="O106" s="11"/>
    </row>
    <row r="107" spans="1:15" ht="15" customHeight="1" x14ac:dyDescent="0.25">
      <c r="A107" s="1348"/>
      <c r="B107" s="46" t="s">
        <v>356</v>
      </c>
      <c r="C107" s="184" t="s">
        <v>78</v>
      </c>
      <c r="D107" s="184">
        <v>156</v>
      </c>
      <c r="E107" s="184" t="s">
        <v>392</v>
      </c>
      <c r="F107" s="184"/>
      <c r="G107" s="1756">
        <f>VLOOKUP($B107,'RATE BASE DATA'!$C:$J,8,FALSE)</f>
        <v>0</v>
      </c>
      <c r="H107" s="1738">
        <f t="shared" si="7"/>
        <v>0</v>
      </c>
      <c r="I107" s="1738">
        <f t="shared" si="8"/>
        <v>0</v>
      </c>
      <c r="J107" s="1739">
        <f t="shared" si="9"/>
        <v>0</v>
      </c>
      <c r="K107" s="25"/>
      <c r="L107" s="1757"/>
      <c r="M107" s="1758"/>
      <c r="N107" s="1758"/>
      <c r="O107" s="11"/>
    </row>
    <row r="108" spans="1:15" ht="15" customHeight="1" x14ac:dyDescent="0.25">
      <c r="A108" s="1348"/>
      <c r="B108" s="46" t="s">
        <v>357</v>
      </c>
      <c r="C108" s="184" t="s">
        <v>78</v>
      </c>
      <c r="D108" s="184">
        <v>158.1</v>
      </c>
      <c r="E108" s="184" t="s">
        <v>394</v>
      </c>
      <c r="F108" s="184"/>
      <c r="G108" s="1756">
        <f>VLOOKUP($B108,'RATE BASE DATA'!$C:$J,8,FALSE)</f>
        <v>139552.35424748887</v>
      </c>
      <c r="H108" s="1738">
        <f t="shared" si="7"/>
        <v>139552.35424748887</v>
      </c>
      <c r="I108" s="1738">
        <f t="shared" si="8"/>
        <v>0</v>
      </c>
      <c r="J108" s="1739">
        <f t="shared" si="9"/>
        <v>0</v>
      </c>
      <c r="K108" s="25"/>
      <c r="L108" s="1757"/>
      <c r="M108" s="1758"/>
      <c r="N108" s="1758"/>
      <c r="O108" s="11"/>
    </row>
    <row r="109" spans="1:15" ht="15" customHeight="1" x14ac:dyDescent="0.25">
      <c r="A109" s="1348"/>
      <c r="B109" s="46" t="s">
        <v>178</v>
      </c>
      <c r="C109" s="184" t="s">
        <v>78</v>
      </c>
      <c r="D109" s="184">
        <v>158.19999999999999</v>
      </c>
      <c r="E109" s="184" t="s">
        <v>394</v>
      </c>
      <c r="F109" s="184"/>
      <c r="G109" s="1756">
        <f>VLOOKUP($B109,'RATE BASE DATA'!$C:$J,8,FALSE)</f>
        <v>0</v>
      </c>
      <c r="H109" s="1738">
        <f t="shared" si="7"/>
        <v>0</v>
      </c>
      <c r="I109" s="1738">
        <f t="shared" si="8"/>
        <v>0</v>
      </c>
      <c r="J109" s="1739">
        <f t="shared" si="9"/>
        <v>0</v>
      </c>
      <c r="K109" s="25"/>
      <c r="L109" s="1757"/>
      <c r="M109" s="1758"/>
      <c r="N109" s="1758"/>
      <c r="O109" s="11"/>
    </row>
    <row r="110" spans="1:15" ht="14.25" customHeight="1" x14ac:dyDescent="0.25">
      <c r="A110" s="1348"/>
      <c r="B110" s="46" t="s">
        <v>55</v>
      </c>
      <c r="C110" s="184" t="s">
        <v>78</v>
      </c>
      <c r="D110" s="184">
        <v>163</v>
      </c>
      <c r="E110" s="184" t="s">
        <v>99</v>
      </c>
      <c r="F110" s="184"/>
      <c r="G110" s="1756">
        <f>VLOOKUP($B110,'RATE BASE DATA'!$C:$J,8,FALSE)</f>
        <v>0</v>
      </c>
      <c r="H110" s="1738">
        <f t="shared" si="7"/>
        <v>0</v>
      </c>
      <c r="I110" s="1738">
        <f t="shared" si="8"/>
        <v>0</v>
      </c>
      <c r="J110" s="1739">
        <f t="shared" si="9"/>
        <v>0</v>
      </c>
      <c r="K110" s="25"/>
      <c r="L110" s="1757"/>
      <c r="M110" s="1758"/>
      <c r="N110" s="1758"/>
      <c r="O110" s="11"/>
    </row>
    <row r="111" spans="1:15" ht="15" customHeight="1" x14ac:dyDescent="0.25">
      <c r="A111" s="1348"/>
      <c r="B111" s="46" t="s">
        <v>8</v>
      </c>
      <c r="C111" s="184" t="s">
        <v>78</v>
      </c>
      <c r="D111" s="184">
        <v>165</v>
      </c>
      <c r="E111" s="184" t="s">
        <v>99</v>
      </c>
      <c r="F111" s="184"/>
      <c r="G111" s="1756">
        <f>VLOOKUP($B111,'RATE BASE DATA'!$C:$J,8,FALSE)</f>
        <v>7409410.8062229184</v>
      </c>
      <c r="H111" s="1738">
        <f t="shared" si="7"/>
        <v>3261594.0646992419</v>
      </c>
      <c r="I111" s="1738">
        <f t="shared" si="8"/>
        <v>0</v>
      </c>
      <c r="J111" s="1739">
        <f t="shared" si="9"/>
        <v>4147816.7415236756</v>
      </c>
      <c r="K111" s="25"/>
      <c r="L111" s="1757"/>
      <c r="M111" s="1758"/>
      <c r="N111" s="1758"/>
      <c r="O111" s="11"/>
    </row>
    <row r="112" spans="1:15" ht="15" customHeight="1" x14ac:dyDescent="0.25">
      <c r="A112" s="1348"/>
      <c r="B112" s="54" t="s">
        <v>9</v>
      </c>
      <c r="C112" s="184" t="s">
        <v>78</v>
      </c>
      <c r="D112" s="184">
        <v>175</v>
      </c>
      <c r="E112" s="184" t="s">
        <v>392</v>
      </c>
      <c r="F112" s="184"/>
      <c r="G112" s="1756">
        <f>VLOOKUP($B112,'RATE BASE DATA'!$C:$J,8,FALSE)</f>
        <v>946634.96518863866</v>
      </c>
      <c r="H112" s="1738">
        <f t="shared" si="7"/>
        <v>0</v>
      </c>
      <c r="I112" s="1738">
        <f t="shared" si="8"/>
        <v>0</v>
      </c>
      <c r="J112" s="1739">
        <f t="shared" si="9"/>
        <v>946634.96518863866</v>
      </c>
      <c r="K112" s="25"/>
      <c r="L112" s="1757"/>
      <c r="M112" s="1758"/>
      <c r="N112" s="1758"/>
      <c r="O112" s="11"/>
    </row>
    <row r="113" spans="1:15" ht="15" customHeight="1" x14ac:dyDescent="0.25">
      <c r="A113" s="1348"/>
      <c r="B113" s="143" t="s">
        <v>184</v>
      </c>
      <c r="C113" s="184" t="s">
        <v>78</v>
      </c>
      <c r="D113" s="184">
        <v>175</v>
      </c>
      <c r="E113" s="184" t="s">
        <v>392</v>
      </c>
      <c r="F113" s="184"/>
      <c r="G113" s="1756">
        <f>VLOOKUP($B113,'RATE BASE DATA'!$C:$J,8,FALSE)</f>
        <v>119105.78757611709</v>
      </c>
      <c r="H113" s="1738">
        <f t="shared" si="7"/>
        <v>0</v>
      </c>
      <c r="I113" s="1738">
        <f t="shared" si="8"/>
        <v>0</v>
      </c>
      <c r="J113" s="1739">
        <f t="shared" si="9"/>
        <v>119105.78757611709</v>
      </c>
      <c r="K113" s="25"/>
      <c r="L113" s="1757"/>
      <c r="M113" s="1758"/>
      <c r="N113" s="1758"/>
      <c r="O113" s="11"/>
    </row>
    <row r="114" spans="1:15" ht="15" customHeight="1" x14ac:dyDescent="0.25">
      <c r="A114" s="1348"/>
      <c r="B114" s="54" t="s">
        <v>334</v>
      </c>
      <c r="C114" s="250" t="s">
        <v>78</v>
      </c>
      <c r="D114" s="250">
        <v>176</v>
      </c>
      <c r="E114" s="250" t="s">
        <v>392</v>
      </c>
      <c r="F114" s="184"/>
      <c r="G114" s="1756">
        <f>VLOOKUP($B114,'RATE BASE DATA'!$C:$J,8,FALSE)</f>
        <v>0</v>
      </c>
      <c r="H114" s="1738">
        <f t="shared" si="7"/>
        <v>0</v>
      </c>
      <c r="I114" s="1738">
        <f t="shared" si="8"/>
        <v>0</v>
      </c>
      <c r="J114" s="1739">
        <f t="shared" si="9"/>
        <v>0</v>
      </c>
      <c r="K114" s="25"/>
      <c r="L114" s="1757"/>
      <c r="M114" s="1758"/>
      <c r="N114" s="1758"/>
      <c r="O114" s="11"/>
    </row>
    <row r="115" spans="1:15" ht="15" customHeight="1" x14ac:dyDescent="0.25">
      <c r="A115" s="1348"/>
      <c r="B115" s="143" t="s">
        <v>573</v>
      </c>
      <c r="C115" s="250" t="s">
        <v>78</v>
      </c>
      <c r="D115" s="250">
        <v>176</v>
      </c>
      <c r="E115" s="250" t="s">
        <v>392</v>
      </c>
      <c r="F115" s="184"/>
      <c r="G115" s="1756">
        <f>VLOOKUP($B115,'RATE BASE DATA'!$C:$J,8,FALSE)</f>
        <v>0</v>
      </c>
      <c r="H115" s="1738">
        <f t="shared" si="7"/>
        <v>0</v>
      </c>
      <c r="I115" s="1738">
        <f t="shared" si="8"/>
        <v>0</v>
      </c>
      <c r="J115" s="1739">
        <f t="shared" si="9"/>
        <v>0</v>
      </c>
      <c r="K115" s="25"/>
      <c r="L115" s="1757"/>
      <c r="M115" s="1758"/>
      <c r="N115" s="1758"/>
      <c r="O115" s="11"/>
    </row>
    <row r="116" spans="1:15" ht="15" customHeight="1" thickBot="1" x14ac:dyDescent="0.3">
      <c r="A116" s="1348"/>
      <c r="B116" s="76" t="s">
        <v>104</v>
      </c>
      <c r="C116" s="1856"/>
      <c r="D116" s="1857"/>
      <c r="E116" s="1857"/>
      <c r="F116" s="1858"/>
      <c r="G116" s="1788">
        <f>SUM(G103:G112,G114)-G113-G115</f>
        <v>36123289.177408151</v>
      </c>
      <c r="H116" s="1508">
        <f>SUM(H103:H112,H114)-H113-H115</f>
        <v>19048339.094022989</v>
      </c>
      <c r="I116" s="1508">
        <f>SUM(I103:I112,I114)-I113-I115</f>
        <v>0</v>
      </c>
      <c r="J116" s="1509">
        <f>SUM(J103:J112,J114)-J113-J115</f>
        <v>17074950.083385158</v>
      </c>
      <c r="K116" s="25"/>
      <c r="L116" s="1757"/>
      <c r="M116" s="1758"/>
      <c r="N116" s="1758"/>
      <c r="O116" s="11"/>
    </row>
    <row r="117" spans="1:15" ht="4.5" customHeight="1" thickTop="1" x14ac:dyDescent="0.25">
      <c r="A117" s="1510"/>
      <c r="B117" s="1511"/>
      <c r="C117" s="1859"/>
      <c r="D117" s="1859"/>
      <c r="E117" s="1859"/>
      <c r="F117" s="1859"/>
      <c r="G117" s="1789"/>
      <c r="H117" s="1513"/>
      <c r="I117" s="1513"/>
      <c r="J117" s="1514"/>
      <c r="K117" s="25"/>
      <c r="L117" s="1757"/>
      <c r="M117" s="1758"/>
      <c r="N117" s="1758"/>
      <c r="O117" s="11"/>
    </row>
    <row r="118" spans="1:15" ht="15" customHeight="1" x14ac:dyDescent="0.25">
      <c r="A118" s="1364" t="s">
        <v>179</v>
      </c>
      <c r="B118" s="62"/>
      <c r="C118" s="80"/>
      <c r="D118" s="48"/>
      <c r="E118" s="48"/>
      <c r="F118" s="48"/>
      <c r="G118" s="379"/>
      <c r="H118" s="337"/>
      <c r="I118" s="337"/>
      <c r="J118" s="1354"/>
      <c r="K118" s="25"/>
      <c r="L118" s="1757"/>
      <c r="M118" s="1758"/>
      <c r="N118" s="1758"/>
      <c r="O118" s="11"/>
    </row>
    <row r="119" spans="1:15" ht="15" customHeight="1" x14ac:dyDescent="0.25">
      <c r="A119" s="1348"/>
      <c r="B119" s="54" t="s">
        <v>10</v>
      </c>
      <c r="C119" s="184" t="s">
        <v>78</v>
      </c>
      <c r="D119" s="184">
        <v>181</v>
      </c>
      <c r="E119" s="184" t="s">
        <v>108</v>
      </c>
      <c r="F119" s="184"/>
      <c r="G119" s="1756">
        <f>VLOOKUP($B119,'RATE BASE DATA'!$C:$J,8,FALSE)</f>
        <v>3114531.9438212882</v>
      </c>
      <c r="H119" s="1738">
        <f>VLOOKUP($E119,Ratio,2,FALSE)*$G119</f>
        <v>1352997.8423892981</v>
      </c>
      <c r="I119" s="1738">
        <f>VLOOKUP($E119,Ratio,3,FALSE)*$G119</f>
        <v>0</v>
      </c>
      <c r="J119" s="1739">
        <f>VLOOKUP($E119,Ratio,4,FALSE)*$G119</f>
        <v>1761845.7855079155</v>
      </c>
      <c r="K119" s="25"/>
      <c r="L119" s="1757"/>
      <c r="M119" s="1758"/>
      <c r="N119" s="1758"/>
      <c r="O119" s="11"/>
    </row>
    <row r="120" spans="1:15" ht="15" customHeight="1" x14ac:dyDescent="0.25">
      <c r="A120" s="1348"/>
      <c r="B120" s="54" t="s">
        <v>11</v>
      </c>
      <c r="C120" s="184" t="s">
        <v>78</v>
      </c>
      <c r="D120" s="184">
        <v>182.1</v>
      </c>
      <c r="E120" s="184" t="s">
        <v>90</v>
      </c>
      <c r="F120" s="184" t="s">
        <v>392</v>
      </c>
      <c r="G120" s="1756">
        <f>VLOOKUP($B120,'RATE BASE DATA'!$C:$J,8,FALSE)</f>
        <v>0</v>
      </c>
      <c r="H120" s="1738">
        <f>IF($E120="DIRECT",$L120,VLOOKUP($E120,Ratio,2,FALSE)*$G120)</f>
        <v>0</v>
      </c>
      <c r="I120" s="1738">
        <f>IF($E120="DIRECT",$M120,VLOOKUP($E120,Ratio,3,FALSE)*$G120)</f>
        <v>0</v>
      </c>
      <c r="J120" s="1739">
        <f>IF($E120="DIRECT",$N120,VLOOKUP($E120,Ratio,4,FALSE)*$G120)</f>
        <v>0</v>
      </c>
      <c r="K120" s="25"/>
      <c r="L120" s="1756"/>
      <c r="M120" s="1756"/>
      <c r="N120" s="1756"/>
      <c r="O120" s="11"/>
    </row>
    <row r="121" spans="1:15" ht="15" customHeight="1" x14ac:dyDescent="0.25">
      <c r="A121" s="1348"/>
      <c r="B121" s="54" t="s">
        <v>12</v>
      </c>
      <c r="C121" s="184" t="s">
        <v>78</v>
      </c>
      <c r="D121" s="184">
        <v>182.2</v>
      </c>
      <c r="E121" s="184" t="s">
        <v>90</v>
      </c>
      <c r="F121" s="184" t="s">
        <v>392</v>
      </c>
      <c r="G121" s="1756">
        <f>VLOOKUP($B121,'RATE BASE DATA'!$C:$J,8,FALSE)</f>
        <v>0</v>
      </c>
      <c r="H121" s="1738">
        <f>IF($E121="DIRECT",$L121,VLOOKUP($E121,Ratio,2,FALSE)*$G121)</f>
        <v>0</v>
      </c>
      <c r="I121" s="1738">
        <f>IF($E121="DIRECT",$M121,VLOOKUP($E121,Ratio,3,FALSE)*$G121)</f>
        <v>0</v>
      </c>
      <c r="J121" s="1739">
        <f>IF($E121="DIRECT",$N121,VLOOKUP($E121,Ratio,4,FALSE)*$G121)</f>
        <v>0</v>
      </c>
      <c r="K121" s="25"/>
      <c r="L121" s="1756"/>
      <c r="M121" s="1756"/>
      <c r="N121" s="1756"/>
      <c r="O121" s="11"/>
    </row>
    <row r="122" spans="1:15" ht="15" customHeight="1" x14ac:dyDescent="0.25">
      <c r="A122" s="1348"/>
      <c r="B122" s="54" t="s">
        <v>13</v>
      </c>
      <c r="C122" s="184" t="s">
        <v>78</v>
      </c>
      <c r="D122" s="184">
        <v>182.3</v>
      </c>
      <c r="E122" s="184" t="s">
        <v>90</v>
      </c>
      <c r="F122" s="184" t="s">
        <v>392</v>
      </c>
      <c r="G122" s="1756">
        <f>VLOOKUP($B122,'RATE BASE DATA'!$C:$J,8,FALSE)</f>
        <v>87101859.813891053</v>
      </c>
      <c r="H122" s="1738">
        <f>IF($E122="DIRECT",$L122,VLOOKUP($E122,Ratio,2,FALSE)*$G122)</f>
        <v>74688661.583498821</v>
      </c>
      <c r="I122" s="1738">
        <f>IF($E122="DIRECT",$M122,VLOOKUP($E122,Ratio,3,FALSE)*$G122)</f>
        <v>0</v>
      </c>
      <c r="J122" s="1739">
        <f>IF($E122="DIRECT",$N122,VLOOKUP($E122,Ratio,4,FALSE)*$G122)</f>
        <v>12413198.230392238</v>
      </c>
      <c r="K122" s="25"/>
      <c r="L122" s="1756">
        <f>'B16-Reg Assets'!T1028*1000</f>
        <v>74688661.583498821</v>
      </c>
      <c r="M122" s="1756">
        <f>'B16-Reg Assets'!U1028*1000</f>
        <v>0</v>
      </c>
      <c r="N122" s="1756">
        <f>'B16-Reg Assets'!V1028*1000</f>
        <v>12413198.230392238</v>
      </c>
      <c r="O122" s="11"/>
    </row>
    <row r="123" spans="1:15" ht="15" customHeight="1" x14ac:dyDescent="0.25">
      <c r="A123" s="1348"/>
      <c r="B123" s="54" t="s">
        <v>183</v>
      </c>
      <c r="C123" s="184" t="s">
        <v>78</v>
      </c>
      <c r="D123" s="184">
        <v>183</v>
      </c>
      <c r="E123" s="184" t="s">
        <v>392</v>
      </c>
      <c r="F123" s="184"/>
      <c r="G123" s="1756">
        <f>VLOOKUP($B123,'RATE BASE DATA'!$C:$J,8,FALSE)</f>
        <v>1433572.4795958681</v>
      </c>
      <c r="H123" s="1738">
        <f t="shared" ref="H123:H132" si="10">VLOOKUP($E123,Ratio,2,FALSE)*$G123</f>
        <v>0</v>
      </c>
      <c r="I123" s="1738">
        <f t="shared" ref="I123:I132" si="11">VLOOKUP($E123,Ratio,3,FALSE)*$G123</f>
        <v>0</v>
      </c>
      <c r="J123" s="1739">
        <f t="shared" ref="J123:J132" si="12">VLOOKUP($E123,Ratio,4,FALSE)*$G123</f>
        <v>1433572.4795958681</v>
      </c>
      <c r="K123" s="25"/>
      <c r="L123" s="1764"/>
      <c r="M123" s="1755"/>
      <c r="N123" s="1755"/>
      <c r="O123" s="11"/>
    </row>
    <row r="124" spans="1:15" ht="15" customHeight="1" x14ac:dyDescent="0.25">
      <c r="A124" s="1348"/>
      <c r="B124" s="54" t="s">
        <v>14</v>
      </c>
      <c r="C124" s="184" t="s">
        <v>78</v>
      </c>
      <c r="D124" s="184">
        <v>183.1</v>
      </c>
      <c r="E124" s="184" t="s">
        <v>392</v>
      </c>
      <c r="F124" s="184"/>
      <c r="G124" s="1756">
        <f>VLOOKUP($B124,'RATE BASE DATA'!$C:$J,8,FALSE)</f>
        <v>0</v>
      </c>
      <c r="H124" s="1738">
        <f t="shared" si="10"/>
        <v>0</v>
      </c>
      <c r="I124" s="1738">
        <f t="shared" si="11"/>
        <v>0</v>
      </c>
      <c r="J124" s="1739">
        <f t="shared" si="12"/>
        <v>0</v>
      </c>
      <c r="K124" s="25"/>
      <c r="L124" s="1757"/>
      <c r="M124" s="1758"/>
      <c r="N124" s="1758"/>
      <c r="O124" s="11"/>
    </row>
    <row r="125" spans="1:15" ht="15" customHeight="1" x14ac:dyDescent="0.25">
      <c r="A125" s="1348"/>
      <c r="B125" s="54" t="s">
        <v>445</v>
      </c>
      <c r="C125" s="184" t="s">
        <v>78</v>
      </c>
      <c r="D125" s="184">
        <v>183.2</v>
      </c>
      <c r="E125" s="184" t="s">
        <v>392</v>
      </c>
      <c r="F125" s="184"/>
      <c r="G125" s="1756">
        <f>VLOOKUP($B125,'RATE BASE DATA'!$C:$J,8,FALSE)</f>
        <v>0</v>
      </c>
      <c r="H125" s="1738">
        <f t="shared" si="10"/>
        <v>0</v>
      </c>
      <c r="I125" s="1738">
        <f t="shared" si="11"/>
        <v>0</v>
      </c>
      <c r="J125" s="1739">
        <f t="shared" si="12"/>
        <v>0</v>
      </c>
      <c r="K125" s="25"/>
      <c r="L125" s="1757"/>
      <c r="M125" s="1758"/>
      <c r="N125" s="1758"/>
      <c r="O125" s="11"/>
    </row>
    <row r="126" spans="1:15" ht="15" customHeight="1" x14ac:dyDescent="0.25">
      <c r="A126" s="1348"/>
      <c r="B126" s="54" t="s">
        <v>15</v>
      </c>
      <c r="C126" s="184" t="s">
        <v>78</v>
      </c>
      <c r="D126" s="184">
        <v>184</v>
      </c>
      <c r="E126" s="184" t="s">
        <v>392</v>
      </c>
      <c r="F126" s="184"/>
      <c r="G126" s="1756">
        <f>VLOOKUP($B126,'RATE BASE DATA'!$C:$J,8,FALSE)</f>
        <v>386.85843825729052</v>
      </c>
      <c r="H126" s="1738">
        <f t="shared" si="10"/>
        <v>0</v>
      </c>
      <c r="I126" s="1738">
        <f t="shared" si="11"/>
        <v>0</v>
      </c>
      <c r="J126" s="1739">
        <f t="shared" si="12"/>
        <v>386.85843825729052</v>
      </c>
      <c r="K126" s="25"/>
      <c r="L126" s="1757"/>
      <c r="M126" s="1758"/>
      <c r="N126" s="1758"/>
      <c r="O126" s="11"/>
    </row>
    <row r="127" spans="1:15" ht="15" customHeight="1" x14ac:dyDescent="0.25">
      <c r="A127" s="1348"/>
      <c r="B127" s="54" t="s">
        <v>16</v>
      </c>
      <c r="C127" s="184" t="s">
        <v>78</v>
      </c>
      <c r="D127" s="184">
        <v>185</v>
      </c>
      <c r="E127" s="184" t="s">
        <v>108</v>
      </c>
      <c r="F127" s="184"/>
      <c r="G127" s="1756">
        <f>VLOOKUP($B127,'RATE BASE DATA'!$C:$J,8,FALSE)</f>
        <v>8531.0243680852054</v>
      </c>
      <c r="H127" s="1738">
        <f t="shared" si="10"/>
        <v>3706.0006998124131</v>
      </c>
      <c r="I127" s="1738">
        <f t="shared" si="11"/>
        <v>0</v>
      </c>
      <c r="J127" s="1739">
        <f t="shared" si="12"/>
        <v>4825.8774031179719</v>
      </c>
      <c r="K127" s="25"/>
      <c r="L127" s="1757"/>
      <c r="M127" s="1758"/>
      <c r="N127" s="1758"/>
      <c r="O127" s="11"/>
    </row>
    <row r="128" spans="1:15" ht="15" customHeight="1" x14ac:dyDescent="0.25">
      <c r="A128" s="1348"/>
      <c r="B128" s="54" t="s">
        <v>17</v>
      </c>
      <c r="C128" s="184" t="s">
        <v>78</v>
      </c>
      <c r="D128" s="184">
        <v>186</v>
      </c>
      <c r="E128" s="184" t="s">
        <v>90</v>
      </c>
      <c r="F128" s="184" t="s">
        <v>392</v>
      </c>
      <c r="G128" s="1756">
        <f>VLOOKUP($B128,'RATE BASE DATA'!$C:$J,8,FALSE)</f>
        <v>6890933.8876065873</v>
      </c>
      <c r="H128" s="1738">
        <f>IF($E128="DIRECT",$L128,VLOOKUP($E128,Ratio,2,FALSE)*$G128)</f>
        <v>6507153.881906366</v>
      </c>
      <c r="I128" s="1738">
        <f>IF($E128="DIRECT",$M128,VLOOKUP($E128,Ratio,3,FALSE)*$G128)</f>
        <v>0</v>
      </c>
      <c r="J128" s="1739">
        <f>IF($E128="DIRECT",$N128,VLOOKUP($E128,Ratio,4,FALSE)*$G128)</f>
        <v>383780.00570022099</v>
      </c>
      <c r="K128" s="25"/>
      <c r="L128" s="1756">
        <f>$G$128*'B11-Misc Def Debt'!M89/'B11-Misc Def Debt'!$P$89</f>
        <v>6507153.881906366</v>
      </c>
      <c r="M128" s="1756">
        <f>$G$128*'B11-Misc Def Debt'!N89/'B11-Misc Def Debt'!$P$89</f>
        <v>0</v>
      </c>
      <c r="N128" s="1756">
        <f>$G$128*'B11-Misc Def Debt'!O89/'B11-Misc Def Debt'!$P$89</f>
        <v>383780.00570022099</v>
      </c>
      <c r="O128" s="11"/>
    </row>
    <row r="129" spans="1:15" ht="15" customHeight="1" x14ac:dyDescent="0.25">
      <c r="A129" s="1348"/>
      <c r="B129" s="54" t="s">
        <v>18</v>
      </c>
      <c r="C129" s="184" t="s">
        <v>78</v>
      </c>
      <c r="D129" s="184">
        <v>187</v>
      </c>
      <c r="E129" s="184" t="s">
        <v>90</v>
      </c>
      <c r="F129" s="184"/>
      <c r="G129" s="1756">
        <f>VLOOKUP($B129,'RATE BASE DATA'!$C:$J,8,FALSE)</f>
        <v>0</v>
      </c>
      <c r="H129" s="1738">
        <f>IF($E129="DIRECT",$L129,VLOOKUP($E129,Ratio,2,FALSE)*$G129)</f>
        <v>0</v>
      </c>
      <c r="I129" s="1738">
        <f>IF($E129="DIRECT",$M129,VLOOKUP($E129,Ratio,3,FALSE)*$G129)</f>
        <v>0</v>
      </c>
      <c r="J129" s="1739">
        <f>IF($E129="DIRECT",$N129,VLOOKUP($E129,Ratio,4,FALSE)*$G129)</f>
        <v>0</v>
      </c>
      <c r="K129" s="25"/>
      <c r="L129" s="1756"/>
      <c r="M129" s="1756"/>
      <c r="N129" s="1756"/>
      <c r="O129" s="11"/>
    </row>
    <row r="130" spans="1:15" ht="15" customHeight="1" x14ac:dyDescent="0.25">
      <c r="A130" s="1348"/>
      <c r="B130" s="54" t="s">
        <v>19</v>
      </c>
      <c r="C130" s="184" t="s">
        <v>78</v>
      </c>
      <c r="D130" s="184">
        <v>188</v>
      </c>
      <c r="E130" s="184" t="s">
        <v>392</v>
      </c>
      <c r="F130" s="184"/>
      <c r="G130" s="1756">
        <f>VLOOKUP($B130,'RATE BASE DATA'!$C:$J,8,FALSE)</f>
        <v>0</v>
      </c>
      <c r="H130" s="1738">
        <f t="shared" si="10"/>
        <v>0</v>
      </c>
      <c r="I130" s="1738">
        <f t="shared" si="11"/>
        <v>0</v>
      </c>
      <c r="J130" s="1739">
        <f t="shared" si="12"/>
        <v>0</v>
      </c>
      <c r="K130" s="25"/>
      <c r="L130" s="1757"/>
      <c r="M130" s="1758"/>
      <c r="N130" s="1758"/>
      <c r="O130" s="11"/>
    </row>
    <row r="131" spans="1:15" ht="15" customHeight="1" x14ac:dyDescent="0.25">
      <c r="A131" s="1348"/>
      <c r="B131" s="54" t="s">
        <v>20</v>
      </c>
      <c r="C131" s="184" t="s">
        <v>78</v>
      </c>
      <c r="D131" s="184">
        <v>189</v>
      </c>
      <c r="E131" s="184" t="s">
        <v>108</v>
      </c>
      <c r="F131" s="184"/>
      <c r="G131" s="1756">
        <f>VLOOKUP($B131,'RATE BASE DATA'!$C:$J,8,FALSE)</f>
        <v>108154.21821903664</v>
      </c>
      <c r="H131" s="1738">
        <f t="shared" si="10"/>
        <v>46983.760813870293</v>
      </c>
      <c r="I131" s="1738">
        <f t="shared" si="11"/>
        <v>0</v>
      </c>
      <c r="J131" s="1739">
        <f t="shared" si="12"/>
        <v>61181.280844505265</v>
      </c>
      <c r="K131" s="25"/>
      <c r="L131" s="1757"/>
      <c r="M131" s="1758"/>
      <c r="N131" s="1758"/>
      <c r="O131" s="11"/>
    </row>
    <row r="132" spans="1:15" ht="15" customHeight="1" x14ac:dyDescent="0.25">
      <c r="A132" s="1348"/>
      <c r="B132" s="54" t="s">
        <v>21</v>
      </c>
      <c r="C132" s="184" t="s">
        <v>78</v>
      </c>
      <c r="D132" s="184">
        <v>190</v>
      </c>
      <c r="E132" s="184" t="s">
        <v>392</v>
      </c>
      <c r="F132" s="184"/>
      <c r="G132" s="1756">
        <f>VLOOKUP($B132,'RATE BASE DATA'!$C:$J,8,FALSE)</f>
        <v>50138355.547383703</v>
      </c>
      <c r="H132" s="1738">
        <f t="shared" si="10"/>
        <v>0</v>
      </c>
      <c r="I132" s="1738">
        <f t="shared" si="11"/>
        <v>0</v>
      </c>
      <c r="J132" s="1739">
        <f t="shared" si="12"/>
        <v>50138355.547383703</v>
      </c>
      <c r="K132" s="25"/>
      <c r="L132" s="1757"/>
      <c r="M132" s="1758"/>
      <c r="N132" s="1758"/>
      <c r="O132" s="11"/>
    </row>
    <row r="133" spans="1:15" ht="15" customHeight="1" x14ac:dyDescent="0.25">
      <c r="A133" s="1353"/>
      <c r="B133" s="76" t="s">
        <v>104</v>
      </c>
      <c r="C133" s="1853"/>
      <c r="D133" s="1847"/>
      <c r="E133" s="1847"/>
      <c r="F133" s="1848"/>
      <c r="G133" s="1781">
        <f>SUM(G119:G132)</f>
        <v>148796325.77332389</v>
      </c>
      <c r="H133" s="495">
        <f>SUM(H119:H132)</f>
        <v>82599503.069308177</v>
      </c>
      <c r="I133" s="495">
        <f>SUM(I119:I132)</f>
        <v>0</v>
      </c>
      <c r="J133" s="1365">
        <f>SUM(J119:J132)</f>
        <v>66197146.065265827</v>
      </c>
      <c r="K133" s="25"/>
      <c r="L133" s="1757"/>
      <c r="M133" s="1758"/>
      <c r="N133" s="1758"/>
      <c r="O133" s="11"/>
    </row>
    <row r="134" spans="1:15" ht="15" customHeight="1" x14ac:dyDescent="0.25">
      <c r="A134" s="1353"/>
      <c r="B134" s="61"/>
      <c r="C134" s="81"/>
      <c r="D134" s="34"/>
      <c r="E134" s="34"/>
      <c r="F134" s="34"/>
      <c r="G134" s="377"/>
      <c r="H134" s="337"/>
      <c r="I134" s="337"/>
      <c r="J134" s="1354"/>
      <c r="K134" s="25"/>
      <c r="L134" s="1757"/>
      <c r="M134" s="1758"/>
      <c r="N134" s="1758"/>
      <c r="O134" s="11"/>
    </row>
    <row r="135" spans="1:15" ht="15" customHeight="1" x14ac:dyDescent="0.25">
      <c r="A135" s="1350" t="s">
        <v>74</v>
      </c>
      <c r="B135" s="32"/>
      <c r="C135" s="1853"/>
      <c r="D135" s="1847"/>
      <c r="E135" s="1847"/>
      <c r="F135" s="1848"/>
      <c r="G135" s="1781">
        <f>G84+G93+G100+G116+G133</f>
        <v>673775345.87549281</v>
      </c>
      <c r="H135" s="495">
        <f>H84+H93+H100+H116+H133</f>
        <v>210174354.05608448</v>
      </c>
      <c r="I135" s="495">
        <f>I84+I93+I100+I116+I133</f>
        <v>0</v>
      </c>
      <c r="J135" s="1365">
        <f>J84+J93+J100+J116+J133</f>
        <v>463600931.38521659</v>
      </c>
      <c r="K135" s="24"/>
      <c r="L135" s="1757"/>
      <c r="M135" s="1758"/>
      <c r="N135" s="1758"/>
      <c r="O135" s="11"/>
    </row>
    <row r="136" spans="1:15" ht="15" customHeight="1" thickBot="1" x14ac:dyDescent="0.3">
      <c r="A136" s="1359"/>
      <c r="B136" s="173"/>
      <c r="C136" s="193"/>
      <c r="D136" s="193"/>
      <c r="E136" s="188"/>
      <c r="F136" s="188"/>
      <c r="G136" s="1790"/>
      <c r="H136" s="383"/>
      <c r="I136" s="383"/>
      <c r="J136" s="1370"/>
      <c r="K136" s="24"/>
      <c r="L136" s="1757"/>
      <c r="M136" s="1758"/>
      <c r="N136" s="1758"/>
      <c r="O136" s="11"/>
    </row>
    <row r="137" spans="1:15" ht="15" customHeight="1" thickTop="1" x14ac:dyDescent="0.25">
      <c r="A137" s="1361" t="s">
        <v>75</v>
      </c>
      <c r="B137" s="32"/>
      <c r="C137" s="34"/>
      <c r="D137" s="34"/>
      <c r="E137" s="34"/>
      <c r="F137" s="34"/>
      <c r="G137" s="377"/>
      <c r="H137" s="142"/>
      <c r="I137" s="142"/>
      <c r="J137" s="1347"/>
      <c r="K137" s="24"/>
      <c r="L137" s="1757"/>
      <c r="M137" s="1758"/>
      <c r="N137" s="1758"/>
      <c r="O137" s="11"/>
    </row>
    <row r="138" spans="1:15" ht="15" customHeight="1" x14ac:dyDescent="0.25">
      <c r="A138" s="1348"/>
      <c r="B138" s="53" t="s">
        <v>434</v>
      </c>
      <c r="C138" s="48"/>
      <c r="D138" s="1860"/>
      <c r="E138" s="48"/>
      <c r="F138" s="48"/>
      <c r="G138" s="1791"/>
      <c r="H138" s="337"/>
      <c r="I138" s="337"/>
      <c r="J138" s="1354"/>
      <c r="K138" s="24"/>
      <c r="L138" s="1757"/>
      <c r="M138" s="1758"/>
      <c r="N138" s="1758"/>
      <c r="O138" s="11"/>
    </row>
    <row r="139" spans="1:15" ht="15" customHeight="1" x14ac:dyDescent="0.25">
      <c r="A139" s="1348"/>
      <c r="B139" s="54" t="s">
        <v>332</v>
      </c>
      <c r="C139" s="184" t="s">
        <v>81</v>
      </c>
      <c r="D139" s="184">
        <v>175</v>
      </c>
      <c r="E139" s="184" t="s">
        <v>392</v>
      </c>
      <c r="F139" s="184"/>
      <c r="G139" s="1756">
        <f>VLOOKUP($B139,'RATE BASE DATA'!$C:$J,8,FALSE)</f>
        <v>4524181.2405153196</v>
      </c>
      <c r="H139" s="1738">
        <f>VLOOKUP($E139,Ratio,2,FALSE)*$G139</f>
        <v>0</v>
      </c>
      <c r="I139" s="1738">
        <f>VLOOKUP($E139,Ratio,3,FALSE)*$G139</f>
        <v>0</v>
      </c>
      <c r="J139" s="1739">
        <f>VLOOKUP($E139,Ratio,4,FALSE)*$G139</f>
        <v>4524181.2405153196</v>
      </c>
      <c r="K139" s="24"/>
      <c r="L139" s="1757"/>
      <c r="M139" s="1758"/>
      <c r="N139" s="1758"/>
      <c r="O139" s="11"/>
    </row>
    <row r="140" spans="1:15" ht="15" customHeight="1" x14ac:dyDescent="0.25">
      <c r="A140" s="1348"/>
      <c r="B140" s="143" t="s">
        <v>350</v>
      </c>
      <c r="C140" s="184" t="s">
        <v>81</v>
      </c>
      <c r="D140" s="184">
        <v>175</v>
      </c>
      <c r="E140" s="184" t="s">
        <v>392</v>
      </c>
      <c r="F140" s="184"/>
      <c r="G140" s="1756">
        <f>VLOOKUP($B140,'RATE BASE DATA'!$C:$J,8,FALSE)</f>
        <v>1082566.712829048</v>
      </c>
      <c r="H140" s="1738">
        <f>VLOOKUP($E140,Ratio,2,FALSE)*$G140</f>
        <v>0</v>
      </c>
      <c r="I140" s="1738">
        <f>VLOOKUP($E140,Ratio,3,FALSE)*$G140</f>
        <v>0</v>
      </c>
      <c r="J140" s="1739">
        <f>VLOOKUP($E140,Ratio,4,FALSE)*$G140</f>
        <v>1082566.712829048</v>
      </c>
      <c r="K140" s="24"/>
      <c r="L140" s="1757"/>
      <c r="M140" s="1758"/>
      <c r="N140" s="1758"/>
      <c r="O140" s="11"/>
    </row>
    <row r="141" spans="1:15" ht="15" customHeight="1" x14ac:dyDescent="0.25">
      <c r="A141" s="1348"/>
      <c r="B141" s="54" t="s">
        <v>333</v>
      </c>
      <c r="C141" s="184" t="s">
        <v>81</v>
      </c>
      <c r="D141" s="184">
        <v>176</v>
      </c>
      <c r="E141" s="184" t="s">
        <v>392</v>
      </c>
      <c r="F141" s="184"/>
      <c r="G141" s="1756">
        <f>VLOOKUP($B141,'RATE BASE DATA'!$C:$J,8,FALSE)</f>
        <v>0</v>
      </c>
      <c r="H141" s="1738">
        <f>VLOOKUP($E141,Ratio,2,FALSE)*$G141</f>
        <v>0</v>
      </c>
      <c r="I141" s="1738">
        <f>VLOOKUP($E141,Ratio,3,FALSE)*$G141</f>
        <v>0</v>
      </c>
      <c r="J141" s="1739">
        <f>VLOOKUP($E141,Ratio,4,FALSE)*$G141</f>
        <v>0</v>
      </c>
      <c r="K141" s="24"/>
      <c r="L141" s="1757"/>
      <c r="M141" s="1758"/>
      <c r="N141" s="1758"/>
      <c r="O141" s="11"/>
    </row>
    <row r="142" spans="1:15" ht="15" customHeight="1" x14ac:dyDescent="0.25">
      <c r="A142" s="1348"/>
      <c r="B142" s="143" t="s">
        <v>349</v>
      </c>
      <c r="C142" s="184" t="s">
        <v>81</v>
      </c>
      <c r="D142" s="184">
        <v>176</v>
      </c>
      <c r="E142" s="184" t="s">
        <v>392</v>
      </c>
      <c r="F142" s="184"/>
      <c r="G142" s="1756">
        <f>VLOOKUP($B142,'RATE BASE DATA'!$C:$J,8,FALSE)</f>
        <v>0</v>
      </c>
      <c r="H142" s="1738">
        <f>VLOOKUP($E142,Ratio,2,FALSE)*$G142</f>
        <v>0</v>
      </c>
      <c r="I142" s="1738">
        <f>VLOOKUP($E142,Ratio,3,FALSE)*$G142</f>
        <v>0</v>
      </c>
      <c r="J142" s="1739">
        <f>VLOOKUP($E142,Ratio,4,FALSE)*$G142</f>
        <v>0</v>
      </c>
      <c r="K142" s="24"/>
      <c r="L142" s="1757"/>
      <c r="M142" s="1758"/>
      <c r="N142" s="1758"/>
      <c r="O142" s="11"/>
    </row>
    <row r="143" spans="1:15" ht="15" customHeight="1" x14ac:dyDescent="0.25">
      <c r="A143" s="1348"/>
      <c r="B143" s="76" t="s">
        <v>104</v>
      </c>
      <c r="C143" s="1853"/>
      <c r="D143" s="1847"/>
      <c r="E143" s="1847"/>
      <c r="F143" s="1848"/>
      <c r="G143" s="1781">
        <f>G139-G140+G141-G142</f>
        <v>3441614.5276862718</v>
      </c>
      <c r="H143" s="495">
        <f>H139-H140+H141-H142</f>
        <v>0</v>
      </c>
      <c r="I143" s="495">
        <f>I139-I140+I141-I142</f>
        <v>0</v>
      </c>
      <c r="J143" s="1365">
        <f>J139-J140+J141-J142</f>
        <v>3441614.5276862718</v>
      </c>
      <c r="K143" s="24"/>
      <c r="L143" s="1757"/>
      <c r="M143" s="1758"/>
      <c r="N143" s="1758"/>
      <c r="O143" s="11"/>
    </row>
    <row r="144" spans="1:15" ht="15" customHeight="1" x14ac:dyDescent="0.25">
      <c r="A144" s="1348"/>
      <c r="B144" s="53" t="s">
        <v>435</v>
      </c>
      <c r="C144" s="48"/>
      <c r="D144" s="1860"/>
      <c r="E144" s="48"/>
      <c r="F144" s="48"/>
      <c r="G144" s="377"/>
      <c r="H144" s="337"/>
      <c r="I144" s="337"/>
      <c r="J144" s="1354"/>
      <c r="K144" s="24"/>
      <c r="L144" s="1757"/>
      <c r="M144" s="1758"/>
      <c r="N144" s="1758"/>
      <c r="O144" s="11"/>
    </row>
    <row r="145" spans="1:15" ht="15" hidden="1" customHeight="1" x14ac:dyDescent="0.25">
      <c r="A145" s="1348"/>
      <c r="B145" s="54" t="s">
        <v>374</v>
      </c>
      <c r="C145" s="184" t="s">
        <v>81</v>
      </c>
      <c r="D145" s="184">
        <v>244</v>
      </c>
      <c r="E145" s="184" t="s">
        <v>392</v>
      </c>
      <c r="F145" s="184"/>
      <c r="G145" s="1783"/>
      <c r="H145" s="1738">
        <f>VLOOKUP($E145,Ratio,2,FALSE)*$G145</f>
        <v>0</v>
      </c>
      <c r="I145" s="1738">
        <f>VLOOKUP($E145,Ratio,3,FALSE)*$G145</f>
        <v>0</v>
      </c>
      <c r="J145" s="1739">
        <f>VLOOKUP($E145,Ratio,4,FALSE)*$G145</f>
        <v>0</v>
      </c>
      <c r="K145" s="24"/>
      <c r="L145" s="1757"/>
      <c r="M145" s="1758"/>
      <c r="N145" s="1758"/>
      <c r="O145" s="11"/>
    </row>
    <row r="146" spans="1:15" ht="18" customHeight="1" x14ac:dyDescent="0.25">
      <c r="A146" s="1348"/>
      <c r="B146" s="54" t="s">
        <v>375</v>
      </c>
      <c r="C146" s="184" t="s">
        <v>81</v>
      </c>
      <c r="D146" s="184">
        <v>245</v>
      </c>
      <c r="E146" s="184" t="s">
        <v>392</v>
      </c>
      <c r="F146" s="184"/>
      <c r="G146" s="1756">
        <f>VLOOKUP($B146,'RATE BASE DATA'!$C:$J,8,FALSE)</f>
        <v>0</v>
      </c>
      <c r="H146" s="1738">
        <f>VLOOKUP($E146,Ratio,2,FALSE)*$G146</f>
        <v>0</v>
      </c>
      <c r="I146" s="1738">
        <f>VLOOKUP($E146,Ratio,3,FALSE)*$G146</f>
        <v>0</v>
      </c>
      <c r="J146" s="1739">
        <f>VLOOKUP($E146,Ratio,4,FALSE)*$G146</f>
        <v>0</v>
      </c>
      <c r="K146" s="24"/>
      <c r="L146" s="1757"/>
      <c r="M146" s="1758"/>
      <c r="N146" s="1758"/>
      <c r="O146" s="11"/>
    </row>
    <row r="147" spans="1:15" ht="15" customHeight="1" x14ac:dyDescent="0.25">
      <c r="A147" s="1348"/>
      <c r="B147" s="54" t="s">
        <v>22</v>
      </c>
      <c r="C147" s="184" t="s">
        <v>81</v>
      </c>
      <c r="D147" s="184">
        <v>252</v>
      </c>
      <c r="E147" s="184" t="s">
        <v>392</v>
      </c>
      <c r="F147" s="184"/>
      <c r="G147" s="1756">
        <f>VLOOKUP($B147,'RATE BASE DATA'!$C:$J,8,FALSE)</f>
        <v>9614648.1624996364</v>
      </c>
      <c r="H147" s="1738">
        <f t="shared" ref="H147:H155" si="13">VLOOKUP($E147,Ratio,2,FALSE)*$G147</f>
        <v>0</v>
      </c>
      <c r="I147" s="1738">
        <f t="shared" ref="I147:I155" si="14">VLOOKUP($E147,Ratio,3,FALSE)*$G147</f>
        <v>0</v>
      </c>
      <c r="J147" s="1739">
        <f t="shared" ref="J147:J155" si="15">VLOOKUP($E147,Ratio,4,FALSE)*$G147</f>
        <v>9614648.1624996364</v>
      </c>
      <c r="K147" s="24"/>
      <c r="L147" s="1757"/>
      <c r="M147" s="1758"/>
      <c r="N147" s="1758"/>
      <c r="O147" s="11"/>
    </row>
    <row r="148" spans="1:15" ht="15" customHeight="1" x14ac:dyDescent="0.25">
      <c r="A148" s="1348"/>
      <c r="B148" s="54" t="s">
        <v>25</v>
      </c>
      <c r="C148" s="184" t="s">
        <v>81</v>
      </c>
      <c r="D148" s="184">
        <v>253</v>
      </c>
      <c r="E148" s="184" t="s">
        <v>90</v>
      </c>
      <c r="F148" s="184" t="s">
        <v>392</v>
      </c>
      <c r="G148" s="1756">
        <f>VLOOKUP($B148,'RATE BASE DATA'!$C:$J,8,FALSE)</f>
        <v>19175876.268163256</v>
      </c>
      <c r="H148" s="1738">
        <f>IF($E148="DIRECT",$L148,VLOOKUP($E148,Ratio,2,FALSE)*$G148)</f>
        <v>5253205.799869989</v>
      </c>
      <c r="I148" s="1738">
        <f>IF($E148="DIRECT",$M148,VLOOKUP($E148,Ratio,3,FALSE)*$G148)</f>
        <v>0</v>
      </c>
      <c r="J148" s="1739">
        <f>IF($E148="DIRECT",$N148,VLOOKUP($E148,Ratio,4,FALSE)*$G148)</f>
        <v>13922670.468293268</v>
      </c>
      <c r="K148" s="24"/>
      <c r="L148" s="1756">
        <f>-'B15-Misc Rate Base'!T247*1000</f>
        <v>5253205.799869989</v>
      </c>
      <c r="M148" s="1756">
        <f>-'B15-Misc Rate Base'!U247*1000</f>
        <v>0</v>
      </c>
      <c r="N148" s="1756">
        <f>-'B15-Misc Rate Base'!V247*1000</f>
        <v>13922670.468293268</v>
      </c>
      <c r="O148" s="11"/>
    </row>
    <row r="149" spans="1:15" ht="15" customHeight="1" x14ac:dyDescent="0.25">
      <c r="A149" s="1348"/>
      <c r="B149" s="54" t="s">
        <v>26</v>
      </c>
      <c r="C149" s="184" t="s">
        <v>81</v>
      </c>
      <c r="D149" s="184">
        <v>254</v>
      </c>
      <c r="E149" s="184" t="s">
        <v>90</v>
      </c>
      <c r="F149" s="184" t="s">
        <v>392</v>
      </c>
      <c r="G149" s="1756">
        <f>VLOOKUP($B149,'RATE BASE DATA'!$C:$J,8,FALSE)</f>
        <v>80332845.339047253</v>
      </c>
      <c r="H149" s="1738">
        <f>IF($E149="DIRECT",$L149,VLOOKUP($E149,Ratio,2,FALSE)*$G149)</f>
        <v>7328874.1386609729</v>
      </c>
      <c r="I149" s="1738">
        <f>IF($E149="DIRECT",$M149,VLOOKUP($E149,Ratio,3,FALSE)*$G149)</f>
        <v>0</v>
      </c>
      <c r="J149" s="1739">
        <f>IF($E149="DIRECT",$N149,VLOOKUP($E149,Ratio,4,FALSE)*$G149)</f>
        <v>73003971.200386286</v>
      </c>
      <c r="K149" s="24"/>
      <c r="L149" s="1756">
        <f>-'B15-Misc Rate Base'!T254*1000</f>
        <v>7328874.1386609729</v>
      </c>
      <c r="M149" s="1756">
        <f>-'B15-Misc Rate Base'!U254*1000</f>
        <v>0</v>
      </c>
      <c r="N149" s="1756">
        <f>-'B15-Misc Rate Base'!V254*1000</f>
        <v>73003971.200386286</v>
      </c>
      <c r="O149" s="11"/>
    </row>
    <row r="150" spans="1:15" ht="15" customHeight="1" x14ac:dyDescent="0.25">
      <c r="A150" s="1348"/>
      <c r="B150" s="54" t="s">
        <v>23</v>
      </c>
      <c r="C150" s="184" t="s">
        <v>81</v>
      </c>
      <c r="D150" s="184">
        <v>255</v>
      </c>
      <c r="E150" s="184" t="s">
        <v>392</v>
      </c>
      <c r="F150" s="184"/>
      <c r="G150" s="1756">
        <f>VLOOKUP($B150,'RATE BASE DATA'!$C:$J,8,FALSE)</f>
        <v>117625.54723819264</v>
      </c>
      <c r="H150" s="1738">
        <f t="shared" si="13"/>
        <v>0</v>
      </c>
      <c r="I150" s="1738">
        <f t="shared" si="14"/>
        <v>0</v>
      </c>
      <c r="J150" s="1739">
        <f t="shared" si="15"/>
        <v>117625.54723819264</v>
      </c>
      <c r="K150" s="24"/>
      <c r="L150" s="1764"/>
      <c r="M150" s="1755"/>
      <c r="N150" s="1755"/>
      <c r="O150" s="11"/>
    </row>
    <row r="151" spans="1:15" ht="15" customHeight="1" x14ac:dyDescent="0.25">
      <c r="A151" s="1348"/>
      <c r="B151" s="54" t="s">
        <v>24</v>
      </c>
      <c r="C151" s="184" t="s">
        <v>81</v>
      </c>
      <c r="D151" s="184">
        <v>256</v>
      </c>
      <c r="E151" s="184" t="s">
        <v>90</v>
      </c>
      <c r="F151" s="184"/>
      <c r="G151" s="1756">
        <f>VLOOKUP($B151,'RATE BASE DATA'!$C:$J,8,FALSE)</f>
        <v>0</v>
      </c>
      <c r="H151" s="1738">
        <f>IF($E151="DIRECT",$L151,VLOOKUP($E151,Ratio,2,FALSE)*$G151)</f>
        <v>0</v>
      </c>
      <c r="I151" s="1738">
        <f>IF($E151="DIRECT",$M151,VLOOKUP($E151,Ratio,3,FALSE)*$G151)</f>
        <v>0</v>
      </c>
      <c r="J151" s="1739">
        <f>IF($E151="DIRECT",$N151,VLOOKUP($E151,Ratio,4,FALSE)*$G151)</f>
        <v>0</v>
      </c>
      <c r="K151" s="24"/>
      <c r="L151" s="1756"/>
      <c r="M151" s="1756"/>
      <c r="N151" s="1756"/>
      <c r="O151" s="11"/>
    </row>
    <row r="152" spans="1:15" ht="15.75" customHeight="1" x14ac:dyDescent="0.25">
      <c r="A152" s="1348"/>
      <c r="B152" s="54" t="s">
        <v>27</v>
      </c>
      <c r="C152" s="184" t="s">
        <v>81</v>
      </c>
      <c r="D152" s="184">
        <v>257</v>
      </c>
      <c r="E152" s="184" t="s">
        <v>108</v>
      </c>
      <c r="F152" s="184"/>
      <c r="G152" s="1756">
        <f>VLOOKUP($B152,'RATE BASE DATA'!$C:$J,8,FALSE)</f>
        <v>0</v>
      </c>
      <c r="H152" s="1738">
        <f t="shared" si="13"/>
        <v>0</v>
      </c>
      <c r="I152" s="1738">
        <f t="shared" si="14"/>
        <v>0</v>
      </c>
      <c r="J152" s="1739">
        <f t="shared" si="15"/>
        <v>0</v>
      </c>
      <c r="K152" s="24"/>
      <c r="L152" s="1757"/>
      <c r="M152" s="1758"/>
      <c r="N152" s="1758"/>
      <c r="O152" s="11"/>
    </row>
    <row r="153" spans="1:15" ht="15" customHeight="1" x14ac:dyDescent="0.25">
      <c r="A153" s="1348"/>
      <c r="B153" s="54" t="s">
        <v>31</v>
      </c>
      <c r="C153" s="184" t="s">
        <v>81</v>
      </c>
      <c r="D153" s="184">
        <v>281</v>
      </c>
      <c r="E153" s="184" t="s">
        <v>392</v>
      </c>
      <c r="F153" s="184"/>
      <c r="G153" s="1756">
        <f>VLOOKUP($B153,'RATE BASE DATA'!$C:$J,8,FALSE)</f>
        <v>6657578.1987823648</v>
      </c>
      <c r="H153" s="1738">
        <f t="shared" si="13"/>
        <v>0</v>
      </c>
      <c r="I153" s="1738">
        <f t="shared" si="14"/>
        <v>0</v>
      </c>
      <c r="J153" s="1739">
        <f t="shared" si="15"/>
        <v>6657578.1987823648</v>
      </c>
      <c r="K153" s="24"/>
      <c r="L153" s="1757"/>
      <c r="M153" s="1758"/>
      <c r="N153" s="1758"/>
      <c r="O153" s="11"/>
    </row>
    <row r="154" spans="1:15" ht="15" customHeight="1" x14ac:dyDescent="0.25">
      <c r="A154" s="1348"/>
      <c r="B154" s="54" t="s">
        <v>32</v>
      </c>
      <c r="C154" s="184" t="s">
        <v>81</v>
      </c>
      <c r="D154" s="184">
        <v>282</v>
      </c>
      <c r="E154" s="184" t="s">
        <v>392</v>
      </c>
      <c r="F154" s="184"/>
      <c r="G154" s="1756">
        <f>VLOOKUP($B154,'RATE BASE DATA'!$C:$J,8,FALSE)</f>
        <v>185019475.6456615</v>
      </c>
      <c r="H154" s="1738">
        <f t="shared" si="13"/>
        <v>0</v>
      </c>
      <c r="I154" s="1738">
        <f t="shared" si="14"/>
        <v>0</v>
      </c>
      <c r="J154" s="1739">
        <f t="shared" si="15"/>
        <v>185019475.6456615</v>
      </c>
      <c r="K154" s="24"/>
      <c r="L154" s="1757"/>
      <c r="M154" s="1758"/>
      <c r="N154" s="1758"/>
      <c r="O154" s="11"/>
    </row>
    <row r="155" spans="1:15" ht="15" customHeight="1" x14ac:dyDescent="0.25">
      <c r="A155" s="1348"/>
      <c r="B155" s="54" t="s">
        <v>33</v>
      </c>
      <c r="C155" s="184" t="s">
        <v>81</v>
      </c>
      <c r="D155" s="184">
        <v>283</v>
      </c>
      <c r="E155" s="184" t="s">
        <v>392</v>
      </c>
      <c r="F155" s="184"/>
      <c r="G155" s="1756">
        <f>VLOOKUP($B155,'RATE BASE DATA'!$C:$J,8,FALSE)</f>
        <v>13107319.998218885</v>
      </c>
      <c r="H155" s="1738">
        <f t="shared" si="13"/>
        <v>0</v>
      </c>
      <c r="I155" s="1738">
        <f t="shared" si="14"/>
        <v>0</v>
      </c>
      <c r="J155" s="1739">
        <f t="shared" si="15"/>
        <v>13107319.998218885</v>
      </c>
      <c r="K155" s="24"/>
      <c r="L155" s="1757"/>
      <c r="M155" s="1758"/>
      <c r="N155" s="1758"/>
      <c r="O155" s="11"/>
    </row>
    <row r="156" spans="1:15" ht="15" customHeight="1" x14ac:dyDescent="0.25">
      <c r="A156" s="1348"/>
      <c r="B156" s="76" t="s">
        <v>104</v>
      </c>
      <c r="C156" s="1853"/>
      <c r="D156" s="1847"/>
      <c r="E156" s="1847"/>
      <c r="F156" s="1848"/>
      <c r="G156" s="1781">
        <f>SUM(G145:G155)</f>
        <v>314025369.15961111</v>
      </c>
      <c r="H156" s="495">
        <f>SUM(H145:H155)</f>
        <v>12582079.938530963</v>
      </c>
      <c r="I156" s="495">
        <f>SUM(I145:I155)</f>
        <v>0</v>
      </c>
      <c r="J156" s="1365">
        <f>SUM(J145:J155)</f>
        <v>301443289.22108012</v>
      </c>
      <c r="K156" s="24"/>
      <c r="L156" s="1757"/>
      <c r="M156" s="1758"/>
      <c r="N156" s="1758"/>
      <c r="O156" s="11"/>
    </row>
    <row r="157" spans="1:15" ht="15" customHeight="1" x14ac:dyDescent="0.25">
      <c r="A157" s="1348"/>
      <c r="B157" s="62"/>
      <c r="C157" s="34"/>
      <c r="D157" s="1861"/>
      <c r="E157" s="34"/>
      <c r="F157" s="34"/>
      <c r="G157" s="384"/>
      <c r="H157" s="385"/>
      <c r="I157" s="385"/>
      <c r="J157" s="1371"/>
      <c r="K157" s="24"/>
      <c r="L157" s="1757"/>
      <c r="M157" s="1758"/>
      <c r="N157" s="1758"/>
      <c r="O157" s="11"/>
    </row>
    <row r="158" spans="1:15" ht="15" customHeight="1" x14ac:dyDescent="0.25">
      <c r="A158" s="1350" t="s">
        <v>73</v>
      </c>
      <c r="B158" s="32"/>
      <c r="C158" s="1853"/>
      <c r="D158" s="1847"/>
      <c r="E158" s="1847"/>
      <c r="F158" s="1848"/>
      <c r="G158" s="1781">
        <f>+G156+G143</f>
        <v>317466983.6872974</v>
      </c>
      <c r="H158" s="495">
        <f>+H156+H143</f>
        <v>12582079.938530963</v>
      </c>
      <c r="I158" s="495">
        <f>+I156+I143</f>
        <v>0</v>
      </c>
      <c r="J158" s="1365">
        <f>+J156+J143</f>
        <v>304884903.74876642</v>
      </c>
      <c r="L158" s="1765"/>
      <c r="M158" s="1758"/>
      <c r="N158" s="1758"/>
      <c r="O158" s="11"/>
    </row>
    <row r="159" spans="1:15" ht="15" customHeight="1" x14ac:dyDescent="0.25">
      <c r="A159" s="1372"/>
      <c r="B159" s="32"/>
      <c r="C159" s="34"/>
      <c r="D159" s="34"/>
      <c r="E159" s="34"/>
      <c r="F159" s="34"/>
      <c r="G159" s="377"/>
      <c r="H159" s="142"/>
      <c r="I159" s="142"/>
      <c r="J159" s="1347"/>
      <c r="L159" s="1765"/>
      <c r="M159" s="1758"/>
      <c r="N159" s="1758"/>
      <c r="O159" s="11"/>
    </row>
    <row r="160" spans="1:15" ht="15" customHeight="1" x14ac:dyDescent="0.25">
      <c r="A160" s="1373"/>
      <c r="B160" s="62"/>
      <c r="C160" s="1861"/>
      <c r="D160" s="1861"/>
      <c r="E160" s="1815"/>
      <c r="F160" s="1815"/>
      <c r="G160" s="1782"/>
      <c r="H160" s="338"/>
      <c r="I160" s="338"/>
      <c r="J160" s="1374"/>
      <c r="L160" s="1755"/>
      <c r="M160" s="1755"/>
      <c r="N160" s="1755"/>
    </row>
    <row r="161" spans="1:15" ht="15" customHeight="1" x14ac:dyDescent="0.25">
      <c r="A161" s="1344" t="s">
        <v>478</v>
      </c>
      <c r="B161" s="32"/>
      <c r="C161" s="1862"/>
      <c r="D161" s="1863"/>
      <c r="E161" s="1863"/>
      <c r="F161" s="1864"/>
      <c r="G161" s="1792">
        <f>G79+G135-G158</f>
        <v>1469509190.8002994</v>
      </c>
      <c r="H161" s="499">
        <f>H79+H135-H158</f>
        <v>646593837.93312705</v>
      </c>
      <c r="I161" s="499">
        <f>I79+I135-I158</f>
        <v>0</v>
      </c>
      <c r="J161" s="1375">
        <f>J79+J135-J158</f>
        <v>822915292.27953649</v>
      </c>
      <c r="L161" s="1766"/>
      <c r="M161" s="1758"/>
      <c r="N161" s="1758"/>
      <c r="O161" s="11"/>
    </row>
    <row r="162" spans="1:15" ht="15" customHeight="1" x14ac:dyDescent="0.25">
      <c r="A162" s="1356" t="s">
        <v>83</v>
      </c>
      <c r="B162" s="32"/>
      <c r="C162" s="8"/>
      <c r="D162" s="8"/>
      <c r="E162" s="8"/>
      <c r="F162" s="8"/>
      <c r="G162" s="1793"/>
      <c r="H162" s="23"/>
      <c r="I162" s="30"/>
      <c r="J162" s="1376"/>
      <c r="K162" s="11"/>
      <c r="L162" s="1758"/>
      <c r="M162" s="1758"/>
      <c r="N162" s="1755"/>
    </row>
    <row r="163" spans="1:15" ht="15" customHeight="1" thickBot="1" x14ac:dyDescent="0.3">
      <c r="A163" s="1359"/>
      <c r="B163" s="173"/>
      <c r="C163" s="174"/>
      <c r="D163" s="174"/>
      <c r="E163" s="174"/>
      <c r="F163" s="174"/>
      <c r="G163" s="1794"/>
      <c r="H163" s="271"/>
      <c r="I163" s="272"/>
      <c r="J163" s="1377"/>
      <c r="K163" s="11"/>
      <c r="L163" s="1758"/>
      <c r="M163" s="1758"/>
      <c r="N163" s="1755"/>
    </row>
    <row r="164" spans="1:15" ht="15" customHeight="1" thickTop="1" x14ac:dyDescent="0.25">
      <c r="A164" s="1"/>
      <c r="B164" s="1"/>
      <c r="C164" s="1"/>
      <c r="D164" s="1"/>
      <c r="G164" s="1755"/>
      <c r="H164" s="1"/>
      <c r="I164" s="1"/>
      <c r="J164" s="1"/>
      <c r="K164" s="11"/>
      <c r="L164" s="1758"/>
      <c r="M164" s="1758"/>
      <c r="N164" s="1755"/>
    </row>
    <row r="165" spans="1:15" ht="15" customHeight="1" x14ac:dyDescent="0.25">
      <c r="A165" s="1"/>
      <c r="B165" s="1"/>
      <c r="C165" s="1"/>
      <c r="D165" s="1"/>
      <c r="G165" s="1755"/>
      <c r="H165" s="1"/>
      <c r="I165" s="1"/>
      <c r="J165" s="1"/>
      <c r="L165" s="1765"/>
      <c r="M165" s="1758"/>
      <c r="N165" s="1758"/>
      <c r="O165" s="11"/>
    </row>
    <row r="166" spans="1:15" ht="15" customHeight="1" x14ac:dyDescent="0.25">
      <c r="A166" s="1"/>
      <c r="B166" s="1"/>
      <c r="C166" s="1"/>
      <c r="D166" s="1"/>
      <c r="G166" s="1755"/>
      <c r="H166" s="1"/>
      <c r="I166" s="1"/>
      <c r="J166" s="1"/>
      <c r="L166" s="1765"/>
      <c r="M166" s="1758"/>
      <c r="N166" s="1758"/>
      <c r="O166" s="11"/>
    </row>
    <row r="167" spans="1:15" ht="15" customHeight="1" x14ac:dyDescent="0.25">
      <c r="A167" s="1"/>
      <c r="B167" s="1"/>
      <c r="C167" s="1"/>
      <c r="D167" s="1"/>
      <c r="G167" s="1755"/>
      <c r="H167" s="1"/>
      <c r="I167" s="1"/>
      <c r="J167" s="1"/>
      <c r="L167" s="1765"/>
      <c r="M167" s="1758"/>
      <c r="N167" s="1758"/>
      <c r="O167" s="11"/>
    </row>
    <row r="168" spans="1:15" ht="15" customHeight="1" x14ac:dyDescent="0.25">
      <c r="A168" s="1"/>
      <c r="B168" s="1"/>
      <c r="C168" s="1"/>
      <c r="D168" s="1"/>
      <c r="G168" s="1755"/>
      <c r="H168" s="1"/>
      <c r="I168" s="1"/>
      <c r="J168" s="1"/>
      <c r="L168" s="1765"/>
      <c r="M168" s="1758"/>
      <c r="N168" s="1758"/>
      <c r="O168" s="11"/>
    </row>
    <row r="169" spans="1:15" ht="15" customHeight="1" x14ac:dyDescent="0.25">
      <c r="A169" s="1"/>
      <c r="B169" s="1"/>
      <c r="C169" s="1"/>
      <c r="D169" s="1"/>
      <c r="G169" s="1755"/>
      <c r="H169" s="1"/>
      <c r="I169" s="1"/>
      <c r="J169" s="1"/>
      <c r="L169" s="1765"/>
      <c r="M169" s="1758"/>
      <c r="N169" s="1758"/>
      <c r="O169" s="11"/>
    </row>
    <row r="170" spans="1:15" ht="15" customHeight="1" x14ac:dyDescent="0.25">
      <c r="A170" s="1"/>
      <c r="B170" s="1"/>
      <c r="C170" s="1"/>
      <c r="D170" s="1"/>
      <c r="G170" s="1755"/>
      <c r="H170" s="1"/>
      <c r="I170" s="1"/>
      <c r="J170" s="1"/>
      <c r="L170" s="1765"/>
      <c r="M170" s="1758"/>
      <c r="N170" s="1758"/>
      <c r="O170" s="11"/>
    </row>
    <row r="171" spans="1:15" ht="15" customHeight="1" x14ac:dyDescent="0.25">
      <c r="A171" s="1"/>
      <c r="B171" s="1"/>
      <c r="C171" s="1"/>
      <c r="D171" s="1"/>
      <c r="G171" s="1755"/>
      <c r="H171" s="1"/>
      <c r="I171" s="1"/>
      <c r="J171" s="1"/>
      <c r="L171" s="1765"/>
      <c r="M171" s="1758"/>
      <c r="N171" s="1758"/>
      <c r="O171" s="11"/>
    </row>
    <row r="172" spans="1:15" ht="15" customHeight="1" x14ac:dyDescent="0.25">
      <c r="A172" s="1"/>
      <c r="B172" s="1"/>
      <c r="C172" s="1"/>
      <c r="D172" s="1"/>
      <c r="G172" s="1755"/>
      <c r="H172" s="1"/>
      <c r="I172" s="1"/>
      <c r="J172" s="1"/>
      <c r="L172" s="1765"/>
      <c r="M172" s="1758"/>
      <c r="N172" s="1758"/>
      <c r="O172" s="11"/>
    </row>
    <row r="173" spans="1:15" ht="15" customHeight="1" x14ac:dyDescent="0.25">
      <c r="A173" s="1"/>
      <c r="B173" s="1"/>
      <c r="C173" s="1"/>
      <c r="D173" s="1"/>
      <c r="G173" s="1755"/>
      <c r="H173" s="1"/>
      <c r="I173" s="1"/>
      <c r="J173" s="1"/>
      <c r="L173" s="1765"/>
      <c r="M173" s="1758"/>
      <c r="N173" s="1758"/>
      <c r="O173" s="11"/>
    </row>
    <row r="174" spans="1:15" ht="15" customHeight="1" x14ac:dyDescent="0.25">
      <c r="A174" s="1"/>
      <c r="B174" s="1"/>
      <c r="C174" s="1"/>
      <c r="D174" s="1"/>
      <c r="G174" s="1755"/>
      <c r="H174" s="1"/>
      <c r="I174" s="1"/>
      <c r="J174" s="1"/>
      <c r="L174" s="1765"/>
      <c r="M174" s="1758"/>
      <c r="N174" s="1758"/>
      <c r="O174" s="11"/>
    </row>
    <row r="175" spans="1:15" ht="15" customHeight="1" x14ac:dyDescent="0.25">
      <c r="A175" s="1"/>
      <c r="B175" s="1"/>
      <c r="C175" s="1"/>
      <c r="D175" s="1"/>
      <c r="G175" s="1755"/>
      <c r="H175" s="1"/>
      <c r="I175" s="1"/>
      <c r="J175" s="1"/>
      <c r="L175" s="1765"/>
      <c r="M175" s="1758"/>
      <c r="N175" s="1758"/>
      <c r="O175" s="11"/>
    </row>
    <row r="176" spans="1:15" ht="15" customHeight="1" x14ac:dyDescent="0.25">
      <c r="A176" s="1"/>
      <c r="B176" s="1"/>
      <c r="C176" s="1"/>
      <c r="D176" s="1"/>
      <c r="G176" s="1755"/>
      <c r="H176" s="1"/>
      <c r="I176" s="1"/>
      <c r="J176" s="1"/>
      <c r="L176" s="1765"/>
      <c r="M176" s="1758"/>
      <c r="N176" s="1758"/>
      <c r="O176" s="11"/>
    </row>
    <row r="177" spans="1:15" ht="15" customHeight="1" x14ac:dyDescent="0.25">
      <c r="A177" s="1"/>
      <c r="B177" s="1"/>
      <c r="C177" s="1"/>
      <c r="D177" s="1"/>
      <c r="G177" s="1755"/>
      <c r="H177" s="1"/>
      <c r="I177" s="1"/>
      <c r="J177" s="1"/>
      <c r="L177" s="1765"/>
      <c r="M177" s="1758"/>
      <c r="N177" s="1758"/>
      <c r="O177" s="11"/>
    </row>
    <row r="178" spans="1:15" ht="15" customHeight="1" x14ac:dyDescent="0.25">
      <c r="A178" s="1"/>
      <c r="B178" s="1"/>
      <c r="C178" s="1"/>
      <c r="D178" s="1"/>
      <c r="G178" s="1755"/>
      <c r="H178" s="1"/>
      <c r="I178" s="1"/>
      <c r="J178" s="1"/>
      <c r="L178" s="1765"/>
      <c r="M178" s="1758"/>
      <c r="N178" s="1758"/>
      <c r="O178" s="11"/>
    </row>
    <row r="179" spans="1:15" ht="15" customHeight="1" x14ac:dyDescent="0.25">
      <c r="A179" s="1"/>
      <c r="B179" s="1"/>
      <c r="C179" s="1"/>
      <c r="D179" s="1"/>
      <c r="G179" s="1755"/>
      <c r="H179" s="1"/>
      <c r="I179" s="1"/>
      <c r="J179" s="1"/>
      <c r="L179" s="1765"/>
      <c r="M179" s="1758"/>
      <c r="N179" s="1758"/>
      <c r="O179" s="11"/>
    </row>
    <row r="180" spans="1:15" ht="15" customHeight="1" x14ac:dyDescent="0.25">
      <c r="A180" s="1"/>
      <c r="B180" s="1"/>
      <c r="C180" s="1"/>
      <c r="D180" s="1"/>
      <c r="G180" s="1755"/>
      <c r="H180" s="1"/>
      <c r="I180" s="1"/>
      <c r="J180" s="1"/>
      <c r="L180" s="1765"/>
      <c r="M180" s="1758"/>
      <c r="N180" s="1758"/>
      <c r="O180" s="11"/>
    </row>
    <row r="181" spans="1:15" ht="15" customHeight="1" x14ac:dyDescent="0.25">
      <c r="A181" s="1"/>
      <c r="B181" s="1"/>
      <c r="C181" s="1"/>
      <c r="D181" s="1"/>
      <c r="G181" s="1755"/>
      <c r="H181" s="1"/>
      <c r="I181" s="1"/>
      <c r="J181" s="1"/>
      <c r="L181" s="1765"/>
      <c r="M181" s="1758"/>
      <c r="N181" s="1758"/>
      <c r="O181" s="11"/>
    </row>
    <row r="182" spans="1:15" ht="15" customHeight="1" x14ac:dyDescent="0.25">
      <c r="A182" s="1"/>
      <c r="B182" s="1"/>
      <c r="C182" s="1"/>
      <c r="D182" s="1"/>
      <c r="G182" s="1755"/>
      <c r="H182" s="1"/>
      <c r="I182" s="1"/>
      <c r="J182" s="1"/>
      <c r="L182" s="1765"/>
      <c r="M182" s="1758"/>
      <c r="N182" s="1758"/>
      <c r="O182" s="11"/>
    </row>
    <row r="183" spans="1:15" ht="15" customHeight="1" x14ac:dyDescent="0.25">
      <c r="A183" s="1"/>
      <c r="B183" s="1"/>
      <c r="C183" s="1"/>
      <c r="D183" s="1"/>
      <c r="G183" s="1755"/>
      <c r="H183" s="1"/>
      <c r="I183" s="1"/>
      <c r="J183" s="1"/>
      <c r="L183" s="1765"/>
      <c r="M183" s="1758"/>
      <c r="N183" s="1758"/>
      <c r="O183" s="11"/>
    </row>
    <row r="184" spans="1:15" ht="15" customHeight="1" x14ac:dyDescent="0.25">
      <c r="A184" s="1"/>
      <c r="B184" s="1"/>
      <c r="C184" s="1"/>
      <c r="D184" s="1"/>
      <c r="G184" s="1755"/>
      <c r="H184" s="1"/>
      <c r="I184" s="1"/>
      <c r="J184" s="1"/>
      <c r="L184" s="1765"/>
      <c r="M184" s="1758"/>
      <c r="N184" s="1758"/>
      <c r="O184" s="11"/>
    </row>
    <row r="185" spans="1:15" ht="15" customHeight="1" x14ac:dyDescent="0.25">
      <c r="A185" s="1"/>
      <c r="B185" s="1"/>
      <c r="C185" s="1"/>
      <c r="D185" s="1"/>
      <c r="G185" s="1755"/>
      <c r="H185" s="1"/>
      <c r="I185" s="1"/>
      <c r="J185" s="1"/>
      <c r="L185" s="1765"/>
      <c r="M185" s="1758"/>
      <c r="N185" s="1758"/>
      <c r="O185" s="11"/>
    </row>
    <row r="186" spans="1:15" ht="15" customHeight="1" x14ac:dyDescent="0.25">
      <c r="A186" s="1"/>
      <c r="B186" s="1"/>
      <c r="C186" s="1"/>
      <c r="D186" s="1"/>
      <c r="G186" s="1755"/>
      <c r="H186" s="1"/>
      <c r="I186" s="1"/>
      <c r="J186" s="1"/>
      <c r="L186" s="1767"/>
      <c r="M186" s="1758"/>
      <c r="N186" s="1758"/>
      <c r="O186" s="11"/>
    </row>
    <row r="187" spans="1:15" ht="15" customHeight="1" x14ac:dyDescent="0.25">
      <c r="A187" s="1"/>
      <c r="B187" s="1"/>
      <c r="C187" s="1"/>
      <c r="D187" s="1"/>
      <c r="G187" s="1755"/>
      <c r="H187" s="1"/>
      <c r="I187" s="1"/>
      <c r="J187" s="1"/>
      <c r="L187" s="1765"/>
      <c r="M187" s="1758"/>
      <c r="N187" s="1758"/>
      <c r="O187" s="11"/>
    </row>
    <row r="188" spans="1:15" ht="15" customHeight="1" x14ac:dyDescent="0.25">
      <c r="A188" s="1"/>
      <c r="B188" s="1"/>
      <c r="C188" s="1"/>
      <c r="D188" s="1"/>
      <c r="G188" s="1755"/>
      <c r="H188" s="1"/>
      <c r="I188" s="1"/>
      <c r="J188" s="1"/>
      <c r="L188" s="1765"/>
      <c r="M188" s="1758"/>
      <c r="N188" s="1758"/>
      <c r="O188" s="11"/>
    </row>
    <row r="189" spans="1:15" ht="15" customHeight="1" x14ac:dyDescent="0.25">
      <c r="A189" s="1"/>
      <c r="B189" s="1"/>
      <c r="C189" s="1"/>
      <c r="D189" s="1"/>
      <c r="G189" s="1755"/>
      <c r="H189" s="1"/>
      <c r="I189" s="1"/>
      <c r="J189" s="1"/>
      <c r="L189" s="1765"/>
      <c r="M189" s="1758"/>
      <c r="N189" s="1758"/>
      <c r="O189" s="11"/>
    </row>
    <row r="190" spans="1:15" ht="15" customHeight="1" x14ac:dyDescent="0.25">
      <c r="A190" s="1"/>
      <c r="B190" s="1"/>
      <c r="C190" s="1"/>
      <c r="D190" s="1"/>
      <c r="G190" s="1755"/>
      <c r="H190" s="1"/>
      <c r="I190" s="1"/>
      <c r="J190" s="1"/>
      <c r="L190" s="1765"/>
      <c r="M190" s="1758"/>
      <c r="N190" s="1758"/>
      <c r="O190" s="11"/>
    </row>
    <row r="191" spans="1:15" ht="15" customHeight="1" x14ac:dyDescent="0.25">
      <c r="A191" s="1"/>
      <c r="B191" s="1"/>
      <c r="C191" s="1"/>
      <c r="D191" s="1"/>
      <c r="G191" s="1755"/>
      <c r="H191" s="1"/>
      <c r="I191" s="1"/>
      <c r="J191" s="1"/>
      <c r="L191" s="1765"/>
      <c r="M191" s="1758"/>
      <c r="N191" s="1758"/>
      <c r="O191" s="11"/>
    </row>
    <row r="192" spans="1:15" ht="15" customHeight="1" x14ac:dyDescent="0.25">
      <c r="A192" s="1"/>
      <c r="B192" s="1"/>
      <c r="C192" s="1"/>
      <c r="D192" s="1"/>
      <c r="G192" s="1755"/>
      <c r="H192" s="1"/>
      <c r="I192" s="1"/>
      <c r="J192" s="1"/>
      <c r="L192" s="1765"/>
      <c r="M192" s="1758"/>
      <c r="N192" s="1758"/>
      <c r="O192" s="11"/>
    </row>
    <row r="193" spans="1:15" ht="15" customHeight="1" x14ac:dyDescent="0.25">
      <c r="A193" s="1"/>
      <c r="B193" s="1"/>
      <c r="C193" s="1"/>
      <c r="D193" s="1"/>
      <c r="G193" s="1755"/>
      <c r="H193" s="1"/>
      <c r="I193" s="1"/>
      <c r="J193" s="1"/>
      <c r="L193" s="1765"/>
      <c r="M193" s="1758"/>
      <c r="N193" s="1758"/>
      <c r="O193" s="11"/>
    </row>
    <row r="194" spans="1:15" ht="15" customHeight="1" x14ac:dyDescent="0.25">
      <c r="A194" s="1"/>
      <c r="B194" s="1"/>
      <c r="C194" s="1"/>
      <c r="D194" s="1"/>
      <c r="G194" s="1755"/>
      <c r="H194" s="1"/>
      <c r="I194" s="1"/>
      <c r="J194" s="1"/>
      <c r="L194" s="1765"/>
      <c r="M194" s="1758"/>
      <c r="N194" s="1758"/>
      <c r="O194" s="11"/>
    </row>
    <row r="195" spans="1:15" ht="15" customHeight="1" x14ac:dyDescent="0.25">
      <c r="A195" s="1"/>
      <c r="B195" s="1"/>
      <c r="C195" s="1"/>
      <c r="D195" s="1"/>
      <c r="G195" s="1755"/>
      <c r="H195" s="1"/>
      <c r="I195" s="1"/>
      <c r="J195" s="1"/>
      <c r="L195" s="1765"/>
      <c r="M195" s="1758"/>
      <c r="N195" s="1758"/>
      <c r="O195" s="11"/>
    </row>
    <row r="196" spans="1:15" ht="15" customHeight="1" x14ac:dyDescent="0.25">
      <c r="A196" s="1"/>
      <c r="B196" s="1"/>
      <c r="C196" s="1"/>
      <c r="D196" s="1"/>
      <c r="G196" s="1755"/>
      <c r="H196" s="1"/>
      <c r="I196" s="1"/>
      <c r="J196" s="1"/>
      <c r="L196" s="1765"/>
      <c r="M196" s="1758"/>
      <c r="N196" s="1758"/>
      <c r="O196" s="11"/>
    </row>
    <row r="197" spans="1:15" ht="15" customHeight="1" x14ac:dyDescent="0.25">
      <c r="A197" s="1"/>
      <c r="B197" s="1"/>
      <c r="C197" s="1"/>
      <c r="D197" s="1"/>
      <c r="G197" s="1755"/>
      <c r="H197" s="1"/>
      <c r="I197" s="1"/>
      <c r="J197" s="1"/>
      <c r="L197" s="1767"/>
      <c r="M197" s="1758"/>
      <c r="N197" s="1758"/>
      <c r="O197" s="11"/>
    </row>
    <row r="198" spans="1:15" ht="15" customHeight="1" x14ac:dyDescent="0.25">
      <c r="A198" s="1"/>
      <c r="B198" s="1"/>
      <c r="C198" s="1"/>
      <c r="D198" s="1"/>
      <c r="G198" s="1755"/>
      <c r="H198" s="1"/>
      <c r="I198" s="1"/>
      <c r="J198" s="1"/>
      <c r="L198" s="1765"/>
      <c r="M198" s="1758"/>
      <c r="N198" s="1758"/>
      <c r="O198" s="11"/>
    </row>
    <row r="199" spans="1:15" ht="15" customHeight="1" x14ac:dyDescent="0.25">
      <c r="A199" s="1"/>
      <c r="B199" s="1"/>
      <c r="C199" s="1"/>
      <c r="D199" s="1"/>
      <c r="G199" s="1755"/>
      <c r="H199" s="1"/>
      <c r="I199" s="1"/>
      <c r="J199" s="1"/>
      <c r="L199" s="1765"/>
      <c r="M199" s="1758"/>
      <c r="N199" s="1758"/>
      <c r="O199" s="11"/>
    </row>
    <row r="200" spans="1:15" ht="15" customHeight="1" x14ac:dyDescent="0.25">
      <c r="A200" s="1"/>
      <c r="B200" s="1"/>
      <c r="C200" s="1"/>
      <c r="D200" s="1"/>
      <c r="G200" s="1755"/>
      <c r="H200" s="1"/>
      <c r="I200" s="1"/>
      <c r="J200" s="1"/>
      <c r="L200" s="1765"/>
      <c r="M200" s="1758"/>
      <c r="N200" s="1758"/>
      <c r="O200" s="11"/>
    </row>
    <row r="201" spans="1:15" ht="15" customHeight="1" x14ac:dyDescent="0.25">
      <c r="A201" s="1"/>
      <c r="B201" s="1"/>
      <c r="C201" s="1"/>
      <c r="D201" s="1"/>
      <c r="G201" s="1755"/>
      <c r="H201" s="1"/>
      <c r="I201" s="1"/>
      <c r="J201" s="1"/>
      <c r="L201" s="1765"/>
      <c r="M201" s="1758"/>
      <c r="N201" s="1758"/>
      <c r="O201" s="11"/>
    </row>
    <row r="202" spans="1:15" ht="15" customHeight="1" x14ac:dyDescent="0.25">
      <c r="A202" s="1"/>
      <c r="B202" s="1"/>
      <c r="C202" s="1"/>
      <c r="D202" s="1"/>
      <c r="G202" s="1755"/>
      <c r="H202" s="1"/>
      <c r="I202" s="1"/>
      <c r="J202" s="1"/>
      <c r="L202" s="1765"/>
      <c r="M202" s="1758"/>
      <c r="N202" s="1758"/>
      <c r="O202" s="11"/>
    </row>
    <row r="203" spans="1:15" ht="15" customHeight="1" x14ac:dyDescent="0.25">
      <c r="A203" s="1"/>
      <c r="B203" s="1"/>
      <c r="C203" s="1"/>
      <c r="D203" s="1"/>
      <c r="G203" s="1755"/>
      <c r="H203" s="1"/>
      <c r="I203" s="1"/>
      <c r="J203" s="1"/>
      <c r="L203" s="1765"/>
      <c r="M203" s="1758"/>
      <c r="N203" s="1758"/>
      <c r="O203" s="11"/>
    </row>
    <row r="204" spans="1:15" ht="15" customHeight="1" x14ac:dyDescent="0.25">
      <c r="A204" s="1"/>
      <c r="B204" s="1"/>
      <c r="C204" s="1"/>
      <c r="D204" s="1"/>
      <c r="G204" s="1755"/>
      <c r="H204" s="1"/>
      <c r="I204" s="1"/>
      <c r="J204" s="1"/>
      <c r="L204" s="1767"/>
      <c r="M204" s="1758"/>
      <c r="N204" s="1758"/>
      <c r="O204" s="11"/>
    </row>
    <row r="205" spans="1:15" ht="15" customHeight="1" x14ac:dyDescent="0.25">
      <c r="A205" s="1"/>
      <c r="B205" s="1"/>
      <c r="C205" s="1"/>
      <c r="D205" s="1"/>
      <c r="G205" s="1755"/>
      <c r="H205" s="1"/>
      <c r="I205" s="1"/>
      <c r="J205" s="1"/>
      <c r="L205" s="1765"/>
      <c r="M205" s="1758"/>
      <c r="N205" s="1758"/>
      <c r="O205" s="11"/>
    </row>
    <row r="206" spans="1:15" ht="15" customHeight="1" x14ac:dyDescent="0.25">
      <c r="A206" s="1"/>
      <c r="B206" s="1"/>
      <c r="C206" s="1"/>
      <c r="D206" s="1"/>
      <c r="G206" s="1755"/>
      <c r="H206" s="1"/>
      <c r="I206" s="1"/>
      <c r="J206" s="1"/>
      <c r="L206" s="1765"/>
      <c r="M206" s="1758"/>
      <c r="N206" s="1758"/>
      <c r="O206" s="11"/>
    </row>
    <row r="207" spans="1:15" ht="15" customHeight="1" x14ac:dyDescent="0.25">
      <c r="A207" s="1"/>
      <c r="B207" s="1"/>
      <c r="C207" s="1"/>
      <c r="D207" s="1"/>
      <c r="G207" s="1755"/>
      <c r="H207" s="1"/>
      <c r="I207" s="1"/>
      <c r="J207" s="1"/>
      <c r="L207" s="1765"/>
      <c r="M207" s="1758"/>
      <c r="N207" s="1758"/>
      <c r="O207" s="11"/>
    </row>
    <row r="208" spans="1:15" ht="15" customHeight="1" x14ac:dyDescent="0.25">
      <c r="A208" s="1"/>
      <c r="B208" s="1"/>
      <c r="C208" s="1"/>
      <c r="D208" s="1"/>
      <c r="G208" s="1755"/>
      <c r="H208" s="1"/>
      <c r="I208" s="1"/>
      <c r="J208" s="1"/>
      <c r="L208" s="1765"/>
      <c r="M208" s="1758"/>
      <c r="N208" s="1758"/>
      <c r="O208" s="11"/>
    </row>
    <row r="209" spans="1:15" ht="15" customHeight="1" x14ac:dyDescent="0.25">
      <c r="A209" s="1"/>
      <c r="B209" s="1"/>
      <c r="C209" s="1"/>
      <c r="D209" s="1"/>
      <c r="G209" s="1755"/>
      <c r="H209" s="1"/>
      <c r="I209" s="1"/>
      <c r="J209" s="1"/>
      <c r="L209" s="1765"/>
      <c r="M209" s="1758"/>
      <c r="N209" s="1758"/>
      <c r="O209" s="11"/>
    </row>
    <row r="210" spans="1:15" ht="15" customHeight="1" x14ac:dyDescent="0.25">
      <c r="A210" s="1"/>
      <c r="B210" s="1"/>
      <c r="C210" s="1"/>
      <c r="D210" s="1"/>
      <c r="G210" s="1755"/>
      <c r="H210" s="1"/>
      <c r="I210" s="1"/>
      <c r="J210" s="1"/>
      <c r="L210" s="1765"/>
      <c r="M210" s="1758"/>
      <c r="N210" s="1758"/>
      <c r="O210" s="11"/>
    </row>
    <row r="211" spans="1:15" ht="15" customHeight="1" x14ac:dyDescent="0.25">
      <c r="A211" s="1"/>
      <c r="B211" s="1"/>
      <c r="C211" s="1"/>
      <c r="D211" s="1"/>
      <c r="G211" s="1755"/>
      <c r="H211" s="1"/>
      <c r="I211" s="1"/>
      <c r="J211" s="1"/>
      <c r="L211" s="1765"/>
      <c r="M211" s="1758"/>
      <c r="N211" s="1758"/>
      <c r="O211" s="11"/>
    </row>
    <row r="212" spans="1:15" ht="15" customHeight="1" x14ac:dyDescent="0.25">
      <c r="A212" s="1"/>
      <c r="B212" s="1"/>
      <c r="C212" s="1"/>
      <c r="D212" s="1"/>
      <c r="G212" s="1755"/>
      <c r="H212" s="1"/>
      <c r="I212" s="1"/>
      <c r="J212" s="1"/>
      <c r="L212" s="1765"/>
      <c r="M212" s="1758"/>
      <c r="N212" s="1758"/>
      <c r="O212" s="11"/>
    </row>
    <row r="213" spans="1:15" ht="15" customHeight="1" x14ac:dyDescent="0.25">
      <c r="A213" s="1"/>
      <c r="B213" s="1"/>
      <c r="C213" s="1"/>
      <c r="D213" s="1"/>
      <c r="G213" s="1755"/>
      <c r="H213" s="1"/>
      <c r="I213" s="1"/>
      <c r="J213" s="1"/>
      <c r="L213" s="1765"/>
      <c r="M213" s="1758"/>
      <c r="N213" s="1758"/>
      <c r="O213" s="11"/>
    </row>
    <row r="214" spans="1:15" ht="15" customHeight="1" x14ac:dyDescent="0.25">
      <c r="A214" s="1"/>
      <c r="B214" s="1"/>
      <c r="C214" s="1"/>
      <c r="D214" s="1"/>
      <c r="G214" s="1755"/>
      <c r="H214" s="1"/>
      <c r="I214" s="1"/>
      <c r="J214" s="1"/>
      <c r="L214" s="1765"/>
      <c r="M214" s="1758"/>
      <c r="N214" s="1758"/>
      <c r="O214" s="11"/>
    </row>
    <row r="215" spans="1:15" ht="15" customHeight="1" x14ac:dyDescent="0.25">
      <c r="A215" s="1"/>
      <c r="B215" s="1"/>
      <c r="C215" s="1"/>
      <c r="D215" s="1"/>
      <c r="G215" s="1755"/>
      <c r="H215" s="1"/>
      <c r="I215" s="1"/>
      <c r="J215" s="1"/>
      <c r="L215" s="1765"/>
      <c r="M215" s="1758"/>
      <c r="N215" s="1758"/>
      <c r="O215" s="11"/>
    </row>
    <row r="216" spans="1:15" ht="15" customHeight="1" x14ac:dyDescent="0.25">
      <c r="A216" s="1"/>
      <c r="B216" s="1"/>
      <c r="C216" s="1"/>
      <c r="D216" s="1"/>
      <c r="G216" s="1755"/>
      <c r="H216" s="1"/>
      <c r="I216" s="1"/>
      <c r="J216" s="1"/>
      <c r="L216" s="1765"/>
      <c r="M216" s="1758"/>
      <c r="N216" s="1758"/>
      <c r="O216" s="11"/>
    </row>
    <row r="217" spans="1:15" ht="15" customHeight="1" x14ac:dyDescent="0.25">
      <c r="A217" s="1"/>
      <c r="B217" s="1"/>
      <c r="C217" s="1"/>
      <c r="D217" s="1"/>
      <c r="G217" s="1755"/>
      <c r="H217" s="1"/>
      <c r="I217" s="1"/>
      <c r="J217" s="1"/>
      <c r="L217" s="1765"/>
      <c r="M217" s="1758"/>
      <c r="N217" s="1758"/>
      <c r="O217" s="11"/>
    </row>
    <row r="218" spans="1:15" ht="15" customHeight="1" x14ac:dyDescent="0.25">
      <c r="A218" s="1"/>
      <c r="B218" s="1"/>
      <c r="C218" s="1"/>
      <c r="D218" s="1"/>
      <c r="G218" s="1755"/>
      <c r="H218" s="1"/>
      <c r="I218" s="1"/>
      <c r="J218" s="1"/>
      <c r="L218" s="1765"/>
      <c r="M218" s="1758"/>
      <c r="N218" s="1758"/>
      <c r="O218" s="11"/>
    </row>
    <row r="219" spans="1:15" ht="15" customHeight="1" x14ac:dyDescent="0.25">
      <c r="A219" s="1"/>
      <c r="B219" s="1"/>
      <c r="C219" s="1"/>
      <c r="D219" s="1"/>
      <c r="G219" s="1755"/>
      <c r="H219" s="1"/>
      <c r="I219" s="1"/>
      <c r="J219" s="1"/>
      <c r="L219" s="1765"/>
      <c r="M219" s="1758"/>
      <c r="N219" s="1758"/>
      <c r="O219" s="11"/>
    </row>
    <row r="220" spans="1:15" ht="15" customHeight="1" x14ac:dyDescent="0.25">
      <c r="A220" s="1"/>
      <c r="B220" s="1"/>
      <c r="C220" s="1"/>
      <c r="D220" s="1"/>
      <c r="G220" s="1755"/>
      <c r="H220" s="1"/>
      <c r="I220" s="1"/>
      <c r="J220" s="1"/>
      <c r="L220" s="1765"/>
      <c r="M220" s="1758"/>
      <c r="N220" s="1758"/>
      <c r="O220" s="11"/>
    </row>
    <row r="221" spans="1:15" ht="15" customHeight="1" x14ac:dyDescent="0.25">
      <c r="A221" s="1"/>
      <c r="B221" s="1"/>
      <c r="C221" s="1"/>
      <c r="D221" s="1"/>
      <c r="G221" s="1755"/>
      <c r="H221" s="1"/>
      <c r="I221" s="1"/>
      <c r="J221" s="1"/>
      <c r="L221" s="1765"/>
      <c r="M221" s="1758"/>
      <c r="N221" s="1758"/>
      <c r="O221" s="11"/>
    </row>
    <row r="222" spans="1:15" ht="15" customHeight="1" x14ac:dyDescent="0.25">
      <c r="A222" s="1"/>
      <c r="B222" s="1"/>
      <c r="C222" s="1"/>
      <c r="D222" s="1"/>
      <c r="G222" s="1755"/>
      <c r="H222" s="1"/>
      <c r="I222" s="1"/>
      <c r="J222" s="1"/>
      <c r="L222" s="1765"/>
      <c r="M222" s="1758"/>
      <c r="N222" s="1758"/>
      <c r="O222" s="11"/>
    </row>
    <row r="223" spans="1:15" ht="15" customHeight="1" x14ac:dyDescent="0.25">
      <c r="A223" s="1"/>
      <c r="B223" s="1"/>
      <c r="C223" s="1"/>
      <c r="D223" s="1"/>
      <c r="G223" s="1755"/>
      <c r="H223" s="1"/>
      <c r="I223" s="1"/>
      <c r="J223" s="1"/>
      <c r="L223" s="1765"/>
      <c r="M223" s="1758"/>
      <c r="N223" s="1758"/>
      <c r="O223" s="11"/>
    </row>
    <row r="224" spans="1:15" ht="15" customHeight="1" x14ac:dyDescent="0.25">
      <c r="A224" s="1"/>
      <c r="B224" s="1"/>
      <c r="C224" s="1"/>
      <c r="D224" s="1"/>
      <c r="G224" s="1755"/>
      <c r="H224" s="1"/>
      <c r="I224" s="1"/>
      <c r="J224" s="1"/>
      <c r="L224" s="1765"/>
      <c r="M224" s="1758"/>
      <c r="N224" s="1758"/>
      <c r="O224" s="11"/>
    </row>
    <row r="225" spans="1:15" ht="15" customHeight="1" x14ac:dyDescent="0.25">
      <c r="A225" s="1"/>
      <c r="B225" s="1"/>
      <c r="C225" s="1"/>
      <c r="D225" s="1"/>
      <c r="G225" s="1755"/>
      <c r="H225" s="1"/>
      <c r="I225" s="1"/>
      <c r="J225" s="1"/>
      <c r="L225" s="1765"/>
      <c r="M225" s="1758"/>
      <c r="N225" s="1758"/>
      <c r="O225" s="11"/>
    </row>
    <row r="226" spans="1:15" ht="15" customHeight="1" x14ac:dyDescent="0.25">
      <c r="A226" s="1"/>
      <c r="B226" s="1"/>
      <c r="C226" s="1"/>
      <c r="D226" s="1"/>
      <c r="G226" s="1755"/>
      <c r="H226" s="1"/>
      <c r="I226" s="1"/>
      <c r="J226" s="1"/>
      <c r="L226" s="1765"/>
      <c r="M226" s="1758"/>
      <c r="N226" s="1758"/>
      <c r="O226" s="11"/>
    </row>
    <row r="227" spans="1:15" ht="15" customHeight="1" x14ac:dyDescent="0.25">
      <c r="A227" s="1"/>
      <c r="B227" s="1"/>
      <c r="C227" s="1"/>
      <c r="D227" s="1"/>
      <c r="G227" s="1755"/>
      <c r="H227" s="1"/>
      <c r="I227" s="1"/>
      <c r="J227" s="1"/>
      <c r="L227" s="1765"/>
      <c r="M227" s="1758"/>
      <c r="N227" s="1758"/>
      <c r="O227" s="11"/>
    </row>
    <row r="228" spans="1:15" ht="15" customHeight="1" x14ac:dyDescent="0.25">
      <c r="A228" s="1"/>
      <c r="B228" s="1"/>
      <c r="C228" s="1"/>
      <c r="D228" s="1"/>
      <c r="G228" s="1755"/>
      <c r="H228" s="1"/>
      <c r="I228" s="1"/>
      <c r="J228" s="1"/>
      <c r="L228" s="1765"/>
      <c r="M228" s="1758"/>
      <c r="N228" s="1758"/>
      <c r="O228" s="11"/>
    </row>
    <row r="229" spans="1:15" ht="15" customHeight="1" x14ac:dyDescent="0.25">
      <c r="A229" s="1"/>
      <c r="B229" s="1"/>
      <c r="C229" s="1"/>
      <c r="D229" s="1"/>
      <c r="G229" s="1755"/>
      <c r="H229" s="1"/>
      <c r="I229" s="1"/>
      <c r="J229" s="1"/>
      <c r="L229" s="1765"/>
      <c r="M229" s="1758"/>
      <c r="N229" s="1758"/>
      <c r="O229" s="11"/>
    </row>
    <row r="230" spans="1:15" ht="15" customHeight="1" x14ac:dyDescent="0.25">
      <c r="A230" s="1"/>
      <c r="B230" s="1"/>
      <c r="C230" s="1"/>
      <c r="D230" s="1"/>
      <c r="G230" s="1755"/>
      <c r="H230" s="1"/>
      <c r="I230" s="1"/>
      <c r="J230" s="1"/>
      <c r="L230" s="1765"/>
      <c r="M230" s="1758"/>
      <c r="N230" s="1758"/>
      <c r="O230" s="11"/>
    </row>
    <row r="231" spans="1:15" ht="15" customHeight="1" x14ac:dyDescent="0.25">
      <c r="A231" s="1"/>
      <c r="B231" s="1"/>
      <c r="C231" s="1"/>
      <c r="D231" s="1"/>
      <c r="G231" s="1755"/>
      <c r="H231" s="1"/>
      <c r="I231" s="1"/>
      <c r="J231" s="1"/>
      <c r="L231" s="1765"/>
      <c r="M231" s="1758"/>
      <c r="N231" s="1758"/>
      <c r="O231" s="11"/>
    </row>
    <row r="232" spans="1:15" ht="15" customHeight="1" x14ac:dyDescent="0.25">
      <c r="A232" s="1"/>
      <c r="B232" s="1"/>
      <c r="C232" s="1"/>
      <c r="D232" s="1"/>
      <c r="G232" s="1755"/>
      <c r="H232" s="1"/>
      <c r="I232" s="1"/>
      <c r="J232" s="1"/>
      <c r="L232" s="1765"/>
      <c r="M232" s="1758"/>
      <c r="N232" s="1758"/>
      <c r="O232" s="11"/>
    </row>
    <row r="233" spans="1:15" ht="15" customHeight="1" x14ac:dyDescent="0.25">
      <c r="A233" s="1"/>
      <c r="B233" s="1"/>
      <c r="C233" s="1"/>
      <c r="D233" s="1"/>
      <c r="G233" s="1755"/>
      <c r="H233" s="1"/>
      <c r="I233" s="1"/>
      <c r="J233" s="1"/>
      <c r="L233" s="1765"/>
      <c r="M233" s="1758"/>
      <c r="N233" s="1758"/>
      <c r="O233" s="11"/>
    </row>
    <row r="234" spans="1:15" ht="15" customHeight="1" x14ac:dyDescent="0.25">
      <c r="A234" s="1"/>
      <c r="B234" s="1"/>
      <c r="C234" s="1"/>
      <c r="D234" s="1"/>
      <c r="G234" s="1755"/>
      <c r="H234" s="1"/>
      <c r="I234" s="1"/>
      <c r="J234" s="1"/>
      <c r="L234" s="1765"/>
      <c r="M234" s="1758"/>
      <c r="N234" s="1758"/>
      <c r="O234" s="11"/>
    </row>
    <row r="235" spans="1:15" ht="15" customHeight="1" x14ac:dyDescent="0.25">
      <c r="A235" s="1"/>
      <c r="B235" s="1"/>
      <c r="C235" s="1"/>
      <c r="D235" s="1"/>
      <c r="G235" s="1755"/>
      <c r="H235" s="1"/>
      <c r="I235" s="1"/>
      <c r="J235" s="1"/>
      <c r="L235" s="1765"/>
      <c r="M235" s="1758"/>
      <c r="N235" s="1758"/>
      <c r="O235" s="11"/>
    </row>
    <row r="236" spans="1:15" ht="15" customHeight="1" x14ac:dyDescent="0.25">
      <c r="A236" s="1"/>
      <c r="B236" s="1"/>
      <c r="C236" s="1"/>
      <c r="D236" s="1"/>
      <c r="G236" s="1755"/>
      <c r="H236" s="1"/>
      <c r="I236" s="1"/>
      <c r="J236" s="1"/>
      <c r="L236" s="1765"/>
      <c r="M236" s="1758"/>
      <c r="N236" s="1758"/>
      <c r="O236" s="11"/>
    </row>
    <row r="237" spans="1:15" ht="15" customHeight="1" x14ac:dyDescent="0.25">
      <c r="A237" s="1"/>
      <c r="B237" s="1"/>
      <c r="C237" s="1"/>
      <c r="D237" s="1"/>
      <c r="G237" s="1755"/>
      <c r="H237" s="1"/>
      <c r="I237" s="1"/>
      <c r="J237" s="1"/>
      <c r="L237" s="1765"/>
      <c r="M237" s="1758"/>
      <c r="N237" s="1758"/>
      <c r="O237" s="11"/>
    </row>
    <row r="238" spans="1:15" ht="15" customHeight="1" x14ac:dyDescent="0.25">
      <c r="A238" s="1"/>
      <c r="B238" s="1"/>
      <c r="C238" s="1"/>
      <c r="D238" s="1"/>
      <c r="G238" s="1755"/>
      <c r="H238" s="1"/>
      <c r="I238" s="1"/>
      <c r="J238" s="1"/>
      <c r="L238" s="1765"/>
      <c r="M238" s="1758"/>
      <c r="N238" s="1758"/>
      <c r="O238" s="11"/>
    </row>
    <row r="239" spans="1:15" ht="15" customHeight="1" x14ac:dyDescent="0.25">
      <c r="A239" s="1"/>
      <c r="B239" s="1"/>
      <c r="C239" s="1"/>
      <c r="D239" s="1"/>
      <c r="G239" s="1755"/>
      <c r="H239" s="1"/>
      <c r="I239" s="1"/>
      <c r="J239" s="1"/>
      <c r="L239" s="1765"/>
      <c r="M239" s="1758"/>
      <c r="N239" s="1758"/>
      <c r="O239" s="11"/>
    </row>
    <row r="240" spans="1:15" ht="15" customHeight="1" x14ac:dyDescent="0.25">
      <c r="A240" s="1"/>
      <c r="B240" s="1"/>
      <c r="C240" s="1"/>
      <c r="D240" s="1"/>
      <c r="G240" s="1755"/>
      <c r="H240" s="1"/>
      <c r="I240" s="1"/>
      <c r="J240" s="1"/>
      <c r="L240" s="1765"/>
      <c r="M240" s="1758"/>
      <c r="N240" s="1758"/>
      <c r="O240" s="11"/>
    </row>
    <row r="241" spans="1:15" ht="15" customHeight="1" x14ac:dyDescent="0.25">
      <c r="A241" s="1"/>
      <c r="B241" s="1"/>
      <c r="C241" s="1"/>
      <c r="D241" s="1"/>
      <c r="G241" s="1755"/>
      <c r="H241" s="1"/>
      <c r="I241" s="1"/>
      <c r="J241" s="1"/>
      <c r="L241" s="1765"/>
      <c r="M241" s="1758"/>
      <c r="N241" s="1758"/>
      <c r="O241" s="11"/>
    </row>
    <row r="242" spans="1:15" ht="15" customHeight="1" x14ac:dyDescent="0.25">
      <c r="A242" s="1"/>
      <c r="B242" s="1"/>
      <c r="C242" s="1"/>
      <c r="D242" s="1"/>
      <c r="G242" s="1755"/>
      <c r="H242" s="1"/>
      <c r="I242" s="1"/>
      <c r="J242" s="1"/>
      <c r="L242" s="1765"/>
      <c r="M242" s="1758"/>
      <c r="N242" s="1758"/>
      <c r="O242" s="11"/>
    </row>
    <row r="243" spans="1:15" ht="15" customHeight="1" x14ac:dyDescent="0.25">
      <c r="A243" s="1"/>
      <c r="B243" s="1"/>
      <c r="C243" s="1"/>
      <c r="D243" s="1"/>
      <c r="G243" s="1755"/>
      <c r="H243" s="1"/>
      <c r="I243" s="1"/>
      <c r="J243" s="1"/>
      <c r="L243" s="1765"/>
      <c r="M243" s="1758"/>
      <c r="N243" s="1758"/>
      <c r="O243" s="11"/>
    </row>
    <row r="244" spans="1:15" ht="15" customHeight="1" x14ac:dyDescent="0.25">
      <c r="A244" s="1"/>
      <c r="B244" s="1"/>
      <c r="C244" s="1"/>
      <c r="D244" s="1"/>
      <c r="G244" s="1755"/>
      <c r="H244" s="1"/>
      <c r="I244" s="1"/>
      <c r="J244" s="1"/>
      <c r="L244" s="1765"/>
      <c r="M244" s="1758"/>
      <c r="N244" s="1758"/>
      <c r="O244" s="11"/>
    </row>
    <row r="245" spans="1:15" ht="15" customHeight="1" x14ac:dyDescent="0.25">
      <c r="A245" s="1"/>
      <c r="B245" s="1"/>
      <c r="C245" s="1"/>
      <c r="D245" s="1"/>
      <c r="G245" s="1755"/>
      <c r="H245" s="1"/>
      <c r="I245" s="1"/>
      <c r="J245" s="1"/>
      <c r="L245" s="1765"/>
      <c r="M245" s="1758"/>
      <c r="N245" s="1758"/>
      <c r="O245" s="11"/>
    </row>
    <row r="246" spans="1:15" ht="15" customHeight="1" x14ac:dyDescent="0.25">
      <c r="A246" s="1"/>
      <c r="B246" s="1"/>
      <c r="C246" s="1"/>
      <c r="D246" s="1"/>
      <c r="G246" s="1755"/>
      <c r="H246" s="1"/>
      <c r="I246" s="1"/>
      <c r="J246" s="1"/>
      <c r="L246" s="1765"/>
      <c r="M246" s="1758"/>
      <c r="N246" s="1758"/>
      <c r="O246" s="11"/>
    </row>
    <row r="247" spans="1:15" ht="15" customHeight="1" x14ac:dyDescent="0.25">
      <c r="A247" s="1"/>
      <c r="B247" s="1"/>
      <c r="C247" s="1"/>
      <c r="D247" s="1"/>
      <c r="G247" s="1755"/>
      <c r="H247" s="1"/>
      <c r="I247" s="1"/>
      <c r="J247" s="1"/>
      <c r="L247" s="1765"/>
      <c r="M247" s="1758"/>
      <c r="N247" s="1758"/>
      <c r="O247" s="11"/>
    </row>
    <row r="248" spans="1:15" ht="15" customHeight="1" x14ac:dyDescent="0.25">
      <c r="A248" s="1"/>
      <c r="B248" s="1"/>
      <c r="C248" s="1"/>
      <c r="D248" s="1"/>
      <c r="G248" s="1755"/>
      <c r="H248" s="1"/>
      <c r="I248" s="1"/>
      <c r="J248" s="1"/>
      <c r="L248" s="1765"/>
      <c r="M248" s="1758"/>
      <c r="N248" s="1758"/>
      <c r="O248" s="11"/>
    </row>
    <row r="249" spans="1:15" ht="15" customHeight="1" x14ac:dyDescent="0.25">
      <c r="A249" s="1"/>
      <c r="B249" s="1"/>
      <c r="C249" s="1"/>
      <c r="D249" s="1"/>
      <c r="G249" s="1755"/>
      <c r="H249" s="1"/>
      <c r="I249" s="1"/>
      <c r="J249" s="1"/>
      <c r="L249" s="1768"/>
      <c r="M249" s="1758"/>
      <c r="N249" s="1758"/>
      <c r="O249" s="11"/>
    </row>
    <row r="250" spans="1:15" ht="15" customHeight="1" x14ac:dyDescent="0.25">
      <c r="A250" s="1"/>
      <c r="B250" s="1"/>
      <c r="C250" s="1"/>
      <c r="D250" s="1"/>
      <c r="G250" s="1755"/>
      <c r="H250" s="1"/>
      <c r="I250" s="1"/>
      <c r="J250" s="1"/>
      <c r="L250" s="1768"/>
      <c r="M250" s="1758"/>
      <c r="N250" s="1758"/>
      <c r="O250" s="11"/>
    </row>
    <row r="251" spans="1:15" ht="15" customHeight="1" x14ac:dyDescent="0.25">
      <c r="A251" s="1"/>
      <c r="B251" s="1"/>
      <c r="C251" s="1"/>
      <c r="D251" s="1"/>
      <c r="G251" s="1755"/>
      <c r="H251" s="1"/>
      <c r="I251" s="1"/>
      <c r="J251" s="1"/>
      <c r="L251" s="1769"/>
      <c r="M251" s="1758"/>
      <c r="N251" s="1758"/>
      <c r="O251" s="11"/>
    </row>
    <row r="252" spans="1:15" ht="15" customHeight="1" x14ac:dyDescent="0.25">
      <c r="A252" s="1"/>
      <c r="B252" s="1"/>
      <c r="C252" s="1"/>
      <c r="D252" s="1"/>
      <c r="G252" s="1755"/>
      <c r="H252" s="1"/>
      <c r="I252" s="1"/>
      <c r="J252" s="1"/>
      <c r="L252" s="1768"/>
      <c r="M252" s="1758"/>
      <c r="N252" s="1758"/>
      <c r="O252" s="11"/>
    </row>
    <row r="253" spans="1:15" ht="15" customHeight="1" x14ac:dyDescent="0.25">
      <c r="A253" s="1"/>
      <c r="B253" s="1"/>
      <c r="C253" s="1"/>
      <c r="D253" s="1"/>
      <c r="G253" s="1755"/>
      <c r="H253" s="1"/>
      <c r="I253" s="1"/>
      <c r="J253" s="1"/>
      <c r="L253" s="1768"/>
      <c r="M253" s="1758"/>
      <c r="N253" s="1758"/>
      <c r="O253" s="11"/>
    </row>
    <row r="254" spans="1:15" ht="15" customHeight="1" x14ac:dyDescent="0.25">
      <c r="A254" s="1"/>
      <c r="B254" s="1"/>
      <c r="C254" s="1"/>
      <c r="D254" s="1"/>
      <c r="G254" s="1755"/>
      <c r="H254" s="1"/>
      <c r="I254" s="1"/>
      <c r="J254" s="1"/>
      <c r="L254" s="1768"/>
      <c r="M254" s="1758"/>
      <c r="N254" s="1758"/>
      <c r="O254" s="11"/>
    </row>
    <row r="255" spans="1:15" ht="15" customHeight="1" x14ac:dyDescent="0.25">
      <c r="A255" s="1"/>
      <c r="B255" s="1"/>
      <c r="C255" s="1"/>
      <c r="D255" s="1"/>
      <c r="G255" s="1755"/>
      <c r="H255" s="1"/>
      <c r="I255" s="1"/>
      <c r="J255" s="1"/>
      <c r="L255" s="1768"/>
      <c r="M255" s="1758"/>
      <c r="N255" s="1758"/>
      <c r="O255" s="11"/>
    </row>
    <row r="256" spans="1:15" ht="15" customHeight="1" x14ac:dyDescent="0.25">
      <c r="A256" s="1"/>
      <c r="B256" s="1"/>
      <c r="C256" s="1"/>
      <c r="D256" s="1"/>
      <c r="G256" s="1755"/>
      <c r="H256" s="1"/>
      <c r="I256" s="1"/>
      <c r="J256" s="1"/>
      <c r="L256" s="1768"/>
      <c r="M256" s="1758"/>
      <c r="N256" s="1758"/>
      <c r="O256" s="11"/>
    </row>
    <row r="257" spans="1:19" ht="15" customHeight="1" x14ac:dyDescent="0.25">
      <c r="A257" s="1"/>
      <c r="B257" s="1"/>
      <c r="C257" s="1"/>
      <c r="D257" s="1"/>
      <c r="G257" s="1755"/>
      <c r="H257" s="1"/>
      <c r="I257" s="1"/>
      <c r="J257" s="1"/>
      <c r="L257" s="1768"/>
      <c r="M257" s="1758"/>
      <c r="N257" s="1758"/>
      <c r="O257" s="11"/>
    </row>
    <row r="258" spans="1:19" ht="15" customHeight="1" x14ac:dyDescent="0.25">
      <c r="A258" s="1"/>
      <c r="B258" s="1"/>
      <c r="C258" s="1"/>
      <c r="D258" s="1"/>
      <c r="G258" s="1755"/>
      <c r="H258" s="1"/>
      <c r="I258" s="1"/>
      <c r="J258" s="1"/>
      <c r="L258" s="1768"/>
      <c r="M258" s="1758"/>
      <c r="N258" s="1758"/>
      <c r="O258" s="11"/>
    </row>
    <row r="259" spans="1:19" ht="15" customHeight="1" x14ac:dyDescent="0.25">
      <c r="A259" s="1"/>
      <c r="B259" s="1"/>
      <c r="C259" s="1"/>
      <c r="D259" s="1"/>
      <c r="G259" s="1755"/>
      <c r="H259" s="1"/>
      <c r="I259" s="1"/>
      <c r="J259" s="1"/>
      <c r="K259" s="24"/>
      <c r="L259" s="1757"/>
      <c r="M259" s="1758"/>
      <c r="N259" s="1758"/>
      <c r="O259" s="11"/>
    </row>
    <row r="260" spans="1:19" ht="15" customHeight="1" x14ac:dyDescent="0.25">
      <c r="A260" s="1"/>
      <c r="B260" s="1"/>
      <c r="C260" s="1"/>
      <c r="D260" s="1"/>
      <c r="G260" s="1755"/>
      <c r="H260" s="1"/>
      <c r="I260" s="1"/>
      <c r="J260" s="1"/>
      <c r="K260" s="24"/>
      <c r="L260" s="1757"/>
      <c r="M260" s="1758"/>
      <c r="N260" s="1758"/>
      <c r="O260" s="11"/>
    </row>
    <row r="261" spans="1:19" ht="15" customHeight="1" x14ac:dyDescent="0.25">
      <c r="A261" s="1"/>
      <c r="B261" s="1"/>
      <c r="C261" s="1"/>
      <c r="D261" s="1"/>
      <c r="G261" s="1755"/>
      <c r="H261" s="1"/>
      <c r="I261" s="1"/>
      <c r="J261" s="1"/>
      <c r="K261" s="24"/>
      <c r="L261" s="1757"/>
      <c r="M261" s="1758"/>
      <c r="N261" s="1758"/>
      <c r="O261" s="11"/>
    </row>
    <row r="262" spans="1:19" ht="15" customHeight="1" x14ac:dyDescent="0.25">
      <c r="A262" s="1"/>
      <c r="B262" s="1"/>
      <c r="C262" s="1"/>
      <c r="D262" s="1"/>
      <c r="G262" s="1755"/>
      <c r="H262" s="1"/>
      <c r="I262" s="1"/>
      <c r="J262" s="1"/>
      <c r="L262" s="1765"/>
      <c r="M262" s="1758"/>
      <c r="N262" s="1758"/>
      <c r="O262" s="11"/>
    </row>
    <row r="263" spans="1:19" ht="15" customHeight="1" x14ac:dyDescent="0.25">
      <c r="A263" s="1"/>
      <c r="B263" s="1"/>
      <c r="C263" s="1"/>
      <c r="D263" s="1"/>
      <c r="G263" s="1755"/>
      <c r="H263" s="1"/>
      <c r="I263" s="1"/>
      <c r="J263" s="1"/>
      <c r="L263" s="1765"/>
      <c r="M263" s="1758"/>
      <c r="N263" s="1758"/>
      <c r="O263" s="11"/>
    </row>
    <row r="264" spans="1:19" ht="15" customHeight="1" x14ac:dyDescent="0.25">
      <c r="A264" s="1"/>
      <c r="B264" s="1"/>
      <c r="C264" s="1"/>
      <c r="D264" s="1"/>
      <c r="G264" s="1755"/>
      <c r="H264" s="1"/>
      <c r="I264" s="1"/>
      <c r="J264" s="1"/>
      <c r="L264" s="1770"/>
      <c r="M264" s="1758"/>
      <c r="N264" s="1758"/>
      <c r="O264" s="11"/>
    </row>
    <row r="265" spans="1:19" ht="15" customHeight="1" x14ac:dyDescent="0.25">
      <c r="A265" s="1"/>
      <c r="B265" s="1"/>
      <c r="C265" s="1"/>
      <c r="D265" s="1"/>
      <c r="G265" s="1755"/>
      <c r="H265" s="1"/>
      <c r="I265" s="1"/>
      <c r="J265" s="1"/>
      <c r="L265" s="1770"/>
      <c r="M265" s="1758"/>
      <c r="N265" s="1758"/>
      <c r="O265" s="11"/>
    </row>
    <row r="266" spans="1:19" ht="15" customHeight="1" x14ac:dyDescent="0.25">
      <c r="A266" s="1"/>
      <c r="B266" s="1"/>
      <c r="C266" s="1"/>
      <c r="D266" s="1"/>
      <c r="G266" s="1755"/>
      <c r="H266" s="1"/>
      <c r="I266" s="1"/>
      <c r="J266" s="1"/>
      <c r="K266" s="24"/>
      <c r="L266" s="1757"/>
      <c r="M266" s="1758"/>
      <c r="N266" s="1758"/>
      <c r="O266" s="11"/>
    </row>
    <row r="267" spans="1:19" ht="15" customHeight="1" x14ac:dyDescent="0.25">
      <c r="A267" s="1"/>
      <c r="B267" s="1"/>
      <c r="C267" s="1"/>
      <c r="D267" s="1"/>
      <c r="G267" s="1755"/>
      <c r="H267" s="1"/>
      <c r="I267" s="1"/>
      <c r="J267" s="1"/>
      <c r="L267" s="1771"/>
      <c r="M267" s="1758"/>
      <c r="N267" s="1758"/>
      <c r="O267" s="11"/>
    </row>
    <row r="268" spans="1:19" ht="15" customHeight="1" x14ac:dyDescent="0.25">
      <c r="A268" s="1"/>
      <c r="B268" s="1"/>
      <c r="C268" s="1"/>
      <c r="D268" s="1"/>
      <c r="G268" s="1755"/>
      <c r="H268" s="1"/>
      <c r="I268" s="1"/>
      <c r="J268" s="1"/>
      <c r="K268" s="24"/>
      <c r="L268" s="1762"/>
      <c r="M268" s="1762"/>
      <c r="N268" s="1762"/>
      <c r="O268"/>
      <c r="P268"/>
      <c r="Q268"/>
      <c r="R268"/>
      <c r="S268"/>
    </row>
    <row r="269" spans="1:19" ht="15" customHeight="1" x14ac:dyDescent="0.25">
      <c r="A269" s="1"/>
      <c r="B269" s="1"/>
      <c r="C269" s="1"/>
      <c r="D269" s="1"/>
      <c r="G269" s="1755"/>
      <c r="H269" s="1"/>
      <c r="I269" s="1"/>
      <c r="J269" s="1"/>
      <c r="K269" s="24"/>
      <c r="L269" s="1762"/>
      <c r="M269" s="1762"/>
      <c r="N269" s="1762"/>
      <c r="O269"/>
      <c r="P269"/>
      <c r="Q269"/>
      <c r="R269"/>
      <c r="S269"/>
    </row>
    <row r="270" spans="1:19" ht="15" customHeight="1" x14ac:dyDescent="0.25">
      <c r="A270" s="1"/>
      <c r="B270" s="1"/>
      <c r="C270" s="1"/>
      <c r="D270" s="1"/>
      <c r="G270" s="1755"/>
      <c r="H270" s="1"/>
      <c r="I270" s="1"/>
      <c r="J270" s="1"/>
      <c r="K270" s="24"/>
      <c r="L270" s="1762"/>
      <c r="M270" s="1762"/>
      <c r="N270" s="1762"/>
      <c r="O270"/>
      <c r="P270"/>
      <c r="Q270"/>
      <c r="R270"/>
      <c r="S270"/>
    </row>
    <row r="271" spans="1:19" ht="15" customHeight="1" x14ac:dyDescent="0.25">
      <c r="A271" s="1"/>
      <c r="B271" s="1"/>
      <c r="C271" s="1"/>
      <c r="D271" s="1"/>
      <c r="G271" s="1755"/>
      <c r="H271" s="1"/>
      <c r="I271" s="1"/>
      <c r="J271" s="1"/>
      <c r="K271" s="24"/>
      <c r="L271" s="1762"/>
      <c r="M271" s="1762"/>
      <c r="N271" s="1762"/>
      <c r="O271"/>
      <c r="P271"/>
      <c r="Q271"/>
      <c r="R271"/>
      <c r="S271"/>
    </row>
    <row r="272" spans="1:19" ht="15" customHeight="1" x14ac:dyDescent="0.25">
      <c r="A272" s="1"/>
      <c r="B272" s="1"/>
      <c r="C272" s="1"/>
      <c r="D272" s="1"/>
      <c r="G272" s="1755"/>
      <c r="H272" s="1"/>
      <c r="I272" s="1"/>
      <c r="J272" s="1"/>
      <c r="K272" s="24"/>
      <c r="L272" s="1762"/>
      <c r="M272" s="1762"/>
      <c r="N272" s="1762"/>
      <c r="O272"/>
      <c r="P272"/>
      <c r="Q272"/>
      <c r="R272"/>
      <c r="S272"/>
    </row>
    <row r="273" spans="1:19" ht="15" customHeight="1" x14ac:dyDescent="0.25">
      <c r="A273" s="1"/>
      <c r="B273" s="1"/>
      <c r="C273" s="1"/>
      <c r="D273" s="1"/>
      <c r="G273" s="1755"/>
      <c r="H273" s="1"/>
      <c r="I273" s="1"/>
      <c r="J273" s="1"/>
      <c r="K273" s="40"/>
      <c r="L273" s="1762"/>
      <c r="M273" s="1762"/>
      <c r="N273" s="1762"/>
      <c r="O273"/>
      <c r="P273"/>
      <c r="Q273"/>
      <c r="R273"/>
      <c r="S273"/>
    </row>
    <row r="274" spans="1:19" ht="15" customHeight="1" x14ac:dyDescent="0.25">
      <c r="A274" s="1"/>
      <c r="B274" s="1"/>
      <c r="C274" s="1"/>
      <c r="D274" s="1"/>
      <c r="G274" s="1755"/>
      <c r="H274" s="1"/>
      <c r="I274" s="1"/>
      <c r="J274" s="1"/>
      <c r="K274" s="40"/>
      <c r="L274" s="1762"/>
      <c r="M274" s="1762"/>
      <c r="N274" s="1762"/>
      <c r="O274"/>
      <c r="P274"/>
      <c r="Q274"/>
      <c r="R274"/>
      <c r="S274"/>
    </row>
    <row r="275" spans="1:19" ht="15" customHeight="1" x14ac:dyDescent="0.25">
      <c r="A275" s="1"/>
      <c r="B275" s="1"/>
      <c r="C275" s="1"/>
      <c r="D275" s="1"/>
      <c r="G275" s="1755"/>
      <c r="H275" s="1"/>
      <c r="I275" s="1"/>
      <c r="J275" s="1"/>
      <c r="K275" s="40"/>
      <c r="L275" s="1765"/>
      <c r="M275" s="1758"/>
      <c r="N275" s="1758"/>
      <c r="O275" s="11"/>
    </row>
    <row r="276" spans="1:19" ht="15" customHeight="1" x14ac:dyDescent="0.25">
      <c r="A276" s="1"/>
      <c r="B276" s="1"/>
      <c r="C276" s="1"/>
      <c r="D276" s="1"/>
      <c r="G276" s="1755"/>
      <c r="H276" s="1"/>
      <c r="I276" s="1"/>
      <c r="J276" s="1"/>
      <c r="K276" s="40"/>
      <c r="L276" s="1765"/>
      <c r="M276" s="1758"/>
      <c r="N276" s="1758"/>
      <c r="O276" s="11"/>
    </row>
    <row r="277" spans="1:19" ht="15" customHeight="1" x14ac:dyDescent="0.25">
      <c r="A277" s="1"/>
      <c r="B277" s="1"/>
      <c r="C277" s="1"/>
      <c r="D277" s="1"/>
      <c r="G277" s="1755"/>
      <c r="H277" s="1"/>
      <c r="I277" s="1"/>
      <c r="J277" s="1"/>
      <c r="K277" s="24"/>
      <c r="L277" s="1757"/>
      <c r="M277" s="1758"/>
      <c r="N277" s="1758"/>
      <c r="O277" s="11"/>
    </row>
    <row r="278" spans="1:19" s="38" customFormat="1" ht="15" customHeight="1" x14ac:dyDescent="0.25">
      <c r="A278" s="1"/>
      <c r="B278" s="1"/>
      <c r="C278" s="1"/>
      <c r="D278" s="1"/>
      <c r="E278" s="1"/>
      <c r="F278" s="1"/>
      <c r="G278" s="1755"/>
      <c r="H278" s="1"/>
      <c r="I278" s="1"/>
      <c r="J278" s="1"/>
      <c r="K278" s="24"/>
      <c r="L278" s="1757"/>
      <c r="M278" s="1772"/>
      <c r="N278" s="1772"/>
      <c r="O278" s="29"/>
    </row>
    <row r="279" spans="1:19" ht="15" customHeight="1" x14ac:dyDescent="0.25">
      <c r="A279" s="1"/>
      <c r="B279" s="1"/>
      <c r="C279" s="1"/>
      <c r="D279" s="1"/>
      <c r="G279" s="1755"/>
      <c r="H279" s="1"/>
      <c r="I279" s="1"/>
      <c r="J279" s="1"/>
      <c r="K279" s="24"/>
      <c r="L279" s="1757"/>
      <c r="M279" s="1758"/>
      <c r="N279" s="1758"/>
      <c r="O279" s="11"/>
    </row>
    <row r="280" spans="1:19" ht="15" customHeight="1" x14ac:dyDescent="0.25">
      <c r="A280" s="1"/>
      <c r="B280" s="1"/>
      <c r="C280" s="1"/>
      <c r="D280" s="1"/>
      <c r="G280" s="1755"/>
      <c r="H280" s="1"/>
      <c r="I280" s="1"/>
      <c r="J280" s="1"/>
      <c r="K280" s="24"/>
      <c r="L280" s="1757"/>
      <c r="M280" s="1758"/>
      <c r="N280" s="1758"/>
      <c r="O280" s="11"/>
    </row>
    <row r="281" spans="1:19" ht="15" customHeight="1" x14ac:dyDescent="0.25">
      <c r="A281" s="1"/>
      <c r="B281" s="1"/>
      <c r="C281" s="1"/>
      <c r="D281" s="1"/>
      <c r="G281" s="1755"/>
      <c r="H281" s="1"/>
      <c r="I281" s="1"/>
      <c r="J281" s="1"/>
      <c r="K281" s="24"/>
      <c r="L281" s="1757"/>
      <c r="M281" s="1758"/>
      <c r="N281" s="1758"/>
      <c r="O281" s="11"/>
    </row>
    <row r="282" spans="1:19" ht="15" customHeight="1" x14ac:dyDescent="0.25">
      <c r="A282" s="1"/>
      <c r="B282" s="1"/>
      <c r="C282" s="1"/>
      <c r="D282" s="1"/>
      <c r="G282" s="1755"/>
      <c r="H282" s="1"/>
      <c r="I282" s="1"/>
      <c r="J282" s="1"/>
      <c r="K282" s="24"/>
      <c r="L282" s="1757"/>
      <c r="M282" s="1758"/>
      <c r="N282" s="1758"/>
      <c r="O282" s="11"/>
    </row>
    <row r="283" spans="1:19" ht="15" customHeight="1" x14ac:dyDescent="0.25">
      <c r="A283" s="1"/>
      <c r="B283" s="1"/>
      <c r="C283" s="1"/>
      <c r="D283" s="1"/>
      <c r="G283" s="1755"/>
      <c r="H283" s="1"/>
      <c r="I283" s="1"/>
      <c r="J283" s="1"/>
      <c r="K283" s="42"/>
      <c r="L283" s="1773"/>
      <c r="M283" s="1758"/>
      <c r="N283" s="1758"/>
      <c r="O283" s="11"/>
    </row>
    <row r="284" spans="1:19" ht="15" customHeight="1" x14ac:dyDescent="0.25">
      <c r="A284" s="1"/>
      <c r="B284" s="1"/>
      <c r="C284" s="1"/>
      <c r="D284" s="1"/>
      <c r="G284" s="1755"/>
      <c r="H284" s="1"/>
      <c r="I284" s="1"/>
      <c r="J284" s="1"/>
      <c r="K284" s="42"/>
      <c r="L284" s="1773"/>
      <c r="M284" s="1758"/>
      <c r="N284" s="1758"/>
      <c r="O284" s="11"/>
    </row>
    <row r="285" spans="1:19" ht="15" customHeight="1" x14ac:dyDescent="0.25">
      <c r="A285" s="1"/>
      <c r="B285" s="1"/>
      <c r="C285" s="1"/>
      <c r="D285" s="1"/>
      <c r="G285" s="1755"/>
      <c r="H285" s="1"/>
      <c r="I285" s="1"/>
      <c r="J285" s="1"/>
      <c r="K285" s="42"/>
      <c r="L285" s="1773"/>
      <c r="M285" s="1758"/>
      <c r="N285" s="1758"/>
      <c r="O285" s="11"/>
    </row>
    <row r="286" spans="1:19" ht="15" customHeight="1" x14ac:dyDescent="0.25">
      <c r="A286" s="1"/>
      <c r="B286" s="1"/>
      <c r="C286" s="1"/>
      <c r="D286" s="1"/>
      <c r="G286" s="1755"/>
      <c r="H286" s="1"/>
      <c r="I286" s="1"/>
      <c r="J286" s="1"/>
      <c r="K286" s="42"/>
      <c r="L286" s="1773"/>
      <c r="M286" s="1758"/>
      <c r="N286" s="1758"/>
      <c r="O286" s="11"/>
    </row>
    <row r="287" spans="1:19" ht="15" customHeight="1" x14ac:dyDescent="0.25">
      <c r="A287" s="1"/>
      <c r="B287" s="1"/>
      <c r="C287" s="1"/>
      <c r="D287" s="1"/>
      <c r="G287" s="1755"/>
      <c r="H287" s="1"/>
      <c r="I287" s="1"/>
      <c r="J287" s="1"/>
      <c r="K287" s="42"/>
      <c r="L287" s="1773"/>
      <c r="M287" s="1758"/>
      <c r="N287" s="1758"/>
      <c r="O287" s="11"/>
    </row>
    <row r="288" spans="1:19" ht="15" customHeight="1" x14ac:dyDescent="0.25">
      <c r="A288" s="1"/>
      <c r="B288" s="1"/>
      <c r="C288" s="1"/>
      <c r="D288" s="1"/>
      <c r="G288" s="1755"/>
      <c r="H288" s="1"/>
      <c r="I288" s="1"/>
      <c r="J288" s="1"/>
      <c r="K288" s="42"/>
      <c r="L288" s="1773"/>
      <c r="M288" s="1758"/>
      <c r="N288" s="1758"/>
      <c r="O288" s="11"/>
    </row>
    <row r="289" spans="1:15" ht="15" customHeight="1" x14ac:dyDescent="0.25">
      <c r="A289" s="1"/>
      <c r="B289" s="1"/>
      <c r="C289" s="1"/>
      <c r="D289" s="1"/>
      <c r="G289" s="1755"/>
      <c r="H289" s="1"/>
      <c r="I289" s="1"/>
      <c r="J289" s="1"/>
      <c r="K289" s="20"/>
      <c r="L289" s="1754"/>
      <c r="M289" s="1758"/>
      <c r="N289" s="1758"/>
      <c r="O289" s="11"/>
    </row>
    <row r="290" spans="1:15" ht="15" customHeight="1" x14ac:dyDescent="0.25">
      <c r="A290" s="1"/>
      <c r="B290" s="1"/>
      <c r="C290" s="1"/>
      <c r="D290" s="1"/>
      <c r="G290" s="1755"/>
      <c r="H290" s="1"/>
      <c r="I290" s="1"/>
      <c r="J290" s="1"/>
      <c r="K290" s="20"/>
      <c r="L290" s="1754"/>
      <c r="M290" s="1758"/>
      <c r="N290" s="1758"/>
      <c r="O290" s="11"/>
    </row>
    <row r="291" spans="1:15" ht="15" customHeight="1" x14ac:dyDescent="0.25">
      <c r="A291" s="1"/>
      <c r="B291" s="1"/>
      <c r="C291" s="1"/>
      <c r="D291" s="1"/>
      <c r="G291" s="1755"/>
      <c r="H291" s="1"/>
      <c r="I291" s="1"/>
      <c r="J291" s="1"/>
      <c r="K291" s="20"/>
      <c r="L291" s="1754"/>
      <c r="M291" s="1758"/>
      <c r="N291" s="1758"/>
      <c r="O291" s="11"/>
    </row>
    <row r="292" spans="1:15" ht="15" customHeight="1" x14ac:dyDescent="0.25">
      <c r="A292" s="1"/>
      <c r="B292" s="1"/>
      <c r="C292" s="1"/>
      <c r="D292" s="1"/>
      <c r="G292" s="1755"/>
      <c r="H292" s="1"/>
      <c r="I292" s="1"/>
      <c r="J292" s="1"/>
      <c r="K292" s="20"/>
      <c r="L292" s="1754"/>
      <c r="M292" s="1758"/>
      <c r="N292" s="1758"/>
      <c r="O292" s="11"/>
    </row>
    <row r="293" spans="1:15" ht="15" customHeight="1" x14ac:dyDescent="0.25">
      <c r="A293" s="1"/>
      <c r="B293" s="1"/>
      <c r="C293" s="1"/>
      <c r="D293" s="1"/>
      <c r="G293" s="1755"/>
      <c r="H293" s="1"/>
      <c r="I293" s="1"/>
      <c r="J293" s="1"/>
      <c r="K293" s="20"/>
      <c r="L293" s="1754"/>
      <c r="M293" s="1758"/>
      <c r="N293" s="1758"/>
      <c r="O293" s="11"/>
    </row>
    <row r="294" spans="1:15" ht="15" customHeight="1" x14ac:dyDescent="0.25">
      <c r="A294" s="1"/>
      <c r="B294" s="1"/>
      <c r="C294" s="1"/>
      <c r="D294" s="1"/>
      <c r="G294" s="1755"/>
      <c r="H294" s="1"/>
      <c r="I294" s="1"/>
      <c r="J294" s="1"/>
      <c r="K294" s="20"/>
      <c r="L294" s="1754"/>
      <c r="M294" s="1758"/>
      <c r="N294" s="1758"/>
      <c r="O294" s="11"/>
    </row>
    <row r="295" spans="1:15" ht="15" customHeight="1" x14ac:dyDescent="0.25">
      <c r="A295" s="1"/>
      <c r="B295" s="1"/>
      <c r="C295" s="1"/>
      <c r="D295" s="1"/>
      <c r="G295" s="1755"/>
      <c r="H295" s="1"/>
      <c r="I295" s="1"/>
      <c r="J295" s="1"/>
      <c r="K295" s="20"/>
      <c r="L295" s="1754"/>
      <c r="M295" s="1758"/>
      <c r="N295" s="1758"/>
      <c r="O295" s="11"/>
    </row>
    <row r="296" spans="1:15" ht="15" customHeight="1" x14ac:dyDescent="0.25">
      <c r="A296" s="1"/>
      <c r="B296" s="1"/>
      <c r="C296" s="1"/>
      <c r="D296" s="1"/>
      <c r="G296" s="1755"/>
      <c r="H296" s="1"/>
      <c r="I296" s="1"/>
      <c r="J296" s="1"/>
      <c r="K296" s="20"/>
      <c r="L296" s="1754"/>
      <c r="M296" s="1758"/>
      <c r="N296" s="1758"/>
      <c r="O296" s="11"/>
    </row>
    <row r="297" spans="1:15" ht="15" customHeight="1" x14ac:dyDescent="0.25">
      <c r="A297" s="1"/>
      <c r="B297" s="1"/>
      <c r="C297" s="1"/>
      <c r="D297" s="1"/>
      <c r="G297" s="1755"/>
      <c r="H297" s="1"/>
      <c r="I297" s="1"/>
      <c r="J297" s="1"/>
      <c r="K297" s="20"/>
      <c r="L297" s="1754"/>
      <c r="M297" s="1758"/>
      <c r="N297" s="1758"/>
      <c r="O297" s="11"/>
    </row>
    <row r="298" spans="1:15" ht="15" customHeight="1" x14ac:dyDescent="0.25">
      <c r="A298" s="1"/>
      <c r="B298" s="1"/>
      <c r="C298" s="1"/>
      <c r="D298" s="1"/>
      <c r="G298" s="1755"/>
      <c r="H298" s="1"/>
      <c r="I298" s="1"/>
      <c r="J298" s="1"/>
      <c r="K298" s="20"/>
      <c r="L298" s="1754"/>
      <c r="M298" s="1758"/>
      <c r="N298" s="1758"/>
      <c r="O298" s="11"/>
    </row>
    <row r="299" spans="1:15" ht="15" customHeight="1" x14ac:dyDescent="0.25">
      <c r="A299" s="1"/>
      <c r="B299" s="1"/>
      <c r="C299" s="1"/>
      <c r="D299" s="1"/>
      <c r="G299" s="1755"/>
      <c r="H299" s="1"/>
      <c r="I299" s="1"/>
      <c r="J299" s="1"/>
      <c r="K299" s="20"/>
      <c r="L299" s="1754"/>
      <c r="M299" s="1758"/>
      <c r="N299" s="1758"/>
      <c r="O299" s="11"/>
    </row>
    <row r="300" spans="1:15" ht="15" customHeight="1" x14ac:dyDescent="0.25">
      <c r="A300" s="1"/>
      <c r="B300" s="1"/>
      <c r="C300" s="1"/>
      <c r="D300" s="1"/>
      <c r="G300" s="1755"/>
      <c r="H300" s="1"/>
      <c r="I300" s="1"/>
      <c r="J300" s="1"/>
      <c r="K300" s="20"/>
      <c r="L300" s="1754"/>
      <c r="M300" s="1758"/>
      <c r="N300" s="1758"/>
      <c r="O300" s="11"/>
    </row>
    <row r="301" spans="1:15" ht="15" customHeight="1" x14ac:dyDescent="0.25">
      <c r="A301" s="1"/>
      <c r="B301" s="1"/>
      <c r="C301" s="1"/>
      <c r="D301" s="1"/>
      <c r="G301" s="1755"/>
      <c r="H301" s="1"/>
      <c r="I301" s="1"/>
      <c r="J301" s="1"/>
      <c r="K301" s="20"/>
      <c r="L301" s="1754"/>
      <c r="M301" s="1758"/>
      <c r="N301" s="1758"/>
      <c r="O301" s="11"/>
    </row>
    <row r="302" spans="1:15" ht="15" customHeight="1" x14ac:dyDescent="0.25">
      <c r="A302" s="1"/>
      <c r="B302" s="1"/>
      <c r="C302" s="1"/>
      <c r="D302" s="1"/>
      <c r="G302" s="1755"/>
      <c r="H302" s="1"/>
      <c r="I302" s="1"/>
      <c r="J302" s="1"/>
      <c r="K302" s="20"/>
      <c r="L302" s="1754"/>
      <c r="M302" s="1758"/>
      <c r="N302" s="1758"/>
      <c r="O302" s="11"/>
    </row>
    <row r="303" spans="1:15" ht="15" customHeight="1" x14ac:dyDescent="0.25">
      <c r="A303" s="1"/>
      <c r="B303" s="1"/>
      <c r="C303" s="1"/>
      <c r="D303" s="1"/>
      <c r="G303" s="1755"/>
      <c r="H303" s="1"/>
      <c r="I303" s="1"/>
      <c r="J303" s="1"/>
      <c r="K303" s="20"/>
      <c r="L303" s="1754"/>
      <c r="M303" s="1758"/>
      <c r="N303" s="1758"/>
      <c r="O303" s="11"/>
    </row>
    <row r="304" spans="1:15" ht="15" customHeight="1" x14ac:dyDescent="0.25">
      <c r="A304" s="1"/>
      <c r="B304" s="1"/>
      <c r="C304" s="1"/>
      <c r="D304" s="1"/>
      <c r="G304" s="1755"/>
      <c r="H304" s="1"/>
      <c r="I304" s="1"/>
      <c r="J304" s="1"/>
      <c r="K304" s="20"/>
      <c r="L304" s="1754"/>
      <c r="M304" s="1758"/>
      <c r="N304" s="1758"/>
      <c r="O304" s="11"/>
    </row>
    <row r="305" spans="1:15" ht="15" customHeight="1" x14ac:dyDescent="0.25">
      <c r="A305" s="1"/>
      <c r="B305" s="1"/>
      <c r="C305" s="1"/>
      <c r="D305" s="1"/>
      <c r="G305" s="1755"/>
      <c r="H305" s="1"/>
      <c r="I305" s="1"/>
      <c r="J305" s="1"/>
      <c r="K305" s="20"/>
      <c r="L305" s="1754"/>
      <c r="M305" s="1758"/>
      <c r="N305" s="1758"/>
      <c r="O305" s="11"/>
    </row>
    <row r="306" spans="1:15" ht="15" customHeight="1" x14ac:dyDescent="0.25">
      <c r="A306" s="1"/>
      <c r="B306" s="1"/>
      <c r="C306" s="1"/>
      <c r="D306" s="1"/>
      <c r="G306" s="1755"/>
      <c r="H306" s="1"/>
      <c r="I306" s="1"/>
      <c r="J306" s="1"/>
      <c r="K306" s="20"/>
      <c r="L306" s="1754"/>
      <c r="M306" s="1758"/>
      <c r="N306" s="1758"/>
      <c r="O306" s="11"/>
    </row>
    <row r="307" spans="1:15" ht="15" customHeight="1" x14ac:dyDescent="0.25">
      <c r="A307" s="1"/>
      <c r="B307" s="1"/>
      <c r="C307" s="1"/>
      <c r="D307" s="1"/>
      <c r="G307" s="1755"/>
      <c r="H307" s="1"/>
      <c r="I307" s="1"/>
      <c r="J307" s="1"/>
      <c r="K307" s="20"/>
      <c r="L307" s="1754"/>
      <c r="M307" s="1758"/>
      <c r="N307" s="1758"/>
      <c r="O307" s="11"/>
    </row>
    <row r="308" spans="1:15" ht="15" customHeight="1" x14ac:dyDescent="0.25">
      <c r="A308" s="1"/>
      <c r="B308" s="1"/>
      <c r="C308" s="1"/>
      <c r="D308" s="1"/>
      <c r="G308" s="1755"/>
      <c r="H308" s="1"/>
      <c r="I308" s="1"/>
      <c r="J308" s="1"/>
      <c r="L308" s="1755"/>
      <c r="M308" s="1758"/>
      <c r="N308" s="1758"/>
      <c r="O308" s="11"/>
    </row>
    <row r="309" spans="1:15" ht="15" customHeight="1" x14ac:dyDescent="0.25">
      <c r="A309" s="1"/>
      <c r="B309" s="1"/>
      <c r="C309" s="1"/>
      <c r="D309" s="1"/>
      <c r="G309" s="1755"/>
      <c r="H309" s="1"/>
      <c r="I309" s="1"/>
      <c r="J309" s="1"/>
      <c r="L309" s="1755"/>
      <c r="M309" s="1758"/>
      <c r="N309" s="1758"/>
      <c r="O309" s="11"/>
    </row>
    <row r="310" spans="1:15" ht="15" customHeight="1" x14ac:dyDescent="0.25">
      <c r="A310" s="1"/>
      <c r="B310" s="1"/>
      <c r="C310" s="1"/>
      <c r="D310" s="1"/>
      <c r="G310" s="1755"/>
      <c r="H310" s="1"/>
      <c r="I310" s="1"/>
      <c r="J310" s="1"/>
      <c r="L310" s="1755"/>
      <c r="M310" s="1758"/>
      <c r="N310" s="1758"/>
      <c r="O310" s="11"/>
    </row>
    <row r="311" spans="1:15" ht="15" customHeight="1" x14ac:dyDescent="0.25">
      <c r="A311" s="1"/>
      <c r="B311" s="1"/>
      <c r="C311" s="1"/>
      <c r="D311" s="1"/>
      <c r="G311" s="1755"/>
      <c r="H311" s="1"/>
      <c r="I311" s="1"/>
      <c r="J311" s="1"/>
      <c r="K311" s="20"/>
      <c r="L311" s="1774"/>
      <c r="M311" s="1758"/>
      <c r="N311" s="1758"/>
      <c r="O311" s="11"/>
    </row>
    <row r="312" spans="1:15" ht="15" customHeight="1" x14ac:dyDescent="0.25">
      <c r="A312" s="1"/>
      <c r="B312" s="1"/>
      <c r="C312" s="1"/>
      <c r="D312" s="1"/>
      <c r="G312" s="1755"/>
      <c r="H312" s="1"/>
      <c r="I312" s="1"/>
      <c r="J312" s="1"/>
      <c r="K312" s="20"/>
      <c r="L312" s="1774"/>
      <c r="M312" s="1758"/>
      <c r="N312" s="1758"/>
      <c r="O312" s="11"/>
    </row>
    <row r="313" spans="1:15" ht="15" customHeight="1" x14ac:dyDescent="0.25">
      <c r="A313" s="1"/>
      <c r="B313" s="1"/>
      <c r="C313" s="1"/>
      <c r="D313" s="1"/>
      <c r="G313" s="1755"/>
      <c r="H313" s="1"/>
      <c r="I313" s="1"/>
      <c r="J313" s="1"/>
      <c r="K313" s="20"/>
      <c r="L313" s="1774"/>
      <c r="M313" s="1758"/>
      <c r="N313" s="1758"/>
      <c r="O313" s="11"/>
    </row>
    <row r="314" spans="1:15" ht="15" customHeight="1" x14ac:dyDescent="0.25">
      <c r="A314" s="1"/>
      <c r="B314" s="1"/>
      <c r="C314" s="1"/>
      <c r="D314" s="1"/>
      <c r="G314" s="1755"/>
      <c r="H314" s="1"/>
      <c r="I314" s="1"/>
      <c r="J314" s="1"/>
      <c r="K314" s="20"/>
      <c r="L314" s="1774"/>
      <c r="M314" s="1758"/>
      <c r="N314" s="1758"/>
      <c r="O314" s="11"/>
    </row>
    <row r="315" spans="1:15" ht="15" customHeight="1" x14ac:dyDescent="0.25">
      <c r="A315" s="1"/>
      <c r="B315" s="1"/>
      <c r="C315" s="1"/>
      <c r="D315" s="1"/>
      <c r="G315" s="1755"/>
      <c r="H315" s="1"/>
      <c r="I315" s="1"/>
      <c r="J315" s="1"/>
      <c r="K315" s="24"/>
      <c r="L315" s="1757"/>
      <c r="M315" s="1758"/>
      <c r="N315" s="1758"/>
      <c r="O315" s="11"/>
    </row>
    <row r="316" spans="1:15" ht="15" customHeight="1" x14ac:dyDescent="0.25">
      <c r="A316" s="1"/>
      <c r="B316" s="1"/>
      <c r="C316" s="1"/>
      <c r="D316" s="1"/>
      <c r="G316" s="1755"/>
      <c r="H316" s="1"/>
      <c r="I316" s="1"/>
      <c r="J316" s="1"/>
      <c r="K316" s="24"/>
      <c r="L316" s="1757"/>
      <c r="M316" s="1758"/>
      <c r="N316" s="1758"/>
      <c r="O316" s="11"/>
    </row>
    <row r="317" spans="1:15" ht="15" customHeight="1" x14ac:dyDescent="0.25">
      <c r="A317" s="1"/>
      <c r="B317" s="1"/>
      <c r="C317" s="1"/>
      <c r="D317" s="1"/>
      <c r="G317" s="1755"/>
      <c r="H317" s="1"/>
      <c r="I317" s="1"/>
      <c r="J317" s="1"/>
      <c r="K317" s="25"/>
      <c r="L317" s="1757"/>
      <c r="M317" s="1758"/>
      <c r="N317" s="1758"/>
      <c r="O317" s="11"/>
    </row>
    <row r="318" spans="1:15" ht="15" customHeight="1" x14ac:dyDescent="0.25">
      <c r="A318" s="1"/>
      <c r="B318" s="1"/>
      <c r="C318" s="1"/>
      <c r="D318" s="1"/>
      <c r="G318" s="1755"/>
      <c r="H318" s="1"/>
      <c r="I318" s="1"/>
      <c r="J318" s="1"/>
      <c r="K318" s="24"/>
      <c r="L318" s="1757"/>
      <c r="M318" s="1758"/>
      <c r="N318" s="1758"/>
      <c r="O318" s="11"/>
    </row>
    <row r="319" spans="1:15" ht="15" customHeight="1" x14ac:dyDescent="0.25">
      <c r="A319" s="1"/>
      <c r="B319" s="1"/>
      <c r="C319" s="1"/>
      <c r="D319" s="1"/>
      <c r="G319" s="1755"/>
      <c r="H319" s="1"/>
      <c r="I319" s="1"/>
      <c r="J319" s="1"/>
      <c r="K319" s="24"/>
      <c r="L319" s="1757"/>
      <c r="M319" s="1758"/>
      <c r="N319" s="1758"/>
      <c r="O319" s="11"/>
    </row>
    <row r="320" spans="1:15" ht="15" customHeight="1" x14ac:dyDescent="0.25">
      <c r="A320" s="1"/>
      <c r="B320" s="1"/>
      <c r="C320" s="1"/>
      <c r="D320" s="1"/>
      <c r="G320" s="1755"/>
      <c r="H320" s="1"/>
      <c r="I320" s="1"/>
      <c r="J320" s="1"/>
      <c r="K320" s="24"/>
      <c r="L320" s="1757"/>
      <c r="M320" s="1758"/>
      <c r="N320" s="1758"/>
      <c r="O320" s="11"/>
    </row>
    <row r="321" spans="1:15" ht="15" customHeight="1" x14ac:dyDescent="0.25">
      <c r="A321" s="1"/>
      <c r="B321" s="1"/>
      <c r="C321" s="1"/>
      <c r="D321" s="1"/>
      <c r="G321" s="1755"/>
      <c r="H321" s="1"/>
      <c r="I321" s="1"/>
      <c r="J321" s="1"/>
      <c r="K321" s="42"/>
      <c r="L321" s="1773"/>
      <c r="M321" s="1758"/>
      <c r="N321" s="1758"/>
      <c r="O321" s="11"/>
    </row>
    <row r="322" spans="1:15" ht="15" customHeight="1" x14ac:dyDescent="0.25">
      <c r="A322" s="1"/>
      <c r="B322" s="1"/>
      <c r="C322" s="1"/>
      <c r="D322" s="1"/>
      <c r="G322" s="1755"/>
      <c r="H322" s="1"/>
      <c r="I322" s="1"/>
      <c r="J322" s="1"/>
      <c r="K322" s="20"/>
      <c r="L322" s="1754"/>
      <c r="M322" s="1758"/>
      <c r="N322" s="1758"/>
      <c r="O322" s="11"/>
    </row>
    <row r="323" spans="1:15" ht="15" customHeight="1" x14ac:dyDescent="0.25">
      <c r="A323" s="1"/>
      <c r="B323" s="1"/>
      <c r="C323" s="1"/>
      <c r="D323" s="1"/>
      <c r="G323" s="1755"/>
      <c r="H323" s="1"/>
      <c r="I323" s="1"/>
      <c r="J323" s="1"/>
      <c r="K323" s="20"/>
      <c r="L323" s="1754"/>
      <c r="M323" s="1758"/>
      <c r="N323" s="1758"/>
      <c r="O323" s="11"/>
    </row>
    <row r="324" spans="1:15" ht="15" customHeight="1" x14ac:dyDescent="0.25">
      <c r="A324" s="1"/>
      <c r="B324" s="1"/>
      <c r="C324" s="1"/>
      <c r="D324" s="1"/>
      <c r="G324" s="1755"/>
      <c r="H324" s="1"/>
      <c r="I324" s="1"/>
      <c r="J324" s="1"/>
      <c r="K324" s="20"/>
      <c r="L324" s="1754"/>
      <c r="M324" s="1758"/>
      <c r="N324" s="1758"/>
      <c r="O324" s="11"/>
    </row>
    <row r="325" spans="1:15" ht="15" customHeight="1" x14ac:dyDescent="0.25">
      <c r="A325" s="1"/>
      <c r="B325" s="1"/>
      <c r="C325" s="1"/>
      <c r="D325" s="1"/>
      <c r="G325" s="1755"/>
      <c r="H325" s="1"/>
      <c r="I325" s="1"/>
      <c r="J325" s="1"/>
      <c r="K325" s="20"/>
      <c r="L325" s="1754"/>
      <c r="M325" s="1758"/>
      <c r="N325" s="1758"/>
      <c r="O325" s="11"/>
    </row>
    <row r="326" spans="1:15" ht="15" customHeight="1" x14ac:dyDescent="0.25">
      <c r="A326" s="1"/>
      <c r="B326" s="1"/>
      <c r="C326" s="1"/>
      <c r="D326" s="1"/>
      <c r="G326" s="1755"/>
      <c r="H326" s="1"/>
      <c r="I326" s="1"/>
      <c r="J326" s="1"/>
      <c r="K326" s="20"/>
      <c r="L326" s="1754"/>
      <c r="M326" s="1758"/>
      <c r="N326" s="1758"/>
      <c r="O326" s="11"/>
    </row>
    <row r="327" spans="1:15" ht="15" customHeight="1" x14ac:dyDescent="0.25">
      <c r="A327" s="1"/>
      <c r="B327" s="1"/>
      <c r="C327" s="1"/>
      <c r="D327" s="1"/>
      <c r="G327" s="1755"/>
      <c r="H327" s="1"/>
      <c r="I327" s="1"/>
      <c r="J327" s="1"/>
      <c r="K327" s="20"/>
      <c r="L327" s="1754"/>
      <c r="M327" s="1758"/>
      <c r="N327" s="1758"/>
      <c r="O327" s="11"/>
    </row>
    <row r="328" spans="1:15" ht="15" customHeight="1" x14ac:dyDescent="0.25">
      <c r="A328" s="1"/>
      <c r="B328" s="1"/>
      <c r="C328" s="1"/>
      <c r="D328" s="1"/>
      <c r="G328" s="1755"/>
      <c r="H328" s="1"/>
      <c r="I328" s="1"/>
      <c r="J328" s="1"/>
      <c r="K328" s="20"/>
      <c r="L328" s="1754"/>
      <c r="M328" s="1758"/>
      <c r="N328" s="1758"/>
      <c r="O328" s="11"/>
    </row>
    <row r="329" spans="1:15" ht="15" customHeight="1" x14ac:dyDescent="0.25">
      <c r="A329" s="1"/>
      <c r="B329" s="1"/>
      <c r="C329" s="1"/>
      <c r="D329" s="1"/>
      <c r="G329" s="1755"/>
      <c r="H329" s="1"/>
      <c r="I329" s="1"/>
      <c r="J329" s="1"/>
      <c r="K329" s="20"/>
      <c r="L329" s="1754"/>
      <c r="M329" s="1758"/>
      <c r="N329" s="1758"/>
      <c r="O329" s="11"/>
    </row>
    <row r="330" spans="1:15" ht="15" customHeight="1" x14ac:dyDescent="0.25">
      <c r="A330" s="1"/>
      <c r="B330" s="1"/>
      <c r="C330" s="1"/>
      <c r="D330" s="1"/>
      <c r="G330" s="1755"/>
      <c r="H330" s="1"/>
      <c r="I330" s="1"/>
      <c r="J330" s="1"/>
      <c r="K330" s="20"/>
      <c r="L330" s="1754"/>
      <c r="M330" s="1758"/>
      <c r="N330" s="1758"/>
      <c r="O330" s="11"/>
    </row>
    <row r="331" spans="1:15" ht="15" customHeight="1" x14ac:dyDescent="0.25">
      <c r="A331" s="1"/>
      <c r="B331" s="1"/>
      <c r="C331" s="1"/>
      <c r="D331" s="1"/>
      <c r="G331" s="1755"/>
      <c r="H331" s="1"/>
      <c r="I331" s="1"/>
      <c r="J331" s="1"/>
      <c r="K331" s="20"/>
      <c r="L331" s="1754"/>
      <c r="M331" s="1758"/>
      <c r="N331" s="1758"/>
      <c r="O331" s="11"/>
    </row>
    <row r="332" spans="1:15" ht="15" customHeight="1" x14ac:dyDescent="0.25">
      <c r="A332" s="1"/>
      <c r="B332" s="1"/>
      <c r="C332" s="1"/>
      <c r="D332" s="1"/>
      <c r="G332" s="1755"/>
      <c r="H332" s="1"/>
      <c r="I332" s="1"/>
      <c r="J332" s="1"/>
      <c r="K332" s="20"/>
      <c r="L332" s="1754"/>
      <c r="M332" s="1758"/>
      <c r="N332" s="1758"/>
      <c r="O332" s="11"/>
    </row>
    <row r="333" spans="1:15" ht="15" customHeight="1" x14ac:dyDescent="0.25">
      <c r="A333" s="1"/>
      <c r="B333" s="1"/>
      <c r="C333" s="1"/>
      <c r="D333" s="1"/>
      <c r="G333" s="1755"/>
      <c r="H333" s="1"/>
      <c r="I333" s="1"/>
      <c r="J333" s="1"/>
      <c r="K333" s="42"/>
      <c r="L333" s="1773"/>
      <c r="M333" s="1758"/>
      <c r="N333" s="1758"/>
      <c r="O333" s="11"/>
    </row>
    <row r="334" spans="1:15" ht="15" customHeight="1" x14ac:dyDescent="0.25">
      <c r="A334" s="1"/>
      <c r="B334" s="1"/>
      <c r="C334" s="1"/>
      <c r="D334" s="1"/>
      <c r="G334" s="1755"/>
      <c r="H334" s="1"/>
      <c r="I334" s="1"/>
      <c r="J334" s="1"/>
      <c r="K334" s="43"/>
      <c r="L334" s="1775"/>
      <c r="M334" s="1758"/>
      <c r="N334" s="1758"/>
      <c r="O334" s="11"/>
    </row>
    <row r="335" spans="1:15" ht="15" customHeight="1" x14ac:dyDescent="0.25">
      <c r="A335" s="1"/>
      <c r="B335" s="1"/>
      <c r="C335" s="1"/>
      <c r="D335" s="1"/>
      <c r="G335" s="1755"/>
      <c r="H335" s="1"/>
      <c r="I335" s="1"/>
      <c r="J335" s="1"/>
      <c r="K335" s="43"/>
      <c r="L335" s="1775"/>
      <c r="M335" s="1758"/>
      <c r="N335" s="1758"/>
      <c r="O335" s="11"/>
    </row>
    <row r="336" spans="1:15" ht="15" customHeight="1" x14ac:dyDescent="0.25">
      <c r="A336" s="1"/>
      <c r="B336" s="1"/>
      <c r="C336" s="1"/>
      <c r="D336" s="1"/>
      <c r="G336" s="1755"/>
      <c r="H336" s="1"/>
      <c r="I336" s="1"/>
      <c r="J336" s="1"/>
      <c r="K336" s="43"/>
      <c r="L336" s="1775"/>
      <c r="M336" s="1758"/>
      <c r="N336" s="1758"/>
      <c r="O336" s="11"/>
    </row>
    <row r="337" spans="1:15" ht="15" customHeight="1" x14ac:dyDescent="0.25">
      <c r="A337" s="1"/>
      <c r="B337" s="1"/>
      <c r="C337" s="1"/>
      <c r="D337" s="1"/>
      <c r="G337" s="1755"/>
      <c r="H337" s="1"/>
      <c r="I337" s="1"/>
      <c r="J337" s="1"/>
      <c r="K337" s="44"/>
      <c r="L337" s="1758"/>
      <c r="M337" s="1758"/>
      <c r="N337" s="1758"/>
      <c r="O337" s="11"/>
    </row>
    <row r="338" spans="1:15" ht="15" customHeight="1" x14ac:dyDescent="0.25">
      <c r="A338" s="1"/>
      <c r="B338" s="1"/>
      <c r="C338" s="1"/>
      <c r="D338" s="1"/>
      <c r="G338" s="1755"/>
      <c r="H338" s="1"/>
      <c r="I338" s="1"/>
      <c r="J338" s="1"/>
      <c r="K338" s="42"/>
      <c r="L338" s="1776"/>
      <c r="M338" s="1758"/>
      <c r="N338" s="1758"/>
      <c r="O338" s="11"/>
    </row>
    <row r="339" spans="1:15" ht="15" customHeight="1" x14ac:dyDescent="0.25">
      <c r="A339" s="1"/>
      <c r="B339" s="1"/>
      <c r="C339" s="1"/>
      <c r="D339" s="1"/>
      <c r="G339" s="1755"/>
      <c r="H339" s="1"/>
      <c r="I339" s="1"/>
      <c r="J339" s="1"/>
      <c r="K339" s="42"/>
      <c r="L339" s="1773"/>
      <c r="M339" s="1758"/>
      <c r="N339" s="1758"/>
      <c r="O339" s="11"/>
    </row>
    <row r="340" spans="1:15" ht="15" customHeight="1" x14ac:dyDescent="0.25">
      <c r="A340" s="1"/>
      <c r="B340" s="1"/>
      <c r="C340" s="1"/>
      <c r="D340" s="1"/>
      <c r="G340" s="1755"/>
      <c r="H340" s="1"/>
      <c r="I340" s="1"/>
      <c r="J340" s="1"/>
      <c r="K340" s="43"/>
      <c r="L340" s="1775"/>
      <c r="M340" s="1758"/>
      <c r="N340" s="1758"/>
      <c r="O340" s="11"/>
    </row>
    <row r="341" spans="1:15" ht="15" customHeight="1" x14ac:dyDescent="0.25">
      <c r="A341" s="1"/>
      <c r="B341" s="1"/>
      <c r="C341" s="1"/>
      <c r="D341" s="1"/>
      <c r="G341" s="1755"/>
      <c r="H341" s="1"/>
      <c r="I341" s="1"/>
      <c r="J341" s="1"/>
      <c r="K341" s="43"/>
      <c r="L341" s="1775"/>
      <c r="M341" s="1758"/>
      <c r="N341" s="1758"/>
      <c r="O341" s="11"/>
    </row>
    <row r="342" spans="1:15" ht="15" customHeight="1" x14ac:dyDescent="0.25">
      <c r="A342" s="1"/>
      <c r="B342" s="1"/>
      <c r="C342" s="1"/>
      <c r="D342" s="1"/>
      <c r="G342" s="1755"/>
      <c r="H342" s="1"/>
      <c r="I342" s="1"/>
      <c r="J342" s="1"/>
      <c r="K342" s="44"/>
      <c r="L342" s="1758"/>
      <c r="M342" s="1758"/>
      <c r="N342" s="1758"/>
      <c r="O342" s="11"/>
    </row>
    <row r="343" spans="1:15" ht="15" customHeight="1" x14ac:dyDescent="0.25">
      <c r="A343" s="1"/>
      <c r="B343" s="1"/>
      <c r="C343" s="1"/>
      <c r="D343" s="1"/>
      <c r="G343" s="1755"/>
      <c r="H343" s="1"/>
      <c r="I343" s="1"/>
      <c r="J343" s="1"/>
      <c r="K343" s="44"/>
      <c r="L343" s="1758"/>
      <c r="M343" s="1758"/>
      <c r="N343" s="1758"/>
      <c r="O343" s="11"/>
    </row>
    <row r="344" spans="1:15" ht="15" customHeight="1" x14ac:dyDescent="0.25">
      <c r="A344" s="1"/>
      <c r="B344" s="1"/>
      <c r="C344" s="1"/>
      <c r="D344" s="1"/>
      <c r="G344" s="1755"/>
      <c r="H344" s="1"/>
      <c r="I344" s="1"/>
      <c r="J344" s="1"/>
      <c r="K344" s="44"/>
      <c r="L344" s="1758"/>
      <c r="M344" s="1758"/>
      <c r="N344" s="1758"/>
      <c r="O344" s="11"/>
    </row>
    <row r="345" spans="1:15" ht="15" customHeight="1" x14ac:dyDescent="0.25">
      <c r="A345" s="1"/>
      <c r="B345" s="1"/>
      <c r="C345" s="1"/>
      <c r="D345" s="1"/>
      <c r="G345" s="1755"/>
      <c r="H345" s="1"/>
      <c r="I345" s="1"/>
      <c r="J345" s="1"/>
      <c r="K345" s="44"/>
      <c r="L345" s="1758"/>
      <c r="M345" s="1758"/>
      <c r="N345" s="1758"/>
      <c r="O345" s="11"/>
    </row>
    <row r="346" spans="1:15" ht="15" customHeight="1" x14ac:dyDescent="0.25">
      <c r="A346" s="1"/>
      <c r="B346" s="1"/>
      <c r="C346" s="1"/>
      <c r="D346" s="1"/>
      <c r="G346" s="1755"/>
      <c r="H346" s="1"/>
      <c r="I346" s="1"/>
      <c r="J346" s="1"/>
      <c r="K346" s="44"/>
      <c r="L346" s="1758"/>
      <c r="M346" s="1758"/>
      <c r="N346" s="1758"/>
      <c r="O346" s="11"/>
    </row>
    <row r="347" spans="1:15" ht="15" customHeight="1" x14ac:dyDescent="0.25">
      <c r="A347" s="1"/>
      <c r="B347" s="1"/>
      <c r="C347" s="1"/>
      <c r="D347" s="1"/>
      <c r="G347" s="1755"/>
      <c r="H347" s="1"/>
      <c r="I347" s="1"/>
      <c r="J347" s="1"/>
      <c r="K347" s="20"/>
      <c r="L347" s="1754"/>
      <c r="M347" s="1758"/>
      <c r="N347" s="1758"/>
      <c r="O347" s="11"/>
    </row>
    <row r="348" spans="1:15" ht="15" customHeight="1" x14ac:dyDescent="0.25">
      <c r="A348" s="1"/>
      <c r="B348" s="1"/>
      <c r="C348" s="1"/>
      <c r="D348" s="1"/>
      <c r="G348" s="1755"/>
      <c r="H348" s="1"/>
      <c r="I348" s="1"/>
      <c r="J348" s="1"/>
      <c r="K348" s="24"/>
      <c r="L348" s="1757"/>
      <c r="M348" s="1758"/>
      <c r="N348" s="1758"/>
      <c r="O348" s="11"/>
    </row>
    <row r="349" spans="1:15" ht="15" customHeight="1" x14ac:dyDescent="0.25">
      <c r="A349" s="1"/>
      <c r="B349" s="1"/>
      <c r="C349" s="1"/>
      <c r="D349" s="1"/>
      <c r="G349" s="1755"/>
      <c r="H349" s="1"/>
      <c r="I349" s="1"/>
      <c r="J349" s="1"/>
      <c r="K349" s="24"/>
      <c r="L349" s="1757"/>
      <c r="M349" s="1758"/>
      <c r="N349" s="1758"/>
      <c r="O349" s="11"/>
    </row>
    <row r="350" spans="1:15" ht="15" customHeight="1" x14ac:dyDescent="0.25">
      <c r="A350" s="1"/>
      <c r="B350" s="1"/>
      <c r="C350" s="1"/>
      <c r="D350" s="1"/>
      <c r="G350" s="1755"/>
      <c r="H350" s="1"/>
      <c r="I350" s="1"/>
      <c r="J350" s="1"/>
      <c r="K350" s="44"/>
      <c r="L350" s="1777"/>
      <c r="M350" s="1755"/>
      <c r="N350" s="1755"/>
    </row>
    <row r="351" spans="1:15" ht="15" customHeight="1" x14ac:dyDescent="0.25">
      <c r="A351" s="1"/>
      <c r="B351" s="1"/>
      <c r="C351" s="1"/>
      <c r="D351" s="1"/>
      <c r="G351" s="1755"/>
      <c r="H351" s="1"/>
      <c r="I351" s="1"/>
      <c r="J351" s="1"/>
      <c r="L351" s="1755"/>
      <c r="M351" s="1755"/>
      <c r="N351" s="1755"/>
    </row>
    <row r="352" spans="1:15" ht="15" customHeight="1" x14ac:dyDescent="0.25">
      <c r="A352" s="1"/>
      <c r="B352" s="1"/>
      <c r="C352" s="1"/>
      <c r="D352" s="1"/>
      <c r="G352" s="1755"/>
      <c r="H352" s="1"/>
      <c r="I352" s="1"/>
      <c r="J352" s="1"/>
      <c r="L352" s="1755"/>
      <c r="M352" s="1755"/>
      <c r="N352" s="1755"/>
    </row>
    <row r="353" spans="1:15" ht="15" customHeight="1" x14ac:dyDescent="0.25">
      <c r="A353" s="1"/>
      <c r="B353" s="1"/>
      <c r="C353" s="1"/>
      <c r="D353" s="1"/>
      <c r="G353" s="1755"/>
      <c r="H353" s="1"/>
      <c r="I353" s="1"/>
      <c r="J353" s="1"/>
      <c r="L353" s="1755"/>
      <c r="M353" s="1755"/>
      <c r="N353" s="1755"/>
    </row>
    <row r="354" spans="1:15" ht="15" customHeight="1" x14ac:dyDescent="0.25">
      <c r="A354" s="1"/>
      <c r="B354" s="1"/>
      <c r="C354" s="1"/>
      <c r="D354" s="1"/>
      <c r="G354" s="1755"/>
      <c r="H354" s="1"/>
      <c r="I354" s="1"/>
      <c r="J354" s="1"/>
      <c r="L354" s="1755"/>
      <c r="M354" s="1755"/>
      <c r="N354" s="1755"/>
    </row>
    <row r="355" spans="1:15" ht="15" customHeight="1" x14ac:dyDescent="0.25">
      <c r="A355" s="1"/>
      <c r="B355" s="1"/>
      <c r="C355" s="1"/>
      <c r="D355" s="1"/>
      <c r="G355" s="1755"/>
      <c r="H355" s="1"/>
      <c r="I355" s="1"/>
      <c r="J355" s="1"/>
      <c r="L355" s="1755"/>
      <c r="M355" s="1755"/>
      <c r="N355" s="1755"/>
    </row>
    <row r="356" spans="1:15" ht="15" customHeight="1" x14ac:dyDescent="0.25">
      <c r="A356" s="1"/>
      <c r="B356" s="1"/>
      <c r="C356" s="1"/>
      <c r="D356" s="1"/>
      <c r="G356" s="1755"/>
      <c r="H356" s="1"/>
      <c r="I356" s="1"/>
      <c r="J356" s="1"/>
      <c r="L356" s="1755"/>
      <c r="M356" s="1758"/>
      <c r="N356" s="1758"/>
      <c r="O356" s="11"/>
    </row>
    <row r="357" spans="1:15" ht="15" customHeight="1" x14ac:dyDescent="0.25">
      <c r="A357" s="1"/>
      <c r="B357" s="1"/>
      <c r="C357" s="1"/>
      <c r="D357" s="1"/>
      <c r="G357" s="1755"/>
      <c r="H357" s="1"/>
      <c r="I357" s="1"/>
      <c r="J357" s="1"/>
      <c r="L357" s="1755"/>
      <c r="M357" s="1758"/>
      <c r="N357" s="1758"/>
      <c r="O357" s="11"/>
    </row>
    <row r="358" spans="1:15" ht="15" customHeight="1" x14ac:dyDescent="0.25">
      <c r="A358" s="1"/>
      <c r="B358" s="1"/>
      <c r="C358" s="1"/>
      <c r="D358" s="1"/>
      <c r="G358" s="1755"/>
      <c r="H358" s="1"/>
      <c r="I358" s="1"/>
      <c r="J358" s="1"/>
      <c r="L358" s="1755"/>
      <c r="M358" s="1758"/>
      <c r="N358" s="1758"/>
      <c r="O358" s="11"/>
    </row>
    <row r="359" spans="1:15" ht="15" customHeight="1" x14ac:dyDescent="0.25">
      <c r="A359" s="1"/>
      <c r="B359" s="1"/>
      <c r="C359" s="1"/>
      <c r="D359" s="1"/>
      <c r="G359" s="1755"/>
      <c r="H359" s="1"/>
      <c r="I359" s="1"/>
      <c r="J359" s="1"/>
      <c r="L359" s="1755"/>
      <c r="M359" s="1758"/>
      <c r="N359" s="1758"/>
      <c r="O359" s="11"/>
    </row>
    <row r="360" spans="1:15" ht="15" customHeight="1" x14ac:dyDescent="0.25">
      <c r="A360" s="1"/>
      <c r="B360" s="1"/>
      <c r="C360" s="1"/>
      <c r="D360" s="1"/>
      <c r="G360" s="1755"/>
      <c r="H360" s="1"/>
      <c r="I360" s="1"/>
      <c r="J360" s="1"/>
      <c r="L360" s="1755"/>
      <c r="M360" s="1758"/>
      <c r="N360" s="1758"/>
      <c r="O360" s="11"/>
    </row>
    <row r="361" spans="1:15" ht="15" customHeight="1" x14ac:dyDescent="0.25">
      <c r="A361" s="1"/>
      <c r="B361" s="1"/>
      <c r="C361" s="1"/>
      <c r="D361" s="1"/>
      <c r="G361" s="1755"/>
      <c r="H361" s="1"/>
      <c r="I361" s="1"/>
      <c r="J361" s="1"/>
      <c r="L361" s="1755"/>
      <c r="M361" s="1758"/>
      <c r="N361" s="1758"/>
      <c r="O361" s="11"/>
    </row>
    <row r="362" spans="1:15" ht="15" customHeight="1" x14ac:dyDescent="0.25">
      <c r="A362" s="1"/>
      <c r="B362" s="1"/>
      <c r="C362" s="1"/>
      <c r="D362" s="1"/>
      <c r="G362" s="1755"/>
      <c r="H362" s="1"/>
      <c r="I362" s="1"/>
      <c r="J362" s="1"/>
      <c r="L362" s="1755"/>
      <c r="M362" s="1758"/>
      <c r="N362" s="1758"/>
      <c r="O362" s="11"/>
    </row>
    <row r="363" spans="1:15" ht="15" customHeight="1" x14ac:dyDescent="0.25">
      <c r="A363" s="1"/>
      <c r="B363" s="1"/>
      <c r="C363" s="1"/>
      <c r="D363" s="1"/>
      <c r="G363" s="1755"/>
      <c r="H363" s="1"/>
      <c r="I363" s="1"/>
      <c r="J363" s="1"/>
      <c r="L363" s="1755"/>
      <c r="M363" s="1758"/>
      <c r="N363" s="1758"/>
      <c r="O363" s="11"/>
    </row>
    <row r="364" spans="1:15" ht="15" customHeight="1" x14ac:dyDescent="0.25">
      <c r="A364" s="1"/>
      <c r="B364" s="1"/>
      <c r="C364" s="1"/>
      <c r="D364" s="1"/>
      <c r="G364" s="1755"/>
      <c r="H364" s="1"/>
      <c r="I364" s="1"/>
      <c r="J364" s="1"/>
      <c r="L364" s="1755"/>
      <c r="M364" s="1758"/>
      <c r="N364" s="1758"/>
      <c r="O364" s="11"/>
    </row>
    <row r="365" spans="1:15" ht="15" customHeight="1" x14ac:dyDescent="0.25">
      <c r="A365" s="1"/>
      <c r="B365" s="1"/>
      <c r="C365" s="1"/>
      <c r="D365" s="1"/>
      <c r="G365" s="1755"/>
      <c r="H365" s="1"/>
      <c r="I365" s="1"/>
      <c r="J365" s="1"/>
      <c r="L365" s="1755"/>
      <c r="M365" s="1758"/>
      <c r="N365" s="1758"/>
      <c r="O365" s="11"/>
    </row>
    <row r="366" spans="1:15" ht="15" customHeight="1" x14ac:dyDescent="0.25">
      <c r="A366" s="1"/>
      <c r="B366" s="1"/>
      <c r="C366" s="1"/>
      <c r="D366" s="1"/>
      <c r="G366" s="1755"/>
      <c r="H366" s="1"/>
      <c r="I366" s="1"/>
      <c r="J366" s="1"/>
      <c r="L366" s="1755"/>
      <c r="M366" s="1758"/>
      <c r="N366" s="1758"/>
      <c r="O366" s="11"/>
    </row>
    <row r="367" spans="1:15" ht="15" customHeight="1" x14ac:dyDescent="0.25">
      <c r="A367" s="1"/>
      <c r="B367" s="1"/>
      <c r="C367" s="1"/>
      <c r="D367" s="1"/>
      <c r="G367" s="1755"/>
      <c r="H367" s="1"/>
      <c r="I367" s="1"/>
      <c r="J367" s="1"/>
      <c r="L367" s="1755"/>
      <c r="M367" s="1758"/>
      <c r="N367" s="1758"/>
      <c r="O367" s="11"/>
    </row>
    <row r="368" spans="1:15" ht="15" customHeight="1" x14ac:dyDescent="0.25">
      <c r="A368" s="1"/>
      <c r="B368" s="1"/>
      <c r="C368" s="1"/>
      <c r="D368" s="1"/>
      <c r="G368" s="1755"/>
      <c r="H368" s="1"/>
      <c r="I368" s="1"/>
      <c r="J368" s="1"/>
      <c r="L368" s="1755"/>
      <c r="M368" s="1758"/>
      <c r="N368" s="1758"/>
      <c r="O368" s="11"/>
    </row>
    <row r="369" spans="1:15" ht="15" customHeight="1" x14ac:dyDescent="0.25">
      <c r="A369" s="1"/>
      <c r="B369" s="1"/>
      <c r="C369" s="1"/>
      <c r="D369" s="1"/>
      <c r="G369" s="1755"/>
      <c r="H369" s="1"/>
      <c r="I369" s="1"/>
      <c r="J369" s="1"/>
      <c r="L369" s="1755"/>
      <c r="M369" s="1758"/>
      <c r="N369" s="1758"/>
      <c r="O369" s="11"/>
    </row>
    <row r="370" spans="1:15" ht="15" customHeight="1" x14ac:dyDescent="0.25">
      <c r="A370" s="1"/>
      <c r="B370" s="1"/>
      <c r="C370" s="1"/>
      <c r="D370" s="1"/>
      <c r="G370" s="1755"/>
      <c r="H370" s="1"/>
      <c r="I370" s="1"/>
      <c r="J370" s="1"/>
      <c r="L370" s="1755"/>
      <c r="M370" s="1758"/>
      <c r="N370" s="1758"/>
      <c r="O370" s="11"/>
    </row>
    <row r="371" spans="1:15" ht="15" customHeight="1" x14ac:dyDescent="0.25">
      <c r="A371" s="1"/>
      <c r="B371" s="1"/>
      <c r="C371" s="1"/>
      <c r="D371" s="1"/>
      <c r="G371" s="1755"/>
      <c r="H371" s="1"/>
      <c r="I371" s="1"/>
      <c r="J371" s="1"/>
      <c r="L371" s="1755"/>
      <c r="M371" s="1758"/>
      <c r="N371" s="1758"/>
      <c r="O371" s="11"/>
    </row>
    <row r="372" spans="1:15" ht="15" customHeight="1" x14ac:dyDescent="0.25">
      <c r="A372" s="1"/>
      <c r="B372" s="1"/>
      <c r="C372" s="1"/>
      <c r="D372" s="1"/>
      <c r="G372" s="1755"/>
      <c r="H372" s="1"/>
      <c r="I372" s="1"/>
      <c r="J372" s="1"/>
      <c r="L372" s="1755"/>
      <c r="M372" s="1758"/>
      <c r="N372" s="1758"/>
      <c r="O372" s="11"/>
    </row>
    <row r="373" spans="1:15" ht="15" customHeight="1" x14ac:dyDescent="0.25">
      <c r="A373" s="1"/>
      <c r="B373" s="1"/>
      <c r="C373" s="1"/>
      <c r="D373" s="1"/>
      <c r="G373" s="1755"/>
      <c r="H373" s="1"/>
      <c r="I373" s="1"/>
      <c r="J373" s="1"/>
      <c r="L373" s="1755"/>
      <c r="M373" s="1758"/>
      <c r="N373" s="1758"/>
      <c r="O373" s="11"/>
    </row>
    <row r="374" spans="1:15" ht="15" customHeight="1" x14ac:dyDescent="0.25">
      <c r="A374" s="1"/>
      <c r="B374" s="1"/>
      <c r="C374" s="1"/>
      <c r="D374" s="1"/>
      <c r="G374" s="1755"/>
      <c r="H374" s="1"/>
      <c r="I374" s="1"/>
      <c r="J374" s="1"/>
      <c r="L374" s="1755"/>
      <c r="M374" s="1758"/>
      <c r="N374" s="1758"/>
      <c r="O374" s="11"/>
    </row>
    <row r="375" spans="1:15" ht="15" customHeight="1" x14ac:dyDescent="0.25">
      <c r="A375" s="1"/>
      <c r="B375" s="1"/>
      <c r="C375" s="1"/>
      <c r="D375" s="1"/>
      <c r="G375" s="1755"/>
      <c r="H375" s="1"/>
      <c r="I375" s="1"/>
      <c r="J375" s="1"/>
      <c r="L375" s="1755"/>
      <c r="M375" s="1758"/>
      <c r="N375" s="1758"/>
      <c r="O375" s="11"/>
    </row>
    <row r="376" spans="1:15" ht="15" customHeight="1" x14ac:dyDescent="0.25">
      <c r="A376" s="1"/>
      <c r="B376" s="1"/>
      <c r="C376" s="1"/>
      <c r="D376" s="1"/>
      <c r="G376" s="1755"/>
      <c r="H376" s="1"/>
      <c r="I376" s="1"/>
      <c r="J376" s="1"/>
      <c r="L376" s="1755"/>
      <c r="M376" s="1758"/>
      <c r="N376" s="1758"/>
      <c r="O376" s="11"/>
    </row>
    <row r="377" spans="1:15" ht="15" customHeight="1" x14ac:dyDescent="0.25">
      <c r="A377" s="1"/>
      <c r="B377" s="1"/>
      <c r="C377" s="1"/>
      <c r="D377" s="1"/>
      <c r="G377" s="1755"/>
      <c r="H377" s="1"/>
      <c r="I377" s="1"/>
      <c r="J377" s="1"/>
      <c r="L377" s="1755"/>
      <c r="M377" s="1758"/>
      <c r="N377" s="1758"/>
      <c r="O377" s="11"/>
    </row>
    <row r="378" spans="1:15" ht="15" customHeight="1" x14ac:dyDescent="0.25">
      <c r="A378" s="1"/>
      <c r="B378" s="1"/>
      <c r="C378" s="1"/>
      <c r="D378" s="1"/>
      <c r="G378" s="1755"/>
      <c r="H378" s="1"/>
      <c r="I378" s="1"/>
      <c r="J378" s="1"/>
      <c r="L378" s="1755"/>
      <c r="M378" s="1758"/>
      <c r="N378" s="1758"/>
      <c r="O378" s="11"/>
    </row>
    <row r="379" spans="1:15" ht="15" customHeight="1" x14ac:dyDescent="0.25">
      <c r="A379" s="1"/>
      <c r="B379" s="1"/>
      <c r="C379" s="1"/>
      <c r="D379" s="1"/>
      <c r="G379" s="1755"/>
      <c r="H379" s="1"/>
      <c r="I379" s="1"/>
      <c r="J379" s="1"/>
      <c r="L379" s="1755"/>
      <c r="M379" s="1758"/>
      <c r="N379" s="1758"/>
      <c r="O379" s="11"/>
    </row>
    <row r="380" spans="1:15" ht="15" customHeight="1" x14ac:dyDescent="0.25">
      <c r="A380" s="1"/>
      <c r="B380" s="1"/>
      <c r="C380" s="1"/>
      <c r="D380" s="1"/>
      <c r="G380" s="1755"/>
      <c r="H380" s="1"/>
      <c r="I380" s="1"/>
      <c r="J380" s="1"/>
      <c r="L380" s="1755"/>
      <c r="M380" s="1758"/>
      <c r="N380" s="1758"/>
      <c r="O380" s="11"/>
    </row>
    <row r="381" spans="1:15" ht="15" customHeight="1" x14ac:dyDescent="0.25">
      <c r="A381" s="1"/>
      <c r="B381" s="1"/>
      <c r="C381" s="1"/>
      <c r="D381" s="1"/>
      <c r="G381" s="1755"/>
      <c r="H381" s="1"/>
      <c r="I381" s="1"/>
      <c r="J381" s="1"/>
      <c r="L381" s="1755"/>
      <c r="M381" s="1758"/>
      <c r="N381" s="1758"/>
      <c r="O381" s="11"/>
    </row>
    <row r="382" spans="1:15" ht="15" customHeight="1" x14ac:dyDescent="0.25">
      <c r="A382" s="1"/>
      <c r="B382" s="1"/>
      <c r="C382" s="1"/>
      <c r="D382" s="1"/>
      <c r="G382" s="1755"/>
      <c r="H382" s="1"/>
      <c r="I382" s="1"/>
      <c r="J382" s="1"/>
      <c r="L382" s="1755"/>
      <c r="M382" s="1758"/>
      <c r="N382" s="1758"/>
      <c r="O382" s="11"/>
    </row>
    <row r="383" spans="1:15" ht="15" customHeight="1" x14ac:dyDescent="0.25">
      <c r="A383" s="1"/>
      <c r="B383" s="1"/>
      <c r="C383" s="1"/>
      <c r="D383" s="1"/>
      <c r="G383" s="1755"/>
      <c r="H383" s="1"/>
      <c r="I383" s="1"/>
      <c r="J383" s="1"/>
      <c r="L383" s="1755"/>
      <c r="M383" s="1758"/>
      <c r="N383" s="1758"/>
      <c r="O383" s="11"/>
    </row>
    <row r="384" spans="1:15" ht="15" customHeight="1" x14ac:dyDescent="0.25">
      <c r="A384" s="1"/>
      <c r="B384" s="1"/>
      <c r="C384" s="1"/>
      <c r="D384" s="1"/>
      <c r="G384" s="1755"/>
      <c r="H384" s="1"/>
      <c r="I384" s="1"/>
      <c r="J384" s="1"/>
      <c r="L384" s="1755"/>
      <c r="M384" s="1758"/>
      <c r="N384" s="1758"/>
      <c r="O384" s="11"/>
    </row>
    <row r="385" spans="1:15" ht="15" customHeight="1" x14ac:dyDescent="0.25">
      <c r="A385" s="1"/>
      <c r="B385" s="1"/>
      <c r="C385" s="1"/>
      <c r="D385" s="1"/>
      <c r="G385" s="1755"/>
      <c r="H385" s="1"/>
      <c r="I385" s="1"/>
      <c r="J385" s="1"/>
      <c r="L385" s="1755"/>
      <c r="M385" s="1758"/>
      <c r="N385" s="1758"/>
      <c r="O385" s="11"/>
    </row>
    <row r="386" spans="1:15" ht="15" customHeight="1" x14ac:dyDescent="0.25">
      <c r="A386" s="1"/>
      <c r="B386" s="1"/>
      <c r="C386" s="1"/>
      <c r="D386" s="1"/>
      <c r="G386" s="1755"/>
      <c r="H386" s="1"/>
      <c r="I386" s="1"/>
      <c r="J386" s="1"/>
      <c r="L386" s="1755"/>
      <c r="M386" s="1758"/>
      <c r="N386" s="1758"/>
      <c r="O386" s="11"/>
    </row>
    <row r="387" spans="1:15" ht="15" customHeight="1" x14ac:dyDescent="0.25">
      <c r="A387" s="1"/>
      <c r="B387" s="1"/>
      <c r="C387" s="1"/>
      <c r="D387" s="1"/>
      <c r="G387" s="1755"/>
      <c r="H387" s="1"/>
      <c r="I387" s="1"/>
      <c r="J387" s="1"/>
      <c r="L387" s="1755"/>
      <c r="M387" s="1758"/>
      <c r="N387" s="1758"/>
      <c r="O387" s="11"/>
    </row>
    <row r="388" spans="1:15" ht="15" customHeight="1" x14ac:dyDescent="0.25">
      <c r="A388" s="1"/>
      <c r="B388" s="1"/>
      <c r="C388" s="1"/>
      <c r="D388" s="1"/>
      <c r="G388" s="1755"/>
      <c r="H388" s="1"/>
      <c r="I388" s="1"/>
      <c r="J388" s="1"/>
      <c r="L388" s="1755"/>
      <c r="M388" s="1758"/>
      <c r="N388" s="1758"/>
      <c r="O388" s="11"/>
    </row>
    <row r="389" spans="1:15" ht="15" customHeight="1" x14ac:dyDescent="0.25">
      <c r="A389" s="1"/>
      <c r="B389" s="1"/>
      <c r="C389" s="1"/>
      <c r="D389" s="1"/>
      <c r="G389" s="1755"/>
      <c r="H389" s="1"/>
      <c r="I389" s="1"/>
      <c r="J389" s="1"/>
      <c r="L389" s="1755"/>
      <c r="M389" s="1758"/>
      <c r="N389" s="1758"/>
      <c r="O389" s="11"/>
    </row>
    <row r="390" spans="1:15" ht="15" customHeight="1" x14ac:dyDescent="0.25">
      <c r="A390" s="1"/>
      <c r="B390" s="1"/>
      <c r="C390" s="1"/>
      <c r="D390" s="1"/>
      <c r="G390" s="1755"/>
      <c r="H390" s="1"/>
      <c r="I390" s="1"/>
      <c r="J390" s="1"/>
      <c r="L390" s="1755"/>
      <c r="M390" s="1758"/>
      <c r="N390" s="1758"/>
      <c r="O390" s="11"/>
    </row>
    <row r="391" spans="1:15" ht="15" customHeight="1" x14ac:dyDescent="0.25">
      <c r="A391" s="1"/>
      <c r="B391" s="1"/>
      <c r="C391" s="1"/>
      <c r="D391" s="1"/>
      <c r="G391" s="1755"/>
      <c r="H391" s="1"/>
      <c r="I391" s="1"/>
      <c r="J391" s="1"/>
      <c r="L391" s="1755"/>
      <c r="M391" s="1758"/>
      <c r="N391" s="1758"/>
      <c r="O391" s="11"/>
    </row>
    <row r="392" spans="1:15" ht="15" customHeight="1" x14ac:dyDescent="0.25">
      <c r="A392" s="1"/>
      <c r="B392" s="1"/>
      <c r="C392" s="1"/>
      <c r="D392" s="1"/>
      <c r="G392" s="1755"/>
      <c r="H392" s="1"/>
      <c r="I392" s="1"/>
      <c r="J392" s="1"/>
      <c r="L392" s="1755"/>
      <c r="M392" s="1758"/>
      <c r="N392" s="1758"/>
      <c r="O392" s="11"/>
    </row>
    <row r="393" spans="1:15" ht="15" customHeight="1" x14ac:dyDescent="0.25">
      <c r="A393" s="1"/>
      <c r="B393" s="1"/>
      <c r="C393" s="1"/>
      <c r="D393" s="1"/>
      <c r="G393" s="1755"/>
      <c r="H393" s="1"/>
      <c r="I393" s="1"/>
      <c r="J393" s="1"/>
      <c r="L393" s="1755"/>
      <c r="M393" s="1758"/>
      <c r="N393" s="1758"/>
      <c r="O393" s="11"/>
    </row>
    <row r="394" spans="1:15" ht="15" customHeight="1" x14ac:dyDescent="0.25">
      <c r="A394" s="1"/>
      <c r="B394" s="1"/>
      <c r="C394" s="1"/>
      <c r="D394" s="1"/>
      <c r="G394" s="1755"/>
      <c r="H394" s="1"/>
      <c r="I394" s="1"/>
      <c r="J394" s="1"/>
      <c r="L394" s="1755"/>
      <c r="M394" s="1758"/>
      <c r="N394" s="1758"/>
      <c r="O394" s="11"/>
    </row>
    <row r="395" spans="1:15" ht="15" customHeight="1" x14ac:dyDescent="0.25">
      <c r="A395" s="1"/>
      <c r="B395" s="1"/>
      <c r="C395" s="1"/>
      <c r="D395" s="1"/>
      <c r="G395" s="1755"/>
      <c r="H395" s="1"/>
      <c r="I395" s="1"/>
      <c r="J395" s="1"/>
      <c r="L395" s="1755"/>
      <c r="M395" s="1758"/>
      <c r="N395" s="1758"/>
      <c r="O395" s="11"/>
    </row>
    <row r="396" spans="1:15" ht="15" customHeight="1" x14ac:dyDescent="0.25">
      <c r="A396" s="1"/>
      <c r="B396" s="1"/>
      <c r="C396" s="1"/>
      <c r="D396" s="1"/>
      <c r="G396" s="1755"/>
      <c r="H396" s="1"/>
      <c r="I396" s="1"/>
      <c r="J396" s="1"/>
      <c r="L396" s="1755"/>
      <c r="M396" s="1758"/>
      <c r="N396" s="1758"/>
      <c r="O396" s="11"/>
    </row>
    <row r="397" spans="1:15" ht="15" customHeight="1" x14ac:dyDescent="0.25">
      <c r="A397" s="1"/>
      <c r="B397" s="1"/>
      <c r="C397" s="1"/>
      <c r="D397" s="1"/>
      <c r="G397" s="1755"/>
      <c r="H397" s="1"/>
      <c r="I397" s="1"/>
      <c r="J397" s="1"/>
      <c r="L397" s="1755"/>
      <c r="M397" s="1758"/>
      <c r="N397" s="1758"/>
      <c r="O397" s="11"/>
    </row>
    <row r="398" spans="1:15" ht="15" customHeight="1" x14ac:dyDescent="0.25">
      <c r="A398" s="1"/>
      <c r="B398" s="1"/>
      <c r="C398" s="1"/>
      <c r="D398" s="1"/>
      <c r="G398" s="1755"/>
      <c r="H398" s="1"/>
      <c r="I398" s="1"/>
      <c r="J398" s="1"/>
      <c r="L398" s="1755"/>
      <c r="M398" s="1758"/>
      <c r="N398" s="1758"/>
      <c r="O398" s="11"/>
    </row>
    <row r="399" spans="1:15" ht="15" customHeight="1" x14ac:dyDescent="0.25">
      <c r="A399" s="1"/>
      <c r="B399" s="1"/>
      <c r="C399" s="1"/>
      <c r="D399" s="1"/>
      <c r="G399" s="1755"/>
      <c r="H399" s="1"/>
      <c r="I399" s="1"/>
      <c r="J399" s="1"/>
      <c r="L399" s="1755"/>
      <c r="M399" s="1758"/>
      <c r="N399" s="1758"/>
      <c r="O399" s="11"/>
    </row>
    <row r="400" spans="1:15" ht="15" customHeight="1" x14ac:dyDescent="0.25">
      <c r="A400" s="1"/>
      <c r="B400" s="1"/>
      <c r="C400" s="1"/>
      <c r="D400" s="1"/>
      <c r="G400" s="1755"/>
      <c r="H400" s="1"/>
      <c r="I400" s="1"/>
      <c r="J400" s="1"/>
      <c r="L400" s="1755"/>
      <c r="M400" s="1758"/>
      <c r="N400" s="1758"/>
      <c r="O400" s="11"/>
    </row>
    <row r="401" spans="1:15" ht="15" customHeight="1" x14ac:dyDescent="0.25">
      <c r="A401" s="1"/>
      <c r="B401" s="1"/>
      <c r="C401" s="1"/>
      <c r="D401" s="1"/>
      <c r="G401" s="1755"/>
      <c r="H401" s="1"/>
      <c r="I401" s="1"/>
      <c r="J401" s="1"/>
      <c r="L401" s="1755"/>
      <c r="M401" s="1758"/>
      <c r="N401" s="1758"/>
      <c r="O401" s="11"/>
    </row>
    <row r="402" spans="1:15" ht="15" customHeight="1" x14ac:dyDescent="0.25">
      <c r="A402" s="1"/>
      <c r="B402" s="1"/>
      <c r="C402" s="1"/>
      <c r="D402" s="1"/>
      <c r="G402" s="1755"/>
      <c r="H402" s="1"/>
      <c r="I402" s="1"/>
      <c r="J402" s="1"/>
      <c r="L402" s="1755"/>
      <c r="M402" s="1758"/>
      <c r="N402" s="1758"/>
      <c r="O402" s="11"/>
    </row>
    <row r="403" spans="1:15" ht="15" customHeight="1" x14ac:dyDescent="0.25">
      <c r="A403" s="1"/>
      <c r="B403" s="1"/>
      <c r="C403" s="1"/>
      <c r="D403" s="1"/>
      <c r="G403" s="1755"/>
      <c r="H403" s="1"/>
      <c r="I403" s="1"/>
      <c r="J403" s="1"/>
      <c r="L403" s="1755"/>
      <c r="M403" s="1758"/>
      <c r="N403" s="1758"/>
      <c r="O403" s="11"/>
    </row>
    <row r="404" spans="1:15" ht="15" customHeight="1" x14ac:dyDescent="0.25">
      <c r="A404" s="1"/>
      <c r="B404" s="1"/>
      <c r="C404" s="1"/>
      <c r="D404" s="1"/>
      <c r="G404" s="1755"/>
      <c r="H404" s="1"/>
      <c r="I404" s="1"/>
      <c r="J404" s="1"/>
      <c r="L404" s="1755"/>
      <c r="M404" s="1758"/>
      <c r="N404" s="1758"/>
      <c r="O404" s="11"/>
    </row>
    <row r="405" spans="1:15" ht="15" customHeight="1" x14ac:dyDescent="0.25">
      <c r="A405" s="1"/>
      <c r="B405" s="1"/>
      <c r="C405" s="1"/>
      <c r="D405" s="1"/>
      <c r="G405" s="1"/>
      <c r="H405" s="1"/>
      <c r="I405" s="1"/>
      <c r="J405" s="1"/>
      <c r="L405" s="1755"/>
      <c r="M405" s="1758"/>
      <c r="N405" s="1758"/>
      <c r="O405" s="11"/>
    </row>
    <row r="406" spans="1:15" ht="15" customHeight="1" x14ac:dyDescent="0.25">
      <c r="A406" s="1"/>
      <c r="B406" s="1"/>
      <c r="C406" s="1"/>
      <c r="D406" s="1"/>
      <c r="G406" s="1"/>
      <c r="H406" s="1"/>
      <c r="I406" s="1"/>
      <c r="J406" s="1"/>
      <c r="L406" s="1755"/>
      <c r="M406" s="1758"/>
      <c r="N406" s="1758"/>
      <c r="O406" s="11"/>
    </row>
    <row r="407" spans="1:15" ht="15" customHeight="1" x14ac:dyDescent="0.25">
      <c r="A407" s="1"/>
      <c r="B407" s="1"/>
      <c r="C407" s="1"/>
      <c r="D407" s="1"/>
      <c r="G407" s="1"/>
      <c r="H407" s="1"/>
      <c r="I407" s="1"/>
      <c r="J407" s="1"/>
      <c r="L407" s="1755"/>
      <c r="M407" s="1758"/>
      <c r="N407" s="1758"/>
      <c r="O407" s="11"/>
    </row>
    <row r="408" spans="1:15" ht="15" customHeight="1" x14ac:dyDescent="0.25">
      <c r="A408" s="1"/>
      <c r="B408" s="1"/>
      <c r="C408" s="1"/>
      <c r="D408" s="1"/>
      <c r="G408" s="1"/>
      <c r="H408" s="1"/>
      <c r="I408" s="1"/>
      <c r="J408" s="1"/>
      <c r="L408" s="1755"/>
      <c r="M408" s="1758"/>
      <c r="N408" s="1758"/>
      <c r="O408" s="11"/>
    </row>
    <row r="409" spans="1:15" ht="15" customHeight="1" x14ac:dyDescent="0.25">
      <c r="A409" s="1"/>
      <c r="B409" s="1"/>
      <c r="C409" s="1"/>
      <c r="D409" s="1"/>
      <c r="G409" s="1"/>
      <c r="H409" s="1"/>
      <c r="I409" s="1"/>
      <c r="J409" s="1"/>
      <c r="L409" s="1755"/>
      <c r="M409" s="1758"/>
      <c r="N409" s="1758"/>
      <c r="O409" s="11"/>
    </row>
    <row r="410" spans="1:15" ht="15" customHeight="1" x14ac:dyDescent="0.25">
      <c r="A410" s="1"/>
      <c r="B410" s="1"/>
      <c r="C410" s="1"/>
      <c r="D410" s="1"/>
      <c r="G410" s="1"/>
      <c r="H410" s="1"/>
      <c r="I410" s="1"/>
      <c r="J410" s="1"/>
      <c r="L410" s="1755"/>
      <c r="M410" s="1758"/>
      <c r="N410" s="1758"/>
      <c r="O410" s="11"/>
    </row>
    <row r="411" spans="1:15" ht="15" customHeight="1" x14ac:dyDescent="0.25">
      <c r="A411" s="1"/>
      <c r="B411" s="1"/>
      <c r="C411" s="1"/>
      <c r="D411" s="1"/>
      <c r="G411" s="1"/>
      <c r="H411" s="1"/>
      <c r="I411" s="1"/>
      <c r="J411" s="1"/>
      <c r="K411" s="13"/>
      <c r="L411" s="1778"/>
      <c r="M411" s="1758"/>
      <c r="N411" s="1758"/>
      <c r="O411" s="11"/>
    </row>
    <row r="412" spans="1:15" ht="15" customHeight="1" x14ac:dyDescent="0.25">
      <c r="A412" s="1"/>
      <c r="B412" s="1"/>
      <c r="C412" s="1"/>
      <c r="D412" s="1"/>
      <c r="G412" s="1"/>
      <c r="H412" s="1"/>
      <c r="I412" s="1"/>
      <c r="J412" s="1"/>
      <c r="L412" s="1755"/>
      <c r="M412" s="1758"/>
      <c r="N412" s="1758"/>
      <c r="O412" s="11"/>
    </row>
    <row r="413" spans="1:15" ht="15" customHeight="1" x14ac:dyDescent="0.25">
      <c r="A413" s="1"/>
      <c r="B413" s="1"/>
      <c r="C413" s="1"/>
      <c r="D413" s="1"/>
      <c r="G413" s="1"/>
      <c r="H413" s="1"/>
      <c r="I413" s="1"/>
      <c r="J413" s="1"/>
      <c r="L413" s="1755"/>
      <c r="M413" s="1755"/>
      <c r="N413" s="1755"/>
    </row>
    <row r="414" spans="1:15" ht="15" customHeight="1" x14ac:dyDescent="0.25">
      <c r="A414" s="1"/>
      <c r="B414" s="1"/>
      <c r="C414" s="1"/>
      <c r="D414" s="1"/>
      <c r="G414" s="1"/>
      <c r="H414" s="1"/>
      <c r="I414" s="1"/>
      <c r="J414" s="1"/>
      <c r="L414" s="1755"/>
      <c r="M414" s="1755"/>
      <c r="N414" s="1755"/>
    </row>
    <row r="415" spans="1:15" ht="15" customHeight="1" x14ac:dyDescent="0.25">
      <c r="A415" s="1"/>
      <c r="B415" s="1"/>
      <c r="C415" s="1"/>
      <c r="D415" s="1"/>
      <c r="G415" s="1"/>
      <c r="H415" s="1"/>
      <c r="I415" s="1"/>
      <c r="J415" s="1"/>
      <c r="L415" s="1755"/>
      <c r="M415" s="1755"/>
      <c r="N415" s="1755"/>
    </row>
    <row r="416" spans="1:15" ht="15" customHeight="1" x14ac:dyDescent="0.25">
      <c r="A416" s="1"/>
      <c r="B416" s="1"/>
      <c r="C416" s="1"/>
      <c r="D416" s="1"/>
      <c r="G416" s="1"/>
      <c r="H416" s="1"/>
      <c r="I416" s="1"/>
      <c r="J416" s="1"/>
      <c r="L416" s="1755"/>
      <c r="M416" s="1755"/>
      <c r="N416" s="1755"/>
    </row>
    <row r="417" spans="1:15" ht="15" customHeight="1" x14ac:dyDescent="0.25">
      <c r="A417" s="1"/>
      <c r="B417" s="1"/>
      <c r="C417" s="1"/>
      <c r="D417" s="1"/>
      <c r="G417" s="1"/>
      <c r="H417" s="1"/>
      <c r="I417" s="1"/>
      <c r="J417" s="1"/>
      <c r="L417" s="1755"/>
      <c r="M417" s="1755"/>
      <c r="N417" s="1755"/>
    </row>
    <row r="418" spans="1:15" ht="15" customHeight="1" x14ac:dyDescent="0.25">
      <c r="A418" s="1"/>
      <c r="B418" s="1"/>
      <c r="C418" s="1"/>
      <c r="D418" s="1"/>
      <c r="G418" s="1"/>
      <c r="H418" s="1"/>
      <c r="I418" s="1"/>
      <c r="J418" s="1"/>
      <c r="L418" s="1755"/>
      <c r="M418" s="1755"/>
      <c r="N418" s="1755"/>
    </row>
    <row r="419" spans="1:15" ht="15" customHeight="1" x14ac:dyDescent="0.25">
      <c r="A419" s="1"/>
      <c r="B419" s="1"/>
      <c r="C419" s="1"/>
      <c r="D419" s="1"/>
      <c r="G419" s="1"/>
      <c r="H419" s="1"/>
      <c r="I419" s="1"/>
      <c r="J419" s="1"/>
      <c r="L419" s="1755"/>
      <c r="M419" s="1755"/>
      <c r="N419" s="1755"/>
    </row>
    <row r="420" spans="1:15" ht="15" customHeight="1" x14ac:dyDescent="0.25">
      <c r="A420" s="1"/>
      <c r="B420" s="1"/>
      <c r="C420" s="1"/>
      <c r="D420" s="1"/>
      <c r="G420" s="1"/>
      <c r="H420" s="1"/>
      <c r="I420" s="1"/>
      <c r="J420" s="1"/>
      <c r="L420" s="1755"/>
      <c r="M420" s="1755"/>
      <c r="N420" s="1755"/>
    </row>
    <row r="421" spans="1:15" ht="15" customHeight="1" x14ac:dyDescent="0.25">
      <c r="A421" s="1"/>
      <c r="B421" s="1"/>
      <c r="C421" s="1"/>
      <c r="D421" s="1"/>
      <c r="G421" s="1"/>
      <c r="H421" s="1"/>
      <c r="I421" s="1"/>
      <c r="J421" s="1"/>
      <c r="L421" s="1755"/>
      <c r="M421" s="1755"/>
      <c r="N421" s="1755"/>
    </row>
    <row r="422" spans="1:15" ht="15" customHeight="1" x14ac:dyDescent="0.25">
      <c r="A422" s="1"/>
      <c r="B422" s="1"/>
      <c r="C422" s="1"/>
      <c r="D422" s="1"/>
      <c r="G422" s="1"/>
      <c r="H422" s="1"/>
      <c r="I422" s="1"/>
      <c r="J422" s="1"/>
      <c r="L422" s="1755"/>
      <c r="M422" s="1755"/>
      <c r="N422" s="1755"/>
    </row>
    <row r="423" spans="1:15" ht="15" customHeight="1" x14ac:dyDescent="0.25">
      <c r="A423" s="1"/>
      <c r="B423" s="1"/>
      <c r="C423" s="1"/>
      <c r="D423" s="1"/>
      <c r="G423" s="1"/>
      <c r="H423" s="1"/>
      <c r="I423" s="1"/>
      <c r="J423" s="1"/>
      <c r="L423" s="1755"/>
      <c r="M423" s="1755"/>
      <c r="N423" s="1755"/>
    </row>
    <row r="424" spans="1:15" ht="15" customHeight="1" x14ac:dyDescent="0.25">
      <c r="A424" s="1"/>
      <c r="B424" s="1"/>
      <c r="C424" s="1"/>
      <c r="D424" s="1"/>
      <c r="G424" s="1"/>
      <c r="H424" s="1"/>
      <c r="I424" s="1"/>
      <c r="J424" s="1"/>
      <c r="L424" s="1755"/>
      <c r="M424" s="1755"/>
      <c r="N424" s="1755"/>
    </row>
    <row r="425" spans="1:15" ht="15" customHeight="1" x14ac:dyDescent="0.25">
      <c r="A425" s="1"/>
      <c r="B425" s="1"/>
      <c r="C425" s="1"/>
      <c r="D425" s="1"/>
      <c r="G425" s="1"/>
      <c r="H425" s="1"/>
      <c r="I425" s="1"/>
      <c r="J425" s="1"/>
      <c r="L425" s="1755"/>
      <c r="M425" s="1755"/>
      <c r="N425" s="1755"/>
    </row>
    <row r="426" spans="1:15" s="38" customFormat="1" ht="15" customHeight="1" x14ac:dyDescent="0.25">
      <c r="A426" s="1"/>
      <c r="B426" s="1"/>
      <c r="C426" s="1"/>
      <c r="D426" s="1"/>
      <c r="E426" s="1"/>
      <c r="F426" s="1"/>
      <c r="G426" s="1"/>
      <c r="H426" s="1"/>
      <c r="I426" s="1"/>
      <c r="J426" s="1"/>
      <c r="K426" s="37"/>
      <c r="L426" s="1755"/>
      <c r="M426" s="1755"/>
      <c r="N426" s="1755"/>
      <c r="O426" s="1"/>
    </row>
    <row r="427" spans="1:15" s="38" customFormat="1" ht="15" customHeight="1" x14ac:dyDescent="0.25">
      <c r="A427" s="1"/>
      <c r="B427" s="1"/>
      <c r="C427" s="1"/>
      <c r="D427" s="1"/>
      <c r="E427" s="1"/>
      <c r="F427" s="1"/>
      <c r="G427" s="1"/>
      <c r="H427" s="1"/>
      <c r="I427" s="1"/>
      <c r="J427" s="1"/>
      <c r="K427" s="37"/>
      <c r="L427" s="1755"/>
      <c r="M427" s="1755"/>
      <c r="N427" s="1755"/>
      <c r="O427" s="1"/>
    </row>
    <row r="428" spans="1:15" s="38" customFormat="1" ht="15" customHeight="1" x14ac:dyDescent="0.25">
      <c r="A428" s="1"/>
      <c r="B428" s="1"/>
      <c r="C428" s="1"/>
      <c r="D428" s="1"/>
      <c r="E428" s="1"/>
      <c r="F428" s="1"/>
      <c r="G428" s="1"/>
      <c r="H428" s="1"/>
      <c r="I428" s="1"/>
      <c r="J428" s="1"/>
      <c r="K428" s="37"/>
      <c r="L428" s="1755"/>
      <c r="M428" s="1755"/>
      <c r="N428" s="1755"/>
      <c r="O428" s="1"/>
    </row>
    <row r="429" spans="1:15" s="38" customFormat="1" ht="15" customHeight="1" x14ac:dyDescent="0.25">
      <c r="A429" s="1"/>
      <c r="B429" s="1"/>
      <c r="C429" s="1"/>
      <c r="D429" s="1"/>
      <c r="E429" s="1"/>
      <c r="F429" s="1"/>
      <c r="G429" s="1"/>
      <c r="H429" s="1"/>
      <c r="I429" s="1"/>
      <c r="J429" s="1"/>
      <c r="L429" s="1779"/>
      <c r="M429" s="1779"/>
      <c r="N429" s="1779"/>
    </row>
    <row r="430" spans="1:15" s="38" customFormat="1" ht="15" customHeight="1" x14ac:dyDescent="0.25">
      <c r="A430" s="1"/>
      <c r="B430" s="1"/>
      <c r="C430" s="1"/>
      <c r="D430" s="1"/>
      <c r="E430" s="1"/>
      <c r="F430" s="1"/>
      <c r="G430" s="1"/>
      <c r="H430" s="1"/>
      <c r="I430" s="1"/>
      <c r="J430" s="1"/>
      <c r="K430" s="45"/>
      <c r="L430" s="1779"/>
      <c r="M430" s="1779"/>
      <c r="N430" s="1779"/>
    </row>
    <row r="431" spans="1:15" s="38" customFormat="1" ht="15" customHeight="1" x14ac:dyDescent="0.25">
      <c r="A431" s="1"/>
      <c r="B431" s="1"/>
      <c r="C431" s="1"/>
      <c r="D431" s="1"/>
      <c r="E431" s="1"/>
      <c r="F431" s="1"/>
      <c r="G431" s="1"/>
      <c r="H431" s="1"/>
      <c r="I431" s="1"/>
      <c r="J431" s="1"/>
      <c r="K431" s="45"/>
      <c r="L431" s="1779"/>
      <c r="M431" s="1779"/>
      <c r="N431" s="1779"/>
    </row>
    <row r="432" spans="1:15" s="38" customFormat="1" ht="15" customHeight="1" x14ac:dyDescent="0.25">
      <c r="A432" s="1"/>
      <c r="B432" s="1"/>
      <c r="C432" s="1"/>
      <c r="D432" s="1"/>
      <c r="E432" s="1"/>
      <c r="F432" s="1"/>
      <c r="G432" s="1"/>
      <c r="H432" s="1"/>
      <c r="I432" s="1"/>
      <c r="J432" s="1"/>
      <c r="K432" s="45"/>
      <c r="L432" s="1779"/>
      <c r="M432" s="1779"/>
      <c r="N432" s="1779"/>
    </row>
    <row r="433" spans="1:14" s="38" customFormat="1" ht="15" customHeight="1" x14ac:dyDescent="0.25">
      <c r="A433" s="1"/>
      <c r="B433" s="1"/>
      <c r="C433" s="1"/>
      <c r="D433" s="1"/>
      <c r="E433" s="1"/>
      <c r="F433" s="1"/>
      <c r="G433" s="1"/>
      <c r="H433" s="1"/>
      <c r="I433" s="1"/>
      <c r="J433" s="1"/>
      <c r="K433" s="45"/>
      <c r="L433" s="1779"/>
      <c r="M433" s="1779"/>
      <c r="N433" s="1779"/>
    </row>
    <row r="434" spans="1:14" s="38" customFormat="1" ht="15" customHeight="1" x14ac:dyDescent="0.25">
      <c r="A434" s="1"/>
      <c r="B434" s="1"/>
      <c r="C434" s="1"/>
      <c r="D434" s="1"/>
      <c r="E434" s="1"/>
      <c r="F434" s="1"/>
      <c r="G434" s="1"/>
      <c r="H434" s="1"/>
      <c r="I434" s="1"/>
      <c r="J434" s="1"/>
      <c r="K434" s="45"/>
      <c r="L434" s="1779"/>
      <c r="M434" s="1779"/>
      <c r="N434" s="1779"/>
    </row>
    <row r="435" spans="1:14" s="38" customFormat="1" ht="15" customHeight="1" x14ac:dyDescent="0.25">
      <c r="A435" s="1"/>
      <c r="B435" s="1"/>
      <c r="C435" s="1"/>
      <c r="D435" s="1"/>
      <c r="E435" s="1"/>
      <c r="F435" s="1"/>
      <c r="G435" s="1"/>
      <c r="H435" s="1"/>
      <c r="I435" s="1"/>
      <c r="J435" s="1"/>
      <c r="K435" s="45"/>
      <c r="L435" s="1779"/>
      <c r="M435" s="1779"/>
      <c r="N435" s="1779"/>
    </row>
    <row r="436" spans="1:14" s="38" customFormat="1" ht="15" customHeight="1" x14ac:dyDescent="0.25">
      <c r="A436" s="1"/>
      <c r="B436" s="1"/>
      <c r="C436" s="1"/>
      <c r="D436" s="1"/>
      <c r="E436" s="1"/>
      <c r="F436" s="1"/>
      <c r="G436" s="1"/>
      <c r="H436" s="1"/>
      <c r="I436" s="1"/>
      <c r="J436" s="1"/>
      <c r="K436" s="45"/>
      <c r="L436" s="1779"/>
      <c r="M436" s="1779"/>
      <c r="N436" s="1779"/>
    </row>
    <row r="437" spans="1:14" s="38" customFormat="1" ht="15" customHeight="1" x14ac:dyDescent="0.25">
      <c r="A437" s="1"/>
      <c r="B437" s="1"/>
      <c r="C437" s="1"/>
      <c r="D437" s="1"/>
      <c r="E437" s="1"/>
      <c r="F437" s="1"/>
      <c r="G437" s="1"/>
      <c r="H437" s="1"/>
      <c r="I437" s="1"/>
      <c r="J437" s="1"/>
      <c r="K437" s="45"/>
      <c r="L437" s="1779"/>
      <c r="M437" s="1779"/>
      <c r="N437" s="1779"/>
    </row>
    <row r="438" spans="1:14" s="38" customFormat="1" ht="15" customHeight="1" x14ac:dyDescent="0.25">
      <c r="A438" s="1"/>
      <c r="B438" s="1"/>
      <c r="C438" s="1"/>
      <c r="D438" s="1"/>
      <c r="E438" s="1"/>
      <c r="F438" s="1"/>
      <c r="G438" s="1"/>
      <c r="H438" s="1"/>
      <c r="I438" s="1"/>
      <c r="J438" s="1"/>
      <c r="K438" s="45"/>
      <c r="L438" s="1779"/>
      <c r="M438" s="1779"/>
      <c r="N438" s="1779"/>
    </row>
    <row r="439" spans="1:14" s="38" customFormat="1" ht="15" customHeight="1" x14ac:dyDescent="0.25">
      <c r="A439" s="1"/>
      <c r="B439" s="1"/>
      <c r="C439" s="1"/>
      <c r="D439" s="1"/>
      <c r="E439" s="1"/>
      <c r="F439" s="1"/>
      <c r="G439" s="1"/>
      <c r="H439" s="1"/>
      <c r="I439" s="1"/>
      <c r="J439" s="1"/>
      <c r="K439" s="45"/>
      <c r="L439" s="1779"/>
      <c r="M439" s="1779"/>
      <c r="N439" s="1779"/>
    </row>
    <row r="440" spans="1:14" s="38" customFormat="1" ht="15" customHeight="1" x14ac:dyDescent="0.25">
      <c r="A440" s="1"/>
      <c r="B440" s="1"/>
      <c r="C440" s="1"/>
      <c r="D440" s="1"/>
      <c r="E440" s="1"/>
      <c r="F440" s="1"/>
      <c r="G440" s="1"/>
      <c r="H440" s="1"/>
      <c r="I440" s="1"/>
      <c r="J440" s="1"/>
      <c r="K440" s="45"/>
      <c r="L440" s="1779"/>
      <c r="M440" s="1779"/>
      <c r="N440" s="1779"/>
    </row>
    <row r="441" spans="1:14" s="38" customFormat="1" ht="15" customHeight="1" x14ac:dyDescent="0.25">
      <c r="A441" s="1"/>
      <c r="B441" s="1"/>
      <c r="C441" s="1"/>
      <c r="D441" s="1"/>
      <c r="E441" s="1"/>
      <c r="F441" s="1"/>
      <c r="G441" s="1"/>
      <c r="H441" s="1"/>
      <c r="I441" s="1"/>
      <c r="J441" s="1"/>
      <c r="K441" s="45"/>
      <c r="L441" s="1779"/>
      <c r="M441" s="1779"/>
      <c r="N441" s="1779"/>
    </row>
    <row r="442" spans="1:14" s="38" customFormat="1" ht="15" customHeight="1" x14ac:dyDescent="0.25">
      <c r="A442" s="1"/>
      <c r="B442" s="1"/>
      <c r="C442" s="1"/>
      <c r="D442" s="1"/>
      <c r="E442" s="1"/>
      <c r="F442" s="1"/>
      <c r="G442" s="1"/>
      <c r="H442" s="1"/>
      <c r="I442" s="1"/>
      <c r="J442" s="1"/>
      <c r="K442" s="45"/>
      <c r="L442" s="1779"/>
      <c r="M442" s="1779"/>
      <c r="N442" s="1779"/>
    </row>
    <row r="443" spans="1:14" s="38" customFormat="1" ht="15" customHeight="1" x14ac:dyDescent="0.25">
      <c r="A443" s="1"/>
      <c r="B443" s="1"/>
      <c r="C443" s="1"/>
      <c r="D443" s="1"/>
      <c r="E443" s="1"/>
      <c r="F443" s="1"/>
      <c r="G443" s="1"/>
      <c r="H443" s="1"/>
      <c r="I443" s="1"/>
      <c r="J443" s="1"/>
      <c r="K443" s="45"/>
      <c r="L443" s="1779"/>
      <c r="M443" s="1779"/>
      <c r="N443" s="1779"/>
    </row>
    <row r="444" spans="1:14" s="38" customFormat="1" ht="15" customHeight="1" x14ac:dyDescent="0.25">
      <c r="A444" s="1"/>
      <c r="B444" s="1"/>
      <c r="C444" s="1"/>
      <c r="D444" s="1"/>
      <c r="E444" s="1"/>
      <c r="F444" s="1"/>
      <c r="G444" s="1"/>
      <c r="H444" s="1"/>
      <c r="I444" s="1"/>
      <c r="J444" s="1"/>
      <c r="K444" s="45"/>
      <c r="L444" s="1779"/>
      <c r="M444" s="1779"/>
      <c r="N444" s="1779"/>
    </row>
    <row r="445" spans="1:14" s="38" customFormat="1" ht="15" customHeight="1" x14ac:dyDescent="0.25">
      <c r="A445" s="1"/>
      <c r="B445" s="1"/>
      <c r="C445" s="1"/>
      <c r="D445" s="1"/>
      <c r="E445" s="1"/>
      <c r="F445" s="1"/>
      <c r="G445" s="1"/>
      <c r="H445" s="1"/>
      <c r="I445" s="1"/>
      <c r="J445" s="1"/>
      <c r="K445" s="45"/>
      <c r="L445" s="1779"/>
      <c r="M445" s="1779"/>
      <c r="N445" s="1779"/>
    </row>
    <row r="446" spans="1:14" s="38" customFormat="1" ht="15" customHeight="1" x14ac:dyDescent="0.25">
      <c r="A446" s="1"/>
      <c r="B446" s="1"/>
      <c r="C446" s="1"/>
      <c r="D446" s="1"/>
      <c r="E446" s="1"/>
      <c r="F446" s="1"/>
      <c r="G446" s="1"/>
      <c r="H446" s="1"/>
      <c r="I446" s="1"/>
      <c r="J446" s="1"/>
      <c r="K446" s="45"/>
      <c r="L446" s="1779"/>
      <c r="M446" s="1779"/>
      <c r="N446" s="1779"/>
    </row>
    <row r="447" spans="1:14" s="38" customFormat="1" ht="15" customHeight="1" x14ac:dyDescent="0.25">
      <c r="A447" s="1"/>
      <c r="B447" s="1"/>
      <c r="C447" s="1"/>
      <c r="D447" s="1"/>
      <c r="E447" s="1"/>
      <c r="F447" s="1"/>
      <c r="G447" s="1"/>
      <c r="H447" s="1"/>
      <c r="I447" s="1"/>
      <c r="J447" s="1"/>
      <c r="K447" s="45"/>
      <c r="L447" s="1779"/>
      <c r="M447" s="1779"/>
      <c r="N447" s="1779"/>
    </row>
    <row r="448" spans="1:14" s="38" customFormat="1" ht="15" customHeight="1" x14ac:dyDescent="0.25">
      <c r="A448" s="1"/>
      <c r="B448" s="1"/>
      <c r="C448" s="1"/>
      <c r="D448" s="1"/>
      <c r="E448" s="1"/>
      <c r="F448" s="1"/>
      <c r="G448" s="1"/>
      <c r="H448" s="1"/>
      <c r="I448" s="1"/>
      <c r="J448" s="1"/>
      <c r="K448" s="45"/>
      <c r="L448" s="1779"/>
      <c r="M448" s="1779"/>
      <c r="N448" s="1779"/>
    </row>
    <row r="449" spans="1:15" s="38" customFormat="1" ht="21.75" customHeight="1" x14ac:dyDescent="0.25">
      <c r="A449" s="1"/>
      <c r="B449" s="1"/>
      <c r="C449" s="1"/>
      <c r="D449" s="1"/>
      <c r="E449" s="1"/>
      <c r="F449" s="1"/>
      <c r="G449" s="1"/>
      <c r="H449" s="1"/>
      <c r="I449" s="1"/>
      <c r="J449" s="1"/>
      <c r="K449" s="45"/>
      <c r="L449" s="1779"/>
      <c r="M449" s="1779"/>
      <c r="N449" s="1779"/>
    </row>
    <row r="450" spans="1:15" s="38" customFormat="1" ht="15" customHeight="1" x14ac:dyDescent="0.25">
      <c r="A450" s="1"/>
      <c r="B450" s="1"/>
      <c r="C450" s="1"/>
      <c r="D450" s="1"/>
      <c r="E450" s="1"/>
      <c r="F450" s="1"/>
      <c r="G450" s="1"/>
      <c r="H450" s="1"/>
      <c r="I450" s="1"/>
      <c r="J450" s="1"/>
      <c r="K450" s="45"/>
      <c r="L450" s="1779"/>
      <c r="M450" s="1779"/>
      <c r="N450" s="1779"/>
    </row>
    <row r="451" spans="1:15" s="38" customFormat="1" ht="15" customHeight="1" x14ac:dyDescent="0.25">
      <c r="A451" s="1"/>
      <c r="B451" s="1"/>
      <c r="C451" s="1"/>
      <c r="D451" s="1"/>
      <c r="E451" s="1"/>
      <c r="F451" s="1"/>
      <c r="G451" s="1"/>
      <c r="H451" s="1"/>
      <c r="I451" s="1"/>
      <c r="J451" s="1"/>
      <c r="K451" s="45"/>
      <c r="L451" s="1779"/>
      <c r="M451" s="1779"/>
      <c r="N451" s="1779"/>
    </row>
    <row r="452" spans="1:15" s="38" customFormat="1" ht="15" customHeight="1" x14ac:dyDescent="0.25">
      <c r="A452" s="1"/>
      <c r="B452" s="1"/>
      <c r="C452" s="1"/>
      <c r="D452" s="1"/>
      <c r="E452" s="1"/>
      <c r="F452" s="1"/>
      <c r="G452" s="1"/>
      <c r="H452" s="1"/>
      <c r="I452" s="1"/>
      <c r="J452" s="1"/>
      <c r="K452" s="45"/>
      <c r="L452" s="1779"/>
      <c r="M452" s="1779"/>
      <c r="N452" s="1779"/>
    </row>
    <row r="453" spans="1:15" s="38" customFormat="1" ht="15" customHeight="1" x14ac:dyDescent="0.25">
      <c r="A453" s="1"/>
      <c r="B453" s="1"/>
      <c r="C453" s="1"/>
      <c r="D453" s="1"/>
      <c r="E453" s="1"/>
      <c r="F453" s="1"/>
      <c r="G453" s="1"/>
      <c r="H453" s="1"/>
      <c r="I453" s="1"/>
      <c r="J453" s="1"/>
      <c r="K453" s="45"/>
      <c r="L453" s="1779"/>
      <c r="M453" s="1779"/>
      <c r="N453" s="1779"/>
    </row>
    <row r="454" spans="1:15" s="38" customFormat="1" ht="15" customHeight="1" x14ac:dyDescent="0.25">
      <c r="A454" s="1"/>
      <c r="B454" s="1"/>
      <c r="C454" s="1"/>
      <c r="D454" s="1"/>
      <c r="E454" s="1"/>
      <c r="F454" s="1"/>
      <c r="G454" s="1"/>
      <c r="H454" s="1"/>
      <c r="I454" s="1"/>
      <c r="J454" s="1"/>
      <c r="K454" s="45"/>
      <c r="L454" s="1779"/>
      <c r="M454" s="1779"/>
      <c r="N454" s="1779"/>
    </row>
    <row r="455" spans="1:15" s="38" customFormat="1" ht="15" customHeight="1" x14ac:dyDescent="0.25">
      <c r="A455" s="1"/>
      <c r="B455" s="1"/>
      <c r="C455" s="1"/>
      <c r="D455" s="1"/>
      <c r="E455" s="1"/>
      <c r="F455" s="1"/>
      <c r="G455" s="1"/>
      <c r="H455" s="1"/>
      <c r="I455" s="1"/>
      <c r="J455" s="1"/>
      <c r="K455" s="45"/>
      <c r="L455" s="1779"/>
      <c r="M455" s="1779"/>
      <c r="N455" s="1779"/>
    </row>
    <row r="456" spans="1:15" s="38" customFormat="1" ht="15" customHeight="1" x14ac:dyDescent="0.25">
      <c r="A456" s="1"/>
      <c r="B456" s="1"/>
      <c r="C456" s="1"/>
      <c r="D456" s="1"/>
      <c r="E456" s="1"/>
      <c r="F456" s="1"/>
      <c r="G456" s="1"/>
      <c r="H456" s="1"/>
      <c r="I456" s="1"/>
      <c r="J456" s="1"/>
      <c r="K456" s="45"/>
      <c r="L456" s="1779"/>
      <c r="M456" s="1779"/>
      <c r="N456" s="1779"/>
    </row>
    <row r="457" spans="1:15" ht="15" customHeight="1" x14ac:dyDescent="0.25">
      <c r="A457" s="1"/>
      <c r="B457" s="1"/>
      <c r="C457" s="1"/>
      <c r="D457" s="1"/>
      <c r="G457" s="1"/>
      <c r="H457" s="1"/>
      <c r="I457" s="1"/>
      <c r="J457" s="1"/>
      <c r="K457" s="45"/>
      <c r="L457" s="1779"/>
      <c r="M457" s="1779"/>
      <c r="N457" s="1779"/>
      <c r="O457" s="38"/>
    </row>
    <row r="458" spans="1:15" ht="15" customHeight="1" x14ac:dyDescent="0.25">
      <c r="A458" s="1"/>
      <c r="B458" s="1"/>
      <c r="C458" s="1"/>
      <c r="D458" s="1"/>
      <c r="G458" s="1"/>
      <c r="H458" s="1"/>
      <c r="I458" s="1"/>
      <c r="J458" s="1"/>
      <c r="K458" s="45"/>
      <c r="L458" s="1779"/>
      <c r="M458" s="1779"/>
      <c r="N458" s="1779"/>
      <c r="O458" s="38"/>
    </row>
    <row r="459" spans="1:15" ht="15" customHeight="1" x14ac:dyDescent="0.25">
      <c r="A459" s="1"/>
      <c r="B459" s="1"/>
      <c r="C459" s="1"/>
      <c r="D459" s="1"/>
      <c r="G459" s="1"/>
      <c r="H459" s="1"/>
      <c r="I459" s="1"/>
      <c r="J459" s="1"/>
      <c r="K459" s="45"/>
      <c r="L459" s="1779"/>
      <c r="M459" s="1779"/>
      <c r="N459" s="1779"/>
      <c r="O459" s="38"/>
    </row>
    <row r="460" spans="1:15" ht="15" customHeight="1" x14ac:dyDescent="0.25">
      <c r="A460" s="1"/>
      <c r="B460" s="1"/>
      <c r="C460" s="1"/>
      <c r="D460" s="1"/>
      <c r="G460" s="1"/>
      <c r="H460" s="1"/>
      <c r="I460" s="1"/>
      <c r="J460" s="1"/>
      <c r="L460" s="1755"/>
      <c r="M460" s="1755"/>
      <c r="N460" s="1755"/>
    </row>
    <row r="461" spans="1:15" ht="15" customHeight="1" x14ac:dyDescent="0.25">
      <c r="A461" s="1"/>
      <c r="B461" s="1"/>
      <c r="C461" s="1"/>
      <c r="D461" s="1"/>
      <c r="G461" s="1"/>
      <c r="H461" s="1"/>
      <c r="I461" s="1"/>
      <c r="J461" s="1"/>
      <c r="L461" s="1755"/>
      <c r="M461" s="1755"/>
      <c r="N461" s="1755"/>
    </row>
    <row r="462" spans="1:15" ht="15" customHeight="1" x14ac:dyDescent="0.25">
      <c r="A462" s="1"/>
      <c r="B462" s="1"/>
      <c r="C462" s="1"/>
      <c r="D462" s="1"/>
      <c r="G462" s="1"/>
      <c r="H462" s="1"/>
      <c r="I462" s="1"/>
      <c r="J462" s="1"/>
      <c r="L462" s="1755"/>
      <c r="M462" s="1755"/>
      <c r="N462" s="1755"/>
    </row>
    <row r="463" spans="1:15" ht="15" customHeight="1" x14ac:dyDescent="0.25">
      <c r="A463" s="1"/>
      <c r="B463" s="1"/>
      <c r="C463" s="1"/>
      <c r="D463" s="1"/>
      <c r="G463" s="1"/>
      <c r="H463" s="1"/>
      <c r="I463" s="1"/>
      <c r="J463" s="1"/>
      <c r="L463" s="1755"/>
      <c r="M463" s="1755"/>
      <c r="N463" s="1755"/>
    </row>
    <row r="464" spans="1:15" ht="15" customHeight="1" x14ac:dyDescent="0.25">
      <c r="A464" s="1"/>
      <c r="B464" s="1"/>
      <c r="C464" s="1"/>
      <c r="D464" s="1"/>
      <c r="G464" s="1"/>
      <c r="H464" s="1"/>
      <c r="I464" s="1"/>
      <c r="J464" s="1"/>
      <c r="L464" s="1755"/>
      <c r="M464" s="1755"/>
      <c r="N464" s="1755"/>
    </row>
    <row r="465" spans="1:14" ht="15" customHeight="1" x14ac:dyDescent="0.25">
      <c r="A465" s="1"/>
      <c r="B465" s="1"/>
      <c r="C465" s="1"/>
      <c r="D465" s="1"/>
      <c r="G465" s="1"/>
      <c r="H465" s="1"/>
      <c r="I465" s="1"/>
      <c r="J465" s="1"/>
      <c r="L465" s="1755"/>
      <c r="M465" s="1755"/>
      <c r="N465" s="1755"/>
    </row>
    <row r="466" spans="1:14" ht="15" customHeight="1" x14ac:dyDescent="0.25">
      <c r="A466" s="1"/>
      <c r="B466" s="1"/>
      <c r="C466" s="1"/>
      <c r="D466" s="1"/>
      <c r="G466" s="1"/>
      <c r="H466" s="1"/>
      <c r="I466" s="1"/>
      <c r="J466" s="1"/>
      <c r="L466" s="1755"/>
      <c r="M466" s="1755"/>
      <c r="N466" s="1755"/>
    </row>
    <row r="467" spans="1:14" ht="15" customHeight="1" x14ac:dyDescent="0.25">
      <c r="A467" s="1"/>
      <c r="B467" s="1"/>
      <c r="C467" s="1"/>
      <c r="D467" s="1"/>
      <c r="G467" s="1"/>
      <c r="H467" s="1"/>
      <c r="I467" s="1"/>
      <c r="J467" s="1"/>
      <c r="L467" s="1755"/>
      <c r="M467" s="1755"/>
      <c r="N467" s="1755"/>
    </row>
    <row r="468" spans="1:14" ht="15" customHeight="1" x14ac:dyDescent="0.25">
      <c r="A468" s="1"/>
      <c r="B468" s="1"/>
      <c r="C468" s="1"/>
      <c r="D468" s="1"/>
      <c r="G468" s="1"/>
      <c r="H468" s="1"/>
      <c r="I468" s="1"/>
      <c r="J468" s="1"/>
      <c r="L468" s="1755"/>
      <c r="M468" s="1755"/>
      <c r="N468" s="1755"/>
    </row>
    <row r="469" spans="1:14" ht="15" customHeight="1" x14ac:dyDescent="0.25">
      <c r="A469" s="1"/>
      <c r="B469" s="1"/>
      <c r="C469" s="1"/>
      <c r="D469" s="1"/>
      <c r="G469" s="1"/>
      <c r="H469" s="1"/>
      <c r="I469" s="1"/>
      <c r="J469" s="1"/>
      <c r="L469" s="1755"/>
      <c r="M469" s="1755"/>
      <c r="N469" s="1755"/>
    </row>
    <row r="470" spans="1:14" ht="15" customHeight="1" x14ac:dyDescent="0.25">
      <c r="A470" s="1"/>
      <c r="B470" s="1"/>
      <c r="C470" s="1"/>
      <c r="D470" s="1"/>
      <c r="G470" s="1"/>
      <c r="H470" s="1"/>
      <c r="I470" s="1"/>
      <c r="J470" s="1"/>
      <c r="L470" s="1755"/>
      <c r="M470" s="1755"/>
      <c r="N470" s="1755"/>
    </row>
    <row r="471" spans="1:14" ht="15" customHeight="1" x14ac:dyDescent="0.25">
      <c r="A471" s="1"/>
      <c r="B471" s="1"/>
      <c r="C471" s="1"/>
      <c r="D471" s="1"/>
      <c r="G471" s="1"/>
      <c r="H471" s="1"/>
      <c r="I471" s="1"/>
      <c r="J471" s="1"/>
      <c r="L471" s="1755"/>
      <c r="M471" s="1755"/>
      <c r="N471" s="1755"/>
    </row>
    <row r="472" spans="1:14" ht="15" customHeight="1" x14ac:dyDescent="0.25">
      <c r="A472" s="1"/>
      <c r="B472" s="1"/>
      <c r="C472" s="1"/>
      <c r="D472" s="1"/>
      <c r="G472" s="1"/>
      <c r="H472" s="1"/>
      <c r="I472" s="1"/>
      <c r="J472" s="1"/>
      <c r="L472" s="1755"/>
      <c r="M472" s="1755"/>
      <c r="N472" s="1755"/>
    </row>
    <row r="473" spans="1:14" ht="15" customHeight="1" x14ac:dyDescent="0.25">
      <c r="A473" s="1"/>
      <c r="B473" s="1"/>
      <c r="C473" s="1"/>
      <c r="D473" s="1"/>
      <c r="G473" s="1"/>
      <c r="H473" s="1"/>
      <c r="I473" s="1"/>
      <c r="J473" s="1"/>
      <c r="L473" s="1755"/>
      <c r="M473" s="1755"/>
      <c r="N473" s="1755"/>
    </row>
    <row r="474" spans="1:14" ht="15" customHeight="1" x14ac:dyDescent="0.25">
      <c r="A474" s="1"/>
      <c r="B474" s="1"/>
      <c r="C474" s="1"/>
      <c r="D474" s="1"/>
      <c r="G474" s="1"/>
      <c r="H474" s="1"/>
      <c r="I474" s="1"/>
      <c r="J474" s="1"/>
      <c r="L474" s="1755"/>
      <c r="M474" s="1755"/>
      <c r="N474" s="1755"/>
    </row>
    <row r="475" spans="1:14" ht="15" customHeight="1" x14ac:dyDescent="0.25">
      <c r="A475" s="1"/>
      <c r="B475" s="1"/>
      <c r="C475" s="1"/>
      <c r="D475" s="1"/>
      <c r="G475" s="1"/>
      <c r="H475" s="1"/>
      <c r="I475" s="1"/>
      <c r="J475" s="1"/>
      <c r="L475" s="1755"/>
      <c r="M475" s="1755"/>
      <c r="N475" s="1755"/>
    </row>
    <row r="476" spans="1:14" ht="15" customHeight="1" x14ac:dyDescent="0.25">
      <c r="A476" s="1"/>
      <c r="B476" s="1"/>
      <c r="C476" s="1"/>
      <c r="D476" s="1"/>
      <c r="G476" s="1"/>
      <c r="H476" s="1"/>
      <c r="I476" s="1"/>
      <c r="J476" s="1"/>
      <c r="L476" s="1755"/>
      <c r="M476" s="1755"/>
      <c r="N476" s="1755"/>
    </row>
    <row r="477" spans="1:14" ht="15" customHeight="1" x14ac:dyDescent="0.25">
      <c r="A477" s="1"/>
      <c r="B477" s="1"/>
      <c r="C477" s="1"/>
      <c r="D477" s="1"/>
      <c r="G477" s="1"/>
      <c r="H477" s="1"/>
      <c r="I477" s="1"/>
      <c r="J477" s="1"/>
      <c r="L477" s="1755"/>
      <c r="M477" s="1755"/>
      <c r="N477" s="1755"/>
    </row>
    <row r="478" spans="1:14" ht="15" customHeight="1" x14ac:dyDescent="0.25">
      <c r="A478" s="1"/>
      <c r="B478" s="1"/>
      <c r="C478" s="1"/>
      <c r="D478" s="1"/>
      <c r="G478" s="1"/>
      <c r="H478" s="1"/>
      <c r="I478" s="1"/>
      <c r="J478" s="1"/>
      <c r="L478" s="1755"/>
      <c r="M478" s="1755"/>
      <c r="N478" s="1755"/>
    </row>
    <row r="479" spans="1:14" ht="15" customHeight="1" x14ac:dyDescent="0.25">
      <c r="A479" s="1"/>
      <c r="B479" s="1"/>
      <c r="C479" s="1"/>
      <c r="D479" s="1"/>
      <c r="G479" s="1"/>
      <c r="H479" s="1"/>
      <c r="I479" s="1"/>
      <c r="J479" s="1"/>
      <c r="L479" s="1755"/>
      <c r="M479" s="1755"/>
      <c r="N479" s="1755"/>
    </row>
    <row r="480" spans="1:14" ht="15" customHeight="1" x14ac:dyDescent="0.25">
      <c r="A480" s="1"/>
      <c r="B480" s="1"/>
      <c r="C480" s="1"/>
      <c r="D480" s="1"/>
      <c r="G480" s="1"/>
      <c r="H480" s="1"/>
      <c r="I480" s="1"/>
      <c r="J480" s="1"/>
      <c r="L480" s="1755"/>
      <c r="M480" s="1755"/>
      <c r="N480" s="1755"/>
    </row>
    <row r="481" spans="1:14" ht="15" customHeight="1" x14ac:dyDescent="0.25">
      <c r="A481" s="1"/>
      <c r="B481" s="1"/>
      <c r="C481" s="1"/>
      <c r="D481" s="1"/>
      <c r="G481" s="1"/>
      <c r="H481" s="1"/>
      <c r="I481" s="1"/>
      <c r="J481" s="1"/>
      <c r="L481" s="1755"/>
      <c r="M481" s="1755"/>
      <c r="N481" s="1755"/>
    </row>
    <row r="482" spans="1:14" ht="15" customHeight="1" x14ac:dyDescent="0.25">
      <c r="A482" s="1"/>
      <c r="B482" s="1"/>
      <c r="C482" s="1"/>
      <c r="D482" s="1"/>
      <c r="G482" s="1"/>
      <c r="H482" s="1"/>
      <c r="I482" s="1"/>
      <c r="J482" s="1"/>
      <c r="L482" s="1755"/>
      <c r="M482" s="1755"/>
      <c r="N482" s="1755"/>
    </row>
    <row r="483" spans="1:14" ht="15" customHeight="1" x14ac:dyDescent="0.25">
      <c r="A483" s="1"/>
      <c r="B483" s="1"/>
      <c r="C483" s="1"/>
      <c r="D483" s="1"/>
      <c r="G483" s="1"/>
      <c r="H483" s="1"/>
      <c r="I483" s="1"/>
      <c r="J483" s="1"/>
      <c r="L483" s="1755"/>
      <c r="M483" s="1755"/>
      <c r="N483" s="1755"/>
    </row>
    <row r="484" spans="1:14" ht="15" customHeight="1" x14ac:dyDescent="0.25">
      <c r="A484" s="1"/>
      <c r="B484" s="1"/>
      <c r="C484" s="1"/>
      <c r="D484" s="1"/>
      <c r="G484" s="1"/>
      <c r="H484" s="1"/>
      <c r="I484" s="1"/>
      <c r="J484" s="1"/>
      <c r="L484" s="1755"/>
      <c r="M484" s="1755"/>
      <c r="N484" s="1755"/>
    </row>
    <row r="485" spans="1:14" ht="15" customHeight="1" x14ac:dyDescent="0.25">
      <c r="A485" s="1"/>
      <c r="B485" s="1"/>
      <c r="C485" s="1"/>
      <c r="D485" s="1"/>
      <c r="G485" s="1"/>
      <c r="H485" s="1"/>
      <c r="I485" s="1"/>
      <c r="J485" s="1"/>
      <c r="L485" s="1755"/>
      <c r="M485" s="1755"/>
      <c r="N485" s="1755"/>
    </row>
    <row r="486" spans="1:14" ht="15" customHeight="1" x14ac:dyDescent="0.25">
      <c r="A486" s="1"/>
      <c r="B486" s="1"/>
      <c r="C486" s="1"/>
      <c r="D486" s="1"/>
      <c r="G486" s="1"/>
      <c r="H486" s="1"/>
      <c r="I486" s="1"/>
      <c r="J486" s="1"/>
      <c r="L486" s="1755"/>
      <c r="M486" s="1755"/>
      <c r="N486" s="1755"/>
    </row>
    <row r="487" spans="1:14" ht="15" customHeight="1" x14ac:dyDescent="0.25">
      <c r="A487" s="1"/>
      <c r="B487" s="1"/>
      <c r="C487" s="1"/>
      <c r="D487" s="1"/>
      <c r="G487" s="1"/>
      <c r="H487" s="1"/>
      <c r="I487" s="1"/>
      <c r="J487" s="1"/>
      <c r="L487" s="1755"/>
      <c r="M487" s="1755"/>
      <c r="N487" s="1755"/>
    </row>
    <row r="488" spans="1:14" ht="15" customHeight="1" x14ac:dyDescent="0.25">
      <c r="A488" s="1"/>
      <c r="B488" s="1"/>
      <c r="C488" s="1"/>
      <c r="D488" s="1"/>
      <c r="G488" s="1"/>
      <c r="H488" s="1"/>
      <c r="I488" s="1"/>
      <c r="J488" s="1"/>
      <c r="L488" s="1755"/>
      <c r="M488" s="1755"/>
      <c r="N488" s="1755"/>
    </row>
    <row r="489" spans="1:14" ht="15" customHeight="1" x14ac:dyDescent="0.25">
      <c r="A489" s="1"/>
      <c r="B489" s="1"/>
      <c r="C489" s="1"/>
      <c r="D489" s="1"/>
      <c r="G489" s="1"/>
      <c r="H489" s="1"/>
      <c r="I489" s="1"/>
      <c r="J489" s="1"/>
      <c r="L489" s="1755"/>
      <c r="M489" s="1755"/>
      <c r="N489" s="1755"/>
    </row>
    <row r="490" spans="1:14" ht="15" customHeight="1" x14ac:dyDescent="0.25">
      <c r="A490" s="1"/>
      <c r="B490" s="1"/>
      <c r="C490" s="1"/>
      <c r="D490" s="1"/>
      <c r="G490" s="1"/>
      <c r="H490" s="1"/>
      <c r="I490" s="1"/>
      <c r="J490" s="1"/>
      <c r="L490" s="1755"/>
      <c r="M490" s="1755"/>
      <c r="N490" s="1755"/>
    </row>
    <row r="491" spans="1:14" ht="15" customHeight="1" x14ac:dyDescent="0.25">
      <c r="A491" s="1"/>
      <c r="B491" s="1"/>
      <c r="C491" s="1"/>
      <c r="D491" s="1"/>
      <c r="G491" s="1"/>
      <c r="H491" s="1"/>
      <c r="I491" s="1"/>
      <c r="J491" s="1"/>
      <c r="L491" s="1755"/>
      <c r="M491" s="1755"/>
      <c r="N491" s="1755"/>
    </row>
    <row r="492" spans="1:14" ht="15" customHeight="1" x14ac:dyDescent="0.25">
      <c r="A492" s="1"/>
      <c r="B492" s="1"/>
      <c r="C492" s="1"/>
      <c r="D492" s="1"/>
      <c r="G492" s="1"/>
      <c r="H492" s="1"/>
      <c r="I492" s="1"/>
      <c r="J492" s="1"/>
      <c r="L492" s="1755"/>
      <c r="M492" s="1755"/>
      <c r="N492" s="1755"/>
    </row>
    <row r="493" spans="1:14" ht="15" customHeight="1" x14ac:dyDescent="0.25">
      <c r="A493" s="1"/>
      <c r="B493" s="1"/>
      <c r="C493" s="1"/>
      <c r="D493" s="1"/>
      <c r="G493" s="1"/>
      <c r="H493" s="1"/>
      <c r="I493" s="1"/>
      <c r="J493" s="1"/>
      <c r="L493" s="1755"/>
      <c r="M493" s="1755"/>
      <c r="N493" s="1755"/>
    </row>
    <row r="494" spans="1:14" ht="15" customHeight="1" x14ac:dyDescent="0.25">
      <c r="A494" s="1"/>
      <c r="B494" s="1"/>
      <c r="C494" s="1"/>
      <c r="D494" s="1"/>
      <c r="G494" s="1"/>
      <c r="H494" s="1"/>
      <c r="I494" s="1"/>
      <c r="J494" s="1"/>
      <c r="L494" s="1755"/>
      <c r="M494" s="1755"/>
      <c r="N494" s="1755"/>
    </row>
    <row r="495" spans="1:14" ht="15" customHeight="1" x14ac:dyDescent="0.25">
      <c r="A495" s="1"/>
      <c r="B495" s="1"/>
      <c r="C495" s="1"/>
      <c r="D495" s="1"/>
      <c r="G495" s="1"/>
      <c r="H495" s="1"/>
      <c r="I495" s="1"/>
      <c r="J495" s="1"/>
      <c r="L495" s="1755"/>
      <c r="M495" s="1755"/>
      <c r="N495" s="1755"/>
    </row>
    <row r="496" spans="1:14" ht="15" customHeight="1" x14ac:dyDescent="0.25">
      <c r="A496" s="1"/>
      <c r="B496" s="1"/>
      <c r="C496" s="1"/>
      <c r="D496" s="1"/>
      <c r="G496" s="1"/>
      <c r="H496" s="1"/>
      <c r="I496" s="1"/>
      <c r="J496" s="1"/>
      <c r="L496" s="1755"/>
      <c r="M496" s="1755"/>
      <c r="N496" s="1755"/>
    </row>
    <row r="497" spans="1:14" ht="15" customHeight="1" x14ac:dyDescent="0.25">
      <c r="A497" s="1"/>
      <c r="B497" s="1"/>
      <c r="C497" s="1"/>
      <c r="D497" s="1"/>
      <c r="G497" s="1"/>
      <c r="H497" s="1"/>
      <c r="I497" s="1"/>
      <c r="J497" s="1"/>
      <c r="L497" s="1755"/>
      <c r="M497" s="1755"/>
      <c r="N497" s="1755"/>
    </row>
    <row r="498" spans="1:14" ht="15" customHeight="1" x14ac:dyDescent="0.25">
      <c r="A498" s="1"/>
      <c r="B498" s="1"/>
      <c r="C498" s="1"/>
      <c r="D498" s="1"/>
      <c r="G498" s="1"/>
      <c r="H498" s="1"/>
      <c r="I498" s="1"/>
      <c r="J498" s="1"/>
      <c r="L498" s="1755"/>
      <c r="M498" s="1755"/>
      <c r="N498" s="1755"/>
    </row>
    <row r="499" spans="1:14" ht="15" customHeight="1" x14ac:dyDescent="0.25">
      <c r="A499" s="1"/>
      <c r="B499" s="1"/>
      <c r="C499" s="1"/>
      <c r="D499" s="1"/>
      <c r="G499" s="1"/>
      <c r="H499" s="1"/>
      <c r="I499" s="1"/>
      <c r="J499" s="1"/>
      <c r="L499" s="1755"/>
      <c r="M499" s="1755"/>
      <c r="N499" s="1755"/>
    </row>
    <row r="500" spans="1:14" ht="15" customHeight="1" x14ac:dyDescent="0.25">
      <c r="A500" s="1"/>
      <c r="B500" s="1"/>
      <c r="C500" s="1"/>
      <c r="D500" s="1"/>
      <c r="G500" s="1"/>
      <c r="H500" s="1"/>
      <c r="I500" s="1"/>
      <c r="J500" s="1"/>
      <c r="L500" s="1755"/>
      <c r="M500" s="1755"/>
      <c r="N500" s="1755"/>
    </row>
    <row r="501" spans="1:14" ht="15" customHeight="1" x14ac:dyDescent="0.25">
      <c r="A501" s="1"/>
      <c r="B501" s="1"/>
      <c r="C501" s="1"/>
      <c r="D501" s="1"/>
      <c r="G501" s="1"/>
      <c r="H501" s="1"/>
      <c r="I501" s="1"/>
      <c r="J501" s="1"/>
      <c r="L501" s="1755"/>
      <c r="M501" s="1755"/>
      <c r="N501" s="1755"/>
    </row>
    <row r="502" spans="1:14" ht="15" customHeight="1" x14ac:dyDescent="0.25">
      <c r="A502" s="1"/>
      <c r="B502" s="1"/>
      <c r="C502" s="1"/>
      <c r="D502" s="1"/>
      <c r="G502" s="1"/>
      <c r="H502" s="1"/>
      <c r="I502" s="1"/>
      <c r="J502" s="1"/>
    </row>
    <row r="503" spans="1:14" ht="15" customHeight="1" x14ac:dyDescent="0.25">
      <c r="A503" s="1"/>
      <c r="B503" s="1"/>
      <c r="C503" s="1"/>
      <c r="D503" s="1"/>
      <c r="G503" s="1"/>
      <c r="H503" s="1"/>
      <c r="I503" s="1"/>
      <c r="J503" s="1"/>
    </row>
    <row r="504" spans="1:14" ht="15" customHeight="1" x14ac:dyDescent="0.25">
      <c r="A504" s="1"/>
      <c r="B504" s="1"/>
      <c r="C504" s="1"/>
      <c r="D504" s="1"/>
      <c r="G504" s="1"/>
      <c r="H504" s="1"/>
      <c r="I504" s="1"/>
      <c r="J504" s="1"/>
    </row>
    <row r="505" spans="1:14" ht="15" customHeight="1" x14ac:dyDescent="0.25">
      <c r="A505" s="1"/>
      <c r="B505" s="1"/>
      <c r="C505" s="1"/>
      <c r="D505" s="1"/>
      <c r="G505" s="1"/>
      <c r="H505" s="1"/>
      <c r="I505" s="1"/>
      <c r="J505" s="1"/>
    </row>
    <row r="506" spans="1:14" ht="15" customHeight="1" x14ac:dyDescent="0.25">
      <c r="A506" s="1"/>
      <c r="B506" s="1"/>
      <c r="C506" s="1"/>
      <c r="D506" s="1"/>
      <c r="G506" s="1"/>
      <c r="H506" s="1"/>
      <c r="I506" s="1"/>
      <c r="J506" s="1"/>
    </row>
    <row r="507" spans="1:14" ht="15" customHeight="1" x14ac:dyDescent="0.25">
      <c r="A507" s="1"/>
      <c r="B507" s="1"/>
      <c r="C507" s="1"/>
      <c r="D507" s="1"/>
      <c r="G507" s="1"/>
      <c r="H507" s="1"/>
      <c r="I507" s="1"/>
      <c r="J507" s="1"/>
    </row>
    <row r="508" spans="1:14" ht="15" customHeight="1" x14ac:dyDescent="0.25">
      <c r="A508" s="1"/>
      <c r="B508" s="1"/>
      <c r="C508" s="1"/>
      <c r="D508" s="1"/>
      <c r="G508" s="1"/>
      <c r="H508" s="1"/>
      <c r="I508" s="1"/>
      <c r="J508" s="1"/>
    </row>
    <row r="509" spans="1:14" ht="15" customHeight="1" x14ac:dyDescent="0.25">
      <c r="A509" s="1"/>
      <c r="B509" s="1"/>
      <c r="C509" s="1"/>
      <c r="D509" s="1"/>
      <c r="G509" s="1"/>
      <c r="H509" s="1"/>
      <c r="I509" s="1"/>
      <c r="J509" s="1"/>
    </row>
    <row r="510" spans="1:14" ht="15" customHeight="1" x14ac:dyDescent="0.25">
      <c r="A510" s="1"/>
      <c r="B510" s="1"/>
      <c r="C510" s="1"/>
      <c r="D510" s="1"/>
      <c r="G510" s="1"/>
      <c r="H510" s="1"/>
      <c r="I510" s="1"/>
      <c r="J510" s="1"/>
    </row>
    <row r="511" spans="1:14" ht="15" customHeight="1" x14ac:dyDescent="0.25">
      <c r="A511" s="1"/>
      <c r="B511" s="1"/>
      <c r="C511" s="1"/>
      <c r="D511" s="1"/>
      <c r="G511" s="1"/>
      <c r="H511" s="1"/>
      <c r="I511" s="1"/>
      <c r="J511" s="1"/>
    </row>
    <row r="512" spans="1:14" ht="15" customHeight="1" x14ac:dyDescent="0.25">
      <c r="A512" s="1"/>
      <c r="B512" s="1"/>
      <c r="C512" s="1"/>
      <c r="D512" s="1"/>
      <c r="G512" s="1"/>
      <c r="H512" s="1"/>
      <c r="I512" s="1"/>
      <c r="J512" s="1"/>
    </row>
    <row r="513" spans="1:10" ht="15" customHeight="1" x14ac:dyDescent="0.25">
      <c r="A513" s="1"/>
      <c r="B513" s="1"/>
      <c r="C513" s="1"/>
      <c r="D513" s="1"/>
      <c r="G513" s="1"/>
      <c r="H513" s="1"/>
      <c r="I513" s="1"/>
      <c r="J513" s="1"/>
    </row>
    <row r="514" spans="1:10" ht="15" customHeight="1" x14ac:dyDescent="0.25">
      <c r="A514" s="1"/>
      <c r="B514" s="1"/>
      <c r="C514" s="1"/>
      <c r="D514" s="1"/>
      <c r="G514" s="1"/>
      <c r="H514" s="1"/>
      <c r="I514" s="1"/>
      <c r="J514" s="1"/>
    </row>
    <row r="515" spans="1:10" ht="15" customHeight="1" x14ac:dyDescent="0.25">
      <c r="A515" s="1"/>
      <c r="B515" s="1"/>
      <c r="C515" s="1"/>
      <c r="D515" s="1"/>
      <c r="G515" s="1"/>
      <c r="H515" s="1"/>
      <c r="I515" s="1"/>
      <c r="J515" s="1"/>
    </row>
    <row r="516" spans="1:10" ht="15" customHeight="1" x14ac:dyDescent="0.25">
      <c r="A516" s="1"/>
      <c r="B516" s="1"/>
      <c r="C516" s="1"/>
      <c r="D516" s="1"/>
      <c r="G516" s="1"/>
      <c r="H516" s="1"/>
      <c r="I516" s="1"/>
      <c r="J516" s="1"/>
    </row>
    <row r="517" spans="1:10" ht="15" customHeight="1" x14ac:dyDescent="0.25">
      <c r="A517" s="1"/>
      <c r="B517" s="1"/>
      <c r="C517" s="1"/>
      <c r="D517" s="1"/>
      <c r="G517" s="1"/>
      <c r="H517" s="1"/>
      <c r="I517" s="1"/>
      <c r="J517" s="1"/>
    </row>
    <row r="518" spans="1:10" ht="15" customHeight="1" x14ac:dyDescent="0.25">
      <c r="A518" s="1"/>
      <c r="B518" s="1"/>
      <c r="C518" s="1"/>
      <c r="D518" s="1"/>
      <c r="G518" s="1"/>
      <c r="H518" s="1"/>
      <c r="I518" s="1"/>
      <c r="J518" s="1"/>
    </row>
    <row r="519" spans="1:10" ht="15" customHeight="1" x14ac:dyDescent="0.25">
      <c r="A519" s="1"/>
      <c r="B519" s="1"/>
      <c r="C519" s="1"/>
      <c r="D519" s="1"/>
      <c r="G519" s="1"/>
      <c r="H519" s="1"/>
      <c r="I519" s="1"/>
      <c r="J519" s="1"/>
    </row>
    <row r="520" spans="1:10" ht="15" customHeight="1" x14ac:dyDescent="0.25">
      <c r="A520" s="1"/>
      <c r="B520" s="1"/>
      <c r="C520" s="1"/>
      <c r="D520" s="1"/>
      <c r="G520" s="1"/>
      <c r="H520" s="1"/>
      <c r="I520" s="1"/>
      <c r="J520" s="1"/>
    </row>
    <row r="521" spans="1:10" ht="15" customHeight="1" x14ac:dyDescent="0.25">
      <c r="A521" s="1"/>
      <c r="B521" s="1"/>
      <c r="C521" s="1"/>
      <c r="D521" s="1"/>
      <c r="G521" s="1"/>
      <c r="H521" s="1"/>
      <c r="I521" s="1"/>
      <c r="J521" s="1"/>
    </row>
    <row r="522" spans="1:10" ht="15" customHeight="1" x14ac:dyDescent="0.25">
      <c r="A522" s="1"/>
      <c r="B522" s="1"/>
      <c r="C522" s="1"/>
      <c r="D522" s="1"/>
      <c r="G522" s="1"/>
      <c r="H522" s="1"/>
      <c r="I522" s="1"/>
      <c r="J522" s="1"/>
    </row>
    <row r="523" spans="1:10" ht="15" customHeight="1" x14ac:dyDescent="0.25">
      <c r="A523" s="1"/>
      <c r="B523" s="1"/>
      <c r="C523" s="1"/>
      <c r="D523" s="1"/>
      <c r="G523" s="1"/>
      <c r="H523" s="1"/>
      <c r="I523" s="1"/>
      <c r="J523" s="1"/>
    </row>
    <row r="524" spans="1:10" ht="15" customHeight="1" x14ac:dyDescent="0.25">
      <c r="A524" s="1"/>
      <c r="B524" s="1"/>
      <c r="C524" s="1"/>
      <c r="D524" s="1"/>
      <c r="G524" s="1"/>
      <c r="H524" s="1"/>
      <c r="I524" s="1"/>
      <c r="J524" s="1"/>
    </row>
    <row r="525" spans="1:10" ht="15" customHeight="1" x14ac:dyDescent="0.25">
      <c r="A525" s="1"/>
      <c r="B525" s="1"/>
      <c r="C525" s="1"/>
      <c r="D525" s="1"/>
      <c r="G525" s="1"/>
      <c r="H525" s="1"/>
      <c r="I525" s="1"/>
      <c r="J525" s="1"/>
    </row>
    <row r="526" spans="1:10" ht="15" customHeight="1" x14ac:dyDescent="0.25">
      <c r="A526" s="1"/>
      <c r="B526" s="1"/>
      <c r="C526" s="1"/>
      <c r="D526" s="1"/>
      <c r="G526" s="1"/>
      <c r="H526" s="1"/>
      <c r="I526" s="1"/>
      <c r="J526" s="1"/>
    </row>
    <row r="527" spans="1:10" ht="15" customHeight="1" x14ac:dyDescent="0.25">
      <c r="A527" s="1"/>
      <c r="B527" s="1"/>
      <c r="C527" s="1"/>
      <c r="D527" s="1"/>
      <c r="G527" s="1"/>
      <c r="H527" s="1"/>
      <c r="I527" s="1"/>
      <c r="J527" s="1"/>
    </row>
    <row r="528" spans="1:10" ht="15" customHeight="1" x14ac:dyDescent="0.25">
      <c r="A528" s="1"/>
      <c r="B528" s="1"/>
      <c r="C528" s="1"/>
      <c r="D528" s="1"/>
      <c r="G528" s="1"/>
      <c r="H528" s="1"/>
      <c r="I528" s="1"/>
      <c r="J528" s="1"/>
    </row>
    <row r="529" spans="1:10" ht="15" customHeight="1" x14ac:dyDescent="0.25">
      <c r="A529" s="1"/>
      <c r="B529" s="1"/>
      <c r="C529" s="1"/>
      <c r="D529" s="1"/>
      <c r="G529" s="1"/>
      <c r="H529" s="1"/>
      <c r="I529" s="1"/>
      <c r="J529" s="1"/>
    </row>
    <row r="530" spans="1:10" ht="15" customHeight="1" x14ac:dyDescent="0.25">
      <c r="A530" s="1"/>
      <c r="B530" s="1"/>
      <c r="C530" s="1"/>
      <c r="D530" s="1"/>
      <c r="G530" s="1"/>
      <c r="H530" s="1"/>
      <c r="I530" s="1"/>
      <c r="J530" s="1"/>
    </row>
    <row r="531" spans="1:10" ht="15" customHeight="1" x14ac:dyDescent="0.25">
      <c r="A531" s="1"/>
      <c r="B531" s="1"/>
      <c r="C531" s="1"/>
      <c r="D531" s="1"/>
      <c r="G531" s="1"/>
      <c r="H531" s="1"/>
      <c r="I531" s="1"/>
      <c r="J531" s="1"/>
    </row>
    <row r="532" spans="1:10" ht="15" customHeight="1" x14ac:dyDescent="0.25">
      <c r="A532" s="1"/>
      <c r="B532" s="1"/>
      <c r="C532" s="1"/>
      <c r="D532" s="1"/>
      <c r="G532" s="1"/>
      <c r="H532" s="1"/>
      <c r="I532" s="1"/>
      <c r="J532" s="1"/>
    </row>
    <row r="533" spans="1:10" ht="15" customHeight="1" x14ac:dyDescent="0.25">
      <c r="A533" s="1"/>
      <c r="B533" s="1"/>
      <c r="C533" s="1"/>
      <c r="D533" s="1"/>
      <c r="G533" s="1"/>
      <c r="H533" s="1"/>
      <c r="I533" s="1"/>
      <c r="J533" s="1"/>
    </row>
    <row r="534" spans="1:10" ht="15" customHeight="1" x14ac:dyDescent="0.25">
      <c r="A534" s="1"/>
      <c r="B534" s="1"/>
      <c r="C534" s="1"/>
      <c r="D534" s="1"/>
      <c r="G534" s="1"/>
      <c r="H534" s="1"/>
      <c r="I534" s="1"/>
      <c r="J534" s="1"/>
    </row>
    <row r="535" spans="1:10" ht="15" customHeight="1" x14ac:dyDescent="0.25">
      <c r="A535" s="1"/>
      <c r="B535" s="1"/>
      <c r="C535" s="1"/>
      <c r="D535" s="1"/>
      <c r="G535" s="1"/>
      <c r="H535" s="1"/>
      <c r="I535" s="1"/>
      <c r="J535" s="1"/>
    </row>
    <row r="536" spans="1:10" ht="15" customHeight="1" x14ac:dyDescent="0.25">
      <c r="A536" s="1"/>
      <c r="B536" s="1"/>
      <c r="C536" s="1"/>
      <c r="D536" s="1"/>
      <c r="G536" s="1"/>
      <c r="H536" s="1"/>
      <c r="I536" s="1"/>
      <c r="J536" s="1"/>
    </row>
    <row r="537" spans="1:10" ht="15" customHeight="1" x14ac:dyDescent="0.25">
      <c r="A537" s="1"/>
      <c r="B537" s="1"/>
      <c r="C537" s="1"/>
      <c r="D537" s="1"/>
      <c r="G537" s="1"/>
      <c r="H537" s="1"/>
      <c r="I537" s="1"/>
      <c r="J537" s="1"/>
    </row>
    <row r="538" spans="1:10" ht="15" customHeight="1" x14ac:dyDescent="0.25">
      <c r="A538" s="1"/>
      <c r="B538" s="1"/>
      <c r="C538" s="1"/>
      <c r="D538" s="1"/>
      <c r="G538" s="1"/>
      <c r="H538" s="1"/>
      <c r="I538" s="1"/>
      <c r="J538" s="1"/>
    </row>
    <row r="539" spans="1:10" ht="15" customHeight="1" x14ac:dyDescent="0.25">
      <c r="A539" s="1"/>
      <c r="B539" s="1"/>
      <c r="C539" s="1"/>
      <c r="D539" s="1"/>
      <c r="G539" s="1"/>
      <c r="H539" s="1"/>
      <c r="I539" s="1"/>
      <c r="J539" s="1"/>
    </row>
    <row r="540" spans="1:10" ht="15" customHeight="1" x14ac:dyDescent="0.25">
      <c r="A540" s="1"/>
      <c r="B540" s="1"/>
      <c r="C540" s="1"/>
      <c r="D540" s="1"/>
      <c r="G540" s="1"/>
      <c r="H540" s="1"/>
      <c r="I540" s="1"/>
      <c r="J540" s="1"/>
    </row>
    <row r="541" spans="1:10" ht="15" customHeight="1" x14ac:dyDescent="0.25">
      <c r="A541" s="1"/>
      <c r="B541" s="1"/>
      <c r="C541" s="1"/>
      <c r="D541" s="1"/>
      <c r="G541" s="1"/>
      <c r="H541" s="1"/>
      <c r="I541" s="1"/>
      <c r="J541" s="1"/>
    </row>
    <row r="542" spans="1:10" ht="15" customHeight="1" x14ac:dyDescent="0.25">
      <c r="A542" s="1"/>
      <c r="B542" s="1"/>
      <c r="C542" s="1"/>
      <c r="D542" s="1"/>
      <c r="G542" s="1"/>
      <c r="H542" s="1"/>
      <c r="I542" s="1"/>
      <c r="J542" s="1"/>
    </row>
    <row r="543" spans="1:10" ht="15" customHeight="1" x14ac:dyDescent="0.25">
      <c r="A543" s="1"/>
      <c r="B543" s="1"/>
      <c r="C543" s="1"/>
      <c r="D543" s="1"/>
      <c r="G543" s="1"/>
      <c r="H543" s="1"/>
      <c r="I543" s="1"/>
      <c r="J543" s="1"/>
    </row>
    <row r="544" spans="1:10" ht="15" customHeight="1" x14ac:dyDescent="0.25">
      <c r="A544" s="1"/>
      <c r="B544" s="1"/>
      <c r="C544" s="1"/>
      <c r="D544" s="1"/>
      <c r="G544" s="1"/>
      <c r="H544" s="1"/>
      <c r="I544" s="1"/>
      <c r="J544" s="1"/>
    </row>
    <row r="545" spans="1:10" ht="15" customHeight="1" x14ac:dyDescent="0.25">
      <c r="A545" s="1"/>
      <c r="B545" s="1"/>
      <c r="C545" s="1"/>
      <c r="D545" s="1"/>
      <c r="G545" s="1"/>
      <c r="H545" s="1"/>
      <c r="I545" s="1"/>
      <c r="J545" s="1"/>
    </row>
    <row r="546" spans="1:10" ht="15" customHeight="1" x14ac:dyDescent="0.25">
      <c r="A546" s="1"/>
      <c r="B546" s="1"/>
      <c r="C546" s="1"/>
      <c r="D546" s="1"/>
      <c r="G546" s="1"/>
      <c r="H546" s="1"/>
      <c r="I546" s="1"/>
      <c r="J546" s="1"/>
    </row>
    <row r="547" spans="1:10" ht="15" customHeight="1" x14ac:dyDescent="0.25">
      <c r="A547" s="1"/>
      <c r="B547" s="1"/>
      <c r="C547" s="1"/>
      <c r="D547" s="1"/>
      <c r="G547" s="1"/>
      <c r="H547" s="1"/>
      <c r="I547" s="1"/>
      <c r="J547" s="1"/>
    </row>
    <row r="548" spans="1:10" ht="15" customHeight="1" x14ac:dyDescent="0.25">
      <c r="A548" s="1"/>
      <c r="B548" s="1"/>
      <c r="C548" s="1"/>
      <c r="D548" s="1"/>
      <c r="G548" s="1"/>
      <c r="H548" s="1"/>
      <c r="I548" s="1"/>
      <c r="J548" s="1"/>
    </row>
    <row r="549" spans="1:10" ht="15" customHeight="1" x14ac:dyDescent="0.25">
      <c r="A549" s="1"/>
      <c r="B549" s="1"/>
      <c r="C549" s="1"/>
      <c r="D549" s="1"/>
      <c r="G549" s="1"/>
      <c r="H549" s="1"/>
      <c r="I549" s="1"/>
      <c r="J549" s="1"/>
    </row>
    <row r="550" spans="1:10" ht="15" customHeight="1" x14ac:dyDescent="0.25">
      <c r="A550" s="1"/>
      <c r="B550" s="1"/>
      <c r="C550" s="1"/>
      <c r="D550" s="1"/>
      <c r="G550" s="1"/>
      <c r="H550" s="1"/>
      <c r="I550" s="1"/>
      <c r="J550" s="1"/>
    </row>
    <row r="551" spans="1:10" ht="15" customHeight="1" x14ac:dyDescent="0.25">
      <c r="A551" s="1"/>
      <c r="B551" s="1"/>
      <c r="C551" s="1"/>
      <c r="D551" s="1"/>
      <c r="G551" s="1"/>
      <c r="H551" s="1"/>
      <c r="I551" s="1"/>
      <c r="J551" s="1"/>
    </row>
    <row r="552" spans="1:10" ht="15" customHeight="1" x14ac:dyDescent="0.25">
      <c r="A552" s="1"/>
      <c r="B552" s="1"/>
      <c r="C552" s="1"/>
      <c r="D552" s="1"/>
      <c r="G552" s="1"/>
      <c r="H552" s="1"/>
      <c r="I552" s="1"/>
      <c r="J552" s="1"/>
    </row>
    <row r="553" spans="1:10" ht="15" customHeight="1" x14ac:dyDescent="0.25">
      <c r="A553" s="1"/>
      <c r="B553" s="1"/>
      <c r="C553" s="1"/>
      <c r="D553" s="1"/>
      <c r="G553" s="1"/>
      <c r="H553" s="1"/>
      <c r="I553" s="1"/>
      <c r="J553" s="1"/>
    </row>
    <row r="554" spans="1:10" ht="15" customHeight="1" x14ac:dyDescent="0.25">
      <c r="A554" s="1"/>
      <c r="B554" s="1"/>
      <c r="C554" s="1"/>
      <c r="D554" s="1"/>
      <c r="G554" s="1"/>
      <c r="H554" s="1"/>
      <c r="I554" s="1"/>
      <c r="J554" s="1"/>
    </row>
    <row r="555" spans="1:10" ht="15" customHeight="1" x14ac:dyDescent="0.25">
      <c r="A555" s="1"/>
      <c r="B555" s="1"/>
      <c r="C555" s="1"/>
      <c r="D555" s="1"/>
      <c r="G555" s="1"/>
      <c r="H555" s="1"/>
      <c r="I555" s="1"/>
      <c r="J555" s="1"/>
    </row>
    <row r="556" spans="1:10" ht="15" customHeight="1" x14ac:dyDescent="0.25">
      <c r="A556" s="1"/>
      <c r="B556" s="1"/>
      <c r="C556" s="1"/>
      <c r="D556" s="1"/>
      <c r="G556" s="1"/>
      <c r="H556" s="1"/>
      <c r="I556" s="1"/>
      <c r="J556" s="1"/>
    </row>
    <row r="557" spans="1:10" ht="15" customHeight="1" x14ac:dyDescent="0.25">
      <c r="A557" s="1"/>
      <c r="B557" s="1"/>
      <c r="C557" s="1"/>
      <c r="D557" s="1"/>
      <c r="G557" s="1"/>
      <c r="H557" s="1"/>
      <c r="I557" s="1"/>
      <c r="J557" s="1"/>
    </row>
    <row r="558" spans="1:10" ht="15" customHeight="1" x14ac:dyDescent="0.25">
      <c r="A558" s="1"/>
      <c r="B558" s="1"/>
      <c r="C558" s="1"/>
      <c r="D558" s="1"/>
      <c r="G558" s="1"/>
      <c r="H558" s="1"/>
      <c r="I558" s="1"/>
      <c r="J558" s="1"/>
    </row>
    <row r="559" spans="1:10" ht="15" customHeight="1" x14ac:dyDescent="0.25">
      <c r="A559" s="1"/>
      <c r="B559" s="1"/>
      <c r="C559" s="1"/>
      <c r="D559" s="1"/>
      <c r="G559" s="1"/>
      <c r="H559" s="1"/>
      <c r="I559" s="1"/>
      <c r="J559" s="1"/>
    </row>
    <row r="560" spans="1:10" ht="15" customHeight="1" x14ac:dyDescent="0.25">
      <c r="A560" s="1"/>
      <c r="B560" s="1"/>
      <c r="C560" s="1"/>
      <c r="D560" s="1"/>
      <c r="G560" s="1"/>
      <c r="H560" s="1"/>
      <c r="I560" s="1"/>
      <c r="J560" s="1"/>
    </row>
    <row r="561" spans="1:10" ht="15" customHeight="1" x14ac:dyDescent="0.25">
      <c r="A561" s="1"/>
      <c r="B561" s="1"/>
      <c r="C561" s="1"/>
      <c r="D561" s="1"/>
      <c r="G561" s="1"/>
      <c r="H561" s="1"/>
      <c r="I561" s="1"/>
      <c r="J561" s="1"/>
    </row>
    <row r="562" spans="1:10" ht="15" customHeight="1" x14ac:dyDescent="0.25">
      <c r="A562" s="1"/>
      <c r="B562" s="1"/>
      <c r="C562" s="1"/>
      <c r="D562" s="1"/>
      <c r="G562" s="1"/>
      <c r="H562" s="1"/>
      <c r="I562" s="1"/>
      <c r="J562" s="1"/>
    </row>
    <row r="563" spans="1:10" ht="15" customHeight="1" x14ac:dyDescent="0.25">
      <c r="A563" s="1"/>
      <c r="B563" s="1"/>
      <c r="C563" s="1"/>
      <c r="D563" s="1"/>
      <c r="G563" s="1"/>
      <c r="H563" s="1"/>
      <c r="I563" s="1"/>
      <c r="J563" s="1"/>
    </row>
    <row r="564" spans="1:10" ht="15" customHeight="1" x14ac:dyDescent="0.25">
      <c r="A564" s="1"/>
      <c r="B564" s="1"/>
      <c r="C564" s="1"/>
      <c r="D564" s="1"/>
      <c r="G564" s="1"/>
      <c r="H564" s="1"/>
      <c r="I564" s="1"/>
      <c r="J564" s="1"/>
    </row>
    <row r="565" spans="1:10" ht="15" customHeight="1" x14ac:dyDescent="0.25">
      <c r="A565" s="1"/>
      <c r="B565" s="1"/>
      <c r="C565" s="1"/>
      <c r="D565" s="1"/>
      <c r="G565" s="1"/>
      <c r="H565" s="1"/>
      <c r="I565" s="1"/>
      <c r="J565" s="1"/>
    </row>
  </sheetData>
  <mergeCells count="15">
    <mergeCell ref="L12:L14"/>
    <mergeCell ref="M12:M14"/>
    <mergeCell ref="C84:F84"/>
    <mergeCell ref="A10:J10"/>
    <mergeCell ref="A12:B14"/>
    <mergeCell ref="G12:G14"/>
    <mergeCell ref="H12:H14"/>
    <mergeCell ref="I12:I14"/>
    <mergeCell ref="J12:J14"/>
    <mergeCell ref="E7:G7"/>
    <mergeCell ref="A1:J1"/>
    <mergeCell ref="A2:J2"/>
    <mergeCell ref="A3:J3"/>
    <mergeCell ref="E5:G5"/>
    <mergeCell ref="E6:G6"/>
  </mergeCells>
  <dataValidations count="2">
    <dataValidation type="list" allowBlank="1" showInputMessage="1" showErrorMessage="1" sqref="E18 E148:E149 E128 E120:E122 E96 E92 E66 E70 E72:E73" xr:uid="{FAC68A98-4F2B-4B79-81A2-FC46AD13A751}">
      <formula1>DIST</formula1>
    </dataValidation>
    <dataValidation type="list" allowBlank="1" showInputMessage="1" showErrorMessage="1" sqref="E17 E65 E47 E69 E71" xr:uid="{35F4BD3F-BF73-42D2-8861-D4E929D1F5D3}">
      <formula1>PTD</formula1>
    </dataValidation>
  </dataValidations>
  <hyperlinks>
    <hyperlink ref="A5" location="TOC!A1" display="TOC" xr:uid="{685A203F-47E7-489E-BFC9-50880F519172}"/>
    <hyperlink ref="A6" location="'Sch 1- Rate Base '!A15" display="é" xr:uid="{DB510406-6173-42D8-8928-8249F8415D8C}"/>
  </hyperlinks>
  <printOptions horizontalCentered="1" headings="1"/>
  <pageMargins left="0.5" right="0.5" top="0.5" bottom="0.75" header="0.25" footer="0.25"/>
  <pageSetup scale="74" fitToHeight="5" orientation="landscape" r:id="rId1"/>
  <headerFooter alignWithMargins="0">
    <oddFooter>&amp;LFY 2026-2028 ASC Filing
&amp;CPage &amp;P of &amp;N&amp;R&amp;A
&amp;D</oddFooter>
  </headerFooter>
  <rowBreaks count="4" manualBreakCount="4">
    <brk id="50" max="9" man="1"/>
    <brk id="81" max="9" man="1"/>
    <brk id="116" max="9" man="1"/>
    <brk id="136" max="9" man="1"/>
  </rowBreak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0D8CB3-07C3-4E7D-ABEA-FF72331BF8CF}">
  <sheetPr>
    <tabColor rgb="FFFFC000"/>
  </sheetPr>
  <dimension ref="A1:S565"/>
  <sheetViews>
    <sheetView zoomScale="80" zoomScaleNormal="80" zoomScaleSheetLayoutView="75" workbookViewId="0">
      <selection sqref="A1:XFD1048576"/>
    </sheetView>
  </sheetViews>
  <sheetFormatPr defaultColWidth="9" defaultRowHeight="15" customHeight="1" outlineLevelRow="1" x14ac:dyDescent="0.25"/>
  <cols>
    <col min="1" max="1" width="3.125" style="2472" customWidth="1"/>
    <col min="2" max="2" width="6.125" style="3251" customWidth="1"/>
    <col min="3" max="3" width="54.875" style="3251" bestFit="1" customWidth="1"/>
    <col min="4" max="4" width="9.25" style="3252" customWidth="1"/>
    <col min="5" max="5" width="10.125" style="3252" customWidth="1"/>
    <col min="6" max="6" width="12.5" style="2472" bestFit="1" customWidth="1"/>
    <col min="7" max="7" width="13.25" style="2472" customWidth="1"/>
    <col min="8" max="8" width="12.5" style="2472" bestFit="1" customWidth="1"/>
    <col min="9" max="10" width="11.375" style="2472" customWidth="1"/>
    <col min="11" max="11" width="9" style="2472"/>
    <col min="12" max="12" width="6.875" style="2472" bestFit="1" customWidth="1"/>
    <col min="13" max="13" width="10.25" style="2472" bestFit="1" customWidth="1"/>
    <col min="14" max="16384" width="9" style="2472"/>
  </cols>
  <sheetData>
    <row r="1" spans="1:19" s="3251" customFormat="1" ht="19.5" customHeight="1" x14ac:dyDescent="0.2">
      <c r="A1" s="3253" t="s">
        <v>12443</v>
      </c>
      <c r="B1" s="3252">
        <v>1</v>
      </c>
      <c r="C1" s="3252">
        <v>2</v>
      </c>
      <c r="D1" s="3252">
        <v>3</v>
      </c>
      <c r="E1" s="3252">
        <v>4</v>
      </c>
      <c r="F1" s="3252">
        <v>5</v>
      </c>
      <c r="G1" s="3252">
        <v>6</v>
      </c>
      <c r="H1" s="3252">
        <v>7</v>
      </c>
      <c r="I1" s="3252">
        <v>8</v>
      </c>
      <c r="J1" s="3252">
        <v>9</v>
      </c>
      <c r="K1" s="3252">
        <v>10</v>
      </c>
      <c r="L1" s="3252">
        <v>11</v>
      </c>
      <c r="M1" s="3252">
        <v>12</v>
      </c>
      <c r="N1" s="3252">
        <v>13</v>
      </c>
    </row>
    <row r="2" spans="1:19" ht="19.5" hidden="1" customHeight="1" outlineLevel="1" x14ac:dyDescent="0.25">
      <c r="A2" s="3251">
        <v>1</v>
      </c>
      <c r="B2" s="3239"/>
      <c r="C2" s="3239"/>
      <c r="D2" s="3239"/>
      <c r="E2" s="3239"/>
    </row>
    <row r="3" spans="1:19" ht="17.25" hidden="1" customHeight="1" outlineLevel="1" x14ac:dyDescent="0.25">
      <c r="A3" s="3251">
        <v>2</v>
      </c>
      <c r="B3" s="180"/>
      <c r="C3" s="180"/>
      <c r="D3" s="180"/>
      <c r="E3" s="180"/>
    </row>
    <row r="4" spans="1:19" ht="15" hidden="1" customHeight="1" outlineLevel="1" x14ac:dyDescent="0.25">
      <c r="A4" s="3251">
        <v>3</v>
      </c>
      <c r="B4" s="3254"/>
      <c r="C4" s="180"/>
      <c r="D4" s="180"/>
      <c r="E4" s="180"/>
    </row>
    <row r="5" spans="1:19" ht="15.75" hidden="1" customHeight="1" outlineLevel="1" x14ac:dyDescent="0.3">
      <c r="A5" s="3251">
        <v>4</v>
      </c>
      <c r="B5" s="3255"/>
      <c r="C5" s="3256"/>
      <c r="D5" s="180"/>
      <c r="E5" s="505"/>
    </row>
    <row r="6" spans="1:19" ht="15.75" customHeight="1" collapsed="1" x14ac:dyDescent="0.3">
      <c r="A6" s="3251">
        <v>5</v>
      </c>
      <c r="B6" s="3255"/>
      <c r="C6" s="3256"/>
      <c r="D6" s="180"/>
      <c r="E6" s="505"/>
      <c r="I6" s="3257" t="s">
        <v>12444</v>
      </c>
      <c r="J6" s="3258" t="s">
        <v>906</v>
      </c>
      <c r="K6" s="3259">
        <f>SUM(L6:N6)</f>
        <v>0.38879546969720469</v>
      </c>
      <c r="L6" s="3259">
        <f>'B8-EPIS'!M394</f>
        <v>0.25837202723710373</v>
      </c>
      <c r="M6" s="3259">
        <f>'B8-EPIS'!N394</f>
        <v>7.1411102055994449E-2</v>
      </c>
      <c r="N6" s="3259">
        <f>'B8-EPIS'!O394</f>
        <v>5.9012340404106522E-2</v>
      </c>
      <c r="O6" s="3260" t="s">
        <v>12445</v>
      </c>
      <c r="P6" s="3261">
        <f>SUM(Q6:S6)</f>
        <v>0.37559502971691572</v>
      </c>
      <c r="Q6" s="3261">
        <f>'pg 304 Summary'!E6</f>
        <v>0.24603406414609427</v>
      </c>
      <c r="R6" s="3261">
        <f>'pg 304 Summary'!E8</f>
        <v>6.7906531795145539E-2</v>
      </c>
      <c r="S6" s="3261">
        <f>'pg 304 Summary'!E5</f>
        <v>6.1654433775675914E-2</v>
      </c>
    </row>
    <row r="7" spans="1:19" ht="15.75" customHeight="1" thickBot="1" x14ac:dyDescent="0.35">
      <c r="A7" s="3251">
        <v>6</v>
      </c>
      <c r="B7" s="3255"/>
      <c r="C7" s="3256"/>
      <c r="D7" s="180"/>
      <c r="E7" s="505"/>
      <c r="J7" s="3258" t="s">
        <v>1083</v>
      </c>
      <c r="K7" s="3259">
        <f>SUM(L7:N7)</f>
        <v>0.40125437407581699</v>
      </c>
      <c r="L7" s="3259">
        <f>'B8-EPIS'!M395</f>
        <v>0.27093892375481415</v>
      </c>
      <c r="M7" s="3259">
        <f>'B8-EPIS'!N395</f>
        <v>7.6179088963979236E-2</v>
      </c>
      <c r="N7" s="3259">
        <f>'B8-EPIS'!O395</f>
        <v>5.4136361357023585E-2</v>
      </c>
      <c r="P7" s="3261">
        <f>P6/$P$6</f>
        <v>1</v>
      </c>
      <c r="Q7" s="3261">
        <f t="shared" ref="Q7:S7" si="0">Q6/$P$6</f>
        <v>0.65505143753241102</v>
      </c>
      <c r="R7" s="3261">
        <f t="shared" si="0"/>
        <v>0.18079720556027162</v>
      </c>
      <c r="S7" s="3261">
        <f t="shared" si="0"/>
        <v>0.16415135690731739</v>
      </c>
    </row>
    <row r="8" spans="1:19" ht="15.75" hidden="1" customHeight="1" outlineLevel="1" x14ac:dyDescent="0.3">
      <c r="A8" s="3251">
        <v>7</v>
      </c>
      <c r="B8" s="3255"/>
      <c r="C8" s="3256"/>
      <c r="D8" s="180"/>
      <c r="E8" s="505"/>
    </row>
    <row r="9" spans="1:19" ht="15.75" hidden="1" customHeight="1" outlineLevel="1" x14ac:dyDescent="0.3">
      <c r="A9" s="3251">
        <v>8</v>
      </c>
      <c r="B9" s="3255"/>
      <c r="C9" s="3256"/>
      <c r="D9" s="180"/>
      <c r="E9" s="505"/>
    </row>
    <row r="10" spans="1:19" ht="15.75" hidden="1" customHeight="1" outlineLevel="1" x14ac:dyDescent="0.3">
      <c r="A10" s="3251">
        <v>9</v>
      </c>
      <c r="B10" s="3255"/>
      <c r="C10" s="3256"/>
      <c r="D10" s="180"/>
      <c r="E10" s="505"/>
    </row>
    <row r="11" spans="1:19" ht="15.75" hidden="1" customHeight="1" outlineLevel="1" thickBot="1" x14ac:dyDescent="0.35">
      <c r="A11" s="3251">
        <v>10</v>
      </c>
      <c r="B11" s="3255"/>
      <c r="C11" s="3256"/>
      <c r="D11" s="180"/>
      <c r="E11" s="505"/>
    </row>
    <row r="12" spans="1:19" ht="15" customHeight="1" collapsed="1" thickBot="1" x14ac:dyDescent="0.3">
      <c r="A12" s="3251">
        <v>11</v>
      </c>
      <c r="B12" s="3602" t="s">
        <v>100</v>
      </c>
      <c r="C12" s="3796"/>
      <c r="D12" s="3797" t="s">
        <v>276</v>
      </c>
      <c r="E12" s="3798"/>
      <c r="F12" s="3798"/>
      <c r="G12" s="3263" t="s">
        <v>5463</v>
      </c>
      <c r="H12" s="3799" t="s">
        <v>550</v>
      </c>
      <c r="I12" s="3800"/>
      <c r="J12" s="3801"/>
      <c r="K12" s="3263" t="s">
        <v>5463</v>
      </c>
      <c r="L12" s="3799" t="s">
        <v>550</v>
      </c>
      <c r="M12" s="3800"/>
      <c r="N12" s="3801"/>
    </row>
    <row r="13" spans="1:19" ht="15" customHeight="1" thickBot="1" x14ac:dyDescent="0.3">
      <c r="A13" s="3251">
        <v>12</v>
      </c>
      <c r="B13" s="3604"/>
      <c r="C13" s="3605"/>
      <c r="D13" s="308" t="s">
        <v>272</v>
      </c>
      <c r="E13" s="3264" t="s">
        <v>96</v>
      </c>
      <c r="F13" s="3265" t="s">
        <v>104</v>
      </c>
      <c r="G13" s="3266" t="s">
        <v>104</v>
      </c>
      <c r="H13" s="3802" t="s">
        <v>12446</v>
      </c>
      <c r="I13" s="3803"/>
      <c r="J13" s="3804"/>
      <c r="K13" s="3266" t="s">
        <v>104</v>
      </c>
      <c r="L13" s="3802" t="s">
        <v>12447</v>
      </c>
      <c r="M13" s="3803"/>
      <c r="N13" s="3804"/>
      <c r="S13" s="3267" t="s">
        <v>695</v>
      </c>
    </row>
    <row r="14" spans="1:19" ht="15" customHeight="1" thickBot="1" x14ac:dyDescent="0.3">
      <c r="A14" s="3251">
        <v>13</v>
      </c>
      <c r="B14" s="3604"/>
      <c r="C14" s="3605"/>
      <c r="D14" s="308" t="s">
        <v>273</v>
      </c>
      <c r="E14" s="3264" t="s">
        <v>252</v>
      </c>
      <c r="F14" s="3268" t="s">
        <v>441</v>
      </c>
      <c r="G14" s="3269" t="s">
        <v>441</v>
      </c>
      <c r="H14" s="3270" t="s">
        <v>898</v>
      </c>
      <c r="I14" s="3270" t="s">
        <v>8068</v>
      </c>
      <c r="J14" s="3270" t="s">
        <v>900</v>
      </c>
      <c r="K14" s="3269" t="s">
        <v>441</v>
      </c>
      <c r="L14" s="3270" t="s">
        <v>898</v>
      </c>
      <c r="M14" s="3270" t="s">
        <v>8068</v>
      </c>
      <c r="N14" s="3270" t="s">
        <v>900</v>
      </c>
      <c r="S14" s="3271" t="s">
        <v>5882</v>
      </c>
    </row>
    <row r="15" spans="1:19" ht="15" customHeight="1" thickTop="1" thickBot="1" x14ac:dyDescent="0.3">
      <c r="A15" s="3251">
        <v>14</v>
      </c>
      <c r="B15" s="1515" t="s">
        <v>473</v>
      </c>
      <c r="C15" s="1516"/>
      <c r="D15" s="1517"/>
      <c r="E15" s="1517"/>
      <c r="S15" s="3272" t="s">
        <v>12448</v>
      </c>
    </row>
    <row r="16" spans="1:19" ht="15" customHeight="1" x14ac:dyDescent="0.25">
      <c r="A16" s="3251">
        <v>15</v>
      </c>
      <c r="B16" s="3240"/>
      <c r="C16" s="47" t="s">
        <v>145</v>
      </c>
      <c r="D16" s="248" t="s">
        <v>70</v>
      </c>
      <c r="E16" s="181">
        <v>301</v>
      </c>
      <c r="F16" s="3273">
        <f>SUMIF('Pg 204 - Plant in Service (Form'!B:B,"*301*",'Pg 204 - Plant in Service (Form'!H:H)</f>
        <v>0</v>
      </c>
      <c r="G16" s="3274"/>
      <c r="K16" s="3274">
        <f>SUM(L16:N16)</f>
        <v>0</v>
      </c>
      <c r="L16" s="3274">
        <v>0</v>
      </c>
      <c r="M16" s="3274">
        <v>0</v>
      </c>
      <c r="N16" s="3274">
        <v>0</v>
      </c>
    </row>
    <row r="17" spans="1:15" ht="15" customHeight="1" x14ac:dyDescent="0.25">
      <c r="A17" s="3251">
        <v>16</v>
      </c>
      <c r="B17" s="3240"/>
      <c r="C17" s="47" t="s">
        <v>146</v>
      </c>
      <c r="D17" s="248" t="s">
        <v>70</v>
      </c>
      <c r="E17" s="181">
        <v>302</v>
      </c>
      <c r="F17" s="3273">
        <f>SUMIF('Pg 204 - Plant in Service (Form'!B:B,"*302*",'Pg 204 - Plant in Service (Form'!H:H)</f>
        <v>176791153</v>
      </c>
      <c r="G17" s="3273">
        <f>$F17*K17</f>
        <v>71764696.193237215</v>
      </c>
      <c r="H17" s="3273">
        <f t="shared" ref="H17:J18" si="1">$F17*L17</f>
        <v>47525616.791076206</v>
      </c>
      <c r="I17" s="3273">
        <f t="shared" si="1"/>
        <v>13362635.901188232</v>
      </c>
      <c r="J17" s="3273">
        <f t="shared" si="1"/>
        <v>10876443.500972776</v>
      </c>
      <c r="K17" s="3275">
        <f>SUM(L17:N17)</f>
        <v>0.4059292276533612</v>
      </c>
      <c r="L17" s="3274">
        <f>IF(ISERROR(VLOOKUP($E17,'B8-EPIS'!$K$585:$P$606,3,FALSE)),0,VLOOKUP($E17,'B8-EPIS'!$K$585:$P$606,3,FALSE))</f>
        <v>0.26882350154182322</v>
      </c>
      <c r="M17" s="3274">
        <f>IF(ISERROR(VLOOKUP($E17,'B8-EPIS'!$K$585:$P$606,4,FALSE)),0,VLOOKUP($E17,'B8-EPIS'!$K$585:$P$606,4,FALSE))</f>
        <v>7.558430201079254E-2</v>
      </c>
      <c r="N17" s="3274">
        <f>IF(ISERROR(VLOOKUP($E17,'B8-EPIS'!$K$585:$P$606,5,FALSE)),0,VLOOKUP($E17,'B8-EPIS'!$K$585:$P$606,5,FALSE))</f>
        <v>6.1521424100745445E-2</v>
      </c>
    </row>
    <row r="18" spans="1:15" ht="15" customHeight="1" x14ac:dyDescent="0.25">
      <c r="A18" s="3251">
        <v>17</v>
      </c>
      <c r="B18" s="3240"/>
      <c r="C18" s="47" t="s">
        <v>147</v>
      </c>
      <c r="D18" s="248" t="s">
        <v>70</v>
      </c>
      <c r="E18" s="181">
        <v>303</v>
      </c>
      <c r="F18" s="3276">
        <f>SUMIF('Pg 204 - Plant in Service (Form'!B:B,"*303*",'Pg 204 - Plant in Service (Form'!H:H)</f>
        <v>957180693</v>
      </c>
      <c r="G18" s="3276">
        <f>$F18*K18</f>
        <v>391010404.58104795</v>
      </c>
      <c r="H18" s="3276">
        <f t="shared" si="1"/>
        <v>269984868.30402285</v>
      </c>
      <c r="I18" s="3276">
        <f t="shared" si="1"/>
        <v>70178233.571120694</v>
      </c>
      <c r="J18" s="3276">
        <f t="shared" si="1"/>
        <v>50847302.705904394</v>
      </c>
      <c r="K18" s="3277">
        <f>SUM(L18:N18)</f>
        <v>0.40850218505300334</v>
      </c>
      <c r="L18" s="3278">
        <f>IF(ISERROR(VLOOKUP($E18,'B8-EPIS'!$K$585:$P$606,3,FALSE)),0,VLOOKUP($E18,'B8-EPIS'!$K$585:$P$606,3,FALSE))</f>
        <v>0.28206259306989895</v>
      </c>
      <c r="M18" s="3278">
        <f>IF(ISERROR(VLOOKUP($E18,'B8-EPIS'!$K$585:$P$606,4,FALSE)),0,VLOOKUP($E18,'B8-EPIS'!$K$585:$P$606,4,FALSE))</f>
        <v>7.3317644290512962E-2</v>
      </c>
      <c r="N18" s="3278">
        <f>IF(ISERROR(VLOOKUP($E18,'B8-EPIS'!$K$585:$P$606,5,FALSE)),0,VLOOKUP($E18,'B8-EPIS'!$K$585:$P$606,5,FALSE))</f>
        <v>5.3121947692591411E-2</v>
      </c>
    </row>
    <row r="19" spans="1:15" ht="15" customHeight="1" x14ac:dyDescent="0.25">
      <c r="A19" s="3251">
        <v>18</v>
      </c>
      <c r="B19" s="1344" t="s">
        <v>439</v>
      </c>
      <c r="C19" s="33"/>
      <c r="D19" s="486"/>
      <c r="E19" s="487"/>
      <c r="F19" s="3279">
        <f>SUM(F16:F18)</f>
        <v>1133971846</v>
      </c>
      <c r="G19" s="3279">
        <f>SUM(G16:G18)</f>
        <v>462775100.7742852</v>
      </c>
      <c r="H19" s="3279">
        <f>SUM(H16:H18)</f>
        <v>317510485.09509903</v>
      </c>
      <c r="I19" s="3279">
        <f>SUM(I16:I18)</f>
        <v>83540869.472308934</v>
      </c>
      <c r="J19" s="3279">
        <f>SUM(J16:J18)</f>
        <v>61723746.206877172</v>
      </c>
      <c r="K19" s="3280">
        <f>G19/$F19</f>
        <v>0.40810104978063555</v>
      </c>
      <c r="L19" s="3280">
        <f>H19/$F19</f>
        <v>0.27999856100051629</v>
      </c>
      <c r="M19" s="3280">
        <f>I19/$F19</f>
        <v>7.3671026107917092E-2</v>
      </c>
      <c r="N19" s="3280">
        <f>J19/$F19</f>
        <v>5.4431462672202155E-2</v>
      </c>
      <c r="O19" s="3129"/>
    </row>
    <row r="20" spans="1:15" ht="8.1" customHeight="1" x14ac:dyDescent="0.25">
      <c r="A20" s="3251">
        <v>19</v>
      </c>
      <c r="B20" s="1346"/>
      <c r="C20" s="33"/>
      <c r="D20" s="50"/>
      <c r="E20" s="50"/>
      <c r="F20" s="11"/>
      <c r="G20" s="3274"/>
      <c r="H20" s="3273"/>
      <c r="K20" s="3274"/>
      <c r="L20" s="3274"/>
      <c r="M20" s="3274"/>
      <c r="N20" s="3274"/>
    </row>
    <row r="21" spans="1:15" ht="15" customHeight="1" x14ac:dyDescent="0.25">
      <c r="A21" s="3251">
        <v>20</v>
      </c>
      <c r="B21" s="1341" t="s">
        <v>110</v>
      </c>
      <c r="C21" s="78"/>
      <c r="D21" s="50"/>
      <c r="E21" s="50"/>
      <c r="F21" s="3273"/>
      <c r="G21" s="3274"/>
      <c r="H21" s="3273"/>
      <c r="K21" s="3274"/>
      <c r="L21" s="3274"/>
      <c r="M21" s="3274"/>
      <c r="N21" s="3274"/>
    </row>
    <row r="22" spans="1:15" ht="15" customHeight="1" x14ac:dyDescent="0.25">
      <c r="A22" s="3251">
        <v>21</v>
      </c>
      <c r="B22" s="1348"/>
      <c r="C22" s="49" t="s">
        <v>111</v>
      </c>
      <c r="D22" s="248" t="s">
        <v>70</v>
      </c>
      <c r="E22" s="181" t="s">
        <v>112</v>
      </c>
      <c r="F22" s="3273">
        <f>SUMIF('Pg 204 - Plant in Service (Form'!B:B,"*(31*",'Pg 204 - Plant in Service (Form'!H:H)</f>
        <v>7203973680</v>
      </c>
      <c r="G22" s="3273">
        <f>$F22*K22</f>
        <v>2890625949.8270597</v>
      </c>
      <c r="H22" s="3273">
        <f t="shared" ref="H22:J25" si="2">$F22*L22</f>
        <v>1951836875.617208</v>
      </c>
      <c r="I22" s="3273">
        <f t="shared" si="2"/>
        <v>548792151.86288476</v>
      </c>
      <c r="J22" s="3273">
        <f t="shared" si="2"/>
        <v>389996922.34696692</v>
      </c>
      <c r="K22" s="3274">
        <f>SUM(L22:N22)</f>
        <v>0.40125437407581699</v>
      </c>
      <c r="L22" s="3274">
        <f>IF(ISERROR(VLOOKUP($O22,'B8-EPIS'!$K$585:$P$606,3,FALSE)),0,VLOOKUP($O22,'B8-EPIS'!$K$585:$P$606,3,FALSE))</f>
        <v>0.27093892375481415</v>
      </c>
      <c r="M22" s="3274">
        <f>IF(ISERROR(VLOOKUP($O22,'B8-EPIS'!$K$585:$P$606,4,FALSE)),0,VLOOKUP($O22,'B8-EPIS'!$K$585:$P$606,4,FALSE))</f>
        <v>7.6179088963979222E-2</v>
      </c>
      <c r="N22" s="3274">
        <f>IF(ISERROR(VLOOKUP($O22,'B8-EPIS'!$K$585:$P$606,5,FALSE)),0,VLOOKUP($O22,'B8-EPIS'!$K$585:$P$606,5,FALSE))</f>
        <v>5.4136361357023578E-2</v>
      </c>
      <c r="O22" s="3281" t="s">
        <v>5620</v>
      </c>
    </row>
    <row r="23" spans="1:15" ht="15" customHeight="1" x14ac:dyDescent="0.25">
      <c r="A23" s="3251">
        <v>22</v>
      </c>
      <c r="B23" s="1348"/>
      <c r="C23" s="49" t="s">
        <v>113</v>
      </c>
      <c r="D23" s="248" t="s">
        <v>70</v>
      </c>
      <c r="E23" s="181" t="s">
        <v>114</v>
      </c>
      <c r="F23" s="3273">
        <f>SUMIF('Pg 204 - Plant in Service (Form'!B:B,"*(32*",'Pg 204 - Plant in Service (Form'!H:H)</f>
        <v>0</v>
      </c>
      <c r="G23" s="3273">
        <f>$F23*K23</f>
        <v>0</v>
      </c>
      <c r="H23" s="3273">
        <f t="shared" si="2"/>
        <v>0</v>
      </c>
      <c r="I23" s="3273">
        <f t="shared" si="2"/>
        <v>0</v>
      </c>
      <c r="J23" s="3273">
        <f t="shared" si="2"/>
        <v>0</v>
      </c>
      <c r="K23" s="3274">
        <f>SUM(L23:N23)</f>
        <v>0</v>
      </c>
      <c r="L23" s="3274">
        <f>IF(ISERROR(VLOOKUP($O23,'B8-EPIS'!$K$585:$P$606,3,FALSE)),0,VLOOKUP($O23,'B8-EPIS'!$K$585:$P$606,3,FALSE))</f>
        <v>0</v>
      </c>
      <c r="M23" s="3274">
        <f>IF(ISERROR(VLOOKUP($O23,'B8-EPIS'!$K$585:$P$606,4,FALSE)),0,VLOOKUP($O23,'B8-EPIS'!$K$585:$P$606,4,FALSE))</f>
        <v>0</v>
      </c>
      <c r="N23" s="3274">
        <f>IF(ISERROR(VLOOKUP($O23,'B8-EPIS'!$K$585:$P$606,5,FALSE)),0,VLOOKUP($O23,'B8-EPIS'!$K$585:$P$606,5,FALSE))</f>
        <v>0</v>
      </c>
      <c r="O23" s="3281" t="s">
        <v>12449</v>
      </c>
    </row>
    <row r="24" spans="1:15" ht="15" customHeight="1" x14ac:dyDescent="0.25">
      <c r="A24" s="3251">
        <v>23</v>
      </c>
      <c r="B24" s="1348"/>
      <c r="C24" s="49" t="s">
        <v>115</v>
      </c>
      <c r="D24" s="248" t="s">
        <v>70</v>
      </c>
      <c r="E24" s="181" t="s">
        <v>116</v>
      </c>
      <c r="F24" s="3273">
        <f>SUMIF('Pg 204 - Plant in Service (Form'!B:B,"*(33*",'Pg 204 - Plant in Service (Form'!H:H)</f>
        <v>1080013867</v>
      </c>
      <c r="G24" s="3273">
        <f>$F24*K24</f>
        <v>433360289.62213165</v>
      </c>
      <c r="H24" s="3273">
        <f t="shared" si="2"/>
        <v>292617794.76525491</v>
      </c>
      <c r="I24" s="3273">
        <f t="shared" si="2"/>
        <v>82274472.470641494</v>
      </c>
      <c r="J24" s="3273">
        <f t="shared" si="2"/>
        <v>58468022.386235185</v>
      </c>
      <c r="K24" s="3274">
        <f>SUM(L24:N24)</f>
        <v>0.40125437539602593</v>
      </c>
      <c r="L24" s="3274">
        <f>IF(ISERROR(VLOOKUP($O24,'B8-EPIS'!$K$585:$P$606,3,FALSE)),0,VLOOKUP($O24,'B8-EPIS'!$K$585:$P$606,3,FALSE))</f>
        <v>0.2709389237548141</v>
      </c>
      <c r="M24" s="3274">
        <f>IF(ISERROR(VLOOKUP($O24,'B8-EPIS'!$K$585:$P$606,4,FALSE)),0,VLOOKUP($O24,'B8-EPIS'!$K$585:$P$606,4,FALSE))</f>
        <v>7.6179088977050599E-2</v>
      </c>
      <c r="N24" s="3274">
        <f>IF(ISERROR(VLOOKUP($O24,'B8-EPIS'!$K$585:$P$606,5,FALSE)),0,VLOOKUP($O24,'B8-EPIS'!$K$585:$P$606,5,FALSE))</f>
        <v>5.4136362664161226E-2</v>
      </c>
      <c r="O24" s="3281" t="s">
        <v>5622</v>
      </c>
    </row>
    <row r="25" spans="1:15" ht="15" customHeight="1" x14ac:dyDescent="0.25">
      <c r="A25" s="3251">
        <v>24</v>
      </c>
      <c r="B25" s="1348"/>
      <c r="C25" s="49" t="s">
        <v>117</v>
      </c>
      <c r="D25" s="248" t="s">
        <v>70</v>
      </c>
      <c r="E25" s="181" t="s">
        <v>118</v>
      </c>
      <c r="F25" s="3276">
        <f>SUMIF('Pg 204 - Plant in Service (Form'!B:B,"*(34*",'Pg 204 - Plant in Service (Form'!H:H)</f>
        <v>5627864081</v>
      </c>
      <c r="G25" s="3273">
        <f>$F25*K25</f>
        <v>2258385628.1561661</v>
      </c>
      <c r="H25" s="3273">
        <f t="shared" si="2"/>
        <v>1525123173.3055339</v>
      </c>
      <c r="I25" s="3273">
        <f t="shared" si="2"/>
        <v>428646531.50808603</v>
      </c>
      <c r="J25" s="3273">
        <f t="shared" si="2"/>
        <v>304615923.34254658</v>
      </c>
      <c r="K25" s="3274">
        <f>SUM(L25:N25)</f>
        <v>0.40128645533224744</v>
      </c>
      <c r="L25" s="3274">
        <f>IF(ISERROR(VLOOKUP($O25,'B8-EPIS'!$K$585:$P$606,3,FALSE)),0,VLOOKUP($O25,'B8-EPIS'!$K$585:$P$606,3,FALSE))</f>
        <v>0.27099502606227455</v>
      </c>
      <c r="M25" s="3274">
        <f>IF(ISERROR(VLOOKUP($O25,'B8-EPIS'!$K$585:$P$606,4,FALSE)),0,VLOOKUP($O25,'B8-EPIS'!$K$585:$P$606,4,FALSE))</f>
        <v>7.6165046870129982E-2</v>
      </c>
      <c r="N25" s="3274">
        <f>IF(ISERROR(VLOOKUP($O25,'B8-EPIS'!$K$585:$P$606,5,FALSE)),0,VLOOKUP($O25,'B8-EPIS'!$K$585:$P$606,5,FALSE))</f>
        <v>5.412638239984293E-2</v>
      </c>
      <c r="O25" s="3281" t="s">
        <v>5624</v>
      </c>
    </row>
    <row r="26" spans="1:15" ht="15" customHeight="1" x14ac:dyDescent="0.25">
      <c r="A26" s="3251">
        <v>25</v>
      </c>
      <c r="B26" s="1344" t="s">
        <v>119</v>
      </c>
      <c r="C26" s="33"/>
      <c r="D26" s="486"/>
      <c r="E26" s="487"/>
      <c r="F26" s="3279">
        <f>SUM(F22:F25)</f>
        <v>13911851628</v>
      </c>
      <c r="G26" s="3279">
        <f>SUM(G22:G25)</f>
        <v>5582371867.6053581</v>
      </c>
      <c r="H26" s="3279">
        <f>SUM(H22:H25)</f>
        <v>3769577843.6879969</v>
      </c>
      <c r="I26" s="3279">
        <f>SUM(I22:I25)</f>
        <v>1059713155.8416123</v>
      </c>
      <c r="J26" s="3279">
        <f>SUM(J22:J25)</f>
        <v>753080868.07574868</v>
      </c>
      <c r="K26" s="3280">
        <f>G26/$F26</f>
        <v>0.40126735224589888</v>
      </c>
      <c r="L26" s="3280">
        <f>H26/$F26</f>
        <v>0.27096161923557838</v>
      </c>
      <c r="M26" s="3280">
        <f>I26/$F26</f>
        <v>7.6173408413065372E-2</v>
      </c>
      <c r="N26" s="3280">
        <f>J26/$F26</f>
        <v>5.4132324597255164E-2</v>
      </c>
      <c r="O26" s="3129"/>
    </row>
    <row r="27" spans="1:15" ht="8.1" customHeight="1" x14ac:dyDescent="0.25">
      <c r="A27" s="3251">
        <v>26</v>
      </c>
      <c r="B27" s="1346"/>
      <c r="C27" s="33"/>
      <c r="D27" s="50"/>
      <c r="E27" s="50"/>
      <c r="F27" s="3273"/>
      <c r="G27" s="3274"/>
      <c r="H27" s="3273"/>
      <c r="K27" s="3274"/>
      <c r="L27" s="3274"/>
      <c r="M27" s="3274"/>
      <c r="N27" s="3274"/>
    </row>
    <row r="28" spans="1:15" ht="15" customHeight="1" x14ac:dyDescent="0.25">
      <c r="A28" s="3251">
        <v>27</v>
      </c>
      <c r="B28" s="1341" t="s">
        <v>97</v>
      </c>
      <c r="C28" s="47"/>
      <c r="D28" s="50"/>
      <c r="E28" s="50"/>
      <c r="F28" s="3273"/>
      <c r="G28" s="3274"/>
      <c r="H28" s="3273"/>
      <c r="K28" s="3274"/>
      <c r="L28" s="3274"/>
      <c r="M28" s="3274"/>
      <c r="N28" s="3274"/>
    </row>
    <row r="29" spans="1:15" ht="15" customHeight="1" x14ac:dyDescent="0.25">
      <c r="A29" s="3251">
        <v>28</v>
      </c>
      <c r="B29" s="1348"/>
      <c r="C29" s="49" t="s">
        <v>497</v>
      </c>
      <c r="D29" s="248" t="s">
        <v>70</v>
      </c>
      <c r="E29" s="181" t="s">
        <v>120</v>
      </c>
      <c r="F29" s="3273">
        <f>SUMIF('Pg 204 - Plant in Service (Form'!B:B,"*(35*",'Pg 204 - Plant in Service (Form'!H:H)</f>
        <v>8213839384</v>
      </c>
      <c r="G29" s="3273">
        <f>$F29*K29</f>
        <v>3295838980.7862144</v>
      </c>
      <c r="H29" s="3273">
        <f>$F29*L29</f>
        <v>2225448802.5958657</v>
      </c>
      <c r="I29" s="3273">
        <f>$F29*M29</f>
        <v>625722801.16957247</v>
      </c>
      <c r="J29" s="3273">
        <f>$F29*N29</f>
        <v>444667377.02077609</v>
      </c>
      <c r="K29" s="3274">
        <f>SUM(L29:N29)</f>
        <v>0.40125437407581699</v>
      </c>
      <c r="L29" s="3274">
        <f>IF(ISERROR(VLOOKUP($O29,'B8-EPIS'!$K$585:$P$606,3,FALSE)),0,VLOOKUP($O29,'B8-EPIS'!$K$585:$P$606,3,FALSE))</f>
        <v>0.27093892375481415</v>
      </c>
      <c r="M29" s="3274">
        <f>IF(ISERROR(VLOOKUP($O29,'B8-EPIS'!$K$585:$P$606,4,FALSE)),0,VLOOKUP($O29,'B8-EPIS'!$K$585:$P$606,4,FALSE))</f>
        <v>7.617908896397925E-2</v>
      </c>
      <c r="N29" s="3274">
        <f>IF(ISERROR(VLOOKUP($O29,'B8-EPIS'!$K$585:$P$606,5,FALSE)),0,VLOOKUP($O29,'B8-EPIS'!$K$585:$P$606,5,FALSE))</f>
        <v>5.4136361357023592E-2</v>
      </c>
      <c r="O29" s="3281" t="s">
        <v>5626</v>
      </c>
    </row>
    <row r="30" spans="1:15" ht="15" customHeight="1" x14ac:dyDescent="0.25">
      <c r="A30" s="3251">
        <v>29</v>
      </c>
      <c r="B30" s="1344" t="s">
        <v>121</v>
      </c>
      <c r="C30" s="33"/>
      <c r="D30" s="486"/>
      <c r="E30" s="487"/>
      <c r="F30" s="3279">
        <f>SUM(F29)</f>
        <v>8213839384</v>
      </c>
      <c r="G30" s="3279">
        <f>SUM(G29)</f>
        <v>3295838980.7862144</v>
      </c>
      <c r="H30" s="3279">
        <f>SUM(H29)</f>
        <v>2225448802.5958657</v>
      </c>
      <c r="I30" s="3279">
        <f>SUM(I29)</f>
        <v>625722801.16957247</v>
      </c>
      <c r="J30" s="3279">
        <f>SUM(J29)</f>
        <v>444667377.02077609</v>
      </c>
      <c r="K30" s="3280">
        <f>G30/$F30</f>
        <v>0.40125437407581699</v>
      </c>
      <c r="L30" s="3280">
        <f>H30/$F30</f>
        <v>0.27093892375481415</v>
      </c>
      <c r="M30" s="3280">
        <f>I30/$F30</f>
        <v>7.617908896397925E-2</v>
      </c>
      <c r="N30" s="3280">
        <f>J30/$F30</f>
        <v>5.4136361357023592E-2</v>
      </c>
      <c r="O30" s="3129"/>
    </row>
    <row r="31" spans="1:15" ht="8.1" customHeight="1" x14ac:dyDescent="0.25">
      <c r="A31" s="3251">
        <v>30</v>
      </c>
      <c r="B31" s="1346"/>
      <c r="C31" s="33"/>
      <c r="D31" s="50"/>
      <c r="E31" s="50"/>
      <c r="F31" s="3273"/>
      <c r="G31" s="3274"/>
      <c r="H31" s="3273"/>
      <c r="K31" s="3274"/>
      <c r="L31" s="3274"/>
      <c r="M31" s="3274"/>
      <c r="N31" s="3274"/>
    </row>
    <row r="32" spans="1:15" ht="15" customHeight="1" x14ac:dyDescent="0.25">
      <c r="A32" s="3251">
        <v>31</v>
      </c>
      <c r="B32" s="1341" t="s">
        <v>472</v>
      </c>
      <c r="C32" s="47"/>
      <c r="D32" s="50"/>
      <c r="E32" s="50"/>
      <c r="F32" s="3273"/>
      <c r="G32" s="3274"/>
      <c r="H32" s="3273"/>
      <c r="K32" s="3274"/>
      <c r="L32" s="3274"/>
      <c r="M32" s="3274"/>
      <c r="N32" s="3274"/>
    </row>
    <row r="33" spans="1:15" ht="15" customHeight="1" x14ac:dyDescent="0.25">
      <c r="A33" s="3251">
        <v>32</v>
      </c>
      <c r="B33" s="1348"/>
      <c r="C33" s="49" t="s">
        <v>140</v>
      </c>
      <c r="D33" s="248" t="s">
        <v>70</v>
      </c>
      <c r="E33" s="181" t="s">
        <v>123</v>
      </c>
      <c r="F33" s="3273">
        <f>SUMIF('Pg 204 - Plant in Service (Form'!B:B,"*(36*",'Pg 204 - Plant in Service (Form'!H:H)+SUMIF('Pg 204 - Plant in Service (Form'!B:B,"*(37*",'Pg 204 - Plant in Service (Form'!H:H)</f>
        <v>9050589187</v>
      </c>
      <c r="G33" s="3273">
        <f>$F33*K33</f>
        <v>3803344740.5943408</v>
      </c>
      <c r="H33" s="3273">
        <f>$F33*L33</f>
        <v>2697671223.5252719</v>
      </c>
      <c r="I33" s="3273">
        <f>$F33*M33</f>
        <v>654154201.54668927</v>
      </c>
      <c r="J33" s="3273">
        <f>$F33*N33</f>
        <v>451519315.52237946</v>
      </c>
      <c r="K33" s="3274">
        <f>SUM(L33:N33)</f>
        <v>0.4202317287870444</v>
      </c>
      <c r="L33" s="3274">
        <f>IF(ISERROR(VLOOKUP($O33,'B8-EPIS'!$K$585:$P$606,3,FALSE)),0,VLOOKUP($O33,'B8-EPIS'!$K$585:$P$606,3,FALSE))</f>
        <v>0.29806581293073464</v>
      </c>
      <c r="M33" s="3274">
        <f>IF(ISERROR(VLOOKUP($O33,'B8-EPIS'!$K$585:$P$606,4,FALSE)),0,VLOOKUP($O33,'B8-EPIS'!$K$585:$P$606,4,FALSE))</f>
        <v>7.2277526692549152E-2</v>
      </c>
      <c r="N33" s="3274">
        <f>IF(ISERROR(VLOOKUP($O33,'B8-EPIS'!$K$585:$P$606,5,FALSE)),0,VLOOKUP($O33,'B8-EPIS'!$K$585:$P$606,5,FALSE))</f>
        <v>4.988838916376058E-2</v>
      </c>
      <c r="O33" s="3281" t="s">
        <v>5628</v>
      </c>
    </row>
    <row r="34" spans="1:15" ht="15" customHeight="1" x14ac:dyDescent="0.25">
      <c r="A34" s="3251">
        <v>33</v>
      </c>
      <c r="B34" s="1350" t="s">
        <v>122</v>
      </c>
      <c r="C34" s="47"/>
      <c r="D34" s="486"/>
      <c r="E34" s="487"/>
      <c r="F34" s="3279">
        <f>SUM(F33)</f>
        <v>9050589187</v>
      </c>
      <c r="G34" s="3279">
        <f>SUM(G33)</f>
        <v>3803344740.5943408</v>
      </c>
      <c r="H34" s="3279">
        <f>SUM(H33)</f>
        <v>2697671223.5252719</v>
      </c>
      <c r="I34" s="3279">
        <f>SUM(I33)</f>
        <v>654154201.54668927</v>
      </c>
      <c r="J34" s="3279">
        <f>SUM(J33)</f>
        <v>451519315.52237946</v>
      </c>
      <c r="K34" s="3280">
        <f>G34/$F34</f>
        <v>0.4202317287870444</v>
      </c>
      <c r="L34" s="3280">
        <f>H34/$F34</f>
        <v>0.29806581293073464</v>
      </c>
      <c r="M34" s="3280">
        <f>I34/$F34</f>
        <v>7.2277526692549152E-2</v>
      </c>
      <c r="N34" s="3280">
        <f>J34/$F34</f>
        <v>4.988838916376058E-2</v>
      </c>
      <c r="O34" s="3129"/>
    </row>
    <row r="35" spans="1:15" ht="8.1" customHeight="1" x14ac:dyDescent="0.25">
      <c r="A35" s="3251">
        <v>34</v>
      </c>
      <c r="B35" s="1351"/>
      <c r="C35" s="47"/>
      <c r="D35" s="50"/>
      <c r="E35" s="50"/>
      <c r="F35" s="3273"/>
      <c r="G35" s="3274"/>
      <c r="H35" s="3273"/>
      <c r="K35" s="3274"/>
      <c r="L35" s="3274"/>
      <c r="M35" s="3274"/>
      <c r="N35" s="3274"/>
    </row>
    <row r="36" spans="1:15" ht="15" customHeight="1" x14ac:dyDescent="0.25">
      <c r="A36" s="3251">
        <v>35</v>
      </c>
      <c r="B36" s="1341" t="s">
        <v>124</v>
      </c>
      <c r="C36" s="33"/>
      <c r="D36" s="50"/>
      <c r="E36" s="48"/>
      <c r="F36" s="3273"/>
      <c r="G36" s="3274"/>
      <c r="H36" s="3273"/>
      <c r="K36" s="3274"/>
      <c r="L36" s="3274"/>
      <c r="M36" s="3274"/>
      <c r="N36" s="3274"/>
    </row>
    <row r="37" spans="1:15" ht="15" customHeight="1" x14ac:dyDescent="0.25">
      <c r="A37" s="3251">
        <v>36</v>
      </c>
      <c r="B37" s="1348"/>
      <c r="C37" s="46" t="s">
        <v>125</v>
      </c>
      <c r="D37" s="248" t="s">
        <v>70</v>
      </c>
      <c r="E37" s="181">
        <v>389</v>
      </c>
      <c r="F37" s="3273">
        <f>SUMIF('Pg 204 - Plant in Service (Form'!B:B,"*(389*",'Pg 204 - Plant in Service (Form'!H:H)</f>
        <v>25071997</v>
      </c>
      <c r="G37" s="3273">
        <f>$F37*K37</f>
        <v>10980784.643303178</v>
      </c>
      <c r="H37" s="3273">
        <f t="shared" ref="H37:J48" si="3">$F37*L37</f>
        <v>8590234.6829186343</v>
      </c>
      <c r="I37" s="3273">
        <f t="shared" si="3"/>
        <v>1742429.3909180798</v>
      </c>
      <c r="J37" s="3273">
        <f t="shared" si="3"/>
        <v>648120.56946646411</v>
      </c>
      <c r="K37" s="3274">
        <f>SUM(L37:N37)</f>
        <v>0.4379700844453347</v>
      </c>
      <c r="L37" s="3274">
        <f>IF(ISERROR(VLOOKUP($O37,'B8-EPIS'!$K$585:$P$606,3,FALSE)),0,VLOOKUP($O37,'B8-EPIS'!$K$585:$P$606,3,FALSE))</f>
        <v>0.34262267512710032</v>
      </c>
      <c r="M37" s="3274">
        <f>IF(ISERROR(VLOOKUP($O37,'B8-EPIS'!$K$585:$P$606,4,FALSE)),0,VLOOKUP($O37,'B8-EPIS'!$K$585:$P$606,4,FALSE))</f>
        <v>6.9497032522701715E-2</v>
      </c>
      <c r="N37" s="3274">
        <f>IF(ISERROR(VLOOKUP($O37,'B8-EPIS'!$K$585:$P$606,5,FALSE)),0,VLOOKUP($O37,'B8-EPIS'!$K$585:$P$606,5,FALSE))</f>
        <v>2.5850376795532645E-2</v>
      </c>
      <c r="O37" s="3281" t="s">
        <v>5630</v>
      </c>
    </row>
    <row r="38" spans="1:15" ht="15" customHeight="1" x14ac:dyDescent="0.25">
      <c r="A38" s="3251">
        <v>37</v>
      </c>
      <c r="B38" s="1348"/>
      <c r="C38" s="46" t="s">
        <v>126</v>
      </c>
      <c r="D38" s="248" t="s">
        <v>70</v>
      </c>
      <c r="E38" s="181">
        <v>390</v>
      </c>
      <c r="F38" s="3273">
        <f>SUMIF('Pg 204 - Plant in Service (Form'!B:B,"*(390*",'Pg 204 - Plant in Service (Form'!H:H)</f>
        <v>301842886</v>
      </c>
      <c r="G38" s="3273">
        <f t="shared" ref="G38:G48" si="4">$F38*K38</f>
        <v>134526603.609525</v>
      </c>
      <c r="H38" s="3273">
        <f t="shared" si="3"/>
        <v>86741200.100756764</v>
      </c>
      <c r="I38" s="3273">
        <f t="shared" si="3"/>
        <v>25816189.255454689</v>
      </c>
      <c r="J38" s="3273">
        <f t="shared" si="3"/>
        <v>21969214.253313571</v>
      </c>
      <c r="K38" s="3274">
        <f t="shared" ref="K38:K48" si="5">SUM(L38:N38)</f>
        <v>0.44568419482155697</v>
      </c>
      <c r="L38" s="3274">
        <f>IF(ISERROR(VLOOKUP($E38,'B8-EPIS'!$K$585:$P$606,3,FALSE)),0,VLOOKUP($E38,'B8-EPIS'!$K$585:$P$606,3,FALSE))</f>
        <v>0.28737202075637708</v>
      </c>
      <c r="M38" s="3274">
        <f>IF(ISERROR(VLOOKUP($E38,'B8-EPIS'!$K$585:$P$606,4,FALSE)),0,VLOOKUP($E38,'B8-EPIS'!$K$585:$P$606,4,FALSE))</f>
        <v>8.5528566194051997E-2</v>
      </c>
      <c r="N38" s="3274">
        <f>IF(ISERROR(VLOOKUP($E38,'B8-EPIS'!$K$585:$P$606,5,FALSE)),0,VLOOKUP($E38,'B8-EPIS'!$K$585:$P$606,5,FALSE))</f>
        <v>7.2783607871127934E-2</v>
      </c>
    </row>
    <row r="39" spans="1:15" ht="15" customHeight="1" x14ac:dyDescent="0.25">
      <c r="A39" s="3251">
        <v>38</v>
      </c>
      <c r="B39" s="1348"/>
      <c r="C39" s="46" t="s">
        <v>127</v>
      </c>
      <c r="D39" s="248" t="s">
        <v>70</v>
      </c>
      <c r="E39" s="181">
        <v>391</v>
      </c>
      <c r="F39" s="3273">
        <f>SUMIF('Pg 204 - Plant in Service (Form'!B:B,"*(391*",'Pg 204 - Plant in Service (Form'!H:H)</f>
        <v>94363230</v>
      </c>
      <c r="G39" s="3273">
        <f t="shared" si="4"/>
        <v>38698718.859569274</v>
      </c>
      <c r="H39" s="3273">
        <f t="shared" si="3"/>
        <v>26322731.852648888</v>
      </c>
      <c r="I39" s="3273">
        <f t="shared" si="3"/>
        <v>7068004.5310630072</v>
      </c>
      <c r="J39" s="3273">
        <f t="shared" si="3"/>
        <v>5307982.4758573845</v>
      </c>
      <c r="K39" s="3274">
        <f t="shared" si="5"/>
        <v>0.41010379635764138</v>
      </c>
      <c r="L39" s="3274">
        <f>IF(ISERROR(VLOOKUP($E39,'B8-EPIS'!$K$585:$P$606,3,FALSE)),0,VLOOKUP($E39,'B8-EPIS'!$K$585:$P$606,3,FALSE))</f>
        <v>0.27895115345933885</v>
      </c>
      <c r="M39" s="3274">
        <f>IF(ISERROR(VLOOKUP($E39,'B8-EPIS'!$K$585:$P$606,4,FALSE)),0,VLOOKUP($E39,'B8-EPIS'!$K$585:$P$606,4,FALSE))</f>
        <v>7.4902104676397865E-2</v>
      </c>
      <c r="N39" s="3274">
        <f>IF(ISERROR(VLOOKUP($E39,'B8-EPIS'!$K$585:$P$606,5,FALSE)),0,VLOOKUP($E39,'B8-EPIS'!$K$585:$P$606,5,FALSE))</f>
        <v>5.6250538221904706E-2</v>
      </c>
    </row>
    <row r="40" spans="1:15" ht="15" customHeight="1" x14ac:dyDescent="0.25">
      <c r="A40" s="3251">
        <v>39</v>
      </c>
      <c r="B40" s="1348"/>
      <c r="C40" s="46" t="s">
        <v>128</v>
      </c>
      <c r="D40" s="248" t="s">
        <v>70</v>
      </c>
      <c r="E40" s="181">
        <v>392</v>
      </c>
      <c r="F40" s="3273">
        <f>SUMIF('Pg 204 - Plant in Service (Form'!B:B,"*(392*",'Pg 204 - Plant in Service (Form'!H:H)</f>
        <v>179857743</v>
      </c>
      <c r="G40" s="3273">
        <f t="shared" si="4"/>
        <v>70926422.960104048</v>
      </c>
      <c r="H40" s="3273">
        <f t="shared" si="3"/>
        <v>47266718.906141326</v>
      </c>
      <c r="I40" s="3273">
        <f t="shared" si="3"/>
        <v>11225975.338704534</v>
      </c>
      <c r="J40" s="3273">
        <f t="shared" si="3"/>
        <v>12433728.71525819</v>
      </c>
      <c r="K40" s="3274">
        <f t="shared" si="5"/>
        <v>0.39434734238883479</v>
      </c>
      <c r="L40" s="3274">
        <f>IF(ISERROR(VLOOKUP($E40,'B8-EPIS'!$K$585:$P$606,3,FALSE)),0,VLOOKUP($E40,'B8-EPIS'!$K$585:$P$606,3,FALSE))</f>
        <v>0.26280057848908583</v>
      </c>
      <c r="M40" s="3274">
        <f>IF(ISERROR(VLOOKUP($E40,'B8-EPIS'!$K$585:$P$606,4,FALSE)),0,VLOOKUP($E40,'B8-EPIS'!$K$585:$P$606,4,FALSE))</f>
        <v>6.2415857952273612E-2</v>
      </c>
      <c r="N40" s="3274">
        <f>IF(ISERROR(VLOOKUP($E40,'B8-EPIS'!$K$585:$P$606,5,FALSE)),0,VLOOKUP($E40,'B8-EPIS'!$K$585:$P$606,5,FALSE))</f>
        <v>6.9130905947475341E-2</v>
      </c>
    </row>
    <row r="41" spans="1:15" ht="15" customHeight="1" x14ac:dyDescent="0.25">
      <c r="A41" s="3251">
        <v>40</v>
      </c>
      <c r="B41" s="1348"/>
      <c r="C41" s="46" t="s">
        <v>129</v>
      </c>
      <c r="D41" s="248" t="s">
        <v>70</v>
      </c>
      <c r="E41" s="181">
        <v>393</v>
      </c>
      <c r="F41" s="3273">
        <f>SUMIF('Pg 204 - Plant in Service (Form'!B:B,"*(393*",'Pg 204 - Plant in Service (Form'!H:H)</f>
        <v>20504513</v>
      </c>
      <c r="G41" s="3273">
        <f t="shared" si="4"/>
        <v>8843323.1563989222</v>
      </c>
      <c r="H41" s="3273">
        <f t="shared" si="3"/>
        <v>5920482.052458101</v>
      </c>
      <c r="I41" s="3273">
        <f t="shared" si="3"/>
        <v>1470987.7179275388</v>
      </c>
      <c r="J41" s="3273">
        <f t="shared" si="3"/>
        <v>1451853.3860132827</v>
      </c>
      <c r="K41" s="3274">
        <f t="shared" si="5"/>
        <v>0.43128667120252612</v>
      </c>
      <c r="L41" s="3274">
        <f>IF(ISERROR(VLOOKUP($E41,'B8-EPIS'!$K$585:$P$606,3,FALSE)),0,VLOOKUP($E41,'B8-EPIS'!$K$585:$P$606,3,FALSE))</f>
        <v>0.28874043740800381</v>
      </c>
      <c r="M41" s="3274">
        <f>IF(ISERROR(VLOOKUP($E41,'B8-EPIS'!$K$585:$P$606,4,FALSE)),0,VLOOKUP($E41,'B8-EPIS'!$K$585:$P$606,4,FALSE))</f>
        <v>7.1739705201851842E-2</v>
      </c>
      <c r="N41" s="3274">
        <f>IF(ISERROR(VLOOKUP($E41,'B8-EPIS'!$K$585:$P$606,5,FALSE)),0,VLOOKUP($E41,'B8-EPIS'!$K$585:$P$606,5,FALSE))</f>
        <v>7.0806528592670434E-2</v>
      </c>
    </row>
    <row r="42" spans="1:15" ht="15" customHeight="1" x14ac:dyDescent="0.25">
      <c r="A42" s="3251">
        <v>41</v>
      </c>
      <c r="B42" s="1348"/>
      <c r="C42" s="46" t="s">
        <v>130</v>
      </c>
      <c r="D42" s="248" t="s">
        <v>70</v>
      </c>
      <c r="E42" s="181">
        <v>394</v>
      </c>
      <c r="F42" s="3273">
        <f>SUMIF('Pg 204 - Plant in Service (Form'!B:B,"*(394*",'Pg 204 - Plant in Service (Form'!H:H)</f>
        <v>70078363</v>
      </c>
      <c r="G42" s="3273">
        <f t="shared" si="4"/>
        <v>28801735.621749327</v>
      </c>
      <c r="H42" s="3273">
        <f t="shared" si="3"/>
        <v>19327171.845469795</v>
      </c>
      <c r="I42" s="3273">
        <f t="shared" si="3"/>
        <v>5395320.7355268495</v>
      </c>
      <c r="J42" s="3273">
        <f t="shared" si="3"/>
        <v>4079243.040752688</v>
      </c>
      <c r="K42" s="3274">
        <f t="shared" si="5"/>
        <v>0.41099327080099357</v>
      </c>
      <c r="L42" s="3274">
        <f>IF(ISERROR(VLOOKUP($E42,'B8-EPIS'!$K$585:$P$606,3,FALSE)),0,VLOOKUP($E42,'B8-EPIS'!$K$585:$P$606,3,FALSE))</f>
        <v>0.27579371175479361</v>
      </c>
      <c r="M42" s="3274">
        <f>IF(ISERROR(VLOOKUP($E42,'B8-EPIS'!$K$585:$P$606,4,FALSE)),0,VLOOKUP($E42,'B8-EPIS'!$K$585:$P$606,4,FALSE))</f>
        <v>7.6989822600834007E-2</v>
      </c>
      <c r="N42" s="3274">
        <f>IF(ISERROR(VLOOKUP($E42,'B8-EPIS'!$K$585:$P$606,5,FALSE)),0,VLOOKUP($E42,'B8-EPIS'!$K$585:$P$606,5,FALSE))</f>
        <v>5.8209736445365999E-2</v>
      </c>
    </row>
    <row r="43" spans="1:15" ht="15" customHeight="1" x14ac:dyDescent="0.25">
      <c r="A43" s="3251">
        <v>42</v>
      </c>
      <c r="B43" s="1348"/>
      <c r="C43" s="46" t="s">
        <v>131</v>
      </c>
      <c r="D43" s="248" t="s">
        <v>70</v>
      </c>
      <c r="E43" s="181">
        <v>395</v>
      </c>
      <c r="F43" s="3273">
        <f>SUMIF('Pg 204 - Plant in Service (Form'!B:B,"*(395*",'Pg 204 - Plant in Service (Form'!H:H)</f>
        <v>48034528</v>
      </c>
      <c r="G43" s="3273">
        <f t="shared" si="4"/>
        <v>22065131.008344457</v>
      </c>
      <c r="H43" s="3273">
        <f t="shared" si="3"/>
        <v>16670627.710184203</v>
      </c>
      <c r="I43" s="3273">
        <f t="shared" si="3"/>
        <v>2862240.1518794228</v>
      </c>
      <c r="J43" s="3273">
        <f t="shared" si="3"/>
        <v>2532263.1462808298</v>
      </c>
      <c r="K43" s="3274">
        <f t="shared" si="5"/>
        <v>0.45935979652687453</v>
      </c>
      <c r="L43" s="3274">
        <f>IF(ISERROR(VLOOKUP($E43,'B8-EPIS'!$K$585:$P$606,3,FALSE)),0,VLOOKUP($E43,'B8-EPIS'!$K$585:$P$606,3,FALSE))</f>
        <v>0.34705509566335707</v>
      </c>
      <c r="M43" s="3274">
        <f>IF(ISERROR(VLOOKUP($E43,'B8-EPIS'!$K$585:$P$606,4,FALSE)),0,VLOOKUP($E43,'B8-EPIS'!$K$585:$P$606,4,FALSE))</f>
        <v>5.9587140148008179E-2</v>
      </c>
      <c r="N43" s="3274">
        <f>IF(ISERROR(VLOOKUP($E43,'B8-EPIS'!$K$585:$P$606,5,FALSE)),0,VLOOKUP($E43,'B8-EPIS'!$K$585:$P$606,5,FALSE))</f>
        <v>5.2717560715509267E-2</v>
      </c>
    </row>
    <row r="44" spans="1:15" ht="15" customHeight="1" x14ac:dyDescent="0.25">
      <c r="A44" s="3251">
        <v>43</v>
      </c>
      <c r="B44" s="1348"/>
      <c r="C44" s="46" t="s">
        <v>132</v>
      </c>
      <c r="D44" s="248" t="s">
        <v>70</v>
      </c>
      <c r="E44" s="181">
        <v>396</v>
      </c>
      <c r="F44" s="3273">
        <f>SUMIF('Pg 204 - Plant in Service (Form'!B:B,"*(396*",'Pg 204 - Plant in Service (Form'!H:H)</f>
        <v>251171442</v>
      </c>
      <c r="G44" s="3273">
        <f t="shared" si="4"/>
        <v>104224382.24860385</v>
      </c>
      <c r="H44" s="3273">
        <f t="shared" si="3"/>
        <v>69694160.961733311</v>
      </c>
      <c r="I44" s="3273">
        <f t="shared" si="3"/>
        <v>15137782.67118541</v>
      </c>
      <c r="J44" s="3273">
        <f t="shared" si="3"/>
        <v>19392438.615685131</v>
      </c>
      <c r="K44" s="3274">
        <f t="shared" si="5"/>
        <v>0.41495315478024708</v>
      </c>
      <c r="L44" s="3274">
        <f>IF(ISERROR(VLOOKUP($E44,'B8-EPIS'!$K$585:$P$606,3,FALSE)),0,VLOOKUP($E44,'B8-EPIS'!$K$585:$P$606,3,FALSE))</f>
        <v>0.27747645356008788</v>
      </c>
      <c r="M44" s="3274">
        <f>IF(ISERROR(VLOOKUP($E44,'B8-EPIS'!$K$585:$P$606,4,FALSE)),0,VLOOKUP($E44,'B8-EPIS'!$K$585:$P$606,4,FALSE))</f>
        <v>6.0268725419768902E-2</v>
      </c>
      <c r="N44" s="3274">
        <f>IF(ISERROR(VLOOKUP($E44,'B8-EPIS'!$K$585:$P$606,5,FALSE)),0,VLOOKUP($E44,'B8-EPIS'!$K$585:$P$606,5,FALSE))</f>
        <v>7.720797580039028E-2</v>
      </c>
    </row>
    <row r="45" spans="1:15" ht="15" customHeight="1" x14ac:dyDescent="0.25">
      <c r="A45" s="3251">
        <v>44</v>
      </c>
      <c r="B45" s="1348"/>
      <c r="C45" s="46" t="s">
        <v>133</v>
      </c>
      <c r="D45" s="248" t="s">
        <v>70</v>
      </c>
      <c r="E45" s="181">
        <v>397</v>
      </c>
      <c r="F45" s="3273">
        <f>SUMIF('Pg 204 - Plant in Service (Form'!B:B,"*(397*",'Pg 204 - Plant in Service (Form'!H:H)</f>
        <v>536914735</v>
      </c>
      <c r="G45" s="3273">
        <f t="shared" si="4"/>
        <v>225166384.95095223</v>
      </c>
      <c r="H45" s="3273">
        <f t="shared" si="3"/>
        <v>155914507.49471226</v>
      </c>
      <c r="I45" s="3273">
        <f t="shared" si="3"/>
        <v>38375808.524920203</v>
      </c>
      <c r="J45" s="3273">
        <f t="shared" si="3"/>
        <v>30876068.931319792</v>
      </c>
      <c r="K45" s="3274">
        <f t="shared" si="5"/>
        <v>0.41937084284146575</v>
      </c>
      <c r="L45" s="3274">
        <f>IF(ISERROR(VLOOKUP($E45,'B8-EPIS'!$K$585:$P$606,3,FALSE)),0,VLOOKUP($E45,'B8-EPIS'!$K$585:$P$606,3,FALSE))</f>
        <v>0.29038969752750826</v>
      </c>
      <c r="M45" s="3274">
        <f>IF(ISERROR(VLOOKUP($E45,'B8-EPIS'!$K$585:$P$606,4,FALSE)),0,VLOOKUP($E45,'B8-EPIS'!$K$585:$P$606,4,FALSE))</f>
        <v>7.1474679354665505E-2</v>
      </c>
      <c r="N45" s="3274">
        <f>IF(ISERROR(VLOOKUP($E45,'B8-EPIS'!$K$585:$P$606,5,FALSE)),0,VLOOKUP($E45,'B8-EPIS'!$K$585:$P$606,5,FALSE))</f>
        <v>5.7506465959292014E-2</v>
      </c>
    </row>
    <row r="46" spans="1:15" ht="15" customHeight="1" x14ac:dyDescent="0.25">
      <c r="A46" s="3251">
        <v>45</v>
      </c>
      <c r="B46" s="1348"/>
      <c r="C46" s="46" t="s">
        <v>134</v>
      </c>
      <c r="D46" s="248" t="s">
        <v>70</v>
      </c>
      <c r="E46" s="181">
        <v>398</v>
      </c>
      <c r="F46" s="3273">
        <f>SUMIF('Pg 204 - Plant in Service (Form'!B:B,"*(398*",'Pg 204 - Plant in Service (Form'!H:H)</f>
        <v>9283172</v>
      </c>
      <c r="G46" s="3273">
        <f t="shared" si="4"/>
        <v>3889871.2322740909</v>
      </c>
      <c r="H46" s="3273">
        <f t="shared" si="3"/>
        <v>2902958.0596254542</v>
      </c>
      <c r="I46" s="3273">
        <f t="shared" si="3"/>
        <v>617567.60066355555</v>
      </c>
      <c r="J46" s="3273">
        <f t="shared" si="3"/>
        <v>369345.57198508125</v>
      </c>
      <c r="K46" s="3274">
        <f t="shared" si="5"/>
        <v>0.41902393193555942</v>
      </c>
      <c r="L46" s="3274">
        <f>IF(ISERROR(VLOOKUP($E46,'B8-EPIS'!$K$585:$P$606,3,FALSE)),0,VLOOKUP($E46,'B8-EPIS'!$K$585:$P$606,3,FALSE))</f>
        <v>0.3127118682736304</v>
      </c>
      <c r="M46" s="3274">
        <f>IF(ISERROR(VLOOKUP($E46,'B8-EPIS'!$K$585:$P$606,4,FALSE)),0,VLOOKUP($E46,'B8-EPIS'!$K$585:$P$606,4,FALSE))</f>
        <v>6.6525493728173471E-2</v>
      </c>
      <c r="N46" s="3274">
        <f>IF(ISERROR(VLOOKUP($E46,'B8-EPIS'!$K$585:$P$606,5,FALSE)),0,VLOOKUP($E46,'B8-EPIS'!$K$585:$P$606,5,FALSE))</f>
        <v>3.9786569933755539E-2</v>
      </c>
    </row>
    <row r="47" spans="1:15" ht="15" customHeight="1" x14ac:dyDescent="0.25">
      <c r="A47" s="3251">
        <v>46</v>
      </c>
      <c r="B47" s="1348"/>
      <c r="C47" s="46" t="s">
        <v>256</v>
      </c>
      <c r="D47" s="248" t="s">
        <v>70</v>
      </c>
      <c r="E47" s="181">
        <v>399</v>
      </c>
      <c r="F47" s="3273">
        <f>SUMIF('Pg 204 - Plant in Service (Form'!B:B,"*(399)*",'Pg 204 - Plant in Service (Form'!H:H)</f>
        <v>1822901</v>
      </c>
      <c r="G47" s="3273">
        <f t="shared" si="4"/>
        <v>708735.65050650411</v>
      </c>
      <c r="H47" s="3273">
        <f t="shared" si="3"/>
        <v>470986.62682254362</v>
      </c>
      <c r="I47" s="3273">
        <f t="shared" si="3"/>
        <v>130175.36934897432</v>
      </c>
      <c r="J47" s="3273">
        <f t="shared" si="3"/>
        <v>107573.65433498619</v>
      </c>
      <c r="K47" s="3274">
        <f t="shared" si="5"/>
        <v>0.38879546969720469</v>
      </c>
      <c r="L47" s="3274">
        <f>IF(ISERROR(VLOOKUP($E47,'B8-EPIS'!$K$585:$P$606,3,FALSE)),0,VLOOKUP($E47,'B8-EPIS'!$K$585:$P$606,3,FALSE))</f>
        <v>0.25837202723710373</v>
      </c>
      <c r="M47" s="3274">
        <f>IF(ISERROR(VLOOKUP($E47,'B8-EPIS'!$K$585:$P$606,4,FALSE)),0,VLOOKUP($E47,'B8-EPIS'!$K$585:$P$606,4,FALSE))</f>
        <v>7.1411102055994435E-2</v>
      </c>
      <c r="N47" s="3274">
        <f>IF(ISERROR(VLOOKUP($E47,'B8-EPIS'!$K$585:$P$606,5,FALSE)),0,VLOOKUP($E47,'B8-EPIS'!$K$585:$P$606,5,FALSE))</f>
        <v>5.9012340404106522E-2</v>
      </c>
    </row>
    <row r="48" spans="1:15" ht="15" customHeight="1" x14ac:dyDescent="0.25">
      <c r="A48" s="3251">
        <v>47</v>
      </c>
      <c r="B48" s="1348"/>
      <c r="C48" s="46" t="s">
        <v>442</v>
      </c>
      <c r="D48" s="248" t="s">
        <v>443</v>
      </c>
      <c r="E48" s="181">
        <v>399.1</v>
      </c>
      <c r="F48" s="3273">
        <f>SUMIF('Pg 204 - Plant in Service (Form'!B:B,"*(399.1*",'Pg 204 - Plant in Service (Form'!H:H)</f>
        <v>37690</v>
      </c>
      <c r="G48" s="3273">
        <f t="shared" si="4"/>
        <v>15896.576261311178</v>
      </c>
      <c r="H48" s="3273">
        <f t="shared" si="3"/>
        <v>10771.11577225932</v>
      </c>
      <c r="I48" s="3273">
        <f t="shared" si="3"/>
        <v>2690.6124461906365</v>
      </c>
      <c r="J48" s="3273">
        <f t="shared" si="3"/>
        <v>2434.8480428612215</v>
      </c>
      <c r="K48" s="3274">
        <f t="shared" si="5"/>
        <v>0.42177172356888243</v>
      </c>
      <c r="L48" s="3274">
        <f>IF(ISERROR(VLOOKUP($O48,'B8-EPIS'!$K$585:$P$606,3,FALSE)),0,VLOOKUP($O48,'B8-EPIS'!$K$585:$P$606,3,FALSE))</f>
        <v>0.28578179284317645</v>
      </c>
      <c r="M48" s="3274">
        <f>IF(ISERROR(VLOOKUP($O48,'B8-EPIS'!$K$585:$P$606,4,FALSE)),0,VLOOKUP($O48,'B8-EPIS'!$K$585:$P$606,4,FALSE))</f>
        <v>7.1387966202988498E-2</v>
      </c>
      <c r="N48" s="3274">
        <f>IF(ISERROR(VLOOKUP($O48,'B8-EPIS'!$K$585:$P$606,5,FALSE)),0,VLOOKUP($O48,'B8-EPIS'!$K$585:$P$606,5,FALSE))</f>
        <v>6.4601964522717478E-2</v>
      </c>
      <c r="O48" s="3281" t="s">
        <v>5579</v>
      </c>
    </row>
    <row r="49" spans="1:15" ht="8.1" customHeight="1" x14ac:dyDescent="0.25">
      <c r="A49" s="3251">
        <v>48</v>
      </c>
      <c r="B49" s="1353"/>
      <c r="C49" s="31"/>
      <c r="D49" s="8"/>
      <c r="E49" s="34"/>
      <c r="F49" s="3273"/>
      <c r="G49" s="3282"/>
      <c r="H49" s="3273"/>
      <c r="K49" s="3274"/>
      <c r="L49" s="3283"/>
      <c r="M49" s="3282"/>
      <c r="N49" s="3282"/>
    </row>
    <row r="50" spans="1:15" ht="15" customHeight="1" thickBot="1" x14ac:dyDescent="0.3">
      <c r="A50" s="3251">
        <v>49</v>
      </c>
      <c r="B50" s="1355" t="s">
        <v>135</v>
      </c>
      <c r="C50" s="173"/>
      <c r="D50" s="3284"/>
      <c r="E50" s="3285"/>
      <c r="F50" s="3279">
        <f>SUM(F37:F48)</f>
        <v>1538983200</v>
      </c>
      <c r="G50" s="3279">
        <f>SUM(G37:G48)</f>
        <v>648847990.51759219</v>
      </c>
      <c r="H50" s="3279">
        <f>SUM(H37:H48)</f>
        <v>439832551.40924358</v>
      </c>
      <c r="I50" s="3279">
        <f>SUM(I37:I48)</f>
        <v>109845171.90003847</v>
      </c>
      <c r="J50" s="3279">
        <f>SUM(J37:J48)</f>
        <v>99170267.208310261</v>
      </c>
      <c r="K50" s="3280">
        <f>G50/$F50</f>
        <v>0.42160823491613958</v>
      </c>
      <c r="L50" s="3280">
        <f>H50/$F50</f>
        <v>0.28579425130127711</v>
      </c>
      <c r="M50" s="3280">
        <f>I50/$F50</f>
        <v>7.1375159845824487E-2</v>
      </c>
      <c r="N50" s="3280">
        <f>J50/$F50</f>
        <v>6.4438823769038062E-2</v>
      </c>
      <c r="O50" s="3129"/>
    </row>
    <row r="51" spans="1:15" ht="8.1" customHeight="1" thickTop="1" x14ac:dyDescent="0.25">
      <c r="A51" s="3251">
        <v>50</v>
      </c>
      <c r="B51" s="1346"/>
      <c r="C51" s="32"/>
      <c r="D51" s="8"/>
      <c r="E51" s="8"/>
      <c r="F51" s="3273"/>
      <c r="G51" s="3273"/>
      <c r="H51" s="3273"/>
      <c r="I51" s="3273"/>
      <c r="J51" s="3273"/>
      <c r="K51" s="3274"/>
      <c r="L51" s="3283"/>
      <c r="M51" s="3282"/>
      <c r="N51" s="3282"/>
      <c r="O51" s="3129"/>
    </row>
    <row r="52" spans="1:15" ht="15" customHeight="1" x14ac:dyDescent="0.25">
      <c r="A52" s="3251">
        <v>51</v>
      </c>
      <c r="B52" s="1350" t="s">
        <v>136</v>
      </c>
      <c r="C52" s="32"/>
      <c r="D52" s="494"/>
      <c r="E52" s="487"/>
      <c r="F52" s="3279">
        <f>F19+F26+F30+F34+F50</f>
        <v>33849235245</v>
      </c>
      <c r="G52" s="3279">
        <f>G19+G26+G30+G34+G50</f>
        <v>13793178680.27779</v>
      </c>
      <c r="H52" s="3279">
        <f>H19+H26+H30+H34+H50</f>
        <v>9450040906.3134766</v>
      </c>
      <c r="I52" s="3279">
        <f>I19+I26+I30+I34+I50</f>
        <v>2532976199.9302211</v>
      </c>
      <c r="J52" s="3279">
        <f>J19+J26+J30+J34+J50</f>
        <v>1810161574.0340917</v>
      </c>
      <c r="K52" s="3280">
        <f>G52/$F52</f>
        <v>0.40748863542833608</v>
      </c>
      <c r="L52" s="3280">
        <f>H52/$F52</f>
        <v>0.27918033710109824</v>
      </c>
      <c r="M52" s="3280">
        <f>I52/$F52</f>
        <v>7.4831120455058922E-2</v>
      </c>
      <c r="N52" s="3280">
        <f>J52/$F52</f>
        <v>5.3477177872178885E-2</v>
      </c>
      <c r="O52" s="3129"/>
    </row>
    <row r="53" spans="1:15" ht="15" customHeight="1" x14ac:dyDescent="0.25">
      <c r="A53" s="3251">
        <v>52</v>
      </c>
      <c r="B53" s="1356" t="s">
        <v>440</v>
      </c>
      <c r="C53" s="32"/>
      <c r="D53" s="8"/>
      <c r="E53" s="8"/>
      <c r="F53" s="3273"/>
      <c r="G53" s="3273"/>
      <c r="H53" s="3273"/>
      <c r="I53" s="3273"/>
      <c r="J53" s="3273"/>
      <c r="K53" s="3274"/>
      <c r="L53" s="3283"/>
      <c r="M53" s="3283"/>
      <c r="N53" s="3283"/>
    </row>
    <row r="54" spans="1:15" ht="15" customHeight="1" x14ac:dyDescent="0.25">
      <c r="A54" s="3251">
        <v>53</v>
      </c>
      <c r="B54" s="1357"/>
      <c r="C54" s="59"/>
      <c r="D54" s="8"/>
      <c r="E54" s="8"/>
      <c r="F54" s="3273"/>
      <c r="G54" s="3273"/>
      <c r="H54" s="3286"/>
      <c r="I54" s="3273"/>
      <c r="J54" s="3273"/>
      <c r="K54" s="3274"/>
      <c r="L54" s="3283"/>
      <c r="M54" s="3283"/>
      <c r="N54" s="3283"/>
    </row>
    <row r="55" spans="1:15" ht="15" customHeight="1" x14ac:dyDescent="0.25">
      <c r="A55" s="3251">
        <v>54</v>
      </c>
      <c r="B55" s="1341" t="s">
        <v>474</v>
      </c>
      <c r="C55" s="59"/>
      <c r="D55" s="8"/>
      <c r="E55" s="8"/>
      <c r="F55" s="3273"/>
      <c r="G55" s="3283"/>
      <c r="K55" s="3274"/>
      <c r="L55" s="3283"/>
      <c r="M55" s="3283"/>
      <c r="N55" s="3283"/>
    </row>
    <row r="56" spans="1:15" ht="15" customHeight="1" x14ac:dyDescent="0.25">
      <c r="A56" s="3251">
        <v>55</v>
      </c>
      <c r="B56" s="1341" t="s">
        <v>210</v>
      </c>
      <c r="C56" s="59"/>
      <c r="D56" s="8"/>
      <c r="E56" s="8"/>
      <c r="F56" s="3273"/>
      <c r="G56" s="3283"/>
      <c r="K56" s="3274"/>
      <c r="L56" s="3283"/>
      <c r="M56" s="3283"/>
      <c r="N56" s="3283"/>
    </row>
    <row r="57" spans="1:15" ht="15" customHeight="1" x14ac:dyDescent="0.25">
      <c r="A57" s="3251">
        <v>56</v>
      </c>
      <c r="B57" s="1348"/>
      <c r="C57" s="49" t="s">
        <v>88</v>
      </c>
      <c r="D57" s="181">
        <v>219</v>
      </c>
      <c r="E57" s="181">
        <v>108</v>
      </c>
      <c r="F57" s="3287">
        <f>'Pg 219 - Accumulated Provision '!D54</f>
        <v>4755324162</v>
      </c>
      <c r="G57" s="3273">
        <f t="shared" ref="G57:J73" si="6">$F57*K57</f>
        <v>1888183301.8432956</v>
      </c>
      <c r="H57" s="3273">
        <f t="shared" si="6"/>
        <v>1263401510.4029026</v>
      </c>
      <c r="I57" s="3273">
        <f t="shared" si="6"/>
        <v>367408072.40996188</v>
      </c>
      <c r="J57" s="3273">
        <f t="shared" si="6"/>
        <v>257373719.03043094</v>
      </c>
      <c r="K57" s="3274">
        <f>SUM(L57:N57)</f>
        <v>0.39706721088161551</v>
      </c>
      <c r="L57" s="3274">
        <f>VLOOKUP("Steam",'B17-Depr Res'!$K$445:$P$452,3,FALSE)</f>
        <v>0.26568146930945286</v>
      </c>
      <c r="M57" s="3274">
        <f>VLOOKUP("Steam",'B17-Depr Res'!$K$445:$P$452,4,FALSE)</f>
        <v>7.7262466215433978E-2</v>
      </c>
      <c r="N57" s="3274">
        <f>VLOOKUP("Steam",'B17-Depr Res'!$K$445:$P$452,5,FALSE)</f>
        <v>5.4123275356728652E-2</v>
      </c>
    </row>
    <row r="58" spans="1:15" ht="15" customHeight="1" x14ac:dyDescent="0.25">
      <c r="A58" s="3251">
        <v>57</v>
      </c>
      <c r="B58" s="1348"/>
      <c r="C58" s="49" t="s">
        <v>89</v>
      </c>
      <c r="D58" s="181">
        <v>219</v>
      </c>
      <c r="E58" s="181">
        <v>108</v>
      </c>
      <c r="F58" s="3288">
        <v>0</v>
      </c>
      <c r="G58" s="3273">
        <f t="shared" si="6"/>
        <v>0</v>
      </c>
      <c r="H58" s="3273">
        <f t="shared" si="6"/>
        <v>0</v>
      </c>
      <c r="I58" s="3273">
        <f t="shared" si="6"/>
        <v>0</v>
      </c>
      <c r="J58" s="3273">
        <f t="shared" si="6"/>
        <v>0</v>
      </c>
      <c r="K58" s="3274">
        <f t="shared" ref="K58:K72" si="7">SUM(L58:N58)</f>
        <v>0</v>
      </c>
      <c r="L58" s="3274">
        <v>0</v>
      </c>
      <c r="M58" s="3274">
        <v>0</v>
      </c>
      <c r="N58" s="3274">
        <v>0</v>
      </c>
    </row>
    <row r="59" spans="1:15" ht="15" customHeight="1" x14ac:dyDescent="0.25">
      <c r="A59" s="3251">
        <v>58</v>
      </c>
      <c r="B59" s="1348"/>
      <c r="C59" s="49" t="s">
        <v>326</v>
      </c>
      <c r="D59" s="181">
        <v>219</v>
      </c>
      <c r="E59" s="181">
        <v>108</v>
      </c>
      <c r="F59" s="3288">
        <f>SUMIF('Pg 219 - Accumulated Provision '!B:B,"*Hydraulic*",'Pg 219 - Accumulated Provision '!D:D)</f>
        <v>466792292</v>
      </c>
      <c r="G59" s="3273">
        <f t="shared" si="6"/>
        <v>187302448.38277987</v>
      </c>
      <c r="H59" s="3273">
        <f t="shared" si="6"/>
        <v>126472200.82860272</v>
      </c>
      <c r="I59" s="3273">
        <f t="shared" si="6"/>
        <v>35559811.432303242</v>
      </c>
      <c r="J59" s="3273">
        <f t="shared" si="6"/>
        <v>25270436.121873915</v>
      </c>
      <c r="K59" s="3274">
        <f t="shared" si="7"/>
        <v>0.40125437286093807</v>
      </c>
      <c r="L59" s="3274">
        <f>VLOOKUP("Hydro",'B17-Depr Res'!$K$445:$P$452,3,FALSE)</f>
        <v>0.27093892293449162</v>
      </c>
      <c r="M59" s="3274">
        <f>VLOOKUP("Hydro",'B17-Depr Res'!$K$445:$P$452,4,FALSE)</f>
        <v>7.6179088733331624E-2</v>
      </c>
      <c r="N59" s="3274">
        <f>VLOOKUP("Hydro",'B17-Depr Res'!$K$445:$P$452,5,FALSE)</f>
        <v>5.4136361193114803E-2</v>
      </c>
    </row>
    <row r="60" spans="1:15" ht="15" customHeight="1" x14ac:dyDescent="0.25">
      <c r="A60" s="3251">
        <v>59</v>
      </c>
      <c r="B60" s="1348"/>
      <c r="C60" s="49" t="s">
        <v>137</v>
      </c>
      <c r="D60" s="181">
        <v>219</v>
      </c>
      <c r="E60" s="181">
        <v>108</v>
      </c>
      <c r="F60" s="3288">
        <f>SUMIF('Pg 219 - Accumulated Provision '!B:B,"*Other Production*",'Pg 219 - Accumulated Provision '!D:D)</f>
        <v>763732700</v>
      </c>
      <c r="G60" s="3273">
        <f t="shared" si="6"/>
        <v>306422821.96464163</v>
      </c>
      <c r="H60" s="3273">
        <f t="shared" si="6"/>
        <v>206905995.98115754</v>
      </c>
      <c r="I60" s="3273">
        <f t="shared" si="6"/>
        <v>58174998.600199252</v>
      </c>
      <c r="J60" s="3273">
        <f t="shared" si="6"/>
        <v>41341827.38328483</v>
      </c>
      <c r="K60" s="3274">
        <f t="shared" si="7"/>
        <v>0.40121736566293631</v>
      </c>
      <c r="L60" s="3274">
        <f>VLOOKUP("Other",'B17-Depr Res'!$K$445:$P$452,3,FALSE)</f>
        <v>0.27091415096035243</v>
      </c>
      <c r="M60" s="3274">
        <f>VLOOKUP("Other",'B17-Depr Res'!$K$445:$P$452,4,FALSE)</f>
        <v>7.6171936333483237E-2</v>
      </c>
      <c r="N60" s="3274">
        <f>VLOOKUP("Other",'B17-Depr Res'!$K$445:$P$452,5,FALSE)</f>
        <v>5.4131278369100637E-2</v>
      </c>
    </row>
    <row r="61" spans="1:15" ht="15" customHeight="1" x14ac:dyDescent="0.25">
      <c r="A61" s="3251">
        <v>60</v>
      </c>
      <c r="B61" s="1348"/>
      <c r="C61" s="49" t="s">
        <v>143</v>
      </c>
      <c r="D61" s="181">
        <v>219</v>
      </c>
      <c r="E61" s="181">
        <v>108</v>
      </c>
      <c r="F61" s="3288">
        <f>SUMIF('Pg 219 - Accumulated Provision '!B:B,"*Transmission*",'Pg 219 - Accumulated Provision '!D:D)</f>
        <v>2258806541</v>
      </c>
      <c r="G61" s="3273">
        <f t="shared" si="6"/>
        <v>906356004.7673161</v>
      </c>
      <c r="H61" s="3273">
        <f t="shared" si="6"/>
        <v>611998613.18887436</v>
      </c>
      <c r="I61" s="3273">
        <f t="shared" si="6"/>
        <v>172073824.43925717</v>
      </c>
      <c r="J61" s="3273">
        <f t="shared" si="6"/>
        <v>122283567.1391845</v>
      </c>
      <c r="K61" s="3274">
        <f t="shared" si="7"/>
        <v>0.40125437407581693</v>
      </c>
      <c r="L61" s="3274">
        <f>VLOOKUP("Trans",'B17-Depr Res'!$K$445:$P$452,3,FALSE)</f>
        <v>0.2709389237548141</v>
      </c>
      <c r="M61" s="3274">
        <f>VLOOKUP("Trans",'B17-Depr Res'!$K$445:$P$452,4,FALSE)</f>
        <v>7.6179088963979222E-2</v>
      </c>
      <c r="N61" s="3274">
        <f>VLOOKUP("Trans",'B17-Depr Res'!$K$445:$P$452,5,FALSE)</f>
        <v>5.4136361357023585E-2</v>
      </c>
    </row>
    <row r="62" spans="1:15" ht="15" customHeight="1" x14ac:dyDescent="0.25">
      <c r="A62" s="3251">
        <v>61</v>
      </c>
      <c r="B62" s="1348"/>
      <c r="C62" s="49" t="s">
        <v>470</v>
      </c>
      <c r="D62" s="181">
        <v>219</v>
      </c>
      <c r="E62" s="181">
        <v>108</v>
      </c>
      <c r="F62" s="3288">
        <f>SUMIF('Pg 219 - Accumulated Provision '!B:B,"*Distribution*",'Pg 219 - Accumulated Provision '!D:D)</f>
        <v>3343822119</v>
      </c>
      <c r="G62" s="3273">
        <f t="shared" si="6"/>
        <v>1633153769.5014434</v>
      </c>
      <c r="H62" s="3273">
        <f t="shared" si="6"/>
        <v>1169642844.4995036</v>
      </c>
      <c r="I62" s="3273">
        <f t="shared" si="6"/>
        <v>298997444.42964077</v>
      </c>
      <c r="J62" s="3273">
        <f t="shared" si="6"/>
        <v>164513480.57229903</v>
      </c>
      <c r="K62" s="3274">
        <f t="shared" si="7"/>
        <v>0.48840928475879952</v>
      </c>
      <c r="L62" s="3274">
        <f>VLOOKUP("Dist",'B17-Depr Res'!$K$445:$P$452,3,FALSE)</f>
        <v>0.34979218477366131</v>
      </c>
      <c r="M62" s="3274">
        <f>VLOOKUP("Dist",'B17-Depr Res'!$K$445:$P$452,4,FALSE)</f>
        <v>8.94178678736232E-2</v>
      </c>
      <c r="N62" s="3274">
        <f>VLOOKUP("Dist",'B17-Depr Res'!$K$445:$P$452,5,FALSE)</f>
        <v>4.9199232111515029E-2</v>
      </c>
    </row>
    <row r="63" spans="1:15" ht="15" customHeight="1" x14ac:dyDescent="0.25">
      <c r="A63" s="3251">
        <v>62</v>
      </c>
      <c r="B63" s="1348"/>
      <c r="C63" s="49" t="s">
        <v>92</v>
      </c>
      <c r="D63" s="181">
        <v>219</v>
      </c>
      <c r="E63" s="181">
        <v>108</v>
      </c>
      <c r="F63" s="3288">
        <f>SUMIF('Pg 219 - Accumulated Provision '!B:B,"*General*",'Pg 219 - Accumulated Provision '!D:D)</f>
        <v>579153527</v>
      </c>
      <c r="G63" s="3273">
        <f t="shared" si="6"/>
        <v>251101823.88277173</v>
      </c>
      <c r="H63" s="3273">
        <f t="shared" si="6"/>
        <v>166128934.09438846</v>
      </c>
      <c r="I63" s="3273">
        <f t="shared" si="6"/>
        <v>47499022.698955551</v>
      </c>
      <c r="J63" s="3273">
        <f t="shared" si="6"/>
        <v>37473867.089427732</v>
      </c>
      <c r="K63" s="3274">
        <f t="shared" si="7"/>
        <v>0.43356694240208216</v>
      </c>
      <c r="L63" s="3274">
        <f>VLOOKUP("Gen",'B17-Depr Res'!$K$445:$P$452,3,FALSE)</f>
        <v>0.28684783282756121</v>
      </c>
      <c r="M63" s="3274">
        <f>VLOOKUP("Gen",'B17-Depr Res'!$K$445:$P$452,4,FALSE)</f>
        <v>8.2014561743237985E-2</v>
      </c>
      <c r="N63" s="3274">
        <f>VLOOKUP("Gen",'B17-Depr Res'!$K$445:$P$452,5,FALSE)</f>
        <v>6.4704547831282974E-2</v>
      </c>
    </row>
    <row r="64" spans="1:15" ht="15" customHeight="1" x14ac:dyDescent="0.25">
      <c r="A64" s="3251">
        <v>63</v>
      </c>
      <c r="B64" s="1348"/>
      <c r="C64" s="49" t="s">
        <v>370</v>
      </c>
      <c r="D64" s="181">
        <v>219</v>
      </c>
      <c r="E64" s="181">
        <v>111</v>
      </c>
      <c r="F64" s="3288">
        <v>0</v>
      </c>
      <c r="G64" s="3273">
        <f t="shared" si="6"/>
        <v>0</v>
      </c>
      <c r="H64" s="3273">
        <f t="shared" si="6"/>
        <v>0</v>
      </c>
      <c r="I64" s="3273">
        <f t="shared" si="6"/>
        <v>0</v>
      </c>
      <c r="J64" s="3273">
        <f t="shared" si="6"/>
        <v>0</v>
      </c>
      <c r="K64" s="3274">
        <f t="shared" si="7"/>
        <v>0</v>
      </c>
      <c r="L64" s="3274">
        <v>0</v>
      </c>
      <c r="M64" s="3274">
        <v>0</v>
      </c>
      <c r="N64" s="3274">
        <v>0</v>
      </c>
    </row>
    <row r="65" spans="1:15" ht="15" customHeight="1" x14ac:dyDescent="0.25">
      <c r="A65" s="3251">
        <v>64</v>
      </c>
      <c r="B65" s="1348"/>
      <c r="C65" s="49" t="s">
        <v>371</v>
      </c>
      <c r="D65" s="181">
        <v>219</v>
      </c>
      <c r="E65" s="181">
        <v>111</v>
      </c>
      <c r="F65" s="3289">
        <f>-'Pg 200 - Utility Plant'!L25</f>
        <v>86174166.680000007</v>
      </c>
      <c r="G65" s="3273">
        <f t="shared" si="6"/>
        <v>35416807.173216134</v>
      </c>
      <c r="H65" s="3273">
        <f t="shared" si="6"/>
        <v>22968258.575880747</v>
      </c>
      <c r="I65" s="3273">
        <f t="shared" si="6"/>
        <v>6457916.747994055</v>
      </c>
      <c r="J65" s="3273">
        <f t="shared" si="6"/>
        <v>5990631.8493413329</v>
      </c>
      <c r="K65" s="3274">
        <f t="shared" si="7"/>
        <v>0.41099100272977696</v>
      </c>
      <c r="L65" s="3275">
        <f>VLOOKUP(302,'B18-Amort Res'!$L$137:$Q$141,3,FALSE)</f>
        <v>0.26653299313205203</v>
      </c>
      <c r="M65" s="3275">
        <f>VLOOKUP(302,'B18-Amort Res'!$L$137:$Q$141,4,FALSE)</f>
        <v>7.4940286593950439E-2</v>
      </c>
      <c r="N65" s="3275">
        <f>VLOOKUP(302,'B18-Amort Res'!$L$137:$Q$141,5,FALSE)</f>
        <v>6.9517723003774484E-2</v>
      </c>
    </row>
    <row r="66" spans="1:15" ht="15" customHeight="1" x14ac:dyDescent="0.25">
      <c r="A66" s="3251">
        <v>65</v>
      </c>
      <c r="B66" s="1348"/>
      <c r="C66" s="49" t="s">
        <v>399</v>
      </c>
      <c r="D66" s="181">
        <v>219</v>
      </c>
      <c r="E66" s="181">
        <v>111</v>
      </c>
      <c r="F66" s="3289">
        <f>-'Pg 200 - Utility Plant'!L26</f>
        <v>677077673.28999996</v>
      </c>
      <c r="G66" s="3273">
        <f t="shared" si="6"/>
        <v>276506512.18180609</v>
      </c>
      <c r="H66" s="3273">
        <f t="shared" si="6"/>
        <v>193308206.81975657</v>
      </c>
      <c r="I66" s="3273">
        <f t="shared" si="6"/>
        <v>49105891.085773215</v>
      </c>
      <c r="J66" s="3273">
        <f t="shared" si="6"/>
        <v>34092414.276276283</v>
      </c>
      <c r="K66" s="3274">
        <f t="shared" si="7"/>
        <v>0.40838226261136101</v>
      </c>
      <c r="L66" s="3275">
        <f>VLOOKUP(303,'B18-Amort Res'!$L$137:$Q$141,3,FALSE)</f>
        <v>0.28550373826454695</v>
      </c>
      <c r="M66" s="3275">
        <f>VLOOKUP(303,'B18-Amort Res'!$L$137:$Q$141,4,FALSE)</f>
        <v>7.2526230036742939E-2</v>
      </c>
      <c r="N66" s="3275">
        <f>VLOOKUP(303,'B18-Amort Res'!$L$137:$Q$141,5,FALSE)</f>
        <v>5.0352294310071155E-2</v>
      </c>
    </row>
    <row r="67" spans="1:15" ht="15" customHeight="1" x14ac:dyDescent="0.25">
      <c r="A67" s="3251">
        <v>66</v>
      </c>
      <c r="B67" s="1348"/>
      <c r="C67" s="49" t="s">
        <v>253</v>
      </c>
      <c r="D67" s="181">
        <v>219</v>
      </c>
      <c r="E67" s="181">
        <v>108</v>
      </c>
      <c r="F67" s="3290">
        <f>'Pg 219 - Accumulated Provision '!D52</f>
        <v>0</v>
      </c>
      <c r="G67" s="3273">
        <f t="shared" si="6"/>
        <v>0</v>
      </c>
      <c r="H67" s="3273">
        <f t="shared" si="6"/>
        <v>0</v>
      </c>
      <c r="I67" s="3273">
        <f t="shared" si="6"/>
        <v>0</v>
      </c>
      <c r="J67" s="3273">
        <f t="shared" si="6"/>
        <v>0</v>
      </c>
      <c r="K67" s="3274">
        <f t="shared" si="7"/>
        <v>0.39706721088161551</v>
      </c>
      <c r="L67" s="3274">
        <f>L57</f>
        <v>0.26568146930945286</v>
      </c>
      <c r="M67" s="3274">
        <f>M57</f>
        <v>7.7262466215433978E-2</v>
      </c>
      <c r="N67" s="3274">
        <f>N57</f>
        <v>5.4123275356728652E-2</v>
      </c>
    </row>
    <row r="68" spans="1:15" ht="15" customHeight="1" x14ac:dyDescent="0.25">
      <c r="A68" s="3251">
        <v>67</v>
      </c>
      <c r="B68" s="1348"/>
      <c r="C68" s="49" t="s">
        <v>28</v>
      </c>
      <c r="D68" s="181">
        <v>219</v>
      </c>
      <c r="E68" s="181">
        <v>111</v>
      </c>
      <c r="F68" s="3288">
        <v>0</v>
      </c>
      <c r="G68" s="3273">
        <f t="shared" si="6"/>
        <v>0</v>
      </c>
      <c r="H68" s="3273">
        <f t="shared" si="6"/>
        <v>0</v>
      </c>
      <c r="I68" s="3273">
        <f t="shared" si="6"/>
        <v>0</v>
      </c>
      <c r="J68" s="3273">
        <f t="shared" si="6"/>
        <v>0</v>
      </c>
      <c r="K68" s="3274">
        <f t="shared" si="7"/>
        <v>0</v>
      </c>
      <c r="L68" s="3274">
        <v>0</v>
      </c>
      <c r="M68" s="3274">
        <v>0</v>
      </c>
      <c r="N68" s="3274">
        <v>0</v>
      </c>
    </row>
    <row r="69" spans="1:15" ht="15" customHeight="1" x14ac:dyDescent="0.25">
      <c r="A69" s="3251">
        <v>68</v>
      </c>
      <c r="B69" s="1348"/>
      <c r="C69" s="49" t="s">
        <v>29</v>
      </c>
      <c r="D69" s="181">
        <v>219</v>
      </c>
      <c r="E69" s="181">
        <v>108</v>
      </c>
      <c r="F69" s="3288">
        <v>0</v>
      </c>
      <c r="G69" s="3273">
        <f t="shared" si="6"/>
        <v>0</v>
      </c>
      <c r="H69" s="3273">
        <f t="shared" si="6"/>
        <v>0</v>
      </c>
      <c r="I69" s="3273">
        <f t="shared" si="6"/>
        <v>0</v>
      </c>
      <c r="J69" s="3273">
        <f t="shared" si="6"/>
        <v>0</v>
      </c>
      <c r="K69" s="3274">
        <f t="shared" si="7"/>
        <v>0</v>
      </c>
      <c r="L69" s="3274">
        <v>0</v>
      </c>
      <c r="M69" s="3274">
        <v>0</v>
      </c>
      <c r="N69" s="3274">
        <v>0</v>
      </c>
    </row>
    <row r="70" spans="1:15" ht="15" customHeight="1" x14ac:dyDescent="0.25">
      <c r="A70" s="3251">
        <v>69</v>
      </c>
      <c r="B70" s="1348"/>
      <c r="C70" s="49" t="s">
        <v>162</v>
      </c>
      <c r="D70" s="181" t="s">
        <v>69</v>
      </c>
      <c r="E70" s="181">
        <v>108</v>
      </c>
      <c r="F70" s="3288">
        <v>0</v>
      </c>
      <c r="G70" s="3273">
        <f t="shared" si="6"/>
        <v>0</v>
      </c>
      <c r="H70" s="3273">
        <f t="shared" si="6"/>
        <v>0</v>
      </c>
      <c r="I70" s="3273">
        <f t="shared" si="6"/>
        <v>0</v>
      </c>
      <c r="J70" s="3273">
        <f t="shared" si="6"/>
        <v>0</v>
      </c>
      <c r="K70" s="3274">
        <f t="shared" si="7"/>
        <v>0</v>
      </c>
      <c r="L70" s="3274">
        <v>0</v>
      </c>
      <c r="M70" s="3274">
        <v>0</v>
      </c>
      <c r="N70" s="3274">
        <v>0</v>
      </c>
    </row>
    <row r="71" spans="1:15" ht="15" customHeight="1" x14ac:dyDescent="0.25">
      <c r="A71" s="3251">
        <v>70</v>
      </c>
      <c r="B71" s="1348"/>
      <c r="C71" s="49" t="s">
        <v>400</v>
      </c>
      <c r="D71" s="181" t="s">
        <v>69</v>
      </c>
      <c r="E71" s="181">
        <v>108</v>
      </c>
      <c r="F71" s="3288">
        <v>0</v>
      </c>
      <c r="G71" s="3273">
        <f t="shared" si="6"/>
        <v>0</v>
      </c>
      <c r="H71" s="3273">
        <f t="shared" si="6"/>
        <v>0</v>
      </c>
      <c r="I71" s="3273">
        <f t="shared" si="6"/>
        <v>0</v>
      </c>
      <c r="J71" s="3273">
        <f t="shared" si="6"/>
        <v>0</v>
      </c>
      <c r="K71" s="3274">
        <f t="shared" si="7"/>
        <v>0</v>
      </c>
      <c r="L71" s="3274">
        <v>0</v>
      </c>
      <c r="M71" s="3274">
        <v>0</v>
      </c>
      <c r="N71" s="3274">
        <v>0</v>
      </c>
    </row>
    <row r="72" spans="1:15" ht="15" customHeight="1" x14ac:dyDescent="0.25">
      <c r="A72" s="3251">
        <v>71</v>
      </c>
      <c r="B72" s="1348"/>
      <c r="C72" s="49" t="s">
        <v>401</v>
      </c>
      <c r="D72" s="181" t="s">
        <v>69</v>
      </c>
      <c r="E72" s="181">
        <v>108</v>
      </c>
      <c r="F72" s="3289">
        <f>-'Pg 200 - Utility Plant'!L27</f>
        <v>18483132.219999999</v>
      </c>
      <c r="G72" s="3273">
        <f t="shared" si="6"/>
        <v>9421530.1671775989</v>
      </c>
      <c r="H72" s="3273">
        <f t="shared" si="6"/>
        <v>7150350.1546769449</v>
      </c>
      <c r="I72" s="3273">
        <f t="shared" si="6"/>
        <v>1340511.8991872552</v>
      </c>
      <c r="J72" s="3273">
        <f t="shared" si="6"/>
        <v>930668.11331339879</v>
      </c>
      <c r="K72" s="3274">
        <f t="shared" si="7"/>
        <v>0.50973666449146893</v>
      </c>
      <c r="L72" s="3275">
        <f>VLOOKUP(390,'B18-Amort Res'!$L$137:$Q$141,3,FALSE)</f>
        <v>0.38685814014465486</v>
      </c>
      <c r="M72" s="3275">
        <f>VLOOKUP(303,'B18-Amort Res'!$L$137:$Q$141,4,FALSE)</f>
        <v>7.2526230036742939E-2</v>
      </c>
      <c r="N72" s="3275">
        <f>VLOOKUP(303,'B18-Amort Res'!$L$137:$Q$141,5,FALSE)</f>
        <v>5.0352294310071155E-2</v>
      </c>
    </row>
    <row r="73" spans="1:15" ht="15" customHeight="1" x14ac:dyDescent="0.25">
      <c r="A73" s="3251">
        <v>72</v>
      </c>
      <c r="B73" s="1348"/>
      <c r="C73" s="49" t="s">
        <v>547</v>
      </c>
      <c r="D73" s="181" t="s">
        <v>69</v>
      </c>
      <c r="E73" s="181">
        <v>115</v>
      </c>
      <c r="F73" s="3291">
        <f>SUMIF('Pg 200 - Utility Plant'!B:B,"*Plant Acquisition*",'Pg 200 - Utility Plant'!C:C)+SUMIFS('B15-Misc Rate Base'!F:F,'B15-Misc Rate Base'!A:A,"115*",'B15-Misc Rate Base'!E:E,"UT")*1000</f>
        <v>142051176.94999999</v>
      </c>
      <c r="G73" s="3273">
        <f t="shared" si="6"/>
        <v>56998656.093805365</v>
      </c>
      <c r="H73" s="3273">
        <f>$F73*L73</f>
        <v>38487193.000937663</v>
      </c>
      <c r="I73" s="3273">
        <f>$F73*M73</f>
        <v>10821329.246312005</v>
      </c>
      <c r="J73" s="3273">
        <f>$F73*N73</f>
        <v>7690133.8465556987</v>
      </c>
      <c r="K73" s="3292">
        <f>SUM(L73:N73)</f>
        <v>0.40125437407581699</v>
      </c>
      <c r="L73" s="3293">
        <f>L92</f>
        <v>0.27093892375481415</v>
      </c>
      <c r="M73" s="3293">
        <f>M92</f>
        <v>7.6179088963979236E-2</v>
      </c>
      <c r="N73" s="3293">
        <f>N92</f>
        <v>5.4136361357023585E-2</v>
      </c>
    </row>
    <row r="74" spans="1:15" ht="15" customHeight="1" x14ac:dyDescent="0.25">
      <c r="A74" s="3251">
        <v>73</v>
      </c>
      <c r="B74" s="1348"/>
      <c r="C74" s="49"/>
      <c r="D74" s="50"/>
      <c r="E74" s="48"/>
      <c r="F74" s="3273"/>
      <c r="G74" s="3283"/>
      <c r="H74" s="3294"/>
      <c r="K74" s="3274"/>
      <c r="L74" s="3283"/>
      <c r="M74" s="3283"/>
      <c r="N74" s="3283"/>
    </row>
    <row r="75" spans="1:15" ht="15" customHeight="1" x14ac:dyDescent="0.25">
      <c r="A75" s="3251">
        <v>74</v>
      </c>
      <c r="B75" s="1341" t="s">
        <v>211</v>
      </c>
      <c r="C75" s="49"/>
      <c r="D75" s="50"/>
      <c r="E75" s="50"/>
      <c r="F75" s="3279"/>
      <c r="G75" s="3279"/>
      <c r="H75" s="3279"/>
      <c r="I75" s="3279"/>
      <c r="J75" s="3279"/>
      <c r="K75" s="3280"/>
      <c r="L75" s="3280"/>
      <c r="M75" s="3280"/>
      <c r="N75" s="3280"/>
    </row>
    <row r="76" spans="1:15" ht="15" customHeight="1" x14ac:dyDescent="0.25">
      <c r="A76" s="3251">
        <v>75</v>
      </c>
      <c r="B76" s="1358"/>
      <c r="C76" s="49"/>
      <c r="D76" s="50"/>
      <c r="E76" s="48"/>
      <c r="F76" s="3273"/>
      <c r="G76" s="3273"/>
      <c r="H76" s="3273"/>
      <c r="I76" s="3273"/>
      <c r="J76" s="3273"/>
      <c r="K76" s="3274"/>
      <c r="L76" s="3283"/>
      <c r="M76" s="3283"/>
      <c r="N76" s="3283"/>
    </row>
    <row r="77" spans="1:15" ht="15" customHeight="1" x14ac:dyDescent="0.25">
      <c r="A77" s="3251">
        <v>76</v>
      </c>
      <c r="B77" s="1350" t="s">
        <v>223</v>
      </c>
      <c r="C77" s="33"/>
      <c r="D77" s="494"/>
      <c r="E77" s="487"/>
      <c r="F77" s="3279">
        <f>SUM(F57:F73)</f>
        <v>13091417490.140001</v>
      </c>
      <c r="G77" s="3279">
        <f>SUM(G57:G73)</f>
        <v>5550863675.958252</v>
      </c>
      <c r="H77" s="3279">
        <f>SUM(H57:H73)</f>
        <v>3806464107.5466809</v>
      </c>
      <c r="I77" s="3279">
        <f>SUM(I57:I73)</f>
        <v>1047438822.9895843</v>
      </c>
      <c r="J77" s="3279">
        <f>SUM(J57:J73)</f>
        <v>696960745.42198765</v>
      </c>
      <c r="K77" s="3280">
        <f>G77/$F77</f>
        <v>0.42400784178939893</v>
      </c>
      <c r="L77" s="3280">
        <f>H77/$F77</f>
        <v>0.29076027178978725</v>
      </c>
      <c r="M77" s="3280">
        <f>I77/$F77</f>
        <v>8.0009580610997902E-2</v>
      </c>
      <c r="N77" s="3280">
        <f>J77/$F77</f>
        <v>5.3237989388613891E-2</v>
      </c>
      <c r="O77" s="3129"/>
    </row>
    <row r="78" spans="1:15" ht="15" customHeight="1" x14ac:dyDescent="0.25">
      <c r="A78" s="3251">
        <v>77</v>
      </c>
      <c r="B78" s="1358"/>
      <c r="C78" s="60"/>
      <c r="D78" s="50"/>
      <c r="E78" s="48"/>
      <c r="F78" s="3273"/>
      <c r="G78" s="3273"/>
      <c r="H78" s="3273"/>
      <c r="I78" s="3273"/>
      <c r="J78" s="3273"/>
      <c r="K78" s="3274"/>
      <c r="L78" s="3283"/>
      <c r="M78" s="3283"/>
      <c r="N78" s="3283"/>
      <c r="O78" s="3129"/>
    </row>
    <row r="79" spans="1:15" ht="15" customHeight="1" x14ac:dyDescent="0.25">
      <c r="A79" s="3251">
        <v>78</v>
      </c>
      <c r="B79" s="1350" t="s">
        <v>475</v>
      </c>
      <c r="C79" s="32"/>
      <c r="D79" s="494"/>
      <c r="E79" s="487"/>
      <c r="F79" s="3279">
        <f>F52-F77</f>
        <v>20757817754.860001</v>
      </c>
      <c r="G79" s="3279">
        <f>G52-G77</f>
        <v>8242315004.3195381</v>
      </c>
      <c r="H79" s="3279">
        <f>H52-H77</f>
        <v>5643576798.7667961</v>
      </c>
      <c r="I79" s="3279">
        <f>I52-I77</f>
        <v>1485537376.9406366</v>
      </c>
      <c r="J79" s="3279">
        <f>J52-J77</f>
        <v>1113200828.6121039</v>
      </c>
      <c r="K79" s="3280">
        <f>G79/$F79</f>
        <v>0.39707040025388873</v>
      </c>
      <c r="L79" s="3280">
        <f>H79/$F79</f>
        <v>0.271877172514701</v>
      </c>
      <c r="M79" s="3280">
        <f>I79/$F79</f>
        <v>7.1565199891632625E-2</v>
      </c>
      <c r="N79" s="3280">
        <f>J79/$F79</f>
        <v>5.3628027847555007E-2</v>
      </c>
      <c r="O79" s="3129"/>
    </row>
    <row r="80" spans="1:15" ht="15" customHeight="1" x14ac:dyDescent="0.25">
      <c r="A80" s="3251">
        <v>79</v>
      </c>
      <c r="B80" s="1356" t="s">
        <v>84</v>
      </c>
      <c r="C80" s="32"/>
      <c r="D80" s="8"/>
      <c r="E80" s="8"/>
      <c r="F80" s="3273"/>
      <c r="G80" s="3283"/>
      <c r="H80" s="3273"/>
      <c r="K80" s="3274"/>
      <c r="L80" s="3283"/>
      <c r="M80" s="3283"/>
      <c r="N80" s="3283"/>
    </row>
    <row r="81" spans="1:15" ht="15" customHeight="1" thickBot="1" x14ac:dyDescent="0.3">
      <c r="A81" s="3251">
        <v>80</v>
      </c>
      <c r="B81" s="1359"/>
      <c r="C81" s="173"/>
      <c r="D81" s="174"/>
      <c r="E81" s="174"/>
      <c r="F81" s="3273"/>
      <c r="G81" s="3283"/>
      <c r="H81" s="3273"/>
      <c r="K81" s="3274"/>
      <c r="L81" s="3283"/>
      <c r="M81" s="3283"/>
      <c r="N81" s="3283"/>
    </row>
    <row r="82" spans="1:15" ht="15" customHeight="1" thickTop="1" x14ac:dyDescent="0.25">
      <c r="A82" s="3251">
        <v>81</v>
      </c>
      <c r="B82" s="1361" t="s">
        <v>76</v>
      </c>
      <c r="C82" s="32"/>
      <c r="D82" s="8"/>
      <c r="E82" s="8"/>
      <c r="F82" s="3273"/>
      <c r="G82" s="3283"/>
      <c r="H82" s="3273"/>
      <c r="K82" s="3274"/>
      <c r="L82" s="3283"/>
      <c r="M82" s="3283"/>
      <c r="N82" s="3283"/>
    </row>
    <row r="83" spans="1:15" ht="9.9499999999999993" customHeight="1" x14ac:dyDescent="0.25">
      <c r="A83" s="3251">
        <v>82</v>
      </c>
      <c r="B83" s="1362"/>
      <c r="C83" s="32"/>
      <c r="D83" s="8"/>
      <c r="E83" s="8"/>
      <c r="F83" s="3273"/>
      <c r="G83" s="3283"/>
      <c r="H83" s="3273"/>
      <c r="K83" s="3274"/>
      <c r="L83" s="3283"/>
      <c r="M83" s="3283"/>
      <c r="N83" s="3283"/>
    </row>
    <row r="84" spans="1:15" ht="15" customHeight="1" x14ac:dyDescent="0.25">
      <c r="A84" s="3251">
        <v>83</v>
      </c>
      <c r="B84" s="1363" t="s">
        <v>144</v>
      </c>
      <c r="C84" s="77"/>
      <c r="D84" s="3794" t="s">
        <v>229</v>
      </c>
      <c r="E84" s="3795"/>
      <c r="F84" s="3273">
        <f>'Pgs 320-323 - O&amp;M Expenses (For'!C223</f>
        <v>489493312.04750001</v>
      </c>
      <c r="G84" s="3295">
        <f>'Sch 1A - Cash Working Capital'!C24</f>
        <v>181575345.50577956</v>
      </c>
      <c r="H84" s="3273">
        <f>L84/K84*$G$84</f>
        <v>122605090.11285917</v>
      </c>
      <c r="I84" s="3273">
        <f>M84/K84*$G$84</f>
        <v>34472507.448196553</v>
      </c>
      <c r="J84" s="3273">
        <f>N84/K84*$G$84</f>
        <v>24497747.94472383</v>
      </c>
      <c r="K84" s="3296">
        <f>K7</f>
        <v>0.40125437407581699</v>
      </c>
      <c r="L84" s="3296">
        <f>L7</f>
        <v>0.27093892375481415</v>
      </c>
      <c r="M84" s="3296">
        <f>M7</f>
        <v>7.6179088963979236E-2</v>
      </c>
      <c r="N84" s="3296">
        <f>N7</f>
        <v>5.4136361357023585E-2</v>
      </c>
      <c r="O84" s="3297"/>
    </row>
    <row r="85" spans="1:15" ht="9.9499999999999993" customHeight="1" x14ac:dyDescent="0.25">
      <c r="A85" s="3251">
        <v>84</v>
      </c>
      <c r="B85" s="1348"/>
      <c r="C85" s="46"/>
      <c r="D85" s="50"/>
      <c r="E85" s="50"/>
      <c r="F85" s="3273"/>
      <c r="G85" s="3283"/>
      <c r="K85" s="3274"/>
      <c r="L85" s="3283"/>
      <c r="M85" s="3283"/>
      <c r="N85" s="3283"/>
    </row>
    <row r="86" spans="1:15" ht="15" customHeight="1" x14ac:dyDescent="0.25">
      <c r="A86" s="3251">
        <v>85</v>
      </c>
      <c r="B86" s="3241" t="s">
        <v>274</v>
      </c>
      <c r="C86" s="3242"/>
      <c r="D86" s="80"/>
      <c r="E86" s="48"/>
      <c r="F86" s="3273"/>
      <c r="G86" s="3283"/>
      <c r="K86" s="3274"/>
      <c r="L86" s="3283"/>
      <c r="M86" s="3283"/>
      <c r="N86" s="3283"/>
    </row>
    <row r="87" spans="1:15" ht="15" customHeight="1" x14ac:dyDescent="0.25">
      <c r="A87" s="3251">
        <v>86</v>
      </c>
      <c r="B87" s="1348"/>
      <c r="C87" s="46" t="s">
        <v>433</v>
      </c>
      <c r="D87" s="181" t="s">
        <v>69</v>
      </c>
      <c r="E87" s="181">
        <v>105</v>
      </c>
      <c r="F87" s="3288">
        <f>SUMIFS('Pg 200 - Utility Plant'!C:C,'Pg 200 - Utility Plant'!B:B,"*Held for Future*")</f>
        <v>14174575</v>
      </c>
      <c r="G87" s="3273">
        <f t="shared" ref="G87:J92" si="8">$F87*K87</f>
        <v>7741084.2436203286</v>
      </c>
      <c r="H87" s="3273">
        <f t="shared" si="8"/>
        <v>7465839.1436980143</v>
      </c>
      <c r="I87" s="3273">
        <f t="shared" si="8"/>
        <v>160901.26613714301</v>
      </c>
      <c r="J87" s="3273">
        <f t="shared" si="8"/>
        <v>114343.83378517102</v>
      </c>
      <c r="K87" s="3274">
        <f t="shared" ref="K87:K92" si="9">SUM(L87:N87)</f>
        <v>0.54612460998797696</v>
      </c>
      <c r="L87" s="3274">
        <f>'B10-PHFU'!L44</f>
        <v>0.52670638405017534</v>
      </c>
      <c r="M87" s="3274">
        <f>'B10-PHFU'!M44</f>
        <v>1.1351399681270375E-2</v>
      </c>
      <c r="N87" s="3274">
        <f>'B10-PHFU'!N44</f>
        <v>8.0668262565312208E-3</v>
      </c>
    </row>
    <row r="88" spans="1:15" ht="15" customHeight="1" x14ac:dyDescent="0.25">
      <c r="A88" s="3251">
        <v>87</v>
      </c>
      <c r="B88" s="1348"/>
      <c r="C88" s="46" t="s">
        <v>77</v>
      </c>
      <c r="D88" s="181" t="s">
        <v>69</v>
      </c>
      <c r="E88" s="181">
        <v>106</v>
      </c>
      <c r="F88" s="3288">
        <f>SUMIFS('Pg 200 - Utility Plant'!C:C,'Pg 200 - Utility Plant'!B:B,"*Completed Construction*")</f>
        <v>547634625</v>
      </c>
      <c r="G88" s="3273">
        <f t="shared" si="8"/>
        <v>223281401.39533675</v>
      </c>
      <c r="H88" s="3273">
        <f t="shared" si="8"/>
        <v>153194154.37356064</v>
      </c>
      <c r="I88" s="3273">
        <f t="shared" si="8"/>
        <v>40880530.814429522</v>
      </c>
      <c r="J88" s="3273">
        <f t="shared" si="8"/>
        <v>29206716.2073466</v>
      </c>
      <c r="K88" s="3274">
        <f t="shared" si="9"/>
        <v>0.40771965687037548</v>
      </c>
      <c r="L88" s="3274">
        <f>IF(ISERROR(VLOOKUP($O88,'B8-EPIS'!$K$585:$P$606,3,FALSE)),0,VLOOKUP($O88,'B8-EPIS'!$K$585:$P$606,3,FALSE))</f>
        <v>0.27973788979022396</v>
      </c>
      <c r="M88" s="3274">
        <f>IF(ISERROR(VLOOKUP($O88,'B8-EPIS'!$K$585:$P$606,4,FALSE)),0,VLOOKUP($O88,'B8-EPIS'!$K$585:$P$606,4,FALSE))</f>
        <v>7.4649280648442423E-2</v>
      </c>
      <c r="N88" s="3274">
        <f>IF(ISERROR(VLOOKUP($O88,'B8-EPIS'!$K$585:$P$606,5,FALSE)),0,VLOOKUP($O88,'B8-EPIS'!$K$585:$P$606,5,FALSE))</f>
        <v>5.3332486431709097E-2</v>
      </c>
      <c r="O88" s="3281" t="s">
        <v>5461</v>
      </c>
    </row>
    <row r="89" spans="1:15" ht="15" customHeight="1" x14ac:dyDescent="0.25">
      <c r="A89" s="3251">
        <v>88</v>
      </c>
      <c r="B89" s="1348"/>
      <c r="C89" s="33" t="s">
        <v>476</v>
      </c>
      <c r="D89" s="181"/>
      <c r="E89" s="181" t="s">
        <v>257</v>
      </c>
      <c r="F89" s="3273">
        <v>0</v>
      </c>
      <c r="G89" s="3273">
        <f t="shared" si="8"/>
        <v>0</v>
      </c>
      <c r="H89" s="3273">
        <f t="shared" si="8"/>
        <v>0</v>
      </c>
      <c r="I89" s="3273">
        <f t="shared" si="8"/>
        <v>0</v>
      </c>
      <c r="J89" s="3273">
        <f t="shared" si="8"/>
        <v>0</v>
      </c>
      <c r="K89" s="3274">
        <f t="shared" si="9"/>
        <v>0</v>
      </c>
      <c r="L89" s="3274">
        <v>0</v>
      </c>
      <c r="M89" s="3274">
        <v>0</v>
      </c>
      <c r="N89" s="3274">
        <v>0</v>
      </c>
    </row>
    <row r="90" spans="1:15" ht="15" customHeight="1" x14ac:dyDescent="0.25">
      <c r="A90" s="3251">
        <v>89</v>
      </c>
      <c r="B90" s="1348"/>
      <c r="C90" s="46" t="s">
        <v>80</v>
      </c>
      <c r="D90" s="181" t="s">
        <v>69</v>
      </c>
      <c r="E90" s="181" t="s">
        <v>258</v>
      </c>
      <c r="F90" s="3288">
        <f>SUMIFS('Pg 200 - Utility Plant'!C:C,'Pg 200 - Utility Plant'!B:B,"*Work in Progress*")</f>
        <v>4719845635</v>
      </c>
      <c r="G90" s="3273">
        <f t="shared" si="8"/>
        <v>1893858706.006402</v>
      </c>
      <c r="H90" s="3273">
        <f t="shared" si="8"/>
        <v>1278789896.6357574</v>
      </c>
      <c r="I90" s="3273">
        <f t="shared" si="8"/>
        <v>359553540.52491409</v>
      </c>
      <c r="J90" s="3273">
        <f t="shared" si="8"/>
        <v>255515268.84573045</v>
      </c>
      <c r="K90" s="3292">
        <f t="shared" si="9"/>
        <v>0.40125437407581699</v>
      </c>
      <c r="L90" s="3293">
        <f>L7</f>
        <v>0.27093892375481415</v>
      </c>
      <c r="M90" s="3293">
        <f>M7</f>
        <v>7.6179088963979236E-2</v>
      </c>
      <c r="N90" s="3293">
        <f>N7</f>
        <v>5.4136361357023585E-2</v>
      </c>
    </row>
    <row r="91" spans="1:15" ht="15" customHeight="1" x14ac:dyDescent="0.25">
      <c r="A91" s="3251">
        <v>90</v>
      </c>
      <c r="B91" s="1348"/>
      <c r="C91" s="46" t="s">
        <v>224</v>
      </c>
      <c r="D91" s="181" t="s">
        <v>225</v>
      </c>
      <c r="E91" s="181"/>
      <c r="F91" s="3273">
        <v>0</v>
      </c>
      <c r="G91" s="3273">
        <f t="shared" si="8"/>
        <v>0</v>
      </c>
      <c r="H91" s="3273">
        <f t="shared" si="8"/>
        <v>0</v>
      </c>
      <c r="I91" s="3273">
        <f t="shared" si="8"/>
        <v>0</v>
      </c>
      <c r="J91" s="3273">
        <f t="shared" si="8"/>
        <v>0</v>
      </c>
      <c r="K91" s="3274">
        <f t="shared" si="9"/>
        <v>0</v>
      </c>
      <c r="L91" s="3274">
        <v>0</v>
      </c>
      <c r="M91" s="3274">
        <v>0</v>
      </c>
      <c r="N91" s="3274">
        <v>0</v>
      </c>
    </row>
    <row r="92" spans="1:15" ht="15" customHeight="1" x14ac:dyDescent="0.25">
      <c r="A92" s="3251">
        <v>91</v>
      </c>
      <c r="B92" s="1348"/>
      <c r="C92" s="46" t="s">
        <v>71</v>
      </c>
      <c r="D92" s="181" t="s">
        <v>69</v>
      </c>
      <c r="E92" s="181">
        <v>114</v>
      </c>
      <c r="F92" s="3288">
        <f>SUMIFS('Pg 200 - Utility Plant'!C:C,'Pg 200 - Utility Plant'!B:B,"*Acquisition Adjustments*")-SUMIFS('B15-Misc Rate Base'!F:F,'B15-Misc Rate Base'!A:A,"114*",'B15-Misc Rate Base'!E:E,"UT")*1000</f>
        <v>144704699.31999999</v>
      </c>
      <c r="G92" s="3273">
        <f t="shared" si="8"/>
        <v>58063393.551475897</v>
      </c>
      <c r="H92" s="3273">
        <f t="shared" si="8"/>
        <v>39206135.496024787</v>
      </c>
      <c r="I92" s="3273">
        <f t="shared" si="8"/>
        <v>11023472.163004145</v>
      </c>
      <c r="J92" s="3273">
        <f t="shared" si="8"/>
        <v>7833785.892446965</v>
      </c>
      <c r="K92" s="3292">
        <f t="shared" si="9"/>
        <v>0.40125437407581699</v>
      </c>
      <c r="L92" s="3296">
        <f>L7</f>
        <v>0.27093892375481415</v>
      </c>
      <c r="M92" s="3296">
        <f>M7</f>
        <v>7.6179088963979236E-2</v>
      </c>
      <c r="N92" s="3296">
        <f>N7</f>
        <v>5.4136361357023585E-2</v>
      </c>
      <c r="O92" s="3298"/>
    </row>
    <row r="93" spans="1:15" ht="15" customHeight="1" x14ac:dyDescent="0.25">
      <c r="A93" s="3251">
        <v>92</v>
      </c>
      <c r="B93" s="1348"/>
      <c r="C93" s="3243" t="s">
        <v>104</v>
      </c>
      <c r="D93" s="494"/>
      <c r="E93" s="487"/>
      <c r="F93" s="3279">
        <f>SUM(F87:F92)</f>
        <v>5426359534.3199997</v>
      </c>
      <c r="G93" s="3279">
        <f>SUM(G87:G92)</f>
        <v>2182944585.196835</v>
      </c>
      <c r="H93" s="3279">
        <f>SUM(H87:H92)</f>
        <v>1478656025.6490409</v>
      </c>
      <c r="I93" s="3279">
        <f>SUM(I87:I92)</f>
        <v>411618444.76848489</v>
      </c>
      <c r="J93" s="3279">
        <f>SUM(J87:J92)</f>
        <v>292670114.77930915</v>
      </c>
      <c r="K93" s="3280">
        <f>G93/$F93</f>
        <v>0.40228528378748296</v>
      </c>
      <c r="L93" s="3280">
        <f>H93/$F93</f>
        <v>0.27249503397204172</v>
      </c>
      <c r="M93" s="3280">
        <f>I93/$F93</f>
        <v>7.5855357936592482E-2</v>
      </c>
      <c r="N93" s="3280">
        <f>J93/$F93</f>
        <v>5.3934891878848736E-2</v>
      </c>
      <c r="O93" s="3129"/>
    </row>
    <row r="94" spans="1:15" ht="9.9499999999999993" customHeight="1" x14ac:dyDescent="0.25">
      <c r="A94" s="3251">
        <v>93</v>
      </c>
      <c r="B94" s="1348"/>
      <c r="C94" s="3243"/>
      <c r="D94" s="73"/>
      <c r="E94" s="73"/>
      <c r="F94" s="3273"/>
      <c r="G94" s="3283"/>
      <c r="H94" s="3273"/>
      <c r="K94" s="3274"/>
      <c r="L94" s="3283"/>
      <c r="M94" s="3283"/>
      <c r="N94" s="3283"/>
    </row>
    <row r="95" spans="1:15" ht="15" customHeight="1" x14ac:dyDescent="0.25">
      <c r="A95" s="3251">
        <v>94</v>
      </c>
      <c r="B95" s="1367" t="s">
        <v>275</v>
      </c>
      <c r="C95" s="3242"/>
      <c r="D95" s="80"/>
      <c r="E95" s="48"/>
      <c r="F95" s="3273"/>
      <c r="G95" s="3283"/>
      <c r="H95" s="3273"/>
      <c r="K95" s="3274"/>
      <c r="L95" s="3283"/>
      <c r="M95" s="3283"/>
      <c r="N95" s="3283"/>
    </row>
    <row r="96" spans="1:15" ht="15" customHeight="1" x14ac:dyDescent="0.25">
      <c r="A96" s="3251">
        <v>95</v>
      </c>
      <c r="B96" s="1348"/>
      <c r="C96" s="49" t="s">
        <v>444</v>
      </c>
      <c r="D96" s="181" t="s">
        <v>78</v>
      </c>
      <c r="E96" s="181">
        <v>123</v>
      </c>
      <c r="F96" s="3288">
        <f>SUMIFS('Pg 110 - Balance Sheet (Assets)'!D:D,'Pg 110 - Balance Sheet (Assets)'!B:B,"*(123*")</f>
        <v>156655091</v>
      </c>
      <c r="G96" s="3273">
        <f>$F96*K96</f>
        <v>62858540.484995149</v>
      </c>
      <c r="H96" s="3273">
        <f t="shared" ref="H96:J99" si="10">$F96*L96</f>
        <v>42443961.756252475</v>
      </c>
      <c r="I96" s="3273">
        <f t="shared" si="10"/>
        <v>11933842.113949263</v>
      </c>
      <c r="J96" s="3273">
        <f t="shared" si="10"/>
        <v>8480736.6147934124</v>
      </c>
      <c r="K96" s="3293">
        <f>SUM(L96:N96)</f>
        <v>0.40125437407581699</v>
      </c>
      <c r="L96" s="3293">
        <f>$L$7</f>
        <v>0.27093892375481415</v>
      </c>
      <c r="M96" s="3293">
        <f>$M$7</f>
        <v>7.6179088963979236E-2</v>
      </c>
      <c r="N96" s="3293">
        <f>$N$7</f>
        <v>5.4136361357023585E-2</v>
      </c>
    </row>
    <row r="97" spans="1:15" ht="15" customHeight="1" x14ac:dyDescent="0.25">
      <c r="A97" s="3251">
        <v>96</v>
      </c>
      <c r="B97" s="1348"/>
      <c r="C97" s="46" t="s">
        <v>477</v>
      </c>
      <c r="D97" s="181" t="s">
        <v>78</v>
      </c>
      <c r="E97" s="181">
        <v>124</v>
      </c>
      <c r="F97" s="3288">
        <f>SUMIFS('Pg 110 - Balance Sheet (Assets)'!D:D,'Pg 110 - Balance Sheet (Assets)'!B:B,"*(124*")</f>
        <v>111023868</v>
      </c>
      <c r="G97" s="3273">
        <f>$F97*K97</f>
        <v>44548812.661816128</v>
      </c>
      <c r="H97" s="3273">
        <f t="shared" si="10"/>
        <v>30080687.307016551</v>
      </c>
      <c r="I97" s="3273">
        <f t="shared" si="10"/>
        <v>8457697.1174970865</v>
      </c>
      <c r="J97" s="3273">
        <f t="shared" si="10"/>
        <v>6010428.2373024877</v>
      </c>
      <c r="K97" s="3293">
        <f>SUM(L97:N97)</f>
        <v>0.40125437407581699</v>
      </c>
      <c r="L97" s="3293">
        <f>$L$7</f>
        <v>0.27093892375481415</v>
      </c>
      <c r="M97" s="3293">
        <f>$M$7</f>
        <v>7.6179088963979236E-2</v>
      </c>
      <c r="N97" s="3293">
        <f>$N$7</f>
        <v>5.4136361357023585E-2</v>
      </c>
    </row>
    <row r="98" spans="1:15" ht="15" customHeight="1" x14ac:dyDescent="0.25">
      <c r="A98" s="3251">
        <v>97</v>
      </c>
      <c r="B98" s="1348"/>
      <c r="C98" s="3244" t="s">
        <v>6</v>
      </c>
      <c r="D98" s="181" t="s">
        <v>78</v>
      </c>
      <c r="E98" s="181">
        <v>175</v>
      </c>
      <c r="F98" s="3288">
        <f>SUMIFS('Pg 110 - Balance Sheet (Assets)'!D:D,'Pg 110 - Balance Sheet (Assets)'!B:B,"*Long-Term Portion of Derivative Assets*")</f>
        <v>2200107</v>
      </c>
      <c r="G98" s="3273">
        <f>$F98*K98</f>
        <v>882802.55718482344</v>
      </c>
      <c r="H98" s="3273">
        <f t="shared" si="10"/>
        <v>596094.62272543286</v>
      </c>
      <c r="I98" s="3273">
        <f t="shared" si="10"/>
        <v>167602.14688327347</v>
      </c>
      <c r="J98" s="3273">
        <f t="shared" si="10"/>
        <v>119105.78757611709</v>
      </c>
      <c r="K98" s="3293">
        <f>SUM(L98:N98)</f>
        <v>0.40125437407581699</v>
      </c>
      <c r="L98" s="3293">
        <f>$L$7</f>
        <v>0.27093892375481415</v>
      </c>
      <c r="M98" s="3293">
        <f>$M$7</f>
        <v>7.6179088963979236E-2</v>
      </c>
      <c r="N98" s="3293">
        <f>$N$7</f>
        <v>5.4136361357023585E-2</v>
      </c>
    </row>
    <row r="99" spans="1:15" ht="15" customHeight="1" x14ac:dyDescent="0.25">
      <c r="A99" s="3251">
        <v>98</v>
      </c>
      <c r="B99" s="1348"/>
      <c r="C99" s="3244" t="s">
        <v>372</v>
      </c>
      <c r="D99" s="181" t="s">
        <v>78</v>
      </c>
      <c r="E99" s="181">
        <v>176</v>
      </c>
      <c r="F99" s="3288">
        <f>SUMIFS('Pg 110 - Balance Sheet (Assets)'!D:D,'Pg 110 - Balance Sheet (Assets)'!B:B,"*(Long-Term Portion of Derivative Assets - Hedges*")</f>
        <v>0</v>
      </c>
      <c r="G99" s="3273">
        <f>$F99*K99</f>
        <v>0</v>
      </c>
      <c r="H99" s="3273">
        <f t="shared" si="10"/>
        <v>0</v>
      </c>
      <c r="I99" s="3273">
        <f t="shared" si="10"/>
        <v>0</v>
      </c>
      <c r="J99" s="3273">
        <f t="shared" si="10"/>
        <v>0</v>
      </c>
      <c r="K99" s="3293">
        <f>SUM(L99:N99)</f>
        <v>0</v>
      </c>
      <c r="L99" s="3293">
        <v>0</v>
      </c>
      <c r="M99" s="3293">
        <v>0</v>
      </c>
      <c r="N99" s="3293">
        <v>0</v>
      </c>
    </row>
    <row r="100" spans="1:15" ht="15" customHeight="1" x14ac:dyDescent="0.25">
      <c r="A100" s="3251">
        <v>99</v>
      </c>
      <c r="B100" s="1348"/>
      <c r="C100" s="3243" t="s">
        <v>104</v>
      </c>
      <c r="D100" s="494"/>
      <c r="E100" s="487"/>
      <c r="F100" s="3279">
        <f>SUM(F96:F99)</f>
        <v>269879066</v>
      </c>
      <c r="G100" s="3279">
        <f>SUM(G96:G99)</f>
        <v>108290155.70399611</v>
      </c>
      <c r="H100" s="3279">
        <f>SUM(H96:H99)</f>
        <v>73120743.685994446</v>
      </c>
      <c r="I100" s="3279">
        <f>SUM(I96:I99)</f>
        <v>20559141.37832962</v>
      </c>
      <c r="J100" s="3279">
        <f>SUM(J96:J99)</f>
        <v>14610270.639672017</v>
      </c>
      <c r="K100" s="3280">
        <f>G100/$F100</f>
        <v>0.40125437407581699</v>
      </c>
      <c r="L100" s="3280">
        <f>H100/$F100</f>
        <v>0.2709389237548141</v>
      </c>
      <c r="M100" s="3280">
        <f>I100/$F100</f>
        <v>7.6179088963979222E-2</v>
      </c>
      <c r="N100" s="3280">
        <f>J100/$F100</f>
        <v>5.4136361357023578E-2</v>
      </c>
      <c r="O100" s="3129"/>
    </row>
    <row r="101" spans="1:15" ht="9.9499999999999993" customHeight="1" x14ac:dyDescent="0.25">
      <c r="A101" s="3251">
        <v>100</v>
      </c>
      <c r="B101" s="1348"/>
      <c r="C101" s="3243"/>
      <c r="D101" s="73"/>
      <c r="E101" s="73"/>
      <c r="F101" s="3273"/>
      <c r="G101" s="3283"/>
      <c r="H101" s="3273"/>
      <c r="K101" s="3274"/>
      <c r="L101" s="3283"/>
      <c r="M101" s="3283"/>
      <c r="N101" s="3283"/>
    </row>
    <row r="102" spans="1:15" ht="15" customHeight="1" x14ac:dyDescent="0.25">
      <c r="A102" s="3251">
        <v>101</v>
      </c>
      <c r="B102" s="3241" t="s">
        <v>177</v>
      </c>
      <c r="C102" s="3242"/>
      <c r="D102" s="80"/>
      <c r="E102" s="48"/>
      <c r="F102" s="3273"/>
      <c r="G102" s="3283"/>
      <c r="H102" s="3273"/>
      <c r="K102" s="3274"/>
      <c r="L102" s="3283"/>
      <c r="M102" s="3283"/>
      <c r="N102" s="3283"/>
    </row>
    <row r="103" spans="1:15" ht="15" customHeight="1" x14ac:dyDescent="0.25">
      <c r="A103" s="3251">
        <v>102</v>
      </c>
      <c r="B103" s="1348"/>
      <c r="C103" s="46" t="s">
        <v>436</v>
      </c>
      <c r="D103" s="181" t="s">
        <v>78</v>
      </c>
      <c r="E103" s="181">
        <v>151</v>
      </c>
      <c r="F103" s="3288">
        <f>SUMIFS('Pg 110 - Balance Sheet (Assets)'!D:D,'Pg 110 - Balance Sheet (Assets)'!B:B,"*"&amp;C103&amp;"*")</f>
        <v>103923863</v>
      </c>
      <c r="G103" s="3273">
        <f>$F103*K103</f>
        <v>40405127.127832949</v>
      </c>
      <c r="H103" s="3273">
        <f t="shared" ref="H103:J115" si="11">$F103*L103</f>
        <v>26851019.161621038</v>
      </c>
      <c r="I103" s="3273">
        <f t="shared" si="11"/>
        <v>7421317.5867461842</v>
      </c>
      <c r="J103" s="3273">
        <f t="shared" si="11"/>
        <v>6132790.3794657299</v>
      </c>
      <c r="K103" s="3299">
        <f>SUM(L103:N103)</f>
        <v>0.38879546969720469</v>
      </c>
      <c r="L103" s="3299">
        <f>VLOOKUP($E103,'B13-Materials &amp; Supplies'!$K$181:$P$183,3,FALSE)</f>
        <v>0.25837202723710373</v>
      </c>
      <c r="M103" s="3299">
        <f>VLOOKUP($E103,'B13-Materials &amp; Supplies'!$K$181:$P$183,4,FALSE)</f>
        <v>7.1411102055994435E-2</v>
      </c>
      <c r="N103" s="3299">
        <f>VLOOKUP($E103,'B13-Materials &amp; Supplies'!$K$181:$P$183,5,FALSE)</f>
        <v>5.9012340404106516E-2</v>
      </c>
    </row>
    <row r="104" spans="1:15" ht="15" customHeight="1" x14ac:dyDescent="0.25">
      <c r="A104" s="3251">
        <v>103</v>
      </c>
      <c r="B104" s="1348"/>
      <c r="C104" s="3244" t="s">
        <v>7</v>
      </c>
      <c r="D104" s="181" t="s">
        <v>78</v>
      </c>
      <c r="E104" s="181">
        <v>152</v>
      </c>
      <c r="F104" s="3288">
        <f>SUMIFS('Pg 110 - Balance Sheet (Assets)'!D:D,'Pg 110 - Balance Sheet (Assets)'!B:B,"*"&amp;C104&amp;"*")</f>
        <v>0</v>
      </c>
      <c r="G104" s="3273">
        <f t="shared" ref="G104:G115" si="12">$F104*K104</f>
        <v>0</v>
      </c>
      <c r="H104" s="3273">
        <f t="shared" si="11"/>
        <v>0</v>
      </c>
      <c r="I104" s="3273">
        <f t="shared" si="11"/>
        <v>0</v>
      </c>
      <c r="J104" s="3273">
        <f t="shared" si="11"/>
        <v>0</v>
      </c>
      <c r="K104" s="3299">
        <f t="shared" ref="K104:K115" si="13">SUM(L104:N104)</f>
        <v>0</v>
      </c>
      <c r="L104" s="3299">
        <v>0</v>
      </c>
      <c r="M104" s="3299">
        <v>0</v>
      </c>
      <c r="N104" s="3299">
        <v>0</v>
      </c>
    </row>
    <row r="105" spans="1:15" ht="15" customHeight="1" x14ac:dyDescent="0.25">
      <c r="A105" s="3251">
        <v>104</v>
      </c>
      <c r="B105" s="1348"/>
      <c r="C105" s="46" t="s">
        <v>79</v>
      </c>
      <c r="D105" s="181" t="s">
        <v>78</v>
      </c>
      <c r="E105" s="181">
        <v>154</v>
      </c>
      <c r="F105" s="3288">
        <f>SUMIFS('Pg 110 - Balance Sheet (Assets)'!D:D,'Pg 110 - Balance Sheet (Assets)'!B:B,"*"&amp;C105&amp;"*")</f>
        <v>428441000</v>
      </c>
      <c r="G105" s="3273">
        <f t="shared" si="12"/>
        <v>206715401.61593625</v>
      </c>
      <c r="H105" s="3273">
        <f t="shared" si="11"/>
        <v>150884895.0791575</v>
      </c>
      <c r="I105" s="3273">
        <f t="shared" si="11"/>
        <v>34216500.076919243</v>
      </c>
      <c r="J105" s="3273">
        <f t="shared" si="11"/>
        <v>21614006.459859494</v>
      </c>
      <c r="K105" s="3299">
        <f t="shared" si="13"/>
        <v>0.4824827726943412</v>
      </c>
      <c r="L105" s="3299">
        <f>VLOOKUP($E105,'B13-Materials &amp; Supplies'!$K$181:$P$183,3,FALSE)</f>
        <v>0.35217193284292936</v>
      </c>
      <c r="M105" s="3299">
        <f>VLOOKUP($E105,'B13-Materials &amp; Supplies'!$K$181:$P$183,4,FALSE)</f>
        <v>7.9862805093161585E-2</v>
      </c>
      <c r="N105" s="3299">
        <f>VLOOKUP($E105,'B13-Materials &amp; Supplies'!$K$181:$P$183,5,FALSE)</f>
        <v>5.044803475825025E-2</v>
      </c>
    </row>
    <row r="106" spans="1:15" ht="15" customHeight="1" x14ac:dyDescent="0.25">
      <c r="A106" s="3251">
        <v>105</v>
      </c>
      <c r="B106" s="1348"/>
      <c r="C106" s="46" t="s">
        <v>355</v>
      </c>
      <c r="D106" s="181" t="s">
        <v>255</v>
      </c>
      <c r="E106" s="181">
        <v>155</v>
      </c>
      <c r="F106" s="3288">
        <f>SUMIFS('Pg 110 - Balance Sheet (Assets)'!D:D,'Pg 110 - Balance Sheet (Assets)'!B:B,"*"&amp;C106&amp;"*")</f>
        <v>0</v>
      </c>
      <c r="G106" s="3273">
        <f t="shared" si="12"/>
        <v>0</v>
      </c>
      <c r="H106" s="3273">
        <f t="shared" si="11"/>
        <v>0</v>
      </c>
      <c r="I106" s="3273">
        <f t="shared" si="11"/>
        <v>0</v>
      </c>
      <c r="J106" s="3273">
        <f t="shared" si="11"/>
        <v>0</v>
      </c>
      <c r="K106" s="3299">
        <f t="shared" si="13"/>
        <v>0</v>
      </c>
      <c r="L106" s="3299">
        <v>0</v>
      </c>
      <c r="M106" s="3299">
        <v>0</v>
      </c>
      <c r="N106" s="3299">
        <v>0</v>
      </c>
    </row>
    <row r="107" spans="1:15" ht="15" customHeight="1" x14ac:dyDescent="0.25">
      <c r="A107" s="3251">
        <v>106</v>
      </c>
      <c r="B107" s="1348"/>
      <c r="C107" s="46" t="s">
        <v>356</v>
      </c>
      <c r="D107" s="181" t="s">
        <v>78</v>
      </c>
      <c r="E107" s="181">
        <v>156</v>
      </c>
      <c r="F107" s="3288">
        <f>SUMIFS('Pg 110 - Balance Sheet (Assets)'!D:D,'Pg 110 - Balance Sheet (Assets)'!B:B,"*"&amp;C107&amp;"*")</f>
        <v>0</v>
      </c>
      <c r="G107" s="3273">
        <f t="shared" si="12"/>
        <v>0</v>
      </c>
      <c r="H107" s="3273">
        <f t="shared" si="11"/>
        <v>0</v>
      </c>
      <c r="I107" s="3273">
        <f t="shared" si="11"/>
        <v>0</v>
      </c>
      <c r="J107" s="3273">
        <f t="shared" si="11"/>
        <v>0</v>
      </c>
      <c r="K107" s="3299">
        <f t="shared" si="13"/>
        <v>0</v>
      </c>
      <c r="L107" s="3299">
        <v>0</v>
      </c>
      <c r="M107" s="3299">
        <v>0</v>
      </c>
      <c r="N107" s="3299">
        <v>0</v>
      </c>
    </row>
    <row r="108" spans="1:15" ht="15" customHeight="1" x14ac:dyDescent="0.25">
      <c r="A108" s="3251">
        <v>107</v>
      </c>
      <c r="B108" s="1348"/>
      <c r="C108" s="46" t="s">
        <v>357</v>
      </c>
      <c r="D108" s="181" t="s">
        <v>255</v>
      </c>
      <c r="E108" s="181">
        <v>158.1</v>
      </c>
      <c r="F108" s="3300">
        <f>'Pg 110 - Balance Sheet (Assets)'!D59</f>
        <v>2677526</v>
      </c>
      <c r="G108" s="3273">
        <f t="shared" si="12"/>
        <v>1242891.2703915155</v>
      </c>
      <c r="H108" s="3273">
        <f t="shared" si="11"/>
        <v>893921.75297299691</v>
      </c>
      <c r="I108" s="3273">
        <f t="shared" si="11"/>
        <v>209417.1631710295</v>
      </c>
      <c r="J108" s="3273">
        <f t="shared" si="11"/>
        <v>139552.35424748887</v>
      </c>
      <c r="K108" s="3299">
        <f t="shared" si="13"/>
        <v>0.46419391273568039</v>
      </c>
      <c r="L108" s="3299">
        <f>'B13-Materials &amp; Supplies'!M184</f>
        <v>0.33386109153487098</v>
      </c>
      <c r="M108" s="3299">
        <f>'B13-Materials &amp; Supplies'!N184</f>
        <v>7.8212933570403986E-2</v>
      </c>
      <c r="N108" s="3299">
        <f>'B13-Materials &amp; Supplies'!O184</f>
        <v>5.2119887630405405E-2</v>
      </c>
    </row>
    <row r="109" spans="1:15" ht="15" customHeight="1" x14ac:dyDescent="0.25">
      <c r="A109" s="3251">
        <v>108</v>
      </c>
      <c r="B109" s="1348"/>
      <c r="C109" s="46" t="s">
        <v>178</v>
      </c>
      <c r="D109" s="181" t="s">
        <v>255</v>
      </c>
      <c r="E109" s="181">
        <v>158.19999999999999</v>
      </c>
      <c r="F109" s="3288">
        <f>SUMIFS('Pg 110 - Balance Sheet (Assets)'!D:D,'Pg 110 - Balance Sheet (Assets)'!B:B,"*"&amp;C109&amp;"*")</f>
        <v>0</v>
      </c>
      <c r="G109" s="3273">
        <f t="shared" si="12"/>
        <v>0</v>
      </c>
      <c r="H109" s="3273">
        <f t="shared" si="11"/>
        <v>0</v>
      </c>
      <c r="I109" s="3273">
        <f t="shared" si="11"/>
        <v>0</v>
      </c>
      <c r="J109" s="3273">
        <f t="shared" si="11"/>
        <v>0</v>
      </c>
      <c r="K109" s="3299">
        <f t="shared" si="13"/>
        <v>0</v>
      </c>
      <c r="L109" s="3299">
        <v>0</v>
      </c>
      <c r="M109" s="3299">
        <v>0</v>
      </c>
      <c r="N109" s="3299">
        <v>0</v>
      </c>
    </row>
    <row r="110" spans="1:15" ht="14.25" customHeight="1" x14ac:dyDescent="0.25">
      <c r="A110" s="3251">
        <v>109</v>
      </c>
      <c r="B110" s="1348"/>
      <c r="C110" s="46" t="s">
        <v>55</v>
      </c>
      <c r="D110" s="181" t="s">
        <v>78</v>
      </c>
      <c r="E110" s="181">
        <v>163</v>
      </c>
      <c r="F110" s="3288">
        <f>SUMIFS('Pg 110 - Balance Sheet (Assets)'!D:D,'Pg 110 - Balance Sheet (Assets)'!B:B,"*"&amp;C110&amp;"*")</f>
        <v>0</v>
      </c>
      <c r="G110" s="3273">
        <f t="shared" si="12"/>
        <v>0</v>
      </c>
      <c r="H110" s="3273">
        <f t="shared" si="11"/>
        <v>0</v>
      </c>
      <c r="I110" s="3273">
        <f t="shared" si="11"/>
        <v>0</v>
      </c>
      <c r="J110" s="3273">
        <f t="shared" si="11"/>
        <v>0</v>
      </c>
      <c r="K110" s="3299">
        <f t="shared" si="13"/>
        <v>0</v>
      </c>
      <c r="L110" s="3299">
        <v>0</v>
      </c>
      <c r="M110" s="3299">
        <v>0</v>
      </c>
      <c r="N110" s="3299">
        <v>0</v>
      </c>
    </row>
    <row r="111" spans="1:15" ht="15" customHeight="1" x14ac:dyDescent="0.25">
      <c r="A111" s="3251">
        <v>110</v>
      </c>
      <c r="B111" s="1348"/>
      <c r="C111" s="46" t="s">
        <v>8</v>
      </c>
      <c r="D111" s="181" t="s">
        <v>78</v>
      </c>
      <c r="E111" s="181">
        <v>165</v>
      </c>
      <c r="F111" s="3288">
        <f>SUMIFS('Pg 110 - Balance Sheet (Assets)'!D:D,'Pg 110 - Balance Sheet (Assets)'!B:B,"*"&amp;C111&amp;"*")</f>
        <v>224499606</v>
      </c>
      <c r="G111" s="3273">
        <f t="shared" si="12"/>
        <v>56015642.483825244</v>
      </c>
      <c r="H111" s="3273">
        <f t="shared" si="11"/>
        <v>38679081.855033264</v>
      </c>
      <c r="I111" s="3273">
        <f t="shared" si="11"/>
        <v>9927149.8225690611</v>
      </c>
      <c r="J111" s="3273">
        <f t="shared" si="11"/>
        <v>7409410.8062229184</v>
      </c>
      <c r="K111" s="3299">
        <f t="shared" si="13"/>
        <v>0.24951332201369317</v>
      </c>
      <c r="L111" s="3274">
        <f>VLOOKUP($E111,'B15-Misc Rate Base'!$K$221:$P$227,3,FALSE)</f>
        <v>0.17229019927559813</v>
      </c>
      <c r="M111" s="3274">
        <f>VLOOKUP($E111,'B15-Misc Rate Base'!$K$221:$P$227,4,FALSE)</f>
        <v>4.421900777219654E-2</v>
      </c>
      <c r="N111" s="3274">
        <f>VLOOKUP($E111,'B15-Misc Rate Base'!$K$221:$P$227,5,FALSE)</f>
        <v>3.3004114965898508E-2</v>
      </c>
    </row>
    <row r="112" spans="1:15" ht="15" customHeight="1" x14ac:dyDescent="0.25">
      <c r="A112" s="3251">
        <v>111</v>
      </c>
      <c r="B112" s="1348"/>
      <c r="C112" s="3244" t="s">
        <v>9</v>
      </c>
      <c r="D112" s="181" t="s">
        <v>78</v>
      </c>
      <c r="E112" s="181">
        <v>175</v>
      </c>
      <c r="F112" s="3288">
        <f>SUMIFS('Pg 110 - Balance Sheet (Assets)'!D:D,'Pg 110 - Balance Sheet (Assets)'!B:B,"*"&amp;C112&amp;"*")-F113</f>
        <v>17486121</v>
      </c>
      <c r="G112" s="3273">
        <f t="shared" si="12"/>
        <v>7016382.5368689988</v>
      </c>
      <c r="H112" s="3273">
        <f t="shared" si="11"/>
        <v>4737670.8043864546</v>
      </c>
      <c r="I112" s="3273">
        <f t="shared" si="11"/>
        <v>1332076.7672939056</v>
      </c>
      <c r="J112" s="3273">
        <f t="shared" si="11"/>
        <v>946634.96518863866</v>
      </c>
      <c r="K112" s="3293">
        <f t="shared" si="13"/>
        <v>0.40125437407581699</v>
      </c>
      <c r="L112" s="3293">
        <f>$L$7</f>
        <v>0.27093892375481415</v>
      </c>
      <c r="M112" s="3293">
        <f>$M$7</f>
        <v>7.6179088963979236E-2</v>
      </c>
      <c r="N112" s="3293">
        <f>$N$7</f>
        <v>5.4136361357023585E-2</v>
      </c>
    </row>
    <row r="113" spans="1:15" ht="15" customHeight="1" x14ac:dyDescent="0.25">
      <c r="A113" s="3251">
        <v>112</v>
      </c>
      <c r="B113" s="1348"/>
      <c r="C113" s="3245" t="s">
        <v>184</v>
      </c>
      <c r="D113" s="181" t="s">
        <v>255</v>
      </c>
      <c r="E113" s="181">
        <v>175</v>
      </c>
      <c r="F113" s="3288">
        <f>F98</f>
        <v>2200107</v>
      </c>
      <c r="G113" s="3273">
        <f t="shared" si="12"/>
        <v>882802.55718482344</v>
      </c>
      <c r="H113" s="3273">
        <f t="shared" si="11"/>
        <v>596094.62272543286</v>
      </c>
      <c r="I113" s="3273">
        <f t="shared" si="11"/>
        <v>167602.14688327347</v>
      </c>
      <c r="J113" s="3273">
        <f t="shared" si="11"/>
        <v>119105.78757611709</v>
      </c>
      <c r="K113" s="3293">
        <f t="shared" si="13"/>
        <v>0.40125437407581699</v>
      </c>
      <c r="L113" s="3293">
        <f>$L$7</f>
        <v>0.27093892375481415</v>
      </c>
      <c r="M113" s="3293">
        <f>$M$7</f>
        <v>7.6179088963979236E-2</v>
      </c>
      <c r="N113" s="3293">
        <f>$N$7</f>
        <v>5.4136361357023585E-2</v>
      </c>
    </row>
    <row r="114" spans="1:15" ht="15" customHeight="1" x14ac:dyDescent="0.25">
      <c r="A114" s="3251">
        <v>113</v>
      </c>
      <c r="B114" s="1348"/>
      <c r="C114" s="3244" t="s">
        <v>334</v>
      </c>
      <c r="D114" s="89" t="s">
        <v>78</v>
      </c>
      <c r="E114" s="89">
        <v>176</v>
      </c>
      <c r="F114" s="3288">
        <v>0</v>
      </c>
      <c r="G114" s="3273">
        <f t="shared" si="12"/>
        <v>0</v>
      </c>
      <c r="H114" s="3273">
        <f t="shared" si="11"/>
        <v>0</v>
      </c>
      <c r="I114" s="3273">
        <f t="shared" si="11"/>
        <v>0</v>
      </c>
      <c r="J114" s="3273">
        <f t="shared" si="11"/>
        <v>0</v>
      </c>
      <c r="K114" s="3299">
        <f t="shared" si="13"/>
        <v>0</v>
      </c>
      <c r="L114" s="3299">
        <v>0</v>
      </c>
      <c r="M114" s="3299">
        <v>0</v>
      </c>
      <c r="N114" s="3299">
        <v>0</v>
      </c>
    </row>
    <row r="115" spans="1:15" ht="15" customHeight="1" x14ac:dyDescent="0.25">
      <c r="A115" s="3251">
        <v>114</v>
      </c>
      <c r="B115" s="1348"/>
      <c r="C115" s="3245" t="s">
        <v>573</v>
      </c>
      <c r="D115" s="89" t="s">
        <v>255</v>
      </c>
      <c r="E115" s="89">
        <v>176</v>
      </c>
      <c r="F115" s="3288">
        <f>F99</f>
        <v>0</v>
      </c>
      <c r="G115" s="3273">
        <f t="shared" si="12"/>
        <v>0</v>
      </c>
      <c r="H115" s="3273">
        <f t="shared" si="11"/>
        <v>0</v>
      </c>
      <c r="I115" s="3273">
        <f t="shared" si="11"/>
        <v>0</v>
      </c>
      <c r="J115" s="3273">
        <f t="shared" si="11"/>
        <v>0</v>
      </c>
      <c r="K115" s="3299">
        <f t="shared" si="13"/>
        <v>0</v>
      </c>
      <c r="L115" s="3299">
        <v>0</v>
      </c>
      <c r="M115" s="3299">
        <v>0</v>
      </c>
      <c r="N115" s="3299">
        <v>0</v>
      </c>
    </row>
    <row r="116" spans="1:15" ht="15" customHeight="1" thickBot="1" x14ac:dyDescent="0.3">
      <c r="A116" s="3251">
        <v>115</v>
      </c>
      <c r="B116" s="1348"/>
      <c r="C116" s="3243" t="s">
        <v>104</v>
      </c>
      <c r="D116" s="3301"/>
      <c r="E116" s="1506"/>
      <c r="F116" s="3279">
        <f>SUM(F103:F112,F114)-F113-F115</f>
        <v>774828009</v>
      </c>
      <c r="G116" s="3279">
        <f>SUM(G103:G112,G114)-G113-G115</f>
        <v>310512642.47767013</v>
      </c>
      <c r="H116" s="3279">
        <f>SUM(H103:H112,H114)-H113-H115</f>
        <v>221450494.03044584</v>
      </c>
      <c r="I116" s="3279">
        <f>SUM(I103:I112,I114)-I113-I115</f>
        <v>52938859.26981616</v>
      </c>
      <c r="J116" s="3279">
        <f>SUM(J103:J112,J114)-J113-J115</f>
        <v>36123289.177408151</v>
      </c>
      <c r="K116" s="3280">
        <f>G116/$F116</f>
        <v>0.40075041024706959</v>
      </c>
      <c r="L116" s="3280">
        <f>H116/$F116</f>
        <v>0.28580600011640239</v>
      </c>
      <c r="M116" s="3280">
        <f>I116/$F116</f>
        <v>6.8323368095765571E-2</v>
      </c>
      <c r="N116" s="3280">
        <f>J116/$F116</f>
        <v>4.6621042034901646E-2</v>
      </c>
      <c r="O116" s="3129"/>
    </row>
    <row r="117" spans="1:15" ht="4.5" customHeight="1" thickTop="1" x14ac:dyDescent="0.25">
      <c r="A117" s="3251">
        <v>116</v>
      </c>
      <c r="B117" s="1510"/>
      <c r="C117" s="3246"/>
      <c r="D117" s="1512"/>
      <c r="E117" s="1512"/>
      <c r="F117" s="3273"/>
      <c r="G117" s="3283"/>
      <c r="H117" s="3273"/>
      <c r="K117" s="3274"/>
      <c r="L117" s="3283"/>
      <c r="M117" s="3283"/>
      <c r="N117" s="3283"/>
    </row>
    <row r="118" spans="1:15" ht="15" customHeight="1" x14ac:dyDescent="0.25">
      <c r="A118" s="3251">
        <v>117</v>
      </c>
      <c r="B118" s="3241" t="s">
        <v>179</v>
      </c>
      <c r="C118" s="3247"/>
      <c r="D118" s="80"/>
      <c r="E118" s="48"/>
      <c r="F118" s="3273"/>
      <c r="G118" s="3283"/>
      <c r="H118" s="3273"/>
      <c r="K118" s="3274"/>
      <c r="L118" s="3283"/>
      <c r="M118" s="3283"/>
      <c r="N118" s="3283"/>
    </row>
    <row r="119" spans="1:15" ht="15" customHeight="1" x14ac:dyDescent="0.25">
      <c r="A119" s="3251">
        <v>118</v>
      </c>
      <c r="B119" s="1348"/>
      <c r="C119" s="3244" t="s">
        <v>10</v>
      </c>
      <c r="D119" s="181" t="s">
        <v>78</v>
      </c>
      <c r="E119" s="181">
        <v>181</v>
      </c>
      <c r="F119" s="3288">
        <f>SUMIFS('Pg 110 - Balance Sheet (Assets)'!D:D,'Pg 110 - Balance Sheet (Assets)'!B:B,"*"&amp;C119&amp;"*")</f>
        <v>57531239</v>
      </c>
      <c r="G119" s="3273">
        <f>$F119*K119</f>
        <v>23084661.294751231</v>
      </c>
      <c r="H119" s="3273">
        <f t="shared" ref="H119:J121" si="14">$F119*L119</f>
        <v>15587451.976940991</v>
      </c>
      <c r="I119" s="3273">
        <f t="shared" si="14"/>
        <v>4382677.3739889516</v>
      </c>
      <c r="J119" s="3273">
        <f t="shared" si="14"/>
        <v>3114531.9438212882</v>
      </c>
      <c r="K119" s="3293">
        <f>SUM(L119:N119)</f>
        <v>0.40125437407581699</v>
      </c>
      <c r="L119" s="3293">
        <f>$L$7</f>
        <v>0.27093892375481415</v>
      </c>
      <c r="M119" s="3293">
        <f>$M$7</f>
        <v>7.6179088963979236E-2</v>
      </c>
      <c r="N119" s="3293">
        <f>$N$7</f>
        <v>5.4136361357023585E-2</v>
      </c>
    </row>
    <row r="120" spans="1:15" ht="15" customHeight="1" x14ac:dyDescent="0.25">
      <c r="A120" s="3251">
        <v>119</v>
      </c>
      <c r="B120" s="1348"/>
      <c r="C120" s="3244" t="s">
        <v>11</v>
      </c>
      <c r="D120" s="181" t="s">
        <v>78</v>
      </c>
      <c r="E120" s="181">
        <v>182.1</v>
      </c>
      <c r="F120" s="3288">
        <v>0</v>
      </c>
      <c r="G120" s="3273">
        <f t="shared" ref="G120:J132" si="15">$F120*K120</f>
        <v>0</v>
      </c>
      <c r="H120" s="3273">
        <f t="shared" si="14"/>
        <v>0</v>
      </c>
      <c r="I120" s="3273">
        <f t="shared" si="14"/>
        <v>0</v>
      </c>
      <c r="J120" s="3273">
        <f t="shared" si="14"/>
        <v>0</v>
      </c>
      <c r="K120" s="3299">
        <f t="shared" ref="K120:K132" si="16">SUM(L120:N120)</f>
        <v>0</v>
      </c>
      <c r="L120" s="3299">
        <v>0</v>
      </c>
      <c r="M120" s="3299">
        <v>0</v>
      </c>
      <c r="N120" s="3299">
        <v>0</v>
      </c>
    </row>
    <row r="121" spans="1:15" ht="15" customHeight="1" x14ac:dyDescent="0.25">
      <c r="A121" s="3251">
        <v>120</v>
      </c>
      <c r="B121" s="1348"/>
      <c r="C121" s="3244" t="s">
        <v>12</v>
      </c>
      <c r="D121" s="181" t="s">
        <v>78</v>
      </c>
      <c r="E121" s="181">
        <v>182.2</v>
      </c>
      <c r="F121" s="3288">
        <v>0</v>
      </c>
      <c r="G121" s="3273">
        <f t="shared" si="15"/>
        <v>0</v>
      </c>
      <c r="H121" s="3273">
        <f t="shared" si="14"/>
        <v>0</v>
      </c>
      <c r="I121" s="3273">
        <f t="shared" si="14"/>
        <v>0</v>
      </c>
      <c r="J121" s="3273">
        <f t="shared" si="14"/>
        <v>0</v>
      </c>
      <c r="K121" s="3299">
        <f t="shared" si="16"/>
        <v>0</v>
      </c>
      <c r="L121" s="3299">
        <v>0</v>
      </c>
      <c r="M121" s="3299">
        <v>0</v>
      </c>
      <c r="N121" s="3299">
        <v>0</v>
      </c>
    </row>
    <row r="122" spans="1:15" ht="15" customHeight="1" x14ac:dyDescent="0.25">
      <c r="A122" s="3251">
        <v>121</v>
      </c>
      <c r="B122" s="1348"/>
      <c r="C122" s="3244" t="s">
        <v>13</v>
      </c>
      <c r="D122" s="181" t="s">
        <v>78</v>
      </c>
      <c r="E122" s="181">
        <v>182.3</v>
      </c>
      <c r="F122" s="3302">
        <f>SUMIFS('Pg 110 - Balance Sheet (Assets)'!D:D,'Pg 110 - Balance Sheet (Assets)'!B:B,"*"&amp;C122&amp;"*")</f>
        <v>2499768478</v>
      </c>
      <c r="G122" s="3303">
        <f>'B16-Reg Assets'!S1030*1000</f>
        <v>672768352.85708964</v>
      </c>
      <c r="H122" s="3303">
        <f>'B16-Reg Assets'!S1026*1000</f>
        <v>416011319.21426857</v>
      </c>
      <c r="I122" s="3303">
        <f>'B16-Reg Assets'!S1027*1000</f>
        <v>169655173.82892996</v>
      </c>
      <c r="J122" s="3303">
        <f>'B16-Reg Assets'!S1028*1000</f>
        <v>87101859.813891053</v>
      </c>
      <c r="K122" s="3304">
        <f t="shared" si="16"/>
        <v>0.2691322651589535</v>
      </c>
      <c r="L122" s="3304">
        <f>H122/$F122</f>
        <v>0.16641993963661325</v>
      </c>
      <c r="M122" s="3304">
        <f>I122/$F122</f>
        <v>6.7868354738462283E-2</v>
      </c>
      <c r="N122" s="3304">
        <f>J122/$F122</f>
        <v>3.4843970783877951E-2</v>
      </c>
    </row>
    <row r="123" spans="1:15" ht="15" customHeight="1" x14ac:dyDescent="0.25">
      <c r="A123" s="3251">
        <v>122</v>
      </c>
      <c r="B123" s="1348"/>
      <c r="C123" s="3244" t="s">
        <v>183</v>
      </c>
      <c r="D123" s="181" t="s">
        <v>78</v>
      </c>
      <c r="E123" s="181">
        <v>183</v>
      </c>
      <c r="F123" s="3288">
        <f>SUMIFS('Pg 110 - Balance Sheet (Assets)'!D:D,'Pg 110 - Balance Sheet (Assets)'!B:B,"*(183)*")</f>
        <v>26480769</v>
      </c>
      <c r="G123" s="3273">
        <f t="shared" si="15"/>
        <v>10625524.390141299</v>
      </c>
      <c r="H123" s="3273">
        <f t="shared" si="15"/>
        <v>7174671.0530598462</v>
      </c>
      <c r="I123" s="3273">
        <f t="shared" si="15"/>
        <v>2017280.8574855835</v>
      </c>
      <c r="J123" s="3273">
        <f t="shared" si="15"/>
        <v>1433572.4795958681</v>
      </c>
      <c r="K123" s="3293">
        <f t="shared" si="16"/>
        <v>0.40125437407581699</v>
      </c>
      <c r="L123" s="3293">
        <f>$L$7</f>
        <v>0.27093892375481415</v>
      </c>
      <c r="M123" s="3293">
        <f>$M$7</f>
        <v>7.6179088963979236E-2</v>
      </c>
      <c r="N123" s="3293">
        <f>$N$7</f>
        <v>5.4136361357023585E-2</v>
      </c>
    </row>
    <row r="124" spans="1:15" ht="15" customHeight="1" x14ac:dyDescent="0.25">
      <c r="A124" s="3251">
        <v>123</v>
      </c>
      <c r="B124" s="1348"/>
      <c r="C124" s="3244" t="s">
        <v>14</v>
      </c>
      <c r="D124" s="181" t="s">
        <v>78</v>
      </c>
      <c r="E124" s="181">
        <v>183.1</v>
      </c>
      <c r="F124" s="3288">
        <f>SUMIFS('Pg 110 - Balance Sheet (Assets)'!D:D,'Pg 110 - Balance Sheet (Assets)'!B:B,"*"&amp;C124&amp;"*")</f>
        <v>0</v>
      </c>
      <c r="G124" s="3273">
        <f t="shared" si="15"/>
        <v>0</v>
      </c>
      <c r="H124" s="3273">
        <f t="shared" si="15"/>
        <v>0</v>
      </c>
      <c r="I124" s="3273">
        <f t="shared" si="15"/>
        <v>0</v>
      </c>
      <c r="J124" s="3273">
        <f t="shared" si="15"/>
        <v>0</v>
      </c>
      <c r="K124" s="3299">
        <f t="shared" si="16"/>
        <v>0</v>
      </c>
      <c r="L124" s="3299">
        <v>0</v>
      </c>
      <c r="M124" s="3299">
        <v>0</v>
      </c>
      <c r="N124" s="3299">
        <v>0</v>
      </c>
    </row>
    <row r="125" spans="1:15" ht="15" customHeight="1" x14ac:dyDescent="0.25">
      <c r="A125" s="3251">
        <v>124</v>
      </c>
      <c r="B125" s="1348"/>
      <c r="C125" s="3244" t="s">
        <v>445</v>
      </c>
      <c r="D125" s="181" t="s">
        <v>78</v>
      </c>
      <c r="E125" s="181">
        <v>183.2</v>
      </c>
      <c r="F125" s="3288">
        <f>SUMIFS('Pg 110 - Balance Sheet (Assets)'!D:D,'Pg 110 - Balance Sheet (Assets)'!B:B,"*"&amp;C125&amp;"*")</f>
        <v>0</v>
      </c>
      <c r="G125" s="3273">
        <f t="shared" si="15"/>
        <v>0</v>
      </c>
      <c r="H125" s="3273">
        <f t="shared" si="15"/>
        <v>0</v>
      </c>
      <c r="I125" s="3273">
        <f t="shared" si="15"/>
        <v>0</v>
      </c>
      <c r="J125" s="3273">
        <f t="shared" si="15"/>
        <v>0</v>
      </c>
      <c r="K125" s="3299">
        <f t="shared" si="16"/>
        <v>0</v>
      </c>
      <c r="L125" s="3299">
        <v>0</v>
      </c>
      <c r="M125" s="3299">
        <v>0</v>
      </c>
      <c r="N125" s="3299">
        <v>0</v>
      </c>
    </row>
    <row r="126" spans="1:15" ht="15" customHeight="1" x14ac:dyDescent="0.25">
      <c r="A126" s="3251">
        <v>125</v>
      </c>
      <c r="B126" s="1348"/>
      <c r="C126" s="3244" t="s">
        <v>15</v>
      </c>
      <c r="D126" s="181" t="s">
        <v>78</v>
      </c>
      <c r="E126" s="181">
        <v>184</v>
      </c>
      <c r="F126" s="3288">
        <f>SUMIFS('Pg 110 - Balance Sheet (Assets)'!D:D,'Pg 110 - Balance Sheet (Assets)'!B:B,"*"&amp;C126&amp;"*")</f>
        <v>7146</v>
      </c>
      <c r="G126" s="3273">
        <f t="shared" si="15"/>
        <v>2867.363757145788</v>
      </c>
      <c r="H126" s="3273">
        <f t="shared" si="15"/>
        <v>1936.129549151902</v>
      </c>
      <c r="I126" s="3273">
        <f t="shared" si="15"/>
        <v>544.37576973659566</v>
      </c>
      <c r="J126" s="3273">
        <f t="shared" si="15"/>
        <v>386.85843825729052</v>
      </c>
      <c r="K126" s="3293">
        <f t="shared" ref="K126" si="17">SUM(L126:N126)</f>
        <v>0.40125437407581699</v>
      </c>
      <c r="L126" s="3293">
        <f>$L$7</f>
        <v>0.27093892375481415</v>
      </c>
      <c r="M126" s="3293">
        <f>$M$7</f>
        <v>7.6179088963979236E-2</v>
      </c>
      <c r="N126" s="3293">
        <f>$N$7</f>
        <v>5.4136361357023585E-2</v>
      </c>
    </row>
    <row r="127" spans="1:15" ht="15" customHeight="1" x14ac:dyDescent="0.25">
      <c r="A127" s="3251">
        <v>126</v>
      </c>
      <c r="B127" s="1348"/>
      <c r="C127" s="3244" t="s">
        <v>16</v>
      </c>
      <c r="D127" s="181" t="s">
        <v>78</v>
      </c>
      <c r="E127" s="181">
        <v>185</v>
      </c>
      <c r="F127" s="3288">
        <f>SUMIFS('Pg 110 - Balance Sheet (Assets)'!D:D,'Pg 110 - Balance Sheet (Assets)'!B:B,"*"&amp;C127&amp;"*")</f>
        <v>157584</v>
      </c>
      <c r="G127" s="3273">
        <f t="shared" si="15"/>
        <v>63231.269284363545</v>
      </c>
      <c r="H127" s="3273">
        <f t="shared" si="15"/>
        <v>42695.639360978632</v>
      </c>
      <c r="I127" s="3273">
        <f t="shared" si="15"/>
        <v>12004.605555299704</v>
      </c>
      <c r="J127" s="3273">
        <f t="shared" si="15"/>
        <v>8531.0243680852054</v>
      </c>
      <c r="K127" s="3293">
        <f t="shared" si="16"/>
        <v>0.40125437407581699</v>
      </c>
      <c r="L127" s="3293">
        <f>$L$7</f>
        <v>0.27093892375481415</v>
      </c>
      <c r="M127" s="3293">
        <f>$M$7</f>
        <v>7.6179088963979236E-2</v>
      </c>
      <c r="N127" s="3293">
        <f>$N$7</f>
        <v>5.4136361357023585E-2</v>
      </c>
    </row>
    <row r="128" spans="1:15" ht="15" customHeight="1" x14ac:dyDescent="0.25">
      <c r="A128" s="3251">
        <v>127</v>
      </c>
      <c r="B128" s="1348"/>
      <c r="C128" s="3244" t="s">
        <v>17</v>
      </c>
      <c r="D128" s="181" t="s">
        <v>78</v>
      </c>
      <c r="E128" s="181">
        <v>186</v>
      </c>
      <c r="F128" s="3288">
        <f>SUMIFS('Pg 110 - Balance Sheet (Assets)'!D:D,'Pg 110 - Balance Sheet (Assets)'!B:B,"*"&amp;C128&amp;"*")</f>
        <v>131002548</v>
      </c>
      <c r="G128" s="3273">
        <f t="shared" si="15"/>
        <v>51060663.808693767</v>
      </c>
      <c r="H128" s="3273">
        <f t="shared" si="15"/>
        <v>34476594.035140738</v>
      </c>
      <c r="I128" s="3273">
        <f t="shared" si="15"/>
        <v>9693135.8859464359</v>
      </c>
      <c r="J128" s="3273">
        <f t="shared" si="15"/>
        <v>6890933.8876065873</v>
      </c>
      <c r="K128" s="3299">
        <f t="shared" si="16"/>
        <v>0.38976847846267665</v>
      </c>
      <c r="L128" s="3299">
        <f>'B11-Misc Def Debt'!G81</f>
        <v>0.2631749882845083</v>
      </c>
      <c r="M128" s="3299">
        <f>'B11-Misc Def Debt'!H81</f>
        <v>7.3991964537563321E-2</v>
      </c>
      <c r="N128" s="3299">
        <f>'B11-Misc Def Debt'!I81</f>
        <v>5.2601525640605003E-2</v>
      </c>
    </row>
    <row r="129" spans="1:15" ht="15" customHeight="1" x14ac:dyDescent="0.25">
      <c r="A129" s="3251">
        <v>128</v>
      </c>
      <c r="B129" s="1348"/>
      <c r="C129" s="3244" t="s">
        <v>18</v>
      </c>
      <c r="D129" s="181" t="s">
        <v>78</v>
      </c>
      <c r="E129" s="181">
        <v>187</v>
      </c>
      <c r="F129" s="3288">
        <f>SUMIFS('Pg 110 - Balance Sheet (Assets)'!D:D,'Pg 110 - Balance Sheet (Assets)'!B:B,"*"&amp;C129&amp;"*")</f>
        <v>0</v>
      </c>
      <c r="G129" s="3273">
        <f t="shared" si="15"/>
        <v>0</v>
      </c>
      <c r="H129" s="3273">
        <f t="shared" si="15"/>
        <v>0</v>
      </c>
      <c r="I129" s="3273">
        <f t="shared" si="15"/>
        <v>0</v>
      </c>
      <c r="J129" s="3273">
        <f t="shared" si="15"/>
        <v>0</v>
      </c>
      <c r="K129" s="3299">
        <f t="shared" si="16"/>
        <v>0</v>
      </c>
      <c r="L129" s="3299">
        <v>0</v>
      </c>
      <c r="M129" s="3299">
        <v>0</v>
      </c>
      <c r="N129" s="3299">
        <v>0</v>
      </c>
    </row>
    <row r="130" spans="1:15" ht="15" customHeight="1" x14ac:dyDescent="0.25">
      <c r="A130" s="3251">
        <v>129</v>
      </c>
      <c r="B130" s="1348"/>
      <c r="C130" s="3244" t="s">
        <v>19</v>
      </c>
      <c r="D130" s="181" t="s">
        <v>78</v>
      </c>
      <c r="E130" s="181">
        <v>188</v>
      </c>
      <c r="F130" s="3288">
        <f>SUMIFS('Pg 110 - Balance Sheet (Assets)'!D:D,'Pg 110 - Balance Sheet (Assets)'!B:B,"*"&amp;C130&amp;"*")</f>
        <v>0</v>
      </c>
      <c r="G130" s="3273">
        <f t="shared" si="15"/>
        <v>0</v>
      </c>
      <c r="H130" s="3273">
        <f t="shared" si="15"/>
        <v>0</v>
      </c>
      <c r="I130" s="3273">
        <f t="shared" si="15"/>
        <v>0</v>
      </c>
      <c r="J130" s="3273">
        <f t="shared" si="15"/>
        <v>0</v>
      </c>
      <c r="K130" s="3299">
        <f t="shared" si="16"/>
        <v>0</v>
      </c>
      <c r="L130" s="3299">
        <v>0</v>
      </c>
      <c r="M130" s="3299">
        <v>0</v>
      </c>
      <c r="N130" s="3299">
        <v>0</v>
      </c>
    </row>
    <row r="131" spans="1:15" ht="15" customHeight="1" x14ac:dyDescent="0.25">
      <c r="A131" s="3251">
        <v>130</v>
      </c>
      <c r="B131" s="1348"/>
      <c r="C131" s="3244" t="s">
        <v>20</v>
      </c>
      <c r="D131" s="181" t="s">
        <v>78</v>
      </c>
      <c r="E131" s="181">
        <v>189</v>
      </c>
      <c r="F131" s="3288">
        <f>SUMIFS('Pg 110 - Balance Sheet (Assets)'!D:D,'Pg 110 - Balance Sheet (Assets)'!B:B,"*(189)*")</f>
        <v>1997811</v>
      </c>
      <c r="G131" s="3273">
        <f t="shared" si="15"/>
        <v>801630.402326782</v>
      </c>
      <c r="H131" s="3273">
        <f t="shared" si="15"/>
        <v>541284.76220552903</v>
      </c>
      <c r="I131" s="3273">
        <f t="shared" si="15"/>
        <v>152191.42190221633</v>
      </c>
      <c r="J131" s="3273">
        <f t="shared" si="15"/>
        <v>108154.21821903664</v>
      </c>
      <c r="K131" s="3293">
        <f t="shared" si="16"/>
        <v>0.40125437407581699</v>
      </c>
      <c r="L131" s="3293">
        <f>$L$7</f>
        <v>0.27093892375481415</v>
      </c>
      <c r="M131" s="3293">
        <f>$M$7</f>
        <v>7.6179088963979236E-2</v>
      </c>
      <c r="N131" s="3293">
        <f>$N$7</f>
        <v>5.4136361357023585E-2</v>
      </c>
    </row>
    <row r="132" spans="1:15" ht="15" customHeight="1" x14ac:dyDescent="0.25">
      <c r="A132" s="3251">
        <v>131</v>
      </c>
      <c r="B132" s="1348"/>
      <c r="C132" s="3244" t="s">
        <v>21</v>
      </c>
      <c r="D132" s="181" t="s">
        <v>78</v>
      </c>
      <c r="E132" s="181">
        <v>190</v>
      </c>
      <c r="F132" s="3288">
        <f>SUMIFS('Pg 110 - Balance Sheet (Assets)'!D:D,'Pg 110 - Balance Sheet (Assets)'!B:B,"*"&amp;C132&amp;"*")</f>
        <v>928229377</v>
      </c>
      <c r="G132" s="3273">
        <f t="shared" si="15"/>
        <v>367007945.82677507</v>
      </c>
      <c r="H132" s="3273">
        <f t="shared" si="15"/>
        <v>246299450.79183847</v>
      </c>
      <c r="I132" s="3273">
        <f t="shared" si="15"/>
        <v>70570139.487552851</v>
      </c>
      <c r="J132" s="3273">
        <f t="shared" si="15"/>
        <v>50138355.547383703</v>
      </c>
      <c r="K132" s="3299">
        <f t="shared" si="16"/>
        <v>0.39538497156051017</v>
      </c>
      <c r="L132" s="3299">
        <f>VLOOKUP($E132,'B19-DIT Balance'!$L$269:$Q$272,3,FALSE)</f>
        <v>0.26534330510834336</v>
      </c>
      <c r="M132" s="3299">
        <f>VLOOKUP($E132,'B19-DIT Balance'!$L$269:$Q$272,4,FALSE)</f>
        <v>7.6026617166149932E-2</v>
      </c>
      <c r="N132" s="3299">
        <f>VLOOKUP($E132,'B19-DIT Balance'!$L$269:$Q$272,5,FALSE)</f>
        <v>5.4015049286016838E-2</v>
      </c>
    </row>
    <row r="133" spans="1:15" ht="15" customHeight="1" x14ac:dyDescent="0.25">
      <c r="A133" s="3251">
        <v>132</v>
      </c>
      <c r="B133" s="1353"/>
      <c r="C133" s="3243" t="s">
        <v>104</v>
      </c>
      <c r="D133" s="494"/>
      <c r="E133" s="487"/>
      <c r="F133" s="3279">
        <f>SUM(F119:F132)</f>
        <v>3645174952</v>
      </c>
      <c r="G133" s="3279">
        <f>SUM(G119:G132)</f>
        <v>1125414877.2128193</v>
      </c>
      <c r="H133" s="3279">
        <f>SUM(H119:H132)</f>
        <v>720135403.6023643</v>
      </c>
      <c r="I133" s="3279">
        <f>SUM(I119:I132)</f>
        <v>256483147.83713102</v>
      </c>
      <c r="J133" s="3279">
        <f>SUM(J119:J132)</f>
        <v>148796325.77332389</v>
      </c>
      <c r="K133" s="3280">
        <f>G133/$F133</f>
        <v>0.30874097732821776</v>
      </c>
      <c r="L133" s="3280">
        <f>H133/$F133</f>
        <v>0.19755852958641867</v>
      </c>
      <c r="M133" s="3280">
        <f>I133/$F133</f>
        <v>7.0362369766753252E-2</v>
      </c>
      <c r="N133" s="3280">
        <f>J133/$F133</f>
        <v>4.0820077975045818E-2</v>
      </c>
      <c r="O133" s="3129"/>
    </row>
    <row r="134" spans="1:15" ht="15" customHeight="1" x14ac:dyDescent="0.25">
      <c r="A134" s="3251">
        <v>133</v>
      </c>
      <c r="B134" s="1353"/>
      <c r="C134" s="61"/>
      <c r="D134" s="81"/>
      <c r="E134" s="34"/>
      <c r="F134" s="3273"/>
      <c r="G134" s="3273"/>
      <c r="H134" s="3273"/>
      <c r="I134" s="3273"/>
      <c r="J134" s="3273"/>
      <c r="K134" s="3274"/>
      <c r="L134" s="3283"/>
      <c r="M134" s="3283"/>
      <c r="N134" s="3283"/>
    </row>
    <row r="135" spans="1:15" ht="15" customHeight="1" x14ac:dyDescent="0.25">
      <c r="A135" s="3251">
        <v>134</v>
      </c>
      <c r="B135" s="1350" t="s">
        <v>74</v>
      </c>
      <c r="C135" s="32"/>
      <c r="D135" s="494"/>
      <c r="E135" s="487"/>
      <c r="F135" s="3279">
        <f>F84+F93+F100+F116+F133</f>
        <v>10605734873.3675</v>
      </c>
      <c r="G135" s="3279">
        <f>G84+G93+G100+G116+G133</f>
        <v>3908737606.0971003</v>
      </c>
      <c r="H135" s="3279">
        <f>H84+H93+H100+H116+H133</f>
        <v>2615967757.0807047</v>
      </c>
      <c r="I135" s="3279">
        <f>I84+I93+I100+I116+I133</f>
        <v>776072100.70195818</v>
      </c>
      <c r="J135" s="3279">
        <f>J84+J93+J100+J116+J133</f>
        <v>516697748.31443709</v>
      </c>
      <c r="K135" s="3280">
        <f>G135/$F135</f>
        <v>0.36854943601432966</v>
      </c>
      <c r="L135" s="3280">
        <f>H135/$F135</f>
        <v>0.2466559638078234</v>
      </c>
      <c r="M135" s="3280">
        <f>I135/$F135</f>
        <v>7.3174759690701391E-2</v>
      </c>
      <c r="N135" s="3280">
        <f>J135/$F135</f>
        <v>4.8718712515804841E-2</v>
      </c>
      <c r="O135" s="3129"/>
    </row>
    <row r="136" spans="1:15" ht="15" customHeight="1" thickBot="1" x14ac:dyDescent="0.3">
      <c r="A136" s="3251">
        <v>135</v>
      </c>
      <c r="B136" s="1359"/>
      <c r="C136" s="173"/>
      <c r="D136" s="174"/>
      <c r="E136" s="174"/>
      <c r="F136" s="3273"/>
      <c r="G136" s="3283"/>
      <c r="H136" s="3273"/>
      <c r="K136" s="3274"/>
      <c r="L136" s="3283"/>
      <c r="M136" s="3283"/>
      <c r="N136" s="3283"/>
    </row>
    <row r="137" spans="1:15" ht="15" customHeight="1" thickTop="1" x14ac:dyDescent="0.25">
      <c r="A137" s="3251">
        <v>136</v>
      </c>
      <c r="B137" s="1361" t="s">
        <v>75</v>
      </c>
      <c r="C137" s="32"/>
      <c r="D137" s="8"/>
      <c r="E137" s="34"/>
      <c r="F137" s="3273"/>
      <c r="G137" s="3283"/>
      <c r="H137" s="3273"/>
      <c r="K137" s="3274"/>
      <c r="L137" s="3283"/>
      <c r="M137" s="3283"/>
      <c r="N137" s="3283"/>
    </row>
    <row r="138" spans="1:15" ht="15" customHeight="1" x14ac:dyDescent="0.25">
      <c r="A138" s="3251">
        <v>137</v>
      </c>
      <c r="B138" s="1348"/>
      <c r="C138" s="3248" t="s">
        <v>434</v>
      </c>
      <c r="D138" s="48"/>
      <c r="E138" s="3305"/>
      <c r="F138" s="3273"/>
      <c r="G138" s="3283"/>
      <c r="H138" s="3273"/>
      <c r="K138" s="3274"/>
      <c r="L138" s="3283"/>
      <c r="M138" s="3283"/>
      <c r="N138" s="3283"/>
    </row>
    <row r="139" spans="1:15" ht="15" customHeight="1" x14ac:dyDescent="0.25">
      <c r="A139" s="3251">
        <v>138</v>
      </c>
      <c r="B139" s="1348"/>
      <c r="C139" s="3244" t="s">
        <v>332</v>
      </c>
      <c r="D139" s="181" t="s">
        <v>81</v>
      </c>
      <c r="E139" s="181">
        <v>244</v>
      </c>
      <c r="F139" s="3288">
        <f>SUMIFS('Pg 112 - Balance Sheet (Liab &amp; '!D:D,'Pg 112 - Balance Sheet (Liab &amp; '!B:B,"*"&amp;E139&amp;"*")</f>
        <v>83570102</v>
      </c>
      <c r="G139" s="3273">
        <f>$F139*K139</f>
        <v>33532868.969462182</v>
      </c>
      <c r="H139" s="3273">
        <f t="shared" ref="H139:J142" si="18">$F139*L139</f>
        <v>22642393.493960042</v>
      </c>
      <c r="I139" s="3273">
        <f t="shared" si="18"/>
        <v>6366294.2349868193</v>
      </c>
      <c r="J139" s="3273">
        <f t="shared" si="18"/>
        <v>4524181.2405153196</v>
      </c>
      <c r="K139" s="3293">
        <f>SUM(L139:N139)</f>
        <v>0.40125437407581699</v>
      </c>
      <c r="L139" s="3293">
        <f>$L$7</f>
        <v>0.27093892375481415</v>
      </c>
      <c r="M139" s="3293">
        <f>$M$7</f>
        <v>7.6179088963979236E-2</v>
      </c>
      <c r="N139" s="3293">
        <f>$N$7</f>
        <v>5.4136361357023585E-2</v>
      </c>
    </row>
    <row r="140" spans="1:15" ht="15" customHeight="1" x14ac:dyDescent="0.25">
      <c r="A140" s="3251">
        <v>139</v>
      </c>
      <c r="B140" s="1348"/>
      <c r="C140" s="3245" t="s">
        <v>350</v>
      </c>
      <c r="D140" s="181" t="s">
        <v>348</v>
      </c>
      <c r="E140" s="181">
        <v>244</v>
      </c>
      <c r="F140" s="3306">
        <f>'Pg 112 - Balance Sheet (Liab &amp; '!D58</f>
        <v>19997035</v>
      </c>
      <c r="G140" s="3273">
        <f>$F140*K140</f>
        <v>8023897.7622972047</v>
      </c>
      <c r="H140" s="3273">
        <f t="shared" si="18"/>
        <v>5417975.1411873503</v>
      </c>
      <c r="I140" s="3273">
        <f t="shared" si="18"/>
        <v>1523355.9082808066</v>
      </c>
      <c r="J140" s="3273">
        <f t="shared" si="18"/>
        <v>1082566.712829048</v>
      </c>
      <c r="K140" s="3293">
        <f>SUM(L140:N140)</f>
        <v>0.40125437407581699</v>
      </c>
      <c r="L140" s="3293">
        <f>$L$7</f>
        <v>0.27093892375481415</v>
      </c>
      <c r="M140" s="3293">
        <f>$M$7</f>
        <v>7.6179088963979236E-2</v>
      </c>
      <c r="N140" s="3293">
        <f>$N$7</f>
        <v>5.4136361357023585E-2</v>
      </c>
    </row>
    <row r="141" spans="1:15" ht="15" customHeight="1" x14ac:dyDescent="0.25">
      <c r="A141" s="3251">
        <v>140</v>
      </c>
      <c r="B141" s="1348"/>
      <c r="C141" s="3244" t="s">
        <v>333</v>
      </c>
      <c r="D141" s="181" t="s">
        <v>373</v>
      </c>
      <c r="E141" s="181">
        <v>245</v>
      </c>
      <c r="F141" s="3288">
        <f>SUMIFS('Pg 112 - Balance Sheet (Liab &amp; '!D:D,'Pg 112 - Balance Sheet (Liab &amp; '!B:B,"*"&amp;E141&amp;"*")</f>
        <v>0</v>
      </c>
      <c r="G141" s="3273">
        <f>$F141*K141</f>
        <v>0</v>
      </c>
      <c r="H141" s="3273">
        <f t="shared" si="18"/>
        <v>0</v>
      </c>
      <c r="I141" s="3273">
        <f t="shared" si="18"/>
        <v>0</v>
      </c>
      <c r="J141" s="3273">
        <f t="shared" si="18"/>
        <v>0</v>
      </c>
      <c r="K141" s="3299">
        <f>SUM(L141:N141)</f>
        <v>0</v>
      </c>
      <c r="L141" s="3299">
        <v>0</v>
      </c>
      <c r="M141" s="3299">
        <v>0</v>
      </c>
      <c r="N141" s="3299">
        <v>0</v>
      </c>
    </row>
    <row r="142" spans="1:15" ht="15" customHeight="1" x14ac:dyDescent="0.25">
      <c r="A142" s="3251">
        <v>141</v>
      </c>
      <c r="B142" s="1348"/>
      <c r="C142" s="3245" t="s">
        <v>349</v>
      </c>
      <c r="D142" s="181" t="s">
        <v>348</v>
      </c>
      <c r="E142" s="181">
        <v>245</v>
      </c>
      <c r="F142" s="3288">
        <f>'Pg 112 - Balance Sheet (Liab &amp; '!D60</f>
        <v>0</v>
      </c>
      <c r="G142" s="3273">
        <f>$F142*K142</f>
        <v>0</v>
      </c>
      <c r="H142" s="3273">
        <f t="shared" si="18"/>
        <v>0</v>
      </c>
      <c r="I142" s="3273">
        <f t="shared" si="18"/>
        <v>0</v>
      </c>
      <c r="J142" s="3273">
        <f t="shared" si="18"/>
        <v>0</v>
      </c>
      <c r="K142" s="3299">
        <f>SUM(L142:N142)</f>
        <v>0</v>
      </c>
      <c r="L142" s="3299">
        <v>0</v>
      </c>
      <c r="M142" s="3299">
        <v>0</v>
      </c>
      <c r="N142" s="3299">
        <v>0</v>
      </c>
    </row>
    <row r="143" spans="1:15" ht="15" customHeight="1" x14ac:dyDescent="0.25">
      <c r="A143" s="3251">
        <v>142</v>
      </c>
      <c r="B143" s="1348"/>
      <c r="C143" s="3243" t="s">
        <v>104</v>
      </c>
      <c r="D143" s="494"/>
      <c r="E143" s="487"/>
      <c r="F143" s="3279">
        <f>F139-F140+F141-F142</f>
        <v>63573067</v>
      </c>
      <c r="G143" s="3279">
        <f>G139-G140+G141-G142</f>
        <v>25508971.207164977</v>
      </c>
      <c r="H143" s="3279">
        <f>H139-H140+H141-H142</f>
        <v>17224418.35277269</v>
      </c>
      <c r="I143" s="3279">
        <f>I139-I140+I141-I142</f>
        <v>4842938.3267060127</v>
      </c>
      <c r="J143" s="3279">
        <f>J139-J140+J141-J142</f>
        <v>3441614.5276862718</v>
      </c>
      <c r="K143" s="3280">
        <f>G143/$F143</f>
        <v>0.40125437407581699</v>
      </c>
      <c r="L143" s="3280">
        <f>H143/$F143</f>
        <v>0.27093892375481415</v>
      </c>
      <c r="M143" s="3280">
        <f>I143/$F143</f>
        <v>7.6179088963979236E-2</v>
      </c>
      <c r="N143" s="3280">
        <f>J143/$F143</f>
        <v>5.4136361357023592E-2</v>
      </c>
      <c r="O143" s="3129"/>
    </row>
    <row r="144" spans="1:15" ht="15" customHeight="1" x14ac:dyDescent="0.25">
      <c r="A144" s="3251">
        <v>143</v>
      </c>
      <c r="B144" s="1348"/>
      <c r="C144" s="3248" t="s">
        <v>435</v>
      </c>
      <c r="D144" s="48"/>
      <c r="E144" s="3305"/>
      <c r="F144" s="3273"/>
      <c r="G144" s="3283"/>
      <c r="H144" s="3273"/>
      <c r="K144" s="3274"/>
      <c r="L144" s="3283"/>
      <c r="M144" s="3283"/>
      <c r="N144" s="3283"/>
    </row>
    <row r="145" spans="1:15" ht="15" hidden="1" customHeight="1" x14ac:dyDescent="0.25">
      <c r="A145" s="3251">
        <v>144</v>
      </c>
      <c r="B145" s="1348"/>
      <c r="C145" s="3244" t="s">
        <v>374</v>
      </c>
      <c r="D145" s="181" t="s">
        <v>81</v>
      </c>
      <c r="E145" s="181">
        <v>244</v>
      </c>
      <c r="F145" s="3273"/>
      <c r="G145" s="3283"/>
      <c r="H145" s="3273"/>
      <c r="K145" s="3274"/>
      <c r="L145" s="3283"/>
      <c r="M145" s="3283"/>
      <c r="N145" s="3283"/>
    </row>
    <row r="146" spans="1:15" ht="15" hidden="1" customHeight="1" x14ac:dyDescent="0.25">
      <c r="A146" s="3251">
        <v>145</v>
      </c>
      <c r="B146" s="1348"/>
      <c r="C146" s="3244" t="s">
        <v>375</v>
      </c>
      <c r="D146" s="181" t="s">
        <v>348</v>
      </c>
      <c r="E146" s="181">
        <v>245</v>
      </c>
      <c r="F146" s="3273"/>
      <c r="G146" s="3283"/>
      <c r="H146" s="3273"/>
      <c r="K146" s="3274"/>
      <c r="L146" s="3283"/>
      <c r="M146" s="3283"/>
      <c r="N146" s="3283"/>
    </row>
    <row r="147" spans="1:15" ht="15" customHeight="1" x14ac:dyDescent="0.25">
      <c r="A147" s="3251">
        <v>146</v>
      </c>
      <c r="B147" s="1348"/>
      <c r="C147" s="3244" t="s">
        <v>22</v>
      </c>
      <c r="D147" s="181" t="s">
        <v>81</v>
      </c>
      <c r="E147" s="181">
        <v>252</v>
      </c>
      <c r="F147" s="3288">
        <f>SUMIFS('Pg 112 - Balance Sheet (Liab &amp; '!D:D,'Pg 112 - Balance Sheet (Liab &amp; '!B:B,"*"&amp;E147&amp;"*")</f>
        <v>246675415</v>
      </c>
      <c r="G147" s="3273">
        <f>$F147*K147</f>
        <v>140066801.77948466</v>
      </c>
      <c r="H147" s="3273">
        <f>$F147*L147</f>
        <v>116915919.87053765</v>
      </c>
      <c r="I147" s="3273">
        <f>$F147*M147</f>
        <v>13536233.746447403</v>
      </c>
      <c r="J147" s="3273">
        <f>$F147*N147</f>
        <v>9614648.1624996364</v>
      </c>
      <c r="K147" s="3299">
        <f>SUM(L147:N147)</f>
        <v>0.56781824722777774</v>
      </c>
      <c r="L147" s="3299">
        <f>'B20-Customer Adv'!G48</f>
        <v>0.47396664913095476</v>
      </c>
      <c r="M147" s="3299">
        <f>'B20-Customer Adv'!H48</f>
        <v>5.4874677099245595E-2</v>
      </c>
      <c r="N147" s="3299">
        <f>'B20-Customer Adv'!I48</f>
        <v>3.897692099757747E-2</v>
      </c>
    </row>
    <row r="148" spans="1:15" ht="15" customHeight="1" x14ac:dyDescent="0.25">
      <c r="A148" s="3251">
        <v>147</v>
      </c>
      <c r="B148" s="1348"/>
      <c r="C148" s="3244" t="s">
        <v>25</v>
      </c>
      <c r="D148" s="181" t="s">
        <v>81</v>
      </c>
      <c r="E148" s="181">
        <v>253</v>
      </c>
      <c r="F148" s="3288">
        <f>SUMIFS('Pg 112 - Balance Sheet (Liab &amp; '!D:D,'Pg 112 - Balance Sheet (Liab &amp; '!B:B,"*"&amp;E148&amp;"*")</f>
        <v>404242063</v>
      </c>
      <c r="G148" s="3307">
        <f>SUM(H148:J148)</f>
        <v>139827822.78011093</v>
      </c>
      <c r="H148" s="3303">
        <f>-'B15-Misc Rate Base'!W245*1000</f>
        <v>94502054.237743318</v>
      </c>
      <c r="I148" s="3303">
        <f>-'B15-Misc Rate Base'!W246*1000</f>
        <v>26149892.274204358</v>
      </c>
      <c r="J148" s="3303">
        <f>-'B15-Misc Rate Base'!W247*1000</f>
        <v>19175876.268163256</v>
      </c>
      <c r="K148" s="3293">
        <f t="shared" ref="K148:K155" si="19">SUM(L148:N148)</f>
        <v>0.40125437407581699</v>
      </c>
      <c r="L148" s="3293">
        <f>$L$7</f>
        <v>0.27093892375481415</v>
      </c>
      <c r="M148" s="3293">
        <f>$M$7</f>
        <v>7.6179088963979236E-2</v>
      </c>
      <c r="N148" s="3293">
        <f>$N$7</f>
        <v>5.4136361357023585E-2</v>
      </c>
    </row>
    <row r="149" spans="1:15" ht="15" customHeight="1" x14ac:dyDescent="0.25">
      <c r="A149" s="3251">
        <v>148</v>
      </c>
      <c r="B149" s="1348"/>
      <c r="C149" s="3244" t="s">
        <v>26</v>
      </c>
      <c r="D149" s="181" t="s">
        <v>81</v>
      </c>
      <c r="E149" s="181">
        <v>254</v>
      </c>
      <c r="F149" s="3288">
        <f>SUMIFS('Pg 112 - Balance Sheet (Liab &amp; '!D:D,'Pg 112 - Balance Sheet (Liab &amp; '!B:B,"*"&amp;E149&amp;"*")</f>
        <v>1176960899</v>
      </c>
      <c r="G149" s="3307">
        <f>SUM(H149:J149)</f>
        <v>540639201.34976745</v>
      </c>
      <c r="H149" s="3307">
        <f>-'B15-Misc Rate Base'!G$226*1000</f>
        <v>359522698.61054516</v>
      </c>
      <c r="I149" s="3307">
        <f>-'B15-Misc Rate Base'!H$226*1000</f>
        <v>100783657.40017512</v>
      </c>
      <c r="J149" s="3307">
        <f>-'B15-Misc Rate Base'!I$226*1000</f>
        <v>80332845.339047253</v>
      </c>
      <c r="K149" s="3293">
        <f t="shared" si="19"/>
        <v>0.40125437407581699</v>
      </c>
      <c r="L149" s="3293">
        <f>$L$7</f>
        <v>0.27093892375481415</v>
      </c>
      <c r="M149" s="3293">
        <f>$M$7</f>
        <v>7.6179088963979236E-2</v>
      </c>
      <c r="N149" s="3293">
        <f>$N$7</f>
        <v>5.4136361357023585E-2</v>
      </c>
    </row>
    <row r="150" spans="1:15" ht="15" customHeight="1" x14ac:dyDescent="0.25">
      <c r="A150" s="3251">
        <v>149</v>
      </c>
      <c r="B150" s="1348"/>
      <c r="C150" s="3244" t="s">
        <v>23</v>
      </c>
      <c r="D150" s="181" t="s">
        <v>81</v>
      </c>
      <c r="E150" s="181">
        <v>255</v>
      </c>
      <c r="F150" s="3288">
        <f>SUMIFS('Pg 112 - Balance Sheet (Liab &amp; '!D:D,'Pg 112 - Balance Sheet (Liab &amp; '!B:B,"*"&amp;E150&amp;"*")</f>
        <v>10061962</v>
      </c>
      <c r="G150" s="3273">
        <f t="shared" ref="G150:J155" si="20">$F150*K150</f>
        <v>380033.94867876312</v>
      </c>
      <c r="H150" s="3273">
        <f t="shared" si="20"/>
        <v>204819.8228425734</v>
      </c>
      <c r="I150" s="3273">
        <f t="shared" si="20"/>
        <v>57588.578597997119</v>
      </c>
      <c r="J150" s="3273">
        <f t="shared" si="20"/>
        <v>117625.54723819264</v>
      </c>
      <c r="K150" s="3299">
        <f t="shared" si="19"/>
        <v>3.776936830796649E-2</v>
      </c>
      <c r="L150" s="3299">
        <f>'B19-ITC Balance'!G49</f>
        <v>2.0355853345756365E-2</v>
      </c>
      <c r="M150" s="3299">
        <f>'B19-ITC Balance'!H49</f>
        <v>5.723394562412094E-3</v>
      </c>
      <c r="N150" s="3299">
        <f>'B19-ITC Balance'!I49</f>
        <v>1.1690120399798035E-2</v>
      </c>
    </row>
    <row r="151" spans="1:15" ht="15" customHeight="1" x14ac:dyDescent="0.25">
      <c r="A151" s="3251">
        <v>150</v>
      </c>
      <c r="B151" s="1348"/>
      <c r="C151" s="3244" t="s">
        <v>24</v>
      </c>
      <c r="D151" s="181" t="s">
        <v>81</v>
      </c>
      <c r="E151" s="181">
        <v>256</v>
      </c>
      <c r="F151" s="3288">
        <f>SUMIFS('Pg 112 - Balance Sheet (Liab &amp; '!D:D,'Pg 112 - Balance Sheet (Liab &amp; '!B:B,"*"&amp;E151&amp;"*")</f>
        <v>0</v>
      </c>
      <c r="G151" s="3273">
        <f t="shared" si="20"/>
        <v>0</v>
      </c>
      <c r="H151" s="3273">
        <f t="shared" si="20"/>
        <v>0</v>
      </c>
      <c r="I151" s="3273">
        <f t="shared" si="20"/>
        <v>0</v>
      </c>
      <c r="J151" s="3273">
        <f t="shared" si="20"/>
        <v>0</v>
      </c>
      <c r="K151" s="3293">
        <f t="shared" si="19"/>
        <v>0</v>
      </c>
      <c r="L151" s="3293">
        <v>0</v>
      </c>
      <c r="M151" s="3293">
        <v>0</v>
      </c>
      <c r="N151" s="3293">
        <v>0</v>
      </c>
    </row>
    <row r="152" spans="1:15" ht="15.75" customHeight="1" x14ac:dyDescent="0.25">
      <c r="A152" s="3251">
        <v>151</v>
      </c>
      <c r="B152" s="1348"/>
      <c r="C152" s="3244" t="s">
        <v>27</v>
      </c>
      <c r="D152" s="181" t="s">
        <v>81</v>
      </c>
      <c r="E152" s="181">
        <v>257</v>
      </c>
      <c r="F152" s="3288">
        <f>SUMIFS('Pg 112 - Balance Sheet (Liab &amp; '!D:D,'Pg 112 - Balance Sheet (Liab &amp; '!B:B,"*"&amp;E152&amp;"*")</f>
        <v>0</v>
      </c>
      <c r="G152" s="3273">
        <f t="shared" si="20"/>
        <v>0</v>
      </c>
      <c r="H152" s="3273">
        <f t="shared" si="20"/>
        <v>0</v>
      </c>
      <c r="I152" s="3273">
        <f t="shared" si="20"/>
        <v>0</v>
      </c>
      <c r="J152" s="3273">
        <f t="shared" si="20"/>
        <v>0</v>
      </c>
      <c r="K152" s="3293">
        <f t="shared" si="19"/>
        <v>0</v>
      </c>
      <c r="L152" s="3293">
        <v>0</v>
      </c>
      <c r="M152" s="3293">
        <v>0</v>
      </c>
      <c r="N152" s="3293">
        <v>0</v>
      </c>
    </row>
    <row r="153" spans="1:15" ht="15" customHeight="1" x14ac:dyDescent="0.25">
      <c r="A153" s="3251">
        <v>152</v>
      </c>
      <c r="B153" s="1348"/>
      <c r="C153" s="3244" t="s">
        <v>31</v>
      </c>
      <c r="D153" s="181" t="s">
        <v>81</v>
      </c>
      <c r="E153" s="181">
        <v>281</v>
      </c>
      <c r="F153" s="3288">
        <f>SUMIFS('Pg 112 - Balance Sheet (Liab &amp; '!D:D,'Pg 112 - Balance Sheet (Liab &amp; '!B:B,"*"&amp;E153&amp;"*")</f>
        <v>122977940</v>
      </c>
      <c r="G153" s="3273">
        <f t="shared" si="20"/>
        <v>49345436.339833379</v>
      </c>
      <c r="H153" s="3273">
        <f t="shared" si="20"/>
        <v>33319510.70918411</v>
      </c>
      <c r="I153" s="3273">
        <f t="shared" si="20"/>
        <v>9368347.431866901</v>
      </c>
      <c r="J153" s="3273">
        <f t="shared" si="20"/>
        <v>6657578.1987823648</v>
      </c>
      <c r="K153" s="3299">
        <f t="shared" si="19"/>
        <v>0.40125437407581699</v>
      </c>
      <c r="L153" s="3299">
        <f>VLOOKUP($E153,'B19-DIT Balance'!$L$269:$Q$272,3,FALSE)</f>
        <v>0.27093892375481415</v>
      </c>
      <c r="M153" s="3299">
        <f>VLOOKUP($E153,'B19-DIT Balance'!$L$269:$Q$272,4,FALSE)</f>
        <v>7.6179088963979236E-2</v>
      </c>
      <c r="N153" s="3299">
        <f>VLOOKUP($E153,'B19-DIT Balance'!$L$269:$Q$272,5,FALSE)</f>
        <v>5.4136361357023585E-2</v>
      </c>
    </row>
    <row r="154" spans="1:15" ht="15" customHeight="1" x14ac:dyDescent="0.25">
      <c r="A154" s="3251">
        <v>153</v>
      </c>
      <c r="B154" s="1348"/>
      <c r="C154" s="3244" t="s">
        <v>32</v>
      </c>
      <c r="D154" s="181" t="s">
        <v>81</v>
      </c>
      <c r="E154" s="181">
        <v>282</v>
      </c>
      <c r="F154" s="3288">
        <f>SUMIFS('Pg 112 - Balance Sheet (Liab &amp; '!D:D,'Pg 112 - Balance Sheet (Liab &amp; '!B:B,"*"&amp;E154&amp;"*")</f>
        <v>3253177664</v>
      </c>
      <c r="G154" s="3273">
        <f t="shared" si="20"/>
        <v>1235537678.297518</v>
      </c>
      <c r="H154" s="3273">
        <f t="shared" si="20"/>
        <v>808449407.52286541</v>
      </c>
      <c r="I154" s="3273">
        <f t="shared" si="20"/>
        <v>242068795.12899095</v>
      </c>
      <c r="J154" s="3273">
        <f t="shared" si="20"/>
        <v>185019475.6456615</v>
      </c>
      <c r="K154" s="3299">
        <f t="shared" si="19"/>
        <v>0.37979409854251289</v>
      </c>
      <c r="L154" s="3299">
        <f>VLOOKUP($E154,'B19-DIT Balance'!$L$269:$Q$272,3,FALSE)</f>
        <v>0.24851068432851056</v>
      </c>
      <c r="M154" s="3299">
        <f>VLOOKUP($E154,'B19-DIT Balance'!$L$269:$Q$272,4,FALSE)</f>
        <v>7.4409952400617166E-2</v>
      </c>
      <c r="N154" s="3299">
        <f>VLOOKUP($E154,'B19-DIT Balance'!$L$269:$Q$272,5,FALSE)</f>
        <v>5.6873461813385151E-2</v>
      </c>
    </row>
    <row r="155" spans="1:15" ht="15" customHeight="1" x14ac:dyDescent="0.25">
      <c r="A155" s="3251">
        <v>154</v>
      </c>
      <c r="B155" s="1348"/>
      <c r="C155" s="3244" t="s">
        <v>33</v>
      </c>
      <c r="D155" s="181" t="s">
        <v>81</v>
      </c>
      <c r="E155" s="181">
        <v>283</v>
      </c>
      <c r="F155" s="3288">
        <f>SUMIFS('Pg 112 - Balance Sheet (Liab &amp; '!D:D,'Pg 112 - Balance Sheet (Liab &amp; '!B:B,"*"&amp;E155&amp;"*")</f>
        <v>675137414</v>
      </c>
      <c r="G155" s="3273">
        <f t="shared" si="20"/>
        <v>92165168.090324983</v>
      </c>
      <c r="H155" s="3273">
        <f t="shared" si="20"/>
        <v>66303684.399601184</v>
      </c>
      <c r="I155" s="3273">
        <f t="shared" si="20"/>
        <v>12754163.692504926</v>
      </c>
      <c r="J155" s="3273">
        <f t="shared" si="20"/>
        <v>13107319.998218885</v>
      </c>
      <c r="K155" s="3299">
        <f t="shared" si="19"/>
        <v>0.13651319891201436</v>
      </c>
      <c r="L155" s="3299">
        <f>VLOOKUP($E155,'B19-DIT Balance'!$L$269:$Q$272,3,FALSE)</f>
        <v>9.820768783464455E-2</v>
      </c>
      <c r="M155" s="3299">
        <f>VLOOKUP($E155,'B19-DIT Balance'!$L$269:$Q$272,4,FALSE)</f>
        <v>1.8891211519355858E-2</v>
      </c>
      <c r="N155" s="3299">
        <f>VLOOKUP($E155,'B19-DIT Balance'!$L$269:$Q$272,5,FALSE)</f>
        <v>1.9414299558013954E-2</v>
      </c>
    </row>
    <row r="156" spans="1:15" ht="15" customHeight="1" x14ac:dyDescent="0.25">
      <c r="A156" s="3251">
        <v>155</v>
      </c>
      <c r="B156" s="1348"/>
      <c r="C156" s="3243" t="s">
        <v>104</v>
      </c>
      <c r="D156" s="494"/>
      <c r="E156" s="487"/>
      <c r="F156" s="3279">
        <f>SUM(F147:F155)</f>
        <v>5889233357</v>
      </c>
      <c r="G156" s="3279">
        <f>SUM(G147:G155)</f>
        <v>2197962142.5857182</v>
      </c>
      <c r="H156" s="3279">
        <f>SUM(H147:H155)</f>
        <v>1479218095.1733196</v>
      </c>
      <c r="I156" s="3279">
        <f>SUM(I147:I155)</f>
        <v>404718678.25278765</v>
      </c>
      <c r="J156" s="3279">
        <f>SUM(J147:J155)</f>
        <v>314025369.15961111</v>
      </c>
      <c r="K156" s="3280">
        <f>G156/$F156</f>
        <v>0.37321702322649503</v>
      </c>
      <c r="L156" s="3280">
        <f>H156/$F156</f>
        <v>0.25117328614854539</v>
      </c>
      <c r="M156" s="3280">
        <f>I156/$F156</f>
        <v>6.8721793435428252E-2</v>
      </c>
      <c r="N156" s="3280">
        <f>J156/$F156</f>
        <v>5.3321943642521401E-2</v>
      </c>
      <c r="O156" s="3129"/>
    </row>
    <row r="157" spans="1:15" ht="15" customHeight="1" x14ac:dyDescent="0.25">
      <c r="A157" s="3251">
        <v>156</v>
      </c>
      <c r="B157" s="1348"/>
      <c r="C157" s="3247"/>
      <c r="D157" s="34"/>
      <c r="E157" s="3308"/>
      <c r="F157" s="3273"/>
      <c r="G157" s="3273"/>
      <c r="H157" s="3273"/>
      <c r="I157" s="3273"/>
      <c r="J157" s="3273"/>
      <c r="K157" s="3274"/>
      <c r="L157" s="3283"/>
      <c r="M157" s="3283"/>
      <c r="N157" s="3283"/>
    </row>
    <row r="158" spans="1:15" ht="15" customHeight="1" x14ac:dyDescent="0.25">
      <c r="A158" s="3251">
        <v>157</v>
      </c>
      <c r="B158" s="1350" t="s">
        <v>73</v>
      </c>
      <c r="C158" s="32"/>
      <c r="D158" s="494"/>
      <c r="E158" s="487"/>
      <c r="F158" s="3279">
        <f>F143+F156</f>
        <v>5952806424</v>
      </c>
      <c r="G158" s="3279">
        <f>G143+G156</f>
        <v>2223471113.7928829</v>
      </c>
      <c r="H158" s="3279">
        <f>H143+H156</f>
        <v>1496442513.5260923</v>
      </c>
      <c r="I158" s="3279">
        <f>I143+I156</f>
        <v>409561616.57949364</v>
      </c>
      <c r="J158" s="3279">
        <f>J143+J156</f>
        <v>317466983.6872974</v>
      </c>
      <c r="K158" s="3280">
        <f>G158/$F158</f>
        <v>0.37351644844832987</v>
      </c>
      <c r="L158" s="3280">
        <f>H158/$F158</f>
        <v>0.25138437351042819</v>
      </c>
      <c r="M158" s="3280">
        <f>I158/$F158</f>
        <v>6.8801433711712726E-2</v>
      </c>
      <c r="N158" s="3280">
        <f>J158/$F158</f>
        <v>5.3330641226189052E-2</v>
      </c>
      <c r="O158" s="3129"/>
    </row>
    <row r="159" spans="1:15" ht="15" customHeight="1" x14ac:dyDescent="0.25">
      <c r="A159" s="3251">
        <v>158</v>
      </c>
      <c r="B159" s="1372"/>
      <c r="C159" s="32"/>
      <c r="D159" s="8"/>
      <c r="E159" s="8"/>
      <c r="F159" s="3273"/>
      <c r="G159" s="3273"/>
      <c r="H159" s="3273"/>
      <c r="I159" s="3273"/>
      <c r="J159" s="3273"/>
      <c r="K159" s="3274"/>
      <c r="L159" s="3283"/>
      <c r="M159" s="3283"/>
      <c r="N159" s="3283"/>
    </row>
    <row r="160" spans="1:15" ht="15" customHeight="1" x14ac:dyDescent="0.25">
      <c r="A160" s="3251">
        <v>159</v>
      </c>
      <c r="B160" s="3250"/>
      <c r="C160" s="3247"/>
      <c r="D160" s="3308"/>
      <c r="E160" s="3308"/>
      <c r="F160" s="3273"/>
      <c r="G160" s="3273"/>
      <c r="H160" s="3273"/>
      <c r="I160" s="3273"/>
      <c r="J160" s="3273"/>
      <c r="K160" s="3274"/>
      <c r="L160" s="3283"/>
      <c r="M160" s="3283"/>
      <c r="N160" s="3283"/>
    </row>
    <row r="161" spans="1:15" ht="15" customHeight="1" x14ac:dyDescent="0.25">
      <c r="A161" s="3251">
        <v>160</v>
      </c>
      <c r="B161" s="1344" t="s">
        <v>478</v>
      </c>
      <c r="C161" s="32"/>
      <c r="D161" s="496"/>
      <c r="E161" s="497"/>
      <c r="F161" s="3279">
        <f>F79+F135-F158</f>
        <v>25410746204.227501</v>
      </c>
      <c r="G161" s="3279">
        <f>G79+G135-G158</f>
        <v>9927581496.6237545</v>
      </c>
      <c r="H161" s="3279">
        <f>H79+H135-H158</f>
        <v>6763102042.3214083</v>
      </c>
      <c r="I161" s="3279">
        <f>I79+I135-I158</f>
        <v>1852047861.0631013</v>
      </c>
      <c r="J161" s="3279">
        <f>J79+J135-J158</f>
        <v>1312431593.2392437</v>
      </c>
      <c r="K161" s="3280">
        <f>G161/$F161</f>
        <v>0.39068437490325003</v>
      </c>
      <c r="L161" s="3280">
        <f>H161/$F161</f>
        <v>0.26615125695113406</v>
      </c>
      <c r="M161" s="3280">
        <f>I161/$F161</f>
        <v>7.2884434253842667E-2</v>
      </c>
      <c r="N161" s="3280">
        <f>J161/$F161</f>
        <v>5.1648683698273246E-2</v>
      </c>
      <c r="O161" s="3129"/>
    </row>
    <row r="162" spans="1:15" ht="15" customHeight="1" x14ac:dyDescent="0.25">
      <c r="A162" s="3251">
        <v>161</v>
      </c>
      <c r="B162" s="1356" t="s">
        <v>83</v>
      </c>
      <c r="C162" s="32"/>
      <c r="D162" s="8"/>
      <c r="E162" s="8"/>
      <c r="F162" s="3273"/>
      <c r="G162" s="3279"/>
      <c r="H162" s="3273"/>
      <c r="K162" s="3274"/>
      <c r="L162" s="3283"/>
      <c r="M162" s="3283"/>
      <c r="N162" s="3283"/>
    </row>
    <row r="163" spans="1:15" ht="15" customHeight="1" thickBot="1" x14ac:dyDescent="0.3">
      <c r="A163" s="3251">
        <v>162</v>
      </c>
      <c r="B163" s="1359"/>
      <c r="C163" s="173"/>
      <c r="D163" s="174"/>
      <c r="E163" s="174"/>
      <c r="F163" s="174"/>
      <c r="G163" s="174"/>
      <c r="H163" s="174"/>
      <c r="I163" s="174"/>
      <c r="J163" s="174"/>
      <c r="K163" s="174"/>
      <c r="L163" s="174"/>
      <c r="M163" s="174"/>
      <c r="N163" s="174"/>
    </row>
    <row r="164" spans="1:15" ht="15" customHeight="1" thickTop="1" x14ac:dyDescent="0.25">
      <c r="B164" s="2472"/>
      <c r="C164" s="2472"/>
      <c r="D164" s="2472"/>
      <c r="E164" s="2472"/>
    </row>
    <row r="165" spans="1:15" ht="15" customHeight="1" x14ac:dyDescent="0.25">
      <c r="B165" s="2472"/>
      <c r="C165" s="3297" t="s">
        <v>12450</v>
      </c>
      <c r="D165" s="2472"/>
      <c r="E165" s="2472"/>
      <c r="F165" s="3279">
        <f>F84</f>
        <v>489493312.04750001</v>
      </c>
      <c r="G165" s="3279">
        <f>G84</f>
        <v>181575345.50577956</v>
      </c>
      <c r="H165" s="3279">
        <f>H84</f>
        <v>122605090.11285917</v>
      </c>
      <c r="I165" s="3279">
        <f>I84</f>
        <v>34472507.448196553</v>
      </c>
      <c r="J165" s="3279">
        <f>J84</f>
        <v>24497747.94472383</v>
      </c>
    </row>
    <row r="166" spans="1:15" ht="15" customHeight="1" x14ac:dyDescent="0.25">
      <c r="B166" s="2472"/>
      <c r="C166" s="3297" t="s">
        <v>12451</v>
      </c>
      <c r="D166" s="2472"/>
      <c r="E166" s="2472"/>
      <c r="F166" s="3279">
        <f>F161+F165</f>
        <v>25900239516.275002</v>
      </c>
      <c r="G166" s="3279">
        <f>G161+G165</f>
        <v>10109156842.129534</v>
      </c>
      <c r="H166" s="3279">
        <f>H161+H165</f>
        <v>6885707132.434267</v>
      </c>
      <c r="I166" s="3279">
        <f>I161+I165</f>
        <v>1886520368.5112979</v>
      </c>
      <c r="J166" s="3279">
        <f>J161+J165</f>
        <v>1336929341.1839676</v>
      </c>
    </row>
    <row r="167" spans="1:15" ht="15" customHeight="1" x14ac:dyDescent="0.25">
      <c r="B167" s="2472"/>
      <c r="C167" s="2472"/>
      <c r="D167" s="2472"/>
      <c r="E167" s="2472"/>
      <c r="G167" s="3279"/>
      <c r="H167" s="3273"/>
    </row>
    <row r="168" spans="1:15" ht="15" customHeight="1" x14ac:dyDescent="0.25">
      <c r="B168" s="2472"/>
      <c r="C168" s="2472"/>
      <c r="D168" s="2472"/>
      <c r="E168" s="2472"/>
      <c r="G168" s="3279"/>
      <c r="H168" s="3273"/>
    </row>
    <row r="169" spans="1:15" ht="15" customHeight="1" x14ac:dyDescent="0.25">
      <c r="B169" s="2472"/>
      <c r="C169" s="2472"/>
      <c r="D169" s="2472"/>
      <c r="E169" s="2472"/>
      <c r="G169" s="3279"/>
    </row>
    <row r="170" spans="1:15" ht="15" customHeight="1" x14ac:dyDescent="0.25">
      <c r="B170" s="2472"/>
      <c r="C170" s="2472"/>
      <c r="D170" s="2472"/>
      <c r="E170" s="2472"/>
      <c r="G170" s="3309"/>
    </row>
    <row r="171" spans="1:15" ht="15" customHeight="1" x14ac:dyDescent="0.25">
      <c r="B171" s="2472"/>
      <c r="C171" s="2472"/>
      <c r="D171" s="2472"/>
      <c r="E171" s="2472"/>
      <c r="G171" s="3279"/>
    </row>
    <row r="172" spans="1:15" ht="15" customHeight="1" x14ac:dyDescent="0.25">
      <c r="B172" s="2472"/>
      <c r="C172" s="2472"/>
      <c r="D172" s="2472"/>
      <c r="E172" s="2472"/>
    </row>
    <row r="173" spans="1:15" ht="15" customHeight="1" x14ac:dyDescent="0.25">
      <c r="B173" s="2472"/>
      <c r="C173" s="2472"/>
      <c r="D173" s="2472"/>
      <c r="E173" s="2472"/>
    </row>
    <row r="174" spans="1:15" ht="15" customHeight="1" x14ac:dyDescent="0.25">
      <c r="B174" s="2472"/>
      <c r="C174" s="2472"/>
      <c r="D174" s="2472"/>
      <c r="E174" s="2472"/>
    </row>
    <row r="175" spans="1:15" ht="15" customHeight="1" x14ac:dyDescent="0.25">
      <c r="B175" s="2472"/>
      <c r="C175" s="2472"/>
      <c r="D175" s="2472"/>
      <c r="E175" s="2472"/>
    </row>
    <row r="176" spans="1:15" ht="15" customHeight="1" x14ac:dyDescent="0.25">
      <c r="B176" s="2472"/>
      <c r="C176" s="2472"/>
      <c r="D176" s="2472"/>
      <c r="E176" s="2472"/>
    </row>
    <row r="177" s="2472" customFormat="1" ht="15" customHeight="1" x14ac:dyDescent="0.25"/>
    <row r="178" s="2472" customFormat="1" ht="15" customHeight="1" x14ac:dyDescent="0.25"/>
    <row r="179" s="2472" customFormat="1" ht="15" customHeight="1" x14ac:dyDescent="0.25"/>
    <row r="180" s="2472" customFormat="1" ht="15" customHeight="1" x14ac:dyDescent="0.25"/>
    <row r="181" s="2472" customFormat="1" ht="15" customHeight="1" x14ac:dyDescent="0.25"/>
    <row r="182" s="2472" customFormat="1" ht="15" customHeight="1" x14ac:dyDescent="0.25"/>
    <row r="183" s="2472" customFormat="1" ht="15" customHeight="1" x14ac:dyDescent="0.25"/>
    <row r="184" s="2472" customFormat="1" ht="15" customHeight="1" x14ac:dyDescent="0.25"/>
    <row r="185" s="2472" customFormat="1" ht="15" customHeight="1" x14ac:dyDescent="0.25"/>
    <row r="186" s="2472" customFormat="1" ht="15" customHeight="1" x14ac:dyDescent="0.25"/>
    <row r="187" s="2472" customFormat="1" ht="15" customHeight="1" x14ac:dyDescent="0.25"/>
    <row r="188" s="2472" customFormat="1" ht="15" customHeight="1" x14ac:dyDescent="0.25"/>
    <row r="189" s="2472" customFormat="1" ht="15" customHeight="1" x14ac:dyDescent="0.25"/>
    <row r="190" s="2472" customFormat="1" ht="15" customHeight="1" x14ac:dyDescent="0.25"/>
    <row r="191" s="2472" customFormat="1" ht="15" customHeight="1" x14ac:dyDescent="0.25"/>
    <row r="192" s="2472" customFormat="1" ht="15" customHeight="1" x14ac:dyDescent="0.25"/>
    <row r="193" s="2472" customFormat="1" ht="15" customHeight="1" x14ac:dyDescent="0.25"/>
    <row r="194" s="2472" customFormat="1" ht="15" customHeight="1" x14ac:dyDescent="0.25"/>
    <row r="195" s="2472" customFormat="1" ht="15" customHeight="1" x14ac:dyDescent="0.25"/>
    <row r="196" s="2472" customFormat="1" ht="15" customHeight="1" x14ac:dyDescent="0.25"/>
    <row r="197" s="2472" customFormat="1" ht="15" customHeight="1" x14ac:dyDescent="0.25"/>
    <row r="198" s="2472" customFormat="1" ht="15" customHeight="1" x14ac:dyDescent="0.25"/>
    <row r="199" s="2472" customFormat="1" ht="15" customHeight="1" x14ac:dyDescent="0.25"/>
    <row r="200" s="2472" customFormat="1" ht="15" customHeight="1" x14ac:dyDescent="0.25"/>
    <row r="201" s="2472" customFormat="1" ht="15" customHeight="1" x14ac:dyDescent="0.25"/>
    <row r="202" s="2472" customFormat="1" ht="15" customHeight="1" x14ac:dyDescent="0.25"/>
    <row r="203" s="2472" customFormat="1" ht="15" customHeight="1" x14ac:dyDescent="0.25"/>
    <row r="204" s="2472" customFormat="1" ht="15" customHeight="1" x14ac:dyDescent="0.25"/>
    <row r="205" s="2472" customFormat="1" ht="15" customHeight="1" x14ac:dyDescent="0.25"/>
    <row r="206" s="2472" customFormat="1" ht="15" customHeight="1" x14ac:dyDescent="0.25"/>
    <row r="207" s="2472" customFormat="1" ht="15" customHeight="1" x14ac:dyDescent="0.25"/>
    <row r="208" s="2472" customFormat="1" ht="15" customHeight="1" x14ac:dyDescent="0.25"/>
    <row r="209" s="2472" customFormat="1" ht="15" customHeight="1" x14ac:dyDescent="0.25"/>
    <row r="210" s="2472" customFormat="1" ht="15" customHeight="1" x14ac:dyDescent="0.25"/>
    <row r="211" s="2472" customFormat="1" ht="15" customHeight="1" x14ac:dyDescent="0.25"/>
    <row r="212" s="2472" customFormat="1" ht="15" customHeight="1" x14ac:dyDescent="0.25"/>
    <row r="213" s="2472" customFormat="1" ht="15" customHeight="1" x14ac:dyDescent="0.25"/>
    <row r="214" s="2472" customFormat="1" ht="15" customHeight="1" x14ac:dyDescent="0.25"/>
    <row r="215" s="2472" customFormat="1" ht="15" customHeight="1" x14ac:dyDescent="0.25"/>
    <row r="216" s="2472" customFormat="1" ht="15" customHeight="1" x14ac:dyDescent="0.25"/>
    <row r="217" s="2472" customFormat="1" ht="15" customHeight="1" x14ac:dyDescent="0.25"/>
    <row r="218" s="2472" customFormat="1" ht="15" customHeight="1" x14ac:dyDescent="0.25"/>
    <row r="219" s="2472" customFormat="1" ht="15" customHeight="1" x14ac:dyDescent="0.25"/>
    <row r="220" s="2472" customFormat="1" ht="15" customHeight="1" x14ac:dyDescent="0.25"/>
    <row r="221" s="2472" customFormat="1" ht="15" customHeight="1" x14ac:dyDescent="0.25"/>
    <row r="222" s="2472" customFormat="1" ht="15" customHeight="1" x14ac:dyDescent="0.25"/>
    <row r="223" s="2472" customFormat="1" ht="15" customHeight="1" x14ac:dyDescent="0.25"/>
    <row r="224" s="2472" customFormat="1" ht="15" customHeight="1" x14ac:dyDescent="0.25"/>
    <row r="225" s="2472" customFormat="1" ht="15" customHeight="1" x14ac:dyDescent="0.25"/>
    <row r="226" s="2472" customFormat="1" ht="15" customHeight="1" x14ac:dyDescent="0.25"/>
    <row r="227" s="2472" customFormat="1" ht="15" customHeight="1" x14ac:dyDescent="0.25"/>
    <row r="228" s="2472" customFormat="1" ht="15" customHeight="1" x14ac:dyDescent="0.25"/>
    <row r="229" s="2472" customFormat="1" ht="15" customHeight="1" x14ac:dyDescent="0.25"/>
    <row r="230" s="2472" customFormat="1" ht="15" customHeight="1" x14ac:dyDescent="0.25"/>
    <row r="231" s="2472" customFormat="1" ht="15" customHeight="1" x14ac:dyDescent="0.25"/>
    <row r="232" s="2472" customFormat="1" ht="15" customHeight="1" x14ac:dyDescent="0.25"/>
    <row r="233" s="2472" customFormat="1" ht="15" customHeight="1" x14ac:dyDescent="0.25"/>
    <row r="234" s="2472" customFormat="1" ht="15" customHeight="1" x14ac:dyDescent="0.25"/>
    <row r="235" s="2472" customFormat="1" ht="15" customHeight="1" x14ac:dyDescent="0.25"/>
    <row r="236" s="2472" customFormat="1" ht="15" customHeight="1" x14ac:dyDescent="0.25"/>
    <row r="237" s="2472" customFormat="1" ht="15" customHeight="1" x14ac:dyDescent="0.25"/>
    <row r="238" s="2472" customFormat="1" ht="15" customHeight="1" x14ac:dyDescent="0.25"/>
    <row r="239" s="2472" customFormat="1" ht="15" customHeight="1" x14ac:dyDescent="0.25"/>
    <row r="240" s="2472" customFormat="1" ht="15" customHeight="1" x14ac:dyDescent="0.25"/>
    <row r="241" s="2472" customFormat="1" ht="15" customHeight="1" x14ac:dyDescent="0.25"/>
    <row r="242" s="2472" customFormat="1" ht="15" customHeight="1" x14ac:dyDescent="0.25"/>
    <row r="243" s="2472" customFormat="1" ht="15" customHeight="1" x14ac:dyDescent="0.25"/>
    <row r="244" s="2472" customFormat="1" ht="15" customHeight="1" x14ac:dyDescent="0.25"/>
    <row r="245" s="2472" customFormat="1" ht="15" customHeight="1" x14ac:dyDescent="0.25"/>
    <row r="246" s="2472" customFormat="1" ht="15" customHeight="1" x14ac:dyDescent="0.25"/>
    <row r="247" s="2472" customFormat="1" ht="15" customHeight="1" x14ac:dyDescent="0.25"/>
    <row r="248" s="2472" customFormat="1" ht="15" customHeight="1" x14ac:dyDescent="0.25"/>
    <row r="249" s="2472" customFormat="1" ht="15" customHeight="1" x14ac:dyDescent="0.25"/>
    <row r="250" s="2472" customFormat="1" ht="15" customHeight="1" x14ac:dyDescent="0.25"/>
    <row r="251" s="2472" customFormat="1" ht="15" customHeight="1" x14ac:dyDescent="0.25"/>
    <row r="252" s="2472" customFormat="1" ht="15" customHeight="1" x14ac:dyDescent="0.25"/>
    <row r="253" s="2472" customFormat="1" ht="15" customHeight="1" x14ac:dyDescent="0.25"/>
    <row r="254" s="2472" customFormat="1" ht="15" customHeight="1" x14ac:dyDescent="0.25"/>
    <row r="255" s="2472" customFormat="1" ht="15" customHeight="1" x14ac:dyDescent="0.25"/>
    <row r="256" s="2472" customFormat="1" ht="15" customHeight="1" x14ac:dyDescent="0.25"/>
    <row r="257" s="2472" customFormat="1" ht="15" customHeight="1" x14ac:dyDescent="0.25"/>
    <row r="258" s="2472" customFormat="1" ht="15" customHeight="1" x14ac:dyDescent="0.25"/>
    <row r="259" s="2472" customFormat="1" ht="15" customHeight="1" x14ac:dyDescent="0.25"/>
    <row r="260" s="2472" customFormat="1" ht="15" customHeight="1" x14ac:dyDescent="0.25"/>
    <row r="261" s="2472" customFormat="1" ht="15" customHeight="1" x14ac:dyDescent="0.25"/>
    <row r="262" s="2472" customFormat="1" ht="15" customHeight="1" x14ac:dyDescent="0.25"/>
    <row r="263" s="2472" customFormat="1" ht="15" customHeight="1" x14ac:dyDescent="0.25"/>
    <row r="264" s="2472" customFormat="1" ht="15" customHeight="1" x14ac:dyDescent="0.25"/>
    <row r="265" s="2472" customFormat="1" ht="15" customHeight="1" x14ac:dyDescent="0.25"/>
    <row r="266" s="2472" customFormat="1" ht="15" customHeight="1" x14ac:dyDescent="0.25"/>
    <row r="267" s="2472" customFormat="1" ht="15" customHeight="1" x14ac:dyDescent="0.25"/>
    <row r="268" s="2472" customFormat="1" ht="15" customHeight="1" x14ac:dyDescent="0.25"/>
    <row r="269" s="2472" customFormat="1" ht="15" customHeight="1" x14ac:dyDescent="0.25"/>
    <row r="270" s="2472" customFormat="1" ht="15" customHeight="1" x14ac:dyDescent="0.25"/>
    <row r="271" s="2472" customFormat="1" ht="15" customHeight="1" x14ac:dyDescent="0.25"/>
    <row r="272" s="2472" customFormat="1" ht="15" customHeight="1" x14ac:dyDescent="0.25"/>
    <row r="273" spans="2:5" ht="15" customHeight="1" x14ac:dyDescent="0.25">
      <c r="B273" s="2472"/>
      <c r="C273" s="2472"/>
      <c r="D273" s="2472"/>
      <c r="E273" s="2472"/>
    </row>
    <row r="274" spans="2:5" ht="15" customHeight="1" x14ac:dyDescent="0.25">
      <c r="B274" s="2472"/>
      <c r="C274" s="2472"/>
      <c r="D274" s="2472"/>
      <c r="E274" s="2472"/>
    </row>
    <row r="275" spans="2:5" ht="15" customHeight="1" x14ac:dyDescent="0.25">
      <c r="B275" s="2472"/>
      <c r="C275" s="2472"/>
      <c r="D275" s="2472"/>
      <c r="E275" s="2472"/>
    </row>
    <row r="276" spans="2:5" ht="15" customHeight="1" x14ac:dyDescent="0.25">
      <c r="B276" s="2472"/>
      <c r="C276" s="2472"/>
      <c r="D276" s="2472"/>
      <c r="E276" s="2472"/>
    </row>
    <row r="277" spans="2:5" ht="15" customHeight="1" x14ac:dyDescent="0.25">
      <c r="B277" s="2472"/>
      <c r="C277" s="2472"/>
      <c r="D277" s="2472"/>
      <c r="E277" s="2472"/>
    </row>
    <row r="278" spans="2:5" s="3251" customFormat="1" ht="15" customHeight="1" x14ac:dyDescent="0.25">
      <c r="B278" s="2472"/>
      <c r="C278" s="2472"/>
      <c r="D278" s="2472"/>
      <c r="E278" s="2472"/>
    </row>
    <row r="279" spans="2:5" ht="15" customHeight="1" x14ac:dyDescent="0.25">
      <c r="B279" s="2472"/>
      <c r="C279" s="2472"/>
      <c r="D279" s="2472"/>
      <c r="E279" s="2472"/>
    </row>
    <row r="280" spans="2:5" ht="15" customHeight="1" x14ac:dyDescent="0.25">
      <c r="B280" s="2472"/>
      <c r="C280" s="2472"/>
      <c r="D280" s="2472"/>
      <c r="E280" s="2472"/>
    </row>
    <row r="281" spans="2:5" ht="15" customHeight="1" x14ac:dyDescent="0.25">
      <c r="B281" s="2472"/>
      <c r="C281" s="2472"/>
      <c r="D281" s="2472"/>
      <c r="E281" s="2472"/>
    </row>
    <row r="282" spans="2:5" ht="15" customHeight="1" x14ac:dyDescent="0.25">
      <c r="B282" s="2472"/>
      <c r="C282" s="2472"/>
      <c r="D282" s="2472"/>
      <c r="E282" s="2472"/>
    </row>
    <row r="283" spans="2:5" ht="15" customHeight="1" x14ac:dyDescent="0.25">
      <c r="B283" s="2472"/>
      <c r="C283" s="2472"/>
      <c r="D283" s="2472"/>
      <c r="E283" s="2472"/>
    </row>
    <row r="284" spans="2:5" ht="15" customHeight="1" x14ac:dyDescent="0.25">
      <c r="B284" s="2472"/>
      <c r="C284" s="2472"/>
      <c r="D284" s="2472"/>
      <c r="E284" s="2472"/>
    </row>
    <row r="285" spans="2:5" ht="15" customHeight="1" x14ac:dyDescent="0.25">
      <c r="B285" s="2472"/>
      <c r="C285" s="2472"/>
      <c r="D285" s="2472"/>
      <c r="E285" s="2472"/>
    </row>
    <row r="286" spans="2:5" ht="15" customHeight="1" x14ac:dyDescent="0.25">
      <c r="B286" s="2472"/>
      <c r="C286" s="2472"/>
      <c r="D286" s="2472"/>
      <c r="E286" s="2472"/>
    </row>
    <row r="287" spans="2:5" ht="15" customHeight="1" x14ac:dyDescent="0.25">
      <c r="B287" s="2472"/>
      <c r="C287" s="2472"/>
      <c r="D287" s="2472"/>
      <c r="E287" s="2472"/>
    </row>
    <row r="288" spans="2:5" ht="15" customHeight="1" x14ac:dyDescent="0.25">
      <c r="B288" s="2472"/>
      <c r="C288" s="2472"/>
      <c r="D288" s="2472"/>
      <c r="E288" s="2472"/>
    </row>
    <row r="289" s="2472" customFormat="1" ht="15" customHeight="1" x14ac:dyDescent="0.25"/>
    <row r="290" s="2472" customFormat="1" ht="15" customHeight="1" x14ac:dyDescent="0.25"/>
    <row r="291" s="2472" customFormat="1" ht="15" customHeight="1" x14ac:dyDescent="0.25"/>
    <row r="292" s="2472" customFormat="1" ht="15" customHeight="1" x14ac:dyDescent="0.25"/>
    <row r="293" s="2472" customFormat="1" ht="15" customHeight="1" x14ac:dyDescent="0.25"/>
    <row r="294" s="2472" customFormat="1" ht="15" customHeight="1" x14ac:dyDescent="0.25"/>
    <row r="295" s="2472" customFormat="1" ht="15" customHeight="1" x14ac:dyDescent="0.25"/>
    <row r="296" s="2472" customFormat="1" ht="15" customHeight="1" x14ac:dyDescent="0.25"/>
    <row r="297" s="2472" customFormat="1" ht="15" customHeight="1" x14ac:dyDescent="0.25"/>
    <row r="298" s="2472" customFormat="1" ht="15" customHeight="1" x14ac:dyDescent="0.25"/>
    <row r="299" s="2472" customFormat="1" ht="15" customHeight="1" x14ac:dyDescent="0.25"/>
    <row r="300" s="2472" customFormat="1" ht="15" customHeight="1" x14ac:dyDescent="0.25"/>
    <row r="301" s="2472" customFormat="1" ht="15" customHeight="1" x14ac:dyDescent="0.25"/>
    <row r="302" s="2472" customFormat="1" ht="15" customHeight="1" x14ac:dyDescent="0.25"/>
    <row r="303" s="2472" customFormat="1" ht="15" customHeight="1" x14ac:dyDescent="0.25"/>
    <row r="304" s="2472" customFormat="1" ht="15" customHeight="1" x14ac:dyDescent="0.25"/>
    <row r="305" s="2472" customFormat="1" ht="15" customHeight="1" x14ac:dyDescent="0.25"/>
    <row r="306" s="2472" customFormat="1" ht="15" customHeight="1" x14ac:dyDescent="0.25"/>
    <row r="307" s="2472" customFormat="1" ht="15" customHeight="1" x14ac:dyDescent="0.25"/>
    <row r="308" s="2472" customFormat="1" ht="15" customHeight="1" x14ac:dyDescent="0.25"/>
    <row r="309" s="2472" customFormat="1" ht="15" customHeight="1" x14ac:dyDescent="0.25"/>
    <row r="310" s="2472" customFormat="1" ht="15" customHeight="1" x14ac:dyDescent="0.25"/>
    <row r="311" s="2472" customFormat="1" ht="15" customHeight="1" x14ac:dyDescent="0.25"/>
    <row r="312" s="2472" customFormat="1" ht="15" customHeight="1" x14ac:dyDescent="0.25"/>
    <row r="313" s="2472" customFormat="1" ht="15" customHeight="1" x14ac:dyDescent="0.25"/>
    <row r="314" s="2472" customFormat="1" ht="15" customHeight="1" x14ac:dyDescent="0.25"/>
    <row r="315" s="2472" customFormat="1" ht="15" customHeight="1" x14ac:dyDescent="0.25"/>
    <row r="316" s="2472" customFormat="1" ht="15" customHeight="1" x14ac:dyDescent="0.25"/>
    <row r="317" s="2472" customFormat="1" ht="15" customHeight="1" x14ac:dyDescent="0.25"/>
    <row r="318" s="2472" customFormat="1" ht="15" customHeight="1" x14ac:dyDescent="0.25"/>
    <row r="319" s="2472" customFormat="1" ht="15" customHeight="1" x14ac:dyDescent="0.25"/>
    <row r="320" s="2472" customFormat="1" ht="15" customHeight="1" x14ac:dyDescent="0.25"/>
    <row r="321" s="2472" customFormat="1" ht="15" customHeight="1" x14ac:dyDescent="0.25"/>
    <row r="322" s="2472" customFormat="1" ht="15" customHeight="1" x14ac:dyDescent="0.25"/>
    <row r="323" s="2472" customFormat="1" ht="15" customHeight="1" x14ac:dyDescent="0.25"/>
    <row r="324" s="2472" customFormat="1" ht="15" customHeight="1" x14ac:dyDescent="0.25"/>
    <row r="325" s="2472" customFormat="1" ht="15" customHeight="1" x14ac:dyDescent="0.25"/>
    <row r="326" s="2472" customFormat="1" ht="15" customHeight="1" x14ac:dyDescent="0.25"/>
    <row r="327" s="2472" customFormat="1" ht="15" customHeight="1" x14ac:dyDescent="0.25"/>
    <row r="328" s="2472" customFormat="1" ht="15" customHeight="1" x14ac:dyDescent="0.25"/>
    <row r="329" s="2472" customFormat="1" ht="15" customHeight="1" x14ac:dyDescent="0.25"/>
    <row r="330" s="2472" customFormat="1" ht="15" customHeight="1" x14ac:dyDescent="0.25"/>
    <row r="331" s="2472" customFormat="1" ht="15" customHeight="1" x14ac:dyDescent="0.25"/>
    <row r="332" s="2472" customFormat="1" ht="15" customHeight="1" x14ac:dyDescent="0.25"/>
    <row r="333" s="2472" customFormat="1" ht="15" customHeight="1" x14ac:dyDescent="0.25"/>
    <row r="334" s="2472" customFormat="1" ht="15" customHeight="1" x14ac:dyDescent="0.25"/>
    <row r="335" s="2472" customFormat="1" ht="15" customHeight="1" x14ac:dyDescent="0.25"/>
    <row r="336" s="2472" customFormat="1" ht="15" customHeight="1" x14ac:dyDescent="0.25"/>
    <row r="337" s="2472" customFormat="1" ht="15" customHeight="1" x14ac:dyDescent="0.25"/>
    <row r="338" s="2472" customFormat="1" ht="15" customHeight="1" x14ac:dyDescent="0.25"/>
    <row r="339" s="2472" customFormat="1" ht="15" customHeight="1" x14ac:dyDescent="0.25"/>
    <row r="340" s="2472" customFormat="1" ht="15" customHeight="1" x14ac:dyDescent="0.25"/>
    <row r="341" s="2472" customFormat="1" ht="15" customHeight="1" x14ac:dyDescent="0.25"/>
    <row r="342" s="2472" customFormat="1" ht="15" customHeight="1" x14ac:dyDescent="0.25"/>
    <row r="343" s="2472" customFormat="1" ht="15" customHeight="1" x14ac:dyDescent="0.25"/>
    <row r="344" s="2472" customFormat="1" ht="15" customHeight="1" x14ac:dyDescent="0.25"/>
    <row r="345" s="2472" customFormat="1" ht="15" customHeight="1" x14ac:dyDescent="0.25"/>
    <row r="346" s="2472" customFormat="1" ht="15" customHeight="1" x14ac:dyDescent="0.25"/>
    <row r="347" s="2472" customFormat="1" ht="15" customHeight="1" x14ac:dyDescent="0.25"/>
    <row r="348" s="2472" customFormat="1" ht="15" customHeight="1" x14ac:dyDescent="0.25"/>
    <row r="349" s="2472" customFormat="1" ht="15" customHeight="1" x14ac:dyDescent="0.25"/>
    <row r="350" s="2472" customFormat="1" ht="15" customHeight="1" x14ac:dyDescent="0.25"/>
    <row r="351" s="2472" customFormat="1" ht="15" customHeight="1" x14ac:dyDescent="0.25"/>
    <row r="352" s="2472" customFormat="1" ht="15" customHeight="1" x14ac:dyDescent="0.25"/>
    <row r="353" s="2472" customFormat="1" ht="15" customHeight="1" x14ac:dyDescent="0.25"/>
    <row r="354" s="2472" customFormat="1" ht="15" customHeight="1" x14ac:dyDescent="0.25"/>
    <row r="355" s="2472" customFormat="1" ht="15" customHeight="1" x14ac:dyDescent="0.25"/>
    <row r="356" s="2472" customFormat="1" ht="15" customHeight="1" x14ac:dyDescent="0.25"/>
    <row r="357" s="2472" customFormat="1" ht="15" customHeight="1" x14ac:dyDescent="0.25"/>
    <row r="358" s="2472" customFormat="1" ht="15" customHeight="1" x14ac:dyDescent="0.25"/>
    <row r="359" s="2472" customFormat="1" ht="15" customHeight="1" x14ac:dyDescent="0.25"/>
    <row r="360" s="2472" customFormat="1" ht="15" customHeight="1" x14ac:dyDescent="0.25"/>
    <row r="361" s="2472" customFormat="1" ht="15" customHeight="1" x14ac:dyDescent="0.25"/>
    <row r="362" s="2472" customFormat="1" ht="15" customHeight="1" x14ac:dyDescent="0.25"/>
    <row r="363" s="2472" customFormat="1" ht="15" customHeight="1" x14ac:dyDescent="0.25"/>
    <row r="364" s="2472" customFormat="1" ht="15" customHeight="1" x14ac:dyDescent="0.25"/>
    <row r="365" s="2472" customFormat="1" ht="15" customHeight="1" x14ac:dyDescent="0.25"/>
    <row r="366" s="2472" customFormat="1" ht="15" customHeight="1" x14ac:dyDescent="0.25"/>
    <row r="367" s="2472" customFormat="1" ht="15" customHeight="1" x14ac:dyDescent="0.25"/>
    <row r="368" s="2472" customFormat="1" ht="15" customHeight="1" x14ac:dyDescent="0.25"/>
    <row r="369" s="2472" customFormat="1" ht="15" customHeight="1" x14ac:dyDescent="0.25"/>
    <row r="370" s="2472" customFormat="1" ht="15" customHeight="1" x14ac:dyDescent="0.25"/>
    <row r="371" s="2472" customFormat="1" ht="15" customHeight="1" x14ac:dyDescent="0.25"/>
    <row r="372" s="2472" customFormat="1" ht="15" customHeight="1" x14ac:dyDescent="0.25"/>
    <row r="373" s="2472" customFormat="1" ht="15" customHeight="1" x14ac:dyDescent="0.25"/>
    <row r="374" s="2472" customFormat="1" ht="15" customHeight="1" x14ac:dyDescent="0.25"/>
    <row r="375" s="2472" customFormat="1" ht="15" customHeight="1" x14ac:dyDescent="0.25"/>
    <row r="376" s="2472" customFormat="1" ht="15" customHeight="1" x14ac:dyDescent="0.25"/>
    <row r="377" s="2472" customFormat="1" ht="15" customHeight="1" x14ac:dyDescent="0.25"/>
    <row r="378" s="2472" customFormat="1" ht="15" customHeight="1" x14ac:dyDescent="0.25"/>
    <row r="379" s="2472" customFormat="1" ht="15" customHeight="1" x14ac:dyDescent="0.25"/>
    <row r="380" s="2472" customFormat="1" ht="15" customHeight="1" x14ac:dyDescent="0.25"/>
    <row r="381" s="2472" customFormat="1" ht="15" customHeight="1" x14ac:dyDescent="0.25"/>
    <row r="382" s="2472" customFormat="1" ht="15" customHeight="1" x14ac:dyDescent="0.25"/>
    <row r="383" s="2472" customFormat="1" ht="15" customHeight="1" x14ac:dyDescent="0.25"/>
    <row r="384" s="2472" customFormat="1" ht="15" customHeight="1" x14ac:dyDescent="0.25"/>
    <row r="385" s="2472" customFormat="1" ht="15" customHeight="1" x14ac:dyDescent="0.25"/>
    <row r="386" s="2472" customFormat="1" ht="15" customHeight="1" x14ac:dyDescent="0.25"/>
    <row r="387" s="2472" customFormat="1" ht="15" customHeight="1" x14ac:dyDescent="0.25"/>
    <row r="388" s="2472" customFormat="1" ht="15" customHeight="1" x14ac:dyDescent="0.25"/>
    <row r="389" s="2472" customFormat="1" ht="15" customHeight="1" x14ac:dyDescent="0.25"/>
    <row r="390" s="2472" customFormat="1" ht="15" customHeight="1" x14ac:dyDescent="0.25"/>
    <row r="391" s="2472" customFormat="1" ht="15" customHeight="1" x14ac:dyDescent="0.25"/>
    <row r="392" s="2472" customFormat="1" ht="15" customHeight="1" x14ac:dyDescent="0.25"/>
    <row r="393" s="2472" customFormat="1" ht="15" customHeight="1" x14ac:dyDescent="0.25"/>
    <row r="394" s="2472" customFormat="1" ht="15" customHeight="1" x14ac:dyDescent="0.25"/>
    <row r="395" s="2472" customFormat="1" ht="15" customHeight="1" x14ac:dyDescent="0.25"/>
    <row r="396" s="2472" customFormat="1" ht="15" customHeight="1" x14ac:dyDescent="0.25"/>
    <row r="397" s="2472" customFormat="1" ht="15" customHeight="1" x14ac:dyDescent="0.25"/>
    <row r="398" s="2472" customFormat="1" ht="15" customHeight="1" x14ac:dyDescent="0.25"/>
    <row r="399" s="2472" customFormat="1" ht="15" customHeight="1" x14ac:dyDescent="0.25"/>
    <row r="400" s="2472" customFormat="1" ht="15" customHeight="1" x14ac:dyDescent="0.25"/>
    <row r="401" s="2472" customFormat="1" ht="15" customHeight="1" x14ac:dyDescent="0.25"/>
    <row r="402" s="2472" customFormat="1" ht="15" customHeight="1" x14ac:dyDescent="0.25"/>
    <row r="403" s="2472" customFormat="1" ht="15" customHeight="1" x14ac:dyDescent="0.25"/>
    <row r="404" s="2472" customFormat="1" ht="15" customHeight="1" x14ac:dyDescent="0.25"/>
    <row r="405" s="2472" customFormat="1" ht="15" customHeight="1" x14ac:dyDescent="0.25"/>
    <row r="406" s="2472" customFormat="1" ht="15" customHeight="1" x14ac:dyDescent="0.25"/>
    <row r="407" s="2472" customFormat="1" ht="15" customHeight="1" x14ac:dyDescent="0.25"/>
    <row r="408" s="2472" customFormat="1" ht="15" customHeight="1" x14ac:dyDescent="0.25"/>
    <row r="409" s="2472" customFormat="1" ht="15" customHeight="1" x14ac:dyDescent="0.25"/>
    <row r="410" s="2472" customFormat="1" ht="15" customHeight="1" x14ac:dyDescent="0.25"/>
    <row r="411" s="2472" customFormat="1" ht="15" customHeight="1" x14ac:dyDescent="0.25"/>
    <row r="412" s="2472" customFormat="1" ht="15" customHeight="1" x14ac:dyDescent="0.25"/>
    <row r="413" s="2472" customFormat="1" ht="15" customHeight="1" x14ac:dyDescent="0.25"/>
    <row r="414" s="2472" customFormat="1" ht="15" customHeight="1" x14ac:dyDescent="0.25"/>
    <row r="415" s="2472" customFormat="1" ht="15" customHeight="1" x14ac:dyDescent="0.25"/>
    <row r="416" s="2472" customFormat="1" ht="15" customHeight="1" x14ac:dyDescent="0.25"/>
    <row r="417" spans="2:5" ht="15" customHeight="1" x14ac:dyDescent="0.25">
      <c r="B417" s="2472"/>
      <c r="C417" s="2472"/>
      <c r="D417" s="2472"/>
      <c r="E417" s="2472"/>
    </row>
    <row r="418" spans="2:5" ht="15" customHeight="1" x14ac:dyDescent="0.25">
      <c r="B418" s="2472"/>
      <c r="C418" s="2472"/>
      <c r="D418" s="2472"/>
      <c r="E418" s="2472"/>
    </row>
    <row r="419" spans="2:5" ht="15" customHeight="1" x14ac:dyDescent="0.25">
      <c r="B419" s="2472"/>
      <c r="C419" s="2472"/>
      <c r="D419" s="2472"/>
      <c r="E419" s="2472"/>
    </row>
    <row r="420" spans="2:5" ht="15" customHeight="1" x14ac:dyDescent="0.25">
      <c r="B420" s="2472"/>
      <c r="C420" s="2472"/>
      <c r="D420" s="2472"/>
      <c r="E420" s="2472"/>
    </row>
    <row r="421" spans="2:5" ht="15" customHeight="1" x14ac:dyDescent="0.25">
      <c r="B421" s="2472"/>
      <c r="C421" s="2472"/>
      <c r="D421" s="2472"/>
      <c r="E421" s="2472"/>
    </row>
    <row r="422" spans="2:5" ht="15" customHeight="1" x14ac:dyDescent="0.25">
      <c r="B422" s="2472"/>
      <c r="C422" s="2472"/>
      <c r="D422" s="2472"/>
      <c r="E422" s="2472"/>
    </row>
    <row r="423" spans="2:5" ht="15" customHeight="1" x14ac:dyDescent="0.25">
      <c r="B423" s="2472"/>
      <c r="C423" s="2472"/>
      <c r="D423" s="2472"/>
      <c r="E423" s="2472"/>
    </row>
    <row r="424" spans="2:5" ht="15" customHeight="1" x14ac:dyDescent="0.25">
      <c r="B424" s="2472"/>
      <c r="C424" s="2472"/>
      <c r="D424" s="2472"/>
      <c r="E424" s="2472"/>
    </row>
    <row r="425" spans="2:5" ht="15" customHeight="1" x14ac:dyDescent="0.25">
      <c r="B425" s="2472"/>
      <c r="C425" s="2472"/>
      <c r="D425" s="2472"/>
      <c r="E425" s="2472"/>
    </row>
    <row r="426" spans="2:5" s="3251" customFormat="1" ht="15" customHeight="1" x14ac:dyDescent="0.25">
      <c r="B426" s="2472"/>
      <c r="C426" s="2472"/>
      <c r="D426" s="2472"/>
      <c r="E426" s="2472"/>
    </row>
    <row r="427" spans="2:5" s="3251" customFormat="1" ht="15" customHeight="1" x14ac:dyDescent="0.25">
      <c r="B427" s="2472"/>
      <c r="C427" s="2472"/>
      <c r="D427" s="2472"/>
      <c r="E427" s="2472"/>
    </row>
    <row r="428" spans="2:5" s="3251" customFormat="1" ht="15" customHeight="1" x14ac:dyDescent="0.25">
      <c r="B428" s="2472"/>
      <c r="C428" s="2472"/>
      <c r="D428" s="2472"/>
      <c r="E428" s="2472"/>
    </row>
    <row r="429" spans="2:5" s="3251" customFormat="1" ht="15" customHeight="1" x14ac:dyDescent="0.25">
      <c r="B429" s="2472"/>
      <c r="C429" s="2472"/>
      <c r="D429" s="2472"/>
      <c r="E429" s="2472"/>
    </row>
    <row r="430" spans="2:5" s="3251" customFormat="1" ht="15" customHeight="1" x14ac:dyDescent="0.25">
      <c r="B430" s="2472"/>
      <c r="C430" s="2472"/>
      <c r="D430" s="2472"/>
      <c r="E430" s="2472"/>
    </row>
    <row r="431" spans="2:5" s="3251" customFormat="1" ht="15" customHeight="1" x14ac:dyDescent="0.25">
      <c r="B431" s="2472"/>
      <c r="C431" s="2472"/>
      <c r="D431" s="2472"/>
      <c r="E431" s="2472"/>
    </row>
    <row r="432" spans="2:5" s="3251" customFormat="1" ht="15" customHeight="1" x14ac:dyDescent="0.25">
      <c r="B432" s="2472"/>
      <c r="C432" s="2472"/>
      <c r="D432" s="2472"/>
      <c r="E432" s="2472"/>
    </row>
    <row r="433" spans="2:5" s="3251" customFormat="1" ht="15" customHeight="1" x14ac:dyDescent="0.25">
      <c r="B433" s="2472"/>
      <c r="C433" s="2472"/>
      <c r="D433" s="2472"/>
      <c r="E433" s="2472"/>
    </row>
    <row r="434" spans="2:5" s="3251" customFormat="1" ht="15" customHeight="1" x14ac:dyDescent="0.25">
      <c r="B434" s="2472"/>
      <c r="C434" s="2472"/>
      <c r="D434" s="2472"/>
      <c r="E434" s="2472"/>
    </row>
    <row r="435" spans="2:5" s="3251" customFormat="1" ht="15" customHeight="1" x14ac:dyDescent="0.25">
      <c r="B435" s="2472"/>
      <c r="C435" s="2472"/>
      <c r="D435" s="2472"/>
      <c r="E435" s="2472"/>
    </row>
    <row r="436" spans="2:5" s="3251" customFormat="1" ht="15" customHeight="1" x14ac:dyDescent="0.25">
      <c r="B436" s="2472"/>
      <c r="C436" s="2472"/>
      <c r="D436" s="2472"/>
      <c r="E436" s="2472"/>
    </row>
    <row r="437" spans="2:5" s="3251" customFormat="1" ht="15" customHeight="1" x14ac:dyDescent="0.25">
      <c r="B437" s="2472"/>
      <c r="C437" s="2472"/>
      <c r="D437" s="2472"/>
      <c r="E437" s="2472"/>
    </row>
    <row r="438" spans="2:5" s="3251" customFormat="1" ht="15" customHeight="1" x14ac:dyDescent="0.25">
      <c r="B438" s="2472"/>
      <c r="C438" s="2472"/>
      <c r="D438" s="2472"/>
      <c r="E438" s="2472"/>
    </row>
    <row r="439" spans="2:5" s="3251" customFormat="1" ht="15" customHeight="1" x14ac:dyDescent="0.25">
      <c r="B439" s="2472"/>
      <c r="C439" s="2472"/>
      <c r="D439" s="2472"/>
      <c r="E439" s="2472"/>
    </row>
    <row r="440" spans="2:5" s="3251" customFormat="1" ht="15" customHeight="1" x14ac:dyDescent="0.25">
      <c r="B440" s="2472"/>
      <c r="C440" s="2472"/>
      <c r="D440" s="2472"/>
      <c r="E440" s="2472"/>
    </row>
    <row r="441" spans="2:5" s="3251" customFormat="1" ht="15" customHeight="1" x14ac:dyDescent="0.25">
      <c r="B441" s="2472"/>
      <c r="C441" s="2472"/>
      <c r="D441" s="2472"/>
      <c r="E441" s="2472"/>
    </row>
    <row r="442" spans="2:5" s="3251" customFormat="1" ht="15" customHeight="1" x14ac:dyDescent="0.25">
      <c r="B442" s="2472"/>
      <c r="C442" s="2472"/>
      <c r="D442" s="2472"/>
      <c r="E442" s="2472"/>
    </row>
    <row r="443" spans="2:5" s="3251" customFormat="1" ht="15" customHeight="1" x14ac:dyDescent="0.25">
      <c r="B443" s="2472"/>
      <c r="C443" s="2472"/>
      <c r="D443" s="2472"/>
      <c r="E443" s="2472"/>
    </row>
    <row r="444" spans="2:5" s="3251" customFormat="1" ht="15" customHeight="1" x14ac:dyDescent="0.25">
      <c r="B444" s="2472"/>
      <c r="C444" s="2472"/>
      <c r="D444" s="2472"/>
      <c r="E444" s="2472"/>
    </row>
    <row r="445" spans="2:5" s="3251" customFormat="1" ht="15" customHeight="1" x14ac:dyDescent="0.25">
      <c r="B445" s="2472"/>
      <c r="C445" s="2472"/>
      <c r="D445" s="2472"/>
      <c r="E445" s="2472"/>
    </row>
    <row r="446" spans="2:5" s="3251" customFormat="1" ht="15" customHeight="1" x14ac:dyDescent="0.25">
      <c r="B446" s="2472"/>
      <c r="C446" s="2472"/>
      <c r="D446" s="2472"/>
      <c r="E446" s="2472"/>
    </row>
    <row r="447" spans="2:5" s="3251" customFormat="1" ht="15" customHeight="1" x14ac:dyDescent="0.25">
      <c r="B447" s="2472"/>
      <c r="C447" s="2472"/>
      <c r="D447" s="2472"/>
      <c r="E447" s="2472"/>
    </row>
    <row r="448" spans="2:5" s="3251" customFormat="1" ht="15" customHeight="1" x14ac:dyDescent="0.25">
      <c r="B448" s="2472"/>
      <c r="C448" s="2472"/>
      <c r="D448" s="2472"/>
      <c r="E448" s="2472"/>
    </row>
    <row r="449" spans="2:5" s="3251" customFormat="1" ht="21.75" customHeight="1" x14ac:dyDescent="0.25">
      <c r="B449" s="2472"/>
      <c r="C449" s="2472"/>
      <c r="D449" s="2472"/>
      <c r="E449" s="2472"/>
    </row>
    <row r="450" spans="2:5" s="3251" customFormat="1" ht="15" customHeight="1" x14ac:dyDescent="0.25">
      <c r="B450" s="2472"/>
      <c r="C450" s="2472"/>
      <c r="D450" s="2472"/>
      <c r="E450" s="2472"/>
    </row>
    <row r="451" spans="2:5" s="3251" customFormat="1" ht="15" customHeight="1" x14ac:dyDescent="0.25">
      <c r="B451" s="2472"/>
      <c r="C451" s="2472"/>
      <c r="D451" s="2472"/>
      <c r="E451" s="2472"/>
    </row>
    <row r="452" spans="2:5" s="3251" customFormat="1" ht="15" customHeight="1" x14ac:dyDescent="0.25">
      <c r="B452" s="2472"/>
      <c r="C452" s="2472"/>
      <c r="D452" s="2472"/>
      <c r="E452" s="2472"/>
    </row>
    <row r="453" spans="2:5" s="3251" customFormat="1" ht="15" customHeight="1" x14ac:dyDescent="0.25">
      <c r="B453" s="2472"/>
      <c r="C453" s="2472"/>
      <c r="D453" s="2472"/>
      <c r="E453" s="2472"/>
    </row>
    <row r="454" spans="2:5" s="3251" customFormat="1" ht="15" customHeight="1" x14ac:dyDescent="0.25">
      <c r="B454" s="2472"/>
      <c r="C454" s="2472"/>
      <c r="D454" s="2472"/>
      <c r="E454" s="2472"/>
    </row>
    <row r="455" spans="2:5" s="3251" customFormat="1" ht="15" customHeight="1" x14ac:dyDescent="0.25">
      <c r="B455" s="2472"/>
      <c r="C455" s="2472"/>
      <c r="D455" s="2472"/>
      <c r="E455" s="2472"/>
    </row>
    <row r="456" spans="2:5" s="3251" customFormat="1" ht="15" customHeight="1" x14ac:dyDescent="0.25">
      <c r="B456" s="2472"/>
      <c r="C456" s="2472"/>
      <c r="D456" s="2472"/>
      <c r="E456" s="2472"/>
    </row>
    <row r="457" spans="2:5" ht="15" customHeight="1" x14ac:dyDescent="0.25">
      <c r="B457" s="2472"/>
      <c r="C457" s="2472"/>
      <c r="D457" s="2472"/>
      <c r="E457" s="2472"/>
    </row>
    <row r="458" spans="2:5" ht="15" customHeight="1" x14ac:dyDescent="0.25">
      <c r="B458" s="2472"/>
      <c r="C458" s="2472"/>
      <c r="D458" s="2472"/>
      <c r="E458" s="2472"/>
    </row>
    <row r="459" spans="2:5" ht="15" customHeight="1" x14ac:dyDescent="0.25">
      <c r="B459" s="2472"/>
      <c r="C459" s="2472"/>
      <c r="D459" s="2472"/>
      <c r="E459" s="2472"/>
    </row>
    <row r="460" spans="2:5" ht="15" customHeight="1" x14ac:dyDescent="0.25">
      <c r="B460" s="2472"/>
      <c r="C460" s="2472"/>
      <c r="D460" s="2472"/>
      <c r="E460" s="2472"/>
    </row>
    <row r="461" spans="2:5" ht="15" customHeight="1" x14ac:dyDescent="0.25">
      <c r="B461" s="2472"/>
      <c r="C461" s="2472"/>
      <c r="D461" s="2472"/>
      <c r="E461" s="2472"/>
    </row>
    <row r="462" spans="2:5" ht="15" customHeight="1" x14ac:dyDescent="0.25">
      <c r="B462" s="2472"/>
      <c r="C462" s="2472"/>
      <c r="D462" s="2472"/>
      <c r="E462" s="2472"/>
    </row>
    <row r="463" spans="2:5" ht="15" customHeight="1" x14ac:dyDescent="0.25">
      <c r="B463" s="2472"/>
      <c r="C463" s="2472"/>
      <c r="D463" s="2472"/>
      <c r="E463" s="2472"/>
    </row>
    <row r="464" spans="2:5" ht="15" customHeight="1" x14ac:dyDescent="0.25">
      <c r="B464" s="2472"/>
      <c r="C464" s="2472"/>
      <c r="D464" s="2472"/>
      <c r="E464" s="2472"/>
    </row>
    <row r="465" spans="1:7" s="3249" customFormat="1" ht="15" customHeight="1" x14ac:dyDescent="0.25">
      <c r="A465" s="2472"/>
      <c r="B465" s="2472"/>
      <c r="C465" s="2472"/>
      <c r="D465" s="2472"/>
      <c r="E465" s="2472"/>
      <c r="F465" s="2472"/>
      <c r="G465" s="2472"/>
    </row>
    <row r="466" spans="1:7" s="3249" customFormat="1" ht="15" customHeight="1" x14ac:dyDescent="0.25">
      <c r="A466" s="2472"/>
      <c r="B466" s="2472"/>
      <c r="C466" s="2472"/>
      <c r="D466" s="2472"/>
      <c r="E466" s="2472"/>
      <c r="F466" s="2472"/>
      <c r="G466" s="2472"/>
    </row>
    <row r="467" spans="1:7" s="3249" customFormat="1" ht="15" customHeight="1" x14ac:dyDescent="0.25">
      <c r="A467" s="2472"/>
      <c r="B467" s="2472"/>
      <c r="C467" s="2472"/>
      <c r="D467" s="2472"/>
      <c r="E467" s="2472"/>
      <c r="F467" s="2472"/>
      <c r="G467" s="2472"/>
    </row>
    <row r="468" spans="1:7" s="3249" customFormat="1" ht="15" customHeight="1" x14ac:dyDescent="0.25">
      <c r="A468" s="2472"/>
      <c r="B468" s="2472"/>
      <c r="C468" s="2472"/>
      <c r="D468" s="2472"/>
      <c r="E468" s="2472"/>
      <c r="F468" s="2472"/>
      <c r="G468" s="2472"/>
    </row>
    <row r="469" spans="1:7" s="3249" customFormat="1" ht="15" customHeight="1" x14ac:dyDescent="0.25">
      <c r="A469" s="2472"/>
      <c r="B469" s="2472"/>
      <c r="C469" s="2472"/>
      <c r="D469" s="2472"/>
      <c r="E469" s="2472"/>
      <c r="F469" s="2472"/>
      <c r="G469" s="2472"/>
    </row>
    <row r="470" spans="1:7" s="3249" customFormat="1" ht="15" customHeight="1" x14ac:dyDescent="0.25">
      <c r="A470" s="2472"/>
      <c r="B470" s="2472"/>
      <c r="C470" s="2472"/>
      <c r="D470" s="2472"/>
      <c r="E470" s="2472"/>
      <c r="F470" s="2472"/>
      <c r="G470" s="2472"/>
    </row>
    <row r="471" spans="1:7" s="3249" customFormat="1" ht="15" customHeight="1" x14ac:dyDescent="0.25">
      <c r="A471" s="2472"/>
      <c r="B471" s="2472"/>
      <c r="C471" s="2472"/>
      <c r="D471" s="2472"/>
      <c r="E471" s="2472"/>
      <c r="F471" s="2472"/>
      <c r="G471" s="2472"/>
    </row>
    <row r="472" spans="1:7" s="3249" customFormat="1" ht="15" customHeight="1" x14ac:dyDescent="0.25">
      <c r="A472" s="2472"/>
      <c r="B472" s="2472"/>
      <c r="C472" s="2472"/>
      <c r="D472" s="2472"/>
      <c r="E472" s="2472"/>
      <c r="F472" s="2472"/>
      <c r="G472" s="2472"/>
    </row>
    <row r="473" spans="1:7" s="3249" customFormat="1" ht="15" customHeight="1" x14ac:dyDescent="0.25">
      <c r="A473" s="2472"/>
      <c r="B473" s="2472"/>
      <c r="C473" s="2472"/>
      <c r="D473" s="2472"/>
      <c r="E473" s="2472"/>
      <c r="F473" s="2472"/>
      <c r="G473" s="2472"/>
    </row>
    <row r="474" spans="1:7" s="3249" customFormat="1" ht="15" customHeight="1" x14ac:dyDescent="0.25">
      <c r="A474" s="2472"/>
      <c r="B474" s="2472"/>
      <c r="C474" s="2472"/>
      <c r="D474" s="2472"/>
      <c r="E474" s="2472"/>
      <c r="F474" s="2472"/>
      <c r="G474" s="2472"/>
    </row>
    <row r="475" spans="1:7" s="3249" customFormat="1" ht="15" customHeight="1" x14ac:dyDescent="0.25">
      <c r="A475" s="2472"/>
      <c r="B475" s="2472"/>
      <c r="C475" s="2472"/>
      <c r="D475" s="2472"/>
      <c r="E475" s="2472"/>
      <c r="F475" s="2472"/>
      <c r="G475" s="2472"/>
    </row>
    <row r="476" spans="1:7" s="3249" customFormat="1" ht="15" customHeight="1" x14ac:dyDescent="0.25">
      <c r="A476" s="2472"/>
      <c r="B476" s="2472"/>
      <c r="C476" s="2472"/>
      <c r="D476" s="2472"/>
      <c r="E476" s="2472"/>
      <c r="F476" s="2472"/>
      <c r="G476" s="2472"/>
    </row>
    <row r="477" spans="1:7" s="3249" customFormat="1" ht="15" customHeight="1" x14ac:dyDescent="0.25">
      <c r="A477" s="2472"/>
      <c r="B477" s="2472"/>
      <c r="C477" s="2472"/>
      <c r="D477" s="2472"/>
      <c r="E477" s="2472"/>
      <c r="F477" s="2472"/>
      <c r="G477" s="2472"/>
    </row>
    <row r="478" spans="1:7" s="3249" customFormat="1" ht="15" customHeight="1" x14ac:dyDescent="0.25">
      <c r="A478" s="2472"/>
      <c r="B478" s="2472"/>
      <c r="C478" s="2472"/>
      <c r="D478" s="2472"/>
      <c r="E478" s="2472"/>
      <c r="F478" s="2472"/>
      <c r="G478" s="2472"/>
    </row>
    <row r="479" spans="1:7" s="3249" customFormat="1" ht="15" customHeight="1" x14ac:dyDescent="0.25">
      <c r="A479" s="2472"/>
      <c r="B479" s="2472"/>
      <c r="C479" s="2472"/>
      <c r="D479" s="2472"/>
      <c r="E479" s="2472"/>
      <c r="F479" s="2472"/>
      <c r="G479" s="2472"/>
    </row>
    <row r="480" spans="1:7" s="3249" customFormat="1" ht="15" customHeight="1" x14ac:dyDescent="0.25">
      <c r="A480" s="2472"/>
      <c r="B480" s="2472"/>
      <c r="C480" s="2472"/>
      <c r="D480" s="2472"/>
      <c r="E480" s="2472"/>
      <c r="F480" s="2472"/>
      <c r="G480" s="2472"/>
    </row>
    <row r="481" spans="1:7" s="3249" customFormat="1" ht="15" customHeight="1" x14ac:dyDescent="0.25">
      <c r="A481" s="2472"/>
      <c r="B481" s="2472"/>
      <c r="C481" s="2472"/>
      <c r="D481" s="2472"/>
      <c r="E481" s="2472"/>
      <c r="F481" s="2472"/>
      <c r="G481" s="2472"/>
    </row>
    <row r="482" spans="1:7" s="3249" customFormat="1" ht="15" customHeight="1" x14ac:dyDescent="0.25">
      <c r="A482" s="2472"/>
      <c r="B482" s="2472"/>
      <c r="C482" s="2472"/>
      <c r="D482" s="2472"/>
      <c r="E482" s="2472"/>
      <c r="F482" s="2472"/>
      <c r="G482" s="2472"/>
    </row>
    <row r="483" spans="1:7" s="3249" customFormat="1" ht="15" customHeight="1" x14ac:dyDescent="0.25">
      <c r="A483" s="2472"/>
      <c r="B483" s="2472"/>
      <c r="C483" s="2472"/>
      <c r="D483" s="2472"/>
      <c r="E483" s="2472"/>
      <c r="F483" s="2472"/>
      <c r="G483" s="2472"/>
    </row>
    <row r="484" spans="1:7" s="3249" customFormat="1" ht="15" customHeight="1" x14ac:dyDescent="0.25">
      <c r="A484" s="2472"/>
      <c r="B484" s="2472"/>
      <c r="C484" s="2472"/>
      <c r="D484" s="2472"/>
      <c r="E484" s="2472"/>
      <c r="F484" s="2472"/>
      <c r="G484" s="2472"/>
    </row>
    <row r="485" spans="1:7" s="3249" customFormat="1" ht="15" customHeight="1" x14ac:dyDescent="0.25">
      <c r="A485" s="2472"/>
      <c r="B485" s="2472"/>
      <c r="C485" s="2472"/>
      <c r="D485" s="2472"/>
      <c r="E485" s="2472"/>
      <c r="F485" s="2472"/>
      <c r="G485" s="2472"/>
    </row>
    <row r="486" spans="1:7" s="3249" customFormat="1" ht="15" customHeight="1" x14ac:dyDescent="0.25">
      <c r="A486" s="2472"/>
      <c r="B486" s="2472"/>
      <c r="C486" s="2472"/>
      <c r="D486" s="2472"/>
      <c r="E486" s="2472"/>
      <c r="F486" s="2472"/>
      <c r="G486" s="2472"/>
    </row>
    <row r="487" spans="1:7" s="3249" customFormat="1" ht="15" customHeight="1" x14ac:dyDescent="0.25">
      <c r="A487" s="2472"/>
      <c r="B487" s="2472"/>
      <c r="C487" s="2472"/>
      <c r="D487" s="2472"/>
      <c r="E487" s="2472"/>
      <c r="F487" s="2472"/>
      <c r="G487" s="2472"/>
    </row>
    <row r="488" spans="1:7" s="3249" customFormat="1" ht="15" customHeight="1" x14ac:dyDescent="0.25">
      <c r="A488" s="2472"/>
      <c r="B488" s="2472"/>
      <c r="C488" s="2472"/>
      <c r="D488" s="2472"/>
      <c r="E488" s="2472"/>
      <c r="F488" s="2472"/>
      <c r="G488" s="2472"/>
    </row>
    <row r="489" spans="1:7" s="3249" customFormat="1" ht="15" customHeight="1" x14ac:dyDescent="0.25">
      <c r="A489" s="2472"/>
      <c r="B489" s="2472"/>
      <c r="C489" s="2472"/>
      <c r="D489" s="2472"/>
      <c r="E489" s="2472"/>
      <c r="F489" s="2472"/>
      <c r="G489" s="2472"/>
    </row>
    <row r="490" spans="1:7" s="3249" customFormat="1" ht="15" customHeight="1" x14ac:dyDescent="0.25">
      <c r="A490" s="2472"/>
      <c r="B490" s="2472"/>
      <c r="C490" s="2472"/>
      <c r="D490" s="2472"/>
      <c r="E490" s="2472"/>
      <c r="F490" s="2472"/>
      <c r="G490" s="2472"/>
    </row>
    <row r="491" spans="1:7" s="3249" customFormat="1" ht="15" customHeight="1" x14ac:dyDescent="0.25">
      <c r="A491" s="2472"/>
      <c r="B491" s="2472"/>
      <c r="C491" s="2472"/>
      <c r="D491" s="2472"/>
      <c r="E491" s="2472"/>
      <c r="F491" s="2472"/>
      <c r="G491" s="2472"/>
    </row>
    <row r="492" spans="1:7" s="3249" customFormat="1" ht="15" customHeight="1" x14ac:dyDescent="0.25">
      <c r="A492" s="2472"/>
      <c r="B492" s="2472"/>
      <c r="C492" s="2472"/>
      <c r="D492" s="2472"/>
      <c r="E492" s="2472"/>
      <c r="F492" s="2472"/>
      <c r="G492" s="2472"/>
    </row>
    <row r="493" spans="1:7" s="3249" customFormat="1" ht="15" customHeight="1" x14ac:dyDescent="0.25">
      <c r="A493" s="2472"/>
      <c r="B493" s="2472"/>
      <c r="C493" s="2472"/>
      <c r="D493" s="2472"/>
      <c r="E493" s="2472"/>
      <c r="F493" s="2472"/>
      <c r="G493" s="2472"/>
    </row>
    <row r="494" spans="1:7" s="3249" customFormat="1" ht="15" customHeight="1" x14ac:dyDescent="0.25">
      <c r="A494" s="2472"/>
      <c r="B494" s="2472"/>
      <c r="C494" s="2472"/>
      <c r="D494" s="2472"/>
      <c r="E494" s="2472"/>
      <c r="F494" s="2472"/>
      <c r="G494" s="2472"/>
    </row>
    <row r="495" spans="1:7" s="3249" customFormat="1" ht="15" customHeight="1" x14ac:dyDescent="0.25">
      <c r="A495" s="2472"/>
      <c r="B495" s="2472"/>
      <c r="C495" s="2472"/>
      <c r="D495" s="2472"/>
      <c r="E495" s="2472"/>
      <c r="F495" s="2472"/>
      <c r="G495" s="2472"/>
    </row>
    <row r="496" spans="1:7" s="3249" customFormat="1" ht="15" customHeight="1" x14ac:dyDescent="0.25">
      <c r="A496" s="2472"/>
      <c r="B496" s="2472"/>
      <c r="C496" s="2472"/>
      <c r="D496" s="2472"/>
      <c r="E496" s="2472"/>
      <c r="F496" s="2472"/>
      <c r="G496" s="2472"/>
    </row>
    <row r="497" spans="1:7" s="3249" customFormat="1" ht="15" customHeight="1" x14ac:dyDescent="0.25">
      <c r="A497" s="2472"/>
      <c r="B497" s="2472"/>
      <c r="C497" s="2472"/>
      <c r="D497" s="2472"/>
      <c r="E497" s="2472"/>
      <c r="F497" s="2472"/>
      <c r="G497" s="2472"/>
    </row>
    <row r="498" spans="1:7" s="3249" customFormat="1" ht="15" customHeight="1" x14ac:dyDescent="0.25">
      <c r="A498" s="2472"/>
      <c r="B498" s="2472"/>
      <c r="C498" s="2472"/>
      <c r="D498" s="2472"/>
      <c r="E498" s="2472"/>
      <c r="F498" s="2472"/>
      <c r="G498" s="2472"/>
    </row>
    <row r="499" spans="1:7" s="3249" customFormat="1" ht="15" customHeight="1" x14ac:dyDescent="0.25">
      <c r="A499" s="2472"/>
      <c r="B499" s="2472"/>
      <c r="C499" s="2472"/>
      <c r="D499" s="2472"/>
      <c r="E499" s="2472"/>
      <c r="F499" s="2472"/>
      <c r="G499" s="2472"/>
    </row>
    <row r="500" spans="1:7" s="3249" customFormat="1" ht="15" customHeight="1" x14ac:dyDescent="0.25">
      <c r="A500" s="2472"/>
      <c r="B500" s="2472"/>
      <c r="C500" s="2472"/>
      <c r="D500" s="2472"/>
      <c r="E500" s="2472"/>
      <c r="F500" s="2472"/>
      <c r="G500" s="2472"/>
    </row>
    <row r="501" spans="1:7" s="3249" customFormat="1" ht="15" customHeight="1" x14ac:dyDescent="0.25">
      <c r="A501" s="2472"/>
      <c r="B501" s="2472"/>
      <c r="C501" s="2472"/>
      <c r="D501" s="2472"/>
      <c r="E501" s="2472"/>
      <c r="F501" s="2472"/>
      <c r="G501" s="2472"/>
    </row>
    <row r="502" spans="1:7" s="3249" customFormat="1" ht="15" customHeight="1" x14ac:dyDescent="0.25">
      <c r="A502" s="2472"/>
      <c r="B502" s="2472"/>
      <c r="C502" s="2472"/>
      <c r="D502" s="2472"/>
      <c r="E502" s="2472"/>
      <c r="F502" s="2472"/>
      <c r="G502" s="2472"/>
    </row>
    <row r="503" spans="1:7" s="3249" customFormat="1" ht="15" customHeight="1" x14ac:dyDescent="0.25">
      <c r="A503" s="2472"/>
      <c r="B503" s="2472"/>
      <c r="C503" s="2472"/>
      <c r="D503" s="2472"/>
      <c r="E503" s="2472"/>
      <c r="F503" s="2472"/>
      <c r="G503" s="2472"/>
    </row>
    <row r="504" spans="1:7" s="3249" customFormat="1" ht="15" customHeight="1" x14ac:dyDescent="0.25">
      <c r="A504" s="2472"/>
      <c r="B504" s="2472"/>
      <c r="C504" s="2472"/>
      <c r="D504" s="2472"/>
      <c r="E504" s="2472"/>
      <c r="F504" s="2472"/>
      <c r="G504" s="2472"/>
    </row>
    <row r="505" spans="1:7" s="3249" customFormat="1" ht="15" customHeight="1" x14ac:dyDescent="0.25">
      <c r="A505" s="2472"/>
      <c r="B505" s="2472"/>
      <c r="C505" s="2472"/>
      <c r="D505" s="2472"/>
      <c r="E505" s="2472"/>
      <c r="F505" s="2472"/>
      <c r="G505" s="2472"/>
    </row>
    <row r="506" spans="1:7" s="3249" customFormat="1" ht="15" customHeight="1" x14ac:dyDescent="0.25">
      <c r="A506" s="2472"/>
      <c r="B506" s="2472"/>
      <c r="C506" s="2472"/>
      <c r="D506" s="2472"/>
      <c r="E506" s="2472"/>
      <c r="F506" s="2472"/>
      <c r="G506" s="2472"/>
    </row>
    <row r="507" spans="1:7" s="3249" customFormat="1" ht="15" customHeight="1" x14ac:dyDescent="0.25">
      <c r="A507" s="2472"/>
      <c r="B507" s="2472"/>
      <c r="C507" s="2472"/>
      <c r="D507" s="2472"/>
      <c r="E507" s="2472"/>
      <c r="F507" s="2472"/>
      <c r="G507" s="2472"/>
    </row>
    <row r="508" spans="1:7" s="3249" customFormat="1" ht="15" customHeight="1" x14ac:dyDescent="0.25">
      <c r="A508" s="2472"/>
      <c r="B508" s="2472"/>
      <c r="C508" s="2472"/>
      <c r="D508" s="2472"/>
      <c r="E508" s="2472"/>
      <c r="F508" s="2472"/>
      <c r="G508" s="2472"/>
    </row>
    <row r="509" spans="1:7" s="3249" customFormat="1" ht="15" customHeight="1" x14ac:dyDescent="0.25">
      <c r="A509" s="2472"/>
      <c r="B509" s="2472"/>
      <c r="C509" s="2472"/>
      <c r="D509" s="2472"/>
      <c r="E509" s="2472"/>
      <c r="F509" s="2472"/>
      <c r="G509" s="2472"/>
    </row>
    <row r="510" spans="1:7" s="3249" customFormat="1" ht="15" customHeight="1" x14ac:dyDescent="0.25">
      <c r="A510" s="2472"/>
      <c r="B510" s="2472"/>
      <c r="C510" s="2472"/>
      <c r="D510" s="2472"/>
      <c r="E510" s="2472"/>
      <c r="F510" s="2472"/>
      <c r="G510" s="2472"/>
    </row>
    <row r="511" spans="1:7" s="3249" customFormat="1" ht="15" customHeight="1" x14ac:dyDescent="0.25">
      <c r="A511" s="2472"/>
      <c r="B511" s="2472"/>
      <c r="C511" s="2472"/>
      <c r="D511" s="2472"/>
      <c r="E511" s="2472"/>
      <c r="F511" s="2472"/>
      <c r="G511" s="2472"/>
    </row>
    <row r="512" spans="1:7" s="3249" customFormat="1" ht="15" customHeight="1" x14ac:dyDescent="0.25">
      <c r="A512" s="2472"/>
      <c r="B512" s="2472"/>
      <c r="C512" s="2472"/>
      <c r="D512" s="2472"/>
      <c r="E512" s="2472"/>
      <c r="F512" s="2472"/>
      <c r="G512" s="2472"/>
    </row>
    <row r="513" spans="1:7" s="3249" customFormat="1" ht="15" customHeight="1" x14ac:dyDescent="0.25">
      <c r="A513" s="2472"/>
      <c r="B513" s="2472"/>
      <c r="C513" s="2472"/>
      <c r="D513" s="2472"/>
      <c r="E513" s="2472"/>
      <c r="F513" s="2472"/>
      <c r="G513" s="2472"/>
    </row>
    <row r="514" spans="1:7" s="3249" customFormat="1" ht="15" customHeight="1" x14ac:dyDescent="0.25">
      <c r="A514" s="2472"/>
      <c r="B514" s="2472"/>
      <c r="C514" s="2472"/>
      <c r="D514" s="2472"/>
      <c r="E514" s="2472"/>
      <c r="F514" s="2472"/>
      <c r="G514" s="2472"/>
    </row>
    <row r="515" spans="1:7" s="3249" customFormat="1" ht="15" customHeight="1" x14ac:dyDescent="0.25">
      <c r="A515" s="2472"/>
      <c r="B515" s="2472"/>
      <c r="C515" s="2472"/>
      <c r="D515" s="2472"/>
      <c r="E515" s="2472"/>
      <c r="F515" s="2472"/>
      <c r="G515" s="2472"/>
    </row>
    <row r="516" spans="1:7" s="3249" customFormat="1" ht="15" customHeight="1" x14ac:dyDescent="0.25">
      <c r="A516" s="2472"/>
      <c r="B516" s="2472"/>
      <c r="C516" s="2472"/>
      <c r="D516" s="2472"/>
      <c r="E516" s="2472"/>
      <c r="F516" s="2472"/>
      <c r="G516" s="2472"/>
    </row>
    <row r="517" spans="1:7" s="3249" customFormat="1" ht="15" customHeight="1" x14ac:dyDescent="0.25">
      <c r="A517" s="2472"/>
      <c r="B517" s="2472"/>
      <c r="C517" s="2472"/>
      <c r="D517" s="2472"/>
      <c r="E517" s="2472"/>
      <c r="F517" s="2472"/>
      <c r="G517" s="2472"/>
    </row>
    <row r="518" spans="1:7" s="3249" customFormat="1" ht="15" customHeight="1" x14ac:dyDescent="0.25">
      <c r="A518" s="2472"/>
      <c r="B518" s="2472"/>
      <c r="C518" s="2472"/>
      <c r="D518" s="2472"/>
      <c r="E518" s="2472"/>
      <c r="F518" s="2472"/>
      <c r="G518" s="2472"/>
    </row>
    <row r="519" spans="1:7" s="3249" customFormat="1" ht="15" customHeight="1" x14ac:dyDescent="0.25">
      <c r="A519" s="2472"/>
      <c r="B519" s="2472"/>
      <c r="C519" s="2472"/>
      <c r="D519" s="2472"/>
      <c r="E519" s="2472"/>
      <c r="F519" s="2472"/>
      <c r="G519" s="2472"/>
    </row>
    <row r="520" spans="1:7" s="3249" customFormat="1" ht="15" customHeight="1" x14ac:dyDescent="0.25">
      <c r="A520" s="2472"/>
      <c r="B520" s="2472"/>
      <c r="C520" s="2472"/>
      <c r="D520" s="2472"/>
      <c r="E520" s="2472"/>
      <c r="F520" s="2472"/>
      <c r="G520" s="2472"/>
    </row>
    <row r="521" spans="1:7" s="3249" customFormat="1" ht="15" customHeight="1" x14ac:dyDescent="0.25">
      <c r="A521" s="2472"/>
      <c r="B521" s="2472"/>
      <c r="C521" s="2472"/>
      <c r="D521" s="2472"/>
      <c r="E521" s="2472"/>
      <c r="F521" s="2472"/>
      <c r="G521" s="2472"/>
    </row>
    <row r="522" spans="1:7" s="3249" customFormat="1" ht="15" customHeight="1" x14ac:dyDescent="0.25">
      <c r="A522" s="2472"/>
      <c r="B522" s="2472"/>
      <c r="C522" s="2472"/>
      <c r="D522" s="2472"/>
      <c r="E522" s="2472"/>
      <c r="F522" s="2472"/>
      <c r="G522" s="2472"/>
    </row>
    <row r="523" spans="1:7" s="3249" customFormat="1" ht="15" customHeight="1" x14ac:dyDescent="0.25">
      <c r="A523" s="2472"/>
      <c r="B523" s="2472"/>
      <c r="C523" s="2472"/>
      <c r="D523" s="2472"/>
      <c r="E523" s="2472"/>
      <c r="F523" s="2472"/>
      <c r="G523" s="2472"/>
    </row>
    <row r="524" spans="1:7" s="3249" customFormat="1" ht="15" customHeight="1" x14ac:dyDescent="0.25">
      <c r="A524" s="2472"/>
      <c r="B524" s="2472"/>
      <c r="C524" s="2472"/>
      <c r="D524" s="2472"/>
      <c r="E524" s="2472"/>
      <c r="F524" s="2472"/>
      <c r="G524" s="2472"/>
    </row>
    <row r="525" spans="1:7" s="3249" customFormat="1" ht="15" customHeight="1" x14ac:dyDescent="0.25">
      <c r="A525" s="2472"/>
      <c r="B525" s="2472"/>
      <c r="C525" s="2472"/>
      <c r="D525" s="2472"/>
      <c r="E525" s="2472"/>
      <c r="F525" s="2472"/>
      <c r="G525" s="2472"/>
    </row>
    <row r="526" spans="1:7" s="3249" customFormat="1" ht="15" customHeight="1" x14ac:dyDescent="0.25">
      <c r="A526" s="2472"/>
      <c r="B526" s="2472"/>
      <c r="C526" s="2472"/>
      <c r="D526" s="2472"/>
      <c r="E526" s="2472"/>
      <c r="F526" s="2472"/>
      <c r="G526" s="2472"/>
    </row>
    <row r="527" spans="1:7" s="3249" customFormat="1" ht="15" customHeight="1" x14ac:dyDescent="0.25">
      <c r="A527" s="2472"/>
      <c r="B527" s="2472"/>
      <c r="C527" s="2472"/>
      <c r="D527" s="2472"/>
      <c r="E527" s="2472"/>
      <c r="F527" s="2472"/>
      <c r="G527" s="2472"/>
    </row>
    <row r="528" spans="1:7" s="3249" customFormat="1" ht="15" customHeight="1" x14ac:dyDescent="0.25">
      <c r="A528" s="2472"/>
      <c r="B528" s="2472"/>
      <c r="C528" s="2472"/>
      <c r="D528" s="2472"/>
      <c r="E528" s="2472"/>
      <c r="F528" s="2472"/>
      <c r="G528" s="2472"/>
    </row>
    <row r="529" spans="1:7" s="3249" customFormat="1" ht="15" customHeight="1" x14ac:dyDescent="0.25">
      <c r="A529" s="2472"/>
      <c r="B529" s="2472"/>
      <c r="C529" s="2472"/>
      <c r="D529" s="2472"/>
      <c r="E529" s="2472"/>
      <c r="F529" s="2472"/>
      <c r="G529" s="2472"/>
    </row>
    <row r="530" spans="1:7" s="3249" customFormat="1" ht="15" customHeight="1" x14ac:dyDescent="0.25">
      <c r="A530" s="2472"/>
      <c r="B530" s="2472"/>
      <c r="C530" s="2472"/>
      <c r="D530" s="2472"/>
      <c r="E530" s="2472"/>
      <c r="F530" s="2472"/>
      <c r="G530" s="2472"/>
    </row>
    <row r="531" spans="1:7" s="3249" customFormat="1" ht="15" customHeight="1" x14ac:dyDescent="0.25">
      <c r="A531" s="2472"/>
      <c r="B531" s="2472"/>
      <c r="C531" s="2472"/>
      <c r="D531" s="2472"/>
      <c r="E531" s="2472"/>
      <c r="F531" s="2472"/>
      <c r="G531" s="2472"/>
    </row>
    <row r="532" spans="1:7" s="3249" customFormat="1" ht="15" customHeight="1" x14ac:dyDescent="0.25">
      <c r="A532" s="2472"/>
      <c r="B532" s="2472"/>
      <c r="C532" s="2472"/>
      <c r="D532" s="2472"/>
      <c r="E532" s="2472"/>
      <c r="F532" s="2472"/>
      <c r="G532" s="2472"/>
    </row>
    <row r="533" spans="1:7" s="3249" customFormat="1" ht="15" customHeight="1" x14ac:dyDescent="0.25">
      <c r="A533" s="2472"/>
      <c r="B533" s="2472"/>
      <c r="C533" s="2472"/>
      <c r="D533" s="2472"/>
      <c r="E533" s="2472"/>
      <c r="F533" s="2472"/>
      <c r="G533" s="2472"/>
    </row>
    <row r="534" spans="1:7" s="3249" customFormat="1" ht="15" customHeight="1" x14ac:dyDescent="0.25">
      <c r="A534" s="2472"/>
      <c r="B534" s="2472"/>
      <c r="C534" s="2472"/>
      <c r="D534" s="2472"/>
      <c r="E534" s="2472"/>
      <c r="F534" s="2472"/>
      <c r="G534" s="2472"/>
    </row>
    <row r="535" spans="1:7" s="3249" customFormat="1" ht="15" customHeight="1" x14ac:dyDescent="0.25">
      <c r="A535" s="2472"/>
      <c r="B535" s="2472"/>
      <c r="C535" s="2472"/>
      <c r="D535" s="2472"/>
      <c r="E535" s="2472"/>
      <c r="F535" s="2472"/>
      <c r="G535" s="2472"/>
    </row>
    <row r="536" spans="1:7" s="3249" customFormat="1" ht="15" customHeight="1" x14ac:dyDescent="0.25">
      <c r="A536" s="2472"/>
      <c r="B536" s="2472"/>
      <c r="C536" s="2472"/>
      <c r="D536" s="2472"/>
      <c r="E536" s="2472"/>
      <c r="F536" s="2472"/>
      <c r="G536" s="2472"/>
    </row>
    <row r="537" spans="1:7" s="3249" customFormat="1" ht="15" customHeight="1" x14ac:dyDescent="0.25">
      <c r="A537" s="2472"/>
      <c r="B537" s="2472"/>
      <c r="C537" s="2472"/>
      <c r="D537" s="2472"/>
      <c r="E537" s="2472"/>
      <c r="F537" s="2472"/>
      <c r="G537" s="2472"/>
    </row>
    <row r="538" spans="1:7" s="3249" customFormat="1" ht="15" customHeight="1" x14ac:dyDescent="0.25">
      <c r="A538" s="2472"/>
      <c r="B538" s="2472"/>
      <c r="C538" s="2472"/>
      <c r="D538" s="2472"/>
      <c r="E538" s="2472"/>
      <c r="F538" s="2472"/>
      <c r="G538" s="2472"/>
    </row>
    <row r="539" spans="1:7" s="3249" customFormat="1" ht="15" customHeight="1" x14ac:dyDescent="0.25">
      <c r="A539" s="2472"/>
      <c r="B539" s="2472"/>
      <c r="C539" s="2472"/>
      <c r="D539" s="2472"/>
      <c r="E539" s="2472"/>
      <c r="F539" s="2472"/>
      <c r="G539" s="2472"/>
    </row>
    <row r="540" spans="1:7" s="3249" customFormat="1" ht="15" customHeight="1" x14ac:dyDescent="0.25">
      <c r="A540" s="2472"/>
      <c r="B540" s="2472"/>
      <c r="C540" s="2472"/>
      <c r="D540" s="2472"/>
      <c r="E540" s="2472"/>
      <c r="F540" s="2472"/>
      <c r="G540" s="2472"/>
    </row>
    <row r="541" spans="1:7" s="3249" customFormat="1" ht="15" customHeight="1" x14ac:dyDescent="0.25">
      <c r="A541" s="2472"/>
      <c r="B541" s="2472"/>
      <c r="C541" s="2472"/>
      <c r="D541" s="2472"/>
      <c r="E541" s="2472"/>
      <c r="F541" s="2472"/>
      <c r="G541" s="2472"/>
    </row>
    <row r="542" spans="1:7" s="3249" customFormat="1" ht="15" customHeight="1" x14ac:dyDescent="0.25">
      <c r="A542" s="2472"/>
      <c r="B542" s="2472"/>
      <c r="C542" s="2472"/>
      <c r="D542" s="2472"/>
      <c r="E542" s="2472"/>
      <c r="F542" s="2472"/>
      <c r="G542" s="2472"/>
    </row>
    <row r="543" spans="1:7" s="3249" customFormat="1" ht="15" customHeight="1" x14ac:dyDescent="0.25">
      <c r="A543" s="2472"/>
      <c r="B543" s="2472"/>
      <c r="C543" s="2472"/>
      <c r="D543" s="2472"/>
      <c r="E543" s="2472"/>
      <c r="F543" s="2472"/>
      <c r="G543" s="2472"/>
    </row>
    <row r="544" spans="1:7" s="3249" customFormat="1" ht="15" customHeight="1" x14ac:dyDescent="0.25">
      <c r="A544" s="2472"/>
      <c r="B544" s="2472"/>
      <c r="C544" s="2472"/>
      <c r="D544" s="2472"/>
      <c r="E544" s="2472"/>
      <c r="F544" s="2472"/>
      <c r="G544" s="2472"/>
    </row>
    <row r="545" spans="1:7" s="3249" customFormat="1" ht="15" customHeight="1" x14ac:dyDescent="0.25">
      <c r="A545" s="2472"/>
      <c r="B545" s="2472"/>
      <c r="C545" s="2472"/>
      <c r="D545" s="2472"/>
      <c r="E545" s="2472"/>
      <c r="F545" s="2472"/>
      <c r="G545" s="2472"/>
    </row>
    <row r="546" spans="1:7" s="3249" customFormat="1" ht="15" customHeight="1" x14ac:dyDescent="0.25">
      <c r="A546" s="2472"/>
      <c r="B546" s="2472"/>
      <c r="C546" s="2472"/>
      <c r="D546" s="2472"/>
      <c r="E546" s="2472"/>
      <c r="F546" s="2472"/>
      <c r="G546" s="2472"/>
    </row>
    <row r="547" spans="1:7" s="3249" customFormat="1" ht="15" customHeight="1" x14ac:dyDescent="0.25">
      <c r="A547" s="2472"/>
      <c r="B547" s="2472"/>
      <c r="C547" s="2472"/>
      <c r="D547" s="2472"/>
      <c r="E547" s="2472"/>
      <c r="F547" s="2472"/>
      <c r="G547" s="2472"/>
    </row>
    <row r="548" spans="1:7" s="3249" customFormat="1" ht="15" customHeight="1" x14ac:dyDescent="0.25">
      <c r="A548" s="2472"/>
      <c r="B548" s="2472"/>
      <c r="C548" s="2472"/>
      <c r="D548" s="2472"/>
      <c r="E548" s="2472"/>
      <c r="F548" s="2472"/>
      <c r="G548" s="2472"/>
    </row>
    <row r="549" spans="1:7" s="3249" customFormat="1" ht="15" customHeight="1" x14ac:dyDescent="0.25">
      <c r="A549" s="2472"/>
      <c r="B549" s="2472"/>
      <c r="C549" s="2472"/>
      <c r="D549" s="2472"/>
      <c r="E549" s="2472"/>
      <c r="F549" s="2472"/>
      <c r="G549" s="2472"/>
    </row>
    <row r="550" spans="1:7" s="3249" customFormat="1" ht="15" customHeight="1" x14ac:dyDescent="0.25">
      <c r="A550" s="2472"/>
      <c r="B550" s="2472"/>
      <c r="C550" s="2472"/>
      <c r="D550" s="2472"/>
      <c r="E550" s="2472"/>
      <c r="F550" s="2472"/>
      <c r="G550" s="2472"/>
    </row>
    <row r="551" spans="1:7" s="3249" customFormat="1" ht="15" customHeight="1" x14ac:dyDescent="0.25">
      <c r="A551" s="2472"/>
      <c r="B551" s="2472"/>
      <c r="C551" s="2472"/>
      <c r="D551" s="2472"/>
      <c r="E551" s="2472"/>
      <c r="F551" s="2472"/>
      <c r="G551" s="2472"/>
    </row>
    <row r="552" spans="1:7" s="3249" customFormat="1" ht="15" customHeight="1" x14ac:dyDescent="0.25">
      <c r="A552" s="2472"/>
      <c r="B552" s="2472"/>
      <c r="C552" s="2472"/>
      <c r="D552" s="2472"/>
      <c r="E552" s="2472"/>
      <c r="F552" s="2472"/>
      <c r="G552" s="2472"/>
    </row>
    <row r="553" spans="1:7" s="3249" customFormat="1" ht="15" customHeight="1" x14ac:dyDescent="0.25">
      <c r="A553" s="2472"/>
      <c r="B553" s="2472"/>
      <c r="C553" s="2472"/>
      <c r="D553" s="2472"/>
      <c r="E553" s="2472"/>
      <c r="F553" s="2472"/>
      <c r="G553" s="2472"/>
    </row>
    <row r="554" spans="1:7" s="3249" customFormat="1" ht="15" customHeight="1" x14ac:dyDescent="0.25">
      <c r="A554" s="2472"/>
      <c r="B554" s="2472"/>
      <c r="C554" s="2472"/>
      <c r="D554" s="2472"/>
      <c r="E554" s="2472"/>
      <c r="F554" s="2472"/>
      <c r="G554" s="2472"/>
    </row>
    <row r="555" spans="1:7" s="3249" customFormat="1" ht="15" customHeight="1" x14ac:dyDescent="0.25">
      <c r="A555" s="2472"/>
      <c r="B555" s="2472"/>
      <c r="C555" s="2472"/>
      <c r="D555" s="2472"/>
      <c r="E555" s="2472"/>
      <c r="F555" s="2472"/>
      <c r="G555" s="2472"/>
    </row>
    <row r="556" spans="1:7" s="3249" customFormat="1" ht="15" customHeight="1" x14ac:dyDescent="0.25">
      <c r="A556" s="2472"/>
      <c r="B556" s="2472"/>
      <c r="C556" s="2472"/>
      <c r="D556" s="2472"/>
      <c r="E556" s="2472"/>
      <c r="F556" s="2472"/>
      <c r="G556" s="2472"/>
    </row>
    <row r="557" spans="1:7" s="3249" customFormat="1" ht="15" customHeight="1" x14ac:dyDescent="0.25">
      <c r="A557" s="2472"/>
      <c r="B557" s="2472"/>
      <c r="C557" s="2472"/>
      <c r="D557" s="2472"/>
      <c r="E557" s="2472"/>
      <c r="F557" s="2472"/>
      <c r="G557" s="2472"/>
    </row>
    <row r="558" spans="1:7" s="3249" customFormat="1" ht="15" customHeight="1" x14ac:dyDescent="0.25">
      <c r="A558" s="2472"/>
      <c r="B558" s="2472"/>
      <c r="C558" s="2472"/>
      <c r="D558" s="2472"/>
      <c r="E558" s="2472"/>
      <c r="F558" s="2472"/>
      <c r="G558" s="2472"/>
    </row>
    <row r="559" spans="1:7" s="3249" customFormat="1" ht="15" customHeight="1" x14ac:dyDescent="0.25">
      <c r="A559" s="2472"/>
      <c r="B559" s="2472"/>
      <c r="C559" s="2472"/>
      <c r="D559" s="2472"/>
      <c r="E559" s="2472"/>
      <c r="F559" s="2472"/>
      <c r="G559" s="2472"/>
    </row>
    <row r="560" spans="1:7" s="3249" customFormat="1" ht="15" customHeight="1" x14ac:dyDescent="0.25">
      <c r="A560" s="2472"/>
      <c r="B560" s="2472"/>
      <c r="C560" s="2472"/>
      <c r="D560" s="2472"/>
      <c r="E560" s="2472"/>
      <c r="F560" s="2472"/>
      <c r="G560" s="2472"/>
    </row>
    <row r="561" spans="1:7" s="3249" customFormat="1" ht="15" customHeight="1" x14ac:dyDescent="0.25">
      <c r="A561" s="2472"/>
      <c r="B561" s="2472"/>
      <c r="C561" s="2472"/>
      <c r="D561" s="2472"/>
      <c r="E561" s="2472"/>
      <c r="F561" s="2472"/>
      <c r="G561" s="2472"/>
    </row>
    <row r="562" spans="1:7" s="3249" customFormat="1" ht="15" customHeight="1" x14ac:dyDescent="0.25">
      <c r="A562" s="2472"/>
      <c r="B562" s="2472"/>
      <c r="C562" s="2472"/>
      <c r="D562" s="2472"/>
      <c r="E562" s="2472"/>
      <c r="F562" s="2472"/>
      <c r="G562" s="2472"/>
    </row>
    <row r="563" spans="1:7" s="3249" customFormat="1" ht="15" customHeight="1" x14ac:dyDescent="0.25">
      <c r="A563" s="2472"/>
      <c r="B563" s="2472"/>
      <c r="C563" s="2472"/>
      <c r="D563" s="2472"/>
      <c r="E563" s="2472"/>
      <c r="F563" s="2472"/>
      <c r="G563" s="2472"/>
    </row>
    <row r="564" spans="1:7" s="3249" customFormat="1" ht="15" customHeight="1" x14ac:dyDescent="0.25">
      <c r="A564" s="2472"/>
      <c r="B564" s="2472"/>
      <c r="C564" s="2472"/>
      <c r="D564" s="2472"/>
      <c r="E564" s="2472"/>
      <c r="F564" s="2472"/>
      <c r="G564" s="2472"/>
    </row>
    <row r="565" spans="1:7" s="3249" customFormat="1" ht="15" customHeight="1" x14ac:dyDescent="0.25">
      <c r="A565" s="2472"/>
      <c r="B565" s="2472"/>
      <c r="C565" s="2472"/>
      <c r="D565" s="2472"/>
      <c r="E565" s="2472"/>
      <c r="F565" s="2472"/>
      <c r="G565" s="2472"/>
    </row>
  </sheetData>
  <mergeCells count="7">
    <mergeCell ref="D84:E84"/>
    <mergeCell ref="B12:C14"/>
    <mergeCell ref="D12:F12"/>
    <mergeCell ref="H12:J12"/>
    <mergeCell ref="L12:N12"/>
    <mergeCell ref="H13:J13"/>
    <mergeCell ref="L13:N13"/>
  </mergeCells>
  <hyperlinks>
    <hyperlink ref="S13" location="TOC!A1" display="TOC" xr:uid="{3217F410-59B8-4F24-9533-9E6F05D4F24F}"/>
    <hyperlink ref="S14" location="'B TABS DATA -&gt;'!A1" display="BTABS" xr:uid="{4A20CDD4-8BC7-436D-95AC-AD23119D1A78}"/>
    <hyperlink ref="S15" location="'FF1 DATA -&gt;'!A1" display="FF1" xr:uid="{1A8D7175-A539-44C7-A03E-6C4DACC70B15}"/>
  </hyperlinks>
  <printOptions horizontalCentered="1" headings="1"/>
  <pageMargins left="0.5" right="0.5" top="0.5" bottom="0.75" header="0.25" footer="0.25"/>
  <pageSetup scale="74" fitToHeight="5" orientation="landscape" r:id="rId1"/>
  <headerFooter alignWithMargins="0">
    <oddFooter>&amp;LFY 2020-2021 ASC Filing
&amp;F&amp;CPage &amp;P of &amp;N&amp;R&amp;A
&amp;D</oddFooter>
  </headerFooter>
  <rowBreaks count="4" manualBreakCount="4">
    <brk id="50" min="1" max="10" man="1"/>
    <brk id="81" min="1" max="10" man="1"/>
    <brk id="116" min="1" max="10" man="1"/>
    <brk id="136" min="1" max="10" man="1"/>
  </rowBreaks>
  <customProperties>
    <customPr name="_pios_id" r:id="rId2"/>
  </customProperties>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761EC6-8A32-42C9-AF8C-976B42FD6909}">
  <sheetPr>
    <tabColor rgb="FF99CCFF"/>
  </sheetPr>
  <dimension ref="A1:U111"/>
  <sheetViews>
    <sheetView zoomScale="80" zoomScaleNormal="80" zoomScaleSheetLayoutView="80" workbookViewId="0">
      <selection activeCell="G42" sqref="G42"/>
    </sheetView>
  </sheetViews>
  <sheetFormatPr defaultColWidth="9" defaultRowHeight="15.75" x14ac:dyDescent="0.25"/>
  <cols>
    <col min="1" max="1" width="5.375" style="2472" customWidth="1"/>
    <col min="2" max="2" width="47.375" style="2472" customWidth="1"/>
    <col min="3" max="4" width="9.625" style="2472" customWidth="1"/>
    <col min="5" max="5" width="14" style="2472" customWidth="1"/>
    <col min="6" max="9" width="13.75" style="2472" customWidth="1"/>
    <col min="10" max="15" width="9.125" style="2472" bestFit="1" customWidth="1"/>
    <col min="16" max="16" width="10.5" style="2472" customWidth="1"/>
    <col min="17" max="16384" width="9" style="2472"/>
  </cols>
  <sheetData>
    <row r="1" spans="1:15" ht="17.25" customHeight="1" thickTop="1" thickBot="1" x14ac:dyDescent="0.3">
      <c r="A1" s="3674" t="s">
        <v>100</v>
      </c>
      <c r="B1" s="3807"/>
      <c r="C1" s="3310" t="s">
        <v>323</v>
      </c>
      <c r="D1" s="3311"/>
      <c r="E1" s="3312"/>
      <c r="F1" s="3265"/>
      <c r="G1" s="3313"/>
      <c r="H1" s="3313"/>
      <c r="I1" s="3313"/>
      <c r="J1" s="3265"/>
      <c r="K1" s="3313"/>
      <c r="L1" s="3313"/>
      <c r="M1" s="3314"/>
    </row>
    <row r="2" spans="1:15" ht="16.5" thickBot="1" x14ac:dyDescent="0.3">
      <c r="A2" s="3676"/>
      <c r="B2" s="3808"/>
      <c r="C2" s="3315" t="s">
        <v>272</v>
      </c>
      <c r="D2" s="3316" t="s">
        <v>96</v>
      </c>
      <c r="E2" s="3266"/>
      <c r="F2" s="3810" t="s">
        <v>12452</v>
      </c>
      <c r="G2" s="3811"/>
      <c r="H2" s="3811"/>
      <c r="I2" s="3812"/>
      <c r="J2" s="3810" t="s">
        <v>12453</v>
      </c>
      <c r="K2" s="3811"/>
      <c r="L2" s="3811"/>
      <c r="M2" s="3812"/>
      <c r="O2" s="3267" t="s">
        <v>695</v>
      </c>
    </row>
    <row r="3" spans="1:15" ht="16.5" thickBot="1" x14ac:dyDescent="0.3">
      <c r="A3" s="3677"/>
      <c r="B3" s="3809"/>
      <c r="C3" s="3317" t="s">
        <v>273</v>
      </c>
      <c r="D3" s="3318" t="s">
        <v>252</v>
      </c>
      <c r="E3" s="3319" t="s">
        <v>441</v>
      </c>
      <c r="F3" s="3320" t="s">
        <v>5463</v>
      </c>
      <c r="G3" s="3321" t="s">
        <v>912</v>
      </c>
      <c r="H3" s="3321" t="s">
        <v>921</v>
      </c>
      <c r="I3" s="3262" t="s">
        <v>5462</v>
      </c>
      <c r="J3" s="3319" t="s">
        <v>5463</v>
      </c>
      <c r="K3" s="3320" t="s">
        <v>912</v>
      </c>
      <c r="L3" s="3321" t="s">
        <v>921</v>
      </c>
      <c r="M3" s="3322" t="s">
        <v>5462</v>
      </c>
      <c r="O3" s="3271" t="s">
        <v>5882</v>
      </c>
    </row>
    <row r="4" spans="1:15" ht="17.25" thickTop="1" thickBot="1" x14ac:dyDescent="0.3">
      <c r="A4" s="160" t="s">
        <v>456</v>
      </c>
      <c r="B4" s="32"/>
      <c r="C4" s="8"/>
      <c r="D4" s="8"/>
      <c r="E4" s="3323"/>
      <c r="F4" s="3324"/>
      <c r="G4" s="3325"/>
      <c r="H4" s="3325"/>
      <c r="I4" s="3326"/>
      <c r="J4" s="3327"/>
      <c r="K4" s="3328"/>
      <c r="L4" s="3328"/>
      <c r="M4" s="3329"/>
      <c r="O4" s="3272" t="s">
        <v>12448</v>
      </c>
    </row>
    <row r="5" spans="1:15" x14ac:dyDescent="0.25">
      <c r="A5" s="161"/>
      <c r="B5" s="73" t="s">
        <v>457</v>
      </c>
      <c r="C5" s="50"/>
      <c r="D5" s="50"/>
      <c r="E5" s="3330"/>
      <c r="F5" s="3331"/>
      <c r="G5" s="3325"/>
      <c r="H5" s="3325"/>
      <c r="I5" s="3326"/>
      <c r="J5" s="3332"/>
      <c r="K5" s="3333"/>
      <c r="L5" s="3333"/>
      <c r="M5" s="3334"/>
    </row>
    <row r="6" spans="1:15" ht="15" customHeight="1" x14ac:dyDescent="0.25">
      <c r="A6" s="162"/>
      <c r="B6" s="47" t="s">
        <v>259</v>
      </c>
      <c r="C6" s="181" t="s">
        <v>72</v>
      </c>
      <c r="D6" s="181">
        <v>501</v>
      </c>
      <c r="E6" s="3335">
        <f>SUMIFS('Pgs 320-323 - O&amp;M Expenses (For'!C:C,'Pgs 320-323 - O&amp;M Expenses (For'!B:B,"*"&amp;D6&amp;"*")</f>
        <v>671791677</v>
      </c>
      <c r="F6" s="3336">
        <f>SUM(G6:I6)</f>
        <v>252388860.8429752</v>
      </c>
      <c r="G6" s="3337">
        <f>SUMIFS('B2-O&amp;M'!G$804:G$900,'B2-O&amp;M'!$A$804:$A$900,"501*")*1000</f>
        <v>167683450.16221869</v>
      </c>
      <c r="H6" s="3337">
        <f>SUMIFS('B2-O&amp;M'!H$804:H$900,'B2-O&amp;M'!$A$804:$A$900,"501*")*1000</f>
        <v>46345806.474037133</v>
      </c>
      <c r="I6" s="3337">
        <f>SUMIFS('B2-O&amp;M'!I$804:I$900,'B2-O&amp;M'!$A$804:$A$900,"501*")*1000</f>
        <v>38359604.206719369</v>
      </c>
      <c r="J6" s="3338">
        <f t="shared" ref="J6:M8" si="0">F6/$E6</f>
        <v>0.37569512913595565</v>
      </c>
      <c r="K6" s="3339">
        <f t="shared" si="0"/>
        <v>0.24960632276814987</v>
      </c>
      <c r="L6" s="3339">
        <f t="shared" si="0"/>
        <v>6.8988360619473901E-2</v>
      </c>
      <c r="M6" s="3340">
        <f t="shared" si="0"/>
        <v>5.7100445748331841E-2</v>
      </c>
      <c r="N6" s="3341">
        <f>F6-SUM(G6:I6)</f>
        <v>0</v>
      </c>
    </row>
    <row r="7" spans="1:15" ht="15" customHeight="1" x14ac:dyDescent="0.25">
      <c r="A7" s="162"/>
      <c r="B7" s="47" t="s">
        <v>260</v>
      </c>
      <c r="C7" s="181" t="s">
        <v>72</v>
      </c>
      <c r="D7" s="181" t="s">
        <v>452</v>
      </c>
      <c r="E7" s="3335">
        <f>'Pgs 320-323 - O&amp;M Expenses (For'!C21-E6</f>
        <v>137394696</v>
      </c>
      <c r="F7" s="3336">
        <f>SUM(G7:I7)</f>
        <v>54995738.093448065</v>
      </c>
      <c r="G7" s="3337">
        <f>SUMIFS('B2-O&amp;M'!G$804:G$900,'B2-O&amp;M'!$A$804:$A$900,"50*")*1000-G6</f>
        <v>37089920.649044394</v>
      </c>
      <c r="H7" s="3337">
        <f>SUMIFS('B2-O&amp;M'!H$804:H$900,'B2-O&amp;M'!$A$804:$A$900,"50*")*1000-H6</f>
        <v>10415135.84063001</v>
      </c>
      <c r="I7" s="3337">
        <f>SUMIFS('B2-O&amp;M'!I$804:I$900,'B2-O&amp;M'!$A$804:$A$900,"50*")*1000-I6</f>
        <v>7490681.603773661</v>
      </c>
      <c r="J7" s="3338">
        <f t="shared" si="0"/>
        <v>0.40027555425755346</v>
      </c>
      <c r="K7" s="3339">
        <f t="shared" si="0"/>
        <v>0.26995161915889676</v>
      </c>
      <c r="L7" s="3339">
        <f t="shared" si="0"/>
        <v>7.5804497144707897E-2</v>
      </c>
      <c r="M7" s="3340">
        <f t="shared" si="0"/>
        <v>5.4519437953948827E-2</v>
      </c>
      <c r="N7" s="3341">
        <f>F7-SUM(G7:I7)</f>
        <v>0</v>
      </c>
    </row>
    <row r="8" spans="1:15" ht="15" customHeight="1" x14ac:dyDescent="0.25">
      <c r="A8" s="162"/>
      <c r="B8" s="47" t="s">
        <v>261</v>
      </c>
      <c r="C8" s="181" t="s">
        <v>72</v>
      </c>
      <c r="D8" s="181" t="s">
        <v>262</v>
      </c>
      <c r="E8" s="3335">
        <f>'Pgs 320-323 - O&amp;M Expenses (For'!C28</f>
        <v>169778118</v>
      </c>
      <c r="F8" s="3336">
        <f>SUM(G8:I8)</f>
        <v>67931640.829523325</v>
      </c>
      <c r="G8" s="3337">
        <f>SUMIFS('B2-O&amp;M'!G$804:G$900,'B2-O&amp;M'!$A$804:$A$900,"51*")*1000</f>
        <v>45869470.451609224</v>
      </c>
      <c r="H8" s="3337">
        <f>SUMIFS('B2-O&amp;M'!H$804:H$900,'B2-O&amp;M'!$A$804:$A$900,"51*")*1000</f>
        <v>12896982.175310897</v>
      </c>
      <c r="I8" s="3337">
        <f>SUMIFS('B2-O&amp;M'!I$804:I$900,'B2-O&amp;M'!$A$804:$A$900,"51*")*1000</f>
        <v>9165188.2026032098</v>
      </c>
      <c r="J8" s="3338">
        <f t="shared" si="0"/>
        <v>0.40012011930491137</v>
      </c>
      <c r="K8" s="3339">
        <f t="shared" si="0"/>
        <v>0.2701730410959628</v>
      </c>
      <c r="L8" s="3339">
        <f t="shared" si="0"/>
        <v>7.5963748021467034E-2</v>
      </c>
      <c r="M8" s="3340">
        <f t="shared" si="0"/>
        <v>5.3983330187481582E-2</v>
      </c>
      <c r="N8" s="3341">
        <f>F8-SUM(G8:I8)</f>
        <v>0</v>
      </c>
    </row>
    <row r="9" spans="1:15" x14ac:dyDescent="0.25">
      <c r="A9" s="162"/>
      <c r="B9" s="74" t="s">
        <v>458</v>
      </c>
      <c r="C9" s="50"/>
      <c r="D9" s="50"/>
      <c r="E9" s="3330"/>
      <c r="F9" s="3342"/>
      <c r="G9" s="3337"/>
      <c r="H9" s="3337"/>
      <c r="I9" s="3337"/>
      <c r="J9" s="3343"/>
      <c r="K9" s="3344"/>
      <c r="L9" s="3344"/>
      <c r="M9" s="3345"/>
    </row>
    <row r="10" spans="1:15" ht="15" customHeight="1" x14ac:dyDescent="0.25">
      <c r="A10" s="162"/>
      <c r="B10" s="47" t="s">
        <v>85</v>
      </c>
      <c r="C10" s="181" t="s">
        <v>72</v>
      </c>
      <c r="D10" s="181">
        <v>518</v>
      </c>
      <c r="E10" s="3346">
        <v>0</v>
      </c>
      <c r="F10" s="3347">
        <f>SUM(G10:I10)</f>
        <v>0</v>
      </c>
      <c r="G10" s="3348">
        <v>0</v>
      </c>
      <c r="H10" s="3348">
        <v>0</v>
      </c>
      <c r="I10" s="3348">
        <v>0</v>
      </c>
      <c r="J10" s="3349">
        <v>0</v>
      </c>
      <c r="K10" s="3350">
        <v>0</v>
      </c>
      <c r="L10" s="3350">
        <v>0</v>
      </c>
      <c r="M10" s="3351">
        <v>0</v>
      </c>
    </row>
    <row r="11" spans="1:15" ht="15" customHeight="1" x14ac:dyDescent="0.25">
      <c r="A11" s="162"/>
      <c r="B11" s="49" t="s">
        <v>264</v>
      </c>
      <c r="C11" s="181" t="s">
        <v>72</v>
      </c>
      <c r="D11" s="181" t="s">
        <v>453</v>
      </c>
      <c r="E11" s="3346">
        <v>0</v>
      </c>
      <c r="F11" s="3347">
        <f>SUM(G11:I11)</f>
        <v>0</v>
      </c>
      <c r="G11" s="3348">
        <v>0</v>
      </c>
      <c r="H11" s="3348">
        <v>0</v>
      </c>
      <c r="I11" s="3348">
        <v>0</v>
      </c>
      <c r="J11" s="3349">
        <v>0</v>
      </c>
      <c r="K11" s="3350">
        <v>0</v>
      </c>
      <c r="L11" s="3350">
        <v>0</v>
      </c>
      <c r="M11" s="3351">
        <v>0</v>
      </c>
    </row>
    <row r="12" spans="1:15" ht="15" customHeight="1" x14ac:dyDescent="0.25">
      <c r="A12" s="162"/>
      <c r="B12" s="46" t="s">
        <v>479</v>
      </c>
      <c r="C12" s="181" t="s">
        <v>72</v>
      </c>
      <c r="D12" s="181" t="s">
        <v>480</v>
      </c>
      <c r="E12" s="3346">
        <v>0</v>
      </c>
      <c r="F12" s="3347">
        <f>SUM(G12:I12)</f>
        <v>0</v>
      </c>
      <c r="G12" s="3348">
        <v>0</v>
      </c>
      <c r="H12" s="3348">
        <v>0</v>
      </c>
      <c r="I12" s="3348">
        <v>0</v>
      </c>
      <c r="J12" s="3349">
        <v>0</v>
      </c>
      <c r="K12" s="3350">
        <v>0</v>
      </c>
      <c r="L12" s="3350">
        <v>0</v>
      </c>
      <c r="M12" s="3351">
        <v>0</v>
      </c>
    </row>
    <row r="13" spans="1:15" x14ac:dyDescent="0.25">
      <c r="A13" s="162"/>
      <c r="B13" s="74" t="s">
        <v>459</v>
      </c>
      <c r="C13" s="50"/>
      <c r="D13" s="50"/>
      <c r="E13" s="3343"/>
      <c r="F13" s="3342"/>
      <c r="G13" s="3352"/>
      <c r="H13" s="3352"/>
      <c r="I13" s="3352"/>
      <c r="J13" s="3343"/>
      <c r="K13" s="3344"/>
      <c r="L13" s="3344"/>
      <c r="M13" s="3345"/>
    </row>
    <row r="14" spans="1:15" ht="15" customHeight="1" x14ac:dyDescent="0.25">
      <c r="A14" s="162"/>
      <c r="B14" s="49" t="s">
        <v>86</v>
      </c>
      <c r="C14" s="181" t="s">
        <v>72</v>
      </c>
      <c r="D14" s="181" t="s">
        <v>214</v>
      </c>
      <c r="E14" s="3335">
        <f>'Pgs 320-323 - O&amp;M Expenses (For'!C58</f>
        <v>42909698</v>
      </c>
      <c r="F14" s="3336">
        <f>SUM(G14:I14)</f>
        <v>19964758.009745862</v>
      </c>
      <c r="G14" s="3337">
        <f>SUMIFS('B2-O&amp;M'!G$804:G$900,'B2-O&amp;M'!$A$804:$A$900,"53*")*1000+SUMIFS('B2-O&amp;M'!G$804:G$900,'B2-O&amp;M'!$A$804:$A$900,"540*")*1000</f>
        <v>13480800.204719454</v>
      </c>
      <c r="H14" s="3337">
        <f>SUMIFS('B2-O&amp;M'!H$804:H$900,'B2-O&amp;M'!$A$804:$A$900,"53*")*1000+SUMIFS('B2-O&amp;M'!H$804:H$900,'B2-O&amp;M'!$A$804:$A$900,"540*")*1000</f>
        <v>3790356.3794705793</v>
      </c>
      <c r="I14" s="3337">
        <f>SUMIFS('B2-O&amp;M'!I$804:I$900,'B2-O&amp;M'!$A$804:$A$900,"53*")*1000+SUMIFS('B2-O&amp;M'!I$804:I$900,'B2-O&amp;M'!$A$804:$A$900,"540*")*1000</f>
        <v>2693601.4255558304</v>
      </c>
      <c r="J14" s="3338">
        <f>F14/$E14</f>
        <v>0.46527379451017953</v>
      </c>
      <c r="K14" s="3338">
        <f t="shared" ref="K14:M15" si="1">G14/$E14</f>
        <v>0.31416674628470825</v>
      </c>
      <c r="L14" s="3338">
        <f t="shared" si="1"/>
        <v>8.8333326873346427E-2</v>
      </c>
      <c r="M14" s="3338">
        <f t="shared" si="1"/>
        <v>6.2773721352124875E-2</v>
      </c>
      <c r="N14" s="3341">
        <f t="shared" ref="N14:N25" si="2">F14-SUM(G14:I14)</f>
        <v>0</v>
      </c>
    </row>
    <row r="15" spans="1:15" ht="15" customHeight="1" x14ac:dyDescent="0.25">
      <c r="A15" s="162"/>
      <c r="B15" s="49" t="s">
        <v>87</v>
      </c>
      <c r="C15" s="181" t="s">
        <v>72</v>
      </c>
      <c r="D15" s="181" t="s">
        <v>215</v>
      </c>
      <c r="E15" s="3335">
        <f>'Pgs 320-323 - O&amp;M Expenses (For'!C66</f>
        <v>8228606</v>
      </c>
      <c r="F15" s="3336">
        <f>SUM(G15:I15)</f>
        <v>3239558.2457506307</v>
      </c>
      <c r="G15" s="3337">
        <f>SUMIFS('B2-O&amp;M'!G$804:G$900,'B2-O&amp;M'!$A$804:$A$900,"541*")*1000+SUMIFS('B2-O&amp;M'!G$804:G$900,'B2-O&amp;M'!$A$804:$A$900,"542*")*1000+SUMIFS('B2-O&amp;M'!G$804:G$900,'B2-O&amp;M'!$A$804:$A$900,"543*")*1000+SUMIFS('B2-O&amp;M'!G$804:G$900,'B2-O&amp;M'!$A$804:$A$900,"544*")*1000+SUMIFS('B2-O&amp;M'!G$804:G$900,'B2-O&amp;M'!$A$804:$A$900,"545*")*1000</f>
        <v>2187446.4167785672</v>
      </c>
      <c r="H15" s="3337">
        <f>SUMIFS('B2-O&amp;M'!H$804:H$900,'B2-O&amp;M'!$A$804:$A$900,"541*")*1000+SUMIFS('B2-O&amp;M'!H$804:H$900,'B2-O&amp;M'!$A$804:$A$900,"542*")*1000+SUMIFS('B2-O&amp;M'!H$804:H$900,'B2-O&amp;M'!$A$804:$A$900,"543*")*1000+SUMIFS('B2-O&amp;M'!H$804:H$900,'B2-O&amp;M'!$A$804:$A$900,"544*")*1000+SUMIFS('B2-O&amp;M'!H$804:H$900,'B2-O&amp;M'!$A$804:$A$900,"545*")*1000</f>
        <v>615037.74434949108</v>
      </c>
      <c r="I15" s="3337">
        <f>SUMIFS('B2-O&amp;M'!I$804:I$900,'B2-O&amp;M'!$A$804:$A$900,"541*")*1000+SUMIFS('B2-O&amp;M'!I$804:I$900,'B2-O&amp;M'!$A$804:$A$900,"542*")*1000+SUMIFS('B2-O&amp;M'!I$804:I$900,'B2-O&amp;M'!$A$804:$A$900,"543*")*1000+SUMIFS('B2-O&amp;M'!I$804:I$900,'B2-O&amp;M'!$A$804:$A$900,"544*")*1000+SUMIFS('B2-O&amp;M'!I$804:I$900,'B2-O&amp;M'!$A$804:$A$900,"545*")*1000</f>
        <v>437074.08462257247</v>
      </c>
      <c r="J15" s="3338">
        <f>F15/$E15</f>
        <v>0.39369466052337793</v>
      </c>
      <c r="K15" s="3338">
        <f t="shared" si="1"/>
        <v>0.2658343851654299</v>
      </c>
      <c r="L15" s="3338">
        <f t="shared" si="1"/>
        <v>7.474385629224331E-2</v>
      </c>
      <c r="M15" s="3338">
        <f t="shared" si="1"/>
        <v>5.3116419065704745E-2</v>
      </c>
      <c r="N15" s="3341">
        <f t="shared" si="2"/>
        <v>0</v>
      </c>
    </row>
    <row r="16" spans="1:15" x14ac:dyDescent="0.25">
      <c r="A16" s="162"/>
      <c r="B16" s="74" t="s">
        <v>460</v>
      </c>
      <c r="C16" s="50"/>
      <c r="D16" s="50"/>
      <c r="E16" s="3353"/>
      <c r="F16" s="3354"/>
      <c r="G16" s="3337"/>
      <c r="H16" s="3337"/>
      <c r="I16" s="3337"/>
      <c r="J16" s="3353"/>
      <c r="K16" s="3355"/>
      <c r="L16" s="3355"/>
      <c r="M16" s="3356"/>
    </row>
    <row r="17" spans="1:14" ht="15" customHeight="1" x14ac:dyDescent="0.25">
      <c r="A17" s="162"/>
      <c r="B17" s="47" t="s">
        <v>451</v>
      </c>
      <c r="C17" s="181" t="s">
        <v>72</v>
      </c>
      <c r="D17" s="181">
        <v>547</v>
      </c>
      <c r="E17" s="3335">
        <f>'Pgs 320-323 - O&amp;M Expenses (For'!C71</f>
        <v>486505378</v>
      </c>
      <c r="F17" s="3336">
        <f>SUM(G17:I17)</f>
        <v>189151086.82142362</v>
      </c>
      <c r="G17" s="3337">
        <f>SUMIFS('B2-O&amp;M'!G$804:G$900,'B2-O&amp;M'!$A$804:$A$900,"547*")*1000</f>
        <v>125699380.69035068</v>
      </c>
      <c r="H17" s="3337">
        <f>SUMIFS('B2-O&amp;M'!H$804:H$900,'B2-O&amp;M'!$A$804:$A$900,"547*")*1000</f>
        <v>34741885.175582491</v>
      </c>
      <c r="I17" s="3337">
        <f>SUMIFS('B2-O&amp;M'!I$804:I$900,'B2-O&amp;M'!$A$804:$A$900,"547*")*1000</f>
        <v>28709820.955490448</v>
      </c>
      <c r="J17" s="3338">
        <f>F17/$E17</f>
        <v>0.38879546943348203</v>
      </c>
      <c r="K17" s="3338">
        <f t="shared" ref="K17:M19" si="3">G17/$E17</f>
        <v>0.2583720270618482</v>
      </c>
      <c r="L17" s="3338">
        <f t="shared" si="3"/>
        <v>7.1411102007555793E-2</v>
      </c>
      <c r="M17" s="3338">
        <f t="shared" si="3"/>
        <v>5.9012340364078049E-2</v>
      </c>
      <c r="N17" s="3341">
        <f t="shared" si="2"/>
        <v>0</v>
      </c>
    </row>
    <row r="18" spans="1:14" ht="15" customHeight="1" x14ac:dyDescent="0.25">
      <c r="A18" s="162"/>
      <c r="B18" s="49" t="s">
        <v>263</v>
      </c>
      <c r="C18" s="181" t="s">
        <v>72</v>
      </c>
      <c r="D18" s="181" t="s">
        <v>216</v>
      </c>
      <c r="E18" s="3335">
        <f>'Pgs 320-323 - O&amp;M Expenses (For'!C76-E17</f>
        <v>51850825</v>
      </c>
      <c r="F18" s="3336">
        <f>SUM(G18:I18)</f>
        <v>21057680.08986957</v>
      </c>
      <c r="G18" s="3337">
        <f>SUMIFS('B2-O&amp;M'!G$804:G$900,'B2-O&amp;M'!$A$804:$A$900,"546*")*1000+SUMIFS('B2-O&amp;M'!G$804:G$900,'B2-O&amp;M'!$A$804:$A$900,"548*")*1000+SUMIFS('B2-O&amp;M'!G$804:G$900,'B2-O&amp;M'!$A$804:$A$900,"549*")*1000+SUMIFS('B2-O&amp;M'!G$804:G$900,'B2-O&amp;M'!$A$804:$A$900,"550*")*1000</f>
        <v>14355630.952533945</v>
      </c>
      <c r="H18" s="3337">
        <f>SUMIFS('B2-O&amp;M'!H$804:H$900,'B2-O&amp;M'!$A$804:$A$900,"546*")*1000+SUMIFS('B2-O&amp;M'!H$804:H$900,'B2-O&amp;M'!$A$804:$A$900,"548*")*1000+SUMIFS('B2-O&amp;M'!H$804:H$900,'B2-O&amp;M'!$A$804:$A$900,"549*")*1000+SUMIFS('B2-O&amp;M'!H$804:H$900,'B2-O&amp;M'!$A$804:$A$900,"550*")*1000</f>
        <v>3917847.0105916904</v>
      </c>
      <c r="I18" s="3337">
        <f>SUMIFS('B2-O&amp;M'!I$804:I$900,'B2-O&amp;M'!$A$804:$A$900,"546*")*1000+SUMIFS('B2-O&amp;M'!I$804:I$900,'B2-O&amp;M'!$A$804:$A$900,"548*")*1000+SUMIFS('B2-O&amp;M'!I$804:I$900,'B2-O&amp;M'!$A$804:$A$900,"549*")*1000+SUMIFS('B2-O&amp;M'!I$804:I$900,'B2-O&amp;M'!$A$804:$A$900,"550*")*1000</f>
        <v>2784202.126743935</v>
      </c>
      <c r="J18" s="3338">
        <f>F18/$E18</f>
        <v>0.40612044436842748</v>
      </c>
      <c r="K18" s="3338">
        <f t="shared" si="3"/>
        <v>0.27686407983930722</v>
      </c>
      <c r="L18" s="3338">
        <f t="shared" si="3"/>
        <v>7.5559974418761722E-2</v>
      </c>
      <c r="M18" s="3338">
        <f t="shared" si="3"/>
        <v>5.3696390110358615E-2</v>
      </c>
      <c r="N18" s="3341">
        <f t="shared" si="2"/>
        <v>0</v>
      </c>
    </row>
    <row r="19" spans="1:14" ht="15" customHeight="1" x14ac:dyDescent="0.25">
      <c r="A19" s="162"/>
      <c r="B19" s="49" t="s">
        <v>265</v>
      </c>
      <c r="C19" s="181" t="s">
        <v>72</v>
      </c>
      <c r="D19" s="181" t="s">
        <v>217</v>
      </c>
      <c r="E19" s="3335">
        <f>'Pgs 320-323 - O&amp;M Expenses (For'!C83</f>
        <v>38655241</v>
      </c>
      <c r="F19" s="3336">
        <f>SUM(G19:I19)</f>
        <v>15505411.633040059</v>
      </c>
      <c r="G19" s="3337">
        <f>SUMIFS('B2-O&amp;M'!G$804:G$900,'B2-O&amp;M'!$A$804:$A$900,"551*")*1000+SUMIFS('B2-O&amp;M'!G$804:G$900,'B2-O&amp;M'!$A$804:$A$900,"552*")*1000+SUMIFS('B2-O&amp;M'!G$804:G$900,'B2-O&amp;M'!$A$804:$A$900,"553*")*1000+SUMIFS('B2-O&amp;M'!G$804:G$900,'B2-O&amp;M'!$A$804:$A$900,"554*")*1000</f>
        <v>10469716.498186925</v>
      </c>
      <c r="H19" s="3337">
        <f>SUMIFS('B2-O&amp;M'!H$804:H$900,'B2-O&amp;M'!$A$804:$A$900,"551*")*1000+SUMIFS('B2-O&amp;M'!H$804:H$900,'B2-O&amp;M'!$A$804:$A$900,"552*")*1000+SUMIFS('B2-O&amp;M'!H$804:H$900,'B2-O&amp;M'!$A$804:$A$900,"553*")*1000+SUMIFS('B2-O&amp;M'!H$804:H$900,'B2-O&amp;M'!$A$804:$A$900,"554*")*1000</f>
        <v>2943738.9559603706</v>
      </c>
      <c r="I19" s="3337">
        <f>SUMIFS('B2-O&amp;M'!I$804:I$900,'B2-O&amp;M'!$A$804:$A$900,"551*")*1000+SUMIFS('B2-O&amp;M'!I$804:I$900,'B2-O&amp;M'!$A$804:$A$900,"552*")*1000+SUMIFS('B2-O&amp;M'!I$804:I$900,'B2-O&amp;M'!$A$804:$A$900,"553*")*1000+SUMIFS('B2-O&amp;M'!I$804:I$900,'B2-O&amp;M'!$A$804:$A$900,"554*")*1000</f>
        <v>2091956.1788927638</v>
      </c>
      <c r="J19" s="3338">
        <f>F19/$E19</f>
        <v>0.4011205526577899</v>
      </c>
      <c r="K19" s="3338">
        <f t="shared" si="3"/>
        <v>0.27084856354114895</v>
      </c>
      <c r="L19" s="3338">
        <f t="shared" si="3"/>
        <v>7.6153682652253307E-2</v>
      </c>
      <c r="M19" s="3338">
        <f t="shared" si="3"/>
        <v>5.4118306464387686E-2</v>
      </c>
      <c r="N19" s="3341">
        <f t="shared" si="2"/>
        <v>0</v>
      </c>
    </row>
    <row r="20" spans="1:14" x14ac:dyDescent="0.25">
      <c r="A20" s="162"/>
      <c r="B20" s="74" t="s">
        <v>454</v>
      </c>
      <c r="C20" s="50"/>
      <c r="D20" s="50"/>
      <c r="E20" s="3353"/>
      <c r="F20" s="3354"/>
      <c r="G20" s="3337"/>
      <c r="H20" s="3337"/>
      <c r="I20" s="3337"/>
      <c r="J20" s="3353"/>
      <c r="K20" s="3355"/>
      <c r="L20" s="3355"/>
      <c r="M20" s="3356"/>
    </row>
    <row r="21" spans="1:14" ht="15" customHeight="1" x14ac:dyDescent="0.25">
      <c r="A21" s="162"/>
      <c r="B21" s="49" t="s">
        <v>266</v>
      </c>
      <c r="C21" s="181" t="s">
        <v>72</v>
      </c>
      <c r="D21" s="181">
        <v>555</v>
      </c>
      <c r="E21" s="3357">
        <f>SUMIFS('Pgs 320-323 - O&amp;M Expenses (For'!C:C,'Pgs 320-323 - O&amp;M Expenses (For'!B:B,"*"&amp;D21&amp;"*")</f>
        <v>937845148</v>
      </c>
      <c r="F21" s="3336">
        <f>SUM(G21:I21)</f>
        <v>576580483.34285045</v>
      </c>
      <c r="G21" s="3337">
        <f>SUMIFS('B2-O&amp;M'!G$804:G$900,'B2-O&amp;M'!$A$804:$A$900,"555*")*1000</f>
        <v>389513303.5216164</v>
      </c>
      <c r="H21" s="3358">
        <f>SUMIFS('B2-O&amp;M'!H$804:H$900,'B2-O&amp;M'!$A$804:$A$900,"555*")*1000</f>
        <v>109490654.52531041</v>
      </c>
      <c r="I21" s="3358">
        <f>SUMIFS('B2-O&amp;M'!I$804:I$900,'B2-O&amp;M'!$A$804:$A$900,"555*")*1000</f>
        <v>77576525.29592371</v>
      </c>
      <c r="J21" s="3338">
        <f>F21/$E21</f>
        <v>0.61479284141143786</v>
      </c>
      <c r="K21" s="3338">
        <f t="shared" ref="K21:M23" si="4">G21/$E21</f>
        <v>0.41532795083737684</v>
      </c>
      <c r="L21" s="3338">
        <f t="shared" si="4"/>
        <v>0.11674705014874205</v>
      </c>
      <c r="M21" s="3338">
        <f t="shared" si="4"/>
        <v>8.2717840425319031E-2</v>
      </c>
      <c r="N21" s="3341">
        <f t="shared" si="2"/>
        <v>0</v>
      </c>
    </row>
    <row r="22" spans="1:14" ht="15" customHeight="1" x14ac:dyDescent="0.25">
      <c r="A22" s="162"/>
      <c r="B22" s="49" t="s">
        <v>455</v>
      </c>
      <c r="C22" s="181" t="s">
        <v>72</v>
      </c>
      <c r="D22" s="181">
        <v>556</v>
      </c>
      <c r="E22" s="3335">
        <f>SUMIFS('Pgs 320-323 - O&amp;M Expenses (For'!C:C,'Pgs 320-323 - O&amp;M Expenses (For'!B:B,"*"&amp;D22&amp;"*")</f>
        <v>3499644</v>
      </c>
      <c r="F22" s="3336">
        <f>SUM(G22:I22)</f>
        <v>1404247.5549966942</v>
      </c>
      <c r="G22" s="3337">
        <f>SUMIFS('B2-O&amp;M'!G$804:G$900,'B2-O&amp;M'!$A$804:$A$900,"556*")*1000</f>
        <v>948189.8412009452</v>
      </c>
      <c r="H22" s="3358">
        <f>SUMIFS('B2-O&amp;M'!H$804:H$900,'B2-O&amp;M'!$A$804:$A$900,"556*")*1000</f>
        <v>266599.70913944661</v>
      </c>
      <c r="I22" s="3358">
        <f>SUMIFS('B2-O&amp;M'!I$804:I$900,'B2-O&amp;M'!$A$804:$A$900,"556*")*1000</f>
        <v>189458.00465630257</v>
      </c>
      <c r="J22" s="3338">
        <f>F22/$E22</f>
        <v>0.40125440044664379</v>
      </c>
      <c r="K22" s="3338">
        <f t="shared" si="4"/>
        <v>0.27093894156118314</v>
      </c>
      <c r="L22" s="3338">
        <f t="shared" si="4"/>
        <v>7.6179093970542899E-2</v>
      </c>
      <c r="M22" s="3338">
        <f t="shared" si="4"/>
        <v>5.4136364914917794E-2</v>
      </c>
      <c r="N22" s="3341">
        <f t="shared" si="2"/>
        <v>0</v>
      </c>
    </row>
    <row r="23" spans="1:14" ht="15" customHeight="1" x14ac:dyDescent="0.25">
      <c r="A23" s="162"/>
      <c r="B23" s="49" t="s">
        <v>267</v>
      </c>
      <c r="C23" s="181" t="s">
        <v>72</v>
      </c>
      <c r="D23" s="181">
        <v>557</v>
      </c>
      <c r="E23" s="3335">
        <f>SUMIFS('Pgs 320-323 - O&amp;M Expenses (For'!C:C,'Pgs 320-323 - O&amp;M Expenses (For'!B:B,"*"&amp;D23&amp;"*")</f>
        <v>49729786</v>
      </c>
      <c r="F23" s="3336">
        <f>SUM(G23:I23)</f>
        <v>27307851.333301872</v>
      </c>
      <c r="G23" s="3337">
        <f>SUMIFS('B2-O&amp;M'!G$804:G$900,'B2-O&amp;M'!$A$804:$A$900,"557*")*1000</f>
        <v>19892614.98948618</v>
      </c>
      <c r="H23" s="3358">
        <f>SUMIFS('B2-O&amp;M'!H$804:H$900,'B2-O&amp;M'!$A$804:$A$900,"557*")*1000</f>
        <v>2840390.781085683</v>
      </c>
      <c r="I23" s="3358">
        <f>SUMIFS('B2-O&amp;M'!I$804:I$900,'B2-O&amp;M'!$A$804:$A$900,"557*")*1000</f>
        <v>4574845.562730005</v>
      </c>
      <c r="J23" s="3338">
        <f>F23/$E23</f>
        <v>0.5491246500296999</v>
      </c>
      <c r="K23" s="3338">
        <f t="shared" si="4"/>
        <v>0.40001408792481391</v>
      </c>
      <c r="L23" s="3338">
        <f t="shared" si="4"/>
        <v>5.7116489121543434E-2</v>
      </c>
      <c r="M23" s="3338">
        <f t="shared" si="4"/>
        <v>9.1994072983342515E-2</v>
      </c>
      <c r="N23" s="3341">
        <f t="shared" si="2"/>
        <v>0</v>
      </c>
    </row>
    <row r="24" spans="1:14" ht="15" customHeight="1" x14ac:dyDescent="0.25">
      <c r="A24" s="162"/>
      <c r="B24" s="47" t="s">
        <v>52</v>
      </c>
      <c r="C24" s="181">
        <v>327</v>
      </c>
      <c r="D24" s="181">
        <v>555</v>
      </c>
      <c r="E24" s="3335"/>
      <c r="F24" s="3336"/>
      <c r="G24" s="3337"/>
      <c r="H24" s="3337"/>
      <c r="I24" s="3337"/>
      <c r="J24" s="3338"/>
      <c r="K24" s="3339"/>
      <c r="L24" s="3339"/>
      <c r="M24" s="3340"/>
    </row>
    <row r="25" spans="1:14" ht="15" customHeight="1" x14ac:dyDescent="0.25">
      <c r="A25" s="162"/>
      <c r="B25" s="49" t="s">
        <v>502</v>
      </c>
      <c r="C25" s="3813" t="s">
        <v>12454</v>
      </c>
      <c r="D25" s="3814"/>
      <c r="E25" s="3335">
        <f>F25</f>
        <v>24259860.620000005</v>
      </c>
      <c r="F25" s="3336">
        <f>SUM(G25:I25)</f>
        <v>24259860.620000005</v>
      </c>
      <c r="G25" s="3337">
        <f>'PPC Charge'!E341</f>
        <v>24259860.620000005</v>
      </c>
      <c r="H25" s="3348">
        <v>0</v>
      </c>
      <c r="I25" s="3348">
        <v>0</v>
      </c>
      <c r="J25" s="3338">
        <f t="shared" ref="J25:M26" si="5">F25/$E25</f>
        <v>1</v>
      </c>
      <c r="K25" s="3338">
        <f t="shared" si="5"/>
        <v>1</v>
      </c>
      <c r="L25" s="3338">
        <f t="shared" si="5"/>
        <v>0</v>
      </c>
      <c r="M25" s="3338">
        <f t="shared" si="5"/>
        <v>0</v>
      </c>
      <c r="N25" s="3341">
        <f t="shared" si="2"/>
        <v>0</v>
      </c>
    </row>
    <row r="26" spans="1:14" x14ac:dyDescent="0.25">
      <c r="A26" s="163" t="s">
        <v>481</v>
      </c>
      <c r="B26" s="46"/>
      <c r="C26" s="475"/>
      <c r="D26" s="475"/>
      <c r="E26" s="3359">
        <f>SUM(E6:E25)</f>
        <v>2622448677.6199999</v>
      </c>
      <c r="F26" s="3360">
        <f>SUM(F6:F25)</f>
        <v>1253787177.4169254</v>
      </c>
      <c r="G26" s="3361">
        <f>SUM(G6:G25)</f>
        <v>851449784.99774551</v>
      </c>
      <c r="H26" s="3361">
        <f>SUM(H6:H25)</f>
        <v>228264434.77146819</v>
      </c>
      <c r="I26" s="3362">
        <f>SUM(I6:I25)</f>
        <v>174072957.64771184</v>
      </c>
      <c r="J26" s="3363">
        <f t="shared" si="5"/>
        <v>0.4780978892425069</v>
      </c>
      <c r="K26" s="3363">
        <f t="shared" si="5"/>
        <v>0.32467738730752882</v>
      </c>
      <c r="L26" s="3363">
        <f t="shared" si="5"/>
        <v>8.7042479313123991E-2</v>
      </c>
      <c r="M26" s="3363">
        <f t="shared" si="5"/>
        <v>6.6378022621854146E-2</v>
      </c>
    </row>
    <row r="27" spans="1:14" ht="15" customHeight="1" x14ac:dyDescent="0.25">
      <c r="A27" s="164"/>
      <c r="B27" s="46"/>
      <c r="C27" s="50"/>
      <c r="D27" s="50"/>
      <c r="E27" s="3343"/>
      <c r="F27" s="3342"/>
      <c r="G27" s="3344"/>
      <c r="H27" s="3344"/>
      <c r="I27" s="3364"/>
      <c r="J27" s="3343"/>
      <c r="K27" s="3344"/>
      <c r="L27" s="3344"/>
      <c r="M27" s="3345"/>
    </row>
    <row r="28" spans="1:14" x14ac:dyDescent="0.25">
      <c r="A28" s="160" t="s">
        <v>501</v>
      </c>
      <c r="B28" s="46"/>
      <c r="C28" s="50"/>
      <c r="D28" s="48"/>
      <c r="E28" s="3343"/>
      <c r="F28" s="3342"/>
      <c r="G28" s="3344"/>
      <c r="H28" s="3344"/>
      <c r="I28" s="3364"/>
      <c r="J28" s="3343"/>
      <c r="K28" s="3344"/>
      <c r="L28" s="3344"/>
      <c r="M28" s="3345"/>
    </row>
    <row r="29" spans="1:14" ht="15" customHeight="1" x14ac:dyDescent="0.25">
      <c r="A29" s="162"/>
      <c r="B29" s="49" t="s">
        <v>398</v>
      </c>
      <c r="C29" s="181" t="s">
        <v>72</v>
      </c>
      <c r="D29" s="184" t="s">
        <v>482</v>
      </c>
      <c r="E29" s="3335">
        <f>SUMIFS('Pgs 320-323 - O&amp;M Expenses (For'!C:C,'Pgs 320-323 - O&amp;M Expenses (For'!B:B,"*"&amp;D29&amp;"*")</f>
        <v>165141904</v>
      </c>
      <c r="F29" s="3336">
        <f>SUM(G29:I29)</f>
        <v>65955211.648190439</v>
      </c>
      <c r="G29" s="3337">
        <f>SUMIFS('B2-O&amp;M'!G$804:G$900,'B2-O&amp;M'!$A$804:$A$900,"565*")*1000</f>
        <v>44431994.328301348</v>
      </c>
      <c r="H29" s="3337">
        <f>SUMIFS('B2-O&amp;M'!H$804:H$900,'B2-O&amp;M'!$A$804:$A$900,"565*")*1000</f>
        <v>12462221.337961582</v>
      </c>
      <c r="I29" s="3337">
        <f>SUMIFS('B2-O&amp;M'!I$804:I$900,'B2-O&amp;M'!$A$804:$A$900,"565*")*1000</f>
        <v>9060995.9819275104</v>
      </c>
      <c r="J29" s="3338">
        <f>F29/$E29</f>
        <v>0.39938507459736228</v>
      </c>
      <c r="K29" s="3339">
        <f t="shared" ref="K29:M32" si="6">G29/$E29</f>
        <v>0.26905342164579471</v>
      </c>
      <c r="L29" s="3339">
        <f t="shared" si="6"/>
        <v>7.5463713546390879E-2</v>
      </c>
      <c r="M29" s="3340">
        <f t="shared" si="6"/>
        <v>5.4867939405176716E-2</v>
      </c>
      <c r="N29" s="3341">
        <f>F29-SUM(G29:I29)</f>
        <v>0</v>
      </c>
    </row>
    <row r="30" spans="1:14" ht="15" customHeight="1" x14ac:dyDescent="0.25">
      <c r="A30" s="162"/>
      <c r="B30" s="49" t="s">
        <v>461</v>
      </c>
      <c r="C30" s="181" t="s">
        <v>72</v>
      </c>
      <c r="D30" s="184" t="s">
        <v>212</v>
      </c>
      <c r="E30" s="3335">
        <f>'Pgs 320-323 - O&amp;M Expenses (For'!C110-E29</f>
        <v>42671445</v>
      </c>
      <c r="F30" s="3336">
        <f>SUM(G30:I30)</f>
        <v>17122103.721672125</v>
      </c>
      <c r="G30" s="3337">
        <f>SUMIFS('B2-O&amp;M'!G$804:G$900,'B2-O&amp;M'!$A$804:$A$900,"56*")*1000-SUMIFS('B2-O&amp;M'!G$804:G$900,'B2-O&amp;M'!$A$804:$A$900,"568*")*1000-SUMIFS('B2-O&amp;M'!G$804:G$900,'B2-O&amp;M'!$A$804:$A$900,"569*")*1000-G29</f>
        <v>11561355.226218179</v>
      </c>
      <c r="H30" s="3337">
        <f>SUMIFS('B2-O&amp;M'!H$804:H$900,'B2-O&amp;M'!$A$804:$A$900,"56*")*1000-SUMIFS('B2-O&amp;M'!H$804:H$900,'B2-O&amp;M'!$A$804:$A$900,"568*")*1000-SUMIFS('B2-O&amp;M'!H$804:H$900,'B2-O&amp;M'!$A$804:$A$900,"569*")*1000-H29</f>
        <v>3250671.7607066762</v>
      </c>
      <c r="I30" s="3337">
        <f>SUMIFS('B2-O&amp;M'!I$804:I$900,'B2-O&amp;M'!$A$804:$A$900,"56*")*1000-SUMIFS('B2-O&amp;M'!I$804:I$900,'B2-O&amp;M'!$A$804:$A$900,"568*")*1000-SUMIFS('B2-O&amp;M'!I$804:I$900,'B2-O&amp;M'!$A$804:$A$900,"569*")*1000-I29</f>
        <v>2310076.7347472683</v>
      </c>
      <c r="J30" s="3338">
        <f>F30/$E30</f>
        <v>0.40125436862220448</v>
      </c>
      <c r="K30" s="3339">
        <f t="shared" si="6"/>
        <v>0.27093892007215081</v>
      </c>
      <c r="L30" s="3339">
        <f t="shared" si="6"/>
        <v>7.6179087928863812E-2</v>
      </c>
      <c r="M30" s="3340">
        <f t="shared" si="6"/>
        <v>5.4136360621189844E-2</v>
      </c>
      <c r="N30" s="3341">
        <f>F30-SUM(G30:I30)</f>
        <v>0</v>
      </c>
    </row>
    <row r="31" spans="1:14" ht="15" customHeight="1" x14ac:dyDescent="0.25">
      <c r="A31" s="162"/>
      <c r="B31" s="49" t="s">
        <v>462</v>
      </c>
      <c r="C31" s="181" t="s">
        <v>72</v>
      </c>
      <c r="D31" s="184" t="s">
        <v>213</v>
      </c>
      <c r="E31" s="3335">
        <f>'Pgs 320-323 - O&amp;M Expenses (For'!C123</f>
        <v>50780608</v>
      </c>
      <c r="F31" s="3336">
        <f>SUM(G31:I31)</f>
        <v>20375940.386021726</v>
      </c>
      <c r="G31" s="3337">
        <f>SUMIFS('B2-O&amp;M'!G$804:G$900,'B2-O&amp;M'!$A$804:$A$900,"568*")*1000+SUMIFS('B2-O&amp;M'!G$804:G$900,'B2-O&amp;M'!$A$804:$A$900,"569*")*1000+SUMIFS('B2-O&amp;M'!G$804:G$900,'B2-O&amp;M'!$A$804:$A$900,"57*")*1000</f>
        <v>13758442.802282598</v>
      </c>
      <c r="H31" s="3337">
        <f>SUMIFS('B2-O&amp;M'!H$804:H$900,'B2-O&amp;M'!$A$804:$A$900,"568*")*1000+SUMIFS('B2-O&amp;M'!H$804:H$900,'B2-O&amp;M'!$A$804:$A$900,"569*")*1000+SUMIFS('B2-O&amp;M'!H$804:H$900,'B2-O&amp;M'!$A$804:$A$900,"57*")*1000</f>
        <v>3868420.3344017593</v>
      </c>
      <c r="I31" s="3337">
        <f>SUMIFS('B2-O&amp;M'!I$804:I$900,'B2-O&amp;M'!$A$804:$A$900,"568*")*1000+SUMIFS('B2-O&amp;M'!I$804:I$900,'B2-O&amp;M'!$A$804:$A$900,"569*")*1000+SUMIFS('B2-O&amp;M'!I$804:I$900,'B2-O&amp;M'!$A$804:$A$900,"57*")*1000</f>
        <v>2749077.2493373672</v>
      </c>
      <c r="J31" s="3338">
        <f>F31/$E31</f>
        <v>0.40125436044447765</v>
      </c>
      <c r="K31" s="3339">
        <f t="shared" si="6"/>
        <v>0.27093891436436912</v>
      </c>
      <c r="L31" s="3339">
        <f t="shared" si="6"/>
        <v>7.6179086599391627E-2</v>
      </c>
      <c r="M31" s="3340">
        <f t="shared" si="6"/>
        <v>5.4136359480716878E-2</v>
      </c>
      <c r="N31" s="3341">
        <f>F31-SUM(G31:I31)</f>
        <v>0</v>
      </c>
    </row>
    <row r="32" spans="1:14" x14ac:dyDescent="0.25">
      <c r="A32" s="163" t="s">
        <v>483</v>
      </c>
      <c r="B32" s="46"/>
      <c r="C32" s="475"/>
      <c r="D32" s="475"/>
      <c r="E32" s="3359">
        <f>SUM(E29:E31)</f>
        <v>258593957</v>
      </c>
      <c r="F32" s="3360">
        <f>SUM(F29:F31)</f>
        <v>103453255.75588429</v>
      </c>
      <c r="G32" s="3361">
        <f>SUM(G29:G31)</f>
        <v>69751792.356802121</v>
      </c>
      <c r="H32" s="3361">
        <f>SUM(H29:H31)</f>
        <v>19581313.433070019</v>
      </c>
      <c r="I32" s="3362">
        <f>SUM(I29:I31)</f>
        <v>14120149.966012146</v>
      </c>
      <c r="J32" s="3363">
        <f>F32/$E32</f>
        <v>0.40006060836094592</v>
      </c>
      <c r="K32" s="3365">
        <f t="shared" si="6"/>
        <v>0.26973481192680043</v>
      </c>
      <c r="L32" s="3365">
        <f t="shared" si="6"/>
        <v>7.5722239066359998E-2</v>
      </c>
      <c r="M32" s="3366">
        <f t="shared" si="6"/>
        <v>5.4603557367785459E-2</v>
      </c>
    </row>
    <row r="33" spans="1:14" ht="16.5" thickBot="1" x14ac:dyDescent="0.3">
      <c r="A33" s="187"/>
      <c r="B33" s="188"/>
      <c r="C33" s="189"/>
      <c r="D33" s="189"/>
      <c r="E33" s="3367"/>
      <c r="F33" s="3368"/>
      <c r="G33" s="3369"/>
      <c r="H33" s="3369"/>
      <c r="I33" s="3370"/>
      <c r="J33" s="3371"/>
      <c r="K33" s="3372"/>
      <c r="L33" s="3372"/>
      <c r="M33" s="3373"/>
    </row>
    <row r="34" spans="1:14" ht="15" customHeight="1" thickTop="1" x14ac:dyDescent="0.25">
      <c r="A34" s="160" t="s">
        <v>484</v>
      </c>
      <c r="B34" s="46"/>
      <c r="C34" s="50"/>
      <c r="D34" s="48"/>
      <c r="E34" s="3343"/>
      <c r="F34" s="3342"/>
      <c r="G34" s="3344"/>
      <c r="H34" s="3344"/>
      <c r="I34" s="3364"/>
      <c r="J34" s="3343"/>
      <c r="K34" s="3344"/>
      <c r="L34" s="3344"/>
      <c r="M34" s="3345"/>
    </row>
    <row r="35" spans="1:14" ht="15" customHeight="1" x14ac:dyDescent="0.25">
      <c r="A35" s="162"/>
      <c r="B35" s="49" t="s">
        <v>463</v>
      </c>
      <c r="C35" s="181" t="s">
        <v>72</v>
      </c>
      <c r="D35" s="184" t="s">
        <v>485</v>
      </c>
      <c r="E35" s="3335">
        <f>'Pgs 320-323 - O&amp;M Expenses (For'!C157</f>
        <v>87614312</v>
      </c>
      <c r="F35" s="3336">
        <f>SUM(G35:I35)</f>
        <v>34234230.504148312</v>
      </c>
      <c r="G35" s="3337">
        <f>SUMIFS('B2-O&amp;M'!G$804:G$900,'B2-O&amp;M'!$A$804:$A$900,"58*")*1000</f>
        <v>24472266.445516087</v>
      </c>
      <c r="H35" s="3337">
        <f>SUMIFS('B2-O&amp;M'!H$804:H$900,'B2-O&amp;M'!$A$804:$A$900,"58*")*1000</f>
        <v>5098602.9352963483</v>
      </c>
      <c r="I35" s="3337">
        <f>SUMIFS('B2-O&amp;M'!I$804:I$900,'B2-O&amp;M'!$A$804:$A$900,"58*")*1000</f>
        <v>4663361.1233358774</v>
      </c>
      <c r="J35" s="3338">
        <f>F35/$E35</f>
        <v>0.390737879721618</v>
      </c>
      <c r="K35" s="3339">
        <f t="shared" ref="K35:M37" si="7">G35/$E35</f>
        <v>0.27931813749237783</v>
      </c>
      <c r="L35" s="3339">
        <f t="shared" si="7"/>
        <v>5.8193722223103782E-2</v>
      </c>
      <c r="M35" s="3340">
        <f t="shared" si="7"/>
        <v>5.322602000613641E-2</v>
      </c>
      <c r="N35" s="3341">
        <f>F35-SUM(G35:I35)</f>
        <v>0</v>
      </c>
    </row>
    <row r="36" spans="1:14" ht="15" customHeight="1" x14ac:dyDescent="0.25">
      <c r="A36" s="162"/>
      <c r="B36" s="49" t="s">
        <v>462</v>
      </c>
      <c r="C36" s="181" t="s">
        <v>72</v>
      </c>
      <c r="D36" s="184" t="s">
        <v>486</v>
      </c>
      <c r="E36" s="3335">
        <f>'Pgs 320-323 - O&amp;M Expenses (For'!C170</f>
        <v>273261242</v>
      </c>
      <c r="F36" s="3336">
        <f>SUM(G36:I36)</f>
        <v>143846056.44384444</v>
      </c>
      <c r="G36" s="3337">
        <f>SUMIFS('B2-O&amp;M'!G$804:G$900,'B2-O&amp;M'!$A$804:$A$900,"59*")*1000</f>
        <v>122588654.87855567</v>
      </c>
      <c r="H36" s="3337">
        <f>SUMIFS('B2-O&amp;M'!H$804:H$900,'B2-O&amp;M'!$A$804:$A$900,"59*")*1000</f>
        <v>12903990.741625596</v>
      </c>
      <c r="I36" s="3337">
        <f>SUMIFS('B2-O&amp;M'!I$804:I$900,'B2-O&amp;M'!$A$804:$A$900,"59*")*1000</f>
        <v>8353410.8236631658</v>
      </c>
      <c r="J36" s="3338">
        <f>F36/$E36</f>
        <v>0.52640489881051056</v>
      </c>
      <c r="K36" s="3339">
        <f t="shared" si="7"/>
        <v>0.44861340006116079</v>
      </c>
      <c r="L36" s="3339">
        <f t="shared" si="7"/>
        <v>4.7222177017059726E-2</v>
      </c>
      <c r="M36" s="3340">
        <f t="shared" si="7"/>
        <v>3.0569321732290034E-2</v>
      </c>
      <c r="N36" s="3341">
        <f>F36-SUM(G36:I36)</f>
        <v>0</v>
      </c>
    </row>
    <row r="37" spans="1:14" ht="15" customHeight="1" x14ac:dyDescent="0.25">
      <c r="A37" s="163" t="s">
        <v>487</v>
      </c>
      <c r="B37" s="46"/>
      <c r="C37" s="475"/>
      <c r="D37" s="475"/>
      <c r="E37" s="3359">
        <f>SUM(E35:E36)</f>
        <v>360875554</v>
      </c>
      <c r="F37" s="3360">
        <f>SUM(F35:F36)</f>
        <v>178080286.94799274</v>
      </c>
      <c r="G37" s="3361">
        <f>SUM(G35:G36)</f>
        <v>147060921.32407176</v>
      </c>
      <c r="H37" s="3361">
        <f>SUM(H35:H36)</f>
        <v>18002593.676921945</v>
      </c>
      <c r="I37" s="3362">
        <f>SUM(I35:I36)</f>
        <v>13016771.946999043</v>
      </c>
      <c r="J37" s="3363">
        <f>F37/$E37</f>
        <v>0.4934673046542597</v>
      </c>
      <c r="K37" s="3365">
        <f t="shared" si="7"/>
        <v>0.40751145289290436</v>
      </c>
      <c r="L37" s="3365">
        <f t="shared" si="7"/>
        <v>4.9885877492610503E-2</v>
      </c>
      <c r="M37" s="3366">
        <f t="shared" si="7"/>
        <v>3.606997426874485E-2</v>
      </c>
    </row>
    <row r="38" spans="1:14" ht="9.9499999999999993" customHeight="1" x14ac:dyDescent="0.25">
      <c r="A38" s="165"/>
      <c r="B38" s="46"/>
      <c r="C38" s="50"/>
      <c r="D38" s="50"/>
      <c r="E38" s="3343"/>
      <c r="F38" s="3342"/>
      <c r="G38" s="3344"/>
      <c r="H38" s="3344"/>
      <c r="I38" s="3364"/>
      <c r="J38" s="3343"/>
      <c r="K38" s="3344"/>
      <c r="L38" s="3344"/>
      <c r="M38" s="3345"/>
    </row>
    <row r="39" spans="1:14" ht="15" customHeight="1" x14ac:dyDescent="0.25">
      <c r="A39" s="160" t="s">
        <v>488</v>
      </c>
      <c r="B39" s="46"/>
      <c r="C39" s="50"/>
      <c r="D39" s="50"/>
      <c r="E39" s="3343"/>
      <c r="F39" s="3342"/>
      <c r="G39" s="3344"/>
      <c r="H39" s="3344"/>
      <c r="I39" s="3364"/>
      <c r="J39" s="3343"/>
      <c r="K39" s="3344"/>
      <c r="L39" s="3344"/>
      <c r="M39" s="3345"/>
    </row>
    <row r="40" spans="1:14" ht="15" customHeight="1" x14ac:dyDescent="0.25">
      <c r="A40" s="162"/>
      <c r="B40" s="49" t="s">
        <v>464</v>
      </c>
      <c r="C40" s="181" t="s">
        <v>72</v>
      </c>
      <c r="D40" s="181" t="s">
        <v>489</v>
      </c>
      <c r="E40" s="3335">
        <f>'Pgs 320-323 - O&amp;M Expenses (For'!C179</f>
        <v>91025325</v>
      </c>
      <c r="F40" s="3336">
        <f>SUM(G40:I40)</f>
        <v>45368831.838585906</v>
      </c>
      <c r="G40" s="3337">
        <f>SUMIFS('B2-O&amp;M'!G$804:G$900,'B2-O&amp;M'!$A$804:$A$900,"901*")*1000+SUMIFS('B2-O&amp;M'!G$804:G$900,'B2-O&amp;M'!$A$804:$A$900,"902*")*1000+SUMIFS('B2-O&amp;M'!G$804:G$900,'B2-O&amp;M'!$A$804:$A$900,"903*")*1000+SUMIFS('B2-O&amp;M'!G$804:G$900,'B2-O&amp;M'!$A$804:$A$900,"904*")*1000+SUMIFS('B2-O&amp;M'!G$804:G$900,'B2-O&amp;M'!$A$804:$A$900,"905*")*1000</f>
        <v>31390705.060148027</v>
      </c>
      <c r="H40" s="3337">
        <f>SUMIFS('B2-O&amp;M'!H$804:H$900,'B2-O&amp;M'!$A$804:$A$900,"901*")*1000+SUMIFS('B2-O&amp;M'!H$804:H$900,'B2-O&amp;M'!$A$804:$A$900,"902*")*1000+SUMIFS('B2-O&amp;M'!H$804:H$900,'B2-O&amp;M'!$A$804:$A$900,"903*")*1000+SUMIFS('B2-O&amp;M'!H$804:H$900,'B2-O&amp;M'!$A$804:$A$900,"904*")*1000+SUMIFS('B2-O&amp;M'!H$804:H$900,'B2-O&amp;M'!$A$804:$A$900,"905*")*1000</f>
        <v>11019455.730230544</v>
      </c>
      <c r="I40" s="3337">
        <f>SUMIFS('B2-O&amp;M'!I$804:I$900,'B2-O&amp;M'!$A$804:$A$900,"901*")*1000+SUMIFS('B2-O&amp;M'!I$804:I$900,'B2-O&amp;M'!$A$804:$A$900,"902*")*1000+SUMIFS('B2-O&amp;M'!I$804:I$900,'B2-O&amp;M'!$A$804:$A$900,"903*")*1000+SUMIFS('B2-O&amp;M'!I$804:I$900,'B2-O&amp;M'!$A$804:$A$900,"904*")*1000+SUMIFS('B2-O&amp;M'!I$804:I$900,'B2-O&amp;M'!$A$804:$A$900,"905*")*1000</f>
        <v>2958671.0482073347</v>
      </c>
      <c r="J40" s="3338">
        <f t="shared" ref="J40:M43" si="8">F40/$E40</f>
        <v>0.49841988302250945</v>
      </c>
      <c r="K40" s="3339">
        <f t="shared" si="8"/>
        <v>0.3448568303397766</v>
      </c>
      <c r="L40" s="3339">
        <f t="shared" si="8"/>
        <v>0.12105922972788664</v>
      </c>
      <c r="M40" s="3340">
        <f t="shared" si="8"/>
        <v>3.250382295484619E-2</v>
      </c>
      <c r="N40" s="3341">
        <f>F40-SUM(G40:I40)</f>
        <v>0</v>
      </c>
    </row>
    <row r="41" spans="1:14" ht="15" customHeight="1" x14ac:dyDescent="0.25">
      <c r="A41" s="162"/>
      <c r="B41" s="49" t="s">
        <v>172</v>
      </c>
      <c r="C41" s="181" t="s">
        <v>72</v>
      </c>
      <c r="D41" s="181" t="s">
        <v>395</v>
      </c>
      <c r="E41" s="3346">
        <f>'Pgs 320-323 - O&amp;M Expenses (For'!C182</f>
        <v>0</v>
      </c>
      <c r="F41" s="3347">
        <f>SUM(G41:I41)</f>
        <v>0</v>
      </c>
      <c r="G41" s="3348">
        <f>SUMIFS('B2-O&amp;M'!G$804:G$900,'B2-O&amp;M'!$A$804:$A$900,"906*")*1000+SUMIFS('B2-O&amp;M'!G$804:G$900,'B2-O&amp;M'!$A$804:$A$900,"907*")*1000</f>
        <v>0</v>
      </c>
      <c r="H41" s="3348">
        <f>SUMIFS('B2-O&amp;M'!H$804:H$900,'B2-O&amp;M'!$A$804:$A$900,"906*")*1000+SUMIFS('B2-O&amp;M'!H$804:H$900,'B2-O&amp;M'!$A$804:$A$900,"907*")*1000</f>
        <v>0</v>
      </c>
      <c r="I41" s="3348">
        <f>SUMIFS('B2-O&amp;M'!I$804:I$900,'B2-O&amp;M'!$A$804:$A$900,"906*")*1000+SUMIFS('B2-O&amp;M'!I$804:I$900,'B2-O&amp;M'!$A$804:$A$900,"907*")*1000</f>
        <v>0</v>
      </c>
      <c r="J41" s="3349">
        <v>0</v>
      </c>
      <c r="K41" s="3350">
        <v>0</v>
      </c>
      <c r="L41" s="3350">
        <v>0</v>
      </c>
      <c r="M41" s="3351">
        <v>0</v>
      </c>
      <c r="N41" s="3341">
        <f>F41-SUM(G41:I41)</f>
        <v>0</v>
      </c>
    </row>
    <row r="42" spans="1:14" ht="15" customHeight="1" x14ac:dyDescent="0.25">
      <c r="A42" s="162"/>
      <c r="B42" s="1617" t="s">
        <v>579</v>
      </c>
      <c r="C42" s="1616" t="s">
        <v>72</v>
      </c>
      <c r="D42" s="1616">
        <v>908</v>
      </c>
      <c r="E42" s="3335">
        <f>SUMIFS('Pgs 320-323 - O&amp;M Expenses (For'!C:C,'Pgs 320-323 - O&amp;M Expenses (For'!B:B,"*"&amp;D42&amp;"*")</f>
        <v>170514759</v>
      </c>
      <c r="F42" s="3336">
        <f>SUM(G42:I42)</f>
        <v>95586516.719410077</v>
      </c>
      <c r="G42" s="3337">
        <f>SUMIFS('B2-O&amp;M'!G$804:G$900,'B2-O&amp;M'!$A$804:$A$900,"908*")*1000</f>
        <v>67121924.977982894</v>
      </c>
      <c r="H42" s="3337">
        <f>SUMIFS('B2-O&amp;M'!H$804:H$900,'B2-O&amp;M'!$A$804:$A$900,"908*")*1000</f>
        <v>21471057.33874641</v>
      </c>
      <c r="I42" s="3337">
        <f>SUMIFS('B2-O&amp;M'!I$804:I$900,'B2-O&amp;M'!$A$804:$A$900,"908*")*1000</f>
        <v>6993534.402680763</v>
      </c>
      <c r="J42" s="3338">
        <f t="shared" si="8"/>
        <v>0.5605762063060481</v>
      </c>
      <c r="K42" s="3339">
        <f t="shared" si="8"/>
        <v>0.3936429044126491</v>
      </c>
      <c r="L42" s="3339">
        <f t="shared" si="8"/>
        <v>0.12591905512851476</v>
      </c>
      <c r="M42" s="3340">
        <f t="shared" si="8"/>
        <v>4.1014246764884223E-2</v>
      </c>
      <c r="N42" s="3341">
        <f>F42-SUM(G42:I42)</f>
        <v>0</v>
      </c>
    </row>
    <row r="43" spans="1:14" ht="15" customHeight="1" x14ac:dyDescent="0.25">
      <c r="A43" s="162"/>
      <c r="B43" s="1523" t="s">
        <v>172</v>
      </c>
      <c r="C43" s="1524" t="s">
        <v>72</v>
      </c>
      <c r="D43" s="1616" t="s">
        <v>12455</v>
      </c>
      <c r="E43" s="3374">
        <f>'Pgs 320-323 - O&amp;M Expenses (For'!C185+'Pgs 320-323 - O&amp;M Expenses (For'!C186</f>
        <v>176232210</v>
      </c>
      <c r="F43" s="3336">
        <f>SUM(G43:I43)</f>
        <v>2369458.8863290716</v>
      </c>
      <c r="G43" s="3337">
        <f>SUMIFS('B2-O&amp;M'!G$804:G$900,'B2-O&amp;M'!$A$804:$A$900,"909*")*1000+SUMIFS('B2-O&amp;M'!G$804:G$900,'B2-O&amp;M'!$A$804:$A$900,"910*")*1000</f>
        <v>1535502.5576903792</v>
      </c>
      <c r="H43" s="3337">
        <f>SUMIFS('B2-O&amp;M'!H$804:H$900,'B2-O&amp;M'!$A$804:$A$900,"909*")*1000+SUMIFS('B2-O&amp;M'!H$804:H$900,'B2-O&amp;M'!$A$804:$A$900,"910*")*1000</f>
        <v>472324.84478711477</v>
      </c>
      <c r="I43" s="3337">
        <f>SUMIFS('B2-O&amp;M'!I$804:I$900,'B2-O&amp;M'!$A$804:$A$900,"909*")*1000+SUMIFS('B2-O&amp;M'!I$804:I$900,'B2-O&amp;M'!$A$804:$A$900,"910*")*1000</f>
        <v>361631.48385157739</v>
      </c>
      <c r="J43" s="3338">
        <f t="shared" si="8"/>
        <v>1.3445095458594496E-2</v>
      </c>
      <c r="K43" s="3339">
        <f t="shared" si="8"/>
        <v>8.7129507011821459E-3</v>
      </c>
      <c r="L43" s="3339">
        <f t="shared" si="8"/>
        <v>2.6801277972234175E-3</v>
      </c>
      <c r="M43" s="3340">
        <f t="shared" si="8"/>
        <v>2.0520169601889312E-3</v>
      </c>
      <c r="N43" s="3341">
        <f>F43-SUM(G43:I43)</f>
        <v>0</v>
      </c>
    </row>
    <row r="44" spans="1:14" ht="15" customHeight="1" x14ac:dyDescent="0.25">
      <c r="A44" s="162"/>
      <c r="B44" s="49" t="s">
        <v>396</v>
      </c>
      <c r="C44" s="181" t="s">
        <v>72</v>
      </c>
      <c r="D44" s="181" t="s">
        <v>397</v>
      </c>
      <c r="E44" s="3375">
        <v>0</v>
      </c>
      <c r="F44" s="3347">
        <f>SUM(G44:I44)</f>
        <v>0</v>
      </c>
      <c r="G44" s="3350">
        <v>0</v>
      </c>
      <c r="H44" s="3350">
        <v>0</v>
      </c>
      <c r="I44" s="3350">
        <v>0</v>
      </c>
      <c r="J44" s="3349">
        <v>0</v>
      </c>
      <c r="K44" s="3350">
        <v>0</v>
      </c>
      <c r="L44" s="3350">
        <v>0</v>
      </c>
      <c r="M44" s="3351">
        <v>0</v>
      </c>
    </row>
    <row r="45" spans="1:14" ht="15" customHeight="1" x14ac:dyDescent="0.25">
      <c r="A45" s="163" t="s">
        <v>490</v>
      </c>
      <c r="B45" s="46"/>
      <c r="C45" s="475"/>
      <c r="D45" s="475"/>
      <c r="E45" s="3359">
        <f>SUM(E40:E44)</f>
        <v>437772294</v>
      </c>
      <c r="F45" s="3360">
        <f>SUM(F40:F44)</f>
        <v>143324807.44432506</v>
      </c>
      <c r="G45" s="3361">
        <f>SUM(G40:G44)</f>
        <v>100048132.59582131</v>
      </c>
      <c r="H45" s="3361">
        <f>SUM(H40:H44)</f>
        <v>32962837.913764067</v>
      </c>
      <c r="I45" s="3362">
        <f>SUM(I40:I44)</f>
        <v>10313836.934739675</v>
      </c>
      <c r="J45" s="3363">
        <f>F45/$E45</f>
        <v>0.32739579322104168</v>
      </c>
      <c r="K45" s="3365">
        <f>G45/$E45</f>
        <v>0.22853920626557811</v>
      </c>
      <c r="L45" s="3365">
        <f>H45/$E45</f>
        <v>7.5296765842755839E-2</v>
      </c>
      <c r="M45" s="3366">
        <f>I45/$E45</f>
        <v>2.3559821112707685E-2</v>
      </c>
    </row>
    <row r="46" spans="1:14" ht="9.9499999999999993" customHeight="1" x14ac:dyDescent="0.25">
      <c r="A46" s="164"/>
      <c r="B46" s="46"/>
      <c r="C46" s="50"/>
      <c r="D46" s="48"/>
      <c r="E46" s="3343"/>
      <c r="F46" s="3342"/>
      <c r="G46" s="3344"/>
      <c r="H46" s="3344"/>
      <c r="I46" s="3364"/>
      <c r="J46" s="3343"/>
      <c r="K46" s="3344"/>
      <c r="L46" s="3344"/>
      <c r="M46" s="3345"/>
    </row>
    <row r="47" spans="1:14" ht="15" customHeight="1" x14ac:dyDescent="0.25">
      <c r="A47" s="160" t="s">
        <v>491</v>
      </c>
      <c r="B47" s="46"/>
      <c r="C47" s="50"/>
      <c r="D47" s="48"/>
      <c r="E47" s="3343"/>
      <c r="F47" s="3342"/>
      <c r="G47" s="3344"/>
      <c r="H47" s="3344"/>
      <c r="I47" s="3364"/>
      <c r="J47" s="3343"/>
      <c r="K47" s="3344"/>
      <c r="L47" s="3344"/>
      <c r="M47" s="3345"/>
    </row>
    <row r="48" spans="1:14" ht="15" customHeight="1" x14ac:dyDescent="0.25">
      <c r="A48" s="166"/>
      <c r="B48" s="74" t="s">
        <v>437</v>
      </c>
      <c r="C48" s="50"/>
      <c r="D48" s="48"/>
      <c r="E48" s="3343"/>
      <c r="F48" s="3342"/>
      <c r="G48" s="3344"/>
      <c r="H48" s="3344"/>
      <c r="I48" s="3364"/>
      <c r="J48" s="3343"/>
      <c r="K48" s="3344"/>
      <c r="L48" s="3344"/>
      <c r="M48" s="3345"/>
    </row>
    <row r="49" spans="1:14" ht="15" customHeight="1" x14ac:dyDescent="0.25">
      <c r="A49" s="162"/>
      <c r="B49" s="49" t="s">
        <v>163</v>
      </c>
      <c r="C49" s="181" t="s">
        <v>72</v>
      </c>
      <c r="D49" s="181">
        <v>920</v>
      </c>
      <c r="E49" s="3335">
        <f>SUMIFS('Pgs 320-323 - O&amp;M Expenses (For'!C:C,'Pgs 320-323 - O&amp;M Expenses (For'!B:B,"*"&amp;D49&amp;"*")</f>
        <v>83531125</v>
      </c>
      <c r="F49" s="3336">
        <f>SUM(G49:I49)</f>
        <v>33958085.334903657</v>
      </c>
      <c r="G49" s="3337">
        <f>SUMIFS('B2-O&amp;M'!G$804:G$900,'B2-O&amp;M'!$A$804:$A$900,$D49&amp;"*")*1000</f>
        <v>23126636.542847402</v>
      </c>
      <c r="H49" s="3337">
        <f>SUMIFS('B2-O&amp;M'!H$804:H$900,'B2-O&amp;M'!$A$804:$A$900,$D49&amp;"*")*1000</f>
        <v>6317773.845662483</v>
      </c>
      <c r="I49" s="3337">
        <f>SUMIFS('B2-O&amp;M'!I$804:I$900,'B2-O&amp;M'!$A$804:$A$900,$D49&amp;"*")*1000</f>
        <v>4513674.9463937758</v>
      </c>
      <c r="J49" s="3338">
        <f>F49/$E49</f>
        <v>0.40653212003194805</v>
      </c>
      <c r="K49" s="3339">
        <f t="shared" ref="K49:M65" si="9">G49/$E49</f>
        <v>0.27686250535770235</v>
      </c>
      <c r="L49" s="3339">
        <f t="shared" si="9"/>
        <v>7.5633769396287701E-2</v>
      </c>
      <c r="M49" s="3340">
        <f t="shared" si="9"/>
        <v>5.4035845277958072E-2</v>
      </c>
      <c r="N49" s="3341">
        <f t="shared" ref="N49:N55" si="10">F49-SUM(G49:I49)</f>
        <v>0</v>
      </c>
    </row>
    <row r="50" spans="1:14" ht="15" customHeight="1" x14ac:dyDescent="0.25">
      <c r="A50" s="162"/>
      <c r="B50" s="49" t="s">
        <v>164</v>
      </c>
      <c r="C50" s="181" t="s">
        <v>72</v>
      </c>
      <c r="D50" s="181">
        <v>921</v>
      </c>
      <c r="E50" s="3335">
        <f>SUMIFS('Pgs 320-323 - O&amp;M Expenses (For'!C:C,'Pgs 320-323 - O&amp;M Expenses (For'!B:B,"*"&amp;D50&amp;"*")</f>
        <v>15081973</v>
      </c>
      <c r="F50" s="3336">
        <f t="shared" ref="F50:F61" si="11">SUM(G50:I50)</f>
        <v>6088941.7066276213</v>
      </c>
      <c r="G50" s="3337">
        <f>SUMIFS('B2-O&amp;M'!G$804:G$900,'B2-O&amp;M'!$A$804:$A$900,$D50&amp;"*")*1000</f>
        <v>4167060.1027857582</v>
      </c>
      <c r="H50" s="3337">
        <f>SUMIFS('B2-O&amp;M'!H$804:H$900,'B2-O&amp;M'!$A$804:$A$900,$D50&amp;"*")*1000</f>
        <v>1123640.4570736419</v>
      </c>
      <c r="I50" s="3337">
        <f>SUMIFS('B2-O&amp;M'!I$804:I$900,'B2-O&amp;M'!$A$804:$A$900,$D50&amp;"*")*1000</f>
        <v>798241.14676822047</v>
      </c>
      <c r="J50" s="3338">
        <f t="shared" ref="J50:J65" si="12">F50/$E50</f>
        <v>0.40372315390218649</v>
      </c>
      <c r="K50" s="3339">
        <f t="shared" si="9"/>
        <v>0.27629409645447306</v>
      </c>
      <c r="L50" s="3339">
        <f t="shared" si="9"/>
        <v>7.4502219111096529E-2</v>
      </c>
      <c r="M50" s="3340">
        <f t="shared" si="9"/>
        <v>5.2926838336616863E-2</v>
      </c>
      <c r="N50" s="3341">
        <f t="shared" si="10"/>
        <v>0</v>
      </c>
    </row>
    <row r="51" spans="1:14" ht="15" customHeight="1" x14ac:dyDescent="0.25">
      <c r="A51" s="162"/>
      <c r="B51" s="49" t="s">
        <v>165</v>
      </c>
      <c r="C51" s="181" t="s">
        <v>72</v>
      </c>
      <c r="D51" s="181">
        <v>922</v>
      </c>
      <c r="E51" s="3335">
        <f>SUMIFS('Pgs 320-323 - O&amp;M Expenses (For'!C:C,'Pgs 320-323 - O&amp;M Expenses (For'!B:B,"*"&amp;D51&amp;"*")</f>
        <v>51620742</v>
      </c>
      <c r="F51" s="3336">
        <f t="shared" si="11"/>
        <v>21046791.182086881</v>
      </c>
      <c r="G51" s="3337">
        <f>-SUMIFS('B2-O&amp;M'!G$804:G$900,'B2-O&amp;M'!$A$804:$A$900,$D51&amp;"*")*1000</f>
        <v>14440277.415756546</v>
      </c>
      <c r="H51" s="3337">
        <f>-SUMIFS('B2-O&amp;M'!H$804:H$900,'B2-O&amp;M'!$A$804:$A$900,$D51&amp;"*")*1000</f>
        <v>3853451.2497110954</v>
      </c>
      <c r="I51" s="3337">
        <f>-SUMIFS('B2-O&amp;M'!I$804:I$900,'B2-O&amp;M'!$A$804:$A$900,$D51&amp;"*")*1000</f>
        <v>2753062.5166192381</v>
      </c>
      <c r="J51" s="3338">
        <f t="shared" si="12"/>
        <v>0.40771965622049527</v>
      </c>
      <c r="K51" s="3339">
        <f t="shared" si="9"/>
        <v>0.27973788938865979</v>
      </c>
      <c r="L51" s="3339">
        <f t="shared" si="9"/>
        <v>7.4649280510363361E-2</v>
      </c>
      <c r="M51" s="3340">
        <f t="shared" si="9"/>
        <v>5.3332486321472056E-2</v>
      </c>
      <c r="N51" s="3341">
        <f t="shared" si="10"/>
        <v>0</v>
      </c>
    </row>
    <row r="52" spans="1:14" ht="15" customHeight="1" x14ac:dyDescent="0.25">
      <c r="A52" s="162"/>
      <c r="B52" s="49" t="s">
        <v>166</v>
      </c>
      <c r="C52" s="181" t="s">
        <v>72</v>
      </c>
      <c r="D52" s="181">
        <v>923</v>
      </c>
      <c r="E52" s="3335">
        <f>SUMIFS('Pgs 320-323 - O&amp;M Expenses (For'!C:C,'Pgs 320-323 - O&amp;M Expenses (For'!B:B,"*"&amp;D52&amp;"*")</f>
        <v>49202851</v>
      </c>
      <c r="F52" s="3336">
        <f t="shared" si="11"/>
        <v>18867079.710774634</v>
      </c>
      <c r="G52" s="3337">
        <f>SUMIFS('B2-O&amp;M'!G$804:G$900,'B2-O&amp;M'!$A$804:$A$900,$D52&amp;"*")*1000</f>
        <v>12650632.117495647</v>
      </c>
      <c r="H52" s="3337">
        <f>SUMIFS('B2-O&amp;M'!H$804:H$900,'B2-O&amp;M'!$A$804:$A$900,$D52&amp;"*")*1000</f>
        <v>3625857.681040843</v>
      </c>
      <c r="I52" s="3337">
        <f>SUMIFS('B2-O&amp;M'!I$804:I$900,'B2-O&amp;M'!$A$804:$A$900,$D52&amp;"*")*1000</f>
        <v>2590589.9122381425</v>
      </c>
      <c r="J52" s="3338">
        <f t="shared" si="12"/>
        <v>0.3834550097671095</v>
      </c>
      <c r="K52" s="3339">
        <f t="shared" si="9"/>
        <v>0.25711177015932768</v>
      </c>
      <c r="L52" s="3339">
        <f t="shared" si="9"/>
        <v>7.369202408699535E-2</v>
      </c>
      <c r="M52" s="3340">
        <f t="shared" si="9"/>
        <v>5.2651215520786436E-2</v>
      </c>
      <c r="N52" s="3341">
        <f t="shared" si="10"/>
        <v>0</v>
      </c>
    </row>
    <row r="53" spans="1:14" ht="15" customHeight="1" x14ac:dyDescent="0.25">
      <c r="A53" s="162"/>
      <c r="B53" s="49" t="s">
        <v>167</v>
      </c>
      <c r="C53" s="181" t="s">
        <v>72</v>
      </c>
      <c r="D53" s="181">
        <v>924</v>
      </c>
      <c r="E53" s="3335">
        <f>SUMIFS('Pgs 320-323 - O&amp;M Expenses (For'!C:C,'Pgs 320-323 - O&amp;M Expenses (For'!B:B,"*"&amp;D53&amp;"*")</f>
        <v>20017590</v>
      </c>
      <c r="F53" s="3336">
        <f t="shared" si="11"/>
        <v>28178553.189763118</v>
      </c>
      <c r="G53" s="3337">
        <f>SUMIFS('B2-O&amp;M'!G$804:G$900,'B2-O&amp;M'!$A$804:$A$900,$D53&amp;"*")*1000</f>
        <v>25879730.512297567</v>
      </c>
      <c r="H53" s="3337">
        <f>SUMIFS('B2-O&amp;M'!H$804:H$900,'B2-O&amp;M'!$A$804:$A$900,$D53&amp;"*")*1000</f>
        <v>2169883.3320364864</v>
      </c>
      <c r="I53" s="3337">
        <f>SUMIFS('B2-O&amp;M'!I$804:I$900,'B2-O&amp;M'!$A$804:$A$900,$D53&amp;"*")*1000</f>
        <v>128939.34542906408</v>
      </c>
      <c r="J53" s="3338">
        <f t="shared" si="12"/>
        <v>1.4076895964880447</v>
      </c>
      <c r="K53" s="3339">
        <f t="shared" si="9"/>
        <v>1.292849464510841</v>
      </c>
      <c r="L53" s="3339">
        <f t="shared" si="9"/>
        <v>0.10839882983098796</v>
      </c>
      <c r="M53" s="3340">
        <f t="shared" si="9"/>
        <v>6.4413021462156076E-3</v>
      </c>
      <c r="N53" s="3341">
        <f t="shared" si="10"/>
        <v>0</v>
      </c>
    </row>
    <row r="54" spans="1:14" ht="15" customHeight="1" x14ac:dyDescent="0.25">
      <c r="A54" s="162"/>
      <c r="B54" s="49" t="s">
        <v>465</v>
      </c>
      <c r="C54" s="181" t="s">
        <v>72</v>
      </c>
      <c r="D54" s="181">
        <v>925</v>
      </c>
      <c r="E54" s="3335">
        <f>SUMIFS('Pgs 320-323 - O&amp;M Expenses (For'!C:C,'Pgs 320-323 - O&amp;M Expenses (For'!B:B,"*"&amp;D54&amp;"*")</f>
        <v>1785095432</v>
      </c>
      <c r="F54" s="3336">
        <f t="shared" si="11"/>
        <v>727189313.6231035</v>
      </c>
      <c r="G54" s="3337">
        <f>SUMIFS('B2-O&amp;M'!G$804:G$900,'B2-O&amp;M'!$A$804:$A$900,$D54&amp;"*")*1000</f>
        <v>498593690.03400177</v>
      </c>
      <c r="H54" s="3337">
        <f>SUMIFS('B2-O&amp;M'!H$804:H$900,'B2-O&amp;M'!$A$804:$A$900,$D54&amp;"*")*1000</f>
        <v>133335390.27607414</v>
      </c>
      <c r="I54" s="3376">
        <f>SUMIFS('B2-O&amp;M'!I$804:I$900,'B2-O&amp;M'!$A$804:$A$900,$D54&amp;"*")*1000</f>
        <v>95260233.313027665</v>
      </c>
      <c r="J54" s="3338">
        <f t="shared" si="12"/>
        <v>0.40736719202085969</v>
      </c>
      <c r="K54" s="3339">
        <f t="shared" si="9"/>
        <v>0.27930926330105682</v>
      </c>
      <c r="L54" s="3339">
        <f t="shared" si="9"/>
        <v>7.4693704261338423E-2</v>
      </c>
      <c r="M54" s="3340">
        <f t="shared" si="9"/>
        <v>5.3364224458464504E-2</v>
      </c>
      <c r="N54" s="3341">
        <f t="shared" si="10"/>
        <v>0</v>
      </c>
    </row>
    <row r="55" spans="1:14" ht="15" customHeight="1" x14ac:dyDescent="0.25">
      <c r="A55" s="162"/>
      <c r="B55" s="49" t="s">
        <v>466</v>
      </c>
      <c r="C55" s="181" t="s">
        <v>72</v>
      </c>
      <c r="D55" s="181">
        <v>926</v>
      </c>
      <c r="E55" s="3377">
        <f>SUMIFS('Pgs 320-323 - O&amp;M Expenses (For'!C:C,'Pgs 320-323 - O&amp;M Expenses (For'!B:B,"*"&amp;D55&amp;"*")</f>
        <v>123037471</v>
      </c>
      <c r="F55" s="3378">
        <f t="shared" si="11"/>
        <v>48983683.126018636</v>
      </c>
      <c r="G55" s="3379">
        <f>SUMIFS('B2-O&amp;M'!G$804:G$900,'B2-O&amp;M'!$A$804:$A$900,$D55&amp;"*")*1000</f>
        <v>33779403.361846142</v>
      </c>
      <c r="H55" s="3379">
        <f>SUMIFS('B2-O&amp;M'!H$804:H$900,'B2-O&amp;M'!$A$804:$A$900,$D55&amp;"*")*1000</f>
        <v>8873265.6299192682</v>
      </c>
      <c r="I55" s="3380">
        <f>SUMIFS('B2-O&amp;M'!I$804:I$900,'B2-O&amp;M'!$A$804:$A$900,$D55&amp;"*")*1000</f>
        <v>6331014.1342532244</v>
      </c>
      <c r="J55" s="3338">
        <f t="shared" si="12"/>
        <v>0.39812004203189966</v>
      </c>
      <c r="K55" s="3339">
        <f t="shared" si="9"/>
        <v>0.2745456574107098</v>
      </c>
      <c r="L55" s="3339">
        <f t="shared" si="9"/>
        <v>7.2118400661204007E-2</v>
      </c>
      <c r="M55" s="3340">
        <f t="shared" si="9"/>
        <v>5.1455983959985852E-2</v>
      </c>
      <c r="N55" s="3341">
        <f t="shared" si="10"/>
        <v>0</v>
      </c>
    </row>
    <row r="56" spans="1:14" ht="15" customHeight="1" x14ac:dyDescent="0.25">
      <c r="A56" s="162"/>
      <c r="B56" s="49" t="s">
        <v>467</v>
      </c>
      <c r="C56" s="181" t="s">
        <v>72</v>
      </c>
      <c r="D56" s="181">
        <v>927</v>
      </c>
      <c r="E56" s="3346">
        <f>SUMIFS('Pgs 320-323 - O&amp;M Expenses (For'!C:C,'Pgs 320-323 - O&amp;M Expenses (For'!B:B,"*"&amp;D56&amp;"*")</f>
        <v>0</v>
      </c>
      <c r="F56" s="3381"/>
      <c r="G56" s="3382">
        <f>SUMIFS('B2-O&amp;M'!G$804:G$900,'B2-O&amp;M'!$A$804:$A$900,$D56&amp;"*")*1000</f>
        <v>0</v>
      </c>
      <c r="H56" s="3382">
        <f>SUMIFS('B2-O&amp;M'!H$804:H$900,'B2-O&amp;M'!$A$804:$A$900,$D56&amp;"*")*1000</f>
        <v>0</v>
      </c>
      <c r="I56" s="3383">
        <f>SUMIFS('B2-O&amp;M'!I$804:I$900,'B2-O&amp;M'!$A$804:$A$900,$D56&amp;"*")*1000</f>
        <v>0</v>
      </c>
      <c r="J56" s="3338"/>
      <c r="K56" s="3339"/>
      <c r="L56" s="3339"/>
      <c r="M56" s="3340"/>
    </row>
    <row r="57" spans="1:14" ht="15" customHeight="1" x14ac:dyDescent="0.25">
      <c r="A57" s="162"/>
      <c r="B57" s="49" t="s">
        <v>469</v>
      </c>
      <c r="C57" s="181" t="s">
        <v>72</v>
      </c>
      <c r="D57" s="181">
        <v>928</v>
      </c>
      <c r="E57" s="3335">
        <f>SUMIFS('Pgs 320-323 - O&amp;M Expenses (For'!C:C,'Pgs 320-323 - O&amp;M Expenses (For'!B:B,"*"&amp;D57&amp;"*")</f>
        <v>32148662</v>
      </c>
      <c r="F57" s="3336">
        <f t="shared" si="11"/>
        <v>15830390.456935205</v>
      </c>
      <c r="G57" s="3337">
        <f>SUMIFS('B2-O&amp;M'!G$804:G$900,'B2-O&amp;M'!$A$804:$A$900,$D57&amp;"*")*1000</f>
        <v>11944450.58475244</v>
      </c>
      <c r="H57" s="3337">
        <f>SUMIFS('B2-O&amp;M'!H$804:H$900,'B2-O&amp;M'!$A$804:$A$900,$D57&amp;"*")*1000</f>
        <v>2762317.7926869993</v>
      </c>
      <c r="I57" s="3376">
        <f>SUMIFS('B2-O&amp;M'!I$804:I$900,'B2-O&amp;M'!$A$804:$A$900,$D57&amp;"*")*1000</f>
        <v>1123622.079495765</v>
      </c>
      <c r="J57" s="3338">
        <f t="shared" si="12"/>
        <v>0.49241210899959709</v>
      </c>
      <c r="K57" s="3339">
        <f t="shared" si="9"/>
        <v>0.37153803118625717</v>
      </c>
      <c r="L57" s="3339">
        <f t="shared" si="9"/>
        <v>8.5923258413896017E-2</v>
      </c>
      <c r="M57" s="3340">
        <f t="shared" si="9"/>
        <v>3.4950819399443903E-2</v>
      </c>
      <c r="N57" s="3341">
        <f>F57-SUM(G57:I57)</f>
        <v>0</v>
      </c>
    </row>
    <row r="58" spans="1:14" ht="15" customHeight="1" x14ac:dyDescent="0.25">
      <c r="A58" s="162"/>
      <c r="B58" s="49" t="s">
        <v>168</v>
      </c>
      <c r="C58" s="181" t="s">
        <v>72</v>
      </c>
      <c r="D58" s="181">
        <v>929</v>
      </c>
      <c r="E58" s="3335">
        <f>SUMIFS('Pgs 320-323 - O&amp;M Expenses (For'!C:C,'Pgs 320-323 - O&amp;M Expenses (For'!B:B,"*"&amp;D58&amp;"*")</f>
        <v>144383626</v>
      </c>
      <c r="F58" s="3336">
        <f t="shared" si="11"/>
        <v>58868042.536690846</v>
      </c>
      <c r="G58" s="3337">
        <f>-SUMIFS('B2-O&amp;M'!G$804:G$900,'B2-O&amp;M'!$A$804:$A$900,$D58&amp;"*")*1000</f>
        <v>40389570.923090443</v>
      </c>
      <c r="H58" s="3337">
        <f>-SUMIFS('B2-O&amp;M'!H$804:H$900,'B2-O&amp;M'!$A$804:$A$900,$D58&amp;"*")*1000</f>
        <v>10778133.831352273</v>
      </c>
      <c r="I58" s="3337">
        <f>-SUMIFS('B2-O&amp;M'!I$804:I$900,'B2-O&amp;M'!$A$804:$A$900,$D58&amp;"*")*1000</f>
        <v>7700337.7822481357</v>
      </c>
      <c r="J58" s="3338">
        <f t="shared" si="12"/>
        <v>0.40771965746788247</v>
      </c>
      <c r="K58" s="3339">
        <f t="shared" si="9"/>
        <v>0.27973789024449658</v>
      </c>
      <c r="L58" s="3339">
        <f t="shared" si="9"/>
        <v>7.4649280738747159E-2</v>
      </c>
      <c r="M58" s="3340">
        <f t="shared" si="9"/>
        <v>5.3332486484638744E-2</v>
      </c>
      <c r="N58" s="3341">
        <f>F58-SUM(G58:I58)</f>
        <v>0</v>
      </c>
    </row>
    <row r="59" spans="1:14" ht="15" customHeight="1" x14ac:dyDescent="0.25">
      <c r="A59" s="162"/>
      <c r="B59" s="1523" t="s">
        <v>169</v>
      </c>
      <c r="C59" s="1524" t="s">
        <v>72</v>
      </c>
      <c r="D59" s="1524">
        <v>930.1</v>
      </c>
      <c r="E59" s="3335">
        <f>SUMIFS('Pgs 320-323 - O&amp;M Expenses (For'!C:C,'Pgs 320-323 - O&amp;M Expenses (For'!B:B,"*"&amp;D59&amp;"*")</f>
        <v>48947</v>
      </c>
      <c r="F59" s="3336">
        <f t="shared" si="11"/>
        <v>19956.572503887328</v>
      </c>
      <c r="G59" s="3337">
        <f>SUMIFS('B2-O&amp;M'!G$804:G$900,'B2-O&amp;M'!$A$804:$A$900,"9301*")*1000</f>
        <v>13692.274548201134</v>
      </c>
      <c r="H59" s="3337">
        <f>SUMIFS('B2-O&amp;M'!H$804:H$900,'B2-O&amp;M'!$A$804:$A$900,"9301*")*1000</f>
        <v>3653.8434096550759</v>
      </c>
      <c r="I59" s="3337">
        <f>SUMIFS('B2-O&amp;M'!I$804:I$900,'B2-O&amp;M'!$A$804:$A$900,"9301*")*1000</f>
        <v>2610.4545460311174</v>
      </c>
      <c r="J59" s="3338">
        <f t="shared" si="12"/>
        <v>0.40771799096752259</v>
      </c>
      <c r="K59" s="3339">
        <f t="shared" si="9"/>
        <v>0.27973674685274141</v>
      </c>
      <c r="L59" s="3339">
        <f t="shared" si="9"/>
        <v>7.4648975619651378E-2</v>
      </c>
      <c r="M59" s="3340">
        <f t="shared" si="9"/>
        <v>5.333226849512978E-2</v>
      </c>
      <c r="N59" s="3341">
        <f>F59-SUM(G59:I59)</f>
        <v>0</v>
      </c>
    </row>
    <row r="60" spans="1:14" ht="15" customHeight="1" x14ac:dyDescent="0.25">
      <c r="A60" s="162"/>
      <c r="B60" s="1523" t="s">
        <v>468</v>
      </c>
      <c r="C60" s="1524" t="s">
        <v>72</v>
      </c>
      <c r="D60" s="1524">
        <v>930.2</v>
      </c>
      <c r="E60" s="3335">
        <f>SUMIFS('Pgs 320-323 - O&amp;M Expenses (For'!C:C,'Pgs 320-323 - O&amp;M Expenses (For'!B:B,"*"&amp;D60&amp;"*")</f>
        <v>2805595</v>
      </c>
      <c r="F60" s="3336">
        <f t="shared" si="11"/>
        <v>1105627.4233341326</v>
      </c>
      <c r="G60" s="3337">
        <f>SUMIFS('B2-O&amp;M'!G$804:G$900,'B2-O&amp;M'!$A$804:$A$900,"9302*")*1000</f>
        <v>758574.86175856681</v>
      </c>
      <c r="H60" s="3337">
        <f>SUMIFS('B2-O&amp;M'!H$804:H$900,'B2-O&amp;M'!$A$804:$A$900,"9302*")*1000</f>
        <v>202429.02299462669</v>
      </c>
      <c r="I60" s="3337">
        <f>SUMIFS('B2-O&amp;M'!I$804:I$900,'B2-O&amp;M'!$A$804:$A$900,"9302*")*1000</f>
        <v>144623.53858093912</v>
      </c>
      <c r="J60" s="3338">
        <f t="shared" si="12"/>
        <v>0.39407948165509726</v>
      </c>
      <c r="K60" s="3339">
        <f t="shared" si="9"/>
        <v>0.27037931767007239</v>
      </c>
      <c r="L60" s="3339">
        <f t="shared" si="9"/>
        <v>7.2151904674276471E-2</v>
      </c>
      <c r="M60" s="3340">
        <f t="shared" si="9"/>
        <v>5.1548259310748384E-2</v>
      </c>
      <c r="N60" s="3341">
        <f>F60-SUM(G60:I60)</f>
        <v>0</v>
      </c>
    </row>
    <row r="61" spans="1:14" ht="15" customHeight="1" x14ac:dyDescent="0.25">
      <c r="A61" s="162"/>
      <c r="B61" s="49" t="s">
        <v>492</v>
      </c>
      <c r="C61" s="181" t="s">
        <v>72</v>
      </c>
      <c r="D61" s="181">
        <v>931</v>
      </c>
      <c r="E61" s="3335">
        <f>SUMIFS('Pgs 320-323 - O&amp;M Expenses (For'!C:C,'Pgs 320-323 - O&amp;M Expenses (For'!B:B,"*"&amp;D61&amp;"*")</f>
        <v>1510492</v>
      </c>
      <c r="F61" s="3336">
        <f t="shared" si="11"/>
        <v>754426.30276668374</v>
      </c>
      <c r="G61" s="3337">
        <f>SUMIFS('B2-O&amp;M'!G$804:G$900,'B2-O&amp;M'!$A$804:$A$900,$D61&amp;"*")*1000</f>
        <v>589008.58557680564</v>
      </c>
      <c r="H61" s="3337">
        <f>SUMIFS('B2-O&amp;M'!H$804:H$900,'B2-O&amp;M'!$A$804:$A$900,$D61&amp;"*")*1000</f>
        <v>103122.10481761793</v>
      </c>
      <c r="I61" s="3376">
        <f>SUMIFS('B2-O&amp;M'!I$804:I$900,'B2-O&amp;M'!$A$804:$A$900,$D61&amp;"*")*1000</f>
        <v>62295.612372260184</v>
      </c>
      <c r="J61" s="3338">
        <f t="shared" si="12"/>
        <v>0.49945733096678679</v>
      </c>
      <c r="K61" s="3339">
        <f t="shared" si="9"/>
        <v>0.38994485609775204</v>
      </c>
      <c r="L61" s="3339">
        <f t="shared" si="9"/>
        <v>6.827054020651413E-2</v>
      </c>
      <c r="M61" s="3340">
        <f t="shared" si="9"/>
        <v>4.1241934662520678E-2</v>
      </c>
      <c r="N61" s="3341">
        <f>F61-SUM(G61:I61)</f>
        <v>0</v>
      </c>
    </row>
    <row r="62" spans="1:14" ht="15" customHeight="1" x14ac:dyDescent="0.25">
      <c r="A62" s="162"/>
      <c r="B62" s="49" t="s">
        <v>269</v>
      </c>
      <c r="C62" s="181" t="s">
        <v>268</v>
      </c>
      <c r="D62" s="181">
        <v>933</v>
      </c>
      <c r="E62" s="3346">
        <f>SUMIFS('Pgs 320-323 - O&amp;M Expenses (For'!C:C,'Pgs 320-323 - O&amp;M Expenses (For'!B:B,"*"&amp;D62&amp;"*")</f>
        <v>0</v>
      </c>
      <c r="F62" s="3381"/>
      <c r="G62" s="3382">
        <f>SUMIFS('B2-O&amp;M'!G$804:G$900,'B2-O&amp;M'!$A$804:$A$900,$D62&amp;"*")*1000</f>
        <v>0</v>
      </c>
      <c r="H62" s="3382">
        <f>SUMIFS('B2-O&amp;M'!H$804:H$900,'B2-O&amp;M'!$A$804:$A$900,$D62&amp;"*")*1000</f>
        <v>0</v>
      </c>
      <c r="I62" s="3383">
        <f>SUMIFS('B2-O&amp;M'!I$804:I$900,'B2-O&amp;M'!$A$804:$A$900,$D62&amp;"*")*1000</f>
        <v>0</v>
      </c>
      <c r="J62" s="3338"/>
      <c r="K62" s="3339"/>
      <c r="L62" s="3339"/>
      <c r="M62" s="3340"/>
    </row>
    <row r="63" spans="1:14" ht="15" customHeight="1" x14ac:dyDescent="0.25">
      <c r="A63" s="162"/>
      <c r="B63" s="74" t="s">
        <v>438</v>
      </c>
      <c r="C63" s="50"/>
      <c r="D63" s="48"/>
      <c r="E63" s="3343"/>
      <c r="F63" s="3342"/>
      <c r="G63" s="3337"/>
      <c r="H63" s="3337"/>
      <c r="I63" s="3364"/>
      <c r="J63" s="3343"/>
      <c r="K63" s="3344"/>
      <c r="L63" s="3344"/>
      <c r="M63" s="3345"/>
    </row>
    <row r="64" spans="1:14" ht="15" customHeight="1" x14ac:dyDescent="0.25">
      <c r="A64" s="162"/>
      <c r="B64" s="49" t="s">
        <v>94</v>
      </c>
      <c r="C64" s="181" t="s">
        <v>72</v>
      </c>
      <c r="D64" s="181">
        <v>935</v>
      </c>
      <c r="E64" s="3335">
        <f>SUMIFS('Pgs 320-323 - O&amp;M Expenses (For'!C:C,'Pgs 320-323 - O&amp;M Expenses (For'!B:B,"*"&amp;D64&amp;"*")</f>
        <v>37142082</v>
      </c>
      <c r="F64" s="3336">
        <f>SUM(G64:I64)</f>
        <v>15276304.380404986</v>
      </c>
      <c r="G64" s="3337">
        <f>SUMIFS('B2-O&amp;M'!G$804:G$900,'B2-O&amp;M'!$A$804:$A$900,$D64&amp;"*")*1000</f>
        <v>10438666.24157922</v>
      </c>
      <c r="H64" s="3337">
        <f>SUMIFS('B2-O&amp;M'!H$804:H$900,'B2-O&amp;M'!$A$804:$A$900,$D64&amp;"*")*1000</f>
        <v>2899657.2402860844</v>
      </c>
      <c r="I64" s="3376">
        <f>SUMIFS('B2-O&amp;M'!I$804:I$900,'B2-O&amp;M'!$A$804:$A$900,$D64&amp;"*")*1000</f>
        <v>1937980.8985396822</v>
      </c>
      <c r="J64" s="3338">
        <f t="shared" si="12"/>
        <v>0.4112937013171471</v>
      </c>
      <c r="K64" s="3339">
        <f t="shared" si="9"/>
        <v>0.28104687942854739</v>
      </c>
      <c r="L64" s="3339">
        <f t="shared" si="9"/>
        <v>7.8069324177521451E-2</v>
      </c>
      <c r="M64" s="3340">
        <f t="shared" si="9"/>
        <v>5.217749771107829E-2</v>
      </c>
      <c r="N64" s="3341">
        <f>F64-SUM(G64:I64)</f>
        <v>0</v>
      </c>
    </row>
    <row r="65" spans="1:14" ht="15" customHeight="1" x14ac:dyDescent="0.25">
      <c r="A65" s="163" t="s">
        <v>493</v>
      </c>
      <c r="B65" s="31"/>
      <c r="C65" s="475"/>
      <c r="D65" s="475"/>
      <c r="E65" s="3384">
        <f>SUM(E49:E50,E52:E57,E59:E62,E64)-E51-E58</f>
        <v>1953617852</v>
      </c>
      <c r="F65" s="3385">
        <f>SUM(F49:F50,F52:F57,F59:F62,F64)-F51-F58</f>
        <v>816337528.10835838</v>
      </c>
      <c r="G65" s="3386">
        <f>SUM(G49:G50,G52:G57,G59:G62,G64)-G51-G58</f>
        <v>567111696.88064229</v>
      </c>
      <c r="H65" s="3386">
        <f>SUM(H49:H50,H52:H57,H59:H62,H64)-H51-H58</f>
        <v>146785406.1449385</v>
      </c>
      <c r="I65" s="3387">
        <f>SUM(I49:I50,I52:I57,I59:I62,I64)-I51-I58</f>
        <v>102440425.08277738</v>
      </c>
      <c r="J65" s="3363">
        <f t="shared" si="12"/>
        <v>0.41785937166403331</v>
      </c>
      <c r="K65" s="3365">
        <f t="shared" si="9"/>
        <v>0.2902879374797207</v>
      </c>
      <c r="L65" s="3365">
        <f t="shared" si="9"/>
        <v>7.5135168321004114E-2</v>
      </c>
      <c r="M65" s="3366">
        <f t="shared" si="9"/>
        <v>5.2436265863308351E-2</v>
      </c>
    </row>
    <row r="66" spans="1:14" ht="9.75" customHeight="1" thickBot="1" x14ac:dyDescent="0.3">
      <c r="A66" s="3388"/>
      <c r="B66" s="192"/>
      <c r="C66" s="174"/>
      <c r="D66" s="193"/>
      <c r="E66" s="3389"/>
      <c r="F66" s="3390"/>
      <c r="G66" s="3391"/>
      <c r="H66" s="3391"/>
      <c r="I66" s="3392"/>
      <c r="J66" s="3389"/>
      <c r="K66" s="3391"/>
      <c r="L66" s="3391"/>
      <c r="M66" s="3393"/>
    </row>
    <row r="67" spans="1:14" ht="16.5" thickTop="1" x14ac:dyDescent="0.25">
      <c r="A67" s="163" t="s">
        <v>494</v>
      </c>
      <c r="B67" s="31"/>
      <c r="C67" s="485"/>
      <c r="D67" s="485"/>
      <c r="E67" s="3394">
        <f>E26+E32+E37+E45+E65</f>
        <v>5633308334.6199999</v>
      </c>
      <c r="F67" s="3395">
        <f>F26+F32+F37+F45+F65</f>
        <v>2494983055.6734858</v>
      </c>
      <c r="G67" s="3396">
        <f>G26+G32+G37+G45+G65</f>
        <v>1735422328.1550832</v>
      </c>
      <c r="H67" s="3396">
        <f>H26+H32+H37+H45+H65</f>
        <v>445596585.94016278</v>
      </c>
      <c r="I67" s="3397">
        <f>I26+I32+I37+I45+I65</f>
        <v>313964141.5782401</v>
      </c>
      <c r="J67" s="3363">
        <f>F67/$E67</f>
        <v>0.44289836583954484</v>
      </c>
      <c r="K67" s="3365">
        <f>G67/$E67</f>
        <v>0.30806450225525384</v>
      </c>
      <c r="L67" s="3365">
        <f>H67/$E67</f>
        <v>7.9100336688781817E-2</v>
      </c>
      <c r="M67" s="3366">
        <f>I67/$E67</f>
        <v>5.5733526895509235E-2</v>
      </c>
    </row>
    <row r="68" spans="1:14" x14ac:dyDescent="0.25">
      <c r="A68" s="167" t="s">
        <v>429</v>
      </c>
      <c r="B68" s="84"/>
      <c r="C68" s="3398"/>
      <c r="D68" s="86"/>
      <c r="E68" s="3399"/>
      <c r="F68" s="3400"/>
      <c r="G68" s="3401"/>
      <c r="H68" s="3402"/>
      <c r="I68" s="3403"/>
      <c r="J68" s="3404"/>
      <c r="K68" s="3402"/>
      <c r="L68" s="3402"/>
      <c r="M68" s="3403"/>
    </row>
    <row r="69" spans="1:14" x14ac:dyDescent="0.25">
      <c r="A69" s="3405"/>
      <c r="B69" s="3406"/>
      <c r="C69" s="3398"/>
      <c r="D69" s="3407"/>
      <c r="E69" s="3407"/>
      <c r="F69" s="3815" t="s">
        <v>12456</v>
      </c>
      <c r="G69" s="3815"/>
      <c r="H69" s="3815"/>
      <c r="I69" s="3816"/>
      <c r="J69" s="3408"/>
      <c r="K69" s="3407"/>
      <c r="L69" s="3407"/>
      <c r="M69" s="3409"/>
    </row>
    <row r="70" spans="1:14" x14ac:dyDescent="0.25">
      <c r="A70" s="160" t="s">
        <v>40</v>
      </c>
      <c r="B70" s="3410"/>
      <c r="C70" s="106"/>
      <c r="D70" s="3411"/>
      <c r="E70" s="3412"/>
      <c r="F70" s="3805" t="s">
        <v>12457</v>
      </c>
      <c r="G70" s="3805"/>
      <c r="H70" s="3805"/>
      <c r="I70" s="3806"/>
      <c r="J70" s="3413"/>
      <c r="K70" s="3414"/>
      <c r="L70" s="3414"/>
      <c r="M70" s="3415"/>
    </row>
    <row r="71" spans="1:14" x14ac:dyDescent="0.25">
      <c r="A71" s="162"/>
      <c r="B71" s="49" t="s">
        <v>370</v>
      </c>
      <c r="C71" s="181">
        <v>336</v>
      </c>
      <c r="D71" s="181">
        <v>404</v>
      </c>
      <c r="E71" s="3416">
        <v>0</v>
      </c>
      <c r="F71" s="3417">
        <f>SUM(G71:I71)</f>
        <v>0</v>
      </c>
      <c r="G71" s="3418">
        <f>$E71*K71</f>
        <v>0</v>
      </c>
      <c r="H71" s="3418">
        <f t="shared" ref="H71:I73" si="13">$E71*L71</f>
        <v>0</v>
      </c>
      <c r="I71" s="3419">
        <f t="shared" si="13"/>
        <v>0</v>
      </c>
      <c r="J71" s="3349">
        <f>SUM(K71:M71)</f>
        <v>0</v>
      </c>
      <c r="K71" s="3350">
        <v>0</v>
      </c>
      <c r="L71" s="3350">
        <v>0</v>
      </c>
      <c r="M71" s="3351">
        <v>0</v>
      </c>
      <c r="N71" s="3341">
        <f>F71-SUM(G71:I71)</f>
        <v>0</v>
      </c>
    </row>
    <row r="72" spans="1:14" x14ac:dyDescent="0.25">
      <c r="A72" s="162"/>
      <c r="B72" s="49" t="s">
        <v>371</v>
      </c>
      <c r="C72" s="181">
        <v>336</v>
      </c>
      <c r="D72" s="181">
        <v>404</v>
      </c>
      <c r="E72" s="3335">
        <f>'B4-Amortization Exp'!F155*1000</f>
        <v>3664649.08</v>
      </c>
      <c r="F72" s="3420">
        <f>SUM(G72:I72)</f>
        <v>1472465.336227369</v>
      </c>
      <c r="G72" s="3421">
        <f>$E72*K72</f>
        <v>991987.04507240141</v>
      </c>
      <c r="H72" s="3421">
        <f t="shared" si="13"/>
        <v>278914.03830211982</v>
      </c>
      <c r="I72" s="3422">
        <f t="shared" si="13"/>
        <v>201564.25285284783</v>
      </c>
      <c r="J72" s="3423">
        <f>SUM(K72:M72)</f>
        <v>0.40180254755180245</v>
      </c>
      <c r="K72" s="3339">
        <f>VLOOKUP(302,'B4-Amortization Exp'!$K$155:$P$156,3,FALSE)</f>
        <v>0.27069086928028629</v>
      </c>
      <c r="L72" s="3339">
        <f>VLOOKUP(302,'B4-Amortization Exp'!$K$155:$P$156,4,FALSE)</f>
        <v>7.6109344227338629E-2</v>
      </c>
      <c r="M72" s="3340">
        <f>VLOOKUP(302,'B4-Amortization Exp'!$K$155:$P$156,5,FALSE)</f>
        <v>5.5002334044177523E-2</v>
      </c>
      <c r="N72" s="3341">
        <f>F72-SUM(G72:I72)</f>
        <v>0</v>
      </c>
    </row>
    <row r="73" spans="1:14" x14ac:dyDescent="0.25">
      <c r="A73" s="162"/>
      <c r="B73" s="49" t="s">
        <v>399</v>
      </c>
      <c r="C73" s="181">
        <v>336</v>
      </c>
      <c r="D73" s="181">
        <v>404</v>
      </c>
      <c r="E73" s="3335">
        <f>'B4-Amortization Exp'!F156*1000</f>
        <v>58423789.359999992</v>
      </c>
      <c r="F73" s="3336">
        <f t="shared" ref="F73:F86" si="14">SUM(G73:I73)</f>
        <v>23779220.607934885</v>
      </c>
      <c r="G73" s="3337">
        <f>$E73*K73</f>
        <v>16590565.169305241</v>
      </c>
      <c r="H73" s="3337">
        <f t="shared" si="13"/>
        <v>4240660.7055056198</v>
      </c>
      <c r="I73" s="3424">
        <f t="shared" si="13"/>
        <v>2947994.7331240252</v>
      </c>
      <c r="J73" s="3338">
        <f>SUM(K73:M73)</f>
        <v>0.40701263763311102</v>
      </c>
      <c r="K73" s="3339">
        <f>VLOOKUP(303,'B4-Amortization Exp'!$K$155:$P$156,3,FALSE)</f>
        <v>0.28396934452635858</v>
      </c>
      <c r="L73" s="3339">
        <f>VLOOKUP(303,'B4-Amortization Exp'!$K$155:$P$156,4,FALSE)</f>
        <v>7.2584485737054907E-2</v>
      </c>
      <c r="M73" s="3340">
        <f>VLOOKUP(303,'B4-Amortization Exp'!$K$155:$P$156,5,FALSE)</f>
        <v>5.0458807369697552E-2</v>
      </c>
      <c r="N73" s="3341">
        <f>F73-SUM(G73:I73)</f>
        <v>0</v>
      </c>
    </row>
    <row r="74" spans="1:14" x14ac:dyDescent="0.25">
      <c r="A74" s="162"/>
      <c r="B74" s="49" t="s">
        <v>88</v>
      </c>
      <c r="C74" s="181">
        <v>336</v>
      </c>
      <c r="D74" s="181">
        <v>403</v>
      </c>
      <c r="E74" s="3335">
        <f>SUMIFS('Pg 336 - Depreciation and Amort'!C:C,'Pg 336 - Depreciation and Amort'!B:B,B74)</f>
        <v>370620694</v>
      </c>
      <c r="F74" s="3336">
        <f t="shared" si="14"/>
        <v>141723842.23824352</v>
      </c>
      <c r="G74" s="3337">
        <f>SUMIFS('B3-Depreciation Exp'!G$332:G$337,'B3-Depreciation Exp'!$L$332:$L$337,"Steam")*1000</f>
        <v>95700713.023194417</v>
      </c>
      <c r="H74" s="3337">
        <f>SUMIFS('B3-Depreciation Exp'!H$332:H$337,'B3-Depreciation Exp'!$L$332:$L$337,"Steam")*1000</f>
        <v>26903947.661138371</v>
      </c>
      <c r="I74" s="3337">
        <f>SUMIFS('B3-Depreciation Exp'!I$332:I$337,'B3-Depreciation Exp'!$L$332:$L$337,"Steam")*1000</f>
        <v>19119181.553910729</v>
      </c>
      <c r="J74" s="3338">
        <f>F74/$E74</f>
        <v>0.38239592265790617</v>
      </c>
      <c r="K74" s="3339">
        <f>G74/$E74</f>
        <v>0.25821740278537825</v>
      </c>
      <c r="L74" s="3339">
        <f>H74/$E74</f>
        <v>7.2591595927286159E-2</v>
      </c>
      <c r="M74" s="3340">
        <f>I74/$E74</f>
        <v>5.1586923945241787E-2</v>
      </c>
      <c r="N74" s="3341">
        <f>F74-SUM(G74:I74)</f>
        <v>0</v>
      </c>
    </row>
    <row r="75" spans="1:14" x14ac:dyDescent="0.25">
      <c r="A75" s="162"/>
      <c r="B75" s="49" t="s">
        <v>89</v>
      </c>
      <c r="C75" s="181">
        <v>336</v>
      </c>
      <c r="D75" s="181">
        <v>403</v>
      </c>
      <c r="E75" s="3416">
        <f>SUMIFS('Pg 336 - Depreciation and Amort'!C:C,'Pg 336 - Depreciation and Amort'!B:B,B75)</f>
        <v>0</v>
      </c>
      <c r="F75" s="3347">
        <f t="shared" si="14"/>
        <v>0</v>
      </c>
      <c r="G75" s="3350">
        <v>0</v>
      </c>
      <c r="H75" s="3350">
        <v>0</v>
      </c>
      <c r="I75" s="3425">
        <v>0</v>
      </c>
      <c r="J75" s="3349">
        <v>0</v>
      </c>
      <c r="K75" s="3350">
        <v>0</v>
      </c>
      <c r="L75" s="3350">
        <v>0</v>
      </c>
      <c r="M75" s="3351">
        <v>0</v>
      </c>
    </row>
    <row r="76" spans="1:14" x14ac:dyDescent="0.25">
      <c r="A76" s="162"/>
      <c r="B76" s="49" t="s">
        <v>9961</v>
      </c>
      <c r="C76" s="181">
        <v>336</v>
      </c>
      <c r="D76" s="181">
        <v>403</v>
      </c>
      <c r="E76" s="3335">
        <f>SUMIFS('Pg 336 - Depreciation and Amort'!C:C,'Pg 336 - Depreciation and Amort'!B:B,B76)</f>
        <v>31053848</v>
      </c>
      <c r="F76" s="3336">
        <f t="shared" si="14"/>
        <v>12578940.113235414</v>
      </c>
      <c r="G76" s="3337">
        <f>SUMIFS('B3-Depreciation Exp'!G$332:G$337,'B3-Depreciation Exp'!$L$332:$L$337,"Hydro")*1000</f>
        <v>8493675.6243615691</v>
      </c>
      <c r="H76" s="3337">
        <f>SUMIFS('B3-Depreciation Exp'!H$332:H$337,'B3-Depreciation Exp'!$L$332:$L$337,"Hydro")*1000</f>
        <v>2388141.4381233766</v>
      </c>
      <c r="I76" s="3337">
        <f>SUMIFS('B3-Depreciation Exp'!I$332:I$337,'B3-Depreciation Exp'!$L$332:$L$337,"Hydro")*1000</f>
        <v>1697123.0507504684</v>
      </c>
      <c r="J76" s="3338">
        <f>F76/$E76</f>
        <v>0.40506864441519175</v>
      </c>
      <c r="K76" s="3339">
        <f>G76/$E76</f>
        <v>0.27351443287677485</v>
      </c>
      <c r="L76" s="3339">
        <f>H76/$E76</f>
        <v>7.6903237180892259E-2</v>
      </c>
      <c r="M76" s="3340">
        <f>I76/$E76</f>
        <v>5.4650974357524661E-2</v>
      </c>
      <c r="N76" s="3341">
        <f>F76-SUM(G76:I76)</f>
        <v>0</v>
      </c>
    </row>
    <row r="77" spans="1:14" x14ac:dyDescent="0.25">
      <c r="A77" s="162"/>
      <c r="B77" s="49" t="s">
        <v>9962</v>
      </c>
      <c r="C77" s="181">
        <v>336</v>
      </c>
      <c r="D77" s="181">
        <v>403</v>
      </c>
      <c r="E77" s="3416">
        <f>SUMIFS('Pg 336 - Depreciation and Amort'!C:C,'Pg 336 - Depreciation and Amort'!B:B,B77)</f>
        <v>0</v>
      </c>
      <c r="F77" s="3347">
        <f t="shared" si="14"/>
        <v>0</v>
      </c>
      <c r="G77" s="3350">
        <v>0</v>
      </c>
      <c r="H77" s="3350">
        <v>0</v>
      </c>
      <c r="I77" s="3425">
        <v>0</v>
      </c>
      <c r="J77" s="3349">
        <v>0</v>
      </c>
      <c r="K77" s="3350">
        <v>0</v>
      </c>
      <c r="L77" s="3350">
        <v>0</v>
      </c>
      <c r="M77" s="3351">
        <v>0</v>
      </c>
    </row>
    <row r="78" spans="1:14" x14ac:dyDescent="0.25">
      <c r="A78" s="162"/>
      <c r="B78" s="49" t="s">
        <v>137</v>
      </c>
      <c r="C78" s="181">
        <v>336</v>
      </c>
      <c r="D78" s="181">
        <v>403</v>
      </c>
      <c r="E78" s="3335">
        <f>SUMIFS('Pg 336 - Depreciation and Amort'!C:C,'Pg 336 - Depreciation and Amort'!B:B,B78)</f>
        <v>213540550</v>
      </c>
      <c r="F78" s="3336">
        <f t="shared" si="14"/>
        <v>86888185.679734245</v>
      </c>
      <c r="G78" s="3337">
        <f>SUMIFS('B3-Depreciation Exp'!G$332:G$337,'B3-Depreciation Exp'!$L$332:$L$337,"Other")*1000</f>
        <v>58669546.403009072</v>
      </c>
      <c r="H78" s="3337">
        <f>SUMIFS('B3-Depreciation Exp'!H$332:H$337,'B3-Depreciation Exp'!$L$332:$L$337,"Other")*1000</f>
        <v>16495896.8918026</v>
      </c>
      <c r="I78" s="3337">
        <f>SUMIFS('B3-Depreciation Exp'!I$332:I$337,'B3-Depreciation Exp'!$L$332:$L$337,"Other")*1000</f>
        <v>11722742.384922583</v>
      </c>
      <c r="J78" s="3338">
        <f t="shared" ref="J78:M81" si="15">F78/$E78</f>
        <v>0.40689314361948697</v>
      </c>
      <c r="K78" s="3339">
        <f t="shared" si="15"/>
        <v>0.27474662963549112</v>
      </c>
      <c r="L78" s="3339">
        <f t="shared" si="15"/>
        <v>7.7249482085733123E-2</v>
      </c>
      <c r="M78" s="3340">
        <f t="shared" si="15"/>
        <v>5.4897031898262803E-2</v>
      </c>
      <c r="N78" s="3341">
        <f>F78-SUM(G78:I78)</f>
        <v>0</v>
      </c>
    </row>
    <row r="79" spans="1:14" x14ac:dyDescent="0.25">
      <c r="A79" s="162"/>
      <c r="B79" s="49" t="s">
        <v>143</v>
      </c>
      <c r="C79" s="181">
        <v>336</v>
      </c>
      <c r="D79" s="181">
        <v>403</v>
      </c>
      <c r="E79" s="3335">
        <f>SUMIFS('Pg 336 - Depreciation and Amort'!C:C,'Pg 336 - Depreciation and Amort'!B:B,B79)</f>
        <v>139702687</v>
      </c>
      <c r="F79" s="3336">
        <f t="shared" si="14"/>
        <v>54962239.888260253</v>
      </c>
      <c r="G79" s="3337">
        <f>SUMIFS('B3-Depreciation Exp'!G$332:G$337,'B3-Depreciation Exp'!$L$332:$L$337,"Trans")*1000</f>
        <v>37112144.027781785</v>
      </c>
      <c r="H79" s="3337">
        <f>SUMIFS('B3-Depreciation Exp'!H$332:H$337,'B3-Depreciation Exp'!$L$332:$L$337,"Trans")*1000</f>
        <v>10434710.828388922</v>
      </c>
      <c r="I79" s="3337">
        <f>SUMIFS('B3-Depreciation Exp'!I$332:I$337,'B3-Depreciation Exp'!$L$332:$L$337,"Trans")*1000</f>
        <v>7415385.0320895454</v>
      </c>
      <c r="J79" s="3338">
        <f t="shared" si="15"/>
        <v>0.39342292599039452</v>
      </c>
      <c r="K79" s="3339">
        <f t="shared" si="15"/>
        <v>0.26565089637668732</v>
      </c>
      <c r="L79" s="3339">
        <f t="shared" si="15"/>
        <v>7.4692270080595674E-2</v>
      </c>
      <c r="M79" s="3340">
        <f t="shared" si="15"/>
        <v>5.3079759533111524E-2</v>
      </c>
      <c r="N79" s="3341">
        <f>F79-SUM(G79:I79)</f>
        <v>0</v>
      </c>
    </row>
    <row r="80" spans="1:14" x14ac:dyDescent="0.25">
      <c r="A80" s="162"/>
      <c r="B80" s="49" t="s">
        <v>470</v>
      </c>
      <c r="C80" s="181">
        <v>336</v>
      </c>
      <c r="D80" s="181">
        <v>403</v>
      </c>
      <c r="E80" s="3335">
        <f>SUMIFS('Pg 336 - Depreciation and Amort'!C:C,'Pg 336 - Depreciation and Amort'!B:B,B80)</f>
        <v>216914160</v>
      </c>
      <c r="F80" s="3336">
        <f t="shared" si="14"/>
        <v>85882444.570000008</v>
      </c>
      <c r="G80" s="3337">
        <f>SUMIFS('B3-Depreciation Exp'!G$332:G$337,'B3-Depreciation Exp'!$L$332:$L$337,"Dist")*1000</f>
        <v>58880053.190000005</v>
      </c>
      <c r="H80" s="3337">
        <f>SUMIFS('B3-Depreciation Exp'!H$332:H$337,'B3-Depreciation Exp'!$L$332:$L$337,"Dist")*1000</f>
        <v>15969425.99</v>
      </c>
      <c r="I80" s="3337">
        <f>SUMIFS('B3-Depreciation Exp'!I$332:I$337,'B3-Depreciation Exp'!$L$332:$L$337,"Dist")*1000</f>
        <v>11032965.389999999</v>
      </c>
      <c r="J80" s="3338">
        <f t="shared" si="15"/>
        <v>0.39592825369261281</v>
      </c>
      <c r="K80" s="3339">
        <f t="shared" si="15"/>
        <v>0.27144402739775036</v>
      </c>
      <c r="L80" s="3339">
        <f t="shared" si="15"/>
        <v>7.362094752136053E-2</v>
      </c>
      <c r="M80" s="3340">
        <f t="shared" si="15"/>
        <v>5.086327877350192E-2</v>
      </c>
      <c r="N80" s="3341">
        <f>F80-SUM(G80:I80)</f>
        <v>0</v>
      </c>
    </row>
    <row r="81" spans="1:21" x14ac:dyDescent="0.25">
      <c r="A81" s="162"/>
      <c r="B81" s="49" t="s">
        <v>92</v>
      </c>
      <c r="C81" s="181">
        <v>336</v>
      </c>
      <c r="D81" s="181">
        <v>403</v>
      </c>
      <c r="E81" s="3335">
        <f>SUMIFS('Pg 336 - Depreciation and Amort'!C:C,'Pg 336 - Depreciation and Amort'!B:B,B81)</f>
        <v>51650631</v>
      </c>
      <c r="F81" s="3336">
        <f t="shared" si="14"/>
        <v>20454459.004238889</v>
      </c>
      <c r="G81" s="3337">
        <f>SUMIFS('B3-Depreciation Exp'!G$332:G$337,'B3-Depreciation Exp'!$L$332:$L$337,"Gen")*1000</f>
        <v>14034427.388310339</v>
      </c>
      <c r="H81" s="3337">
        <f>SUMIFS('B3-Depreciation Exp'!H$332:H$337,'B3-Depreciation Exp'!$L$332:$L$337,"Gen")*1000</f>
        <v>3522778.4073893856</v>
      </c>
      <c r="I81" s="3337">
        <f>SUMIFS('B3-Depreciation Exp'!I$332:I$337,'B3-Depreciation Exp'!$L$332:$L$337,"Gen")*1000</f>
        <v>2897253.2085391637</v>
      </c>
      <c r="J81" s="3338">
        <f t="shared" si="15"/>
        <v>0.39601566540859662</v>
      </c>
      <c r="K81" s="3339">
        <f t="shared" si="15"/>
        <v>0.27171841111312539</v>
      </c>
      <c r="L81" s="3339">
        <f t="shared" si="15"/>
        <v>6.820397619903977E-2</v>
      </c>
      <c r="M81" s="3340">
        <f t="shared" si="15"/>
        <v>5.6093278096431456E-2</v>
      </c>
      <c r="N81" s="3341">
        <f>F81-SUM(G81:I81)</f>
        <v>0</v>
      </c>
    </row>
    <row r="82" spans="1:21" x14ac:dyDescent="0.25">
      <c r="A82" s="162"/>
      <c r="B82" s="49" t="s">
        <v>432</v>
      </c>
      <c r="C82" s="181">
        <v>336</v>
      </c>
      <c r="D82" s="186">
        <v>403</v>
      </c>
      <c r="E82" s="3416">
        <f>SUMIFS('Pg 336 - Depreciation and Amort'!C:C,'Pg 336 - Depreciation and Amort'!B:B,B82)</f>
        <v>0</v>
      </c>
      <c r="F82" s="3347">
        <f t="shared" si="14"/>
        <v>0</v>
      </c>
      <c r="G82" s="3350">
        <v>0</v>
      </c>
      <c r="H82" s="3350">
        <v>0</v>
      </c>
      <c r="I82" s="3425">
        <v>0</v>
      </c>
      <c r="J82" s="3349">
        <v>0</v>
      </c>
      <c r="K82" s="3350">
        <v>0</v>
      </c>
      <c r="L82" s="3350">
        <v>0</v>
      </c>
      <c r="M82" s="3351">
        <v>0</v>
      </c>
      <c r="P82" s="3426" t="s">
        <v>5585</v>
      </c>
      <c r="Q82" s="3427" t="s">
        <v>394</v>
      </c>
      <c r="R82" s="3427" t="s">
        <v>5586</v>
      </c>
      <c r="S82" s="3428" t="s">
        <v>392</v>
      </c>
    </row>
    <row r="83" spans="1:21" x14ac:dyDescent="0.25">
      <c r="A83" s="162"/>
      <c r="B83" s="49" t="s">
        <v>432</v>
      </c>
      <c r="C83" s="181">
        <v>336</v>
      </c>
      <c r="D83" s="186">
        <v>404</v>
      </c>
      <c r="E83" s="3416">
        <v>0</v>
      </c>
      <c r="F83" s="3347">
        <f t="shared" si="14"/>
        <v>0</v>
      </c>
      <c r="G83" s="3350">
        <v>0</v>
      </c>
      <c r="H83" s="3350">
        <v>0</v>
      </c>
      <c r="I83" s="3425">
        <v>0</v>
      </c>
      <c r="J83" s="3349">
        <v>0</v>
      </c>
      <c r="K83" s="3350">
        <v>0</v>
      </c>
      <c r="L83" s="3350">
        <v>0</v>
      </c>
      <c r="M83" s="3351">
        <v>0</v>
      </c>
      <c r="O83" s="3429">
        <f>(E95+E97)*J85</f>
        <v>244844.28287483429</v>
      </c>
      <c r="P83" s="3430" t="s">
        <v>394</v>
      </c>
      <c r="Q83" s="3431">
        <f>IF($P83="PROD",$O83*Q$94,IF($P83="GP",$O83*Q$95,0))</f>
        <v>244844.28287483429</v>
      </c>
      <c r="R83" s="3431">
        <f t="shared" ref="R83:S86" si="16">IF($P83="PROD",$O83*R$94,IF($P83="GP",$O83*R$95,0))</f>
        <v>0</v>
      </c>
      <c r="S83" s="3431">
        <f t="shared" si="16"/>
        <v>0</v>
      </c>
      <c r="T83" s="3431">
        <f>SUM(Q83:S83)</f>
        <v>244844.28287483429</v>
      </c>
    </row>
    <row r="84" spans="1:21" x14ac:dyDescent="0.25">
      <c r="A84" s="162"/>
      <c r="B84" s="49" t="s">
        <v>564</v>
      </c>
      <c r="C84" s="181">
        <v>336</v>
      </c>
      <c r="D84" s="606">
        <v>403.1</v>
      </c>
      <c r="E84" s="3416">
        <v>0</v>
      </c>
      <c r="F84" s="3347">
        <f t="shared" si="14"/>
        <v>0</v>
      </c>
      <c r="G84" s="3350">
        <v>0</v>
      </c>
      <c r="H84" s="3350">
        <v>0</v>
      </c>
      <c r="I84" s="3425">
        <v>0</v>
      </c>
      <c r="J84" s="3349">
        <v>0</v>
      </c>
      <c r="K84" s="3350">
        <v>0</v>
      </c>
      <c r="L84" s="3350">
        <v>0</v>
      </c>
      <c r="M84" s="3351">
        <v>0</v>
      </c>
      <c r="O84" s="3429">
        <f>E96*J85</f>
        <v>423482.47764611657</v>
      </c>
      <c r="P84" s="3430" t="s">
        <v>91</v>
      </c>
      <c r="Q84" s="3431">
        <f>IF($P84="PROD",$O84*Q$94,IF($P84="GP",$O84*Q$95,0))</f>
        <v>135763.53985936672</v>
      </c>
      <c r="R84" s="3431">
        <f t="shared" si="16"/>
        <v>0</v>
      </c>
      <c r="S84" s="3431">
        <f t="shared" si="16"/>
        <v>287718.93778674991</v>
      </c>
      <c r="T84" s="3431">
        <f>SUM(Q84:S84)</f>
        <v>423482.47764611663</v>
      </c>
    </row>
    <row r="85" spans="1:21" x14ac:dyDescent="0.25">
      <c r="A85" s="162"/>
      <c r="B85" s="49" t="s">
        <v>565</v>
      </c>
      <c r="C85" s="181">
        <v>336</v>
      </c>
      <c r="D85" s="186">
        <v>404</v>
      </c>
      <c r="E85" s="3335">
        <f>'Pg 336 - Depreciation and Amort'!E12+'Pg 336 - Depreciation and Amort'!E18+'Pg 336 - Depreciation and Amort'!E14</f>
        <v>1063733</v>
      </c>
      <c r="F85" s="3336">
        <f t="shared" si="14"/>
        <v>668326.76052095089</v>
      </c>
      <c r="G85" s="3337">
        <f>G98</f>
        <v>454183.99457828631</v>
      </c>
      <c r="H85" s="3337">
        <f>H98</f>
        <v>122178.22876754958</v>
      </c>
      <c r="I85" s="3337">
        <f>I98</f>
        <v>91964.537175114907</v>
      </c>
      <c r="J85" s="3338">
        <f>F85/$E85</f>
        <v>0.62828431619678138</v>
      </c>
      <c r="K85" s="3432">
        <f>K76*($E$95/$E$98)+K81*($E$96/$E$98)</f>
        <v>0.25287973937546004</v>
      </c>
      <c r="L85" s="3432">
        <f>L76*($E$95/$E$98)+L81*($E$96/$E$98)</f>
        <v>6.5909171152256141E-2</v>
      </c>
      <c r="M85" s="3340">
        <f>M76*($E$95/$E$98)+M81*($E$96/$E$98)</f>
        <v>5.1669254187591079E-2</v>
      </c>
      <c r="N85" s="3341">
        <f>F85-SUM(G85:I85)</f>
        <v>0</v>
      </c>
      <c r="O85" s="3429">
        <f>SUM(O83:O84)</f>
        <v>668326.76052095089</v>
      </c>
      <c r="P85" s="3433">
        <f>O85-F85</f>
        <v>0</v>
      </c>
      <c r="Q85" s="3431">
        <f>SUM(Q83:Q84)</f>
        <v>380607.82273420098</v>
      </c>
      <c r="R85" s="3431">
        <f>SUM(R83:R84)</f>
        <v>0</v>
      </c>
      <c r="S85" s="3431">
        <f>SUM(S83:S84)</f>
        <v>287718.93778674991</v>
      </c>
      <c r="T85" s="3434">
        <f>SUM(T83:T84)</f>
        <v>668326.76052095089</v>
      </c>
      <c r="U85" s="3435">
        <f>O85-T85</f>
        <v>0</v>
      </c>
    </row>
    <row r="86" spans="1:21" x14ac:dyDescent="0.25">
      <c r="A86" s="162"/>
      <c r="B86" s="49" t="s">
        <v>30</v>
      </c>
      <c r="C86" s="181" t="s">
        <v>69</v>
      </c>
      <c r="D86" s="186">
        <v>406</v>
      </c>
      <c r="E86" s="3335">
        <f>'B4-Amortization Exp'!F118*1000</f>
        <v>75351.34</v>
      </c>
      <c r="F86" s="3336">
        <f t="shared" si="14"/>
        <v>30235.05476747407</v>
      </c>
      <c r="G86" s="3337">
        <f>'B4-Amortization Exp'!G118*1000</f>
        <v>20415.610963083076</v>
      </c>
      <c r="H86" s="3337">
        <f>'B4-Amortization Exp'!H118*1000</f>
        <v>5740.1964334150471</v>
      </c>
      <c r="I86" s="3376">
        <f>'B4-Amortization Exp'!I118*1000</f>
        <v>4079.2473709759456</v>
      </c>
      <c r="J86" s="3338">
        <f>F86/$E86</f>
        <v>0.40125437407581699</v>
      </c>
      <c r="K86" s="3339">
        <f t="shared" ref="K86:M87" si="17">G86/$E86</f>
        <v>0.27093892375481415</v>
      </c>
      <c r="L86" s="3339">
        <f t="shared" si="17"/>
        <v>7.6179088963979236E-2</v>
      </c>
      <c r="M86" s="3340">
        <f t="shared" si="17"/>
        <v>5.4136361357023585E-2</v>
      </c>
      <c r="N86" s="3341">
        <f>F86-SUM(G86:I86)</f>
        <v>0</v>
      </c>
      <c r="O86" s="3429">
        <f>F86</f>
        <v>30235.05476747407</v>
      </c>
      <c r="P86" s="3430" t="s">
        <v>394</v>
      </c>
      <c r="Q86" s="3431">
        <f>IF($P86="PROD",$O86*Q$94,IF($P86="GP",$O86*Q$95,0))</f>
        <v>30235.05476747407</v>
      </c>
      <c r="R86" s="3431">
        <f t="shared" si="16"/>
        <v>0</v>
      </c>
      <c r="S86" s="3431">
        <f t="shared" si="16"/>
        <v>0</v>
      </c>
      <c r="T86" s="3431">
        <f>SUM(Q86:S86)</f>
        <v>30235.05476747407</v>
      </c>
      <c r="U86" s="3341"/>
    </row>
    <row r="87" spans="1:21" x14ac:dyDescent="0.25">
      <c r="A87" s="163" t="s">
        <v>471</v>
      </c>
      <c r="B87" s="31"/>
      <c r="C87" s="491"/>
      <c r="D87" s="491"/>
      <c r="E87" s="3359">
        <f>SUM(E71:E86)</f>
        <v>1086710092.78</v>
      </c>
      <c r="F87" s="3360">
        <f>SUM(F71:F86)</f>
        <v>428440359.25316298</v>
      </c>
      <c r="G87" s="3361">
        <f>SUM(G71:G86)</f>
        <v>290947711.47657621</v>
      </c>
      <c r="H87" s="3361">
        <f>SUM(H71:H86)</f>
        <v>80362394.385851353</v>
      </c>
      <c r="I87" s="3362">
        <f>SUM(I71:I86)</f>
        <v>57130253.390735447</v>
      </c>
      <c r="J87" s="3363">
        <f>F87/$E87</f>
        <v>0.3942545137840171</v>
      </c>
      <c r="K87" s="3365">
        <f t="shared" si="17"/>
        <v>0.26773259345763467</v>
      </c>
      <c r="L87" s="3365">
        <f t="shared" si="17"/>
        <v>7.3950168420972226E-2</v>
      </c>
      <c r="M87" s="3366">
        <f t="shared" si="17"/>
        <v>5.2571751905410191E-2</v>
      </c>
    </row>
    <row r="88" spans="1:21" x14ac:dyDescent="0.25">
      <c r="A88" s="169"/>
      <c r="B88" s="31"/>
      <c r="C88" s="8"/>
      <c r="D88" s="34"/>
      <c r="E88" s="3436"/>
      <c r="F88" s="3437"/>
      <c r="G88" s="3438"/>
      <c r="H88" s="3438"/>
      <c r="I88" s="3439"/>
      <c r="J88" s="3436"/>
      <c r="K88" s="3438"/>
      <c r="L88" s="3438"/>
      <c r="M88" s="3440"/>
    </row>
    <row r="89" spans="1:21" x14ac:dyDescent="0.25">
      <c r="A89" s="3441"/>
      <c r="B89" s="3242"/>
      <c r="C89" s="3242"/>
      <c r="D89" s="3242"/>
      <c r="E89" s="3442"/>
      <c r="F89" s="3443"/>
      <c r="G89" s="3444"/>
      <c r="H89" s="3444"/>
      <c r="I89" s="3445"/>
      <c r="J89" s="3442"/>
      <c r="K89" s="3444"/>
      <c r="L89" s="3444"/>
      <c r="M89" s="3446"/>
    </row>
    <row r="90" spans="1:21" x14ac:dyDescent="0.25">
      <c r="A90" s="163" t="s">
        <v>50</v>
      </c>
      <c r="B90" s="32"/>
      <c r="C90" s="491"/>
      <c r="D90" s="491"/>
      <c r="E90" s="3359">
        <f>E67+E87</f>
        <v>6720018427.3999996</v>
      </c>
      <c r="F90" s="3360">
        <f>F67+F87</f>
        <v>2923423414.9266486</v>
      </c>
      <c r="G90" s="3361">
        <f>G67+G87</f>
        <v>2026370039.6316595</v>
      </c>
      <c r="H90" s="3361">
        <f>H67+H87</f>
        <v>525958980.32601416</v>
      </c>
      <c r="I90" s="3362">
        <f>I67+I87</f>
        <v>371094394.96897554</v>
      </c>
      <c r="J90" s="3363">
        <f>F90/$E90</f>
        <v>0.43503205333586148</v>
      </c>
      <c r="K90" s="3365">
        <f>G90/$E90</f>
        <v>0.301542333778342</v>
      </c>
      <c r="L90" s="3365">
        <f>H90/$E90</f>
        <v>7.8267490782686688E-2</v>
      </c>
      <c r="M90" s="3366">
        <f>I90/$E90</f>
        <v>5.522222877483289E-2</v>
      </c>
    </row>
    <row r="91" spans="1:21" ht="16.5" thickBot="1" x14ac:dyDescent="0.3">
      <c r="A91" s="172" t="s">
        <v>205</v>
      </c>
      <c r="B91" s="173"/>
      <c r="C91" s="174"/>
      <c r="D91" s="174"/>
      <c r="E91" s="3447"/>
      <c r="F91" s="3448"/>
      <c r="G91" s="3449"/>
      <c r="H91" s="3449"/>
      <c r="I91" s="3450"/>
      <c r="J91" s="3447"/>
      <c r="K91" s="3449"/>
      <c r="L91" s="3449"/>
      <c r="M91" s="3451"/>
    </row>
    <row r="92" spans="1:21" ht="16.5" thickTop="1" x14ac:dyDescent="0.25">
      <c r="E92" s="3410"/>
      <c r="F92" s="3410"/>
      <c r="G92" s="3410"/>
      <c r="H92" s="3410"/>
      <c r="I92" s="3410"/>
      <c r="J92" s="3410"/>
    </row>
    <row r="93" spans="1:21" x14ac:dyDescent="0.25">
      <c r="E93" s="3410"/>
      <c r="F93" s="3410"/>
      <c r="G93" s="3410"/>
      <c r="H93" s="3410"/>
      <c r="I93" s="3410"/>
      <c r="J93" s="3410"/>
    </row>
    <row r="94" spans="1:21" x14ac:dyDescent="0.25">
      <c r="E94" s="3452" t="s">
        <v>12458</v>
      </c>
      <c r="F94" s="3410"/>
      <c r="G94" s="3410"/>
      <c r="H94" s="3410"/>
      <c r="I94" s="3410"/>
      <c r="J94" s="3410"/>
      <c r="P94" s="3453" t="s">
        <v>394</v>
      </c>
      <c r="Q94" s="3454">
        <v>1</v>
      </c>
      <c r="R94" s="3454">
        <v>0</v>
      </c>
      <c r="S94" s="3454">
        <v>0</v>
      </c>
      <c r="T94" s="3454">
        <f>SUM(Q94:S94)</f>
        <v>1</v>
      </c>
    </row>
    <row r="95" spans="1:21" x14ac:dyDescent="0.25">
      <c r="D95" s="3249" t="s">
        <v>12459</v>
      </c>
      <c r="E95" s="3335">
        <f>'Pg 336 - Depreciation and Amort'!E12</f>
        <v>313878</v>
      </c>
      <c r="F95" s="3336">
        <f>$E$95*J95</f>
        <v>127142.13597175156</v>
      </c>
      <c r="G95" s="3336">
        <f>$E$95*K95</f>
        <v>85850.163162496334</v>
      </c>
      <c r="H95" s="3336">
        <f>$E$95*L95</f>
        <v>24138.2342798641</v>
      </c>
      <c r="I95" s="3336">
        <f>$E$95*M95</f>
        <v>17153.738529391125</v>
      </c>
      <c r="J95" s="3455">
        <f>J76</f>
        <v>0.40506864441519175</v>
      </c>
      <c r="K95" s="3455">
        <f>K76</f>
        <v>0.27351443287677485</v>
      </c>
      <c r="L95" s="3455">
        <f>L76</f>
        <v>7.6903237180892259E-2</v>
      </c>
      <c r="M95" s="3455">
        <f>M76</f>
        <v>5.4650974357524661E-2</v>
      </c>
      <c r="P95" s="3456" t="s">
        <v>91</v>
      </c>
      <c r="Q95" s="3454">
        <f>Ratios!E82</f>
        <v>0.32058832897642964</v>
      </c>
      <c r="R95" s="3454">
        <f>Ratios!F82</f>
        <v>0</v>
      </c>
      <c r="S95" s="3454">
        <f>Ratios!G82</f>
        <v>0.67941167102357047</v>
      </c>
      <c r="T95" s="3454">
        <f>SUM(Q95:S95)</f>
        <v>1</v>
      </c>
    </row>
    <row r="96" spans="1:21" x14ac:dyDescent="0.25">
      <c r="D96" s="3249" t="s">
        <v>12460</v>
      </c>
      <c r="E96" s="3335">
        <f>'Pg 336 - Depreciation and Amort'!E18</f>
        <v>674030</v>
      </c>
      <c r="F96" s="3336">
        <f t="shared" ref="F96:I97" si="18">$E$96*J96</f>
        <v>266926.43895535637</v>
      </c>
      <c r="G96" s="3336">
        <f t="shared" si="18"/>
        <v>183146.36064257991</v>
      </c>
      <c r="H96" s="3336">
        <f t="shared" si="18"/>
        <v>45971.526077438779</v>
      </c>
      <c r="I96" s="3336">
        <f t="shared" si="18"/>
        <v>37808.552235337695</v>
      </c>
      <c r="J96" s="3455">
        <f>J81</f>
        <v>0.39601566540859662</v>
      </c>
      <c r="K96" s="3455">
        <f>K81</f>
        <v>0.27171841111312539</v>
      </c>
      <c r="L96" s="3455">
        <f>L81</f>
        <v>6.820397619903977E-2</v>
      </c>
      <c r="M96" s="3455">
        <f>M81</f>
        <v>5.6093278096431456E-2</v>
      </c>
    </row>
    <row r="97" spans="1:14" x14ac:dyDescent="0.25">
      <c r="D97" s="3249" t="s">
        <v>12461</v>
      </c>
      <c r="E97" s="3335">
        <f>'Pg 336 - Depreciation and Amort'!E14</f>
        <v>75825</v>
      </c>
      <c r="F97" s="3336">
        <f t="shared" si="18"/>
        <v>274258.18559384282</v>
      </c>
      <c r="G97" s="3336">
        <f t="shared" si="18"/>
        <v>185187.47077321008</v>
      </c>
      <c r="H97" s="3336">
        <f t="shared" si="18"/>
        <v>52068.4684102467</v>
      </c>
      <c r="I97" s="3336">
        <f t="shared" si="18"/>
        <v>37002.246410386077</v>
      </c>
      <c r="J97" s="3455">
        <f>J78</f>
        <v>0.40689314361948697</v>
      </c>
      <c r="K97" s="3455">
        <f t="shared" ref="K97:M97" si="19">K78</f>
        <v>0.27474662963549112</v>
      </c>
      <c r="L97" s="3455">
        <f t="shared" si="19"/>
        <v>7.7249482085733123E-2</v>
      </c>
      <c r="M97" s="3455">
        <f t="shared" si="19"/>
        <v>5.4897031898262803E-2</v>
      </c>
    </row>
    <row r="98" spans="1:14" x14ac:dyDescent="0.25">
      <c r="D98" s="3249" t="s">
        <v>12462</v>
      </c>
      <c r="E98" s="3335">
        <f>SUM(E95:E97)</f>
        <v>1063733</v>
      </c>
      <c r="F98" s="3336">
        <f t="shared" ref="F98:I98" si="20">SUM(F95:F97)</f>
        <v>668326.76052095066</v>
      </c>
      <c r="G98" s="3336">
        <f t="shared" si="20"/>
        <v>454183.99457828631</v>
      </c>
      <c r="H98" s="3336">
        <f t="shared" si="20"/>
        <v>122178.22876754958</v>
      </c>
      <c r="I98" s="3336">
        <f t="shared" si="20"/>
        <v>91964.537175114907</v>
      </c>
      <c r="J98" s="3410"/>
    </row>
    <row r="99" spans="1:14" x14ac:dyDescent="0.25">
      <c r="E99" s="3410"/>
      <c r="F99" s="3410"/>
      <c r="G99" s="3410"/>
      <c r="H99" s="3410"/>
      <c r="I99" s="3410"/>
      <c r="J99" s="3410"/>
    </row>
    <row r="100" spans="1:14" x14ac:dyDescent="0.25">
      <c r="E100" s="3410"/>
      <c r="F100" s="3410"/>
      <c r="G100" s="3410"/>
      <c r="H100" s="3410"/>
      <c r="I100" s="3410"/>
      <c r="J100" s="3410"/>
    </row>
    <row r="101" spans="1:14" x14ac:dyDescent="0.25">
      <c r="E101" s="3410"/>
      <c r="F101" s="3410"/>
      <c r="G101" s="3410"/>
      <c r="H101" s="3410"/>
      <c r="I101" s="3410"/>
      <c r="J101" s="3410"/>
    </row>
    <row r="102" spans="1:14" x14ac:dyDescent="0.25">
      <c r="E102" s="3410"/>
      <c r="F102" s="3410"/>
      <c r="G102" s="3410"/>
      <c r="H102" s="3410"/>
      <c r="I102" s="3410"/>
      <c r="J102" s="3410"/>
    </row>
    <row r="103" spans="1:14" x14ac:dyDescent="0.25">
      <c r="E103" s="3410"/>
      <c r="F103" s="3410"/>
      <c r="G103" s="3410"/>
      <c r="H103" s="3410"/>
      <c r="I103" s="3410"/>
      <c r="J103" s="3410"/>
    </row>
    <row r="104" spans="1:14" s="3410" customFormat="1" x14ac:dyDescent="0.25">
      <c r="A104" s="2472"/>
      <c r="B104" s="2472"/>
      <c r="C104" s="2472"/>
      <c r="D104" s="2472"/>
      <c r="F104" s="3457">
        <f>F26</f>
        <v>1253787177.4169254</v>
      </c>
      <c r="K104" s="2472"/>
      <c r="L104" s="2472"/>
      <c r="M104" s="2472"/>
      <c r="N104" s="2472"/>
    </row>
    <row r="105" spans="1:14" x14ac:dyDescent="0.25">
      <c r="E105" s="3410"/>
      <c r="F105" s="3457">
        <f>F32</f>
        <v>103453255.75588429</v>
      </c>
      <c r="G105" s="3410"/>
      <c r="H105" s="3410"/>
      <c r="I105" s="3410"/>
      <c r="J105" s="3410"/>
    </row>
    <row r="106" spans="1:14" x14ac:dyDescent="0.25">
      <c r="E106" s="3410"/>
      <c r="F106" s="3458">
        <f>F37</f>
        <v>178080286.94799274</v>
      </c>
      <c r="G106" s="3410"/>
      <c r="H106" s="3410"/>
      <c r="I106" s="3410"/>
      <c r="J106" s="3410"/>
    </row>
    <row r="107" spans="1:14" x14ac:dyDescent="0.25">
      <c r="E107" s="3410"/>
      <c r="F107" s="3457">
        <f>F45</f>
        <v>143324807.44432506</v>
      </c>
      <c r="G107" s="3410"/>
      <c r="H107" s="3410"/>
      <c r="I107" s="3410"/>
      <c r="J107" s="3410"/>
    </row>
    <row r="108" spans="1:14" x14ac:dyDescent="0.25">
      <c r="E108" s="3410"/>
      <c r="F108" s="3457">
        <f>F65</f>
        <v>816337528.10835838</v>
      </c>
      <c r="G108" s="3410"/>
      <c r="H108" s="3410"/>
      <c r="I108" s="3410"/>
      <c r="J108" s="3410"/>
    </row>
    <row r="109" spans="1:14" x14ac:dyDescent="0.25">
      <c r="E109" s="3410"/>
      <c r="F109" s="3459">
        <f>F6+F10+F17+F21+F24+F25</f>
        <v>1042380291.6272492</v>
      </c>
      <c r="G109" s="3410"/>
      <c r="H109" s="3410"/>
      <c r="I109" s="3410"/>
      <c r="J109" s="3410"/>
    </row>
    <row r="110" spans="1:14" x14ac:dyDescent="0.25">
      <c r="E110" s="3410"/>
      <c r="F110" s="3410"/>
      <c r="G110" s="3410"/>
      <c r="H110" s="3410"/>
      <c r="I110" s="3410"/>
      <c r="J110" s="3410"/>
    </row>
    <row r="111" spans="1:14" x14ac:dyDescent="0.25">
      <c r="E111" s="3410"/>
      <c r="F111" s="3410"/>
      <c r="G111" s="3410"/>
      <c r="H111" s="3410"/>
      <c r="I111" s="3410"/>
      <c r="J111" s="3410"/>
    </row>
  </sheetData>
  <mergeCells count="6">
    <mergeCell ref="F70:I70"/>
    <mergeCell ref="A1:B3"/>
    <mergeCell ref="F2:I2"/>
    <mergeCell ref="J2:M2"/>
    <mergeCell ref="C25:D25"/>
    <mergeCell ref="F69:I69"/>
  </mergeCells>
  <hyperlinks>
    <hyperlink ref="O2" location="TOC!A1" display="TOC" xr:uid="{0813C111-046F-4EE3-9DC3-F68205D3231B}"/>
    <hyperlink ref="O3" location="'B TABS DATA -&gt;'!A1" display="BTABS" xr:uid="{639D9B71-33E2-4F2C-A251-441F05A498F9}"/>
    <hyperlink ref="O4" location="'FF1 DATA -&gt;'!A1" display="FF1" xr:uid="{7FADB4A2-3AC0-41D6-A2AB-69726703237A}"/>
  </hyperlinks>
  <printOptions horizontalCentered="1" headings="1"/>
  <pageMargins left="0.5" right="0.5" top="0.75" bottom="0.55000000000000004" header="0.25" footer="0.25"/>
  <pageSetup scale="75" fitToHeight="3" orientation="landscape" r:id="rId1"/>
  <headerFooter alignWithMargins="0">
    <oddFooter>&amp;LFY 2020-2021 ASC Filing
&amp;F&amp;CPage &amp;P of &amp;N&amp;R&amp;A
&amp;D</oddFooter>
  </headerFooter>
  <rowBreaks count="2" manualBreakCount="2">
    <brk id="33" max="16383" man="1"/>
    <brk id="66" max="16383" man="1"/>
  </rowBreaks>
  <customProperties>
    <customPr name="_pios_id" r:id="rId2"/>
  </customProperties>
  <legacyDrawing r:id="rId3"/>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3D4A7A-6D02-4EE3-BE6F-1622A3C2244D}">
  <sheetPr>
    <tabColor rgb="FF00B0F0"/>
  </sheetPr>
  <dimension ref="A1:C25"/>
  <sheetViews>
    <sheetView zoomScale="85" zoomScaleNormal="85" workbookViewId="0">
      <selection activeCell="G42" sqref="G42"/>
    </sheetView>
  </sheetViews>
  <sheetFormatPr defaultColWidth="9" defaultRowHeight="15.75" x14ac:dyDescent="0.25"/>
  <cols>
    <col min="1" max="1" width="9" style="2472"/>
    <col min="2" max="2" width="20" style="2472" customWidth="1"/>
    <col min="3" max="3" width="7.625" style="2472" customWidth="1"/>
    <col min="4" max="16384" width="9" style="2472"/>
  </cols>
  <sheetData>
    <row r="1" spans="1:3" x14ac:dyDescent="0.25">
      <c r="A1" s="2470" t="s">
        <v>12463</v>
      </c>
      <c r="B1" s="2471"/>
      <c r="C1" s="2471"/>
    </row>
    <row r="2" spans="1:3" x14ac:dyDescent="0.25">
      <c r="A2" s="2473" t="s">
        <v>12464</v>
      </c>
      <c r="B2" s="2471"/>
      <c r="C2" s="2471"/>
    </row>
    <row r="3" spans="1:3" x14ac:dyDescent="0.25">
      <c r="A3" s="2473" t="s">
        <v>12465</v>
      </c>
      <c r="B3" s="2471"/>
      <c r="C3" s="2471"/>
    </row>
    <row r="4" spans="1:3" ht="16.5" thickBot="1" x14ac:dyDescent="0.3">
      <c r="A4" s="2471"/>
      <c r="B4" s="2471"/>
      <c r="C4" s="2471"/>
    </row>
    <row r="5" spans="1:3" ht="16.5" thickBot="1" x14ac:dyDescent="0.3">
      <c r="A5" s="3460">
        <v>1</v>
      </c>
      <c r="B5" s="2477" t="s">
        <v>12466</v>
      </c>
      <c r="C5" s="3461" t="s">
        <v>695</v>
      </c>
    </row>
    <row r="6" spans="1:3" ht="16.5" thickBot="1" x14ac:dyDescent="0.3">
      <c r="A6" s="3460">
        <v>2</v>
      </c>
      <c r="B6" s="2477" t="s">
        <v>12467</v>
      </c>
      <c r="C6" s="3462" t="s">
        <v>12448</v>
      </c>
    </row>
    <row r="7" spans="1:3" x14ac:dyDescent="0.25">
      <c r="A7" s="3460">
        <v>3</v>
      </c>
      <c r="B7" s="2477" t="s">
        <v>12468</v>
      </c>
      <c r="C7" s="2471"/>
    </row>
    <row r="8" spans="1:3" x14ac:dyDescent="0.25">
      <c r="A8" s="3460">
        <v>4</v>
      </c>
      <c r="B8" s="2477" t="s">
        <v>12469</v>
      </c>
      <c r="C8" s="2471"/>
    </row>
    <row r="9" spans="1:3" x14ac:dyDescent="0.25">
      <c r="A9" s="3460">
        <v>5</v>
      </c>
      <c r="B9" s="2477" t="s">
        <v>12470</v>
      </c>
      <c r="C9" s="2471"/>
    </row>
    <row r="10" spans="1:3" x14ac:dyDescent="0.25">
      <c r="A10" s="3460">
        <v>6</v>
      </c>
      <c r="B10" s="3463" t="s">
        <v>12471</v>
      </c>
      <c r="C10" s="2471"/>
    </row>
    <row r="11" spans="1:3" x14ac:dyDescent="0.25">
      <c r="A11" s="3460">
        <v>7</v>
      </c>
      <c r="B11" s="3463" t="s">
        <v>12472</v>
      </c>
      <c r="C11" s="2471"/>
    </row>
    <row r="12" spans="1:3" x14ac:dyDescent="0.25">
      <c r="A12" s="3460">
        <v>8</v>
      </c>
      <c r="B12" s="3463" t="s">
        <v>12473</v>
      </c>
      <c r="C12" s="2471"/>
    </row>
    <row r="13" spans="1:3" x14ac:dyDescent="0.25">
      <c r="A13" s="3460">
        <v>9</v>
      </c>
      <c r="B13" s="2477" t="s">
        <v>12474</v>
      </c>
      <c r="C13" s="2471"/>
    </row>
    <row r="14" spans="1:3" x14ac:dyDescent="0.25">
      <c r="A14" s="3460">
        <v>10</v>
      </c>
      <c r="B14" s="3463" t="s">
        <v>12475</v>
      </c>
      <c r="C14" s="2471"/>
    </row>
    <row r="15" spans="1:3" x14ac:dyDescent="0.25">
      <c r="A15" s="3460">
        <v>11</v>
      </c>
      <c r="B15" s="2477" t="s">
        <v>12476</v>
      </c>
      <c r="C15" s="2471"/>
    </row>
    <row r="16" spans="1:3" x14ac:dyDescent="0.25">
      <c r="A16" s="3460">
        <v>12</v>
      </c>
      <c r="B16" s="2477" t="s">
        <v>12477</v>
      </c>
      <c r="C16" s="2471"/>
    </row>
    <row r="17" spans="1:3" x14ac:dyDescent="0.25">
      <c r="A17" s="3460">
        <v>13</v>
      </c>
      <c r="B17" s="2477" t="s">
        <v>12478</v>
      </c>
      <c r="C17" s="2471"/>
    </row>
    <row r="18" spans="1:3" x14ac:dyDescent="0.25">
      <c r="A18" s="3460">
        <v>14</v>
      </c>
      <c r="B18" s="3463" t="s">
        <v>12479</v>
      </c>
      <c r="C18" s="2471"/>
    </row>
    <row r="19" spans="1:3" x14ac:dyDescent="0.25">
      <c r="A19" s="3460">
        <v>15</v>
      </c>
      <c r="B19" s="2477" t="s">
        <v>12480</v>
      </c>
      <c r="C19" s="2471"/>
    </row>
    <row r="20" spans="1:3" x14ac:dyDescent="0.25">
      <c r="A20" s="3460">
        <v>16</v>
      </c>
      <c r="B20" s="2477" t="s">
        <v>12481</v>
      </c>
      <c r="C20" s="2471"/>
    </row>
    <row r="21" spans="1:3" x14ac:dyDescent="0.25">
      <c r="A21" s="3460">
        <v>17</v>
      </c>
      <c r="B21" s="2477" t="s">
        <v>12482</v>
      </c>
      <c r="C21" s="2471"/>
    </row>
    <row r="22" spans="1:3" x14ac:dyDescent="0.25">
      <c r="A22" s="3460">
        <v>18</v>
      </c>
      <c r="B22" s="2477" t="s">
        <v>12483</v>
      </c>
      <c r="C22" s="2471"/>
    </row>
    <row r="23" spans="1:3" x14ac:dyDescent="0.25">
      <c r="A23" s="3460">
        <v>19</v>
      </c>
      <c r="B23" s="2477" t="s">
        <v>12484</v>
      </c>
      <c r="C23" s="2471"/>
    </row>
    <row r="24" spans="1:3" x14ac:dyDescent="0.25">
      <c r="A24" s="3460">
        <v>20</v>
      </c>
      <c r="B24" s="2477" t="s">
        <v>12485</v>
      </c>
      <c r="C24" s="2471"/>
    </row>
    <row r="25" spans="1:3" x14ac:dyDescent="0.25">
      <c r="A25" s="3460">
        <v>21</v>
      </c>
      <c r="B25" s="2477" t="s">
        <v>12486</v>
      </c>
      <c r="C25" s="2471"/>
    </row>
  </sheetData>
  <hyperlinks>
    <hyperlink ref="B5" location="'B1-Electric Ops Rvn'!A1" display="B1-Revenues" xr:uid="{101E7AC8-BD3F-40FD-83C7-0A7C39F429C4}"/>
    <hyperlink ref="B6" location="'B2-O&amp;M'!A1" display="B2-O&amp;M" xr:uid="{06CEB9E8-3546-4C2E-BB80-67D7DE3915F4}"/>
    <hyperlink ref="B7" location="'B3-Depreciation Exp'!A1" display="B3-Depreciation Exp" xr:uid="{AB71F130-8A03-4B9E-9ED5-E5E6C0C9B347}"/>
    <hyperlink ref="B8" location="'B4-Amortization Exp'!A1" display="B4-Amortization Exp" xr:uid="{02287AF9-A842-44CD-A8DE-DC5CF5B61D99}"/>
    <hyperlink ref="B9" location="'B5-Taxes Other Than Income'!A1" display="B5-Taxes Other" xr:uid="{1FA093F5-90F3-4462-A2A9-8C34D1E5C1FD}"/>
    <hyperlink ref="B13" location="'B8-EPIS'!A1" display="B8-Electric Plant in Service" xr:uid="{979C30E2-F001-4496-876A-2902CDD025DD}"/>
    <hyperlink ref="B15" location="'B10-PHFU'!A1" display="B10-PHFU" xr:uid="{6E99E7C7-0D5C-48EC-8611-87515DBF0659}"/>
    <hyperlink ref="B16" location="'B11-Misc Def Debt'!A1" display="B11-Deferred Debits" xr:uid="{E9057396-4577-42C2-A78E-B7BD90454424}"/>
    <hyperlink ref="B17" location="'B13-Materials &amp; Supplies'!A1" display="B13-Materials &amp; Supplies" xr:uid="{A5AF8399-9162-4AAB-87E2-00EC38066AA7}"/>
    <hyperlink ref="B19" location="'B15-Misc Rate Base'!A1" display="B15-Misc Rate Base" xr:uid="{4A7DBB76-DD25-4591-9D26-888E1262E2A5}"/>
    <hyperlink ref="B20" location="'B16-Reg Assets'!A1" display="B16-Reg Assets" xr:uid="{AB3808F3-7C86-4849-98BE-87CBA2B77915}"/>
    <hyperlink ref="B21" location="'B17-Depr Res'!A1" display="B17-Depreciation Reserve" xr:uid="{E5C3FD90-3139-403D-A8BA-2FF2A8EEEC65}"/>
    <hyperlink ref="B22" location="'B18-Amort Res'!A1" display="B18-Amortization Reserve" xr:uid="{815444BD-6F56-4034-822D-6DB7B95D2669}"/>
    <hyperlink ref="B24" location="'B19-ITC Balance'!A1" display="B19a-ITC Balance" xr:uid="{4A97DDB8-1EA8-44BC-A640-71D29FF4A938}"/>
    <hyperlink ref="B23" location="'B19-DIT Balance'!A1" display="B19-Def Income Tax Bal" xr:uid="{85461DCA-9A58-4CBB-B45A-FF5524AC40DA}"/>
    <hyperlink ref="B25" location="'B20-Customer Adv'!A1" display="B20-Customer Advn" xr:uid="{CEE9E1A2-0E6C-45AE-AC37-29AF02665C50}"/>
    <hyperlink ref="C6" location="'FF1 DATA -&gt;'!A1" display="FF1" xr:uid="{65F3AFD9-ECBB-4916-BD10-E1C0D5E681DD}"/>
    <hyperlink ref="C5" location="TOC!A1" display="TOC" xr:uid="{25AC4C5C-FCCA-4DAC-B09F-5254B6A32D53}"/>
  </hyperlinks>
  <pageMargins left="0.7" right="0.7" top="0.75" bottom="0.75" header="0.3" footer="0.3"/>
  <pageSetup orientation="portrait" r:id="rId1"/>
  <customProperties>
    <customPr name="_pios_id" r:id="rId2"/>
  </customProperties>
  <legacyDrawing r:id="rId3"/>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DEFAC-112A-4C81-B6F6-25049E1DABAB}">
  <sheetPr codeName="Sheet111">
    <tabColor rgb="FF00B0F0"/>
    <pageSetUpPr fitToPage="1"/>
  </sheetPr>
  <dimension ref="A1:EZ2307"/>
  <sheetViews>
    <sheetView zoomScaleNormal="100" zoomScaleSheetLayoutView="100" workbookViewId="0">
      <pane ySplit="37" topLeftCell="A409" activePane="bottomLeft" state="frozen"/>
      <selection activeCell="G42" sqref="G42"/>
      <selection pane="bottomLeft" activeCell="G42" sqref="G42"/>
    </sheetView>
  </sheetViews>
  <sheetFormatPr defaultRowHeight="12" customHeight="1" outlineLevelRow="2" x14ac:dyDescent="0.2"/>
  <cols>
    <col min="1" max="1" width="12.25" style="1953" bestFit="1" customWidth="1"/>
    <col min="2" max="2" width="17.625" style="1953" bestFit="1" customWidth="1"/>
    <col min="3" max="3" width="18.25" style="1953" bestFit="1" customWidth="1"/>
    <col min="4" max="4" width="40.75" style="1953" bestFit="1" customWidth="1"/>
    <col min="5" max="5" width="9.125" style="1953" bestFit="1" customWidth="1"/>
    <col min="6" max="7" width="10.375" style="1953" bestFit="1" customWidth="1"/>
    <col min="8" max="8" width="9.25" style="1953" bestFit="1" customWidth="1"/>
    <col min="9" max="9" width="8.875" style="1953" bestFit="1" customWidth="1"/>
    <col min="10" max="10" width="4.875" style="1953" bestFit="1" customWidth="1"/>
    <col min="11" max="11" width="10.5" style="1953" bestFit="1" customWidth="1"/>
    <col min="12" max="13" width="7.375" style="1953" bestFit="1" customWidth="1"/>
    <col min="14" max="15" width="7.25" style="1953" bestFit="1" customWidth="1"/>
    <col min="16" max="16" width="7.375" style="1953" bestFit="1" customWidth="1"/>
    <col min="17" max="23" width="13.875" style="1953" bestFit="1" customWidth="1"/>
    <col min="24" max="24" width="26.125" style="1953" bestFit="1" customWidth="1"/>
    <col min="25" max="30" width="27.25" style="1953" bestFit="1" customWidth="1"/>
    <col min="31" max="34" width="28.75" style="1953" bestFit="1" customWidth="1"/>
    <col min="35" max="41" width="24.375" style="1953" bestFit="1" customWidth="1"/>
    <col min="42" max="44" width="26.375" style="1953" bestFit="1" customWidth="1"/>
    <col min="45" max="45" width="25" style="1953" bestFit="1" customWidth="1"/>
    <col min="46" max="49" width="23.75" style="1953" bestFit="1" customWidth="1"/>
    <col min="50" max="50" width="24.625" style="1953" bestFit="1" customWidth="1"/>
    <col min="51" max="51" width="26.125" style="1953" bestFit="1" customWidth="1"/>
    <col min="52" max="52" width="18.5" style="1953" bestFit="1" customWidth="1"/>
    <col min="53" max="53" width="28.375" style="1953" bestFit="1" customWidth="1"/>
    <col min="54" max="54" width="20.25" style="1953" bestFit="1" customWidth="1"/>
    <col min="55" max="55" width="26.375" style="1953" bestFit="1" customWidth="1"/>
    <col min="56" max="62" width="13.875" style="1953" bestFit="1" customWidth="1"/>
    <col min="63" max="63" width="26.25" style="1953" bestFit="1" customWidth="1"/>
    <col min="64" max="69" width="27.5" style="1953" bestFit="1" customWidth="1"/>
    <col min="70" max="73" width="29.875" style="1953" bestFit="1" customWidth="1"/>
    <col min="74" max="80" width="24.375" style="1953" bestFit="1" customWidth="1"/>
    <col min="81" max="83" width="26.75" style="1953" bestFit="1" customWidth="1"/>
    <col min="84" max="84" width="27.625" style="1953" bestFit="1" customWidth="1"/>
    <col min="85" max="88" width="24" style="1953" bestFit="1" customWidth="1"/>
    <col min="89" max="89" width="24.875" style="1953" bestFit="1" customWidth="1"/>
    <col min="90" max="90" width="26.375" style="1953" bestFit="1" customWidth="1"/>
    <col min="91" max="91" width="18.875" style="1953" bestFit="1" customWidth="1"/>
    <col min="92" max="93" width="22.875" style="1953" bestFit="1" customWidth="1"/>
    <col min="94" max="94" width="21.75" style="1953" bestFit="1" customWidth="1"/>
    <col min="95" max="95" width="26.625" style="1953" bestFit="1" customWidth="1"/>
    <col min="96" max="102" width="31.375" style="1953" bestFit="1" customWidth="1"/>
    <col min="103" max="104" width="19.125" style="1953" bestFit="1" customWidth="1"/>
    <col min="105" max="105" width="24.875" style="1953" bestFit="1" customWidth="1"/>
    <col min="106" max="111" width="26.125" style="1953" bestFit="1" customWidth="1"/>
    <col min="112" max="115" width="28.5" style="1953" bestFit="1" customWidth="1"/>
    <col min="116" max="122" width="23.625" style="1953" bestFit="1" customWidth="1"/>
    <col min="123" max="125" width="25.375" style="1953" bestFit="1" customWidth="1"/>
    <col min="126" max="126" width="24" style="1953" bestFit="1" customWidth="1"/>
    <col min="127" max="130" width="22.625" style="1953" bestFit="1" customWidth="1"/>
    <col min="131" max="131" width="23.625" style="1953" bestFit="1" customWidth="1"/>
    <col min="132" max="132" width="25" style="1953" bestFit="1" customWidth="1"/>
    <col min="133" max="133" width="17.5" style="1953" bestFit="1" customWidth="1"/>
    <col min="134" max="135" width="21.75" style="1953" bestFit="1" customWidth="1"/>
    <col min="136" max="136" width="20.25" style="1953" bestFit="1" customWidth="1"/>
    <col min="137" max="137" width="25.25" style="1953" bestFit="1" customWidth="1"/>
    <col min="138" max="144" width="23.125" style="1953" bestFit="1" customWidth="1"/>
    <col min="145" max="148" width="22.375" style="1953" bestFit="1" customWidth="1"/>
    <col min="149" max="149" width="23.75" style="1953" bestFit="1" customWidth="1"/>
    <col min="150" max="152" width="25.25" style="1953" bestFit="1" customWidth="1"/>
    <col min="153" max="153" width="24.625" style="1953" bestFit="1" customWidth="1"/>
    <col min="154" max="159" width="25.875" style="1953" bestFit="1" customWidth="1"/>
    <col min="160" max="163" width="28.375" style="1953" bestFit="1" customWidth="1"/>
    <col min="164" max="170" width="27.875" style="1953" bestFit="1" customWidth="1"/>
    <col min="171" max="171" width="23.5" style="1953" bestFit="1" customWidth="1"/>
    <col min="172" max="172" width="24.625" style="1953" bestFit="1" customWidth="1"/>
    <col min="173" max="173" width="17.375" style="1953" bestFit="1" customWidth="1"/>
    <col min="174" max="174" width="20.125" style="1953" bestFit="1" customWidth="1"/>
    <col min="175" max="175" width="25" style="1953" bestFit="1" customWidth="1"/>
    <col min="176" max="182" width="28.375" style="1953" bestFit="1" customWidth="1"/>
    <col min="183" max="188" width="28.75" style="1953" bestFit="1" customWidth="1"/>
    <col min="189" max="192" width="27.625" style="1953" bestFit="1" customWidth="1"/>
    <col min="193" max="199" width="29.75" style="1953" bestFit="1" customWidth="1"/>
    <col min="200" max="202" width="27.875" style="1953" bestFit="1" customWidth="1"/>
    <col min="203" max="203" width="26.625" style="1953" bestFit="1" customWidth="1"/>
    <col min="204" max="206" width="25.25" style="1953" bestFit="1" customWidth="1"/>
    <col min="207" max="208" width="27.875" style="1953" bestFit="1" customWidth="1"/>
    <col min="209" max="209" width="24.375" style="1953" bestFit="1" customWidth="1"/>
    <col min="210" max="210" width="28.125" style="1953" bestFit="1" customWidth="1"/>
    <col min="211" max="211" width="26.125" style="1953" bestFit="1" customWidth="1"/>
    <col min="212" max="212" width="28.875" style="1953" bestFit="1" customWidth="1"/>
    <col min="213" max="213" width="13.625" style="1953" bestFit="1" customWidth="1"/>
    <col min="214" max="214" width="26.25" style="1953" bestFit="1" customWidth="1"/>
    <col min="215" max="215" width="20.25" style="1953" bestFit="1" customWidth="1"/>
    <col min="216" max="216" width="16.75" style="1953" bestFit="1" customWidth="1"/>
    <col min="217" max="217" width="17.5" style="1953" bestFit="1" customWidth="1"/>
    <col min="218" max="218" width="24.625" style="1953" bestFit="1" customWidth="1"/>
    <col min="219" max="219" width="27.25" style="1953" bestFit="1" customWidth="1"/>
    <col min="220" max="220" width="28.5" style="1953" bestFit="1" customWidth="1"/>
    <col min="221" max="221" width="24.875" style="1953" bestFit="1" customWidth="1"/>
    <col min="222" max="222" width="27.875" style="1953" bestFit="1" customWidth="1"/>
    <col min="223" max="224" width="29" style="1953" bestFit="1" customWidth="1"/>
    <col min="225" max="225" width="25.875" style="1953" bestFit="1" customWidth="1"/>
    <col min="226" max="226" width="17.625" style="1953" bestFit="1" customWidth="1"/>
    <col min="227" max="227" width="20.625" style="1953" bestFit="1" customWidth="1"/>
    <col min="228" max="228" width="17.125" style="1953" bestFit="1" customWidth="1"/>
    <col min="229" max="229" width="25.5" style="1953" bestFit="1" customWidth="1"/>
    <col min="230" max="243" width="31.625" style="1953" bestFit="1" customWidth="1"/>
    <col min="244" max="250" width="31" style="1953" bestFit="1" customWidth="1"/>
    <col min="251" max="256" width="30.125" style="1953" bestFit="1" customWidth="1"/>
    <col min="257" max="263" width="27" style="1953" bestFit="1" customWidth="1"/>
    <col min="264" max="270" width="25.875" style="1953" bestFit="1" customWidth="1"/>
    <col min="271" max="276" width="35.125" style="1953" bestFit="1" customWidth="1"/>
    <col min="277" max="283" width="6.25" style="1953" bestFit="1" customWidth="1"/>
    <col min="284" max="288" width="21.125" style="1953" bestFit="1" customWidth="1"/>
    <col min="289" max="296" width="16.125" style="1953" bestFit="1" customWidth="1"/>
    <col min="297" max="302" width="22.375" style="1953" bestFit="1" customWidth="1"/>
    <col min="303" max="307" width="28.375" style="1953" bestFit="1" customWidth="1"/>
    <col min="308" max="312" width="29.625" style="1953" bestFit="1" customWidth="1"/>
    <col min="313" max="318" width="25.75" style="1953" bestFit="1" customWidth="1"/>
    <col min="319" max="320" width="13" style="1953" bestFit="1" customWidth="1"/>
    <col min="321" max="322" width="12.375" style="1953" bestFit="1" customWidth="1"/>
    <col min="323" max="324" width="14.75" style="1953" bestFit="1" customWidth="1"/>
    <col min="325" max="325" width="15.625" style="1953" bestFit="1" customWidth="1"/>
    <col min="326" max="331" width="29.875" style="1953" bestFit="1" customWidth="1"/>
    <col min="332" max="332" width="30.125" style="1953" bestFit="1" customWidth="1"/>
    <col min="333" max="333" width="25.25" style="1953" bestFit="1" customWidth="1"/>
    <col min="334" max="334" width="21.125" style="1953" bestFit="1" customWidth="1"/>
    <col min="335" max="335" width="24.5" style="1953" bestFit="1" customWidth="1"/>
    <col min="336" max="336" width="27.625" style="1953" bestFit="1" customWidth="1"/>
    <col min="337" max="337" width="25" style="1953" bestFit="1" customWidth="1"/>
    <col min="338" max="338" width="28.5" style="1953" bestFit="1" customWidth="1"/>
    <col min="339" max="339" width="29.625" style="1953" bestFit="1" customWidth="1"/>
    <col min="340" max="340" width="26.75" style="1953" bestFit="1" customWidth="1"/>
    <col min="341" max="341" width="28.5" style="1953" bestFit="1" customWidth="1"/>
    <col min="342" max="342" width="27" style="1953" bestFit="1" customWidth="1"/>
    <col min="343" max="343" width="18.75" style="1953" bestFit="1" customWidth="1"/>
    <col min="344" max="344" width="26.25" style="1953" bestFit="1" customWidth="1"/>
    <col min="345" max="345" width="29.25" style="1953" bestFit="1" customWidth="1"/>
    <col min="346" max="346" width="25.875" style="1953" bestFit="1" customWidth="1"/>
    <col min="347" max="347" width="20.625" style="1953" bestFit="1" customWidth="1"/>
    <col min="348" max="348" width="21.5" style="1953" bestFit="1" customWidth="1"/>
    <col min="349" max="350" width="20.5" style="1953" bestFit="1" customWidth="1"/>
    <col min="351" max="351" width="31.375" style="1953" bestFit="1" customWidth="1"/>
    <col min="352" max="352" width="33.75" style="1953" bestFit="1" customWidth="1"/>
    <col min="353" max="353" width="24.875" style="1953" bestFit="1" customWidth="1"/>
    <col min="354" max="354" width="21.75" style="1953" bestFit="1" customWidth="1"/>
    <col min="355" max="355" width="30.5" style="1953" bestFit="1" customWidth="1"/>
    <col min="356" max="356" width="18.875" style="1953" bestFit="1" customWidth="1"/>
    <col min="357" max="357" width="22.375" style="1953" bestFit="1" customWidth="1"/>
    <col min="358" max="358" width="30.75" style="1953" bestFit="1" customWidth="1"/>
    <col min="359" max="360" width="17.875" style="1953" bestFit="1" customWidth="1"/>
    <col min="361" max="361" width="16.75" style="1953" bestFit="1" customWidth="1"/>
    <col min="362" max="362" width="22.875" style="1953" bestFit="1" customWidth="1"/>
    <col min="363" max="364" width="20.875" style="1953" bestFit="1" customWidth="1"/>
    <col min="365" max="365" width="19.375" style="1953" bestFit="1" customWidth="1"/>
    <col min="366" max="366" width="17.375" style="1953" bestFit="1" customWidth="1"/>
    <col min="367" max="367" width="22.625" style="1953" bestFit="1" customWidth="1"/>
    <col min="368" max="368" width="26.75" style="1953" bestFit="1" customWidth="1"/>
    <col min="369" max="369" width="28.75" style="1953" bestFit="1" customWidth="1"/>
    <col min="370" max="370" width="12.125" style="1953" bestFit="1" customWidth="1"/>
    <col min="371" max="371" width="20.875" style="1953" bestFit="1" customWidth="1"/>
    <col min="372" max="372" width="24.375" style="1953" bestFit="1" customWidth="1"/>
    <col min="373" max="376" width="16.25" style="1953" bestFit="1" customWidth="1"/>
    <col min="377" max="377" width="22.625" style="1953" bestFit="1" customWidth="1"/>
    <col min="378" max="378" width="27.125" style="1953" bestFit="1" customWidth="1"/>
    <col min="379" max="379" width="27.875" style="1953" bestFit="1" customWidth="1"/>
    <col min="380" max="380" width="21.125" style="1953" bestFit="1" customWidth="1"/>
    <col min="381" max="381" width="17.375" style="1953" bestFit="1" customWidth="1"/>
    <col min="382" max="382" width="27.125" style="1953" bestFit="1" customWidth="1"/>
    <col min="383" max="383" width="21.75" style="1953" bestFit="1" customWidth="1"/>
    <col min="384" max="384" width="26.125" style="1953" bestFit="1" customWidth="1"/>
    <col min="385" max="385" width="19.75" style="1953" bestFit="1" customWidth="1"/>
    <col min="386" max="386" width="26.625" style="1953" bestFit="1" customWidth="1"/>
    <col min="387" max="387" width="26.375" style="1953" bestFit="1" customWidth="1"/>
    <col min="388" max="388" width="28.125" style="1953" bestFit="1" customWidth="1"/>
    <col min="389" max="389" width="23.5" style="1953" bestFit="1" customWidth="1"/>
    <col min="390" max="390" width="19.75" style="1953" bestFit="1" customWidth="1"/>
    <col min="391" max="391" width="26.625" style="1953" bestFit="1" customWidth="1"/>
    <col min="392" max="392" width="26.375" style="1953" bestFit="1" customWidth="1"/>
    <col min="393" max="393" width="28.125" style="1953" bestFit="1" customWidth="1"/>
    <col min="394" max="394" width="23.5" style="1953" bestFit="1" customWidth="1"/>
    <col min="395" max="16384" width="9" style="1953"/>
  </cols>
  <sheetData>
    <row r="1" spans="1:155" s="1946" customFormat="1" ht="39.950000000000003" customHeight="1" x14ac:dyDescent="0.2">
      <c r="BT1" s="1947"/>
    </row>
    <row r="2" spans="1:155" s="1946" customFormat="1" ht="42" hidden="1" customHeight="1" x14ac:dyDescent="0.2"/>
    <row r="3" spans="1:155" s="1946" customFormat="1" ht="35.25" hidden="1" customHeight="1" x14ac:dyDescent="0.2">
      <c r="K3" s="1947"/>
      <c r="M3" s="1947"/>
      <c r="O3" s="1947"/>
      <c r="Q3" s="1947"/>
      <c r="S3" s="1947"/>
      <c r="U3" s="1947"/>
      <c r="W3" s="1947"/>
      <c r="Y3" s="1947"/>
      <c r="BD3" s="1947"/>
      <c r="BJ3" s="1947"/>
      <c r="BM3" s="1947"/>
      <c r="BO3" s="1947"/>
      <c r="BT3" s="1948"/>
      <c r="BV3" s="1947"/>
      <c r="BX3" s="1947"/>
      <c r="BZ3" s="1947"/>
      <c r="CB3" s="1947"/>
      <c r="CD3" s="1947"/>
      <c r="CF3" s="1947"/>
      <c r="CH3" s="1947"/>
    </row>
    <row r="4" spans="1:155" s="1946" customFormat="1" ht="12" customHeight="1" x14ac:dyDescent="0.25">
      <c r="A4" s="1949"/>
      <c r="K4" s="1948"/>
      <c r="M4" s="1948"/>
      <c r="O4" s="1948"/>
      <c r="Q4" s="1948"/>
      <c r="S4" s="1948"/>
      <c r="U4" s="1948"/>
      <c r="W4" s="1948"/>
      <c r="Y4" s="1948"/>
      <c r="BT4" s="1948"/>
      <c r="CJ4" s="1947"/>
    </row>
    <row r="5" spans="1:155" s="1946" customFormat="1" ht="12" customHeight="1" x14ac:dyDescent="0.2">
      <c r="A5" s="1950" t="s">
        <v>873</v>
      </c>
      <c r="B5" s="1951"/>
      <c r="C5" s="1947"/>
      <c r="D5" s="1947"/>
      <c r="E5" s="1947"/>
      <c r="F5" s="1947"/>
      <c r="G5" s="1947"/>
      <c r="H5" s="1947"/>
      <c r="I5" s="1947"/>
      <c r="J5" s="1947"/>
      <c r="K5" s="1948"/>
      <c r="L5" s="1947"/>
      <c r="M5" s="1948"/>
      <c r="N5" s="1947"/>
      <c r="O5" s="1948"/>
      <c r="P5" s="1947"/>
      <c r="Q5" s="1948"/>
      <c r="R5" s="1947"/>
      <c r="S5" s="1948"/>
      <c r="T5" s="1947"/>
      <c r="U5" s="1948"/>
      <c r="V5" s="1947"/>
      <c r="W5" s="1948"/>
      <c r="X5" s="1947"/>
      <c r="Y5" s="1948"/>
      <c r="Z5" s="1947"/>
      <c r="AA5" s="1947"/>
      <c r="AB5" s="1947"/>
      <c r="AC5" s="1947"/>
      <c r="AD5" s="1947"/>
      <c r="AE5" s="1947"/>
      <c r="AF5" s="1947"/>
      <c r="AG5" s="1947"/>
      <c r="AH5" s="1947"/>
      <c r="AI5" s="1947"/>
      <c r="AJ5" s="1947"/>
      <c r="AK5" s="1947"/>
      <c r="AL5" s="1947"/>
      <c r="AM5" s="1947"/>
      <c r="AN5" s="1947"/>
      <c r="AO5" s="1947"/>
      <c r="AP5" s="1947"/>
      <c r="AQ5" s="1947"/>
      <c r="AR5" s="1947"/>
      <c r="AS5" s="1947"/>
      <c r="AT5" s="1947"/>
      <c r="AU5" s="1947"/>
      <c r="AV5" s="1947"/>
      <c r="AW5" s="1947"/>
      <c r="AX5" s="1951"/>
      <c r="AY5" s="1951"/>
      <c r="AZ5" s="1951"/>
      <c r="BA5" s="1951"/>
      <c r="BB5" s="1951"/>
      <c r="BC5" s="1947"/>
      <c r="BE5" s="1951"/>
      <c r="BF5" s="1951"/>
      <c r="BG5" s="1951"/>
      <c r="BH5" s="1951"/>
      <c r="BI5" s="1947"/>
      <c r="BK5" s="1951"/>
      <c r="BL5" s="1947"/>
      <c r="BN5" s="1947"/>
      <c r="BP5" s="1951"/>
      <c r="BQ5" s="1947"/>
      <c r="BR5" s="1951"/>
      <c r="BS5" s="1947"/>
      <c r="BT5" s="1948"/>
      <c r="BU5" s="1947"/>
      <c r="BW5" s="1947"/>
      <c r="BY5" s="1947"/>
      <c r="CA5" s="1947"/>
      <c r="CC5" s="1947"/>
      <c r="CE5" s="1947"/>
      <c r="CG5" s="1947"/>
      <c r="CI5" s="1947"/>
      <c r="CK5" s="1947"/>
      <c r="CL5" s="1947"/>
      <c r="CM5" s="1947"/>
      <c r="CN5" s="1947"/>
      <c r="CO5" s="1947"/>
      <c r="CP5" s="1947"/>
      <c r="CQ5" s="1947"/>
      <c r="CR5" s="1947"/>
      <c r="CS5" s="1947"/>
      <c r="CT5" s="1947"/>
      <c r="CU5" s="1947"/>
      <c r="CV5" s="1947"/>
      <c r="CW5" s="1947"/>
      <c r="CX5" s="1947"/>
      <c r="CY5" s="1947"/>
      <c r="CZ5" s="1947"/>
    </row>
    <row r="6" spans="1:155" s="1946" customFormat="1" ht="12" customHeight="1" x14ac:dyDescent="0.2">
      <c r="A6" s="1952" t="s">
        <v>874</v>
      </c>
      <c r="B6" s="1952"/>
      <c r="C6" s="1948"/>
      <c r="D6" s="1948"/>
      <c r="E6" s="1948"/>
      <c r="F6" s="1948"/>
      <c r="G6" s="1948"/>
      <c r="H6" s="1948"/>
      <c r="I6" s="1948"/>
      <c r="J6" s="1948"/>
      <c r="K6" s="1948"/>
      <c r="L6" s="1948"/>
      <c r="M6" s="1948"/>
      <c r="N6" s="1948"/>
      <c r="O6" s="1948"/>
      <c r="P6" s="1948"/>
      <c r="Q6" s="1948"/>
      <c r="R6" s="1948"/>
      <c r="S6" s="1948"/>
      <c r="T6" s="1948"/>
      <c r="U6" s="1948"/>
      <c r="V6" s="1948"/>
      <c r="W6" s="1948"/>
      <c r="X6" s="1948"/>
      <c r="Y6" s="1948"/>
      <c r="Z6" s="1948"/>
      <c r="AA6" s="1948"/>
      <c r="BT6" s="1948"/>
    </row>
    <row r="7" spans="1:155" s="1946" customFormat="1" ht="12" customHeight="1" x14ac:dyDescent="0.2">
      <c r="A7" s="1952" t="s">
        <v>875</v>
      </c>
      <c r="B7" s="1952"/>
      <c r="C7" s="1948"/>
      <c r="D7" s="1948"/>
      <c r="E7" s="1948"/>
      <c r="F7" s="1948"/>
      <c r="G7" s="1948"/>
      <c r="H7" s="1948"/>
      <c r="I7" s="1948"/>
      <c r="J7" s="1948"/>
      <c r="L7" s="1948"/>
      <c r="N7" s="1948"/>
      <c r="P7" s="1948"/>
      <c r="R7" s="1948"/>
      <c r="T7" s="1948"/>
      <c r="V7" s="1948"/>
      <c r="X7" s="1948"/>
      <c r="Z7" s="1948"/>
      <c r="AA7" s="1948"/>
      <c r="AE7" s="1953"/>
      <c r="AF7" s="1953"/>
      <c r="AG7" s="1953"/>
      <c r="AH7" s="1953"/>
      <c r="AI7" s="1953"/>
      <c r="AJ7" s="1953"/>
      <c r="AK7" s="1953"/>
      <c r="AL7" s="1953"/>
      <c r="AM7" s="1953"/>
      <c r="AN7" s="1953"/>
      <c r="AO7" s="1953"/>
      <c r="AP7" s="1953"/>
      <c r="BT7" s="1948"/>
      <c r="DI7" s="1953"/>
    </row>
    <row r="8" spans="1:155" s="1946" customFormat="1" ht="12" customHeight="1" x14ac:dyDescent="0.2">
      <c r="A8" s="1952" t="s">
        <v>876</v>
      </c>
      <c r="B8" s="1952"/>
      <c r="C8" s="1948"/>
      <c r="D8" s="1948"/>
      <c r="E8" s="1948"/>
      <c r="F8" s="1948"/>
      <c r="G8" s="1948"/>
      <c r="H8" s="1948"/>
      <c r="I8" s="1948"/>
      <c r="J8" s="1948"/>
      <c r="L8" s="1948"/>
      <c r="M8" s="1948"/>
      <c r="N8" s="1948"/>
      <c r="O8" s="1948"/>
      <c r="P8" s="1948"/>
      <c r="Q8" s="1948"/>
      <c r="R8" s="1948"/>
      <c r="S8" s="1948"/>
      <c r="T8" s="1948"/>
      <c r="U8" s="1948"/>
      <c r="V8" s="1948"/>
      <c r="W8" s="1948"/>
      <c r="X8" s="1948"/>
      <c r="Y8" s="1948"/>
      <c r="Z8" s="1948"/>
      <c r="AA8" s="1948"/>
      <c r="BD8" s="1948"/>
      <c r="BJ8" s="1948"/>
      <c r="BM8" s="1948"/>
      <c r="BO8" s="1948"/>
      <c r="BT8" s="1948"/>
      <c r="BV8" s="1948"/>
      <c r="BX8" s="1948"/>
      <c r="BZ8" s="1948"/>
      <c r="CB8" s="1948"/>
      <c r="CD8" s="1948"/>
      <c r="CF8" s="1948"/>
      <c r="CH8" s="1948"/>
    </row>
    <row r="9" spans="1:155" s="1946" customFormat="1" ht="12.95" customHeight="1" x14ac:dyDescent="0.2">
      <c r="M9" s="1954"/>
      <c r="O9" s="1954"/>
      <c r="Q9" s="1954"/>
      <c r="S9" s="1954"/>
      <c r="U9" s="1954"/>
      <c r="W9" s="1954"/>
      <c r="Y9" s="1954"/>
      <c r="BD9" s="1954"/>
      <c r="BJ9" s="1954"/>
      <c r="BM9" s="1954"/>
      <c r="BO9" s="1954"/>
      <c r="BT9" s="1948"/>
      <c r="BV9" s="1948"/>
      <c r="BX9" s="1948"/>
      <c r="BZ9" s="1948"/>
      <c r="CB9" s="1948"/>
      <c r="CD9" s="1948"/>
      <c r="CF9" s="1948"/>
      <c r="CH9" s="1948"/>
      <c r="CJ9" s="1948"/>
    </row>
    <row r="10" spans="1:155" s="1946" customFormat="1" ht="12" hidden="1" customHeight="1" outlineLevel="1" x14ac:dyDescent="0.2">
      <c r="A10" s="1951" t="s">
        <v>877</v>
      </c>
      <c r="B10" s="1952" t="s">
        <v>878</v>
      </c>
      <c r="AZ10" s="1952"/>
      <c r="BA10" s="1952"/>
      <c r="BB10" s="1952"/>
      <c r="BC10" s="1952"/>
      <c r="BD10" s="1952"/>
      <c r="BG10" s="1952"/>
      <c r="BH10" s="1952"/>
      <c r="BI10" s="1952"/>
      <c r="DC10" s="1952"/>
      <c r="DD10" s="1952"/>
      <c r="DE10" s="1952"/>
      <c r="DF10" s="1952"/>
      <c r="DG10" s="1952"/>
      <c r="DH10" s="1952"/>
      <c r="DI10" s="1952"/>
      <c r="DJ10" s="1952"/>
      <c r="DK10" s="1952"/>
      <c r="DL10" s="1952"/>
      <c r="DM10" s="1952"/>
      <c r="DN10" s="1952"/>
      <c r="DO10" s="1952"/>
      <c r="DP10" s="1952"/>
      <c r="DQ10" s="1952"/>
      <c r="DR10" s="1952"/>
      <c r="DS10" s="1952"/>
      <c r="DT10" s="1952"/>
      <c r="DU10" s="1952"/>
      <c r="DV10" s="1952"/>
      <c r="DW10" s="1952"/>
      <c r="DX10" s="1952"/>
      <c r="DY10" s="1952"/>
      <c r="DZ10" s="1952"/>
      <c r="EA10" s="1952"/>
      <c r="EB10" s="1952"/>
      <c r="EC10" s="1952"/>
      <c r="ED10" s="1952"/>
      <c r="EE10" s="1952"/>
      <c r="EF10" s="1952"/>
      <c r="EG10" s="1952"/>
      <c r="EH10" s="1952"/>
      <c r="EI10" s="1952"/>
      <c r="EJ10" s="1952"/>
      <c r="EK10" s="1952"/>
      <c r="EL10" s="1952"/>
      <c r="EM10" s="1955"/>
      <c r="EN10" s="1955"/>
      <c r="EO10" s="1955"/>
      <c r="EP10" s="1955"/>
      <c r="EQ10" s="1955"/>
      <c r="ER10" s="1955"/>
      <c r="ES10" s="1955"/>
      <c r="ET10" s="1955"/>
      <c r="EU10" s="1955"/>
      <c r="EV10" s="1955"/>
      <c r="EW10" s="1955"/>
      <c r="EX10" s="1955"/>
      <c r="EY10" s="1955"/>
    </row>
    <row r="11" spans="1:155" s="1946" customFormat="1" ht="12" hidden="1" customHeight="1" outlineLevel="1" x14ac:dyDescent="0.2">
      <c r="A11" s="1951" t="s">
        <v>879</v>
      </c>
      <c r="B11" s="1956">
        <v>45378.675030891201</v>
      </c>
      <c r="AZ11" s="1956"/>
      <c r="BA11" s="1956"/>
      <c r="BB11" s="1956"/>
      <c r="BC11" s="1956"/>
      <c r="BD11" s="1956"/>
      <c r="BG11" s="1956"/>
      <c r="BH11" s="1956"/>
      <c r="BI11" s="1956"/>
      <c r="DC11" s="1952"/>
      <c r="DD11" s="1952"/>
      <c r="DE11" s="1952"/>
      <c r="DF11" s="1952"/>
      <c r="DG11" s="1952"/>
      <c r="DH11" s="1952"/>
      <c r="DI11" s="1952"/>
      <c r="DJ11" s="1952"/>
      <c r="DK11" s="1952"/>
      <c r="DL11" s="1952"/>
      <c r="DM11" s="1952"/>
      <c r="DN11" s="1952"/>
      <c r="DO11" s="1952"/>
      <c r="DP11" s="1952"/>
      <c r="DQ11" s="1952"/>
      <c r="DR11" s="1952"/>
      <c r="DS11" s="1952"/>
      <c r="DT11" s="1952"/>
      <c r="DU11" s="1952"/>
      <c r="DV11" s="1952"/>
      <c r="DW11" s="1952"/>
      <c r="DX11" s="1952"/>
      <c r="DY11" s="1952"/>
      <c r="DZ11" s="1952"/>
      <c r="EA11" s="1952"/>
      <c r="EB11" s="1952"/>
      <c r="EC11" s="1952"/>
      <c r="ED11" s="1952"/>
      <c r="EE11" s="1952"/>
      <c r="EF11" s="1952"/>
      <c r="EG11" s="1952"/>
      <c r="EH11" s="1952"/>
      <c r="EI11" s="1952"/>
      <c r="EJ11" s="1952"/>
      <c r="EK11" s="1952"/>
      <c r="EL11" s="1952"/>
      <c r="EM11" s="1955"/>
      <c r="EN11" s="1955"/>
      <c r="EO11" s="1955"/>
      <c r="EP11" s="1955"/>
      <c r="EQ11" s="1955"/>
      <c r="ER11" s="1955"/>
      <c r="ES11" s="1955"/>
      <c r="ET11" s="1955"/>
      <c r="EU11" s="1955"/>
      <c r="EV11" s="1955"/>
      <c r="EW11" s="1955"/>
      <c r="EX11" s="1955"/>
      <c r="EY11" s="1955"/>
    </row>
    <row r="12" spans="1:155" s="1946" customFormat="1" ht="12" hidden="1" customHeight="1" outlineLevel="1" x14ac:dyDescent="0.2">
      <c r="BT12" s="1948"/>
      <c r="BV12" s="1948"/>
      <c r="BX12" s="1948"/>
      <c r="BZ12" s="1948"/>
      <c r="CB12" s="1948"/>
      <c r="CD12" s="1948"/>
      <c r="CF12" s="1948"/>
      <c r="CH12" s="1948"/>
      <c r="CJ12" s="1948"/>
    </row>
    <row r="13" spans="1:155" s="1946" customFormat="1" ht="12" hidden="1" customHeight="1" outlineLevel="1" x14ac:dyDescent="0.2">
      <c r="A13" s="1953"/>
      <c r="B13" s="1953"/>
      <c r="AX13" s="1953"/>
      <c r="AY13" s="1953"/>
      <c r="AZ13" s="1953"/>
      <c r="BA13" s="1953"/>
      <c r="BB13" s="1953"/>
      <c r="BE13" s="1953"/>
      <c r="BF13" s="1953"/>
      <c r="BG13" s="1953"/>
      <c r="BH13" s="1953"/>
      <c r="BK13" s="1953"/>
      <c r="BP13" s="1953"/>
      <c r="BR13" s="1953"/>
      <c r="BS13" s="1948"/>
      <c r="BT13" s="1947"/>
      <c r="BU13" s="1948"/>
      <c r="BV13" s="1948"/>
      <c r="BW13" s="1948"/>
      <c r="BX13" s="1948"/>
      <c r="BY13" s="1948"/>
      <c r="BZ13" s="1948"/>
      <c r="CA13" s="1948"/>
      <c r="CB13" s="1948"/>
      <c r="CC13" s="1948"/>
      <c r="CD13" s="1948"/>
      <c r="CE13" s="1948"/>
      <c r="CF13" s="1948"/>
      <c r="CG13" s="1948"/>
      <c r="CH13" s="1948"/>
      <c r="CI13" s="1948"/>
      <c r="CJ13" s="1948"/>
      <c r="CK13" s="1948"/>
      <c r="CL13" s="1948"/>
      <c r="CM13" s="1948"/>
      <c r="CN13" s="1948"/>
      <c r="CO13" s="1948"/>
      <c r="CP13" s="1948"/>
      <c r="CQ13" s="1948"/>
      <c r="CR13" s="1948"/>
      <c r="CS13" s="1948"/>
      <c r="CT13" s="1948"/>
      <c r="CU13" s="1948"/>
      <c r="CV13" s="1948"/>
      <c r="CW13" s="1948"/>
      <c r="CX13" s="1948"/>
      <c r="CY13" s="1948"/>
      <c r="CZ13" s="1948"/>
    </row>
    <row r="14" spans="1:155" s="1946" customFormat="1" ht="12" hidden="1" customHeight="1" outlineLevel="1" x14ac:dyDescent="0.2">
      <c r="A14" s="1953"/>
      <c r="B14" s="1953"/>
      <c r="AX14" s="1953"/>
      <c r="AY14" s="1953"/>
      <c r="AZ14" s="1953"/>
      <c r="BA14" s="1953"/>
      <c r="BB14" s="1953"/>
      <c r="BE14" s="1953"/>
      <c r="BF14" s="1953"/>
      <c r="BG14" s="1953"/>
      <c r="BH14" s="1953"/>
      <c r="BK14" s="1953"/>
      <c r="BP14" s="1953"/>
      <c r="BR14" s="1953"/>
      <c r="BS14" s="1948"/>
      <c r="BT14" s="1948"/>
      <c r="BU14" s="1948"/>
      <c r="BV14" s="1948"/>
      <c r="BW14" s="1948"/>
      <c r="BX14" s="1948"/>
      <c r="BY14" s="1948"/>
      <c r="BZ14" s="1948"/>
      <c r="CA14" s="1948"/>
      <c r="CB14" s="1948"/>
      <c r="CC14" s="1948"/>
      <c r="CD14" s="1948"/>
      <c r="CE14" s="1948"/>
      <c r="CF14" s="1948"/>
      <c r="CG14" s="1948"/>
      <c r="CH14" s="1948"/>
      <c r="CI14" s="1948"/>
      <c r="CJ14" s="1948"/>
      <c r="CK14" s="1948"/>
      <c r="CL14" s="1948"/>
      <c r="CM14" s="1948"/>
      <c r="CN14" s="1948"/>
      <c r="CO14" s="1948"/>
      <c r="CP14" s="1948"/>
      <c r="CQ14" s="1948"/>
      <c r="CR14" s="1948"/>
      <c r="CS14" s="1948"/>
      <c r="CT14" s="1948"/>
      <c r="CU14" s="1948"/>
      <c r="CV14" s="1948"/>
      <c r="CW14" s="1948"/>
      <c r="CX14" s="1948"/>
      <c r="CY14" s="1948"/>
      <c r="CZ14" s="1948"/>
    </row>
    <row r="15" spans="1:155" ht="12" hidden="1" customHeight="1" outlineLevel="1" x14ac:dyDescent="0.2">
      <c r="C15" s="1946"/>
      <c r="D15" s="1946"/>
      <c r="E15" s="1946"/>
      <c r="F15" s="1946"/>
      <c r="G15" s="1946"/>
      <c r="H15" s="1946"/>
      <c r="I15" s="1946"/>
      <c r="J15" s="1946"/>
      <c r="K15" s="1946"/>
      <c r="L15" s="1946"/>
      <c r="M15" s="1946"/>
      <c r="N15" s="1946"/>
      <c r="O15" s="1946"/>
      <c r="P15" s="1946"/>
      <c r="Q15" s="1946"/>
      <c r="R15" s="1946"/>
      <c r="S15" s="1946"/>
      <c r="T15" s="1946"/>
      <c r="U15" s="1946"/>
      <c r="V15" s="1946"/>
      <c r="W15" s="1946"/>
      <c r="X15" s="1946"/>
      <c r="Y15" s="1946"/>
      <c r="Z15" s="1946"/>
      <c r="AA15" s="1946"/>
      <c r="AB15" s="1946"/>
      <c r="AC15" s="1946"/>
      <c r="AD15" s="1946"/>
      <c r="AE15" s="1946"/>
      <c r="AF15" s="1946"/>
      <c r="AG15" s="1946"/>
      <c r="AH15" s="1946"/>
      <c r="AI15" s="1946"/>
      <c r="AJ15" s="1946"/>
      <c r="AK15" s="1946"/>
      <c r="AL15" s="1946"/>
      <c r="AM15" s="1946"/>
      <c r="AN15" s="1946"/>
      <c r="AO15" s="1946"/>
      <c r="AP15" s="1946"/>
      <c r="AQ15" s="1946"/>
      <c r="AR15" s="1946"/>
      <c r="AS15" s="1946"/>
      <c r="AT15" s="1946"/>
      <c r="AU15" s="1946"/>
      <c r="AV15" s="1946"/>
      <c r="AW15" s="1946"/>
      <c r="BC15" s="1946"/>
      <c r="BD15" s="1946"/>
      <c r="BI15" s="1946"/>
      <c r="BJ15" s="1946"/>
      <c r="BL15" s="1946"/>
      <c r="BM15" s="1946"/>
      <c r="BN15" s="1946"/>
      <c r="BO15" s="1946"/>
      <c r="BQ15" s="1946"/>
      <c r="BS15" s="1948"/>
      <c r="BT15" s="1948"/>
      <c r="BU15" s="1952"/>
      <c r="BV15" s="1952"/>
      <c r="BW15" s="1952"/>
      <c r="BX15" s="1952"/>
      <c r="BY15" s="1952"/>
      <c r="BZ15" s="1952"/>
      <c r="CA15" s="1952"/>
      <c r="CB15" s="1952"/>
      <c r="CC15" s="1952"/>
      <c r="CD15" s="1952"/>
      <c r="CE15" s="1952"/>
      <c r="CF15" s="1952"/>
      <c r="CG15" s="1952"/>
      <c r="CH15" s="1952"/>
    </row>
    <row r="16" spans="1:155" s="1946" customFormat="1" ht="12" hidden="1" customHeight="1" outlineLevel="1" x14ac:dyDescent="0.2">
      <c r="A16" s="1953"/>
      <c r="B16" s="1953"/>
      <c r="AX16" s="1953"/>
      <c r="AY16" s="1953"/>
      <c r="AZ16" s="1953"/>
      <c r="BA16" s="1953"/>
      <c r="BB16" s="1953"/>
      <c r="BE16" s="1953"/>
      <c r="BF16" s="1953"/>
      <c r="BG16" s="1953"/>
      <c r="BH16" s="1953"/>
      <c r="BK16" s="1953"/>
      <c r="BP16" s="1953"/>
      <c r="BR16" s="1953"/>
      <c r="BS16" s="1948"/>
      <c r="BT16" s="1948"/>
      <c r="BU16" s="1948"/>
      <c r="BV16" s="1948"/>
      <c r="BW16" s="1948"/>
      <c r="BX16" s="1948"/>
      <c r="BY16" s="1948"/>
      <c r="BZ16" s="1948"/>
      <c r="CA16" s="1948"/>
      <c r="CB16" s="1948"/>
      <c r="CC16" s="1948"/>
      <c r="CD16" s="1948"/>
      <c r="CE16" s="1948"/>
      <c r="CF16" s="1948"/>
      <c r="CG16" s="1948"/>
      <c r="CH16" s="1948"/>
      <c r="CI16" s="1948"/>
      <c r="CJ16" s="1948"/>
      <c r="CK16" s="1948"/>
      <c r="CL16" s="1948"/>
      <c r="CM16" s="1948"/>
      <c r="CN16" s="1948"/>
      <c r="CO16" s="1948"/>
      <c r="CP16" s="1948"/>
      <c r="CQ16" s="1948"/>
      <c r="CR16" s="1948"/>
      <c r="CS16" s="1948"/>
      <c r="CT16" s="1948"/>
      <c r="CU16" s="1948"/>
      <c r="CV16" s="1948"/>
      <c r="CW16" s="1948"/>
      <c r="CX16" s="1948"/>
      <c r="CY16" s="1948"/>
      <c r="CZ16" s="1948"/>
    </row>
    <row r="17" spans="1:156" s="1946" customFormat="1" ht="12" hidden="1" customHeight="1" outlineLevel="1" x14ac:dyDescent="0.2">
      <c r="A17" s="1953"/>
      <c r="B17" s="1953"/>
      <c r="AX17" s="1953"/>
      <c r="AY17" s="1953"/>
      <c r="AZ17" s="1953"/>
      <c r="BA17" s="1953"/>
      <c r="BB17" s="1953"/>
      <c r="BE17" s="1953"/>
      <c r="BF17" s="1953"/>
      <c r="BG17" s="1953"/>
      <c r="BH17" s="1953"/>
      <c r="BK17" s="1953"/>
      <c r="BP17" s="1953"/>
      <c r="BR17" s="1953"/>
      <c r="BS17" s="1948"/>
      <c r="BT17" s="1948"/>
      <c r="BU17" s="1948"/>
      <c r="BV17" s="1948"/>
      <c r="BW17" s="1948"/>
      <c r="BX17" s="1948"/>
      <c r="BY17" s="1948"/>
      <c r="BZ17" s="1948"/>
      <c r="CA17" s="1948"/>
      <c r="CB17" s="1948"/>
      <c r="CC17" s="1948"/>
      <c r="CD17" s="1948"/>
      <c r="CE17" s="1948"/>
      <c r="CF17" s="1948"/>
      <c r="CG17" s="1948"/>
      <c r="CH17" s="1948"/>
      <c r="CI17" s="1948"/>
      <c r="CJ17" s="1948"/>
      <c r="CK17" s="1948"/>
      <c r="CL17" s="1948"/>
      <c r="CM17" s="1948"/>
      <c r="CN17" s="1948"/>
      <c r="CO17" s="1948"/>
      <c r="CP17" s="1948"/>
      <c r="CQ17" s="1948"/>
      <c r="CR17" s="1948"/>
      <c r="CS17" s="1948"/>
      <c r="CT17" s="1948"/>
      <c r="CU17" s="1948"/>
      <c r="CV17" s="1948"/>
      <c r="CW17" s="1948"/>
      <c r="CX17" s="1948"/>
      <c r="CY17" s="1948"/>
      <c r="CZ17" s="1948"/>
    </row>
    <row r="18" spans="1:156" s="1946" customFormat="1" ht="12" hidden="1" customHeight="1" outlineLevel="1" x14ac:dyDescent="0.2">
      <c r="A18" s="1953"/>
      <c r="B18" s="1953"/>
      <c r="AX18" s="1953"/>
      <c r="AY18" s="1953"/>
      <c r="AZ18" s="1953"/>
      <c r="BA18" s="1953"/>
      <c r="BB18" s="1953"/>
      <c r="BE18" s="1953"/>
      <c r="BF18" s="1953"/>
      <c r="BG18" s="1953"/>
      <c r="BH18" s="1953"/>
      <c r="BK18" s="1953"/>
      <c r="BP18" s="1953"/>
      <c r="BR18" s="1953"/>
      <c r="BS18" s="1948"/>
      <c r="BT18" s="1948"/>
      <c r="BU18" s="1948"/>
      <c r="BV18" s="1948"/>
      <c r="BW18" s="1948"/>
      <c r="BX18" s="1948"/>
      <c r="BY18" s="1948"/>
      <c r="BZ18" s="1948"/>
      <c r="CA18" s="1948"/>
      <c r="CB18" s="1948"/>
      <c r="CC18" s="1948"/>
      <c r="CD18" s="1948"/>
      <c r="CE18" s="1948"/>
      <c r="CF18" s="1948"/>
      <c r="CG18" s="1948"/>
      <c r="CH18" s="1948"/>
      <c r="CI18" s="1948"/>
      <c r="CJ18" s="1948"/>
      <c r="CK18" s="1948"/>
      <c r="CL18" s="1948"/>
      <c r="CM18" s="1948"/>
      <c r="CN18" s="1948"/>
      <c r="CO18" s="1948"/>
      <c r="CP18" s="1948"/>
      <c r="CQ18" s="1948"/>
      <c r="CR18" s="1948"/>
      <c r="CS18" s="1948"/>
      <c r="CT18" s="1948"/>
      <c r="CU18" s="1948"/>
      <c r="CV18" s="1948"/>
      <c r="CW18" s="1948"/>
      <c r="CX18" s="1948"/>
      <c r="CY18" s="1948"/>
      <c r="CZ18" s="1948"/>
    </row>
    <row r="19" spans="1:156" s="1946" customFormat="1" ht="12" hidden="1" customHeight="1" outlineLevel="1" x14ac:dyDescent="0.2">
      <c r="A19" s="1953"/>
      <c r="B19" s="1953" t="s">
        <v>880</v>
      </c>
      <c r="AX19" s="1953"/>
      <c r="AY19" s="1953"/>
      <c r="AZ19" s="1953"/>
      <c r="BA19" s="1953"/>
      <c r="BB19" s="1953"/>
      <c r="BE19" s="1953"/>
      <c r="BF19" s="1953"/>
      <c r="BG19" s="1953"/>
      <c r="BH19" s="1953"/>
      <c r="BK19" s="1953"/>
      <c r="BP19" s="1953"/>
      <c r="BR19" s="1953"/>
      <c r="BS19" s="1948"/>
      <c r="BT19" s="1948"/>
      <c r="BU19" s="1948"/>
      <c r="BV19" s="1948"/>
      <c r="BW19" s="1948"/>
      <c r="BX19" s="1948"/>
      <c r="BY19" s="1948"/>
      <c r="BZ19" s="1948"/>
      <c r="CA19" s="1948"/>
      <c r="CB19" s="1948"/>
      <c r="CC19" s="1948"/>
      <c r="CD19" s="1948"/>
      <c r="CE19" s="1948"/>
      <c r="CF19" s="1948"/>
      <c r="CG19" s="1948"/>
      <c r="CH19" s="1948"/>
      <c r="CI19" s="1948"/>
      <c r="CJ19" s="1948"/>
      <c r="CK19" s="1948"/>
      <c r="CL19" s="1948"/>
      <c r="CM19" s="1948"/>
      <c r="CN19" s="1948"/>
      <c r="CO19" s="1948"/>
      <c r="CP19" s="1948"/>
      <c r="CQ19" s="1948"/>
      <c r="CR19" s="1948"/>
      <c r="CS19" s="1948"/>
      <c r="CT19" s="1948"/>
      <c r="CU19" s="1948"/>
      <c r="CV19" s="1948"/>
      <c r="CW19" s="1948"/>
      <c r="CX19" s="1948"/>
      <c r="CY19" s="1948"/>
      <c r="CZ19" s="1948"/>
    </row>
    <row r="20" spans="1:156" s="1946" customFormat="1" ht="12" hidden="1" customHeight="1" outlineLevel="1" x14ac:dyDescent="0.2">
      <c r="A20" s="1953"/>
      <c r="B20" s="1953"/>
      <c r="AX20" s="1953"/>
      <c r="AY20" s="1953"/>
      <c r="AZ20" s="1953"/>
      <c r="BA20" s="1953"/>
      <c r="BB20" s="1953"/>
      <c r="BE20" s="1953"/>
      <c r="BF20" s="1953"/>
      <c r="BG20" s="1953"/>
      <c r="BH20" s="1953"/>
      <c r="BK20" s="1953"/>
      <c r="BP20" s="1953"/>
      <c r="BR20" s="1953"/>
      <c r="BS20" s="1948"/>
      <c r="BT20" s="1948"/>
      <c r="BU20" s="1948"/>
      <c r="BV20" s="1948"/>
      <c r="BW20" s="1948"/>
      <c r="BX20" s="1948"/>
      <c r="BY20" s="1948"/>
      <c r="BZ20" s="1948"/>
      <c r="CA20" s="1948"/>
      <c r="CB20" s="1948"/>
      <c r="CC20" s="1948"/>
      <c r="CD20" s="1948"/>
      <c r="CE20" s="1948"/>
      <c r="CF20" s="1948"/>
      <c r="CG20" s="1948"/>
      <c r="CH20" s="1948"/>
      <c r="CI20" s="1948"/>
      <c r="CJ20" s="1948"/>
      <c r="CK20" s="1948"/>
      <c r="CL20" s="1948"/>
      <c r="CM20" s="1948"/>
      <c r="CN20" s="1948"/>
      <c r="CO20" s="1948"/>
      <c r="CP20" s="1948"/>
      <c r="CQ20" s="1948"/>
      <c r="CR20" s="1948"/>
      <c r="CS20" s="1948"/>
      <c r="CT20" s="1948"/>
      <c r="CU20" s="1948"/>
      <c r="CV20" s="1948"/>
      <c r="CW20" s="1948"/>
      <c r="CX20" s="1948"/>
      <c r="CY20" s="1948"/>
      <c r="CZ20" s="1948"/>
    </row>
    <row r="21" spans="1:156" s="1946" customFormat="1" ht="12" hidden="1" customHeight="1" outlineLevel="1" x14ac:dyDescent="0.2">
      <c r="A21" s="1953"/>
      <c r="B21" s="1953"/>
      <c r="AX21" s="1953"/>
      <c r="AY21" s="1953"/>
      <c r="AZ21" s="1953"/>
      <c r="BA21" s="1953"/>
      <c r="BB21" s="1953"/>
      <c r="BE21" s="1953"/>
      <c r="BF21" s="1953"/>
      <c r="BG21" s="1953"/>
      <c r="BH21" s="1953"/>
      <c r="BK21" s="1953"/>
      <c r="BP21" s="1953"/>
      <c r="BR21" s="1953"/>
      <c r="BS21" s="1948"/>
      <c r="BT21" s="1948"/>
      <c r="BU21" s="1948"/>
      <c r="BV21" s="1948"/>
      <c r="BW21" s="1948"/>
      <c r="BX21" s="1948"/>
      <c r="BY21" s="1948"/>
      <c r="BZ21" s="1948"/>
      <c r="CA21" s="1948"/>
      <c r="CB21" s="1948"/>
      <c r="CC21" s="1948"/>
      <c r="CD21" s="1948"/>
      <c r="CE21" s="1948"/>
      <c r="CF21" s="1948"/>
      <c r="CG21" s="1948"/>
      <c r="CH21" s="1948"/>
      <c r="CI21" s="1948"/>
      <c r="CJ21" s="1948"/>
      <c r="CK21" s="1948"/>
      <c r="CL21" s="1948"/>
      <c r="CM21" s="1948"/>
      <c r="CN21" s="1948"/>
      <c r="CO21" s="1948"/>
      <c r="CP21" s="1948"/>
      <c r="CQ21" s="1948"/>
      <c r="CR21" s="1948"/>
      <c r="CS21" s="1948"/>
      <c r="CT21" s="1948"/>
      <c r="CU21" s="1948"/>
      <c r="CV21" s="1948"/>
      <c r="CW21" s="1948"/>
      <c r="CX21" s="1948"/>
      <c r="CY21" s="1948"/>
      <c r="CZ21" s="1948"/>
    </row>
    <row r="22" spans="1:156" s="1946" customFormat="1" ht="12" hidden="1" customHeight="1" outlineLevel="1" x14ac:dyDescent="0.2">
      <c r="A22" s="1953"/>
      <c r="B22" s="1953"/>
      <c r="AX22" s="1953"/>
      <c r="AY22" s="1953"/>
      <c r="AZ22" s="1953"/>
      <c r="BA22" s="1953"/>
      <c r="BB22" s="1953"/>
      <c r="BE22" s="1953"/>
      <c r="BF22" s="1953"/>
      <c r="BG22" s="1953"/>
      <c r="BH22" s="1953"/>
      <c r="BK22" s="1953"/>
      <c r="BP22" s="1953"/>
      <c r="BR22" s="1953"/>
      <c r="BS22" s="1948"/>
      <c r="BT22" s="1948"/>
      <c r="BU22" s="1948"/>
      <c r="BV22" s="1948"/>
      <c r="BW22" s="1948"/>
      <c r="BX22" s="1948"/>
      <c r="BY22" s="1948"/>
      <c r="BZ22" s="1948"/>
      <c r="CA22" s="1948"/>
      <c r="CB22" s="1948"/>
      <c r="CC22" s="1948"/>
      <c r="CD22" s="1948"/>
      <c r="CE22" s="1948"/>
      <c r="CF22" s="1948"/>
      <c r="CG22" s="1948"/>
      <c r="CH22" s="1948"/>
      <c r="CI22" s="1948"/>
      <c r="CJ22" s="1948"/>
      <c r="CK22" s="1948"/>
      <c r="CL22" s="1948"/>
      <c r="CM22" s="1948"/>
      <c r="CN22" s="1948"/>
      <c r="CO22" s="1948"/>
      <c r="CP22" s="1948"/>
      <c r="CQ22" s="1948"/>
      <c r="CR22" s="1948"/>
      <c r="CS22" s="1948"/>
      <c r="CT22" s="1948"/>
      <c r="CU22" s="1948"/>
      <c r="CV22" s="1948"/>
      <c r="CW22" s="1948"/>
      <c r="CX22" s="1948"/>
      <c r="CY22" s="1948"/>
      <c r="CZ22" s="1948"/>
    </row>
    <row r="23" spans="1:156" ht="12" hidden="1" customHeight="1" outlineLevel="1" x14ac:dyDescent="0.2">
      <c r="C23" s="1946"/>
      <c r="D23" s="1946"/>
      <c r="E23" s="1946"/>
      <c r="F23" s="1946"/>
      <c r="G23" s="1946"/>
      <c r="H23" s="1946"/>
      <c r="I23" s="1946"/>
      <c r="J23" s="1946"/>
      <c r="K23" s="1946"/>
      <c r="L23" s="1946"/>
      <c r="M23" s="1946"/>
      <c r="N23" s="1946"/>
      <c r="O23" s="1946"/>
      <c r="P23" s="1946"/>
      <c r="Q23" s="1946"/>
      <c r="R23" s="1946"/>
      <c r="S23" s="1946"/>
      <c r="T23" s="1946"/>
      <c r="U23" s="1946"/>
      <c r="V23" s="1946"/>
      <c r="W23" s="1946"/>
      <c r="X23" s="1946"/>
      <c r="Y23" s="1946"/>
      <c r="Z23" s="1946"/>
      <c r="AA23" s="1946"/>
      <c r="AB23" s="1946"/>
      <c r="AC23" s="1946"/>
      <c r="AD23" s="1946"/>
      <c r="AE23" s="1946"/>
      <c r="AF23" s="1946"/>
      <c r="AG23" s="1946"/>
      <c r="AH23" s="1946"/>
      <c r="AI23" s="1946"/>
      <c r="AJ23" s="1946"/>
      <c r="AK23" s="1946"/>
      <c r="AL23" s="1946"/>
      <c r="AM23" s="1946"/>
      <c r="AN23" s="1946"/>
      <c r="AO23" s="1946"/>
      <c r="AP23" s="1946"/>
      <c r="AQ23" s="1946"/>
      <c r="AR23" s="1946"/>
      <c r="AS23" s="1946"/>
      <c r="AT23" s="1946"/>
      <c r="AU23" s="1946"/>
      <c r="AV23" s="1946"/>
      <c r="AW23" s="1946"/>
      <c r="BC23" s="1946"/>
      <c r="BD23" s="1946"/>
      <c r="BI23" s="1946"/>
      <c r="BJ23" s="1946"/>
      <c r="BL23" s="1946"/>
      <c r="BM23" s="1946"/>
      <c r="BN23" s="1946"/>
      <c r="BO23" s="1946"/>
      <c r="BQ23" s="1946"/>
      <c r="BS23" s="1947"/>
      <c r="BT23" s="1948"/>
      <c r="BU23" s="1951"/>
      <c r="BV23" s="1951"/>
      <c r="BW23" s="1951"/>
      <c r="BX23" s="1951"/>
      <c r="BY23" s="1951"/>
      <c r="BZ23" s="1951"/>
      <c r="CA23" s="1951"/>
      <c r="CB23" s="1951"/>
      <c r="CC23" s="1951"/>
      <c r="CD23" s="1951"/>
      <c r="CE23" s="1951"/>
      <c r="CF23" s="1951"/>
      <c r="CG23" s="1951"/>
      <c r="CH23" s="1951"/>
    </row>
    <row r="24" spans="1:156" ht="12" hidden="1" customHeight="1" outlineLevel="1" x14ac:dyDescent="0.2">
      <c r="C24" s="1946"/>
      <c r="D24" s="1946"/>
      <c r="E24" s="1946"/>
      <c r="F24" s="1946"/>
      <c r="G24" s="1946"/>
      <c r="H24" s="1946"/>
      <c r="I24" s="1946"/>
      <c r="J24" s="1946"/>
      <c r="K24" s="1946"/>
      <c r="L24" s="1946"/>
      <c r="M24" s="1946"/>
      <c r="N24" s="1946"/>
      <c r="O24" s="1946"/>
      <c r="P24" s="1946"/>
      <c r="Q24" s="1946"/>
      <c r="R24" s="1946"/>
      <c r="S24" s="1946"/>
      <c r="T24" s="1946"/>
      <c r="U24" s="1946"/>
      <c r="V24" s="1946"/>
      <c r="W24" s="1946"/>
      <c r="X24" s="1946"/>
      <c r="Y24" s="1946"/>
      <c r="Z24" s="1946"/>
      <c r="AA24" s="1946"/>
      <c r="AB24" s="1946"/>
      <c r="AC24" s="1946"/>
      <c r="AD24" s="1946"/>
      <c r="AE24" s="1946"/>
      <c r="AF24" s="1946"/>
      <c r="AG24" s="1946"/>
      <c r="AH24" s="1946"/>
      <c r="AI24" s="1946"/>
      <c r="AJ24" s="1946"/>
      <c r="AK24" s="1946"/>
      <c r="AL24" s="1946"/>
      <c r="AM24" s="1946"/>
      <c r="AN24" s="1946"/>
      <c r="AO24" s="1946"/>
      <c r="AP24" s="1946"/>
      <c r="AQ24" s="1946"/>
      <c r="AR24" s="1946"/>
      <c r="AS24" s="1946"/>
      <c r="AT24" s="1946"/>
      <c r="AU24" s="1946"/>
      <c r="AV24" s="1946"/>
      <c r="AW24" s="1946"/>
      <c r="BC24" s="1946"/>
      <c r="BD24" s="1946"/>
      <c r="BI24" s="1946"/>
      <c r="BJ24" s="1946"/>
      <c r="BL24" s="1946"/>
      <c r="BM24" s="1946"/>
      <c r="BN24" s="1946"/>
      <c r="BO24" s="1946"/>
      <c r="BQ24" s="1946"/>
      <c r="BS24" s="1948"/>
      <c r="BT24" s="1948"/>
      <c r="BU24" s="1952"/>
      <c r="BV24" s="1952"/>
      <c r="BW24" s="1952"/>
      <c r="BX24" s="1952"/>
      <c r="BY24" s="1952"/>
      <c r="BZ24" s="1952"/>
      <c r="CA24" s="1952"/>
      <c r="CB24" s="1952"/>
      <c r="CC24" s="1952"/>
      <c r="CD24" s="1952"/>
      <c r="CE24" s="1952"/>
      <c r="CF24" s="1952"/>
      <c r="CG24" s="1952"/>
      <c r="CH24" s="1952"/>
      <c r="CI24" s="1952"/>
      <c r="CJ24" s="1952"/>
      <c r="CK24" s="1952"/>
      <c r="CL24" s="1952"/>
      <c r="CM24" s="1952"/>
      <c r="CN24" s="1952"/>
      <c r="CO24" s="1952"/>
      <c r="CP24" s="1952"/>
      <c r="CQ24" s="1952"/>
      <c r="CR24" s="1952"/>
      <c r="CS24" s="1952"/>
      <c r="CT24" s="1952"/>
      <c r="CU24" s="1952"/>
      <c r="CV24" s="1952"/>
      <c r="CW24" s="1952"/>
      <c r="CX24" s="1952"/>
      <c r="CY24" s="1952"/>
      <c r="CZ24" s="1952"/>
      <c r="DA24" s="1952"/>
      <c r="DB24" s="1952"/>
      <c r="DC24" s="1952"/>
      <c r="DD24" s="1952"/>
      <c r="DE24" s="1952"/>
      <c r="DF24" s="1952"/>
      <c r="DG24" s="1952"/>
      <c r="DH24" s="1952"/>
      <c r="DI24" s="1952"/>
      <c r="DJ24" s="1952"/>
      <c r="DK24" s="1952"/>
      <c r="DL24" s="1952"/>
      <c r="DM24" s="1952"/>
      <c r="DN24" s="1952"/>
      <c r="DO24" s="1952"/>
      <c r="DP24" s="1952"/>
      <c r="DQ24" s="1952"/>
      <c r="DR24" s="1952"/>
      <c r="DS24" s="1952"/>
      <c r="DT24" s="1952"/>
      <c r="DU24" s="1952"/>
      <c r="DV24" s="1952"/>
      <c r="DW24" s="1952"/>
      <c r="DX24" s="1952"/>
    </row>
    <row r="25" spans="1:156" s="1946" customFormat="1" ht="12" hidden="1" customHeight="1" outlineLevel="1" x14ac:dyDescent="0.2">
      <c r="A25" s="1953"/>
      <c r="B25" s="1953"/>
      <c r="K25" s="1948"/>
      <c r="M25" s="1948"/>
      <c r="O25" s="1948"/>
      <c r="Q25" s="1948"/>
      <c r="S25" s="1948"/>
      <c r="U25" s="1948"/>
      <c r="W25" s="1948"/>
      <c r="Y25" s="1948"/>
      <c r="AX25" s="1953"/>
      <c r="AY25" s="1953"/>
      <c r="AZ25" s="1953"/>
      <c r="BA25" s="1953"/>
      <c r="BB25" s="1953"/>
      <c r="BD25" s="1948"/>
      <c r="BE25" s="1953"/>
      <c r="BF25" s="1953"/>
      <c r="BG25" s="1953"/>
      <c r="BH25" s="1953"/>
      <c r="BJ25" s="1948"/>
      <c r="BK25" s="1953"/>
      <c r="BM25" s="1948"/>
      <c r="BO25" s="1948"/>
      <c r="BP25" s="1953"/>
      <c r="BR25" s="1953"/>
      <c r="BS25" s="1948"/>
      <c r="BU25" s="1948"/>
      <c r="BW25" s="1948"/>
      <c r="BY25" s="1948"/>
      <c r="CA25" s="1948"/>
      <c r="CC25" s="1948"/>
      <c r="CE25" s="1948"/>
      <c r="CG25" s="1948"/>
      <c r="CI25" s="1948"/>
      <c r="CJ25" s="1948"/>
      <c r="CK25" s="1948"/>
      <c r="CL25" s="1948"/>
      <c r="CM25" s="1948"/>
      <c r="CN25" s="1948"/>
      <c r="CO25" s="1948"/>
      <c r="CP25" s="1948"/>
      <c r="CQ25" s="1948"/>
      <c r="CR25" s="1948"/>
      <c r="CS25" s="1948"/>
      <c r="CT25" s="1948"/>
      <c r="CU25" s="1948"/>
      <c r="CV25" s="1948"/>
      <c r="CW25" s="1948"/>
      <c r="CX25" s="1948"/>
      <c r="CY25" s="1948"/>
      <c r="CZ25" s="1948"/>
    </row>
    <row r="26" spans="1:156" s="1946" customFormat="1" ht="12" hidden="1" customHeight="1" outlineLevel="1" x14ac:dyDescent="0.2">
      <c r="K26" s="1948"/>
      <c r="M26" s="1948"/>
      <c r="O26" s="1948"/>
      <c r="Q26" s="1948"/>
      <c r="S26" s="1948"/>
      <c r="U26" s="1948"/>
      <c r="W26" s="1948"/>
      <c r="Y26" s="1948"/>
      <c r="BD26" s="1948"/>
      <c r="BJ26" s="1948"/>
      <c r="BM26" s="1948"/>
      <c r="BO26" s="1948"/>
      <c r="BS26" s="1948"/>
      <c r="BT26" s="1948"/>
      <c r="BU26" s="1948"/>
      <c r="BV26" s="1948"/>
      <c r="BW26" s="1948"/>
      <c r="BX26" s="1948"/>
      <c r="BY26" s="1948"/>
      <c r="BZ26" s="1948"/>
      <c r="CA26" s="1948"/>
      <c r="CB26" s="1948"/>
      <c r="CC26" s="1948"/>
      <c r="CD26" s="1948"/>
      <c r="CE26" s="1948"/>
      <c r="CF26" s="1948"/>
      <c r="CG26" s="1948"/>
      <c r="CH26" s="1948"/>
      <c r="CI26" s="1948"/>
      <c r="CK26" s="1948"/>
      <c r="CL26" s="1948"/>
      <c r="CM26" s="1948"/>
      <c r="CN26" s="1948"/>
      <c r="CO26" s="1948"/>
      <c r="CP26" s="1948"/>
      <c r="CQ26" s="1948"/>
      <c r="CR26" s="1948"/>
      <c r="CS26" s="1948"/>
      <c r="CT26" s="1948"/>
      <c r="CU26" s="1948"/>
      <c r="CV26" s="1948"/>
      <c r="CW26" s="1948"/>
      <c r="CX26" s="1948"/>
      <c r="CY26" s="1948"/>
      <c r="CZ26" s="1948"/>
    </row>
    <row r="27" spans="1:156" s="1946" customFormat="1" ht="12" hidden="1" customHeight="1" outlineLevel="1" x14ac:dyDescent="0.2">
      <c r="A27" s="1951" t="s">
        <v>881</v>
      </c>
      <c r="B27" s="1952" t="s">
        <v>882</v>
      </c>
      <c r="C27" s="1948"/>
      <c r="D27" s="1948"/>
      <c r="E27" s="1948"/>
      <c r="F27" s="1948"/>
      <c r="G27" s="1948"/>
      <c r="H27" s="1948"/>
      <c r="I27" s="1948"/>
      <c r="J27" s="1948"/>
      <c r="K27" s="1948"/>
      <c r="L27" s="1948"/>
      <c r="M27" s="1948"/>
      <c r="N27" s="1948"/>
      <c r="O27" s="1948"/>
      <c r="P27" s="1948"/>
      <c r="Q27" s="1948"/>
      <c r="R27" s="1948"/>
      <c r="S27" s="1948"/>
      <c r="T27" s="1948"/>
      <c r="U27" s="1948"/>
      <c r="V27" s="1948"/>
      <c r="W27" s="1948"/>
      <c r="X27" s="1948"/>
      <c r="Y27" s="1948"/>
      <c r="Z27" s="1948"/>
      <c r="AA27" s="1948"/>
      <c r="AB27" s="1948"/>
      <c r="AC27" s="1948"/>
      <c r="AD27" s="1948"/>
      <c r="AE27" s="1948"/>
      <c r="AF27" s="1948"/>
      <c r="AG27" s="1948"/>
      <c r="AH27" s="1948"/>
      <c r="AI27" s="1948"/>
      <c r="AJ27" s="1948"/>
      <c r="AK27" s="1948"/>
      <c r="AL27" s="1948"/>
      <c r="AM27" s="1948"/>
      <c r="AN27" s="1948"/>
      <c r="AO27" s="1948"/>
      <c r="AP27" s="1948"/>
      <c r="AQ27" s="1948"/>
      <c r="AR27" s="1948"/>
      <c r="AS27" s="1948"/>
      <c r="AT27" s="1948"/>
      <c r="AU27" s="1948"/>
      <c r="AV27" s="1948"/>
      <c r="AW27" s="1948"/>
      <c r="AX27" s="1952"/>
      <c r="AY27" s="1952"/>
      <c r="AZ27" s="1952"/>
      <c r="BA27" s="1952"/>
      <c r="BB27" s="1952"/>
      <c r="BC27" s="1948"/>
      <c r="BD27" s="1948"/>
      <c r="BE27" s="1952"/>
      <c r="BF27" s="1952"/>
      <c r="BG27" s="1952"/>
      <c r="BH27" s="1952"/>
      <c r="BI27" s="1948"/>
      <c r="BJ27" s="1948"/>
      <c r="BK27" s="1952"/>
      <c r="BL27" s="1948"/>
      <c r="BM27" s="1948"/>
      <c r="BN27" s="1948"/>
      <c r="BO27" s="1948"/>
      <c r="BP27" s="1952"/>
      <c r="BQ27" s="1948"/>
      <c r="BR27" s="1952"/>
      <c r="BS27" s="1948"/>
      <c r="BT27" s="1948"/>
      <c r="BU27" s="1948"/>
      <c r="BV27" s="1948"/>
      <c r="BW27" s="1948"/>
      <c r="BX27" s="1948"/>
      <c r="BY27" s="1948"/>
      <c r="BZ27" s="1948"/>
      <c r="CA27" s="1948"/>
      <c r="CB27" s="1948"/>
      <c r="CC27" s="1948"/>
      <c r="CD27" s="1948"/>
      <c r="CE27" s="1948"/>
      <c r="CF27" s="1948"/>
      <c r="CG27" s="1948"/>
      <c r="CH27" s="1948"/>
      <c r="CI27" s="1948"/>
      <c r="CJ27" s="1948"/>
      <c r="CK27" s="1948"/>
      <c r="CL27" s="1948"/>
      <c r="CM27" s="1948"/>
      <c r="CN27" s="1948"/>
      <c r="CO27" s="1948"/>
      <c r="CP27" s="1948"/>
      <c r="CQ27" s="1948"/>
      <c r="CR27" s="1948"/>
      <c r="CS27" s="1948"/>
      <c r="CT27" s="1948"/>
      <c r="CU27" s="1948"/>
      <c r="CV27" s="1948"/>
      <c r="CW27" s="1948"/>
      <c r="CX27" s="1948"/>
      <c r="CY27" s="1948"/>
      <c r="CZ27" s="1948"/>
      <c r="DA27" s="1947"/>
      <c r="DB27" s="1947"/>
      <c r="DC27" s="1947"/>
      <c r="DD27" s="1947"/>
      <c r="DE27" s="1947"/>
      <c r="DF27" s="1947"/>
      <c r="DG27" s="1947"/>
      <c r="DH27" s="1947"/>
      <c r="DI27" s="1947"/>
      <c r="DJ27" s="1947"/>
      <c r="DK27" s="1947"/>
      <c r="DL27" s="1947"/>
      <c r="DM27" s="1947"/>
      <c r="DN27" s="1947"/>
      <c r="DO27" s="1947"/>
      <c r="DP27" s="1947"/>
      <c r="DQ27" s="1947"/>
      <c r="DR27" s="1947"/>
      <c r="DS27" s="1947"/>
      <c r="DT27" s="1947"/>
      <c r="DU27" s="1947"/>
      <c r="DV27" s="1947"/>
      <c r="DW27" s="1947"/>
      <c r="DX27" s="1947"/>
      <c r="DY27" s="1947"/>
      <c r="DZ27" s="1947"/>
      <c r="EA27" s="1947"/>
      <c r="EB27" s="1947"/>
      <c r="EC27" s="1947"/>
      <c r="ED27" s="1947"/>
      <c r="EE27" s="1947"/>
      <c r="EF27" s="1947"/>
      <c r="EG27" s="1947"/>
      <c r="EH27" s="1947"/>
      <c r="EI27" s="1947"/>
      <c r="EJ27" s="1947"/>
      <c r="EK27" s="1947"/>
      <c r="EL27" s="1947"/>
      <c r="EM27" s="1947"/>
      <c r="EN27" s="1947"/>
      <c r="EO27" s="1947"/>
      <c r="EP27" s="1947"/>
      <c r="EQ27" s="1947"/>
      <c r="ER27" s="1947"/>
      <c r="ES27" s="1947"/>
      <c r="ET27" s="1947"/>
      <c r="EU27" s="1947"/>
      <c r="EV27" s="1947"/>
      <c r="EW27" s="1947"/>
      <c r="EX27" s="1947"/>
      <c r="EY27" s="1947"/>
      <c r="EZ27" s="1947"/>
    </row>
    <row r="28" spans="1:156" s="1946" customFormat="1" ht="12" hidden="1" customHeight="1" outlineLevel="1" x14ac:dyDescent="0.2">
      <c r="A28" s="1951" t="s">
        <v>883</v>
      </c>
      <c r="B28" s="1952" t="s">
        <v>884</v>
      </c>
      <c r="C28" s="1948"/>
      <c r="D28" s="1948"/>
      <c r="E28" s="1948"/>
      <c r="F28" s="1948"/>
      <c r="G28" s="1948"/>
      <c r="H28" s="1948"/>
      <c r="I28" s="1948"/>
      <c r="J28" s="1948"/>
      <c r="K28" s="1948"/>
      <c r="L28" s="1948"/>
      <c r="M28" s="1948"/>
      <c r="N28" s="1948"/>
      <c r="O28" s="1948"/>
      <c r="P28" s="1948"/>
      <c r="Q28" s="1948"/>
      <c r="R28" s="1948"/>
      <c r="S28" s="1948"/>
      <c r="T28" s="1948"/>
      <c r="U28" s="1948"/>
      <c r="V28" s="1948"/>
      <c r="W28" s="1948"/>
      <c r="X28" s="1948"/>
      <c r="Y28" s="1948"/>
      <c r="Z28" s="1948"/>
      <c r="AA28" s="1948"/>
      <c r="AB28" s="1948"/>
      <c r="AC28" s="1948"/>
      <c r="AD28" s="1948"/>
      <c r="AE28" s="1948"/>
      <c r="AF28" s="1948"/>
      <c r="AG28" s="1948"/>
      <c r="AH28" s="1948"/>
      <c r="AI28" s="1948"/>
      <c r="AJ28" s="1948"/>
      <c r="AK28" s="1948"/>
      <c r="AL28" s="1948"/>
      <c r="AM28" s="1948"/>
      <c r="AN28" s="1948"/>
      <c r="AO28" s="1948"/>
      <c r="AP28" s="1948"/>
      <c r="AQ28" s="1948"/>
      <c r="AR28" s="1948"/>
      <c r="AS28" s="1948"/>
      <c r="AT28" s="1948"/>
      <c r="AU28" s="1948"/>
      <c r="AV28" s="1948"/>
      <c r="AW28" s="1948"/>
      <c r="AX28" s="1952"/>
      <c r="AY28" s="1952"/>
      <c r="AZ28" s="1952"/>
      <c r="BA28" s="1952"/>
      <c r="BB28" s="1952"/>
      <c r="BC28" s="1948"/>
      <c r="BD28" s="1948"/>
      <c r="BE28" s="1952"/>
      <c r="BF28" s="1952"/>
      <c r="BG28" s="1952"/>
      <c r="BH28" s="1952"/>
      <c r="BI28" s="1948"/>
      <c r="BJ28" s="1948"/>
      <c r="BK28" s="1952"/>
      <c r="BL28" s="1948"/>
      <c r="BM28" s="1948"/>
      <c r="BN28" s="1948"/>
      <c r="BO28" s="1948"/>
      <c r="BP28" s="1952"/>
      <c r="BQ28" s="1948"/>
      <c r="BR28" s="1952"/>
      <c r="BS28" s="1948"/>
      <c r="BT28" s="1948"/>
      <c r="BU28" s="1948"/>
      <c r="BV28" s="1948"/>
      <c r="BW28" s="1948"/>
      <c r="BX28" s="1948"/>
      <c r="BY28" s="1948"/>
      <c r="BZ28" s="1948"/>
      <c r="CA28" s="1948"/>
      <c r="CB28" s="1948"/>
      <c r="CC28" s="1948"/>
      <c r="CD28" s="1948"/>
      <c r="CE28" s="1948"/>
      <c r="CF28" s="1948"/>
      <c r="CG28" s="1948"/>
      <c r="CH28" s="1948"/>
      <c r="CI28" s="1948"/>
      <c r="CJ28" s="1948"/>
      <c r="CK28" s="1948"/>
      <c r="CL28" s="1948"/>
      <c r="CM28" s="1948"/>
      <c r="CN28" s="1948"/>
      <c r="CO28" s="1948"/>
      <c r="CP28" s="1948"/>
      <c r="CQ28" s="1948"/>
      <c r="CR28" s="1948"/>
      <c r="CS28" s="1948"/>
      <c r="CT28" s="1948"/>
      <c r="CU28" s="1948"/>
      <c r="CV28" s="1948"/>
      <c r="CW28" s="1948"/>
      <c r="CX28" s="1948"/>
      <c r="CY28" s="1948"/>
      <c r="CZ28" s="1948"/>
      <c r="DA28" s="1947"/>
      <c r="DB28" s="1947"/>
      <c r="DC28" s="1947"/>
      <c r="DD28" s="1947"/>
      <c r="DE28" s="1947"/>
      <c r="DF28" s="1947"/>
      <c r="DG28" s="1947"/>
      <c r="DH28" s="1947"/>
      <c r="DI28" s="1947"/>
      <c r="DJ28" s="1947"/>
      <c r="DK28" s="1947"/>
      <c r="DL28" s="1947"/>
      <c r="DM28" s="1947"/>
      <c r="DN28" s="1947"/>
      <c r="DO28" s="1947"/>
      <c r="DP28" s="1947"/>
      <c r="DQ28" s="1947"/>
      <c r="DR28" s="1947"/>
      <c r="DS28" s="1947"/>
      <c r="DT28" s="1947"/>
      <c r="DU28" s="1947"/>
      <c r="DV28" s="1947"/>
      <c r="DW28" s="1947"/>
      <c r="DX28" s="1947"/>
      <c r="DY28" s="1947"/>
      <c r="DZ28" s="1947"/>
      <c r="EA28" s="1947"/>
      <c r="EB28" s="1947"/>
      <c r="EC28" s="1947"/>
      <c r="ED28" s="1947"/>
      <c r="EE28" s="1947"/>
      <c r="EF28" s="1947"/>
      <c r="EG28" s="1947"/>
      <c r="EH28" s="1947"/>
      <c r="EI28" s="1947"/>
      <c r="EJ28" s="1947"/>
      <c r="EK28" s="1947"/>
      <c r="EL28" s="1947"/>
      <c r="EM28" s="1947"/>
      <c r="EN28" s="1947"/>
      <c r="EO28" s="1947"/>
      <c r="EP28" s="1947"/>
      <c r="EQ28" s="1947"/>
      <c r="ER28" s="1947"/>
      <c r="ES28" s="1947"/>
      <c r="ET28" s="1947"/>
      <c r="EU28" s="1947"/>
      <c r="EV28" s="1947"/>
      <c r="EW28" s="1947"/>
      <c r="EX28" s="1947"/>
      <c r="EY28" s="1947"/>
      <c r="EZ28" s="1947"/>
    </row>
    <row r="29" spans="1:156" s="1946" customFormat="1" ht="12" hidden="1" customHeight="1" outlineLevel="1" x14ac:dyDescent="0.2">
      <c r="A29" s="1951" t="s">
        <v>885</v>
      </c>
      <c r="B29" s="1952" t="e">
        <v>#NAME?</v>
      </c>
      <c r="C29" s="1948"/>
      <c r="D29" s="1948"/>
      <c r="E29" s="1948"/>
      <c r="F29" s="1948"/>
      <c r="G29" s="1948"/>
      <c r="H29" s="1948"/>
      <c r="I29" s="1948"/>
      <c r="J29" s="1948"/>
      <c r="K29" s="1948"/>
      <c r="L29" s="1948"/>
      <c r="M29" s="1948"/>
      <c r="N29" s="1948"/>
      <c r="O29" s="1948"/>
      <c r="P29" s="1948"/>
      <c r="Q29" s="1948"/>
      <c r="R29" s="1948"/>
      <c r="S29" s="1948"/>
      <c r="T29" s="1948"/>
      <c r="U29" s="1948"/>
      <c r="V29" s="1948"/>
      <c r="W29" s="1948"/>
      <c r="X29" s="1948"/>
      <c r="Y29" s="1948"/>
      <c r="Z29" s="1948"/>
      <c r="AA29" s="1948"/>
      <c r="AB29" s="1948"/>
      <c r="AC29" s="1948"/>
      <c r="AD29" s="1948"/>
      <c r="AE29" s="1948"/>
      <c r="AF29" s="1948"/>
      <c r="AG29" s="1948"/>
      <c r="AH29" s="1948"/>
      <c r="AI29" s="1948"/>
      <c r="AJ29" s="1948"/>
      <c r="AK29" s="1948"/>
      <c r="AL29" s="1948"/>
      <c r="AM29" s="1948"/>
      <c r="AN29" s="1948"/>
      <c r="AO29" s="1948"/>
      <c r="AP29" s="1948"/>
      <c r="AQ29" s="1948"/>
      <c r="AR29" s="1948"/>
      <c r="AS29" s="1948"/>
      <c r="AT29" s="1948"/>
      <c r="AU29" s="1948"/>
      <c r="AV29" s="1948"/>
      <c r="AW29" s="1948"/>
      <c r="AX29" s="1952"/>
      <c r="AY29" s="1952"/>
      <c r="AZ29" s="1952"/>
      <c r="BA29" s="1952"/>
      <c r="BB29" s="1952"/>
      <c r="BC29" s="1948"/>
      <c r="BD29" s="1948"/>
      <c r="BE29" s="1952"/>
      <c r="BF29" s="1952"/>
      <c r="BG29" s="1952"/>
      <c r="BH29" s="1952"/>
      <c r="BI29" s="1948"/>
      <c r="BJ29" s="1948"/>
      <c r="BK29" s="1952"/>
      <c r="BL29" s="1948"/>
      <c r="BM29" s="1948"/>
      <c r="BN29" s="1948"/>
      <c r="BO29" s="1948"/>
      <c r="BP29" s="1952"/>
      <c r="BQ29" s="1948"/>
      <c r="BR29" s="1952"/>
      <c r="BS29" s="1948"/>
      <c r="BT29" s="1948"/>
      <c r="BU29" s="1948"/>
      <c r="BV29" s="1948"/>
      <c r="BW29" s="1948"/>
      <c r="BX29" s="1948"/>
      <c r="BY29" s="1948"/>
      <c r="BZ29" s="1948"/>
      <c r="CA29" s="1948"/>
      <c r="CB29" s="1948"/>
      <c r="CC29" s="1948"/>
      <c r="CD29" s="1948"/>
      <c r="CE29" s="1948"/>
      <c r="CF29" s="1948"/>
      <c r="CG29" s="1948"/>
      <c r="CH29" s="1948"/>
      <c r="CI29" s="1948"/>
      <c r="CJ29" s="1948"/>
      <c r="CK29" s="1948"/>
      <c r="CL29" s="1948"/>
      <c r="CM29" s="1948"/>
      <c r="CN29" s="1948"/>
      <c r="CO29" s="1948"/>
      <c r="CP29" s="1948"/>
      <c r="CQ29" s="1948"/>
      <c r="CR29" s="1948"/>
      <c r="CS29" s="1948"/>
      <c r="CT29" s="1948"/>
      <c r="CU29" s="1948"/>
      <c r="CV29" s="1948"/>
      <c r="CW29" s="1948"/>
      <c r="CX29" s="1948"/>
      <c r="CY29" s="1948"/>
      <c r="CZ29" s="1948"/>
      <c r="DA29" s="1947"/>
      <c r="DB29" s="1947"/>
      <c r="DC29" s="1947"/>
      <c r="DD29" s="1947"/>
      <c r="DE29" s="1947"/>
      <c r="DF29" s="1947"/>
      <c r="DG29" s="1947"/>
      <c r="DH29" s="1947"/>
      <c r="DI29" s="1947"/>
      <c r="DJ29" s="1947"/>
      <c r="DK29" s="1947"/>
      <c r="DL29" s="1947"/>
      <c r="DM29" s="1947"/>
      <c r="DN29" s="1947"/>
      <c r="DO29" s="1947"/>
      <c r="DP29" s="1947"/>
      <c r="DQ29" s="1947"/>
      <c r="DR29" s="1947"/>
      <c r="DS29" s="1947"/>
      <c r="DT29" s="1947"/>
      <c r="DU29" s="1947"/>
      <c r="DV29" s="1947"/>
      <c r="DW29" s="1947"/>
      <c r="DX29" s="1947"/>
      <c r="DY29" s="1947"/>
      <c r="DZ29" s="1947"/>
      <c r="EA29" s="1947"/>
      <c r="EB29" s="1947"/>
      <c r="EC29" s="1947"/>
      <c r="ED29" s="1947"/>
      <c r="EE29" s="1947"/>
      <c r="EF29" s="1947"/>
      <c r="EG29" s="1947"/>
      <c r="EH29" s="1947"/>
      <c r="EI29" s="1947"/>
      <c r="EJ29" s="1947"/>
      <c r="EK29" s="1947"/>
      <c r="EL29" s="1947"/>
      <c r="EM29" s="1947"/>
      <c r="EN29" s="1947"/>
      <c r="EO29" s="1947"/>
      <c r="EP29" s="1947"/>
      <c r="EQ29" s="1947"/>
      <c r="ER29" s="1947"/>
      <c r="ES29" s="1947"/>
      <c r="ET29" s="1947"/>
      <c r="EU29" s="1947"/>
      <c r="EV29" s="1947"/>
      <c r="EW29" s="1947"/>
      <c r="EX29" s="1947"/>
      <c r="EY29" s="1947"/>
      <c r="EZ29" s="1947"/>
    </row>
    <row r="30" spans="1:156" s="1946" customFormat="1" ht="12" hidden="1" customHeight="1" outlineLevel="1" x14ac:dyDescent="0.2">
      <c r="A30" s="1951" t="s">
        <v>886</v>
      </c>
      <c r="B30" s="1952" t="s">
        <v>887</v>
      </c>
      <c r="C30" s="1948"/>
      <c r="D30" s="1948"/>
      <c r="E30" s="1948"/>
      <c r="F30" s="1948"/>
      <c r="G30" s="1948"/>
      <c r="H30" s="1948"/>
      <c r="I30" s="1948"/>
      <c r="J30" s="1948"/>
      <c r="K30" s="1948"/>
      <c r="L30" s="1948"/>
      <c r="M30" s="1948"/>
      <c r="N30" s="1948"/>
      <c r="O30" s="1948"/>
      <c r="P30" s="1948"/>
      <c r="Q30" s="1948"/>
      <c r="R30" s="1948"/>
      <c r="S30" s="1948"/>
      <c r="T30" s="1948"/>
      <c r="U30" s="1948"/>
      <c r="V30" s="1948"/>
      <c r="W30" s="1948"/>
      <c r="X30" s="1948"/>
      <c r="Y30" s="1948"/>
      <c r="Z30" s="1948"/>
      <c r="AA30" s="1948"/>
      <c r="AB30" s="1948"/>
      <c r="AC30" s="1948"/>
      <c r="AD30" s="1948"/>
      <c r="AE30" s="1948"/>
      <c r="AF30" s="1948"/>
      <c r="AG30" s="1948"/>
      <c r="AH30" s="1948"/>
      <c r="AI30" s="1948"/>
      <c r="AJ30" s="1948"/>
      <c r="AK30" s="1948"/>
      <c r="AL30" s="1948"/>
      <c r="AM30" s="1948"/>
      <c r="AN30" s="1948"/>
      <c r="AO30" s="1948"/>
      <c r="AP30" s="1948"/>
      <c r="AQ30" s="1948"/>
      <c r="AR30" s="1948"/>
      <c r="AS30" s="1948"/>
      <c r="AT30" s="1948"/>
      <c r="AU30" s="1948"/>
      <c r="AV30" s="1948"/>
      <c r="AW30" s="1948"/>
      <c r="AX30" s="1952"/>
      <c r="AY30" s="1952"/>
      <c r="AZ30" s="1952"/>
      <c r="BA30" s="1952"/>
      <c r="BB30" s="1952"/>
      <c r="BC30" s="1948"/>
      <c r="BD30" s="1948"/>
      <c r="BE30" s="1952"/>
      <c r="BF30" s="1952"/>
      <c r="BG30" s="1952"/>
      <c r="BH30" s="1952"/>
      <c r="BI30" s="1948"/>
      <c r="BJ30" s="1948"/>
      <c r="BK30" s="1952"/>
      <c r="BL30" s="1948"/>
      <c r="BM30" s="1948"/>
      <c r="BN30" s="1948"/>
      <c r="BO30" s="1948"/>
      <c r="BP30" s="1952"/>
      <c r="BQ30" s="1948"/>
      <c r="BR30" s="1952"/>
      <c r="BS30" s="1948"/>
      <c r="BT30" s="1948"/>
      <c r="BU30" s="1948"/>
      <c r="BV30" s="1948"/>
      <c r="BW30" s="1948"/>
      <c r="BX30" s="1948"/>
      <c r="BY30" s="1948"/>
      <c r="BZ30" s="1948"/>
      <c r="CA30" s="1948"/>
      <c r="CB30" s="1948"/>
      <c r="CC30" s="1948"/>
      <c r="CD30" s="1948"/>
      <c r="CE30" s="1948"/>
      <c r="CF30" s="1948"/>
      <c r="CG30" s="1948"/>
      <c r="CH30" s="1948"/>
      <c r="CI30" s="1948"/>
      <c r="CJ30" s="1948"/>
      <c r="CK30" s="1948"/>
      <c r="CL30" s="1948"/>
      <c r="CM30" s="1948"/>
      <c r="CN30" s="1948"/>
      <c r="CO30" s="1948"/>
      <c r="CP30" s="1948"/>
      <c r="CQ30" s="1948"/>
      <c r="CR30" s="1948"/>
      <c r="CS30" s="1948"/>
      <c r="CT30" s="1948"/>
      <c r="CU30" s="1948"/>
      <c r="CV30" s="1948"/>
      <c r="CW30" s="1948"/>
      <c r="CX30" s="1948"/>
      <c r="CY30" s="1948"/>
      <c r="CZ30" s="1948"/>
      <c r="DA30" s="1947"/>
      <c r="DB30" s="1947"/>
      <c r="DC30" s="1947"/>
      <c r="DD30" s="1947"/>
      <c r="DE30" s="1947"/>
      <c r="DF30" s="1947"/>
      <c r="DG30" s="1947"/>
      <c r="DH30" s="1947"/>
      <c r="DI30" s="1947"/>
      <c r="DJ30" s="1947"/>
      <c r="DK30" s="1947"/>
      <c r="DL30" s="1947"/>
      <c r="DM30" s="1947"/>
      <c r="DN30" s="1947"/>
      <c r="DO30" s="1947"/>
      <c r="DP30" s="1947"/>
      <c r="DQ30" s="1947"/>
      <c r="DR30" s="1947"/>
      <c r="DS30" s="1947"/>
      <c r="DT30" s="1947"/>
      <c r="DU30" s="1947"/>
      <c r="DV30" s="1947"/>
      <c r="DW30" s="1947"/>
      <c r="DX30" s="1947"/>
      <c r="DY30" s="1947"/>
      <c r="DZ30" s="1947"/>
      <c r="EA30" s="1947"/>
      <c r="EB30" s="1947"/>
      <c r="EC30" s="1947"/>
      <c r="ED30" s="1947"/>
      <c r="EE30" s="1947"/>
      <c r="EF30" s="1947"/>
      <c r="EG30" s="1947"/>
      <c r="EH30" s="1947"/>
      <c r="EI30" s="1947"/>
      <c r="EJ30" s="1947"/>
      <c r="EK30" s="1947"/>
      <c r="EL30" s="1947"/>
      <c r="EM30" s="1947"/>
      <c r="EN30" s="1947"/>
      <c r="EO30" s="1947"/>
      <c r="EP30" s="1947"/>
      <c r="EQ30" s="1947"/>
      <c r="ER30" s="1947"/>
      <c r="ES30" s="1947"/>
      <c r="ET30" s="1947"/>
      <c r="EU30" s="1947"/>
      <c r="EV30" s="1947"/>
      <c r="EW30" s="1947"/>
      <c r="EX30" s="1947"/>
      <c r="EY30" s="1947"/>
      <c r="EZ30" s="1947"/>
    </row>
    <row r="31" spans="1:156" s="1946" customFormat="1" ht="12" hidden="1" customHeight="1" outlineLevel="1" x14ac:dyDescent="0.2">
      <c r="A31" s="1951" t="s">
        <v>888</v>
      </c>
      <c r="B31" s="1952" t="s">
        <v>889</v>
      </c>
      <c r="C31" s="1948"/>
      <c r="D31" s="1948"/>
      <c r="E31" s="1948"/>
      <c r="F31" s="1948"/>
      <c r="G31" s="1948"/>
      <c r="H31" s="1948"/>
      <c r="I31" s="1948"/>
      <c r="J31" s="1948"/>
      <c r="K31" s="1948"/>
      <c r="L31" s="1948"/>
      <c r="M31" s="1948"/>
      <c r="N31" s="1948"/>
      <c r="O31" s="1948"/>
      <c r="P31" s="1948"/>
      <c r="Q31" s="1948"/>
      <c r="R31" s="1948"/>
      <c r="S31" s="1948"/>
      <c r="T31" s="1948"/>
      <c r="U31" s="1948"/>
      <c r="V31" s="1948"/>
      <c r="W31" s="1948"/>
      <c r="X31" s="1948"/>
      <c r="Y31" s="1948"/>
      <c r="Z31" s="1948"/>
      <c r="AA31" s="1948"/>
      <c r="AB31" s="1948"/>
      <c r="AC31" s="1948"/>
      <c r="AD31" s="1948"/>
      <c r="AE31" s="1948"/>
      <c r="AF31" s="1948"/>
      <c r="AG31" s="1948"/>
      <c r="AH31" s="1948"/>
      <c r="AI31" s="1948"/>
      <c r="AJ31" s="1948"/>
      <c r="AK31" s="1948"/>
      <c r="AL31" s="1948"/>
      <c r="AM31" s="1948"/>
      <c r="AN31" s="1948"/>
      <c r="AO31" s="1948"/>
      <c r="AP31" s="1948"/>
      <c r="AQ31" s="1948"/>
      <c r="AR31" s="1948"/>
      <c r="AS31" s="1948"/>
      <c r="AT31" s="1948"/>
      <c r="AU31" s="1948"/>
      <c r="AV31" s="1948"/>
      <c r="AW31" s="1948"/>
      <c r="AX31" s="1952"/>
      <c r="AY31" s="1952"/>
      <c r="AZ31" s="1952"/>
      <c r="BA31" s="1952"/>
      <c r="BB31" s="1952"/>
      <c r="BC31" s="1948"/>
      <c r="BD31" s="1948"/>
      <c r="BE31" s="1952"/>
      <c r="BF31" s="1952"/>
      <c r="BG31" s="1952"/>
      <c r="BH31" s="1952"/>
      <c r="BI31" s="1948"/>
      <c r="BJ31" s="1948"/>
      <c r="BK31" s="1952"/>
      <c r="BL31" s="1948"/>
      <c r="BM31" s="1948"/>
      <c r="BN31" s="1948"/>
      <c r="BO31" s="1948"/>
      <c r="BP31" s="1952"/>
      <c r="BQ31" s="1948"/>
      <c r="BR31" s="1952"/>
      <c r="BS31" s="1948"/>
      <c r="BT31" s="1948"/>
      <c r="BU31" s="1948"/>
      <c r="BV31" s="1948"/>
      <c r="BW31" s="1948"/>
      <c r="BX31" s="1948"/>
      <c r="BY31" s="1948"/>
      <c r="BZ31" s="1948"/>
      <c r="CA31" s="1948"/>
      <c r="CB31" s="1948"/>
      <c r="CC31" s="1948"/>
      <c r="CD31" s="1948"/>
      <c r="CE31" s="1948"/>
      <c r="CF31" s="1948"/>
      <c r="CG31" s="1948"/>
      <c r="CH31" s="1948"/>
      <c r="CI31" s="1948"/>
      <c r="CJ31" s="1948"/>
      <c r="CK31" s="1948"/>
      <c r="CL31" s="1948"/>
      <c r="CM31" s="1948"/>
      <c r="CN31" s="1948"/>
      <c r="CO31" s="1948"/>
      <c r="CP31" s="1948"/>
      <c r="CQ31" s="1948"/>
      <c r="CR31" s="1948"/>
      <c r="CS31" s="1948"/>
      <c r="CT31" s="1948"/>
      <c r="CU31" s="1948"/>
      <c r="CV31" s="1948"/>
      <c r="CW31" s="1948"/>
      <c r="CX31" s="1948"/>
      <c r="CY31" s="1948"/>
      <c r="CZ31" s="1948"/>
      <c r="DA31" s="1947"/>
      <c r="DB31" s="1947"/>
      <c r="DC31" s="1947"/>
      <c r="DD31" s="1947"/>
      <c r="DE31" s="1947"/>
      <c r="DF31" s="1947"/>
      <c r="DG31" s="1947"/>
      <c r="DH31" s="1947"/>
      <c r="DI31" s="1947"/>
      <c r="DJ31" s="1947"/>
      <c r="DK31" s="1947"/>
      <c r="DL31" s="1947"/>
      <c r="DM31" s="1947"/>
      <c r="DN31" s="1947"/>
      <c r="DO31" s="1947"/>
      <c r="DP31" s="1947"/>
      <c r="DQ31" s="1947"/>
      <c r="DR31" s="1947"/>
      <c r="DS31" s="1947"/>
      <c r="DT31" s="1947"/>
      <c r="DU31" s="1947"/>
      <c r="DV31" s="1947"/>
      <c r="DW31" s="1947"/>
      <c r="DX31" s="1947"/>
      <c r="DY31" s="1947"/>
      <c r="DZ31" s="1947"/>
      <c r="EA31" s="1947"/>
      <c r="EB31" s="1947"/>
      <c r="EC31" s="1947"/>
      <c r="ED31" s="1947"/>
      <c r="EE31" s="1947"/>
      <c r="EF31" s="1947"/>
      <c r="EG31" s="1947"/>
      <c r="EH31" s="1947"/>
      <c r="EI31" s="1947"/>
      <c r="EJ31" s="1947"/>
      <c r="EK31" s="1947"/>
      <c r="EL31" s="1947"/>
      <c r="EM31" s="1947"/>
      <c r="EN31" s="1947"/>
      <c r="EO31" s="1947"/>
      <c r="EP31" s="1947"/>
      <c r="EQ31" s="1947"/>
      <c r="ER31" s="1947"/>
      <c r="ES31" s="1947"/>
      <c r="ET31" s="1947"/>
      <c r="EU31" s="1947"/>
      <c r="EV31" s="1947"/>
      <c r="EW31" s="1947"/>
      <c r="EX31" s="1947"/>
      <c r="EY31" s="1947"/>
      <c r="EZ31" s="1947"/>
    </row>
    <row r="32" spans="1:156" s="1946" customFormat="1" ht="12" hidden="1" customHeight="1" outlineLevel="1" x14ac:dyDescent="0.2">
      <c r="A32" s="1951" t="s">
        <v>890</v>
      </c>
      <c r="B32" s="1952" t="s">
        <v>724</v>
      </c>
      <c r="C32" s="1948"/>
      <c r="D32" s="1948"/>
      <c r="E32" s="1948"/>
      <c r="F32" s="1948"/>
      <c r="G32" s="1948"/>
      <c r="H32" s="1948"/>
      <c r="I32" s="1948"/>
      <c r="J32" s="1948"/>
      <c r="K32" s="1948"/>
      <c r="L32" s="1948"/>
      <c r="M32" s="1948"/>
      <c r="N32" s="1948"/>
      <c r="O32" s="1948"/>
      <c r="P32" s="1948"/>
      <c r="Q32" s="1948"/>
      <c r="R32" s="1948"/>
      <c r="S32" s="1948"/>
      <c r="T32" s="1948"/>
      <c r="U32" s="1948"/>
      <c r="V32" s="1948"/>
      <c r="W32" s="1948"/>
      <c r="X32" s="1948"/>
      <c r="Y32" s="1948"/>
      <c r="Z32" s="1948"/>
      <c r="AA32" s="1948"/>
      <c r="AB32" s="1948"/>
      <c r="AC32" s="1948"/>
      <c r="AD32" s="1948"/>
      <c r="AE32" s="1948"/>
      <c r="AF32" s="1948"/>
      <c r="AG32" s="1948"/>
      <c r="AH32" s="1948"/>
      <c r="AI32" s="1948"/>
      <c r="AJ32" s="1948"/>
      <c r="AK32" s="1948"/>
      <c r="AL32" s="1948"/>
      <c r="AM32" s="1948"/>
      <c r="AN32" s="1948"/>
      <c r="AO32" s="1948"/>
      <c r="AP32" s="1948"/>
      <c r="AQ32" s="1948"/>
      <c r="AR32" s="1948"/>
      <c r="AS32" s="1948"/>
      <c r="AT32" s="1948"/>
      <c r="AU32" s="1948"/>
      <c r="AV32" s="1948"/>
      <c r="AW32" s="1948"/>
      <c r="AX32" s="1952"/>
      <c r="AY32" s="1952"/>
      <c r="AZ32" s="1952"/>
      <c r="BA32" s="1952"/>
      <c r="BB32" s="1952"/>
      <c r="BC32" s="1948"/>
      <c r="BD32" s="1948"/>
      <c r="BE32" s="1952"/>
      <c r="BF32" s="1952"/>
      <c r="BG32" s="1952"/>
      <c r="BH32" s="1952"/>
      <c r="BI32" s="1948"/>
      <c r="BJ32" s="1948"/>
      <c r="BK32" s="1952"/>
      <c r="BL32" s="1948"/>
      <c r="BM32" s="1948"/>
      <c r="BN32" s="1948"/>
      <c r="BO32" s="1948"/>
      <c r="BP32" s="1952"/>
      <c r="BQ32" s="1948"/>
      <c r="BR32" s="1952"/>
      <c r="BS32" s="1948"/>
      <c r="BT32" s="1948"/>
      <c r="BU32" s="1948"/>
      <c r="BV32" s="1948"/>
      <c r="BW32" s="1948"/>
      <c r="BX32" s="1948"/>
      <c r="BY32" s="1948"/>
      <c r="BZ32" s="1948"/>
      <c r="CA32" s="1948"/>
      <c r="CB32" s="1948"/>
      <c r="CC32" s="1948"/>
      <c r="CD32" s="1948"/>
      <c r="CE32" s="1948"/>
      <c r="CF32" s="1948"/>
      <c r="CG32" s="1948"/>
      <c r="CH32" s="1948"/>
      <c r="CI32" s="1948"/>
      <c r="CJ32" s="1948"/>
      <c r="CK32" s="1948"/>
      <c r="CL32" s="1948"/>
      <c r="CM32" s="1948"/>
      <c r="CN32" s="1948"/>
      <c r="CO32" s="1948"/>
      <c r="CP32" s="1948"/>
      <c r="CQ32" s="1948"/>
      <c r="CR32" s="1948"/>
      <c r="CS32" s="1948"/>
      <c r="CT32" s="1948"/>
      <c r="CU32" s="1948"/>
      <c r="CV32" s="1948"/>
      <c r="CW32" s="1948"/>
      <c r="CX32" s="1948"/>
      <c r="CY32" s="1948"/>
      <c r="CZ32" s="1948"/>
      <c r="DA32" s="1947"/>
      <c r="DB32" s="1947"/>
      <c r="DC32" s="1947"/>
      <c r="DD32" s="1947"/>
      <c r="DE32" s="1947"/>
      <c r="DF32" s="1947"/>
      <c r="DG32" s="1947"/>
      <c r="DH32" s="1947"/>
      <c r="DI32" s="1947"/>
      <c r="DJ32" s="1947"/>
      <c r="DK32" s="1947"/>
      <c r="DL32" s="1947"/>
      <c r="DM32" s="1947"/>
      <c r="DN32" s="1947"/>
      <c r="DO32" s="1947"/>
      <c r="DP32" s="1947"/>
      <c r="DQ32" s="1947"/>
      <c r="DR32" s="1947"/>
      <c r="DS32" s="1947"/>
      <c r="DT32" s="1947"/>
      <c r="DU32" s="1947"/>
      <c r="DV32" s="1947"/>
      <c r="DW32" s="1947"/>
      <c r="DX32" s="1947"/>
      <c r="DY32" s="1947"/>
      <c r="DZ32" s="1947"/>
      <c r="EA32" s="1947"/>
      <c r="EB32" s="1947"/>
      <c r="EC32" s="1947"/>
      <c r="ED32" s="1947"/>
      <c r="EE32" s="1947"/>
      <c r="EF32" s="1947"/>
      <c r="EG32" s="1947"/>
      <c r="EH32" s="1947"/>
      <c r="EI32" s="1947"/>
      <c r="EJ32" s="1947"/>
      <c r="EK32" s="1947"/>
      <c r="EL32" s="1947"/>
      <c r="EM32" s="1947"/>
      <c r="EN32" s="1947"/>
      <c r="EO32" s="1947"/>
      <c r="EP32" s="1947"/>
      <c r="EQ32" s="1947"/>
      <c r="ER32" s="1947"/>
      <c r="ES32" s="1947"/>
      <c r="ET32" s="1947"/>
      <c r="EU32" s="1947"/>
      <c r="EV32" s="1947"/>
      <c r="EW32" s="1947"/>
      <c r="EX32" s="1947"/>
      <c r="EY32" s="1947"/>
      <c r="EZ32" s="1947"/>
    </row>
    <row r="33" spans="1:156" s="1946" customFormat="1" ht="12" hidden="1" customHeight="1" outlineLevel="1" x14ac:dyDescent="0.2">
      <c r="A33" s="1951" t="s">
        <v>891</v>
      </c>
      <c r="B33" s="1952" t="s">
        <v>892</v>
      </c>
      <c r="C33" s="1948"/>
      <c r="D33" s="1948"/>
      <c r="E33" s="1948"/>
      <c r="F33" s="1948"/>
      <c r="G33" s="1948"/>
      <c r="H33" s="1948"/>
      <c r="I33" s="1948"/>
      <c r="J33" s="1948"/>
      <c r="K33" s="1952"/>
      <c r="L33" s="1948"/>
      <c r="M33" s="1952"/>
      <c r="N33" s="1948"/>
      <c r="O33" s="1952"/>
      <c r="P33" s="1948"/>
      <c r="Q33" s="1952"/>
      <c r="R33" s="1948"/>
      <c r="S33" s="1952"/>
      <c r="T33" s="1948"/>
      <c r="U33" s="1952"/>
      <c r="V33" s="1948"/>
      <c r="W33" s="1952"/>
      <c r="X33" s="1948"/>
      <c r="Y33" s="1952"/>
      <c r="Z33" s="1948"/>
      <c r="AA33" s="1948"/>
      <c r="AB33" s="1948"/>
      <c r="AC33" s="1948"/>
      <c r="AD33" s="1948"/>
      <c r="AE33" s="1948"/>
      <c r="AF33" s="1948"/>
      <c r="AG33" s="1948"/>
      <c r="AH33" s="1948"/>
      <c r="AI33" s="1948"/>
      <c r="AJ33" s="1948"/>
      <c r="AK33" s="1948"/>
      <c r="AL33" s="1948"/>
      <c r="AM33" s="1948"/>
      <c r="AN33" s="1948"/>
      <c r="AO33" s="1948"/>
      <c r="AP33" s="1948"/>
      <c r="AQ33" s="1948"/>
      <c r="AR33" s="1948"/>
      <c r="AS33" s="1948"/>
      <c r="AT33" s="1948"/>
      <c r="AU33" s="1948"/>
      <c r="AV33" s="1948"/>
      <c r="AW33" s="1948"/>
      <c r="AX33" s="1952"/>
      <c r="AY33" s="1952"/>
      <c r="AZ33" s="1952"/>
      <c r="BA33" s="1952"/>
      <c r="BB33" s="1952"/>
      <c r="BC33" s="1948"/>
      <c r="BD33" s="1952"/>
      <c r="BE33" s="1952"/>
      <c r="BF33" s="1952"/>
      <c r="BG33" s="1952"/>
      <c r="BH33" s="1952"/>
      <c r="BI33" s="1948"/>
      <c r="BJ33" s="1952"/>
      <c r="BK33" s="1952"/>
      <c r="BL33" s="1948"/>
      <c r="BM33" s="1952"/>
      <c r="BN33" s="1948"/>
      <c r="BO33" s="1952"/>
      <c r="BP33" s="1952"/>
      <c r="BQ33" s="1948"/>
      <c r="BR33" s="1952"/>
      <c r="BS33" s="1948"/>
      <c r="BT33" s="1952"/>
      <c r="BU33" s="1948"/>
      <c r="BV33" s="1952"/>
      <c r="BW33" s="1948"/>
      <c r="BX33" s="1952"/>
      <c r="BY33" s="1948"/>
      <c r="BZ33" s="1952"/>
      <c r="CA33" s="1948"/>
      <c r="CB33" s="1952"/>
      <c r="CC33" s="1948"/>
      <c r="CD33" s="1952"/>
      <c r="CE33" s="1948"/>
      <c r="CF33" s="1952"/>
      <c r="CG33" s="1948"/>
      <c r="CH33" s="1952"/>
      <c r="CI33" s="1948"/>
      <c r="CJ33" s="1948"/>
      <c r="CK33" s="1948"/>
      <c r="CL33" s="1948"/>
      <c r="CM33" s="1948"/>
      <c r="CN33" s="1948"/>
      <c r="CO33" s="1948"/>
      <c r="CP33" s="1948"/>
      <c r="CQ33" s="1948"/>
      <c r="CR33" s="1948"/>
      <c r="CS33" s="1948"/>
      <c r="CT33" s="1948"/>
      <c r="CU33" s="1948"/>
      <c r="CV33" s="1948"/>
      <c r="CW33" s="1948"/>
      <c r="CX33" s="1948"/>
      <c r="CY33" s="1948"/>
      <c r="CZ33" s="1948"/>
      <c r="DA33" s="1947"/>
      <c r="DB33" s="1947"/>
      <c r="DC33" s="1947"/>
      <c r="DD33" s="1947"/>
      <c r="DE33" s="1947"/>
      <c r="DF33" s="1947"/>
      <c r="DG33" s="1947"/>
      <c r="DH33" s="1947"/>
      <c r="DI33" s="1947"/>
      <c r="DJ33" s="1947"/>
      <c r="DK33" s="1947"/>
      <c r="DL33" s="1947"/>
      <c r="DM33" s="1947"/>
      <c r="DN33" s="1947"/>
      <c r="DO33" s="1947"/>
      <c r="DP33" s="1947"/>
      <c r="DQ33" s="1947"/>
      <c r="DR33" s="1947"/>
      <c r="DS33" s="1947"/>
      <c r="DT33" s="1947"/>
      <c r="DU33" s="1947"/>
      <c r="DV33" s="1947"/>
      <c r="DW33" s="1947"/>
      <c r="DX33" s="1947"/>
      <c r="DY33" s="1947"/>
      <c r="DZ33" s="1947"/>
      <c r="EA33" s="1947"/>
      <c r="EB33" s="1947"/>
      <c r="EC33" s="1947"/>
      <c r="ED33" s="1947"/>
      <c r="EE33" s="1947"/>
      <c r="EF33" s="1947"/>
      <c r="EG33" s="1947"/>
      <c r="EH33" s="1947"/>
      <c r="EI33" s="1947"/>
      <c r="EJ33" s="1947"/>
      <c r="EK33" s="1947"/>
      <c r="EL33" s="1947"/>
      <c r="EM33" s="1947"/>
      <c r="EN33" s="1947"/>
      <c r="EO33" s="1947"/>
      <c r="EP33" s="1947"/>
      <c r="EQ33" s="1947"/>
      <c r="ER33" s="1947"/>
      <c r="ES33" s="1947"/>
      <c r="ET33" s="1947"/>
      <c r="EU33" s="1947"/>
      <c r="EV33" s="1947"/>
      <c r="EW33" s="1947"/>
      <c r="EX33" s="1947"/>
      <c r="EY33" s="1947"/>
      <c r="EZ33" s="1947"/>
    </row>
    <row r="34" spans="1:156" s="1946" customFormat="1" ht="12" hidden="1" customHeight="1" outlineLevel="1" x14ac:dyDescent="0.2">
      <c r="A34" s="1951" t="s">
        <v>893</v>
      </c>
      <c r="B34" s="1952" t="s">
        <v>724</v>
      </c>
      <c r="C34" s="1948"/>
      <c r="D34" s="1948"/>
      <c r="E34" s="1948"/>
      <c r="F34" s="1948"/>
      <c r="G34" s="1948"/>
      <c r="H34" s="1948"/>
      <c r="I34" s="1948"/>
      <c r="J34" s="1948"/>
      <c r="K34" s="1952"/>
      <c r="L34" s="1948"/>
      <c r="M34" s="1952"/>
      <c r="N34" s="1948"/>
      <c r="O34" s="1952"/>
      <c r="P34" s="1948"/>
      <c r="Q34" s="1952"/>
      <c r="R34" s="1948"/>
      <c r="S34" s="1952"/>
      <c r="T34" s="1948"/>
      <c r="U34" s="1952"/>
      <c r="V34" s="1948"/>
      <c r="W34" s="1952"/>
      <c r="X34" s="1948"/>
      <c r="Y34" s="1952"/>
      <c r="Z34" s="1948"/>
      <c r="AA34" s="1948"/>
      <c r="AB34" s="1948"/>
      <c r="AC34" s="1948"/>
      <c r="AD34" s="1948"/>
      <c r="AE34" s="1953"/>
      <c r="AF34" s="1953"/>
      <c r="AG34" s="1953"/>
      <c r="AH34" s="1953"/>
      <c r="AI34" s="1953"/>
      <c r="AJ34" s="1953"/>
      <c r="AK34" s="1953"/>
      <c r="AL34" s="1953"/>
      <c r="AM34" s="1953"/>
      <c r="AN34" s="1953"/>
      <c r="AO34" s="1953"/>
      <c r="AP34" s="1953"/>
      <c r="AQ34" s="1948"/>
      <c r="AR34" s="1948"/>
      <c r="AS34" s="1948"/>
      <c r="AT34" s="1948"/>
      <c r="AU34" s="1948"/>
      <c r="AV34" s="1948"/>
      <c r="AW34" s="1948"/>
      <c r="AX34" s="1952"/>
      <c r="AY34" s="1952"/>
      <c r="AZ34" s="1952"/>
      <c r="BA34" s="1952"/>
      <c r="BB34" s="1952"/>
      <c r="BC34" s="1948"/>
      <c r="BD34" s="1952"/>
      <c r="BE34" s="1952"/>
      <c r="BF34" s="1952"/>
      <c r="BG34" s="1952"/>
      <c r="BH34" s="1952"/>
      <c r="BI34" s="1948"/>
      <c r="BJ34" s="1952"/>
      <c r="BK34" s="1952"/>
      <c r="BL34" s="1948"/>
      <c r="BM34" s="1952"/>
      <c r="BN34" s="1948"/>
      <c r="BO34" s="1952"/>
      <c r="BP34" s="1952"/>
      <c r="BQ34" s="1948"/>
      <c r="BR34" s="1952"/>
      <c r="BS34" s="1948"/>
      <c r="BT34" s="1952"/>
      <c r="BU34" s="1948"/>
      <c r="BV34" s="1952"/>
      <c r="BW34" s="1948"/>
      <c r="BX34" s="1952"/>
      <c r="BY34" s="1948"/>
      <c r="BZ34" s="1952"/>
      <c r="CA34" s="1953"/>
      <c r="CB34" s="1952"/>
      <c r="CC34" s="1953"/>
      <c r="CD34" s="1952"/>
      <c r="CE34" s="1948"/>
      <c r="CF34" s="1952"/>
      <c r="CG34" s="1953"/>
      <c r="CH34" s="1952"/>
      <c r="CI34" s="1953"/>
      <c r="CJ34" s="1952"/>
      <c r="CK34" s="1948"/>
      <c r="CL34" s="1948"/>
      <c r="CM34" s="1948"/>
      <c r="CN34" s="1948"/>
      <c r="CO34" s="1948"/>
      <c r="CP34" s="1948"/>
      <c r="CQ34" s="1948"/>
      <c r="CR34" s="1948"/>
      <c r="CS34" s="1948"/>
      <c r="CT34" s="1948"/>
      <c r="CU34" s="1948"/>
      <c r="CV34" s="1948"/>
      <c r="CW34" s="1948"/>
      <c r="CX34" s="1948"/>
      <c r="CY34" s="1948"/>
      <c r="CZ34" s="1948"/>
      <c r="DA34" s="1947"/>
      <c r="DB34" s="1947"/>
      <c r="DC34" s="1947"/>
      <c r="DD34" s="1947"/>
      <c r="DE34" s="1953"/>
      <c r="DF34" s="1947"/>
      <c r="DG34" s="1953"/>
      <c r="DH34" s="1947"/>
      <c r="DI34" s="1953"/>
      <c r="DJ34" s="1947"/>
      <c r="DK34" s="1947"/>
      <c r="DL34" s="1947"/>
      <c r="DM34" s="1947"/>
      <c r="DN34" s="1947"/>
      <c r="DO34" s="1947"/>
      <c r="DP34" s="1947"/>
      <c r="DQ34" s="1947"/>
      <c r="DR34" s="1947"/>
      <c r="DS34" s="1947"/>
      <c r="DT34" s="1947"/>
      <c r="DU34" s="1947"/>
      <c r="DV34" s="1947"/>
      <c r="DW34" s="1947"/>
      <c r="DX34" s="1947"/>
      <c r="DY34" s="1947"/>
      <c r="DZ34" s="1947"/>
      <c r="EA34" s="1947"/>
      <c r="EB34" s="1947"/>
      <c r="EC34" s="1947"/>
      <c r="ED34" s="1947"/>
      <c r="EE34" s="1947"/>
      <c r="EF34" s="1947"/>
      <c r="EG34" s="1947"/>
      <c r="EH34" s="1947"/>
      <c r="EI34" s="1947"/>
      <c r="EJ34" s="1947"/>
      <c r="EK34" s="1947"/>
      <c r="EL34" s="1947"/>
      <c r="EM34" s="1947"/>
      <c r="EN34" s="1947"/>
      <c r="EO34" s="1947"/>
      <c r="EP34" s="1947"/>
      <c r="EQ34" s="1947"/>
      <c r="ER34" s="1947"/>
      <c r="ES34" s="1947"/>
      <c r="ET34" s="1947"/>
      <c r="EU34" s="1947"/>
      <c r="EV34" s="1947"/>
      <c r="EW34" s="1947"/>
      <c r="EX34" s="1947"/>
      <c r="EY34" s="1947"/>
      <c r="EZ34" s="1947"/>
    </row>
    <row r="35" spans="1:156" ht="12" hidden="1" customHeight="1" outlineLevel="1" x14ac:dyDescent="0.2">
      <c r="A35" s="1951"/>
      <c r="B35" s="1951"/>
      <c r="C35" s="1951"/>
      <c r="D35" s="1951"/>
      <c r="E35" s="1951"/>
      <c r="F35" s="1951"/>
      <c r="G35" s="1951"/>
      <c r="H35" s="1951"/>
      <c r="I35" s="1951"/>
      <c r="J35" s="1951"/>
      <c r="K35" s="1951"/>
      <c r="L35" s="1951"/>
      <c r="M35" s="1951"/>
      <c r="N35" s="1951"/>
      <c r="O35" s="1951"/>
      <c r="P35" s="1951"/>
      <c r="Q35" s="1951"/>
      <c r="R35" s="1951"/>
      <c r="S35" s="1951"/>
      <c r="T35" s="1951"/>
      <c r="U35" s="1951"/>
      <c r="V35" s="1951"/>
      <c r="W35" s="1951"/>
      <c r="X35" s="1951"/>
      <c r="Y35" s="1951"/>
      <c r="Z35" s="1951"/>
      <c r="AA35" s="1951"/>
      <c r="AB35" s="1951"/>
      <c r="AC35" s="1951"/>
      <c r="AD35" s="1951"/>
      <c r="AE35" s="1951"/>
      <c r="AF35" s="1951"/>
      <c r="AG35" s="1951"/>
      <c r="AH35" s="1951"/>
      <c r="AI35" s="1951"/>
      <c r="AJ35" s="1951"/>
      <c r="AK35" s="1951"/>
      <c r="AL35" s="1951"/>
      <c r="AM35" s="1951"/>
      <c r="AN35" s="1951"/>
      <c r="AO35" s="1951"/>
      <c r="AP35" s="1951"/>
      <c r="AQ35" s="1951"/>
      <c r="AR35" s="1951"/>
      <c r="AS35" s="1951"/>
      <c r="AT35" s="1951"/>
      <c r="AU35" s="1951"/>
      <c r="AV35" s="1947"/>
      <c r="AW35" s="1947"/>
      <c r="AX35" s="1951"/>
      <c r="AY35" s="1951"/>
      <c r="AZ35" s="1957"/>
      <c r="BA35" s="1951"/>
      <c r="BB35" s="1951"/>
      <c r="BC35" s="1951"/>
      <c r="BD35" s="1951"/>
      <c r="BE35" s="1951"/>
      <c r="BF35" s="1951"/>
      <c r="BG35" s="1951"/>
      <c r="BH35" s="1951"/>
      <c r="BI35" s="1951"/>
      <c r="BJ35" s="1951"/>
      <c r="BK35" s="1951"/>
      <c r="BL35" s="1951"/>
      <c r="BM35" s="1951"/>
      <c r="BN35" s="1951"/>
      <c r="BO35" s="1951"/>
      <c r="BP35" s="1951"/>
      <c r="BQ35" s="1951"/>
      <c r="BR35" s="1951"/>
      <c r="BS35" s="1951"/>
      <c r="BT35" s="1951"/>
      <c r="BU35" s="1951"/>
      <c r="BV35" s="1951"/>
      <c r="BW35" s="1951"/>
      <c r="BX35" s="1951"/>
      <c r="BY35" s="1951"/>
      <c r="BZ35" s="1951"/>
      <c r="CA35" s="1951"/>
      <c r="CB35" s="1951"/>
      <c r="CC35" s="1951"/>
      <c r="CD35" s="1951"/>
      <c r="CE35" s="1951"/>
      <c r="CF35" s="1951"/>
      <c r="CG35" s="1951"/>
      <c r="CH35" s="1951"/>
    </row>
    <row r="36" spans="1:156" ht="12.75" collapsed="1" x14ac:dyDescent="0.2">
      <c r="A36" s="1958" t="s">
        <v>894</v>
      </c>
      <c r="B36" s="1959"/>
      <c r="C36" s="1958" t="s">
        <v>895</v>
      </c>
      <c r="D36" s="1959"/>
      <c r="E36" s="1958" t="s">
        <v>896</v>
      </c>
      <c r="F36" s="1960" t="s">
        <v>897</v>
      </c>
      <c r="G36" s="1960" t="s">
        <v>898</v>
      </c>
      <c r="H36" s="1960" t="s">
        <v>899</v>
      </c>
      <c r="I36" s="1960" t="s">
        <v>900</v>
      </c>
    </row>
    <row r="37" spans="1:156" ht="12.75" hidden="1" outlineLevel="2" x14ac:dyDescent="0.2">
      <c r="A37" s="1961" t="s">
        <v>902</v>
      </c>
      <c r="B37" s="1961" t="s">
        <v>903</v>
      </c>
      <c r="C37" s="1961" t="s">
        <v>904</v>
      </c>
      <c r="D37" s="1961" t="s">
        <v>905</v>
      </c>
      <c r="E37" s="1961" t="s">
        <v>906</v>
      </c>
      <c r="F37" s="1962">
        <v>-9.0939999999999993E-2</v>
      </c>
      <c r="G37" s="1962">
        <v>-2.3496352156942211E-2</v>
      </c>
      <c r="H37" s="1962">
        <v>-6.4941256209721347E-3</v>
      </c>
      <c r="I37" s="1962">
        <v>-5.3665822363494469E-3</v>
      </c>
      <c r="J37" s="1953" t="str">
        <f>LEFT(A37,4)</f>
        <v>4118</v>
      </c>
    </row>
    <row r="38" spans="1:156" ht="13.5" outlineLevel="1" collapsed="1" thickBot="1" x14ac:dyDescent="0.25">
      <c r="A38" s="1963" t="s">
        <v>907</v>
      </c>
      <c r="B38" s="1964"/>
      <c r="C38" s="1964"/>
      <c r="D38" s="1964"/>
      <c r="E38" s="1963"/>
      <c r="F38" s="1965">
        <f t="shared" ref="F38:I38" si="0">SUBTOTAL(9,F37:F37)</f>
        <v>-9.0939999999999993E-2</v>
      </c>
      <c r="G38" s="1965">
        <f t="shared" si="0"/>
        <v>-2.3496352156942211E-2</v>
      </c>
      <c r="H38" s="1965">
        <f t="shared" si="0"/>
        <v>-6.4941256209721347E-3</v>
      </c>
      <c r="I38" s="1965">
        <f t="shared" si="0"/>
        <v>-5.3665822363494469E-3</v>
      </c>
    </row>
    <row r="39" spans="1:156" ht="12.75" hidden="1" outlineLevel="2" x14ac:dyDescent="0.2">
      <c r="A39" s="1967" t="s">
        <v>908</v>
      </c>
      <c r="B39" s="1967" t="s">
        <v>909</v>
      </c>
      <c r="C39" s="1967" t="s">
        <v>910</v>
      </c>
      <c r="D39" s="1967" t="s">
        <v>911</v>
      </c>
      <c r="E39" s="1967" t="s">
        <v>912</v>
      </c>
      <c r="F39" s="1968">
        <v>209.09518</v>
      </c>
      <c r="G39" s="1962">
        <v>209.09518</v>
      </c>
      <c r="H39" s="1962">
        <v>0</v>
      </c>
      <c r="I39" s="1962">
        <v>0</v>
      </c>
      <c r="J39" s="1953" t="str">
        <f>LEFT(A39,3)</f>
        <v>421</v>
      </c>
    </row>
    <row r="40" spans="1:156" ht="12.75" hidden="1" outlineLevel="2" x14ac:dyDescent="0.2">
      <c r="A40" s="1961" t="s">
        <v>908</v>
      </c>
      <c r="B40" s="1961" t="s">
        <v>909</v>
      </c>
      <c r="C40" s="1961" t="s">
        <v>910</v>
      </c>
      <c r="D40" s="1961" t="s">
        <v>911</v>
      </c>
      <c r="E40" s="1961" t="s">
        <v>913</v>
      </c>
      <c r="F40" s="1962">
        <v>-1936.4194399999999</v>
      </c>
      <c r="G40" s="1962">
        <v>-541.68988806119887</v>
      </c>
      <c r="H40" s="1962">
        <v>-144.55231821430556</v>
      </c>
      <c r="I40" s="1962">
        <v>-103.27406347648939</v>
      </c>
      <c r="J40" s="1953" t="str">
        <f>LEFT(A40,3)</f>
        <v>421</v>
      </c>
    </row>
    <row r="41" spans="1:156" ht="13.5" outlineLevel="1" collapsed="1" thickBot="1" x14ac:dyDescent="0.25">
      <c r="A41" s="1963" t="s">
        <v>914</v>
      </c>
      <c r="B41" s="1964"/>
      <c r="C41" s="1964"/>
      <c r="D41" s="1964"/>
      <c r="E41" s="1963"/>
      <c r="F41" s="1965">
        <f t="shared" ref="F41:I41" si="1">SUBTOTAL(9,F39:F40)</f>
        <v>-1727.3242599999999</v>
      </c>
      <c r="G41" s="1965">
        <f t="shared" si="1"/>
        <v>-332.59470806119884</v>
      </c>
      <c r="H41" s="1965">
        <f t="shared" si="1"/>
        <v>-144.55231821430556</v>
      </c>
      <c r="I41" s="1965">
        <f t="shared" si="1"/>
        <v>-103.27406347648939</v>
      </c>
    </row>
    <row r="42" spans="1:156" ht="12.75" hidden="1" outlineLevel="2" x14ac:dyDescent="0.2">
      <c r="A42" s="1967" t="s">
        <v>915</v>
      </c>
      <c r="B42" s="1967" t="s">
        <v>916</v>
      </c>
      <c r="C42" s="1967" t="s">
        <v>917</v>
      </c>
      <c r="D42" s="1967" t="s">
        <v>916</v>
      </c>
      <c r="E42" s="1967" t="s">
        <v>918</v>
      </c>
      <c r="F42" s="1969">
        <v>45594.480470000002</v>
      </c>
      <c r="G42" s="1962">
        <v>0</v>
      </c>
      <c r="H42" s="1962">
        <v>0</v>
      </c>
      <c r="I42" s="1962">
        <v>0</v>
      </c>
      <c r="J42" s="1953" t="str">
        <f t="shared" ref="J42:J80" si="2">LEFT(A42,3)</f>
        <v>440</v>
      </c>
    </row>
    <row r="43" spans="1:156" ht="12.75" hidden="1" outlineLevel="2" x14ac:dyDescent="0.2">
      <c r="A43" s="1961" t="s">
        <v>915</v>
      </c>
      <c r="B43" s="1961" t="s">
        <v>916</v>
      </c>
      <c r="C43" s="1961" t="s">
        <v>917</v>
      </c>
      <c r="D43" s="1961" t="s">
        <v>916</v>
      </c>
      <c r="E43" s="1961" t="s">
        <v>919</v>
      </c>
      <c r="F43" s="1969">
        <v>95627.521810000006</v>
      </c>
      <c r="G43" s="1962">
        <v>0</v>
      </c>
      <c r="H43" s="1962">
        <v>0</v>
      </c>
      <c r="I43" s="1962">
        <v>95627.521810000006</v>
      </c>
      <c r="J43" s="1953" t="str">
        <f t="shared" si="2"/>
        <v>440</v>
      </c>
    </row>
    <row r="44" spans="1:156" ht="12.75" hidden="1" outlineLevel="2" x14ac:dyDescent="0.2">
      <c r="A44" s="1961" t="s">
        <v>915</v>
      </c>
      <c r="B44" s="1961" t="s">
        <v>916</v>
      </c>
      <c r="C44" s="1961" t="s">
        <v>917</v>
      </c>
      <c r="D44" s="1961" t="s">
        <v>916</v>
      </c>
      <c r="E44" s="1961" t="s">
        <v>912</v>
      </c>
      <c r="F44" s="1969">
        <v>778705.50190999999</v>
      </c>
      <c r="G44" s="1962">
        <v>778705.50190999999</v>
      </c>
      <c r="H44" s="1962">
        <v>0</v>
      </c>
      <c r="I44" s="1962">
        <v>0</v>
      </c>
      <c r="J44" s="1953" t="str">
        <f t="shared" si="2"/>
        <v>440</v>
      </c>
    </row>
    <row r="45" spans="1:156" ht="12.75" hidden="1" outlineLevel="2" x14ac:dyDescent="0.2">
      <c r="A45" s="1961" t="s">
        <v>915</v>
      </c>
      <c r="B45" s="1961" t="s">
        <v>916</v>
      </c>
      <c r="C45" s="1961" t="s">
        <v>917</v>
      </c>
      <c r="D45" s="1961" t="s">
        <v>916</v>
      </c>
      <c r="E45" s="1961" t="s">
        <v>920</v>
      </c>
      <c r="F45" s="1969">
        <v>899127.44457000005</v>
      </c>
      <c r="G45" s="1962">
        <v>0</v>
      </c>
      <c r="H45" s="1962">
        <v>0</v>
      </c>
      <c r="I45" s="1962">
        <v>0</v>
      </c>
      <c r="J45" s="1953" t="str">
        <f t="shared" si="2"/>
        <v>440</v>
      </c>
    </row>
    <row r="46" spans="1:156" ht="12.75" hidden="1" outlineLevel="2" x14ac:dyDescent="0.2">
      <c r="A46" s="1961" t="s">
        <v>915</v>
      </c>
      <c r="B46" s="1961" t="s">
        <v>916</v>
      </c>
      <c r="C46" s="1961" t="s">
        <v>917</v>
      </c>
      <c r="D46" s="1961" t="s">
        <v>916</v>
      </c>
      <c r="E46" s="1961" t="s">
        <v>921</v>
      </c>
      <c r="F46" s="1969">
        <v>189616.19283000001</v>
      </c>
      <c r="G46" s="1962">
        <v>0</v>
      </c>
      <c r="H46" s="1962">
        <v>189616.19283000001</v>
      </c>
      <c r="I46" s="1962">
        <v>0</v>
      </c>
      <c r="J46" s="1953" t="str">
        <f t="shared" si="2"/>
        <v>440</v>
      </c>
    </row>
    <row r="47" spans="1:156" ht="12.75" hidden="1" outlineLevel="2" x14ac:dyDescent="0.2">
      <c r="A47" s="1961" t="s">
        <v>915</v>
      </c>
      <c r="B47" s="1961" t="s">
        <v>916</v>
      </c>
      <c r="C47" s="1961" t="s">
        <v>917</v>
      </c>
      <c r="D47" s="1961" t="s">
        <v>916</v>
      </c>
      <c r="E47" s="1961" t="s">
        <v>922</v>
      </c>
      <c r="F47" s="1969">
        <v>103565.32875</v>
      </c>
      <c r="G47" s="1962">
        <v>0</v>
      </c>
      <c r="H47" s="1962">
        <v>0</v>
      </c>
      <c r="I47" s="1962">
        <v>0</v>
      </c>
      <c r="J47" s="1953" t="str">
        <f t="shared" si="2"/>
        <v>440</v>
      </c>
    </row>
    <row r="48" spans="1:156" ht="12.75" hidden="1" outlineLevel="2" x14ac:dyDescent="0.2">
      <c r="A48" s="1961" t="s">
        <v>915</v>
      </c>
      <c r="B48" s="1961" t="s">
        <v>916</v>
      </c>
      <c r="C48" s="1961" t="s">
        <v>917</v>
      </c>
      <c r="D48" s="1961" t="s">
        <v>916</v>
      </c>
      <c r="E48" s="1961" t="s">
        <v>923</v>
      </c>
      <c r="F48" s="1969">
        <v>13622.61578</v>
      </c>
      <c r="G48" s="1962">
        <v>0</v>
      </c>
      <c r="H48" s="1962">
        <v>0</v>
      </c>
      <c r="I48" s="1962">
        <v>0</v>
      </c>
      <c r="J48" s="1953" t="str">
        <f t="shared" si="2"/>
        <v>440</v>
      </c>
    </row>
    <row r="49" spans="1:10" ht="12.75" hidden="1" outlineLevel="2" x14ac:dyDescent="0.2">
      <c r="A49" s="1961" t="s">
        <v>915</v>
      </c>
      <c r="B49" s="1961" t="s">
        <v>916</v>
      </c>
      <c r="C49" s="1961" t="s">
        <v>924</v>
      </c>
      <c r="D49" s="1961" t="s">
        <v>925</v>
      </c>
      <c r="E49" s="1961" t="s">
        <v>921</v>
      </c>
      <c r="F49" s="1969">
        <v>14381.8645</v>
      </c>
      <c r="G49" s="1962">
        <v>0</v>
      </c>
      <c r="H49" s="1962">
        <v>14381.8645</v>
      </c>
      <c r="I49" s="1962">
        <v>0</v>
      </c>
      <c r="J49" s="1953" t="str">
        <f t="shared" si="2"/>
        <v>440</v>
      </c>
    </row>
    <row r="50" spans="1:10" ht="12.75" hidden="1" outlineLevel="2" x14ac:dyDescent="0.2">
      <c r="A50" s="1961" t="s">
        <v>915</v>
      </c>
      <c r="B50" s="1961" t="s">
        <v>916</v>
      </c>
      <c r="C50" s="1961" t="s">
        <v>926</v>
      </c>
      <c r="D50" s="1961" t="s">
        <v>927</v>
      </c>
      <c r="E50" s="1961" t="s">
        <v>918</v>
      </c>
      <c r="F50" s="1969">
        <v>-803.97082999999998</v>
      </c>
      <c r="G50" s="1962">
        <v>0</v>
      </c>
      <c r="H50" s="1962">
        <v>0</v>
      </c>
      <c r="I50" s="1962">
        <v>0</v>
      </c>
      <c r="J50" s="1953" t="str">
        <f t="shared" si="2"/>
        <v>440</v>
      </c>
    </row>
    <row r="51" spans="1:10" ht="12.75" hidden="1" outlineLevel="2" x14ac:dyDescent="0.2">
      <c r="A51" s="1961" t="s">
        <v>915</v>
      </c>
      <c r="B51" s="1961" t="s">
        <v>916</v>
      </c>
      <c r="C51" s="1961" t="s">
        <v>926</v>
      </c>
      <c r="D51" s="1961" t="s">
        <v>927</v>
      </c>
      <c r="E51" s="1961" t="s">
        <v>919</v>
      </c>
      <c r="F51" s="1969">
        <v>573.14268000000004</v>
      </c>
      <c r="G51" s="1962">
        <v>0</v>
      </c>
      <c r="H51" s="1962">
        <v>0</v>
      </c>
      <c r="I51" s="1962">
        <v>573.14268000000004</v>
      </c>
      <c r="J51" s="1953" t="str">
        <f t="shared" si="2"/>
        <v>440</v>
      </c>
    </row>
    <row r="52" spans="1:10" ht="12.75" hidden="1" outlineLevel="2" x14ac:dyDescent="0.2">
      <c r="A52" s="1961" t="s">
        <v>915</v>
      </c>
      <c r="B52" s="1961" t="s">
        <v>916</v>
      </c>
      <c r="C52" s="1961" t="s">
        <v>926</v>
      </c>
      <c r="D52" s="1961" t="s">
        <v>927</v>
      </c>
      <c r="E52" s="1961" t="s">
        <v>912</v>
      </c>
      <c r="F52" s="1969">
        <v>-1106.71216</v>
      </c>
      <c r="G52" s="1962">
        <v>-1106.71216</v>
      </c>
      <c r="H52" s="1962">
        <v>0</v>
      </c>
      <c r="I52" s="1962">
        <v>0</v>
      </c>
      <c r="J52" s="1953" t="str">
        <f t="shared" si="2"/>
        <v>440</v>
      </c>
    </row>
    <row r="53" spans="1:10" ht="12.75" hidden="1" outlineLevel="2" x14ac:dyDescent="0.2">
      <c r="A53" s="1961" t="s">
        <v>915</v>
      </c>
      <c r="B53" s="1961" t="s">
        <v>916</v>
      </c>
      <c r="C53" s="1961" t="s">
        <v>926</v>
      </c>
      <c r="D53" s="1961" t="s">
        <v>927</v>
      </c>
      <c r="E53" s="1961" t="s">
        <v>920</v>
      </c>
      <c r="F53" s="1969">
        <v>1162.8444500000001</v>
      </c>
      <c r="G53" s="1962">
        <v>0</v>
      </c>
      <c r="H53" s="1962">
        <v>0</v>
      </c>
      <c r="I53" s="1962">
        <v>0</v>
      </c>
      <c r="J53" s="1953" t="str">
        <f t="shared" si="2"/>
        <v>440</v>
      </c>
    </row>
    <row r="54" spans="1:10" ht="12.75" hidden="1" outlineLevel="2" x14ac:dyDescent="0.2">
      <c r="A54" s="1961" t="s">
        <v>915</v>
      </c>
      <c r="B54" s="1961" t="s">
        <v>916</v>
      </c>
      <c r="C54" s="1961" t="s">
        <v>926</v>
      </c>
      <c r="D54" s="1961" t="s">
        <v>927</v>
      </c>
      <c r="E54" s="1961" t="s">
        <v>921</v>
      </c>
      <c r="F54" s="1969">
        <v>-8033.5564599999998</v>
      </c>
      <c r="G54" s="1962">
        <v>0</v>
      </c>
      <c r="H54" s="1962">
        <v>-8033.5564599999998</v>
      </c>
      <c r="I54" s="1962">
        <v>0</v>
      </c>
      <c r="J54" s="1953" t="str">
        <f t="shared" si="2"/>
        <v>440</v>
      </c>
    </row>
    <row r="55" spans="1:10" ht="12.75" hidden="1" outlineLevel="2" x14ac:dyDescent="0.2">
      <c r="A55" s="1961" t="s">
        <v>915</v>
      </c>
      <c r="B55" s="1961" t="s">
        <v>916</v>
      </c>
      <c r="C55" s="1961" t="s">
        <v>926</v>
      </c>
      <c r="D55" s="1961" t="s">
        <v>927</v>
      </c>
      <c r="E55" s="1961" t="s">
        <v>922</v>
      </c>
      <c r="F55" s="1969">
        <v>42.105960000000003</v>
      </c>
      <c r="G55" s="1962">
        <v>0</v>
      </c>
      <c r="H55" s="1962">
        <v>0</v>
      </c>
      <c r="I55" s="1962">
        <v>0</v>
      </c>
      <c r="J55" s="1953" t="str">
        <f t="shared" si="2"/>
        <v>440</v>
      </c>
    </row>
    <row r="56" spans="1:10" ht="12.75" hidden="1" outlineLevel="2" x14ac:dyDescent="0.2">
      <c r="A56" s="1961" t="s">
        <v>915</v>
      </c>
      <c r="B56" s="1961" t="s">
        <v>916</v>
      </c>
      <c r="C56" s="1961" t="s">
        <v>928</v>
      </c>
      <c r="D56" s="1961" t="s">
        <v>929</v>
      </c>
      <c r="E56" s="1961" t="s">
        <v>918</v>
      </c>
      <c r="F56" s="1969">
        <v>99.192440000000005</v>
      </c>
      <c r="G56" s="1962">
        <v>0</v>
      </c>
      <c r="H56" s="1962">
        <v>0</v>
      </c>
      <c r="I56" s="1962">
        <v>0</v>
      </c>
      <c r="J56" s="1953" t="str">
        <f t="shared" si="2"/>
        <v>440</v>
      </c>
    </row>
    <row r="57" spans="1:10" ht="12.75" hidden="1" outlineLevel="2" x14ac:dyDescent="0.2">
      <c r="A57" s="1961" t="s">
        <v>915</v>
      </c>
      <c r="B57" s="1961" t="s">
        <v>916</v>
      </c>
      <c r="C57" s="1961" t="s">
        <v>928</v>
      </c>
      <c r="D57" s="1961" t="s">
        <v>929</v>
      </c>
      <c r="E57" s="1961" t="s">
        <v>920</v>
      </c>
      <c r="F57" s="1969">
        <v>39904.315649999997</v>
      </c>
      <c r="G57" s="1962">
        <v>0</v>
      </c>
      <c r="H57" s="1962">
        <v>0</v>
      </c>
      <c r="I57" s="1962">
        <v>0</v>
      </c>
      <c r="J57" s="1953" t="str">
        <f t="shared" si="2"/>
        <v>440</v>
      </c>
    </row>
    <row r="58" spans="1:10" ht="12.75" hidden="1" outlineLevel="2" x14ac:dyDescent="0.2">
      <c r="A58" s="1961" t="s">
        <v>915</v>
      </c>
      <c r="B58" s="1961" t="s">
        <v>916</v>
      </c>
      <c r="C58" s="1961" t="s">
        <v>928</v>
      </c>
      <c r="D58" s="1961" t="s">
        <v>929</v>
      </c>
      <c r="E58" s="1961" t="s">
        <v>921</v>
      </c>
      <c r="F58" s="1969">
        <v>1055.0922800000001</v>
      </c>
      <c r="G58" s="1962">
        <v>0</v>
      </c>
      <c r="H58" s="1962">
        <v>1055.0922800000001</v>
      </c>
      <c r="I58" s="1962">
        <v>0</v>
      </c>
      <c r="J58" s="1953" t="str">
        <f t="shared" si="2"/>
        <v>440</v>
      </c>
    </row>
    <row r="59" spans="1:10" ht="12.75" hidden="1" outlineLevel="2" x14ac:dyDescent="0.2">
      <c r="A59" s="1961" t="s">
        <v>915</v>
      </c>
      <c r="B59" s="1961" t="s">
        <v>916</v>
      </c>
      <c r="C59" s="1961" t="s">
        <v>928</v>
      </c>
      <c r="D59" s="1961" t="s">
        <v>929</v>
      </c>
      <c r="E59" s="1961" t="s">
        <v>922</v>
      </c>
      <c r="F59" s="1969">
        <v>-384.42961000000003</v>
      </c>
      <c r="G59" s="1962">
        <v>0</v>
      </c>
      <c r="H59" s="1962">
        <v>0</v>
      </c>
      <c r="I59" s="1962">
        <v>0</v>
      </c>
      <c r="J59" s="1953" t="str">
        <f t="shared" si="2"/>
        <v>440</v>
      </c>
    </row>
    <row r="60" spans="1:10" ht="12.75" hidden="1" outlineLevel="2" x14ac:dyDescent="0.2">
      <c r="A60" s="1961" t="s">
        <v>915</v>
      </c>
      <c r="B60" s="1961" t="s">
        <v>916</v>
      </c>
      <c r="C60" s="1961" t="s">
        <v>930</v>
      </c>
      <c r="D60" s="1961" t="s">
        <v>931</v>
      </c>
      <c r="E60" s="1961" t="s">
        <v>918</v>
      </c>
      <c r="F60" s="1969">
        <v>121</v>
      </c>
      <c r="G60" s="1962">
        <v>0</v>
      </c>
      <c r="H60" s="1962">
        <v>0</v>
      </c>
      <c r="I60" s="1962">
        <v>0</v>
      </c>
      <c r="J60" s="1953" t="str">
        <f t="shared" si="2"/>
        <v>440</v>
      </c>
    </row>
    <row r="61" spans="1:10" ht="12.75" hidden="1" outlineLevel="2" x14ac:dyDescent="0.2">
      <c r="A61" s="1961" t="s">
        <v>915</v>
      </c>
      <c r="B61" s="1961" t="s">
        <v>916</v>
      </c>
      <c r="C61" s="1961" t="s">
        <v>930</v>
      </c>
      <c r="D61" s="1961" t="s">
        <v>931</v>
      </c>
      <c r="E61" s="1961" t="s">
        <v>919</v>
      </c>
      <c r="F61" s="1969">
        <v>78</v>
      </c>
      <c r="G61" s="1962">
        <v>0</v>
      </c>
      <c r="H61" s="1962">
        <v>0</v>
      </c>
      <c r="I61" s="1962">
        <v>78</v>
      </c>
      <c r="J61" s="1953" t="str">
        <f t="shared" si="2"/>
        <v>440</v>
      </c>
    </row>
    <row r="62" spans="1:10" ht="12.75" hidden="1" outlineLevel="2" x14ac:dyDescent="0.2">
      <c r="A62" s="1961" t="s">
        <v>915</v>
      </c>
      <c r="B62" s="1961" t="s">
        <v>916</v>
      </c>
      <c r="C62" s="1961" t="s">
        <v>930</v>
      </c>
      <c r="D62" s="1961" t="s">
        <v>931</v>
      </c>
      <c r="E62" s="1961" t="s">
        <v>912</v>
      </c>
      <c r="F62" s="1969">
        <v>-2411</v>
      </c>
      <c r="G62" s="1962">
        <v>-2411</v>
      </c>
      <c r="H62" s="1962">
        <v>0</v>
      </c>
      <c r="I62" s="1962">
        <v>0</v>
      </c>
      <c r="J62" s="1953" t="str">
        <f t="shared" si="2"/>
        <v>440</v>
      </c>
    </row>
    <row r="63" spans="1:10" ht="12.75" hidden="1" outlineLevel="2" x14ac:dyDescent="0.2">
      <c r="A63" s="1961" t="s">
        <v>915</v>
      </c>
      <c r="B63" s="1961" t="s">
        <v>916</v>
      </c>
      <c r="C63" s="1961" t="s">
        <v>930</v>
      </c>
      <c r="D63" s="1961" t="s">
        <v>931</v>
      </c>
      <c r="E63" s="1961" t="s">
        <v>920</v>
      </c>
      <c r="F63" s="1969">
        <v>3000</v>
      </c>
      <c r="G63" s="1962">
        <v>0</v>
      </c>
      <c r="H63" s="1962">
        <v>0</v>
      </c>
      <c r="I63" s="1962">
        <v>0</v>
      </c>
      <c r="J63" s="1953" t="str">
        <f t="shared" si="2"/>
        <v>440</v>
      </c>
    </row>
    <row r="64" spans="1:10" ht="12.75" hidden="1" outlineLevel="2" x14ac:dyDescent="0.2">
      <c r="A64" s="1961" t="s">
        <v>915</v>
      </c>
      <c r="B64" s="1961" t="s">
        <v>916</v>
      </c>
      <c r="C64" s="1961" t="s">
        <v>930</v>
      </c>
      <c r="D64" s="1961" t="s">
        <v>931</v>
      </c>
      <c r="E64" s="1961" t="s">
        <v>921</v>
      </c>
      <c r="F64" s="1969">
        <v>697</v>
      </c>
      <c r="G64" s="1962">
        <v>0</v>
      </c>
      <c r="H64" s="1962">
        <v>697</v>
      </c>
      <c r="I64" s="1962">
        <v>0</v>
      </c>
      <c r="J64" s="1953" t="str">
        <f t="shared" si="2"/>
        <v>440</v>
      </c>
    </row>
    <row r="65" spans="1:10" ht="12.75" hidden="1" outlineLevel="2" x14ac:dyDescent="0.2">
      <c r="A65" s="1961" t="s">
        <v>915</v>
      </c>
      <c r="B65" s="1961" t="s">
        <v>916</v>
      </c>
      <c r="C65" s="1961" t="s">
        <v>930</v>
      </c>
      <c r="D65" s="1961" t="s">
        <v>931</v>
      </c>
      <c r="E65" s="1961" t="s">
        <v>922</v>
      </c>
      <c r="F65" s="1969">
        <v>-290</v>
      </c>
      <c r="G65" s="1962">
        <v>0</v>
      </c>
      <c r="H65" s="1962">
        <v>0</v>
      </c>
      <c r="I65" s="1962">
        <v>0</v>
      </c>
      <c r="J65" s="1953" t="str">
        <f t="shared" si="2"/>
        <v>440</v>
      </c>
    </row>
    <row r="66" spans="1:10" ht="12.75" hidden="1" outlineLevel="2" x14ac:dyDescent="0.2">
      <c r="A66" s="1961" t="s">
        <v>915</v>
      </c>
      <c r="B66" s="1961" t="s">
        <v>916</v>
      </c>
      <c r="C66" s="1961" t="s">
        <v>930</v>
      </c>
      <c r="D66" s="1961" t="s">
        <v>931</v>
      </c>
      <c r="E66" s="1961" t="s">
        <v>923</v>
      </c>
      <c r="F66" s="1969">
        <v>-81</v>
      </c>
      <c r="G66" s="1962">
        <v>0</v>
      </c>
      <c r="H66" s="1962">
        <v>0</v>
      </c>
      <c r="I66" s="1962">
        <v>0</v>
      </c>
      <c r="J66" s="1953" t="str">
        <f t="shared" si="2"/>
        <v>440</v>
      </c>
    </row>
    <row r="67" spans="1:10" ht="12.75" hidden="1" outlineLevel="2" x14ac:dyDescent="0.2">
      <c r="A67" s="1961" t="s">
        <v>915</v>
      </c>
      <c r="B67" s="1961" t="s">
        <v>916</v>
      </c>
      <c r="C67" s="1961" t="s">
        <v>932</v>
      </c>
      <c r="D67" s="1961" t="s">
        <v>933</v>
      </c>
      <c r="E67" s="1961" t="s">
        <v>918</v>
      </c>
      <c r="F67" s="1969">
        <v>150.95636999999999</v>
      </c>
      <c r="G67" s="1962">
        <v>0</v>
      </c>
      <c r="H67" s="1962">
        <v>0</v>
      </c>
      <c r="I67" s="1962">
        <v>0</v>
      </c>
      <c r="J67" s="1953" t="str">
        <f t="shared" si="2"/>
        <v>440</v>
      </c>
    </row>
    <row r="68" spans="1:10" ht="12.75" hidden="1" outlineLevel="2" x14ac:dyDescent="0.2">
      <c r="A68" s="1961" t="s">
        <v>915</v>
      </c>
      <c r="B68" s="1961" t="s">
        <v>916</v>
      </c>
      <c r="C68" s="1961" t="s">
        <v>932</v>
      </c>
      <c r="D68" s="1961" t="s">
        <v>933</v>
      </c>
      <c r="E68" s="1961" t="s">
        <v>921</v>
      </c>
      <c r="F68" s="1969">
        <v>820.89815999999996</v>
      </c>
      <c r="G68" s="1962">
        <v>0</v>
      </c>
      <c r="H68" s="1962">
        <v>820.89815999999996</v>
      </c>
      <c r="I68" s="1962">
        <v>0</v>
      </c>
      <c r="J68" s="1953" t="str">
        <f t="shared" si="2"/>
        <v>440</v>
      </c>
    </row>
    <row r="69" spans="1:10" ht="12.75" hidden="1" outlineLevel="2" x14ac:dyDescent="0.2">
      <c r="A69" s="1961" t="s">
        <v>915</v>
      </c>
      <c r="B69" s="1961" t="s">
        <v>916</v>
      </c>
      <c r="C69" s="1961" t="s">
        <v>932</v>
      </c>
      <c r="D69" s="1961" t="s">
        <v>933</v>
      </c>
      <c r="E69" s="1961" t="s">
        <v>922</v>
      </c>
      <c r="F69" s="1969">
        <v>243.53927999999999</v>
      </c>
      <c r="G69" s="1962">
        <v>0</v>
      </c>
      <c r="H69" s="1962">
        <v>0</v>
      </c>
      <c r="I69" s="1962">
        <v>0</v>
      </c>
      <c r="J69" s="1953" t="str">
        <f t="shared" si="2"/>
        <v>440</v>
      </c>
    </row>
    <row r="70" spans="1:10" ht="12.75" hidden="1" outlineLevel="2" x14ac:dyDescent="0.2">
      <c r="A70" s="1961" t="s">
        <v>915</v>
      </c>
      <c r="B70" s="1961" t="s">
        <v>916</v>
      </c>
      <c r="C70" s="1961" t="s">
        <v>934</v>
      </c>
      <c r="D70" s="1961" t="s">
        <v>935</v>
      </c>
      <c r="E70" s="1961" t="s">
        <v>936</v>
      </c>
      <c r="F70" s="1969">
        <v>160.20484999999999</v>
      </c>
      <c r="G70" s="1962">
        <v>0</v>
      </c>
      <c r="H70" s="1962">
        <v>0</v>
      </c>
      <c r="I70" s="1962">
        <v>0</v>
      </c>
      <c r="J70" s="1953" t="str">
        <f t="shared" si="2"/>
        <v>440</v>
      </c>
    </row>
    <row r="71" spans="1:10" ht="12.75" hidden="1" outlineLevel="2" x14ac:dyDescent="0.2">
      <c r="A71" s="1961" t="s">
        <v>915</v>
      </c>
      <c r="B71" s="1961" t="s">
        <v>916</v>
      </c>
      <c r="C71" s="1961" t="s">
        <v>937</v>
      </c>
      <c r="D71" s="1961" t="s">
        <v>938</v>
      </c>
      <c r="E71" s="1961" t="s">
        <v>919</v>
      </c>
      <c r="F71" s="1969">
        <v>-241.93630999999999</v>
      </c>
      <c r="G71" s="1962">
        <v>0</v>
      </c>
      <c r="H71" s="1962">
        <v>0</v>
      </c>
      <c r="I71" s="1962">
        <v>-241.93630999999999</v>
      </c>
      <c r="J71" s="1953" t="str">
        <f t="shared" si="2"/>
        <v>440</v>
      </c>
    </row>
    <row r="72" spans="1:10" ht="12.75" hidden="1" outlineLevel="2" x14ac:dyDescent="0.2">
      <c r="A72" s="1961" t="s">
        <v>915</v>
      </c>
      <c r="B72" s="1961" t="s">
        <v>916</v>
      </c>
      <c r="C72" s="1961" t="s">
        <v>937</v>
      </c>
      <c r="D72" s="1961" t="s">
        <v>938</v>
      </c>
      <c r="E72" s="1961" t="s">
        <v>912</v>
      </c>
      <c r="F72" s="1969">
        <v>-1667.3568499999999</v>
      </c>
      <c r="G72" s="1962">
        <v>-1667.3568499999999</v>
      </c>
      <c r="H72" s="1962">
        <v>0</v>
      </c>
      <c r="I72" s="1962">
        <v>0</v>
      </c>
      <c r="J72" s="1953" t="str">
        <f t="shared" si="2"/>
        <v>440</v>
      </c>
    </row>
    <row r="73" spans="1:10" ht="12.75" hidden="1" outlineLevel="2" x14ac:dyDescent="0.2">
      <c r="A73" s="1961" t="s">
        <v>915</v>
      </c>
      <c r="B73" s="1961" t="s">
        <v>916</v>
      </c>
      <c r="C73" s="1961" t="s">
        <v>937</v>
      </c>
      <c r="D73" s="1961" t="s">
        <v>938</v>
      </c>
      <c r="E73" s="1961" t="s">
        <v>920</v>
      </c>
      <c r="F73" s="1969">
        <v>-3393.9378099999999</v>
      </c>
      <c r="G73" s="1962">
        <v>0</v>
      </c>
      <c r="H73" s="1962">
        <v>0</v>
      </c>
      <c r="I73" s="1962">
        <v>0</v>
      </c>
      <c r="J73" s="1953" t="str">
        <f t="shared" si="2"/>
        <v>440</v>
      </c>
    </row>
    <row r="74" spans="1:10" ht="12.75" hidden="1" outlineLevel="2" x14ac:dyDescent="0.2">
      <c r="A74" s="1961" t="s">
        <v>915</v>
      </c>
      <c r="B74" s="1961" t="s">
        <v>916</v>
      </c>
      <c r="C74" s="1961" t="s">
        <v>937</v>
      </c>
      <c r="D74" s="1961" t="s">
        <v>938</v>
      </c>
      <c r="E74" s="1961" t="s">
        <v>921</v>
      </c>
      <c r="F74" s="1969">
        <v>-694.09464000000003</v>
      </c>
      <c r="G74" s="1962">
        <v>0</v>
      </c>
      <c r="H74" s="1962">
        <v>-694.09464000000003</v>
      </c>
      <c r="I74" s="1962">
        <v>0</v>
      </c>
      <c r="J74" s="1953" t="str">
        <f t="shared" si="2"/>
        <v>440</v>
      </c>
    </row>
    <row r="75" spans="1:10" ht="12.75" hidden="1" outlineLevel="2" x14ac:dyDescent="0.2">
      <c r="A75" s="1961" t="s">
        <v>915</v>
      </c>
      <c r="B75" s="1961" t="s">
        <v>916</v>
      </c>
      <c r="C75" s="1961" t="s">
        <v>939</v>
      </c>
      <c r="D75" s="1961" t="s">
        <v>940</v>
      </c>
      <c r="E75" s="1961" t="s">
        <v>936</v>
      </c>
      <c r="F75" s="1969">
        <v>1916.31483</v>
      </c>
      <c r="G75" s="1962">
        <v>0</v>
      </c>
      <c r="H75" s="1962">
        <v>0</v>
      </c>
      <c r="I75" s="1962">
        <v>0</v>
      </c>
      <c r="J75" s="1953" t="str">
        <f t="shared" si="2"/>
        <v>440</v>
      </c>
    </row>
    <row r="76" spans="1:10" ht="12.75" hidden="1" outlineLevel="2" x14ac:dyDescent="0.2">
      <c r="A76" s="1961" t="s">
        <v>915</v>
      </c>
      <c r="B76" s="1961" t="s">
        <v>916</v>
      </c>
      <c r="C76" s="1961" t="s">
        <v>941</v>
      </c>
      <c r="D76" s="1961" t="s">
        <v>942</v>
      </c>
      <c r="E76" s="1961" t="s">
        <v>936</v>
      </c>
      <c r="F76" s="1969">
        <v>405.17953</v>
      </c>
      <c r="G76" s="1962">
        <v>0</v>
      </c>
      <c r="H76" s="1962">
        <v>0</v>
      </c>
      <c r="I76" s="1962">
        <v>0</v>
      </c>
      <c r="J76" s="1953" t="str">
        <f t="shared" si="2"/>
        <v>440</v>
      </c>
    </row>
    <row r="77" spans="1:10" ht="12.75" hidden="1" outlineLevel="2" x14ac:dyDescent="0.2">
      <c r="A77" s="1961" t="s">
        <v>915</v>
      </c>
      <c r="B77" s="1961" t="s">
        <v>916</v>
      </c>
      <c r="C77" s="1961" t="s">
        <v>943</v>
      </c>
      <c r="D77" s="1961" t="s">
        <v>944</v>
      </c>
      <c r="E77" s="1961" t="s">
        <v>936</v>
      </c>
      <c r="F77" s="1969">
        <v>53879.674729999999</v>
      </c>
      <c r="G77" s="1962">
        <v>0</v>
      </c>
      <c r="H77" s="1962">
        <v>0</v>
      </c>
      <c r="I77" s="1962">
        <v>0</v>
      </c>
      <c r="J77" s="1953" t="str">
        <f t="shared" si="2"/>
        <v>440</v>
      </c>
    </row>
    <row r="78" spans="1:10" ht="12.75" hidden="1" outlineLevel="2" x14ac:dyDescent="0.2">
      <c r="A78" s="1961" t="s">
        <v>915</v>
      </c>
      <c r="B78" s="1961" t="s">
        <v>916</v>
      </c>
      <c r="C78" s="1961" t="s">
        <v>945</v>
      </c>
      <c r="D78" s="1961" t="s">
        <v>946</v>
      </c>
      <c r="E78" s="1961" t="s">
        <v>936</v>
      </c>
      <c r="F78" s="1969">
        <v>47.305970000000002</v>
      </c>
      <c r="G78" s="1962">
        <v>0</v>
      </c>
      <c r="H78" s="1962">
        <v>0</v>
      </c>
      <c r="I78" s="1962">
        <v>0</v>
      </c>
      <c r="J78" s="1953" t="str">
        <f t="shared" si="2"/>
        <v>440</v>
      </c>
    </row>
    <row r="79" spans="1:10" ht="12.75" hidden="1" outlineLevel="2" x14ac:dyDescent="0.2">
      <c r="A79" s="1961" t="s">
        <v>915</v>
      </c>
      <c r="B79" s="1961" t="s">
        <v>916</v>
      </c>
      <c r="C79" s="1961" t="s">
        <v>947</v>
      </c>
      <c r="D79" s="1961" t="s">
        <v>948</v>
      </c>
      <c r="E79" s="1961" t="s">
        <v>936</v>
      </c>
      <c r="F79" s="1969">
        <v>2909.3440099999998</v>
      </c>
      <c r="G79" s="1962">
        <v>0</v>
      </c>
      <c r="H79" s="1962">
        <v>0</v>
      </c>
      <c r="I79" s="1962">
        <v>0</v>
      </c>
      <c r="J79" s="1953" t="str">
        <f t="shared" si="2"/>
        <v>440</v>
      </c>
    </row>
    <row r="80" spans="1:10" ht="12.75" hidden="1" outlineLevel="2" x14ac:dyDescent="0.2">
      <c r="A80" s="1961" t="s">
        <v>915</v>
      </c>
      <c r="B80" s="1961" t="s">
        <v>916</v>
      </c>
      <c r="C80" s="1961" t="s">
        <v>949</v>
      </c>
      <c r="D80" s="1961" t="s">
        <v>950</v>
      </c>
      <c r="E80" s="1961" t="s">
        <v>936</v>
      </c>
      <c r="F80" s="1969">
        <v>1706.3523600000001</v>
      </c>
      <c r="G80" s="1962">
        <v>0</v>
      </c>
      <c r="H80" s="1962">
        <v>0</v>
      </c>
      <c r="I80" s="1962">
        <v>0</v>
      </c>
      <c r="J80" s="1953" t="str">
        <f t="shared" si="2"/>
        <v>440</v>
      </c>
    </row>
    <row r="81" spans="1:10" ht="13.5" outlineLevel="1" collapsed="1" thickBot="1" x14ac:dyDescent="0.25">
      <c r="A81" s="1963" t="s">
        <v>951</v>
      </c>
      <c r="B81" s="1964"/>
      <c r="C81" s="1964"/>
      <c r="D81" s="1964"/>
      <c r="E81" s="1963"/>
      <c r="F81" s="1966">
        <f t="shared" ref="F81:I81" si="3">SUBTOTAL(9,F42:F80)</f>
        <v>2230105.4194999998</v>
      </c>
      <c r="G81" s="1965">
        <f t="shared" si="3"/>
        <v>773520.43290000001</v>
      </c>
      <c r="H81" s="1965">
        <f t="shared" si="3"/>
        <v>197843.39667000005</v>
      </c>
      <c r="I81" s="1965">
        <f t="shared" si="3"/>
        <v>96036.728180000006</v>
      </c>
    </row>
    <row r="82" spans="1:10" ht="12.75" hidden="1" outlineLevel="2" x14ac:dyDescent="0.2">
      <c r="A82" s="1967" t="s">
        <v>952</v>
      </c>
      <c r="B82" s="1967" t="s">
        <v>953</v>
      </c>
      <c r="C82" s="1967" t="s">
        <v>954</v>
      </c>
      <c r="D82" s="1967" t="s">
        <v>953</v>
      </c>
      <c r="E82" s="1967" t="s">
        <v>918</v>
      </c>
      <c r="F82" s="1969">
        <v>33909.3007</v>
      </c>
      <c r="G82" s="1962">
        <v>0</v>
      </c>
      <c r="H82" s="1962">
        <v>0</v>
      </c>
      <c r="I82" s="1962">
        <v>0</v>
      </c>
      <c r="J82" s="1953" t="str">
        <f t="shared" ref="J82:J121" si="4">LEFT(A82,3)</f>
        <v>442</v>
      </c>
    </row>
    <row r="83" spans="1:10" ht="12.75" hidden="1" outlineLevel="2" x14ac:dyDescent="0.2">
      <c r="A83" s="1961" t="s">
        <v>952</v>
      </c>
      <c r="B83" s="1961" t="s">
        <v>953</v>
      </c>
      <c r="C83" s="1961" t="s">
        <v>954</v>
      </c>
      <c r="D83" s="1961" t="s">
        <v>953</v>
      </c>
      <c r="E83" s="1961" t="s">
        <v>919</v>
      </c>
      <c r="F83" s="1969">
        <v>51518.816489999997</v>
      </c>
      <c r="G83" s="1962">
        <v>0</v>
      </c>
      <c r="H83" s="1962">
        <v>0</v>
      </c>
      <c r="I83" s="1962">
        <v>51518.816489999997</v>
      </c>
      <c r="J83" s="1953" t="str">
        <f t="shared" si="4"/>
        <v>442</v>
      </c>
    </row>
    <row r="84" spans="1:10" ht="12.75" hidden="1" outlineLevel="2" x14ac:dyDescent="0.2">
      <c r="A84" s="1961" t="s">
        <v>952</v>
      </c>
      <c r="B84" s="1961" t="s">
        <v>953</v>
      </c>
      <c r="C84" s="1961" t="s">
        <v>954</v>
      </c>
      <c r="D84" s="1961" t="s">
        <v>953</v>
      </c>
      <c r="E84" s="1961" t="s">
        <v>912</v>
      </c>
      <c r="F84" s="1969">
        <v>575962.18232999998</v>
      </c>
      <c r="G84" s="1962">
        <v>575962.18232999998</v>
      </c>
      <c r="H84" s="1962">
        <v>0</v>
      </c>
      <c r="I84" s="1962">
        <v>0</v>
      </c>
      <c r="J84" s="1953" t="str">
        <f t="shared" si="4"/>
        <v>442</v>
      </c>
    </row>
    <row r="85" spans="1:10" ht="12.75" hidden="1" outlineLevel="2" x14ac:dyDescent="0.2">
      <c r="A85" s="1961" t="s">
        <v>952</v>
      </c>
      <c r="B85" s="1961" t="s">
        <v>953</v>
      </c>
      <c r="C85" s="1961" t="s">
        <v>954</v>
      </c>
      <c r="D85" s="1961" t="s">
        <v>953</v>
      </c>
      <c r="E85" s="1961" t="s">
        <v>920</v>
      </c>
      <c r="F85" s="1969">
        <v>822192.86266999994</v>
      </c>
      <c r="G85" s="1962">
        <v>0</v>
      </c>
      <c r="H85" s="1962">
        <v>0</v>
      </c>
      <c r="I85" s="1962">
        <v>0</v>
      </c>
      <c r="J85" s="1953" t="str">
        <f t="shared" si="4"/>
        <v>442</v>
      </c>
    </row>
    <row r="86" spans="1:10" ht="12.75" hidden="1" outlineLevel="2" x14ac:dyDescent="0.2">
      <c r="A86" s="1961" t="s">
        <v>952</v>
      </c>
      <c r="B86" s="1961" t="s">
        <v>953</v>
      </c>
      <c r="C86" s="1961" t="s">
        <v>954</v>
      </c>
      <c r="D86" s="1961" t="s">
        <v>953</v>
      </c>
      <c r="E86" s="1961" t="s">
        <v>921</v>
      </c>
      <c r="F86" s="1969">
        <v>154348.59327000001</v>
      </c>
      <c r="G86" s="1962">
        <v>0</v>
      </c>
      <c r="H86" s="1962">
        <v>154348.59327000001</v>
      </c>
      <c r="I86" s="1962">
        <v>0</v>
      </c>
      <c r="J86" s="1953" t="str">
        <f t="shared" si="4"/>
        <v>442</v>
      </c>
    </row>
    <row r="87" spans="1:10" ht="12.75" hidden="1" outlineLevel="2" x14ac:dyDescent="0.2">
      <c r="A87" s="1961" t="s">
        <v>952</v>
      </c>
      <c r="B87" s="1961" t="s">
        <v>953</v>
      </c>
      <c r="C87" s="1961" t="s">
        <v>954</v>
      </c>
      <c r="D87" s="1961" t="s">
        <v>953</v>
      </c>
      <c r="E87" s="1961" t="s">
        <v>922</v>
      </c>
      <c r="F87" s="1969">
        <v>115677.92008</v>
      </c>
      <c r="G87" s="1962">
        <v>0</v>
      </c>
      <c r="H87" s="1962">
        <v>0</v>
      </c>
      <c r="I87" s="1962">
        <v>0</v>
      </c>
      <c r="J87" s="1953" t="str">
        <f t="shared" si="4"/>
        <v>442</v>
      </c>
    </row>
    <row r="88" spans="1:10" ht="12.75" hidden="1" outlineLevel="2" x14ac:dyDescent="0.2">
      <c r="A88" s="1961" t="s">
        <v>952</v>
      </c>
      <c r="B88" s="1961" t="s">
        <v>953</v>
      </c>
      <c r="C88" s="1961" t="s">
        <v>954</v>
      </c>
      <c r="D88" s="1961" t="s">
        <v>953</v>
      </c>
      <c r="E88" s="1961" t="s">
        <v>923</v>
      </c>
      <c r="F88" s="1969">
        <v>11479.961579999999</v>
      </c>
      <c r="G88" s="1962">
        <v>0</v>
      </c>
      <c r="H88" s="1962">
        <v>0</v>
      </c>
      <c r="I88" s="1962">
        <v>0</v>
      </c>
      <c r="J88" s="1953" t="str">
        <f t="shared" si="4"/>
        <v>442</v>
      </c>
    </row>
    <row r="89" spans="1:10" ht="12.75" hidden="1" outlineLevel="2" x14ac:dyDescent="0.2">
      <c r="A89" s="1961" t="s">
        <v>952</v>
      </c>
      <c r="B89" s="1961" t="s">
        <v>953</v>
      </c>
      <c r="C89" s="1961" t="s">
        <v>955</v>
      </c>
      <c r="D89" s="1961" t="s">
        <v>956</v>
      </c>
      <c r="E89" s="1961" t="s">
        <v>921</v>
      </c>
      <c r="F89" s="1969">
        <v>-18773.98861</v>
      </c>
      <c r="G89" s="1962">
        <v>0</v>
      </c>
      <c r="H89" s="1962">
        <v>-18773.98861</v>
      </c>
      <c r="I89" s="1962">
        <v>0</v>
      </c>
      <c r="J89" s="1953" t="str">
        <f t="shared" si="4"/>
        <v>442</v>
      </c>
    </row>
    <row r="90" spans="1:10" ht="12.75" hidden="1" outlineLevel="2" x14ac:dyDescent="0.2">
      <c r="A90" s="1961" t="s">
        <v>952</v>
      </c>
      <c r="B90" s="1961" t="s">
        <v>953</v>
      </c>
      <c r="C90" s="1961" t="s">
        <v>957</v>
      </c>
      <c r="D90" s="1961" t="s">
        <v>958</v>
      </c>
      <c r="E90" s="1961" t="s">
        <v>918</v>
      </c>
      <c r="F90" s="1969">
        <v>-452.66662000000002</v>
      </c>
      <c r="G90" s="1962">
        <v>0</v>
      </c>
      <c r="H90" s="1962">
        <v>0</v>
      </c>
      <c r="I90" s="1962">
        <v>0</v>
      </c>
      <c r="J90" s="1953" t="str">
        <f t="shared" si="4"/>
        <v>442</v>
      </c>
    </row>
    <row r="91" spans="1:10" ht="12.75" hidden="1" outlineLevel="2" x14ac:dyDescent="0.2">
      <c r="A91" s="1961" t="s">
        <v>952</v>
      </c>
      <c r="B91" s="1961" t="s">
        <v>953</v>
      </c>
      <c r="C91" s="1961" t="s">
        <v>957</v>
      </c>
      <c r="D91" s="1961" t="s">
        <v>958</v>
      </c>
      <c r="E91" s="1961" t="s">
        <v>919</v>
      </c>
      <c r="F91" s="1969">
        <v>337.22796</v>
      </c>
      <c r="G91" s="1962">
        <v>0</v>
      </c>
      <c r="H91" s="1962">
        <v>0</v>
      </c>
      <c r="I91" s="1962">
        <v>337.22796</v>
      </c>
      <c r="J91" s="1953" t="str">
        <f t="shared" si="4"/>
        <v>442</v>
      </c>
    </row>
    <row r="92" spans="1:10" ht="12.75" hidden="1" outlineLevel="2" x14ac:dyDescent="0.2">
      <c r="A92" s="1961" t="s">
        <v>952</v>
      </c>
      <c r="B92" s="1961" t="s">
        <v>953</v>
      </c>
      <c r="C92" s="1961" t="s">
        <v>957</v>
      </c>
      <c r="D92" s="1961" t="s">
        <v>958</v>
      </c>
      <c r="E92" s="1961" t="s">
        <v>912</v>
      </c>
      <c r="F92" s="1969">
        <v>685.05143999999996</v>
      </c>
      <c r="G92" s="1962">
        <v>685.05143999999996</v>
      </c>
      <c r="H92" s="1962">
        <v>0</v>
      </c>
      <c r="I92" s="1962">
        <v>0</v>
      </c>
      <c r="J92" s="1953" t="str">
        <f t="shared" si="4"/>
        <v>442</v>
      </c>
    </row>
    <row r="93" spans="1:10" ht="12.75" hidden="1" outlineLevel="2" x14ac:dyDescent="0.2">
      <c r="A93" s="1961" t="s">
        <v>952</v>
      </c>
      <c r="B93" s="1961" t="s">
        <v>953</v>
      </c>
      <c r="C93" s="1961" t="s">
        <v>957</v>
      </c>
      <c r="D93" s="1961" t="s">
        <v>958</v>
      </c>
      <c r="E93" s="1961" t="s">
        <v>920</v>
      </c>
      <c r="F93" s="1969">
        <v>2141.86625</v>
      </c>
      <c r="G93" s="1962">
        <v>0</v>
      </c>
      <c r="H93" s="1962">
        <v>0</v>
      </c>
      <c r="I93" s="1962">
        <v>0</v>
      </c>
      <c r="J93" s="1953" t="str">
        <f t="shared" si="4"/>
        <v>442</v>
      </c>
    </row>
    <row r="94" spans="1:10" ht="12.75" hidden="1" outlineLevel="2" x14ac:dyDescent="0.2">
      <c r="A94" s="1961" t="s">
        <v>952</v>
      </c>
      <c r="B94" s="1961" t="s">
        <v>953</v>
      </c>
      <c r="C94" s="1961" t="s">
        <v>957</v>
      </c>
      <c r="D94" s="1961" t="s">
        <v>958</v>
      </c>
      <c r="E94" s="1961" t="s">
        <v>921</v>
      </c>
      <c r="F94" s="1969">
        <v>-4042.0132400000002</v>
      </c>
      <c r="G94" s="1962">
        <v>0</v>
      </c>
      <c r="H94" s="1962">
        <v>-4042.0132400000002</v>
      </c>
      <c r="I94" s="1962">
        <v>0</v>
      </c>
      <c r="J94" s="1953" t="str">
        <f t="shared" si="4"/>
        <v>442</v>
      </c>
    </row>
    <row r="95" spans="1:10" ht="12.75" hidden="1" outlineLevel="2" x14ac:dyDescent="0.2">
      <c r="A95" s="1961" t="s">
        <v>952</v>
      </c>
      <c r="B95" s="1961" t="s">
        <v>953</v>
      </c>
      <c r="C95" s="1961" t="s">
        <v>957</v>
      </c>
      <c r="D95" s="1961" t="s">
        <v>958</v>
      </c>
      <c r="E95" s="1961" t="s">
        <v>922</v>
      </c>
      <c r="F95" s="1969">
        <v>56.488430000000001</v>
      </c>
      <c r="G95" s="1962">
        <v>0</v>
      </c>
      <c r="H95" s="1962">
        <v>0</v>
      </c>
      <c r="I95" s="1962">
        <v>0</v>
      </c>
      <c r="J95" s="1953" t="str">
        <f t="shared" si="4"/>
        <v>442</v>
      </c>
    </row>
    <row r="96" spans="1:10" ht="12.75" hidden="1" outlineLevel="2" x14ac:dyDescent="0.2">
      <c r="A96" s="1961" t="s">
        <v>952</v>
      </c>
      <c r="B96" s="1961" t="s">
        <v>953</v>
      </c>
      <c r="C96" s="1961" t="s">
        <v>959</v>
      </c>
      <c r="D96" s="1961" t="s">
        <v>960</v>
      </c>
      <c r="E96" s="1961" t="s">
        <v>918</v>
      </c>
      <c r="F96" s="1969">
        <v>60.694659999999999</v>
      </c>
      <c r="G96" s="1962">
        <v>0</v>
      </c>
      <c r="H96" s="1962">
        <v>0</v>
      </c>
      <c r="I96" s="1962">
        <v>0</v>
      </c>
      <c r="J96" s="1953" t="str">
        <f t="shared" si="4"/>
        <v>442</v>
      </c>
    </row>
    <row r="97" spans="1:10" ht="12.75" hidden="1" outlineLevel="2" x14ac:dyDescent="0.2">
      <c r="A97" s="1961" t="s">
        <v>952</v>
      </c>
      <c r="B97" s="1961" t="s">
        <v>953</v>
      </c>
      <c r="C97" s="1961" t="s">
        <v>959</v>
      </c>
      <c r="D97" s="1961" t="s">
        <v>960</v>
      </c>
      <c r="E97" s="1961" t="s">
        <v>920</v>
      </c>
      <c r="F97" s="1969">
        <v>50227.235910000003</v>
      </c>
      <c r="G97" s="1962">
        <v>0</v>
      </c>
      <c r="H97" s="1962">
        <v>0</v>
      </c>
      <c r="I97" s="1962">
        <v>0</v>
      </c>
      <c r="J97" s="1953" t="str">
        <f t="shared" si="4"/>
        <v>442</v>
      </c>
    </row>
    <row r="98" spans="1:10" ht="12.75" hidden="1" outlineLevel="2" x14ac:dyDescent="0.2">
      <c r="A98" s="1961" t="s">
        <v>952</v>
      </c>
      <c r="B98" s="1961" t="s">
        <v>953</v>
      </c>
      <c r="C98" s="1961" t="s">
        <v>959</v>
      </c>
      <c r="D98" s="1961" t="s">
        <v>960</v>
      </c>
      <c r="E98" s="1961" t="s">
        <v>921</v>
      </c>
      <c r="F98" s="1969">
        <v>969.28742999999997</v>
      </c>
      <c r="G98" s="1962">
        <v>0</v>
      </c>
      <c r="H98" s="1962">
        <v>969.28742999999997</v>
      </c>
      <c r="I98" s="1962">
        <v>0</v>
      </c>
      <c r="J98" s="1953" t="str">
        <f t="shared" si="4"/>
        <v>442</v>
      </c>
    </row>
    <row r="99" spans="1:10" ht="12.75" hidden="1" outlineLevel="2" x14ac:dyDescent="0.2">
      <c r="A99" s="1961" t="s">
        <v>952</v>
      </c>
      <c r="B99" s="1961" t="s">
        <v>953</v>
      </c>
      <c r="C99" s="1961" t="s">
        <v>959</v>
      </c>
      <c r="D99" s="1961" t="s">
        <v>960</v>
      </c>
      <c r="E99" s="1961" t="s">
        <v>922</v>
      </c>
      <c r="F99" s="1969">
        <v>-520.39364999999998</v>
      </c>
      <c r="G99" s="1962">
        <v>0</v>
      </c>
      <c r="H99" s="1962">
        <v>0</v>
      </c>
      <c r="I99" s="1962">
        <v>0</v>
      </c>
      <c r="J99" s="1953" t="str">
        <f t="shared" si="4"/>
        <v>442</v>
      </c>
    </row>
    <row r="100" spans="1:10" ht="12.75" hidden="1" outlineLevel="2" x14ac:dyDescent="0.2">
      <c r="A100" s="1961" t="s">
        <v>952</v>
      </c>
      <c r="B100" s="1961" t="s">
        <v>953</v>
      </c>
      <c r="C100" s="1961" t="s">
        <v>961</v>
      </c>
      <c r="D100" s="1961" t="s">
        <v>962</v>
      </c>
      <c r="E100" s="1961" t="s">
        <v>918</v>
      </c>
      <c r="F100" s="1969">
        <v>-744</v>
      </c>
      <c r="G100" s="1962">
        <v>0</v>
      </c>
      <c r="H100" s="1962">
        <v>0</v>
      </c>
      <c r="I100" s="1962">
        <v>0</v>
      </c>
      <c r="J100" s="1953" t="str">
        <f t="shared" si="4"/>
        <v>442</v>
      </c>
    </row>
    <row r="101" spans="1:10" ht="12.75" hidden="1" outlineLevel="2" x14ac:dyDescent="0.2">
      <c r="A101" s="1961" t="s">
        <v>952</v>
      </c>
      <c r="B101" s="1961" t="s">
        <v>953</v>
      </c>
      <c r="C101" s="1961" t="s">
        <v>961</v>
      </c>
      <c r="D101" s="1961" t="s">
        <v>962</v>
      </c>
      <c r="E101" s="1961" t="s">
        <v>919</v>
      </c>
      <c r="F101" s="1969">
        <v>-272</v>
      </c>
      <c r="G101" s="1962">
        <v>0</v>
      </c>
      <c r="H101" s="1962">
        <v>0</v>
      </c>
      <c r="I101" s="1962">
        <v>-272</v>
      </c>
      <c r="J101" s="1953" t="str">
        <f t="shared" si="4"/>
        <v>442</v>
      </c>
    </row>
    <row r="102" spans="1:10" ht="12.75" hidden="1" outlineLevel="2" x14ac:dyDescent="0.2">
      <c r="A102" s="1961" t="s">
        <v>952</v>
      </c>
      <c r="B102" s="1961" t="s">
        <v>953</v>
      </c>
      <c r="C102" s="1961" t="s">
        <v>961</v>
      </c>
      <c r="D102" s="1961" t="s">
        <v>962</v>
      </c>
      <c r="E102" s="1961" t="s">
        <v>912</v>
      </c>
      <c r="F102" s="1969">
        <v>10309</v>
      </c>
      <c r="G102" s="1962">
        <v>10309</v>
      </c>
      <c r="H102" s="1962">
        <v>0</v>
      </c>
      <c r="I102" s="1962">
        <v>0</v>
      </c>
      <c r="J102" s="1953" t="str">
        <f t="shared" si="4"/>
        <v>442</v>
      </c>
    </row>
    <row r="103" spans="1:10" ht="12.75" hidden="1" outlineLevel="2" x14ac:dyDescent="0.2">
      <c r="A103" s="1961" t="s">
        <v>952</v>
      </c>
      <c r="B103" s="1961" t="s">
        <v>953</v>
      </c>
      <c r="C103" s="1961" t="s">
        <v>961</v>
      </c>
      <c r="D103" s="1961" t="s">
        <v>962</v>
      </c>
      <c r="E103" s="1961" t="s">
        <v>920</v>
      </c>
      <c r="F103" s="1969">
        <v>5900</v>
      </c>
      <c r="G103" s="1962">
        <v>0</v>
      </c>
      <c r="H103" s="1962">
        <v>0</v>
      </c>
      <c r="I103" s="1962">
        <v>0</v>
      </c>
      <c r="J103" s="1953" t="str">
        <f t="shared" si="4"/>
        <v>442</v>
      </c>
    </row>
    <row r="104" spans="1:10" ht="12.75" hidden="1" outlineLevel="2" x14ac:dyDescent="0.2">
      <c r="A104" s="1961" t="s">
        <v>952</v>
      </c>
      <c r="B104" s="1961" t="s">
        <v>953</v>
      </c>
      <c r="C104" s="1961" t="s">
        <v>961</v>
      </c>
      <c r="D104" s="1961" t="s">
        <v>962</v>
      </c>
      <c r="E104" s="1961" t="s">
        <v>921</v>
      </c>
      <c r="F104" s="1969">
        <v>-1854</v>
      </c>
      <c r="G104" s="1962">
        <v>0</v>
      </c>
      <c r="H104" s="1962">
        <v>-1854</v>
      </c>
      <c r="I104" s="1962">
        <v>0</v>
      </c>
      <c r="J104" s="1953" t="str">
        <f t="shared" si="4"/>
        <v>442</v>
      </c>
    </row>
    <row r="105" spans="1:10" ht="12.75" hidden="1" outlineLevel="2" x14ac:dyDescent="0.2">
      <c r="A105" s="1961" t="s">
        <v>952</v>
      </c>
      <c r="B105" s="1961" t="s">
        <v>953</v>
      </c>
      <c r="C105" s="1961" t="s">
        <v>961</v>
      </c>
      <c r="D105" s="1961" t="s">
        <v>962</v>
      </c>
      <c r="E105" s="1961" t="s">
        <v>922</v>
      </c>
      <c r="F105" s="1969">
        <v>198</v>
      </c>
      <c r="G105" s="1962">
        <v>0</v>
      </c>
      <c r="H105" s="1962">
        <v>0</v>
      </c>
      <c r="I105" s="1962">
        <v>0</v>
      </c>
      <c r="J105" s="1953" t="str">
        <f t="shared" si="4"/>
        <v>442</v>
      </c>
    </row>
    <row r="106" spans="1:10" ht="12.75" hidden="1" outlineLevel="2" x14ac:dyDescent="0.2">
      <c r="A106" s="1961" t="s">
        <v>952</v>
      </c>
      <c r="B106" s="1961" t="s">
        <v>953</v>
      </c>
      <c r="C106" s="1961" t="s">
        <v>961</v>
      </c>
      <c r="D106" s="1961" t="s">
        <v>962</v>
      </c>
      <c r="E106" s="1961" t="s">
        <v>923</v>
      </c>
      <c r="F106" s="1969">
        <v>-12</v>
      </c>
      <c r="G106" s="1962">
        <v>0</v>
      </c>
      <c r="H106" s="1962">
        <v>0</v>
      </c>
      <c r="I106" s="1962">
        <v>0</v>
      </c>
      <c r="J106" s="1953" t="str">
        <f t="shared" si="4"/>
        <v>442</v>
      </c>
    </row>
    <row r="107" spans="1:10" ht="12.75" hidden="1" outlineLevel="2" x14ac:dyDescent="0.2">
      <c r="A107" s="1961" t="s">
        <v>952</v>
      </c>
      <c r="B107" s="1961" t="s">
        <v>953</v>
      </c>
      <c r="C107" s="1961" t="s">
        <v>963</v>
      </c>
      <c r="D107" s="1961" t="s">
        <v>964</v>
      </c>
      <c r="E107" s="1961" t="s">
        <v>918</v>
      </c>
      <c r="F107" s="1969">
        <v>92.368390000000005</v>
      </c>
      <c r="G107" s="1962">
        <v>0</v>
      </c>
      <c r="H107" s="1962">
        <v>0</v>
      </c>
      <c r="I107" s="1962">
        <v>0</v>
      </c>
      <c r="J107" s="1953" t="str">
        <f t="shared" si="4"/>
        <v>442</v>
      </c>
    </row>
    <row r="108" spans="1:10" ht="12.75" hidden="1" outlineLevel="2" x14ac:dyDescent="0.2">
      <c r="A108" s="1961" t="s">
        <v>952</v>
      </c>
      <c r="B108" s="1961" t="s">
        <v>953</v>
      </c>
      <c r="C108" s="1961" t="s">
        <v>963</v>
      </c>
      <c r="D108" s="1961" t="s">
        <v>964</v>
      </c>
      <c r="E108" s="1961" t="s">
        <v>921</v>
      </c>
      <c r="F108" s="1969">
        <v>754.54367999999999</v>
      </c>
      <c r="G108" s="1962">
        <v>0</v>
      </c>
      <c r="H108" s="1962">
        <v>754.54367999999999</v>
      </c>
      <c r="I108" s="1962">
        <v>0</v>
      </c>
      <c r="J108" s="1953" t="str">
        <f t="shared" si="4"/>
        <v>442</v>
      </c>
    </row>
    <row r="109" spans="1:10" ht="12.75" hidden="1" outlineLevel="2" x14ac:dyDescent="0.2">
      <c r="A109" s="1961" t="s">
        <v>952</v>
      </c>
      <c r="B109" s="1961" t="s">
        <v>953</v>
      </c>
      <c r="C109" s="1961" t="s">
        <v>963</v>
      </c>
      <c r="D109" s="1961" t="s">
        <v>964</v>
      </c>
      <c r="E109" s="1961" t="s">
        <v>922</v>
      </c>
      <c r="F109" s="1969">
        <v>329.67347999999998</v>
      </c>
      <c r="G109" s="1962">
        <v>0</v>
      </c>
      <c r="H109" s="1962">
        <v>0</v>
      </c>
      <c r="I109" s="1962">
        <v>0</v>
      </c>
      <c r="J109" s="1953" t="str">
        <f t="shared" si="4"/>
        <v>442</v>
      </c>
    </row>
    <row r="110" spans="1:10" ht="12.75" hidden="1" outlineLevel="2" x14ac:dyDescent="0.2">
      <c r="A110" s="1961" t="s">
        <v>952</v>
      </c>
      <c r="B110" s="1961" t="s">
        <v>953</v>
      </c>
      <c r="C110" s="1961" t="s">
        <v>965</v>
      </c>
      <c r="D110" s="1961" t="s">
        <v>966</v>
      </c>
      <c r="E110" s="1961" t="s">
        <v>936</v>
      </c>
      <c r="F110" s="1969">
        <v>142.73974000000001</v>
      </c>
      <c r="G110" s="1962">
        <v>0</v>
      </c>
      <c r="H110" s="1962">
        <v>0</v>
      </c>
      <c r="I110" s="1962">
        <v>0</v>
      </c>
      <c r="J110" s="1953" t="str">
        <f t="shared" si="4"/>
        <v>442</v>
      </c>
    </row>
    <row r="111" spans="1:10" ht="12.75" hidden="1" outlineLevel="2" x14ac:dyDescent="0.2">
      <c r="A111" s="1961" t="s">
        <v>952</v>
      </c>
      <c r="B111" s="1961" t="s">
        <v>953</v>
      </c>
      <c r="C111" s="1961" t="s">
        <v>967</v>
      </c>
      <c r="D111" s="1961" t="s">
        <v>968</v>
      </c>
      <c r="E111" s="1961" t="s">
        <v>919</v>
      </c>
      <c r="F111" s="1969">
        <v>-25.23761</v>
      </c>
      <c r="G111" s="1962">
        <v>0</v>
      </c>
      <c r="H111" s="1962">
        <v>0</v>
      </c>
      <c r="I111" s="1962">
        <v>-25.23761</v>
      </c>
      <c r="J111" s="1953" t="str">
        <f t="shared" si="4"/>
        <v>442</v>
      </c>
    </row>
    <row r="112" spans="1:10" ht="12.75" hidden="1" outlineLevel="2" x14ac:dyDescent="0.2">
      <c r="A112" s="1961" t="s">
        <v>952</v>
      </c>
      <c r="B112" s="1961" t="s">
        <v>953</v>
      </c>
      <c r="C112" s="1961" t="s">
        <v>967</v>
      </c>
      <c r="D112" s="1961" t="s">
        <v>968</v>
      </c>
      <c r="E112" s="1961" t="s">
        <v>912</v>
      </c>
      <c r="F112" s="1969">
        <v>-208.12267</v>
      </c>
      <c r="G112" s="1962">
        <v>-208.12267</v>
      </c>
      <c r="H112" s="1962">
        <v>0</v>
      </c>
      <c r="I112" s="1962">
        <v>0</v>
      </c>
      <c r="J112" s="1953" t="str">
        <f t="shared" si="4"/>
        <v>442</v>
      </c>
    </row>
    <row r="113" spans="1:10" ht="12.75" hidden="1" outlineLevel="2" x14ac:dyDescent="0.2">
      <c r="A113" s="1961" t="s">
        <v>952</v>
      </c>
      <c r="B113" s="1961" t="s">
        <v>953</v>
      </c>
      <c r="C113" s="1961" t="s">
        <v>967</v>
      </c>
      <c r="D113" s="1961" t="s">
        <v>968</v>
      </c>
      <c r="E113" s="1961" t="s">
        <v>920</v>
      </c>
      <c r="F113" s="1969">
        <v>-298.42482999999999</v>
      </c>
      <c r="G113" s="1962">
        <v>0</v>
      </c>
      <c r="H113" s="1962">
        <v>0</v>
      </c>
      <c r="I113" s="1962">
        <v>0</v>
      </c>
      <c r="J113" s="1953" t="str">
        <f t="shared" si="4"/>
        <v>442</v>
      </c>
    </row>
    <row r="114" spans="1:10" ht="12.75" hidden="1" outlineLevel="2" x14ac:dyDescent="0.2">
      <c r="A114" s="1961" t="s">
        <v>952</v>
      </c>
      <c r="B114" s="1961" t="s">
        <v>953</v>
      </c>
      <c r="C114" s="1961" t="s">
        <v>967</v>
      </c>
      <c r="D114" s="1961" t="s">
        <v>968</v>
      </c>
      <c r="E114" s="1961" t="s">
        <v>921</v>
      </c>
      <c r="F114" s="1969">
        <v>-71.627780000000001</v>
      </c>
      <c r="G114" s="1962">
        <v>0</v>
      </c>
      <c r="H114" s="1962">
        <v>-71.627780000000001</v>
      </c>
      <c r="I114" s="1962">
        <v>0</v>
      </c>
      <c r="J114" s="1953" t="str">
        <f t="shared" si="4"/>
        <v>442</v>
      </c>
    </row>
    <row r="115" spans="1:10" ht="12.75" hidden="1" outlineLevel="2" x14ac:dyDescent="0.2">
      <c r="A115" s="1961" t="s">
        <v>952</v>
      </c>
      <c r="B115" s="1961" t="s">
        <v>953</v>
      </c>
      <c r="C115" s="1961" t="s">
        <v>969</v>
      </c>
      <c r="D115" s="1961" t="s">
        <v>970</v>
      </c>
      <c r="E115" s="1961" t="s">
        <v>936</v>
      </c>
      <c r="F115" s="1969">
        <v>1786.9933000000001</v>
      </c>
      <c r="G115" s="1962">
        <v>0</v>
      </c>
      <c r="H115" s="1962">
        <v>0</v>
      </c>
      <c r="I115" s="1962">
        <v>0</v>
      </c>
      <c r="J115" s="1953" t="str">
        <f t="shared" si="4"/>
        <v>442</v>
      </c>
    </row>
    <row r="116" spans="1:10" ht="12.75" hidden="1" outlineLevel="2" x14ac:dyDescent="0.2">
      <c r="A116" s="1961" t="s">
        <v>952</v>
      </c>
      <c r="B116" s="1961" t="s">
        <v>953</v>
      </c>
      <c r="C116" s="1961" t="s">
        <v>971</v>
      </c>
      <c r="D116" s="1961" t="s">
        <v>972</v>
      </c>
      <c r="E116" s="1961" t="s">
        <v>936</v>
      </c>
      <c r="F116" s="1969">
        <v>374.71384</v>
      </c>
      <c r="G116" s="1962">
        <v>0</v>
      </c>
      <c r="H116" s="1962">
        <v>0</v>
      </c>
      <c r="I116" s="1962">
        <v>0</v>
      </c>
      <c r="J116" s="1953" t="str">
        <f t="shared" si="4"/>
        <v>442</v>
      </c>
    </row>
    <row r="117" spans="1:10" ht="12.75" hidden="1" outlineLevel="2" x14ac:dyDescent="0.2">
      <c r="A117" s="1961" t="s">
        <v>952</v>
      </c>
      <c r="B117" s="1961" t="s">
        <v>953</v>
      </c>
      <c r="C117" s="1961" t="s">
        <v>973</v>
      </c>
      <c r="D117" s="1961" t="s">
        <v>974</v>
      </c>
      <c r="E117" s="1961" t="s">
        <v>936</v>
      </c>
      <c r="F117" s="1969">
        <v>51586.179040000003</v>
      </c>
      <c r="G117" s="1962">
        <v>0</v>
      </c>
      <c r="H117" s="1962">
        <v>0</v>
      </c>
      <c r="I117" s="1962">
        <v>0</v>
      </c>
      <c r="J117" s="1953" t="str">
        <f t="shared" si="4"/>
        <v>442</v>
      </c>
    </row>
    <row r="118" spans="1:10" ht="12.75" hidden="1" outlineLevel="2" x14ac:dyDescent="0.2">
      <c r="A118" s="1961" t="s">
        <v>952</v>
      </c>
      <c r="B118" s="1961" t="s">
        <v>953</v>
      </c>
      <c r="C118" s="1961" t="s">
        <v>975</v>
      </c>
      <c r="D118" s="1961" t="s">
        <v>976</v>
      </c>
      <c r="E118" s="1961" t="s">
        <v>936</v>
      </c>
      <c r="F118" s="1969">
        <v>3445.8297899999998</v>
      </c>
      <c r="G118" s="1962">
        <v>0</v>
      </c>
      <c r="H118" s="1962">
        <v>0</v>
      </c>
      <c r="I118" s="1962">
        <v>0</v>
      </c>
      <c r="J118" s="1953" t="str">
        <f t="shared" si="4"/>
        <v>442</v>
      </c>
    </row>
    <row r="119" spans="1:10" ht="12.75" hidden="1" outlineLevel="2" x14ac:dyDescent="0.2">
      <c r="A119" s="1961" t="s">
        <v>952</v>
      </c>
      <c r="B119" s="1961" t="s">
        <v>953</v>
      </c>
      <c r="C119" s="1961" t="s">
        <v>977</v>
      </c>
      <c r="D119" s="1961" t="s">
        <v>978</v>
      </c>
      <c r="E119" s="1961" t="s">
        <v>936</v>
      </c>
      <c r="F119" s="1969">
        <v>150.72830999999999</v>
      </c>
      <c r="G119" s="1962">
        <v>0</v>
      </c>
      <c r="H119" s="1962">
        <v>0</v>
      </c>
      <c r="I119" s="1962">
        <v>0</v>
      </c>
      <c r="J119" s="1953" t="str">
        <f t="shared" si="4"/>
        <v>442</v>
      </c>
    </row>
    <row r="120" spans="1:10" ht="12.75" hidden="1" outlineLevel="2" x14ac:dyDescent="0.2">
      <c r="A120" s="1961" t="s">
        <v>952</v>
      </c>
      <c r="B120" s="1961" t="s">
        <v>953</v>
      </c>
      <c r="C120" s="1961" t="s">
        <v>979</v>
      </c>
      <c r="D120" s="1961" t="s">
        <v>980</v>
      </c>
      <c r="E120" s="1961" t="s">
        <v>936</v>
      </c>
      <c r="F120" s="1969">
        <v>1562.47101</v>
      </c>
      <c r="G120" s="1962">
        <v>0</v>
      </c>
      <c r="H120" s="1962">
        <v>0</v>
      </c>
      <c r="I120" s="1962">
        <v>0</v>
      </c>
      <c r="J120" s="1953" t="str">
        <f t="shared" si="4"/>
        <v>442</v>
      </c>
    </row>
    <row r="121" spans="1:10" ht="12.75" hidden="1" outlineLevel="2" x14ac:dyDescent="0.2">
      <c r="A121" s="1961" t="s">
        <v>952</v>
      </c>
      <c r="B121" s="1961" t="s">
        <v>953</v>
      </c>
      <c r="C121" s="1961" t="s">
        <v>981</v>
      </c>
      <c r="D121" s="1961" t="s">
        <v>982</v>
      </c>
      <c r="E121" s="1961" t="s">
        <v>936</v>
      </c>
      <c r="F121" s="1969">
        <v>1959.24054</v>
      </c>
      <c r="G121" s="1962">
        <v>0</v>
      </c>
      <c r="H121" s="1962">
        <v>0</v>
      </c>
      <c r="I121" s="1962">
        <v>0</v>
      </c>
      <c r="J121" s="1953" t="str">
        <f t="shared" si="4"/>
        <v>442</v>
      </c>
    </row>
    <row r="122" spans="1:10" ht="13.5" outlineLevel="1" collapsed="1" thickBot="1" x14ac:dyDescent="0.25">
      <c r="A122" s="1963" t="s">
        <v>983</v>
      </c>
      <c r="B122" s="1964"/>
      <c r="C122" s="1964"/>
      <c r="D122" s="1964"/>
      <c r="E122" s="1963"/>
      <c r="F122" s="1966">
        <f t="shared" ref="F122:I122" si="5">SUBTOTAL(9,F82:F121)</f>
        <v>1870885.4953100006</v>
      </c>
      <c r="G122" s="1965">
        <f t="shared" si="5"/>
        <v>586748.11109999998</v>
      </c>
      <c r="H122" s="1965">
        <f t="shared" si="5"/>
        <v>131330.79475</v>
      </c>
      <c r="I122" s="1965">
        <f t="shared" si="5"/>
        <v>51558.806839999997</v>
      </c>
    </row>
    <row r="123" spans="1:10" ht="12.75" hidden="1" outlineLevel="2" x14ac:dyDescent="0.2">
      <c r="A123" s="1967" t="s">
        <v>984</v>
      </c>
      <c r="B123" s="1967" t="s">
        <v>985</v>
      </c>
      <c r="C123" s="1967" t="s">
        <v>986</v>
      </c>
      <c r="D123" s="1967" t="s">
        <v>987</v>
      </c>
      <c r="E123" s="1967" t="s">
        <v>918</v>
      </c>
      <c r="F123" s="1969">
        <v>7024.1224099999999</v>
      </c>
      <c r="G123" s="1962">
        <v>0</v>
      </c>
      <c r="H123" s="1962">
        <v>0</v>
      </c>
      <c r="I123" s="1962">
        <v>0</v>
      </c>
      <c r="J123" s="1953" t="str">
        <f t="shared" ref="J123:J164" si="6">LEFT(A123,3)</f>
        <v>442</v>
      </c>
    </row>
    <row r="124" spans="1:10" ht="12.75" hidden="1" outlineLevel="2" x14ac:dyDescent="0.2">
      <c r="A124" s="1961" t="s">
        <v>984</v>
      </c>
      <c r="B124" s="1961" t="s">
        <v>985</v>
      </c>
      <c r="C124" s="1961" t="s">
        <v>986</v>
      </c>
      <c r="D124" s="1961" t="s">
        <v>987</v>
      </c>
      <c r="E124" s="1961" t="s">
        <v>919</v>
      </c>
      <c r="F124" s="1969">
        <v>19832.73618</v>
      </c>
      <c r="G124" s="1962">
        <v>0</v>
      </c>
      <c r="H124" s="1962">
        <v>0</v>
      </c>
      <c r="I124" s="1962">
        <v>19832.73618</v>
      </c>
      <c r="J124" s="1953" t="str">
        <f t="shared" si="6"/>
        <v>442</v>
      </c>
    </row>
    <row r="125" spans="1:10" ht="12.75" hidden="1" outlineLevel="2" x14ac:dyDescent="0.2">
      <c r="A125" s="1961" t="s">
        <v>984</v>
      </c>
      <c r="B125" s="1961" t="s">
        <v>985</v>
      </c>
      <c r="C125" s="1961" t="s">
        <v>986</v>
      </c>
      <c r="D125" s="1961" t="s">
        <v>987</v>
      </c>
      <c r="E125" s="1961" t="s">
        <v>912</v>
      </c>
      <c r="F125" s="1969">
        <v>121115.39749</v>
      </c>
      <c r="G125" s="1962">
        <v>121115.39749</v>
      </c>
      <c r="H125" s="1962">
        <v>0</v>
      </c>
      <c r="I125" s="1962">
        <v>0</v>
      </c>
      <c r="J125" s="1953" t="str">
        <f t="shared" si="6"/>
        <v>442</v>
      </c>
    </row>
    <row r="126" spans="1:10" ht="12.75" hidden="1" outlineLevel="2" x14ac:dyDescent="0.2">
      <c r="A126" s="1961" t="s">
        <v>984</v>
      </c>
      <c r="B126" s="1961" t="s">
        <v>985</v>
      </c>
      <c r="C126" s="1961" t="s">
        <v>986</v>
      </c>
      <c r="D126" s="1961" t="s">
        <v>987</v>
      </c>
      <c r="E126" s="1961" t="s">
        <v>920</v>
      </c>
      <c r="F126" s="1969">
        <v>331260.52149000001</v>
      </c>
      <c r="G126" s="1962">
        <v>0</v>
      </c>
      <c r="H126" s="1962">
        <v>0</v>
      </c>
      <c r="I126" s="1962">
        <v>0</v>
      </c>
      <c r="J126" s="1953" t="str">
        <f t="shared" si="6"/>
        <v>442</v>
      </c>
    </row>
    <row r="127" spans="1:10" ht="12.75" hidden="1" outlineLevel="2" x14ac:dyDescent="0.2">
      <c r="A127" s="1961" t="s">
        <v>984</v>
      </c>
      <c r="B127" s="1961" t="s">
        <v>985</v>
      </c>
      <c r="C127" s="1961" t="s">
        <v>986</v>
      </c>
      <c r="D127" s="1961" t="s">
        <v>987</v>
      </c>
      <c r="E127" s="1961" t="s">
        <v>921</v>
      </c>
      <c r="F127" s="1969">
        <v>45592.929020000003</v>
      </c>
      <c r="G127" s="1962">
        <v>0</v>
      </c>
      <c r="H127" s="1962">
        <v>45592.929020000003</v>
      </c>
      <c r="I127" s="1962">
        <v>0</v>
      </c>
      <c r="J127" s="1953" t="str">
        <f t="shared" si="6"/>
        <v>442</v>
      </c>
    </row>
    <row r="128" spans="1:10" ht="12.75" hidden="1" outlineLevel="2" x14ac:dyDescent="0.2">
      <c r="A128" s="1961" t="s">
        <v>984</v>
      </c>
      <c r="B128" s="1961" t="s">
        <v>985</v>
      </c>
      <c r="C128" s="1961" t="s">
        <v>986</v>
      </c>
      <c r="D128" s="1961" t="s">
        <v>987</v>
      </c>
      <c r="E128" s="1961" t="s">
        <v>922</v>
      </c>
      <c r="F128" s="1969">
        <v>331139.59772000002</v>
      </c>
      <c r="G128" s="1962">
        <v>0</v>
      </c>
      <c r="H128" s="1962">
        <v>0</v>
      </c>
      <c r="I128" s="1962">
        <v>0</v>
      </c>
      <c r="J128" s="1953" t="str">
        <f t="shared" si="6"/>
        <v>442</v>
      </c>
    </row>
    <row r="129" spans="1:10" ht="12.75" hidden="1" outlineLevel="2" x14ac:dyDescent="0.2">
      <c r="A129" s="1961" t="s">
        <v>984</v>
      </c>
      <c r="B129" s="1961" t="s">
        <v>985</v>
      </c>
      <c r="C129" s="1961" t="s">
        <v>986</v>
      </c>
      <c r="D129" s="1961" t="s">
        <v>987</v>
      </c>
      <c r="E129" s="1961" t="s">
        <v>923</v>
      </c>
      <c r="F129" s="1969">
        <v>68836.310540000006</v>
      </c>
      <c r="G129" s="1962">
        <v>0</v>
      </c>
      <c r="H129" s="1962">
        <v>0</v>
      </c>
      <c r="I129" s="1962">
        <v>0</v>
      </c>
      <c r="J129" s="1953" t="str">
        <f t="shared" si="6"/>
        <v>442</v>
      </c>
    </row>
    <row r="130" spans="1:10" ht="12.75" hidden="1" outlineLevel="2" x14ac:dyDescent="0.2">
      <c r="A130" s="1961" t="s">
        <v>984</v>
      </c>
      <c r="B130" s="1961" t="s">
        <v>985</v>
      </c>
      <c r="C130" s="1961" t="s">
        <v>988</v>
      </c>
      <c r="D130" s="1961" t="s">
        <v>989</v>
      </c>
      <c r="E130" s="1961" t="s">
        <v>919</v>
      </c>
      <c r="F130" s="1969">
        <v>86710.909119999997</v>
      </c>
      <c r="G130" s="1962">
        <v>0</v>
      </c>
      <c r="H130" s="1962">
        <v>0</v>
      </c>
      <c r="I130" s="1962">
        <v>86710.909119999997</v>
      </c>
      <c r="J130" s="1953" t="str">
        <f t="shared" si="6"/>
        <v>442</v>
      </c>
    </row>
    <row r="131" spans="1:10" ht="12.75" hidden="1" outlineLevel="2" x14ac:dyDescent="0.2">
      <c r="A131" s="1961" t="s">
        <v>984</v>
      </c>
      <c r="B131" s="1961" t="s">
        <v>985</v>
      </c>
      <c r="C131" s="1961" t="s">
        <v>988</v>
      </c>
      <c r="D131" s="1961" t="s">
        <v>989</v>
      </c>
      <c r="E131" s="1961" t="s">
        <v>920</v>
      </c>
      <c r="F131" s="1969">
        <v>148680.29743999999</v>
      </c>
      <c r="G131" s="1962">
        <v>0</v>
      </c>
      <c r="H131" s="1962">
        <v>0</v>
      </c>
      <c r="I131" s="1962">
        <v>0</v>
      </c>
      <c r="J131" s="1953" t="str">
        <f t="shared" si="6"/>
        <v>442</v>
      </c>
    </row>
    <row r="132" spans="1:10" ht="12.75" hidden="1" outlineLevel="2" x14ac:dyDescent="0.2">
      <c r="A132" s="1961" t="s">
        <v>984</v>
      </c>
      <c r="B132" s="1961" t="s">
        <v>985</v>
      </c>
      <c r="C132" s="1961" t="s">
        <v>990</v>
      </c>
      <c r="D132" s="1961" t="s">
        <v>991</v>
      </c>
      <c r="E132" s="1961" t="s">
        <v>921</v>
      </c>
      <c r="F132" s="1969">
        <v>-738.15809999999999</v>
      </c>
      <c r="G132" s="1962">
        <v>0</v>
      </c>
      <c r="H132" s="1962">
        <v>-738.15809999999999</v>
      </c>
      <c r="I132" s="1962">
        <v>0</v>
      </c>
      <c r="J132" s="1953" t="str">
        <f t="shared" si="6"/>
        <v>442</v>
      </c>
    </row>
    <row r="133" spans="1:10" ht="12.75" hidden="1" outlineLevel="2" x14ac:dyDescent="0.2">
      <c r="A133" s="1961" t="s">
        <v>984</v>
      </c>
      <c r="B133" s="1961" t="s">
        <v>985</v>
      </c>
      <c r="C133" s="1961" t="s">
        <v>992</v>
      </c>
      <c r="D133" s="1961" t="s">
        <v>993</v>
      </c>
      <c r="E133" s="1961" t="s">
        <v>918</v>
      </c>
      <c r="F133" s="1969">
        <v>-70.579319999999996</v>
      </c>
      <c r="G133" s="1962">
        <v>0</v>
      </c>
      <c r="H133" s="1962">
        <v>0</v>
      </c>
      <c r="I133" s="1962">
        <v>0</v>
      </c>
      <c r="J133" s="1953" t="str">
        <f t="shared" si="6"/>
        <v>442</v>
      </c>
    </row>
    <row r="134" spans="1:10" ht="12.75" hidden="1" outlineLevel="2" x14ac:dyDescent="0.2">
      <c r="A134" s="1961" t="s">
        <v>984</v>
      </c>
      <c r="B134" s="1961" t="s">
        <v>985</v>
      </c>
      <c r="C134" s="1961" t="s">
        <v>992</v>
      </c>
      <c r="D134" s="1961" t="s">
        <v>993</v>
      </c>
      <c r="E134" s="1961" t="s">
        <v>919</v>
      </c>
      <c r="F134" s="1969">
        <v>118.68107999999999</v>
      </c>
      <c r="G134" s="1962">
        <v>0</v>
      </c>
      <c r="H134" s="1962">
        <v>0</v>
      </c>
      <c r="I134" s="1962">
        <v>118.68107999999999</v>
      </c>
      <c r="J134" s="1953" t="str">
        <f t="shared" si="6"/>
        <v>442</v>
      </c>
    </row>
    <row r="135" spans="1:10" ht="12.75" hidden="1" outlineLevel="2" x14ac:dyDescent="0.2">
      <c r="A135" s="1961" t="s">
        <v>984</v>
      </c>
      <c r="B135" s="1961" t="s">
        <v>985</v>
      </c>
      <c r="C135" s="1961" t="s">
        <v>992</v>
      </c>
      <c r="D135" s="1961" t="s">
        <v>993</v>
      </c>
      <c r="E135" s="1961" t="s">
        <v>912</v>
      </c>
      <c r="F135" s="1969">
        <v>380.00403</v>
      </c>
      <c r="G135" s="1962">
        <v>380.00403</v>
      </c>
      <c r="H135" s="1962">
        <v>0</v>
      </c>
      <c r="I135" s="1962">
        <v>0</v>
      </c>
      <c r="J135" s="1953" t="str">
        <f t="shared" si="6"/>
        <v>442</v>
      </c>
    </row>
    <row r="136" spans="1:10" ht="12.75" hidden="1" outlineLevel="2" x14ac:dyDescent="0.2">
      <c r="A136" s="1961" t="s">
        <v>984</v>
      </c>
      <c r="B136" s="1961" t="s">
        <v>985</v>
      </c>
      <c r="C136" s="1961" t="s">
        <v>992</v>
      </c>
      <c r="D136" s="1961" t="s">
        <v>993</v>
      </c>
      <c r="E136" s="1961" t="s">
        <v>920</v>
      </c>
      <c r="F136" s="1969">
        <v>1096.8477800000001</v>
      </c>
      <c r="G136" s="1962">
        <v>0</v>
      </c>
      <c r="H136" s="1962">
        <v>0</v>
      </c>
      <c r="I136" s="1962">
        <v>0</v>
      </c>
      <c r="J136" s="1953" t="str">
        <f t="shared" si="6"/>
        <v>442</v>
      </c>
    </row>
    <row r="137" spans="1:10" ht="12.75" hidden="1" outlineLevel="2" x14ac:dyDescent="0.2">
      <c r="A137" s="1961" t="s">
        <v>984</v>
      </c>
      <c r="B137" s="1961" t="s">
        <v>985</v>
      </c>
      <c r="C137" s="1961" t="s">
        <v>992</v>
      </c>
      <c r="D137" s="1961" t="s">
        <v>993</v>
      </c>
      <c r="E137" s="1961" t="s">
        <v>921</v>
      </c>
      <c r="F137" s="1969">
        <v>629.94843000000003</v>
      </c>
      <c r="G137" s="1962">
        <v>0</v>
      </c>
      <c r="H137" s="1962">
        <v>629.94843000000003</v>
      </c>
      <c r="I137" s="1962">
        <v>0</v>
      </c>
      <c r="J137" s="1953" t="str">
        <f t="shared" si="6"/>
        <v>442</v>
      </c>
    </row>
    <row r="138" spans="1:10" ht="12.75" hidden="1" outlineLevel="2" x14ac:dyDescent="0.2">
      <c r="A138" s="1961" t="s">
        <v>984</v>
      </c>
      <c r="B138" s="1961" t="s">
        <v>985</v>
      </c>
      <c r="C138" s="1961" t="s">
        <v>992</v>
      </c>
      <c r="D138" s="1961" t="s">
        <v>993</v>
      </c>
      <c r="E138" s="1961" t="s">
        <v>922</v>
      </c>
      <c r="F138" s="1969">
        <v>250.70895999999999</v>
      </c>
      <c r="G138" s="1962">
        <v>0</v>
      </c>
      <c r="H138" s="1962">
        <v>0</v>
      </c>
      <c r="I138" s="1962">
        <v>0</v>
      </c>
      <c r="J138" s="1953" t="str">
        <f t="shared" si="6"/>
        <v>442</v>
      </c>
    </row>
    <row r="139" spans="1:10" ht="12.75" hidden="1" outlineLevel="2" x14ac:dyDescent="0.2">
      <c r="A139" s="1961" t="s">
        <v>984</v>
      </c>
      <c r="B139" s="1961" t="s">
        <v>985</v>
      </c>
      <c r="C139" s="1961" t="s">
        <v>994</v>
      </c>
      <c r="D139" s="1961" t="s">
        <v>995</v>
      </c>
      <c r="E139" s="1961" t="s">
        <v>918</v>
      </c>
      <c r="F139" s="1969">
        <v>16.015930000000001</v>
      </c>
      <c r="G139" s="1962">
        <v>0</v>
      </c>
      <c r="H139" s="1962">
        <v>0</v>
      </c>
      <c r="I139" s="1962">
        <v>0</v>
      </c>
      <c r="J139" s="1953" t="str">
        <f t="shared" si="6"/>
        <v>442</v>
      </c>
    </row>
    <row r="140" spans="1:10" ht="12.75" hidden="1" outlineLevel="2" x14ac:dyDescent="0.2">
      <c r="A140" s="1961" t="s">
        <v>984</v>
      </c>
      <c r="B140" s="1961" t="s">
        <v>985</v>
      </c>
      <c r="C140" s="1961" t="s">
        <v>994</v>
      </c>
      <c r="D140" s="1961" t="s">
        <v>995</v>
      </c>
      <c r="E140" s="1961" t="s">
        <v>920</v>
      </c>
      <c r="F140" s="1969">
        <v>37639.567320000002</v>
      </c>
      <c r="G140" s="1962">
        <v>0</v>
      </c>
      <c r="H140" s="1962">
        <v>0</v>
      </c>
      <c r="I140" s="1962">
        <v>0</v>
      </c>
      <c r="J140" s="1953" t="str">
        <f t="shared" si="6"/>
        <v>442</v>
      </c>
    </row>
    <row r="141" spans="1:10" ht="12.75" hidden="1" outlineLevel="2" x14ac:dyDescent="0.2">
      <c r="A141" s="1961" t="s">
        <v>984</v>
      </c>
      <c r="B141" s="1961" t="s">
        <v>985</v>
      </c>
      <c r="C141" s="1961" t="s">
        <v>994</v>
      </c>
      <c r="D141" s="1961" t="s">
        <v>995</v>
      </c>
      <c r="E141" s="1961" t="s">
        <v>921</v>
      </c>
      <c r="F141" s="1969">
        <v>483.69367999999997</v>
      </c>
      <c r="G141" s="1962">
        <v>0</v>
      </c>
      <c r="H141" s="1962">
        <v>483.69367999999997</v>
      </c>
      <c r="I141" s="1962">
        <v>0</v>
      </c>
      <c r="J141" s="1953" t="str">
        <f t="shared" si="6"/>
        <v>442</v>
      </c>
    </row>
    <row r="142" spans="1:10" ht="12.75" hidden="1" outlineLevel="2" x14ac:dyDescent="0.2">
      <c r="A142" s="1961" t="s">
        <v>984</v>
      </c>
      <c r="B142" s="1961" t="s">
        <v>985</v>
      </c>
      <c r="C142" s="1961" t="s">
        <v>994</v>
      </c>
      <c r="D142" s="1961" t="s">
        <v>995</v>
      </c>
      <c r="E142" s="1961" t="s">
        <v>922</v>
      </c>
      <c r="F142" s="1969">
        <v>-2302.45498</v>
      </c>
      <c r="G142" s="1962">
        <v>0</v>
      </c>
      <c r="H142" s="1962">
        <v>0</v>
      </c>
      <c r="I142" s="1962">
        <v>0</v>
      </c>
      <c r="J142" s="1953" t="str">
        <f t="shared" si="6"/>
        <v>442</v>
      </c>
    </row>
    <row r="143" spans="1:10" ht="12.75" hidden="1" outlineLevel="2" x14ac:dyDescent="0.2">
      <c r="A143" s="1961" t="s">
        <v>984</v>
      </c>
      <c r="B143" s="1961" t="s">
        <v>985</v>
      </c>
      <c r="C143" s="1961" t="s">
        <v>996</v>
      </c>
      <c r="D143" s="1961" t="s">
        <v>997</v>
      </c>
      <c r="E143" s="1961" t="s">
        <v>918</v>
      </c>
      <c r="F143" s="1969">
        <v>-134</v>
      </c>
      <c r="G143" s="1962">
        <v>0</v>
      </c>
      <c r="H143" s="1962">
        <v>0</v>
      </c>
      <c r="I143" s="1962">
        <v>0</v>
      </c>
      <c r="J143" s="1953" t="str">
        <f t="shared" si="6"/>
        <v>442</v>
      </c>
    </row>
    <row r="144" spans="1:10" ht="12.75" hidden="1" outlineLevel="2" x14ac:dyDescent="0.2">
      <c r="A144" s="1961" t="s">
        <v>984</v>
      </c>
      <c r="B144" s="1961" t="s">
        <v>985</v>
      </c>
      <c r="C144" s="1961" t="s">
        <v>996</v>
      </c>
      <c r="D144" s="1961" t="s">
        <v>997</v>
      </c>
      <c r="E144" s="1961" t="s">
        <v>919</v>
      </c>
      <c r="F144" s="1969">
        <v>-1749</v>
      </c>
      <c r="G144" s="1962">
        <v>0</v>
      </c>
      <c r="H144" s="1962">
        <v>0</v>
      </c>
      <c r="I144" s="1962">
        <v>-1749</v>
      </c>
      <c r="J144" s="1953" t="str">
        <f t="shared" si="6"/>
        <v>442</v>
      </c>
    </row>
    <row r="145" spans="1:10" ht="12.75" hidden="1" outlineLevel="2" x14ac:dyDescent="0.2">
      <c r="A145" s="1961" t="s">
        <v>984</v>
      </c>
      <c r="B145" s="1961" t="s">
        <v>985</v>
      </c>
      <c r="C145" s="1961" t="s">
        <v>996</v>
      </c>
      <c r="D145" s="1961" t="s">
        <v>997</v>
      </c>
      <c r="E145" s="1961" t="s">
        <v>912</v>
      </c>
      <c r="F145" s="1969">
        <v>1469</v>
      </c>
      <c r="G145" s="1962">
        <v>1469</v>
      </c>
      <c r="H145" s="1962">
        <v>0</v>
      </c>
      <c r="I145" s="1962">
        <v>0</v>
      </c>
      <c r="J145" s="1953" t="str">
        <f t="shared" si="6"/>
        <v>442</v>
      </c>
    </row>
    <row r="146" spans="1:10" ht="12.75" hidden="1" outlineLevel="2" x14ac:dyDescent="0.2">
      <c r="A146" s="1961" t="s">
        <v>984</v>
      </c>
      <c r="B146" s="1961" t="s">
        <v>985</v>
      </c>
      <c r="C146" s="1961" t="s">
        <v>996</v>
      </c>
      <c r="D146" s="1961" t="s">
        <v>997</v>
      </c>
      <c r="E146" s="1961" t="s">
        <v>920</v>
      </c>
      <c r="F146" s="1969">
        <v>-16217</v>
      </c>
      <c r="G146" s="1962">
        <v>0</v>
      </c>
      <c r="H146" s="1962">
        <v>0</v>
      </c>
      <c r="I146" s="1962">
        <v>0</v>
      </c>
      <c r="J146" s="1953" t="str">
        <f t="shared" si="6"/>
        <v>442</v>
      </c>
    </row>
    <row r="147" spans="1:10" ht="12.75" hidden="1" outlineLevel="2" x14ac:dyDescent="0.2">
      <c r="A147" s="1961" t="s">
        <v>984</v>
      </c>
      <c r="B147" s="1961" t="s">
        <v>985</v>
      </c>
      <c r="C147" s="1961" t="s">
        <v>996</v>
      </c>
      <c r="D147" s="1961" t="s">
        <v>997</v>
      </c>
      <c r="E147" s="1961" t="s">
        <v>921</v>
      </c>
      <c r="F147" s="1969">
        <v>3510</v>
      </c>
      <c r="G147" s="1962">
        <v>0</v>
      </c>
      <c r="H147" s="1962">
        <v>3510</v>
      </c>
      <c r="I147" s="1962">
        <v>0</v>
      </c>
      <c r="J147" s="1953" t="str">
        <f t="shared" si="6"/>
        <v>442</v>
      </c>
    </row>
    <row r="148" spans="1:10" ht="12.75" hidden="1" outlineLevel="2" x14ac:dyDescent="0.2">
      <c r="A148" s="1961" t="s">
        <v>984</v>
      </c>
      <c r="B148" s="1961" t="s">
        <v>985</v>
      </c>
      <c r="C148" s="1961" t="s">
        <v>996</v>
      </c>
      <c r="D148" s="1961" t="s">
        <v>997</v>
      </c>
      <c r="E148" s="1961" t="s">
        <v>922</v>
      </c>
      <c r="F148" s="1969">
        <v>-7753</v>
      </c>
      <c r="G148" s="1962">
        <v>0</v>
      </c>
      <c r="H148" s="1962">
        <v>0</v>
      </c>
      <c r="I148" s="1962">
        <v>0</v>
      </c>
      <c r="J148" s="1953" t="str">
        <f t="shared" si="6"/>
        <v>442</v>
      </c>
    </row>
    <row r="149" spans="1:10" ht="12.75" hidden="1" outlineLevel="2" x14ac:dyDescent="0.2">
      <c r="A149" s="1961" t="s">
        <v>984</v>
      </c>
      <c r="B149" s="1961" t="s">
        <v>985</v>
      </c>
      <c r="C149" s="1961" t="s">
        <v>996</v>
      </c>
      <c r="D149" s="1961" t="s">
        <v>997</v>
      </c>
      <c r="E149" s="1961" t="s">
        <v>923</v>
      </c>
      <c r="F149" s="1969">
        <v>-677</v>
      </c>
      <c r="G149" s="1962">
        <v>0</v>
      </c>
      <c r="H149" s="1962">
        <v>0</v>
      </c>
      <c r="I149" s="1962">
        <v>0</v>
      </c>
      <c r="J149" s="1953" t="str">
        <f t="shared" si="6"/>
        <v>442</v>
      </c>
    </row>
    <row r="150" spans="1:10" ht="12.75" hidden="1" outlineLevel="2" x14ac:dyDescent="0.2">
      <c r="A150" s="1961" t="s">
        <v>984</v>
      </c>
      <c r="B150" s="1961" t="s">
        <v>985</v>
      </c>
      <c r="C150" s="1961" t="s">
        <v>998</v>
      </c>
      <c r="D150" s="1961" t="s">
        <v>999</v>
      </c>
      <c r="E150" s="1961" t="s">
        <v>918</v>
      </c>
      <c r="F150" s="1969">
        <v>24.373909999999999</v>
      </c>
      <c r="G150" s="1962">
        <v>0</v>
      </c>
      <c r="H150" s="1962">
        <v>0</v>
      </c>
      <c r="I150" s="1962">
        <v>0</v>
      </c>
      <c r="J150" s="1953" t="str">
        <f t="shared" si="6"/>
        <v>442</v>
      </c>
    </row>
    <row r="151" spans="1:10" ht="12.75" hidden="1" outlineLevel="2" x14ac:dyDescent="0.2">
      <c r="A151" s="1961" t="s">
        <v>984</v>
      </c>
      <c r="B151" s="1961" t="s">
        <v>985</v>
      </c>
      <c r="C151" s="1961" t="s">
        <v>998</v>
      </c>
      <c r="D151" s="1961" t="s">
        <v>999</v>
      </c>
      <c r="E151" s="1961" t="s">
        <v>921</v>
      </c>
      <c r="F151" s="1969">
        <v>379.18752000000001</v>
      </c>
      <c r="G151" s="1962">
        <v>0</v>
      </c>
      <c r="H151" s="1962">
        <v>379.18752000000001</v>
      </c>
      <c r="I151" s="1962">
        <v>0</v>
      </c>
      <c r="J151" s="1953" t="str">
        <f t="shared" si="6"/>
        <v>442</v>
      </c>
    </row>
    <row r="152" spans="1:10" ht="12.75" hidden="1" outlineLevel="2" x14ac:dyDescent="0.2">
      <c r="A152" s="1961" t="s">
        <v>984</v>
      </c>
      <c r="B152" s="1961" t="s">
        <v>985</v>
      </c>
      <c r="C152" s="1961" t="s">
        <v>998</v>
      </c>
      <c r="D152" s="1961" t="s">
        <v>999</v>
      </c>
      <c r="E152" s="1961" t="s">
        <v>922</v>
      </c>
      <c r="F152" s="1969">
        <v>1458.6235200000001</v>
      </c>
      <c r="G152" s="1962">
        <v>0</v>
      </c>
      <c r="H152" s="1962">
        <v>0</v>
      </c>
      <c r="I152" s="1962">
        <v>0</v>
      </c>
      <c r="J152" s="1953" t="str">
        <f t="shared" si="6"/>
        <v>442</v>
      </c>
    </row>
    <row r="153" spans="1:10" ht="12.75" hidden="1" outlineLevel="2" x14ac:dyDescent="0.2">
      <c r="A153" s="1961" t="s">
        <v>984</v>
      </c>
      <c r="B153" s="1961" t="s">
        <v>985</v>
      </c>
      <c r="C153" s="1961" t="s">
        <v>1000</v>
      </c>
      <c r="D153" s="1961" t="s">
        <v>1001</v>
      </c>
      <c r="E153" s="1961" t="s">
        <v>936</v>
      </c>
      <c r="F153" s="1969">
        <v>29.10417</v>
      </c>
      <c r="G153" s="1962">
        <v>0</v>
      </c>
      <c r="H153" s="1962">
        <v>0</v>
      </c>
      <c r="I153" s="1962">
        <v>0</v>
      </c>
      <c r="J153" s="1953" t="str">
        <f t="shared" si="6"/>
        <v>442</v>
      </c>
    </row>
    <row r="154" spans="1:10" ht="12.75" hidden="1" outlineLevel="2" x14ac:dyDescent="0.2">
      <c r="A154" s="1961" t="s">
        <v>984</v>
      </c>
      <c r="B154" s="1961" t="s">
        <v>985</v>
      </c>
      <c r="C154" s="1961" t="s">
        <v>1002</v>
      </c>
      <c r="D154" s="1961" t="s">
        <v>1003</v>
      </c>
      <c r="E154" s="1961" t="s">
        <v>919</v>
      </c>
      <c r="F154" s="1969">
        <v>-1.1545000000000001</v>
      </c>
      <c r="G154" s="1962">
        <v>0</v>
      </c>
      <c r="H154" s="1962">
        <v>0</v>
      </c>
      <c r="I154" s="1962">
        <v>-1.1545000000000001</v>
      </c>
      <c r="J154" s="1953" t="str">
        <f t="shared" si="6"/>
        <v>442</v>
      </c>
    </row>
    <row r="155" spans="1:10" ht="12.75" hidden="1" outlineLevel="2" x14ac:dyDescent="0.2">
      <c r="A155" s="1961" t="s">
        <v>984</v>
      </c>
      <c r="B155" s="1961" t="s">
        <v>985</v>
      </c>
      <c r="C155" s="1961" t="s">
        <v>1002</v>
      </c>
      <c r="D155" s="1961" t="s">
        <v>1003</v>
      </c>
      <c r="E155" s="1961" t="s">
        <v>912</v>
      </c>
      <c r="F155" s="1969">
        <v>-3.4304700000000001</v>
      </c>
      <c r="G155" s="1962">
        <v>-3.4304700000000001</v>
      </c>
      <c r="H155" s="1962">
        <v>0</v>
      </c>
      <c r="I155" s="1962">
        <v>0</v>
      </c>
      <c r="J155" s="1953" t="str">
        <f t="shared" si="6"/>
        <v>442</v>
      </c>
    </row>
    <row r="156" spans="1:10" ht="12.75" hidden="1" outlineLevel="2" x14ac:dyDescent="0.2">
      <c r="A156" s="1961" t="s">
        <v>984</v>
      </c>
      <c r="B156" s="1961" t="s">
        <v>985</v>
      </c>
      <c r="C156" s="1961" t="s">
        <v>1002</v>
      </c>
      <c r="D156" s="1961" t="s">
        <v>1003</v>
      </c>
      <c r="E156" s="1961" t="s">
        <v>920</v>
      </c>
      <c r="F156" s="1969">
        <v>-11.37485</v>
      </c>
      <c r="G156" s="1962">
        <v>0</v>
      </c>
      <c r="H156" s="1962">
        <v>0</v>
      </c>
      <c r="I156" s="1962">
        <v>0</v>
      </c>
      <c r="J156" s="1953" t="str">
        <f t="shared" si="6"/>
        <v>442</v>
      </c>
    </row>
    <row r="157" spans="1:10" ht="12.75" hidden="1" outlineLevel="2" x14ac:dyDescent="0.2">
      <c r="A157" s="1961" t="s">
        <v>984</v>
      </c>
      <c r="B157" s="1961" t="s">
        <v>985</v>
      </c>
      <c r="C157" s="1961" t="s">
        <v>1002</v>
      </c>
      <c r="D157" s="1961" t="s">
        <v>1003</v>
      </c>
      <c r="E157" s="1961" t="s">
        <v>921</v>
      </c>
      <c r="F157" s="1969">
        <v>-1.3885000000000001</v>
      </c>
      <c r="G157" s="1962">
        <v>0</v>
      </c>
      <c r="H157" s="1962">
        <v>-1.3885000000000001</v>
      </c>
      <c r="I157" s="1962">
        <v>0</v>
      </c>
      <c r="J157" s="1953" t="str">
        <f t="shared" si="6"/>
        <v>442</v>
      </c>
    </row>
    <row r="158" spans="1:10" ht="12.75" hidden="1" outlineLevel="2" x14ac:dyDescent="0.2">
      <c r="A158" s="1961" t="s">
        <v>984</v>
      </c>
      <c r="B158" s="1961" t="s">
        <v>985</v>
      </c>
      <c r="C158" s="1961" t="s">
        <v>1004</v>
      </c>
      <c r="D158" s="1961" t="s">
        <v>1005</v>
      </c>
      <c r="E158" s="1961" t="s">
        <v>936</v>
      </c>
      <c r="F158" s="1969">
        <v>415.74592999999999</v>
      </c>
      <c r="G158" s="1962">
        <v>0</v>
      </c>
      <c r="H158" s="1962">
        <v>0</v>
      </c>
      <c r="I158" s="1962">
        <v>0</v>
      </c>
      <c r="J158" s="1953" t="str">
        <f t="shared" si="6"/>
        <v>442</v>
      </c>
    </row>
    <row r="159" spans="1:10" ht="12.75" hidden="1" outlineLevel="2" x14ac:dyDescent="0.2">
      <c r="A159" s="1961" t="s">
        <v>984</v>
      </c>
      <c r="B159" s="1961" t="s">
        <v>985</v>
      </c>
      <c r="C159" s="1961" t="s">
        <v>1006</v>
      </c>
      <c r="D159" s="1961" t="s">
        <v>1007</v>
      </c>
      <c r="E159" s="1961" t="s">
        <v>936</v>
      </c>
      <c r="F159" s="1969">
        <v>89.237740000000002</v>
      </c>
      <c r="G159" s="1962">
        <v>0</v>
      </c>
      <c r="H159" s="1962">
        <v>0</v>
      </c>
      <c r="I159" s="1962">
        <v>0</v>
      </c>
      <c r="J159" s="1953" t="str">
        <f t="shared" si="6"/>
        <v>442</v>
      </c>
    </row>
    <row r="160" spans="1:10" ht="12.75" hidden="1" outlineLevel="2" x14ac:dyDescent="0.2">
      <c r="A160" s="1961" t="s">
        <v>984</v>
      </c>
      <c r="B160" s="1961" t="s">
        <v>985</v>
      </c>
      <c r="C160" s="1961" t="s">
        <v>1008</v>
      </c>
      <c r="D160" s="1961" t="s">
        <v>1009</v>
      </c>
      <c r="E160" s="1961" t="s">
        <v>936</v>
      </c>
      <c r="F160" s="1969">
        <v>21790.99726</v>
      </c>
      <c r="G160" s="1962">
        <v>0</v>
      </c>
      <c r="H160" s="1962">
        <v>0</v>
      </c>
      <c r="I160" s="1962">
        <v>0</v>
      </c>
      <c r="J160" s="1953" t="str">
        <f t="shared" si="6"/>
        <v>442</v>
      </c>
    </row>
    <row r="161" spans="1:10" ht="12.75" hidden="1" outlineLevel="2" x14ac:dyDescent="0.2">
      <c r="A161" s="1961" t="s">
        <v>984</v>
      </c>
      <c r="B161" s="1961" t="s">
        <v>985</v>
      </c>
      <c r="C161" s="1961" t="s">
        <v>1010</v>
      </c>
      <c r="D161" s="1961" t="s">
        <v>1011</v>
      </c>
      <c r="E161" s="1961" t="s">
        <v>936</v>
      </c>
      <c r="F161" s="1969">
        <v>779.24982</v>
      </c>
      <c r="G161" s="1962">
        <v>0</v>
      </c>
      <c r="H161" s="1962">
        <v>0</v>
      </c>
      <c r="I161" s="1962">
        <v>0</v>
      </c>
      <c r="J161" s="1953" t="str">
        <f t="shared" si="6"/>
        <v>442</v>
      </c>
    </row>
    <row r="162" spans="1:10" ht="12.75" hidden="1" outlineLevel="2" x14ac:dyDescent="0.2">
      <c r="A162" s="1961" t="s">
        <v>984</v>
      </c>
      <c r="B162" s="1961" t="s">
        <v>985</v>
      </c>
      <c r="C162" s="1961" t="s">
        <v>1012</v>
      </c>
      <c r="D162" s="1961" t="s">
        <v>1013</v>
      </c>
      <c r="E162" s="1961" t="s">
        <v>936</v>
      </c>
      <c r="F162" s="1969">
        <v>2818.1761700000002</v>
      </c>
      <c r="G162" s="1962">
        <v>0</v>
      </c>
      <c r="H162" s="1962">
        <v>0</v>
      </c>
      <c r="I162" s="1962">
        <v>0</v>
      </c>
      <c r="J162" s="1953" t="str">
        <f t="shared" si="6"/>
        <v>442</v>
      </c>
    </row>
    <row r="163" spans="1:10" ht="12.75" hidden="1" outlineLevel="2" x14ac:dyDescent="0.2">
      <c r="A163" s="1961" t="s">
        <v>984</v>
      </c>
      <c r="B163" s="1961" t="s">
        <v>985</v>
      </c>
      <c r="C163" s="1961" t="s">
        <v>1014</v>
      </c>
      <c r="D163" s="1961" t="s">
        <v>1015</v>
      </c>
      <c r="E163" s="1961" t="s">
        <v>936</v>
      </c>
      <c r="F163" s="1969">
        <v>465.92304999999999</v>
      </c>
      <c r="G163" s="1962">
        <v>0</v>
      </c>
      <c r="H163" s="1962">
        <v>0</v>
      </c>
      <c r="I163" s="1962">
        <v>0</v>
      </c>
      <c r="J163" s="1953" t="str">
        <f t="shared" si="6"/>
        <v>442</v>
      </c>
    </row>
    <row r="164" spans="1:10" ht="12.75" hidden="1" outlineLevel="2" x14ac:dyDescent="0.2">
      <c r="A164" s="1961" t="s">
        <v>984</v>
      </c>
      <c r="B164" s="1961" t="s">
        <v>985</v>
      </c>
      <c r="C164" s="1961" t="s">
        <v>1016</v>
      </c>
      <c r="D164" s="1961" t="s">
        <v>1017</v>
      </c>
      <c r="E164" s="1961" t="s">
        <v>936</v>
      </c>
      <c r="F164" s="1969">
        <v>1404.9467099999999</v>
      </c>
      <c r="G164" s="1962">
        <v>0</v>
      </c>
      <c r="H164" s="1962">
        <v>0</v>
      </c>
      <c r="I164" s="1962">
        <v>0</v>
      </c>
      <c r="J164" s="1953" t="str">
        <f t="shared" si="6"/>
        <v>442</v>
      </c>
    </row>
    <row r="165" spans="1:10" ht="13.5" outlineLevel="1" collapsed="1" thickBot="1" x14ac:dyDescent="0.25">
      <c r="A165" s="1963" t="s">
        <v>1018</v>
      </c>
      <c r="B165" s="1964"/>
      <c r="C165" s="1964"/>
      <c r="D165" s="1964"/>
      <c r="E165" s="1963"/>
      <c r="F165" s="1966">
        <f t="shared" ref="F165:I165" si="7">SUBTOTAL(9,F123:F164)</f>
        <v>1205784.3137000003</v>
      </c>
      <c r="G165" s="1965">
        <f t="shared" si="7"/>
        <v>122960.97104999999</v>
      </c>
      <c r="H165" s="1965">
        <f t="shared" si="7"/>
        <v>49856.212049999995</v>
      </c>
      <c r="I165" s="1965">
        <f t="shared" si="7"/>
        <v>104912.17187999999</v>
      </c>
    </row>
    <row r="166" spans="1:10" ht="12.75" hidden="1" outlineLevel="2" x14ac:dyDescent="0.2">
      <c r="A166" s="1967" t="s">
        <v>1019</v>
      </c>
      <c r="B166" s="1967" t="s">
        <v>1020</v>
      </c>
      <c r="C166" s="1967" t="s">
        <v>1021</v>
      </c>
      <c r="D166" s="1967" t="s">
        <v>1022</v>
      </c>
      <c r="E166" s="1967" t="s">
        <v>918</v>
      </c>
      <c r="F166" s="1969">
        <v>11686.87203</v>
      </c>
      <c r="G166" s="1962">
        <v>0</v>
      </c>
      <c r="H166" s="1962">
        <v>0</v>
      </c>
      <c r="I166" s="1962">
        <v>0</v>
      </c>
      <c r="J166" s="1953" t="str">
        <f t="shared" ref="J166:J203" si="8">LEFT(A166,3)</f>
        <v>442</v>
      </c>
    </row>
    <row r="167" spans="1:10" ht="12.75" hidden="1" outlineLevel="2" x14ac:dyDescent="0.2">
      <c r="A167" s="1961" t="s">
        <v>1019</v>
      </c>
      <c r="B167" s="1961" t="s">
        <v>1020</v>
      </c>
      <c r="C167" s="1961" t="s">
        <v>1021</v>
      </c>
      <c r="D167" s="1961" t="s">
        <v>1022</v>
      </c>
      <c r="E167" s="1961" t="s">
        <v>919</v>
      </c>
      <c r="F167" s="1969">
        <v>53869.048840000003</v>
      </c>
      <c r="G167" s="1962">
        <v>0</v>
      </c>
      <c r="H167" s="1962">
        <v>0</v>
      </c>
      <c r="I167" s="1962">
        <v>53869.048840000003</v>
      </c>
      <c r="J167" s="1953" t="str">
        <f t="shared" si="8"/>
        <v>442</v>
      </c>
    </row>
    <row r="168" spans="1:10" ht="12.75" hidden="1" outlineLevel="2" x14ac:dyDescent="0.2">
      <c r="A168" s="1961" t="s">
        <v>1019</v>
      </c>
      <c r="B168" s="1961" t="s">
        <v>1020</v>
      </c>
      <c r="C168" s="1961" t="s">
        <v>1021</v>
      </c>
      <c r="D168" s="1961" t="s">
        <v>1022</v>
      </c>
      <c r="E168" s="1961" t="s">
        <v>912</v>
      </c>
      <c r="F168" s="1969">
        <v>25032.213329999999</v>
      </c>
      <c r="G168" s="1962">
        <v>25032.213329999999</v>
      </c>
      <c r="H168" s="1962">
        <v>0</v>
      </c>
      <c r="I168" s="1962">
        <v>0</v>
      </c>
      <c r="J168" s="1953" t="str">
        <f t="shared" si="8"/>
        <v>442</v>
      </c>
    </row>
    <row r="169" spans="1:10" ht="12.75" hidden="1" outlineLevel="2" x14ac:dyDescent="0.2">
      <c r="A169" s="1961" t="s">
        <v>1019</v>
      </c>
      <c r="B169" s="1961" t="s">
        <v>1020</v>
      </c>
      <c r="C169" s="1961" t="s">
        <v>1021</v>
      </c>
      <c r="D169" s="1961" t="s">
        <v>1022</v>
      </c>
      <c r="E169" s="1961" t="s">
        <v>920</v>
      </c>
      <c r="F169" s="1969">
        <v>15730.233389999999</v>
      </c>
      <c r="G169" s="1962">
        <v>0</v>
      </c>
      <c r="H169" s="1962">
        <v>0</v>
      </c>
      <c r="I169" s="1962">
        <v>0</v>
      </c>
      <c r="J169" s="1953" t="str">
        <f t="shared" si="8"/>
        <v>442</v>
      </c>
    </row>
    <row r="170" spans="1:10" ht="12.75" hidden="1" outlineLevel="2" x14ac:dyDescent="0.2">
      <c r="A170" s="1961" t="s">
        <v>1019</v>
      </c>
      <c r="B170" s="1961" t="s">
        <v>1020</v>
      </c>
      <c r="C170" s="1961" t="s">
        <v>1021</v>
      </c>
      <c r="D170" s="1961" t="s">
        <v>1022</v>
      </c>
      <c r="E170" s="1961" t="s">
        <v>921</v>
      </c>
      <c r="F170" s="1969">
        <v>16148.242270000001</v>
      </c>
      <c r="G170" s="1962">
        <v>0</v>
      </c>
      <c r="H170" s="1962">
        <v>16148.242270000001</v>
      </c>
      <c r="I170" s="1962">
        <v>0</v>
      </c>
      <c r="J170" s="1953" t="str">
        <f t="shared" si="8"/>
        <v>442</v>
      </c>
    </row>
    <row r="171" spans="1:10" ht="12.75" hidden="1" outlineLevel="2" x14ac:dyDescent="0.2">
      <c r="A171" s="1961" t="s">
        <v>1019</v>
      </c>
      <c r="B171" s="1961" t="s">
        <v>1020</v>
      </c>
      <c r="C171" s="1961" t="s">
        <v>1021</v>
      </c>
      <c r="D171" s="1961" t="s">
        <v>1022</v>
      </c>
      <c r="E171" s="1961" t="s">
        <v>922</v>
      </c>
      <c r="F171" s="1969">
        <v>1965.3027999999999</v>
      </c>
      <c r="G171" s="1962">
        <v>0</v>
      </c>
      <c r="H171" s="1962">
        <v>0</v>
      </c>
      <c r="I171" s="1962">
        <v>0</v>
      </c>
      <c r="J171" s="1953" t="str">
        <f t="shared" si="8"/>
        <v>442</v>
      </c>
    </row>
    <row r="172" spans="1:10" ht="12.75" hidden="1" outlineLevel="2" x14ac:dyDescent="0.2">
      <c r="A172" s="1961" t="s">
        <v>1019</v>
      </c>
      <c r="B172" s="1961" t="s">
        <v>1020</v>
      </c>
      <c r="C172" s="1961" t="s">
        <v>1021</v>
      </c>
      <c r="D172" s="1961" t="s">
        <v>1022</v>
      </c>
      <c r="E172" s="1961" t="s">
        <v>923</v>
      </c>
      <c r="F172" s="1969">
        <v>561.19172000000003</v>
      </c>
      <c r="G172" s="1962">
        <v>0</v>
      </c>
      <c r="H172" s="1962">
        <v>0</v>
      </c>
      <c r="I172" s="1962">
        <v>0</v>
      </c>
      <c r="J172" s="1953" t="str">
        <f t="shared" si="8"/>
        <v>442</v>
      </c>
    </row>
    <row r="173" spans="1:10" ht="12.75" hidden="1" outlineLevel="2" x14ac:dyDescent="0.2">
      <c r="A173" s="1961" t="s">
        <v>1019</v>
      </c>
      <c r="B173" s="1961" t="s">
        <v>1020</v>
      </c>
      <c r="C173" s="1961" t="s">
        <v>1023</v>
      </c>
      <c r="D173" s="1961" t="s">
        <v>1024</v>
      </c>
      <c r="E173" s="1961" t="s">
        <v>919</v>
      </c>
      <c r="F173" s="1969">
        <v>-4.8259999999999996</v>
      </c>
      <c r="G173" s="1962">
        <v>0</v>
      </c>
      <c r="H173" s="1962">
        <v>0</v>
      </c>
      <c r="I173" s="1962">
        <v>-4.8259999999999996</v>
      </c>
      <c r="J173" s="1953" t="str">
        <f t="shared" si="8"/>
        <v>442</v>
      </c>
    </row>
    <row r="174" spans="1:10" ht="12.75" hidden="1" outlineLevel="2" x14ac:dyDescent="0.2">
      <c r="A174" s="1961" t="s">
        <v>1019</v>
      </c>
      <c r="B174" s="1961" t="s">
        <v>1020</v>
      </c>
      <c r="C174" s="1961" t="s">
        <v>1023</v>
      </c>
      <c r="D174" s="1961" t="s">
        <v>1024</v>
      </c>
      <c r="E174" s="1961" t="s">
        <v>912</v>
      </c>
      <c r="F174" s="1969">
        <v>-11.852449999999999</v>
      </c>
      <c r="G174" s="1962">
        <v>-11.852449999999999</v>
      </c>
      <c r="H174" s="1962">
        <v>0</v>
      </c>
      <c r="I174" s="1962">
        <v>0</v>
      </c>
      <c r="J174" s="1953" t="str">
        <f t="shared" si="8"/>
        <v>442</v>
      </c>
    </row>
    <row r="175" spans="1:10" ht="12.75" hidden="1" outlineLevel="2" x14ac:dyDescent="0.2">
      <c r="A175" s="1961" t="s">
        <v>1019</v>
      </c>
      <c r="B175" s="1961" t="s">
        <v>1020</v>
      </c>
      <c r="C175" s="1961" t="s">
        <v>1023</v>
      </c>
      <c r="D175" s="1961" t="s">
        <v>1024</v>
      </c>
      <c r="E175" s="1961" t="s">
        <v>920</v>
      </c>
      <c r="F175" s="1969">
        <v>-3.8194300000000001</v>
      </c>
      <c r="G175" s="1962">
        <v>0</v>
      </c>
      <c r="H175" s="1962">
        <v>0</v>
      </c>
      <c r="I175" s="1962">
        <v>0</v>
      </c>
      <c r="J175" s="1953" t="str">
        <f t="shared" si="8"/>
        <v>442</v>
      </c>
    </row>
    <row r="176" spans="1:10" ht="12.75" hidden="1" outlineLevel="2" x14ac:dyDescent="0.2">
      <c r="A176" s="1961" t="s">
        <v>1019</v>
      </c>
      <c r="B176" s="1961" t="s">
        <v>1020</v>
      </c>
      <c r="C176" s="1961" t="s">
        <v>1023</v>
      </c>
      <c r="D176" s="1961" t="s">
        <v>1024</v>
      </c>
      <c r="E176" s="1961" t="s">
        <v>921</v>
      </c>
      <c r="F176" s="1969">
        <v>-16.433499999999999</v>
      </c>
      <c r="G176" s="1962">
        <v>0</v>
      </c>
      <c r="H176" s="1962">
        <v>-16.433499999999999</v>
      </c>
      <c r="I176" s="1962">
        <v>0</v>
      </c>
      <c r="J176" s="1953" t="str">
        <f t="shared" si="8"/>
        <v>442</v>
      </c>
    </row>
    <row r="177" spans="1:10" ht="12.75" hidden="1" outlineLevel="2" x14ac:dyDescent="0.2">
      <c r="A177" s="1961" t="s">
        <v>1019</v>
      </c>
      <c r="B177" s="1961" t="s">
        <v>1020</v>
      </c>
      <c r="C177" s="1961" t="s">
        <v>1025</v>
      </c>
      <c r="D177" s="1961" t="s">
        <v>1026</v>
      </c>
      <c r="E177" s="1961" t="s">
        <v>936</v>
      </c>
      <c r="F177" s="1969">
        <v>-0.28467999999999999</v>
      </c>
      <c r="G177" s="1962">
        <v>0</v>
      </c>
      <c r="H177" s="1962">
        <v>0</v>
      </c>
      <c r="I177" s="1962">
        <v>0</v>
      </c>
      <c r="J177" s="1953" t="str">
        <f t="shared" si="8"/>
        <v>442</v>
      </c>
    </row>
    <row r="178" spans="1:10" ht="12.75" hidden="1" outlineLevel="2" x14ac:dyDescent="0.2">
      <c r="A178" s="1961" t="s">
        <v>1019</v>
      </c>
      <c r="B178" s="1961" t="s">
        <v>1020</v>
      </c>
      <c r="C178" s="1961" t="s">
        <v>1027</v>
      </c>
      <c r="D178" s="1961" t="s">
        <v>1028</v>
      </c>
      <c r="E178" s="1961" t="s">
        <v>918</v>
      </c>
      <c r="F178" s="1969">
        <v>38.686309999999999</v>
      </c>
      <c r="G178" s="1962">
        <v>0</v>
      </c>
      <c r="H178" s="1962">
        <v>0</v>
      </c>
      <c r="I178" s="1962">
        <v>0</v>
      </c>
      <c r="J178" s="1953" t="str">
        <f t="shared" si="8"/>
        <v>442</v>
      </c>
    </row>
    <row r="179" spans="1:10" ht="12.75" hidden="1" outlineLevel="2" x14ac:dyDescent="0.2">
      <c r="A179" s="1961" t="s">
        <v>1019</v>
      </c>
      <c r="B179" s="1961" t="s">
        <v>1020</v>
      </c>
      <c r="C179" s="1961" t="s">
        <v>1027</v>
      </c>
      <c r="D179" s="1961" t="s">
        <v>1028</v>
      </c>
      <c r="E179" s="1961" t="s">
        <v>921</v>
      </c>
      <c r="F179" s="1969">
        <v>78.375720000000001</v>
      </c>
      <c r="G179" s="1962">
        <v>0</v>
      </c>
      <c r="H179" s="1962">
        <v>78.375720000000001</v>
      </c>
      <c r="I179" s="1962">
        <v>0</v>
      </c>
      <c r="J179" s="1953" t="str">
        <f t="shared" si="8"/>
        <v>442</v>
      </c>
    </row>
    <row r="180" spans="1:10" ht="12.75" hidden="1" outlineLevel="2" x14ac:dyDescent="0.2">
      <c r="A180" s="1961" t="s">
        <v>1019</v>
      </c>
      <c r="B180" s="1961" t="s">
        <v>1020</v>
      </c>
      <c r="C180" s="1961" t="s">
        <v>1027</v>
      </c>
      <c r="D180" s="1961" t="s">
        <v>1028</v>
      </c>
      <c r="E180" s="1961" t="s">
        <v>922</v>
      </c>
      <c r="F180" s="1969">
        <v>7.4876399999999999</v>
      </c>
      <c r="G180" s="1962">
        <v>0</v>
      </c>
      <c r="H180" s="1962">
        <v>0</v>
      </c>
      <c r="I180" s="1962">
        <v>0</v>
      </c>
      <c r="J180" s="1953" t="str">
        <f t="shared" si="8"/>
        <v>442</v>
      </c>
    </row>
    <row r="181" spans="1:10" ht="12.75" hidden="1" outlineLevel="2" x14ac:dyDescent="0.2">
      <c r="A181" s="1961" t="s">
        <v>1019</v>
      </c>
      <c r="B181" s="1961" t="s">
        <v>1020</v>
      </c>
      <c r="C181" s="1961" t="s">
        <v>1029</v>
      </c>
      <c r="D181" s="1961" t="s">
        <v>1030</v>
      </c>
      <c r="E181" s="1961" t="s">
        <v>921</v>
      </c>
      <c r="F181" s="1969">
        <v>11.88613</v>
      </c>
      <c r="G181" s="1962">
        <v>0</v>
      </c>
      <c r="H181" s="1962">
        <v>11.88613</v>
      </c>
      <c r="I181" s="1962">
        <v>0</v>
      </c>
      <c r="J181" s="1953" t="str">
        <f t="shared" si="8"/>
        <v>442</v>
      </c>
    </row>
    <row r="182" spans="1:10" ht="12.75" hidden="1" outlineLevel="2" x14ac:dyDescent="0.2">
      <c r="A182" s="1961" t="s">
        <v>1019</v>
      </c>
      <c r="B182" s="1961" t="s">
        <v>1020</v>
      </c>
      <c r="C182" s="1961" t="s">
        <v>1031</v>
      </c>
      <c r="D182" s="1961" t="s">
        <v>1032</v>
      </c>
      <c r="E182" s="1961" t="s">
        <v>918</v>
      </c>
      <c r="F182" s="1969">
        <v>-129.32402999999999</v>
      </c>
      <c r="G182" s="1962">
        <v>0</v>
      </c>
      <c r="H182" s="1962">
        <v>0</v>
      </c>
      <c r="I182" s="1962">
        <v>0</v>
      </c>
      <c r="J182" s="1953" t="str">
        <f t="shared" si="8"/>
        <v>442</v>
      </c>
    </row>
    <row r="183" spans="1:10" ht="12.75" hidden="1" outlineLevel="2" x14ac:dyDescent="0.2">
      <c r="A183" s="1961" t="s">
        <v>1019</v>
      </c>
      <c r="B183" s="1961" t="s">
        <v>1020</v>
      </c>
      <c r="C183" s="1961" t="s">
        <v>1031</v>
      </c>
      <c r="D183" s="1961" t="s">
        <v>1032</v>
      </c>
      <c r="E183" s="1961" t="s">
        <v>919</v>
      </c>
      <c r="F183" s="1969">
        <v>412.48908</v>
      </c>
      <c r="G183" s="1962">
        <v>0</v>
      </c>
      <c r="H183" s="1962">
        <v>0</v>
      </c>
      <c r="I183" s="1962">
        <v>412.48908</v>
      </c>
      <c r="J183" s="1953" t="str">
        <f t="shared" si="8"/>
        <v>442</v>
      </c>
    </row>
    <row r="184" spans="1:10" ht="12.75" hidden="1" outlineLevel="2" x14ac:dyDescent="0.2">
      <c r="A184" s="1961" t="s">
        <v>1019</v>
      </c>
      <c r="B184" s="1961" t="s">
        <v>1020</v>
      </c>
      <c r="C184" s="1961" t="s">
        <v>1031</v>
      </c>
      <c r="D184" s="1961" t="s">
        <v>1032</v>
      </c>
      <c r="E184" s="1961" t="s">
        <v>912</v>
      </c>
      <c r="F184" s="1969">
        <v>-14.4467</v>
      </c>
      <c r="G184" s="1962">
        <v>-14.4467</v>
      </c>
      <c r="H184" s="1962">
        <v>0</v>
      </c>
      <c r="I184" s="1962">
        <v>0</v>
      </c>
      <c r="J184" s="1953" t="str">
        <f t="shared" si="8"/>
        <v>442</v>
      </c>
    </row>
    <row r="185" spans="1:10" ht="12.75" hidden="1" outlineLevel="2" x14ac:dyDescent="0.2">
      <c r="A185" s="1961" t="s">
        <v>1019</v>
      </c>
      <c r="B185" s="1961" t="s">
        <v>1020</v>
      </c>
      <c r="C185" s="1961" t="s">
        <v>1031</v>
      </c>
      <c r="D185" s="1961" t="s">
        <v>1032</v>
      </c>
      <c r="E185" s="1961" t="s">
        <v>920</v>
      </c>
      <c r="F185" s="1969">
        <v>35.105870000000003</v>
      </c>
      <c r="G185" s="1962">
        <v>0</v>
      </c>
      <c r="H185" s="1962">
        <v>0</v>
      </c>
      <c r="I185" s="1962">
        <v>0</v>
      </c>
      <c r="J185" s="1953" t="str">
        <f t="shared" si="8"/>
        <v>442</v>
      </c>
    </row>
    <row r="186" spans="1:10" ht="12.75" hidden="1" outlineLevel="2" x14ac:dyDescent="0.2">
      <c r="A186" s="1961" t="s">
        <v>1019</v>
      </c>
      <c r="B186" s="1961" t="s">
        <v>1020</v>
      </c>
      <c r="C186" s="1961" t="s">
        <v>1031</v>
      </c>
      <c r="D186" s="1961" t="s">
        <v>1032</v>
      </c>
      <c r="E186" s="1961" t="s">
        <v>921</v>
      </c>
      <c r="F186" s="1969">
        <v>803.29639999999995</v>
      </c>
      <c r="G186" s="1962">
        <v>0</v>
      </c>
      <c r="H186" s="1962">
        <v>803.29639999999995</v>
      </c>
      <c r="I186" s="1962">
        <v>0</v>
      </c>
      <c r="J186" s="1953" t="str">
        <f t="shared" si="8"/>
        <v>442</v>
      </c>
    </row>
    <row r="187" spans="1:10" ht="12.75" hidden="1" outlineLevel="2" x14ac:dyDescent="0.2">
      <c r="A187" s="1961" t="s">
        <v>1019</v>
      </c>
      <c r="B187" s="1961" t="s">
        <v>1020</v>
      </c>
      <c r="C187" s="1961" t="s">
        <v>1031</v>
      </c>
      <c r="D187" s="1961" t="s">
        <v>1032</v>
      </c>
      <c r="E187" s="1961" t="s">
        <v>922</v>
      </c>
      <c r="F187" s="1969">
        <v>1.31972</v>
      </c>
      <c r="G187" s="1962">
        <v>0</v>
      </c>
      <c r="H187" s="1962">
        <v>0</v>
      </c>
      <c r="I187" s="1962">
        <v>0</v>
      </c>
      <c r="J187" s="1953" t="str">
        <f t="shared" si="8"/>
        <v>442</v>
      </c>
    </row>
    <row r="188" spans="1:10" ht="12.75" hidden="1" outlineLevel="2" x14ac:dyDescent="0.2">
      <c r="A188" s="1961" t="s">
        <v>1019</v>
      </c>
      <c r="B188" s="1961" t="s">
        <v>1020</v>
      </c>
      <c r="C188" s="1961" t="s">
        <v>1033</v>
      </c>
      <c r="D188" s="1961" t="s">
        <v>1034</v>
      </c>
      <c r="E188" s="1961" t="s">
        <v>918</v>
      </c>
      <c r="F188" s="1969">
        <v>25.420529999999999</v>
      </c>
      <c r="G188" s="1962">
        <v>0</v>
      </c>
      <c r="H188" s="1962">
        <v>0</v>
      </c>
      <c r="I188" s="1962">
        <v>0</v>
      </c>
      <c r="J188" s="1953" t="str">
        <f t="shared" si="8"/>
        <v>442</v>
      </c>
    </row>
    <row r="189" spans="1:10" ht="12.75" hidden="1" outlineLevel="2" x14ac:dyDescent="0.2">
      <c r="A189" s="1961" t="s">
        <v>1019</v>
      </c>
      <c r="B189" s="1961" t="s">
        <v>1020</v>
      </c>
      <c r="C189" s="1961" t="s">
        <v>1033</v>
      </c>
      <c r="D189" s="1961" t="s">
        <v>1034</v>
      </c>
      <c r="E189" s="1961" t="s">
        <v>920</v>
      </c>
      <c r="F189" s="1969">
        <v>1204.69715</v>
      </c>
      <c r="G189" s="1962">
        <v>0</v>
      </c>
      <c r="H189" s="1962">
        <v>0</v>
      </c>
      <c r="I189" s="1962">
        <v>0</v>
      </c>
      <c r="J189" s="1953" t="str">
        <f t="shared" si="8"/>
        <v>442</v>
      </c>
    </row>
    <row r="190" spans="1:10" ht="12.75" hidden="1" outlineLevel="2" x14ac:dyDescent="0.2">
      <c r="A190" s="1961" t="s">
        <v>1019</v>
      </c>
      <c r="B190" s="1961" t="s">
        <v>1020</v>
      </c>
      <c r="C190" s="1961" t="s">
        <v>1033</v>
      </c>
      <c r="D190" s="1961" t="s">
        <v>1034</v>
      </c>
      <c r="E190" s="1961" t="s">
        <v>921</v>
      </c>
      <c r="F190" s="1969">
        <v>100.18862</v>
      </c>
      <c r="G190" s="1962">
        <v>0</v>
      </c>
      <c r="H190" s="1962">
        <v>100.18862</v>
      </c>
      <c r="I190" s="1962">
        <v>0</v>
      </c>
      <c r="J190" s="1953" t="str">
        <f t="shared" si="8"/>
        <v>442</v>
      </c>
    </row>
    <row r="191" spans="1:10" ht="12.75" hidden="1" outlineLevel="2" x14ac:dyDescent="0.2">
      <c r="A191" s="1961" t="s">
        <v>1019</v>
      </c>
      <c r="B191" s="1961" t="s">
        <v>1020</v>
      </c>
      <c r="C191" s="1961" t="s">
        <v>1033</v>
      </c>
      <c r="D191" s="1961" t="s">
        <v>1034</v>
      </c>
      <c r="E191" s="1961" t="s">
        <v>922</v>
      </c>
      <c r="F191" s="1969">
        <v>-11.81931</v>
      </c>
      <c r="G191" s="1962">
        <v>0</v>
      </c>
      <c r="H191" s="1962">
        <v>0</v>
      </c>
      <c r="I191" s="1962">
        <v>0</v>
      </c>
      <c r="J191" s="1953" t="str">
        <f t="shared" si="8"/>
        <v>442</v>
      </c>
    </row>
    <row r="192" spans="1:10" ht="12.75" hidden="1" outlineLevel="2" x14ac:dyDescent="0.2">
      <c r="A192" s="1961" t="s">
        <v>1019</v>
      </c>
      <c r="B192" s="1961" t="s">
        <v>1020</v>
      </c>
      <c r="C192" s="1961" t="s">
        <v>1035</v>
      </c>
      <c r="D192" s="1961" t="s">
        <v>1036</v>
      </c>
      <c r="E192" s="1961" t="s">
        <v>918</v>
      </c>
      <c r="F192" s="1969">
        <v>-1</v>
      </c>
      <c r="G192" s="1962">
        <v>0</v>
      </c>
      <c r="H192" s="1962">
        <v>0</v>
      </c>
      <c r="I192" s="1962">
        <v>0</v>
      </c>
      <c r="J192" s="1953" t="str">
        <f t="shared" si="8"/>
        <v>442</v>
      </c>
    </row>
    <row r="193" spans="1:10" ht="12.75" hidden="1" outlineLevel="2" x14ac:dyDescent="0.2">
      <c r="A193" s="1961" t="s">
        <v>1019</v>
      </c>
      <c r="B193" s="1961" t="s">
        <v>1020</v>
      </c>
      <c r="C193" s="1961" t="s">
        <v>1035</v>
      </c>
      <c r="D193" s="1961" t="s">
        <v>1036</v>
      </c>
      <c r="E193" s="1961" t="s">
        <v>919</v>
      </c>
      <c r="F193" s="1969">
        <v>1171</v>
      </c>
      <c r="G193" s="1962">
        <v>0</v>
      </c>
      <c r="H193" s="1962">
        <v>0</v>
      </c>
      <c r="I193" s="1962">
        <v>1171</v>
      </c>
      <c r="J193" s="1953" t="str">
        <f t="shared" si="8"/>
        <v>442</v>
      </c>
    </row>
    <row r="194" spans="1:10" ht="12.75" hidden="1" outlineLevel="2" x14ac:dyDescent="0.2">
      <c r="A194" s="1961" t="s">
        <v>1019</v>
      </c>
      <c r="B194" s="1961" t="s">
        <v>1020</v>
      </c>
      <c r="C194" s="1961" t="s">
        <v>1035</v>
      </c>
      <c r="D194" s="1961" t="s">
        <v>1036</v>
      </c>
      <c r="E194" s="1961" t="s">
        <v>912</v>
      </c>
      <c r="F194" s="1969">
        <v>277</v>
      </c>
      <c r="G194" s="1962">
        <v>277</v>
      </c>
      <c r="H194" s="1962">
        <v>0</v>
      </c>
      <c r="I194" s="1962">
        <v>0</v>
      </c>
      <c r="J194" s="1953" t="str">
        <f t="shared" si="8"/>
        <v>442</v>
      </c>
    </row>
    <row r="195" spans="1:10" ht="12.75" hidden="1" outlineLevel="2" x14ac:dyDescent="0.2">
      <c r="A195" s="1961" t="s">
        <v>1019</v>
      </c>
      <c r="B195" s="1961" t="s">
        <v>1020</v>
      </c>
      <c r="C195" s="1961" t="s">
        <v>1035</v>
      </c>
      <c r="D195" s="1961" t="s">
        <v>1036</v>
      </c>
      <c r="E195" s="1961" t="s">
        <v>920</v>
      </c>
      <c r="F195" s="1969">
        <v>-1</v>
      </c>
      <c r="G195" s="1962">
        <v>0</v>
      </c>
      <c r="H195" s="1962">
        <v>0</v>
      </c>
      <c r="I195" s="1962">
        <v>0</v>
      </c>
      <c r="J195" s="1953" t="str">
        <f t="shared" si="8"/>
        <v>442</v>
      </c>
    </row>
    <row r="196" spans="1:10" ht="12.75" hidden="1" outlineLevel="2" x14ac:dyDescent="0.2">
      <c r="A196" s="1961" t="s">
        <v>1019</v>
      </c>
      <c r="B196" s="1961" t="s">
        <v>1020</v>
      </c>
      <c r="C196" s="1961" t="s">
        <v>1035</v>
      </c>
      <c r="D196" s="1961" t="s">
        <v>1036</v>
      </c>
      <c r="E196" s="1961" t="s">
        <v>921</v>
      </c>
      <c r="F196" s="1969">
        <v>-100</v>
      </c>
      <c r="G196" s="1962">
        <v>0</v>
      </c>
      <c r="H196" s="1962">
        <v>-100</v>
      </c>
      <c r="I196" s="1962">
        <v>0</v>
      </c>
      <c r="J196" s="1953" t="str">
        <f t="shared" si="8"/>
        <v>442</v>
      </c>
    </row>
    <row r="197" spans="1:10" ht="12.75" hidden="1" outlineLevel="2" x14ac:dyDescent="0.2">
      <c r="A197" s="1961" t="s">
        <v>1019</v>
      </c>
      <c r="B197" s="1961" t="s">
        <v>1020</v>
      </c>
      <c r="C197" s="1961" t="s">
        <v>1035</v>
      </c>
      <c r="D197" s="1961" t="s">
        <v>1036</v>
      </c>
      <c r="E197" s="1961" t="s">
        <v>922</v>
      </c>
      <c r="F197" s="1969">
        <v>2</v>
      </c>
      <c r="G197" s="1962">
        <v>0</v>
      </c>
      <c r="H197" s="1962">
        <v>0</v>
      </c>
      <c r="I197" s="1962">
        <v>0</v>
      </c>
      <c r="J197" s="1953" t="str">
        <f t="shared" si="8"/>
        <v>442</v>
      </c>
    </row>
    <row r="198" spans="1:10" ht="12.75" hidden="1" outlineLevel="2" x14ac:dyDescent="0.2">
      <c r="A198" s="1961" t="s">
        <v>1019</v>
      </c>
      <c r="B198" s="1961" t="s">
        <v>1020</v>
      </c>
      <c r="C198" s="1961" t="s">
        <v>1035</v>
      </c>
      <c r="D198" s="1961" t="s">
        <v>1036</v>
      </c>
      <c r="E198" s="1961" t="s">
        <v>923</v>
      </c>
      <c r="F198" s="1969">
        <v>2</v>
      </c>
      <c r="G198" s="1962">
        <v>0</v>
      </c>
      <c r="H198" s="1962">
        <v>0</v>
      </c>
      <c r="I198" s="1962">
        <v>0</v>
      </c>
      <c r="J198" s="1953" t="str">
        <f t="shared" si="8"/>
        <v>442</v>
      </c>
    </row>
    <row r="199" spans="1:10" ht="12.75" hidden="1" outlineLevel="2" x14ac:dyDescent="0.2">
      <c r="A199" s="1961" t="s">
        <v>1019</v>
      </c>
      <c r="B199" s="1961" t="s">
        <v>1020</v>
      </c>
      <c r="C199" s="1961" t="s">
        <v>1037</v>
      </c>
      <c r="D199" s="1961" t="s">
        <v>1038</v>
      </c>
      <c r="E199" s="1961" t="s">
        <v>936</v>
      </c>
      <c r="F199" s="1969">
        <v>59.397370000000002</v>
      </c>
      <c r="G199" s="1962">
        <v>0</v>
      </c>
      <c r="H199" s="1962">
        <v>0</v>
      </c>
      <c r="I199" s="1962">
        <v>0</v>
      </c>
      <c r="J199" s="1953" t="str">
        <f t="shared" si="8"/>
        <v>442</v>
      </c>
    </row>
    <row r="200" spans="1:10" ht="12.75" hidden="1" outlineLevel="2" x14ac:dyDescent="0.2">
      <c r="A200" s="1961" t="s">
        <v>1019</v>
      </c>
      <c r="B200" s="1961" t="s">
        <v>1020</v>
      </c>
      <c r="C200" s="1961" t="s">
        <v>1039</v>
      </c>
      <c r="D200" s="1961" t="s">
        <v>1040</v>
      </c>
      <c r="E200" s="1961" t="s">
        <v>936</v>
      </c>
      <c r="F200" s="1969">
        <v>16.810860000000002</v>
      </c>
      <c r="G200" s="1962">
        <v>0</v>
      </c>
      <c r="H200" s="1962">
        <v>0</v>
      </c>
      <c r="I200" s="1962">
        <v>0</v>
      </c>
      <c r="J200" s="1953" t="str">
        <f t="shared" si="8"/>
        <v>442</v>
      </c>
    </row>
    <row r="201" spans="1:10" ht="12.75" hidden="1" outlineLevel="2" x14ac:dyDescent="0.2">
      <c r="A201" s="1961" t="s">
        <v>1019</v>
      </c>
      <c r="B201" s="1961" t="s">
        <v>1020</v>
      </c>
      <c r="C201" s="1961" t="s">
        <v>1041</v>
      </c>
      <c r="D201" s="1961" t="s">
        <v>1042</v>
      </c>
      <c r="E201" s="1961" t="s">
        <v>936</v>
      </c>
      <c r="F201" s="1969">
        <v>3857.0094300000001</v>
      </c>
      <c r="G201" s="1962">
        <v>0</v>
      </c>
      <c r="H201" s="1962">
        <v>0</v>
      </c>
      <c r="I201" s="1962">
        <v>0</v>
      </c>
      <c r="J201" s="1953" t="str">
        <f t="shared" si="8"/>
        <v>442</v>
      </c>
    </row>
    <row r="202" spans="1:10" ht="12.75" hidden="1" outlineLevel="2" x14ac:dyDescent="0.2">
      <c r="A202" s="1961" t="s">
        <v>1019</v>
      </c>
      <c r="B202" s="1961" t="s">
        <v>1020</v>
      </c>
      <c r="C202" s="1961" t="s">
        <v>1043</v>
      </c>
      <c r="D202" s="1961" t="s">
        <v>1044</v>
      </c>
      <c r="E202" s="1961" t="s">
        <v>936</v>
      </c>
      <c r="F202" s="1969">
        <v>3.49071</v>
      </c>
      <c r="G202" s="1962">
        <v>0</v>
      </c>
      <c r="H202" s="1962">
        <v>0</v>
      </c>
      <c r="I202" s="1962">
        <v>0</v>
      </c>
      <c r="J202" s="1953" t="str">
        <f t="shared" si="8"/>
        <v>442</v>
      </c>
    </row>
    <row r="203" spans="1:10" ht="12.75" hidden="1" outlineLevel="2" x14ac:dyDescent="0.2">
      <c r="A203" s="1961" t="s">
        <v>1019</v>
      </c>
      <c r="B203" s="1961" t="s">
        <v>1020</v>
      </c>
      <c r="C203" s="1961" t="s">
        <v>1045</v>
      </c>
      <c r="D203" s="1961" t="s">
        <v>1046</v>
      </c>
      <c r="E203" s="1961" t="s">
        <v>936</v>
      </c>
      <c r="F203" s="1969">
        <v>55.412660000000002</v>
      </c>
      <c r="G203" s="1962">
        <v>0</v>
      </c>
      <c r="H203" s="1962">
        <v>0</v>
      </c>
      <c r="I203" s="1962">
        <v>0</v>
      </c>
      <c r="J203" s="1953" t="str">
        <f t="shared" si="8"/>
        <v>442</v>
      </c>
    </row>
    <row r="204" spans="1:10" ht="13.5" outlineLevel="1" collapsed="1" thickBot="1" x14ac:dyDescent="0.25">
      <c r="A204" s="1963" t="s">
        <v>1047</v>
      </c>
      <c r="B204" s="1964"/>
      <c r="C204" s="1964"/>
      <c r="D204" s="1964"/>
      <c r="E204" s="1963"/>
      <c r="F204" s="1966">
        <f t="shared" ref="F204:I204" si="9">SUBTOTAL(9,F166:F203)</f>
        <v>132861.37248000002</v>
      </c>
      <c r="G204" s="1965">
        <f t="shared" si="9"/>
        <v>25282.91418</v>
      </c>
      <c r="H204" s="1965">
        <f t="shared" si="9"/>
        <v>17025.555640000002</v>
      </c>
      <c r="I204" s="1965">
        <f t="shared" si="9"/>
        <v>55447.711920000002</v>
      </c>
    </row>
    <row r="205" spans="1:10" ht="12.75" hidden="1" outlineLevel="2" x14ac:dyDescent="0.2">
      <c r="A205" s="1967" t="s">
        <v>1048</v>
      </c>
      <c r="B205" s="1967" t="s">
        <v>1049</v>
      </c>
      <c r="C205" s="1967" t="s">
        <v>1050</v>
      </c>
      <c r="D205" s="1967" t="s">
        <v>1051</v>
      </c>
      <c r="E205" s="1967" t="s">
        <v>918</v>
      </c>
      <c r="F205" s="1969">
        <v>416.27055000000001</v>
      </c>
      <c r="G205" s="1962">
        <v>0</v>
      </c>
      <c r="H205" s="1962">
        <v>0</v>
      </c>
      <c r="I205" s="1962">
        <v>0</v>
      </c>
      <c r="J205" s="1953" t="str">
        <f t="shared" ref="J205:J239" si="10">LEFT(A205,3)</f>
        <v>444</v>
      </c>
    </row>
    <row r="206" spans="1:10" ht="12.75" hidden="1" outlineLevel="2" x14ac:dyDescent="0.2">
      <c r="A206" s="1961" t="s">
        <v>1048</v>
      </c>
      <c r="B206" s="1961" t="s">
        <v>1049</v>
      </c>
      <c r="C206" s="1961" t="s">
        <v>1050</v>
      </c>
      <c r="D206" s="1961" t="s">
        <v>1051</v>
      </c>
      <c r="E206" s="1961" t="s">
        <v>919</v>
      </c>
      <c r="F206" s="1969">
        <v>469.47958</v>
      </c>
      <c r="G206" s="1962">
        <v>0</v>
      </c>
      <c r="H206" s="1962">
        <v>0</v>
      </c>
      <c r="I206" s="1962">
        <v>469.47958</v>
      </c>
      <c r="J206" s="1953" t="str">
        <f t="shared" si="10"/>
        <v>444</v>
      </c>
    </row>
    <row r="207" spans="1:10" ht="12.75" hidden="1" outlineLevel="2" x14ac:dyDescent="0.2">
      <c r="A207" s="1961" t="s">
        <v>1048</v>
      </c>
      <c r="B207" s="1961" t="s">
        <v>1049</v>
      </c>
      <c r="C207" s="1961" t="s">
        <v>1050</v>
      </c>
      <c r="D207" s="1961" t="s">
        <v>1051</v>
      </c>
      <c r="E207" s="1961" t="s">
        <v>912</v>
      </c>
      <c r="F207" s="1969">
        <v>5150.2659299999996</v>
      </c>
      <c r="G207" s="1962">
        <v>5150.2659299999996</v>
      </c>
      <c r="H207" s="1962">
        <v>0</v>
      </c>
      <c r="I207" s="1962">
        <v>0</v>
      </c>
      <c r="J207" s="1953" t="str">
        <f t="shared" si="10"/>
        <v>444</v>
      </c>
    </row>
    <row r="208" spans="1:10" ht="12.75" hidden="1" outlineLevel="2" x14ac:dyDescent="0.2">
      <c r="A208" s="1961" t="s">
        <v>1048</v>
      </c>
      <c r="B208" s="1961" t="s">
        <v>1049</v>
      </c>
      <c r="C208" s="1961" t="s">
        <v>1050</v>
      </c>
      <c r="D208" s="1961" t="s">
        <v>1051</v>
      </c>
      <c r="E208" s="1961" t="s">
        <v>920</v>
      </c>
      <c r="F208" s="1969">
        <v>5973.6301299999996</v>
      </c>
      <c r="G208" s="1962">
        <v>0</v>
      </c>
      <c r="H208" s="1962">
        <v>0</v>
      </c>
      <c r="I208" s="1962">
        <v>0</v>
      </c>
      <c r="J208" s="1953" t="str">
        <f t="shared" si="10"/>
        <v>444</v>
      </c>
    </row>
    <row r="209" spans="1:10" ht="12.75" hidden="1" outlineLevel="2" x14ac:dyDescent="0.2">
      <c r="A209" s="1961" t="s">
        <v>1048</v>
      </c>
      <c r="B209" s="1961" t="s">
        <v>1049</v>
      </c>
      <c r="C209" s="1961" t="s">
        <v>1050</v>
      </c>
      <c r="D209" s="1961" t="s">
        <v>1051</v>
      </c>
      <c r="E209" s="1961" t="s">
        <v>921</v>
      </c>
      <c r="F209" s="1969">
        <v>672.34951999999998</v>
      </c>
      <c r="G209" s="1962">
        <v>0</v>
      </c>
      <c r="H209" s="1962">
        <v>672.34951999999998</v>
      </c>
      <c r="I209" s="1962">
        <v>0</v>
      </c>
      <c r="J209" s="1953" t="str">
        <f t="shared" si="10"/>
        <v>444</v>
      </c>
    </row>
    <row r="210" spans="1:10" ht="12.75" hidden="1" outlineLevel="2" x14ac:dyDescent="0.2">
      <c r="A210" s="1961" t="s">
        <v>1048</v>
      </c>
      <c r="B210" s="1961" t="s">
        <v>1049</v>
      </c>
      <c r="C210" s="1961" t="s">
        <v>1050</v>
      </c>
      <c r="D210" s="1961" t="s">
        <v>1051</v>
      </c>
      <c r="E210" s="1961" t="s">
        <v>922</v>
      </c>
      <c r="F210" s="1969">
        <v>1580.9025300000001</v>
      </c>
      <c r="G210" s="1962">
        <v>0</v>
      </c>
      <c r="H210" s="1962">
        <v>0</v>
      </c>
      <c r="I210" s="1962">
        <v>0</v>
      </c>
      <c r="J210" s="1953" t="str">
        <f t="shared" si="10"/>
        <v>444</v>
      </c>
    </row>
    <row r="211" spans="1:10" ht="12.75" hidden="1" outlineLevel="2" x14ac:dyDescent="0.2">
      <c r="A211" s="1961" t="s">
        <v>1048</v>
      </c>
      <c r="B211" s="1961" t="s">
        <v>1049</v>
      </c>
      <c r="C211" s="1961" t="s">
        <v>1050</v>
      </c>
      <c r="D211" s="1961" t="s">
        <v>1051</v>
      </c>
      <c r="E211" s="1961" t="s">
        <v>923</v>
      </c>
      <c r="F211" s="1969">
        <v>271.28715</v>
      </c>
      <c r="G211" s="1962">
        <v>0</v>
      </c>
      <c r="H211" s="1962">
        <v>0</v>
      </c>
      <c r="I211" s="1962">
        <v>0</v>
      </c>
      <c r="J211" s="1953" t="str">
        <f t="shared" si="10"/>
        <v>444</v>
      </c>
    </row>
    <row r="212" spans="1:10" ht="12.75" hidden="1" outlineLevel="2" x14ac:dyDescent="0.2">
      <c r="A212" s="1961" t="s">
        <v>1048</v>
      </c>
      <c r="B212" s="1961" t="s">
        <v>1049</v>
      </c>
      <c r="C212" s="1961" t="s">
        <v>1052</v>
      </c>
      <c r="D212" s="1961" t="s">
        <v>1053</v>
      </c>
      <c r="E212" s="1961" t="s">
        <v>918</v>
      </c>
      <c r="F212" s="1969">
        <v>-5.4577299999999997</v>
      </c>
      <c r="G212" s="1962">
        <v>0</v>
      </c>
      <c r="H212" s="1962">
        <v>0</v>
      </c>
      <c r="I212" s="1962">
        <v>0</v>
      </c>
      <c r="J212" s="1953" t="str">
        <f t="shared" si="10"/>
        <v>444</v>
      </c>
    </row>
    <row r="213" spans="1:10" ht="12.75" hidden="1" outlineLevel="2" x14ac:dyDescent="0.2">
      <c r="A213" s="1961" t="s">
        <v>1048</v>
      </c>
      <c r="B213" s="1961" t="s">
        <v>1049</v>
      </c>
      <c r="C213" s="1961" t="s">
        <v>1052</v>
      </c>
      <c r="D213" s="1961" t="s">
        <v>1053</v>
      </c>
      <c r="E213" s="1961" t="s">
        <v>919</v>
      </c>
      <c r="F213" s="1969">
        <v>5.7893999999999997</v>
      </c>
      <c r="G213" s="1962">
        <v>0</v>
      </c>
      <c r="H213" s="1962">
        <v>0</v>
      </c>
      <c r="I213" s="1962">
        <v>5.7893999999999997</v>
      </c>
      <c r="J213" s="1953" t="str">
        <f t="shared" si="10"/>
        <v>444</v>
      </c>
    </row>
    <row r="214" spans="1:10" ht="12.75" hidden="1" outlineLevel="2" x14ac:dyDescent="0.2">
      <c r="A214" s="1961" t="s">
        <v>1048</v>
      </c>
      <c r="B214" s="1961" t="s">
        <v>1049</v>
      </c>
      <c r="C214" s="1961" t="s">
        <v>1052</v>
      </c>
      <c r="D214" s="1961" t="s">
        <v>1053</v>
      </c>
      <c r="E214" s="1961" t="s">
        <v>912</v>
      </c>
      <c r="F214" s="1969">
        <v>7.4240399999999998</v>
      </c>
      <c r="G214" s="1962">
        <v>7.4240399999999998</v>
      </c>
      <c r="H214" s="1962">
        <v>0</v>
      </c>
      <c r="I214" s="1962">
        <v>0</v>
      </c>
      <c r="J214" s="1953" t="str">
        <f t="shared" si="10"/>
        <v>444</v>
      </c>
    </row>
    <row r="215" spans="1:10" ht="12.75" hidden="1" outlineLevel="2" x14ac:dyDescent="0.2">
      <c r="A215" s="1961" t="s">
        <v>1048</v>
      </c>
      <c r="B215" s="1961" t="s">
        <v>1049</v>
      </c>
      <c r="C215" s="1961" t="s">
        <v>1052</v>
      </c>
      <c r="D215" s="1961" t="s">
        <v>1053</v>
      </c>
      <c r="E215" s="1961" t="s">
        <v>920</v>
      </c>
      <c r="F215" s="1969">
        <v>8.41995</v>
      </c>
      <c r="G215" s="1962">
        <v>0</v>
      </c>
      <c r="H215" s="1962">
        <v>0</v>
      </c>
      <c r="I215" s="1962">
        <v>0</v>
      </c>
      <c r="J215" s="1953" t="str">
        <f t="shared" si="10"/>
        <v>444</v>
      </c>
    </row>
    <row r="216" spans="1:10" ht="12.75" hidden="1" outlineLevel="2" x14ac:dyDescent="0.2">
      <c r="A216" s="1961" t="s">
        <v>1048</v>
      </c>
      <c r="B216" s="1961" t="s">
        <v>1049</v>
      </c>
      <c r="C216" s="1961" t="s">
        <v>1052</v>
      </c>
      <c r="D216" s="1961" t="s">
        <v>1053</v>
      </c>
      <c r="E216" s="1961" t="s">
        <v>921</v>
      </c>
      <c r="F216" s="1969">
        <v>-32.489730000000002</v>
      </c>
      <c r="G216" s="1962">
        <v>0</v>
      </c>
      <c r="H216" s="1962">
        <v>-32.489730000000002</v>
      </c>
      <c r="I216" s="1962">
        <v>0</v>
      </c>
      <c r="J216" s="1953" t="str">
        <f t="shared" si="10"/>
        <v>444</v>
      </c>
    </row>
    <row r="217" spans="1:10" ht="12.75" hidden="1" outlineLevel="2" x14ac:dyDescent="0.2">
      <c r="A217" s="1961" t="s">
        <v>1048</v>
      </c>
      <c r="B217" s="1961" t="s">
        <v>1049</v>
      </c>
      <c r="C217" s="1961" t="s">
        <v>1052</v>
      </c>
      <c r="D217" s="1961" t="s">
        <v>1053</v>
      </c>
      <c r="E217" s="1961" t="s">
        <v>923</v>
      </c>
      <c r="F217" s="1969">
        <v>0.49501000000000001</v>
      </c>
      <c r="G217" s="1962">
        <v>0</v>
      </c>
      <c r="H217" s="1962">
        <v>0</v>
      </c>
      <c r="I217" s="1962">
        <v>0</v>
      </c>
      <c r="J217" s="1953" t="str">
        <f t="shared" si="10"/>
        <v>444</v>
      </c>
    </row>
    <row r="218" spans="1:10" ht="12.75" hidden="1" outlineLevel="2" x14ac:dyDescent="0.2">
      <c r="A218" s="1961" t="s">
        <v>1048</v>
      </c>
      <c r="B218" s="1961" t="s">
        <v>1049</v>
      </c>
      <c r="C218" s="1961" t="s">
        <v>1054</v>
      </c>
      <c r="D218" s="1961" t="s">
        <v>1055</v>
      </c>
      <c r="E218" s="1961" t="s">
        <v>918</v>
      </c>
      <c r="F218" s="1969">
        <v>0.46950999999999998</v>
      </c>
      <c r="G218" s="1962">
        <v>0</v>
      </c>
      <c r="H218" s="1962">
        <v>0</v>
      </c>
      <c r="I218" s="1962">
        <v>0</v>
      </c>
      <c r="J218" s="1953" t="str">
        <f t="shared" si="10"/>
        <v>444</v>
      </c>
    </row>
    <row r="219" spans="1:10" ht="12.75" hidden="1" outlineLevel="2" x14ac:dyDescent="0.2">
      <c r="A219" s="1961" t="s">
        <v>1048</v>
      </c>
      <c r="B219" s="1961" t="s">
        <v>1049</v>
      </c>
      <c r="C219" s="1961" t="s">
        <v>1054</v>
      </c>
      <c r="D219" s="1961" t="s">
        <v>1055</v>
      </c>
      <c r="E219" s="1961" t="s">
        <v>920</v>
      </c>
      <c r="F219" s="1969">
        <v>288.93955999999997</v>
      </c>
      <c r="G219" s="1962">
        <v>0</v>
      </c>
      <c r="H219" s="1962">
        <v>0</v>
      </c>
      <c r="I219" s="1962">
        <v>0</v>
      </c>
      <c r="J219" s="1953" t="str">
        <f t="shared" si="10"/>
        <v>444</v>
      </c>
    </row>
    <row r="220" spans="1:10" ht="12.75" hidden="1" outlineLevel="2" x14ac:dyDescent="0.2">
      <c r="A220" s="1961" t="s">
        <v>1048</v>
      </c>
      <c r="B220" s="1961" t="s">
        <v>1049</v>
      </c>
      <c r="C220" s="1961" t="s">
        <v>1054</v>
      </c>
      <c r="D220" s="1961" t="s">
        <v>1055</v>
      </c>
      <c r="E220" s="1961" t="s">
        <v>921</v>
      </c>
      <c r="F220" s="1969">
        <v>2.6626699999999999</v>
      </c>
      <c r="G220" s="1962">
        <v>0</v>
      </c>
      <c r="H220" s="1962">
        <v>2.6626699999999999</v>
      </c>
      <c r="I220" s="1962">
        <v>0</v>
      </c>
      <c r="J220" s="1953" t="str">
        <f t="shared" si="10"/>
        <v>444</v>
      </c>
    </row>
    <row r="221" spans="1:10" ht="12.75" hidden="1" outlineLevel="2" x14ac:dyDescent="0.2">
      <c r="A221" s="1961" t="s">
        <v>1048</v>
      </c>
      <c r="B221" s="1961" t="s">
        <v>1049</v>
      </c>
      <c r="C221" s="1961" t="s">
        <v>1054</v>
      </c>
      <c r="D221" s="1961" t="s">
        <v>1055</v>
      </c>
      <c r="E221" s="1961" t="s">
        <v>922</v>
      </c>
      <c r="F221" s="1969">
        <v>-4.6682899999999998</v>
      </c>
      <c r="G221" s="1962">
        <v>0</v>
      </c>
      <c r="H221" s="1962">
        <v>0</v>
      </c>
      <c r="I221" s="1962">
        <v>0</v>
      </c>
      <c r="J221" s="1953" t="str">
        <f t="shared" si="10"/>
        <v>444</v>
      </c>
    </row>
    <row r="222" spans="1:10" ht="12.75" hidden="1" outlineLevel="2" x14ac:dyDescent="0.2">
      <c r="A222" s="1961" t="s">
        <v>1048</v>
      </c>
      <c r="B222" s="1961" t="s">
        <v>1049</v>
      </c>
      <c r="C222" s="1961" t="s">
        <v>1056</v>
      </c>
      <c r="D222" s="1961" t="s">
        <v>1057</v>
      </c>
      <c r="E222" s="1961" t="s">
        <v>918</v>
      </c>
      <c r="F222" s="1969">
        <v>-14</v>
      </c>
      <c r="G222" s="1962">
        <v>0</v>
      </c>
      <c r="H222" s="1962">
        <v>0</v>
      </c>
      <c r="I222" s="1962">
        <v>0</v>
      </c>
      <c r="J222" s="1953" t="str">
        <f t="shared" si="10"/>
        <v>444</v>
      </c>
    </row>
    <row r="223" spans="1:10" ht="12.75" hidden="1" outlineLevel="2" x14ac:dyDescent="0.2">
      <c r="A223" s="1961" t="s">
        <v>1048</v>
      </c>
      <c r="B223" s="1961" t="s">
        <v>1049</v>
      </c>
      <c r="C223" s="1961" t="s">
        <v>1056</v>
      </c>
      <c r="D223" s="1961" t="s">
        <v>1057</v>
      </c>
      <c r="E223" s="1961" t="s">
        <v>919</v>
      </c>
      <c r="F223" s="1969">
        <v>-2</v>
      </c>
      <c r="G223" s="1962">
        <v>0</v>
      </c>
      <c r="H223" s="1962">
        <v>0</v>
      </c>
      <c r="I223" s="1962">
        <v>-2</v>
      </c>
      <c r="J223" s="1953" t="str">
        <f t="shared" si="10"/>
        <v>444</v>
      </c>
    </row>
    <row r="224" spans="1:10" ht="12.75" hidden="1" outlineLevel="2" x14ac:dyDescent="0.2">
      <c r="A224" s="1961" t="s">
        <v>1048</v>
      </c>
      <c r="B224" s="1961" t="s">
        <v>1049</v>
      </c>
      <c r="C224" s="1961" t="s">
        <v>1056</v>
      </c>
      <c r="D224" s="1961" t="s">
        <v>1057</v>
      </c>
      <c r="E224" s="1961" t="s">
        <v>912</v>
      </c>
      <c r="F224" s="1969">
        <v>-17</v>
      </c>
      <c r="G224" s="1962">
        <v>-17</v>
      </c>
      <c r="H224" s="1962">
        <v>0</v>
      </c>
      <c r="I224" s="1962">
        <v>0</v>
      </c>
      <c r="J224" s="1953" t="str">
        <f t="shared" si="10"/>
        <v>444</v>
      </c>
    </row>
    <row r="225" spans="1:10" ht="12.75" hidden="1" outlineLevel="2" x14ac:dyDescent="0.2">
      <c r="A225" s="1961" t="s">
        <v>1048</v>
      </c>
      <c r="B225" s="1961" t="s">
        <v>1049</v>
      </c>
      <c r="C225" s="1961" t="s">
        <v>1056</v>
      </c>
      <c r="D225" s="1961" t="s">
        <v>1057</v>
      </c>
      <c r="E225" s="1961" t="s">
        <v>920</v>
      </c>
      <c r="F225" s="1969">
        <v>8</v>
      </c>
      <c r="G225" s="1962">
        <v>0</v>
      </c>
      <c r="H225" s="1962">
        <v>0</v>
      </c>
      <c r="I225" s="1962">
        <v>0</v>
      </c>
      <c r="J225" s="1953" t="str">
        <f t="shared" si="10"/>
        <v>444</v>
      </c>
    </row>
    <row r="226" spans="1:10" ht="12.75" hidden="1" outlineLevel="2" x14ac:dyDescent="0.2">
      <c r="A226" s="1961" t="s">
        <v>1048</v>
      </c>
      <c r="B226" s="1961" t="s">
        <v>1049</v>
      </c>
      <c r="C226" s="1961" t="s">
        <v>1056</v>
      </c>
      <c r="D226" s="1961" t="s">
        <v>1057</v>
      </c>
      <c r="E226" s="1961" t="s">
        <v>921</v>
      </c>
      <c r="F226" s="1969">
        <v>37</v>
      </c>
      <c r="G226" s="1962">
        <v>0</v>
      </c>
      <c r="H226" s="1962">
        <v>37</v>
      </c>
      <c r="I226" s="1962">
        <v>0</v>
      </c>
      <c r="J226" s="1953" t="str">
        <f t="shared" si="10"/>
        <v>444</v>
      </c>
    </row>
    <row r="227" spans="1:10" ht="12.75" hidden="1" outlineLevel="2" x14ac:dyDescent="0.2">
      <c r="A227" s="1961" t="s">
        <v>1048</v>
      </c>
      <c r="B227" s="1961" t="s">
        <v>1049</v>
      </c>
      <c r="C227" s="1961" t="s">
        <v>1056</v>
      </c>
      <c r="D227" s="1961" t="s">
        <v>1057</v>
      </c>
      <c r="E227" s="1961" t="s">
        <v>922</v>
      </c>
      <c r="F227" s="1969">
        <v>31</v>
      </c>
      <c r="G227" s="1962">
        <v>0</v>
      </c>
      <c r="H227" s="1962">
        <v>0</v>
      </c>
      <c r="I227" s="1962">
        <v>0</v>
      </c>
      <c r="J227" s="1953" t="str">
        <f t="shared" si="10"/>
        <v>444</v>
      </c>
    </row>
    <row r="228" spans="1:10" ht="12.75" hidden="1" outlineLevel="2" x14ac:dyDescent="0.2">
      <c r="A228" s="1961" t="s">
        <v>1048</v>
      </c>
      <c r="B228" s="1961" t="s">
        <v>1049</v>
      </c>
      <c r="C228" s="1961" t="s">
        <v>1056</v>
      </c>
      <c r="D228" s="1961" t="s">
        <v>1057</v>
      </c>
      <c r="E228" s="1961" t="s">
        <v>923</v>
      </c>
      <c r="F228" s="1969">
        <v>-3</v>
      </c>
      <c r="G228" s="1962">
        <v>0</v>
      </c>
      <c r="H228" s="1962">
        <v>0</v>
      </c>
      <c r="I228" s="1962">
        <v>0</v>
      </c>
      <c r="J228" s="1953" t="str">
        <f t="shared" si="10"/>
        <v>444</v>
      </c>
    </row>
    <row r="229" spans="1:10" ht="12.75" hidden="1" outlineLevel="2" x14ac:dyDescent="0.2">
      <c r="A229" s="1961" t="s">
        <v>1048</v>
      </c>
      <c r="B229" s="1961" t="s">
        <v>1049</v>
      </c>
      <c r="C229" s="1961" t="s">
        <v>1058</v>
      </c>
      <c r="D229" s="1961" t="s">
        <v>1059</v>
      </c>
      <c r="E229" s="1961" t="s">
        <v>918</v>
      </c>
      <c r="F229" s="1969">
        <v>0.71453</v>
      </c>
      <c r="G229" s="1962">
        <v>0</v>
      </c>
      <c r="H229" s="1962">
        <v>0</v>
      </c>
      <c r="I229" s="1962">
        <v>0</v>
      </c>
      <c r="J229" s="1953" t="str">
        <f t="shared" si="10"/>
        <v>444</v>
      </c>
    </row>
    <row r="230" spans="1:10" ht="12.75" hidden="1" outlineLevel="2" x14ac:dyDescent="0.2">
      <c r="A230" s="1961" t="s">
        <v>1048</v>
      </c>
      <c r="B230" s="1961" t="s">
        <v>1049</v>
      </c>
      <c r="C230" s="1961" t="s">
        <v>1058</v>
      </c>
      <c r="D230" s="1961" t="s">
        <v>1059</v>
      </c>
      <c r="E230" s="1961" t="s">
        <v>921</v>
      </c>
      <c r="F230" s="1969">
        <v>1.9219200000000001</v>
      </c>
      <c r="G230" s="1962">
        <v>0</v>
      </c>
      <c r="H230" s="1962">
        <v>1.9219200000000001</v>
      </c>
      <c r="I230" s="1962">
        <v>0</v>
      </c>
      <c r="J230" s="1953" t="str">
        <f t="shared" si="10"/>
        <v>444</v>
      </c>
    </row>
    <row r="231" spans="1:10" ht="12.75" hidden="1" outlineLevel="2" x14ac:dyDescent="0.2">
      <c r="A231" s="1961" t="s">
        <v>1048</v>
      </c>
      <c r="B231" s="1961" t="s">
        <v>1049</v>
      </c>
      <c r="C231" s="1961" t="s">
        <v>1058</v>
      </c>
      <c r="D231" s="1961" t="s">
        <v>1059</v>
      </c>
      <c r="E231" s="1961" t="s">
        <v>922</v>
      </c>
      <c r="F231" s="1969">
        <v>2.9573999999999998</v>
      </c>
      <c r="G231" s="1962">
        <v>0</v>
      </c>
      <c r="H231" s="1962">
        <v>0</v>
      </c>
      <c r="I231" s="1962">
        <v>0</v>
      </c>
      <c r="J231" s="1953" t="str">
        <f t="shared" si="10"/>
        <v>444</v>
      </c>
    </row>
    <row r="232" spans="1:10" ht="12.75" hidden="1" outlineLevel="2" x14ac:dyDescent="0.2">
      <c r="A232" s="1961" t="s">
        <v>1048</v>
      </c>
      <c r="B232" s="1961" t="s">
        <v>1049</v>
      </c>
      <c r="C232" s="1961" t="s">
        <v>1060</v>
      </c>
      <c r="D232" s="1961" t="s">
        <v>1061</v>
      </c>
      <c r="E232" s="1961" t="s">
        <v>936</v>
      </c>
      <c r="F232" s="1969">
        <v>1.08904</v>
      </c>
      <c r="G232" s="1962">
        <v>0</v>
      </c>
      <c r="H232" s="1962">
        <v>0</v>
      </c>
      <c r="I232" s="1962">
        <v>0</v>
      </c>
      <c r="J232" s="1953" t="str">
        <f t="shared" si="10"/>
        <v>444</v>
      </c>
    </row>
    <row r="233" spans="1:10" ht="12.75" hidden="1" outlineLevel="2" x14ac:dyDescent="0.2">
      <c r="A233" s="1961" t="s">
        <v>1048</v>
      </c>
      <c r="B233" s="1961" t="s">
        <v>1049</v>
      </c>
      <c r="C233" s="1961" t="s">
        <v>1062</v>
      </c>
      <c r="D233" s="1961" t="s">
        <v>1063</v>
      </c>
      <c r="E233" s="1961" t="s">
        <v>919</v>
      </c>
      <c r="F233" s="1969">
        <v>-3.2500000000000001E-2</v>
      </c>
      <c r="G233" s="1962">
        <v>0</v>
      </c>
      <c r="H233" s="1962">
        <v>0</v>
      </c>
      <c r="I233" s="1962">
        <v>-3.2500000000000001E-2</v>
      </c>
      <c r="J233" s="1953" t="str">
        <f t="shared" si="10"/>
        <v>444</v>
      </c>
    </row>
    <row r="234" spans="1:10" ht="12.75" hidden="1" outlineLevel="2" x14ac:dyDescent="0.2">
      <c r="A234" s="1961" t="s">
        <v>1048</v>
      </c>
      <c r="B234" s="1961" t="s">
        <v>1049</v>
      </c>
      <c r="C234" s="1961" t="s">
        <v>1062</v>
      </c>
      <c r="D234" s="1961" t="s">
        <v>1063</v>
      </c>
      <c r="E234" s="1961" t="s">
        <v>912</v>
      </c>
      <c r="F234" s="1969">
        <v>-2.4784999999999999</v>
      </c>
      <c r="G234" s="1962">
        <v>-2.4784999999999999</v>
      </c>
      <c r="H234" s="1962">
        <v>0</v>
      </c>
      <c r="I234" s="1962">
        <v>0</v>
      </c>
      <c r="J234" s="1953" t="str">
        <f t="shared" si="10"/>
        <v>444</v>
      </c>
    </row>
    <row r="235" spans="1:10" ht="12.75" hidden="1" outlineLevel="2" x14ac:dyDescent="0.2">
      <c r="A235" s="1961" t="s">
        <v>1048</v>
      </c>
      <c r="B235" s="1961" t="s">
        <v>1049</v>
      </c>
      <c r="C235" s="1961" t="s">
        <v>1062</v>
      </c>
      <c r="D235" s="1961" t="s">
        <v>1063</v>
      </c>
      <c r="E235" s="1961" t="s">
        <v>920</v>
      </c>
      <c r="F235" s="1969">
        <v>-0.8075</v>
      </c>
      <c r="G235" s="1962">
        <v>0</v>
      </c>
      <c r="H235" s="1962">
        <v>0</v>
      </c>
      <c r="I235" s="1962">
        <v>0</v>
      </c>
      <c r="J235" s="1953" t="str">
        <f t="shared" si="10"/>
        <v>444</v>
      </c>
    </row>
    <row r="236" spans="1:10" ht="12.75" hidden="1" outlineLevel="2" x14ac:dyDescent="0.2">
      <c r="A236" s="1961" t="s">
        <v>1048</v>
      </c>
      <c r="B236" s="1961" t="s">
        <v>1049</v>
      </c>
      <c r="C236" s="1961" t="s">
        <v>1064</v>
      </c>
      <c r="D236" s="1961" t="s">
        <v>1065</v>
      </c>
      <c r="E236" s="1961" t="s">
        <v>936</v>
      </c>
      <c r="F236" s="1969">
        <v>2.0606399999999998</v>
      </c>
      <c r="G236" s="1962">
        <v>0</v>
      </c>
      <c r="H236" s="1962">
        <v>0</v>
      </c>
      <c r="I236" s="1962">
        <v>0</v>
      </c>
      <c r="J236" s="1953" t="str">
        <f t="shared" si="10"/>
        <v>444</v>
      </c>
    </row>
    <row r="237" spans="1:10" ht="12.75" hidden="1" outlineLevel="2" x14ac:dyDescent="0.2">
      <c r="A237" s="1961" t="s">
        <v>1048</v>
      </c>
      <c r="B237" s="1961" t="s">
        <v>1049</v>
      </c>
      <c r="C237" s="1961" t="s">
        <v>1066</v>
      </c>
      <c r="D237" s="1961" t="s">
        <v>1067</v>
      </c>
      <c r="E237" s="1961" t="s">
        <v>936</v>
      </c>
      <c r="F237" s="1969">
        <v>0.75968999999999998</v>
      </c>
      <c r="G237" s="1962">
        <v>0</v>
      </c>
      <c r="H237" s="1962">
        <v>0</v>
      </c>
      <c r="I237" s="1962">
        <v>0</v>
      </c>
      <c r="J237" s="1953" t="str">
        <f t="shared" si="10"/>
        <v>444</v>
      </c>
    </row>
    <row r="238" spans="1:10" ht="12.75" hidden="1" outlineLevel="2" x14ac:dyDescent="0.2">
      <c r="A238" s="1961" t="s">
        <v>1048</v>
      </c>
      <c r="B238" s="1961" t="s">
        <v>1049</v>
      </c>
      <c r="C238" s="1961" t="s">
        <v>1068</v>
      </c>
      <c r="D238" s="1961" t="s">
        <v>1069</v>
      </c>
      <c r="E238" s="1961" t="s">
        <v>936</v>
      </c>
      <c r="F238" s="1969">
        <v>355.34773999999999</v>
      </c>
      <c r="G238" s="1962">
        <v>0</v>
      </c>
      <c r="H238" s="1962">
        <v>0</v>
      </c>
      <c r="I238" s="1962">
        <v>0</v>
      </c>
      <c r="J238" s="1953" t="str">
        <f t="shared" si="10"/>
        <v>444</v>
      </c>
    </row>
    <row r="239" spans="1:10" ht="12.75" hidden="1" outlineLevel="2" x14ac:dyDescent="0.2">
      <c r="A239" s="1961" t="s">
        <v>1048</v>
      </c>
      <c r="B239" s="1961" t="s">
        <v>1049</v>
      </c>
      <c r="C239" s="1961" t="s">
        <v>1070</v>
      </c>
      <c r="D239" s="1961" t="s">
        <v>1071</v>
      </c>
      <c r="E239" s="1961" t="s">
        <v>936</v>
      </c>
      <c r="F239" s="1969">
        <v>10.947800000000001</v>
      </c>
      <c r="G239" s="1962">
        <v>0</v>
      </c>
      <c r="H239" s="1962">
        <v>0</v>
      </c>
      <c r="I239" s="1962">
        <v>0</v>
      </c>
      <c r="J239" s="1953" t="str">
        <f t="shared" si="10"/>
        <v>444</v>
      </c>
    </row>
    <row r="240" spans="1:10" ht="13.5" outlineLevel="1" collapsed="1" thickBot="1" x14ac:dyDescent="0.25">
      <c r="A240" s="1963" t="s">
        <v>1072</v>
      </c>
      <c r="B240" s="1964"/>
      <c r="C240" s="1964"/>
      <c r="D240" s="1964"/>
      <c r="E240" s="1963"/>
      <c r="F240" s="1966">
        <f t="shared" ref="F240:I240" si="11">SUBTOTAL(9,F205:F239)</f>
        <v>15218.250040000001</v>
      </c>
      <c r="G240" s="1965">
        <f t="shared" si="11"/>
        <v>5138.2114699999993</v>
      </c>
      <c r="H240" s="1965">
        <f t="shared" si="11"/>
        <v>681.44438000000002</v>
      </c>
      <c r="I240" s="1965">
        <f t="shared" si="11"/>
        <v>473.23647999999997</v>
      </c>
    </row>
    <row r="241" spans="1:10" ht="12.75" hidden="1" outlineLevel="2" x14ac:dyDescent="0.2">
      <c r="A241" s="1967" t="s">
        <v>1073</v>
      </c>
      <c r="B241" s="1967" t="s">
        <v>1074</v>
      </c>
      <c r="C241" s="1967" t="s">
        <v>1075</v>
      </c>
      <c r="D241" s="1967" t="s">
        <v>1076</v>
      </c>
      <c r="E241" s="1967" t="s">
        <v>901</v>
      </c>
      <c r="F241" s="1969">
        <v>15983.008169999999</v>
      </c>
      <c r="G241" s="1962">
        <v>0</v>
      </c>
      <c r="H241" s="1962">
        <v>0</v>
      </c>
      <c r="I241" s="1962">
        <v>0</v>
      </c>
      <c r="J241" s="1953" t="str">
        <f>LEFT(A241,3)</f>
        <v>447</v>
      </c>
    </row>
    <row r="242" spans="1:10" ht="12.75" hidden="1" outlineLevel="2" x14ac:dyDescent="0.2">
      <c r="A242" s="1961" t="s">
        <v>1073</v>
      </c>
      <c r="B242" s="1961" t="s">
        <v>1074</v>
      </c>
      <c r="C242" s="1961" t="s">
        <v>1077</v>
      </c>
      <c r="D242" s="1961" t="s">
        <v>1078</v>
      </c>
      <c r="E242" s="1961" t="s">
        <v>920</v>
      </c>
      <c r="F242" s="1969">
        <v>-44.926229999999997</v>
      </c>
      <c r="G242" s="1962">
        <v>0</v>
      </c>
      <c r="H242" s="1962">
        <v>0</v>
      </c>
      <c r="I242" s="1962">
        <v>0</v>
      </c>
      <c r="J242" s="1953" t="str">
        <f>LEFT(A242,3)</f>
        <v>447</v>
      </c>
    </row>
    <row r="243" spans="1:10" ht="13.5" outlineLevel="1" collapsed="1" thickBot="1" x14ac:dyDescent="0.25">
      <c r="A243" s="1963" t="s">
        <v>1079</v>
      </c>
      <c r="B243" s="1964"/>
      <c r="C243" s="1964"/>
      <c r="D243" s="1964"/>
      <c r="E243" s="1963"/>
      <c r="F243" s="1966">
        <f t="shared" ref="F243:I243" si="12">SUBTOTAL(9,F241:F242)</f>
        <v>15938.08194</v>
      </c>
      <c r="G243" s="1965">
        <f t="shared" si="12"/>
        <v>0</v>
      </c>
      <c r="H243" s="1965">
        <f t="shared" si="12"/>
        <v>0</v>
      </c>
      <c r="I243" s="1965">
        <f t="shared" si="12"/>
        <v>0</v>
      </c>
      <c r="J243" s="1953" t="str">
        <f>LEFT(A243,4)</f>
        <v xml:space="preserve"> 447</v>
      </c>
    </row>
    <row r="244" spans="1:10" ht="12.75" hidden="1" outlineLevel="2" x14ac:dyDescent="0.2">
      <c r="A244" s="1967" t="s">
        <v>1080</v>
      </c>
      <c r="B244" s="1967" t="s">
        <v>1081</v>
      </c>
      <c r="C244" s="1967" t="s">
        <v>1082</v>
      </c>
      <c r="D244" s="1967" t="s">
        <v>1081</v>
      </c>
      <c r="E244" s="1967" t="s">
        <v>1083</v>
      </c>
      <c r="F244" s="1969">
        <v>20719.372459999999</v>
      </c>
      <c r="G244" s="1962">
        <v>5613.684475187536</v>
      </c>
      <c r="H244" s="1962">
        <v>1578.3829179081613</v>
      </c>
      <c r="I244" s="1962">
        <v>1121.6714345853227</v>
      </c>
      <c r="J244" s="1953" t="str">
        <f>LEFT(A244,3)</f>
        <v>447</v>
      </c>
    </row>
    <row r="245" spans="1:10" ht="13.5" outlineLevel="1" collapsed="1" thickBot="1" x14ac:dyDescent="0.25">
      <c r="A245" s="1963" t="s">
        <v>1084</v>
      </c>
      <c r="B245" s="1963"/>
      <c r="C245" s="1963"/>
      <c r="D245" s="1963"/>
      <c r="E245" s="1963"/>
      <c r="F245" s="1966">
        <f t="shared" ref="F245:I245" si="13">SUBTOTAL(9,F244:F244)</f>
        <v>20719.372459999999</v>
      </c>
      <c r="G245" s="1970">
        <f t="shared" si="13"/>
        <v>5613.684475187536</v>
      </c>
      <c r="H245" s="1970">
        <f t="shared" si="13"/>
        <v>1578.3829179081613</v>
      </c>
      <c r="I245" s="1970">
        <f t="shared" si="13"/>
        <v>1121.6714345853227</v>
      </c>
      <c r="J245" s="1953" t="str">
        <f>LEFT(A245,4)</f>
        <v xml:space="preserve"> 447</v>
      </c>
    </row>
    <row r="246" spans="1:10" ht="12.75" hidden="1" outlineLevel="2" x14ac:dyDescent="0.2">
      <c r="A246" s="1967" t="s">
        <v>1085</v>
      </c>
      <c r="B246" s="1967" t="s">
        <v>1086</v>
      </c>
      <c r="C246" s="1967" t="s">
        <v>1087</v>
      </c>
      <c r="D246" s="1967" t="s">
        <v>1088</v>
      </c>
      <c r="E246" s="1967" t="s">
        <v>1083</v>
      </c>
      <c r="F246" s="1969">
        <v>204034.70457</v>
      </c>
      <c r="G246" s="1962">
        <v>55280.943264827263</v>
      </c>
      <c r="H246" s="1962">
        <v>15543.17791117725</v>
      </c>
      <c r="I246" s="1962">
        <v>11045.696495975071</v>
      </c>
      <c r="J246" s="1953" t="str">
        <f t="shared" ref="J246:J253" si="14">LEFT(A246,3)</f>
        <v>447</v>
      </c>
    </row>
    <row r="247" spans="1:10" ht="12.75" hidden="1" outlineLevel="2" x14ac:dyDescent="0.2">
      <c r="A247" s="1961" t="s">
        <v>1085</v>
      </c>
      <c r="B247" s="1961" t="s">
        <v>1086</v>
      </c>
      <c r="C247" s="1961" t="s">
        <v>1089</v>
      </c>
      <c r="D247" s="1961" t="s">
        <v>1090</v>
      </c>
      <c r="E247" s="1961" t="s">
        <v>1083</v>
      </c>
      <c r="F247" s="1969">
        <v>11.2</v>
      </c>
      <c r="G247" s="1962">
        <v>3.0345159460539182</v>
      </c>
      <c r="H247" s="1962">
        <v>0.85320579639656735</v>
      </c>
      <c r="I247" s="1962">
        <v>0.60632724719866415</v>
      </c>
      <c r="J247" s="1953" t="str">
        <f t="shared" si="14"/>
        <v>447</v>
      </c>
    </row>
    <row r="248" spans="1:10" ht="12.75" hidden="1" outlineLevel="2" x14ac:dyDescent="0.2">
      <c r="A248" s="1961" t="s">
        <v>1085</v>
      </c>
      <c r="B248" s="1961" t="s">
        <v>1086</v>
      </c>
      <c r="C248" s="1961" t="s">
        <v>1091</v>
      </c>
      <c r="D248" s="1961" t="s">
        <v>1092</v>
      </c>
      <c r="E248" s="1961" t="s">
        <v>1083</v>
      </c>
      <c r="F248" s="1969">
        <v>-2391.63</v>
      </c>
      <c r="G248" s="1962">
        <v>-647.98565821972625</v>
      </c>
      <c r="H248" s="1962">
        <v>-182.19219453892165</v>
      </c>
      <c r="I248" s="1962">
        <v>-129.47414591229833</v>
      </c>
      <c r="J248" s="1953" t="str">
        <f t="shared" si="14"/>
        <v>447</v>
      </c>
    </row>
    <row r="249" spans="1:10" ht="12.75" hidden="1" outlineLevel="2" x14ac:dyDescent="0.2">
      <c r="A249" s="1961" t="s">
        <v>1085</v>
      </c>
      <c r="B249" s="1961" t="s">
        <v>1086</v>
      </c>
      <c r="C249" s="1961" t="s">
        <v>1093</v>
      </c>
      <c r="D249" s="1961" t="s">
        <v>1094</v>
      </c>
      <c r="E249" s="1961" t="s">
        <v>1083</v>
      </c>
      <c r="F249" s="1969">
        <v>-32774.807079999999</v>
      </c>
      <c r="G249" s="1962">
        <v>-8879.9709565268622</v>
      </c>
      <c r="H249" s="1962">
        <v>-2496.7549443245766</v>
      </c>
      <c r="I249" s="1962">
        <v>-1774.308799489615</v>
      </c>
      <c r="J249" s="1953" t="str">
        <f t="shared" si="14"/>
        <v>447</v>
      </c>
    </row>
    <row r="250" spans="1:10" ht="12.75" hidden="1" outlineLevel="2" x14ac:dyDescent="0.2">
      <c r="A250" s="1961" t="s">
        <v>1085</v>
      </c>
      <c r="B250" s="1961" t="s">
        <v>1086</v>
      </c>
      <c r="C250" s="1961" t="s">
        <v>1095</v>
      </c>
      <c r="D250" s="1961" t="s">
        <v>1096</v>
      </c>
      <c r="E250" s="1961" t="s">
        <v>1083</v>
      </c>
      <c r="F250" s="1969">
        <v>6421.0481499999996</v>
      </c>
      <c r="G250" s="1962">
        <v>1739.7118751388405</v>
      </c>
      <c r="H250" s="1962">
        <v>489.14959826084424</v>
      </c>
      <c r="I250" s="1962">
        <v>347.61218293924776</v>
      </c>
      <c r="J250" s="1953" t="str">
        <f t="shared" si="14"/>
        <v>447</v>
      </c>
    </row>
    <row r="251" spans="1:10" ht="12.75" hidden="1" outlineLevel="2" x14ac:dyDescent="0.2">
      <c r="A251" s="1961" t="s">
        <v>1085</v>
      </c>
      <c r="B251" s="1961" t="s">
        <v>1086</v>
      </c>
      <c r="C251" s="1961" t="s">
        <v>1097</v>
      </c>
      <c r="D251" s="1961" t="s">
        <v>1098</v>
      </c>
      <c r="E251" s="1961" t="s">
        <v>1083</v>
      </c>
      <c r="F251" s="1969">
        <v>5.8695399999999998</v>
      </c>
      <c r="G251" s="1962">
        <v>1.5902868505358319</v>
      </c>
      <c r="H251" s="1962">
        <v>0.44713620983763469</v>
      </c>
      <c r="I251" s="1962">
        <v>0.31775553843950421</v>
      </c>
      <c r="J251" s="1953" t="str">
        <f t="shared" si="14"/>
        <v>447</v>
      </c>
    </row>
    <row r="252" spans="1:10" ht="12.75" hidden="1" outlineLevel="2" x14ac:dyDescent="0.2">
      <c r="A252" s="1961" t="s">
        <v>1085</v>
      </c>
      <c r="B252" s="1961" t="s">
        <v>1086</v>
      </c>
      <c r="C252" s="1961" t="s">
        <v>1099</v>
      </c>
      <c r="D252" s="1961" t="s">
        <v>1100</v>
      </c>
      <c r="E252" s="1961" t="s">
        <v>1083</v>
      </c>
      <c r="F252" s="1969">
        <v>60.796999999999997</v>
      </c>
      <c r="G252" s="1962">
        <v>16.472273747521434</v>
      </c>
      <c r="H252" s="1962">
        <v>4.631460071743045</v>
      </c>
      <c r="I252" s="1962">
        <v>3.2913283614229627</v>
      </c>
      <c r="J252" s="1953" t="str">
        <f t="shared" si="14"/>
        <v>447</v>
      </c>
    </row>
    <row r="253" spans="1:10" ht="12.75" hidden="1" outlineLevel="2" x14ac:dyDescent="0.2">
      <c r="A253" s="1961" t="s">
        <v>1085</v>
      </c>
      <c r="B253" s="1961" t="s">
        <v>1086</v>
      </c>
      <c r="C253" s="1961" t="s">
        <v>1101</v>
      </c>
      <c r="D253" s="1961" t="s">
        <v>1102</v>
      </c>
      <c r="E253" s="1961" t="s">
        <v>1083</v>
      </c>
      <c r="F253" s="1969">
        <v>21695.794099999999</v>
      </c>
      <c r="G253" s="1962">
        <v>5878.235103460047</v>
      </c>
      <c r="H253" s="1962">
        <v>1652.7658288880757</v>
      </c>
      <c r="I253" s="1962">
        <v>1174.5313493251801</v>
      </c>
      <c r="J253" s="1953" t="str">
        <f t="shared" si="14"/>
        <v>447</v>
      </c>
    </row>
    <row r="254" spans="1:10" ht="13.5" outlineLevel="1" collapsed="1" thickBot="1" x14ac:dyDescent="0.25">
      <c r="A254" s="1963" t="s">
        <v>1103</v>
      </c>
      <c r="B254" s="1964"/>
      <c r="C254" s="1964"/>
      <c r="D254" s="1964"/>
      <c r="E254" s="1963"/>
      <c r="F254" s="1966">
        <f t="shared" ref="F254:I254" si="15">SUBTOTAL(9,F246:F253)</f>
        <v>197062.97628</v>
      </c>
      <c r="G254" s="1965">
        <f t="shared" si="15"/>
        <v>53392.030705223675</v>
      </c>
      <c r="H254" s="1965">
        <f t="shared" si="15"/>
        <v>15012.078001540649</v>
      </c>
      <c r="I254" s="1965">
        <f t="shared" si="15"/>
        <v>10668.272493984645</v>
      </c>
      <c r="J254" s="1953" t="str">
        <f>LEFT(A254,4)</f>
        <v xml:space="preserve"> 447</v>
      </c>
    </row>
    <row r="255" spans="1:10" ht="12.75" hidden="1" outlineLevel="2" x14ac:dyDescent="0.2">
      <c r="A255" s="1967" t="s">
        <v>1104</v>
      </c>
      <c r="B255" s="1967" t="s">
        <v>1105</v>
      </c>
      <c r="C255" s="1967" t="s">
        <v>1106</v>
      </c>
      <c r="D255" s="1967" t="s">
        <v>1107</v>
      </c>
      <c r="E255" s="1967" t="s">
        <v>1083</v>
      </c>
      <c r="F255" s="1969">
        <v>-41423.070299999999</v>
      </c>
      <c r="G255" s="1962">
        <v>-11223.122085702007</v>
      </c>
      <c r="H255" s="1962">
        <v>-3155.5717575448662</v>
      </c>
      <c r="I255" s="1962">
        <v>-2242.4943022781913</v>
      </c>
      <c r="J255" s="1953" t="str">
        <f>LEFT(A255,3)</f>
        <v>447</v>
      </c>
    </row>
    <row r="256" spans="1:10" ht="12.75" hidden="1" outlineLevel="2" x14ac:dyDescent="0.2">
      <c r="A256" s="1961" t="s">
        <v>1104</v>
      </c>
      <c r="B256" s="1961" t="s">
        <v>1105</v>
      </c>
      <c r="C256" s="1961" t="s">
        <v>1108</v>
      </c>
      <c r="D256" s="1961" t="s">
        <v>1109</v>
      </c>
      <c r="E256" s="1961" t="s">
        <v>1083</v>
      </c>
      <c r="F256" s="1969">
        <v>27200.931499999999</v>
      </c>
      <c r="G256" s="1962">
        <v>7369.7911057384226</v>
      </c>
      <c r="H256" s="1962">
        <v>2072.1421806416051</v>
      </c>
      <c r="I256" s="1962">
        <v>1472.5594569316456</v>
      </c>
      <c r="J256" s="1953" t="str">
        <f>LEFT(A256,3)</f>
        <v>447</v>
      </c>
    </row>
    <row r="257" spans="1:10" ht="12.75" hidden="1" outlineLevel="2" x14ac:dyDescent="0.2">
      <c r="A257" s="1961" t="s">
        <v>1104</v>
      </c>
      <c r="B257" s="1961" t="s">
        <v>1105</v>
      </c>
      <c r="C257" s="1961" t="s">
        <v>1110</v>
      </c>
      <c r="D257" s="1961" t="s">
        <v>1111</v>
      </c>
      <c r="E257" s="1961" t="s">
        <v>1083</v>
      </c>
      <c r="F257" s="1969">
        <v>-27200.931499999999</v>
      </c>
      <c r="G257" s="1962">
        <v>-7369.7911057384226</v>
      </c>
      <c r="H257" s="1962">
        <v>-2072.1421806416051</v>
      </c>
      <c r="I257" s="1962">
        <v>-1472.5594569316456</v>
      </c>
      <c r="J257" s="1953" t="str">
        <f>LEFT(A257,3)</f>
        <v>447</v>
      </c>
    </row>
    <row r="258" spans="1:10" ht="13.5" outlineLevel="1" collapsed="1" thickBot="1" x14ac:dyDescent="0.25">
      <c r="A258" s="1963" t="s">
        <v>1112</v>
      </c>
      <c r="B258" s="1964"/>
      <c r="C258" s="1964"/>
      <c r="D258" s="1964"/>
      <c r="E258" s="1963"/>
      <c r="F258" s="1966">
        <f t="shared" ref="F258:I258" si="16">SUBTOTAL(9,F255:F257)</f>
        <v>-41423.070299999999</v>
      </c>
      <c r="G258" s="1965">
        <f t="shared" si="16"/>
        <v>-11223.122085702007</v>
      </c>
      <c r="H258" s="1965">
        <f t="shared" si="16"/>
        <v>-3155.5717575448662</v>
      </c>
      <c r="I258" s="1965">
        <f t="shared" si="16"/>
        <v>-2242.4943022781913</v>
      </c>
      <c r="J258" s="1953" t="str">
        <f>LEFT(A258,4)</f>
        <v xml:space="preserve"> 447</v>
      </c>
    </row>
    <row r="259" spans="1:10" ht="12.75" hidden="1" outlineLevel="2" x14ac:dyDescent="0.2">
      <c r="A259" s="1967" t="s">
        <v>1113</v>
      </c>
      <c r="B259" s="1967" t="s">
        <v>1114</v>
      </c>
      <c r="C259" s="1967" t="s">
        <v>1115</v>
      </c>
      <c r="D259" s="1967" t="s">
        <v>1116</v>
      </c>
      <c r="E259" s="1967" t="s">
        <v>906</v>
      </c>
      <c r="F259" s="1969">
        <v>-521.83771000000002</v>
      </c>
      <c r="G259" s="1962">
        <v>-134.82826702146784</v>
      </c>
      <c r="H259" s="1962">
        <v>-37.265005965476433</v>
      </c>
      <c r="I259" s="1962">
        <v>-30.794864578219425</v>
      </c>
      <c r="J259" s="1953" t="str">
        <f>LEFT(A259,3)</f>
        <v>447</v>
      </c>
    </row>
    <row r="260" spans="1:10" ht="13.5" outlineLevel="1" collapsed="1" thickBot="1" x14ac:dyDescent="0.25">
      <c r="A260" s="1963" t="s">
        <v>1117</v>
      </c>
      <c r="B260" s="1963"/>
      <c r="C260" s="1963"/>
      <c r="D260" s="1963"/>
      <c r="E260" s="1963"/>
      <c r="F260" s="1966">
        <f t="shared" ref="F260:I260" si="17">SUBTOTAL(9,F259:F259)</f>
        <v>-521.83771000000002</v>
      </c>
      <c r="G260" s="1970">
        <f t="shared" si="17"/>
        <v>-134.82826702146784</v>
      </c>
      <c r="H260" s="1970">
        <f t="shared" si="17"/>
        <v>-37.265005965476433</v>
      </c>
      <c r="I260" s="1970">
        <f t="shared" si="17"/>
        <v>-30.794864578219425</v>
      </c>
      <c r="J260" s="1953" t="str">
        <f>LEFT(A260,4)</f>
        <v xml:space="preserve"> 447</v>
      </c>
    </row>
    <row r="261" spans="1:10" ht="12.75" hidden="1" outlineLevel="2" x14ac:dyDescent="0.2">
      <c r="A261" s="1967" t="s">
        <v>1118</v>
      </c>
      <c r="B261" s="1967" t="s">
        <v>1119</v>
      </c>
      <c r="C261" s="1967" t="s">
        <v>1120</v>
      </c>
      <c r="D261" s="1967" t="s">
        <v>1119</v>
      </c>
      <c r="E261" s="1967" t="s">
        <v>1083</v>
      </c>
      <c r="F261" s="1969">
        <v>214.11928</v>
      </c>
      <c r="G261" s="1962">
        <v>58.013247278355706</v>
      </c>
      <c r="H261" s="1962">
        <v>16.311411680023181</v>
      </c>
      <c r="I261" s="1962">
        <v>11.591638715585713</v>
      </c>
      <c r="J261" s="1953" t="str">
        <f>LEFT(A261,3)</f>
        <v>447</v>
      </c>
    </row>
    <row r="262" spans="1:10" ht="12.75" hidden="1" outlineLevel="2" x14ac:dyDescent="0.2">
      <c r="A262" s="1961" t="s">
        <v>1118</v>
      </c>
      <c r="B262" s="1961" t="s">
        <v>1119</v>
      </c>
      <c r="C262" s="1961" t="s">
        <v>1121</v>
      </c>
      <c r="D262" s="1961" t="s">
        <v>1122</v>
      </c>
      <c r="E262" s="1961" t="s">
        <v>1083</v>
      </c>
      <c r="F262" s="1969">
        <v>114.16983999999999</v>
      </c>
      <c r="G262" s="1962">
        <v>30.933053574859329</v>
      </c>
      <c r="H262" s="1962">
        <v>8.6973543983632737</v>
      </c>
      <c r="I262" s="1962">
        <v>6.1807397143135656</v>
      </c>
      <c r="J262" s="1953" t="str">
        <f>LEFT(A262,3)</f>
        <v>447</v>
      </c>
    </row>
    <row r="263" spans="1:10" ht="13.5" outlineLevel="1" collapsed="1" thickBot="1" x14ac:dyDescent="0.25">
      <c r="A263" s="1963" t="s">
        <v>1123</v>
      </c>
      <c r="B263" s="1964"/>
      <c r="C263" s="1964"/>
      <c r="D263" s="1964"/>
      <c r="E263" s="1963"/>
      <c r="F263" s="1966">
        <f t="shared" ref="F263:I263" si="18">SUBTOTAL(9,F261:F262)</f>
        <v>328.28912000000003</v>
      </c>
      <c r="G263" s="1965">
        <f t="shared" si="18"/>
        <v>88.946300853215035</v>
      </c>
      <c r="H263" s="1965">
        <f t="shared" si="18"/>
        <v>25.008766078386454</v>
      </c>
      <c r="I263" s="1965">
        <f t="shared" si="18"/>
        <v>17.772378429899277</v>
      </c>
      <c r="J263" s="1953" t="str">
        <f>LEFT(A263,4)</f>
        <v xml:space="preserve"> 447</v>
      </c>
    </row>
    <row r="264" spans="1:10" ht="12.75" hidden="1" outlineLevel="2" x14ac:dyDescent="0.2">
      <c r="A264" s="1967" t="s">
        <v>1124</v>
      </c>
      <c r="B264" s="1967" t="s">
        <v>1125</v>
      </c>
      <c r="C264" s="1967" t="s">
        <v>1126</v>
      </c>
      <c r="D264" s="1967" t="s">
        <v>1125</v>
      </c>
      <c r="E264" s="1967" t="s">
        <v>1083</v>
      </c>
      <c r="F264" s="1969">
        <v>40.634999999999998</v>
      </c>
      <c r="G264" s="1962">
        <v>11.009603166776873</v>
      </c>
      <c r="H264" s="1962">
        <v>3.0955372800512961</v>
      </c>
      <c r="I264" s="1962">
        <v>2.1998310437426531</v>
      </c>
      <c r="J264" s="1953" t="str">
        <f>LEFT(A264,3)</f>
        <v>447</v>
      </c>
    </row>
    <row r="265" spans="1:10" ht="13.5" outlineLevel="1" collapsed="1" thickBot="1" x14ac:dyDescent="0.25">
      <c r="A265" s="1963" t="s">
        <v>1127</v>
      </c>
      <c r="B265" s="1963"/>
      <c r="C265" s="1963"/>
      <c r="D265" s="1963"/>
      <c r="E265" s="1963"/>
      <c r="F265" s="1966">
        <f t="shared" ref="F265:I265" si="19">SUBTOTAL(9,F264:F264)</f>
        <v>40.634999999999998</v>
      </c>
      <c r="G265" s="1970">
        <f t="shared" si="19"/>
        <v>11.009603166776873</v>
      </c>
      <c r="H265" s="1970">
        <f t="shared" si="19"/>
        <v>3.0955372800512961</v>
      </c>
      <c r="I265" s="1970">
        <f t="shared" si="19"/>
        <v>2.1998310437426531</v>
      </c>
      <c r="J265" s="1953" t="str">
        <f>LEFT(A265,4)</f>
        <v xml:space="preserve"> 447</v>
      </c>
    </row>
    <row r="266" spans="1:10" ht="12.75" hidden="1" outlineLevel="2" x14ac:dyDescent="0.2">
      <c r="A266" s="1967" t="s">
        <v>1128</v>
      </c>
      <c r="B266" s="1967" t="s">
        <v>1129</v>
      </c>
      <c r="C266" s="1967" t="s">
        <v>1130</v>
      </c>
      <c r="D266" s="1967" t="s">
        <v>1131</v>
      </c>
      <c r="E266" s="1967" t="s">
        <v>901</v>
      </c>
      <c r="F266" s="1969">
        <v>70.083299999999994</v>
      </c>
      <c r="G266" s="1962">
        <v>0</v>
      </c>
      <c r="H266" s="1962">
        <v>0</v>
      </c>
      <c r="I266" s="1962">
        <v>0</v>
      </c>
      <c r="J266" s="1953" t="str">
        <f>LEFT(A266,3)</f>
        <v>447</v>
      </c>
    </row>
    <row r="267" spans="1:10" ht="13.5" outlineLevel="1" collapsed="1" thickBot="1" x14ac:dyDescent="0.25">
      <c r="A267" s="1963" t="s">
        <v>1132</v>
      </c>
      <c r="B267" s="1963"/>
      <c r="C267" s="1963"/>
      <c r="D267" s="1963"/>
      <c r="E267" s="1963"/>
      <c r="F267" s="1966">
        <f t="shared" ref="F267:I267" si="20">SUBTOTAL(9,F266:F266)</f>
        <v>70.083299999999994</v>
      </c>
      <c r="G267" s="1970">
        <f t="shared" si="20"/>
        <v>0</v>
      </c>
      <c r="H267" s="1970">
        <f t="shared" si="20"/>
        <v>0</v>
      </c>
      <c r="I267" s="1970">
        <f t="shared" si="20"/>
        <v>0</v>
      </c>
      <c r="J267" s="1953" t="str">
        <f>LEFT(A267,4)</f>
        <v xml:space="preserve"> 447</v>
      </c>
    </row>
    <row r="268" spans="1:10" ht="12.75" hidden="1" outlineLevel="2" x14ac:dyDescent="0.2">
      <c r="A268" s="1967" t="s">
        <v>1133</v>
      </c>
      <c r="B268" s="1967" t="s">
        <v>1134</v>
      </c>
      <c r="C268" s="1967" t="s">
        <v>1135</v>
      </c>
      <c r="D268" s="1967" t="s">
        <v>1136</v>
      </c>
      <c r="E268" s="1967" t="s">
        <v>918</v>
      </c>
      <c r="F268" s="1969">
        <v>256.40791999999999</v>
      </c>
      <c r="G268" s="1962">
        <v>0</v>
      </c>
      <c r="H268" s="1962">
        <v>0</v>
      </c>
      <c r="I268" s="1962">
        <v>0</v>
      </c>
      <c r="J268" s="1953" t="str">
        <f t="shared" ref="J268:J274" si="21">LEFT(A268,3)</f>
        <v>450</v>
      </c>
    </row>
    <row r="269" spans="1:10" ht="12.75" hidden="1" outlineLevel="2" x14ac:dyDescent="0.2">
      <c r="A269" s="1961" t="s">
        <v>1133</v>
      </c>
      <c r="B269" s="1961" t="s">
        <v>1134</v>
      </c>
      <c r="C269" s="1961" t="s">
        <v>1135</v>
      </c>
      <c r="D269" s="1961" t="s">
        <v>1136</v>
      </c>
      <c r="E269" s="1961" t="s">
        <v>919</v>
      </c>
      <c r="F269" s="1969">
        <v>315.12187</v>
      </c>
      <c r="G269" s="1962">
        <v>0</v>
      </c>
      <c r="H269" s="1962">
        <v>0</v>
      </c>
      <c r="I269" s="1962">
        <v>315.12187</v>
      </c>
      <c r="J269" s="1953" t="str">
        <f t="shared" si="21"/>
        <v>450</v>
      </c>
    </row>
    <row r="270" spans="1:10" ht="12.75" hidden="1" outlineLevel="2" x14ac:dyDescent="0.2">
      <c r="A270" s="1961" t="s">
        <v>1133</v>
      </c>
      <c r="B270" s="1961" t="s">
        <v>1134</v>
      </c>
      <c r="C270" s="1961" t="s">
        <v>1135</v>
      </c>
      <c r="D270" s="1961" t="s">
        <v>1136</v>
      </c>
      <c r="E270" s="1961" t="s">
        <v>912</v>
      </c>
      <c r="F270" s="1969">
        <v>5662.2849800000004</v>
      </c>
      <c r="G270" s="1962">
        <v>5662.2849800000004</v>
      </c>
      <c r="H270" s="1962">
        <v>0</v>
      </c>
      <c r="I270" s="1962">
        <v>0</v>
      </c>
      <c r="J270" s="1953" t="str">
        <f t="shared" si="21"/>
        <v>450</v>
      </c>
    </row>
    <row r="271" spans="1:10" ht="12.75" hidden="1" outlineLevel="2" x14ac:dyDescent="0.2">
      <c r="A271" s="1961" t="s">
        <v>1133</v>
      </c>
      <c r="B271" s="1961" t="s">
        <v>1134</v>
      </c>
      <c r="C271" s="1961" t="s">
        <v>1135</v>
      </c>
      <c r="D271" s="1961" t="s">
        <v>1136</v>
      </c>
      <c r="E271" s="1961" t="s">
        <v>920</v>
      </c>
      <c r="F271" s="1969">
        <v>3872.78505</v>
      </c>
      <c r="G271" s="1962">
        <v>0</v>
      </c>
      <c r="H271" s="1962">
        <v>0</v>
      </c>
      <c r="I271" s="1962">
        <v>0</v>
      </c>
      <c r="J271" s="1953" t="str">
        <f t="shared" si="21"/>
        <v>450</v>
      </c>
    </row>
    <row r="272" spans="1:10" ht="12.75" hidden="1" outlineLevel="2" x14ac:dyDescent="0.2">
      <c r="A272" s="1961" t="s">
        <v>1133</v>
      </c>
      <c r="B272" s="1961" t="s">
        <v>1134</v>
      </c>
      <c r="C272" s="1961" t="s">
        <v>1135</v>
      </c>
      <c r="D272" s="1961" t="s">
        <v>1136</v>
      </c>
      <c r="E272" s="1961" t="s">
        <v>921</v>
      </c>
      <c r="F272" s="1969">
        <v>20.629069999999999</v>
      </c>
      <c r="G272" s="1962">
        <v>0</v>
      </c>
      <c r="H272" s="1962">
        <v>20.629069999999999</v>
      </c>
      <c r="I272" s="1962">
        <v>0</v>
      </c>
      <c r="J272" s="1953" t="str">
        <f t="shared" si="21"/>
        <v>450</v>
      </c>
    </row>
    <row r="273" spans="1:10" ht="12.75" hidden="1" outlineLevel="2" x14ac:dyDescent="0.2">
      <c r="A273" s="1961" t="s">
        <v>1133</v>
      </c>
      <c r="B273" s="1961" t="s">
        <v>1134</v>
      </c>
      <c r="C273" s="1961" t="s">
        <v>1135</v>
      </c>
      <c r="D273" s="1961" t="s">
        <v>1136</v>
      </c>
      <c r="E273" s="1961" t="s">
        <v>922</v>
      </c>
      <c r="F273" s="1969">
        <v>728.0154</v>
      </c>
      <c r="G273" s="1962">
        <v>0</v>
      </c>
      <c r="H273" s="1962">
        <v>0</v>
      </c>
      <c r="I273" s="1962">
        <v>0</v>
      </c>
      <c r="J273" s="1953" t="str">
        <f t="shared" si="21"/>
        <v>450</v>
      </c>
    </row>
    <row r="274" spans="1:10" ht="12.75" hidden="1" outlineLevel="2" x14ac:dyDescent="0.2">
      <c r="A274" s="1961" t="s">
        <v>1133</v>
      </c>
      <c r="B274" s="1961" t="s">
        <v>1134</v>
      </c>
      <c r="C274" s="1961" t="s">
        <v>1135</v>
      </c>
      <c r="D274" s="1961" t="s">
        <v>1136</v>
      </c>
      <c r="E274" s="1961" t="s">
        <v>923</v>
      </c>
      <c r="F274" s="1969">
        <v>82.562920000000005</v>
      </c>
      <c r="G274" s="1962">
        <v>0</v>
      </c>
      <c r="H274" s="1962">
        <v>0</v>
      </c>
      <c r="I274" s="1962">
        <v>0</v>
      </c>
      <c r="J274" s="1953" t="str">
        <f t="shared" si="21"/>
        <v>450</v>
      </c>
    </row>
    <row r="275" spans="1:10" ht="13.5" outlineLevel="1" collapsed="1" thickBot="1" x14ac:dyDescent="0.25">
      <c r="A275" s="1963" t="s">
        <v>1137</v>
      </c>
      <c r="B275" s="1964"/>
      <c r="C275" s="1964"/>
      <c r="D275" s="1964"/>
      <c r="E275" s="1963"/>
      <c r="F275" s="1966">
        <f t="shared" ref="F275:I275" si="22">SUBTOTAL(9,F268:F274)</f>
        <v>10937.807210000003</v>
      </c>
      <c r="G275" s="1965">
        <f t="shared" si="22"/>
        <v>5662.2849800000004</v>
      </c>
      <c r="H275" s="1965">
        <f t="shared" si="22"/>
        <v>20.629069999999999</v>
      </c>
      <c r="I275" s="1965">
        <f t="shared" si="22"/>
        <v>315.12187</v>
      </c>
      <c r="J275" s="1953" t="str">
        <f>LEFT(A275,4)</f>
        <v xml:space="preserve"> 450</v>
      </c>
    </row>
    <row r="276" spans="1:10" ht="12.75" hidden="1" outlineLevel="2" x14ac:dyDescent="0.2">
      <c r="A276" s="1967" t="s">
        <v>1138</v>
      </c>
      <c r="B276" s="1967" t="s">
        <v>1139</v>
      </c>
      <c r="C276" s="1967" t="s">
        <v>1140</v>
      </c>
      <c r="D276" s="1967" t="s">
        <v>1141</v>
      </c>
      <c r="E276" s="1967" t="s">
        <v>918</v>
      </c>
      <c r="F276" s="1969">
        <v>181.0796</v>
      </c>
      <c r="G276" s="1962">
        <v>0</v>
      </c>
      <c r="H276" s="1962">
        <v>0</v>
      </c>
      <c r="I276" s="1962">
        <v>0</v>
      </c>
      <c r="J276" s="1953" t="str">
        <f t="shared" ref="J276:J282" si="23">LEFT(A276,3)</f>
        <v>450</v>
      </c>
    </row>
    <row r="277" spans="1:10" ht="12.75" hidden="1" outlineLevel="2" x14ac:dyDescent="0.2">
      <c r="A277" s="1961" t="s">
        <v>1138</v>
      </c>
      <c r="B277" s="1961" t="s">
        <v>1139</v>
      </c>
      <c r="C277" s="1961" t="s">
        <v>1140</v>
      </c>
      <c r="D277" s="1961" t="s">
        <v>1141</v>
      </c>
      <c r="E277" s="1961" t="s">
        <v>919</v>
      </c>
      <c r="F277" s="1969">
        <v>39.452039999999997</v>
      </c>
      <c r="G277" s="1962">
        <v>0</v>
      </c>
      <c r="H277" s="1962">
        <v>0</v>
      </c>
      <c r="I277" s="1962">
        <v>39.452039999999997</v>
      </c>
      <c r="J277" s="1953" t="str">
        <f t="shared" si="23"/>
        <v>450</v>
      </c>
    </row>
    <row r="278" spans="1:10" ht="12.75" hidden="1" outlineLevel="2" x14ac:dyDescent="0.2">
      <c r="A278" s="1961" t="s">
        <v>1138</v>
      </c>
      <c r="B278" s="1961" t="s">
        <v>1139</v>
      </c>
      <c r="C278" s="1961" t="s">
        <v>1140</v>
      </c>
      <c r="D278" s="1961" t="s">
        <v>1141</v>
      </c>
      <c r="E278" s="1961" t="s">
        <v>912</v>
      </c>
      <c r="F278" s="1969">
        <v>2005.2703200000001</v>
      </c>
      <c r="G278" s="1962">
        <v>2005.2703200000001</v>
      </c>
      <c r="H278" s="1962">
        <v>0</v>
      </c>
      <c r="I278" s="1962">
        <v>0</v>
      </c>
      <c r="J278" s="1953" t="str">
        <f t="shared" si="23"/>
        <v>450</v>
      </c>
    </row>
    <row r="279" spans="1:10" ht="12.75" hidden="1" outlineLevel="2" x14ac:dyDescent="0.2">
      <c r="A279" s="1961" t="s">
        <v>1138</v>
      </c>
      <c r="B279" s="1961" t="s">
        <v>1139</v>
      </c>
      <c r="C279" s="1961" t="s">
        <v>1140</v>
      </c>
      <c r="D279" s="1961" t="s">
        <v>1141</v>
      </c>
      <c r="E279" s="1961" t="s">
        <v>920</v>
      </c>
      <c r="F279" s="1969">
        <v>1468.99576</v>
      </c>
      <c r="G279" s="1962">
        <v>0</v>
      </c>
      <c r="H279" s="1962">
        <v>0</v>
      </c>
      <c r="I279" s="1962">
        <v>0</v>
      </c>
      <c r="J279" s="1953" t="str">
        <f t="shared" si="23"/>
        <v>450</v>
      </c>
    </row>
    <row r="280" spans="1:10" ht="12.75" hidden="1" outlineLevel="2" x14ac:dyDescent="0.2">
      <c r="A280" s="1961" t="s">
        <v>1138</v>
      </c>
      <c r="B280" s="1961" t="s">
        <v>1139</v>
      </c>
      <c r="C280" s="1961" t="s">
        <v>1140</v>
      </c>
      <c r="D280" s="1961" t="s">
        <v>1141</v>
      </c>
      <c r="E280" s="1961" t="s">
        <v>921</v>
      </c>
      <c r="F280" s="1969">
        <v>1.55779</v>
      </c>
      <c r="G280" s="1962">
        <v>0</v>
      </c>
      <c r="H280" s="1962">
        <v>1.55779</v>
      </c>
      <c r="I280" s="1962">
        <v>0</v>
      </c>
      <c r="J280" s="1953" t="str">
        <f t="shared" si="23"/>
        <v>450</v>
      </c>
    </row>
    <row r="281" spans="1:10" ht="12.75" hidden="1" outlineLevel="2" x14ac:dyDescent="0.2">
      <c r="A281" s="1961" t="s">
        <v>1138</v>
      </c>
      <c r="B281" s="1961" t="s">
        <v>1139</v>
      </c>
      <c r="C281" s="1961" t="s">
        <v>1140</v>
      </c>
      <c r="D281" s="1961" t="s">
        <v>1141</v>
      </c>
      <c r="E281" s="1961" t="s">
        <v>922</v>
      </c>
      <c r="F281" s="1969">
        <v>146.31209999999999</v>
      </c>
      <c r="G281" s="1962">
        <v>0</v>
      </c>
      <c r="H281" s="1962">
        <v>0</v>
      </c>
      <c r="I281" s="1962">
        <v>0</v>
      </c>
      <c r="J281" s="1953" t="str">
        <f t="shared" si="23"/>
        <v>450</v>
      </c>
    </row>
    <row r="282" spans="1:10" ht="12.75" hidden="1" outlineLevel="2" x14ac:dyDescent="0.2">
      <c r="A282" s="1961" t="s">
        <v>1138</v>
      </c>
      <c r="B282" s="1961" t="s">
        <v>1139</v>
      </c>
      <c r="C282" s="1961" t="s">
        <v>1140</v>
      </c>
      <c r="D282" s="1961" t="s">
        <v>1141</v>
      </c>
      <c r="E282" s="1961" t="s">
        <v>923</v>
      </c>
      <c r="F282" s="1969">
        <v>50.196669999999997</v>
      </c>
      <c r="G282" s="1962">
        <v>0</v>
      </c>
      <c r="H282" s="1962">
        <v>0</v>
      </c>
      <c r="I282" s="1962">
        <v>0</v>
      </c>
      <c r="J282" s="1953" t="str">
        <f t="shared" si="23"/>
        <v>450</v>
      </c>
    </row>
    <row r="283" spans="1:10" ht="13.5" outlineLevel="1" collapsed="1" thickBot="1" x14ac:dyDescent="0.25">
      <c r="A283" s="1963" t="s">
        <v>1142</v>
      </c>
      <c r="B283" s="1964"/>
      <c r="C283" s="1964"/>
      <c r="D283" s="1964"/>
      <c r="E283" s="1963"/>
      <c r="F283" s="1966">
        <f t="shared" ref="F283:I283" si="24">SUBTOTAL(9,F276:F282)</f>
        <v>3892.8642800000002</v>
      </c>
      <c r="G283" s="1965">
        <f t="shared" si="24"/>
        <v>2005.2703200000001</v>
      </c>
      <c r="H283" s="1965">
        <f t="shared" si="24"/>
        <v>1.55779</v>
      </c>
      <c r="I283" s="1965">
        <f t="shared" si="24"/>
        <v>39.452039999999997</v>
      </c>
      <c r="J283" s="1953" t="str">
        <f>LEFT(A283,4)</f>
        <v xml:space="preserve"> 450</v>
      </c>
    </row>
    <row r="284" spans="1:10" ht="12.75" hidden="1" outlineLevel="2" x14ac:dyDescent="0.2">
      <c r="A284" s="1967" t="s">
        <v>1143</v>
      </c>
      <c r="B284" s="1967" t="s">
        <v>1144</v>
      </c>
      <c r="C284" s="1967" t="s">
        <v>1145</v>
      </c>
      <c r="D284" s="1967" t="s">
        <v>1146</v>
      </c>
      <c r="E284" s="1967" t="s">
        <v>918</v>
      </c>
      <c r="F284" s="1969">
        <v>57.288449999999997</v>
      </c>
      <c r="G284" s="1962">
        <v>0</v>
      </c>
      <c r="H284" s="1962">
        <v>0</v>
      </c>
      <c r="I284" s="1962">
        <v>0</v>
      </c>
      <c r="J284" s="1953" t="str">
        <f t="shared" ref="J284:J290" si="25">LEFT(A284,3)</f>
        <v>450</v>
      </c>
    </row>
    <row r="285" spans="1:10" ht="12.75" hidden="1" outlineLevel="2" x14ac:dyDescent="0.2">
      <c r="A285" s="1961" t="s">
        <v>1143</v>
      </c>
      <c r="B285" s="1961" t="s">
        <v>1144</v>
      </c>
      <c r="C285" s="1961" t="s">
        <v>1145</v>
      </c>
      <c r="D285" s="1961" t="s">
        <v>1146</v>
      </c>
      <c r="E285" s="1961" t="s">
        <v>919</v>
      </c>
      <c r="F285" s="1969">
        <v>63.813360000000003</v>
      </c>
      <c r="G285" s="1962">
        <v>0</v>
      </c>
      <c r="H285" s="1962">
        <v>0</v>
      </c>
      <c r="I285" s="1962">
        <v>63.813360000000003</v>
      </c>
      <c r="J285" s="1953" t="str">
        <f t="shared" si="25"/>
        <v>450</v>
      </c>
    </row>
    <row r="286" spans="1:10" ht="12.75" hidden="1" outlineLevel="2" x14ac:dyDescent="0.2">
      <c r="A286" s="1961" t="s">
        <v>1143</v>
      </c>
      <c r="B286" s="1961" t="s">
        <v>1144</v>
      </c>
      <c r="C286" s="1961" t="s">
        <v>1145</v>
      </c>
      <c r="D286" s="1961" t="s">
        <v>1146</v>
      </c>
      <c r="E286" s="1961" t="s">
        <v>912</v>
      </c>
      <c r="F286" s="1969">
        <v>388.75657999999999</v>
      </c>
      <c r="G286" s="1962">
        <v>388.75657999999999</v>
      </c>
      <c r="H286" s="1962">
        <v>0</v>
      </c>
      <c r="I286" s="1962">
        <v>0</v>
      </c>
      <c r="J286" s="1953" t="str">
        <f t="shared" si="25"/>
        <v>450</v>
      </c>
    </row>
    <row r="287" spans="1:10" ht="12.75" hidden="1" outlineLevel="2" x14ac:dyDescent="0.2">
      <c r="A287" s="1961" t="s">
        <v>1143</v>
      </c>
      <c r="B287" s="1961" t="s">
        <v>1144</v>
      </c>
      <c r="C287" s="1961" t="s">
        <v>1145</v>
      </c>
      <c r="D287" s="1961" t="s">
        <v>1146</v>
      </c>
      <c r="E287" s="1961" t="s">
        <v>920</v>
      </c>
      <c r="F287" s="1969">
        <v>311.07583</v>
      </c>
      <c r="G287" s="1962">
        <v>0</v>
      </c>
      <c r="H287" s="1962">
        <v>0</v>
      </c>
      <c r="I287" s="1962">
        <v>0</v>
      </c>
      <c r="J287" s="1953" t="str">
        <f t="shared" si="25"/>
        <v>450</v>
      </c>
    </row>
    <row r="288" spans="1:10" ht="12.75" hidden="1" outlineLevel="2" x14ac:dyDescent="0.2">
      <c r="A288" s="1961" t="s">
        <v>1143</v>
      </c>
      <c r="B288" s="1961" t="s">
        <v>1144</v>
      </c>
      <c r="C288" s="1961" t="s">
        <v>1145</v>
      </c>
      <c r="D288" s="1961" t="s">
        <v>1146</v>
      </c>
      <c r="E288" s="1961" t="s">
        <v>921</v>
      </c>
      <c r="F288" s="1969">
        <v>7.7258500000000003</v>
      </c>
      <c r="G288" s="1962">
        <v>0</v>
      </c>
      <c r="H288" s="1962">
        <v>7.7258500000000003</v>
      </c>
      <c r="I288" s="1962">
        <v>0</v>
      </c>
      <c r="J288" s="1953" t="str">
        <f t="shared" si="25"/>
        <v>450</v>
      </c>
    </row>
    <row r="289" spans="1:10" ht="12.75" hidden="1" outlineLevel="2" x14ac:dyDescent="0.2">
      <c r="A289" s="1961" t="s">
        <v>1143</v>
      </c>
      <c r="B289" s="1961" t="s">
        <v>1144</v>
      </c>
      <c r="C289" s="1961" t="s">
        <v>1145</v>
      </c>
      <c r="D289" s="1961" t="s">
        <v>1146</v>
      </c>
      <c r="E289" s="1961" t="s">
        <v>922</v>
      </c>
      <c r="F289" s="1969">
        <v>239.10749000000001</v>
      </c>
      <c r="G289" s="1962">
        <v>0</v>
      </c>
      <c r="H289" s="1962">
        <v>0</v>
      </c>
      <c r="I289" s="1962">
        <v>0</v>
      </c>
      <c r="J289" s="1953" t="str">
        <f t="shared" si="25"/>
        <v>450</v>
      </c>
    </row>
    <row r="290" spans="1:10" ht="12.75" hidden="1" outlineLevel="2" x14ac:dyDescent="0.2">
      <c r="A290" s="1961" t="s">
        <v>1143</v>
      </c>
      <c r="B290" s="1961" t="s">
        <v>1144</v>
      </c>
      <c r="C290" s="1961" t="s">
        <v>1145</v>
      </c>
      <c r="D290" s="1961" t="s">
        <v>1146</v>
      </c>
      <c r="E290" s="1961" t="s">
        <v>923</v>
      </c>
      <c r="F290" s="1969">
        <v>24.02646</v>
      </c>
      <c r="G290" s="1962">
        <v>0</v>
      </c>
      <c r="H290" s="1962">
        <v>0</v>
      </c>
      <c r="I290" s="1962">
        <v>0</v>
      </c>
      <c r="J290" s="1953" t="str">
        <f t="shared" si="25"/>
        <v>450</v>
      </c>
    </row>
    <row r="291" spans="1:10" ht="13.5" outlineLevel="1" collapsed="1" thickBot="1" x14ac:dyDescent="0.25">
      <c r="A291" s="1963" t="s">
        <v>1147</v>
      </c>
      <c r="B291" s="1964"/>
      <c r="C291" s="1964"/>
      <c r="D291" s="1964"/>
      <c r="E291" s="1963"/>
      <c r="F291" s="1966">
        <f t="shared" ref="F291:I291" si="26">SUBTOTAL(9,F284:F290)</f>
        <v>1091.79402</v>
      </c>
      <c r="G291" s="1965">
        <f t="shared" si="26"/>
        <v>388.75657999999999</v>
      </c>
      <c r="H291" s="1965">
        <f t="shared" si="26"/>
        <v>7.7258500000000003</v>
      </c>
      <c r="I291" s="1965">
        <f t="shared" si="26"/>
        <v>63.813360000000003</v>
      </c>
      <c r="J291" s="1953" t="str">
        <f>LEFT(A291,4)</f>
        <v xml:space="preserve"> 450</v>
      </c>
    </row>
    <row r="292" spans="1:10" ht="12.75" hidden="1" outlineLevel="2" x14ac:dyDescent="0.2">
      <c r="A292" s="1967" t="s">
        <v>1148</v>
      </c>
      <c r="B292" s="1967" t="s">
        <v>1149</v>
      </c>
      <c r="C292" s="1967" t="s">
        <v>1150</v>
      </c>
      <c r="D292" s="1967" t="s">
        <v>1151</v>
      </c>
      <c r="E292" s="1967" t="s">
        <v>918</v>
      </c>
      <c r="F292" s="1969">
        <v>0.10573</v>
      </c>
      <c r="G292" s="1962">
        <v>0</v>
      </c>
      <c r="H292" s="1962">
        <v>0</v>
      </c>
      <c r="I292" s="1962">
        <v>0</v>
      </c>
      <c r="J292" s="1953" t="str">
        <f t="shared" ref="J292:J297" si="27">LEFT(A292,3)</f>
        <v>450</v>
      </c>
    </row>
    <row r="293" spans="1:10" ht="12.75" hidden="1" outlineLevel="2" x14ac:dyDescent="0.2">
      <c r="A293" s="1961" t="s">
        <v>1148</v>
      </c>
      <c r="B293" s="1961" t="s">
        <v>1149</v>
      </c>
      <c r="C293" s="1961" t="s">
        <v>1150</v>
      </c>
      <c r="D293" s="1961" t="s">
        <v>1151</v>
      </c>
      <c r="E293" s="1961" t="s">
        <v>919</v>
      </c>
      <c r="F293" s="1969">
        <v>-8.2960899999999995</v>
      </c>
      <c r="G293" s="1962">
        <v>0</v>
      </c>
      <c r="H293" s="1962">
        <v>0</v>
      </c>
      <c r="I293" s="1962">
        <v>-8.2960899999999995</v>
      </c>
      <c r="J293" s="1953" t="str">
        <f t="shared" si="27"/>
        <v>450</v>
      </c>
    </row>
    <row r="294" spans="1:10" ht="12.75" hidden="1" outlineLevel="2" x14ac:dyDescent="0.2">
      <c r="A294" s="1961" t="s">
        <v>1148</v>
      </c>
      <c r="B294" s="1961" t="s">
        <v>1149</v>
      </c>
      <c r="C294" s="1961" t="s">
        <v>1150</v>
      </c>
      <c r="D294" s="1961" t="s">
        <v>1151</v>
      </c>
      <c r="E294" s="1961" t="s">
        <v>912</v>
      </c>
      <c r="F294" s="1969">
        <v>19.00412</v>
      </c>
      <c r="G294" s="1962">
        <v>19.00412</v>
      </c>
      <c r="H294" s="1962">
        <v>0</v>
      </c>
      <c r="I294" s="1962">
        <v>0</v>
      </c>
      <c r="J294" s="1953" t="str">
        <f t="shared" si="27"/>
        <v>450</v>
      </c>
    </row>
    <row r="295" spans="1:10" ht="12.75" hidden="1" outlineLevel="2" x14ac:dyDescent="0.2">
      <c r="A295" s="1961" t="s">
        <v>1148</v>
      </c>
      <c r="B295" s="1961" t="s">
        <v>1149</v>
      </c>
      <c r="C295" s="1961" t="s">
        <v>1150</v>
      </c>
      <c r="D295" s="1961" t="s">
        <v>1151</v>
      </c>
      <c r="E295" s="1961" t="s">
        <v>920</v>
      </c>
      <c r="F295" s="1969">
        <v>-53.116779999999999</v>
      </c>
      <c r="G295" s="1962">
        <v>0</v>
      </c>
      <c r="H295" s="1962">
        <v>0</v>
      </c>
      <c r="I295" s="1962">
        <v>0</v>
      </c>
      <c r="J295" s="1953" t="str">
        <f t="shared" si="27"/>
        <v>450</v>
      </c>
    </row>
    <row r="296" spans="1:10" ht="12.75" hidden="1" outlineLevel="2" x14ac:dyDescent="0.2">
      <c r="A296" s="1961" t="s">
        <v>1148</v>
      </c>
      <c r="B296" s="1961" t="s">
        <v>1149</v>
      </c>
      <c r="C296" s="1961" t="s">
        <v>1150</v>
      </c>
      <c r="D296" s="1961" t="s">
        <v>1151</v>
      </c>
      <c r="E296" s="1961" t="s">
        <v>922</v>
      </c>
      <c r="F296" s="1969">
        <v>6.51335</v>
      </c>
      <c r="G296" s="1962">
        <v>0</v>
      </c>
      <c r="H296" s="1962">
        <v>0</v>
      </c>
      <c r="I296" s="1962">
        <v>0</v>
      </c>
      <c r="J296" s="1953" t="str">
        <f t="shared" si="27"/>
        <v>450</v>
      </c>
    </row>
    <row r="297" spans="1:10" ht="12.75" hidden="1" outlineLevel="2" x14ac:dyDescent="0.2">
      <c r="A297" s="1961" t="s">
        <v>1148</v>
      </c>
      <c r="B297" s="1961" t="s">
        <v>1149</v>
      </c>
      <c r="C297" s="1961" t="s">
        <v>1150</v>
      </c>
      <c r="D297" s="1961" t="s">
        <v>1151</v>
      </c>
      <c r="E297" s="1961" t="s">
        <v>923</v>
      </c>
      <c r="F297" s="1969">
        <v>9.153E-2</v>
      </c>
      <c r="G297" s="1962">
        <v>0</v>
      </c>
      <c r="H297" s="1962">
        <v>0</v>
      </c>
      <c r="I297" s="1962">
        <v>0</v>
      </c>
      <c r="J297" s="1953" t="str">
        <f t="shared" si="27"/>
        <v>450</v>
      </c>
    </row>
    <row r="298" spans="1:10" ht="13.5" outlineLevel="1" collapsed="1" thickBot="1" x14ac:dyDescent="0.25">
      <c r="A298" s="1963" t="s">
        <v>1152</v>
      </c>
      <c r="B298" s="1964"/>
      <c r="C298" s="1964"/>
      <c r="D298" s="1964"/>
      <c r="E298" s="1963"/>
      <c r="F298" s="1966">
        <f t="shared" ref="F298:I298" si="28">SUBTOTAL(9,F292:F297)</f>
        <v>-35.698139999999995</v>
      </c>
      <c r="G298" s="1965">
        <f t="shared" si="28"/>
        <v>19.00412</v>
      </c>
      <c r="H298" s="1965">
        <f t="shared" si="28"/>
        <v>0</v>
      </c>
      <c r="I298" s="1965">
        <f t="shared" si="28"/>
        <v>-8.2960899999999995</v>
      </c>
      <c r="J298" s="1953" t="str">
        <f>LEFT(A298,4)</f>
        <v xml:space="preserve"> 450</v>
      </c>
    </row>
    <row r="299" spans="1:10" ht="12.75" hidden="1" outlineLevel="2" x14ac:dyDescent="0.2">
      <c r="A299" s="1967" t="s">
        <v>1153</v>
      </c>
      <c r="B299" s="1967" t="s">
        <v>1154</v>
      </c>
      <c r="C299" s="1967" t="s">
        <v>1155</v>
      </c>
      <c r="D299" s="1967" t="s">
        <v>1156</v>
      </c>
      <c r="E299" s="1967" t="s">
        <v>918</v>
      </c>
      <c r="F299" s="1969">
        <v>363.77499999999998</v>
      </c>
      <c r="G299" s="1962">
        <v>0</v>
      </c>
      <c r="H299" s="1962">
        <v>0</v>
      </c>
      <c r="I299" s="1962">
        <v>0</v>
      </c>
      <c r="J299" s="1953" t="str">
        <f t="shared" ref="J299:J312" si="29">LEFT(A299,3)</f>
        <v>451</v>
      </c>
    </row>
    <row r="300" spans="1:10" ht="12.75" hidden="1" outlineLevel="2" x14ac:dyDescent="0.2">
      <c r="A300" s="1961" t="s">
        <v>1153</v>
      </c>
      <c r="B300" s="1961" t="s">
        <v>1154</v>
      </c>
      <c r="C300" s="1961" t="s">
        <v>1155</v>
      </c>
      <c r="D300" s="1961" t="s">
        <v>1156</v>
      </c>
      <c r="E300" s="1961" t="s">
        <v>919</v>
      </c>
      <c r="F300" s="1969">
        <v>85.715999999999994</v>
      </c>
      <c r="G300" s="1962">
        <v>0</v>
      </c>
      <c r="H300" s="1962">
        <v>0</v>
      </c>
      <c r="I300" s="1962">
        <v>85.715999999999994</v>
      </c>
      <c r="J300" s="1953" t="str">
        <f t="shared" si="29"/>
        <v>451</v>
      </c>
    </row>
    <row r="301" spans="1:10" ht="12.75" hidden="1" outlineLevel="2" x14ac:dyDescent="0.2">
      <c r="A301" s="1961" t="s">
        <v>1153</v>
      </c>
      <c r="B301" s="1961" t="s">
        <v>1154</v>
      </c>
      <c r="C301" s="1961" t="s">
        <v>1155</v>
      </c>
      <c r="D301" s="1961" t="s">
        <v>1156</v>
      </c>
      <c r="E301" s="1961" t="s">
        <v>912</v>
      </c>
      <c r="F301" s="1969">
        <v>917.63699999999994</v>
      </c>
      <c r="G301" s="1962">
        <v>917.63699999999994</v>
      </c>
      <c r="H301" s="1962">
        <v>0</v>
      </c>
      <c r="I301" s="1962">
        <v>0</v>
      </c>
      <c r="J301" s="1953" t="str">
        <f t="shared" si="29"/>
        <v>451</v>
      </c>
    </row>
    <row r="302" spans="1:10" ht="12.75" hidden="1" outlineLevel="2" x14ac:dyDescent="0.2">
      <c r="A302" s="1961" t="s">
        <v>1153</v>
      </c>
      <c r="B302" s="1961" t="s">
        <v>1154</v>
      </c>
      <c r="C302" s="1961" t="s">
        <v>1155</v>
      </c>
      <c r="D302" s="1961" t="s">
        <v>1156</v>
      </c>
      <c r="E302" s="1961" t="s">
        <v>920</v>
      </c>
      <c r="F302" s="1969">
        <v>3163.6629899999998</v>
      </c>
      <c r="G302" s="1962">
        <v>0</v>
      </c>
      <c r="H302" s="1962">
        <v>0</v>
      </c>
      <c r="I302" s="1962">
        <v>0</v>
      </c>
      <c r="J302" s="1953" t="str">
        <f t="shared" si="29"/>
        <v>451</v>
      </c>
    </row>
    <row r="303" spans="1:10" ht="12.75" hidden="1" outlineLevel="2" x14ac:dyDescent="0.2">
      <c r="A303" s="1961" t="s">
        <v>1153</v>
      </c>
      <c r="B303" s="1961" t="s">
        <v>1154</v>
      </c>
      <c r="C303" s="1961" t="s">
        <v>1155</v>
      </c>
      <c r="D303" s="1961" t="s">
        <v>1156</v>
      </c>
      <c r="E303" s="1961" t="s">
        <v>921</v>
      </c>
      <c r="F303" s="1969">
        <v>42.499000000000002</v>
      </c>
      <c r="G303" s="1962">
        <v>0</v>
      </c>
      <c r="H303" s="1962">
        <v>42.499000000000002</v>
      </c>
      <c r="I303" s="1962">
        <v>0</v>
      </c>
      <c r="J303" s="1953" t="str">
        <f t="shared" si="29"/>
        <v>451</v>
      </c>
    </row>
    <row r="304" spans="1:10" ht="12.75" hidden="1" outlineLevel="2" x14ac:dyDescent="0.2">
      <c r="A304" s="1961" t="s">
        <v>1153</v>
      </c>
      <c r="B304" s="1961" t="s">
        <v>1154</v>
      </c>
      <c r="C304" s="1961" t="s">
        <v>1155</v>
      </c>
      <c r="D304" s="1961" t="s">
        <v>1156</v>
      </c>
      <c r="E304" s="1961" t="s">
        <v>922</v>
      </c>
      <c r="F304" s="1969">
        <v>55.640999999999998</v>
      </c>
      <c r="G304" s="1962">
        <v>0</v>
      </c>
      <c r="H304" s="1962">
        <v>0</v>
      </c>
      <c r="I304" s="1962">
        <v>0</v>
      </c>
      <c r="J304" s="1953" t="str">
        <f t="shared" si="29"/>
        <v>451</v>
      </c>
    </row>
    <row r="305" spans="1:10" ht="12.75" hidden="1" outlineLevel="2" x14ac:dyDescent="0.2">
      <c r="A305" s="1961" t="s">
        <v>1153</v>
      </c>
      <c r="B305" s="1961" t="s">
        <v>1154</v>
      </c>
      <c r="C305" s="1961" t="s">
        <v>1155</v>
      </c>
      <c r="D305" s="1961" t="s">
        <v>1156</v>
      </c>
      <c r="E305" s="1961" t="s">
        <v>923</v>
      </c>
      <c r="F305" s="1969">
        <v>5.218</v>
      </c>
      <c r="G305" s="1962">
        <v>0</v>
      </c>
      <c r="H305" s="1962">
        <v>0</v>
      </c>
      <c r="I305" s="1962">
        <v>0</v>
      </c>
      <c r="J305" s="1953" t="str">
        <f t="shared" si="29"/>
        <v>451</v>
      </c>
    </row>
    <row r="306" spans="1:10" ht="12.75" hidden="1" outlineLevel="2" x14ac:dyDescent="0.2">
      <c r="A306" s="1961" t="s">
        <v>1153</v>
      </c>
      <c r="B306" s="1961" t="s">
        <v>1154</v>
      </c>
      <c r="C306" s="1961" t="s">
        <v>1157</v>
      </c>
      <c r="D306" s="1961" t="s">
        <v>1158</v>
      </c>
      <c r="E306" s="1961" t="s">
        <v>918</v>
      </c>
      <c r="F306" s="1969">
        <v>14.028</v>
      </c>
      <c r="G306" s="1962">
        <v>0</v>
      </c>
      <c r="H306" s="1962">
        <v>0</v>
      </c>
      <c r="I306" s="1962">
        <v>0</v>
      </c>
      <c r="J306" s="1953" t="str">
        <f t="shared" si="29"/>
        <v>451</v>
      </c>
    </row>
    <row r="307" spans="1:10" ht="12.75" hidden="1" outlineLevel="2" x14ac:dyDescent="0.2">
      <c r="A307" s="1961" t="s">
        <v>1153</v>
      </c>
      <c r="B307" s="1961" t="s">
        <v>1154</v>
      </c>
      <c r="C307" s="1961" t="s">
        <v>1157</v>
      </c>
      <c r="D307" s="1961" t="s">
        <v>1158</v>
      </c>
      <c r="E307" s="1961" t="s">
        <v>919</v>
      </c>
      <c r="F307" s="1969">
        <v>39.095999999999997</v>
      </c>
      <c r="G307" s="1962">
        <v>0</v>
      </c>
      <c r="H307" s="1962">
        <v>0</v>
      </c>
      <c r="I307" s="1962">
        <v>39.095999999999997</v>
      </c>
      <c r="J307" s="1953" t="str">
        <f t="shared" si="29"/>
        <v>451</v>
      </c>
    </row>
    <row r="308" spans="1:10" ht="12.75" hidden="1" outlineLevel="2" x14ac:dyDescent="0.2">
      <c r="A308" s="1961" t="s">
        <v>1153</v>
      </c>
      <c r="B308" s="1961" t="s">
        <v>1154</v>
      </c>
      <c r="C308" s="1961" t="s">
        <v>1157</v>
      </c>
      <c r="D308" s="1961" t="s">
        <v>1158</v>
      </c>
      <c r="E308" s="1961" t="s">
        <v>912</v>
      </c>
      <c r="F308" s="1969">
        <v>289.26799999999997</v>
      </c>
      <c r="G308" s="1962">
        <v>289.26799999999997</v>
      </c>
      <c r="H308" s="1962">
        <v>0</v>
      </c>
      <c r="I308" s="1962">
        <v>0</v>
      </c>
      <c r="J308" s="1953" t="str">
        <f t="shared" si="29"/>
        <v>451</v>
      </c>
    </row>
    <row r="309" spans="1:10" ht="12.75" hidden="1" outlineLevel="2" x14ac:dyDescent="0.2">
      <c r="A309" s="1961" t="s">
        <v>1153</v>
      </c>
      <c r="B309" s="1961" t="s">
        <v>1154</v>
      </c>
      <c r="C309" s="1961" t="s">
        <v>1157</v>
      </c>
      <c r="D309" s="1961" t="s">
        <v>1158</v>
      </c>
      <c r="E309" s="1961" t="s">
        <v>920</v>
      </c>
      <c r="F309" s="1969">
        <v>546.06799999999998</v>
      </c>
      <c r="G309" s="1962">
        <v>0</v>
      </c>
      <c r="H309" s="1962">
        <v>0</v>
      </c>
      <c r="I309" s="1962">
        <v>0</v>
      </c>
      <c r="J309" s="1953" t="str">
        <f t="shared" si="29"/>
        <v>451</v>
      </c>
    </row>
    <row r="310" spans="1:10" ht="12.75" hidden="1" outlineLevel="2" x14ac:dyDescent="0.2">
      <c r="A310" s="1961" t="s">
        <v>1153</v>
      </c>
      <c r="B310" s="1961" t="s">
        <v>1154</v>
      </c>
      <c r="C310" s="1961" t="s">
        <v>1157</v>
      </c>
      <c r="D310" s="1961" t="s">
        <v>1158</v>
      </c>
      <c r="E310" s="1961" t="s">
        <v>921</v>
      </c>
      <c r="F310" s="1969">
        <v>63.527999999999999</v>
      </c>
      <c r="G310" s="1962">
        <v>0</v>
      </c>
      <c r="H310" s="1962">
        <v>63.527999999999999</v>
      </c>
      <c r="I310" s="1962">
        <v>0</v>
      </c>
      <c r="J310" s="1953" t="str">
        <f t="shared" si="29"/>
        <v>451</v>
      </c>
    </row>
    <row r="311" spans="1:10" ht="12.75" hidden="1" outlineLevel="2" x14ac:dyDescent="0.2">
      <c r="A311" s="1961" t="s">
        <v>1153</v>
      </c>
      <c r="B311" s="1961" t="s">
        <v>1154</v>
      </c>
      <c r="C311" s="1961" t="s">
        <v>1157</v>
      </c>
      <c r="D311" s="1961" t="s">
        <v>1158</v>
      </c>
      <c r="E311" s="1961" t="s">
        <v>922</v>
      </c>
      <c r="F311" s="1969">
        <v>49.427999999999997</v>
      </c>
      <c r="G311" s="1962">
        <v>0</v>
      </c>
      <c r="H311" s="1962">
        <v>0</v>
      </c>
      <c r="I311" s="1962">
        <v>0</v>
      </c>
      <c r="J311" s="1953" t="str">
        <f t="shared" si="29"/>
        <v>451</v>
      </c>
    </row>
    <row r="312" spans="1:10" ht="12.75" hidden="1" outlineLevel="2" x14ac:dyDescent="0.2">
      <c r="A312" s="1961" t="s">
        <v>1153</v>
      </c>
      <c r="B312" s="1961" t="s">
        <v>1154</v>
      </c>
      <c r="C312" s="1961" t="s">
        <v>1157</v>
      </c>
      <c r="D312" s="1961" t="s">
        <v>1158</v>
      </c>
      <c r="E312" s="1961" t="s">
        <v>923</v>
      </c>
      <c r="F312" s="1969">
        <v>5.0640000000000001</v>
      </c>
      <c r="G312" s="1962">
        <v>0</v>
      </c>
      <c r="H312" s="1962">
        <v>0</v>
      </c>
      <c r="I312" s="1962">
        <v>0</v>
      </c>
      <c r="J312" s="1953" t="str">
        <f t="shared" si="29"/>
        <v>451</v>
      </c>
    </row>
    <row r="313" spans="1:10" ht="13.5" outlineLevel="1" collapsed="1" thickBot="1" x14ac:dyDescent="0.25">
      <c r="A313" s="1963" t="s">
        <v>1159</v>
      </c>
      <c r="B313" s="1964"/>
      <c r="C313" s="1964"/>
      <c r="D313" s="1964"/>
      <c r="E313" s="1963"/>
      <c r="F313" s="1966">
        <f t="shared" ref="F313:I313" si="30">SUBTOTAL(9,F299:F312)</f>
        <v>5640.6289899999992</v>
      </c>
      <c r="G313" s="1965">
        <f t="shared" si="30"/>
        <v>1206.905</v>
      </c>
      <c r="H313" s="1965">
        <f t="shared" si="30"/>
        <v>106.027</v>
      </c>
      <c r="I313" s="1965">
        <f t="shared" si="30"/>
        <v>124.81199999999998</v>
      </c>
      <c r="J313" s="1953" t="str">
        <f>LEFT(A313,4)</f>
        <v xml:space="preserve"> 451</v>
      </c>
    </row>
    <row r="314" spans="1:10" ht="12.75" hidden="1" outlineLevel="2" x14ac:dyDescent="0.2">
      <c r="A314" s="1967" t="s">
        <v>1160</v>
      </c>
      <c r="B314" s="1967" t="s">
        <v>1161</v>
      </c>
      <c r="C314" s="1967" t="s">
        <v>1162</v>
      </c>
      <c r="D314" s="1967" t="s">
        <v>1163</v>
      </c>
      <c r="E314" s="1967" t="s">
        <v>918</v>
      </c>
      <c r="F314" s="1969">
        <v>0.15</v>
      </c>
      <c r="G314" s="1962">
        <v>0</v>
      </c>
      <c r="H314" s="1962">
        <v>0</v>
      </c>
      <c r="I314" s="1962">
        <v>0</v>
      </c>
      <c r="J314" s="1953" t="str">
        <f t="shared" ref="J314:J319" si="31">LEFT(A314,3)</f>
        <v>451</v>
      </c>
    </row>
    <row r="315" spans="1:10" ht="12.75" hidden="1" outlineLevel="2" x14ac:dyDescent="0.2">
      <c r="A315" s="1961" t="s">
        <v>1160</v>
      </c>
      <c r="B315" s="1961" t="s">
        <v>1161</v>
      </c>
      <c r="C315" s="1961" t="s">
        <v>1162</v>
      </c>
      <c r="D315" s="1961" t="s">
        <v>1163</v>
      </c>
      <c r="E315" s="1961" t="s">
        <v>919</v>
      </c>
      <c r="F315" s="1969">
        <v>7.4999999999999997E-2</v>
      </c>
      <c r="G315" s="1962">
        <v>0</v>
      </c>
      <c r="H315" s="1962">
        <v>0</v>
      </c>
      <c r="I315" s="1962">
        <v>7.4999999999999997E-2</v>
      </c>
      <c r="J315" s="1953" t="str">
        <f t="shared" si="31"/>
        <v>451</v>
      </c>
    </row>
    <row r="316" spans="1:10" ht="12.75" hidden="1" outlineLevel="2" x14ac:dyDescent="0.2">
      <c r="A316" s="1961" t="s">
        <v>1160</v>
      </c>
      <c r="B316" s="1961" t="s">
        <v>1161</v>
      </c>
      <c r="C316" s="1961" t="s">
        <v>1162</v>
      </c>
      <c r="D316" s="1961" t="s">
        <v>1163</v>
      </c>
      <c r="E316" s="1961" t="s">
        <v>912</v>
      </c>
      <c r="F316" s="1969">
        <v>3.5249999999999999</v>
      </c>
      <c r="G316" s="1962">
        <v>3.5249999999999999</v>
      </c>
      <c r="H316" s="1962">
        <v>0</v>
      </c>
      <c r="I316" s="1962">
        <v>0</v>
      </c>
      <c r="J316" s="1953" t="str">
        <f t="shared" si="31"/>
        <v>451</v>
      </c>
    </row>
    <row r="317" spans="1:10" ht="12.75" hidden="1" outlineLevel="2" x14ac:dyDescent="0.2">
      <c r="A317" s="1961" t="s">
        <v>1160</v>
      </c>
      <c r="B317" s="1961" t="s">
        <v>1161</v>
      </c>
      <c r="C317" s="1961" t="s">
        <v>1162</v>
      </c>
      <c r="D317" s="1961" t="s">
        <v>1163</v>
      </c>
      <c r="E317" s="1961" t="s">
        <v>920</v>
      </c>
      <c r="F317" s="1969">
        <v>0.6</v>
      </c>
      <c r="G317" s="1962">
        <v>0</v>
      </c>
      <c r="H317" s="1962">
        <v>0</v>
      </c>
      <c r="I317" s="1962">
        <v>0</v>
      </c>
      <c r="J317" s="1953" t="str">
        <f t="shared" si="31"/>
        <v>451</v>
      </c>
    </row>
    <row r="318" spans="1:10" ht="12.75" hidden="1" outlineLevel="2" x14ac:dyDescent="0.2">
      <c r="A318" s="1961" t="s">
        <v>1160</v>
      </c>
      <c r="B318" s="1961" t="s">
        <v>1161</v>
      </c>
      <c r="C318" s="1961" t="s">
        <v>1162</v>
      </c>
      <c r="D318" s="1961" t="s">
        <v>1163</v>
      </c>
      <c r="E318" s="1961" t="s">
        <v>921</v>
      </c>
      <c r="F318" s="1969">
        <v>7.4999999999999997E-2</v>
      </c>
      <c r="G318" s="1962">
        <v>0</v>
      </c>
      <c r="H318" s="1962">
        <v>7.4999999999999997E-2</v>
      </c>
      <c r="I318" s="1962">
        <v>0</v>
      </c>
      <c r="J318" s="1953" t="str">
        <f t="shared" si="31"/>
        <v>451</v>
      </c>
    </row>
    <row r="319" spans="1:10" ht="12.75" hidden="1" outlineLevel="2" x14ac:dyDescent="0.2">
      <c r="A319" s="1961" t="s">
        <v>1160</v>
      </c>
      <c r="B319" s="1961" t="s">
        <v>1161</v>
      </c>
      <c r="C319" s="1961" t="s">
        <v>1162</v>
      </c>
      <c r="D319" s="1961" t="s">
        <v>1163</v>
      </c>
      <c r="E319" s="1961" t="s">
        <v>922</v>
      </c>
      <c r="F319" s="1969">
        <v>0.15</v>
      </c>
      <c r="G319" s="1962">
        <v>0</v>
      </c>
      <c r="H319" s="1962">
        <v>0</v>
      </c>
      <c r="I319" s="1962">
        <v>0</v>
      </c>
      <c r="J319" s="1953" t="str">
        <f t="shared" si="31"/>
        <v>451</v>
      </c>
    </row>
    <row r="320" spans="1:10" ht="13.5" outlineLevel="1" collapsed="1" thickBot="1" x14ac:dyDescent="0.25">
      <c r="A320" s="1963" t="s">
        <v>1164</v>
      </c>
      <c r="B320" s="1964"/>
      <c r="C320" s="1964"/>
      <c r="D320" s="1964"/>
      <c r="E320" s="1963"/>
      <c r="F320" s="1966">
        <f t="shared" ref="F320:I320" si="32">SUBTOTAL(9,F314:F319)</f>
        <v>4.5750000000000002</v>
      </c>
      <c r="G320" s="1965">
        <f t="shared" si="32"/>
        <v>3.5249999999999999</v>
      </c>
      <c r="H320" s="1965">
        <f t="shared" si="32"/>
        <v>7.4999999999999997E-2</v>
      </c>
      <c r="I320" s="1965">
        <f t="shared" si="32"/>
        <v>7.4999999999999997E-2</v>
      </c>
      <c r="J320" s="1953" t="str">
        <f>LEFT(A320,4)</f>
        <v xml:space="preserve"> 451</v>
      </c>
    </row>
    <row r="321" spans="1:10" ht="12.75" hidden="1" outlineLevel="2" x14ac:dyDescent="0.2">
      <c r="A321" s="1967" t="s">
        <v>1165</v>
      </c>
      <c r="B321" s="1967" t="s">
        <v>936</v>
      </c>
      <c r="C321" s="1967" t="s">
        <v>1166</v>
      </c>
      <c r="D321" s="1967" t="s">
        <v>936</v>
      </c>
      <c r="E321" s="1967" t="s">
        <v>918</v>
      </c>
      <c r="F321" s="1969">
        <v>5.06379</v>
      </c>
      <c r="G321" s="1962">
        <v>0</v>
      </c>
      <c r="H321" s="1962">
        <v>0</v>
      </c>
      <c r="I321" s="1962">
        <v>0</v>
      </c>
      <c r="J321" s="1953" t="str">
        <f t="shared" ref="J321:J332" si="33">LEFT(A321,3)</f>
        <v>451</v>
      </c>
    </row>
    <row r="322" spans="1:10" ht="12.75" hidden="1" outlineLevel="2" x14ac:dyDescent="0.2">
      <c r="A322" s="1961" t="s">
        <v>1165</v>
      </c>
      <c r="B322" s="1961" t="s">
        <v>936</v>
      </c>
      <c r="C322" s="1961" t="s">
        <v>1166</v>
      </c>
      <c r="D322" s="1961" t="s">
        <v>936</v>
      </c>
      <c r="E322" s="1961" t="s">
        <v>919</v>
      </c>
      <c r="F322" s="1969">
        <v>5.3046600000000002</v>
      </c>
      <c r="G322" s="1962">
        <v>0</v>
      </c>
      <c r="H322" s="1962">
        <v>0</v>
      </c>
      <c r="I322" s="1962">
        <v>5.3046600000000002</v>
      </c>
      <c r="J322" s="1953" t="str">
        <f t="shared" si="33"/>
        <v>451</v>
      </c>
    </row>
    <row r="323" spans="1:10" ht="12.75" hidden="1" outlineLevel="2" x14ac:dyDescent="0.2">
      <c r="A323" s="1961" t="s">
        <v>1165</v>
      </c>
      <c r="B323" s="1961" t="s">
        <v>936</v>
      </c>
      <c r="C323" s="1961" t="s">
        <v>1166</v>
      </c>
      <c r="D323" s="1961" t="s">
        <v>936</v>
      </c>
      <c r="E323" s="1961" t="s">
        <v>912</v>
      </c>
      <c r="F323" s="1969">
        <v>381.97313000000003</v>
      </c>
      <c r="G323" s="1962">
        <v>381.97313000000003</v>
      </c>
      <c r="H323" s="1962">
        <v>0</v>
      </c>
      <c r="I323" s="1962">
        <v>0</v>
      </c>
      <c r="J323" s="1953" t="str">
        <f t="shared" si="33"/>
        <v>451</v>
      </c>
    </row>
    <row r="324" spans="1:10" ht="12.75" hidden="1" outlineLevel="2" x14ac:dyDescent="0.2">
      <c r="A324" s="1961" t="s">
        <v>1165</v>
      </c>
      <c r="B324" s="1961" t="s">
        <v>936</v>
      </c>
      <c r="C324" s="1961" t="s">
        <v>1166</v>
      </c>
      <c r="D324" s="1961" t="s">
        <v>936</v>
      </c>
      <c r="E324" s="1961" t="s">
        <v>920</v>
      </c>
      <c r="F324" s="1969">
        <v>660.48766999999998</v>
      </c>
      <c r="G324" s="1962">
        <v>0</v>
      </c>
      <c r="H324" s="1962">
        <v>0</v>
      </c>
      <c r="I324" s="1962">
        <v>0</v>
      </c>
      <c r="J324" s="1953" t="str">
        <f t="shared" si="33"/>
        <v>451</v>
      </c>
    </row>
    <row r="325" spans="1:10" ht="12.75" hidden="1" outlineLevel="2" x14ac:dyDescent="0.2">
      <c r="A325" s="1961" t="s">
        <v>1165</v>
      </c>
      <c r="B325" s="1961" t="s">
        <v>936</v>
      </c>
      <c r="C325" s="1961" t="s">
        <v>1166</v>
      </c>
      <c r="D325" s="1961" t="s">
        <v>936</v>
      </c>
      <c r="E325" s="1961" t="s">
        <v>921</v>
      </c>
      <c r="F325" s="1969">
        <v>20.053329999999999</v>
      </c>
      <c r="G325" s="1962">
        <v>0</v>
      </c>
      <c r="H325" s="1962">
        <v>20.053329999999999</v>
      </c>
      <c r="I325" s="1962">
        <v>0</v>
      </c>
      <c r="J325" s="1953" t="str">
        <f t="shared" si="33"/>
        <v>451</v>
      </c>
    </row>
    <row r="326" spans="1:10" ht="12.75" hidden="1" outlineLevel="2" x14ac:dyDescent="0.2">
      <c r="A326" s="1961" t="s">
        <v>1165</v>
      </c>
      <c r="B326" s="1961" t="s">
        <v>936</v>
      </c>
      <c r="C326" s="1961" t="s">
        <v>1166</v>
      </c>
      <c r="D326" s="1961" t="s">
        <v>936</v>
      </c>
      <c r="E326" s="1961" t="s">
        <v>922</v>
      </c>
      <c r="F326" s="1969">
        <v>257.79719999999998</v>
      </c>
      <c r="G326" s="1962">
        <v>0</v>
      </c>
      <c r="H326" s="1962">
        <v>0</v>
      </c>
      <c r="I326" s="1962">
        <v>0</v>
      </c>
      <c r="J326" s="1953" t="str">
        <f t="shared" si="33"/>
        <v>451</v>
      </c>
    </row>
    <row r="327" spans="1:10" ht="12.75" hidden="1" outlineLevel="2" x14ac:dyDescent="0.2">
      <c r="A327" s="1961" t="s">
        <v>1165</v>
      </c>
      <c r="B327" s="1961" t="s">
        <v>936</v>
      </c>
      <c r="C327" s="1961" t="s">
        <v>1166</v>
      </c>
      <c r="D327" s="1961" t="s">
        <v>936</v>
      </c>
      <c r="E327" s="1961" t="s">
        <v>923</v>
      </c>
      <c r="F327" s="1969">
        <v>5.06914</v>
      </c>
      <c r="G327" s="1962">
        <v>0</v>
      </c>
      <c r="H327" s="1962">
        <v>0</v>
      </c>
      <c r="I327" s="1962">
        <v>0</v>
      </c>
      <c r="J327" s="1953" t="str">
        <f t="shared" si="33"/>
        <v>451</v>
      </c>
    </row>
    <row r="328" spans="1:10" ht="12.75" hidden="1" outlineLevel="2" x14ac:dyDescent="0.2">
      <c r="A328" s="1961" t="s">
        <v>1165</v>
      </c>
      <c r="B328" s="1961" t="s">
        <v>936</v>
      </c>
      <c r="C328" s="1961" t="s">
        <v>1167</v>
      </c>
      <c r="D328" s="1961" t="s">
        <v>1168</v>
      </c>
      <c r="E328" s="1961" t="s">
        <v>918</v>
      </c>
      <c r="F328" s="1969">
        <v>13.22</v>
      </c>
      <c r="G328" s="1962">
        <v>0</v>
      </c>
      <c r="H328" s="1962">
        <v>0</v>
      </c>
      <c r="I328" s="1962">
        <v>0</v>
      </c>
      <c r="J328" s="1953" t="str">
        <f t="shared" si="33"/>
        <v>451</v>
      </c>
    </row>
    <row r="329" spans="1:10" ht="12.75" hidden="1" outlineLevel="2" x14ac:dyDescent="0.2">
      <c r="A329" s="1961" t="s">
        <v>1165</v>
      </c>
      <c r="B329" s="1961" t="s">
        <v>936</v>
      </c>
      <c r="C329" s="1961" t="s">
        <v>1167</v>
      </c>
      <c r="D329" s="1961" t="s">
        <v>1168</v>
      </c>
      <c r="E329" s="1961" t="s">
        <v>919</v>
      </c>
      <c r="F329" s="1969">
        <v>38.93</v>
      </c>
      <c r="G329" s="1962">
        <v>0</v>
      </c>
      <c r="H329" s="1962">
        <v>0</v>
      </c>
      <c r="I329" s="1962">
        <v>38.93</v>
      </c>
      <c r="J329" s="1953" t="str">
        <f t="shared" si="33"/>
        <v>451</v>
      </c>
    </row>
    <row r="330" spans="1:10" ht="12.75" hidden="1" outlineLevel="2" x14ac:dyDescent="0.2">
      <c r="A330" s="1961" t="s">
        <v>1165</v>
      </c>
      <c r="B330" s="1961" t="s">
        <v>936</v>
      </c>
      <c r="C330" s="1961" t="s">
        <v>1167</v>
      </c>
      <c r="D330" s="1961" t="s">
        <v>1168</v>
      </c>
      <c r="E330" s="1961" t="s">
        <v>912</v>
      </c>
      <c r="F330" s="1969">
        <v>11.413069999999999</v>
      </c>
      <c r="G330" s="1962">
        <v>11.413069999999999</v>
      </c>
      <c r="H330" s="1962">
        <v>0</v>
      </c>
      <c r="I330" s="1962">
        <v>0</v>
      </c>
      <c r="J330" s="1953" t="str">
        <f t="shared" si="33"/>
        <v>451</v>
      </c>
    </row>
    <row r="331" spans="1:10" ht="12.75" hidden="1" outlineLevel="2" x14ac:dyDescent="0.2">
      <c r="A331" s="1961" t="s">
        <v>1165</v>
      </c>
      <c r="B331" s="1961" t="s">
        <v>936</v>
      </c>
      <c r="C331" s="1961" t="s">
        <v>1167</v>
      </c>
      <c r="D331" s="1961" t="s">
        <v>1168</v>
      </c>
      <c r="E331" s="1961" t="s">
        <v>920</v>
      </c>
      <c r="F331" s="1969">
        <v>346.66543000000001</v>
      </c>
      <c r="G331" s="1962">
        <v>0</v>
      </c>
      <c r="H331" s="1962">
        <v>0</v>
      </c>
      <c r="I331" s="1962">
        <v>0</v>
      </c>
      <c r="J331" s="1953" t="str">
        <f t="shared" si="33"/>
        <v>451</v>
      </c>
    </row>
    <row r="332" spans="1:10" ht="12.75" hidden="1" outlineLevel="2" x14ac:dyDescent="0.2">
      <c r="A332" s="1961" t="s">
        <v>1165</v>
      </c>
      <c r="B332" s="1961" t="s">
        <v>936</v>
      </c>
      <c r="C332" s="1961" t="s">
        <v>1167</v>
      </c>
      <c r="D332" s="1961" t="s">
        <v>1168</v>
      </c>
      <c r="E332" s="1961" t="s">
        <v>921</v>
      </c>
      <c r="F332" s="1969">
        <v>81.400000000000006</v>
      </c>
      <c r="G332" s="1962">
        <v>0</v>
      </c>
      <c r="H332" s="1962">
        <v>81.400000000000006</v>
      </c>
      <c r="I332" s="1962">
        <v>0</v>
      </c>
      <c r="J332" s="1953" t="str">
        <f t="shared" si="33"/>
        <v>451</v>
      </c>
    </row>
    <row r="333" spans="1:10" ht="13.5" outlineLevel="1" collapsed="1" thickBot="1" x14ac:dyDescent="0.25">
      <c r="A333" s="1963" t="s">
        <v>1169</v>
      </c>
      <c r="B333" s="1964"/>
      <c r="C333" s="1964"/>
      <c r="D333" s="1964"/>
      <c r="E333" s="1963"/>
      <c r="F333" s="1966">
        <f t="shared" ref="F333:I333" si="34">SUBTOTAL(9,F321:F332)</f>
        <v>1827.3774200000003</v>
      </c>
      <c r="G333" s="1965">
        <f t="shared" si="34"/>
        <v>393.38620000000003</v>
      </c>
      <c r="H333" s="1965">
        <f t="shared" si="34"/>
        <v>101.45333000000001</v>
      </c>
      <c r="I333" s="1965">
        <f t="shared" si="34"/>
        <v>44.234659999999998</v>
      </c>
      <c r="J333" s="1953" t="str">
        <f>LEFT(A333,4)</f>
        <v xml:space="preserve"> 451</v>
      </c>
    </row>
    <row r="334" spans="1:10" ht="12.75" hidden="1" outlineLevel="2" x14ac:dyDescent="0.2">
      <c r="A334" s="1967" t="s">
        <v>1170</v>
      </c>
      <c r="B334" s="1967" t="s">
        <v>1171</v>
      </c>
      <c r="C334" s="1967" t="s">
        <v>1172</v>
      </c>
      <c r="D334" s="1967" t="s">
        <v>1173</v>
      </c>
      <c r="E334" s="1967" t="s">
        <v>918</v>
      </c>
      <c r="F334" s="1969">
        <v>1.7095199999999999</v>
      </c>
      <c r="G334" s="1962">
        <v>0</v>
      </c>
      <c r="H334" s="1962">
        <v>0</v>
      </c>
      <c r="I334" s="1962">
        <v>0</v>
      </c>
      <c r="J334" s="1953" t="str">
        <f t="shared" ref="J334:J376" si="35">LEFT(A334,3)</f>
        <v>454</v>
      </c>
    </row>
    <row r="335" spans="1:10" ht="12.75" hidden="1" outlineLevel="2" x14ac:dyDescent="0.2">
      <c r="A335" s="1961" t="s">
        <v>1170</v>
      </c>
      <c r="B335" s="1961" t="s">
        <v>1171</v>
      </c>
      <c r="C335" s="1961" t="s">
        <v>1172</v>
      </c>
      <c r="D335" s="1961" t="s">
        <v>1173</v>
      </c>
      <c r="E335" s="1961" t="s">
        <v>919</v>
      </c>
      <c r="F335" s="1969">
        <v>0.78173999999999999</v>
      </c>
      <c r="G335" s="1962">
        <v>0</v>
      </c>
      <c r="H335" s="1962">
        <v>0</v>
      </c>
      <c r="I335" s="1962">
        <v>0.78173999999999999</v>
      </c>
      <c r="J335" s="1953" t="str">
        <f t="shared" si="35"/>
        <v>454</v>
      </c>
    </row>
    <row r="336" spans="1:10" ht="12.75" hidden="1" outlineLevel="2" x14ac:dyDescent="0.2">
      <c r="A336" s="1961" t="s">
        <v>1170</v>
      </c>
      <c r="B336" s="1961" t="s">
        <v>1171</v>
      </c>
      <c r="C336" s="1961" t="s">
        <v>1172</v>
      </c>
      <c r="D336" s="1961" t="s">
        <v>1173</v>
      </c>
      <c r="E336" s="1961" t="s">
        <v>912</v>
      </c>
      <c r="F336" s="1969">
        <v>852.96861000000001</v>
      </c>
      <c r="G336" s="1962">
        <v>852.96861000000001</v>
      </c>
      <c r="H336" s="1962">
        <v>0</v>
      </c>
      <c r="I336" s="1962">
        <v>0</v>
      </c>
      <c r="J336" s="1953" t="str">
        <f t="shared" si="35"/>
        <v>454</v>
      </c>
    </row>
    <row r="337" spans="1:10" ht="12.75" hidden="1" outlineLevel="2" x14ac:dyDescent="0.2">
      <c r="A337" s="1961" t="s">
        <v>1170</v>
      </c>
      <c r="B337" s="1961" t="s">
        <v>1171</v>
      </c>
      <c r="C337" s="1961" t="s">
        <v>1172</v>
      </c>
      <c r="D337" s="1961" t="s">
        <v>1173</v>
      </c>
      <c r="E337" s="1961" t="s">
        <v>1083</v>
      </c>
      <c r="F337" s="1969">
        <v>1084.17832</v>
      </c>
      <c r="G337" s="1962">
        <v>293.74610717924298</v>
      </c>
      <c r="H337" s="1962">
        <v>82.591716692097549</v>
      </c>
      <c r="I337" s="1962">
        <v>58.693469306970748</v>
      </c>
      <c r="J337" s="1953" t="str">
        <f t="shared" si="35"/>
        <v>454</v>
      </c>
    </row>
    <row r="338" spans="1:10" ht="12.75" hidden="1" outlineLevel="2" x14ac:dyDescent="0.2">
      <c r="A338" s="1961" t="s">
        <v>1170</v>
      </c>
      <c r="B338" s="1961" t="s">
        <v>1171</v>
      </c>
      <c r="C338" s="1961" t="s">
        <v>1172</v>
      </c>
      <c r="D338" s="1961" t="s">
        <v>1173</v>
      </c>
      <c r="E338" s="1961" t="s">
        <v>913</v>
      </c>
      <c r="F338" s="1969">
        <v>3517.9606199999998</v>
      </c>
      <c r="G338" s="1962">
        <v>984.10688050699696</v>
      </c>
      <c r="H338" s="1962">
        <v>262.61322960465407</v>
      </c>
      <c r="I338" s="1962">
        <v>187.62158697274282</v>
      </c>
      <c r="J338" s="1953" t="str">
        <f t="shared" si="35"/>
        <v>454</v>
      </c>
    </row>
    <row r="339" spans="1:10" ht="12.75" hidden="1" outlineLevel="2" x14ac:dyDescent="0.2">
      <c r="A339" s="1961" t="s">
        <v>1170</v>
      </c>
      <c r="B339" s="1961" t="s">
        <v>1171</v>
      </c>
      <c r="C339" s="1961" t="s">
        <v>1172</v>
      </c>
      <c r="D339" s="1961" t="s">
        <v>1173</v>
      </c>
      <c r="E339" s="1961" t="s">
        <v>920</v>
      </c>
      <c r="F339" s="1969">
        <v>1354.4241500000001</v>
      </c>
      <c r="G339" s="1962">
        <v>0</v>
      </c>
      <c r="H339" s="1962">
        <v>0</v>
      </c>
      <c r="I339" s="1962">
        <v>0</v>
      </c>
      <c r="J339" s="1953" t="str">
        <f t="shared" si="35"/>
        <v>454</v>
      </c>
    </row>
    <row r="340" spans="1:10" ht="12.75" hidden="1" outlineLevel="2" x14ac:dyDescent="0.2">
      <c r="A340" s="1961" t="s">
        <v>1170</v>
      </c>
      <c r="B340" s="1961" t="s">
        <v>1171</v>
      </c>
      <c r="C340" s="1961" t="s">
        <v>1172</v>
      </c>
      <c r="D340" s="1961" t="s">
        <v>1173</v>
      </c>
      <c r="E340" s="1961" t="s">
        <v>921</v>
      </c>
      <c r="F340" s="1969">
        <v>10.925520000000001</v>
      </c>
      <c r="G340" s="1962">
        <v>0</v>
      </c>
      <c r="H340" s="1962">
        <v>10.925520000000001</v>
      </c>
      <c r="I340" s="1962">
        <v>0</v>
      </c>
      <c r="J340" s="1953" t="str">
        <f t="shared" si="35"/>
        <v>454</v>
      </c>
    </row>
    <row r="341" spans="1:10" ht="12.75" hidden="1" outlineLevel="2" x14ac:dyDescent="0.2">
      <c r="A341" s="1961" t="s">
        <v>1170</v>
      </c>
      <c r="B341" s="1961" t="s">
        <v>1171</v>
      </c>
      <c r="C341" s="1961" t="s">
        <v>1172</v>
      </c>
      <c r="D341" s="1961" t="s">
        <v>1173</v>
      </c>
      <c r="E341" s="1961" t="s">
        <v>922</v>
      </c>
      <c r="F341" s="1969">
        <v>14.00604</v>
      </c>
      <c r="G341" s="1962">
        <v>0</v>
      </c>
      <c r="H341" s="1962">
        <v>0</v>
      </c>
      <c r="I341" s="1962">
        <v>0</v>
      </c>
      <c r="J341" s="1953" t="str">
        <f t="shared" si="35"/>
        <v>454</v>
      </c>
    </row>
    <row r="342" spans="1:10" ht="12.75" hidden="1" outlineLevel="2" x14ac:dyDescent="0.2">
      <c r="A342" s="1961" t="s">
        <v>1170</v>
      </c>
      <c r="B342" s="1961" t="s">
        <v>1171</v>
      </c>
      <c r="C342" s="1961" t="s">
        <v>1174</v>
      </c>
      <c r="D342" s="1961" t="s">
        <v>1175</v>
      </c>
      <c r="E342" s="1961" t="s">
        <v>918</v>
      </c>
      <c r="F342" s="1969">
        <v>654.93462</v>
      </c>
      <c r="G342" s="1962">
        <v>0</v>
      </c>
      <c r="H342" s="1962">
        <v>0</v>
      </c>
      <c r="I342" s="1962">
        <v>0</v>
      </c>
      <c r="J342" s="1953" t="str">
        <f t="shared" si="35"/>
        <v>454</v>
      </c>
    </row>
    <row r="343" spans="1:10" ht="12.75" hidden="1" outlineLevel="2" x14ac:dyDescent="0.2">
      <c r="A343" s="1961" t="s">
        <v>1170</v>
      </c>
      <c r="B343" s="1961" t="s">
        <v>1171</v>
      </c>
      <c r="C343" s="1961" t="s">
        <v>1174</v>
      </c>
      <c r="D343" s="1961" t="s">
        <v>1175</v>
      </c>
      <c r="E343" s="1961" t="s">
        <v>919</v>
      </c>
      <c r="F343" s="1969">
        <v>148.15122</v>
      </c>
      <c r="G343" s="1962">
        <v>0</v>
      </c>
      <c r="H343" s="1962">
        <v>0</v>
      </c>
      <c r="I343" s="1962">
        <v>148.15122</v>
      </c>
      <c r="J343" s="1953" t="str">
        <f t="shared" si="35"/>
        <v>454</v>
      </c>
    </row>
    <row r="344" spans="1:10" ht="12.75" hidden="1" outlineLevel="2" x14ac:dyDescent="0.2">
      <c r="A344" s="1961" t="s">
        <v>1170</v>
      </c>
      <c r="B344" s="1961" t="s">
        <v>1171</v>
      </c>
      <c r="C344" s="1961" t="s">
        <v>1174</v>
      </c>
      <c r="D344" s="1961" t="s">
        <v>1175</v>
      </c>
      <c r="E344" s="1961" t="s">
        <v>912</v>
      </c>
      <c r="F344" s="1969">
        <v>4393.1005500000001</v>
      </c>
      <c r="G344" s="1962">
        <v>4393.1005500000001</v>
      </c>
      <c r="H344" s="1962">
        <v>0</v>
      </c>
      <c r="I344" s="1962">
        <v>0</v>
      </c>
      <c r="J344" s="1953" t="str">
        <f t="shared" si="35"/>
        <v>454</v>
      </c>
    </row>
    <row r="345" spans="1:10" ht="12.75" hidden="1" outlineLevel="2" x14ac:dyDescent="0.2">
      <c r="A345" s="1961" t="s">
        <v>1170</v>
      </c>
      <c r="B345" s="1961" t="s">
        <v>1171</v>
      </c>
      <c r="C345" s="1961" t="s">
        <v>1174</v>
      </c>
      <c r="D345" s="1961" t="s">
        <v>1175</v>
      </c>
      <c r="E345" s="1961" t="s">
        <v>920</v>
      </c>
      <c r="F345" s="1969">
        <v>2458.7829099999999</v>
      </c>
      <c r="G345" s="1962">
        <v>0</v>
      </c>
      <c r="H345" s="1962">
        <v>0</v>
      </c>
      <c r="I345" s="1962">
        <v>0</v>
      </c>
      <c r="J345" s="1953" t="str">
        <f t="shared" si="35"/>
        <v>454</v>
      </c>
    </row>
    <row r="346" spans="1:10" ht="12.75" hidden="1" outlineLevel="2" x14ac:dyDescent="0.2">
      <c r="A346" s="1961" t="s">
        <v>1170</v>
      </c>
      <c r="B346" s="1961" t="s">
        <v>1171</v>
      </c>
      <c r="C346" s="1961" t="s">
        <v>1174</v>
      </c>
      <c r="D346" s="1961" t="s">
        <v>1175</v>
      </c>
      <c r="E346" s="1961" t="s">
        <v>921</v>
      </c>
      <c r="F346" s="1969">
        <v>769.67755999999997</v>
      </c>
      <c r="G346" s="1962">
        <v>0</v>
      </c>
      <c r="H346" s="1962">
        <v>769.67755999999997</v>
      </c>
      <c r="I346" s="1962">
        <v>0</v>
      </c>
      <c r="J346" s="1953" t="str">
        <f t="shared" si="35"/>
        <v>454</v>
      </c>
    </row>
    <row r="347" spans="1:10" ht="12.75" hidden="1" outlineLevel="2" x14ac:dyDescent="0.2">
      <c r="A347" s="1961" t="s">
        <v>1170</v>
      </c>
      <c r="B347" s="1961" t="s">
        <v>1171</v>
      </c>
      <c r="C347" s="1961" t="s">
        <v>1174</v>
      </c>
      <c r="D347" s="1961" t="s">
        <v>1175</v>
      </c>
      <c r="E347" s="1961" t="s">
        <v>922</v>
      </c>
      <c r="F347" s="1969">
        <v>321.34397999999999</v>
      </c>
      <c r="G347" s="1962">
        <v>0</v>
      </c>
      <c r="H347" s="1962">
        <v>0</v>
      </c>
      <c r="I347" s="1962">
        <v>0</v>
      </c>
      <c r="J347" s="1953" t="str">
        <f t="shared" si="35"/>
        <v>454</v>
      </c>
    </row>
    <row r="348" spans="1:10" ht="12.75" hidden="1" outlineLevel="2" x14ac:dyDescent="0.2">
      <c r="A348" s="1961" t="s">
        <v>1170</v>
      </c>
      <c r="B348" s="1961" t="s">
        <v>1171</v>
      </c>
      <c r="C348" s="1961" t="s">
        <v>1176</v>
      </c>
      <c r="D348" s="1961" t="s">
        <v>1177</v>
      </c>
      <c r="E348" s="1961" t="s">
        <v>912</v>
      </c>
      <c r="F348" s="1969">
        <v>53.024479999999997</v>
      </c>
      <c r="G348" s="1962">
        <v>53.024479999999997</v>
      </c>
      <c r="H348" s="1962">
        <v>0</v>
      </c>
      <c r="I348" s="1962">
        <v>0</v>
      </c>
      <c r="J348" s="1953" t="str">
        <f t="shared" si="35"/>
        <v>454</v>
      </c>
    </row>
    <row r="349" spans="1:10" ht="12.75" hidden="1" outlineLevel="2" x14ac:dyDescent="0.2">
      <c r="A349" s="1961" t="s">
        <v>1170</v>
      </c>
      <c r="B349" s="1961" t="s">
        <v>1171</v>
      </c>
      <c r="C349" s="1961" t="s">
        <v>1176</v>
      </c>
      <c r="D349" s="1961" t="s">
        <v>1177</v>
      </c>
      <c r="E349" s="1961" t="s">
        <v>1083</v>
      </c>
      <c r="F349" s="1969">
        <v>-2.2069999999999999E-2</v>
      </c>
      <c r="G349" s="1962">
        <v>-5.9796220472687484E-3</v>
      </c>
      <c r="H349" s="1962">
        <v>-1.6812724934350217E-3</v>
      </c>
      <c r="I349" s="1962">
        <v>-1.1947894951495105E-3</v>
      </c>
      <c r="J349" s="1953" t="str">
        <f t="shared" si="35"/>
        <v>454</v>
      </c>
    </row>
    <row r="350" spans="1:10" ht="12.75" hidden="1" outlineLevel="2" x14ac:dyDescent="0.2">
      <c r="A350" s="1961" t="s">
        <v>1170</v>
      </c>
      <c r="B350" s="1961" t="s">
        <v>1171</v>
      </c>
      <c r="C350" s="1961" t="s">
        <v>1176</v>
      </c>
      <c r="D350" s="1961" t="s">
        <v>1177</v>
      </c>
      <c r="E350" s="1961" t="s">
        <v>920</v>
      </c>
      <c r="F350" s="1969">
        <v>8.6041699999999999</v>
      </c>
      <c r="G350" s="1962">
        <v>0</v>
      </c>
      <c r="H350" s="1962">
        <v>0</v>
      </c>
      <c r="I350" s="1962">
        <v>0</v>
      </c>
      <c r="J350" s="1953" t="str">
        <f t="shared" si="35"/>
        <v>454</v>
      </c>
    </row>
    <row r="351" spans="1:10" ht="12.75" hidden="1" outlineLevel="2" x14ac:dyDescent="0.2">
      <c r="A351" s="1961" t="s">
        <v>1170</v>
      </c>
      <c r="B351" s="1961" t="s">
        <v>1171</v>
      </c>
      <c r="C351" s="1961" t="s">
        <v>1176</v>
      </c>
      <c r="D351" s="1961" t="s">
        <v>1177</v>
      </c>
      <c r="E351" s="1961" t="s">
        <v>921</v>
      </c>
      <c r="F351" s="1969">
        <v>9.3399999999999997E-2</v>
      </c>
      <c r="G351" s="1962">
        <v>0</v>
      </c>
      <c r="H351" s="1962">
        <v>9.3399999999999997E-2</v>
      </c>
      <c r="I351" s="1962">
        <v>0</v>
      </c>
      <c r="J351" s="1953" t="str">
        <f t="shared" si="35"/>
        <v>454</v>
      </c>
    </row>
    <row r="352" spans="1:10" ht="12.75" hidden="1" outlineLevel="2" x14ac:dyDescent="0.2">
      <c r="A352" s="1961" t="s">
        <v>1170</v>
      </c>
      <c r="B352" s="1961" t="s">
        <v>1171</v>
      </c>
      <c r="C352" s="1961" t="s">
        <v>1176</v>
      </c>
      <c r="D352" s="1961" t="s">
        <v>1177</v>
      </c>
      <c r="E352" s="1961" t="s">
        <v>922</v>
      </c>
      <c r="F352" s="1969">
        <v>2.0518200000000002</v>
      </c>
      <c r="G352" s="1962">
        <v>0</v>
      </c>
      <c r="H352" s="1962">
        <v>0</v>
      </c>
      <c r="I352" s="1962">
        <v>0</v>
      </c>
      <c r="J352" s="1953" t="str">
        <f t="shared" si="35"/>
        <v>454</v>
      </c>
    </row>
    <row r="353" spans="1:10" ht="12.75" hidden="1" outlineLevel="2" x14ac:dyDescent="0.2">
      <c r="A353" s="1961" t="s">
        <v>1170</v>
      </c>
      <c r="B353" s="1961" t="s">
        <v>1171</v>
      </c>
      <c r="C353" s="1961" t="s">
        <v>1178</v>
      </c>
      <c r="D353" s="1961" t="s">
        <v>1179</v>
      </c>
      <c r="E353" s="1961" t="s">
        <v>918</v>
      </c>
      <c r="F353" s="1969">
        <v>4.1718099999999998</v>
      </c>
      <c r="G353" s="1962">
        <v>0</v>
      </c>
      <c r="H353" s="1962">
        <v>0</v>
      </c>
      <c r="I353" s="1962">
        <v>0</v>
      </c>
      <c r="J353" s="1953" t="str">
        <f t="shared" si="35"/>
        <v>454</v>
      </c>
    </row>
    <row r="354" spans="1:10" ht="12.75" hidden="1" outlineLevel="2" x14ac:dyDescent="0.2">
      <c r="A354" s="1961" t="s">
        <v>1170</v>
      </c>
      <c r="B354" s="1961" t="s">
        <v>1171</v>
      </c>
      <c r="C354" s="1961" t="s">
        <v>1178</v>
      </c>
      <c r="D354" s="1961" t="s">
        <v>1179</v>
      </c>
      <c r="E354" s="1961" t="s">
        <v>919</v>
      </c>
      <c r="F354" s="1969">
        <v>4.4424000000000001</v>
      </c>
      <c r="G354" s="1962">
        <v>0</v>
      </c>
      <c r="H354" s="1962">
        <v>0</v>
      </c>
      <c r="I354" s="1962">
        <v>4.4424000000000001</v>
      </c>
      <c r="J354" s="1953" t="str">
        <f t="shared" si="35"/>
        <v>454</v>
      </c>
    </row>
    <row r="355" spans="1:10" ht="12.75" hidden="1" outlineLevel="2" x14ac:dyDescent="0.2">
      <c r="A355" s="1961" t="s">
        <v>1170</v>
      </c>
      <c r="B355" s="1961" t="s">
        <v>1171</v>
      </c>
      <c r="C355" s="1961" t="s">
        <v>1178</v>
      </c>
      <c r="D355" s="1961" t="s">
        <v>1179</v>
      </c>
      <c r="E355" s="1961" t="s">
        <v>912</v>
      </c>
      <c r="F355" s="1969">
        <v>257.77843999999999</v>
      </c>
      <c r="G355" s="1962">
        <v>257.77843999999999</v>
      </c>
      <c r="H355" s="1962">
        <v>0</v>
      </c>
      <c r="I355" s="1962">
        <v>0</v>
      </c>
      <c r="J355" s="1953" t="str">
        <f t="shared" si="35"/>
        <v>454</v>
      </c>
    </row>
    <row r="356" spans="1:10" ht="12.75" hidden="1" outlineLevel="2" x14ac:dyDescent="0.2">
      <c r="A356" s="1961" t="s">
        <v>1170</v>
      </c>
      <c r="B356" s="1961" t="s">
        <v>1171</v>
      </c>
      <c r="C356" s="1961" t="s">
        <v>1178</v>
      </c>
      <c r="D356" s="1961" t="s">
        <v>1179</v>
      </c>
      <c r="E356" s="1961" t="s">
        <v>920</v>
      </c>
      <c r="F356" s="1969">
        <v>119.2265</v>
      </c>
      <c r="G356" s="1962">
        <v>0</v>
      </c>
      <c r="H356" s="1962">
        <v>0</v>
      </c>
      <c r="I356" s="1962">
        <v>0</v>
      </c>
      <c r="J356" s="1953" t="str">
        <f t="shared" si="35"/>
        <v>454</v>
      </c>
    </row>
    <row r="357" spans="1:10" ht="12.75" hidden="1" outlineLevel="2" x14ac:dyDescent="0.2">
      <c r="A357" s="1961" t="s">
        <v>1170</v>
      </c>
      <c r="B357" s="1961" t="s">
        <v>1171</v>
      </c>
      <c r="C357" s="1961" t="s">
        <v>1178</v>
      </c>
      <c r="D357" s="1961" t="s">
        <v>1179</v>
      </c>
      <c r="E357" s="1961" t="s">
        <v>921</v>
      </c>
      <c r="F357" s="1969">
        <v>12.504910000000001</v>
      </c>
      <c r="G357" s="1962">
        <v>0</v>
      </c>
      <c r="H357" s="1962">
        <v>12.504910000000001</v>
      </c>
      <c r="I357" s="1962">
        <v>0</v>
      </c>
      <c r="J357" s="1953" t="str">
        <f t="shared" si="35"/>
        <v>454</v>
      </c>
    </row>
    <row r="358" spans="1:10" ht="12.75" hidden="1" outlineLevel="2" x14ac:dyDescent="0.2">
      <c r="A358" s="1961" t="s">
        <v>1170</v>
      </c>
      <c r="B358" s="1961" t="s">
        <v>1171</v>
      </c>
      <c r="C358" s="1961" t="s">
        <v>1180</v>
      </c>
      <c r="D358" s="1961" t="s">
        <v>1181</v>
      </c>
      <c r="E358" s="1961" t="s">
        <v>918</v>
      </c>
      <c r="F358" s="1969">
        <v>-0.191</v>
      </c>
      <c r="G358" s="1962">
        <v>0</v>
      </c>
      <c r="H358" s="1962">
        <v>0</v>
      </c>
      <c r="I358" s="1962">
        <v>0</v>
      </c>
      <c r="J358" s="1953" t="str">
        <f t="shared" si="35"/>
        <v>454</v>
      </c>
    </row>
    <row r="359" spans="1:10" ht="12.75" hidden="1" outlineLevel="2" x14ac:dyDescent="0.2">
      <c r="A359" s="1961" t="s">
        <v>1170</v>
      </c>
      <c r="B359" s="1961" t="s">
        <v>1171</v>
      </c>
      <c r="C359" s="1961" t="s">
        <v>1180</v>
      </c>
      <c r="D359" s="1961" t="s">
        <v>1181</v>
      </c>
      <c r="E359" s="1961" t="s">
        <v>919</v>
      </c>
      <c r="F359" s="1969">
        <v>-2.5234800000000002</v>
      </c>
      <c r="G359" s="1962">
        <v>0</v>
      </c>
      <c r="H359" s="1962">
        <v>0</v>
      </c>
      <c r="I359" s="1962">
        <v>-2.5234800000000002</v>
      </c>
      <c r="J359" s="1953" t="str">
        <f t="shared" si="35"/>
        <v>454</v>
      </c>
    </row>
    <row r="360" spans="1:10" ht="12.75" hidden="1" outlineLevel="2" x14ac:dyDescent="0.2">
      <c r="A360" s="1961" t="s">
        <v>1170</v>
      </c>
      <c r="B360" s="1961" t="s">
        <v>1171</v>
      </c>
      <c r="C360" s="1961" t="s">
        <v>1180</v>
      </c>
      <c r="D360" s="1961" t="s">
        <v>1181</v>
      </c>
      <c r="E360" s="1961" t="s">
        <v>912</v>
      </c>
      <c r="F360" s="1969">
        <v>-4.2735200000000004</v>
      </c>
      <c r="G360" s="1962">
        <v>-4.2735200000000004</v>
      </c>
      <c r="H360" s="1962">
        <v>0</v>
      </c>
      <c r="I360" s="1962">
        <v>0</v>
      </c>
      <c r="J360" s="1953" t="str">
        <f t="shared" si="35"/>
        <v>454</v>
      </c>
    </row>
    <row r="361" spans="1:10" ht="12.75" hidden="1" outlineLevel="2" x14ac:dyDescent="0.2">
      <c r="A361" s="1961" t="s">
        <v>1170</v>
      </c>
      <c r="B361" s="1961" t="s">
        <v>1171</v>
      </c>
      <c r="C361" s="1961" t="s">
        <v>1180</v>
      </c>
      <c r="D361" s="1961" t="s">
        <v>1181</v>
      </c>
      <c r="E361" s="1961" t="s">
        <v>920</v>
      </c>
      <c r="F361" s="1969">
        <v>-7.3579299999999996</v>
      </c>
      <c r="G361" s="1962">
        <v>0</v>
      </c>
      <c r="H361" s="1962">
        <v>0</v>
      </c>
      <c r="I361" s="1962">
        <v>0</v>
      </c>
      <c r="J361" s="1953" t="str">
        <f t="shared" si="35"/>
        <v>454</v>
      </c>
    </row>
    <row r="362" spans="1:10" ht="12.75" hidden="1" outlineLevel="2" x14ac:dyDescent="0.2">
      <c r="A362" s="1961" t="s">
        <v>1170</v>
      </c>
      <c r="B362" s="1961" t="s">
        <v>1171</v>
      </c>
      <c r="C362" s="1961" t="s">
        <v>1180</v>
      </c>
      <c r="D362" s="1961" t="s">
        <v>1181</v>
      </c>
      <c r="E362" s="1961" t="s">
        <v>921</v>
      </c>
      <c r="F362" s="1969">
        <v>0.62316000000000005</v>
      </c>
      <c r="G362" s="1962">
        <v>0</v>
      </c>
      <c r="H362" s="1962">
        <v>0.62316000000000005</v>
      </c>
      <c r="I362" s="1962">
        <v>0</v>
      </c>
      <c r="J362" s="1953" t="str">
        <f t="shared" si="35"/>
        <v>454</v>
      </c>
    </row>
    <row r="363" spans="1:10" ht="12.75" hidden="1" outlineLevel="2" x14ac:dyDescent="0.2">
      <c r="A363" s="1961" t="s">
        <v>1170</v>
      </c>
      <c r="B363" s="1961" t="s">
        <v>1171</v>
      </c>
      <c r="C363" s="1961" t="s">
        <v>1180</v>
      </c>
      <c r="D363" s="1961" t="s">
        <v>1181</v>
      </c>
      <c r="E363" s="1961" t="s">
        <v>922</v>
      </c>
      <c r="F363" s="1969">
        <v>1.6055299999999999</v>
      </c>
      <c r="G363" s="1962">
        <v>0</v>
      </c>
      <c r="H363" s="1962">
        <v>0</v>
      </c>
      <c r="I363" s="1962">
        <v>0</v>
      </c>
      <c r="J363" s="1953" t="str">
        <f t="shared" si="35"/>
        <v>454</v>
      </c>
    </row>
    <row r="364" spans="1:10" ht="12.75" hidden="1" outlineLevel="2" x14ac:dyDescent="0.2">
      <c r="A364" s="1961" t="s">
        <v>1170</v>
      </c>
      <c r="B364" s="1961" t="s">
        <v>1171</v>
      </c>
      <c r="C364" s="1961" t="s">
        <v>1182</v>
      </c>
      <c r="D364" s="1961" t="s">
        <v>1183</v>
      </c>
      <c r="E364" s="1961" t="s">
        <v>1083</v>
      </c>
      <c r="F364" s="1969">
        <v>17.3</v>
      </c>
      <c r="G364" s="1962">
        <v>4.687243380958285</v>
      </c>
      <c r="H364" s="1962">
        <v>1.3178982390768408</v>
      </c>
      <c r="I364" s="1962">
        <v>0.93655905147650809</v>
      </c>
      <c r="J364" s="1953" t="str">
        <f t="shared" si="35"/>
        <v>454</v>
      </c>
    </row>
    <row r="365" spans="1:10" ht="12.75" hidden="1" outlineLevel="2" x14ac:dyDescent="0.2">
      <c r="A365" s="1961" t="s">
        <v>1170</v>
      </c>
      <c r="B365" s="1961" t="s">
        <v>1171</v>
      </c>
      <c r="C365" s="1961" t="s">
        <v>1184</v>
      </c>
      <c r="D365" s="1961" t="s">
        <v>1185</v>
      </c>
      <c r="E365" s="1961" t="s">
        <v>1083</v>
      </c>
      <c r="F365" s="1969">
        <v>144.35025999999999</v>
      </c>
      <c r="G365" s="1962">
        <v>39.110104088127599</v>
      </c>
      <c r="H365" s="1962">
        <v>10.996471298513532</v>
      </c>
      <c r="I365" s="1962">
        <v>7.8145978373403073</v>
      </c>
      <c r="J365" s="1953" t="str">
        <f t="shared" si="35"/>
        <v>454</v>
      </c>
    </row>
    <row r="366" spans="1:10" ht="12.75" hidden="1" outlineLevel="2" x14ac:dyDescent="0.2">
      <c r="A366" s="1961" t="s">
        <v>1170</v>
      </c>
      <c r="B366" s="1961" t="s">
        <v>1171</v>
      </c>
      <c r="C366" s="1961" t="s">
        <v>1186</v>
      </c>
      <c r="D366" s="1961" t="s">
        <v>1187</v>
      </c>
      <c r="E366" s="1961" t="s">
        <v>913</v>
      </c>
      <c r="F366" s="1969">
        <v>15</v>
      </c>
      <c r="G366" s="1962">
        <v>4.1960683481456806</v>
      </c>
      <c r="H366" s="1962">
        <v>1.1197392096076992</v>
      </c>
      <c r="I366" s="1962">
        <v>0.79998729621684694</v>
      </c>
      <c r="J366" s="1953" t="str">
        <f t="shared" si="35"/>
        <v>454</v>
      </c>
    </row>
    <row r="367" spans="1:10" ht="12.75" hidden="1" outlineLevel="2" x14ac:dyDescent="0.2">
      <c r="A367" s="1961" t="s">
        <v>1170</v>
      </c>
      <c r="B367" s="1961" t="s">
        <v>1171</v>
      </c>
      <c r="C367" s="1961" t="s">
        <v>1186</v>
      </c>
      <c r="D367" s="1961" t="s">
        <v>1187</v>
      </c>
      <c r="E367" s="1961" t="s">
        <v>921</v>
      </c>
      <c r="F367" s="1969">
        <v>-4.6699999999999998E-2</v>
      </c>
      <c r="G367" s="1962">
        <v>0</v>
      </c>
      <c r="H367" s="1962">
        <v>-4.6699999999999998E-2</v>
      </c>
      <c r="I367" s="1962">
        <v>0</v>
      </c>
      <c r="J367" s="1953" t="str">
        <f t="shared" si="35"/>
        <v>454</v>
      </c>
    </row>
    <row r="368" spans="1:10" ht="12.75" hidden="1" outlineLevel="2" x14ac:dyDescent="0.2">
      <c r="A368" s="1961" t="s">
        <v>1170</v>
      </c>
      <c r="B368" s="1961" t="s">
        <v>1171</v>
      </c>
      <c r="C368" s="1961" t="s">
        <v>1188</v>
      </c>
      <c r="D368" s="1961" t="s">
        <v>1189</v>
      </c>
      <c r="E368" s="1961" t="s">
        <v>1083</v>
      </c>
      <c r="F368" s="1969">
        <v>4</v>
      </c>
      <c r="G368" s="1962">
        <v>1.0837556950192566</v>
      </c>
      <c r="H368" s="1962">
        <v>0.30471635585591694</v>
      </c>
      <c r="I368" s="1962">
        <v>0.21654544542809434</v>
      </c>
      <c r="J368" s="1953" t="str">
        <f t="shared" si="35"/>
        <v>454</v>
      </c>
    </row>
    <row r="369" spans="1:10" ht="12.75" hidden="1" outlineLevel="2" x14ac:dyDescent="0.2">
      <c r="A369" s="1961" t="s">
        <v>1170</v>
      </c>
      <c r="B369" s="1961" t="s">
        <v>1171</v>
      </c>
      <c r="C369" s="1961" t="s">
        <v>1188</v>
      </c>
      <c r="D369" s="1961" t="s">
        <v>1189</v>
      </c>
      <c r="E369" s="1961" t="s">
        <v>913</v>
      </c>
      <c r="F369" s="1969">
        <v>4.0000000000000003E-5</v>
      </c>
      <c r="G369" s="1962">
        <v>1.118951559505515E-5</v>
      </c>
      <c r="H369" s="1962">
        <v>2.9859712256205312E-6</v>
      </c>
      <c r="I369" s="1962">
        <v>2.1332994565782585E-6</v>
      </c>
      <c r="J369" s="1953" t="str">
        <f t="shared" si="35"/>
        <v>454</v>
      </c>
    </row>
    <row r="370" spans="1:10" ht="12.75" hidden="1" outlineLevel="2" x14ac:dyDescent="0.2">
      <c r="A370" s="1961" t="s">
        <v>1170</v>
      </c>
      <c r="B370" s="1961" t="s">
        <v>1171</v>
      </c>
      <c r="C370" s="1961" t="s">
        <v>1190</v>
      </c>
      <c r="D370" s="1961" t="s">
        <v>1191</v>
      </c>
      <c r="E370" s="1961" t="s">
        <v>912</v>
      </c>
      <c r="F370" s="1969">
        <v>2.5</v>
      </c>
      <c r="G370" s="1962">
        <v>2.5</v>
      </c>
      <c r="H370" s="1962">
        <v>0</v>
      </c>
      <c r="I370" s="1962">
        <v>0</v>
      </c>
      <c r="J370" s="1953" t="str">
        <f t="shared" si="35"/>
        <v>454</v>
      </c>
    </row>
    <row r="371" spans="1:10" ht="12.75" hidden="1" outlineLevel="2" x14ac:dyDescent="0.2">
      <c r="A371" s="1961" t="s">
        <v>1170</v>
      </c>
      <c r="B371" s="1961" t="s">
        <v>1171</v>
      </c>
      <c r="C371" s="1961" t="s">
        <v>1192</v>
      </c>
      <c r="D371" s="1961" t="s">
        <v>1193</v>
      </c>
      <c r="E371" s="1961" t="s">
        <v>918</v>
      </c>
      <c r="F371" s="1969">
        <v>6.3552</v>
      </c>
      <c r="G371" s="1962">
        <v>0</v>
      </c>
      <c r="H371" s="1962">
        <v>0</v>
      </c>
      <c r="I371" s="1962">
        <v>0</v>
      </c>
      <c r="J371" s="1953" t="str">
        <f t="shared" si="35"/>
        <v>454</v>
      </c>
    </row>
    <row r="372" spans="1:10" ht="12.75" hidden="1" outlineLevel="2" x14ac:dyDescent="0.2">
      <c r="A372" s="1961" t="s">
        <v>1170</v>
      </c>
      <c r="B372" s="1961" t="s">
        <v>1171</v>
      </c>
      <c r="C372" s="1961" t="s">
        <v>1192</v>
      </c>
      <c r="D372" s="1961" t="s">
        <v>1193</v>
      </c>
      <c r="E372" s="1961" t="s">
        <v>919</v>
      </c>
      <c r="F372" s="1969">
        <v>15.333690000000001</v>
      </c>
      <c r="G372" s="1962">
        <v>0</v>
      </c>
      <c r="H372" s="1962">
        <v>0</v>
      </c>
      <c r="I372" s="1962">
        <v>15.333690000000001</v>
      </c>
      <c r="J372" s="1953" t="str">
        <f t="shared" si="35"/>
        <v>454</v>
      </c>
    </row>
    <row r="373" spans="1:10" ht="12.75" hidden="1" outlineLevel="2" x14ac:dyDescent="0.2">
      <c r="A373" s="1961" t="s">
        <v>1170</v>
      </c>
      <c r="B373" s="1961" t="s">
        <v>1171</v>
      </c>
      <c r="C373" s="1961" t="s">
        <v>1192</v>
      </c>
      <c r="D373" s="1961" t="s">
        <v>1193</v>
      </c>
      <c r="E373" s="1961" t="s">
        <v>912</v>
      </c>
      <c r="F373" s="1969">
        <v>459.66361000000001</v>
      </c>
      <c r="G373" s="1962">
        <v>459.66361000000001</v>
      </c>
      <c r="H373" s="1962">
        <v>0</v>
      </c>
      <c r="I373" s="1962">
        <v>0</v>
      </c>
      <c r="J373" s="1953" t="str">
        <f t="shared" si="35"/>
        <v>454</v>
      </c>
    </row>
    <row r="374" spans="1:10" ht="12.75" hidden="1" outlineLevel="2" x14ac:dyDescent="0.2">
      <c r="A374" s="1961" t="s">
        <v>1170</v>
      </c>
      <c r="B374" s="1961" t="s">
        <v>1171</v>
      </c>
      <c r="C374" s="1961" t="s">
        <v>1192</v>
      </c>
      <c r="D374" s="1961" t="s">
        <v>1193</v>
      </c>
      <c r="E374" s="1961" t="s">
        <v>920</v>
      </c>
      <c r="F374" s="1969">
        <v>1011.5658</v>
      </c>
      <c r="G374" s="1962">
        <v>0</v>
      </c>
      <c r="H374" s="1962">
        <v>0</v>
      </c>
      <c r="I374" s="1962">
        <v>0</v>
      </c>
      <c r="J374" s="1953" t="str">
        <f t="shared" si="35"/>
        <v>454</v>
      </c>
    </row>
    <row r="375" spans="1:10" ht="12.75" hidden="1" outlineLevel="2" x14ac:dyDescent="0.2">
      <c r="A375" s="1961" t="s">
        <v>1170</v>
      </c>
      <c r="B375" s="1961" t="s">
        <v>1171</v>
      </c>
      <c r="C375" s="1961" t="s">
        <v>1192</v>
      </c>
      <c r="D375" s="1961" t="s">
        <v>1193</v>
      </c>
      <c r="E375" s="1961" t="s">
        <v>921</v>
      </c>
      <c r="F375" s="1969">
        <v>423.86653999999999</v>
      </c>
      <c r="G375" s="1962">
        <v>0</v>
      </c>
      <c r="H375" s="1962">
        <v>423.86653999999999</v>
      </c>
      <c r="I375" s="1962">
        <v>0</v>
      </c>
      <c r="J375" s="1953" t="str">
        <f t="shared" si="35"/>
        <v>454</v>
      </c>
    </row>
    <row r="376" spans="1:10" ht="12.75" hidden="1" outlineLevel="2" x14ac:dyDescent="0.2">
      <c r="A376" s="1961" t="s">
        <v>1170</v>
      </c>
      <c r="B376" s="1961" t="s">
        <v>1171</v>
      </c>
      <c r="C376" s="1961" t="s">
        <v>1192</v>
      </c>
      <c r="D376" s="1961" t="s">
        <v>1193</v>
      </c>
      <c r="E376" s="1961" t="s">
        <v>922</v>
      </c>
      <c r="F376" s="1969">
        <v>256.96544999999998</v>
      </c>
      <c r="G376" s="1962">
        <v>0</v>
      </c>
      <c r="H376" s="1962">
        <v>0</v>
      </c>
      <c r="I376" s="1962">
        <v>0</v>
      </c>
      <c r="J376" s="1953" t="str">
        <f t="shared" si="35"/>
        <v>454</v>
      </c>
    </row>
    <row r="377" spans="1:10" ht="13.5" outlineLevel="1" collapsed="1" thickBot="1" x14ac:dyDescent="0.25">
      <c r="A377" s="1963" t="s">
        <v>1194</v>
      </c>
      <c r="B377" s="1964"/>
      <c r="C377" s="1964"/>
      <c r="D377" s="1964"/>
      <c r="E377" s="1963"/>
      <c r="F377" s="1966">
        <f t="shared" ref="F377:I377" si="36">SUBTOTAL(9,F334:F376)</f>
        <v>18389.557869999993</v>
      </c>
      <c r="G377" s="1965">
        <f t="shared" si="36"/>
        <v>7341.6863607659598</v>
      </c>
      <c r="H377" s="1965">
        <f t="shared" si="36"/>
        <v>1576.5864831132831</v>
      </c>
      <c r="I377" s="1965">
        <f t="shared" si="36"/>
        <v>422.26712325397966</v>
      </c>
      <c r="J377" s="1953" t="str">
        <f>LEFT(A377,4)</f>
        <v xml:space="preserve"> 454</v>
      </c>
    </row>
    <row r="378" spans="1:10" ht="12.75" hidden="1" outlineLevel="2" x14ac:dyDescent="0.2">
      <c r="A378" s="1967" t="s">
        <v>1195</v>
      </c>
      <c r="B378" s="1967" t="s">
        <v>1196</v>
      </c>
      <c r="C378" s="1967" t="s">
        <v>1197</v>
      </c>
      <c r="D378" s="1967" t="s">
        <v>1198</v>
      </c>
      <c r="E378" s="1967" t="s">
        <v>1083</v>
      </c>
      <c r="F378" s="1969">
        <v>1202.0453399999999</v>
      </c>
      <c r="G378" s="1962">
        <v>325.68087072408963</v>
      </c>
      <c r="H378" s="1962">
        <v>91.570718894596666</v>
      </c>
      <c r="I378" s="1962">
        <v>65.074360893766269</v>
      </c>
      <c r="J378" s="1953" t="str">
        <f>LEFT(A378,3)</f>
        <v>454</v>
      </c>
    </row>
    <row r="379" spans="1:10" ht="13.5" outlineLevel="1" collapsed="1" thickBot="1" x14ac:dyDescent="0.25">
      <c r="A379" s="1963" t="s">
        <v>1199</v>
      </c>
      <c r="B379" s="1963"/>
      <c r="C379" s="1963"/>
      <c r="D379" s="1963"/>
      <c r="E379" s="1963"/>
      <c r="F379" s="1966">
        <f t="shared" ref="F379:I379" si="37">SUBTOTAL(9,F378:F378)</f>
        <v>1202.0453399999999</v>
      </c>
      <c r="G379" s="1970">
        <f t="shared" si="37"/>
        <v>325.68087072408963</v>
      </c>
      <c r="H379" s="1970">
        <f t="shared" si="37"/>
        <v>91.570718894596666</v>
      </c>
      <c r="I379" s="1970">
        <f t="shared" si="37"/>
        <v>65.074360893766269</v>
      </c>
      <c r="J379" s="1953" t="str">
        <f>LEFT(A379,4)</f>
        <v xml:space="preserve"> 454</v>
      </c>
    </row>
    <row r="380" spans="1:10" ht="12.75" hidden="1" outlineLevel="2" x14ac:dyDescent="0.2">
      <c r="A380" s="1967" t="s">
        <v>1200</v>
      </c>
      <c r="B380" s="1967" t="s">
        <v>1201</v>
      </c>
      <c r="C380" s="1967" t="s">
        <v>1202</v>
      </c>
      <c r="D380" s="1967" t="s">
        <v>1203</v>
      </c>
      <c r="E380" s="1967" t="s">
        <v>1083</v>
      </c>
      <c r="F380" s="1969">
        <v>6</v>
      </c>
      <c r="G380" s="1962">
        <v>1.625633542528885</v>
      </c>
      <c r="H380" s="1962">
        <v>0.45707453378387541</v>
      </c>
      <c r="I380" s="1962">
        <v>0.32481816814214148</v>
      </c>
      <c r="J380" s="1953" t="str">
        <f>LEFT(A380,3)</f>
        <v>454</v>
      </c>
    </row>
    <row r="381" spans="1:10" ht="13.5" outlineLevel="1" collapsed="1" thickBot="1" x14ac:dyDescent="0.25">
      <c r="A381" s="1963" t="s">
        <v>1204</v>
      </c>
      <c r="B381" s="1963"/>
      <c r="C381" s="1963"/>
      <c r="D381" s="1963"/>
      <c r="E381" s="1963"/>
      <c r="F381" s="1971">
        <f t="shared" ref="F381:I381" si="38">SUBTOTAL(9,F380:F380)</f>
        <v>6</v>
      </c>
      <c r="G381" s="1970">
        <f t="shared" si="38"/>
        <v>1.625633542528885</v>
      </c>
      <c r="H381" s="1970">
        <f t="shared" si="38"/>
        <v>0.45707453378387541</v>
      </c>
      <c r="I381" s="1970">
        <f t="shared" si="38"/>
        <v>0.32481816814214148</v>
      </c>
      <c r="J381" s="1953" t="str">
        <f>LEFT(A381,4)</f>
        <v xml:space="preserve"> 454</v>
      </c>
    </row>
    <row r="382" spans="1:10" ht="12.75" hidden="1" outlineLevel="2" x14ac:dyDescent="0.2">
      <c r="A382" s="1967" t="s">
        <v>1205</v>
      </c>
      <c r="B382" s="1967" t="s">
        <v>1206</v>
      </c>
      <c r="C382" s="1967" t="s">
        <v>1207</v>
      </c>
      <c r="D382" s="1967" t="s">
        <v>1208</v>
      </c>
      <c r="E382" s="1967" t="s">
        <v>1083</v>
      </c>
      <c r="F382" s="1969">
        <v>2572.45712</v>
      </c>
      <c r="G382" s="1962">
        <v>696.97876349820876</v>
      </c>
      <c r="H382" s="1962">
        <v>195.96743980050181</v>
      </c>
      <c r="I382" s="1962">
        <v>139.26346822376817</v>
      </c>
      <c r="J382" s="1953" t="str">
        <f t="shared" ref="J382:J394" si="39">LEFT(A382,3)</f>
        <v>456</v>
      </c>
    </row>
    <row r="383" spans="1:10" ht="12.75" hidden="1" outlineLevel="2" x14ac:dyDescent="0.2">
      <c r="A383" s="1961" t="s">
        <v>1205</v>
      </c>
      <c r="B383" s="1961" t="s">
        <v>1206</v>
      </c>
      <c r="C383" s="1961" t="s">
        <v>1209</v>
      </c>
      <c r="D383" s="1961" t="s">
        <v>1210</v>
      </c>
      <c r="E383" s="1961" t="s">
        <v>1083</v>
      </c>
      <c r="F383" s="1969">
        <v>4271.5959199999998</v>
      </c>
      <c r="G383" s="1962">
        <v>1157.3416012802552</v>
      </c>
      <c r="H383" s="1962">
        <v>325.40628560785069</v>
      </c>
      <c r="I383" s="1962">
        <v>231.24866029630761</v>
      </c>
      <c r="J383" s="1953" t="str">
        <f t="shared" si="39"/>
        <v>456</v>
      </c>
    </row>
    <row r="384" spans="1:10" ht="12.75" hidden="1" outlineLevel="2" x14ac:dyDescent="0.2">
      <c r="A384" s="1961" t="s">
        <v>1205</v>
      </c>
      <c r="B384" s="1961" t="s">
        <v>1206</v>
      </c>
      <c r="C384" s="1961" t="s">
        <v>1211</v>
      </c>
      <c r="D384" s="1961" t="s">
        <v>1212</v>
      </c>
      <c r="E384" s="1961" t="s">
        <v>1083</v>
      </c>
      <c r="F384" s="1969">
        <v>418.59055000000001</v>
      </c>
      <c r="G384" s="1962">
        <v>113.41247311093572</v>
      </c>
      <c r="H384" s="1962">
        <v>31.887846747931</v>
      </c>
      <c r="I384" s="1962">
        <v>22.660969275435249</v>
      </c>
      <c r="J384" s="1953" t="str">
        <f t="shared" si="39"/>
        <v>456</v>
      </c>
    </row>
    <row r="385" spans="1:10" ht="12.75" hidden="1" outlineLevel="2" x14ac:dyDescent="0.2">
      <c r="A385" s="1961" t="s">
        <v>1205</v>
      </c>
      <c r="B385" s="1961" t="s">
        <v>1206</v>
      </c>
      <c r="C385" s="1961" t="s">
        <v>1213</v>
      </c>
      <c r="D385" s="1961" t="s">
        <v>1214</v>
      </c>
      <c r="E385" s="1961" t="s">
        <v>1083</v>
      </c>
      <c r="F385" s="1969">
        <v>2948.6089900000002</v>
      </c>
      <c r="G385" s="1962">
        <v>798.89294632436963</v>
      </c>
      <c r="H385" s="1962">
        <v>224.62234656919898</v>
      </c>
      <c r="I385" s="1962">
        <v>159.62696178320834</v>
      </c>
      <c r="J385" s="1953" t="str">
        <f t="shared" si="39"/>
        <v>456</v>
      </c>
    </row>
    <row r="386" spans="1:10" ht="12.75" hidden="1" outlineLevel="2" x14ac:dyDescent="0.2">
      <c r="A386" s="1961" t="s">
        <v>1205</v>
      </c>
      <c r="B386" s="1961" t="s">
        <v>1206</v>
      </c>
      <c r="C386" s="1961" t="s">
        <v>1215</v>
      </c>
      <c r="D386" s="1961" t="s">
        <v>1216</v>
      </c>
      <c r="E386" s="1961" t="s">
        <v>1083</v>
      </c>
      <c r="F386" s="1969">
        <v>1924.0101500000001</v>
      </c>
      <c r="G386" s="1962">
        <v>521.28923933433862</v>
      </c>
      <c r="H386" s="1962">
        <v>146.56934038444905</v>
      </c>
      <c r="I386" s="1962">
        <v>104.15890873498115</v>
      </c>
      <c r="J386" s="1953" t="str">
        <f t="shared" si="39"/>
        <v>456</v>
      </c>
    </row>
    <row r="387" spans="1:10" ht="12.75" hidden="1" outlineLevel="2" x14ac:dyDescent="0.2">
      <c r="A387" s="1961" t="s">
        <v>1205</v>
      </c>
      <c r="B387" s="1961" t="s">
        <v>1206</v>
      </c>
      <c r="C387" s="1961" t="s">
        <v>1217</v>
      </c>
      <c r="D387" s="1961" t="s">
        <v>1218</v>
      </c>
      <c r="E387" s="1961" t="s">
        <v>1083</v>
      </c>
      <c r="F387" s="1969">
        <v>2441.4503300000001</v>
      </c>
      <c r="G387" s="1962">
        <v>661.48392481103588</v>
      </c>
      <c r="H387" s="1962">
        <v>185.98746189020648</v>
      </c>
      <c r="I387" s="1962">
        <v>132.17123730010448</v>
      </c>
      <c r="J387" s="1953" t="str">
        <f t="shared" si="39"/>
        <v>456</v>
      </c>
    </row>
    <row r="388" spans="1:10" ht="12.75" hidden="1" outlineLevel="2" x14ac:dyDescent="0.2">
      <c r="A388" s="1961" t="s">
        <v>1205</v>
      </c>
      <c r="B388" s="1961" t="s">
        <v>1206</v>
      </c>
      <c r="C388" s="1961" t="s">
        <v>1219</v>
      </c>
      <c r="D388" s="1961" t="s">
        <v>1220</v>
      </c>
      <c r="E388" s="1961" t="s">
        <v>1083</v>
      </c>
      <c r="F388" s="1969">
        <v>4939.9392399999997</v>
      </c>
      <c r="G388" s="1962">
        <v>1338.4218210997744</v>
      </c>
      <c r="H388" s="1962">
        <v>376.32007084061195</v>
      </c>
      <c r="I388" s="1962">
        <v>267.43033577838042</v>
      </c>
      <c r="J388" s="1953" t="str">
        <f t="shared" si="39"/>
        <v>456</v>
      </c>
    </row>
    <row r="389" spans="1:10" ht="12.75" hidden="1" outlineLevel="2" x14ac:dyDescent="0.2">
      <c r="A389" s="1961" t="s">
        <v>1205</v>
      </c>
      <c r="B389" s="1961" t="s">
        <v>1206</v>
      </c>
      <c r="C389" s="1961" t="s">
        <v>1221</v>
      </c>
      <c r="D389" s="1961" t="s">
        <v>1222</v>
      </c>
      <c r="E389" s="1961" t="s">
        <v>1083</v>
      </c>
      <c r="F389" s="1969">
        <v>6.2392000000000003</v>
      </c>
      <c r="G389" s="1962">
        <v>1.69044213309244</v>
      </c>
      <c r="H389" s="1962">
        <v>0.47529657186405927</v>
      </c>
      <c r="I389" s="1962">
        <v>0.33776758577874155</v>
      </c>
      <c r="J389" s="1953" t="str">
        <f t="shared" si="39"/>
        <v>456</v>
      </c>
    </row>
    <row r="390" spans="1:10" ht="12.75" hidden="1" outlineLevel="2" x14ac:dyDescent="0.2">
      <c r="A390" s="1961" t="s">
        <v>1205</v>
      </c>
      <c r="B390" s="1961" t="s">
        <v>1206</v>
      </c>
      <c r="C390" s="1961" t="s">
        <v>1223</v>
      </c>
      <c r="D390" s="1961" t="s">
        <v>1224</v>
      </c>
      <c r="E390" s="1961" t="s">
        <v>1083</v>
      </c>
      <c r="F390" s="1969">
        <v>36.159120000000001</v>
      </c>
      <c r="G390" s="1962">
        <v>9.7969130567211753</v>
      </c>
      <c r="H390" s="1962">
        <v>2.7545688193392008</v>
      </c>
      <c r="I390" s="1962">
        <v>1.9575231866719787</v>
      </c>
      <c r="J390" s="1953" t="str">
        <f t="shared" si="39"/>
        <v>456</v>
      </c>
    </row>
    <row r="391" spans="1:10" ht="12.75" hidden="1" outlineLevel="2" x14ac:dyDescent="0.2">
      <c r="A391" s="1961" t="s">
        <v>1205</v>
      </c>
      <c r="B391" s="1961" t="s">
        <v>1206</v>
      </c>
      <c r="C391" s="1961" t="s">
        <v>1225</v>
      </c>
      <c r="D391" s="1961" t="s">
        <v>1226</v>
      </c>
      <c r="E391" s="1961" t="s">
        <v>1083</v>
      </c>
      <c r="F391" s="1969">
        <v>748.96840999999995</v>
      </c>
      <c r="G391" s="1962">
        <v>202.92469493175437</v>
      </c>
      <c r="H391" s="1962">
        <v>57.055731136600073</v>
      </c>
      <c r="I391" s="1962">
        <v>40.546424488755392</v>
      </c>
      <c r="J391" s="1953" t="str">
        <f t="shared" si="39"/>
        <v>456</v>
      </c>
    </row>
    <row r="392" spans="1:10" ht="12.75" hidden="1" outlineLevel="2" x14ac:dyDescent="0.2">
      <c r="A392" s="1961" t="s">
        <v>1205</v>
      </c>
      <c r="B392" s="1961" t="s">
        <v>1206</v>
      </c>
      <c r="C392" s="1961" t="s">
        <v>1227</v>
      </c>
      <c r="D392" s="1961" t="s">
        <v>1228</v>
      </c>
      <c r="E392" s="1961" t="s">
        <v>1083</v>
      </c>
      <c r="F392" s="1969">
        <v>2371.5245399999999</v>
      </c>
      <c r="G392" s="1962">
        <v>642.53830652573072</v>
      </c>
      <c r="H392" s="1962">
        <v>180.66057891291993</v>
      </c>
      <c r="I392" s="1962">
        <v>128.38570946448914</v>
      </c>
      <c r="J392" s="1953" t="str">
        <f t="shared" si="39"/>
        <v>456</v>
      </c>
    </row>
    <row r="393" spans="1:10" ht="12.75" hidden="1" outlineLevel="2" x14ac:dyDescent="0.2">
      <c r="A393" s="1961" t="s">
        <v>1205</v>
      </c>
      <c r="B393" s="1961" t="s">
        <v>1206</v>
      </c>
      <c r="C393" s="1961" t="s">
        <v>1229</v>
      </c>
      <c r="D393" s="1961" t="s">
        <v>1230</v>
      </c>
      <c r="E393" s="1961" t="s">
        <v>1083</v>
      </c>
      <c r="F393" s="1969">
        <v>1319.0384100000001</v>
      </c>
      <c r="G393" s="1962">
        <v>357.3788471966613</v>
      </c>
      <c r="H393" s="1962">
        <v>100.48314438229573</v>
      </c>
      <c r="I393" s="1962">
        <v>71.407940007553833</v>
      </c>
      <c r="J393" s="1953" t="str">
        <f t="shared" si="39"/>
        <v>456</v>
      </c>
    </row>
    <row r="394" spans="1:10" ht="12.75" hidden="1" outlineLevel="2" x14ac:dyDescent="0.2">
      <c r="A394" s="1961" t="s">
        <v>1205</v>
      </c>
      <c r="B394" s="1961" t="s">
        <v>1206</v>
      </c>
      <c r="C394" s="1961" t="s">
        <v>1231</v>
      </c>
      <c r="D394" s="1961" t="s">
        <v>1232</v>
      </c>
      <c r="E394" s="1961" t="s">
        <v>1083</v>
      </c>
      <c r="F394" s="1969">
        <v>67.394319999999993</v>
      </c>
      <c r="G394" s="1962">
        <v>18.259744527987547</v>
      </c>
      <c r="H394" s="1962">
        <v>5.1340378989468842</v>
      </c>
      <c r="I394" s="1962">
        <v>3.6484832609308815</v>
      </c>
      <c r="J394" s="1953" t="str">
        <f t="shared" si="39"/>
        <v>456</v>
      </c>
    </row>
    <row r="395" spans="1:10" ht="13.5" outlineLevel="1" collapsed="1" thickBot="1" x14ac:dyDescent="0.25">
      <c r="A395" s="1963" t="s">
        <v>1233</v>
      </c>
      <c r="B395" s="1964"/>
      <c r="C395" s="1964"/>
      <c r="D395" s="1964"/>
      <c r="E395" s="1963"/>
      <c r="F395" s="1972">
        <f>(SUBTOTAL(9,F382:F394))</f>
        <v>24065.976300000002</v>
      </c>
      <c r="G395" s="1965">
        <f t="shared" ref="G395:I395" si="40">SUBTOTAL(9,G382:G394)</f>
        <v>6520.4097178308648</v>
      </c>
      <c r="H395" s="1965">
        <f t="shared" si="40"/>
        <v>1833.3241495627155</v>
      </c>
      <c r="I395" s="1965">
        <f t="shared" si="40"/>
        <v>1302.8443893863653</v>
      </c>
      <c r="J395" s="1953" t="str">
        <f>LEFT(A395,4)</f>
        <v xml:space="preserve"> 456</v>
      </c>
    </row>
    <row r="396" spans="1:10" ht="12.75" hidden="1" outlineLevel="2" x14ac:dyDescent="0.2">
      <c r="A396" s="1967" t="s">
        <v>5711</v>
      </c>
      <c r="B396" s="1967" t="s">
        <v>1234</v>
      </c>
      <c r="C396" s="1967" t="s">
        <v>1235</v>
      </c>
      <c r="D396" s="1967" t="s">
        <v>1236</v>
      </c>
      <c r="E396" s="1967" t="s">
        <v>1083</v>
      </c>
      <c r="F396" s="1969">
        <v>7131.5699000000004</v>
      </c>
      <c r="G396" s="1962">
        <v>1932.2198733882278</v>
      </c>
      <c r="H396" s="1962">
        <v>543.27649786493657</v>
      </c>
      <c r="I396" s="1962">
        <v>386.07724514927258</v>
      </c>
      <c r="J396" s="1953" t="str">
        <f>LEFT(A396,3)</f>
        <v>456</v>
      </c>
    </row>
    <row r="397" spans="1:10" ht="13.5" outlineLevel="1" collapsed="1" thickBot="1" x14ac:dyDescent="0.25">
      <c r="A397" s="1963" t="s">
        <v>5712</v>
      </c>
      <c r="B397" s="1963"/>
      <c r="C397" s="1963"/>
      <c r="D397" s="1963"/>
      <c r="E397" s="1963"/>
      <c r="F397" s="1972">
        <f>(SUBTOTAL(9,F396:F396))</f>
        <v>7131.5699000000004</v>
      </c>
      <c r="G397" s="1970">
        <f t="shared" ref="G397:I397" si="41">SUBTOTAL(9,G396:G396)</f>
        <v>1932.2198733882278</v>
      </c>
      <c r="H397" s="1970">
        <f t="shared" si="41"/>
        <v>543.27649786493657</v>
      </c>
      <c r="I397" s="1970">
        <f t="shared" si="41"/>
        <v>386.07724514927258</v>
      </c>
      <c r="J397" s="1953" t="str">
        <f>LEFT(A397,4)</f>
        <v xml:space="preserve"> 456</v>
      </c>
    </row>
    <row r="398" spans="1:10" ht="12.75" hidden="1" outlineLevel="2" x14ac:dyDescent="0.2">
      <c r="A398" s="1967" t="s">
        <v>1237</v>
      </c>
      <c r="B398" s="1967" t="s">
        <v>1238</v>
      </c>
      <c r="C398" s="1967" t="s">
        <v>1239</v>
      </c>
      <c r="D398" s="1967" t="s">
        <v>1240</v>
      </c>
      <c r="E398" s="1967" t="s">
        <v>1083</v>
      </c>
      <c r="F398" s="1969">
        <v>18934.252560000001</v>
      </c>
      <c r="G398" s="1962">
        <v>5130.0260107082349</v>
      </c>
      <c r="H398" s="1962">
        <v>1442.3941102346917</v>
      </c>
      <c r="I398" s="1962">
        <v>1025.0315386133088</v>
      </c>
      <c r="J398" s="1953" t="str">
        <f t="shared" ref="J398:J403" si="42">LEFT(A398,3)</f>
        <v>456</v>
      </c>
    </row>
    <row r="399" spans="1:10" ht="12.75" hidden="1" outlineLevel="2" x14ac:dyDescent="0.2">
      <c r="A399" s="1961" t="s">
        <v>1237</v>
      </c>
      <c r="B399" s="1961" t="s">
        <v>1238</v>
      </c>
      <c r="C399" s="1961" t="s">
        <v>1241</v>
      </c>
      <c r="D399" s="1961" t="s">
        <v>1242</v>
      </c>
      <c r="E399" s="1961" t="s">
        <v>1083</v>
      </c>
      <c r="F399" s="1969">
        <v>7842.6574799999999</v>
      </c>
      <c r="G399" s="1962">
        <v>2124.8811770088428</v>
      </c>
      <c r="H399" s="1962">
        <v>597.44650188293724</v>
      </c>
      <c r="I399" s="1962">
        <v>424.57293933664397</v>
      </c>
      <c r="J399" s="1953" t="str">
        <f t="shared" si="42"/>
        <v>456</v>
      </c>
    </row>
    <row r="400" spans="1:10" ht="12.75" hidden="1" outlineLevel="2" x14ac:dyDescent="0.2">
      <c r="A400" s="1961" t="s">
        <v>1237</v>
      </c>
      <c r="B400" s="1961" t="s">
        <v>1238</v>
      </c>
      <c r="C400" s="1961" t="s">
        <v>1243</v>
      </c>
      <c r="D400" s="1961" t="s">
        <v>1242</v>
      </c>
      <c r="E400" s="1961" t="s">
        <v>1083</v>
      </c>
      <c r="F400" s="1969">
        <v>28591.968769999999</v>
      </c>
      <c r="G400" s="1962">
        <v>7746.6772465750573</v>
      </c>
      <c r="H400" s="1962">
        <v>2178.1101325851459</v>
      </c>
      <c r="I400" s="1962">
        <v>1547.8651532414531</v>
      </c>
      <c r="J400" s="1953" t="str">
        <f t="shared" si="42"/>
        <v>456</v>
      </c>
    </row>
    <row r="401" spans="1:10" ht="12.75" hidden="1" outlineLevel="2" x14ac:dyDescent="0.2">
      <c r="A401" s="1961" t="s">
        <v>1237</v>
      </c>
      <c r="B401" s="1961" t="s">
        <v>1238</v>
      </c>
      <c r="C401" s="1961" t="s">
        <v>1244</v>
      </c>
      <c r="D401" s="1961" t="s">
        <v>1245</v>
      </c>
      <c r="E401" s="1961" t="s">
        <v>1083</v>
      </c>
      <c r="F401" s="1969">
        <v>1238.0030200000001</v>
      </c>
      <c r="G401" s="1962">
        <v>335.42320584400971</v>
      </c>
      <c r="H401" s="1962">
        <v>94.309942198254973</v>
      </c>
      <c r="I401" s="1962">
        <v>67.020978851806504</v>
      </c>
      <c r="J401" s="1953" t="str">
        <f t="shared" si="42"/>
        <v>456</v>
      </c>
    </row>
    <row r="402" spans="1:10" ht="12.75" hidden="1" outlineLevel="2" x14ac:dyDescent="0.2">
      <c r="A402" s="1961" t="s">
        <v>1237</v>
      </c>
      <c r="B402" s="1961" t="s">
        <v>1238</v>
      </c>
      <c r="C402" s="1961" t="s">
        <v>1246</v>
      </c>
      <c r="D402" s="1961" t="s">
        <v>1247</v>
      </c>
      <c r="E402" s="1961" t="s">
        <v>1083</v>
      </c>
      <c r="F402" s="1969">
        <v>-1238.0030099999999</v>
      </c>
      <c r="G402" s="1962">
        <v>-335.42320313462039</v>
      </c>
      <c r="H402" s="1962">
        <v>-94.309941436464072</v>
      </c>
      <c r="I402" s="1962">
        <v>-67.020978310442871</v>
      </c>
      <c r="J402" s="1953" t="str">
        <f t="shared" si="42"/>
        <v>456</v>
      </c>
    </row>
    <row r="403" spans="1:10" ht="12.75" hidden="1" outlineLevel="2" x14ac:dyDescent="0.2">
      <c r="A403" s="1961" t="s">
        <v>1237</v>
      </c>
      <c r="B403" s="1961" t="s">
        <v>1238</v>
      </c>
      <c r="C403" s="1961" t="s">
        <v>1248</v>
      </c>
      <c r="D403" s="1961" t="s">
        <v>1249</v>
      </c>
      <c r="E403" s="1961" t="s">
        <v>1083</v>
      </c>
      <c r="F403" s="1969">
        <v>58508.768109999997</v>
      </c>
      <c r="G403" s="1962">
        <v>15852.302661943391</v>
      </c>
      <c r="H403" s="1962">
        <v>4457.1446510245214</v>
      </c>
      <c r="I403" s="1962">
        <v>3167.4518129572575</v>
      </c>
      <c r="J403" s="1953" t="str">
        <f t="shared" si="42"/>
        <v>456</v>
      </c>
    </row>
    <row r="404" spans="1:10" ht="13.5" outlineLevel="1" collapsed="1" thickBot="1" x14ac:dyDescent="0.25">
      <c r="A404" s="1963" t="s">
        <v>1250</v>
      </c>
      <c r="B404" s="1964"/>
      <c r="C404" s="1964"/>
      <c r="D404" s="1964"/>
      <c r="E404" s="1963"/>
      <c r="F404" s="1972">
        <f>(SUBTOTAL(9,F398:F403))</f>
        <v>113877.64692999999</v>
      </c>
      <c r="G404" s="1965">
        <f t="shared" ref="G404:I404" si="43">SUBTOTAL(9,G398:G403)</f>
        <v>30853.887098944913</v>
      </c>
      <c r="H404" s="1965">
        <f t="shared" si="43"/>
        <v>8675.0953964890869</v>
      </c>
      <c r="I404" s="1965">
        <f t="shared" si="43"/>
        <v>6164.9214446900269</v>
      </c>
      <c r="J404" s="1953" t="str">
        <f>LEFT(A404,4)</f>
        <v xml:space="preserve"> 456</v>
      </c>
    </row>
    <row r="405" spans="1:10" ht="12.75" hidden="1" outlineLevel="2" x14ac:dyDescent="0.2">
      <c r="A405" s="1967" t="s">
        <v>1251</v>
      </c>
      <c r="B405" s="1967" t="s">
        <v>1252</v>
      </c>
      <c r="C405" s="1967" t="s">
        <v>1253</v>
      </c>
      <c r="D405" s="1967" t="s">
        <v>1254</v>
      </c>
      <c r="E405" s="1967" t="s">
        <v>906</v>
      </c>
      <c r="F405" s="1969">
        <v>28760.291359999999</v>
      </c>
      <c r="G405" s="1962">
        <v>7430.8547826129588</v>
      </c>
      <c r="H405" s="1962">
        <v>2053.8041014690953</v>
      </c>
      <c r="I405" s="1962">
        <v>1697.2121038576038</v>
      </c>
      <c r="J405" s="1953" t="str">
        <f>LEFT(A405,3)</f>
        <v>456</v>
      </c>
    </row>
    <row r="406" spans="1:10" ht="12.75" hidden="1" outlineLevel="2" x14ac:dyDescent="0.2">
      <c r="A406" s="1961" t="s">
        <v>1251</v>
      </c>
      <c r="B406" s="1961" t="s">
        <v>1252</v>
      </c>
      <c r="C406" s="1961" t="s">
        <v>1255</v>
      </c>
      <c r="D406" s="1961" t="s">
        <v>1256</v>
      </c>
      <c r="E406" s="1961" t="s">
        <v>906</v>
      </c>
      <c r="F406" s="1969">
        <v>314.24977000000001</v>
      </c>
      <c r="G406" s="1962">
        <v>81.193350133693585</v>
      </c>
      <c r="H406" s="1962">
        <v>22.440922396542785</v>
      </c>
      <c r="I406" s="1962">
        <v>18.544614399152181</v>
      </c>
      <c r="J406" s="1953" t="str">
        <f>LEFT(A406,3)</f>
        <v>456</v>
      </c>
    </row>
    <row r="407" spans="1:10" ht="13.5" outlineLevel="1" collapsed="1" thickBot="1" x14ac:dyDescent="0.25">
      <c r="A407" s="1963" t="s">
        <v>1257</v>
      </c>
      <c r="B407" s="1964"/>
      <c r="C407" s="1964"/>
      <c r="D407" s="1964"/>
      <c r="E407" s="1963"/>
      <c r="F407" s="1972">
        <f>(SUBTOTAL(9,F405:F406))</f>
        <v>29074.541129999998</v>
      </c>
      <c r="G407" s="1965">
        <f t="shared" ref="G407:I407" si="44">SUBTOTAL(9,G405:G406)</f>
        <v>7512.0481327466523</v>
      </c>
      <c r="H407" s="1965">
        <f t="shared" si="44"/>
        <v>2076.2450238656379</v>
      </c>
      <c r="I407" s="1965">
        <f t="shared" si="44"/>
        <v>1715.7567182567559</v>
      </c>
      <c r="J407" s="1953" t="str">
        <f>LEFT(A407,4)</f>
        <v xml:space="preserve"> 456</v>
      </c>
    </row>
    <row r="408" spans="1:10" ht="12.75" hidden="1" outlineLevel="2" x14ac:dyDescent="0.2">
      <c r="A408" s="1967" t="s">
        <v>1258</v>
      </c>
      <c r="B408" s="1967" t="s">
        <v>1259</v>
      </c>
      <c r="C408" s="1967" t="s">
        <v>1260</v>
      </c>
      <c r="D408" s="1967" t="s">
        <v>1261</v>
      </c>
      <c r="E408" s="1967" t="s">
        <v>1083</v>
      </c>
      <c r="F408" s="1969">
        <v>-3942.9346700000001</v>
      </c>
      <c r="G408" s="1962">
        <v>-1068.2944759253432</v>
      </c>
      <c r="H408" s="1962">
        <v>-300.36917100508811</v>
      </c>
      <c r="I408" s="1962">
        <v>-213.45613610225655</v>
      </c>
      <c r="J408" s="1953" t="str">
        <f>LEFT(A408,3)</f>
        <v>456</v>
      </c>
    </row>
    <row r="409" spans="1:10" ht="13.5" outlineLevel="1" collapsed="1" thickBot="1" x14ac:dyDescent="0.25">
      <c r="A409" s="1963" t="s">
        <v>1262</v>
      </c>
      <c r="B409" s="1963"/>
      <c r="C409" s="1963"/>
      <c r="D409" s="1963"/>
      <c r="E409" s="1963"/>
      <c r="F409" s="1972">
        <f>(SUBTOTAL(9,F408:F408))</f>
        <v>-3942.9346700000001</v>
      </c>
      <c r="G409" s="1970">
        <f t="shared" ref="G409:I409" si="45">SUBTOTAL(9,G408:G408)</f>
        <v>-1068.2944759253432</v>
      </c>
      <c r="H409" s="1970">
        <f t="shared" si="45"/>
        <v>-300.36917100508811</v>
      </c>
      <c r="I409" s="1970">
        <f t="shared" si="45"/>
        <v>-213.45613610225655</v>
      </c>
      <c r="J409" s="1953" t="str">
        <f>LEFT(A409,4)</f>
        <v xml:space="preserve"> 456</v>
      </c>
    </row>
    <row r="410" spans="1:10" ht="12.75" hidden="1" outlineLevel="2" x14ac:dyDescent="0.2">
      <c r="A410" s="1967" t="s">
        <v>1263</v>
      </c>
      <c r="B410" s="1967" t="s">
        <v>1264</v>
      </c>
      <c r="C410" s="1967" t="s">
        <v>1265</v>
      </c>
      <c r="D410" s="1967" t="s">
        <v>1266</v>
      </c>
      <c r="E410" s="1967" t="s">
        <v>1083</v>
      </c>
      <c r="F410" s="1969">
        <v>11.605</v>
      </c>
      <c r="G410" s="1962">
        <v>3.1442462101746185</v>
      </c>
      <c r="H410" s="1962">
        <v>0.8840583274269791</v>
      </c>
      <c r="I410" s="1962">
        <v>0.62825247354825875</v>
      </c>
      <c r="J410" s="1953" t="str">
        <f>LEFT(A410,3)</f>
        <v>456</v>
      </c>
    </row>
    <row r="411" spans="1:10" ht="13.5" outlineLevel="1" collapsed="1" thickBot="1" x14ac:dyDescent="0.25">
      <c r="A411" s="1963" t="s">
        <v>1267</v>
      </c>
      <c r="B411" s="1963"/>
      <c r="C411" s="1963"/>
      <c r="D411" s="1963"/>
      <c r="E411" s="1963"/>
      <c r="F411" s="1972">
        <f>(SUBTOTAL(9,F410:F410))</f>
        <v>11.605</v>
      </c>
      <c r="G411" s="1970">
        <f t="shared" ref="G411:I411" si="46">SUBTOTAL(9,G410:G410)</f>
        <v>3.1442462101746185</v>
      </c>
      <c r="H411" s="1970">
        <f t="shared" si="46"/>
        <v>0.8840583274269791</v>
      </c>
      <c r="I411" s="1970">
        <f t="shared" si="46"/>
        <v>0.62825247354825875</v>
      </c>
      <c r="J411" s="1953" t="str">
        <f>LEFT(A411,5)</f>
        <v xml:space="preserve"> 4562</v>
      </c>
    </row>
    <row r="412" spans="1:10" ht="12.75" hidden="1" outlineLevel="2" x14ac:dyDescent="0.2">
      <c r="A412" s="1967" t="s">
        <v>1268</v>
      </c>
      <c r="B412" s="1967" t="s">
        <v>1269</v>
      </c>
      <c r="C412" s="1967" t="s">
        <v>1270</v>
      </c>
      <c r="D412" s="1967" t="s">
        <v>1271</v>
      </c>
      <c r="E412" s="1967" t="s">
        <v>912</v>
      </c>
      <c r="F412" s="1969">
        <v>-5.6009999999999997E-2</v>
      </c>
      <c r="G412" s="1962">
        <v>-5.6009999999999997E-2</v>
      </c>
      <c r="H412" s="1962">
        <v>0</v>
      </c>
      <c r="I412" s="1962">
        <v>0</v>
      </c>
      <c r="J412" s="1953" t="str">
        <f t="shared" ref="J412:J425" si="47">LEFT(A412,3)</f>
        <v>456</v>
      </c>
    </row>
    <row r="413" spans="1:10" ht="12.75" hidden="1" outlineLevel="2" x14ac:dyDescent="0.2">
      <c r="A413" s="1961" t="s">
        <v>1268</v>
      </c>
      <c r="B413" s="1961" t="s">
        <v>1269</v>
      </c>
      <c r="C413" s="1961" t="s">
        <v>1272</v>
      </c>
      <c r="D413" s="1961" t="s">
        <v>1273</v>
      </c>
      <c r="E413" s="1961" t="s">
        <v>920</v>
      </c>
      <c r="F413" s="1969">
        <v>24</v>
      </c>
      <c r="G413" s="1962">
        <v>0</v>
      </c>
      <c r="H413" s="1962">
        <v>0</v>
      </c>
      <c r="I413" s="1962">
        <v>0</v>
      </c>
      <c r="J413" s="1953" t="str">
        <f t="shared" si="47"/>
        <v>456</v>
      </c>
    </row>
    <row r="414" spans="1:10" ht="12.75" hidden="1" outlineLevel="2" x14ac:dyDescent="0.2">
      <c r="A414" s="1961" t="s">
        <v>1268</v>
      </c>
      <c r="B414" s="1961" t="s">
        <v>1269</v>
      </c>
      <c r="C414" s="1961" t="s">
        <v>1272</v>
      </c>
      <c r="D414" s="1961" t="s">
        <v>1273</v>
      </c>
      <c r="E414" s="1961" t="s">
        <v>923</v>
      </c>
      <c r="F414" s="1969">
        <v>1.039E-2</v>
      </c>
      <c r="G414" s="1962">
        <v>0</v>
      </c>
      <c r="H414" s="1962">
        <v>0</v>
      </c>
      <c r="I414" s="1962">
        <v>0</v>
      </c>
      <c r="J414" s="1953" t="str">
        <f t="shared" si="47"/>
        <v>456</v>
      </c>
    </row>
    <row r="415" spans="1:10" ht="12.75" hidden="1" outlineLevel="2" x14ac:dyDescent="0.2">
      <c r="A415" s="1961" t="s">
        <v>1268</v>
      </c>
      <c r="B415" s="1961" t="s">
        <v>1269</v>
      </c>
      <c r="C415" s="1961" t="s">
        <v>1274</v>
      </c>
      <c r="D415" s="1961" t="s">
        <v>1275</v>
      </c>
      <c r="E415" s="1961" t="s">
        <v>1083</v>
      </c>
      <c r="F415" s="1969">
        <v>2298.10673</v>
      </c>
      <c r="G415" s="1962">
        <v>622.64656409989527</v>
      </c>
      <c r="H415" s="1962">
        <v>175.0676770333894</v>
      </c>
      <c r="I415" s="1962">
        <v>124.41113637228783</v>
      </c>
      <c r="J415" s="1953" t="str">
        <f t="shared" si="47"/>
        <v>456</v>
      </c>
    </row>
    <row r="416" spans="1:10" ht="12.75" hidden="1" outlineLevel="2" x14ac:dyDescent="0.2">
      <c r="A416" s="1961" t="s">
        <v>1268</v>
      </c>
      <c r="B416" s="1961" t="s">
        <v>1269</v>
      </c>
      <c r="C416" s="1961" t="s">
        <v>1276</v>
      </c>
      <c r="D416" s="1961" t="s">
        <v>1277</v>
      </c>
      <c r="E416" s="1961" t="s">
        <v>1083</v>
      </c>
      <c r="F416" s="1969">
        <v>294.26247999999998</v>
      </c>
      <c r="G416" s="1962">
        <v>79.727159632622516</v>
      </c>
      <c r="H416" s="1962">
        <v>22.416647642681159</v>
      </c>
      <c r="I416" s="1962">
        <v>15.930299951093925</v>
      </c>
      <c r="J416" s="1953" t="str">
        <f t="shared" si="47"/>
        <v>456</v>
      </c>
    </row>
    <row r="417" spans="1:10" ht="12.75" hidden="1" outlineLevel="2" x14ac:dyDescent="0.2">
      <c r="A417" s="1961" t="s">
        <v>1268</v>
      </c>
      <c r="B417" s="1961" t="s">
        <v>1269</v>
      </c>
      <c r="C417" s="1961" t="s">
        <v>1278</v>
      </c>
      <c r="D417" s="1961" t="s">
        <v>1279</v>
      </c>
      <c r="E417" s="1961" t="s">
        <v>936</v>
      </c>
      <c r="F417" s="1969">
        <v>-2278.1300299999998</v>
      </c>
      <c r="G417" s="1962">
        <v>0</v>
      </c>
      <c r="H417" s="1962">
        <v>0</v>
      </c>
      <c r="I417" s="1962">
        <v>0</v>
      </c>
      <c r="J417" s="1953" t="str">
        <f t="shared" si="47"/>
        <v>456</v>
      </c>
    </row>
    <row r="418" spans="1:10" ht="12.75" hidden="1" outlineLevel="2" x14ac:dyDescent="0.2">
      <c r="A418" s="1961" t="s">
        <v>1268</v>
      </c>
      <c r="B418" s="1961" t="s">
        <v>1269</v>
      </c>
      <c r="C418" s="1961" t="s">
        <v>1278</v>
      </c>
      <c r="D418" s="1961" t="s">
        <v>1279</v>
      </c>
      <c r="E418" s="1961" t="s">
        <v>1083</v>
      </c>
      <c r="F418" s="1969">
        <v>14154.918970000001</v>
      </c>
      <c r="G418" s="1962">
        <v>3835.1185115684025</v>
      </c>
      <c r="H418" s="1962">
        <v>1078.3088314935474</v>
      </c>
      <c r="I418" s="1962">
        <v>766.29580833930811</v>
      </c>
      <c r="J418" s="1953" t="str">
        <f t="shared" si="47"/>
        <v>456</v>
      </c>
    </row>
    <row r="419" spans="1:10" ht="12.75" hidden="1" outlineLevel="2" x14ac:dyDescent="0.2">
      <c r="A419" s="1961" t="s">
        <v>1268</v>
      </c>
      <c r="B419" s="1961" t="s">
        <v>1269</v>
      </c>
      <c r="C419" s="1961" t="s">
        <v>1280</v>
      </c>
      <c r="D419" s="1961" t="s">
        <v>1281</v>
      </c>
      <c r="E419" s="1961" t="s">
        <v>1083</v>
      </c>
      <c r="F419" s="1969">
        <v>262.72185999999999</v>
      </c>
      <c r="G419" s="1962">
        <v>71.181577995262955</v>
      </c>
      <c r="H419" s="1962">
        <v>20.013911945722096</v>
      </c>
      <c r="I419" s="1962">
        <v>14.22280554934936</v>
      </c>
      <c r="J419" s="1953" t="str">
        <f t="shared" si="47"/>
        <v>456</v>
      </c>
    </row>
    <row r="420" spans="1:10" ht="12.75" hidden="1" outlineLevel="2" x14ac:dyDescent="0.2">
      <c r="A420" s="1961" t="s">
        <v>1268</v>
      </c>
      <c r="B420" s="1961" t="s">
        <v>1269</v>
      </c>
      <c r="C420" s="1961" t="s">
        <v>1282</v>
      </c>
      <c r="D420" s="1961" t="s">
        <v>1283</v>
      </c>
      <c r="E420" s="1961" t="s">
        <v>1083</v>
      </c>
      <c r="F420" s="1969">
        <v>3046.86841</v>
      </c>
      <c r="G420" s="1962">
        <v>825.51524782794183</v>
      </c>
      <c r="H420" s="1962">
        <v>232.10765966692796</v>
      </c>
      <c r="I420" s="1962">
        <v>164.94636925105991</v>
      </c>
      <c r="J420" s="1953" t="str">
        <f t="shared" si="47"/>
        <v>456</v>
      </c>
    </row>
    <row r="421" spans="1:10" ht="12.75" hidden="1" outlineLevel="2" x14ac:dyDescent="0.2">
      <c r="A421" s="1961" t="s">
        <v>1268</v>
      </c>
      <c r="B421" s="1961" t="s">
        <v>1269</v>
      </c>
      <c r="C421" s="1961" t="s">
        <v>1284</v>
      </c>
      <c r="D421" s="1961" t="s">
        <v>1285</v>
      </c>
      <c r="E421" s="1961" t="s">
        <v>922</v>
      </c>
      <c r="F421" s="1969">
        <v>117.62594</v>
      </c>
      <c r="G421" s="1962">
        <v>0</v>
      </c>
      <c r="H421" s="1962">
        <v>0</v>
      </c>
      <c r="I421" s="1962">
        <v>0</v>
      </c>
      <c r="J421" s="1953" t="str">
        <f t="shared" si="47"/>
        <v>456</v>
      </c>
    </row>
    <row r="422" spans="1:10" ht="12.75" hidden="1" outlineLevel="2" x14ac:dyDescent="0.2">
      <c r="A422" s="1961" t="s">
        <v>1268</v>
      </c>
      <c r="B422" s="1961" t="s">
        <v>1269</v>
      </c>
      <c r="C422" s="1961" t="s">
        <v>1286</v>
      </c>
      <c r="D422" s="1961" t="s">
        <v>1287</v>
      </c>
      <c r="E422" s="1961" t="s">
        <v>1083</v>
      </c>
      <c r="F422" s="1969">
        <v>2.3033600000000001</v>
      </c>
      <c r="G422" s="1962">
        <v>0.62406987941988878</v>
      </c>
      <c r="H422" s="1962">
        <v>0.17546786635607123</v>
      </c>
      <c r="I422" s="1962">
        <v>0.12469552929531386</v>
      </c>
      <c r="J422" s="1953" t="str">
        <f t="shared" si="47"/>
        <v>456</v>
      </c>
    </row>
    <row r="423" spans="1:10" ht="12.75" hidden="1" outlineLevel="2" x14ac:dyDescent="0.2">
      <c r="A423" s="1961" t="s">
        <v>1268</v>
      </c>
      <c r="B423" s="1961" t="s">
        <v>1269</v>
      </c>
      <c r="C423" s="1961" t="s">
        <v>1288</v>
      </c>
      <c r="D423" s="1961" t="s">
        <v>1289</v>
      </c>
      <c r="E423" s="1961" t="s">
        <v>1083</v>
      </c>
      <c r="F423" s="1969">
        <v>7.6675899999999997</v>
      </c>
      <c r="G423" s="1962">
        <v>2.0774485823931754</v>
      </c>
      <c r="H423" s="1962">
        <v>0.5841100207493175</v>
      </c>
      <c r="I423" s="1962">
        <v>0.41509542297750046</v>
      </c>
      <c r="J423" s="1953" t="str">
        <f t="shared" si="47"/>
        <v>456</v>
      </c>
    </row>
    <row r="424" spans="1:10" ht="12.75" hidden="1" outlineLevel="2" x14ac:dyDescent="0.2">
      <c r="A424" s="1961" t="s">
        <v>1268</v>
      </c>
      <c r="B424" s="1961" t="s">
        <v>1269</v>
      </c>
      <c r="C424" s="1961" t="s">
        <v>1290</v>
      </c>
      <c r="D424" s="1961" t="s">
        <v>1291</v>
      </c>
      <c r="E424" s="1961" t="s">
        <v>1083</v>
      </c>
      <c r="F424" s="1969">
        <v>1478.98092</v>
      </c>
      <c r="G424" s="1962">
        <v>400.7134987187049</v>
      </c>
      <c r="H424" s="1962">
        <v>112.66741908070786</v>
      </c>
      <c r="I424" s="1962">
        <v>80.066645525263183</v>
      </c>
      <c r="J424" s="1953" t="str">
        <f t="shared" si="47"/>
        <v>456</v>
      </c>
    </row>
    <row r="425" spans="1:10" ht="12.75" hidden="1" outlineLevel="2" x14ac:dyDescent="0.2">
      <c r="A425" s="1961" t="s">
        <v>1268</v>
      </c>
      <c r="B425" s="1961" t="s">
        <v>1269</v>
      </c>
      <c r="C425" s="1961" t="s">
        <v>1292</v>
      </c>
      <c r="D425" s="1961" t="s">
        <v>1293</v>
      </c>
      <c r="E425" s="1961" t="s">
        <v>1083</v>
      </c>
      <c r="F425" s="1969">
        <v>250.40634</v>
      </c>
      <c r="G425" s="1962">
        <v>67.844824260982065</v>
      </c>
      <c r="H425" s="1962">
        <v>19.075726852004433</v>
      </c>
      <c r="I425" s="1962">
        <v>13.556088108329709</v>
      </c>
      <c r="J425" s="1953" t="str">
        <f t="shared" si="47"/>
        <v>456</v>
      </c>
    </row>
    <row r="426" spans="1:10" ht="13.5" outlineLevel="1" collapsed="1" thickBot="1" x14ac:dyDescent="0.25">
      <c r="A426" s="1963" t="s">
        <v>1294</v>
      </c>
      <c r="B426" s="1964"/>
      <c r="C426" s="1964"/>
      <c r="D426" s="1964"/>
      <c r="E426" s="1963"/>
      <c r="F426" s="1972">
        <f>(SUBTOTAL(9,F412:F425))</f>
        <v>19659.686950000003</v>
      </c>
      <c r="G426" s="1965">
        <f t="shared" ref="G426:I426" si="48">SUBTOTAL(9,G412:G425)</f>
        <v>5905.3928925656246</v>
      </c>
      <c r="H426" s="1965">
        <f t="shared" si="48"/>
        <v>1660.4174516020855</v>
      </c>
      <c r="I426" s="1965">
        <f t="shared" si="48"/>
        <v>1179.9689440489649</v>
      </c>
      <c r="J426" s="1953" t="str">
        <f>LEFT(A426,5)</f>
        <v xml:space="preserve"> 4562</v>
      </c>
    </row>
    <row r="427" spans="1:10" ht="12.75" hidden="1" outlineLevel="2" x14ac:dyDescent="0.2">
      <c r="A427" s="1967" t="s">
        <v>1295</v>
      </c>
      <c r="B427" s="1967" t="s">
        <v>1296</v>
      </c>
      <c r="C427" s="1967" t="s">
        <v>1297</v>
      </c>
      <c r="D427" s="1967" t="s">
        <v>1298</v>
      </c>
      <c r="E427" s="1967" t="s">
        <v>1083</v>
      </c>
      <c r="F427" s="1969">
        <v>17.038699999999999</v>
      </c>
      <c r="G427" s="1962">
        <v>4.6164470401811517</v>
      </c>
      <c r="H427" s="1962">
        <v>1.2979926431305528</v>
      </c>
      <c r="I427" s="1962">
        <v>0.9224132202539177</v>
      </c>
      <c r="J427" s="1953" t="str">
        <f>LEFT(A427,3)</f>
        <v>456</v>
      </c>
    </row>
    <row r="428" spans="1:10" ht="13.5" outlineLevel="1" collapsed="1" thickBot="1" x14ac:dyDescent="0.25">
      <c r="A428" s="1963" t="s">
        <v>1299</v>
      </c>
      <c r="B428" s="1963"/>
      <c r="C428" s="1963"/>
      <c r="D428" s="1963"/>
      <c r="E428" s="1963"/>
      <c r="F428" s="1972">
        <f>(SUBTOTAL(9,F427:F427))</f>
        <v>17.038699999999999</v>
      </c>
      <c r="G428" s="1970">
        <f t="shared" ref="G428:I428" si="49">SUBTOTAL(9,G427:G427)</f>
        <v>4.6164470401811517</v>
      </c>
      <c r="H428" s="1970">
        <f t="shared" si="49"/>
        <v>1.2979926431305528</v>
      </c>
      <c r="I428" s="1970">
        <f t="shared" si="49"/>
        <v>0.9224132202539177</v>
      </c>
      <c r="J428" s="1953" t="str">
        <f>LEFT(A428,5)</f>
        <v xml:space="preserve"> 4562</v>
      </c>
    </row>
    <row r="429" spans="1:10" ht="12.75" hidden="1" outlineLevel="2" x14ac:dyDescent="0.2">
      <c r="A429" s="1967" t="s">
        <v>1300</v>
      </c>
      <c r="B429" s="1967" t="s">
        <v>1301</v>
      </c>
      <c r="C429" s="1967" t="s">
        <v>1302</v>
      </c>
      <c r="D429" s="1967" t="s">
        <v>1301</v>
      </c>
      <c r="E429" s="1967" t="s">
        <v>1083</v>
      </c>
      <c r="F429" s="1969">
        <v>6.9339000000000004</v>
      </c>
      <c r="G429" s="1962">
        <v>1.8786634034235059</v>
      </c>
      <c r="H429" s="1962">
        <v>0.52821818496733564</v>
      </c>
      <c r="I429" s="1962">
        <v>0.37537611601346588</v>
      </c>
      <c r="J429" s="1953" t="str">
        <f>LEFT(A429,3)</f>
        <v>456</v>
      </c>
    </row>
    <row r="430" spans="1:10" ht="12.75" hidden="1" outlineLevel="2" x14ac:dyDescent="0.2">
      <c r="A430" s="1961" t="s">
        <v>1300</v>
      </c>
      <c r="B430" s="1961" t="s">
        <v>1301</v>
      </c>
      <c r="C430" s="1961" t="s">
        <v>1302</v>
      </c>
      <c r="D430" s="1961" t="s">
        <v>1301</v>
      </c>
      <c r="E430" s="1961" t="s">
        <v>913</v>
      </c>
      <c r="F430" s="1969">
        <v>0.52183999999999997</v>
      </c>
      <c r="G430" s="1962">
        <v>0.14597842045308945</v>
      </c>
      <c r="H430" s="1962">
        <v>3.8954980609445446E-2</v>
      </c>
      <c r="I430" s="1962">
        <v>2.7831024710519958E-2</v>
      </c>
      <c r="J430" s="1953" t="str">
        <f>LEFT(A430,3)</f>
        <v>456</v>
      </c>
    </row>
    <row r="431" spans="1:10" ht="12.75" hidden="1" outlineLevel="2" x14ac:dyDescent="0.2">
      <c r="A431" s="1961" t="s">
        <v>1300</v>
      </c>
      <c r="B431" s="1961" t="s">
        <v>1301</v>
      </c>
      <c r="C431" s="1961" t="s">
        <v>1302</v>
      </c>
      <c r="D431" s="1961" t="s">
        <v>1301</v>
      </c>
      <c r="E431" s="1961" t="s">
        <v>920</v>
      </c>
      <c r="F431" s="1969">
        <v>14.24558</v>
      </c>
      <c r="G431" s="1962">
        <v>0</v>
      </c>
      <c r="H431" s="1962">
        <v>0</v>
      </c>
      <c r="I431" s="1962">
        <v>0</v>
      </c>
      <c r="J431" s="1953" t="str">
        <f>LEFT(A431,3)</f>
        <v>456</v>
      </c>
    </row>
    <row r="432" spans="1:10" ht="12.75" hidden="1" outlineLevel="2" x14ac:dyDescent="0.2">
      <c r="A432" s="1961" t="s">
        <v>1300</v>
      </c>
      <c r="B432" s="1961" t="s">
        <v>1301</v>
      </c>
      <c r="C432" s="1961" t="s">
        <v>1302</v>
      </c>
      <c r="D432" s="1961" t="s">
        <v>1301</v>
      </c>
      <c r="E432" s="1961" t="s">
        <v>922</v>
      </c>
      <c r="F432" s="1969">
        <v>0.10915</v>
      </c>
      <c r="G432" s="1962">
        <v>0</v>
      </c>
      <c r="H432" s="1962">
        <v>0</v>
      </c>
      <c r="I432" s="1962">
        <v>0</v>
      </c>
      <c r="J432" s="1953" t="str">
        <f>LEFT(A432,3)</f>
        <v>456</v>
      </c>
    </row>
    <row r="433" spans="1:10" ht="13.5" outlineLevel="1" collapsed="1" thickBot="1" x14ac:dyDescent="0.25">
      <c r="A433" s="1963" t="s">
        <v>1303</v>
      </c>
      <c r="B433" s="1964"/>
      <c r="C433" s="1964"/>
      <c r="D433" s="1964"/>
      <c r="E433" s="1963"/>
      <c r="F433" s="1972">
        <f>(SUBTOTAL(9,F429:F432))</f>
        <v>21.810470000000002</v>
      </c>
      <c r="G433" s="1965">
        <f t="shared" ref="G433:I433" si="50">SUBTOTAL(9,G429:G432)</f>
        <v>2.0246418238765953</v>
      </c>
      <c r="H433" s="1965">
        <f t="shared" si="50"/>
        <v>0.5671731655767811</v>
      </c>
      <c r="I433" s="1965">
        <f t="shared" si="50"/>
        <v>0.40320714072398584</v>
      </c>
      <c r="J433" s="1953" t="str">
        <f>LEFT(A433,5)</f>
        <v xml:space="preserve"> 4562</v>
      </c>
    </row>
    <row r="434" spans="1:10" ht="12.75" hidden="1" outlineLevel="2" x14ac:dyDescent="0.2">
      <c r="A434" s="1967" t="s">
        <v>1304</v>
      </c>
      <c r="B434" s="1967" t="s">
        <v>1305</v>
      </c>
      <c r="C434" s="1967" t="s">
        <v>1306</v>
      </c>
      <c r="D434" s="1967" t="s">
        <v>1307</v>
      </c>
      <c r="E434" s="1967" t="s">
        <v>920</v>
      </c>
      <c r="F434" s="1969">
        <v>42.723529999999997</v>
      </c>
      <c r="G434" s="1962">
        <v>0</v>
      </c>
      <c r="H434" s="1962">
        <v>0</v>
      </c>
      <c r="I434" s="1962">
        <v>0</v>
      </c>
      <c r="J434" s="1953" t="str">
        <f>LEFT(A434,3)</f>
        <v>456</v>
      </c>
    </row>
    <row r="435" spans="1:10" ht="13.5" outlineLevel="1" collapsed="1" thickBot="1" x14ac:dyDescent="0.25">
      <c r="A435" s="1963" t="s">
        <v>1308</v>
      </c>
      <c r="B435" s="1963"/>
      <c r="C435" s="1963"/>
      <c r="D435" s="1963"/>
      <c r="E435" s="1963"/>
      <c r="F435" s="1972">
        <f>(SUBTOTAL(9,F434:F434))</f>
        <v>42.723529999999997</v>
      </c>
      <c r="G435" s="1970">
        <f t="shared" ref="G435:I435" si="51">SUBTOTAL(9,G434:G434)</f>
        <v>0</v>
      </c>
      <c r="H435" s="1970">
        <f t="shared" si="51"/>
        <v>0</v>
      </c>
      <c r="I435" s="1970">
        <f t="shared" si="51"/>
        <v>0</v>
      </c>
      <c r="J435" s="1953" t="str">
        <f>LEFT(A435,5)</f>
        <v xml:space="preserve"> 4562</v>
      </c>
    </row>
    <row r="436" spans="1:10" ht="12.75" hidden="1" outlineLevel="2" x14ac:dyDescent="0.2">
      <c r="A436" s="1967" t="s">
        <v>1309</v>
      </c>
      <c r="B436" s="1967" t="s">
        <v>1310</v>
      </c>
      <c r="C436" s="1967" t="s">
        <v>1311</v>
      </c>
      <c r="D436" s="1967" t="s">
        <v>1312</v>
      </c>
      <c r="E436" s="1967" t="s">
        <v>1083</v>
      </c>
      <c r="F436" s="1969">
        <v>-100.06151</v>
      </c>
      <c r="G436" s="1962">
        <v>-27.110557828681575</v>
      </c>
      <c r="H436" s="1962">
        <v>-7.6225946721600977</v>
      </c>
      <c r="I436" s="1962">
        <v>-5.4169660632894292</v>
      </c>
      <c r="J436" s="1953" t="str">
        <f t="shared" ref="J436:J442" si="52">LEFT(A436,3)</f>
        <v>456</v>
      </c>
    </row>
    <row r="437" spans="1:10" ht="12.75" hidden="1" outlineLevel="2" x14ac:dyDescent="0.2">
      <c r="A437" s="1961" t="s">
        <v>1309</v>
      </c>
      <c r="B437" s="1961" t="s">
        <v>1310</v>
      </c>
      <c r="C437" s="1961" t="s">
        <v>1313</v>
      </c>
      <c r="D437" s="1961" t="s">
        <v>1314</v>
      </c>
      <c r="E437" s="1961" t="s">
        <v>1083</v>
      </c>
      <c r="F437" s="1969">
        <v>1042.1585</v>
      </c>
      <c r="G437" s="1962">
        <v>282.36130237193152</v>
      </c>
      <c r="H437" s="1962">
        <v>79.390685086067151</v>
      </c>
      <c r="I437" s="1962">
        <v>56.418669147293663</v>
      </c>
      <c r="J437" s="1953" t="str">
        <f t="shared" si="52"/>
        <v>456</v>
      </c>
    </row>
    <row r="438" spans="1:10" ht="12.75" hidden="1" outlineLevel="2" x14ac:dyDescent="0.2">
      <c r="A438" s="1961" t="s">
        <v>1309</v>
      </c>
      <c r="B438" s="1961" t="s">
        <v>1310</v>
      </c>
      <c r="C438" s="1961" t="s">
        <v>1315</v>
      </c>
      <c r="D438" s="1961" t="s">
        <v>1316</v>
      </c>
      <c r="E438" s="1961" t="s">
        <v>1083</v>
      </c>
      <c r="F438" s="1969">
        <v>9163.4336700000003</v>
      </c>
      <c r="G438" s="1962">
        <v>2482.7308564484269</v>
      </c>
      <c r="H438" s="1962">
        <v>698.06202876245277</v>
      </c>
      <c r="I438" s="1962">
        <v>496.07495643023685</v>
      </c>
      <c r="J438" s="1953" t="str">
        <f t="shared" si="52"/>
        <v>456</v>
      </c>
    </row>
    <row r="439" spans="1:10" ht="12.75" hidden="1" outlineLevel="2" x14ac:dyDescent="0.2">
      <c r="A439" s="1961" t="s">
        <v>1309</v>
      </c>
      <c r="B439" s="1961" t="s">
        <v>1310</v>
      </c>
      <c r="C439" s="1961" t="s">
        <v>1317</v>
      </c>
      <c r="D439" s="1961" t="s">
        <v>1318</v>
      </c>
      <c r="E439" s="1961" t="s">
        <v>936</v>
      </c>
      <c r="F439" s="1969">
        <v>1849.75299</v>
      </c>
      <c r="G439" s="1962">
        <v>0</v>
      </c>
      <c r="H439" s="1962">
        <v>0</v>
      </c>
      <c r="I439" s="1962">
        <v>0</v>
      </c>
      <c r="J439" s="1953" t="str">
        <f t="shared" si="52"/>
        <v>456</v>
      </c>
    </row>
    <row r="440" spans="1:10" ht="12.75" hidden="1" outlineLevel="2" x14ac:dyDescent="0.2">
      <c r="A440" s="1961" t="s">
        <v>1309</v>
      </c>
      <c r="B440" s="1961" t="s">
        <v>1310</v>
      </c>
      <c r="C440" s="1961" t="s">
        <v>1319</v>
      </c>
      <c r="D440" s="1961" t="s">
        <v>1320</v>
      </c>
      <c r="E440" s="1961" t="s">
        <v>1083</v>
      </c>
      <c r="F440" s="1969">
        <v>13.923109999999999</v>
      </c>
      <c r="G440" s="1962">
        <v>3.7723124387198905</v>
      </c>
      <c r="H440" s="1962">
        <v>1.0606498353452689</v>
      </c>
      <c r="I440" s="1962">
        <v>0.75374651417358862</v>
      </c>
      <c r="J440" s="1953" t="str">
        <f t="shared" si="52"/>
        <v>456</v>
      </c>
    </row>
    <row r="441" spans="1:10" ht="12.75" hidden="1" outlineLevel="2" x14ac:dyDescent="0.2">
      <c r="A441" s="1961" t="s">
        <v>1309</v>
      </c>
      <c r="B441" s="1961" t="s">
        <v>1310</v>
      </c>
      <c r="C441" s="1961" t="s">
        <v>1321</v>
      </c>
      <c r="D441" s="1961" t="s">
        <v>1322</v>
      </c>
      <c r="E441" s="1961" t="s">
        <v>936</v>
      </c>
      <c r="F441" s="1969">
        <v>691.54471000000001</v>
      </c>
      <c r="G441" s="1962">
        <v>0</v>
      </c>
      <c r="H441" s="1962">
        <v>0</v>
      </c>
      <c r="I441" s="1962">
        <v>0</v>
      </c>
      <c r="J441" s="1953" t="str">
        <f t="shared" si="52"/>
        <v>456</v>
      </c>
    </row>
    <row r="442" spans="1:10" ht="12.75" hidden="1" outlineLevel="2" x14ac:dyDescent="0.2">
      <c r="A442" s="1961" t="s">
        <v>1309</v>
      </c>
      <c r="B442" s="1961" t="s">
        <v>1310</v>
      </c>
      <c r="C442" s="1961" t="s">
        <v>1323</v>
      </c>
      <c r="D442" s="1961" t="s">
        <v>1324</v>
      </c>
      <c r="E442" s="1961" t="s">
        <v>936</v>
      </c>
      <c r="F442" s="1969">
        <v>6704.3076300000002</v>
      </c>
      <c r="G442" s="1962">
        <v>0</v>
      </c>
      <c r="H442" s="1962">
        <v>0</v>
      </c>
      <c r="I442" s="1962">
        <v>0</v>
      </c>
      <c r="J442" s="1953" t="str">
        <f t="shared" si="52"/>
        <v>456</v>
      </c>
    </row>
    <row r="443" spans="1:10" ht="13.5" outlineLevel="1" collapsed="1" thickBot="1" x14ac:dyDescent="0.25">
      <c r="A443" s="1963" t="s">
        <v>1325</v>
      </c>
      <c r="B443" s="1964"/>
      <c r="C443" s="1964"/>
      <c r="D443" s="1964"/>
      <c r="E443" s="1963"/>
      <c r="F443" s="1972">
        <f>(SUBTOTAL(9,F436:F442))</f>
        <v>19365.059100000002</v>
      </c>
      <c r="G443" s="1965">
        <f t="shared" ref="G443:I443" si="53">SUBTOTAL(9,G436:G442)</f>
        <v>2741.7539134303966</v>
      </c>
      <c r="H443" s="1965">
        <f t="shared" si="53"/>
        <v>770.89076901170517</v>
      </c>
      <c r="I443" s="1965">
        <f t="shared" si="53"/>
        <v>547.8304060284147</v>
      </c>
      <c r="J443" s="1953" t="str">
        <f>LEFT(A443,5)</f>
        <v xml:space="preserve"> 4562</v>
      </c>
    </row>
    <row r="444" spans="1:10" ht="12.75" hidden="1" outlineLevel="2" x14ac:dyDescent="0.2">
      <c r="A444" s="1967" t="s">
        <v>1326</v>
      </c>
      <c r="B444" s="1967" t="s">
        <v>1327</v>
      </c>
      <c r="C444" s="1967" t="s">
        <v>1328</v>
      </c>
      <c r="D444" s="1967" t="s">
        <v>1329</v>
      </c>
      <c r="E444" s="1967" t="s">
        <v>936</v>
      </c>
      <c r="F444" s="1969">
        <v>17848.799009999999</v>
      </c>
      <c r="G444" s="1962">
        <v>0</v>
      </c>
      <c r="H444" s="1962">
        <v>0</v>
      </c>
      <c r="I444" s="1962">
        <v>0</v>
      </c>
      <c r="J444" s="1953" t="str">
        <f>LEFT(A444,3)</f>
        <v>456</v>
      </c>
    </row>
    <row r="445" spans="1:10" ht="12.75" hidden="1" outlineLevel="2" x14ac:dyDescent="0.2">
      <c r="A445" s="1961" t="s">
        <v>1326</v>
      </c>
      <c r="B445" s="1961" t="s">
        <v>1327</v>
      </c>
      <c r="C445" s="1961" t="s">
        <v>1330</v>
      </c>
      <c r="D445" s="1961" t="s">
        <v>1331</v>
      </c>
      <c r="E445" s="1961" t="s">
        <v>936</v>
      </c>
      <c r="F445" s="1969">
        <v>-17848.799009999999</v>
      </c>
      <c r="G445" s="1962">
        <v>0</v>
      </c>
      <c r="H445" s="1962">
        <v>0</v>
      </c>
      <c r="I445" s="1962">
        <v>0</v>
      </c>
      <c r="J445" s="1953" t="str">
        <f>LEFT(A445,3)</f>
        <v>456</v>
      </c>
    </row>
    <row r="446" spans="1:10" ht="12.75" hidden="1" outlineLevel="2" x14ac:dyDescent="0.2">
      <c r="A446" s="1961" t="s">
        <v>1326</v>
      </c>
      <c r="B446" s="1961" t="s">
        <v>1327</v>
      </c>
      <c r="C446" s="1961" t="s">
        <v>1332</v>
      </c>
      <c r="D446" s="1961" t="s">
        <v>1333</v>
      </c>
      <c r="E446" s="1961" t="s">
        <v>936</v>
      </c>
      <c r="F446" s="1969">
        <v>24007.250759999999</v>
      </c>
      <c r="G446" s="1962">
        <v>0</v>
      </c>
      <c r="H446" s="1962">
        <v>0</v>
      </c>
      <c r="I446" s="1962">
        <v>0</v>
      </c>
      <c r="J446" s="1953" t="str">
        <f>LEFT(A446,3)</f>
        <v>456</v>
      </c>
    </row>
    <row r="447" spans="1:10" ht="12.75" hidden="1" outlineLevel="2" x14ac:dyDescent="0.2">
      <c r="A447" s="1961" t="s">
        <v>1326</v>
      </c>
      <c r="B447" s="1961" t="s">
        <v>1327</v>
      </c>
      <c r="C447" s="1961" t="s">
        <v>1334</v>
      </c>
      <c r="D447" s="1961" t="s">
        <v>1335</v>
      </c>
      <c r="E447" s="1961" t="s">
        <v>936</v>
      </c>
      <c r="F447" s="1969">
        <v>102.47252</v>
      </c>
      <c r="G447" s="1962">
        <v>0</v>
      </c>
      <c r="H447" s="1962">
        <v>0</v>
      </c>
      <c r="I447" s="1962">
        <v>0</v>
      </c>
      <c r="J447" s="1953" t="str">
        <f>LEFT(A447,3)</f>
        <v>456</v>
      </c>
    </row>
    <row r="448" spans="1:10" ht="13.5" outlineLevel="1" collapsed="1" thickBot="1" x14ac:dyDescent="0.25">
      <c r="A448" s="1963" t="s">
        <v>1336</v>
      </c>
      <c r="B448" s="1964"/>
      <c r="C448" s="1964"/>
      <c r="D448" s="1964"/>
      <c r="E448" s="1963"/>
      <c r="F448" s="1972">
        <f>(SUBTOTAL(9,F444:F447))</f>
        <v>24109.723279999998</v>
      </c>
      <c r="G448" s="1965">
        <f t="shared" ref="G448:I448" si="54">SUBTOTAL(9,G444:G447)</f>
        <v>0</v>
      </c>
      <c r="H448" s="1965">
        <f t="shared" si="54"/>
        <v>0</v>
      </c>
      <c r="I448" s="1965">
        <f t="shared" si="54"/>
        <v>0</v>
      </c>
      <c r="J448" s="1953" t="str">
        <f>LEFT(A448,5)</f>
        <v xml:space="preserve"> 4562</v>
      </c>
    </row>
    <row r="449" spans="1:16" ht="12.75" hidden="1" outlineLevel="2" x14ac:dyDescent="0.2">
      <c r="A449" s="1967" t="s">
        <v>1337</v>
      </c>
      <c r="B449" s="1967" t="s">
        <v>1338</v>
      </c>
      <c r="C449" s="1967" t="s">
        <v>1339</v>
      </c>
      <c r="D449" s="1967" t="s">
        <v>1340</v>
      </c>
      <c r="E449" s="1967" t="s">
        <v>912</v>
      </c>
      <c r="F449" s="1969">
        <v>4075.3882800000001</v>
      </c>
      <c r="G449" s="1962">
        <v>4075.3882800000001</v>
      </c>
      <c r="H449" s="1962">
        <v>0</v>
      </c>
      <c r="I449" s="1962">
        <v>0</v>
      </c>
      <c r="J449" s="1953" t="str">
        <f>LEFT(A449,3)</f>
        <v>456</v>
      </c>
    </row>
    <row r="450" spans="1:16" ht="13.5" outlineLevel="1" collapsed="1" thickBot="1" x14ac:dyDescent="0.25">
      <c r="A450" s="1973" t="s">
        <v>1341</v>
      </c>
      <c r="B450" s="1973"/>
      <c r="C450" s="1973"/>
      <c r="D450" s="1973"/>
      <c r="E450" s="1973"/>
      <c r="F450" s="1974">
        <f t="shared" ref="F450:I450" si="55">SUBTOTAL(9,F449:F449)</f>
        <v>4075.3882800000001</v>
      </c>
      <c r="G450" s="1974">
        <f t="shared" si="55"/>
        <v>4075.3882800000001</v>
      </c>
      <c r="H450" s="1974">
        <f t="shared" si="55"/>
        <v>0</v>
      </c>
      <c r="I450" s="1974">
        <f t="shared" si="55"/>
        <v>0</v>
      </c>
      <c r="J450" s="1953" t="str">
        <f>LEFT(A450,5)</f>
        <v xml:space="preserve"> 4563</v>
      </c>
    </row>
    <row r="451" spans="1:16" ht="13.5" thickBot="1" x14ac:dyDescent="0.25">
      <c r="A451" s="1973" t="s">
        <v>1342</v>
      </c>
      <c r="B451" s="1973"/>
      <c r="C451" s="1973"/>
      <c r="D451" s="1973"/>
      <c r="E451" s="1973"/>
      <c r="F451" s="1974">
        <f t="shared" ref="F451:I451" si="56">SUBTOTAL(9,F37:F449)</f>
        <v>5925808.7528099958</v>
      </c>
      <c r="G451" s="1974">
        <f t="shared" si="56"/>
        <v>1636896.4590603816</v>
      </c>
      <c r="H451" s="1974">
        <f t="shared" si="56"/>
        <v>427186.28479502589</v>
      </c>
      <c r="I451" s="1974">
        <f t="shared" si="56"/>
        <v>330014.77886773663</v>
      </c>
    </row>
    <row r="452" spans="1:16" ht="12.75" hidden="1" outlineLevel="2" x14ac:dyDescent="0.2"/>
    <row r="453" spans="1:16" ht="12.75" hidden="1" outlineLevel="2" x14ac:dyDescent="0.2">
      <c r="F453" s="1975">
        <v>0</v>
      </c>
    </row>
    <row r="454" spans="1:16" ht="12.75" hidden="1" outlineLevel="2" x14ac:dyDescent="0.2"/>
    <row r="455" spans="1:16" ht="12.75" hidden="1" outlineLevel="2" x14ac:dyDescent="0.2">
      <c r="F455" s="1976"/>
    </row>
    <row r="456" spans="1:16" ht="12.75" hidden="1" outlineLevel="2" x14ac:dyDescent="0.2">
      <c r="F456" s="1976"/>
    </row>
    <row r="457" spans="1:16" ht="12.75" hidden="1" outlineLevel="2" x14ac:dyDescent="0.2">
      <c r="F457" s="1976"/>
    </row>
    <row r="458" spans="1:16" ht="12.75" hidden="1" outlineLevel="2" x14ac:dyDescent="0.2">
      <c r="F458" s="1976"/>
    </row>
    <row r="459" spans="1:16" ht="12.75" hidden="1" outlineLevel="2" x14ac:dyDescent="0.2">
      <c r="F459" s="1976"/>
    </row>
    <row r="460" spans="1:16" ht="12.75" hidden="1" outlineLevel="2" x14ac:dyDescent="0.2">
      <c r="F460" s="1976"/>
    </row>
    <row r="461" spans="1:16" ht="12.75" hidden="1" outlineLevel="2" x14ac:dyDescent="0.2">
      <c r="F461" s="1976"/>
    </row>
    <row r="462" spans="1:16" ht="12.75" hidden="1" outlineLevel="2" x14ac:dyDescent="0.2">
      <c r="F462" s="1976"/>
    </row>
    <row r="463" spans="1:16" ht="15.75" collapsed="1" x14ac:dyDescent="0.25">
      <c r="E463" s="2022" t="s">
        <v>5459</v>
      </c>
      <c r="F463" s="2022" t="s">
        <v>5459</v>
      </c>
      <c r="G463" s="2022" t="s">
        <v>5459</v>
      </c>
      <c r="H463" s="2022" t="s">
        <v>5459</v>
      </c>
      <c r="I463" s="2022" t="s">
        <v>5459</v>
      </c>
      <c r="J463" s="2022" t="s">
        <v>5459</v>
      </c>
      <c r="K463" s="2022" t="s">
        <v>5459</v>
      </c>
      <c r="L463" s="3817" t="s">
        <v>5460</v>
      </c>
      <c r="M463" s="3818"/>
      <c r="N463" s="3818"/>
      <c r="O463" s="3818"/>
      <c r="P463" s="3819"/>
    </row>
    <row r="464" spans="1:16" ht="12.75" x14ac:dyDescent="0.2">
      <c r="E464" s="2023" t="s">
        <v>5459</v>
      </c>
      <c r="F464" s="2024" t="s">
        <v>104</v>
      </c>
      <c r="G464" s="2025" t="s">
        <v>898</v>
      </c>
      <c r="H464" s="2025" t="s">
        <v>899</v>
      </c>
      <c r="I464" s="2025" t="s">
        <v>900</v>
      </c>
      <c r="J464" s="2023" t="s">
        <v>5459</v>
      </c>
      <c r="K464" s="2023" t="s">
        <v>5459</v>
      </c>
      <c r="L464" s="2026" t="s">
        <v>5461</v>
      </c>
      <c r="M464" s="2026" t="s">
        <v>912</v>
      </c>
      <c r="N464" s="2027" t="s">
        <v>921</v>
      </c>
      <c r="O464" s="2028" t="s">
        <v>5462</v>
      </c>
      <c r="P464" s="2029" t="s">
        <v>5463</v>
      </c>
    </row>
    <row r="465" spans="5:16" ht="16.5" x14ac:dyDescent="0.3">
      <c r="E465" s="2030">
        <v>447</v>
      </c>
      <c r="F465" s="2031">
        <f t="shared" ref="F465:I471" si="57">SUMIFS(F:F,$J:$J,$E465)</f>
        <v>384429.06017999997</v>
      </c>
      <c r="G465" s="2031">
        <f t="shared" si="57"/>
        <v>95495.441463415467</v>
      </c>
      <c r="H465" s="2031">
        <f t="shared" si="57"/>
        <v>26851.456918593809</v>
      </c>
      <c r="I465" s="2031">
        <f t="shared" si="57"/>
        <v>19073.253942374391</v>
      </c>
      <c r="J465" s="2022" t="s">
        <v>5459</v>
      </c>
      <c r="K465" s="2032">
        <v>447</v>
      </c>
      <c r="L465" s="2033">
        <f t="shared" ref="L465:O472" si="58">F465/$F465</f>
        <v>1</v>
      </c>
      <c r="M465" s="2033">
        <f t="shared" si="58"/>
        <v>0.24840848769003557</v>
      </c>
      <c r="N465" s="2033">
        <f t="shared" si="58"/>
        <v>6.9847625218606629E-2</v>
      </c>
      <c r="O465" s="2033">
        <f t="shared" si="58"/>
        <v>4.9614495671695014E-2</v>
      </c>
      <c r="P465" s="2033">
        <f t="shared" ref="P465:P472" si="59">SUM(M465:O465)</f>
        <v>0.36787060858033721</v>
      </c>
    </row>
    <row r="466" spans="5:16" ht="16.5" x14ac:dyDescent="0.3">
      <c r="E466" s="2030">
        <v>449</v>
      </c>
      <c r="F466" s="2031">
        <f t="shared" si="57"/>
        <v>0</v>
      </c>
      <c r="G466" s="2031">
        <f t="shared" si="57"/>
        <v>0</v>
      </c>
      <c r="H466" s="2031">
        <f t="shared" si="57"/>
        <v>0</v>
      </c>
      <c r="I466" s="2031">
        <f t="shared" si="57"/>
        <v>0</v>
      </c>
      <c r="J466" s="2034" t="s">
        <v>5459</v>
      </c>
      <c r="K466" s="2032">
        <v>449</v>
      </c>
      <c r="L466" s="2033">
        <v>0</v>
      </c>
      <c r="M466" s="2033">
        <v>0</v>
      </c>
      <c r="N466" s="2033">
        <v>0</v>
      </c>
      <c r="O466" s="2033">
        <v>0</v>
      </c>
      <c r="P466" s="2033">
        <v>0</v>
      </c>
    </row>
    <row r="467" spans="5:16" ht="16.5" x14ac:dyDescent="0.3">
      <c r="E467" s="2030">
        <v>450</v>
      </c>
      <c r="F467" s="2031">
        <f t="shared" si="57"/>
        <v>31773.534740000014</v>
      </c>
      <c r="G467" s="2031">
        <f t="shared" si="57"/>
        <v>16150.631999999998</v>
      </c>
      <c r="H467" s="2031">
        <f t="shared" si="57"/>
        <v>59.825419999999994</v>
      </c>
      <c r="I467" s="2031">
        <f t="shared" si="57"/>
        <v>820.1823599999999</v>
      </c>
      <c r="J467" s="2034" t="s">
        <v>5459</v>
      </c>
      <c r="K467" s="2032">
        <v>450</v>
      </c>
      <c r="L467" s="2033">
        <f t="shared" si="58"/>
        <v>1</v>
      </c>
      <c r="M467" s="2033">
        <f t="shared" si="58"/>
        <v>0.50830454125293811</v>
      </c>
      <c r="N467" s="2033">
        <f t="shared" si="58"/>
        <v>1.8828695167077269E-3</v>
      </c>
      <c r="O467" s="2033">
        <f t="shared" si="58"/>
        <v>2.5813381064193161E-2</v>
      </c>
      <c r="P467" s="2033">
        <f t="shared" si="59"/>
        <v>0.53600079183383897</v>
      </c>
    </row>
    <row r="468" spans="5:16" ht="16.5" x14ac:dyDescent="0.3">
      <c r="E468" s="2030">
        <v>451</v>
      </c>
      <c r="F468" s="2031">
        <f t="shared" si="57"/>
        <v>14945.162820000003</v>
      </c>
      <c r="G468" s="2031">
        <f t="shared" si="57"/>
        <v>3207.6324</v>
      </c>
      <c r="H468" s="2031">
        <f t="shared" si="57"/>
        <v>415.11066</v>
      </c>
      <c r="I468" s="2031">
        <f t="shared" si="57"/>
        <v>338.24331999999998</v>
      </c>
      <c r="J468" s="2035" t="s">
        <v>5459</v>
      </c>
      <c r="K468" s="2032">
        <v>451</v>
      </c>
      <c r="L468" s="2033">
        <f t="shared" si="58"/>
        <v>1</v>
      </c>
      <c r="M468" s="2033">
        <f t="shared" si="58"/>
        <v>0.21462679521346287</v>
      </c>
      <c r="N468" s="2033">
        <f t="shared" si="58"/>
        <v>2.77755863217822E-2</v>
      </c>
      <c r="O468" s="2033">
        <f t="shared" si="58"/>
        <v>2.2632294078948009E-2</v>
      </c>
      <c r="P468" s="2033">
        <f t="shared" si="59"/>
        <v>0.26503467561419308</v>
      </c>
    </row>
    <row r="469" spans="5:16" ht="16.5" x14ac:dyDescent="0.3">
      <c r="E469" s="2030">
        <v>453</v>
      </c>
      <c r="F469" s="2031">
        <f t="shared" si="57"/>
        <v>0</v>
      </c>
      <c r="G469" s="2031">
        <f t="shared" si="57"/>
        <v>0</v>
      </c>
      <c r="H469" s="2031">
        <f t="shared" si="57"/>
        <v>0</v>
      </c>
      <c r="I469" s="2031">
        <f t="shared" si="57"/>
        <v>0</v>
      </c>
      <c r="J469" s="2035" t="s">
        <v>5459</v>
      </c>
      <c r="K469" s="2032">
        <v>453</v>
      </c>
      <c r="L469" s="2033">
        <v>0</v>
      </c>
      <c r="M469" s="2033">
        <v>0</v>
      </c>
      <c r="N469" s="2033">
        <v>0</v>
      </c>
      <c r="O469" s="2033">
        <v>0</v>
      </c>
      <c r="P469" s="2033">
        <v>0</v>
      </c>
    </row>
    <row r="470" spans="5:16" ht="16.5" x14ac:dyDescent="0.3">
      <c r="E470" s="2030">
        <v>454</v>
      </c>
      <c r="F470" s="2031">
        <f t="shared" si="57"/>
        <v>39195.20641999998</v>
      </c>
      <c r="G470" s="2031">
        <f t="shared" si="57"/>
        <v>15337.985730065157</v>
      </c>
      <c r="H470" s="2031">
        <f t="shared" si="57"/>
        <v>3337.2285530833269</v>
      </c>
      <c r="I470" s="2031">
        <f t="shared" si="57"/>
        <v>975.33260463177612</v>
      </c>
      <c r="J470" s="2023" t="s">
        <v>5459</v>
      </c>
      <c r="K470" s="2032">
        <v>454</v>
      </c>
      <c r="L470" s="2033">
        <f t="shared" si="58"/>
        <v>1</v>
      </c>
      <c r="M470" s="2033">
        <f t="shared" si="58"/>
        <v>0.39132299918794927</v>
      </c>
      <c r="N470" s="2033">
        <f t="shared" si="58"/>
        <v>8.5143793282345184E-2</v>
      </c>
      <c r="O470" s="2033">
        <f t="shared" si="58"/>
        <v>2.488397673380021E-2</v>
      </c>
      <c r="P470" s="2033">
        <f t="shared" si="59"/>
        <v>0.5013507692040946</v>
      </c>
    </row>
    <row r="471" spans="5:16" ht="16.5" x14ac:dyDescent="0.3">
      <c r="E471" s="2030">
        <v>456</v>
      </c>
      <c r="F471" s="2031">
        <f t="shared" si="57"/>
        <v>407716.63448999997</v>
      </c>
      <c r="G471" s="2031">
        <f t="shared" si="57"/>
        <v>104232.86111504088</v>
      </c>
      <c r="H471" s="2031">
        <f t="shared" si="57"/>
        <v>28089.201238304497</v>
      </c>
      <c r="I471" s="2031">
        <f t="shared" si="57"/>
        <v>20442.040545672236</v>
      </c>
      <c r="J471" s="2023" t="s">
        <v>5459</v>
      </c>
      <c r="K471" s="2032">
        <v>456</v>
      </c>
      <c r="L471" s="2033">
        <f t="shared" si="58"/>
        <v>1</v>
      </c>
      <c r="M471" s="2033">
        <f t="shared" si="58"/>
        <v>0.25565025387159523</v>
      </c>
      <c r="N471" s="2033">
        <f t="shared" si="58"/>
        <v>6.8893929906589171E-2</v>
      </c>
      <c r="O471" s="2033">
        <f t="shared" si="58"/>
        <v>5.0137862467256329E-2</v>
      </c>
      <c r="P471" s="2033">
        <f t="shared" si="59"/>
        <v>0.37468204624544071</v>
      </c>
    </row>
    <row r="472" spans="5:16" ht="16.5" x14ac:dyDescent="0.3">
      <c r="E472" s="2030" t="s">
        <v>5464</v>
      </c>
      <c r="F472" s="2031">
        <f>SUMIFS(F:F,$J:$J,4562)+SUMIFS(F:F,$J:$J,4563)</f>
        <v>67303.035310000007</v>
      </c>
      <c r="G472" s="2031">
        <f>SUMIFS(G:G,$J:$J,4562)+SUMIFS(G:G,$J:$J,4563)</f>
        <v>12732.320421070253</v>
      </c>
      <c r="H472" s="2031">
        <f>SUMIFS(H:H,$J:$J,4562)+SUMIFS(H:H,$J:$J,4563)</f>
        <v>2434.0574447499253</v>
      </c>
      <c r="I472" s="2031">
        <f>SUMIFS(I:I,$J:$J,4562)+SUMIFS(I:I,$J:$J,4563)</f>
        <v>1729.7532229119056</v>
      </c>
      <c r="J472" s="2022" t="s">
        <v>5459</v>
      </c>
      <c r="K472" s="2032" t="s">
        <v>5464</v>
      </c>
      <c r="L472" s="2033">
        <f t="shared" si="58"/>
        <v>1</v>
      </c>
      <c r="M472" s="2033">
        <f t="shared" si="58"/>
        <v>0.189178992632721</v>
      </c>
      <c r="N472" s="2033">
        <f t="shared" si="58"/>
        <v>3.616564146830193E-2</v>
      </c>
      <c r="O472" s="2033">
        <f t="shared" si="58"/>
        <v>2.5700968982225021E-2</v>
      </c>
      <c r="P472" s="2033">
        <f t="shared" si="59"/>
        <v>0.25104560308324797</v>
      </c>
    </row>
    <row r="473" spans="5:16" ht="12.75" x14ac:dyDescent="0.2"/>
    <row r="474" spans="5:16" ht="12.75" x14ac:dyDescent="0.2"/>
    <row r="475" spans="5:16" ht="12.75" x14ac:dyDescent="0.2"/>
    <row r="476" spans="5:16" ht="12.75" x14ac:dyDescent="0.2"/>
    <row r="477" spans="5:16" ht="12.75" x14ac:dyDescent="0.2"/>
    <row r="478" spans="5:16" ht="12.75" x14ac:dyDescent="0.2"/>
    <row r="479" spans="5:16" ht="12.75" x14ac:dyDescent="0.2"/>
    <row r="480" spans="5:16" ht="12.75" x14ac:dyDescent="0.2"/>
    <row r="481" ht="12.75" x14ac:dyDescent="0.2"/>
    <row r="482" ht="12.75" x14ac:dyDescent="0.2"/>
    <row r="483" ht="12.75" x14ac:dyDescent="0.2"/>
    <row r="484" ht="12.75" x14ac:dyDescent="0.2"/>
    <row r="485" ht="12.75" x14ac:dyDescent="0.2"/>
    <row r="486" ht="12.75" x14ac:dyDescent="0.2"/>
    <row r="487" ht="12.75" x14ac:dyDescent="0.2"/>
    <row r="488" ht="12.75" x14ac:dyDescent="0.2"/>
    <row r="489" ht="12.75" x14ac:dyDescent="0.2"/>
    <row r="490" ht="12.75" x14ac:dyDescent="0.2"/>
    <row r="491" ht="12.75" x14ac:dyDescent="0.2"/>
    <row r="492" ht="12.75" x14ac:dyDescent="0.2"/>
    <row r="493" ht="12.75" x14ac:dyDescent="0.2"/>
    <row r="494" ht="12.75" x14ac:dyDescent="0.2"/>
    <row r="495" ht="12.75" x14ac:dyDescent="0.2"/>
    <row r="496" ht="12.75" x14ac:dyDescent="0.2"/>
    <row r="497" ht="12.75" x14ac:dyDescent="0.2"/>
    <row r="498" ht="12.75" x14ac:dyDescent="0.2"/>
    <row r="499" ht="12.75" x14ac:dyDescent="0.2"/>
    <row r="500" ht="12.75" x14ac:dyDescent="0.2"/>
    <row r="501" ht="12.75" x14ac:dyDescent="0.2"/>
    <row r="502" ht="12.75" x14ac:dyDescent="0.2"/>
    <row r="503" ht="12.75" x14ac:dyDescent="0.2"/>
    <row r="504" ht="12.75" x14ac:dyDescent="0.2"/>
    <row r="505" ht="12.75" x14ac:dyDescent="0.2"/>
    <row r="506" ht="12.75" x14ac:dyDescent="0.2"/>
    <row r="507" ht="12.75" x14ac:dyDescent="0.2"/>
    <row r="508" ht="12.75" x14ac:dyDescent="0.2"/>
    <row r="509" ht="12.75" x14ac:dyDescent="0.2"/>
    <row r="510" ht="12.75" x14ac:dyDescent="0.2"/>
    <row r="511" ht="12.75" x14ac:dyDescent="0.2"/>
    <row r="512" ht="12.75" x14ac:dyDescent="0.2"/>
    <row r="513" ht="12.75" x14ac:dyDescent="0.2"/>
    <row r="514" ht="12.75" x14ac:dyDescent="0.2"/>
    <row r="515" ht="12.75" x14ac:dyDescent="0.2"/>
    <row r="516" ht="12.75" x14ac:dyDescent="0.2"/>
    <row r="517" ht="12.75" x14ac:dyDescent="0.2"/>
    <row r="518" ht="12.75" x14ac:dyDescent="0.2"/>
    <row r="519" ht="12.75" x14ac:dyDescent="0.2"/>
    <row r="520" ht="12.75" x14ac:dyDescent="0.2"/>
    <row r="521" ht="12.75" x14ac:dyDescent="0.2"/>
    <row r="522" ht="12.75" x14ac:dyDescent="0.2"/>
    <row r="523" ht="12.75" x14ac:dyDescent="0.2"/>
    <row r="524" ht="12.75" x14ac:dyDescent="0.2"/>
    <row r="525" ht="12.75" x14ac:dyDescent="0.2"/>
    <row r="526" ht="12.75" x14ac:dyDescent="0.2"/>
    <row r="527" ht="12.75" x14ac:dyDescent="0.2"/>
    <row r="528" ht="12.75" x14ac:dyDescent="0.2"/>
    <row r="529" ht="12.75" x14ac:dyDescent="0.2"/>
    <row r="530" ht="12.75" x14ac:dyDescent="0.2"/>
    <row r="531" ht="12.75" x14ac:dyDescent="0.2"/>
    <row r="532" ht="12.75" x14ac:dyDescent="0.2"/>
    <row r="533" ht="12.75" x14ac:dyDescent="0.2"/>
    <row r="534" ht="12.75" x14ac:dyDescent="0.2"/>
    <row r="535" ht="12.75" x14ac:dyDescent="0.2"/>
    <row r="536" ht="12.75" x14ac:dyDescent="0.2"/>
    <row r="537" ht="12.75" x14ac:dyDescent="0.2"/>
    <row r="538" ht="12.75" x14ac:dyDescent="0.2"/>
    <row r="539" ht="12.75" x14ac:dyDescent="0.2"/>
    <row r="540" ht="12.75" x14ac:dyDescent="0.2"/>
    <row r="541" ht="12.75" x14ac:dyDescent="0.2"/>
    <row r="542" ht="12.75" x14ac:dyDescent="0.2"/>
    <row r="543" ht="12.75" x14ac:dyDescent="0.2"/>
    <row r="544" ht="12.75" x14ac:dyDescent="0.2"/>
    <row r="545" ht="12.75" x14ac:dyDescent="0.2"/>
    <row r="546" ht="12.75" x14ac:dyDescent="0.2"/>
    <row r="547" ht="12.75" x14ac:dyDescent="0.2"/>
    <row r="548" ht="12.75" x14ac:dyDescent="0.2"/>
    <row r="549" ht="12.75" x14ac:dyDescent="0.2"/>
    <row r="550" ht="12.75" x14ac:dyDescent="0.2"/>
    <row r="551" ht="12.75" x14ac:dyDescent="0.2"/>
    <row r="552" ht="12.75" x14ac:dyDescent="0.2"/>
    <row r="553" ht="12.75" x14ac:dyDescent="0.2"/>
    <row r="554" ht="12.75" x14ac:dyDescent="0.2"/>
    <row r="555" ht="12.75" x14ac:dyDescent="0.2"/>
    <row r="556" ht="12.75" x14ac:dyDescent="0.2"/>
    <row r="557" ht="12.75" x14ac:dyDescent="0.2"/>
    <row r="558" ht="12.75" x14ac:dyDescent="0.2"/>
    <row r="559" ht="12.75" x14ac:dyDescent="0.2"/>
    <row r="560" ht="12.75" x14ac:dyDescent="0.2"/>
    <row r="561" ht="12.75" x14ac:dyDescent="0.2"/>
    <row r="562" ht="12.75" x14ac:dyDescent="0.2"/>
    <row r="563" ht="12.75" x14ac:dyDescent="0.2"/>
    <row r="564" ht="12.75" x14ac:dyDescent="0.2"/>
    <row r="565" ht="12.75" x14ac:dyDescent="0.2"/>
    <row r="566" ht="12.75" x14ac:dyDescent="0.2"/>
    <row r="567" ht="12.75" x14ac:dyDescent="0.2"/>
    <row r="568" ht="12.75" x14ac:dyDescent="0.2"/>
    <row r="569" ht="12.75" x14ac:dyDescent="0.2"/>
    <row r="570" ht="12.75" x14ac:dyDescent="0.2"/>
    <row r="571" ht="12.75" x14ac:dyDescent="0.2"/>
    <row r="572" ht="12.75" x14ac:dyDescent="0.2"/>
    <row r="573" ht="12.75" x14ac:dyDescent="0.2"/>
    <row r="574" ht="12.75" x14ac:dyDescent="0.2"/>
    <row r="575" ht="12.75" x14ac:dyDescent="0.2"/>
    <row r="576" ht="12.75" x14ac:dyDescent="0.2"/>
    <row r="577" ht="12.75" x14ac:dyDescent="0.2"/>
    <row r="578" ht="12.75" x14ac:dyDescent="0.2"/>
    <row r="579" ht="12.75" x14ac:dyDescent="0.2"/>
    <row r="580" ht="12.75" x14ac:dyDescent="0.2"/>
    <row r="581" ht="12.75" x14ac:dyDescent="0.2"/>
    <row r="582" ht="12.75" x14ac:dyDescent="0.2"/>
    <row r="583" ht="12.75" x14ac:dyDescent="0.2"/>
    <row r="584" ht="12.75" x14ac:dyDescent="0.2"/>
    <row r="585" ht="12.75" x14ac:dyDescent="0.2"/>
    <row r="586" ht="12.75" x14ac:dyDescent="0.2"/>
    <row r="587" ht="12.75" x14ac:dyDescent="0.2"/>
    <row r="588" ht="12.75" x14ac:dyDescent="0.2"/>
    <row r="589" ht="12.75" x14ac:dyDescent="0.2"/>
    <row r="590" ht="12.75" x14ac:dyDescent="0.2"/>
    <row r="591" ht="12.75" x14ac:dyDescent="0.2"/>
    <row r="592" ht="12.75" x14ac:dyDescent="0.2"/>
    <row r="593" ht="12.75" x14ac:dyDescent="0.2"/>
    <row r="594" ht="12.75" x14ac:dyDescent="0.2"/>
    <row r="595" ht="12.75" x14ac:dyDescent="0.2"/>
    <row r="596" ht="12.75" x14ac:dyDescent="0.2"/>
    <row r="597" ht="12.75" x14ac:dyDescent="0.2"/>
    <row r="598" ht="12.75" x14ac:dyDescent="0.2"/>
    <row r="599" ht="12.75" x14ac:dyDescent="0.2"/>
    <row r="600" ht="12.75" x14ac:dyDescent="0.2"/>
    <row r="601" ht="12.75" x14ac:dyDescent="0.2"/>
    <row r="602" ht="12.75" x14ac:dyDescent="0.2"/>
    <row r="603" ht="12.75" x14ac:dyDescent="0.2"/>
    <row r="604" ht="12.75" x14ac:dyDescent="0.2"/>
    <row r="605" ht="12.75" x14ac:dyDescent="0.2"/>
    <row r="606" ht="12.75" x14ac:dyDescent="0.2"/>
    <row r="607" ht="12.75" x14ac:dyDescent="0.2"/>
    <row r="608" ht="12.75" x14ac:dyDescent="0.2"/>
    <row r="609" ht="12.75" x14ac:dyDescent="0.2"/>
    <row r="610" ht="12.75" x14ac:dyDescent="0.2"/>
    <row r="611" ht="12.75" x14ac:dyDescent="0.2"/>
    <row r="612" ht="12.75" x14ac:dyDescent="0.2"/>
    <row r="613" ht="12.75" x14ac:dyDescent="0.2"/>
    <row r="614" ht="12.75" x14ac:dyDescent="0.2"/>
    <row r="615" ht="12.75" x14ac:dyDescent="0.2"/>
    <row r="616" ht="12.75" x14ac:dyDescent="0.2"/>
    <row r="617" ht="12.75" x14ac:dyDescent="0.2"/>
    <row r="618" ht="12.75" x14ac:dyDescent="0.2"/>
    <row r="619" ht="12.75" x14ac:dyDescent="0.2"/>
    <row r="620" ht="12.75" x14ac:dyDescent="0.2"/>
    <row r="621" ht="12.75" x14ac:dyDescent="0.2"/>
    <row r="622" ht="12.75" x14ac:dyDescent="0.2"/>
    <row r="623" ht="12.75" x14ac:dyDescent="0.2"/>
    <row r="624" ht="12.75" x14ac:dyDescent="0.2"/>
    <row r="625" ht="12.75" x14ac:dyDescent="0.2"/>
    <row r="626" ht="12.75" x14ac:dyDescent="0.2"/>
    <row r="627" ht="12.75" x14ac:dyDescent="0.2"/>
    <row r="628" ht="12.75" x14ac:dyDescent="0.2"/>
    <row r="629" ht="12.75" x14ac:dyDescent="0.2"/>
    <row r="630" ht="12.75" x14ac:dyDescent="0.2"/>
    <row r="631" ht="12.75" x14ac:dyDescent="0.2"/>
    <row r="632" ht="12.75" x14ac:dyDescent="0.2"/>
    <row r="633" ht="12.75" x14ac:dyDescent="0.2"/>
    <row r="634" ht="12.75" x14ac:dyDescent="0.2"/>
    <row r="635" ht="12.75" x14ac:dyDescent="0.2"/>
    <row r="636" ht="12.75" x14ac:dyDescent="0.2"/>
    <row r="637" ht="12.75" x14ac:dyDescent="0.2"/>
    <row r="638" ht="12.75" x14ac:dyDescent="0.2"/>
    <row r="639" ht="12.75" x14ac:dyDescent="0.2"/>
    <row r="640" ht="12.75" x14ac:dyDescent="0.2"/>
    <row r="641" ht="12.75" x14ac:dyDescent="0.2"/>
    <row r="642" ht="12.75" x14ac:dyDescent="0.2"/>
    <row r="643" ht="12.75" x14ac:dyDescent="0.2"/>
    <row r="644" ht="12.75" x14ac:dyDescent="0.2"/>
    <row r="645" ht="12.75" x14ac:dyDescent="0.2"/>
    <row r="646" ht="12.75" x14ac:dyDescent="0.2"/>
    <row r="647" ht="12.75" x14ac:dyDescent="0.2"/>
    <row r="648" ht="12.75" x14ac:dyDescent="0.2"/>
    <row r="649" ht="12.75" x14ac:dyDescent="0.2"/>
    <row r="650" ht="12.75" x14ac:dyDescent="0.2"/>
    <row r="651" ht="12.75" x14ac:dyDescent="0.2"/>
    <row r="652" ht="12.75" x14ac:dyDescent="0.2"/>
    <row r="653" ht="12.75" x14ac:dyDescent="0.2"/>
    <row r="654" ht="12.75" x14ac:dyDescent="0.2"/>
    <row r="655" ht="12.75" x14ac:dyDescent="0.2"/>
    <row r="656" ht="12.75" x14ac:dyDescent="0.2"/>
    <row r="657" ht="12.75" x14ac:dyDescent="0.2"/>
    <row r="658" ht="12.75" x14ac:dyDescent="0.2"/>
    <row r="659" ht="12.75" x14ac:dyDescent="0.2"/>
    <row r="660" ht="12.75" x14ac:dyDescent="0.2"/>
    <row r="661" ht="12.75" x14ac:dyDescent="0.2"/>
    <row r="662" ht="12.75" x14ac:dyDescent="0.2"/>
    <row r="663" ht="12.75" x14ac:dyDescent="0.2"/>
    <row r="664" ht="12.75" x14ac:dyDescent="0.2"/>
    <row r="665" ht="12.75" x14ac:dyDescent="0.2"/>
    <row r="666" ht="12.75" x14ac:dyDescent="0.2"/>
    <row r="667" ht="12.75" x14ac:dyDescent="0.2"/>
    <row r="668" ht="12.75" x14ac:dyDescent="0.2"/>
    <row r="669" ht="12.75" x14ac:dyDescent="0.2"/>
    <row r="670" ht="12.75" x14ac:dyDescent="0.2"/>
    <row r="671" ht="12.75" x14ac:dyDescent="0.2"/>
    <row r="672" ht="12.75" x14ac:dyDescent="0.2"/>
    <row r="673" ht="12.75" x14ac:dyDescent="0.2"/>
    <row r="674" ht="12.75" x14ac:dyDescent="0.2"/>
    <row r="675" ht="12.75" x14ac:dyDescent="0.2"/>
    <row r="676" ht="12.75" x14ac:dyDescent="0.2"/>
    <row r="677" ht="12.75" x14ac:dyDescent="0.2"/>
    <row r="678" ht="12.75" x14ac:dyDescent="0.2"/>
    <row r="679" ht="12.75" x14ac:dyDescent="0.2"/>
    <row r="680" ht="12.75" x14ac:dyDescent="0.2"/>
    <row r="681" ht="12.75" x14ac:dyDescent="0.2"/>
    <row r="682" ht="12.75" x14ac:dyDescent="0.2"/>
    <row r="683" ht="12.75" x14ac:dyDescent="0.2"/>
    <row r="684" ht="12.75" x14ac:dyDescent="0.2"/>
    <row r="685" ht="12.75" x14ac:dyDescent="0.2"/>
    <row r="686" ht="12.75" x14ac:dyDescent="0.2"/>
    <row r="687" ht="12.75" x14ac:dyDescent="0.2"/>
    <row r="688" ht="12.75" x14ac:dyDescent="0.2"/>
    <row r="689" ht="12.75" x14ac:dyDescent="0.2"/>
    <row r="690" ht="12.75" x14ac:dyDescent="0.2"/>
    <row r="691" ht="12.75" x14ac:dyDescent="0.2"/>
    <row r="692" ht="12.75" x14ac:dyDescent="0.2"/>
    <row r="693" ht="12.75" x14ac:dyDescent="0.2"/>
    <row r="694" ht="12.75" x14ac:dyDescent="0.2"/>
    <row r="695" ht="12.75" x14ac:dyDescent="0.2"/>
    <row r="696" ht="12.75" x14ac:dyDescent="0.2"/>
    <row r="697" ht="12.75" x14ac:dyDescent="0.2"/>
    <row r="698" ht="12.75" x14ac:dyDescent="0.2"/>
    <row r="699" ht="12.75" x14ac:dyDescent="0.2"/>
    <row r="700" ht="12.75" x14ac:dyDescent="0.2"/>
    <row r="701" ht="12.75" x14ac:dyDescent="0.2"/>
    <row r="702" ht="12.75" x14ac:dyDescent="0.2"/>
    <row r="703" ht="12.75" x14ac:dyDescent="0.2"/>
    <row r="704" ht="12.75" x14ac:dyDescent="0.2"/>
    <row r="705" ht="12.75" x14ac:dyDescent="0.2"/>
    <row r="706" ht="12.75" x14ac:dyDescent="0.2"/>
    <row r="707" ht="12.75" x14ac:dyDescent="0.2"/>
    <row r="708" ht="12.75" x14ac:dyDescent="0.2"/>
    <row r="709" ht="12.75" x14ac:dyDescent="0.2"/>
    <row r="710" ht="12.75" x14ac:dyDescent="0.2"/>
    <row r="711" ht="12.75" x14ac:dyDescent="0.2"/>
    <row r="712" ht="12.75" x14ac:dyDescent="0.2"/>
    <row r="713" ht="12.75" x14ac:dyDescent="0.2"/>
    <row r="714" ht="12.75" x14ac:dyDescent="0.2"/>
    <row r="715" ht="12.75" x14ac:dyDescent="0.2"/>
    <row r="716" ht="12.75" x14ac:dyDescent="0.2"/>
    <row r="717" ht="12.75" x14ac:dyDescent="0.2"/>
    <row r="718" ht="12.75" x14ac:dyDescent="0.2"/>
    <row r="719" ht="12.75" x14ac:dyDescent="0.2"/>
    <row r="720" ht="12.75" x14ac:dyDescent="0.2"/>
    <row r="721" ht="12.75" x14ac:dyDescent="0.2"/>
    <row r="722" ht="12.75" x14ac:dyDescent="0.2"/>
    <row r="723" ht="12.75" x14ac:dyDescent="0.2"/>
    <row r="724" ht="12.75" x14ac:dyDescent="0.2"/>
    <row r="725" ht="12.75" x14ac:dyDescent="0.2"/>
    <row r="726" ht="12.75" x14ac:dyDescent="0.2"/>
    <row r="727" ht="12.75" x14ac:dyDescent="0.2"/>
    <row r="728" ht="12.75" x14ac:dyDescent="0.2"/>
    <row r="729" ht="12.75" x14ac:dyDescent="0.2"/>
    <row r="730" ht="12.75" x14ac:dyDescent="0.2"/>
    <row r="731" ht="12.75" x14ac:dyDescent="0.2"/>
    <row r="732" ht="12.75" x14ac:dyDescent="0.2"/>
    <row r="733" ht="12.75" x14ac:dyDescent="0.2"/>
    <row r="734" ht="12.75" x14ac:dyDescent="0.2"/>
    <row r="735" ht="12.75" x14ac:dyDescent="0.2"/>
    <row r="736" ht="12.75" x14ac:dyDescent="0.2"/>
    <row r="737" ht="12.75" x14ac:dyDescent="0.2"/>
    <row r="738" ht="12.75" x14ac:dyDescent="0.2"/>
    <row r="739" ht="12.75" x14ac:dyDescent="0.2"/>
    <row r="740" ht="12.75" x14ac:dyDescent="0.2"/>
    <row r="741" ht="12.75" x14ac:dyDescent="0.2"/>
    <row r="742" ht="12.75" x14ac:dyDescent="0.2"/>
    <row r="743" ht="12.75" x14ac:dyDescent="0.2"/>
    <row r="744" ht="12.75" x14ac:dyDescent="0.2"/>
    <row r="745" ht="12.75" x14ac:dyDescent="0.2"/>
    <row r="746" ht="12.75" x14ac:dyDescent="0.2"/>
    <row r="747" ht="12.75" x14ac:dyDescent="0.2"/>
    <row r="748" ht="12.75" x14ac:dyDescent="0.2"/>
    <row r="749" ht="12.75" x14ac:dyDescent="0.2"/>
    <row r="750" ht="12.75" x14ac:dyDescent="0.2"/>
    <row r="751" ht="12.75" x14ac:dyDescent="0.2"/>
    <row r="752" ht="12.75" x14ac:dyDescent="0.2"/>
    <row r="753" ht="12.75" x14ac:dyDescent="0.2"/>
    <row r="754" ht="12.75" x14ac:dyDescent="0.2"/>
    <row r="755" ht="12.75" x14ac:dyDescent="0.2"/>
    <row r="756" ht="12.75" x14ac:dyDescent="0.2"/>
    <row r="757" ht="12.75" x14ac:dyDescent="0.2"/>
    <row r="758" ht="12.75" x14ac:dyDescent="0.2"/>
    <row r="759" ht="12.75" x14ac:dyDescent="0.2"/>
    <row r="760" ht="12.75" x14ac:dyDescent="0.2"/>
    <row r="761" ht="12.75" x14ac:dyDescent="0.2"/>
    <row r="762" ht="12.75" x14ac:dyDescent="0.2"/>
    <row r="763" ht="12.75" x14ac:dyDescent="0.2"/>
    <row r="764" ht="12.75" x14ac:dyDescent="0.2"/>
    <row r="765" ht="12.75" x14ac:dyDescent="0.2"/>
    <row r="766" ht="12.75" x14ac:dyDescent="0.2"/>
    <row r="767" ht="12.75" x14ac:dyDescent="0.2"/>
    <row r="768" ht="12.75" x14ac:dyDescent="0.2"/>
    <row r="769" ht="12.75" x14ac:dyDescent="0.2"/>
    <row r="770" ht="12.75" x14ac:dyDescent="0.2"/>
    <row r="771" ht="12.75" x14ac:dyDescent="0.2"/>
    <row r="772" ht="12.75" x14ac:dyDescent="0.2"/>
    <row r="773" ht="12.75" x14ac:dyDescent="0.2"/>
    <row r="774" ht="12.75" x14ac:dyDescent="0.2"/>
    <row r="775" ht="12.75" x14ac:dyDescent="0.2"/>
    <row r="776" ht="12.75" x14ac:dyDescent="0.2"/>
    <row r="777" ht="12.75" x14ac:dyDescent="0.2"/>
    <row r="778" ht="12.75" x14ac:dyDescent="0.2"/>
    <row r="779" ht="12.75" x14ac:dyDescent="0.2"/>
    <row r="780" ht="12.75" x14ac:dyDescent="0.2"/>
    <row r="781" ht="12.75" x14ac:dyDescent="0.2"/>
    <row r="782" ht="12.75" x14ac:dyDescent="0.2"/>
    <row r="783" ht="12.75" x14ac:dyDescent="0.2"/>
    <row r="784" ht="12.75" x14ac:dyDescent="0.2"/>
    <row r="785" ht="12.75" x14ac:dyDescent="0.2"/>
    <row r="786" ht="12.75" x14ac:dyDescent="0.2"/>
    <row r="787" ht="12.75" x14ac:dyDescent="0.2"/>
    <row r="788" ht="12.75" x14ac:dyDescent="0.2"/>
    <row r="789" ht="12.75" x14ac:dyDescent="0.2"/>
    <row r="790" ht="12.75" x14ac:dyDescent="0.2"/>
    <row r="791" ht="12.75" x14ac:dyDescent="0.2"/>
    <row r="792" ht="12.75" x14ac:dyDescent="0.2"/>
    <row r="793" ht="12.75" x14ac:dyDescent="0.2"/>
    <row r="794" ht="12.75" x14ac:dyDescent="0.2"/>
    <row r="795" ht="12.75" x14ac:dyDescent="0.2"/>
    <row r="796" ht="12.75" x14ac:dyDescent="0.2"/>
    <row r="797" ht="12.75" x14ac:dyDescent="0.2"/>
    <row r="798" ht="12.75" x14ac:dyDescent="0.2"/>
    <row r="799" ht="12.75" x14ac:dyDescent="0.2"/>
    <row r="800" ht="12.75" x14ac:dyDescent="0.2"/>
    <row r="801" ht="12.75" x14ac:dyDescent="0.2"/>
    <row r="802" ht="12.75" x14ac:dyDescent="0.2"/>
    <row r="803" ht="12.75" x14ac:dyDescent="0.2"/>
    <row r="804" ht="12.75" x14ac:dyDescent="0.2"/>
    <row r="805" ht="12.75" x14ac:dyDescent="0.2"/>
    <row r="806" ht="12.75" x14ac:dyDescent="0.2"/>
    <row r="807" ht="12.75" x14ac:dyDescent="0.2"/>
    <row r="808" ht="12.75" x14ac:dyDescent="0.2"/>
    <row r="809" ht="12.75" x14ac:dyDescent="0.2"/>
    <row r="810" ht="12.75" x14ac:dyDescent="0.2"/>
    <row r="811" ht="12.75" x14ac:dyDescent="0.2"/>
    <row r="812" ht="12.75" x14ac:dyDescent="0.2"/>
    <row r="813" ht="12.75" x14ac:dyDescent="0.2"/>
    <row r="814" ht="12.75" x14ac:dyDescent="0.2"/>
    <row r="815" ht="12.75" x14ac:dyDescent="0.2"/>
    <row r="816" ht="12.75" x14ac:dyDescent="0.2"/>
    <row r="817" ht="12.75" x14ac:dyDescent="0.2"/>
    <row r="818" ht="12.75" x14ac:dyDescent="0.2"/>
    <row r="819" ht="12.75" x14ac:dyDescent="0.2"/>
    <row r="820" ht="12.75" x14ac:dyDescent="0.2"/>
    <row r="821" ht="12.75" x14ac:dyDescent="0.2"/>
    <row r="822" ht="12.75" x14ac:dyDescent="0.2"/>
    <row r="823" ht="12.75" x14ac:dyDescent="0.2"/>
    <row r="824" ht="12.75" x14ac:dyDescent="0.2"/>
    <row r="825" ht="12.75" x14ac:dyDescent="0.2"/>
    <row r="826" ht="12.75" x14ac:dyDescent="0.2"/>
    <row r="827" ht="12.75" x14ac:dyDescent="0.2"/>
    <row r="828" ht="12.75" x14ac:dyDescent="0.2"/>
    <row r="829" ht="12.75" x14ac:dyDescent="0.2"/>
    <row r="830" ht="12.75" x14ac:dyDescent="0.2"/>
    <row r="831" ht="12.75" x14ac:dyDescent="0.2"/>
    <row r="832" ht="12.75" x14ac:dyDescent="0.2"/>
    <row r="833" ht="12.75" x14ac:dyDescent="0.2"/>
    <row r="834" ht="12.75" x14ac:dyDescent="0.2"/>
    <row r="835" ht="12.75" x14ac:dyDescent="0.2"/>
    <row r="836" ht="12.75" x14ac:dyDescent="0.2"/>
    <row r="837" ht="12.75" x14ac:dyDescent="0.2"/>
    <row r="838" ht="12.75" x14ac:dyDescent="0.2"/>
    <row r="839" ht="12.75" x14ac:dyDescent="0.2"/>
    <row r="840" ht="12.75" x14ac:dyDescent="0.2"/>
    <row r="841" ht="12.75" x14ac:dyDescent="0.2"/>
    <row r="842" ht="12.75" x14ac:dyDescent="0.2"/>
    <row r="843" ht="12.75" x14ac:dyDescent="0.2"/>
    <row r="844" ht="12.75" x14ac:dyDescent="0.2"/>
    <row r="845" ht="12.75" x14ac:dyDescent="0.2"/>
    <row r="846" ht="12.75" x14ac:dyDescent="0.2"/>
    <row r="847" ht="12.75" x14ac:dyDescent="0.2"/>
    <row r="848" ht="12.75" x14ac:dyDescent="0.2"/>
    <row r="849" ht="12.75" x14ac:dyDescent="0.2"/>
    <row r="850" ht="12.75" x14ac:dyDescent="0.2"/>
    <row r="851" ht="12.75" x14ac:dyDescent="0.2"/>
    <row r="852" ht="12.75" x14ac:dyDescent="0.2"/>
    <row r="853" ht="12.75" x14ac:dyDescent="0.2"/>
    <row r="854" ht="12.75" x14ac:dyDescent="0.2"/>
    <row r="855" ht="12.75" x14ac:dyDescent="0.2"/>
    <row r="856" ht="12.75" x14ac:dyDescent="0.2"/>
    <row r="857" ht="12.75" x14ac:dyDescent="0.2"/>
    <row r="858" ht="12.75" x14ac:dyDescent="0.2"/>
    <row r="859" ht="12.75" x14ac:dyDescent="0.2"/>
    <row r="860" ht="12.75" x14ac:dyDescent="0.2"/>
    <row r="861" ht="12.75" x14ac:dyDescent="0.2"/>
    <row r="862" ht="12.75" x14ac:dyDescent="0.2"/>
    <row r="863" ht="12.75" x14ac:dyDescent="0.2"/>
    <row r="864" ht="12.75" x14ac:dyDescent="0.2"/>
    <row r="865" ht="12.75" x14ac:dyDescent="0.2"/>
    <row r="866" ht="12.75" x14ac:dyDescent="0.2"/>
    <row r="867" ht="12.75" x14ac:dyDescent="0.2"/>
    <row r="868" ht="12.75" x14ac:dyDescent="0.2"/>
    <row r="869" ht="12.75" x14ac:dyDescent="0.2"/>
    <row r="870" ht="12.75" x14ac:dyDescent="0.2"/>
    <row r="871" ht="12.75" x14ac:dyDescent="0.2"/>
    <row r="872" ht="12.75" x14ac:dyDescent="0.2"/>
    <row r="873" ht="12.75" x14ac:dyDescent="0.2"/>
    <row r="874" ht="12.75" x14ac:dyDescent="0.2"/>
    <row r="875" ht="12.75" x14ac:dyDescent="0.2"/>
    <row r="876" ht="12.75" x14ac:dyDescent="0.2"/>
    <row r="877" ht="12.75" x14ac:dyDescent="0.2"/>
    <row r="878" ht="12.75" x14ac:dyDescent="0.2"/>
    <row r="879" ht="12.75" x14ac:dyDescent="0.2"/>
    <row r="880" ht="12.75" x14ac:dyDescent="0.2"/>
    <row r="881" ht="12.75" x14ac:dyDescent="0.2"/>
    <row r="882" ht="12.75" x14ac:dyDescent="0.2"/>
    <row r="883" ht="12.75" x14ac:dyDescent="0.2"/>
    <row r="884" ht="12.75" x14ac:dyDescent="0.2"/>
    <row r="885" ht="12.75" x14ac:dyDescent="0.2"/>
    <row r="886" ht="12.75" x14ac:dyDescent="0.2"/>
    <row r="887" ht="12.75" x14ac:dyDescent="0.2"/>
    <row r="888" ht="12.75" x14ac:dyDescent="0.2"/>
    <row r="889" ht="12.75" x14ac:dyDescent="0.2"/>
    <row r="890" ht="12.75" x14ac:dyDescent="0.2"/>
    <row r="891" ht="12.75" x14ac:dyDescent="0.2"/>
    <row r="892" ht="12.75" x14ac:dyDescent="0.2"/>
    <row r="893" ht="12.75" x14ac:dyDescent="0.2"/>
    <row r="894" ht="12.75" x14ac:dyDescent="0.2"/>
    <row r="895" ht="12.75" x14ac:dyDescent="0.2"/>
    <row r="896" ht="12.75" x14ac:dyDescent="0.2"/>
    <row r="897" ht="12.75" x14ac:dyDescent="0.2"/>
    <row r="898" ht="12.75" x14ac:dyDescent="0.2"/>
    <row r="899" ht="12.75" x14ac:dyDescent="0.2"/>
    <row r="900" ht="12.75" x14ac:dyDescent="0.2"/>
    <row r="901" ht="12.75" x14ac:dyDescent="0.2"/>
    <row r="902" ht="12.75" x14ac:dyDescent="0.2"/>
    <row r="903" ht="12.75" x14ac:dyDescent="0.2"/>
    <row r="904" ht="12.75" x14ac:dyDescent="0.2"/>
    <row r="905" ht="12.75" x14ac:dyDescent="0.2"/>
    <row r="906" ht="12.75" x14ac:dyDescent="0.2"/>
    <row r="907" ht="12.75" x14ac:dyDescent="0.2"/>
    <row r="908" ht="12.75" x14ac:dyDescent="0.2"/>
    <row r="909" ht="12.75" x14ac:dyDescent="0.2"/>
    <row r="910" ht="12.75" x14ac:dyDescent="0.2"/>
    <row r="911" ht="12.75" x14ac:dyDescent="0.2"/>
    <row r="912" ht="12.75" x14ac:dyDescent="0.2"/>
    <row r="913" ht="12.75" x14ac:dyDescent="0.2"/>
    <row r="914" ht="12.75" x14ac:dyDescent="0.2"/>
    <row r="915" ht="12.75" x14ac:dyDescent="0.2"/>
    <row r="916" ht="12.75" x14ac:dyDescent="0.2"/>
    <row r="917" ht="12.75" x14ac:dyDescent="0.2"/>
    <row r="918" ht="12.75" x14ac:dyDescent="0.2"/>
    <row r="919" ht="12.75" x14ac:dyDescent="0.2"/>
    <row r="920" ht="12.75" x14ac:dyDescent="0.2"/>
    <row r="921" ht="12.75" x14ac:dyDescent="0.2"/>
    <row r="922" ht="12.75" x14ac:dyDescent="0.2"/>
    <row r="923" ht="12.75" x14ac:dyDescent="0.2"/>
    <row r="924" ht="12.75" x14ac:dyDescent="0.2"/>
    <row r="925" ht="12.75" x14ac:dyDescent="0.2"/>
    <row r="926" ht="12.75" x14ac:dyDescent="0.2"/>
    <row r="927" ht="12.75" x14ac:dyDescent="0.2"/>
    <row r="928" ht="12.75" x14ac:dyDescent="0.2"/>
    <row r="929" ht="12.75" x14ac:dyDescent="0.2"/>
    <row r="930" ht="12.75" x14ac:dyDescent="0.2"/>
    <row r="931" ht="12.75" x14ac:dyDescent="0.2"/>
    <row r="932" ht="12.75" x14ac:dyDescent="0.2"/>
    <row r="933" ht="12.75" x14ac:dyDescent="0.2"/>
    <row r="934" ht="12.75" x14ac:dyDescent="0.2"/>
    <row r="935" ht="12.75" x14ac:dyDescent="0.2"/>
    <row r="936" ht="12.75" x14ac:dyDescent="0.2"/>
    <row r="937" ht="12.75" x14ac:dyDescent="0.2"/>
    <row r="938" ht="12.75" x14ac:dyDescent="0.2"/>
    <row r="939" ht="12.75" x14ac:dyDescent="0.2"/>
    <row r="940" ht="12.75" x14ac:dyDescent="0.2"/>
    <row r="941" ht="12.75" x14ac:dyDescent="0.2"/>
    <row r="942" ht="12.75" x14ac:dyDescent="0.2"/>
    <row r="943" ht="12.75" x14ac:dyDescent="0.2"/>
    <row r="944" ht="12.75" x14ac:dyDescent="0.2"/>
    <row r="945" ht="12.75" x14ac:dyDescent="0.2"/>
    <row r="946" ht="12.75" x14ac:dyDescent="0.2"/>
    <row r="947" ht="12.75" x14ac:dyDescent="0.2"/>
    <row r="948" ht="12.75" x14ac:dyDescent="0.2"/>
    <row r="949" ht="12.75" x14ac:dyDescent="0.2"/>
    <row r="950" ht="12.75" x14ac:dyDescent="0.2"/>
    <row r="951" ht="12.75" x14ac:dyDescent="0.2"/>
    <row r="952" ht="12.75" x14ac:dyDescent="0.2"/>
    <row r="953" ht="12.75" x14ac:dyDescent="0.2"/>
    <row r="954" ht="12.75" x14ac:dyDescent="0.2"/>
    <row r="955" ht="12.75" x14ac:dyDescent="0.2"/>
    <row r="956" ht="12.75" x14ac:dyDescent="0.2"/>
    <row r="957" ht="12.75" x14ac:dyDescent="0.2"/>
    <row r="958" ht="12.75" x14ac:dyDescent="0.2"/>
    <row r="959" ht="12.75" x14ac:dyDescent="0.2"/>
    <row r="960" ht="12.75" x14ac:dyDescent="0.2"/>
    <row r="961" ht="12.75" x14ac:dyDescent="0.2"/>
    <row r="962" ht="12.75" x14ac:dyDescent="0.2"/>
    <row r="963" ht="12.75" x14ac:dyDescent="0.2"/>
    <row r="964" ht="12.75" x14ac:dyDescent="0.2"/>
    <row r="965" ht="12.75" x14ac:dyDescent="0.2"/>
    <row r="966" ht="12.75" x14ac:dyDescent="0.2"/>
    <row r="967" ht="12.75" x14ac:dyDescent="0.2"/>
    <row r="968" ht="12.75" x14ac:dyDescent="0.2"/>
    <row r="969" ht="12.75" x14ac:dyDescent="0.2"/>
    <row r="970" ht="12.75" x14ac:dyDescent="0.2"/>
    <row r="971" ht="12.75" x14ac:dyDescent="0.2"/>
    <row r="972" ht="12.75" x14ac:dyDescent="0.2"/>
    <row r="973" ht="12.75" x14ac:dyDescent="0.2"/>
    <row r="974" ht="12.75" x14ac:dyDescent="0.2"/>
    <row r="975" ht="12.75" x14ac:dyDescent="0.2"/>
    <row r="976" ht="12.75" x14ac:dyDescent="0.2"/>
    <row r="977" ht="12.75" x14ac:dyDescent="0.2"/>
    <row r="978" ht="12.75" x14ac:dyDescent="0.2"/>
    <row r="979" ht="12.75" x14ac:dyDescent="0.2"/>
    <row r="980" ht="12.75" x14ac:dyDescent="0.2"/>
    <row r="981" ht="12.75" x14ac:dyDescent="0.2"/>
    <row r="982" ht="12.75" x14ac:dyDescent="0.2"/>
    <row r="983" ht="12.75" x14ac:dyDescent="0.2"/>
    <row r="984" ht="12.75" x14ac:dyDescent="0.2"/>
    <row r="985" ht="12.75" x14ac:dyDescent="0.2"/>
    <row r="986" ht="12.75" x14ac:dyDescent="0.2"/>
    <row r="987" ht="12.75" x14ac:dyDescent="0.2"/>
    <row r="988" ht="12.75" x14ac:dyDescent="0.2"/>
    <row r="989" ht="12.75" x14ac:dyDescent="0.2"/>
    <row r="990" ht="12.75" x14ac:dyDescent="0.2"/>
    <row r="991" ht="12.75" x14ac:dyDescent="0.2"/>
    <row r="992" ht="12.75" x14ac:dyDescent="0.2"/>
    <row r="993" ht="12.75" x14ac:dyDescent="0.2"/>
    <row r="994" ht="12.75" x14ac:dyDescent="0.2"/>
    <row r="995" ht="12.75" x14ac:dyDescent="0.2"/>
    <row r="996" ht="12.75" x14ac:dyDescent="0.2"/>
    <row r="997" ht="12.75" x14ac:dyDescent="0.2"/>
    <row r="998" ht="12.75" x14ac:dyDescent="0.2"/>
    <row r="999" ht="12.75" x14ac:dyDescent="0.2"/>
    <row r="1000" ht="12.75" x14ac:dyDescent="0.2"/>
    <row r="1001" ht="12.75" x14ac:dyDescent="0.2"/>
    <row r="1002" ht="12.75" x14ac:dyDescent="0.2"/>
    <row r="1003" ht="12.75" x14ac:dyDescent="0.2"/>
    <row r="1004" ht="12.75" x14ac:dyDescent="0.2"/>
    <row r="1005" ht="12.75" x14ac:dyDescent="0.2"/>
    <row r="1006" ht="12.75" x14ac:dyDescent="0.2"/>
    <row r="1007" ht="12.75" x14ac:dyDescent="0.2"/>
    <row r="1008" ht="12.75" x14ac:dyDescent="0.2"/>
    <row r="1009" ht="12.75" x14ac:dyDescent="0.2"/>
    <row r="1010" ht="12.75" x14ac:dyDescent="0.2"/>
    <row r="1011" ht="12.75" x14ac:dyDescent="0.2"/>
    <row r="1012" ht="12.75" x14ac:dyDescent="0.2"/>
    <row r="1013" ht="12.75" x14ac:dyDescent="0.2"/>
    <row r="1014" ht="12.75" x14ac:dyDescent="0.2"/>
    <row r="1015" ht="12.75" x14ac:dyDescent="0.2"/>
    <row r="1016" ht="12.75" x14ac:dyDescent="0.2"/>
    <row r="1017" ht="12.75" x14ac:dyDescent="0.2"/>
    <row r="1018" ht="12.75" x14ac:dyDescent="0.2"/>
    <row r="1019" ht="12.75" x14ac:dyDescent="0.2"/>
    <row r="1020" ht="12.75" x14ac:dyDescent="0.2"/>
    <row r="1021" ht="12.75" x14ac:dyDescent="0.2"/>
    <row r="1022" ht="12.75" x14ac:dyDescent="0.2"/>
    <row r="1023" ht="12.75" x14ac:dyDescent="0.2"/>
    <row r="1024" ht="12.75" x14ac:dyDescent="0.2"/>
    <row r="1025" ht="12.75" x14ac:dyDescent="0.2"/>
    <row r="1026" ht="12.75" x14ac:dyDescent="0.2"/>
    <row r="1027" ht="12.75" x14ac:dyDescent="0.2"/>
    <row r="1028" ht="12.75" x14ac:dyDescent="0.2"/>
    <row r="1029" ht="12.75" x14ac:dyDescent="0.2"/>
    <row r="1030" ht="12.75" x14ac:dyDescent="0.2"/>
    <row r="1031" ht="12.75" x14ac:dyDescent="0.2"/>
    <row r="1032" ht="12.75" x14ac:dyDescent="0.2"/>
    <row r="1033" ht="12.75" x14ac:dyDescent="0.2"/>
    <row r="1034" ht="12.75" x14ac:dyDescent="0.2"/>
    <row r="1035" ht="12.75" x14ac:dyDescent="0.2"/>
    <row r="1036" ht="12.75" x14ac:dyDescent="0.2"/>
    <row r="1037" ht="12.75" x14ac:dyDescent="0.2"/>
    <row r="1038" ht="12.75" x14ac:dyDescent="0.2"/>
    <row r="1039" ht="12.75" x14ac:dyDescent="0.2"/>
    <row r="1040" ht="12.75" x14ac:dyDescent="0.2"/>
    <row r="1041" ht="12.75" x14ac:dyDescent="0.2"/>
    <row r="1042" ht="12.75" x14ac:dyDescent="0.2"/>
    <row r="1043" ht="12.75" x14ac:dyDescent="0.2"/>
    <row r="1044" ht="12.75" x14ac:dyDescent="0.2"/>
    <row r="1045" ht="12.75" x14ac:dyDescent="0.2"/>
    <row r="1046" ht="12.75" x14ac:dyDescent="0.2"/>
    <row r="1047" ht="12.75" x14ac:dyDescent="0.2"/>
    <row r="1048" ht="12.75" x14ac:dyDescent="0.2"/>
    <row r="1049" ht="12.75" x14ac:dyDescent="0.2"/>
    <row r="1050" ht="12.75" x14ac:dyDescent="0.2"/>
    <row r="1051" ht="12.75" x14ac:dyDescent="0.2"/>
    <row r="1052" ht="12.75" x14ac:dyDescent="0.2"/>
    <row r="1053" ht="12.75" x14ac:dyDescent="0.2"/>
    <row r="1054" ht="12.75" x14ac:dyDescent="0.2"/>
    <row r="1055" ht="12.75" x14ac:dyDescent="0.2"/>
    <row r="1056" ht="12.75" x14ac:dyDescent="0.2"/>
    <row r="1057" ht="12.75" x14ac:dyDescent="0.2"/>
    <row r="1058" ht="12.75" x14ac:dyDescent="0.2"/>
    <row r="1059" ht="12.75" x14ac:dyDescent="0.2"/>
    <row r="1060" ht="12.75" x14ac:dyDescent="0.2"/>
    <row r="1061" ht="12.75" x14ac:dyDescent="0.2"/>
    <row r="1062" ht="12.75" x14ac:dyDescent="0.2"/>
    <row r="1063" ht="12.75" x14ac:dyDescent="0.2"/>
    <row r="1064" ht="12.75" x14ac:dyDescent="0.2"/>
    <row r="1065" ht="12.75" x14ac:dyDescent="0.2"/>
    <row r="1066" ht="12.75" x14ac:dyDescent="0.2"/>
    <row r="1067" ht="12.75" x14ac:dyDescent="0.2"/>
    <row r="1068" ht="12.75" x14ac:dyDescent="0.2"/>
    <row r="1069" ht="12.75" x14ac:dyDescent="0.2"/>
    <row r="1070" ht="12.75" x14ac:dyDescent="0.2"/>
    <row r="1071" ht="12.75" x14ac:dyDescent="0.2"/>
    <row r="1072" ht="12.75" x14ac:dyDescent="0.2"/>
    <row r="1073" ht="12.75" x14ac:dyDescent="0.2"/>
    <row r="1074" ht="12.75" x14ac:dyDescent="0.2"/>
    <row r="1075" ht="12.75" x14ac:dyDescent="0.2"/>
    <row r="1076" ht="12.75" x14ac:dyDescent="0.2"/>
    <row r="1077" ht="12.75" x14ac:dyDescent="0.2"/>
    <row r="1078" ht="12.75" x14ac:dyDescent="0.2"/>
    <row r="1079" ht="12.75" x14ac:dyDescent="0.2"/>
    <row r="1080" ht="12.75" x14ac:dyDescent="0.2"/>
    <row r="1081" ht="12.75" x14ac:dyDescent="0.2"/>
    <row r="1082" ht="12.75" x14ac:dyDescent="0.2"/>
    <row r="1083" ht="12.75" x14ac:dyDescent="0.2"/>
    <row r="1084" ht="12.75" x14ac:dyDescent="0.2"/>
    <row r="1085" ht="12.75" x14ac:dyDescent="0.2"/>
    <row r="1086" ht="12.75" x14ac:dyDescent="0.2"/>
    <row r="1087" ht="12.75" x14ac:dyDescent="0.2"/>
    <row r="1088" ht="12.75" x14ac:dyDescent="0.2"/>
    <row r="1089" ht="12.75" x14ac:dyDescent="0.2"/>
    <row r="1090" ht="12.75" x14ac:dyDescent="0.2"/>
    <row r="1091" ht="12.75" x14ac:dyDescent="0.2"/>
    <row r="1092" ht="12.75" x14ac:dyDescent="0.2"/>
    <row r="1093" ht="12.75" x14ac:dyDescent="0.2"/>
    <row r="1094" ht="12.75" x14ac:dyDescent="0.2"/>
    <row r="1095" ht="12.75" x14ac:dyDescent="0.2"/>
    <row r="1096" ht="12.75" x14ac:dyDescent="0.2"/>
    <row r="1097" ht="12.75" x14ac:dyDescent="0.2"/>
    <row r="1098" ht="12.75" x14ac:dyDescent="0.2"/>
    <row r="1099" ht="12.75" x14ac:dyDescent="0.2"/>
    <row r="1100" ht="12.75" x14ac:dyDescent="0.2"/>
    <row r="1101" ht="12.75" x14ac:dyDescent="0.2"/>
    <row r="1102" ht="12.75" x14ac:dyDescent="0.2"/>
    <row r="1103" ht="12.75" x14ac:dyDescent="0.2"/>
    <row r="1104" ht="12.75" x14ac:dyDescent="0.2"/>
    <row r="1105" ht="12.75" x14ac:dyDescent="0.2"/>
    <row r="1106" ht="12.75" x14ac:dyDescent="0.2"/>
    <row r="1107" ht="12.75" x14ac:dyDescent="0.2"/>
    <row r="1108" ht="12.75" x14ac:dyDescent="0.2"/>
    <row r="1109" ht="12.75" x14ac:dyDescent="0.2"/>
    <row r="1110" ht="12.75" x14ac:dyDescent="0.2"/>
    <row r="1111" ht="12.75" x14ac:dyDescent="0.2"/>
    <row r="1112" ht="12.75" x14ac:dyDescent="0.2"/>
    <row r="1113" ht="12.75" x14ac:dyDescent="0.2"/>
    <row r="1114" ht="12.75" x14ac:dyDescent="0.2"/>
    <row r="1115" ht="12.75" x14ac:dyDescent="0.2"/>
    <row r="1116" ht="12.75" x14ac:dyDescent="0.2"/>
    <row r="1117" ht="12.75" x14ac:dyDescent="0.2"/>
    <row r="1118" ht="12.75" x14ac:dyDescent="0.2"/>
    <row r="1119" ht="12.75" x14ac:dyDescent="0.2"/>
    <row r="1120" ht="12.75" x14ac:dyDescent="0.2"/>
    <row r="1121" ht="12.75" x14ac:dyDescent="0.2"/>
    <row r="1122" ht="12.75" x14ac:dyDescent="0.2"/>
    <row r="1123" ht="12.75" x14ac:dyDescent="0.2"/>
    <row r="1124" ht="12.75" x14ac:dyDescent="0.2"/>
    <row r="1125" ht="12.75" x14ac:dyDescent="0.2"/>
    <row r="1126" ht="12.75" x14ac:dyDescent="0.2"/>
    <row r="1127" ht="12.75" x14ac:dyDescent="0.2"/>
    <row r="1128" ht="12.75" x14ac:dyDescent="0.2"/>
    <row r="1129" ht="12.75" x14ac:dyDescent="0.2"/>
    <row r="1130" ht="12.75" x14ac:dyDescent="0.2"/>
    <row r="1131" ht="12.75" x14ac:dyDescent="0.2"/>
    <row r="1132" ht="12.75" x14ac:dyDescent="0.2"/>
    <row r="1133" ht="12.75" x14ac:dyDescent="0.2"/>
    <row r="1134" ht="12.75" x14ac:dyDescent="0.2"/>
    <row r="1135" ht="12.75" x14ac:dyDescent="0.2"/>
    <row r="1136" ht="12.75" x14ac:dyDescent="0.2"/>
    <row r="1137" ht="12.75" x14ac:dyDescent="0.2"/>
    <row r="1138" ht="12.75" x14ac:dyDescent="0.2"/>
    <row r="1139" ht="12.75" x14ac:dyDescent="0.2"/>
    <row r="1140" ht="12.75" x14ac:dyDescent="0.2"/>
    <row r="1141" ht="12.75" x14ac:dyDescent="0.2"/>
    <row r="1142" ht="12.75" x14ac:dyDescent="0.2"/>
    <row r="1143" ht="12.75" x14ac:dyDescent="0.2"/>
    <row r="1144" ht="12.75" x14ac:dyDescent="0.2"/>
    <row r="1145" ht="12.75" x14ac:dyDescent="0.2"/>
    <row r="1146" ht="12.75" x14ac:dyDescent="0.2"/>
    <row r="1147" ht="12.75" x14ac:dyDescent="0.2"/>
    <row r="1148" ht="12.75" x14ac:dyDescent="0.2"/>
    <row r="1149" ht="12.75" x14ac:dyDescent="0.2"/>
    <row r="1150" ht="12.75" x14ac:dyDescent="0.2"/>
    <row r="1151" ht="12.75" x14ac:dyDescent="0.2"/>
    <row r="1152" ht="12.75" x14ac:dyDescent="0.2"/>
    <row r="1153" ht="12.75" x14ac:dyDescent="0.2"/>
    <row r="1154" ht="12.75" x14ac:dyDescent="0.2"/>
    <row r="1155" ht="12.75" x14ac:dyDescent="0.2"/>
    <row r="1156" ht="12.75" x14ac:dyDescent="0.2"/>
    <row r="1157" ht="12.75" x14ac:dyDescent="0.2"/>
    <row r="1158" ht="12.75" x14ac:dyDescent="0.2"/>
    <row r="1159" ht="12.75" x14ac:dyDescent="0.2"/>
    <row r="1160" ht="12.75" x14ac:dyDescent="0.2"/>
    <row r="1161" ht="12.75" x14ac:dyDescent="0.2"/>
    <row r="1162" ht="12.75" x14ac:dyDescent="0.2"/>
    <row r="1163" ht="12.75" x14ac:dyDescent="0.2"/>
    <row r="1164" ht="12.75" x14ac:dyDescent="0.2"/>
    <row r="1165" ht="12.75" x14ac:dyDescent="0.2"/>
    <row r="1166" ht="12.75" x14ac:dyDescent="0.2"/>
    <row r="1167" ht="12.75" x14ac:dyDescent="0.2"/>
    <row r="1168" ht="12.75" x14ac:dyDescent="0.2"/>
    <row r="1169" ht="12.75" x14ac:dyDescent="0.2"/>
    <row r="1170" ht="12.75" x14ac:dyDescent="0.2"/>
    <row r="1171" ht="12.75" x14ac:dyDescent="0.2"/>
    <row r="1172" ht="12.75" x14ac:dyDescent="0.2"/>
    <row r="1173" ht="12.75" x14ac:dyDescent="0.2"/>
    <row r="1174" ht="12.75" x14ac:dyDescent="0.2"/>
    <row r="1175" ht="12.75" x14ac:dyDescent="0.2"/>
    <row r="1176" ht="12.75" x14ac:dyDescent="0.2"/>
    <row r="1177" ht="12.75" x14ac:dyDescent="0.2"/>
    <row r="1178" ht="12.75" x14ac:dyDescent="0.2"/>
    <row r="1179" ht="12.75" x14ac:dyDescent="0.2"/>
    <row r="1180" ht="12.75" x14ac:dyDescent="0.2"/>
    <row r="1181" ht="12.75" x14ac:dyDescent="0.2"/>
    <row r="1182" ht="12.75" x14ac:dyDescent="0.2"/>
    <row r="1183" ht="12.75" x14ac:dyDescent="0.2"/>
    <row r="1184" ht="12.75" x14ac:dyDescent="0.2"/>
    <row r="1185" ht="12.75" x14ac:dyDescent="0.2"/>
    <row r="1186" ht="12.75" x14ac:dyDescent="0.2"/>
    <row r="1187" ht="12.75" x14ac:dyDescent="0.2"/>
    <row r="1188" ht="12.75" x14ac:dyDescent="0.2"/>
    <row r="1189" ht="12.75" x14ac:dyDescent="0.2"/>
    <row r="1190" ht="12.75" x14ac:dyDescent="0.2"/>
    <row r="1191" ht="12.75" x14ac:dyDescent="0.2"/>
    <row r="1192" ht="12.75" x14ac:dyDescent="0.2"/>
    <row r="1193" ht="12.75" x14ac:dyDescent="0.2"/>
    <row r="1194" ht="12.75" x14ac:dyDescent="0.2"/>
    <row r="1195" ht="12.75" x14ac:dyDescent="0.2"/>
    <row r="1196" ht="12.75" x14ac:dyDescent="0.2"/>
    <row r="1197" ht="12.75" x14ac:dyDescent="0.2"/>
    <row r="1198" ht="12.75" x14ac:dyDescent="0.2"/>
    <row r="1199" ht="12.75" x14ac:dyDescent="0.2"/>
    <row r="1200" ht="12.75" x14ac:dyDescent="0.2"/>
    <row r="1201" ht="12.75" x14ac:dyDescent="0.2"/>
    <row r="1202" ht="12.75" x14ac:dyDescent="0.2"/>
    <row r="1203" ht="12.75" x14ac:dyDescent="0.2"/>
    <row r="1204" ht="12.75" x14ac:dyDescent="0.2"/>
    <row r="1205" ht="12.75" x14ac:dyDescent="0.2"/>
    <row r="1206" ht="12.75" x14ac:dyDescent="0.2"/>
    <row r="1207" ht="12.75" x14ac:dyDescent="0.2"/>
    <row r="1208" ht="12.75" x14ac:dyDescent="0.2"/>
    <row r="1209" ht="12.75" x14ac:dyDescent="0.2"/>
    <row r="1210" ht="12.75" x14ac:dyDescent="0.2"/>
    <row r="1211" ht="12.75" x14ac:dyDescent="0.2"/>
    <row r="1212" ht="12.75" x14ac:dyDescent="0.2"/>
    <row r="1213" ht="12.75" x14ac:dyDescent="0.2"/>
    <row r="1214" ht="12.75" x14ac:dyDescent="0.2"/>
    <row r="1215" ht="12.75" x14ac:dyDescent="0.2"/>
    <row r="1216" ht="12.75" x14ac:dyDescent="0.2"/>
    <row r="1217" ht="12.75" x14ac:dyDescent="0.2"/>
    <row r="1218" ht="12.75" x14ac:dyDescent="0.2"/>
    <row r="1219" ht="12.75" x14ac:dyDescent="0.2"/>
    <row r="1220" ht="12.75" x14ac:dyDescent="0.2"/>
    <row r="1221" ht="12.75" x14ac:dyDescent="0.2"/>
    <row r="1222" ht="12.75" x14ac:dyDescent="0.2"/>
    <row r="1223" ht="12.75" x14ac:dyDescent="0.2"/>
    <row r="1224" ht="12.75" x14ac:dyDescent="0.2"/>
    <row r="1225" ht="12.75" x14ac:dyDescent="0.2"/>
    <row r="1226" ht="12.75" x14ac:dyDescent="0.2"/>
    <row r="1227" ht="12.75" x14ac:dyDescent="0.2"/>
    <row r="1228" ht="12.75" x14ac:dyDescent="0.2"/>
    <row r="1229" ht="12.75" x14ac:dyDescent="0.2"/>
    <row r="1230" ht="12.75" x14ac:dyDescent="0.2"/>
    <row r="1231" ht="12.75" x14ac:dyDescent="0.2"/>
    <row r="1232" ht="12.75" x14ac:dyDescent="0.2"/>
    <row r="1233" ht="12.75" x14ac:dyDescent="0.2"/>
    <row r="1234" ht="12.75" x14ac:dyDescent="0.2"/>
    <row r="1235" ht="12.75" x14ac:dyDescent="0.2"/>
    <row r="1236" ht="12.75" x14ac:dyDescent="0.2"/>
    <row r="1237" ht="12.75" x14ac:dyDescent="0.2"/>
    <row r="1238" ht="12.75" x14ac:dyDescent="0.2"/>
    <row r="1239" ht="12.75" x14ac:dyDescent="0.2"/>
    <row r="1240" ht="12.75" x14ac:dyDescent="0.2"/>
    <row r="1241" ht="12.75" x14ac:dyDescent="0.2"/>
    <row r="1242" ht="12.75" x14ac:dyDescent="0.2"/>
    <row r="1243" ht="12.75" x14ac:dyDescent="0.2"/>
    <row r="1244" ht="12.75" x14ac:dyDescent="0.2"/>
    <row r="1245" ht="12.75" x14ac:dyDescent="0.2"/>
    <row r="1246" ht="12.75" x14ac:dyDescent="0.2"/>
    <row r="1247" ht="12.75" x14ac:dyDescent="0.2"/>
    <row r="1248" ht="12.75" x14ac:dyDescent="0.2"/>
    <row r="1249" ht="12.75" x14ac:dyDescent="0.2"/>
    <row r="1250" ht="12.75" x14ac:dyDescent="0.2"/>
    <row r="1251" ht="12.75" x14ac:dyDescent="0.2"/>
    <row r="1252" ht="12.75" x14ac:dyDescent="0.2"/>
    <row r="1253" ht="12.75" x14ac:dyDescent="0.2"/>
    <row r="1254" ht="12.75" x14ac:dyDescent="0.2"/>
    <row r="1255" ht="12.75" x14ac:dyDescent="0.2"/>
    <row r="1256" ht="12.75" x14ac:dyDescent="0.2"/>
    <row r="1257" ht="12.75" x14ac:dyDescent="0.2"/>
    <row r="1258" ht="12.75" x14ac:dyDescent="0.2"/>
    <row r="1259" ht="12.75" x14ac:dyDescent="0.2"/>
    <row r="1260" ht="12.75" x14ac:dyDescent="0.2"/>
    <row r="1261" ht="12.75" x14ac:dyDescent="0.2"/>
    <row r="1262" ht="12.75" x14ac:dyDescent="0.2"/>
    <row r="1263" ht="12.75" x14ac:dyDescent="0.2"/>
    <row r="1264" ht="12.75" x14ac:dyDescent="0.2"/>
    <row r="1265" ht="12.75" x14ac:dyDescent="0.2"/>
    <row r="1266" ht="12.75" x14ac:dyDescent="0.2"/>
    <row r="1267" ht="12.75" x14ac:dyDescent="0.2"/>
    <row r="1268" ht="12.75" x14ac:dyDescent="0.2"/>
    <row r="1269" ht="12.75" x14ac:dyDescent="0.2"/>
    <row r="1270" ht="12.75" x14ac:dyDescent="0.2"/>
    <row r="1271" ht="12.75" x14ac:dyDescent="0.2"/>
    <row r="1272" ht="12.75" x14ac:dyDescent="0.2"/>
    <row r="1273" ht="12.75" x14ac:dyDescent="0.2"/>
    <row r="1274" ht="12.75" x14ac:dyDescent="0.2"/>
    <row r="1275" ht="12.75" x14ac:dyDescent="0.2"/>
    <row r="1276" ht="12.75" x14ac:dyDescent="0.2"/>
    <row r="1277" ht="12.75" x14ac:dyDescent="0.2"/>
    <row r="1278" ht="12.75" x14ac:dyDescent="0.2"/>
    <row r="1279" ht="12.75" x14ac:dyDescent="0.2"/>
    <row r="1280" ht="12.75" x14ac:dyDescent="0.2"/>
    <row r="1281" ht="12.75" x14ac:dyDescent="0.2"/>
    <row r="1282" ht="12.75" x14ac:dyDescent="0.2"/>
    <row r="1283" ht="12.75" x14ac:dyDescent="0.2"/>
    <row r="1284" ht="12.75" x14ac:dyDescent="0.2"/>
    <row r="1285" ht="12.75" x14ac:dyDescent="0.2"/>
    <row r="1286" ht="12.75" x14ac:dyDescent="0.2"/>
    <row r="1287" ht="12.75" x14ac:dyDescent="0.2"/>
    <row r="1288" ht="12.75" x14ac:dyDescent="0.2"/>
    <row r="1289" ht="12.75" x14ac:dyDescent="0.2"/>
    <row r="1290" ht="12.75" x14ac:dyDescent="0.2"/>
    <row r="1291" ht="12.75" x14ac:dyDescent="0.2"/>
    <row r="1292" ht="12.75" x14ac:dyDescent="0.2"/>
    <row r="1293" ht="12.75" x14ac:dyDescent="0.2"/>
    <row r="1294" ht="12.75" x14ac:dyDescent="0.2"/>
    <row r="1295" ht="12.75" x14ac:dyDescent="0.2"/>
    <row r="1296" ht="12.75" x14ac:dyDescent="0.2"/>
    <row r="1297" ht="12.75" x14ac:dyDescent="0.2"/>
    <row r="1298" ht="12.75" x14ac:dyDescent="0.2"/>
    <row r="1299" ht="12.75" x14ac:dyDescent="0.2"/>
    <row r="1300" ht="12.75" x14ac:dyDescent="0.2"/>
    <row r="1301" ht="12.75" x14ac:dyDescent="0.2"/>
    <row r="1302" ht="12.75" x14ac:dyDescent="0.2"/>
    <row r="1303" ht="12.75" x14ac:dyDescent="0.2"/>
    <row r="1304" ht="12.75" x14ac:dyDescent="0.2"/>
    <row r="1305" ht="12.75" x14ac:dyDescent="0.2"/>
    <row r="1306" ht="12.75" x14ac:dyDescent="0.2"/>
    <row r="1307" ht="12.75" x14ac:dyDescent="0.2"/>
    <row r="1308" ht="12.75" x14ac:dyDescent="0.2"/>
    <row r="1309" ht="12.75" x14ac:dyDescent="0.2"/>
    <row r="1310" ht="12.75" x14ac:dyDescent="0.2"/>
    <row r="1311" ht="12.75" x14ac:dyDescent="0.2"/>
    <row r="1312" ht="12.75" x14ac:dyDescent="0.2"/>
    <row r="1313" ht="12.75" x14ac:dyDescent="0.2"/>
    <row r="1314" ht="12.75" x14ac:dyDescent="0.2"/>
    <row r="1315" ht="12.75" x14ac:dyDescent="0.2"/>
    <row r="1316" ht="12.75" x14ac:dyDescent="0.2"/>
    <row r="1317" ht="12.75" x14ac:dyDescent="0.2"/>
    <row r="1318" ht="12.75" x14ac:dyDescent="0.2"/>
    <row r="1319" ht="12.75" x14ac:dyDescent="0.2"/>
    <row r="1320" ht="12.75" x14ac:dyDescent="0.2"/>
    <row r="1321" ht="12.75" x14ac:dyDescent="0.2"/>
    <row r="1322" ht="12.75" x14ac:dyDescent="0.2"/>
    <row r="1323" ht="12.75" x14ac:dyDescent="0.2"/>
    <row r="1324" ht="12.75" x14ac:dyDescent="0.2"/>
    <row r="1325" ht="12.75" x14ac:dyDescent="0.2"/>
    <row r="1326" ht="12.75" x14ac:dyDescent="0.2"/>
    <row r="1327" ht="12.75" x14ac:dyDescent="0.2"/>
    <row r="1328" ht="12.75" x14ac:dyDescent="0.2"/>
    <row r="1329" ht="12.75" x14ac:dyDescent="0.2"/>
    <row r="1330" ht="12.75" x14ac:dyDescent="0.2"/>
    <row r="1331" ht="12.75" x14ac:dyDescent="0.2"/>
    <row r="1332" ht="12.75" x14ac:dyDescent="0.2"/>
    <row r="1333" ht="12.75" x14ac:dyDescent="0.2"/>
    <row r="1334" ht="12.75" x14ac:dyDescent="0.2"/>
    <row r="1335" ht="12.75" x14ac:dyDescent="0.2"/>
    <row r="1336" ht="12.75" x14ac:dyDescent="0.2"/>
    <row r="1337" ht="12.75" x14ac:dyDescent="0.2"/>
    <row r="1338" ht="12.75" x14ac:dyDescent="0.2"/>
    <row r="1339" ht="12.75" x14ac:dyDescent="0.2"/>
    <row r="1340" ht="12.75" x14ac:dyDescent="0.2"/>
    <row r="1341" ht="12.75" x14ac:dyDescent="0.2"/>
    <row r="1342" ht="12.75" x14ac:dyDescent="0.2"/>
    <row r="1343" ht="12.75" x14ac:dyDescent="0.2"/>
    <row r="1344" ht="12.75" x14ac:dyDescent="0.2"/>
    <row r="1345" ht="12.75" x14ac:dyDescent="0.2"/>
    <row r="1346" ht="12.75" x14ac:dyDescent="0.2"/>
    <row r="1347" ht="12.75" x14ac:dyDescent="0.2"/>
    <row r="1348" ht="12.75" x14ac:dyDescent="0.2"/>
    <row r="1349" ht="12.75" x14ac:dyDescent="0.2"/>
    <row r="1350" ht="12.75" x14ac:dyDescent="0.2"/>
    <row r="1351" ht="12.75" x14ac:dyDescent="0.2"/>
    <row r="1352" ht="12.75" x14ac:dyDescent="0.2"/>
    <row r="1353" ht="12.75" x14ac:dyDescent="0.2"/>
    <row r="1354" ht="12.75" x14ac:dyDescent="0.2"/>
    <row r="1355" ht="12.75" x14ac:dyDescent="0.2"/>
    <row r="1356" ht="12.75" x14ac:dyDescent="0.2"/>
    <row r="1357" ht="12.75" x14ac:dyDescent="0.2"/>
    <row r="1358" ht="12.75" x14ac:dyDescent="0.2"/>
    <row r="1359" ht="12.75" x14ac:dyDescent="0.2"/>
    <row r="1360" ht="12.75" x14ac:dyDescent="0.2"/>
    <row r="1361" ht="12.75" x14ac:dyDescent="0.2"/>
    <row r="1362" ht="12.75" x14ac:dyDescent="0.2"/>
    <row r="1363" ht="12.75" x14ac:dyDescent="0.2"/>
    <row r="1364" ht="12.75" x14ac:dyDescent="0.2"/>
    <row r="1365" ht="12.75" x14ac:dyDescent="0.2"/>
    <row r="1366" ht="12.75" x14ac:dyDescent="0.2"/>
    <row r="1367" ht="12.75" x14ac:dyDescent="0.2"/>
    <row r="1368" ht="12.75" x14ac:dyDescent="0.2"/>
    <row r="1369" ht="12.75" x14ac:dyDescent="0.2"/>
    <row r="1370" ht="12.75" x14ac:dyDescent="0.2"/>
    <row r="1371" ht="12.75" x14ac:dyDescent="0.2"/>
    <row r="1372" ht="12.75" x14ac:dyDescent="0.2"/>
    <row r="1373" ht="12.75" x14ac:dyDescent="0.2"/>
    <row r="1374" ht="12.75" x14ac:dyDescent="0.2"/>
    <row r="1375" ht="12.75" x14ac:dyDescent="0.2"/>
    <row r="1376" ht="12.75" x14ac:dyDescent="0.2"/>
    <row r="1377" ht="12.75" x14ac:dyDescent="0.2"/>
    <row r="1378" ht="12.75" x14ac:dyDescent="0.2"/>
    <row r="1379" ht="12.75" x14ac:dyDescent="0.2"/>
    <row r="1380" ht="12.75" x14ac:dyDescent="0.2"/>
    <row r="1381" ht="12.75" x14ac:dyDescent="0.2"/>
    <row r="1382" ht="12.75" x14ac:dyDescent="0.2"/>
    <row r="1383" ht="12.75" x14ac:dyDescent="0.2"/>
    <row r="1384" ht="12.75" x14ac:dyDescent="0.2"/>
    <row r="1385" ht="12.75" x14ac:dyDescent="0.2"/>
    <row r="1386" ht="12.75" x14ac:dyDescent="0.2"/>
    <row r="1387" ht="12.75" x14ac:dyDescent="0.2"/>
    <row r="1388" ht="12.75" x14ac:dyDescent="0.2"/>
    <row r="1389" ht="12.75" x14ac:dyDescent="0.2"/>
    <row r="1390" ht="12.75" x14ac:dyDescent="0.2"/>
    <row r="1391" ht="12.75" x14ac:dyDescent="0.2"/>
    <row r="1392" ht="12.75" x14ac:dyDescent="0.2"/>
    <row r="1393" ht="12.75" x14ac:dyDescent="0.2"/>
    <row r="1394" ht="12.75" x14ac:dyDescent="0.2"/>
    <row r="1395" ht="12.75" x14ac:dyDescent="0.2"/>
    <row r="1396" ht="12.75" x14ac:dyDescent="0.2"/>
    <row r="1397" ht="12.75" x14ac:dyDescent="0.2"/>
    <row r="1398" ht="12.75" x14ac:dyDescent="0.2"/>
    <row r="1399" ht="12.75" x14ac:dyDescent="0.2"/>
    <row r="1400" ht="12.75" x14ac:dyDescent="0.2"/>
    <row r="1401" ht="12.75" x14ac:dyDescent="0.2"/>
    <row r="1402" ht="12.75" x14ac:dyDescent="0.2"/>
    <row r="1403" ht="12.75" x14ac:dyDescent="0.2"/>
    <row r="1404" ht="12.75" x14ac:dyDescent="0.2"/>
    <row r="1405" ht="12.75" x14ac:dyDescent="0.2"/>
    <row r="1406" ht="12.75" x14ac:dyDescent="0.2"/>
    <row r="1407" ht="12.75" x14ac:dyDescent="0.2"/>
    <row r="1408" ht="12.75" x14ac:dyDescent="0.2"/>
    <row r="1409" ht="12.75" x14ac:dyDescent="0.2"/>
    <row r="1410" ht="12.75" x14ac:dyDescent="0.2"/>
    <row r="1411" ht="12.75" x14ac:dyDescent="0.2"/>
    <row r="1412" ht="12.75" x14ac:dyDescent="0.2"/>
    <row r="1413" ht="12.75" x14ac:dyDescent="0.2"/>
    <row r="1414" ht="12.75" x14ac:dyDescent="0.2"/>
    <row r="1415" ht="12.75" x14ac:dyDescent="0.2"/>
    <row r="1416" ht="12.75" x14ac:dyDescent="0.2"/>
    <row r="1417" ht="12.75" x14ac:dyDescent="0.2"/>
    <row r="1418" ht="12.75" x14ac:dyDescent="0.2"/>
    <row r="1419" ht="12.75" x14ac:dyDescent="0.2"/>
    <row r="1420" ht="12.75" x14ac:dyDescent="0.2"/>
    <row r="1421" ht="12.75" x14ac:dyDescent="0.2"/>
    <row r="1422" ht="12.75" x14ac:dyDescent="0.2"/>
    <row r="1423" ht="12.75" x14ac:dyDescent="0.2"/>
    <row r="1424" ht="12.75" x14ac:dyDescent="0.2"/>
    <row r="1425" ht="12.75" x14ac:dyDescent="0.2"/>
    <row r="1426" ht="12.75" x14ac:dyDescent="0.2"/>
    <row r="1427" ht="12.75" x14ac:dyDescent="0.2"/>
    <row r="1428" ht="12.75" x14ac:dyDescent="0.2"/>
    <row r="1429" ht="12.75" x14ac:dyDescent="0.2"/>
    <row r="1430" ht="12.75" x14ac:dyDescent="0.2"/>
    <row r="1431" ht="12.75" x14ac:dyDescent="0.2"/>
    <row r="1432" ht="12.75" x14ac:dyDescent="0.2"/>
    <row r="1433" ht="12.75" x14ac:dyDescent="0.2"/>
    <row r="1434" ht="12.75" x14ac:dyDescent="0.2"/>
    <row r="1435" ht="12.75" x14ac:dyDescent="0.2"/>
    <row r="1436" ht="12.75" x14ac:dyDescent="0.2"/>
    <row r="1437" ht="12.75" x14ac:dyDescent="0.2"/>
    <row r="1438" ht="12.75" x14ac:dyDescent="0.2"/>
    <row r="1439" ht="12.75" x14ac:dyDescent="0.2"/>
    <row r="1440" ht="12.75" x14ac:dyDescent="0.2"/>
    <row r="1441" ht="12.75" x14ac:dyDescent="0.2"/>
    <row r="1442" ht="12.75" x14ac:dyDescent="0.2"/>
    <row r="1443" ht="12.75" x14ac:dyDescent="0.2"/>
    <row r="1444" ht="12.75" x14ac:dyDescent="0.2"/>
    <row r="1445" ht="12.75" x14ac:dyDescent="0.2"/>
    <row r="1446" ht="12.75" x14ac:dyDescent="0.2"/>
    <row r="1447" ht="12.75" x14ac:dyDescent="0.2"/>
    <row r="1448" ht="12.75" x14ac:dyDescent="0.2"/>
    <row r="1449" ht="12.75" x14ac:dyDescent="0.2"/>
    <row r="1450" ht="12.75" x14ac:dyDescent="0.2"/>
    <row r="1451" ht="12.75" x14ac:dyDescent="0.2"/>
    <row r="1452" ht="12.75" x14ac:dyDescent="0.2"/>
    <row r="1453" ht="12.75" x14ac:dyDescent="0.2"/>
    <row r="1454" ht="12.75" x14ac:dyDescent="0.2"/>
    <row r="1455" ht="12.75" x14ac:dyDescent="0.2"/>
    <row r="1456" ht="12.75" x14ac:dyDescent="0.2"/>
    <row r="1457" ht="12.75" x14ac:dyDescent="0.2"/>
    <row r="1458" ht="12.75" x14ac:dyDescent="0.2"/>
    <row r="1459" ht="12.75" x14ac:dyDescent="0.2"/>
    <row r="1460" ht="12.75" x14ac:dyDescent="0.2"/>
    <row r="1461" ht="12.75" x14ac:dyDescent="0.2"/>
    <row r="1462" ht="12.75" x14ac:dyDescent="0.2"/>
    <row r="1463" ht="12.75" x14ac:dyDescent="0.2"/>
    <row r="1464" ht="12.75" x14ac:dyDescent="0.2"/>
    <row r="1465" ht="12.75" x14ac:dyDescent="0.2"/>
    <row r="1466" ht="12.75" x14ac:dyDescent="0.2"/>
    <row r="1467" ht="12.75" x14ac:dyDescent="0.2"/>
    <row r="1468" ht="12.75" x14ac:dyDescent="0.2"/>
    <row r="1469" ht="12.75" x14ac:dyDescent="0.2"/>
    <row r="1470" ht="12.75" x14ac:dyDescent="0.2"/>
    <row r="1471" ht="12.75" x14ac:dyDescent="0.2"/>
    <row r="1472" ht="12.75" x14ac:dyDescent="0.2"/>
    <row r="1473" ht="12.75" x14ac:dyDescent="0.2"/>
    <row r="1474" ht="12.75" x14ac:dyDescent="0.2"/>
    <row r="1475" ht="12.75" x14ac:dyDescent="0.2"/>
    <row r="1476" ht="12.75" x14ac:dyDescent="0.2"/>
    <row r="1477" ht="12.75" x14ac:dyDescent="0.2"/>
    <row r="1478" ht="12.75" x14ac:dyDescent="0.2"/>
    <row r="1479" ht="12.75" x14ac:dyDescent="0.2"/>
    <row r="1480" ht="12.75" x14ac:dyDescent="0.2"/>
    <row r="1481" ht="12.75" x14ac:dyDescent="0.2"/>
    <row r="1482" ht="12.75" x14ac:dyDescent="0.2"/>
    <row r="1483" ht="12.75" x14ac:dyDescent="0.2"/>
    <row r="1484" ht="12.75" x14ac:dyDescent="0.2"/>
    <row r="1485" ht="12.75" x14ac:dyDescent="0.2"/>
    <row r="1486" ht="12.75" x14ac:dyDescent="0.2"/>
    <row r="1487" ht="12.75" x14ac:dyDescent="0.2"/>
    <row r="1488" ht="12.75" x14ac:dyDescent="0.2"/>
    <row r="1489" ht="12.75" x14ac:dyDescent="0.2"/>
    <row r="1490" ht="12.75" x14ac:dyDescent="0.2"/>
    <row r="1491" ht="12.75" x14ac:dyDescent="0.2"/>
    <row r="1492" ht="12.75" x14ac:dyDescent="0.2"/>
    <row r="1493" ht="12.75" x14ac:dyDescent="0.2"/>
    <row r="1494" ht="12.75" x14ac:dyDescent="0.2"/>
    <row r="1495" ht="12.75" x14ac:dyDescent="0.2"/>
    <row r="1496" ht="12.75" x14ac:dyDescent="0.2"/>
    <row r="1497" ht="12.75" x14ac:dyDescent="0.2"/>
    <row r="1498" ht="12.75" x14ac:dyDescent="0.2"/>
    <row r="1499" ht="12.75" x14ac:dyDescent="0.2"/>
    <row r="1500" ht="12.75" x14ac:dyDescent="0.2"/>
    <row r="1501" ht="12.75" x14ac:dyDescent="0.2"/>
    <row r="1502" ht="12.75" x14ac:dyDescent="0.2"/>
    <row r="1503" ht="12.75" x14ac:dyDescent="0.2"/>
    <row r="1504" ht="12.75" x14ac:dyDescent="0.2"/>
    <row r="1505" ht="12.75" x14ac:dyDescent="0.2"/>
    <row r="1506" ht="12.75" x14ac:dyDescent="0.2"/>
    <row r="1507" ht="12.75" x14ac:dyDescent="0.2"/>
    <row r="1508" ht="12.75" x14ac:dyDescent="0.2"/>
    <row r="1509" ht="12.75" x14ac:dyDescent="0.2"/>
    <row r="1510" ht="12.75" x14ac:dyDescent="0.2"/>
    <row r="1511" ht="12.75" x14ac:dyDescent="0.2"/>
    <row r="1512" ht="12.75" x14ac:dyDescent="0.2"/>
    <row r="1513" ht="12.75" x14ac:dyDescent="0.2"/>
    <row r="1514" ht="12.75" x14ac:dyDescent="0.2"/>
    <row r="1515" ht="12.75" x14ac:dyDescent="0.2"/>
    <row r="1516" ht="12.75" x14ac:dyDescent="0.2"/>
    <row r="1517" ht="12.75" x14ac:dyDescent="0.2"/>
    <row r="1518" ht="12.75" x14ac:dyDescent="0.2"/>
    <row r="1519" ht="12.75" x14ac:dyDescent="0.2"/>
    <row r="1520" ht="12.75" x14ac:dyDescent="0.2"/>
    <row r="1521" ht="12.75" x14ac:dyDescent="0.2"/>
    <row r="1522" ht="12.75" x14ac:dyDescent="0.2"/>
    <row r="1523" ht="12.75" x14ac:dyDescent="0.2"/>
    <row r="1524" ht="12.75" x14ac:dyDescent="0.2"/>
    <row r="1525" ht="12.75" x14ac:dyDescent="0.2"/>
    <row r="1526" ht="12.75" x14ac:dyDescent="0.2"/>
    <row r="1527" ht="12.75" x14ac:dyDescent="0.2"/>
    <row r="1528" ht="12.75" x14ac:dyDescent="0.2"/>
    <row r="1529" ht="12.75" x14ac:dyDescent="0.2"/>
    <row r="1530" ht="12.75" x14ac:dyDescent="0.2"/>
    <row r="1531" ht="12.75" x14ac:dyDescent="0.2"/>
    <row r="1532" ht="12.75" x14ac:dyDescent="0.2"/>
    <row r="1533" ht="12.75" x14ac:dyDescent="0.2"/>
    <row r="1534" ht="12.75" x14ac:dyDescent="0.2"/>
    <row r="1535" ht="12.75" x14ac:dyDescent="0.2"/>
    <row r="1536" ht="12.75" x14ac:dyDescent="0.2"/>
    <row r="1537" ht="12.75" x14ac:dyDescent="0.2"/>
    <row r="1538" ht="12.75" x14ac:dyDescent="0.2"/>
    <row r="1539" ht="12.75" x14ac:dyDescent="0.2"/>
    <row r="1540" ht="12.75" x14ac:dyDescent="0.2"/>
    <row r="1541" ht="12.75" x14ac:dyDescent="0.2"/>
    <row r="1542" ht="12.75" x14ac:dyDescent="0.2"/>
    <row r="1543" ht="12.75" x14ac:dyDescent="0.2"/>
    <row r="1544" ht="12.75" x14ac:dyDescent="0.2"/>
    <row r="1545" ht="12.75" x14ac:dyDescent="0.2"/>
    <row r="1546" ht="12.75" x14ac:dyDescent="0.2"/>
    <row r="1547" ht="12.75" x14ac:dyDescent="0.2"/>
    <row r="1548" ht="12.75" x14ac:dyDescent="0.2"/>
    <row r="1549" ht="12.75" x14ac:dyDescent="0.2"/>
    <row r="1550" ht="12.75" x14ac:dyDescent="0.2"/>
    <row r="1551" ht="12.75" x14ac:dyDescent="0.2"/>
    <row r="1552" ht="12.75" x14ac:dyDescent="0.2"/>
    <row r="1553" ht="12.75" x14ac:dyDescent="0.2"/>
    <row r="1554" ht="12.75" x14ac:dyDescent="0.2"/>
    <row r="1555" ht="12.75" x14ac:dyDescent="0.2"/>
    <row r="1556" ht="12.75" x14ac:dyDescent="0.2"/>
    <row r="1557" ht="12.75" x14ac:dyDescent="0.2"/>
    <row r="1558" ht="12.75" x14ac:dyDescent="0.2"/>
    <row r="1559" ht="12.75" x14ac:dyDescent="0.2"/>
    <row r="1560" ht="12.75" x14ac:dyDescent="0.2"/>
    <row r="1561" ht="12.75" x14ac:dyDescent="0.2"/>
    <row r="1562" ht="12.75" x14ac:dyDescent="0.2"/>
    <row r="1563" ht="12.75" x14ac:dyDescent="0.2"/>
    <row r="1564" ht="12.75" x14ac:dyDescent="0.2"/>
    <row r="1565" ht="12.75" x14ac:dyDescent="0.2"/>
    <row r="1566" ht="12.75" x14ac:dyDescent="0.2"/>
    <row r="1567" ht="12.75" x14ac:dyDescent="0.2"/>
    <row r="1568" ht="12.75" x14ac:dyDescent="0.2"/>
    <row r="1569" ht="12.75" x14ac:dyDescent="0.2"/>
    <row r="1570" ht="12.75" x14ac:dyDescent="0.2"/>
    <row r="1571" ht="12.75" x14ac:dyDescent="0.2"/>
    <row r="1572" ht="12.75" x14ac:dyDescent="0.2"/>
    <row r="1573" ht="12.75" x14ac:dyDescent="0.2"/>
    <row r="1574" ht="12.75" x14ac:dyDescent="0.2"/>
    <row r="1575" ht="12.75" x14ac:dyDescent="0.2"/>
    <row r="1576" ht="12.75" x14ac:dyDescent="0.2"/>
    <row r="1577" ht="12.75" x14ac:dyDescent="0.2"/>
    <row r="1578" ht="12.75" x14ac:dyDescent="0.2"/>
    <row r="1579" ht="12.75" x14ac:dyDescent="0.2"/>
    <row r="1580" ht="12.75" x14ac:dyDescent="0.2"/>
    <row r="1581" ht="12.75" x14ac:dyDescent="0.2"/>
    <row r="1582" ht="12.75" x14ac:dyDescent="0.2"/>
    <row r="1583" ht="12.75" x14ac:dyDescent="0.2"/>
    <row r="1584" ht="12.75" x14ac:dyDescent="0.2"/>
    <row r="1585" ht="12.75" x14ac:dyDescent="0.2"/>
    <row r="1586" ht="12.75" x14ac:dyDescent="0.2"/>
    <row r="1587" ht="12.75" x14ac:dyDescent="0.2"/>
    <row r="1588" ht="12.75" x14ac:dyDescent="0.2"/>
    <row r="1589" ht="12.75" x14ac:dyDescent="0.2"/>
    <row r="1590" ht="12.75" x14ac:dyDescent="0.2"/>
    <row r="1591" ht="12.75" x14ac:dyDescent="0.2"/>
    <row r="1592" ht="12.75" x14ac:dyDescent="0.2"/>
    <row r="1593" ht="12.75" x14ac:dyDescent="0.2"/>
    <row r="1594" ht="12.75" x14ac:dyDescent="0.2"/>
    <row r="1595" ht="12.75" x14ac:dyDescent="0.2"/>
    <row r="1596" ht="12.75" x14ac:dyDescent="0.2"/>
    <row r="1597" ht="12.75" x14ac:dyDescent="0.2"/>
    <row r="1598" ht="12.75" x14ac:dyDescent="0.2"/>
    <row r="1599" ht="12.75" x14ac:dyDescent="0.2"/>
    <row r="1600" ht="12.75" x14ac:dyDescent="0.2"/>
    <row r="1601" ht="12.75" x14ac:dyDescent="0.2"/>
    <row r="1602" ht="12.75" x14ac:dyDescent="0.2"/>
    <row r="1603" ht="12.75" x14ac:dyDescent="0.2"/>
    <row r="1604" ht="12.75" x14ac:dyDescent="0.2"/>
    <row r="1605" ht="12.75" x14ac:dyDescent="0.2"/>
    <row r="1606" ht="12.75" x14ac:dyDescent="0.2"/>
    <row r="1607" ht="12.75" x14ac:dyDescent="0.2"/>
    <row r="1608" ht="12.75" x14ac:dyDescent="0.2"/>
    <row r="1609" ht="12.75" x14ac:dyDescent="0.2"/>
    <row r="1610" ht="12.75" x14ac:dyDescent="0.2"/>
    <row r="1611" ht="12.75" x14ac:dyDescent="0.2"/>
    <row r="1612" ht="12.75" x14ac:dyDescent="0.2"/>
    <row r="1613" ht="12.75" x14ac:dyDescent="0.2"/>
    <row r="1614" ht="12.75" x14ac:dyDescent="0.2"/>
    <row r="1615" ht="12.75" x14ac:dyDescent="0.2"/>
    <row r="1616" ht="12.75" x14ac:dyDescent="0.2"/>
    <row r="1617" ht="12.75" x14ac:dyDescent="0.2"/>
    <row r="1618" ht="12.75" x14ac:dyDescent="0.2"/>
    <row r="1619" ht="12.75" x14ac:dyDescent="0.2"/>
    <row r="1620" ht="12.75" x14ac:dyDescent="0.2"/>
    <row r="1621" ht="12.75" x14ac:dyDescent="0.2"/>
    <row r="1622" ht="12.75" x14ac:dyDescent="0.2"/>
    <row r="1623" ht="12.75" x14ac:dyDescent="0.2"/>
    <row r="1624" ht="12.75" x14ac:dyDescent="0.2"/>
    <row r="1625" ht="12.75" x14ac:dyDescent="0.2"/>
    <row r="1626" ht="12.75" x14ac:dyDescent="0.2"/>
    <row r="1627" ht="12.75" x14ac:dyDescent="0.2"/>
    <row r="1628" ht="12.75" x14ac:dyDescent="0.2"/>
    <row r="1629" ht="12.75" x14ac:dyDescent="0.2"/>
    <row r="1630" ht="12.75" x14ac:dyDescent="0.2"/>
    <row r="1631" ht="12.75" x14ac:dyDescent="0.2"/>
    <row r="1632" ht="12.75" x14ac:dyDescent="0.2"/>
    <row r="1633" ht="12.75" x14ac:dyDescent="0.2"/>
    <row r="1634" ht="12.75" x14ac:dyDescent="0.2"/>
    <row r="1635" ht="12.75" x14ac:dyDescent="0.2"/>
    <row r="1636" ht="12.75" x14ac:dyDescent="0.2"/>
    <row r="1637" ht="12.75" x14ac:dyDescent="0.2"/>
    <row r="1638" ht="12.75" x14ac:dyDescent="0.2"/>
    <row r="1639" ht="12.75" x14ac:dyDescent="0.2"/>
    <row r="1640" ht="12.75" x14ac:dyDescent="0.2"/>
    <row r="1641" ht="12.75" x14ac:dyDescent="0.2"/>
    <row r="1642" ht="12.75" x14ac:dyDescent="0.2"/>
    <row r="1643" ht="12.75" x14ac:dyDescent="0.2"/>
    <row r="1644" ht="12.75" x14ac:dyDescent="0.2"/>
    <row r="1645" ht="12.75" x14ac:dyDescent="0.2"/>
    <row r="1646" ht="12.75" x14ac:dyDescent="0.2"/>
    <row r="1647" ht="12.75" x14ac:dyDescent="0.2"/>
    <row r="1648" ht="12.75" x14ac:dyDescent="0.2"/>
    <row r="1649" ht="12.75" x14ac:dyDescent="0.2"/>
    <row r="1650" ht="12.75" x14ac:dyDescent="0.2"/>
    <row r="1651" ht="12.75" x14ac:dyDescent="0.2"/>
    <row r="1652" ht="12.75" x14ac:dyDescent="0.2"/>
    <row r="1653" ht="12.75" x14ac:dyDescent="0.2"/>
    <row r="1654" ht="12.75" x14ac:dyDescent="0.2"/>
    <row r="1655" ht="12.75" x14ac:dyDescent="0.2"/>
    <row r="1656" ht="12.75" x14ac:dyDescent="0.2"/>
    <row r="1657" ht="12.75" x14ac:dyDescent="0.2"/>
    <row r="1658" ht="12.75" x14ac:dyDescent="0.2"/>
    <row r="1659" ht="12.75" x14ac:dyDescent="0.2"/>
    <row r="1660" ht="12.75" x14ac:dyDescent="0.2"/>
    <row r="1661" ht="12.75" x14ac:dyDescent="0.2"/>
    <row r="1662" ht="12.75" x14ac:dyDescent="0.2"/>
    <row r="1663" ht="12.75" x14ac:dyDescent="0.2"/>
    <row r="1664" ht="12.75" x14ac:dyDescent="0.2"/>
    <row r="1665" ht="12.75" x14ac:dyDescent="0.2"/>
    <row r="1666" ht="12.75" x14ac:dyDescent="0.2"/>
    <row r="1667" ht="12.75" x14ac:dyDescent="0.2"/>
    <row r="1668" ht="12.75" x14ac:dyDescent="0.2"/>
    <row r="1669" ht="12.75" x14ac:dyDescent="0.2"/>
    <row r="1670" ht="12.75" x14ac:dyDescent="0.2"/>
    <row r="1671" ht="12.75" x14ac:dyDescent="0.2"/>
    <row r="1672" ht="12.75" x14ac:dyDescent="0.2"/>
    <row r="1673" ht="12.75" x14ac:dyDescent="0.2"/>
    <row r="1674" ht="12.75" x14ac:dyDescent="0.2"/>
    <row r="1675" ht="12.75" x14ac:dyDescent="0.2"/>
    <row r="1676" ht="12.75" x14ac:dyDescent="0.2"/>
    <row r="1677" ht="12.75" x14ac:dyDescent="0.2"/>
    <row r="1678" ht="12.75" x14ac:dyDescent="0.2"/>
    <row r="1679" ht="12.75" x14ac:dyDescent="0.2"/>
    <row r="1680" ht="12.75" x14ac:dyDescent="0.2"/>
    <row r="1681" ht="12.75" x14ac:dyDescent="0.2"/>
    <row r="1682" ht="12.75" x14ac:dyDescent="0.2"/>
    <row r="1683" ht="12.75" x14ac:dyDescent="0.2"/>
    <row r="1684" ht="12.75" x14ac:dyDescent="0.2"/>
    <row r="1685" ht="12.75" x14ac:dyDescent="0.2"/>
    <row r="1686" ht="12.75" x14ac:dyDescent="0.2"/>
    <row r="1687" ht="12.75" x14ac:dyDescent="0.2"/>
    <row r="1688" ht="12.75" x14ac:dyDescent="0.2"/>
    <row r="1689" ht="12.75" x14ac:dyDescent="0.2"/>
    <row r="1690" ht="12.75" x14ac:dyDescent="0.2"/>
    <row r="1691" ht="12.75" x14ac:dyDescent="0.2"/>
    <row r="1692" ht="12.75" x14ac:dyDescent="0.2"/>
    <row r="1693" ht="12.75" x14ac:dyDescent="0.2"/>
    <row r="1694" ht="12.75" x14ac:dyDescent="0.2"/>
    <row r="1695" ht="12.75" x14ac:dyDescent="0.2"/>
    <row r="1696" ht="12.75" x14ac:dyDescent="0.2"/>
    <row r="1697" ht="12.75" x14ac:dyDescent="0.2"/>
    <row r="1698" ht="12.75" x14ac:dyDescent="0.2"/>
    <row r="1699" ht="12.75" x14ac:dyDescent="0.2"/>
    <row r="1700" ht="12.75" x14ac:dyDescent="0.2"/>
    <row r="1701" ht="12.75" x14ac:dyDescent="0.2"/>
    <row r="1702" ht="12.75" x14ac:dyDescent="0.2"/>
    <row r="1703" ht="12.75" x14ac:dyDescent="0.2"/>
    <row r="1704" ht="12.75" x14ac:dyDescent="0.2"/>
    <row r="1705" ht="12.75" x14ac:dyDescent="0.2"/>
    <row r="1706" ht="12.75" x14ac:dyDescent="0.2"/>
    <row r="1707" ht="12.75" x14ac:dyDescent="0.2"/>
    <row r="1708" ht="12.75" x14ac:dyDescent="0.2"/>
    <row r="1709" ht="12.75" x14ac:dyDescent="0.2"/>
    <row r="1710" ht="12.75" x14ac:dyDescent="0.2"/>
    <row r="1711" ht="12.75" x14ac:dyDescent="0.2"/>
    <row r="1712" ht="12.75" x14ac:dyDescent="0.2"/>
    <row r="1713" ht="12.75" x14ac:dyDescent="0.2"/>
    <row r="1714" ht="12.75" x14ac:dyDescent="0.2"/>
    <row r="1715" ht="12.75" x14ac:dyDescent="0.2"/>
    <row r="1716" ht="12.75" x14ac:dyDescent="0.2"/>
    <row r="1717" ht="12.75" x14ac:dyDescent="0.2"/>
    <row r="1718" ht="12.75" x14ac:dyDescent="0.2"/>
    <row r="1719" ht="12.75" x14ac:dyDescent="0.2"/>
    <row r="1720" ht="12.75" x14ac:dyDescent="0.2"/>
    <row r="1721" ht="12.75" x14ac:dyDescent="0.2"/>
    <row r="1722" ht="12.75" x14ac:dyDescent="0.2"/>
    <row r="1723" ht="12.75" x14ac:dyDescent="0.2"/>
    <row r="1724" ht="12.75" x14ac:dyDescent="0.2"/>
    <row r="1725" ht="12.75" x14ac:dyDescent="0.2"/>
    <row r="1726" ht="12.75" x14ac:dyDescent="0.2"/>
    <row r="1727" ht="12.75" x14ac:dyDescent="0.2"/>
    <row r="1728" ht="12.75" x14ac:dyDescent="0.2"/>
    <row r="1729" ht="12.75" x14ac:dyDescent="0.2"/>
    <row r="1730" ht="12.75" x14ac:dyDescent="0.2"/>
    <row r="1731" ht="12.75" x14ac:dyDescent="0.2"/>
    <row r="1732" ht="12.75" x14ac:dyDescent="0.2"/>
    <row r="1733" ht="12.75" x14ac:dyDescent="0.2"/>
    <row r="1734" ht="12.75" x14ac:dyDescent="0.2"/>
    <row r="1735" ht="12.75" x14ac:dyDescent="0.2"/>
    <row r="1736" ht="12.75" x14ac:dyDescent="0.2"/>
    <row r="1737" ht="12.75" x14ac:dyDescent="0.2"/>
    <row r="1738" ht="12.75" x14ac:dyDescent="0.2"/>
    <row r="1739" ht="12.75" x14ac:dyDescent="0.2"/>
    <row r="1740" ht="12.75" x14ac:dyDescent="0.2"/>
    <row r="1741" ht="12.75" x14ac:dyDescent="0.2"/>
    <row r="1742" ht="12.75" x14ac:dyDescent="0.2"/>
    <row r="1743" ht="12.75" x14ac:dyDescent="0.2"/>
    <row r="1744" ht="12.75" x14ac:dyDescent="0.2"/>
    <row r="1745" ht="12.75" x14ac:dyDescent="0.2"/>
    <row r="1746" ht="12.75" x14ac:dyDescent="0.2"/>
    <row r="1747" ht="12.75" x14ac:dyDescent="0.2"/>
    <row r="1748" ht="12.75" x14ac:dyDescent="0.2"/>
    <row r="1749" ht="12.75" x14ac:dyDescent="0.2"/>
    <row r="1750" ht="12.75" x14ac:dyDescent="0.2"/>
    <row r="1751" ht="12.75" x14ac:dyDescent="0.2"/>
    <row r="1752" ht="12.75" x14ac:dyDescent="0.2"/>
    <row r="1753" ht="12.75" x14ac:dyDescent="0.2"/>
    <row r="1754" ht="12.75" x14ac:dyDescent="0.2"/>
    <row r="1755" ht="12.75" x14ac:dyDescent="0.2"/>
    <row r="1756" ht="12.75" x14ac:dyDescent="0.2"/>
    <row r="1757" ht="12.75" x14ac:dyDescent="0.2"/>
    <row r="1758" ht="12.75" x14ac:dyDescent="0.2"/>
    <row r="1759" ht="12.75" x14ac:dyDescent="0.2"/>
    <row r="1760" ht="12.75" x14ac:dyDescent="0.2"/>
    <row r="1761" ht="12.75" x14ac:dyDescent="0.2"/>
    <row r="1762" ht="12.75" x14ac:dyDescent="0.2"/>
    <row r="1763" ht="12.75" x14ac:dyDescent="0.2"/>
    <row r="1764" ht="12.75" x14ac:dyDescent="0.2"/>
    <row r="1765" ht="12.75" x14ac:dyDescent="0.2"/>
    <row r="1766" ht="12.75" x14ac:dyDescent="0.2"/>
    <row r="1767" ht="12.75" x14ac:dyDescent="0.2"/>
    <row r="1768" ht="12.75" x14ac:dyDescent="0.2"/>
    <row r="1769" ht="12.75" x14ac:dyDescent="0.2"/>
    <row r="1770" ht="12.75" x14ac:dyDescent="0.2"/>
    <row r="1771" ht="12.75" x14ac:dyDescent="0.2"/>
    <row r="1772" ht="12.75" x14ac:dyDescent="0.2"/>
    <row r="1773" ht="12.75" x14ac:dyDescent="0.2"/>
    <row r="1774" ht="12.75" x14ac:dyDescent="0.2"/>
    <row r="1775" ht="12.75" x14ac:dyDescent="0.2"/>
    <row r="1776" ht="12.75" x14ac:dyDescent="0.2"/>
    <row r="1777" ht="12.75" x14ac:dyDescent="0.2"/>
    <row r="1778" ht="12.75" x14ac:dyDescent="0.2"/>
    <row r="1779" ht="12.75" x14ac:dyDescent="0.2"/>
    <row r="1780" ht="12.75" x14ac:dyDescent="0.2"/>
    <row r="1781" ht="12.75" x14ac:dyDescent="0.2"/>
    <row r="1782" ht="12.75" x14ac:dyDescent="0.2"/>
    <row r="1783" ht="12.75" x14ac:dyDescent="0.2"/>
    <row r="1784" ht="12.75" x14ac:dyDescent="0.2"/>
    <row r="1785" ht="12.75" x14ac:dyDescent="0.2"/>
    <row r="1786" ht="12.75" x14ac:dyDescent="0.2"/>
    <row r="1787" ht="12.75" x14ac:dyDescent="0.2"/>
    <row r="1788" ht="12.75" x14ac:dyDescent="0.2"/>
    <row r="1789" ht="12.75" x14ac:dyDescent="0.2"/>
    <row r="1790" ht="12.75" x14ac:dyDescent="0.2"/>
    <row r="1791" ht="12.75" x14ac:dyDescent="0.2"/>
    <row r="1792" ht="12.75" x14ac:dyDescent="0.2"/>
    <row r="1793" ht="12.75" x14ac:dyDescent="0.2"/>
    <row r="1794" ht="12.75" x14ac:dyDescent="0.2"/>
    <row r="1795" ht="12.75" x14ac:dyDescent="0.2"/>
    <row r="1796" ht="12.75" x14ac:dyDescent="0.2"/>
    <row r="1797" ht="12.75" x14ac:dyDescent="0.2"/>
    <row r="1798" ht="12.75" x14ac:dyDescent="0.2"/>
    <row r="1799" ht="12.75" x14ac:dyDescent="0.2"/>
    <row r="1800" ht="12.75" x14ac:dyDescent="0.2"/>
    <row r="1801" ht="12.75" x14ac:dyDescent="0.2"/>
    <row r="1802" ht="12.75" x14ac:dyDescent="0.2"/>
    <row r="1803" ht="12.75" x14ac:dyDescent="0.2"/>
    <row r="1804" ht="12.75" x14ac:dyDescent="0.2"/>
    <row r="1805" ht="12.75" x14ac:dyDescent="0.2"/>
    <row r="1806" ht="12.75" x14ac:dyDescent="0.2"/>
    <row r="1807" ht="12.75" x14ac:dyDescent="0.2"/>
    <row r="1808" ht="12.75" x14ac:dyDescent="0.2"/>
    <row r="1809" ht="12.75" x14ac:dyDescent="0.2"/>
    <row r="1810" ht="12.75" x14ac:dyDescent="0.2"/>
    <row r="1811" ht="12.75" x14ac:dyDescent="0.2"/>
    <row r="1812" ht="12.75" x14ac:dyDescent="0.2"/>
    <row r="1813" ht="12.75" x14ac:dyDescent="0.2"/>
    <row r="1814" ht="12.75" x14ac:dyDescent="0.2"/>
    <row r="1815" ht="12.75" x14ac:dyDescent="0.2"/>
    <row r="1816" ht="12.75" x14ac:dyDescent="0.2"/>
    <row r="1817" ht="12.75" x14ac:dyDescent="0.2"/>
    <row r="1818" ht="12.75" x14ac:dyDescent="0.2"/>
    <row r="1819" ht="12.75" x14ac:dyDescent="0.2"/>
    <row r="1820" ht="12.75" x14ac:dyDescent="0.2"/>
    <row r="1821" ht="12.75" x14ac:dyDescent="0.2"/>
    <row r="1822" ht="12.75" x14ac:dyDescent="0.2"/>
    <row r="1823" ht="12.75" x14ac:dyDescent="0.2"/>
    <row r="1824" ht="12.75" x14ac:dyDescent="0.2"/>
    <row r="1825" ht="12.75" x14ac:dyDescent="0.2"/>
    <row r="1826" ht="12.75" x14ac:dyDescent="0.2"/>
    <row r="1827" ht="12.75" x14ac:dyDescent="0.2"/>
    <row r="1828" ht="12.75" x14ac:dyDescent="0.2"/>
    <row r="1829" ht="12.75" x14ac:dyDescent="0.2"/>
    <row r="1830" ht="12.75" x14ac:dyDescent="0.2"/>
    <row r="1831" ht="12.75" x14ac:dyDescent="0.2"/>
    <row r="1832" ht="12.75" x14ac:dyDescent="0.2"/>
    <row r="1833" ht="12.75" x14ac:dyDescent="0.2"/>
    <row r="1834" ht="12.75" x14ac:dyDescent="0.2"/>
    <row r="1835" ht="12.75" x14ac:dyDescent="0.2"/>
    <row r="1836" ht="12.75" x14ac:dyDescent="0.2"/>
    <row r="1837" ht="12.75" x14ac:dyDescent="0.2"/>
    <row r="1838" ht="12.75" x14ac:dyDescent="0.2"/>
    <row r="1839" ht="12.75" x14ac:dyDescent="0.2"/>
    <row r="1840" ht="12.75" x14ac:dyDescent="0.2"/>
    <row r="1841" ht="12.75" x14ac:dyDescent="0.2"/>
    <row r="1842" ht="12.75" x14ac:dyDescent="0.2"/>
    <row r="1843" ht="12.75" x14ac:dyDescent="0.2"/>
    <row r="1844" ht="12.75" x14ac:dyDescent="0.2"/>
    <row r="1845" ht="12.75" x14ac:dyDescent="0.2"/>
    <row r="1846" ht="12.75" x14ac:dyDescent="0.2"/>
    <row r="1847" ht="12.75" x14ac:dyDescent="0.2"/>
    <row r="1848" ht="12.75" x14ac:dyDescent="0.2"/>
    <row r="1849" ht="12.75" x14ac:dyDescent="0.2"/>
    <row r="1850" ht="12.75" x14ac:dyDescent="0.2"/>
    <row r="1851" ht="12.75" x14ac:dyDescent="0.2"/>
    <row r="1852" ht="12.75" x14ac:dyDescent="0.2"/>
    <row r="1853" ht="12.75" x14ac:dyDescent="0.2"/>
    <row r="1854" ht="12.75" x14ac:dyDescent="0.2"/>
    <row r="1855" ht="12.75" x14ac:dyDescent="0.2"/>
    <row r="1856" ht="12.75" x14ac:dyDescent="0.2"/>
    <row r="1857" ht="12.75" x14ac:dyDescent="0.2"/>
    <row r="1858" ht="12.75" x14ac:dyDescent="0.2"/>
    <row r="1859" ht="12.75" x14ac:dyDescent="0.2"/>
    <row r="1860" ht="12.75" x14ac:dyDescent="0.2"/>
    <row r="1861" ht="12.75" x14ac:dyDescent="0.2"/>
    <row r="1862" ht="12.75" x14ac:dyDescent="0.2"/>
    <row r="1863" ht="12.75" x14ac:dyDescent="0.2"/>
    <row r="1864" ht="12.75" x14ac:dyDescent="0.2"/>
    <row r="1865" ht="12.75" x14ac:dyDescent="0.2"/>
    <row r="1866" ht="12.75" x14ac:dyDescent="0.2"/>
    <row r="1867" ht="12.75" x14ac:dyDescent="0.2"/>
    <row r="1868" ht="12.75" x14ac:dyDescent="0.2"/>
    <row r="1869" ht="12.75" x14ac:dyDescent="0.2"/>
    <row r="1870" ht="12.75" x14ac:dyDescent="0.2"/>
    <row r="1871" ht="12.75" x14ac:dyDescent="0.2"/>
    <row r="1872" ht="12.75" x14ac:dyDescent="0.2"/>
    <row r="1873" ht="12.75" x14ac:dyDescent="0.2"/>
    <row r="1874" ht="12.75" x14ac:dyDescent="0.2"/>
    <row r="1875" ht="12.75" x14ac:dyDescent="0.2"/>
    <row r="1876" ht="12.75" x14ac:dyDescent="0.2"/>
    <row r="1877" ht="12.75" x14ac:dyDescent="0.2"/>
    <row r="1878" ht="12.75" x14ac:dyDescent="0.2"/>
    <row r="1879" ht="12.75" x14ac:dyDescent="0.2"/>
    <row r="1880" ht="12.75" x14ac:dyDescent="0.2"/>
    <row r="1881" ht="12.75" x14ac:dyDescent="0.2"/>
    <row r="1882" ht="12.75" x14ac:dyDescent="0.2"/>
    <row r="1883" ht="12.75" x14ac:dyDescent="0.2"/>
    <row r="1884" ht="12.75" x14ac:dyDescent="0.2"/>
    <row r="1885" ht="12.75" x14ac:dyDescent="0.2"/>
    <row r="1886" ht="12.75" x14ac:dyDescent="0.2"/>
    <row r="1887" ht="12.75" x14ac:dyDescent="0.2"/>
    <row r="1888" ht="12.75" x14ac:dyDescent="0.2"/>
    <row r="1889" ht="12.75" x14ac:dyDescent="0.2"/>
    <row r="1890" ht="12.75" x14ac:dyDescent="0.2"/>
    <row r="1891" ht="12.75" x14ac:dyDescent="0.2"/>
    <row r="1892" ht="12.75" x14ac:dyDescent="0.2"/>
    <row r="1893" ht="12.75" x14ac:dyDescent="0.2"/>
    <row r="1894" ht="12.75" x14ac:dyDescent="0.2"/>
    <row r="1895" ht="12.75" x14ac:dyDescent="0.2"/>
    <row r="1896" ht="12.75" x14ac:dyDescent="0.2"/>
    <row r="1897" ht="12.75" x14ac:dyDescent="0.2"/>
    <row r="1898" ht="12.75" x14ac:dyDescent="0.2"/>
    <row r="1899" ht="12.75" x14ac:dyDescent="0.2"/>
    <row r="1900" ht="12.75" x14ac:dyDescent="0.2"/>
    <row r="1901" ht="12.75" x14ac:dyDescent="0.2"/>
    <row r="1902" ht="12.75" x14ac:dyDescent="0.2"/>
    <row r="1903" ht="12.75" x14ac:dyDescent="0.2"/>
    <row r="1904" ht="12.75" x14ac:dyDescent="0.2"/>
    <row r="1905" ht="12.75" x14ac:dyDescent="0.2"/>
    <row r="1906" ht="12.75" x14ac:dyDescent="0.2"/>
    <row r="1907" ht="12.75" x14ac:dyDescent="0.2"/>
    <row r="1908" ht="12.75" x14ac:dyDescent="0.2"/>
    <row r="1909" ht="12.75" x14ac:dyDescent="0.2"/>
    <row r="1910" ht="12.75" x14ac:dyDescent="0.2"/>
    <row r="1911" ht="12.75" x14ac:dyDescent="0.2"/>
    <row r="1912" ht="12.75" x14ac:dyDescent="0.2"/>
    <row r="1913" ht="12.75" x14ac:dyDescent="0.2"/>
    <row r="1914" ht="12.75" x14ac:dyDescent="0.2"/>
    <row r="1915" ht="12.75" x14ac:dyDescent="0.2"/>
    <row r="1916" ht="12.75" x14ac:dyDescent="0.2"/>
    <row r="1917" ht="12.75" x14ac:dyDescent="0.2"/>
    <row r="1918" ht="12.75" x14ac:dyDescent="0.2"/>
    <row r="1919" ht="12.75" x14ac:dyDescent="0.2"/>
    <row r="1920" ht="12.75" x14ac:dyDescent="0.2"/>
    <row r="1921" ht="12.75" x14ac:dyDescent="0.2"/>
    <row r="1922" ht="12.75" x14ac:dyDescent="0.2"/>
    <row r="1923" ht="12.75" x14ac:dyDescent="0.2"/>
    <row r="1924" ht="12.75" x14ac:dyDescent="0.2"/>
    <row r="1925" ht="12.75" x14ac:dyDescent="0.2"/>
    <row r="1926" ht="12.75" x14ac:dyDescent="0.2"/>
    <row r="1927" ht="12.75" x14ac:dyDescent="0.2"/>
    <row r="1928" ht="12.75" x14ac:dyDescent="0.2"/>
    <row r="1929" ht="12.75" x14ac:dyDescent="0.2"/>
    <row r="1930" ht="12.75" x14ac:dyDescent="0.2"/>
    <row r="1931" ht="12.75" x14ac:dyDescent="0.2"/>
    <row r="1932" ht="12.75" x14ac:dyDescent="0.2"/>
    <row r="1933" ht="12.75" x14ac:dyDescent="0.2"/>
    <row r="1934" ht="12.75" x14ac:dyDescent="0.2"/>
    <row r="1935" ht="12.75" x14ac:dyDescent="0.2"/>
    <row r="1936" ht="12.75" x14ac:dyDescent="0.2"/>
    <row r="1937" ht="12.75" x14ac:dyDescent="0.2"/>
    <row r="1938" ht="12.75" x14ac:dyDescent="0.2"/>
    <row r="1939" ht="12.75" x14ac:dyDescent="0.2"/>
    <row r="1940" ht="12.75" x14ac:dyDescent="0.2"/>
    <row r="1941" ht="12.75" x14ac:dyDescent="0.2"/>
    <row r="1942" ht="12.75" x14ac:dyDescent="0.2"/>
    <row r="1943" ht="12.75" x14ac:dyDescent="0.2"/>
    <row r="1944" ht="12.75" x14ac:dyDescent="0.2"/>
    <row r="1945" ht="12.75" x14ac:dyDescent="0.2"/>
    <row r="1946" ht="12.75" x14ac:dyDescent="0.2"/>
    <row r="1947" ht="12.75" x14ac:dyDescent="0.2"/>
    <row r="1948" ht="12.75" x14ac:dyDescent="0.2"/>
    <row r="1949" ht="12.75" x14ac:dyDescent="0.2"/>
    <row r="1950" ht="12.75" x14ac:dyDescent="0.2"/>
    <row r="1951" ht="12.75" x14ac:dyDescent="0.2"/>
    <row r="1952" ht="12.75" x14ac:dyDescent="0.2"/>
    <row r="1953" ht="12.75" x14ac:dyDescent="0.2"/>
    <row r="1954" ht="12.75" x14ac:dyDescent="0.2"/>
    <row r="1955" ht="12.75" x14ac:dyDescent="0.2"/>
    <row r="1956" ht="12.75" x14ac:dyDescent="0.2"/>
    <row r="1957" ht="12.75" x14ac:dyDescent="0.2"/>
    <row r="1958" ht="12.75" x14ac:dyDescent="0.2"/>
    <row r="1959" ht="12.75" x14ac:dyDescent="0.2"/>
    <row r="1960" ht="12.75" x14ac:dyDescent="0.2"/>
    <row r="1961" ht="12.75" x14ac:dyDescent="0.2"/>
    <row r="1962" ht="12.75" x14ac:dyDescent="0.2"/>
    <row r="1963" ht="12.75" x14ac:dyDescent="0.2"/>
    <row r="1964" ht="12.75" x14ac:dyDescent="0.2"/>
    <row r="1965" ht="12.75" x14ac:dyDescent="0.2"/>
    <row r="1966" ht="12.75" x14ac:dyDescent="0.2"/>
    <row r="1967" ht="12.75" x14ac:dyDescent="0.2"/>
    <row r="1968" ht="12.75" x14ac:dyDescent="0.2"/>
    <row r="1969" ht="12.75" x14ac:dyDescent="0.2"/>
    <row r="1970" ht="12.75" x14ac:dyDescent="0.2"/>
    <row r="1971" ht="12.75" x14ac:dyDescent="0.2"/>
    <row r="1972" ht="12.75" x14ac:dyDescent="0.2"/>
    <row r="1973" ht="12.75" x14ac:dyDescent="0.2"/>
    <row r="1974" ht="12.75" x14ac:dyDescent="0.2"/>
    <row r="1975" ht="12.75" x14ac:dyDescent="0.2"/>
    <row r="1976" ht="12.75" x14ac:dyDescent="0.2"/>
    <row r="1977" ht="12.75" x14ac:dyDescent="0.2"/>
    <row r="1978" ht="12.75" x14ac:dyDescent="0.2"/>
    <row r="1979" ht="12.75" x14ac:dyDescent="0.2"/>
    <row r="1980" ht="12.75" x14ac:dyDescent="0.2"/>
    <row r="1981" ht="12.75" x14ac:dyDescent="0.2"/>
    <row r="1982" ht="12.75" x14ac:dyDescent="0.2"/>
    <row r="1983" ht="12.75" x14ac:dyDescent="0.2"/>
    <row r="1984" ht="12.75" x14ac:dyDescent="0.2"/>
    <row r="1985" ht="12.75" x14ac:dyDescent="0.2"/>
    <row r="1986" ht="12.75" x14ac:dyDescent="0.2"/>
    <row r="1987" ht="12.75" x14ac:dyDescent="0.2"/>
    <row r="1988" ht="12.75" x14ac:dyDescent="0.2"/>
    <row r="1989" ht="12.75" x14ac:dyDescent="0.2"/>
    <row r="1990" ht="12.75" x14ac:dyDescent="0.2"/>
    <row r="1991" ht="12.75" x14ac:dyDescent="0.2"/>
    <row r="1992" ht="12.75" x14ac:dyDescent="0.2"/>
    <row r="1993" ht="12.75" x14ac:dyDescent="0.2"/>
    <row r="1994" ht="12.75" x14ac:dyDescent="0.2"/>
    <row r="1995" ht="12.75" x14ac:dyDescent="0.2"/>
    <row r="1996" ht="12.75" x14ac:dyDescent="0.2"/>
    <row r="1997" ht="12.75" x14ac:dyDescent="0.2"/>
    <row r="1998" ht="12.75" x14ac:dyDescent="0.2"/>
    <row r="1999" ht="12.75" x14ac:dyDescent="0.2"/>
    <row r="2000" ht="12.75" x14ac:dyDescent="0.2"/>
    <row r="2001" ht="12.75" x14ac:dyDescent="0.2"/>
    <row r="2002" ht="12.75" x14ac:dyDescent="0.2"/>
    <row r="2003" ht="12.75" x14ac:dyDescent="0.2"/>
    <row r="2004" ht="12.75" x14ac:dyDescent="0.2"/>
    <row r="2005" ht="12.75" x14ac:dyDescent="0.2"/>
    <row r="2006" ht="12.75" x14ac:dyDescent="0.2"/>
    <row r="2007" ht="12.75" x14ac:dyDescent="0.2"/>
    <row r="2008" ht="12.75" x14ac:dyDescent="0.2"/>
    <row r="2009" ht="12.75" x14ac:dyDescent="0.2"/>
    <row r="2010" ht="12.75" x14ac:dyDescent="0.2"/>
    <row r="2011" ht="12.75" x14ac:dyDescent="0.2"/>
    <row r="2012" ht="12.75" x14ac:dyDescent="0.2"/>
    <row r="2013" ht="12.75" x14ac:dyDescent="0.2"/>
    <row r="2014" ht="12.75" x14ac:dyDescent="0.2"/>
    <row r="2015" ht="12.75" x14ac:dyDescent="0.2"/>
    <row r="2016" ht="12.75" x14ac:dyDescent="0.2"/>
    <row r="2017" ht="12.75" x14ac:dyDescent="0.2"/>
    <row r="2018" ht="12.75" x14ac:dyDescent="0.2"/>
    <row r="2019" ht="12.75" x14ac:dyDescent="0.2"/>
    <row r="2020" ht="12.75" x14ac:dyDescent="0.2"/>
    <row r="2021" ht="12.75" x14ac:dyDescent="0.2"/>
    <row r="2022" ht="12.75" x14ac:dyDescent="0.2"/>
    <row r="2023" ht="12.75" x14ac:dyDescent="0.2"/>
    <row r="2024" ht="12.75" x14ac:dyDescent="0.2"/>
    <row r="2025" ht="12.75" x14ac:dyDescent="0.2"/>
    <row r="2026" ht="12.75" x14ac:dyDescent="0.2"/>
    <row r="2027" ht="12.75" x14ac:dyDescent="0.2"/>
    <row r="2028" ht="12.75" x14ac:dyDescent="0.2"/>
    <row r="2029" ht="12.75" x14ac:dyDescent="0.2"/>
    <row r="2030" ht="12.75" x14ac:dyDescent="0.2"/>
    <row r="2031" ht="12.75" x14ac:dyDescent="0.2"/>
    <row r="2032" ht="12.75" x14ac:dyDescent="0.2"/>
    <row r="2033" ht="12.75" x14ac:dyDescent="0.2"/>
    <row r="2034" ht="12.75" x14ac:dyDescent="0.2"/>
    <row r="2035" ht="12.75" x14ac:dyDescent="0.2"/>
    <row r="2036" ht="12.75" x14ac:dyDescent="0.2"/>
    <row r="2037" ht="12.75" x14ac:dyDescent="0.2"/>
    <row r="2038" ht="12.75" x14ac:dyDescent="0.2"/>
    <row r="2039" ht="12.75" x14ac:dyDescent="0.2"/>
    <row r="2040" ht="12.75" x14ac:dyDescent="0.2"/>
    <row r="2041" ht="12.75" x14ac:dyDescent="0.2"/>
    <row r="2042" ht="12.75" x14ac:dyDescent="0.2"/>
    <row r="2043" ht="12.75" x14ac:dyDescent="0.2"/>
    <row r="2044" ht="12.75" x14ac:dyDescent="0.2"/>
    <row r="2045" ht="12.75" x14ac:dyDescent="0.2"/>
    <row r="2046" ht="12.75" x14ac:dyDescent="0.2"/>
    <row r="2047" ht="12.75" x14ac:dyDescent="0.2"/>
    <row r="2048" ht="12.75" x14ac:dyDescent="0.2"/>
    <row r="2049" ht="12.75" x14ac:dyDescent="0.2"/>
    <row r="2050" ht="12.75" x14ac:dyDescent="0.2"/>
    <row r="2051" ht="12.75" x14ac:dyDescent="0.2"/>
    <row r="2052" ht="12.75" x14ac:dyDescent="0.2"/>
    <row r="2053" ht="12.75" x14ac:dyDescent="0.2"/>
    <row r="2054" ht="12.75" x14ac:dyDescent="0.2"/>
    <row r="2055" ht="12.75" x14ac:dyDescent="0.2"/>
    <row r="2056" ht="12.75" x14ac:dyDescent="0.2"/>
    <row r="2057" ht="12.75" x14ac:dyDescent="0.2"/>
    <row r="2058" ht="12.75" x14ac:dyDescent="0.2"/>
    <row r="2059" ht="12.75" x14ac:dyDescent="0.2"/>
    <row r="2060" ht="12.75" x14ac:dyDescent="0.2"/>
    <row r="2061" ht="12.75" x14ac:dyDescent="0.2"/>
    <row r="2062" ht="12.75" x14ac:dyDescent="0.2"/>
    <row r="2063" ht="12.75" x14ac:dyDescent="0.2"/>
    <row r="2064" ht="12.75" x14ac:dyDescent="0.2"/>
    <row r="2065" ht="12.75" x14ac:dyDescent="0.2"/>
    <row r="2066" ht="12.75" x14ac:dyDescent="0.2"/>
    <row r="2067" ht="12.75" x14ac:dyDescent="0.2"/>
    <row r="2068" ht="12.75" x14ac:dyDescent="0.2"/>
    <row r="2069" ht="12.75" x14ac:dyDescent="0.2"/>
    <row r="2070" ht="12.75" x14ac:dyDescent="0.2"/>
    <row r="2071" ht="12.75" x14ac:dyDescent="0.2"/>
    <row r="2072" ht="12.75" x14ac:dyDescent="0.2"/>
    <row r="2073" ht="12.75" x14ac:dyDescent="0.2"/>
    <row r="2074" ht="12.75" x14ac:dyDescent="0.2"/>
    <row r="2075" ht="12.75" x14ac:dyDescent="0.2"/>
    <row r="2076" ht="12.75" x14ac:dyDescent="0.2"/>
    <row r="2077" ht="12.75" x14ac:dyDescent="0.2"/>
    <row r="2078" ht="12.75" x14ac:dyDescent="0.2"/>
    <row r="2079" ht="12.75" x14ac:dyDescent="0.2"/>
    <row r="2080" ht="12.75" x14ac:dyDescent="0.2"/>
    <row r="2081" ht="12.75" x14ac:dyDescent="0.2"/>
    <row r="2082" ht="12.75" x14ac:dyDescent="0.2"/>
    <row r="2083" ht="12.75" x14ac:dyDescent="0.2"/>
    <row r="2084" ht="12.75" x14ac:dyDescent="0.2"/>
    <row r="2085" ht="12.75" x14ac:dyDescent="0.2"/>
    <row r="2086" ht="12.75" x14ac:dyDescent="0.2"/>
    <row r="2087" ht="12.75" x14ac:dyDescent="0.2"/>
    <row r="2088" ht="12.75" x14ac:dyDescent="0.2"/>
    <row r="2089" ht="12.75" x14ac:dyDescent="0.2"/>
    <row r="2090" ht="12.75" x14ac:dyDescent="0.2"/>
    <row r="2091" ht="12.75" x14ac:dyDescent="0.2"/>
    <row r="2092" ht="12.75" x14ac:dyDescent="0.2"/>
    <row r="2093" ht="12.75" x14ac:dyDescent="0.2"/>
    <row r="2094" ht="12.75" x14ac:dyDescent="0.2"/>
    <row r="2095" ht="12.75" x14ac:dyDescent="0.2"/>
    <row r="2096" ht="12.75" x14ac:dyDescent="0.2"/>
    <row r="2097" ht="12.75" x14ac:dyDescent="0.2"/>
    <row r="2098" ht="12.75" x14ac:dyDescent="0.2"/>
    <row r="2099" ht="12.75" x14ac:dyDescent="0.2"/>
    <row r="2100" ht="12.75" x14ac:dyDescent="0.2"/>
    <row r="2101" ht="12.75" x14ac:dyDescent="0.2"/>
    <row r="2102" ht="12.75" x14ac:dyDescent="0.2"/>
    <row r="2103" ht="12.75" x14ac:dyDescent="0.2"/>
    <row r="2104" ht="12.75" x14ac:dyDescent="0.2"/>
    <row r="2105" ht="12.75" x14ac:dyDescent="0.2"/>
    <row r="2106" ht="12.75" x14ac:dyDescent="0.2"/>
    <row r="2107" ht="12.75" x14ac:dyDescent="0.2"/>
    <row r="2108" ht="12.75" x14ac:dyDescent="0.2"/>
    <row r="2109" ht="12.75" x14ac:dyDescent="0.2"/>
    <row r="2110" ht="12.75" x14ac:dyDescent="0.2"/>
    <row r="2111" ht="12.75" x14ac:dyDescent="0.2"/>
    <row r="2112" ht="12.75" x14ac:dyDescent="0.2"/>
    <row r="2113" ht="12.75" x14ac:dyDescent="0.2"/>
    <row r="2114" ht="12.75" x14ac:dyDescent="0.2"/>
    <row r="2115" ht="12.75" x14ac:dyDescent="0.2"/>
    <row r="2116" ht="12.75" x14ac:dyDescent="0.2"/>
    <row r="2117" ht="12.75" x14ac:dyDescent="0.2"/>
    <row r="2118" ht="12.75" x14ac:dyDescent="0.2"/>
    <row r="2119" ht="12.75" x14ac:dyDescent="0.2"/>
    <row r="2120" ht="12.75" x14ac:dyDescent="0.2"/>
    <row r="2121" ht="12.75" x14ac:dyDescent="0.2"/>
    <row r="2122" ht="12.75" x14ac:dyDescent="0.2"/>
    <row r="2123" ht="12.75" x14ac:dyDescent="0.2"/>
    <row r="2124" ht="12.75" x14ac:dyDescent="0.2"/>
    <row r="2125" ht="12.75" x14ac:dyDescent="0.2"/>
    <row r="2126" ht="12.75" x14ac:dyDescent="0.2"/>
    <row r="2127" ht="12.75" x14ac:dyDescent="0.2"/>
    <row r="2128" ht="12.75" x14ac:dyDescent="0.2"/>
    <row r="2129" ht="12.75" x14ac:dyDescent="0.2"/>
    <row r="2130" ht="12.75" x14ac:dyDescent="0.2"/>
    <row r="2131" ht="12.75" x14ac:dyDescent="0.2"/>
    <row r="2132" ht="12.75" x14ac:dyDescent="0.2"/>
    <row r="2133" ht="12.75" x14ac:dyDescent="0.2"/>
    <row r="2134" ht="12.75" x14ac:dyDescent="0.2"/>
    <row r="2135" ht="12.75" x14ac:dyDescent="0.2"/>
    <row r="2136" ht="12.75" x14ac:dyDescent="0.2"/>
    <row r="2137" ht="12.75" x14ac:dyDescent="0.2"/>
    <row r="2138" ht="12.75" x14ac:dyDescent="0.2"/>
    <row r="2139" ht="12.75" x14ac:dyDescent="0.2"/>
    <row r="2140" ht="12.75" x14ac:dyDescent="0.2"/>
    <row r="2141" ht="12.75" x14ac:dyDescent="0.2"/>
    <row r="2142" ht="12.75" x14ac:dyDescent="0.2"/>
    <row r="2143" ht="12.75" x14ac:dyDescent="0.2"/>
    <row r="2144" ht="12.75" x14ac:dyDescent="0.2"/>
    <row r="2145" ht="12.75" x14ac:dyDescent="0.2"/>
    <row r="2146" ht="12.75" x14ac:dyDescent="0.2"/>
    <row r="2147" ht="12.75" x14ac:dyDescent="0.2"/>
    <row r="2148" ht="12.75" x14ac:dyDescent="0.2"/>
    <row r="2149" ht="12.75" x14ac:dyDescent="0.2"/>
    <row r="2150" ht="12.75" x14ac:dyDescent="0.2"/>
    <row r="2151" ht="12.75" x14ac:dyDescent="0.2"/>
    <row r="2152" ht="12.75" x14ac:dyDescent="0.2"/>
    <row r="2153" ht="12.75" x14ac:dyDescent="0.2"/>
    <row r="2154" ht="12.75" x14ac:dyDescent="0.2"/>
    <row r="2155" ht="12.75" x14ac:dyDescent="0.2"/>
    <row r="2156" ht="12.75" x14ac:dyDescent="0.2"/>
    <row r="2157" ht="12.75" x14ac:dyDescent="0.2"/>
    <row r="2158" ht="12.75" x14ac:dyDescent="0.2"/>
    <row r="2159" ht="12.75" x14ac:dyDescent="0.2"/>
    <row r="2160" ht="12.75" x14ac:dyDescent="0.2"/>
    <row r="2161" ht="12.75" x14ac:dyDescent="0.2"/>
    <row r="2162" ht="12.75" x14ac:dyDescent="0.2"/>
    <row r="2163" ht="12.75" x14ac:dyDescent="0.2"/>
    <row r="2164" ht="12.75" x14ac:dyDescent="0.2"/>
    <row r="2165" ht="12.75" x14ac:dyDescent="0.2"/>
    <row r="2166" ht="12.75" x14ac:dyDescent="0.2"/>
    <row r="2167" ht="12.75" x14ac:dyDescent="0.2"/>
    <row r="2168" ht="12.75" x14ac:dyDescent="0.2"/>
    <row r="2169" ht="12.75" x14ac:dyDescent="0.2"/>
    <row r="2170" ht="12.75" x14ac:dyDescent="0.2"/>
    <row r="2171" ht="12.75" x14ac:dyDescent="0.2"/>
    <row r="2172" ht="12.75" x14ac:dyDescent="0.2"/>
    <row r="2173" ht="12.75" x14ac:dyDescent="0.2"/>
    <row r="2174" ht="12.75" x14ac:dyDescent="0.2"/>
    <row r="2175" ht="12.75" x14ac:dyDescent="0.2"/>
    <row r="2176" ht="12.75" x14ac:dyDescent="0.2"/>
    <row r="2177" ht="12.75" x14ac:dyDescent="0.2"/>
    <row r="2178" ht="12.75" x14ac:dyDescent="0.2"/>
    <row r="2179" ht="12.75" x14ac:dyDescent="0.2"/>
    <row r="2180" ht="12.75" x14ac:dyDescent="0.2"/>
    <row r="2181" ht="12.75" x14ac:dyDescent="0.2"/>
    <row r="2182" ht="12.75" x14ac:dyDescent="0.2"/>
    <row r="2183" ht="12.75" x14ac:dyDescent="0.2"/>
    <row r="2184" ht="12.75" x14ac:dyDescent="0.2"/>
    <row r="2185" ht="12.75" x14ac:dyDescent="0.2"/>
    <row r="2186" ht="12.75" x14ac:dyDescent="0.2"/>
    <row r="2187" ht="12.75" x14ac:dyDescent="0.2"/>
    <row r="2188" ht="12.75" x14ac:dyDescent="0.2"/>
    <row r="2189" ht="12.75" x14ac:dyDescent="0.2"/>
    <row r="2190" ht="12.75" x14ac:dyDescent="0.2"/>
    <row r="2191" ht="12.75" x14ac:dyDescent="0.2"/>
    <row r="2192" ht="12.75" x14ac:dyDescent="0.2"/>
    <row r="2193" ht="12.75" x14ac:dyDescent="0.2"/>
    <row r="2194" ht="12.75" x14ac:dyDescent="0.2"/>
    <row r="2195" ht="12.75" x14ac:dyDescent="0.2"/>
    <row r="2196" ht="12.75" x14ac:dyDescent="0.2"/>
    <row r="2197" ht="12.75" x14ac:dyDescent="0.2"/>
    <row r="2198" ht="12.75" x14ac:dyDescent="0.2"/>
    <row r="2199" ht="12.75" x14ac:dyDescent="0.2"/>
    <row r="2200" ht="12.75" x14ac:dyDescent="0.2"/>
    <row r="2201" ht="12.75" x14ac:dyDescent="0.2"/>
    <row r="2202" ht="12.75" x14ac:dyDescent="0.2"/>
    <row r="2203" ht="12.75" x14ac:dyDescent="0.2"/>
    <row r="2204" ht="12.75" x14ac:dyDescent="0.2"/>
    <row r="2205" ht="12.75" x14ac:dyDescent="0.2"/>
    <row r="2206" ht="12.75" x14ac:dyDescent="0.2"/>
    <row r="2207" ht="12.75" x14ac:dyDescent="0.2"/>
    <row r="2208" ht="12.75" x14ac:dyDescent="0.2"/>
    <row r="2209" ht="12.75" x14ac:dyDescent="0.2"/>
    <row r="2210" ht="12.75" x14ac:dyDescent="0.2"/>
    <row r="2211" ht="12.75" x14ac:dyDescent="0.2"/>
    <row r="2212" ht="12.75" x14ac:dyDescent="0.2"/>
    <row r="2213" ht="12.75" x14ac:dyDescent="0.2"/>
    <row r="2214" ht="12.75" x14ac:dyDescent="0.2"/>
    <row r="2215" ht="12.75" x14ac:dyDescent="0.2"/>
    <row r="2216" ht="12.75" x14ac:dyDescent="0.2"/>
    <row r="2217" ht="12.75" x14ac:dyDescent="0.2"/>
    <row r="2218" ht="12.75" x14ac:dyDescent="0.2"/>
    <row r="2219" ht="12.75" x14ac:dyDescent="0.2"/>
    <row r="2220" ht="12.75" x14ac:dyDescent="0.2"/>
    <row r="2221" ht="12.75" x14ac:dyDescent="0.2"/>
    <row r="2222" ht="12.75" x14ac:dyDescent="0.2"/>
    <row r="2223" ht="12.75" x14ac:dyDescent="0.2"/>
    <row r="2224" ht="12.75" x14ac:dyDescent="0.2"/>
    <row r="2225" ht="12.75" x14ac:dyDescent="0.2"/>
    <row r="2226" ht="12.75" x14ac:dyDescent="0.2"/>
    <row r="2227" ht="12.75" x14ac:dyDescent="0.2"/>
    <row r="2228" ht="12.75" x14ac:dyDescent="0.2"/>
    <row r="2229" ht="12.75" x14ac:dyDescent="0.2"/>
    <row r="2230" ht="12.75" x14ac:dyDescent="0.2"/>
    <row r="2231" ht="12.75" x14ac:dyDescent="0.2"/>
    <row r="2232" ht="12.75" x14ac:dyDescent="0.2"/>
    <row r="2233" ht="12.75" x14ac:dyDescent="0.2"/>
    <row r="2234" ht="12.75" x14ac:dyDescent="0.2"/>
    <row r="2235" ht="12.75" x14ac:dyDescent="0.2"/>
    <row r="2236" ht="12.75" x14ac:dyDescent="0.2"/>
    <row r="2237" ht="12.75" x14ac:dyDescent="0.2"/>
    <row r="2238" ht="12.75" x14ac:dyDescent="0.2"/>
    <row r="2239" ht="12.75" x14ac:dyDescent="0.2"/>
    <row r="2240" ht="12.75" x14ac:dyDescent="0.2"/>
    <row r="2241" ht="12.75" x14ac:dyDescent="0.2"/>
    <row r="2242" ht="12.75" x14ac:dyDescent="0.2"/>
    <row r="2243" ht="12.75" x14ac:dyDescent="0.2"/>
    <row r="2244" ht="12.75" x14ac:dyDescent="0.2"/>
    <row r="2245" ht="12.75" x14ac:dyDescent="0.2"/>
    <row r="2246" ht="12.75" x14ac:dyDescent="0.2"/>
    <row r="2247" ht="12.75" x14ac:dyDescent="0.2"/>
    <row r="2248" ht="12.75" x14ac:dyDescent="0.2"/>
    <row r="2249" ht="12.75" x14ac:dyDescent="0.2"/>
    <row r="2250" ht="12.75" x14ac:dyDescent="0.2"/>
    <row r="2251" ht="12.75" x14ac:dyDescent="0.2"/>
    <row r="2252" ht="12.75" x14ac:dyDescent="0.2"/>
    <row r="2253" ht="12.75" x14ac:dyDescent="0.2"/>
    <row r="2254" ht="12.75" x14ac:dyDescent="0.2"/>
    <row r="2255" ht="12.75" x14ac:dyDescent="0.2"/>
    <row r="2256" ht="12.75" x14ac:dyDescent="0.2"/>
    <row r="2257" ht="12.75" x14ac:dyDescent="0.2"/>
    <row r="2258" ht="12.75" x14ac:dyDescent="0.2"/>
    <row r="2259" ht="12.75" x14ac:dyDescent="0.2"/>
    <row r="2260" ht="12.75" x14ac:dyDescent="0.2"/>
    <row r="2261" ht="12.75" x14ac:dyDescent="0.2"/>
    <row r="2262" ht="12.75" x14ac:dyDescent="0.2"/>
    <row r="2263" ht="12.75" x14ac:dyDescent="0.2"/>
    <row r="2264" ht="12.75" x14ac:dyDescent="0.2"/>
    <row r="2265" ht="12.75" x14ac:dyDescent="0.2"/>
    <row r="2266" ht="12.75" x14ac:dyDescent="0.2"/>
    <row r="2267" ht="12.75" x14ac:dyDescent="0.2"/>
    <row r="2268" ht="12.75" x14ac:dyDescent="0.2"/>
    <row r="2269" ht="12.75" x14ac:dyDescent="0.2"/>
    <row r="2270" ht="12.75" x14ac:dyDescent="0.2"/>
    <row r="2271" ht="12.75" x14ac:dyDescent="0.2"/>
    <row r="2272" ht="12.75" x14ac:dyDescent="0.2"/>
    <row r="2273" ht="12.75" x14ac:dyDescent="0.2"/>
    <row r="2274" ht="12.75" x14ac:dyDescent="0.2"/>
    <row r="2275" ht="12.75" x14ac:dyDescent="0.2"/>
    <row r="2276" ht="12.75" x14ac:dyDescent="0.2"/>
    <row r="2277" ht="12.75" x14ac:dyDescent="0.2"/>
    <row r="2278" ht="12.75" x14ac:dyDescent="0.2"/>
    <row r="2279" ht="12.75" x14ac:dyDescent="0.2"/>
    <row r="2280" ht="12.75" x14ac:dyDescent="0.2"/>
    <row r="2281" ht="12.75" x14ac:dyDescent="0.2"/>
    <row r="2282" ht="12.75" x14ac:dyDescent="0.2"/>
    <row r="2283" ht="12.75" x14ac:dyDescent="0.2"/>
    <row r="2284" ht="12.75" x14ac:dyDescent="0.2"/>
    <row r="2285" ht="12.75" x14ac:dyDescent="0.2"/>
    <row r="2286" ht="12.75" x14ac:dyDescent="0.2"/>
    <row r="2287" ht="12.75" x14ac:dyDescent="0.2"/>
    <row r="2288" ht="12.75" x14ac:dyDescent="0.2"/>
    <row r="2289" ht="12.75" x14ac:dyDescent="0.2"/>
    <row r="2290" ht="12.75" x14ac:dyDescent="0.2"/>
    <row r="2291" ht="12.75" x14ac:dyDescent="0.2"/>
    <row r="2292" ht="12.75" x14ac:dyDescent="0.2"/>
    <row r="2293" ht="12.75" x14ac:dyDescent="0.2"/>
    <row r="2294" ht="12.75" x14ac:dyDescent="0.2"/>
    <row r="2295" ht="12.75" x14ac:dyDescent="0.2"/>
    <row r="2296" ht="12.75" x14ac:dyDescent="0.2"/>
    <row r="2297" ht="12.75" x14ac:dyDescent="0.2"/>
    <row r="2298" ht="12.75" x14ac:dyDescent="0.2"/>
    <row r="2299" ht="12.75" x14ac:dyDescent="0.2"/>
    <row r="2300" ht="12.75" x14ac:dyDescent="0.2"/>
    <row r="2301" ht="12.75" x14ac:dyDescent="0.2"/>
    <row r="2302" ht="12.75" x14ac:dyDescent="0.2"/>
    <row r="2303" ht="12.75" x14ac:dyDescent="0.2"/>
    <row r="2304" ht="12.75" x14ac:dyDescent="0.2"/>
    <row r="2305" ht="12.75" x14ac:dyDescent="0.2"/>
    <row r="2306" ht="12.75" x14ac:dyDescent="0.2"/>
    <row r="2307" ht="12.75" x14ac:dyDescent="0.2"/>
  </sheetData>
  <mergeCells count="1">
    <mergeCell ref="L463:P463"/>
  </mergeCells>
  <printOptions horizontalCentered="1"/>
  <pageMargins left="0.75" right="0.75" top="0.75" bottom="1" header="0.5" footer="0.5"/>
  <pageSetup scale="10" fitToHeight="15" orientation="landscape" r:id="rId1"/>
  <headerFooter alignWithMargins="0">
    <oddFooter>&amp;C&amp;P of &amp;N</oddFooter>
  </headerFooter>
  <customProperties>
    <customPr name="_pios_id" r:id="rId2"/>
  </customProperties>
  <drawing r:id="rId3"/>
  <legacyDrawing r:id="rId4"/>
  <oleObjects>
    <mc:AlternateContent xmlns:mc="http://schemas.openxmlformats.org/markup-compatibility/2006">
      <mc:Choice Requires="x14">
        <oleObject progId="StaticMetafile" shapeId="118785" r:id="rId5">
          <objectPr defaultSize="0" autoPict="0" r:id="rId6">
            <anchor moveWithCells="1" sizeWithCells="1">
              <from>
                <xdr:col>0</xdr:col>
                <xdr:colOff>9525</xdr:colOff>
                <xdr:row>2</xdr:row>
                <xdr:rowOff>28575</xdr:rowOff>
              </from>
              <to>
                <xdr:col>1</xdr:col>
                <xdr:colOff>1095375</xdr:colOff>
                <xdr:row>2</xdr:row>
                <xdr:rowOff>504825</xdr:rowOff>
              </to>
            </anchor>
          </objectPr>
        </oleObject>
      </mc:Choice>
      <mc:Fallback>
        <oleObject progId="StaticMetafile" shapeId="118785" r:id="rId5"/>
      </mc:Fallback>
    </mc:AlternateContent>
    <mc:AlternateContent xmlns:mc="http://schemas.openxmlformats.org/markup-compatibility/2006">
      <mc:Choice Requires="x14">
        <oleObject progId="StaticMetafile" shapeId="118786" r:id="rId7">
          <objectPr defaultSize="0" autoPict="0" r:id="rId6">
            <anchor moveWithCells="1" sizeWithCells="1">
              <from>
                <xdr:col>0</xdr:col>
                <xdr:colOff>38100</xdr:colOff>
                <xdr:row>0</xdr:row>
                <xdr:rowOff>95250</xdr:rowOff>
              </from>
              <to>
                <xdr:col>2</xdr:col>
                <xdr:colOff>619125</xdr:colOff>
                <xdr:row>3</xdr:row>
                <xdr:rowOff>9525</xdr:rowOff>
              </to>
            </anchor>
          </objectPr>
        </oleObject>
      </mc:Choice>
      <mc:Fallback>
        <oleObject progId="StaticMetafile" shapeId="118786" r:id="rId7"/>
      </mc:Fallback>
    </mc:AlternateContent>
  </oleObjects>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D85AD3-DDC7-4A4D-94A9-DE532EBB6EA1}">
  <sheetPr codeName="Sheet101">
    <tabColor rgb="FF00B0F0"/>
    <pageSetUpPr fitToPage="1"/>
  </sheetPr>
  <dimension ref="A1:FB2561"/>
  <sheetViews>
    <sheetView showGridLines="0" topLeftCell="A3" zoomScaleNormal="100" zoomScaleSheetLayoutView="90" workbookViewId="0">
      <pane ySplit="34" topLeftCell="A866" activePane="bottomLeft" state="frozen"/>
      <selection activeCell="G42" sqref="G42"/>
      <selection pane="bottomLeft" activeCell="G42" sqref="G42"/>
    </sheetView>
  </sheetViews>
  <sheetFormatPr defaultRowHeight="12" customHeight="1" outlineLevelRow="2" x14ac:dyDescent="0.2"/>
  <cols>
    <col min="1" max="1" width="14.25" style="1953" customWidth="1"/>
    <col min="2" max="2" width="37.125" style="1953" bestFit="1" customWidth="1"/>
    <col min="3" max="3" width="21.625" style="1953" hidden="1" customWidth="1"/>
    <col min="4" max="4" width="26.875" style="1953" hidden="1" customWidth="1"/>
    <col min="5" max="5" width="7.375" style="1953" hidden="1" customWidth="1"/>
    <col min="6" max="7" width="10.375" style="1953" bestFit="1" customWidth="1"/>
    <col min="8" max="9" width="8.875" style="1953" bestFit="1" customWidth="1"/>
    <col min="10" max="10" width="15.625" style="1953" bestFit="1" customWidth="1"/>
    <col min="11" max="18" width="4.75" style="1953" customWidth="1"/>
    <col min="19" max="19" width="4.5" style="1953" bestFit="1" customWidth="1"/>
    <col min="20" max="21" width="4.875" style="1953" bestFit="1" customWidth="1"/>
    <col min="22" max="25" width="4.875" style="1953" customWidth="1"/>
    <col min="26" max="35" width="4.375" style="1953" customWidth="1"/>
    <col min="36" max="36" width="4" style="1953" customWidth="1"/>
    <col min="37" max="37" width="4.875" style="1953" customWidth="1"/>
    <col min="38" max="38" width="4" style="1953" customWidth="1"/>
    <col min="39" max="39" width="6.25" style="1953" customWidth="1"/>
    <col min="40" max="41" width="4.875" style="1953" customWidth="1"/>
    <col min="42" max="42" width="4" style="1953" customWidth="1"/>
    <col min="43" max="43" width="4.875" style="1953" customWidth="1"/>
    <col min="44" max="44" width="4" style="1953" customWidth="1"/>
    <col min="45" max="45" width="19.625" style="1953" customWidth="1"/>
    <col min="46" max="46" width="8.375" style="1953" customWidth="1"/>
    <col min="47" max="47" width="19.625" style="1953" customWidth="1"/>
    <col min="48" max="48" width="8.375" style="1953" customWidth="1"/>
    <col min="49" max="49" width="19.625" style="1953" customWidth="1"/>
    <col min="50" max="50" width="8.375" style="1953" customWidth="1"/>
    <col min="51" max="51" width="19.625" style="1953" customWidth="1"/>
    <col min="52" max="52" width="8.375" style="1953" customWidth="1"/>
    <col min="53" max="53" width="19.625" style="1953" customWidth="1"/>
    <col min="54" max="54" width="8.375" style="1953" customWidth="1"/>
    <col min="55" max="55" width="13.5" style="1953" customWidth="1"/>
    <col min="56" max="56" width="20" style="1953" customWidth="1"/>
    <col min="57" max="57" width="5.75" style="1953" customWidth="1"/>
    <col min="58" max="58" width="25.75" style="1953" customWidth="1"/>
    <col min="59" max="62" width="20" style="1953" customWidth="1"/>
    <col min="63" max="63" width="5.75" style="1953" customWidth="1"/>
    <col min="64" max="64" width="19.625" style="1953" customWidth="1"/>
    <col min="65" max="65" width="13" style="1953" customWidth="1"/>
    <col min="66" max="66" width="19.75" style="1953" customWidth="1"/>
    <col min="67" max="67" width="25.75" style="1953" customWidth="1"/>
    <col min="68" max="68" width="13" style="1953" customWidth="1"/>
    <col min="69" max="69" width="25.75" style="1953" customWidth="1"/>
    <col min="70" max="70" width="13" style="1953" customWidth="1"/>
    <col min="71" max="71" width="5.75" style="1953" customWidth="1"/>
    <col min="72" max="72" width="13" style="1953" customWidth="1"/>
    <col min="73" max="73" width="5.75" style="1953" customWidth="1"/>
    <col min="74" max="74" width="19.625" style="1953" customWidth="1"/>
    <col min="75" max="75" width="13" style="1953" customWidth="1"/>
    <col min="76" max="76" width="5.375" style="1953" customWidth="1"/>
    <col min="77" max="77" width="19.625" style="1953" customWidth="1"/>
    <col min="78" max="78" width="19.375" style="1953" customWidth="1"/>
    <col min="79" max="79" width="9.5" style="1953" customWidth="1"/>
    <col min="80" max="80" width="5.375" style="1953" customWidth="1"/>
    <col min="81" max="81" width="4.25" style="1953" customWidth="1"/>
    <col min="82" max="82" width="9.5" style="1953" customWidth="1"/>
    <col min="83" max="83" width="10.375" style="1953" customWidth="1"/>
    <col min="84" max="85" width="9.5" style="1953" customWidth="1"/>
    <col min="86" max="86" width="8.375" style="1953" customWidth="1"/>
    <col min="87" max="87" width="4.875" style="1953" customWidth="1"/>
    <col min="88" max="88" width="4" style="1953" customWidth="1"/>
    <col min="89" max="89" width="5.25" style="1953" customWidth="1"/>
    <col min="90" max="90" width="4.5" style="1953" customWidth="1"/>
    <col min="91" max="91" width="5.25" style="1953" customWidth="1"/>
    <col min="92" max="92" width="4.5" style="1953" customWidth="1"/>
    <col min="93" max="93" width="5.25" style="1953" customWidth="1"/>
    <col min="94" max="94" width="4.5" style="1953" customWidth="1"/>
    <col min="95" max="95" width="5.25" style="1953" customWidth="1"/>
    <col min="96" max="96" width="4.5" style="1953" customWidth="1"/>
    <col min="97" max="97" width="5.25" style="1953" customWidth="1"/>
    <col min="98" max="98" width="4.5" style="1953" customWidth="1"/>
    <col min="99" max="99" width="5.25" style="1953" customWidth="1"/>
    <col min="100" max="100" width="4.5" style="1953" customWidth="1"/>
    <col min="101" max="101" width="5.25" style="1953" customWidth="1"/>
    <col min="102" max="102" width="4.5" style="1953" customWidth="1"/>
    <col min="103" max="103" width="5.25" style="1953" customWidth="1"/>
    <col min="104" max="104" width="4.5" style="1953" customWidth="1"/>
    <col min="105" max="105" width="5.25" style="1953" customWidth="1"/>
    <col min="106" max="106" width="4.5" style="1953" customWidth="1"/>
    <col min="107" max="107" width="5.25" style="1953" customWidth="1"/>
    <col min="108" max="108" width="4.5" style="1953" customWidth="1"/>
    <col min="109" max="109" width="5.25" style="1953" customWidth="1"/>
    <col min="110" max="110" width="4.5" style="1953" customWidth="1"/>
    <col min="111" max="111" width="5.25" style="1953" customWidth="1"/>
    <col min="112" max="112" width="4.5" style="1953" customWidth="1"/>
    <col min="113" max="113" width="5.25" style="1953" customWidth="1"/>
    <col min="114" max="114" width="4.5" style="1953" customWidth="1"/>
    <col min="115" max="115" width="5.25" style="1953" customWidth="1"/>
    <col min="116" max="116" width="4.5" style="1953" customWidth="1"/>
    <col min="117" max="117" width="5.25" style="1953" customWidth="1"/>
    <col min="118" max="118" width="4.5" style="1953" customWidth="1"/>
    <col min="119" max="119" width="5.25" style="1953" customWidth="1"/>
    <col min="120" max="120" width="4.5" style="1953" customWidth="1"/>
    <col min="121" max="121" width="5.25" style="1953" customWidth="1"/>
    <col min="122" max="122" width="4.5" style="1953" customWidth="1"/>
    <col min="123" max="123" width="5.25" style="1953" customWidth="1"/>
    <col min="124" max="124" width="4.5" style="1953" customWidth="1"/>
    <col min="125" max="125" width="5.25" style="1953" customWidth="1"/>
    <col min="126" max="126" width="4.5" style="1953" customWidth="1"/>
    <col min="127" max="127" width="5.25" style="1953" customWidth="1"/>
    <col min="128" max="128" width="4.5" style="1953" customWidth="1"/>
    <col min="129" max="129" width="5.25" style="1953" customWidth="1"/>
    <col min="130" max="130" width="4.5" style="1953" customWidth="1"/>
    <col min="131" max="131" width="5.25" style="1953" customWidth="1"/>
    <col min="132" max="132" width="4.5" style="1953" customWidth="1"/>
    <col min="133" max="133" width="5.25" style="1953" customWidth="1"/>
    <col min="134" max="134" width="4.5" style="1953" customWidth="1"/>
    <col min="135" max="135" width="5.25" style="1953" customWidth="1"/>
    <col min="136" max="136" width="4.5" style="1953" customWidth="1"/>
    <col min="137" max="137" width="5.25" style="1953" customWidth="1"/>
    <col min="138" max="138" width="4.5" style="1953" customWidth="1"/>
    <col min="139" max="139" width="5.25" style="1953" customWidth="1"/>
    <col min="140" max="140" width="4.5" style="1953" customWidth="1"/>
    <col min="141" max="141" width="5.25" style="1953" customWidth="1"/>
    <col min="142" max="142" width="4.5" style="1953" customWidth="1"/>
    <col min="143" max="143" width="7.125" style="1953" customWidth="1"/>
    <col min="144" max="144" width="6" style="1953" customWidth="1"/>
    <col min="145" max="145" width="5.25" style="1953" customWidth="1"/>
    <col min="146" max="146" width="4.5" style="1953" customWidth="1"/>
    <col min="147" max="147" width="5.25" style="1953" customWidth="1"/>
    <col min="148" max="148" width="4.5" style="1953" customWidth="1"/>
    <col min="149" max="149" width="5.25" style="1953" customWidth="1"/>
    <col min="150" max="150" width="4.5" style="1953" customWidth="1"/>
    <col min="151" max="151" width="5.25" style="1953" customWidth="1"/>
    <col min="152" max="152" width="4.5" style="1953" customWidth="1"/>
    <col min="153" max="153" width="5.25" style="1953" customWidth="1"/>
    <col min="154" max="154" width="4.5" style="1953" customWidth="1"/>
    <col min="155" max="155" width="5.25" style="1953" customWidth="1"/>
    <col min="156" max="156" width="4.5" style="1953" customWidth="1"/>
    <col min="157" max="157" width="5.25" style="1953" customWidth="1"/>
    <col min="158" max="158" width="4.5" style="1953" customWidth="1"/>
    <col min="159" max="16384" width="9" style="1953"/>
  </cols>
  <sheetData>
    <row r="1" spans="1:157" s="1946" customFormat="1" ht="39.950000000000003" hidden="1" customHeight="1" x14ac:dyDescent="0.2">
      <c r="BV1" s="1947"/>
    </row>
    <row r="2" spans="1:157" s="1946" customFormat="1" ht="42" hidden="1" customHeight="1" x14ac:dyDescent="0.2"/>
    <row r="3" spans="1:157" s="1946" customFormat="1" ht="35.25" customHeight="1" x14ac:dyDescent="0.2">
      <c r="D3" s="1947"/>
      <c r="F3" s="1947"/>
      <c r="G3" s="1947"/>
      <c r="I3" s="1947"/>
      <c r="K3" s="1947"/>
      <c r="M3" s="1947"/>
      <c r="O3" s="1947"/>
      <c r="Q3" s="1947"/>
      <c r="S3" s="1947"/>
      <c r="U3" s="1947"/>
      <c r="W3" s="1947"/>
      <c r="Y3" s="1947"/>
      <c r="AA3" s="1947"/>
      <c r="BF3" s="1947"/>
      <c r="BL3" s="1947"/>
      <c r="BO3" s="1947"/>
      <c r="BQ3" s="1947"/>
      <c r="BV3" s="1948"/>
      <c r="BX3" s="1947"/>
      <c r="BZ3" s="1947"/>
      <c r="CB3" s="1947"/>
      <c r="CD3" s="1947"/>
      <c r="CF3" s="1947"/>
      <c r="CH3" s="1947"/>
      <c r="CJ3" s="1947"/>
    </row>
    <row r="4" spans="1:157" s="1946" customFormat="1" ht="12" customHeight="1" x14ac:dyDescent="0.25">
      <c r="A4" s="1949"/>
      <c r="D4" s="1948"/>
      <c r="F4" s="1948"/>
      <c r="G4" s="1948"/>
      <c r="I4" s="1948"/>
      <c r="K4" s="1948"/>
      <c r="M4" s="1948"/>
      <c r="O4" s="1948"/>
      <c r="Q4" s="1948"/>
      <c r="S4" s="1948"/>
      <c r="U4" s="1948"/>
      <c r="W4" s="1948"/>
      <c r="Y4" s="1948"/>
      <c r="AA4" s="1948"/>
      <c r="BV4" s="1948"/>
      <c r="CL4" s="1947"/>
    </row>
    <row r="5" spans="1:157" s="1946" customFormat="1" ht="12" customHeight="1" x14ac:dyDescent="0.2">
      <c r="A5" s="1950" t="s">
        <v>1344</v>
      </c>
      <c r="B5" s="1951"/>
      <c r="C5" s="1947"/>
      <c r="D5" s="1948"/>
      <c r="E5" s="1947"/>
      <c r="F5" s="1948"/>
      <c r="G5" s="1948"/>
      <c r="H5" s="1947"/>
      <c r="I5" s="1948"/>
      <c r="J5" s="1947"/>
      <c r="K5" s="1948"/>
      <c r="L5" s="1947"/>
      <c r="M5" s="1948"/>
      <c r="N5" s="1947"/>
      <c r="O5" s="1948"/>
      <c r="P5" s="1947"/>
      <c r="Q5" s="1948"/>
      <c r="R5" s="1947"/>
      <c r="S5" s="1948"/>
      <c r="T5" s="1947"/>
      <c r="U5" s="1948"/>
      <c r="V5" s="1947"/>
      <c r="W5" s="1948"/>
      <c r="X5" s="1947"/>
      <c r="Y5" s="1948"/>
      <c r="Z5" s="1947"/>
      <c r="AA5" s="1948"/>
      <c r="AB5" s="1947"/>
      <c r="AC5" s="1947"/>
      <c r="AD5" s="1947"/>
      <c r="AE5" s="1947"/>
      <c r="AF5" s="1947"/>
      <c r="AG5" s="1947"/>
      <c r="AH5" s="1947"/>
      <c r="AI5" s="1947"/>
      <c r="AJ5" s="1947"/>
      <c r="AK5" s="1947"/>
      <c r="AL5" s="1947"/>
      <c r="AM5" s="1947"/>
      <c r="AN5" s="1947"/>
      <c r="AO5" s="1947"/>
      <c r="AP5" s="1947"/>
      <c r="AQ5" s="1947"/>
      <c r="AR5" s="1947"/>
      <c r="AS5" s="1947"/>
      <c r="AT5" s="1947"/>
      <c r="AU5" s="1947"/>
      <c r="AV5" s="1947"/>
      <c r="AW5" s="1947"/>
      <c r="AX5" s="1947"/>
      <c r="AY5" s="1947"/>
      <c r="AZ5" s="1951"/>
      <c r="BA5" s="1951"/>
      <c r="BB5" s="1951"/>
      <c r="BC5" s="1951"/>
      <c r="BD5" s="1951"/>
      <c r="BE5" s="1947"/>
      <c r="BG5" s="1951"/>
      <c r="BH5" s="1951"/>
      <c r="BI5" s="1951"/>
      <c r="BJ5" s="1951"/>
      <c r="BK5" s="1947"/>
      <c r="BM5" s="1951"/>
      <c r="BN5" s="1947"/>
      <c r="BP5" s="1947"/>
      <c r="BR5" s="1951"/>
      <c r="BS5" s="1947"/>
      <c r="BT5" s="1951"/>
      <c r="BU5" s="1947"/>
      <c r="BV5" s="1948"/>
      <c r="BW5" s="1947"/>
      <c r="BY5" s="1947"/>
      <c r="CA5" s="1947"/>
      <c r="CC5" s="1947"/>
      <c r="CE5" s="1947"/>
      <c r="CG5" s="1947"/>
      <c r="CI5" s="1947"/>
      <c r="CK5" s="1947"/>
      <c r="CM5" s="1947"/>
      <c r="CN5" s="1947"/>
      <c r="CO5" s="1947"/>
      <c r="CP5" s="1947"/>
      <c r="CQ5" s="1947"/>
      <c r="CR5" s="1947"/>
      <c r="CS5" s="1947"/>
      <c r="CT5" s="1947"/>
      <c r="CU5" s="1947"/>
      <c r="CV5" s="1947"/>
      <c r="CW5" s="1947"/>
      <c r="CX5" s="1947"/>
      <c r="CY5" s="1947"/>
      <c r="CZ5" s="1947"/>
      <c r="DA5" s="1947"/>
      <c r="DB5" s="1947"/>
    </row>
    <row r="6" spans="1:157" s="1946" customFormat="1" ht="12" customHeight="1" x14ac:dyDescent="0.2">
      <c r="A6" s="1952" t="s">
        <v>874</v>
      </c>
      <c r="B6" s="1952"/>
      <c r="C6" s="1948"/>
      <c r="D6" s="1948"/>
      <c r="E6" s="1948"/>
      <c r="F6" s="1948"/>
      <c r="G6" s="1948"/>
      <c r="H6" s="1948"/>
      <c r="I6" s="1948"/>
      <c r="J6" s="1948"/>
      <c r="K6" s="1948"/>
      <c r="L6" s="1948"/>
      <c r="M6" s="1948"/>
      <c r="N6" s="1948"/>
      <c r="O6" s="1948"/>
      <c r="P6" s="1948"/>
      <c r="Q6" s="1948"/>
      <c r="R6" s="1948"/>
      <c r="S6" s="1948"/>
      <c r="T6" s="1948"/>
      <c r="U6" s="1948"/>
      <c r="V6" s="1948"/>
      <c r="W6" s="1948"/>
      <c r="X6" s="1948"/>
      <c r="Y6" s="1948"/>
      <c r="Z6" s="1948"/>
      <c r="AA6" s="1948"/>
      <c r="AB6" s="1948"/>
      <c r="AC6" s="1948"/>
      <c r="BV6" s="1948"/>
    </row>
    <row r="7" spans="1:157" s="1946" customFormat="1" ht="12" customHeight="1" x14ac:dyDescent="0.2">
      <c r="A7" s="1952" t="s">
        <v>875</v>
      </c>
      <c r="B7" s="1952"/>
      <c r="C7" s="1948"/>
      <c r="E7" s="1948"/>
      <c r="H7" s="1948"/>
      <c r="J7" s="1948"/>
      <c r="L7" s="1948"/>
      <c r="N7" s="1948"/>
      <c r="P7" s="1948"/>
      <c r="R7" s="1948"/>
      <c r="T7" s="1948"/>
      <c r="V7" s="1948"/>
      <c r="X7" s="1948"/>
      <c r="Z7" s="1948"/>
      <c r="AB7" s="1948"/>
      <c r="AC7" s="1948"/>
      <c r="AG7" s="1953"/>
      <c r="AH7" s="1953"/>
      <c r="AI7" s="1953"/>
      <c r="AJ7" s="1953"/>
      <c r="AK7" s="1953"/>
      <c r="AL7" s="1953"/>
      <c r="AM7" s="1953"/>
      <c r="AN7" s="1953"/>
      <c r="AO7" s="1953"/>
      <c r="AP7" s="1953"/>
      <c r="AQ7" s="1953"/>
      <c r="AR7" s="1953"/>
      <c r="BV7" s="1948"/>
      <c r="DK7" s="1953"/>
    </row>
    <row r="8" spans="1:157" s="1946" customFormat="1" ht="12" customHeight="1" x14ac:dyDescent="0.2">
      <c r="A8" s="1952" t="s">
        <v>876</v>
      </c>
      <c r="B8" s="1952"/>
      <c r="C8" s="1948"/>
      <c r="D8" s="1948"/>
      <c r="E8" s="1948"/>
      <c r="F8" s="1948"/>
      <c r="G8" s="1948"/>
      <c r="H8" s="1948"/>
      <c r="I8" s="1948"/>
      <c r="J8" s="1948"/>
      <c r="K8" s="1948"/>
      <c r="L8" s="1948"/>
      <c r="N8" s="1948"/>
      <c r="O8" s="1948"/>
      <c r="P8" s="1948"/>
      <c r="Q8" s="1948"/>
      <c r="R8" s="1948"/>
      <c r="S8" s="1948"/>
      <c r="T8" s="1948"/>
      <c r="U8" s="1948"/>
      <c r="V8" s="1948"/>
      <c r="W8" s="1948"/>
      <c r="X8" s="1948"/>
      <c r="Y8" s="1948"/>
      <c r="Z8" s="1948"/>
      <c r="AA8" s="1948"/>
      <c r="AB8" s="1948"/>
      <c r="AC8" s="1948"/>
      <c r="BF8" s="1948"/>
      <c r="BL8" s="1948"/>
      <c r="BO8" s="1948"/>
      <c r="BQ8" s="1948"/>
      <c r="BV8" s="1948"/>
      <c r="BX8" s="1948"/>
      <c r="BZ8" s="1948"/>
      <c r="CB8" s="1948"/>
      <c r="CD8" s="1948"/>
      <c r="CF8" s="1948"/>
      <c r="CH8" s="1948"/>
      <c r="CJ8" s="1948"/>
    </row>
    <row r="9" spans="1:157" s="1946" customFormat="1" ht="12" customHeight="1" x14ac:dyDescent="0.2">
      <c r="D9" s="1954"/>
      <c r="F9" s="1954"/>
      <c r="G9" s="1954"/>
      <c r="I9" s="1954"/>
      <c r="K9" s="1954"/>
      <c r="O9" s="1954"/>
      <c r="Q9" s="1954"/>
      <c r="S9" s="1954"/>
      <c r="U9" s="1954"/>
      <c r="W9" s="1954"/>
      <c r="Y9" s="1954"/>
      <c r="AA9" s="1954"/>
      <c r="BF9" s="1954"/>
      <c r="BL9" s="1954"/>
      <c r="BO9" s="1954"/>
      <c r="BQ9" s="1954"/>
      <c r="BV9" s="1948"/>
      <c r="BX9" s="1948"/>
      <c r="BZ9" s="1948"/>
      <c r="CB9" s="1948"/>
      <c r="CD9" s="1948"/>
      <c r="CF9" s="1948"/>
      <c r="CH9" s="1948"/>
      <c r="CJ9" s="1948"/>
      <c r="CL9" s="1948"/>
    </row>
    <row r="10" spans="1:157" s="1946" customFormat="1" ht="12" hidden="1" customHeight="1" outlineLevel="1" x14ac:dyDescent="0.2">
      <c r="A10" s="1951" t="s">
        <v>877</v>
      </c>
      <c r="B10" s="1952" t="s">
        <v>878</v>
      </c>
      <c r="BB10" s="1952"/>
      <c r="BC10" s="1952"/>
      <c r="BD10" s="1952"/>
      <c r="BE10" s="1952"/>
      <c r="BF10" s="1952"/>
      <c r="BI10" s="1952"/>
      <c r="BJ10" s="1952"/>
      <c r="BK10" s="1952"/>
      <c r="DE10" s="1952"/>
      <c r="DF10" s="1952"/>
      <c r="DG10" s="1952"/>
      <c r="DH10" s="1952"/>
      <c r="DI10" s="1952"/>
      <c r="DJ10" s="1952"/>
      <c r="DK10" s="1952"/>
      <c r="DL10" s="1952"/>
      <c r="DM10" s="1952"/>
      <c r="DN10" s="1952"/>
      <c r="DO10" s="1952"/>
      <c r="DP10" s="1952"/>
      <c r="DQ10" s="1952"/>
      <c r="DR10" s="1952"/>
      <c r="DS10" s="1952"/>
      <c r="DT10" s="1952"/>
      <c r="DU10" s="1952"/>
      <c r="DV10" s="1952"/>
      <c r="DW10" s="1952"/>
      <c r="DX10" s="1952"/>
      <c r="DY10" s="1952"/>
      <c r="DZ10" s="1952"/>
      <c r="EA10" s="1952"/>
      <c r="EB10" s="1952"/>
      <c r="EC10" s="1952"/>
      <c r="ED10" s="1952"/>
      <c r="EE10" s="1952"/>
      <c r="EF10" s="1952"/>
      <c r="EG10" s="1952"/>
      <c r="EH10" s="1952"/>
      <c r="EI10" s="1952"/>
      <c r="EJ10" s="1952"/>
      <c r="EK10" s="1952"/>
      <c r="EL10" s="1952"/>
      <c r="EM10" s="1952"/>
      <c r="EN10" s="1952"/>
      <c r="EO10" s="1955"/>
      <c r="EP10" s="1955"/>
      <c r="EQ10" s="1955"/>
      <c r="ER10" s="1955"/>
      <c r="ES10" s="1955"/>
      <c r="ET10" s="1955"/>
      <c r="EU10" s="1955"/>
      <c r="EV10" s="1955"/>
      <c r="EW10" s="1955"/>
      <c r="EX10" s="1955"/>
      <c r="EY10" s="1955"/>
      <c r="EZ10" s="1955"/>
      <c r="FA10" s="1955"/>
    </row>
    <row r="11" spans="1:157" s="1946" customFormat="1" ht="12" hidden="1" customHeight="1" outlineLevel="1" x14ac:dyDescent="0.2">
      <c r="A11" s="1951" t="s">
        <v>879</v>
      </c>
      <c r="B11" s="1956">
        <v>45379.566213402781</v>
      </c>
      <c r="BB11" s="1956"/>
      <c r="BC11" s="1956"/>
      <c r="BD11" s="1956"/>
      <c r="BE11" s="1956"/>
      <c r="BF11" s="1956"/>
      <c r="BI11" s="1956"/>
      <c r="BJ11" s="1956"/>
      <c r="BK11" s="1956"/>
      <c r="DE11" s="1952"/>
      <c r="DF11" s="1952"/>
      <c r="DG11" s="1952"/>
      <c r="DH11" s="1952"/>
      <c r="DI11" s="1952"/>
      <c r="DJ11" s="1952"/>
      <c r="DK11" s="1952"/>
      <c r="DL11" s="1952"/>
      <c r="DM11" s="1952"/>
      <c r="DN11" s="1952"/>
      <c r="DO11" s="1952"/>
      <c r="DP11" s="1952"/>
      <c r="DQ11" s="1952"/>
      <c r="DR11" s="1952"/>
      <c r="DS11" s="1952"/>
      <c r="DT11" s="1952"/>
      <c r="DU11" s="1952"/>
      <c r="DV11" s="1952"/>
      <c r="DW11" s="1952"/>
      <c r="DX11" s="1952"/>
      <c r="DY11" s="1952"/>
      <c r="DZ11" s="1952"/>
      <c r="EA11" s="1952"/>
      <c r="EB11" s="1952"/>
      <c r="EC11" s="1952"/>
      <c r="ED11" s="1952"/>
      <c r="EE11" s="1952"/>
      <c r="EF11" s="1952"/>
      <c r="EG11" s="1952"/>
      <c r="EH11" s="1952"/>
      <c r="EI11" s="1952"/>
      <c r="EJ11" s="1952"/>
      <c r="EK11" s="1952"/>
      <c r="EL11" s="1952"/>
      <c r="EM11" s="1952"/>
      <c r="EN11" s="1952"/>
      <c r="EO11" s="1955"/>
      <c r="EP11" s="1955"/>
      <c r="EQ11" s="1955"/>
      <c r="ER11" s="1955"/>
      <c r="ES11" s="1955"/>
      <c r="ET11" s="1955"/>
      <c r="EU11" s="1955"/>
      <c r="EV11" s="1955"/>
      <c r="EW11" s="1955"/>
      <c r="EX11" s="1955"/>
      <c r="EY11" s="1955"/>
      <c r="EZ11" s="1955"/>
      <c r="FA11" s="1955"/>
    </row>
    <row r="12" spans="1:157" s="1946" customFormat="1" ht="12" hidden="1" customHeight="1" outlineLevel="1" x14ac:dyDescent="0.2">
      <c r="BV12" s="1948"/>
      <c r="BX12" s="1948"/>
      <c r="BZ12" s="1948"/>
      <c r="CB12" s="1948"/>
      <c r="CD12" s="1948"/>
      <c r="CF12" s="1948"/>
      <c r="CH12" s="1948"/>
      <c r="CJ12" s="1948"/>
      <c r="CL12" s="1948"/>
    </row>
    <row r="13" spans="1:157" s="1946" customFormat="1" ht="12" hidden="1" customHeight="1" outlineLevel="1" x14ac:dyDescent="0.2">
      <c r="A13" s="1953"/>
      <c r="B13" s="1953"/>
      <c r="AZ13" s="1953"/>
      <c r="BA13" s="1953"/>
      <c r="BB13" s="1953"/>
      <c r="BC13" s="1953"/>
      <c r="BD13" s="1953"/>
      <c r="BG13" s="1953"/>
      <c r="BH13" s="1953"/>
      <c r="BI13" s="1953"/>
      <c r="BJ13" s="1953"/>
      <c r="BM13" s="1953"/>
      <c r="BR13" s="1953"/>
      <c r="BT13" s="1953"/>
      <c r="BU13" s="1948"/>
      <c r="BV13" s="1947"/>
      <c r="BW13" s="1948"/>
      <c r="BX13" s="1948"/>
      <c r="BY13" s="1948"/>
      <c r="BZ13" s="1948"/>
      <c r="CA13" s="1948"/>
      <c r="CB13" s="1948"/>
      <c r="CC13" s="1948"/>
      <c r="CD13" s="1948"/>
      <c r="CE13" s="1948"/>
      <c r="CF13" s="1948"/>
      <c r="CG13" s="1948"/>
      <c r="CH13" s="1948"/>
      <c r="CI13" s="1948"/>
      <c r="CJ13" s="1948"/>
      <c r="CK13" s="1948"/>
      <c r="CL13" s="1948"/>
      <c r="CM13" s="1948"/>
      <c r="CN13" s="1948"/>
      <c r="CO13" s="1948"/>
      <c r="CP13" s="1948"/>
      <c r="CQ13" s="1948"/>
      <c r="CR13" s="1948"/>
      <c r="CS13" s="1948"/>
      <c r="CT13" s="1948"/>
      <c r="CU13" s="1948"/>
      <c r="CV13" s="1948"/>
      <c r="CW13" s="1948"/>
      <c r="CX13" s="1948"/>
      <c r="CY13" s="1948"/>
      <c r="CZ13" s="1948"/>
      <c r="DA13" s="1948"/>
      <c r="DB13" s="1948"/>
    </row>
    <row r="14" spans="1:157" s="1946" customFormat="1" ht="12" hidden="1" customHeight="1" outlineLevel="1" x14ac:dyDescent="0.2">
      <c r="A14" s="1953"/>
      <c r="B14" s="1953"/>
      <c r="AZ14" s="1953"/>
      <c r="BA14" s="1953"/>
      <c r="BB14" s="1953"/>
      <c r="BC14" s="1953"/>
      <c r="BD14" s="1953"/>
      <c r="BG14" s="1953"/>
      <c r="BH14" s="1953"/>
      <c r="BI14" s="1953"/>
      <c r="BJ14" s="1953"/>
      <c r="BM14" s="1953"/>
      <c r="BR14" s="1953"/>
      <c r="BT14" s="1953"/>
      <c r="BU14" s="1948"/>
      <c r="BV14" s="1948"/>
      <c r="BW14" s="1948"/>
      <c r="BX14" s="1948"/>
      <c r="BY14" s="1948"/>
      <c r="BZ14" s="1948"/>
      <c r="CA14" s="1948"/>
      <c r="CB14" s="1948"/>
      <c r="CC14" s="1948"/>
      <c r="CD14" s="1948"/>
      <c r="CE14" s="1948"/>
      <c r="CF14" s="1948"/>
      <c r="CG14" s="1948"/>
      <c r="CH14" s="1948"/>
      <c r="CI14" s="1948"/>
      <c r="CJ14" s="1948"/>
      <c r="CK14" s="1948"/>
      <c r="CL14" s="1948"/>
      <c r="CM14" s="1948"/>
      <c r="CN14" s="1948"/>
      <c r="CO14" s="1948"/>
      <c r="CP14" s="1948"/>
      <c r="CQ14" s="1948"/>
      <c r="CR14" s="1948"/>
      <c r="CS14" s="1948"/>
      <c r="CT14" s="1948"/>
      <c r="CU14" s="1948"/>
      <c r="CV14" s="1948"/>
      <c r="CW14" s="1948"/>
      <c r="CX14" s="1948"/>
      <c r="CY14" s="1948"/>
      <c r="CZ14" s="1948"/>
      <c r="DA14" s="1948"/>
      <c r="DB14" s="1948"/>
    </row>
    <row r="15" spans="1:157" ht="12" hidden="1" customHeight="1" outlineLevel="1" x14ac:dyDescent="0.2">
      <c r="C15" s="1946"/>
      <c r="D15" s="1946"/>
      <c r="E15" s="1946"/>
      <c r="F15" s="1946"/>
      <c r="G15" s="1946"/>
      <c r="H15" s="1946"/>
      <c r="I15" s="1946"/>
      <c r="J15" s="1946"/>
      <c r="K15" s="1946"/>
      <c r="L15" s="1946"/>
      <c r="M15" s="1946"/>
      <c r="N15" s="1946"/>
      <c r="O15" s="1946"/>
      <c r="P15" s="1946"/>
      <c r="Q15" s="1946"/>
      <c r="R15" s="1946"/>
      <c r="S15" s="1946"/>
      <c r="T15" s="1946"/>
      <c r="U15" s="1946"/>
      <c r="V15" s="1946"/>
      <c r="W15" s="1946"/>
      <c r="X15" s="1946"/>
      <c r="Y15" s="1946"/>
      <c r="Z15" s="1946"/>
      <c r="AA15" s="1946"/>
      <c r="AB15" s="1946"/>
      <c r="AC15" s="1946"/>
      <c r="AD15" s="1946"/>
      <c r="AE15" s="1946"/>
      <c r="AF15" s="1946"/>
      <c r="AG15" s="1946"/>
      <c r="AH15" s="1946"/>
      <c r="AI15" s="1946"/>
      <c r="AJ15" s="1946"/>
      <c r="AK15" s="1946"/>
      <c r="AL15" s="1946"/>
      <c r="AM15" s="1946"/>
      <c r="AN15" s="1946"/>
      <c r="AO15" s="1946"/>
      <c r="AP15" s="1946"/>
      <c r="AQ15" s="1946"/>
      <c r="AR15" s="1946"/>
      <c r="AS15" s="1946"/>
      <c r="AT15" s="1946"/>
      <c r="AU15" s="1946"/>
      <c r="AV15" s="1946"/>
      <c r="AW15" s="1946"/>
      <c r="AX15" s="1946"/>
      <c r="AY15" s="1946"/>
      <c r="BE15" s="1946"/>
      <c r="BF15" s="1946"/>
      <c r="BK15" s="1946"/>
      <c r="BL15" s="1946"/>
      <c r="BN15" s="1946"/>
      <c r="BO15" s="1946"/>
      <c r="BP15" s="1946"/>
      <c r="BQ15" s="1946"/>
      <c r="BS15" s="1946"/>
      <c r="BU15" s="1948"/>
      <c r="BV15" s="1948"/>
      <c r="BW15" s="1952"/>
      <c r="BX15" s="1952"/>
      <c r="BY15" s="1952"/>
      <c r="BZ15" s="1952"/>
      <c r="CA15" s="1952"/>
      <c r="CB15" s="1952"/>
      <c r="CC15" s="1952"/>
      <c r="CD15" s="1952"/>
      <c r="CE15" s="1952"/>
      <c r="CF15" s="1952"/>
      <c r="CG15" s="1952"/>
      <c r="CH15" s="1952"/>
      <c r="CI15" s="1952"/>
      <c r="CJ15" s="1952"/>
    </row>
    <row r="16" spans="1:157" s="1946" customFormat="1" ht="12" hidden="1" customHeight="1" outlineLevel="1" x14ac:dyDescent="0.2">
      <c r="A16" s="1953"/>
      <c r="B16" s="1953"/>
      <c r="AZ16" s="1953"/>
      <c r="BA16" s="1953"/>
      <c r="BB16" s="1953"/>
      <c r="BC16" s="1953"/>
      <c r="BD16" s="1953"/>
      <c r="BG16" s="1953"/>
      <c r="BH16" s="1953"/>
      <c r="BI16" s="1953"/>
      <c r="BJ16" s="1953"/>
      <c r="BM16" s="1953"/>
      <c r="BR16" s="1953"/>
      <c r="BT16" s="1953"/>
      <c r="BU16" s="1948"/>
      <c r="BV16" s="1948"/>
      <c r="BW16" s="1948"/>
      <c r="BX16" s="1948"/>
      <c r="BY16" s="1948"/>
      <c r="BZ16" s="1948"/>
      <c r="CA16" s="1948"/>
      <c r="CB16" s="1948"/>
      <c r="CC16" s="1948"/>
      <c r="CD16" s="1948"/>
      <c r="CE16" s="1948"/>
      <c r="CF16" s="1948"/>
      <c r="CG16" s="1948"/>
      <c r="CH16" s="1948"/>
      <c r="CI16" s="1948"/>
      <c r="CJ16" s="1948"/>
      <c r="CK16" s="1948"/>
      <c r="CL16" s="1948"/>
      <c r="CM16" s="1948"/>
      <c r="CN16" s="1948"/>
      <c r="CO16" s="1948"/>
      <c r="CP16" s="1948"/>
      <c r="CQ16" s="1948"/>
      <c r="CR16" s="1948"/>
      <c r="CS16" s="1948"/>
      <c r="CT16" s="1948"/>
      <c r="CU16" s="1948"/>
      <c r="CV16" s="1948"/>
      <c r="CW16" s="1948"/>
      <c r="CX16" s="1948"/>
      <c r="CY16" s="1948"/>
      <c r="CZ16" s="1948"/>
      <c r="DA16" s="1948"/>
      <c r="DB16" s="1948"/>
    </row>
    <row r="17" spans="1:158" s="1946" customFormat="1" ht="12" hidden="1" customHeight="1" outlineLevel="1" x14ac:dyDescent="0.2">
      <c r="A17" s="1953"/>
      <c r="B17" s="1953"/>
      <c r="AZ17" s="1953"/>
      <c r="BA17" s="1953"/>
      <c r="BB17" s="1953"/>
      <c r="BC17" s="1953"/>
      <c r="BD17" s="1953"/>
      <c r="BG17" s="1953"/>
      <c r="BH17" s="1953"/>
      <c r="BI17" s="1953"/>
      <c r="BJ17" s="1953"/>
      <c r="BM17" s="1953"/>
      <c r="BR17" s="1953"/>
      <c r="BT17" s="1953"/>
      <c r="BU17" s="1948"/>
      <c r="BV17" s="1948"/>
      <c r="BW17" s="1948"/>
      <c r="BX17" s="1948"/>
      <c r="BY17" s="1948"/>
      <c r="BZ17" s="1948"/>
      <c r="CA17" s="1948"/>
      <c r="CB17" s="1948"/>
      <c r="CC17" s="1948"/>
      <c r="CD17" s="1948"/>
      <c r="CE17" s="1948"/>
      <c r="CF17" s="1948"/>
      <c r="CG17" s="1948"/>
      <c r="CH17" s="1948"/>
      <c r="CI17" s="1948"/>
      <c r="CJ17" s="1948"/>
      <c r="CK17" s="1948"/>
      <c r="CL17" s="1948"/>
      <c r="CM17" s="1948"/>
      <c r="CN17" s="1948"/>
      <c r="CO17" s="1948"/>
      <c r="CP17" s="1948"/>
      <c r="CQ17" s="1948"/>
      <c r="CR17" s="1948"/>
      <c r="CS17" s="1948"/>
      <c r="CT17" s="1948"/>
      <c r="CU17" s="1948"/>
      <c r="CV17" s="1948"/>
      <c r="CW17" s="1948"/>
      <c r="CX17" s="1948"/>
      <c r="CY17" s="1948"/>
      <c r="CZ17" s="1948"/>
      <c r="DA17" s="1948"/>
      <c r="DB17" s="1948"/>
    </row>
    <row r="18" spans="1:158" s="1946" customFormat="1" ht="12" hidden="1" customHeight="1" outlineLevel="1" x14ac:dyDescent="0.2">
      <c r="A18" s="1953"/>
      <c r="B18" s="1953"/>
      <c r="AZ18" s="1953"/>
      <c r="BA18" s="1953"/>
      <c r="BB18" s="1953"/>
      <c r="BC18" s="1953"/>
      <c r="BD18" s="1953"/>
      <c r="BG18" s="1953"/>
      <c r="BH18" s="1953"/>
      <c r="BI18" s="1953"/>
      <c r="BJ18" s="1953"/>
      <c r="BM18" s="1953"/>
      <c r="BR18" s="1953"/>
      <c r="BT18" s="1953"/>
      <c r="BU18" s="1948"/>
      <c r="BV18" s="1948"/>
      <c r="BW18" s="1948"/>
      <c r="BX18" s="1948"/>
      <c r="BY18" s="1948"/>
      <c r="BZ18" s="1948"/>
      <c r="CA18" s="1948"/>
      <c r="CB18" s="1948"/>
      <c r="CC18" s="1948"/>
      <c r="CD18" s="1948"/>
      <c r="CE18" s="1948"/>
      <c r="CF18" s="1948"/>
      <c r="CG18" s="1948"/>
      <c r="CH18" s="1948"/>
      <c r="CI18" s="1948"/>
      <c r="CJ18" s="1948"/>
      <c r="CK18" s="1948"/>
      <c r="CL18" s="1948"/>
      <c r="CM18" s="1948"/>
      <c r="CN18" s="1948"/>
      <c r="CO18" s="1948"/>
      <c r="CP18" s="1948"/>
      <c r="CQ18" s="1948"/>
      <c r="CR18" s="1948"/>
      <c r="CS18" s="1948"/>
      <c r="CT18" s="1948"/>
      <c r="CU18" s="1948"/>
      <c r="CV18" s="1948"/>
      <c r="CW18" s="1948"/>
      <c r="CX18" s="1948"/>
      <c r="CY18" s="1948"/>
      <c r="CZ18" s="1948"/>
      <c r="DA18" s="1948"/>
      <c r="DB18" s="1948"/>
    </row>
    <row r="19" spans="1:158" s="1946" customFormat="1" ht="12" hidden="1" customHeight="1" outlineLevel="1" x14ac:dyDescent="0.2">
      <c r="A19" s="1953"/>
      <c r="B19" s="1953" t="s">
        <v>1345</v>
      </c>
      <c r="AZ19" s="1953"/>
      <c r="BA19" s="1953"/>
      <c r="BB19" s="1953"/>
      <c r="BC19" s="1953"/>
      <c r="BD19" s="1953"/>
      <c r="BG19" s="1953"/>
      <c r="BH19" s="1953"/>
      <c r="BI19" s="1953"/>
      <c r="BJ19" s="1953"/>
      <c r="BM19" s="1953"/>
      <c r="BR19" s="1953"/>
      <c r="BT19" s="1953"/>
      <c r="BU19" s="1948"/>
      <c r="BV19" s="1948"/>
      <c r="BW19" s="1948"/>
      <c r="BX19" s="1948"/>
      <c r="BY19" s="1948"/>
      <c r="BZ19" s="1948"/>
      <c r="CA19" s="1948"/>
      <c r="CB19" s="1948"/>
      <c r="CC19" s="1948"/>
      <c r="CD19" s="1948"/>
      <c r="CE19" s="1948"/>
      <c r="CF19" s="1948"/>
      <c r="CG19" s="1948"/>
      <c r="CH19" s="1948"/>
      <c r="CI19" s="1948"/>
      <c r="CJ19" s="1948"/>
      <c r="CK19" s="1948"/>
      <c r="CL19" s="1948"/>
      <c r="CM19" s="1948"/>
      <c r="CN19" s="1948"/>
      <c r="CO19" s="1948"/>
      <c r="CP19" s="1948"/>
      <c r="CQ19" s="1948"/>
      <c r="CR19" s="1948"/>
      <c r="CS19" s="1948"/>
      <c r="CT19" s="1948"/>
      <c r="CU19" s="1948"/>
      <c r="CV19" s="1948"/>
      <c r="CW19" s="1948"/>
      <c r="CX19" s="1948"/>
      <c r="CY19" s="1948"/>
      <c r="CZ19" s="1948"/>
      <c r="DA19" s="1948"/>
      <c r="DB19" s="1948"/>
    </row>
    <row r="20" spans="1:158" s="1946" customFormat="1" ht="12" hidden="1" customHeight="1" outlineLevel="1" x14ac:dyDescent="0.2">
      <c r="A20" s="1953"/>
      <c r="B20" s="1953"/>
      <c r="AZ20" s="1953"/>
      <c r="BA20" s="1953"/>
      <c r="BB20" s="1953"/>
      <c r="BC20" s="1953"/>
      <c r="BD20" s="1953"/>
      <c r="BG20" s="1953"/>
      <c r="BH20" s="1953"/>
      <c r="BI20" s="1953"/>
      <c r="BJ20" s="1953"/>
      <c r="BM20" s="1953"/>
      <c r="BR20" s="1953"/>
      <c r="BT20" s="1953"/>
      <c r="BU20" s="1948"/>
      <c r="BV20" s="1948"/>
      <c r="BW20" s="1948"/>
      <c r="BX20" s="1948"/>
      <c r="BY20" s="1948"/>
      <c r="BZ20" s="1948"/>
      <c r="CA20" s="1948"/>
      <c r="CB20" s="1948"/>
      <c r="CC20" s="1948"/>
      <c r="CD20" s="1948"/>
      <c r="CE20" s="1948"/>
      <c r="CF20" s="1948"/>
      <c r="CG20" s="1948"/>
      <c r="CH20" s="1948"/>
      <c r="CI20" s="1948"/>
      <c r="CJ20" s="1948"/>
      <c r="CK20" s="1948"/>
      <c r="CL20" s="1948"/>
      <c r="CM20" s="1948"/>
      <c r="CN20" s="1948"/>
      <c r="CO20" s="1948"/>
      <c r="CP20" s="1948"/>
      <c r="CQ20" s="1948"/>
      <c r="CR20" s="1948"/>
      <c r="CS20" s="1948"/>
      <c r="CT20" s="1948"/>
      <c r="CU20" s="1948"/>
      <c r="CV20" s="1948"/>
      <c r="CW20" s="1948"/>
      <c r="CX20" s="1948"/>
      <c r="CY20" s="1948"/>
      <c r="CZ20" s="1948"/>
      <c r="DA20" s="1948"/>
      <c r="DB20" s="1948"/>
    </row>
    <row r="21" spans="1:158" s="1946" customFormat="1" ht="12" hidden="1" customHeight="1" outlineLevel="1" x14ac:dyDescent="0.2">
      <c r="A21" s="1953"/>
      <c r="B21" s="1953"/>
      <c r="AZ21" s="1953"/>
      <c r="BA21" s="1953"/>
      <c r="BB21" s="1953"/>
      <c r="BC21" s="1953"/>
      <c r="BD21" s="1953"/>
      <c r="BG21" s="1953"/>
      <c r="BH21" s="1953"/>
      <c r="BI21" s="1953"/>
      <c r="BJ21" s="1953"/>
      <c r="BM21" s="1953"/>
      <c r="BR21" s="1953"/>
      <c r="BT21" s="1953"/>
      <c r="BU21" s="1948"/>
      <c r="BV21" s="1948"/>
      <c r="BW21" s="1948"/>
      <c r="BX21" s="1948"/>
      <c r="BY21" s="1948"/>
      <c r="BZ21" s="1948"/>
      <c r="CA21" s="1948"/>
      <c r="CB21" s="1948"/>
      <c r="CC21" s="1948"/>
      <c r="CD21" s="1948"/>
      <c r="CE21" s="1948"/>
      <c r="CF21" s="1948"/>
      <c r="CG21" s="1948"/>
      <c r="CH21" s="1948"/>
      <c r="CI21" s="1948"/>
      <c r="CJ21" s="1948"/>
      <c r="CK21" s="1948"/>
      <c r="CL21" s="1948"/>
      <c r="CM21" s="1948"/>
      <c r="CN21" s="1948"/>
      <c r="CO21" s="1948"/>
      <c r="CP21" s="1948"/>
      <c r="CQ21" s="1948"/>
      <c r="CR21" s="1948"/>
      <c r="CS21" s="1948"/>
      <c r="CT21" s="1948"/>
      <c r="CU21" s="1948"/>
      <c r="CV21" s="1948"/>
      <c r="CW21" s="1948"/>
      <c r="CX21" s="1948"/>
      <c r="CY21" s="1948"/>
      <c r="CZ21" s="1948"/>
      <c r="DA21" s="1948"/>
      <c r="DB21" s="1948"/>
    </row>
    <row r="22" spans="1:158" s="1946" customFormat="1" ht="12" hidden="1" customHeight="1" outlineLevel="1" x14ac:dyDescent="0.2">
      <c r="A22" s="1953"/>
      <c r="B22" s="1953"/>
      <c r="AZ22" s="1953"/>
      <c r="BA22" s="1953"/>
      <c r="BB22" s="1953"/>
      <c r="BC22" s="1953"/>
      <c r="BD22" s="1953"/>
      <c r="BG22" s="1953"/>
      <c r="BH22" s="1953"/>
      <c r="BI22" s="1953"/>
      <c r="BJ22" s="1953"/>
      <c r="BM22" s="1953"/>
      <c r="BR22" s="1953"/>
      <c r="BT22" s="1953"/>
      <c r="BU22" s="1948"/>
      <c r="BV22" s="1948"/>
      <c r="BW22" s="1948"/>
      <c r="BX22" s="1948"/>
      <c r="BY22" s="1948"/>
      <c r="BZ22" s="1948"/>
      <c r="CA22" s="1948"/>
      <c r="CB22" s="1948"/>
      <c r="CC22" s="1948"/>
      <c r="CD22" s="1948"/>
      <c r="CE22" s="1948"/>
      <c r="CF22" s="1948"/>
      <c r="CG22" s="1948"/>
      <c r="CH22" s="1948"/>
      <c r="CI22" s="1948"/>
      <c r="CJ22" s="1948"/>
      <c r="CK22" s="1948"/>
      <c r="CL22" s="1948"/>
      <c r="CM22" s="1948"/>
      <c r="CN22" s="1948"/>
      <c r="CO22" s="1948"/>
      <c r="CP22" s="1948"/>
      <c r="CQ22" s="1948"/>
      <c r="CR22" s="1948"/>
      <c r="CS22" s="1948"/>
      <c r="CT22" s="1948"/>
      <c r="CU22" s="1948"/>
      <c r="CV22" s="1948"/>
      <c r="CW22" s="1948"/>
      <c r="CX22" s="1948"/>
      <c r="CY22" s="1948"/>
      <c r="CZ22" s="1948"/>
      <c r="DA22" s="1948"/>
      <c r="DB22" s="1948"/>
    </row>
    <row r="23" spans="1:158" ht="12" hidden="1" customHeight="1" outlineLevel="1" x14ac:dyDescent="0.2">
      <c r="C23" s="1946"/>
      <c r="D23" s="1946"/>
      <c r="E23" s="1946"/>
      <c r="F23" s="1946"/>
      <c r="G23" s="1946"/>
      <c r="H23" s="1946"/>
      <c r="I23" s="1946"/>
      <c r="J23" s="1946"/>
      <c r="K23" s="1946"/>
      <c r="L23" s="1946"/>
      <c r="M23" s="1946"/>
      <c r="N23" s="1946"/>
      <c r="O23" s="1946"/>
      <c r="P23" s="1946"/>
      <c r="Q23" s="1946"/>
      <c r="R23" s="1946"/>
      <c r="S23" s="1946"/>
      <c r="T23" s="1946"/>
      <c r="U23" s="1946"/>
      <c r="V23" s="1946"/>
      <c r="W23" s="1946"/>
      <c r="X23" s="1946"/>
      <c r="Y23" s="1946"/>
      <c r="Z23" s="1946"/>
      <c r="AA23" s="1946"/>
      <c r="AB23" s="1946"/>
      <c r="AC23" s="1946"/>
      <c r="AD23" s="1946"/>
      <c r="AE23" s="1946"/>
      <c r="AF23" s="1946"/>
      <c r="AG23" s="1946"/>
      <c r="AH23" s="1946"/>
      <c r="AI23" s="1946"/>
      <c r="AJ23" s="1946"/>
      <c r="AK23" s="1946"/>
      <c r="AL23" s="1946"/>
      <c r="AM23" s="1946"/>
      <c r="AN23" s="1946"/>
      <c r="AO23" s="1946"/>
      <c r="AP23" s="1946"/>
      <c r="AQ23" s="1946"/>
      <c r="AR23" s="1946"/>
      <c r="AS23" s="1946"/>
      <c r="AT23" s="1946"/>
      <c r="AU23" s="1946"/>
      <c r="AV23" s="1946"/>
      <c r="AW23" s="1946"/>
      <c r="AX23" s="1946"/>
      <c r="AY23" s="1946"/>
      <c r="BE23" s="1946"/>
      <c r="BF23" s="1946"/>
      <c r="BK23" s="1946"/>
      <c r="BL23" s="1946"/>
      <c r="BN23" s="1946"/>
      <c r="BO23" s="1946"/>
      <c r="BP23" s="1946"/>
      <c r="BQ23" s="1946"/>
      <c r="BS23" s="1946"/>
      <c r="BU23" s="1947"/>
      <c r="BV23" s="1948"/>
      <c r="BW23" s="1951"/>
      <c r="BX23" s="1951"/>
      <c r="BY23" s="1951"/>
      <c r="BZ23" s="1951"/>
      <c r="CA23" s="1951"/>
      <c r="CB23" s="1951"/>
      <c r="CC23" s="1951"/>
      <c r="CD23" s="1951"/>
      <c r="CE23" s="1951"/>
      <c r="CF23" s="1951"/>
      <c r="CG23" s="1951"/>
      <c r="CH23" s="1951"/>
      <c r="CI23" s="1951"/>
      <c r="CJ23" s="1951"/>
    </row>
    <row r="24" spans="1:158" ht="12" hidden="1" customHeight="1" outlineLevel="1" x14ac:dyDescent="0.2">
      <c r="C24" s="1946"/>
      <c r="D24" s="1946"/>
      <c r="E24" s="1946"/>
      <c r="F24" s="1946"/>
      <c r="G24" s="1946"/>
      <c r="H24" s="1946"/>
      <c r="I24" s="1946"/>
      <c r="J24" s="1946"/>
      <c r="K24" s="1946"/>
      <c r="L24" s="1946"/>
      <c r="M24" s="1946"/>
      <c r="N24" s="1946"/>
      <c r="O24" s="1946"/>
      <c r="P24" s="1946"/>
      <c r="Q24" s="1946"/>
      <c r="R24" s="1946"/>
      <c r="S24" s="1946"/>
      <c r="T24" s="1946"/>
      <c r="U24" s="1946"/>
      <c r="V24" s="1946"/>
      <c r="W24" s="1946"/>
      <c r="X24" s="1946"/>
      <c r="Y24" s="1946"/>
      <c r="Z24" s="1946"/>
      <c r="AA24" s="1946"/>
      <c r="AB24" s="1946"/>
      <c r="AC24" s="1946"/>
      <c r="AD24" s="1946"/>
      <c r="AE24" s="1946"/>
      <c r="AF24" s="1946"/>
      <c r="AG24" s="1946"/>
      <c r="AH24" s="1946"/>
      <c r="AI24" s="1946"/>
      <c r="AJ24" s="1946"/>
      <c r="AK24" s="1946"/>
      <c r="AL24" s="1946"/>
      <c r="AM24" s="1946"/>
      <c r="AN24" s="1946"/>
      <c r="AO24" s="1946"/>
      <c r="AP24" s="1946"/>
      <c r="AQ24" s="1946"/>
      <c r="AR24" s="1946"/>
      <c r="AS24" s="1946"/>
      <c r="AT24" s="1946"/>
      <c r="AU24" s="1946"/>
      <c r="AV24" s="1946"/>
      <c r="AW24" s="1946"/>
      <c r="AX24" s="1946"/>
      <c r="AY24" s="1946"/>
      <c r="BE24" s="1946"/>
      <c r="BF24" s="1946"/>
      <c r="BK24" s="1946"/>
      <c r="BL24" s="1946"/>
      <c r="BN24" s="1946"/>
      <c r="BO24" s="1946"/>
      <c r="BP24" s="1946"/>
      <c r="BQ24" s="1946"/>
      <c r="BS24" s="1946"/>
      <c r="BU24" s="1948"/>
      <c r="BV24" s="1948"/>
      <c r="BW24" s="1952"/>
      <c r="BX24" s="1952"/>
      <c r="BY24" s="1952"/>
      <c r="BZ24" s="1952"/>
      <c r="CA24" s="1952"/>
      <c r="CB24" s="1952"/>
      <c r="CC24" s="1952"/>
      <c r="CD24" s="1952"/>
      <c r="CE24" s="1952"/>
      <c r="CF24" s="1952"/>
      <c r="CG24" s="1952"/>
      <c r="CH24" s="1952"/>
      <c r="CI24" s="1952"/>
      <c r="CJ24" s="1952"/>
      <c r="CK24" s="1952"/>
      <c r="CL24" s="1952"/>
      <c r="CM24" s="1952"/>
      <c r="CN24" s="1952"/>
      <c r="CO24" s="1952"/>
      <c r="CP24" s="1952"/>
      <c r="CQ24" s="1952"/>
      <c r="CR24" s="1952"/>
      <c r="CS24" s="1952"/>
      <c r="CT24" s="1952"/>
      <c r="CU24" s="1952"/>
      <c r="CV24" s="1952"/>
      <c r="CW24" s="1952"/>
      <c r="CX24" s="1952"/>
      <c r="CY24" s="1952"/>
      <c r="CZ24" s="1952"/>
      <c r="DA24" s="1952"/>
      <c r="DB24" s="1952"/>
      <c r="DC24" s="1952"/>
      <c r="DD24" s="1952"/>
      <c r="DE24" s="1952"/>
      <c r="DF24" s="1952"/>
      <c r="DG24" s="1952"/>
      <c r="DH24" s="1952"/>
      <c r="DI24" s="1952"/>
      <c r="DJ24" s="1952"/>
      <c r="DK24" s="1952"/>
      <c r="DL24" s="1952"/>
      <c r="DM24" s="1952"/>
      <c r="DN24" s="1952"/>
      <c r="DO24" s="1952"/>
      <c r="DP24" s="1952"/>
      <c r="DQ24" s="1952"/>
      <c r="DR24" s="1952"/>
      <c r="DS24" s="1952"/>
      <c r="DT24" s="1952"/>
      <c r="DU24" s="1952"/>
      <c r="DV24" s="1952"/>
      <c r="DW24" s="1952"/>
      <c r="DX24" s="1952"/>
      <c r="DY24" s="1952"/>
      <c r="DZ24" s="1952"/>
    </row>
    <row r="25" spans="1:158" s="1946" customFormat="1" ht="12" hidden="1" customHeight="1" outlineLevel="1" x14ac:dyDescent="0.2">
      <c r="A25" s="1953"/>
      <c r="B25" s="1953"/>
      <c r="D25" s="1948"/>
      <c r="F25" s="1948"/>
      <c r="G25" s="1948"/>
      <c r="I25" s="1948"/>
      <c r="K25" s="1948"/>
      <c r="M25" s="1948"/>
      <c r="O25" s="1948"/>
      <c r="Q25" s="1948"/>
      <c r="S25" s="1948"/>
      <c r="U25" s="1948"/>
      <c r="W25" s="1948"/>
      <c r="Y25" s="1948"/>
      <c r="AA25" s="1948"/>
      <c r="AZ25" s="1953"/>
      <c r="BA25" s="1953"/>
      <c r="BB25" s="1953"/>
      <c r="BC25" s="1953"/>
      <c r="BD25" s="1953"/>
      <c r="BF25" s="1948"/>
      <c r="BG25" s="1953"/>
      <c r="BH25" s="1953"/>
      <c r="BI25" s="1953"/>
      <c r="BJ25" s="1953"/>
      <c r="BL25" s="1948"/>
      <c r="BM25" s="1953"/>
      <c r="BO25" s="1948"/>
      <c r="BQ25" s="1948"/>
      <c r="BR25" s="1953"/>
      <c r="BT25" s="1953"/>
      <c r="BU25" s="1948"/>
      <c r="BW25" s="1948"/>
      <c r="BY25" s="1948"/>
      <c r="CA25" s="1948"/>
      <c r="CC25" s="1948"/>
      <c r="CE25" s="1948"/>
      <c r="CG25" s="1948"/>
      <c r="CI25" s="1948"/>
      <c r="CK25" s="1948"/>
      <c r="CL25" s="1948"/>
      <c r="CM25" s="1948"/>
      <c r="CN25" s="1948"/>
      <c r="CO25" s="1948"/>
      <c r="CP25" s="1948"/>
      <c r="CQ25" s="1948"/>
      <c r="CR25" s="1948"/>
      <c r="CS25" s="1948"/>
      <c r="CT25" s="1948"/>
      <c r="CU25" s="1948"/>
      <c r="CV25" s="1948"/>
      <c r="CW25" s="1948"/>
      <c r="CX25" s="1948"/>
      <c r="CY25" s="1948"/>
      <c r="CZ25" s="1948"/>
      <c r="DA25" s="1948"/>
      <c r="DB25" s="1948"/>
    </row>
    <row r="26" spans="1:158" s="1946" customFormat="1" ht="12" hidden="1" customHeight="1" outlineLevel="1" x14ac:dyDescent="0.2">
      <c r="D26" s="1948"/>
      <c r="F26" s="1948"/>
      <c r="G26" s="1948"/>
      <c r="I26" s="1948"/>
      <c r="K26" s="1948"/>
      <c r="M26" s="1948"/>
      <c r="O26" s="1948"/>
      <c r="Q26" s="1948"/>
      <c r="S26" s="1948"/>
      <c r="U26" s="1948"/>
      <c r="W26" s="1948"/>
      <c r="Y26" s="1948"/>
      <c r="AA26" s="1948"/>
      <c r="BF26" s="1948"/>
      <c r="BL26" s="1948"/>
      <c r="BO26" s="1948"/>
      <c r="BQ26" s="1948"/>
      <c r="BU26" s="1948"/>
      <c r="BV26" s="1948"/>
      <c r="BW26" s="1948"/>
      <c r="BX26" s="1948"/>
      <c r="BY26" s="1948"/>
      <c r="BZ26" s="1948"/>
      <c r="CA26" s="1948"/>
      <c r="CB26" s="1948"/>
      <c r="CC26" s="1948"/>
      <c r="CD26" s="1948"/>
      <c r="CE26" s="1948"/>
      <c r="CF26" s="1948"/>
      <c r="CG26" s="1948"/>
      <c r="CH26" s="1948"/>
      <c r="CI26" s="1948"/>
      <c r="CJ26" s="1948"/>
      <c r="CK26" s="1948"/>
      <c r="CM26" s="1948"/>
      <c r="CN26" s="1948"/>
      <c r="CO26" s="1948"/>
      <c r="CP26" s="1948"/>
      <c r="CQ26" s="1948"/>
      <c r="CR26" s="1948"/>
      <c r="CS26" s="1948"/>
      <c r="CT26" s="1948"/>
      <c r="CU26" s="1948"/>
      <c r="CV26" s="1948"/>
      <c r="CW26" s="1948"/>
      <c r="CX26" s="1948"/>
      <c r="CY26" s="1948"/>
      <c r="CZ26" s="1948"/>
      <c r="DA26" s="1948"/>
      <c r="DB26" s="1948"/>
    </row>
    <row r="27" spans="1:158" s="1946" customFormat="1" ht="12" hidden="1" customHeight="1" outlineLevel="1" x14ac:dyDescent="0.2">
      <c r="A27" s="1951" t="s">
        <v>881</v>
      </c>
      <c r="B27" s="1952" t="s">
        <v>882</v>
      </c>
      <c r="C27" s="1948"/>
      <c r="D27" s="1948"/>
      <c r="E27" s="1948"/>
      <c r="F27" s="1948"/>
      <c r="G27" s="1948"/>
      <c r="H27" s="1948"/>
      <c r="I27" s="1948"/>
      <c r="J27" s="1948"/>
      <c r="K27" s="1948"/>
      <c r="L27" s="1948"/>
      <c r="M27" s="1948"/>
      <c r="N27" s="1948"/>
      <c r="O27" s="1948"/>
      <c r="P27" s="1948"/>
      <c r="Q27" s="1948"/>
      <c r="R27" s="1948"/>
      <c r="S27" s="1948"/>
      <c r="T27" s="1948"/>
      <c r="U27" s="1948"/>
      <c r="V27" s="1948"/>
      <c r="W27" s="1948"/>
      <c r="X27" s="1948"/>
      <c r="Y27" s="1948"/>
      <c r="Z27" s="1948"/>
      <c r="AA27" s="1948"/>
      <c r="AB27" s="1948"/>
      <c r="AC27" s="1948"/>
      <c r="AD27" s="1948"/>
      <c r="AE27" s="1948"/>
      <c r="AF27" s="1948"/>
      <c r="AG27" s="1948"/>
      <c r="AH27" s="1948"/>
      <c r="AI27" s="1948"/>
      <c r="AJ27" s="1948"/>
      <c r="AK27" s="1948"/>
      <c r="AL27" s="1948"/>
      <c r="AM27" s="1948"/>
      <c r="AN27" s="1948"/>
      <c r="AO27" s="1948"/>
      <c r="AP27" s="1948"/>
      <c r="AQ27" s="1948"/>
      <c r="AR27" s="1948"/>
      <c r="AS27" s="1948"/>
      <c r="AT27" s="1948"/>
      <c r="AU27" s="1948"/>
      <c r="AV27" s="1948"/>
      <c r="AW27" s="1948"/>
      <c r="AX27" s="1948"/>
      <c r="AY27" s="1948"/>
      <c r="AZ27" s="1952"/>
      <c r="BA27" s="1952"/>
      <c r="BB27" s="1952"/>
      <c r="BC27" s="1952"/>
      <c r="BD27" s="1952"/>
      <c r="BE27" s="1948"/>
      <c r="BF27" s="1948"/>
      <c r="BG27" s="1952"/>
      <c r="BH27" s="1952"/>
      <c r="BI27" s="1952"/>
      <c r="BJ27" s="1952"/>
      <c r="BK27" s="1948"/>
      <c r="BL27" s="1948"/>
      <c r="BM27" s="1952"/>
      <c r="BN27" s="1948"/>
      <c r="BO27" s="1948"/>
      <c r="BP27" s="1948"/>
      <c r="BQ27" s="1948"/>
      <c r="BR27" s="1952"/>
      <c r="BS27" s="1948"/>
      <c r="BT27" s="1952"/>
      <c r="BU27" s="1948"/>
      <c r="BV27" s="1948"/>
      <c r="BW27" s="1948"/>
      <c r="BX27" s="1948"/>
      <c r="BY27" s="1948"/>
      <c r="BZ27" s="1948"/>
      <c r="CA27" s="1948"/>
      <c r="CB27" s="1948"/>
      <c r="CC27" s="1948"/>
      <c r="CD27" s="1948"/>
      <c r="CE27" s="1948"/>
      <c r="CF27" s="1948"/>
      <c r="CG27" s="1948"/>
      <c r="CH27" s="1948"/>
      <c r="CI27" s="1948"/>
      <c r="CJ27" s="1948"/>
      <c r="CK27" s="1948"/>
      <c r="CL27" s="1948"/>
      <c r="CM27" s="1948"/>
      <c r="CN27" s="1948"/>
      <c r="CO27" s="1948"/>
      <c r="CP27" s="1948"/>
      <c r="CQ27" s="1948"/>
      <c r="CR27" s="1948"/>
      <c r="CS27" s="1948"/>
      <c r="CT27" s="1948"/>
      <c r="CU27" s="1948"/>
      <c r="CV27" s="1948"/>
      <c r="CW27" s="1948"/>
      <c r="CX27" s="1948"/>
      <c r="CY27" s="1948"/>
      <c r="CZ27" s="1948"/>
      <c r="DA27" s="1948"/>
      <c r="DB27" s="1948"/>
      <c r="DC27" s="1947"/>
      <c r="DD27" s="1947"/>
      <c r="DE27" s="1947"/>
      <c r="DF27" s="1947"/>
      <c r="DG27" s="1947"/>
      <c r="DH27" s="1947"/>
      <c r="DI27" s="1947"/>
      <c r="DJ27" s="1947"/>
      <c r="DK27" s="1947"/>
      <c r="DL27" s="1947"/>
      <c r="DM27" s="1947"/>
      <c r="DN27" s="1947"/>
      <c r="DO27" s="1947"/>
      <c r="DP27" s="1947"/>
      <c r="DQ27" s="1947"/>
      <c r="DR27" s="1947"/>
      <c r="DS27" s="1947"/>
      <c r="DT27" s="1947"/>
      <c r="DU27" s="1947"/>
      <c r="DV27" s="1947"/>
      <c r="DW27" s="1947"/>
      <c r="DX27" s="1947"/>
      <c r="DY27" s="1947"/>
      <c r="DZ27" s="1947"/>
      <c r="EA27" s="1947"/>
      <c r="EB27" s="1947"/>
      <c r="EC27" s="1947"/>
      <c r="ED27" s="1947"/>
      <c r="EE27" s="1947"/>
      <c r="EF27" s="1947"/>
      <c r="EG27" s="1947"/>
      <c r="EH27" s="1947"/>
      <c r="EI27" s="1947"/>
      <c r="EJ27" s="1947"/>
      <c r="EK27" s="1947"/>
      <c r="EL27" s="1947"/>
      <c r="EM27" s="1947"/>
      <c r="EN27" s="1947"/>
      <c r="EO27" s="1947"/>
      <c r="EP27" s="1947"/>
      <c r="EQ27" s="1947"/>
      <c r="ER27" s="1947"/>
      <c r="ES27" s="1947"/>
      <c r="ET27" s="1947"/>
      <c r="EU27" s="1947"/>
      <c r="EV27" s="1947"/>
      <c r="EW27" s="1947"/>
      <c r="EX27" s="1947"/>
      <c r="EY27" s="1947"/>
      <c r="EZ27" s="1947"/>
      <c r="FA27" s="1947"/>
      <c r="FB27" s="1947"/>
    </row>
    <row r="28" spans="1:158" s="1946" customFormat="1" ht="12" hidden="1" customHeight="1" outlineLevel="1" x14ac:dyDescent="0.2">
      <c r="A28" s="1951" t="s">
        <v>883</v>
      </c>
      <c r="B28" s="1952" t="s">
        <v>884</v>
      </c>
      <c r="C28" s="1948"/>
      <c r="D28" s="1948"/>
      <c r="E28" s="1948"/>
      <c r="F28" s="1948"/>
      <c r="G28" s="1948"/>
      <c r="H28" s="1948"/>
      <c r="I28" s="1948"/>
      <c r="J28" s="1948"/>
      <c r="K28" s="1948"/>
      <c r="L28" s="1948"/>
      <c r="M28" s="1948"/>
      <c r="N28" s="1948"/>
      <c r="O28" s="1948"/>
      <c r="P28" s="1948"/>
      <c r="Q28" s="1948"/>
      <c r="R28" s="1948"/>
      <c r="S28" s="1948"/>
      <c r="T28" s="1948"/>
      <c r="U28" s="1948"/>
      <c r="V28" s="1948"/>
      <c r="W28" s="1948"/>
      <c r="X28" s="1948"/>
      <c r="Y28" s="1948"/>
      <c r="Z28" s="1948"/>
      <c r="AA28" s="1948"/>
      <c r="AB28" s="1948"/>
      <c r="AC28" s="1948"/>
      <c r="AD28" s="1948"/>
      <c r="AE28" s="1948"/>
      <c r="AF28" s="1948"/>
      <c r="AG28" s="1948"/>
      <c r="AH28" s="1948"/>
      <c r="AI28" s="1948"/>
      <c r="AJ28" s="1948"/>
      <c r="AK28" s="1948"/>
      <c r="AL28" s="1948"/>
      <c r="AM28" s="1948"/>
      <c r="AN28" s="1948"/>
      <c r="AO28" s="1948"/>
      <c r="AP28" s="1948"/>
      <c r="AQ28" s="1948"/>
      <c r="AR28" s="1948"/>
      <c r="AS28" s="1948"/>
      <c r="AT28" s="1948"/>
      <c r="AU28" s="1948"/>
      <c r="AV28" s="1948"/>
      <c r="AW28" s="1948"/>
      <c r="AX28" s="1948"/>
      <c r="AY28" s="1948"/>
      <c r="AZ28" s="1952"/>
      <c r="BA28" s="1952"/>
      <c r="BB28" s="1952"/>
      <c r="BC28" s="1952"/>
      <c r="BD28" s="1952"/>
      <c r="BE28" s="1948"/>
      <c r="BF28" s="1948"/>
      <c r="BG28" s="1952"/>
      <c r="BH28" s="1952"/>
      <c r="BI28" s="1952"/>
      <c r="BJ28" s="1952"/>
      <c r="BK28" s="1948"/>
      <c r="BL28" s="1948"/>
      <c r="BM28" s="1952"/>
      <c r="BN28" s="1948"/>
      <c r="BO28" s="1948"/>
      <c r="BP28" s="1948"/>
      <c r="BQ28" s="1948"/>
      <c r="BR28" s="1952"/>
      <c r="BS28" s="1948"/>
      <c r="BT28" s="1952"/>
      <c r="BU28" s="1948"/>
      <c r="BV28" s="1948"/>
      <c r="BW28" s="1948"/>
      <c r="BX28" s="1948"/>
      <c r="BY28" s="1948"/>
      <c r="BZ28" s="1948"/>
      <c r="CA28" s="1948"/>
      <c r="CB28" s="1948"/>
      <c r="CC28" s="1948"/>
      <c r="CD28" s="1948"/>
      <c r="CE28" s="1948"/>
      <c r="CF28" s="1948"/>
      <c r="CG28" s="1948"/>
      <c r="CH28" s="1948"/>
      <c r="CI28" s="1948"/>
      <c r="CJ28" s="1948"/>
      <c r="CK28" s="1948"/>
      <c r="CL28" s="1948"/>
      <c r="CM28" s="1948"/>
      <c r="CN28" s="1948"/>
      <c r="CO28" s="1948"/>
      <c r="CP28" s="1948"/>
      <c r="CQ28" s="1948"/>
      <c r="CR28" s="1948"/>
      <c r="CS28" s="1948"/>
      <c r="CT28" s="1948"/>
      <c r="CU28" s="1948"/>
      <c r="CV28" s="1948"/>
      <c r="CW28" s="1948"/>
      <c r="CX28" s="1948"/>
      <c r="CY28" s="1948"/>
      <c r="CZ28" s="1948"/>
      <c r="DA28" s="1948"/>
      <c r="DB28" s="1948"/>
      <c r="DC28" s="1947"/>
      <c r="DD28" s="1947"/>
      <c r="DE28" s="1947"/>
      <c r="DF28" s="1947"/>
      <c r="DG28" s="1947"/>
      <c r="DH28" s="1947"/>
      <c r="DI28" s="1947"/>
      <c r="DJ28" s="1947"/>
      <c r="DK28" s="1947"/>
      <c r="DL28" s="1947"/>
      <c r="DM28" s="1947"/>
      <c r="DN28" s="1947"/>
      <c r="DO28" s="1947"/>
      <c r="DP28" s="1947"/>
      <c r="DQ28" s="1947"/>
      <c r="DR28" s="1947"/>
      <c r="DS28" s="1947"/>
      <c r="DT28" s="1947"/>
      <c r="DU28" s="1947"/>
      <c r="DV28" s="1947"/>
      <c r="DW28" s="1947"/>
      <c r="DX28" s="1947"/>
      <c r="DY28" s="1947"/>
      <c r="DZ28" s="1947"/>
      <c r="EA28" s="1947"/>
      <c r="EB28" s="1947"/>
      <c r="EC28" s="1947"/>
      <c r="ED28" s="1947"/>
      <c r="EE28" s="1947"/>
      <c r="EF28" s="1947"/>
      <c r="EG28" s="1947"/>
      <c r="EH28" s="1947"/>
      <c r="EI28" s="1947"/>
      <c r="EJ28" s="1947"/>
      <c r="EK28" s="1947"/>
      <c r="EL28" s="1947"/>
      <c r="EM28" s="1947"/>
      <c r="EN28" s="1947"/>
      <c r="EO28" s="1947"/>
      <c r="EP28" s="1947"/>
      <c r="EQ28" s="1947"/>
      <c r="ER28" s="1947"/>
      <c r="ES28" s="1947"/>
      <c r="ET28" s="1947"/>
      <c r="EU28" s="1947"/>
      <c r="EV28" s="1947"/>
      <c r="EW28" s="1947"/>
      <c r="EX28" s="1947"/>
      <c r="EY28" s="1947"/>
      <c r="EZ28" s="1947"/>
      <c r="FA28" s="1947"/>
      <c r="FB28" s="1947"/>
    </row>
    <row r="29" spans="1:158" s="1946" customFormat="1" ht="12" hidden="1" customHeight="1" outlineLevel="1" x14ac:dyDescent="0.2">
      <c r="A29" s="1951" t="s">
        <v>885</v>
      </c>
      <c r="B29" s="1952" t="e">
        <v>#NAME?</v>
      </c>
      <c r="C29" s="1948"/>
      <c r="D29" s="1948"/>
      <c r="E29" s="1948"/>
      <c r="F29" s="1948"/>
      <c r="G29" s="1948"/>
      <c r="H29" s="1948"/>
      <c r="I29" s="1948"/>
      <c r="J29" s="1948"/>
      <c r="K29" s="1948"/>
      <c r="L29" s="1948"/>
      <c r="M29" s="1948"/>
      <c r="N29" s="1948"/>
      <c r="O29" s="1948"/>
      <c r="P29" s="1948"/>
      <c r="Q29" s="1948"/>
      <c r="R29" s="1948"/>
      <c r="S29" s="1948"/>
      <c r="T29" s="1948"/>
      <c r="U29" s="1948"/>
      <c r="V29" s="1948"/>
      <c r="W29" s="1948"/>
      <c r="X29" s="1948"/>
      <c r="Y29" s="1948"/>
      <c r="Z29" s="1948"/>
      <c r="AA29" s="1948"/>
      <c r="AB29" s="1948"/>
      <c r="AC29" s="1948"/>
      <c r="AD29" s="1948"/>
      <c r="AE29" s="1948"/>
      <c r="AF29" s="1948"/>
      <c r="AG29" s="1948"/>
      <c r="AH29" s="1948"/>
      <c r="AI29" s="1948"/>
      <c r="AJ29" s="1948"/>
      <c r="AK29" s="1948"/>
      <c r="AL29" s="1948"/>
      <c r="AM29" s="1948"/>
      <c r="AN29" s="1948"/>
      <c r="AO29" s="1948"/>
      <c r="AP29" s="1948"/>
      <c r="AQ29" s="1948"/>
      <c r="AR29" s="1948"/>
      <c r="AS29" s="1948"/>
      <c r="AT29" s="1948"/>
      <c r="AU29" s="1948"/>
      <c r="AV29" s="1948"/>
      <c r="AW29" s="1948"/>
      <c r="AX29" s="1948"/>
      <c r="AY29" s="1948"/>
      <c r="AZ29" s="1952"/>
      <c r="BA29" s="1952"/>
      <c r="BB29" s="1952"/>
      <c r="BC29" s="1952"/>
      <c r="BD29" s="1952"/>
      <c r="BE29" s="1948"/>
      <c r="BF29" s="1948"/>
      <c r="BG29" s="1952"/>
      <c r="BH29" s="1952"/>
      <c r="BI29" s="1952"/>
      <c r="BJ29" s="1952"/>
      <c r="BK29" s="1948"/>
      <c r="BL29" s="1948"/>
      <c r="BM29" s="1952"/>
      <c r="BN29" s="1948"/>
      <c r="BO29" s="1948"/>
      <c r="BP29" s="1948"/>
      <c r="BQ29" s="1948"/>
      <c r="BR29" s="1952"/>
      <c r="BS29" s="1948"/>
      <c r="BT29" s="1952"/>
      <c r="BU29" s="1948"/>
      <c r="BV29" s="1948"/>
      <c r="BW29" s="1948"/>
      <c r="BX29" s="1948"/>
      <c r="BY29" s="1948"/>
      <c r="BZ29" s="1948"/>
      <c r="CA29" s="1948"/>
      <c r="CB29" s="1948"/>
      <c r="CC29" s="1948"/>
      <c r="CD29" s="1948"/>
      <c r="CE29" s="1948"/>
      <c r="CF29" s="1948"/>
      <c r="CG29" s="1948"/>
      <c r="CH29" s="1948"/>
      <c r="CI29" s="1948"/>
      <c r="CJ29" s="1948"/>
      <c r="CK29" s="1948"/>
      <c r="CL29" s="1948"/>
      <c r="CM29" s="1948"/>
      <c r="CN29" s="1948"/>
      <c r="CO29" s="1948"/>
      <c r="CP29" s="1948"/>
      <c r="CQ29" s="1948"/>
      <c r="CR29" s="1948"/>
      <c r="CS29" s="1948"/>
      <c r="CT29" s="1948"/>
      <c r="CU29" s="1948"/>
      <c r="CV29" s="1948"/>
      <c r="CW29" s="1948"/>
      <c r="CX29" s="1948"/>
      <c r="CY29" s="1948"/>
      <c r="CZ29" s="1948"/>
      <c r="DA29" s="1948"/>
      <c r="DB29" s="1948"/>
      <c r="DC29" s="1947"/>
      <c r="DD29" s="1947"/>
      <c r="DE29" s="1947"/>
      <c r="DF29" s="1947"/>
      <c r="DG29" s="1947"/>
      <c r="DH29" s="1947"/>
      <c r="DI29" s="1947"/>
      <c r="DJ29" s="1947"/>
      <c r="DK29" s="1947"/>
      <c r="DL29" s="1947"/>
      <c r="DM29" s="1947"/>
      <c r="DN29" s="1947"/>
      <c r="DO29" s="1947"/>
      <c r="DP29" s="1947"/>
      <c r="DQ29" s="1947"/>
      <c r="DR29" s="1947"/>
      <c r="DS29" s="1947"/>
      <c r="DT29" s="1947"/>
      <c r="DU29" s="1947"/>
      <c r="DV29" s="1947"/>
      <c r="DW29" s="1947"/>
      <c r="DX29" s="1947"/>
      <c r="DY29" s="1947"/>
      <c r="DZ29" s="1947"/>
      <c r="EA29" s="1947"/>
      <c r="EB29" s="1947"/>
      <c r="EC29" s="1947"/>
      <c r="ED29" s="1947"/>
      <c r="EE29" s="1947"/>
      <c r="EF29" s="1947"/>
      <c r="EG29" s="1947"/>
      <c r="EH29" s="1947"/>
      <c r="EI29" s="1947"/>
      <c r="EJ29" s="1947"/>
      <c r="EK29" s="1947"/>
      <c r="EL29" s="1947"/>
      <c r="EM29" s="1947"/>
      <c r="EN29" s="1947"/>
      <c r="EO29" s="1947"/>
      <c r="EP29" s="1947"/>
      <c r="EQ29" s="1947"/>
      <c r="ER29" s="1947"/>
      <c r="ES29" s="1947"/>
      <c r="ET29" s="1947"/>
      <c r="EU29" s="1947"/>
      <c r="EV29" s="1947"/>
      <c r="EW29" s="1947"/>
      <c r="EX29" s="1947"/>
      <c r="EY29" s="1947"/>
      <c r="EZ29" s="1947"/>
      <c r="FA29" s="1947"/>
      <c r="FB29" s="1947"/>
    </row>
    <row r="30" spans="1:158" s="1946" customFormat="1" ht="12" hidden="1" customHeight="1" outlineLevel="1" x14ac:dyDescent="0.2">
      <c r="A30" s="1951" t="s">
        <v>886</v>
      </c>
      <c r="B30" s="1952" t="s">
        <v>887</v>
      </c>
      <c r="C30" s="1948"/>
      <c r="D30" s="1948"/>
      <c r="E30" s="1948"/>
      <c r="F30" s="1948"/>
      <c r="G30" s="1948"/>
      <c r="H30" s="1948"/>
      <c r="I30" s="1948"/>
      <c r="J30" s="1948"/>
      <c r="K30" s="1948"/>
      <c r="L30" s="1948"/>
      <c r="M30" s="1948"/>
      <c r="N30" s="1948"/>
      <c r="O30" s="1948"/>
      <c r="P30" s="1948"/>
      <c r="Q30" s="1948"/>
      <c r="R30" s="1948"/>
      <c r="S30" s="1948"/>
      <c r="T30" s="1948"/>
      <c r="U30" s="1948"/>
      <c r="V30" s="1948"/>
      <c r="W30" s="1948"/>
      <c r="X30" s="1948"/>
      <c r="Y30" s="1948"/>
      <c r="Z30" s="1948"/>
      <c r="AA30" s="1948"/>
      <c r="AB30" s="1948"/>
      <c r="AC30" s="1948"/>
      <c r="AD30" s="1948"/>
      <c r="AE30" s="1948"/>
      <c r="AF30" s="1948"/>
      <c r="AG30" s="1948"/>
      <c r="AH30" s="1948"/>
      <c r="AI30" s="1948"/>
      <c r="AJ30" s="1948"/>
      <c r="AK30" s="1948"/>
      <c r="AL30" s="1948"/>
      <c r="AM30" s="1948"/>
      <c r="AN30" s="1948"/>
      <c r="AO30" s="1948"/>
      <c r="AP30" s="1948"/>
      <c r="AQ30" s="1948"/>
      <c r="AR30" s="1948"/>
      <c r="AS30" s="1948"/>
      <c r="AT30" s="1948"/>
      <c r="AU30" s="1948"/>
      <c r="AV30" s="1948"/>
      <c r="AW30" s="1948"/>
      <c r="AX30" s="1948"/>
      <c r="AY30" s="1948"/>
      <c r="AZ30" s="1952"/>
      <c r="BA30" s="1952"/>
      <c r="BB30" s="1952"/>
      <c r="BC30" s="1952"/>
      <c r="BD30" s="1952"/>
      <c r="BE30" s="1948"/>
      <c r="BF30" s="1948"/>
      <c r="BG30" s="1952"/>
      <c r="BH30" s="1952"/>
      <c r="BI30" s="1952"/>
      <c r="BJ30" s="1952"/>
      <c r="BK30" s="1948"/>
      <c r="BL30" s="1948"/>
      <c r="BM30" s="1952"/>
      <c r="BN30" s="1948"/>
      <c r="BO30" s="1948"/>
      <c r="BP30" s="1948"/>
      <c r="BQ30" s="1948"/>
      <c r="BR30" s="1952"/>
      <c r="BS30" s="1948"/>
      <c r="BT30" s="1952"/>
      <c r="BU30" s="1948"/>
      <c r="BV30" s="1948"/>
      <c r="BW30" s="1948"/>
      <c r="BX30" s="1948"/>
      <c r="BY30" s="1948"/>
      <c r="BZ30" s="1948"/>
      <c r="CA30" s="1948"/>
      <c r="CB30" s="1948"/>
      <c r="CC30" s="1948"/>
      <c r="CD30" s="1948"/>
      <c r="CE30" s="1948"/>
      <c r="CF30" s="1948"/>
      <c r="CG30" s="1948"/>
      <c r="CH30" s="1948"/>
      <c r="CI30" s="1948"/>
      <c r="CJ30" s="1948"/>
      <c r="CK30" s="1948"/>
      <c r="CL30" s="1948"/>
      <c r="CM30" s="1948"/>
      <c r="CN30" s="1948"/>
      <c r="CO30" s="1948"/>
      <c r="CP30" s="1948"/>
      <c r="CQ30" s="1948"/>
      <c r="CR30" s="1948"/>
      <c r="CS30" s="1948"/>
      <c r="CT30" s="1948"/>
      <c r="CU30" s="1948"/>
      <c r="CV30" s="1948"/>
      <c r="CW30" s="1948"/>
      <c r="CX30" s="1948"/>
      <c r="CY30" s="1948"/>
      <c r="CZ30" s="1948"/>
      <c r="DA30" s="1948"/>
      <c r="DB30" s="1948"/>
      <c r="DC30" s="1947"/>
      <c r="DD30" s="1947"/>
      <c r="DE30" s="1947"/>
      <c r="DF30" s="1947"/>
      <c r="DG30" s="1947"/>
      <c r="DH30" s="1947"/>
      <c r="DI30" s="1947"/>
      <c r="DJ30" s="1947"/>
      <c r="DK30" s="1947"/>
      <c r="DL30" s="1947"/>
      <c r="DM30" s="1947"/>
      <c r="DN30" s="1947"/>
      <c r="DO30" s="1947"/>
      <c r="DP30" s="1947"/>
      <c r="DQ30" s="1947"/>
      <c r="DR30" s="1947"/>
      <c r="DS30" s="1947"/>
      <c r="DT30" s="1947"/>
      <c r="DU30" s="1947"/>
      <c r="DV30" s="1947"/>
      <c r="DW30" s="1947"/>
      <c r="DX30" s="1947"/>
      <c r="DY30" s="1947"/>
      <c r="DZ30" s="1947"/>
      <c r="EA30" s="1947"/>
      <c r="EB30" s="1947"/>
      <c r="EC30" s="1947"/>
      <c r="ED30" s="1947"/>
      <c r="EE30" s="1947"/>
      <c r="EF30" s="1947"/>
      <c r="EG30" s="1947"/>
      <c r="EH30" s="1947"/>
      <c r="EI30" s="1947"/>
      <c r="EJ30" s="1947"/>
      <c r="EK30" s="1947"/>
      <c r="EL30" s="1947"/>
      <c r="EM30" s="1947"/>
      <c r="EN30" s="1947"/>
      <c r="EO30" s="1947"/>
      <c r="EP30" s="1947"/>
      <c r="EQ30" s="1947"/>
      <c r="ER30" s="1947"/>
      <c r="ES30" s="1947"/>
      <c r="ET30" s="1947"/>
      <c r="EU30" s="1947"/>
      <c r="EV30" s="1947"/>
      <c r="EW30" s="1947"/>
      <c r="EX30" s="1947"/>
      <c r="EY30" s="1947"/>
      <c r="EZ30" s="1947"/>
      <c r="FA30" s="1947"/>
      <c r="FB30" s="1947"/>
    </row>
    <row r="31" spans="1:158" s="1946" customFormat="1" ht="12" hidden="1" customHeight="1" outlineLevel="1" x14ac:dyDescent="0.2">
      <c r="A31" s="1951" t="s">
        <v>888</v>
      </c>
      <c r="B31" s="1952" t="s">
        <v>889</v>
      </c>
      <c r="C31" s="1948"/>
      <c r="D31" s="1948"/>
      <c r="E31" s="1948"/>
      <c r="F31" s="1948"/>
      <c r="G31" s="1948"/>
      <c r="H31" s="1948"/>
      <c r="I31" s="1948"/>
      <c r="J31" s="1948"/>
      <c r="K31" s="1948"/>
      <c r="L31" s="1948"/>
      <c r="M31" s="1948"/>
      <c r="N31" s="1948"/>
      <c r="O31" s="1948"/>
      <c r="P31" s="1948"/>
      <c r="Q31" s="1948"/>
      <c r="R31" s="1948"/>
      <c r="S31" s="1948"/>
      <c r="T31" s="1948"/>
      <c r="U31" s="1948"/>
      <c r="V31" s="1948"/>
      <c r="W31" s="1948"/>
      <c r="X31" s="1948"/>
      <c r="Y31" s="1948"/>
      <c r="Z31" s="1948"/>
      <c r="AA31" s="1948"/>
      <c r="AB31" s="1948"/>
      <c r="AC31" s="1948"/>
      <c r="AD31" s="1948"/>
      <c r="AE31" s="1948"/>
      <c r="AF31" s="1948"/>
      <c r="AG31" s="1948"/>
      <c r="AH31" s="1948"/>
      <c r="AI31" s="1948"/>
      <c r="AJ31" s="1948"/>
      <c r="AK31" s="1948"/>
      <c r="AL31" s="1948"/>
      <c r="AM31" s="1948"/>
      <c r="AN31" s="1948"/>
      <c r="AO31" s="1948"/>
      <c r="AP31" s="1948"/>
      <c r="AQ31" s="1948"/>
      <c r="AR31" s="1948"/>
      <c r="AS31" s="1948"/>
      <c r="AT31" s="1948"/>
      <c r="AU31" s="1948"/>
      <c r="AV31" s="1948"/>
      <c r="AW31" s="1948"/>
      <c r="AX31" s="1948"/>
      <c r="AY31" s="1948"/>
      <c r="AZ31" s="1952"/>
      <c r="BA31" s="1952"/>
      <c r="BB31" s="1952"/>
      <c r="BC31" s="1952"/>
      <c r="BD31" s="1952"/>
      <c r="BE31" s="1948"/>
      <c r="BF31" s="1948"/>
      <c r="BG31" s="1952"/>
      <c r="BH31" s="1952"/>
      <c r="BI31" s="1952"/>
      <c r="BJ31" s="1952"/>
      <c r="BK31" s="1948"/>
      <c r="BL31" s="1948"/>
      <c r="BM31" s="1952"/>
      <c r="BN31" s="1948"/>
      <c r="BO31" s="1948"/>
      <c r="BP31" s="1948"/>
      <c r="BQ31" s="1948"/>
      <c r="BR31" s="1952"/>
      <c r="BS31" s="1948"/>
      <c r="BT31" s="1952"/>
      <c r="BU31" s="1948"/>
      <c r="BV31" s="1948"/>
      <c r="BW31" s="1948"/>
      <c r="BX31" s="1948"/>
      <c r="BY31" s="1948"/>
      <c r="BZ31" s="1948"/>
      <c r="CA31" s="1948"/>
      <c r="CB31" s="1948"/>
      <c r="CC31" s="1948"/>
      <c r="CD31" s="1948"/>
      <c r="CE31" s="1948"/>
      <c r="CF31" s="1948"/>
      <c r="CG31" s="1948"/>
      <c r="CH31" s="1948"/>
      <c r="CI31" s="1948"/>
      <c r="CJ31" s="1948"/>
      <c r="CK31" s="1948"/>
      <c r="CL31" s="1948"/>
      <c r="CM31" s="1948"/>
      <c r="CN31" s="1948"/>
      <c r="CO31" s="1948"/>
      <c r="CP31" s="1948"/>
      <c r="CQ31" s="1948"/>
      <c r="CR31" s="1948"/>
      <c r="CS31" s="1948"/>
      <c r="CT31" s="1948"/>
      <c r="CU31" s="1948"/>
      <c r="CV31" s="1948"/>
      <c r="CW31" s="1948"/>
      <c r="CX31" s="1948"/>
      <c r="CY31" s="1948"/>
      <c r="CZ31" s="1948"/>
      <c r="DA31" s="1948"/>
      <c r="DB31" s="1948"/>
      <c r="DC31" s="1947"/>
      <c r="DD31" s="1947"/>
      <c r="DE31" s="1947"/>
      <c r="DF31" s="1947"/>
      <c r="DG31" s="1947"/>
      <c r="DH31" s="1947"/>
      <c r="DI31" s="1947"/>
      <c r="DJ31" s="1947"/>
      <c r="DK31" s="1947"/>
      <c r="DL31" s="1947"/>
      <c r="DM31" s="1947"/>
      <c r="DN31" s="1947"/>
      <c r="DO31" s="1947"/>
      <c r="DP31" s="1947"/>
      <c r="DQ31" s="1947"/>
      <c r="DR31" s="1947"/>
      <c r="DS31" s="1947"/>
      <c r="DT31" s="1947"/>
      <c r="DU31" s="1947"/>
      <c r="DV31" s="1947"/>
      <c r="DW31" s="1947"/>
      <c r="DX31" s="1947"/>
      <c r="DY31" s="1947"/>
      <c r="DZ31" s="1947"/>
      <c r="EA31" s="1947"/>
      <c r="EB31" s="1947"/>
      <c r="EC31" s="1947"/>
      <c r="ED31" s="1947"/>
      <c r="EE31" s="1947"/>
      <c r="EF31" s="1947"/>
      <c r="EG31" s="1947"/>
      <c r="EH31" s="1947"/>
      <c r="EI31" s="1947"/>
      <c r="EJ31" s="1947"/>
      <c r="EK31" s="1947"/>
      <c r="EL31" s="1947"/>
      <c r="EM31" s="1947"/>
      <c r="EN31" s="1947"/>
      <c r="EO31" s="1947"/>
      <c r="EP31" s="1947"/>
      <c r="EQ31" s="1947"/>
      <c r="ER31" s="1947"/>
      <c r="ES31" s="1947"/>
      <c r="ET31" s="1947"/>
      <c r="EU31" s="1947"/>
      <c r="EV31" s="1947"/>
      <c r="EW31" s="1947"/>
      <c r="EX31" s="1947"/>
      <c r="EY31" s="1947"/>
      <c r="EZ31" s="1947"/>
      <c r="FA31" s="1947"/>
      <c r="FB31" s="1947"/>
    </row>
    <row r="32" spans="1:158" s="1946" customFormat="1" ht="12" hidden="1" customHeight="1" outlineLevel="1" x14ac:dyDescent="0.2">
      <c r="A32" s="1951" t="s">
        <v>890</v>
      </c>
      <c r="B32" s="1952" t="s">
        <v>724</v>
      </c>
      <c r="C32" s="1948"/>
      <c r="D32" s="1948"/>
      <c r="E32" s="1948"/>
      <c r="F32" s="1948"/>
      <c r="G32" s="1948"/>
      <c r="H32" s="1948"/>
      <c r="I32" s="1948"/>
      <c r="J32" s="1948"/>
      <c r="K32" s="1948"/>
      <c r="L32" s="1948"/>
      <c r="M32" s="1948"/>
      <c r="N32" s="1948"/>
      <c r="O32" s="1948"/>
      <c r="P32" s="1948"/>
      <c r="Q32" s="1948"/>
      <c r="R32" s="1948"/>
      <c r="S32" s="1948"/>
      <c r="T32" s="1948"/>
      <c r="U32" s="1948"/>
      <c r="V32" s="1948"/>
      <c r="W32" s="1948"/>
      <c r="X32" s="1948"/>
      <c r="Y32" s="1948"/>
      <c r="Z32" s="1948"/>
      <c r="AA32" s="1948"/>
      <c r="AB32" s="1948"/>
      <c r="AC32" s="1948"/>
      <c r="AD32" s="1948"/>
      <c r="AE32" s="1948"/>
      <c r="AF32" s="1948"/>
      <c r="AG32" s="1948"/>
      <c r="AH32" s="1948"/>
      <c r="AI32" s="1948"/>
      <c r="AJ32" s="1948"/>
      <c r="AK32" s="1948"/>
      <c r="AL32" s="1948"/>
      <c r="AM32" s="1948"/>
      <c r="AN32" s="1948"/>
      <c r="AO32" s="1948"/>
      <c r="AP32" s="1948"/>
      <c r="AQ32" s="1948"/>
      <c r="AR32" s="1948"/>
      <c r="AS32" s="1948"/>
      <c r="AT32" s="1948"/>
      <c r="AU32" s="1948"/>
      <c r="AV32" s="1948"/>
      <c r="AW32" s="1948"/>
      <c r="AX32" s="1948"/>
      <c r="AY32" s="1948"/>
      <c r="AZ32" s="1952"/>
      <c r="BA32" s="1952"/>
      <c r="BB32" s="1952"/>
      <c r="BC32" s="1952"/>
      <c r="BD32" s="1952"/>
      <c r="BE32" s="1948"/>
      <c r="BF32" s="1948"/>
      <c r="BG32" s="1952"/>
      <c r="BH32" s="1952"/>
      <c r="BI32" s="1952"/>
      <c r="BJ32" s="1952"/>
      <c r="BK32" s="1948"/>
      <c r="BL32" s="1948"/>
      <c r="BM32" s="1952"/>
      <c r="BN32" s="1948"/>
      <c r="BO32" s="1948"/>
      <c r="BP32" s="1948"/>
      <c r="BQ32" s="1948"/>
      <c r="BR32" s="1952"/>
      <c r="BS32" s="1948"/>
      <c r="BT32" s="1952"/>
      <c r="BU32" s="1948"/>
      <c r="BV32" s="1948"/>
      <c r="BW32" s="1948"/>
      <c r="BX32" s="1948"/>
      <c r="BY32" s="1948"/>
      <c r="BZ32" s="1948"/>
      <c r="CA32" s="1948"/>
      <c r="CB32" s="1948"/>
      <c r="CC32" s="1948"/>
      <c r="CD32" s="1948"/>
      <c r="CE32" s="1948"/>
      <c r="CF32" s="1948"/>
      <c r="CG32" s="1948"/>
      <c r="CH32" s="1948"/>
      <c r="CI32" s="1948"/>
      <c r="CJ32" s="1948"/>
      <c r="CK32" s="1948"/>
      <c r="CL32" s="1948"/>
      <c r="CM32" s="1948"/>
      <c r="CN32" s="1948"/>
      <c r="CO32" s="1948"/>
      <c r="CP32" s="1948"/>
      <c r="CQ32" s="1948"/>
      <c r="CR32" s="1948"/>
      <c r="CS32" s="1948"/>
      <c r="CT32" s="1948"/>
      <c r="CU32" s="1948"/>
      <c r="CV32" s="1948"/>
      <c r="CW32" s="1948"/>
      <c r="CX32" s="1948"/>
      <c r="CY32" s="1948"/>
      <c r="CZ32" s="1948"/>
      <c r="DA32" s="1948"/>
      <c r="DB32" s="1948"/>
      <c r="DC32" s="1947"/>
      <c r="DD32" s="1947"/>
      <c r="DE32" s="1947"/>
      <c r="DF32" s="1947"/>
      <c r="DG32" s="1947"/>
      <c r="DH32" s="1947"/>
      <c r="DI32" s="1947"/>
      <c r="DJ32" s="1947"/>
      <c r="DK32" s="1947"/>
      <c r="DL32" s="1947"/>
      <c r="DM32" s="1947"/>
      <c r="DN32" s="1947"/>
      <c r="DO32" s="1947"/>
      <c r="DP32" s="1947"/>
      <c r="DQ32" s="1947"/>
      <c r="DR32" s="1947"/>
      <c r="DS32" s="1947"/>
      <c r="DT32" s="1947"/>
      <c r="DU32" s="1947"/>
      <c r="DV32" s="1947"/>
      <c r="DW32" s="1947"/>
      <c r="DX32" s="1947"/>
      <c r="DY32" s="1947"/>
      <c r="DZ32" s="1947"/>
      <c r="EA32" s="1947"/>
      <c r="EB32" s="1947"/>
      <c r="EC32" s="1947"/>
      <c r="ED32" s="1947"/>
      <c r="EE32" s="1947"/>
      <c r="EF32" s="1947"/>
      <c r="EG32" s="1947"/>
      <c r="EH32" s="1947"/>
      <c r="EI32" s="1947"/>
      <c r="EJ32" s="1947"/>
      <c r="EK32" s="1947"/>
      <c r="EL32" s="1947"/>
      <c r="EM32" s="1947"/>
      <c r="EN32" s="1947"/>
      <c r="EO32" s="1947"/>
      <c r="EP32" s="1947"/>
      <c r="EQ32" s="1947"/>
      <c r="ER32" s="1947"/>
      <c r="ES32" s="1947"/>
      <c r="ET32" s="1947"/>
      <c r="EU32" s="1947"/>
      <c r="EV32" s="1947"/>
      <c r="EW32" s="1947"/>
      <c r="EX32" s="1947"/>
      <c r="EY32" s="1947"/>
      <c r="EZ32" s="1947"/>
      <c r="FA32" s="1947"/>
      <c r="FB32" s="1947"/>
    </row>
    <row r="33" spans="1:158" s="1946" customFormat="1" ht="12" hidden="1" customHeight="1" outlineLevel="1" x14ac:dyDescent="0.2">
      <c r="A33" s="1951" t="s">
        <v>891</v>
      </c>
      <c r="B33" s="1952" t="s">
        <v>1346</v>
      </c>
      <c r="C33" s="1948"/>
      <c r="D33" s="1952"/>
      <c r="E33" s="1948"/>
      <c r="F33" s="1952"/>
      <c r="G33" s="1952"/>
      <c r="H33" s="1948"/>
      <c r="I33" s="1952"/>
      <c r="J33" s="1948"/>
      <c r="K33" s="1952"/>
      <c r="L33" s="1948"/>
      <c r="M33" s="1952"/>
      <c r="N33" s="1948"/>
      <c r="O33" s="1952"/>
      <c r="P33" s="1948"/>
      <c r="Q33" s="1952"/>
      <c r="R33" s="1948"/>
      <c r="S33" s="1952"/>
      <c r="T33" s="1948"/>
      <c r="U33" s="1952"/>
      <c r="V33" s="1948"/>
      <c r="W33" s="1952"/>
      <c r="X33" s="1948"/>
      <c r="Y33" s="1952"/>
      <c r="Z33" s="1948"/>
      <c r="AA33" s="1952"/>
      <c r="AB33" s="1948"/>
      <c r="AC33" s="1948"/>
      <c r="AD33" s="1948"/>
      <c r="AE33" s="1948"/>
      <c r="AF33" s="1948"/>
      <c r="AG33" s="1948"/>
      <c r="AH33" s="1948"/>
      <c r="AI33" s="1948"/>
      <c r="AJ33" s="1948"/>
      <c r="AK33" s="1948"/>
      <c r="AL33" s="1948"/>
      <c r="AM33" s="1948"/>
      <c r="AN33" s="1948"/>
      <c r="AO33" s="1948"/>
      <c r="AP33" s="1948"/>
      <c r="AQ33" s="1948"/>
      <c r="AR33" s="1948"/>
      <c r="AS33" s="1948"/>
      <c r="AT33" s="1948"/>
      <c r="AU33" s="1948"/>
      <c r="AV33" s="1948"/>
      <c r="AW33" s="1948"/>
      <c r="AX33" s="1948"/>
      <c r="AY33" s="1948"/>
      <c r="AZ33" s="1952"/>
      <c r="BA33" s="1952"/>
      <c r="BB33" s="1952"/>
      <c r="BC33" s="1952"/>
      <c r="BD33" s="1952"/>
      <c r="BE33" s="1948"/>
      <c r="BF33" s="1952"/>
      <c r="BG33" s="1952"/>
      <c r="BH33" s="1952"/>
      <c r="BI33" s="1952"/>
      <c r="BJ33" s="1952"/>
      <c r="BK33" s="1948"/>
      <c r="BL33" s="1952"/>
      <c r="BM33" s="1952"/>
      <c r="BN33" s="1948"/>
      <c r="BO33" s="1952"/>
      <c r="BP33" s="1948"/>
      <c r="BQ33" s="1952"/>
      <c r="BR33" s="1952"/>
      <c r="BS33" s="1948"/>
      <c r="BT33" s="1952"/>
      <c r="BU33" s="1948"/>
      <c r="BV33" s="1952"/>
      <c r="BW33" s="1948"/>
      <c r="BX33" s="1952"/>
      <c r="BY33" s="1948"/>
      <c r="BZ33" s="1952"/>
      <c r="CA33" s="1948"/>
      <c r="CB33" s="1952"/>
      <c r="CC33" s="1948"/>
      <c r="CD33" s="1952"/>
      <c r="CE33" s="1948"/>
      <c r="CF33" s="1952"/>
      <c r="CG33" s="1948"/>
      <c r="CH33" s="1952"/>
      <c r="CI33" s="1948"/>
      <c r="CJ33" s="1952"/>
      <c r="CK33" s="1948"/>
      <c r="CL33" s="1948"/>
      <c r="CM33" s="1948"/>
      <c r="CN33" s="1948"/>
      <c r="CO33" s="1948"/>
      <c r="CP33" s="1948"/>
      <c r="CQ33" s="1948"/>
      <c r="CR33" s="1948"/>
      <c r="CS33" s="1948"/>
      <c r="CT33" s="1948"/>
      <c r="CU33" s="1948"/>
      <c r="CV33" s="1948"/>
      <c r="CW33" s="1948"/>
      <c r="CX33" s="1948"/>
      <c r="CY33" s="1948"/>
      <c r="CZ33" s="1948"/>
      <c r="DA33" s="1948"/>
      <c r="DB33" s="1948"/>
      <c r="DC33" s="1947"/>
      <c r="DD33" s="1947"/>
      <c r="DE33" s="1947"/>
      <c r="DF33" s="1947"/>
      <c r="DG33" s="1947"/>
      <c r="DH33" s="1947"/>
      <c r="DI33" s="1947"/>
      <c r="DJ33" s="1947"/>
      <c r="DK33" s="1947"/>
      <c r="DL33" s="1947"/>
      <c r="DM33" s="1947"/>
      <c r="DN33" s="1947"/>
      <c r="DO33" s="1947"/>
      <c r="DP33" s="1947"/>
      <c r="DQ33" s="1947"/>
      <c r="DR33" s="1947"/>
      <c r="DS33" s="1947"/>
      <c r="DT33" s="1947"/>
      <c r="DU33" s="1947"/>
      <c r="DV33" s="1947"/>
      <c r="DW33" s="1947"/>
      <c r="DX33" s="1947"/>
      <c r="DY33" s="1947"/>
      <c r="DZ33" s="1947"/>
      <c r="EA33" s="1947"/>
      <c r="EB33" s="1947"/>
      <c r="EC33" s="1947"/>
      <c r="ED33" s="1947"/>
      <c r="EE33" s="1947"/>
      <c r="EF33" s="1947"/>
      <c r="EG33" s="1947"/>
      <c r="EH33" s="1947"/>
      <c r="EI33" s="1947"/>
      <c r="EJ33" s="1947"/>
      <c r="EK33" s="1947"/>
      <c r="EL33" s="1947"/>
      <c r="EM33" s="1947"/>
      <c r="EN33" s="1947"/>
      <c r="EO33" s="1947"/>
      <c r="EP33" s="1947"/>
      <c r="EQ33" s="1947"/>
      <c r="ER33" s="1947"/>
      <c r="ES33" s="1947"/>
      <c r="ET33" s="1947"/>
      <c r="EU33" s="1947"/>
      <c r="EV33" s="1947"/>
      <c r="EW33" s="1947"/>
      <c r="EX33" s="1947"/>
      <c r="EY33" s="1947"/>
      <c r="EZ33" s="1947"/>
      <c r="FA33" s="1947"/>
      <c r="FB33" s="1947"/>
    </row>
    <row r="34" spans="1:158" s="1946" customFormat="1" ht="12" hidden="1" customHeight="1" outlineLevel="1" x14ac:dyDescent="0.2">
      <c r="A34" s="1951" t="s">
        <v>893</v>
      </c>
      <c r="B34" s="1952" t="s">
        <v>724</v>
      </c>
      <c r="C34" s="1948"/>
      <c r="D34" s="1952"/>
      <c r="E34" s="1948"/>
      <c r="F34" s="1952"/>
      <c r="G34" s="1952"/>
      <c r="H34" s="1948"/>
      <c r="I34" s="1952"/>
      <c r="J34" s="1948"/>
      <c r="K34" s="1952"/>
      <c r="L34" s="1948"/>
      <c r="M34" s="1952"/>
      <c r="N34" s="1948"/>
      <c r="O34" s="1952"/>
      <c r="P34" s="1948"/>
      <c r="Q34" s="1952"/>
      <c r="R34" s="1948"/>
      <c r="S34" s="1952"/>
      <c r="T34" s="1948"/>
      <c r="U34" s="1952"/>
      <c r="V34" s="1948"/>
      <c r="W34" s="1952"/>
      <c r="X34" s="1948"/>
      <c r="Y34" s="1952"/>
      <c r="Z34" s="1948"/>
      <c r="AA34" s="1952"/>
      <c r="AB34" s="1948"/>
      <c r="AC34" s="1948"/>
      <c r="AD34" s="1948"/>
      <c r="AE34" s="1948"/>
      <c r="AF34" s="1948"/>
      <c r="AG34" s="1953"/>
      <c r="AH34" s="1953"/>
      <c r="AI34" s="1953"/>
      <c r="AJ34" s="1953"/>
      <c r="AK34" s="1953"/>
      <c r="AL34" s="1953"/>
      <c r="AM34" s="1953"/>
      <c r="AN34" s="1953"/>
      <c r="AO34" s="1953"/>
      <c r="AP34" s="1953"/>
      <c r="AQ34" s="1953"/>
      <c r="AR34" s="1953"/>
      <c r="AS34" s="1948"/>
      <c r="AT34" s="1948"/>
      <c r="AU34" s="1948"/>
      <c r="AV34" s="1948"/>
      <c r="AW34" s="1948"/>
      <c r="AX34" s="1948"/>
      <c r="AY34" s="1948"/>
      <c r="AZ34" s="1952"/>
      <c r="BA34" s="1952"/>
      <c r="BB34" s="1952"/>
      <c r="BC34" s="1952"/>
      <c r="BD34" s="1952"/>
      <c r="BE34" s="1948"/>
      <c r="BF34" s="1952"/>
      <c r="BG34" s="1952"/>
      <c r="BH34" s="1952"/>
      <c r="BI34" s="1952"/>
      <c r="BJ34" s="1952"/>
      <c r="BK34" s="1948"/>
      <c r="BL34" s="1952"/>
      <c r="BM34" s="1952"/>
      <c r="BN34" s="1948"/>
      <c r="BO34" s="1952"/>
      <c r="BP34" s="1948"/>
      <c r="BQ34" s="1952"/>
      <c r="BR34" s="1952"/>
      <c r="BS34" s="1948"/>
      <c r="BT34" s="1952"/>
      <c r="BU34" s="1948"/>
      <c r="BV34" s="1952"/>
      <c r="BW34" s="1948"/>
      <c r="BX34" s="1952"/>
      <c r="BY34" s="1948"/>
      <c r="BZ34" s="1952"/>
      <c r="CA34" s="1948"/>
      <c r="CB34" s="1952"/>
      <c r="CC34" s="1953"/>
      <c r="CD34" s="1952"/>
      <c r="CE34" s="1953"/>
      <c r="CF34" s="1952"/>
      <c r="CG34" s="1948"/>
      <c r="CH34" s="1952"/>
      <c r="CI34" s="1953"/>
      <c r="CJ34" s="1952"/>
      <c r="CK34" s="1953"/>
      <c r="CL34" s="1952"/>
      <c r="CM34" s="1948"/>
      <c r="CN34" s="1948"/>
      <c r="CO34" s="1948"/>
      <c r="CP34" s="1948"/>
      <c r="CQ34" s="1948"/>
      <c r="CR34" s="1948"/>
      <c r="CS34" s="1948"/>
      <c r="CT34" s="1948"/>
      <c r="CU34" s="1948"/>
      <c r="CV34" s="1948"/>
      <c r="CW34" s="1948"/>
      <c r="CX34" s="1948"/>
      <c r="CY34" s="1948"/>
      <c r="CZ34" s="1948"/>
      <c r="DA34" s="1948"/>
      <c r="DB34" s="1948"/>
      <c r="DC34" s="1947"/>
      <c r="DD34" s="1947"/>
      <c r="DE34" s="1947"/>
      <c r="DF34" s="1947"/>
      <c r="DG34" s="1953"/>
      <c r="DH34" s="1947"/>
      <c r="DI34" s="1953"/>
      <c r="DJ34" s="1947"/>
      <c r="DK34" s="1953"/>
      <c r="DL34" s="1947"/>
      <c r="DM34" s="1947"/>
      <c r="DN34" s="1947"/>
      <c r="DO34" s="1947"/>
      <c r="DP34" s="1947"/>
      <c r="DQ34" s="1947"/>
      <c r="DR34" s="1947"/>
      <c r="DS34" s="1947"/>
      <c r="DT34" s="1947"/>
      <c r="DU34" s="1947"/>
      <c r="DV34" s="1947"/>
      <c r="DW34" s="1947"/>
      <c r="DX34" s="1947"/>
      <c r="DY34" s="1947"/>
      <c r="DZ34" s="1947"/>
      <c r="EA34" s="1947"/>
      <c r="EB34" s="1947"/>
      <c r="EC34" s="1947"/>
      <c r="ED34" s="1947"/>
      <c r="EE34" s="1947"/>
      <c r="EF34" s="1947"/>
      <c r="EG34" s="1947"/>
      <c r="EH34" s="1947"/>
      <c r="EI34" s="1947"/>
      <c r="EJ34" s="1947"/>
      <c r="EK34" s="1947"/>
      <c r="EL34" s="1947"/>
      <c r="EM34" s="1947"/>
      <c r="EN34" s="1947"/>
      <c r="EO34" s="1947"/>
      <c r="EP34" s="1947"/>
      <c r="EQ34" s="1947"/>
      <c r="ER34" s="1947"/>
      <c r="ES34" s="1947"/>
      <c r="ET34" s="1947"/>
      <c r="EU34" s="1947"/>
      <c r="EV34" s="1947"/>
      <c r="EW34" s="1947"/>
      <c r="EX34" s="1947"/>
      <c r="EY34" s="1947"/>
      <c r="EZ34" s="1947"/>
      <c r="FA34" s="1947"/>
      <c r="FB34" s="1947"/>
    </row>
    <row r="35" spans="1:158" ht="12" hidden="1" customHeight="1" outlineLevel="1" x14ac:dyDescent="0.2">
      <c r="A35" s="1951"/>
      <c r="B35" s="1951"/>
      <c r="C35" s="1951"/>
      <c r="D35" s="1951"/>
      <c r="E35" s="1951"/>
      <c r="F35" s="1951"/>
      <c r="G35" s="1951"/>
      <c r="H35" s="1951"/>
      <c r="I35" s="1951"/>
      <c r="J35" s="1951"/>
      <c r="K35" s="1951"/>
      <c r="L35" s="1951"/>
      <c r="M35" s="1951"/>
      <c r="N35" s="1951"/>
      <c r="O35" s="1951"/>
      <c r="P35" s="1951"/>
      <c r="Q35" s="1951"/>
      <c r="R35" s="1951"/>
      <c r="S35" s="1951"/>
      <c r="T35" s="1951"/>
      <c r="U35" s="1951"/>
      <c r="V35" s="1951"/>
      <c r="W35" s="1951"/>
      <c r="X35" s="1951"/>
      <c r="Y35" s="1951"/>
      <c r="Z35" s="1951"/>
      <c r="AA35" s="1951"/>
      <c r="AB35" s="1951"/>
      <c r="AC35" s="1951"/>
      <c r="AD35" s="1951"/>
      <c r="AE35" s="1951"/>
      <c r="AF35" s="1951"/>
      <c r="AG35" s="1951"/>
      <c r="AH35" s="1951"/>
      <c r="AI35" s="1951"/>
      <c r="AJ35" s="1951"/>
      <c r="AK35" s="1951"/>
      <c r="AL35" s="1951"/>
      <c r="AM35" s="1951"/>
      <c r="AN35" s="1951"/>
      <c r="AO35" s="1951"/>
      <c r="AP35" s="1951"/>
      <c r="AQ35" s="1951"/>
      <c r="AR35" s="1951"/>
      <c r="AS35" s="1951"/>
      <c r="AT35" s="1951"/>
      <c r="AU35" s="1951"/>
      <c r="AV35" s="1951"/>
      <c r="AW35" s="1951"/>
      <c r="AX35" s="1947"/>
      <c r="AY35" s="1947"/>
      <c r="AZ35" s="1951"/>
      <c r="BA35" s="1951"/>
      <c r="BB35" s="1957"/>
      <c r="BC35" s="1951"/>
      <c r="BD35" s="1951"/>
      <c r="BE35" s="1951"/>
      <c r="BF35" s="1951"/>
      <c r="BG35" s="1951"/>
      <c r="BH35" s="1951"/>
      <c r="BI35" s="1951"/>
      <c r="BJ35" s="1951"/>
      <c r="BK35" s="1951"/>
      <c r="BL35" s="1951"/>
      <c r="BM35" s="1951"/>
      <c r="BN35" s="1951"/>
      <c r="BO35" s="1951"/>
      <c r="BP35" s="1951"/>
      <c r="BQ35" s="1951"/>
      <c r="BR35" s="1951"/>
      <c r="BS35" s="1951"/>
      <c r="BT35" s="1951"/>
      <c r="BU35" s="1951"/>
      <c r="BV35" s="1951"/>
      <c r="BW35" s="1951"/>
      <c r="BX35" s="1951"/>
      <c r="BY35" s="1951"/>
      <c r="BZ35" s="1951"/>
      <c r="CA35" s="1951"/>
      <c r="CB35" s="1951"/>
      <c r="CC35" s="1951"/>
      <c r="CD35" s="1951"/>
      <c r="CE35" s="1951"/>
      <c r="CF35" s="1951"/>
      <c r="CG35" s="1951"/>
      <c r="CH35" s="1951"/>
      <c r="CI35" s="1951"/>
      <c r="CJ35" s="1951"/>
    </row>
    <row r="36" spans="1:158" ht="12.75" collapsed="1" x14ac:dyDescent="0.2">
      <c r="A36" s="1977" t="s">
        <v>894</v>
      </c>
      <c r="B36" s="1978" t="s">
        <v>1347</v>
      </c>
      <c r="C36" s="1977" t="s">
        <v>1348</v>
      </c>
      <c r="D36" s="1978" t="s">
        <v>1349</v>
      </c>
      <c r="E36" s="1977" t="s">
        <v>896</v>
      </c>
      <c r="F36" s="1979" t="s">
        <v>897</v>
      </c>
      <c r="G36" s="1979" t="s">
        <v>898</v>
      </c>
      <c r="H36" s="1979" t="s">
        <v>899</v>
      </c>
      <c r="I36" s="1979" t="s">
        <v>900</v>
      </c>
      <c r="J36" s="1953" t="s">
        <v>5465</v>
      </c>
    </row>
    <row r="37" spans="1:158" ht="12.75" hidden="1" outlineLevel="2" x14ac:dyDescent="0.2">
      <c r="A37" s="1980">
        <v>5000000</v>
      </c>
      <c r="B37" s="1980" t="s">
        <v>1350</v>
      </c>
      <c r="C37" s="1980" t="s">
        <v>1351</v>
      </c>
      <c r="D37" s="1980" t="s">
        <v>1352</v>
      </c>
      <c r="E37" s="1980" t="s">
        <v>1083</v>
      </c>
      <c r="F37" s="1962">
        <v>15317.42382</v>
      </c>
      <c r="G37" s="1962">
        <v>4150.0863244871543</v>
      </c>
      <c r="H37" s="1962">
        <v>1166.8673918827546</v>
      </c>
      <c r="I37" s="1962">
        <v>829.22959097820058</v>
      </c>
    </row>
    <row r="38" spans="1:158" ht="13.5" outlineLevel="1" collapsed="1" thickBot="1" x14ac:dyDescent="0.25">
      <c r="A38" s="1981" t="s">
        <v>1353</v>
      </c>
      <c r="B38" s="1981"/>
      <c r="C38" s="1981"/>
      <c r="D38" s="1981"/>
      <c r="E38" s="1981"/>
      <c r="F38" s="1965">
        <f t="shared" ref="F38:I38" si="0">SUBTOTAL(9,F37:F37)</f>
        <v>15317.42382</v>
      </c>
      <c r="G38" s="1965">
        <f t="shared" si="0"/>
        <v>4150.0863244871543</v>
      </c>
      <c r="H38" s="1965">
        <f t="shared" si="0"/>
        <v>1166.8673918827546</v>
      </c>
      <c r="I38" s="1965">
        <f t="shared" si="0"/>
        <v>829.22959097820058</v>
      </c>
      <c r="J38" s="1953" t="str">
        <f>LEFT(A38,3)&amp;"*"</f>
        <v>500*</v>
      </c>
    </row>
    <row r="39" spans="1:158" ht="12.75" hidden="1" outlineLevel="2" x14ac:dyDescent="0.2">
      <c r="A39" s="1982">
        <v>5001000</v>
      </c>
      <c r="B39" s="1982" t="s">
        <v>1350</v>
      </c>
      <c r="C39" s="1982" t="s">
        <v>1351</v>
      </c>
      <c r="D39" s="1982" t="s">
        <v>1352</v>
      </c>
      <c r="E39" s="1982" t="s">
        <v>1083</v>
      </c>
      <c r="F39" s="1968">
        <v>689.33130000000006</v>
      </c>
      <c r="G39" s="1962">
        <v>186.76668053250694</v>
      </c>
      <c r="H39" s="1962">
        <v>52.512630428355465</v>
      </c>
      <c r="I39" s="1962">
        <v>37.317888351506838</v>
      </c>
    </row>
    <row r="40" spans="1:158" ht="13.5" outlineLevel="1" collapsed="1" thickBot="1" x14ac:dyDescent="0.25">
      <c r="A40" s="1981" t="s">
        <v>1354</v>
      </c>
      <c r="B40" s="1981"/>
      <c r="C40" s="1981"/>
      <c r="D40" s="1981"/>
      <c r="E40" s="1981"/>
      <c r="F40" s="1965">
        <f t="shared" ref="F40:I40" si="1">SUBTOTAL(9,F39:F39)</f>
        <v>689.33130000000006</v>
      </c>
      <c r="G40" s="1965">
        <f t="shared" si="1"/>
        <v>186.76668053250694</v>
      </c>
      <c r="H40" s="1965">
        <f t="shared" si="1"/>
        <v>52.512630428355465</v>
      </c>
      <c r="I40" s="1965">
        <f t="shared" si="1"/>
        <v>37.317888351506838</v>
      </c>
      <c r="J40" s="1953" t="str">
        <f>LEFT(A40,3)&amp;"*"</f>
        <v>500*</v>
      </c>
    </row>
    <row r="41" spans="1:158" ht="12.75" hidden="1" outlineLevel="2" x14ac:dyDescent="0.2">
      <c r="A41" s="1982">
        <v>5010000</v>
      </c>
      <c r="B41" s="1982" t="s">
        <v>1355</v>
      </c>
      <c r="C41" s="1982" t="s">
        <v>1356</v>
      </c>
      <c r="D41" s="1982" t="s">
        <v>1357</v>
      </c>
      <c r="E41" s="1982" t="s">
        <v>906</v>
      </c>
      <c r="F41" s="1968">
        <v>3504.1872400000002</v>
      </c>
      <c r="G41" s="1962">
        <v>905.38396101719138</v>
      </c>
      <c r="H41" s="1962">
        <v>250.23787261895353</v>
      </c>
      <c r="I41" s="1962">
        <v>206.79029024660653</v>
      </c>
    </row>
    <row r="42" spans="1:158" ht="13.5" outlineLevel="1" collapsed="1" thickBot="1" x14ac:dyDescent="0.25">
      <c r="A42" s="1981" t="s">
        <v>1358</v>
      </c>
      <c r="B42" s="1981"/>
      <c r="C42" s="1981"/>
      <c r="D42" s="1981"/>
      <c r="E42" s="1981"/>
      <c r="F42" s="1965">
        <f t="shared" ref="F42:I42" si="2">SUBTOTAL(9,F41:F41)</f>
        <v>3504.1872400000002</v>
      </c>
      <c r="G42" s="1965">
        <f t="shared" si="2"/>
        <v>905.38396101719138</v>
      </c>
      <c r="H42" s="1965">
        <f t="shared" si="2"/>
        <v>250.23787261895353</v>
      </c>
      <c r="I42" s="1965">
        <f t="shared" si="2"/>
        <v>206.79029024660653</v>
      </c>
      <c r="J42" s="1953" t="str">
        <f>LEFT(A42,3)&amp;"*"</f>
        <v>501*</v>
      </c>
    </row>
    <row r="43" spans="1:158" ht="12.75" hidden="1" outlineLevel="2" x14ac:dyDescent="0.2">
      <c r="A43" s="1982">
        <v>5011000</v>
      </c>
      <c r="B43" s="1982" t="s">
        <v>1359</v>
      </c>
      <c r="C43" s="1982" t="s">
        <v>1356</v>
      </c>
      <c r="D43" s="1982" t="s">
        <v>1357</v>
      </c>
      <c r="E43" s="1982" t="s">
        <v>906</v>
      </c>
      <c r="F43" s="1968">
        <v>554205.11991000001</v>
      </c>
      <c r="G43" s="1962">
        <v>143191.10033632885</v>
      </c>
      <c r="H43" s="1962">
        <v>39576.398377847654</v>
      </c>
      <c r="I43" s="1962">
        <v>32704.941189827594</v>
      </c>
    </row>
    <row r="44" spans="1:158" ht="13.5" outlineLevel="1" collapsed="1" thickBot="1" x14ac:dyDescent="0.25">
      <c r="A44" s="1981" t="s">
        <v>1360</v>
      </c>
      <c r="B44" s="1981"/>
      <c r="C44" s="1981"/>
      <c r="D44" s="1981"/>
      <c r="E44" s="1981"/>
      <c r="F44" s="1965">
        <f t="shared" ref="F44:I44" si="3">SUBTOTAL(9,F43:F43)</f>
        <v>554205.11991000001</v>
      </c>
      <c r="G44" s="1965">
        <f t="shared" si="3"/>
        <v>143191.10033632885</v>
      </c>
      <c r="H44" s="1965">
        <f t="shared" si="3"/>
        <v>39576.398377847654</v>
      </c>
      <c r="I44" s="1965">
        <f t="shared" si="3"/>
        <v>32704.941189827594</v>
      </c>
      <c r="J44" s="1953" t="str">
        <f>LEFT(A44,3)&amp;"*"</f>
        <v>501*</v>
      </c>
    </row>
    <row r="45" spans="1:158" ht="12.75" hidden="1" outlineLevel="2" x14ac:dyDescent="0.2">
      <c r="A45" s="1982">
        <v>5011200</v>
      </c>
      <c r="B45" s="1982" t="s">
        <v>1361</v>
      </c>
      <c r="C45" s="1982" t="s">
        <v>1351</v>
      </c>
      <c r="D45" s="1982" t="s">
        <v>1352</v>
      </c>
      <c r="E45" s="1982" t="s">
        <v>919</v>
      </c>
      <c r="F45" s="1968">
        <v>60.594259999999998</v>
      </c>
      <c r="G45" s="1962">
        <v>0</v>
      </c>
      <c r="H45" s="1962">
        <v>0</v>
      </c>
      <c r="I45" s="1962">
        <v>60.594259999999998</v>
      </c>
    </row>
    <row r="46" spans="1:158" ht="12.75" hidden="1" outlineLevel="2" x14ac:dyDescent="0.2">
      <c r="A46" s="1980">
        <v>5011200</v>
      </c>
      <c r="B46" s="1980" t="s">
        <v>1361</v>
      </c>
      <c r="C46" s="1980" t="s">
        <v>1351</v>
      </c>
      <c r="D46" s="1980" t="s">
        <v>1352</v>
      </c>
      <c r="E46" s="1980" t="s">
        <v>922</v>
      </c>
      <c r="F46" s="1962">
        <v>153.53945999999999</v>
      </c>
      <c r="G46" s="1962">
        <v>0</v>
      </c>
      <c r="H46" s="1962">
        <v>0</v>
      </c>
      <c r="I46" s="1962">
        <v>0</v>
      </c>
    </row>
    <row r="47" spans="1:158" ht="13.5" outlineLevel="1" collapsed="1" thickBot="1" x14ac:dyDescent="0.25">
      <c r="A47" s="1981" t="s">
        <v>1362</v>
      </c>
      <c r="B47" s="1981"/>
      <c r="C47" s="1981"/>
      <c r="D47" s="1981"/>
      <c r="E47" s="1981"/>
      <c r="F47" s="1965">
        <f t="shared" ref="F47:I47" si="4">SUBTOTAL(9,F45:F46)</f>
        <v>214.13371999999998</v>
      </c>
      <c r="G47" s="1965">
        <f t="shared" si="4"/>
        <v>0</v>
      </c>
      <c r="H47" s="1965">
        <f t="shared" si="4"/>
        <v>0</v>
      </c>
      <c r="I47" s="1965">
        <f t="shared" si="4"/>
        <v>60.594259999999998</v>
      </c>
      <c r="J47" s="1953" t="str">
        <f>LEFT(A47,3)&amp;"*"</f>
        <v>501*</v>
      </c>
    </row>
    <row r="48" spans="1:158" ht="12.75" hidden="1" outlineLevel="2" x14ac:dyDescent="0.2">
      <c r="A48" s="1982">
        <v>5011300</v>
      </c>
      <c r="B48" s="1982" t="s">
        <v>1363</v>
      </c>
      <c r="C48" s="1982" t="s">
        <v>1351</v>
      </c>
      <c r="D48" s="1982" t="s">
        <v>1352</v>
      </c>
      <c r="E48" s="1982" t="s">
        <v>906</v>
      </c>
      <c r="F48" s="1968">
        <v>2844.5236799999998</v>
      </c>
      <c r="G48" s="1962">
        <v>734.94534972554652</v>
      </c>
      <c r="H48" s="1962">
        <v>203.13057081317288</v>
      </c>
      <c r="I48" s="1962">
        <v>167.86199969170175</v>
      </c>
    </row>
    <row r="49" spans="1:10" ht="13.5" outlineLevel="1" collapsed="1" thickBot="1" x14ac:dyDescent="0.25">
      <c r="A49" s="1981" t="s">
        <v>1364</v>
      </c>
      <c r="B49" s="1981"/>
      <c r="C49" s="1981"/>
      <c r="D49" s="1981"/>
      <c r="E49" s="1981"/>
      <c r="F49" s="1965">
        <f t="shared" ref="F49:I49" si="5">SUBTOTAL(9,F48:F48)</f>
        <v>2844.5236799999998</v>
      </c>
      <c r="G49" s="1965">
        <f t="shared" si="5"/>
        <v>734.94534972554652</v>
      </c>
      <c r="H49" s="1965">
        <f t="shared" si="5"/>
        <v>203.13057081317288</v>
      </c>
      <c r="I49" s="1965">
        <f t="shared" si="5"/>
        <v>167.86199969170175</v>
      </c>
      <c r="J49" s="1953" t="str">
        <f>LEFT(A49,3)&amp;"*"</f>
        <v>501*</v>
      </c>
    </row>
    <row r="50" spans="1:10" ht="12.75" hidden="1" outlineLevel="2" x14ac:dyDescent="0.2">
      <c r="A50" s="1982">
        <v>5011500</v>
      </c>
      <c r="B50" s="1982" t="s">
        <v>1365</v>
      </c>
      <c r="C50" s="1982" t="s">
        <v>1351</v>
      </c>
      <c r="D50" s="1982" t="s">
        <v>1352</v>
      </c>
      <c r="E50" s="1982" t="s">
        <v>906</v>
      </c>
      <c r="F50" s="1968">
        <v>684.02473999999995</v>
      </c>
      <c r="G50" s="1962">
        <v>176.73285875413279</v>
      </c>
      <c r="H50" s="1962">
        <v>48.846960516965062</v>
      </c>
      <c r="I50" s="1962">
        <v>40.365900801710453</v>
      </c>
    </row>
    <row r="51" spans="1:10" ht="13.5" outlineLevel="1" collapsed="1" thickBot="1" x14ac:dyDescent="0.25">
      <c r="A51" s="1981" t="s">
        <v>1366</v>
      </c>
      <c r="B51" s="1981"/>
      <c r="C51" s="1981"/>
      <c r="D51" s="1981"/>
      <c r="E51" s="1981"/>
      <c r="F51" s="1965">
        <f t="shared" ref="F51:I51" si="6">SUBTOTAL(9,F50:F50)</f>
        <v>684.02473999999995</v>
      </c>
      <c r="G51" s="1965">
        <f t="shared" si="6"/>
        <v>176.73285875413279</v>
      </c>
      <c r="H51" s="1965">
        <f t="shared" si="6"/>
        <v>48.846960516965062</v>
      </c>
      <c r="I51" s="1965">
        <f t="shared" si="6"/>
        <v>40.365900801710453</v>
      </c>
      <c r="J51" s="1953" t="str">
        <f>LEFT(A51,3)&amp;"*"</f>
        <v>501*</v>
      </c>
    </row>
    <row r="52" spans="1:10" ht="12.75" hidden="1" outlineLevel="2" x14ac:dyDescent="0.2">
      <c r="A52" s="1982">
        <v>5012000</v>
      </c>
      <c r="B52" s="1982" t="s">
        <v>1367</v>
      </c>
      <c r="C52" s="1982" t="s">
        <v>1351</v>
      </c>
      <c r="D52" s="1982" t="s">
        <v>1352</v>
      </c>
      <c r="E52" s="1982" t="s">
        <v>906</v>
      </c>
      <c r="F52" s="1968">
        <v>9177.0852699999996</v>
      </c>
      <c r="G52" s="1962">
        <v>2371.1021253376634</v>
      </c>
      <c r="H52" s="1962">
        <v>655.34577279253335</v>
      </c>
      <c r="I52" s="1962">
        <v>541.56127987075183</v>
      </c>
    </row>
    <row r="53" spans="1:10" ht="13.5" outlineLevel="1" collapsed="1" thickBot="1" x14ac:dyDescent="0.25">
      <c r="A53" s="1981" t="s">
        <v>1368</v>
      </c>
      <c r="B53" s="1981"/>
      <c r="C53" s="1981"/>
      <c r="D53" s="1981"/>
      <c r="E53" s="1981"/>
      <c r="F53" s="1965">
        <f t="shared" ref="F53:I53" si="7">SUBTOTAL(9,F52:F52)</f>
        <v>9177.0852699999996</v>
      </c>
      <c r="G53" s="1965">
        <f t="shared" si="7"/>
        <v>2371.1021253376634</v>
      </c>
      <c r="H53" s="1965">
        <f t="shared" si="7"/>
        <v>655.34577279253335</v>
      </c>
      <c r="I53" s="1965">
        <f t="shared" si="7"/>
        <v>541.56127987075183</v>
      </c>
      <c r="J53" s="1953" t="str">
        <f>LEFT(A53,3)&amp;"*"</f>
        <v>501*</v>
      </c>
    </row>
    <row r="54" spans="1:10" ht="12.75" hidden="1" outlineLevel="2" x14ac:dyDescent="0.2">
      <c r="A54" s="1982">
        <v>5013000</v>
      </c>
      <c r="B54" s="1982" t="s">
        <v>1369</v>
      </c>
      <c r="C54" s="1982" t="s">
        <v>1356</v>
      </c>
      <c r="D54" s="1982" t="s">
        <v>1357</v>
      </c>
      <c r="E54" s="1982" t="s">
        <v>906</v>
      </c>
      <c r="F54" s="1968">
        <v>663.32653000000005</v>
      </c>
      <c r="G54" s="1962">
        <v>171.38502027625353</v>
      </c>
      <c r="H54" s="1962">
        <v>47.368878530278664</v>
      </c>
      <c r="I54" s="1962">
        <v>39.14445098743478</v>
      </c>
    </row>
    <row r="55" spans="1:10" ht="13.5" outlineLevel="1" collapsed="1" thickBot="1" x14ac:dyDescent="0.25">
      <c r="A55" s="1981" t="s">
        <v>1370</v>
      </c>
      <c r="B55" s="1981"/>
      <c r="C55" s="1981"/>
      <c r="D55" s="1981"/>
      <c r="E55" s="1981"/>
      <c r="F55" s="1965">
        <f t="shared" ref="F55:I55" si="8">SUBTOTAL(9,F54:F54)</f>
        <v>663.32653000000005</v>
      </c>
      <c r="G55" s="1965">
        <f t="shared" si="8"/>
        <v>171.38502027625353</v>
      </c>
      <c r="H55" s="1965">
        <f t="shared" si="8"/>
        <v>47.368878530278664</v>
      </c>
      <c r="I55" s="1965">
        <f t="shared" si="8"/>
        <v>39.14445098743478</v>
      </c>
      <c r="J55" s="1953" t="str">
        <f>LEFT(A55,3)&amp;"*"</f>
        <v>501*</v>
      </c>
    </row>
    <row r="56" spans="1:10" ht="12.75" hidden="1" outlineLevel="2" x14ac:dyDescent="0.2">
      <c r="A56" s="1982">
        <v>5013500</v>
      </c>
      <c r="B56" s="1982" t="s">
        <v>1371</v>
      </c>
      <c r="C56" s="1982" t="s">
        <v>1356</v>
      </c>
      <c r="D56" s="1982" t="s">
        <v>1357</v>
      </c>
      <c r="E56" s="1982" t="s">
        <v>906</v>
      </c>
      <c r="F56" s="1968">
        <v>70132.675229999993</v>
      </c>
      <c r="G56" s="1962">
        <v>18120.321474736509</v>
      </c>
      <c r="H56" s="1962">
        <v>5008.2516283094437</v>
      </c>
      <c r="I56" s="1962">
        <v>4138.6933041234097</v>
      </c>
    </row>
    <row r="57" spans="1:10" ht="13.5" outlineLevel="1" collapsed="1" thickBot="1" x14ac:dyDescent="0.25">
      <c r="A57" s="1981" t="s">
        <v>1372</v>
      </c>
      <c r="B57" s="1981"/>
      <c r="C57" s="1981"/>
      <c r="D57" s="1981"/>
      <c r="E57" s="1981"/>
      <c r="F57" s="1965">
        <f t="shared" ref="F57:I57" si="9">SUBTOTAL(9,F56:F56)</f>
        <v>70132.675229999993</v>
      </c>
      <c r="G57" s="1965">
        <f t="shared" si="9"/>
        <v>18120.321474736509</v>
      </c>
      <c r="H57" s="1965">
        <f t="shared" si="9"/>
        <v>5008.2516283094437</v>
      </c>
      <c r="I57" s="1965">
        <f t="shared" si="9"/>
        <v>4138.6933041234097</v>
      </c>
      <c r="J57" s="1953" t="str">
        <f>LEFT(A57,3)&amp;"*"</f>
        <v>501*</v>
      </c>
    </row>
    <row r="58" spans="1:10" ht="12.75" hidden="1" outlineLevel="2" x14ac:dyDescent="0.2">
      <c r="A58" s="1982">
        <v>5014000</v>
      </c>
      <c r="B58" s="1982" t="s">
        <v>1373</v>
      </c>
      <c r="C58" s="1982" t="s">
        <v>1356</v>
      </c>
      <c r="D58" s="1982" t="s">
        <v>1357</v>
      </c>
      <c r="E58" s="1982" t="s">
        <v>906</v>
      </c>
      <c r="F58" s="1968">
        <v>4.2222099999999996</v>
      </c>
      <c r="G58" s="1962">
        <v>1.0909009571207717</v>
      </c>
      <c r="H58" s="1962">
        <v>0.30151266921184028</v>
      </c>
      <c r="I58" s="1962">
        <v>0.24916249377762256</v>
      </c>
    </row>
    <row r="59" spans="1:10" ht="13.5" outlineLevel="1" collapsed="1" thickBot="1" x14ac:dyDescent="0.25">
      <c r="A59" s="1981" t="s">
        <v>1374</v>
      </c>
      <c r="B59" s="1981"/>
      <c r="C59" s="1981"/>
      <c r="D59" s="1981"/>
      <c r="E59" s="1981"/>
      <c r="F59" s="1965">
        <f t="shared" ref="F59:I59" si="10">SUBTOTAL(9,F58:F58)</f>
        <v>4.2222099999999996</v>
      </c>
      <c r="G59" s="1965">
        <f t="shared" si="10"/>
        <v>1.0909009571207717</v>
      </c>
      <c r="H59" s="1965">
        <f t="shared" si="10"/>
        <v>0.30151266921184028</v>
      </c>
      <c r="I59" s="1965">
        <f t="shared" si="10"/>
        <v>0.24916249377762256</v>
      </c>
      <c r="J59" s="1953" t="str">
        <f>LEFT(A59,3)&amp;"*"</f>
        <v>501*</v>
      </c>
    </row>
    <row r="60" spans="1:10" ht="12.75" hidden="1" outlineLevel="2" x14ac:dyDescent="0.2">
      <c r="A60" s="1982">
        <v>5014500</v>
      </c>
      <c r="B60" s="1982" t="s">
        <v>1375</v>
      </c>
      <c r="C60" s="1982" t="s">
        <v>1356</v>
      </c>
      <c r="D60" s="1982" t="s">
        <v>1357</v>
      </c>
      <c r="E60" s="1982" t="s">
        <v>906</v>
      </c>
      <c r="F60" s="1968">
        <v>7692.1277499999997</v>
      </c>
      <c r="G60" s="1962">
        <v>1987.4306405342813</v>
      </c>
      <c r="H60" s="1962">
        <v>549.30331978299694</v>
      </c>
      <c r="I60" s="1962">
        <v>453.93046121487396</v>
      </c>
    </row>
    <row r="61" spans="1:10" ht="13.5" outlineLevel="1" collapsed="1" thickBot="1" x14ac:dyDescent="0.25">
      <c r="A61" s="1981" t="s">
        <v>1376</v>
      </c>
      <c r="B61" s="1981"/>
      <c r="C61" s="1981"/>
      <c r="D61" s="1981"/>
      <c r="E61" s="1981"/>
      <c r="F61" s="1965">
        <f t="shared" ref="F61:I61" si="11">SUBTOTAL(9,F60:F60)</f>
        <v>7692.1277499999997</v>
      </c>
      <c r="G61" s="1965">
        <f t="shared" si="11"/>
        <v>1987.4306405342813</v>
      </c>
      <c r="H61" s="1965">
        <f t="shared" si="11"/>
        <v>549.30331978299694</v>
      </c>
      <c r="I61" s="1965">
        <f t="shared" si="11"/>
        <v>453.93046121487396</v>
      </c>
      <c r="J61" s="1953" t="str">
        <f>LEFT(A61,3)&amp;"*"</f>
        <v>501*</v>
      </c>
    </row>
    <row r="62" spans="1:10" ht="12.75" hidden="1" outlineLevel="2" x14ac:dyDescent="0.2">
      <c r="A62" s="1982">
        <v>5015000</v>
      </c>
      <c r="B62" s="1982" t="s">
        <v>1377</v>
      </c>
      <c r="C62" s="1982" t="s">
        <v>1356</v>
      </c>
      <c r="D62" s="1982" t="s">
        <v>1357</v>
      </c>
      <c r="E62" s="1982" t="s">
        <v>906</v>
      </c>
      <c r="F62" s="1968">
        <v>92.724900000000005</v>
      </c>
      <c r="G62" s="1962">
        <v>23.957520388357722</v>
      </c>
      <c r="H62" s="1962">
        <v>6.6215872970318799</v>
      </c>
      <c r="I62" s="1962">
        <v>5.4719133627367373</v>
      </c>
    </row>
    <row r="63" spans="1:10" ht="13.5" outlineLevel="1" collapsed="1" thickBot="1" x14ac:dyDescent="0.25">
      <c r="A63" s="1981" t="s">
        <v>1378</v>
      </c>
      <c r="B63" s="1981"/>
      <c r="C63" s="1981"/>
      <c r="D63" s="1981"/>
      <c r="E63" s="1981"/>
      <c r="F63" s="1965">
        <f t="shared" ref="F63:I63" si="12">SUBTOTAL(9,F62:F62)</f>
        <v>92.724900000000005</v>
      </c>
      <c r="G63" s="1965">
        <f t="shared" si="12"/>
        <v>23.957520388357722</v>
      </c>
      <c r="H63" s="1965">
        <f t="shared" si="12"/>
        <v>6.6215872970318799</v>
      </c>
      <c r="I63" s="1965">
        <f t="shared" si="12"/>
        <v>5.4719133627367373</v>
      </c>
      <c r="J63" s="1953" t="str">
        <f>LEFT(A63,3)&amp;"*"</f>
        <v>501*</v>
      </c>
    </row>
    <row r="64" spans="1:10" ht="12.75" hidden="1" outlineLevel="2" x14ac:dyDescent="0.2">
      <c r="A64" s="1982">
        <v>5015100</v>
      </c>
      <c r="B64" s="1982" t="s">
        <v>1379</v>
      </c>
      <c r="C64" s="1982" t="s">
        <v>1356</v>
      </c>
      <c r="D64" s="1982" t="s">
        <v>1357</v>
      </c>
      <c r="E64" s="1982" t="s">
        <v>906</v>
      </c>
      <c r="F64" s="1968">
        <v>-1E-4</v>
      </c>
      <c r="G64" s="1962">
        <v>-2.5837202723710374E-5</v>
      </c>
      <c r="H64" s="1962">
        <v>-7.141110205599445E-6</v>
      </c>
      <c r="I64" s="1962">
        <v>-5.9012340404106527E-6</v>
      </c>
    </row>
    <row r="65" spans="1:10" ht="13.5" outlineLevel="1" collapsed="1" thickBot="1" x14ac:dyDescent="0.25">
      <c r="A65" s="1981" t="s">
        <v>1380</v>
      </c>
      <c r="B65" s="1981"/>
      <c r="C65" s="1981"/>
      <c r="D65" s="1981"/>
      <c r="E65" s="1981"/>
      <c r="F65" s="1965">
        <f t="shared" ref="F65:I65" si="13">SUBTOTAL(9,F64:F64)</f>
        <v>-1E-4</v>
      </c>
      <c r="G65" s="1965">
        <f t="shared" si="13"/>
        <v>-2.5837202723710374E-5</v>
      </c>
      <c r="H65" s="1965">
        <f t="shared" si="13"/>
        <v>-7.141110205599445E-6</v>
      </c>
      <c r="I65" s="1965">
        <f t="shared" si="13"/>
        <v>-5.9012340404106527E-6</v>
      </c>
      <c r="J65" s="1953" t="str">
        <f>LEFT(A65,3)&amp;"*"</f>
        <v>501*</v>
      </c>
    </row>
    <row r="66" spans="1:10" ht="12.75" hidden="1" outlineLevel="2" x14ac:dyDescent="0.2">
      <c r="A66" s="1982">
        <v>5020000</v>
      </c>
      <c r="B66" s="1982" t="s">
        <v>1381</v>
      </c>
      <c r="C66" s="1982" t="s">
        <v>1351</v>
      </c>
      <c r="D66" s="1982" t="s">
        <v>1352</v>
      </c>
      <c r="E66" s="1982" t="s">
        <v>1083</v>
      </c>
      <c r="F66" s="1968">
        <v>41091.525759999997</v>
      </c>
      <c r="G66" s="1962">
        <v>11133.293764857621</v>
      </c>
      <c r="H66" s="1962">
        <v>3130.3149965366842</v>
      </c>
      <c r="I66" s="1962">
        <v>2224.5456872548029</v>
      </c>
    </row>
    <row r="67" spans="1:10" ht="13.5" outlineLevel="1" collapsed="1" thickBot="1" x14ac:dyDescent="0.25">
      <c r="A67" s="1981" t="s">
        <v>1382</v>
      </c>
      <c r="B67" s="1981"/>
      <c r="C67" s="1981"/>
      <c r="D67" s="1981"/>
      <c r="E67" s="1981"/>
      <c r="F67" s="1965">
        <f t="shared" ref="F67:I67" si="14">SUBTOTAL(9,F66:F66)</f>
        <v>41091.525759999997</v>
      </c>
      <c r="G67" s="1965">
        <f t="shared" si="14"/>
        <v>11133.293764857621</v>
      </c>
      <c r="H67" s="1965">
        <f t="shared" si="14"/>
        <v>3130.3149965366842</v>
      </c>
      <c r="I67" s="1965">
        <f t="shared" si="14"/>
        <v>2224.5456872548029</v>
      </c>
      <c r="J67" s="1953" t="str">
        <f>LEFT(A67,3)&amp;"*"</f>
        <v>502*</v>
      </c>
    </row>
    <row r="68" spans="1:10" ht="12.75" hidden="1" outlineLevel="2" x14ac:dyDescent="0.2">
      <c r="A68" s="1982">
        <v>5022000</v>
      </c>
      <c r="B68" s="1982" t="s">
        <v>1383</v>
      </c>
      <c r="C68" s="1982" t="s">
        <v>1351</v>
      </c>
      <c r="D68" s="1982" t="s">
        <v>1352</v>
      </c>
      <c r="E68" s="1982" t="s">
        <v>1083</v>
      </c>
      <c r="F68" s="1968">
        <v>3676.4447100000002</v>
      </c>
      <c r="G68" s="1962">
        <v>996.09197297147989</v>
      </c>
      <c r="H68" s="1962">
        <v>280.06820863424088</v>
      </c>
      <c r="I68" s="1962">
        <v>199.02933932967778</v>
      </c>
    </row>
    <row r="69" spans="1:10" ht="13.5" outlineLevel="1" collapsed="1" thickBot="1" x14ac:dyDescent="0.25">
      <c r="A69" s="1981" t="s">
        <v>1384</v>
      </c>
      <c r="B69" s="1981"/>
      <c r="C69" s="1981"/>
      <c r="D69" s="1981"/>
      <c r="E69" s="1981"/>
      <c r="F69" s="1965">
        <f t="shared" ref="F69:I69" si="15">SUBTOTAL(9,F68:F68)</f>
        <v>3676.4447100000002</v>
      </c>
      <c r="G69" s="1965">
        <f t="shared" si="15"/>
        <v>996.09197297147989</v>
      </c>
      <c r="H69" s="1965">
        <f t="shared" si="15"/>
        <v>280.06820863424088</v>
      </c>
      <c r="I69" s="1965">
        <f t="shared" si="15"/>
        <v>199.02933932967778</v>
      </c>
      <c r="J69" s="1953" t="str">
        <f>LEFT(A69,3)&amp;"*"</f>
        <v>502*</v>
      </c>
    </row>
    <row r="70" spans="1:10" ht="12.75" hidden="1" outlineLevel="2" x14ac:dyDescent="0.2">
      <c r="A70" s="1982">
        <v>5023000</v>
      </c>
      <c r="B70" s="1982" t="s">
        <v>1385</v>
      </c>
      <c r="C70" s="1982" t="s">
        <v>1351</v>
      </c>
      <c r="D70" s="1982" t="s">
        <v>1352</v>
      </c>
      <c r="E70" s="1982" t="s">
        <v>1083</v>
      </c>
      <c r="F70" s="1968">
        <v>295.1044</v>
      </c>
      <c r="G70" s="1962">
        <v>79.955268531310182</v>
      </c>
      <c r="H70" s="1962">
        <v>22.480784341261714</v>
      </c>
      <c r="I70" s="1962">
        <v>15.975878436447632</v>
      </c>
    </row>
    <row r="71" spans="1:10" ht="13.5" outlineLevel="1" collapsed="1" thickBot="1" x14ac:dyDescent="0.25">
      <c r="A71" s="1981" t="s">
        <v>1386</v>
      </c>
      <c r="B71" s="1981"/>
      <c r="C71" s="1981"/>
      <c r="D71" s="1981"/>
      <c r="E71" s="1981"/>
      <c r="F71" s="1965">
        <f t="shared" ref="F71:I71" si="16">SUBTOTAL(9,F70:F70)</f>
        <v>295.1044</v>
      </c>
      <c r="G71" s="1965">
        <f t="shared" si="16"/>
        <v>79.955268531310182</v>
      </c>
      <c r="H71" s="1965">
        <f t="shared" si="16"/>
        <v>22.480784341261714</v>
      </c>
      <c r="I71" s="1965">
        <f t="shared" si="16"/>
        <v>15.975878436447632</v>
      </c>
      <c r="J71" s="1953" t="str">
        <f>LEFT(A71,3)&amp;"*"</f>
        <v>502*</v>
      </c>
    </row>
    <row r="72" spans="1:10" ht="12.75" hidden="1" outlineLevel="2" x14ac:dyDescent="0.2">
      <c r="A72" s="1982">
        <v>5024000</v>
      </c>
      <c r="B72" s="1982" t="s">
        <v>1387</v>
      </c>
      <c r="C72" s="1982" t="s">
        <v>1351</v>
      </c>
      <c r="D72" s="1982" t="s">
        <v>1352</v>
      </c>
      <c r="E72" s="1982" t="s">
        <v>1083</v>
      </c>
      <c r="F72" s="1968">
        <v>9743.5588900000002</v>
      </c>
      <c r="G72" s="1962">
        <v>2639.9093591982519</v>
      </c>
      <c r="H72" s="1962">
        <v>742.25543950708084</v>
      </c>
      <c r="I72" s="1962">
        <v>527.48082497247958</v>
      </c>
    </row>
    <row r="73" spans="1:10" ht="13.5" outlineLevel="1" collapsed="1" thickBot="1" x14ac:dyDescent="0.25">
      <c r="A73" s="1981" t="s">
        <v>1388</v>
      </c>
      <c r="B73" s="1981"/>
      <c r="C73" s="1981"/>
      <c r="D73" s="1981"/>
      <c r="E73" s="1981"/>
      <c r="F73" s="1965">
        <f t="shared" ref="F73:I73" si="17">SUBTOTAL(9,F72:F72)</f>
        <v>9743.5588900000002</v>
      </c>
      <c r="G73" s="1965">
        <f t="shared" si="17"/>
        <v>2639.9093591982519</v>
      </c>
      <c r="H73" s="1965">
        <f t="shared" si="17"/>
        <v>742.25543950708084</v>
      </c>
      <c r="I73" s="1965">
        <f t="shared" si="17"/>
        <v>527.48082497247958</v>
      </c>
      <c r="J73" s="1953" t="str">
        <f>LEFT(A73,3)&amp;"*"</f>
        <v>502*</v>
      </c>
    </row>
    <row r="74" spans="1:10" ht="12.75" hidden="1" outlineLevel="2" x14ac:dyDescent="0.2">
      <c r="A74" s="1982">
        <v>5029000</v>
      </c>
      <c r="B74" s="1982" t="s">
        <v>1389</v>
      </c>
      <c r="C74" s="1982" t="s">
        <v>1351</v>
      </c>
      <c r="D74" s="1982" t="s">
        <v>1352</v>
      </c>
      <c r="E74" s="1982" t="s">
        <v>1083</v>
      </c>
      <c r="F74" s="1968">
        <v>19162.99336</v>
      </c>
      <c r="G74" s="1962">
        <v>5192.0007968790496</v>
      </c>
      <c r="H74" s="1962">
        <v>1459.8193759875835</v>
      </c>
      <c r="I74" s="1962">
        <v>1037.4147332192035</v>
      </c>
    </row>
    <row r="75" spans="1:10" ht="13.5" outlineLevel="1" collapsed="1" thickBot="1" x14ac:dyDescent="0.25">
      <c r="A75" s="1981" t="s">
        <v>1390</v>
      </c>
      <c r="B75" s="1981"/>
      <c r="C75" s="1981"/>
      <c r="D75" s="1981"/>
      <c r="E75" s="1981"/>
      <c r="F75" s="1965">
        <f t="shared" ref="F75:I75" si="18">SUBTOTAL(9,F74:F74)</f>
        <v>19162.99336</v>
      </c>
      <c r="G75" s="1965">
        <f t="shared" si="18"/>
        <v>5192.0007968790496</v>
      </c>
      <c r="H75" s="1965">
        <f t="shared" si="18"/>
        <v>1459.8193759875835</v>
      </c>
      <c r="I75" s="1965">
        <f t="shared" si="18"/>
        <v>1037.4147332192035</v>
      </c>
      <c r="J75" s="1953" t="str">
        <f>LEFT(A75,3)&amp;"*"</f>
        <v>502*</v>
      </c>
    </row>
    <row r="76" spans="1:10" ht="12.75" hidden="1" outlineLevel="2" x14ac:dyDescent="0.2">
      <c r="A76" s="1982">
        <v>5030000</v>
      </c>
      <c r="B76" s="1982" t="s">
        <v>1391</v>
      </c>
      <c r="C76" s="1982" t="s">
        <v>1356</v>
      </c>
      <c r="D76" s="1982" t="s">
        <v>1357</v>
      </c>
      <c r="E76" s="1982" t="s">
        <v>906</v>
      </c>
      <c r="F76" s="1968">
        <v>10794.27628</v>
      </c>
      <c r="G76" s="1962">
        <v>2788.9390450209826</v>
      </c>
      <c r="H76" s="1962">
        <v>770.83116505168016</v>
      </c>
      <c r="I76" s="1962">
        <v>636.9955062513327</v>
      </c>
    </row>
    <row r="77" spans="1:10" ht="13.5" outlineLevel="1" collapsed="1" thickBot="1" x14ac:dyDescent="0.25">
      <c r="A77" s="1981" t="s">
        <v>1392</v>
      </c>
      <c r="B77" s="1981"/>
      <c r="C77" s="1981"/>
      <c r="D77" s="1981"/>
      <c r="E77" s="1981"/>
      <c r="F77" s="1965">
        <f t="shared" ref="F77:I77" si="19">SUBTOTAL(9,F76:F76)</f>
        <v>10794.27628</v>
      </c>
      <c r="G77" s="1965">
        <f t="shared" si="19"/>
        <v>2788.9390450209826</v>
      </c>
      <c r="H77" s="1965">
        <f t="shared" si="19"/>
        <v>770.83116505168016</v>
      </c>
      <c r="I77" s="1965">
        <f t="shared" si="19"/>
        <v>636.9955062513327</v>
      </c>
      <c r="J77" s="1953" t="str">
        <f>LEFT(A77,3)&amp;"*"</f>
        <v>503*</v>
      </c>
    </row>
    <row r="78" spans="1:10" ht="12.75" hidden="1" outlineLevel="2" x14ac:dyDescent="0.2">
      <c r="A78" s="1982">
        <v>5050000</v>
      </c>
      <c r="B78" s="1982" t="s">
        <v>1393</v>
      </c>
      <c r="C78" s="1982" t="s">
        <v>1351</v>
      </c>
      <c r="D78" s="1982" t="s">
        <v>1352</v>
      </c>
      <c r="E78" s="1982" t="s">
        <v>1083</v>
      </c>
      <c r="F78" s="1968">
        <v>734.27793999999994</v>
      </c>
      <c r="G78" s="1962">
        <v>198.94447480050198</v>
      </c>
      <c r="H78" s="1962">
        <v>55.9366245155474</v>
      </c>
      <c r="I78" s="1962">
        <v>39.751135896330879</v>
      </c>
    </row>
    <row r="79" spans="1:10" ht="13.5" outlineLevel="1" collapsed="1" thickBot="1" x14ac:dyDescent="0.25">
      <c r="A79" s="1981" t="s">
        <v>1394</v>
      </c>
      <c r="B79" s="1981"/>
      <c r="C79" s="1981"/>
      <c r="D79" s="1981"/>
      <c r="E79" s="1981"/>
      <c r="F79" s="1965">
        <f t="shared" ref="F79:I79" si="20">SUBTOTAL(9,F78:F78)</f>
        <v>734.27793999999994</v>
      </c>
      <c r="G79" s="1965">
        <f t="shared" si="20"/>
        <v>198.94447480050198</v>
      </c>
      <c r="H79" s="1965">
        <f t="shared" si="20"/>
        <v>55.9366245155474</v>
      </c>
      <c r="I79" s="1965">
        <f t="shared" si="20"/>
        <v>39.751135896330879</v>
      </c>
      <c r="J79" s="1953" t="str">
        <f>LEFT(A79,3)&amp;"*"</f>
        <v>505*</v>
      </c>
    </row>
    <row r="80" spans="1:10" ht="12.75" hidden="1" outlineLevel="2" x14ac:dyDescent="0.2">
      <c r="A80" s="1982">
        <v>5051000</v>
      </c>
      <c r="B80" s="1982" t="s">
        <v>1395</v>
      </c>
      <c r="C80" s="1982" t="s">
        <v>1351</v>
      </c>
      <c r="D80" s="1982" t="s">
        <v>1352</v>
      </c>
      <c r="E80" s="1982" t="s">
        <v>1083</v>
      </c>
      <c r="F80" s="1968">
        <v>11.60267</v>
      </c>
      <c r="G80" s="1962">
        <v>3.1436149224822696</v>
      </c>
      <c r="H80" s="1962">
        <v>0.88388083014969299</v>
      </c>
      <c r="I80" s="1962">
        <v>0.62812633582629684</v>
      </c>
    </row>
    <row r="81" spans="1:10" ht="13.5" outlineLevel="1" collapsed="1" thickBot="1" x14ac:dyDescent="0.25">
      <c r="A81" s="1981" t="s">
        <v>1396</v>
      </c>
      <c r="B81" s="1981"/>
      <c r="C81" s="1981"/>
      <c r="D81" s="1981"/>
      <c r="E81" s="1981"/>
      <c r="F81" s="1965">
        <f t="shared" ref="F81:I81" si="21">SUBTOTAL(9,F80:F80)</f>
        <v>11.60267</v>
      </c>
      <c r="G81" s="1965">
        <f t="shared" si="21"/>
        <v>3.1436149224822696</v>
      </c>
      <c r="H81" s="1965">
        <f t="shared" si="21"/>
        <v>0.88388083014969299</v>
      </c>
      <c r="I81" s="1965">
        <f t="shared" si="21"/>
        <v>0.62812633582629684</v>
      </c>
      <c r="J81" s="1953" t="str">
        <f>LEFT(A81,3)&amp;"*"</f>
        <v>505*</v>
      </c>
    </row>
    <row r="82" spans="1:10" ht="12.75" hidden="1" outlineLevel="2" x14ac:dyDescent="0.2">
      <c r="A82" s="1982">
        <v>5060000</v>
      </c>
      <c r="B82" s="1982" t="s">
        <v>1397</v>
      </c>
      <c r="C82" s="1982" t="s">
        <v>1351</v>
      </c>
      <c r="D82" s="1982" t="s">
        <v>1352</v>
      </c>
      <c r="E82" s="1982" t="s">
        <v>1083</v>
      </c>
      <c r="F82" s="1968">
        <v>54461.401460000001</v>
      </c>
      <c r="G82" s="1962">
        <v>14755.713497751265</v>
      </c>
      <c r="H82" s="1962">
        <v>4148.8199469243291</v>
      </c>
      <c r="I82" s="1962">
        <v>2948.342109448492</v>
      </c>
    </row>
    <row r="83" spans="1:10" ht="13.5" outlineLevel="1" collapsed="1" thickBot="1" x14ac:dyDescent="0.25">
      <c r="A83" s="1981" t="s">
        <v>1398</v>
      </c>
      <c r="B83" s="1981"/>
      <c r="C83" s="1981"/>
      <c r="D83" s="1981"/>
      <c r="E83" s="1981"/>
      <c r="F83" s="1965">
        <f t="shared" ref="F83:I83" si="22">SUBTOTAL(9,F82:F82)</f>
        <v>54461.401460000001</v>
      </c>
      <c r="G83" s="1965">
        <f t="shared" si="22"/>
        <v>14755.713497751265</v>
      </c>
      <c r="H83" s="1965">
        <f t="shared" si="22"/>
        <v>4148.8199469243291</v>
      </c>
      <c r="I83" s="1965">
        <f t="shared" si="22"/>
        <v>2948.342109448492</v>
      </c>
      <c r="J83" s="1953" t="str">
        <f>LEFT(A83,3)&amp;"*"</f>
        <v>506*</v>
      </c>
    </row>
    <row r="84" spans="1:10" ht="12.75" hidden="1" outlineLevel="2" x14ac:dyDescent="0.2">
      <c r="A84" s="1982">
        <v>5061000</v>
      </c>
      <c r="B84" s="1982" t="s">
        <v>1399</v>
      </c>
      <c r="C84" s="1982" t="s">
        <v>1351</v>
      </c>
      <c r="D84" s="1982" t="s">
        <v>1352</v>
      </c>
      <c r="E84" s="1982" t="s">
        <v>1083</v>
      </c>
      <c r="F84" s="1968">
        <v>983.42406000000005</v>
      </c>
      <c r="G84" s="1962">
        <v>266.4478564109898</v>
      </c>
      <c r="H84" s="1962">
        <v>74.916348956057661</v>
      </c>
      <c r="I84" s="1962">
        <v>53.239000279351245</v>
      </c>
    </row>
    <row r="85" spans="1:10" ht="13.5" outlineLevel="1" collapsed="1" thickBot="1" x14ac:dyDescent="0.25">
      <c r="A85" s="1981" t="s">
        <v>1400</v>
      </c>
      <c r="B85" s="1981"/>
      <c r="C85" s="1981"/>
      <c r="D85" s="1981"/>
      <c r="E85" s="1981"/>
      <c r="F85" s="1965">
        <f t="shared" ref="F85:I85" si="23">SUBTOTAL(9,F84:F84)</f>
        <v>983.42406000000005</v>
      </c>
      <c r="G85" s="1965">
        <f t="shared" si="23"/>
        <v>266.4478564109898</v>
      </c>
      <c r="H85" s="1965">
        <f t="shared" si="23"/>
        <v>74.916348956057661</v>
      </c>
      <c r="I85" s="1965">
        <f t="shared" si="23"/>
        <v>53.239000279351245</v>
      </c>
      <c r="J85" s="1953" t="str">
        <f>LEFT(A85,3)&amp;"*"</f>
        <v>506*</v>
      </c>
    </row>
    <row r="86" spans="1:10" ht="12.75" hidden="1" outlineLevel="2" x14ac:dyDescent="0.2">
      <c r="A86" s="1982">
        <v>5061100</v>
      </c>
      <c r="B86" s="1982" t="s">
        <v>1401</v>
      </c>
      <c r="C86" s="1982" t="s">
        <v>1351</v>
      </c>
      <c r="D86" s="1982" t="s">
        <v>1352</v>
      </c>
      <c r="E86" s="1982" t="s">
        <v>1083</v>
      </c>
      <c r="F86" s="1968">
        <v>1449.1994400000001</v>
      </c>
      <c r="G86" s="1962">
        <v>392.64453657967937</v>
      </c>
      <c r="H86" s="1962">
        <v>110.39869306630889</v>
      </c>
      <c r="I86" s="1962">
        <v>78.454384562236228</v>
      </c>
    </row>
    <row r="87" spans="1:10" ht="13.5" outlineLevel="1" collapsed="1" thickBot="1" x14ac:dyDescent="0.25">
      <c r="A87" s="1981" t="s">
        <v>1402</v>
      </c>
      <c r="B87" s="1981"/>
      <c r="C87" s="1981"/>
      <c r="D87" s="1981"/>
      <c r="E87" s="1981"/>
      <c r="F87" s="1965">
        <f t="shared" ref="F87:I87" si="24">SUBTOTAL(9,F86:F86)</f>
        <v>1449.1994400000001</v>
      </c>
      <c r="G87" s="1965">
        <f t="shared" si="24"/>
        <v>392.64453657967937</v>
      </c>
      <c r="H87" s="1965">
        <f t="shared" si="24"/>
        <v>110.39869306630889</v>
      </c>
      <c r="I87" s="1965">
        <f t="shared" si="24"/>
        <v>78.454384562236228</v>
      </c>
      <c r="J87" s="1953" t="str">
        <f>LEFT(A87,3)&amp;"*"</f>
        <v>506*</v>
      </c>
    </row>
    <row r="88" spans="1:10" ht="12.75" hidden="1" outlineLevel="2" x14ac:dyDescent="0.2">
      <c r="A88" s="1982">
        <v>5061200</v>
      </c>
      <c r="B88" s="1982" t="s">
        <v>1403</v>
      </c>
      <c r="C88" s="1982" t="s">
        <v>1351</v>
      </c>
      <c r="D88" s="1982" t="s">
        <v>1352</v>
      </c>
      <c r="E88" s="1982" t="s">
        <v>1083</v>
      </c>
      <c r="F88" s="1968">
        <v>12.1495</v>
      </c>
      <c r="G88" s="1962">
        <v>3.2917724541591147</v>
      </c>
      <c r="H88" s="1962">
        <v>0.92553784136786565</v>
      </c>
      <c r="I88" s="1962">
        <v>0.65772972230715798</v>
      </c>
    </row>
    <row r="89" spans="1:10" ht="13.5" outlineLevel="1" collapsed="1" thickBot="1" x14ac:dyDescent="0.25">
      <c r="A89" s="1981" t="s">
        <v>1404</v>
      </c>
      <c r="B89" s="1981"/>
      <c r="C89" s="1981"/>
      <c r="D89" s="1981"/>
      <c r="E89" s="1981"/>
      <c r="F89" s="1965">
        <f t="shared" ref="F89:I89" si="25">SUBTOTAL(9,F88:F88)</f>
        <v>12.1495</v>
      </c>
      <c r="G89" s="1965">
        <f t="shared" si="25"/>
        <v>3.2917724541591147</v>
      </c>
      <c r="H89" s="1965">
        <f t="shared" si="25"/>
        <v>0.92553784136786565</v>
      </c>
      <c r="I89" s="1965">
        <f t="shared" si="25"/>
        <v>0.65772972230715798</v>
      </c>
      <c r="J89" s="1953" t="str">
        <f>LEFT(A89,3)&amp;"*"</f>
        <v>506*</v>
      </c>
    </row>
    <row r="90" spans="1:10" ht="12.75" hidden="1" outlineLevel="2" x14ac:dyDescent="0.2">
      <c r="A90" s="1982">
        <v>5061300</v>
      </c>
      <c r="B90" s="1982" t="s">
        <v>1405</v>
      </c>
      <c r="C90" s="1982" t="s">
        <v>1351</v>
      </c>
      <c r="D90" s="1982" t="s">
        <v>1352</v>
      </c>
      <c r="E90" s="1982" t="s">
        <v>1083</v>
      </c>
      <c r="F90" s="1968">
        <v>508.69403999999997</v>
      </c>
      <c r="G90" s="1962">
        <v>137.82501571808837</v>
      </c>
      <c r="H90" s="1962">
        <v>38.751848528606011</v>
      </c>
      <c r="I90" s="1962">
        <v>27.53884436960421</v>
      </c>
    </row>
    <row r="91" spans="1:10" ht="13.5" outlineLevel="1" collapsed="1" thickBot="1" x14ac:dyDescent="0.25">
      <c r="A91" s="1981" t="s">
        <v>1406</v>
      </c>
      <c r="B91" s="1981"/>
      <c r="C91" s="1981"/>
      <c r="D91" s="1981"/>
      <c r="E91" s="1981"/>
      <c r="F91" s="1965">
        <f t="shared" ref="F91:I91" si="26">SUBTOTAL(9,F90:F90)</f>
        <v>508.69403999999997</v>
      </c>
      <c r="G91" s="1965">
        <f t="shared" si="26"/>
        <v>137.82501571808837</v>
      </c>
      <c r="H91" s="1965">
        <f t="shared" si="26"/>
        <v>38.751848528606011</v>
      </c>
      <c r="I91" s="1965">
        <f t="shared" si="26"/>
        <v>27.53884436960421</v>
      </c>
      <c r="J91" s="1953" t="str">
        <f>LEFT(A91,3)&amp;"*"</f>
        <v>506*</v>
      </c>
    </row>
    <row r="92" spans="1:10" ht="12.75" hidden="1" outlineLevel="2" x14ac:dyDescent="0.2">
      <c r="A92" s="1982">
        <v>5061400</v>
      </c>
      <c r="B92" s="1982" t="s">
        <v>1407</v>
      </c>
      <c r="C92" s="1982" t="s">
        <v>1351</v>
      </c>
      <c r="D92" s="1982" t="s">
        <v>1352</v>
      </c>
      <c r="E92" s="1982" t="s">
        <v>1083</v>
      </c>
      <c r="F92" s="1968">
        <v>1324.1735799999999</v>
      </c>
      <c r="G92" s="1962">
        <v>358.77016462975928</v>
      </c>
      <c r="H92" s="1962">
        <v>100.87433695457086</v>
      </c>
      <c r="I92" s="1962">
        <v>71.685939426303577</v>
      </c>
    </row>
    <row r="93" spans="1:10" ht="13.5" outlineLevel="1" collapsed="1" thickBot="1" x14ac:dyDescent="0.25">
      <c r="A93" s="1981" t="s">
        <v>1408</v>
      </c>
      <c r="B93" s="1981"/>
      <c r="C93" s="1981"/>
      <c r="D93" s="1981"/>
      <c r="E93" s="1981"/>
      <c r="F93" s="1965">
        <f t="shared" ref="F93:I93" si="27">SUBTOTAL(9,F92:F92)</f>
        <v>1324.1735799999999</v>
      </c>
      <c r="G93" s="1965">
        <f t="shared" si="27"/>
        <v>358.77016462975928</v>
      </c>
      <c r="H93" s="1965">
        <f t="shared" si="27"/>
        <v>100.87433695457086</v>
      </c>
      <c r="I93" s="1965">
        <f t="shared" si="27"/>
        <v>71.685939426303577</v>
      </c>
      <c r="J93" s="1953" t="str">
        <f>LEFT(A93,3)&amp;"*"</f>
        <v>506*</v>
      </c>
    </row>
    <row r="94" spans="1:10" ht="12.75" hidden="1" outlineLevel="2" x14ac:dyDescent="0.2">
      <c r="A94" s="1982">
        <v>5061500</v>
      </c>
      <c r="B94" s="1982" t="s">
        <v>1409</v>
      </c>
      <c r="C94" s="1982" t="s">
        <v>1351</v>
      </c>
      <c r="D94" s="1982" t="s">
        <v>1352</v>
      </c>
      <c r="E94" s="1982" t="s">
        <v>1083</v>
      </c>
      <c r="F94" s="1968">
        <v>169.41359</v>
      </c>
      <c r="G94" s="1962">
        <v>45.900735744039345</v>
      </c>
      <c r="H94" s="1962">
        <v>12.905772944317103</v>
      </c>
      <c r="I94" s="1962">
        <v>9.1714353270306379</v>
      </c>
    </row>
    <row r="95" spans="1:10" ht="13.5" outlineLevel="1" collapsed="1" thickBot="1" x14ac:dyDescent="0.25">
      <c r="A95" s="1981" t="s">
        <v>1410</v>
      </c>
      <c r="B95" s="1981"/>
      <c r="C95" s="1981"/>
      <c r="D95" s="1981"/>
      <c r="E95" s="1981"/>
      <c r="F95" s="1965">
        <f t="shared" ref="F95:I95" si="28">SUBTOTAL(9,F94:F94)</f>
        <v>169.41359</v>
      </c>
      <c r="G95" s="1965">
        <f t="shared" si="28"/>
        <v>45.900735744039345</v>
      </c>
      <c r="H95" s="1965">
        <f t="shared" si="28"/>
        <v>12.905772944317103</v>
      </c>
      <c r="I95" s="1965">
        <f t="shared" si="28"/>
        <v>9.1714353270306379</v>
      </c>
      <c r="J95" s="1953" t="str">
        <f>LEFT(A95,3)&amp;"*"</f>
        <v>506*</v>
      </c>
    </row>
    <row r="96" spans="1:10" ht="12.75" hidden="1" outlineLevel="2" x14ac:dyDescent="0.2">
      <c r="A96" s="1982">
        <v>5061600</v>
      </c>
      <c r="B96" s="1982" t="s">
        <v>1411</v>
      </c>
      <c r="C96" s="1982" t="s">
        <v>1351</v>
      </c>
      <c r="D96" s="1982" t="s">
        <v>1352</v>
      </c>
      <c r="E96" s="1982" t="s">
        <v>1083</v>
      </c>
      <c r="F96" s="1968">
        <v>24.106649999999998</v>
      </c>
      <c r="G96" s="1962">
        <v>6.53142980633399</v>
      </c>
      <c r="H96" s="1962">
        <v>1.83642263497351</v>
      </c>
      <c r="I96" s="1962">
        <v>1.3050463155072924</v>
      </c>
    </row>
    <row r="97" spans="1:10" ht="13.5" outlineLevel="1" collapsed="1" thickBot="1" x14ac:dyDescent="0.25">
      <c r="A97" s="1981" t="s">
        <v>1412</v>
      </c>
      <c r="B97" s="1981"/>
      <c r="C97" s="1981"/>
      <c r="D97" s="1981"/>
      <c r="E97" s="1981"/>
      <c r="F97" s="1965">
        <f t="shared" ref="F97:I97" si="29">SUBTOTAL(9,F96:F96)</f>
        <v>24.106649999999998</v>
      </c>
      <c r="G97" s="1965">
        <f t="shared" si="29"/>
        <v>6.53142980633399</v>
      </c>
      <c r="H97" s="1965">
        <f t="shared" si="29"/>
        <v>1.83642263497351</v>
      </c>
      <c r="I97" s="1965">
        <f t="shared" si="29"/>
        <v>1.3050463155072924</v>
      </c>
      <c r="J97" s="1953" t="str">
        <f>LEFT(A97,3)&amp;"*"</f>
        <v>506*</v>
      </c>
    </row>
    <row r="98" spans="1:10" ht="12.75" hidden="1" outlineLevel="2" x14ac:dyDescent="0.2">
      <c r="A98" s="1982">
        <v>5062000</v>
      </c>
      <c r="B98" s="1982" t="s">
        <v>1413</v>
      </c>
      <c r="C98" s="1982" t="s">
        <v>1351</v>
      </c>
      <c r="D98" s="1982" t="s">
        <v>1352</v>
      </c>
      <c r="E98" s="1982" t="s">
        <v>1083</v>
      </c>
      <c r="F98" s="1968">
        <v>4954.0984799999997</v>
      </c>
      <c r="G98" s="1962">
        <v>1342.2581103465607</v>
      </c>
      <c r="H98" s="1962">
        <v>377.39870884423431</v>
      </c>
      <c r="I98" s="1962">
        <v>268.19686551156127</v>
      </c>
    </row>
    <row r="99" spans="1:10" ht="13.5" outlineLevel="1" collapsed="1" thickBot="1" x14ac:dyDescent="0.25">
      <c r="A99" s="1981" t="s">
        <v>1414</v>
      </c>
      <c r="B99" s="1981"/>
      <c r="C99" s="1981"/>
      <c r="D99" s="1981"/>
      <c r="E99" s="1981"/>
      <c r="F99" s="1965">
        <f t="shared" ref="F99:I99" si="30">SUBTOTAL(9,F98:F98)</f>
        <v>4954.0984799999997</v>
      </c>
      <c r="G99" s="1965">
        <f t="shared" si="30"/>
        <v>1342.2581103465607</v>
      </c>
      <c r="H99" s="1965">
        <f t="shared" si="30"/>
        <v>377.39870884423431</v>
      </c>
      <c r="I99" s="1965">
        <f t="shared" si="30"/>
        <v>268.19686551156127</v>
      </c>
      <c r="J99" s="1953" t="str">
        <f>LEFT(A99,3)&amp;"*"</f>
        <v>506*</v>
      </c>
    </row>
    <row r="100" spans="1:10" ht="12.75" hidden="1" outlineLevel="2" x14ac:dyDescent="0.2">
      <c r="A100" s="1982">
        <v>5063000</v>
      </c>
      <c r="B100" s="1982" t="s">
        <v>1415</v>
      </c>
      <c r="C100" s="1982" t="s">
        <v>1351</v>
      </c>
      <c r="D100" s="1982" t="s">
        <v>1352</v>
      </c>
      <c r="E100" s="1982" t="s">
        <v>1083</v>
      </c>
      <c r="F100" s="1968">
        <v>-40958.893400000001</v>
      </c>
      <c r="G100" s="1962">
        <v>-11097.358495984161</v>
      </c>
      <c r="H100" s="1962">
        <v>-3120.2111841847418</v>
      </c>
      <c r="I100" s="1962">
        <v>-2217.3654538862083</v>
      </c>
    </row>
    <row r="101" spans="1:10" ht="13.5" outlineLevel="1" collapsed="1" thickBot="1" x14ac:dyDescent="0.25">
      <c r="A101" s="1981" t="s">
        <v>1416</v>
      </c>
      <c r="B101" s="1981"/>
      <c r="C101" s="1981"/>
      <c r="D101" s="1981"/>
      <c r="E101" s="1981"/>
      <c r="F101" s="1965">
        <f t="shared" ref="F101:I101" si="31">SUBTOTAL(9,F100:F100)</f>
        <v>-40958.893400000001</v>
      </c>
      <c r="G101" s="1965">
        <f t="shared" si="31"/>
        <v>-11097.358495984161</v>
      </c>
      <c r="H101" s="1965">
        <f t="shared" si="31"/>
        <v>-3120.2111841847418</v>
      </c>
      <c r="I101" s="1965">
        <f t="shared" si="31"/>
        <v>-2217.3654538862083</v>
      </c>
      <c r="J101" s="1953" t="str">
        <f>LEFT(A101,3)&amp;"*"</f>
        <v>506*</v>
      </c>
    </row>
    <row r="102" spans="1:10" ht="12.75" hidden="1" outlineLevel="2" x14ac:dyDescent="0.2">
      <c r="A102" s="1982">
        <v>5064000</v>
      </c>
      <c r="B102" s="1982" t="s">
        <v>1417</v>
      </c>
      <c r="C102" s="1982" t="s">
        <v>1351</v>
      </c>
      <c r="D102" s="1982" t="s">
        <v>1352</v>
      </c>
      <c r="E102" s="1982" t="s">
        <v>1083</v>
      </c>
      <c r="F102" s="1968">
        <v>25.194120000000002</v>
      </c>
      <c r="G102" s="1962">
        <v>6.8260677577496391</v>
      </c>
      <c r="H102" s="1962">
        <v>1.9192651088491686</v>
      </c>
      <c r="I102" s="1962">
        <v>1.3639179843922151</v>
      </c>
    </row>
    <row r="103" spans="1:10" ht="13.5" outlineLevel="1" collapsed="1" thickBot="1" x14ac:dyDescent="0.25">
      <c r="A103" s="1981" t="s">
        <v>1418</v>
      </c>
      <c r="B103" s="1981"/>
      <c r="C103" s="1981"/>
      <c r="D103" s="1981"/>
      <c r="E103" s="1981"/>
      <c r="F103" s="1965">
        <f t="shared" ref="F103:I103" si="32">SUBTOTAL(9,F102:F102)</f>
        <v>25.194120000000002</v>
      </c>
      <c r="G103" s="1965">
        <f t="shared" si="32"/>
        <v>6.8260677577496391</v>
      </c>
      <c r="H103" s="1965">
        <f t="shared" si="32"/>
        <v>1.9192651088491686</v>
      </c>
      <c r="I103" s="1965">
        <f t="shared" si="32"/>
        <v>1.3639179843922151</v>
      </c>
      <c r="J103" s="1953" t="str">
        <f>LEFT(A103,3)&amp;"*"</f>
        <v>506*</v>
      </c>
    </row>
    <row r="104" spans="1:10" ht="12.75" hidden="1" outlineLevel="2" x14ac:dyDescent="0.2">
      <c r="A104" s="1982">
        <v>5065000</v>
      </c>
      <c r="B104" s="1982" t="s">
        <v>1419</v>
      </c>
      <c r="C104" s="1982" t="s">
        <v>1351</v>
      </c>
      <c r="D104" s="1982" t="s">
        <v>1352</v>
      </c>
      <c r="E104" s="1982" t="s">
        <v>1083</v>
      </c>
      <c r="F104" s="1968">
        <v>710.09070999999994</v>
      </c>
      <c r="G104" s="1962">
        <v>192.39121273569182</v>
      </c>
      <c r="H104" s="1962">
        <v>54.094063369585179</v>
      </c>
      <c r="I104" s="1962">
        <v>38.441727272825439</v>
      </c>
    </row>
    <row r="105" spans="1:10" ht="13.5" outlineLevel="1" collapsed="1" thickBot="1" x14ac:dyDescent="0.25">
      <c r="A105" s="1981" t="s">
        <v>1420</v>
      </c>
      <c r="B105" s="1981"/>
      <c r="C105" s="1981"/>
      <c r="D105" s="1981"/>
      <c r="E105" s="1981"/>
      <c r="F105" s="1965">
        <f t="shared" ref="F105:I105" si="33">SUBTOTAL(9,F104:F104)</f>
        <v>710.09070999999994</v>
      </c>
      <c r="G105" s="1965">
        <f t="shared" si="33"/>
        <v>192.39121273569182</v>
      </c>
      <c r="H105" s="1965">
        <f t="shared" si="33"/>
        <v>54.094063369585179</v>
      </c>
      <c r="I105" s="1965">
        <f t="shared" si="33"/>
        <v>38.441727272825439</v>
      </c>
      <c r="J105" s="1953" t="str">
        <f>LEFT(A105,3)&amp;"*"</f>
        <v>506*</v>
      </c>
    </row>
    <row r="106" spans="1:10" ht="12.75" hidden="1" outlineLevel="2" x14ac:dyDescent="0.2">
      <c r="A106" s="1982">
        <v>5066000</v>
      </c>
      <c r="B106" s="1982" t="s">
        <v>1421</v>
      </c>
      <c r="C106" s="1982" t="s">
        <v>1351</v>
      </c>
      <c r="D106" s="1982" t="s">
        <v>1352</v>
      </c>
      <c r="E106" s="1982" t="s">
        <v>1083</v>
      </c>
      <c r="F106" s="1968">
        <v>1723.4220399999999</v>
      </c>
      <c r="G106" s="1962">
        <v>466.94211269292623</v>
      </c>
      <c r="H106" s="1962">
        <v>131.28872090764258</v>
      </c>
      <c r="I106" s="1962">
        <v>93.299798328098746</v>
      </c>
    </row>
    <row r="107" spans="1:10" ht="13.5" outlineLevel="1" collapsed="1" thickBot="1" x14ac:dyDescent="0.25">
      <c r="A107" s="1981" t="s">
        <v>1422</v>
      </c>
      <c r="B107" s="1981"/>
      <c r="C107" s="1981"/>
      <c r="D107" s="1981"/>
      <c r="E107" s="1981"/>
      <c r="F107" s="1965">
        <f t="shared" ref="F107:I107" si="34">SUBTOTAL(9,F106:F106)</f>
        <v>1723.4220399999999</v>
      </c>
      <c r="G107" s="1965">
        <f t="shared" si="34"/>
        <v>466.94211269292623</v>
      </c>
      <c r="H107" s="1965">
        <f t="shared" si="34"/>
        <v>131.28872090764258</v>
      </c>
      <c r="I107" s="1965">
        <f t="shared" si="34"/>
        <v>93.299798328098746</v>
      </c>
      <c r="J107" s="1953" t="str">
        <f>LEFT(A107,3)&amp;"*"</f>
        <v>506*</v>
      </c>
    </row>
    <row r="108" spans="1:10" ht="12.75" hidden="1" outlineLevel="2" x14ac:dyDescent="0.2">
      <c r="A108" s="1982">
        <v>5067000</v>
      </c>
      <c r="B108" s="1982" t="s">
        <v>1423</v>
      </c>
      <c r="C108" s="1982" t="s">
        <v>1351</v>
      </c>
      <c r="D108" s="1982" t="s">
        <v>1352</v>
      </c>
      <c r="E108" s="1982" t="s">
        <v>1083</v>
      </c>
      <c r="F108" s="1968">
        <v>3872.8235199999999</v>
      </c>
      <c r="G108" s="1962">
        <v>1049.298636401131</v>
      </c>
      <c r="H108" s="1962">
        <v>295.0281674718712</v>
      </c>
      <c r="I108" s="1962">
        <v>209.66057355070006</v>
      </c>
    </row>
    <row r="109" spans="1:10" ht="13.5" outlineLevel="1" collapsed="1" thickBot="1" x14ac:dyDescent="0.25">
      <c r="A109" s="1981" t="s">
        <v>1424</v>
      </c>
      <c r="B109" s="1981"/>
      <c r="C109" s="1981"/>
      <c r="D109" s="1981"/>
      <c r="E109" s="1981"/>
      <c r="F109" s="1965">
        <f t="shared" ref="F109:I109" si="35">SUBTOTAL(9,F108:F108)</f>
        <v>3872.8235199999999</v>
      </c>
      <c r="G109" s="1965">
        <f t="shared" si="35"/>
        <v>1049.298636401131</v>
      </c>
      <c r="H109" s="1965">
        <f t="shared" si="35"/>
        <v>295.0281674718712</v>
      </c>
      <c r="I109" s="1965">
        <f t="shared" si="35"/>
        <v>209.66057355070006</v>
      </c>
      <c r="J109" s="1953" t="str">
        <f>LEFT(A109,3)&amp;"*"</f>
        <v>506*</v>
      </c>
    </row>
    <row r="110" spans="1:10" ht="12.75" hidden="1" outlineLevel="2" x14ac:dyDescent="0.2">
      <c r="A110" s="1982">
        <v>5069000</v>
      </c>
      <c r="B110" s="1982" t="s">
        <v>1425</v>
      </c>
      <c r="C110" s="1982" t="s">
        <v>1351</v>
      </c>
      <c r="D110" s="1982" t="s">
        <v>1352</v>
      </c>
      <c r="E110" s="1982" t="s">
        <v>1083</v>
      </c>
      <c r="F110" s="1968">
        <v>2407.1892699999999</v>
      </c>
      <c r="G110" s="1962">
        <v>652.20127008793668</v>
      </c>
      <c r="H110" s="1962">
        <v>183.37748555246623</v>
      </c>
      <c r="I110" s="1962">
        <v>130.31646817546979</v>
      </c>
    </row>
    <row r="111" spans="1:10" ht="13.5" outlineLevel="1" collapsed="1" thickBot="1" x14ac:dyDescent="0.25">
      <c r="A111" s="1981" t="s">
        <v>1426</v>
      </c>
      <c r="B111" s="1981"/>
      <c r="C111" s="1981"/>
      <c r="D111" s="1981"/>
      <c r="E111" s="1981"/>
      <c r="F111" s="1965">
        <f t="shared" ref="F111:I111" si="36">SUBTOTAL(9,F110:F110)</f>
        <v>2407.1892699999999</v>
      </c>
      <c r="G111" s="1965">
        <f t="shared" si="36"/>
        <v>652.20127008793668</v>
      </c>
      <c r="H111" s="1965">
        <f t="shared" si="36"/>
        <v>183.37748555246623</v>
      </c>
      <c r="I111" s="1965">
        <f t="shared" si="36"/>
        <v>130.31646817546979</v>
      </c>
      <c r="J111" s="1953" t="str">
        <f>LEFT(A111,3)&amp;"*"</f>
        <v>506*</v>
      </c>
    </row>
    <row r="112" spans="1:10" ht="12.75" hidden="1" outlineLevel="2" x14ac:dyDescent="0.2">
      <c r="A112" s="1982">
        <v>5069900</v>
      </c>
      <c r="B112" s="1982" t="s">
        <v>1427</v>
      </c>
      <c r="C112" s="1982" t="s">
        <v>1351</v>
      </c>
      <c r="D112" s="1982" t="s">
        <v>1352</v>
      </c>
      <c r="E112" s="1982" t="s">
        <v>1083</v>
      </c>
      <c r="F112" s="1968">
        <v>3838.3409299999998</v>
      </c>
      <c r="G112" s="1962">
        <v>1039.9559605782524</v>
      </c>
      <c r="H112" s="1962">
        <v>292.40131518055279</v>
      </c>
      <c r="I112" s="1962">
        <v>207.79381159793397</v>
      </c>
    </row>
    <row r="113" spans="1:10" ht="13.5" outlineLevel="1" collapsed="1" thickBot="1" x14ac:dyDescent="0.25">
      <c r="A113" s="1981" t="s">
        <v>1428</v>
      </c>
      <c r="B113" s="1981"/>
      <c r="C113" s="1981"/>
      <c r="D113" s="1981"/>
      <c r="E113" s="1981"/>
      <c r="F113" s="1965">
        <f t="shared" ref="F113:I113" si="37">SUBTOTAL(9,F112:F112)</f>
        <v>3838.3409299999998</v>
      </c>
      <c r="G113" s="1965">
        <f t="shared" si="37"/>
        <v>1039.9559605782524</v>
      </c>
      <c r="H113" s="1965">
        <f t="shared" si="37"/>
        <v>292.40131518055279</v>
      </c>
      <c r="I113" s="1965">
        <f t="shared" si="37"/>
        <v>207.79381159793397</v>
      </c>
      <c r="J113" s="1953" t="str">
        <f>LEFT(A113,3)&amp;"*"</f>
        <v>506*</v>
      </c>
    </row>
    <row r="114" spans="1:10" ht="12.75" hidden="1" outlineLevel="2" x14ac:dyDescent="0.2">
      <c r="A114" s="1982">
        <v>5070000</v>
      </c>
      <c r="B114" s="1982" t="s">
        <v>1429</v>
      </c>
      <c r="C114" s="1982" t="s">
        <v>1351</v>
      </c>
      <c r="D114" s="1982" t="s">
        <v>1352</v>
      </c>
      <c r="E114" s="1982" t="s">
        <v>1083</v>
      </c>
      <c r="F114" s="1968">
        <v>373.32938999999999</v>
      </c>
      <c r="G114" s="1962">
        <v>101.14946313264127</v>
      </c>
      <c r="H114" s="1962">
        <v>28.4398928136781</v>
      </c>
      <c r="I114" s="1962">
        <v>20.210694762237186</v>
      </c>
    </row>
    <row r="115" spans="1:10" ht="13.5" outlineLevel="1" collapsed="1" thickBot="1" x14ac:dyDescent="0.25">
      <c r="A115" s="1981" t="s">
        <v>1430</v>
      </c>
      <c r="B115" s="1981"/>
      <c r="C115" s="1981"/>
      <c r="D115" s="1981"/>
      <c r="E115" s="1981"/>
      <c r="F115" s="1965">
        <f t="shared" ref="F115:I115" si="38">SUBTOTAL(9,F114:F114)</f>
        <v>373.32938999999999</v>
      </c>
      <c r="G115" s="1965">
        <f t="shared" si="38"/>
        <v>101.14946313264127</v>
      </c>
      <c r="H115" s="1965">
        <f t="shared" si="38"/>
        <v>28.4398928136781</v>
      </c>
      <c r="I115" s="1965">
        <f t="shared" si="38"/>
        <v>20.210694762237186</v>
      </c>
      <c r="J115" s="1953" t="str">
        <f>LEFT(A115,3)&amp;"*"</f>
        <v>507*</v>
      </c>
    </row>
    <row r="116" spans="1:10" ht="12.75" hidden="1" outlineLevel="2" x14ac:dyDescent="0.2">
      <c r="A116" s="1982">
        <v>5100000</v>
      </c>
      <c r="B116" s="1982" t="s">
        <v>1431</v>
      </c>
      <c r="C116" s="1982" t="s">
        <v>1351</v>
      </c>
      <c r="D116" s="1982" t="s">
        <v>1352</v>
      </c>
      <c r="E116" s="1982" t="s">
        <v>1083</v>
      </c>
      <c r="F116" s="1968">
        <v>1371.42013</v>
      </c>
      <c r="G116" s="1962">
        <v>371.57109403788729</v>
      </c>
      <c r="H116" s="1962">
        <v>104.47353609026197</v>
      </c>
      <c r="I116" s="1962">
        <v>74.243695729976267</v>
      </c>
    </row>
    <row r="117" spans="1:10" ht="13.5" outlineLevel="1" collapsed="1" thickBot="1" x14ac:dyDescent="0.25">
      <c r="A117" s="1981" t="s">
        <v>1432</v>
      </c>
      <c r="B117" s="1981"/>
      <c r="C117" s="1981"/>
      <c r="D117" s="1981"/>
      <c r="E117" s="1981"/>
      <c r="F117" s="1965">
        <f t="shared" ref="F117:I117" si="39">SUBTOTAL(9,F116:F116)</f>
        <v>1371.42013</v>
      </c>
      <c r="G117" s="1965">
        <f t="shared" si="39"/>
        <v>371.57109403788729</v>
      </c>
      <c r="H117" s="1965">
        <f t="shared" si="39"/>
        <v>104.47353609026197</v>
      </c>
      <c r="I117" s="1965">
        <f t="shared" si="39"/>
        <v>74.243695729976267</v>
      </c>
      <c r="J117" s="1953" t="str">
        <f>LEFT(A117,3)&amp;"*"</f>
        <v>510*</v>
      </c>
    </row>
    <row r="118" spans="1:10" ht="12.75" hidden="1" outlineLevel="2" x14ac:dyDescent="0.2">
      <c r="A118" s="1982">
        <v>5101000</v>
      </c>
      <c r="B118" s="1982" t="s">
        <v>1433</v>
      </c>
      <c r="C118" s="1982" t="s">
        <v>1351</v>
      </c>
      <c r="D118" s="1982" t="s">
        <v>1352</v>
      </c>
      <c r="E118" s="1982" t="s">
        <v>1083</v>
      </c>
      <c r="F118" s="1968">
        <v>3599.2417999999998</v>
      </c>
      <c r="G118" s="1962">
        <v>975.17469962533994</v>
      </c>
      <c r="H118" s="1962">
        <v>274.18696128507275</v>
      </c>
      <c r="I118" s="1962">
        <v>194.84985469610399</v>
      </c>
    </row>
    <row r="119" spans="1:10" ht="13.5" outlineLevel="1" collapsed="1" thickBot="1" x14ac:dyDescent="0.25">
      <c r="A119" s="1981" t="s">
        <v>1434</v>
      </c>
      <c r="B119" s="1981"/>
      <c r="C119" s="1981"/>
      <c r="D119" s="1981"/>
      <c r="E119" s="1981"/>
      <c r="F119" s="1965">
        <f t="shared" ref="F119:I119" si="40">SUBTOTAL(9,F118:F118)</f>
        <v>3599.2417999999998</v>
      </c>
      <c r="G119" s="1965">
        <f t="shared" si="40"/>
        <v>975.17469962533994</v>
      </c>
      <c r="H119" s="1965">
        <f t="shared" si="40"/>
        <v>274.18696128507275</v>
      </c>
      <c r="I119" s="1965">
        <f t="shared" si="40"/>
        <v>194.84985469610399</v>
      </c>
      <c r="J119" s="1953" t="str">
        <f>LEFT(A119,3)&amp;"*"</f>
        <v>510*</v>
      </c>
    </row>
    <row r="120" spans="1:10" ht="12.75" hidden="1" outlineLevel="2" x14ac:dyDescent="0.2">
      <c r="A120" s="1982">
        <v>5110000</v>
      </c>
      <c r="B120" s="1982" t="s">
        <v>1435</v>
      </c>
      <c r="C120" s="1982" t="s">
        <v>1351</v>
      </c>
      <c r="D120" s="1982" t="s">
        <v>1352</v>
      </c>
      <c r="E120" s="1982" t="s">
        <v>1083</v>
      </c>
      <c r="F120" s="1968">
        <v>2348.9213399999999</v>
      </c>
      <c r="G120" s="1962">
        <v>636.41421984431588</v>
      </c>
      <c r="H120" s="1962">
        <v>178.9386877292493</v>
      </c>
      <c r="I120" s="1962">
        <v>127.16205446146405</v>
      </c>
    </row>
    <row r="121" spans="1:10" ht="13.5" outlineLevel="1" collapsed="1" thickBot="1" x14ac:dyDescent="0.25">
      <c r="A121" s="1981" t="s">
        <v>1436</v>
      </c>
      <c r="B121" s="1981"/>
      <c r="C121" s="1981"/>
      <c r="D121" s="1981"/>
      <c r="E121" s="1981"/>
      <c r="F121" s="1965">
        <f t="shared" ref="F121:I121" si="41">SUBTOTAL(9,F120:F120)</f>
        <v>2348.9213399999999</v>
      </c>
      <c r="G121" s="1965">
        <f t="shared" si="41"/>
        <v>636.41421984431588</v>
      </c>
      <c r="H121" s="1965">
        <f t="shared" si="41"/>
        <v>178.9386877292493</v>
      </c>
      <c r="I121" s="1965">
        <f t="shared" si="41"/>
        <v>127.16205446146405</v>
      </c>
      <c r="J121" s="1953" t="str">
        <f>LEFT(A121,3)&amp;"*"</f>
        <v>511*</v>
      </c>
    </row>
    <row r="122" spans="1:10" ht="12.75" hidden="1" outlineLevel="2" x14ac:dyDescent="0.2">
      <c r="A122" s="1982">
        <v>5111000</v>
      </c>
      <c r="B122" s="1982" t="s">
        <v>1435</v>
      </c>
      <c r="C122" s="1982" t="s">
        <v>1351</v>
      </c>
      <c r="D122" s="1982" t="s">
        <v>1352</v>
      </c>
      <c r="E122" s="1982" t="s">
        <v>1083</v>
      </c>
      <c r="F122" s="1968">
        <v>6389.3828899999999</v>
      </c>
      <c r="G122" s="1962">
        <v>1731.132523674024</v>
      </c>
      <c r="H122" s="1962">
        <v>486.73736760223676</v>
      </c>
      <c r="I122" s="1962">
        <v>345.89794098142369</v>
      </c>
    </row>
    <row r="123" spans="1:10" ht="13.5" outlineLevel="1" collapsed="1" thickBot="1" x14ac:dyDescent="0.25">
      <c r="A123" s="1981" t="s">
        <v>1437</v>
      </c>
      <c r="B123" s="1981"/>
      <c r="C123" s="1981"/>
      <c r="D123" s="1981"/>
      <c r="E123" s="1981"/>
      <c r="F123" s="1965">
        <f t="shared" ref="F123:I123" si="42">SUBTOTAL(9,F122:F122)</f>
        <v>6389.3828899999999</v>
      </c>
      <c r="G123" s="1965">
        <f t="shared" si="42"/>
        <v>1731.132523674024</v>
      </c>
      <c r="H123" s="1965">
        <f t="shared" si="42"/>
        <v>486.73736760223676</v>
      </c>
      <c r="I123" s="1965">
        <f t="shared" si="42"/>
        <v>345.89794098142369</v>
      </c>
      <c r="J123" s="1953" t="str">
        <f>LEFT(A123,3)&amp;"*"</f>
        <v>511*</v>
      </c>
    </row>
    <row r="124" spans="1:10" ht="12.75" hidden="1" outlineLevel="2" x14ac:dyDescent="0.2">
      <c r="A124" s="1982">
        <v>5111100</v>
      </c>
      <c r="B124" s="1982" t="s">
        <v>1438</v>
      </c>
      <c r="C124" s="1982" t="s">
        <v>1351</v>
      </c>
      <c r="D124" s="1982" t="s">
        <v>1352</v>
      </c>
      <c r="E124" s="1982" t="s">
        <v>1083</v>
      </c>
      <c r="F124" s="1968">
        <v>1202.7817700000001</v>
      </c>
      <c r="G124" s="1962">
        <v>325.88039827571043</v>
      </c>
      <c r="H124" s="1962">
        <v>91.62681946108242</v>
      </c>
      <c r="I124" s="1962">
        <v>65.114228534360436</v>
      </c>
    </row>
    <row r="125" spans="1:10" ht="13.5" outlineLevel="1" collapsed="1" thickBot="1" x14ac:dyDescent="0.25">
      <c r="A125" s="1981" t="s">
        <v>1439</v>
      </c>
      <c r="B125" s="1981"/>
      <c r="C125" s="1981"/>
      <c r="D125" s="1981"/>
      <c r="E125" s="1981"/>
      <c r="F125" s="1965">
        <f t="shared" ref="F125:I125" si="43">SUBTOTAL(9,F124:F124)</f>
        <v>1202.7817700000001</v>
      </c>
      <c r="G125" s="1965">
        <f t="shared" si="43"/>
        <v>325.88039827571043</v>
      </c>
      <c r="H125" s="1965">
        <f t="shared" si="43"/>
        <v>91.62681946108242</v>
      </c>
      <c r="I125" s="1965">
        <f t="shared" si="43"/>
        <v>65.114228534360436</v>
      </c>
      <c r="J125" s="1953" t="str">
        <f>LEFT(A125,3)&amp;"*"</f>
        <v>511*</v>
      </c>
    </row>
    <row r="126" spans="1:10" ht="12.75" hidden="1" outlineLevel="2" x14ac:dyDescent="0.2">
      <c r="A126" s="1982">
        <v>5111200</v>
      </c>
      <c r="B126" s="1982" t="s">
        <v>1440</v>
      </c>
      <c r="C126" s="1982" t="s">
        <v>1351</v>
      </c>
      <c r="D126" s="1982" t="s">
        <v>1352</v>
      </c>
      <c r="E126" s="1982" t="s">
        <v>1083</v>
      </c>
      <c r="F126" s="1968">
        <v>1172.12087</v>
      </c>
      <c r="G126" s="1962">
        <v>317.57316702835641</v>
      </c>
      <c r="H126" s="1962">
        <v>89.291100032266741</v>
      </c>
      <c r="I126" s="1962">
        <v>63.454358972428864</v>
      </c>
    </row>
    <row r="127" spans="1:10" ht="13.5" outlineLevel="1" collapsed="1" thickBot="1" x14ac:dyDescent="0.25">
      <c r="A127" s="1981" t="s">
        <v>1441</v>
      </c>
      <c r="B127" s="1981"/>
      <c r="C127" s="1981"/>
      <c r="D127" s="1981"/>
      <c r="E127" s="1981"/>
      <c r="F127" s="1965">
        <f t="shared" ref="F127:I127" si="44">SUBTOTAL(9,F126:F126)</f>
        <v>1172.12087</v>
      </c>
      <c r="G127" s="1965">
        <f t="shared" si="44"/>
        <v>317.57316702835641</v>
      </c>
      <c r="H127" s="1965">
        <f t="shared" si="44"/>
        <v>89.291100032266741</v>
      </c>
      <c r="I127" s="1965">
        <f t="shared" si="44"/>
        <v>63.454358972428864</v>
      </c>
      <c r="J127" s="1953" t="str">
        <f>LEFT(A127,3)&amp;"*"</f>
        <v>511*</v>
      </c>
    </row>
    <row r="128" spans="1:10" ht="12.75" hidden="1" outlineLevel="2" x14ac:dyDescent="0.2">
      <c r="A128" s="1982">
        <v>5112000</v>
      </c>
      <c r="B128" s="1982" t="s">
        <v>1442</v>
      </c>
      <c r="C128" s="1982" t="s">
        <v>1351</v>
      </c>
      <c r="D128" s="1982" t="s">
        <v>1352</v>
      </c>
      <c r="E128" s="1982" t="s">
        <v>1083</v>
      </c>
      <c r="F128" s="1968">
        <v>8268.2825699999994</v>
      </c>
      <c r="G128" s="1962">
        <v>2240.1995808164888</v>
      </c>
      <c r="H128" s="1962">
        <v>629.87023347934883</v>
      </c>
      <c r="I128" s="1962">
        <v>447.61473301149965</v>
      </c>
    </row>
    <row r="129" spans="1:10" ht="13.5" outlineLevel="1" collapsed="1" thickBot="1" x14ac:dyDescent="0.25">
      <c r="A129" s="1981" t="s">
        <v>1443</v>
      </c>
      <c r="B129" s="1981"/>
      <c r="C129" s="1981"/>
      <c r="D129" s="1981"/>
      <c r="E129" s="1981"/>
      <c r="F129" s="1965">
        <f t="shared" ref="F129:I129" si="45">SUBTOTAL(9,F128:F128)</f>
        <v>8268.2825699999994</v>
      </c>
      <c r="G129" s="1965">
        <f t="shared" si="45"/>
        <v>2240.1995808164888</v>
      </c>
      <c r="H129" s="1965">
        <f t="shared" si="45"/>
        <v>629.87023347934883</v>
      </c>
      <c r="I129" s="1965">
        <f t="shared" si="45"/>
        <v>447.61473301149965</v>
      </c>
      <c r="J129" s="1953" t="str">
        <f>LEFT(A129,3)&amp;"*"</f>
        <v>511*</v>
      </c>
    </row>
    <row r="130" spans="1:10" ht="12.75" hidden="1" outlineLevel="2" x14ac:dyDescent="0.2">
      <c r="A130" s="1982">
        <v>5114000</v>
      </c>
      <c r="B130" s="1982" t="s">
        <v>1444</v>
      </c>
      <c r="C130" s="1982" t="s">
        <v>1351</v>
      </c>
      <c r="D130" s="1982" t="s">
        <v>1352</v>
      </c>
      <c r="E130" s="1982" t="s">
        <v>1083</v>
      </c>
      <c r="F130" s="1968">
        <v>18.297219999999999</v>
      </c>
      <c r="G130" s="1962">
        <v>4.9574290945050601</v>
      </c>
      <c r="H130" s="1962">
        <v>1.3938655501735</v>
      </c>
      <c r="I130" s="1962">
        <v>0.99054491374895903</v>
      </c>
    </row>
    <row r="131" spans="1:10" ht="13.5" outlineLevel="1" collapsed="1" thickBot="1" x14ac:dyDescent="0.25">
      <c r="A131" s="1981" t="s">
        <v>1445</v>
      </c>
      <c r="B131" s="1981"/>
      <c r="C131" s="1981"/>
      <c r="D131" s="1981"/>
      <c r="E131" s="1981"/>
      <c r="F131" s="1965">
        <f t="shared" ref="F131:I131" si="46">SUBTOTAL(9,F130:F130)</f>
        <v>18.297219999999999</v>
      </c>
      <c r="G131" s="1965">
        <f t="shared" si="46"/>
        <v>4.9574290945050601</v>
      </c>
      <c r="H131" s="1965">
        <f t="shared" si="46"/>
        <v>1.3938655501735</v>
      </c>
      <c r="I131" s="1965">
        <f t="shared" si="46"/>
        <v>0.99054491374895903</v>
      </c>
      <c r="J131" s="1953" t="str">
        <f>LEFT(A131,3)&amp;"*"</f>
        <v>511*</v>
      </c>
    </row>
    <row r="132" spans="1:10" ht="12.75" hidden="1" outlineLevel="2" x14ac:dyDescent="0.2">
      <c r="A132" s="1982">
        <v>5116000</v>
      </c>
      <c r="B132" s="1982" t="s">
        <v>1446</v>
      </c>
      <c r="C132" s="1982" t="s">
        <v>1351</v>
      </c>
      <c r="D132" s="1982" t="s">
        <v>1352</v>
      </c>
      <c r="E132" s="1982" t="s">
        <v>1083</v>
      </c>
      <c r="F132" s="1968">
        <v>87.945639999999997</v>
      </c>
      <c r="G132" s="1962">
        <v>23.827897050528332</v>
      </c>
      <c r="H132" s="1962">
        <v>6.6996187335540904</v>
      </c>
      <c r="I132" s="1962">
        <v>4.7610569468147075</v>
      </c>
    </row>
    <row r="133" spans="1:10" ht="13.5" outlineLevel="1" collapsed="1" thickBot="1" x14ac:dyDescent="0.25">
      <c r="A133" s="1981" t="s">
        <v>1447</v>
      </c>
      <c r="B133" s="1981"/>
      <c r="C133" s="1981"/>
      <c r="D133" s="1981"/>
      <c r="E133" s="1981"/>
      <c r="F133" s="1965">
        <f t="shared" ref="F133:I133" si="47">SUBTOTAL(9,F132:F132)</f>
        <v>87.945639999999997</v>
      </c>
      <c r="G133" s="1965">
        <f t="shared" si="47"/>
        <v>23.827897050528332</v>
      </c>
      <c r="H133" s="1965">
        <f t="shared" si="47"/>
        <v>6.6996187335540904</v>
      </c>
      <c r="I133" s="1965">
        <f t="shared" si="47"/>
        <v>4.7610569468147075</v>
      </c>
      <c r="J133" s="1953" t="str">
        <f>LEFT(A133,3)&amp;"*"</f>
        <v>511*</v>
      </c>
    </row>
    <row r="134" spans="1:10" ht="12.75" hidden="1" outlineLevel="2" x14ac:dyDescent="0.2">
      <c r="A134" s="1982">
        <v>5117000</v>
      </c>
      <c r="B134" s="1982" t="s">
        <v>1448</v>
      </c>
      <c r="C134" s="1982" t="s">
        <v>1351</v>
      </c>
      <c r="D134" s="1982" t="s">
        <v>1352</v>
      </c>
      <c r="E134" s="1982" t="s">
        <v>1083</v>
      </c>
      <c r="F134" s="1968">
        <v>1309.3524</v>
      </c>
      <c r="G134" s="1962">
        <v>354.75453007178294</v>
      </c>
      <c r="H134" s="1962">
        <v>99.745272964799724</v>
      </c>
      <c r="I134" s="1962">
        <v>70.883574670086091</v>
      </c>
    </row>
    <row r="135" spans="1:10" ht="13.5" outlineLevel="1" collapsed="1" thickBot="1" x14ac:dyDescent="0.25">
      <c r="A135" s="1981" t="s">
        <v>1449</v>
      </c>
      <c r="B135" s="1981"/>
      <c r="C135" s="1981"/>
      <c r="D135" s="1981"/>
      <c r="E135" s="1981"/>
      <c r="F135" s="1965">
        <f t="shared" ref="F135:I135" si="48">SUBTOTAL(9,F134:F134)</f>
        <v>1309.3524</v>
      </c>
      <c r="G135" s="1965">
        <f t="shared" si="48"/>
        <v>354.75453007178294</v>
      </c>
      <c r="H135" s="1965">
        <f t="shared" si="48"/>
        <v>99.745272964799724</v>
      </c>
      <c r="I135" s="1965">
        <f t="shared" si="48"/>
        <v>70.883574670086091</v>
      </c>
      <c r="J135" s="1953" t="str">
        <f>LEFT(A135,3)&amp;"*"</f>
        <v>511*</v>
      </c>
    </row>
    <row r="136" spans="1:10" ht="12.75" hidden="1" outlineLevel="2" x14ac:dyDescent="0.2">
      <c r="A136" s="1982">
        <v>5118000</v>
      </c>
      <c r="B136" s="1982" t="s">
        <v>1450</v>
      </c>
      <c r="C136" s="1982" t="s">
        <v>1351</v>
      </c>
      <c r="D136" s="1982" t="s">
        <v>1352</v>
      </c>
      <c r="E136" s="1982" t="s">
        <v>1083</v>
      </c>
      <c r="F136" s="1968">
        <v>762.85524999999996</v>
      </c>
      <c r="G136" s="1962">
        <v>206.68718041570969</v>
      </c>
      <c r="H136" s="1962">
        <v>58.113617956388616</v>
      </c>
      <c r="I136" s="1962">
        <v>41.298207477102565</v>
      </c>
    </row>
    <row r="137" spans="1:10" ht="13.5" outlineLevel="1" collapsed="1" thickBot="1" x14ac:dyDescent="0.25">
      <c r="A137" s="1981" t="s">
        <v>1451</v>
      </c>
      <c r="B137" s="1981"/>
      <c r="C137" s="1981"/>
      <c r="D137" s="1981"/>
      <c r="E137" s="1981"/>
      <c r="F137" s="1965">
        <f t="shared" ref="F137:I137" si="49">SUBTOTAL(9,F136:F136)</f>
        <v>762.85524999999996</v>
      </c>
      <c r="G137" s="1965">
        <f t="shared" si="49"/>
        <v>206.68718041570969</v>
      </c>
      <c r="H137" s="1965">
        <f t="shared" si="49"/>
        <v>58.113617956388616</v>
      </c>
      <c r="I137" s="1965">
        <f t="shared" si="49"/>
        <v>41.298207477102565</v>
      </c>
      <c r="J137" s="1953" t="str">
        <f>LEFT(A137,3)&amp;"*"</f>
        <v>511*</v>
      </c>
    </row>
    <row r="138" spans="1:10" ht="12.75" hidden="1" outlineLevel="2" x14ac:dyDescent="0.2">
      <c r="A138" s="1982">
        <v>5119000</v>
      </c>
      <c r="B138" s="1982" t="s">
        <v>1452</v>
      </c>
      <c r="C138" s="1982" t="s">
        <v>1351</v>
      </c>
      <c r="D138" s="1982" t="s">
        <v>1352</v>
      </c>
      <c r="E138" s="1982" t="s">
        <v>1083</v>
      </c>
      <c r="F138" s="1968">
        <v>2131.6405500000001</v>
      </c>
      <c r="G138" s="1962">
        <v>577.54439644912009</v>
      </c>
      <c r="H138" s="1962">
        <v>162.38643509767564</v>
      </c>
      <c r="I138" s="1962">
        <v>115.3992630980845</v>
      </c>
    </row>
    <row r="139" spans="1:10" ht="13.5" outlineLevel="1" collapsed="1" thickBot="1" x14ac:dyDescent="0.25">
      <c r="A139" s="1981" t="s">
        <v>1453</v>
      </c>
      <c r="B139" s="1981"/>
      <c r="C139" s="1981"/>
      <c r="D139" s="1981"/>
      <c r="E139" s="1981"/>
      <c r="F139" s="1965">
        <f t="shared" ref="F139:I139" si="50">SUBTOTAL(9,F138:F138)</f>
        <v>2131.6405500000001</v>
      </c>
      <c r="G139" s="1965">
        <f t="shared" si="50"/>
        <v>577.54439644912009</v>
      </c>
      <c r="H139" s="1965">
        <f t="shared" si="50"/>
        <v>162.38643509767564</v>
      </c>
      <c r="I139" s="1965">
        <f t="shared" si="50"/>
        <v>115.3992630980845</v>
      </c>
      <c r="J139" s="1953" t="str">
        <f>LEFT(A139,3)&amp;"*"</f>
        <v>511*</v>
      </c>
    </row>
    <row r="140" spans="1:10" ht="12.75" hidden="1" outlineLevel="2" x14ac:dyDescent="0.2">
      <c r="A140" s="1982">
        <v>5119900</v>
      </c>
      <c r="B140" s="1982" t="s">
        <v>1454</v>
      </c>
      <c r="C140" s="1982" t="s">
        <v>1351</v>
      </c>
      <c r="D140" s="1982" t="s">
        <v>1352</v>
      </c>
      <c r="E140" s="1982" t="s">
        <v>1083</v>
      </c>
      <c r="F140" s="1968">
        <v>951.75211000000002</v>
      </c>
      <c r="G140" s="1962">
        <v>257.86669236477348</v>
      </c>
      <c r="H140" s="1962">
        <v>72.503608659344948</v>
      </c>
      <c r="I140" s="1962">
        <v>51.524396149269663</v>
      </c>
    </row>
    <row r="141" spans="1:10" ht="13.5" outlineLevel="1" collapsed="1" thickBot="1" x14ac:dyDescent="0.25">
      <c r="A141" s="1981" t="s">
        <v>1455</v>
      </c>
      <c r="B141" s="1981"/>
      <c r="C141" s="1981"/>
      <c r="D141" s="1981"/>
      <c r="E141" s="1981"/>
      <c r="F141" s="1965">
        <f t="shared" ref="F141:I141" si="51">SUBTOTAL(9,F140:F140)</f>
        <v>951.75211000000002</v>
      </c>
      <c r="G141" s="1965">
        <f t="shared" si="51"/>
        <v>257.86669236477348</v>
      </c>
      <c r="H141" s="1965">
        <f t="shared" si="51"/>
        <v>72.503608659344948</v>
      </c>
      <c r="I141" s="1965">
        <f t="shared" si="51"/>
        <v>51.524396149269663</v>
      </c>
      <c r="J141" s="1953" t="str">
        <f>LEFT(A141,3)&amp;"*"</f>
        <v>511*</v>
      </c>
    </row>
    <row r="142" spans="1:10" ht="12.75" hidden="1" outlineLevel="2" x14ac:dyDescent="0.2">
      <c r="A142" s="1982">
        <v>5120000</v>
      </c>
      <c r="B142" s="1982" t="s">
        <v>1456</v>
      </c>
      <c r="C142" s="1982" t="s">
        <v>1351</v>
      </c>
      <c r="D142" s="1982" t="s">
        <v>1352</v>
      </c>
      <c r="E142" s="1982" t="s">
        <v>1083</v>
      </c>
      <c r="F142" s="1968">
        <v>10787.98704</v>
      </c>
      <c r="G142" s="1962">
        <v>2922.8855980984831</v>
      </c>
      <c r="H142" s="1962">
        <v>821.81902446241497</v>
      </c>
      <c r="I142" s="1962">
        <v>584.0223647123272</v>
      </c>
    </row>
    <row r="143" spans="1:10" ht="13.5" outlineLevel="1" collapsed="1" thickBot="1" x14ac:dyDescent="0.25">
      <c r="A143" s="1981" t="s">
        <v>1457</v>
      </c>
      <c r="B143" s="1981"/>
      <c r="C143" s="1981"/>
      <c r="D143" s="1981"/>
      <c r="E143" s="1981"/>
      <c r="F143" s="1965">
        <f t="shared" ref="F143:I143" si="52">SUBTOTAL(9,F142:F142)</f>
        <v>10787.98704</v>
      </c>
      <c r="G143" s="1965">
        <f t="shared" si="52"/>
        <v>2922.8855980984831</v>
      </c>
      <c r="H143" s="1965">
        <f t="shared" si="52"/>
        <v>821.81902446241497</v>
      </c>
      <c r="I143" s="1965">
        <f t="shared" si="52"/>
        <v>584.0223647123272</v>
      </c>
      <c r="J143" s="1953" t="str">
        <f>LEFT(A143,3)&amp;"*"</f>
        <v>512*</v>
      </c>
    </row>
    <row r="144" spans="1:10" ht="12.75" hidden="1" outlineLevel="2" x14ac:dyDescent="0.2">
      <c r="A144" s="1982">
        <v>5121000</v>
      </c>
      <c r="B144" s="1982" t="s">
        <v>1458</v>
      </c>
      <c r="C144" s="1982" t="s">
        <v>1351</v>
      </c>
      <c r="D144" s="1982" t="s">
        <v>1352</v>
      </c>
      <c r="E144" s="1982" t="s">
        <v>1083</v>
      </c>
      <c r="F144" s="1968">
        <v>7804.1594699999996</v>
      </c>
      <c r="G144" s="1962">
        <v>2114.4505676127405</v>
      </c>
      <c r="H144" s="1962">
        <v>594.51375855421099</v>
      </c>
      <c r="I144" s="1962">
        <v>422.48879715575765</v>
      </c>
    </row>
    <row r="145" spans="1:10" ht="13.5" outlineLevel="1" collapsed="1" thickBot="1" x14ac:dyDescent="0.25">
      <c r="A145" s="1981" t="s">
        <v>1459</v>
      </c>
      <c r="B145" s="1981"/>
      <c r="C145" s="1981"/>
      <c r="D145" s="1981"/>
      <c r="E145" s="1981"/>
      <c r="F145" s="1965">
        <f t="shared" ref="F145:I145" si="53">SUBTOTAL(9,F144:F144)</f>
        <v>7804.1594699999996</v>
      </c>
      <c r="G145" s="1965">
        <f t="shared" si="53"/>
        <v>2114.4505676127405</v>
      </c>
      <c r="H145" s="1965">
        <f t="shared" si="53"/>
        <v>594.51375855421099</v>
      </c>
      <c r="I145" s="1965">
        <f t="shared" si="53"/>
        <v>422.48879715575765</v>
      </c>
      <c r="J145" s="1953" t="str">
        <f>LEFT(A145,3)&amp;"*"</f>
        <v>512*</v>
      </c>
    </row>
    <row r="146" spans="1:10" ht="12.75" hidden="1" outlineLevel="2" x14ac:dyDescent="0.2">
      <c r="A146" s="1982">
        <v>5121100</v>
      </c>
      <c r="B146" s="1982" t="s">
        <v>1460</v>
      </c>
      <c r="C146" s="1982" t="s">
        <v>1351</v>
      </c>
      <c r="D146" s="1982" t="s">
        <v>1352</v>
      </c>
      <c r="E146" s="1982" t="s">
        <v>1083</v>
      </c>
      <c r="F146" s="1968">
        <v>155.23956999999999</v>
      </c>
      <c r="G146" s="1962">
        <v>42.060442019960128</v>
      </c>
      <c r="H146" s="1962">
        <v>11.826009013759881</v>
      </c>
      <c r="I146" s="1962">
        <v>8.4041054584289565</v>
      </c>
    </row>
    <row r="147" spans="1:10" ht="13.5" outlineLevel="1" collapsed="1" thickBot="1" x14ac:dyDescent="0.25">
      <c r="A147" s="1981" t="s">
        <v>1461</v>
      </c>
      <c r="B147" s="1981"/>
      <c r="C147" s="1981"/>
      <c r="D147" s="1981"/>
      <c r="E147" s="1981"/>
      <c r="F147" s="1965">
        <f t="shared" ref="F147:I147" si="54">SUBTOTAL(9,F146:F146)</f>
        <v>155.23956999999999</v>
      </c>
      <c r="G147" s="1965">
        <f t="shared" si="54"/>
        <v>42.060442019960128</v>
      </c>
      <c r="H147" s="1965">
        <f t="shared" si="54"/>
        <v>11.826009013759881</v>
      </c>
      <c r="I147" s="1965">
        <f t="shared" si="54"/>
        <v>8.4041054584289565</v>
      </c>
      <c r="J147" s="1953" t="str">
        <f>LEFT(A147,3)&amp;"*"</f>
        <v>512*</v>
      </c>
    </row>
    <row r="148" spans="1:10" ht="12.75" hidden="1" outlineLevel="2" x14ac:dyDescent="0.2">
      <c r="A148" s="1982">
        <v>5121200</v>
      </c>
      <c r="B148" s="1982" t="s">
        <v>1462</v>
      </c>
      <c r="C148" s="1982" t="s">
        <v>1351</v>
      </c>
      <c r="D148" s="1982" t="s">
        <v>1352</v>
      </c>
      <c r="E148" s="1982" t="s">
        <v>1083</v>
      </c>
      <c r="F148" s="1968">
        <v>4969.7702399999998</v>
      </c>
      <c r="G148" s="1962">
        <v>1346.5042001343045</v>
      </c>
      <c r="H148" s="1962">
        <v>378.59256924349643</v>
      </c>
      <c r="I148" s="1962">
        <v>269.04527757402184</v>
      </c>
    </row>
    <row r="149" spans="1:10" ht="13.5" outlineLevel="1" collapsed="1" thickBot="1" x14ac:dyDescent="0.25">
      <c r="A149" s="1981" t="s">
        <v>1463</v>
      </c>
      <c r="B149" s="1981"/>
      <c r="C149" s="1981"/>
      <c r="D149" s="1981"/>
      <c r="E149" s="1981"/>
      <c r="F149" s="1965">
        <f t="shared" ref="F149:I149" si="55">SUBTOTAL(9,F148:F148)</f>
        <v>4969.7702399999998</v>
      </c>
      <c r="G149" s="1965">
        <f t="shared" si="55"/>
        <v>1346.5042001343045</v>
      </c>
      <c r="H149" s="1965">
        <f t="shared" si="55"/>
        <v>378.59256924349643</v>
      </c>
      <c r="I149" s="1965">
        <f t="shared" si="55"/>
        <v>269.04527757402184</v>
      </c>
      <c r="J149" s="1953" t="str">
        <f>LEFT(A149,3)&amp;"*"</f>
        <v>512*</v>
      </c>
    </row>
    <row r="150" spans="1:10" ht="12.75" hidden="1" outlineLevel="2" x14ac:dyDescent="0.2">
      <c r="A150" s="1982">
        <v>5121400</v>
      </c>
      <c r="B150" s="1982" t="s">
        <v>1464</v>
      </c>
      <c r="C150" s="1982" t="s">
        <v>1351</v>
      </c>
      <c r="D150" s="1982" t="s">
        <v>1352</v>
      </c>
      <c r="E150" s="1982" t="s">
        <v>1083</v>
      </c>
      <c r="F150" s="1968">
        <v>369.01943</v>
      </c>
      <c r="G150" s="1962">
        <v>99.981727208814974</v>
      </c>
      <c r="H150" s="1962">
        <v>28.111563987406907</v>
      </c>
      <c r="I150" s="1962">
        <v>19.97736921024287</v>
      </c>
    </row>
    <row r="151" spans="1:10" ht="13.5" outlineLevel="1" collapsed="1" thickBot="1" x14ac:dyDescent="0.25">
      <c r="A151" s="1981" t="s">
        <v>1465</v>
      </c>
      <c r="B151" s="1981"/>
      <c r="C151" s="1981"/>
      <c r="D151" s="1981"/>
      <c r="E151" s="1981"/>
      <c r="F151" s="1965">
        <f t="shared" ref="F151:I151" si="56">SUBTOTAL(9,F150:F150)</f>
        <v>369.01943</v>
      </c>
      <c r="G151" s="1965">
        <f t="shared" si="56"/>
        <v>99.981727208814974</v>
      </c>
      <c r="H151" s="1965">
        <f t="shared" si="56"/>
        <v>28.111563987406907</v>
      </c>
      <c r="I151" s="1965">
        <f t="shared" si="56"/>
        <v>19.97736921024287</v>
      </c>
      <c r="J151" s="1953" t="str">
        <f>LEFT(A151,3)&amp;"*"</f>
        <v>512*</v>
      </c>
    </row>
    <row r="152" spans="1:10" ht="12.75" hidden="1" outlineLevel="2" x14ac:dyDescent="0.2">
      <c r="A152" s="1982">
        <v>5121500</v>
      </c>
      <c r="B152" s="1982" t="s">
        <v>1466</v>
      </c>
      <c r="C152" s="1982" t="s">
        <v>1351</v>
      </c>
      <c r="D152" s="1982" t="s">
        <v>1352</v>
      </c>
      <c r="E152" s="1982" t="s">
        <v>1083</v>
      </c>
      <c r="F152" s="1968">
        <v>321.47615000000002</v>
      </c>
      <c r="G152" s="1962">
        <v>87.100402093841197</v>
      </c>
      <c r="H152" s="1962">
        <v>24.489760230647533</v>
      </c>
      <c r="I152" s="1962">
        <v>17.40354902406472</v>
      </c>
    </row>
    <row r="153" spans="1:10" ht="13.5" outlineLevel="1" collapsed="1" thickBot="1" x14ac:dyDescent="0.25">
      <c r="A153" s="1981" t="s">
        <v>1467</v>
      </c>
      <c r="B153" s="1981"/>
      <c r="C153" s="1981"/>
      <c r="D153" s="1981"/>
      <c r="E153" s="1981"/>
      <c r="F153" s="1965">
        <f t="shared" ref="F153:I153" si="57">SUBTOTAL(9,F152:F152)</f>
        <v>321.47615000000002</v>
      </c>
      <c r="G153" s="1965">
        <f t="shared" si="57"/>
        <v>87.100402093841197</v>
      </c>
      <c r="H153" s="1965">
        <f t="shared" si="57"/>
        <v>24.489760230647533</v>
      </c>
      <c r="I153" s="1965">
        <f t="shared" si="57"/>
        <v>17.40354902406472</v>
      </c>
      <c r="J153" s="1953" t="str">
        <f>LEFT(A153,3)&amp;"*"</f>
        <v>512*</v>
      </c>
    </row>
    <row r="154" spans="1:10" ht="12.75" hidden="1" outlineLevel="2" x14ac:dyDescent="0.2">
      <c r="A154" s="1982">
        <v>5121600</v>
      </c>
      <c r="B154" s="1982" t="s">
        <v>1468</v>
      </c>
      <c r="C154" s="1982" t="s">
        <v>1351</v>
      </c>
      <c r="D154" s="1982" t="s">
        <v>1352</v>
      </c>
      <c r="E154" s="1982" t="s">
        <v>1083</v>
      </c>
      <c r="F154" s="1968">
        <v>3566.9371999999998</v>
      </c>
      <c r="G154" s="1962">
        <v>966.42212606901023</v>
      </c>
      <c r="H154" s="1962">
        <v>271.726026287727</v>
      </c>
      <c r="I154" s="1962">
        <v>193.10100119700991</v>
      </c>
    </row>
    <row r="155" spans="1:10" ht="13.5" outlineLevel="1" collapsed="1" thickBot="1" x14ac:dyDescent="0.25">
      <c r="A155" s="1981" t="s">
        <v>1469</v>
      </c>
      <c r="B155" s="1981"/>
      <c r="C155" s="1981"/>
      <c r="D155" s="1981"/>
      <c r="E155" s="1981"/>
      <c r="F155" s="1965">
        <f t="shared" ref="F155:I155" si="58">SUBTOTAL(9,F154:F154)</f>
        <v>3566.9371999999998</v>
      </c>
      <c r="G155" s="1965">
        <f t="shared" si="58"/>
        <v>966.42212606901023</v>
      </c>
      <c r="H155" s="1965">
        <f t="shared" si="58"/>
        <v>271.726026287727</v>
      </c>
      <c r="I155" s="1965">
        <f t="shared" si="58"/>
        <v>193.10100119700991</v>
      </c>
      <c r="J155" s="1953" t="str">
        <f>LEFT(A155,3)&amp;"*"</f>
        <v>512*</v>
      </c>
    </row>
    <row r="156" spans="1:10" ht="12.75" hidden="1" outlineLevel="2" x14ac:dyDescent="0.2">
      <c r="A156" s="1982">
        <v>5121700</v>
      </c>
      <c r="B156" s="1982" t="s">
        <v>1470</v>
      </c>
      <c r="C156" s="1982" t="s">
        <v>1351</v>
      </c>
      <c r="D156" s="1982" t="s">
        <v>1352</v>
      </c>
      <c r="E156" s="1982" t="s">
        <v>1083</v>
      </c>
      <c r="F156" s="1968">
        <v>769.00540999999998</v>
      </c>
      <c r="G156" s="1962">
        <v>208.3534981470296</v>
      </c>
      <c r="H156" s="1962">
        <v>58.582131542171325</v>
      </c>
      <c r="I156" s="1962">
        <v>41.631154761266075</v>
      </c>
    </row>
    <row r="157" spans="1:10" ht="13.5" outlineLevel="1" collapsed="1" thickBot="1" x14ac:dyDescent="0.25">
      <c r="A157" s="1981" t="s">
        <v>1471</v>
      </c>
      <c r="B157" s="1981"/>
      <c r="C157" s="1981"/>
      <c r="D157" s="1981"/>
      <c r="E157" s="1981"/>
      <c r="F157" s="1965">
        <f t="shared" ref="F157:I157" si="59">SUBTOTAL(9,F156:F156)</f>
        <v>769.00540999999998</v>
      </c>
      <c r="G157" s="1965">
        <f t="shared" si="59"/>
        <v>208.3534981470296</v>
      </c>
      <c r="H157" s="1965">
        <f t="shared" si="59"/>
        <v>58.582131542171325</v>
      </c>
      <c r="I157" s="1965">
        <f t="shared" si="59"/>
        <v>41.631154761266075</v>
      </c>
      <c r="J157" s="1953" t="str">
        <f>LEFT(A157,3)&amp;"*"</f>
        <v>512*</v>
      </c>
    </row>
    <row r="158" spans="1:10" ht="12.75" hidden="1" outlineLevel="2" x14ac:dyDescent="0.2">
      <c r="A158" s="1982">
        <v>5121800</v>
      </c>
      <c r="B158" s="1982" t="s">
        <v>1472</v>
      </c>
      <c r="C158" s="1982" t="s">
        <v>1351</v>
      </c>
      <c r="D158" s="1982" t="s">
        <v>1352</v>
      </c>
      <c r="E158" s="1982" t="s">
        <v>1083</v>
      </c>
      <c r="F158" s="1968">
        <v>4541.15344</v>
      </c>
      <c r="G158" s="1962">
        <v>1230.3752256390719</v>
      </c>
      <c r="H158" s="1962">
        <v>345.94093190484034</v>
      </c>
      <c r="I158" s="1962">
        <v>245.84152360553071</v>
      </c>
    </row>
    <row r="159" spans="1:10" ht="13.5" outlineLevel="1" collapsed="1" thickBot="1" x14ac:dyDescent="0.25">
      <c r="A159" s="1981" t="s">
        <v>1473</v>
      </c>
      <c r="B159" s="1981"/>
      <c r="C159" s="1981"/>
      <c r="D159" s="1981"/>
      <c r="E159" s="1981"/>
      <c r="F159" s="1965">
        <f t="shared" ref="F159:I159" si="60">SUBTOTAL(9,F158:F158)</f>
        <v>4541.15344</v>
      </c>
      <c r="G159" s="1965">
        <f t="shared" si="60"/>
        <v>1230.3752256390719</v>
      </c>
      <c r="H159" s="1965">
        <f t="shared" si="60"/>
        <v>345.94093190484034</v>
      </c>
      <c r="I159" s="1965">
        <f t="shared" si="60"/>
        <v>245.84152360553071</v>
      </c>
      <c r="J159" s="1953" t="str">
        <f>LEFT(A159,3)&amp;"*"</f>
        <v>512*</v>
      </c>
    </row>
    <row r="160" spans="1:10" ht="12.75" hidden="1" outlineLevel="2" x14ac:dyDescent="0.2">
      <c r="A160" s="1982">
        <v>5121900</v>
      </c>
      <c r="B160" s="1982" t="s">
        <v>1474</v>
      </c>
      <c r="C160" s="1982" t="s">
        <v>1351</v>
      </c>
      <c r="D160" s="1982" t="s">
        <v>1352</v>
      </c>
      <c r="E160" s="1982" t="s">
        <v>1083</v>
      </c>
      <c r="F160" s="1968">
        <v>51.410580000000003</v>
      </c>
      <c r="G160" s="1962">
        <v>13.929127214810775</v>
      </c>
      <c r="H160" s="1962">
        <v>3.916411147509772</v>
      </c>
      <c r="I160" s="1962">
        <v>2.7831817364541696</v>
      </c>
    </row>
    <row r="161" spans="1:10" ht="13.5" outlineLevel="1" collapsed="1" thickBot="1" x14ac:dyDescent="0.25">
      <c r="A161" s="1981" t="s">
        <v>1475</v>
      </c>
      <c r="B161" s="1981"/>
      <c r="C161" s="1981"/>
      <c r="D161" s="1981"/>
      <c r="E161" s="1981"/>
      <c r="F161" s="1965">
        <f t="shared" ref="F161:I161" si="61">SUBTOTAL(9,F160:F160)</f>
        <v>51.410580000000003</v>
      </c>
      <c r="G161" s="1965">
        <f t="shared" si="61"/>
        <v>13.929127214810775</v>
      </c>
      <c r="H161" s="1965">
        <f t="shared" si="61"/>
        <v>3.916411147509772</v>
      </c>
      <c r="I161" s="1965">
        <f t="shared" si="61"/>
        <v>2.7831817364541696</v>
      </c>
      <c r="J161" s="1953" t="str">
        <f>LEFT(A161,3)&amp;"*"</f>
        <v>512*</v>
      </c>
    </row>
    <row r="162" spans="1:10" ht="12.75" hidden="1" outlineLevel="2" x14ac:dyDescent="0.2">
      <c r="A162" s="1982">
        <v>5122000</v>
      </c>
      <c r="B162" s="1982" t="s">
        <v>1476</v>
      </c>
      <c r="C162" s="1982" t="s">
        <v>1351</v>
      </c>
      <c r="D162" s="1982" t="s">
        <v>1352</v>
      </c>
      <c r="E162" s="1982" t="s">
        <v>1083</v>
      </c>
      <c r="F162" s="1968">
        <v>617.23612000000003</v>
      </c>
      <c r="G162" s="1962">
        <v>167.23329005539733</v>
      </c>
      <c r="H162" s="1962">
        <v>47.020485297261366</v>
      </c>
      <c r="I162" s="1962">
        <v>33.414917634927171</v>
      </c>
    </row>
    <row r="163" spans="1:10" ht="13.5" outlineLevel="1" collapsed="1" thickBot="1" x14ac:dyDescent="0.25">
      <c r="A163" s="1981" t="s">
        <v>1477</v>
      </c>
      <c r="B163" s="1981"/>
      <c r="C163" s="1981"/>
      <c r="D163" s="1981"/>
      <c r="E163" s="1981"/>
      <c r="F163" s="1965">
        <f t="shared" ref="F163:I163" si="62">SUBTOTAL(9,F162:F162)</f>
        <v>617.23612000000003</v>
      </c>
      <c r="G163" s="1965">
        <f t="shared" si="62"/>
        <v>167.23329005539733</v>
      </c>
      <c r="H163" s="1965">
        <f t="shared" si="62"/>
        <v>47.020485297261366</v>
      </c>
      <c r="I163" s="1965">
        <f t="shared" si="62"/>
        <v>33.414917634927171</v>
      </c>
      <c r="J163" s="1953" t="str">
        <f>LEFT(A163,3)&amp;"*"</f>
        <v>512*</v>
      </c>
    </row>
    <row r="164" spans="1:10" ht="12.75" hidden="1" outlineLevel="2" x14ac:dyDescent="0.2">
      <c r="A164" s="1982">
        <v>5122100</v>
      </c>
      <c r="B164" s="1982" t="s">
        <v>1478</v>
      </c>
      <c r="C164" s="1982" t="s">
        <v>1351</v>
      </c>
      <c r="D164" s="1982" t="s">
        <v>1352</v>
      </c>
      <c r="E164" s="1982" t="s">
        <v>1083</v>
      </c>
      <c r="F164" s="1968">
        <v>3713.6677399999999</v>
      </c>
      <c r="G164" s="1962">
        <v>1006.177140658573</v>
      </c>
      <c r="H164" s="1962">
        <v>282.90382514811972</v>
      </c>
      <c r="I164" s="1962">
        <v>201.04445873256111</v>
      </c>
    </row>
    <row r="165" spans="1:10" ht="13.5" outlineLevel="1" collapsed="1" thickBot="1" x14ac:dyDescent="0.25">
      <c r="A165" s="1981" t="s">
        <v>1479</v>
      </c>
      <c r="B165" s="1981"/>
      <c r="C165" s="1981"/>
      <c r="D165" s="1981"/>
      <c r="E165" s="1981"/>
      <c r="F165" s="1965">
        <f t="shared" ref="F165:I165" si="63">SUBTOTAL(9,F164:F164)</f>
        <v>3713.6677399999999</v>
      </c>
      <c r="G165" s="1965">
        <f t="shared" si="63"/>
        <v>1006.177140658573</v>
      </c>
      <c r="H165" s="1965">
        <f t="shared" si="63"/>
        <v>282.90382514811972</v>
      </c>
      <c r="I165" s="1965">
        <f t="shared" si="63"/>
        <v>201.04445873256111</v>
      </c>
      <c r="J165" s="1953" t="str">
        <f>LEFT(A165,3)&amp;"*"</f>
        <v>512*</v>
      </c>
    </row>
    <row r="166" spans="1:10" ht="12.75" hidden="1" outlineLevel="2" x14ac:dyDescent="0.2">
      <c r="A166" s="1982">
        <v>5122200</v>
      </c>
      <c r="B166" s="1982" t="s">
        <v>1480</v>
      </c>
      <c r="C166" s="1982" t="s">
        <v>1351</v>
      </c>
      <c r="D166" s="1982" t="s">
        <v>1352</v>
      </c>
      <c r="E166" s="1982" t="s">
        <v>1083</v>
      </c>
      <c r="F166" s="1968">
        <v>8123.1726600000002</v>
      </c>
      <c r="G166" s="1962">
        <v>2200.8836579749309</v>
      </c>
      <c r="H166" s="1962">
        <v>618.81589273590384</v>
      </c>
      <c r="I166" s="1962">
        <v>439.7590104872545</v>
      </c>
    </row>
    <row r="167" spans="1:10" ht="13.5" outlineLevel="1" collapsed="1" thickBot="1" x14ac:dyDescent="0.25">
      <c r="A167" s="1981" t="s">
        <v>1481</v>
      </c>
      <c r="B167" s="1981"/>
      <c r="C167" s="1981"/>
      <c r="D167" s="1981"/>
      <c r="E167" s="1981"/>
      <c r="F167" s="1965">
        <f t="shared" ref="F167:I167" si="64">SUBTOTAL(9,F166:F166)</f>
        <v>8123.1726600000002</v>
      </c>
      <c r="G167" s="1965">
        <f t="shared" si="64"/>
        <v>2200.8836579749309</v>
      </c>
      <c r="H167" s="1965">
        <f t="shared" si="64"/>
        <v>618.81589273590384</v>
      </c>
      <c r="I167" s="1965">
        <f t="shared" si="64"/>
        <v>439.7590104872545</v>
      </c>
      <c r="J167" s="1953" t="str">
        <f>LEFT(A167,3)&amp;"*"</f>
        <v>512*</v>
      </c>
    </row>
    <row r="168" spans="1:10" ht="12.75" hidden="1" outlineLevel="2" x14ac:dyDescent="0.2">
      <c r="A168" s="1982">
        <v>5122300</v>
      </c>
      <c r="B168" s="1982" t="s">
        <v>1482</v>
      </c>
      <c r="C168" s="1982" t="s">
        <v>1351</v>
      </c>
      <c r="D168" s="1982" t="s">
        <v>1352</v>
      </c>
      <c r="E168" s="1982" t="s">
        <v>1083</v>
      </c>
      <c r="F168" s="1968">
        <v>3336.6660299999999</v>
      </c>
      <c r="G168" s="1962">
        <v>904.03270309744835</v>
      </c>
      <c r="H168" s="1962">
        <v>254.18417834245739</v>
      </c>
      <c r="I168" s="1962">
        <v>180.63495792778528</v>
      </c>
    </row>
    <row r="169" spans="1:10" ht="13.5" outlineLevel="1" collapsed="1" thickBot="1" x14ac:dyDescent="0.25">
      <c r="A169" s="1981" t="s">
        <v>1483</v>
      </c>
      <c r="B169" s="1981"/>
      <c r="C169" s="1981"/>
      <c r="D169" s="1981"/>
      <c r="E169" s="1981"/>
      <c r="F169" s="1965">
        <f t="shared" ref="F169:I169" si="65">SUBTOTAL(9,F168:F168)</f>
        <v>3336.6660299999999</v>
      </c>
      <c r="G169" s="1965">
        <f t="shared" si="65"/>
        <v>904.03270309744835</v>
      </c>
      <c r="H169" s="1965">
        <f t="shared" si="65"/>
        <v>254.18417834245739</v>
      </c>
      <c r="I169" s="1965">
        <f t="shared" si="65"/>
        <v>180.63495792778528</v>
      </c>
      <c r="J169" s="1953" t="str">
        <f>LEFT(A169,3)&amp;"*"</f>
        <v>512*</v>
      </c>
    </row>
    <row r="170" spans="1:10" ht="12.75" hidden="1" outlineLevel="2" x14ac:dyDescent="0.2">
      <c r="A170" s="1982">
        <v>5122400</v>
      </c>
      <c r="B170" s="1982" t="s">
        <v>1484</v>
      </c>
      <c r="C170" s="1982" t="s">
        <v>1351</v>
      </c>
      <c r="D170" s="1982" t="s">
        <v>1352</v>
      </c>
      <c r="E170" s="1982" t="s">
        <v>1083</v>
      </c>
      <c r="F170" s="1968">
        <v>540.06037000000003</v>
      </c>
      <c r="G170" s="1962">
        <v>146.32337541042673</v>
      </c>
      <c r="H170" s="1962">
        <v>41.141306972149543</v>
      </c>
      <c r="I170" s="1962">
        <v>29.23690334492786</v>
      </c>
    </row>
    <row r="171" spans="1:10" ht="13.5" outlineLevel="1" collapsed="1" thickBot="1" x14ac:dyDescent="0.25">
      <c r="A171" s="1981" t="s">
        <v>1485</v>
      </c>
      <c r="B171" s="1981"/>
      <c r="C171" s="1981"/>
      <c r="D171" s="1981"/>
      <c r="E171" s="1981"/>
      <c r="F171" s="1965">
        <f t="shared" ref="F171:I171" si="66">SUBTOTAL(9,F170:F170)</f>
        <v>540.06037000000003</v>
      </c>
      <c r="G171" s="1965">
        <f t="shared" si="66"/>
        <v>146.32337541042673</v>
      </c>
      <c r="H171" s="1965">
        <f t="shared" si="66"/>
        <v>41.141306972149543</v>
      </c>
      <c r="I171" s="1965">
        <f t="shared" si="66"/>
        <v>29.23690334492786</v>
      </c>
      <c r="J171" s="1953" t="str">
        <f>LEFT(A171,3)&amp;"*"</f>
        <v>512*</v>
      </c>
    </row>
    <row r="172" spans="1:10" ht="12.75" hidden="1" outlineLevel="2" x14ac:dyDescent="0.2">
      <c r="A172" s="1982">
        <v>5122500</v>
      </c>
      <c r="B172" s="1982" t="s">
        <v>1486</v>
      </c>
      <c r="C172" s="1982" t="s">
        <v>1351</v>
      </c>
      <c r="D172" s="1982" t="s">
        <v>1352</v>
      </c>
      <c r="E172" s="1982" t="s">
        <v>1083</v>
      </c>
      <c r="F172" s="1968">
        <v>176.74437</v>
      </c>
      <c r="G172" s="1962">
        <v>47.886929387522663</v>
      </c>
      <c r="H172" s="1962">
        <v>13.464225086112464</v>
      </c>
      <c r="I172" s="1962">
        <v>9.5682970821394786</v>
      </c>
    </row>
    <row r="173" spans="1:10" ht="13.5" outlineLevel="1" collapsed="1" thickBot="1" x14ac:dyDescent="0.25">
      <c r="A173" s="1981" t="s">
        <v>1487</v>
      </c>
      <c r="B173" s="1981"/>
      <c r="C173" s="1981"/>
      <c r="D173" s="1981"/>
      <c r="E173" s="1981"/>
      <c r="F173" s="1965">
        <f t="shared" ref="F173:I173" si="67">SUBTOTAL(9,F172:F172)</f>
        <v>176.74437</v>
      </c>
      <c r="G173" s="1965">
        <f t="shared" si="67"/>
        <v>47.886929387522663</v>
      </c>
      <c r="H173" s="1965">
        <f t="shared" si="67"/>
        <v>13.464225086112464</v>
      </c>
      <c r="I173" s="1965">
        <f t="shared" si="67"/>
        <v>9.5682970821394786</v>
      </c>
      <c r="J173" s="1953" t="str">
        <f>LEFT(A173,3)&amp;"*"</f>
        <v>512*</v>
      </c>
    </row>
    <row r="174" spans="1:10" ht="12.75" hidden="1" outlineLevel="2" x14ac:dyDescent="0.2">
      <c r="A174" s="1982">
        <v>5122600</v>
      </c>
      <c r="B174" s="1982" t="s">
        <v>1488</v>
      </c>
      <c r="C174" s="1982" t="s">
        <v>1351</v>
      </c>
      <c r="D174" s="1982" t="s">
        <v>1352</v>
      </c>
      <c r="E174" s="1982" t="s">
        <v>1083</v>
      </c>
      <c r="F174" s="1968">
        <v>467.63031000000001</v>
      </c>
      <c r="G174" s="1962">
        <v>126.69925290653011</v>
      </c>
      <c r="H174" s="1962">
        <v>35.62365098774319</v>
      </c>
      <c r="I174" s="1962">
        <v>25.315803443656961</v>
      </c>
    </row>
    <row r="175" spans="1:10" ht="13.5" outlineLevel="1" collapsed="1" thickBot="1" x14ac:dyDescent="0.25">
      <c r="A175" s="1981" t="s">
        <v>1489</v>
      </c>
      <c r="B175" s="1981"/>
      <c r="C175" s="1981"/>
      <c r="D175" s="1981"/>
      <c r="E175" s="1981"/>
      <c r="F175" s="1965">
        <f t="shared" ref="F175:I175" si="68">SUBTOTAL(9,F174:F174)</f>
        <v>467.63031000000001</v>
      </c>
      <c r="G175" s="1965">
        <f t="shared" si="68"/>
        <v>126.69925290653011</v>
      </c>
      <c r="H175" s="1965">
        <f t="shared" si="68"/>
        <v>35.62365098774319</v>
      </c>
      <c r="I175" s="1965">
        <f t="shared" si="68"/>
        <v>25.315803443656961</v>
      </c>
      <c r="J175" s="1953" t="str">
        <f>LEFT(A175,3)&amp;"*"</f>
        <v>512*</v>
      </c>
    </row>
    <row r="176" spans="1:10" ht="12.75" hidden="1" outlineLevel="2" x14ac:dyDescent="0.2">
      <c r="A176" s="1982">
        <v>5122800</v>
      </c>
      <c r="B176" s="1982" t="s">
        <v>1490</v>
      </c>
      <c r="C176" s="1982" t="s">
        <v>1351</v>
      </c>
      <c r="D176" s="1982" t="s">
        <v>1352</v>
      </c>
      <c r="E176" s="1982" t="s">
        <v>1083</v>
      </c>
      <c r="F176" s="1968">
        <v>1629.0711699999999</v>
      </c>
      <c r="G176" s="1962">
        <v>441.37878951979587</v>
      </c>
      <c r="H176" s="1962">
        <v>124.10115758808374</v>
      </c>
      <c r="I176" s="1962">
        <v>88.191985535429197</v>
      </c>
    </row>
    <row r="177" spans="1:10" ht="13.5" outlineLevel="1" collapsed="1" thickBot="1" x14ac:dyDescent="0.25">
      <c r="A177" s="1981" t="s">
        <v>1491</v>
      </c>
      <c r="B177" s="1981"/>
      <c r="C177" s="1981"/>
      <c r="D177" s="1981"/>
      <c r="E177" s="1981"/>
      <c r="F177" s="1965">
        <f t="shared" ref="F177:I177" si="69">SUBTOTAL(9,F176:F176)</f>
        <v>1629.0711699999999</v>
      </c>
      <c r="G177" s="1965">
        <f t="shared" si="69"/>
        <v>441.37878951979587</v>
      </c>
      <c r="H177" s="1965">
        <f t="shared" si="69"/>
        <v>124.10115758808374</v>
      </c>
      <c r="I177" s="1965">
        <f t="shared" si="69"/>
        <v>88.191985535429197</v>
      </c>
      <c r="J177" s="1953" t="str">
        <f>LEFT(A177,3)&amp;"*"</f>
        <v>512*</v>
      </c>
    </row>
    <row r="178" spans="1:10" ht="12.75" hidden="1" outlineLevel="2" x14ac:dyDescent="0.2">
      <c r="A178" s="1982">
        <v>5122900</v>
      </c>
      <c r="B178" s="1982" t="s">
        <v>1492</v>
      </c>
      <c r="C178" s="1982" t="s">
        <v>1351</v>
      </c>
      <c r="D178" s="1982" t="s">
        <v>1352</v>
      </c>
      <c r="E178" s="1982" t="s">
        <v>1083</v>
      </c>
      <c r="F178" s="1968">
        <v>5883.1988700000002</v>
      </c>
      <c r="G178" s="1962">
        <v>1593.9875700733389</v>
      </c>
      <c r="H178" s="1962">
        <v>448.1767301105121</v>
      </c>
      <c r="I178" s="1962">
        <v>318.49497996155281</v>
      </c>
    </row>
    <row r="179" spans="1:10" ht="13.5" outlineLevel="1" collapsed="1" thickBot="1" x14ac:dyDescent="0.25">
      <c r="A179" s="1981" t="s">
        <v>1493</v>
      </c>
      <c r="B179" s="1981"/>
      <c r="C179" s="1981"/>
      <c r="D179" s="1981"/>
      <c r="E179" s="1981"/>
      <c r="F179" s="1965">
        <f t="shared" ref="F179:I179" si="70">SUBTOTAL(9,F178:F178)</f>
        <v>5883.1988700000002</v>
      </c>
      <c r="G179" s="1965">
        <f t="shared" si="70"/>
        <v>1593.9875700733389</v>
      </c>
      <c r="H179" s="1965">
        <f t="shared" si="70"/>
        <v>448.1767301105121</v>
      </c>
      <c r="I179" s="1965">
        <f t="shared" si="70"/>
        <v>318.49497996155281</v>
      </c>
      <c r="J179" s="1953" t="str">
        <f>LEFT(A179,3)&amp;"*"</f>
        <v>512*</v>
      </c>
    </row>
    <row r="180" spans="1:10" ht="12.75" hidden="1" outlineLevel="2" x14ac:dyDescent="0.2">
      <c r="A180" s="1982">
        <v>5123000</v>
      </c>
      <c r="B180" s="1982" t="s">
        <v>1494</v>
      </c>
      <c r="C180" s="1982" t="s">
        <v>1351</v>
      </c>
      <c r="D180" s="1982" t="s">
        <v>1352</v>
      </c>
      <c r="E180" s="1982" t="s">
        <v>1083</v>
      </c>
      <c r="F180" s="1968">
        <v>2802.2905500000002</v>
      </c>
      <c r="G180" s="1962">
        <v>759.2495856652863</v>
      </c>
      <c r="H180" s="1962">
        <v>213.47594111136831</v>
      </c>
      <c r="I180" s="1962">
        <v>151.70581384217238</v>
      </c>
    </row>
    <row r="181" spans="1:10" ht="13.5" outlineLevel="1" collapsed="1" thickBot="1" x14ac:dyDescent="0.25">
      <c r="A181" s="1981" t="s">
        <v>1495</v>
      </c>
      <c r="B181" s="1981"/>
      <c r="C181" s="1981"/>
      <c r="D181" s="1981"/>
      <c r="E181" s="1981"/>
      <c r="F181" s="1965">
        <f t="shared" ref="F181:I181" si="71">SUBTOTAL(9,F180:F180)</f>
        <v>2802.2905500000002</v>
      </c>
      <c r="G181" s="1965">
        <f t="shared" si="71"/>
        <v>759.2495856652863</v>
      </c>
      <c r="H181" s="1965">
        <f t="shared" si="71"/>
        <v>213.47594111136831</v>
      </c>
      <c r="I181" s="1965">
        <f t="shared" si="71"/>
        <v>151.70581384217238</v>
      </c>
      <c r="J181" s="1953" t="str">
        <f>LEFT(A181,3)&amp;"*"</f>
        <v>512*</v>
      </c>
    </row>
    <row r="182" spans="1:10" ht="12.75" hidden="1" outlineLevel="2" x14ac:dyDescent="0.2">
      <c r="A182" s="1982">
        <v>5123100</v>
      </c>
      <c r="B182" s="1982" t="s">
        <v>1496</v>
      </c>
      <c r="C182" s="1982" t="s">
        <v>1351</v>
      </c>
      <c r="D182" s="1982" t="s">
        <v>1352</v>
      </c>
      <c r="E182" s="1982" t="s">
        <v>1083</v>
      </c>
      <c r="F182" s="1968">
        <v>425.94769000000002</v>
      </c>
      <c r="G182" s="1962">
        <v>115.40580870444923</v>
      </c>
      <c r="H182" s="1962">
        <v>32.448306970511453</v>
      </c>
      <c r="I182" s="1962">
        <v>23.059258065029464</v>
      </c>
    </row>
    <row r="183" spans="1:10" ht="13.5" outlineLevel="1" collapsed="1" thickBot="1" x14ac:dyDescent="0.25">
      <c r="A183" s="1981" t="s">
        <v>1497</v>
      </c>
      <c r="B183" s="1981"/>
      <c r="C183" s="1981"/>
      <c r="D183" s="1981"/>
      <c r="E183" s="1981"/>
      <c r="F183" s="1965">
        <f t="shared" ref="F183:I183" si="72">SUBTOTAL(9,F182:F182)</f>
        <v>425.94769000000002</v>
      </c>
      <c r="G183" s="1965">
        <f t="shared" si="72"/>
        <v>115.40580870444923</v>
      </c>
      <c r="H183" s="1965">
        <f t="shared" si="72"/>
        <v>32.448306970511453</v>
      </c>
      <c r="I183" s="1965">
        <f t="shared" si="72"/>
        <v>23.059258065029464</v>
      </c>
      <c r="J183" s="1953" t="str">
        <f>LEFT(A183,3)&amp;"*"</f>
        <v>512*</v>
      </c>
    </row>
    <row r="184" spans="1:10" ht="12.75" hidden="1" outlineLevel="2" x14ac:dyDescent="0.2">
      <c r="A184" s="1982">
        <v>5123200</v>
      </c>
      <c r="B184" s="1982" t="s">
        <v>1498</v>
      </c>
      <c r="C184" s="1982" t="s">
        <v>1351</v>
      </c>
      <c r="D184" s="1982" t="s">
        <v>1352</v>
      </c>
      <c r="E184" s="1982" t="s">
        <v>1083</v>
      </c>
      <c r="F184" s="1968">
        <v>370.8852</v>
      </c>
      <c r="G184" s="1962">
        <v>100.487236924589</v>
      </c>
      <c r="H184" s="1962">
        <v>28.253696646223233</v>
      </c>
      <c r="I184" s="1962">
        <v>20.078375209171963</v>
      </c>
    </row>
    <row r="185" spans="1:10" ht="13.5" outlineLevel="1" collapsed="1" thickBot="1" x14ac:dyDescent="0.25">
      <c r="A185" s="1981" t="s">
        <v>1499</v>
      </c>
      <c r="B185" s="1981"/>
      <c r="C185" s="1981"/>
      <c r="D185" s="1981"/>
      <c r="E185" s="1981"/>
      <c r="F185" s="1965">
        <f t="shared" ref="F185:I185" si="73">SUBTOTAL(9,F184:F184)</f>
        <v>370.8852</v>
      </c>
      <c r="G185" s="1965">
        <f t="shared" si="73"/>
        <v>100.487236924589</v>
      </c>
      <c r="H185" s="1965">
        <f t="shared" si="73"/>
        <v>28.253696646223233</v>
      </c>
      <c r="I185" s="1965">
        <f t="shared" si="73"/>
        <v>20.078375209171963</v>
      </c>
      <c r="J185" s="1953" t="str">
        <f>LEFT(A185,3)&amp;"*"</f>
        <v>512*</v>
      </c>
    </row>
    <row r="186" spans="1:10" ht="12.75" hidden="1" outlineLevel="2" x14ac:dyDescent="0.2">
      <c r="A186" s="1982">
        <v>5123300</v>
      </c>
      <c r="B186" s="1982" t="s">
        <v>1500</v>
      </c>
      <c r="C186" s="1982" t="s">
        <v>1351</v>
      </c>
      <c r="D186" s="1982" t="s">
        <v>1352</v>
      </c>
      <c r="E186" s="1982" t="s">
        <v>1083</v>
      </c>
      <c r="F186" s="1968">
        <v>127.07429999999999</v>
      </c>
      <c r="G186" s="1962">
        <v>34.42937407889638</v>
      </c>
      <c r="H186" s="1962">
        <v>9.6804044047353859</v>
      </c>
      <c r="I186" s="1962">
        <v>6.8793402239908215</v>
      </c>
    </row>
    <row r="187" spans="1:10" ht="13.5" outlineLevel="1" collapsed="1" thickBot="1" x14ac:dyDescent="0.25">
      <c r="A187" s="1981" t="s">
        <v>1501</v>
      </c>
      <c r="B187" s="1981"/>
      <c r="C187" s="1981"/>
      <c r="D187" s="1981"/>
      <c r="E187" s="1981"/>
      <c r="F187" s="1965">
        <f t="shared" ref="F187:I187" si="74">SUBTOTAL(9,F186:F186)</f>
        <v>127.07429999999999</v>
      </c>
      <c r="G187" s="1965">
        <f t="shared" si="74"/>
        <v>34.42937407889638</v>
      </c>
      <c r="H187" s="1965">
        <f t="shared" si="74"/>
        <v>9.6804044047353859</v>
      </c>
      <c r="I187" s="1965">
        <f t="shared" si="74"/>
        <v>6.8793402239908215</v>
      </c>
      <c r="J187" s="1953" t="str">
        <f>LEFT(A187,3)&amp;"*"</f>
        <v>512*</v>
      </c>
    </row>
    <row r="188" spans="1:10" ht="12.75" hidden="1" outlineLevel="2" x14ac:dyDescent="0.2">
      <c r="A188" s="1982">
        <v>5123400</v>
      </c>
      <c r="B188" s="1982" t="s">
        <v>1502</v>
      </c>
      <c r="C188" s="1982" t="s">
        <v>1351</v>
      </c>
      <c r="D188" s="1982" t="s">
        <v>1352</v>
      </c>
      <c r="E188" s="1982" t="s">
        <v>1083</v>
      </c>
      <c r="F188" s="1968">
        <v>2966.4682499999999</v>
      </c>
      <c r="G188" s="1962">
        <v>803.73171500782689</v>
      </c>
      <c r="H188" s="1962">
        <v>225.9828487255698</v>
      </c>
      <c r="I188" s="1962">
        <v>160.59379713613737</v>
      </c>
    </row>
    <row r="189" spans="1:10" ht="13.5" outlineLevel="1" collapsed="1" thickBot="1" x14ac:dyDescent="0.25">
      <c r="A189" s="1981" t="s">
        <v>1503</v>
      </c>
      <c r="B189" s="1981"/>
      <c r="C189" s="1981"/>
      <c r="D189" s="1981"/>
      <c r="E189" s="1981"/>
      <c r="F189" s="1965">
        <f t="shared" ref="F189:I189" si="75">SUBTOTAL(9,F188:F188)</f>
        <v>2966.4682499999999</v>
      </c>
      <c r="G189" s="1965">
        <f t="shared" si="75"/>
        <v>803.73171500782689</v>
      </c>
      <c r="H189" s="1965">
        <f t="shared" si="75"/>
        <v>225.9828487255698</v>
      </c>
      <c r="I189" s="1965">
        <f t="shared" si="75"/>
        <v>160.59379713613737</v>
      </c>
      <c r="J189" s="1953" t="str">
        <f>LEFT(A189,3)&amp;"*"</f>
        <v>512*</v>
      </c>
    </row>
    <row r="190" spans="1:10" ht="12.75" hidden="1" outlineLevel="2" x14ac:dyDescent="0.2">
      <c r="A190" s="1982">
        <v>5124000</v>
      </c>
      <c r="B190" s="1982" t="s">
        <v>1504</v>
      </c>
      <c r="C190" s="1982" t="s">
        <v>1351</v>
      </c>
      <c r="D190" s="1982" t="s">
        <v>1352</v>
      </c>
      <c r="E190" s="1982" t="s">
        <v>1083</v>
      </c>
      <c r="F190" s="1968">
        <v>902.77580999999998</v>
      </c>
      <c r="G190" s="1962">
        <v>244.59710635328059</v>
      </c>
      <c r="H190" s="1962">
        <v>68.772638744518417</v>
      </c>
      <c r="I190" s="1962">
        <v>48.872997474539666</v>
      </c>
    </row>
    <row r="191" spans="1:10" ht="13.5" outlineLevel="1" collapsed="1" thickBot="1" x14ac:dyDescent="0.25">
      <c r="A191" s="1981" t="s">
        <v>1505</v>
      </c>
      <c r="B191" s="1981"/>
      <c r="C191" s="1981"/>
      <c r="D191" s="1981"/>
      <c r="E191" s="1981"/>
      <c r="F191" s="1965">
        <f t="shared" ref="F191:I191" si="76">SUBTOTAL(9,F190:F190)</f>
        <v>902.77580999999998</v>
      </c>
      <c r="G191" s="1965">
        <f t="shared" si="76"/>
        <v>244.59710635328059</v>
      </c>
      <c r="H191" s="1965">
        <f t="shared" si="76"/>
        <v>68.772638744518417</v>
      </c>
      <c r="I191" s="1965">
        <f t="shared" si="76"/>
        <v>48.872997474539666</v>
      </c>
      <c r="J191" s="1953" t="str">
        <f>LEFT(A191,3)&amp;"*"</f>
        <v>512*</v>
      </c>
    </row>
    <row r="192" spans="1:10" ht="12.75" hidden="1" outlineLevel="2" x14ac:dyDescent="0.2">
      <c r="A192" s="1982">
        <v>5125000</v>
      </c>
      <c r="B192" s="1982" t="s">
        <v>1506</v>
      </c>
      <c r="C192" s="1982" t="s">
        <v>1351</v>
      </c>
      <c r="D192" s="1982" t="s">
        <v>1352</v>
      </c>
      <c r="E192" s="1982" t="s">
        <v>1083</v>
      </c>
      <c r="F192" s="1968">
        <v>3388.8337299999998</v>
      </c>
      <c r="G192" s="1962">
        <v>918.16696359021239</v>
      </c>
      <c r="H192" s="1962">
        <v>258.1582662018036</v>
      </c>
      <c r="I192" s="1962">
        <v>183.4591273861501</v>
      </c>
    </row>
    <row r="193" spans="1:10" ht="13.5" outlineLevel="1" collapsed="1" thickBot="1" x14ac:dyDescent="0.25">
      <c r="A193" s="1981" t="s">
        <v>1507</v>
      </c>
      <c r="B193" s="1981"/>
      <c r="C193" s="1981"/>
      <c r="D193" s="1981"/>
      <c r="E193" s="1981"/>
      <c r="F193" s="1965">
        <f t="shared" ref="F193:I193" si="77">SUBTOTAL(9,F192:F192)</f>
        <v>3388.8337299999998</v>
      </c>
      <c r="G193" s="1965">
        <f t="shared" si="77"/>
        <v>918.16696359021239</v>
      </c>
      <c r="H193" s="1965">
        <f t="shared" si="77"/>
        <v>258.1582662018036</v>
      </c>
      <c r="I193" s="1965">
        <f t="shared" si="77"/>
        <v>183.4591273861501</v>
      </c>
      <c r="J193" s="1953" t="str">
        <f>LEFT(A193,3)&amp;"*"</f>
        <v>512*</v>
      </c>
    </row>
    <row r="194" spans="1:10" ht="12.75" hidden="1" outlineLevel="2" x14ac:dyDescent="0.2">
      <c r="A194" s="1982">
        <v>5126000</v>
      </c>
      <c r="B194" s="1982" t="s">
        <v>1508</v>
      </c>
      <c r="C194" s="1982" t="s">
        <v>1351</v>
      </c>
      <c r="D194" s="1982" t="s">
        <v>1352</v>
      </c>
      <c r="E194" s="1982" t="s">
        <v>1083</v>
      </c>
      <c r="F194" s="1968">
        <v>2421.2751400000002</v>
      </c>
      <c r="G194" s="1962">
        <v>656.01768054588706</v>
      </c>
      <c r="H194" s="1962">
        <v>184.45053429633128</v>
      </c>
      <c r="I194" s="1962">
        <v>131.07902592381788</v>
      </c>
    </row>
    <row r="195" spans="1:10" ht="13.5" outlineLevel="1" collapsed="1" thickBot="1" x14ac:dyDescent="0.25">
      <c r="A195" s="1981" t="s">
        <v>1509</v>
      </c>
      <c r="B195" s="1981"/>
      <c r="C195" s="1981"/>
      <c r="D195" s="1981"/>
      <c r="E195" s="1981"/>
      <c r="F195" s="1965">
        <f t="shared" ref="F195:I195" si="78">SUBTOTAL(9,F194:F194)</f>
        <v>2421.2751400000002</v>
      </c>
      <c r="G195" s="1965">
        <f t="shared" si="78"/>
        <v>656.01768054588706</v>
      </c>
      <c r="H195" s="1965">
        <f t="shared" si="78"/>
        <v>184.45053429633128</v>
      </c>
      <c r="I195" s="1965">
        <f t="shared" si="78"/>
        <v>131.07902592381788</v>
      </c>
      <c r="J195" s="1953" t="str">
        <f>LEFT(A195,3)&amp;"*"</f>
        <v>512*</v>
      </c>
    </row>
    <row r="196" spans="1:10" ht="12.75" hidden="1" outlineLevel="2" x14ac:dyDescent="0.2">
      <c r="A196" s="1982">
        <v>5127000</v>
      </c>
      <c r="B196" s="1982" t="s">
        <v>1510</v>
      </c>
      <c r="C196" s="1982" t="s">
        <v>1351</v>
      </c>
      <c r="D196" s="1982" t="s">
        <v>1352</v>
      </c>
      <c r="E196" s="1982" t="s">
        <v>1083</v>
      </c>
      <c r="F196" s="1968">
        <v>539.55150000000003</v>
      </c>
      <c r="G196" s="1962">
        <v>146.18550272029563</v>
      </c>
      <c r="H196" s="1962">
        <v>41.102541719148448</v>
      </c>
      <c r="I196" s="1962">
        <v>29.209354974724114</v>
      </c>
    </row>
    <row r="197" spans="1:10" ht="13.5" outlineLevel="1" collapsed="1" thickBot="1" x14ac:dyDescent="0.25">
      <c r="A197" s="1981" t="s">
        <v>1511</v>
      </c>
      <c r="B197" s="1981"/>
      <c r="C197" s="1981"/>
      <c r="D197" s="1981"/>
      <c r="E197" s="1981"/>
      <c r="F197" s="1965">
        <f t="shared" ref="F197:I197" si="79">SUBTOTAL(9,F196:F196)</f>
        <v>539.55150000000003</v>
      </c>
      <c r="G197" s="1965">
        <f t="shared" si="79"/>
        <v>146.18550272029563</v>
      </c>
      <c r="H197" s="1965">
        <f t="shared" si="79"/>
        <v>41.102541719148448</v>
      </c>
      <c r="I197" s="1965">
        <f t="shared" si="79"/>
        <v>29.209354974724114</v>
      </c>
      <c r="J197" s="1953" t="str">
        <f>LEFT(A197,3)&amp;"*"</f>
        <v>512*</v>
      </c>
    </row>
    <row r="198" spans="1:10" ht="12.75" hidden="1" outlineLevel="2" x14ac:dyDescent="0.2">
      <c r="A198" s="1982">
        <v>5128000</v>
      </c>
      <c r="B198" s="1982" t="s">
        <v>1512</v>
      </c>
      <c r="C198" s="1982" t="s">
        <v>1351</v>
      </c>
      <c r="D198" s="1982" t="s">
        <v>1352</v>
      </c>
      <c r="E198" s="1982" t="s">
        <v>1083</v>
      </c>
      <c r="F198" s="1968">
        <v>9369.15092</v>
      </c>
      <c r="G198" s="1962">
        <v>2538.4676667612271</v>
      </c>
      <c r="H198" s="1962">
        <v>713.73338145162791</v>
      </c>
      <c r="I198" s="1962">
        <v>507.21173981361</v>
      </c>
    </row>
    <row r="199" spans="1:10" ht="13.5" outlineLevel="1" collapsed="1" thickBot="1" x14ac:dyDescent="0.25">
      <c r="A199" s="1981" t="s">
        <v>1513</v>
      </c>
      <c r="B199" s="1981"/>
      <c r="C199" s="1981"/>
      <c r="D199" s="1981"/>
      <c r="E199" s="1981"/>
      <c r="F199" s="1965">
        <f t="shared" ref="F199:I199" si="80">SUBTOTAL(9,F198:F198)</f>
        <v>9369.15092</v>
      </c>
      <c r="G199" s="1965">
        <f t="shared" si="80"/>
        <v>2538.4676667612271</v>
      </c>
      <c r="H199" s="1965">
        <f t="shared" si="80"/>
        <v>713.73338145162791</v>
      </c>
      <c r="I199" s="1965">
        <f t="shared" si="80"/>
        <v>507.21173981361</v>
      </c>
      <c r="J199" s="1953" t="str">
        <f>LEFT(A199,3)&amp;"*"</f>
        <v>512*</v>
      </c>
    </row>
    <row r="200" spans="1:10" ht="12.75" hidden="1" outlineLevel="2" x14ac:dyDescent="0.2">
      <c r="A200" s="1982">
        <v>5129000</v>
      </c>
      <c r="B200" s="1982" t="s">
        <v>1514</v>
      </c>
      <c r="C200" s="1982" t="s">
        <v>1351</v>
      </c>
      <c r="D200" s="1982" t="s">
        <v>1352</v>
      </c>
      <c r="E200" s="1982" t="s">
        <v>1083</v>
      </c>
      <c r="F200" s="1968">
        <v>1269.27297</v>
      </c>
      <c r="G200" s="1962">
        <v>343.89545244287649</v>
      </c>
      <c r="H200" s="1962">
        <v>96.692058501204144</v>
      </c>
      <c r="I200" s="1962">
        <v>68.713820164622561</v>
      </c>
    </row>
    <row r="201" spans="1:10" ht="13.5" outlineLevel="1" collapsed="1" thickBot="1" x14ac:dyDescent="0.25">
      <c r="A201" s="1981" t="s">
        <v>1515</v>
      </c>
      <c r="B201" s="1981"/>
      <c r="C201" s="1981"/>
      <c r="D201" s="1981"/>
      <c r="E201" s="1981"/>
      <c r="F201" s="1965">
        <f t="shared" ref="F201:I201" si="81">SUBTOTAL(9,F200:F200)</f>
        <v>1269.27297</v>
      </c>
      <c r="G201" s="1965">
        <f t="shared" si="81"/>
        <v>343.89545244287649</v>
      </c>
      <c r="H201" s="1965">
        <f t="shared" si="81"/>
        <v>96.692058501204144</v>
      </c>
      <c r="I201" s="1965">
        <f t="shared" si="81"/>
        <v>68.713820164622561</v>
      </c>
      <c r="J201" s="1953" t="str">
        <f>LEFT(A201,3)&amp;"*"</f>
        <v>512*</v>
      </c>
    </row>
    <row r="202" spans="1:10" ht="12.75" hidden="1" outlineLevel="2" x14ac:dyDescent="0.2">
      <c r="A202" s="1982">
        <v>5129900</v>
      </c>
      <c r="B202" s="1982" t="s">
        <v>1516</v>
      </c>
      <c r="C202" s="1982" t="s">
        <v>1351</v>
      </c>
      <c r="D202" s="1982" t="s">
        <v>1352</v>
      </c>
      <c r="E202" s="1982" t="s">
        <v>1083</v>
      </c>
      <c r="F202" s="1968">
        <v>5463.06531</v>
      </c>
      <c r="G202" s="1962">
        <v>1480.15703549366</v>
      </c>
      <c r="H202" s="1962">
        <v>416.17133826651877</v>
      </c>
      <c r="I202" s="1962">
        <v>295.7504777391801</v>
      </c>
    </row>
    <row r="203" spans="1:10" ht="13.5" outlineLevel="1" collapsed="1" thickBot="1" x14ac:dyDescent="0.25">
      <c r="A203" s="1981" t="s">
        <v>1517</v>
      </c>
      <c r="B203" s="1981"/>
      <c r="C203" s="1981"/>
      <c r="D203" s="1981"/>
      <c r="E203" s="1981"/>
      <c r="F203" s="1965">
        <f t="shared" ref="F203:I203" si="82">SUBTOTAL(9,F202:F202)</f>
        <v>5463.06531</v>
      </c>
      <c r="G203" s="1965">
        <f t="shared" si="82"/>
        <v>1480.15703549366</v>
      </c>
      <c r="H203" s="1965">
        <f t="shared" si="82"/>
        <v>416.17133826651877</v>
      </c>
      <c r="I203" s="1965">
        <f t="shared" si="82"/>
        <v>295.7504777391801</v>
      </c>
      <c r="J203" s="1953" t="str">
        <f>LEFT(A203,3)&amp;"*"</f>
        <v>512*</v>
      </c>
    </row>
    <row r="204" spans="1:10" ht="12.75" hidden="1" outlineLevel="2" x14ac:dyDescent="0.2">
      <c r="A204" s="1982">
        <v>5130000</v>
      </c>
      <c r="B204" s="1982" t="s">
        <v>1518</v>
      </c>
      <c r="C204" s="1982" t="s">
        <v>1351</v>
      </c>
      <c r="D204" s="1982" t="s">
        <v>1352</v>
      </c>
      <c r="E204" s="1982" t="s">
        <v>1083</v>
      </c>
      <c r="F204" s="1968">
        <v>2916.4208899999999</v>
      </c>
      <c r="G204" s="1962">
        <v>790.17193715265716</v>
      </c>
      <c r="H204" s="1962">
        <v>222.17028643571749</v>
      </c>
      <c r="I204" s="1962">
        <v>157.88441517021232</v>
      </c>
    </row>
    <row r="205" spans="1:10" ht="13.5" outlineLevel="1" collapsed="1" thickBot="1" x14ac:dyDescent="0.25">
      <c r="A205" s="1981" t="s">
        <v>1519</v>
      </c>
      <c r="B205" s="1981"/>
      <c r="C205" s="1981"/>
      <c r="D205" s="1981"/>
      <c r="E205" s="1981"/>
      <c r="F205" s="1965">
        <f t="shared" ref="F205:I205" si="83">SUBTOTAL(9,F204:F204)</f>
        <v>2916.4208899999999</v>
      </c>
      <c r="G205" s="1965">
        <f t="shared" si="83"/>
        <v>790.17193715265716</v>
      </c>
      <c r="H205" s="1965">
        <f t="shared" si="83"/>
        <v>222.17028643571749</v>
      </c>
      <c r="I205" s="1965">
        <f t="shared" si="83"/>
        <v>157.88441517021232</v>
      </c>
      <c r="J205" s="1953" t="str">
        <f>LEFT(A205,3)&amp;"*"</f>
        <v>513*</v>
      </c>
    </row>
    <row r="206" spans="1:10" ht="12.75" hidden="1" outlineLevel="2" x14ac:dyDescent="0.2">
      <c r="A206" s="1982">
        <v>5131000</v>
      </c>
      <c r="B206" s="1982" t="s">
        <v>1520</v>
      </c>
      <c r="C206" s="1982" t="s">
        <v>1351</v>
      </c>
      <c r="D206" s="1982" t="s">
        <v>1352</v>
      </c>
      <c r="E206" s="1982" t="s">
        <v>1083</v>
      </c>
      <c r="F206" s="1968">
        <v>18933.33065</v>
      </c>
      <c r="G206" s="1962">
        <v>5129.7762294050362</v>
      </c>
      <c r="H206" s="1962">
        <v>1442.3238799707849</v>
      </c>
      <c r="I206" s="1962">
        <v>1024.9816297604102</v>
      </c>
    </row>
    <row r="207" spans="1:10" ht="13.5" outlineLevel="1" collapsed="1" thickBot="1" x14ac:dyDescent="0.25">
      <c r="A207" s="1981" t="s">
        <v>1521</v>
      </c>
      <c r="B207" s="1981"/>
      <c r="C207" s="1981"/>
      <c r="D207" s="1981"/>
      <c r="E207" s="1981"/>
      <c r="F207" s="1965">
        <f t="shared" ref="F207:I207" si="84">SUBTOTAL(9,F206:F206)</f>
        <v>18933.33065</v>
      </c>
      <c r="G207" s="1965">
        <f t="shared" si="84"/>
        <v>5129.7762294050362</v>
      </c>
      <c r="H207" s="1965">
        <f t="shared" si="84"/>
        <v>1442.3238799707849</v>
      </c>
      <c r="I207" s="1965">
        <f t="shared" si="84"/>
        <v>1024.9816297604102</v>
      </c>
      <c r="J207" s="1953" t="str">
        <f>LEFT(A207,3)&amp;"*"</f>
        <v>513*</v>
      </c>
    </row>
    <row r="208" spans="1:10" ht="12.75" hidden="1" outlineLevel="2" x14ac:dyDescent="0.2">
      <c r="A208" s="1982">
        <v>5131100</v>
      </c>
      <c r="B208" s="1982" t="s">
        <v>1522</v>
      </c>
      <c r="C208" s="1982" t="s">
        <v>1351</v>
      </c>
      <c r="D208" s="1982" t="s">
        <v>1352</v>
      </c>
      <c r="E208" s="1982" t="s">
        <v>1083</v>
      </c>
      <c r="F208" s="1968">
        <v>1137.0926300000001</v>
      </c>
      <c r="G208" s="1962">
        <v>308.08265338173112</v>
      </c>
      <c r="H208" s="1962">
        <v>86.622680621055139</v>
      </c>
      <c r="I208" s="1962">
        <v>61.558057514088325</v>
      </c>
    </row>
    <row r="209" spans="1:10" ht="13.5" outlineLevel="1" collapsed="1" thickBot="1" x14ac:dyDescent="0.25">
      <c r="A209" s="1981" t="s">
        <v>1523</v>
      </c>
      <c r="B209" s="1981"/>
      <c r="C209" s="1981"/>
      <c r="D209" s="1981"/>
      <c r="E209" s="1981"/>
      <c r="F209" s="1965">
        <f t="shared" ref="F209:I209" si="85">SUBTOTAL(9,F208:F208)</f>
        <v>1137.0926300000001</v>
      </c>
      <c r="G209" s="1965">
        <f t="shared" si="85"/>
        <v>308.08265338173112</v>
      </c>
      <c r="H209" s="1965">
        <f t="shared" si="85"/>
        <v>86.622680621055139</v>
      </c>
      <c r="I209" s="1965">
        <f t="shared" si="85"/>
        <v>61.558057514088325</v>
      </c>
      <c r="J209" s="1953" t="str">
        <f>LEFT(A209,3)&amp;"*"</f>
        <v>513*</v>
      </c>
    </row>
    <row r="210" spans="1:10" ht="12.75" hidden="1" outlineLevel="2" x14ac:dyDescent="0.2">
      <c r="A210" s="1982">
        <v>5131300</v>
      </c>
      <c r="B210" s="1982" t="s">
        <v>1524</v>
      </c>
      <c r="C210" s="1982" t="s">
        <v>1351</v>
      </c>
      <c r="D210" s="1982" t="s">
        <v>1352</v>
      </c>
      <c r="E210" s="1982" t="s">
        <v>1083</v>
      </c>
      <c r="F210" s="1968">
        <v>8.4653200000000002</v>
      </c>
      <c r="G210" s="1962">
        <v>2.2935846900401033</v>
      </c>
      <c r="H210" s="1962">
        <v>0.64488036538855276</v>
      </c>
      <c r="I210" s="1962">
        <v>0.45828162252283888</v>
      </c>
    </row>
    <row r="211" spans="1:10" ht="13.5" outlineLevel="1" collapsed="1" thickBot="1" x14ac:dyDescent="0.25">
      <c r="A211" s="1981" t="s">
        <v>1525</v>
      </c>
      <c r="B211" s="1981"/>
      <c r="C211" s="1981"/>
      <c r="D211" s="1981"/>
      <c r="E211" s="1981"/>
      <c r="F211" s="1965">
        <f t="shared" ref="F211:I211" si="86">SUBTOTAL(9,F210:F210)</f>
        <v>8.4653200000000002</v>
      </c>
      <c r="G211" s="1965">
        <f t="shared" si="86"/>
        <v>2.2935846900401033</v>
      </c>
      <c r="H211" s="1965">
        <f t="shared" si="86"/>
        <v>0.64488036538855276</v>
      </c>
      <c r="I211" s="1965">
        <f t="shared" si="86"/>
        <v>0.45828162252283888</v>
      </c>
      <c r="J211" s="1953" t="str">
        <f>LEFT(A211,3)&amp;"*"</f>
        <v>513*</v>
      </c>
    </row>
    <row r="212" spans="1:10" ht="12.75" hidden="1" outlineLevel="2" x14ac:dyDescent="0.2">
      <c r="A212" s="1982">
        <v>5131400</v>
      </c>
      <c r="B212" s="1982" t="s">
        <v>1526</v>
      </c>
      <c r="C212" s="1982" t="s">
        <v>1351</v>
      </c>
      <c r="D212" s="1982" t="s">
        <v>1352</v>
      </c>
      <c r="E212" s="1982" t="s">
        <v>1083</v>
      </c>
      <c r="F212" s="1968">
        <v>6955.0466399999996</v>
      </c>
      <c r="G212" s="1962">
        <v>1884.3928513061362</v>
      </c>
      <c r="H212" s="1962">
        <v>529.82911673718479</v>
      </c>
      <c r="I212" s="1962">
        <v>376.5209181579927</v>
      </c>
    </row>
    <row r="213" spans="1:10" ht="13.5" outlineLevel="1" collapsed="1" thickBot="1" x14ac:dyDescent="0.25">
      <c r="A213" s="1981" t="s">
        <v>1527</v>
      </c>
      <c r="B213" s="1981"/>
      <c r="C213" s="1981"/>
      <c r="D213" s="1981"/>
      <c r="E213" s="1981"/>
      <c r="F213" s="1965">
        <f t="shared" ref="F213:I213" si="87">SUBTOTAL(9,F212:F212)</f>
        <v>6955.0466399999996</v>
      </c>
      <c r="G213" s="1965">
        <f t="shared" si="87"/>
        <v>1884.3928513061362</v>
      </c>
      <c r="H213" s="1965">
        <f t="shared" si="87"/>
        <v>529.82911673718479</v>
      </c>
      <c r="I213" s="1965">
        <f t="shared" si="87"/>
        <v>376.5209181579927</v>
      </c>
      <c r="J213" s="1953" t="str">
        <f>LEFT(A213,3)&amp;"*"</f>
        <v>513*</v>
      </c>
    </row>
    <row r="214" spans="1:10" ht="12.75" hidden="1" outlineLevel="2" x14ac:dyDescent="0.2">
      <c r="A214" s="1982">
        <v>5132000</v>
      </c>
      <c r="B214" s="1982" t="s">
        <v>1528</v>
      </c>
      <c r="C214" s="1982" t="s">
        <v>1351</v>
      </c>
      <c r="D214" s="1982" t="s">
        <v>1352</v>
      </c>
      <c r="E214" s="1982" t="s">
        <v>1083</v>
      </c>
      <c r="F214" s="1968">
        <v>2385.2156399999999</v>
      </c>
      <c r="G214" s="1962">
        <v>646.24775842475026</v>
      </c>
      <c r="H214" s="1962">
        <v>181.70355443783467</v>
      </c>
      <c r="I214" s="1962">
        <v>129.12689580146429</v>
      </c>
    </row>
    <row r="215" spans="1:10" ht="13.5" outlineLevel="1" collapsed="1" thickBot="1" x14ac:dyDescent="0.25">
      <c r="A215" s="1981" t="s">
        <v>1529</v>
      </c>
      <c r="B215" s="1981"/>
      <c r="C215" s="1981"/>
      <c r="D215" s="1981"/>
      <c r="E215" s="1981"/>
      <c r="F215" s="1965">
        <f t="shared" ref="F215:I215" si="88">SUBTOTAL(9,F214:F214)</f>
        <v>2385.2156399999999</v>
      </c>
      <c r="G215" s="1965">
        <f t="shared" si="88"/>
        <v>646.24775842475026</v>
      </c>
      <c r="H215" s="1965">
        <f t="shared" si="88"/>
        <v>181.70355443783467</v>
      </c>
      <c r="I215" s="1965">
        <f t="shared" si="88"/>
        <v>129.12689580146429</v>
      </c>
      <c r="J215" s="1953" t="str">
        <f>LEFT(A215,3)&amp;"*"</f>
        <v>513*</v>
      </c>
    </row>
    <row r="216" spans="1:10" ht="12.75" hidden="1" outlineLevel="2" x14ac:dyDescent="0.2">
      <c r="A216" s="1982">
        <v>5133000</v>
      </c>
      <c r="B216" s="1982" t="s">
        <v>1530</v>
      </c>
      <c r="C216" s="1982" t="s">
        <v>1351</v>
      </c>
      <c r="D216" s="1982" t="s">
        <v>1352</v>
      </c>
      <c r="E216" s="1982" t="s">
        <v>1083</v>
      </c>
      <c r="F216" s="1968">
        <v>159.11385000000001</v>
      </c>
      <c r="G216" s="1962">
        <v>43.110135273484943</v>
      </c>
      <c r="H216" s="1962">
        <v>12.121148134551248</v>
      </c>
      <c r="I216" s="1962">
        <v>8.6138448805072478</v>
      </c>
    </row>
    <row r="217" spans="1:10" ht="13.5" outlineLevel="1" collapsed="1" thickBot="1" x14ac:dyDescent="0.25">
      <c r="A217" s="1981" t="s">
        <v>1531</v>
      </c>
      <c r="B217" s="1981"/>
      <c r="C217" s="1981"/>
      <c r="D217" s="1981"/>
      <c r="E217" s="1981"/>
      <c r="F217" s="1965">
        <f t="shared" ref="F217:I217" si="89">SUBTOTAL(9,F216:F216)</f>
        <v>159.11385000000001</v>
      </c>
      <c r="G217" s="1965">
        <f t="shared" si="89"/>
        <v>43.110135273484943</v>
      </c>
      <c r="H217" s="1965">
        <f t="shared" si="89"/>
        <v>12.121148134551248</v>
      </c>
      <c r="I217" s="1965">
        <f t="shared" si="89"/>
        <v>8.6138448805072478</v>
      </c>
      <c r="J217" s="1953" t="str">
        <f>LEFT(A217,3)&amp;"*"</f>
        <v>513*</v>
      </c>
    </row>
    <row r="218" spans="1:10" ht="12.75" hidden="1" outlineLevel="2" x14ac:dyDescent="0.2">
      <c r="A218" s="1982">
        <v>5134000</v>
      </c>
      <c r="B218" s="1982" t="s">
        <v>1532</v>
      </c>
      <c r="C218" s="1982" t="s">
        <v>1351</v>
      </c>
      <c r="D218" s="1982" t="s">
        <v>1352</v>
      </c>
      <c r="E218" s="1982" t="s">
        <v>1083</v>
      </c>
      <c r="F218" s="1968">
        <v>180.1223</v>
      </c>
      <c r="G218" s="1962">
        <v>48.80214210624176</v>
      </c>
      <c r="H218" s="1962">
        <v>13.721552716096557</v>
      </c>
      <c r="I218" s="1962">
        <v>9.7511659212582096</v>
      </c>
    </row>
    <row r="219" spans="1:10" ht="13.5" outlineLevel="1" collapsed="1" thickBot="1" x14ac:dyDescent="0.25">
      <c r="A219" s="1981" t="s">
        <v>1533</v>
      </c>
      <c r="B219" s="1981"/>
      <c r="C219" s="1981"/>
      <c r="D219" s="1981"/>
      <c r="E219" s="1981"/>
      <c r="F219" s="1965">
        <f t="shared" ref="F219:I219" si="90">SUBTOTAL(9,F218:F218)</f>
        <v>180.1223</v>
      </c>
      <c r="G219" s="1965">
        <f t="shared" si="90"/>
        <v>48.80214210624176</v>
      </c>
      <c r="H219" s="1965">
        <f t="shared" si="90"/>
        <v>13.721552716096557</v>
      </c>
      <c r="I219" s="1965">
        <f t="shared" si="90"/>
        <v>9.7511659212582096</v>
      </c>
      <c r="J219" s="1953" t="str">
        <f>LEFT(A219,3)&amp;"*"</f>
        <v>513*</v>
      </c>
    </row>
    <row r="220" spans="1:10" ht="12.75" hidden="1" outlineLevel="2" x14ac:dyDescent="0.2">
      <c r="A220" s="1982">
        <v>5135000</v>
      </c>
      <c r="B220" s="1982" t="s">
        <v>1534</v>
      </c>
      <c r="C220" s="1982" t="s">
        <v>1351</v>
      </c>
      <c r="D220" s="1982" t="s">
        <v>1352</v>
      </c>
      <c r="E220" s="1982" t="s">
        <v>1083</v>
      </c>
      <c r="F220" s="1968">
        <v>1138.54935</v>
      </c>
      <c r="G220" s="1962">
        <v>308.47733553074323</v>
      </c>
      <c r="H220" s="1962">
        <v>86.733652223530726</v>
      </c>
      <c r="I220" s="1962">
        <v>61.636919034404322</v>
      </c>
    </row>
    <row r="221" spans="1:10" ht="13.5" outlineLevel="1" collapsed="1" thickBot="1" x14ac:dyDescent="0.25">
      <c r="A221" s="1981" t="s">
        <v>1535</v>
      </c>
      <c r="B221" s="1981"/>
      <c r="C221" s="1981"/>
      <c r="D221" s="1981"/>
      <c r="E221" s="1981"/>
      <c r="F221" s="1965">
        <f t="shared" ref="F221:I221" si="91">SUBTOTAL(9,F220:F220)</f>
        <v>1138.54935</v>
      </c>
      <c r="G221" s="1965">
        <f t="shared" si="91"/>
        <v>308.47733553074323</v>
      </c>
      <c r="H221" s="1965">
        <f t="shared" si="91"/>
        <v>86.733652223530726</v>
      </c>
      <c r="I221" s="1965">
        <f t="shared" si="91"/>
        <v>61.636919034404322</v>
      </c>
      <c r="J221" s="1953" t="str">
        <f>LEFT(A221,3)&amp;"*"</f>
        <v>513*</v>
      </c>
    </row>
    <row r="222" spans="1:10" ht="12.75" hidden="1" outlineLevel="2" x14ac:dyDescent="0.2">
      <c r="A222" s="1982">
        <v>5137000</v>
      </c>
      <c r="B222" s="1982" t="s">
        <v>1536</v>
      </c>
      <c r="C222" s="1982" t="s">
        <v>1351</v>
      </c>
      <c r="D222" s="1982" t="s">
        <v>1352</v>
      </c>
      <c r="E222" s="1982" t="s">
        <v>1083</v>
      </c>
      <c r="F222" s="1968">
        <v>1487.8180500000001</v>
      </c>
      <c r="G222" s="1962">
        <v>403.1078212099863</v>
      </c>
      <c r="H222" s="1962">
        <v>113.34062359316411</v>
      </c>
      <c r="I222" s="1962">
        <v>80.545055588302191</v>
      </c>
    </row>
    <row r="223" spans="1:10" ht="13.5" outlineLevel="1" collapsed="1" thickBot="1" x14ac:dyDescent="0.25">
      <c r="A223" s="1981" t="s">
        <v>1537</v>
      </c>
      <c r="B223" s="1981"/>
      <c r="C223" s="1981"/>
      <c r="D223" s="1981"/>
      <c r="E223" s="1981"/>
      <c r="F223" s="1965">
        <f t="shared" ref="F223:I223" si="92">SUBTOTAL(9,F222:F222)</f>
        <v>1487.8180500000001</v>
      </c>
      <c r="G223" s="1965">
        <f t="shared" si="92"/>
        <v>403.1078212099863</v>
      </c>
      <c r="H223" s="1965">
        <f t="shared" si="92"/>
        <v>113.34062359316411</v>
      </c>
      <c r="I223" s="1965">
        <f t="shared" si="92"/>
        <v>80.545055588302191</v>
      </c>
      <c r="J223" s="1953" t="str">
        <f>LEFT(A223,3)&amp;"*"</f>
        <v>513*</v>
      </c>
    </row>
    <row r="224" spans="1:10" ht="12.75" hidden="1" outlineLevel="2" x14ac:dyDescent="0.2">
      <c r="A224" s="1982">
        <v>5138000</v>
      </c>
      <c r="B224" s="1982" t="s">
        <v>1538</v>
      </c>
      <c r="C224" s="1982" t="s">
        <v>1351</v>
      </c>
      <c r="D224" s="1982" t="s">
        <v>1352</v>
      </c>
      <c r="E224" s="1982" t="s">
        <v>1083</v>
      </c>
      <c r="F224" s="1968">
        <v>1519.9519499999999</v>
      </c>
      <c r="G224" s="1962">
        <v>411.81414549203106</v>
      </c>
      <c r="H224" s="1962">
        <v>115.78855482002371</v>
      </c>
      <c r="I224" s="1962">
        <v>82.284668010512632</v>
      </c>
    </row>
    <row r="225" spans="1:10" ht="13.5" outlineLevel="1" collapsed="1" thickBot="1" x14ac:dyDescent="0.25">
      <c r="A225" s="1981" t="s">
        <v>1539</v>
      </c>
      <c r="B225" s="1981"/>
      <c r="C225" s="1981"/>
      <c r="D225" s="1981"/>
      <c r="E225" s="1981"/>
      <c r="F225" s="1965">
        <f t="shared" ref="F225:I225" si="93">SUBTOTAL(9,F224:F224)</f>
        <v>1519.9519499999999</v>
      </c>
      <c r="G225" s="1965">
        <f t="shared" si="93"/>
        <v>411.81414549203106</v>
      </c>
      <c r="H225" s="1965">
        <f t="shared" si="93"/>
        <v>115.78855482002371</v>
      </c>
      <c r="I225" s="1965">
        <f t="shared" si="93"/>
        <v>82.284668010512632</v>
      </c>
      <c r="J225" s="1953" t="str">
        <f>LEFT(A225,3)&amp;"*"</f>
        <v>513*</v>
      </c>
    </row>
    <row r="226" spans="1:10" ht="12.75" hidden="1" outlineLevel="2" x14ac:dyDescent="0.2">
      <c r="A226" s="1982">
        <v>5139000</v>
      </c>
      <c r="B226" s="1982" t="s">
        <v>1540</v>
      </c>
      <c r="C226" s="1982" t="s">
        <v>1351</v>
      </c>
      <c r="D226" s="1982" t="s">
        <v>1352</v>
      </c>
      <c r="E226" s="1982" t="s">
        <v>1083</v>
      </c>
      <c r="F226" s="1968">
        <v>380.03138000000001</v>
      </c>
      <c r="G226" s="1962">
        <v>102.96529309025681</v>
      </c>
      <c r="H226" s="1962">
        <v>28.950444306123799</v>
      </c>
      <c r="I226" s="1962">
        <v>20.573516114688346</v>
      </c>
    </row>
    <row r="227" spans="1:10" ht="13.5" outlineLevel="1" collapsed="1" thickBot="1" x14ac:dyDescent="0.25">
      <c r="A227" s="1981" t="s">
        <v>1541</v>
      </c>
      <c r="B227" s="1981"/>
      <c r="C227" s="1981"/>
      <c r="D227" s="1981"/>
      <c r="E227" s="1981"/>
      <c r="F227" s="1965">
        <f t="shared" ref="F227:I227" si="94">SUBTOTAL(9,F226:F226)</f>
        <v>380.03138000000001</v>
      </c>
      <c r="G227" s="1965">
        <f t="shared" si="94"/>
        <v>102.96529309025681</v>
      </c>
      <c r="H227" s="1965">
        <f t="shared" si="94"/>
        <v>28.950444306123799</v>
      </c>
      <c r="I227" s="1965">
        <f t="shared" si="94"/>
        <v>20.573516114688346</v>
      </c>
      <c r="J227" s="1953" t="str">
        <f>LEFT(A227,3)&amp;"*"</f>
        <v>513*</v>
      </c>
    </row>
    <row r="228" spans="1:10" ht="12.75" hidden="1" outlineLevel="2" x14ac:dyDescent="0.2">
      <c r="A228" s="1982">
        <v>5139900</v>
      </c>
      <c r="B228" s="1982" t="s">
        <v>1542</v>
      </c>
      <c r="C228" s="1982" t="s">
        <v>1351</v>
      </c>
      <c r="D228" s="1982" t="s">
        <v>1352</v>
      </c>
      <c r="E228" s="1982" t="s">
        <v>1083</v>
      </c>
      <c r="F228" s="1968">
        <v>462.15964000000002</v>
      </c>
      <c r="G228" s="1962">
        <v>125.21703546451236</v>
      </c>
      <c r="H228" s="1962">
        <v>35.206900331120622</v>
      </c>
      <c r="I228" s="1962">
        <v>25.019641275671933</v>
      </c>
    </row>
    <row r="229" spans="1:10" ht="13.5" outlineLevel="1" collapsed="1" thickBot="1" x14ac:dyDescent="0.25">
      <c r="A229" s="1981" t="s">
        <v>1543</v>
      </c>
      <c r="B229" s="1981"/>
      <c r="C229" s="1981"/>
      <c r="D229" s="1981"/>
      <c r="E229" s="1981"/>
      <c r="F229" s="1965">
        <f t="shared" ref="F229:I229" si="95">SUBTOTAL(9,F228:F228)</f>
        <v>462.15964000000002</v>
      </c>
      <c r="G229" s="1965">
        <f t="shared" si="95"/>
        <v>125.21703546451236</v>
      </c>
      <c r="H229" s="1965">
        <f t="shared" si="95"/>
        <v>35.206900331120622</v>
      </c>
      <c r="I229" s="1965">
        <f t="shared" si="95"/>
        <v>25.019641275671933</v>
      </c>
      <c r="J229" s="1953" t="str">
        <f>LEFT(A229,3)&amp;"*"</f>
        <v>513*</v>
      </c>
    </row>
    <row r="230" spans="1:10" ht="12.75" hidden="1" outlineLevel="2" x14ac:dyDescent="0.2">
      <c r="A230" s="1982">
        <v>5140000</v>
      </c>
      <c r="B230" s="1982" t="s">
        <v>1544</v>
      </c>
      <c r="C230" s="1982" t="s">
        <v>1351</v>
      </c>
      <c r="D230" s="1982" t="s">
        <v>1352</v>
      </c>
      <c r="E230" s="1982" t="s">
        <v>1083</v>
      </c>
      <c r="F230" s="1968">
        <v>2706.8108000000002</v>
      </c>
      <c r="G230" s="1962">
        <v>733.38040495990754</v>
      </c>
      <c r="H230" s="1962">
        <v>206.20238074185983</v>
      </c>
      <c r="I230" s="1962">
        <v>146.53688759389411</v>
      </c>
    </row>
    <row r="231" spans="1:10" ht="13.5" outlineLevel="1" collapsed="1" thickBot="1" x14ac:dyDescent="0.25">
      <c r="A231" s="1981" t="s">
        <v>1545</v>
      </c>
      <c r="B231" s="1981"/>
      <c r="C231" s="1981"/>
      <c r="D231" s="1981"/>
      <c r="E231" s="1981"/>
      <c r="F231" s="1965">
        <f t="shared" ref="F231:I231" si="96">SUBTOTAL(9,F230:F230)</f>
        <v>2706.8108000000002</v>
      </c>
      <c r="G231" s="1965">
        <f t="shared" si="96"/>
        <v>733.38040495990754</v>
      </c>
      <c r="H231" s="1965">
        <f t="shared" si="96"/>
        <v>206.20238074185983</v>
      </c>
      <c r="I231" s="1965">
        <f t="shared" si="96"/>
        <v>146.53688759389411</v>
      </c>
      <c r="J231" s="1953" t="str">
        <f>LEFT(A231,3)&amp;"*"</f>
        <v>514*</v>
      </c>
    </row>
    <row r="232" spans="1:10" ht="12.75" hidden="1" outlineLevel="2" x14ac:dyDescent="0.2">
      <c r="A232" s="1982">
        <v>5141000</v>
      </c>
      <c r="B232" s="1982" t="s">
        <v>1546</v>
      </c>
      <c r="C232" s="1982" t="s">
        <v>1351</v>
      </c>
      <c r="D232" s="1982" t="s">
        <v>1352</v>
      </c>
      <c r="E232" s="1982" t="s">
        <v>1083</v>
      </c>
      <c r="F232" s="1968">
        <v>1072.6890599999999</v>
      </c>
      <c r="G232" s="1962">
        <v>290.63321943996323</v>
      </c>
      <c r="H232" s="1962">
        <v>81.716475332427251</v>
      </c>
      <c r="I232" s="1962">
        <v>58.071482575885952</v>
      </c>
    </row>
    <row r="233" spans="1:10" ht="13.5" outlineLevel="1" collapsed="1" thickBot="1" x14ac:dyDescent="0.25">
      <c r="A233" s="1981" t="s">
        <v>1547</v>
      </c>
      <c r="B233" s="1981"/>
      <c r="C233" s="1981"/>
      <c r="D233" s="1981"/>
      <c r="E233" s="1981"/>
      <c r="F233" s="1965">
        <f t="shared" ref="F233:I233" si="97">SUBTOTAL(9,F232:F232)</f>
        <v>1072.6890599999999</v>
      </c>
      <c r="G233" s="1965">
        <f t="shared" si="97"/>
        <v>290.63321943996323</v>
      </c>
      <c r="H233" s="1965">
        <f t="shared" si="97"/>
        <v>81.716475332427251</v>
      </c>
      <c r="I233" s="1965">
        <f t="shared" si="97"/>
        <v>58.071482575885952</v>
      </c>
      <c r="J233" s="1953" t="str">
        <f>LEFT(A233,3)&amp;"*"</f>
        <v>514*</v>
      </c>
    </row>
    <row r="234" spans="1:10" ht="12.75" hidden="1" outlineLevel="2" x14ac:dyDescent="0.2">
      <c r="A234" s="1982">
        <v>5142000</v>
      </c>
      <c r="B234" s="1982" t="s">
        <v>1548</v>
      </c>
      <c r="C234" s="1982" t="s">
        <v>1351</v>
      </c>
      <c r="D234" s="1982" t="s">
        <v>1352</v>
      </c>
      <c r="E234" s="1982" t="s">
        <v>1083</v>
      </c>
      <c r="F234" s="1968">
        <v>656.22367999999994</v>
      </c>
      <c r="G234" s="1962">
        <v>177.79653760162356</v>
      </c>
      <c r="H234" s="1962">
        <v>49.990522098989835</v>
      </c>
      <c r="I234" s="1962">
        <v>35.52556227151581</v>
      </c>
    </row>
    <row r="235" spans="1:10" ht="13.5" outlineLevel="1" collapsed="1" thickBot="1" x14ac:dyDescent="0.25">
      <c r="A235" s="1981" t="s">
        <v>1549</v>
      </c>
      <c r="B235" s="1981"/>
      <c r="C235" s="1981"/>
      <c r="D235" s="1981"/>
      <c r="E235" s="1981"/>
      <c r="F235" s="1965">
        <f t="shared" ref="F235:I235" si="98">SUBTOTAL(9,F234:F234)</f>
        <v>656.22367999999994</v>
      </c>
      <c r="G235" s="1965">
        <f t="shared" si="98"/>
        <v>177.79653760162356</v>
      </c>
      <c r="H235" s="1965">
        <f t="shared" si="98"/>
        <v>49.990522098989835</v>
      </c>
      <c r="I235" s="1965">
        <f t="shared" si="98"/>
        <v>35.52556227151581</v>
      </c>
      <c r="J235" s="1953" t="str">
        <f>LEFT(A235,3)&amp;"*"</f>
        <v>514*</v>
      </c>
    </row>
    <row r="236" spans="1:10" ht="12.75" hidden="1" outlineLevel="2" x14ac:dyDescent="0.2">
      <c r="A236" s="1982">
        <v>5144000</v>
      </c>
      <c r="B236" s="1982" t="s">
        <v>1550</v>
      </c>
      <c r="C236" s="1982" t="s">
        <v>1351</v>
      </c>
      <c r="D236" s="1982" t="s">
        <v>1352</v>
      </c>
      <c r="E236" s="1982" t="s">
        <v>1083</v>
      </c>
      <c r="F236" s="1968">
        <v>355.95499000000001</v>
      </c>
      <c r="G236" s="1962">
        <v>96.442061895755643</v>
      </c>
      <c r="H236" s="1962">
        <v>27.11632685038234</v>
      </c>
      <c r="I236" s="1962">
        <v>19.270107965475717</v>
      </c>
    </row>
    <row r="237" spans="1:10" ht="13.5" outlineLevel="1" collapsed="1" thickBot="1" x14ac:dyDescent="0.25">
      <c r="A237" s="1981" t="s">
        <v>1551</v>
      </c>
      <c r="B237" s="1981"/>
      <c r="C237" s="1981"/>
      <c r="D237" s="1981"/>
      <c r="E237" s="1981"/>
      <c r="F237" s="1965">
        <f t="shared" ref="F237:I237" si="99">SUBTOTAL(9,F236:F236)</f>
        <v>355.95499000000001</v>
      </c>
      <c r="G237" s="1965">
        <f t="shared" si="99"/>
        <v>96.442061895755643</v>
      </c>
      <c r="H237" s="1965">
        <f t="shared" si="99"/>
        <v>27.11632685038234</v>
      </c>
      <c r="I237" s="1965">
        <f t="shared" si="99"/>
        <v>19.270107965475717</v>
      </c>
      <c r="J237" s="1953" t="str">
        <f>LEFT(A237,3)&amp;"*"</f>
        <v>514*</v>
      </c>
    </row>
    <row r="238" spans="1:10" ht="12.75" hidden="1" outlineLevel="2" x14ac:dyDescent="0.2">
      <c r="A238" s="1982">
        <v>5145000</v>
      </c>
      <c r="B238" s="1982" t="s">
        <v>1552</v>
      </c>
      <c r="C238" s="1982" t="s">
        <v>1351</v>
      </c>
      <c r="D238" s="1982" t="s">
        <v>1352</v>
      </c>
      <c r="E238" s="1982" t="s">
        <v>1083</v>
      </c>
      <c r="F238" s="1968">
        <v>1355.4920099999999</v>
      </c>
      <c r="G238" s="1962">
        <v>367.25554634764978</v>
      </c>
      <c r="H238" s="1962">
        <v>103.26014641975303</v>
      </c>
      <c r="I238" s="1962">
        <v>73.381405269918218</v>
      </c>
    </row>
    <row r="239" spans="1:10" ht="13.5" outlineLevel="1" collapsed="1" thickBot="1" x14ac:dyDescent="0.25">
      <c r="A239" s="1981" t="s">
        <v>1553</v>
      </c>
      <c r="B239" s="1981"/>
      <c r="C239" s="1981"/>
      <c r="D239" s="1981"/>
      <c r="E239" s="1981"/>
      <c r="F239" s="1965">
        <f t="shared" ref="F239:I239" si="100">SUBTOTAL(9,F238:F238)</f>
        <v>1355.4920099999999</v>
      </c>
      <c r="G239" s="1965">
        <f t="shared" si="100"/>
        <v>367.25554634764978</v>
      </c>
      <c r="H239" s="1965">
        <f t="shared" si="100"/>
        <v>103.26014641975303</v>
      </c>
      <c r="I239" s="1965">
        <f t="shared" si="100"/>
        <v>73.381405269918218</v>
      </c>
      <c r="J239" s="1953" t="str">
        <f>LEFT(A239,3)&amp;"*"</f>
        <v>514*</v>
      </c>
    </row>
    <row r="240" spans="1:10" ht="12.75" hidden="1" outlineLevel="2" x14ac:dyDescent="0.2">
      <c r="A240" s="1982">
        <v>5146000</v>
      </c>
      <c r="B240" s="1982" t="s">
        <v>1554</v>
      </c>
      <c r="C240" s="1982" t="s">
        <v>1351</v>
      </c>
      <c r="D240" s="1982" t="s">
        <v>1352</v>
      </c>
      <c r="E240" s="1982" t="s">
        <v>1083</v>
      </c>
      <c r="F240" s="1968">
        <v>249.65948</v>
      </c>
      <c r="G240" s="1962">
        <v>67.642470816386549</v>
      </c>
      <c r="H240" s="1962">
        <v>19.018831737620793</v>
      </c>
      <c r="I240" s="1962">
        <v>13.515655825486602</v>
      </c>
    </row>
    <row r="241" spans="1:10" ht="13.5" outlineLevel="1" collapsed="1" thickBot="1" x14ac:dyDescent="0.25">
      <c r="A241" s="1981" t="s">
        <v>1555</v>
      </c>
      <c r="B241" s="1981"/>
      <c r="C241" s="1981"/>
      <c r="D241" s="1981"/>
      <c r="E241" s="1981"/>
      <c r="F241" s="1965">
        <f t="shared" ref="F241:I241" si="101">SUBTOTAL(9,F240:F240)</f>
        <v>249.65948</v>
      </c>
      <c r="G241" s="1965">
        <f t="shared" si="101"/>
        <v>67.642470816386549</v>
      </c>
      <c r="H241" s="1965">
        <f t="shared" si="101"/>
        <v>19.018831737620793</v>
      </c>
      <c r="I241" s="1965">
        <f t="shared" si="101"/>
        <v>13.515655825486602</v>
      </c>
      <c r="J241" s="1953" t="str">
        <f>LEFT(A241,3)&amp;"*"</f>
        <v>514*</v>
      </c>
    </row>
    <row r="242" spans="1:10" ht="12.75" hidden="1" outlineLevel="2" x14ac:dyDescent="0.2">
      <c r="A242" s="1982">
        <v>5147000</v>
      </c>
      <c r="B242" s="1982" t="s">
        <v>1556</v>
      </c>
      <c r="C242" s="1982" t="s">
        <v>1351</v>
      </c>
      <c r="D242" s="1982" t="s">
        <v>1352</v>
      </c>
      <c r="E242" s="1982" t="s">
        <v>1083</v>
      </c>
      <c r="F242" s="1968">
        <v>1414.2986699999999</v>
      </c>
      <c r="G242" s="1962">
        <v>383.18855951766506</v>
      </c>
      <c r="H242" s="1962">
        <v>107.7399842035675</v>
      </c>
      <c r="I242" s="1962">
        <v>76.564983865877849</v>
      </c>
    </row>
    <row r="243" spans="1:10" ht="13.5" outlineLevel="1" collapsed="1" thickBot="1" x14ac:dyDescent="0.25">
      <c r="A243" s="1981" t="s">
        <v>1557</v>
      </c>
      <c r="B243" s="1981"/>
      <c r="C243" s="1981"/>
      <c r="D243" s="1981"/>
      <c r="E243" s="1981"/>
      <c r="F243" s="1965">
        <f t="shared" ref="F243:I243" si="102">SUBTOTAL(9,F242:F242)</f>
        <v>1414.2986699999999</v>
      </c>
      <c r="G243" s="1965">
        <f t="shared" si="102"/>
        <v>383.18855951766506</v>
      </c>
      <c r="H243" s="1965">
        <f t="shared" si="102"/>
        <v>107.7399842035675</v>
      </c>
      <c r="I243" s="1965">
        <f t="shared" si="102"/>
        <v>76.564983865877849</v>
      </c>
      <c r="J243" s="1953" t="str">
        <f>LEFT(A243,3)&amp;"*"</f>
        <v>514*</v>
      </c>
    </row>
    <row r="244" spans="1:10" ht="12.75" hidden="1" outlineLevel="2" x14ac:dyDescent="0.2">
      <c r="A244" s="1982">
        <v>5148000</v>
      </c>
      <c r="B244" s="1982" t="s">
        <v>1558</v>
      </c>
      <c r="C244" s="1982" t="s">
        <v>1351</v>
      </c>
      <c r="D244" s="1982" t="s">
        <v>1352</v>
      </c>
      <c r="E244" s="1982" t="s">
        <v>1083</v>
      </c>
      <c r="F244" s="1968">
        <v>1757.0543</v>
      </c>
      <c r="G244" s="1962">
        <v>476.05440102076835</v>
      </c>
      <c r="H244" s="1962">
        <v>133.85079583424226</v>
      </c>
      <c r="I244" s="1962">
        <v>95.120526508712132</v>
      </c>
    </row>
    <row r="245" spans="1:10" ht="13.5" outlineLevel="1" collapsed="1" thickBot="1" x14ac:dyDescent="0.25">
      <c r="A245" s="1981" t="s">
        <v>1559</v>
      </c>
      <c r="B245" s="1981"/>
      <c r="C245" s="1981"/>
      <c r="D245" s="1981"/>
      <c r="E245" s="1981"/>
      <c r="F245" s="1965">
        <f t="shared" ref="F245:I245" si="103">SUBTOTAL(9,F244:F244)</f>
        <v>1757.0543</v>
      </c>
      <c r="G245" s="1965">
        <f t="shared" si="103"/>
        <v>476.05440102076835</v>
      </c>
      <c r="H245" s="1965">
        <f t="shared" si="103"/>
        <v>133.85079583424226</v>
      </c>
      <c r="I245" s="1965">
        <f t="shared" si="103"/>
        <v>95.120526508712132</v>
      </c>
      <c r="J245" s="1953" t="str">
        <f>LEFT(A245,3)&amp;"*"</f>
        <v>514*</v>
      </c>
    </row>
    <row r="246" spans="1:10" ht="12.75" hidden="1" outlineLevel="2" x14ac:dyDescent="0.2">
      <c r="A246" s="1982">
        <v>5149000</v>
      </c>
      <c r="B246" s="1982" t="s">
        <v>1560</v>
      </c>
      <c r="C246" s="1982" t="s">
        <v>1351</v>
      </c>
      <c r="D246" s="1982" t="s">
        <v>1352</v>
      </c>
      <c r="E246" s="1982" t="s">
        <v>1083</v>
      </c>
      <c r="F246" s="1968">
        <v>813.43158000000005</v>
      </c>
      <c r="G246" s="1962">
        <v>220.39027683337801</v>
      </c>
      <c r="H246" s="1962">
        <v>61.966476698930194</v>
      </c>
      <c r="I246" s="1962">
        <v>44.03622595409464</v>
      </c>
    </row>
    <row r="247" spans="1:10" ht="13.5" outlineLevel="1" collapsed="1" thickBot="1" x14ac:dyDescent="0.25">
      <c r="A247" s="1981" t="s">
        <v>1561</v>
      </c>
      <c r="B247" s="1981"/>
      <c r="C247" s="1981"/>
      <c r="D247" s="1981"/>
      <c r="E247" s="1981"/>
      <c r="F247" s="1965">
        <f t="shared" ref="F247:I247" si="104">SUBTOTAL(9,F246:F246)</f>
        <v>813.43158000000005</v>
      </c>
      <c r="G247" s="1965">
        <f t="shared" si="104"/>
        <v>220.39027683337801</v>
      </c>
      <c r="H247" s="1965">
        <f t="shared" si="104"/>
        <v>61.966476698930194</v>
      </c>
      <c r="I247" s="1965">
        <f t="shared" si="104"/>
        <v>44.03622595409464</v>
      </c>
      <c r="J247" s="1953" t="str">
        <f>LEFT(A247,3)&amp;"*"</f>
        <v>514*</v>
      </c>
    </row>
    <row r="248" spans="1:10" ht="12.75" hidden="1" outlineLevel="2" x14ac:dyDescent="0.2">
      <c r="A248" s="1982">
        <v>5149500</v>
      </c>
      <c r="B248" s="1982" t="s">
        <v>1562</v>
      </c>
      <c r="C248" s="1982" t="s">
        <v>1351</v>
      </c>
      <c r="D248" s="1982" t="s">
        <v>1352</v>
      </c>
      <c r="E248" s="1982" t="s">
        <v>1083</v>
      </c>
      <c r="F248" s="1968">
        <v>3769.0689699999998</v>
      </c>
      <c r="G248" s="1962">
        <v>1021.1874902894658</v>
      </c>
      <c r="H248" s="1962">
        <v>287.12424037700356</v>
      </c>
      <c r="I248" s="1962">
        <v>204.04367973946466</v>
      </c>
    </row>
    <row r="249" spans="1:10" ht="13.5" outlineLevel="1" collapsed="1" thickBot="1" x14ac:dyDescent="0.25">
      <c r="A249" s="1981" t="s">
        <v>1563</v>
      </c>
      <c r="B249" s="1981"/>
      <c r="C249" s="1981"/>
      <c r="D249" s="1981"/>
      <c r="E249" s="1981"/>
      <c r="F249" s="1965">
        <f t="shared" ref="F249:I249" si="105">SUBTOTAL(9,F248:F248)</f>
        <v>3769.0689699999998</v>
      </c>
      <c r="G249" s="1965">
        <f t="shared" si="105"/>
        <v>1021.1874902894658</v>
      </c>
      <c r="H249" s="1965">
        <f t="shared" si="105"/>
        <v>287.12424037700356</v>
      </c>
      <c r="I249" s="1965">
        <f t="shared" si="105"/>
        <v>204.04367973946466</v>
      </c>
      <c r="J249" s="1953" t="str">
        <f>LEFT(A249,3)&amp;"*"</f>
        <v>514*</v>
      </c>
    </row>
    <row r="250" spans="1:10" ht="12.75" hidden="1" outlineLevel="2" x14ac:dyDescent="0.2">
      <c r="A250" s="1982">
        <v>5350000</v>
      </c>
      <c r="B250" s="1982" t="s">
        <v>1564</v>
      </c>
      <c r="C250" s="1982" t="s">
        <v>1565</v>
      </c>
      <c r="D250" s="1982" t="s">
        <v>1566</v>
      </c>
      <c r="E250" s="1982" t="s">
        <v>1567</v>
      </c>
      <c r="F250" s="1968">
        <v>8980.8195500000002</v>
      </c>
      <c r="G250" s="1962">
        <v>2433.2535833131942</v>
      </c>
      <c r="H250" s="1962">
        <v>684.15065146889401</v>
      </c>
      <c r="I250" s="1962">
        <v>486.18889244102195</v>
      </c>
    </row>
    <row r="251" spans="1:10" ht="12.75" hidden="1" outlineLevel="2" x14ac:dyDescent="0.2">
      <c r="A251" s="1980">
        <v>5350000</v>
      </c>
      <c r="B251" s="1980" t="s">
        <v>1564</v>
      </c>
      <c r="C251" s="1980" t="s">
        <v>1565</v>
      </c>
      <c r="D251" s="1980" t="s">
        <v>1566</v>
      </c>
      <c r="E251" s="1980" t="s">
        <v>1568</v>
      </c>
      <c r="F251" s="1962">
        <v>3868.4061000000002</v>
      </c>
      <c r="G251" s="1962">
        <v>1048.1017853805581</v>
      </c>
      <c r="H251" s="1962">
        <v>294.69165244069995</v>
      </c>
      <c r="I251" s="1962">
        <v>209.42143050531433</v>
      </c>
    </row>
    <row r="252" spans="1:10" ht="13.5" outlineLevel="1" collapsed="1" thickBot="1" x14ac:dyDescent="0.25">
      <c r="A252" s="1981" t="s">
        <v>1569</v>
      </c>
      <c r="B252" s="1981"/>
      <c r="C252" s="1981"/>
      <c r="D252" s="1981"/>
      <c r="E252" s="1981"/>
      <c r="F252" s="1965">
        <f t="shared" ref="F252:I252" si="106">SUBTOTAL(9,F250:F251)</f>
        <v>12849.22565</v>
      </c>
      <c r="G252" s="1965">
        <f t="shared" si="106"/>
        <v>3481.3553686937521</v>
      </c>
      <c r="H252" s="1965">
        <f t="shared" si="106"/>
        <v>978.84230390959397</v>
      </c>
      <c r="I252" s="1965">
        <f t="shared" si="106"/>
        <v>695.61032294633628</v>
      </c>
      <c r="J252" s="1953" t="str">
        <f>LEFT(A252,3)&amp;"*"</f>
        <v>535*</v>
      </c>
    </row>
    <row r="253" spans="1:10" ht="12.75" hidden="1" outlineLevel="2" x14ac:dyDescent="0.2">
      <c r="A253" s="1982">
        <v>5360000</v>
      </c>
      <c r="B253" s="1982" t="s">
        <v>1570</v>
      </c>
      <c r="C253" s="1982" t="s">
        <v>1565</v>
      </c>
      <c r="D253" s="1982" t="s">
        <v>1566</v>
      </c>
      <c r="E253" s="1982" t="s">
        <v>1567</v>
      </c>
      <c r="F253" s="1968">
        <v>331.92457000000002</v>
      </c>
      <c r="G253" s="1962">
        <v>89.931285763579481</v>
      </c>
      <c r="H253" s="1962">
        <v>25.285711347360554</v>
      </c>
      <c r="I253" s="1962">
        <v>17.969188464794669</v>
      </c>
    </row>
    <row r="254" spans="1:10" ht="13.5" outlineLevel="1" collapsed="1" thickBot="1" x14ac:dyDescent="0.25">
      <c r="A254" s="1981" t="s">
        <v>1571</v>
      </c>
      <c r="B254" s="1981"/>
      <c r="C254" s="1981"/>
      <c r="D254" s="1981"/>
      <c r="E254" s="1981"/>
      <c r="F254" s="1965">
        <f t="shared" ref="F254:I254" si="107">SUBTOTAL(9,F253:F253)</f>
        <v>331.92457000000002</v>
      </c>
      <c r="G254" s="1965">
        <f t="shared" si="107"/>
        <v>89.931285763579481</v>
      </c>
      <c r="H254" s="1965">
        <f t="shared" si="107"/>
        <v>25.285711347360554</v>
      </c>
      <c r="I254" s="1965">
        <f t="shared" si="107"/>
        <v>17.969188464794669</v>
      </c>
      <c r="J254" s="1953" t="str">
        <f>LEFT(A254,3)&amp;"*"</f>
        <v>536*</v>
      </c>
    </row>
    <row r="255" spans="1:10" ht="12.75" hidden="1" outlineLevel="2" x14ac:dyDescent="0.2">
      <c r="A255" s="1982">
        <v>5370000</v>
      </c>
      <c r="B255" s="1982" t="s">
        <v>1572</v>
      </c>
      <c r="C255" s="1982" t="s">
        <v>1565</v>
      </c>
      <c r="D255" s="1982" t="s">
        <v>1566</v>
      </c>
      <c r="E255" s="1982" t="s">
        <v>1567</v>
      </c>
      <c r="F255" s="1968">
        <v>3260.4816500000002</v>
      </c>
      <c r="G255" s="1962">
        <v>883.3913891733207</v>
      </c>
      <c r="H255" s="1962">
        <v>248.38052168077184</v>
      </c>
      <c r="I255" s="1962">
        <v>176.5106128023445</v>
      </c>
    </row>
    <row r="256" spans="1:10" ht="13.5" outlineLevel="1" collapsed="1" thickBot="1" x14ac:dyDescent="0.25">
      <c r="A256" s="1981" t="s">
        <v>1573</v>
      </c>
      <c r="B256" s="1981"/>
      <c r="C256" s="1981"/>
      <c r="D256" s="1981"/>
      <c r="E256" s="1981"/>
      <c r="F256" s="1965">
        <f t="shared" ref="F256:I256" si="108">SUBTOTAL(9,F255:F255)</f>
        <v>3260.4816500000002</v>
      </c>
      <c r="G256" s="1965">
        <f t="shared" si="108"/>
        <v>883.3913891733207</v>
      </c>
      <c r="H256" s="1965">
        <f t="shared" si="108"/>
        <v>248.38052168077184</v>
      </c>
      <c r="I256" s="1965">
        <f t="shared" si="108"/>
        <v>176.5106128023445</v>
      </c>
      <c r="J256" s="1953" t="str">
        <f>LEFT(A256,3)&amp;"*"</f>
        <v>537*</v>
      </c>
    </row>
    <row r="257" spans="1:10" ht="12.75" hidden="1" outlineLevel="2" x14ac:dyDescent="0.2">
      <c r="A257" s="1982">
        <v>5371000</v>
      </c>
      <c r="B257" s="1982" t="s">
        <v>1574</v>
      </c>
      <c r="C257" s="1982" t="s">
        <v>1565</v>
      </c>
      <c r="D257" s="1982" t="s">
        <v>1566</v>
      </c>
      <c r="E257" s="1982" t="s">
        <v>1567</v>
      </c>
      <c r="F257" s="1968">
        <v>690.78373999999997</v>
      </c>
      <c r="G257" s="1962">
        <v>187.16020306292535</v>
      </c>
      <c r="H257" s="1962">
        <v>52.623275984330299</v>
      </c>
      <c r="I257" s="1962">
        <v>37.396518168196224</v>
      </c>
    </row>
    <row r="258" spans="1:10" ht="12.75" hidden="1" outlineLevel="2" x14ac:dyDescent="0.2">
      <c r="A258" s="1980">
        <v>5371000</v>
      </c>
      <c r="B258" s="1980" t="s">
        <v>1574</v>
      </c>
      <c r="C258" s="1980" t="s">
        <v>1565</v>
      </c>
      <c r="D258" s="1980" t="s">
        <v>1566</v>
      </c>
      <c r="E258" s="1980" t="s">
        <v>1568</v>
      </c>
      <c r="F258" s="1962">
        <v>151.26114999999999</v>
      </c>
      <c r="G258" s="1962">
        <v>40.982533186915504</v>
      </c>
      <c r="H258" s="1962">
        <v>11.522936602643806</v>
      </c>
      <c r="I258" s="1962">
        <v>8.1887282756789475</v>
      </c>
    </row>
    <row r="259" spans="1:10" ht="13.5" outlineLevel="1" collapsed="1" thickBot="1" x14ac:dyDescent="0.25">
      <c r="A259" s="1981" t="s">
        <v>1575</v>
      </c>
      <c r="B259" s="1981"/>
      <c r="C259" s="1981"/>
      <c r="D259" s="1981"/>
      <c r="E259" s="1981"/>
      <c r="F259" s="1965">
        <f t="shared" ref="F259:I259" si="109">SUBTOTAL(9,F257:F258)</f>
        <v>842.0448899999999</v>
      </c>
      <c r="G259" s="1965">
        <f t="shared" si="109"/>
        <v>228.14273624984085</v>
      </c>
      <c r="H259" s="1965">
        <f t="shared" si="109"/>
        <v>64.146212586974102</v>
      </c>
      <c r="I259" s="1965">
        <f t="shared" si="109"/>
        <v>45.585246443875171</v>
      </c>
      <c r="J259" s="1953" t="str">
        <f>LEFT(A259,3)&amp;"*"</f>
        <v>537*</v>
      </c>
    </row>
    <row r="260" spans="1:10" ht="12.75" hidden="1" outlineLevel="2" x14ac:dyDescent="0.2">
      <c r="A260" s="1982">
        <v>5372000</v>
      </c>
      <c r="B260" s="1982" t="s">
        <v>1576</v>
      </c>
      <c r="C260" s="1982" t="s">
        <v>1565</v>
      </c>
      <c r="D260" s="1982" t="s">
        <v>1566</v>
      </c>
      <c r="E260" s="1982" t="s">
        <v>1567</v>
      </c>
      <c r="F260" s="1968">
        <v>235.63208</v>
      </c>
      <c r="G260" s="1962">
        <v>63.841902157308269</v>
      </c>
      <c r="H260" s="1962">
        <v>17.950237185087474</v>
      </c>
      <c r="I260" s="1962">
        <v>12.75626343018709</v>
      </c>
    </row>
    <row r="261" spans="1:10" ht="13.5" outlineLevel="1" collapsed="1" thickBot="1" x14ac:dyDescent="0.25">
      <c r="A261" s="1981" t="s">
        <v>1577</v>
      </c>
      <c r="B261" s="1981"/>
      <c r="C261" s="1981"/>
      <c r="D261" s="1981"/>
      <c r="E261" s="1981"/>
      <c r="F261" s="1965">
        <f t="shared" ref="F261:I261" si="110">SUBTOTAL(9,F260:F260)</f>
        <v>235.63208</v>
      </c>
      <c r="G261" s="1965">
        <f t="shared" si="110"/>
        <v>63.841902157308269</v>
      </c>
      <c r="H261" s="1965">
        <f t="shared" si="110"/>
        <v>17.950237185087474</v>
      </c>
      <c r="I261" s="1965">
        <f t="shared" si="110"/>
        <v>12.75626343018709</v>
      </c>
      <c r="J261" s="1953" t="str">
        <f>LEFT(A261,3)&amp;"*"</f>
        <v>537*</v>
      </c>
    </row>
    <row r="262" spans="1:10" ht="12.75" hidden="1" outlineLevel="2" x14ac:dyDescent="0.2">
      <c r="A262" s="1982">
        <v>5374000</v>
      </c>
      <c r="B262" s="1982" t="s">
        <v>1578</v>
      </c>
      <c r="C262" s="1982" t="s">
        <v>1565</v>
      </c>
      <c r="D262" s="1982" t="s">
        <v>1566</v>
      </c>
      <c r="E262" s="1982" t="s">
        <v>1567</v>
      </c>
      <c r="F262" s="1968">
        <v>210.57596000000001</v>
      </c>
      <c r="G262" s="1962">
        <v>57.0532239710368</v>
      </c>
      <c r="H262" s="1962">
        <v>16.041484790515334</v>
      </c>
      <c r="I262" s="1962">
        <v>11.399816263662144</v>
      </c>
    </row>
    <row r="263" spans="1:10" ht="12.75" hidden="1" outlineLevel="2" x14ac:dyDescent="0.2">
      <c r="A263" s="1980">
        <v>5374000</v>
      </c>
      <c r="B263" s="1980" t="s">
        <v>1578</v>
      </c>
      <c r="C263" s="1980" t="s">
        <v>1565</v>
      </c>
      <c r="D263" s="1980" t="s">
        <v>1566</v>
      </c>
      <c r="E263" s="1980" t="s">
        <v>1568</v>
      </c>
      <c r="F263" s="1962">
        <v>32.298780000000001</v>
      </c>
      <c r="G263" s="1962">
        <v>8.7509966917935174</v>
      </c>
      <c r="H263" s="1962">
        <v>2.4604916350479935</v>
      </c>
      <c r="I263" s="1962">
        <v>1.7485384254710064</v>
      </c>
    </row>
    <row r="264" spans="1:10" ht="13.5" outlineLevel="1" collapsed="1" thickBot="1" x14ac:dyDescent="0.25">
      <c r="A264" s="1981" t="s">
        <v>1579</v>
      </c>
      <c r="B264" s="1981"/>
      <c r="C264" s="1981"/>
      <c r="D264" s="1981"/>
      <c r="E264" s="1981"/>
      <c r="F264" s="1965">
        <f t="shared" ref="F264:I264" si="111">SUBTOTAL(9,F262:F263)</f>
        <v>242.87474</v>
      </c>
      <c r="G264" s="1965">
        <f t="shared" si="111"/>
        <v>65.804220662830318</v>
      </c>
      <c r="H264" s="1965">
        <f t="shared" si="111"/>
        <v>18.501976425563328</v>
      </c>
      <c r="I264" s="1965">
        <f t="shared" si="111"/>
        <v>13.14835468913315</v>
      </c>
      <c r="J264" s="1953" t="str">
        <f>LEFT(A264,3)&amp;"*"</f>
        <v>537*</v>
      </c>
    </row>
    <row r="265" spans="1:10" ht="12.75" hidden="1" outlineLevel="2" x14ac:dyDescent="0.2">
      <c r="A265" s="1982">
        <v>5379000</v>
      </c>
      <c r="B265" s="1982" t="s">
        <v>1580</v>
      </c>
      <c r="C265" s="1982" t="s">
        <v>1565</v>
      </c>
      <c r="D265" s="1982" t="s">
        <v>1566</v>
      </c>
      <c r="E265" s="1982" t="s">
        <v>1567</v>
      </c>
      <c r="F265" s="1968">
        <v>498.17928999999998</v>
      </c>
      <c r="G265" s="1962">
        <v>134.97616066953745</v>
      </c>
      <c r="H265" s="1962">
        <v>37.950844452922013</v>
      </c>
      <c r="I265" s="1962">
        <v>26.969614064025446</v>
      </c>
    </row>
    <row r="266" spans="1:10" ht="12.75" hidden="1" outlineLevel="2" x14ac:dyDescent="0.2">
      <c r="A266" s="1980">
        <v>5379000</v>
      </c>
      <c r="B266" s="1980" t="s">
        <v>1580</v>
      </c>
      <c r="C266" s="1980" t="s">
        <v>1565</v>
      </c>
      <c r="D266" s="1980" t="s">
        <v>1566</v>
      </c>
      <c r="E266" s="1980" t="s">
        <v>1568</v>
      </c>
      <c r="F266" s="1962">
        <v>183.86176</v>
      </c>
      <c r="G266" s="1962">
        <v>49.815307374065938</v>
      </c>
      <c r="H266" s="1962">
        <v>14.006421372113799</v>
      </c>
      <c r="I266" s="1962">
        <v>9.9536066790983444</v>
      </c>
    </row>
    <row r="267" spans="1:10" ht="13.5" outlineLevel="1" collapsed="1" thickBot="1" x14ac:dyDescent="0.25">
      <c r="A267" s="1981" t="s">
        <v>1581</v>
      </c>
      <c r="B267" s="1981"/>
      <c r="C267" s="1981"/>
      <c r="D267" s="1981"/>
      <c r="E267" s="1981"/>
      <c r="F267" s="1965">
        <f t="shared" ref="F267:I267" si="112">SUBTOTAL(9,F265:F266)</f>
        <v>682.04105000000004</v>
      </c>
      <c r="G267" s="1965">
        <f t="shared" si="112"/>
        <v>184.7914680436034</v>
      </c>
      <c r="H267" s="1965">
        <f t="shared" si="112"/>
        <v>51.957265825035812</v>
      </c>
      <c r="I267" s="1965">
        <f t="shared" si="112"/>
        <v>36.923220743123792</v>
      </c>
      <c r="J267" s="1953" t="str">
        <f>LEFT(A267,3)&amp;"*"</f>
        <v>537*</v>
      </c>
    </row>
    <row r="268" spans="1:10" ht="12.75" hidden="1" outlineLevel="2" x14ac:dyDescent="0.2">
      <c r="A268" s="1982">
        <v>5390000</v>
      </c>
      <c r="B268" s="1982" t="s">
        <v>1582</v>
      </c>
      <c r="C268" s="1982" t="s">
        <v>1565</v>
      </c>
      <c r="D268" s="1982" t="s">
        <v>1566</v>
      </c>
      <c r="E268" s="1982" t="s">
        <v>1567</v>
      </c>
      <c r="F268" s="1968">
        <v>21066.893830000001</v>
      </c>
      <c r="G268" s="1962">
        <v>5707.841541157135</v>
      </c>
      <c r="H268" s="1962">
        <v>1604.8567792702754</v>
      </c>
      <c r="I268" s="1962">
        <v>1140.4849770509306</v>
      </c>
    </row>
    <row r="269" spans="1:10" ht="12.75" hidden="1" outlineLevel="2" x14ac:dyDescent="0.2">
      <c r="A269" s="1980">
        <v>5390000</v>
      </c>
      <c r="B269" s="1980" t="s">
        <v>1582</v>
      </c>
      <c r="C269" s="1980" t="s">
        <v>1565</v>
      </c>
      <c r="D269" s="1980" t="s">
        <v>1566</v>
      </c>
      <c r="E269" s="1980" t="s">
        <v>1568</v>
      </c>
      <c r="F269" s="1962">
        <v>8051.6214300000001</v>
      </c>
      <c r="G269" s="1962">
        <v>2181.4976447253975</v>
      </c>
      <c r="H269" s="1962">
        <v>613.36518522025176</v>
      </c>
      <c r="I269" s="1962">
        <v>435.88548724443501</v>
      </c>
    </row>
    <row r="270" spans="1:10" ht="13.5" outlineLevel="1" collapsed="1" thickBot="1" x14ac:dyDescent="0.25">
      <c r="A270" s="1981" t="s">
        <v>1583</v>
      </c>
      <c r="B270" s="1981"/>
      <c r="C270" s="1981"/>
      <c r="D270" s="1981"/>
      <c r="E270" s="1981"/>
      <c r="F270" s="1965">
        <f t="shared" ref="F270:I270" si="113">SUBTOTAL(9,F268:F269)</f>
        <v>29118.51526</v>
      </c>
      <c r="G270" s="1965">
        <f t="shared" si="113"/>
        <v>7889.3391858825325</v>
      </c>
      <c r="H270" s="1965">
        <f t="shared" si="113"/>
        <v>2218.2219644905272</v>
      </c>
      <c r="I270" s="1965">
        <f t="shared" si="113"/>
        <v>1576.3704642953658</v>
      </c>
      <c r="J270" s="1953" t="str">
        <f>LEFT(A270,3)&amp;"*"</f>
        <v>539*</v>
      </c>
    </row>
    <row r="271" spans="1:10" ht="12.75" hidden="1" outlineLevel="2" x14ac:dyDescent="0.2">
      <c r="A271" s="1982">
        <v>5400000</v>
      </c>
      <c r="B271" s="1982" t="s">
        <v>1584</v>
      </c>
      <c r="C271" s="1982" t="s">
        <v>1565</v>
      </c>
      <c r="D271" s="1982" t="s">
        <v>1566</v>
      </c>
      <c r="E271" s="1982" t="s">
        <v>1567</v>
      </c>
      <c r="F271" s="1968">
        <v>1984.3656699999999</v>
      </c>
      <c r="G271" s="1962">
        <v>537.64189896580069</v>
      </c>
      <c r="H271" s="1962">
        <v>151.16716891199624</v>
      </c>
      <c r="I271" s="1962">
        <v>107.42633697559221</v>
      </c>
    </row>
    <row r="272" spans="1:10" ht="12.75" hidden="1" outlineLevel="2" x14ac:dyDescent="0.2">
      <c r="A272" s="1980">
        <v>5400000</v>
      </c>
      <c r="B272" s="1980" t="s">
        <v>1584</v>
      </c>
      <c r="C272" s="1980" t="s">
        <v>1565</v>
      </c>
      <c r="D272" s="1980" t="s">
        <v>1566</v>
      </c>
      <c r="E272" s="1980" t="s">
        <v>1568</v>
      </c>
      <c r="F272" s="1962">
        <v>208.75829999999999</v>
      </c>
      <c r="G272" s="1962">
        <v>56.560749126884616</v>
      </c>
      <c r="H272" s="1962">
        <v>15.903017107669065</v>
      </c>
      <c r="I272" s="1962">
        <v>11.301414765077936</v>
      </c>
    </row>
    <row r="273" spans="1:10" ht="13.5" outlineLevel="1" collapsed="1" thickBot="1" x14ac:dyDescent="0.25">
      <c r="A273" s="1981" t="s">
        <v>1585</v>
      </c>
      <c r="B273" s="1981"/>
      <c r="C273" s="1981"/>
      <c r="D273" s="1981"/>
      <c r="E273" s="1981"/>
      <c r="F273" s="1965">
        <f t="shared" ref="F273:I273" si="114">SUBTOTAL(9,F271:F272)</f>
        <v>2193.1239700000001</v>
      </c>
      <c r="G273" s="1965">
        <f t="shared" si="114"/>
        <v>594.20264809268531</v>
      </c>
      <c r="H273" s="1965">
        <f t="shared" si="114"/>
        <v>167.0701860196653</v>
      </c>
      <c r="I273" s="1965">
        <f t="shared" si="114"/>
        <v>118.72775174067014</v>
      </c>
      <c r="J273" s="1953" t="str">
        <f>LEFT(A273,3)&amp;"*"</f>
        <v>540*</v>
      </c>
    </row>
    <row r="274" spans="1:10" ht="12.75" hidden="1" outlineLevel="2" x14ac:dyDescent="0.2">
      <c r="A274" s="1982">
        <v>5410000</v>
      </c>
      <c r="B274" s="1982" t="s">
        <v>1431</v>
      </c>
      <c r="C274" s="1982" t="s">
        <v>1565</v>
      </c>
      <c r="D274" s="1982" t="s">
        <v>1566</v>
      </c>
      <c r="E274" s="1982" t="s">
        <v>1567</v>
      </c>
      <c r="F274" s="1968">
        <v>28.211770000000001</v>
      </c>
      <c r="G274" s="1962">
        <v>7.6436666010183538</v>
      </c>
      <c r="H274" s="1962">
        <v>2.1491469366613205</v>
      </c>
      <c r="I274" s="1962">
        <v>1.5272825752412373</v>
      </c>
    </row>
    <row r="275" spans="1:10" ht="13.5" outlineLevel="1" collapsed="1" thickBot="1" x14ac:dyDescent="0.25">
      <c r="A275" s="1981" t="s">
        <v>1586</v>
      </c>
      <c r="B275" s="1981"/>
      <c r="C275" s="1981"/>
      <c r="D275" s="1981"/>
      <c r="E275" s="1981"/>
      <c r="F275" s="1965">
        <f t="shared" ref="F275:I275" si="115">SUBTOTAL(9,F274:F274)</f>
        <v>28.211770000000001</v>
      </c>
      <c r="G275" s="1965">
        <f t="shared" si="115"/>
        <v>7.6436666010183538</v>
      </c>
      <c r="H275" s="1965">
        <f t="shared" si="115"/>
        <v>2.1491469366613205</v>
      </c>
      <c r="I275" s="1965">
        <f t="shared" si="115"/>
        <v>1.5272825752412373</v>
      </c>
      <c r="J275" s="1953" t="str">
        <f>LEFT(A275,3)&amp;"*"</f>
        <v>541*</v>
      </c>
    </row>
    <row r="276" spans="1:10" ht="12.75" hidden="1" outlineLevel="2" x14ac:dyDescent="0.2">
      <c r="A276" s="1982">
        <v>5420000</v>
      </c>
      <c r="B276" s="1982" t="s">
        <v>1587</v>
      </c>
      <c r="C276" s="1982" t="s">
        <v>1565</v>
      </c>
      <c r="D276" s="1982" t="s">
        <v>1566</v>
      </c>
      <c r="E276" s="1982" t="s">
        <v>1567</v>
      </c>
      <c r="F276" s="1968">
        <v>669.07079999999996</v>
      </c>
      <c r="G276" s="1962">
        <v>181.27732246777251</v>
      </c>
      <c r="H276" s="1962">
        <v>50.969203996400758</v>
      </c>
      <c r="I276" s="1962">
        <v>36.221058602232851</v>
      </c>
    </row>
    <row r="277" spans="1:10" ht="12.75" hidden="1" outlineLevel="2" x14ac:dyDescent="0.2">
      <c r="A277" s="1980">
        <v>5420000</v>
      </c>
      <c r="B277" s="1980" t="s">
        <v>1587</v>
      </c>
      <c r="C277" s="1980" t="s">
        <v>1565</v>
      </c>
      <c r="D277" s="1980" t="s">
        <v>1566</v>
      </c>
      <c r="E277" s="1980" t="s">
        <v>1568</v>
      </c>
      <c r="F277" s="1962">
        <v>39.2746</v>
      </c>
      <c r="G277" s="1962">
        <v>10.641017854900824</v>
      </c>
      <c r="H277" s="1962">
        <v>2.9919032474246987</v>
      </c>
      <c r="I277" s="1962">
        <v>2.1261839377525584</v>
      </c>
    </row>
    <row r="278" spans="1:10" ht="13.5" outlineLevel="1" collapsed="1" thickBot="1" x14ac:dyDescent="0.25">
      <c r="A278" s="1981" t="s">
        <v>1588</v>
      </c>
      <c r="B278" s="1981"/>
      <c r="C278" s="1981"/>
      <c r="D278" s="1981"/>
      <c r="E278" s="1981"/>
      <c r="F278" s="1965">
        <f t="shared" ref="F278:I278" si="116">SUBTOTAL(9,F276:F277)</f>
        <v>708.34539999999993</v>
      </c>
      <c r="G278" s="1965">
        <f t="shared" si="116"/>
        <v>191.91834032267332</v>
      </c>
      <c r="H278" s="1965">
        <f t="shared" si="116"/>
        <v>53.96110724382546</v>
      </c>
      <c r="I278" s="1965">
        <f t="shared" si="116"/>
        <v>38.347242539985409</v>
      </c>
      <c r="J278" s="1953" t="str">
        <f>LEFT(A278,3)&amp;"*"</f>
        <v>542*</v>
      </c>
    </row>
    <row r="279" spans="1:10" ht="12.75" hidden="1" outlineLevel="2" x14ac:dyDescent="0.2">
      <c r="A279" s="1982">
        <v>5430000</v>
      </c>
      <c r="B279" s="1982" t="s">
        <v>1589</v>
      </c>
      <c r="C279" s="1982" t="s">
        <v>1565</v>
      </c>
      <c r="D279" s="1982" t="s">
        <v>1566</v>
      </c>
      <c r="E279" s="1982" t="s">
        <v>1567</v>
      </c>
      <c r="F279" s="1968">
        <v>643.45176000000004</v>
      </c>
      <c r="G279" s="1962">
        <v>174.33612734254098</v>
      </c>
      <c r="H279" s="1962">
        <v>49.017568869069017</v>
      </c>
      <c r="I279" s="1962">
        <v>34.83413699517282</v>
      </c>
    </row>
    <row r="280" spans="1:10" ht="12.75" hidden="1" outlineLevel="2" x14ac:dyDescent="0.2">
      <c r="A280" s="1980">
        <v>5430000</v>
      </c>
      <c r="B280" s="1980" t="s">
        <v>1589</v>
      </c>
      <c r="C280" s="1980" t="s">
        <v>1565</v>
      </c>
      <c r="D280" s="1980" t="s">
        <v>1566</v>
      </c>
      <c r="E280" s="1980" t="s">
        <v>1568</v>
      </c>
      <c r="F280" s="1962">
        <v>748.86541</v>
      </c>
      <c r="G280" s="1962">
        <v>202.89678822260765</v>
      </c>
      <c r="H280" s="1962">
        <v>57.047884690436788</v>
      </c>
      <c r="I280" s="1962">
        <v>40.540848443535623</v>
      </c>
    </row>
    <row r="281" spans="1:10" ht="13.5" outlineLevel="1" collapsed="1" thickBot="1" x14ac:dyDescent="0.25">
      <c r="A281" s="1981" t="s">
        <v>1590</v>
      </c>
      <c r="B281" s="1981"/>
      <c r="C281" s="1981"/>
      <c r="D281" s="1981"/>
      <c r="E281" s="1981"/>
      <c r="F281" s="1965">
        <f t="shared" ref="F281:I281" si="117">SUBTOTAL(9,F279:F280)</f>
        <v>1392.31717</v>
      </c>
      <c r="G281" s="1965">
        <f t="shared" si="117"/>
        <v>377.23291556514863</v>
      </c>
      <c r="H281" s="1965">
        <f t="shared" si="117"/>
        <v>106.06545355950581</v>
      </c>
      <c r="I281" s="1965">
        <f t="shared" si="117"/>
        <v>75.37498543870845</v>
      </c>
      <c r="J281" s="1953" t="str">
        <f>LEFT(A281,3)&amp;"*"</f>
        <v>543*</v>
      </c>
    </row>
    <row r="282" spans="1:10" ht="12.75" hidden="1" outlineLevel="2" x14ac:dyDescent="0.2">
      <c r="A282" s="1982">
        <v>5440000</v>
      </c>
      <c r="B282" s="1982" t="s">
        <v>1591</v>
      </c>
      <c r="C282" s="1982" t="s">
        <v>1565</v>
      </c>
      <c r="D282" s="1982" t="s">
        <v>1566</v>
      </c>
      <c r="E282" s="1982" t="s">
        <v>1568</v>
      </c>
      <c r="F282" s="1968">
        <v>81.316310000000001</v>
      </c>
      <c r="G282" s="1962">
        <v>22.031753515112833</v>
      </c>
      <c r="H282" s="1962">
        <v>6.1946024137125146</v>
      </c>
      <c r="I282" s="1962">
        <v>4.4021691423797504</v>
      </c>
    </row>
    <row r="283" spans="1:10" ht="13.5" outlineLevel="1" collapsed="1" thickBot="1" x14ac:dyDescent="0.25">
      <c r="A283" s="1981" t="s">
        <v>1592</v>
      </c>
      <c r="B283" s="1981"/>
      <c r="C283" s="1981"/>
      <c r="D283" s="1981"/>
      <c r="E283" s="1981"/>
      <c r="F283" s="1965">
        <f t="shared" ref="F283:I283" si="118">SUBTOTAL(9,F282:F282)</f>
        <v>81.316310000000001</v>
      </c>
      <c r="G283" s="1965">
        <f t="shared" si="118"/>
        <v>22.031753515112833</v>
      </c>
      <c r="H283" s="1965">
        <f t="shared" si="118"/>
        <v>6.1946024137125146</v>
      </c>
      <c r="I283" s="1965">
        <f t="shared" si="118"/>
        <v>4.4021691423797504</v>
      </c>
      <c r="J283" s="1953" t="str">
        <f>LEFT(A283,3)&amp;"*"</f>
        <v>544*</v>
      </c>
    </row>
    <row r="284" spans="1:10" ht="12.75" hidden="1" outlineLevel="2" x14ac:dyDescent="0.2">
      <c r="A284" s="1982">
        <v>5441000</v>
      </c>
      <c r="B284" s="1982" t="s">
        <v>1593</v>
      </c>
      <c r="C284" s="1982" t="s">
        <v>1565</v>
      </c>
      <c r="D284" s="1982" t="s">
        <v>1566</v>
      </c>
      <c r="E284" s="1982" t="s">
        <v>1567</v>
      </c>
      <c r="F284" s="1968">
        <v>418.49477000000002</v>
      </c>
      <c r="G284" s="1962">
        <v>113.38652258081849</v>
      </c>
      <c r="H284" s="1962">
        <v>31.880550314790028</v>
      </c>
      <c r="I284" s="1962">
        <v>22.655784094744472</v>
      </c>
    </row>
    <row r="285" spans="1:10" ht="12.75" hidden="1" outlineLevel="2" x14ac:dyDescent="0.2">
      <c r="A285" s="1980">
        <v>5441000</v>
      </c>
      <c r="B285" s="1980" t="s">
        <v>1593</v>
      </c>
      <c r="C285" s="1980" t="s">
        <v>1565</v>
      </c>
      <c r="D285" s="1980" t="s">
        <v>1566</v>
      </c>
      <c r="E285" s="1980" t="s">
        <v>1568</v>
      </c>
      <c r="F285" s="1962">
        <v>181.26172</v>
      </c>
      <c r="G285" s="1962">
        <v>49.110855334746468</v>
      </c>
      <c r="H285" s="1962">
        <v>13.808352693643894</v>
      </c>
      <c r="I285" s="1962">
        <v>9.812849974115629</v>
      </c>
    </row>
    <row r="286" spans="1:10" ht="13.5" outlineLevel="1" collapsed="1" thickBot="1" x14ac:dyDescent="0.25">
      <c r="A286" s="1981" t="s">
        <v>1594</v>
      </c>
      <c r="B286" s="1981"/>
      <c r="C286" s="1981"/>
      <c r="D286" s="1981"/>
      <c r="E286" s="1981"/>
      <c r="F286" s="1965">
        <f t="shared" ref="F286:I286" si="119">SUBTOTAL(9,F284:F285)</f>
        <v>599.75648999999999</v>
      </c>
      <c r="G286" s="1965">
        <f t="shared" si="119"/>
        <v>162.49737791556495</v>
      </c>
      <c r="H286" s="1965">
        <f t="shared" si="119"/>
        <v>45.688903008433925</v>
      </c>
      <c r="I286" s="1965">
        <f t="shared" si="119"/>
        <v>32.468634068860098</v>
      </c>
      <c r="J286" s="1953" t="str">
        <f>LEFT(A286,3)&amp;"*"</f>
        <v>544*</v>
      </c>
    </row>
    <row r="287" spans="1:10" ht="12.75" hidden="1" outlineLevel="2" x14ac:dyDescent="0.2">
      <c r="A287" s="1982">
        <v>5442000</v>
      </c>
      <c r="B287" s="1982" t="s">
        <v>1595</v>
      </c>
      <c r="C287" s="1982" t="s">
        <v>1565</v>
      </c>
      <c r="D287" s="1982" t="s">
        <v>1566</v>
      </c>
      <c r="E287" s="1982" t="s">
        <v>1567</v>
      </c>
      <c r="F287" s="1968">
        <v>371.97809000000001</v>
      </c>
      <c r="G287" s="1962">
        <v>100.7833433649714</v>
      </c>
      <c r="H287" s="1962">
        <v>28.336952010761074</v>
      </c>
      <c r="I287" s="1962">
        <v>20.137540297135441</v>
      </c>
    </row>
    <row r="288" spans="1:10" ht="12.75" hidden="1" outlineLevel="2" x14ac:dyDescent="0.2">
      <c r="A288" s="1980">
        <v>5442000</v>
      </c>
      <c r="B288" s="1980" t="s">
        <v>1595</v>
      </c>
      <c r="C288" s="1980" t="s">
        <v>1565</v>
      </c>
      <c r="D288" s="1980" t="s">
        <v>1566</v>
      </c>
      <c r="E288" s="1980" t="s">
        <v>1568</v>
      </c>
      <c r="F288" s="1962">
        <v>92.787509999999997</v>
      </c>
      <c r="G288" s="1962">
        <v>25.139748097289054</v>
      </c>
      <c r="H288" s="1962">
        <v>7.0684679790361127</v>
      </c>
      <c r="I288" s="1962">
        <v>5.0231781707784391</v>
      </c>
    </row>
    <row r="289" spans="1:10" ht="13.5" outlineLevel="1" collapsed="1" thickBot="1" x14ac:dyDescent="0.25">
      <c r="A289" s="1981" t="s">
        <v>1596</v>
      </c>
      <c r="B289" s="1981"/>
      <c r="C289" s="1981"/>
      <c r="D289" s="1981"/>
      <c r="E289" s="1981"/>
      <c r="F289" s="1965">
        <f t="shared" ref="F289:I289" si="120">SUBTOTAL(9,F287:F288)</f>
        <v>464.76560000000001</v>
      </c>
      <c r="G289" s="1965">
        <f t="shared" si="120"/>
        <v>125.92309146226046</v>
      </c>
      <c r="H289" s="1965">
        <f t="shared" si="120"/>
        <v>35.405419989797188</v>
      </c>
      <c r="I289" s="1965">
        <f t="shared" si="120"/>
        <v>25.160718467913881</v>
      </c>
      <c r="J289" s="1953" t="str">
        <f>LEFT(A289,3)&amp;"*"</f>
        <v>544*</v>
      </c>
    </row>
    <row r="290" spans="1:10" ht="12.75" hidden="1" outlineLevel="2" x14ac:dyDescent="0.2">
      <c r="A290" s="1982">
        <v>5450000</v>
      </c>
      <c r="B290" s="1982" t="s">
        <v>1597</v>
      </c>
      <c r="C290" s="1982" t="s">
        <v>1565</v>
      </c>
      <c r="D290" s="1982" t="s">
        <v>1566</v>
      </c>
      <c r="E290" s="1982" t="s">
        <v>1567</v>
      </c>
      <c r="F290" s="1968">
        <v>13.780810000000001</v>
      </c>
      <c r="G290" s="1962">
        <v>3.7337578298695808</v>
      </c>
      <c r="H290" s="1962">
        <v>1.0498095509856948</v>
      </c>
      <c r="I290" s="1962">
        <v>0.74604290995248423</v>
      </c>
    </row>
    <row r="291" spans="1:10" ht="13.5" outlineLevel="1" collapsed="1" thickBot="1" x14ac:dyDescent="0.25">
      <c r="A291" s="1981" t="s">
        <v>1598</v>
      </c>
      <c r="B291" s="1981"/>
      <c r="C291" s="1981"/>
      <c r="D291" s="1981"/>
      <c r="E291" s="1981"/>
      <c r="F291" s="1965">
        <f t="shared" ref="F291:I291" si="121">SUBTOTAL(9,F290:F290)</f>
        <v>13.780810000000001</v>
      </c>
      <c r="G291" s="1965">
        <f t="shared" si="121"/>
        <v>3.7337578298695808</v>
      </c>
      <c r="H291" s="1965">
        <f t="shared" si="121"/>
        <v>1.0498095509856948</v>
      </c>
      <c r="I291" s="1965">
        <f t="shared" si="121"/>
        <v>0.74604290995248423</v>
      </c>
      <c r="J291" s="1953" t="str">
        <f>LEFT(A291,3)&amp;"*"</f>
        <v>545*</v>
      </c>
    </row>
    <row r="292" spans="1:10" ht="12.75" hidden="1" outlineLevel="2" x14ac:dyDescent="0.2">
      <c r="A292" s="1982">
        <v>5451000</v>
      </c>
      <c r="B292" s="1982" t="s">
        <v>1599</v>
      </c>
      <c r="C292" s="1982" t="s">
        <v>1565</v>
      </c>
      <c r="D292" s="1982" t="s">
        <v>1566</v>
      </c>
      <c r="E292" s="1982" t="s">
        <v>1567</v>
      </c>
      <c r="F292" s="1968">
        <v>1073.21189</v>
      </c>
      <c r="G292" s="1962">
        <v>290.77487443747003</v>
      </c>
      <c r="H292" s="1962">
        <v>81.756304045510305</v>
      </c>
      <c r="I292" s="1962">
        <v>58.099786689694248</v>
      </c>
    </row>
    <row r="293" spans="1:10" ht="13.5" outlineLevel="1" collapsed="1" thickBot="1" x14ac:dyDescent="0.25">
      <c r="A293" s="1981" t="s">
        <v>1600</v>
      </c>
      <c r="B293" s="1981"/>
      <c r="C293" s="1981"/>
      <c r="D293" s="1981"/>
      <c r="E293" s="1981"/>
      <c r="F293" s="1965">
        <f t="shared" ref="F293:I293" si="122">SUBTOTAL(9,F292:F292)</f>
        <v>1073.21189</v>
      </c>
      <c r="G293" s="1965">
        <f t="shared" si="122"/>
        <v>290.77487443747003</v>
      </c>
      <c r="H293" s="1965">
        <f t="shared" si="122"/>
        <v>81.756304045510305</v>
      </c>
      <c r="I293" s="1965">
        <f t="shared" si="122"/>
        <v>58.099786689694248</v>
      </c>
      <c r="J293" s="1953" t="str">
        <f>LEFT(A293,3)&amp;"*"</f>
        <v>545*</v>
      </c>
    </row>
    <row r="294" spans="1:10" ht="12.75" hidden="1" outlineLevel="2" x14ac:dyDescent="0.2">
      <c r="A294" s="1982">
        <v>5455000</v>
      </c>
      <c r="B294" s="1982" t="s">
        <v>1601</v>
      </c>
      <c r="C294" s="1982" t="s">
        <v>1565</v>
      </c>
      <c r="D294" s="1982" t="s">
        <v>1566</v>
      </c>
      <c r="E294" s="1982" t="s">
        <v>1567</v>
      </c>
      <c r="F294" s="1968">
        <v>540.46366999999998</v>
      </c>
      <c r="G294" s="1962">
        <v>146.43264507837702</v>
      </c>
      <c r="H294" s="1962">
        <v>41.172029998728711</v>
      </c>
      <c r="I294" s="1962">
        <v>29.258736539463147</v>
      </c>
    </row>
    <row r="295" spans="1:10" ht="12.75" hidden="1" outlineLevel="2" x14ac:dyDescent="0.2">
      <c r="A295" s="1980">
        <v>5455000</v>
      </c>
      <c r="B295" s="1980" t="s">
        <v>1601</v>
      </c>
      <c r="C295" s="1980" t="s">
        <v>1565</v>
      </c>
      <c r="D295" s="1980" t="s">
        <v>1566</v>
      </c>
      <c r="E295" s="1980" t="s">
        <v>1568</v>
      </c>
      <c r="F295" s="1962">
        <v>419.12846000000002</v>
      </c>
      <c r="G295" s="1962">
        <v>113.55821386741268</v>
      </c>
      <c r="H295" s="1962">
        <v>31.928824241675613</v>
      </c>
      <c r="I295" s="1962">
        <v>22.690089765572807</v>
      </c>
    </row>
    <row r="296" spans="1:10" ht="13.5" outlineLevel="1" collapsed="1" thickBot="1" x14ac:dyDescent="0.25">
      <c r="A296" s="1981" t="s">
        <v>1602</v>
      </c>
      <c r="B296" s="1981"/>
      <c r="C296" s="1981"/>
      <c r="D296" s="1981"/>
      <c r="E296" s="1981"/>
      <c r="F296" s="1965">
        <f t="shared" ref="F296:I296" si="123">SUBTOTAL(9,F294:F295)</f>
        <v>959.59213</v>
      </c>
      <c r="G296" s="1965">
        <f t="shared" si="123"/>
        <v>259.99085894578968</v>
      </c>
      <c r="H296" s="1965">
        <f t="shared" si="123"/>
        <v>73.100854240404317</v>
      </c>
      <c r="I296" s="1965">
        <f t="shared" si="123"/>
        <v>51.948826305035951</v>
      </c>
      <c r="J296" s="1953" t="str">
        <f>LEFT(A296,3)&amp;"*"</f>
        <v>545*</v>
      </c>
    </row>
    <row r="297" spans="1:10" ht="12.75" hidden="1" outlineLevel="2" x14ac:dyDescent="0.2">
      <c r="A297" s="1982">
        <v>5459000</v>
      </c>
      <c r="B297" s="1982" t="s">
        <v>1603</v>
      </c>
      <c r="C297" s="1982" t="s">
        <v>1565</v>
      </c>
      <c r="D297" s="1982" t="s">
        <v>1566</v>
      </c>
      <c r="E297" s="1982" t="s">
        <v>1567</v>
      </c>
      <c r="F297" s="1968">
        <v>1864.16338</v>
      </c>
      <c r="G297" s="1962">
        <v>505.07441988033662</v>
      </c>
      <c r="H297" s="1962">
        <v>142.01026796841222</v>
      </c>
      <c r="I297" s="1962">
        <v>100.91902236821048</v>
      </c>
    </row>
    <row r="298" spans="1:10" ht="12.75" hidden="1" outlineLevel="2" x14ac:dyDescent="0.2">
      <c r="A298" s="1980">
        <v>5459000</v>
      </c>
      <c r="B298" s="1980" t="s">
        <v>1603</v>
      </c>
      <c r="C298" s="1980" t="s">
        <v>1565</v>
      </c>
      <c r="D298" s="1980" t="s">
        <v>1566</v>
      </c>
      <c r="E298" s="1980" t="s">
        <v>1568</v>
      </c>
      <c r="F298" s="1962">
        <v>560.08600999999999</v>
      </c>
      <c r="G298" s="1962">
        <v>151.74924075952799</v>
      </c>
      <c r="H298" s="1962">
        <v>42.66684198327016</v>
      </c>
      <c r="I298" s="1962">
        <v>30.321018628373526</v>
      </c>
    </row>
    <row r="299" spans="1:10" ht="13.5" outlineLevel="1" collapsed="1" thickBot="1" x14ac:dyDescent="0.25">
      <c r="A299" s="1981" t="s">
        <v>1604</v>
      </c>
      <c r="B299" s="1981"/>
      <c r="C299" s="1981"/>
      <c r="D299" s="1981"/>
      <c r="E299" s="1981"/>
      <c r="F299" s="1965">
        <f t="shared" ref="F299:I299" si="124">SUBTOTAL(9,F297:F298)</f>
        <v>2424.2493899999999</v>
      </c>
      <c r="G299" s="1965">
        <f t="shared" si="124"/>
        <v>656.82366063986456</v>
      </c>
      <c r="H299" s="1965">
        <f t="shared" si="124"/>
        <v>184.67710995168238</v>
      </c>
      <c r="I299" s="1965">
        <f t="shared" si="124"/>
        <v>131.24004099658401</v>
      </c>
      <c r="J299" s="1953" t="str">
        <f>LEFT(A299,3)&amp;"*"</f>
        <v>545*</v>
      </c>
    </row>
    <row r="300" spans="1:10" ht="12.75" hidden="1" outlineLevel="2" x14ac:dyDescent="0.2">
      <c r="A300" s="1982">
        <v>5459500</v>
      </c>
      <c r="B300" s="1982" t="s">
        <v>1605</v>
      </c>
      <c r="C300" s="1982" t="s">
        <v>1565</v>
      </c>
      <c r="D300" s="1982" t="s">
        <v>1566</v>
      </c>
      <c r="E300" s="1982" t="s">
        <v>1567</v>
      </c>
      <c r="F300" s="1968">
        <v>328.03008999999997</v>
      </c>
      <c r="G300" s="1962">
        <v>88.876119543794815</v>
      </c>
      <c r="H300" s="1962">
        <v>24.989033408972112</v>
      </c>
      <c r="I300" s="1962">
        <v>17.758355488216967</v>
      </c>
    </row>
    <row r="301" spans="1:10" ht="13.5" outlineLevel="1" collapsed="1" thickBot="1" x14ac:dyDescent="0.25">
      <c r="A301" s="1981" t="s">
        <v>1606</v>
      </c>
      <c r="B301" s="1981"/>
      <c r="C301" s="1981"/>
      <c r="D301" s="1981"/>
      <c r="E301" s="1981"/>
      <c r="F301" s="1965">
        <f t="shared" ref="F301:I301" si="125">SUBTOTAL(9,F300:F300)</f>
        <v>328.03008999999997</v>
      </c>
      <c r="G301" s="1965">
        <f t="shared" si="125"/>
        <v>88.876119543794815</v>
      </c>
      <c r="H301" s="1965">
        <f t="shared" si="125"/>
        <v>24.989033408972112</v>
      </c>
      <c r="I301" s="1965">
        <f t="shared" si="125"/>
        <v>17.758355488216967</v>
      </c>
      <c r="J301" s="1953" t="str">
        <f>LEFT(A301,3)&amp;"*"</f>
        <v>545*</v>
      </c>
    </row>
    <row r="302" spans="1:10" ht="12.75" hidden="1" outlineLevel="2" x14ac:dyDescent="0.2">
      <c r="A302" s="1982">
        <v>5460000</v>
      </c>
      <c r="B302" s="1982" t="s">
        <v>1564</v>
      </c>
      <c r="C302" s="1982" t="s">
        <v>1607</v>
      </c>
      <c r="D302" s="1982" t="s">
        <v>1608</v>
      </c>
      <c r="E302" s="1982" t="s">
        <v>1083</v>
      </c>
      <c r="F302" s="1968">
        <v>577.16525000000001</v>
      </c>
      <c r="G302" s="1962">
        <v>156.37653166367826</v>
      </c>
      <c r="H302" s="1962">
        <v>43.96792292666732</v>
      </c>
      <c r="I302" s="1962">
        <v>31.245626536716859</v>
      </c>
    </row>
    <row r="303" spans="1:10" ht="13.5" outlineLevel="1" collapsed="1" thickBot="1" x14ac:dyDescent="0.25">
      <c r="A303" s="1981" t="s">
        <v>1609</v>
      </c>
      <c r="B303" s="1981"/>
      <c r="C303" s="1981"/>
      <c r="D303" s="1981"/>
      <c r="E303" s="1981"/>
      <c r="F303" s="1965">
        <f t="shared" ref="F303:I303" si="126">SUBTOTAL(9,F302:F302)</f>
        <v>577.16525000000001</v>
      </c>
      <c r="G303" s="1965">
        <f t="shared" si="126"/>
        <v>156.37653166367826</v>
      </c>
      <c r="H303" s="1965">
        <f t="shared" si="126"/>
        <v>43.96792292666732</v>
      </c>
      <c r="I303" s="1965">
        <f t="shared" si="126"/>
        <v>31.245626536716859</v>
      </c>
      <c r="J303" s="1953" t="str">
        <f>LEFT(A303,3)&amp;"*"</f>
        <v>546*</v>
      </c>
    </row>
    <row r="304" spans="1:10" ht="12.75" hidden="1" outlineLevel="2" x14ac:dyDescent="0.2">
      <c r="A304" s="1982">
        <v>5471000</v>
      </c>
      <c r="B304" s="1982" t="s">
        <v>1610</v>
      </c>
      <c r="C304" s="1982" t="s">
        <v>1356</v>
      </c>
      <c r="D304" s="1982" t="s">
        <v>1357</v>
      </c>
      <c r="E304" s="1982" t="s">
        <v>906</v>
      </c>
      <c r="F304" s="1968">
        <v>486505.37767000002</v>
      </c>
      <c r="G304" s="1962">
        <v>125699.38069035068</v>
      </c>
      <c r="H304" s="1962">
        <v>34741.885175582494</v>
      </c>
      <c r="I304" s="1962">
        <v>28709.820955490446</v>
      </c>
    </row>
    <row r="305" spans="1:10" ht="13.5" outlineLevel="1" collapsed="1" thickBot="1" x14ac:dyDescent="0.25">
      <c r="A305" s="1981" t="s">
        <v>1611</v>
      </c>
      <c r="B305" s="1981"/>
      <c r="C305" s="1981"/>
      <c r="D305" s="1981"/>
      <c r="E305" s="1981"/>
      <c r="F305" s="1965">
        <f t="shared" ref="F305:I305" si="127">SUBTOTAL(9,F304:F304)</f>
        <v>486505.37767000002</v>
      </c>
      <c r="G305" s="1965">
        <f t="shared" si="127"/>
        <v>125699.38069035068</v>
      </c>
      <c r="H305" s="1965">
        <f t="shared" si="127"/>
        <v>34741.885175582494</v>
      </c>
      <c r="I305" s="1965">
        <f t="shared" si="127"/>
        <v>28709.820955490446</v>
      </c>
      <c r="J305" s="1953" t="str">
        <f>LEFT(A305,3)&amp;"*"</f>
        <v>547*</v>
      </c>
    </row>
    <row r="306" spans="1:10" ht="12.75" hidden="1" outlineLevel="2" x14ac:dyDescent="0.2">
      <c r="A306" s="1982">
        <v>5480000</v>
      </c>
      <c r="B306" s="1982" t="s">
        <v>1612</v>
      </c>
      <c r="C306" s="1982" t="s">
        <v>1607</v>
      </c>
      <c r="D306" s="1982" t="s">
        <v>1608</v>
      </c>
      <c r="E306" s="1982" t="s">
        <v>1083</v>
      </c>
      <c r="F306" s="1968">
        <v>29884.779070000001</v>
      </c>
      <c r="G306" s="1962">
        <v>8096.9498778761963</v>
      </c>
      <c r="H306" s="1962">
        <v>2276.5952434423948</v>
      </c>
      <c r="I306" s="1962">
        <v>1617.8531988083353</v>
      </c>
    </row>
    <row r="307" spans="1:10" ht="13.5" outlineLevel="1" collapsed="1" thickBot="1" x14ac:dyDescent="0.25">
      <c r="A307" s="1981" t="s">
        <v>1613</v>
      </c>
      <c r="B307" s="1981"/>
      <c r="C307" s="1981"/>
      <c r="D307" s="1981"/>
      <c r="E307" s="1981"/>
      <c r="F307" s="1965">
        <f t="shared" ref="F307:I307" si="128">SUBTOTAL(9,F306:F306)</f>
        <v>29884.779070000001</v>
      </c>
      <c r="G307" s="1965">
        <f t="shared" si="128"/>
        <v>8096.9498778761963</v>
      </c>
      <c r="H307" s="1965">
        <f t="shared" si="128"/>
        <v>2276.5952434423948</v>
      </c>
      <c r="I307" s="1965">
        <f t="shared" si="128"/>
        <v>1617.8531988083353</v>
      </c>
      <c r="J307" s="1953" t="str">
        <f>LEFT(A307,3)&amp;"*"</f>
        <v>548*</v>
      </c>
    </row>
    <row r="308" spans="1:10" ht="12.75" hidden="1" outlineLevel="2" x14ac:dyDescent="0.2">
      <c r="A308" s="1982">
        <v>5490000</v>
      </c>
      <c r="B308" s="1982" t="s">
        <v>1614</v>
      </c>
      <c r="C308" s="1982" t="s">
        <v>1607</v>
      </c>
      <c r="D308" s="1982" t="s">
        <v>1608</v>
      </c>
      <c r="E308" s="1982" t="s">
        <v>912</v>
      </c>
      <c r="F308" s="1968">
        <v>49.193860000000001</v>
      </c>
      <c r="G308" s="1962">
        <v>49.193860000000001</v>
      </c>
      <c r="H308" s="1962">
        <v>0</v>
      </c>
      <c r="I308" s="1962">
        <v>0</v>
      </c>
    </row>
    <row r="309" spans="1:10" ht="12.75" hidden="1" outlineLevel="2" x14ac:dyDescent="0.2">
      <c r="A309" s="1980">
        <v>5490000</v>
      </c>
      <c r="B309" s="1980" t="s">
        <v>1614</v>
      </c>
      <c r="C309" s="1980" t="s">
        <v>1607</v>
      </c>
      <c r="D309" s="1980" t="s">
        <v>1608</v>
      </c>
      <c r="E309" s="1980" t="s">
        <v>1083</v>
      </c>
      <c r="F309" s="1962">
        <v>10119.59252</v>
      </c>
      <c r="G309" s="1962">
        <v>2741.7915062060679</v>
      </c>
      <c r="H309" s="1962">
        <v>770.90133886029878</v>
      </c>
      <c r="I309" s="1962">
        <v>547.83791744855296</v>
      </c>
    </row>
    <row r="310" spans="1:10" ht="13.5" outlineLevel="1" collapsed="1" thickBot="1" x14ac:dyDescent="0.25">
      <c r="A310" s="1981" t="s">
        <v>1615</v>
      </c>
      <c r="B310" s="1981"/>
      <c r="C310" s="1981"/>
      <c r="D310" s="1981"/>
      <c r="E310" s="1981"/>
      <c r="F310" s="1965">
        <f t="shared" ref="F310:I310" si="129">SUBTOTAL(9,F308:F309)</f>
        <v>10168.78638</v>
      </c>
      <c r="G310" s="1965">
        <f t="shared" si="129"/>
        <v>2790.9853662060677</v>
      </c>
      <c r="H310" s="1965">
        <f t="shared" si="129"/>
        <v>770.90133886029878</v>
      </c>
      <c r="I310" s="1965">
        <f t="shared" si="129"/>
        <v>547.83791744855296</v>
      </c>
      <c r="J310" s="1953" t="str">
        <f>LEFT(A310,3)&amp;"*"</f>
        <v>549*</v>
      </c>
    </row>
    <row r="311" spans="1:10" ht="12.75" hidden="1" outlineLevel="2" x14ac:dyDescent="0.2">
      <c r="A311" s="1982">
        <v>5500000</v>
      </c>
      <c r="B311" s="1982" t="s">
        <v>1616</v>
      </c>
      <c r="C311" s="1982" t="s">
        <v>1607</v>
      </c>
      <c r="D311" s="1982" t="s">
        <v>1608</v>
      </c>
      <c r="E311" s="1982" t="s">
        <v>912</v>
      </c>
      <c r="F311" s="1968">
        <v>372.20308</v>
      </c>
      <c r="G311" s="1962">
        <v>372.20308</v>
      </c>
      <c r="H311" s="1962">
        <v>0</v>
      </c>
      <c r="I311" s="1962">
        <v>0</v>
      </c>
    </row>
    <row r="312" spans="1:10" ht="12.75" hidden="1" outlineLevel="2" x14ac:dyDescent="0.2">
      <c r="A312" s="1980">
        <v>5500000</v>
      </c>
      <c r="B312" s="1980" t="s">
        <v>1616</v>
      </c>
      <c r="C312" s="1980" t="s">
        <v>1607</v>
      </c>
      <c r="D312" s="1980" t="s">
        <v>1608</v>
      </c>
      <c r="E312" s="1980" t="s">
        <v>1083</v>
      </c>
      <c r="F312" s="1962">
        <v>10847.891680000001</v>
      </c>
      <c r="G312" s="1962">
        <v>2939.1160967880028</v>
      </c>
      <c r="H312" s="1962">
        <v>826.38250536233022</v>
      </c>
      <c r="I312" s="1962">
        <v>587.26538395032969</v>
      </c>
    </row>
    <row r="313" spans="1:10" ht="13.5" outlineLevel="1" collapsed="1" thickBot="1" x14ac:dyDescent="0.25">
      <c r="A313" s="1981" t="s">
        <v>1617</v>
      </c>
      <c r="B313" s="1981"/>
      <c r="C313" s="1981"/>
      <c r="D313" s="1981"/>
      <c r="E313" s="1981"/>
      <c r="F313" s="1965">
        <f t="shared" ref="F313:I313" si="130">SUBTOTAL(9,F311:F312)</f>
        <v>11220.09476</v>
      </c>
      <c r="G313" s="1965">
        <f t="shared" si="130"/>
        <v>3311.3191767880026</v>
      </c>
      <c r="H313" s="1965">
        <f t="shared" si="130"/>
        <v>826.38250536233022</v>
      </c>
      <c r="I313" s="1965">
        <f t="shared" si="130"/>
        <v>587.26538395032969</v>
      </c>
      <c r="J313" s="1953" t="str">
        <f>LEFT(A313,3)&amp;"*"</f>
        <v>550*</v>
      </c>
    </row>
    <row r="314" spans="1:10" ht="12.75" hidden="1" outlineLevel="2" x14ac:dyDescent="0.2">
      <c r="A314" s="1982">
        <v>5520000</v>
      </c>
      <c r="B314" s="1982" t="s">
        <v>1587</v>
      </c>
      <c r="C314" s="1982" t="s">
        <v>1607</v>
      </c>
      <c r="D314" s="1982" t="s">
        <v>1608</v>
      </c>
      <c r="E314" s="1982" t="s">
        <v>1083</v>
      </c>
      <c r="F314" s="1968">
        <v>4718.7018200000002</v>
      </c>
      <c r="G314" s="1962">
        <v>1278.4799926306828</v>
      </c>
      <c r="H314" s="1962">
        <v>359.46640574027077</v>
      </c>
      <c r="I314" s="1962">
        <v>255.45334686356486</v>
      </c>
    </row>
    <row r="315" spans="1:10" ht="13.5" outlineLevel="1" collapsed="1" thickBot="1" x14ac:dyDescent="0.25">
      <c r="A315" s="1981" t="s">
        <v>1618</v>
      </c>
      <c r="B315" s="1981"/>
      <c r="C315" s="1981"/>
      <c r="D315" s="1981"/>
      <c r="E315" s="1981"/>
      <c r="F315" s="1965">
        <f t="shared" ref="F315:I315" si="131">SUBTOTAL(9,F314:F314)</f>
        <v>4718.7018200000002</v>
      </c>
      <c r="G315" s="1965">
        <f t="shared" si="131"/>
        <v>1278.4799926306828</v>
      </c>
      <c r="H315" s="1965">
        <f t="shared" si="131"/>
        <v>359.46640574027077</v>
      </c>
      <c r="I315" s="1965">
        <f t="shared" si="131"/>
        <v>255.45334686356486</v>
      </c>
      <c r="J315" s="1953" t="str">
        <f>LEFT(A315,3)&amp;"*"</f>
        <v>552*</v>
      </c>
    </row>
    <row r="316" spans="1:10" ht="12.75" hidden="1" outlineLevel="2" x14ac:dyDescent="0.2">
      <c r="A316" s="1982">
        <v>5530000</v>
      </c>
      <c r="B316" s="1982" t="s">
        <v>1619</v>
      </c>
      <c r="C316" s="1982" t="s">
        <v>1607</v>
      </c>
      <c r="D316" s="1982" t="s">
        <v>1608</v>
      </c>
      <c r="E316" s="1982" t="s">
        <v>1083</v>
      </c>
      <c r="F316" s="1968">
        <v>29305.442370000001</v>
      </c>
      <c r="G316" s="1962">
        <v>7939.9850158865302</v>
      </c>
      <c r="H316" s="1962">
        <v>2232.4619014329965</v>
      </c>
      <c r="I316" s="1962">
        <v>1586.4900178697496</v>
      </c>
    </row>
    <row r="317" spans="1:10" ht="13.5" outlineLevel="1" collapsed="1" thickBot="1" x14ac:dyDescent="0.25">
      <c r="A317" s="1981" t="s">
        <v>1620</v>
      </c>
      <c r="B317" s="1981"/>
      <c r="C317" s="1981"/>
      <c r="D317" s="1981"/>
      <c r="E317" s="1981"/>
      <c r="F317" s="1965">
        <f t="shared" ref="F317:I317" si="132">SUBTOTAL(9,F316:F316)</f>
        <v>29305.442370000001</v>
      </c>
      <c r="G317" s="1965">
        <f t="shared" si="132"/>
        <v>7939.9850158865302</v>
      </c>
      <c r="H317" s="1965">
        <f t="shared" si="132"/>
        <v>2232.4619014329965</v>
      </c>
      <c r="I317" s="1965">
        <f t="shared" si="132"/>
        <v>1586.4900178697496</v>
      </c>
      <c r="J317" s="1953" t="str">
        <f>LEFT(A317,3)&amp;"*"</f>
        <v>553*</v>
      </c>
    </row>
    <row r="318" spans="1:10" ht="12.75" hidden="1" outlineLevel="2" x14ac:dyDescent="0.2">
      <c r="A318" s="1982">
        <v>5540000</v>
      </c>
      <c r="B318" s="1982" t="s">
        <v>1621</v>
      </c>
      <c r="C318" s="1982" t="s">
        <v>1607</v>
      </c>
      <c r="D318" s="1982" t="s">
        <v>1608</v>
      </c>
      <c r="E318" s="1982" t="s">
        <v>1083</v>
      </c>
      <c r="F318" s="1968">
        <v>2569.03487</v>
      </c>
      <c r="G318" s="1962">
        <v>696.05154276638893</v>
      </c>
      <c r="H318" s="1962">
        <v>195.70673591329484</v>
      </c>
      <c r="I318" s="1962">
        <v>139.0782000611141</v>
      </c>
    </row>
    <row r="319" spans="1:10" ht="13.5" outlineLevel="1" collapsed="1" thickBot="1" x14ac:dyDescent="0.25">
      <c r="A319" s="1981" t="s">
        <v>1622</v>
      </c>
      <c r="B319" s="1981"/>
      <c r="C319" s="1981"/>
      <c r="D319" s="1981"/>
      <c r="E319" s="1981"/>
      <c r="F319" s="1965">
        <f t="shared" ref="F319:I319" si="133">SUBTOTAL(9,F318:F318)</f>
        <v>2569.03487</v>
      </c>
      <c r="G319" s="1965">
        <f t="shared" si="133"/>
        <v>696.05154276638893</v>
      </c>
      <c r="H319" s="1965">
        <f t="shared" si="133"/>
        <v>195.70673591329484</v>
      </c>
      <c r="I319" s="1965">
        <f t="shared" si="133"/>
        <v>139.0782000611141</v>
      </c>
      <c r="J319" s="1953" t="str">
        <f>LEFT(A319,3)&amp;"*"</f>
        <v>554*</v>
      </c>
    </row>
    <row r="320" spans="1:10" ht="12.75" hidden="1" outlineLevel="2" x14ac:dyDescent="0.2">
      <c r="A320" s="1982">
        <v>5546000</v>
      </c>
      <c r="B320" s="1982" t="s">
        <v>1623</v>
      </c>
      <c r="C320" s="1982" t="s">
        <v>1607</v>
      </c>
      <c r="D320" s="1982" t="s">
        <v>1608</v>
      </c>
      <c r="E320" s="1982" t="s">
        <v>1083</v>
      </c>
      <c r="F320" s="1968">
        <v>16.553599999999999</v>
      </c>
      <c r="G320" s="1962">
        <v>4.4850145682676912</v>
      </c>
      <c r="H320" s="1962">
        <v>1.2610381670741266</v>
      </c>
      <c r="I320" s="1962">
        <v>0.89615167135962559</v>
      </c>
    </row>
    <row r="321" spans="1:10" ht="13.5" outlineLevel="1" collapsed="1" thickBot="1" x14ac:dyDescent="0.25">
      <c r="A321" s="1981" t="s">
        <v>1624</v>
      </c>
      <c r="B321" s="1981"/>
      <c r="C321" s="1981"/>
      <c r="D321" s="1981"/>
      <c r="E321" s="1981"/>
      <c r="F321" s="1965">
        <f t="shared" ref="F321:I321" si="134">SUBTOTAL(9,F320:F320)</f>
        <v>16.553599999999999</v>
      </c>
      <c r="G321" s="1965">
        <f t="shared" si="134"/>
        <v>4.4850145682676912</v>
      </c>
      <c r="H321" s="1965">
        <f t="shared" si="134"/>
        <v>1.2610381670741266</v>
      </c>
      <c r="I321" s="1965">
        <f t="shared" si="134"/>
        <v>0.89615167135962559</v>
      </c>
      <c r="J321" s="1953" t="str">
        <f>LEFT(A321,3)&amp;"*"</f>
        <v>554*</v>
      </c>
    </row>
    <row r="322" spans="1:10" ht="12.75" hidden="1" outlineLevel="2" x14ac:dyDescent="0.2">
      <c r="A322" s="1982">
        <v>5549500</v>
      </c>
      <c r="B322" s="1982" t="s">
        <v>1625</v>
      </c>
      <c r="C322" s="1982" t="s">
        <v>1607</v>
      </c>
      <c r="D322" s="1982" t="s">
        <v>1608</v>
      </c>
      <c r="E322" s="1982" t="s">
        <v>1083</v>
      </c>
      <c r="F322" s="1968">
        <v>2032.61652</v>
      </c>
      <c r="G322" s="1962">
        <v>550.71493233505566</v>
      </c>
      <c r="H322" s="1962">
        <v>154.84287470673388</v>
      </c>
      <c r="I322" s="1962">
        <v>110.03846242697576</v>
      </c>
    </row>
    <row r="323" spans="1:10" ht="13.5" outlineLevel="1" collapsed="1" thickBot="1" x14ac:dyDescent="0.25">
      <c r="A323" s="1981" t="s">
        <v>1626</v>
      </c>
      <c r="B323" s="1981"/>
      <c r="C323" s="1981"/>
      <c r="D323" s="1981"/>
      <c r="E323" s="1981"/>
      <c r="F323" s="1965">
        <f t="shared" ref="F323:I323" si="135">SUBTOTAL(9,F322:F322)</f>
        <v>2032.61652</v>
      </c>
      <c r="G323" s="1965">
        <f t="shared" si="135"/>
        <v>550.71493233505566</v>
      </c>
      <c r="H323" s="1965">
        <f t="shared" si="135"/>
        <v>154.84287470673388</v>
      </c>
      <c r="I323" s="1965">
        <f t="shared" si="135"/>
        <v>110.03846242697576</v>
      </c>
      <c r="J323" s="1953" t="str">
        <f>LEFT(A323,3)&amp;"*"</f>
        <v>554*</v>
      </c>
    </row>
    <row r="324" spans="1:10" ht="12.75" hidden="1" outlineLevel="2" x14ac:dyDescent="0.2">
      <c r="A324" s="1982">
        <v>5550000</v>
      </c>
      <c r="B324" s="1982" t="s">
        <v>1627</v>
      </c>
      <c r="C324" s="1982" t="s">
        <v>1628</v>
      </c>
      <c r="D324" s="1982" t="s">
        <v>1629</v>
      </c>
      <c r="E324" s="1982" t="s">
        <v>1083</v>
      </c>
      <c r="F324" s="1968">
        <v>-70.633309999999994</v>
      </c>
      <c r="G324" s="1962">
        <v>-19.137312992640151</v>
      </c>
      <c r="H324" s="1962">
        <v>-5.3807812063103242</v>
      </c>
      <c r="I324" s="1962">
        <v>-3.8238303940026674</v>
      </c>
    </row>
    <row r="325" spans="1:10" ht="13.5" outlineLevel="1" collapsed="1" thickBot="1" x14ac:dyDescent="0.25">
      <c r="A325" s="1981" t="s">
        <v>1630</v>
      </c>
      <c r="B325" s="1981"/>
      <c r="C325" s="1981"/>
      <c r="D325" s="1981"/>
      <c r="E325" s="1981"/>
      <c r="F325" s="1965">
        <f t="shared" ref="F325:I325" si="136">SUBTOTAL(9,F324:F324)</f>
        <v>-70.633309999999994</v>
      </c>
      <c r="G325" s="1965">
        <f t="shared" si="136"/>
        <v>-19.137312992640151</v>
      </c>
      <c r="H325" s="1965">
        <f t="shared" si="136"/>
        <v>-5.3807812063103242</v>
      </c>
      <c r="I325" s="1965">
        <f t="shared" si="136"/>
        <v>-3.8238303940026674</v>
      </c>
      <c r="J325" s="1953" t="str">
        <f>LEFT(A325,3)&amp;"*"</f>
        <v>555*</v>
      </c>
    </row>
    <row r="326" spans="1:10" ht="12.75" hidden="1" outlineLevel="2" x14ac:dyDescent="0.2">
      <c r="A326" s="1982">
        <v>5552400</v>
      </c>
      <c r="B326" s="1982" t="s">
        <v>1631</v>
      </c>
      <c r="C326" s="1982" t="s">
        <v>1356</v>
      </c>
      <c r="D326" s="1982" t="s">
        <v>1357</v>
      </c>
      <c r="E326" s="1982" t="s">
        <v>936</v>
      </c>
      <c r="F326" s="1968">
        <v>8193.9902399999992</v>
      </c>
      <c r="G326" s="1962">
        <v>0</v>
      </c>
      <c r="H326" s="1962">
        <v>0</v>
      </c>
      <c r="I326" s="1962">
        <v>0</v>
      </c>
    </row>
    <row r="327" spans="1:10" ht="13.5" outlineLevel="1" collapsed="1" thickBot="1" x14ac:dyDescent="0.25">
      <c r="A327" s="1981" t="s">
        <v>1632</v>
      </c>
      <c r="B327" s="1981"/>
      <c r="C327" s="1981"/>
      <c r="D327" s="1981"/>
      <c r="E327" s="1981"/>
      <c r="F327" s="1965">
        <f t="shared" ref="F327:I327" si="137">SUBTOTAL(9,F326:F326)</f>
        <v>8193.9902399999992</v>
      </c>
      <c r="G327" s="1965">
        <f t="shared" si="137"/>
        <v>0</v>
      </c>
      <c r="H327" s="1965">
        <f t="shared" si="137"/>
        <v>0</v>
      </c>
      <c r="I327" s="1965">
        <f t="shared" si="137"/>
        <v>0</v>
      </c>
      <c r="J327" s="1953" t="str">
        <f>LEFT(A327,3)&amp;"*"</f>
        <v>555*</v>
      </c>
    </row>
    <row r="328" spans="1:10" ht="12.75" hidden="1" outlineLevel="2" x14ac:dyDescent="0.2">
      <c r="A328" s="1982">
        <v>5552500</v>
      </c>
      <c r="B328" s="1982" t="s">
        <v>1633</v>
      </c>
      <c r="C328" s="1982" t="s">
        <v>1356</v>
      </c>
      <c r="D328" s="1982" t="s">
        <v>1357</v>
      </c>
      <c r="E328" s="1982" t="s">
        <v>906</v>
      </c>
      <c r="F328" s="1968">
        <v>-28140.86088</v>
      </c>
      <c r="G328" s="1962">
        <v>-7270.8112737629071</v>
      </c>
      <c r="H328" s="1962">
        <v>-2009.5698882452218</v>
      </c>
      <c r="I328" s="1962">
        <v>-1660.6580615151647</v>
      </c>
    </row>
    <row r="329" spans="1:10" ht="13.5" outlineLevel="1" collapsed="1" thickBot="1" x14ac:dyDescent="0.25">
      <c r="A329" s="1981" t="s">
        <v>1634</v>
      </c>
      <c r="B329" s="1981"/>
      <c r="C329" s="1981"/>
      <c r="D329" s="1981"/>
      <c r="E329" s="1981"/>
      <c r="F329" s="1965">
        <f t="shared" ref="F329:I329" si="138">SUBTOTAL(9,F328:F328)</f>
        <v>-28140.86088</v>
      </c>
      <c r="G329" s="1965">
        <f t="shared" si="138"/>
        <v>-7270.8112737629071</v>
      </c>
      <c r="H329" s="1965">
        <f t="shared" si="138"/>
        <v>-2009.5698882452218</v>
      </c>
      <c r="I329" s="1965">
        <f t="shared" si="138"/>
        <v>-1660.6580615151647</v>
      </c>
      <c r="J329" s="1953" t="str">
        <f>LEFT(A329,3)&amp;"*"</f>
        <v>555*</v>
      </c>
    </row>
    <row r="330" spans="1:10" ht="12.75" hidden="1" outlineLevel="2" x14ac:dyDescent="0.2">
      <c r="A330" s="1982">
        <v>5552700</v>
      </c>
      <c r="B330" s="1982" t="s">
        <v>1635</v>
      </c>
      <c r="C330" s="1982" t="s">
        <v>1356</v>
      </c>
      <c r="D330" s="1982" t="s">
        <v>1357</v>
      </c>
      <c r="E330" s="1982" t="s">
        <v>920</v>
      </c>
      <c r="F330" s="1968">
        <v>15077.63817</v>
      </c>
      <c r="G330" s="1962">
        <v>0</v>
      </c>
      <c r="H330" s="1962">
        <v>0</v>
      </c>
      <c r="I330" s="1962">
        <v>0</v>
      </c>
    </row>
    <row r="331" spans="1:10" ht="13.5" outlineLevel="1" collapsed="1" thickBot="1" x14ac:dyDescent="0.25">
      <c r="A331" s="1981" t="s">
        <v>1636</v>
      </c>
      <c r="B331" s="1981"/>
      <c r="C331" s="1981"/>
      <c r="D331" s="1981"/>
      <c r="E331" s="1981"/>
      <c r="F331" s="1965">
        <f t="shared" ref="F331:I331" si="139">SUBTOTAL(9,F330:F330)</f>
        <v>15077.63817</v>
      </c>
      <c r="G331" s="1965">
        <f t="shared" si="139"/>
        <v>0</v>
      </c>
      <c r="H331" s="1965">
        <f t="shared" si="139"/>
        <v>0</v>
      </c>
      <c r="I331" s="1965">
        <f t="shared" si="139"/>
        <v>0</v>
      </c>
      <c r="J331" s="1953" t="str">
        <f>LEFT(A331,3)&amp;"*"</f>
        <v>555*</v>
      </c>
    </row>
    <row r="332" spans="1:10" ht="12.75" hidden="1" outlineLevel="2" x14ac:dyDescent="0.2">
      <c r="A332" s="1982">
        <v>5552800</v>
      </c>
      <c r="B332" s="1982" t="s">
        <v>1637</v>
      </c>
      <c r="C332" s="1982" t="s">
        <v>1356</v>
      </c>
      <c r="D332" s="1982" t="s">
        <v>1357</v>
      </c>
      <c r="E332" s="1982" t="s">
        <v>912</v>
      </c>
      <c r="F332" s="1968">
        <v>221.86639</v>
      </c>
      <c r="G332" s="1962">
        <v>221.86639</v>
      </c>
      <c r="H332" s="1962">
        <v>0</v>
      </c>
      <c r="I332" s="1962">
        <v>0</v>
      </c>
    </row>
    <row r="333" spans="1:10" ht="13.5" outlineLevel="1" collapsed="1" thickBot="1" x14ac:dyDescent="0.25">
      <c r="A333" s="1981" t="s">
        <v>1638</v>
      </c>
      <c r="B333" s="1981"/>
      <c r="C333" s="1981"/>
      <c r="D333" s="1981"/>
      <c r="E333" s="1981"/>
      <c r="F333" s="1965">
        <f t="shared" ref="F333:I333" si="140">SUBTOTAL(9,F332:F332)</f>
        <v>221.86639</v>
      </c>
      <c r="G333" s="1965">
        <f t="shared" si="140"/>
        <v>221.86639</v>
      </c>
      <c r="H333" s="1965">
        <f t="shared" si="140"/>
        <v>0</v>
      </c>
      <c r="I333" s="1965">
        <f t="shared" si="140"/>
        <v>0</v>
      </c>
      <c r="J333" s="1953" t="str">
        <f>LEFT(A333,3)&amp;"*"</f>
        <v>555*</v>
      </c>
    </row>
    <row r="334" spans="1:10" ht="12.75" hidden="1" outlineLevel="2" x14ac:dyDescent="0.2">
      <c r="A334" s="1982">
        <v>5552900</v>
      </c>
      <c r="B334" s="1982" t="s">
        <v>1639</v>
      </c>
      <c r="C334" s="1982" t="s">
        <v>1356</v>
      </c>
      <c r="D334" s="1982" t="s">
        <v>1357</v>
      </c>
      <c r="E334" s="1982" t="s">
        <v>918</v>
      </c>
      <c r="F334" s="1968">
        <v>32.604080000000003</v>
      </c>
      <c r="G334" s="1962">
        <v>0</v>
      </c>
      <c r="H334" s="1962">
        <v>0</v>
      </c>
      <c r="I334" s="1962">
        <v>0</v>
      </c>
    </row>
    <row r="335" spans="1:10" ht="13.5" outlineLevel="1" collapsed="1" thickBot="1" x14ac:dyDescent="0.25">
      <c r="A335" s="1981" t="s">
        <v>1640</v>
      </c>
      <c r="B335" s="1981"/>
      <c r="C335" s="1981"/>
      <c r="D335" s="1981"/>
      <c r="E335" s="1981"/>
      <c r="F335" s="1965">
        <f t="shared" ref="F335:I335" si="141">SUBTOTAL(9,F334:F334)</f>
        <v>32.604080000000003</v>
      </c>
      <c r="G335" s="1965">
        <f t="shared" si="141"/>
        <v>0</v>
      </c>
      <c r="H335" s="1965">
        <f t="shared" si="141"/>
        <v>0</v>
      </c>
      <c r="I335" s="1965">
        <f t="shared" si="141"/>
        <v>0</v>
      </c>
      <c r="J335" s="1953" t="str">
        <f>LEFT(A335,3)&amp;"*"</f>
        <v>555*</v>
      </c>
    </row>
    <row r="336" spans="1:10" ht="12.75" hidden="1" outlineLevel="2" x14ac:dyDescent="0.2">
      <c r="A336" s="1982">
        <v>5555700</v>
      </c>
      <c r="B336" s="1982" t="s">
        <v>1641</v>
      </c>
      <c r="C336" s="1982" t="s">
        <v>1356</v>
      </c>
      <c r="D336" s="1982" t="s">
        <v>1357</v>
      </c>
      <c r="E336" s="1982" t="s">
        <v>936</v>
      </c>
      <c r="F336" s="1968">
        <v>-521199.28962</v>
      </c>
      <c r="G336" s="1962">
        <v>0</v>
      </c>
      <c r="H336" s="1962">
        <v>0</v>
      </c>
      <c r="I336" s="1962">
        <v>0</v>
      </c>
    </row>
    <row r="337" spans="1:10" ht="13.5" outlineLevel="1" collapsed="1" thickBot="1" x14ac:dyDescent="0.25">
      <c r="A337" s="1981" t="s">
        <v>1642</v>
      </c>
      <c r="B337" s="1981"/>
      <c r="C337" s="1981"/>
      <c r="D337" s="1981"/>
      <c r="E337" s="1981"/>
      <c r="F337" s="1965">
        <f t="shared" ref="F337:I337" si="142">SUBTOTAL(9,F336:F336)</f>
        <v>-521199.28962</v>
      </c>
      <c r="G337" s="1965">
        <f t="shared" si="142"/>
        <v>0</v>
      </c>
      <c r="H337" s="1965">
        <f t="shared" si="142"/>
        <v>0</v>
      </c>
      <c r="I337" s="1965">
        <f t="shared" si="142"/>
        <v>0</v>
      </c>
      <c r="J337" s="1953" t="str">
        <f>LEFT(A337,3)&amp;"*"</f>
        <v>555*</v>
      </c>
    </row>
    <row r="338" spans="1:10" ht="12.75" hidden="1" outlineLevel="2" x14ac:dyDescent="0.2">
      <c r="A338" s="1982">
        <v>5555900</v>
      </c>
      <c r="B338" s="1982" t="s">
        <v>1643</v>
      </c>
      <c r="C338" s="1982" t="s">
        <v>1356</v>
      </c>
      <c r="D338" s="1982" t="s">
        <v>1357</v>
      </c>
      <c r="E338" s="1982" t="s">
        <v>1083</v>
      </c>
      <c r="F338" s="1968">
        <v>985636.07499999995</v>
      </c>
      <c r="G338" s="1962">
        <v>267047.17737441929</v>
      </c>
      <c r="H338" s="1962">
        <v>75084.858243532304</v>
      </c>
      <c r="I338" s="1962">
        <v>53358.750722718396</v>
      </c>
    </row>
    <row r="339" spans="1:10" ht="13.5" outlineLevel="1" collapsed="1" thickBot="1" x14ac:dyDescent="0.25">
      <c r="A339" s="1981" t="s">
        <v>1644</v>
      </c>
      <c r="B339" s="1981"/>
      <c r="C339" s="1981"/>
      <c r="D339" s="1981"/>
      <c r="E339" s="1981"/>
      <c r="F339" s="1965">
        <f t="shared" ref="F339:I339" si="143">SUBTOTAL(9,F338:F338)</f>
        <v>985636.07499999995</v>
      </c>
      <c r="G339" s="1965">
        <f t="shared" si="143"/>
        <v>267047.17737441929</v>
      </c>
      <c r="H339" s="1965">
        <f t="shared" si="143"/>
        <v>75084.858243532304</v>
      </c>
      <c r="I339" s="1965">
        <f t="shared" si="143"/>
        <v>53358.750722718396</v>
      </c>
      <c r="J339" s="1953" t="str">
        <f>LEFT(A339,3)&amp;"*"</f>
        <v>555*</v>
      </c>
    </row>
    <row r="340" spans="1:10" ht="12.75" hidden="1" outlineLevel="2" x14ac:dyDescent="0.2">
      <c r="A340" s="1982">
        <v>5556200</v>
      </c>
      <c r="B340" s="1982" t="s">
        <v>1645</v>
      </c>
      <c r="C340" s="1982" t="s">
        <v>1356</v>
      </c>
      <c r="D340" s="1982" t="s">
        <v>1357</v>
      </c>
      <c r="E340" s="1982" t="s">
        <v>1083</v>
      </c>
      <c r="F340" s="1968">
        <v>0.4</v>
      </c>
      <c r="G340" s="1962">
        <v>0.10837556950192567</v>
      </c>
      <c r="H340" s="1962">
        <v>3.0471635585591697E-2</v>
      </c>
      <c r="I340" s="1962">
        <v>2.1654544542809434E-2</v>
      </c>
    </row>
    <row r="341" spans="1:10" ht="13.5" outlineLevel="1" collapsed="1" thickBot="1" x14ac:dyDescent="0.25">
      <c r="A341" s="1981" t="s">
        <v>1646</v>
      </c>
      <c r="B341" s="1981"/>
      <c r="C341" s="1981"/>
      <c r="D341" s="1981"/>
      <c r="E341" s="1981"/>
      <c r="F341" s="1965">
        <f t="shared" ref="F341:I341" si="144">SUBTOTAL(9,F340:F340)</f>
        <v>0.4</v>
      </c>
      <c r="G341" s="1965">
        <f t="shared" si="144"/>
        <v>0.10837556950192567</v>
      </c>
      <c r="H341" s="1965">
        <f t="shared" si="144"/>
        <v>3.0471635585591697E-2</v>
      </c>
      <c r="I341" s="1965">
        <f t="shared" si="144"/>
        <v>2.1654544542809434E-2</v>
      </c>
      <c r="J341" s="1953" t="str">
        <f>LEFT(A341,3)&amp;"*"</f>
        <v>555*</v>
      </c>
    </row>
    <row r="342" spans="1:10" ht="12.75" hidden="1" outlineLevel="2" x14ac:dyDescent="0.2">
      <c r="A342" s="1982">
        <v>5556300</v>
      </c>
      <c r="B342" s="1982" t="s">
        <v>1647</v>
      </c>
      <c r="C342" s="1982" t="s">
        <v>1356</v>
      </c>
      <c r="D342" s="1982" t="s">
        <v>1357</v>
      </c>
      <c r="E342" s="1982" t="s">
        <v>1083</v>
      </c>
      <c r="F342" s="1968">
        <v>441007.47037</v>
      </c>
      <c r="G342" s="1962">
        <v>119486.08938988089</v>
      </c>
      <c r="H342" s="1962">
        <v>33595.547319095669</v>
      </c>
      <c r="I342" s="1962">
        <v>23874.53977709719</v>
      </c>
    </row>
    <row r="343" spans="1:10" ht="13.5" outlineLevel="1" collapsed="1" thickBot="1" x14ac:dyDescent="0.25">
      <c r="A343" s="1981" t="s">
        <v>1648</v>
      </c>
      <c r="B343" s="1981"/>
      <c r="C343" s="1981"/>
      <c r="D343" s="1981"/>
      <c r="E343" s="1981"/>
      <c r="F343" s="1965">
        <f t="shared" ref="F343:I343" si="145">SUBTOTAL(9,F342:F342)</f>
        <v>441007.47037</v>
      </c>
      <c r="G343" s="1965">
        <f t="shared" si="145"/>
        <v>119486.08938988089</v>
      </c>
      <c r="H343" s="1965">
        <f t="shared" si="145"/>
        <v>33595.547319095669</v>
      </c>
      <c r="I343" s="1965">
        <f t="shared" si="145"/>
        <v>23874.53977709719</v>
      </c>
      <c r="J343" s="1953" t="str">
        <f>LEFT(A343,3)&amp;"*"</f>
        <v>555*</v>
      </c>
    </row>
    <row r="344" spans="1:10" ht="12.75" hidden="1" outlineLevel="2" x14ac:dyDescent="0.2">
      <c r="A344" s="1982">
        <v>5556400</v>
      </c>
      <c r="B344" s="1982" t="s">
        <v>1649</v>
      </c>
      <c r="C344" s="1982" t="s">
        <v>1356</v>
      </c>
      <c r="D344" s="1982" t="s">
        <v>1357</v>
      </c>
      <c r="E344" s="1982" t="s">
        <v>1083</v>
      </c>
      <c r="F344" s="1968">
        <v>34351.442499999997</v>
      </c>
      <c r="G344" s="1962">
        <v>9307.1428603753811</v>
      </c>
      <c r="H344" s="1962">
        <v>2616.8615942485171</v>
      </c>
      <c r="I344" s="1962">
        <v>1859.6621043150176</v>
      </c>
    </row>
    <row r="345" spans="1:10" ht="13.5" outlineLevel="1" collapsed="1" thickBot="1" x14ac:dyDescent="0.25">
      <c r="A345" s="1981" t="s">
        <v>1650</v>
      </c>
      <c r="B345" s="1981"/>
      <c r="C345" s="1981"/>
      <c r="D345" s="1981"/>
      <c r="E345" s="1981"/>
      <c r="F345" s="1965">
        <f t="shared" ref="F345:I345" si="146">SUBTOTAL(9,F344:F344)</f>
        <v>34351.442499999997</v>
      </c>
      <c r="G345" s="1965">
        <f t="shared" si="146"/>
        <v>9307.1428603753811</v>
      </c>
      <c r="H345" s="1965">
        <f t="shared" si="146"/>
        <v>2616.8615942485171</v>
      </c>
      <c r="I345" s="1965">
        <f t="shared" si="146"/>
        <v>1859.6621043150176</v>
      </c>
      <c r="J345" s="1953" t="str">
        <f>LEFT(A345,3)&amp;"*"</f>
        <v>555*</v>
      </c>
    </row>
    <row r="346" spans="1:10" ht="12.75" hidden="1" outlineLevel="2" x14ac:dyDescent="0.2">
      <c r="A346" s="1982">
        <v>5556700</v>
      </c>
      <c r="B346" s="1982" t="s">
        <v>1651</v>
      </c>
      <c r="C346" s="1982" t="s">
        <v>1356</v>
      </c>
      <c r="D346" s="1982" t="s">
        <v>1357</v>
      </c>
      <c r="E346" s="1982" t="s">
        <v>1083</v>
      </c>
      <c r="F346" s="1968">
        <v>51453.780169999998</v>
      </c>
      <c r="G346" s="1962">
        <v>13940.831822376598</v>
      </c>
      <c r="H346" s="1962">
        <v>3919.7020971034603</v>
      </c>
      <c r="I346" s="1962">
        <v>2785.5204364679744</v>
      </c>
    </row>
    <row r="347" spans="1:10" ht="12.75" hidden="1" outlineLevel="2" x14ac:dyDescent="0.2">
      <c r="A347" s="1980">
        <v>5556700</v>
      </c>
      <c r="B347" s="1980" t="s">
        <v>1651</v>
      </c>
      <c r="C347" s="1980" t="s">
        <v>1356</v>
      </c>
      <c r="D347" s="1980" t="s">
        <v>1357</v>
      </c>
      <c r="E347" s="1980" t="s">
        <v>1083</v>
      </c>
      <c r="F347" s="1962">
        <v>5834.9140100000004</v>
      </c>
      <c r="G347" s="1962">
        <v>1580.9053220712869</v>
      </c>
      <c r="H347" s="1962">
        <v>444.49843346495885</v>
      </c>
      <c r="I347" s="1962">
        <v>315.88101333251956</v>
      </c>
    </row>
    <row r="348" spans="1:10" ht="13.5" outlineLevel="1" collapsed="1" thickBot="1" x14ac:dyDescent="0.25">
      <c r="A348" s="1981" t="s">
        <v>1652</v>
      </c>
      <c r="B348" s="1981"/>
      <c r="C348" s="1981"/>
      <c r="D348" s="1981"/>
      <c r="E348" s="1981"/>
      <c r="F348" s="1965">
        <f t="shared" ref="F348:I348" si="147">SUBTOTAL(9,F346:F347)</f>
        <v>57288.694179999999</v>
      </c>
      <c r="G348" s="1965">
        <f t="shared" si="147"/>
        <v>15521.737144447885</v>
      </c>
      <c r="H348" s="1965">
        <f t="shared" si="147"/>
        <v>4364.2005305684188</v>
      </c>
      <c r="I348" s="1965">
        <f t="shared" si="147"/>
        <v>3101.401449800494</v>
      </c>
      <c r="J348" s="1953" t="str">
        <f>LEFT(A348,3)&amp;"*"</f>
        <v>555*</v>
      </c>
    </row>
    <row r="349" spans="1:10" ht="12.75" hidden="1" outlineLevel="2" x14ac:dyDescent="0.2">
      <c r="A349" s="1982">
        <v>5556710</v>
      </c>
      <c r="B349" s="1982" t="s">
        <v>1653</v>
      </c>
      <c r="C349" s="1982" t="s">
        <v>1356</v>
      </c>
      <c r="D349" s="1982" t="s">
        <v>1357</v>
      </c>
      <c r="E349" s="1982" t="s">
        <v>1083</v>
      </c>
      <c r="F349" s="1968">
        <v>-54554.24869</v>
      </c>
      <c r="G349" s="1962">
        <v>-14780.86942632108</v>
      </c>
      <c r="H349" s="1962">
        <v>-4155.8929643185575</v>
      </c>
      <c r="I349" s="1962">
        <v>-2953.3685206427704</v>
      </c>
    </row>
    <row r="350" spans="1:10" ht="13.5" outlineLevel="1" collapsed="1" thickBot="1" x14ac:dyDescent="0.25">
      <c r="A350" s="1981" t="s">
        <v>1654</v>
      </c>
      <c r="B350" s="1981"/>
      <c r="C350" s="1981"/>
      <c r="D350" s="1981"/>
      <c r="E350" s="1981"/>
      <c r="F350" s="1965">
        <f t="shared" ref="F350:I350" si="148">SUBTOTAL(9,F349:F349)</f>
        <v>-54554.24869</v>
      </c>
      <c r="G350" s="1965">
        <f t="shared" si="148"/>
        <v>-14780.86942632108</v>
      </c>
      <c r="H350" s="1965">
        <f t="shared" si="148"/>
        <v>-4155.8929643185575</v>
      </c>
      <c r="I350" s="1965">
        <f t="shared" si="148"/>
        <v>-2953.3685206427704</v>
      </c>
      <c r="J350" s="1953" t="str">
        <f>LEFT(A350,3)&amp;"*"</f>
        <v>555*</v>
      </c>
    </row>
    <row r="351" spans="1:10" ht="12.75" hidden="1" outlineLevel="2" x14ac:dyDescent="0.2">
      <c r="A351" s="1982">
        <v>5560000</v>
      </c>
      <c r="B351" s="1982" t="s">
        <v>1655</v>
      </c>
      <c r="C351" s="1982" t="s">
        <v>1628</v>
      </c>
      <c r="D351" s="1982" t="s">
        <v>1629</v>
      </c>
      <c r="E351" s="1982" t="s">
        <v>1083</v>
      </c>
      <c r="F351" s="1968">
        <v>3499.6442299999999</v>
      </c>
      <c r="G351" s="1962">
        <v>948.18984120094524</v>
      </c>
      <c r="H351" s="1962">
        <v>266.59970913944659</v>
      </c>
      <c r="I351" s="1962">
        <v>189.45800465630256</v>
      </c>
    </row>
    <row r="352" spans="1:10" ht="13.5" outlineLevel="1" collapsed="1" thickBot="1" x14ac:dyDescent="0.25">
      <c r="A352" s="1981" t="s">
        <v>1656</v>
      </c>
      <c r="B352" s="1981"/>
      <c r="C352" s="1981"/>
      <c r="D352" s="1981"/>
      <c r="E352" s="1981"/>
      <c r="F352" s="1965">
        <f t="shared" ref="F352:I352" si="149">SUBTOTAL(9,F351:F351)</f>
        <v>3499.6442299999999</v>
      </c>
      <c r="G352" s="1965">
        <f t="shared" si="149"/>
        <v>948.18984120094524</v>
      </c>
      <c r="H352" s="1965">
        <f t="shared" si="149"/>
        <v>266.59970913944659</v>
      </c>
      <c r="I352" s="1965">
        <f t="shared" si="149"/>
        <v>189.45800465630256</v>
      </c>
      <c r="J352" s="1953" t="str">
        <f>LEFT(A352,3)&amp;"*"</f>
        <v>556*</v>
      </c>
    </row>
    <row r="353" spans="1:10" ht="12.75" hidden="1" outlineLevel="2" x14ac:dyDescent="0.2">
      <c r="A353" s="1982">
        <v>5570000</v>
      </c>
      <c r="B353" s="1982" t="s">
        <v>1657</v>
      </c>
      <c r="C353" s="1982" t="s">
        <v>1628</v>
      </c>
      <c r="D353" s="1982" t="s">
        <v>1629</v>
      </c>
      <c r="E353" s="1982" t="s">
        <v>906</v>
      </c>
      <c r="F353" s="1968">
        <v>7.02128</v>
      </c>
      <c r="G353" s="1962">
        <v>1.8141023473993316</v>
      </c>
      <c r="H353" s="1962">
        <v>0.50139734264371272</v>
      </c>
      <c r="I353" s="1962">
        <v>0.41434216543254504</v>
      </c>
    </row>
    <row r="354" spans="1:10" ht="12.75" hidden="1" outlineLevel="2" x14ac:dyDescent="0.2">
      <c r="A354" s="1980">
        <v>5570000</v>
      </c>
      <c r="B354" s="1980" t="s">
        <v>1657</v>
      </c>
      <c r="C354" s="1980" t="s">
        <v>1628</v>
      </c>
      <c r="D354" s="1980" t="s">
        <v>1629</v>
      </c>
      <c r="E354" s="1980" t="s">
        <v>1083</v>
      </c>
      <c r="F354" s="1962">
        <v>37279.1198</v>
      </c>
      <c r="G354" s="1962">
        <v>10100.364597138783</v>
      </c>
      <c r="H354" s="1962">
        <v>2839.8893837430396</v>
      </c>
      <c r="I354" s="1962">
        <v>2018.1559005645729</v>
      </c>
    </row>
    <row r="355" spans="1:10" ht="13.5" outlineLevel="1" collapsed="1" thickBot="1" x14ac:dyDescent="0.25">
      <c r="A355" s="1981" t="s">
        <v>1658</v>
      </c>
      <c r="B355" s="1981"/>
      <c r="C355" s="1981"/>
      <c r="D355" s="1981"/>
      <c r="E355" s="1981"/>
      <c r="F355" s="1965">
        <f t="shared" ref="F355:I355" si="150">SUBTOTAL(9,F353:F354)</f>
        <v>37286.141080000001</v>
      </c>
      <c r="G355" s="1965">
        <f t="shared" si="150"/>
        <v>10102.178699486183</v>
      </c>
      <c r="H355" s="1965">
        <f t="shared" si="150"/>
        <v>2840.3907810856831</v>
      </c>
      <c r="I355" s="1965">
        <f t="shared" si="150"/>
        <v>2018.5702427300055</v>
      </c>
      <c r="J355" s="1953" t="str">
        <f>LEFT(A355,3)&amp;"*"</f>
        <v>557*</v>
      </c>
    </row>
    <row r="356" spans="1:10" ht="12.75" hidden="1" outlineLevel="2" x14ac:dyDescent="0.2">
      <c r="A356" s="1982">
        <v>5579000</v>
      </c>
      <c r="B356" s="1982" t="s">
        <v>1659</v>
      </c>
      <c r="C356" s="1982" t="s">
        <v>1628</v>
      </c>
      <c r="D356" s="1982" t="s">
        <v>1629</v>
      </c>
      <c r="E356" s="1982" t="s">
        <v>919</v>
      </c>
      <c r="F356" s="1968">
        <v>2556.2753200000002</v>
      </c>
      <c r="G356" s="1962">
        <v>0</v>
      </c>
      <c r="H356" s="1962">
        <v>0</v>
      </c>
      <c r="I356" s="1962">
        <v>2556.2753200000002</v>
      </c>
    </row>
    <row r="357" spans="1:10" ht="12.75" hidden="1" outlineLevel="2" x14ac:dyDescent="0.2">
      <c r="A357" s="1980">
        <v>5579000</v>
      </c>
      <c r="B357" s="1980" t="s">
        <v>1659</v>
      </c>
      <c r="C357" s="1980" t="s">
        <v>1628</v>
      </c>
      <c r="D357" s="1980" t="s">
        <v>1629</v>
      </c>
      <c r="E357" s="1980" t="s">
        <v>912</v>
      </c>
      <c r="F357" s="1962">
        <v>9790.4362899999996</v>
      </c>
      <c r="G357" s="1962">
        <v>9790.4362899999996</v>
      </c>
      <c r="H357" s="1962">
        <v>0</v>
      </c>
      <c r="I357" s="1962">
        <v>0</v>
      </c>
    </row>
    <row r="358" spans="1:10" ht="13.5" outlineLevel="1" collapsed="1" thickBot="1" x14ac:dyDescent="0.25">
      <c r="A358" s="1981" t="s">
        <v>1660</v>
      </c>
      <c r="B358" s="1981"/>
      <c r="C358" s="1981"/>
      <c r="D358" s="1981"/>
      <c r="E358" s="1981"/>
      <c r="F358" s="1965">
        <f t="shared" ref="F358:I358" si="151">SUBTOTAL(9,F356:F357)</f>
        <v>12346.71161</v>
      </c>
      <c r="G358" s="1965">
        <f t="shared" si="151"/>
        <v>9790.4362899999996</v>
      </c>
      <c r="H358" s="1965">
        <f t="shared" si="151"/>
        <v>0</v>
      </c>
      <c r="I358" s="1965">
        <f t="shared" si="151"/>
        <v>2556.2753200000002</v>
      </c>
      <c r="J358" s="1953" t="str">
        <f>LEFT(A358,3)&amp;"*"</f>
        <v>557*</v>
      </c>
    </row>
    <row r="359" spans="1:10" ht="12.75" hidden="1" outlineLevel="2" x14ac:dyDescent="0.2">
      <c r="A359" s="1982">
        <v>5579240</v>
      </c>
      <c r="B359" s="1982" t="s">
        <v>1661</v>
      </c>
      <c r="C359" s="1982" t="s">
        <v>1628</v>
      </c>
      <c r="D359" s="1982" t="s">
        <v>1629</v>
      </c>
      <c r="E359" s="1982" t="s">
        <v>920</v>
      </c>
      <c r="F359" s="1968">
        <v>35.000039999999998</v>
      </c>
      <c r="G359" s="1962">
        <v>0</v>
      </c>
      <c r="H359" s="1962">
        <v>0</v>
      </c>
      <c r="I359" s="1962">
        <v>0</v>
      </c>
    </row>
    <row r="360" spans="1:10" ht="12.75" hidden="1" outlineLevel="2" x14ac:dyDescent="0.2">
      <c r="A360" s="1980">
        <v>5579240</v>
      </c>
      <c r="B360" s="1980" t="s">
        <v>1661</v>
      </c>
      <c r="C360" s="1980" t="s">
        <v>1628</v>
      </c>
      <c r="D360" s="1980" t="s">
        <v>1629</v>
      </c>
      <c r="E360" s="1980" t="s">
        <v>923</v>
      </c>
      <c r="F360" s="1962">
        <v>61.93215</v>
      </c>
      <c r="G360" s="1962">
        <v>0</v>
      </c>
      <c r="H360" s="1962">
        <v>0</v>
      </c>
      <c r="I360" s="1962">
        <v>0</v>
      </c>
    </row>
    <row r="361" spans="1:10" ht="13.5" outlineLevel="1" collapsed="1" thickBot="1" x14ac:dyDescent="0.25">
      <c r="A361" s="1981" t="s">
        <v>5713</v>
      </c>
      <c r="B361" s="1981"/>
      <c r="C361" s="1981"/>
      <c r="D361" s="1981"/>
      <c r="E361" s="1981"/>
      <c r="F361" s="1965">
        <f t="shared" ref="F361:I361" si="152">SUBTOTAL(9,F359:F360)</f>
        <v>96.932189999999991</v>
      </c>
      <c r="G361" s="1965">
        <f t="shared" si="152"/>
        <v>0</v>
      </c>
      <c r="H361" s="1965">
        <f t="shared" si="152"/>
        <v>0</v>
      </c>
      <c r="I361" s="1965">
        <f t="shared" si="152"/>
        <v>0</v>
      </c>
      <c r="J361" s="1953" t="str">
        <f>LEFT(A361,3)&amp;"*"</f>
        <v>557*</v>
      </c>
    </row>
    <row r="362" spans="1:10" ht="12.75" hidden="1" outlineLevel="2" x14ac:dyDescent="0.2">
      <c r="A362" s="1982">
        <v>5600000</v>
      </c>
      <c r="B362" s="1982" t="s">
        <v>1564</v>
      </c>
      <c r="C362" s="1982" t="s">
        <v>1662</v>
      </c>
      <c r="D362" s="1982" t="s">
        <v>1663</v>
      </c>
      <c r="E362" s="1982" t="s">
        <v>1083</v>
      </c>
      <c r="F362" s="1968">
        <v>11540.431130000001</v>
      </c>
      <c r="G362" s="1962">
        <v>3126.7519900287539</v>
      </c>
      <c r="H362" s="1962">
        <v>879.13952973494554</v>
      </c>
      <c r="I362" s="1962">
        <v>624.75694986952408</v>
      </c>
    </row>
    <row r="363" spans="1:10" ht="13.5" outlineLevel="1" collapsed="1" thickBot="1" x14ac:dyDescent="0.25">
      <c r="A363" s="1981" t="s">
        <v>1664</v>
      </c>
      <c r="B363" s="1981"/>
      <c r="C363" s="1981"/>
      <c r="D363" s="1981"/>
      <c r="E363" s="1981"/>
      <c r="F363" s="1965">
        <f t="shared" ref="F363:I363" si="153">SUBTOTAL(9,F362:F362)</f>
        <v>11540.431130000001</v>
      </c>
      <c r="G363" s="1965">
        <f t="shared" si="153"/>
        <v>3126.7519900287539</v>
      </c>
      <c r="H363" s="1965">
        <f t="shared" si="153"/>
        <v>879.13952973494554</v>
      </c>
      <c r="I363" s="1965">
        <f t="shared" si="153"/>
        <v>624.75694986952408</v>
      </c>
      <c r="J363" s="1953" t="str">
        <f>LEFT(A363,3)&amp;"*"</f>
        <v>560*</v>
      </c>
    </row>
    <row r="364" spans="1:10" ht="12.75" hidden="1" outlineLevel="2" x14ac:dyDescent="0.2">
      <c r="A364" s="1982">
        <v>5612000</v>
      </c>
      <c r="B364" s="1982" t="s">
        <v>1665</v>
      </c>
      <c r="C364" s="1982" t="s">
        <v>1662</v>
      </c>
      <c r="D364" s="1982" t="s">
        <v>1663</v>
      </c>
      <c r="E364" s="1982" t="s">
        <v>1083</v>
      </c>
      <c r="F364" s="1968">
        <v>7195.0431600000002</v>
      </c>
      <c r="G364" s="1962">
        <v>1949.4172501398371</v>
      </c>
      <c r="H364" s="1962">
        <v>548.11183298531034</v>
      </c>
      <c r="I364" s="1962">
        <v>389.51345648914088</v>
      </c>
    </row>
    <row r="365" spans="1:10" ht="13.5" outlineLevel="1" collapsed="1" thickBot="1" x14ac:dyDescent="0.25">
      <c r="A365" s="1981" t="s">
        <v>1666</v>
      </c>
      <c r="B365" s="1981"/>
      <c r="C365" s="1981"/>
      <c r="D365" s="1981"/>
      <c r="E365" s="1981"/>
      <c r="F365" s="1965">
        <f t="shared" ref="F365:I365" si="154">SUBTOTAL(9,F364:F364)</f>
        <v>7195.0431600000002</v>
      </c>
      <c r="G365" s="1965">
        <f t="shared" si="154"/>
        <v>1949.4172501398371</v>
      </c>
      <c r="H365" s="1965">
        <f t="shared" si="154"/>
        <v>548.11183298531034</v>
      </c>
      <c r="I365" s="1965">
        <f t="shared" si="154"/>
        <v>389.51345648914088</v>
      </c>
      <c r="J365" s="1953" t="str">
        <f>LEFT(A365,3)&amp;"*"</f>
        <v>561*</v>
      </c>
    </row>
    <row r="366" spans="1:10" ht="12.75" hidden="1" outlineLevel="2" x14ac:dyDescent="0.2">
      <c r="A366" s="1982">
        <v>5614000</v>
      </c>
      <c r="B366" s="1982" t="s">
        <v>1667</v>
      </c>
      <c r="C366" s="1982" t="s">
        <v>1662</v>
      </c>
      <c r="D366" s="1982" t="s">
        <v>1663</v>
      </c>
      <c r="E366" s="1982" t="s">
        <v>1083</v>
      </c>
      <c r="F366" s="1968">
        <v>218.81667999999999</v>
      </c>
      <c r="G366" s="1962">
        <v>59.285955778801565</v>
      </c>
      <c r="H366" s="1962">
        <v>16.669255332522575</v>
      </c>
      <c r="I366" s="1962">
        <v>11.845938859424194</v>
      </c>
    </row>
    <row r="367" spans="1:10" ht="13.5" outlineLevel="1" collapsed="1" thickBot="1" x14ac:dyDescent="0.25">
      <c r="A367" s="1981" t="s">
        <v>1668</v>
      </c>
      <c r="B367" s="1981"/>
      <c r="C367" s="1981"/>
      <c r="D367" s="1981"/>
      <c r="E367" s="1981"/>
      <c r="F367" s="1965">
        <f t="shared" ref="F367:I367" si="155">SUBTOTAL(9,F366:F366)</f>
        <v>218.81667999999999</v>
      </c>
      <c r="G367" s="1965">
        <f t="shared" si="155"/>
        <v>59.285955778801565</v>
      </c>
      <c r="H367" s="1965">
        <f t="shared" si="155"/>
        <v>16.669255332522575</v>
      </c>
      <c r="I367" s="1965">
        <f t="shared" si="155"/>
        <v>11.845938859424194</v>
      </c>
      <c r="J367" s="1953" t="str">
        <f>LEFT(A367,3)&amp;"*"</f>
        <v>561*</v>
      </c>
    </row>
    <row r="368" spans="1:10" ht="12.75" hidden="1" outlineLevel="2" x14ac:dyDescent="0.2">
      <c r="A368" s="1982">
        <v>5614010</v>
      </c>
      <c r="B368" s="1982" t="s">
        <v>1669</v>
      </c>
      <c r="C368" s="1982" t="s">
        <v>1662</v>
      </c>
      <c r="D368" s="1982" t="s">
        <v>1663</v>
      </c>
      <c r="E368" s="1982" t="s">
        <v>1083</v>
      </c>
      <c r="F368" s="1968">
        <v>691.13526000000002</v>
      </c>
      <c r="G368" s="1962">
        <v>187.25544351340366</v>
      </c>
      <c r="H368" s="1962">
        <v>52.65005445768292</v>
      </c>
      <c r="I368" s="1962">
        <v>37.415548181940451</v>
      </c>
    </row>
    <row r="369" spans="1:10" ht="13.5" outlineLevel="1" collapsed="1" thickBot="1" x14ac:dyDescent="0.25">
      <c r="A369" s="1981" t="s">
        <v>1670</v>
      </c>
      <c r="B369" s="1981"/>
      <c r="C369" s="1981"/>
      <c r="D369" s="1981"/>
      <c r="E369" s="1981"/>
      <c r="F369" s="1965">
        <f t="shared" ref="F369:I369" si="156">SUBTOTAL(9,F368:F368)</f>
        <v>691.13526000000002</v>
      </c>
      <c r="G369" s="1965">
        <f t="shared" si="156"/>
        <v>187.25544351340366</v>
      </c>
      <c r="H369" s="1965">
        <f t="shared" si="156"/>
        <v>52.65005445768292</v>
      </c>
      <c r="I369" s="1965">
        <f t="shared" si="156"/>
        <v>37.415548181940451</v>
      </c>
      <c r="J369" s="1953" t="str">
        <f>LEFT(A369,3)&amp;"*"</f>
        <v>561*</v>
      </c>
    </row>
    <row r="370" spans="1:10" ht="12.75" hidden="1" outlineLevel="2" x14ac:dyDescent="0.2">
      <c r="A370" s="1982">
        <v>5615000</v>
      </c>
      <c r="B370" s="1982" t="s">
        <v>1671</v>
      </c>
      <c r="C370" s="1982" t="s">
        <v>1662</v>
      </c>
      <c r="D370" s="1982" t="s">
        <v>1663</v>
      </c>
      <c r="E370" s="1982" t="s">
        <v>1083</v>
      </c>
      <c r="F370" s="1968">
        <v>3000.3663999999999</v>
      </c>
      <c r="G370" s="1962">
        <v>812.91604328610617</v>
      </c>
      <c r="H370" s="1962">
        <v>228.56517892413399</v>
      </c>
      <c r="I370" s="1962">
        <v>162.42891963387197</v>
      </c>
    </row>
    <row r="371" spans="1:10" ht="13.5" outlineLevel="1" collapsed="1" thickBot="1" x14ac:dyDescent="0.25">
      <c r="A371" s="1981" t="s">
        <v>1672</v>
      </c>
      <c r="B371" s="1981"/>
      <c r="C371" s="1981"/>
      <c r="D371" s="1981"/>
      <c r="E371" s="1981"/>
      <c r="F371" s="1965">
        <f t="shared" ref="F371:I371" si="157">SUBTOTAL(9,F370:F370)</f>
        <v>3000.3663999999999</v>
      </c>
      <c r="G371" s="1965">
        <f t="shared" si="157"/>
        <v>812.91604328610617</v>
      </c>
      <c r="H371" s="1965">
        <f t="shared" si="157"/>
        <v>228.56517892413399</v>
      </c>
      <c r="I371" s="1965">
        <f t="shared" si="157"/>
        <v>162.42891963387197</v>
      </c>
      <c r="J371" s="1953" t="str">
        <f>LEFT(A371,3)&amp;"*"</f>
        <v>561*</v>
      </c>
    </row>
    <row r="372" spans="1:10" ht="12.75" hidden="1" outlineLevel="2" x14ac:dyDescent="0.2">
      <c r="A372" s="1982">
        <v>5616000</v>
      </c>
      <c r="B372" s="1982" t="s">
        <v>1673</v>
      </c>
      <c r="C372" s="1982" t="s">
        <v>1662</v>
      </c>
      <c r="D372" s="1982" t="s">
        <v>1663</v>
      </c>
      <c r="E372" s="1982" t="s">
        <v>1083</v>
      </c>
      <c r="F372" s="1968">
        <v>159.30578</v>
      </c>
      <c r="G372" s="1962">
        <v>43.162136581121196</v>
      </c>
      <c r="H372" s="1962">
        <v>12.135769187096104</v>
      </c>
      <c r="I372" s="1962">
        <v>8.6242352723425011</v>
      </c>
    </row>
    <row r="373" spans="1:10" ht="13.5" outlineLevel="1" collapsed="1" thickBot="1" x14ac:dyDescent="0.25">
      <c r="A373" s="1981" t="s">
        <v>1674</v>
      </c>
      <c r="B373" s="1981"/>
      <c r="C373" s="1981"/>
      <c r="D373" s="1981"/>
      <c r="E373" s="1981"/>
      <c r="F373" s="1965">
        <f t="shared" ref="F373:I373" si="158">SUBTOTAL(9,F372:F372)</f>
        <v>159.30578</v>
      </c>
      <c r="G373" s="1965">
        <f t="shared" si="158"/>
        <v>43.162136581121196</v>
      </c>
      <c r="H373" s="1965">
        <f t="shared" si="158"/>
        <v>12.135769187096104</v>
      </c>
      <c r="I373" s="1965">
        <f t="shared" si="158"/>
        <v>8.6242352723425011</v>
      </c>
      <c r="J373" s="1953" t="str">
        <f>LEFT(A373,3)&amp;"*"</f>
        <v>561*</v>
      </c>
    </row>
    <row r="374" spans="1:10" ht="12.75" hidden="1" outlineLevel="2" x14ac:dyDescent="0.2">
      <c r="A374" s="1982">
        <v>5617000</v>
      </c>
      <c r="B374" s="1982" t="s">
        <v>1675</v>
      </c>
      <c r="C374" s="1982" t="s">
        <v>1662</v>
      </c>
      <c r="D374" s="1982" t="s">
        <v>1663</v>
      </c>
      <c r="E374" s="1982" t="s">
        <v>1083</v>
      </c>
      <c r="F374" s="1968">
        <v>2372.3986199999999</v>
      </c>
      <c r="G374" s="1962">
        <v>642.77512882020631</v>
      </c>
      <c r="H374" s="1962">
        <v>180.72716553100156</v>
      </c>
      <c r="I374" s="1962">
        <v>128.43302897522409</v>
      </c>
    </row>
    <row r="375" spans="1:10" ht="13.5" outlineLevel="1" collapsed="1" thickBot="1" x14ac:dyDescent="0.25">
      <c r="A375" s="1981" t="s">
        <v>1676</v>
      </c>
      <c r="B375" s="1981"/>
      <c r="C375" s="1981"/>
      <c r="D375" s="1981"/>
      <c r="E375" s="1981"/>
      <c r="F375" s="1965">
        <f t="shared" ref="F375:I375" si="159">SUBTOTAL(9,F374:F374)</f>
        <v>2372.3986199999999</v>
      </c>
      <c r="G375" s="1965">
        <f t="shared" si="159"/>
        <v>642.77512882020631</v>
      </c>
      <c r="H375" s="1965">
        <f t="shared" si="159"/>
        <v>180.72716553100156</v>
      </c>
      <c r="I375" s="1965">
        <f t="shared" si="159"/>
        <v>128.43302897522409</v>
      </c>
      <c r="J375" s="1953" t="str">
        <f>LEFT(A375,3)&amp;"*"</f>
        <v>561*</v>
      </c>
    </row>
    <row r="376" spans="1:10" ht="12.75" hidden="1" outlineLevel="2" x14ac:dyDescent="0.2">
      <c r="A376" s="1982">
        <v>5618000</v>
      </c>
      <c r="B376" s="1982" t="s">
        <v>1677</v>
      </c>
      <c r="C376" s="1982" t="s">
        <v>1662</v>
      </c>
      <c r="D376" s="1982" t="s">
        <v>1663</v>
      </c>
      <c r="E376" s="1982" t="s">
        <v>1083</v>
      </c>
      <c r="F376" s="1968">
        <v>5572.3338400000002</v>
      </c>
      <c r="G376" s="1962">
        <v>1509.7621334121309</v>
      </c>
      <c r="H376" s="1962">
        <v>424.49531533435203</v>
      </c>
      <c r="I376" s="1962">
        <v>301.66587836421087</v>
      </c>
    </row>
    <row r="377" spans="1:10" ht="13.5" outlineLevel="1" collapsed="1" thickBot="1" x14ac:dyDescent="0.25">
      <c r="A377" s="1981" t="s">
        <v>1678</v>
      </c>
      <c r="B377" s="1981"/>
      <c r="C377" s="1981"/>
      <c r="D377" s="1981"/>
      <c r="E377" s="1981"/>
      <c r="F377" s="1965">
        <f t="shared" ref="F377:I377" si="160">SUBTOTAL(9,F376:F376)</f>
        <v>5572.3338400000002</v>
      </c>
      <c r="G377" s="1965">
        <f t="shared" si="160"/>
        <v>1509.7621334121309</v>
      </c>
      <c r="H377" s="1965">
        <f t="shared" si="160"/>
        <v>424.49531533435203</v>
      </c>
      <c r="I377" s="1965">
        <f t="shared" si="160"/>
        <v>301.66587836421087</v>
      </c>
      <c r="J377" s="1953" t="str">
        <f>LEFT(A377,3)&amp;"*"</f>
        <v>561*</v>
      </c>
    </row>
    <row r="378" spans="1:10" ht="12.75" hidden="1" outlineLevel="2" x14ac:dyDescent="0.2">
      <c r="A378" s="1982">
        <v>5620000</v>
      </c>
      <c r="B378" s="1982" t="s">
        <v>1679</v>
      </c>
      <c r="C378" s="1982" t="s">
        <v>1662</v>
      </c>
      <c r="D378" s="1982" t="s">
        <v>1663</v>
      </c>
      <c r="E378" s="1982" t="s">
        <v>1083</v>
      </c>
      <c r="F378" s="1968">
        <v>4571.61672</v>
      </c>
      <c r="G378" s="1962">
        <v>1238.6289139363137</v>
      </c>
      <c r="H378" s="1962">
        <v>348.26159682209493</v>
      </c>
      <c r="I378" s="1962">
        <v>247.49069473973091</v>
      </c>
    </row>
    <row r="379" spans="1:10" ht="13.5" outlineLevel="1" collapsed="1" thickBot="1" x14ac:dyDescent="0.25">
      <c r="A379" s="1981" t="s">
        <v>1680</v>
      </c>
      <c r="B379" s="1981"/>
      <c r="C379" s="1981"/>
      <c r="D379" s="1981"/>
      <c r="E379" s="1981"/>
      <c r="F379" s="1965">
        <f t="shared" ref="F379:I379" si="161">SUBTOTAL(9,F378:F378)</f>
        <v>4571.61672</v>
      </c>
      <c r="G379" s="1965">
        <f t="shared" si="161"/>
        <v>1238.6289139363137</v>
      </c>
      <c r="H379" s="1965">
        <f t="shared" si="161"/>
        <v>348.26159682209493</v>
      </c>
      <c r="I379" s="1965">
        <f t="shared" si="161"/>
        <v>247.49069473973091</v>
      </c>
      <c r="J379" s="1953" t="str">
        <f>LEFT(A379,3)&amp;"*"</f>
        <v>562*</v>
      </c>
    </row>
    <row r="380" spans="1:10" ht="12.75" hidden="1" outlineLevel="2" x14ac:dyDescent="0.2">
      <c r="A380" s="1982">
        <v>5630000</v>
      </c>
      <c r="B380" s="1982" t="s">
        <v>1681</v>
      </c>
      <c r="C380" s="1982" t="s">
        <v>1662</v>
      </c>
      <c r="D380" s="1982" t="s">
        <v>1663</v>
      </c>
      <c r="E380" s="1982" t="s">
        <v>1083</v>
      </c>
      <c r="F380" s="1968">
        <v>1947.3766599999999</v>
      </c>
      <c r="G380" s="1962">
        <v>527.62013640564464</v>
      </c>
      <c r="H380" s="1962">
        <v>148.34937982851673</v>
      </c>
      <c r="I380" s="1962">
        <v>105.42388656399365</v>
      </c>
    </row>
    <row r="381" spans="1:10" ht="13.5" outlineLevel="1" collapsed="1" thickBot="1" x14ac:dyDescent="0.25">
      <c r="A381" s="1981" t="s">
        <v>1682</v>
      </c>
      <c r="B381" s="1981"/>
      <c r="C381" s="1981"/>
      <c r="D381" s="1981"/>
      <c r="E381" s="1981"/>
      <c r="F381" s="1965">
        <f t="shared" ref="F381:I381" si="162">SUBTOTAL(9,F380:F380)</f>
        <v>1947.3766599999999</v>
      </c>
      <c r="G381" s="1965">
        <f t="shared" si="162"/>
        <v>527.62013640564464</v>
      </c>
      <c r="H381" s="1965">
        <f t="shared" si="162"/>
        <v>148.34937982851673</v>
      </c>
      <c r="I381" s="1965">
        <f t="shared" si="162"/>
        <v>105.42388656399365</v>
      </c>
      <c r="J381" s="1953" t="str">
        <f>LEFT(A381,3)&amp;"*"</f>
        <v>563*</v>
      </c>
    </row>
    <row r="382" spans="1:10" ht="12.75" hidden="1" outlineLevel="2" x14ac:dyDescent="0.2">
      <c r="A382" s="1982">
        <v>5650000</v>
      </c>
      <c r="B382" s="1982" t="s">
        <v>1683</v>
      </c>
      <c r="C382" s="1982" t="s">
        <v>1356</v>
      </c>
      <c r="D382" s="1982" t="s">
        <v>1357</v>
      </c>
      <c r="E382" s="1982" t="s">
        <v>1083</v>
      </c>
      <c r="F382" s="1968">
        <v>-53.460340000000002</v>
      </c>
      <c r="G382" s="1962">
        <v>-14.484486983166441</v>
      </c>
      <c r="H382" s="1962">
        <v>-4.0725599969045776</v>
      </c>
      <c r="I382" s="1962">
        <v>-2.8941482845093423</v>
      </c>
    </row>
    <row r="383" spans="1:10" ht="13.5" outlineLevel="1" collapsed="1" thickBot="1" x14ac:dyDescent="0.25">
      <c r="A383" s="1981" t="s">
        <v>1684</v>
      </c>
      <c r="B383" s="1981"/>
      <c r="C383" s="1981"/>
      <c r="D383" s="1981"/>
      <c r="E383" s="1981"/>
      <c r="F383" s="1965">
        <f t="shared" ref="F383:I383" si="163">SUBTOTAL(9,F382:F382)</f>
        <v>-53.460340000000002</v>
      </c>
      <c r="G383" s="1965">
        <f t="shared" si="163"/>
        <v>-14.484486983166441</v>
      </c>
      <c r="H383" s="1965">
        <f t="shared" si="163"/>
        <v>-4.0725599969045776</v>
      </c>
      <c r="I383" s="1965">
        <f t="shared" si="163"/>
        <v>-2.8941482845093423</v>
      </c>
      <c r="J383" s="1953" t="str">
        <f>LEFT(A383,3)&amp;"*"</f>
        <v>565*</v>
      </c>
    </row>
    <row r="384" spans="1:10" ht="12.75" hidden="1" outlineLevel="2" x14ac:dyDescent="0.2">
      <c r="A384" s="1982">
        <v>5650010</v>
      </c>
      <c r="B384" s="1982" t="s">
        <v>1685</v>
      </c>
      <c r="C384" s="1982" t="s">
        <v>1356</v>
      </c>
      <c r="D384" s="1982" t="s">
        <v>1357</v>
      </c>
      <c r="E384" s="1982" t="s">
        <v>1083</v>
      </c>
      <c r="F384" s="1968">
        <v>2913.0493299999998</v>
      </c>
      <c r="G384" s="1962">
        <v>789.25845031488245</v>
      </c>
      <c r="H384" s="1962">
        <v>221.9134440665301</v>
      </c>
      <c r="I384" s="1962">
        <v>157.70189117971543</v>
      </c>
    </row>
    <row r="385" spans="1:10" ht="13.5" outlineLevel="1" collapsed="1" thickBot="1" x14ac:dyDescent="0.25">
      <c r="A385" s="1981" t="s">
        <v>1686</v>
      </c>
      <c r="B385" s="1981"/>
      <c r="C385" s="1981"/>
      <c r="D385" s="1981"/>
      <c r="E385" s="1981"/>
      <c r="F385" s="1965">
        <f t="shared" ref="F385:I385" si="164">SUBTOTAL(9,F384:F384)</f>
        <v>2913.0493299999998</v>
      </c>
      <c r="G385" s="1965">
        <f t="shared" si="164"/>
        <v>789.25845031488245</v>
      </c>
      <c r="H385" s="1965">
        <f t="shared" si="164"/>
        <v>221.9134440665301</v>
      </c>
      <c r="I385" s="1965">
        <f t="shared" si="164"/>
        <v>157.70189117971543</v>
      </c>
      <c r="J385" s="1953" t="str">
        <f>LEFT(A385,3)&amp;"*"</f>
        <v>565*</v>
      </c>
    </row>
    <row r="386" spans="1:10" ht="12.75" hidden="1" outlineLevel="2" x14ac:dyDescent="0.2">
      <c r="A386" s="1982">
        <v>5651000</v>
      </c>
      <c r="B386" s="1982" t="s">
        <v>1687</v>
      </c>
      <c r="C386" s="1982" t="s">
        <v>1356</v>
      </c>
      <c r="D386" s="1982" t="s">
        <v>1357</v>
      </c>
      <c r="E386" s="1982" t="s">
        <v>1083</v>
      </c>
      <c r="F386" s="1968">
        <v>12736.28089</v>
      </c>
      <c r="G386" s="1962">
        <v>3450.7542369756065</v>
      </c>
      <c r="H386" s="1962">
        <v>970.23827498953858</v>
      </c>
      <c r="I386" s="1962">
        <v>689.49590460559398</v>
      </c>
    </row>
    <row r="387" spans="1:10" ht="13.5" outlineLevel="1" collapsed="1" thickBot="1" x14ac:dyDescent="0.25">
      <c r="A387" s="1981" t="s">
        <v>1688</v>
      </c>
      <c r="B387" s="1981"/>
      <c r="C387" s="1981"/>
      <c r="D387" s="1981"/>
      <c r="E387" s="1981"/>
      <c r="F387" s="1965">
        <f t="shared" ref="F387:I387" si="165">SUBTOTAL(9,F386:F386)</f>
        <v>12736.28089</v>
      </c>
      <c r="G387" s="1965">
        <f t="shared" si="165"/>
        <v>3450.7542369756065</v>
      </c>
      <c r="H387" s="1965">
        <f t="shared" si="165"/>
        <v>970.23827498953858</v>
      </c>
      <c r="I387" s="1965">
        <f t="shared" si="165"/>
        <v>689.49590460559398</v>
      </c>
      <c r="J387" s="1953" t="str">
        <f>LEFT(A387,3)&amp;"*"</f>
        <v>565*</v>
      </c>
    </row>
    <row r="388" spans="1:10" ht="12.75" hidden="1" outlineLevel="2" x14ac:dyDescent="0.2">
      <c r="A388" s="1982">
        <v>5652500</v>
      </c>
      <c r="B388" s="1982" t="s">
        <v>1689</v>
      </c>
      <c r="C388" s="1982" t="s">
        <v>1356</v>
      </c>
      <c r="D388" s="1982" t="s">
        <v>1357</v>
      </c>
      <c r="E388" s="1982" t="s">
        <v>906</v>
      </c>
      <c r="F388" s="1968">
        <v>24777.425149999999</v>
      </c>
      <c r="G388" s="1962">
        <v>6401.7935657210992</v>
      </c>
      <c r="H388" s="1962">
        <v>1769.3832360714134</v>
      </c>
      <c r="I388" s="1962">
        <v>1462.17384728907</v>
      </c>
    </row>
    <row r="389" spans="1:10" ht="13.5" outlineLevel="1" collapsed="1" thickBot="1" x14ac:dyDescent="0.25">
      <c r="A389" s="1981" t="s">
        <v>1690</v>
      </c>
      <c r="B389" s="1981"/>
      <c r="C389" s="1981"/>
      <c r="D389" s="1981"/>
      <c r="E389" s="1981"/>
      <c r="F389" s="1965">
        <f t="shared" ref="F389:I389" si="166">SUBTOTAL(9,F388:F388)</f>
        <v>24777.425149999999</v>
      </c>
      <c r="G389" s="1965">
        <f t="shared" si="166"/>
        <v>6401.7935657210992</v>
      </c>
      <c r="H389" s="1965">
        <f t="shared" si="166"/>
        <v>1769.3832360714134</v>
      </c>
      <c r="I389" s="1965">
        <f t="shared" si="166"/>
        <v>1462.17384728907</v>
      </c>
      <c r="J389" s="1953" t="str">
        <f>LEFT(A389,3)&amp;"*"</f>
        <v>565*</v>
      </c>
    </row>
    <row r="390" spans="1:10" ht="12.75" hidden="1" outlineLevel="2" x14ac:dyDescent="0.2">
      <c r="A390" s="1982">
        <v>5654600</v>
      </c>
      <c r="B390" s="1982" t="s">
        <v>1691</v>
      </c>
      <c r="C390" s="1982" t="s">
        <v>1356</v>
      </c>
      <c r="D390" s="1982" t="s">
        <v>1357</v>
      </c>
      <c r="E390" s="1982" t="s">
        <v>1083</v>
      </c>
      <c r="F390" s="1968">
        <v>124768.60871</v>
      </c>
      <c r="G390" s="1962">
        <v>33804.672562272928</v>
      </c>
      <c r="H390" s="1962">
        <v>9504.7589428310039</v>
      </c>
      <c r="I390" s="1962">
        <v>6754.5184871376405</v>
      </c>
    </row>
    <row r="391" spans="1:10" ht="13.5" outlineLevel="1" collapsed="1" thickBot="1" x14ac:dyDescent="0.25">
      <c r="A391" s="1981" t="s">
        <v>1692</v>
      </c>
      <c r="B391" s="1981"/>
      <c r="C391" s="1981"/>
      <c r="D391" s="1981"/>
      <c r="E391" s="1981"/>
      <c r="F391" s="1965">
        <f t="shared" ref="F391:I391" si="167">SUBTOTAL(9,F390:F390)</f>
        <v>124768.60871</v>
      </c>
      <c r="G391" s="1965">
        <f t="shared" si="167"/>
        <v>33804.672562272928</v>
      </c>
      <c r="H391" s="1965">
        <f t="shared" si="167"/>
        <v>9504.7589428310039</v>
      </c>
      <c r="I391" s="1965">
        <f t="shared" si="167"/>
        <v>6754.5184871376405</v>
      </c>
      <c r="J391" s="1953" t="str">
        <f>LEFT(A391,3)&amp;"*"</f>
        <v>565*</v>
      </c>
    </row>
    <row r="392" spans="1:10" ht="12.75" hidden="1" outlineLevel="2" x14ac:dyDescent="0.2">
      <c r="A392" s="1982">
        <v>5660000</v>
      </c>
      <c r="B392" s="1982" t="s">
        <v>1693</v>
      </c>
      <c r="C392" s="1982" t="s">
        <v>1662</v>
      </c>
      <c r="D392" s="1982" t="s">
        <v>1663</v>
      </c>
      <c r="E392" s="1982" t="s">
        <v>1083</v>
      </c>
      <c r="F392" s="1968">
        <v>3561.8472200000001</v>
      </c>
      <c r="G392" s="1962">
        <v>965.04305236587675</v>
      </c>
      <c r="H392" s="1962">
        <v>271.33827624848215</v>
      </c>
      <c r="I392" s="1962">
        <v>192.82544820042989</v>
      </c>
    </row>
    <row r="393" spans="1:10" ht="13.5" outlineLevel="1" collapsed="1" thickBot="1" x14ac:dyDescent="0.25">
      <c r="A393" s="1981" t="s">
        <v>1694</v>
      </c>
      <c r="B393" s="1981"/>
      <c r="C393" s="1981"/>
      <c r="D393" s="1981"/>
      <c r="E393" s="1981"/>
      <c r="F393" s="1965">
        <f t="shared" ref="F393:I393" si="168">SUBTOTAL(9,F392:F392)</f>
        <v>3561.8472200000001</v>
      </c>
      <c r="G393" s="1965">
        <f t="shared" si="168"/>
        <v>965.04305236587675</v>
      </c>
      <c r="H393" s="1965">
        <f t="shared" si="168"/>
        <v>271.33827624848215</v>
      </c>
      <c r="I393" s="1965">
        <f t="shared" si="168"/>
        <v>192.82544820042989</v>
      </c>
      <c r="J393" s="1953" t="str">
        <f>LEFT(A393,3)&amp;"*"</f>
        <v>566*</v>
      </c>
    </row>
    <row r="394" spans="1:10" ht="12.75" hidden="1" outlineLevel="2" x14ac:dyDescent="0.2">
      <c r="A394" s="1982">
        <v>5660010</v>
      </c>
      <c r="B394" s="1982" t="s">
        <v>1693</v>
      </c>
      <c r="C394" s="1982" t="s">
        <v>1662</v>
      </c>
      <c r="D394" s="1982" t="s">
        <v>1663</v>
      </c>
      <c r="E394" s="1982" t="s">
        <v>1083</v>
      </c>
      <c r="F394" s="1968">
        <v>14.351520000000001</v>
      </c>
      <c r="G394" s="1962">
        <v>3.8883853830456907</v>
      </c>
      <c r="H394" s="1962">
        <v>1.0932857188483274</v>
      </c>
      <c r="I394" s="1962">
        <v>0.77693907274255114</v>
      </c>
    </row>
    <row r="395" spans="1:10" ht="13.5" outlineLevel="1" collapsed="1" thickBot="1" x14ac:dyDescent="0.25">
      <c r="A395" s="1981" t="s">
        <v>1695</v>
      </c>
      <c r="B395" s="1981"/>
      <c r="C395" s="1981"/>
      <c r="D395" s="1981"/>
      <c r="E395" s="1981"/>
      <c r="F395" s="1965">
        <f t="shared" ref="F395:I395" si="169">SUBTOTAL(9,F394:F394)</f>
        <v>14.351520000000001</v>
      </c>
      <c r="G395" s="1965">
        <f t="shared" si="169"/>
        <v>3.8883853830456907</v>
      </c>
      <c r="H395" s="1965">
        <f t="shared" si="169"/>
        <v>1.0932857188483274</v>
      </c>
      <c r="I395" s="1965">
        <f t="shared" si="169"/>
        <v>0.77693907274255114</v>
      </c>
      <c r="J395" s="1953" t="str">
        <f>LEFT(A395,3)&amp;"*"</f>
        <v>566*</v>
      </c>
    </row>
    <row r="396" spans="1:10" ht="12.75" hidden="1" outlineLevel="2" x14ac:dyDescent="0.2">
      <c r="A396" s="1982">
        <v>5670000</v>
      </c>
      <c r="B396" s="1982" t="s">
        <v>1696</v>
      </c>
      <c r="C396" s="1982" t="s">
        <v>1662</v>
      </c>
      <c r="D396" s="1982" t="s">
        <v>1663</v>
      </c>
      <c r="E396" s="1982" t="s">
        <v>1083</v>
      </c>
      <c r="F396" s="1968">
        <v>1826.4214300000001</v>
      </c>
      <c r="G396" s="1962">
        <v>494.84865656692864</v>
      </c>
      <c r="H396" s="1962">
        <v>139.13512060168819</v>
      </c>
      <c r="I396" s="1962">
        <v>98.875810524691758</v>
      </c>
    </row>
    <row r="397" spans="1:10" ht="13.5" outlineLevel="1" collapsed="1" thickBot="1" x14ac:dyDescent="0.25">
      <c r="A397" s="1981" t="s">
        <v>1697</v>
      </c>
      <c r="B397" s="1981"/>
      <c r="C397" s="1981"/>
      <c r="D397" s="1981"/>
      <c r="E397" s="1981"/>
      <c r="F397" s="1965">
        <f t="shared" ref="F397:I397" si="170">SUBTOTAL(9,F396:F396)</f>
        <v>1826.4214300000001</v>
      </c>
      <c r="G397" s="1965">
        <f t="shared" si="170"/>
        <v>494.84865656692864</v>
      </c>
      <c r="H397" s="1965">
        <f t="shared" si="170"/>
        <v>139.13512060168819</v>
      </c>
      <c r="I397" s="1965">
        <f t="shared" si="170"/>
        <v>98.875810524691758</v>
      </c>
      <c r="J397" s="1953" t="str">
        <f>LEFT(A397,3)&amp;"*"</f>
        <v>567*</v>
      </c>
    </row>
    <row r="398" spans="1:10" ht="12.75" hidden="1" outlineLevel="2" x14ac:dyDescent="0.2">
      <c r="A398" s="1982">
        <v>5680000</v>
      </c>
      <c r="B398" s="1982" t="s">
        <v>1431</v>
      </c>
      <c r="C398" s="1982" t="s">
        <v>1662</v>
      </c>
      <c r="D398" s="1982" t="s">
        <v>1663</v>
      </c>
      <c r="E398" s="1982" t="s">
        <v>1083</v>
      </c>
      <c r="F398" s="1968">
        <v>1398.1183699999999</v>
      </c>
      <c r="G398" s="1962">
        <v>378.80468644963503</v>
      </c>
      <c r="H398" s="1962">
        <v>106.50738369040363</v>
      </c>
      <c r="I398" s="1962">
        <v>75.6890412982128</v>
      </c>
    </row>
    <row r="399" spans="1:10" ht="13.5" outlineLevel="1" collapsed="1" thickBot="1" x14ac:dyDescent="0.25">
      <c r="A399" s="1981" t="s">
        <v>1698</v>
      </c>
      <c r="B399" s="1981"/>
      <c r="C399" s="1981"/>
      <c r="D399" s="1981"/>
      <c r="E399" s="1981"/>
      <c r="F399" s="1965">
        <f t="shared" ref="F399:I399" si="171">SUBTOTAL(9,F398:F398)</f>
        <v>1398.1183699999999</v>
      </c>
      <c r="G399" s="1965">
        <f t="shared" si="171"/>
        <v>378.80468644963503</v>
      </c>
      <c r="H399" s="1965">
        <f t="shared" si="171"/>
        <v>106.50738369040363</v>
      </c>
      <c r="I399" s="1965">
        <f t="shared" si="171"/>
        <v>75.6890412982128</v>
      </c>
      <c r="J399" s="1953" t="str">
        <f>LEFT(A399,3)&amp;"*"</f>
        <v>568*</v>
      </c>
    </row>
    <row r="400" spans="1:10" ht="12.75" hidden="1" outlineLevel="2" x14ac:dyDescent="0.2">
      <c r="A400" s="1982">
        <v>5690000</v>
      </c>
      <c r="B400" s="1982" t="s">
        <v>1587</v>
      </c>
      <c r="C400" s="1982" t="s">
        <v>1662</v>
      </c>
      <c r="D400" s="1982" t="s">
        <v>1663</v>
      </c>
      <c r="E400" s="1982" t="s">
        <v>1083</v>
      </c>
      <c r="F400" s="1968">
        <v>360.46028999999999</v>
      </c>
      <c r="G400" s="1962">
        <v>97.662723028948193</v>
      </c>
      <c r="H400" s="1962">
        <v>27.459536499891755</v>
      </c>
      <c r="I400" s="1962">
        <v>19.514008514297515</v>
      </c>
    </row>
    <row r="401" spans="1:10" ht="13.5" outlineLevel="1" collapsed="1" thickBot="1" x14ac:dyDescent="0.25">
      <c r="A401" s="1981" t="s">
        <v>1699</v>
      </c>
      <c r="B401" s="1981"/>
      <c r="C401" s="1981"/>
      <c r="D401" s="1981"/>
      <c r="E401" s="1981"/>
      <c r="F401" s="1965">
        <f t="shared" ref="F401:I401" si="172">SUBTOTAL(9,F400:F400)</f>
        <v>360.46028999999999</v>
      </c>
      <c r="G401" s="1965">
        <f t="shared" si="172"/>
        <v>97.662723028948193</v>
      </c>
      <c r="H401" s="1965">
        <f t="shared" si="172"/>
        <v>27.459536499891755</v>
      </c>
      <c r="I401" s="1965">
        <f t="shared" si="172"/>
        <v>19.514008514297515</v>
      </c>
      <c r="J401" s="1953" t="str">
        <f>LEFT(A401,3)&amp;"*"</f>
        <v>569*</v>
      </c>
    </row>
    <row r="402" spans="1:10" ht="12.75" hidden="1" outlineLevel="2" x14ac:dyDescent="0.2">
      <c r="A402" s="1982">
        <v>5692000</v>
      </c>
      <c r="B402" s="1982" t="s">
        <v>1700</v>
      </c>
      <c r="C402" s="1982" t="s">
        <v>1662</v>
      </c>
      <c r="D402" s="1982" t="s">
        <v>1663</v>
      </c>
      <c r="E402" s="1982" t="s">
        <v>1083</v>
      </c>
      <c r="F402" s="1968">
        <v>92.937719999999999</v>
      </c>
      <c r="G402" s="1962">
        <v>25.180445833026265</v>
      </c>
      <c r="H402" s="1962">
        <v>7.0799248399893902</v>
      </c>
      <c r="I402" s="1962">
        <v>5.031309993617878</v>
      </c>
    </row>
    <row r="403" spans="1:10" ht="13.5" outlineLevel="1" collapsed="1" thickBot="1" x14ac:dyDescent="0.25">
      <c r="A403" s="1981" t="s">
        <v>1701</v>
      </c>
      <c r="B403" s="1981"/>
      <c r="C403" s="1981"/>
      <c r="D403" s="1981"/>
      <c r="E403" s="1981"/>
      <c r="F403" s="1965">
        <f t="shared" ref="F403:I403" si="173">SUBTOTAL(9,F402:F402)</f>
        <v>92.937719999999999</v>
      </c>
      <c r="G403" s="1965">
        <f t="shared" si="173"/>
        <v>25.180445833026265</v>
      </c>
      <c r="H403" s="1965">
        <f t="shared" si="173"/>
        <v>7.0799248399893902</v>
      </c>
      <c r="I403" s="1965">
        <f t="shared" si="173"/>
        <v>5.031309993617878</v>
      </c>
      <c r="J403" s="1953" t="str">
        <f>LEFT(A403,3)&amp;"*"</f>
        <v>569*</v>
      </c>
    </row>
    <row r="404" spans="1:10" ht="12.75" hidden="1" outlineLevel="2" x14ac:dyDescent="0.2">
      <c r="A404" s="1982">
        <v>5693000</v>
      </c>
      <c r="B404" s="1982" t="s">
        <v>1702</v>
      </c>
      <c r="C404" s="1982" t="s">
        <v>1662</v>
      </c>
      <c r="D404" s="1982" t="s">
        <v>1663</v>
      </c>
      <c r="E404" s="1982" t="s">
        <v>1083</v>
      </c>
      <c r="F404" s="1968">
        <v>5771.1939000000002</v>
      </c>
      <c r="G404" s="1962">
        <v>1563.6410640463487</v>
      </c>
      <c r="H404" s="1962">
        <v>439.64429353647432</v>
      </c>
      <c r="I404" s="1962">
        <v>312.43143843185027</v>
      </c>
    </row>
    <row r="405" spans="1:10" ht="13.5" outlineLevel="1" collapsed="1" thickBot="1" x14ac:dyDescent="0.25">
      <c r="A405" s="1981" t="s">
        <v>1703</v>
      </c>
      <c r="B405" s="1981"/>
      <c r="C405" s="1981"/>
      <c r="D405" s="1981"/>
      <c r="E405" s="1981"/>
      <c r="F405" s="1965">
        <f t="shared" ref="F405:I405" si="174">SUBTOTAL(9,F404:F404)</f>
        <v>5771.1939000000002</v>
      </c>
      <c r="G405" s="1965">
        <f t="shared" si="174"/>
        <v>1563.6410640463487</v>
      </c>
      <c r="H405" s="1965">
        <f t="shared" si="174"/>
        <v>439.64429353647432</v>
      </c>
      <c r="I405" s="1965">
        <f t="shared" si="174"/>
        <v>312.43143843185027</v>
      </c>
      <c r="J405" s="1953" t="str">
        <f>LEFT(A405,3)&amp;"*"</f>
        <v>569*</v>
      </c>
    </row>
    <row r="406" spans="1:10" ht="12.75" hidden="1" outlineLevel="2" x14ac:dyDescent="0.2">
      <c r="A406" s="1982">
        <v>5700000</v>
      </c>
      <c r="B406" s="1982" t="s">
        <v>1704</v>
      </c>
      <c r="C406" s="1982" t="s">
        <v>1662</v>
      </c>
      <c r="D406" s="1982" t="s">
        <v>1663</v>
      </c>
      <c r="E406" s="1982" t="s">
        <v>1083</v>
      </c>
      <c r="F406" s="1968">
        <v>13778.54953</v>
      </c>
      <c r="G406" s="1962">
        <v>3733.1453805606006</v>
      </c>
      <c r="H406" s="1962">
        <v>1049.6373504404644</v>
      </c>
      <c r="I406" s="1962">
        <v>745.92053633172748</v>
      </c>
    </row>
    <row r="407" spans="1:10" ht="13.5" outlineLevel="1" collapsed="1" thickBot="1" x14ac:dyDescent="0.25">
      <c r="A407" s="1981" t="s">
        <v>1705</v>
      </c>
      <c r="B407" s="1981"/>
      <c r="C407" s="1981"/>
      <c r="D407" s="1981"/>
      <c r="E407" s="1981"/>
      <c r="F407" s="1965">
        <f t="shared" ref="F407:I407" si="175">SUBTOTAL(9,F406:F406)</f>
        <v>13778.54953</v>
      </c>
      <c r="G407" s="1965">
        <f t="shared" si="175"/>
        <v>3733.1453805606006</v>
      </c>
      <c r="H407" s="1965">
        <f t="shared" si="175"/>
        <v>1049.6373504404644</v>
      </c>
      <c r="I407" s="1965">
        <f t="shared" si="175"/>
        <v>745.92053633172748</v>
      </c>
      <c r="J407" s="1953" t="str">
        <f>LEFT(A407,3)&amp;"*"</f>
        <v>570*</v>
      </c>
    </row>
    <row r="408" spans="1:10" ht="12.75" hidden="1" outlineLevel="2" x14ac:dyDescent="0.2">
      <c r="A408" s="1982">
        <v>5710000</v>
      </c>
      <c r="B408" s="1982" t="s">
        <v>1706</v>
      </c>
      <c r="C408" s="1982" t="s">
        <v>1662</v>
      </c>
      <c r="D408" s="1982" t="s">
        <v>1663</v>
      </c>
      <c r="E408" s="1982" t="s">
        <v>1083</v>
      </c>
      <c r="F408" s="1968">
        <v>28947.306250000001</v>
      </c>
      <c r="G408" s="1962">
        <v>7842.9520009760054</v>
      </c>
      <c r="H408" s="1962">
        <v>2205.1794180863021</v>
      </c>
      <c r="I408" s="1962">
        <v>1567.1018314624273</v>
      </c>
    </row>
    <row r="409" spans="1:10" ht="13.5" outlineLevel="1" collapsed="1" thickBot="1" x14ac:dyDescent="0.25">
      <c r="A409" s="1981" t="s">
        <v>1707</v>
      </c>
      <c r="B409" s="1981"/>
      <c r="C409" s="1981"/>
      <c r="D409" s="1981"/>
      <c r="E409" s="1981"/>
      <c r="F409" s="1965">
        <f t="shared" ref="F409:I409" si="176">SUBTOTAL(9,F408:F408)</f>
        <v>28947.306250000001</v>
      </c>
      <c r="G409" s="1965">
        <f t="shared" si="176"/>
        <v>7842.9520009760054</v>
      </c>
      <c r="H409" s="1965">
        <f t="shared" si="176"/>
        <v>2205.1794180863021</v>
      </c>
      <c r="I409" s="1965">
        <f t="shared" si="176"/>
        <v>1567.1018314624273</v>
      </c>
      <c r="J409" s="1953" t="str">
        <f>LEFT(A409,3)&amp;"*"</f>
        <v>571*</v>
      </c>
    </row>
    <row r="410" spans="1:10" ht="12.75" hidden="1" outlineLevel="2" x14ac:dyDescent="0.2">
      <c r="A410" s="1982">
        <v>5720000</v>
      </c>
      <c r="B410" s="1982" t="s">
        <v>1708</v>
      </c>
      <c r="C410" s="1982" t="s">
        <v>1662</v>
      </c>
      <c r="D410" s="1982" t="s">
        <v>1663</v>
      </c>
      <c r="E410" s="1982" t="s">
        <v>1083</v>
      </c>
      <c r="F410" s="1968">
        <v>207.19881000000001</v>
      </c>
      <c r="G410" s="1962">
        <v>56.138222584678225</v>
      </c>
      <c r="H410" s="1962">
        <v>15.784216580220631</v>
      </c>
      <c r="I410" s="1962">
        <v>11.216989650905273</v>
      </c>
    </row>
    <row r="411" spans="1:10" ht="13.5" outlineLevel="1" collapsed="1" thickBot="1" x14ac:dyDescent="0.25">
      <c r="A411" s="1981" t="s">
        <v>1709</v>
      </c>
      <c r="B411" s="1981"/>
      <c r="C411" s="1981"/>
      <c r="D411" s="1981"/>
      <c r="E411" s="1981"/>
      <c r="F411" s="1965">
        <f t="shared" ref="F411:I411" si="177">SUBTOTAL(9,F410:F410)</f>
        <v>207.19881000000001</v>
      </c>
      <c r="G411" s="1965">
        <f t="shared" si="177"/>
        <v>56.138222584678225</v>
      </c>
      <c r="H411" s="1965">
        <f t="shared" si="177"/>
        <v>15.784216580220631</v>
      </c>
      <c r="I411" s="1965">
        <f t="shared" si="177"/>
        <v>11.216989650905273</v>
      </c>
      <c r="J411" s="1953" t="str">
        <f>LEFT(A411,3)&amp;"*"</f>
        <v>572*</v>
      </c>
    </row>
    <row r="412" spans="1:10" ht="12.75" hidden="1" outlineLevel="2" x14ac:dyDescent="0.2">
      <c r="A412" s="1982">
        <v>5730000</v>
      </c>
      <c r="B412" s="1982" t="s">
        <v>1710</v>
      </c>
      <c r="C412" s="1982" t="s">
        <v>1662</v>
      </c>
      <c r="D412" s="1982" t="s">
        <v>1663</v>
      </c>
      <c r="E412" s="1982" t="s">
        <v>1083</v>
      </c>
      <c r="F412" s="1968">
        <v>224.84137000000001</v>
      </c>
      <c r="G412" s="1962">
        <v>60.918278803357964</v>
      </c>
      <c r="H412" s="1962">
        <v>17.128210728012974</v>
      </c>
      <c r="I412" s="1962">
        <v>12.172093654328243</v>
      </c>
    </row>
    <row r="413" spans="1:10" ht="13.5" outlineLevel="1" collapsed="1" thickBot="1" x14ac:dyDescent="0.25">
      <c r="A413" s="1981" t="s">
        <v>1711</v>
      </c>
      <c r="B413" s="1981"/>
      <c r="C413" s="1981"/>
      <c r="D413" s="1981"/>
      <c r="E413" s="1981"/>
      <c r="F413" s="1965">
        <f t="shared" ref="F413:I413" si="178">SUBTOTAL(9,F412:F412)</f>
        <v>224.84137000000001</v>
      </c>
      <c r="G413" s="1965">
        <f t="shared" si="178"/>
        <v>60.918278803357964</v>
      </c>
      <c r="H413" s="1965">
        <f t="shared" si="178"/>
        <v>17.128210728012974</v>
      </c>
      <c r="I413" s="1965">
        <f t="shared" si="178"/>
        <v>12.172093654328243</v>
      </c>
      <c r="J413" s="1953" t="str">
        <f>LEFT(A413,3)&amp;"*"</f>
        <v>573*</v>
      </c>
    </row>
    <row r="414" spans="1:10" ht="12.75" hidden="1" outlineLevel="2" x14ac:dyDescent="0.2">
      <c r="A414" s="1982">
        <v>5800000</v>
      </c>
      <c r="B414" s="1982" t="s">
        <v>1564</v>
      </c>
      <c r="C414" s="1982" t="s">
        <v>1712</v>
      </c>
      <c r="D414" s="1982" t="s">
        <v>1713</v>
      </c>
      <c r="E414" s="1982" t="s">
        <v>918</v>
      </c>
      <c r="F414" s="1968">
        <v>2045.3661199999999</v>
      </c>
      <c r="G414" s="1962">
        <v>0</v>
      </c>
      <c r="H414" s="1962">
        <v>0</v>
      </c>
      <c r="I414" s="1962">
        <v>0</v>
      </c>
    </row>
    <row r="415" spans="1:10" ht="12.75" hidden="1" outlineLevel="2" x14ac:dyDescent="0.2">
      <c r="A415" s="1980">
        <v>5800000</v>
      </c>
      <c r="B415" s="1980" t="s">
        <v>1564</v>
      </c>
      <c r="C415" s="1980" t="s">
        <v>1712</v>
      </c>
      <c r="D415" s="1980" t="s">
        <v>1713</v>
      </c>
      <c r="E415" s="1980" t="s">
        <v>919</v>
      </c>
      <c r="F415" s="1962">
        <v>253.17287999999999</v>
      </c>
      <c r="G415" s="1962">
        <v>0</v>
      </c>
      <c r="H415" s="1962">
        <v>0</v>
      </c>
      <c r="I415" s="1962">
        <v>253.17287999999999</v>
      </c>
    </row>
    <row r="416" spans="1:10" ht="12.75" hidden="1" outlineLevel="2" x14ac:dyDescent="0.2">
      <c r="A416" s="1980">
        <v>5800000</v>
      </c>
      <c r="B416" s="1980" t="s">
        <v>1564</v>
      </c>
      <c r="C416" s="1980" t="s">
        <v>1712</v>
      </c>
      <c r="D416" s="1980" t="s">
        <v>1713</v>
      </c>
      <c r="E416" s="1980" t="s">
        <v>912</v>
      </c>
      <c r="F416" s="1962">
        <v>2558.4528399999999</v>
      </c>
      <c r="G416" s="1962">
        <v>2558.4528399999999</v>
      </c>
      <c r="H416" s="1962">
        <v>0</v>
      </c>
      <c r="I416" s="1962">
        <v>0</v>
      </c>
    </row>
    <row r="417" spans="1:10" ht="12.75" hidden="1" outlineLevel="2" x14ac:dyDescent="0.2">
      <c r="A417" s="1980">
        <v>5800000</v>
      </c>
      <c r="B417" s="1980" t="s">
        <v>1564</v>
      </c>
      <c r="C417" s="1980" t="s">
        <v>1712</v>
      </c>
      <c r="D417" s="1980" t="s">
        <v>1713</v>
      </c>
      <c r="E417" s="1980" t="s">
        <v>1714</v>
      </c>
      <c r="F417" s="1962">
        <v>15538.497950000001</v>
      </c>
      <c r="G417" s="1962">
        <v>4203.2714575314139</v>
      </c>
      <c r="H417" s="1962">
        <v>950.87439638750288</v>
      </c>
      <c r="I417" s="1962">
        <v>772.3538070844844</v>
      </c>
    </row>
    <row r="418" spans="1:10" ht="12.75" hidden="1" outlineLevel="2" x14ac:dyDescent="0.2">
      <c r="A418" s="1980">
        <v>5800000</v>
      </c>
      <c r="B418" s="1980" t="s">
        <v>1564</v>
      </c>
      <c r="C418" s="1980" t="s">
        <v>1712</v>
      </c>
      <c r="D418" s="1980" t="s">
        <v>1713</v>
      </c>
      <c r="E418" s="1980" t="s">
        <v>920</v>
      </c>
      <c r="F418" s="1962">
        <v>806.74819000000002</v>
      </c>
      <c r="G418" s="1962">
        <v>0</v>
      </c>
      <c r="H418" s="1962">
        <v>0</v>
      </c>
      <c r="I418" s="1962">
        <v>0</v>
      </c>
    </row>
    <row r="419" spans="1:10" ht="12.75" hidden="1" outlineLevel="2" x14ac:dyDescent="0.2">
      <c r="A419" s="1980">
        <v>5800000</v>
      </c>
      <c r="B419" s="1980" t="s">
        <v>1564</v>
      </c>
      <c r="C419" s="1980" t="s">
        <v>1712</v>
      </c>
      <c r="D419" s="1980" t="s">
        <v>1713</v>
      </c>
      <c r="E419" s="1980" t="s">
        <v>921</v>
      </c>
      <c r="F419" s="1962">
        <v>178.21587</v>
      </c>
      <c r="G419" s="1962">
        <v>0</v>
      </c>
      <c r="H419" s="1962">
        <v>178.21587</v>
      </c>
      <c r="I419" s="1962">
        <v>0</v>
      </c>
    </row>
    <row r="420" spans="1:10" ht="12.75" hidden="1" outlineLevel="2" x14ac:dyDescent="0.2">
      <c r="A420" s="1980">
        <v>5800000</v>
      </c>
      <c r="B420" s="1980" t="s">
        <v>1564</v>
      </c>
      <c r="C420" s="1980" t="s">
        <v>1712</v>
      </c>
      <c r="D420" s="1980" t="s">
        <v>1713</v>
      </c>
      <c r="E420" s="1980" t="s">
        <v>922</v>
      </c>
      <c r="F420" s="1962">
        <v>113.12227</v>
      </c>
      <c r="G420" s="1962">
        <v>0</v>
      </c>
      <c r="H420" s="1962">
        <v>0</v>
      </c>
      <c r="I420" s="1962">
        <v>0</v>
      </c>
    </row>
    <row r="421" spans="1:10" ht="12.75" hidden="1" outlineLevel="2" x14ac:dyDescent="0.2">
      <c r="A421" s="1980">
        <v>5800000</v>
      </c>
      <c r="B421" s="1980" t="s">
        <v>1564</v>
      </c>
      <c r="C421" s="1980" t="s">
        <v>1712</v>
      </c>
      <c r="D421" s="1980" t="s">
        <v>1713</v>
      </c>
      <c r="E421" s="1980" t="s">
        <v>923</v>
      </c>
      <c r="F421" s="1962">
        <v>99.643709999999999</v>
      </c>
      <c r="G421" s="1962">
        <v>0</v>
      </c>
      <c r="H421" s="1962">
        <v>0</v>
      </c>
      <c r="I421" s="1962">
        <v>0</v>
      </c>
    </row>
    <row r="422" spans="1:10" ht="13.5" outlineLevel="1" collapsed="1" thickBot="1" x14ac:dyDescent="0.25">
      <c r="A422" s="1981" t="s">
        <v>1715</v>
      </c>
      <c r="B422" s="1981"/>
      <c r="C422" s="1981"/>
      <c r="D422" s="1981"/>
      <c r="E422" s="1981"/>
      <c r="F422" s="1965">
        <f t="shared" ref="F422:I422" si="179">SUBTOTAL(9,F414:F421)</f>
        <v>21593.219829999998</v>
      </c>
      <c r="G422" s="1965">
        <f t="shared" si="179"/>
        <v>6761.7242975314139</v>
      </c>
      <c r="H422" s="1965">
        <f t="shared" si="179"/>
        <v>1129.0902663875029</v>
      </c>
      <c r="I422" s="1965">
        <f t="shared" si="179"/>
        <v>1025.5266870844844</v>
      </c>
      <c r="J422" s="1953" t="str">
        <f>LEFT(A422,3)&amp;"*"</f>
        <v>580*</v>
      </c>
    </row>
    <row r="423" spans="1:10" ht="12.75" hidden="1" outlineLevel="2" x14ac:dyDescent="0.2">
      <c r="A423" s="1982">
        <v>5810000</v>
      </c>
      <c r="B423" s="1982" t="s">
        <v>1716</v>
      </c>
      <c r="C423" s="1982" t="s">
        <v>1712</v>
      </c>
      <c r="D423" s="1982" t="s">
        <v>1713</v>
      </c>
      <c r="E423" s="1982" t="s">
        <v>1714</v>
      </c>
      <c r="F423" s="1968">
        <v>16872.05688</v>
      </c>
      <c r="G423" s="1962">
        <v>4564.0083965484264</v>
      </c>
      <c r="H423" s="1962">
        <v>1032.481193047724</v>
      </c>
      <c r="I423" s="1962">
        <v>838.63944935642678</v>
      </c>
    </row>
    <row r="424" spans="1:10" ht="13.5" outlineLevel="1" collapsed="1" thickBot="1" x14ac:dyDescent="0.25">
      <c r="A424" s="1981" t="s">
        <v>1717</v>
      </c>
      <c r="B424" s="1981"/>
      <c r="C424" s="1981"/>
      <c r="D424" s="1981"/>
      <c r="E424" s="1981"/>
      <c r="F424" s="1965">
        <f t="shared" ref="F424:I424" si="180">SUBTOTAL(9,F423:F423)</f>
        <v>16872.05688</v>
      </c>
      <c r="G424" s="1965">
        <f t="shared" si="180"/>
        <v>4564.0083965484264</v>
      </c>
      <c r="H424" s="1965">
        <f t="shared" si="180"/>
        <v>1032.481193047724</v>
      </c>
      <c r="I424" s="1965">
        <f t="shared" si="180"/>
        <v>838.63944935642678</v>
      </c>
      <c r="J424" s="1953" t="str">
        <f>LEFT(A424,3)&amp;"*"</f>
        <v>581*</v>
      </c>
    </row>
    <row r="425" spans="1:10" ht="12.75" hidden="1" outlineLevel="2" x14ac:dyDescent="0.2">
      <c r="A425" s="1982">
        <v>5820000</v>
      </c>
      <c r="B425" s="1982" t="s">
        <v>1718</v>
      </c>
      <c r="C425" s="1982" t="s">
        <v>1712</v>
      </c>
      <c r="D425" s="1982" t="s">
        <v>1713</v>
      </c>
      <c r="E425" s="1982" t="s">
        <v>918</v>
      </c>
      <c r="F425" s="1968">
        <v>87.024249999999995</v>
      </c>
      <c r="G425" s="1962">
        <v>0</v>
      </c>
      <c r="H425" s="1962">
        <v>0</v>
      </c>
      <c r="I425" s="1962">
        <v>0</v>
      </c>
    </row>
    <row r="426" spans="1:10" ht="12.75" hidden="1" outlineLevel="2" x14ac:dyDescent="0.2">
      <c r="A426" s="1980">
        <v>5820000</v>
      </c>
      <c r="B426" s="1980" t="s">
        <v>1718</v>
      </c>
      <c r="C426" s="1980" t="s">
        <v>1712</v>
      </c>
      <c r="D426" s="1980" t="s">
        <v>1713</v>
      </c>
      <c r="E426" s="1980" t="s">
        <v>919</v>
      </c>
      <c r="F426" s="1962">
        <v>452.00211000000002</v>
      </c>
      <c r="G426" s="1962">
        <v>0</v>
      </c>
      <c r="H426" s="1962">
        <v>0</v>
      </c>
      <c r="I426" s="1962">
        <v>452.00211000000002</v>
      </c>
    </row>
    <row r="427" spans="1:10" ht="12.75" hidden="1" outlineLevel="2" x14ac:dyDescent="0.2">
      <c r="A427" s="1980">
        <v>5820000</v>
      </c>
      <c r="B427" s="1980" t="s">
        <v>1718</v>
      </c>
      <c r="C427" s="1980" t="s">
        <v>1712</v>
      </c>
      <c r="D427" s="1980" t="s">
        <v>1713</v>
      </c>
      <c r="E427" s="1980" t="s">
        <v>912</v>
      </c>
      <c r="F427" s="1962">
        <v>1247.48234</v>
      </c>
      <c r="G427" s="1962">
        <v>1247.48234</v>
      </c>
      <c r="H427" s="1962">
        <v>0</v>
      </c>
      <c r="I427" s="1962">
        <v>0</v>
      </c>
    </row>
    <row r="428" spans="1:10" ht="12.75" hidden="1" outlineLevel="2" x14ac:dyDescent="0.2">
      <c r="A428" s="1980">
        <v>5820000</v>
      </c>
      <c r="B428" s="1980" t="s">
        <v>1718</v>
      </c>
      <c r="C428" s="1980" t="s">
        <v>1712</v>
      </c>
      <c r="D428" s="1980" t="s">
        <v>1713</v>
      </c>
      <c r="E428" s="1980" t="s">
        <v>1714</v>
      </c>
      <c r="F428" s="1962">
        <v>-1.0887</v>
      </c>
      <c r="G428" s="1962">
        <v>-0.29450090031478554</v>
      </c>
      <c r="H428" s="1962">
        <v>-6.6622717245785931E-2</v>
      </c>
      <c r="I428" s="1962">
        <v>-5.4114727979410526E-2</v>
      </c>
    </row>
    <row r="429" spans="1:10" ht="12.75" hidden="1" outlineLevel="2" x14ac:dyDescent="0.2">
      <c r="A429" s="1980">
        <v>5820000</v>
      </c>
      <c r="B429" s="1980" t="s">
        <v>1718</v>
      </c>
      <c r="C429" s="1980" t="s">
        <v>1712</v>
      </c>
      <c r="D429" s="1980" t="s">
        <v>1713</v>
      </c>
      <c r="E429" s="1980" t="s">
        <v>920</v>
      </c>
      <c r="F429" s="1962">
        <v>2520.9975199999999</v>
      </c>
      <c r="G429" s="1962">
        <v>0</v>
      </c>
      <c r="H429" s="1962">
        <v>0</v>
      </c>
      <c r="I429" s="1962">
        <v>0</v>
      </c>
    </row>
    <row r="430" spans="1:10" ht="12.75" hidden="1" outlineLevel="2" x14ac:dyDescent="0.2">
      <c r="A430" s="1980">
        <v>5820000</v>
      </c>
      <c r="B430" s="1980" t="s">
        <v>1718</v>
      </c>
      <c r="C430" s="1980" t="s">
        <v>1712</v>
      </c>
      <c r="D430" s="1980" t="s">
        <v>1713</v>
      </c>
      <c r="E430" s="1980" t="s">
        <v>921</v>
      </c>
      <c r="F430" s="1962">
        <v>244.66419999999999</v>
      </c>
      <c r="G430" s="1962">
        <v>0</v>
      </c>
      <c r="H430" s="1962">
        <v>244.66419999999999</v>
      </c>
      <c r="I430" s="1962">
        <v>0</v>
      </c>
    </row>
    <row r="431" spans="1:10" ht="12.75" hidden="1" outlineLevel="2" x14ac:dyDescent="0.2">
      <c r="A431" s="1980">
        <v>5820000</v>
      </c>
      <c r="B431" s="1980" t="s">
        <v>1718</v>
      </c>
      <c r="C431" s="1980" t="s">
        <v>1712</v>
      </c>
      <c r="D431" s="1980" t="s">
        <v>1713</v>
      </c>
      <c r="E431" s="1980" t="s">
        <v>922</v>
      </c>
      <c r="F431" s="1962">
        <v>1424.52206</v>
      </c>
      <c r="G431" s="1962">
        <v>0</v>
      </c>
      <c r="H431" s="1962">
        <v>0</v>
      </c>
      <c r="I431" s="1962">
        <v>0</v>
      </c>
    </row>
    <row r="432" spans="1:10" ht="13.5" outlineLevel="1" collapsed="1" thickBot="1" x14ac:dyDescent="0.25">
      <c r="A432" s="1981" t="s">
        <v>1719</v>
      </c>
      <c r="B432" s="1981"/>
      <c r="C432" s="1981"/>
      <c r="D432" s="1981"/>
      <c r="E432" s="1981"/>
      <c r="F432" s="1965">
        <f t="shared" ref="F432:I432" si="181">SUBTOTAL(9,F425:F431)</f>
        <v>5975.6037800000004</v>
      </c>
      <c r="G432" s="1965">
        <f t="shared" si="181"/>
        <v>1247.1878390996853</v>
      </c>
      <c r="H432" s="1965">
        <f t="shared" si="181"/>
        <v>244.5975772827542</v>
      </c>
      <c r="I432" s="1965">
        <f t="shared" si="181"/>
        <v>451.94799527202059</v>
      </c>
      <c r="J432" s="1953" t="str">
        <f>LEFT(A432,3)&amp;"*"</f>
        <v>582*</v>
      </c>
    </row>
    <row r="433" spans="1:10" ht="12.75" hidden="1" outlineLevel="2" x14ac:dyDescent="0.2">
      <c r="A433" s="1982">
        <v>5830000</v>
      </c>
      <c r="B433" s="1982" t="s">
        <v>1720</v>
      </c>
      <c r="C433" s="1982" t="s">
        <v>1712</v>
      </c>
      <c r="D433" s="1982" t="s">
        <v>1713</v>
      </c>
      <c r="E433" s="1982" t="s">
        <v>918</v>
      </c>
      <c r="F433" s="1968">
        <v>303.10851000000002</v>
      </c>
      <c r="G433" s="1962">
        <v>0</v>
      </c>
      <c r="H433" s="1962">
        <v>0</v>
      </c>
      <c r="I433" s="1962">
        <v>0</v>
      </c>
    </row>
    <row r="434" spans="1:10" ht="12.75" hidden="1" outlineLevel="2" x14ac:dyDescent="0.2">
      <c r="A434" s="1980">
        <v>5830000</v>
      </c>
      <c r="B434" s="1980" t="s">
        <v>1720</v>
      </c>
      <c r="C434" s="1980" t="s">
        <v>1712</v>
      </c>
      <c r="D434" s="1980" t="s">
        <v>1713</v>
      </c>
      <c r="E434" s="1980" t="s">
        <v>919</v>
      </c>
      <c r="F434" s="1962">
        <v>732.36215000000004</v>
      </c>
      <c r="G434" s="1962">
        <v>0</v>
      </c>
      <c r="H434" s="1962">
        <v>0</v>
      </c>
      <c r="I434" s="1962">
        <v>732.36215000000004</v>
      </c>
    </row>
    <row r="435" spans="1:10" ht="12.75" hidden="1" outlineLevel="2" x14ac:dyDescent="0.2">
      <c r="A435" s="1980">
        <v>5830000</v>
      </c>
      <c r="B435" s="1980" t="s">
        <v>1720</v>
      </c>
      <c r="C435" s="1980" t="s">
        <v>1712</v>
      </c>
      <c r="D435" s="1980" t="s">
        <v>1713</v>
      </c>
      <c r="E435" s="1980" t="s">
        <v>912</v>
      </c>
      <c r="F435" s="1962">
        <v>1913.7497699999999</v>
      </c>
      <c r="G435" s="1962">
        <v>1913.7497699999999</v>
      </c>
      <c r="H435" s="1962">
        <v>0</v>
      </c>
      <c r="I435" s="1962">
        <v>0</v>
      </c>
    </row>
    <row r="436" spans="1:10" ht="12.75" hidden="1" outlineLevel="2" x14ac:dyDescent="0.2">
      <c r="A436" s="1980">
        <v>5830000</v>
      </c>
      <c r="B436" s="1980" t="s">
        <v>1720</v>
      </c>
      <c r="C436" s="1980" t="s">
        <v>1712</v>
      </c>
      <c r="D436" s="1980" t="s">
        <v>1713</v>
      </c>
      <c r="E436" s="1980" t="s">
        <v>920</v>
      </c>
      <c r="F436" s="1962">
        <v>6778.0321800000002</v>
      </c>
      <c r="G436" s="1962">
        <v>0</v>
      </c>
      <c r="H436" s="1962">
        <v>0</v>
      </c>
      <c r="I436" s="1962">
        <v>0</v>
      </c>
    </row>
    <row r="437" spans="1:10" ht="12.75" hidden="1" outlineLevel="2" x14ac:dyDescent="0.2">
      <c r="A437" s="1980">
        <v>5830000</v>
      </c>
      <c r="B437" s="1980" t="s">
        <v>1720</v>
      </c>
      <c r="C437" s="1980" t="s">
        <v>1712</v>
      </c>
      <c r="D437" s="1980" t="s">
        <v>1713</v>
      </c>
      <c r="E437" s="1980" t="s">
        <v>921</v>
      </c>
      <c r="F437" s="1962">
        <v>594.39224999999999</v>
      </c>
      <c r="G437" s="1962">
        <v>0</v>
      </c>
      <c r="H437" s="1962">
        <v>594.39224999999999</v>
      </c>
      <c r="I437" s="1962">
        <v>0</v>
      </c>
    </row>
    <row r="438" spans="1:10" ht="12.75" hidden="1" outlineLevel="2" x14ac:dyDescent="0.2">
      <c r="A438" s="1980">
        <v>5830000</v>
      </c>
      <c r="B438" s="1980" t="s">
        <v>1720</v>
      </c>
      <c r="C438" s="1980" t="s">
        <v>1712</v>
      </c>
      <c r="D438" s="1980" t="s">
        <v>1713</v>
      </c>
      <c r="E438" s="1980" t="s">
        <v>922</v>
      </c>
      <c r="F438" s="1962">
        <v>1118.55143</v>
      </c>
      <c r="G438" s="1962">
        <v>0</v>
      </c>
      <c r="H438" s="1962">
        <v>0</v>
      </c>
      <c r="I438" s="1962">
        <v>0</v>
      </c>
    </row>
    <row r="439" spans="1:10" ht="12.75" hidden="1" outlineLevel="2" x14ac:dyDescent="0.2">
      <c r="A439" s="1980">
        <v>5830000</v>
      </c>
      <c r="B439" s="1980" t="s">
        <v>1720</v>
      </c>
      <c r="C439" s="1980" t="s">
        <v>1712</v>
      </c>
      <c r="D439" s="1980" t="s">
        <v>1713</v>
      </c>
      <c r="E439" s="1980" t="s">
        <v>923</v>
      </c>
      <c r="F439" s="1962">
        <v>118.60713</v>
      </c>
      <c r="G439" s="1962">
        <v>0</v>
      </c>
      <c r="H439" s="1962">
        <v>0</v>
      </c>
      <c r="I439" s="1962">
        <v>0</v>
      </c>
    </row>
    <row r="440" spans="1:10" ht="13.5" outlineLevel="1" collapsed="1" thickBot="1" x14ac:dyDescent="0.25">
      <c r="A440" s="1981" t="s">
        <v>1721</v>
      </c>
      <c r="B440" s="1981"/>
      <c r="C440" s="1981"/>
      <c r="D440" s="1981"/>
      <c r="E440" s="1981"/>
      <c r="F440" s="1965">
        <f t="shared" ref="F440:I440" si="182">SUBTOTAL(9,F433:F439)</f>
        <v>11558.80342</v>
      </c>
      <c r="G440" s="1965">
        <f t="shared" si="182"/>
        <v>1913.7497699999999</v>
      </c>
      <c r="H440" s="1965">
        <f t="shared" si="182"/>
        <v>594.39224999999999</v>
      </c>
      <c r="I440" s="1965">
        <f t="shared" si="182"/>
        <v>732.36215000000004</v>
      </c>
      <c r="J440" s="1953" t="str">
        <f>LEFT(A440,3)&amp;"*"</f>
        <v>583*</v>
      </c>
    </row>
    <row r="441" spans="1:10" ht="12.75" hidden="1" outlineLevel="2" x14ac:dyDescent="0.2">
      <c r="A441" s="1982">
        <v>5850000</v>
      </c>
      <c r="B441" s="1982" t="s">
        <v>1722</v>
      </c>
      <c r="C441" s="1982" t="s">
        <v>1712</v>
      </c>
      <c r="D441" s="1982" t="s">
        <v>1713</v>
      </c>
      <c r="E441" s="1982" t="s">
        <v>1714</v>
      </c>
      <c r="F441" s="1968">
        <v>268.15523999999999</v>
      </c>
      <c r="G441" s="1962">
        <v>72.537852120995126</v>
      </c>
      <c r="H441" s="1962">
        <v>16.409691129324759</v>
      </c>
      <c r="I441" s="1962">
        <v>13.328876521404927</v>
      </c>
    </row>
    <row r="442" spans="1:10" ht="13.5" outlineLevel="1" collapsed="1" thickBot="1" x14ac:dyDescent="0.25">
      <c r="A442" s="1981" t="s">
        <v>1723</v>
      </c>
      <c r="B442" s="1981"/>
      <c r="C442" s="1981"/>
      <c r="D442" s="1981"/>
      <c r="E442" s="1981"/>
      <c r="F442" s="1965">
        <f t="shared" ref="F442:I442" si="183">SUBTOTAL(9,F441:F441)</f>
        <v>268.15523999999999</v>
      </c>
      <c r="G442" s="1965">
        <f t="shared" si="183"/>
        <v>72.537852120995126</v>
      </c>
      <c r="H442" s="1965">
        <f t="shared" si="183"/>
        <v>16.409691129324759</v>
      </c>
      <c r="I442" s="1965">
        <f t="shared" si="183"/>
        <v>13.328876521404927</v>
      </c>
      <c r="J442" s="1953" t="str">
        <f>LEFT(A442,3)&amp;"*"</f>
        <v>585*</v>
      </c>
    </row>
    <row r="443" spans="1:10" ht="12.75" hidden="1" outlineLevel="2" x14ac:dyDescent="0.2">
      <c r="A443" s="1982">
        <v>5860000</v>
      </c>
      <c r="B443" s="1982" t="s">
        <v>1724</v>
      </c>
      <c r="C443" s="1982" t="s">
        <v>1712</v>
      </c>
      <c r="D443" s="1982" t="s">
        <v>1713</v>
      </c>
      <c r="E443" s="1982" t="s">
        <v>918</v>
      </c>
      <c r="F443" s="1968">
        <v>125.23180000000001</v>
      </c>
      <c r="G443" s="1962">
        <v>0</v>
      </c>
      <c r="H443" s="1962">
        <v>0</v>
      </c>
      <c r="I443" s="1962">
        <v>0</v>
      </c>
    </row>
    <row r="444" spans="1:10" ht="12.75" hidden="1" outlineLevel="2" x14ac:dyDescent="0.2">
      <c r="A444" s="1980">
        <v>5860000</v>
      </c>
      <c r="B444" s="1980" t="s">
        <v>1724</v>
      </c>
      <c r="C444" s="1980" t="s">
        <v>1712</v>
      </c>
      <c r="D444" s="1980" t="s">
        <v>1713</v>
      </c>
      <c r="E444" s="1980" t="s">
        <v>919</v>
      </c>
      <c r="F444" s="1962">
        <v>132.32614000000001</v>
      </c>
      <c r="G444" s="1962">
        <v>0</v>
      </c>
      <c r="H444" s="1962">
        <v>0</v>
      </c>
      <c r="I444" s="1962">
        <v>132.32614000000001</v>
      </c>
    </row>
    <row r="445" spans="1:10" ht="12.75" hidden="1" outlineLevel="2" x14ac:dyDescent="0.2">
      <c r="A445" s="1980">
        <v>5860000</v>
      </c>
      <c r="B445" s="1980" t="s">
        <v>1724</v>
      </c>
      <c r="C445" s="1980" t="s">
        <v>1712</v>
      </c>
      <c r="D445" s="1980" t="s">
        <v>1713</v>
      </c>
      <c r="E445" s="1980" t="s">
        <v>912</v>
      </c>
      <c r="F445" s="1962">
        <v>1150.7458099999999</v>
      </c>
      <c r="G445" s="1962">
        <v>1150.7458099999999</v>
      </c>
      <c r="H445" s="1962">
        <v>0</v>
      </c>
      <c r="I445" s="1962">
        <v>0</v>
      </c>
    </row>
    <row r="446" spans="1:10" ht="12.75" hidden="1" outlineLevel="2" x14ac:dyDescent="0.2">
      <c r="A446" s="1980">
        <v>5860000</v>
      </c>
      <c r="B446" s="1980" t="s">
        <v>1724</v>
      </c>
      <c r="C446" s="1980" t="s">
        <v>1712</v>
      </c>
      <c r="D446" s="1980" t="s">
        <v>1713</v>
      </c>
      <c r="E446" s="1980" t="s">
        <v>920</v>
      </c>
      <c r="F446" s="1962">
        <v>731.35044000000005</v>
      </c>
      <c r="G446" s="1962">
        <v>0</v>
      </c>
      <c r="H446" s="1962">
        <v>0</v>
      </c>
      <c r="I446" s="1962">
        <v>0</v>
      </c>
    </row>
    <row r="447" spans="1:10" ht="12.75" hidden="1" outlineLevel="2" x14ac:dyDescent="0.2">
      <c r="A447" s="1980">
        <v>5860000</v>
      </c>
      <c r="B447" s="1980" t="s">
        <v>1724</v>
      </c>
      <c r="C447" s="1980" t="s">
        <v>1712</v>
      </c>
      <c r="D447" s="1980" t="s">
        <v>1713</v>
      </c>
      <c r="E447" s="1980" t="s">
        <v>921</v>
      </c>
      <c r="F447" s="1962">
        <v>246.30969999999999</v>
      </c>
      <c r="G447" s="1962">
        <v>0</v>
      </c>
      <c r="H447" s="1962">
        <v>246.30969999999999</v>
      </c>
      <c r="I447" s="1962">
        <v>0</v>
      </c>
    </row>
    <row r="448" spans="1:10" ht="12.75" hidden="1" outlineLevel="2" x14ac:dyDescent="0.2">
      <c r="A448" s="1980">
        <v>5860000</v>
      </c>
      <c r="B448" s="1980" t="s">
        <v>1724</v>
      </c>
      <c r="C448" s="1980" t="s">
        <v>1712</v>
      </c>
      <c r="D448" s="1980" t="s">
        <v>1713</v>
      </c>
      <c r="E448" s="1980" t="s">
        <v>922</v>
      </c>
      <c r="F448" s="1962">
        <v>304.52163000000002</v>
      </c>
      <c r="G448" s="1962">
        <v>0</v>
      </c>
      <c r="H448" s="1962">
        <v>0</v>
      </c>
      <c r="I448" s="1962">
        <v>0</v>
      </c>
    </row>
    <row r="449" spans="1:10" ht="12.75" hidden="1" outlineLevel="2" x14ac:dyDescent="0.2">
      <c r="A449" s="1980">
        <v>5860000</v>
      </c>
      <c r="B449" s="1980" t="s">
        <v>1724</v>
      </c>
      <c r="C449" s="1980" t="s">
        <v>1712</v>
      </c>
      <c r="D449" s="1980" t="s">
        <v>1713</v>
      </c>
      <c r="E449" s="1980" t="s">
        <v>923</v>
      </c>
      <c r="F449" s="1962">
        <v>59.522629999999999</v>
      </c>
      <c r="G449" s="1962">
        <v>0</v>
      </c>
      <c r="H449" s="1962">
        <v>0</v>
      </c>
      <c r="I449" s="1962">
        <v>0</v>
      </c>
    </row>
    <row r="450" spans="1:10" ht="13.5" outlineLevel="1" collapsed="1" thickBot="1" x14ac:dyDescent="0.25">
      <c r="A450" s="1981" t="s">
        <v>1725</v>
      </c>
      <c r="B450" s="1981"/>
      <c r="C450" s="1981"/>
      <c r="D450" s="1981"/>
      <c r="E450" s="1981"/>
      <c r="F450" s="1965">
        <f t="shared" ref="F450:I450" si="184">SUBTOTAL(9,F443:F449)</f>
        <v>2750.0081500000001</v>
      </c>
      <c r="G450" s="1965">
        <f t="shared" si="184"/>
        <v>1150.7458099999999</v>
      </c>
      <c r="H450" s="1965">
        <f t="shared" si="184"/>
        <v>246.30969999999999</v>
      </c>
      <c r="I450" s="1965">
        <f t="shared" si="184"/>
        <v>132.32614000000001</v>
      </c>
      <c r="J450" s="1953" t="str">
        <f>LEFT(A450,3)&amp;"*"</f>
        <v>586*</v>
      </c>
    </row>
    <row r="451" spans="1:10" ht="12.75" hidden="1" outlineLevel="2" x14ac:dyDescent="0.2">
      <c r="A451" s="1982">
        <v>5870000</v>
      </c>
      <c r="B451" s="1982" t="s">
        <v>1726</v>
      </c>
      <c r="C451" s="1982" t="s">
        <v>1712</v>
      </c>
      <c r="D451" s="1982" t="s">
        <v>1713</v>
      </c>
      <c r="E451" s="1982" t="s">
        <v>918</v>
      </c>
      <c r="F451" s="1968">
        <v>577.84484999999995</v>
      </c>
      <c r="G451" s="1962">
        <v>0</v>
      </c>
      <c r="H451" s="1962">
        <v>0</v>
      </c>
      <c r="I451" s="1962">
        <v>0</v>
      </c>
    </row>
    <row r="452" spans="1:10" ht="12.75" hidden="1" outlineLevel="2" x14ac:dyDescent="0.2">
      <c r="A452" s="1980">
        <v>5870000</v>
      </c>
      <c r="B452" s="1980" t="s">
        <v>1726</v>
      </c>
      <c r="C452" s="1980" t="s">
        <v>1712</v>
      </c>
      <c r="D452" s="1980" t="s">
        <v>1713</v>
      </c>
      <c r="E452" s="1980" t="s">
        <v>919</v>
      </c>
      <c r="F452" s="1962">
        <v>1100.7493899999999</v>
      </c>
      <c r="G452" s="1962">
        <v>0</v>
      </c>
      <c r="H452" s="1962">
        <v>0</v>
      </c>
      <c r="I452" s="1962">
        <v>1100.7493899999999</v>
      </c>
    </row>
    <row r="453" spans="1:10" ht="12.75" hidden="1" outlineLevel="2" x14ac:dyDescent="0.2">
      <c r="A453" s="1980">
        <v>5870000</v>
      </c>
      <c r="B453" s="1980" t="s">
        <v>1726</v>
      </c>
      <c r="C453" s="1980" t="s">
        <v>1712</v>
      </c>
      <c r="D453" s="1980" t="s">
        <v>1713</v>
      </c>
      <c r="E453" s="1980" t="s">
        <v>912</v>
      </c>
      <c r="F453" s="1962">
        <v>6808.9791400000004</v>
      </c>
      <c r="G453" s="1962">
        <v>6808.9791400000004</v>
      </c>
      <c r="H453" s="1962">
        <v>0</v>
      </c>
      <c r="I453" s="1962">
        <v>0</v>
      </c>
    </row>
    <row r="454" spans="1:10" ht="12.75" hidden="1" outlineLevel="2" x14ac:dyDescent="0.2">
      <c r="A454" s="1980">
        <v>5870000</v>
      </c>
      <c r="B454" s="1980" t="s">
        <v>1726</v>
      </c>
      <c r="C454" s="1980" t="s">
        <v>1712</v>
      </c>
      <c r="D454" s="1980" t="s">
        <v>1713</v>
      </c>
      <c r="E454" s="1980" t="s">
        <v>920</v>
      </c>
      <c r="F454" s="1962">
        <v>9280.0511800000004</v>
      </c>
      <c r="G454" s="1962">
        <v>0</v>
      </c>
      <c r="H454" s="1962">
        <v>0</v>
      </c>
      <c r="I454" s="1962">
        <v>0</v>
      </c>
    </row>
    <row r="455" spans="1:10" ht="12.75" hidden="1" outlineLevel="2" x14ac:dyDescent="0.2">
      <c r="A455" s="1980">
        <v>5870000</v>
      </c>
      <c r="B455" s="1980" t="s">
        <v>1726</v>
      </c>
      <c r="C455" s="1980" t="s">
        <v>1712</v>
      </c>
      <c r="D455" s="1980" t="s">
        <v>1713</v>
      </c>
      <c r="E455" s="1980" t="s">
        <v>921</v>
      </c>
      <c r="F455" s="1962">
        <v>1600.5757699999999</v>
      </c>
      <c r="G455" s="1962">
        <v>0</v>
      </c>
      <c r="H455" s="1962">
        <v>1600.5757699999999</v>
      </c>
      <c r="I455" s="1962">
        <v>0</v>
      </c>
    </row>
    <row r="456" spans="1:10" ht="12.75" hidden="1" outlineLevel="2" x14ac:dyDescent="0.2">
      <c r="A456" s="1980">
        <v>5870000</v>
      </c>
      <c r="B456" s="1980" t="s">
        <v>1726</v>
      </c>
      <c r="C456" s="1980" t="s">
        <v>1712</v>
      </c>
      <c r="D456" s="1980" t="s">
        <v>1713</v>
      </c>
      <c r="E456" s="1980" t="s">
        <v>922</v>
      </c>
      <c r="F456" s="1962">
        <v>1652.8094699999999</v>
      </c>
      <c r="G456" s="1962">
        <v>0</v>
      </c>
      <c r="H456" s="1962">
        <v>0</v>
      </c>
      <c r="I456" s="1962">
        <v>0</v>
      </c>
    </row>
    <row r="457" spans="1:10" ht="12.75" hidden="1" outlineLevel="2" x14ac:dyDescent="0.2">
      <c r="A457" s="1980">
        <v>5870000</v>
      </c>
      <c r="B457" s="1980" t="s">
        <v>1726</v>
      </c>
      <c r="C457" s="1980" t="s">
        <v>1712</v>
      </c>
      <c r="D457" s="1980" t="s">
        <v>1713</v>
      </c>
      <c r="E457" s="1980" t="s">
        <v>923</v>
      </c>
      <c r="F457" s="1962">
        <v>155.36409</v>
      </c>
      <c r="G457" s="1962">
        <v>0</v>
      </c>
      <c r="H457" s="1962">
        <v>0</v>
      </c>
      <c r="I457" s="1962">
        <v>0</v>
      </c>
    </row>
    <row r="458" spans="1:10" ht="13.5" outlineLevel="1" collapsed="1" thickBot="1" x14ac:dyDescent="0.25">
      <c r="A458" s="1981" t="s">
        <v>1727</v>
      </c>
      <c r="B458" s="1981"/>
      <c r="C458" s="1981"/>
      <c r="D458" s="1981"/>
      <c r="E458" s="1981"/>
      <c r="F458" s="1965">
        <f t="shared" ref="F458:I458" si="185">SUBTOTAL(9,F451:F457)</f>
        <v>21176.373889999999</v>
      </c>
      <c r="G458" s="1965">
        <f t="shared" si="185"/>
        <v>6808.9791400000004</v>
      </c>
      <c r="H458" s="1965">
        <f t="shared" si="185"/>
        <v>1600.5757699999999</v>
      </c>
      <c r="I458" s="1965">
        <f t="shared" si="185"/>
        <v>1100.7493899999999</v>
      </c>
      <c r="J458" s="1953" t="str">
        <f>LEFT(A458,3)&amp;"*"</f>
        <v>587*</v>
      </c>
    </row>
    <row r="459" spans="1:10" ht="12.75" hidden="1" outlineLevel="2" x14ac:dyDescent="0.2">
      <c r="A459" s="1982">
        <v>5880000</v>
      </c>
      <c r="B459" s="1982" t="s">
        <v>1728</v>
      </c>
      <c r="C459" s="1982" t="s">
        <v>1712</v>
      </c>
      <c r="D459" s="1982" t="s">
        <v>1713</v>
      </c>
      <c r="E459" s="1982" t="s">
        <v>918</v>
      </c>
      <c r="F459" s="1968">
        <v>-46.34198</v>
      </c>
      <c r="G459" s="1962">
        <v>0</v>
      </c>
      <c r="H459" s="1962">
        <v>0</v>
      </c>
      <c r="I459" s="1962">
        <v>0</v>
      </c>
    </row>
    <row r="460" spans="1:10" ht="12.75" hidden="1" outlineLevel="2" x14ac:dyDescent="0.2">
      <c r="A460" s="1980">
        <v>5880000</v>
      </c>
      <c r="B460" s="1980" t="s">
        <v>1728</v>
      </c>
      <c r="C460" s="1980" t="s">
        <v>1712</v>
      </c>
      <c r="D460" s="1980" t="s">
        <v>1713</v>
      </c>
      <c r="E460" s="1980" t="s">
        <v>919</v>
      </c>
      <c r="F460" s="1962">
        <v>230.73534000000001</v>
      </c>
      <c r="G460" s="1962">
        <v>0</v>
      </c>
      <c r="H460" s="1962">
        <v>0</v>
      </c>
      <c r="I460" s="1962">
        <v>230.73534000000001</v>
      </c>
    </row>
    <row r="461" spans="1:10" ht="12.75" hidden="1" outlineLevel="2" x14ac:dyDescent="0.2">
      <c r="A461" s="1980">
        <v>5880000</v>
      </c>
      <c r="B461" s="1980" t="s">
        <v>1728</v>
      </c>
      <c r="C461" s="1980" t="s">
        <v>1712</v>
      </c>
      <c r="D461" s="1980" t="s">
        <v>1713</v>
      </c>
      <c r="E461" s="1980" t="s">
        <v>912</v>
      </c>
      <c r="F461" s="1962">
        <v>-241.80857</v>
      </c>
      <c r="G461" s="1962">
        <v>-241.80857</v>
      </c>
      <c r="H461" s="1962">
        <v>0</v>
      </c>
      <c r="I461" s="1962">
        <v>0</v>
      </c>
    </row>
    <row r="462" spans="1:10" ht="12.75" hidden="1" outlineLevel="2" x14ac:dyDescent="0.2">
      <c r="A462" s="1980">
        <v>5880000</v>
      </c>
      <c r="B462" s="1980" t="s">
        <v>1728</v>
      </c>
      <c r="C462" s="1980" t="s">
        <v>1712</v>
      </c>
      <c r="D462" s="1980" t="s">
        <v>1713</v>
      </c>
      <c r="E462" s="1980" t="s">
        <v>1714</v>
      </c>
      <c r="F462" s="1962">
        <v>1192.13708</v>
      </c>
      <c r="G462" s="1962">
        <v>322.48134780806424</v>
      </c>
      <c r="H462" s="1962">
        <v>72.952522824521793</v>
      </c>
      <c r="I462" s="1962">
        <v>59.256153025047084</v>
      </c>
    </row>
    <row r="463" spans="1:10" ht="12.75" hidden="1" outlineLevel="2" x14ac:dyDescent="0.2">
      <c r="A463" s="1980">
        <v>5880000</v>
      </c>
      <c r="B463" s="1980" t="s">
        <v>1728</v>
      </c>
      <c r="C463" s="1980" t="s">
        <v>1712</v>
      </c>
      <c r="D463" s="1980" t="s">
        <v>1713</v>
      </c>
      <c r="E463" s="1980" t="s">
        <v>920</v>
      </c>
      <c r="F463" s="1962">
        <v>2052.83689</v>
      </c>
      <c r="G463" s="1962">
        <v>0</v>
      </c>
      <c r="H463" s="1962">
        <v>0</v>
      </c>
      <c r="I463" s="1962">
        <v>0</v>
      </c>
    </row>
    <row r="464" spans="1:10" ht="12.75" hidden="1" outlineLevel="2" x14ac:dyDescent="0.2">
      <c r="A464" s="1980">
        <v>5880000</v>
      </c>
      <c r="B464" s="1980" t="s">
        <v>1728</v>
      </c>
      <c r="C464" s="1980" t="s">
        <v>1712</v>
      </c>
      <c r="D464" s="1980" t="s">
        <v>1713</v>
      </c>
      <c r="E464" s="1980" t="s">
        <v>921</v>
      </c>
      <c r="F464" s="1962">
        <v>-30.576899999999998</v>
      </c>
      <c r="G464" s="1962">
        <v>0</v>
      </c>
      <c r="H464" s="1962">
        <v>-30.576899999999998</v>
      </c>
      <c r="I464" s="1962">
        <v>0</v>
      </c>
    </row>
    <row r="465" spans="1:10" ht="12.75" hidden="1" outlineLevel="2" x14ac:dyDescent="0.2">
      <c r="A465" s="1980">
        <v>5880000</v>
      </c>
      <c r="B465" s="1980" t="s">
        <v>1728</v>
      </c>
      <c r="C465" s="1980" t="s">
        <v>1712</v>
      </c>
      <c r="D465" s="1980" t="s">
        <v>1713</v>
      </c>
      <c r="E465" s="1980" t="s">
        <v>922</v>
      </c>
      <c r="F465" s="1962">
        <v>543.41143999999997</v>
      </c>
      <c r="G465" s="1962">
        <v>0</v>
      </c>
      <c r="H465" s="1962">
        <v>0</v>
      </c>
      <c r="I465" s="1962">
        <v>0</v>
      </c>
    </row>
    <row r="466" spans="1:10" ht="12.75" hidden="1" outlineLevel="2" x14ac:dyDescent="0.2">
      <c r="A466" s="1980">
        <v>5880000</v>
      </c>
      <c r="B466" s="1980" t="s">
        <v>1728</v>
      </c>
      <c r="C466" s="1980" t="s">
        <v>1712</v>
      </c>
      <c r="D466" s="1980" t="s">
        <v>1713</v>
      </c>
      <c r="E466" s="1980" t="s">
        <v>923</v>
      </c>
      <c r="F466" s="1962">
        <v>-0.82855999999999996</v>
      </c>
      <c r="G466" s="1962">
        <v>0</v>
      </c>
      <c r="H466" s="1962">
        <v>0</v>
      </c>
      <c r="I466" s="1962">
        <v>0</v>
      </c>
    </row>
    <row r="467" spans="1:10" ht="13.5" outlineLevel="1" collapsed="1" thickBot="1" x14ac:dyDescent="0.25">
      <c r="A467" s="1981" t="s">
        <v>1729</v>
      </c>
      <c r="B467" s="1981"/>
      <c r="C467" s="1981"/>
      <c r="D467" s="1981"/>
      <c r="E467" s="1981"/>
      <c r="F467" s="1965">
        <f t="shared" ref="F467:I467" si="186">SUBTOTAL(9,F459:F466)</f>
        <v>3699.5647399999998</v>
      </c>
      <c r="G467" s="1965">
        <f t="shared" si="186"/>
        <v>80.672777808064239</v>
      </c>
      <c r="H467" s="1965">
        <f t="shared" si="186"/>
        <v>42.375622824521798</v>
      </c>
      <c r="I467" s="1965">
        <f t="shared" si="186"/>
        <v>289.99149302504708</v>
      </c>
      <c r="J467" s="1953" t="str">
        <f>LEFT(A467,3)&amp;"*"</f>
        <v>588*</v>
      </c>
    </row>
    <row r="468" spans="1:10" ht="12.75" hidden="1" outlineLevel="2" x14ac:dyDescent="0.2">
      <c r="A468" s="1982">
        <v>5890000</v>
      </c>
      <c r="B468" s="1982" t="s">
        <v>1730</v>
      </c>
      <c r="C468" s="1982" t="s">
        <v>1712</v>
      </c>
      <c r="D468" s="1982" t="s">
        <v>1713</v>
      </c>
      <c r="E468" s="1982" t="s">
        <v>918</v>
      </c>
      <c r="F468" s="1968">
        <v>-54.010570000000001</v>
      </c>
      <c r="G468" s="1962">
        <v>0</v>
      </c>
      <c r="H468" s="1962">
        <v>0</v>
      </c>
      <c r="I468" s="1962">
        <v>0</v>
      </c>
    </row>
    <row r="469" spans="1:10" ht="12.75" hidden="1" outlineLevel="2" x14ac:dyDescent="0.2">
      <c r="A469" s="1980">
        <v>5890000</v>
      </c>
      <c r="B469" s="1980" t="s">
        <v>1730</v>
      </c>
      <c r="C469" s="1980" t="s">
        <v>1712</v>
      </c>
      <c r="D469" s="1980" t="s">
        <v>1713</v>
      </c>
      <c r="E469" s="1980" t="s">
        <v>919</v>
      </c>
      <c r="F469" s="1962">
        <v>41.802030000000002</v>
      </c>
      <c r="G469" s="1962">
        <v>0</v>
      </c>
      <c r="H469" s="1962">
        <v>0</v>
      </c>
      <c r="I469" s="1962">
        <v>41.802030000000002</v>
      </c>
    </row>
    <row r="470" spans="1:10" ht="12.75" hidden="1" outlineLevel="2" x14ac:dyDescent="0.2">
      <c r="A470" s="1980">
        <v>5890000</v>
      </c>
      <c r="B470" s="1980" t="s">
        <v>1730</v>
      </c>
      <c r="C470" s="1980" t="s">
        <v>1712</v>
      </c>
      <c r="D470" s="1980" t="s">
        <v>1713</v>
      </c>
      <c r="E470" s="1980" t="s">
        <v>912</v>
      </c>
      <c r="F470" s="1962">
        <v>1673.00459</v>
      </c>
      <c r="G470" s="1962">
        <v>1673.00459</v>
      </c>
      <c r="H470" s="1962">
        <v>0</v>
      </c>
      <c r="I470" s="1962">
        <v>0</v>
      </c>
    </row>
    <row r="471" spans="1:10" ht="12.75" hidden="1" outlineLevel="2" x14ac:dyDescent="0.2">
      <c r="A471" s="1980">
        <v>5890000</v>
      </c>
      <c r="B471" s="1980" t="s">
        <v>1730</v>
      </c>
      <c r="C471" s="1980" t="s">
        <v>1712</v>
      </c>
      <c r="D471" s="1980" t="s">
        <v>1713</v>
      </c>
      <c r="E471" s="1980" t="s">
        <v>1714</v>
      </c>
      <c r="F471" s="1962">
        <v>738.08078999999998</v>
      </c>
      <c r="G471" s="1962">
        <v>199.65597240750267</v>
      </c>
      <c r="H471" s="1962">
        <v>45.166664624521268</v>
      </c>
      <c r="I471" s="1962">
        <v>36.686912076493456</v>
      </c>
    </row>
    <row r="472" spans="1:10" ht="12.75" hidden="1" outlineLevel="2" x14ac:dyDescent="0.2">
      <c r="A472" s="1980">
        <v>5890000</v>
      </c>
      <c r="B472" s="1980" t="s">
        <v>1730</v>
      </c>
      <c r="C472" s="1980" t="s">
        <v>1712</v>
      </c>
      <c r="D472" s="1980" t="s">
        <v>1713</v>
      </c>
      <c r="E472" s="1980" t="s">
        <v>920</v>
      </c>
      <c r="F472" s="1962">
        <v>838.38738000000001</v>
      </c>
      <c r="G472" s="1962">
        <v>0</v>
      </c>
      <c r="H472" s="1962">
        <v>0</v>
      </c>
      <c r="I472" s="1962">
        <v>0</v>
      </c>
    </row>
    <row r="473" spans="1:10" ht="12.75" hidden="1" outlineLevel="2" x14ac:dyDescent="0.2">
      <c r="A473" s="1980">
        <v>5890000</v>
      </c>
      <c r="B473" s="1980" t="s">
        <v>1730</v>
      </c>
      <c r="C473" s="1980" t="s">
        <v>1712</v>
      </c>
      <c r="D473" s="1980" t="s">
        <v>1713</v>
      </c>
      <c r="E473" s="1980" t="s">
        <v>921</v>
      </c>
      <c r="F473" s="1962">
        <v>147.20419999999999</v>
      </c>
      <c r="G473" s="1962">
        <v>0</v>
      </c>
      <c r="H473" s="1962">
        <v>147.20419999999999</v>
      </c>
      <c r="I473" s="1962">
        <v>0</v>
      </c>
    </row>
    <row r="474" spans="1:10" ht="12.75" hidden="1" outlineLevel="2" x14ac:dyDescent="0.2">
      <c r="A474" s="1980">
        <v>5890000</v>
      </c>
      <c r="B474" s="1980" t="s">
        <v>1730</v>
      </c>
      <c r="C474" s="1980" t="s">
        <v>1712</v>
      </c>
      <c r="D474" s="1980" t="s">
        <v>1713</v>
      </c>
      <c r="E474" s="1980" t="s">
        <v>922</v>
      </c>
      <c r="F474" s="1962">
        <v>320.98205999999999</v>
      </c>
      <c r="G474" s="1962">
        <v>0</v>
      </c>
      <c r="H474" s="1962">
        <v>0</v>
      </c>
      <c r="I474" s="1962">
        <v>0</v>
      </c>
    </row>
    <row r="475" spans="1:10" ht="12.75" hidden="1" outlineLevel="2" x14ac:dyDescent="0.2">
      <c r="A475" s="1980">
        <v>5890000</v>
      </c>
      <c r="B475" s="1980" t="s">
        <v>1730</v>
      </c>
      <c r="C475" s="1980" t="s">
        <v>1712</v>
      </c>
      <c r="D475" s="1980" t="s">
        <v>1713</v>
      </c>
      <c r="E475" s="1980" t="s">
        <v>923</v>
      </c>
      <c r="F475" s="1962">
        <v>15.075710000000001</v>
      </c>
      <c r="G475" s="1962">
        <v>0</v>
      </c>
      <c r="H475" s="1962">
        <v>0</v>
      </c>
      <c r="I475" s="1962">
        <v>0</v>
      </c>
    </row>
    <row r="476" spans="1:10" ht="13.5" outlineLevel="1" collapsed="1" thickBot="1" x14ac:dyDescent="0.25">
      <c r="A476" s="1981" t="s">
        <v>1731</v>
      </c>
      <c r="B476" s="1981"/>
      <c r="C476" s="1981"/>
      <c r="D476" s="1981"/>
      <c r="E476" s="1981"/>
      <c r="F476" s="1965">
        <f t="shared" ref="F476:I476" si="187">SUBTOTAL(9,F468:F475)</f>
        <v>3720.52619</v>
      </c>
      <c r="G476" s="1965">
        <f t="shared" si="187"/>
        <v>1872.6605624075028</v>
      </c>
      <c r="H476" s="1965">
        <f t="shared" si="187"/>
        <v>192.37086462452126</v>
      </c>
      <c r="I476" s="1965">
        <f t="shared" si="187"/>
        <v>78.488942076493458</v>
      </c>
      <c r="J476" s="1953" t="str">
        <f>LEFT(A476,3)&amp;"*"</f>
        <v>589*</v>
      </c>
    </row>
    <row r="477" spans="1:10" ht="12.75" hidden="1" outlineLevel="2" x14ac:dyDescent="0.2">
      <c r="A477" s="1982">
        <v>5900000</v>
      </c>
      <c r="B477" s="1982" t="s">
        <v>1732</v>
      </c>
      <c r="C477" s="1982" t="s">
        <v>1712</v>
      </c>
      <c r="D477" s="1982" t="s">
        <v>1713</v>
      </c>
      <c r="E477" s="1982" t="s">
        <v>918</v>
      </c>
      <c r="F477" s="1968">
        <v>108.47776</v>
      </c>
      <c r="G477" s="1962">
        <v>0</v>
      </c>
      <c r="H477" s="1962">
        <v>0</v>
      </c>
      <c r="I477" s="1962">
        <v>0</v>
      </c>
    </row>
    <row r="478" spans="1:10" ht="12.75" hidden="1" outlineLevel="2" x14ac:dyDescent="0.2">
      <c r="A478" s="1980">
        <v>5900000</v>
      </c>
      <c r="B478" s="1980" t="s">
        <v>1732</v>
      </c>
      <c r="C478" s="1980" t="s">
        <v>1712</v>
      </c>
      <c r="D478" s="1980" t="s">
        <v>1713</v>
      </c>
      <c r="E478" s="1980" t="s">
        <v>919</v>
      </c>
      <c r="F478" s="1962">
        <v>21.745000000000001</v>
      </c>
      <c r="G478" s="1962">
        <v>0</v>
      </c>
      <c r="H478" s="1962">
        <v>0</v>
      </c>
      <c r="I478" s="1962">
        <v>21.745000000000001</v>
      </c>
    </row>
    <row r="479" spans="1:10" ht="12.75" hidden="1" outlineLevel="2" x14ac:dyDescent="0.2">
      <c r="A479" s="1980">
        <v>5900000</v>
      </c>
      <c r="B479" s="1980" t="s">
        <v>1732</v>
      </c>
      <c r="C479" s="1980" t="s">
        <v>1712</v>
      </c>
      <c r="D479" s="1980" t="s">
        <v>1713</v>
      </c>
      <c r="E479" s="1980" t="s">
        <v>912</v>
      </c>
      <c r="F479" s="1962">
        <v>1053.7718199999999</v>
      </c>
      <c r="G479" s="1962">
        <v>1053.7718199999999</v>
      </c>
      <c r="H479" s="1962">
        <v>0</v>
      </c>
      <c r="I479" s="1962">
        <v>0</v>
      </c>
    </row>
    <row r="480" spans="1:10" ht="12.75" hidden="1" outlineLevel="2" x14ac:dyDescent="0.2">
      <c r="A480" s="1980">
        <v>5900000</v>
      </c>
      <c r="B480" s="1980" t="s">
        <v>1732</v>
      </c>
      <c r="C480" s="1980" t="s">
        <v>1712</v>
      </c>
      <c r="D480" s="1980" t="s">
        <v>1713</v>
      </c>
      <c r="E480" s="1980" t="s">
        <v>1714</v>
      </c>
      <c r="F480" s="1962">
        <v>3595.73848</v>
      </c>
      <c r="G480" s="1962">
        <v>972.67219588180262</v>
      </c>
      <c r="H480" s="1962">
        <v>220.04029396788104</v>
      </c>
      <c r="I480" s="1962">
        <v>178.72913541866362</v>
      </c>
    </row>
    <row r="481" spans="1:10" ht="12.75" hidden="1" outlineLevel="2" x14ac:dyDescent="0.2">
      <c r="A481" s="1980">
        <v>5900000</v>
      </c>
      <c r="B481" s="1980" t="s">
        <v>1732</v>
      </c>
      <c r="C481" s="1980" t="s">
        <v>1712</v>
      </c>
      <c r="D481" s="1980" t="s">
        <v>1713</v>
      </c>
      <c r="E481" s="1980" t="s">
        <v>920</v>
      </c>
      <c r="F481" s="1962">
        <v>8125.17004</v>
      </c>
      <c r="G481" s="1962">
        <v>0</v>
      </c>
      <c r="H481" s="1962">
        <v>0</v>
      </c>
      <c r="I481" s="1962">
        <v>0</v>
      </c>
    </row>
    <row r="482" spans="1:10" ht="12.75" hidden="1" outlineLevel="2" x14ac:dyDescent="0.2">
      <c r="A482" s="1980">
        <v>5900000</v>
      </c>
      <c r="B482" s="1980" t="s">
        <v>1732</v>
      </c>
      <c r="C482" s="1980" t="s">
        <v>1712</v>
      </c>
      <c r="D482" s="1980" t="s">
        <v>1713</v>
      </c>
      <c r="E482" s="1980" t="s">
        <v>921</v>
      </c>
      <c r="F482" s="1962">
        <v>197.70607999999999</v>
      </c>
      <c r="G482" s="1962">
        <v>0</v>
      </c>
      <c r="H482" s="1962">
        <v>197.70607999999999</v>
      </c>
      <c r="I482" s="1962">
        <v>0</v>
      </c>
    </row>
    <row r="483" spans="1:10" ht="12.75" hidden="1" outlineLevel="2" x14ac:dyDescent="0.2">
      <c r="A483" s="1980">
        <v>5900000</v>
      </c>
      <c r="B483" s="1980" t="s">
        <v>1732</v>
      </c>
      <c r="C483" s="1980" t="s">
        <v>1712</v>
      </c>
      <c r="D483" s="1980" t="s">
        <v>1713</v>
      </c>
      <c r="E483" s="1980" t="s">
        <v>922</v>
      </c>
      <c r="F483" s="1962">
        <v>214.70375000000001</v>
      </c>
      <c r="G483" s="1962">
        <v>0</v>
      </c>
      <c r="H483" s="1962">
        <v>0</v>
      </c>
      <c r="I483" s="1962">
        <v>0</v>
      </c>
    </row>
    <row r="484" spans="1:10" ht="13.5" outlineLevel="1" collapsed="1" thickBot="1" x14ac:dyDescent="0.25">
      <c r="A484" s="1981" t="s">
        <v>1733</v>
      </c>
      <c r="B484" s="1981"/>
      <c r="C484" s="1981"/>
      <c r="D484" s="1981"/>
      <c r="E484" s="1981"/>
      <c r="F484" s="1965">
        <f t="shared" ref="F484:I484" si="188">SUBTOTAL(9,F477:F483)</f>
        <v>13317.31293</v>
      </c>
      <c r="G484" s="1965">
        <f t="shared" si="188"/>
        <v>2026.4440158818024</v>
      </c>
      <c r="H484" s="1965">
        <f t="shared" si="188"/>
        <v>417.74637396788103</v>
      </c>
      <c r="I484" s="1965">
        <f t="shared" si="188"/>
        <v>200.47413541866362</v>
      </c>
      <c r="J484" s="1953" t="str">
        <f>LEFT(A484,3)&amp;"*"</f>
        <v>590*</v>
      </c>
    </row>
    <row r="485" spans="1:10" ht="12.75" hidden="1" outlineLevel="2" x14ac:dyDescent="0.2">
      <c r="A485" s="1982">
        <v>5924000</v>
      </c>
      <c r="B485" s="1982" t="s">
        <v>1587</v>
      </c>
      <c r="C485" s="1982" t="s">
        <v>1712</v>
      </c>
      <c r="D485" s="1982" t="s">
        <v>1713</v>
      </c>
      <c r="E485" s="1982" t="s">
        <v>918</v>
      </c>
      <c r="F485" s="1968">
        <v>92.08184</v>
      </c>
      <c r="G485" s="1962">
        <v>0</v>
      </c>
      <c r="H485" s="1962">
        <v>0</v>
      </c>
      <c r="I485" s="1962">
        <v>0</v>
      </c>
    </row>
    <row r="486" spans="1:10" ht="12.75" hidden="1" outlineLevel="2" x14ac:dyDescent="0.2">
      <c r="A486" s="1980">
        <v>5924000</v>
      </c>
      <c r="B486" s="1980" t="s">
        <v>1587</v>
      </c>
      <c r="C486" s="1980" t="s">
        <v>1712</v>
      </c>
      <c r="D486" s="1980" t="s">
        <v>1713</v>
      </c>
      <c r="E486" s="1980" t="s">
        <v>919</v>
      </c>
      <c r="F486" s="1962">
        <v>166.28888000000001</v>
      </c>
      <c r="G486" s="1962">
        <v>0</v>
      </c>
      <c r="H486" s="1962">
        <v>0</v>
      </c>
      <c r="I486" s="1962">
        <v>166.28888000000001</v>
      </c>
    </row>
    <row r="487" spans="1:10" ht="12.75" hidden="1" outlineLevel="2" x14ac:dyDescent="0.2">
      <c r="A487" s="1980">
        <v>5924000</v>
      </c>
      <c r="B487" s="1980" t="s">
        <v>1587</v>
      </c>
      <c r="C487" s="1980" t="s">
        <v>1712</v>
      </c>
      <c r="D487" s="1980" t="s">
        <v>1713</v>
      </c>
      <c r="E487" s="1980" t="s">
        <v>912</v>
      </c>
      <c r="F487" s="1962">
        <v>792.81503999999995</v>
      </c>
      <c r="G487" s="1962">
        <v>792.81503999999995</v>
      </c>
      <c r="H487" s="1962">
        <v>0</v>
      </c>
      <c r="I487" s="1962">
        <v>0</v>
      </c>
    </row>
    <row r="488" spans="1:10" ht="12.75" hidden="1" outlineLevel="2" x14ac:dyDescent="0.2">
      <c r="A488" s="1980">
        <v>5924000</v>
      </c>
      <c r="B488" s="1980" t="s">
        <v>1587</v>
      </c>
      <c r="C488" s="1980" t="s">
        <v>1712</v>
      </c>
      <c r="D488" s="1980" t="s">
        <v>1713</v>
      </c>
      <c r="E488" s="1980" t="s">
        <v>1714</v>
      </c>
      <c r="F488" s="1962">
        <v>105.01517</v>
      </c>
      <c r="G488" s="1962">
        <v>28.407331782594156</v>
      </c>
      <c r="H488" s="1962">
        <v>6.426376391501921</v>
      </c>
      <c r="I488" s="1962">
        <v>5.219865305650365</v>
      </c>
    </row>
    <row r="489" spans="1:10" ht="12.75" hidden="1" outlineLevel="2" x14ac:dyDescent="0.2">
      <c r="A489" s="1980">
        <v>5924000</v>
      </c>
      <c r="B489" s="1980" t="s">
        <v>1587</v>
      </c>
      <c r="C489" s="1980" t="s">
        <v>1712</v>
      </c>
      <c r="D489" s="1980" t="s">
        <v>1713</v>
      </c>
      <c r="E489" s="1980" t="s">
        <v>920</v>
      </c>
      <c r="F489" s="1962">
        <v>883.37342000000001</v>
      </c>
      <c r="G489" s="1962">
        <v>0</v>
      </c>
      <c r="H489" s="1962">
        <v>0</v>
      </c>
      <c r="I489" s="1962">
        <v>0</v>
      </c>
    </row>
    <row r="490" spans="1:10" ht="12.75" hidden="1" outlineLevel="2" x14ac:dyDescent="0.2">
      <c r="A490" s="1980">
        <v>5924000</v>
      </c>
      <c r="B490" s="1980" t="s">
        <v>1587</v>
      </c>
      <c r="C490" s="1980" t="s">
        <v>1712</v>
      </c>
      <c r="D490" s="1980" t="s">
        <v>1713</v>
      </c>
      <c r="E490" s="1980" t="s">
        <v>921</v>
      </c>
      <c r="F490" s="1962">
        <v>148.02131</v>
      </c>
      <c r="G490" s="1962">
        <v>0</v>
      </c>
      <c r="H490" s="1962">
        <v>148.02131</v>
      </c>
      <c r="I490" s="1962">
        <v>0</v>
      </c>
    </row>
    <row r="491" spans="1:10" ht="12.75" hidden="1" outlineLevel="2" x14ac:dyDescent="0.2">
      <c r="A491" s="1980">
        <v>5924000</v>
      </c>
      <c r="B491" s="1980" t="s">
        <v>1587</v>
      </c>
      <c r="C491" s="1980" t="s">
        <v>1712</v>
      </c>
      <c r="D491" s="1980" t="s">
        <v>1713</v>
      </c>
      <c r="E491" s="1980" t="s">
        <v>922</v>
      </c>
      <c r="F491" s="1962">
        <v>367.81515999999999</v>
      </c>
      <c r="G491" s="1962">
        <v>0</v>
      </c>
      <c r="H491" s="1962">
        <v>0</v>
      </c>
      <c r="I491" s="1962">
        <v>0</v>
      </c>
    </row>
    <row r="492" spans="1:10" ht="12.75" hidden="1" outlineLevel="2" x14ac:dyDescent="0.2">
      <c r="A492" s="1980">
        <v>5924000</v>
      </c>
      <c r="B492" s="1980" t="s">
        <v>1587</v>
      </c>
      <c r="C492" s="1980" t="s">
        <v>1712</v>
      </c>
      <c r="D492" s="1980" t="s">
        <v>1713</v>
      </c>
      <c r="E492" s="1980" t="s">
        <v>923</v>
      </c>
      <c r="F492" s="1962">
        <v>62.48236</v>
      </c>
      <c r="G492" s="1962">
        <v>0</v>
      </c>
      <c r="H492" s="1962">
        <v>0</v>
      </c>
      <c r="I492" s="1962">
        <v>0</v>
      </c>
    </row>
    <row r="493" spans="1:10" ht="13.5" outlineLevel="1" collapsed="1" thickBot="1" x14ac:dyDescent="0.25">
      <c r="A493" s="1981" t="s">
        <v>5714</v>
      </c>
      <c r="B493" s="1981"/>
      <c r="C493" s="1981"/>
      <c r="D493" s="1981"/>
      <c r="E493" s="1981"/>
      <c r="F493" s="1965">
        <f t="shared" ref="F493:I493" si="189">SUBTOTAL(9,F485:F492)</f>
        <v>2617.89318</v>
      </c>
      <c r="G493" s="1965">
        <f t="shared" si="189"/>
        <v>821.22237178259411</v>
      </c>
      <c r="H493" s="1965">
        <f t="shared" si="189"/>
        <v>154.44768639150192</v>
      </c>
      <c r="I493" s="1965">
        <f t="shared" si="189"/>
        <v>171.50874530565036</v>
      </c>
      <c r="J493" s="1953" t="str">
        <f>LEFT(A493,3)&amp;"*"</f>
        <v>592*</v>
      </c>
    </row>
    <row r="494" spans="1:10" ht="12.75" hidden="1" outlineLevel="2" x14ac:dyDescent="0.2">
      <c r="A494" s="1982">
        <v>5920000</v>
      </c>
      <c r="B494" s="1982" t="s">
        <v>1734</v>
      </c>
      <c r="C494" s="1982" t="s">
        <v>1712</v>
      </c>
      <c r="D494" s="1982" t="s">
        <v>1713</v>
      </c>
      <c r="E494" s="1982" t="s">
        <v>918</v>
      </c>
      <c r="F494" s="1968">
        <v>333.73935999999998</v>
      </c>
      <c r="G494" s="1962">
        <v>0</v>
      </c>
      <c r="H494" s="1962">
        <v>0</v>
      </c>
      <c r="I494" s="1962">
        <v>0</v>
      </c>
    </row>
    <row r="495" spans="1:10" ht="12.75" hidden="1" outlineLevel="2" x14ac:dyDescent="0.2">
      <c r="A495" s="1980">
        <v>5920000</v>
      </c>
      <c r="B495" s="1980" t="s">
        <v>1734</v>
      </c>
      <c r="C495" s="1980" t="s">
        <v>1712</v>
      </c>
      <c r="D495" s="1980" t="s">
        <v>1713</v>
      </c>
      <c r="E495" s="1980" t="s">
        <v>919</v>
      </c>
      <c r="F495" s="1962">
        <v>506.10863000000001</v>
      </c>
      <c r="G495" s="1962">
        <v>0</v>
      </c>
      <c r="H495" s="1962">
        <v>0</v>
      </c>
      <c r="I495" s="1962">
        <v>506.10863000000001</v>
      </c>
    </row>
    <row r="496" spans="1:10" ht="12.75" hidden="1" outlineLevel="2" x14ac:dyDescent="0.2">
      <c r="A496" s="1980">
        <v>5920000</v>
      </c>
      <c r="B496" s="1980" t="s">
        <v>1734</v>
      </c>
      <c r="C496" s="1980" t="s">
        <v>1712</v>
      </c>
      <c r="D496" s="1980" t="s">
        <v>1713</v>
      </c>
      <c r="E496" s="1980" t="s">
        <v>912</v>
      </c>
      <c r="F496" s="1962">
        <v>3716.7208799999999</v>
      </c>
      <c r="G496" s="1962">
        <v>3716.7208799999999</v>
      </c>
      <c r="H496" s="1962">
        <v>0</v>
      </c>
      <c r="I496" s="1962">
        <v>0</v>
      </c>
    </row>
    <row r="497" spans="1:10" ht="12.75" hidden="1" outlineLevel="2" x14ac:dyDescent="0.2">
      <c r="A497" s="1980">
        <v>5920000</v>
      </c>
      <c r="B497" s="1980" t="s">
        <v>1734</v>
      </c>
      <c r="C497" s="1980" t="s">
        <v>1712</v>
      </c>
      <c r="D497" s="1980" t="s">
        <v>1713</v>
      </c>
      <c r="E497" s="1980" t="s">
        <v>1714</v>
      </c>
      <c r="F497" s="1962">
        <v>1104.1707899999999</v>
      </c>
      <c r="G497" s="1962">
        <v>298.68585630227608</v>
      </c>
      <c r="H497" s="1962">
        <v>67.569448271540438</v>
      </c>
      <c r="I497" s="1962">
        <v>54.883716307211188</v>
      </c>
    </row>
    <row r="498" spans="1:10" ht="12.75" hidden="1" outlineLevel="2" x14ac:dyDescent="0.2">
      <c r="A498" s="1980">
        <v>5920000</v>
      </c>
      <c r="B498" s="1980" t="s">
        <v>1734</v>
      </c>
      <c r="C498" s="1980" t="s">
        <v>1712</v>
      </c>
      <c r="D498" s="1980" t="s">
        <v>1713</v>
      </c>
      <c r="E498" s="1980" t="s">
        <v>920</v>
      </c>
      <c r="F498" s="1962">
        <v>2677.52801</v>
      </c>
      <c r="G498" s="1962">
        <v>0</v>
      </c>
      <c r="H498" s="1962">
        <v>0</v>
      </c>
      <c r="I498" s="1962">
        <v>0</v>
      </c>
    </row>
    <row r="499" spans="1:10" ht="12.75" hidden="1" outlineLevel="2" x14ac:dyDescent="0.2">
      <c r="A499" s="1980">
        <v>5920000</v>
      </c>
      <c r="B499" s="1980" t="s">
        <v>1734</v>
      </c>
      <c r="C499" s="1980" t="s">
        <v>1712</v>
      </c>
      <c r="D499" s="1980" t="s">
        <v>1713</v>
      </c>
      <c r="E499" s="1980" t="s">
        <v>921</v>
      </c>
      <c r="F499" s="1962">
        <v>1285.65771</v>
      </c>
      <c r="G499" s="1962">
        <v>0</v>
      </c>
      <c r="H499" s="1962">
        <v>1285.65771</v>
      </c>
      <c r="I499" s="1962">
        <v>0</v>
      </c>
    </row>
    <row r="500" spans="1:10" ht="12.75" hidden="1" outlineLevel="2" x14ac:dyDescent="0.2">
      <c r="A500" s="1980">
        <v>5920000</v>
      </c>
      <c r="B500" s="1980" t="s">
        <v>1734</v>
      </c>
      <c r="C500" s="1980" t="s">
        <v>1712</v>
      </c>
      <c r="D500" s="1980" t="s">
        <v>1713</v>
      </c>
      <c r="E500" s="1980" t="s">
        <v>922</v>
      </c>
      <c r="F500" s="1962">
        <v>1385.1442199999999</v>
      </c>
      <c r="G500" s="1962">
        <v>0</v>
      </c>
      <c r="H500" s="1962">
        <v>0</v>
      </c>
      <c r="I500" s="1962">
        <v>0</v>
      </c>
    </row>
    <row r="501" spans="1:10" ht="12.75" hidden="1" outlineLevel="2" x14ac:dyDescent="0.2">
      <c r="A501" s="1980">
        <v>5920000</v>
      </c>
      <c r="B501" s="1980" t="s">
        <v>1734</v>
      </c>
      <c r="C501" s="1980" t="s">
        <v>1712</v>
      </c>
      <c r="D501" s="1980" t="s">
        <v>1713</v>
      </c>
      <c r="E501" s="1980" t="s">
        <v>923</v>
      </c>
      <c r="F501" s="1962">
        <v>25.445640000000001</v>
      </c>
      <c r="G501" s="1962">
        <v>0</v>
      </c>
      <c r="H501" s="1962">
        <v>0</v>
      </c>
      <c r="I501" s="1962">
        <v>0</v>
      </c>
    </row>
    <row r="502" spans="1:10" ht="13.5" outlineLevel="1" collapsed="1" thickBot="1" x14ac:dyDescent="0.25">
      <c r="A502" s="1981" t="s">
        <v>1735</v>
      </c>
      <c r="B502" s="1981"/>
      <c r="C502" s="1981"/>
      <c r="D502" s="1981"/>
      <c r="E502" s="1981"/>
      <c r="F502" s="1965">
        <f t="shared" ref="F502:I502" si="190">SUBTOTAL(9,F494:F501)</f>
        <v>11034.515240000001</v>
      </c>
      <c r="G502" s="1965">
        <f t="shared" si="190"/>
        <v>4015.4067363022759</v>
      </c>
      <c r="H502" s="1965">
        <f t="shared" si="190"/>
        <v>1353.2271582715405</v>
      </c>
      <c r="I502" s="1965">
        <f t="shared" si="190"/>
        <v>560.99234630721116</v>
      </c>
      <c r="J502" s="1953" t="str">
        <f>LEFT(A502,3)&amp;"*"</f>
        <v>592*</v>
      </c>
    </row>
    <row r="503" spans="1:10" ht="12.75" hidden="1" outlineLevel="2" x14ac:dyDescent="0.2">
      <c r="A503" s="1982">
        <v>5930000</v>
      </c>
      <c r="B503" s="1982" t="s">
        <v>1706</v>
      </c>
      <c r="C503" s="1982" t="s">
        <v>1712</v>
      </c>
      <c r="D503" s="1982" t="s">
        <v>1713</v>
      </c>
      <c r="E503" s="1982" t="s">
        <v>918</v>
      </c>
      <c r="F503" s="1968">
        <v>22655.415359999999</v>
      </c>
      <c r="G503" s="1962">
        <v>0</v>
      </c>
      <c r="H503" s="1962">
        <v>0</v>
      </c>
      <c r="I503" s="1962">
        <v>0</v>
      </c>
    </row>
    <row r="504" spans="1:10" ht="12.75" hidden="1" outlineLevel="2" x14ac:dyDescent="0.2">
      <c r="A504" s="1980">
        <v>5930000</v>
      </c>
      <c r="B504" s="1980" t="s">
        <v>1706</v>
      </c>
      <c r="C504" s="1980" t="s">
        <v>1712</v>
      </c>
      <c r="D504" s="1980" t="s">
        <v>1713</v>
      </c>
      <c r="E504" s="1980" t="s">
        <v>919</v>
      </c>
      <c r="F504" s="1962">
        <v>4995.5333300000002</v>
      </c>
      <c r="G504" s="1962">
        <v>0</v>
      </c>
      <c r="H504" s="1962">
        <v>0</v>
      </c>
      <c r="I504" s="1962">
        <v>4995.5333300000002</v>
      </c>
    </row>
    <row r="505" spans="1:10" ht="12.75" hidden="1" outlineLevel="2" x14ac:dyDescent="0.2">
      <c r="A505" s="1980">
        <v>5930000</v>
      </c>
      <c r="B505" s="1980" t="s">
        <v>1706</v>
      </c>
      <c r="C505" s="1980" t="s">
        <v>1712</v>
      </c>
      <c r="D505" s="1980" t="s">
        <v>1713</v>
      </c>
      <c r="E505" s="1980" t="s">
        <v>912</v>
      </c>
      <c r="F505" s="1962">
        <v>102981.68982</v>
      </c>
      <c r="G505" s="1962">
        <v>102981.68982</v>
      </c>
      <c r="H505" s="1962">
        <v>0</v>
      </c>
      <c r="I505" s="1962">
        <v>0</v>
      </c>
    </row>
    <row r="506" spans="1:10" ht="12.75" hidden="1" outlineLevel="2" x14ac:dyDescent="0.2">
      <c r="A506" s="1980">
        <v>5930000</v>
      </c>
      <c r="B506" s="1980" t="s">
        <v>1706</v>
      </c>
      <c r="C506" s="1980" t="s">
        <v>1712</v>
      </c>
      <c r="D506" s="1980" t="s">
        <v>1713</v>
      </c>
      <c r="E506" s="1980" t="s">
        <v>1714</v>
      </c>
      <c r="F506" s="1962">
        <v>3473.3797300000001</v>
      </c>
      <c r="G506" s="1962">
        <v>939.57330542860916</v>
      </c>
      <c r="H506" s="1962">
        <v>212.55258164694985</v>
      </c>
      <c r="I506" s="1962">
        <v>172.64719321957233</v>
      </c>
    </row>
    <row r="507" spans="1:10" ht="12.75" hidden="1" outlineLevel="2" x14ac:dyDescent="0.2">
      <c r="A507" s="1980">
        <v>5930000</v>
      </c>
      <c r="B507" s="1980" t="s">
        <v>1706</v>
      </c>
      <c r="C507" s="1980" t="s">
        <v>1712</v>
      </c>
      <c r="D507" s="1980" t="s">
        <v>1713</v>
      </c>
      <c r="E507" s="1980" t="s">
        <v>920</v>
      </c>
      <c r="F507" s="1962">
        <v>38604.118979999999</v>
      </c>
      <c r="G507" s="1962">
        <v>0</v>
      </c>
      <c r="H507" s="1962">
        <v>0</v>
      </c>
      <c r="I507" s="1962">
        <v>0</v>
      </c>
    </row>
    <row r="508" spans="1:10" ht="12.75" hidden="1" outlineLevel="2" x14ac:dyDescent="0.2">
      <c r="A508" s="1980">
        <v>5930000</v>
      </c>
      <c r="B508" s="1980" t="s">
        <v>1706</v>
      </c>
      <c r="C508" s="1980" t="s">
        <v>1712</v>
      </c>
      <c r="D508" s="1980" t="s">
        <v>1713</v>
      </c>
      <c r="E508" s="1980" t="s">
        <v>921</v>
      </c>
      <c r="F508" s="1962">
        <v>8509.2206499999993</v>
      </c>
      <c r="G508" s="1962">
        <v>0</v>
      </c>
      <c r="H508" s="1962">
        <v>8509.2206499999993</v>
      </c>
      <c r="I508" s="1962">
        <v>0</v>
      </c>
    </row>
    <row r="509" spans="1:10" ht="12.75" hidden="1" outlineLevel="2" x14ac:dyDescent="0.2">
      <c r="A509" s="1980">
        <v>5930000</v>
      </c>
      <c r="B509" s="1980" t="s">
        <v>1706</v>
      </c>
      <c r="C509" s="1980" t="s">
        <v>1712</v>
      </c>
      <c r="D509" s="1980" t="s">
        <v>1713</v>
      </c>
      <c r="E509" s="1980" t="s">
        <v>922</v>
      </c>
      <c r="F509" s="1962">
        <v>7646.1317499999996</v>
      </c>
      <c r="G509" s="1962">
        <v>0</v>
      </c>
      <c r="H509" s="1962">
        <v>0</v>
      </c>
      <c r="I509" s="1962">
        <v>0</v>
      </c>
    </row>
    <row r="510" spans="1:10" ht="12.75" hidden="1" outlineLevel="2" x14ac:dyDescent="0.2">
      <c r="A510" s="1980">
        <v>5930000</v>
      </c>
      <c r="B510" s="1980" t="s">
        <v>1706</v>
      </c>
      <c r="C510" s="1980" t="s">
        <v>1712</v>
      </c>
      <c r="D510" s="1980" t="s">
        <v>1713</v>
      </c>
      <c r="E510" s="1980" t="s">
        <v>923</v>
      </c>
      <c r="F510" s="1962">
        <v>1605.75792</v>
      </c>
      <c r="G510" s="1962">
        <v>0</v>
      </c>
      <c r="H510" s="1962">
        <v>0</v>
      </c>
      <c r="I510" s="1962">
        <v>0</v>
      </c>
    </row>
    <row r="511" spans="1:10" ht="13.5" outlineLevel="1" collapsed="1" thickBot="1" x14ac:dyDescent="0.25">
      <c r="A511" s="1981" t="s">
        <v>1736</v>
      </c>
      <c r="B511" s="1981"/>
      <c r="C511" s="1981"/>
      <c r="D511" s="1981"/>
      <c r="E511" s="1981"/>
      <c r="F511" s="1965">
        <f t="shared" ref="F511:I511" si="191">SUBTOTAL(9,F503:F510)</f>
        <v>190471.24753999998</v>
      </c>
      <c r="G511" s="1965">
        <f t="shared" si="191"/>
        <v>103921.26312542861</v>
      </c>
      <c r="H511" s="1965">
        <f t="shared" si="191"/>
        <v>8721.7732316469483</v>
      </c>
      <c r="I511" s="1965">
        <f t="shared" si="191"/>
        <v>5168.1805232195729</v>
      </c>
      <c r="J511" s="1953" t="str">
        <f>LEFT(A511,3)&amp;"*"</f>
        <v>593*</v>
      </c>
    </row>
    <row r="512" spans="1:10" ht="12.75" hidden="1" outlineLevel="2" x14ac:dyDescent="0.2">
      <c r="A512" s="1982">
        <v>5931000</v>
      </c>
      <c r="B512" s="1982" t="s">
        <v>1737</v>
      </c>
      <c r="C512" s="1982" t="s">
        <v>1712</v>
      </c>
      <c r="D512" s="1982" t="s">
        <v>1713</v>
      </c>
      <c r="E512" s="1982" t="s">
        <v>918</v>
      </c>
      <c r="F512" s="1968">
        <v>-313.9237</v>
      </c>
      <c r="G512" s="1962">
        <v>0</v>
      </c>
      <c r="H512" s="1962">
        <v>0</v>
      </c>
      <c r="I512" s="1962">
        <v>0</v>
      </c>
    </row>
    <row r="513" spans="1:10" ht="12.75" hidden="1" outlineLevel="2" x14ac:dyDescent="0.2">
      <c r="A513" s="1980">
        <v>5931000</v>
      </c>
      <c r="B513" s="1980" t="s">
        <v>1737</v>
      </c>
      <c r="C513" s="1980" t="s">
        <v>1712</v>
      </c>
      <c r="D513" s="1980" t="s">
        <v>1713</v>
      </c>
      <c r="E513" s="1980" t="s">
        <v>919</v>
      </c>
      <c r="F513" s="1962">
        <v>237.62592000000001</v>
      </c>
      <c r="G513" s="1962">
        <v>0</v>
      </c>
      <c r="H513" s="1962">
        <v>0</v>
      </c>
      <c r="I513" s="1962">
        <v>237.62592000000001</v>
      </c>
    </row>
    <row r="514" spans="1:10" ht="12.75" hidden="1" outlineLevel="2" x14ac:dyDescent="0.2">
      <c r="A514" s="1980">
        <v>5931000</v>
      </c>
      <c r="B514" s="1980" t="s">
        <v>1737</v>
      </c>
      <c r="C514" s="1980" t="s">
        <v>1712</v>
      </c>
      <c r="D514" s="1980" t="s">
        <v>1713</v>
      </c>
      <c r="E514" s="1980" t="s">
        <v>912</v>
      </c>
      <c r="F514" s="1962">
        <v>-2376.9693699999998</v>
      </c>
      <c r="G514" s="1962">
        <v>-2376.9693699999998</v>
      </c>
      <c r="H514" s="1962">
        <v>0</v>
      </c>
      <c r="I514" s="1962">
        <v>0</v>
      </c>
    </row>
    <row r="515" spans="1:10" ht="12.75" hidden="1" outlineLevel="2" x14ac:dyDescent="0.2">
      <c r="A515" s="1980">
        <v>5931000</v>
      </c>
      <c r="B515" s="1980" t="s">
        <v>1737</v>
      </c>
      <c r="C515" s="1980" t="s">
        <v>1712</v>
      </c>
      <c r="D515" s="1980" t="s">
        <v>1713</v>
      </c>
      <c r="E515" s="1980" t="s">
        <v>920</v>
      </c>
      <c r="F515" s="1962">
        <v>1215.13582</v>
      </c>
      <c r="G515" s="1962">
        <v>0</v>
      </c>
      <c r="H515" s="1962">
        <v>0</v>
      </c>
      <c r="I515" s="1962">
        <v>0</v>
      </c>
    </row>
    <row r="516" spans="1:10" ht="12.75" hidden="1" outlineLevel="2" x14ac:dyDescent="0.2">
      <c r="A516" s="1980">
        <v>5931000</v>
      </c>
      <c r="B516" s="1980" t="s">
        <v>1737</v>
      </c>
      <c r="C516" s="1980" t="s">
        <v>1712</v>
      </c>
      <c r="D516" s="1980" t="s">
        <v>1713</v>
      </c>
      <c r="E516" s="1980" t="s">
        <v>921</v>
      </c>
      <c r="F516" s="1962">
        <v>-544.18132000000003</v>
      </c>
      <c r="G516" s="1962">
        <v>0</v>
      </c>
      <c r="H516" s="1962">
        <v>-544.18132000000003</v>
      </c>
      <c r="I516" s="1962">
        <v>0</v>
      </c>
    </row>
    <row r="517" spans="1:10" ht="12.75" hidden="1" outlineLevel="2" x14ac:dyDescent="0.2">
      <c r="A517" s="1980">
        <v>5931000</v>
      </c>
      <c r="B517" s="1980" t="s">
        <v>1737</v>
      </c>
      <c r="C517" s="1980" t="s">
        <v>1712</v>
      </c>
      <c r="D517" s="1980" t="s">
        <v>1713</v>
      </c>
      <c r="E517" s="1980" t="s">
        <v>922</v>
      </c>
      <c r="F517" s="1962">
        <v>223.93483000000001</v>
      </c>
      <c r="G517" s="1962">
        <v>0</v>
      </c>
      <c r="H517" s="1962">
        <v>0</v>
      </c>
      <c r="I517" s="1962">
        <v>0</v>
      </c>
    </row>
    <row r="518" spans="1:10" ht="13.5" outlineLevel="1" collapsed="1" thickBot="1" x14ac:dyDescent="0.25">
      <c r="A518" s="1981" t="s">
        <v>1738</v>
      </c>
      <c r="B518" s="1981"/>
      <c r="C518" s="1981"/>
      <c r="D518" s="1981"/>
      <c r="E518" s="1981"/>
      <c r="F518" s="1965">
        <f t="shared" ref="F518:I518" si="192">SUBTOTAL(9,F512:F517)</f>
        <v>-1558.3778199999999</v>
      </c>
      <c r="G518" s="1965">
        <f t="shared" si="192"/>
        <v>-2376.9693699999998</v>
      </c>
      <c r="H518" s="1965">
        <f t="shared" si="192"/>
        <v>-544.18132000000003</v>
      </c>
      <c r="I518" s="1965">
        <f t="shared" si="192"/>
        <v>237.62592000000001</v>
      </c>
      <c r="J518" s="1953" t="str">
        <f>LEFT(A518,3)&amp;"*"</f>
        <v>593*</v>
      </c>
    </row>
    <row r="519" spans="1:10" ht="12.75" hidden="1" outlineLevel="2" x14ac:dyDescent="0.2">
      <c r="A519" s="1982">
        <v>5940000</v>
      </c>
      <c r="B519" s="1982" t="s">
        <v>1739</v>
      </c>
      <c r="C519" s="1982" t="s">
        <v>1712</v>
      </c>
      <c r="D519" s="1982" t="s">
        <v>1713</v>
      </c>
      <c r="E519" s="1982" t="s">
        <v>918</v>
      </c>
      <c r="F519" s="1968">
        <v>980.39527999999996</v>
      </c>
      <c r="G519" s="1962">
        <v>0</v>
      </c>
      <c r="H519" s="1962">
        <v>0</v>
      </c>
      <c r="I519" s="1962">
        <v>0</v>
      </c>
    </row>
    <row r="520" spans="1:10" ht="12.75" hidden="1" outlineLevel="2" x14ac:dyDescent="0.2">
      <c r="A520" s="1980">
        <v>5940000</v>
      </c>
      <c r="B520" s="1980" t="s">
        <v>1739</v>
      </c>
      <c r="C520" s="1980" t="s">
        <v>1712</v>
      </c>
      <c r="D520" s="1980" t="s">
        <v>1713</v>
      </c>
      <c r="E520" s="1980" t="s">
        <v>919</v>
      </c>
      <c r="F520" s="1962">
        <v>1430.5617099999999</v>
      </c>
      <c r="G520" s="1962">
        <v>0</v>
      </c>
      <c r="H520" s="1962">
        <v>0</v>
      </c>
      <c r="I520" s="1962">
        <v>1430.5617099999999</v>
      </c>
    </row>
    <row r="521" spans="1:10" ht="12.75" hidden="1" outlineLevel="2" x14ac:dyDescent="0.2">
      <c r="A521" s="1980">
        <v>5940000</v>
      </c>
      <c r="B521" s="1980" t="s">
        <v>1739</v>
      </c>
      <c r="C521" s="1980" t="s">
        <v>1712</v>
      </c>
      <c r="D521" s="1980" t="s">
        <v>1713</v>
      </c>
      <c r="E521" s="1980" t="s">
        <v>912</v>
      </c>
      <c r="F521" s="1962">
        <v>9418.2918300000001</v>
      </c>
      <c r="G521" s="1962">
        <v>9418.2918300000001</v>
      </c>
      <c r="H521" s="1962">
        <v>0</v>
      </c>
      <c r="I521" s="1962">
        <v>0</v>
      </c>
    </row>
    <row r="522" spans="1:10" ht="12.75" hidden="1" outlineLevel="2" x14ac:dyDescent="0.2">
      <c r="A522" s="1980">
        <v>5940000</v>
      </c>
      <c r="B522" s="1980" t="s">
        <v>1739</v>
      </c>
      <c r="C522" s="1980" t="s">
        <v>1712</v>
      </c>
      <c r="D522" s="1980" t="s">
        <v>1713</v>
      </c>
      <c r="E522" s="1980" t="s">
        <v>1714</v>
      </c>
      <c r="F522" s="1962">
        <v>13.554539999999999</v>
      </c>
      <c r="G522" s="1962">
        <v>3.6665970729794921</v>
      </c>
      <c r="H522" s="1962">
        <v>0.82946659852732174</v>
      </c>
      <c r="I522" s="1962">
        <v>0.6737395471535218</v>
      </c>
    </row>
    <row r="523" spans="1:10" ht="12.75" hidden="1" outlineLevel="2" x14ac:dyDescent="0.2">
      <c r="A523" s="1980">
        <v>5940000</v>
      </c>
      <c r="B523" s="1980" t="s">
        <v>1739</v>
      </c>
      <c r="C523" s="1980" t="s">
        <v>1712</v>
      </c>
      <c r="D523" s="1980" t="s">
        <v>1713</v>
      </c>
      <c r="E523" s="1980" t="s">
        <v>920</v>
      </c>
      <c r="F523" s="1962">
        <v>26565.87775</v>
      </c>
      <c r="G523" s="1962">
        <v>0</v>
      </c>
      <c r="H523" s="1962">
        <v>0</v>
      </c>
      <c r="I523" s="1962">
        <v>0</v>
      </c>
    </row>
    <row r="524" spans="1:10" ht="12.75" hidden="1" outlineLevel="2" x14ac:dyDescent="0.2">
      <c r="A524" s="1980">
        <v>5940000</v>
      </c>
      <c r="B524" s="1980" t="s">
        <v>1739</v>
      </c>
      <c r="C524" s="1980" t="s">
        <v>1712</v>
      </c>
      <c r="D524" s="1980" t="s">
        <v>1713</v>
      </c>
      <c r="E524" s="1980" t="s">
        <v>921</v>
      </c>
      <c r="F524" s="1962">
        <v>2025.4501299999999</v>
      </c>
      <c r="G524" s="1962">
        <v>0</v>
      </c>
      <c r="H524" s="1962">
        <v>2025.4501299999999</v>
      </c>
      <c r="I524" s="1962">
        <v>0</v>
      </c>
    </row>
    <row r="525" spans="1:10" ht="12.75" hidden="1" outlineLevel="2" x14ac:dyDescent="0.2">
      <c r="A525" s="1980">
        <v>5940000</v>
      </c>
      <c r="B525" s="1980" t="s">
        <v>1739</v>
      </c>
      <c r="C525" s="1980" t="s">
        <v>1712</v>
      </c>
      <c r="D525" s="1980" t="s">
        <v>1713</v>
      </c>
      <c r="E525" s="1980" t="s">
        <v>922</v>
      </c>
      <c r="F525" s="1962">
        <v>2149.9670599999999</v>
      </c>
      <c r="G525" s="1962">
        <v>0</v>
      </c>
      <c r="H525" s="1962">
        <v>0</v>
      </c>
      <c r="I525" s="1962">
        <v>0</v>
      </c>
    </row>
    <row r="526" spans="1:10" ht="12.75" hidden="1" outlineLevel="2" x14ac:dyDescent="0.2">
      <c r="A526" s="1980">
        <v>5940000</v>
      </c>
      <c r="B526" s="1980" t="s">
        <v>1739</v>
      </c>
      <c r="C526" s="1980" t="s">
        <v>1712</v>
      </c>
      <c r="D526" s="1980" t="s">
        <v>1713</v>
      </c>
      <c r="E526" s="1980" t="s">
        <v>923</v>
      </c>
      <c r="F526" s="1962">
        <v>398.01355000000001</v>
      </c>
      <c r="G526" s="1962">
        <v>0</v>
      </c>
      <c r="H526" s="1962">
        <v>0</v>
      </c>
      <c r="I526" s="1962">
        <v>0</v>
      </c>
    </row>
    <row r="527" spans="1:10" ht="13.5" outlineLevel="1" collapsed="1" thickBot="1" x14ac:dyDescent="0.25">
      <c r="A527" s="1981" t="s">
        <v>1740</v>
      </c>
      <c r="B527" s="1981"/>
      <c r="C527" s="1981"/>
      <c r="D527" s="1981"/>
      <c r="E527" s="1981"/>
      <c r="F527" s="1965">
        <f t="shared" ref="F527:I527" si="193">SUBTOTAL(9,F519:F526)</f>
        <v>42982.111850000001</v>
      </c>
      <c r="G527" s="1965">
        <f t="shared" si="193"/>
        <v>9421.9584270729792</v>
      </c>
      <c r="H527" s="1965">
        <f t="shared" si="193"/>
        <v>2026.2795965985272</v>
      </c>
      <c r="I527" s="1965">
        <f t="shared" si="193"/>
        <v>1431.2354495471534</v>
      </c>
      <c r="J527" s="1953" t="str">
        <f>LEFT(A527,3)&amp;"*"</f>
        <v>594*</v>
      </c>
    </row>
    <row r="528" spans="1:10" ht="12.75" hidden="1" outlineLevel="2" x14ac:dyDescent="0.2">
      <c r="A528" s="1982">
        <v>5950000</v>
      </c>
      <c r="B528" s="1982" t="s">
        <v>1741</v>
      </c>
      <c r="C528" s="1982" t="s">
        <v>1712</v>
      </c>
      <c r="D528" s="1982" t="s">
        <v>1713</v>
      </c>
      <c r="E528" s="1982" t="s">
        <v>1714</v>
      </c>
      <c r="F528" s="1968">
        <v>1173.44643</v>
      </c>
      <c r="G528" s="1962">
        <v>317.42539736031136</v>
      </c>
      <c r="H528" s="1962">
        <v>71.808753291969253</v>
      </c>
      <c r="I528" s="1962">
        <v>58.327118924499104</v>
      </c>
    </row>
    <row r="529" spans="1:10" ht="13.5" outlineLevel="1" collapsed="1" thickBot="1" x14ac:dyDescent="0.25">
      <c r="A529" s="1981" t="s">
        <v>1742</v>
      </c>
      <c r="B529" s="1981"/>
      <c r="C529" s="1981"/>
      <c r="D529" s="1981"/>
      <c r="E529" s="1981"/>
      <c r="F529" s="1965">
        <f t="shared" ref="F529:I529" si="194">SUBTOTAL(9,F528:F528)</f>
        <v>1173.44643</v>
      </c>
      <c r="G529" s="1965">
        <f t="shared" si="194"/>
        <v>317.42539736031136</v>
      </c>
      <c r="H529" s="1965">
        <f t="shared" si="194"/>
        <v>71.808753291969253</v>
      </c>
      <c r="I529" s="1965">
        <f t="shared" si="194"/>
        <v>58.327118924499104</v>
      </c>
      <c r="J529" s="1953" t="str">
        <f>LEFT(A529,3)&amp;"*"</f>
        <v>595*</v>
      </c>
    </row>
    <row r="530" spans="1:10" ht="12.75" hidden="1" outlineLevel="2" x14ac:dyDescent="0.2">
      <c r="A530" s="1982">
        <v>5960000</v>
      </c>
      <c r="B530" s="1982" t="s">
        <v>1743</v>
      </c>
      <c r="C530" s="1982" t="s">
        <v>1712</v>
      </c>
      <c r="D530" s="1982" t="s">
        <v>1713</v>
      </c>
      <c r="E530" s="1982" t="s">
        <v>918</v>
      </c>
      <c r="F530" s="1968">
        <v>72.679599999999994</v>
      </c>
      <c r="G530" s="1962">
        <v>0</v>
      </c>
      <c r="H530" s="1962">
        <v>0</v>
      </c>
      <c r="I530" s="1962">
        <v>0</v>
      </c>
    </row>
    <row r="531" spans="1:10" ht="12.75" hidden="1" outlineLevel="2" x14ac:dyDescent="0.2">
      <c r="A531" s="1980">
        <v>5960000</v>
      </c>
      <c r="B531" s="1980" t="s">
        <v>1743</v>
      </c>
      <c r="C531" s="1980" t="s">
        <v>1712</v>
      </c>
      <c r="D531" s="1980" t="s">
        <v>1713</v>
      </c>
      <c r="E531" s="1980" t="s">
        <v>919</v>
      </c>
      <c r="F531" s="1962">
        <v>63.562890000000003</v>
      </c>
      <c r="G531" s="1962">
        <v>0</v>
      </c>
      <c r="H531" s="1962">
        <v>0</v>
      </c>
      <c r="I531" s="1962">
        <v>63.562890000000003</v>
      </c>
    </row>
    <row r="532" spans="1:10" ht="12.75" hidden="1" outlineLevel="2" x14ac:dyDescent="0.2">
      <c r="A532" s="1980">
        <v>5960000</v>
      </c>
      <c r="B532" s="1980" t="s">
        <v>1743</v>
      </c>
      <c r="C532" s="1980" t="s">
        <v>1712</v>
      </c>
      <c r="D532" s="1980" t="s">
        <v>1713</v>
      </c>
      <c r="E532" s="1980" t="s">
        <v>912</v>
      </c>
      <c r="F532" s="1962">
        <v>867.04333999999994</v>
      </c>
      <c r="G532" s="1962">
        <v>867.04333999999994</v>
      </c>
      <c r="H532" s="1962">
        <v>0</v>
      </c>
      <c r="I532" s="1962">
        <v>0</v>
      </c>
    </row>
    <row r="533" spans="1:10" ht="12.75" hidden="1" outlineLevel="2" x14ac:dyDescent="0.2">
      <c r="A533" s="1980">
        <v>5960000</v>
      </c>
      <c r="B533" s="1980" t="s">
        <v>1743</v>
      </c>
      <c r="C533" s="1980" t="s">
        <v>1712</v>
      </c>
      <c r="D533" s="1980" t="s">
        <v>1713</v>
      </c>
      <c r="E533" s="1980" t="s">
        <v>920</v>
      </c>
      <c r="F533" s="1962">
        <v>737.65043000000003</v>
      </c>
      <c r="G533" s="1962">
        <v>0</v>
      </c>
      <c r="H533" s="1962">
        <v>0</v>
      </c>
      <c r="I533" s="1962">
        <v>0</v>
      </c>
    </row>
    <row r="534" spans="1:10" ht="12.75" hidden="1" outlineLevel="2" x14ac:dyDescent="0.2">
      <c r="A534" s="1980">
        <v>5960000</v>
      </c>
      <c r="B534" s="1980" t="s">
        <v>1743</v>
      </c>
      <c r="C534" s="1980" t="s">
        <v>1712</v>
      </c>
      <c r="D534" s="1980" t="s">
        <v>1713</v>
      </c>
      <c r="E534" s="1980" t="s">
        <v>921</v>
      </c>
      <c r="F534" s="1962">
        <v>127.48548</v>
      </c>
      <c r="G534" s="1962">
        <v>0</v>
      </c>
      <c r="H534" s="1962">
        <v>127.48548</v>
      </c>
      <c r="I534" s="1962">
        <v>0</v>
      </c>
    </row>
    <row r="535" spans="1:10" ht="12.75" hidden="1" outlineLevel="2" x14ac:dyDescent="0.2">
      <c r="A535" s="1980">
        <v>5960000</v>
      </c>
      <c r="B535" s="1980" t="s">
        <v>1743</v>
      </c>
      <c r="C535" s="1980" t="s">
        <v>1712</v>
      </c>
      <c r="D535" s="1980" t="s">
        <v>1713</v>
      </c>
      <c r="E535" s="1980" t="s">
        <v>922</v>
      </c>
      <c r="F535" s="1962">
        <v>422.10719</v>
      </c>
      <c r="G535" s="1962">
        <v>0</v>
      </c>
      <c r="H535" s="1962">
        <v>0</v>
      </c>
      <c r="I535" s="1962">
        <v>0</v>
      </c>
    </row>
    <row r="536" spans="1:10" ht="12.75" hidden="1" outlineLevel="2" x14ac:dyDescent="0.2">
      <c r="A536" s="1980">
        <v>5960000</v>
      </c>
      <c r="B536" s="1980" t="s">
        <v>1743</v>
      </c>
      <c r="C536" s="1980" t="s">
        <v>1712</v>
      </c>
      <c r="D536" s="1980" t="s">
        <v>1713</v>
      </c>
      <c r="E536" s="1980" t="s">
        <v>923</v>
      </c>
      <c r="F536" s="1962">
        <v>129.51418000000001</v>
      </c>
      <c r="G536" s="1962">
        <v>0</v>
      </c>
      <c r="H536" s="1962">
        <v>0</v>
      </c>
      <c r="I536" s="1962">
        <v>0</v>
      </c>
    </row>
    <row r="537" spans="1:10" ht="13.5" outlineLevel="1" collapsed="1" thickBot="1" x14ac:dyDescent="0.25">
      <c r="A537" s="1981" t="s">
        <v>1744</v>
      </c>
      <c r="B537" s="1981"/>
      <c r="C537" s="1981"/>
      <c r="D537" s="1981"/>
      <c r="E537" s="1981"/>
      <c r="F537" s="1965">
        <f t="shared" ref="F537:I537" si="195">SUBTOTAL(9,F530:F536)</f>
        <v>2420.0431100000001</v>
      </c>
      <c r="G537" s="1965">
        <f t="shared" si="195"/>
        <v>867.04333999999994</v>
      </c>
      <c r="H537" s="1965">
        <f t="shared" si="195"/>
        <v>127.48548</v>
      </c>
      <c r="I537" s="1965">
        <f t="shared" si="195"/>
        <v>63.562890000000003</v>
      </c>
      <c r="J537" s="1953" t="str">
        <f>LEFT(A537,3)&amp;"*"</f>
        <v>596*</v>
      </c>
    </row>
    <row r="538" spans="1:10" ht="12.75" hidden="1" outlineLevel="2" x14ac:dyDescent="0.2">
      <c r="A538" s="1982">
        <v>5970000</v>
      </c>
      <c r="B538" s="1982" t="s">
        <v>1745</v>
      </c>
      <c r="C538" s="1982" t="s">
        <v>1712</v>
      </c>
      <c r="D538" s="1982" t="s">
        <v>1713</v>
      </c>
      <c r="E538" s="1982" t="s">
        <v>918</v>
      </c>
      <c r="F538" s="1968">
        <v>13.56203</v>
      </c>
      <c r="G538" s="1962">
        <v>0</v>
      </c>
      <c r="H538" s="1962">
        <v>0</v>
      </c>
      <c r="I538" s="1962">
        <v>0</v>
      </c>
    </row>
    <row r="539" spans="1:10" ht="12.75" hidden="1" outlineLevel="2" x14ac:dyDescent="0.2">
      <c r="A539" s="1980">
        <v>5970000</v>
      </c>
      <c r="B539" s="1980" t="s">
        <v>1745</v>
      </c>
      <c r="C539" s="1980" t="s">
        <v>1712</v>
      </c>
      <c r="D539" s="1980" t="s">
        <v>1713</v>
      </c>
      <c r="E539" s="1980" t="s">
        <v>919</v>
      </c>
      <c r="F539" s="1962">
        <v>32.327199999999998</v>
      </c>
      <c r="G539" s="1962">
        <v>0</v>
      </c>
      <c r="H539" s="1962">
        <v>0</v>
      </c>
      <c r="I539" s="1962">
        <v>32.327199999999998</v>
      </c>
    </row>
    <row r="540" spans="1:10" ht="12.75" hidden="1" outlineLevel="2" x14ac:dyDescent="0.2">
      <c r="A540" s="1980">
        <v>5970000</v>
      </c>
      <c r="B540" s="1980" t="s">
        <v>1745</v>
      </c>
      <c r="C540" s="1980" t="s">
        <v>1712</v>
      </c>
      <c r="D540" s="1980" t="s">
        <v>1713</v>
      </c>
      <c r="E540" s="1980" t="s">
        <v>912</v>
      </c>
      <c r="F540" s="1962">
        <v>178.06618</v>
      </c>
      <c r="G540" s="1962">
        <v>178.06618</v>
      </c>
      <c r="H540" s="1962">
        <v>0</v>
      </c>
      <c r="I540" s="1962">
        <v>0</v>
      </c>
    </row>
    <row r="541" spans="1:10" ht="12.75" hidden="1" outlineLevel="2" x14ac:dyDescent="0.2">
      <c r="A541" s="1980">
        <v>5970000</v>
      </c>
      <c r="B541" s="1980" t="s">
        <v>1745</v>
      </c>
      <c r="C541" s="1980" t="s">
        <v>1712</v>
      </c>
      <c r="D541" s="1980" t="s">
        <v>1713</v>
      </c>
      <c r="E541" s="1980" t="s">
        <v>1714</v>
      </c>
      <c r="F541" s="1962">
        <v>-38.14555</v>
      </c>
      <c r="G541" s="1962">
        <v>-10.318635820706042</v>
      </c>
      <c r="H541" s="1962">
        <v>-2.3343071478230821</v>
      </c>
      <c r="I541" s="1962">
        <v>-1.8960559032561801</v>
      </c>
    </row>
    <row r="542" spans="1:10" ht="12.75" hidden="1" outlineLevel="2" x14ac:dyDescent="0.2">
      <c r="A542" s="1980">
        <v>5970000</v>
      </c>
      <c r="B542" s="1980" t="s">
        <v>1745</v>
      </c>
      <c r="C542" s="1980" t="s">
        <v>1712</v>
      </c>
      <c r="D542" s="1980" t="s">
        <v>1713</v>
      </c>
      <c r="E542" s="1980" t="s">
        <v>920</v>
      </c>
      <c r="F542" s="1962">
        <v>353.19099999999997</v>
      </c>
      <c r="G542" s="1962">
        <v>0</v>
      </c>
      <c r="H542" s="1962">
        <v>0</v>
      </c>
      <c r="I542" s="1962">
        <v>0</v>
      </c>
    </row>
    <row r="543" spans="1:10" ht="12.75" hidden="1" outlineLevel="2" x14ac:dyDescent="0.2">
      <c r="A543" s="1980">
        <v>5970000</v>
      </c>
      <c r="B543" s="1980" t="s">
        <v>1745</v>
      </c>
      <c r="C543" s="1980" t="s">
        <v>1712</v>
      </c>
      <c r="D543" s="1980" t="s">
        <v>1713</v>
      </c>
      <c r="E543" s="1980" t="s">
        <v>921</v>
      </c>
      <c r="F543" s="1962">
        <v>32.316070000000003</v>
      </c>
      <c r="G543" s="1962">
        <v>0</v>
      </c>
      <c r="H543" s="1962">
        <v>32.316070000000003</v>
      </c>
      <c r="I543" s="1962">
        <v>0</v>
      </c>
    </row>
    <row r="544" spans="1:10" ht="12.75" hidden="1" outlineLevel="2" x14ac:dyDescent="0.2">
      <c r="A544" s="1980">
        <v>5970000</v>
      </c>
      <c r="B544" s="1980" t="s">
        <v>1745</v>
      </c>
      <c r="C544" s="1980" t="s">
        <v>1712</v>
      </c>
      <c r="D544" s="1980" t="s">
        <v>1713</v>
      </c>
      <c r="E544" s="1980" t="s">
        <v>922</v>
      </c>
      <c r="F544" s="1962">
        <v>29.381879999999999</v>
      </c>
      <c r="G544" s="1962">
        <v>0</v>
      </c>
      <c r="H544" s="1962">
        <v>0</v>
      </c>
      <c r="I544" s="1962">
        <v>0</v>
      </c>
    </row>
    <row r="545" spans="1:10" ht="12.75" hidden="1" outlineLevel="2" x14ac:dyDescent="0.2">
      <c r="A545" s="1980">
        <v>5970000</v>
      </c>
      <c r="B545" s="1980" t="s">
        <v>1745</v>
      </c>
      <c r="C545" s="1980" t="s">
        <v>1712</v>
      </c>
      <c r="D545" s="1980" t="s">
        <v>1713</v>
      </c>
      <c r="E545" s="1980" t="s">
        <v>923</v>
      </c>
      <c r="F545" s="1962">
        <v>11.876530000000001</v>
      </c>
      <c r="G545" s="1962">
        <v>0</v>
      </c>
      <c r="H545" s="1962">
        <v>0</v>
      </c>
      <c r="I545" s="1962">
        <v>0</v>
      </c>
    </row>
    <row r="546" spans="1:10" ht="13.5" outlineLevel="1" collapsed="1" thickBot="1" x14ac:dyDescent="0.25">
      <c r="A546" s="1981" t="s">
        <v>1746</v>
      </c>
      <c r="B546" s="1981"/>
      <c r="C546" s="1981"/>
      <c r="D546" s="1981"/>
      <c r="E546" s="1981"/>
      <c r="F546" s="1965">
        <f t="shared" ref="F546:I546" si="196">SUBTOTAL(9,F538:F545)</f>
        <v>612.57533999999998</v>
      </c>
      <c r="G546" s="1965">
        <f t="shared" si="196"/>
        <v>167.74754417929395</v>
      </c>
      <c r="H546" s="1965">
        <f t="shared" si="196"/>
        <v>29.981762852176921</v>
      </c>
      <c r="I546" s="1965">
        <f t="shared" si="196"/>
        <v>30.431144096743818</v>
      </c>
      <c r="J546" s="1953" t="str">
        <f>LEFT(A546,3)&amp;"*"</f>
        <v>597*</v>
      </c>
    </row>
    <row r="547" spans="1:10" ht="12.75" hidden="1" outlineLevel="2" x14ac:dyDescent="0.2">
      <c r="A547" s="1982">
        <v>5980000</v>
      </c>
      <c r="B547" s="1982" t="s">
        <v>1747</v>
      </c>
      <c r="C547" s="1982" t="s">
        <v>1712</v>
      </c>
      <c r="D547" s="1982" t="s">
        <v>1713</v>
      </c>
      <c r="E547" s="1982" t="s">
        <v>918</v>
      </c>
      <c r="F547" s="1968">
        <v>91.369879999999995</v>
      </c>
      <c r="G547" s="1962">
        <v>0</v>
      </c>
      <c r="H547" s="1962">
        <v>0</v>
      </c>
      <c r="I547" s="1962">
        <v>0</v>
      </c>
    </row>
    <row r="548" spans="1:10" ht="12.75" hidden="1" outlineLevel="2" x14ac:dyDescent="0.2">
      <c r="A548" s="1980">
        <v>5980000</v>
      </c>
      <c r="B548" s="1980" t="s">
        <v>1747</v>
      </c>
      <c r="C548" s="1980" t="s">
        <v>1712</v>
      </c>
      <c r="D548" s="1980" t="s">
        <v>1713</v>
      </c>
      <c r="E548" s="1980" t="s">
        <v>919</v>
      </c>
      <c r="F548" s="1962">
        <v>106.43436</v>
      </c>
      <c r="G548" s="1962">
        <v>0</v>
      </c>
      <c r="H548" s="1962">
        <v>0</v>
      </c>
      <c r="I548" s="1962">
        <v>106.43436</v>
      </c>
    </row>
    <row r="549" spans="1:10" ht="12.75" hidden="1" outlineLevel="2" x14ac:dyDescent="0.2">
      <c r="A549" s="1980">
        <v>5980000</v>
      </c>
      <c r="B549" s="1980" t="s">
        <v>1747</v>
      </c>
      <c r="C549" s="1980" t="s">
        <v>1712</v>
      </c>
      <c r="D549" s="1980" t="s">
        <v>1713</v>
      </c>
      <c r="E549" s="1980" t="s">
        <v>912</v>
      </c>
      <c r="F549" s="1962">
        <v>1640.38096</v>
      </c>
      <c r="G549" s="1962">
        <v>1640.38096</v>
      </c>
      <c r="H549" s="1962">
        <v>0</v>
      </c>
      <c r="I549" s="1962">
        <v>0</v>
      </c>
    </row>
    <row r="550" spans="1:10" ht="12.75" hidden="1" outlineLevel="2" x14ac:dyDescent="0.2">
      <c r="A550" s="1980">
        <v>5980000</v>
      </c>
      <c r="B550" s="1980" t="s">
        <v>1747</v>
      </c>
      <c r="C550" s="1980" t="s">
        <v>1712</v>
      </c>
      <c r="D550" s="1980" t="s">
        <v>1713</v>
      </c>
      <c r="E550" s="1980" t="s">
        <v>1714</v>
      </c>
      <c r="F550" s="1962">
        <v>3839.3879200000001</v>
      </c>
      <c r="G550" s="1962">
        <v>1038.5810591510167</v>
      </c>
      <c r="H550" s="1962">
        <v>234.95035895200348</v>
      </c>
      <c r="I550" s="1962">
        <v>190.8399310170247</v>
      </c>
    </row>
    <row r="551" spans="1:10" ht="12.75" hidden="1" outlineLevel="2" x14ac:dyDescent="0.2">
      <c r="A551" s="1980">
        <v>5980000</v>
      </c>
      <c r="B551" s="1980" t="s">
        <v>1747</v>
      </c>
      <c r="C551" s="1980" t="s">
        <v>1712</v>
      </c>
      <c r="D551" s="1980" t="s">
        <v>1713</v>
      </c>
      <c r="E551" s="1980" t="s">
        <v>920</v>
      </c>
      <c r="F551" s="1962">
        <v>1361.23849</v>
      </c>
      <c r="G551" s="1962">
        <v>0</v>
      </c>
      <c r="H551" s="1962">
        <v>0</v>
      </c>
      <c r="I551" s="1962">
        <v>0</v>
      </c>
    </row>
    <row r="552" spans="1:10" ht="12.75" hidden="1" outlineLevel="2" x14ac:dyDescent="0.2">
      <c r="A552" s="1980">
        <v>5980000</v>
      </c>
      <c r="B552" s="1980" t="s">
        <v>1747</v>
      </c>
      <c r="C552" s="1980" t="s">
        <v>1712</v>
      </c>
      <c r="D552" s="1980" t="s">
        <v>1713</v>
      </c>
      <c r="E552" s="1980" t="s">
        <v>921</v>
      </c>
      <c r="F552" s="1962">
        <v>145.74749</v>
      </c>
      <c r="G552" s="1962">
        <v>0</v>
      </c>
      <c r="H552" s="1962">
        <v>145.74749</v>
      </c>
      <c r="I552" s="1962">
        <v>0</v>
      </c>
    </row>
    <row r="553" spans="1:10" ht="12.75" hidden="1" outlineLevel="2" x14ac:dyDescent="0.2">
      <c r="A553" s="1980">
        <v>5980000</v>
      </c>
      <c r="B553" s="1980" t="s">
        <v>1747</v>
      </c>
      <c r="C553" s="1980" t="s">
        <v>1712</v>
      </c>
      <c r="D553" s="1980" t="s">
        <v>1713</v>
      </c>
      <c r="E553" s="1980" t="s">
        <v>922</v>
      </c>
      <c r="F553" s="1962">
        <v>360.99997000000002</v>
      </c>
      <c r="G553" s="1962">
        <v>0</v>
      </c>
      <c r="H553" s="1962">
        <v>0</v>
      </c>
      <c r="I553" s="1962">
        <v>0</v>
      </c>
    </row>
    <row r="554" spans="1:10" ht="13.5" outlineLevel="1" collapsed="1" thickBot="1" x14ac:dyDescent="0.25">
      <c r="A554" s="1981" t="s">
        <v>1748</v>
      </c>
      <c r="B554" s="1981"/>
      <c r="C554" s="1981"/>
      <c r="D554" s="1981"/>
      <c r="E554" s="1981"/>
      <c r="F554" s="1965">
        <f t="shared" ref="F554:I554" si="197">SUBTOTAL(9,F547:F553)</f>
        <v>7545.5590699999993</v>
      </c>
      <c r="G554" s="1965">
        <f t="shared" si="197"/>
        <v>2678.9620191510166</v>
      </c>
      <c r="H554" s="1965">
        <f t="shared" si="197"/>
        <v>380.69784895200348</v>
      </c>
      <c r="I554" s="1965">
        <f t="shared" si="197"/>
        <v>297.27429101702467</v>
      </c>
      <c r="J554" s="1953" t="str">
        <f>LEFT(A554,3)&amp;"*"</f>
        <v>598*</v>
      </c>
    </row>
    <row r="555" spans="1:10" ht="12.75" hidden="1" outlineLevel="2" x14ac:dyDescent="0.2">
      <c r="A555" s="1982">
        <v>5989500</v>
      </c>
      <c r="B555" s="1982" t="s">
        <v>1749</v>
      </c>
      <c r="C555" s="1982" t="s">
        <v>1712</v>
      </c>
      <c r="D555" s="1982" t="s">
        <v>1713</v>
      </c>
      <c r="E555" s="1982" t="s">
        <v>1714</v>
      </c>
      <c r="F555" s="1968">
        <v>2691.8026</v>
      </c>
      <c r="G555" s="1962">
        <v>728.15127139678566</v>
      </c>
      <c r="H555" s="1962">
        <v>164.7241696530462</v>
      </c>
      <c r="I555" s="1962">
        <v>133.79825982664647</v>
      </c>
    </row>
    <row r="556" spans="1:10" ht="13.5" outlineLevel="1" collapsed="1" thickBot="1" x14ac:dyDescent="0.25">
      <c r="A556" s="1981" t="s">
        <v>1750</v>
      </c>
      <c r="B556" s="1981"/>
      <c r="C556" s="1981"/>
      <c r="D556" s="1981"/>
      <c r="E556" s="1981"/>
      <c r="F556" s="1965">
        <f t="shared" ref="F556:I556" si="198">SUBTOTAL(9,F555:F555)</f>
        <v>2691.8026</v>
      </c>
      <c r="G556" s="1965">
        <f t="shared" si="198"/>
        <v>728.15127139678566</v>
      </c>
      <c r="H556" s="1965">
        <f t="shared" si="198"/>
        <v>164.7241696530462</v>
      </c>
      <c r="I556" s="1965">
        <f t="shared" si="198"/>
        <v>133.79825982664647</v>
      </c>
      <c r="J556" s="1953" t="str">
        <f>LEFT(A556,3)&amp;"*"</f>
        <v>598*</v>
      </c>
    </row>
    <row r="557" spans="1:10" ht="12.75" hidden="1" outlineLevel="2" x14ac:dyDescent="0.2">
      <c r="A557" s="1982">
        <v>9010000</v>
      </c>
      <c r="B557" s="1982" t="s">
        <v>1751</v>
      </c>
      <c r="C557" s="1982" t="s">
        <v>1752</v>
      </c>
      <c r="D557" s="1982" t="s">
        <v>1753</v>
      </c>
      <c r="E557" s="1982" t="s">
        <v>1754</v>
      </c>
      <c r="F557" s="1968">
        <v>2406.7953000000002</v>
      </c>
      <c r="G557" s="1962">
        <v>733.65454481689778</v>
      </c>
      <c r="H557" s="1962">
        <v>160.55701857464709</v>
      </c>
      <c r="I557" s="1962">
        <v>102.77417614048588</v>
      </c>
    </row>
    <row r="558" spans="1:10" ht="13.5" outlineLevel="1" collapsed="1" thickBot="1" x14ac:dyDescent="0.25">
      <c r="A558" s="1981" t="s">
        <v>1755</v>
      </c>
      <c r="B558" s="1981"/>
      <c r="C558" s="1981"/>
      <c r="D558" s="1981"/>
      <c r="E558" s="1981"/>
      <c r="F558" s="1965">
        <f t="shared" ref="F558:I558" si="199">SUBTOTAL(9,F557:F557)</f>
        <v>2406.7953000000002</v>
      </c>
      <c r="G558" s="1965">
        <f t="shared" si="199"/>
        <v>733.65454481689778</v>
      </c>
      <c r="H558" s="1965">
        <f t="shared" si="199"/>
        <v>160.55701857464709</v>
      </c>
      <c r="I558" s="1965">
        <f t="shared" si="199"/>
        <v>102.77417614048588</v>
      </c>
      <c r="J558" s="1953" t="str">
        <f>LEFT(A558,3)&amp;"*"</f>
        <v>901*</v>
      </c>
    </row>
    <row r="559" spans="1:10" ht="12.75" hidden="1" outlineLevel="2" x14ac:dyDescent="0.2">
      <c r="A559" s="1982">
        <v>9020000</v>
      </c>
      <c r="B559" s="1982" t="s">
        <v>1756</v>
      </c>
      <c r="C559" s="1982" t="s">
        <v>1752</v>
      </c>
      <c r="D559" s="1982" t="s">
        <v>1753</v>
      </c>
      <c r="E559" s="1982" t="s">
        <v>918</v>
      </c>
      <c r="F559" s="1968">
        <v>461.49671999999998</v>
      </c>
      <c r="G559" s="1962">
        <v>0</v>
      </c>
      <c r="H559" s="1962">
        <v>0</v>
      </c>
      <c r="I559" s="1962">
        <v>0</v>
      </c>
    </row>
    <row r="560" spans="1:10" ht="12.75" hidden="1" outlineLevel="2" x14ac:dyDescent="0.2">
      <c r="A560" s="1980">
        <v>9020000</v>
      </c>
      <c r="B560" s="1980" t="s">
        <v>1756</v>
      </c>
      <c r="C560" s="1980" t="s">
        <v>1752</v>
      </c>
      <c r="D560" s="1980" t="s">
        <v>1753</v>
      </c>
      <c r="E560" s="1980" t="s">
        <v>1754</v>
      </c>
      <c r="F560" s="1962">
        <v>968.39801</v>
      </c>
      <c r="G560" s="1962">
        <v>295.19319787110254</v>
      </c>
      <c r="H560" s="1962">
        <v>64.601712193480381</v>
      </c>
      <c r="I560" s="1962">
        <v>41.352211238669113</v>
      </c>
    </row>
    <row r="561" spans="1:10" ht="12.75" hidden="1" outlineLevel="2" x14ac:dyDescent="0.2">
      <c r="A561" s="1980">
        <v>9020000</v>
      </c>
      <c r="B561" s="1980" t="s">
        <v>1756</v>
      </c>
      <c r="C561" s="1980" t="s">
        <v>1752</v>
      </c>
      <c r="D561" s="1980" t="s">
        <v>1753</v>
      </c>
      <c r="E561" s="1980" t="s">
        <v>919</v>
      </c>
      <c r="F561" s="1962">
        <v>488.75842999999998</v>
      </c>
      <c r="G561" s="1962">
        <v>0</v>
      </c>
      <c r="H561" s="1962">
        <v>0</v>
      </c>
      <c r="I561" s="1962">
        <v>488.75842999999998</v>
      </c>
    </row>
    <row r="562" spans="1:10" ht="12.75" hidden="1" outlineLevel="2" x14ac:dyDescent="0.2">
      <c r="A562" s="1980">
        <v>9020000</v>
      </c>
      <c r="B562" s="1980" t="s">
        <v>1756</v>
      </c>
      <c r="C562" s="1980" t="s">
        <v>1752</v>
      </c>
      <c r="D562" s="1980" t="s">
        <v>1753</v>
      </c>
      <c r="E562" s="1980" t="s">
        <v>912</v>
      </c>
      <c r="F562" s="1962">
        <v>2167.9245700000001</v>
      </c>
      <c r="G562" s="1962">
        <v>2167.9245700000001</v>
      </c>
      <c r="H562" s="1962">
        <v>0</v>
      </c>
      <c r="I562" s="1962">
        <v>0</v>
      </c>
    </row>
    <row r="563" spans="1:10" ht="12.75" hidden="1" outlineLevel="2" x14ac:dyDescent="0.2">
      <c r="A563" s="1980">
        <v>9020000</v>
      </c>
      <c r="B563" s="1980" t="s">
        <v>1756</v>
      </c>
      <c r="C563" s="1980" t="s">
        <v>1752</v>
      </c>
      <c r="D563" s="1980" t="s">
        <v>1753</v>
      </c>
      <c r="E563" s="1980" t="s">
        <v>920</v>
      </c>
      <c r="F563" s="1962">
        <v>4459.0458500000004</v>
      </c>
      <c r="G563" s="1962">
        <v>0</v>
      </c>
      <c r="H563" s="1962">
        <v>0</v>
      </c>
      <c r="I563" s="1962">
        <v>0</v>
      </c>
    </row>
    <row r="564" spans="1:10" ht="12.75" hidden="1" outlineLevel="2" x14ac:dyDescent="0.2">
      <c r="A564" s="1980">
        <v>9020000</v>
      </c>
      <c r="B564" s="1980" t="s">
        <v>1756</v>
      </c>
      <c r="C564" s="1980" t="s">
        <v>1752</v>
      </c>
      <c r="D564" s="1980" t="s">
        <v>1753</v>
      </c>
      <c r="E564" s="1980" t="s">
        <v>921</v>
      </c>
      <c r="F564" s="1962">
        <v>1019.93132</v>
      </c>
      <c r="G564" s="1962">
        <v>0</v>
      </c>
      <c r="H564" s="1962">
        <v>1019.93132</v>
      </c>
      <c r="I564" s="1962">
        <v>0</v>
      </c>
    </row>
    <row r="565" spans="1:10" ht="12.75" hidden="1" outlineLevel="2" x14ac:dyDescent="0.2">
      <c r="A565" s="1980">
        <v>9020000</v>
      </c>
      <c r="B565" s="1980" t="s">
        <v>1756</v>
      </c>
      <c r="C565" s="1980" t="s">
        <v>1752</v>
      </c>
      <c r="D565" s="1980" t="s">
        <v>1753</v>
      </c>
      <c r="E565" s="1980" t="s">
        <v>922</v>
      </c>
      <c r="F565" s="1962">
        <v>1175.0326399999999</v>
      </c>
      <c r="G565" s="1962">
        <v>0</v>
      </c>
      <c r="H565" s="1962">
        <v>0</v>
      </c>
      <c r="I565" s="1962">
        <v>0</v>
      </c>
    </row>
    <row r="566" spans="1:10" ht="12.75" hidden="1" outlineLevel="2" x14ac:dyDescent="0.2">
      <c r="A566" s="1980">
        <v>9020000</v>
      </c>
      <c r="B566" s="1980" t="s">
        <v>1756</v>
      </c>
      <c r="C566" s="1980" t="s">
        <v>1752</v>
      </c>
      <c r="D566" s="1980" t="s">
        <v>1753</v>
      </c>
      <c r="E566" s="1980" t="s">
        <v>923</v>
      </c>
      <c r="F566" s="1962">
        <v>236.64883</v>
      </c>
      <c r="G566" s="1962">
        <v>0</v>
      </c>
      <c r="H566" s="1962">
        <v>0</v>
      </c>
      <c r="I566" s="1962">
        <v>0</v>
      </c>
    </row>
    <row r="567" spans="1:10" ht="13.5" outlineLevel="1" collapsed="1" thickBot="1" x14ac:dyDescent="0.25">
      <c r="A567" s="1981" t="s">
        <v>1757</v>
      </c>
      <c r="B567" s="1981"/>
      <c r="C567" s="1981"/>
      <c r="D567" s="1981"/>
      <c r="E567" s="1981"/>
      <c r="F567" s="1965">
        <f t="shared" ref="F567:I567" si="200">SUBTOTAL(9,F559:F566)</f>
        <v>10977.236369999999</v>
      </c>
      <c r="G567" s="1965">
        <f t="shared" si="200"/>
        <v>2463.1177678711028</v>
      </c>
      <c r="H567" s="1965">
        <f t="shared" si="200"/>
        <v>1084.5330321934805</v>
      </c>
      <c r="I567" s="1965">
        <f t="shared" si="200"/>
        <v>530.11064123866913</v>
      </c>
      <c r="J567" s="1953" t="str">
        <f>LEFT(A567,3)&amp;"*"</f>
        <v>902*</v>
      </c>
    </row>
    <row r="568" spans="1:10" ht="12.75" hidden="1" outlineLevel="2" x14ac:dyDescent="0.2">
      <c r="A568" s="1982">
        <v>9030000</v>
      </c>
      <c r="B568" s="1982" t="s">
        <v>1758</v>
      </c>
      <c r="C568" s="1982" t="s">
        <v>1752</v>
      </c>
      <c r="D568" s="1982" t="s">
        <v>1753</v>
      </c>
      <c r="E568" s="1982" t="s">
        <v>1754</v>
      </c>
      <c r="F568" s="1968">
        <v>1183.2897599999999</v>
      </c>
      <c r="G568" s="1962">
        <v>360.69785837594748</v>
      </c>
      <c r="H568" s="1962">
        <v>78.937114417461942</v>
      </c>
      <c r="I568" s="1962">
        <v>50.528447608100798</v>
      </c>
    </row>
    <row r="569" spans="1:10" ht="13.5" outlineLevel="1" collapsed="1" thickBot="1" x14ac:dyDescent="0.25">
      <c r="A569" s="1981" t="s">
        <v>1759</v>
      </c>
      <c r="B569" s="1981"/>
      <c r="C569" s="1981"/>
      <c r="D569" s="1981"/>
      <c r="E569" s="1981"/>
      <c r="F569" s="1965">
        <f t="shared" ref="F569:I569" si="201">SUBTOTAL(9,F568:F568)</f>
        <v>1183.2897599999999</v>
      </c>
      <c r="G569" s="1965">
        <f t="shared" si="201"/>
        <v>360.69785837594748</v>
      </c>
      <c r="H569" s="1965">
        <f t="shared" si="201"/>
        <v>78.937114417461942</v>
      </c>
      <c r="I569" s="1965">
        <f t="shared" si="201"/>
        <v>50.528447608100798</v>
      </c>
      <c r="J569" s="1953" t="str">
        <f>LEFT(A569,3)&amp;"*"</f>
        <v>903*</v>
      </c>
    </row>
    <row r="570" spans="1:10" ht="12.75" hidden="1" outlineLevel="2" x14ac:dyDescent="0.2">
      <c r="A570" s="1982">
        <v>9031000</v>
      </c>
      <c r="B570" s="1982" t="s">
        <v>1760</v>
      </c>
      <c r="C570" s="1982" t="s">
        <v>1752</v>
      </c>
      <c r="D570" s="1982" t="s">
        <v>1753</v>
      </c>
      <c r="E570" s="1982" t="s">
        <v>1754</v>
      </c>
      <c r="F570" s="1968">
        <v>1503.4809</v>
      </c>
      <c r="G570" s="1962">
        <v>458.3005440181804</v>
      </c>
      <c r="H570" s="1962">
        <v>100.29702600297045</v>
      </c>
      <c r="I570" s="1962">
        <v>64.201143670363749</v>
      </c>
    </row>
    <row r="571" spans="1:10" ht="13.5" outlineLevel="1" collapsed="1" thickBot="1" x14ac:dyDescent="0.25">
      <c r="A571" s="1981" t="s">
        <v>1761</v>
      </c>
      <c r="B571" s="1981"/>
      <c r="C571" s="1981"/>
      <c r="D571" s="1981"/>
      <c r="E571" s="1981"/>
      <c r="F571" s="1965">
        <f t="shared" ref="F571:I571" si="202">SUBTOTAL(9,F570:F570)</f>
        <v>1503.4809</v>
      </c>
      <c r="G571" s="1965">
        <f t="shared" si="202"/>
        <v>458.3005440181804</v>
      </c>
      <c r="H571" s="1965">
        <f t="shared" si="202"/>
        <v>100.29702600297045</v>
      </c>
      <c r="I571" s="1965">
        <f t="shared" si="202"/>
        <v>64.201143670363749</v>
      </c>
      <c r="J571" s="1953" t="str">
        <f>LEFT(A571,3)&amp;"*"</f>
        <v>903*</v>
      </c>
    </row>
    <row r="572" spans="1:10" ht="12.75" hidden="1" outlineLevel="2" x14ac:dyDescent="0.2">
      <c r="A572" s="1982">
        <v>9032000</v>
      </c>
      <c r="B572" s="1982" t="s">
        <v>1762</v>
      </c>
      <c r="C572" s="1982" t="s">
        <v>1752</v>
      </c>
      <c r="D572" s="1982" t="s">
        <v>1753</v>
      </c>
      <c r="E572" s="1982" t="s">
        <v>1754</v>
      </c>
      <c r="F572" s="1968">
        <v>9327.5714700000008</v>
      </c>
      <c r="G572" s="1962">
        <v>2843.2892490150416</v>
      </c>
      <c r="H572" s="1962">
        <v>622.24114604392742</v>
      </c>
      <c r="I572" s="1962">
        <v>398.30286905610575</v>
      </c>
    </row>
    <row r="573" spans="1:10" ht="12.75" hidden="1" outlineLevel="2" x14ac:dyDescent="0.2">
      <c r="A573" s="1980">
        <v>9032000</v>
      </c>
      <c r="B573" s="1980" t="s">
        <v>1762</v>
      </c>
      <c r="C573" s="1980" t="s">
        <v>1752</v>
      </c>
      <c r="D573" s="1980" t="s">
        <v>1753</v>
      </c>
      <c r="E573" s="1980" t="s">
        <v>912</v>
      </c>
      <c r="F573" s="1962">
        <v>0.106</v>
      </c>
      <c r="G573" s="1962">
        <v>0.106</v>
      </c>
      <c r="H573" s="1962">
        <v>0</v>
      </c>
      <c r="I573" s="1962">
        <v>0</v>
      </c>
    </row>
    <row r="574" spans="1:10" ht="12.75" hidden="1" outlineLevel="2" x14ac:dyDescent="0.2">
      <c r="A574" s="1980">
        <v>9032000</v>
      </c>
      <c r="B574" s="1980" t="s">
        <v>1762</v>
      </c>
      <c r="C574" s="1980" t="s">
        <v>1752</v>
      </c>
      <c r="D574" s="1980" t="s">
        <v>1753</v>
      </c>
      <c r="E574" s="1980" t="s">
        <v>920</v>
      </c>
      <c r="F574" s="1962">
        <v>7.9799999999999992E-3</v>
      </c>
      <c r="G574" s="1962">
        <v>0</v>
      </c>
      <c r="H574" s="1962">
        <v>0</v>
      </c>
      <c r="I574" s="1962">
        <v>0</v>
      </c>
    </row>
    <row r="575" spans="1:10" ht="13.5" outlineLevel="1" collapsed="1" thickBot="1" x14ac:dyDescent="0.25">
      <c r="A575" s="1981" t="s">
        <v>1763</v>
      </c>
      <c r="B575" s="1981"/>
      <c r="C575" s="1981"/>
      <c r="D575" s="1981"/>
      <c r="E575" s="1981"/>
      <c r="F575" s="1965">
        <f t="shared" ref="F575:I575" si="203">SUBTOTAL(9,F572:F574)</f>
        <v>9327.6854500000009</v>
      </c>
      <c r="G575" s="1965">
        <f t="shared" si="203"/>
        <v>2843.3952490150418</v>
      </c>
      <c r="H575" s="1965">
        <f t="shared" si="203"/>
        <v>622.24114604392742</v>
      </c>
      <c r="I575" s="1965">
        <f t="shared" si="203"/>
        <v>398.30286905610575</v>
      </c>
      <c r="J575" s="1953" t="str">
        <f>LEFT(A575,3)&amp;"*"</f>
        <v>903*</v>
      </c>
    </row>
    <row r="576" spans="1:10" ht="12.75" hidden="1" outlineLevel="2" x14ac:dyDescent="0.2">
      <c r="A576" s="1982">
        <v>9033000</v>
      </c>
      <c r="B576" s="1982" t="s">
        <v>1764</v>
      </c>
      <c r="C576" s="1982" t="s">
        <v>1752</v>
      </c>
      <c r="D576" s="1982" t="s">
        <v>1753</v>
      </c>
      <c r="E576" s="1982" t="s">
        <v>918</v>
      </c>
      <c r="F576" s="1968">
        <v>15.606769999999999</v>
      </c>
      <c r="G576" s="1962">
        <v>0</v>
      </c>
      <c r="H576" s="1962">
        <v>0</v>
      </c>
      <c r="I576" s="1962">
        <v>0</v>
      </c>
    </row>
    <row r="577" spans="1:10" ht="12.75" hidden="1" outlineLevel="2" x14ac:dyDescent="0.2">
      <c r="A577" s="1980">
        <v>9033000</v>
      </c>
      <c r="B577" s="1980" t="s">
        <v>1764</v>
      </c>
      <c r="C577" s="1980" t="s">
        <v>1752</v>
      </c>
      <c r="D577" s="1980" t="s">
        <v>1753</v>
      </c>
      <c r="E577" s="1980" t="s">
        <v>1754</v>
      </c>
      <c r="F577" s="1962">
        <v>18138.621800000001</v>
      </c>
      <c r="G577" s="1962">
        <v>5529.129261755189</v>
      </c>
      <c r="H577" s="1962">
        <v>1210.0252303389068</v>
      </c>
      <c r="I577" s="1962">
        <v>774.54942338422256</v>
      </c>
    </row>
    <row r="578" spans="1:10" ht="12.75" hidden="1" outlineLevel="2" x14ac:dyDescent="0.2">
      <c r="A578" s="1980">
        <v>9033000</v>
      </c>
      <c r="B578" s="1980" t="s">
        <v>1764</v>
      </c>
      <c r="C578" s="1980" t="s">
        <v>1752</v>
      </c>
      <c r="D578" s="1980" t="s">
        <v>1753</v>
      </c>
      <c r="E578" s="1980" t="s">
        <v>919</v>
      </c>
      <c r="F578" s="1962">
        <v>127.65346</v>
      </c>
      <c r="G578" s="1962">
        <v>0</v>
      </c>
      <c r="H578" s="1962">
        <v>0</v>
      </c>
      <c r="I578" s="1962">
        <v>127.65346</v>
      </c>
    </row>
    <row r="579" spans="1:10" ht="12.75" hidden="1" outlineLevel="2" x14ac:dyDescent="0.2">
      <c r="A579" s="1980">
        <v>9033000</v>
      </c>
      <c r="B579" s="1980" t="s">
        <v>1764</v>
      </c>
      <c r="C579" s="1980" t="s">
        <v>1752</v>
      </c>
      <c r="D579" s="1980" t="s">
        <v>1753</v>
      </c>
      <c r="E579" s="1980" t="s">
        <v>912</v>
      </c>
      <c r="F579" s="1962">
        <v>803.02828999999997</v>
      </c>
      <c r="G579" s="1962">
        <v>803.02828999999997</v>
      </c>
      <c r="H579" s="1962">
        <v>0</v>
      </c>
      <c r="I579" s="1962">
        <v>0</v>
      </c>
    </row>
    <row r="580" spans="1:10" ht="12.75" hidden="1" outlineLevel="2" x14ac:dyDescent="0.2">
      <c r="A580" s="1980">
        <v>9033000</v>
      </c>
      <c r="B580" s="1980" t="s">
        <v>1764</v>
      </c>
      <c r="C580" s="1980" t="s">
        <v>1752</v>
      </c>
      <c r="D580" s="1980" t="s">
        <v>1753</v>
      </c>
      <c r="E580" s="1980" t="s">
        <v>920</v>
      </c>
      <c r="F580" s="1962">
        <v>1805.37538</v>
      </c>
      <c r="G580" s="1962">
        <v>0</v>
      </c>
      <c r="H580" s="1962">
        <v>0</v>
      </c>
      <c r="I580" s="1962">
        <v>0</v>
      </c>
    </row>
    <row r="581" spans="1:10" ht="12.75" hidden="1" outlineLevel="2" x14ac:dyDescent="0.2">
      <c r="A581" s="1980">
        <v>9033000</v>
      </c>
      <c r="B581" s="1980" t="s">
        <v>1764</v>
      </c>
      <c r="C581" s="1980" t="s">
        <v>1752</v>
      </c>
      <c r="D581" s="1980" t="s">
        <v>1753</v>
      </c>
      <c r="E581" s="1980" t="s">
        <v>921</v>
      </c>
      <c r="F581" s="1962">
        <v>354.66730999999999</v>
      </c>
      <c r="G581" s="1962">
        <v>0</v>
      </c>
      <c r="H581" s="1962">
        <v>354.66730999999999</v>
      </c>
      <c r="I581" s="1962">
        <v>0</v>
      </c>
    </row>
    <row r="582" spans="1:10" ht="12.75" hidden="1" outlineLevel="2" x14ac:dyDescent="0.2">
      <c r="A582" s="1980">
        <v>9033000</v>
      </c>
      <c r="B582" s="1980" t="s">
        <v>1764</v>
      </c>
      <c r="C582" s="1980" t="s">
        <v>1752</v>
      </c>
      <c r="D582" s="1980" t="s">
        <v>1753</v>
      </c>
      <c r="E582" s="1980" t="s">
        <v>922</v>
      </c>
      <c r="F582" s="1962">
        <v>276.18362000000002</v>
      </c>
      <c r="G582" s="1962">
        <v>0</v>
      </c>
      <c r="H582" s="1962">
        <v>0</v>
      </c>
      <c r="I582" s="1962">
        <v>0</v>
      </c>
    </row>
    <row r="583" spans="1:10" ht="12.75" hidden="1" outlineLevel="2" x14ac:dyDescent="0.2">
      <c r="A583" s="1980">
        <v>9033000</v>
      </c>
      <c r="B583" s="1980" t="s">
        <v>1764</v>
      </c>
      <c r="C583" s="1980" t="s">
        <v>1752</v>
      </c>
      <c r="D583" s="1980" t="s">
        <v>1753</v>
      </c>
      <c r="E583" s="1980" t="s">
        <v>923</v>
      </c>
      <c r="F583" s="1962">
        <v>37.607520000000001</v>
      </c>
      <c r="G583" s="1962">
        <v>0</v>
      </c>
      <c r="H583" s="1962">
        <v>0</v>
      </c>
      <c r="I583" s="1962">
        <v>0</v>
      </c>
    </row>
    <row r="584" spans="1:10" ht="13.5" outlineLevel="1" collapsed="1" thickBot="1" x14ac:dyDescent="0.25">
      <c r="A584" s="1981" t="s">
        <v>1765</v>
      </c>
      <c r="B584" s="1981"/>
      <c r="C584" s="1981"/>
      <c r="D584" s="1981"/>
      <c r="E584" s="1981"/>
      <c r="F584" s="1965">
        <f t="shared" ref="F584:I584" si="204">SUBTOTAL(9,F576:F583)</f>
        <v>21558.744150000002</v>
      </c>
      <c r="G584" s="1965">
        <f t="shared" si="204"/>
        <v>6332.1575517551892</v>
      </c>
      <c r="H584" s="1965">
        <f t="shared" si="204"/>
        <v>1564.6925403389068</v>
      </c>
      <c r="I584" s="1965">
        <f t="shared" si="204"/>
        <v>902.20288338422256</v>
      </c>
      <c r="J584" s="1953" t="str">
        <f>LEFT(A584,3)&amp;"*"</f>
        <v>903*</v>
      </c>
    </row>
    <row r="585" spans="1:10" ht="12.75" hidden="1" outlineLevel="2" x14ac:dyDescent="0.2">
      <c r="A585" s="1982">
        <v>9035000</v>
      </c>
      <c r="B585" s="1982" t="s">
        <v>1766</v>
      </c>
      <c r="C585" s="1982" t="s">
        <v>1752</v>
      </c>
      <c r="D585" s="1982" t="s">
        <v>1753</v>
      </c>
      <c r="E585" s="1982" t="s">
        <v>918</v>
      </c>
      <c r="F585" s="1968">
        <v>16.96893</v>
      </c>
      <c r="G585" s="1962">
        <v>0</v>
      </c>
      <c r="H585" s="1962">
        <v>0</v>
      </c>
      <c r="I585" s="1962">
        <v>0</v>
      </c>
    </row>
    <row r="586" spans="1:10" ht="12.75" hidden="1" outlineLevel="2" x14ac:dyDescent="0.2">
      <c r="A586" s="1980">
        <v>9035000</v>
      </c>
      <c r="B586" s="1980" t="s">
        <v>1766</v>
      </c>
      <c r="C586" s="1980" t="s">
        <v>1752</v>
      </c>
      <c r="D586" s="1980" t="s">
        <v>1753</v>
      </c>
      <c r="E586" s="1980" t="s">
        <v>919</v>
      </c>
      <c r="F586" s="1962">
        <v>23.557580000000002</v>
      </c>
      <c r="G586" s="1962">
        <v>0</v>
      </c>
      <c r="H586" s="1962">
        <v>0</v>
      </c>
      <c r="I586" s="1962">
        <v>23.557580000000002</v>
      </c>
    </row>
    <row r="587" spans="1:10" ht="12.75" hidden="1" outlineLevel="2" x14ac:dyDescent="0.2">
      <c r="A587" s="1980">
        <v>9035000</v>
      </c>
      <c r="B587" s="1980" t="s">
        <v>1766</v>
      </c>
      <c r="C587" s="1980" t="s">
        <v>1752</v>
      </c>
      <c r="D587" s="1980" t="s">
        <v>1753</v>
      </c>
      <c r="E587" s="1980" t="s">
        <v>912</v>
      </c>
      <c r="F587" s="1962">
        <v>95.190939999999998</v>
      </c>
      <c r="G587" s="1962">
        <v>95.190939999999998</v>
      </c>
      <c r="H587" s="1962">
        <v>0</v>
      </c>
      <c r="I587" s="1962">
        <v>0</v>
      </c>
    </row>
    <row r="588" spans="1:10" ht="12.75" hidden="1" outlineLevel="2" x14ac:dyDescent="0.2">
      <c r="A588" s="1980">
        <v>9035000</v>
      </c>
      <c r="B588" s="1980" t="s">
        <v>1766</v>
      </c>
      <c r="C588" s="1980" t="s">
        <v>1752</v>
      </c>
      <c r="D588" s="1980" t="s">
        <v>1753</v>
      </c>
      <c r="E588" s="1980" t="s">
        <v>920</v>
      </c>
      <c r="F588" s="1962">
        <v>100.27578</v>
      </c>
      <c r="G588" s="1962">
        <v>0</v>
      </c>
      <c r="H588" s="1962">
        <v>0</v>
      </c>
      <c r="I588" s="1962">
        <v>0</v>
      </c>
    </row>
    <row r="589" spans="1:10" ht="12.75" hidden="1" outlineLevel="2" x14ac:dyDescent="0.2">
      <c r="A589" s="1980">
        <v>9035000</v>
      </c>
      <c r="B589" s="1980" t="s">
        <v>1766</v>
      </c>
      <c r="C589" s="1980" t="s">
        <v>1752</v>
      </c>
      <c r="D589" s="1980" t="s">
        <v>1753</v>
      </c>
      <c r="E589" s="1980" t="s">
        <v>921</v>
      </c>
      <c r="F589" s="1962">
        <v>30.614820000000002</v>
      </c>
      <c r="G589" s="1962">
        <v>0</v>
      </c>
      <c r="H589" s="1962">
        <v>30.614820000000002</v>
      </c>
      <c r="I589" s="1962">
        <v>0</v>
      </c>
    </row>
    <row r="590" spans="1:10" ht="12.75" hidden="1" outlineLevel="2" x14ac:dyDescent="0.2">
      <c r="A590" s="1980">
        <v>9035000</v>
      </c>
      <c r="B590" s="1980" t="s">
        <v>1766</v>
      </c>
      <c r="C590" s="1980" t="s">
        <v>1752</v>
      </c>
      <c r="D590" s="1980" t="s">
        <v>1753</v>
      </c>
      <c r="E590" s="1980" t="s">
        <v>922</v>
      </c>
      <c r="F590" s="1962">
        <v>12.894869999999999</v>
      </c>
      <c r="G590" s="1962">
        <v>0</v>
      </c>
      <c r="H590" s="1962">
        <v>0</v>
      </c>
      <c r="I590" s="1962">
        <v>0</v>
      </c>
    </row>
    <row r="591" spans="1:10" ht="12.75" hidden="1" outlineLevel="2" x14ac:dyDescent="0.2">
      <c r="A591" s="1980">
        <v>9035000</v>
      </c>
      <c r="B591" s="1980" t="s">
        <v>1766</v>
      </c>
      <c r="C591" s="1980" t="s">
        <v>1752</v>
      </c>
      <c r="D591" s="1980" t="s">
        <v>1753</v>
      </c>
      <c r="E591" s="1980" t="s">
        <v>923</v>
      </c>
      <c r="F591" s="1962">
        <v>4.2839</v>
      </c>
      <c r="G591" s="1962">
        <v>0</v>
      </c>
      <c r="H591" s="1962">
        <v>0</v>
      </c>
      <c r="I591" s="1962">
        <v>0</v>
      </c>
    </row>
    <row r="592" spans="1:10" ht="13.5" outlineLevel="1" collapsed="1" thickBot="1" x14ac:dyDescent="0.25">
      <c r="A592" s="1981" t="s">
        <v>1767</v>
      </c>
      <c r="B592" s="1981"/>
      <c r="C592" s="1981"/>
      <c r="D592" s="1981"/>
      <c r="E592" s="1981"/>
      <c r="F592" s="1965">
        <f t="shared" ref="F592:I592" si="205">SUBTOTAL(9,F585:F591)</f>
        <v>283.78682000000003</v>
      </c>
      <c r="G592" s="1965">
        <f t="shared" si="205"/>
        <v>95.190939999999998</v>
      </c>
      <c r="H592" s="1965">
        <f t="shared" si="205"/>
        <v>30.614820000000002</v>
      </c>
      <c r="I592" s="1965">
        <f t="shared" si="205"/>
        <v>23.557580000000002</v>
      </c>
      <c r="J592" s="1953" t="str">
        <f>LEFT(A592,3)&amp;"*"</f>
        <v>903*</v>
      </c>
    </row>
    <row r="593" spans="1:10" ht="12.75" hidden="1" outlineLevel="2" x14ac:dyDescent="0.2">
      <c r="A593" s="1982">
        <v>9036000</v>
      </c>
      <c r="B593" s="1982" t="s">
        <v>1768</v>
      </c>
      <c r="C593" s="1982" t="s">
        <v>1752</v>
      </c>
      <c r="D593" s="1982" t="s">
        <v>1753</v>
      </c>
      <c r="E593" s="1982" t="s">
        <v>1754</v>
      </c>
      <c r="F593" s="1968">
        <v>8912.0671299999995</v>
      </c>
      <c r="G593" s="1962">
        <v>2716.6325917446266</v>
      </c>
      <c r="H593" s="1962">
        <v>594.52290260410246</v>
      </c>
      <c r="I593" s="1962">
        <v>380.56014028050259</v>
      </c>
    </row>
    <row r="594" spans="1:10" ht="12.75" hidden="1" outlineLevel="2" x14ac:dyDescent="0.2">
      <c r="A594" s="1980">
        <v>9036000</v>
      </c>
      <c r="B594" s="1980" t="s">
        <v>1768</v>
      </c>
      <c r="C594" s="1980" t="s">
        <v>1752</v>
      </c>
      <c r="D594" s="1980" t="s">
        <v>1753</v>
      </c>
      <c r="E594" s="1980" t="s">
        <v>912</v>
      </c>
      <c r="F594" s="1962">
        <v>5.1885000000000003</v>
      </c>
      <c r="G594" s="1962">
        <v>5.1885000000000003</v>
      </c>
      <c r="H594" s="1962">
        <v>0</v>
      </c>
      <c r="I594" s="1962">
        <v>0</v>
      </c>
    </row>
    <row r="595" spans="1:10" ht="12.75" hidden="1" outlineLevel="2" x14ac:dyDescent="0.2">
      <c r="A595" s="1980">
        <v>9036000</v>
      </c>
      <c r="B595" s="1980" t="s">
        <v>1768</v>
      </c>
      <c r="C595" s="1980" t="s">
        <v>1752</v>
      </c>
      <c r="D595" s="1980" t="s">
        <v>1753</v>
      </c>
      <c r="E595" s="1980" t="s">
        <v>921</v>
      </c>
      <c r="F595" s="1962">
        <v>542.24055999999996</v>
      </c>
      <c r="G595" s="1962">
        <v>0</v>
      </c>
      <c r="H595" s="1962">
        <v>542.24055999999996</v>
      </c>
      <c r="I595" s="1962">
        <v>0</v>
      </c>
    </row>
    <row r="596" spans="1:10" ht="13.5" outlineLevel="1" collapsed="1" thickBot="1" x14ac:dyDescent="0.25">
      <c r="A596" s="1981" t="s">
        <v>1769</v>
      </c>
      <c r="B596" s="1981"/>
      <c r="C596" s="1981"/>
      <c r="D596" s="1981"/>
      <c r="E596" s="1981"/>
      <c r="F596" s="1965">
        <f t="shared" ref="F596:I596" si="206">SUBTOTAL(9,F593:F595)</f>
        <v>9459.4961899999998</v>
      </c>
      <c r="G596" s="1965">
        <f t="shared" si="206"/>
        <v>2721.8210917446268</v>
      </c>
      <c r="H596" s="1965">
        <f t="shared" si="206"/>
        <v>1136.7634626041024</v>
      </c>
      <c r="I596" s="1965">
        <f t="shared" si="206"/>
        <v>380.56014028050259</v>
      </c>
      <c r="J596" s="1953" t="str">
        <f>LEFT(A596,3)&amp;"*"</f>
        <v>903*</v>
      </c>
    </row>
    <row r="597" spans="1:10" ht="12.75" hidden="1" outlineLevel="2" x14ac:dyDescent="0.2">
      <c r="A597" s="1982">
        <v>9040000</v>
      </c>
      <c r="B597" s="1982" t="s">
        <v>1770</v>
      </c>
      <c r="C597" s="1982" t="s">
        <v>1752</v>
      </c>
      <c r="D597" s="1982" t="s">
        <v>1753</v>
      </c>
      <c r="E597" s="1982" t="s">
        <v>918</v>
      </c>
      <c r="F597" s="1968">
        <v>1941.4211700000001</v>
      </c>
      <c r="G597" s="1962">
        <v>0</v>
      </c>
      <c r="H597" s="1962">
        <v>0</v>
      </c>
      <c r="I597" s="1962">
        <v>0</v>
      </c>
    </row>
    <row r="598" spans="1:10" ht="12.75" hidden="1" outlineLevel="2" x14ac:dyDescent="0.2">
      <c r="A598" s="1980">
        <v>9040000</v>
      </c>
      <c r="B598" s="1980" t="s">
        <v>1770</v>
      </c>
      <c r="C598" s="1980" t="s">
        <v>1752</v>
      </c>
      <c r="D598" s="1980" t="s">
        <v>1753</v>
      </c>
      <c r="E598" s="1980" t="s">
        <v>1754</v>
      </c>
      <c r="F598" s="1962">
        <v>-36.965139999999998</v>
      </c>
      <c r="G598" s="1962">
        <v>-11.26794744895542</v>
      </c>
      <c r="H598" s="1962">
        <v>-2.4659399449527051</v>
      </c>
      <c r="I598" s="1962">
        <v>-1.5784731711158484</v>
      </c>
    </row>
    <row r="599" spans="1:10" ht="12.75" hidden="1" outlineLevel="2" x14ac:dyDescent="0.2">
      <c r="A599" s="1980">
        <v>9040000</v>
      </c>
      <c r="B599" s="1980" t="s">
        <v>1770</v>
      </c>
      <c r="C599" s="1980" t="s">
        <v>1752</v>
      </c>
      <c r="D599" s="1980" t="s">
        <v>1753</v>
      </c>
      <c r="E599" s="1980" t="s">
        <v>919</v>
      </c>
      <c r="F599" s="1962">
        <v>508.01970999999998</v>
      </c>
      <c r="G599" s="1962">
        <v>0</v>
      </c>
      <c r="H599" s="1962">
        <v>0</v>
      </c>
      <c r="I599" s="1962">
        <v>508.01970999999998</v>
      </c>
    </row>
    <row r="600" spans="1:10" ht="12.75" hidden="1" outlineLevel="2" x14ac:dyDescent="0.2">
      <c r="A600" s="1980">
        <v>9040000</v>
      </c>
      <c r="B600" s="1980" t="s">
        <v>1770</v>
      </c>
      <c r="C600" s="1980" t="s">
        <v>1752</v>
      </c>
      <c r="D600" s="1980" t="s">
        <v>1753</v>
      </c>
      <c r="E600" s="1980" t="s">
        <v>912</v>
      </c>
      <c r="F600" s="1962">
        <v>15368.49048</v>
      </c>
      <c r="G600" s="1962">
        <v>15368.49048</v>
      </c>
      <c r="H600" s="1962">
        <v>0</v>
      </c>
      <c r="I600" s="1962">
        <v>0</v>
      </c>
    </row>
    <row r="601" spans="1:10" ht="12.75" hidden="1" outlineLevel="2" x14ac:dyDescent="0.2">
      <c r="A601" s="1980">
        <v>9040000</v>
      </c>
      <c r="B601" s="1980" t="s">
        <v>1770</v>
      </c>
      <c r="C601" s="1980" t="s">
        <v>1752</v>
      </c>
      <c r="D601" s="1980" t="s">
        <v>1753</v>
      </c>
      <c r="E601" s="1980" t="s">
        <v>920</v>
      </c>
      <c r="F601" s="1962">
        <v>8519.6681900000003</v>
      </c>
      <c r="G601" s="1962">
        <v>0</v>
      </c>
      <c r="H601" s="1962">
        <v>0</v>
      </c>
      <c r="I601" s="1962">
        <v>0</v>
      </c>
    </row>
    <row r="602" spans="1:10" ht="12.75" hidden="1" outlineLevel="2" x14ac:dyDescent="0.2">
      <c r="A602" s="1980">
        <v>9040000</v>
      </c>
      <c r="B602" s="1980" t="s">
        <v>1770</v>
      </c>
      <c r="C602" s="1980" t="s">
        <v>1752</v>
      </c>
      <c r="D602" s="1980" t="s">
        <v>1753</v>
      </c>
      <c r="E602" s="1980" t="s">
        <v>921</v>
      </c>
      <c r="F602" s="1962">
        <v>6244.2488899999998</v>
      </c>
      <c r="G602" s="1962">
        <v>0</v>
      </c>
      <c r="H602" s="1962">
        <v>6244.2488899999998</v>
      </c>
      <c r="I602" s="1962">
        <v>0</v>
      </c>
    </row>
    <row r="603" spans="1:10" ht="12.75" hidden="1" outlineLevel="2" x14ac:dyDescent="0.2">
      <c r="A603" s="1980">
        <v>9040000</v>
      </c>
      <c r="B603" s="1980" t="s">
        <v>1770</v>
      </c>
      <c r="C603" s="1980" t="s">
        <v>1752</v>
      </c>
      <c r="D603" s="1980" t="s">
        <v>1753</v>
      </c>
      <c r="E603" s="1980" t="s">
        <v>922</v>
      </c>
      <c r="F603" s="1962">
        <v>1667.3625400000001</v>
      </c>
      <c r="G603" s="1962">
        <v>0</v>
      </c>
      <c r="H603" s="1962">
        <v>0</v>
      </c>
      <c r="I603" s="1962">
        <v>0</v>
      </c>
    </row>
    <row r="604" spans="1:10" ht="13.5" outlineLevel="1" collapsed="1" thickBot="1" x14ac:dyDescent="0.25">
      <c r="A604" s="1981" t="s">
        <v>1771</v>
      </c>
      <c r="B604" s="1981"/>
      <c r="C604" s="1981"/>
      <c r="D604" s="1981"/>
      <c r="E604" s="1981"/>
      <c r="F604" s="1965">
        <f t="shared" ref="F604:I604" si="207">SUBTOTAL(9,F597:F603)</f>
        <v>34212.245840000003</v>
      </c>
      <c r="G604" s="1965">
        <f t="shared" si="207"/>
        <v>15357.222532551044</v>
      </c>
      <c r="H604" s="1965">
        <f t="shared" si="207"/>
        <v>6241.782950055047</v>
      </c>
      <c r="I604" s="1965">
        <f t="shared" si="207"/>
        <v>506.44123682888414</v>
      </c>
      <c r="J604" s="1953" t="str">
        <f>LEFT(A604,3)&amp;"*"</f>
        <v>904*</v>
      </c>
    </row>
    <row r="605" spans="1:10" ht="12.75" hidden="1" outlineLevel="2" x14ac:dyDescent="0.2">
      <c r="A605" s="1982">
        <v>9042000</v>
      </c>
      <c r="B605" s="1982" t="s">
        <v>1772</v>
      </c>
      <c r="C605" s="1982" t="s">
        <v>1752</v>
      </c>
      <c r="D605" s="1982" t="s">
        <v>1753</v>
      </c>
      <c r="E605" s="1982" t="s">
        <v>918</v>
      </c>
      <c r="F605" s="1968">
        <v>22.107849999999999</v>
      </c>
      <c r="G605" s="1962">
        <v>0</v>
      </c>
      <c r="H605" s="1962">
        <v>0</v>
      </c>
      <c r="I605" s="1962">
        <v>0</v>
      </c>
    </row>
    <row r="606" spans="1:10" ht="12.75" hidden="1" outlineLevel="2" x14ac:dyDescent="0.2">
      <c r="A606" s="1980">
        <v>9042000</v>
      </c>
      <c r="B606" s="1980" t="s">
        <v>1772</v>
      </c>
      <c r="C606" s="1980" t="s">
        <v>1752</v>
      </c>
      <c r="D606" s="1980" t="s">
        <v>1753</v>
      </c>
      <c r="E606" s="1980" t="s">
        <v>919</v>
      </c>
      <c r="F606" s="1962">
        <v>-8.0700000000000008E-3</v>
      </c>
      <c r="G606" s="1962">
        <v>0</v>
      </c>
      <c r="H606" s="1962">
        <v>0</v>
      </c>
      <c r="I606" s="1962">
        <v>-8.0700000000000008E-3</v>
      </c>
    </row>
    <row r="607" spans="1:10" ht="12.75" hidden="1" outlineLevel="2" x14ac:dyDescent="0.2">
      <c r="A607" s="1980">
        <v>9042000</v>
      </c>
      <c r="B607" s="1980" t="s">
        <v>1772</v>
      </c>
      <c r="C607" s="1980" t="s">
        <v>1752</v>
      </c>
      <c r="D607" s="1980" t="s">
        <v>1753</v>
      </c>
      <c r="E607" s="1980" t="s">
        <v>912</v>
      </c>
      <c r="F607" s="1962">
        <v>25.146989999999999</v>
      </c>
      <c r="G607" s="1962">
        <v>25.146989999999999</v>
      </c>
      <c r="H607" s="1962">
        <v>0</v>
      </c>
      <c r="I607" s="1962">
        <v>0</v>
      </c>
    </row>
    <row r="608" spans="1:10" ht="12.75" hidden="1" outlineLevel="2" x14ac:dyDescent="0.2">
      <c r="A608" s="1980">
        <v>9042000</v>
      </c>
      <c r="B608" s="1980" t="s">
        <v>1772</v>
      </c>
      <c r="C608" s="1980" t="s">
        <v>1752</v>
      </c>
      <c r="D608" s="1980" t="s">
        <v>1753</v>
      </c>
      <c r="E608" s="1980" t="s">
        <v>920</v>
      </c>
      <c r="F608" s="1962">
        <v>69.995310000000003</v>
      </c>
      <c r="G608" s="1962">
        <v>0</v>
      </c>
      <c r="H608" s="1962">
        <v>0</v>
      </c>
      <c r="I608" s="1962">
        <v>0</v>
      </c>
    </row>
    <row r="609" spans="1:10" ht="12.75" hidden="1" outlineLevel="2" x14ac:dyDescent="0.2">
      <c r="A609" s="1980">
        <v>9042000</v>
      </c>
      <c r="B609" s="1980" t="s">
        <v>1772</v>
      </c>
      <c r="C609" s="1980" t="s">
        <v>1752</v>
      </c>
      <c r="D609" s="1980" t="s">
        <v>1753</v>
      </c>
      <c r="E609" s="1980" t="s">
        <v>921</v>
      </c>
      <c r="F609" s="1962">
        <v>-0.96338000000000001</v>
      </c>
      <c r="G609" s="1962">
        <v>0</v>
      </c>
      <c r="H609" s="1962">
        <v>-0.96338000000000001</v>
      </c>
      <c r="I609" s="1962">
        <v>0</v>
      </c>
    </row>
    <row r="610" spans="1:10" ht="12.75" hidden="1" outlineLevel="2" x14ac:dyDescent="0.2">
      <c r="A610" s="1980">
        <v>9042000</v>
      </c>
      <c r="B610" s="1980" t="s">
        <v>1772</v>
      </c>
      <c r="C610" s="1980" t="s">
        <v>1752</v>
      </c>
      <c r="D610" s="1980" t="s">
        <v>1753</v>
      </c>
      <c r="E610" s="1980" t="s">
        <v>922</v>
      </c>
      <c r="F610" s="1962">
        <v>-3.7139199999999999</v>
      </c>
      <c r="G610" s="1962">
        <v>0</v>
      </c>
      <c r="H610" s="1962">
        <v>0</v>
      </c>
      <c r="I610" s="1962">
        <v>0</v>
      </c>
    </row>
    <row r="611" spans="1:10" ht="13.5" outlineLevel="1" collapsed="1" thickBot="1" x14ac:dyDescent="0.25">
      <c r="A611" s="1981" t="s">
        <v>1773</v>
      </c>
      <c r="B611" s="1981"/>
      <c r="C611" s="1981"/>
      <c r="D611" s="1981"/>
      <c r="E611" s="1981"/>
      <c r="F611" s="1965">
        <f t="shared" ref="F611:I611" si="208">SUBTOTAL(9,F605:F610)</f>
        <v>112.56478</v>
      </c>
      <c r="G611" s="1965">
        <f t="shared" si="208"/>
        <v>25.146989999999999</v>
      </c>
      <c r="H611" s="1965">
        <f t="shared" si="208"/>
        <v>-0.96338000000000001</v>
      </c>
      <c r="I611" s="1965">
        <f t="shared" si="208"/>
        <v>-8.0700000000000008E-3</v>
      </c>
      <c r="J611" s="1953" t="str">
        <f>LEFT(A611,3)&amp;"*"</f>
        <v>904*</v>
      </c>
    </row>
    <row r="612" spans="1:10" ht="12.75" hidden="1" outlineLevel="2" x14ac:dyDescent="0.2">
      <c r="A612" s="1982">
        <v>9050000</v>
      </c>
      <c r="B612" s="1982" t="s">
        <v>1774</v>
      </c>
      <c r="C612" s="1982" t="s">
        <v>1752</v>
      </c>
      <c r="D612" s="1982" t="s">
        <v>1753</v>
      </c>
      <c r="E612" s="1982" t="s">
        <v>912</v>
      </c>
      <c r="F612" s="1968">
        <v>-1.0000000000000001E-5</v>
      </c>
      <c r="G612" s="1962">
        <v>-1.0000000000000001E-5</v>
      </c>
      <c r="H612" s="1962">
        <v>0</v>
      </c>
      <c r="I612" s="1962">
        <v>0</v>
      </c>
    </row>
    <row r="613" spans="1:10" ht="13.5" outlineLevel="1" collapsed="1" thickBot="1" x14ac:dyDescent="0.25">
      <c r="A613" s="1981" t="s">
        <v>1775</v>
      </c>
      <c r="B613" s="1981"/>
      <c r="C613" s="1981"/>
      <c r="D613" s="1981"/>
      <c r="E613" s="1981"/>
      <c r="F613" s="1965">
        <f t="shared" ref="F613:I613" si="209">SUBTOTAL(9,F612:F612)</f>
        <v>-1.0000000000000001E-5</v>
      </c>
      <c r="G613" s="1965">
        <f t="shared" si="209"/>
        <v>-1.0000000000000001E-5</v>
      </c>
      <c r="H613" s="1965">
        <f t="shared" si="209"/>
        <v>0</v>
      </c>
      <c r="I613" s="1965">
        <f t="shared" si="209"/>
        <v>0</v>
      </c>
      <c r="J613" s="1953" t="str">
        <f>LEFT(A613,3)&amp;"*"</f>
        <v>905*</v>
      </c>
    </row>
    <row r="614" spans="1:10" ht="12.75" hidden="1" outlineLevel="2" x14ac:dyDescent="0.2">
      <c r="A614" s="1982">
        <v>9080000</v>
      </c>
      <c r="B614" s="1982" t="s">
        <v>1776</v>
      </c>
      <c r="C614" s="1982" t="s">
        <v>1777</v>
      </c>
      <c r="D614" s="1982" t="s">
        <v>1778</v>
      </c>
      <c r="E614" s="1982" t="s">
        <v>1754</v>
      </c>
      <c r="F614" s="1968">
        <v>5.1206300000000002</v>
      </c>
      <c r="G614" s="1962">
        <v>1.5609027788220091</v>
      </c>
      <c r="H614" s="1962">
        <v>0.34159659777626084</v>
      </c>
      <c r="I614" s="1962">
        <v>0.21865944709558649</v>
      </c>
    </row>
    <row r="615" spans="1:10" ht="12.75" hidden="1" outlineLevel="2" x14ac:dyDescent="0.2">
      <c r="A615" s="1980">
        <v>9080000</v>
      </c>
      <c r="B615" s="1980" t="s">
        <v>1776</v>
      </c>
      <c r="C615" s="1980" t="s">
        <v>1777</v>
      </c>
      <c r="D615" s="1980" t="s">
        <v>1778</v>
      </c>
      <c r="E615" s="1980" t="s">
        <v>912</v>
      </c>
      <c r="F615" s="1962">
        <v>0.54720000000000002</v>
      </c>
      <c r="G615" s="1962">
        <v>0.54720000000000002</v>
      </c>
      <c r="H615" s="1962">
        <v>0</v>
      </c>
      <c r="I615" s="1962">
        <v>0</v>
      </c>
    </row>
    <row r="616" spans="1:10" ht="12.75" hidden="1" outlineLevel="2" x14ac:dyDescent="0.2">
      <c r="A616" s="1980">
        <v>9080000</v>
      </c>
      <c r="B616" s="1980" t="s">
        <v>1776</v>
      </c>
      <c r="C616" s="1980" t="s">
        <v>1777</v>
      </c>
      <c r="D616" s="1980" t="s">
        <v>1778</v>
      </c>
      <c r="E616" s="1980" t="s">
        <v>920</v>
      </c>
      <c r="F616" s="1962">
        <v>4.827E-2</v>
      </c>
      <c r="G616" s="1962">
        <v>0</v>
      </c>
      <c r="H616" s="1962">
        <v>0</v>
      </c>
      <c r="I616" s="1962">
        <v>0</v>
      </c>
    </row>
    <row r="617" spans="1:10" ht="13.5" outlineLevel="1" collapsed="1" thickBot="1" x14ac:dyDescent="0.25">
      <c r="A617" s="2036" t="s">
        <v>1779</v>
      </c>
      <c r="B617" s="2036"/>
      <c r="C617" s="1981"/>
      <c r="D617" s="1981"/>
      <c r="E617" s="1981"/>
      <c r="F617" s="2037">
        <f t="shared" ref="F617:I617" si="210">SUBTOTAL(9,F614:F616)</f>
        <v>5.7161</v>
      </c>
      <c r="G617" s="2037">
        <f t="shared" si="210"/>
        <v>2.1081027788220092</v>
      </c>
      <c r="H617" s="2037">
        <f t="shared" si="210"/>
        <v>0.34159659777626084</v>
      </c>
      <c r="I617" s="2037">
        <f t="shared" si="210"/>
        <v>0.21865944709558649</v>
      </c>
      <c r="J617" s="1953" t="s">
        <v>5466</v>
      </c>
    </row>
    <row r="618" spans="1:10" ht="12.75" hidden="1" outlineLevel="2" x14ac:dyDescent="0.2">
      <c r="A618" s="1982">
        <v>9081000</v>
      </c>
      <c r="B618" s="1982" t="s">
        <v>1780</v>
      </c>
      <c r="C618" s="1982" t="s">
        <v>1777</v>
      </c>
      <c r="D618" s="1982" t="s">
        <v>1778</v>
      </c>
      <c r="E618" s="1982" t="s">
        <v>1754</v>
      </c>
      <c r="F618" s="1968">
        <v>578.83933000000002</v>
      </c>
      <c r="G618" s="1962">
        <v>176.44546055631238</v>
      </c>
      <c r="H618" s="1962">
        <v>38.614300542529008</v>
      </c>
      <c r="I618" s="1962">
        <v>24.717405447177342</v>
      </c>
    </row>
    <row r="619" spans="1:10" ht="12.75" hidden="1" outlineLevel="2" x14ac:dyDescent="0.2">
      <c r="A619" s="1980">
        <v>9081000</v>
      </c>
      <c r="B619" s="1980" t="s">
        <v>1780</v>
      </c>
      <c r="C619" s="1980" t="s">
        <v>1777</v>
      </c>
      <c r="D619" s="1980" t="s">
        <v>1778</v>
      </c>
      <c r="E619" s="1980" t="s">
        <v>936</v>
      </c>
      <c r="F619" s="1962">
        <v>8932.4719100000002</v>
      </c>
      <c r="G619" s="1962">
        <v>0</v>
      </c>
      <c r="H619" s="1962">
        <v>0</v>
      </c>
      <c r="I619" s="1962">
        <v>0</v>
      </c>
    </row>
    <row r="620" spans="1:10" ht="12.75" hidden="1" outlineLevel="2" x14ac:dyDescent="0.2">
      <c r="A620" s="1980">
        <v>9081000</v>
      </c>
      <c r="B620" s="1980" t="s">
        <v>1780</v>
      </c>
      <c r="C620" s="1980" t="s">
        <v>1777</v>
      </c>
      <c r="D620" s="1980" t="s">
        <v>1778</v>
      </c>
      <c r="E620" s="1980" t="s">
        <v>920</v>
      </c>
      <c r="F620" s="1962">
        <v>2173.61067</v>
      </c>
      <c r="G620" s="1962">
        <v>0</v>
      </c>
      <c r="H620" s="1962">
        <v>0</v>
      </c>
      <c r="I620" s="1962">
        <v>0</v>
      </c>
    </row>
    <row r="621" spans="1:10" ht="13.5" outlineLevel="1" collapsed="1" thickBot="1" x14ac:dyDescent="0.25">
      <c r="A621" s="2036" t="s">
        <v>1781</v>
      </c>
      <c r="B621" s="2036"/>
      <c r="C621" s="1981"/>
      <c r="D621" s="1981"/>
      <c r="E621" s="1981"/>
      <c r="F621" s="2037">
        <f t="shared" ref="F621:I621" si="211">SUBTOTAL(9,F618:F620)</f>
        <v>11684.921910000001</v>
      </c>
      <c r="G621" s="2037">
        <f t="shared" si="211"/>
        <v>176.44546055631238</v>
      </c>
      <c r="H621" s="2037">
        <f t="shared" si="211"/>
        <v>38.614300542529008</v>
      </c>
      <c r="I621" s="2037">
        <f t="shared" si="211"/>
        <v>24.717405447177342</v>
      </c>
      <c r="J621" s="1953" t="s">
        <v>5466</v>
      </c>
    </row>
    <row r="622" spans="1:10" ht="12.75" hidden="1" outlineLevel="2" x14ac:dyDescent="0.2">
      <c r="A622" s="1982">
        <v>9084000</v>
      </c>
      <c r="B622" s="1982" t="s">
        <v>1782</v>
      </c>
      <c r="C622" s="1982" t="s">
        <v>1777</v>
      </c>
      <c r="D622" s="1982" t="s">
        <v>1778</v>
      </c>
      <c r="E622" s="1982" t="s">
        <v>918</v>
      </c>
      <c r="F622" s="1968">
        <v>-8.9097299999999997</v>
      </c>
      <c r="G622" s="1962">
        <v>0</v>
      </c>
      <c r="H622" s="1962">
        <v>0</v>
      </c>
      <c r="I622" s="1962">
        <v>0</v>
      </c>
    </row>
    <row r="623" spans="1:10" ht="12.75" hidden="1" outlineLevel="2" x14ac:dyDescent="0.2">
      <c r="A623" s="1980">
        <v>9084000</v>
      </c>
      <c r="B623" s="1980" t="s">
        <v>1782</v>
      </c>
      <c r="C623" s="1980" t="s">
        <v>1777</v>
      </c>
      <c r="D623" s="1980" t="s">
        <v>1778</v>
      </c>
      <c r="E623" s="1980" t="s">
        <v>1754</v>
      </c>
      <c r="F623" s="1962">
        <v>2151.0842499999999</v>
      </c>
      <c r="G623" s="1962">
        <v>655.7070874687796</v>
      </c>
      <c r="H623" s="1962">
        <v>143.4985658659383</v>
      </c>
      <c r="I623" s="1962">
        <v>91.854887535522835</v>
      </c>
    </row>
    <row r="624" spans="1:10" ht="12.75" hidden="1" outlineLevel="2" x14ac:dyDescent="0.2">
      <c r="A624" s="1980">
        <v>9084000</v>
      </c>
      <c r="B624" s="1980" t="s">
        <v>1782</v>
      </c>
      <c r="C624" s="1980" t="s">
        <v>1777</v>
      </c>
      <c r="D624" s="1980" t="s">
        <v>1778</v>
      </c>
      <c r="E624" s="1980" t="s">
        <v>919</v>
      </c>
      <c r="F624" s="1962">
        <v>0.84226000000000001</v>
      </c>
      <c r="G624" s="1962">
        <v>0</v>
      </c>
      <c r="H624" s="1962">
        <v>0</v>
      </c>
      <c r="I624" s="1962">
        <v>0.84226000000000001</v>
      </c>
    </row>
    <row r="625" spans="1:18" ht="12.75" hidden="1" outlineLevel="2" x14ac:dyDescent="0.2">
      <c r="A625" s="1980">
        <v>9084000</v>
      </c>
      <c r="B625" s="1980" t="s">
        <v>1782</v>
      </c>
      <c r="C625" s="1980" t="s">
        <v>1777</v>
      </c>
      <c r="D625" s="1980" t="s">
        <v>1778</v>
      </c>
      <c r="E625" s="1980" t="s">
        <v>936</v>
      </c>
      <c r="F625" s="1962">
        <v>188.62574000000001</v>
      </c>
      <c r="G625" s="1962">
        <v>0</v>
      </c>
      <c r="H625" s="1962">
        <v>0</v>
      </c>
      <c r="I625" s="1962">
        <v>0</v>
      </c>
    </row>
    <row r="626" spans="1:18" ht="12.75" hidden="1" outlineLevel="2" x14ac:dyDescent="0.2">
      <c r="A626" s="1980">
        <v>9084000</v>
      </c>
      <c r="B626" s="1980" t="s">
        <v>1782</v>
      </c>
      <c r="C626" s="1980" t="s">
        <v>1777</v>
      </c>
      <c r="D626" s="1980" t="s">
        <v>1778</v>
      </c>
      <c r="E626" s="1980" t="s">
        <v>920</v>
      </c>
      <c r="F626" s="1962">
        <v>3.3709999999999997E-2</v>
      </c>
      <c r="G626" s="1962">
        <v>0</v>
      </c>
      <c r="H626" s="1962">
        <v>0</v>
      </c>
      <c r="I626" s="1962">
        <v>0</v>
      </c>
    </row>
    <row r="627" spans="1:18" ht="12.75" hidden="1" outlineLevel="2" x14ac:dyDescent="0.2">
      <c r="A627" s="1980">
        <v>9084000</v>
      </c>
      <c r="B627" s="1980" t="s">
        <v>1782</v>
      </c>
      <c r="C627" s="1980" t="s">
        <v>1777</v>
      </c>
      <c r="D627" s="1980" t="s">
        <v>1778</v>
      </c>
      <c r="E627" s="1980" t="s">
        <v>921</v>
      </c>
      <c r="F627" s="1962">
        <v>73.870329999999996</v>
      </c>
      <c r="G627" s="1962">
        <v>0</v>
      </c>
      <c r="H627" s="1962">
        <v>73.870329999999996</v>
      </c>
      <c r="I627" s="1962">
        <v>0</v>
      </c>
    </row>
    <row r="628" spans="1:18" ht="12.75" hidden="1" outlineLevel="2" x14ac:dyDescent="0.2">
      <c r="A628" s="1980">
        <v>9084000</v>
      </c>
      <c r="B628" s="1980" t="s">
        <v>1782</v>
      </c>
      <c r="C628" s="1980" t="s">
        <v>1777</v>
      </c>
      <c r="D628" s="1980" t="s">
        <v>1778</v>
      </c>
      <c r="E628" s="1980" t="s">
        <v>922</v>
      </c>
      <c r="F628" s="1962">
        <v>0.57433999999999996</v>
      </c>
      <c r="G628" s="1962">
        <v>0</v>
      </c>
      <c r="H628" s="1962">
        <v>0</v>
      </c>
      <c r="I628" s="1962">
        <v>0</v>
      </c>
    </row>
    <row r="629" spans="1:18" ht="13.5" outlineLevel="1" collapsed="1" thickBot="1" x14ac:dyDescent="0.25">
      <c r="A629" s="2038" t="s">
        <v>1783</v>
      </c>
      <c r="B629" s="2038"/>
      <c r="C629" s="1981"/>
      <c r="D629" s="1981"/>
      <c r="E629" s="1981"/>
      <c r="F629" s="2039">
        <f t="shared" ref="F629:I629" si="212">SUBTOTAL(9,F622:F628)</f>
        <v>2406.1209000000003</v>
      </c>
      <c r="G629" s="2039">
        <f t="shared" si="212"/>
        <v>655.7070874687796</v>
      </c>
      <c r="H629" s="2039">
        <f t="shared" si="212"/>
        <v>217.3688958659383</v>
      </c>
      <c r="I629" s="2039">
        <f t="shared" si="212"/>
        <v>92.697147535522831</v>
      </c>
      <c r="J629" s="1953" t="s">
        <v>5467</v>
      </c>
    </row>
    <row r="630" spans="1:18" ht="12.75" outlineLevel="2" x14ac:dyDescent="0.2">
      <c r="A630" s="1982">
        <v>9085100</v>
      </c>
      <c r="B630" s="1982" t="s">
        <v>1784</v>
      </c>
      <c r="C630" s="1982" t="s">
        <v>1777</v>
      </c>
      <c r="D630" s="1982" t="s">
        <v>1778</v>
      </c>
      <c r="E630" s="1982" t="s">
        <v>936</v>
      </c>
      <c r="F630" s="1968">
        <v>138710.49559999999</v>
      </c>
      <c r="G630" s="1962">
        <v>63787.85396</v>
      </c>
      <c r="H630" s="1962">
        <v>21027.083930000001</v>
      </c>
      <c r="I630" s="1962">
        <v>6851.7468200000003</v>
      </c>
      <c r="J630" s="2040" t="s">
        <v>5468</v>
      </c>
      <c r="K630" s="2041"/>
      <c r="L630" s="2041"/>
      <c r="M630" s="2041"/>
      <c r="N630" s="2041"/>
      <c r="O630" s="2041"/>
      <c r="P630" s="2041"/>
      <c r="Q630" s="2041"/>
      <c r="R630" s="2041"/>
    </row>
    <row r="631" spans="1:18" ht="13.5" outlineLevel="1" thickBot="1" x14ac:dyDescent="0.25">
      <c r="A631" s="2038" t="s">
        <v>1785</v>
      </c>
      <c r="B631" s="2038"/>
      <c r="C631" s="1981"/>
      <c r="D631" s="1981"/>
      <c r="E631" s="1981"/>
      <c r="F631" s="2039">
        <f t="shared" ref="F631:I631" si="213">SUBTOTAL(9,F630:F630)</f>
        <v>138710.49559999999</v>
      </c>
      <c r="G631" s="2039">
        <f t="shared" si="213"/>
        <v>63787.85396</v>
      </c>
      <c r="H631" s="2039">
        <f t="shared" si="213"/>
        <v>21027.083930000001</v>
      </c>
      <c r="I631" s="2039">
        <f t="shared" si="213"/>
        <v>6851.7468200000003</v>
      </c>
      <c r="J631" s="1953" t="s">
        <v>5467</v>
      </c>
    </row>
    <row r="632" spans="1:18" ht="12.75" hidden="1" outlineLevel="2" x14ac:dyDescent="0.2">
      <c r="A632" s="1982">
        <v>9086000</v>
      </c>
      <c r="B632" s="1982" t="s">
        <v>1786</v>
      </c>
      <c r="C632" s="1982" t="s">
        <v>1777</v>
      </c>
      <c r="D632" s="1982" t="s">
        <v>1778</v>
      </c>
      <c r="E632" s="1982" t="s">
        <v>1754</v>
      </c>
      <c r="F632" s="1968">
        <v>147.11908</v>
      </c>
      <c r="G632" s="1962">
        <v>44.845767178987245</v>
      </c>
      <c r="H632" s="1962">
        <v>9.8142957401674273</v>
      </c>
      <c r="I632" s="1962">
        <v>6.2822302509674302</v>
      </c>
    </row>
    <row r="633" spans="1:18" ht="12.75" hidden="1" outlineLevel="2" x14ac:dyDescent="0.2">
      <c r="A633" s="1980">
        <v>9086000</v>
      </c>
      <c r="B633" s="1980" t="s">
        <v>1786</v>
      </c>
      <c r="C633" s="1980" t="s">
        <v>1777</v>
      </c>
      <c r="D633" s="1980" t="s">
        <v>1778</v>
      </c>
      <c r="E633" s="1980" t="s">
        <v>919</v>
      </c>
      <c r="F633" s="1962">
        <v>17.872140000000002</v>
      </c>
      <c r="G633" s="1962">
        <v>0</v>
      </c>
      <c r="H633" s="1962">
        <v>0</v>
      </c>
      <c r="I633" s="1962">
        <v>17.872140000000002</v>
      </c>
    </row>
    <row r="634" spans="1:18" ht="12.75" hidden="1" outlineLevel="2" x14ac:dyDescent="0.2">
      <c r="A634" s="1980">
        <v>9086000</v>
      </c>
      <c r="B634" s="1980" t="s">
        <v>1786</v>
      </c>
      <c r="C634" s="1980" t="s">
        <v>1777</v>
      </c>
      <c r="D634" s="1980" t="s">
        <v>1778</v>
      </c>
      <c r="E634" s="1980" t="s">
        <v>912</v>
      </c>
      <c r="F634" s="1962">
        <v>2454.9645999999998</v>
      </c>
      <c r="G634" s="1962">
        <v>2454.9645999999998</v>
      </c>
      <c r="H634" s="1962">
        <v>0</v>
      </c>
      <c r="I634" s="1962">
        <v>0</v>
      </c>
    </row>
    <row r="635" spans="1:18" ht="12.75" hidden="1" outlineLevel="2" x14ac:dyDescent="0.2">
      <c r="A635" s="1980">
        <v>9086000</v>
      </c>
      <c r="B635" s="1980" t="s">
        <v>1786</v>
      </c>
      <c r="C635" s="1980" t="s">
        <v>1777</v>
      </c>
      <c r="D635" s="1980" t="s">
        <v>1778</v>
      </c>
      <c r="E635" s="1980" t="s">
        <v>920</v>
      </c>
      <c r="F635" s="1962">
        <v>3147.33475</v>
      </c>
      <c r="G635" s="1962">
        <v>0</v>
      </c>
      <c r="H635" s="1962">
        <v>0</v>
      </c>
      <c r="I635" s="1962">
        <v>0</v>
      </c>
    </row>
    <row r="636" spans="1:18" ht="12.75" hidden="1" outlineLevel="2" x14ac:dyDescent="0.2">
      <c r="A636" s="1980">
        <v>9086000</v>
      </c>
      <c r="B636" s="1980" t="s">
        <v>1786</v>
      </c>
      <c r="C636" s="1980" t="s">
        <v>1777</v>
      </c>
      <c r="D636" s="1980" t="s">
        <v>1778</v>
      </c>
      <c r="E636" s="1980" t="s">
        <v>921</v>
      </c>
      <c r="F636" s="1962">
        <v>177.83431999999999</v>
      </c>
      <c r="G636" s="1962">
        <v>0</v>
      </c>
      <c r="H636" s="1962">
        <v>177.83431999999999</v>
      </c>
      <c r="I636" s="1962">
        <v>0</v>
      </c>
    </row>
    <row r="637" spans="1:18" ht="12.75" hidden="1" outlineLevel="2" x14ac:dyDescent="0.2">
      <c r="A637" s="1980">
        <v>9086000</v>
      </c>
      <c r="B637" s="1980" t="s">
        <v>1786</v>
      </c>
      <c r="C637" s="1980" t="s">
        <v>1777</v>
      </c>
      <c r="D637" s="1980" t="s">
        <v>1778</v>
      </c>
      <c r="E637" s="1980" t="s">
        <v>922</v>
      </c>
      <c r="F637" s="1962">
        <v>979.26714000000004</v>
      </c>
      <c r="G637" s="1962">
        <v>0</v>
      </c>
      <c r="H637" s="1962">
        <v>0</v>
      </c>
      <c r="I637" s="1962">
        <v>0</v>
      </c>
    </row>
    <row r="638" spans="1:18" ht="13.5" outlineLevel="1" collapsed="1" thickBot="1" x14ac:dyDescent="0.25">
      <c r="A638" s="2036" t="s">
        <v>1787</v>
      </c>
      <c r="B638" s="2036"/>
      <c r="C638" s="1981"/>
      <c r="D638" s="1981"/>
      <c r="E638" s="1981"/>
      <c r="F638" s="2037">
        <f t="shared" ref="F638:I638" si="214">SUBTOTAL(9,F632:F637)</f>
        <v>6924.3920299999991</v>
      </c>
      <c r="G638" s="2037">
        <f t="shared" si="214"/>
        <v>2499.8103671789872</v>
      </c>
      <c r="H638" s="2037">
        <f t="shared" si="214"/>
        <v>187.64861574016743</v>
      </c>
      <c r="I638" s="2037">
        <f t="shared" si="214"/>
        <v>24.154370250967432</v>
      </c>
      <c r="J638" s="1953" t="s">
        <v>5466</v>
      </c>
    </row>
    <row r="639" spans="1:18" ht="12.75" hidden="1" outlineLevel="2" x14ac:dyDescent="0.2">
      <c r="A639" s="1982">
        <v>9089300</v>
      </c>
      <c r="B639" s="1982" t="s">
        <v>1788</v>
      </c>
      <c r="C639" s="1982" t="s">
        <v>1777</v>
      </c>
      <c r="D639" s="1982" t="s">
        <v>1778</v>
      </c>
      <c r="E639" s="1982" t="s">
        <v>936</v>
      </c>
      <c r="F639" s="1968">
        <v>10.00454</v>
      </c>
      <c r="G639" s="1962">
        <v>0</v>
      </c>
      <c r="H639" s="1962">
        <v>0</v>
      </c>
      <c r="I639" s="1962">
        <v>0</v>
      </c>
    </row>
    <row r="640" spans="1:18" ht="13.5" outlineLevel="1" collapsed="1" thickBot="1" x14ac:dyDescent="0.25">
      <c r="A640" s="2038" t="s">
        <v>1789</v>
      </c>
      <c r="B640" s="2038"/>
      <c r="C640" s="1981"/>
      <c r="D640" s="1981"/>
      <c r="E640" s="1981"/>
      <c r="F640" s="2039">
        <f t="shared" ref="F640:I640" si="215">SUBTOTAL(9,F639:F639)</f>
        <v>10.00454</v>
      </c>
      <c r="G640" s="2039">
        <f t="shared" si="215"/>
        <v>0</v>
      </c>
      <c r="H640" s="2039">
        <f t="shared" si="215"/>
        <v>0</v>
      </c>
      <c r="I640" s="2039">
        <f t="shared" si="215"/>
        <v>0</v>
      </c>
      <c r="J640" s="1953" t="s">
        <v>5467</v>
      </c>
    </row>
    <row r="641" spans="1:10" ht="12.75" hidden="1" outlineLevel="2" x14ac:dyDescent="0.2">
      <c r="A641" s="1982">
        <v>9089500</v>
      </c>
      <c r="B641" s="1982" t="s">
        <v>1790</v>
      </c>
      <c r="C641" s="1982" t="s">
        <v>1777</v>
      </c>
      <c r="D641" s="1982" t="s">
        <v>1778</v>
      </c>
      <c r="E641" s="1982" t="s">
        <v>936</v>
      </c>
      <c r="F641" s="1968">
        <v>4941.2287800000004</v>
      </c>
      <c r="G641" s="1962">
        <v>0</v>
      </c>
      <c r="H641" s="1962">
        <v>0</v>
      </c>
      <c r="I641" s="1962">
        <v>0</v>
      </c>
    </row>
    <row r="642" spans="1:10" ht="13.5" outlineLevel="1" collapsed="1" thickBot="1" x14ac:dyDescent="0.25">
      <c r="A642" s="2038" t="s">
        <v>1791</v>
      </c>
      <c r="B642" s="2038"/>
      <c r="C642" s="1981"/>
      <c r="D642" s="1981"/>
      <c r="E642" s="1981"/>
      <c r="F642" s="2039">
        <f t="shared" ref="F642:I642" si="216">SUBTOTAL(9,F641:F641)</f>
        <v>4941.2287800000004</v>
      </c>
      <c r="G642" s="2039">
        <f t="shared" si="216"/>
        <v>0</v>
      </c>
      <c r="H642" s="2039">
        <f t="shared" si="216"/>
        <v>0</v>
      </c>
      <c r="I642" s="2039">
        <f t="shared" si="216"/>
        <v>0</v>
      </c>
      <c r="J642" s="1953" t="s">
        <v>5467</v>
      </c>
    </row>
    <row r="643" spans="1:10" ht="12.75" hidden="1" outlineLevel="2" x14ac:dyDescent="0.2">
      <c r="A643" s="1982">
        <v>9089600</v>
      </c>
      <c r="B643" s="1982" t="s">
        <v>1792</v>
      </c>
      <c r="C643" s="1982" t="s">
        <v>1777</v>
      </c>
      <c r="D643" s="1982" t="s">
        <v>1778</v>
      </c>
      <c r="E643" s="1982" t="s">
        <v>936</v>
      </c>
      <c r="F643" s="1968">
        <v>4084.5596399999999</v>
      </c>
      <c r="G643" s="1962">
        <v>0</v>
      </c>
      <c r="H643" s="1962">
        <v>0</v>
      </c>
      <c r="I643" s="1962">
        <v>0</v>
      </c>
    </row>
    <row r="644" spans="1:10" ht="13.5" outlineLevel="1" collapsed="1" thickBot="1" x14ac:dyDescent="0.25">
      <c r="A644" s="2038" t="s">
        <v>1793</v>
      </c>
      <c r="B644" s="2038"/>
      <c r="C644" s="1981"/>
      <c r="D644" s="1981"/>
      <c r="E644" s="1981"/>
      <c r="F644" s="2039">
        <f t="shared" ref="F644:I644" si="217">SUBTOTAL(9,F643:F643)</f>
        <v>4084.5596399999999</v>
      </c>
      <c r="G644" s="2039">
        <f t="shared" si="217"/>
        <v>0</v>
      </c>
      <c r="H644" s="2039">
        <f t="shared" si="217"/>
        <v>0</v>
      </c>
      <c r="I644" s="2039">
        <f t="shared" si="217"/>
        <v>0</v>
      </c>
      <c r="J644" s="1953" t="s">
        <v>5467</v>
      </c>
    </row>
    <row r="645" spans="1:10" ht="12.75" hidden="1" outlineLevel="2" x14ac:dyDescent="0.2">
      <c r="A645" s="1982">
        <v>9089700</v>
      </c>
      <c r="B645" s="1982" t="s">
        <v>1794</v>
      </c>
      <c r="C645" s="1982" t="s">
        <v>1777</v>
      </c>
      <c r="D645" s="1982" t="s">
        <v>1778</v>
      </c>
      <c r="E645" s="1982" t="s">
        <v>920</v>
      </c>
      <c r="F645" s="1968">
        <v>181.84078</v>
      </c>
      <c r="G645" s="1962">
        <v>0</v>
      </c>
      <c r="H645" s="1962">
        <v>0</v>
      </c>
      <c r="I645" s="1962">
        <v>0</v>
      </c>
    </row>
    <row r="646" spans="1:10" ht="13.5" outlineLevel="1" collapsed="1" thickBot="1" x14ac:dyDescent="0.25">
      <c r="A646" s="2038" t="s">
        <v>1795</v>
      </c>
      <c r="B646" s="2038"/>
      <c r="C646" s="1981"/>
      <c r="D646" s="1981"/>
      <c r="E646" s="1981"/>
      <c r="F646" s="2039">
        <f t="shared" ref="F646:I646" si="218">SUBTOTAL(9,F645:F645)</f>
        <v>181.84078</v>
      </c>
      <c r="G646" s="2039">
        <f t="shared" si="218"/>
        <v>0</v>
      </c>
      <c r="H646" s="2039">
        <f t="shared" si="218"/>
        <v>0</v>
      </c>
      <c r="I646" s="2039">
        <f t="shared" si="218"/>
        <v>0</v>
      </c>
      <c r="J646" s="1953" t="s">
        <v>5467</v>
      </c>
    </row>
    <row r="647" spans="1:10" ht="12.75" hidden="1" outlineLevel="2" x14ac:dyDescent="0.2">
      <c r="A647" s="1982">
        <v>9089800</v>
      </c>
      <c r="B647" s="1982" t="s">
        <v>1796</v>
      </c>
      <c r="C647" s="1982" t="s">
        <v>1777</v>
      </c>
      <c r="D647" s="1982" t="s">
        <v>1778</v>
      </c>
      <c r="E647" s="1982" t="s">
        <v>936</v>
      </c>
      <c r="F647" s="1968">
        <v>886.70165999999995</v>
      </c>
      <c r="G647" s="1962">
        <v>0</v>
      </c>
      <c r="H647" s="1962">
        <v>0</v>
      </c>
      <c r="I647" s="1962">
        <v>0</v>
      </c>
    </row>
    <row r="648" spans="1:10" ht="13.5" outlineLevel="1" collapsed="1" thickBot="1" x14ac:dyDescent="0.25">
      <c r="A648" s="2038" t="s">
        <v>1797</v>
      </c>
      <c r="B648" s="2038"/>
      <c r="C648" s="1981"/>
      <c r="D648" s="1981"/>
      <c r="E648" s="1981"/>
      <c r="F648" s="2039">
        <f t="shared" ref="F648:I648" si="219">SUBTOTAL(9,F647:F647)</f>
        <v>886.70165999999995</v>
      </c>
      <c r="G648" s="2039">
        <f t="shared" si="219"/>
        <v>0</v>
      </c>
      <c r="H648" s="2039">
        <f t="shared" si="219"/>
        <v>0</v>
      </c>
      <c r="I648" s="2039">
        <f t="shared" si="219"/>
        <v>0</v>
      </c>
      <c r="J648" s="1953" t="s">
        <v>5467</v>
      </c>
    </row>
    <row r="649" spans="1:10" ht="12.75" hidden="1" outlineLevel="2" x14ac:dyDescent="0.2">
      <c r="A649" s="1982">
        <v>9090000</v>
      </c>
      <c r="B649" s="1982" t="s">
        <v>1798</v>
      </c>
      <c r="C649" s="1982" t="s">
        <v>1777</v>
      </c>
      <c r="D649" s="1982" t="s">
        <v>1778</v>
      </c>
      <c r="E649" s="1982" t="s">
        <v>918</v>
      </c>
      <c r="F649" s="1968">
        <v>98.332359999999994</v>
      </c>
      <c r="G649" s="1962">
        <v>0</v>
      </c>
      <c r="H649" s="1962">
        <v>0</v>
      </c>
      <c r="I649" s="1962">
        <v>0</v>
      </c>
    </row>
    <row r="650" spans="1:10" ht="12.75" hidden="1" outlineLevel="2" x14ac:dyDescent="0.2">
      <c r="A650" s="1980">
        <v>9090000</v>
      </c>
      <c r="B650" s="1980" t="s">
        <v>1798</v>
      </c>
      <c r="C650" s="1980" t="s">
        <v>1777</v>
      </c>
      <c r="D650" s="1980" t="s">
        <v>1778</v>
      </c>
      <c r="E650" s="1980" t="s">
        <v>1754</v>
      </c>
      <c r="F650" s="1962">
        <v>3723.4278599999998</v>
      </c>
      <c r="G650" s="1962">
        <v>1134.9987976903792</v>
      </c>
      <c r="H650" s="1962">
        <v>248.38941478711479</v>
      </c>
      <c r="I650" s="1962">
        <v>158.99658385157738</v>
      </c>
    </row>
    <row r="651" spans="1:10" ht="12.75" hidden="1" outlineLevel="2" x14ac:dyDescent="0.2">
      <c r="A651" s="1980">
        <v>9090000</v>
      </c>
      <c r="B651" s="1980" t="s">
        <v>1798</v>
      </c>
      <c r="C651" s="1980" t="s">
        <v>1777</v>
      </c>
      <c r="D651" s="1980" t="s">
        <v>1778</v>
      </c>
      <c r="E651" s="1980" t="s">
        <v>919</v>
      </c>
      <c r="F651" s="1962">
        <v>202.63489999999999</v>
      </c>
      <c r="G651" s="1962">
        <v>0</v>
      </c>
      <c r="H651" s="1962">
        <v>0</v>
      </c>
      <c r="I651" s="1962">
        <v>202.63489999999999</v>
      </c>
    </row>
    <row r="652" spans="1:10" ht="12.75" hidden="1" outlineLevel="2" x14ac:dyDescent="0.2">
      <c r="A652" s="1980">
        <v>9090000</v>
      </c>
      <c r="B652" s="1980" t="s">
        <v>1798</v>
      </c>
      <c r="C652" s="1980" t="s">
        <v>1777</v>
      </c>
      <c r="D652" s="1980" t="s">
        <v>1778</v>
      </c>
      <c r="E652" s="1980" t="s">
        <v>912</v>
      </c>
      <c r="F652" s="1962">
        <v>400.50376</v>
      </c>
      <c r="G652" s="1962">
        <v>400.50376</v>
      </c>
      <c r="H652" s="1962">
        <v>0</v>
      </c>
      <c r="I652" s="1962">
        <v>0</v>
      </c>
    </row>
    <row r="653" spans="1:10" ht="12.75" hidden="1" outlineLevel="2" x14ac:dyDescent="0.2">
      <c r="A653" s="1980">
        <v>9090000</v>
      </c>
      <c r="B653" s="1980" t="s">
        <v>1798</v>
      </c>
      <c r="C653" s="1980" t="s">
        <v>1777</v>
      </c>
      <c r="D653" s="1980" t="s">
        <v>1778</v>
      </c>
      <c r="E653" s="1980" t="s">
        <v>920</v>
      </c>
      <c r="F653" s="1962">
        <v>749.46132</v>
      </c>
      <c r="G653" s="1962">
        <v>0</v>
      </c>
      <c r="H653" s="1962">
        <v>0</v>
      </c>
      <c r="I653" s="1962">
        <v>0</v>
      </c>
    </row>
    <row r="654" spans="1:10" ht="12.75" hidden="1" outlineLevel="2" x14ac:dyDescent="0.2">
      <c r="A654" s="1980">
        <v>9090000</v>
      </c>
      <c r="B654" s="1980" t="s">
        <v>1798</v>
      </c>
      <c r="C654" s="1980" t="s">
        <v>1777</v>
      </c>
      <c r="D654" s="1980" t="s">
        <v>1778</v>
      </c>
      <c r="E654" s="1980" t="s">
        <v>921</v>
      </c>
      <c r="F654" s="1962">
        <v>223.93543</v>
      </c>
      <c r="G654" s="1962">
        <v>0</v>
      </c>
      <c r="H654" s="1962">
        <v>223.93543</v>
      </c>
      <c r="I654" s="1962">
        <v>0</v>
      </c>
    </row>
    <row r="655" spans="1:10" ht="12.75" hidden="1" outlineLevel="2" x14ac:dyDescent="0.2">
      <c r="A655" s="1980">
        <v>9090000</v>
      </c>
      <c r="B655" s="1980" t="s">
        <v>1798</v>
      </c>
      <c r="C655" s="1980" t="s">
        <v>1777</v>
      </c>
      <c r="D655" s="1980" t="s">
        <v>1778</v>
      </c>
      <c r="E655" s="1980" t="s">
        <v>922</v>
      </c>
      <c r="F655" s="1962">
        <v>304.74578000000002</v>
      </c>
      <c r="G655" s="1962">
        <v>0</v>
      </c>
      <c r="H655" s="1962">
        <v>0</v>
      </c>
      <c r="I655" s="1962">
        <v>0</v>
      </c>
    </row>
    <row r="656" spans="1:10" ht="13.5" outlineLevel="1" collapsed="1" thickBot="1" x14ac:dyDescent="0.25">
      <c r="A656" s="1981" t="s">
        <v>1799</v>
      </c>
      <c r="B656" s="1981"/>
      <c r="C656" s="1981"/>
      <c r="D656" s="1981"/>
      <c r="E656" s="1981"/>
      <c r="F656" s="1965">
        <f t="shared" ref="F656:I656" si="220">SUBTOTAL(9,F649:F655)</f>
        <v>5703.0414100000007</v>
      </c>
      <c r="G656" s="1965">
        <f t="shared" si="220"/>
        <v>1535.5025576903793</v>
      </c>
      <c r="H656" s="1965">
        <f t="shared" si="220"/>
        <v>472.32484478711478</v>
      </c>
      <c r="I656" s="1965">
        <f t="shared" si="220"/>
        <v>361.6314838515774</v>
      </c>
      <c r="J656" s="1953" t="str">
        <f>LEFT(A656,3)&amp;"*"</f>
        <v>909*</v>
      </c>
    </row>
    <row r="657" spans="1:10" ht="12.75" hidden="1" outlineLevel="2" x14ac:dyDescent="0.2">
      <c r="A657" s="1982">
        <v>9240000</v>
      </c>
      <c r="B657" s="1982" t="s">
        <v>1800</v>
      </c>
      <c r="C657" s="1982" t="s">
        <v>1777</v>
      </c>
      <c r="D657" s="1982" t="s">
        <v>1778</v>
      </c>
      <c r="E657" s="1982" t="s">
        <v>1754</v>
      </c>
      <c r="F657" s="1968">
        <v>7.2053099999999999</v>
      </c>
      <c r="G657" s="1962">
        <v>2.1963681033923579</v>
      </c>
      <c r="H657" s="1962">
        <v>0.48066534428835317</v>
      </c>
      <c r="I657" s="1962">
        <v>0.30767876233047498</v>
      </c>
    </row>
    <row r="658" spans="1:10" ht="13.5" outlineLevel="1" collapsed="1" thickBot="1" x14ac:dyDescent="0.25">
      <c r="A658" s="1981" t="s">
        <v>5715</v>
      </c>
      <c r="B658" s="1981"/>
      <c r="C658" s="1981"/>
      <c r="D658" s="1981"/>
      <c r="E658" s="1981"/>
      <c r="F658" s="1965">
        <f t="shared" ref="F658:I658" si="221">SUBTOTAL(9,F657:F657)</f>
        <v>7.2053099999999999</v>
      </c>
      <c r="G658" s="1965">
        <f t="shared" si="221"/>
        <v>2.1963681033923579</v>
      </c>
      <c r="H658" s="1965">
        <f t="shared" si="221"/>
        <v>0.48066534428835317</v>
      </c>
      <c r="I658" s="1965">
        <f t="shared" si="221"/>
        <v>0.30767876233047498</v>
      </c>
      <c r="J658" s="1953" t="str">
        <f>LEFT(A658,3)&amp;"*"</f>
        <v>924*</v>
      </c>
    </row>
    <row r="659" spans="1:10" ht="12.75" hidden="1" outlineLevel="2" x14ac:dyDescent="0.2">
      <c r="A659" s="1982">
        <v>9200000</v>
      </c>
      <c r="B659" s="1982" t="s">
        <v>1801</v>
      </c>
      <c r="C659" s="1982" t="s">
        <v>1802</v>
      </c>
      <c r="D659" s="1982" t="s">
        <v>1803</v>
      </c>
      <c r="E659" s="1982" t="s">
        <v>912</v>
      </c>
      <c r="F659" s="1968">
        <v>-548.35013000000004</v>
      </c>
      <c r="G659" s="1962">
        <v>-548.35013000000004</v>
      </c>
      <c r="H659" s="1962">
        <v>0</v>
      </c>
      <c r="I659" s="1962">
        <v>0</v>
      </c>
    </row>
    <row r="660" spans="1:10" ht="12.75" hidden="1" outlineLevel="2" x14ac:dyDescent="0.2">
      <c r="A660" s="1980">
        <v>9200000</v>
      </c>
      <c r="B660" s="1980" t="s">
        <v>1801</v>
      </c>
      <c r="C660" s="1980" t="s">
        <v>1802</v>
      </c>
      <c r="D660" s="1980" t="s">
        <v>1803</v>
      </c>
      <c r="E660" s="1980" t="s">
        <v>913</v>
      </c>
      <c r="F660" s="1962">
        <v>84632.749190000002</v>
      </c>
      <c r="G660" s="1962">
        <v>23674.986672847401</v>
      </c>
      <c r="H660" s="1962">
        <v>6317.7738456624829</v>
      </c>
      <c r="I660" s="1962">
        <v>4513.6749463937758</v>
      </c>
    </row>
    <row r="661" spans="1:10" ht="12.75" hidden="1" outlineLevel="2" x14ac:dyDescent="0.2">
      <c r="A661" s="1980">
        <v>9200000</v>
      </c>
      <c r="B661" s="1980" t="s">
        <v>1801</v>
      </c>
      <c r="C661" s="1980" t="s">
        <v>1802</v>
      </c>
      <c r="D661" s="1980" t="s">
        <v>1803</v>
      </c>
      <c r="E661" s="1980" t="s">
        <v>920</v>
      </c>
      <c r="F661" s="1962">
        <v>-158.39099999999999</v>
      </c>
      <c r="G661" s="1962">
        <v>0</v>
      </c>
      <c r="H661" s="1962">
        <v>0</v>
      </c>
      <c r="I661" s="1962">
        <v>0</v>
      </c>
    </row>
    <row r="662" spans="1:10" ht="12.75" hidden="1" outlineLevel="2" x14ac:dyDescent="0.2">
      <c r="A662" s="1980">
        <v>9200000</v>
      </c>
      <c r="B662" s="1980" t="s">
        <v>1801</v>
      </c>
      <c r="C662" s="1980" t="s">
        <v>1802</v>
      </c>
      <c r="D662" s="1980" t="s">
        <v>1803</v>
      </c>
      <c r="E662" s="1980" t="s">
        <v>922</v>
      </c>
      <c r="F662" s="1962">
        <v>-394.88299999999998</v>
      </c>
      <c r="G662" s="1962">
        <v>0</v>
      </c>
      <c r="H662" s="1962">
        <v>0</v>
      </c>
      <c r="I662" s="1962">
        <v>0</v>
      </c>
    </row>
    <row r="663" spans="1:10" ht="13.5" outlineLevel="1" collapsed="1" thickBot="1" x14ac:dyDescent="0.25">
      <c r="A663" s="1981" t="s">
        <v>1804</v>
      </c>
      <c r="B663" s="1981"/>
      <c r="C663" s="1981"/>
      <c r="D663" s="1981"/>
      <c r="E663" s="1981"/>
      <c r="F663" s="1965">
        <f t="shared" ref="F663:I663" si="222">SUBTOTAL(9,F659:F662)</f>
        <v>83531.125059999991</v>
      </c>
      <c r="G663" s="1965">
        <f t="shared" si="222"/>
        <v>23126.636542847402</v>
      </c>
      <c r="H663" s="1965">
        <f t="shared" si="222"/>
        <v>6317.7738456624829</v>
      </c>
      <c r="I663" s="1965">
        <f t="shared" si="222"/>
        <v>4513.6749463937758</v>
      </c>
      <c r="J663" s="1953" t="str">
        <f>LEFT(A663,3)&amp;"*"</f>
        <v>920*</v>
      </c>
    </row>
    <row r="664" spans="1:10" ht="12.75" hidden="1" outlineLevel="2" x14ac:dyDescent="0.2">
      <c r="A664" s="1982">
        <v>9210000</v>
      </c>
      <c r="B664" s="1982" t="s">
        <v>1805</v>
      </c>
      <c r="C664" s="1982" t="s">
        <v>1802</v>
      </c>
      <c r="D664" s="1982" t="s">
        <v>1803</v>
      </c>
      <c r="E664" s="1982" t="s">
        <v>918</v>
      </c>
      <c r="F664" s="1968">
        <v>3.35975</v>
      </c>
      <c r="G664" s="1962">
        <v>0</v>
      </c>
      <c r="H664" s="1962">
        <v>0</v>
      </c>
      <c r="I664" s="1962">
        <v>0</v>
      </c>
    </row>
    <row r="665" spans="1:10" ht="12.75" hidden="1" outlineLevel="2" x14ac:dyDescent="0.2">
      <c r="A665" s="1980">
        <v>9210000</v>
      </c>
      <c r="B665" s="1980" t="s">
        <v>1805</v>
      </c>
      <c r="C665" s="1980" t="s">
        <v>1802</v>
      </c>
      <c r="D665" s="1980" t="s">
        <v>1803</v>
      </c>
      <c r="E665" s="1980" t="s">
        <v>1754</v>
      </c>
      <c r="F665" s="1962">
        <v>160.74722</v>
      </c>
      <c r="G665" s="1962">
        <v>48.999982889978931</v>
      </c>
      <c r="H665" s="1962">
        <v>10.723427284141231</v>
      </c>
      <c r="I665" s="1962">
        <v>6.8641745737053057</v>
      </c>
    </row>
    <row r="666" spans="1:10" ht="12.75" hidden="1" outlineLevel="2" x14ac:dyDescent="0.2">
      <c r="A666" s="1980">
        <v>9210000</v>
      </c>
      <c r="B666" s="1980" t="s">
        <v>1805</v>
      </c>
      <c r="C666" s="1980" t="s">
        <v>1802</v>
      </c>
      <c r="D666" s="1980" t="s">
        <v>1803</v>
      </c>
      <c r="E666" s="1980" t="s">
        <v>919</v>
      </c>
      <c r="F666" s="1962">
        <v>1.8248899999999999</v>
      </c>
      <c r="G666" s="1962">
        <v>0</v>
      </c>
      <c r="H666" s="1962">
        <v>0</v>
      </c>
      <c r="I666" s="1962">
        <v>1.8248899999999999</v>
      </c>
    </row>
    <row r="667" spans="1:10" ht="12.75" hidden="1" outlineLevel="2" x14ac:dyDescent="0.2">
      <c r="A667" s="1980">
        <v>9210000</v>
      </c>
      <c r="B667" s="1980" t="s">
        <v>1805</v>
      </c>
      <c r="C667" s="1980" t="s">
        <v>1802</v>
      </c>
      <c r="D667" s="1980" t="s">
        <v>1803</v>
      </c>
      <c r="E667" s="1980" t="s">
        <v>912</v>
      </c>
      <c r="F667" s="1962">
        <v>-23.273769999999999</v>
      </c>
      <c r="G667" s="1962">
        <v>-23.273769999999999</v>
      </c>
      <c r="H667" s="1962">
        <v>0</v>
      </c>
      <c r="I667" s="1962">
        <v>0</v>
      </c>
    </row>
    <row r="668" spans="1:10" ht="12.75" hidden="1" outlineLevel="2" x14ac:dyDescent="0.2">
      <c r="A668" s="1980">
        <v>9210000</v>
      </c>
      <c r="B668" s="1980" t="s">
        <v>1805</v>
      </c>
      <c r="C668" s="1980" t="s">
        <v>1802</v>
      </c>
      <c r="D668" s="1980" t="s">
        <v>1803</v>
      </c>
      <c r="E668" s="1980" t="s">
        <v>913</v>
      </c>
      <c r="F668" s="1962">
        <v>14799.697179999999</v>
      </c>
      <c r="G668" s="1962">
        <v>4140.0360599425921</v>
      </c>
      <c r="H668" s="1962">
        <v>1104.786748184433</v>
      </c>
      <c r="I668" s="1962">
        <v>789.30464879041961</v>
      </c>
    </row>
    <row r="669" spans="1:10" ht="12.75" hidden="1" outlineLevel="2" x14ac:dyDescent="0.2">
      <c r="A669" s="1980">
        <v>9210000</v>
      </c>
      <c r="B669" s="1980" t="s">
        <v>1805</v>
      </c>
      <c r="C669" s="1980" t="s">
        <v>1802</v>
      </c>
      <c r="D669" s="1980" t="s">
        <v>1803</v>
      </c>
      <c r="E669" s="1980" t="s">
        <v>920</v>
      </c>
      <c r="F669" s="1962">
        <v>114.63578</v>
      </c>
      <c r="G669" s="1962">
        <v>0</v>
      </c>
      <c r="H669" s="1962">
        <v>0</v>
      </c>
      <c r="I669" s="1962">
        <v>0</v>
      </c>
    </row>
    <row r="670" spans="1:10" ht="12.75" hidden="1" outlineLevel="2" x14ac:dyDescent="0.2">
      <c r="A670" s="1980">
        <v>9210000</v>
      </c>
      <c r="B670" s="1980" t="s">
        <v>1805</v>
      </c>
      <c r="C670" s="1980" t="s">
        <v>1802</v>
      </c>
      <c r="D670" s="1980" t="s">
        <v>1803</v>
      </c>
      <c r="E670" s="1980" t="s">
        <v>921</v>
      </c>
      <c r="F670" s="1962">
        <v>7.7839499999999999</v>
      </c>
      <c r="G670" s="1962">
        <v>0</v>
      </c>
      <c r="H670" s="1962">
        <v>7.7839499999999999</v>
      </c>
      <c r="I670" s="1962">
        <v>0</v>
      </c>
    </row>
    <row r="671" spans="1:10" ht="12.75" hidden="1" outlineLevel="2" x14ac:dyDescent="0.2">
      <c r="A671" s="1980">
        <v>9210000</v>
      </c>
      <c r="B671" s="1980" t="s">
        <v>1805</v>
      </c>
      <c r="C671" s="1980" t="s">
        <v>1802</v>
      </c>
      <c r="D671" s="1980" t="s">
        <v>1803</v>
      </c>
      <c r="E671" s="1980" t="s">
        <v>922</v>
      </c>
      <c r="F671" s="1962">
        <v>9.6026399999999992</v>
      </c>
      <c r="G671" s="1962">
        <v>0</v>
      </c>
      <c r="H671" s="1962">
        <v>0</v>
      </c>
      <c r="I671" s="1962">
        <v>0</v>
      </c>
    </row>
    <row r="672" spans="1:10" ht="12.75" hidden="1" outlineLevel="2" x14ac:dyDescent="0.2">
      <c r="A672" s="1980">
        <v>9210000</v>
      </c>
      <c r="B672" s="1980" t="s">
        <v>1805</v>
      </c>
      <c r="C672" s="1980" t="s">
        <v>1802</v>
      </c>
      <c r="D672" s="1980" t="s">
        <v>1803</v>
      </c>
      <c r="E672" s="1980" t="s">
        <v>923</v>
      </c>
      <c r="F672" s="1962">
        <v>2.9561700000000002</v>
      </c>
      <c r="G672" s="1962">
        <v>0</v>
      </c>
      <c r="H672" s="1962">
        <v>0</v>
      </c>
      <c r="I672" s="1962">
        <v>0</v>
      </c>
    </row>
    <row r="673" spans="1:10" ht="12.75" hidden="1" outlineLevel="2" x14ac:dyDescent="0.2">
      <c r="A673" s="1980">
        <v>9210000</v>
      </c>
      <c r="B673" s="1980" t="s">
        <v>1805</v>
      </c>
      <c r="C673" s="1980" t="s">
        <v>1802</v>
      </c>
      <c r="D673" s="1980" t="s">
        <v>1803</v>
      </c>
      <c r="E673" s="1980" t="s">
        <v>913</v>
      </c>
      <c r="F673" s="1962">
        <v>4.6394500000000001</v>
      </c>
      <c r="G673" s="1962">
        <v>1.2978299531869653</v>
      </c>
      <c r="H673" s="1962">
        <v>0.34633160506762933</v>
      </c>
      <c r="I673" s="1962">
        <v>0.24743340409555004</v>
      </c>
    </row>
    <row r="674" spans="1:10" ht="13.5" outlineLevel="1" collapsed="1" thickBot="1" x14ac:dyDescent="0.25">
      <c r="A674" s="1981" t="s">
        <v>1806</v>
      </c>
      <c r="B674" s="1981"/>
      <c r="C674" s="1981"/>
      <c r="D674" s="1981"/>
      <c r="E674" s="1981"/>
      <c r="F674" s="1965">
        <f t="shared" ref="F674:I674" si="223">SUBTOTAL(9,F664:F673)</f>
        <v>15081.973259999999</v>
      </c>
      <c r="G674" s="1965">
        <f t="shared" si="223"/>
        <v>4167.0601027857583</v>
      </c>
      <c r="H674" s="1965">
        <f t="shared" si="223"/>
        <v>1123.640457073642</v>
      </c>
      <c r="I674" s="1965">
        <f t="shared" si="223"/>
        <v>798.24114676822046</v>
      </c>
      <c r="J674" s="1953" t="str">
        <f>LEFT(A674,3)&amp;"*"</f>
        <v>921*</v>
      </c>
    </row>
    <row r="675" spans="1:10" ht="12.75" hidden="1" outlineLevel="2" x14ac:dyDescent="0.2">
      <c r="A675" s="1982">
        <v>9220000</v>
      </c>
      <c r="B675" s="1982" t="s">
        <v>1807</v>
      </c>
      <c r="C675" s="1982" t="s">
        <v>1802</v>
      </c>
      <c r="D675" s="1982" t="s">
        <v>1803</v>
      </c>
      <c r="E675" s="1982" t="s">
        <v>913</v>
      </c>
      <c r="F675" s="1968">
        <v>-51620.741909999997</v>
      </c>
      <c r="G675" s="1962">
        <v>-14440.277415756545</v>
      </c>
      <c r="H675" s="1962">
        <v>-3853.4512497110954</v>
      </c>
      <c r="I675" s="1962">
        <v>-2753.0625166192381</v>
      </c>
    </row>
    <row r="676" spans="1:10" ht="13.5" outlineLevel="1" collapsed="1" thickBot="1" x14ac:dyDescent="0.25">
      <c r="A676" s="1981" t="s">
        <v>1808</v>
      </c>
      <c r="B676" s="1981"/>
      <c r="C676" s="1981"/>
      <c r="D676" s="1981"/>
      <c r="E676" s="1981"/>
      <c r="F676" s="1965">
        <f t="shared" ref="F676:I676" si="224">SUBTOTAL(9,F675:F675)</f>
        <v>-51620.741909999997</v>
      </c>
      <c r="G676" s="1965">
        <f t="shared" si="224"/>
        <v>-14440.277415756545</v>
      </c>
      <c r="H676" s="1965">
        <f t="shared" si="224"/>
        <v>-3853.4512497110954</v>
      </c>
      <c r="I676" s="1965">
        <f t="shared" si="224"/>
        <v>-2753.0625166192381</v>
      </c>
      <c r="J676" s="1953" t="str">
        <f>LEFT(A676,3)&amp;"*"</f>
        <v>922*</v>
      </c>
    </row>
    <row r="677" spans="1:10" ht="12.75" hidden="1" outlineLevel="2" x14ac:dyDescent="0.2">
      <c r="A677" s="1982">
        <v>9230000</v>
      </c>
      <c r="B677" s="1982" t="s">
        <v>1809</v>
      </c>
      <c r="C677" s="1982" t="s">
        <v>1802</v>
      </c>
      <c r="D677" s="1982" t="s">
        <v>1803</v>
      </c>
      <c r="E677" s="1982" t="s">
        <v>918</v>
      </c>
      <c r="F677" s="1968">
        <v>84.940820000000002</v>
      </c>
      <c r="G677" s="1962">
        <v>0</v>
      </c>
      <c r="H677" s="1962">
        <v>0</v>
      </c>
      <c r="I677" s="1962">
        <v>0</v>
      </c>
    </row>
    <row r="678" spans="1:10" ht="12.75" hidden="1" outlineLevel="2" x14ac:dyDescent="0.2">
      <c r="A678" s="1980">
        <v>9230000</v>
      </c>
      <c r="B678" s="1980" t="s">
        <v>1809</v>
      </c>
      <c r="C678" s="1980" t="s">
        <v>1802</v>
      </c>
      <c r="D678" s="1980" t="s">
        <v>1803</v>
      </c>
      <c r="E678" s="1980" t="s">
        <v>919</v>
      </c>
      <c r="F678" s="1962">
        <v>0.22547</v>
      </c>
      <c r="G678" s="1962">
        <v>0</v>
      </c>
      <c r="H678" s="1962">
        <v>0</v>
      </c>
      <c r="I678" s="1962">
        <v>0.22547</v>
      </c>
    </row>
    <row r="679" spans="1:10" ht="12.75" hidden="1" outlineLevel="2" x14ac:dyDescent="0.2">
      <c r="A679" s="1980">
        <v>9230000</v>
      </c>
      <c r="B679" s="1980" t="s">
        <v>1809</v>
      </c>
      <c r="C679" s="1980" t="s">
        <v>1802</v>
      </c>
      <c r="D679" s="1980" t="s">
        <v>1803</v>
      </c>
      <c r="E679" s="1980" t="s">
        <v>912</v>
      </c>
      <c r="F679" s="1962">
        <v>-945.14574000000005</v>
      </c>
      <c r="G679" s="1962">
        <v>-945.14574000000005</v>
      </c>
      <c r="H679" s="1962">
        <v>0</v>
      </c>
      <c r="I679" s="1962">
        <v>0</v>
      </c>
    </row>
    <row r="680" spans="1:10" ht="12.75" hidden="1" outlineLevel="2" x14ac:dyDescent="0.2">
      <c r="A680" s="1980">
        <v>9230000</v>
      </c>
      <c r="B680" s="1980" t="s">
        <v>1809</v>
      </c>
      <c r="C680" s="1980" t="s">
        <v>1802</v>
      </c>
      <c r="D680" s="1980" t="s">
        <v>1803</v>
      </c>
      <c r="E680" s="1980" t="s">
        <v>913</v>
      </c>
      <c r="F680" s="1962">
        <v>25948.278149999998</v>
      </c>
      <c r="G680" s="1962">
        <v>7258.7165756063432</v>
      </c>
      <c r="H680" s="1962">
        <v>1937.0202977574486</v>
      </c>
      <c r="I680" s="1962">
        <v>1383.8861919134124</v>
      </c>
    </row>
    <row r="681" spans="1:10" ht="12.75" hidden="1" outlineLevel="2" x14ac:dyDescent="0.2">
      <c r="A681" s="1980">
        <v>9230000</v>
      </c>
      <c r="B681" s="1980" t="s">
        <v>1809</v>
      </c>
      <c r="C681" s="1980" t="s">
        <v>1802</v>
      </c>
      <c r="D681" s="1980" t="s">
        <v>1803</v>
      </c>
      <c r="E681" s="1980" t="s">
        <v>920</v>
      </c>
      <c r="F681" s="1962">
        <v>521.19313999999997</v>
      </c>
      <c r="G681" s="1962">
        <v>0</v>
      </c>
      <c r="H681" s="1962">
        <v>0</v>
      </c>
      <c r="I681" s="1962">
        <v>0</v>
      </c>
    </row>
    <row r="682" spans="1:10" ht="12.75" hidden="1" outlineLevel="2" x14ac:dyDescent="0.2">
      <c r="A682" s="1980">
        <v>9230000</v>
      </c>
      <c r="B682" s="1980" t="s">
        <v>1809</v>
      </c>
      <c r="C682" s="1980" t="s">
        <v>1802</v>
      </c>
      <c r="D682" s="1980" t="s">
        <v>1803</v>
      </c>
      <c r="E682" s="1980" t="s">
        <v>921</v>
      </c>
      <c r="F682" s="1962">
        <v>0.14399999999999999</v>
      </c>
      <c r="G682" s="1962">
        <v>0</v>
      </c>
      <c r="H682" s="1962">
        <v>0.14399999999999999</v>
      </c>
      <c r="I682" s="1962">
        <v>0</v>
      </c>
    </row>
    <row r="683" spans="1:10" ht="12.75" hidden="1" outlineLevel="2" x14ac:dyDescent="0.2">
      <c r="A683" s="1980">
        <v>9230000</v>
      </c>
      <c r="B683" s="1980" t="s">
        <v>1809</v>
      </c>
      <c r="C683" s="1980" t="s">
        <v>1802</v>
      </c>
      <c r="D683" s="1980" t="s">
        <v>1803</v>
      </c>
      <c r="E683" s="1980" t="s">
        <v>922</v>
      </c>
      <c r="F683" s="1962">
        <v>762.27029000000005</v>
      </c>
      <c r="G683" s="1962">
        <v>0</v>
      </c>
      <c r="H683" s="1962">
        <v>0</v>
      </c>
      <c r="I683" s="1962">
        <v>0</v>
      </c>
    </row>
    <row r="684" spans="1:10" ht="12.75" hidden="1" outlineLevel="2" x14ac:dyDescent="0.2">
      <c r="A684" s="1980">
        <v>9230000</v>
      </c>
      <c r="B684" s="1980" t="s">
        <v>1809</v>
      </c>
      <c r="C684" s="1980" t="s">
        <v>1802</v>
      </c>
      <c r="D684" s="1980" t="s">
        <v>1803</v>
      </c>
      <c r="E684" s="1980" t="s">
        <v>923</v>
      </c>
      <c r="F684" s="1962">
        <v>189.63416000000001</v>
      </c>
      <c r="G684" s="1962">
        <v>0</v>
      </c>
      <c r="H684" s="1962">
        <v>0</v>
      </c>
      <c r="I684" s="1962">
        <v>0</v>
      </c>
    </row>
    <row r="685" spans="1:10" ht="13.5" outlineLevel="1" collapsed="1" thickBot="1" x14ac:dyDescent="0.25">
      <c r="A685" s="1981" t="s">
        <v>1810</v>
      </c>
      <c r="B685" s="1981"/>
      <c r="C685" s="1981"/>
      <c r="D685" s="1981"/>
      <c r="E685" s="1981"/>
      <c r="F685" s="1965">
        <f t="shared" ref="F685:I685" si="225">SUBTOTAL(9,F677:F684)</f>
        <v>26561.540290000001</v>
      </c>
      <c r="G685" s="1965">
        <f t="shared" si="225"/>
        <v>6313.5708356063433</v>
      </c>
      <c r="H685" s="1965">
        <f t="shared" si="225"/>
        <v>1937.1642977574486</v>
      </c>
      <c r="I685" s="1965">
        <f t="shared" si="225"/>
        <v>1384.1116619134125</v>
      </c>
      <c r="J685" s="1953" t="str">
        <f>LEFT(A685,3)&amp;"*"</f>
        <v>923*</v>
      </c>
    </row>
    <row r="686" spans="1:10" ht="12.75" hidden="1" outlineLevel="2" x14ac:dyDescent="0.2">
      <c r="A686" s="1982">
        <v>9239990</v>
      </c>
      <c r="B686" s="1982" t="s">
        <v>1811</v>
      </c>
      <c r="C686" s="1982" t="s">
        <v>1802</v>
      </c>
      <c r="D686" s="1982" t="s">
        <v>1803</v>
      </c>
      <c r="E686" s="1982" t="s">
        <v>918</v>
      </c>
      <c r="F686" s="1968">
        <v>-0.81096000000000001</v>
      </c>
      <c r="G686" s="1962">
        <v>0</v>
      </c>
      <c r="H686" s="1962">
        <v>0</v>
      </c>
      <c r="I686" s="1962">
        <v>0</v>
      </c>
    </row>
    <row r="687" spans="1:10" ht="12.75" hidden="1" outlineLevel="2" x14ac:dyDescent="0.2">
      <c r="A687" s="1980">
        <v>9239990</v>
      </c>
      <c r="B687" s="1980" t="s">
        <v>1811</v>
      </c>
      <c r="C687" s="1980" t="s">
        <v>1802</v>
      </c>
      <c r="D687" s="1980" t="s">
        <v>1803</v>
      </c>
      <c r="E687" s="1980" t="s">
        <v>919</v>
      </c>
      <c r="F687" s="1962">
        <v>6.9199999999999999E-3</v>
      </c>
      <c r="G687" s="1962">
        <v>0</v>
      </c>
      <c r="H687" s="1962">
        <v>0</v>
      </c>
      <c r="I687" s="1962">
        <v>6.9199999999999999E-3</v>
      </c>
    </row>
    <row r="688" spans="1:10" ht="12.75" hidden="1" outlineLevel="2" x14ac:dyDescent="0.2">
      <c r="A688" s="1980">
        <v>9239990</v>
      </c>
      <c r="B688" s="1980" t="s">
        <v>1811</v>
      </c>
      <c r="C688" s="1980" t="s">
        <v>1802</v>
      </c>
      <c r="D688" s="1980" t="s">
        <v>1803</v>
      </c>
      <c r="E688" s="1980" t="s">
        <v>912</v>
      </c>
      <c r="F688" s="1962">
        <v>8.9155899999999999</v>
      </c>
      <c r="G688" s="1962">
        <v>8.9155899999999999</v>
      </c>
      <c r="H688" s="1962">
        <v>0</v>
      </c>
      <c r="I688" s="1962">
        <v>0</v>
      </c>
    </row>
    <row r="689" spans="1:10" ht="12.75" hidden="1" outlineLevel="2" x14ac:dyDescent="0.2">
      <c r="A689" s="1980">
        <v>9239990</v>
      </c>
      <c r="B689" s="1980" t="s">
        <v>1811</v>
      </c>
      <c r="C689" s="1980" t="s">
        <v>1802</v>
      </c>
      <c r="D689" s="1980" t="s">
        <v>1803</v>
      </c>
      <c r="E689" s="1980" t="s">
        <v>913</v>
      </c>
      <c r="F689" s="1962">
        <v>22621.696670000001</v>
      </c>
      <c r="G689" s="1962">
        <v>6328.1456918893036</v>
      </c>
      <c r="H689" s="1962">
        <v>1688.6933832833947</v>
      </c>
      <c r="I689" s="1962">
        <v>1206.4713303247299</v>
      </c>
    </row>
    <row r="690" spans="1:10" ht="12.75" hidden="1" outlineLevel="2" x14ac:dyDescent="0.2">
      <c r="A690" s="1980">
        <v>9239990</v>
      </c>
      <c r="B690" s="1980" t="s">
        <v>1811</v>
      </c>
      <c r="C690" s="1980" t="s">
        <v>1802</v>
      </c>
      <c r="D690" s="1980" t="s">
        <v>1803</v>
      </c>
      <c r="E690" s="1980" t="s">
        <v>920</v>
      </c>
      <c r="F690" s="1962">
        <v>5.8048999999999999</v>
      </c>
      <c r="G690" s="1962">
        <v>0</v>
      </c>
      <c r="H690" s="1962">
        <v>0</v>
      </c>
      <c r="I690" s="1962">
        <v>0</v>
      </c>
    </row>
    <row r="691" spans="1:10" ht="12.75" hidden="1" outlineLevel="2" x14ac:dyDescent="0.2">
      <c r="A691" s="1980">
        <v>9239990</v>
      </c>
      <c r="B691" s="1980" t="s">
        <v>1811</v>
      </c>
      <c r="C691" s="1980" t="s">
        <v>1802</v>
      </c>
      <c r="D691" s="1980" t="s">
        <v>1803</v>
      </c>
      <c r="E691" s="1980" t="s">
        <v>922</v>
      </c>
      <c r="F691" s="1962">
        <v>5.6974099999999996</v>
      </c>
      <c r="G691" s="1962">
        <v>0</v>
      </c>
      <c r="H691" s="1962">
        <v>0</v>
      </c>
      <c r="I691" s="1962">
        <v>0</v>
      </c>
    </row>
    <row r="692" spans="1:10" ht="13.5" outlineLevel="1" collapsed="1" thickBot="1" x14ac:dyDescent="0.25">
      <c r="A692" s="1981" t="s">
        <v>1812</v>
      </c>
      <c r="B692" s="1981"/>
      <c r="C692" s="1981"/>
      <c r="D692" s="1981"/>
      <c r="E692" s="1981"/>
      <c r="F692" s="1965">
        <f t="shared" ref="F692:I692" si="226">SUBTOTAL(9,F686:F691)</f>
        <v>22641.310530000002</v>
      </c>
      <c r="G692" s="1965">
        <f t="shared" si="226"/>
        <v>6337.0612818893032</v>
      </c>
      <c r="H692" s="1965">
        <f t="shared" si="226"/>
        <v>1688.6933832833947</v>
      </c>
      <c r="I692" s="1965">
        <f t="shared" si="226"/>
        <v>1206.47825032473</v>
      </c>
      <c r="J692" s="1953" t="str">
        <f>LEFT(A692,3)&amp;"*"</f>
        <v>923*</v>
      </c>
    </row>
    <row r="693" spans="1:10" ht="12.75" hidden="1" outlineLevel="2" x14ac:dyDescent="0.2">
      <c r="A693" s="1982">
        <v>9241000</v>
      </c>
      <c r="B693" s="1982" t="s">
        <v>1813</v>
      </c>
      <c r="C693" s="1982" t="s">
        <v>1802</v>
      </c>
      <c r="D693" s="1982" t="s">
        <v>1803</v>
      </c>
      <c r="E693" s="1982" t="s">
        <v>918</v>
      </c>
      <c r="F693" s="1968">
        <v>1800.0440000000001</v>
      </c>
      <c r="G693" s="1962">
        <v>0</v>
      </c>
      <c r="H693" s="1962">
        <v>0</v>
      </c>
      <c r="I693" s="1962">
        <v>0</v>
      </c>
    </row>
    <row r="694" spans="1:10" ht="12.75" hidden="1" outlineLevel="2" x14ac:dyDescent="0.2">
      <c r="A694" s="1980">
        <v>9241000</v>
      </c>
      <c r="B694" s="1980" t="s">
        <v>1813</v>
      </c>
      <c r="C694" s="1980" t="s">
        <v>1802</v>
      </c>
      <c r="D694" s="1980" t="s">
        <v>1803</v>
      </c>
      <c r="E694" s="1980" t="s">
        <v>912</v>
      </c>
      <c r="F694" s="1962">
        <v>13000.5726</v>
      </c>
      <c r="G694" s="1962">
        <v>13000.5726</v>
      </c>
      <c r="H694" s="1962">
        <v>0</v>
      </c>
      <c r="I694" s="1962">
        <v>0</v>
      </c>
    </row>
    <row r="695" spans="1:10" ht="12.75" hidden="1" outlineLevel="2" x14ac:dyDescent="0.2">
      <c r="A695" s="1980">
        <v>9241000</v>
      </c>
      <c r="B695" s="1980" t="s">
        <v>1813</v>
      </c>
      <c r="C695" s="1980" t="s">
        <v>1802</v>
      </c>
      <c r="D695" s="1980" t="s">
        <v>1803</v>
      </c>
      <c r="E695" s="1980" t="s">
        <v>920</v>
      </c>
      <c r="F695" s="1962">
        <v>473.61036000000001</v>
      </c>
      <c r="G695" s="1962">
        <v>0</v>
      </c>
      <c r="H695" s="1962">
        <v>0</v>
      </c>
      <c r="I695" s="1962">
        <v>0</v>
      </c>
    </row>
    <row r="696" spans="1:10" ht="12.75" hidden="1" outlineLevel="2" x14ac:dyDescent="0.2">
      <c r="A696" s="1980">
        <v>9241000</v>
      </c>
      <c r="B696" s="1980" t="s">
        <v>1813</v>
      </c>
      <c r="C696" s="1980" t="s">
        <v>1802</v>
      </c>
      <c r="D696" s="1980" t="s">
        <v>1803</v>
      </c>
      <c r="E696" s="1980" t="s">
        <v>921</v>
      </c>
      <c r="F696" s="1962">
        <v>1144.8189600000001</v>
      </c>
      <c r="G696" s="1962">
        <v>0</v>
      </c>
      <c r="H696" s="1962">
        <v>1144.8189600000001</v>
      </c>
      <c r="I696" s="1962">
        <v>0</v>
      </c>
    </row>
    <row r="697" spans="1:10" ht="12.75" hidden="1" outlineLevel="2" x14ac:dyDescent="0.2">
      <c r="A697" s="1980">
        <v>9241000</v>
      </c>
      <c r="B697" s="1980" t="s">
        <v>1813</v>
      </c>
      <c r="C697" s="1980" t="s">
        <v>1802</v>
      </c>
      <c r="D697" s="1980" t="s">
        <v>1803</v>
      </c>
      <c r="E697" s="1980" t="s">
        <v>922</v>
      </c>
      <c r="F697" s="1962">
        <v>12.544560000000001</v>
      </c>
      <c r="G697" s="1962">
        <v>0</v>
      </c>
      <c r="H697" s="1962">
        <v>0</v>
      </c>
      <c r="I697" s="1962">
        <v>0</v>
      </c>
    </row>
    <row r="698" spans="1:10" ht="13.5" outlineLevel="1" collapsed="1" thickBot="1" x14ac:dyDescent="0.25">
      <c r="A698" s="1981" t="s">
        <v>1814</v>
      </c>
      <c r="B698" s="1981"/>
      <c r="C698" s="1981"/>
      <c r="D698" s="1981"/>
      <c r="E698" s="1981"/>
      <c r="F698" s="1965">
        <f t="shared" ref="F698:I698" si="227">SUBTOTAL(9,F693:F697)</f>
        <v>16431.590479999999</v>
      </c>
      <c r="G698" s="1965">
        <f t="shared" si="227"/>
        <v>13000.5726</v>
      </c>
      <c r="H698" s="1965">
        <f t="shared" si="227"/>
        <v>1144.8189600000001</v>
      </c>
      <c r="I698" s="1965">
        <f t="shared" si="227"/>
        <v>0</v>
      </c>
      <c r="J698" s="1953" t="str">
        <f>LEFT(A698,3)&amp;"*"</f>
        <v>924*</v>
      </c>
    </row>
    <row r="699" spans="1:10" ht="12.75" hidden="1" outlineLevel="2" x14ac:dyDescent="0.2">
      <c r="A699" s="1982">
        <v>9242000</v>
      </c>
      <c r="B699" s="1982" t="s">
        <v>1815</v>
      </c>
      <c r="C699" s="1982" t="s">
        <v>1802</v>
      </c>
      <c r="D699" s="1982" t="s">
        <v>1803</v>
      </c>
      <c r="E699" s="1982" t="s">
        <v>918</v>
      </c>
      <c r="F699" s="1968">
        <v>2751.5564300000001</v>
      </c>
      <c r="G699" s="1962">
        <v>0</v>
      </c>
      <c r="H699" s="1962">
        <v>0</v>
      </c>
      <c r="I699" s="1962">
        <v>0</v>
      </c>
    </row>
    <row r="700" spans="1:10" ht="12.75" hidden="1" outlineLevel="2" x14ac:dyDescent="0.2">
      <c r="A700" s="1980">
        <v>9242000</v>
      </c>
      <c r="B700" s="1980" t="s">
        <v>1815</v>
      </c>
      <c r="C700" s="1980" t="s">
        <v>1802</v>
      </c>
      <c r="D700" s="1980" t="s">
        <v>1803</v>
      </c>
      <c r="E700" s="1980" t="s">
        <v>919</v>
      </c>
      <c r="F700" s="1962">
        <v>-222.19736</v>
      </c>
      <c r="G700" s="1962">
        <v>0</v>
      </c>
      <c r="H700" s="1962">
        <v>0</v>
      </c>
      <c r="I700" s="1962">
        <v>-222.19736</v>
      </c>
    </row>
    <row r="701" spans="1:10" ht="12.75" hidden="1" outlineLevel="2" x14ac:dyDescent="0.2">
      <c r="A701" s="1980">
        <v>9242000</v>
      </c>
      <c r="B701" s="1980" t="s">
        <v>1815</v>
      </c>
      <c r="C701" s="1980" t="s">
        <v>1802</v>
      </c>
      <c r="D701" s="1980" t="s">
        <v>1803</v>
      </c>
      <c r="E701" s="1980" t="s">
        <v>912</v>
      </c>
      <c r="F701" s="1962">
        <v>-1564.9068400000001</v>
      </c>
      <c r="G701" s="1962">
        <v>-1564.9068400000001</v>
      </c>
      <c r="H701" s="1962">
        <v>0</v>
      </c>
      <c r="I701" s="1962">
        <v>0</v>
      </c>
    </row>
    <row r="702" spans="1:10" ht="12.75" hidden="1" outlineLevel="2" x14ac:dyDescent="0.2">
      <c r="A702" s="1980">
        <v>9242000</v>
      </c>
      <c r="B702" s="1980" t="s">
        <v>1815</v>
      </c>
      <c r="C702" s="1980" t="s">
        <v>1802</v>
      </c>
      <c r="D702" s="1980" t="s">
        <v>1803</v>
      </c>
      <c r="E702" s="1980" t="s">
        <v>920</v>
      </c>
      <c r="F702" s="1962">
        <v>-1740.4799499999999</v>
      </c>
      <c r="G702" s="1962">
        <v>0</v>
      </c>
      <c r="H702" s="1962">
        <v>0</v>
      </c>
      <c r="I702" s="1962">
        <v>0</v>
      </c>
    </row>
    <row r="703" spans="1:10" ht="12.75" hidden="1" outlineLevel="2" x14ac:dyDescent="0.2">
      <c r="A703" s="1980">
        <v>9242000</v>
      </c>
      <c r="B703" s="1980" t="s">
        <v>1815</v>
      </c>
      <c r="C703" s="1980" t="s">
        <v>1802</v>
      </c>
      <c r="D703" s="1980" t="s">
        <v>1803</v>
      </c>
      <c r="E703" s="1980" t="s">
        <v>921</v>
      </c>
      <c r="F703" s="1962">
        <v>-461.17406999999997</v>
      </c>
      <c r="G703" s="1962">
        <v>0</v>
      </c>
      <c r="H703" s="1962">
        <v>-461.17406999999997</v>
      </c>
      <c r="I703" s="1962">
        <v>0</v>
      </c>
    </row>
    <row r="704" spans="1:10" ht="12.75" hidden="1" outlineLevel="2" x14ac:dyDescent="0.2">
      <c r="A704" s="1980">
        <v>9242000</v>
      </c>
      <c r="B704" s="1980" t="s">
        <v>1815</v>
      </c>
      <c r="C704" s="1980" t="s">
        <v>1802</v>
      </c>
      <c r="D704" s="1980" t="s">
        <v>1803</v>
      </c>
      <c r="E704" s="1980" t="s">
        <v>922</v>
      </c>
      <c r="F704" s="1962">
        <v>-546.12181999999996</v>
      </c>
      <c r="G704" s="1962">
        <v>0</v>
      </c>
      <c r="H704" s="1962">
        <v>0</v>
      </c>
      <c r="I704" s="1962">
        <v>0</v>
      </c>
    </row>
    <row r="705" spans="1:10" ht="13.5" outlineLevel="1" collapsed="1" thickBot="1" x14ac:dyDescent="0.25">
      <c r="A705" s="1981" t="s">
        <v>1816</v>
      </c>
      <c r="B705" s="1981"/>
      <c r="C705" s="1981"/>
      <c r="D705" s="1981"/>
      <c r="E705" s="1981"/>
      <c r="F705" s="1965">
        <f t="shared" ref="F705:I705" si="228">SUBTOTAL(9,F699:F704)</f>
        <v>-1783.3236099999999</v>
      </c>
      <c r="G705" s="1965">
        <f t="shared" si="228"/>
        <v>-1564.9068400000001</v>
      </c>
      <c r="H705" s="1965">
        <f t="shared" si="228"/>
        <v>-461.17406999999997</v>
      </c>
      <c r="I705" s="1965">
        <f t="shared" si="228"/>
        <v>-222.19736</v>
      </c>
      <c r="J705" s="1953" t="str">
        <f>LEFT(A705,3)&amp;"*"</f>
        <v>924*</v>
      </c>
    </row>
    <row r="706" spans="1:10" ht="12.75" hidden="1" outlineLevel="2" x14ac:dyDescent="0.2">
      <c r="A706" s="1982">
        <v>9243000</v>
      </c>
      <c r="B706" s="1982" t="s">
        <v>1817</v>
      </c>
      <c r="C706" s="1982" t="s">
        <v>1802</v>
      </c>
      <c r="D706" s="1982" t="s">
        <v>1803</v>
      </c>
      <c r="E706" s="1982" t="s">
        <v>913</v>
      </c>
      <c r="F706" s="1968">
        <v>5369.3231500000002</v>
      </c>
      <c r="G706" s="1962">
        <v>1502.0031280453909</v>
      </c>
      <c r="H706" s="1962">
        <v>400.81611067395477</v>
      </c>
      <c r="I706" s="1962">
        <v>286.35935395220156</v>
      </c>
    </row>
    <row r="707" spans="1:10" ht="13.5" outlineLevel="1" collapsed="1" thickBot="1" x14ac:dyDescent="0.25">
      <c r="A707" s="1981" t="s">
        <v>1818</v>
      </c>
      <c r="B707" s="1981"/>
      <c r="C707" s="1981"/>
      <c r="D707" s="1981"/>
      <c r="E707" s="1981"/>
      <c r="F707" s="1965">
        <f t="shared" ref="F707:I707" si="229">SUBTOTAL(9,F706:F706)</f>
        <v>5369.3231500000002</v>
      </c>
      <c r="G707" s="1965">
        <f t="shared" si="229"/>
        <v>1502.0031280453909</v>
      </c>
      <c r="H707" s="1965">
        <f t="shared" si="229"/>
        <v>400.81611067395477</v>
      </c>
      <c r="I707" s="1965">
        <f t="shared" si="229"/>
        <v>286.35935395220156</v>
      </c>
      <c r="J707" s="1953" t="str">
        <f>LEFT(A707,3)&amp;"*"</f>
        <v>924*</v>
      </c>
    </row>
    <row r="708" spans="1:10" ht="12.75" hidden="1" outlineLevel="2" x14ac:dyDescent="0.2">
      <c r="A708" s="1982">
        <v>9250000</v>
      </c>
      <c r="B708" s="1982" t="s">
        <v>1819</v>
      </c>
      <c r="C708" s="1982" t="s">
        <v>1802</v>
      </c>
      <c r="D708" s="1982" t="s">
        <v>1803</v>
      </c>
      <c r="E708" s="1982" t="s">
        <v>913</v>
      </c>
      <c r="F708" s="1968">
        <v>1785095.4316499999</v>
      </c>
      <c r="G708" s="1962">
        <v>499358.82927773439</v>
      </c>
      <c r="H708" s="1962">
        <v>133256.08984733903</v>
      </c>
      <c r="I708" s="1962">
        <v>95203.577856981909</v>
      </c>
    </row>
    <row r="709" spans="1:10" ht="13.5" outlineLevel="1" collapsed="1" thickBot="1" x14ac:dyDescent="0.25">
      <c r="A709" s="1981" t="s">
        <v>1820</v>
      </c>
      <c r="B709" s="1981"/>
      <c r="C709" s="1981"/>
      <c r="D709" s="1981"/>
      <c r="E709" s="1981"/>
      <c r="F709" s="1965">
        <f t="shared" ref="F709:I709" si="230">SUBTOTAL(9,F708:F708)</f>
        <v>1785095.4316499999</v>
      </c>
      <c r="G709" s="1965">
        <f t="shared" si="230"/>
        <v>499358.82927773439</v>
      </c>
      <c r="H709" s="1965">
        <f t="shared" si="230"/>
        <v>133256.08984733903</v>
      </c>
      <c r="I709" s="1965">
        <f t="shared" si="230"/>
        <v>95203.577856981909</v>
      </c>
      <c r="J709" s="1953" t="str">
        <f>LEFT(A709,3)&amp;"*"</f>
        <v>925*</v>
      </c>
    </row>
    <row r="710" spans="1:10" ht="12.75" hidden="1" outlineLevel="2" x14ac:dyDescent="0.2">
      <c r="A710" s="1982">
        <v>9251000</v>
      </c>
      <c r="B710" s="1982" t="s">
        <v>1819</v>
      </c>
      <c r="C710" s="1982" t="s">
        <v>1802</v>
      </c>
      <c r="D710" s="1982" t="s">
        <v>1803</v>
      </c>
      <c r="E710" s="1982" t="s">
        <v>912</v>
      </c>
      <c r="F710" s="1968">
        <v>-1062.3066699999999</v>
      </c>
      <c r="G710" s="1962">
        <v>-1062.3066699999999</v>
      </c>
      <c r="H710" s="1962">
        <v>0</v>
      </c>
      <c r="I710" s="1962">
        <v>0</v>
      </c>
    </row>
    <row r="711" spans="1:10" ht="12.75" hidden="1" outlineLevel="2" x14ac:dyDescent="0.2">
      <c r="A711" s="1980">
        <v>9251000</v>
      </c>
      <c r="B711" s="1980" t="s">
        <v>1819</v>
      </c>
      <c r="C711" s="1980" t="s">
        <v>1802</v>
      </c>
      <c r="D711" s="1980" t="s">
        <v>1803</v>
      </c>
      <c r="E711" s="1980" t="s">
        <v>913</v>
      </c>
      <c r="F711" s="1962">
        <v>1062.3066699999999</v>
      </c>
      <c r="G711" s="1962">
        <v>297.16742626740256</v>
      </c>
      <c r="H711" s="1962">
        <v>79.300428735119127</v>
      </c>
      <c r="I711" s="1962">
        <v>56.655456045761483</v>
      </c>
    </row>
    <row r="712" spans="1:10" ht="13.5" outlineLevel="1" collapsed="1" thickBot="1" x14ac:dyDescent="0.25">
      <c r="A712" s="1981" t="s">
        <v>1821</v>
      </c>
      <c r="B712" s="1981"/>
      <c r="C712" s="1981"/>
      <c r="D712" s="1981"/>
      <c r="E712" s="1981"/>
      <c r="F712" s="1965">
        <f t="shared" ref="F712:I712" si="231">SUBTOTAL(9,F710:F711)</f>
        <v>0</v>
      </c>
      <c r="G712" s="1965">
        <f t="shared" si="231"/>
        <v>-765.13924373259738</v>
      </c>
      <c r="H712" s="1965">
        <f t="shared" si="231"/>
        <v>79.300428735119127</v>
      </c>
      <c r="I712" s="1965">
        <f t="shared" si="231"/>
        <v>56.655456045761483</v>
      </c>
      <c r="J712" s="1953" t="str">
        <f>LEFT(A712,3)&amp;"*"</f>
        <v>925*</v>
      </c>
    </row>
    <row r="713" spans="1:10" ht="12.75" hidden="1" outlineLevel="2" x14ac:dyDescent="0.2">
      <c r="A713" s="1982">
        <v>9261200</v>
      </c>
      <c r="B713" s="1982" t="s">
        <v>1822</v>
      </c>
      <c r="C713" s="1982" t="s">
        <v>1802</v>
      </c>
      <c r="D713" s="1982" t="s">
        <v>1803</v>
      </c>
      <c r="E713" s="1982" t="s">
        <v>913</v>
      </c>
      <c r="F713" s="1968">
        <v>-7652.6650399999999</v>
      </c>
      <c r="G713" s="1962">
        <v>-2140.7403702203333</v>
      </c>
      <c r="H713" s="1962">
        <v>-571.26594021880476</v>
      </c>
      <c r="I713" s="1962">
        <v>-408.13565428018592</v>
      </c>
    </row>
    <row r="714" spans="1:10" ht="13.5" outlineLevel="1" collapsed="1" thickBot="1" x14ac:dyDescent="0.25">
      <c r="A714" s="1981" t="s">
        <v>1823</v>
      </c>
      <c r="B714" s="1981"/>
      <c r="C714" s="1981"/>
      <c r="D714" s="1981"/>
      <c r="E714" s="1981"/>
      <c r="F714" s="1965">
        <f t="shared" ref="F714:I714" si="232">SUBTOTAL(9,F713:F713)</f>
        <v>-7652.6650399999999</v>
      </c>
      <c r="G714" s="1965">
        <f t="shared" si="232"/>
        <v>-2140.7403702203333</v>
      </c>
      <c r="H714" s="1965">
        <f t="shared" si="232"/>
        <v>-571.26594021880476</v>
      </c>
      <c r="I714" s="1965">
        <f t="shared" si="232"/>
        <v>-408.13565428018592</v>
      </c>
      <c r="J714" s="1953" t="str">
        <f>LEFT(A714,3)&amp;"*"</f>
        <v>926*</v>
      </c>
    </row>
    <row r="715" spans="1:10" ht="12.75" hidden="1" outlineLevel="2" x14ac:dyDescent="0.2">
      <c r="A715" s="1982">
        <v>9261500</v>
      </c>
      <c r="B715" s="1982" t="s">
        <v>1824</v>
      </c>
      <c r="C715" s="1982" t="s">
        <v>1802</v>
      </c>
      <c r="D715" s="1982" t="s">
        <v>1803</v>
      </c>
      <c r="E715" s="1982" t="s">
        <v>918</v>
      </c>
      <c r="F715" s="1968">
        <v>79.724329999999995</v>
      </c>
      <c r="G715" s="1962">
        <v>0</v>
      </c>
      <c r="H715" s="1962">
        <v>0</v>
      </c>
      <c r="I715" s="1962">
        <v>0</v>
      </c>
    </row>
    <row r="716" spans="1:10" ht="12.75" hidden="1" outlineLevel="2" x14ac:dyDescent="0.2">
      <c r="A716" s="1980">
        <v>9261500</v>
      </c>
      <c r="B716" s="1980" t="s">
        <v>1824</v>
      </c>
      <c r="C716" s="1980" t="s">
        <v>1802</v>
      </c>
      <c r="D716" s="1980" t="s">
        <v>1803</v>
      </c>
      <c r="E716" s="1980" t="s">
        <v>912</v>
      </c>
      <c r="F716" s="1962">
        <v>654.10099000000002</v>
      </c>
      <c r="G716" s="1962">
        <v>654.10099000000002</v>
      </c>
      <c r="H716" s="1962">
        <v>0</v>
      </c>
      <c r="I716" s="1962">
        <v>0</v>
      </c>
    </row>
    <row r="717" spans="1:10" ht="12.75" hidden="1" outlineLevel="2" x14ac:dyDescent="0.2">
      <c r="A717" s="1980">
        <v>9261500</v>
      </c>
      <c r="B717" s="1980" t="s">
        <v>1824</v>
      </c>
      <c r="C717" s="1980" t="s">
        <v>1802</v>
      </c>
      <c r="D717" s="1980" t="s">
        <v>1803</v>
      </c>
      <c r="E717" s="1980" t="s">
        <v>913</v>
      </c>
      <c r="F717" s="1962">
        <v>-81.446950000000001</v>
      </c>
      <c r="G717" s="1962">
        <v>-22.783797929866925</v>
      </c>
      <c r="H717" s="1962">
        <v>-6.0799562278638533</v>
      </c>
      <c r="I717" s="1962">
        <v>-4.343768354373915</v>
      </c>
    </row>
    <row r="718" spans="1:10" ht="12.75" hidden="1" outlineLevel="2" x14ac:dyDescent="0.2">
      <c r="A718" s="1980">
        <v>9261500</v>
      </c>
      <c r="B718" s="1980" t="s">
        <v>1824</v>
      </c>
      <c r="C718" s="1980" t="s">
        <v>1802</v>
      </c>
      <c r="D718" s="1980" t="s">
        <v>1803</v>
      </c>
      <c r="E718" s="1980" t="s">
        <v>920</v>
      </c>
      <c r="F718" s="1962">
        <v>5291.7170999999998</v>
      </c>
      <c r="G718" s="1962">
        <v>0</v>
      </c>
      <c r="H718" s="1962">
        <v>0</v>
      </c>
      <c r="I718" s="1962">
        <v>0</v>
      </c>
    </row>
    <row r="719" spans="1:10" ht="12.75" hidden="1" outlineLevel="2" x14ac:dyDescent="0.2">
      <c r="A719" s="1980">
        <v>9261500</v>
      </c>
      <c r="B719" s="1980" t="s">
        <v>1824</v>
      </c>
      <c r="C719" s="1980" t="s">
        <v>1802</v>
      </c>
      <c r="D719" s="1980" t="s">
        <v>1803</v>
      </c>
      <c r="E719" s="1980" t="s">
        <v>921</v>
      </c>
      <c r="F719" s="1962">
        <v>254.82732999999999</v>
      </c>
      <c r="G719" s="1962">
        <v>0</v>
      </c>
      <c r="H719" s="1962">
        <v>254.82732999999999</v>
      </c>
      <c r="I719" s="1962">
        <v>0</v>
      </c>
    </row>
    <row r="720" spans="1:10" ht="12.75" hidden="1" outlineLevel="2" x14ac:dyDescent="0.2">
      <c r="A720" s="1980">
        <v>9261500</v>
      </c>
      <c r="B720" s="1980" t="s">
        <v>1824</v>
      </c>
      <c r="C720" s="1980" t="s">
        <v>1802</v>
      </c>
      <c r="D720" s="1980" t="s">
        <v>1803</v>
      </c>
      <c r="E720" s="1980" t="s">
        <v>922</v>
      </c>
      <c r="F720" s="1962">
        <v>302.16158999999999</v>
      </c>
      <c r="G720" s="1962">
        <v>0</v>
      </c>
      <c r="H720" s="1962">
        <v>0</v>
      </c>
      <c r="I720" s="1962">
        <v>0</v>
      </c>
    </row>
    <row r="721" spans="1:10" ht="13.5" outlineLevel="1" collapsed="1" thickBot="1" x14ac:dyDescent="0.25">
      <c r="A721" s="1981" t="s">
        <v>1825</v>
      </c>
      <c r="B721" s="1981"/>
      <c r="C721" s="1981"/>
      <c r="D721" s="1981"/>
      <c r="E721" s="1981"/>
      <c r="F721" s="1965">
        <f t="shared" ref="F721:I721" si="233">SUBTOTAL(9,F715:F720)</f>
        <v>6501.08439</v>
      </c>
      <c r="G721" s="1965">
        <f t="shared" si="233"/>
        <v>631.31719207013305</v>
      </c>
      <c r="H721" s="1965">
        <f t="shared" si="233"/>
        <v>248.74737377213614</v>
      </c>
      <c r="I721" s="1965">
        <f t="shared" si="233"/>
        <v>-4.343768354373915</v>
      </c>
      <c r="J721" s="1953" t="str">
        <f>LEFT(A721,3)&amp;"*"</f>
        <v>926*</v>
      </c>
    </row>
    <row r="722" spans="1:10" ht="12.75" hidden="1" outlineLevel="2" x14ac:dyDescent="0.2">
      <c r="A722" s="1982">
        <v>9262200</v>
      </c>
      <c r="B722" s="1982" t="s">
        <v>1826</v>
      </c>
      <c r="C722" s="1982" t="s">
        <v>1802</v>
      </c>
      <c r="D722" s="1982" t="s">
        <v>1803</v>
      </c>
      <c r="E722" s="1982" t="s">
        <v>913</v>
      </c>
      <c r="F722" s="1968">
        <v>-5228.0539200000003</v>
      </c>
      <c r="G722" s="1962">
        <v>-1462.4847717407301</v>
      </c>
      <c r="H722" s="1962">
        <v>-390.27046427781556</v>
      </c>
      <c r="I722" s="1962">
        <v>-278.82511466244586</v>
      </c>
    </row>
    <row r="723" spans="1:10" ht="13.5" outlineLevel="1" collapsed="1" thickBot="1" x14ac:dyDescent="0.25">
      <c r="A723" s="1981" t="s">
        <v>1827</v>
      </c>
      <c r="B723" s="1981"/>
      <c r="C723" s="1981"/>
      <c r="D723" s="1981"/>
      <c r="E723" s="1981"/>
      <c r="F723" s="1965">
        <f t="shared" ref="F723:I723" si="234">SUBTOTAL(9,F722:F722)</f>
        <v>-5228.0539200000003</v>
      </c>
      <c r="G723" s="1965">
        <f t="shared" si="234"/>
        <v>-1462.4847717407301</v>
      </c>
      <c r="H723" s="1965">
        <f t="shared" si="234"/>
        <v>-390.27046427781556</v>
      </c>
      <c r="I723" s="1965">
        <f t="shared" si="234"/>
        <v>-278.82511466244586</v>
      </c>
      <c r="J723" s="1953" t="str">
        <f>LEFT(A723,3)&amp;"*"</f>
        <v>926*</v>
      </c>
    </row>
    <row r="724" spans="1:10" ht="12.75" hidden="1" outlineLevel="2" x14ac:dyDescent="0.2">
      <c r="A724" s="1982">
        <v>9262500</v>
      </c>
      <c r="B724" s="1982" t="s">
        <v>1828</v>
      </c>
      <c r="C724" s="1982" t="s">
        <v>1802</v>
      </c>
      <c r="D724" s="1982" t="s">
        <v>1803</v>
      </c>
      <c r="E724" s="1982" t="s">
        <v>919</v>
      </c>
      <c r="F724" s="1968">
        <v>173.6508</v>
      </c>
      <c r="G724" s="1962">
        <v>0</v>
      </c>
      <c r="H724" s="1962">
        <v>0</v>
      </c>
      <c r="I724" s="1962">
        <v>173.6508</v>
      </c>
    </row>
    <row r="725" spans="1:10" ht="12.75" hidden="1" outlineLevel="2" x14ac:dyDescent="0.2">
      <c r="A725" s="1980">
        <v>9262500</v>
      </c>
      <c r="B725" s="1980" t="s">
        <v>1828</v>
      </c>
      <c r="C725" s="1980" t="s">
        <v>1802</v>
      </c>
      <c r="D725" s="1980" t="s">
        <v>1803</v>
      </c>
      <c r="E725" s="1980" t="s">
        <v>912</v>
      </c>
      <c r="F725" s="1962">
        <v>828.89277000000004</v>
      </c>
      <c r="G725" s="1962">
        <v>828.89277000000004</v>
      </c>
      <c r="H725" s="1962">
        <v>0</v>
      </c>
      <c r="I725" s="1962">
        <v>0</v>
      </c>
    </row>
    <row r="726" spans="1:10" ht="13.5" outlineLevel="1" collapsed="1" thickBot="1" x14ac:dyDescent="0.25">
      <c r="A726" s="1981" t="s">
        <v>1829</v>
      </c>
      <c r="B726" s="1981"/>
      <c r="C726" s="1981"/>
      <c r="D726" s="1981"/>
      <c r="E726" s="1981"/>
      <c r="F726" s="1965">
        <f t="shared" ref="F726:I726" si="235">SUBTOTAL(9,F724:F725)</f>
        <v>1002.54357</v>
      </c>
      <c r="G726" s="1965">
        <f t="shared" si="235"/>
        <v>828.89277000000004</v>
      </c>
      <c r="H726" s="1965">
        <f t="shared" si="235"/>
        <v>0</v>
      </c>
      <c r="I726" s="1965">
        <f t="shared" si="235"/>
        <v>173.6508</v>
      </c>
      <c r="J726" s="1953" t="str">
        <f>LEFT(A726,3)&amp;"*"</f>
        <v>926*</v>
      </c>
    </row>
    <row r="727" spans="1:10" ht="12.75" hidden="1" outlineLevel="2" x14ac:dyDescent="0.2">
      <c r="A727" s="1982">
        <v>9263200</v>
      </c>
      <c r="B727" s="1982" t="s">
        <v>1830</v>
      </c>
      <c r="C727" s="1982" t="s">
        <v>1802</v>
      </c>
      <c r="D727" s="1982" t="s">
        <v>1803</v>
      </c>
      <c r="E727" s="1982" t="s">
        <v>913</v>
      </c>
      <c r="F727" s="1968">
        <v>2796.7970399999999</v>
      </c>
      <c r="G727" s="1962">
        <v>782.37010238210189</v>
      </c>
      <c r="H727" s="1962">
        <v>208.77888713351683</v>
      </c>
      <c r="I727" s="1962">
        <v>149.16014013979205</v>
      </c>
    </row>
    <row r="728" spans="1:10" ht="13.5" outlineLevel="1" collapsed="1" thickBot="1" x14ac:dyDescent="0.25">
      <c r="A728" s="1981" t="s">
        <v>1831</v>
      </c>
      <c r="B728" s="1981"/>
      <c r="C728" s="1981"/>
      <c r="D728" s="1981"/>
      <c r="E728" s="1981"/>
      <c r="F728" s="1965">
        <f t="shared" ref="F728:I728" si="236">SUBTOTAL(9,F727:F727)</f>
        <v>2796.7970399999999</v>
      </c>
      <c r="G728" s="1965">
        <f t="shared" si="236"/>
        <v>782.37010238210189</v>
      </c>
      <c r="H728" s="1965">
        <f t="shared" si="236"/>
        <v>208.77888713351683</v>
      </c>
      <c r="I728" s="1965">
        <f t="shared" si="236"/>
        <v>149.16014013979205</v>
      </c>
      <c r="J728" s="1953" t="str">
        <f>LEFT(A728,3)&amp;"*"</f>
        <v>926*</v>
      </c>
    </row>
    <row r="729" spans="1:10" ht="12.75" hidden="1" outlineLevel="2" x14ac:dyDescent="0.2">
      <c r="A729" s="1982">
        <v>9269240</v>
      </c>
      <c r="B729" s="1982" t="s">
        <v>1832</v>
      </c>
      <c r="C729" s="1982" t="s">
        <v>1802</v>
      </c>
      <c r="D729" s="1982" t="s">
        <v>1803</v>
      </c>
      <c r="E729" s="1982" t="s">
        <v>913</v>
      </c>
      <c r="F729" s="1968">
        <v>6154.8130000000001</v>
      </c>
      <c r="G729" s="1962">
        <v>1721.734401203704</v>
      </c>
      <c r="H729" s="1962">
        <v>459.45236292687946</v>
      </c>
      <c r="I729" s="1962">
        <v>328.25148070602</v>
      </c>
    </row>
    <row r="730" spans="1:10" ht="13.5" outlineLevel="1" collapsed="1" thickBot="1" x14ac:dyDescent="0.25">
      <c r="A730" s="1981" t="s">
        <v>5716</v>
      </c>
      <c r="B730" s="1981"/>
      <c r="C730" s="1981"/>
      <c r="D730" s="1981"/>
      <c r="E730" s="1981"/>
      <c r="F730" s="1965">
        <f t="shared" ref="F730:I730" si="237">SUBTOTAL(9,F729:F729)</f>
        <v>6154.8130000000001</v>
      </c>
      <c r="G730" s="1965">
        <f t="shared" si="237"/>
        <v>1721.734401203704</v>
      </c>
      <c r="H730" s="1965">
        <f t="shared" si="237"/>
        <v>459.45236292687946</v>
      </c>
      <c r="I730" s="1965">
        <f t="shared" si="237"/>
        <v>328.25148070602</v>
      </c>
      <c r="J730" s="1953" t="str">
        <f>LEFT(A730,3)&amp;"*"</f>
        <v>926*</v>
      </c>
    </row>
    <row r="731" spans="1:10" ht="12.75" hidden="1" outlineLevel="2" x14ac:dyDescent="0.2">
      <c r="A731" s="1982">
        <v>9269200</v>
      </c>
      <c r="B731" s="1982" t="s">
        <v>1833</v>
      </c>
      <c r="C731" s="1982" t="s">
        <v>1802</v>
      </c>
      <c r="D731" s="1982" t="s">
        <v>1803</v>
      </c>
      <c r="E731" s="1982" t="s">
        <v>913</v>
      </c>
      <c r="F731" s="1968">
        <v>1631.35337</v>
      </c>
      <c r="G731" s="1962">
        <v>456.35134936651929</v>
      </c>
      <c r="H731" s="1962">
        <v>121.77935554097711</v>
      </c>
      <c r="I731" s="1962">
        <v>87.004131442702771</v>
      </c>
    </row>
    <row r="732" spans="1:10" ht="13.5" outlineLevel="1" collapsed="1" thickBot="1" x14ac:dyDescent="0.25">
      <c r="A732" s="1981" t="s">
        <v>1834</v>
      </c>
      <c r="B732" s="1981"/>
      <c r="C732" s="1981"/>
      <c r="D732" s="1981"/>
      <c r="E732" s="1981"/>
      <c r="F732" s="1965">
        <f t="shared" ref="F732:I732" si="238">SUBTOTAL(9,F731:F731)</f>
        <v>1631.35337</v>
      </c>
      <c r="G732" s="1965">
        <f t="shared" si="238"/>
        <v>456.35134936651929</v>
      </c>
      <c r="H732" s="1965">
        <f t="shared" si="238"/>
        <v>121.77935554097711</v>
      </c>
      <c r="I732" s="1965">
        <f t="shared" si="238"/>
        <v>87.004131442702771</v>
      </c>
      <c r="J732" s="1953" t="str">
        <f>LEFT(A732,3)&amp;"*"</f>
        <v>926*</v>
      </c>
    </row>
    <row r="733" spans="1:10" ht="12.75" hidden="1" outlineLevel="2" x14ac:dyDescent="0.2">
      <c r="A733" s="1982">
        <v>9269400</v>
      </c>
      <c r="B733" s="1982" t="s">
        <v>1835</v>
      </c>
      <c r="C733" s="1982" t="s">
        <v>1802</v>
      </c>
      <c r="D733" s="1982" t="s">
        <v>1803</v>
      </c>
      <c r="E733" s="1982" t="s">
        <v>913</v>
      </c>
      <c r="F733" s="1968">
        <v>60689.122410000004</v>
      </c>
      <c r="G733" s="1962">
        <v>16977.047041422647</v>
      </c>
      <c r="H733" s="1962">
        <v>4530.399330610554</v>
      </c>
      <c r="I733" s="1962">
        <v>3236.7017964366105</v>
      </c>
    </row>
    <row r="734" spans="1:10" ht="13.5" outlineLevel="1" collapsed="1" thickBot="1" x14ac:dyDescent="0.25">
      <c r="A734" s="1981" t="s">
        <v>1836</v>
      </c>
      <c r="B734" s="1981"/>
      <c r="C734" s="1981"/>
      <c r="D734" s="1981"/>
      <c r="E734" s="1981"/>
      <c r="F734" s="1965">
        <f t="shared" ref="F734:I734" si="239">SUBTOTAL(9,F733:F733)</f>
        <v>60689.122410000004</v>
      </c>
      <c r="G734" s="1965">
        <f t="shared" si="239"/>
        <v>16977.047041422647</v>
      </c>
      <c r="H734" s="1965">
        <f t="shared" si="239"/>
        <v>4530.399330610554</v>
      </c>
      <c r="I734" s="1965">
        <f t="shared" si="239"/>
        <v>3236.7017964366105</v>
      </c>
      <c r="J734" s="1953" t="str">
        <f>LEFT(A734,3)&amp;"*"</f>
        <v>926*</v>
      </c>
    </row>
    <row r="735" spans="1:10" ht="12.75" hidden="1" outlineLevel="2" x14ac:dyDescent="0.2">
      <c r="A735" s="1982">
        <v>9269500</v>
      </c>
      <c r="B735" s="1982" t="s">
        <v>1837</v>
      </c>
      <c r="C735" s="1982" t="s">
        <v>1802</v>
      </c>
      <c r="D735" s="1982" t="s">
        <v>1803</v>
      </c>
      <c r="E735" s="1982" t="s">
        <v>913</v>
      </c>
      <c r="F735" s="1968">
        <v>46807.56985</v>
      </c>
      <c r="G735" s="1962">
        <v>13093.850820080204</v>
      </c>
      <c r="H735" s="1962">
        <v>3494.1514178330781</v>
      </c>
      <c r="I735" s="1962">
        <v>2496.3640831188468</v>
      </c>
    </row>
    <row r="736" spans="1:10" ht="13.5" outlineLevel="1" collapsed="1" thickBot="1" x14ac:dyDescent="0.25">
      <c r="A736" s="1981" t="s">
        <v>1838</v>
      </c>
      <c r="B736" s="1981"/>
      <c r="C736" s="1981"/>
      <c r="D736" s="1981"/>
      <c r="E736" s="1981"/>
      <c r="F736" s="1965">
        <f t="shared" ref="F736:I736" si="240">SUBTOTAL(9,F735:F735)</f>
        <v>46807.56985</v>
      </c>
      <c r="G736" s="1965">
        <f t="shared" si="240"/>
        <v>13093.850820080204</v>
      </c>
      <c r="H736" s="1965">
        <f t="shared" si="240"/>
        <v>3494.1514178330781</v>
      </c>
      <c r="I736" s="1965">
        <f t="shared" si="240"/>
        <v>2496.3640831188468</v>
      </c>
      <c r="J736" s="1953" t="str">
        <f>LEFT(A736,3)&amp;"*"</f>
        <v>926*</v>
      </c>
    </row>
    <row r="737" spans="1:10" ht="12.75" hidden="1" outlineLevel="2" x14ac:dyDescent="0.2">
      <c r="A737" s="1982">
        <v>9269600</v>
      </c>
      <c r="B737" s="1982" t="s">
        <v>1839</v>
      </c>
      <c r="C737" s="1982" t="s">
        <v>1802</v>
      </c>
      <c r="D737" s="1982" t="s">
        <v>1803</v>
      </c>
      <c r="E737" s="1982" t="s">
        <v>913</v>
      </c>
      <c r="F737" s="1968">
        <v>5226.03035</v>
      </c>
      <c r="G737" s="1962">
        <v>1461.9187025389128</v>
      </c>
      <c r="H737" s="1962">
        <v>390.11940623298983</v>
      </c>
      <c r="I737" s="1962">
        <v>278.71719264291215</v>
      </c>
    </row>
    <row r="738" spans="1:10" ht="13.5" outlineLevel="1" collapsed="1" thickBot="1" x14ac:dyDescent="0.25">
      <c r="A738" s="1981" t="s">
        <v>1840</v>
      </c>
      <c r="B738" s="1981"/>
      <c r="C738" s="1981"/>
      <c r="D738" s="1981"/>
      <c r="E738" s="1981"/>
      <c r="F738" s="1965">
        <f t="shared" ref="F738:I738" si="241">SUBTOTAL(9,F737:F737)</f>
        <v>5226.03035</v>
      </c>
      <c r="G738" s="1965">
        <f t="shared" si="241"/>
        <v>1461.9187025389128</v>
      </c>
      <c r="H738" s="1965">
        <f t="shared" si="241"/>
        <v>390.11940623298983</v>
      </c>
      <c r="I738" s="1965">
        <f t="shared" si="241"/>
        <v>278.71719264291215</v>
      </c>
      <c r="J738" s="1953" t="str">
        <f>LEFT(A738,3)&amp;"*"</f>
        <v>926*</v>
      </c>
    </row>
    <row r="739" spans="1:10" ht="12.75" hidden="1" outlineLevel="2" x14ac:dyDescent="0.2">
      <c r="A739" s="1982">
        <v>9269700</v>
      </c>
      <c r="B739" s="1982" t="s">
        <v>1841</v>
      </c>
      <c r="C739" s="1982" t="s">
        <v>1802</v>
      </c>
      <c r="D739" s="1982" t="s">
        <v>1803</v>
      </c>
      <c r="E739" s="1982" t="s">
        <v>913</v>
      </c>
      <c r="F739" s="1968">
        <v>5108.8757599999999</v>
      </c>
      <c r="G739" s="1962">
        <v>1429.1461247429806</v>
      </c>
      <c r="H739" s="1962">
        <v>381.37390036575556</v>
      </c>
      <c r="I739" s="1962">
        <v>272.4690470633459</v>
      </c>
    </row>
    <row r="740" spans="1:10" ht="13.5" outlineLevel="1" collapsed="1" thickBot="1" x14ac:dyDescent="0.25">
      <c r="A740" s="1981" t="s">
        <v>1842</v>
      </c>
      <c r="B740" s="1981"/>
      <c r="C740" s="1981"/>
      <c r="D740" s="1981"/>
      <c r="E740" s="1981"/>
      <c r="F740" s="1965">
        <f t="shared" ref="F740:I740" si="242">SUBTOTAL(9,F739:F739)</f>
        <v>5108.8757599999999</v>
      </c>
      <c r="G740" s="1965">
        <f t="shared" si="242"/>
        <v>1429.1461247429806</v>
      </c>
      <c r="H740" s="1965">
        <f t="shared" si="242"/>
        <v>381.37390036575556</v>
      </c>
      <c r="I740" s="1965">
        <f t="shared" si="242"/>
        <v>272.4690470633459</v>
      </c>
      <c r="J740" s="1953" t="str">
        <f>LEFT(A740,3)&amp;"*"</f>
        <v>926*</v>
      </c>
    </row>
    <row r="741" spans="1:10" ht="12.75" hidden="1" outlineLevel="2" x14ac:dyDescent="0.2">
      <c r="A741" s="1982">
        <v>9280000</v>
      </c>
      <c r="B741" s="1982" t="s">
        <v>1843</v>
      </c>
      <c r="C741" s="1982" t="s">
        <v>1802</v>
      </c>
      <c r="D741" s="1982" t="s">
        <v>1803</v>
      </c>
      <c r="E741" s="1982" t="s">
        <v>918</v>
      </c>
      <c r="F741" s="1968">
        <v>849.97235999999998</v>
      </c>
      <c r="G741" s="1962">
        <v>0</v>
      </c>
      <c r="H741" s="1962">
        <v>0</v>
      </c>
      <c r="I741" s="1962">
        <v>0</v>
      </c>
    </row>
    <row r="742" spans="1:10" ht="12.75" hidden="1" outlineLevel="2" x14ac:dyDescent="0.2">
      <c r="A742" s="1980">
        <v>9280000</v>
      </c>
      <c r="B742" s="1980" t="s">
        <v>1843</v>
      </c>
      <c r="C742" s="1980" t="s">
        <v>1802</v>
      </c>
      <c r="D742" s="1980" t="s">
        <v>1803</v>
      </c>
      <c r="E742" s="1980" t="s">
        <v>919</v>
      </c>
      <c r="F742" s="1962">
        <v>25.462499999999999</v>
      </c>
      <c r="G742" s="1962">
        <v>0</v>
      </c>
      <c r="H742" s="1962">
        <v>0</v>
      </c>
      <c r="I742" s="1962">
        <v>25.462499999999999</v>
      </c>
    </row>
    <row r="743" spans="1:10" ht="12.75" hidden="1" outlineLevel="2" x14ac:dyDescent="0.2">
      <c r="A743" s="1980">
        <v>9280000</v>
      </c>
      <c r="B743" s="1980" t="s">
        <v>1843</v>
      </c>
      <c r="C743" s="1980" t="s">
        <v>1802</v>
      </c>
      <c r="D743" s="1980" t="s">
        <v>1803</v>
      </c>
      <c r="E743" s="1980" t="s">
        <v>912</v>
      </c>
      <c r="F743" s="1962">
        <v>1389.8560299999999</v>
      </c>
      <c r="G743" s="1962">
        <v>1389.8560299999999</v>
      </c>
      <c r="H743" s="1962">
        <v>0</v>
      </c>
      <c r="I743" s="1962">
        <v>0</v>
      </c>
    </row>
    <row r="744" spans="1:10" ht="12.75" hidden="1" outlineLevel="2" x14ac:dyDescent="0.2">
      <c r="A744" s="1980">
        <v>9280000</v>
      </c>
      <c r="B744" s="1980" t="s">
        <v>1843</v>
      </c>
      <c r="C744" s="1980" t="s">
        <v>1802</v>
      </c>
      <c r="D744" s="1980" t="s">
        <v>1803</v>
      </c>
      <c r="E744" s="1980" t="s">
        <v>913</v>
      </c>
      <c r="F744" s="1962">
        <v>1672.0032100000001</v>
      </c>
      <c r="G744" s="1962">
        <v>467.72264983193173</v>
      </c>
      <c r="H744" s="1962">
        <v>124.81383685512907</v>
      </c>
      <c r="I744" s="1962">
        <v>89.17208848225259</v>
      </c>
    </row>
    <row r="745" spans="1:10" ht="12.75" hidden="1" outlineLevel="2" x14ac:dyDescent="0.2">
      <c r="A745" s="1980">
        <v>9280000</v>
      </c>
      <c r="B745" s="1980" t="s">
        <v>1843</v>
      </c>
      <c r="C745" s="1980" t="s">
        <v>1802</v>
      </c>
      <c r="D745" s="1980" t="s">
        <v>1803</v>
      </c>
      <c r="E745" s="1980" t="s">
        <v>920</v>
      </c>
      <c r="F745" s="1962">
        <v>165.03964999999999</v>
      </c>
      <c r="G745" s="1962">
        <v>0</v>
      </c>
      <c r="H745" s="1962">
        <v>0</v>
      </c>
      <c r="I745" s="1962">
        <v>0</v>
      </c>
    </row>
    <row r="746" spans="1:10" ht="12.75" hidden="1" outlineLevel="2" x14ac:dyDescent="0.2">
      <c r="A746" s="1980">
        <v>9280000</v>
      </c>
      <c r="B746" s="1980" t="s">
        <v>1843</v>
      </c>
      <c r="C746" s="1980" t="s">
        <v>1802</v>
      </c>
      <c r="D746" s="1980" t="s">
        <v>1803</v>
      </c>
      <c r="E746" s="1980" t="s">
        <v>921</v>
      </c>
      <c r="F746" s="1962">
        <v>736.55177000000003</v>
      </c>
      <c r="G746" s="1962">
        <v>0</v>
      </c>
      <c r="H746" s="1962">
        <v>736.55177000000003</v>
      </c>
      <c r="I746" s="1962">
        <v>0</v>
      </c>
    </row>
    <row r="747" spans="1:10" ht="12.75" hidden="1" outlineLevel="2" x14ac:dyDescent="0.2">
      <c r="A747" s="1980">
        <v>9280000</v>
      </c>
      <c r="B747" s="1980" t="s">
        <v>1843</v>
      </c>
      <c r="C747" s="1980" t="s">
        <v>1802</v>
      </c>
      <c r="D747" s="1980" t="s">
        <v>1803</v>
      </c>
      <c r="E747" s="1980" t="s">
        <v>922</v>
      </c>
      <c r="F747" s="1962">
        <v>1019.6846399999999</v>
      </c>
      <c r="G747" s="1962">
        <v>0</v>
      </c>
      <c r="H747" s="1962">
        <v>0</v>
      </c>
      <c r="I747" s="1962">
        <v>0</v>
      </c>
    </row>
    <row r="748" spans="1:10" ht="13.5" outlineLevel="1" collapsed="1" thickBot="1" x14ac:dyDescent="0.25">
      <c r="A748" s="1981" t="s">
        <v>1844</v>
      </c>
      <c r="B748" s="1981"/>
      <c r="C748" s="1981"/>
      <c r="D748" s="1981"/>
      <c r="E748" s="1981"/>
      <c r="F748" s="1965">
        <f t="shared" ref="F748:I748" si="243">SUBTOTAL(9,F741:F747)</f>
        <v>5858.5701599999993</v>
      </c>
      <c r="G748" s="1965">
        <f t="shared" si="243"/>
        <v>1857.5786798319316</v>
      </c>
      <c r="H748" s="1965">
        <f t="shared" si="243"/>
        <v>861.36560685512904</v>
      </c>
      <c r="I748" s="1965">
        <f t="shared" si="243"/>
        <v>114.63458848225258</v>
      </c>
      <c r="J748" s="1953" t="str">
        <f>LEFT(A748,3)&amp;"*"</f>
        <v>928*</v>
      </c>
    </row>
    <row r="749" spans="1:10" ht="12.75" hidden="1" outlineLevel="2" x14ac:dyDescent="0.2">
      <c r="A749" s="1982">
        <v>9282000</v>
      </c>
      <c r="B749" s="1982" t="s">
        <v>1845</v>
      </c>
      <c r="C749" s="1982" t="s">
        <v>1802</v>
      </c>
      <c r="D749" s="1982" t="s">
        <v>1803</v>
      </c>
      <c r="E749" s="1982" t="s">
        <v>918</v>
      </c>
      <c r="F749" s="1968">
        <v>186.19327999999999</v>
      </c>
      <c r="G749" s="1962">
        <v>0</v>
      </c>
      <c r="H749" s="1962">
        <v>0</v>
      </c>
      <c r="I749" s="1962">
        <v>0</v>
      </c>
    </row>
    <row r="750" spans="1:10" ht="12.75" hidden="1" outlineLevel="2" x14ac:dyDescent="0.2">
      <c r="A750" s="1980">
        <v>9282000</v>
      </c>
      <c r="B750" s="1980" t="s">
        <v>1845</v>
      </c>
      <c r="C750" s="1980" t="s">
        <v>1802</v>
      </c>
      <c r="D750" s="1980" t="s">
        <v>1803</v>
      </c>
      <c r="E750" s="1980" t="s">
        <v>919</v>
      </c>
      <c r="F750" s="1962">
        <v>606.06145000000004</v>
      </c>
      <c r="G750" s="1962">
        <v>0</v>
      </c>
      <c r="H750" s="1962">
        <v>0</v>
      </c>
      <c r="I750" s="1962">
        <v>606.06145000000004</v>
      </c>
    </row>
    <row r="751" spans="1:10" ht="12.75" hidden="1" outlineLevel="2" x14ac:dyDescent="0.2">
      <c r="A751" s="1980">
        <v>9282000</v>
      </c>
      <c r="B751" s="1980" t="s">
        <v>1845</v>
      </c>
      <c r="C751" s="1980" t="s">
        <v>1802</v>
      </c>
      <c r="D751" s="1980" t="s">
        <v>1803</v>
      </c>
      <c r="E751" s="1980" t="s">
        <v>912</v>
      </c>
      <c r="F751" s="1962">
        <v>8070.3280299999997</v>
      </c>
      <c r="G751" s="1962">
        <v>8070.3280299999997</v>
      </c>
      <c r="H751" s="1962">
        <v>0</v>
      </c>
      <c r="I751" s="1962">
        <v>0</v>
      </c>
    </row>
    <row r="752" spans="1:10" ht="12.75" hidden="1" outlineLevel="2" x14ac:dyDescent="0.2">
      <c r="A752" s="1980">
        <v>9282000</v>
      </c>
      <c r="B752" s="1980" t="s">
        <v>1845</v>
      </c>
      <c r="C752" s="1980" t="s">
        <v>1802</v>
      </c>
      <c r="D752" s="1980" t="s">
        <v>1803</v>
      </c>
      <c r="E752" s="1980" t="s">
        <v>920</v>
      </c>
      <c r="F752" s="1962">
        <v>6841.2602900000002</v>
      </c>
      <c r="G752" s="1962">
        <v>0</v>
      </c>
      <c r="H752" s="1962">
        <v>0</v>
      </c>
      <c r="I752" s="1962">
        <v>0</v>
      </c>
    </row>
    <row r="753" spans="1:10" ht="12.75" hidden="1" outlineLevel="2" x14ac:dyDescent="0.2">
      <c r="A753" s="1980">
        <v>9282000</v>
      </c>
      <c r="B753" s="1980" t="s">
        <v>1845</v>
      </c>
      <c r="C753" s="1980" t="s">
        <v>1802</v>
      </c>
      <c r="D753" s="1980" t="s">
        <v>1803</v>
      </c>
      <c r="E753" s="1980" t="s">
        <v>921</v>
      </c>
      <c r="F753" s="1962">
        <v>1333.9665600000001</v>
      </c>
      <c r="G753" s="1962">
        <v>0</v>
      </c>
      <c r="H753" s="1962">
        <v>1333.9665600000001</v>
      </c>
      <c r="I753" s="1962">
        <v>0</v>
      </c>
    </row>
    <row r="754" spans="1:10" ht="12.75" hidden="1" outlineLevel="2" x14ac:dyDescent="0.2">
      <c r="A754" s="1980">
        <v>9282000</v>
      </c>
      <c r="B754" s="1980" t="s">
        <v>1845</v>
      </c>
      <c r="C754" s="1980" t="s">
        <v>1802</v>
      </c>
      <c r="D754" s="1980" t="s">
        <v>1803</v>
      </c>
      <c r="E754" s="1980" t="s">
        <v>922</v>
      </c>
      <c r="F754" s="1962">
        <v>1809.4839400000001</v>
      </c>
      <c r="G754" s="1962">
        <v>0</v>
      </c>
      <c r="H754" s="1962">
        <v>0</v>
      </c>
      <c r="I754" s="1962">
        <v>0</v>
      </c>
    </row>
    <row r="755" spans="1:10" ht="13.5" outlineLevel="1" collapsed="1" thickBot="1" x14ac:dyDescent="0.25">
      <c r="A755" s="1981" t="s">
        <v>1846</v>
      </c>
      <c r="B755" s="1981"/>
      <c r="C755" s="1981"/>
      <c r="D755" s="1981"/>
      <c r="E755" s="1981"/>
      <c r="F755" s="1965">
        <f t="shared" ref="F755:I755" si="244">SUBTOTAL(9,F749:F754)</f>
        <v>18847.293550000002</v>
      </c>
      <c r="G755" s="1965">
        <f t="shared" si="244"/>
        <v>8070.3280299999997</v>
      </c>
      <c r="H755" s="1965">
        <f t="shared" si="244"/>
        <v>1333.9665600000001</v>
      </c>
      <c r="I755" s="1965">
        <f t="shared" si="244"/>
        <v>606.06145000000004</v>
      </c>
      <c r="J755" s="1953" t="str">
        <f>LEFT(A755,3)&amp;"*"</f>
        <v>928*</v>
      </c>
    </row>
    <row r="756" spans="1:10" ht="12.75" hidden="1" outlineLevel="2" x14ac:dyDescent="0.2">
      <c r="A756" s="1982">
        <v>9283000</v>
      </c>
      <c r="B756" s="1982" t="s">
        <v>1847</v>
      </c>
      <c r="C756" s="1982" t="s">
        <v>1802</v>
      </c>
      <c r="D756" s="1982" t="s">
        <v>1803</v>
      </c>
      <c r="E756" s="1982" t="s">
        <v>1083</v>
      </c>
      <c r="F756" s="1968">
        <v>7442.7987199999998</v>
      </c>
      <c r="G756" s="1962">
        <v>2016.5438749205084</v>
      </c>
      <c r="H756" s="1962">
        <v>566.98562583187072</v>
      </c>
      <c r="I756" s="1962">
        <v>402.92604101351259</v>
      </c>
    </row>
    <row r="757" spans="1:10" ht="13.5" outlineLevel="1" collapsed="1" thickBot="1" x14ac:dyDescent="0.25">
      <c r="A757" s="1981" t="s">
        <v>1848</v>
      </c>
      <c r="B757" s="1981"/>
      <c r="C757" s="1981"/>
      <c r="D757" s="1981"/>
      <c r="E757" s="1981"/>
      <c r="F757" s="1965">
        <f t="shared" ref="F757:I757" si="245">SUBTOTAL(9,F756:F756)</f>
        <v>7442.7987199999998</v>
      </c>
      <c r="G757" s="1965">
        <f t="shared" si="245"/>
        <v>2016.5438749205084</v>
      </c>
      <c r="H757" s="1965">
        <f t="shared" si="245"/>
        <v>566.98562583187072</v>
      </c>
      <c r="I757" s="1965">
        <f t="shared" si="245"/>
        <v>402.92604101351259</v>
      </c>
      <c r="J757" s="1953" t="str">
        <f>LEFT(A757,3)&amp;"*"</f>
        <v>928*</v>
      </c>
    </row>
    <row r="758" spans="1:10" ht="12.75" hidden="1" outlineLevel="2" x14ac:dyDescent="0.2">
      <c r="A758" s="1982">
        <v>9290000</v>
      </c>
      <c r="B758" s="1982" t="s">
        <v>1849</v>
      </c>
      <c r="C758" s="1982" t="s">
        <v>1802</v>
      </c>
      <c r="D758" s="1982" t="s">
        <v>1803</v>
      </c>
      <c r="E758" s="1982" t="s">
        <v>913</v>
      </c>
      <c r="F758" s="1968">
        <v>-18765.86145</v>
      </c>
      <c r="G758" s="1962">
        <v>-5249.5224837354808</v>
      </c>
      <c r="H758" s="1962">
        <v>-1400.8580578420394</v>
      </c>
      <c r="I758" s="1962">
        <v>-1000.8300508376973</v>
      </c>
    </row>
    <row r="759" spans="1:10" ht="13.5" outlineLevel="1" collapsed="1" thickBot="1" x14ac:dyDescent="0.25">
      <c r="A759" s="1981" t="s">
        <v>1850</v>
      </c>
      <c r="B759" s="1981"/>
      <c r="C759" s="1981"/>
      <c r="D759" s="1981"/>
      <c r="E759" s="1981"/>
      <c r="F759" s="1965">
        <f t="shared" ref="F759:I759" si="246">SUBTOTAL(9,F758:F758)</f>
        <v>-18765.86145</v>
      </c>
      <c r="G759" s="1965">
        <f t="shared" si="246"/>
        <v>-5249.5224837354808</v>
      </c>
      <c r="H759" s="1965">
        <f t="shared" si="246"/>
        <v>-1400.8580578420394</v>
      </c>
      <c r="I759" s="1965">
        <f t="shared" si="246"/>
        <v>-1000.8300508376973</v>
      </c>
      <c r="J759" s="1953" t="str">
        <f>LEFT(A759,3)&amp;"*"</f>
        <v>929*</v>
      </c>
    </row>
    <row r="760" spans="1:10" ht="12.75" hidden="1" outlineLevel="2" x14ac:dyDescent="0.2">
      <c r="A760" s="1982">
        <v>9299240</v>
      </c>
      <c r="B760" s="1982" t="s">
        <v>1851</v>
      </c>
      <c r="C760" s="1982" t="s">
        <v>1802</v>
      </c>
      <c r="D760" s="1982" t="s">
        <v>1803</v>
      </c>
      <c r="E760" s="1982" t="s">
        <v>913</v>
      </c>
      <c r="F760" s="1968">
        <v>-6154.8130000000001</v>
      </c>
      <c r="G760" s="1962">
        <v>-1721.734401203704</v>
      </c>
      <c r="H760" s="1962">
        <v>-459.45236292687946</v>
      </c>
      <c r="I760" s="1962">
        <v>-328.25148070602</v>
      </c>
    </row>
    <row r="761" spans="1:10" ht="13.5" outlineLevel="1" collapsed="1" thickBot="1" x14ac:dyDescent="0.25">
      <c r="A761" s="1981" t="s">
        <v>5717</v>
      </c>
      <c r="B761" s="1981"/>
      <c r="C761" s="1981"/>
      <c r="D761" s="1981"/>
      <c r="E761" s="1981"/>
      <c r="F761" s="1965">
        <f t="shared" ref="F761:I761" si="247">SUBTOTAL(9,F760:F760)</f>
        <v>-6154.8130000000001</v>
      </c>
      <c r="G761" s="1965">
        <f t="shared" si="247"/>
        <v>-1721.734401203704</v>
      </c>
      <c r="H761" s="1965">
        <f t="shared" si="247"/>
        <v>-459.45236292687946</v>
      </c>
      <c r="I761" s="1965">
        <f t="shared" si="247"/>
        <v>-328.25148070602</v>
      </c>
      <c r="J761" s="1953" t="str">
        <f>LEFT(A761,3)&amp;"*"</f>
        <v>929*</v>
      </c>
    </row>
    <row r="762" spans="1:10" ht="12.75" hidden="1" outlineLevel="2" x14ac:dyDescent="0.2">
      <c r="A762" s="1982">
        <v>9299200</v>
      </c>
      <c r="B762" s="1982" t="s">
        <v>1852</v>
      </c>
      <c r="C762" s="1982" t="s">
        <v>1802</v>
      </c>
      <c r="D762" s="1982" t="s">
        <v>1803</v>
      </c>
      <c r="E762" s="1982" t="s">
        <v>913</v>
      </c>
      <c r="F762" s="1968">
        <v>-1631.35337</v>
      </c>
      <c r="G762" s="1962">
        <v>-456.35134936651929</v>
      </c>
      <c r="H762" s="1962">
        <v>-121.77935554097711</v>
      </c>
      <c r="I762" s="1962">
        <v>-87.004131442702771</v>
      </c>
    </row>
    <row r="763" spans="1:10" ht="13.5" outlineLevel="1" collapsed="1" thickBot="1" x14ac:dyDescent="0.25">
      <c r="A763" s="1981" t="s">
        <v>1853</v>
      </c>
      <c r="B763" s="1981"/>
      <c r="C763" s="1981"/>
      <c r="D763" s="1981"/>
      <c r="E763" s="1981"/>
      <c r="F763" s="1965">
        <f t="shared" ref="F763:I763" si="248">SUBTOTAL(9,F762:F762)</f>
        <v>-1631.35337</v>
      </c>
      <c r="G763" s="1965">
        <f t="shared" si="248"/>
        <v>-456.35134936651929</v>
      </c>
      <c r="H763" s="1965">
        <f t="shared" si="248"/>
        <v>-121.77935554097711</v>
      </c>
      <c r="I763" s="1965">
        <f t="shared" si="248"/>
        <v>-87.004131442702771</v>
      </c>
      <c r="J763" s="1953" t="str">
        <f>LEFT(A763,3)&amp;"*"</f>
        <v>929*</v>
      </c>
    </row>
    <row r="764" spans="1:10" ht="12.75" hidden="1" outlineLevel="2" x14ac:dyDescent="0.2">
      <c r="A764" s="1982">
        <v>9299400</v>
      </c>
      <c r="B764" s="1982" t="s">
        <v>1854</v>
      </c>
      <c r="C764" s="1982" t="s">
        <v>1802</v>
      </c>
      <c r="D764" s="1982" t="s">
        <v>1803</v>
      </c>
      <c r="E764" s="1982" t="s">
        <v>913</v>
      </c>
      <c r="F764" s="1968">
        <v>-60689.122410000004</v>
      </c>
      <c r="G764" s="1962">
        <v>-16977.047041422647</v>
      </c>
      <c r="H764" s="1962">
        <v>-4530.399330610554</v>
      </c>
      <c r="I764" s="1962">
        <v>-3236.7017964366105</v>
      </c>
    </row>
    <row r="765" spans="1:10" ht="13.5" outlineLevel="1" collapsed="1" thickBot="1" x14ac:dyDescent="0.25">
      <c r="A765" s="1981" t="s">
        <v>1855</v>
      </c>
      <c r="B765" s="1981"/>
      <c r="C765" s="1981"/>
      <c r="D765" s="1981"/>
      <c r="E765" s="1981"/>
      <c r="F765" s="1965">
        <f t="shared" ref="F765:I765" si="249">SUBTOTAL(9,F764:F764)</f>
        <v>-60689.122410000004</v>
      </c>
      <c r="G765" s="1965">
        <f t="shared" si="249"/>
        <v>-16977.047041422647</v>
      </c>
      <c r="H765" s="1965">
        <f t="shared" si="249"/>
        <v>-4530.399330610554</v>
      </c>
      <c r="I765" s="1965">
        <f t="shared" si="249"/>
        <v>-3236.7017964366105</v>
      </c>
      <c r="J765" s="1953" t="str">
        <f>LEFT(A765,3)&amp;"*"</f>
        <v>929*</v>
      </c>
    </row>
    <row r="766" spans="1:10" ht="12.75" hidden="1" outlineLevel="2" x14ac:dyDescent="0.2">
      <c r="A766" s="1982">
        <v>9299500</v>
      </c>
      <c r="B766" s="1982" t="s">
        <v>1856</v>
      </c>
      <c r="C766" s="1982" t="s">
        <v>1802</v>
      </c>
      <c r="D766" s="1982" t="s">
        <v>1803</v>
      </c>
      <c r="E766" s="1982" t="s">
        <v>913</v>
      </c>
      <c r="F766" s="1968">
        <v>-46807.56985</v>
      </c>
      <c r="G766" s="1962">
        <v>-13093.850820080204</v>
      </c>
      <c r="H766" s="1962">
        <v>-3494.1514178330781</v>
      </c>
      <c r="I766" s="1962">
        <v>-2496.3640831188468</v>
      </c>
    </row>
    <row r="767" spans="1:10" ht="13.5" outlineLevel="1" collapsed="1" thickBot="1" x14ac:dyDescent="0.25">
      <c r="A767" s="1981" t="s">
        <v>1857</v>
      </c>
      <c r="B767" s="1981"/>
      <c r="C767" s="1981"/>
      <c r="D767" s="1981"/>
      <c r="E767" s="1981"/>
      <c r="F767" s="1965">
        <f t="shared" ref="F767:I767" si="250">SUBTOTAL(9,F766:F766)</f>
        <v>-46807.56985</v>
      </c>
      <c r="G767" s="1965">
        <f t="shared" si="250"/>
        <v>-13093.850820080204</v>
      </c>
      <c r="H767" s="1965">
        <f t="shared" si="250"/>
        <v>-3494.1514178330781</v>
      </c>
      <c r="I767" s="1965">
        <f t="shared" si="250"/>
        <v>-2496.3640831188468</v>
      </c>
      <c r="J767" s="1953" t="str">
        <f>LEFT(A767,3)&amp;"*"</f>
        <v>929*</v>
      </c>
    </row>
    <row r="768" spans="1:10" ht="12.75" hidden="1" outlineLevel="2" x14ac:dyDescent="0.2">
      <c r="A768" s="1982">
        <v>9299600</v>
      </c>
      <c r="B768" s="1982" t="s">
        <v>1858</v>
      </c>
      <c r="C768" s="1982" t="s">
        <v>1802</v>
      </c>
      <c r="D768" s="1982" t="s">
        <v>1803</v>
      </c>
      <c r="E768" s="1982" t="s">
        <v>913</v>
      </c>
      <c r="F768" s="1968">
        <v>-5226.03035</v>
      </c>
      <c r="G768" s="1962">
        <v>-1461.9187025389128</v>
      </c>
      <c r="H768" s="1962">
        <v>-390.11940623298983</v>
      </c>
      <c r="I768" s="1962">
        <v>-278.71719264291215</v>
      </c>
    </row>
    <row r="769" spans="1:10" ht="13.5" outlineLevel="1" collapsed="1" thickBot="1" x14ac:dyDescent="0.25">
      <c r="A769" s="1981" t="s">
        <v>1859</v>
      </c>
      <c r="B769" s="1981"/>
      <c r="C769" s="1981"/>
      <c r="D769" s="1981"/>
      <c r="E769" s="1981"/>
      <c r="F769" s="1965">
        <f t="shared" ref="F769:I769" si="251">SUBTOTAL(9,F768:F768)</f>
        <v>-5226.03035</v>
      </c>
      <c r="G769" s="1965">
        <f t="shared" si="251"/>
        <v>-1461.9187025389128</v>
      </c>
      <c r="H769" s="1965">
        <f t="shared" si="251"/>
        <v>-390.11940623298983</v>
      </c>
      <c r="I769" s="1965">
        <f t="shared" si="251"/>
        <v>-278.71719264291215</v>
      </c>
      <c r="J769" s="1953" t="str">
        <f>LEFT(A769,3)&amp;"*"</f>
        <v>929*</v>
      </c>
    </row>
    <row r="770" spans="1:10" ht="12.75" hidden="1" outlineLevel="2" x14ac:dyDescent="0.2">
      <c r="A770" s="1982">
        <v>9299700</v>
      </c>
      <c r="B770" s="1982" t="s">
        <v>1860</v>
      </c>
      <c r="C770" s="1982" t="s">
        <v>1802</v>
      </c>
      <c r="D770" s="1982" t="s">
        <v>1803</v>
      </c>
      <c r="E770" s="1982" t="s">
        <v>913</v>
      </c>
      <c r="F770" s="1968">
        <v>-5108.8757599999999</v>
      </c>
      <c r="G770" s="1962">
        <v>-1429.1461247429806</v>
      </c>
      <c r="H770" s="1962">
        <v>-381.37390036575556</v>
      </c>
      <c r="I770" s="1962">
        <v>-272.4690470633459</v>
      </c>
    </row>
    <row r="771" spans="1:10" ht="13.5" outlineLevel="1" collapsed="1" thickBot="1" x14ac:dyDescent="0.25">
      <c r="A771" s="1981" t="s">
        <v>1861</v>
      </c>
      <c r="B771" s="1981"/>
      <c r="C771" s="1981"/>
      <c r="D771" s="1981"/>
      <c r="E771" s="1981"/>
      <c r="F771" s="1965">
        <f t="shared" ref="F771:I771" si="252">SUBTOTAL(9,F770:F770)</f>
        <v>-5108.8757599999999</v>
      </c>
      <c r="G771" s="1965">
        <f t="shared" si="252"/>
        <v>-1429.1461247429806</v>
      </c>
      <c r="H771" s="1965">
        <f t="shared" si="252"/>
        <v>-381.37390036575556</v>
      </c>
      <c r="I771" s="1965">
        <f t="shared" si="252"/>
        <v>-272.4690470633459</v>
      </c>
      <c r="J771" s="1953" t="str">
        <f>LEFT(A771,3)&amp;"*"</f>
        <v>929*</v>
      </c>
    </row>
    <row r="772" spans="1:10" ht="12.75" hidden="1" outlineLevel="2" x14ac:dyDescent="0.2">
      <c r="A772" s="1982">
        <v>9301000</v>
      </c>
      <c r="B772" s="1982" t="s">
        <v>1862</v>
      </c>
      <c r="C772" s="1982" t="s">
        <v>1802</v>
      </c>
      <c r="D772" s="1982" t="s">
        <v>1803</v>
      </c>
      <c r="E772" s="1982" t="s">
        <v>913</v>
      </c>
      <c r="F772" s="1968">
        <v>48.946800000000003</v>
      </c>
      <c r="G772" s="1962">
        <v>13.692274548201134</v>
      </c>
      <c r="H772" s="1962">
        <v>3.6538434096550758</v>
      </c>
      <c r="I772" s="1962">
        <v>2.6104545460311175</v>
      </c>
    </row>
    <row r="773" spans="1:10" ht="13.5" outlineLevel="1" collapsed="1" thickBot="1" x14ac:dyDescent="0.25">
      <c r="A773" s="1981" t="s">
        <v>1863</v>
      </c>
      <c r="B773" s="1981"/>
      <c r="C773" s="1981"/>
      <c r="D773" s="1981"/>
      <c r="E773" s="1981"/>
      <c r="F773" s="1965">
        <f t="shared" ref="F773:I773" si="253">SUBTOTAL(9,F772:F772)</f>
        <v>48.946800000000003</v>
      </c>
      <c r="G773" s="1965">
        <f t="shared" si="253"/>
        <v>13.692274548201134</v>
      </c>
      <c r="H773" s="1965">
        <f t="shared" si="253"/>
        <v>3.6538434096550758</v>
      </c>
      <c r="I773" s="1965">
        <f t="shared" si="253"/>
        <v>2.6104545460311175</v>
      </c>
      <c r="J773" s="1953" t="str">
        <f>LEFT(A773,4)&amp;"*"</f>
        <v>9301*</v>
      </c>
    </row>
    <row r="774" spans="1:10" ht="12.75" hidden="1" outlineLevel="2" x14ac:dyDescent="0.2">
      <c r="A774" s="1982">
        <v>9302000</v>
      </c>
      <c r="B774" s="1982" t="s">
        <v>1864</v>
      </c>
      <c r="C774" s="1982" t="s">
        <v>1802</v>
      </c>
      <c r="D774" s="1982" t="s">
        <v>1803</v>
      </c>
      <c r="E774" s="1982" t="s">
        <v>913</v>
      </c>
      <c r="F774" s="1968">
        <v>2711.73441</v>
      </c>
      <c r="G774" s="1962">
        <v>758.57486175856684</v>
      </c>
      <c r="H774" s="1962">
        <v>202.42902299462671</v>
      </c>
      <c r="I774" s="1962">
        <v>144.62353858093911</v>
      </c>
    </row>
    <row r="775" spans="1:10" ht="12.75" hidden="1" outlineLevel="2" x14ac:dyDescent="0.2">
      <c r="A775" s="1980">
        <v>9302000</v>
      </c>
      <c r="B775" s="1980" t="s">
        <v>1864</v>
      </c>
      <c r="C775" s="1980" t="s">
        <v>1802</v>
      </c>
      <c r="D775" s="1980" t="s">
        <v>1803</v>
      </c>
      <c r="E775" s="1980" t="s">
        <v>920</v>
      </c>
      <c r="F775" s="1962">
        <v>51.008000000000003</v>
      </c>
      <c r="G775" s="1962">
        <v>0</v>
      </c>
      <c r="H775" s="1962">
        <v>0</v>
      </c>
      <c r="I775" s="1962">
        <v>0</v>
      </c>
    </row>
    <row r="776" spans="1:10" ht="12.75" hidden="1" outlineLevel="2" x14ac:dyDescent="0.2">
      <c r="A776" s="1980">
        <v>9302000</v>
      </c>
      <c r="B776" s="1980" t="s">
        <v>1864</v>
      </c>
      <c r="C776" s="1980" t="s">
        <v>1802</v>
      </c>
      <c r="D776" s="1980" t="s">
        <v>1803</v>
      </c>
      <c r="E776" s="1980" t="s">
        <v>922</v>
      </c>
      <c r="F776" s="1962">
        <v>42.852580000000003</v>
      </c>
      <c r="G776" s="1962">
        <v>0</v>
      </c>
      <c r="H776" s="1962">
        <v>0</v>
      </c>
      <c r="I776" s="1962">
        <v>0</v>
      </c>
    </row>
    <row r="777" spans="1:10" ht="13.5" outlineLevel="1" collapsed="1" thickBot="1" x14ac:dyDescent="0.25">
      <c r="A777" s="1981" t="s">
        <v>1865</v>
      </c>
      <c r="B777" s="1981"/>
      <c r="C777" s="1981"/>
      <c r="D777" s="1981"/>
      <c r="E777" s="1981"/>
      <c r="F777" s="1965">
        <f t="shared" ref="F777:I777" si="254">SUBTOTAL(9,F774:F776)</f>
        <v>2805.5949900000001</v>
      </c>
      <c r="G777" s="1965">
        <f t="shared" si="254"/>
        <v>758.57486175856684</v>
      </c>
      <c r="H777" s="1965">
        <f t="shared" si="254"/>
        <v>202.42902299462671</v>
      </c>
      <c r="I777" s="1965">
        <f t="shared" si="254"/>
        <v>144.62353858093911</v>
      </c>
      <c r="J777" s="1953" t="str">
        <f>LEFT(A777,4)&amp;"*"</f>
        <v>9302*</v>
      </c>
    </row>
    <row r="778" spans="1:10" ht="12.75" hidden="1" outlineLevel="2" x14ac:dyDescent="0.2">
      <c r="A778" s="1982">
        <v>9310000</v>
      </c>
      <c r="B778" s="1982" t="s">
        <v>1866</v>
      </c>
      <c r="C778" s="1982" t="s">
        <v>1802</v>
      </c>
      <c r="D778" s="1982" t="s">
        <v>1803</v>
      </c>
      <c r="E778" s="1982" t="s">
        <v>918</v>
      </c>
      <c r="F778" s="1968">
        <v>67.241810000000001</v>
      </c>
      <c r="G778" s="1962">
        <v>0</v>
      </c>
      <c r="H778" s="1962">
        <v>0</v>
      </c>
      <c r="I778" s="1962">
        <v>0</v>
      </c>
    </row>
    <row r="779" spans="1:10" ht="12.75" hidden="1" outlineLevel="2" x14ac:dyDescent="0.2">
      <c r="A779" s="1980">
        <v>9310000</v>
      </c>
      <c r="B779" s="1980" t="s">
        <v>1866</v>
      </c>
      <c r="C779" s="1980" t="s">
        <v>1802</v>
      </c>
      <c r="D779" s="1980" t="s">
        <v>1803</v>
      </c>
      <c r="E779" s="1980" t="s">
        <v>919</v>
      </c>
      <c r="F779" s="1962">
        <v>1.6000000000000001E-3</v>
      </c>
      <c r="G779" s="1962">
        <v>0</v>
      </c>
      <c r="H779" s="1962">
        <v>0</v>
      </c>
      <c r="I779" s="1962">
        <v>1.6000000000000001E-3</v>
      </c>
    </row>
    <row r="780" spans="1:10" ht="12.75" hidden="1" outlineLevel="2" x14ac:dyDescent="0.2">
      <c r="A780" s="1980">
        <v>9310000</v>
      </c>
      <c r="B780" s="1980" t="s">
        <v>1866</v>
      </c>
      <c r="C780" s="1980" t="s">
        <v>1802</v>
      </c>
      <c r="D780" s="1980" t="s">
        <v>1803</v>
      </c>
      <c r="E780" s="1980" t="s">
        <v>912</v>
      </c>
      <c r="F780" s="1962">
        <v>262.26598000000001</v>
      </c>
      <c r="G780" s="1962">
        <v>262.26598000000001</v>
      </c>
      <c r="H780" s="1962">
        <v>0</v>
      </c>
      <c r="I780" s="1962">
        <v>0</v>
      </c>
    </row>
    <row r="781" spans="1:10" ht="12.75" hidden="1" outlineLevel="2" x14ac:dyDescent="0.2">
      <c r="A781" s="1980">
        <v>9310000</v>
      </c>
      <c r="B781" s="1980" t="s">
        <v>1866</v>
      </c>
      <c r="C781" s="1980" t="s">
        <v>1802</v>
      </c>
      <c r="D781" s="1980" t="s">
        <v>1803</v>
      </c>
      <c r="E781" s="1980" t="s">
        <v>913</v>
      </c>
      <c r="F781" s="1962">
        <v>1168.0312799999999</v>
      </c>
      <c r="G781" s="1962">
        <v>326.74260557680566</v>
      </c>
      <c r="H781" s="1962">
        <v>87.192694817617934</v>
      </c>
      <c r="I781" s="1962">
        <v>62.294012372260184</v>
      </c>
    </row>
    <row r="782" spans="1:10" ht="12.75" hidden="1" outlineLevel="2" x14ac:dyDescent="0.2">
      <c r="A782" s="1980">
        <v>9310000</v>
      </c>
      <c r="B782" s="1980" t="s">
        <v>1866</v>
      </c>
      <c r="C782" s="1980" t="s">
        <v>1802</v>
      </c>
      <c r="D782" s="1980" t="s">
        <v>1803</v>
      </c>
      <c r="E782" s="1980" t="s">
        <v>920</v>
      </c>
      <c r="F782" s="1962">
        <v>1.39215</v>
      </c>
      <c r="G782" s="1962">
        <v>0</v>
      </c>
      <c r="H782" s="1962">
        <v>0</v>
      </c>
      <c r="I782" s="1962">
        <v>0</v>
      </c>
    </row>
    <row r="783" spans="1:10" ht="12.75" hidden="1" outlineLevel="2" x14ac:dyDescent="0.2">
      <c r="A783" s="1980">
        <v>9310000</v>
      </c>
      <c r="B783" s="1980" t="s">
        <v>1866</v>
      </c>
      <c r="C783" s="1980" t="s">
        <v>1802</v>
      </c>
      <c r="D783" s="1980" t="s">
        <v>1803</v>
      </c>
      <c r="E783" s="1980" t="s">
        <v>921</v>
      </c>
      <c r="F783" s="1962">
        <v>15.929410000000001</v>
      </c>
      <c r="G783" s="1962">
        <v>0</v>
      </c>
      <c r="H783" s="1962">
        <v>15.929410000000001</v>
      </c>
      <c r="I783" s="1962">
        <v>0</v>
      </c>
    </row>
    <row r="784" spans="1:10" ht="12.75" hidden="1" outlineLevel="2" x14ac:dyDescent="0.2">
      <c r="A784" s="1980">
        <v>9310000</v>
      </c>
      <c r="B784" s="1980" t="s">
        <v>1866</v>
      </c>
      <c r="C784" s="1980" t="s">
        <v>1802</v>
      </c>
      <c r="D784" s="1980" t="s">
        <v>1803</v>
      </c>
      <c r="E784" s="1980" t="s">
        <v>922</v>
      </c>
      <c r="F784" s="1962">
        <v>-4.3701800000000004</v>
      </c>
      <c r="G784" s="1962">
        <v>0</v>
      </c>
      <c r="H784" s="1962">
        <v>0</v>
      </c>
      <c r="I784" s="1962">
        <v>0</v>
      </c>
    </row>
    <row r="785" spans="1:10" ht="13.5" outlineLevel="1" collapsed="1" thickBot="1" x14ac:dyDescent="0.25">
      <c r="A785" s="1981" t="s">
        <v>1867</v>
      </c>
      <c r="B785" s="1981"/>
      <c r="C785" s="1981"/>
      <c r="D785" s="1981"/>
      <c r="E785" s="1981"/>
      <c r="F785" s="1965">
        <f t="shared" ref="F785:I785" si="255">SUBTOTAL(9,F778:F784)</f>
        <v>1510.4920499999998</v>
      </c>
      <c r="G785" s="1965">
        <f t="shared" si="255"/>
        <v>589.00858557680567</v>
      </c>
      <c r="H785" s="1965">
        <f t="shared" si="255"/>
        <v>103.12210481761794</v>
      </c>
      <c r="I785" s="1965">
        <f t="shared" si="255"/>
        <v>62.295612372260187</v>
      </c>
      <c r="J785" s="1953" t="str">
        <f>LEFT(A785,3)&amp;"*"</f>
        <v>931*</v>
      </c>
    </row>
    <row r="786" spans="1:10" ht="12.75" hidden="1" outlineLevel="2" x14ac:dyDescent="0.2">
      <c r="A786" s="1982">
        <v>9350000</v>
      </c>
      <c r="B786" s="1982" t="s">
        <v>1868</v>
      </c>
      <c r="C786" s="1982" t="s">
        <v>1802</v>
      </c>
      <c r="D786" s="1982" t="s">
        <v>1803</v>
      </c>
      <c r="E786" s="1982" t="s">
        <v>918</v>
      </c>
      <c r="F786" s="1968">
        <v>166.10867999999999</v>
      </c>
      <c r="G786" s="1962">
        <v>0</v>
      </c>
      <c r="H786" s="1962">
        <v>0</v>
      </c>
      <c r="I786" s="1962">
        <v>0</v>
      </c>
    </row>
    <row r="787" spans="1:10" ht="12.75" hidden="1" outlineLevel="2" x14ac:dyDescent="0.2">
      <c r="A787" s="1980">
        <v>9350000</v>
      </c>
      <c r="B787" s="1980" t="s">
        <v>1868</v>
      </c>
      <c r="C787" s="1980" t="s">
        <v>1802</v>
      </c>
      <c r="D787" s="1980" t="s">
        <v>1803</v>
      </c>
      <c r="E787" s="1980" t="s">
        <v>1754</v>
      </c>
      <c r="F787" s="1962">
        <v>37.535469999999997</v>
      </c>
      <c r="G787" s="1962">
        <v>11.441799041795667</v>
      </c>
      <c r="H787" s="1962">
        <v>2.5039865891370598</v>
      </c>
      <c r="I787" s="1962">
        <v>1.6028272139703459</v>
      </c>
    </row>
    <row r="788" spans="1:10" ht="12.75" hidden="1" outlineLevel="2" x14ac:dyDescent="0.2">
      <c r="A788" s="1980">
        <v>9350000</v>
      </c>
      <c r="B788" s="1980" t="s">
        <v>1868</v>
      </c>
      <c r="C788" s="1980" t="s">
        <v>1802</v>
      </c>
      <c r="D788" s="1980" t="s">
        <v>1803</v>
      </c>
      <c r="E788" s="1980" t="s">
        <v>919</v>
      </c>
      <c r="F788" s="1962">
        <v>0.85052000000000005</v>
      </c>
      <c r="G788" s="1962">
        <v>0</v>
      </c>
      <c r="H788" s="1962">
        <v>0</v>
      </c>
      <c r="I788" s="1962">
        <v>0.85052000000000005</v>
      </c>
    </row>
    <row r="789" spans="1:10" ht="12.75" hidden="1" outlineLevel="2" x14ac:dyDescent="0.2">
      <c r="A789" s="1980">
        <v>9350000</v>
      </c>
      <c r="B789" s="1980" t="s">
        <v>1868</v>
      </c>
      <c r="C789" s="1980" t="s">
        <v>1802</v>
      </c>
      <c r="D789" s="1980" t="s">
        <v>1803</v>
      </c>
      <c r="E789" s="1980" t="s">
        <v>912</v>
      </c>
      <c r="F789" s="1962">
        <v>275.05586</v>
      </c>
      <c r="G789" s="1962">
        <v>275.05586</v>
      </c>
      <c r="H789" s="1962">
        <v>0</v>
      </c>
      <c r="I789" s="1962">
        <v>0</v>
      </c>
    </row>
    <row r="790" spans="1:10" ht="12.75" hidden="1" outlineLevel="2" x14ac:dyDescent="0.2">
      <c r="A790" s="1980">
        <v>9350000</v>
      </c>
      <c r="B790" s="1980" t="s">
        <v>1868</v>
      </c>
      <c r="C790" s="1980" t="s">
        <v>1802</v>
      </c>
      <c r="D790" s="1980" t="s">
        <v>1803</v>
      </c>
      <c r="E790" s="1980" t="s">
        <v>913</v>
      </c>
      <c r="F790" s="1962">
        <v>36131.892010000003</v>
      </c>
      <c r="G790" s="1962">
        <v>10107.459228118589</v>
      </c>
      <c r="H790" s="1962">
        <v>2697.2197467272099</v>
      </c>
      <c r="I790" s="1962">
        <v>1927.0036397519332</v>
      </c>
    </row>
    <row r="791" spans="1:10" ht="12.75" hidden="1" outlineLevel="2" x14ac:dyDescent="0.2">
      <c r="A791" s="1980">
        <v>9350000</v>
      </c>
      <c r="B791" s="1980" t="s">
        <v>1868</v>
      </c>
      <c r="C791" s="1980" t="s">
        <v>1802</v>
      </c>
      <c r="D791" s="1980" t="s">
        <v>1803</v>
      </c>
      <c r="E791" s="1980" t="s">
        <v>920</v>
      </c>
      <c r="F791" s="1962">
        <v>56.916249999999998</v>
      </c>
      <c r="G791" s="1962">
        <v>0</v>
      </c>
      <c r="H791" s="1962">
        <v>0</v>
      </c>
      <c r="I791" s="1962">
        <v>0</v>
      </c>
    </row>
    <row r="792" spans="1:10" ht="12.75" hidden="1" outlineLevel="2" x14ac:dyDescent="0.2">
      <c r="A792" s="1980">
        <v>9350000</v>
      </c>
      <c r="B792" s="1980" t="s">
        <v>1868</v>
      </c>
      <c r="C792" s="1980" t="s">
        <v>1802</v>
      </c>
      <c r="D792" s="1980" t="s">
        <v>1803</v>
      </c>
      <c r="E792" s="1980" t="s">
        <v>921</v>
      </c>
      <c r="F792" s="1962">
        <v>188.00262000000001</v>
      </c>
      <c r="G792" s="1962">
        <v>0</v>
      </c>
      <c r="H792" s="1962">
        <v>188.00262000000001</v>
      </c>
      <c r="I792" s="1962">
        <v>0</v>
      </c>
    </row>
    <row r="793" spans="1:10" ht="12.75" hidden="1" outlineLevel="2" x14ac:dyDescent="0.2">
      <c r="A793" s="1980">
        <v>9350000</v>
      </c>
      <c r="B793" s="1980" t="s">
        <v>1868</v>
      </c>
      <c r="C793" s="1980" t="s">
        <v>1802</v>
      </c>
      <c r="D793" s="1980" t="s">
        <v>1803</v>
      </c>
      <c r="E793" s="1980" t="s">
        <v>922</v>
      </c>
      <c r="F793" s="1962">
        <v>11.75076</v>
      </c>
      <c r="G793" s="1962">
        <v>0</v>
      </c>
      <c r="H793" s="1962">
        <v>0</v>
      </c>
      <c r="I793" s="1962">
        <v>0</v>
      </c>
    </row>
    <row r="794" spans="1:10" ht="12.75" hidden="1" outlineLevel="2" x14ac:dyDescent="0.2">
      <c r="A794" s="1980">
        <v>9350000</v>
      </c>
      <c r="B794" s="1980" t="s">
        <v>1868</v>
      </c>
      <c r="C794" s="1980" t="s">
        <v>1802</v>
      </c>
      <c r="D794" s="1980" t="s">
        <v>1803</v>
      </c>
      <c r="E794" s="1980" t="s">
        <v>923</v>
      </c>
      <c r="F794" s="1962">
        <v>1.8869899999999999</v>
      </c>
      <c r="G794" s="1962">
        <v>0</v>
      </c>
      <c r="H794" s="1962">
        <v>0</v>
      </c>
      <c r="I794" s="1962">
        <v>0</v>
      </c>
    </row>
    <row r="795" spans="1:10" ht="13.5" outlineLevel="1" collapsed="1" thickBot="1" x14ac:dyDescent="0.25">
      <c r="A795" s="1981" t="s">
        <v>1869</v>
      </c>
      <c r="B795" s="1981"/>
      <c r="C795" s="1981"/>
      <c r="D795" s="1981"/>
      <c r="E795" s="1981"/>
      <c r="F795" s="1965">
        <f t="shared" ref="F795:I795" si="256">SUBTOTAL(9,F786:F794)</f>
        <v>36869.999160000007</v>
      </c>
      <c r="G795" s="1965">
        <f t="shared" si="256"/>
        <v>10393.956887160384</v>
      </c>
      <c r="H795" s="1965">
        <f t="shared" si="256"/>
        <v>2887.7263533163473</v>
      </c>
      <c r="I795" s="1965">
        <f t="shared" si="256"/>
        <v>1929.4569869659035</v>
      </c>
      <c r="J795" s="1953" t="str">
        <f>LEFT(A795,3)&amp;"*"</f>
        <v>935*</v>
      </c>
    </row>
    <row r="796" spans="1:10" ht="12.75" hidden="1" outlineLevel="2" x14ac:dyDescent="0.2">
      <c r="A796" s="1982">
        <v>9359500</v>
      </c>
      <c r="B796" s="1982" t="s">
        <v>1870</v>
      </c>
      <c r="C796" s="1982" t="s">
        <v>1802</v>
      </c>
      <c r="D796" s="1982" t="s">
        <v>1803</v>
      </c>
      <c r="E796" s="1982" t="s">
        <v>913</v>
      </c>
      <c r="F796" s="1962">
        <v>159.82588000000001</v>
      </c>
      <c r="G796" s="1962">
        <v>44.709354418835325</v>
      </c>
      <c r="H796" s="1962">
        <v>11.930886969736999</v>
      </c>
      <c r="I796" s="1962">
        <v>8.52391157377855</v>
      </c>
    </row>
    <row r="797" spans="1:10" ht="13.5" outlineLevel="1" collapsed="1" thickBot="1" x14ac:dyDescent="0.25">
      <c r="A797" s="1981" t="s">
        <v>1871</v>
      </c>
      <c r="B797" s="1981"/>
      <c r="C797" s="1981"/>
      <c r="D797" s="1981"/>
      <c r="E797" s="1981"/>
      <c r="F797" s="1974">
        <f t="shared" ref="F797:I797" si="257">SUBTOTAL(9,F796:F796)</f>
        <v>159.82588000000001</v>
      </c>
      <c r="G797" s="1965">
        <f t="shared" si="257"/>
        <v>44.709354418835325</v>
      </c>
      <c r="H797" s="1965">
        <f t="shared" si="257"/>
        <v>11.930886969736999</v>
      </c>
      <c r="I797" s="1965">
        <f t="shared" si="257"/>
        <v>8.52391157377855</v>
      </c>
      <c r="J797" s="1953" t="str">
        <f>LEFT(A797,3)&amp;"*"</f>
        <v>935*</v>
      </c>
    </row>
    <row r="798" spans="1:10" ht="13.5" thickBot="1" x14ac:dyDescent="0.25">
      <c r="A798" s="1983" t="s">
        <v>1342</v>
      </c>
      <c r="B798" s="1983"/>
      <c r="C798" s="1983"/>
      <c r="D798" s="1983"/>
      <c r="E798" s="1983"/>
      <c r="F798" s="1974">
        <f>SUBTOTAL(9,F37:F797)</f>
        <v>5421403.1572599933</v>
      </c>
      <c r="G798" s="1970">
        <f t="shared" ref="G798:H798" si="258">SUBTOTAL(9,G37:G797)</f>
        <v>1698222.6022789339</v>
      </c>
      <c r="H798" s="1970">
        <f t="shared" si="258"/>
        <v>444511.64427414408</v>
      </c>
      <c r="I798" s="1970">
        <f t="shared" ref="I798" si="259">SUBTOTAL(9,I37:I797)</f>
        <v>313899.67190552549</v>
      </c>
    </row>
    <row r="799" spans="1:10" ht="12.75" x14ac:dyDescent="0.2">
      <c r="G799" s="1976">
        <f>G798+H798+I798</f>
        <v>2456633.9184586033</v>
      </c>
    </row>
    <row r="800" spans="1:10" ht="12.75" x14ac:dyDescent="0.2"/>
    <row r="801" spans="1:9" ht="12.75" x14ac:dyDescent="0.2"/>
    <row r="802" spans="1:9" ht="12.75" x14ac:dyDescent="0.2"/>
    <row r="803" spans="1:9" ht="12.75" x14ac:dyDescent="0.2">
      <c r="A803" s="2042" t="s">
        <v>5469</v>
      </c>
      <c r="B803" s="2043"/>
      <c r="F803" s="2023" t="s">
        <v>5459</v>
      </c>
      <c r="G803" s="2024" t="s">
        <v>898</v>
      </c>
      <c r="H803" s="2025" t="s">
        <v>899</v>
      </c>
      <c r="I803" s="2025" t="s">
        <v>900</v>
      </c>
    </row>
    <row r="804" spans="1:9" ht="12.75" x14ac:dyDescent="0.2">
      <c r="A804" s="2043" t="s">
        <v>5470</v>
      </c>
      <c r="B804" s="2043" t="s">
        <v>1350</v>
      </c>
      <c r="F804" s="2023" t="s">
        <v>5459</v>
      </c>
      <c r="G804" s="2044">
        <f>SUMIF($J$37:$J$798,$A804,G$37:G$798)</f>
        <v>4336.8530050196614</v>
      </c>
      <c r="H804" s="2044">
        <f>SUMIF($J$37:$J$798,$A804,H$37:H$798)</f>
        <v>1219.3800223111102</v>
      </c>
      <c r="I804" s="2044">
        <f>SUMIF($J$37:$J$798,$A804,I$37:I$798)</f>
        <v>866.54747932970736</v>
      </c>
    </row>
    <row r="805" spans="1:9" ht="12.75" x14ac:dyDescent="0.2">
      <c r="A805" s="2043" t="s">
        <v>5471</v>
      </c>
      <c r="B805" s="2043" t="s">
        <v>1355</v>
      </c>
      <c r="F805" s="2023" t="s">
        <v>5459</v>
      </c>
      <c r="G805" s="2044">
        <f t="shared" ref="G805:I836" si="260">SUMIF($J$37:$J$798,$A805,G$37:G$798)</f>
        <v>167683.45016221868</v>
      </c>
      <c r="H805" s="2044">
        <f t="shared" si="260"/>
        <v>46345.806474037134</v>
      </c>
      <c r="I805" s="2044">
        <f t="shared" si="260"/>
        <v>38359.60420671937</v>
      </c>
    </row>
    <row r="806" spans="1:9" ht="12.75" x14ac:dyDescent="0.2">
      <c r="A806" s="2043" t="s">
        <v>5472</v>
      </c>
      <c r="B806" s="2043" t="s">
        <v>1381</v>
      </c>
      <c r="F806" s="2023" t="s">
        <v>5459</v>
      </c>
      <c r="G806" s="2044">
        <f t="shared" si="260"/>
        <v>20041.251162437711</v>
      </c>
      <c r="H806" s="2044">
        <f t="shared" si="260"/>
        <v>5634.9388050068519</v>
      </c>
      <c r="I806" s="2044">
        <f t="shared" si="260"/>
        <v>4004.4464632126119</v>
      </c>
    </row>
    <row r="807" spans="1:9" ht="12.75" x14ac:dyDescent="0.2">
      <c r="A807" s="2043" t="s">
        <v>5473</v>
      </c>
      <c r="B807" s="2043" t="s">
        <v>1391</v>
      </c>
      <c r="F807" s="2023" t="s">
        <v>5459</v>
      </c>
      <c r="G807" s="2044">
        <f t="shared" si="260"/>
        <v>2788.9390450209826</v>
      </c>
      <c r="H807" s="2044">
        <f t="shared" si="260"/>
        <v>770.83116505168016</v>
      </c>
      <c r="I807" s="2044">
        <f t="shared" si="260"/>
        <v>636.9955062513327</v>
      </c>
    </row>
    <row r="808" spans="1:9" ht="12.75" x14ac:dyDescent="0.2">
      <c r="A808" s="2043" t="s">
        <v>5474</v>
      </c>
      <c r="B808" s="2043" t="s">
        <v>5459</v>
      </c>
      <c r="F808" s="2023" t="s">
        <v>5459</v>
      </c>
      <c r="G808" s="2044">
        <f t="shared" si="260"/>
        <v>0</v>
      </c>
      <c r="H808" s="2044">
        <f t="shared" si="260"/>
        <v>0</v>
      </c>
      <c r="I808" s="2044">
        <f t="shared" si="260"/>
        <v>0</v>
      </c>
    </row>
    <row r="809" spans="1:9" ht="12.75" x14ac:dyDescent="0.2">
      <c r="A809" s="2043" t="s">
        <v>5475</v>
      </c>
      <c r="B809" s="2043" t="s">
        <v>1393</v>
      </c>
      <c r="F809" s="2023" t="s">
        <v>5459</v>
      </c>
      <c r="G809" s="2044">
        <f t="shared" si="260"/>
        <v>202.08808972298425</v>
      </c>
      <c r="H809" s="2044">
        <f t="shared" si="260"/>
        <v>56.820505345697093</v>
      </c>
      <c r="I809" s="2044">
        <f t="shared" si="260"/>
        <v>40.379262232157174</v>
      </c>
    </row>
    <row r="810" spans="1:9" ht="12.75" x14ac:dyDescent="0.2">
      <c r="A810" s="2043" t="s">
        <v>5476</v>
      </c>
      <c r="B810" s="2043" t="s">
        <v>1397</v>
      </c>
      <c r="F810" s="2023" t="s">
        <v>5459</v>
      </c>
      <c r="G810" s="2044">
        <f t="shared" si="260"/>
        <v>9619.6398837104007</v>
      </c>
      <c r="H810" s="2044">
        <f t="shared" si="260"/>
        <v>2704.7254501009916</v>
      </c>
      <c r="I810" s="2044">
        <f t="shared" si="260"/>
        <v>1922.1021979856052</v>
      </c>
    </row>
    <row r="811" spans="1:9" ht="12.75" x14ac:dyDescent="0.2">
      <c r="A811" s="2043" t="s">
        <v>5477</v>
      </c>
      <c r="B811" s="2043" t="s">
        <v>1429</v>
      </c>
      <c r="F811" s="2023" t="s">
        <v>5459</v>
      </c>
      <c r="G811" s="2044">
        <f t="shared" si="260"/>
        <v>101.14946313264127</v>
      </c>
      <c r="H811" s="2044">
        <f t="shared" si="260"/>
        <v>28.4398928136781</v>
      </c>
      <c r="I811" s="2044">
        <f t="shared" si="260"/>
        <v>20.210694762237186</v>
      </c>
    </row>
    <row r="812" spans="1:9" ht="12.75" x14ac:dyDescent="0.2">
      <c r="A812" s="2043" t="s">
        <v>5478</v>
      </c>
      <c r="B812" s="2043" t="s">
        <v>5459</v>
      </c>
      <c r="F812" s="2023" t="s">
        <v>5459</v>
      </c>
      <c r="G812" s="2044">
        <f t="shared" si="260"/>
        <v>0</v>
      </c>
      <c r="H812" s="2044">
        <f t="shared" si="260"/>
        <v>0</v>
      </c>
      <c r="I812" s="2044">
        <f t="shared" si="260"/>
        <v>0</v>
      </c>
    </row>
    <row r="813" spans="1:9" ht="12.75" x14ac:dyDescent="0.2">
      <c r="A813" s="2043" t="s">
        <v>5479</v>
      </c>
      <c r="B813" s="2043" t="s">
        <v>5459</v>
      </c>
      <c r="F813" s="2023" t="s">
        <v>5459</v>
      </c>
      <c r="G813" s="2044">
        <f t="shared" si="260"/>
        <v>0</v>
      </c>
      <c r="H813" s="2044">
        <f t="shared" si="260"/>
        <v>0</v>
      </c>
      <c r="I813" s="2044">
        <f t="shared" si="260"/>
        <v>0</v>
      </c>
    </row>
    <row r="814" spans="1:9" ht="12.75" x14ac:dyDescent="0.2">
      <c r="A814" s="2043" t="s">
        <v>5480</v>
      </c>
      <c r="B814" s="2043" t="s">
        <v>1431</v>
      </c>
      <c r="F814" s="2023" t="s">
        <v>5459</v>
      </c>
      <c r="G814" s="2044">
        <f t="shared" si="260"/>
        <v>1346.7457936632272</v>
      </c>
      <c r="H814" s="2044">
        <f t="shared" si="260"/>
        <v>378.66049737533473</v>
      </c>
      <c r="I814" s="2044">
        <f t="shared" si="260"/>
        <v>269.09355042608024</v>
      </c>
    </row>
    <row r="815" spans="1:9" ht="12.75" x14ac:dyDescent="0.2">
      <c r="A815" s="2043" t="s">
        <v>5481</v>
      </c>
      <c r="B815" s="2043" t="s">
        <v>1435</v>
      </c>
      <c r="F815" s="2023" t="s">
        <v>5459</v>
      </c>
      <c r="G815" s="2044">
        <f t="shared" si="260"/>
        <v>6676.8380150853145</v>
      </c>
      <c r="H815" s="2044">
        <f t="shared" si="260"/>
        <v>1877.3066272661208</v>
      </c>
      <c r="I815" s="2044">
        <f t="shared" si="260"/>
        <v>1334.1003592162831</v>
      </c>
    </row>
    <row r="816" spans="1:9" ht="12.75" x14ac:dyDescent="0.2">
      <c r="A816" s="2043" t="s">
        <v>5482</v>
      </c>
      <c r="B816" s="2043" t="s">
        <v>1456</v>
      </c>
      <c r="F816" s="2023" t="s">
        <v>5459</v>
      </c>
      <c r="G816" s="2044">
        <f t="shared" si="260"/>
        <v>23807.456751610516</v>
      </c>
      <c r="H816" s="2044">
        <f t="shared" si="260"/>
        <v>6693.8715956820879</v>
      </c>
      <c r="I816" s="2044">
        <f t="shared" si="260"/>
        <v>4756.9727665384844</v>
      </c>
    </row>
    <row r="817" spans="1:9" ht="12.75" x14ac:dyDescent="0.2">
      <c r="A817" s="2043" t="s">
        <v>5483</v>
      </c>
      <c r="B817" s="2043" t="s">
        <v>1518</v>
      </c>
      <c r="F817" s="2023" t="s">
        <v>5459</v>
      </c>
      <c r="G817" s="2044">
        <f t="shared" si="260"/>
        <v>10204.458922527607</v>
      </c>
      <c r="H817" s="2044">
        <f t="shared" si="260"/>
        <v>2869.1572746925772</v>
      </c>
      <c r="I817" s="2044">
        <f t="shared" si="260"/>
        <v>2038.9550088520359</v>
      </c>
    </row>
    <row r="818" spans="1:9" ht="12.75" x14ac:dyDescent="0.2">
      <c r="A818" s="2045" t="s">
        <v>5484</v>
      </c>
      <c r="B818" s="2045" t="s">
        <v>1544</v>
      </c>
      <c r="F818" s="2046" t="s">
        <v>5459</v>
      </c>
      <c r="G818" s="2044">
        <f t="shared" si="260"/>
        <v>3833.9709687225632</v>
      </c>
      <c r="H818" s="2044">
        <f t="shared" si="260"/>
        <v>1077.9861802947767</v>
      </c>
      <c r="I818" s="2044">
        <f t="shared" si="260"/>
        <v>766.0665175703258</v>
      </c>
    </row>
    <row r="819" spans="1:9" ht="12.75" x14ac:dyDescent="0.2">
      <c r="A819" s="2043" t="s">
        <v>5485</v>
      </c>
      <c r="B819" s="2043" t="s">
        <v>1564</v>
      </c>
      <c r="F819" s="2023" t="s">
        <v>5459</v>
      </c>
      <c r="G819" s="2044">
        <f t="shared" si="260"/>
        <v>3481.3553686937521</v>
      </c>
      <c r="H819" s="2044">
        <f t="shared" si="260"/>
        <v>978.84230390959397</v>
      </c>
      <c r="I819" s="2044">
        <f t="shared" si="260"/>
        <v>695.61032294633628</v>
      </c>
    </row>
    <row r="820" spans="1:9" ht="12.75" x14ac:dyDescent="0.2">
      <c r="A820" s="2043" t="s">
        <v>5486</v>
      </c>
      <c r="B820" s="2043" t="s">
        <v>1570</v>
      </c>
      <c r="F820" s="2023" t="s">
        <v>5459</v>
      </c>
      <c r="G820" s="2044">
        <f t="shared" si="260"/>
        <v>89.931285763579481</v>
      </c>
      <c r="H820" s="2044">
        <f t="shared" si="260"/>
        <v>25.285711347360554</v>
      </c>
      <c r="I820" s="2044">
        <f t="shared" si="260"/>
        <v>17.969188464794669</v>
      </c>
    </row>
    <row r="821" spans="1:9" ht="12.75" x14ac:dyDescent="0.2">
      <c r="A821" s="2043" t="s">
        <v>5487</v>
      </c>
      <c r="B821" s="2043" t="s">
        <v>1572</v>
      </c>
      <c r="F821" s="2023" t="s">
        <v>5459</v>
      </c>
      <c r="G821" s="2044">
        <f t="shared" si="260"/>
        <v>1425.9717162869038</v>
      </c>
      <c r="H821" s="2044">
        <f t="shared" si="260"/>
        <v>400.93621370343254</v>
      </c>
      <c r="I821" s="2044">
        <f t="shared" si="260"/>
        <v>284.9236981086637</v>
      </c>
    </row>
    <row r="822" spans="1:9" ht="12.75" x14ac:dyDescent="0.2">
      <c r="A822" s="2043" t="s">
        <v>5488</v>
      </c>
      <c r="B822" s="2043" t="s">
        <v>5459</v>
      </c>
      <c r="F822" s="2023" t="s">
        <v>5459</v>
      </c>
      <c r="G822" s="2044">
        <f t="shared" si="260"/>
        <v>0</v>
      </c>
      <c r="H822" s="2044">
        <f t="shared" si="260"/>
        <v>0</v>
      </c>
      <c r="I822" s="2044">
        <f t="shared" si="260"/>
        <v>0</v>
      </c>
    </row>
    <row r="823" spans="1:9" ht="12.75" x14ac:dyDescent="0.2">
      <c r="A823" s="2045" t="s">
        <v>5489</v>
      </c>
      <c r="B823" s="2045" t="s">
        <v>1582</v>
      </c>
      <c r="F823" s="2046" t="s">
        <v>5459</v>
      </c>
      <c r="G823" s="2044">
        <f t="shared" si="260"/>
        <v>7889.3391858825325</v>
      </c>
      <c r="H823" s="2044">
        <f t="shared" si="260"/>
        <v>2218.2219644905272</v>
      </c>
      <c r="I823" s="2044">
        <f t="shared" si="260"/>
        <v>1576.3704642953658</v>
      </c>
    </row>
    <row r="824" spans="1:9" ht="12.75" x14ac:dyDescent="0.2">
      <c r="A824" s="2043" t="s">
        <v>5490</v>
      </c>
      <c r="B824" s="2043" t="s">
        <v>1584</v>
      </c>
      <c r="F824" s="2023" t="s">
        <v>5459</v>
      </c>
      <c r="G824" s="2044">
        <f t="shared" si="260"/>
        <v>594.20264809268531</v>
      </c>
      <c r="H824" s="2044">
        <f t="shared" si="260"/>
        <v>167.0701860196653</v>
      </c>
      <c r="I824" s="2044">
        <f t="shared" si="260"/>
        <v>118.72775174067014</v>
      </c>
    </row>
    <row r="825" spans="1:9" ht="12.75" x14ac:dyDescent="0.2">
      <c r="A825" s="2043" t="s">
        <v>5491</v>
      </c>
      <c r="B825" s="2043" t="s">
        <v>1431</v>
      </c>
      <c r="F825" s="2023" t="s">
        <v>5459</v>
      </c>
      <c r="G825" s="2044">
        <f t="shared" si="260"/>
        <v>7.6436666010183538</v>
      </c>
      <c r="H825" s="2044">
        <f t="shared" si="260"/>
        <v>2.1491469366613205</v>
      </c>
      <c r="I825" s="2044">
        <f t="shared" si="260"/>
        <v>1.5272825752412373</v>
      </c>
    </row>
    <row r="826" spans="1:9" ht="12.75" x14ac:dyDescent="0.2">
      <c r="A826" s="2043" t="s">
        <v>5492</v>
      </c>
      <c r="B826" s="2043" t="s">
        <v>1587</v>
      </c>
      <c r="F826" s="2023" t="s">
        <v>5459</v>
      </c>
      <c r="G826" s="2044">
        <f t="shared" si="260"/>
        <v>191.91834032267332</v>
      </c>
      <c r="H826" s="2044">
        <f t="shared" si="260"/>
        <v>53.96110724382546</v>
      </c>
      <c r="I826" s="2044">
        <f t="shared" si="260"/>
        <v>38.347242539985409</v>
      </c>
    </row>
    <row r="827" spans="1:9" ht="12.75" x14ac:dyDescent="0.2">
      <c r="A827" s="2043" t="s">
        <v>5493</v>
      </c>
      <c r="B827" s="2043" t="s">
        <v>1589</v>
      </c>
      <c r="F827" s="2023" t="s">
        <v>5459</v>
      </c>
      <c r="G827" s="2044">
        <f t="shared" si="260"/>
        <v>377.23291556514863</v>
      </c>
      <c r="H827" s="2044">
        <f t="shared" si="260"/>
        <v>106.06545355950581</v>
      </c>
      <c r="I827" s="2044">
        <f t="shared" si="260"/>
        <v>75.37498543870845</v>
      </c>
    </row>
    <row r="828" spans="1:9" ht="12.75" x14ac:dyDescent="0.2">
      <c r="A828" s="2043" t="s">
        <v>5494</v>
      </c>
      <c r="B828" s="2043" t="s">
        <v>1591</v>
      </c>
      <c r="F828" s="2023" t="s">
        <v>5459</v>
      </c>
      <c r="G828" s="2044">
        <f t="shared" si="260"/>
        <v>310.45222289293827</v>
      </c>
      <c r="H828" s="2044">
        <f t="shared" si="260"/>
        <v>87.288925411943637</v>
      </c>
      <c r="I828" s="2044">
        <f t="shared" si="260"/>
        <v>62.031521679153727</v>
      </c>
    </row>
    <row r="829" spans="1:9" ht="12.75" x14ac:dyDescent="0.2">
      <c r="A829" s="2043" t="s">
        <v>5495</v>
      </c>
      <c r="B829" s="2043" t="s">
        <v>1597</v>
      </c>
      <c r="F829" s="2023" t="s">
        <v>5459</v>
      </c>
      <c r="G829" s="2044">
        <f t="shared" si="260"/>
        <v>1300.1992713967886</v>
      </c>
      <c r="H829" s="2044">
        <f t="shared" si="260"/>
        <v>365.57311119755479</v>
      </c>
      <c r="I829" s="2044">
        <f t="shared" si="260"/>
        <v>259.79305238948365</v>
      </c>
    </row>
    <row r="830" spans="1:9" ht="12.75" x14ac:dyDescent="0.2">
      <c r="A830" s="2043" t="s">
        <v>5496</v>
      </c>
      <c r="B830" s="2043" t="s">
        <v>1564</v>
      </c>
      <c r="F830" s="2023" t="s">
        <v>5459</v>
      </c>
      <c r="G830" s="2044">
        <f t="shared" si="260"/>
        <v>156.37653166367826</v>
      </c>
      <c r="H830" s="2044">
        <f t="shared" si="260"/>
        <v>43.96792292666732</v>
      </c>
      <c r="I830" s="2044">
        <f t="shared" si="260"/>
        <v>31.245626536716859</v>
      </c>
    </row>
    <row r="831" spans="1:9" ht="12.75" x14ac:dyDescent="0.2">
      <c r="A831" s="2043" t="s">
        <v>5497</v>
      </c>
      <c r="B831" s="2043" t="s">
        <v>1610</v>
      </c>
      <c r="F831" s="2023" t="s">
        <v>5459</v>
      </c>
      <c r="G831" s="2044">
        <f t="shared" si="260"/>
        <v>125699.38069035068</v>
      </c>
      <c r="H831" s="2044">
        <f t="shared" si="260"/>
        <v>34741.885175582494</v>
      </c>
      <c r="I831" s="2044">
        <f t="shared" si="260"/>
        <v>28709.820955490446</v>
      </c>
    </row>
    <row r="832" spans="1:9" ht="12.75" x14ac:dyDescent="0.2">
      <c r="A832" s="2043" t="s">
        <v>5498</v>
      </c>
      <c r="B832" s="2043" t="s">
        <v>1612</v>
      </c>
      <c r="F832" s="2023" t="s">
        <v>5459</v>
      </c>
      <c r="G832" s="2044">
        <f t="shared" si="260"/>
        <v>8096.9498778761963</v>
      </c>
      <c r="H832" s="2044">
        <f t="shared" si="260"/>
        <v>2276.5952434423948</v>
      </c>
      <c r="I832" s="2044">
        <f t="shared" si="260"/>
        <v>1617.8531988083353</v>
      </c>
    </row>
    <row r="833" spans="1:9" ht="12.75" x14ac:dyDescent="0.2">
      <c r="A833" s="2045" t="s">
        <v>5499</v>
      </c>
      <c r="B833" s="2045" t="s">
        <v>1614</v>
      </c>
      <c r="F833" s="2046" t="s">
        <v>5459</v>
      </c>
      <c r="G833" s="2044">
        <f t="shared" si="260"/>
        <v>2790.9853662060677</v>
      </c>
      <c r="H833" s="2044">
        <f t="shared" si="260"/>
        <v>770.90133886029878</v>
      </c>
      <c r="I833" s="2044">
        <f t="shared" si="260"/>
        <v>547.83791744855296</v>
      </c>
    </row>
    <row r="834" spans="1:9" ht="12.75" x14ac:dyDescent="0.2">
      <c r="A834" s="2043" t="s">
        <v>5500</v>
      </c>
      <c r="B834" s="2043" t="s">
        <v>1616</v>
      </c>
      <c r="F834" s="2023" t="s">
        <v>5459</v>
      </c>
      <c r="G834" s="2044">
        <f t="shared" si="260"/>
        <v>3311.3191767880026</v>
      </c>
      <c r="H834" s="2044">
        <f t="shared" si="260"/>
        <v>826.38250536233022</v>
      </c>
      <c r="I834" s="2044">
        <f t="shared" si="260"/>
        <v>587.26538395032969</v>
      </c>
    </row>
    <row r="835" spans="1:9" ht="12.75" x14ac:dyDescent="0.2">
      <c r="A835" s="2043" t="s">
        <v>5501</v>
      </c>
      <c r="B835" s="2043" t="s">
        <v>5459</v>
      </c>
      <c r="F835" s="2023" t="s">
        <v>5459</v>
      </c>
      <c r="G835" s="2044">
        <f t="shared" si="260"/>
        <v>0</v>
      </c>
      <c r="H835" s="2044">
        <f t="shared" si="260"/>
        <v>0</v>
      </c>
      <c r="I835" s="2044">
        <f t="shared" si="260"/>
        <v>0</v>
      </c>
    </row>
    <row r="836" spans="1:9" ht="12.75" x14ac:dyDescent="0.2">
      <c r="A836" s="2043" t="s">
        <v>5502</v>
      </c>
      <c r="B836" s="2043" t="s">
        <v>1587</v>
      </c>
      <c r="F836" s="2023" t="s">
        <v>5459</v>
      </c>
      <c r="G836" s="2044">
        <f t="shared" si="260"/>
        <v>1278.4799926306828</v>
      </c>
      <c r="H836" s="2044">
        <f t="shared" si="260"/>
        <v>359.46640574027077</v>
      </c>
      <c r="I836" s="2044">
        <f t="shared" si="260"/>
        <v>255.45334686356486</v>
      </c>
    </row>
    <row r="837" spans="1:9" ht="12.75" x14ac:dyDescent="0.2">
      <c r="A837" s="2043" t="s">
        <v>5503</v>
      </c>
      <c r="B837" s="2043" t="s">
        <v>1619</v>
      </c>
      <c r="F837" s="2023" t="s">
        <v>5459</v>
      </c>
      <c r="G837" s="2044">
        <f t="shared" ref="G837:I881" si="261">SUMIF($J$37:$J$798,$A837,G$37:G$798)</f>
        <v>7939.9850158865302</v>
      </c>
      <c r="H837" s="2044">
        <f t="shared" si="261"/>
        <v>2232.4619014329965</v>
      </c>
      <c r="I837" s="2044">
        <f t="shared" si="261"/>
        <v>1586.4900178697496</v>
      </c>
    </row>
    <row r="838" spans="1:9" ht="12.75" x14ac:dyDescent="0.2">
      <c r="A838" s="2043" t="s">
        <v>5504</v>
      </c>
      <c r="B838" s="2043" t="s">
        <v>1621</v>
      </c>
      <c r="F838" s="2023" t="s">
        <v>5459</v>
      </c>
      <c r="G838" s="2044">
        <f t="shared" si="261"/>
        <v>1251.2514896697123</v>
      </c>
      <c r="H838" s="2044">
        <f t="shared" si="261"/>
        <v>351.81064878710288</v>
      </c>
      <c r="I838" s="2044">
        <f t="shared" si="261"/>
        <v>250.01281415944948</v>
      </c>
    </row>
    <row r="839" spans="1:9" ht="12.75" x14ac:dyDescent="0.2">
      <c r="A839" s="2047" t="s">
        <v>5505</v>
      </c>
      <c r="B839" s="2047" t="s">
        <v>5506</v>
      </c>
      <c r="F839" s="2048">
        <f>SUMIF($J$37:$J$798,$A839,F$37:F$798)</f>
        <v>937845.14842999994</v>
      </c>
      <c r="G839" s="2044">
        <f t="shared" si="261"/>
        <v>389513.30352161638</v>
      </c>
      <c r="H839" s="2044">
        <f t="shared" si="261"/>
        <v>109490.65452531041</v>
      </c>
      <c r="I839" s="2044">
        <f t="shared" si="261"/>
        <v>77576.525295923711</v>
      </c>
    </row>
    <row r="840" spans="1:9" ht="12.75" x14ac:dyDescent="0.2">
      <c r="A840" s="2043" t="s">
        <v>5507</v>
      </c>
      <c r="B840" s="2043" t="s">
        <v>1655</v>
      </c>
      <c r="F840" s="2023" t="s">
        <v>5459</v>
      </c>
      <c r="G840" s="2044">
        <f t="shared" si="261"/>
        <v>948.18984120094524</v>
      </c>
      <c r="H840" s="2044">
        <f t="shared" si="261"/>
        <v>266.59970913944659</v>
      </c>
      <c r="I840" s="2044">
        <f t="shared" si="261"/>
        <v>189.45800465630256</v>
      </c>
    </row>
    <row r="841" spans="1:9" ht="12.75" x14ac:dyDescent="0.2">
      <c r="A841" s="2045" t="s">
        <v>5508</v>
      </c>
      <c r="B841" s="2045" t="s">
        <v>1657</v>
      </c>
      <c r="F841" s="2046" t="s">
        <v>5459</v>
      </c>
      <c r="G841" s="2044">
        <f t="shared" si="261"/>
        <v>19892.614989486181</v>
      </c>
      <c r="H841" s="2044">
        <f t="shared" si="261"/>
        <v>2840.3907810856831</v>
      </c>
      <c r="I841" s="2044">
        <f t="shared" si="261"/>
        <v>4574.8455627300054</v>
      </c>
    </row>
    <row r="842" spans="1:9" ht="12.75" x14ac:dyDescent="0.2">
      <c r="A842" s="2043" t="s">
        <v>5509</v>
      </c>
      <c r="B842" s="2043" t="s">
        <v>1564</v>
      </c>
      <c r="F842" s="2023" t="s">
        <v>5459</v>
      </c>
      <c r="G842" s="2044">
        <f t="shared" si="261"/>
        <v>3126.7519900287539</v>
      </c>
      <c r="H842" s="2044">
        <f t="shared" si="261"/>
        <v>879.13952973494554</v>
      </c>
      <c r="I842" s="2044">
        <f t="shared" si="261"/>
        <v>624.75694986952408</v>
      </c>
    </row>
    <row r="843" spans="1:9" ht="12.75" x14ac:dyDescent="0.2">
      <c r="A843" s="2043" t="s">
        <v>5510</v>
      </c>
      <c r="B843" s="2043" t="s">
        <v>1665</v>
      </c>
      <c r="F843" s="2023" t="s">
        <v>5459</v>
      </c>
      <c r="G843" s="2044">
        <f t="shared" si="261"/>
        <v>5204.5740915316073</v>
      </c>
      <c r="H843" s="2044">
        <f t="shared" si="261"/>
        <v>1463.3545717520994</v>
      </c>
      <c r="I843" s="2044">
        <f t="shared" si="261"/>
        <v>1039.9270057761548</v>
      </c>
    </row>
    <row r="844" spans="1:9" ht="12.75" x14ac:dyDescent="0.2">
      <c r="A844" s="2043" t="s">
        <v>5511</v>
      </c>
      <c r="B844" s="2043" t="s">
        <v>1679</v>
      </c>
      <c r="F844" s="2023" t="s">
        <v>5459</v>
      </c>
      <c r="G844" s="2044">
        <f t="shared" si="261"/>
        <v>1238.6289139363137</v>
      </c>
      <c r="H844" s="2044">
        <f t="shared" si="261"/>
        <v>348.26159682209493</v>
      </c>
      <c r="I844" s="2044">
        <f t="shared" si="261"/>
        <v>247.49069473973091</v>
      </c>
    </row>
    <row r="845" spans="1:9" ht="12.75" x14ac:dyDescent="0.2">
      <c r="A845" s="2043" t="s">
        <v>5512</v>
      </c>
      <c r="B845" s="2043" t="s">
        <v>1681</v>
      </c>
      <c r="F845" s="2023" t="s">
        <v>5459</v>
      </c>
      <c r="G845" s="2044">
        <f t="shared" si="261"/>
        <v>527.62013640564464</v>
      </c>
      <c r="H845" s="2044">
        <f t="shared" si="261"/>
        <v>148.34937982851673</v>
      </c>
      <c r="I845" s="2044">
        <f t="shared" si="261"/>
        <v>105.42388656399365</v>
      </c>
    </row>
    <row r="846" spans="1:9" ht="12.75" x14ac:dyDescent="0.2">
      <c r="A846" s="2043" t="s">
        <v>5513</v>
      </c>
      <c r="B846" s="2043" t="s">
        <v>5459</v>
      </c>
      <c r="F846" s="2023" t="s">
        <v>5459</v>
      </c>
      <c r="G846" s="2044">
        <f t="shared" si="261"/>
        <v>0</v>
      </c>
      <c r="H846" s="2044">
        <f t="shared" si="261"/>
        <v>0</v>
      </c>
      <c r="I846" s="2044">
        <f t="shared" si="261"/>
        <v>0</v>
      </c>
    </row>
    <row r="847" spans="1:9" ht="12.75" x14ac:dyDescent="0.2">
      <c r="A847" s="2043" t="s">
        <v>5514</v>
      </c>
      <c r="B847" s="2043" t="s">
        <v>1683</v>
      </c>
      <c r="F847" s="2023" t="s">
        <v>5459</v>
      </c>
      <c r="G847" s="2044">
        <f t="shared" si="261"/>
        <v>44431.994328301349</v>
      </c>
      <c r="H847" s="2044">
        <f t="shared" si="261"/>
        <v>12462.221337961582</v>
      </c>
      <c r="I847" s="2044">
        <f t="shared" si="261"/>
        <v>9060.99598192751</v>
      </c>
    </row>
    <row r="848" spans="1:9" ht="12.75" x14ac:dyDescent="0.2">
      <c r="A848" s="2043" t="s">
        <v>5515</v>
      </c>
      <c r="B848" s="2043" t="s">
        <v>1693</v>
      </c>
      <c r="F848" s="2023" t="s">
        <v>5459</v>
      </c>
      <c r="G848" s="2044">
        <f t="shared" si="261"/>
        <v>968.93143774892246</v>
      </c>
      <c r="H848" s="2044">
        <f t="shared" si="261"/>
        <v>272.43156196733048</v>
      </c>
      <c r="I848" s="2044">
        <f t="shared" si="261"/>
        <v>193.60238727317244</v>
      </c>
    </row>
    <row r="849" spans="1:9" ht="12.75" x14ac:dyDescent="0.2">
      <c r="A849" s="2043" t="s">
        <v>5516</v>
      </c>
      <c r="B849" s="2043" t="s">
        <v>1696</v>
      </c>
      <c r="F849" s="2023" t="s">
        <v>5459</v>
      </c>
      <c r="G849" s="2044">
        <f t="shared" si="261"/>
        <v>494.84865656692864</v>
      </c>
      <c r="H849" s="2044">
        <f t="shared" si="261"/>
        <v>139.13512060168819</v>
      </c>
      <c r="I849" s="2044">
        <f t="shared" si="261"/>
        <v>98.875810524691758</v>
      </c>
    </row>
    <row r="850" spans="1:9" ht="12.75" x14ac:dyDescent="0.2">
      <c r="A850" s="2043" t="s">
        <v>5517</v>
      </c>
      <c r="B850" s="2043" t="s">
        <v>1431</v>
      </c>
      <c r="F850" s="2023" t="s">
        <v>5459</v>
      </c>
      <c r="G850" s="2044">
        <f t="shared" si="261"/>
        <v>378.80468644963503</v>
      </c>
      <c r="H850" s="2044">
        <f t="shared" si="261"/>
        <v>106.50738369040363</v>
      </c>
      <c r="I850" s="2044">
        <f t="shared" si="261"/>
        <v>75.6890412982128</v>
      </c>
    </row>
    <row r="851" spans="1:9" ht="12.75" x14ac:dyDescent="0.2">
      <c r="A851" s="2045" t="s">
        <v>5518</v>
      </c>
      <c r="B851" s="2045" t="s">
        <v>1587</v>
      </c>
      <c r="F851" s="2046" t="s">
        <v>5459</v>
      </c>
      <c r="G851" s="2044">
        <f t="shared" si="261"/>
        <v>1686.4842329083231</v>
      </c>
      <c r="H851" s="2044">
        <f t="shared" si="261"/>
        <v>474.18375487635547</v>
      </c>
      <c r="I851" s="2044">
        <f t="shared" si="261"/>
        <v>336.97675693976566</v>
      </c>
    </row>
    <row r="852" spans="1:9" ht="12.75" x14ac:dyDescent="0.2">
      <c r="A852" s="2043" t="s">
        <v>5519</v>
      </c>
      <c r="B852" s="2043" t="s">
        <v>1704</v>
      </c>
      <c r="F852" s="2023" t="s">
        <v>5459</v>
      </c>
      <c r="G852" s="2044">
        <f t="shared" si="261"/>
        <v>3733.1453805606006</v>
      </c>
      <c r="H852" s="2044">
        <f t="shared" si="261"/>
        <v>1049.6373504404644</v>
      </c>
      <c r="I852" s="2044">
        <f t="shared" si="261"/>
        <v>745.92053633172748</v>
      </c>
    </row>
    <row r="853" spans="1:9" ht="12.75" x14ac:dyDescent="0.2">
      <c r="A853" s="2043" t="s">
        <v>5520</v>
      </c>
      <c r="B853" s="2043" t="s">
        <v>1706</v>
      </c>
      <c r="F853" s="2023" t="s">
        <v>5459</v>
      </c>
      <c r="G853" s="2044">
        <f t="shared" si="261"/>
        <v>7842.9520009760054</v>
      </c>
      <c r="H853" s="2044">
        <f t="shared" si="261"/>
        <v>2205.1794180863021</v>
      </c>
      <c r="I853" s="2044">
        <f t="shared" si="261"/>
        <v>1567.1018314624273</v>
      </c>
    </row>
    <row r="854" spans="1:9" ht="12.75" x14ac:dyDescent="0.2">
      <c r="A854" s="2043" t="s">
        <v>5521</v>
      </c>
      <c r="B854" s="2043" t="s">
        <v>1708</v>
      </c>
      <c r="F854" s="2023" t="s">
        <v>5459</v>
      </c>
      <c r="G854" s="2044">
        <f t="shared" si="261"/>
        <v>56.138222584678225</v>
      </c>
      <c r="H854" s="2044">
        <f t="shared" si="261"/>
        <v>15.784216580220631</v>
      </c>
      <c r="I854" s="2044">
        <f t="shared" si="261"/>
        <v>11.216989650905273</v>
      </c>
    </row>
    <row r="855" spans="1:9" ht="12.75" x14ac:dyDescent="0.2">
      <c r="A855" s="2045" t="s">
        <v>5522</v>
      </c>
      <c r="B855" s="2045" t="s">
        <v>1710</v>
      </c>
      <c r="F855" s="2046" t="s">
        <v>5459</v>
      </c>
      <c r="G855" s="2044">
        <f t="shared" si="261"/>
        <v>60.918278803357964</v>
      </c>
      <c r="H855" s="2044">
        <f t="shared" si="261"/>
        <v>17.128210728012974</v>
      </c>
      <c r="I855" s="2044">
        <f t="shared" si="261"/>
        <v>12.172093654328243</v>
      </c>
    </row>
    <row r="856" spans="1:9" ht="12.75" x14ac:dyDescent="0.2">
      <c r="A856" s="2043" t="s">
        <v>5523</v>
      </c>
      <c r="B856" s="2043" t="s">
        <v>1564</v>
      </c>
      <c r="F856" s="2023" t="s">
        <v>5459</v>
      </c>
      <c r="G856" s="2044">
        <f t="shared" si="261"/>
        <v>6761.7242975314139</v>
      </c>
      <c r="H856" s="2044">
        <f t="shared" si="261"/>
        <v>1129.0902663875029</v>
      </c>
      <c r="I856" s="2044">
        <f t="shared" si="261"/>
        <v>1025.5266870844844</v>
      </c>
    </row>
    <row r="857" spans="1:9" ht="12.75" x14ac:dyDescent="0.2">
      <c r="A857" s="2043" t="s">
        <v>5524</v>
      </c>
      <c r="B857" s="2043" t="s">
        <v>1716</v>
      </c>
      <c r="F857" s="2023" t="s">
        <v>5459</v>
      </c>
      <c r="G857" s="2044">
        <f t="shared" si="261"/>
        <v>4564.0083965484264</v>
      </c>
      <c r="H857" s="2044">
        <f t="shared" si="261"/>
        <v>1032.481193047724</v>
      </c>
      <c r="I857" s="2044">
        <f t="shared" si="261"/>
        <v>838.63944935642678</v>
      </c>
    </row>
    <row r="858" spans="1:9" ht="12.75" x14ac:dyDescent="0.2">
      <c r="A858" s="2043" t="s">
        <v>5525</v>
      </c>
      <c r="B858" s="2043" t="s">
        <v>1718</v>
      </c>
      <c r="F858" s="2023" t="s">
        <v>5459</v>
      </c>
      <c r="G858" s="2044">
        <f t="shared" si="261"/>
        <v>1247.1878390996853</v>
      </c>
      <c r="H858" s="2044">
        <f t="shared" si="261"/>
        <v>244.5975772827542</v>
      </c>
      <c r="I858" s="2044">
        <f t="shared" si="261"/>
        <v>451.94799527202059</v>
      </c>
    </row>
    <row r="859" spans="1:9" ht="12.75" x14ac:dyDescent="0.2">
      <c r="A859" s="2043" t="s">
        <v>5526</v>
      </c>
      <c r="B859" s="2043" t="s">
        <v>1720</v>
      </c>
      <c r="F859" s="2023" t="s">
        <v>5459</v>
      </c>
      <c r="G859" s="2044">
        <f t="shared" si="261"/>
        <v>1913.7497699999999</v>
      </c>
      <c r="H859" s="2044">
        <f t="shared" si="261"/>
        <v>594.39224999999999</v>
      </c>
      <c r="I859" s="2044">
        <f t="shared" si="261"/>
        <v>732.36215000000004</v>
      </c>
    </row>
    <row r="860" spans="1:9" ht="12.75" x14ac:dyDescent="0.2">
      <c r="A860" s="2043" t="s">
        <v>5527</v>
      </c>
      <c r="B860" s="2043" t="s">
        <v>5528</v>
      </c>
      <c r="F860" s="2023" t="s">
        <v>5459</v>
      </c>
      <c r="G860" s="2044">
        <f t="shared" si="261"/>
        <v>0</v>
      </c>
      <c r="H860" s="2044">
        <f t="shared" si="261"/>
        <v>0</v>
      </c>
      <c r="I860" s="2044">
        <f t="shared" si="261"/>
        <v>0</v>
      </c>
    </row>
    <row r="861" spans="1:9" ht="12.75" x14ac:dyDescent="0.2">
      <c r="A861" s="2043" t="s">
        <v>5529</v>
      </c>
      <c r="B861" s="2043" t="s">
        <v>1722</v>
      </c>
      <c r="F861" s="2023" t="s">
        <v>5459</v>
      </c>
      <c r="G861" s="2044">
        <f t="shared" si="261"/>
        <v>72.537852120995126</v>
      </c>
      <c r="H861" s="2044">
        <f t="shared" si="261"/>
        <v>16.409691129324759</v>
      </c>
      <c r="I861" s="2044">
        <f t="shared" si="261"/>
        <v>13.328876521404927</v>
      </c>
    </row>
    <row r="862" spans="1:9" ht="12.75" x14ac:dyDescent="0.2">
      <c r="A862" s="2043" t="s">
        <v>5530</v>
      </c>
      <c r="B862" s="2043" t="s">
        <v>1724</v>
      </c>
      <c r="F862" s="2023" t="s">
        <v>5459</v>
      </c>
      <c r="G862" s="2044">
        <f t="shared" si="261"/>
        <v>1150.7458099999999</v>
      </c>
      <c r="H862" s="2044">
        <f t="shared" si="261"/>
        <v>246.30969999999999</v>
      </c>
      <c r="I862" s="2044">
        <f t="shared" si="261"/>
        <v>132.32614000000001</v>
      </c>
    </row>
    <row r="863" spans="1:9" ht="12.75" x14ac:dyDescent="0.2">
      <c r="A863" s="2043" t="s">
        <v>5531</v>
      </c>
      <c r="B863" s="2043" t="s">
        <v>1726</v>
      </c>
      <c r="F863" s="2023" t="s">
        <v>5459</v>
      </c>
      <c r="G863" s="2044">
        <f t="shared" si="261"/>
        <v>6808.9791400000004</v>
      </c>
      <c r="H863" s="2044">
        <f t="shared" si="261"/>
        <v>1600.5757699999999</v>
      </c>
      <c r="I863" s="2044">
        <f t="shared" si="261"/>
        <v>1100.7493899999999</v>
      </c>
    </row>
    <row r="864" spans="1:9" ht="12.75" x14ac:dyDescent="0.2">
      <c r="A864" s="2043" t="s">
        <v>5532</v>
      </c>
      <c r="B864" s="2043" t="s">
        <v>1728</v>
      </c>
      <c r="F864" s="2023" t="s">
        <v>5459</v>
      </c>
      <c r="G864" s="2044">
        <f t="shared" si="261"/>
        <v>80.672777808064239</v>
      </c>
      <c r="H864" s="2044">
        <f t="shared" si="261"/>
        <v>42.375622824521798</v>
      </c>
      <c r="I864" s="2044">
        <f t="shared" si="261"/>
        <v>289.99149302504708</v>
      </c>
    </row>
    <row r="865" spans="1:9" ht="12.75" x14ac:dyDescent="0.2">
      <c r="A865" s="2045" t="s">
        <v>5533</v>
      </c>
      <c r="B865" s="2045" t="s">
        <v>1730</v>
      </c>
      <c r="F865" s="2046" t="s">
        <v>5459</v>
      </c>
      <c r="G865" s="2044">
        <f t="shared" si="261"/>
        <v>1872.6605624075028</v>
      </c>
      <c r="H865" s="2044">
        <f t="shared" si="261"/>
        <v>192.37086462452126</v>
      </c>
      <c r="I865" s="2044">
        <f t="shared" si="261"/>
        <v>78.488942076493458</v>
      </c>
    </row>
    <row r="866" spans="1:9" ht="12.75" x14ac:dyDescent="0.2">
      <c r="A866" s="2043" t="s">
        <v>5534</v>
      </c>
      <c r="B866" s="2043" t="s">
        <v>1732</v>
      </c>
      <c r="F866" s="2023" t="s">
        <v>5459</v>
      </c>
      <c r="G866" s="2044">
        <f t="shared" si="261"/>
        <v>2026.4440158818024</v>
      </c>
      <c r="H866" s="2044">
        <f t="shared" si="261"/>
        <v>417.74637396788103</v>
      </c>
      <c r="I866" s="2044">
        <f t="shared" si="261"/>
        <v>200.47413541866362</v>
      </c>
    </row>
    <row r="867" spans="1:9" ht="12.75" x14ac:dyDescent="0.2">
      <c r="A867" s="2043" t="s">
        <v>5535</v>
      </c>
      <c r="B867" s="2043" t="s">
        <v>1587</v>
      </c>
      <c r="F867" s="2023" t="s">
        <v>5459</v>
      </c>
      <c r="G867" s="2044">
        <f t="shared" si="261"/>
        <v>0</v>
      </c>
      <c r="H867" s="2044">
        <f t="shared" si="261"/>
        <v>0</v>
      </c>
      <c r="I867" s="2044">
        <f t="shared" si="261"/>
        <v>0</v>
      </c>
    </row>
    <row r="868" spans="1:9" ht="12.75" x14ac:dyDescent="0.2">
      <c r="A868" s="2043" t="s">
        <v>5536</v>
      </c>
      <c r="B868" s="2043" t="s">
        <v>1734</v>
      </c>
      <c r="F868" s="2023" t="s">
        <v>5459</v>
      </c>
      <c r="G868" s="2044">
        <f t="shared" si="261"/>
        <v>4836.6291080848696</v>
      </c>
      <c r="H868" s="2044">
        <f t="shared" si="261"/>
        <v>1507.6748446630424</v>
      </c>
      <c r="I868" s="2044">
        <f t="shared" si="261"/>
        <v>732.5010916128615</v>
      </c>
    </row>
    <row r="869" spans="1:9" ht="12.75" x14ac:dyDescent="0.2">
      <c r="A869" s="2043" t="s">
        <v>5537</v>
      </c>
      <c r="B869" s="2043" t="s">
        <v>1706</v>
      </c>
      <c r="F869" s="2023" t="s">
        <v>5459</v>
      </c>
      <c r="G869" s="2044">
        <f t="shared" si="261"/>
        <v>101544.2937554286</v>
      </c>
      <c r="H869" s="2044">
        <f t="shared" si="261"/>
        <v>8177.5919116469486</v>
      </c>
      <c r="I869" s="2044">
        <f t="shared" si="261"/>
        <v>5405.8064432195733</v>
      </c>
    </row>
    <row r="870" spans="1:9" ht="12.75" x14ac:dyDescent="0.2">
      <c r="A870" s="2043" t="s">
        <v>5538</v>
      </c>
      <c r="B870" s="2043" t="s">
        <v>1739</v>
      </c>
      <c r="F870" s="2023" t="s">
        <v>5459</v>
      </c>
      <c r="G870" s="2044">
        <f t="shared" si="261"/>
        <v>9421.9584270729792</v>
      </c>
      <c r="H870" s="2044">
        <f t="shared" si="261"/>
        <v>2026.2795965985272</v>
      </c>
      <c r="I870" s="2044">
        <f t="shared" si="261"/>
        <v>1431.2354495471534</v>
      </c>
    </row>
    <row r="871" spans="1:9" ht="12.75" x14ac:dyDescent="0.2">
      <c r="A871" s="2043" t="s">
        <v>5539</v>
      </c>
      <c r="B871" s="2043" t="s">
        <v>1741</v>
      </c>
      <c r="F871" s="2023" t="s">
        <v>5459</v>
      </c>
      <c r="G871" s="2044">
        <f t="shared" si="261"/>
        <v>317.42539736031136</v>
      </c>
      <c r="H871" s="2044">
        <f t="shared" si="261"/>
        <v>71.808753291969253</v>
      </c>
      <c r="I871" s="2044">
        <f t="shared" si="261"/>
        <v>58.327118924499104</v>
      </c>
    </row>
    <row r="872" spans="1:9" ht="12.75" x14ac:dyDescent="0.2">
      <c r="A872" s="2043" t="s">
        <v>5540</v>
      </c>
      <c r="B872" s="2043" t="s">
        <v>1743</v>
      </c>
      <c r="F872" s="2023" t="s">
        <v>5459</v>
      </c>
      <c r="G872" s="2044">
        <f t="shared" si="261"/>
        <v>867.04333999999994</v>
      </c>
      <c r="H872" s="2044">
        <f t="shared" si="261"/>
        <v>127.48548</v>
      </c>
      <c r="I872" s="2044">
        <f t="shared" si="261"/>
        <v>63.562890000000003</v>
      </c>
    </row>
    <row r="873" spans="1:9" ht="12.75" x14ac:dyDescent="0.2">
      <c r="A873" s="2043" t="s">
        <v>5541</v>
      </c>
      <c r="B873" s="2043" t="s">
        <v>1745</v>
      </c>
      <c r="F873" s="2023" t="s">
        <v>5459</v>
      </c>
      <c r="G873" s="2044">
        <f t="shared" si="261"/>
        <v>167.74754417929395</v>
      </c>
      <c r="H873" s="2044">
        <f t="shared" si="261"/>
        <v>29.981762852176921</v>
      </c>
      <c r="I873" s="2044">
        <f t="shared" si="261"/>
        <v>30.431144096743818</v>
      </c>
    </row>
    <row r="874" spans="1:9" ht="12.75" x14ac:dyDescent="0.2">
      <c r="A874" s="2045" t="s">
        <v>5542</v>
      </c>
      <c r="B874" s="2045" t="s">
        <v>1747</v>
      </c>
      <c r="F874" s="2046" t="s">
        <v>5459</v>
      </c>
      <c r="G874" s="2044">
        <f t="shared" si="261"/>
        <v>3407.1132905478025</v>
      </c>
      <c r="H874" s="2044">
        <f t="shared" si="261"/>
        <v>545.42201860504974</v>
      </c>
      <c r="I874" s="2044">
        <f t="shared" si="261"/>
        <v>431.07255084367114</v>
      </c>
    </row>
    <row r="875" spans="1:9" ht="12.75" x14ac:dyDescent="0.2">
      <c r="A875" s="2043" t="s">
        <v>5543</v>
      </c>
      <c r="B875" s="2043" t="s">
        <v>1751</v>
      </c>
      <c r="F875" s="2023" t="s">
        <v>5459</v>
      </c>
      <c r="G875" s="2044">
        <f t="shared" si="261"/>
        <v>733.65454481689778</v>
      </c>
      <c r="H875" s="2044">
        <f t="shared" si="261"/>
        <v>160.55701857464709</v>
      </c>
      <c r="I875" s="2044">
        <f t="shared" si="261"/>
        <v>102.77417614048588</v>
      </c>
    </row>
    <row r="876" spans="1:9" ht="12.75" x14ac:dyDescent="0.2">
      <c r="A876" s="2043" t="s">
        <v>5544</v>
      </c>
      <c r="B876" s="2043" t="s">
        <v>1756</v>
      </c>
      <c r="F876" s="2023" t="s">
        <v>5459</v>
      </c>
      <c r="G876" s="2044">
        <f t="shared" si="261"/>
        <v>2463.1177678711028</v>
      </c>
      <c r="H876" s="2044">
        <f t="shared" si="261"/>
        <v>1084.5330321934805</v>
      </c>
      <c r="I876" s="2044">
        <f t="shared" si="261"/>
        <v>530.11064123866913</v>
      </c>
    </row>
    <row r="877" spans="1:9" ht="12.75" x14ac:dyDescent="0.2">
      <c r="A877" s="2043" t="s">
        <v>5545</v>
      </c>
      <c r="B877" s="2043" t="s">
        <v>1758</v>
      </c>
      <c r="F877" s="2023" t="s">
        <v>5459</v>
      </c>
      <c r="G877" s="2044">
        <f t="shared" si="261"/>
        <v>12811.563234908986</v>
      </c>
      <c r="H877" s="2044">
        <f t="shared" si="261"/>
        <v>3533.5461094073689</v>
      </c>
      <c r="I877" s="2044">
        <f t="shared" si="261"/>
        <v>1819.3530639992953</v>
      </c>
    </row>
    <row r="878" spans="1:9" ht="12.75" x14ac:dyDescent="0.2">
      <c r="A878" s="2043" t="s">
        <v>5546</v>
      </c>
      <c r="B878" s="2043" t="s">
        <v>1770</v>
      </c>
      <c r="F878" s="2023" t="s">
        <v>5459</v>
      </c>
      <c r="G878" s="2044">
        <f t="shared" si="261"/>
        <v>15382.369522551044</v>
      </c>
      <c r="H878" s="2044">
        <f t="shared" si="261"/>
        <v>6240.8195700550468</v>
      </c>
      <c r="I878" s="2044">
        <f t="shared" si="261"/>
        <v>506.43316682888417</v>
      </c>
    </row>
    <row r="879" spans="1:9" ht="12.75" x14ac:dyDescent="0.2">
      <c r="A879" s="2043" t="s">
        <v>5547</v>
      </c>
      <c r="B879" s="2043" t="s">
        <v>1774</v>
      </c>
      <c r="F879" s="2023" t="s">
        <v>5459</v>
      </c>
      <c r="G879" s="2044">
        <f t="shared" si="261"/>
        <v>-1.0000000000000001E-5</v>
      </c>
      <c r="H879" s="2044">
        <f t="shared" si="261"/>
        <v>0</v>
      </c>
      <c r="I879" s="2044">
        <f t="shared" si="261"/>
        <v>0</v>
      </c>
    </row>
    <row r="880" spans="1:9" ht="12.75" x14ac:dyDescent="0.2">
      <c r="A880" s="2043" t="s">
        <v>5548</v>
      </c>
      <c r="B880" s="2043" t="s">
        <v>5459</v>
      </c>
      <c r="F880" s="2023" t="s">
        <v>5459</v>
      </c>
      <c r="G880" s="2044">
        <f t="shared" si="261"/>
        <v>0</v>
      </c>
      <c r="H880" s="2044">
        <f t="shared" si="261"/>
        <v>0</v>
      </c>
      <c r="I880" s="2044">
        <f t="shared" si="261"/>
        <v>0</v>
      </c>
    </row>
    <row r="881" spans="1:9" ht="12.75" x14ac:dyDescent="0.2">
      <c r="A881" s="2043" t="s">
        <v>5549</v>
      </c>
      <c r="B881" s="2043" t="s">
        <v>5550</v>
      </c>
      <c r="F881" s="2023" t="s">
        <v>5459</v>
      </c>
      <c r="G881" s="2044">
        <f t="shared" si="261"/>
        <v>0</v>
      </c>
      <c r="H881" s="2044">
        <f t="shared" si="261"/>
        <v>0</v>
      </c>
      <c r="I881" s="2044">
        <f t="shared" si="261"/>
        <v>0</v>
      </c>
    </row>
    <row r="882" spans="1:9" ht="12.75" x14ac:dyDescent="0.2">
      <c r="A882" s="2049" t="s">
        <v>5467</v>
      </c>
      <c r="B882" s="2049" t="s">
        <v>5551</v>
      </c>
      <c r="F882" s="2050" t="s">
        <v>5459</v>
      </c>
      <c r="G882" s="2051">
        <f>G648+G646+G644+G642+G640+G631+G629</f>
        <v>64443.561047468778</v>
      </c>
      <c r="H882" s="2051">
        <f t="shared" ref="H882:I882" si="262">H648+H646+H644+H642+H640+H631+H629</f>
        <v>21244.452825865937</v>
      </c>
      <c r="I882" s="2051">
        <f t="shared" si="262"/>
        <v>6944.4439675355234</v>
      </c>
    </row>
    <row r="883" spans="1:9" ht="12.75" x14ac:dyDescent="0.2">
      <c r="A883" s="2052" t="s">
        <v>5466</v>
      </c>
      <c r="B883" s="2052" t="s">
        <v>5552</v>
      </c>
      <c r="F883" s="2053" t="s">
        <v>5459</v>
      </c>
      <c r="G883" s="2054">
        <f>G638+G621+G617</f>
        <v>2678.3639305141214</v>
      </c>
      <c r="H883" s="2054">
        <f t="shared" ref="H883:I883" si="263">H638+H621+H617</f>
        <v>226.6045128804727</v>
      </c>
      <c r="I883" s="2054">
        <f t="shared" si="263"/>
        <v>49.090435145240363</v>
      </c>
    </row>
    <row r="884" spans="1:9" ht="12.75" x14ac:dyDescent="0.2">
      <c r="A884" s="2043" t="s">
        <v>5459</v>
      </c>
      <c r="B884" s="2043" t="s">
        <v>5553</v>
      </c>
      <c r="F884" s="2023" t="s">
        <v>5459</v>
      </c>
      <c r="G884" s="2044">
        <f>SUM(G882:G883)</f>
        <v>67121.924977982897</v>
      </c>
      <c r="H884" s="2044">
        <f t="shared" ref="H884:I884" si="264">SUM(H882:H883)</f>
        <v>21471.05733874641</v>
      </c>
      <c r="I884" s="2044">
        <f t="shared" si="264"/>
        <v>6993.5344026807634</v>
      </c>
    </row>
    <row r="885" spans="1:9" ht="12.75" x14ac:dyDescent="0.2">
      <c r="A885" s="2045" t="s">
        <v>5554</v>
      </c>
      <c r="B885" s="2045" t="s">
        <v>1798</v>
      </c>
      <c r="F885" s="2046" t="s">
        <v>5459</v>
      </c>
      <c r="G885" s="2044">
        <f t="shared" ref="G885:I900" si="265">SUMIF($J$37:$J$798,$A885,G$37:G$798)</f>
        <v>1535.5025576903793</v>
      </c>
      <c r="H885" s="2044">
        <f t="shared" si="265"/>
        <v>472.32484478711478</v>
      </c>
      <c r="I885" s="2044">
        <f t="shared" si="265"/>
        <v>361.6314838515774</v>
      </c>
    </row>
    <row r="886" spans="1:9" ht="12.75" x14ac:dyDescent="0.2">
      <c r="A886" s="2045" t="s">
        <v>5559</v>
      </c>
      <c r="B886" s="2045" t="s">
        <v>1800</v>
      </c>
      <c r="F886" s="2046" t="s">
        <v>5459</v>
      </c>
      <c r="G886" s="2044">
        <f t="shared" si="265"/>
        <v>12939.865256148783</v>
      </c>
      <c r="H886" s="2044">
        <f t="shared" si="265"/>
        <v>1084.9416660182433</v>
      </c>
      <c r="I886" s="2044">
        <f t="shared" si="265"/>
        <v>64.469672714532038</v>
      </c>
    </row>
    <row r="887" spans="1:9" ht="12.75" x14ac:dyDescent="0.2">
      <c r="A887" s="2043" t="s">
        <v>5555</v>
      </c>
      <c r="B887" s="2043" t="s">
        <v>1801</v>
      </c>
      <c r="F887" s="2023" t="s">
        <v>5459</v>
      </c>
      <c r="G887" s="2044">
        <f t="shared" si="265"/>
        <v>23126.636542847402</v>
      </c>
      <c r="H887" s="2044">
        <f t="shared" si="265"/>
        <v>6317.7738456624829</v>
      </c>
      <c r="I887" s="2044">
        <f t="shared" si="265"/>
        <v>4513.6749463937758</v>
      </c>
    </row>
    <row r="888" spans="1:9" ht="12.75" x14ac:dyDescent="0.2">
      <c r="A888" s="2043" t="s">
        <v>5556</v>
      </c>
      <c r="B888" s="2043" t="s">
        <v>1805</v>
      </c>
      <c r="F888" s="2023" t="s">
        <v>5459</v>
      </c>
      <c r="G888" s="2044">
        <f t="shared" si="265"/>
        <v>4167.0601027857583</v>
      </c>
      <c r="H888" s="2044">
        <f t="shared" si="265"/>
        <v>1123.640457073642</v>
      </c>
      <c r="I888" s="2044">
        <f t="shared" si="265"/>
        <v>798.24114676822046</v>
      </c>
    </row>
    <row r="889" spans="1:9" ht="12.75" x14ac:dyDescent="0.2">
      <c r="A889" s="2043" t="s">
        <v>5557</v>
      </c>
      <c r="B889" s="2043" t="s">
        <v>1807</v>
      </c>
      <c r="F889" s="2023" t="s">
        <v>5459</v>
      </c>
      <c r="G889" s="2044">
        <f t="shared" si="265"/>
        <v>-14440.277415756545</v>
      </c>
      <c r="H889" s="2044">
        <f t="shared" si="265"/>
        <v>-3853.4512497110954</v>
      </c>
      <c r="I889" s="2044">
        <f t="shared" si="265"/>
        <v>-2753.0625166192381</v>
      </c>
    </row>
    <row r="890" spans="1:9" ht="12.75" x14ac:dyDescent="0.2">
      <c r="A890" s="2043" t="s">
        <v>5558</v>
      </c>
      <c r="B890" s="2043" t="s">
        <v>1809</v>
      </c>
      <c r="F890" s="2023" t="s">
        <v>5459</v>
      </c>
      <c r="G890" s="2044">
        <f t="shared" si="265"/>
        <v>12650.632117495647</v>
      </c>
      <c r="H890" s="2044">
        <f t="shared" si="265"/>
        <v>3625.8576810408431</v>
      </c>
      <c r="I890" s="2044">
        <f t="shared" si="265"/>
        <v>2590.5899122381425</v>
      </c>
    </row>
    <row r="891" spans="1:9" ht="12.75" x14ac:dyDescent="0.2">
      <c r="A891" s="2043" t="s">
        <v>5559</v>
      </c>
      <c r="B891" s="2043" t="s">
        <v>5560</v>
      </c>
      <c r="F891" s="2023" t="s">
        <v>5459</v>
      </c>
      <c r="G891" s="2044">
        <f t="shared" si="265"/>
        <v>12939.865256148783</v>
      </c>
      <c r="H891" s="2044">
        <f t="shared" si="265"/>
        <v>1084.9416660182433</v>
      </c>
      <c r="I891" s="2044">
        <f t="shared" si="265"/>
        <v>64.469672714532038</v>
      </c>
    </row>
    <row r="892" spans="1:9" ht="12.75" x14ac:dyDescent="0.2">
      <c r="A892" s="2043" t="s">
        <v>5561</v>
      </c>
      <c r="B892" s="2043" t="s">
        <v>1819</v>
      </c>
      <c r="F892" s="2023" t="s">
        <v>5459</v>
      </c>
      <c r="G892" s="2044">
        <f t="shared" si="265"/>
        <v>498593.69003400177</v>
      </c>
      <c r="H892" s="2044">
        <f t="shared" si="265"/>
        <v>133335.39027607415</v>
      </c>
      <c r="I892" s="2044">
        <f t="shared" si="265"/>
        <v>95260.233313027667</v>
      </c>
    </row>
    <row r="893" spans="1:9" ht="12.75" x14ac:dyDescent="0.2">
      <c r="A893" s="2043" t="s">
        <v>5562</v>
      </c>
      <c r="B893" s="2043" t="s">
        <v>5459</v>
      </c>
      <c r="F893" s="2023" t="s">
        <v>5459</v>
      </c>
      <c r="G893" s="2044">
        <f t="shared" si="265"/>
        <v>33779.40336184614</v>
      </c>
      <c r="H893" s="2044">
        <f t="shared" si="265"/>
        <v>8873.2656299192677</v>
      </c>
      <c r="I893" s="2044">
        <f t="shared" si="265"/>
        <v>6331.0141342532243</v>
      </c>
    </row>
    <row r="894" spans="1:9" ht="12.75" x14ac:dyDescent="0.2">
      <c r="A894" s="2043" t="s">
        <v>5563</v>
      </c>
      <c r="B894" s="2043" t="s">
        <v>5459</v>
      </c>
      <c r="F894" s="2023" t="s">
        <v>5459</v>
      </c>
      <c r="G894" s="2044">
        <f t="shared" si="265"/>
        <v>0</v>
      </c>
      <c r="H894" s="2044">
        <f t="shared" si="265"/>
        <v>0</v>
      </c>
      <c r="I894" s="2044">
        <f t="shared" si="265"/>
        <v>0</v>
      </c>
    </row>
    <row r="895" spans="1:9" ht="12.75" x14ac:dyDescent="0.2">
      <c r="A895" s="2043" t="s">
        <v>5564</v>
      </c>
      <c r="B895" s="2043" t="s">
        <v>1843</v>
      </c>
      <c r="F895" s="2023" t="s">
        <v>5459</v>
      </c>
      <c r="G895" s="2044">
        <f t="shared" si="265"/>
        <v>11944.45058475244</v>
      </c>
      <c r="H895" s="2044">
        <f t="shared" si="265"/>
        <v>2762.3177926869994</v>
      </c>
      <c r="I895" s="2044">
        <f t="shared" si="265"/>
        <v>1123.6220794957651</v>
      </c>
    </row>
    <row r="896" spans="1:9" ht="12.75" x14ac:dyDescent="0.2">
      <c r="A896" s="2045" t="s">
        <v>5565</v>
      </c>
      <c r="B896" s="2045" t="s">
        <v>1849</v>
      </c>
      <c r="F896" s="2046" t="s">
        <v>5459</v>
      </c>
      <c r="G896" s="2044">
        <f t="shared" si="265"/>
        <v>-40389.570923090447</v>
      </c>
      <c r="H896" s="2044">
        <f t="shared" si="265"/>
        <v>-10778.133831352274</v>
      </c>
      <c r="I896" s="2044">
        <f t="shared" si="265"/>
        <v>-7700.3377822481352</v>
      </c>
    </row>
    <row r="897" spans="1:9" ht="12.75" x14ac:dyDescent="0.2">
      <c r="A897" s="2043" t="s">
        <v>5566</v>
      </c>
      <c r="B897" s="2043" t="s">
        <v>1862</v>
      </c>
      <c r="F897" s="2023" t="s">
        <v>5459</v>
      </c>
      <c r="G897" s="2044">
        <f t="shared" si="265"/>
        <v>13.692274548201134</v>
      </c>
      <c r="H897" s="2044">
        <f t="shared" si="265"/>
        <v>3.6538434096550758</v>
      </c>
      <c r="I897" s="2044">
        <f t="shared" si="265"/>
        <v>2.6104545460311175</v>
      </c>
    </row>
    <row r="898" spans="1:9" ht="12.75" x14ac:dyDescent="0.2">
      <c r="A898" s="2043" t="s">
        <v>5567</v>
      </c>
      <c r="B898" s="2043" t="s">
        <v>5568</v>
      </c>
      <c r="F898" s="2023" t="s">
        <v>5459</v>
      </c>
      <c r="G898" s="2044">
        <f t="shared" si="265"/>
        <v>758.57486175856684</v>
      </c>
      <c r="H898" s="2044">
        <f t="shared" si="265"/>
        <v>202.42902299462671</v>
      </c>
      <c r="I898" s="2044">
        <f t="shared" si="265"/>
        <v>144.62353858093911</v>
      </c>
    </row>
    <row r="899" spans="1:9" ht="12.75" x14ac:dyDescent="0.2">
      <c r="A899" s="2043" t="s">
        <v>5569</v>
      </c>
      <c r="B899" s="2043" t="s">
        <v>1866</v>
      </c>
      <c r="F899" s="2023" t="s">
        <v>5459</v>
      </c>
      <c r="G899" s="2044">
        <f t="shared" si="265"/>
        <v>589.00858557680567</v>
      </c>
      <c r="H899" s="2044">
        <f t="shared" si="265"/>
        <v>103.12210481761794</v>
      </c>
      <c r="I899" s="2044">
        <f t="shared" si="265"/>
        <v>62.295612372260187</v>
      </c>
    </row>
    <row r="900" spans="1:9" ht="12.75" x14ac:dyDescent="0.2">
      <c r="A900" s="2043" t="s">
        <v>5570</v>
      </c>
      <c r="B900" s="2043" t="s">
        <v>1868</v>
      </c>
      <c r="F900" s="2023" t="s">
        <v>5459</v>
      </c>
      <c r="G900" s="2044">
        <f t="shared" si="265"/>
        <v>10438.66624157922</v>
      </c>
      <c r="H900" s="2044">
        <f t="shared" si="265"/>
        <v>2899.6572402860843</v>
      </c>
      <c r="I900" s="2044">
        <f t="shared" si="265"/>
        <v>1937.9808985396821</v>
      </c>
    </row>
    <row r="901" spans="1:9" ht="12.75" x14ac:dyDescent="0.2">
      <c r="A901" s="2023" t="s">
        <v>5459</v>
      </c>
      <c r="B901" s="2023" t="s">
        <v>5459</v>
      </c>
      <c r="F901" s="2023" t="s">
        <v>5459</v>
      </c>
      <c r="G901" s="2044">
        <f>SUM(G804:G900)-G884</f>
        <v>1711162.4675350836</v>
      </c>
      <c r="H901" s="2044">
        <f t="shared" ref="H901:I901" si="266">SUM(H804:H900)-H884</f>
        <v>445596.58594016253</v>
      </c>
      <c r="I901" s="2044">
        <f t="shared" si="266"/>
        <v>313964.14157824009</v>
      </c>
    </row>
    <row r="902" spans="1:9" ht="12.75" x14ac:dyDescent="0.2">
      <c r="G902" s="2055"/>
      <c r="H902" s="2055"/>
      <c r="I902" s="2055"/>
    </row>
    <row r="903" spans="1:9" ht="12.75" x14ac:dyDescent="0.2"/>
    <row r="904" spans="1:9" ht="12.75" x14ac:dyDescent="0.2"/>
    <row r="905" spans="1:9" ht="12.75" x14ac:dyDescent="0.2"/>
    <row r="906" spans="1:9" ht="12.75" x14ac:dyDescent="0.2"/>
    <row r="907" spans="1:9" ht="12.75" x14ac:dyDescent="0.2"/>
    <row r="908" spans="1:9" ht="12.75" x14ac:dyDescent="0.2"/>
    <row r="909" spans="1:9" ht="12.75" x14ac:dyDescent="0.2"/>
    <row r="910" spans="1:9" ht="12.75" x14ac:dyDescent="0.2"/>
    <row r="911" spans="1:9" ht="12.75" x14ac:dyDescent="0.2"/>
    <row r="912" spans="1:9" ht="12.75" x14ac:dyDescent="0.2"/>
    <row r="913" ht="12.75" x14ac:dyDescent="0.2"/>
    <row r="914" ht="12.75" x14ac:dyDescent="0.2"/>
    <row r="915" ht="12.75" x14ac:dyDescent="0.2"/>
    <row r="916" ht="12.75" x14ac:dyDescent="0.2"/>
    <row r="917" ht="12.75" x14ac:dyDescent="0.2"/>
    <row r="918" ht="12.75" x14ac:dyDescent="0.2"/>
    <row r="919" ht="12.75" x14ac:dyDescent="0.2"/>
    <row r="920" ht="12.75" x14ac:dyDescent="0.2"/>
    <row r="921" ht="12.75" x14ac:dyDescent="0.2"/>
    <row r="922" ht="12.75" x14ac:dyDescent="0.2"/>
    <row r="923" ht="12.75" x14ac:dyDescent="0.2"/>
    <row r="924" ht="12.75" x14ac:dyDescent="0.2"/>
    <row r="925" ht="12.75" x14ac:dyDescent="0.2"/>
    <row r="926" ht="12.75" x14ac:dyDescent="0.2"/>
    <row r="927" ht="12.75" x14ac:dyDescent="0.2"/>
    <row r="928" ht="12.75" x14ac:dyDescent="0.2"/>
    <row r="929" ht="12.75" x14ac:dyDescent="0.2"/>
    <row r="930" ht="12.75" x14ac:dyDescent="0.2"/>
    <row r="931" ht="12.75" x14ac:dyDescent="0.2"/>
    <row r="932" ht="12.75" x14ac:dyDescent="0.2"/>
    <row r="933" ht="12.75" x14ac:dyDescent="0.2"/>
    <row r="934" ht="12.75" x14ac:dyDescent="0.2"/>
    <row r="935" ht="12.75" x14ac:dyDescent="0.2"/>
    <row r="936" ht="12.75" x14ac:dyDescent="0.2"/>
    <row r="937" ht="12.75" x14ac:dyDescent="0.2"/>
    <row r="938" ht="12.75" x14ac:dyDescent="0.2"/>
    <row r="939" ht="12.75" x14ac:dyDescent="0.2"/>
    <row r="940" ht="12.75" x14ac:dyDescent="0.2"/>
    <row r="941" ht="12.75" x14ac:dyDescent="0.2"/>
    <row r="942" ht="12.75" x14ac:dyDescent="0.2"/>
    <row r="943" ht="12.75" x14ac:dyDescent="0.2"/>
    <row r="944" ht="12.75" x14ac:dyDescent="0.2"/>
    <row r="945" ht="12.75" x14ac:dyDescent="0.2"/>
    <row r="946" ht="12.75" x14ac:dyDescent="0.2"/>
    <row r="947" ht="12.75" x14ac:dyDescent="0.2"/>
    <row r="948" ht="12.75" x14ac:dyDescent="0.2"/>
    <row r="949" ht="12.75" x14ac:dyDescent="0.2"/>
    <row r="950" ht="12.75" x14ac:dyDescent="0.2"/>
    <row r="951" ht="12.75" x14ac:dyDescent="0.2"/>
    <row r="952" ht="12.75" x14ac:dyDescent="0.2"/>
    <row r="953" ht="12.75" x14ac:dyDescent="0.2"/>
    <row r="954" ht="12.75" x14ac:dyDescent="0.2"/>
    <row r="955" ht="12.75" x14ac:dyDescent="0.2"/>
    <row r="956" ht="12.75" x14ac:dyDescent="0.2"/>
    <row r="957" ht="12.75" x14ac:dyDescent="0.2"/>
    <row r="958" ht="12.75" x14ac:dyDescent="0.2"/>
    <row r="959" ht="12.75" x14ac:dyDescent="0.2"/>
    <row r="960" ht="12.75" x14ac:dyDescent="0.2"/>
    <row r="961" ht="12.75" x14ac:dyDescent="0.2"/>
    <row r="962" ht="12.75" x14ac:dyDescent="0.2"/>
    <row r="963" ht="12.75" x14ac:dyDescent="0.2"/>
    <row r="964" ht="12.75" x14ac:dyDescent="0.2"/>
    <row r="965" ht="12.75" x14ac:dyDescent="0.2"/>
    <row r="966" ht="12.75" x14ac:dyDescent="0.2"/>
    <row r="967" ht="12.75" x14ac:dyDescent="0.2"/>
    <row r="968" ht="12.75" x14ac:dyDescent="0.2"/>
    <row r="969" ht="12.75" x14ac:dyDescent="0.2"/>
    <row r="970" ht="12.75" x14ac:dyDescent="0.2"/>
    <row r="971" ht="12.75" x14ac:dyDescent="0.2"/>
    <row r="972" ht="12.75" x14ac:dyDescent="0.2"/>
    <row r="973" ht="12.75" x14ac:dyDescent="0.2"/>
    <row r="974" ht="12.75" x14ac:dyDescent="0.2"/>
    <row r="975" ht="12.75" x14ac:dyDescent="0.2"/>
    <row r="976" ht="12.75" x14ac:dyDescent="0.2"/>
    <row r="977" ht="12.75" x14ac:dyDescent="0.2"/>
    <row r="978" ht="12.75" x14ac:dyDescent="0.2"/>
    <row r="979" ht="12.75" x14ac:dyDescent="0.2"/>
    <row r="980" ht="12.75" x14ac:dyDescent="0.2"/>
    <row r="981" ht="12.75" x14ac:dyDescent="0.2"/>
    <row r="982" ht="12.75" x14ac:dyDescent="0.2"/>
    <row r="983" ht="12.75" x14ac:dyDescent="0.2"/>
    <row r="984" ht="12.75" x14ac:dyDescent="0.2"/>
    <row r="985" ht="12.75" x14ac:dyDescent="0.2"/>
    <row r="986" ht="12.75" x14ac:dyDescent="0.2"/>
    <row r="987" ht="12.75" x14ac:dyDescent="0.2"/>
    <row r="988" ht="12.75" x14ac:dyDescent="0.2"/>
    <row r="989" ht="12.75" x14ac:dyDescent="0.2"/>
    <row r="990" ht="12.75" x14ac:dyDescent="0.2"/>
    <row r="991" ht="12.75" x14ac:dyDescent="0.2"/>
    <row r="992" ht="12.75" x14ac:dyDescent="0.2"/>
    <row r="993" ht="12.75" x14ac:dyDescent="0.2"/>
    <row r="994" ht="12.75" x14ac:dyDescent="0.2"/>
    <row r="995" ht="12.75" x14ac:dyDescent="0.2"/>
    <row r="996" ht="12.75" x14ac:dyDescent="0.2"/>
    <row r="997" ht="12.75" x14ac:dyDescent="0.2"/>
    <row r="998" ht="12.75" x14ac:dyDescent="0.2"/>
    <row r="999" ht="12.75" x14ac:dyDescent="0.2"/>
    <row r="1000" ht="12.75" x14ac:dyDescent="0.2"/>
    <row r="1001" ht="12.75" x14ac:dyDescent="0.2"/>
    <row r="1002" ht="12.75" x14ac:dyDescent="0.2"/>
    <row r="1003" ht="12.75" x14ac:dyDescent="0.2"/>
    <row r="1004" ht="12.75" x14ac:dyDescent="0.2"/>
    <row r="1005" ht="12.75" x14ac:dyDescent="0.2"/>
    <row r="1006" ht="12.75" x14ac:dyDescent="0.2"/>
    <row r="1007" ht="12.75" x14ac:dyDescent="0.2"/>
    <row r="1008" ht="12.75" x14ac:dyDescent="0.2"/>
    <row r="1009" ht="12.75" x14ac:dyDescent="0.2"/>
    <row r="1010" ht="12.75" x14ac:dyDescent="0.2"/>
    <row r="1011" ht="12.75" x14ac:dyDescent="0.2"/>
    <row r="1012" ht="12.75" x14ac:dyDescent="0.2"/>
    <row r="1013" ht="12.75" x14ac:dyDescent="0.2"/>
    <row r="1014" ht="12.75" x14ac:dyDescent="0.2"/>
    <row r="1015" ht="12.75" x14ac:dyDescent="0.2"/>
    <row r="1016" ht="12.75" x14ac:dyDescent="0.2"/>
    <row r="1017" ht="12.75" x14ac:dyDescent="0.2"/>
    <row r="1018" ht="12.75" x14ac:dyDescent="0.2"/>
    <row r="1019" ht="12.75" x14ac:dyDescent="0.2"/>
    <row r="1020" ht="12.75" x14ac:dyDescent="0.2"/>
    <row r="1021" ht="12.75" x14ac:dyDescent="0.2"/>
    <row r="1022" ht="12.75" x14ac:dyDescent="0.2"/>
    <row r="1023" ht="12.75" x14ac:dyDescent="0.2"/>
    <row r="1024" ht="12.75" x14ac:dyDescent="0.2"/>
    <row r="1025" ht="12.75" x14ac:dyDescent="0.2"/>
    <row r="1026" ht="12.75" x14ac:dyDescent="0.2"/>
    <row r="1027" ht="12.75" x14ac:dyDescent="0.2"/>
    <row r="1028" ht="12.75" x14ac:dyDescent="0.2"/>
    <row r="1029" ht="12.75" x14ac:dyDescent="0.2"/>
    <row r="1030" ht="12.75" x14ac:dyDescent="0.2"/>
    <row r="1031" ht="12.75" x14ac:dyDescent="0.2"/>
    <row r="1032" ht="12.75" x14ac:dyDescent="0.2"/>
    <row r="1033" ht="12.75" x14ac:dyDescent="0.2"/>
    <row r="1034" ht="12.75" x14ac:dyDescent="0.2"/>
    <row r="1035" ht="12.75" x14ac:dyDescent="0.2"/>
    <row r="1036" ht="12.75" x14ac:dyDescent="0.2"/>
    <row r="1037" ht="12.75" x14ac:dyDescent="0.2"/>
    <row r="1038" ht="12.75" x14ac:dyDescent="0.2"/>
    <row r="1039" ht="12.75" x14ac:dyDescent="0.2"/>
    <row r="1040" ht="12.75" x14ac:dyDescent="0.2"/>
    <row r="1041" ht="12.75" x14ac:dyDescent="0.2"/>
    <row r="1042" ht="12.75" x14ac:dyDescent="0.2"/>
    <row r="1043" ht="12.75" x14ac:dyDescent="0.2"/>
    <row r="1044" ht="12.75" x14ac:dyDescent="0.2"/>
    <row r="1045" ht="12.75" x14ac:dyDescent="0.2"/>
    <row r="1046" ht="12.75" x14ac:dyDescent="0.2"/>
    <row r="1047" ht="12.75" x14ac:dyDescent="0.2"/>
    <row r="1048" ht="12.75" x14ac:dyDescent="0.2"/>
    <row r="1049" ht="12.75" x14ac:dyDescent="0.2"/>
    <row r="1050" ht="12.75" x14ac:dyDescent="0.2"/>
    <row r="1051" ht="12.75" x14ac:dyDescent="0.2"/>
    <row r="1052" ht="12.75" x14ac:dyDescent="0.2"/>
    <row r="1053" ht="12.75" x14ac:dyDescent="0.2"/>
    <row r="1054" ht="12.75" x14ac:dyDescent="0.2"/>
    <row r="1055" ht="12.75" x14ac:dyDescent="0.2"/>
    <row r="1056" ht="12.75" x14ac:dyDescent="0.2"/>
    <row r="1057" ht="12.75" x14ac:dyDescent="0.2"/>
    <row r="1058" ht="12.75" x14ac:dyDescent="0.2"/>
    <row r="1059" ht="12.75" x14ac:dyDescent="0.2"/>
    <row r="1060" ht="12.75" x14ac:dyDescent="0.2"/>
    <row r="1061" ht="12.75" x14ac:dyDescent="0.2"/>
    <row r="1062" ht="12.75" x14ac:dyDescent="0.2"/>
    <row r="1063" ht="12.75" x14ac:dyDescent="0.2"/>
    <row r="1064" ht="12.75" x14ac:dyDescent="0.2"/>
    <row r="1065" ht="12.75" x14ac:dyDescent="0.2"/>
    <row r="1066" ht="12.75" x14ac:dyDescent="0.2"/>
    <row r="1067" ht="12.75" x14ac:dyDescent="0.2"/>
    <row r="1068" ht="12.75" x14ac:dyDescent="0.2"/>
    <row r="1069" ht="12.75" x14ac:dyDescent="0.2"/>
    <row r="1070" ht="12.75" x14ac:dyDescent="0.2"/>
    <row r="1071" ht="12.75" x14ac:dyDescent="0.2"/>
    <row r="1072" ht="12.75" x14ac:dyDescent="0.2"/>
    <row r="1073" ht="12.75" x14ac:dyDescent="0.2"/>
    <row r="1074" ht="12.75" x14ac:dyDescent="0.2"/>
    <row r="1075" ht="12.75" x14ac:dyDescent="0.2"/>
    <row r="1076" ht="12.75" x14ac:dyDescent="0.2"/>
    <row r="1077" ht="12.75" x14ac:dyDescent="0.2"/>
    <row r="1078" ht="12.75" x14ac:dyDescent="0.2"/>
    <row r="1079" ht="12.75" x14ac:dyDescent="0.2"/>
    <row r="1080" ht="12.75" x14ac:dyDescent="0.2"/>
    <row r="1081" ht="12.75" x14ac:dyDescent="0.2"/>
    <row r="1082" ht="12.75" x14ac:dyDescent="0.2"/>
    <row r="1083" ht="12.75" x14ac:dyDescent="0.2"/>
    <row r="1084" ht="12.75" x14ac:dyDescent="0.2"/>
    <row r="1085" ht="12.75" x14ac:dyDescent="0.2"/>
    <row r="1086" ht="12.75" x14ac:dyDescent="0.2"/>
    <row r="1087" ht="12.75" x14ac:dyDescent="0.2"/>
    <row r="1088" ht="12.75" x14ac:dyDescent="0.2"/>
    <row r="1089" ht="12.75" x14ac:dyDescent="0.2"/>
    <row r="1090" ht="12.75" x14ac:dyDescent="0.2"/>
    <row r="1091" ht="12.75" x14ac:dyDescent="0.2"/>
    <row r="1092" ht="12.75" x14ac:dyDescent="0.2"/>
    <row r="1093" ht="12.75" x14ac:dyDescent="0.2"/>
    <row r="1094" ht="12.75" x14ac:dyDescent="0.2"/>
    <row r="1095" ht="12.75" x14ac:dyDescent="0.2"/>
    <row r="1096" ht="12.75" x14ac:dyDescent="0.2"/>
    <row r="1097" ht="12.75" x14ac:dyDescent="0.2"/>
    <row r="1098" ht="12.75" x14ac:dyDescent="0.2"/>
    <row r="1099" ht="12.75" x14ac:dyDescent="0.2"/>
    <row r="1100" ht="12.75" x14ac:dyDescent="0.2"/>
    <row r="1101" ht="12.75" x14ac:dyDescent="0.2"/>
    <row r="1102" ht="12.75" x14ac:dyDescent="0.2"/>
    <row r="1103" ht="12.75" x14ac:dyDescent="0.2"/>
    <row r="1104" ht="12.75" x14ac:dyDescent="0.2"/>
    <row r="1105" ht="12.75" x14ac:dyDescent="0.2"/>
    <row r="1106" ht="12.75" x14ac:dyDescent="0.2"/>
    <row r="1107" ht="12.75" x14ac:dyDescent="0.2"/>
    <row r="1108" ht="12.75" x14ac:dyDescent="0.2"/>
    <row r="1109" ht="12.75" x14ac:dyDescent="0.2"/>
    <row r="1110" ht="12.75" x14ac:dyDescent="0.2"/>
    <row r="1111" ht="12.75" x14ac:dyDescent="0.2"/>
    <row r="1112" ht="12.75" x14ac:dyDescent="0.2"/>
    <row r="1113" ht="12.75" x14ac:dyDescent="0.2"/>
    <row r="1114" ht="12.75" x14ac:dyDescent="0.2"/>
    <row r="1115" ht="12.75" x14ac:dyDescent="0.2"/>
    <row r="1116" ht="12.75" x14ac:dyDescent="0.2"/>
    <row r="1117" ht="12.75" x14ac:dyDescent="0.2"/>
    <row r="1118" ht="12.75" x14ac:dyDescent="0.2"/>
    <row r="1119" ht="12.75" x14ac:dyDescent="0.2"/>
    <row r="1120" ht="12.75" x14ac:dyDescent="0.2"/>
    <row r="1121" ht="12.75" x14ac:dyDescent="0.2"/>
    <row r="1122" ht="12.75" x14ac:dyDescent="0.2"/>
    <row r="1123" ht="12.75" x14ac:dyDescent="0.2"/>
    <row r="1124" ht="12.75" x14ac:dyDescent="0.2"/>
    <row r="1125" ht="12.75" x14ac:dyDescent="0.2"/>
    <row r="1126" ht="12.75" x14ac:dyDescent="0.2"/>
    <row r="1127" ht="12.75" x14ac:dyDescent="0.2"/>
    <row r="1128" ht="12.75" x14ac:dyDescent="0.2"/>
    <row r="1129" ht="12.75" x14ac:dyDescent="0.2"/>
    <row r="1130" ht="12.75" x14ac:dyDescent="0.2"/>
    <row r="1131" ht="12.75" x14ac:dyDescent="0.2"/>
    <row r="1132" ht="12.75" x14ac:dyDescent="0.2"/>
    <row r="1133" ht="12.75" x14ac:dyDescent="0.2"/>
    <row r="1134" ht="12.75" x14ac:dyDescent="0.2"/>
    <row r="1135" ht="12.75" x14ac:dyDescent="0.2"/>
    <row r="1136" ht="12.75" x14ac:dyDescent="0.2"/>
    <row r="1137" ht="12.75" x14ac:dyDescent="0.2"/>
    <row r="1138" ht="12.75" x14ac:dyDescent="0.2"/>
    <row r="1139" ht="12.75" x14ac:dyDescent="0.2"/>
    <row r="1140" ht="12.75" x14ac:dyDescent="0.2"/>
    <row r="1141" ht="12.75" x14ac:dyDescent="0.2"/>
    <row r="1142" ht="12.75" x14ac:dyDescent="0.2"/>
    <row r="1143" ht="12.75" x14ac:dyDescent="0.2"/>
    <row r="1144" ht="12.75" x14ac:dyDescent="0.2"/>
    <row r="1145" ht="12.75" x14ac:dyDescent="0.2"/>
    <row r="1146" ht="12.75" x14ac:dyDescent="0.2"/>
    <row r="1147" ht="12.75" x14ac:dyDescent="0.2"/>
    <row r="1148" ht="12.75" x14ac:dyDescent="0.2"/>
    <row r="1149" ht="12.75" x14ac:dyDescent="0.2"/>
    <row r="1150" ht="12.75" x14ac:dyDescent="0.2"/>
    <row r="1151" ht="12.75" x14ac:dyDescent="0.2"/>
    <row r="1152" ht="12.75" x14ac:dyDescent="0.2"/>
    <row r="1153" ht="12.75" x14ac:dyDescent="0.2"/>
    <row r="1154" ht="12.75" x14ac:dyDescent="0.2"/>
    <row r="1155" ht="12.75" x14ac:dyDescent="0.2"/>
    <row r="1156" ht="12.75" x14ac:dyDescent="0.2"/>
    <row r="1157" ht="12.75" x14ac:dyDescent="0.2"/>
    <row r="1158" ht="12.75" x14ac:dyDescent="0.2"/>
    <row r="1159" ht="12.75" x14ac:dyDescent="0.2"/>
    <row r="1160" ht="12.75" x14ac:dyDescent="0.2"/>
    <row r="1161" ht="12.75" x14ac:dyDescent="0.2"/>
    <row r="1162" ht="12.75" x14ac:dyDescent="0.2"/>
    <row r="1163" ht="12.75" x14ac:dyDescent="0.2"/>
    <row r="1164" ht="12.75" x14ac:dyDescent="0.2"/>
    <row r="1165" ht="12.75" x14ac:dyDescent="0.2"/>
    <row r="1166" ht="12.75" x14ac:dyDescent="0.2"/>
    <row r="1167" ht="12.75" x14ac:dyDescent="0.2"/>
    <row r="1168" ht="12.75" x14ac:dyDescent="0.2"/>
    <row r="1169" ht="12.75" x14ac:dyDescent="0.2"/>
    <row r="1170" ht="12.75" x14ac:dyDescent="0.2"/>
    <row r="1171" ht="12.75" x14ac:dyDescent="0.2"/>
    <row r="1172" ht="12.75" x14ac:dyDescent="0.2"/>
    <row r="1173" ht="12.75" x14ac:dyDescent="0.2"/>
    <row r="1174" ht="12.75" x14ac:dyDescent="0.2"/>
    <row r="1175" ht="12.75" x14ac:dyDescent="0.2"/>
    <row r="1176" ht="12.75" x14ac:dyDescent="0.2"/>
    <row r="1177" ht="12.75" x14ac:dyDescent="0.2"/>
    <row r="1178" ht="12.75" x14ac:dyDescent="0.2"/>
    <row r="1179" ht="12.75" x14ac:dyDescent="0.2"/>
    <row r="1180" ht="12.75" x14ac:dyDescent="0.2"/>
    <row r="1181" ht="12.75" x14ac:dyDescent="0.2"/>
    <row r="1182" ht="12.75" x14ac:dyDescent="0.2"/>
    <row r="1183" ht="12.75" x14ac:dyDescent="0.2"/>
    <row r="1184" ht="12.75" x14ac:dyDescent="0.2"/>
    <row r="1185" ht="12.75" x14ac:dyDescent="0.2"/>
    <row r="1186" ht="12.75" x14ac:dyDescent="0.2"/>
    <row r="1187" ht="12.75" x14ac:dyDescent="0.2"/>
    <row r="1188" ht="12.75" x14ac:dyDescent="0.2"/>
    <row r="1189" ht="12.75" x14ac:dyDescent="0.2"/>
    <row r="1190" ht="12.75" x14ac:dyDescent="0.2"/>
    <row r="1191" ht="12.75" x14ac:dyDescent="0.2"/>
    <row r="1192" ht="12.75" x14ac:dyDescent="0.2"/>
    <row r="1193" ht="12.75" x14ac:dyDescent="0.2"/>
    <row r="1194" ht="12.75" x14ac:dyDescent="0.2"/>
    <row r="1195" ht="12.75" x14ac:dyDescent="0.2"/>
    <row r="1196" ht="12.75" x14ac:dyDescent="0.2"/>
    <row r="1197" ht="12.75" x14ac:dyDescent="0.2"/>
    <row r="1198" ht="12.75" x14ac:dyDescent="0.2"/>
    <row r="1199" ht="12.75" x14ac:dyDescent="0.2"/>
    <row r="1200" ht="12.75" x14ac:dyDescent="0.2"/>
    <row r="1201" ht="12.75" x14ac:dyDescent="0.2"/>
    <row r="1202" ht="12.75" x14ac:dyDescent="0.2"/>
    <row r="1203" ht="12.75" x14ac:dyDescent="0.2"/>
    <row r="1204" ht="12.75" x14ac:dyDescent="0.2"/>
    <row r="1205" ht="12.75" x14ac:dyDescent="0.2"/>
    <row r="1206" ht="12.75" x14ac:dyDescent="0.2"/>
    <row r="1207" ht="12.75" x14ac:dyDescent="0.2"/>
    <row r="1208" ht="12.75" x14ac:dyDescent="0.2"/>
    <row r="1209" ht="12.75" x14ac:dyDescent="0.2"/>
    <row r="1210" ht="12.75" x14ac:dyDescent="0.2"/>
    <row r="1211" ht="12.75" x14ac:dyDescent="0.2"/>
    <row r="1212" ht="12.75" x14ac:dyDescent="0.2"/>
    <row r="1213" ht="12.75" x14ac:dyDescent="0.2"/>
    <row r="1214" ht="12.75" x14ac:dyDescent="0.2"/>
    <row r="1215" ht="12.75" x14ac:dyDescent="0.2"/>
    <row r="1216" ht="12.75" x14ac:dyDescent="0.2"/>
    <row r="1217" ht="12.75" x14ac:dyDescent="0.2"/>
    <row r="1218" ht="12.75" x14ac:dyDescent="0.2"/>
    <row r="1219" ht="12.75" x14ac:dyDescent="0.2"/>
    <row r="1220" ht="12.75" x14ac:dyDescent="0.2"/>
    <row r="1221" ht="12.75" x14ac:dyDescent="0.2"/>
    <row r="1222" ht="12.75" x14ac:dyDescent="0.2"/>
    <row r="1223" ht="12.75" x14ac:dyDescent="0.2"/>
    <row r="1224" ht="12.75" x14ac:dyDescent="0.2"/>
    <row r="1225" ht="12.75" x14ac:dyDescent="0.2"/>
    <row r="1226" ht="12.75" x14ac:dyDescent="0.2"/>
    <row r="1227" ht="12.75" x14ac:dyDescent="0.2"/>
    <row r="1228" ht="12.75" x14ac:dyDescent="0.2"/>
    <row r="1229" ht="12.75" x14ac:dyDescent="0.2"/>
    <row r="1230" ht="12.75" x14ac:dyDescent="0.2"/>
    <row r="1231" ht="12.75" x14ac:dyDescent="0.2"/>
    <row r="1232" ht="12.75" x14ac:dyDescent="0.2"/>
    <row r="1233" ht="12.75" x14ac:dyDescent="0.2"/>
    <row r="1234" ht="12.75" x14ac:dyDescent="0.2"/>
    <row r="1235" ht="12.75" x14ac:dyDescent="0.2"/>
    <row r="1236" ht="12.75" x14ac:dyDescent="0.2"/>
    <row r="1237" ht="12.75" x14ac:dyDescent="0.2"/>
    <row r="1238" ht="12.75" x14ac:dyDescent="0.2"/>
    <row r="1239" ht="12.75" x14ac:dyDescent="0.2"/>
    <row r="1240" ht="12.75" x14ac:dyDescent="0.2"/>
    <row r="1241" ht="12.75" x14ac:dyDescent="0.2"/>
    <row r="1242" ht="12.75" x14ac:dyDescent="0.2"/>
    <row r="1243" ht="12.75" x14ac:dyDescent="0.2"/>
    <row r="1244" ht="12.75" x14ac:dyDescent="0.2"/>
    <row r="1245" ht="12.75" x14ac:dyDescent="0.2"/>
    <row r="1246" ht="12.75" x14ac:dyDescent="0.2"/>
    <row r="1247" ht="12.75" x14ac:dyDescent="0.2"/>
    <row r="1248" ht="12.75" x14ac:dyDescent="0.2"/>
    <row r="1249" ht="12.75" x14ac:dyDescent="0.2"/>
    <row r="1250" ht="12.75" x14ac:dyDescent="0.2"/>
    <row r="1251" ht="12.75" x14ac:dyDescent="0.2"/>
    <row r="1252" ht="12.75" x14ac:dyDescent="0.2"/>
    <row r="1253" ht="12.75" x14ac:dyDescent="0.2"/>
    <row r="1254" ht="12.75" x14ac:dyDescent="0.2"/>
    <row r="1255" ht="12.75" x14ac:dyDescent="0.2"/>
    <row r="1256" ht="12.75" x14ac:dyDescent="0.2"/>
    <row r="1257" ht="12.75" x14ac:dyDescent="0.2"/>
    <row r="1258" ht="12.75" x14ac:dyDescent="0.2"/>
    <row r="1259" ht="12.75" x14ac:dyDescent="0.2"/>
    <row r="1260" ht="12.75" x14ac:dyDescent="0.2"/>
    <row r="1261" ht="12.75" x14ac:dyDescent="0.2"/>
    <row r="1262" ht="12.75" x14ac:dyDescent="0.2"/>
    <row r="1263" ht="12.75" x14ac:dyDescent="0.2"/>
    <row r="1264" ht="12.75" x14ac:dyDescent="0.2"/>
    <row r="1265" ht="12.75" x14ac:dyDescent="0.2"/>
    <row r="1266" ht="12.75" x14ac:dyDescent="0.2"/>
    <row r="1267" ht="12.75" x14ac:dyDescent="0.2"/>
    <row r="1268" ht="12.75" x14ac:dyDescent="0.2"/>
    <row r="1269" ht="12.75" x14ac:dyDescent="0.2"/>
    <row r="1270" ht="12.75" x14ac:dyDescent="0.2"/>
    <row r="1271" ht="12.75" x14ac:dyDescent="0.2"/>
    <row r="1272" ht="12.75" x14ac:dyDescent="0.2"/>
    <row r="1273" ht="12.75" x14ac:dyDescent="0.2"/>
    <row r="1274" ht="12.75" x14ac:dyDescent="0.2"/>
    <row r="1275" ht="12.75" x14ac:dyDescent="0.2"/>
    <row r="1276" ht="12.75" x14ac:dyDescent="0.2"/>
    <row r="1277" ht="12.75" x14ac:dyDescent="0.2"/>
    <row r="1278" ht="12.75" x14ac:dyDescent="0.2"/>
    <row r="1279" ht="12.75" x14ac:dyDescent="0.2"/>
    <row r="1280" ht="12.75" x14ac:dyDescent="0.2"/>
    <row r="1281" ht="12.75" x14ac:dyDescent="0.2"/>
    <row r="1282" ht="12.75" x14ac:dyDescent="0.2"/>
    <row r="1283" ht="12.75" x14ac:dyDescent="0.2"/>
    <row r="1284" ht="12.75" x14ac:dyDescent="0.2"/>
    <row r="1285" ht="12.75" x14ac:dyDescent="0.2"/>
    <row r="1286" ht="12.75" x14ac:dyDescent="0.2"/>
    <row r="1287" ht="12.75" x14ac:dyDescent="0.2"/>
    <row r="1288" ht="12.75" x14ac:dyDescent="0.2"/>
    <row r="1289" ht="12.75" x14ac:dyDescent="0.2"/>
    <row r="1290" ht="12.75" x14ac:dyDescent="0.2"/>
    <row r="1291" ht="12.75" x14ac:dyDescent="0.2"/>
    <row r="1292" ht="12.75" x14ac:dyDescent="0.2"/>
    <row r="1293" ht="12.75" x14ac:dyDescent="0.2"/>
    <row r="1294" ht="12.75" x14ac:dyDescent="0.2"/>
    <row r="1295" ht="12.75" x14ac:dyDescent="0.2"/>
    <row r="1296" ht="12.75" x14ac:dyDescent="0.2"/>
    <row r="1297" ht="12.75" x14ac:dyDescent="0.2"/>
    <row r="1298" ht="12.75" x14ac:dyDescent="0.2"/>
    <row r="1299" ht="12.75" x14ac:dyDescent="0.2"/>
    <row r="1300" ht="12.75" x14ac:dyDescent="0.2"/>
    <row r="1301" ht="12.75" x14ac:dyDescent="0.2"/>
    <row r="1302" ht="12.75" x14ac:dyDescent="0.2"/>
    <row r="1303" ht="12.75" x14ac:dyDescent="0.2"/>
    <row r="1304" ht="12.75" x14ac:dyDescent="0.2"/>
    <row r="1305" ht="12.75" x14ac:dyDescent="0.2"/>
    <row r="1306" ht="12.75" x14ac:dyDescent="0.2"/>
    <row r="1307" ht="12.75" x14ac:dyDescent="0.2"/>
    <row r="1308" ht="12.75" x14ac:dyDescent="0.2"/>
    <row r="1309" ht="12.75" x14ac:dyDescent="0.2"/>
    <row r="1310" ht="12.75" x14ac:dyDescent="0.2"/>
    <row r="1311" ht="12.75" x14ac:dyDescent="0.2"/>
    <row r="1312" ht="12.75" x14ac:dyDescent="0.2"/>
    <row r="1313" ht="12.75" x14ac:dyDescent="0.2"/>
    <row r="1314" ht="12.75" x14ac:dyDescent="0.2"/>
    <row r="1315" ht="12.75" x14ac:dyDescent="0.2"/>
    <row r="1316" ht="12.75" x14ac:dyDescent="0.2"/>
    <row r="1317" ht="12.75" x14ac:dyDescent="0.2"/>
    <row r="1318" ht="12.75" x14ac:dyDescent="0.2"/>
    <row r="1319" ht="12.75" x14ac:dyDescent="0.2"/>
    <row r="1320" ht="12.75" x14ac:dyDescent="0.2"/>
    <row r="1321" ht="12.75" x14ac:dyDescent="0.2"/>
    <row r="1322" ht="12.75" x14ac:dyDescent="0.2"/>
    <row r="1323" ht="12.75" x14ac:dyDescent="0.2"/>
    <row r="1324" ht="12.75" x14ac:dyDescent="0.2"/>
    <row r="1325" ht="12.75" x14ac:dyDescent="0.2"/>
    <row r="1326" ht="12.75" x14ac:dyDescent="0.2"/>
    <row r="1327" ht="12.75" x14ac:dyDescent="0.2"/>
    <row r="1328" ht="12.75" x14ac:dyDescent="0.2"/>
    <row r="1329" ht="12.75" x14ac:dyDescent="0.2"/>
    <row r="1330" ht="12.75" x14ac:dyDescent="0.2"/>
    <row r="1331" ht="12.75" x14ac:dyDescent="0.2"/>
    <row r="1332" ht="12.75" x14ac:dyDescent="0.2"/>
    <row r="1333" ht="12.75" x14ac:dyDescent="0.2"/>
    <row r="1334" ht="12.75" x14ac:dyDescent="0.2"/>
    <row r="1335" ht="12.75" x14ac:dyDescent="0.2"/>
    <row r="1336" ht="12.75" x14ac:dyDescent="0.2"/>
    <row r="1337" ht="12.75" x14ac:dyDescent="0.2"/>
    <row r="1338" ht="12.75" x14ac:dyDescent="0.2"/>
    <row r="1339" ht="12.75" x14ac:dyDescent="0.2"/>
    <row r="1340" ht="12.75" x14ac:dyDescent="0.2"/>
    <row r="1341" ht="12.75" x14ac:dyDescent="0.2"/>
    <row r="1342" ht="12.75" x14ac:dyDescent="0.2"/>
    <row r="1343" ht="12.75" x14ac:dyDescent="0.2"/>
    <row r="1344" ht="12.75" x14ac:dyDescent="0.2"/>
    <row r="1345" ht="12.75" x14ac:dyDescent="0.2"/>
    <row r="1346" ht="12.75" x14ac:dyDescent="0.2"/>
    <row r="1347" ht="12.75" x14ac:dyDescent="0.2"/>
    <row r="1348" ht="12.75" x14ac:dyDescent="0.2"/>
    <row r="1349" ht="12.75" x14ac:dyDescent="0.2"/>
    <row r="1350" ht="12.75" x14ac:dyDescent="0.2"/>
    <row r="1351" ht="12.75" x14ac:dyDescent="0.2"/>
    <row r="1352" ht="12.75" x14ac:dyDescent="0.2"/>
    <row r="1353" ht="12.75" x14ac:dyDescent="0.2"/>
    <row r="1354" ht="12.75" x14ac:dyDescent="0.2"/>
    <row r="1355" ht="12.75" x14ac:dyDescent="0.2"/>
    <row r="1356" ht="12.75" x14ac:dyDescent="0.2"/>
    <row r="1357" ht="12.75" x14ac:dyDescent="0.2"/>
    <row r="1358" ht="12.75" x14ac:dyDescent="0.2"/>
    <row r="1359" ht="12.75" x14ac:dyDescent="0.2"/>
    <row r="1360" ht="12.75" x14ac:dyDescent="0.2"/>
    <row r="1361" ht="12.75" x14ac:dyDescent="0.2"/>
    <row r="1362" ht="12.75" x14ac:dyDescent="0.2"/>
    <row r="1363" ht="12.75" x14ac:dyDescent="0.2"/>
    <row r="1364" ht="12.75" x14ac:dyDescent="0.2"/>
    <row r="1365" ht="12.75" x14ac:dyDescent="0.2"/>
    <row r="1366" ht="12.75" x14ac:dyDescent="0.2"/>
    <row r="1367" ht="12.75" x14ac:dyDescent="0.2"/>
    <row r="1368" ht="12.75" x14ac:dyDescent="0.2"/>
    <row r="1369" ht="12.75" x14ac:dyDescent="0.2"/>
    <row r="1370" ht="12.75" x14ac:dyDescent="0.2"/>
    <row r="1371" ht="12.75" x14ac:dyDescent="0.2"/>
    <row r="1372" ht="12.75" x14ac:dyDescent="0.2"/>
    <row r="1373" ht="12.75" x14ac:dyDescent="0.2"/>
    <row r="1374" ht="12.75" x14ac:dyDescent="0.2"/>
    <row r="1375" ht="12.75" x14ac:dyDescent="0.2"/>
    <row r="1376" ht="12.75" x14ac:dyDescent="0.2"/>
    <row r="1377" ht="12.75" x14ac:dyDescent="0.2"/>
    <row r="1378" ht="12.75" x14ac:dyDescent="0.2"/>
    <row r="1379" ht="12.75" x14ac:dyDescent="0.2"/>
    <row r="1380" ht="12.75" x14ac:dyDescent="0.2"/>
    <row r="1381" ht="12.75" x14ac:dyDescent="0.2"/>
    <row r="1382" ht="12.75" x14ac:dyDescent="0.2"/>
    <row r="1383" ht="12.75" x14ac:dyDescent="0.2"/>
    <row r="1384" ht="12.75" x14ac:dyDescent="0.2"/>
    <row r="1385" ht="12.75" x14ac:dyDescent="0.2"/>
    <row r="1386" ht="12.75" x14ac:dyDescent="0.2"/>
    <row r="1387" ht="12.75" x14ac:dyDescent="0.2"/>
    <row r="1388" ht="12.75" x14ac:dyDescent="0.2"/>
    <row r="1389" ht="12.75" x14ac:dyDescent="0.2"/>
    <row r="1390" ht="12.75" x14ac:dyDescent="0.2"/>
    <row r="1391" ht="12.75" x14ac:dyDescent="0.2"/>
    <row r="1392" ht="12.75" x14ac:dyDescent="0.2"/>
    <row r="1393" ht="12.75" x14ac:dyDescent="0.2"/>
    <row r="1394" ht="12.75" x14ac:dyDescent="0.2"/>
    <row r="1395" ht="12.75" x14ac:dyDescent="0.2"/>
    <row r="1396" ht="12.75" x14ac:dyDescent="0.2"/>
    <row r="1397" ht="12.75" x14ac:dyDescent="0.2"/>
    <row r="1398" ht="12.75" x14ac:dyDescent="0.2"/>
    <row r="1399" ht="12.75" x14ac:dyDescent="0.2"/>
    <row r="1400" ht="12.75" x14ac:dyDescent="0.2"/>
    <row r="1401" ht="12.75" x14ac:dyDescent="0.2"/>
    <row r="1402" ht="12.75" x14ac:dyDescent="0.2"/>
    <row r="1403" ht="12.75" x14ac:dyDescent="0.2"/>
    <row r="1404" ht="12.75" x14ac:dyDescent="0.2"/>
    <row r="1405" ht="12.75" x14ac:dyDescent="0.2"/>
    <row r="1406" ht="12.75" x14ac:dyDescent="0.2"/>
    <row r="1407" ht="12.75" x14ac:dyDescent="0.2"/>
    <row r="1408" ht="12.75" x14ac:dyDescent="0.2"/>
    <row r="1409" ht="12.75" x14ac:dyDescent="0.2"/>
    <row r="1410" ht="12.75" x14ac:dyDescent="0.2"/>
    <row r="1411" ht="12.75" x14ac:dyDescent="0.2"/>
    <row r="1412" ht="12.75" x14ac:dyDescent="0.2"/>
    <row r="1413" ht="12.75" x14ac:dyDescent="0.2"/>
    <row r="1414" ht="12.75" x14ac:dyDescent="0.2"/>
    <row r="1415" ht="12.75" x14ac:dyDescent="0.2"/>
    <row r="1416" ht="12.75" x14ac:dyDescent="0.2"/>
    <row r="1417" ht="12.75" x14ac:dyDescent="0.2"/>
    <row r="1418" ht="12.75" x14ac:dyDescent="0.2"/>
    <row r="1419" ht="12.75" x14ac:dyDescent="0.2"/>
    <row r="1420" ht="12.75" x14ac:dyDescent="0.2"/>
    <row r="1421" ht="12.75" x14ac:dyDescent="0.2"/>
    <row r="1422" ht="12.75" x14ac:dyDescent="0.2"/>
    <row r="1423" ht="12.75" x14ac:dyDescent="0.2"/>
    <row r="1424" ht="12.75" x14ac:dyDescent="0.2"/>
    <row r="1425" ht="12.75" x14ac:dyDescent="0.2"/>
    <row r="1426" ht="12.75" x14ac:dyDescent="0.2"/>
    <row r="1427" ht="12.75" x14ac:dyDescent="0.2"/>
    <row r="1428" ht="12.75" x14ac:dyDescent="0.2"/>
    <row r="1429" ht="12.75" x14ac:dyDescent="0.2"/>
    <row r="1430" ht="12.75" x14ac:dyDescent="0.2"/>
    <row r="1431" ht="12.75" x14ac:dyDescent="0.2"/>
    <row r="1432" ht="12.75" x14ac:dyDescent="0.2"/>
    <row r="1433" ht="12.75" x14ac:dyDescent="0.2"/>
    <row r="1434" ht="12.75" x14ac:dyDescent="0.2"/>
    <row r="1435" ht="12.75" x14ac:dyDescent="0.2"/>
    <row r="1436" ht="12.75" x14ac:dyDescent="0.2"/>
    <row r="1437" ht="12.75" x14ac:dyDescent="0.2"/>
    <row r="1438" ht="12.75" x14ac:dyDescent="0.2"/>
    <row r="1439" ht="12.75" x14ac:dyDescent="0.2"/>
    <row r="1440" ht="12.75" x14ac:dyDescent="0.2"/>
    <row r="1441" ht="12.75" x14ac:dyDescent="0.2"/>
    <row r="1442" ht="12.75" x14ac:dyDescent="0.2"/>
    <row r="1443" ht="12.75" x14ac:dyDescent="0.2"/>
    <row r="1444" ht="12.75" x14ac:dyDescent="0.2"/>
    <row r="1445" ht="12.75" x14ac:dyDescent="0.2"/>
    <row r="1446" ht="12.75" x14ac:dyDescent="0.2"/>
    <row r="1447" ht="12.75" x14ac:dyDescent="0.2"/>
    <row r="1448" ht="12.75" x14ac:dyDescent="0.2"/>
    <row r="1449" ht="12.75" x14ac:dyDescent="0.2"/>
    <row r="1450" ht="12.75" x14ac:dyDescent="0.2"/>
    <row r="1451" ht="12.75" x14ac:dyDescent="0.2"/>
    <row r="1452" ht="12.75" x14ac:dyDescent="0.2"/>
    <row r="1453" ht="12.75" x14ac:dyDescent="0.2"/>
    <row r="1454" ht="12.75" x14ac:dyDescent="0.2"/>
    <row r="1455" ht="12.75" x14ac:dyDescent="0.2"/>
    <row r="1456" ht="12.75" x14ac:dyDescent="0.2"/>
    <row r="1457" ht="12.75" x14ac:dyDescent="0.2"/>
    <row r="1458" ht="12.75" x14ac:dyDescent="0.2"/>
    <row r="1459" ht="12.75" x14ac:dyDescent="0.2"/>
    <row r="1460" ht="12.75" x14ac:dyDescent="0.2"/>
    <row r="1461" ht="12.75" x14ac:dyDescent="0.2"/>
    <row r="1462" ht="12.75" x14ac:dyDescent="0.2"/>
    <row r="1463" ht="12.75" x14ac:dyDescent="0.2"/>
    <row r="1464" ht="12.75" x14ac:dyDescent="0.2"/>
    <row r="1465" ht="12.75" x14ac:dyDescent="0.2"/>
    <row r="1466" ht="12.75" x14ac:dyDescent="0.2"/>
    <row r="1467" ht="12.75" x14ac:dyDescent="0.2"/>
    <row r="1468" ht="12.75" x14ac:dyDescent="0.2"/>
    <row r="1469" ht="12.75" x14ac:dyDescent="0.2"/>
    <row r="1470" ht="12.75" x14ac:dyDescent="0.2"/>
    <row r="1471" ht="12.75" x14ac:dyDescent="0.2"/>
    <row r="1472" ht="12.75" x14ac:dyDescent="0.2"/>
    <row r="1473" ht="12.75" x14ac:dyDescent="0.2"/>
    <row r="1474" ht="12.75" x14ac:dyDescent="0.2"/>
    <row r="1475" ht="12.75" x14ac:dyDescent="0.2"/>
    <row r="1476" ht="12.75" x14ac:dyDescent="0.2"/>
    <row r="1477" ht="12.75" x14ac:dyDescent="0.2"/>
    <row r="1478" ht="12.75" x14ac:dyDescent="0.2"/>
    <row r="1479" ht="12.75" x14ac:dyDescent="0.2"/>
    <row r="1480" ht="12.75" x14ac:dyDescent="0.2"/>
    <row r="1481" ht="12.75" x14ac:dyDescent="0.2"/>
    <row r="1482" ht="12.75" x14ac:dyDescent="0.2"/>
    <row r="1483" ht="12.75" x14ac:dyDescent="0.2"/>
    <row r="1484" ht="12.75" x14ac:dyDescent="0.2"/>
    <row r="1485" ht="12.75" x14ac:dyDescent="0.2"/>
    <row r="1486" ht="12.75" x14ac:dyDescent="0.2"/>
    <row r="1487" ht="12.75" x14ac:dyDescent="0.2"/>
    <row r="1488" ht="12.75" x14ac:dyDescent="0.2"/>
    <row r="1489" ht="12.75" x14ac:dyDescent="0.2"/>
    <row r="1490" ht="12.75" x14ac:dyDescent="0.2"/>
    <row r="1491" ht="12.75" x14ac:dyDescent="0.2"/>
    <row r="1492" ht="12.75" x14ac:dyDescent="0.2"/>
    <row r="1493" ht="12.75" x14ac:dyDescent="0.2"/>
    <row r="1494" ht="12.75" x14ac:dyDescent="0.2"/>
    <row r="1495" ht="12.75" x14ac:dyDescent="0.2"/>
    <row r="1496" ht="12.75" x14ac:dyDescent="0.2"/>
    <row r="1497" ht="12.75" x14ac:dyDescent="0.2"/>
    <row r="1498" ht="12.75" x14ac:dyDescent="0.2"/>
    <row r="1499" ht="12.75" x14ac:dyDescent="0.2"/>
    <row r="1500" ht="12.75" x14ac:dyDescent="0.2"/>
    <row r="1501" ht="12.75" x14ac:dyDescent="0.2"/>
    <row r="1502" ht="12.75" x14ac:dyDescent="0.2"/>
    <row r="1503" ht="12.75" x14ac:dyDescent="0.2"/>
    <row r="1504" ht="12.75" x14ac:dyDescent="0.2"/>
    <row r="1505" ht="12.75" x14ac:dyDescent="0.2"/>
    <row r="1506" ht="12.75" x14ac:dyDescent="0.2"/>
    <row r="1507" ht="12.75" x14ac:dyDescent="0.2"/>
    <row r="1508" ht="12.75" x14ac:dyDescent="0.2"/>
    <row r="1509" ht="12.75" x14ac:dyDescent="0.2"/>
    <row r="1510" ht="12.75" x14ac:dyDescent="0.2"/>
    <row r="1511" ht="12.75" x14ac:dyDescent="0.2"/>
    <row r="1512" ht="12.75" x14ac:dyDescent="0.2"/>
    <row r="1513" ht="12.75" x14ac:dyDescent="0.2"/>
    <row r="1514" ht="12.75" x14ac:dyDescent="0.2"/>
    <row r="1515" ht="12.75" x14ac:dyDescent="0.2"/>
    <row r="1516" ht="12.75" x14ac:dyDescent="0.2"/>
    <row r="1517" ht="12.75" x14ac:dyDescent="0.2"/>
    <row r="1518" ht="12.75" x14ac:dyDescent="0.2"/>
    <row r="1519" ht="12.75" x14ac:dyDescent="0.2"/>
    <row r="1520" ht="12.75" x14ac:dyDescent="0.2"/>
    <row r="1521" ht="12.75" x14ac:dyDescent="0.2"/>
    <row r="1522" ht="12.75" x14ac:dyDescent="0.2"/>
    <row r="1523" ht="12.75" x14ac:dyDescent="0.2"/>
    <row r="1524" ht="12.75" x14ac:dyDescent="0.2"/>
    <row r="1525" ht="12.75" x14ac:dyDescent="0.2"/>
    <row r="1526" ht="12.75" x14ac:dyDescent="0.2"/>
    <row r="1527" ht="12.75" x14ac:dyDescent="0.2"/>
    <row r="1528" ht="12.75" x14ac:dyDescent="0.2"/>
    <row r="1529" ht="12.75" x14ac:dyDescent="0.2"/>
    <row r="1530" ht="12.75" x14ac:dyDescent="0.2"/>
    <row r="1531" ht="12.75" x14ac:dyDescent="0.2"/>
    <row r="1532" ht="12.75" x14ac:dyDescent="0.2"/>
    <row r="1533" ht="12.75" x14ac:dyDescent="0.2"/>
    <row r="1534" ht="12.75" x14ac:dyDescent="0.2"/>
    <row r="1535" ht="12.75" x14ac:dyDescent="0.2"/>
    <row r="1536" ht="12.75" x14ac:dyDescent="0.2"/>
    <row r="1537" ht="12.75" x14ac:dyDescent="0.2"/>
    <row r="1538" ht="12.75" x14ac:dyDescent="0.2"/>
    <row r="1539" ht="12.75" x14ac:dyDescent="0.2"/>
    <row r="1540" ht="12.75" x14ac:dyDescent="0.2"/>
    <row r="1541" ht="12.75" x14ac:dyDescent="0.2"/>
    <row r="1542" ht="12.75" x14ac:dyDescent="0.2"/>
    <row r="1543" ht="12.75" x14ac:dyDescent="0.2"/>
    <row r="1544" ht="12.75" x14ac:dyDescent="0.2"/>
    <row r="1545" ht="12.75" x14ac:dyDescent="0.2"/>
    <row r="1546" ht="12.75" x14ac:dyDescent="0.2"/>
    <row r="1547" ht="12.75" x14ac:dyDescent="0.2"/>
    <row r="1548" ht="12.75" x14ac:dyDescent="0.2"/>
    <row r="1549" ht="12.75" x14ac:dyDescent="0.2"/>
    <row r="1550" ht="12.75" x14ac:dyDescent="0.2"/>
    <row r="1551" ht="12.75" x14ac:dyDescent="0.2"/>
    <row r="1552" ht="12.75" x14ac:dyDescent="0.2"/>
    <row r="1553" ht="12.75" x14ac:dyDescent="0.2"/>
    <row r="1554" ht="12.75" x14ac:dyDescent="0.2"/>
    <row r="1555" ht="12.75" x14ac:dyDescent="0.2"/>
    <row r="1556" ht="12.75" x14ac:dyDescent="0.2"/>
    <row r="1557" ht="12.75" x14ac:dyDescent="0.2"/>
    <row r="1558" ht="12.75" x14ac:dyDescent="0.2"/>
    <row r="1559" ht="12.75" x14ac:dyDescent="0.2"/>
    <row r="1560" ht="12.75" x14ac:dyDescent="0.2"/>
    <row r="1561" ht="12.75" x14ac:dyDescent="0.2"/>
    <row r="1562" ht="12.75" x14ac:dyDescent="0.2"/>
    <row r="1563" ht="12.75" x14ac:dyDescent="0.2"/>
    <row r="1564" ht="12.75" x14ac:dyDescent="0.2"/>
    <row r="1565" ht="12.75" x14ac:dyDescent="0.2"/>
    <row r="1566" ht="12.75" x14ac:dyDescent="0.2"/>
    <row r="1567" ht="12.75" x14ac:dyDescent="0.2"/>
    <row r="1568" ht="12.75" x14ac:dyDescent="0.2"/>
    <row r="1569" ht="12.75" x14ac:dyDescent="0.2"/>
    <row r="1570" ht="12.75" x14ac:dyDescent="0.2"/>
    <row r="1571" ht="12.75" x14ac:dyDescent="0.2"/>
    <row r="1572" ht="12.75" x14ac:dyDescent="0.2"/>
    <row r="1573" ht="12.75" x14ac:dyDescent="0.2"/>
    <row r="1574" ht="12.75" x14ac:dyDescent="0.2"/>
    <row r="1575" ht="12.75" x14ac:dyDescent="0.2"/>
    <row r="1576" ht="12.75" x14ac:dyDescent="0.2"/>
    <row r="1577" ht="12.75" x14ac:dyDescent="0.2"/>
    <row r="1578" ht="12.75" x14ac:dyDescent="0.2"/>
    <row r="1579" ht="12.75" x14ac:dyDescent="0.2"/>
    <row r="1580" ht="12.75" x14ac:dyDescent="0.2"/>
    <row r="1581" ht="12.75" x14ac:dyDescent="0.2"/>
    <row r="1582" ht="12.75" x14ac:dyDescent="0.2"/>
    <row r="1583" ht="12.75" x14ac:dyDescent="0.2"/>
    <row r="1584" ht="12.75" x14ac:dyDescent="0.2"/>
    <row r="1585" ht="12.75" x14ac:dyDescent="0.2"/>
    <row r="1586" ht="12.75" x14ac:dyDescent="0.2"/>
    <row r="1587" ht="12.75" x14ac:dyDescent="0.2"/>
    <row r="1588" ht="12.75" x14ac:dyDescent="0.2"/>
    <row r="1589" ht="12.75" x14ac:dyDescent="0.2"/>
    <row r="1590" ht="12.75" x14ac:dyDescent="0.2"/>
    <row r="1591" ht="12.75" x14ac:dyDescent="0.2"/>
    <row r="1592" ht="12.75" x14ac:dyDescent="0.2"/>
    <row r="1593" ht="12.75" x14ac:dyDescent="0.2"/>
    <row r="1594" ht="12.75" x14ac:dyDescent="0.2"/>
    <row r="1595" ht="12.75" x14ac:dyDescent="0.2"/>
    <row r="1596" ht="12.75" x14ac:dyDescent="0.2"/>
    <row r="1597" ht="12.75" x14ac:dyDescent="0.2"/>
    <row r="1598" ht="12.75" x14ac:dyDescent="0.2"/>
    <row r="1599" ht="12.75" x14ac:dyDescent="0.2"/>
    <row r="1600" ht="12.75" x14ac:dyDescent="0.2"/>
    <row r="1601" ht="12.75" x14ac:dyDescent="0.2"/>
    <row r="1602" ht="12.75" x14ac:dyDescent="0.2"/>
    <row r="1603" ht="12.75" x14ac:dyDescent="0.2"/>
    <row r="1604" ht="12.75" x14ac:dyDescent="0.2"/>
    <row r="1605" ht="12.75" x14ac:dyDescent="0.2"/>
    <row r="1606" ht="12.75" x14ac:dyDescent="0.2"/>
    <row r="1607" ht="12.75" x14ac:dyDescent="0.2"/>
    <row r="1608" ht="12.75" x14ac:dyDescent="0.2"/>
    <row r="1609" ht="12.75" x14ac:dyDescent="0.2"/>
    <row r="1610" ht="12.75" x14ac:dyDescent="0.2"/>
    <row r="1611" ht="12.75" x14ac:dyDescent="0.2"/>
    <row r="1612" ht="12.75" x14ac:dyDescent="0.2"/>
    <row r="1613" ht="12.75" x14ac:dyDescent="0.2"/>
    <row r="1614" ht="12.75" x14ac:dyDescent="0.2"/>
    <row r="1615" ht="12.75" x14ac:dyDescent="0.2"/>
    <row r="1616" ht="12.75" x14ac:dyDescent="0.2"/>
    <row r="1617" ht="12.75" x14ac:dyDescent="0.2"/>
    <row r="1618" ht="12.75" x14ac:dyDescent="0.2"/>
    <row r="1619" ht="12.75" x14ac:dyDescent="0.2"/>
    <row r="1620" ht="12.75" x14ac:dyDescent="0.2"/>
    <row r="1621" ht="12.75" x14ac:dyDescent="0.2"/>
    <row r="1622" ht="12.75" x14ac:dyDescent="0.2"/>
    <row r="1623" ht="12.75" x14ac:dyDescent="0.2"/>
    <row r="1624" ht="12.75" x14ac:dyDescent="0.2"/>
    <row r="1625" ht="12.75" x14ac:dyDescent="0.2"/>
    <row r="1626" ht="12.75" x14ac:dyDescent="0.2"/>
    <row r="1627" ht="12.75" x14ac:dyDescent="0.2"/>
    <row r="1628" ht="12.75" x14ac:dyDescent="0.2"/>
    <row r="1629" ht="12.75" x14ac:dyDescent="0.2"/>
    <row r="1630" ht="12.75" x14ac:dyDescent="0.2"/>
    <row r="1631" ht="12.75" x14ac:dyDescent="0.2"/>
    <row r="1632" ht="12.75" x14ac:dyDescent="0.2"/>
    <row r="1633" ht="12.75" x14ac:dyDescent="0.2"/>
    <row r="1634" ht="12.75" x14ac:dyDescent="0.2"/>
    <row r="1635" ht="12.75" x14ac:dyDescent="0.2"/>
    <row r="1636" ht="12.75" x14ac:dyDescent="0.2"/>
    <row r="1637" ht="12.75" x14ac:dyDescent="0.2"/>
    <row r="1638" ht="12.75" x14ac:dyDescent="0.2"/>
    <row r="1639" ht="12.75" x14ac:dyDescent="0.2"/>
    <row r="1640" ht="12.75" x14ac:dyDescent="0.2"/>
    <row r="1641" ht="12.75" x14ac:dyDescent="0.2"/>
    <row r="1642" ht="12.75" x14ac:dyDescent="0.2"/>
    <row r="1643" ht="12.75" x14ac:dyDescent="0.2"/>
    <row r="1644" ht="12.75" x14ac:dyDescent="0.2"/>
    <row r="1645" ht="12.75" x14ac:dyDescent="0.2"/>
    <row r="1646" ht="12.75" x14ac:dyDescent="0.2"/>
    <row r="1647" ht="12.75" x14ac:dyDescent="0.2"/>
    <row r="1648" ht="12.75" x14ac:dyDescent="0.2"/>
    <row r="1649" ht="12.75" x14ac:dyDescent="0.2"/>
    <row r="1650" ht="12.75" x14ac:dyDescent="0.2"/>
    <row r="1651" ht="12.75" x14ac:dyDescent="0.2"/>
    <row r="1652" ht="12.75" x14ac:dyDescent="0.2"/>
    <row r="1653" ht="12.75" x14ac:dyDescent="0.2"/>
    <row r="1654" ht="12.75" x14ac:dyDescent="0.2"/>
    <row r="1655" ht="12.75" x14ac:dyDescent="0.2"/>
    <row r="1656" ht="12.75" x14ac:dyDescent="0.2"/>
    <row r="1657" ht="12.75" x14ac:dyDescent="0.2"/>
    <row r="1658" ht="12.75" x14ac:dyDescent="0.2"/>
    <row r="1659" ht="12.75" x14ac:dyDescent="0.2"/>
    <row r="1660" ht="12.75" x14ac:dyDescent="0.2"/>
    <row r="1661" ht="12.75" x14ac:dyDescent="0.2"/>
    <row r="1662" ht="12.75" x14ac:dyDescent="0.2"/>
    <row r="1663" ht="12.75" x14ac:dyDescent="0.2"/>
    <row r="1664" ht="12.75" x14ac:dyDescent="0.2"/>
    <row r="1665" ht="12.75" x14ac:dyDescent="0.2"/>
    <row r="1666" ht="12.75" x14ac:dyDescent="0.2"/>
    <row r="1667" ht="12.75" x14ac:dyDescent="0.2"/>
    <row r="1668" ht="12.75" x14ac:dyDescent="0.2"/>
    <row r="1669" ht="12.75" x14ac:dyDescent="0.2"/>
    <row r="1670" ht="12.75" x14ac:dyDescent="0.2"/>
    <row r="1671" ht="12.75" x14ac:dyDescent="0.2"/>
    <row r="1672" ht="12.75" x14ac:dyDescent="0.2"/>
    <row r="1673" ht="12.75" x14ac:dyDescent="0.2"/>
    <row r="1674" ht="12.75" x14ac:dyDescent="0.2"/>
    <row r="1675" ht="12.75" x14ac:dyDescent="0.2"/>
    <row r="1676" ht="12.75" x14ac:dyDescent="0.2"/>
    <row r="1677" ht="12.75" x14ac:dyDescent="0.2"/>
    <row r="1678" ht="12.75" x14ac:dyDescent="0.2"/>
    <row r="1679" ht="12.75" x14ac:dyDescent="0.2"/>
    <row r="1680" ht="12.75" x14ac:dyDescent="0.2"/>
    <row r="1681" ht="12.75" x14ac:dyDescent="0.2"/>
    <row r="1682" ht="12.75" x14ac:dyDescent="0.2"/>
    <row r="1683" ht="12.75" x14ac:dyDescent="0.2"/>
    <row r="1684" ht="12.75" x14ac:dyDescent="0.2"/>
    <row r="1685" ht="12.75" x14ac:dyDescent="0.2"/>
    <row r="1686" ht="12.75" x14ac:dyDescent="0.2"/>
    <row r="1687" ht="12.75" x14ac:dyDescent="0.2"/>
    <row r="1688" ht="12.75" x14ac:dyDescent="0.2"/>
    <row r="1689" ht="12.75" x14ac:dyDescent="0.2"/>
    <row r="1690" ht="12.75" x14ac:dyDescent="0.2"/>
    <row r="1691" ht="12.75" x14ac:dyDescent="0.2"/>
    <row r="1692" ht="12.75" x14ac:dyDescent="0.2"/>
    <row r="1693" ht="12.75" x14ac:dyDescent="0.2"/>
    <row r="1694" ht="12.75" x14ac:dyDescent="0.2"/>
    <row r="1695" ht="12.75" x14ac:dyDescent="0.2"/>
    <row r="1696" ht="12.75" x14ac:dyDescent="0.2"/>
    <row r="1697" ht="12.75" x14ac:dyDescent="0.2"/>
    <row r="1698" ht="12.75" x14ac:dyDescent="0.2"/>
    <row r="1699" ht="12.75" x14ac:dyDescent="0.2"/>
    <row r="1700" ht="12.75" x14ac:dyDescent="0.2"/>
    <row r="1701" ht="12.75" x14ac:dyDescent="0.2"/>
    <row r="1702" ht="12.75" x14ac:dyDescent="0.2"/>
    <row r="1703" ht="12.75" x14ac:dyDescent="0.2"/>
    <row r="1704" ht="12.75" x14ac:dyDescent="0.2"/>
    <row r="1705" ht="12.75" x14ac:dyDescent="0.2"/>
    <row r="1706" ht="12.75" x14ac:dyDescent="0.2"/>
    <row r="1707" ht="12.75" x14ac:dyDescent="0.2"/>
    <row r="1708" ht="12.75" x14ac:dyDescent="0.2"/>
    <row r="1709" ht="12.75" x14ac:dyDescent="0.2"/>
    <row r="1710" ht="12.75" x14ac:dyDescent="0.2"/>
    <row r="1711" ht="12.75" x14ac:dyDescent="0.2"/>
    <row r="1712" ht="12.75" x14ac:dyDescent="0.2"/>
    <row r="1713" ht="12.75" x14ac:dyDescent="0.2"/>
    <row r="1714" ht="12.75" x14ac:dyDescent="0.2"/>
    <row r="1715" ht="12.75" x14ac:dyDescent="0.2"/>
    <row r="1716" ht="12.75" x14ac:dyDescent="0.2"/>
    <row r="1717" ht="12.75" x14ac:dyDescent="0.2"/>
    <row r="1718" ht="12.75" x14ac:dyDescent="0.2"/>
    <row r="1719" ht="12.75" x14ac:dyDescent="0.2"/>
    <row r="1720" ht="12.75" x14ac:dyDescent="0.2"/>
    <row r="1721" ht="12.75" x14ac:dyDescent="0.2"/>
    <row r="1722" ht="12.75" x14ac:dyDescent="0.2"/>
    <row r="1723" ht="12.75" x14ac:dyDescent="0.2"/>
    <row r="1724" ht="12.75" x14ac:dyDescent="0.2"/>
    <row r="1725" ht="12.75" x14ac:dyDescent="0.2"/>
    <row r="1726" ht="12.75" x14ac:dyDescent="0.2"/>
    <row r="1727" ht="12.75" x14ac:dyDescent="0.2"/>
    <row r="1728" ht="12.75" x14ac:dyDescent="0.2"/>
    <row r="1729" ht="12.75" x14ac:dyDescent="0.2"/>
    <row r="1730" ht="12.75" x14ac:dyDescent="0.2"/>
    <row r="1731" ht="12.75" x14ac:dyDescent="0.2"/>
    <row r="1732" ht="12.75" x14ac:dyDescent="0.2"/>
    <row r="1733" ht="12.75" x14ac:dyDescent="0.2"/>
    <row r="1734" ht="12.75" x14ac:dyDescent="0.2"/>
    <row r="1735" ht="12.75" x14ac:dyDescent="0.2"/>
    <row r="1736" ht="12.75" x14ac:dyDescent="0.2"/>
    <row r="1737" ht="12.75" x14ac:dyDescent="0.2"/>
    <row r="1738" ht="12.75" x14ac:dyDescent="0.2"/>
    <row r="1739" ht="12.75" x14ac:dyDescent="0.2"/>
    <row r="1740" ht="12.75" x14ac:dyDescent="0.2"/>
    <row r="1741" ht="12.75" x14ac:dyDescent="0.2"/>
    <row r="1742" ht="12.75" x14ac:dyDescent="0.2"/>
    <row r="1743" ht="12.75" x14ac:dyDescent="0.2"/>
    <row r="1744" ht="12.75" x14ac:dyDescent="0.2"/>
    <row r="1745" ht="12.75" x14ac:dyDescent="0.2"/>
    <row r="1746" ht="12.75" x14ac:dyDescent="0.2"/>
    <row r="1747" ht="12.75" x14ac:dyDescent="0.2"/>
    <row r="1748" ht="12.75" x14ac:dyDescent="0.2"/>
    <row r="1749" ht="12.75" x14ac:dyDescent="0.2"/>
    <row r="1750" ht="12.75" x14ac:dyDescent="0.2"/>
    <row r="1751" ht="12.75" x14ac:dyDescent="0.2"/>
    <row r="1752" ht="12.75" x14ac:dyDescent="0.2"/>
    <row r="1753" ht="12.75" x14ac:dyDescent="0.2"/>
    <row r="1754" ht="12.75" x14ac:dyDescent="0.2"/>
    <row r="1755" ht="12.75" x14ac:dyDescent="0.2"/>
    <row r="1756" ht="12.75" x14ac:dyDescent="0.2"/>
    <row r="1757" ht="12.75" x14ac:dyDescent="0.2"/>
    <row r="1758" ht="12.75" x14ac:dyDescent="0.2"/>
    <row r="1759" ht="12.75" x14ac:dyDescent="0.2"/>
    <row r="1760" ht="12.75" x14ac:dyDescent="0.2"/>
    <row r="1761" ht="12.75" x14ac:dyDescent="0.2"/>
    <row r="1762" ht="12.75" x14ac:dyDescent="0.2"/>
    <row r="1763" ht="12.75" x14ac:dyDescent="0.2"/>
    <row r="1764" ht="12.75" x14ac:dyDescent="0.2"/>
    <row r="1765" ht="12.75" x14ac:dyDescent="0.2"/>
    <row r="1766" ht="12.75" x14ac:dyDescent="0.2"/>
    <row r="1767" ht="12.75" x14ac:dyDescent="0.2"/>
    <row r="1768" ht="12.75" x14ac:dyDescent="0.2"/>
    <row r="1769" ht="12.75" x14ac:dyDescent="0.2"/>
    <row r="1770" ht="12.75" x14ac:dyDescent="0.2"/>
    <row r="1771" ht="12.75" x14ac:dyDescent="0.2"/>
    <row r="1772" ht="12.75" x14ac:dyDescent="0.2"/>
    <row r="1773" ht="12.75" x14ac:dyDescent="0.2"/>
    <row r="1774" ht="12.75" x14ac:dyDescent="0.2"/>
    <row r="1775" ht="12.75" x14ac:dyDescent="0.2"/>
    <row r="1776" ht="12.75" x14ac:dyDescent="0.2"/>
    <row r="1777" ht="12.75" x14ac:dyDescent="0.2"/>
    <row r="1778" ht="12.75" x14ac:dyDescent="0.2"/>
    <row r="1779" ht="12.75" x14ac:dyDescent="0.2"/>
    <row r="1780" ht="12.75" x14ac:dyDescent="0.2"/>
    <row r="1781" ht="12.75" x14ac:dyDescent="0.2"/>
    <row r="1782" ht="12.75" x14ac:dyDescent="0.2"/>
    <row r="1783" ht="12.75" x14ac:dyDescent="0.2"/>
    <row r="1784" ht="12.75" x14ac:dyDescent="0.2"/>
    <row r="1785" ht="12.75" x14ac:dyDescent="0.2"/>
    <row r="1786" ht="12.75" x14ac:dyDescent="0.2"/>
    <row r="1787" ht="12.75" x14ac:dyDescent="0.2"/>
    <row r="1788" ht="12.75" x14ac:dyDescent="0.2"/>
    <row r="1789" ht="12.75" x14ac:dyDescent="0.2"/>
    <row r="1790" ht="12.75" x14ac:dyDescent="0.2"/>
    <row r="1791" ht="12.75" x14ac:dyDescent="0.2"/>
    <row r="1792" ht="12.75" x14ac:dyDescent="0.2"/>
    <row r="1793" ht="12.75" x14ac:dyDescent="0.2"/>
    <row r="1794" ht="12.75" x14ac:dyDescent="0.2"/>
    <row r="1795" ht="12.75" x14ac:dyDescent="0.2"/>
    <row r="1796" ht="12.75" x14ac:dyDescent="0.2"/>
    <row r="1797" ht="12.75" x14ac:dyDescent="0.2"/>
    <row r="1798" ht="12.75" x14ac:dyDescent="0.2"/>
    <row r="1799" ht="12.75" x14ac:dyDescent="0.2"/>
    <row r="1800" ht="12.75" x14ac:dyDescent="0.2"/>
    <row r="1801" ht="12.75" x14ac:dyDescent="0.2"/>
    <row r="1802" ht="12.75" x14ac:dyDescent="0.2"/>
    <row r="1803" ht="12.75" x14ac:dyDescent="0.2"/>
    <row r="1804" ht="12.75" x14ac:dyDescent="0.2"/>
    <row r="1805" ht="12.75" x14ac:dyDescent="0.2"/>
    <row r="1806" ht="12.75" x14ac:dyDescent="0.2"/>
    <row r="1807" ht="12.75" x14ac:dyDescent="0.2"/>
    <row r="1808" ht="12.75" x14ac:dyDescent="0.2"/>
    <row r="1809" ht="12.75" x14ac:dyDescent="0.2"/>
    <row r="1810" ht="12.75" x14ac:dyDescent="0.2"/>
    <row r="1811" ht="12.75" x14ac:dyDescent="0.2"/>
    <row r="1812" ht="12.75" x14ac:dyDescent="0.2"/>
    <row r="1813" ht="12.75" x14ac:dyDescent="0.2"/>
    <row r="1814" ht="12.75" x14ac:dyDescent="0.2"/>
    <row r="1815" ht="12.75" x14ac:dyDescent="0.2"/>
    <row r="1816" ht="12.75" x14ac:dyDescent="0.2"/>
    <row r="1817" ht="12.75" x14ac:dyDescent="0.2"/>
    <row r="1818" ht="12.75" x14ac:dyDescent="0.2"/>
    <row r="1819" ht="12.75" x14ac:dyDescent="0.2"/>
    <row r="1820" ht="12.75" x14ac:dyDescent="0.2"/>
    <row r="1821" ht="12.75" x14ac:dyDescent="0.2"/>
    <row r="1822" ht="12.75" x14ac:dyDescent="0.2"/>
    <row r="1823" ht="12.75" x14ac:dyDescent="0.2"/>
    <row r="1824" ht="12.75" x14ac:dyDescent="0.2"/>
    <row r="1825" ht="12.75" x14ac:dyDescent="0.2"/>
    <row r="1826" ht="12.75" x14ac:dyDescent="0.2"/>
    <row r="1827" ht="12.75" x14ac:dyDescent="0.2"/>
    <row r="1828" ht="12.75" x14ac:dyDescent="0.2"/>
    <row r="1829" ht="12.75" x14ac:dyDescent="0.2"/>
    <row r="1830" ht="12.75" x14ac:dyDescent="0.2"/>
    <row r="1831" ht="12.75" x14ac:dyDescent="0.2"/>
    <row r="1832" ht="12.75" x14ac:dyDescent="0.2"/>
    <row r="1833" ht="12.75" x14ac:dyDescent="0.2"/>
    <row r="1834" ht="12.75" x14ac:dyDescent="0.2"/>
    <row r="1835" ht="12.75" x14ac:dyDescent="0.2"/>
    <row r="1836" ht="12.75" x14ac:dyDescent="0.2"/>
    <row r="1837" ht="12.75" x14ac:dyDescent="0.2"/>
    <row r="1838" ht="12.75" x14ac:dyDescent="0.2"/>
    <row r="1839" ht="12.75" x14ac:dyDescent="0.2"/>
    <row r="1840" ht="12.75" x14ac:dyDescent="0.2"/>
    <row r="1841" ht="12.75" x14ac:dyDescent="0.2"/>
    <row r="1842" ht="12.75" x14ac:dyDescent="0.2"/>
    <row r="1843" ht="12.75" x14ac:dyDescent="0.2"/>
    <row r="1844" ht="12.75" x14ac:dyDescent="0.2"/>
    <row r="1845" ht="12.75" x14ac:dyDescent="0.2"/>
    <row r="1846" ht="12.75" x14ac:dyDescent="0.2"/>
    <row r="1847" ht="12.75" x14ac:dyDescent="0.2"/>
    <row r="1848" ht="12.75" x14ac:dyDescent="0.2"/>
    <row r="1849" ht="12.75" x14ac:dyDescent="0.2"/>
    <row r="1850" ht="12.75" x14ac:dyDescent="0.2"/>
    <row r="1851" ht="12.75" x14ac:dyDescent="0.2"/>
    <row r="1852" ht="12.75" x14ac:dyDescent="0.2"/>
    <row r="1853" ht="12.75" x14ac:dyDescent="0.2"/>
    <row r="1854" ht="12.75" x14ac:dyDescent="0.2"/>
    <row r="1855" ht="12.75" x14ac:dyDescent="0.2"/>
    <row r="1856" ht="12.75" x14ac:dyDescent="0.2"/>
    <row r="1857" ht="12.75" x14ac:dyDescent="0.2"/>
    <row r="1858" ht="12.75" x14ac:dyDescent="0.2"/>
    <row r="1859" ht="12.75" x14ac:dyDescent="0.2"/>
    <row r="1860" ht="12.75" x14ac:dyDescent="0.2"/>
    <row r="1861" ht="12.75" x14ac:dyDescent="0.2"/>
    <row r="1862" ht="12.75" x14ac:dyDescent="0.2"/>
    <row r="1863" ht="12.75" x14ac:dyDescent="0.2"/>
    <row r="1864" ht="12.75" x14ac:dyDescent="0.2"/>
    <row r="1865" ht="12.75" x14ac:dyDescent="0.2"/>
    <row r="1866" ht="12.75" x14ac:dyDescent="0.2"/>
    <row r="1867" ht="12.75" x14ac:dyDescent="0.2"/>
    <row r="1868" ht="12.75" x14ac:dyDescent="0.2"/>
    <row r="1869" ht="12.75" x14ac:dyDescent="0.2"/>
    <row r="1870" ht="12.75" x14ac:dyDescent="0.2"/>
    <row r="1871" ht="12.75" x14ac:dyDescent="0.2"/>
    <row r="1872" ht="12.75" x14ac:dyDescent="0.2"/>
    <row r="1873" ht="12.75" x14ac:dyDescent="0.2"/>
    <row r="1874" ht="12.75" x14ac:dyDescent="0.2"/>
    <row r="1875" ht="12.75" x14ac:dyDescent="0.2"/>
    <row r="1876" ht="12.75" x14ac:dyDescent="0.2"/>
    <row r="1877" ht="12.75" x14ac:dyDescent="0.2"/>
    <row r="1878" ht="12.75" x14ac:dyDescent="0.2"/>
    <row r="1879" ht="12.75" x14ac:dyDescent="0.2"/>
    <row r="1880" ht="12.75" x14ac:dyDescent="0.2"/>
    <row r="1881" ht="12.75" x14ac:dyDescent="0.2"/>
    <row r="1882" ht="12.75" x14ac:dyDescent="0.2"/>
    <row r="1883" ht="12.75" x14ac:dyDescent="0.2"/>
    <row r="1884" ht="12.75" x14ac:dyDescent="0.2"/>
    <row r="1885" ht="12.75" x14ac:dyDescent="0.2"/>
    <row r="1886" ht="12.75" x14ac:dyDescent="0.2"/>
    <row r="1887" ht="12.75" x14ac:dyDescent="0.2"/>
    <row r="1888" ht="12.75" x14ac:dyDescent="0.2"/>
    <row r="1889" ht="12.75" x14ac:dyDescent="0.2"/>
    <row r="1890" ht="12.75" x14ac:dyDescent="0.2"/>
    <row r="1891" ht="12.75" x14ac:dyDescent="0.2"/>
    <row r="1892" ht="12.75" x14ac:dyDescent="0.2"/>
    <row r="1893" ht="12.75" x14ac:dyDescent="0.2"/>
    <row r="1894" ht="12.75" x14ac:dyDescent="0.2"/>
    <row r="1895" ht="12.75" x14ac:dyDescent="0.2"/>
    <row r="1896" ht="12.75" x14ac:dyDescent="0.2"/>
    <row r="1897" ht="12.75" x14ac:dyDescent="0.2"/>
    <row r="1898" ht="12.75" x14ac:dyDescent="0.2"/>
    <row r="1899" ht="12.75" x14ac:dyDescent="0.2"/>
    <row r="1900" ht="12.75" x14ac:dyDescent="0.2"/>
    <row r="1901" ht="12.75" x14ac:dyDescent="0.2"/>
    <row r="1902" ht="12.75" x14ac:dyDescent="0.2"/>
    <row r="1903" ht="12.75" x14ac:dyDescent="0.2"/>
    <row r="1904" ht="12.75" x14ac:dyDescent="0.2"/>
    <row r="1905" ht="12.75" x14ac:dyDescent="0.2"/>
    <row r="1906" ht="12.75" x14ac:dyDescent="0.2"/>
    <row r="1907" ht="12.75" x14ac:dyDescent="0.2"/>
    <row r="1908" ht="12.75" x14ac:dyDescent="0.2"/>
    <row r="1909" ht="12.75" x14ac:dyDescent="0.2"/>
    <row r="1910" ht="12.75" x14ac:dyDescent="0.2"/>
    <row r="1911" ht="12.75" x14ac:dyDescent="0.2"/>
    <row r="1912" ht="12.75" x14ac:dyDescent="0.2"/>
    <row r="1913" ht="12.75" x14ac:dyDescent="0.2"/>
    <row r="1914" ht="12.75" x14ac:dyDescent="0.2"/>
    <row r="1915" ht="12.75" x14ac:dyDescent="0.2"/>
    <row r="1916" ht="12.75" x14ac:dyDescent="0.2"/>
    <row r="1917" ht="12.75" x14ac:dyDescent="0.2"/>
    <row r="1918" ht="12.75" x14ac:dyDescent="0.2"/>
    <row r="1919" ht="12.75" x14ac:dyDescent="0.2"/>
    <row r="1920" ht="12.75" x14ac:dyDescent="0.2"/>
    <row r="1921" ht="12.75" x14ac:dyDescent="0.2"/>
    <row r="1922" ht="12.75" x14ac:dyDescent="0.2"/>
    <row r="1923" ht="12.75" x14ac:dyDescent="0.2"/>
    <row r="1924" ht="12.75" x14ac:dyDescent="0.2"/>
    <row r="1925" ht="12.75" x14ac:dyDescent="0.2"/>
    <row r="1926" ht="12.75" x14ac:dyDescent="0.2"/>
    <row r="1927" ht="12.75" x14ac:dyDescent="0.2"/>
    <row r="1928" ht="12.75" x14ac:dyDescent="0.2"/>
    <row r="1929" ht="12.75" x14ac:dyDescent="0.2"/>
    <row r="1930" ht="12.75" x14ac:dyDescent="0.2"/>
    <row r="1931" ht="12.75" x14ac:dyDescent="0.2"/>
    <row r="1932" ht="12.75" x14ac:dyDescent="0.2"/>
    <row r="1933" ht="12.75" x14ac:dyDescent="0.2"/>
    <row r="1934" ht="12.75" x14ac:dyDescent="0.2"/>
    <row r="1935" ht="12.75" x14ac:dyDescent="0.2"/>
    <row r="1936" ht="12.75" x14ac:dyDescent="0.2"/>
    <row r="1937" ht="12.75" x14ac:dyDescent="0.2"/>
    <row r="1938" ht="12.75" x14ac:dyDescent="0.2"/>
    <row r="1939" ht="12.75" x14ac:dyDescent="0.2"/>
    <row r="1940" ht="12.75" x14ac:dyDescent="0.2"/>
    <row r="1941" ht="12.75" x14ac:dyDescent="0.2"/>
    <row r="1942" ht="12.75" x14ac:dyDescent="0.2"/>
    <row r="1943" ht="12.75" x14ac:dyDescent="0.2"/>
    <row r="1944" ht="12.75" x14ac:dyDescent="0.2"/>
    <row r="1945" ht="12.75" x14ac:dyDescent="0.2"/>
    <row r="1946" ht="12.75" x14ac:dyDescent="0.2"/>
    <row r="1947" ht="12.75" x14ac:dyDescent="0.2"/>
    <row r="1948" ht="12.75" x14ac:dyDescent="0.2"/>
    <row r="1949" ht="12.75" x14ac:dyDescent="0.2"/>
    <row r="1950" ht="12.75" x14ac:dyDescent="0.2"/>
    <row r="1951" ht="12.75" x14ac:dyDescent="0.2"/>
    <row r="1952" ht="12.75" x14ac:dyDescent="0.2"/>
    <row r="1953" ht="12.75" x14ac:dyDescent="0.2"/>
    <row r="1954" ht="12.75" x14ac:dyDescent="0.2"/>
    <row r="1955" ht="12.75" x14ac:dyDescent="0.2"/>
    <row r="1956" ht="12.75" x14ac:dyDescent="0.2"/>
    <row r="1957" ht="12.75" x14ac:dyDescent="0.2"/>
    <row r="1958" ht="12.75" x14ac:dyDescent="0.2"/>
    <row r="1959" ht="12.75" x14ac:dyDescent="0.2"/>
    <row r="1960" ht="12.75" x14ac:dyDescent="0.2"/>
    <row r="1961" ht="12.75" x14ac:dyDescent="0.2"/>
    <row r="1962" ht="12.75" x14ac:dyDescent="0.2"/>
    <row r="1963" ht="12.75" x14ac:dyDescent="0.2"/>
    <row r="1964" ht="12.75" x14ac:dyDescent="0.2"/>
    <row r="1965" ht="12.75" x14ac:dyDescent="0.2"/>
    <row r="1966" ht="12.75" x14ac:dyDescent="0.2"/>
    <row r="1967" ht="12.75" x14ac:dyDescent="0.2"/>
    <row r="1968" ht="12.75" x14ac:dyDescent="0.2"/>
    <row r="1969" ht="12.75" x14ac:dyDescent="0.2"/>
    <row r="1970" ht="12.75" x14ac:dyDescent="0.2"/>
    <row r="1971" ht="12.75" x14ac:dyDescent="0.2"/>
    <row r="1972" ht="12.75" x14ac:dyDescent="0.2"/>
    <row r="1973" ht="12.75" x14ac:dyDescent="0.2"/>
    <row r="1974" ht="12.75" x14ac:dyDescent="0.2"/>
    <row r="1975" ht="12.75" x14ac:dyDescent="0.2"/>
    <row r="1976" ht="12.75" x14ac:dyDescent="0.2"/>
    <row r="1977" ht="12.75" x14ac:dyDescent="0.2"/>
    <row r="1978" ht="12.75" x14ac:dyDescent="0.2"/>
    <row r="1979" ht="12.75" x14ac:dyDescent="0.2"/>
    <row r="1980" ht="12.75" x14ac:dyDescent="0.2"/>
    <row r="1981" ht="12.75" x14ac:dyDescent="0.2"/>
    <row r="1982" ht="12.75" x14ac:dyDescent="0.2"/>
    <row r="1983" ht="12.75" x14ac:dyDescent="0.2"/>
    <row r="1984" ht="12.75" x14ac:dyDescent="0.2"/>
    <row r="1985" ht="12.75" x14ac:dyDescent="0.2"/>
    <row r="1986" ht="12.75" x14ac:dyDescent="0.2"/>
    <row r="1987" ht="12.75" x14ac:dyDescent="0.2"/>
    <row r="1988" ht="12.75" x14ac:dyDescent="0.2"/>
    <row r="1989" ht="12.75" x14ac:dyDescent="0.2"/>
    <row r="1990" ht="12.75" x14ac:dyDescent="0.2"/>
    <row r="1991" ht="12.75" x14ac:dyDescent="0.2"/>
    <row r="1992" ht="12.75" x14ac:dyDescent="0.2"/>
    <row r="1993" ht="12.75" x14ac:dyDescent="0.2"/>
    <row r="1994" ht="12.75" x14ac:dyDescent="0.2"/>
    <row r="1995" ht="12.75" x14ac:dyDescent="0.2"/>
    <row r="1996" ht="12.75" x14ac:dyDescent="0.2"/>
    <row r="1997" ht="12.75" x14ac:dyDescent="0.2"/>
    <row r="1998" ht="12.75" x14ac:dyDescent="0.2"/>
    <row r="1999" ht="12.75" x14ac:dyDescent="0.2"/>
    <row r="2000" ht="12.75" x14ac:dyDescent="0.2"/>
    <row r="2001" ht="12.75" x14ac:dyDescent="0.2"/>
    <row r="2002" ht="12.75" x14ac:dyDescent="0.2"/>
    <row r="2003" ht="12.75" x14ac:dyDescent="0.2"/>
    <row r="2004" ht="12.75" x14ac:dyDescent="0.2"/>
    <row r="2005" ht="12.75" x14ac:dyDescent="0.2"/>
    <row r="2006" ht="12.75" x14ac:dyDescent="0.2"/>
    <row r="2007" ht="12.75" x14ac:dyDescent="0.2"/>
    <row r="2008" ht="12.75" x14ac:dyDescent="0.2"/>
    <row r="2009" ht="12.75" x14ac:dyDescent="0.2"/>
    <row r="2010" ht="12.75" x14ac:dyDescent="0.2"/>
    <row r="2011" ht="12.75" x14ac:dyDescent="0.2"/>
    <row r="2012" ht="12.75" x14ac:dyDescent="0.2"/>
    <row r="2013" ht="12.75" x14ac:dyDescent="0.2"/>
    <row r="2014" ht="12.75" x14ac:dyDescent="0.2"/>
    <row r="2015" ht="12.75" x14ac:dyDescent="0.2"/>
    <row r="2016" ht="12.75" x14ac:dyDescent="0.2"/>
    <row r="2017" ht="12.75" x14ac:dyDescent="0.2"/>
    <row r="2018" ht="12.75" x14ac:dyDescent="0.2"/>
    <row r="2019" ht="12.75" x14ac:dyDescent="0.2"/>
    <row r="2020" ht="12.75" x14ac:dyDescent="0.2"/>
    <row r="2021" ht="12.75" x14ac:dyDescent="0.2"/>
    <row r="2022" ht="12.75" x14ac:dyDescent="0.2"/>
    <row r="2023" ht="12.75" x14ac:dyDescent="0.2"/>
    <row r="2024" ht="12.75" x14ac:dyDescent="0.2"/>
    <row r="2025" ht="12.75" x14ac:dyDescent="0.2"/>
    <row r="2026" ht="12.75" x14ac:dyDescent="0.2"/>
    <row r="2027" ht="12.75" x14ac:dyDescent="0.2"/>
    <row r="2028" ht="12.75" x14ac:dyDescent="0.2"/>
    <row r="2029" ht="12.75" x14ac:dyDescent="0.2"/>
    <row r="2030" ht="12.75" x14ac:dyDescent="0.2"/>
    <row r="2031" ht="12.75" x14ac:dyDescent="0.2"/>
    <row r="2032" ht="12.75" x14ac:dyDescent="0.2"/>
    <row r="2033" ht="12.75" x14ac:dyDescent="0.2"/>
    <row r="2034" ht="12.75" x14ac:dyDescent="0.2"/>
    <row r="2035" ht="12.75" x14ac:dyDescent="0.2"/>
    <row r="2036" ht="12.75" x14ac:dyDescent="0.2"/>
    <row r="2037" ht="12.75" x14ac:dyDescent="0.2"/>
    <row r="2038" ht="12.75" x14ac:dyDescent="0.2"/>
    <row r="2039" ht="12.75" x14ac:dyDescent="0.2"/>
    <row r="2040" ht="12.75" x14ac:dyDescent="0.2"/>
    <row r="2041" ht="12.75" x14ac:dyDescent="0.2"/>
    <row r="2042" ht="12.75" x14ac:dyDescent="0.2"/>
    <row r="2043" ht="12.75" x14ac:dyDescent="0.2"/>
    <row r="2044" ht="12.75" x14ac:dyDescent="0.2"/>
    <row r="2045" ht="12.75" x14ac:dyDescent="0.2"/>
    <row r="2046" ht="12.75" x14ac:dyDescent="0.2"/>
    <row r="2047" ht="12.75" x14ac:dyDescent="0.2"/>
    <row r="2048" ht="12.75" x14ac:dyDescent="0.2"/>
    <row r="2049" ht="12.75" x14ac:dyDescent="0.2"/>
    <row r="2050" ht="12.75" x14ac:dyDescent="0.2"/>
    <row r="2051" ht="12.75" x14ac:dyDescent="0.2"/>
    <row r="2052" ht="12.75" x14ac:dyDescent="0.2"/>
    <row r="2053" ht="12.75" x14ac:dyDescent="0.2"/>
    <row r="2054" ht="12.75" x14ac:dyDescent="0.2"/>
    <row r="2055" ht="12.75" x14ac:dyDescent="0.2"/>
    <row r="2056" ht="12.75" x14ac:dyDescent="0.2"/>
    <row r="2057" ht="12.75" x14ac:dyDescent="0.2"/>
    <row r="2058" ht="12.75" x14ac:dyDescent="0.2"/>
    <row r="2059" ht="12.75" x14ac:dyDescent="0.2"/>
    <row r="2060" ht="12.75" x14ac:dyDescent="0.2"/>
    <row r="2061" ht="12.75" x14ac:dyDescent="0.2"/>
    <row r="2062" ht="12.75" x14ac:dyDescent="0.2"/>
    <row r="2063" ht="12.75" x14ac:dyDescent="0.2"/>
    <row r="2064" ht="12.75" x14ac:dyDescent="0.2"/>
    <row r="2065" ht="12.75" x14ac:dyDescent="0.2"/>
    <row r="2066" ht="12.75" x14ac:dyDescent="0.2"/>
    <row r="2067" ht="12.75" x14ac:dyDescent="0.2"/>
    <row r="2068" ht="12.75" x14ac:dyDescent="0.2"/>
    <row r="2069" ht="12.75" x14ac:dyDescent="0.2"/>
    <row r="2070" ht="12.75" x14ac:dyDescent="0.2"/>
    <row r="2071" ht="12.75" x14ac:dyDescent="0.2"/>
    <row r="2072" ht="12.75" x14ac:dyDescent="0.2"/>
    <row r="2073" ht="12.75" x14ac:dyDescent="0.2"/>
    <row r="2074" ht="12.75" x14ac:dyDescent="0.2"/>
    <row r="2075" ht="12.75" x14ac:dyDescent="0.2"/>
    <row r="2076" ht="12.75" x14ac:dyDescent="0.2"/>
    <row r="2077" ht="12.75" x14ac:dyDescent="0.2"/>
    <row r="2078" ht="12.75" x14ac:dyDescent="0.2"/>
    <row r="2079" ht="12.75" x14ac:dyDescent="0.2"/>
    <row r="2080" ht="12.75" x14ac:dyDescent="0.2"/>
    <row r="2081" ht="12.75" x14ac:dyDescent="0.2"/>
    <row r="2082" ht="12.75" x14ac:dyDescent="0.2"/>
    <row r="2083" ht="12.75" x14ac:dyDescent="0.2"/>
    <row r="2084" ht="12.75" x14ac:dyDescent="0.2"/>
    <row r="2085" ht="12.75" x14ac:dyDescent="0.2"/>
    <row r="2086" ht="12.75" x14ac:dyDescent="0.2"/>
    <row r="2087" ht="12.75" x14ac:dyDescent="0.2"/>
    <row r="2088" ht="12.75" x14ac:dyDescent="0.2"/>
    <row r="2089" ht="12.75" x14ac:dyDescent="0.2"/>
    <row r="2090" ht="12.75" x14ac:dyDescent="0.2"/>
    <row r="2091" ht="12.75" x14ac:dyDescent="0.2"/>
    <row r="2092" ht="12.75" x14ac:dyDescent="0.2"/>
    <row r="2093" ht="12.75" x14ac:dyDescent="0.2"/>
    <row r="2094" ht="12.75" x14ac:dyDescent="0.2"/>
    <row r="2095" ht="12.75" x14ac:dyDescent="0.2"/>
    <row r="2096" ht="12.75" x14ac:dyDescent="0.2"/>
    <row r="2097" ht="12.75" x14ac:dyDescent="0.2"/>
    <row r="2098" ht="12.75" x14ac:dyDescent="0.2"/>
    <row r="2099" ht="12.75" x14ac:dyDescent="0.2"/>
    <row r="2100" ht="12.75" x14ac:dyDescent="0.2"/>
    <row r="2101" ht="12.75" x14ac:dyDescent="0.2"/>
    <row r="2102" ht="12.75" x14ac:dyDescent="0.2"/>
    <row r="2103" ht="12.75" x14ac:dyDescent="0.2"/>
    <row r="2104" ht="12.75" x14ac:dyDescent="0.2"/>
    <row r="2105" ht="12.75" x14ac:dyDescent="0.2"/>
    <row r="2106" ht="12.75" x14ac:dyDescent="0.2"/>
    <row r="2107" ht="12.75" x14ac:dyDescent="0.2"/>
    <row r="2108" ht="12.75" x14ac:dyDescent="0.2"/>
    <row r="2109" ht="12.75" x14ac:dyDescent="0.2"/>
    <row r="2110" ht="12.75" x14ac:dyDescent="0.2"/>
    <row r="2111" ht="12.75" x14ac:dyDescent="0.2"/>
    <row r="2112" ht="12.75" x14ac:dyDescent="0.2"/>
    <row r="2113" ht="12.75" x14ac:dyDescent="0.2"/>
    <row r="2114" ht="12.75" x14ac:dyDescent="0.2"/>
    <row r="2115" ht="12.75" x14ac:dyDescent="0.2"/>
    <row r="2116" ht="12.75" x14ac:dyDescent="0.2"/>
    <row r="2117" ht="12.75" x14ac:dyDescent="0.2"/>
    <row r="2118" ht="12.75" x14ac:dyDescent="0.2"/>
    <row r="2119" ht="12.75" x14ac:dyDescent="0.2"/>
    <row r="2120" ht="12.75" x14ac:dyDescent="0.2"/>
    <row r="2121" ht="12.75" x14ac:dyDescent="0.2"/>
    <row r="2122" ht="12.75" x14ac:dyDescent="0.2"/>
    <row r="2123" ht="12.75" x14ac:dyDescent="0.2"/>
    <row r="2124" ht="12.75" x14ac:dyDescent="0.2"/>
    <row r="2125" ht="12.75" x14ac:dyDescent="0.2"/>
    <row r="2126" ht="12.75" x14ac:dyDescent="0.2"/>
    <row r="2127" ht="12.75" x14ac:dyDescent="0.2"/>
    <row r="2128" ht="12.75" x14ac:dyDescent="0.2"/>
    <row r="2129" ht="12.75" x14ac:dyDescent="0.2"/>
    <row r="2130" ht="12.75" x14ac:dyDescent="0.2"/>
    <row r="2131" ht="12.75" x14ac:dyDescent="0.2"/>
    <row r="2132" ht="12.75" x14ac:dyDescent="0.2"/>
    <row r="2133" ht="12.75" x14ac:dyDescent="0.2"/>
    <row r="2134" ht="12.75" x14ac:dyDescent="0.2"/>
    <row r="2135" ht="12.75" x14ac:dyDescent="0.2"/>
    <row r="2136" ht="12.75" x14ac:dyDescent="0.2"/>
    <row r="2137" ht="12.75" x14ac:dyDescent="0.2"/>
    <row r="2138" ht="12.75" x14ac:dyDescent="0.2"/>
    <row r="2139" ht="12.75" x14ac:dyDescent="0.2"/>
    <row r="2140" ht="12.75" x14ac:dyDescent="0.2"/>
    <row r="2141" ht="12.75" x14ac:dyDescent="0.2"/>
    <row r="2142" ht="12.75" x14ac:dyDescent="0.2"/>
    <row r="2143" ht="12.75" x14ac:dyDescent="0.2"/>
    <row r="2144" ht="12.75" x14ac:dyDescent="0.2"/>
    <row r="2145" ht="12.75" x14ac:dyDescent="0.2"/>
    <row r="2146" ht="12.75" x14ac:dyDescent="0.2"/>
    <row r="2147" ht="12.75" x14ac:dyDescent="0.2"/>
    <row r="2148" ht="12.75" x14ac:dyDescent="0.2"/>
    <row r="2149" ht="12.75" x14ac:dyDescent="0.2"/>
    <row r="2150" ht="12.75" x14ac:dyDescent="0.2"/>
    <row r="2151" ht="12.75" x14ac:dyDescent="0.2"/>
    <row r="2152" ht="12.75" x14ac:dyDescent="0.2"/>
    <row r="2153" ht="12.75" x14ac:dyDescent="0.2"/>
    <row r="2154" ht="12.75" x14ac:dyDescent="0.2"/>
    <row r="2155" ht="12.75" x14ac:dyDescent="0.2"/>
    <row r="2156" ht="12.75" x14ac:dyDescent="0.2"/>
    <row r="2157" ht="12.75" x14ac:dyDescent="0.2"/>
    <row r="2158" ht="12.75" x14ac:dyDescent="0.2"/>
    <row r="2159" ht="12.75" x14ac:dyDescent="0.2"/>
    <row r="2160" ht="12.75" x14ac:dyDescent="0.2"/>
    <row r="2161" ht="12.75" x14ac:dyDescent="0.2"/>
    <row r="2162" ht="12.75" x14ac:dyDescent="0.2"/>
    <row r="2163" ht="12.75" x14ac:dyDescent="0.2"/>
    <row r="2164" ht="12.75" x14ac:dyDescent="0.2"/>
    <row r="2165" ht="12.75" x14ac:dyDescent="0.2"/>
    <row r="2166" ht="12.75" x14ac:dyDescent="0.2"/>
    <row r="2167" ht="12.75" x14ac:dyDescent="0.2"/>
    <row r="2168" ht="12.75" x14ac:dyDescent="0.2"/>
    <row r="2169" ht="12.75" x14ac:dyDescent="0.2"/>
    <row r="2170" ht="12.75" x14ac:dyDescent="0.2"/>
    <row r="2171" ht="12.75" x14ac:dyDescent="0.2"/>
    <row r="2172" ht="12.75" x14ac:dyDescent="0.2"/>
    <row r="2173" ht="12.75" x14ac:dyDescent="0.2"/>
    <row r="2174" ht="12.75" x14ac:dyDescent="0.2"/>
    <row r="2175" ht="12.75" x14ac:dyDescent="0.2"/>
    <row r="2176" ht="12.75" x14ac:dyDescent="0.2"/>
    <row r="2177" ht="12.75" x14ac:dyDescent="0.2"/>
    <row r="2178" ht="12.75" x14ac:dyDescent="0.2"/>
    <row r="2179" ht="12.75" x14ac:dyDescent="0.2"/>
    <row r="2180" ht="12.75" x14ac:dyDescent="0.2"/>
    <row r="2181" ht="12.75" x14ac:dyDescent="0.2"/>
    <row r="2182" ht="12.75" x14ac:dyDescent="0.2"/>
    <row r="2183" ht="12.75" x14ac:dyDescent="0.2"/>
    <row r="2184" ht="12.75" x14ac:dyDescent="0.2"/>
    <row r="2185" ht="12.75" x14ac:dyDescent="0.2"/>
    <row r="2186" ht="12.75" x14ac:dyDescent="0.2"/>
    <row r="2187" ht="12.75" x14ac:dyDescent="0.2"/>
    <row r="2188" ht="12.75" x14ac:dyDescent="0.2"/>
    <row r="2189" ht="12.75" x14ac:dyDescent="0.2"/>
    <row r="2190" ht="12.75" x14ac:dyDescent="0.2"/>
    <row r="2191" ht="12.75" x14ac:dyDescent="0.2"/>
    <row r="2192" ht="12.75" x14ac:dyDescent="0.2"/>
    <row r="2193" ht="12.75" x14ac:dyDescent="0.2"/>
    <row r="2194" ht="12.75" x14ac:dyDescent="0.2"/>
    <row r="2195" ht="12.75" x14ac:dyDescent="0.2"/>
    <row r="2196" ht="12.75" x14ac:dyDescent="0.2"/>
    <row r="2197" ht="12.75" x14ac:dyDescent="0.2"/>
    <row r="2198" ht="12.75" x14ac:dyDescent="0.2"/>
    <row r="2199" ht="12.75" x14ac:dyDescent="0.2"/>
    <row r="2200" ht="12.75" x14ac:dyDescent="0.2"/>
    <row r="2201" ht="12.75" x14ac:dyDescent="0.2"/>
    <row r="2202" ht="12.75" x14ac:dyDescent="0.2"/>
    <row r="2203" ht="12.75" x14ac:dyDescent="0.2"/>
    <row r="2204" ht="12.75" x14ac:dyDescent="0.2"/>
    <row r="2205" ht="12.75" x14ac:dyDescent="0.2"/>
    <row r="2206" ht="12.75" x14ac:dyDescent="0.2"/>
    <row r="2207" ht="12.75" x14ac:dyDescent="0.2"/>
    <row r="2208" ht="12.75" x14ac:dyDescent="0.2"/>
    <row r="2209" ht="12.75" x14ac:dyDescent="0.2"/>
    <row r="2210" ht="12.75" x14ac:dyDescent="0.2"/>
    <row r="2211" ht="12.75" x14ac:dyDescent="0.2"/>
    <row r="2212" ht="12.75" x14ac:dyDescent="0.2"/>
    <row r="2213" ht="12.75" x14ac:dyDescent="0.2"/>
    <row r="2214" ht="12.75" x14ac:dyDescent="0.2"/>
    <row r="2215" ht="12.75" x14ac:dyDescent="0.2"/>
    <row r="2216" ht="12.75" x14ac:dyDescent="0.2"/>
    <row r="2217" ht="12.75" x14ac:dyDescent="0.2"/>
    <row r="2218" ht="12.75" x14ac:dyDescent="0.2"/>
    <row r="2219" ht="12.75" x14ac:dyDescent="0.2"/>
    <row r="2220" ht="12.75" x14ac:dyDescent="0.2"/>
    <row r="2221" ht="12.75" x14ac:dyDescent="0.2"/>
    <row r="2222" ht="12.75" x14ac:dyDescent="0.2"/>
    <row r="2223" ht="12.75" x14ac:dyDescent="0.2"/>
    <row r="2224" ht="12.75" x14ac:dyDescent="0.2"/>
    <row r="2225" ht="12.75" x14ac:dyDescent="0.2"/>
    <row r="2226" ht="12.75" x14ac:dyDescent="0.2"/>
    <row r="2227" ht="12.75" x14ac:dyDescent="0.2"/>
    <row r="2228" ht="12.75" x14ac:dyDescent="0.2"/>
    <row r="2229" ht="12.75" x14ac:dyDescent="0.2"/>
    <row r="2230" ht="12.75" x14ac:dyDescent="0.2"/>
    <row r="2231" ht="12.75" x14ac:dyDescent="0.2"/>
    <row r="2232" ht="12.75" x14ac:dyDescent="0.2"/>
    <row r="2233" ht="12.75" x14ac:dyDescent="0.2"/>
    <row r="2234" ht="12.75" x14ac:dyDescent="0.2"/>
    <row r="2235" ht="12.75" x14ac:dyDescent="0.2"/>
    <row r="2236" ht="12.75" x14ac:dyDescent="0.2"/>
    <row r="2237" ht="12.75" x14ac:dyDescent="0.2"/>
    <row r="2238" ht="12.75" x14ac:dyDescent="0.2"/>
    <row r="2239" ht="12.75" x14ac:dyDescent="0.2"/>
    <row r="2240" ht="12.75" x14ac:dyDescent="0.2"/>
    <row r="2241" ht="12.75" x14ac:dyDescent="0.2"/>
    <row r="2242" ht="12.75" x14ac:dyDescent="0.2"/>
    <row r="2243" ht="12.75" x14ac:dyDescent="0.2"/>
    <row r="2244" ht="12.75" x14ac:dyDescent="0.2"/>
    <row r="2245" ht="12.75" x14ac:dyDescent="0.2"/>
    <row r="2246" ht="12.75" x14ac:dyDescent="0.2"/>
    <row r="2247" ht="12.75" x14ac:dyDescent="0.2"/>
    <row r="2248" ht="12.75" x14ac:dyDescent="0.2"/>
    <row r="2249" ht="12.75" x14ac:dyDescent="0.2"/>
    <row r="2250" ht="12.75" x14ac:dyDescent="0.2"/>
    <row r="2251" ht="12.75" x14ac:dyDescent="0.2"/>
    <row r="2252" ht="12.75" x14ac:dyDescent="0.2"/>
    <row r="2253" ht="12.75" x14ac:dyDescent="0.2"/>
    <row r="2254" ht="12.75" x14ac:dyDescent="0.2"/>
    <row r="2255" ht="12.75" x14ac:dyDescent="0.2"/>
    <row r="2256" ht="12.75" x14ac:dyDescent="0.2"/>
    <row r="2257" ht="12.75" x14ac:dyDescent="0.2"/>
    <row r="2258" ht="12.75" x14ac:dyDescent="0.2"/>
    <row r="2259" ht="12.75" x14ac:dyDescent="0.2"/>
    <row r="2260" ht="12.75" x14ac:dyDescent="0.2"/>
    <row r="2261" ht="12.75" x14ac:dyDescent="0.2"/>
    <row r="2262" ht="12.75" x14ac:dyDescent="0.2"/>
    <row r="2263" ht="12.75" x14ac:dyDescent="0.2"/>
    <row r="2264" ht="12.75" x14ac:dyDescent="0.2"/>
    <row r="2265" ht="12.75" x14ac:dyDescent="0.2"/>
    <row r="2266" ht="12.75" x14ac:dyDescent="0.2"/>
    <row r="2267" ht="12.75" x14ac:dyDescent="0.2"/>
    <row r="2268" ht="12.75" x14ac:dyDescent="0.2"/>
    <row r="2269" ht="12.75" x14ac:dyDescent="0.2"/>
    <row r="2270" ht="12.75" x14ac:dyDescent="0.2"/>
    <row r="2271" ht="12.75" x14ac:dyDescent="0.2"/>
    <row r="2272" ht="12.75" x14ac:dyDescent="0.2"/>
    <row r="2273" ht="12.75" x14ac:dyDescent="0.2"/>
    <row r="2274" ht="12.75" x14ac:dyDescent="0.2"/>
    <row r="2275" ht="12.75" x14ac:dyDescent="0.2"/>
    <row r="2276" ht="12.75" x14ac:dyDescent="0.2"/>
    <row r="2277" ht="12.75" x14ac:dyDescent="0.2"/>
    <row r="2278" ht="12.75" x14ac:dyDescent="0.2"/>
    <row r="2279" ht="12.75" x14ac:dyDescent="0.2"/>
    <row r="2280" ht="12.75" x14ac:dyDescent="0.2"/>
    <row r="2281" ht="12.75" x14ac:dyDescent="0.2"/>
    <row r="2282" ht="12.75" x14ac:dyDescent="0.2"/>
    <row r="2283" ht="12.75" x14ac:dyDescent="0.2"/>
    <row r="2284" ht="12.75" x14ac:dyDescent="0.2"/>
    <row r="2285" ht="12.75" x14ac:dyDescent="0.2"/>
    <row r="2286" ht="12.75" x14ac:dyDescent="0.2"/>
    <row r="2287" ht="12.75" x14ac:dyDescent="0.2"/>
    <row r="2288" ht="12.75" x14ac:dyDescent="0.2"/>
    <row r="2289" ht="12.75" x14ac:dyDescent="0.2"/>
    <row r="2290" ht="12.75" x14ac:dyDescent="0.2"/>
    <row r="2291" ht="12.75" x14ac:dyDescent="0.2"/>
    <row r="2292" ht="12.75" x14ac:dyDescent="0.2"/>
    <row r="2293" ht="12.75" x14ac:dyDescent="0.2"/>
    <row r="2294" ht="12.75" x14ac:dyDescent="0.2"/>
    <row r="2295" ht="12.75" x14ac:dyDescent="0.2"/>
    <row r="2296" ht="12.75" x14ac:dyDescent="0.2"/>
    <row r="2297" ht="12.75" x14ac:dyDescent="0.2"/>
    <row r="2298" ht="12.75" x14ac:dyDescent="0.2"/>
    <row r="2299" ht="12.75" x14ac:dyDescent="0.2"/>
    <row r="2300" ht="12.75" x14ac:dyDescent="0.2"/>
    <row r="2301" ht="12.75" x14ac:dyDescent="0.2"/>
    <row r="2302" ht="12.75" x14ac:dyDescent="0.2"/>
    <row r="2303" ht="12.75" x14ac:dyDescent="0.2"/>
    <row r="2304" ht="12.75" x14ac:dyDescent="0.2"/>
    <row r="2305" ht="12.75" x14ac:dyDescent="0.2"/>
    <row r="2306" ht="12.75" x14ac:dyDescent="0.2"/>
    <row r="2307" ht="12.75" x14ac:dyDescent="0.2"/>
    <row r="2308" ht="12.75" x14ac:dyDescent="0.2"/>
    <row r="2309" ht="12.75" x14ac:dyDescent="0.2"/>
    <row r="2310" ht="12.75" x14ac:dyDescent="0.2"/>
    <row r="2311" ht="12.75" x14ac:dyDescent="0.2"/>
    <row r="2312" ht="12.75" x14ac:dyDescent="0.2"/>
    <row r="2313" ht="12.75" x14ac:dyDescent="0.2"/>
    <row r="2314" ht="12.75" x14ac:dyDescent="0.2"/>
    <row r="2315" ht="12.75" x14ac:dyDescent="0.2"/>
    <row r="2316" ht="12.75" x14ac:dyDescent="0.2"/>
    <row r="2317" ht="12.75" x14ac:dyDescent="0.2"/>
    <row r="2318" ht="12.75" x14ac:dyDescent="0.2"/>
    <row r="2319" ht="12.75" x14ac:dyDescent="0.2"/>
    <row r="2320" ht="12.75" x14ac:dyDescent="0.2"/>
    <row r="2321" ht="12.75" x14ac:dyDescent="0.2"/>
    <row r="2322" ht="12.75" x14ac:dyDescent="0.2"/>
    <row r="2323" ht="12.75" x14ac:dyDescent="0.2"/>
    <row r="2324" ht="12.75" x14ac:dyDescent="0.2"/>
    <row r="2325" ht="12.75" x14ac:dyDescent="0.2"/>
    <row r="2326" ht="12.75" x14ac:dyDescent="0.2"/>
    <row r="2327" ht="12.75" x14ac:dyDescent="0.2"/>
    <row r="2328" ht="12.75" x14ac:dyDescent="0.2"/>
    <row r="2329" ht="12.75" x14ac:dyDescent="0.2"/>
    <row r="2330" ht="12.75" x14ac:dyDescent="0.2"/>
    <row r="2331" ht="12.75" x14ac:dyDescent="0.2"/>
    <row r="2332" ht="12.75" x14ac:dyDescent="0.2"/>
    <row r="2333" ht="12.75" x14ac:dyDescent="0.2"/>
    <row r="2334" ht="12.75" x14ac:dyDescent="0.2"/>
    <row r="2335" ht="12.75" x14ac:dyDescent="0.2"/>
    <row r="2336" ht="12.75" x14ac:dyDescent="0.2"/>
    <row r="2337" ht="12.75" x14ac:dyDescent="0.2"/>
    <row r="2338" ht="12.75" x14ac:dyDescent="0.2"/>
    <row r="2339" ht="12.75" x14ac:dyDescent="0.2"/>
    <row r="2340" ht="12.75" x14ac:dyDescent="0.2"/>
    <row r="2341" ht="12.75" x14ac:dyDescent="0.2"/>
    <row r="2342" ht="12.75" x14ac:dyDescent="0.2"/>
    <row r="2343" ht="12.75" x14ac:dyDescent="0.2"/>
    <row r="2344" ht="12.75" x14ac:dyDescent="0.2"/>
    <row r="2345" ht="12.75" x14ac:dyDescent="0.2"/>
    <row r="2346" ht="12.75" x14ac:dyDescent="0.2"/>
    <row r="2347" ht="12.75" x14ac:dyDescent="0.2"/>
    <row r="2348" ht="12.75" x14ac:dyDescent="0.2"/>
    <row r="2349" ht="12.75" x14ac:dyDescent="0.2"/>
    <row r="2350" ht="12.75" x14ac:dyDescent="0.2"/>
    <row r="2351" ht="12.75" x14ac:dyDescent="0.2"/>
    <row r="2352" ht="12.75" x14ac:dyDescent="0.2"/>
    <row r="2353" ht="12.75" x14ac:dyDescent="0.2"/>
    <row r="2354" ht="12.75" x14ac:dyDescent="0.2"/>
    <row r="2355" ht="12.75" x14ac:dyDescent="0.2"/>
    <row r="2356" ht="12.75" x14ac:dyDescent="0.2"/>
    <row r="2357" ht="12.75" x14ac:dyDescent="0.2"/>
    <row r="2358" ht="12.75" x14ac:dyDescent="0.2"/>
    <row r="2359" ht="12.75" x14ac:dyDescent="0.2"/>
    <row r="2360" ht="12.75" x14ac:dyDescent="0.2"/>
    <row r="2361" ht="12.75" x14ac:dyDescent="0.2"/>
    <row r="2362" ht="12.75" x14ac:dyDescent="0.2"/>
    <row r="2363" ht="12.75" x14ac:dyDescent="0.2"/>
    <row r="2364" ht="12.75" x14ac:dyDescent="0.2"/>
    <row r="2365" ht="12.75" x14ac:dyDescent="0.2"/>
    <row r="2366" ht="12.75" x14ac:dyDescent="0.2"/>
    <row r="2367" ht="12.75" x14ac:dyDescent="0.2"/>
    <row r="2368" ht="12.75" x14ac:dyDescent="0.2"/>
    <row r="2369" ht="12.75" x14ac:dyDescent="0.2"/>
    <row r="2370" ht="12.75" x14ac:dyDescent="0.2"/>
    <row r="2371" ht="12.75" x14ac:dyDescent="0.2"/>
    <row r="2372" ht="12.75" x14ac:dyDescent="0.2"/>
    <row r="2373" ht="12.75" x14ac:dyDescent="0.2"/>
    <row r="2374" ht="12.75" x14ac:dyDescent="0.2"/>
    <row r="2375" ht="12.75" x14ac:dyDescent="0.2"/>
    <row r="2376" ht="12.75" x14ac:dyDescent="0.2"/>
    <row r="2377" ht="12.75" x14ac:dyDescent="0.2"/>
    <row r="2378" ht="12.75" x14ac:dyDescent="0.2"/>
    <row r="2379" ht="12.75" x14ac:dyDescent="0.2"/>
    <row r="2380" ht="12.75" x14ac:dyDescent="0.2"/>
    <row r="2381" ht="12.75" x14ac:dyDescent="0.2"/>
    <row r="2382" ht="12.75" x14ac:dyDescent="0.2"/>
    <row r="2383" ht="12.75" x14ac:dyDescent="0.2"/>
    <row r="2384" ht="12.75" x14ac:dyDescent="0.2"/>
    <row r="2385" ht="12.75" x14ac:dyDescent="0.2"/>
    <row r="2386" ht="12.75" x14ac:dyDescent="0.2"/>
    <row r="2387" ht="12.75" x14ac:dyDescent="0.2"/>
    <row r="2388" ht="12.75" x14ac:dyDescent="0.2"/>
    <row r="2389" ht="12.75" x14ac:dyDescent="0.2"/>
    <row r="2390" ht="12.75" x14ac:dyDescent="0.2"/>
    <row r="2391" ht="12.75" x14ac:dyDescent="0.2"/>
    <row r="2392" ht="12.75" x14ac:dyDescent="0.2"/>
    <row r="2393" ht="12.75" x14ac:dyDescent="0.2"/>
    <row r="2394" ht="12.75" x14ac:dyDescent="0.2"/>
    <row r="2395" ht="12.75" x14ac:dyDescent="0.2"/>
    <row r="2396" ht="12.75" x14ac:dyDescent="0.2"/>
    <row r="2397" ht="12.75" x14ac:dyDescent="0.2"/>
    <row r="2398" ht="12.75" x14ac:dyDescent="0.2"/>
    <row r="2399" ht="12.75" x14ac:dyDescent="0.2"/>
    <row r="2400" ht="12.75" x14ac:dyDescent="0.2"/>
    <row r="2401" ht="12.75" x14ac:dyDescent="0.2"/>
    <row r="2402" ht="12.75" x14ac:dyDescent="0.2"/>
    <row r="2403" ht="12.75" x14ac:dyDescent="0.2"/>
    <row r="2404" ht="12.75" x14ac:dyDescent="0.2"/>
    <row r="2405" ht="12.75" x14ac:dyDescent="0.2"/>
    <row r="2406" ht="12.75" x14ac:dyDescent="0.2"/>
    <row r="2407" ht="12.75" x14ac:dyDescent="0.2"/>
    <row r="2408" ht="12.75" x14ac:dyDescent="0.2"/>
    <row r="2409" ht="12.75" x14ac:dyDescent="0.2"/>
    <row r="2410" ht="12.75" x14ac:dyDescent="0.2"/>
    <row r="2411" ht="12.75" x14ac:dyDescent="0.2"/>
    <row r="2412" ht="12.75" x14ac:dyDescent="0.2"/>
    <row r="2413" ht="12.75" x14ac:dyDescent="0.2"/>
    <row r="2414" ht="12.75" x14ac:dyDescent="0.2"/>
    <row r="2415" ht="12.75" x14ac:dyDescent="0.2"/>
    <row r="2416" ht="12.75" x14ac:dyDescent="0.2"/>
    <row r="2417" ht="12.75" x14ac:dyDescent="0.2"/>
    <row r="2418" ht="12.75" x14ac:dyDescent="0.2"/>
    <row r="2419" ht="12.75" x14ac:dyDescent="0.2"/>
    <row r="2420" ht="12.75" x14ac:dyDescent="0.2"/>
    <row r="2421" ht="12.75" x14ac:dyDescent="0.2"/>
    <row r="2422" ht="12.75" x14ac:dyDescent="0.2"/>
    <row r="2423" ht="12.75" x14ac:dyDescent="0.2"/>
    <row r="2424" ht="12.75" x14ac:dyDescent="0.2"/>
    <row r="2425" ht="12.75" x14ac:dyDescent="0.2"/>
    <row r="2426" ht="12.75" x14ac:dyDescent="0.2"/>
    <row r="2427" ht="12.75" x14ac:dyDescent="0.2"/>
    <row r="2428" ht="12.75" x14ac:dyDescent="0.2"/>
    <row r="2429" ht="12.75" x14ac:dyDescent="0.2"/>
    <row r="2430" ht="12.75" x14ac:dyDescent="0.2"/>
    <row r="2431" ht="12.75" x14ac:dyDescent="0.2"/>
    <row r="2432" ht="12.75" x14ac:dyDescent="0.2"/>
    <row r="2433" ht="12.75" x14ac:dyDescent="0.2"/>
    <row r="2434" ht="12.75" x14ac:dyDescent="0.2"/>
    <row r="2435" ht="12.75" x14ac:dyDescent="0.2"/>
    <row r="2436" ht="12.75" x14ac:dyDescent="0.2"/>
    <row r="2437" ht="12.75" x14ac:dyDescent="0.2"/>
    <row r="2438" ht="12.75" x14ac:dyDescent="0.2"/>
    <row r="2439" ht="12.75" x14ac:dyDescent="0.2"/>
    <row r="2440" ht="12.75" x14ac:dyDescent="0.2"/>
    <row r="2441" ht="12.75" x14ac:dyDescent="0.2"/>
    <row r="2442" ht="12.75" x14ac:dyDescent="0.2"/>
    <row r="2443" ht="12.75" x14ac:dyDescent="0.2"/>
    <row r="2444" ht="12.75" x14ac:dyDescent="0.2"/>
    <row r="2445" ht="12.75" x14ac:dyDescent="0.2"/>
    <row r="2446" ht="12.75" x14ac:dyDescent="0.2"/>
    <row r="2447" ht="12.75" x14ac:dyDescent="0.2"/>
    <row r="2448" ht="12.75" x14ac:dyDescent="0.2"/>
    <row r="2449" ht="12.75" x14ac:dyDescent="0.2"/>
    <row r="2450" ht="12.75" x14ac:dyDescent="0.2"/>
    <row r="2451" ht="12.75" x14ac:dyDescent="0.2"/>
    <row r="2452" ht="12.75" x14ac:dyDescent="0.2"/>
    <row r="2453" ht="12.75" x14ac:dyDescent="0.2"/>
    <row r="2454" ht="12.75" x14ac:dyDescent="0.2"/>
    <row r="2455" ht="12.75" x14ac:dyDescent="0.2"/>
    <row r="2456" ht="12.75" x14ac:dyDescent="0.2"/>
    <row r="2457" ht="12.75" x14ac:dyDescent="0.2"/>
    <row r="2458" ht="12.75" x14ac:dyDescent="0.2"/>
    <row r="2459" ht="12.75" x14ac:dyDescent="0.2"/>
    <row r="2460" ht="12.75" x14ac:dyDescent="0.2"/>
    <row r="2461" ht="12.75" x14ac:dyDescent="0.2"/>
    <row r="2462" ht="12.75" x14ac:dyDescent="0.2"/>
    <row r="2463" ht="12.75" x14ac:dyDescent="0.2"/>
    <row r="2464" ht="12.75" x14ac:dyDescent="0.2"/>
    <row r="2465" ht="12.75" x14ac:dyDescent="0.2"/>
    <row r="2466" ht="12.75" x14ac:dyDescent="0.2"/>
    <row r="2467" ht="12.75" x14ac:dyDescent="0.2"/>
    <row r="2468" ht="12.75" x14ac:dyDescent="0.2"/>
    <row r="2469" ht="12.75" x14ac:dyDescent="0.2"/>
    <row r="2470" ht="12.75" x14ac:dyDescent="0.2"/>
    <row r="2471" ht="12.75" x14ac:dyDescent="0.2"/>
    <row r="2472" ht="12.75" x14ac:dyDescent="0.2"/>
    <row r="2473" ht="12.75" x14ac:dyDescent="0.2"/>
    <row r="2474" ht="12.75" x14ac:dyDescent="0.2"/>
    <row r="2475" ht="12.75" x14ac:dyDescent="0.2"/>
    <row r="2476" ht="12.75" x14ac:dyDescent="0.2"/>
    <row r="2477" ht="12.75" x14ac:dyDescent="0.2"/>
    <row r="2478" ht="12.75" x14ac:dyDescent="0.2"/>
    <row r="2479" ht="12.75" x14ac:dyDescent="0.2"/>
    <row r="2480" ht="12.75" x14ac:dyDescent="0.2"/>
    <row r="2481" ht="12.75" x14ac:dyDescent="0.2"/>
    <row r="2482" ht="12.75" x14ac:dyDescent="0.2"/>
    <row r="2483" ht="12.75" x14ac:dyDescent="0.2"/>
    <row r="2484" ht="12.75" x14ac:dyDescent="0.2"/>
    <row r="2485" ht="12.75" x14ac:dyDescent="0.2"/>
    <row r="2486" ht="12.75" x14ac:dyDescent="0.2"/>
    <row r="2487" ht="12.75" x14ac:dyDescent="0.2"/>
    <row r="2488" ht="12.75" x14ac:dyDescent="0.2"/>
    <row r="2489" ht="12.75" x14ac:dyDescent="0.2"/>
    <row r="2490" ht="12.75" x14ac:dyDescent="0.2"/>
    <row r="2491" ht="12.75" x14ac:dyDescent="0.2"/>
    <row r="2492" ht="12.75" x14ac:dyDescent="0.2"/>
    <row r="2493" ht="12.75" x14ac:dyDescent="0.2"/>
    <row r="2494" ht="12.75" x14ac:dyDescent="0.2"/>
    <row r="2495" ht="12.75" x14ac:dyDescent="0.2"/>
    <row r="2496" ht="12.75" x14ac:dyDescent="0.2"/>
    <row r="2497" ht="12.75" x14ac:dyDescent="0.2"/>
    <row r="2498" ht="12.75" x14ac:dyDescent="0.2"/>
    <row r="2499" ht="12.75" x14ac:dyDescent="0.2"/>
    <row r="2500" ht="12.75" x14ac:dyDescent="0.2"/>
    <row r="2501" ht="12.75" x14ac:dyDescent="0.2"/>
    <row r="2502" ht="12.75" x14ac:dyDescent="0.2"/>
    <row r="2503" ht="12.75" x14ac:dyDescent="0.2"/>
    <row r="2504" ht="12.75" x14ac:dyDescent="0.2"/>
    <row r="2505" ht="12.75" x14ac:dyDescent="0.2"/>
    <row r="2506" ht="12.75" x14ac:dyDescent="0.2"/>
    <row r="2507" ht="12.75" x14ac:dyDescent="0.2"/>
    <row r="2508" ht="12.75" x14ac:dyDescent="0.2"/>
    <row r="2509" ht="12.75" x14ac:dyDescent="0.2"/>
    <row r="2510" ht="12.75" x14ac:dyDescent="0.2"/>
    <row r="2511" ht="12.75" x14ac:dyDescent="0.2"/>
    <row r="2512" ht="12.75" x14ac:dyDescent="0.2"/>
    <row r="2513" ht="12.75" x14ac:dyDescent="0.2"/>
    <row r="2514" ht="12.75" x14ac:dyDescent="0.2"/>
    <row r="2515" ht="12.75" x14ac:dyDescent="0.2"/>
    <row r="2516" ht="12.75" x14ac:dyDescent="0.2"/>
    <row r="2517" ht="12.75" x14ac:dyDescent="0.2"/>
    <row r="2518" ht="12.75" x14ac:dyDescent="0.2"/>
    <row r="2519" ht="12.75" x14ac:dyDescent="0.2"/>
    <row r="2520" ht="12.75" x14ac:dyDescent="0.2"/>
    <row r="2521" ht="12.75" x14ac:dyDescent="0.2"/>
    <row r="2522" ht="12.75" x14ac:dyDescent="0.2"/>
    <row r="2523" ht="12.75" x14ac:dyDescent="0.2"/>
    <row r="2524" ht="12.75" x14ac:dyDescent="0.2"/>
    <row r="2525" ht="12.75" x14ac:dyDescent="0.2"/>
    <row r="2526" ht="12.75" x14ac:dyDescent="0.2"/>
    <row r="2527" ht="12.75" x14ac:dyDescent="0.2"/>
    <row r="2528" ht="12.75" x14ac:dyDescent="0.2"/>
    <row r="2529" ht="12.75" x14ac:dyDescent="0.2"/>
    <row r="2530" ht="12.75" x14ac:dyDescent="0.2"/>
    <row r="2531" ht="12.75" x14ac:dyDescent="0.2"/>
    <row r="2532" ht="12.75" x14ac:dyDescent="0.2"/>
    <row r="2533" ht="12.75" x14ac:dyDescent="0.2"/>
    <row r="2534" ht="12.75" x14ac:dyDescent="0.2"/>
    <row r="2535" ht="12.75" x14ac:dyDescent="0.2"/>
    <row r="2536" ht="12.75" x14ac:dyDescent="0.2"/>
    <row r="2537" ht="12.75" x14ac:dyDescent="0.2"/>
    <row r="2538" ht="12.75" x14ac:dyDescent="0.2"/>
    <row r="2539" ht="12.75" x14ac:dyDescent="0.2"/>
    <row r="2540" ht="12.75" x14ac:dyDescent="0.2"/>
    <row r="2541" ht="12.75" x14ac:dyDescent="0.2"/>
    <row r="2542" ht="12.75" x14ac:dyDescent="0.2"/>
    <row r="2543" ht="12.75" x14ac:dyDescent="0.2"/>
    <row r="2544" ht="12.75" x14ac:dyDescent="0.2"/>
    <row r="2545" ht="12.75" x14ac:dyDescent="0.2"/>
    <row r="2546" ht="12.75" x14ac:dyDescent="0.2"/>
    <row r="2547" ht="12.75" x14ac:dyDescent="0.2"/>
    <row r="2548" ht="12.75" x14ac:dyDescent="0.2"/>
    <row r="2549" ht="12.75" x14ac:dyDescent="0.2"/>
    <row r="2550" ht="12.75" x14ac:dyDescent="0.2"/>
    <row r="2551" ht="12.75" x14ac:dyDescent="0.2"/>
    <row r="2552" ht="12.75" x14ac:dyDescent="0.2"/>
    <row r="2553" ht="12.75" x14ac:dyDescent="0.2"/>
    <row r="2554" ht="12.75" x14ac:dyDescent="0.2"/>
    <row r="2555" ht="12.75" x14ac:dyDescent="0.2"/>
    <row r="2556" ht="12.75" x14ac:dyDescent="0.2"/>
    <row r="2557" ht="12.75" x14ac:dyDescent="0.2"/>
    <row r="2558" ht="12.75" x14ac:dyDescent="0.2"/>
    <row r="2559" ht="12.75" x14ac:dyDescent="0.2"/>
    <row r="2560" ht="12.75" x14ac:dyDescent="0.2"/>
    <row r="2561" ht="12.75" x14ac:dyDescent="0.2"/>
  </sheetData>
  <autoFilter ref="A36:I797" xr:uid="{200CBFEA-CEE7-4DFB-A038-FE78CCA8C225}"/>
  <printOptions horizontalCentered="1"/>
  <pageMargins left="0.75" right="0.75" top="0.75" bottom="1" header="0.5" footer="0.5"/>
  <pageSetup scale="10" fitToHeight="15" orientation="landscape" r:id="rId1"/>
  <headerFooter alignWithMargins="0">
    <oddFooter>&amp;C&amp;P of &amp;N</oddFooter>
  </headerFooter>
  <customProperties>
    <customPr name="_pios_id" r:id="rId2"/>
  </customProperties>
  <drawing r:id="rId3"/>
  <legacyDrawing r:id="rId4"/>
  <oleObjects>
    <mc:AlternateContent xmlns:mc="http://schemas.openxmlformats.org/markup-compatibility/2006">
      <mc:Choice Requires="x14">
        <oleObject progId="StaticMetafile" shapeId="119809" r:id="rId5">
          <objectPr defaultSize="0" autoPict="0" r:id="rId6">
            <anchor moveWithCells="1" sizeWithCells="1">
              <from>
                <xdr:col>0</xdr:col>
                <xdr:colOff>38100</xdr:colOff>
                <xdr:row>2</xdr:row>
                <xdr:rowOff>95250</xdr:rowOff>
              </from>
              <to>
                <xdr:col>1</xdr:col>
                <xdr:colOff>1885950</xdr:colOff>
                <xdr:row>3</xdr:row>
                <xdr:rowOff>66675</xdr:rowOff>
              </to>
            </anchor>
          </objectPr>
        </oleObject>
      </mc:Choice>
      <mc:Fallback>
        <oleObject progId="StaticMetafile" shapeId="119809" r:id="rId5"/>
      </mc:Fallback>
    </mc:AlternateContent>
  </oleObjects>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6C4C49-FA56-4CE9-A226-F0871BF60D0E}">
  <sheetPr codeName="Sheet91">
    <tabColor rgb="FF00B0F0"/>
    <pageSetUpPr fitToPage="1"/>
  </sheetPr>
  <dimension ref="A1:EP344"/>
  <sheetViews>
    <sheetView showGridLines="0" zoomScale="85" zoomScaleNormal="85" workbookViewId="0">
      <pane ySplit="36" topLeftCell="A303" activePane="bottomLeft" state="frozen"/>
      <selection activeCell="G42" sqref="G42"/>
      <selection pane="bottomLeft" activeCell="G42" sqref="G42"/>
    </sheetView>
  </sheetViews>
  <sheetFormatPr defaultRowHeight="12" customHeight="1" outlineLevelRow="2" x14ac:dyDescent="0.2"/>
  <cols>
    <col min="1" max="1" width="13" style="1953" bestFit="1" customWidth="1"/>
    <col min="2" max="2" width="19.125" style="1953" customWidth="1"/>
    <col min="3" max="3" width="20.25" style="1953" bestFit="1" customWidth="1"/>
    <col min="4" max="4" width="38.625" style="1953" bestFit="1" customWidth="1"/>
    <col min="5" max="5" width="8.75" style="1953" bestFit="1" customWidth="1"/>
    <col min="6" max="6" width="10.875" style="1953" bestFit="1" customWidth="1"/>
    <col min="7" max="7" width="10.25" style="1953" bestFit="1" customWidth="1"/>
    <col min="8" max="8" width="8.75" style="1953" bestFit="1" customWidth="1"/>
    <col min="9" max="9" width="9.125" style="1953" bestFit="1" customWidth="1"/>
    <col min="10" max="11" width="4.875" style="1953" customWidth="1"/>
    <col min="12" max="12" width="6.625" style="1953" bestFit="1" customWidth="1"/>
    <col min="13" max="13" width="6.25" style="1953" bestFit="1" customWidth="1"/>
    <col min="14" max="14" width="5.5" style="1953" bestFit="1" customWidth="1"/>
    <col min="15" max="16" width="4.75" style="1953" bestFit="1" customWidth="1"/>
    <col min="17" max="17" width="5.5" style="1953" bestFit="1" customWidth="1"/>
    <col min="18" max="20" width="4.875" style="1953" customWidth="1"/>
    <col min="21" max="24" width="4" style="1953" customWidth="1"/>
    <col min="25" max="25" width="4.875" style="1953" customWidth="1"/>
    <col min="26" max="26" width="4" style="1953" customWidth="1"/>
    <col min="27" max="27" width="6.25" style="1953" customWidth="1"/>
    <col min="28" max="29" width="4.875" style="1953" customWidth="1"/>
    <col min="30" max="30" width="4" style="1953" customWidth="1"/>
    <col min="31" max="31" width="4.875" style="1953" customWidth="1"/>
    <col min="32" max="32" width="4" style="1953" customWidth="1"/>
    <col min="33" max="33" width="19.625" style="1953" customWidth="1"/>
    <col min="34" max="34" width="8.375" style="1953" customWidth="1"/>
    <col min="35" max="35" width="19.625" style="1953" customWidth="1"/>
    <col min="36" max="36" width="8.375" style="1953" customWidth="1"/>
    <col min="37" max="37" width="19.625" style="1953" customWidth="1"/>
    <col min="38" max="38" width="8.375" style="1953" customWidth="1"/>
    <col min="39" max="39" width="19.625" style="1953" customWidth="1"/>
    <col min="40" max="40" width="8.375" style="1953" customWidth="1"/>
    <col min="41" max="41" width="19.625" style="1953" customWidth="1"/>
    <col min="42" max="42" width="8.375" style="1953" customWidth="1"/>
    <col min="43" max="43" width="13.5" style="1953" customWidth="1"/>
    <col min="44" max="44" width="20" style="1953" customWidth="1"/>
    <col min="45" max="45" width="5.75" style="1953" customWidth="1"/>
    <col min="46" max="46" width="25.75" style="1953" customWidth="1"/>
    <col min="47" max="50" width="20" style="1953" customWidth="1"/>
    <col min="51" max="51" width="5.75" style="1953" customWidth="1"/>
    <col min="52" max="52" width="19.625" style="1953" customWidth="1"/>
    <col min="53" max="53" width="13" style="1953" customWidth="1"/>
    <col min="54" max="54" width="19.75" style="1953" customWidth="1"/>
    <col min="55" max="55" width="25.75" style="1953" customWidth="1"/>
    <col min="56" max="56" width="13" style="1953" customWidth="1"/>
    <col min="57" max="57" width="25.75" style="1953" customWidth="1"/>
    <col min="58" max="58" width="13" style="1953" customWidth="1"/>
    <col min="59" max="59" width="5.75" style="1953" customWidth="1"/>
    <col min="60" max="60" width="13" style="1953" customWidth="1"/>
    <col min="61" max="61" width="5.75" style="1953" customWidth="1"/>
    <col min="62" max="62" width="19.625" style="1953" customWidth="1"/>
    <col min="63" max="63" width="13" style="1953" customWidth="1"/>
    <col min="64" max="64" width="5.375" style="1953" customWidth="1"/>
    <col min="65" max="65" width="19.625" style="1953" customWidth="1"/>
    <col min="66" max="66" width="19.375" style="1953" customWidth="1"/>
    <col min="67" max="67" width="9.5" style="1953" customWidth="1"/>
    <col min="68" max="68" width="5.375" style="1953" customWidth="1"/>
    <col min="69" max="69" width="4.25" style="1953" customWidth="1"/>
    <col min="70" max="70" width="9.5" style="1953" customWidth="1"/>
    <col min="71" max="71" width="10.375" style="1953" customWidth="1"/>
    <col min="72" max="73" width="9.5" style="1953" customWidth="1"/>
    <col min="74" max="74" width="8.375" style="1953" customWidth="1"/>
    <col min="75" max="75" width="4.875" style="1953" customWidth="1"/>
    <col min="76" max="76" width="4" style="1953" customWidth="1"/>
    <col min="77" max="77" width="5.25" style="1953" customWidth="1"/>
    <col min="78" max="78" width="4.5" style="1953" customWidth="1"/>
    <col min="79" max="79" width="5.25" style="1953" customWidth="1"/>
    <col min="80" max="80" width="4.5" style="1953" customWidth="1"/>
    <col min="81" max="81" width="5.25" style="1953" customWidth="1"/>
    <col min="82" max="82" width="4.5" style="1953" customWidth="1"/>
    <col min="83" max="83" width="5.25" style="1953" customWidth="1"/>
    <col min="84" max="84" width="4.5" style="1953" customWidth="1"/>
    <col min="85" max="85" width="5.25" style="1953" customWidth="1"/>
    <col min="86" max="86" width="4.5" style="1953" customWidth="1"/>
    <col min="87" max="87" width="5.25" style="1953" customWidth="1"/>
    <col min="88" max="88" width="4.5" style="1953" customWidth="1"/>
    <col min="89" max="89" width="5.25" style="1953" customWidth="1"/>
    <col min="90" max="90" width="4.5" style="1953" customWidth="1"/>
    <col min="91" max="91" width="5.25" style="1953" customWidth="1"/>
    <col min="92" max="92" width="4.5" style="1953" customWidth="1"/>
    <col min="93" max="93" width="5.25" style="1953" customWidth="1"/>
    <col min="94" max="94" width="4.5" style="1953" customWidth="1"/>
    <col min="95" max="95" width="5.25" style="1953" customWidth="1"/>
    <col min="96" max="96" width="4.5" style="1953" customWidth="1"/>
    <col min="97" max="97" width="5.25" style="1953" customWidth="1"/>
    <col min="98" max="98" width="4.5" style="1953" customWidth="1"/>
    <col min="99" max="99" width="5.25" style="1953" customWidth="1"/>
    <col min="100" max="100" width="4.5" style="1953" customWidth="1"/>
    <col min="101" max="101" width="5.25" style="1953" customWidth="1"/>
    <col min="102" max="102" width="4.5" style="1953" customWidth="1"/>
    <col min="103" max="103" width="5.25" style="1953" customWidth="1"/>
    <col min="104" max="104" width="4.5" style="1953" customWidth="1"/>
    <col min="105" max="105" width="5.25" style="1953" customWidth="1"/>
    <col min="106" max="106" width="4.5" style="1953" customWidth="1"/>
    <col min="107" max="107" width="5.25" style="1953" customWidth="1"/>
    <col min="108" max="108" width="4.5" style="1953" customWidth="1"/>
    <col min="109" max="109" width="5.25" style="1953" customWidth="1"/>
    <col min="110" max="110" width="4.5" style="1953" customWidth="1"/>
    <col min="111" max="111" width="5.25" style="1953" customWidth="1"/>
    <col min="112" max="112" width="4.5" style="1953" customWidth="1"/>
    <col min="113" max="113" width="5.25" style="1953" customWidth="1"/>
    <col min="114" max="114" width="4.5" style="1953" customWidth="1"/>
    <col min="115" max="115" width="5.25" style="1953" customWidth="1"/>
    <col min="116" max="116" width="4.5" style="1953" customWidth="1"/>
    <col min="117" max="117" width="5.25" style="1953" customWidth="1"/>
    <col min="118" max="118" width="4.5" style="1953" customWidth="1"/>
    <col min="119" max="119" width="5.25" style="1953" customWidth="1"/>
    <col min="120" max="120" width="4.5" style="1953" customWidth="1"/>
    <col min="121" max="121" width="5.25" style="1953" customWidth="1"/>
    <col min="122" max="122" width="4.5" style="1953" customWidth="1"/>
    <col min="123" max="123" width="5.25" style="1953" customWidth="1"/>
    <col min="124" max="124" width="4.5" style="1953" customWidth="1"/>
    <col min="125" max="125" width="5.25" style="1953" customWidth="1"/>
    <col min="126" max="126" width="4.5" style="1953" customWidth="1"/>
    <col min="127" max="127" width="5.25" style="1953" customWidth="1"/>
    <col min="128" max="128" width="4.5" style="1953" customWidth="1"/>
    <col min="129" max="129" width="5.25" style="1953" customWidth="1"/>
    <col min="130" max="130" width="4.5" style="1953" customWidth="1"/>
    <col min="131" max="131" width="7.125" style="1953" customWidth="1"/>
    <col min="132" max="132" width="6" style="1953" customWidth="1"/>
    <col min="133" max="133" width="5.25" style="1953" customWidth="1"/>
    <col min="134" max="134" width="4.5" style="1953" customWidth="1"/>
    <col min="135" max="135" width="5.25" style="1953" customWidth="1"/>
    <col min="136" max="136" width="4.5" style="1953" customWidth="1"/>
    <col min="137" max="137" width="5.25" style="1953" customWidth="1"/>
    <col min="138" max="138" width="4.5" style="1953" customWidth="1"/>
    <col min="139" max="139" width="5.25" style="1953" customWidth="1"/>
    <col min="140" max="140" width="4.5" style="1953" customWidth="1"/>
    <col min="141" max="141" width="5.25" style="1953" customWidth="1"/>
    <col min="142" max="142" width="4.5" style="1953" customWidth="1"/>
    <col min="143" max="143" width="5.25" style="1953" customWidth="1"/>
    <col min="144" max="144" width="4.5" style="1953" customWidth="1"/>
    <col min="145" max="145" width="5.25" style="1953" customWidth="1"/>
    <col min="146" max="146" width="4.5" style="1953" customWidth="1"/>
    <col min="147" max="16384" width="9" style="1953"/>
  </cols>
  <sheetData>
    <row r="1" spans="1:145" s="1946" customFormat="1" ht="39.950000000000003" customHeight="1" x14ac:dyDescent="0.2">
      <c r="BJ1" s="1947"/>
    </row>
    <row r="2" spans="1:145" s="1946" customFormat="1" ht="42" hidden="1" customHeight="1" x14ac:dyDescent="0.2"/>
    <row r="3" spans="1:145" s="1946" customFormat="1" ht="35.25" hidden="1" customHeight="1" x14ac:dyDescent="0.2">
      <c r="D3" s="1947"/>
      <c r="F3" s="1947"/>
      <c r="G3" s="1947"/>
      <c r="I3" s="1947"/>
      <c r="K3" s="1947"/>
      <c r="M3" s="1947"/>
      <c r="O3" s="1947"/>
      <c r="AT3" s="1947"/>
      <c r="AZ3" s="1947"/>
      <c r="BC3" s="1947"/>
      <c r="BE3" s="1947"/>
      <c r="BJ3" s="1948"/>
      <c r="BL3" s="1947"/>
      <c r="BN3" s="1947"/>
      <c r="BP3" s="1947"/>
      <c r="BR3" s="1947"/>
      <c r="BT3" s="1947"/>
      <c r="BV3" s="1947"/>
      <c r="BX3" s="1947"/>
    </row>
    <row r="4" spans="1:145" s="1946" customFormat="1" ht="12" customHeight="1" x14ac:dyDescent="0.25">
      <c r="A4" s="1949"/>
      <c r="D4" s="1948"/>
      <c r="F4" s="1948"/>
      <c r="G4" s="1948"/>
      <c r="I4" s="1948"/>
      <c r="K4" s="1948"/>
      <c r="M4" s="1948"/>
      <c r="O4" s="1948"/>
      <c r="BJ4" s="1948"/>
      <c r="BZ4" s="1947"/>
    </row>
    <row r="5" spans="1:145" s="1946" customFormat="1" ht="12" customHeight="1" x14ac:dyDescent="0.2">
      <c r="A5" s="1950" t="s">
        <v>1872</v>
      </c>
      <c r="B5" s="1951"/>
      <c r="C5" s="1947"/>
      <c r="D5" s="1948"/>
      <c r="E5" s="1947"/>
      <c r="F5" s="1948"/>
      <c r="G5" s="1948"/>
      <c r="H5" s="1947"/>
      <c r="I5" s="1948"/>
      <c r="J5" s="1947"/>
      <c r="K5" s="1948"/>
      <c r="L5" s="1947"/>
      <c r="M5" s="1948"/>
      <c r="N5" s="1947"/>
      <c r="O5" s="1948"/>
      <c r="P5" s="1947"/>
      <c r="Q5" s="1947"/>
      <c r="R5" s="1947"/>
      <c r="S5" s="1947"/>
      <c r="T5" s="1947"/>
      <c r="U5" s="1947"/>
      <c r="V5" s="1947"/>
      <c r="W5" s="1947"/>
      <c r="X5" s="1947"/>
      <c r="Y5" s="1947"/>
      <c r="Z5" s="1947"/>
      <c r="AA5" s="1947"/>
      <c r="AB5" s="1947"/>
      <c r="AC5" s="1947"/>
      <c r="AD5" s="1947"/>
      <c r="AE5" s="1947"/>
      <c r="AF5" s="1947"/>
      <c r="AG5" s="1947"/>
      <c r="AH5" s="1947"/>
      <c r="AI5" s="1947"/>
      <c r="AJ5" s="1947"/>
      <c r="AK5" s="1947"/>
      <c r="AL5" s="1947"/>
      <c r="AM5" s="1947"/>
      <c r="AN5" s="1951"/>
      <c r="AO5" s="1951"/>
      <c r="AP5" s="1951"/>
      <c r="AQ5" s="1951"/>
      <c r="AR5" s="1951"/>
      <c r="AS5" s="1947"/>
      <c r="AU5" s="1951"/>
      <c r="AV5" s="1951"/>
      <c r="AW5" s="1951"/>
      <c r="AX5" s="1951"/>
      <c r="AY5" s="1947"/>
      <c r="BA5" s="1951"/>
      <c r="BB5" s="1947"/>
      <c r="BD5" s="1947"/>
      <c r="BF5" s="1951"/>
      <c r="BG5" s="1947"/>
      <c r="BH5" s="1951"/>
      <c r="BI5" s="1947"/>
      <c r="BJ5" s="1948"/>
      <c r="BK5" s="1947"/>
      <c r="BM5" s="1947"/>
      <c r="BO5" s="1947"/>
      <c r="BQ5" s="1947"/>
      <c r="BS5" s="1947"/>
      <c r="BU5" s="1947"/>
      <c r="BW5" s="1947"/>
      <c r="BY5" s="1947"/>
      <c r="CA5" s="1947"/>
      <c r="CB5" s="1947"/>
      <c r="CC5" s="1947"/>
      <c r="CD5" s="1947"/>
      <c r="CE5" s="1947"/>
      <c r="CF5" s="1947"/>
      <c r="CG5" s="1947"/>
      <c r="CH5" s="1947"/>
      <c r="CI5" s="1947"/>
      <c r="CJ5" s="1947"/>
      <c r="CK5" s="1947"/>
      <c r="CL5" s="1947"/>
      <c r="CM5" s="1947"/>
      <c r="CN5" s="1947"/>
      <c r="CO5" s="1947"/>
      <c r="CP5" s="1947"/>
    </row>
    <row r="6" spans="1:145" s="1946" customFormat="1" ht="12" customHeight="1" x14ac:dyDescent="0.2">
      <c r="A6" s="1952" t="s">
        <v>874</v>
      </c>
      <c r="B6" s="1952"/>
      <c r="C6" s="1948"/>
      <c r="D6" s="1948"/>
      <c r="E6" s="1948"/>
      <c r="F6" s="1948"/>
      <c r="G6" s="1948"/>
      <c r="H6" s="1948"/>
      <c r="I6" s="1948"/>
      <c r="J6" s="1948"/>
      <c r="K6" s="1948"/>
      <c r="L6" s="1948"/>
      <c r="M6" s="1948"/>
      <c r="N6" s="1948"/>
      <c r="O6" s="1948"/>
      <c r="P6" s="1948"/>
      <c r="Q6" s="1948"/>
      <c r="BJ6" s="1948"/>
    </row>
    <row r="7" spans="1:145" s="1946" customFormat="1" ht="12" customHeight="1" x14ac:dyDescent="0.2">
      <c r="A7" s="1952" t="s">
        <v>875</v>
      </c>
      <c r="B7" s="1952"/>
      <c r="C7" s="1948"/>
      <c r="E7" s="1948"/>
      <c r="H7" s="1948"/>
      <c r="J7" s="1948"/>
      <c r="L7" s="1948"/>
      <c r="N7" s="1948"/>
      <c r="P7" s="1948"/>
      <c r="Q7" s="1948"/>
      <c r="U7" s="1953"/>
      <c r="V7" s="1953"/>
      <c r="W7" s="1953"/>
      <c r="X7" s="1953"/>
      <c r="Y7" s="1953"/>
      <c r="Z7" s="1953"/>
      <c r="AA7" s="1953"/>
      <c r="AB7" s="1953"/>
      <c r="AC7" s="1953"/>
      <c r="AD7" s="1953"/>
      <c r="AE7" s="1953"/>
      <c r="AF7" s="1953"/>
      <c r="BJ7" s="1948"/>
      <c r="CY7" s="1953"/>
    </row>
    <row r="8" spans="1:145" s="1946" customFormat="1" ht="12" customHeight="1" x14ac:dyDescent="0.2">
      <c r="A8" s="1952" t="s">
        <v>876</v>
      </c>
      <c r="B8" s="1952"/>
      <c r="C8" s="1948"/>
      <c r="D8" s="1948"/>
      <c r="E8" s="1948"/>
      <c r="G8" s="1948"/>
      <c r="H8" s="1948"/>
      <c r="I8" s="1948"/>
      <c r="J8" s="1948"/>
      <c r="K8" s="1948"/>
      <c r="L8" s="1948"/>
      <c r="M8" s="1948"/>
      <c r="N8" s="1948"/>
      <c r="O8" s="1948"/>
      <c r="P8" s="1948"/>
      <c r="Q8" s="1948"/>
      <c r="AT8" s="1948"/>
      <c r="AZ8" s="1948"/>
      <c r="BC8" s="1948"/>
      <c r="BE8" s="1948"/>
      <c r="BJ8" s="1948"/>
      <c r="BL8" s="1948"/>
      <c r="BN8" s="1948"/>
      <c r="BP8" s="1948"/>
      <c r="BR8" s="1948"/>
      <c r="BT8" s="1948"/>
      <c r="BV8" s="1948"/>
      <c r="BX8" s="1948"/>
    </row>
    <row r="9" spans="1:145" s="1946" customFormat="1" ht="12" customHeight="1" x14ac:dyDescent="0.2">
      <c r="D9" s="1954"/>
      <c r="G9" s="1954"/>
      <c r="I9" s="1954"/>
      <c r="K9" s="1954"/>
      <c r="M9" s="1954"/>
      <c r="O9" s="1954"/>
      <c r="AT9" s="1954"/>
      <c r="AZ9" s="1954"/>
      <c r="BC9" s="1954"/>
      <c r="BE9" s="1954"/>
      <c r="BJ9" s="1948"/>
      <c r="BL9" s="1948"/>
      <c r="BN9" s="1948"/>
      <c r="BP9" s="1948"/>
      <c r="BR9" s="1948"/>
      <c r="BT9" s="1948"/>
      <c r="BV9" s="1948"/>
      <c r="BX9" s="1948"/>
      <c r="BZ9" s="1948"/>
    </row>
    <row r="10" spans="1:145" s="1946" customFormat="1" ht="12" hidden="1" customHeight="1" outlineLevel="1" x14ac:dyDescent="0.2">
      <c r="A10" s="1951" t="s">
        <v>877</v>
      </c>
      <c r="B10" s="1952" t="s">
        <v>878</v>
      </c>
      <c r="AP10" s="1952"/>
      <c r="AQ10" s="1952"/>
      <c r="AR10" s="1952"/>
      <c r="AS10" s="1952"/>
      <c r="AT10" s="1952"/>
      <c r="AW10" s="1952"/>
      <c r="AX10" s="1952"/>
      <c r="AY10" s="1952"/>
      <c r="CS10" s="1952"/>
      <c r="CT10" s="1952"/>
      <c r="CU10" s="1952"/>
      <c r="CV10" s="1952"/>
      <c r="CW10" s="1952"/>
      <c r="CX10" s="1952"/>
      <c r="CY10" s="1952"/>
      <c r="CZ10" s="1952"/>
      <c r="DA10" s="1952"/>
      <c r="DB10" s="1952"/>
      <c r="DC10" s="1952"/>
      <c r="DD10" s="1952"/>
      <c r="DE10" s="1952"/>
      <c r="DF10" s="1952"/>
      <c r="DG10" s="1952"/>
      <c r="DH10" s="1952"/>
      <c r="DI10" s="1952"/>
      <c r="DJ10" s="1952"/>
      <c r="DK10" s="1952"/>
      <c r="DL10" s="1952"/>
      <c r="DM10" s="1952"/>
      <c r="DN10" s="1952"/>
      <c r="DO10" s="1952"/>
      <c r="DP10" s="1952"/>
      <c r="DQ10" s="1952"/>
      <c r="DR10" s="1952"/>
      <c r="DS10" s="1952"/>
      <c r="DT10" s="1952"/>
      <c r="DU10" s="1952"/>
      <c r="DV10" s="1952"/>
      <c r="DW10" s="1952"/>
      <c r="DX10" s="1952"/>
      <c r="DY10" s="1952"/>
      <c r="DZ10" s="1952"/>
      <c r="EA10" s="1952"/>
      <c r="EB10" s="1952"/>
      <c r="EC10" s="1955"/>
      <c r="ED10" s="1955"/>
      <c r="EE10" s="1955"/>
      <c r="EF10" s="1955"/>
      <c r="EG10" s="1955"/>
      <c r="EH10" s="1955"/>
      <c r="EI10" s="1955"/>
      <c r="EJ10" s="1955"/>
      <c r="EK10" s="1955"/>
      <c r="EL10" s="1955"/>
      <c r="EM10" s="1955"/>
      <c r="EN10" s="1955"/>
      <c r="EO10" s="1955"/>
    </row>
    <row r="11" spans="1:145" s="1946" customFormat="1" ht="12" hidden="1" customHeight="1" outlineLevel="1" x14ac:dyDescent="0.2">
      <c r="A11" s="1951" t="s">
        <v>879</v>
      </c>
      <c r="B11" s="1956">
        <v>45378.664784074077</v>
      </c>
      <c r="AP11" s="1956"/>
      <c r="AQ11" s="1956"/>
      <c r="AR11" s="1956"/>
      <c r="AS11" s="1956"/>
      <c r="AT11" s="1956"/>
      <c r="AW11" s="1956"/>
      <c r="AX11" s="1956"/>
      <c r="AY11" s="1956"/>
      <c r="CS11" s="1952"/>
      <c r="CT11" s="1952"/>
      <c r="CU11" s="1952"/>
      <c r="CV11" s="1952"/>
      <c r="CW11" s="1952"/>
      <c r="CX11" s="1952"/>
      <c r="CY11" s="1952"/>
      <c r="CZ11" s="1952"/>
      <c r="DA11" s="1952"/>
      <c r="DB11" s="1952"/>
      <c r="DC11" s="1952"/>
      <c r="DD11" s="1952"/>
      <c r="DE11" s="1952"/>
      <c r="DF11" s="1952"/>
      <c r="DG11" s="1952"/>
      <c r="DH11" s="1952"/>
      <c r="DI11" s="1952"/>
      <c r="DJ11" s="1952"/>
      <c r="DK11" s="1952"/>
      <c r="DL11" s="1952"/>
      <c r="DM11" s="1952"/>
      <c r="DN11" s="1952"/>
      <c r="DO11" s="1952"/>
      <c r="DP11" s="1952"/>
      <c r="DQ11" s="1952"/>
      <c r="DR11" s="1952"/>
      <c r="DS11" s="1952"/>
      <c r="DT11" s="1952"/>
      <c r="DU11" s="1952"/>
      <c r="DV11" s="1952"/>
      <c r="DW11" s="1952"/>
      <c r="DX11" s="1952"/>
      <c r="DY11" s="1952"/>
      <c r="DZ11" s="1952"/>
      <c r="EA11" s="1952"/>
      <c r="EB11" s="1952"/>
      <c r="EC11" s="1955"/>
      <c r="ED11" s="1955"/>
      <c r="EE11" s="1955"/>
      <c r="EF11" s="1955"/>
      <c r="EG11" s="1955"/>
      <c r="EH11" s="1955"/>
      <c r="EI11" s="1955"/>
      <c r="EJ11" s="1955"/>
      <c r="EK11" s="1955"/>
      <c r="EL11" s="1955"/>
      <c r="EM11" s="1955"/>
      <c r="EN11" s="1955"/>
      <c r="EO11" s="1955"/>
    </row>
    <row r="12" spans="1:145" s="1946" customFormat="1" ht="12" hidden="1" customHeight="1" outlineLevel="1" x14ac:dyDescent="0.2">
      <c r="BJ12" s="1948"/>
      <c r="BL12" s="1948"/>
      <c r="BN12" s="1948"/>
      <c r="BP12" s="1948"/>
      <c r="BR12" s="1948"/>
      <c r="BT12" s="1948"/>
      <c r="BV12" s="1948"/>
      <c r="BX12" s="1948"/>
      <c r="BZ12" s="1948"/>
    </row>
    <row r="13" spans="1:145" s="1946" customFormat="1" ht="12" hidden="1" customHeight="1" outlineLevel="1" x14ac:dyDescent="0.2">
      <c r="A13" s="1953"/>
      <c r="B13" s="1953"/>
      <c r="AN13" s="1953"/>
      <c r="AO13" s="1953"/>
      <c r="AP13" s="1953"/>
      <c r="AQ13" s="1953"/>
      <c r="AR13" s="1953"/>
      <c r="AU13" s="1953"/>
      <c r="AV13" s="1953"/>
      <c r="AW13" s="1953"/>
      <c r="AX13" s="1953"/>
      <c r="BA13" s="1953"/>
      <c r="BF13" s="1953"/>
      <c r="BH13" s="1953"/>
      <c r="BI13" s="1948"/>
      <c r="BJ13" s="1947"/>
      <c r="BK13" s="1948"/>
      <c r="BL13" s="1948"/>
      <c r="BM13" s="1948"/>
      <c r="BN13" s="1948"/>
      <c r="BO13" s="1948"/>
      <c r="BP13" s="1948"/>
      <c r="BQ13" s="1948"/>
      <c r="BR13" s="1948"/>
      <c r="BS13" s="1948"/>
      <c r="BT13" s="1948"/>
      <c r="BU13" s="1948"/>
      <c r="BV13" s="1948"/>
      <c r="BW13" s="1948"/>
      <c r="BX13" s="1948"/>
      <c r="BY13" s="1948"/>
      <c r="BZ13" s="1948"/>
      <c r="CA13" s="1948"/>
      <c r="CB13" s="1948"/>
      <c r="CC13" s="1948"/>
      <c r="CD13" s="1948"/>
      <c r="CE13" s="1948"/>
      <c r="CF13" s="1948"/>
      <c r="CG13" s="1948"/>
      <c r="CH13" s="1948"/>
      <c r="CI13" s="1948"/>
      <c r="CJ13" s="1948"/>
      <c r="CK13" s="1948"/>
      <c r="CL13" s="1948"/>
      <c r="CM13" s="1948"/>
      <c r="CN13" s="1948"/>
      <c r="CO13" s="1948"/>
      <c r="CP13" s="1948"/>
    </row>
    <row r="14" spans="1:145" s="1946" customFormat="1" ht="12" hidden="1" customHeight="1" outlineLevel="1" x14ac:dyDescent="0.2">
      <c r="A14" s="1953"/>
      <c r="B14" s="1953"/>
      <c r="AN14" s="1953"/>
      <c r="AO14" s="1953"/>
      <c r="AP14" s="1953"/>
      <c r="AQ14" s="1953"/>
      <c r="AR14" s="1953"/>
      <c r="AU14" s="1953"/>
      <c r="AV14" s="1953"/>
      <c r="AW14" s="1953"/>
      <c r="AX14" s="1953"/>
      <c r="BA14" s="1953"/>
      <c r="BF14" s="1953"/>
      <c r="BH14" s="1953"/>
      <c r="BI14" s="1948"/>
      <c r="BJ14" s="1948"/>
      <c r="BK14" s="1948"/>
      <c r="BL14" s="1948"/>
      <c r="BM14" s="1948"/>
      <c r="BN14" s="1948"/>
      <c r="BO14" s="1948"/>
      <c r="BP14" s="1948"/>
      <c r="BQ14" s="1948"/>
      <c r="BR14" s="1948"/>
      <c r="BS14" s="1948"/>
      <c r="BT14" s="1948"/>
      <c r="BU14" s="1948"/>
      <c r="BV14" s="1948"/>
      <c r="BW14" s="1948"/>
      <c r="BX14" s="1948"/>
      <c r="BY14" s="1948"/>
      <c r="BZ14" s="1948"/>
      <c r="CA14" s="1948"/>
      <c r="CB14" s="1948"/>
      <c r="CC14" s="1948"/>
      <c r="CD14" s="1948"/>
      <c r="CE14" s="1948"/>
      <c r="CF14" s="1948"/>
      <c r="CG14" s="1948"/>
      <c r="CH14" s="1948"/>
      <c r="CI14" s="1948"/>
      <c r="CJ14" s="1948"/>
      <c r="CK14" s="1948"/>
      <c r="CL14" s="1948"/>
      <c r="CM14" s="1948"/>
      <c r="CN14" s="1948"/>
      <c r="CO14" s="1948"/>
      <c r="CP14" s="1948"/>
    </row>
    <row r="15" spans="1:145" ht="12" hidden="1" customHeight="1" outlineLevel="1" x14ac:dyDescent="0.2">
      <c r="C15" s="1946"/>
      <c r="D15" s="1946"/>
      <c r="E15" s="1946"/>
      <c r="F15" s="1946"/>
      <c r="G15" s="1946"/>
      <c r="H15" s="1946"/>
      <c r="I15" s="1946"/>
      <c r="J15" s="1946"/>
      <c r="K15" s="1946"/>
      <c r="L15" s="1946"/>
      <c r="M15" s="1946"/>
      <c r="N15" s="1946"/>
      <c r="O15" s="1946"/>
      <c r="P15" s="1946"/>
      <c r="Q15" s="1946"/>
      <c r="R15" s="1946"/>
      <c r="S15" s="1946"/>
      <c r="T15" s="1946"/>
      <c r="U15" s="1946"/>
      <c r="V15" s="1946"/>
      <c r="W15" s="1946"/>
      <c r="X15" s="1946"/>
      <c r="Y15" s="1946"/>
      <c r="Z15" s="1946"/>
      <c r="AA15" s="1946"/>
      <c r="AB15" s="1946"/>
      <c r="AC15" s="1946"/>
      <c r="AD15" s="1946"/>
      <c r="AE15" s="1946"/>
      <c r="AF15" s="1946"/>
      <c r="AG15" s="1946"/>
      <c r="AH15" s="1946"/>
      <c r="AI15" s="1946"/>
      <c r="AJ15" s="1946"/>
      <c r="AK15" s="1946"/>
      <c r="AL15" s="1946"/>
      <c r="AM15" s="1946"/>
      <c r="AS15" s="1946"/>
      <c r="AT15" s="1946"/>
      <c r="AY15" s="1946"/>
      <c r="AZ15" s="1946"/>
      <c r="BB15" s="1946"/>
      <c r="BC15" s="1946"/>
      <c r="BD15" s="1946"/>
      <c r="BE15" s="1946"/>
      <c r="BG15" s="1946"/>
      <c r="BI15" s="1948"/>
      <c r="BJ15" s="1948"/>
      <c r="BK15" s="1952"/>
      <c r="BL15" s="1952"/>
      <c r="BM15" s="1952"/>
      <c r="BN15" s="1952"/>
      <c r="BO15" s="1952"/>
      <c r="BP15" s="1952"/>
      <c r="BQ15" s="1952"/>
      <c r="BR15" s="1952"/>
      <c r="BS15" s="1952"/>
      <c r="BT15" s="1952"/>
      <c r="BU15" s="1952"/>
      <c r="BV15" s="1952"/>
      <c r="BW15" s="1952"/>
      <c r="BX15" s="1952"/>
    </row>
    <row r="16" spans="1:145" s="1946" customFormat="1" ht="12" hidden="1" customHeight="1" outlineLevel="1" x14ac:dyDescent="0.2">
      <c r="A16" s="1953"/>
      <c r="B16" s="1953"/>
      <c r="AN16" s="1953"/>
      <c r="AO16" s="1953"/>
      <c r="AP16" s="1953"/>
      <c r="AQ16" s="1953"/>
      <c r="AR16" s="1953"/>
      <c r="AU16" s="1953"/>
      <c r="AV16" s="1953"/>
      <c r="AW16" s="1953"/>
      <c r="AX16" s="1953"/>
      <c r="BA16" s="1953"/>
      <c r="BF16" s="1953"/>
      <c r="BH16" s="1953"/>
      <c r="BI16" s="1948"/>
      <c r="BJ16" s="1948"/>
      <c r="BK16" s="1948"/>
      <c r="BL16" s="1948"/>
      <c r="BM16" s="1948"/>
      <c r="BN16" s="1948"/>
      <c r="BO16" s="1948"/>
      <c r="BP16" s="1948"/>
      <c r="BQ16" s="1948"/>
      <c r="BR16" s="1948"/>
      <c r="BS16" s="1948"/>
      <c r="BT16" s="1948"/>
      <c r="BU16" s="1948"/>
      <c r="BV16" s="1948"/>
      <c r="BW16" s="1948"/>
      <c r="BX16" s="1948"/>
      <c r="BY16" s="1948"/>
      <c r="BZ16" s="1948"/>
      <c r="CA16" s="1948"/>
      <c r="CB16" s="1948"/>
      <c r="CC16" s="1948"/>
      <c r="CD16" s="1948"/>
      <c r="CE16" s="1948"/>
      <c r="CF16" s="1948"/>
      <c r="CG16" s="1948"/>
      <c r="CH16" s="1948"/>
      <c r="CI16" s="1948"/>
      <c r="CJ16" s="1948"/>
      <c r="CK16" s="1948"/>
      <c r="CL16" s="1948"/>
      <c r="CM16" s="1948"/>
      <c r="CN16" s="1948"/>
      <c r="CO16" s="1948"/>
      <c r="CP16" s="1948"/>
    </row>
    <row r="17" spans="1:146" s="1946" customFormat="1" ht="12" hidden="1" customHeight="1" outlineLevel="1" x14ac:dyDescent="0.2">
      <c r="A17" s="1953"/>
      <c r="B17" s="1953"/>
      <c r="AN17" s="1953"/>
      <c r="AO17" s="1953"/>
      <c r="AP17" s="1953"/>
      <c r="AQ17" s="1953"/>
      <c r="AR17" s="1953"/>
      <c r="AU17" s="1953"/>
      <c r="AV17" s="1953"/>
      <c r="AW17" s="1953"/>
      <c r="AX17" s="1953"/>
      <c r="BA17" s="1953"/>
      <c r="BF17" s="1953"/>
      <c r="BH17" s="1953"/>
      <c r="BI17" s="1948"/>
      <c r="BJ17" s="1948"/>
      <c r="BK17" s="1948"/>
      <c r="BL17" s="1948"/>
      <c r="BM17" s="1948"/>
      <c r="BN17" s="1948"/>
      <c r="BO17" s="1948"/>
      <c r="BP17" s="1948"/>
      <c r="BQ17" s="1948"/>
      <c r="BR17" s="1948"/>
      <c r="BS17" s="1948"/>
      <c r="BT17" s="1948"/>
      <c r="BU17" s="1948"/>
      <c r="BV17" s="1948"/>
      <c r="BW17" s="1948"/>
      <c r="BX17" s="1948"/>
      <c r="BY17" s="1948"/>
      <c r="BZ17" s="1948"/>
      <c r="CA17" s="1948"/>
      <c r="CB17" s="1948"/>
      <c r="CC17" s="1948"/>
      <c r="CD17" s="1948"/>
      <c r="CE17" s="1948"/>
      <c r="CF17" s="1948"/>
      <c r="CG17" s="1948"/>
      <c r="CH17" s="1948"/>
      <c r="CI17" s="1948"/>
      <c r="CJ17" s="1948"/>
      <c r="CK17" s="1948"/>
      <c r="CL17" s="1948"/>
      <c r="CM17" s="1948"/>
      <c r="CN17" s="1948"/>
      <c r="CO17" s="1948"/>
      <c r="CP17" s="1948"/>
    </row>
    <row r="18" spans="1:146" s="1946" customFormat="1" ht="12" hidden="1" customHeight="1" outlineLevel="1" x14ac:dyDescent="0.2">
      <c r="A18" s="1953"/>
      <c r="B18" s="1953"/>
      <c r="AN18" s="1953"/>
      <c r="AO18" s="1953"/>
      <c r="AP18" s="1953"/>
      <c r="AQ18" s="1953"/>
      <c r="AR18" s="1953"/>
      <c r="AU18" s="1953"/>
      <c r="AV18" s="1953"/>
      <c r="AW18" s="1953"/>
      <c r="AX18" s="1953"/>
      <c r="BA18" s="1953"/>
      <c r="BF18" s="1953"/>
      <c r="BH18" s="1953"/>
      <c r="BI18" s="1948"/>
      <c r="BJ18" s="1948"/>
      <c r="BK18" s="1948"/>
      <c r="BL18" s="1948"/>
      <c r="BM18" s="1948"/>
      <c r="BN18" s="1948"/>
      <c r="BO18" s="1948"/>
      <c r="BP18" s="1948"/>
      <c r="BQ18" s="1948"/>
      <c r="BR18" s="1948"/>
      <c r="BS18" s="1948"/>
      <c r="BT18" s="1948"/>
      <c r="BU18" s="1948"/>
      <c r="BV18" s="1948"/>
      <c r="BW18" s="1948"/>
      <c r="BX18" s="1948"/>
      <c r="BY18" s="1948"/>
      <c r="BZ18" s="1948"/>
      <c r="CA18" s="1948"/>
      <c r="CB18" s="1948"/>
      <c r="CC18" s="1948"/>
      <c r="CD18" s="1948"/>
      <c r="CE18" s="1948"/>
      <c r="CF18" s="1948"/>
      <c r="CG18" s="1948"/>
      <c r="CH18" s="1948"/>
      <c r="CI18" s="1948"/>
      <c r="CJ18" s="1948"/>
      <c r="CK18" s="1948"/>
      <c r="CL18" s="1948"/>
      <c r="CM18" s="1948"/>
      <c r="CN18" s="1948"/>
      <c r="CO18" s="1948"/>
      <c r="CP18" s="1948"/>
    </row>
    <row r="19" spans="1:146" s="1946" customFormat="1" ht="12" hidden="1" customHeight="1" outlineLevel="1" x14ac:dyDescent="0.2">
      <c r="A19" s="1953"/>
      <c r="B19" s="1953" t="s">
        <v>1873</v>
      </c>
      <c r="AN19" s="1953"/>
      <c r="AO19" s="1953"/>
      <c r="AP19" s="1953"/>
      <c r="AQ19" s="1953"/>
      <c r="AR19" s="1953"/>
      <c r="AU19" s="1953"/>
      <c r="AV19" s="1953"/>
      <c r="AW19" s="1953"/>
      <c r="AX19" s="1953"/>
      <c r="BA19" s="1953"/>
      <c r="BF19" s="1953"/>
      <c r="BH19" s="1953"/>
      <c r="BI19" s="1948"/>
      <c r="BJ19" s="1948"/>
      <c r="BK19" s="1948"/>
      <c r="BL19" s="1948"/>
      <c r="BM19" s="1948"/>
      <c r="BN19" s="1948"/>
      <c r="BO19" s="1948"/>
      <c r="BP19" s="1948"/>
      <c r="BQ19" s="1948"/>
      <c r="BR19" s="1948"/>
      <c r="BS19" s="1948"/>
      <c r="BT19" s="1948"/>
      <c r="BU19" s="1948"/>
      <c r="BV19" s="1948"/>
      <c r="BW19" s="1948"/>
      <c r="BX19" s="1948"/>
      <c r="BY19" s="1948"/>
      <c r="BZ19" s="1948"/>
      <c r="CA19" s="1948"/>
      <c r="CB19" s="1948"/>
      <c r="CC19" s="1948"/>
      <c r="CD19" s="1948"/>
      <c r="CE19" s="1948"/>
      <c r="CF19" s="1948"/>
      <c r="CG19" s="1948"/>
      <c r="CH19" s="1948"/>
      <c r="CI19" s="1948"/>
      <c r="CJ19" s="1948"/>
      <c r="CK19" s="1948"/>
      <c r="CL19" s="1948"/>
      <c r="CM19" s="1948"/>
      <c r="CN19" s="1948"/>
      <c r="CO19" s="1948"/>
      <c r="CP19" s="1948"/>
    </row>
    <row r="20" spans="1:146" s="1946" customFormat="1" ht="12" hidden="1" customHeight="1" outlineLevel="1" x14ac:dyDescent="0.2">
      <c r="A20" s="1953"/>
      <c r="B20" s="1953"/>
      <c r="AN20" s="1953"/>
      <c r="AO20" s="1953"/>
      <c r="AP20" s="1953"/>
      <c r="AQ20" s="1953"/>
      <c r="AR20" s="1953"/>
      <c r="AU20" s="1953"/>
      <c r="AV20" s="1953"/>
      <c r="AW20" s="1953"/>
      <c r="AX20" s="1953"/>
      <c r="BA20" s="1953"/>
      <c r="BF20" s="1953"/>
      <c r="BH20" s="1953"/>
      <c r="BI20" s="1948"/>
      <c r="BJ20" s="1948"/>
      <c r="BK20" s="1948"/>
      <c r="BL20" s="1948"/>
      <c r="BM20" s="1948"/>
      <c r="BN20" s="1948"/>
      <c r="BO20" s="1948"/>
      <c r="BP20" s="1948"/>
      <c r="BQ20" s="1948"/>
      <c r="BR20" s="1948"/>
      <c r="BS20" s="1948"/>
      <c r="BT20" s="1948"/>
      <c r="BU20" s="1948"/>
      <c r="BV20" s="1948"/>
      <c r="BW20" s="1948"/>
      <c r="BX20" s="1948"/>
      <c r="BY20" s="1948"/>
      <c r="BZ20" s="1948"/>
      <c r="CA20" s="1948"/>
      <c r="CB20" s="1948"/>
      <c r="CC20" s="1948"/>
      <c r="CD20" s="1948"/>
      <c r="CE20" s="1948"/>
      <c r="CF20" s="1948"/>
      <c r="CG20" s="1948"/>
      <c r="CH20" s="1948"/>
      <c r="CI20" s="1948"/>
      <c r="CJ20" s="1948"/>
      <c r="CK20" s="1948"/>
      <c r="CL20" s="1948"/>
      <c r="CM20" s="1948"/>
      <c r="CN20" s="1948"/>
      <c r="CO20" s="1948"/>
      <c r="CP20" s="1948"/>
    </row>
    <row r="21" spans="1:146" s="1946" customFormat="1" ht="12" hidden="1" customHeight="1" outlineLevel="1" x14ac:dyDescent="0.2">
      <c r="A21" s="1953"/>
      <c r="B21" s="1953"/>
      <c r="AN21" s="1953"/>
      <c r="AO21" s="1953"/>
      <c r="AP21" s="1953"/>
      <c r="AQ21" s="1953"/>
      <c r="AR21" s="1953"/>
      <c r="AU21" s="1953"/>
      <c r="AV21" s="1953"/>
      <c r="AW21" s="1953"/>
      <c r="AX21" s="1953"/>
      <c r="BA21" s="1953"/>
      <c r="BF21" s="1953"/>
      <c r="BH21" s="1953"/>
      <c r="BI21" s="1948"/>
      <c r="BJ21" s="1948"/>
      <c r="BK21" s="1948"/>
      <c r="BL21" s="1948"/>
      <c r="BM21" s="1948"/>
      <c r="BN21" s="1948"/>
      <c r="BO21" s="1948"/>
      <c r="BP21" s="1948"/>
      <c r="BQ21" s="1948"/>
      <c r="BR21" s="1948"/>
      <c r="BS21" s="1948"/>
      <c r="BT21" s="1948"/>
      <c r="BU21" s="1948"/>
      <c r="BV21" s="1948"/>
      <c r="BW21" s="1948"/>
      <c r="BX21" s="1948"/>
      <c r="BY21" s="1948"/>
      <c r="BZ21" s="1948"/>
      <c r="CA21" s="1948"/>
      <c r="CB21" s="1948"/>
      <c r="CC21" s="1948"/>
      <c r="CD21" s="1948"/>
      <c r="CE21" s="1948"/>
      <c r="CF21" s="1948"/>
      <c r="CG21" s="1948"/>
      <c r="CH21" s="1948"/>
      <c r="CI21" s="1948"/>
      <c r="CJ21" s="1948"/>
      <c r="CK21" s="1948"/>
      <c r="CL21" s="1948"/>
      <c r="CM21" s="1948"/>
      <c r="CN21" s="1948"/>
      <c r="CO21" s="1948"/>
      <c r="CP21" s="1948"/>
    </row>
    <row r="22" spans="1:146" s="1946" customFormat="1" ht="12" hidden="1" customHeight="1" outlineLevel="1" x14ac:dyDescent="0.2">
      <c r="A22" s="1953"/>
      <c r="B22" s="1953"/>
      <c r="AN22" s="1953"/>
      <c r="AO22" s="1953"/>
      <c r="AP22" s="1953"/>
      <c r="AQ22" s="1953"/>
      <c r="AR22" s="1953"/>
      <c r="AU22" s="1953"/>
      <c r="AV22" s="1953"/>
      <c r="AW22" s="1953"/>
      <c r="AX22" s="1953"/>
      <c r="BA22" s="1953"/>
      <c r="BF22" s="1953"/>
      <c r="BH22" s="1953"/>
      <c r="BI22" s="1948"/>
      <c r="BJ22" s="1948"/>
      <c r="BK22" s="1948"/>
      <c r="BL22" s="1948"/>
      <c r="BM22" s="1948"/>
      <c r="BN22" s="1948"/>
      <c r="BO22" s="1948"/>
      <c r="BP22" s="1948"/>
      <c r="BQ22" s="1948"/>
      <c r="BR22" s="1948"/>
      <c r="BS22" s="1948"/>
      <c r="BT22" s="1948"/>
      <c r="BU22" s="1948"/>
      <c r="BV22" s="1948"/>
      <c r="BW22" s="1948"/>
      <c r="BX22" s="1948"/>
      <c r="BY22" s="1948"/>
      <c r="BZ22" s="1948"/>
      <c r="CA22" s="1948"/>
      <c r="CB22" s="1948"/>
      <c r="CC22" s="1948"/>
      <c r="CD22" s="1948"/>
      <c r="CE22" s="1948"/>
      <c r="CF22" s="1948"/>
      <c r="CG22" s="1948"/>
      <c r="CH22" s="1948"/>
      <c r="CI22" s="1948"/>
      <c r="CJ22" s="1948"/>
      <c r="CK22" s="1948"/>
      <c r="CL22" s="1948"/>
      <c r="CM22" s="1948"/>
      <c r="CN22" s="1948"/>
      <c r="CO22" s="1948"/>
      <c r="CP22" s="1948"/>
    </row>
    <row r="23" spans="1:146" ht="12" hidden="1" customHeight="1" outlineLevel="1" x14ac:dyDescent="0.2">
      <c r="C23" s="1946"/>
      <c r="D23" s="1946"/>
      <c r="E23" s="1946"/>
      <c r="F23" s="1946"/>
      <c r="G23" s="1946"/>
      <c r="H23" s="1946"/>
      <c r="I23" s="1946"/>
      <c r="J23" s="1946"/>
      <c r="K23" s="1946"/>
      <c r="L23" s="1946"/>
      <c r="M23" s="1946"/>
      <c r="N23" s="1946"/>
      <c r="O23" s="1946"/>
      <c r="P23" s="1946"/>
      <c r="Q23" s="1946"/>
      <c r="R23" s="1946"/>
      <c r="S23" s="1946"/>
      <c r="T23" s="1946"/>
      <c r="U23" s="1946"/>
      <c r="V23" s="1946"/>
      <c r="W23" s="1946"/>
      <c r="X23" s="1946"/>
      <c r="Y23" s="1946"/>
      <c r="Z23" s="1946"/>
      <c r="AA23" s="1946"/>
      <c r="AB23" s="1946"/>
      <c r="AC23" s="1946"/>
      <c r="AD23" s="1946"/>
      <c r="AE23" s="1946"/>
      <c r="AF23" s="1946"/>
      <c r="AG23" s="1946"/>
      <c r="AH23" s="1946"/>
      <c r="AI23" s="1946"/>
      <c r="AJ23" s="1946"/>
      <c r="AK23" s="1946"/>
      <c r="AL23" s="1946"/>
      <c r="AM23" s="1946"/>
      <c r="AS23" s="1946"/>
      <c r="AT23" s="1946"/>
      <c r="AY23" s="1946"/>
      <c r="AZ23" s="1946"/>
      <c r="BB23" s="1946"/>
      <c r="BC23" s="1946"/>
      <c r="BD23" s="1946"/>
      <c r="BE23" s="1946"/>
      <c r="BG23" s="1946"/>
      <c r="BI23" s="1947"/>
      <c r="BJ23" s="1948"/>
      <c r="BK23" s="1951"/>
      <c r="BL23" s="1951"/>
      <c r="BM23" s="1951"/>
      <c r="BN23" s="1951"/>
      <c r="BO23" s="1951"/>
      <c r="BP23" s="1951"/>
      <c r="BQ23" s="1951"/>
      <c r="BR23" s="1951"/>
      <c r="BS23" s="1951"/>
      <c r="BT23" s="1951"/>
      <c r="BU23" s="1951"/>
      <c r="BV23" s="1951"/>
      <c r="BW23" s="1951"/>
      <c r="BX23" s="1951"/>
    </row>
    <row r="24" spans="1:146" ht="12" hidden="1" customHeight="1" outlineLevel="1" x14ac:dyDescent="0.2">
      <c r="C24" s="1946"/>
      <c r="D24" s="1946"/>
      <c r="E24" s="1946"/>
      <c r="F24" s="1946"/>
      <c r="G24" s="1946"/>
      <c r="H24" s="1946"/>
      <c r="I24" s="1946"/>
      <c r="J24" s="1946"/>
      <c r="K24" s="1946"/>
      <c r="L24" s="1946"/>
      <c r="M24" s="1946"/>
      <c r="N24" s="1946"/>
      <c r="O24" s="1946"/>
      <c r="P24" s="1946"/>
      <c r="Q24" s="1946"/>
      <c r="R24" s="1946"/>
      <c r="S24" s="1946"/>
      <c r="T24" s="1946"/>
      <c r="U24" s="1946"/>
      <c r="V24" s="1946"/>
      <c r="W24" s="1946"/>
      <c r="X24" s="1946"/>
      <c r="Y24" s="1946"/>
      <c r="Z24" s="1946"/>
      <c r="AA24" s="1946"/>
      <c r="AB24" s="1946"/>
      <c r="AC24" s="1946"/>
      <c r="AD24" s="1946"/>
      <c r="AE24" s="1946"/>
      <c r="AF24" s="1946"/>
      <c r="AG24" s="1946"/>
      <c r="AH24" s="1946"/>
      <c r="AI24" s="1946"/>
      <c r="AJ24" s="1946"/>
      <c r="AK24" s="1946"/>
      <c r="AL24" s="1946"/>
      <c r="AM24" s="1946"/>
      <c r="AS24" s="1946"/>
      <c r="AT24" s="1946"/>
      <c r="AY24" s="1946"/>
      <c r="AZ24" s="1946"/>
      <c r="BB24" s="1946"/>
      <c r="BC24" s="1946"/>
      <c r="BD24" s="1946"/>
      <c r="BE24" s="1946"/>
      <c r="BG24" s="1946"/>
      <c r="BI24" s="1948"/>
      <c r="BJ24" s="1948"/>
      <c r="BK24" s="1952"/>
      <c r="BL24" s="1952"/>
      <c r="BM24" s="1952"/>
      <c r="BN24" s="1952"/>
      <c r="BO24" s="1952"/>
      <c r="BP24" s="1952"/>
      <c r="BQ24" s="1952"/>
      <c r="BR24" s="1952"/>
      <c r="BS24" s="1952"/>
      <c r="BT24" s="1952"/>
      <c r="BU24" s="1952"/>
      <c r="BV24" s="1952"/>
      <c r="BW24" s="1952"/>
      <c r="BX24" s="1952"/>
      <c r="BY24" s="1952"/>
      <c r="BZ24" s="1952"/>
      <c r="CA24" s="1952"/>
      <c r="CB24" s="1952"/>
      <c r="CC24" s="1952"/>
      <c r="CD24" s="1952"/>
      <c r="CE24" s="1952"/>
      <c r="CF24" s="1952"/>
      <c r="CG24" s="1952"/>
      <c r="CH24" s="1952"/>
      <c r="CI24" s="1952"/>
      <c r="CJ24" s="1952"/>
      <c r="CK24" s="1952"/>
      <c r="CL24" s="1952"/>
      <c r="CM24" s="1952"/>
      <c r="CN24" s="1952"/>
      <c r="CO24" s="1952"/>
      <c r="CP24" s="1952"/>
      <c r="CQ24" s="1952"/>
      <c r="CR24" s="1952"/>
      <c r="CS24" s="1952"/>
      <c r="CT24" s="1952"/>
      <c r="CU24" s="1952"/>
      <c r="CV24" s="1952"/>
      <c r="CW24" s="1952"/>
      <c r="CX24" s="1952"/>
      <c r="CY24" s="1952"/>
      <c r="CZ24" s="1952"/>
      <c r="DA24" s="1952"/>
      <c r="DB24" s="1952"/>
      <c r="DC24" s="1952"/>
      <c r="DD24" s="1952"/>
      <c r="DE24" s="1952"/>
      <c r="DF24" s="1952"/>
      <c r="DG24" s="1952"/>
      <c r="DH24" s="1952"/>
      <c r="DI24" s="1952"/>
      <c r="DJ24" s="1952"/>
      <c r="DK24" s="1952"/>
      <c r="DL24" s="1952"/>
      <c r="DM24" s="1952"/>
      <c r="DN24" s="1952"/>
    </row>
    <row r="25" spans="1:146" s="1946" customFormat="1" ht="12" hidden="1" customHeight="1" outlineLevel="1" x14ac:dyDescent="0.2">
      <c r="A25" s="1953"/>
      <c r="B25" s="1953"/>
      <c r="D25" s="1948"/>
      <c r="F25" s="1948"/>
      <c r="G25" s="1948"/>
      <c r="I25" s="1948"/>
      <c r="K25" s="1948"/>
      <c r="M25" s="1948"/>
      <c r="O25" s="1948"/>
      <c r="AN25" s="1953"/>
      <c r="AO25" s="1953"/>
      <c r="AP25" s="1953"/>
      <c r="AQ25" s="1953"/>
      <c r="AR25" s="1953"/>
      <c r="AT25" s="1948"/>
      <c r="AU25" s="1953"/>
      <c r="AV25" s="1953"/>
      <c r="AW25" s="1953"/>
      <c r="AX25" s="1953"/>
      <c r="AZ25" s="1948"/>
      <c r="BA25" s="1953"/>
      <c r="BC25" s="1948"/>
      <c r="BE25" s="1948"/>
      <c r="BF25" s="1953"/>
      <c r="BH25" s="1953"/>
      <c r="BI25" s="1948"/>
      <c r="BK25" s="1948"/>
      <c r="BM25" s="1948"/>
      <c r="BO25" s="1948"/>
      <c r="BQ25" s="1948"/>
      <c r="BS25" s="1948"/>
      <c r="BU25" s="1948"/>
      <c r="BW25" s="1948"/>
      <c r="BY25" s="1948"/>
      <c r="BZ25" s="1948"/>
      <c r="CA25" s="1948"/>
      <c r="CB25" s="1948"/>
      <c r="CC25" s="1948"/>
      <c r="CD25" s="1948"/>
      <c r="CE25" s="1948"/>
      <c r="CF25" s="1948"/>
      <c r="CG25" s="1948"/>
      <c r="CH25" s="1948"/>
      <c r="CI25" s="1948"/>
      <c r="CJ25" s="1948"/>
      <c r="CK25" s="1948"/>
      <c r="CL25" s="1948"/>
      <c r="CM25" s="1948"/>
      <c r="CN25" s="1948"/>
      <c r="CO25" s="1948"/>
      <c r="CP25" s="1948"/>
    </row>
    <row r="26" spans="1:146" s="1946" customFormat="1" ht="12" hidden="1" customHeight="1" outlineLevel="1" x14ac:dyDescent="0.2">
      <c r="D26" s="1948"/>
      <c r="F26" s="1948"/>
      <c r="G26" s="1948"/>
      <c r="I26" s="1948"/>
      <c r="K26" s="1948"/>
      <c r="M26" s="1948"/>
      <c r="O26" s="1948"/>
      <c r="AT26" s="1948"/>
      <c r="AZ26" s="1948"/>
      <c r="BC26" s="1948"/>
      <c r="BE26" s="1948"/>
      <c r="BI26" s="1948"/>
      <c r="BJ26" s="1948"/>
      <c r="BK26" s="1948"/>
      <c r="BL26" s="1948"/>
      <c r="BM26" s="1948"/>
      <c r="BN26" s="1948"/>
      <c r="BO26" s="1948"/>
      <c r="BP26" s="1948"/>
      <c r="BQ26" s="1948"/>
      <c r="BR26" s="1948"/>
      <c r="BS26" s="1948"/>
      <c r="BT26" s="1948"/>
      <c r="BU26" s="1948"/>
      <c r="BV26" s="1948"/>
      <c r="BW26" s="1948"/>
      <c r="BX26" s="1948"/>
      <c r="BY26" s="1948"/>
      <c r="CA26" s="1948"/>
      <c r="CB26" s="1948"/>
      <c r="CC26" s="1948"/>
      <c r="CD26" s="1948"/>
      <c r="CE26" s="1948"/>
      <c r="CF26" s="1948"/>
      <c r="CG26" s="1948"/>
      <c r="CH26" s="1948"/>
      <c r="CI26" s="1948"/>
      <c r="CJ26" s="1948"/>
      <c r="CK26" s="1948"/>
      <c r="CL26" s="1948"/>
      <c r="CM26" s="1948"/>
      <c r="CN26" s="1948"/>
      <c r="CO26" s="1948"/>
      <c r="CP26" s="1948"/>
    </row>
    <row r="27" spans="1:146" s="1946" customFormat="1" ht="12" hidden="1" customHeight="1" outlineLevel="1" x14ac:dyDescent="0.2">
      <c r="A27" s="1951" t="s">
        <v>881</v>
      </c>
      <c r="B27" s="1952" t="s">
        <v>882</v>
      </c>
      <c r="C27" s="1948"/>
      <c r="D27" s="1948"/>
      <c r="E27" s="1948"/>
      <c r="F27" s="1948"/>
      <c r="G27" s="1948"/>
      <c r="H27" s="1948"/>
      <c r="I27" s="1948"/>
      <c r="J27" s="1948"/>
      <c r="K27" s="1948"/>
      <c r="L27" s="1948"/>
      <c r="M27" s="1948"/>
      <c r="N27" s="1948"/>
      <c r="O27" s="1948"/>
      <c r="P27" s="1948"/>
      <c r="Q27" s="1948"/>
      <c r="R27" s="1948"/>
      <c r="S27" s="1948"/>
      <c r="T27" s="1948"/>
      <c r="U27" s="1948"/>
      <c r="V27" s="1948"/>
      <c r="W27" s="1948"/>
      <c r="X27" s="1948"/>
      <c r="Y27" s="1948"/>
      <c r="Z27" s="1948"/>
      <c r="AA27" s="1948"/>
      <c r="AB27" s="1948"/>
      <c r="AC27" s="1948"/>
      <c r="AD27" s="1948"/>
      <c r="AE27" s="1948"/>
      <c r="AF27" s="1948"/>
      <c r="AG27" s="1948"/>
      <c r="AH27" s="1948"/>
      <c r="AI27" s="1948"/>
      <c r="AJ27" s="1948"/>
      <c r="AK27" s="1948"/>
      <c r="AL27" s="1948"/>
      <c r="AM27" s="1948"/>
      <c r="AN27" s="1952"/>
      <c r="AO27" s="1952"/>
      <c r="AP27" s="1952"/>
      <c r="AQ27" s="1952"/>
      <c r="AR27" s="1952"/>
      <c r="AS27" s="1948"/>
      <c r="AT27" s="1948"/>
      <c r="AU27" s="1952"/>
      <c r="AV27" s="1952"/>
      <c r="AW27" s="1952"/>
      <c r="AX27" s="1952"/>
      <c r="AY27" s="1948"/>
      <c r="AZ27" s="1948"/>
      <c r="BA27" s="1952"/>
      <c r="BB27" s="1948"/>
      <c r="BC27" s="1948"/>
      <c r="BD27" s="1948"/>
      <c r="BE27" s="1948"/>
      <c r="BF27" s="1952"/>
      <c r="BG27" s="1948"/>
      <c r="BH27" s="1952"/>
      <c r="BI27" s="1948"/>
      <c r="BJ27" s="1948"/>
      <c r="BK27" s="1948"/>
      <c r="BL27" s="1948"/>
      <c r="BM27" s="1948"/>
      <c r="BN27" s="1948"/>
      <c r="BO27" s="1948"/>
      <c r="BP27" s="1948"/>
      <c r="BQ27" s="1948"/>
      <c r="BR27" s="1948"/>
      <c r="BS27" s="1948"/>
      <c r="BT27" s="1948"/>
      <c r="BU27" s="1948"/>
      <c r="BV27" s="1948"/>
      <c r="BW27" s="1948"/>
      <c r="BX27" s="1948"/>
      <c r="BY27" s="1948"/>
      <c r="BZ27" s="1948"/>
      <c r="CA27" s="1948"/>
      <c r="CB27" s="1948"/>
      <c r="CC27" s="1948"/>
      <c r="CD27" s="1948"/>
      <c r="CE27" s="1948"/>
      <c r="CF27" s="1948"/>
      <c r="CG27" s="1948"/>
      <c r="CH27" s="1948"/>
      <c r="CI27" s="1948"/>
      <c r="CJ27" s="1948"/>
      <c r="CK27" s="1948"/>
      <c r="CL27" s="1948"/>
      <c r="CM27" s="1948"/>
      <c r="CN27" s="1948"/>
      <c r="CO27" s="1948"/>
      <c r="CP27" s="1948"/>
      <c r="CQ27" s="1947"/>
      <c r="CR27" s="1947"/>
      <c r="CS27" s="1947"/>
      <c r="CT27" s="1947"/>
      <c r="CU27" s="1947"/>
      <c r="CV27" s="1947"/>
      <c r="CW27" s="1947"/>
      <c r="CX27" s="1947"/>
      <c r="CY27" s="1947"/>
      <c r="CZ27" s="1947"/>
      <c r="DA27" s="1947"/>
      <c r="DB27" s="1947"/>
      <c r="DC27" s="1947"/>
      <c r="DD27" s="1947"/>
      <c r="DE27" s="1947"/>
      <c r="DF27" s="1947"/>
      <c r="DG27" s="1947"/>
      <c r="DH27" s="1947"/>
      <c r="DI27" s="1947"/>
      <c r="DJ27" s="1947"/>
      <c r="DK27" s="1947"/>
      <c r="DL27" s="1947"/>
      <c r="DM27" s="1947"/>
      <c r="DN27" s="1947"/>
      <c r="DO27" s="1947"/>
      <c r="DP27" s="1947"/>
      <c r="DQ27" s="1947"/>
      <c r="DR27" s="1947"/>
      <c r="DS27" s="1947"/>
      <c r="DT27" s="1947"/>
      <c r="DU27" s="1947"/>
      <c r="DV27" s="1947"/>
      <c r="DW27" s="1947"/>
      <c r="DX27" s="1947"/>
      <c r="DY27" s="1947"/>
      <c r="DZ27" s="1947"/>
      <c r="EA27" s="1947"/>
      <c r="EB27" s="1947"/>
      <c r="EC27" s="1947"/>
      <c r="ED27" s="1947"/>
      <c r="EE27" s="1947"/>
      <c r="EF27" s="1947"/>
      <c r="EG27" s="1947"/>
      <c r="EH27" s="1947"/>
      <c r="EI27" s="1947"/>
      <c r="EJ27" s="1947"/>
      <c r="EK27" s="1947"/>
      <c r="EL27" s="1947"/>
      <c r="EM27" s="1947"/>
      <c r="EN27" s="1947"/>
      <c r="EO27" s="1947"/>
      <c r="EP27" s="1947"/>
    </row>
    <row r="28" spans="1:146" s="1946" customFormat="1" ht="12" hidden="1" customHeight="1" outlineLevel="1" x14ac:dyDescent="0.2">
      <c r="A28" s="1951" t="s">
        <v>883</v>
      </c>
      <c r="B28" s="1952" t="s">
        <v>884</v>
      </c>
      <c r="C28" s="1948"/>
      <c r="D28" s="1948"/>
      <c r="E28" s="1948"/>
      <c r="F28" s="1948"/>
      <c r="G28" s="1948"/>
      <c r="H28" s="1948"/>
      <c r="I28" s="1948"/>
      <c r="J28" s="1948"/>
      <c r="K28" s="1948"/>
      <c r="L28" s="1948"/>
      <c r="M28" s="1948"/>
      <c r="N28" s="1948"/>
      <c r="O28" s="1948"/>
      <c r="P28" s="1948"/>
      <c r="Q28" s="1948"/>
      <c r="R28" s="1948"/>
      <c r="S28" s="1948"/>
      <c r="T28" s="1948"/>
      <c r="U28" s="1948"/>
      <c r="V28" s="1948"/>
      <c r="W28" s="1948"/>
      <c r="X28" s="1948"/>
      <c r="Y28" s="1948"/>
      <c r="Z28" s="1948"/>
      <c r="AA28" s="1948"/>
      <c r="AB28" s="1948"/>
      <c r="AC28" s="1948"/>
      <c r="AD28" s="1948"/>
      <c r="AE28" s="1948"/>
      <c r="AF28" s="1948"/>
      <c r="AG28" s="1948"/>
      <c r="AH28" s="1948"/>
      <c r="AI28" s="1948"/>
      <c r="AJ28" s="1948"/>
      <c r="AK28" s="1948"/>
      <c r="AL28" s="1948"/>
      <c r="AM28" s="1948"/>
      <c r="AN28" s="1952"/>
      <c r="AO28" s="1952"/>
      <c r="AP28" s="1952"/>
      <c r="AQ28" s="1952"/>
      <c r="AR28" s="1952"/>
      <c r="AS28" s="1948"/>
      <c r="AT28" s="1948"/>
      <c r="AU28" s="1952"/>
      <c r="AV28" s="1952"/>
      <c r="AW28" s="1952"/>
      <c r="AX28" s="1952"/>
      <c r="AY28" s="1948"/>
      <c r="AZ28" s="1948"/>
      <c r="BA28" s="1952"/>
      <c r="BB28" s="1948"/>
      <c r="BC28" s="1948"/>
      <c r="BD28" s="1948"/>
      <c r="BE28" s="1948"/>
      <c r="BF28" s="1952"/>
      <c r="BG28" s="1948"/>
      <c r="BH28" s="1952"/>
      <c r="BI28" s="1948"/>
      <c r="BJ28" s="1948"/>
      <c r="BK28" s="1948"/>
      <c r="BL28" s="1948"/>
      <c r="BM28" s="1948"/>
      <c r="BN28" s="1948"/>
      <c r="BO28" s="1948"/>
      <c r="BP28" s="1948"/>
      <c r="BQ28" s="1948"/>
      <c r="BR28" s="1948"/>
      <c r="BS28" s="1948"/>
      <c r="BT28" s="1948"/>
      <c r="BU28" s="1948"/>
      <c r="BV28" s="1948"/>
      <c r="BW28" s="1948"/>
      <c r="BX28" s="1948"/>
      <c r="BY28" s="1948"/>
      <c r="BZ28" s="1948"/>
      <c r="CA28" s="1948"/>
      <c r="CB28" s="1948"/>
      <c r="CC28" s="1948"/>
      <c r="CD28" s="1948"/>
      <c r="CE28" s="1948"/>
      <c r="CF28" s="1948"/>
      <c r="CG28" s="1948"/>
      <c r="CH28" s="1948"/>
      <c r="CI28" s="1948"/>
      <c r="CJ28" s="1948"/>
      <c r="CK28" s="1948"/>
      <c r="CL28" s="1948"/>
      <c r="CM28" s="1948"/>
      <c r="CN28" s="1948"/>
      <c r="CO28" s="1948"/>
      <c r="CP28" s="1948"/>
      <c r="CQ28" s="1947"/>
      <c r="CR28" s="1947"/>
      <c r="CS28" s="1947"/>
      <c r="CT28" s="1947"/>
      <c r="CU28" s="1947"/>
      <c r="CV28" s="1947"/>
      <c r="CW28" s="1947"/>
      <c r="CX28" s="1947"/>
      <c r="CY28" s="1947"/>
      <c r="CZ28" s="1947"/>
      <c r="DA28" s="1947"/>
      <c r="DB28" s="1947"/>
      <c r="DC28" s="1947"/>
      <c r="DD28" s="1947"/>
      <c r="DE28" s="1947"/>
      <c r="DF28" s="1947"/>
      <c r="DG28" s="1947"/>
      <c r="DH28" s="1947"/>
      <c r="DI28" s="1947"/>
      <c r="DJ28" s="1947"/>
      <c r="DK28" s="1947"/>
      <c r="DL28" s="1947"/>
      <c r="DM28" s="1947"/>
      <c r="DN28" s="1947"/>
      <c r="DO28" s="1947"/>
      <c r="DP28" s="1947"/>
      <c r="DQ28" s="1947"/>
      <c r="DR28" s="1947"/>
      <c r="DS28" s="1947"/>
      <c r="DT28" s="1947"/>
      <c r="DU28" s="1947"/>
      <c r="DV28" s="1947"/>
      <c r="DW28" s="1947"/>
      <c r="DX28" s="1947"/>
      <c r="DY28" s="1947"/>
      <c r="DZ28" s="1947"/>
      <c r="EA28" s="1947"/>
      <c r="EB28" s="1947"/>
      <c r="EC28" s="1947"/>
      <c r="ED28" s="1947"/>
      <c r="EE28" s="1947"/>
      <c r="EF28" s="1947"/>
      <c r="EG28" s="1947"/>
      <c r="EH28" s="1947"/>
      <c r="EI28" s="1947"/>
      <c r="EJ28" s="1947"/>
      <c r="EK28" s="1947"/>
      <c r="EL28" s="1947"/>
      <c r="EM28" s="1947"/>
      <c r="EN28" s="1947"/>
      <c r="EO28" s="1947"/>
      <c r="EP28" s="1947"/>
    </row>
    <row r="29" spans="1:146" s="1946" customFormat="1" ht="12" hidden="1" customHeight="1" outlineLevel="1" x14ac:dyDescent="0.2">
      <c r="A29" s="1951" t="s">
        <v>885</v>
      </c>
      <c r="B29" s="1952" t="e">
        <v>#NAME?</v>
      </c>
      <c r="C29" s="1948"/>
      <c r="D29" s="1948"/>
      <c r="E29" s="1948"/>
      <c r="F29" s="1948"/>
      <c r="G29" s="1948"/>
      <c r="H29" s="1948"/>
      <c r="I29" s="1948"/>
      <c r="J29" s="1948"/>
      <c r="K29" s="1948"/>
      <c r="L29" s="1948"/>
      <c r="M29" s="1948"/>
      <c r="N29" s="1948"/>
      <c r="O29" s="1948"/>
      <c r="P29" s="1948"/>
      <c r="Q29" s="1948"/>
      <c r="R29" s="1948"/>
      <c r="S29" s="1948"/>
      <c r="T29" s="1948"/>
      <c r="U29" s="1948"/>
      <c r="V29" s="1948"/>
      <c r="W29" s="1948"/>
      <c r="X29" s="1948"/>
      <c r="Y29" s="1948"/>
      <c r="Z29" s="1948"/>
      <c r="AA29" s="1948"/>
      <c r="AB29" s="1948"/>
      <c r="AC29" s="1948"/>
      <c r="AD29" s="1948"/>
      <c r="AE29" s="1948"/>
      <c r="AF29" s="1948"/>
      <c r="AG29" s="1948"/>
      <c r="AH29" s="1948"/>
      <c r="AI29" s="1948"/>
      <c r="AJ29" s="1948"/>
      <c r="AK29" s="1948"/>
      <c r="AL29" s="1948"/>
      <c r="AM29" s="1948"/>
      <c r="AN29" s="1952"/>
      <c r="AO29" s="1952"/>
      <c r="AP29" s="1952"/>
      <c r="AQ29" s="1952"/>
      <c r="AR29" s="1952"/>
      <c r="AS29" s="1948"/>
      <c r="AT29" s="1948"/>
      <c r="AU29" s="1952"/>
      <c r="AV29" s="1952"/>
      <c r="AW29" s="1952"/>
      <c r="AX29" s="1952"/>
      <c r="AY29" s="1948"/>
      <c r="AZ29" s="1948"/>
      <c r="BA29" s="1952"/>
      <c r="BB29" s="1948"/>
      <c r="BC29" s="1948"/>
      <c r="BD29" s="1948"/>
      <c r="BE29" s="1948"/>
      <c r="BF29" s="1952"/>
      <c r="BG29" s="1948"/>
      <c r="BH29" s="1952"/>
      <c r="BI29" s="1948"/>
      <c r="BJ29" s="1948"/>
      <c r="BK29" s="1948"/>
      <c r="BL29" s="1948"/>
      <c r="BM29" s="1948"/>
      <c r="BN29" s="1948"/>
      <c r="BO29" s="1948"/>
      <c r="BP29" s="1948"/>
      <c r="BQ29" s="1948"/>
      <c r="BR29" s="1948"/>
      <c r="BS29" s="1948"/>
      <c r="BT29" s="1948"/>
      <c r="BU29" s="1948"/>
      <c r="BV29" s="1948"/>
      <c r="BW29" s="1948"/>
      <c r="BX29" s="1948"/>
      <c r="BY29" s="1948"/>
      <c r="BZ29" s="1948"/>
      <c r="CA29" s="1948"/>
      <c r="CB29" s="1948"/>
      <c r="CC29" s="1948"/>
      <c r="CD29" s="1948"/>
      <c r="CE29" s="1948"/>
      <c r="CF29" s="1948"/>
      <c r="CG29" s="1948"/>
      <c r="CH29" s="1948"/>
      <c r="CI29" s="1948"/>
      <c r="CJ29" s="1948"/>
      <c r="CK29" s="1948"/>
      <c r="CL29" s="1948"/>
      <c r="CM29" s="1948"/>
      <c r="CN29" s="1948"/>
      <c r="CO29" s="1948"/>
      <c r="CP29" s="1948"/>
      <c r="CQ29" s="1947"/>
      <c r="CR29" s="1947"/>
      <c r="CS29" s="1947"/>
      <c r="CT29" s="1947"/>
      <c r="CU29" s="1947"/>
      <c r="CV29" s="1947"/>
      <c r="CW29" s="1947"/>
      <c r="CX29" s="1947"/>
      <c r="CY29" s="1947"/>
      <c r="CZ29" s="1947"/>
      <c r="DA29" s="1947"/>
      <c r="DB29" s="1947"/>
      <c r="DC29" s="1947"/>
      <c r="DD29" s="1947"/>
      <c r="DE29" s="1947"/>
      <c r="DF29" s="1947"/>
      <c r="DG29" s="1947"/>
      <c r="DH29" s="1947"/>
      <c r="DI29" s="1947"/>
      <c r="DJ29" s="1947"/>
      <c r="DK29" s="1947"/>
      <c r="DL29" s="1947"/>
      <c r="DM29" s="1947"/>
      <c r="DN29" s="1947"/>
      <c r="DO29" s="1947"/>
      <c r="DP29" s="1947"/>
      <c r="DQ29" s="1947"/>
      <c r="DR29" s="1947"/>
      <c r="DS29" s="1947"/>
      <c r="DT29" s="1947"/>
      <c r="DU29" s="1947"/>
      <c r="DV29" s="1947"/>
      <c r="DW29" s="1947"/>
      <c r="DX29" s="1947"/>
      <c r="DY29" s="1947"/>
      <c r="DZ29" s="1947"/>
      <c r="EA29" s="1947"/>
      <c r="EB29" s="1947"/>
      <c r="EC29" s="1947"/>
      <c r="ED29" s="1947"/>
      <c r="EE29" s="1947"/>
      <c r="EF29" s="1947"/>
      <c r="EG29" s="1947"/>
      <c r="EH29" s="1947"/>
      <c r="EI29" s="1947"/>
      <c r="EJ29" s="1947"/>
      <c r="EK29" s="1947"/>
      <c r="EL29" s="1947"/>
      <c r="EM29" s="1947"/>
      <c r="EN29" s="1947"/>
      <c r="EO29" s="1947"/>
      <c r="EP29" s="1947"/>
    </row>
    <row r="30" spans="1:146" s="1946" customFormat="1" ht="12" hidden="1" customHeight="1" outlineLevel="1" x14ac:dyDescent="0.2">
      <c r="A30" s="1951" t="s">
        <v>886</v>
      </c>
      <c r="B30" s="1952" t="s">
        <v>887</v>
      </c>
      <c r="C30" s="1948"/>
      <c r="D30" s="1948"/>
      <c r="E30" s="1948"/>
      <c r="F30" s="1948"/>
      <c r="G30" s="1948"/>
      <c r="H30" s="1948"/>
      <c r="I30" s="1948"/>
      <c r="J30" s="1948"/>
      <c r="K30" s="1948"/>
      <c r="L30" s="1948"/>
      <c r="M30" s="1948"/>
      <c r="N30" s="1948"/>
      <c r="O30" s="1948"/>
      <c r="P30" s="1948"/>
      <c r="Q30" s="1948"/>
      <c r="R30" s="1948"/>
      <c r="S30" s="1948"/>
      <c r="T30" s="1948"/>
      <c r="U30" s="1948"/>
      <c r="V30" s="1948"/>
      <c r="W30" s="1948"/>
      <c r="X30" s="1948"/>
      <c r="Y30" s="1948"/>
      <c r="Z30" s="1948"/>
      <c r="AA30" s="1948"/>
      <c r="AB30" s="1948"/>
      <c r="AC30" s="1948"/>
      <c r="AD30" s="1948"/>
      <c r="AE30" s="1948"/>
      <c r="AF30" s="1948"/>
      <c r="AG30" s="1948"/>
      <c r="AH30" s="1948"/>
      <c r="AI30" s="1948"/>
      <c r="AJ30" s="1948"/>
      <c r="AK30" s="1948"/>
      <c r="AL30" s="1948"/>
      <c r="AM30" s="1948"/>
      <c r="AN30" s="1952"/>
      <c r="AO30" s="1952"/>
      <c r="AP30" s="1952"/>
      <c r="AQ30" s="1952"/>
      <c r="AR30" s="1952"/>
      <c r="AS30" s="1948"/>
      <c r="AT30" s="1948"/>
      <c r="AU30" s="1952"/>
      <c r="AV30" s="1952"/>
      <c r="AW30" s="1952"/>
      <c r="AX30" s="1952"/>
      <c r="AY30" s="1948"/>
      <c r="AZ30" s="1948"/>
      <c r="BA30" s="1952"/>
      <c r="BB30" s="1948"/>
      <c r="BC30" s="1948"/>
      <c r="BD30" s="1948"/>
      <c r="BE30" s="1948"/>
      <c r="BF30" s="1952"/>
      <c r="BG30" s="1948"/>
      <c r="BH30" s="1952"/>
      <c r="BI30" s="1948"/>
      <c r="BJ30" s="1948"/>
      <c r="BK30" s="1948"/>
      <c r="BL30" s="1948"/>
      <c r="BM30" s="1948"/>
      <c r="BN30" s="1948"/>
      <c r="BO30" s="1948"/>
      <c r="BP30" s="1948"/>
      <c r="BQ30" s="1948"/>
      <c r="BR30" s="1948"/>
      <c r="BS30" s="1948"/>
      <c r="BT30" s="1948"/>
      <c r="BU30" s="1948"/>
      <c r="BV30" s="1948"/>
      <c r="BW30" s="1948"/>
      <c r="BX30" s="1948"/>
      <c r="BY30" s="1948"/>
      <c r="BZ30" s="1948"/>
      <c r="CA30" s="1948"/>
      <c r="CB30" s="1948"/>
      <c r="CC30" s="1948"/>
      <c r="CD30" s="1948"/>
      <c r="CE30" s="1948"/>
      <c r="CF30" s="1948"/>
      <c r="CG30" s="1948"/>
      <c r="CH30" s="1948"/>
      <c r="CI30" s="1948"/>
      <c r="CJ30" s="1948"/>
      <c r="CK30" s="1948"/>
      <c r="CL30" s="1948"/>
      <c r="CM30" s="1948"/>
      <c r="CN30" s="1948"/>
      <c r="CO30" s="1948"/>
      <c r="CP30" s="1948"/>
      <c r="CQ30" s="1947"/>
      <c r="CR30" s="1947"/>
      <c r="CS30" s="1947"/>
      <c r="CT30" s="1947"/>
      <c r="CU30" s="1947"/>
      <c r="CV30" s="1947"/>
      <c r="CW30" s="1947"/>
      <c r="CX30" s="1947"/>
      <c r="CY30" s="1947"/>
      <c r="CZ30" s="1947"/>
      <c r="DA30" s="1947"/>
      <c r="DB30" s="1947"/>
      <c r="DC30" s="1947"/>
      <c r="DD30" s="1947"/>
      <c r="DE30" s="1947"/>
      <c r="DF30" s="1947"/>
      <c r="DG30" s="1947"/>
      <c r="DH30" s="1947"/>
      <c r="DI30" s="1947"/>
      <c r="DJ30" s="1947"/>
      <c r="DK30" s="1947"/>
      <c r="DL30" s="1947"/>
      <c r="DM30" s="1947"/>
      <c r="DN30" s="1947"/>
      <c r="DO30" s="1947"/>
      <c r="DP30" s="1947"/>
      <c r="DQ30" s="1947"/>
      <c r="DR30" s="1947"/>
      <c r="DS30" s="1947"/>
      <c r="DT30" s="1947"/>
      <c r="DU30" s="1947"/>
      <c r="DV30" s="1947"/>
      <c r="DW30" s="1947"/>
      <c r="DX30" s="1947"/>
      <c r="DY30" s="1947"/>
      <c r="DZ30" s="1947"/>
      <c r="EA30" s="1947"/>
      <c r="EB30" s="1947"/>
      <c r="EC30" s="1947"/>
      <c r="ED30" s="1947"/>
      <c r="EE30" s="1947"/>
      <c r="EF30" s="1947"/>
      <c r="EG30" s="1947"/>
      <c r="EH30" s="1947"/>
      <c r="EI30" s="1947"/>
      <c r="EJ30" s="1947"/>
      <c r="EK30" s="1947"/>
      <c r="EL30" s="1947"/>
      <c r="EM30" s="1947"/>
      <c r="EN30" s="1947"/>
      <c r="EO30" s="1947"/>
      <c r="EP30" s="1947"/>
    </row>
    <row r="31" spans="1:146" s="1946" customFormat="1" ht="12" hidden="1" customHeight="1" outlineLevel="1" x14ac:dyDescent="0.2">
      <c r="A31" s="1951" t="s">
        <v>888</v>
      </c>
      <c r="B31" s="1952" t="s">
        <v>889</v>
      </c>
      <c r="C31" s="1948"/>
      <c r="D31" s="1948"/>
      <c r="E31" s="1948"/>
      <c r="F31" s="1948"/>
      <c r="G31" s="1948"/>
      <c r="H31" s="1948"/>
      <c r="I31" s="1948"/>
      <c r="J31" s="1948"/>
      <c r="K31" s="1948"/>
      <c r="L31" s="1948"/>
      <c r="M31" s="1948"/>
      <c r="N31" s="1948"/>
      <c r="O31" s="1948"/>
      <c r="P31" s="1948"/>
      <c r="Q31" s="1948"/>
      <c r="R31" s="1948"/>
      <c r="S31" s="1948"/>
      <c r="T31" s="1948"/>
      <c r="U31" s="1948"/>
      <c r="V31" s="1948"/>
      <c r="W31" s="1948"/>
      <c r="X31" s="1948"/>
      <c r="Y31" s="1948"/>
      <c r="Z31" s="1948"/>
      <c r="AA31" s="1948"/>
      <c r="AB31" s="1948"/>
      <c r="AC31" s="1948"/>
      <c r="AD31" s="1948"/>
      <c r="AE31" s="1948"/>
      <c r="AF31" s="1948"/>
      <c r="AG31" s="1948"/>
      <c r="AH31" s="1948"/>
      <c r="AI31" s="1948"/>
      <c r="AJ31" s="1948"/>
      <c r="AK31" s="1948"/>
      <c r="AL31" s="1948"/>
      <c r="AM31" s="1948"/>
      <c r="AN31" s="1952"/>
      <c r="AO31" s="1952"/>
      <c r="AP31" s="1952"/>
      <c r="AQ31" s="1952"/>
      <c r="AR31" s="1952"/>
      <c r="AS31" s="1948"/>
      <c r="AT31" s="1948"/>
      <c r="AU31" s="1952"/>
      <c r="AV31" s="1952"/>
      <c r="AW31" s="1952"/>
      <c r="AX31" s="1952"/>
      <c r="AY31" s="1948"/>
      <c r="AZ31" s="1948"/>
      <c r="BA31" s="1952"/>
      <c r="BB31" s="1948"/>
      <c r="BC31" s="1948"/>
      <c r="BD31" s="1948"/>
      <c r="BE31" s="1948"/>
      <c r="BF31" s="1952"/>
      <c r="BG31" s="1948"/>
      <c r="BH31" s="1952"/>
      <c r="BI31" s="1948"/>
      <c r="BJ31" s="1948"/>
      <c r="BK31" s="1948"/>
      <c r="BL31" s="1948"/>
      <c r="BM31" s="1948"/>
      <c r="BN31" s="1948"/>
      <c r="BO31" s="1948"/>
      <c r="BP31" s="1948"/>
      <c r="BQ31" s="1948"/>
      <c r="BR31" s="1948"/>
      <c r="BS31" s="1948"/>
      <c r="BT31" s="1948"/>
      <c r="BU31" s="1948"/>
      <c r="BV31" s="1948"/>
      <c r="BW31" s="1948"/>
      <c r="BX31" s="1948"/>
      <c r="BY31" s="1948"/>
      <c r="BZ31" s="1948"/>
      <c r="CA31" s="1948"/>
      <c r="CB31" s="1948"/>
      <c r="CC31" s="1948"/>
      <c r="CD31" s="1948"/>
      <c r="CE31" s="1948"/>
      <c r="CF31" s="1948"/>
      <c r="CG31" s="1948"/>
      <c r="CH31" s="1948"/>
      <c r="CI31" s="1948"/>
      <c r="CJ31" s="1948"/>
      <c r="CK31" s="1948"/>
      <c r="CL31" s="1948"/>
      <c r="CM31" s="1948"/>
      <c r="CN31" s="1948"/>
      <c r="CO31" s="1948"/>
      <c r="CP31" s="1948"/>
      <c r="CQ31" s="1947"/>
      <c r="CR31" s="1947"/>
      <c r="CS31" s="1947"/>
      <c r="CT31" s="1947"/>
      <c r="CU31" s="1947"/>
      <c r="CV31" s="1947"/>
      <c r="CW31" s="1947"/>
      <c r="CX31" s="1947"/>
      <c r="CY31" s="1947"/>
      <c r="CZ31" s="1947"/>
      <c r="DA31" s="1947"/>
      <c r="DB31" s="1947"/>
      <c r="DC31" s="1947"/>
      <c r="DD31" s="1947"/>
      <c r="DE31" s="1947"/>
      <c r="DF31" s="1947"/>
      <c r="DG31" s="1947"/>
      <c r="DH31" s="1947"/>
      <c r="DI31" s="1947"/>
      <c r="DJ31" s="1947"/>
      <c r="DK31" s="1947"/>
      <c r="DL31" s="1947"/>
      <c r="DM31" s="1947"/>
      <c r="DN31" s="1947"/>
      <c r="DO31" s="1947"/>
      <c r="DP31" s="1947"/>
      <c r="DQ31" s="1947"/>
      <c r="DR31" s="1947"/>
      <c r="DS31" s="1947"/>
      <c r="DT31" s="1947"/>
      <c r="DU31" s="1947"/>
      <c r="DV31" s="1947"/>
      <c r="DW31" s="1947"/>
      <c r="DX31" s="1947"/>
      <c r="DY31" s="1947"/>
      <c r="DZ31" s="1947"/>
      <c r="EA31" s="1947"/>
      <c r="EB31" s="1947"/>
      <c r="EC31" s="1947"/>
      <c r="ED31" s="1947"/>
      <c r="EE31" s="1947"/>
      <c r="EF31" s="1947"/>
      <c r="EG31" s="1947"/>
      <c r="EH31" s="1947"/>
      <c r="EI31" s="1947"/>
      <c r="EJ31" s="1947"/>
      <c r="EK31" s="1947"/>
      <c r="EL31" s="1947"/>
      <c r="EM31" s="1947"/>
      <c r="EN31" s="1947"/>
      <c r="EO31" s="1947"/>
      <c r="EP31" s="1947"/>
    </row>
    <row r="32" spans="1:146" s="1946" customFormat="1" ht="12" hidden="1" customHeight="1" outlineLevel="1" x14ac:dyDescent="0.2">
      <c r="A32" s="1951" t="s">
        <v>890</v>
      </c>
      <c r="B32" s="1952" t="s">
        <v>724</v>
      </c>
      <c r="C32" s="1948"/>
      <c r="D32" s="1948"/>
      <c r="E32" s="1948"/>
      <c r="F32" s="1948"/>
      <c r="G32" s="1948"/>
      <c r="H32" s="1948"/>
      <c r="I32" s="1948"/>
      <c r="J32" s="1948"/>
      <c r="K32" s="1948"/>
      <c r="L32" s="1948"/>
      <c r="M32" s="1948"/>
      <c r="N32" s="1948"/>
      <c r="O32" s="1948"/>
      <c r="P32" s="1948"/>
      <c r="Q32" s="1948"/>
      <c r="R32" s="1948"/>
      <c r="S32" s="1948"/>
      <c r="T32" s="1948"/>
      <c r="U32" s="1948"/>
      <c r="V32" s="1948"/>
      <c r="W32" s="1948"/>
      <c r="X32" s="1948"/>
      <c r="Y32" s="1948"/>
      <c r="Z32" s="1948"/>
      <c r="AA32" s="1948"/>
      <c r="AB32" s="1948"/>
      <c r="AC32" s="1948"/>
      <c r="AD32" s="1948"/>
      <c r="AE32" s="1948"/>
      <c r="AF32" s="1948"/>
      <c r="AG32" s="1948"/>
      <c r="AH32" s="1948"/>
      <c r="AI32" s="1948"/>
      <c r="AJ32" s="1948"/>
      <c r="AK32" s="1948"/>
      <c r="AL32" s="1948"/>
      <c r="AM32" s="1948"/>
      <c r="AN32" s="1952"/>
      <c r="AO32" s="1952"/>
      <c r="AP32" s="1952"/>
      <c r="AQ32" s="1952"/>
      <c r="AR32" s="1952"/>
      <c r="AS32" s="1948"/>
      <c r="AT32" s="1948"/>
      <c r="AU32" s="1952"/>
      <c r="AV32" s="1952"/>
      <c r="AW32" s="1952"/>
      <c r="AX32" s="1952"/>
      <c r="AY32" s="1948"/>
      <c r="AZ32" s="1948"/>
      <c r="BA32" s="1952"/>
      <c r="BB32" s="1948"/>
      <c r="BC32" s="1948"/>
      <c r="BD32" s="1948"/>
      <c r="BE32" s="1948"/>
      <c r="BF32" s="1952"/>
      <c r="BG32" s="1948"/>
      <c r="BH32" s="1952"/>
      <c r="BI32" s="1948"/>
      <c r="BJ32" s="1948"/>
      <c r="BK32" s="1948"/>
      <c r="BL32" s="1948"/>
      <c r="BM32" s="1948"/>
      <c r="BN32" s="1948"/>
      <c r="BO32" s="1948"/>
      <c r="BP32" s="1948"/>
      <c r="BQ32" s="1948"/>
      <c r="BR32" s="1948"/>
      <c r="BS32" s="1948"/>
      <c r="BT32" s="1948"/>
      <c r="BU32" s="1948"/>
      <c r="BV32" s="1948"/>
      <c r="BW32" s="1948"/>
      <c r="BX32" s="1948"/>
      <c r="BY32" s="1948"/>
      <c r="BZ32" s="1948"/>
      <c r="CA32" s="1948"/>
      <c r="CB32" s="1948"/>
      <c r="CC32" s="1948"/>
      <c r="CD32" s="1948"/>
      <c r="CE32" s="1948"/>
      <c r="CF32" s="1948"/>
      <c r="CG32" s="1948"/>
      <c r="CH32" s="1948"/>
      <c r="CI32" s="1948"/>
      <c r="CJ32" s="1948"/>
      <c r="CK32" s="1948"/>
      <c r="CL32" s="1948"/>
      <c r="CM32" s="1948"/>
      <c r="CN32" s="1948"/>
      <c r="CO32" s="1948"/>
      <c r="CP32" s="1948"/>
      <c r="CQ32" s="1947"/>
      <c r="CR32" s="1947"/>
      <c r="CS32" s="1947"/>
      <c r="CT32" s="1947"/>
      <c r="CU32" s="1947"/>
      <c r="CV32" s="1947"/>
      <c r="CW32" s="1947"/>
      <c r="CX32" s="1947"/>
      <c r="CY32" s="1947"/>
      <c r="CZ32" s="1947"/>
      <c r="DA32" s="1947"/>
      <c r="DB32" s="1947"/>
      <c r="DC32" s="1947"/>
      <c r="DD32" s="1947"/>
      <c r="DE32" s="1947"/>
      <c r="DF32" s="1947"/>
      <c r="DG32" s="1947"/>
      <c r="DH32" s="1947"/>
      <c r="DI32" s="1947"/>
      <c r="DJ32" s="1947"/>
      <c r="DK32" s="1947"/>
      <c r="DL32" s="1947"/>
      <c r="DM32" s="1947"/>
      <c r="DN32" s="1947"/>
      <c r="DO32" s="1947"/>
      <c r="DP32" s="1947"/>
      <c r="DQ32" s="1947"/>
      <c r="DR32" s="1947"/>
      <c r="DS32" s="1947"/>
      <c r="DT32" s="1947"/>
      <c r="DU32" s="1947"/>
      <c r="DV32" s="1947"/>
      <c r="DW32" s="1947"/>
      <c r="DX32" s="1947"/>
      <c r="DY32" s="1947"/>
      <c r="DZ32" s="1947"/>
      <c r="EA32" s="1947"/>
      <c r="EB32" s="1947"/>
      <c r="EC32" s="1947"/>
      <c r="ED32" s="1947"/>
      <c r="EE32" s="1947"/>
      <c r="EF32" s="1947"/>
      <c r="EG32" s="1947"/>
      <c r="EH32" s="1947"/>
      <c r="EI32" s="1947"/>
      <c r="EJ32" s="1947"/>
      <c r="EK32" s="1947"/>
      <c r="EL32" s="1947"/>
      <c r="EM32" s="1947"/>
      <c r="EN32" s="1947"/>
      <c r="EO32" s="1947"/>
      <c r="EP32" s="1947"/>
    </row>
    <row r="33" spans="1:146" s="1946" customFormat="1" ht="12" hidden="1" customHeight="1" outlineLevel="1" x14ac:dyDescent="0.2">
      <c r="A33" s="1951" t="s">
        <v>891</v>
      </c>
      <c r="B33" s="1952" t="s">
        <v>892</v>
      </c>
      <c r="C33" s="1948"/>
      <c r="D33" s="1952"/>
      <c r="E33" s="1948"/>
      <c r="F33" s="1952"/>
      <c r="G33" s="1952"/>
      <c r="H33" s="1948"/>
      <c r="I33" s="1952"/>
      <c r="J33" s="1948"/>
      <c r="K33" s="1952"/>
      <c r="L33" s="1948"/>
      <c r="M33" s="1952"/>
      <c r="N33" s="1948"/>
      <c r="O33" s="1952"/>
      <c r="P33" s="1948"/>
      <c r="Q33" s="1948"/>
      <c r="R33" s="1948"/>
      <c r="S33" s="1948"/>
      <c r="T33" s="1948"/>
      <c r="U33" s="1948"/>
      <c r="V33" s="1948"/>
      <c r="W33" s="1948"/>
      <c r="X33" s="1948"/>
      <c r="Y33" s="1948"/>
      <c r="Z33" s="1948"/>
      <c r="AA33" s="1948"/>
      <c r="AB33" s="1948"/>
      <c r="AC33" s="1948"/>
      <c r="AD33" s="1948"/>
      <c r="AE33" s="1948"/>
      <c r="AF33" s="1948"/>
      <c r="AG33" s="1948"/>
      <c r="AH33" s="1948"/>
      <c r="AI33" s="1948"/>
      <c r="AJ33" s="1948"/>
      <c r="AK33" s="1948"/>
      <c r="AL33" s="1948"/>
      <c r="AM33" s="1948"/>
      <c r="AN33" s="1952"/>
      <c r="AO33" s="1952"/>
      <c r="AP33" s="1952"/>
      <c r="AQ33" s="1952"/>
      <c r="AR33" s="1952"/>
      <c r="AS33" s="1948"/>
      <c r="AT33" s="1952"/>
      <c r="AU33" s="1952"/>
      <c r="AV33" s="1952"/>
      <c r="AW33" s="1952"/>
      <c r="AX33" s="1952"/>
      <c r="AY33" s="1948"/>
      <c r="AZ33" s="1952"/>
      <c r="BA33" s="1952"/>
      <c r="BB33" s="1948"/>
      <c r="BC33" s="1952"/>
      <c r="BD33" s="1948"/>
      <c r="BE33" s="1952"/>
      <c r="BF33" s="1952"/>
      <c r="BG33" s="1948"/>
      <c r="BH33" s="1952"/>
      <c r="BI33" s="1948"/>
      <c r="BJ33" s="1952"/>
      <c r="BK33" s="1948"/>
      <c r="BL33" s="1952"/>
      <c r="BM33" s="1948"/>
      <c r="BN33" s="1952"/>
      <c r="BO33" s="1948"/>
      <c r="BP33" s="1952"/>
      <c r="BQ33" s="1948"/>
      <c r="BR33" s="1952"/>
      <c r="BS33" s="1948"/>
      <c r="BT33" s="1952"/>
      <c r="BU33" s="1948"/>
      <c r="BV33" s="1952"/>
      <c r="BW33" s="1948"/>
      <c r="BX33" s="1952"/>
      <c r="BY33" s="1948"/>
      <c r="BZ33" s="1948"/>
      <c r="CA33" s="1948"/>
      <c r="CB33" s="1948"/>
      <c r="CC33" s="1948"/>
      <c r="CD33" s="1948"/>
      <c r="CE33" s="1948"/>
      <c r="CF33" s="1948"/>
      <c r="CG33" s="1948"/>
      <c r="CH33" s="1948"/>
      <c r="CI33" s="1948"/>
      <c r="CJ33" s="1948"/>
      <c r="CK33" s="1948"/>
      <c r="CL33" s="1948"/>
      <c r="CM33" s="1948"/>
      <c r="CN33" s="1948"/>
      <c r="CO33" s="1948"/>
      <c r="CP33" s="1948"/>
      <c r="CQ33" s="1947"/>
      <c r="CR33" s="1947"/>
      <c r="CS33" s="1947"/>
      <c r="CT33" s="1947"/>
      <c r="CU33" s="1947"/>
      <c r="CV33" s="1947"/>
      <c r="CW33" s="1947"/>
      <c r="CX33" s="1947"/>
      <c r="CY33" s="1947"/>
      <c r="CZ33" s="1947"/>
      <c r="DA33" s="1947"/>
      <c r="DB33" s="1947"/>
      <c r="DC33" s="1947"/>
      <c r="DD33" s="1947"/>
      <c r="DE33" s="1947"/>
      <c r="DF33" s="1947"/>
      <c r="DG33" s="1947"/>
      <c r="DH33" s="1947"/>
      <c r="DI33" s="1947"/>
      <c r="DJ33" s="1947"/>
      <c r="DK33" s="1947"/>
      <c r="DL33" s="1947"/>
      <c r="DM33" s="1947"/>
      <c r="DN33" s="1947"/>
      <c r="DO33" s="1947"/>
      <c r="DP33" s="1947"/>
      <c r="DQ33" s="1947"/>
      <c r="DR33" s="1947"/>
      <c r="DS33" s="1947"/>
      <c r="DT33" s="1947"/>
      <c r="DU33" s="1947"/>
      <c r="DV33" s="1947"/>
      <c r="DW33" s="1947"/>
      <c r="DX33" s="1947"/>
      <c r="DY33" s="1947"/>
      <c r="DZ33" s="1947"/>
      <c r="EA33" s="1947"/>
      <c r="EB33" s="1947"/>
      <c r="EC33" s="1947"/>
      <c r="ED33" s="1947"/>
      <c r="EE33" s="1947"/>
      <c r="EF33" s="1947"/>
      <c r="EG33" s="1947"/>
      <c r="EH33" s="1947"/>
      <c r="EI33" s="1947"/>
      <c r="EJ33" s="1947"/>
      <c r="EK33" s="1947"/>
      <c r="EL33" s="1947"/>
      <c r="EM33" s="1947"/>
      <c r="EN33" s="1947"/>
      <c r="EO33" s="1947"/>
      <c r="EP33" s="1947"/>
    </row>
    <row r="34" spans="1:146" s="1946" customFormat="1" ht="12" hidden="1" customHeight="1" outlineLevel="1" x14ac:dyDescent="0.2">
      <c r="A34" s="1951" t="s">
        <v>893</v>
      </c>
      <c r="B34" s="1952" t="s">
        <v>724</v>
      </c>
      <c r="C34" s="1948"/>
      <c r="D34" s="1952"/>
      <c r="E34" s="1948"/>
      <c r="F34" s="1952"/>
      <c r="G34" s="1952"/>
      <c r="H34" s="1948"/>
      <c r="I34" s="1952"/>
      <c r="J34" s="1948"/>
      <c r="K34" s="1952"/>
      <c r="L34" s="1948"/>
      <c r="M34" s="1952"/>
      <c r="N34" s="1948"/>
      <c r="O34" s="1952"/>
      <c r="P34" s="1948"/>
      <c r="Q34" s="1948"/>
      <c r="R34" s="1948"/>
      <c r="S34" s="1948"/>
      <c r="T34" s="1948"/>
      <c r="U34" s="1953"/>
      <c r="V34" s="1953"/>
      <c r="W34" s="1953"/>
      <c r="X34" s="1953"/>
      <c r="Y34" s="1953"/>
      <c r="Z34" s="1953"/>
      <c r="AA34" s="1953"/>
      <c r="AB34" s="1953"/>
      <c r="AC34" s="1953"/>
      <c r="AD34" s="1953"/>
      <c r="AE34" s="1953"/>
      <c r="AF34" s="1953"/>
      <c r="AG34" s="1948"/>
      <c r="AH34" s="1948"/>
      <c r="AI34" s="1948"/>
      <c r="AJ34" s="1948"/>
      <c r="AK34" s="1948"/>
      <c r="AL34" s="1948"/>
      <c r="AM34" s="1948"/>
      <c r="AN34" s="1952"/>
      <c r="AO34" s="1952"/>
      <c r="AP34" s="1952"/>
      <c r="AQ34" s="1952"/>
      <c r="AR34" s="1952"/>
      <c r="AS34" s="1948"/>
      <c r="AT34" s="1952"/>
      <c r="AU34" s="1952"/>
      <c r="AV34" s="1952"/>
      <c r="AW34" s="1952"/>
      <c r="AX34" s="1952"/>
      <c r="AY34" s="1948"/>
      <c r="AZ34" s="1952"/>
      <c r="BA34" s="1952"/>
      <c r="BB34" s="1948"/>
      <c r="BC34" s="1952"/>
      <c r="BD34" s="1948"/>
      <c r="BE34" s="1952"/>
      <c r="BF34" s="1952"/>
      <c r="BG34" s="1948"/>
      <c r="BH34" s="1952"/>
      <c r="BI34" s="1948"/>
      <c r="BJ34" s="1952"/>
      <c r="BK34" s="1948"/>
      <c r="BL34" s="1952"/>
      <c r="BM34" s="1948"/>
      <c r="BN34" s="1952"/>
      <c r="BO34" s="1948"/>
      <c r="BP34" s="1952"/>
      <c r="BQ34" s="1953"/>
      <c r="BR34" s="1952"/>
      <c r="BS34" s="1953"/>
      <c r="BT34" s="1952"/>
      <c r="BU34" s="1948"/>
      <c r="BV34" s="1952"/>
      <c r="BW34" s="1953"/>
      <c r="BX34" s="1952"/>
      <c r="BY34" s="1953"/>
      <c r="BZ34" s="1952"/>
      <c r="CA34" s="1948"/>
      <c r="CB34" s="1948"/>
      <c r="CC34" s="1948"/>
      <c r="CD34" s="1948"/>
      <c r="CE34" s="1948"/>
      <c r="CF34" s="1948"/>
      <c r="CG34" s="1948"/>
      <c r="CH34" s="1948"/>
      <c r="CI34" s="1948"/>
      <c r="CJ34" s="1948"/>
      <c r="CK34" s="1948"/>
      <c r="CL34" s="1948"/>
      <c r="CM34" s="1948"/>
      <c r="CN34" s="1948"/>
      <c r="CO34" s="1948"/>
      <c r="CP34" s="1948"/>
      <c r="CQ34" s="1947"/>
      <c r="CR34" s="1947"/>
      <c r="CS34" s="1947"/>
      <c r="CT34" s="1947"/>
      <c r="CU34" s="1953"/>
      <c r="CV34" s="1947"/>
      <c r="CW34" s="1953"/>
      <c r="CX34" s="1947"/>
      <c r="CY34" s="1953"/>
      <c r="CZ34" s="1947"/>
      <c r="DA34" s="1947"/>
      <c r="DB34" s="1947"/>
      <c r="DC34" s="1947"/>
      <c r="DD34" s="1947"/>
      <c r="DE34" s="1947"/>
      <c r="DF34" s="1947"/>
      <c r="DG34" s="1947"/>
      <c r="DH34" s="1947"/>
      <c r="DI34" s="1947"/>
      <c r="DJ34" s="1947"/>
      <c r="DK34" s="1947"/>
      <c r="DL34" s="1947"/>
      <c r="DM34" s="1947"/>
      <c r="DN34" s="1947"/>
      <c r="DO34" s="1947"/>
      <c r="DP34" s="1947"/>
      <c r="DQ34" s="1947"/>
      <c r="DR34" s="1947"/>
      <c r="DS34" s="1947"/>
      <c r="DT34" s="1947"/>
      <c r="DU34" s="1947"/>
      <c r="DV34" s="1947"/>
      <c r="DW34" s="1947"/>
      <c r="DX34" s="1947"/>
      <c r="DY34" s="1947"/>
      <c r="DZ34" s="1947"/>
      <c r="EA34" s="1947"/>
      <c r="EB34" s="1947"/>
      <c r="EC34" s="1947"/>
      <c r="ED34" s="1947"/>
      <c r="EE34" s="1947"/>
      <c r="EF34" s="1947"/>
      <c r="EG34" s="1947"/>
      <c r="EH34" s="1947"/>
      <c r="EI34" s="1947"/>
      <c r="EJ34" s="1947"/>
      <c r="EK34" s="1947"/>
      <c r="EL34" s="1947"/>
      <c r="EM34" s="1947"/>
      <c r="EN34" s="1947"/>
      <c r="EO34" s="1947"/>
      <c r="EP34" s="1947"/>
    </row>
    <row r="35" spans="1:146" ht="12" hidden="1" customHeight="1" outlineLevel="1" x14ac:dyDescent="0.2">
      <c r="A35" s="1951"/>
      <c r="B35" s="1951"/>
      <c r="C35" s="1951"/>
      <c r="D35" s="1951"/>
      <c r="E35" s="1951"/>
      <c r="F35" s="1951"/>
      <c r="G35" s="1951"/>
      <c r="H35" s="1951"/>
      <c r="I35" s="1951"/>
      <c r="J35" s="1951"/>
      <c r="K35" s="1951"/>
      <c r="L35" s="1951"/>
      <c r="M35" s="1951"/>
      <c r="N35" s="1951"/>
      <c r="O35" s="1951"/>
      <c r="P35" s="1951"/>
      <c r="Q35" s="1951"/>
      <c r="R35" s="1951"/>
      <c r="S35" s="1951"/>
      <c r="T35" s="1951"/>
      <c r="U35" s="1951"/>
      <c r="V35" s="1951"/>
      <c r="W35" s="1951"/>
      <c r="X35" s="1951"/>
      <c r="Y35" s="1951"/>
      <c r="Z35" s="1951"/>
      <c r="AA35" s="1951"/>
      <c r="AB35" s="1951"/>
      <c r="AC35" s="1951"/>
      <c r="AD35" s="1951"/>
      <c r="AE35" s="1951"/>
      <c r="AF35" s="1951"/>
      <c r="AG35" s="1951"/>
      <c r="AH35" s="1951"/>
      <c r="AI35" s="1951"/>
      <c r="AJ35" s="1951"/>
      <c r="AK35" s="1951"/>
      <c r="AL35" s="1947"/>
      <c r="AM35" s="1947"/>
      <c r="AN35" s="1951"/>
      <c r="AO35" s="1951"/>
      <c r="AP35" s="1957"/>
      <c r="AQ35" s="1951"/>
      <c r="AR35" s="1951"/>
      <c r="AS35" s="1951"/>
      <c r="AT35" s="1951"/>
      <c r="AU35" s="1951"/>
      <c r="AV35" s="1951"/>
      <c r="AW35" s="1951"/>
      <c r="AX35" s="1951"/>
      <c r="AY35" s="1951"/>
      <c r="AZ35" s="1951"/>
      <c r="BA35" s="1951"/>
      <c r="BB35" s="1951"/>
      <c r="BC35" s="1951"/>
      <c r="BD35" s="1951"/>
      <c r="BE35" s="1951"/>
      <c r="BF35" s="1951"/>
      <c r="BG35" s="1951"/>
      <c r="BH35" s="1951"/>
      <c r="BI35" s="1951"/>
      <c r="BJ35" s="1951"/>
      <c r="BK35" s="1951"/>
      <c r="BL35" s="1951"/>
      <c r="BM35" s="1951"/>
      <c r="BN35" s="1951"/>
      <c r="BO35" s="1951"/>
      <c r="BP35" s="1951"/>
      <c r="BQ35" s="1951"/>
      <c r="BR35" s="1951"/>
      <c r="BS35" s="1951"/>
      <c r="BT35" s="1951"/>
      <c r="BU35" s="1951"/>
      <c r="BV35" s="1951"/>
      <c r="BW35" s="1951"/>
      <c r="BX35" s="1951"/>
    </row>
    <row r="36" spans="1:146" ht="12.75" collapsed="1" x14ac:dyDescent="0.2">
      <c r="A36" s="1958" t="s">
        <v>894</v>
      </c>
      <c r="B36" s="1959" t="s">
        <v>1347</v>
      </c>
      <c r="C36" s="1958" t="s">
        <v>895</v>
      </c>
      <c r="D36" s="1959" t="s">
        <v>1874</v>
      </c>
      <c r="E36" s="1958" t="s">
        <v>896</v>
      </c>
      <c r="F36" s="1960" t="s">
        <v>897</v>
      </c>
      <c r="G36" s="1960" t="s">
        <v>898</v>
      </c>
      <c r="H36" s="1960" t="s">
        <v>899</v>
      </c>
      <c r="I36" s="1960" t="s">
        <v>900</v>
      </c>
    </row>
    <row r="37" spans="1:146" ht="12.75" hidden="1" outlineLevel="2" x14ac:dyDescent="0.2">
      <c r="A37" s="1961" t="s">
        <v>1875</v>
      </c>
      <c r="B37" s="1961" t="s">
        <v>1876</v>
      </c>
      <c r="C37" s="1961" t="s">
        <v>1877</v>
      </c>
      <c r="D37" s="1961" t="s">
        <v>1878</v>
      </c>
      <c r="E37" s="1961" t="s">
        <v>1083</v>
      </c>
      <c r="F37" s="1962">
        <v>710.70830999999998</v>
      </c>
      <c r="G37" s="1962">
        <v>192.55854461500283</v>
      </c>
      <c r="H37" s="1962">
        <v>54.141111574929333</v>
      </c>
      <c r="I37" s="1962">
        <v>38.475161889599541</v>
      </c>
    </row>
    <row r="38" spans="1:146" ht="12.75" hidden="1" outlineLevel="2" x14ac:dyDescent="0.2">
      <c r="A38" s="1961" t="s">
        <v>1875</v>
      </c>
      <c r="B38" s="1961" t="s">
        <v>1876</v>
      </c>
      <c r="C38" s="1961" t="s">
        <v>1879</v>
      </c>
      <c r="D38" s="1961" t="s">
        <v>1880</v>
      </c>
      <c r="E38" s="1961" t="s">
        <v>1083</v>
      </c>
      <c r="F38" s="1962">
        <v>43796.965360000002</v>
      </c>
      <c r="G38" s="1962">
        <v>11866.302658365277</v>
      </c>
      <c r="H38" s="1962">
        <v>3336.412920511757</v>
      </c>
      <c r="I38" s="1962">
        <v>2371.0083430700047</v>
      </c>
    </row>
    <row r="39" spans="1:146" ht="12.75" hidden="1" outlineLevel="2" x14ac:dyDescent="0.2">
      <c r="A39" s="1961" t="s">
        <v>1875</v>
      </c>
      <c r="B39" s="1961" t="s">
        <v>1876</v>
      </c>
      <c r="C39" s="1961" t="s">
        <v>1881</v>
      </c>
      <c r="D39" s="1961" t="s">
        <v>1882</v>
      </c>
      <c r="E39" s="1961" t="s">
        <v>1083</v>
      </c>
      <c r="F39" s="1962">
        <v>238446.07868000001</v>
      </c>
      <c r="G39" s="1962">
        <v>64604.323931114937</v>
      </c>
      <c r="H39" s="1962">
        <v>18164.605040875715</v>
      </c>
      <c r="I39" s="1962">
        <v>12908.603079585757</v>
      </c>
    </row>
    <row r="40" spans="1:146" ht="12.75" hidden="1" outlineLevel="2" x14ac:dyDescent="0.2">
      <c r="A40" s="1961" t="s">
        <v>1875</v>
      </c>
      <c r="B40" s="1961" t="s">
        <v>1876</v>
      </c>
      <c r="C40" s="1961" t="s">
        <v>1883</v>
      </c>
      <c r="D40" s="1961" t="s">
        <v>1884</v>
      </c>
      <c r="E40" s="1961" t="s">
        <v>1083</v>
      </c>
      <c r="F40" s="1962">
        <v>50328.820659999998</v>
      </c>
      <c r="G40" s="1962">
        <v>13636.036503469455</v>
      </c>
      <c r="H40" s="1962">
        <v>3834.0037065102961</v>
      </c>
      <c r="I40" s="1962">
        <v>2724.6192219225941</v>
      </c>
    </row>
    <row r="41" spans="1:146" ht="12.75" hidden="1" outlineLevel="2" x14ac:dyDescent="0.2">
      <c r="A41" s="1961" t="s">
        <v>1875</v>
      </c>
      <c r="B41" s="1961" t="s">
        <v>1876</v>
      </c>
      <c r="C41" s="1961" t="s">
        <v>1885</v>
      </c>
      <c r="D41" s="1961" t="s">
        <v>1886</v>
      </c>
      <c r="E41" s="1961" t="s">
        <v>1083</v>
      </c>
      <c r="F41" s="1962">
        <v>18123.966909999999</v>
      </c>
      <c r="G41" s="1962">
        <v>4924.4880887632598</v>
      </c>
      <c r="H41" s="1962">
        <v>1380.6672876171058</v>
      </c>
      <c r="I41" s="1962">
        <v>981.16562186249814</v>
      </c>
    </row>
    <row r="42" spans="1:146" ht="12.75" hidden="1" outlineLevel="2" x14ac:dyDescent="0.2">
      <c r="A42" s="1961" t="s">
        <v>1875</v>
      </c>
      <c r="B42" s="1961" t="s">
        <v>1876</v>
      </c>
      <c r="C42" s="1961" t="s">
        <v>1887</v>
      </c>
      <c r="D42" s="1961" t="s">
        <v>1888</v>
      </c>
      <c r="E42" s="1961" t="s">
        <v>1083</v>
      </c>
      <c r="F42" s="1962">
        <v>1.8525100000000001</v>
      </c>
      <c r="G42" s="1962">
        <v>0.5019170656450308</v>
      </c>
      <c r="H42" s="1962">
        <v>0.14112252409666118</v>
      </c>
      <c r="I42" s="1962">
        <v>0.10028815077749977</v>
      </c>
    </row>
    <row r="43" spans="1:146" ht="12.75" hidden="1" outlineLevel="2" x14ac:dyDescent="0.2">
      <c r="A43" s="1961" t="s">
        <v>1875</v>
      </c>
      <c r="B43" s="1961" t="s">
        <v>1876</v>
      </c>
      <c r="C43" s="1961" t="s">
        <v>1889</v>
      </c>
      <c r="D43" s="1961" t="s">
        <v>1890</v>
      </c>
      <c r="E43" s="1961" t="s">
        <v>1083</v>
      </c>
      <c r="F43" s="1962">
        <v>1758.7040400000001</v>
      </c>
      <c r="G43" s="1962">
        <v>476.50137980084367</v>
      </c>
      <c r="H43" s="1962">
        <v>133.9764715244697</v>
      </c>
      <c r="I43" s="1962">
        <v>95.20983742949727</v>
      </c>
    </row>
    <row r="44" spans="1:146" ht="12.75" hidden="1" outlineLevel="2" x14ac:dyDescent="0.2">
      <c r="A44" s="1961" t="s">
        <v>1875</v>
      </c>
      <c r="B44" s="1961" t="s">
        <v>1876</v>
      </c>
      <c r="C44" s="1961" t="s">
        <v>1891</v>
      </c>
      <c r="D44" s="1961" t="s">
        <v>1878</v>
      </c>
      <c r="E44" s="1961" t="s">
        <v>1567</v>
      </c>
      <c r="F44" s="1962">
        <v>69.851780000000005</v>
      </c>
      <c r="G44" s="1962">
        <v>18.925566095558054</v>
      </c>
      <c r="H44" s="1962">
        <v>5.3212449629123055</v>
      </c>
      <c r="I44" s="1962">
        <v>3.7815212035113133</v>
      </c>
    </row>
    <row r="45" spans="1:146" ht="12.75" hidden="1" outlineLevel="2" x14ac:dyDescent="0.2">
      <c r="A45" s="1961" t="s">
        <v>1875</v>
      </c>
      <c r="B45" s="1961" t="s">
        <v>1876</v>
      </c>
      <c r="C45" s="1961" t="s">
        <v>1891</v>
      </c>
      <c r="D45" s="1961" t="s">
        <v>1878</v>
      </c>
      <c r="E45" s="1961" t="s">
        <v>1568</v>
      </c>
      <c r="F45" s="1962">
        <v>40.0959</v>
      </c>
      <c r="G45" s="1962">
        <v>10.863539992980654</v>
      </c>
      <c r="H45" s="1962">
        <v>3.0544691331908149</v>
      </c>
      <c r="I45" s="1962">
        <v>2.170646131335082</v>
      </c>
    </row>
    <row r="46" spans="1:146" ht="12.75" hidden="1" outlineLevel="2" x14ac:dyDescent="0.2">
      <c r="A46" s="1961" t="s">
        <v>1875</v>
      </c>
      <c r="B46" s="1961" t="s">
        <v>1876</v>
      </c>
      <c r="C46" s="1961" t="s">
        <v>1892</v>
      </c>
      <c r="D46" s="1961" t="s">
        <v>1893</v>
      </c>
      <c r="E46" s="1961" t="s">
        <v>1567</v>
      </c>
      <c r="F46" s="1962">
        <v>0.42370000000000002</v>
      </c>
      <c r="G46" s="1962">
        <v>0.11479682199491477</v>
      </c>
      <c r="H46" s="1962">
        <v>3.2277079994038005E-2</v>
      </c>
      <c r="I46" s="1962">
        <v>2.2937576306970894E-2</v>
      </c>
    </row>
    <row r="47" spans="1:146" ht="12.75" hidden="1" outlineLevel="2" x14ac:dyDescent="0.2">
      <c r="A47" s="1961" t="s">
        <v>1875</v>
      </c>
      <c r="B47" s="1961" t="s">
        <v>1876</v>
      </c>
      <c r="C47" s="1961" t="s">
        <v>1892</v>
      </c>
      <c r="D47" s="1961" t="s">
        <v>1893</v>
      </c>
      <c r="E47" s="1961" t="s">
        <v>1568</v>
      </c>
      <c r="F47" s="1962">
        <v>1.66276</v>
      </c>
      <c r="G47" s="1962">
        <v>0.45050640486255478</v>
      </c>
      <c r="H47" s="1962">
        <v>0.12666754196574612</v>
      </c>
      <c r="I47" s="1962">
        <v>9.0015776210004533E-2</v>
      </c>
    </row>
    <row r="48" spans="1:146" ht="12.75" hidden="1" outlineLevel="2" x14ac:dyDescent="0.2">
      <c r="A48" s="1961" t="s">
        <v>1875</v>
      </c>
      <c r="B48" s="1961" t="s">
        <v>1876</v>
      </c>
      <c r="C48" s="1961" t="s">
        <v>1894</v>
      </c>
      <c r="D48" s="1961" t="s">
        <v>1895</v>
      </c>
      <c r="E48" s="1961" t="s">
        <v>1567</v>
      </c>
      <c r="F48" s="1962">
        <v>3.9969600000000001</v>
      </c>
      <c r="G48" s="1962">
        <v>1.0829320406924401</v>
      </c>
      <c r="H48" s="1962">
        <v>0.30448477142546643</v>
      </c>
      <c r="I48" s="1962">
        <v>0.216380870889569</v>
      </c>
    </row>
    <row r="49" spans="1:9" ht="12.75" hidden="1" outlineLevel="2" x14ac:dyDescent="0.2">
      <c r="A49" s="1961" t="s">
        <v>1875</v>
      </c>
      <c r="B49" s="1961" t="s">
        <v>1876</v>
      </c>
      <c r="C49" s="1961" t="s">
        <v>1894</v>
      </c>
      <c r="D49" s="1961" t="s">
        <v>1895</v>
      </c>
      <c r="E49" s="1961" t="s">
        <v>1568</v>
      </c>
      <c r="F49" s="1962">
        <v>2.6601499999999998</v>
      </c>
      <c r="G49" s="1962">
        <v>0.72073817802636886</v>
      </c>
      <c r="H49" s="1962">
        <v>0.20264780350752934</v>
      </c>
      <c r="I49" s="1962">
        <v>0.14401084166388628</v>
      </c>
    </row>
    <row r="50" spans="1:9" ht="12.75" hidden="1" outlineLevel="2" x14ac:dyDescent="0.2">
      <c r="A50" s="1961" t="s">
        <v>1875</v>
      </c>
      <c r="B50" s="1961" t="s">
        <v>1876</v>
      </c>
      <c r="C50" s="1961" t="s">
        <v>1896</v>
      </c>
      <c r="D50" s="1961" t="s">
        <v>1897</v>
      </c>
      <c r="E50" s="1961" t="s">
        <v>1567</v>
      </c>
      <c r="F50" s="1962">
        <v>2.4370099999999999</v>
      </c>
      <c r="G50" s="1962">
        <v>0.66028086657971963</v>
      </c>
      <c r="H50" s="1962">
        <v>0.18564920159610704</v>
      </c>
      <c r="I50" s="1962">
        <v>0.13193085399068005</v>
      </c>
    </row>
    <row r="51" spans="1:9" ht="12.75" hidden="1" outlineLevel="2" x14ac:dyDescent="0.2">
      <c r="A51" s="1961" t="s">
        <v>1875</v>
      </c>
      <c r="B51" s="1961" t="s">
        <v>1876</v>
      </c>
      <c r="C51" s="1961" t="s">
        <v>1898</v>
      </c>
      <c r="D51" s="1961" t="s">
        <v>1899</v>
      </c>
      <c r="E51" s="1961" t="s">
        <v>1568</v>
      </c>
      <c r="F51" s="1962">
        <v>318.46814999999998</v>
      </c>
      <c r="G51" s="1962">
        <v>86.285417811186718</v>
      </c>
      <c r="H51" s="1962">
        <v>24.260613531043884</v>
      </c>
      <c r="I51" s="1962">
        <v>17.240706849242802</v>
      </c>
    </row>
    <row r="52" spans="1:9" ht="12.75" hidden="1" outlineLevel="2" x14ac:dyDescent="0.2">
      <c r="A52" s="1961" t="s">
        <v>1875</v>
      </c>
      <c r="B52" s="1961" t="s">
        <v>1876</v>
      </c>
      <c r="C52" s="1961" t="s">
        <v>1900</v>
      </c>
      <c r="D52" s="1961" t="s">
        <v>1901</v>
      </c>
      <c r="E52" s="1961" t="s">
        <v>1567</v>
      </c>
      <c r="F52" s="1962">
        <v>1939.73163</v>
      </c>
      <c r="G52" s="1962">
        <v>525.54880020537132</v>
      </c>
      <c r="H52" s="1962">
        <v>147.76698840801444</v>
      </c>
      <c r="I52" s="1962">
        <v>105.01001245732837</v>
      </c>
    </row>
    <row r="53" spans="1:9" ht="12.75" hidden="1" outlineLevel="2" x14ac:dyDescent="0.2">
      <c r="A53" s="1961" t="s">
        <v>1875</v>
      </c>
      <c r="B53" s="1961" t="s">
        <v>1876</v>
      </c>
      <c r="C53" s="1961" t="s">
        <v>1900</v>
      </c>
      <c r="D53" s="1961" t="s">
        <v>1901</v>
      </c>
      <c r="E53" s="1961" t="s">
        <v>1568</v>
      </c>
      <c r="F53" s="1962">
        <v>432.09782000000001</v>
      </c>
      <c r="G53" s="1962">
        <v>117.07211830760141</v>
      </c>
      <c r="H53" s="1962">
        <v>32.916818270921489</v>
      </c>
      <c r="I53" s="1962">
        <v>23.392203725102135</v>
      </c>
    </row>
    <row r="54" spans="1:9" ht="12.75" hidden="1" outlineLevel="2" x14ac:dyDescent="0.2">
      <c r="A54" s="1961" t="s">
        <v>1875</v>
      </c>
      <c r="B54" s="1961" t="s">
        <v>1876</v>
      </c>
      <c r="C54" s="1961" t="s">
        <v>1902</v>
      </c>
      <c r="D54" s="1961" t="s">
        <v>1903</v>
      </c>
      <c r="E54" s="1961" t="s">
        <v>1567</v>
      </c>
      <c r="F54" s="1962">
        <v>3691.1775600000001</v>
      </c>
      <c r="G54" s="1962">
        <v>1000.0836754943209</v>
      </c>
      <c r="H54" s="1962">
        <v>281.19054372508378</v>
      </c>
      <c r="I54" s="1962">
        <v>199.82692222109662</v>
      </c>
    </row>
    <row r="55" spans="1:9" ht="12.75" hidden="1" outlineLevel="2" x14ac:dyDescent="0.2">
      <c r="A55" s="1961" t="s">
        <v>1875</v>
      </c>
      <c r="B55" s="1961" t="s">
        <v>1876</v>
      </c>
      <c r="C55" s="1961" t="s">
        <v>1902</v>
      </c>
      <c r="D55" s="1961" t="s">
        <v>1903</v>
      </c>
      <c r="E55" s="1961" t="s">
        <v>1568</v>
      </c>
      <c r="F55" s="1962">
        <v>31.8596</v>
      </c>
      <c r="G55" s="1962">
        <v>8.6320057352588773</v>
      </c>
      <c r="H55" s="1962">
        <v>2.427035302756793</v>
      </c>
      <c r="I55" s="1962">
        <v>1.7247628182902286</v>
      </c>
    </row>
    <row r="56" spans="1:9" ht="12.75" hidden="1" outlineLevel="2" x14ac:dyDescent="0.2">
      <c r="A56" s="1961" t="s">
        <v>1875</v>
      </c>
      <c r="B56" s="1961" t="s">
        <v>1876</v>
      </c>
      <c r="C56" s="1961" t="s">
        <v>1904</v>
      </c>
      <c r="D56" s="1961" t="s">
        <v>1905</v>
      </c>
      <c r="E56" s="1961" t="s">
        <v>1567</v>
      </c>
      <c r="F56" s="1962">
        <v>514.88576999999998</v>
      </c>
      <c r="G56" s="1962">
        <v>139.50259638046876</v>
      </c>
      <c r="H56" s="1962">
        <v>39.223528879116948</v>
      </c>
      <c r="I56" s="1962">
        <v>27.874042102309332</v>
      </c>
    </row>
    <row r="57" spans="1:9" ht="12.75" hidden="1" outlineLevel="2" x14ac:dyDescent="0.2">
      <c r="A57" s="1961" t="s">
        <v>1875</v>
      </c>
      <c r="B57" s="1961" t="s">
        <v>1876</v>
      </c>
      <c r="C57" s="1961" t="s">
        <v>1904</v>
      </c>
      <c r="D57" s="1961" t="s">
        <v>1905</v>
      </c>
      <c r="E57" s="1961" t="s">
        <v>1568</v>
      </c>
      <c r="F57" s="1962">
        <v>17.166640000000001</v>
      </c>
      <c r="G57" s="1962">
        <v>4.6511109660863434</v>
      </c>
      <c r="H57" s="1962">
        <v>1.3077389957726047</v>
      </c>
      <c r="I57" s="1962">
        <v>0.92933942632593536</v>
      </c>
    </row>
    <row r="58" spans="1:9" ht="12.75" hidden="1" outlineLevel="2" x14ac:dyDescent="0.2">
      <c r="A58" s="1961" t="s">
        <v>1875</v>
      </c>
      <c r="B58" s="1961" t="s">
        <v>1876</v>
      </c>
      <c r="C58" s="1961" t="s">
        <v>1906</v>
      </c>
      <c r="D58" s="1961" t="s">
        <v>1907</v>
      </c>
      <c r="E58" s="1961" t="s">
        <v>1567</v>
      </c>
      <c r="F58" s="1962">
        <v>151.94193000000001</v>
      </c>
      <c r="G58" s="1962">
        <v>41.166982987429314</v>
      </c>
      <c r="H58" s="1962">
        <v>11.574797802828707</v>
      </c>
      <c r="I58" s="1962">
        <v>8.2255832277635825</v>
      </c>
    </row>
    <row r="59" spans="1:9" ht="12.75" hidden="1" outlineLevel="2" x14ac:dyDescent="0.2">
      <c r="A59" s="1961" t="s">
        <v>1875</v>
      </c>
      <c r="B59" s="1961" t="s">
        <v>1876</v>
      </c>
      <c r="C59" s="1961" t="s">
        <v>1906</v>
      </c>
      <c r="D59" s="1961" t="s">
        <v>1907</v>
      </c>
      <c r="E59" s="1961" t="s">
        <v>1568</v>
      </c>
      <c r="F59" s="1962">
        <v>1166.6234400000001</v>
      </c>
      <c r="G59" s="1962">
        <v>316.08369926073902</v>
      </c>
      <c r="H59" s="1962">
        <v>88.872310823223501</v>
      </c>
      <c r="I59" s="1962">
        <v>63.156748115413926</v>
      </c>
    </row>
    <row r="60" spans="1:9" ht="12.75" hidden="1" outlineLevel="2" x14ac:dyDescent="0.2">
      <c r="A60" s="1961" t="s">
        <v>1875</v>
      </c>
      <c r="B60" s="1961" t="s">
        <v>1876</v>
      </c>
      <c r="C60" s="1961" t="s">
        <v>1908</v>
      </c>
      <c r="D60" s="1961" t="s">
        <v>1909</v>
      </c>
      <c r="E60" s="1961" t="s">
        <v>1567</v>
      </c>
      <c r="F60" s="1962">
        <v>10892.28219</v>
      </c>
      <c r="G60" s="1962">
        <v>2951.1432137923302</v>
      </c>
      <c r="H60" s="1962">
        <v>829.76413397277656</v>
      </c>
      <c r="I60" s="1962">
        <v>589.66852464051226</v>
      </c>
    </row>
    <row r="61" spans="1:9" ht="12.75" hidden="1" outlineLevel="2" x14ac:dyDescent="0.2">
      <c r="A61" s="1961" t="s">
        <v>1875</v>
      </c>
      <c r="B61" s="1961" t="s">
        <v>1876</v>
      </c>
      <c r="C61" s="1961" t="s">
        <v>1908</v>
      </c>
      <c r="D61" s="1961" t="s">
        <v>1909</v>
      </c>
      <c r="E61" s="1961" t="s">
        <v>1568</v>
      </c>
      <c r="F61" s="1962">
        <v>4142.8768600000003</v>
      </c>
      <c r="G61" s="1962">
        <v>1122.4665976971239</v>
      </c>
      <c r="H61" s="1962">
        <v>315.60058488475096</v>
      </c>
      <c r="I61" s="1962">
        <v>224.28027875061122</v>
      </c>
    </row>
    <row r="62" spans="1:9" ht="12.75" hidden="1" outlineLevel="2" x14ac:dyDescent="0.2">
      <c r="A62" s="1961" t="s">
        <v>1875</v>
      </c>
      <c r="B62" s="1961" t="s">
        <v>1876</v>
      </c>
      <c r="C62" s="1961" t="s">
        <v>1910</v>
      </c>
      <c r="D62" s="1961" t="s">
        <v>1911</v>
      </c>
      <c r="E62" s="1961" t="s">
        <v>1567</v>
      </c>
      <c r="F62" s="1962">
        <v>521.64640999999995</v>
      </c>
      <c r="G62" s="1962">
        <v>141.33431690596251</v>
      </c>
      <c r="H62" s="1962">
        <v>39.738548275130384</v>
      </c>
      <c r="I62" s="1962">
        <v>28.240038552354079</v>
      </c>
    </row>
    <row r="63" spans="1:9" ht="12.75" hidden="1" outlineLevel="2" x14ac:dyDescent="0.2">
      <c r="A63" s="1961" t="s">
        <v>1875</v>
      </c>
      <c r="B63" s="1961" t="s">
        <v>1876</v>
      </c>
      <c r="C63" s="1961" t="s">
        <v>1910</v>
      </c>
      <c r="D63" s="1961" t="s">
        <v>1911</v>
      </c>
      <c r="E63" s="1961" t="s">
        <v>1568</v>
      </c>
      <c r="F63" s="1962">
        <v>16.882239999999999</v>
      </c>
      <c r="G63" s="1962">
        <v>4.5740559361704731</v>
      </c>
      <c r="H63" s="1962">
        <v>1.2860736628712488</v>
      </c>
      <c r="I63" s="1962">
        <v>0.91394304515599778</v>
      </c>
    </row>
    <row r="64" spans="1:9" ht="12.75" hidden="1" outlineLevel="2" x14ac:dyDescent="0.2">
      <c r="A64" s="1961" t="s">
        <v>1875</v>
      </c>
      <c r="B64" s="1961" t="s">
        <v>1876</v>
      </c>
      <c r="C64" s="1961" t="s">
        <v>1912</v>
      </c>
      <c r="D64" s="1961" t="s">
        <v>1913</v>
      </c>
      <c r="E64" s="1961" t="s">
        <v>1567</v>
      </c>
      <c r="F64" s="1962">
        <v>3.57009</v>
      </c>
      <c r="G64" s="1962">
        <v>0.96727634230782444</v>
      </c>
      <c r="H64" s="1962">
        <v>0.2719662037194126</v>
      </c>
      <c r="I64" s="1962">
        <v>0.19327168231709632</v>
      </c>
    </row>
    <row r="65" spans="1:9" ht="12.75" hidden="1" outlineLevel="2" x14ac:dyDescent="0.2">
      <c r="A65" s="1961" t="s">
        <v>1875</v>
      </c>
      <c r="B65" s="1961" t="s">
        <v>1876</v>
      </c>
      <c r="C65" s="1961" t="s">
        <v>1912</v>
      </c>
      <c r="D65" s="1961" t="s">
        <v>1913</v>
      </c>
      <c r="E65" s="1961" t="s">
        <v>1568</v>
      </c>
      <c r="F65" s="1962">
        <v>0.54579</v>
      </c>
      <c r="G65" s="1962">
        <v>0.14787575519614002</v>
      </c>
      <c r="H65" s="1962">
        <v>4.1577784965650226E-2</v>
      </c>
      <c r="I65" s="1962">
        <v>2.9547084665049902E-2</v>
      </c>
    </row>
    <row r="66" spans="1:9" ht="12.75" hidden="1" outlineLevel="2" x14ac:dyDescent="0.2">
      <c r="A66" s="1961" t="s">
        <v>1875</v>
      </c>
      <c r="B66" s="1961" t="s">
        <v>1876</v>
      </c>
      <c r="C66" s="1961" t="s">
        <v>1914</v>
      </c>
      <c r="D66" s="1961" t="s">
        <v>1915</v>
      </c>
      <c r="E66" s="1961" t="s">
        <v>1567</v>
      </c>
      <c r="F66" s="1962">
        <v>2040.5799</v>
      </c>
      <c r="G66" s="1962">
        <v>552.87252194170628</v>
      </c>
      <c r="H66" s="1962">
        <v>155.44951774020785</v>
      </c>
      <c r="I66" s="1962">
        <v>110.46957084427905</v>
      </c>
    </row>
    <row r="67" spans="1:9" ht="12.75" hidden="1" outlineLevel="2" x14ac:dyDescent="0.2">
      <c r="A67" s="1961" t="s">
        <v>1875</v>
      </c>
      <c r="B67" s="1961" t="s">
        <v>1876</v>
      </c>
      <c r="C67" s="1961" t="s">
        <v>1914</v>
      </c>
      <c r="D67" s="1961" t="s">
        <v>1915</v>
      </c>
      <c r="E67" s="1961" t="s">
        <v>1568</v>
      </c>
      <c r="F67" s="1962">
        <v>1966.94526</v>
      </c>
      <c r="G67" s="1962">
        <v>532.92203182903313</v>
      </c>
      <c r="H67" s="1962">
        <v>149.84009794881726</v>
      </c>
      <c r="I67" s="1962">
        <v>106.48325936484471</v>
      </c>
    </row>
    <row r="68" spans="1:9" ht="12.75" hidden="1" outlineLevel="2" x14ac:dyDescent="0.2">
      <c r="A68" s="1961" t="s">
        <v>1875</v>
      </c>
      <c r="B68" s="1961" t="s">
        <v>1876</v>
      </c>
      <c r="C68" s="1961" t="s">
        <v>1916</v>
      </c>
      <c r="D68" s="1961" t="s">
        <v>1886</v>
      </c>
      <c r="E68" s="1961" t="s">
        <v>1567</v>
      </c>
      <c r="F68" s="1962">
        <v>1867.8948600000001</v>
      </c>
      <c r="G68" s="1962">
        <v>506.08542305554931</v>
      </c>
      <c r="H68" s="1962">
        <v>142.29452871529955</v>
      </c>
      <c r="I68" s="1962">
        <v>101.12103111788699</v>
      </c>
    </row>
    <row r="69" spans="1:9" ht="12.75" hidden="1" outlineLevel="2" x14ac:dyDescent="0.2">
      <c r="A69" s="1961" t="s">
        <v>1875</v>
      </c>
      <c r="B69" s="1961" t="s">
        <v>1876</v>
      </c>
      <c r="C69" s="1961" t="s">
        <v>1916</v>
      </c>
      <c r="D69" s="1961" t="s">
        <v>1886</v>
      </c>
      <c r="E69" s="1961" t="s">
        <v>1568</v>
      </c>
      <c r="F69" s="1962">
        <v>594.18281999999999</v>
      </c>
      <c r="G69" s="1962">
        <v>160.98725376440046</v>
      </c>
      <c r="H69" s="1962">
        <v>45.264305905648058</v>
      </c>
      <c r="I69" s="1962">
        <v>32.166895855655298</v>
      </c>
    </row>
    <row r="70" spans="1:9" ht="12.75" hidden="1" outlineLevel="2" x14ac:dyDescent="0.2">
      <c r="A70" s="1961" t="s">
        <v>1875</v>
      </c>
      <c r="B70" s="1961" t="s">
        <v>1876</v>
      </c>
      <c r="C70" s="1961" t="s">
        <v>1917</v>
      </c>
      <c r="D70" s="1961" t="s">
        <v>1918</v>
      </c>
      <c r="E70" s="1961" t="s">
        <v>1567</v>
      </c>
      <c r="F70" s="1962">
        <v>34.15531</v>
      </c>
      <c r="G70" s="1962">
        <v>9.2540029319120407</v>
      </c>
      <c r="H70" s="1962">
        <v>2.6019203990822897</v>
      </c>
      <c r="I70" s="1962">
        <v>1.8490442044211612</v>
      </c>
    </row>
    <row r="71" spans="1:9" ht="12.75" hidden="1" outlineLevel="2" x14ac:dyDescent="0.2">
      <c r="A71" s="1961" t="s">
        <v>1875</v>
      </c>
      <c r="B71" s="1961" t="s">
        <v>1876</v>
      </c>
      <c r="C71" s="1961" t="s">
        <v>1917</v>
      </c>
      <c r="D71" s="1961" t="s">
        <v>1918</v>
      </c>
      <c r="E71" s="1961" t="s">
        <v>1568</v>
      </c>
      <c r="F71" s="1962">
        <v>5.1849499999999997</v>
      </c>
      <c r="G71" s="1962">
        <v>1.4048047727225235</v>
      </c>
      <c r="H71" s="1962">
        <v>0.39498476732378413</v>
      </c>
      <c r="I71" s="1962">
        <v>0.28069432681809942</v>
      </c>
    </row>
    <row r="72" spans="1:9" ht="12.75" hidden="1" outlineLevel="2" x14ac:dyDescent="0.2">
      <c r="A72" s="1961" t="s">
        <v>1875</v>
      </c>
      <c r="B72" s="1961" t="s">
        <v>1876</v>
      </c>
      <c r="C72" s="1961" t="s">
        <v>1919</v>
      </c>
      <c r="D72" s="1961" t="s">
        <v>1920</v>
      </c>
      <c r="E72" s="1961" t="s">
        <v>1568</v>
      </c>
      <c r="F72" s="1962">
        <v>6.4300899999999999</v>
      </c>
      <c r="G72" s="1962">
        <v>1.7421616642465929</v>
      </c>
      <c r="H72" s="1962">
        <v>0.48983839815639324</v>
      </c>
      <c r="I72" s="1962">
        <v>0.3481016757981838</v>
      </c>
    </row>
    <row r="73" spans="1:9" ht="12.75" hidden="1" outlineLevel="2" x14ac:dyDescent="0.2">
      <c r="A73" s="1961" t="s">
        <v>1875</v>
      </c>
      <c r="B73" s="1961" t="s">
        <v>1876</v>
      </c>
      <c r="C73" s="1961" t="s">
        <v>1921</v>
      </c>
      <c r="D73" s="1961" t="s">
        <v>1922</v>
      </c>
      <c r="E73" s="1961" t="s">
        <v>1567</v>
      </c>
      <c r="F73" s="1962">
        <v>53.022930000000002</v>
      </c>
      <c r="G73" s="1962">
        <v>14.365975588526849</v>
      </c>
      <c r="H73" s="1962">
        <v>4.0392385016008436</v>
      </c>
      <c r="I73" s="1962">
        <v>2.8704684986881666</v>
      </c>
    </row>
    <row r="74" spans="1:9" ht="12.75" hidden="1" outlineLevel="2" x14ac:dyDescent="0.2">
      <c r="A74" s="1961" t="s">
        <v>1875</v>
      </c>
      <c r="B74" s="1961" t="s">
        <v>1876</v>
      </c>
      <c r="C74" s="1961" t="s">
        <v>1923</v>
      </c>
      <c r="D74" s="1961" t="s">
        <v>1924</v>
      </c>
      <c r="E74" s="1961" t="s">
        <v>1567</v>
      </c>
      <c r="F74" s="1962">
        <v>629.37932999999998</v>
      </c>
      <c r="G74" s="1962">
        <v>170.52335830372601</v>
      </c>
      <c r="H74" s="1962">
        <v>47.945543972159641</v>
      </c>
      <c r="I74" s="1962">
        <v>34.072306839521396</v>
      </c>
    </row>
    <row r="75" spans="1:9" ht="12.75" hidden="1" outlineLevel="2" x14ac:dyDescent="0.2">
      <c r="A75" s="1961" t="s">
        <v>1875</v>
      </c>
      <c r="B75" s="1961" t="s">
        <v>1876</v>
      </c>
      <c r="C75" s="1961" t="s">
        <v>1923</v>
      </c>
      <c r="D75" s="1961" t="s">
        <v>1924</v>
      </c>
      <c r="E75" s="1961" t="s">
        <v>1568</v>
      </c>
      <c r="F75" s="1962">
        <v>188.38189</v>
      </c>
      <c r="G75" s="1962">
        <v>51.039986531497789</v>
      </c>
      <c r="H75" s="1962">
        <v>14.35076075751255</v>
      </c>
      <c r="I75" s="1962">
        <v>10.198310070159067</v>
      </c>
    </row>
    <row r="76" spans="1:9" ht="12.75" hidden="1" outlineLevel="2" x14ac:dyDescent="0.2">
      <c r="A76" s="1961" t="s">
        <v>1875</v>
      </c>
      <c r="B76" s="1961" t="s">
        <v>1876</v>
      </c>
      <c r="C76" s="1961" t="s">
        <v>1925</v>
      </c>
      <c r="D76" s="1961" t="s">
        <v>1878</v>
      </c>
      <c r="E76" s="1961" t="s">
        <v>1083</v>
      </c>
      <c r="F76" s="1962">
        <v>190.16347999999999</v>
      </c>
      <c r="G76" s="1962">
        <v>51.522688608670123</v>
      </c>
      <c r="H76" s="1962">
        <v>14.486480660619886</v>
      </c>
      <c r="I76" s="1962">
        <v>10.294758870189128</v>
      </c>
    </row>
    <row r="77" spans="1:9" ht="12.75" hidden="1" outlineLevel="2" x14ac:dyDescent="0.2">
      <c r="A77" s="1961" t="s">
        <v>1875</v>
      </c>
      <c r="B77" s="1961" t="s">
        <v>1876</v>
      </c>
      <c r="C77" s="1961" t="s">
        <v>1926</v>
      </c>
      <c r="D77" s="1961" t="s">
        <v>1927</v>
      </c>
      <c r="E77" s="1961" t="s">
        <v>912</v>
      </c>
      <c r="F77" s="1962">
        <v>0.15811</v>
      </c>
      <c r="G77" s="1962">
        <v>0.15811</v>
      </c>
      <c r="H77" s="1962">
        <v>0</v>
      </c>
      <c r="I77" s="1962">
        <v>0</v>
      </c>
    </row>
    <row r="78" spans="1:9" ht="12.75" hidden="1" outlineLevel="2" x14ac:dyDescent="0.2">
      <c r="A78" s="1961" t="s">
        <v>1875</v>
      </c>
      <c r="B78" s="1961" t="s">
        <v>1876</v>
      </c>
      <c r="C78" s="1961" t="s">
        <v>1926</v>
      </c>
      <c r="D78" s="1961" t="s">
        <v>1927</v>
      </c>
      <c r="E78" s="1961" t="s">
        <v>1083</v>
      </c>
      <c r="F78" s="1962">
        <v>7682.6596200000004</v>
      </c>
      <c r="G78" s="1962">
        <v>2081.5315290173694</v>
      </c>
      <c r="H78" s="1962">
        <v>585.25801067195096</v>
      </c>
      <c r="I78" s="1962">
        <v>415.91123737133353</v>
      </c>
    </row>
    <row r="79" spans="1:9" ht="12.75" hidden="1" outlineLevel="2" x14ac:dyDescent="0.2">
      <c r="A79" s="1961" t="s">
        <v>1875</v>
      </c>
      <c r="B79" s="1961" t="s">
        <v>1876</v>
      </c>
      <c r="C79" s="1961" t="s">
        <v>1926</v>
      </c>
      <c r="D79" s="1961" t="s">
        <v>1927</v>
      </c>
      <c r="E79" s="1961" t="s">
        <v>920</v>
      </c>
      <c r="F79" s="1962">
        <v>2.9251900000000002</v>
      </c>
      <c r="G79" s="1962">
        <v>0</v>
      </c>
      <c r="H79" s="1962">
        <v>0</v>
      </c>
      <c r="I79" s="1962">
        <v>0</v>
      </c>
    </row>
    <row r="80" spans="1:9" ht="12.75" hidden="1" outlineLevel="2" x14ac:dyDescent="0.2">
      <c r="A80" s="1961" t="s">
        <v>1875</v>
      </c>
      <c r="B80" s="1961" t="s">
        <v>1876</v>
      </c>
      <c r="C80" s="1961" t="s">
        <v>1928</v>
      </c>
      <c r="D80" s="1961" t="s">
        <v>1929</v>
      </c>
      <c r="E80" s="1961" t="s">
        <v>1083</v>
      </c>
      <c r="F80" s="1962">
        <v>540.76845000000003</v>
      </c>
      <c r="G80" s="1962">
        <v>146.51522184355903</v>
      </c>
      <c r="H80" s="1962">
        <v>41.195247861463159</v>
      </c>
      <c r="I80" s="1962">
        <v>29.275236219677542</v>
      </c>
    </row>
    <row r="81" spans="1:9" ht="12.75" hidden="1" outlineLevel="2" x14ac:dyDescent="0.2">
      <c r="A81" s="1961" t="s">
        <v>1875</v>
      </c>
      <c r="B81" s="1961" t="s">
        <v>1876</v>
      </c>
      <c r="C81" s="1961" t="s">
        <v>1930</v>
      </c>
      <c r="D81" s="1961" t="s">
        <v>1931</v>
      </c>
      <c r="E81" s="1961" t="s">
        <v>1083</v>
      </c>
      <c r="F81" s="1962">
        <v>170925.10339</v>
      </c>
      <c r="G81" s="1962">
        <v>46310.263555166937</v>
      </c>
      <c r="H81" s="1962">
        <v>13020.918657324159</v>
      </c>
      <c r="I81" s="1962">
        <v>9253.263162107658</v>
      </c>
    </row>
    <row r="82" spans="1:9" ht="12.75" hidden="1" outlineLevel="2" x14ac:dyDescent="0.2">
      <c r="A82" s="1961" t="s">
        <v>1875</v>
      </c>
      <c r="B82" s="1961" t="s">
        <v>1876</v>
      </c>
      <c r="C82" s="1961" t="s">
        <v>1932</v>
      </c>
      <c r="D82" s="1961" t="s">
        <v>1933</v>
      </c>
      <c r="E82" s="1961" t="s">
        <v>1083</v>
      </c>
      <c r="F82" s="1962">
        <v>22490.889749999998</v>
      </c>
      <c r="G82" s="1962">
        <v>6093.6574631531812</v>
      </c>
      <c r="H82" s="1962">
        <v>1713.3354911442987</v>
      </c>
      <c r="I82" s="1962">
        <v>1217.5749347469778</v>
      </c>
    </row>
    <row r="83" spans="1:9" ht="12.75" hidden="1" outlineLevel="2" x14ac:dyDescent="0.2">
      <c r="A83" s="1961" t="s">
        <v>1875</v>
      </c>
      <c r="B83" s="1961" t="s">
        <v>1876</v>
      </c>
      <c r="C83" s="1961" t="s">
        <v>1932</v>
      </c>
      <c r="D83" s="1961" t="s">
        <v>1933</v>
      </c>
      <c r="E83" s="1961" t="s">
        <v>920</v>
      </c>
      <c r="F83" s="1962">
        <v>13.246270000000001</v>
      </c>
      <c r="G83" s="1962">
        <v>0</v>
      </c>
      <c r="H83" s="1962">
        <v>0</v>
      </c>
      <c r="I83" s="1962">
        <v>0</v>
      </c>
    </row>
    <row r="84" spans="1:9" ht="12.75" hidden="1" outlineLevel="2" x14ac:dyDescent="0.2">
      <c r="A84" s="1961" t="s">
        <v>1875</v>
      </c>
      <c r="B84" s="1961" t="s">
        <v>1876</v>
      </c>
      <c r="C84" s="1961" t="s">
        <v>1934</v>
      </c>
      <c r="D84" s="1961" t="s">
        <v>1886</v>
      </c>
      <c r="E84" s="1961" t="s">
        <v>1083</v>
      </c>
      <c r="F84" s="1962">
        <v>13952.49864</v>
      </c>
      <c r="G84" s="1962">
        <v>3780.2749652121083</v>
      </c>
      <c r="H84" s="1962">
        <v>1062.8886351663593</v>
      </c>
      <c r="I84" s="1962">
        <v>755.3375082084201</v>
      </c>
    </row>
    <row r="85" spans="1:9" ht="12.75" hidden="1" outlineLevel="2" x14ac:dyDescent="0.2">
      <c r="A85" s="1961" t="s">
        <v>1875</v>
      </c>
      <c r="B85" s="1961" t="s">
        <v>1876</v>
      </c>
      <c r="C85" s="1961" t="s">
        <v>1934</v>
      </c>
      <c r="D85" s="1961" t="s">
        <v>1886</v>
      </c>
      <c r="E85" s="1961" t="s">
        <v>920</v>
      </c>
      <c r="F85" s="1962">
        <v>3.7275</v>
      </c>
      <c r="G85" s="1962">
        <v>0</v>
      </c>
      <c r="H85" s="1962">
        <v>0</v>
      </c>
      <c r="I85" s="1962">
        <v>0</v>
      </c>
    </row>
    <row r="86" spans="1:9" ht="12.75" hidden="1" outlineLevel="2" x14ac:dyDescent="0.2">
      <c r="A86" s="1961" t="s">
        <v>1875</v>
      </c>
      <c r="B86" s="1961" t="s">
        <v>1876</v>
      </c>
      <c r="C86" s="1961" t="s">
        <v>1935</v>
      </c>
      <c r="D86" s="1961" t="s">
        <v>1936</v>
      </c>
      <c r="E86" s="1961" t="s">
        <v>1083</v>
      </c>
      <c r="F86" s="1962">
        <v>758.92701999999997</v>
      </c>
      <c r="G86" s="1962">
        <v>205.62287000724831</v>
      </c>
      <c r="H86" s="1962">
        <v>57.814368973747648</v>
      </c>
      <c r="I86" s="1962">
        <v>41.085547398329062</v>
      </c>
    </row>
    <row r="87" spans="1:9" ht="12.75" hidden="1" outlineLevel="2" x14ac:dyDescent="0.2">
      <c r="A87" s="1961" t="s">
        <v>1875</v>
      </c>
      <c r="B87" s="1961" t="s">
        <v>1876</v>
      </c>
      <c r="C87" s="1961" t="s">
        <v>1937</v>
      </c>
      <c r="D87" s="1961" t="s">
        <v>1878</v>
      </c>
      <c r="E87" s="1961" t="s">
        <v>1083</v>
      </c>
      <c r="F87" s="1962">
        <v>2993.4642399999998</v>
      </c>
      <c r="G87" s="1962">
        <v>811.04597948412265</v>
      </c>
      <c r="H87" s="1962">
        <v>228.03937864945047</v>
      </c>
      <c r="I87" s="1962">
        <v>162.05526180596797</v>
      </c>
    </row>
    <row r="88" spans="1:9" ht="12.75" hidden="1" outlineLevel="2" x14ac:dyDescent="0.2">
      <c r="A88" s="1961" t="s">
        <v>1875</v>
      </c>
      <c r="B88" s="1961" t="s">
        <v>1876</v>
      </c>
      <c r="C88" s="1961" t="s">
        <v>1938</v>
      </c>
      <c r="D88" s="1961" t="s">
        <v>1927</v>
      </c>
      <c r="E88" s="1961" t="s">
        <v>1083</v>
      </c>
      <c r="F88" s="1962">
        <v>5226.5250100000003</v>
      </c>
      <c r="G88" s="1962">
        <v>1416.0690611870193</v>
      </c>
      <c r="H88" s="1962">
        <v>398.15191370925248</v>
      </c>
      <c r="I88" s="1962">
        <v>282.94504658288133</v>
      </c>
    </row>
    <row r="89" spans="1:9" ht="12.75" hidden="1" outlineLevel="2" x14ac:dyDescent="0.2">
      <c r="A89" s="1961" t="s">
        <v>1875</v>
      </c>
      <c r="B89" s="1961" t="s">
        <v>1876</v>
      </c>
      <c r="C89" s="1961" t="s">
        <v>1939</v>
      </c>
      <c r="D89" s="1961" t="s">
        <v>1940</v>
      </c>
      <c r="E89" s="1961" t="s">
        <v>1083</v>
      </c>
      <c r="F89" s="1962">
        <v>44758.267540000001</v>
      </c>
      <c r="G89" s="1962">
        <v>12126.756836417633</v>
      </c>
      <c r="H89" s="1962">
        <v>3409.644044803244</v>
      </c>
      <c r="I89" s="1962">
        <v>2423.0497452597792</v>
      </c>
    </row>
    <row r="90" spans="1:9" ht="12.75" hidden="1" outlineLevel="2" x14ac:dyDescent="0.2">
      <c r="A90" s="1961" t="s">
        <v>1875</v>
      </c>
      <c r="B90" s="1961" t="s">
        <v>1876</v>
      </c>
      <c r="C90" s="1961" t="s">
        <v>1941</v>
      </c>
      <c r="D90" s="1961" t="s">
        <v>1942</v>
      </c>
      <c r="E90" s="1961" t="s">
        <v>1083</v>
      </c>
      <c r="F90" s="1962">
        <v>3226.1353800000002</v>
      </c>
      <c r="G90" s="1962">
        <v>874.08564774452839</v>
      </c>
      <c r="H90" s="1962">
        <v>245.76405412286098</v>
      </c>
      <c r="I90" s="1962">
        <v>174.65123071835862</v>
      </c>
    </row>
    <row r="91" spans="1:9" ht="12.75" hidden="1" outlineLevel="2" x14ac:dyDescent="0.2">
      <c r="A91" s="1961" t="s">
        <v>1875</v>
      </c>
      <c r="B91" s="1961" t="s">
        <v>1876</v>
      </c>
      <c r="C91" s="1961" t="s">
        <v>1943</v>
      </c>
      <c r="D91" s="1961" t="s">
        <v>1944</v>
      </c>
      <c r="E91" s="1961" t="s">
        <v>1083</v>
      </c>
      <c r="F91" s="1962">
        <v>466.82772999999997</v>
      </c>
      <c r="G91" s="1962">
        <v>126.48180274510297</v>
      </c>
      <c r="H91" s="1962">
        <v>35.562511174522477</v>
      </c>
      <c r="I91" s="1962">
        <v>25.272354682759037</v>
      </c>
    </row>
    <row r="92" spans="1:9" ht="12.75" hidden="1" outlineLevel="2" x14ac:dyDescent="0.2">
      <c r="A92" s="1961" t="s">
        <v>1875</v>
      </c>
      <c r="B92" s="1961" t="s">
        <v>1876</v>
      </c>
      <c r="C92" s="1961" t="s">
        <v>1945</v>
      </c>
      <c r="D92" s="1961" t="s">
        <v>1946</v>
      </c>
      <c r="E92" s="1961" t="s">
        <v>1083</v>
      </c>
      <c r="F92" s="1962">
        <v>21991.510020000002</v>
      </c>
      <c r="G92" s="1962">
        <v>5958.3560565620119</v>
      </c>
      <c r="H92" s="1962">
        <v>1675.2931982658208</v>
      </c>
      <c r="I92" s="1962">
        <v>1190.5403332293251</v>
      </c>
    </row>
    <row r="93" spans="1:9" ht="12.75" hidden="1" outlineLevel="2" x14ac:dyDescent="0.2">
      <c r="A93" s="1961" t="s">
        <v>1875</v>
      </c>
      <c r="B93" s="1961" t="s">
        <v>1876</v>
      </c>
      <c r="C93" s="1961" t="s">
        <v>1947</v>
      </c>
      <c r="D93" s="1961" t="s">
        <v>1948</v>
      </c>
      <c r="E93" s="1961" t="s">
        <v>1083</v>
      </c>
      <c r="F93" s="1962">
        <v>27578.076720000001</v>
      </c>
      <c r="G93" s="1962">
        <v>7471.9744257444954</v>
      </c>
      <c r="H93" s="1962">
        <v>2100.872759908325</v>
      </c>
      <c r="I93" s="1962">
        <v>1492.9767268456399</v>
      </c>
    </row>
    <row r="94" spans="1:9" ht="12.75" hidden="1" outlineLevel="2" x14ac:dyDescent="0.2">
      <c r="A94" s="1961" t="s">
        <v>1875</v>
      </c>
      <c r="B94" s="1961" t="s">
        <v>1876</v>
      </c>
      <c r="C94" s="1961" t="s">
        <v>1949</v>
      </c>
      <c r="D94" s="1961" t="s">
        <v>1950</v>
      </c>
      <c r="E94" s="1961" t="s">
        <v>1083</v>
      </c>
      <c r="F94" s="1962">
        <v>30382.15337</v>
      </c>
      <c r="G94" s="1962">
        <v>8231.7079354215002</v>
      </c>
      <c r="H94" s="1962">
        <v>2314.4847644904917</v>
      </c>
      <c r="I94" s="1962">
        <v>1644.779233642832</v>
      </c>
    </row>
    <row r="95" spans="1:9" ht="12.75" hidden="1" outlineLevel="2" x14ac:dyDescent="0.2">
      <c r="A95" s="1961" t="s">
        <v>1875</v>
      </c>
      <c r="B95" s="1961" t="s">
        <v>1876</v>
      </c>
      <c r="C95" s="1961" t="s">
        <v>1951</v>
      </c>
      <c r="D95" s="1961" t="s">
        <v>1952</v>
      </c>
      <c r="E95" s="1961" t="s">
        <v>1083</v>
      </c>
      <c r="F95" s="1962">
        <v>59.971829999999997</v>
      </c>
      <c r="G95" s="1962">
        <v>16.248703075806674</v>
      </c>
      <c r="H95" s="1962">
        <v>4.5685993729026384</v>
      </c>
      <c r="I95" s="1962">
        <v>3.2466566601219875</v>
      </c>
    </row>
    <row r="96" spans="1:9" ht="12.75" hidden="1" outlineLevel="2" x14ac:dyDescent="0.2">
      <c r="A96" s="1961" t="s">
        <v>1875</v>
      </c>
      <c r="B96" s="1961" t="s">
        <v>1876</v>
      </c>
      <c r="C96" s="1961" t="s">
        <v>1953</v>
      </c>
      <c r="D96" s="1961" t="s">
        <v>1954</v>
      </c>
      <c r="E96" s="1961" t="s">
        <v>1083</v>
      </c>
      <c r="F96" s="1962">
        <v>146.20803000000001</v>
      </c>
      <c r="G96" s="1962">
        <v>39.613446292511583</v>
      </c>
      <c r="H96" s="1962">
        <v>11.137994524618145</v>
      </c>
      <c r="I96" s="1962">
        <v>7.9151707453785454</v>
      </c>
    </row>
    <row r="97" spans="1:9" ht="12.75" hidden="1" outlineLevel="2" x14ac:dyDescent="0.2">
      <c r="A97" s="1961" t="s">
        <v>1875</v>
      </c>
      <c r="B97" s="1961" t="s">
        <v>1876</v>
      </c>
      <c r="C97" s="1961" t="s">
        <v>1955</v>
      </c>
      <c r="D97" s="1961" t="s">
        <v>1956</v>
      </c>
      <c r="E97" s="1961" t="s">
        <v>1083</v>
      </c>
      <c r="F97" s="1962">
        <v>146.91183000000001</v>
      </c>
      <c r="G97" s="1962">
        <v>39.80413310705022</v>
      </c>
      <c r="H97" s="1962">
        <v>11.191609367430994</v>
      </c>
      <c r="I97" s="1962">
        <v>7.9532719165016186</v>
      </c>
    </row>
    <row r="98" spans="1:9" ht="12.75" hidden="1" outlineLevel="2" x14ac:dyDescent="0.2">
      <c r="A98" s="1961" t="s">
        <v>1875</v>
      </c>
      <c r="B98" s="1961" t="s">
        <v>1876</v>
      </c>
      <c r="C98" s="1961" t="s">
        <v>1957</v>
      </c>
      <c r="D98" s="1961" t="s">
        <v>1878</v>
      </c>
      <c r="E98" s="1961" t="s">
        <v>918</v>
      </c>
      <c r="F98" s="1962">
        <v>13.063269999999999</v>
      </c>
      <c r="G98" s="1962">
        <v>0</v>
      </c>
      <c r="H98" s="1962">
        <v>0</v>
      </c>
      <c r="I98" s="1962">
        <v>0</v>
      </c>
    </row>
    <row r="99" spans="1:9" ht="12.75" hidden="1" outlineLevel="2" x14ac:dyDescent="0.2">
      <c r="A99" s="1961" t="s">
        <v>1875</v>
      </c>
      <c r="B99" s="1961" t="s">
        <v>1876</v>
      </c>
      <c r="C99" s="1961" t="s">
        <v>1957</v>
      </c>
      <c r="D99" s="1961" t="s">
        <v>1878</v>
      </c>
      <c r="E99" s="1961" t="s">
        <v>919</v>
      </c>
      <c r="F99" s="1962">
        <v>27.85492</v>
      </c>
      <c r="G99" s="1962">
        <v>0</v>
      </c>
      <c r="H99" s="1962">
        <v>0</v>
      </c>
      <c r="I99" s="1962">
        <v>27.85492</v>
      </c>
    </row>
    <row r="100" spans="1:9" ht="12.75" hidden="1" outlineLevel="2" x14ac:dyDescent="0.2">
      <c r="A100" s="1961" t="s">
        <v>1875</v>
      </c>
      <c r="B100" s="1961" t="s">
        <v>1876</v>
      </c>
      <c r="C100" s="1961" t="s">
        <v>1957</v>
      </c>
      <c r="D100" s="1961" t="s">
        <v>1878</v>
      </c>
      <c r="E100" s="1961" t="s">
        <v>912</v>
      </c>
      <c r="F100" s="1962">
        <v>73.992869999999996</v>
      </c>
      <c r="G100" s="1962">
        <v>73.992869999999996</v>
      </c>
      <c r="H100" s="1962">
        <v>0</v>
      </c>
      <c r="I100" s="1962">
        <v>0</v>
      </c>
    </row>
    <row r="101" spans="1:9" ht="12.75" hidden="1" outlineLevel="2" x14ac:dyDescent="0.2">
      <c r="A101" s="1961" t="s">
        <v>1875</v>
      </c>
      <c r="B101" s="1961" t="s">
        <v>1876</v>
      </c>
      <c r="C101" s="1961" t="s">
        <v>1957</v>
      </c>
      <c r="D101" s="1961" t="s">
        <v>1878</v>
      </c>
      <c r="E101" s="1961" t="s">
        <v>920</v>
      </c>
      <c r="F101" s="1962">
        <v>193.95948999999999</v>
      </c>
      <c r="G101" s="1962">
        <v>0</v>
      </c>
      <c r="H101" s="1962">
        <v>0</v>
      </c>
      <c r="I101" s="1962">
        <v>0</v>
      </c>
    </row>
    <row r="102" spans="1:9" ht="12.75" hidden="1" outlineLevel="2" x14ac:dyDescent="0.2">
      <c r="A102" s="1961" t="s">
        <v>1875</v>
      </c>
      <c r="B102" s="1961" t="s">
        <v>1876</v>
      </c>
      <c r="C102" s="1961" t="s">
        <v>1957</v>
      </c>
      <c r="D102" s="1961" t="s">
        <v>1878</v>
      </c>
      <c r="E102" s="1961" t="s">
        <v>921</v>
      </c>
      <c r="F102" s="1962">
        <v>10.05588</v>
      </c>
      <c r="G102" s="1962">
        <v>0</v>
      </c>
      <c r="H102" s="1962">
        <v>10.05588</v>
      </c>
      <c r="I102" s="1962">
        <v>0</v>
      </c>
    </row>
    <row r="103" spans="1:9" ht="12.75" hidden="1" outlineLevel="2" x14ac:dyDescent="0.2">
      <c r="A103" s="1961" t="s">
        <v>1875</v>
      </c>
      <c r="B103" s="1961" t="s">
        <v>1876</v>
      </c>
      <c r="C103" s="1961" t="s">
        <v>1957</v>
      </c>
      <c r="D103" s="1961" t="s">
        <v>1878</v>
      </c>
      <c r="E103" s="1961" t="s">
        <v>922</v>
      </c>
      <c r="F103" s="1962">
        <v>85.571439999999996</v>
      </c>
      <c r="G103" s="1962">
        <v>0</v>
      </c>
      <c r="H103" s="1962">
        <v>0</v>
      </c>
      <c r="I103" s="1962">
        <v>0</v>
      </c>
    </row>
    <row r="104" spans="1:9" ht="12.75" hidden="1" outlineLevel="2" x14ac:dyDescent="0.2">
      <c r="A104" s="1961" t="s">
        <v>1875</v>
      </c>
      <c r="B104" s="1961" t="s">
        <v>1876</v>
      </c>
      <c r="C104" s="1961" t="s">
        <v>1957</v>
      </c>
      <c r="D104" s="1961" t="s">
        <v>1878</v>
      </c>
      <c r="E104" s="1961" t="s">
        <v>923</v>
      </c>
      <c r="F104" s="1962">
        <v>124.57505999999999</v>
      </c>
      <c r="G104" s="1962">
        <v>0</v>
      </c>
      <c r="H104" s="1962">
        <v>0</v>
      </c>
      <c r="I104" s="1962">
        <v>0</v>
      </c>
    </row>
    <row r="105" spans="1:9" ht="12.75" hidden="1" outlineLevel="2" x14ac:dyDescent="0.2">
      <c r="A105" s="1961" t="s">
        <v>1875</v>
      </c>
      <c r="B105" s="1961" t="s">
        <v>1876</v>
      </c>
      <c r="C105" s="1961" t="s">
        <v>1958</v>
      </c>
      <c r="D105" s="1961" t="s">
        <v>1927</v>
      </c>
      <c r="E105" s="1961" t="s">
        <v>918</v>
      </c>
      <c r="F105" s="1962">
        <v>159.59299999999999</v>
      </c>
      <c r="G105" s="1962">
        <v>0</v>
      </c>
      <c r="H105" s="1962">
        <v>0</v>
      </c>
      <c r="I105" s="1962">
        <v>0</v>
      </c>
    </row>
    <row r="106" spans="1:9" ht="12.75" hidden="1" outlineLevel="2" x14ac:dyDescent="0.2">
      <c r="A106" s="1961" t="s">
        <v>1875</v>
      </c>
      <c r="B106" s="1961" t="s">
        <v>1876</v>
      </c>
      <c r="C106" s="1961" t="s">
        <v>1958</v>
      </c>
      <c r="D106" s="1961" t="s">
        <v>1927</v>
      </c>
      <c r="E106" s="1961" t="s">
        <v>919</v>
      </c>
      <c r="F106" s="1962">
        <v>65.615489999999994</v>
      </c>
      <c r="G106" s="1962">
        <v>0</v>
      </c>
      <c r="H106" s="1962">
        <v>0</v>
      </c>
      <c r="I106" s="1962">
        <v>65.615489999999994</v>
      </c>
    </row>
    <row r="107" spans="1:9" ht="12.75" hidden="1" outlineLevel="2" x14ac:dyDescent="0.2">
      <c r="A107" s="1961" t="s">
        <v>1875</v>
      </c>
      <c r="B107" s="1961" t="s">
        <v>1876</v>
      </c>
      <c r="C107" s="1961" t="s">
        <v>1958</v>
      </c>
      <c r="D107" s="1961" t="s">
        <v>1927</v>
      </c>
      <c r="E107" s="1961" t="s">
        <v>912</v>
      </c>
      <c r="F107" s="1962">
        <v>539.78093999999999</v>
      </c>
      <c r="G107" s="1962">
        <v>539.78093999999999</v>
      </c>
      <c r="H107" s="1962">
        <v>0</v>
      </c>
      <c r="I107" s="1962">
        <v>0</v>
      </c>
    </row>
    <row r="108" spans="1:9" ht="12.75" hidden="1" outlineLevel="2" x14ac:dyDescent="0.2">
      <c r="A108" s="1961" t="s">
        <v>1875</v>
      </c>
      <c r="B108" s="1961" t="s">
        <v>1876</v>
      </c>
      <c r="C108" s="1961" t="s">
        <v>1958</v>
      </c>
      <c r="D108" s="1961" t="s">
        <v>1927</v>
      </c>
      <c r="E108" s="1961" t="s">
        <v>920</v>
      </c>
      <c r="F108" s="1962">
        <v>1260.2756300000001</v>
      </c>
      <c r="G108" s="1962">
        <v>0</v>
      </c>
      <c r="H108" s="1962">
        <v>0</v>
      </c>
      <c r="I108" s="1962">
        <v>0</v>
      </c>
    </row>
    <row r="109" spans="1:9" ht="12.75" hidden="1" outlineLevel="2" x14ac:dyDescent="0.2">
      <c r="A109" s="1961" t="s">
        <v>1875</v>
      </c>
      <c r="B109" s="1961" t="s">
        <v>1876</v>
      </c>
      <c r="C109" s="1961" t="s">
        <v>1958</v>
      </c>
      <c r="D109" s="1961" t="s">
        <v>1927</v>
      </c>
      <c r="E109" s="1961" t="s">
        <v>921</v>
      </c>
      <c r="F109" s="1962">
        <v>136.69127</v>
      </c>
      <c r="G109" s="1962">
        <v>0</v>
      </c>
      <c r="H109" s="1962">
        <v>136.69127</v>
      </c>
      <c r="I109" s="1962">
        <v>0</v>
      </c>
    </row>
    <row r="110" spans="1:9" ht="12.75" hidden="1" outlineLevel="2" x14ac:dyDescent="0.2">
      <c r="A110" s="1961" t="s">
        <v>1875</v>
      </c>
      <c r="B110" s="1961" t="s">
        <v>1876</v>
      </c>
      <c r="C110" s="1961" t="s">
        <v>1958</v>
      </c>
      <c r="D110" s="1961" t="s">
        <v>1927</v>
      </c>
      <c r="E110" s="1961" t="s">
        <v>922</v>
      </c>
      <c r="F110" s="1962">
        <v>323.32706999999999</v>
      </c>
      <c r="G110" s="1962">
        <v>0</v>
      </c>
      <c r="H110" s="1962">
        <v>0</v>
      </c>
      <c r="I110" s="1962">
        <v>0</v>
      </c>
    </row>
    <row r="111" spans="1:9" ht="12.75" hidden="1" outlineLevel="2" x14ac:dyDescent="0.2">
      <c r="A111" s="1961" t="s">
        <v>1875</v>
      </c>
      <c r="B111" s="1961" t="s">
        <v>1876</v>
      </c>
      <c r="C111" s="1961" t="s">
        <v>1958</v>
      </c>
      <c r="D111" s="1961" t="s">
        <v>1927</v>
      </c>
      <c r="E111" s="1961" t="s">
        <v>923</v>
      </c>
      <c r="F111" s="1962">
        <v>79.474900000000005</v>
      </c>
      <c r="G111" s="1962">
        <v>0</v>
      </c>
      <c r="H111" s="1962">
        <v>0</v>
      </c>
      <c r="I111" s="1962">
        <v>0</v>
      </c>
    </row>
    <row r="112" spans="1:9" ht="12.75" hidden="1" outlineLevel="2" x14ac:dyDescent="0.2">
      <c r="A112" s="1961" t="s">
        <v>1875</v>
      </c>
      <c r="B112" s="1961" t="s">
        <v>1876</v>
      </c>
      <c r="C112" s="1961" t="s">
        <v>1959</v>
      </c>
      <c r="D112" s="1961" t="s">
        <v>1940</v>
      </c>
      <c r="E112" s="1961" t="s">
        <v>918</v>
      </c>
      <c r="F112" s="1962">
        <v>1024.8904600000001</v>
      </c>
      <c r="G112" s="1962">
        <v>0</v>
      </c>
      <c r="H112" s="1962">
        <v>0</v>
      </c>
      <c r="I112" s="1962">
        <v>0</v>
      </c>
    </row>
    <row r="113" spans="1:9" ht="12.75" hidden="1" outlineLevel="2" x14ac:dyDescent="0.2">
      <c r="A113" s="1961" t="s">
        <v>1875</v>
      </c>
      <c r="B113" s="1961" t="s">
        <v>1876</v>
      </c>
      <c r="C113" s="1961" t="s">
        <v>1959</v>
      </c>
      <c r="D113" s="1961" t="s">
        <v>1940</v>
      </c>
      <c r="E113" s="1961" t="s">
        <v>919</v>
      </c>
      <c r="F113" s="1962">
        <v>950.23410000000001</v>
      </c>
      <c r="G113" s="1962">
        <v>0</v>
      </c>
      <c r="H113" s="1962">
        <v>0</v>
      </c>
      <c r="I113" s="1962">
        <v>950.23410000000001</v>
      </c>
    </row>
    <row r="114" spans="1:9" ht="12.75" hidden="1" outlineLevel="2" x14ac:dyDescent="0.2">
      <c r="A114" s="1961" t="s">
        <v>1875</v>
      </c>
      <c r="B114" s="1961" t="s">
        <v>1876</v>
      </c>
      <c r="C114" s="1961" t="s">
        <v>1959</v>
      </c>
      <c r="D114" s="1961" t="s">
        <v>1940</v>
      </c>
      <c r="E114" s="1961" t="s">
        <v>912</v>
      </c>
      <c r="F114" s="1962">
        <v>6101.5625300000002</v>
      </c>
      <c r="G114" s="1962">
        <v>6101.5625300000002</v>
      </c>
      <c r="H114" s="1962">
        <v>0</v>
      </c>
      <c r="I114" s="1962">
        <v>0</v>
      </c>
    </row>
    <row r="115" spans="1:9" ht="12.75" hidden="1" outlineLevel="2" x14ac:dyDescent="0.2">
      <c r="A115" s="1961" t="s">
        <v>1875</v>
      </c>
      <c r="B115" s="1961" t="s">
        <v>1876</v>
      </c>
      <c r="C115" s="1961" t="s">
        <v>1959</v>
      </c>
      <c r="D115" s="1961" t="s">
        <v>1940</v>
      </c>
      <c r="E115" s="1961" t="s">
        <v>920</v>
      </c>
      <c r="F115" s="1962">
        <v>13490.40899</v>
      </c>
      <c r="G115" s="1962">
        <v>0</v>
      </c>
      <c r="H115" s="1962">
        <v>0</v>
      </c>
      <c r="I115" s="1962">
        <v>0</v>
      </c>
    </row>
    <row r="116" spans="1:9" ht="12.75" hidden="1" outlineLevel="2" x14ac:dyDescent="0.2">
      <c r="A116" s="1961" t="s">
        <v>1875</v>
      </c>
      <c r="B116" s="1961" t="s">
        <v>1876</v>
      </c>
      <c r="C116" s="1961" t="s">
        <v>1959</v>
      </c>
      <c r="D116" s="1961" t="s">
        <v>1940</v>
      </c>
      <c r="E116" s="1961" t="s">
        <v>921</v>
      </c>
      <c r="F116" s="1962">
        <v>1978.6591000000001</v>
      </c>
      <c r="G116" s="1962">
        <v>0</v>
      </c>
      <c r="H116" s="1962">
        <v>1978.6591000000001</v>
      </c>
      <c r="I116" s="1962">
        <v>0</v>
      </c>
    </row>
    <row r="117" spans="1:9" ht="12.75" hidden="1" outlineLevel="2" x14ac:dyDescent="0.2">
      <c r="A117" s="1961" t="s">
        <v>1875</v>
      </c>
      <c r="B117" s="1961" t="s">
        <v>1876</v>
      </c>
      <c r="C117" s="1961" t="s">
        <v>1959</v>
      </c>
      <c r="D117" s="1961" t="s">
        <v>1940</v>
      </c>
      <c r="E117" s="1961" t="s">
        <v>922</v>
      </c>
      <c r="F117" s="1962">
        <v>2633.9773599999999</v>
      </c>
      <c r="G117" s="1962">
        <v>0</v>
      </c>
      <c r="H117" s="1962">
        <v>0</v>
      </c>
      <c r="I117" s="1962">
        <v>0</v>
      </c>
    </row>
    <row r="118" spans="1:9" ht="12.75" hidden="1" outlineLevel="2" x14ac:dyDescent="0.2">
      <c r="A118" s="1961" t="s">
        <v>1875</v>
      </c>
      <c r="B118" s="1961" t="s">
        <v>1876</v>
      </c>
      <c r="C118" s="1961" t="s">
        <v>1959</v>
      </c>
      <c r="D118" s="1961" t="s">
        <v>1940</v>
      </c>
      <c r="E118" s="1961" t="s">
        <v>923</v>
      </c>
      <c r="F118" s="1962">
        <v>373.36234999999999</v>
      </c>
      <c r="G118" s="1962">
        <v>0</v>
      </c>
      <c r="H118" s="1962">
        <v>0</v>
      </c>
      <c r="I118" s="1962">
        <v>0</v>
      </c>
    </row>
    <row r="119" spans="1:9" ht="12.75" hidden="1" outlineLevel="2" x14ac:dyDescent="0.2">
      <c r="A119" s="1961" t="s">
        <v>1875</v>
      </c>
      <c r="B119" s="1961" t="s">
        <v>1876</v>
      </c>
      <c r="C119" s="1961" t="s">
        <v>1960</v>
      </c>
      <c r="D119" s="1961" t="s">
        <v>1944</v>
      </c>
      <c r="E119" s="1961" t="s">
        <v>918</v>
      </c>
      <c r="F119" s="1962">
        <v>21.27215</v>
      </c>
      <c r="G119" s="1962">
        <v>0</v>
      </c>
      <c r="H119" s="1962">
        <v>0</v>
      </c>
      <c r="I119" s="1962">
        <v>0</v>
      </c>
    </row>
    <row r="120" spans="1:9" ht="12.75" hidden="1" outlineLevel="2" x14ac:dyDescent="0.2">
      <c r="A120" s="1961" t="s">
        <v>1875</v>
      </c>
      <c r="B120" s="1961" t="s">
        <v>1876</v>
      </c>
      <c r="C120" s="1961" t="s">
        <v>1960</v>
      </c>
      <c r="D120" s="1961" t="s">
        <v>1944</v>
      </c>
      <c r="E120" s="1961" t="s">
        <v>919</v>
      </c>
      <c r="F120" s="1962">
        <v>11.61425</v>
      </c>
      <c r="G120" s="1962">
        <v>0</v>
      </c>
      <c r="H120" s="1962">
        <v>0</v>
      </c>
      <c r="I120" s="1962">
        <v>11.61425</v>
      </c>
    </row>
    <row r="121" spans="1:9" ht="12.75" hidden="1" outlineLevel="2" x14ac:dyDescent="0.2">
      <c r="A121" s="1961" t="s">
        <v>1875</v>
      </c>
      <c r="B121" s="1961" t="s">
        <v>1876</v>
      </c>
      <c r="C121" s="1961" t="s">
        <v>1960</v>
      </c>
      <c r="D121" s="1961" t="s">
        <v>1944</v>
      </c>
      <c r="E121" s="1961" t="s">
        <v>912</v>
      </c>
      <c r="F121" s="1962">
        <v>98.053510000000003</v>
      </c>
      <c r="G121" s="1962">
        <v>98.053510000000003</v>
      </c>
      <c r="H121" s="1962">
        <v>0</v>
      </c>
      <c r="I121" s="1962">
        <v>0</v>
      </c>
    </row>
    <row r="122" spans="1:9" ht="12.75" hidden="1" outlineLevel="2" x14ac:dyDescent="0.2">
      <c r="A122" s="1961" t="s">
        <v>1875</v>
      </c>
      <c r="B122" s="1961" t="s">
        <v>1876</v>
      </c>
      <c r="C122" s="1961" t="s">
        <v>1960</v>
      </c>
      <c r="D122" s="1961" t="s">
        <v>1944</v>
      </c>
      <c r="E122" s="1961" t="s">
        <v>920</v>
      </c>
      <c r="F122" s="1962">
        <v>180.05345</v>
      </c>
      <c r="G122" s="1962">
        <v>0</v>
      </c>
      <c r="H122" s="1962">
        <v>0</v>
      </c>
      <c r="I122" s="1962">
        <v>0</v>
      </c>
    </row>
    <row r="123" spans="1:9" ht="12.75" hidden="1" outlineLevel="2" x14ac:dyDescent="0.2">
      <c r="A123" s="1961" t="s">
        <v>1875</v>
      </c>
      <c r="B123" s="1961" t="s">
        <v>1876</v>
      </c>
      <c r="C123" s="1961" t="s">
        <v>1960</v>
      </c>
      <c r="D123" s="1961" t="s">
        <v>1944</v>
      </c>
      <c r="E123" s="1961" t="s">
        <v>921</v>
      </c>
      <c r="F123" s="1962">
        <v>36.966410000000003</v>
      </c>
      <c r="G123" s="1962">
        <v>0</v>
      </c>
      <c r="H123" s="1962">
        <v>36.966410000000003</v>
      </c>
      <c r="I123" s="1962">
        <v>0</v>
      </c>
    </row>
    <row r="124" spans="1:9" ht="12.75" hidden="1" outlineLevel="2" x14ac:dyDescent="0.2">
      <c r="A124" s="1961" t="s">
        <v>1875</v>
      </c>
      <c r="B124" s="1961" t="s">
        <v>1876</v>
      </c>
      <c r="C124" s="1961" t="s">
        <v>1960</v>
      </c>
      <c r="D124" s="1961" t="s">
        <v>1944</v>
      </c>
      <c r="E124" s="1961" t="s">
        <v>922</v>
      </c>
      <c r="F124" s="1962">
        <v>42.10568</v>
      </c>
      <c r="G124" s="1962">
        <v>0</v>
      </c>
      <c r="H124" s="1962">
        <v>0</v>
      </c>
      <c r="I124" s="1962">
        <v>0</v>
      </c>
    </row>
    <row r="125" spans="1:9" ht="12.75" hidden="1" outlineLevel="2" x14ac:dyDescent="0.2">
      <c r="A125" s="1961" t="s">
        <v>1875</v>
      </c>
      <c r="B125" s="1961" t="s">
        <v>1876</v>
      </c>
      <c r="C125" s="1961" t="s">
        <v>1960</v>
      </c>
      <c r="D125" s="1961" t="s">
        <v>1944</v>
      </c>
      <c r="E125" s="1961" t="s">
        <v>923</v>
      </c>
      <c r="F125" s="1962">
        <v>6.2014399999999998</v>
      </c>
      <c r="G125" s="1962">
        <v>0</v>
      </c>
      <c r="H125" s="1962">
        <v>0</v>
      </c>
      <c r="I125" s="1962">
        <v>0</v>
      </c>
    </row>
    <row r="126" spans="1:9" ht="12.75" hidden="1" outlineLevel="2" x14ac:dyDescent="0.2">
      <c r="A126" s="1961" t="s">
        <v>1875</v>
      </c>
      <c r="B126" s="1961" t="s">
        <v>1876</v>
      </c>
      <c r="C126" s="1961" t="s">
        <v>1961</v>
      </c>
      <c r="D126" s="1961" t="s">
        <v>1962</v>
      </c>
      <c r="E126" s="1961" t="s">
        <v>918</v>
      </c>
      <c r="F126" s="1962">
        <v>3964.0250799999999</v>
      </c>
      <c r="G126" s="1962">
        <v>0</v>
      </c>
      <c r="H126" s="1962">
        <v>0</v>
      </c>
      <c r="I126" s="1962">
        <v>0</v>
      </c>
    </row>
    <row r="127" spans="1:9" ht="12.75" hidden="1" outlineLevel="2" x14ac:dyDescent="0.2">
      <c r="A127" s="1961" t="s">
        <v>1875</v>
      </c>
      <c r="B127" s="1961" t="s">
        <v>1876</v>
      </c>
      <c r="C127" s="1961" t="s">
        <v>1961</v>
      </c>
      <c r="D127" s="1961" t="s">
        <v>1962</v>
      </c>
      <c r="E127" s="1961" t="s">
        <v>919</v>
      </c>
      <c r="F127" s="1962">
        <v>3790.6067200000002</v>
      </c>
      <c r="G127" s="1962">
        <v>0</v>
      </c>
      <c r="H127" s="1962">
        <v>0</v>
      </c>
      <c r="I127" s="1962">
        <v>3790.6067200000002</v>
      </c>
    </row>
    <row r="128" spans="1:9" ht="12.75" hidden="1" outlineLevel="2" x14ac:dyDescent="0.2">
      <c r="A128" s="1961" t="s">
        <v>1875</v>
      </c>
      <c r="B128" s="1961" t="s">
        <v>1876</v>
      </c>
      <c r="C128" s="1961" t="s">
        <v>1961</v>
      </c>
      <c r="D128" s="1961" t="s">
        <v>1962</v>
      </c>
      <c r="E128" s="1961" t="s">
        <v>912</v>
      </c>
      <c r="F128" s="1962">
        <v>16242.0761</v>
      </c>
      <c r="G128" s="1962">
        <v>16242.0761</v>
      </c>
      <c r="H128" s="1962">
        <v>0</v>
      </c>
      <c r="I128" s="1962">
        <v>0</v>
      </c>
    </row>
    <row r="129" spans="1:9" ht="12.75" hidden="1" outlineLevel="2" x14ac:dyDescent="0.2">
      <c r="A129" s="1961" t="s">
        <v>1875</v>
      </c>
      <c r="B129" s="1961" t="s">
        <v>1876</v>
      </c>
      <c r="C129" s="1961" t="s">
        <v>1961</v>
      </c>
      <c r="D129" s="1961" t="s">
        <v>1962</v>
      </c>
      <c r="E129" s="1961" t="s">
        <v>920</v>
      </c>
      <c r="F129" s="1962">
        <v>17428.385610000001</v>
      </c>
      <c r="G129" s="1962">
        <v>0</v>
      </c>
      <c r="H129" s="1962">
        <v>0</v>
      </c>
      <c r="I129" s="1962">
        <v>0</v>
      </c>
    </row>
    <row r="130" spans="1:9" ht="12.75" hidden="1" outlineLevel="2" x14ac:dyDescent="0.2">
      <c r="A130" s="1961" t="s">
        <v>1875</v>
      </c>
      <c r="B130" s="1961" t="s">
        <v>1876</v>
      </c>
      <c r="C130" s="1961" t="s">
        <v>1961</v>
      </c>
      <c r="D130" s="1961" t="s">
        <v>1962</v>
      </c>
      <c r="E130" s="1961" t="s">
        <v>921</v>
      </c>
      <c r="F130" s="1962">
        <v>4341.9484899999998</v>
      </c>
      <c r="G130" s="1962">
        <v>0</v>
      </c>
      <c r="H130" s="1962">
        <v>4341.9484899999998</v>
      </c>
      <c r="I130" s="1962">
        <v>0</v>
      </c>
    </row>
    <row r="131" spans="1:9" ht="12.75" hidden="1" outlineLevel="2" x14ac:dyDescent="0.2">
      <c r="A131" s="1961" t="s">
        <v>1875</v>
      </c>
      <c r="B131" s="1961" t="s">
        <v>1876</v>
      </c>
      <c r="C131" s="1961" t="s">
        <v>1961</v>
      </c>
      <c r="D131" s="1961" t="s">
        <v>1962</v>
      </c>
      <c r="E131" s="1961" t="s">
        <v>922</v>
      </c>
      <c r="F131" s="1962">
        <v>5344.0864300000003</v>
      </c>
      <c r="G131" s="1962">
        <v>0</v>
      </c>
      <c r="H131" s="1962">
        <v>0</v>
      </c>
      <c r="I131" s="1962">
        <v>0</v>
      </c>
    </row>
    <row r="132" spans="1:9" ht="12.75" hidden="1" outlineLevel="2" x14ac:dyDescent="0.2">
      <c r="A132" s="1961" t="s">
        <v>1875</v>
      </c>
      <c r="B132" s="1961" t="s">
        <v>1876</v>
      </c>
      <c r="C132" s="1961" t="s">
        <v>1961</v>
      </c>
      <c r="D132" s="1961" t="s">
        <v>1962</v>
      </c>
      <c r="E132" s="1961" t="s">
        <v>923</v>
      </c>
      <c r="F132" s="1962">
        <v>1067.72613</v>
      </c>
      <c r="G132" s="1962">
        <v>0</v>
      </c>
      <c r="H132" s="1962">
        <v>0</v>
      </c>
      <c r="I132" s="1962">
        <v>0</v>
      </c>
    </row>
    <row r="133" spans="1:9" ht="12.75" hidden="1" outlineLevel="2" x14ac:dyDescent="0.2">
      <c r="A133" s="1961" t="s">
        <v>1875</v>
      </c>
      <c r="B133" s="1961" t="s">
        <v>1876</v>
      </c>
      <c r="C133" s="1961" t="s">
        <v>1963</v>
      </c>
      <c r="D133" s="1961" t="s">
        <v>1950</v>
      </c>
      <c r="E133" s="1961" t="s">
        <v>918</v>
      </c>
      <c r="F133" s="1962">
        <v>1776.1916200000001</v>
      </c>
      <c r="G133" s="1962">
        <v>0</v>
      </c>
      <c r="H133" s="1962">
        <v>0</v>
      </c>
      <c r="I133" s="1962">
        <v>0</v>
      </c>
    </row>
    <row r="134" spans="1:9" ht="12.75" hidden="1" outlineLevel="2" x14ac:dyDescent="0.2">
      <c r="A134" s="1961" t="s">
        <v>1875</v>
      </c>
      <c r="B134" s="1961" t="s">
        <v>1876</v>
      </c>
      <c r="C134" s="1961" t="s">
        <v>1963</v>
      </c>
      <c r="D134" s="1961" t="s">
        <v>1950</v>
      </c>
      <c r="E134" s="1961" t="s">
        <v>919</v>
      </c>
      <c r="F134" s="1962">
        <v>1093.9162699999999</v>
      </c>
      <c r="G134" s="1962">
        <v>0</v>
      </c>
      <c r="H134" s="1962">
        <v>0</v>
      </c>
      <c r="I134" s="1962">
        <v>1093.9162699999999</v>
      </c>
    </row>
    <row r="135" spans="1:9" ht="12.75" hidden="1" outlineLevel="2" x14ac:dyDescent="0.2">
      <c r="A135" s="1961" t="s">
        <v>1875</v>
      </c>
      <c r="B135" s="1961" t="s">
        <v>1876</v>
      </c>
      <c r="C135" s="1961" t="s">
        <v>1963</v>
      </c>
      <c r="D135" s="1961" t="s">
        <v>1950</v>
      </c>
      <c r="E135" s="1961" t="s">
        <v>912</v>
      </c>
      <c r="F135" s="1962">
        <v>6860.2915000000003</v>
      </c>
      <c r="G135" s="1962">
        <v>6860.2915000000003</v>
      </c>
      <c r="H135" s="1962">
        <v>0</v>
      </c>
      <c r="I135" s="1962">
        <v>0</v>
      </c>
    </row>
    <row r="136" spans="1:9" ht="12.75" hidden="1" outlineLevel="2" x14ac:dyDescent="0.2">
      <c r="A136" s="1961" t="s">
        <v>1875</v>
      </c>
      <c r="B136" s="1961" t="s">
        <v>1876</v>
      </c>
      <c r="C136" s="1961" t="s">
        <v>1963</v>
      </c>
      <c r="D136" s="1961" t="s">
        <v>1950</v>
      </c>
      <c r="E136" s="1961" t="s">
        <v>920</v>
      </c>
      <c r="F136" s="1962">
        <v>7706.4630200000001</v>
      </c>
      <c r="G136" s="1962">
        <v>0</v>
      </c>
      <c r="H136" s="1962">
        <v>0</v>
      </c>
      <c r="I136" s="1962">
        <v>0</v>
      </c>
    </row>
    <row r="137" spans="1:9" ht="12.75" hidden="1" outlineLevel="2" x14ac:dyDescent="0.2">
      <c r="A137" s="1961" t="s">
        <v>1875</v>
      </c>
      <c r="B137" s="1961" t="s">
        <v>1876</v>
      </c>
      <c r="C137" s="1961" t="s">
        <v>1963</v>
      </c>
      <c r="D137" s="1961" t="s">
        <v>1950</v>
      </c>
      <c r="E137" s="1961" t="s">
        <v>921</v>
      </c>
      <c r="F137" s="1962">
        <v>2226.0643100000002</v>
      </c>
      <c r="G137" s="1962">
        <v>0</v>
      </c>
      <c r="H137" s="1962">
        <v>2226.0643100000002</v>
      </c>
      <c r="I137" s="1962">
        <v>0</v>
      </c>
    </row>
    <row r="138" spans="1:9" ht="12.75" hidden="1" outlineLevel="2" x14ac:dyDescent="0.2">
      <c r="A138" s="1961" t="s">
        <v>1875</v>
      </c>
      <c r="B138" s="1961" t="s">
        <v>1876</v>
      </c>
      <c r="C138" s="1961" t="s">
        <v>1963</v>
      </c>
      <c r="D138" s="1961" t="s">
        <v>1950</v>
      </c>
      <c r="E138" s="1961" t="s">
        <v>922</v>
      </c>
      <c r="F138" s="1962">
        <v>2853.5628499999998</v>
      </c>
      <c r="G138" s="1962">
        <v>0</v>
      </c>
      <c r="H138" s="1962">
        <v>0</v>
      </c>
      <c r="I138" s="1962">
        <v>0</v>
      </c>
    </row>
    <row r="139" spans="1:9" ht="12.75" hidden="1" outlineLevel="2" x14ac:dyDescent="0.2">
      <c r="A139" s="1961" t="s">
        <v>1875</v>
      </c>
      <c r="B139" s="1961" t="s">
        <v>1876</v>
      </c>
      <c r="C139" s="1961" t="s">
        <v>1963</v>
      </c>
      <c r="D139" s="1961" t="s">
        <v>1950</v>
      </c>
      <c r="E139" s="1961" t="s">
        <v>923</v>
      </c>
      <c r="F139" s="1962">
        <v>373.42748999999998</v>
      </c>
      <c r="G139" s="1962">
        <v>0</v>
      </c>
      <c r="H139" s="1962">
        <v>0</v>
      </c>
      <c r="I139" s="1962">
        <v>0</v>
      </c>
    </row>
    <row r="140" spans="1:9" ht="12.75" hidden="1" outlineLevel="2" x14ac:dyDescent="0.2">
      <c r="A140" s="1961" t="s">
        <v>1875</v>
      </c>
      <c r="B140" s="1961" t="s">
        <v>1876</v>
      </c>
      <c r="C140" s="1961" t="s">
        <v>1964</v>
      </c>
      <c r="D140" s="1961" t="s">
        <v>1952</v>
      </c>
      <c r="E140" s="1961" t="s">
        <v>918</v>
      </c>
      <c r="F140" s="1962">
        <v>489.49901</v>
      </c>
      <c r="G140" s="1962">
        <v>0</v>
      </c>
      <c r="H140" s="1962">
        <v>0</v>
      </c>
      <c r="I140" s="1962">
        <v>0</v>
      </c>
    </row>
    <row r="141" spans="1:9" ht="12.75" hidden="1" outlineLevel="2" x14ac:dyDescent="0.2">
      <c r="A141" s="1961" t="s">
        <v>1875</v>
      </c>
      <c r="B141" s="1961" t="s">
        <v>1876</v>
      </c>
      <c r="C141" s="1961" t="s">
        <v>1964</v>
      </c>
      <c r="D141" s="1961" t="s">
        <v>1952</v>
      </c>
      <c r="E141" s="1961" t="s">
        <v>919</v>
      </c>
      <c r="F141" s="1962">
        <v>315.39839999999998</v>
      </c>
      <c r="G141" s="1962">
        <v>0</v>
      </c>
      <c r="H141" s="1962">
        <v>0</v>
      </c>
      <c r="I141" s="1962">
        <v>315.39839999999998</v>
      </c>
    </row>
    <row r="142" spans="1:9" ht="12.75" hidden="1" outlineLevel="2" x14ac:dyDescent="0.2">
      <c r="A142" s="1961" t="s">
        <v>1875</v>
      </c>
      <c r="B142" s="1961" t="s">
        <v>1876</v>
      </c>
      <c r="C142" s="1961" t="s">
        <v>1964</v>
      </c>
      <c r="D142" s="1961" t="s">
        <v>1952</v>
      </c>
      <c r="E142" s="1961" t="s">
        <v>912</v>
      </c>
      <c r="F142" s="1962">
        <v>2115.5255099999999</v>
      </c>
      <c r="G142" s="1962">
        <v>2115.5255099999999</v>
      </c>
      <c r="H142" s="1962">
        <v>0</v>
      </c>
      <c r="I142" s="1962">
        <v>0</v>
      </c>
    </row>
    <row r="143" spans="1:9" ht="12.75" hidden="1" outlineLevel="2" x14ac:dyDescent="0.2">
      <c r="A143" s="1961" t="s">
        <v>1875</v>
      </c>
      <c r="B143" s="1961" t="s">
        <v>1876</v>
      </c>
      <c r="C143" s="1961" t="s">
        <v>1964</v>
      </c>
      <c r="D143" s="1961" t="s">
        <v>1952</v>
      </c>
      <c r="E143" s="1961" t="s">
        <v>920</v>
      </c>
      <c r="F143" s="1962">
        <v>6377.4508599999999</v>
      </c>
      <c r="G143" s="1962">
        <v>0</v>
      </c>
      <c r="H143" s="1962">
        <v>0</v>
      </c>
      <c r="I143" s="1962">
        <v>0</v>
      </c>
    </row>
    <row r="144" spans="1:9" ht="12.75" hidden="1" outlineLevel="2" x14ac:dyDescent="0.2">
      <c r="A144" s="1961" t="s">
        <v>1875</v>
      </c>
      <c r="B144" s="1961" t="s">
        <v>1876</v>
      </c>
      <c r="C144" s="1961" t="s">
        <v>1964</v>
      </c>
      <c r="D144" s="1961" t="s">
        <v>1952</v>
      </c>
      <c r="E144" s="1961" t="s">
        <v>921</v>
      </c>
      <c r="F144" s="1962">
        <v>572.03656000000001</v>
      </c>
      <c r="G144" s="1962">
        <v>0</v>
      </c>
      <c r="H144" s="1962">
        <v>572.03656000000001</v>
      </c>
      <c r="I144" s="1962">
        <v>0</v>
      </c>
    </row>
    <row r="145" spans="1:9" ht="12.75" hidden="1" outlineLevel="2" x14ac:dyDescent="0.2">
      <c r="A145" s="1961" t="s">
        <v>1875</v>
      </c>
      <c r="B145" s="1961" t="s">
        <v>1876</v>
      </c>
      <c r="C145" s="1961" t="s">
        <v>1964</v>
      </c>
      <c r="D145" s="1961" t="s">
        <v>1952</v>
      </c>
      <c r="E145" s="1961" t="s">
        <v>922</v>
      </c>
      <c r="F145" s="1962">
        <v>875.00256999999999</v>
      </c>
      <c r="G145" s="1962">
        <v>0</v>
      </c>
      <c r="H145" s="1962">
        <v>0</v>
      </c>
      <c r="I145" s="1962">
        <v>0</v>
      </c>
    </row>
    <row r="146" spans="1:9" ht="12.75" hidden="1" outlineLevel="2" x14ac:dyDescent="0.2">
      <c r="A146" s="1961" t="s">
        <v>1875</v>
      </c>
      <c r="B146" s="1961" t="s">
        <v>1876</v>
      </c>
      <c r="C146" s="1961" t="s">
        <v>1964</v>
      </c>
      <c r="D146" s="1961" t="s">
        <v>1952</v>
      </c>
      <c r="E146" s="1961" t="s">
        <v>923</v>
      </c>
      <c r="F146" s="1962">
        <v>156.01106999999999</v>
      </c>
      <c r="G146" s="1962">
        <v>0</v>
      </c>
      <c r="H146" s="1962">
        <v>0</v>
      </c>
      <c r="I146" s="1962">
        <v>0</v>
      </c>
    </row>
    <row r="147" spans="1:9" ht="12.75" hidden="1" outlineLevel="2" x14ac:dyDescent="0.2">
      <c r="A147" s="1961" t="s">
        <v>1875</v>
      </c>
      <c r="B147" s="1961" t="s">
        <v>1876</v>
      </c>
      <c r="C147" s="1961" t="s">
        <v>1965</v>
      </c>
      <c r="D147" s="1961" t="s">
        <v>1954</v>
      </c>
      <c r="E147" s="1961" t="s">
        <v>918</v>
      </c>
      <c r="F147" s="1962">
        <v>558.41245000000004</v>
      </c>
      <c r="G147" s="1962">
        <v>0</v>
      </c>
      <c r="H147" s="1962">
        <v>0</v>
      </c>
      <c r="I147" s="1962">
        <v>0</v>
      </c>
    </row>
    <row r="148" spans="1:9" ht="12.75" hidden="1" outlineLevel="2" x14ac:dyDescent="0.2">
      <c r="A148" s="1961" t="s">
        <v>1875</v>
      </c>
      <c r="B148" s="1961" t="s">
        <v>1876</v>
      </c>
      <c r="C148" s="1961" t="s">
        <v>1965</v>
      </c>
      <c r="D148" s="1961" t="s">
        <v>1954</v>
      </c>
      <c r="E148" s="1961" t="s">
        <v>919</v>
      </c>
      <c r="F148" s="1962">
        <v>640.38765999999998</v>
      </c>
      <c r="G148" s="1962">
        <v>0</v>
      </c>
      <c r="H148" s="1962">
        <v>0</v>
      </c>
      <c r="I148" s="1962">
        <v>640.38765999999998</v>
      </c>
    </row>
    <row r="149" spans="1:9" ht="12.75" hidden="1" outlineLevel="2" x14ac:dyDescent="0.2">
      <c r="A149" s="1961" t="s">
        <v>1875</v>
      </c>
      <c r="B149" s="1961" t="s">
        <v>1876</v>
      </c>
      <c r="C149" s="1961" t="s">
        <v>1965</v>
      </c>
      <c r="D149" s="1961" t="s">
        <v>1954</v>
      </c>
      <c r="E149" s="1961" t="s">
        <v>912</v>
      </c>
      <c r="F149" s="1962">
        <v>4704.1470499999996</v>
      </c>
      <c r="G149" s="1962">
        <v>4704.1470499999996</v>
      </c>
      <c r="H149" s="1962">
        <v>0</v>
      </c>
      <c r="I149" s="1962">
        <v>0</v>
      </c>
    </row>
    <row r="150" spans="1:9" ht="12.75" hidden="1" outlineLevel="2" x14ac:dyDescent="0.2">
      <c r="A150" s="1961" t="s">
        <v>1875</v>
      </c>
      <c r="B150" s="1961" t="s">
        <v>1876</v>
      </c>
      <c r="C150" s="1961" t="s">
        <v>1965</v>
      </c>
      <c r="D150" s="1961" t="s">
        <v>1954</v>
      </c>
      <c r="E150" s="1961" t="s">
        <v>920</v>
      </c>
      <c r="F150" s="1962">
        <v>13420.47162</v>
      </c>
      <c r="G150" s="1962">
        <v>0</v>
      </c>
      <c r="H150" s="1962">
        <v>0</v>
      </c>
      <c r="I150" s="1962">
        <v>0</v>
      </c>
    </row>
    <row r="151" spans="1:9" ht="12.75" hidden="1" outlineLevel="2" x14ac:dyDescent="0.2">
      <c r="A151" s="1961" t="s">
        <v>1875</v>
      </c>
      <c r="B151" s="1961" t="s">
        <v>1876</v>
      </c>
      <c r="C151" s="1961" t="s">
        <v>1965</v>
      </c>
      <c r="D151" s="1961" t="s">
        <v>1954</v>
      </c>
      <c r="E151" s="1961" t="s">
        <v>921</v>
      </c>
      <c r="F151" s="1962">
        <v>784.03968999999995</v>
      </c>
      <c r="G151" s="1962">
        <v>0</v>
      </c>
      <c r="H151" s="1962">
        <v>784.03968999999995</v>
      </c>
      <c r="I151" s="1962">
        <v>0</v>
      </c>
    </row>
    <row r="152" spans="1:9" ht="12.75" hidden="1" outlineLevel="2" x14ac:dyDescent="0.2">
      <c r="A152" s="1961" t="s">
        <v>1875</v>
      </c>
      <c r="B152" s="1961" t="s">
        <v>1876</v>
      </c>
      <c r="C152" s="1961" t="s">
        <v>1965</v>
      </c>
      <c r="D152" s="1961" t="s">
        <v>1954</v>
      </c>
      <c r="E152" s="1961" t="s">
        <v>922</v>
      </c>
      <c r="F152" s="1962">
        <v>1350.72819</v>
      </c>
      <c r="G152" s="1962">
        <v>0</v>
      </c>
      <c r="H152" s="1962">
        <v>0</v>
      </c>
      <c r="I152" s="1962">
        <v>0</v>
      </c>
    </row>
    <row r="153" spans="1:9" ht="12.75" hidden="1" outlineLevel="2" x14ac:dyDescent="0.2">
      <c r="A153" s="1961" t="s">
        <v>1875</v>
      </c>
      <c r="B153" s="1961" t="s">
        <v>1876</v>
      </c>
      <c r="C153" s="1961" t="s">
        <v>1965</v>
      </c>
      <c r="D153" s="1961" t="s">
        <v>1954</v>
      </c>
      <c r="E153" s="1961" t="s">
        <v>923</v>
      </c>
      <c r="F153" s="1962">
        <v>498.43673000000001</v>
      </c>
      <c r="G153" s="1962">
        <v>0</v>
      </c>
      <c r="H153" s="1962">
        <v>0</v>
      </c>
      <c r="I153" s="1962">
        <v>0</v>
      </c>
    </row>
    <row r="154" spans="1:9" ht="12.75" hidden="1" outlineLevel="2" x14ac:dyDescent="0.2">
      <c r="A154" s="1961" t="s">
        <v>1875</v>
      </c>
      <c r="B154" s="1961" t="s">
        <v>1876</v>
      </c>
      <c r="C154" s="1961" t="s">
        <v>1966</v>
      </c>
      <c r="D154" s="1961" t="s">
        <v>1967</v>
      </c>
      <c r="E154" s="1961" t="s">
        <v>918</v>
      </c>
      <c r="F154" s="1962">
        <v>1376.24605</v>
      </c>
      <c r="G154" s="1962">
        <v>0</v>
      </c>
      <c r="H154" s="1962">
        <v>0</v>
      </c>
      <c r="I154" s="1962">
        <v>0</v>
      </c>
    </row>
    <row r="155" spans="1:9" ht="12.75" hidden="1" outlineLevel="2" x14ac:dyDescent="0.2">
      <c r="A155" s="1961" t="s">
        <v>1875</v>
      </c>
      <c r="B155" s="1961" t="s">
        <v>1876</v>
      </c>
      <c r="C155" s="1961" t="s">
        <v>1966</v>
      </c>
      <c r="D155" s="1961" t="s">
        <v>1967</v>
      </c>
      <c r="E155" s="1961" t="s">
        <v>919</v>
      </c>
      <c r="F155" s="1962">
        <v>2079.9613599999998</v>
      </c>
      <c r="G155" s="1962">
        <v>0</v>
      </c>
      <c r="H155" s="1962">
        <v>0</v>
      </c>
      <c r="I155" s="1962">
        <v>2079.9613599999998</v>
      </c>
    </row>
    <row r="156" spans="1:9" ht="12.75" hidden="1" outlineLevel="2" x14ac:dyDescent="0.2">
      <c r="A156" s="1961" t="s">
        <v>1875</v>
      </c>
      <c r="B156" s="1961" t="s">
        <v>1876</v>
      </c>
      <c r="C156" s="1961" t="s">
        <v>1966</v>
      </c>
      <c r="D156" s="1961" t="s">
        <v>1967</v>
      </c>
      <c r="E156" s="1961" t="s">
        <v>912</v>
      </c>
      <c r="F156" s="1962">
        <v>12210.5173</v>
      </c>
      <c r="G156" s="1962">
        <v>12210.5173</v>
      </c>
      <c r="H156" s="1962">
        <v>0</v>
      </c>
      <c r="I156" s="1962">
        <v>0</v>
      </c>
    </row>
    <row r="157" spans="1:9" ht="12.75" hidden="1" outlineLevel="2" x14ac:dyDescent="0.2">
      <c r="A157" s="1961" t="s">
        <v>1875</v>
      </c>
      <c r="B157" s="1961" t="s">
        <v>1876</v>
      </c>
      <c r="C157" s="1961" t="s">
        <v>1966</v>
      </c>
      <c r="D157" s="1961" t="s">
        <v>1967</v>
      </c>
      <c r="E157" s="1961" t="s">
        <v>920</v>
      </c>
      <c r="F157" s="1962">
        <v>15734.74741</v>
      </c>
      <c r="G157" s="1962">
        <v>0</v>
      </c>
      <c r="H157" s="1962">
        <v>0</v>
      </c>
      <c r="I157" s="1962">
        <v>0</v>
      </c>
    </row>
    <row r="158" spans="1:9" ht="12.75" hidden="1" outlineLevel="2" x14ac:dyDescent="0.2">
      <c r="A158" s="1961" t="s">
        <v>1875</v>
      </c>
      <c r="B158" s="1961" t="s">
        <v>1876</v>
      </c>
      <c r="C158" s="1961" t="s">
        <v>1966</v>
      </c>
      <c r="D158" s="1961" t="s">
        <v>1967</v>
      </c>
      <c r="E158" s="1961" t="s">
        <v>921</v>
      </c>
      <c r="F158" s="1962">
        <v>3067.0458100000001</v>
      </c>
      <c r="G158" s="1962">
        <v>0</v>
      </c>
      <c r="H158" s="1962">
        <v>3067.0458100000001</v>
      </c>
      <c r="I158" s="1962">
        <v>0</v>
      </c>
    </row>
    <row r="159" spans="1:9" ht="12.75" hidden="1" outlineLevel="2" x14ac:dyDescent="0.2">
      <c r="A159" s="1961" t="s">
        <v>1875</v>
      </c>
      <c r="B159" s="1961" t="s">
        <v>1876</v>
      </c>
      <c r="C159" s="1961" t="s">
        <v>1966</v>
      </c>
      <c r="D159" s="1961" t="s">
        <v>1967</v>
      </c>
      <c r="E159" s="1961" t="s">
        <v>922</v>
      </c>
      <c r="F159" s="1962">
        <v>3517.4868999999999</v>
      </c>
      <c r="G159" s="1962">
        <v>0</v>
      </c>
      <c r="H159" s="1962">
        <v>0</v>
      </c>
      <c r="I159" s="1962">
        <v>0</v>
      </c>
    </row>
    <row r="160" spans="1:9" ht="12.75" hidden="1" outlineLevel="2" x14ac:dyDescent="0.2">
      <c r="A160" s="1961" t="s">
        <v>1875</v>
      </c>
      <c r="B160" s="1961" t="s">
        <v>1876</v>
      </c>
      <c r="C160" s="1961" t="s">
        <v>1966</v>
      </c>
      <c r="D160" s="1961" t="s">
        <v>1967</v>
      </c>
      <c r="E160" s="1961" t="s">
        <v>923</v>
      </c>
      <c r="F160" s="1962">
        <v>492.29588000000001</v>
      </c>
      <c r="G160" s="1962">
        <v>0</v>
      </c>
      <c r="H160" s="1962">
        <v>0</v>
      </c>
      <c r="I160" s="1962">
        <v>0</v>
      </c>
    </row>
    <row r="161" spans="1:9" ht="12.75" hidden="1" outlineLevel="2" x14ac:dyDescent="0.2">
      <c r="A161" s="1961" t="s">
        <v>1875</v>
      </c>
      <c r="B161" s="1961" t="s">
        <v>1876</v>
      </c>
      <c r="C161" s="1961" t="s">
        <v>5718</v>
      </c>
      <c r="D161" s="1961" t="s">
        <v>1968</v>
      </c>
      <c r="E161" s="1961" t="s">
        <v>918</v>
      </c>
      <c r="F161" s="1962">
        <v>275.22430000000003</v>
      </c>
      <c r="G161" s="1962">
        <v>0</v>
      </c>
      <c r="H161" s="1962">
        <v>0</v>
      </c>
      <c r="I161" s="1962">
        <v>0</v>
      </c>
    </row>
    <row r="162" spans="1:9" ht="12.75" hidden="1" outlineLevel="2" x14ac:dyDescent="0.2">
      <c r="A162" s="1961" t="s">
        <v>1875</v>
      </c>
      <c r="B162" s="1961" t="s">
        <v>1876</v>
      </c>
      <c r="C162" s="1961" t="s">
        <v>5718</v>
      </c>
      <c r="D162" s="1961" t="s">
        <v>1968</v>
      </c>
      <c r="E162" s="1961" t="s">
        <v>919</v>
      </c>
      <c r="F162" s="1962">
        <v>235.28487000000001</v>
      </c>
      <c r="G162" s="1962">
        <v>0</v>
      </c>
      <c r="H162" s="1962">
        <v>0</v>
      </c>
      <c r="I162" s="1962">
        <v>235.28487000000001</v>
      </c>
    </row>
    <row r="163" spans="1:9" ht="12.75" hidden="1" outlineLevel="2" x14ac:dyDescent="0.2">
      <c r="A163" s="1961" t="s">
        <v>1875</v>
      </c>
      <c r="B163" s="1961" t="s">
        <v>1876</v>
      </c>
      <c r="C163" s="1961" t="s">
        <v>5718</v>
      </c>
      <c r="D163" s="1961" t="s">
        <v>1968</v>
      </c>
      <c r="E163" s="1961" t="s">
        <v>912</v>
      </c>
      <c r="F163" s="1962">
        <v>2321.9134800000002</v>
      </c>
      <c r="G163" s="1962">
        <v>2321.9134800000002</v>
      </c>
      <c r="H163" s="1962">
        <v>0</v>
      </c>
      <c r="I163" s="1962">
        <v>0</v>
      </c>
    </row>
    <row r="164" spans="1:9" ht="12.75" hidden="1" outlineLevel="2" x14ac:dyDescent="0.2">
      <c r="A164" s="1961" t="s">
        <v>1875</v>
      </c>
      <c r="B164" s="1961" t="s">
        <v>1876</v>
      </c>
      <c r="C164" s="1961" t="s">
        <v>5718</v>
      </c>
      <c r="D164" s="1961" t="s">
        <v>1968</v>
      </c>
      <c r="E164" s="1961" t="s">
        <v>920</v>
      </c>
      <c r="F164" s="1962">
        <v>2512.4530300000001</v>
      </c>
      <c r="G164" s="1962">
        <v>0</v>
      </c>
      <c r="H164" s="1962">
        <v>0</v>
      </c>
      <c r="I164" s="1962">
        <v>0</v>
      </c>
    </row>
    <row r="165" spans="1:9" ht="12.75" hidden="1" outlineLevel="2" x14ac:dyDescent="0.2">
      <c r="A165" s="1961" t="s">
        <v>1875</v>
      </c>
      <c r="B165" s="1961" t="s">
        <v>1876</v>
      </c>
      <c r="C165" s="1961" t="s">
        <v>5718</v>
      </c>
      <c r="D165" s="1961" t="s">
        <v>1968</v>
      </c>
      <c r="E165" s="1961" t="s">
        <v>921</v>
      </c>
      <c r="F165" s="1962">
        <v>606.86170000000004</v>
      </c>
      <c r="G165" s="1962">
        <v>0</v>
      </c>
      <c r="H165" s="1962">
        <v>606.86170000000004</v>
      </c>
      <c r="I165" s="1962">
        <v>0</v>
      </c>
    </row>
    <row r="166" spans="1:9" ht="12.75" hidden="1" outlineLevel="2" x14ac:dyDescent="0.2">
      <c r="A166" s="1961" t="s">
        <v>1875</v>
      </c>
      <c r="B166" s="1961" t="s">
        <v>1876</v>
      </c>
      <c r="C166" s="1961" t="s">
        <v>5718</v>
      </c>
      <c r="D166" s="1961" t="s">
        <v>1968</v>
      </c>
      <c r="E166" s="1961" t="s">
        <v>922</v>
      </c>
      <c r="F166" s="1962">
        <v>451.74918000000002</v>
      </c>
      <c r="G166" s="1962">
        <v>0</v>
      </c>
      <c r="H166" s="1962">
        <v>0</v>
      </c>
      <c r="I166" s="1962">
        <v>0</v>
      </c>
    </row>
    <row r="167" spans="1:9" ht="12.75" hidden="1" outlineLevel="2" x14ac:dyDescent="0.2">
      <c r="A167" s="1961" t="s">
        <v>1875</v>
      </c>
      <c r="B167" s="1961" t="s">
        <v>1876</v>
      </c>
      <c r="C167" s="1961" t="s">
        <v>5718</v>
      </c>
      <c r="D167" s="1961" t="s">
        <v>1968</v>
      </c>
      <c r="E167" s="1961" t="s">
        <v>923</v>
      </c>
      <c r="F167" s="1962">
        <v>102.13088999999999</v>
      </c>
      <c r="G167" s="1962">
        <v>0</v>
      </c>
      <c r="H167" s="1962">
        <v>0</v>
      </c>
      <c r="I167" s="1962">
        <v>0</v>
      </c>
    </row>
    <row r="168" spans="1:9" ht="12.75" hidden="1" outlineLevel="2" x14ac:dyDescent="0.2">
      <c r="A168" s="1961" t="s">
        <v>1875</v>
      </c>
      <c r="B168" s="1961" t="s">
        <v>1876</v>
      </c>
      <c r="C168" s="1961" t="s">
        <v>1969</v>
      </c>
      <c r="D168" s="1961" t="s">
        <v>1970</v>
      </c>
      <c r="E168" s="1961" t="s">
        <v>918</v>
      </c>
      <c r="F168" s="1962">
        <v>409.77933000000002</v>
      </c>
      <c r="G168" s="1962">
        <v>0</v>
      </c>
      <c r="H168" s="1962">
        <v>0</v>
      </c>
      <c r="I168" s="1962">
        <v>0</v>
      </c>
    </row>
    <row r="169" spans="1:9" ht="12.75" hidden="1" outlineLevel="2" x14ac:dyDescent="0.2">
      <c r="A169" s="1961" t="s">
        <v>1875</v>
      </c>
      <c r="B169" s="1961" t="s">
        <v>1876</v>
      </c>
      <c r="C169" s="1961" t="s">
        <v>1969</v>
      </c>
      <c r="D169" s="1961" t="s">
        <v>1970</v>
      </c>
      <c r="E169" s="1961" t="s">
        <v>919</v>
      </c>
      <c r="F169" s="1962">
        <v>989.02900999999997</v>
      </c>
      <c r="G169" s="1962">
        <v>0</v>
      </c>
      <c r="H169" s="1962">
        <v>0</v>
      </c>
      <c r="I169" s="1962">
        <v>989.02900999999997</v>
      </c>
    </row>
    <row r="170" spans="1:9" ht="12.75" hidden="1" outlineLevel="2" x14ac:dyDescent="0.2">
      <c r="A170" s="1961" t="s">
        <v>1875</v>
      </c>
      <c r="B170" s="1961" t="s">
        <v>1876</v>
      </c>
      <c r="C170" s="1961" t="s">
        <v>1969</v>
      </c>
      <c r="D170" s="1961" t="s">
        <v>1970</v>
      </c>
      <c r="E170" s="1961" t="s">
        <v>912</v>
      </c>
      <c r="F170" s="1962">
        <v>5060.9757900000004</v>
      </c>
      <c r="G170" s="1962">
        <v>5060.9757900000004</v>
      </c>
      <c r="H170" s="1962">
        <v>0</v>
      </c>
      <c r="I170" s="1962">
        <v>0</v>
      </c>
    </row>
    <row r="171" spans="1:9" ht="12.75" hidden="1" outlineLevel="2" x14ac:dyDescent="0.2">
      <c r="A171" s="1961" t="s">
        <v>1875</v>
      </c>
      <c r="B171" s="1961" t="s">
        <v>1876</v>
      </c>
      <c r="C171" s="1961" t="s">
        <v>1969</v>
      </c>
      <c r="D171" s="1961" t="s">
        <v>1970</v>
      </c>
      <c r="E171" s="1961" t="s">
        <v>920</v>
      </c>
      <c r="F171" s="1962">
        <v>7393.8295799999996</v>
      </c>
      <c r="G171" s="1962">
        <v>0</v>
      </c>
      <c r="H171" s="1962">
        <v>0</v>
      </c>
      <c r="I171" s="1962">
        <v>0</v>
      </c>
    </row>
    <row r="172" spans="1:9" ht="12.75" hidden="1" outlineLevel="2" x14ac:dyDescent="0.2">
      <c r="A172" s="1961" t="s">
        <v>1875</v>
      </c>
      <c r="B172" s="1961" t="s">
        <v>1876</v>
      </c>
      <c r="C172" s="1961" t="s">
        <v>1969</v>
      </c>
      <c r="D172" s="1961" t="s">
        <v>1970</v>
      </c>
      <c r="E172" s="1961" t="s">
        <v>921</v>
      </c>
      <c r="F172" s="1962">
        <v>1274.5101199999999</v>
      </c>
      <c r="G172" s="1962">
        <v>0</v>
      </c>
      <c r="H172" s="1962">
        <v>1274.5101199999999</v>
      </c>
      <c r="I172" s="1962">
        <v>0</v>
      </c>
    </row>
    <row r="173" spans="1:9" ht="12.75" hidden="1" outlineLevel="2" x14ac:dyDescent="0.2">
      <c r="A173" s="1961" t="s">
        <v>1875</v>
      </c>
      <c r="B173" s="1961" t="s">
        <v>1876</v>
      </c>
      <c r="C173" s="1961" t="s">
        <v>1969</v>
      </c>
      <c r="D173" s="1961" t="s">
        <v>1970</v>
      </c>
      <c r="E173" s="1961" t="s">
        <v>922</v>
      </c>
      <c r="F173" s="1962">
        <v>1218.7961299999999</v>
      </c>
      <c r="G173" s="1962">
        <v>0</v>
      </c>
      <c r="H173" s="1962">
        <v>0</v>
      </c>
      <c r="I173" s="1962">
        <v>0</v>
      </c>
    </row>
    <row r="174" spans="1:9" ht="12.75" hidden="1" outlineLevel="2" x14ac:dyDescent="0.2">
      <c r="A174" s="1961" t="s">
        <v>1875</v>
      </c>
      <c r="B174" s="1961" t="s">
        <v>1876</v>
      </c>
      <c r="C174" s="1961" t="s">
        <v>1969</v>
      </c>
      <c r="D174" s="1961" t="s">
        <v>1970</v>
      </c>
      <c r="E174" s="1961" t="s">
        <v>923</v>
      </c>
      <c r="F174" s="1962">
        <v>416.12781000000001</v>
      </c>
      <c r="G174" s="1962">
        <v>0</v>
      </c>
      <c r="H174" s="1962">
        <v>0</v>
      </c>
      <c r="I174" s="1962">
        <v>0</v>
      </c>
    </row>
    <row r="175" spans="1:9" ht="12.75" hidden="1" outlineLevel="2" x14ac:dyDescent="0.2">
      <c r="A175" s="1961" t="s">
        <v>1875</v>
      </c>
      <c r="B175" s="1961" t="s">
        <v>1876</v>
      </c>
      <c r="C175" s="1961" t="s">
        <v>1971</v>
      </c>
      <c r="D175" s="1961" t="s">
        <v>1972</v>
      </c>
      <c r="E175" s="1961" t="s">
        <v>918</v>
      </c>
      <c r="F175" s="1962">
        <v>319.26733000000002</v>
      </c>
      <c r="G175" s="1962">
        <v>0</v>
      </c>
      <c r="H175" s="1962">
        <v>0</v>
      </c>
      <c r="I175" s="1962">
        <v>0</v>
      </c>
    </row>
    <row r="176" spans="1:9" ht="12.75" hidden="1" outlineLevel="2" x14ac:dyDescent="0.2">
      <c r="A176" s="1961" t="s">
        <v>1875</v>
      </c>
      <c r="B176" s="1961" t="s">
        <v>1876</v>
      </c>
      <c r="C176" s="1961" t="s">
        <v>1971</v>
      </c>
      <c r="D176" s="1961" t="s">
        <v>1972</v>
      </c>
      <c r="E176" s="1961" t="s">
        <v>919</v>
      </c>
      <c r="F176" s="1962">
        <v>791.29956000000004</v>
      </c>
      <c r="G176" s="1962">
        <v>0</v>
      </c>
      <c r="H176" s="1962">
        <v>0</v>
      </c>
      <c r="I176" s="1962">
        <v>791.29956000000004</v>
      </c>
    </row>
    <row r="177" spans="1:9" ht="12.75" hidden="1" outlineLevel="2" x14ac:dyDescent="0.2">
      <c r="A177" s="1961" t="s">
        <v>1875</v>
      </c>
      <c r="B177" s="1961" t="s">
        <v>1876</v>
      </c>
      <c r="C177" s="1961" t="s">
        <v>1971</v>
      </c>
      <c r="D177" s="1961" t="s">
        <v>1972</v>
      </c>
      <c r="E177" s="1961" t="s">
        <v>912</v>
      </c>
      <c r="F177" s="1962">
        <v>1816.7558100000001</v>
      </c>
      <c r="G177" s="1962">
        <v>1816.7558100000001</v>
      </c>
      <c r="H177" s="1962">
        <v>0</v>
      </c>
      <c r="I177" s="1962">
        <v>0</v>
      </c>
    </row>
    <row r="178" spans="1:9" ht="12.75" hidden="1" outlineLevel="2" x14ac:dyDescent="0.2">
      <c r="A178" s="1961" t="s">
        <v>1875</v>
      </c>
      <c r="B178" s="1961" t="s">
        <v>1876</v>
      </c>
      <c r="C178" s="1961" t="s">
        <v>1971</v>
      </c>
      <c r="D178" s="1961" t="s">
        <v>1972</v>
      </c>
      <c r="E178" s="1961" t="s">
        <v>920</v>
      </c>
      <c r="F178" s="1962">
        <v>7588.5116200000002</v>
      </c>
      <c r="G178" s="1962">
        <v>0</v>
      </c>
      <c r="H178" s="1962">
        <v>0</v>
      </c>
      <c r="I178" s="1962">
        <v>0</v>
      </c>
    </row>
    <row r="179" spans="1:9" ht="12.75" hidden="1" outlineLevel="2" x14ac:dyDescent="0.2">
      <c r="A179" s="1961" t="s">
        <v>1875</v>
      </c>
      <c r="B179" s="1961" t="s">
        <v>1876</v>
      </c>
      <c r="C179" s="1961" t="s">
        <v>1971</v>
      </c>
      <c r="D179" s="1961" t="s">
        <v>1972</v>
      </c>
      <c r="E179" s="1961" t="s">
        <v>921</v>
      </c>
      <c r="F179" s="1962">
        <v>801.02436</v>
      </c>
      <c r="G179" s="1962">
        <v>0</v>
      </c>
      <c r="H179" s="1962">
        <v>801.02436</v>
      </c>
      <c r="I179" s="1962">
        <v>0</v>
      </c>
    </row>
    <row r="180" spans="1:9" ht="12.75" hidden="1" outlineLevel="2" x14ac:dyDescent="0.2">
      <c r="A180" s="1961" t="s">
        <v>1875</v>
      </c>
      <c r="B180" s="1961" t="s">
        <v>1876</v>
      </c>
      <c r="C180" s="1961" t="s">
        <v>1971</v>
      </c>
      <c r="D180" s="1961" t="s">
        <v>1972</v>
      </c>
      <c r="E180" s="1961" t="s">
        <v>922</v>
      </c>
      <c r="F180" s="1962">
        <v>777.79345000000001</v>
      </c>
      <c r="G180" s="1962">
        <v>0</v>
      </c>
      <c r="H180" s="1962">
        <v>0</v>
      </c>
      <c r="I180" s="1962">
        <v>0</v>
      </c>
    </row>
    <row r="181" spans="1:9" ht="12.75" hidden="1" outlineLevel="2" x14ac:dyDescent="0.2">
      <c r="A181" s="1961" t="s">
        <v>1875</v>
      </c>
      <c r="B181" s="1961" t="s">
        <v>1876</v>
      </c>
      <c r="C181" s="1961" t="s">
        <v>1971</v>
      </c>
      <c r="D181" s="1961" t="s">
        <v>1972</v>
      </c>
      <c r="E181" s="1961" t="s">
        <v>923</v>
      </c>
      <c r="F181" s="1962">
        <v>154.06943000000001</v>
      </c>
      <c r="G181" s="1962">
        <v>0</v>
      </c>
      <c r="H181" s="1962">
        <v>0</v>
      </c>
      <c r="I181" s="1962">
        <v>0</v>
      </c>
    </row>
    <row r="182" spans="1:9" ht="12.75" hidden="1" outlineLevel="2" x14ac:dyDescent="0.2">
      <c r="A182" s="1961" t="s">
        <v>1875</v>
      </c>
      <c r="B182" s="1961" t="s">
        <v>1876</v>
      </c>
      <c r="C182" s="1961" t="s">
        <v>1973</v>
      </c>
      <c r="D182" s="1961" t="s">
        <v>1974</v>
      </c>
      <c r="E182" s="1961" t="s">
        <v>918</v>
      </c>
      <c r="F182" s="1962">
        <v>15.271800000000001</v>
      </c>
      <c r="G182" s="1962">
        <v>0</v>
      </c>
      <c r="H182" s="1962">
        <v>0</v>
      </c>
      <c r="I182" s="1962">
        <v>0</v>
      </c>
    </row>
    <row r="183" spans="1:9" ht="12.75" hidden="1" outlineLevel="2" x14ac:dyDescent="0.2">
      <c r="A183" s="1961" t="s">
        <v>1875</v>
      </c>
      <c r="B183" s="1961" t="s">
        <v>1876</v>
      </c>
      <c r="C183" s="1961" t="s">
        <v>1973</v>
      </c>
      <c r="D183" s="1961" t="s">
        <v>1974</v>
      </c>
      <c r="E183" s="1961" t="s">
        <v>919</v>
      </c>
      <c r="F183" s="1962">
        <v>7.5647200000000003</v>
      </c>
      <c r="G183" s="1962">
        <v>0</v>
      </c>
      <c r="H183" s="1962">
        <v>0</v>
      </c>
      <c r="I183" s="1962">
        <v>7.5647200000000003</v>
      </c>
    </row>
    <row r="184" spans="1:9" ht="12.75" hidden="1" outlineLevel="2" x14ac:dyDescent="0.2">
      <c r="A184" s="1961" t="s">
        <v>1875</v>
      </c>
      <c r="B184" s="1961" t="s">
        <v>1876</v>
      </c>
      <c r="C184" s="1961" t="s">
        <v>1973</v>
      </c>
      <c r="D184" s="1961" t="s">
        <v>1974</v>
      </c>
      <c r="E184" s="1961" t="s">
        <v>912</v>
      </c>
      <c r="F184" s="1962">
        <v>116.49216</v>
      </c>
      <c r="G184" s="1962">
        <v>116.49216</v>
      </c>
      <c r="H184" s="1962">
        <v>0</v>
      </c>
      <c r="I184" s="1962">
        <v>0</v>
      </c>
    </row>
    <row r="185" spans="1:9" ht="12.75" hidden="1" outlineLevel="2" x14ac:dyDescent="0.2">
      <c r="A185" s="1961" t="s">
        <v>1875</v>
      </c>
      <c r="B185" s="1961" t="s">
        <v>1876</v>
      </c>
      <c r="C185" s="1961" t="s">
        <v>1973</v>
      </c>
      <c r="D185" s="1961" t="s">
        <v>1974</v>
      </c>
      <c r="E185" s="1961" t="s">
        <v>920</v>
      </c>
      <c r="F185" s="1962">
        <v>265.33596</v>
      </c>
      <c r="G185" s="1962">
        <v>0</v>
      </c>
      <c r="H185" s="1962">
        <v>0</v>
      </c>
      <c r="I185" s="1962">
        <v>0</v>
      </c>
    </row>
    <row r="186" spans="1:9" ht="12.75" hidden="1" outlineLevel="2" x14ac:dyDescent="0.2">
      <c r="A186" s="1961" t="s">
        <v>1875</v>
      </c>
      <c r="B186" s="1961" t="s">
        <v>1876</v>
      </c>
      <c r="C186" s="1961" t="s">
        <v>1973</v>
      </c>
      <c r="D186" s="1961" t="s">
        <v>1974</v>
      </c>
      <c r="E186" s="1961" t="s">
        <v>921</v>
      </c>
      <c r="F186" s="1962">
        <v>20.705639999999999</v>
      </c>
      <c r="G186" s="1962">
        <v>0</v>
      </c>
      <c r="H186" s="1962">
        <v>20.705639999999999</v>
      </c>
      <c r="I186" s="1962">
        <v>0</v>
      </c>
    </row>
    <row r="187" spans="1:9" ht="12.75" hidden="1" outlineLevel="2" x14ac:dyDescent="0.2">
      <c r="A187" s="1961" t="s">
        <v>1875</v>
      </c>
      <c r="B187" s="1961" t="s">
        <v>1876</v>
      </c>
      <c r="C187" s="1961" t="s">
        <v>1973</v>
      </c>
      <c r="D187" s="1961" t="s">
        <v>1974</v>
      </c>
      <c r="E187" s="1961" t="s">
        <v>922</v>
      </c>
      <c r="F187" s="1962">
        <v>30.704219999999999</v>
      </c>
      <c r="G187" s="1962">
        <v>0</v>
      </c>
      <c r="H187" s="1962">
        <v>0</v>
      </c>
      <c r="I187" s="1962">
        <v>0</v>
      </c>
    </row>
    <row r="188" spans="1:9" ht="12.75" hidden="1" outlineLevel="2" x14ac:dyDescent="0.2">
      <c r="A188" s="1961" t="s">
        <v>1875</v>
      </c>
      <c r="B188" s="1961" t="s">
        <v>1876</v>
      </c>
      <c r="C188" s="1961" t="s">
        <v>1973</v>
      </c>
      <c r="D188" s="1961" t="s">
        <v>1974</v>
      </c>
      <c r="E188" s="1961" t="s">
        <v>923</v>
      </c>
      <c r="F188" s="1962">
        <v>5.3248499999999996</v>
      </c>
      <c r="G188" s="1962">
        <v>0</v>
      </c>
      <c r="H188" s="1962">
        <v>0</v>
      </c>
      <c r="I188" s="1962">
        <v>0</v>
      </c>
    </row>
    <row r="189" spans="1:9" ht="12.75" hidden="1" outlineLevel="2" x14ac:dyDescent="0.2">
      <c r="A189" s="1961" t="s">
        <v>1875</v>
      </c>
      <c r="B189" s="1961" t="s">
        <v>1876</v>
      </c>
      <c r="C189" s="1961" t="s">
        <v>1975</v>
      </c>
      <c r="D189" s="1961" t="s">
        <v>1976</v>
      </c>
      <c r="E189" s="1961" t="s">
        <v>918</v>
      </c>
      <c r="F189" s="1962">
        <v>28.322230000000001</v>
      </c>
      <c r="G189" s="1962">
        <v>0</v>
      </c>
      <c r="H189" s="1962">
        <v>0</v>
      </c>
      <c r="I189" s="1962">
        <v>0</v>
      </c>
    </row>
    <row r="190" spans="1:9" ht="12.75" hidden="1" outlineLevel="2" x14ac:dyDescent="0.2">
      <c r="A190" s="1961" t="s">
        <v>1875</v>
      </c>
      <c r="B190" s="1961" t="s">
        <v>1876</v>
      </c>
      <c r="C190" s="1961" t="s">
        <v>1975</v>
      </c>
      <c r="D190" s="1961" t="s">
        <v>1976</v>
      </c>
      <c r="E190" s="1961" t="s">
        <v>919</v>
      </c>
      <c r="F190" s="1962">
        <v>34.198059999999998</v>
      </c>
      <c r="G190" s="1962">
        <v>0</v>
      </c>
      <c r="H190" s="1962">
        <v>0</v>
      </c>
      <c r="I190" s="1962">
        <v>34.198059999999998</v>
      </c>
    </row>
    <row r="191" spans="1:9" ht="12.75" hidden="1" outlineLevel="2" x14ac:dyDescent="0.2">
      <c r="A191" s="1961" t="s">
        <v>1875</v>
      </c>
      <c r="B191" s="1961" t="s">
        <v>1876</v>
      </c>
      <c r="C191" s="1961" t="s">
        <v>1975</v>
      </c>
      <c r="D191" s="1961" t="s">
        <v>1976</v>
      </c>
      <c r="E191" s="1961" t="s">
        <v>912</v>
      </c>
      <c r="F191" s="1962">
        <v>617.96864000000005</v>
      </c>
      <c r="G191" s="1962">
        <v>617.96864000000005</v>
      </c>
      <c r="H191" s="1962">
        <v>0</v>
      </c>
      <c r="I191" s="1962">
        <v>0</v>
      </c>
    </row>
    <row r="192" spans="1:9" ht="12.75" hidden="1" outlineLevel="2" x14ac:dyDescent="0.2">
      <c r="A192" s="1961" t="s">
        <v>1875</v>
      </c>
      <c r="B192" s="1961" t="s">
        <v>1876</v>
      </c>
      <c r="C192" s="1961" t="s">
        <v>1975</v>
      </c>
      <c r="D192" s="1961" t="s">
        <v>1976</v>
      </c>
      <c r="E192" s="1961" t="s">
        <v>920</v>
      </c>
      <c r="F192" s="1962">
        <v>1164.6346000000001</v>
      </c>
      <c r="G192" s="1962">
        <v>0</v>
      </c>
      <c r="H192" s="1962">
        <v>0</v>
      </c>
      <c r="I192" s="1962">
        <v>0</v>
      </c>
    </row>
    <row r="193" spans="1:9" ht="12.75" hidden="1" outlineLevel="2" x14ac:dyDescent="0.2">
      <c r="A193" s="1961" t="s">
        <v>1875</v>
      </c>
      <c r="B193" s="1961" t="s">
        <v>1876</v>
      </c>
      <c r="C193" s="1961" t="s">
        <v>1975</v>
      </c>
      <c r="D193" s="1961" t="s">
        <v>1976</v>
      </c>
      <c r="E193" s="1961" t="s">
        <v>921</v>
      </c>
      <c r="F193" s="1962">
        <v>112.81665</v>
      </c>
      <c r="G193" s="1962">
        <v>0</v>
      </c>
      <c r="H193" s="1962">
        <v>112.81665</v>
      </c>
      <c r="I193" s="1962">
        <v>0</v>
      </c>
    </row>
    <row r="194" spans="1:9" ht="12.75" hidden="1" outlineLevel="2" x14ac:dyDescent="0.2">
      <c r="A194" s="1961" t="s">
        <v>1875</v>
      </c>
      <c r="B194" s="1961" t="s">
        <v>1876</v>
      </c>
      <c r="C194" s="1961" t="s">
        <v>1975</v>
      </c>
      <c r="D194" s="1961" t="s">
        <v>1976</v>
      </c>
      <c r="E194" s="1961" t="s">
        <v>922</v>
      </c>
      <c r="F194" s="1962">
        <v>241.03602000000001</v>
      </c>
      <c r="G194" s="1962">
        <v>0</v>
      </c>
      <c r="H194" s="1962">
        <v>0</v>
      </c>
      <c r="I194" s="1962">
        <v>0</v>
      </c>
    </row>
    <row r="195" spans="1:9" ht="12.75" hidden="1" outlineLevel="2" x14ac:dyDescent="0.2">
      <c r="A195" s="1961" t="s">
        <v>1875</v>
      </c>
      <c r="B195" s="1961" t="s">
        <v>1876</v>
      </c>
      <c r="C195" s="1961" t="s">
        <v>1975</v>
      </c>
      <c r="D195" s="1961" t="s">
        <v>1976</v>
      </c>
      <c r="E195" s="1961" t="s">
        <v>923</v>
      </c>
      <c r="F195" s="1962">
        <v>61.921520000000001</v>
      </c>
      <c r="G195" s="1962">
        <v>0</v>
      </c>
      <c r="H195" s="1962">
        <v>0</v>
      </c>
      <c r="I195" s="1962">
        <v>0</v>
      </c>
    </row>
    <row r="196" spans="1:9" ht="12.75" hidden="1" outlineLevel="2" x14ac:dyDescent="0.2">
      <c r="A196" s="1961" t="s">
        <v>1875</v>
      </c>
      <c r="B196" s="1961" t="s">
        <v>1876</v>
      </c>
      <c r="C196" s="1961" t="s">
        <v>1977</v>
      </c>
      <c r="D196" s="1961" t="s">
        <v>1878</v>
      </c>
      <c r="E196" s="1961" t="s">
        <v>919</v>
      </c>
      <c r="F196" s="1962">
        <v>8.276E-2</v>
      </c>
      <c r="G196" s="1962">
        <v>0</v>
      </c>
      <c r="H196" s="1962">
        <v>0</v>
      </c>
      <c r="I196" s="1962">
        <v>8.276E-2</v>
      </c>
    </row>
    <row r="197" spans="1:9" ht="12.75" hidden="1" outlineLevel="2" x14ac:dyDescent="0.2">
      <c r="A197" s="1961" t="s">
        <v>1875</v>
      </c>
      <c r="B197" s="1961" t="s">
        <v>1876</v>
      </c>
      <c r="C197" s="1961" t="s">
        <v>1977</v>
      </c>
      <c r="D197" s="1961" t="s">
        <v>1878</v>
      </c>
      <c r="E197" s="1961" t="s">
        <v>912</v>
      </c>
      <c r="F197" s="1962">
        <v>2.1839999999999998E-2</v>
      </c>
      <c r="G197" s="1962">
        <v>2.1839999999999998E-2</v>
      </c>
      <c r="H197" s="1962">
        <v>0</v>
      </c>
      <c r="I197" s="1962">
        <v>0</v>
      </c>
    </row>
    <row r="198" spans="1:9" ht="12.75" hidden="1" outlineLevel="2" x14ac:dyDescent="0.2">
      <c r="A198" s="1961" t="s">
        <v>1875</v>
      </c>
      <c r="B198" s="1961" t="s">
        <v>1876</v>
      </c>
      <c r="C198" s="1961" t="s">
        <v>1977</v>
      </c>
      <c r="D198" s="1961" t="s">
        <v>1878</v>
      </c>
      <c r="E198" s="1961" t="s">
        <v>1083</v>
      </c>
      <c r="F198" s="1962">
        <v>2.5159999999999998E-2</v>
      </c>
      <c r="G198" s="1962">
        <v>6.8168233216711234E-3</v>
      </c>
      <c r="H198" s="1962">
        <v>1.9166658783337175E-3</v>
      </c>
      <c r="I198" s="1962">
        <v>1.3620708517427134E-3</v>
      </c>
    </row>
    <row r="199" spans="1:9" ht="12.75" hidden="1" outlineLevel="2" x14ac:dyDescent="0.2">
      <c r="A199" s="1961" t="s">
        <v>1875</v>
      </c>
      <c r="B199" s="1961" t="s">
        <v>1876</v>
      </c>
      <c r="C199" s="1961" t="s">
        <v>1977</v>
      </c>
      <c r="D199" s="1961" t="s">
        <v>1878</v>
      </c>
      <c r="E199" s="1961" t="s">
        <v>913</v>
      </c>
      <c r="F199" s="1962">
        <v>2.38287</v>
      </c>
      <c r="G199" s="1962">
        <v>0.6665790256497266</v>
      </c>
      <c r="H199" s="1962">
        <v>0.17787953135985987</v>
      </c>
      <c r="I199" s="1962">
        <v>0.12708438190241586</v>
      </c>
    </row>
    <row r="200" spans="1:9" ht="12.75" hidden="1" outlineLevel="2" x14ac:dyDescent="0.2">
      <c r="A200" s="1961" t="s">
        <v>1875</v>
      </c>
      <c r="B200" s="1961" t="s">
        <v>1876</v>
      </c>
      <c r="C200" s="1961" t="s">
        <v>1977</v>
      </c>
      <c r="D200" s="1961" t="s">
        <v>1878</v>
      </c>
      <c r="E200" s="1961" t="s">
        <v>920</v>
      </c>
      <c r="F200" s="1962">
        <v>1.9645900000000001</v>
      </c>
      <c r="G200" s="1962">
        <v>0</v>
      </c>
      <c r="H200" s="1962">
        <v>0</v>
      </c>
      <c r="I200" s="1962">
        <v>0</v>
      </c>
    </row>
    <row r="201" spans="1:9" ht="12.75" hidden="1" outlineLevel="2" x14ac:dyDescent="0.2">
      <c r="A201" s="1961" t="s">
        <v>1875</v>
      </c>
      <c r="B201" s="1961" t="s">
        <v>1876</v>
      </c>
      <c r="C201" s="1961" t="s">
        <v>1977</v>
      </c>
      <c r="D201" s="1961" t="s">
        <v>1878</v>
      </c>
      <c r="E201" s="1961" t="s">
        <v>922</v>
      </c>
      <c r="F201" s="1962">
        <v>0.98</v>
      </c>
      <c r="G201" s="1962">
        <v>0</v>
      </c>
      <c r="H201" s="1962">
        <v>0</v>
      </c>
      <c r="I201" s="1962">
        <v>0</v>
      </c>
    </row>
    <row r="202" spans="1:9" ht="12.75" hidden="1" outlineLevel="2" x14ac:dyDescent="0.2">
      <c r="A202" s="1961" t="s">
        <v>1875</v>
      </c>
      <c r="B202" s="1961" t="s">
        <v>1876</v>
      </c>
      <c r="C202" s="1961" t="s">
        <v>1977</v>
      </c>
      <c r="D202" s="1961" t="s">
        <v>1878</v>
      </c>
      <c r="E202" s="1961" t="s">
        <v>923</v>
      </c>
      <c r="F202" s="1962">
        <v>0.40967999999999999</v>
      </c>
      <c r="G202" s="1962">
        <v>0</v>
      </c>
      <c r="H202" s="1962">
        <v>0</v>
      </c>
      <c r="I202" s="1962">
        <v>0</v>
      </c>
    </row>
    <row r="203" spans="1:9" ht="12.75" hidden="1" outlineLevel="2" x14ac:dyDescent="0.2">
      <c r="A203" s="1961" t="s">
        <v>1875</v>
      </c>
      <c r="B203" s="1961" t="s">
        <v>1876</v>
      </c>
      <c r="C203" s="1961" t="s">
        <v>1978</v>
      </c>
      <c r="D203" s="1961" t="s">
        <v>1880</v>
      </c>
      <c r="E203" s="1961" t="s">
        <v>918</v>
      </c>
      <c r="F203" s="1962">
        <v>77.428709999999995</v>
      </c>
      <c r="G203" s="1962">
        <v>0</v>
      </c>
      <c r="H203" s="1962">
        <v>0</v>
      </c>
      <c r="I203" s="1962">
        <v>0</v>
      </c>
    </row>
    <row r="204" spans="1:9" ht="12.75" hidden="1" outlineLevel="2" x14ac:dyDescent="0.2">
      <c r="A204" s="1961" t="s">
        <v>1875</v>
      </c>
      <c r="B204" s="1961" t="s">
        <v>1876</v>
      </c>
      <c r="C204" s="1961" t="s">
        <v>1978</v>
      </c>
      <c r="D204" s="1961" t="s">
        <v>1880</v>
      </c>
      <c r="E204" s="1961" t="s">
        <v>1754</v>
      </c>
      <c r="F204" s="1962">
        <v>209.58015</v>
      </c>
      <c r="G204" s="1962">
        <v>63.885545044444427</v>
      </c>
      <c r="H204" s="1962">
        <v>13.981066040982927</v>
      </c>
      <c r="I204" s="1962">
        <v>8.9494221846159707</v>
      </c>
    </row>
    <row r="205" spans="1:9" ht="12.75" hidden="1" outlineLevel="2" x14ac:dyDescent="0.2">
      <c r="A205" s="1961" t="s">
        <v>1875</v>
      </c>
      <c r="B205" s="1961" t="s">
        <v>1876</v>
      </c>
      <c r="C205" s="1961" t="s">
        <v>1978</v>
      </c>
      <c r="D205" s="1961" t="s">
        <v>1880</v>
      </c>
      <c r="E205" s="1961" t="s">
        <v>919</v>
      </c>
      <c r="F205" s="1962">
        <v>246.80674999999999</v>
      </c>
      <c r="G205" s="1962">
        <v>0</v>
      </c>
      <c r="H205" s="1962">
        <v>0</v>
      </c>
      <c r="I205" s="1962">
        <v>246.80674999999999</v>
      </c>
    </row>
    <row r="206" spans="1:9" ht="12.75" hidden="1" outlineLevel="2" x14ac:dyDescent="0.2">
      <c r="A206" s="1961" t="s">
        <v>1875</v>
      </c>
      <c r="B206" s="1961" t="s">
        <v>1876</v>
      </c>
      <c r="C206" s="1961" t="s">
        <v>1978</v>
      </c>
      <c r="D206" s="1961" t="s">
        <v>1880</v>
      </c>
      <c r="E206" s="1961" t="s">
        <v>912</v>
      </c>
      <c r="F206" s="1962">
        <v>797.75665000000004</v>
      </c>
      <c r="G206" s="1962">
        <v>797.75665000000004</v>
      </c>
      <c r="H206" s="1962">
        <v>0</v>
      </c>
      <c r="I206" s="1962">
        <v>0</v>
      </c>
    </row>
    <row r="207" spans="1:9" ht="12.75" hidden="1" outlineLevel="2" x14ac:dyDescent="0.2">
      <c r="A207" s="1961" t="s">
        <v>1875</v>
      </c>
      <c r="B207" s="1961" t="s">
        <v>1876</v>
      </c>
      <c r="C207" s="1961" t="s">
        <v>1978</v>
      </c>
      <c r="D207" s="1961" t="s">
        <v>1880</v>
      </c>
      <c r="E207" s="1961" t="s">
        <v>906</v>
      </c>
      <c r="F207" s="1962">
        <v>23.99428</v>
      </c>
      <c r="G207" s="1962">
        <v>6.1994507656946931</v>
      </c>
      <c r="H207" s="1962">
        <v>1.7134579778401064</v>
      </c>
      <c r="I207" s="1962">
        <v>1.415958619111445</v>
      </c>
    </row>
    <row r="208" spans="1:9" ht="12.75" hidden="1" outlineLevel="2" x14ac:dyDescent="0.2">
      <c r="A208" s="1961" t="s">
        <v>1875</v>
      </c>
      <c r="B208" s="1961" t="s">
        <v>1876</v>
      </c>
      <c r="C208" s="1961" t="s">
        <v>1978</v>
      </c>
      <c r="D208" s="1961" t="s">
        <v>1880</v>
      </c>
      <c r="E208" s="1961" t="s">
        <v>1083</v>
      </c>
      <c r="F208" s="1962">
        <v>278.18383999999998</v>
      </c>
      <c r="G208" s="1962">
        <v>75.370830215581407</v>
      </c>
      <c r="H208" s="1962">
        <v>21.191791495701363</v>
      </c>
      <c r="I208" s="1962">
        <v>15.059860885924431</v>
      </c>
    </row>
    <row r="209" spans="1:9" ht="12.75" hidden="1" outlineLevel="2" x14ac:dyDescent="0.2">
      <c r="A209" s="1961" t="s">
        <v>1875</v>
      </c>
      <c r="B209" s="1961" t="s">
        <v>1876</v>
      </c>
      <c r="C209" s="1961" t="s">
        <v>1978</v>
      </c>
      <c r="D209" s="1961" t="s">
        <v>1880</v>
      </c>
      <c r="E209" s="1961" t="s">
        <v>913</v>
      </c>
      <c r="F209" s="1962">
        <v>2487.4153999999999</v>
      </c>
      <c r="G209" s="1962">
        <v>695.82433524200849</v>
      </c>
      <c r="H209" s="1962">
        <v>185.68377026413458</v>
      </c>
      <c r="I209" s="1962">
        <v>132.66004802760978</v>
      </c>
    </row>
    <row r="210" spans="1:9" ht="12.75" hidden="1" outlineLevel="2" x14ac:dyDescent="0.2">
      <c r="A210" s="1961" t="s">
        <v>1875</v>
      </c>
      <c r="B210" s="1961" t="s">
        <v>1876</v>
      </c>
      <c r="C210" s="1961" t="s">
        <v>1978</v>
      </c>
      <c r="D210" s="1961" t="s">
        <v>1880</v>
      </c>
      <c r="E210" s="1961" t="s">
        <v>920</v>
      </c>
      <c r="F210" s="1962">
        <v>1231.8082400000001</v>
      </c>
      <c r="G210" s="1962">
        <v>0</v>
      </c>
      <c r="H210" s="1962">
        <v>0</v>
      </c>
      <c r="I210" s="1962">
        <v>0</v>
      </c>
    </row>
    <row r="211" spans="1:9" ht="12.75" hidden="1" outlineLevel="2" x14ac:dyDescent="0.2">
      <c r="A211" s="1961" t="s">
        <v>1875</v>
      </c>
      <c r="B211" s="1961" t="s">
        <v>1876</v>
      </c>
      <c r="C211" s="1961" t="s">
        <v>1978</v>
      </c>
      <c r="D211" s="1961" t="s">
        <v>1880</v>
      </c>
      <c r="E211" s="1961" t="s">
        <v>921</v>
      </c>
      <c r="F211" s="1962">
        <v>245.35647</v>
      </c>
      <c r="G211" s="1962">
        <v>0</v>
      </c>
      <c r="H211" s="1962">
        <v>245.35647</v>
      </c>
      <c r="I211" s="1962">
        <v>0</v>
      </c>
    </row>
    <row r="212" spans="1:9" ht="12.75" hidden="1" outlineLevel="2" x14ac:dyDescent="0.2">
      <c r="A212" s="1961" t="s">
        <v>1875</v>
      </c>
      <c r="B212" s="1961" t="s">
        <v>1876</v>
      </c>
      <c r="C212" s="1961" t="s">
        <v>1978</v>
      </c>
      <c r="D212" s="1961" t="s">
        <v>1880</v>
      </c>
      <c r="E212" s="1961" t="s">
        <v>922</v>
      </c>
      <c r="F212" s="1962">
        <v>352.03474999999997</v>
      </c>
      <c r="G212" s="1962">
        <v>0</v>
      </c>
      <c r="H212" s="1962">
        <v>0</v>
      </c>
      <c r="I212" s="1962">
        <v>0</v>
      </c>
    </row>
    <row r="213" spans="1:9" ht="12.75" hidden="1" outlineLevel="2" x14ac:dyDescent="0.2">
      <c r="A213" s="1961" t="s">
        <v>1875</v>
      </c>
      <c r="B213" s="1961" t="s">
        <v>1876</v>
      </c>
      <c r="C213" s="1961" t="s">
        <v>1978</v>
      </c>
      <c r="D213" s="1961" t="s">
        <v>1880</v>
      </c>
      <c r="E213" s="1961" t="s">
        <v>923</v>
      </c>
      <c r="F213" s="1962">
        <v>121.96697</v>
      </c>
      <c r="G213" s="1962">
        <v>0</v>
      </c>
      <c r="H213" s="1962">
        <v>0</v>
      </c>
      <c r="I213" s="1962">
        <v>0</v>
      </c>
    </row>
    <row r="214" spans="1:9" ht="12.75" hidden="1" outlineLevel="2" x14ac:dyDescent="0.2">
      <c r="A214" s="1961" t="s">
        <v>1875</v>
      </c>
      <c r="B214" s="1961" t="s">
        <v>1876</v>
      </c>
      <c r="C214" s="1961" t="s">
        <v>5719</v>
      </c>
      <c r="D214" s="1961" t="s">
        <v>1979</v>
      </c>
      <c r="E214" s="1961" t="s">
        <v>918</v>
      </c>
      <c r="F214" s="1962">
        <v>5.2779400000000001</v>
      </c>
      <c r="G214" s="1962">
        <v>0</v>
      </c>
      <c r="H214" s="1962">
        <v>0</v>
      </c>
      <c r="I214" s="1962">
        <v>0</v>
      </c>
    </row>
    <row r="215" spans="1:9" ht="12.75" hidden="1" outlineLevel="2" x14ac:dyDescent="0.2">
      <c r="A215" s="1961" t="s">
        <v>1875</v>
      </c>
      <c r="B215" s="1961" t="s">
        <v>1876</v>
      </c>
      <c r="C215" s="1961" t="s">
        <v>5719</v>
      </c>
      <c r="D215" s="1961" t="s">
        <v>1979</v>
      </c>
      <c r="E215" s="1961" t="s">
        <v>1754</v>
      </c>
      <c r="F215" s="1962">
        <v>31.59769</v>
      </c>
      <c r="G215" s="1962">
        <v>9.6318074388027259</v>
      </c>
      <c r="H215" s="1962">
        <v>2.107878015320181</v>
      </c>
      <c r="I215" s="1962">
        <v>1.3492740980890519</v>
      </c>
    </row>
    <row r="216" spans="1:9" ht="12.75" hidden="1" outlineLevel="2" x14ac:dyDescent="0.2">
      <c r="A216" s="1961" t="s">
        <v>1875</v>
      </c>
      <c r="B216" s="1961" t="s">
        <v>1876</v>
      </c>
      <c r="C216" s="1961" t="s">
        <v>5719</v>
      </c>
      <c r="D216" s="1961" t="s">
        <v>1979</v>
      </c>
      <c r="E216" s="1961" t="s">
        <v>919</v>
      </c>
      <c r="F216" s="1962">
        <v>3.9914800000000001</v>
      </c>
      <c r="G216" s="1962">
        <v>0</v>
      </c>
      <c r="H216" s="1962">
        <v>0</v>
      </c>
      <c r="I216" s="1962">
        <v>3.9914800000000001</v>
      </c>
    </row>
    <row r="217" spans="1:9" ht="12.75" hidden="1" outlineLevel="2" x14ac:dyDescent="0.2">
      <c r="A217" s="1961" t="s">
        <v>1875</v>
      </c>
      <c r="B217" s="1961" t="s">
        <v>1876</v>
      </c>
      <c r="C217" s="1961" t="s">
        <v>5719</v>
      </c>
      <c r="D217" s="1961" t="s">
        <v>1979</v>
      </c>
      <c r="E217" s="1961" t="s">
        <v>912</v>
      </c>
      <c r="F217" s="1962">
        <v>66.580539999999999</v>
      </c>
      <c r="G217" s="1962">
        <v>66.580539999999999</v>
      </c>
      <c r="H217" s="1962">
        <v>0</v>
      </c>
      <c r="I217" s="1962">
        <v>0</v>
      </c>
    </row>
    <row r="218" spans="1:9" ht="12.75" hidden="1" outlineLevel="2" x14ac:dyDescent="0.2">
      <c r="A218" s="1961" t="s">
        <v>1875</v>
      </c>
      <c r="B218" s="1961" t="s">
        <v>1876</v>
      </c>
      <c r="C218" s="1961" t="s">
        <v>5719</v>
      </c>
      <c r="D218" s="1961" t="s">
        <v>1979</v>
      </c>
      <c r="E218" s="1961" t="s">
        <v>906</v>
      </c>
      <c r="F218" s="1962">
        <v>0.19248999999999999</v>
      </c>
      <c r="G218" s="1962">
        <v>4.9372310684738158E-2</v>
      </c>
      <c r="H218" s="1962">
        <v>1.364594749187998E-2</v>
      </c>
      <c r="I218" s="1962">
        <v>1.1276668127820716E-2</v>
      </c>
    </row>
    <row r="219" spans="1:9" ht="12.75" hidden="1" outlineLevel="2" x14ac:dyDescent="0.2">
      <c r="A219" s="1961" t="s">
        <v>1875</v>
      </c>
      <c r="B219" s="1961" t="s">
        <v>1876</v>
      </c>
      <c r="C219" s="1961" t="s">
        <v>5719</v>
      </c>
      <c r="D219" s="1961" t="s">
        <v>1979</v>
      </c>
      <c r="E219" s="1961" t="s">
        <v>1083</v>
      </c>
      <c r="F219" s="1962">
        <v>100.38199</v>
      </c>
      <c r="G219" s="1962">
        <v>27.197388334966519</v>
      </c>
      <c r="H219" s="1962">
        <v>7.647008546591274</v>
      </c>
      <c r="I219" s="1962">
        <v>5.4343156843771281</v>
      </c>
    </row>
    <row r="220" spans="1:9" ht="12.75" hidden="1" outlineLevel="2" x14ac:dyDescent="0.2">
      <c r="A220" s="1961" t="s">
        <v>1875</v>
      </c>
      <c r="B220" s="1961" t="s">
        <v>1876</v>
      </c>
      <c r="C220" s="1961" t="s">
        <v>5719</v>
      </c>
      <c r="D220" s="1961" t="s">
        <v>1979</v>
      </c>
      <c r="E220" s="1961" t="s">
        <v>913</v>
      </c>
      <c r="F220" s="1962">
        <v>764.40214000000003</v>
      </c>
      <c r="G220" s="1962">
        <v>213.83224166058824</v>
      </c>
      <c r="H220" s="1962">
        <v>57.062069871068921</v>
      </c>
      <c r="I220" s="1962">
        <v>40.767466746731444</v>
      </c>
    </row>
    <row r="221" spans="1:9" ht="12.75" hidden="1" outlineLevel="2" x14ac:dyDescent="0.2">
      <c r="A221" s="1961" t="s">
        <v>1875</v>
      </c>
      <c r="B221" s="1961" t="s">
        <v>1876</v>
      </c>
      <c r="C221" s="1961" t="s">
        <v>5719</v>
      </c>
      <c r="D221" s="1961" t="s">
        <v>1979</v>
      </c>
      <c r="E221" s="1961" t="s">
        <v>920</v>
      </c>
      <c r="F221" s="1962">
        <v>53.364690000000003</v>
      </c>
      <c r="G221" s="1962">
        <v>0</v>
      </c>
      <c r="H221" s="1962">
        <v>0</v>
      </c>
      <c r="I221" s="1962">
        <v>0</v>
      </c>
    </row>
    <row r="222" spans="1:9" ht="12.75" hidden="1" outlineLevel="2" x14ac:dyDescent="0.2">
      <c r="A222" s="1961" t="s">
        <v>1875</v>
      </c>
      <c r="B222" s="1961" t="s">
        <v>1876</v>
      </c>
      <c r="C222" s="1961" t="s">
        <v>5719</v>
      </c>
      <c r="D222" s="1961" t="s">
        <v>1979</v>
      </c>
      <c r="E222" s="1961" t="s">
        <v>921</v>
      </c>
      <c r="F222" s="1962">
        <v>2.8435999999999999</v>
      </c>
      <c r="G222" s="1962">
        <v>0</v>
      </c>
      <c r="H222" s="1962">
        <v>2.8435999999999999</v>
      </c>
      <c r="I222" s="1962">
        <v>0</v>
      </c>
    </row>
    <row r="223" spans="1:9" ht="12.75" hidden="1" outlineLevel="2" x14ac:dyDescent="0.2">
      <c r="A223" s="1961" t="s">
        <v>1875</v>
      </c>
      <c r="B223" s="1961" t="s">
        <v>1876</v>
      </c>
      <c r="C223" s="1961" t="s">
        <v>5719</v>
      </c>
      <c r="D223" s="1961" t="s">
        <v>1979</v>
      </c>
      <c r="E223" s="1961" t="s">
        <v>922</v>
      </c>
      <c r="F223" s="1962">
        <v>27.452179999999998</v>
      </c>
      <c r="G223" s="1962">
        <v>0</v>
      </c>
      <c r="H223" s="1962">
        <v>0</v>
      </c>
      <c r="I223" s="1962">
        <v>0</v>
      </c>
    </row>
    <row r="224" spans="1:9" ht="12.75" hidden="1" outlineLevel="2" x14ac:dyDescent="0.2">
      <c r="A224" s="1961" t="s">
        <v>1875</v>
      </c>
      <c r="B224" s="1961" t="s">
        <v>1876</v>
      </c>
      <c r="C224" s="1961" t="s">
        <v>5719</v>
      </c>
      <c r="D224" s="1961" t="s">
        <v>1979</v>
      </c>
      <c r="E224" s="1961" t="s">
        <v>923</v>
      </c>
      <c r="F224" s="1962">
        <v>2.3192499999999998</v>
      </c>
      <c r="G224" s="1962">
        <v>0</v>
      </c>
      <c r="H224" s="1962">
        <v>0</v>
      </c>
      <c r="I224" s="1962">
        <v>0</v>
      </c>
    </row>
    <row r="225" spans="1:9" ht="12.75" hidden="1" outlineLevel="2" x14ac:dyDescent="0.2">
      <c r="A225" s="1961" t="s">
        <v>1875</v>
      </c>
      <c r="B225" s="1961" t="s">
        <v>1876</v>
      </c>
      <c r="C225" s="1961" t="s">
        <v>1980</v>
      </c>
      <c r="D225" s="1961" t="s">
        <v>1981</v>
      </c>
      <c r="E225" s="1961" t="s">
        <v>918</v>
      </c>
      <c r="F225" s="1962">
        <v>9.8586799999999997</v>
      </c>
      <c r="G225" s="1962">
        <v>0</v>
      </c>
      <c r="H225" s="1962">
        <v>0</v>
      </c>
      <c r="I225" s="1962">
        <v>0</v>
      </c>
    </row>
    <row r="226" spans="1:9" ht="12.75" hidden="1" outlineLevel="2" x14ac:dyDescent="0.2">
      <c r="A226" s="1961" t="s">
        <v>1875</v>
      </c>
      <c r="B226" s="1961" t="s">
        <v>1876</v>
      </c>
      <c r="C226" s="1961" t="s">
        <v>1980</v>
      </c>
      <c r="D226" s="1961" t="s">
        <v>1981</v>
      </c>
      <c r="E226" s="1961" t="s">
        <v>1754</v>
      </c>
      <c r="F226" s="1962">
        <v>404.32986</v>
      </c>
      <c r="G226" s="1962">
        <v>123.25038169809454</v>
      </c>
      <c r="H226" s="1962">
        <v>26.972795252801287</v>
      </c>
      <c r="I226" s="1962">
        <v>17.265559829924701</v>
      </c>
    </row>
    <row r="227" spans="1:9" ht="12.75" hidden="1" outlineLevel="2" x14ac:dyDescent="0.2">
      <c r="A227" s="1961" t="s">
        <v>1875</v>
      </c>
      <c r="B227" s="1961" t="s">
        <v>1876</v>
      </c>
      <c r="C227" s="1961" t="s">
        <v>1980</v>
      </c>
      <c r="D227" s="1961" t="s">
        <v>1981</v>
      </c>
      <c r="E227" s="1961" t="s">
        <v>919</v>
      </c>
      <c r="F227" s="1962">
        <v>81.638930000000002</v>
      </c>
      <c r="G227" s="1962">
        <v>0</v>
      </c>
      <c r="H227" s="1962">
        <v>0</v>
      </c>
      <c r="I227" s="1962">
        <v>81.638930000000002</v>
      </c>
    </row>
    <row r="228" spans="1:9" ht="12.75" hidden="1" outlineLevel="2" x14ac:dyDescent="0.2">
      <c r="A228" s="1961" t="s">
        <v>1875</v>
      </c>
      <c r="B228" s="1961" t="s">
        <v>1876</v>
      </c>
      <c r="C228" s="1961" t="s">
        <v>1980</v>
      </c>
      <c r="D228" s="1961" t="s">
        <v>1981</v>
      </c>
      <c r="E228" s="1961" t="s">
        <v>912</v>
      </c>
      <c r="F228" s="1962">
        <v>196.79696000000001</v>
      </c>
      <c r="G228" s="1962">
        <v>196.79696000000001</v>
      </c>
      <c r="H228" s="1962">
        <v>0</v>
      </c>
      <c r="I228" s="1962">
        <v>0</v>
      </c>
    </row>
    <row r="229" spans="1:9" ht="12.75" hidden="1" outlineLevel="2" x14ac:dyDescent="0.2">
      <c r="A229" s="1961" t="s">
        <v>1875</v>
      </c>
      <c r="B229" s="1961" t="s">
        <v>1876</v>
      </c>
      <c r="C229" s="1961" t="s">
        <v>1980</v>
      </c>
      <c r="D229" s="1961" t="s">
        <v>1981</v>
      </c>
      <c r="E229" s="1961" t="s">
        <v>906</v>
      </c>
      <c r="F229" s="1962">
        <v>4.5522099999999996</v>
      </c>
      <c r="G229" s="1962">
        <v>1.1761637261090159</v>
      </c>
      <c r="H229" s="1962">
        <v>0.32507833289031846</v>
      </c>
      <c r="I229" s="1962">
        <v>0.26863656611097775</v>
      </c>
    </row>
    <row r="230" spans="1:9" ht="12.75" hidden="1" outlineLevel="2" x14ac:dyDescent="0.2">
      <c r="A230" s="1961" t="s">
        <v>1875</v>
      </c>
      <c r="B230" s="1961" t="s">
        <v>1876</v>
      </c>
      <c r="C230" s="1961" t="s">
        <v>1980</v>
      </c>
      <c r="D230" s="1961" t="s">
        <v>1981</v>
      </c>
      <c r="E230" s="1961" t="s">
        <v>1083</v>
      </c>
      <c r="F230" s="1962">
        <v>484.72595000000001</v>
      </c>
      <c r="G230" s="1962">
        <v>131.33112720902986</v>
      </c>
      <c r="H230" s="1962">
        <v>36.925981268199351</v>
      </c>
      <c r="I230" s="1962">
        <v>26.241299188326547</v>
      </c>
    </row>
    <row r="231" spans="1:9" ht="12.75" hidden="1" outlineLevel="2" x14ac:dyDescent="0.2">
      <c r="A231" s="1961" t="s">
        <v>1875</v>
      </c>
      <c r="B231" s="1961" t="s">
        <v>1876</v>
      </c>
      <c r="C231" s="1961" t="s">
        <v>1980</v>
      </c>
      <c r="D231" s="1961" t="s">
        <v>1981</v>
      </c>
      <c r="E231" s="1961" t="s">
        <v>913</v>
      </c>
      <c r="F231" s="1962">
        <v>11966.168100000001</v>
      </c>
      <c r="G231" s="1962">
        <v>3347.390614200036</v>
      </c>
      <c r="H231" s="1962">
        <v>893.26584068845762</v>
      </c>
      <c r="I231" s="1962">
        <v>638.18549762635234</v>
      </c>
    </row>
    <row r="232" spans="1:9" ht="12.75" hidden="1" outlineLevel="2" x14ac:dyDescent="0.2">
      <c r="A232" s="1961" t="s">
        <v>1875</v>
      </c>
      <c r="B232" s="1961" t="s">
        <v>1876</v>
      </c>
      <c r="C232" s="1961" t="s">
        <v>1980</v>
      </c>
      <c r="D232" s="1961" t="s">
        <v>1981</v>
      </c>
      <c r="E232" s="1961" t="s">
        <v>920</v>
      </c>
      <c r="F232" s="1962">
        <v>171.70975000000001</v>
      </c>
      <c r="G232" s="1962">
        <v>0</v>
      </c>
      <c r="H232" s="1962">
        <v>0</v>
      </c>
      <c r="I232" s="1962">
        <v>0</v>
      </c>
    </row>
    <row r="233" spans="1:9" ht="12.75" hidden="1" outlineLevel="2" x14ac:dyDescent="0.2">
      <c r="A233" s="1961" t="s">
        <v>1875</v>
      </c>
      <c r="B233" s="1961" t="s">
        <v>1876</v>
      </c>
      <c r="C233" s="1961" t="s">
        <v>1980</v>
      </c>
      <c r="D233" s="1961" t="s">
        <v>1981</v>
      </c>
      <c r="E233" s="1961" t="s">
        <v>921</v>
      </c>
      <c r="F233" s="1962">
        <v>63.295870000000001</v>
      </c>
      <c r="G233" s="1962">
        <v>0</v>
      </c>
      <c r="H233" s="1962">
        <v>63.295870000000001</v>
      </c>
      <c r="I233" s="1962">
        <v>0</v>
      </c>
    </row>
    <row r="234" spans="1:9" ht="12.75" hidden="1" outlineLevel="2" x14ac:dyDescent="0.2">
      <c r="A234" s="1961" t="s">
        <v>1875</v>
      </c>
      <c r="B234" s="1961" t="s">
        <v>1876</v>
      </c>
      <c r="C234" s="1961" t="s">
        <v>1980</v>
      </c>
      <c r="D234" s="1961" t="s">
        <v>1981</v>
      </c>
      <c r="E234" s="1961" t="s">
        <v>922</v>
      </c>
      <c r="F234" s="1962">
        <v>249.95222000000001</v>
      </c>
      <c r="G234" s="1962">
        <v>0</v>
      </c>
      <c r="H234" s="1962">
        <v>0</v>
      </c>
      <c r="I234" s="1962">
        <v>0</v>
      </c>
    </row>
    <row r="235" spans="1:9" ht="12.75" hidden="1" outlineLevel="2" x14ac:dyDescent="0.2">
      <c r="A235" s="1961" t="s">
        <v>1875</v>
      </c>
      <c r="B235" s="1961" t="s">
        <v>1876</v>
      </c>
      <c r="C235" s="1961" t="s">
        <v>1980</v>
      </c>
      <c r="D235" s="1961" t="s">
        <v>1981</v>
      </c>
      <c r="E235" s="1961" t="s">
        <v>923</v>
      </c>
      <c r="F235" s="1962">
        <v>14.33783</v>
      </c>
      <c r="G235" s="1962">
        <v>0</v>
      </c>
      <c r="H235" s="1962">
        <v>0</v>
      </c>
      <c r="I235" s="1962">
        <v>0</v>
      </c>
    </row>
    <row r="236" spans="1:9" ht="12.75" hidden="1" outlineLevel="2" x14ac:dyDescent="0.2">
      <c r="A236" s="1961" t="s">
        <v>1875</v>
      </c>
      <c r="B236" s="1961" t="s">
        <v>1876</v>
      </c>
      <c r="C236" s="1961" t="s">
        <v>1982</v>
      </c>
      <c r="D236" s="1961" t="s">
        <v>1983</v>
      </c>
      <c r="E236" s="1961" t="s">
        <v>1754</v>
      </c>
      <c r="F236" s="1962">
        <v>5.3600000000000002E-2</v>
      </c>
      <c r="G236" s="1962">
        <v>1.633869054098025E-2</v>
      </c>
      <c r="H236" s="1962">
        <v>3.5756494104841751E-3</v>
      </c>
      <c r="I236" s="1962">
        <v>2.2888094559308982E-3</v>
      </c>
    </row>
    <row r="237" spans="1:9" ht="12.75" hidden="1" outlineLevel="2" x14ac:dyDescent="0.2">
      <c r="A237" s="1961" t="s">
        <v>1875</v>
      </c>
      <c r="B237" s="1961" t="s">
        <v>1876</v>
      </c>
      <c r="C237" s="1961" t="s">
        <v>1982</v>
      </c>
      <c r="D237" s="1961" t="s">
        <v>1983</v>
      </c>
      <c r="E237" s="1961" t="s">
        <v>912</v>
      </c>
      <c r="F237" s="1962">
        <v>0.27728999999999998</v>
      </c>
      <c r="G237" s="1962">
        <v>0.27728999999999998</v>
      </c>
      <c r="H237" s="1962">
        <v>0</v>
      </c>
      <c r="I237" s="1962">
        <v>0</v>
      </c>
    </row>
    <row r="238" spans="1:9" ht="12.75" hidden="1" outlineLevel="2" x14ac:dyDescent="0.2">
      <c r="A238" s="1961" t="s">
        <v>1875</v>
      </c>
      <c r="B238" s="1961" t="s">
        <v>1876</v>
      </c>
      <c r="C238" s="1961" t="s">
        <v>1982</v>
      </c>
      <c r="D238" s="1961" t="s">
        <v>1983</v>
      </c>
      <c r="E238" s="1961" t="s">
        <v>1083</v>
      </c>
      <c r="F238" s="1962">
        <v>3.9931000000000001</v>
      </c>
      <c r="G238" s="1962">
        <v>1.0818862164453484</v>
      </c>
      <c r="H238" s="1962">
        <v>0.3041907201420655</v>
      </c>
      <c r="I238" s="1962">
        <v>0.2161719045347309</v>
      </c>
    </row>
    <row r="239" spans="1:9" ht="12.75" hidden="1" outlineLevel="2" x14ac:dyDescent="0.2">
      <c r="A239" s="1961" t="s">
        <v>1875</v>
      </c>
      <c r="B239" s="1961" t="s">
        <v>1876</v>
      </c>
      <c r="C239" s="1961" t="s">
        <v>1982</v>
      </c>
      <c r="D239" s="1961" t="s">
        <v>1983</v>
      </c>
      <c r="E239" s="1961" t="s">
        <v>913</v>
      </c>
      <c r="F239" s="1962">
        <v>91.203670000000002</v>
      </c>
      <c r="G239" s="1962">
        <v>25.513122194781584</v>
      </c>
      <c r="H239" s="1962">
        <v>6.8082883572747619</v>
      </c>
      <c r="I239" s="1962">
        <v>4.8641184912235707</v>
      </c>
    </row>
    <row r="240" spans="1:9" ht="12.75" hidden="1" outlineLevel="2" x14ac:dyDescent="0.2">
      <c r="A240" s="1961" t="s">
        <v>1875</v>
      </c>
      <c r="B240" s="1961" t="s">
        <v>1876</v>
      </c>
      <c r="C240" s="1961" t="s">
        <v>1982</v>
      </c>
      <c r="D240" s="1961" t="s">
        <v>1983</v>
      </c>
      <c r="E240" s="1961" t="s">
        <v>920</v>
      </c>
      <c r="F240" s="1962">
        <v>1.179</v>
      </c>
      <c r="G240" s="1962">
        <v>0</v>
      </c>
      <c r="H240" s="1962">
        <v>0</v>
      </c>
      <c r="I240" s="1962">
        <v>0</v>
      </c>
    </row>
    <row r="241" spans="1:9" ht="12.75" hidden="1" outlineLevel="2" x14ac:dyDescent="0.2">
      <c r="A241" s="1961" t="s">
        <v>1875</v>
      </c>
      <c r="B241" s="1961" t="s">
        <v>1876</v>
      </c>
      <c r="C241" s="1961" t="s">
        <v>1982</v>
      </c>
      <c r="D241" s="1961" t="s">
        <v>1983</v>
      </c>
      <c r="E241" s="1961" t="s">
        <v>923</v>
      </c>
      <c r="F241" s="1962">
        <v>1.0269699999999999</v>
      </c>
      <c r="G241" s="1962">
        <v>0</v>
      </c>
      <c r="H241" s="1962">
        <v>0</v>
      </c>
      <c r="I241" s="1962">
        <v>0</v>
      </c>
    </row>
    <row r="242" spans="1:9" ht="12.75" hidden="1" outlineLevel="2" x14ac:dyDescent="0.2">
      <c r="A242" s="1961" t="s">
        <v>1875</v>
      </c>
      <c r="B242" s="1961" t="s">
        <v>1876</v>
      </c>
      <c r="C242" s="1961" t="s">
        <v>1984</v>
      </c>
      <c r="D242" s="1961" t="s">
        <v>1985</v>
      </c>
      <c r="E242" s="1961" t="s">
        <v>918</v>
      </c>
      <c r="F242" s="1962">
        <v>4.3272500000000003</v>
      </c>
      <c r="G242" s="1962">
        <v>0</v>
      </c>
      <c r="H242" s="1962">
        <v>0</v>
      </c>
      <c r="I242" s="1962">
        <v>0</v>
      </c>
    </row>
    <row r="243" spans="1:9" ht="12.75" hidden="1" outlineLevel="2" x14ac:dyDescent="0.2">
      <c r="A243" s="1961" t="s">
        <v>1875</v>
      </c>
      <c r="B243" s="1961" t="s">
        <v>1876</v>
      </c>
      <c r="C243" s="1961" t="s">
        <v>1984</v>
      </c>
      <c r="D243" s="1961" t="s">
        <v>1985</v>
      </c>
      <c r="E243" s="1961" t="s">
        <v>919</v>
      </c>
      <c r="F243" s="1962">
        <v>34.179949999999998</v>
      </c>
      <c r="G243" s="1962">
        <v>0</v>
      </c>
      <c r="H243" s="1962">
        <v>0</v>
      </c>
      <c r="I243" s="1962">
        <v>34.179949999999998</v>
      </c>
    </row>
    <row r="244" spans="1:9" ht="12.75" hidden="1" outlineLevel="2" x14ac:dyDescent="0.2">
      <c r="A244" s="1961" t="s">
        <v>1875</v>
      </c>
      <c r="B244" s="1961" t="s">
        <v>1876</v>
      </c>
      <c r="C244" s="1961" t="s">
        <v>1984</v>
      </c>
      <c r="D244" s="1961" t="s">
        <v>1985</v>
      </c>
      <c r="E244" s="1961" t="s">
        <v>912</v>
      </c>
      <c r="F244" s="1962">
        <v>123.69561</v>
      </c>
      <c r="G244" s="1962">
        <v>123.69561</v>
      </c>
      <c r="H244" s="1962">
        <v>0</v>
      </c>
      <c r="I244" s="1962">
        <v>0</v>
      </c>
    </row>
    <row r="245" spans="1:9" ht="12.75" hidden="1" outlineLevel="2" x14ac:dyDescent="0.2">
      <c r="A245" s="1961" t="s">
        <v>1875</v>
      </c>
      <c r="B245" s="1961" t="s">
        <v>1876</v>
      </c>
      <c r="C245" s="1961" t="s">
        <v>1984</v>
      </c>
      <c r="D245" s="1961" t="s">
        <v>1985</v>
      </c>
      <c r="E245" s="1961" t="s">
        <v>1083</v>
      </c>
      <c r="F245" s="1962">
        <v>282.47872999999998</v>
      </c>
      <c r="G245" s="1962">
        <v>76.534483089826736</v>
      </c>
      <c r="H245" s="1962">
        <v>21.518972303101869</v>
      </c>
      <c r="I245" s="1962">
        <v>15.292370602953097</v>
      </c>
    </row>
    <row r="246" spans="1:9" ht="12.75" hidden="1" outlineLevel="2" x14ac:dyDescent="0.2">
      <c r="A246" s="1961" t="s">
        <v>1875</v>
      </c>
      <c r="B246" s="1961" t="s">
        <v>1876</v>
      </c>
      <c r="C246" s="1961" t="s">
        <v>1984</v>
      </c>
      <c r="D246" s="1961" t="s">
        <v>1985</v>
      </c>
      <c r="E246" s="1961" t="s">
        <v>913</v>
      </c>
      <c r="F246" s="1962">
        <v>9.6748799999999999</v>
      </c>
      <c r="G246" s="1962">
        <v>2.7064305160071789</v>
      </c>
      <c r="H246" s="1962">
        <v>0.7222228322832891</v>
      </c>
      <c r="I246" s="1962">
        <v>0.51598540616149646</v>
      </c>
    </row>
    <row r="247" spans="1:9" ht="12.75" hidden="1" outlineLevel="2" x14ac:dyDescent="0.2">
      <c r="A247" s="1961" t="s">
        <v>1875</v>
      </c>
      <c r="B247" s="1961" t="s">
        <v>1876</v>
      </c>
      <c r="C247" s="1961" t="s">
        <v>1984</v>
      </c>
      <c r="D247" s="1961" t="s">
        <v>1985</v>
      </c>
      <c r="E247" s="1961" t="s">
        <v>920</v>
      </c>
      <c r="F247" s="1962">
        <v>167.13538</v>
      </c>
      <c r="G247" s="1962">
        <v>0</v>
      </c>
      <c r="H247" s="1962">
        <v>0</v>
      </c>
      <c r="I247" s="1962">
        <v>0</v>
      </c>
    </row>
    <row r="248" spans="1:9" ht="12.75" hidden="1" outlineLevel="2" x14ac:dyDescent="0.2">
      <c r="A248" s="1961" t="s">
        <v>1875</v>
      </c>
      <c r="B248" s="1961" t="s">
        <v>1876</v>
      </c>
      <c r="C248" s="1961" t="s">
        <v>1984</v>
      </c>
      <c r="D248" s="1961" t="s">
        <v>1985</v>
      </c>
      <c r="E248" s="1961" t="s">
        <v>921</v>
      </c>
      <c r="F248" s="1962">
        <v>28.655619999999999</v>
      </c>
      <c r="G248" s="1962">
        <v>0</v>
      </c>
      <c r="H248" s="1962">
        <v>28.655619999999999</v>
      </c>
      <c r="I248" s="1962">
        <v>0</v>
      </c>
    </row>
    <row r="249" spans="1:9" ht="12.75" hidden="1" outlineLevel="2" x14ac:dyDescent="0.2">
      <c r="A249" s="1961" t="s">
        <v>1875</v>
      </c>
      <c r="B249" s="1961" t="s">
        <v>1876</v>
      </c>
      <c r="C249" s="1961" t="s">
        <v>1984</v>
      </c>
      <c r="D249" s="1961" t="s">
        <v>1985</v>
      </c>
      <c r="E249" s="1961" t="s">
        <v>922</v>
      </c>
      <c r="F249" s="1962">
        <v>59.428930000000001</v>
      </c>
      <c r="G249" s="1962">
        <v>0</v>
      </c>
      <c r="H249" s="1962">
        <v>0</v>
      </c>
      <c r="I249" s="1962">
        <v>0</v>
      </c>
    </row>
    <row r="250" spans="1:9" ht="12.75" hidden="1" outlineLevel="2" x14ac:dyDescent="0.2">
      <c r="A250" s="1961" t="s">
        <v>1875</v>
      </c>
      <c r="B250" s="1961" t="s">
        <v>1876</v>
      </c>
      <c r="C250" s="1961" t="s">
        <v>1984</v>
      </c>
      <c r="D250" s="1961" t="s">
        <v>1985</v>
      </c>
      <c r="E250" s="1961" t="s">
        <v>923</v>
      </c>
      <c r="F250" s="1962">
        <v>5.3499999999999999E-2</v>
      </c>
      <c r="G250" s="1962">
        <v>0</v>
      </c>
      <c r="H250" s="1962">
        <v>0</v>
      </c>
      <c r="I250" s="1962">
        <v>0</v>
      </c>
    </row>
    <row r="251" spans="1:9" ht="12.75" hidden="1" outlineLevel="2" x14ac:dyDescent="0.2">
      <c r="A251" s="1961" t="s">
        <v>1875</v>
      </c>
      <c r="B251" s="1961" t="s">
        <v>1876</v>
      </c>
      <c r="C251" s="1961" t="s">
        <v>1986</v>
      </c>
      <c r="D251" s="1961" t="s">
        <v>1987</v>
      </c>
      <c r="E251" s="1961" t="s">
        <v>918</v>
      </c>
      <c r="F251" s="1962">
        <v>47.015230000000003</v>
      </c>
      <c r="G251" s="1962">
        <v>0</v>
      </c>
      <c r="H251" s="1962">
        <v>0</v>
      </c>
      <c r="I251" s="1962">
        <v>0</v>
      </c>
    </row>
    <row r="252" spans="1:9" ht="12.75" hidden="1" outlineLevel="2" x14ac:dyDescent="0.2">
      <c r="A252" s="1961" t="s">
        <v>1875</v>
      </c>
      <c r="B252" s="1961" t="s">
        <v>1876</v>
      </c>
      <c r="C252" s="1961" t="s">
        <v>1986</v>
      </c>
      <c r="D252" s="1961" t="s">
        <v>1987</v>
      </c>
      <c r="E252" s="1961" t="s">
        <v>919</v>
      </c>
      <c r="F252" s="1962">
        <v>98.236819999999994</v>
      </c>
      <c r="G252" s="1962">
        <v>0</v>
      </c>
      <c r="H252" s="1962">
        <v>0</v>
      </c>
      <c r="I252" s="1962">
        <v>98.236819999999994</v>
      </c>
    </row>
    <row r="253" spans="1:9" ht="12.75" hidden="1" outlineLevel="2" x14ac:dyDescent="0.2">
      <c r="A253" s="1961" t="s">
        <v>1875</v>
      </c>
      <c r="B253" s="1961" t="s">
        <v>1876</v>
      </c>
      <c r="C253" s="1961" t="s">
        <v>1986</v>
      </c>
      <c r="D253" s="1961" t="s">
        <v>1987</v>
      </c>
      <c r="E253" s="1961" t="s">
        <v>912</v>
      </c>
      <c r="F253" s="1962">
        <v>453.41901000000001</v>
      </c>
      <c r="G253" s="1962">
        <v>453.41901000000001</v>
      </c>
      <c r="H253" s="1962">
        <v>0</v>
      </c>
      <c r="I253" s="1962">
        <v>0</v>
      </c>
    </row>
    <row r="254" spans="1:9" ht="12.75" hidden="1" outlineLevel="2" x14ac:dyDescent="0.2">
      <c r="A254" s="1961" t="s">
        <v>1875</v>
      </c>
      <c r="B254" s="1961" t="s">
        <v>1876</v>
      </c>
      <c r="C254" s="1961" t="s">
        <v>1986</v>
      </c>
      <c r="D254" s="1961" t="s">
        <v>1987</v>
      </c>
      <c r="E254" s="1961" t="s">
        <v>906</v>
      </c>
      <c r="F254" s="1962">
        <v>3.9453299999999998</v>
      </c>
      <c r="G254" s="1962">
        <v>1.01936292421936</v>
      </c>
      <c r="H254" s="1962">
        <v>0.28174036327457658</v>
      </c>
      <c r="I254" s="1962">
        <v>0.23282315696653358</v>
      </c>
    </row>
    <row r="255" spans="1:9" ht="12.75" hidden="1" outlineLevel="2" x14ac:dyDescent="0.2">
      <c r="A255" s="1961" t="s">
        <v>1875</v>
      </c>
      <c r="B255" s="1961" t="s">
        <v>1876</v>
      </c>
      <c r="C255" s="1961" t="s">
        <v>1986</v>
      </c>
      <c r="D255" s="1961" t="s">
        <v>1987</v>
      </c>
      <c r="E255" s="1961" t="s">
        <v>1083</v>
      </c>
      <c r="F255" s="1962">
        <v>951.38585</v>
      </c>
      <c r="G255" s="1962">
        <v>257.76745827455903</v>
      </c>
      <c r="H255" s="1962">
        <v>72.475707306221011</v>
      </c>
      <c r="I255" s="1962">
        <v>51.504568165559036</v>
      </c>
    </row>
    <row r="256" spans="1:9" ht="12.75" hidden="1" outlineLevel="2" x14ac:dyDescent="0.2">
      <c r="A256" s="1961" t="s">
        <v>1875</v>
      </c>
      <c r="B256" s="1961" t="s">
        <v>1876</v>
      </c>
      <c r="C256" s="1961" t="s">
        <v>1986</v>
      </c>
      <c r="D256" s="1961" t="s">
        <v>1987</v>
      </c>
      <c r="E256" s="1961" t="s">
        <v>913</v>
      </c>
      <c r="F256" s="1962">
        <v>75.833349999999996</v>
      </c>
      <c r="G256" s="1962">
        <v>21.213461311256882</v>
      </c>
      <c r="H256" s="1962">
        <v>5.6609050260602674</v>
      </c>
      <c r="I256" s="1962">
        <v>4.0443811086377215</v>
      </c>
    </row>
    <row r="257" spans="1:9" ht="12.75" hidden="1" outlineLevel="2" x14ac:dyDescent="0.2">
      <c r="A257" s="1961" t="s">
        <v>1875</v>
      </c>
      <c r="B257" s="1961" t="s">
        <v>1876</v>
      </c>
      <c r="C257" s="1961" t="s">
        <v>1986</v>
      </c>
      <c r="D257" s="1961" t="s">
        <v>1987</v>
      </c>
      <c r="E257" s="1961" t="s">
        <v>920</v>
      </c>
      <c r="F257" s="1962">
        <v>703.54594999999995</v>
      </c>
      <c r="G257" s="1962">
        <v>0</v>
      </c>
      <c r="H257" s="1962">
        <v>0</v>
      </c>
      <c r="I257" s="1962">
        <v>0</v>
      </c>
    </row>
    <row r="258" spans="1:9" ht="12.75" hidden="1" outlineLevel="2" x14ac:dyDescent="0.2">
      <c r="A258" s="1961" t="s">
        <v>1875</v>
      </c>
      <c r="B258" s="1961" t="s">
        <v>1876</v>
      </c>
      <c r="C258" s="1961" t="s">
        <v>1986</v>
      </c>
      <c r="D258" s="1961" t="s">
        <v>1987</v>
      </c>
      <c r="E258" s="1961" t="s">
        <v>921</v>
      </c>
      <c r="F258" s="1962">
        <v>124.94148</v>
      </c>
      <c r="G258" s="1962">
        <v>0</v>
      </c>
      <c r="H258" s="1962">
        <v>124.94148</v>
      </c>
      <c r="I258" s="1962">
        <v>0</v>
      </c>
    </row>
    <row r="259" spans="1:9" ht="12.75" hidden="1" outlineLevel="2" x14ac:dyDescent="0.2">
      <c r="A259" s="1961" t="s">
        <v>1875</v>
      </c>
      <c r="B259" s="1961" t="s">
        <v>1876</v>
      </c>
      <c r="C259" s="1961" t="s">
        <v>1986</v>
      </c>
      <c r="D259" s="1961" t="s">
        <v>1987</v>
      </c>
      <c r="E259" s="1961" t="s">
        <v>922</v>
      </c>
      <c r="F259" s="1962">
        <v>175.23410000000001</v>
      </c>
      <c r="G259" s="1962">
        <v>0</v>
      </c>
      <c r="H259" s="1962">
        <v>0</v>
      </c>
      <c r="I259" s="1962">
        <v>0</v>
      </c>
    </row>
    <row r="260" spans="1:9" ht="12.75" hidden="1" outlineLevel="2" x14ac:dyDescent="0.2">
      <c r="A260" s="1961" t="s">
        <v>1875</v>
      </c>
      <c r="B260" s="1961" t="s">
        <v>1876</v>
      </c>
      <c r="C260" s="1961" t="s">
        <v>1986</v>
      </c>
      <c r="D260" s="1961" t="s">
        <v>1987</v>
      </c>
      <c r="E260" s="1961" t="s">
        <v>923</v>
      </c>
      <c r="F260" s="1962">
        <v>12.32006</v>
      </c>
      <c r="G260" s="1962">
        <v>0</v>
      </c>
      <c r="H260" s="1962">
        <v>0</v>
      </c>
      <c r="I260" s="1962">
        <v>0</v>
      </c>
    </row>
    <row r="261" spans="1:9" ht="12.75" hidden="1" outlineLevel="2" x14ac:dyDescent="0.2">
      <c r="A261" s="1961" t="s">
        <v>1875</v>
      </c>
      <c r="B261" s="1961" t="s">
        <v>1876</v>
      </c>
      <c r="C261" s="1961" t="s">
        <v>1988</v>
      </c>
      <c r="D261" s="1961" t="s">
        <v>1989</v>
      </c>
      <c r="E261" s="1961" t="s">
        <v>918</v>
      </c>
      <c r="F261" s="1962">
        <v>39.412689999999998</v>
      </c>
      <c r="G261" s="1962">
        <v>0</v>
      </c>
      <c r="H261" s="1962">
        <v>0</v>
      </c>
      <c r="I261" s="1962">
        <v>0</v>
      </c>
    </row>
    <row r="262" spans="1:9" ht="12.75" hidden="1" outlineLevel="2" x14ac:dyDescent="0.2">
      <c r="A262" s="1961" t="s">
        <v>1875</v>
      </c>
      <c r="B262" s="1961" t="s">
        <v>1876</v>
      </c>
      <c r="C262" s="1961" t="s">
        <v>1988</v>
      </c>
      <c r="D262" s="1961" t="s">
        <v>1989</v>
      </c>
      <c r="E262" s="1961" t="s">
        <v>919</v>
      </c>
      <c r="F262" s="1962">
        <v>74.177549999999997</v>
      </c>
      <c r="G262" s="1962">
        <v>0</v>
      </c>
      <c r="H262" s="1962">
        <v>0</v>
      </c>
      <c r="I262" s="1962">
        <v>74.177549999999997</v>
      </c>
    </row>
    <row r="263" spans="1:9" ht="12.75" hidden="1" outlineLevel="2" x14ac:dyDescent="0.2">
      <c r="A263" s="1961" t="s">
        <v>1875</v>
      </c>
      <c r="B263" s="1961" t="s">
        <v>1876</v>
      </c>
      <c r="C263" s="1961" t="s">
        <v>1988</v>
      </c>
      <c r="D263" s="1961" t="s">
        <v>1989</v>
      </c>
      <c r="E263" s="1961" t="s">
        <v>912</v>
      </c>
      <c r="F263" s="1962">
        <v>547.02464999999995</v>
      </c>
      <c r="G263" s="1962">
        <v>547.02464999999995</v>
      </c>
      <c r="H263" s="1962">
        <v>0</v>
      </c>
      <c r="I263" s="1962">
        <v>0</v>
      </c>
    </row>
    <row r="264" spans="1:9" ht="12.75" hidden="1" outlineLevel="2" x14ac:dyDescent="0.2">
      <c r="A264" s="1961" t="s">
        <v>1875</v>
      </c>
      <c r="B264" s="1961" t="s">
        <v>1876</v>
      </c>
      <c r="C264" s="1961" t="s">
        <v>1988</v>
      </c>
      <c r="D264" s="1961" t="s">
        <v>1989</v>
      </c>
      <c r="E264" s="1961" t="s">
        <v>906</v>
      </c>
      <c r="F264" s="1962">
        <v>59.679499999999997</v>
      </c>
      <c r="G264" s="1962">
        <v>15.419513399496731</v>
      </c>
      <c r="H264" s="1962">
        <v>4.2617788651507205</v>
      </c>
      <c r="I264" s="1962">
        <v>3.5218269691468751</v>
      </c>
    </row>
    <row r="265" spans="1:9" ht="12.75" hidden="1" outlineLevel="2" x14ac:dyDescent="0.2">
      <c r="A265" s="1961" t="s">
        <v>1875</v>
      </c>
      <c r="B265" s="1961" t="s">
        <v>1876</v>
      </c>
      <c r="C265" s="1961" t="s">
        <v>1988</v>
      </c>
      <c r="D265" s="1961" t="s">
        <v>1989</v>
      </c>
      <c r="E265" s="1961" t="s">
        <v>1083</v>
      </c>
      <c r="F265" s="1962">
        <v>375.95076999999998</v>
      </c>
      <c r="G265" s="1962">
        <v>101.85969700859367</v>
      </c>
      <c r="H265" s="1962">
        <v>28.639587153906493</v>
      </c>
      <c r="I265" s="1962">
        <v>20.352606737171261</v>
      </c>
    </row>
    <row r="266" spans="1:9" ht="12.75" hidden="1" outlineLevel="2" x14ac:dyDescent="0.2">
      <c r="A266" s="1961" t="s">
        <v>1875</v>
      </c>
      <c r="B266" s="1961" t="s">
        <v>1876</v>
      </c>
      <c r="C266" s="1961" t="s">
        <v>1988</v>
      </c>
      <c r="D266" s="1961" t="s">
        <v>1989</v>
      </c>
      <c r="E266" s="1961" t="s">
        <v>913</v>
      </c>
      <c r="F266" s="1962">
        <v>249.69457</v>
      </c>
      <c r="G266" s="1962">
        <v>69.849032125389741</v>
      </c>
      <c r="H266" s="1962">
        <v>18.639520030342286</v>
      </c>
      <c r="I266" s="1962">
        <v>13.316832262288548</v>
      </c>
    </row>
    <row r="267" spans="1:9" ht="12.75" hidden="1" outlineLevel="2" x14ac:dyDescent="0.2">
      <c r="A267" s="1961" t="s">
        <v>1875</v>
      </c>
      <c r="B267" s="1961" t="s">
        <v>1876</v>
      </c>
      <c r="C267" s="1961" t="s">
        <v>1988</v>
      </c>
      <c r="D267" s="1961" t="s">
        <v>1989</v>
      </c>
      <c r="E267" s="1961" t="s">
        <v>920</v>
      </c>
      <c r="F267" s="1962">
        <v>508.17435</v>
      </c>
      <c r="G267" s="1962">
        <v>0</v>
      </c>
      <c r="H267" s="1962">
        <v>0</v>
      </c>
      <c r="I267" s="1962">
        <v>0</v>
      </c>
    </row>
    <row r="268" spans="1:9" ht="12.75" hidden="1" outlineLevel="2" x14ac:dyDescent="0.2">
      <c r="A268" s="1961" t="s">
        <v>1875</v>
      </c>
      <c r="B268" s="1961" t="s">
        <v>1876</v>
      </c>
      <c r="C268" s="1961" t="s">
        <v>1988</v>
      </c>
      <c r="D268" s="1961" t="s">
        <v>1989</v>
      </c>
      <c r="E268" s="1961" t="s">
        <v>921</v>
      </c>
      <c r="F268" s="1962">
        <v>73.462609999999998</v>
      </c>
      <c r="G268" s="1962">
        <v>0</v>
      </c>
      <c r="H268" s="1962">
        <v>73.462609999999998</v>
      </c>
      <c r="I268" s="1962">
        <v>0</v>
      </c>
    </row>
    <row r="269" spans="1:9" ht="12.75" hidden="1" outlineLevel="2" x14ac:dyDescent="0.2">
      <c r="A269" s="1961" t="s">
        <v>1875</v>
      </c>
      <c r="B269" s="1961" t="s">
        <v>1876</v>
      </c>
      <c r="C269" s="1961" t="s">
        <v>1988</v>
      </c>
      <c r="D269" s="1961" t="s">
        <v>1989</v>
      </c>
      <c r="E269" s="1961" t="s">
        <v>922</v>
      </c>
      <c r="F269" s="1962">
        <v>173.51446000000001</v>
      </c>
      <c r="G269" s="1962">
        <v>0</v>
      </c>
      <c r="H269" s="1962">
        <v>0</v>
      </c>
      <c r="I269" s="1962">
        <v>0</v>
      </c>
    </row>
    <row r="270" spans="1:9" ht="12.75" hidden="1" outlineLevel="2" x14ac:dyDescent="0.2">
      <c r="A270" s="1961" t="s">
        <v>1875</v>
      </c>
      <c r="B270" s="1961" t="s">
        <v>1876</v>
      </c>
      <c r="C270" s="1961" t="s">
        <v>1988</v>
      </c>
      <c r="D270" s="1961" t="s">
        <v>1989</v>
      </c>
      <c r="E270" s="1961" t="s">
        <v>923</v>
      </c>
      <c r="F270" s="1962">
        <v>5.9735199999999997</v>
      </c>
      <c r="G270" s="1962">
        <v>0</v>
      </c>
      <c r="H270" s="1962">
        <v>0</v>
      </c>
      <c r="I270" s="1962">
        <v>0</v>
      </c>
    </row>
    <row r="271" spans="1:9" ht="12.75" hidden="1" outlineLevel="2" x14ac:dyDescent="0.2">
      <c r="A271" s="1961" t="s">
        <v>1875</v>
      </c>
      <c r="B271" s="1961" t="s">
        <v>1876</v>
      </c>
      <c r="C271" s="1961" t="s">
        <v>1990</v>
      </c>
      <c r="D271" s="1961" t="s">
        <v>1991</v>
      </c>
      <c r="E271" s="1961" t="s">
        <v>918</v>
      </c>
      <c r="F271" s="1962">
        <v>245.00962999999999</v>
      </c>
      <c r="G271" s="1962">
        <v>0</v>
      </c>
      <c r="H271" s="1962">
        <v>0</v>
      </c>
      <c r="I271" s="1962">
        <v>0</v>
      </c>
    </row>
    <row r="272" spans="1:9" ht="12.75" hidden="1" outlineLevel="2" x14ac:dyDescent="0.2">
      <c r="A272" s="1961" t="s">
        <v>1875</v>
      </c>
      <c r="B272" s="1961" t="s">
        <v>1876</v>
      </c>
      <c r="C272" s="1961" t="s">
        <v>1990</v>
      </c>
      <c r="D272" s="1961" t="s">
        <v>1991</v>
      </c>
      <c r="E272" s="1961" t="s">
        <v>1754</v>
      </c>
      <c r="F272" s="1962">
        <v>148.68896000000001</v>
      </c>
      <c r="G272" s="1962">
        <v>45.324307916048333</v>
      </c>
      <c r="H272" s="1962">
        <v>9.9190222419683778</v>
      </c>
      <c r="I272" s="1962">
        <v>6.3492667470248341</v>
      </c>
    </row>
    <row r="273" spans="1:9" ht="12.75" hidden="1" outlineLevel="2" x14ac:dyDescent="0.2">
      <c r="A273" s="1961" t="s">
        <v>1875</v>
      </c>
      <c r="B273" s="1961" t="s">
        <v>1876</v>
      </c>
      <c r="C273" s="1961" t="s">
        <v>1990</v>
      </c>
      <c r="D273" s="1961" t="s">
        <v>1991</v>
      </c>
      <c r="E273" s="1961" t="s">
        <v>919</v>
      </c>
      <c r="F273" s="1962">
        <v>613.16233</v>
      </c>
      <c r="G273" s="1962">
        <v>0</v>
      </c>
      <c r="H273" s="1962">
        <v>0</v>
      </c>
      <c r="I273" s="1962">
        <v>613.16233</v>
      </c>
    </row>
    <row r="274" spans="1:9" ht="12.75" hidden="1" outlineLevel="2" x14ac:dyDescent="0.2">
      <c r="A274" s="1961" t="s">
        <v>1875</v>
      </c>
      <c r="B274" s="1961" t="s">
        <v>1876</v>
      </c>
      <c r="C274" s="1961" t="s">
        <v>1990</v>
      </c>
      <c r="D274" s="1961" t="s">
        <v>1991</v>
      </c>
      <c r="E274" s="1961" t="s">
        <v>912</v>
      </c>
      <c r="F274" s="1962">
        <v>2714.7917000000002</v>
      </c>
      <c r="G274" s="1962">
        <v>2714.7917000000002</v>
      </c>
      <c r="H274" s="1962">
        <v>0</v>
      </c>
      <c r="I274" s="1962">
        <v>0</v>
      </c>
    </row>
    <row r="275" spans="1:9" ht="12.75" hidden="1" outlineLevel="2" x14ac:dyDescent="0.2">
      <c r="A275" s="1961" t="s">
        <v>1875</v>
      </c>
      <c r="B275" s="1961" t="s">
        <v>1876</v>
      </c>
      <c r="C275" s="1961" t="s">
        <v>1990</v>
      </c>
      <c r="D275" s="1961" t="s">
        <v>1991</v>
      </c>
      <c r="E275" s="1961" t="s">
        <v>906</v>
      </c>
      <c r="F275" s="1962">
        <v>12.024369999999999</v>
      </c>
      <c r="G275" s="1962">
        <v>3.1067608531490127</v>
      </c>
      <c r="H275" s="1962">
        <v>0.85867351322903795</v>
      </c>
      <c r="I275" s="1962">
        <v>0.70958621558492629</v>
      </c>
    </row>
    <row r="276" spans="1:9" ht="12.75" hidden="1" outlineLevel="2" x14ac:dyDescent="0.2">
      <c r="A276" s="1961" t="s">
        <v>1875</v>
      </c>
      <c r="B276" s="1961" t="s">
        <v>1876</v>
      </c>
      <c r="C276" s="1961" t="s">
        <v>1990</v>
      </c>
      <c r="D276" s="1961" t="s">
        <v>1991</v>
      </c>
      <c r="E276" s="1961" t="s">
        <v>1083</v>
      </c>
      <c r="F276" s="1962">
        <v>8718.86168</v>
      </c>
      <c r="G276" s="1962">
        <v>2362.2789999462907</v>
      </c>
      <c r="H276" s="1962">
        <v>664.1949395853494</v>
      </c>
      <c r="I276" s="1962">
        <v>472.00744653038572</v>
      </c>
    </row>
    <row r="277" spans="1:9" ht="12.75" hidden="1" outlineLevel="2" x14ac:dyDescent="0.2">
      <c r="A277" s="1961" t="s">
        <v>1875</v>
      </c>
      <c r="B277" s="1961" t="s">
        <v>1876</v>
      </c>
      <c r="C277" s="1961" t="s">
        <v>1990</v>
      </c>
      <c r="D277" s="1961" t="s">
        <v>1991</v>
      </c>
      <c r="E277" s="1961" t="s">
        <v>913</v>
      </c>
      <c r="F277" s="1962">
        <v>4115.1925199999996</v>
      </c>
      <c r="G277" s="1962">
        <v>1151.1752719798574</v>
      </c>
      <c r="H277" s="1962">
        <v>307.19616131522105</v>
      </c>
      <c r="I277" s="1962">
        <v>219.47344916577282</v>
      </c>
    </row>
    <row r="278" spans="1:9" ht="12.75" hidden="1" outlineLevel="2" x14ac:dyDescent="0.2">
      <c r="A278" s="1961" t="s">
        <v>1875</v>
      </c>
      <c r="B278" s="1961" t="s">
        <v>1876</v>
      </c>
      <c r="C278" s="1961" t="s">
        <v>1990</v>
      </c>
      <c r="D278" s="1961" t="s">
        <v>1991</v>
      </c>
      <c r="E278" s="1961" t="s">
        <v>920</v>
      </c>
      <c r="F278" s="1962">
        <v>3161.2148900000002</v>
      </c>
      <c r="G278" s="1962">
        <v>0</v>
      </c>
      <c r="H278" s="1962">
        <v>0</v>
      </c>
      <c r="I278" s="1962">
        <v>0</v>
      </c>
    </row>
    <row r="279" spans="1:9" ht="12.75" hidden="1" outlineLevel="2" x14ac:dyDescent="0.2">
      <c r="A279" s="1961" t="s">
        <v>1875</v>
      </c>
      <c r="B279" s="1961" t="s">
        <v>1876</v>
      </c>
      <c r="C279" s="1961" t="s">
        <v>1990</v>
      </c>
      <c r="D279" s="1961" t="s">
        <v>1991</v>
      </c>
      <c r="E279" s="1961" t="s">
        <v>921</v>
      </c>
      <c r="F279" s="1962">
        <v>542.38660000000004</v>
      </c>
      <c r="G279" s="1962">
        <v>0</v>
      </c>
      <c r="H279" s="1962">
        <v>542.38660000000004</v>
      </c>
      <c r="I279" s="1962">
        <v>0</v>
      </c>
    </row>
    <row r="280" spans="1:9" ht="12.75" hidden="1" outlineLevel="2" x14ac:dyDescent="0.2">
      <c r="A280" s="1961" t="s">
        <v>1875</v>
      </c>
      <c r="B280" s="1961" t="s">
        <v>1876</v>
      </c>
      <c r="C280" s="1961" t="s">
        <v>1990</v>
      </c>
      <c r="D280" s="1961" t="s">
        <v>1991</v>
      </c>
      <c r="E280" s="1961" t="s">
        <v>922</v>
      </c>
      <c r="F280" s="1962">
        <v>1135.9204099999999</v>
      </c>
      <c r="G280" s="1962">
        <v>0</v>
      </c>
      <c r="H280" s="1962">
        <v>0</v>
      </c>
      <c r="I280" s="1962">
        <v>0</v>
      </c>
    </row>
    <row r="281" spans="1:9" ht="12.75" hidden="1" outlineLevel="2" x14ac:dyDescent="0.2">
      <c r="A281" s="1961" t="s">
        <v>1875</v>
      </c>
      <c r="B281" s="1961" t="s">
        <v>1876</v>
      </c>
      <c r="C281" s="1961" t="s">
        <v>1990</v>
      </c>
      <c r="D281" s="1961" t="s">
        <v>1991</v>
      </c>
      <c r="E281" s="1961" t="s">
        <v>923</v>
      </c>
      <c r="F281" s="1962">
        <v>289.8458</v>
      </c>
      <c r="G281" s="1962">
        <v>0</v>
      </c>
      <c r="H281" s="1962">
        <v>0</v>
      </c>
      <c r="I281" s="1962">
        <v>0</v>
      </c>
    </row>
    <row r="282" spans="1:9" ht="12.75" hidden="1" outlineLevel="2" x14ac:dyDescent="0.2">
      <c r="A282" s="1961" t="s">
        <v>1875</v>
      </c>
      <c r="B282" s="1961" t="s">
        <v>1876</v>
      </c>
      <c r="C282" s="1961" t="s">
        <v>1992</v>
      </c>
      <c r="D282" s="1961" t="s">
        <v>1993</v>
      </c>
      <c r="E282" s="1961" t="s">
        <v>918</v>
      </c>
      <c r="F282" s="1962">
        <v>25.296810000000001</v>
      </c>
      <c r="G282" s="1962">
        <v>0</v>
      </c>
      <c r="H282" s="1962">
        <v>0</v>
      </c>
      <c r="I282" s="1962">
        <v>0</v>
      </c>
    </row>
    <row r="283" spans="1:9" ht="12.75" hidden="1" outlineLevel="2" x14ac:dyDescent="0.2">
      <c r="A283" s="1961" t="s">
        <v>1875</v>
      </c>
      <c r="B283" s="1961" t="s">
        <v>1876</v>
      </c>
      <c r="C283" s="1961" t="s">
        <v>1992</v>
      </c>
      <c r="D283" s="1961" t="s">
        <v>1993</v>
      </c>
      <c r="E283" s="1961" t="s">
        <v>919</v>
      </c>
      <c r="F283" s="1962">
        <v>13.83159</v>
      </c>
      <c r="G283" s="1962">
        <v>0</v>
      </c>
      <c r="H283" s="1962">
        <v>0</v>
      </c>
      <c r="I283" s="1962">
        <v>13.83159</v>
      </c>
    </row>
    <row r="284" spans="1:9" ht="12.75" hidden="1" outlineLevel="2" x14ac:dyDescent="0.2">
      <c r="A284" s="1961" t="s">
        <v>1875</v>
      </c>
      <c r="B284" s="1961" t="s">
        <v>1876</v>
      </c>
      <c r="C284" s="1961" t="s">
        <v>1992</v>
      </c>
      <c r="D284" s="1961" t="s">
        <v>1993</v>
      </c>
      <c r="E284" s="1961" t="s">
        <v>912</v>
      </c>
      <c r="F284" s="1962">
        <v>100.09196</v>
      </c>
      <c r="G284" s="1962">
        <v>100.09196</v>
      </c>
      <c r="H284" s="1962">
        <v>0</v>
      </c>
      <c r="I284" s="1962">
        <v>0</v>
      </c>
    </row>
    <row r="285" spans="1:9" ht="12.75" hidden="1" outlineLevel="2" x14ac:dyDescent="0.2">
      <c r="A285" s="1961" t="s">
        <v>1875</v>
      </c>
      <c r="B285" s="1961" t="s">
        <v>1876</v>
      </c>
      <c r="C285" s="1961" t="s">
        <v>1992</v>
      </c>
      <c r="D285" s="1961" t="s">
        <v>1993</v>
      </c>
      <c r="E285" s="1961" t="s">
        <v>906</v>
      </c>
      <c r="F285" s="1962">
        <v>3.6682800000000002</v>
      </c>
      <c r="G285" s="1962">
        <v>0.94778094007332292</v>
      </c>
      <c r="H285" s="1962">
        <v>0.26195591744996333</v>
      </c>
      <c r="I285" s="1962">
        <v>0.21647378805757589</v>
      </c>
    </row>
    <row r="286" spans="1:9" ht="12.75" hidden="1" outlineLevel="2" x14ac:dyDescent="0.2">
      <c r="A286" s="1961" t="s">
        <v>1875</v>
      </c>
      <c r="B286" s="1961" t="s">
        <v>1876</v>
      </c>
      <c r="C286" s="1961" t="s">
        <v>1992</v>
      </c>
      <c r="D286" s="1961" t="s">
        <v>1993</v>
      </c>
      <c r="E286" s="1961" t="s">
        <v>1083</v>
      </c>
      <c r="F286" s="1962">
        <v>240.21689000000001</v>
      </c>
      <c r="G286" s="1962">
        <v>65.084105644328574</v>
      </c>
      <c r="H286" s="1962">
        <v>18.299503833960415</v>
      </c>
      <c r="I286" s="1962">
        <v>13.004468361100386</v>
      </c>
    </row>
    <row r="287" spans="1:9" ht="12.75" hidden="1" outlineLevel="2" x14ac:dyDescent="0.2">
      <c r="A287" s="1961" t="s">
        <v>1875</v>
      </c>
      <c r="B287" s="1961" t="s">
        <v>1876</v>
      </c>
      <c r="C287" s="1961" t="s">
        <v>1992</v>
      </c>
      <c r="D287" s="1961" t="s">
        <v>1993</v>
      </c>
      <c r="E287" s="1961" t="s">
        <v>913</v>
      </c>
      <c r="F287" s="1962">
        <v>10.64157</v>
      </c>
      <c r="G287" s="1962">
        <v>2.9768503367717751</v>
      </c>
      <c r="H287" s="1962">
        <v>0.79438554538566686</v>
      </c>
      <c r="I287" s="1962">
        <v>0.56754138745348748</v>
      </c>
    </row>
    <row r="288" spans="1:9" ht="12.75" hidden="1" outlineLevel="2" x14ac:dyDescent="0.2">
      <c r="A288" s="1961" t="s">
        <v>1875</v>
      </c>
      <c r="B288" s="1961" t="s">
        <v>1876</v>
      </c>
      <c r="C288" s="1961" t="s">
        <v>1992</v>
      </c>
      <c r="D288" s="1961" t="s">
        <v>1993</v>
      </c>
      <c r="E288" s="1961" t="s">
        <v>920</v>
      </c>
      <c r="F288" s="1962">
        <v>80.965680000000006</v>
      </c>
      <c r="G288" s="1962">
        <v>0</v>
      </c>
      <c r="H288" s="1962">
        <v>0</v>
      </c>
      <c r="I288" s="1962">
        <v>0</v>
      </c>
    </row>
    <row r="289" spans="1:9" ht="12.75" hidden="1" outlineLevel="2" x14ac:dyDescent="0.2">
      <c r="A289" s="1961" t="s">
        <v>1875</v>
      </c>
      <c r="B289" s="1961" t="s">
        <v>1876</v>
      </c>
      <c r="C289" s="1961" t="s">
        <v>1992</v>
      </c>
      <c r="D289" s="1961" t="s">
        <v>1993</v>
      </c>
      <c r="E289" s="1961" t="s">
        <v>921</v>
      </c>
      <c r="F289" s="1962">
        <v>5.9121600000000001</v>
      </c>
      <c r="G289" s="1962">
        <v>0</v>
      </c>
      <c r="H289" s="1962">
        <v>5.9121600000000001</v>
      </c>
      <c r="I289" s="1962">
        <v>0</v>
      </c>
    </row>
    <row r="290" spans="1:9" ht="12.75" hidden="1" outlineLevel="2" x14ac:dyDescent="0.2">
      <c r="A290" s="1961" t="s">
        <v>1875</v>
      </c>
      <c r="B290" s="1961" t="s">
        <v>1876</v>
      </c>
      <c r="C290" s="1961" t="s">
        <v>1992</v>
      </c>
      <c r="D290" s="1961" t="s">
        <v>1993</v>
      </c>
      <c r="E290" s="1961" t="s">
        <v>922</v>
      </c>
      <c r="F290" s="1962">
        <v>20.15278</v>
      </c>
      <c r="G290" s="1962">
        <v>0</v>
      </c>
      <c r="H290" s="1962">
        <v>0</v>
      </c>
      <c r="I290" s="1962">
        <v>0</v>
      </c>
    </row>
    <row r="291" spans="1:9" ht="12.75" hidden="1" outlineLevel="2" x14ac:dyDescent="0.2">
      <c r="A291" s="1961" t="s">
        <v>1875</v>
      </c>
      <c r="B291" s="1961" t="s">
        <v>1876</v>
      </c>
      <c r="C291" s="1961" t="s">
        <v>1992</v>
      </c>
      <c r="D291" s="1961" t="s">
        <v>1993</v>
      </c>
      <c r="E291" s="1961" t="s">
        <v>923</v>
      </c>
      <c r="F291" s="1962">
        <v>4.5684699999999996</v>
      </c>
      <c r="G291" s="1962">
        <v>0</v>
      </c>
      <c r="H291" s="1962">
        <v>0</v>
      </c>
      <c r="I291" s="1962">
        <v>0</v>
      </c>
    </row>
    <row r="292" spans="1:9" ht="12.75" hidden="1" outlineLevel="2" x14ac:dyDescent="0.2">
      <c r="A292" s="1961" t="s">
        <v>1875</v>
      </c>
      <c r="B292" s="1961" t="s">
        <v>1876</v>
      </c>
      <c r="C292" s="1961" t="s">
        <v>1994</v>
      </c>
      <c r="D292" s="1961" t="s">
        <v>1995</v>
      </c>
      <c r="E292" s="1961" t="s">
        <v>918</v>
      </c>
      <c r="F292" s="1962">
        <v>3.2804500000000001</v>
      </c>
      <c r="G292" s="1962">
        <v>0</v>
      </c>
      <c r="H292" s="1962">
        <v>0</v>
      </c>
      <c r="I292" s="1962">
        <v>0</v>
      </c>
    </row>
    <row r="293" spans="1:9" ht="12.75" hidden="1" outlineLevel="2" x14ac:dyDescent="0.2">
      <c r="A293" s="1961" t="s">
        <v>1875</v>
      </c>
      <c r="B293" s="1961" t="s">
        <v>1876</v>
      </c>
      <c r="C293" s="1961" t="s">
        <v>1994</v>
      </c>
      <c r="D293" s="1961" t="s">
        <v>1995</v>
      </c>
      <c r="E293" s="1961" t="s">
        <v>1754</v>
      </c>
      <c r="F293" s="1962">
        <v>3.5087299999999999</v>
      </c>
      <c r="G293" s="1962">
        <v>1.0695532399599557</v>
      </c>
      <c r="H293" s="1962">
        <v>0.23406694694119662</v>
      </c>
      <c r="I293" s="1962">
        <v>0.14982862690873919</v>
      </c>
    </row>
    <row r="294" spans="1:9" ht="12.75" hidden="1" outlineLevel="2" x14ac:dyDescent="0.2">
      <c r="A294" s="1961" t="s">
        <v>1875</v>
      </c>
      <c r="B294" s="1961" t="s">
        <v>1876</v>
      </c>
      <c r="C294" s="1961" t="s">
        <v>1994</v>
      </c>
      <c r="D294" s="1961" t="s">
        <v>1995</v>
      </c>
      <c r="E294" s="1961" t="s">
        <v>919</v>
      </c>
      <c r="F294" s="1962">
        <v>4.3215599999999998</v>
      </c>
      <c r="G294" s="1962">
        <v>0</v>
      </c>
      <c r="H294" s="1962">
        <v>0</v>
      </c>
      <c r="I294" s="1962">
        <v>4.3215599999999998</v>
      </c>
    </row>
    <row r="295" spans="1:9" ht="12.75" hidden="1" outlineLevel="2" x14ac:dyDescent="0.2">
      <c r="A295" s="1961" t="s">
        <v>1875</v>
      </c>
      <c r="B295" s="1961" t="s">
        <v>1876</v>
      </c>
      <c r="C295" s="1961" t="s">
        <v>1994</v>
      </c>
      <c r="D295" s="1961" t="s">
        <v>1995</v>
      </c>
      <c r="E295" s="1961" t="s">
        <v>912</v>
      </c>
      <c r="F295" s="1962">
        <v>68.404899999999998</v>
      </c>
      <c r="G295" s="1962">
        <v>68.404899999999998</v>
      </c>
      <c r="H295" s="1962">
        <v>0</v>
      </c>
      <c r="I295" s="1962">
        <v>0</v>
      </c>
    </row>
    <row r="296" spans="1:9" ht="12.75" hidden="1" outlineLevel="2" x14ac:dyDescent="0.2">
      <c r="A296" s="1961" t="s">
        <v>1875</v>
      </c>
      <c r="B296" s="1961" t="s">
        <v>1876</v>
      </c>
      <c r="C296" s="1961" t="s">
        <v>1994</v>
      </c>
      <c r="D296" s="1961" t="s">
        <v>1995</v>
      </c>
      <c r="E296" s="1961" t="s">
        <v>906</v>
      </c>
      <c r="F296" s="1962">
        <v>0.10896</v>
      </c>
      <c r="G296" s="1962">
        <v>2.8152216087754822E-2</v>
      </c>
      <c r="H296" s="1962">
        <v>7.780953680021155E-3</v>
      </c>
      <c r="I296" s="1962">
        <v>6.4299846104314464E-3</v>
      </c>
    </row>
    <row r="297" spans="1:9" ht="12.75" hidden="1" outlineLevel="2" x14ac:dyDescent="0.2">
      <c r="A297" s="1961" t="s">
        <v>1875</v>
      </c>
      <c r="B297" s="1961" t="s">
        <v>1876</v>
      </c>
      <c r="C297" s="1961" t="s">
        <v>1994</v>
      </c>
      <c r="D297" s="1961" t="s">
        <v>1995</v>
      </c>
      <c r="E297" s="1961" t="s">
        <v>1083</v>
      </c>
      <c r="F297" s="1962">
        <v>156.09952000000001</v>
      </c>
      <c r="G297" s="1962">
        <v>42.293435947443093</v>
      </c>
      <c r="H297" s="1962">
        <v>11.891519221314457</v>
      </c>
      <c r="I297" s="1962">
        <v>8.4506600223779316</v>
      </c>
    </row>
    <row r="298" spans="1:9" ht="12.75" hidden="1" outlineLevel="2" x14ac:dyDescent="0.2">
      <c r="A298" s="1961" t="s">
        <v>1875</v>
      </c>
      <c r="B298" s="1961" t="s">
        <v>1876</v>
      </c>
      <c r="C298" s="1961" t="s">
        <v>1994</v>
      </c>
      <c r="D298" s="1961" t="s">
        <v>1995</v>
      </c>
      <c r="E298" s="1961" t="s">
        <v>913</v>
      </c>
      <c r="F298" s="1962">
        <v>80.388180000000006</v>
      </c>
      <c r="G298" s="1962">
        <v>22.487619844202509</v>
      </c>
      <c r="H298" s="1962">
        <v>6.0009198090000968</v>
      </c>
      <c r="I298" s="1962">
        <v>4.2873015177328808</v>
      </c>
    </row>
    <row r="299" spans="1:9" ht="12.75" hidden="1" outlineLevel="2" x14ac:dyDescent="0.2">
      <c r="A299" s="1961" t="s">
        <v>1875</v>
      </c>
      <c r="B299" s="1961" t="s">
        <v>1876</v>
      </c>
      <c r="C299" s="1961" t="s">
        <v>1994</v>
      </c>
      <c r="D299" s="1961" t="s">
        <v>1995</v>
      </c>
      <c r="E299" s="1961" t="s">
        <v>920</v>
      </c>
      <c r="F299" s="1962">
        <v>87.227000000000004</v>
      </c>
      <c r="G299" s="1962">
        <v>0</v>
      </c>
      <c r="H299" s="1962">
        <v>0</v>
      </c>
      <c r="I299" s="1962">
        <v>0</v>
      </c>
    </row>
    <row r="300" spans="1:9" ht="12.75" hidden="1" outlineLevel="2" x14ac:dyDescent="0.2">
      <c r="A300" s="1961" t="s">
        <v>1875</v>
      </c>
      <c r="B300" s="1961" t="s">
        <v>1876</v>
      </c>
      <c r="C300" s="1961" t="s">
        <v>1994</v>
      </c>
      <c r="D300" s="1961" t="s">
        <v>1995</v>
      </c>
      <c r="E300" s="1961" t="s">
        <v>921</v>
      </c>
      <c r="F300" s="1962">
        <v>9.8783999999999992</v>
      </c>
      <c r="G300" s="1962">
        <v>0</v>
      </c>
      <c r="H300" s="1962">
        <v>9.8783999999999992</v>
      </c>
      <c r="I300" s="1962">
        <v>0</v>
      </c>
    </row>
    <row r="301" spans="1:9" ht="12.75" hidden="1" outlineLevel="2" x14ac:dyDescent="0.2">
      <c r="A301" s="1961" t="s">
        <v>1875</v>
      </c>
      <c r="B301" s="1961" t="s">
        <v>1876</v>
      </c>
      <c r="C301" s="1961" t="s">
        <v>1994</v>
      </c>
      <c r="D301" s="1961" t="s">
        <v>1995</v>
      </c>
      <c r="E301" s="1961" t="s">
        <v>922</v>
      </c>
      <c r="F301" s="1962">
        <v>13.941929999999999</v>
      </c>
      <c r="G301" s="1962">
        <v>0</v>
      </c>
      <c r="H301" s="1962">
        <v>0</v>
      </c>
      <c r="I301" s="1962">
        <v>0</v>
      </c>
    </row>
    <row r="302" spans="1:9" ht="12.75" hidden="1" outlineLevel="2" x14ac:dyDescent="0.2">
      <c r="A302" s="1961" t="s">
        <v>1875</v>
      </c>
      <c r="B302" s="1961" t="s">
        <v>1876</v>
      </c>
      <c r="C302" s="1961" t="s">
        <v>1994</v>
      </c>
      <c r="D302" s="1961" t="s">
        <v>1995</v>
      </c>
      <c r="E302" s="1961" t="s">
        <v>923</v>
      </c>
      <c r="F302" s="1962">
        <v>1.2691300000000001</v>
      </c>
      <c r="G302" s="1962">
        <v>0</v>
      </c>
      <c r="H302" s="1962">
        <v>0</v>
      </c>
      <c r="I302" s="1962">
        <v>0</v>
      </c>
    </row>
    <row r="303" spans="1:9" ht="13.5" outlineLevel="1" collapsed="1" thickBot="1" x14ac:dyDescent="0.25">
      <c r="A303" s="1964" t="s">
        <v>1996</v>
      </c>
      <c r="B303" s="1964"/>
      <c r="C303" s="1964"/>
      <c r="D303" s="1964"/>
      <c r="E303" s="1964"/>
      <c r="F303" s="1965">
        <f t="shared" ref="F303:I303" si="0">SUBTOTAL(9,F37:F302)</f>
        <v>1001715.9025</v>
      </c>
      <c r="G303" s="1965">
        <f t="shared" si="0"/>
        <v>272890.55965665728</v>
      </c>
      <c r="H303" s="1965">
        <f t="shared" si="0"/>
        <v>75714.901216842642</v>
      </c>
      <c r="I303" s="1965">
        <f t="shared" si="0"/>
        <v>53884.65062021248</v>
      </c>
    </row>
    <row r="304" spans="1:9" ht="12.75" hidden="1" outlineLevel="2" x14ac:dyDescent="0.2">
      <c r="A304" s="1967" t="s">
        <v>1997</v>
      </c>
      <c r="B304" s="1967" t="s">
        <v>1998</v>
      </c>
      <c r="C304" s="1967" t="s">
        <v>1999</v>
      </c>
      <c r="D304" s="1967" t="s">
        <v>2000</v>
      </c>
      <c r="E304" s="1967" t="s">
        <v>1083</v>
      </c>
      <c r="F304" s="1968">
        <v>1499.6799799999999</v>
      </c>
      <c r="G304" s="1962">
        <v>406.3216797578412</v>
      </c>
      <c r="H304" s="1962">
        <v>114.2442546139186</v>
      </c>
      <c r="I304" s="1962">
        <v>81.187217317173904</v>
      </c>
    </row>
    <row r="305" spans="1:9" ht="12.75" hidden="1" outlineLevel="2" x14ac:dyDescent="0.2">
      <c r="A305" s="1961" t="s">
        <v>1997</v>
      </c>
      <c r="B305" s="1961" t="s">
        <v>1998</v>
      </c>
      <c r="C305" s="1961" t="s">
        <v>2001</v>
      </c>
      <c r="D305" s="1961" t="s">
        <v>2002</v>
      </c>
      <c r="E305" s="1961" t="s">
        <v>936</v>
      </c>
      <c r="F305" s="1962">
        <v>-6748.9353600000004</v>
      </c>
      <c r="G305" s="1962">
        <v>0</v>
      </c>
      <c r="H305" s="1962">
        <v>0</v>
      </c>
      <c r="I305" s="1962">
        <v>0</v>
      </c>
    </row>
    <row r="306" spans="1:9" ht="13.5" outlineLevel="1" collapsed="1" thickBot="1" x14ac:dyDescent="0.25">
      <c r="A306" s="1964" t="s">
        <v>2003</v>
      </c>
      <c r="B306" s="1964"/>
      <c r="C306" s="1964"/>
      <c r="D306" s="1964"/>
      <c r="E306" s="1964"/>
      <c r="F306" s="1965">
        <f t="shared" ref="F306:I306" si="1">SUBTOTAL(9,F304:F305)</f>
        <v>-5249.2553800000005</v>
      </c>
      <c r="G306" s="1965">
        <f t="shared" si="1"/>
        <v>406.3216797578412</v>
      </c>
      <c r="H306" s="1965">
        <f t="shared" si="1"/>
        <v>114.2442546139186</v>
      </c>
      <c r="I306" s="1965">
        <f t="shared" si="1"/>
        <v>81.187217317173904</v>
      </c>
    </row>
    <row r="307" spans="1:9" ht="12.75" hidden="1" outlineLevel="2" x14ac:dyDescent="0.2">
      <c r="A307" s="1967" t="s">
        <v>2004</v>
      </c>
      <c r="B307" s="1967" t="s">
        <v>2005</v>
      </c>
      <c r="C307" s="1967" t="s">
        <v>2006</v>
      </c>
      <c r="D307" s="1967" t="s">
        <v>2007</v>
      </c>
      <c r="E307" s="1967" t="s">
        <v>1567</v>
      </c>
      <c r="F307" s="1968">
        <v>-598.26430000000005</v>
      </c>
      <c r="G307" s="1962">
        <v>-162.09308556292729</v>
      </c>
      <c r="H307" s="1962">
        <v>-45.575229333672766</v>
      </c>
      <c r="I307" s="1962">
        <v>-32.387852331806769</v>
      </c>
    </row>
    <row r="308" spans="1:9" ht="12.75" hidden="1" outlineLevel="2" x14ac:dyDescent="0.2">
      <c r="A308" s="1961" t="s">
        <v>2004</v>
      </c>
      <c r="B308" s="1961" t="s">
        <v>2005</v>
      </c>
      <c r="C308" s="1961" t="s">
        <v>2006</v>
      </c>
      <c r="D308" s="1961" t="s">
        <v>2007</v>
      </c>
      <c r="E308" s="1961" t="s">
        <v>1568</v>
      </c>
      <c r="F308" s="1962">
        <v>303.05182000000002</v>
      </c>
      <c r="G308" s="1962">
        <v>82.108533952737673</v>
      </c>
      <c r="H308" s="1962">
        <v>23.086211556475824</v>
      </c>
      <c r="I308" s="1962">
        <v>16.40612283742367</v>
      </c>
    </row>
    <row r="309" spans="1:9" ht="13.5" outlineLevel="1" collapsed="1" thickBot="1" x14ac:dyDescent="0.25">
      <c r="A309" s="1964" t="s">
        <v>2008</v>
      </c>
      <c r="B309" s="1964"/>
      <c r="C309" s="1964"/>
      <c r="D309" s="1964"/>
      <c r="E309" s="1964"/>
      <c r="F309" s="1965">
        <f t="shared" ref="F309:I309" si="2">SUBTOTAL(9,F307:F308)</f>
        <v>-295.21248000000003</v>
      </c>
      <c r="G309" s="1965">
        <f t="shared" si="2"/>
        <v>-79.984551610189612</v>
      </c>
      <c r="H309" s="1965">
        <f t="shared" si="2"/>
        <v>-22.489017777196942</v>
      </c>
      <c r="I309" s="1965">
        <f t="shared" si="2"/>
        <v>-15.981729494383099</v>
      </c>
    </row>
    <row r="310" spans="1:9" ht="12.75" hidden="1" outlineLevel="2" x14ac:dyDescent="0.2">
      <c r="A310" s="1967" t="s">
        <v>2009</v>
      </c>
      <c r="B310" s="1967" t="s">
        <v>2010</v>
      </c>
      <c r="C310" s="1967" t="s">
        <v>2011</v>
      </c>
      <c r="D310" s="1967" t="s">
        <v>2012</v>
      </c>
      <c r="E310" s="1967" t="s">
        <v>1083</v>
      </c>
      <c r="F310" s="1968">
        <v>585.35517000000004</v>
      </c>
      <c r="G310" s="1962">
        <v>158.59549977411629</v>
      </c>
      <c r="H310" s="1962">
        <v>44.591823570955192</v>
      </c>
      <c r="I310" s="1962">
        <v>31.688999005321975</v>
      </c>
    </row>
    <row r="311" spans="1:9" ht="13.5" outlineLevel="1" collapsed="1" thickBot="1" x14ac:dyDescent="0.25">
      <c r="A311" s="1964" t="s">
        <v>2013</v>
      </c>
      <c r="B311" s="1964"/>
      <c r="C311" s="1964"/>
      <c r="D311" s="1964"/>
      <c r="E311" s="1964"/>
      <c r="F311" s="1965">
        <f t="shared" ref="F311:I311" si="3">SUBTOTAL(9,F310:F310)</f>
        <v>585.35517000000004</v>
      </c>
      <c r="G311" s="1965">
        <f t="shared" si="3"/>
        <v>158.59549977411629</v>
      </c>
      <c r="H311" s="1965">
        <f t="shared" si="3"/>
        <v>44.591823570955192</v>
      </c>
      <c r="I311" s="1965">
        <f t="shared" si="3"/>
        <v>31.688999005321975</v>
      </c>
    </row>
    <row r="312" spans="1:9" ht="12.75" hidden="1" outlineLevel="2" x14ac:dyDescent="0.2">
      <c r="A312" s="1967" t="s">
        <v>2014</v>
      </c>
      <c r="B312" s="1967" t="s">
        <v>2015</v>
      </c>
      <c r="C312" s="1967" t="s">
        <v>2016</v>
      </c>
      <c r="D312" s="1967" t="s">
        <v>2017</v>
      </c>
      <c r="E312" s="1967" t="s">
        <v>1083</v>
      </c>
      <c r="F312" s="1968">
        <v>2412.04718</v>
      </c>
      <c r="G312" s="1962">
        <v>653.51746699503451</v>
      </c>
      <c r="H312" s="1962">
        <v>183.74755671053524</v>
      </c>
      <c r="I312" s="1962">
        <v>130.5794577466697</v>
      </c>
    </row>
    <row r="313" spans="1:9" ht="13.5" outlineLevel="1" collapsed="1" thickBot="1" x14ac:dyDescent="0.25">
      <c r="A313" s="1964" t="s">
        <v>2018</v>
      </c>
      <c r="B313" s="1964"/>
      <c r="C313" s="1964"/>
      <c r="D313" s="1964"/>
      <c r="E313" s="1964"/>
      <c r="F313" s="1965">
        <f t="shared" ref="F313:I313" si="4">SUBTOTAL(9,F312:F312)</f>
        <v>2412.04718</v>
      </c>
      <c r="G313" s="1965">
        <f t="shared" si="4"/>
        <v>653.51746699503451</v>
      </c>
      <c r="H313" s="1965">
        <f t="shared" si="4"/>
        <v>183.74755671053524</v>
      </c>
      <c r="I313" s="1965">
        <f t="shared" si="4"/>
        <v>130.5794577466697</v>
      </c>
    </row>
    <row r="314" spans="1:9" ht="12.75" hidden="1" outlineLevel="2" x14ac:dyDescent="0.2">
      <c r="A314" s="1967" t="s">
        <v>2019</v>
      </c>
      <c r="B314" s="1967" t="s">
        <v>2020</v>
      </c>
      <c r="C314" s="1967" t="s">
        <v>2021</v>
      </c>
      <c r="D314" s="1967" t="s">
        <v>2022</v>
      </c>
      <c r="E314" s="1967" t="s">
        <v>918</v>
      </c>
      <c r="F314" s="1968">
        <v>376.39546999999999</v>
      </c>
      <c r="G314" s="1962">
        <v>0</v>
      </c>
      <c r="H314" s="1962">
        <v>0</v>
      </c>
      <c r="I314" s="1962">
        <v>0</v>
      </c>
    </row>
    <row r="315" spans="1:9" ht="12.75" hidden="1" outlineLevel="2" x14ac:dyDescent="0.2">
      <c r="A315" s="1961" t="s">
        <v>2019</v>
      </c>
      <c r="B315" s="1961" t="s">
        <v>2020</v>
      </c>
      <c r="C315" s="1961" t="s">
        <v>2021</v>
      </c>
      <c r="D315" s="1961" t="s">
        <v>2022</v>
      </c>
      <c r="E315" s="1961" t="s">
        <v>919</v>
      </c>
      <c r="F315" s="1962">
        <v>77.315520000000006</v>
      </c>
      <c r="G315" s="1962">
        <v>0</v>
      </c>
      <c r="H315" s="1962">
        <v>0</v>
      </c>
      <c r="I315" s="1962">
        <v>77.315520000000006</v>
      </c>
    </row>
    <row r="316" spans="1:9" ht="12.75" hidden="1" outlineLevel="2" x14ac:dyDescent="0.2">
      <c r="A316" s="1961" t="s">
        <v>2019</v>
      </c>
      <c r="B316" s="1961" t="s">
        <v>2020</v>
      </c>
      <c r="C316" s="1961" t="s">
        <v>2021</v>
      </c>
      <c r="D316" s="1961" t="s">
        <v>2022</v>
      </c>
      <c r="E316" s="1961" t="s">
        <v>912</v>
      </c>
      <c r="F316" s="1962">
        <v>603.93447000000003</v>
      </c>
      <c r="G316" s="1962">
        <v>603.93447000000003</v>
      </c>
      <c r="H316" s="1962">
        <v>0</v>
      </c>
      <c r="I316" s="1962">
        <v>0</v>
      </c>
    </row>
    <row r="317" spans="1:9" ht="12.75" hidden="1" outlineLevel="2" x14ac:dyDescent="0.2">
      <c r="A317" s="1961" t="s">
        <v>2019</v>
      </c>
      <c r="B317" s="1961" t="s">
        <v>2020</v>
      </c>
      <c r="C317" s="1961" t="s">
        <v>2021</v>
      </c>
      <c r="D317" s="1961" t="s">
        <v>2022</v>
      </c>
      <c r="E317" s="1961" t="s">
        <v>920</v>
      </c>
      <c r="F317" s="1962">
        <v>727.29594999999995</v>
      </c>
      <c r="G317" s="1962">
        <v>0</v>
      </c>
      <c r="H317" s="1962">
        <v>0</v>
      </c>
      <c r="I317" s="1962">
        <v>0</v>
      </c>
    </row>
    <row r="318" spans="1:9" ht="12.75" hidden="1" outlineLevel="2" x14ac:dyDescent="0.2">
      <c r="A318" s="1961" t="s">
        <v>2019</v>
      </c>
      <c r="B318" s="1961" t="s">
        <v>2020</v>
      </c>
      <c r="C318" s="1961" t="s">
        <v>2021</v>
      </c>
      <c r="D318" s="1961" t="s">
        <v>2022</v>
      </c>
      <c r="E318" s="1961" t="s">
        <v>921</v>
      </c>
      <c r="F318" s="1962">
        <v>289.99741</v>
      </c>
      <c r="G318" s="1962">
        <v>0</v>
      </c>
      <c r="H318" s="1962">
        <v>289.99741</v>
      </c>
      <c r="I318" s="1962">
        <v>0</v>
      </c>
    </row>
    <row r="319" spans="1:9" ht="12.75" hidden="1" outlineLevel="2" x14ac:dyDescent="0.2">
      <c r="A319" s="1961" t="s">
        <v>2019</v>
      </c>
      <c r="B319" s="1961" t="s">
        <v>2020</v>
      </c>
      <c r="C319" s="1961" t="s">
        <v>2021</v>
      </c>
      <c r="D319" s="1961" t="s">
        <v>2022</v>
      </c>
      <c r="E319" s="1961" t="s">
        <v>922</v>
      </c>
      <c r="F319" s="1962">
        <v>151.13949</v>
      </c>
      <c r="G319" s="1962">
        <v>0</v>
      </c>
      <c r="H319" s="1962">
        <v>0</v>
      </c>
      <c r="I319" s="1962">
        <v>0</v>
      </c>
    </row>
    <row r="320" spans="1:9" ht="13.5" outlineLevel="1" collapsed="1" thickBot="1" x14ac:dyDescent="0.25">
      <c r="A320" s="1964" t="s">
        <v>2023</v>
      </c>
      <c r="B320" s="1964"/>
      <c r="C320" s="1964"/>
      <c r="D320" s="1964"/>
      <c r="E320" s="1964"/>
      <c r="F320" s="1965">
        <f t="shared" ref="F320:I320" si="5">SUBTOTAL(9,F314:F319)</f>
        <v>2226.0783099999999</v>
      </c>
      <c r="G320" s="1965">
        <f t="shared" si="5"/>
        <v>603.93447000000003</v>
      </c>
      <c r="H320" s="1965">
        <f t="shared" si="5"/>
        <v>289.99741</v>
      </c>
      <c r="I320" s="1965">
        <f t="shared" si="5"/>
        <v>77.315520000000006</v>
      </c>
    </row>
    <row r="321" spans="1:17" ht="12.75" hidden="1" outlineLevel="2" x14ac:dyDescent="0.2">
      <c r="A321" s="1967" t="s">
        <v>2024</v>
      </c>
      <c r="B321" s="1967" t="s">
        <v>2025</v>
      </c>
      <c r="C321" s="1967" t="s">
        <v>2026</v>
      </c>
      <c r="D321" s="1967" t="s">
        <v>2027</v>
      </c>
      <c r="E321" s="1967" t="s">
        <v>1083</v>
      </c>
      <c r="F321" s="1968">
        <v>2971.759</v>
      </c>
      <c r="G321" s="1962">
        <v>805.16518511868276</v>
      </c>
      <c r="H321" s="1962">
        <v>226.38589324050596</v>
      </c>
      <c r="I321" s="1962">
        <v>160.88021908998707</v>
      </c>
    </row>
    <row r="322" spans="1:17" ht="13.5" outlineLevel="1" collapsed="1" thickBot="1" x14ac:dyDescent="0.25">
      <c r="A322" s="1964" t="s">
        <v>2028</v>
      </c>
      <c r="B322" s="1964"/>
      <c r="C322" s="1964"/>
      <c r="D322" s="1964"/>
      <c r="E322" s="1964"/>
      <c r="F322" s="1965">
        <f t="shared" ref="F322:I322" si="6">SUBTOTAL(9,F321:F321)</f>
        <v>2971.759</v>
      </c>
      <c r="G322" s="1965">
        <f t="shared" si="6"/>
        <v>805.16518511868276</v>
      </c>
      <c r="H322" s="1965">
        <f t="shared" si="6"/>
        <v>226.38589324050596</v>
      </c>
      <c r="I322" s="1965">
        <f t="shared" si="6"/>
        <v>160.88021908998707</v>
      </c>
    </row>
    <row r="323" spans="1:17" ht="12.75" hidden="1" outlineLevel="2" x14ac:dyDescent="0.2">
      <c r="A323" s="1967" t="s">
        <v>2029</v>
      </c>
      <c r="B323" s="1967" t="s">
        <v>2030</v>
      </c>
      <c r="C323" s="1967" t="s">
        <v>2031</v>
      </c>
      <c r="D323" s="1967" t="s">
        <v>2032</v>
      </c>
      <c r="E323" s="1967" t="s">
        <v>1083</v>
      </c>
      <c r="F323" s="1968">
        <v>-1.5559999999999999E-2</v>
      </c>
      <c r="G323" s="1962">
        <v>-4.2158096536249077E-3</v>
      </c>
      <c r="H323" s="1962">
        <v>-1.1853466242795169E-3</v>
      </c>
      <c r="I323" s="1962">
        <v>-8.4236178271528692E-4</v>
      </c>
    </row>
    <row r="324" spans="1:17" ht="12.75" hidden="1" outlineLevel="2" x14ac:dyDescent="0.2">
      <c r="A324" s="1961" t="s">
        <v>2029</v>
      </c>
      <c r="B324" s="1961" t="s">
        <v>2030</v>
      </c>
      <c r="C324" s="1961" t="s">
        <v>2033</v>
      </c>
      <c r="D324" s="1961" t="s">
        <v>2034</v>
      </c>
      <c r="E324" s="1961" t="s">
        <v>912</v>
      </c>
      <c r="F324" s="1962">
        <v>-9.3900000000000008E-3</v>
      </c>
      <c r="G324" s="1962">
        <v>-9.3900000000000008E-3</v>
      </c>
      <c r="H324" s="1962">
        <v>0</v>
      </c>
      <c r="I324" s="1962">
        <v>0</v>
      </c>
    </row>
    <row r="325" spans="1:17" ht="12.75" hidden="1" outlineLevel="2" x14ac:dyDescent="0.2">
      <c r="A325" s="1961" t="s">
        <v>2029</v>
      </c>
      <c r="B325" s="1961" t="s">
        <v>2030</v>
      </c>
      <c r="C325" s="1961" t="s">
        <v>2033</v>
      </c>
      <c r="D325" s="1961" t="s">
        <v>2034</v>
      </c>
      <c r="E325" s="1961" t="s">
        <v>920</v>
      </c>
      <c r="F325" s="1962">
        <v>0.59418000000000004</v>
      </c>
      <c r="G325" s="1962">
        <v>0</v>
      </c>
      <c r="H325" s="1962">
        <v>0</v>
      </c>
      <c r="I325" s="1962">
        <v>0</v>
      </c>
    </row>
    <row r="326" spans="1:17" ht="12.75" hidden="1" outlineLevel="2" x14ac:dyDescent="0.2">
      <c r="A326" s="1961" t="s">
        <v>2029</v>
      </c>
      <c r="B326" s="1961" t="s">
        <v>2030</v>
      </c>
      <c r="C326" s="1961" t="s">
        <v>2035</v>
      </c>
      <c r="D326" s="1961" t="s">
        <v>2036</v>
      </c>
      <c r="E326" s="1961" t="s">
        <v>1083</v>
      </c>
      <c r="F326" s="1984">
        <v>-266.84303</v>
      </c>
      <c r="G326" s="1962">
        <v>-72.29816335967358</v>
      </c>
      <c r="H326" s="1962">
        <v>-20.327858921787779</v>
      </c>
      <c r="I326" s="1962">
        <v>-14.4459246976831</v>
      </c>
    </row>
    <row r="327" spans="1:17" ht="13.5" outlineLevel="1" collapsed="1" thickBot="1" x14ac:dyDescent="0.25">
      <c r="A327" s="1973" t="s">
        <v>2037</v>
      </c>
      <c r="B327" s="1973"/>
      <c r="C327" s="1973"/>
      <c r="D327" s="1973"/>
      <c r="E327" s="1973"/>
      <c r="F327" s="1974">
        <f t="shared" ref="F327:I327" si="7">SUBTOTAL(9,F323:F326)</f>
        <v>-266.27379999999999</v>
      </c>
      <c r="G327" s="1965">
        <f t="shared" si="7"/>
        <v>-72.311769169327206</v>
      </c>
      <c r="H327" s="1965">
        <f t="shared" si="7"/>
        <v>-20.329044268412058</v>
      </c>
      <c r="I327" s="1965">
        <f t="shared" si="7"/>
        <v>-14.446767059465815</v>
      </c>
    </row>
    <row r="328" spans="1:17" ht="13.5" thickBot="1" x14ac:dyDescent="0.25">
      <c r="A328" s="1973" t="s">
        <v>1342</v>
      </c>
      <c r="B328" s="1973"/>
      <c r="C328" s="1973"/>
      <c r="D328" s="1973"/>
      <c r="E328" s="1973"/>
      <c r="F328" s="1974">
        <f t="shared" ref="F328:I328" si="8">SUBTOTAL(9,F37:F326)</f>
        <v>1004100.4004999999</v>
      </c>
      <c r="G328" s="1970">
        <f t="shared" si="8"/>
        <v>275365.79763752338</v>
      </c>
      <c r="H328" s="1970">
        <f t="shared" si="8"/>
        <v>76531.050092932957</v>
      </c>
      <c r="I328" s="1970">
        <f t="shared" si="8"/>
        <v>54335.873536817788</v>
      </c>
    </row>
    <row r="330" spans="1:17" ht="12" customHeight="1" x14ac:dyDescent="0.2">
      <c r="C330" s="2023" t="s">
        <v>5459</v>
      </c>
      <c r="D330" s="2023" t="s">
        <v>5459</v>
      </c>
      <c r="E330" s="2023" t="s">
        <v>5459</v>
      </c>
      <c r="F330" s="2023" t="s">
        <v>5459</v>
      </c>
      <c r="G330" s="2023" t="s">
        <v>5459</v>
      </c>
      <c r="H330" s="2023" t="s">
        <v>5459</v>
      </c>
      <c r="I330" s="2023" t="s">
        <v>5459</v>
      </c>
      <c r="J330" s="2023" t="s">
        <v>5459</v>
      </c>
      <c r="K330" s="2023" t="s">
        <v>5459</v>
      </c>
      <c r="L330" s="2023" t="s">
        <v>5459</v>
      </c>
      <c r="M330" s="3817" t="s">
        <v>5460</v>
      </c>
      <c r="N330" s="3818"/>
      <c r="O330" s="3818"/>
      <c r="P330" s="3818"/>
      <c r="Q330" s="3819"/>
    </row>
    <row r="331" spans="1:17" ht="12" customHeight="1" x14ac:dyDescent="0.2">
      <c r="C331" s="2023" t="s">
        <v>5459</v>
      </c>
      <c r="D331" s="2023" t="s">
        <v>5459</v>
      </c>
      <c r="E331" s="2023" t="s">
        <v>5459</v>
      </c>
      <c r="F331" s="2024" t="s">
        <v>104</v>
      </c>
      <c r="G331" s="2025" t="s">
        <v>898</v>
      </c>
      <c r="H331" s="2025" t="s">
        <v>899</v>
      </c>
      <c r="I331" s="2025" t="s">
        <v>900</v>
      </c>
      <c r="J331" s="2023" t="s">
        <v>5459</v>
      </c>
      <c r="K331" s="2023" t="s">
        <v>5459</v>
      </c>
      <c r="L331" s="2023" t="s">
        <v>5459</v>
      </c>
      <c r="M331" s="2026" t="s">
        <v>5461</v>
      </c>
      <c r="N331" s="2026" t="s">
        <v>912</v>
      </c>
      <c r="O331" s="2027" t="s">
        <v>921</v>
      </c>
      <c r="P331" s="2028" t="s">
        <v>5462</v>
      </c>
      <c r="Q331" s="2029" t="s">
        <v>5463</v>
      </c>
    </row>
    <row r="332" spans="1:17" ht="12" customHeight="1" x14ac:dyDescent="0.2">
      <c r="C332" s="2056" t="s">
        <v>5571</v>
      </c>
      <c r="D332" s="2057" t="s">
        <v>5459</v>
      </c>
      <c r="E332" s="2023" t="s">
        <v>5459</v>
      </c>
      <c r="F332" s="2058">
        <f>SUMIF($C$37:$C$327,"31*",F$37:F$327)</f>
        <v>353167.09647000005</v>
      </c>
      <c r="G332" s="2058">
        <f>SUMIF($C$37:$C$327,"31*",G$37:G$327)</f>
        <v>95700.713023194417</v>
      </c>
      <c r="H332" s="2058">
        <f>SUMIF($C$37:$C$327,"31*",H$37:H$327)</f>
        <v>26903.947661138369</v>
      </c>
      <c r="I332" s="2058">
        <f>SUMIF($C$37:$C$327,"31*",I$37:I$327)</f>
        <v>19119.18155391073</v>
      </c>
      <c r="J332" s="2023" t="s">
        <v>5459</v>
      </c>
      <c r="K332" s="2023" t="s">
        <v>5459</v>
      </c>
      <c r="L332" s="2023" t="s">
        <v>5572</v>
      </c>
      <c r="M332" s="2059">
        <f>F332/$F332</f>
        <v>1</v>
      </c>
      <c r="N332" s="2059">
        <f t="shared" ref="N332:P338" si="9">G332/$F332</f>
        <v>0.27097856504682555</v>
      </c>
      <c r="O332" s="2059">
        <f t="shared" si="9"/>
        <v>7.6179088963979236E-2</v>
      </c>
      <c r="P332" s="2059">
        <f t="shared" si="9"/>
        <v>5.4136361357023585E-2</v>
      </c>
      <c r="Q332" s="2059">
        <f>SUM(N332:P332)</f>
        <v>0.40129401536782838</v>
      </c>
    </row>
    <row r="333" spans="1:17" ht="12" customHeight="1" x14ac:dyDescent="0.2">
      <c r="C333" s="2060" t="s">
        <v>5573</v>
      </c>
      <c r="D333" s="2061" t="s">
        <v>5459</v>
      </c>
      <c r="E333" s="2023" t="s">
        <v>5459</v>
      </c>
      <c r="F333" s="2058">
        <f>SUMIF($C$37:$C$327,"33*",F$37:F$327)</f>
        <v>31349.041720000001</v>
      </c>
      <c r="G333" s="2058">
        <f>SUMIF($C$37:$C$327,"33*",G$37:G$327)</f>
        <v>8493.6756243615691</v>
      </c>
      <c r="H333" s="2058">
        <f>SUMIF($C$37:$C$327,"33*",H$37:H$327)</f>
        <v>2388.1414381233767</v>
      </c>
      <c r="I333" s="2058">
        <f>SUMIF($C$37:$C$327,"33*",I$37:I$327)</f>
        <v>1697.1230507504683</v>
      </c>
      <c r="J333" s="2023" t="s">
        <v>5459</v>
      </c>
      <c r="K333" s="2023" t="s">
        <v>5459</v>
      </c>
      <c r="L333" s="2023" t="s">
        <v>5574</v>
      </c>
      <c r="M333" s="2059">
        <f t="shared" ref="M333:M338" si="10">F333/$F333</f>
        <v>1</v>
      </c>
      <c r="N333" s="2059">
        <f t="shared" si="9"/>
        <v>0.27093892375481421</v>
      </c>
      <c r="O333" s="2059">
        <f t="shared" si="9"/>
        <v>7.6179088963979236E-2</v>
      </c>
      <c r="P333" s="2059">
        <f t="shared" si="9"/>
        <v>5.4136361357028054E-2</v>
      </c>
      <c r="Q333" s="2059">
        <f t="shared" ref="Q333:Q338" si="11">SUM(N333:P333)</f>
        <v>0.40125437407582148</v>
      </c>
    </row>
    <row r="334" spans="1:17" ht="12" customHeight="1" x14ac:dyDescent="0.2">
      <c r="C334" s="2060" t="s">
        <v>5575</v>
      </c>
      <c r="D334" s="2061" t="s">
        <v>5459</v>
      </c>
      <c r="E334" s="2023" t="s">
        <v>5459</v>
      </c>
      <c r="F334" s="2058">
        <f>SUMIF($C$37:$C$327,"34*",F$37:F$327)</f>
        <v>216561.06742000004</v>
      </c>
      <c r="G334" s="2058">
        <f>SUMIF($C$37:$C$327,"34*",G$37:G$327)</f>
        <v>58669.546403009073</v>
      </c>
      <c r="H334" s="2058">
        <f>SUMIF($C$37:$C$327,"34*",H$37:H$327)</f>
        <v>16495.8968918026</v>
      </c>
      <c r="I334" s="2058">
        <f>SUMIF($C$37:$C$327,"34*",I$37:I$327)</f>
        <v>11722.742384922583</v>
      </c>
      <c r="J334" s="2023" t="s">
        <v>5459</v>
      </c>
      <c r="K334" s="2023" t="s">
        <v>5459</v>
      </c>
      <c r="L334" s="2023" t="s">
        <v>936</v>
      </c>
      <c r="M334" s="2059">
        <f t="shared" si="10"/>
        <v>1</v>
      </c>
      <c r="N334" s="2059">
        <f t="shared" si="9"/>
        <v>0.27091456050696755</v>
      </c>
      <c r="O334" s="2059">
        <f t="shared" si="9"/>
        <v>7.6172033543824125E-2</v>
      </c>
      <c r="P334" s="2059">
        <f t="shared" si="9"/>
        <v>5.413134745123608E-2</v>
      </c>
      <c r="Q334" s="2059">
        <f t="shared" si="11"/>
        <v>0.40121794150202778</v>
      </c>
    </row>
    <row r="335" spans="1:17" ht="12" customHeight="1" x14ac:dyDescent="0.2">
      <c r="C335" s="2060" t="s">
        <v>5576</v>
      </c>
      <c r="D335" s="2061" t="s">
        <v>5459</v>
      </c>
      <c r="E335" s="2023" t="s">
        <v>5459</v>
      </c>
      <c r="F335" s="2058">
        <f>SUMIF($C$37:$C$327,"35*",F$37:F$327)</f>
        <v>136976.05169999998</v>
      </c>
      <c r="G335" s="2058">
        <f>SUMIF($C$37:$C$327,"35*",G$37:G$327)</f>
        <v>37112.144027781782</v>
      </c>
      <c r="H335" s="2058">
        <f>SUMIF($C$37:$C$327,"35*",H$37:H$327)</f>
        <v>10434.710828388921</v>
      </c>
      <c r="I335" s="2058">
        <f>SUMIF($C$37:$C$327,"35*",I$37:I$327)</f>
        <v>7415.3850320895453</v>
      </c>
      <c r="J335" s="2023" t="s">
        <v>5459</v>
      </c>
      <c r="K335" s="2023" t="s">
        <v>5459</v>
      </c>
      <c r="L335" s="2023" t="s">
        <v>393</v>
      </c>
      <c r="M335" s="2059">
        <f t="shared" si="10"/>
        <v>1</v>
      </c>
      <c r="N335" s="2059">
        <f t="shared" si="9"/>
        <v>0.27093892375481421</v>
      </c>
      <c r="O335" s="2059">
        <f t="shared" si="9"/>
        <v>7.6179088963979263E-2</v>
      </c>
      <c r="P335" s="2059">
        <f t="shared" si="9"/>
        <v>5.4136361357023599E-2</v>
      </c>
      <c r="Q335" s="2059">
        <f t="shared" si="11"/>
        <v>0.4012543740758171</v>
      </c>
    </row>
    <row r="336" spans="1:17" ht="12" customHeight="1" x14ac:dyDescent="0.2">
      <c r="C336" s="2060" t="s">
        <v>5577</v>
      </c>
      <c r="D336" s="2061" t="s">
        <v>5459</v>
      </c>
      <c r="E336" s="2023" t="s">
        <v>5459</v>
      </c>
      <c r="F336" s="2067">
        <f>SUMIF($C$37:$C$327,"36*",F$37:F$327)+SUMIF($C$37:$C$327,"37*",F$37:F$327)</f>
        <v>214687.49655999997</v>
      </c>
      <c r="G336" s="2067">
        <f>SUMIF($C$37:$C$327,"36*",G$37:G$327)+SUMIF($C$37:$C$327,"37*",G$37:G$327)</f>
        <v>58880.053190000006</v>
      </c>
      <c r="H336" s="2067">
        <f>SUMIF($C$37:$C$327,"36*",H$37:H$327)+SUMIF($C$37:$C$327,"37*",H$37:H$327)</f>
        <v>15969.42599</v>
      </c>
      <c r="I336" s="2067">
        <f>SUMIF($C$37:$C$327,"36*",I$37:I$327)+SUMIF($C$37:$C$327,"37*",I$37:I$327)</f>
        <v>11032.965389999999</v>
      </c>
      <c r="J336" s="2023" t="s">
        <v>5459</v>
      </c>
      <c r="K336" s="2023" t="s">
        <v>5459</v>
      </c>
      <c r="L336" s="2023" t="s">
        <v>392</v>
      </c>
      <c r="M336" s="2059">
        <f t="shared" si="10"/>
        <v>1</v>
      </c>
      <c r="N336" s="2059">
        <f t="shared" si="9"/>
        <v>0.27425934967546867</v>
      </c>
      <c r="O336" s="2059">
        <f t="shared" si="9"/>
        <v>7.4384518175873049E-2</v>
      </c>
      <c r="P336" s="2059">
        <f t="shared" si="9"/>
        <v>5.1390814867118037E-2</v>
      </c>
      <c r="Q336" s="2059">
        <f t="shared" si="11"/>
        <v>0.40003468271845977</v>
      </c>
    </row>
    <row r="337" spans="3:17" ht="12" customHeight="1" x14ac:dyDescent="0.2">
      <c r="C337" s="2060" t="s">
        <v>5578</v>
      </c>
      <c r="D337" s="2061" t="s">
        <v>5459</v>
      </c>
      <c r="E337" s="2023" t="s">
        <v>5459</v>
      </c>
      <c r="F337" s="2067">
        <f>SUMIF($C$37:$C$327,"38*",F$37:F$327)+SUMIF($C$37:$C$327,"39*",F$37:F$327)</f>
        <v>48975.148629999996</v>
      </c>
      <c r="G337" s="2067">
        <f>SUMIF($C$37:$C$327,"38*",G$37:G$327)+SUMIF($C$37:$C$327,"39*",G$37:G$327)</f>
        <v>14034.42738831034</v>
      </c>
      <c r="H337" s="2067">
        <f>SUMIF($C$37:$C$327,"38*",H$37:H$327)+SUMIF($C$37:$C$327,"39*",H$37:H$327)</f>
        <v>3522.7784073893854</v>
      </c>
      <c r="I337" s="2067">
        <f>SUMIF($C$37:$C$327,"38*",I$37:I$327)+SUMIF($C$37:$C$327,"39*",I$37:I$327)</f>
        <v>2897.2532085391636</v>
      </c>
      <c r="J337" s="2023" t="s">
        <v>5459</v>
      </c>
      <c r="K337" s="2023" t="s">
        <v>5459</v>
      </c>
      <c r="L337" s="2023" t="s">
        <v>5579</v>
      </c>
      <c r="M337" s="2059">
        <f t="shared" si="10"/>
        <v>1</v>
      </c>
      <c r="N337" s="2059">
        <f t="shared" si="9"/>
        <v>0.28656222147151328</v>
      </c>
      <c r="O337" s="2059">
        <f t="shared" si="9"/>
        <v>7.1929917640545724E-2</v>
      </c>
      <c r="P337" s="2059">
        <f t="shared" si="9"/>
        <v>5.9157619518982636E-2</v>
      </c>
      <c r="Q337" s="2059">
        <f t="shared" si="11"/>
        <v>0.41764975863104165</v>
      </c>
    </row>
    <row r="338" spans="3:17" ht="12" customHeight="1" x14ac:dyDescent="0.2">
      <c r="C338" s="2062" t="s">
        <v>197</v>
      </c>
      <c r="D338" s="2063" t="s">
        <v>5459</v>
      </c>
      <c r="E338" s="2023" t="s">
        <v>5459</v>
      </c>
      <c r="F338" s="2064">
        <f>SUM(F332:F337)</f>
        <v>1001715.9025</v>
      </c>
      <c r="G338" s="2064">
        <f t="shared" ref="G338:I338" si="12">SUM(G332:G337)</f>
        <v>272890.55965665716</v>
      </c>
      <c r="H338" s="2064">
        <f t="shared" si="12"/>
        <v>75714.901216842656</v>
      </c>
      <c r="I338" s="2064">
        <f t="shared" si="12"/>
        <v>53884.650620212487</v>
      </c>
      <c r="J338" s="2023" t="s">
        <v>5459</v>
      </c>
      <c r="K338" s="2023" t="s">
        <v>5459</v>
      </c>
      <c r="L338" s="2023" t="s">
        <v>5459</v>
      </c>
      <c r="M338" s="2059">
        <f t="shared" si="10"/>
        <v>1</v>
      </c>
      <c r="N338" s="2059">
        <f t="shared" si="9"/>
        <v>0.27242310816430026</v>
      </c>
      <c r="O338" s="2059">
        <f t="shared" si="9"/>
        <v>7.5585204375691398E-2</v>
      </c>
      <c r="P338" s="2059">
        <f t="shared" si="9"/>
        <v>5.3792348195463024E-2</v>
      </c>
      <c r="Q338" s="2059">
        <f t="shared" si="11"/>
        <v>0.40180066073545467</v>
      </c>
    </row>
    <row r="339" spans="3:17" ht="12" customHeight="1" x14ac:dyDescent="0.2">
      <c r="C339" s="2023" t="s">
        <v>5459</v>
      </c>
      <c r="D339" s="2023" t="s">
        <v>5459</v>
      </c>
      <c r="E339" s="2023" t="s">
        <v>5459</v>
      </c>
      <c r="F339" s="2023" t="s">
        <v>5459</v>
      </c>
      <c r="G339" s="2023" t="s">
        <v>5459</v>
      </c>
      <c r="H339" s="2023" t="s">
        <v>5459</v>
      </c>
      <c r="I339" s="2023" t="s">
        <v>5459</v>
      </c>
      <c r="J339" s="2023" t="s">
        <v>5459</v>
      </c>
      <c r="K339" s="2023" t="s">
        <v>5459</v>
      </c>
      <c r="L339" s="2023" t="s">
        <v>5459</v>
      </c>
      <c r="M339" s="2023" t="s">
        <v>5459</v>
      </c>
      <c r="N339" s="2023" t="s">
        <v>5459</v>
      </c>
      <c r="O339" s="2023" t="s">
        <v>5459</v>
      </c>
      <c r="P339" s="2023" t="s">
        <v>5459</v>
      </c>
      <c r="Q339" s="2023" t="s">
        <v>5459</v>
      </c>
    </row>
    <row r="340" spans="3:17" ht="12" customHeight="1" x14ac:dyDescent="0.2">
      <c r="C340" s="2023" t="s">
        <v>5459</v>
      </c>
      <c r="D340" s="2023" t="s">
        <v>5459</v>
      </c>
      <c r="E340" s="2023" t="s">
        <v>5459</v>
      </c>
      <c r="F340" s="2023" t="s">
        <v>5459</v>
      </c>
      <c r="G340" s="2023" t="s">
        <v>5459</v>
      </c>
      <c r="H340" s="2023" t="s">
        <v>5459</v>
      </c>
      <c r="I340" s="2023" t="s">
        <v>5459</v>
      </c>
      <c r="J340" s="2023" t="s">
        <v>5459</v>
      </c>
      <c r="K340" s="2023" t="s">
        <v>5459</v>
      </c>
      <c r="L340" s="2023" t="s">
        <v>5459</v>
      </c>
      <c r="M340" s="2023" t="s">
        <v>5459</v>
      </c>
      <c r="N340" s="2023" t="s">
        <v>5459</v>
      </c>
      <c r="O340" s="2023" t="s">
        <v>5459</v>
      </c>
      <c r="P340" s="2023" t="s">
        <v>5459</v>
      </c>
      <c r="Q340" s="2023" t="s">
        <v>5459</v>
      </c>
    </row>
    <row r="341" spans="3:17" ht="12" customHeight="1" thickBot="1" x14ac:dyDescent="0.25">
      <c r="C341" s="2065">
        <v>565</v>
      </c>
      <c r="D341" s="2066" t="s">
        <v>5580</v>
      </c>
      <c r="E341" s="2023" t="s">
        <v>5459</v>
      </c>
      <c r="F341" s="2067">
        <f>F306+F309+F311+F313+F320+F322+F327</f>
        <v>2384.4979999999991</v>
      </c>
      <c r="G341" s="2067">
        <f t="shared" ref="G341:I341" si="13">G306+G309+G311+G313+G320+G322+G327</f>
        <v>2475.2379808661576</v>
      </c>
      <c r="H341" s="2067">
        <f t="shared" si="13"/>
        <v>816.14887609030609</v>
      </c>
      <c r="I341" s="2067">
        <f t="shared" si="13"/>
        <v>451.22291660530374</v>
      </c>
      <c r="J341" s="2023" t="s">
        <v>5459</v>
      </c>
      <c r="K341" s="2023" t="s">
        <v>5459</v>
      </c>
      <c r="L341" s="2023" t="s">
        <v>5459</v>
      </c>
      <c r="M341" s="2023" t="s">
        <v>5459</v>
      </c>
      <c r="N341" s="2023" t="s">
        <v>5459</v>
      </c>
      <c r="O341" s="2023" t="s">
        <v>5459</v>
      </c>
      <c r="P341" s="2023" t="s">
        <v>5459</v>
      </c>
      <c r="Q341" s="2023" t="s">
        <v>5459</v>
      </c>
    </row>
    <row r="342" spans="3:17" ht="12" customHeight="1" x14ac:dyDescent="0.2">
      <c r="C342" s="2023" t="s">
        <v>5459</v>
      </c>
      <c r="D342" s="2023" t="s">
        <v>5459</v>
      </c>
      <c r="E342" s="2023" t="s">
        <v>5459</v>
      </c>
      <c r="F342" s="2023" t="s">
        <v>5459</v>
      </c>
      <c r="G342" s="2023" t="s">
        <v>5459</v>
      </c>
      <c r="H342" s="2023" t="s">
        <v>5459</v>
      </c>
      <c r="I342" s="2023" t="s">
        <v>5459</v>
      </c>
      <c r="J342" s="2023" t="s">
        <v>5459</v>
      </c>
      <c r="K342" s="2023" t="s">
        <v>5459</v>
      </c>
      <c r="L342" s="2023" t="s">
        <v>5459</v>
      </c>
      <c r="M342" s="2023" t="s">
        <v>5459</v>
      </c>
      <c r="N342" s="2023" t="s">
        <v>5459</v>
      </c>
      <c r="O342" s="2023" t="s">
        <v>5459</v>
      </c>
      <c r="P342" s="2023" t="s">
        <v>5459</v>
      </c>
      <c r="Q342" s="2023" t="s">
        <v>5459</v>
      </c>
    </row>
    <row r="343" spans="3:17" ht="12" customHeight="1" x14ac:dyDescent="0.2">
      <c r="C343" s="2023" t="s">
        <v>5581</v>
      </c>
      <c r="D343" s="2023" t="s">
        <v>5459</v>
      </c>
      <c r="E343" s="2023" t="s">
        <v>5459</v>
      </c>
      <c r="F343" s="2068">
        <f>F338+F341</f>
        <v>1004100.4005</v>
      </c>
      <c r="G343" s="2068">
        <f t="shared" ref="G343:I343" si="14">G338+G341</f>
        <v>275365.79763752333</v>
      </c>
      <c r="H343" s="2068">
        <f t="shared" si="14"/>
        <v>76531.050092932957</v>
      </c>
      <c r="I343" s="2068">
        <f t="shared" si="14"/>
        <v>54335.873536817788</v>
      </c>
      <c r="J343" s="2023" t="s">
        <v>5459</v>
      </c>
      <c r="K343" s="2023" t="s">
        <v>5459</v>
      </c>
      <c r="L343" s="2023" t="s">
        <v>5459</v>
      </c>
      <c r="M343" s="2023" t="s">
        <v>5459</v>
      </c>
      <c r="N343" s="2023" t="s">
        <v>5459</v>
      </c>
      <c r="O343" s="2023" t="s">
        <v>5459</v>
      </c>
      <c r="P343" s="2023" t="s">
        <v>5459</v>
      </c>
      <c r="Q343" s="2023" t="s">
        <v>5459</v>
      </c>
    </row>
    <row r="344" spans="3:17" ht="12" customHeight="1" x14ac:dyDescent="0.2">
      <c r="C344" s="2069" t="s">
        <v>5582</v>
      </c>
      <c r="D344" s="2023" t="s">
        <v>5459</v>
      </c>
      <c r="E344" s="2023" t="s">
        <v>5459</v>
      </c>
      <c r="F344" s="2070">
        <f>F328-F343</f>
        <v>0</v>
      </c>
      <c r="G344" s="2070">
        <f t="shared" ref="G344:I344" si="15">G328-G343</f>
        <v>0</v>
      </c>
      <c r="H344" s="2070">
        <f t="shared" si="15"/>
        <v>0</v>
      </c>
      <c r="I344" s="2070">
        <f t="shared" si="15"/>
        <v>0</v>
      </c>
      <c r="J344" s="2023" t="s">
        <v>5459</v>
      </c>
      <c r="K344" s="2071" t="s">
        <v>5459</v>
      </c>
      <c r="L344" s="2023" t="s">
        <v>5459</v>
      </c>
      <c r="M344" s="2023" t="s">
        <v>5459</v>
      </c>
      <c r="N344" s="2023" t="s">
        <v>5459</v>
      </c>
      <c r="O344" s="2023" t="s">
        <v>5459</v>
      </c>
      <c r="P344" s="2023" t="s">
        <v>5459</v>
      </c>
      <c r="Q344" s="2023" t="s">
        <v>5459</v>
      </c>
    </row>
  </sheetData>
  <mergeCells count="1">
    <mergeCell ref="M330:Q330"/>
  </mergeCells>
  <printOptions horizontalCentered="1"/>
  <pageMargins left="0.75" right="0.75" top="0.75" bottom="1" header="0.5" footer="0.5"/>
  <pageSetup scale="10" fitToHeight="15" orientation="landscape" r:id="rId1"/>
  <headerFooter alignWithMargins="0">
    <oddFooter>&amp;C&amp;P of &amp;N</oddFooter>
  </headerFooter>
  <customProperties>
    <customPr name="_pios_id" r:id="rId2"/>
  </customProperties>
  <drawing r:id="rId3"/>
  <legacyDrawing r:id="rId4"/>
  <oleObjects>
    <mc:AlternateContent xmlns:mc="http://schemas.openxmlformats.org/markup-compatibility/2006">
      <mc:Choice Requires="x14">
        <oleObject progId="StaticMetafile" shapeId="120833" r:id="rId5">
          <objectPr defaultSize="0" autoPict="0" r:id="rId6">
            <anchor moveWithCells="1" sizeWithCells="1">
              <from>
                <xdr:col>0</xdr:col>
                <xdr:colOff>9525</xdr:colOff>
                <xdr:row>2</xdr:row>
                <xdr:rowOff>28575</xdr:rowOff>
              </from>
              <to>
                <xdr:col>1</xdr:col>
                <xdr:colOff>1095375</xdr:colOff>
                <xdr:row>2</xdr:row>
                <xdr:rowOff>504825</xdr:rowOff>
              </to>
            </anchor>
          </objectPr>
        </oleObject>
      </mc:Choice>
      <mc:Fallback>
        <oleObject progId="StaticMetafile" shapeId="120833" r:id="rId5"/>
      </mc:Fallback>
    </mc:AlternateContent>
    <mc:AlternateContent xmlns:mc="http://schemas.openxmlformats.org/markup-compatibility/2006">
      <mc:Choice Requires="x14">
        <oleObject progId="StaticMetafile" shapeId="120834" r:id="rId7">
          <objectPr defaultSize="0" autoPict="0" r:id="rId6">
            <anchor moveWithCells="1" sizeWithCells="1">
              <from>
                <xdr:col>0</xdr:col>
                <xdr:colOff>38100</xdr:colOff>
                <xdr:row>0</xdr:row>
                <xdr:rowOff>95250</xdr:rowOff>
              </from>
              <to>
                <xdr:col>1</xdr:col>
                <xdr:colOff>1905000</xdr:colOff>
                <xdr:row>3</xdr:row>
                <xdr:rowOff>9525</xdr:rowOff>
              </to>
            </anchor>
          </objectPr>
        </oleObject>
      </mc:Choice>
      <mc:Fallback>
        <oleObject progId="StaticMetafile" shapeId="120834" r:id="rId7"/>
      </mc:Fallback>
    </mc:AlternateContent>
  </oleObjects>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979FB9-AC7F-4D70-9CAE-971C436711A9}">
  <sheetPr codeName="Sheet121">
    <tabColor rgb="FF00B0F0"/>
    <pageSetUpPr fitToPage="1"/>
  </sheetPr>
  <dimension ref="A1:EP179"/>
  <sheetViews>
    <sheetView showGridLines="0" zoomScale="85" zoomScaleNormal="85" workbookViewId="0">
      <pane ySplit="36" topLeftCell="A120" activePane="bottomLeft" state="frozen"/>
      <selection activeCell="G42" sqref="G42"/>
      <selection pane="bottomLeft" activeCell="G42" sqref="G42"/>
    </sheetView>
  </sheetViews>
  <sheetFormatPr defaultRowHeight="12" customHeight="1" outlineLevelRow="2" x14ac:dyDescent="0.2"/>
  <cols>
    <col min="1" max="1" width="13" style="1953" bestFit="1" customWidth="1"/>
    <col min="2" max="2" width="19" style="1953" customWidth="1"/>
    <col min="3" max="3" width="18.25" style="1953" bestFit="1" customWidth="1"/>
    <col min="4" max="4" width="40.75" style="1953" bestFit="1" customWidth="1"/>
    <col min="5" max="5" width="7" style="1953" bestFit="1" customWidth="1"/>
    <col min="6" max="6" width="8.75" style="1953" bestFit="1" customWidth="1"/>
    <col min="7" max="8" width="8.625" style="1953" bestFit="1" customWidth="1"/>
    <col min="9" max="9" width="7.625" style="1953" bestFit="1" customWidth="1"/>
    <col min="10" max="10" width="1.625" style="1953" customWidth="1"/>
    <col min="11" max="11" width="9.375" style="1953" bestFit="1" customWidth="1"/>
    <col min="12" max="12" width="6.25" style="1953" bestFit="1" customWidth="1"/>
    <col min="13" max="14" width="5.5" style="1953" bestFit="1" customWidth="1"/>
    <col min="15" max="15" width="4.75" style="1953" bestFit="1" customWidth="1"/>
    <col min="16" max="16" width="5.5" style="1953" bestFit="1" customWidth="1"/>
    <col min="17" max="17" width="4.25" style="1953" customWidth="1"/>
    <col min="18" max="18" width="8.75" style="1953" bestFit="1" customWidth="1"/>
    <col min="19" max="19" width="7" style="1953" bestFit="1" customWidth="1"/>
    <col min="20" max="20" width="6.75" style="1953" bestFit="1" customWidth="1"/>
    <col min="21" max="21" width="6.125" style="1953" bestFit="1" customWidth="1"/>
    <col min="22" max="22" width="6.625" style="1953" bestFit="1" customWidth="1"/>
    <col min="23" max="23" width="11.75" style="1953" bestFit="1" customWidth="1"/>
    <col min="24" max="24" width="10.75" style="1953" customWidth="1"/>
    <col min="25" max="25" width="9.75" style="1953" customWidth="1"/>
    <col min="26" max="26" width="4.625" style="1953" customWidth="1"/>
    <col min="27" max="27" width="6.5" style="1953" customWidth="1"/>
    <col min="28" max="28" width="6.125" style="1953" customWidth="1"/>
    <col min="29" max="30" width="5.625" style="1953" customWidth="1"/>
    <col min="31" max="31" width="7.625" style="1953" customWidth="1"/>
    <col min="32" max="32" width="4" style="1953" customWidth="1"/>
    <col min="33" max="33" width="19.625" style="1953" customWidth="1"/>
    <col min="34" max="34" width="8.375" style="1953" customWidth="1"/>
    <col min="35" max="35" width="19.625" style="1953" customWidth="1"/>
    <col min="36" max="36" width="8.375" style="1953" customWidth="1"/>
    <col min="37" max="37" width="19.625" style="1953" customWidth="1"/>
    <col min="38" max="38" width="8.375" style="1953" customWidth="1"/>
    <col min="39" max="39" width="19.625" style="1953" customWidth="1"/>
    <col min="40" max="40" width="8.375" style="1953" customWidth="1"/>
    <col min="41" max="41" width="19.625" style="1953" customWidth="1"/>
    <col min="42" max="42" width="8.375" style="1953" customWidth="1"/>
    <col min="43" max="43" width="13.5" style="1953" customWidth="1"/>
    <col min="44" max="44" width="20" style="1953" customWidth="1"/>
    <col min="45" max="45" width="5.75" style="1953" customWidth="1"/>
    <col min="46" max="46" width="25.75" style="1953" customWidth="1"/>
    <col min="47" max="50" width="20" style="1953" customWidth="1"/>
    <col min="51" max="51" width="5.75" style="1953" customWidth="1"/>
    <col min="52" max="52" width="19.625" style="1953" customWidth="1"/>
    <col min="53" max="53" width="13" style="1953" customWidth="1"/>
    <col min="54" max="54" width="19.75" style="1953" customWidth="1"/>
    <col min="55" max="55" width="25.75" style="1953" customWidth="1"/>
    <col min="56" max="56" width="13" style="1953" customWidth="1"/>
    <col min="57" max="57" width="25.75" style="1953" customWidth="1"/>
    <col min="58" max="58" width="13" style="1953" customWidth="1"/>
    <col min="59" max="59" width="5.75" style="1953" customWidth="1"/>
    <col min="60" max="60" width="13" style="1953" customWidth="1"/>
    <col min="61" max="61" width="5.75" style="1953" customWidth="1"/>
    <col min="62" max="62" width="19.625" style="1953" customWidth="1"/>
    <col min="63" max="63" width="13" style="1953" customWidth="1"/>
    <col min="64" max="64" width="5.375" style="1953" customWidth="1"/>
    <col min="65" max="65" width="19.625" style="1953" customWidth="1"/>
    <col min="66" max="66" width="19.375" style="1953" customWidth="1"/>
    <col min="67" max="67" width="9.5" style="1953" customWidth="1"/>
    <col min="68" max="68" width="5.375" style="1953" customWidth="1"/>
    <col min="69" max="69" width="4.25" style="1953" customWidth="1"/>
    <col min="70" max="70" width="9.5" style="1953" customWidth="1"/>
    <col min="71" max="71" width="10.375" style="1953" customWidth="1"/>
    <col min="72" max="73" width="9.5" style="1953" customWidth="1"/>
    <col min="74" max="74" width="8.375" style="1953" customWidth="1"/>
    <col min="75" max="75" width="4.875" style="1953" customWidth="1"/>
    <col min="76" max="76" width="4" style="1953" customWidth="1"/>
    <col min="77" max="77" width="5.25" style="1953" customWidth="1"/>
    <col min="78" max="78" width="4.5" style="1953" customWidth="1"/>
    <col min="79" max="79" width="5.25" style="1953" customWidth="1"/>
    <col min="80" max="80" width="4.5" style="1953" customWidth="1"/>
    <col min="81" max="81" width="5.25" style="1953" customWidth="1"/>
    <col min="82" max="82" width="4.5" style="1953" customWidth="1"/>
    <col min="83" max="83" width="5.25" style="1953" customWidth="1"/>
    <col min="84" max="84" width="4.5" style="1953" customWidth="1"/>
    <col min="85" max="85" width="5.25" style="1953" customWidth="1"/>
    <col min="86" max="86" width="4.5" style="1953" customWidth="1"/>
    <col min="87" max="87" width="5.25" style="1953" customWidth="1"/>
    <col min="88" max="88" width="4.5" style="1953" customWidth="1"/>
    <col min="89" max="89" width="5.25" style="1953" customWidth="1"/>
    <col min="90" max="90" width="4.5" style="1953" customWidth="1"/>
    <col min="91" max="91" width="5.25" style="1953" customWidth="1"/>
    <col min="92" max="92" width="4.5" style="1953" customWidth="1"/>
    <col min="93" max="93" width="5.25" style="1953" customWidth="1"/>
    <col min="94" max="94" width="4.5" style="1953" customWidth="1"/>
    <col min="95" max="95" width="5.25" style="1953" customWidth="1"/>
    <col min="96" max="96" width="4.5" style="1953" customWidth="1"/>
    <col min="97" max="97" width="5.25" style="1953" customWidth="1"/>
    <col min="98" max="98" width="4.5" style="1953" customWidth="1"/>
    <col min="99" max="99" width="5.25" style="1953" customWidth="1"/>
    <col min="100" max="100" width="4.5" style="1953" customWidth="1"/>
    <col min="101" max="101" width="5.25" style="1953" customWidth="1"/>
    <col min="102" max="102" width="4.5" style="1953" customWidth="1"/>
    <col min="103" max="103" width="5.25" style="1953" customWidth="1"/>
    <col min="104" max="104" width="4.5" style="1953" customWidth="1"/>
    <col min="105" max="105" width="5.25" style="1953" customWidth="1"/>
    <col min="106" max="106" width="4.5" style="1953" customWidth="1"/>
    <col min="107" max="107" width="5.25" style="1953" customWidth="1"/>
    <col min="108" max="108" width="4.5" style="1953" customWidth="1"/>
    <col min="109" max="109" width="5.25" style="1953" customWidth="1"/>
    <col min="110" max="110" width="4.5" style="1953" customWidth="1"/>
    <col min="111" max="111" width="5.25" style="1953" customWidth="1"/>
    <col min="112" max="112" width="4.5" style="1953" customWidth="1"/>
    <col min="113" max="113" width="5.25" style="1953" customWidth="1"/>
    <col min="114" max="114" width="4.5" style="1953" customWidth="1"/>
    <col min="115" max="115" width="5.25" style="1953" customWidth="1"/>
    <col min="116" max="116" width="4.5" style="1953" customWidth="1"/>
    <col min="117" max="117" width="5.25" style="1953" customWidth="1"/>
    <col min="118" max="118" width="4.5" style="1953" customWidth="1"/>
    <col min="119" max="119" width="5.25" style="1953" customWidth="1"/>
    <col min="120" max="120" width="4.5" style="1953" customWidth="1"/>
    <col min="121" max="121" width="5.25" style="1953" customWidth="1"/>
    <col min="122" max="122" width="4.5" style="1953" customWidth="1"/>
    <col min="123" max="123" width="5.25" style="1953" customWidth="1"/>
    <col min="124" max="124" width="4.5" style="1953" customWidth="1"/>
    <col min="125" max="125" width="5.25" style="1953" customWidth="1"/>
    <col min="126" max="126" width="4.5" style="1953" customWidth="1"/>
    <col min="127" max="127" width="5.25" style="1953" customWidth="1"/>
    <col min="128" max="128" width="4.5" style="1953" customWidth="1"/>
    <col min="129" max="129" width="5.25" style="1953" customWidth="1"/>
    <col min="130" max="130" width="4.5" style="1953" customWidth="1"/>
    <col min="131" max="131" width="7.125" style="1953" customWidth="1"/>
    <col min="132" max="132" width="6" style="1953" customWidth="1"/>
    <col min="133" max="133" width="5.25" style="1953" customWidth="1"/>
    <col min="134" max="134" width="4.5" style="1953" customWidth="1"/>
    <col min="135" max="135" width="5.25" style="1953" customWidth="1"/>
    <col min="136" max="136" width="4.5" style="1953" customWidth="1"/>
    <col min="137" max="137" width="5.25" style="1953" customWidth="1"/>
    <col min="138" max="138" width="4.5" style="1953" customWidth="1"/>
    <col min="139" max="139" width="5.25" style="1953" customWidth="1"/>
    <col min="140" max="140" width="4.5" style="1953" customWidth="1"/>
    <col min="141" max="141" width="5.25" style="1953" customWidth="1"/>
    <col min="142" max="142" width="4.5" style="1953" customWidth="1"/>
    <col min="143" max="143" width="5.25" style="1953" customWidth="1"/>
    <col min="144" max="144" width="4.5" style="1953" customWidth="1"/>
    <col min="145" max="145" width="5.25" style="1953" customWidth="1"/>
    <col min="146" max="146" width="4.5" style="1953" customWidth="1"/>
    <col min="147" max="16384" width="9" style="1953"/>
  </cols>
  <sheetData>
    <row r="1" spans="1:145" s="1946" customFormat="1" ht="39.950000000000003" customHeight="1" x14ac:dyDescent="0.2">
      <c r="BJ1" s="1947"/>
    </row>
    <row r="2" spans="1:145" s="1946" customFormat="1" ht="42" hidden="1" customHeight="1" x14ac:dyDescent="0.2"/>
    <row r="3" spans="1:145" s="1946" customFormat="1" ht="35.25" hidden="1" customHeight="1" x14ac:dyDescent="0.2">
      <c r="D3" s="1947"/>
      <c r="F3" s="1947"/>
      <c r="G3" s="1947"/>
      <c r="I3" s="1947"/>
      <c r="K3" s="1947"/>
      <c r="M3" s="1947"/>
      <c r="O3" s="1947"/>
      <c r="AT3" s="1947"/>
      <c r="AZ3" s="1947"/>
      <c r="BC3" s="1947"/>
      <c r="BE3" s="1947"/>
      <c r="BJ3" s="1948"/>
      <c r="BL3" s="1947"/>
      <c r="BN3" s="1947"/>
      <c r="BP3" s="1947"/>
      <c r="BR3" s="1947"/>
      <c r="BT3" s="1947"/>
      <c r="BV3" s="1947"/>
      <c r="BX3" s="1947"/>
    </row>
    <row r="4" spans="1:145" s="1946" customFormat="1" ht="12" customHeight="1" x14ac:dyDescent="0.25">
      <c r="A4" s="1949"/>
      <c r="D4" s="1948"/>
      <c r="F4" s="1948"/>
      <c r="G4" s="1948"/>
      <c r="I4" s="1948"/>
      <c r="K4" s="1948"/>
      <c r="M4" s="1948"/>
      <c r="O4" s="1948"/>
      <c r="BJ4" s="1948"/>
      <c r="BZ4" s="1947"/>
    </row>
    <row r="5" spans="1:145" s="1946" customFormat="1" ht="12" customHeight="1" x14ac:dyDescent="0.2">
      <c r="A5" s="1950" t="s">
        <v>2038</v>
      </c>
      <c r="B5" s="1951"/>
      <c r="C5" s="1947"/>
      <c r="D5" s="1948"/>
      <c r="E5" s="1947"/>
      <c r="F5" s="1948"/>
      <c r="G5" s="1948"/>
      <c r="H5" s="1947"/>
      <c r="I5" s="1948"/>
      <c r="J5" s="1947"/>
      <c r="K5" s="1948"/>
      <c r="L5" s="1947"/>
      <c r="M5" s="1948"/>
      <c r="N5" s="1947"/>
      <c r="O5" s="1948"/>
      <c r="P5" s="1947"/>
      <c r="Q5" s="1947"/>
      <c r="R5" s="1947"/>
      <c r="S5" s="1947"/>
      <c r="T5" s="1947"/>
      <c r="U5" s="1947"/>
      <c r="V5" s="1947"/>
      <c r="W5" s="1947"/>
      <c r="X5" s="1947"/>
      <c r="Y5" s="1947"/>
      <c r="Z5" s="1947"/>
      <c r="AA5" s="1947"/>
      <c r="AB5" s="1947"/>
      <c r="AC5" s="1947"/>
      <c r="AD5" s="1947"/>
      <c r="AE5" s="1947"/>
      <c r="AF5" s="1947"/>
      <c r="AG5" s="1947"/>
      <c r="AH5" s="1947"/>
      <c r="AI5" s="1947"/>
      <c r="AJ5" s="1947"/>
      <c r="AK5" s="1947"/>
      <c r="AL5" s="1947"/>
      <c r="AM5" s="1947"/>
      <c r="AN5" s="1951"/>
      <c r="AO5" s="1951"/>
      <c r="AP5" s="1951"/>
      <c r="AQ5" s="1951"/>
      <c r="AR5" s="1951"/>
      <c r="AS5" s="1947"/>
      <c r="AU5" s="1951"/>
      <c r="AV5" s="1951"/>
      <c r="AW5" s="1951"/>
      <c r="AX5" s="1951"/>
      <c r="AY5" s="1947"/>
      <c r="BA5" s="1951"/>
      <c r="BB5" s="1947"/>
      <c r="BD5" s="1947"/>
      <c r="BF5" s="1951"/>
      <c r="BG5" s="1947"/>
      <c r="BH5" s="1951"/>
      <c r="BI5" s="1947"/>
      <c r="BJ5" s="1948"/>
      <c r="BK5" s="1947"/>
      <c r="BM5" s="1947"/>
      <c r="BO5" s="1947"/>
      <c r="BQ5" s="1947"/>
      <c r="BS5" s="1947"/>
      <c r="BU5" s="1947"/>
      <c r="BW5" s="1947"/>
      <c r="BY5" s="1947"/>
      <c r="CA5" s="1947"/>
      <c r="CB5" s="1947"/>
      <c r="CC5" s="1947"/>
      <c r="CD5" s="1947"/>
      <c r="CE5" s="1947"/>
      <c r="CF5" s="1947"/>
      <c r="CG5" s="1947"/>
      <c r="CH5" s="1947"/>
      <c r="CI5" s="1947"/>
      <c r="CJ5" s="1947"/>
      <c r="CK5" s="1947"/>
      <c r="CL5" s="1947"/>
      <c r="CM5" s="1947"/>
      <c r="CN5" s="1947"/>
      <c r="CO5" s="1947"/>
      <c r="CP5" s="1947"/>
    </row>
    <row r="6" spans="1:145" s="1946" customFormat="1" ht="12" customHeight="1" x14ac:dyDescent="0.2">
      <c r="A6" s="1952" t="s">
        <v>874</v>
      </c>
      <c r="B6" s="1952"/>
      <c r="C6" s="1948"/>
      <c r="D6" s="1948"/>
      <c r="E6" s="1948"/>
      <c r="F6" s="1948"/>
      <c r="G6" s="1948"/>
      <c r="H6" s="1948"/>
      <c r="I6" s="1948"/>
      <c r="J6" s="1948"/>
      <c r="K6" s="1948"/>
      <c r="L6" s="1948"/>
      <c r="M6" s="1948"/>
      <c r="N6" s="1948"/>
      <c r="O6" s="1948"/>
      <c r="P6" s="1948"/>
      <c r="Q6" s="1948"/>
      <c r="BJ6" s="1948"/>
    </row>
    <row r="7" spans="1:145" s="1946" customFormat="1" ht="12" customHeight="1" x14ac:dyDescent="0.2">
      <c r="A7" s="1952" t="s">
        <v>875</v>
      </c>
      <c r="B7" s="1952"/>
      <c r="C7" s="1948"/>
      <c r="E7" s="1948"/>
      <c r="H7" s="1948"/>
      <c r="J7" s="1948"/>
      <c r="L7" s="1948"/>
      <c r="N7" s="1948"/>
      <c r="P7" s="1948"/>
      <c r="Q7" s="1948"/>
      <c r="U7" s="1953"/>
      <c r="V7" s="1953"/>
      <c r="W7" s="1953"/>
      <c r="X7" s="1953"/>
      <c r="Y7" s="1953"/>
      <c r="Z7" s="1953"/>
      <c r="AA7" s="1953"/>
      <c r="AB7" s="1953"/>
      <c r="AC7" s="1953"/>
      <c r="AD7" s="1953"/>
      <c r="AE7" s="1953"/>
      <c r="AF7" s="1953"/>
      <c r="BJ7" s="1948"/>
      <c r="CY7" s="1953"/>
    </row>
    <row r="8" spans="1:145" s="1946" customFormat="1" ht="12" customHeight="1" thickBot="1" x14ac:dyDescent="0.25">
      <c r="A8" s="1952" t="s">
        <v>876</v>
      </c>
      <c r="B8" s="1952"/>
      <c r="C8" s="1948"/>
      <c r="D8" s="1948"/>
      <c r="E8" s="1948"/>
      <c r="G8" s="1948"/>
      <c r="H8" s="1948"/>
      <c r="I8" s="1948"/>
      <c r="J8" s="1948"/>
      <c r="K8" s="1948"/>
      <c r="L8" s="1948"/>
      <c r="M8" s="1948"/>
      <c r="N8" s="1948"/>
      <c r="O8" s="1948"/>
      <c r="P8" s="1948"/>
      <c r="Q8" s="1948"/>
      <c r="AT8" s="1948"/>
      <c r="AZ8" s="1948"/>
      <c r="BC8" s="1948"/>
      <c r="BE8" s="1948"/>
      <c r="BJ8" s="1948"/>
      <c r="BL8" s="1948"/>
      <c r="BN8" s="1948"/>
      <c r="BP8" s="1948"/>
      <c r="BR8" s="1948"/>
      <c r="BT8" s="1948"/>
      <c r="BV8" s="1948"/>
      <c r="BX8" s="1948"/>
    </row>
    <row r="9" spans="1:145" s="1946" customFormat="1" ht="12" customHeight="1" x14ac:dyDescent="0.2">
      <c r="D9" s="1954"/>
      <c r="G9" s="1954"/>
      <c r="I9" s="1954"/>
      <c r="K9" s="1954"/>
      <c r="M9" s="3820" t="s">
        <v>5460</v>
      </c>
      <c r="N9" s="3821"/>
      <c r="O9" s="3821"/>
      <c r="P9" s="3821"/>
      <c r="Q9" s="3822"/>
      <c r="R9" s="2023" t="s">
        <v>5459</v>
      </c>
      <c r="S9" s="2023" t="s">
        <v>5459</v>
      </c>
      <c r="T9" s="3823" t="s">
        <v>5583</v>
      </c>
      <c r="U9" s="3824"/>
      <c r="V9" s="3824"/>
      <c r="W9" s="3825"/>
      <c r="AT9" s="1954"/>
      <c r="AZ9" s="1954"/>
      <c r="BC9" s="1954"/>
      <c r="BE9" s="1954"/>
      <c r="BJ9" s="1948"/>
      <c r="BL9" s="1948"/>
      <c r="BN9" s="1948"/>
      <c r="BP9" s="1948"/>
      <c r="BR9" s="1948"/>
      <c r="BT9" s="1948"/>
      <c r="BV9" s="1948"/>
      <c r="BX9" s="1948"/>
      <c r="BZ9" s="1948"/>
    </row>
    <row r="10" spans="1:145" s="1946" customFormat="1" ht="12" hidden="1" customHeight="1" outlineLevel="1" x14ac:dyDescent="0.2">
      <c r="A10" s="1951" t="s">
        <v>877</v>
      </c>
      <c r="B10" s="1952" t="s">
        <v>878</v>
      </c>
      <c r="AP10" s="1952"/>
      <c r="AQ10" s="1952"/>
      <c r="AR10" s="1952"/>
      <c r="AS10" s="1952"/>
      <c r="AT10" s="1952"/>
      <c r="AW10" s="1952"/>
      <c r="AX10" s="1952"/>
      <c r="AY10" s="1952"/>
      <c r="CS10" s="1952"/>
      <c r="CT10" s="1952"/>
      <c r="CU10" s="1952"/>
      <c r="CV10" s="1952"/>
      <c r="CW10" s="1952"/>
      <c r="CX10" s="1952"/>
      <c r="CY10" s="1952"/>
      <c r="CZ10" s="1952"/>
      <c r="DA10" s="1952"/>
      <c r="DB10" s="1952"/>
      <c r="DC10" s="1952"/>
      <c r="DD10" s="1952"/>
      <c r="DE10" s="1952"/>
      <c r="DF10" s="1952"/>
      <c r="DG10" s="1952"/>
      <c r="DH10" s="1952"/>
      <c r="DI10" s="1952"/>
      <c r="DJ10" s="1952"/>
      <c r="DK10" s="1952"/>
      <c r="DL10" s="1952"/>
      <c r="DM10" s="1952"/>
      <c r="DN10" s="1952"/>
      <c r="DO10" s="1952"/>
      <c r="DP10" s="1952"/>
      <c r="DQ10" s="1952"/>
      <c r="DR10" s="1952"/>
      <c r="DS10" s="1952"/>
      <c r="DT10" s="1952"/>
      <c r="DU10" s="1952"/>
      <c r="DV10" s="1952"/>
      <c r="DW10" s="1952"/>
      <c r="DX10" s="1952"/>
      <c r="DY10" s="1952"/>
      <c r="DZ10" s="1952"/>
      <c r="EA10" s="1952"/>
      <c r="EB10" s="1952"/>
      <c r="EC10" s="1955"/>
      <c r="ED10" s="1955"/>
      <c r="EE10" s="1955"/>
      <c r="EF10" s="1955"/>
      <c r="EG10" s="1955"/>
      <c r="EH10" s="1955"/>
      <c r="EI10" s="1955"/>
      <c r="EJ10" s="1955"/>
      <c r="EK10" s="1955"/>
      <c r="EL10" s="1955"/>
      <c r="EM10" s="1955"/>
      <c r="EN10" s="1955"/>
      <c r="EO10" s="1955"/>
    </row>
    <row r="11" spans="1:145" s="1946" customFormat="1" ht="12" hidden="1" customHeight="1" outlineLevel="1" x14ac:dyDescent="0.2">
      <c r="A11" s="1951" t="s">
        <v>879</v>
      </c>
      <c r="B11" s="1956">
        <v>45378.532997071758</v>
      </c>
      <c r="AP11" s="1956"/>
      <c r="AQ11" s="1956"/>
      <c r="AR11" s="1956"/>
      <c r="AS11" s="1956"/>
      <c r="AT11" s="1956"/>
      <c r="AW11" s="1956"/>
      <c r="AX11" s="1956"/>
      <c r="AY11" s="1956"/>
      <c r="CS11" s="1952"/>
      <c r="CT11" s="1952"/>
      <c r="CU11" s="1952"/>
      <c r="CV11" s="1952"/>
      <c r="CW11" s="1952"/>
      <c r="CX11" s="1952"/>
      <c r="CY11" s="1952"/>
      <c r="CZ11" s="1952"/>
      <c r="DA11" s="1952"/>
      <c r="DB11" s="1952"/>
      <c r="DC11" s="1952"/>
      <c r="DD11" s="1952"/>
      <c r="DE11" s="1952"/>
      <c r="DF11" s="1952"/>
      <c r="DG11" s="1952"/>
      <c r="DH11" s="1952"/>
      <c r="DI11" s="1952"/>
      <c r="DJ11" s="1952"/>
      <c r="DK11" s="1952"/>
      <c r="DL11" s="1952"/>
      <c r="DM11" s="1952"/>
      <c r="DN11" s="1952"/>
      <c r="DO11" s="1952"/>
      <c r="DP11" s="1952"/>
      <c r="DQ11" s="1952"/>
      <c r="DR11" s="1952"/>
      <c r="DS11" s="1952"/>
      <c r="DT11" s="1952"/>
      <c r="DU11" s="1952"/>
      <c r="DV11" s="1952"/>
      <c r="DW11" s="1952"/>
      <c r="DX11" s="1952"/>
      <c r="DY11" s="1952"/>
      <c r="DZ11" s="1952"/>
      <c r="EA11" s="1952"/>
      <c r="EB11" s="1952"/>
      <c r="EC11" s="1955"/>
      <c r="ED11" s="1955"/>
      <c r="EE11" s="1955"/>
      <c r="EF11" s="1955"/>
      <c r="EG11" s="1955"/>
      <c r="EH11" s="1955"/>
      <c r="EI11" s="1955"/>
      <c r="EJ11" s="1955"/>
      <c r="EK11" s="1955"/>
      <c r="EL11" s="1955"/>
      <c r="EM11" s="1955"/>
      <c r="EN11" s="1955"/>
      <c r="EO11" s="1955"/>
    </row>
    <row r="12" spans="1:145" s="1946" customFormat="1" ht="12" hidden="1" customHeight="1" outlineLevel="1" x14ac:dyDescent="0.2">
      <c r="BJ12" s="1948"/>
      <c r="BL12" s="1948"/>
      <c r="BN12" s="1948"/>
      <c r="BP12" s="1948"/>
      <c r="BR12" s="1948"/>
      <c r="BT12" s="1948"/>
      <c r="BV12" s="1948"/>
      <c r="BX12" s="1948"/>
      <c r="BZ12" s="1948"/>
    </row>
    <row r="13" spans="1:145" s="1946" customFormat="1" ht="12" hidden="1" customHeight="1" outlineLevel="1" x14ac:dyDescent="0.2">
      <c r="A13" s="1953"/>
      <c r="B13" s="1953"/>
      <c r="AN13" s="1953"/>
      <c r="AO13" s="1953"/>
      <c r="AP13" s="1953"/>
      <c r="AQ13" s="1953"/>
      <c r="AR13" s="1953"/>
      <c r="AU13" s="1953"/>
      <c r="AV13" s="1953"/>
      <c r="AW13" s="1953"/>
      <c r="AX13" s="1953"/>
      <c r="BA13" s="1953"/>
      <c r="BF13" s="1953"/>
      <c r="BH13" s="1953"/>
      <c r="BI13" s="1948"/>
      <c r="BJ13" s="1947"/>
      <c r="BK13" s="1948"/>
      <c r="BL13" s="1948"/>
      <c r="BM13" s="1948"/>
      <c r="BN13" s="1948"/>
      <c r="BO13" s="1948"/>
      <c r="BP13" s="1948"/>
      <c r="BQ13" s="1948"/>
      <c r="BR13" s="1948"/>
      <c r="BS13" s="1948"/>
      <c r="BT13" s="1948"/>
      <c r="BU13" s="1948"/>
      <c r="BV13" s="1948"/>
      <c r="BW13" s="1948"/>
      <c r="BX13" s="1948"/>
      <c r="BY13" s="1948"/>
      <c r="BZ13" s="1948"/>
      <c r="CA13" s="1948"/>
      <c r="CB13" s="1948"/>
      <c r="CC13" s="1948"/>
      <c r="CD13" s="1948"/>
      <c r="CE13" s="1948"/>
      <c r="CF13" s="1948"/>
      <c r="CG13" s="1948"/>
      <c r="CH13" s="1948"/>
      <c r="CI13" s="1948"/>
      <c r="CJ13" s="1948"/>
      <c r="CK13" s="1948"/>
      <c r="CL13" s="1948"/>
      <c r="CM13" s="1948"/>
      <c r="CN13" s="1948"/>
      <c r="CO13" s="1948"/>
      <c r="CP13" s="1948"/>
    </row>
    <row r="14" spans="1:145" s="1946" customFormat="1" ht="12" hidden="1" customHeight="1" outlineLevel="1" x14ac:dyDescent="0.2">
      <c r="A14" s="1953"/>
      <c r="B14" s="1953"/>
      <c r="AN14" s="1953"/>
      <c r="AO14" s="1953"/>
      <c r="AP14" s="1953"/>
      <c r="AQ14" s="1953"/>
      <c r="AR14" s="1953"/>
      <c r="AU14" s="1953"/>
      <c r="AV14" s="1953"/>
      <c r="AW14" s="1953"/>
      <c r="AX14" s="1953"/>
      <c r="BA14" s="1953"/>
      <c r="BF14" s="1953"/>
      <c r="BH14" s="1953"/>
      <c r="BI14" s="1948"/>
      <c r="BJ14" s="1948"/>
      <c r="BK14" s="1948"/>
      <c r="BL14" s="1948"/>
      <c r="BM14" s="1948"/>
      <c r="BN14" s="1948"/>
      <c r="BO14" s="1948"/>
      <c r="BP14" s="1948"/>
      <c r="BQ14" s="1948"/>
      <c r="BR14" s="1948"/>
      <c r="BS14" s="1948"/>
      <c r="BT14" s="1948"/>
      <c r="BU14" s="1948"/>
      <c r="BV14" s="1948"/>
      <c r="BW14" s="1948"/>
      <c r="BX14" s="1948"/>
      <c r="BY14" s="1948"/>
      <c r="BZ14" s="1948"/>
      <c r="CA14" s="1948"/>
      <c r="CB14" s="1948"/>
      <c r="CC14" s="1948"/>
      <c r="CD14" s="1948"/>
      <c r="CE14" s="1948"/>
      <c r="CF14" s="1948"/>
      <c r="CG14" s="1948"/>
      <c r="CH14" s="1948"/>
      <c r="CI14" s="1948"/>
      <c r="CJ14" s="1948"/>
      <c r="CK14" s="1948"/>
      <c r="CL14" s="1948"/>
      <c r="CM14" s="1948"/>
      <c r="CN14" s="1948"/>
      <c r="CO14" s="1948"/>
      <c r="CP14" s="1948"/>
    </row>
    <row r="15" spans="1:145" ht="12" hidden="1" customHeight="1" outlineLevel="1" x14ac:dyDescent="0.2">
      <c r="C15" s="1946"/>
      <c r="D15" s="1946"/>
      <c r="E15" s="1946"/>
      <c r="F15" s="1946"/>
      <c r="G15" s="1946"/>
      <c r="H15" s="1946"/>
      <c r="I15" s="1946"/>
      <c r="J15" s="1946"/>
      <c r="K15" s="1946"/>
      <c r="L15" s="1946"/>
      <c r="M15" s="1946"/>
      <c r="N15" s="1946"/>
      <c r="O15" s="1946"/>
      <c r="P15" s="1946"/>
      <c r="Q15" s="1946"/>
      <c r="R15" s="1946"/>
      <c r="S15" s="1946"/>
      <c r="T15" s="1946"/>
      <c r="U15" s="1946"/>
      <c r="V15" s="1946"/>
      <c r="W15" s="1946"/>
      <c r="X15" s="1946"/>
      <c r="Y15" s="1946"/>
      <c r="Z15" s="1946"/>
      <c r="AA15" s="1946"/>
      <c r="AB15" s="1946"/>
      <c r="AC15" s="1946"/>
      <c r="AD15" s="1946"/>
      <c r="AE15" s="1946"/>
      <c r="AF15" s="1946"/>
      <c r="AG15" s="1946"/>
      <c r="AH15" s="1946"/>
      <c r="AI15" s="1946"/>
      <c r="AJ15" s="1946"/>
      <c r="AK15" s="1946"/>
      <c r="AL15" s="1946"/>
      <c r="AM15" s="1946"/>
      <c r="AS15" s="1946"/>
      <c r="AT15" s="1946"/>
      <c r="AY15" s="1946"/>
      <c r="AZ15" s="1946"/>
      <c r="BB15" s="1946"/>
      <c r="BC15" s="1946"/>
      <c r="BD15" s="1946"/>
      <c r="BE15" s="1946"/>
      <c r="BG15" s="1946"/>
      <c r="BI15" s="1948"/>
      <c r="BJ15" s="1948"/>
      <c r="BK15" s="1952"/>
      <c r="BL15" s="1952"/>
      <c r="BM15" s="1952"/>
      <c r="BN15" s="1952"/>
      <c r="BO15" s="1952"/>
      <c r="BP15" s="1952"/>
      <c r="BQ15" s="1952"/>
      <c r="BR15" s="1952"/>
      <c r="BS15" s="1952"/>
      <c r="BT15" s="1952"/>
      <c r="BU15" s="1952"/>
      <c r="BV15" s="1952"/>
      <c r="BW15" s="1952"/>
      <c r="BX15" s="1952"/>
    </row>
    <row r="16" spans="1:145" s="1946" customFormat="1" ht="12" hidden="1" customHeight="1" outlineLevel="1" x14ac:dyDescent="0.2">
      <c r="A16" s="1953"/>
      <c r="B16" s="1953"/>
      <c r="AN16" s="1953"/>
      <c r="AO16" s="1953"/>
      <c r="AP16" s="1953"/>
      <c r="AQ16" s="1953"/>
      <c r="AR16" s="1953"/>
      <c r="AU16" s="1953"/>
      <c r="AV16" s="1953"/>
      <c r="AW16" s="1953"/>
      <c r="AX16" s="1953"/>
      <c r="BA16" s="1953"/>
      <c r="BF16" s="1953"/>
      <c r="BH16" s="1953"/>
      <c r="BI16" s="1948"/>
      <c r="BJ16" s="1948"/>
      <c r="BK16" s="1948"/>
      <c r="BL16" s="1948"/>
      <c r="BM16" s="1948"/>
      <c r="BN16" s="1948"/>
      <c r="BO16" s="1948"/>
      <c r="BP16" s="1948"/>
      <c r="BQ16" s="1948"/>
      <c r="BR16" s="1948"/>
      <c r="BS16" s="1948"/>
      <c r="BT16" s="1948"/>
      <c r="BU16" s="1948"/>
      <c r="BV16" s="1948"/>
      <c r="BW16" s="1948"/>
      <c r="BX16" s="1948"/>
      <c r="BY16" s="1948"/>
      <c r="BZ16" s="1948"/>
      <c r="CA16" s="1948"/>
      <c r="CB16" s="1948"/>
      <c r="CC16" s="1948"/>
      <c r="CD16" s="1948"/>
      <c r="CE16" s="1948"/>
      <c r="CF16" s="1948"/>
      <c r="CG16" s="1948"/>
      <c r="CH16" s="1948"/>
      <c r="CI16" s="1948"/>
      <c r="CJ16" s="1948"/>
      <c r="CK16" s="1948"/>
      <c r="CL16" s="1948"/>
      <c r="CM16" s="1948"/>
      <c r="CN16" s="1948"/>
      <c r="CO16" s="1948"/>
      <c r="CP16" s="1948"/>
    </row>
    <row r="17" spans="1:146" s="1946" customFormat="1" ht="12" hidden="1" customHeight="1" outlineLevel="1" x14ac:dyDescent="0.2">
      <c r="A17" s="1953"/>
      <c r="B17" s="1953"/>
      <c r="AN17" s="1953"/>
      <c r="AO17" s="1953"/>
      <c r="AP17" s="1953"/>
      <c r="AQ17" s="1953"/>
      <c r="AR17" s="1953"/>
      <c r="AU17" s="1953"/>
      <c r="AV17" s="1953"/>
      <c r="AW17" s="1953"/>
      <c r="AX17" s="1953"/>
      <c r="BA17" s="1953"/>
      <c r="BF17" s="1953"/>
      <c r="BH17" s="1953"/>
      <c r="BI17" s="1948"/>
      <c r="BJ17" s="1948"/>
      <c r="BK17" s="1948"/>
      <c r="BL17" s="1948"/>
      <c r="BM17" s="1948"/>
      <c r="BN17" s="1948"/>
      <c r="BO17" s="1948"/>
      <c r="BP17" s="1948"/>
      <c r="BQ17" s="1948"/>
      <c r="BR17" s="1948"/>
      <c r="BS17" s="1948"/>
      <c r="BT17" s="1948"/>
      <c r="BU17" s="1948"/>
      <c r="BV17" s="1948"/>
      <c r="BW17" s="1948"/>
      <c r="BX17" s="1948"/>
      <c r="BY17" s="1948"/>
      <c r="BZ17" s="1948"/>
      <c r="CA17" s="1948"/>
      <c r="CB17" s="1948"/>
      <c r="CC17" s="1948"/>
      <c r="CD17" s="1948"/>
      <c r="CE17" s="1948"/>
      <c r="CF17" s="1948"/>
      <c r="CG17" s="1948"/>
      <c r="CH17" s="1948"/>
      <c r="CI17" s="1948"/>
      <c r="CJ17" s="1948"/>
      <c r="CK17" s="1948"/>
      <c r="CL17" s="1948"/>
      <c r="CM17" s="1948"/>
      <c r="CN17" s="1948"/>
      <c r="CO17" s="1948"/>
      <c r="CP17" s="1948"/>
    </row>
    <row r="18" spans="1:146" s="1946" customFormat="1" ht="12" hidden="1" customHeight="1" outlineLevel="1" x14ac:dyDescent="0.2">
      <c r="A18" s="1953"/>
      <c r="B18" s="1953"/>
      <c r="AN18" s="1953"/>
      <c r="AO18" s="1953"/>
      <c r="AP18" s="1953"/>
      <c r="AQ18" s="1953"/>
      <c r="AR18" s="1953"/>
      <c r="AU18" s="1953"/>
      <c r="AV18" s="1953"/>
      <c r="AW18" s="1953"/>
      <c r="AX18" s="1953"/>
      <c r="BA18" s="1953"/>
      <c r="BF18" s="1953"/>
      <c r="BH18" s="1953"/>
      <c r="BI18" s="1948"/>
      <c r="BJ18" s="1948"/>
      <c r="BK18" s="1948"/>
      <c r="BL18" s="1948"/>
      <c r="BM18" s="1948"/>
      <c r="BN18" s="1948"/>
      <c r="BO18" s="1948"/>
      <c r="BP18" s="1948"/>
      <c r="BQ18" s="1948"/>
      <c r="BR18" s="1948"/>
      <c r="BS18" s="1948"/>
      <c r="BT18" s="1948"/>
      <c r="BU18" s="1948"/>
      <c r="BV18" s="1948"/>
      <c r="BW18" s="1948"/>
      <c r="BX18" s="1948"/>
      <c r="BY18" s="1948"/>
      <c r="BZ18" s="1948"/>
      <c r="CA18" s="1948"/>
      <c r="CB18" s="1948"/>
      <c r="CC18" s="1948"/>
      <c r="CD18" s="1948"/>
      <c r="CE18" s="1948"/>
      <c r="CF18" s="1948"/>
      <c r="CG18" s="1948"/>
      <c r="CH18" s="1948"/>
      <c r="CI18" s="1948"/>
      <c r="CJ18" s="1948"/>
      <c r="CK18" s="1948"/>
      <c r="CL18" s="1948"/>
      <c r="CM18" s="1948"/>
      <c r="CN18" s="1948"/>
      <c r="CO18" s="1948"/>
      <c r="CP18" s="1948"/>
    </row>
    <row r="19" spans="1:146" s="1946" customFormat="1" ht="12" hidden="1" customHeight="1" outlineLevel="1" x14ac:dyDescent="0.2">
      <c r="A19" s="1953"/>
      <c r="B19" s="1953" t="s">
        <v>2039</v>
      </c>
      <c r="AN19" s="1953"/>
      <c r="AO19" s="1953"/>
      <c r="AP19" s="1953"/>
      <c r="AQ19" s="1953"/>
      <c r="AR19" s="1953"/>
      <c r="AU19" s="1953"/>
      <c r="AV19" s="1953"/>
      <c r="AW19" s="1953"/>
      <c r="AX19" s="1953"/>
      <c r="BA19" s="1953"/>
      <c r="BF19" s="1953"/>
      <c r="BH19" s="1953"/>
      <c r="BI19" s="1948"/>
      <c r="BJ19" s="1948"/>
      <c r="BK19" s="1948"/>
      <c r="BL19" s="1948"/>
      <c r="BM19" s="1948"/>
      <c r="BN19" s="1948"/>
      <c r="BO19" s="1948"/>
      <c r="BP19" s="1948"/>
      <c r="BQ19" s="1948"/>
      <c r="BR19" s="1948"/>
      <c r="BS19" s="1948"/>
      <c r="BT19" s="1948"/>
      <c r="BU19" s="1948"/>
      <c r="BV19" s="1948"/>
      <c r="BW19" s="1948"/>
      <c r="BX19" s="1948"/>
      <c r="BY19" s="1948"/>
      <c r="BZ19" s="1948"/>
      <c r="CA19" s="1948"/>
      <c r="CB19" s="1948"/>
      <c r="CC19" s="1948"/>
      <c r="CD19" s="1948"/>
      <c r="CE19" s="1948"/>
      <c r="CF19" s="1948"/>
      <c r="CG19" s="1948"/>
      <c r="CH19" s="1948"/>
      <c r="CI19" s="1948"/>
      <c r="CJ19" s="1948"/>
      <c r="CK19" s="1948"/>
      <c r="CL19" s="1948"/>
      <c r="CM19" s="1948"/>
      <c r="CN19" s="1948"/>
      <c r="CO19" s="1948"/>
      <c r="CP19" s="1948"/>
    </row>
    <row r="20" spans="1:146" s="1946" customFormat="1" ht="12" hidden="1" customHeight="1" outlineLevel="1" x14ac:dyDescent="0.2">
      <c r="A20" s="1953"/>
      <c r="B20" s="1953"/>
      <c r="AN20" s="1953"/>
      <c r="AO20" s="1953"/>
      <c r="AP20" s="1953"/>
      <c r="AQ20" s="1953"/>
      <c r="AR20" s="1953"/>
      <c r="AU20" s="1953"/>
      <c r="AV20" s="1953"/>
      <c r="AW20" s="1953"/>
      <c r="AX20" s="1953"/>
      <c r="BA20" s="1953"/>
      <c r="BF20" s="1953"/>
      <c r="BH20" s="1953"/>
      <c r="BI20" s="1948"/>
      <c r="BJ20" s="1948"/>
      <c r="BK20" s="1948"/>
      <c r="BL20" s="1948"/>
      <c r="BM20" s="1948"/>
      <c r="BN20" s="1948"/>
      <c r="BO20" s="1948"/>
      <c r="BP20" s="1948"/>
      <c r="BQ20" s="1948"/>
      <c r="BR20" s="1948"/>
      <c r="BS20" s="1948"/>
      <c r="BT20" s="1948"/>
      <c r="BU20" s="1948"/>
      <c r="BV20" s="1948"/>
      <c r="BW20" s="1948"/>
      <c r="BX20" s="1948"/>
      <c r="BY20" s="1948"/>
      <c r="BZ20" s="1948"/>
      <c r="CA20" s="1948"/>
      <c r="CB20" s="1948"/>
      <c r="CC20" s="1948"/>
      <c r="CD20" s="1948"/>
      <c r="CE20" s="1948"/>
      <c r="CF20" s="1948"/>
      <c r="CG20" s="1948"/>
      <c r="CH20" s="1948"/>
      <c r="CI20" s="1948"/>
      <c r="CJ20" s="1948"/>
      <c r="CK20" s="1948"/>
      <c r="CL20" s="1948"/>
      <c r="CM20" s="1948"/>
      <c r="CN20" s="1948"/>
      <c r="CO20" s="1948"/>
      <c r="CP20" s="1948"/>
    </row>
    <row r="21" spans="1:146" s="1946" customFormat="1" ht="12" hidden="1" customHeight="1" outlineLevel="1" x14ac:dyDescent="0.2">
      <c r="A21" s="1953"/>
      <c r="B21" s="1953"/>
      <c r="AN21" s="1953"/>
      <c r="AO21" s="1953"/>
      <c r="AP21" s="1953"/>
      <c r="AQ21" s="1953"/>
      <c r="AR21" s="1953"/>
      <c r="AU21" s="1953"/>
      <c r="AV21" s="1953"/>
      <c r="AW21" s="1953"/>
      <c r="AX21" s="1953"/>
      <c r="BA21" s="1953"/>
      <c r="BF21" s="1953"/>
      <c r="BH21" s="1953"/>
      <c r="BI21" s="1948"/>
      <c r="BJ21" s="1948"/>
      <c r="BK21" s="1948"/>
      <c r="BL21" s="1948"/>
      <c r="BM21" s="1948"/>
      <c r="BN21" s="1948"/>
      <c r="BO21" s="1948"/>
      <c r="BP21" s="1948"/>
      <c r="BQ21" s="1948"/>
      <c r="BR21" s="1948"/>
      <c r="BS21" s="1948"/>
      <c r="BT21" s="1948"/>
      <c r="BU21" s="1948"/>
      <c r="BV21" s="1948"/>
      <c r="BW21" s="1948"/>
      <c r="BX21" s="1948"/>
      <c r="BY21" s="1948"/>
      <c r="BZ21" s="1948"/>
      <c r="CA21" s="1948"/>
      <c r="CB21" s="1948"/>
      <c r="CC21" s="1948"/>
      <c r="CD21" s="1948"/>
      <c r="CE21" s="1948"/>
      <c r="CF21" s="1948"/>
      <c r="CG21" s="1948"/>
      <c r="CH21" s="1948"/>
      <c r="CI21" s="1948"/>
      <c r="CJ21" s="1948"/>
      <c r="CK21" s="1948"/>
      <c r="CL21" s="1948"/>
      <c r="CM21" s="1948"/>
      <c r="CN21" s="1948"/>
      <c r="CO21" s="1948"/>
      <c r="CP21" s="1948"/>
    </row>
    <row r="22" spans="1:146" s="1946" customFormat="1" ht="12" hidden="1" customHeight="1" outlineLevel="1" x14ac:dyDescent="0.2">
      <c r="A22" s="1953"/>
      <c r="B22" s="1953"/>
      <c r="AN22" s="1953"/>
      <c r="AO22" s="1953"/>
      <c r="AP22" s="1953"/>
      <c r="AQ22" s="1953"/>
      <c r="AR22" s="1953"/>
      <c r="AU22" s="1953"/>
      <c r="AV22" s="1953"/>
      <c r="AW22" s="1953"/>
      <c r="AX22" s="1953"/>
      <c r="BA22" s="1953"/>
      <c r="BF22" s="1953"/>
      <c r="BH22" s="1953"/>
      <c r="BI22" s="1948"/>
      <c r="BJ22" s="1948"/>
      <c r="BK22" s="1948"/>
      <c r="BL22" s="1948"/>
      <c r="BM22" s="1948"/>
      <c r="BN22" s="1948"/>
      <c r="BO22" s="1948"/>
      <c r="BP22" s="1948"/>
      <c r="BQ22" s="1948"/>
      <c r="BR22" s="1948"/>
      <c r="BS22" s="1948"/>
      <c r="BT22" s="1948"/>
      <c r="BU22" s="1948"/>
      <c r="BV22" s="1948"/>
      <c r="BW22" s="1948"/>
      <c r="BX22" s="1948"/>
      <c r="BY22" s="1948"/>
      <c r="BZ22" s="1948"/>
      <c r="CA22" s="1948"/>
      <c r="CB22" s="1948"/>
      <c r="CC22" s="1948"/>
      <c r="CD22" s="1948"/>
      <c r="CE22" s="1948"/>
      <c r="CF22" s="1948"/>
      <c r="CG22" s="1948"/>
      <c r="CH22" s="1948"/>
      <c r="CI22" s="1948"/>
      <c r="CJ22" s="1948"/>
      <c r="CK22" s="1948"/>
      <c r="CL22" s="1948"/>
      <c r="CM22" s="1948"/>
      <c r="CN22" s="1948"/>
      <c r="CO22" s="1948"/>
      <c r="CP22" s="1948"/>
    </row>
    <row r="23" spans="1:146" ht="12" hidden="1" customHeight="1" outlineLevel="1" x14ac:dyDescent="0.2">
      <c r="C23" s="1946"/>
      <c r="D23" s="1946"/>
      <c r="E23" s="1946"/>
      <c r="F23" s="1946"/>
      <c r="G23" s="1946"/>
      <c r="H23" s="1946"/>
      <c r="I23" s="1946"/>
      <c r="J23" s="1946"/>
      <c r="K23" s="1946"/>
      <c r="L23" s="1946"/>
      <c r="M23" s="1946"/>
      <c r="N23" s="1946"/>
      <c r="O23" s="1946"/>
      <c r="P23" s="1946"/>
      <c r="Q23" s="1946"/>
      <c r="R23" s="1946"/>
      <c r="S23" s="1946"/>
      <c r="T23" s="1946"/>
      <c r="U23" s="1946"/>
      <c r="V23" s="1946"/>
      <c r="W23" s="1946"/>
      <c r="X23" s="1946"/>
      <c r="Y23" s="1946"/>
      <c r="Z23" s="1946"/>
      <c r="AA23" s="1946"/>
      <c r="AB23" s="1946"/>
      <c r="AC23" s="1946"/>
      <c r="AD23" s="1946"/>
      <c r="AE23" s="1946"/>
      <c r="AF23" s="1946"/>
      <c r="AG23" s="1946"/>
      <c r="AH23" s="1946"/>
      <c r="AI23" s="1946"/>
      <c r="AJ23" s="1946"/>
      <c r="AK23" s="1946"/>
      <c r="AL23" s="1946"/>
      <c r="AM23" s="1946"/>
      <c r="AS23" s="1946"/>
      <c r="AT23" s="1946"/>
      <c r="AY23" s="1946"/>
      <c r="AZ23" s="1946"/>
      <c r="BB23" s="1946"/>
      <c r="BC23" s="1946"/>
      <c r="BD23" s="1946"/>
      <c r="BE23" s="1946"/>
      <c r="BG23" s="1946"/>
      <c r="BI23" s="1947"/>
      <c r="BJ23" s="1948"/>
      <c r="BK23" s="1951"/>
      <c r="BL23" s="1951"/>
      <c r="BM23" s="1951"/>
      <c r="BN23" s="1951"/>
      <c r="BO23" s="1951"/>
      <c r="BP23" s="1951"/>
      <c r="BQ23" s="1951"/>
      <c r="BR23" s="1951"/>
      <c r="BS23" s="1951"/>
      <c r="BT23" s="1951"/>
      <c r="BU23" s="1951"/>
      <c r="BV23" s="1951"/>
      <c r="BW23" s="1951"/>
      <c r="BX23" s="1951"/>
    </row>
    <row r="24" spans="1:146" ht="12" hidden="1" customHeight="1" outlineLevel="1" x14ac:dyDescent="0.2">
      <c r="C24" s="1946"/>
      <c r="D24" s="1946"/>
      <c r="E24" s="1946"/>
      <c r="F24" s="1946"/>
      <c r="G24" s="1946"/>
      <c r="H24" s="1946"/>
      <c r="I24" s="1946"/>
      <c r="J24" s="1946"/>
      <c r="K24" s="1946"/>
      <c r="L24" s="1946"/>
      <c r="M24" s="1946"/>
      <c r="N24" s="1946"/>
      <c r="O24" s="1946"/>
      <c r="P24" s="1946"/>
      <c r="Q24" s="1946"/>
      <c r="R24" s="1946"/>
      <c r="S24" s="1946"/>
      <c r="T24" s="1946"/>
      <c r="U24" s="1946"/>
      <c r="V24" s="1946"/>
      <c r="W24" s="1946"/>
      <c r="X24" s="1946"/>
      <c r="Y24" s="1946"/>
      <c r="Z24" s="1946"/>
      <c r="AA24" s="1946"/>
      <c r="AB24" s="1946"/>
      <c r="AC24" s="1946"/>
      <c r="AD24" s="1946"/>
      <c r="AE24" s="1946"/>
      <c r="AF24" s="1946"/>
      <c r="AG24" s="1946"/>
      <c r="AH24" s="1946"/>
      <c r="AI24" s="1946"/>
      <c r="AJ24" s="1946"/>
      <c r="AK24" s="1946"/>
      <c r="AL24" s="1946"/>
      <c r="AM24" s="1946"/>
      <c r="AS24" s="1946"/>
      <c r="AT24" s="1946"/>
      <c r="AY24" s="1946"/>
      <c r="AZ24" s="1946"/>
      <c r="BB24" s="1946"/>
      <c r="BC24" s="1946"/>
      <c r="BD24" s="1946"/>
      <c r="BE24" s="1946"/>
      <c r="BG24" s="1946"/>
      <c r="BI24" s="1948"/>
      <c r="BJ24" s="1948"/>
      <c r="BK24" s="1952"/>
      <c r="BL24" s="1952"/>
      <c r="BM24" s="1952"/>
      <c r="BN24" s="1952"/>
      <c r="BO24" s="1952"/>
      <c r="BP24" s="1952"/>
      <c r="BQ24" s="1952"/>
      <c r="BR24" s="1952"/>
      <c r="BS24" s="1952"/>
      <c r="BT24" s="1952"/>
      <c r="BU24" s="1952"/>
      <c r="BV24" s="1952"/>
      <c r="BW24" s="1952"/>
      <c r="BX24" s="1952"/>
      <c r="BY24" s="1952"/>
      <c r="BZ24" s="1952"/>
      <c r="CA24" s="1952"/>
      <c r="CB24" s="1952"/>
      <c r="CC24" s="1952"/>
      <c r="CD24" s="1952"/>
      <c r="CE24" s="1952"/>
      <c r="CF24" s="1952"/>
      <c r="CG24" s="1952"/>
      <c r="CH24" s="1952"/>
      <c r="CI24" s="1952"/>
      <c r="CJ24" s="1952"/>
      <c r="CK24" s="1952"/>
      <c r="CL24" s="1952"/>
      <c r="CM24" s="1952"/>
      <c r="CN24" s="1952"/>
      <c r="CO24" s="1952"/>
      <c r="CP24" s="1952"/>
      <c r="CQ24" s="1952"/>
      <c r="CR24" s="1952"/>
      <c r="CS24" s="1952"/>
      <c r="CT24" s="1952"/>
      <c r="CU24" s="1952"/>
      <c r="CV24" s="1952"/>
      <c r="CW24" s="1952"/>
      <c r="CX24" s="1952"/>
      <c r="CY24" s="1952"/>
      <c r="CZ24" s="1952"/>
      <c r="DA24" s="1952"/>
      <c r="DB24" s="1952"/>
      <c r="DC24" s="1952"/>
      <c r="DD24" s="1952"/>
      <c r="DE24" s="1952"/>
      <c r="DF24" s="1952"/>
      <c r="DG24" s="1952"/>
      <c r="DH24" s="1952"/>
      <c r="DI24" s="1952"/>
      <c r="DJ24" s="1952"/>
      <c r="DK24" s="1952"/>
      <c r="DL24" s="1952"/>
      <c r="DM24" s="1952"/>
      <c r="DN24" s="1952"/>
    </row>
    <row r="25" spans="1:146" s="1946" customFormat="1" ht="12" hidden="1" customHeight="1" outlineLevel="1" x14ac:dyDescent="0.2">
      <c r="A25" s="1953"/>
      <c r="B25" s="1953"/>
      <c r="D25" s="1948"/>
      <c r="F25" s="1948"/>
      <c r="G25" s="1948"/>
      <c r="I25" s="1948"/>
      <c r="K25" s="1948"/>
      <c r="M25" s="1948"/>
      <c r="O25" s="1948"/>
      <c r="AN25" s="1953"/>
      <c r="AO25" s="1953"/>
      <c r="AP25" s="1953"/>
      <c r="AQ25" s="1953"/>
      <c r="AR25" s="1953"/>
      <c r="AT25" s="1948"/>
      <c r="AU25" s="1953"/>
      <c r="AV25" s="1953"/>
      <c r="AW25" s="1953"/>
      <c r="AX25" s="1953"/>
      <c r="AZ25" s="1948"/>
      <c r="BA25" s="1953"/>
      <c r="BC25" s="1948"/>
      <c r="BE25" s="1948"/>
      <c r="BF25" s="1953"/>
      <c r="BH25" s="1953"/>
      <c r="BI25" s="1948"/>
      <c r="BK25" s="1948"/>
      <c r="BM25" s="1948"/>
      <c r="BO25" s="1948"/>
      <c r="BQ25" s="1948"/>
      <c r="BS25" s="1948"/>
      <c r="BU25" s="1948"/>
      <c r="BW25" s="1948"/>
      <c r="BY25" s="1948"/>
      <c r="BZ25" s="1948"/>
      <c r="CA25" s="1948"/>
      <c r="CB25" s="1948"/>
      <c r="CC25" s="1948"/>
      <c r="CD25" s="1948"/>
      <c r="CE25" s="1948"/>
      <c r="CF25" s="1948"/>
      <c r="CG25" s="1948"/>
      <c r="CH25" s="1948"/>
      <c r="CI25" s="1948"/>
      <c r="CJ25" s="1948"/>
      <c r="CK25" s="1948"/>
      <c r="CL25" s="1948"/>
      <c r="CM25" s="1948"/>
      <c r="CN25" s="1948"/>
      <c r="CO25" s="1948"/>
      <c r="CP25" s="1948"/>
    </row>
    <row r="26" spans="1:146" s="1946" customFormat="1" ht="12" hidden="1" customHeight="1" outlineLevel="1" x14ac:dyDescent="0.2">
      <c r="D26" s="1948"/>
      <c r="F26" s="1948"/>
      <c r="G26" s="1948"/>
      <c r="I26" s="1948"/>
      <c r="K26" s="1948"/>
      <c r="M26" s="1948"/>
      <c r="O26" s="1948"/>
      <c r="AT26" s="1948"/>
      <c r="AZ26" s="1948"/>
      <c r="BC26" s="1948"/>
      <c r="BE26" s="1948"/>
      <c r="BI26" s="1948"/>
      <c r="BJ26" s="1948"/>
      <c r="BK26" s="1948"/>
      <c r="BL26" s="1948"/>
      <c r="BM26" s="1948"/>
      <c r="BN26" s="1948"/>
      <c r="BO26" s="1948"/>
      <c r="BP26" s="1948"/>
      <c r="BQ26" s="1948"/>
      <c r="BR26" s="1948"/>
      <c r="BS26" s="1948"/>
      <c r="BT26" s="1948"/>
      <c r="BU26" s="1948"/>
      <c r="BV26" s="1948"/>
      <c r="BW26" s="1948"/>
      <c r="BX26" s="1948"/>
      <c r="BY26" s="1948"/>
      <c r="CA26" s="1948"/>
      <c r="CB26" s="1948"/>
      <c r="CC26" s="1948"/>
      <c r="CD26" s="1948"/>
      <c r="CE26" s="1948"/>
      <c r="CF26" s="1948"/>
      <c r="CG26" s="1948"/>
      <c r="CH26" s="1948"/>
      <c r="CI26" s="1948"/>
      <c r="CJ26" s="1948"/>
      <c r="CK26" s="1948"/>
      <c r="CL26" s="1948"/>
      <c r="CM26" s="1948"/>
      <c r="CN26" s="1948"/>
      <c r="CO26" s="1948"/>
      <c r="CP26" s="1948"/>
    </row>
    <row r="27" spans="1:146" s="1946" customFormat="1" ht="12" hidden="1" customHeight="1" outlineLevel="1" x14ac:dyDescent="0.2">
      <c r="A27" s="1951" t="s">
        <v>881</v>
      </c>
      <c r="B27" s="1952" t="s">
        <v>882</v>
      </c>
      <c r="C27" s="1948"/>
      <c r="D27" s="1948"/>
      <c r="E27" s="1948"/>
      <c r="F27" s="1948"/>
      <c r="G27" s="1948"/>
      <c r="H27" s="1948"/>
      <c r="I27" s="1948"/>
      <c r="J27" s="1948"/>
      <c r="K27" s="1948"/>
      <c r="L27" s="1948"/>
      <c r="M27" s="1948"/>
      <c r="N27" s="1948"/>
      <c r="O27" s="1948"/>
      <c r="P27" s="1948"/>
      <c r="Q27" s="1948"/>
      <c r="R27" s="1948"/>
      <c r="S27" s="1948"/>
      <c r="T27" s="1948"/>
      <c r="U27" s="1948"/>
      <c r="V27" s="1948"/>
      <c r="W27" s="1948"/>
      <c r="X27" s="1948"/>
      <c r="Y27" s="1948"/>
      <c r="Z27" s="1948"/>
      <c r="AA27" s="1948"/>
      <c r="AB27" s="1948"/>
      <c r="AC27" s="1948"/>
      <c r="AD27" s="1948"/>
      <c r="AE27" s="1948"/>
      <c r="AF27" s="1948"/>
      <c r="AG27" s="1948"/>
      <c r="AH27" s="1948"/>
      <c r="AI27" s="1948"/>
      <c r="AJ27" s="1948"/>
      <c r="AK27" s="1948"/>
      <c r="AL27" s="1948"/>
      <c r="AM27" s="1948"/>
      <c r="AN27" s="1952"/>
      <c r="AO27" s="1952"/>
      <c r="AP27" s="1952"/>
      <c r="AQ27" s="1952"/>
      <c r="AR27" s="1952"/>
      <c r="AS27" s="1948"/>
      <c r="AT27" s="1948"/>
      <c r="AU27" s="1952"/>
      <c r="AV27" s="1952"/>
      <c r="AW27" s="1952"/>
      <c r="AX27" s="1952"/>
      <c r="AY27" s="1948"/>
      <c r="AZ27" s="1948"/>
      <c r="BA27" s="1952"/>
      <c r="BB27" s="1948"/>
      <c r="BC27" s="1948"/>
      <c r="BD27" s="1948"/>
      <c r="BE27" s="1948"/>
      <c r="BF27" s="1952"/>
      <c r="BG27" s="1948"/>
      <c r="BH27" s="1952"/>
      <c r="BI27" s="1948"/>
      <c r="BJ27" s="1948"/>
      <c r="BK27" s="1948"/>
      <c r="BL27" s="1948"/>
      <c r="BM27" s="1948"/>
      <c r="BN27" s="1948"/>
      <c r="BO27" s="1948"/>
      <c r="BP27" s="1948"/>
      <c r="BQ27" s="1948"/>
      <c r="BR27" s="1948"/>
      <c r="BS27" s="1948"/>
      <c r="BT27" s="1948"/>
      <c r="BU27" s="1948"/>
      <c r="BV27" s="1948"/>
      <c r="BW27" s="1948"/>
      <c r="BX27" s="1948"/>
      <c r="BY27" s="1948"/>
      <c r="BZ27" s="1948"/>
      <c r="CA27" s="1948"/>
      <c r="CB27" s="1948"/>
      <c r="CC27" s="1948"/>
      <c r="CD27" s="1948"/>
      <c r="CE27" s="1948"/>
      <c r="CF27" s="1948"/>
      <c r="CG27" s="1948"/>
      <c r="CH27" s="1948"/>
      <c r="CI27" s="1948"/>
      <c r="CJ27" s="1948"/>
      <c r="CK27" s="1948"/>
      <c r="CL27" s="1948"/>
      <c r="CM27" s="1948"/>
      <c r="CN27" s="1948"/>
      <c r="CO27" s="1948"/>
      <c r="CP27" s="1948"/>
      <c r="CQ27" s="1947"/>
      <c r="CR27" s="1947"/>
      <c r="CS27" s="1947"/>
      <c r="CT27" s="1947"/>
      <c r="CU27" s="1947"/>
      <c r="CV27" s="1947"/>
      <c r="CW27" s="1947"/>
      <c r="CX27" s="1947"/>
      <c r="CY27" s="1947"/>
      <c r="CZ27" s="1947"/>
      <c r="DA27" s="1947"/>
      <c r="DB27" s="1947"/>
      <c r="DC27" s="1947"/>
      <c r="DD27" s="1947"/>
      <c r="DE27" s="1947"/>
      <c r="DF27" s="1947"/>
      <c r="DG27" s="1947"/>
      <c r="DH27" s="1947"/>
      <c r="DI27" s="1947"/>
      <c r="DJ27" s="1947"/>
      <c r="DK27" s="1947"/>
      <c r="DL27" s="1947"/>
      <c r="DM27" s="1947"/>
      <c r="DN27" s="1947"/>
      <c r="DO27" s="1947"/>
      <c r="DP27" s="1947"/>
      <c r="DQ27" s="1947"/>
      <c r="DR27" s="1947"/>
      <c r="DS27" s="1947"/>
      <c r="DT27" s="1947"/>
      <c r="DU27" s="1947"/>
      <c r="DV27" s="1947"/>
      <c r="DW27" s="1947"/>
      <c r="DX27" s="1947"/>
      <c r="DY27" s="1947"/>
      <c r="DZ27" s="1947"/>
      <c r="EA27" s="1947"/>
      <c r="EB27" s="1947"/>
      <c r="EC27" s="1947"/>
      <c r="ED27" s="1947"/>
      <c r="EE27" s="1947"/>
      <c r="EF27" s="1947"/>
      <c r="EG27" s="1947"/>
      <c r="EH27" s="1947"/>
      <c r="EI27" s="1947"/>
      <c r="EJ27" s="1947"/>
      <c r="EK27" s="1947"/>
      <c r="EL27" s="1947"/>
      <c r="EM27" s="1947"/>
      <c r="EN27" s="1947"/>
      <c r="EO27" s="1947"/>
      <c r="EP27" s="1947"/>
    </row>
    <row r="28" spans="1:146" s="1946" customFormat="1" ht="12" hidden="1" customHeight="1" outlineLevel="1" x14ac:dyDescent="0.2">
      <c r="A28" s="1951" t="s">
        <v>883</v>
      </c>
      <c r="B28" s="1952" t="s">
        <v>884</v>
      </c>
      <c r="C28" s="1948"/>
      <c r="D28" s="1948"/>
      <c r="E28" s="1948"/>
      <c r="F28" s="1948"/>
      <c r="G28" s="1948"/>
      <c r="H28" s="1948"/>
      <c r="I28" s="1948"/>
      <c r="J28" s="1948"/>
      <c r="K28" s="1948"/>
      <c r="L28" s="1948"/>
      <c r="M28" s="1948"/>
      <c r="N28" s="1948"/>
      <c r="O28" s="1948"/>
      <c r="P28" s="1948"/>
      <c r="Q28" s="1948"/>
      <c r="R28" s="1948"/>
      <c r="S28" s="1948"/>
      <c r="T28" s="1948"/>
      <c r="U28" s="1948"/>
      <c r="V28" s="1948"/>
      <c r="W28" s="1948"/>
      <c r="X28" s="1948"/>
      <c r="Y28" s="1948"/>
      <c r="Z28" s="1948"/>
      <c r="AA28" s="1948"/>
      <c r="AB28" s="1948"/>
      <c r="AC28" s="1948"/>
      <c r="AD28" s="1948"/>
      <c r="AE28" s="1948"/>
      <c r="AF28" s="1948"/>
      <c r="AG28" s="1948"/>
      <c r="AH28" s="1948"/>
      <c r="AI28" s="1948"/>
      <c r="AJ28" s="1948"/>
      <c r="AK28" s="1948"/>
      <c r="AL28" s="1948"/>
      <c r="AM28" s="1948"/>
      <c r="AN28" s="1952"/>
      <c r="AO28" s="1952"/>
      <c r="AP28" s="1952"/>
      <c r="AQ28" s="1952"/>
      <c r="AR28" s="1952"/>
      <c r="AS28" s="1948"/>
      <c r="AT28" s="1948"/>
      <c r="AU28" s="1952"/>
      <c r="AV28" s="1952"/>
      <c r="AW28" s="1952"/>
      <c r="AX28" s="1952"/>
      <c r="AY28" s="1948"/>
      <c r="AZ28" s="1948"/>
      <c r="BA28" s="1952"/>
      <c r="BB28" s="1948"/>
      <c r="BC28" s="1948"/>
      <c r="BD28" s="1948"/>
      <c r="BE28" s="1948"/>
      <c r="BF28" s="1952"/>
      <c r="BG28" s="1948"/>
      <c r="BH28" s="1952"/>
      <c r="BI28" s="1948"/>
      <c r="BJ28" s="1948"/>
      <c r="BK28" s="1948"/>
      <c r="BL28" s="1948"/>
      <c r="BM28" s="1948"/>
      <c r="BN28" s="1948"/>
      <c r="BO28" s="1948"/>
      <c r="BP28" s="1948"/>
      <c r="BQ28" s="1948"/>
      <c r="BR28" s="1948"/>
      <c r="BS28" s="1948"/>
      <c r="BT28" s="1948"/>
      <c r="BU28" s="1948"/>
      <c r="BV28" s="1948"/>
      <c r="BW28" s="1948"/>
      <c r="BX28" s="1948"/>
      <c r="BY28" s="1948"/>
      <c r="BZ28" s="1948"/>
      <c r="CA28" s="1948"/>
      <c r="CB28" s="1948"/>
      <c r="CC28" s="1948"/>
      <c r="CD28" s="1948"/>
      <c r="CE28" s="1948"/>
      <c r="CF28" s="1948"/>
      <c r="CG28" s="1948"/>
      <c r="CH28" s="1948"/>
      <c r="CI28" s="1948"/>
      <c r="CJ28" s="1948"/>
      <c r="CK28" s="1948"/>
      <c r="CL28" s="1948"/>
      <c r="CM28" s="1948"/>
      <c r="CN28" s="1948"/>
      <c r="CO28" s="1948"/>
      <c r="CP28" s="1948"/>
      <c r="CQ28" s="1947"/>
      <c r="CR28" s="1947"/>
      <c r="CS28" s="1947"/>
      <c r="CT28" s="1947"/>
      <c r="CU28" s="1947"/>
      <c r="CV28" s="1947"/>
      <c r="CW28" s="1947"/>
      <c r="CX28" s="1947"/>
      <c r="CY28" s="1947"/>
      <c r="CZ28" s="1947"/>
      <c r="DA28" s="1947"/>
      <c r="DB28" s="1947"/>
      <c r="DC28" s="1947"/>
      <c r="DD28" s="1947"/>
      <c r="DE28" s="1947"/>
      <c r="DF28" s="1947"/>
      <c r="DG28" s="1947"/>
      <c r="DH28" s="1947"/>
      <c r="DI28" s="1947"/>
      <c r="DJ28" s="1947"/>
      <c r="DK28" s="1947"/>
      <c r="DL28" s="1947"/>
      <c r="DM28" s="1947"/>
      <c r="DN28" s="1947"/>
      <c r="DO28" s="1947"/>
      <c r="DP28" s="1947"/>
      <c r="DQ28" s="1947"/>
      <c r="DR28" s="1947"/>
      <c r="DS28" s="1947"/>
      <c r="DT28" s="1947"/>
      <c r="DU28" s="1947"/>
      <c r="DV28" s="1947"/>
      <c r="DW28" s="1947"/>
      <c r="DX28" s="1947"/>
      <c r="DY28" s="1947"/>
      <c r="DZ28" s="1947"/>
      <c r="EA28" s="1947"/>
      <c r="EB28" s="1947"/>
      <c r="EC28" s="1947"/>
      <c r="ED28" s="1947"/>
      <c r="EE28" s="1947"/>
      <c r="EF28" s="1947"/>
      <c r="EG28" s="1947"/>
      <c r="EH28" s="1947"/>
      <c r="EI28" s="1947"/>
      <c r="EJ28" s="1947"/>
      <c r="EK28" s="1947"/>
      <c r="EL28" s="1947"/>
      <c r="EM28" s="1947"/>
      <c r="EN28" s="1947"/>
      <c r="EO28" s="1947"/>
      <c r="EP28" s="1947"/>
    </row>
    <row r="29" spans="1:146" s="1946" customFormat="1" ht="12" hidden="1" customHeight="1" outlineLevel="1" x14ac:dyDescent="0.2">
      <c r="A29" s="1951" t="s">
        <v>885</v>
      </c>
      <c r="B29" s="1952" t="e">
        <v>#NAME?</v>
      </c>
      <c r="C29" s="1948"/>
      <c r="D29" s="1948"/>
      <c r="E29" s="1948"/>
      <c r="F29" s="1948"/>
      <c r="G29" s="1948"/>
      <c r="H29" s="1948"/>
      <c r="I29" s="1948"/>
      <c r="J29" s="1948"/>
      <c r="K29" s="1948"/>
      <c r="L29" s="1948"/>
      <c r="M29" s="1948"/>
      <c r="N29" s="1948"/>
      <c r="O29" s="1948"/>
      <c r="P29" s="1948"/>
      <c r="Q29" s="1948"/>
      <c r="R29" s="1948"/>
      <c r="S29" s="1948"/>
      <c r="T29" s="1948"/>
      <c r="U29" s="1948"/>
      <c r="V29" s="1948"/>
      <c r="W29" s="1948"/>
      <c r="X29" s="1948"/>
      <c r="Y29" s="1948"/>
      <c r="Z29" s="1948"/>
      <c r="AA29" s="1948"/>
      <c r="AB29" s="1948"/>
      <c r="AC29" s="1948"/>
      <c r="AD29" s="1948"/>
      <c r="AE29" s="1948"/>
      <c r="AF29" s="1948"/>
      <c r="AG29" s="1948"/>
      <c r="AH29" s="1948"/>
      <c r="AI29" s="1948"/>
      <c r="AJ29" s="1948"/>
      <c r="AK29" s="1948"/>
      <c r="AL29" s="1948"/>
      <c r="AM29" s="1948"/>
      <c r="AN29" s="1952"/>
      <c r="AO29" s="1952"/>
      <c r="AP29" s="1952"/>
      <c r="AQ29" s="1952"/>
      <c r="AR29" s="1952"/>
      <c r="AS29" s="1948"/>
      <c r="AT29" s="1948"/>
      <c r="AU29" s="1952"/>
      <c r="AV29" s="1952"/>
      <c r="AW29" s="1952"/>
      <c r="AX29" s="1952"/>
      <c r="AY29" s="1948"/>
      <c r="AZ29" s="1948"/>
      <c r="BA29" s="1952"/>
      <c r="BB29" s="1948"/>
      <c r="BC29" s="1948"/>
      <c r="BD29" s="1948"/>
      <c r="BE29" s="1948"/>
      <c r="BF29" s="1952"/>
      <c r="BG29" s="1948"/>
      <c r="BH29" s="1952"/>
      <c r="BI29" s="1948"/>
      <c r="BJ29" s="1948"/>
      <c r="BK29" s="1948"/>
      <c r="BL29" s="1948"/>
      <c r="BM29" s="1948"/>
      <c r="BN29" s="1948"/>
      <c r="BO29" s="1948"/>
      <c r="BP29" s="1948"/>
      <c r="BQ29" s="1948"/>
      <c r="BR29" s="1948"/>
      <c r="BS29" s="1948"/>
      <c r="BT29" s="1948"/>
      <c r="BU29" s="1948"/>
      <c r="BV29" s="1948"/>
      <c r="BW29" s="1948"/>
      <c r="BX29" s="1948"/>
      <c r="BY29" s="1948"/>
      <c r="BZ29" s="1948"/>
      <c r="CA29" s="1948"/>
      <c r="CB29" s="1948"/>
      <c r="CC29" s="1948"/>
      <c r="CD29" s="1948"/>
      <c r="CE29" s="1948"/>
      <c r="CF29" s="1948"/>
      <c r="CG29" s="1948"/>
      <c r="CH29" s="1948"/>
      <c r="CI29" s="1948"/>
      <c r="CJ29" s="1948"/>
      <c r="CK29" s="1948"/>
      <c r="CL29" s="1948"/>
      <c r="CM29" s="1948"/>
      <c r="CN29" s="1948"/>
      <c r="CO29" s="1948"/>
      <c r="CP29" s="1948"/>
      <c r="CQ29" s="1947"/>
      <c r="CR29" s="1947"/>
      <c r="CS29" s="1947"/>
      <c r="CT29" s="1947"/>
      <c r="CU29" s="1947"/>
      <c r="CV29" s="1947"/>
      <c r="CW29" s="1947"/>
      <c r="CX29" s="1947"/>
      <c r="CY29" s="1947"/>
      <c r="CZ29" s="1947"/>
      <c r="DA29" s="1947"/>
      <c r="DB29" s="1947"/>
      <c r="DC29" s="1947"/>
      <c r="DD29" s="1947"/>
      <c r="DE29" s="1947"/>
      <c r="DF29" s="1947"/>
      <c r="DG29" s="1947"/>
      <c r="DH29" s="1947"/>
      <c r="DI29" s="1947"/>
      <c r="DJ29" s="1947"/>
      <c r="DK29" s="1947"/>
      <c r="DL29" s="1947"/>
      <c r="DM29" s="1947"/>
      <c r="DN29" s="1947"/>
      <c r="DO29" s="1947"/>
      <c r="DP29" s="1947"/>
      <c r="DQ29" s="1947"/>
      <c r="DR29" s="1947"/>
      <c r="DS29" s="1947"/>
      <c r="DT29" s="1947"/>
      <c r="DU29" s="1947"/>
      <c r="DV29" s="1947"/>
      <c r="DW29" s="1947"/>
      <c r="DX29" s="1947"/>
      <c r="DY29" s="1947"/>
      <c r="DZ29" s="1947"/>
      <c r="EA29" s="1947"/>
      <c r="EB29" s="1947"/>
      <c r="EC29" s="1947"/>
      <c r="ED29" s="1947"/>
      <c r="EE29" s="1947"/>
      <c r="EF29" s="1947"/>
      <c r="EG29" s="1947"/>
      <c r="EH29" s="1947"/>
      <c r="EI29" s="1947"/>
      <c r="EJ29" s="1947"/>
      <c r="EK29" s="1947"/>
      <c r="EL29" s="1947"/>
      <c r="EM29" s="1947"/>
      <c r="EN29" s="1947"/>
      <c r="EO29" s="1947"/>
      <c r="EP29" s="1947"/>
    </row>
    <row r="30" spans="1:146" s="1946" customFormat="1" ht="12" hidden="1" customHeight="1" outlineLevel="1" x14ac:dyDescent="0.2">
      <c r="A30" s="1951" t="s">
        <v>886</v>
      </c>
      <c r="B30" s="1952" t="s">
        <v>887</v>
      </c>
      <c r="C30" s="1948"/>
      <c r="D30" s="1948"/>
      <c r="E30" s="1948"/>
      <c r="F30" s="1948"/>
      <c r="G30" s="1948"/>
      <c r="H30" s="1948"/>
      <c r="I30" s="1948"/>
      <c r="J30" s="1948"/>
      <c r="K30" s="1948"/>
      <c r="L30" s="1948"/>
      <c r="M30" s="1948"/>
      <c r="N30" s="1948"/>
      <c r="O30" s="1948"/>
      <c r="P30" s="1948"/>
      <c r="Q30" s="1948"/>
      <c r="R30" s="1948"/>
      <c r="S30" s="1948"/>
      <c r="T30" s="1948"/>
      <c r="U30" s="1948"/>
      <c r="V30" s="1948"/>
      <c r="W30" s="1948"/>
      <c r="X30" s="1948"/>
      <c r="Y30" s="1948"/>
      <c r="Z30" s="1948"/>
      <c r="AA30" s="1948"/>
      <c r="AB30" s="1948"/>
      <c r="AC30" s="1948"/>
      <c r="AD30" s="1948"/>
      <c r="AE30" s="1948"/>
      <c r="AF30" s="1948"/>
      <c r="AG30" s="1948"/>
      <c r="AH30" s="1948"/>
      <c r="AI30" s="1948"/>
      <c r="AJ30" s="1948"/>
      <c r="AK30" s="1948"/>
      <c r="AL30" s="1948"/>
      <c r="AM30" s="1948"/>
      <c r="AN30" s="1952"/>
      <c r="AO30" s="1952"/>
      <c r="AP30" s="1952"/>
      <c r="AQ30" s="1952"/>
      <c r="AR30" s="1952"/>
      <c r="AS30" s="1948"/>
      <c r="AT30" s="1948"/>
      <c r="AU30" s="1952"/>
      <c r="AV30" s="1952"/>
      <c r="AW30" s="1952"/>
      <c r="AX30" s="1952"/>
      <c r="AY30" s="1948"/>
      <c r="AZ30" s="1948"/>
      <c r="BA30" s="1952"/>
      <c r="BB30" s="1948"/>
      <c r="BC30" s="1948"/>
      <c r="BD30" s="1948"/>
      <c r="BE30" s="1948"/>
      <c r="BF30" s="1952"/>
      <c r="BG30" s="1948"/>
      <c r="BH30" s="1952"/>
      <c r="BI30" s="1948"/>
      <c r="BJ30" s="1948"/>
      <c r="BK30" s="1948"/>
      <c r="BL30" s="1948"/>
      <c r="BM30" s="1948"/>
      <c r="BN30" s="1948"/>
      <c r="BO30" s="1948"/>
      <c r="BP30" s="1948"/>
      <c r="BQ30" s="1948"/>
      <c r="BR30" s="1948"/>
      <c r="BS30" s="1948"/>
      <c r="BT30" s="1948"/>
      <c r="BU30" s="1948"/>
      <c r="BV30" s="1948"/>
      <c r="BW30" s="1948"/>
      <c r="BX30" s="1948"/>
      <c r="BY30" s="1948"/>
      <c r="BZ30" s="1948"/>
      <c r="CA30" s="1948"/>
      <c r="CB30" s="1948"/>
      <c r="CC30" s="1948"/>
      <c r="CD30" s="1948"/>
      <c r="CE30" s="1948"/>
      <c r="CF30" s="1948"/>
      <c r="CG30" s="1948"/>
      <c r="CH30" s="1948"/>
      <c r="CI30" s="1948"/>
      <c r="CJ30" s="1948"/>
      <c r="CK30" s="1948"/>
      <c r="CL30" s="1948"/>
      <c r="CM30" s="1948"/>
      <c r="CN30" s="1948"/>
      <c r="CO30" s="1948"/>
      <c r="CP30" s="1948"/>
      <c r="CQ30" s="1947"/>
      <c r="CR30" s="1947"/>
      <c r="CS30" s="1947"/>
      <c r="CT30" s="1947"/>
      <c r="CU30" s="1947"/>
      <c r="CV30" s="1947"/>
      <c r="CW30" s="1947"/>
      <c r="CX30" s="1947"/>
      <c r="CY30" s="1947"/>
      <c r="CZ30" s="1947"/>
      <c r="DA30" s="1947"/>
      <c r="DB30" s="1947"/>
      <c r="DC30" s="1947"/>
      <c r="DD30" s="1947"/>
      <c r="DE30" s="1947"/>
      <c r="DF30" s="1947"/>
      <c r="DG30" s="1947"/>
      <c r="DH30" s="1947"/>
      <c r="DI30" s="1947"/>
      <c r="DJ30" s="1947"/>
      <c r="DK30" s="1947"/>
      <c r="DL30" s="1947"/>
      <c r="DM30" s="1947"/>
      <c r="DN30" s="1947"/>
      <c r="DO30" s="1947"/>
      <c r="DP30" s="1947"/>
      <c r="DQ30" s="1947"/>
      <c r="DR30" s="1947"/>
      <c r="DS30" s="1947"/>
      <c r="DT30" s="1947"/>
      <c r="DU30" s="1947"/>
      <c r="DV30" s="1947"/>
      <c r="DW30" s="1947"/>
      <c r="DX30" s="1947"/>
      <c r="DY30" s="1947"/>
      <c r="DZ30" s="1947"/>
      <c r="EA30" s="1947"/>
      <c r="EB30" s="1947"/>
      <c r="EC30" s="1947"/>
      <c r="ED30" s="1947"/>
      <c r="EE30" s="1947"/>
      <c r="EF30" s="1947"/>
      <c r="EG30" s="1947"/>
      <c r="EH30" s="1947"/>
      <c r="EI30" s="1947"/>
      <c r="EJ30" s="1947"/>
      <c r="EK30" s="1947"/>
      <c r="EL30" s="1947"/>
      <c r="EM30" s="1947"/>
      <c r="EN30" s="1947"/>
      <c r="EO30" s="1947"/>
      <c r="EP30" s="1947"/>
    </row>
    <row r="31" spans="1:146" s="1946" customFormat="1" ht="12" hidden="1" customHeight="1" outlineLevel="1" x14ac:dyDescent="0.2">
      <c r="A31" s="1951" t="s">
        <v>888</v>
      </c>
      <c r="B31" s="1952" t="s">
        <v>889</v>
      </c>
      <c r="C31" s="1948"/>
      <c r="D31" s="1948"/>
      <c r="E31" s="1948"/>
      <c r="F31" s="1948"/>
      <c r="G31" s="1948"/>
      <c r="H31" s="1948"/>
      <c r="I31" s="1948"/>
      <c r="J31" s="1948"/>
      <c r="K31" s="1948"/>
      <c r="L31" s="1948"/>
      <c r="M31" s="1948"/>
      <c r="N31" s="1948"/>
      <c r="O31" s="1948"/>
      <c r="P31" s="1948"/>
      <c r="Q31" s="1948"/>
      <c r="R31" s="1948"/>
      <c r="S31" s="1948"/>
      <c r="T31" s="1948"/>
      <c r="U31" s="1948"/>
      <c r="V31" s="1948"/>
      <c r="W31" s="1948"/>
      <c r="X31" s="1948"/>
      <c r="Y31" s="1948"/>
      <c r="Z31" s="1948"/>
      <c r="AA31" s="1948"/>
      <c r="AB31" s="1948"/>
      <c r="AC31" s="1948"/>
      <c r="AD31" s="1948"/>
      <c r="AE31" s="1948"/>
      <c r="AF31" s="1948"/>
      <c r="AG31" s="1948"/>
      <c r="AH31" s="1948"/>
      <c r="AI31" s="1948"/>
      <c r="AJ31" s="1948"/>
      <c r="AK31" s="1948"/>
      <c r="AL31" s="1948"/>
      <c r="AM31" s="1948"/>
      <c r="AN31" s="1952"/>
      <c r="AO31" s="1952"/>
      <c r="AP31" s="1952"/>
      <c r="AQ31" s="1952"/>
      <c r="AR31" s="1952"/>
      <c r="AS31" s="1948"/>
      <c r="AT31" s="1948"/>
      <c r="AU31" s="1952"/>
      <c r="AV31" s="1952"/>
      <c r="AW31" s="1952"/>
      <c r="AX31" s="1952"/>
      <c r="AY31" s="1948"/>
      <c r="AZ31" s="1948"/>
      <c r="BA31" s="1952"/>
      <c r="BB31" s="1948"/>
      <c r="BC31" s="1948"/>
      <c r="BD31" s="1948"/>
      <c r="BE31" s="1948"/>
      <c r="BF31" s="1952"/>
      <c r="BG31" s="1948"/>
      <c r="BH31" s="1952"/>
      <c r="BI31" s="1948"/>
      <c r="BJ31" s="1948"/>
      <c r="BK31" s="1948"/>
      <c r="BL31" s="1948"/>
      <c r="BM31" s="1948"/>
      <c r="BN31" s="1948"/>
      <c r="BO31" s="1948"/>
      <c r="BP31" s="1948"/>
      <c r="BQ31" s="1948"/>
      <c r="BR31" s="1948"/>
      <c r="BS31" s="1948"/>
      <c r="BT31" s="1948"/>
      <c r="BU31" s="1948"/>
      <c r="BV31" s="1948"/>
      <c r="BW31" s="1948"/>
      <c r="BX31" s="1948"/>
      <c r="BY31" s="1948"/>
      <c r="BZ31" s="1948"/>
      <c r="CA31" s="1948"/>
      <c r="CB31" s="1948"/>
      <c r="CC31" s="1948"/>
      <c r="CD31" s="1948"/>
      <c r="CE31" s="1948"/>
      <c r="CF31" s="1948"/>
      <c r="CG31" s="1948"/>
      <c r="CH31" s="1948"/>
      <c r="CI31" s="1948"/>
      <c r="CJ31" s="1948"/>
      <c r="CK31" s="1948"/>
      <c r="CL31" s="1948"/>
      <c r="CM31" s="1948"/>
      <c r="CN31" s="1948"/>
      <c r="CO31" s="1948"/>
      <c r="CP31" s="1948"/>
      <c r="CQ31" s="1947"/>
      <c r="CR31" s="1947"/>
      <c r="CS31" s="1947"/>
      <c r="CT31" s="1947"/>
      <c r="CU31" s="1947"/>
      <c r="CV31" s="1947"/>
      <c r="CW31" s="1947"/>
      <c r="CX31" s="1947"/>
      <c r="CY31" s="1947"/>
      <c r="CZ31" s="1947"/>
      <c r="DA31" s="1947"/>
      <c r="DB31" s="1947"/>
      <c r="DC31" s="1947"/>
      <c r="DD31" s="1947"/>
      <c r="DE31" s="1947"/>
      <c r="DF31" s="1947"/>
      <c r="DG31" s="1947"/>
      <c r="DH31" s="1947"/>
      <c r="DI31" s="1947"/>
      <c r="DJ31" s="1947"/>
      <c r="DK31" s="1947"/>
      <c r="DL31" s="1947"/>
      <c r="DM31" s="1947"/>
      <c r="DN31" s="1947"/>
      <c r="DO31" s="1947"/>
      <c r="DP31" s="1947"/>
      <c r="DQ31" s="1947"/>
      <c r="DR31" s="1947"/>
      <c r="DS31" s="1947"/>
      <c r="DT31" s="1947"/>
      <c r="DU31" s="1947"/>
      <c r="DV31" s="1947"/>
      <c r="DW31" s="1947"/>
      <c r="DX31" s="1947"/>
      <c r="DY31" s="1947"/>
      <c r="DZ31" s="1947"/>
      <c r="EA31" s="1947"/>
      <c r="EB31" s="1947"/>
      <c r="EC31" s="1947"/>
      <c r="ED31" s="1947"/>
      <c r="EE31" s="1947"/>
      <c r="EF31" s="1947"/>
      <c r="EG31" s="1947"/>
      <c r="EH31" s="1947"/>
      <c r="EI31" s="1947"/>
      <c r="EJ31" s="1947"/>
      <c r="EK31" s="1947"/>
      <c r="EL31" s="1947"/>
      <c r="EM31" s="1947"/>
      <c r="EN31" s="1947"/>
      <c r="EO31" s="1947"/>
      <c r="EP31" s="1947"/>
    </row>
    <row r="32" spans="1:146" s="1946" customFormat="1" ht="12" hidden="1" customHeight="1" outlineLevel="1" x14ac:dyDescent="0.2">
      <c r="A32" s="1951" t="s">
        <v>890</v>
      </c>
      <c r="B32" s="1952" t="s">
        <v>724</v>
      </c>
      <c r="C32" s="1948"/>
      <c r="D32" s="1948"/>
      <c r="E32" s="1948"/>
      <c r="F32" s="1948"/>
      <c r="G32" s="1948"/>
      <c r="H32" s="1948"/>
      <c r="I32" s="1948"/>
      <c r="J32" s="1948"/>
      <c r="K32" s="1948"/>
      <c r="L32" s="1948"/>
      <c r="M32" s="1948"/>
      <c r="N32" s="1948"/>
      <c r="O32" s="1948"/>
      <c r="P32" s="1948"/>
      <c r="Q32" s="1948"/>
      <c r="R32" s="1948"/>
      <c r="S32" s="1948"/>
      <c r="T32" s="1948"/>
      <c r="U32" s="1948"/>
      <c r="V32" s="1948"/>
      <c r="W32" s="1948"/>
      <c r="X32" s="1948"/>
      <c r="Y32" s="1948"/>
      <c r="Z32" s="1948"/>
      <c r="AA32" s="1948"/>
      <c r="AB32" s="1948"/>
      <c r="AC32" s="1948"/>
      <c r="AD32" s="1948"/>
      <c r="AE32" s="1948"/>
      <c r="AF32" s="1948"/>
      <c r="AG32" s="1948"/>
      <c r="AH32" s="1948"/>
      <c r="AI32" s="1948"/>
      <c r="AJ32" s="1948"/>
      <c r="AK32" s="1948"/>
      <c r="AL32" s="1948"/>
      <c r="AM32" s="1948"/>
      <c r="AN32" s="1952"/>
      <c r="AO32" s="1952"/>
      <c r="AP32" s="1952"/>
      <c r="AQ32" s="1952"/>
      <c r="AR32" s="1952"/>
      <c r="AS32" s="1948"/>
      <c r="AT32" s="1948"/>
      <c r="AU32" s="1952"/>
      <c r="AV32" s="1952"/>
      <c r="AW32" s="1952"/>
      <c r="AX32" s="1952"/>
      <c r="AY32" s="1948"/>
      <c r="AZ32" s="1948"/>
      <c r="BA32" s="1952"/>
      <c r="BB32" s="1948"/>
      <c r="BC32" s="1948"/>
      <c r="BD32" s="1948"/>
      <c r="BE32" s="1948"/>
      <c r="BF32" s="1952"/>
      <c r="BG32" s="1948"/>
      <c r="BH32" s="1952"/>
      <c r="BI32" s="1948"/>
      <c r="BJ32" s="1948"/>
      <c r="BK32" s="1948"/>
      <c r="BL32" s="1948"/>
      <c r="BM32" s="1948"/>
      <c r="BN32" s="1948"/>
      <c r="BO32" s="1948"/>
      <c r="BP32" s="1948"/>
      <c r="BQ32" s="1948"/>
      <c r="BR32" s="1948"/>
      <c r="BS32" s="1948"/>
      <c r="BT32" s="1948"/>
      <c r="BU32" s="1948"/>
      <c r="BV32" s="1948"/>
      <c r="BW32" s="1948"/>
      <c r="BX32" s="1948"/>
      <c r="BY32" s="1948"/>
      <c r="BZ32" s="1948"/>
      <c r="CA32" s="1948"/>
      <c r="CB32" s="1948"/>
      <c r="CC32" s="1948"/>
      <c r="CD32" s="1948"/>
      <c r="CE32" s="1948"/>
      <c r="CF32" s="1948"/>
      <c r="CG32" s="1948"/>
      <c r="CH32" s="1948"/>
      <c r="CI32" s="1948"/>
      <c r="CJ32" s="1948"/>
      <c r="CK32" s="1948"/>
      <c r="CL32" s="1948"/>
      <c r="CM32" s="1948"/>
      <c r="CN32" s="1948"/>
      <c r="CO32" s="1948"/>
      <c r="CP32" s="1948"/>
      <c r="CQ32" s="1947"/>
      <c r="CR32" s="1947"/>
      <c r="CS32" s="1947"/>
      <c r="CT32" s="1947"/>
      <c r="CU32" s="1947"/>
      <c r="CV32" s="1947"/>
      <c r="CW32" s="1947"/>
      <c r="CX32" s="1947"/>
      <c r="CY32" s="1947"/>
      <c r="CZ32" s="1947"/>
      <c r="DA32" s="1947"/>
      <c r="DB32" s="1947"/>
      <c r="DC32" s="1947"/>
      <c r="DD32" s="1947"/>
      <c r="DE32" s="1947"/>
      <c r="DF32" s="1947"/>
      <c r="DG32" s="1947"/>
      <c r="DH32" s="1947"/>
      <c r="DI32" s="1947"/>
      <c r="DJ32" s="1947"/>
      <c r="DK32" s="1947"/>
      <c r="DL32" s="1947"/>
      <c r="DM32" s="1947"/>
      <c r="DN32" s="1947"/>
      <c r="DO32" s="1947"/>
      <c r="DP32" s="1947"/>
      <c r="DQ32" s="1947"/>
      <c r="DR32" s="1947"/>
      <c r="DS32" s="1947"/>
      <c r="DT32" s="1947"/>
      <c r="DU32" s="1947"/>
      <c r="DV32" s="1947"/>
      <c r="DW32" s="1947"/>
      <c r="DX32" s="1947"/>
      <c r="DY32" s="1947"/>
      <c r="DZ32" s="1947"/>
      <c r="EA32" s="1947"/>
      <c r="EB32" s="1947"/>
      <c r="EC32" s="1947"/>
      <c r="ED32" s="1947"/>
      <c r="EE32" s="1947"/>
      <c r="EF32" s="1947"/>
      <c r="EG32" s="1947"/>
      <c r="EH32" s="1947"/>
      <c r="EI32" s="1947"/>
      <c r="EJ32" s="1947"/>
      <c r="EK32" s="1947"/>
      <c r="EL32" s="1947"/>
      <c r="EM32" s="1947"/>
      <c r="EN32" s="1947"/>
      <c r="EO32" s="1947"/>
      <c r="EP32" s="1947"/>
    </row>
    <row r="33" spans="1:146" s="1946" customFormat="1" ht="12" hidden="1" customHeight="1" outlineLevel="1" x14ac:dyDescent="0.2">
      <c r="A33" s="1951" t="s">
        <v>891</v>
      </c>
      <c r="B33" s="1952" t="s">
        <v>1346</v>
      </c>
      <c r="C33" s="1948"/>
      <c r="D33" s="1952"/>
      <c r="E33" s="1948"/>
      <c r="F33" s="1952"/>
      <c r="G33" s="1952"/>
      <c r="H33" s="1948"/>
      <c r="I33" s="1952"/>
      <c r="J33" s="1948"/>
      <c r="K33" s="1952"/>
      <c r="L33" s="1948"/>
      <c r="M33" s="1952"/>
      <c r="N33" s="1948"/>
      <c r="O33" s="1952"/>
      <c r="P33" s="1948"/>
      <c r="Q33" s="1948"/>
      <c r="R33" s="1948"/>
      <c r="S33" s="1948"/>
      <c r="T33" s="1948"/>
      <c r="U33" s="1948"/>
      <c r="V33" s="1948"/>
      <c r="W33" s="1948"/>
      <c r="X33" s="1948"/>
      <c r="Y33" s="1948"/>
      <c r="Z33" s="1948"/>
      <c r="AA33" s="1948"/>
      <c r="AB33" s="1948"/>
      <c r="AC33" s="1948"/>
      <c r="AD33" s="1948"/>
      <c r="AE33" s="1948"/>
      <c r="AF33" s="1948"/>
      <c r="AG33" s="1948"/>
      <c r="AH33" s="1948"/>
      <c r="AI33" s="1948"/>
      <c r="AJ33" s="1948"/>
      <c r="AK33" s="1948"/>
      <c r="AL33" s="1948"/>
      <c r="AM33" s="1948"/>
      <c r="AN33" s="1952"/>
      <c r="AO33" s="1952"/>
      <c r="AP33" s="1952"/>
      <c r="AQ33" s="1952"/>
      <c r="AR33" s="1952"/>
      <c r="AS33" s="1948"/>
      <c r="AT33" s="1952"/>
      <c r="AU33" s="1952"/>
      <c r="AV33" s="1952"/>
      <c r="AW33" s="1952"/>
      <c r="AX33" s="1952"/>
      <c r="AY33" s="1948"/>
      <c r="AZ33" s="1952"/>
      <c r="BA33" s="1952"/>
      <c r="BB33" s="1948"/>
      <c r="BC33" s="1952"/>
      <c r="BD33" s="1948"/>
      <c r="BE33" s="1952"/>
      <c r="BF33" s="1952"/>
      <c r="BG33" s="1948"/>
      <c r="BH33" s="1952"/>
      <c r="BI33" s="1948"/>
      <c r="BJ33" s="1952"/>
      <c r="BK33" s="1948"/>
      <c r="BL33" s="1952"/>
      <c r="BM33" s="1948"/>
      <c r="BN33" s="1952"/>
      <c r="BO33" s="1948"/>
      <c r="BP33" s="1952"/>
      <c r="BQ33" s="1948"/>
      <c r="BR33" s="1952"/>
      <c r="BS33" s="1948"/>
      <c r="BT33" s="1952"/>
      <c r="BU33" s="1948"/>
      <c r="BV33" s="1952"/>
      <c r="BW33" s="1948"/>
      <c r="BX33" s="1952"/>
      <c r="BY33" s="1948"/>
      <c r="BZ33" s="1948"/>
      <c r="CA33" s="1948"/>
      <c r="CB33" s="1948"/>
      <c r="CC33" s="1948"/>
      <c r="CD33" s="1948"/>
      <c r="CE33" s="1948"/>
      <c r="CF33" s="1948"/>
      <c r="CG33" s="1948"/>
      <c r="CH33" s="1948"/>
      <c r="CI33" s="1948"/>
      <c r="CJ33" s="1948"/>
      <c r="CK33" s="1948"/>
      <c r="CL33" s="1948"/>
      <c r="CM33" s="1948"/>
      <c r="CN33" s="1948"/>
      <c r="CO33" s="1948"/>
      <c r="CP33" s="1948"/>
      <c r="CQ33" s="1947"/>
      <c r="CR33" s="1947"/>
      <c r="CS33" s="1947"/>
      <c r="CT33" s="1947"/>
      <c r="CU33" s="1947"/>
      <c r="CV33" s="1947"/>
      <c r="CW33" s="1947"/>
      <c r="CX33" s="1947"/>
      <c r="CY33" s="1947"/>
      <c r="CZ33" s="1947"/>
      <c r="DA33" s="1947"/>
      <c r="DB33" s="1947"/>
      <c r="DC33" s="1947"/>
      <c r="DD33" s="1947"/>
      <c r="DE33" s="1947"/>
      <c r="DF33" s="1947"/>
      <c r="DG33" s="1947"/>
      <c r="DH33" s="1947"/>
      <c r="DI33" s="1947"/>
      <c r="DJ33" s="1947"/>
      <c r="DK33" s="1947"/>
      <c r="DL33" s="1947"/>
      <c r="DM33" s="1947"/>
      <c r="DN33" s="1947"/>
      <c r="DO33" s="1947"/>
      <c r="DP33" s="1947"/>
      <c r="DQ33" s="1947"/>
      <c r="DR33" s="1947"/>
      <c r="DS33" s="1947"/>
      <c r="DT33" s="1947"/>
      <c r="DU33" s="1947"/>
      <c r="DV33" s="1947"/>
      <c r="DW33" s="1947"/>
      <c r="DX33" s="1947"/>
      <c r="DY33" s="1947"/>
      <c r="DZ33" s="1947"/>
      <c r="EA33" s="1947"/>
      <c r="EB33" s="1947"/>
      <c r="EC33" s="1947"/>
      <c r="ED33" s="1947"/>
      <c r="EE33" s="1947"/>
      <c r="EF33" s="1947"/>
      <c r="EG33" s="1947"/>
      <c r="EH33" s="1947"/>
      <c r="EI33" s="1947"/>
      <c r="EJ33" s="1947"/>
      <c r="EK33" s="1947"/>
      <c r="EL33" s="1947"/>
      <c r="EM33" s="1947"/>
      <c r="EN33" s="1947"/>
      <c r="EO33" s="1947"/>
      <c r="EP33" s="1947"/>
    </row>
    <row r="34" spans="1:146" s="1946" customFormat="1" ht="12" hidden="1" customHeight="1" outlineLevel="1" x14ac:dyDescent="0.2">
      <c r="A34" s="1951" t="s">
        <v>893</v>
      </c>
      <c r="B34" s="1952" t="s">
        <v>724</v>
      </c>
      <c r="C34" s="1948"/>
      <c r="D34" s="1952"/>
      <c r="E34" s="1948"/>
      <c r="F34" s="1952"/>
      <c r="G34" s="1952"/>
      <c r="H34" s="1948"/>
      <c r="I34" s="1952"/>
      <c r="J34" s="1948"/>
      <c r="K34" s="1952"/>
      <c r="L34" s="1948"/>
      <c r="M34" s="1952"/>
      <c r="N34" s="1948"/>
      <c r="O34" s="1952"/>
      <c r="P34" s="1948"/>
      <c r="Q34" s="1948"/>
      <c r="R34" s="1948"/>
      <c r="S34" s="1948"/>
      <c r="T34" s="1948"/>
      <c r="U34" s="1953"/>
      <c r="V34" s="1953"/>
      <c r="W34" s="1953"/>
      <c r="X34" s="1953"/>
      <c r="Y34" s="1953"/>
      <c r="Z34" s="1953"/>
      <c r="AA34" s="1953"/>
      <c r="AB34" s="1953"/>
      <c r="AC34" s="1953"/>
      <c r="AD34" s="1953"/>
      <c r="AE34" s="1953"/>
      <c r="AF34" s="1953"/>
      <c r="AG34" s="1948"/>
      <c r="AH34" s="1948"/>
      <c r="AI34" s="1948"/>
      <c r="AJ34" s="1948"/>
      <c r="AK34" s="1948"/>
      <c r="AL34" s="1948"/>
      <c r="AM34" s="1948"/>
      <c r="AN34" s="1952"/>
      <c r="AO34" s="1952"/>
      <c r="AP34" s="1952"/>
      <c r="AQ34" s="1952"/>
      <c r="AR34" s="1952"/>
      <c r="AS34" s="1948"/>
      <c r="AT34" s="1952"/>
      <c r="AU34" s="1952"/>
      <c r="AV34" s="1952"/>
      <c r="AW34" s="1952"/>
      <c r="AX34" s="1952"/>
      <c r="AY34" s="1948"/>
      <c r="AZ34" s="1952"/>
      <c r="BA34" s="1952"/>
      <c r="BB34" s="1948"/>
      <c r="BC34" s="1952"/>
      <c r="BD34" s="1948"/>
      <c r="BE34" s="1952"/>
      <c r="BF34" s="1952"/>
      <c r="BG34" s="1948"/>
      <c r="BH34" s="1952"/>
      <c r="BI34" s="1948"/>
      <c r="BJ34" s="1952"/>
      <c r="BK34" s="1948"/>
      <c r="BL34" s="1952"/>
      <c r="BM34" s="1948"/>
      <c r="BN34" s="1952"/>
      <c r="BO34" s="1948"/>
      <c r="BP34" s="1952"/>
      <c r="BQ34" s="1953"/>
      <c r="BR34" s="1952"/>
      <c r="BS34" s="1953"/>
      <c r="BT34" s="1952"/>
      <c r="BU34" s="1948"/>
      <c r="BV34" s="1952"/>
      <c r="BW34" s="1953"/>
      <c r="BX34" s="1952"/>
      <c r="BY34" s="1953"/>
      <c r="BZ34" s="1952"/>
      <c r="CA34" s="1948"/>
      <c r="CB34" s="1948"/>
      <c r="CC34" s="1948"/>
      <c r="CD34" s="1948"/>
      <c r="CE34" s="1948"/>
      <c r="CF34" s="1948"/>
      <c r="CG34" s="1948"/>
      <c r="CH34" s="1948"/>
      <c r="CI34" s="1948"/>
      <c r="CJ34" s="1948"/>
      <c r="CK34" s="1948"/>
      <c r="CL34" s="1948"/>
      <c r="CM34" s="1948"/>
      <c r="CN34" s="1948"/>
      <c r="CO34" s="1948"/>
      <c r="CP34" s="1948"/>
      <c r="CQ34" s="1947"/>
      <c r="CR34" s="1947"/>
      <c r="CS34" s="1947"/>
      <c r="CT34" s="1947"/>
      <c r="CU34" s="1953"/>
      <c r="CV34" s="1947"/>
      <c r="CW34" s="1953"/>
      <c r="CX34" s="1947"/>
      <c r="CY34" s="1953"/>
      <c r="CZ34" s="1947"/>
      <c r="DA34" s="1947"/>
      <c r="DB34" s="1947"/>
      <c r="DC34" s="1947"/>
      <c r="DD34" s="1947"/>
      <c r="DE34" s="1947"/>
      <c r="DF34" s="1947"/>
      <c r="DG34" s="1947"/>
      <c r="DH34" s="1947"/>
      <c r="DI34" s="1947"/>
      <c r="DJ34" s="1947"/>
      <c r="DK34" s="1947"/>
      <c r="DL34" s="1947"/>
      <c r="DM34" s="1947"/>
      <c r="DN34" s="1947"/>
      <c r="DO34" s="1947"/>
      <c r="DP34" s="1947"/>
      <c r="DQ34" s="1947"/>
      <c r="DR34" s="1947"/>
      <c r="DS34" s="1947"/>
      <c r="DT34" s="1947"/>
      <c r="DU34" s="1947"/>
      <c r="DV34" s="1947"/>
      <c r="DW34" s="1947"/>
      <c r="DX34" s="1947"/>
      <c r="DY34" s="1947"/>
      <c r="DZ34" s="1947"/>
      <c r="EA34" s="1947"/>
      <c r="EB34" s="1947"/>
      <c r="EC34" s="1947"/>
      <c r="ED34" s="1947"/>
      <c r="EE34" s="1947"/>
      <c r="EF34" s="1947"/>
      <c r="EG34" s="1947"/>
      <c r="EH34" s="1947"/>
      <c r="EI34" s="1947"/>
      <c r="EJ34" s="1947"/>
      <c r="EK34" s="1947"/>
      <c r="EL34" s="1947"/>
      <c r="EM34" s="1947"/>
      <c r="EN34" s="1947"/>
      <c r="EO34" s="1947"/>
      <c r="EP34" s="1947"/>
    </row>
    <row r="35" spans="1:146" ht="12" hidden="1" customHeight="1" outlineLevel="1" x14ac:dyDescent="0.2">
      <c r="A35" s="1951"/>
      <c r="B35" s="1951"/>
      <c r="C35" s="1951"/>
      <c r="D35" s="1951"/>
      <c r="E35" s="1951"/>
      <c r="F35" s="1951"/>
      <c r="G35" s="1951"/>
      <c r="H35" s="1951"/>
      <c r="I35" s="1951"/>
      <c r="J35" s="1951"/>
      <c r="K35" s="1951"/>
      <c r="L35" s="1951"/>
      <c r="M35" s="1951"/>
      <c r="N35" s="1951"/>
      <c r="O35" s="1951"/>
      <c r="P35" s="1951"/>
      <c r="Q35" s="1951"/>
      <c r="R35" s="1951"/>
      <c r="S35" s="1951"/>
      <c r="T35" s="1951"/>
      <c r="U35" s="1951"/>
      <c r="V35" s="1951"/>
      <c r="W35" s="1951"/>
      <c r="X35" s="1951"/>
      <c r="Y35" s="1951"/>
      <c r="Z35" s="1951"/>
      <c r="AA35" s="1951"/>
      <c r="AB35" s="1951"/>
      <c r="AC35" s="1951"/>
      <c r="AD35" s="1951"/>
      <c r="AE35" s="1951"/>
      <c r="AF35" s="1951"/>
      <c r="AG35" s="1951"/>
      <c r="AH35" s="1951"/>
      <c r="AI35" s="1951"/>
      <c r="AJ35" s="1951"/>
      <c r="AK35" s="1951"/>
      <c r="AL35" s="1947"/>
      <c r="AM35" s="1947"/>
      <c r="AN35" s="1951"/>
      <c r="AO35" s="1951"/>
      <c r="AP35" s="1957"/>
      <c r="AQ35" s="1951"/>
      <c r="AR35" s="1951"/>
      <c r="AS35" s="1951"/>
      <c r="AT35" s="1951"/>
      <c r="AU35" s="1951"/>
      <c r="AV35" s="1951"/>
      <c r="AW35" s="1951"/>
      <c r="AX35" s="1951"/>
      <c r="AY35" s="1951"/>
      <c r="AZ35" s="1951"/>
      <c r="BA35" s="1951"/>
      <c r="BB35" s="1951"/>
      <c r="BC35" s="1951"/>
      <c r="BD35" s="1951"/>
      <c r="BE35" s="1951"/>
      <c r="BF35" s="1951"/>
      <c r="BG35" s="1951"/>
      <c r="BH35" s="1951"/>
      <c r="BI35" s="1951"/>
      <c r="BJ35" s="1951"/>
      <c r="BK35" s="1951"/>
      <c r="BL35" s="1951"/>
      <c r="BM35" s="1951"/>
      <c r="BN35" s="1951"/>
      <c r="BO35" s="1951"/>
      <c r="BP35" s="1951"/>
      <c r="BQ35" s="1951"/>
      <c r="BR35" s="1951"/>
      <c r="BS35" s="1951"/>
      <c r="BT35" s="1951"/>
      <c r="BU35" s="1951"/>
      <c r="BV35" s="1951"/>
      <c r="BW35" s="1951"/>
      <c r="BX35" s="1951"/>
    </row>
    <row r="36" spans="1:146" ht="13.5" collapsed="1" thickBot="1" x14ac:dyDescent="0.25">
      <c r="A36" s="1958" t="s">
        <v>894</v>
      </c>
      <c r="B36" s="1959" t="s">
        <v>1347</v>
      </c>
      <c r="C36" s="1958" t="s">
        <v>895</v>
      </c>
      <c r="D36" s="1959" t="s">
        <v>1874</v>
      </c>
      <c r="E36" s="1958" t="s">
        <v>896</v>
      </c>
      <c r="F36" s="1960" t="s">
        <v>897</v>
      </c>
      <c r="G36" s="1960" t="s">
        <v>898</v>
      </c>
      <c r="H36" s="1960" t="s">
        <v>899</v>
      </c>
      <c r="I36" s="1960" t="s">
        <v>900</v>
      </c>
      <c r="M36" s="2072" t="s">
        <v>5461</v>
      </c>
      <c r="N36" s="2073" t="s">
        <v>912</v>
      </c>
      <c r="O36" s="2074" t="s">
        <v>921</v>
      </c>
      <c r="P36" s="2075" t="s">
        <v>5462</v>
      </c>
      <c r="Q36" s="2076" t="s">
        <v>5463</v>
      </c>
      <c r="R36" s="2077" t="s">
        <v>5584</v>
      </c>
      <c r="S36" s="2023" t="s">
        <v>5459</v>
      </c>
      <c r="T36" s="2078" t="s">
        <v>5585</v>
      </c>
      <c r="U36" s="2079" t="s">
        <v>394</v>
      </c>
      <c r="V36" s="2079" t="s">
        <v>5586</v>
      </c>
      <c r="W36" s="2080" t="s">
        <v>392</v>
      </c>
    </row>
    <row r="37" spans="1:146" ht="13.5" outlineLevel="2" x14ac:dyDescent="0.25">
      <c r="A37" s="1961" t="s">
        <v>2040</v>
      </c>
      <c r="B37" s="1961" t="s">
        <v>2041</v>
      </c>
      <c r="C37" s="1961" t="s">
        <v>2042</v>
      </c>
      <c r="D37" s="1961" t="s">
        <v>2043</v>
      </c>
      <c r="E37" s="1961" t="s">
        <v>919</v>
      </c>
      <c r="F37" s="1962">
        <v>3.3551199999999999</v>
      </c>
      <c r="G37" s="1962">
        <v>0</v>
      </c>
      <c r="H37" s="1962">
        <v>0</v>
      </c>
      <c r="I37" s="1962">
        <v>3.3551199999999999</v>
      </c>
      <c r="R37" s="2081">
        <f t="shared" ref="R37:R68" si="0">G37+H37+I37</f>
        <v>3.3551199999999999</v>
      </c>
      <c r="T37" s="2082" t="s">
        <v>393</v>
      </c>
      <c r="U37" s="2083">
        <f>IF($T37="PTD",$R37*U$174,IF($T37="PROD",$R37*U$175,IF($T37="TRANS",$R37*U$176,IF($T37="DIST",$R37*U$177,IF($T37="LABOR",$R37*U$178,IF($T37="TD",$R37*U$179,0))))))</f>
        <v>0</v>
      </c>
      <c r="V37" s="2083">
        <f>IF($T37="PTD",$R37*V$174,IF($T37="PROD",$R37*V$175,IF($T37="TRANS",$R37*V$176,IF($T37="DIST",$R37*V$177,IF($T37="LABOR",$R37*V$178,IF($T37="TD",$R37*V$179,0))))))</f>
        <v>0</v>
      </c>
      <c r="W37" s="2083">
        <f>IF($T37="PTD",$R37*W$174,IF($T37="PROD",$R37*W$175,IF($T37="TRANS",$R37*W$176,IF($T37="DIST",$R37*W$177,IF($T37="LABOR",$R37*W$178,IF($T37="TD",$R37*W$179,0))))))</f>
        <v>3.3551199999999999</v>
      </c>
    </row>
    <row r="38" spans="1:146" ht="13.5" outlineLevel="2" x14ac:dyDescent="0.25">
      <c r="A38" s="1961" t="s">
        <v>2040</v>
      </c>
      <c r="B38" s="1961" t="s">
        <v>2041</v>
      </c>
      <c r="C38" s="1961" t="s">
        <v>2042</v>
      </c>
      <c r="D38" s="1961" t="s">
        <v>2043</v>
      </c>
      <c r="E38" s="1961" t="s">
        <v>1083</v>
      </c>
      <c r="F38" s="1962">
        <v>642.82637999999997</v>
      </c>
      <c r="G38" s="1962">
        <v>174.16668755840317</v>
      </c>
      <c r="H38" s="1962">
        <v>48.969927990412721</v>
      </c>
      <c r="I38" s="1962">
        <v>34.80028119750736</v>
      </c>
      <c r="R38" s="2081">
        <f t="shared" si="0"/>
        <v>257.93689674632321</v>
      </c>
      <c r="T38" s="2082" t="s">
        <v>394</v>
      </c>
      <c r="U38" s="2083">
        <f t="shared" ref="U38:W69" si="1">IF($T38="PTD",$R38*U$174,IF($T38="PROD",$R38*U$175,IF($T38="TRANS",$R38*U$176,IF($T38="DIST",$R38*U$177,IF($T38="LABOR",$R38*U$178,IF($T38="TD",$R38*U$179,0))))))</f>
        <v>257.93689674632321</v>
      </c>
      <c r="V38" s="2083">
        <f t="shared" si="1"/>
        <v>0</v>
      </c>
      <c r="W38" s="2083">
        <f t="shared" si="1"/>
        <v>0</v>
      </c>
    </row>
    <row r="39" spans="1:146" ht="13.5" outlineLevel="2" x14ac:dyDescent="0.25">
      <c r="A39" s="1961" t="s">
        <v>2040</v>
      </c>
      <c r="B39" s="1961" t="s">
        <v>2041</v>
      </c>
      <c r="C39" s="1961" t="s">
        <v>2042</v>
      </c>
      <c r="D39" s="1961" t="s">
        <v>2043</v>
      </c>
      <c r="E39" s="1961" t="s">
        <v>1567</v>
      </c>
      <c r="F39" s="1962">
        <v>2682.7087900000001</v>
      </c>
      <c r="G39" s="1962">
        <v>726.85023231017976</v>
      </c>
      <c r="H39" s="1962">
        <v>204.36631157785911</v>
      </c>
      <c r="I39" s="1962">
        <v>145.2320924711035</v>
      </c>
      <c r="R39" s="2081">
        <f t="shared" si="0"/>
        <v>1076.4486363591423</v>
      </c>
      <c r="T39" s="2082" t="s">
        <v>394</v>
      </c>
      <c r="U39" s="2083">
        <f t="shared" si="1"/>
        <v>1076.4486363591423</v>
      </c>
      <c r="V39" s="2083">
        <f t="shared" si="1"/>
        <v>0</v>
      </c>
      <c r="W39" s="2083">
        <f t="shared" si="1"/>
        <v>0</v>
      </c>
    </row>
    <row r="40" spans="1:146" ht="13.5" outlineLevel="2" x14ac:dyDescent="0.25">
      <c r="A40" s="1961" t="s">
        <v>2040</v>
      </c>
      <c r="B40" s="1961" t="s">
        <v>2041</v>
      </c>
      <c r="C40" s="1961" t="s">
        <v>2042</v>
      </c>
      <c r="D40" s="1961" t="s">
        <v>2043</v>
      </c>
      <c r="E40" s="1961" t="s">
        <v>1568</v>
      </c>
      <c r="F40" s="1962">
        <v>335.75878999999998</v>
      </c>
      <c r="G40" s="1962">
        <v>90.970125203818654</v>
      </c>
      <c r="H40" s="1962">
        <v>25.57779873384802</v>
      </c>
      <c r="I40" s="1962">
        <v>18.176759184236996</v>
      </c>
      <c r="R40" s="2081">
        <f t="shared" si="0"/>
        <v>134.72468312190367</v>
      </c>
      <c r="T40" s="2082" t="s">
        <v>394</v>
      </c>
      <c r="U40" s="2083">
        <f t="shared" si="1"/>
        <v>134.72468312190367</v>
      </c>
      <c r="V40" s="2083">
        <f t="shared" si="1"/>
        <v>0</v>
      </c>
      <c r="W40" s="2083">
        <f t="shared" si="1"/>
        <v>0</v>
      </c>
    </row>
    <row r="41" spans="1:146" ht="13.5" outlineLevel="2" x14ac:dyDescent="0.25">
      <c r="A41" s="1961" t="s">
        <v>2040</v>
      </c>
      <c r="B41" s="1961" t="s">
        <v>2041</v>
      </c>
      <c r="C41" s="1961" t="s">
        <v>2044</v>
      </c>
      <c r="D41" s="1961" t="s">
        <v>2045</v>
      </c>
      <c r="E41" s="1961" t="s">
        <v>912</v>
      </c>
      <c r="F41" s="1962">
        <v>8.8468199999999992</v>
      </c>
      <c r="G41" s="1962">
        <v>8.8468199999999992</v>
      </c>
      <c r="H41" s="1962">
        <v>0</v>
      </c>
      <c r="I41" s="1962">
        <v>0</v>
      </c>
      <c r="R41" s="2081">
        <f t="shared" si="0"/>
        <v>8.8468199999999992</v>
      </c>
      <c r="T41" s="2082" t="s">
        <v>393</v>
      </c>
      <c r="U41" s="2083">
        <f t="shared" si="1"/>
        <v>0</v>
      </c>
      <c r="V41" s="2083">
        <f t="shared" si="1"/>
        <v>0</v>
      </c>
      <c r="W41" s="2083">
        <f t="shared" si="1"/>
        <v>8.8468199999999992</v>
      </c>
    </row>
    <row r="42" spans="1:146" ht="13.5" outlineLevel="2" x14ac:dyDescent="0.25">
      <c r="A42" s="1961" t="s">
        <v>2040</v>
      </c>
      <c r="B42" s="1961" t="s">
        <v>2041</v>
      </c>
      <c r="C42" s="1961" t="s">
        <v>2044</v>
      </c>
      <c r="D42" s="1961" t="s">
        <v>2045</v>
      </c>
      <c r="E42" s="1961" t="s">
        <v>1083</v>
      </c>
      <c r="F42" s="1962">
        <v>1047.58464</v>
      </c>
      <c r="G42" s="1962">
        <v>283.83145490367446</v>
      </c>
      <c r="H42" s="1962">
        <v>79.804043487858166</v>
      </c>
      <c r="I42" s="1962">
        <v>56.712420623107469</v>
      </c>
      <c r="R42" s="2081">
        <f t="shared" si="0"/>
        <v>420.34791901464007</v>
      </c>
      <c r="T42" s="2082" t="s">
        <v>393</v>
      </c>
      <c r="U42" s="2083">
        <f t="shared" si="1"/>
        <v>0</v>
      </c>
      <c r="V42" s="2083">
        <f t="shared" si="1"/>
        <v>0</v>
      </c>
      <c r="W42" s="2083">
        <f t="shared" si="1"/>
        <v>420.34791901464007</v>
      </c>
    </row>
    <row r="43" spans="1:146" ht="13.5" outlineLevel="2" x14ac:dyDescent="0.25">
      <c r="A43" s="1961" t="s">
        <v>2040</v>
      </c>
      <c r="B43" s="1961" t="s">
        <v>2041</v>
      </c>
      <c r="C43" s="1961" t="s">
        <v>2044</v>
      </c>
      <c r="D43" s="1961" t="s">
        <v>2045</v>
      </c>
      <c r="E43" s="1961" t="s">
        <v>920</v>
      </c>
      <c r="F43" s="1962">
        <v>97.403059999999996</v>
      </c>
      <c r="G43" s="1962">
        <v>0</v>
      </c>
      <c r="H43" s="1962">
        <v>0</v>
      </c>
      <c r="I43" s="1962">
        <v>0</v>
      </c>
      <c r="R43" s="2081">
        <f t="shared" si="0"/>
        <v>0</v>
      </c>
      <c r="T43" s="2082" t="s">
        <v>393</v>
      </c>
      <c r="U43" s="2083">
        <f t="shared" si="1"/>
        <v>0</v>
      </c>
      <c r="V43" s="2083">
        <f t="shared" si="1"/>
        <v>0</v>
      </c>
      <c r="W43" s="2083">
        <f t="shared" si="1"/>
        <v>0</v>
      </c>
    </row>
    <row r="44" spans="1:146" ht="13.5" outlineLevel="2" x14ac:dyDescent="0.25">
      <c r="A44" s="1961" t="s">
        <v>2040</v>
      </c>
      <c r="B44" s="1961" t="s">
        <v>2041</v>
      </c>
      <c r="C44" s="1961" t="s">
        <v>2044</v>
      </c>
      <c r="D44" s="1961" t="s">
        <v>2045</v>
      </c>
      <c r="E44" s="1961" t="s">
        <v>922</v>
      </c>
      <c r="F44" s="1962">
        <v>58.84796</v>
      </c>
      <c r="G44" s="1962">
        <v>0</v>
      </c>
      <c r="H44" s="1962">
        <v>0</v>
      </c>
      <c r="I44" s="1962">
        <v>0</v>
      </c>
      <c r="R44" s="2081">
        <f t="shared" si="0"/>
        <v>0</v>
      </c>
      <c r="T44" s="2082" t="s">
        <v>393</v>
      </c>
      <c r="U44" s="2083">
        <f t="shared" si="1"/>
        <v>0</v>
      </c>
      <c r="V44" s="2083">
        <f t="shared" si="1"/>
        <v>0</v>
      </c>
      <c r="W44" s="2083">
        <f t="shared" si="1"/>
        <v>0</v>
      </c>
    </row>
    <row r="45" spans="1:146" ht="13.5" outlineLevel="2" x14ac:dyDescent="0.25">
      <c r="A45" s="1961" t="s">
        <v>2040</v>
      </c>
      <c r="B45" s="1961" t="s">
        <v>2041</v>
      </c>
      <c r="C45" s="1961" t="s">
        <v>2046</v>
      </c>
      <c r="D45" s="1961" t="s">
        <v>2047</v>
      </c>
      <c r="E45" s="1961" t="s">
        <v>913</v>
      </c>
      <c r="F45" s="1962">
        <v>85.110699999999994</v>
      </c>
      <c r="G45" s="1962">
        <v>23.808687623901506</v>
      </c>
      <c r="H45" s="1962">
        <v>6.3534525298105331</v>
      </c>
      <c r="I45" s="1962">
        <v>4.5391652514748788</v>
      </c>
      <c r="R45" s="2081">
        <f t="shared" si="0"/>
        <v>34.701305405186915</v>
      </c>
      <c r="T45" s="2082" t="s">
        <v>99</v>
      </c>
      <c r="U45" s="2083">
        <f t="shared" si="1"/>
        <v>15.275380824048238</v>
      </c>
      <c r="V45" s="2083">
        <f t="shared" si="1"/>
        <v>0</v>
      </c>
      <c r="W45" s="2083">
        <f t="shared" si="1"/>
        <v>19.425924581138673</v>
      </c>
    </row>
    <row r="46" spans="1:146" ht="13.5" outlineLevel="2" x14ac:dyDescent="0.25">
      <c r="A46" s="1961" t="s">
        <v>2040</v>
      </c>
      <c r="B46" s="1961" t="s">
        <v>2041</v>
      </c>
      <c r="C46" s="1961" t="s">
        <v>2048</v>
      </c>
      <c r="D46" s="1961" t="s">
        <v>2049</v>
      </c>
      <c r="E46" s="1961" t="s">
        <v>913</v>
      </c>
      <c r="F46" s="1962">
        <v>925.10521000000006</v>
      </c>
      <c r="G46" s="1962">
        <v>258.78697935904421</v>
      </c>
      <c r="H46" s="1962">
        <v>69.058438443290981</v>
      </c>
      <c r="I46" s="1962">
        <v>49.338161044267892</v>
      </c>
      <c r="R46" s="2081">
        <f t="shared" si="0"/>
        <v>377.1835788466031</v>
      </c>
      <c r="T46" s="2082" t="s">
        <v>392</v>
      </c>
      <c r="U46" s="2083">
        <f t="shared" si="1"/>
        <v>0</v>
      </c>
      <c r="V46" s="2083">
        <f t="shared" si="1"/>
        <v>0</v>
      </c>
      <c r="W46" s="2083">
        <f t="shared" si="1"/>
        <v>377.1835788466031</v>
      </c>
    </row>
    <row r="47" spans="1:146" ht="13.5" outlineLevel="2" x14ac:dyDescent="0.25">
      <c r="A47" s="1961" t="s">
        <v>2040</v>
      </c>
      <c r="B47" s="1961" t="s">
        <v>2041</v>
      </c>
      <c r="C47" s="1961" t="s">
        <v>2050</v>
      </c>
      <c r="D47" s="1961" t="s">
        <v>2051</v>
      </c>
      <c r="E47" s="1961" t="s">
        <v>1754</v>
      </c>
      <c r="F47" s="1962">
        <v>6853.04738</v>
      </c>
      <c r="G47" s="1962">
        <v>2088.9891866510347</v>
      </c>
      <c r="H47" s="1962">
        <v>457.16594821487161</v>
      </c>
      <c r="I47" s="1962">
        <v>292.63656054638932</v>
      </c>
      <c r="R47" s="2081">
        <f t="shared" si="0"/>
        <v>2838.7916954122957</v>
      </c>
      <c r="T47" s="2082" t="s">
        <v>392</v>
      </c>
      <c r="U47" s="2083">
        <f t="shared" si="1"/>
        <v>0</v>
      </c>
      <c r="V47" s="2083">
        <f t="shared" si="1"/>
        <v>0</v>
      </c>
      <c r="W47" s="2083">
        <f t="shared" si="1"/>
        <v>2838.7916954122957</v>
      </c>
    </row>
    <row r="48" spans="1:146" ht="13.5" outlineLevel="2" x14ac:dyDescent="0.25">
      <c r="A48" s="1961" t="s">
        <v>2040</v>
      </c>
      <c r="B48" s="1961" t="s">
        <v>2041</v>
      </c>
      <c r="C48" s="1961" t="s">
        <v>2052</v>
      </c>
      <c r="D48" s="1961" t="s">
        <v>2053</v>
      </c>
      <c r="E48" s="1961" t="s">
        <v>913</v>
      </c>
      <c r="F48" s="1962">
        <v>5407.3964400000004</v>
      </c>
      <c r="G48" s="1962">
        <v>1512.6536698506425</v>
      </c>
      <c r="H48" s="1962">
        <v>403.65825438407245</v>
      </c>
      <c r="I48" s="1962">
        <v>288.38989717388023</v>
      </c>
      <c r="R48" s="2081">
        <f t="shared" si="0"/>
        <v>2204.7018214085952</v>
      </c>
      <c r="T48" s="2082" t="s">
        <v>95</v>
      </c>
      <c r="U48" s="2083">
        <f t="shared" si="1"/>
        <v>919.03745418148833</v>
      </c>
      <c r="V48" s="2083">
        <f t="shared" si="1"/>
        <v>0</v>
      </c>
      <c r="W48" s="2083">
        <f t="shared" si="1"/>
        <v>1285.664367227107</v>
      </c>
    </row>
    <row r="49" spans="1:23" ht="13.5" outlineLevel="2" x14ac:dyDescent="0.25">
      <c r="A49" s="1961" t="s">
        <v>2040</v>
      </c>
      <c r="B49" s="1961" t="s">
        <v>2041</v>
      </c>
      <c r="C49" s="1961" t="s">
        <v>2054</v>
      </c>
      <c r="D49" s="1961" t="s">
        <v>2055</v>
      </c>
      <c r="E49" s="1961" t="s">
        <v>1083</v>
      </c>
      <c r="F49" s="1962">
        <v>661.60001</v>
      </c>
      <c r="G49" s="1962">
        <v>179.25319466557428</v>
      </c>
      <c r="H49" s="1962">
        <v>50.400086020359552</v>
      </c>
      <c r="I49" s="1962">
        <v>35.816617215170417</v>
      </c>
      <c r="R49" s="2081">
        <f t="shared" si="0"/>
        <v>265.46989790110428</v>
      </c>
      <c r="T49" s="2082" t="s">
        <v>99</v>
      </c>
      <c r="U49" s="2083">
        <f t="shared" si="1"/>
        <v>116.85882534996608</v>
      </c>
      <c r="V49" s="2083">
        <f t="shared" si="1"/>
        <v>0</v>
      </c>
      <c r="W49" s="2083">
        <f t="shared" si="1"/>
        <v>148.61107255113816</v>
      </c>
    </row>
    <row r="50" spans="1:23" ht="13.5" outlineLevel="2" x14ac:dyDescent="0.25">
      <c r="A50" s="1961" t="s">
        <v>2040</v>
      </c>
      <c r="B50" s="1961" t="s">
        <v>2041</v>
      </c>
      <c r="C50" s="1961" t="s">
        <v>2056</v>
      </c>
      <c r="D50" s="1961" t="s">
        <v>2057</v>
      </c>
      <c r="E50" s="1961" t="s">
        <v>913</v>
      </c>
      <c r="F50" s="1962">
        <v>830.09777999999994</v>
      </c>
      <c r="G50" s="1962">
        <v>232.20980136826643</v>
      </c>
      <c r="H50" s="1962">
        <v>61.966202138287045</v>
      </c>
      <c r="I50" s="1962">
        <v>44.271178574520462</v>
      </c>
      <c r="R50" s="2081">
        <f t="shared" si="0"/>
        <v>338.44718208107395</v>
      </c>
      <c r="T50" s="2082" t="s">
        <v>394</v>
      </c>
      <c r="U50" s="2083">
        <f t="shared" si="1"/>
        <v>338.44718208107395</v>
      </c>
      <c r="V50" s="2083">
        <f t="shared" si="1"/>
        <v>0</v>
      </c>
      <c r="W50" s="2083">
        <f t="shared" si="1"/>
        <v>0</v>
      </c>
    </row>
    <row r="51" spans="1:23" ht="13.5" outlineLevel="2" x14ac:dyDescent="0.25">
      <c r="A51" s="1961" t="s">
        <v>2040</v>
      </c>
      <c r="B51" s="1961" t="s">
        <v>2041</v>
      </c>
      <c r="C51" s="1961" t="s">
        <v>2058</v>
      </c>
      <c r="D51" s="1961" t="s">
        <v>2059</v>
      </c>
      <c r="E51" s="1961" t="s">
        <v>913</v>
      </c>
      <c r="F51" s="1962">
        <v>845.18254999999999</v>
      </c>
      <c r="G51" s="1962">
        <v>236.42958309733694</v>
      </c>
      <c r="H51" s="1962">
        <v>63.092269367414644</v>
      </c>
      <c r="I51" s="1962">
        <v>45.07568686561067</v>
      </c>
      <c r="R51" s="2081">
        <f t="shared" si="0"/>
        <v>344.59753933036228</v>
      </c>
      <c r="T51" s="2082" t="s">
        <v>394</v>
      </c>
      <c r="U51" s="2083">
        <f t="shared" si="1"/>
        <v>344.59753933036228</v>
      </c>
      <c r="V51" s="2083">
        <f t="shared" si="1"/>
        <v>0</v>
      </c>
      <c r="W51" s="2083">
        <f t="shared" si="1"/>
        <v>0</v>
      </c>
    </row>
    <row r="52" spans="1:23" ht="13.5" outlineLevel="2" x14ac:dyDescent="0.25">
      <c r="A52" s="1961" t="s">
        <v>2040</v>
      </c>
      <c r="B52" s="1961" t="s">
        <v>2041</v>
      </c>
      <c r="C52" s="1961" t="s">
        <v>2060</v>
      </c>
      <c r="D52" s="1961" t="s">
        <v>2061</v>
      </c>
      <c r="E52" s="1961" t="s">
        <v>913</v>
      </c>
      <c r="F52" s="1962">
        <v>622.64949000000001</v>
      </c>
      <c r="G52" s="1962">
        <v>174.17865446520338</v>
      </c>
      <c r="H52" s="1962">
        <v>46.480336519682467</v>
      </c>
      <c r="I52" s="1962">
        <v>33.207445466393246</v>
      </c>
      <c r="R52" s="2081">
        <f t="shared" si="0"/>
        <v>253.8664364512791</v>
      </c>
      <c r="T52" s="2082" t="s">
        <v>99</v>
      </c>
      <c r="U52" s="2083">
        <f t="shared" si="1"/>
        <v>111.75102636506828</v>
      </c>
      <c r="V52" s="2083">
        <f t="shared" si="1"/>
        <v>0</v>
      </c>
      <c r="W52" s="2083">
        <f t="shared" si="1"/>
        <v>142.1154100862108</v>
      </c>
    </row>
    <row r="53" spans="1:23" ht="13.5" outlineLevel="2" x14ac:dyDescent="0.25">
      <c r="A53" s="1961" t="s">
        <v>2040</v>
      </c>
      <c r="B53" s="1961" t="s">
        <v>2041</v>
      </c>
      <c r="C53" s="1961" t="s">
        <v>2062</v>
      </c>
      <c r="D53" s="1961" t="s">
        <v>2063</v>
      </c>
      <c r="E53" s="1961" t="s">
        <v>913</v>
      </c>
      <c r="F53" s="1962">
        <v>285.86826000000002</v>
      </c>
      <c r="G53" s="1962">
        <v>79.968183835032008</v>
      </c>
      <c r="H53" s="1962">
        <v>21.339859966955217</v>
      </c>
      <c r="I53" s="1962">
        <v>15.246065092774309</v>
      </c>
      <c r="R53" s="2081">
        <f t="shared" si="0"/>
        <v>116.55410889476153</v>
      </c>
      <c r="T53" s="2082" t="s">
        <v>99</v>
      </c>
      <c r="U53" s="2083">
        <f t="shared" si="1"/>
        <v>51.306669279045252</v>
      </c>
      <c r="V53" s="2083">
        <f t="shared" si="1"/>
        <v>0</v>
      </c>
      <c r="W53" s="2083">
        <f t="shared" si="1"/>
        <v>65.24743961571626</v>
      </c>
    </row>
    <row r="54" spans="1:23" ht="13.5" outlineLevel="2" x14ac:dyDescent="0.25">
      <c r="A54" s="1961" t="s">
        <v>2040</v>
      </c>
      <c r="B54" s="1961" t="s">
        <v>2041</v>
      </c>
      <c r="C54" s="1961" t="s">
        <v>2064</v>
      </c>
      <c r="D54" s="1961" t="s">
        <v>2065</v>
      </c>
      <c r="E54" s="1961" t="s">
        <v>913</v>
      </c>
      <c r="F54" s="1962">
        <v>273.04570000000001</v>
      </c>
      <c r="G54" s="1962">
        <v>76.381227957818737</v>
      </c>
      <c r="H54" s="1962">
        <v>20.382665086985398</v>
      </c>
      <c r="I54" s="1962">
        <v>14.562206085775754</v>
      </c>
      <c r="R54" s="2081">
        <f t="shared" si="0"/>
        <v>111.32609913057989</v>
      </c>
      <c r="T54" s="2082" t="s">
        <v>99</v>
      </c>
      <c r="U54" s="2083">
        <f t="shared" si="1"/>
        <v>49.005319541125012</v>
      </c>
      <c r="V54" s="2083">
        <f t="shared" si="1"/>
        <v>0</v>
      </c>
      <c r="W54" s="2083">
        <f t="shared" si="1"/>
        <v>62.320779589454872</v>
      </c>
    </row>
    <row r="55" spans="1:23" ht="13.5" outlineLevel="2" x14ac:dyDescent="0.25">
      <c r="A55" s="1961" t="s">
        <v>2040</v>
      </c>
      <c r="B55" s="1961" t="s">
        <v>2041</v>
      </c>
      <c r="C55" s="1961" t="s">
        <v>2066</v>
      </c>
      <c r="D55" s="1961" t="s">
        <v>2067</v>
      </c>
      <c r="E55" s="1961" t="s">
        <v>913</v>
      </c>
      <c r="F55" s="1962">
        <v>292.90289000000001</v>
      </c>
      <c r="G55" s="1962">
        <v>81.936036387293072</v>
      </c>
      <c r="H55" s="1962">
        <v>21.864990036027393</v>
      </c>
      <c r="I55" s="1962">
        <v>15.621239401680036</v>
      </c>
      <c r="R55" s="2081">
        <f t="shared" si="0"/>
        <v>119.42226582500049</v>
      </c>
      <c r="T55" s="2082" t="s">
        <v>99</v>
      </c>
      <c r="U55" s="2083">
        <f t="shared" si="1"/>
        <v>52.569220899538024</v>
      </c>
      <c r="V55" s="2083">
        <f t="shared" si="1"/>
        <v>0</v>
      </c>
      <c r="W55" s="2083">
        <f t="shared" si="1"/>
        <v>66.853044925462456</v>
      </c>
    </row>
    <row r="56" spans="1:23" ht="13.5" outlineLevel="2" x14ac:dyDescent="0.25">
      <c r="A56" s="1961" t="s">
        <v>2040</v>
      </c>
      <c r="B56" s="1961" t="s">
        <v>2041</v>
      </c>
      <c r="C56" s="1961" t="s">
        <v>2068</v>
      </c>
      <c r="D56" s="1961" t="s">
        <v>2069</v>
      </c>
      <c r="E56" s="1961" t="s">
        <v>913</v>
      </c>
      <c r="F56" s="1962">
        <v>876.97843</v>
      </c>
      <c r="G56" s="1962">
        <v>245.32409547529949</v>
      </c>
      <c r="H56" s="1962">
        <v>65.465808936746726</v>
      </c>
      <c r="I56" s="1962">
        <v>46.771440203746359</v>
      </c>
      <c r="R56" s="2081">
        <f t="shared" si="0"/>
        <v>357.56134461579256</v>
      </c>
      <c r="T56" s="2082" t="s">
        <v>109</v>
      </c>
      <c r="U56" s="2083">
        <f t="shared" si="1"/>
        <v>0</v>
      </c>
      <c r="V56" s="2083">
        <f t="shared" si="1"/>
        <v>0</v>
      </c>
      <c r="W56" s="2083">
        <f t="shared" si="1"/>
        <v>357.56134461579256</v>
      </c>
    </row>
    <row r="57" spans="1:23" ht="13.5" outlineLevel="2" x14ac:dyDescent="0.25">
      <c r="A57" s="1961" t="s">
        <v>2040</v>
      </c>
      <c r="B57" s="1961" t="s">
        <v>2041</v>
      </c>
      <c r="C57" s="1961" t="s">
        <v>2070</v>
      </c>
      <c r="D57" s="1961" t="s">
        <v>2071</v>
      </c>
      <c r="E57" s="1961" t="s">
        <v>913</v>
      </c>
      <c r="F57" s="1962">
        <v>319.89179000000001</v>
      </c>
      <c r="G57" s="1962">
        <v>89.485854323377666</v>
      </c>
      <c r="H57" s="1962">
        <v>23.87969200630614</v>
      </c>
      <c r="I57" s="1962">
        <v>17.06062454427116</v>
      </c>
      <c r="R57" s="2081">
        <f t="shared" si="0"/>
        <v>130.42617087395496</v>
      </c>
      <c r="T57" s="2082" t="s">
        <v>109</v>
      </c>
      <c r="U57" s="2083">
        <f t="shared" si="1"/>
        <v>0</v>
      </c>
      <c r="V57" s="2083">
        <f t="shared" si="1"/>
        <v>0</v>
      </c>
      <c r="W57" s="2083">
        <f t="shared" si="1"/>
        <v>130.42617087395496</v>
      </c>
    </row>
    <row r="58" spans="1:23" ht="13.5" outlineLevel="2" x14ac:dyDescent="0.25">
      <c r="A58" s="1961" t="s">
        <v>2040</v>
      </c>
      <c r="B58" s="1961" t="s">
        <v>2041</v>
      </c>
      <c r="C58" s="1961" t="s">
        <v>2072</v>
      </c>
      <c r="D58" s="1961" t="s">
        <v>2073</v>
      </c>
      <c r="E58" s="1961" t="s">
        <v>913</v>
      </c>
      <c r="F58" s="1962">
        <v>4.4924400000000002</v>
      </c>
      <c r="G58" s="1962">
        <v>1.2563140529504118</v>
      </c>
      <c r="H58" s="1962">
        <v>0.33525290532777074</v>
      </c>
      <c r="I58" s="1962">
        <v>0.23951832978678053</v>
      </c>
      <c r="R58" s="2081">
        <f t="shared" si="0"/>
        <v>1.8310852880649628</v>
      </c>
      <c r="T58" s="2082" t="s">
        <v>109</v>
      </c>
      <c r="U58" s="2083">
        <f t="shared" si="1"/>
        <v>0</v>
      </c>
      <c r="V58" s="2083">
        <f t="shared" si="1"/>
        <v>0</v>
      </c>
      <c r="W58" s="2083">
        <f t="shared" si="1"/>
        <v>1.8310852880649628</v>
      </c>
    </row>
    <row r="59" spans="1:23" ht="13.5" outlineLevel="2" x14ac:dyDescent="0.25">
      <c r="A59" s="1961" t="s">
        <v>2040</v>
      </c>
      <c r="B59" s="1961" t="s">
        <v>2041</v>
      </c>
      <c r="C59" s="1961" t="s">
        <v>2074</v>
      </c>
      <c r="D59" s="1961" t="s">
        <v>2075</v>
      </c>
      <c r="E59" s="1961" t="s">
        <v>913</v>
      </c>
      <c r="F59" s="1962">
        <v>5.69468</v>
      </c>
      <c r="G59" s="1962">
        <v>1.5930177667212162</v>
      </c>
      <c r="H59" s="1962">
        <v>0.42510376547791817</v>
      </c>
      <c r="I59" s="1962">
        <v>0.3037114437346769</v>
      </c>
      <c r="R59" s="2081">
        <f t="shared" si="0"/>
        <v>2.3218329759338112</v>
      </c>
      <c r="T59" s="2082" t="s">
        <v>109</v>
      </c>
      <c r="U59" s="2083">
        <f t="shared" si="1"/>
        <v>0</v>
      </c>
      <c r="V59" s="2083">
        <f t="shared" si="1"/>
        <v>0</v>
      </c>
      <c r="W59" s="2083">
        <f t="shared" si="1"/>
        <v>2.3218329759338112</v>
      </c>
    </row>
    <row r="60" spans="1:23" ht="13.5" outlineLevel="2" x14ac:dyDescent="0.25">
      <c r="A60" s="1961" t="s">
        <v>2040</v>
      </c>
      <c r="B60" s="1961" t="s">
        <v>2041</v>
      </c>
      <c r="C60" s="1961" t="s">
        <v>2076</v>
      </c>
      <c r="D60" s="1961" t="s">
        <v>2077</v>
      </c>
      <c r="E60" s="1961" t="s">
        <v>913</v>
      </c>
      <c r="F60" s="1962">
        <v>184.45722000000001</v>
      </c>
      <c r="G60" s="1962">
        <v>51.599673495262962</v>
      </c>
      <c r="H60" s="1962">
        <v>13.769598781948899</v>
      </c>
      <c r="I60" s="1962">
        <v>9.8375621796984074</v>
      </c>
      <c r="R60" s="2081">
        <f t="shared" si="0"/>
        <v>75.206834456910272</v>
      </c>
      <c r="T60" s="2082" t="s">
        <v>109</v>
      </c>
      <c r="U60" s="2083">
        <f t="shared" si="1"/>
        <v>0</v>
      </c>
      <c r="V60" s="2083">
        <f t="shared" si="1"/>
        <v>0</v>
      </c>
      <c r="W60" s="2083">
        <f t="shared" si="1"/>
        <v>75.206834456910272</v>
      </c>
    </row>
    <row r="61" spans="1:23" ht="13.5" outlineLevel="2" x14ac:dyDescent="0.25">
      <c r="A61" s="1961" t="s">
        <v>2040</v>
      </c>
      <c r="B61" s="1961" t="s">
        <v>2041</v>
      </c>
      <c r="C61" s="1961" t="s">
        <v>2078</v>
      </c>
      <c r="D61" s="1961" t="s">
        <v>2079</v>
      </c>
      <c r="E61" s="1961" t="s">
        <v>913</v>
      </c>
      <c r="F61" s="1962">
        <v>632.36558000000002</v>
      </c>
      <c r="G61" s="1962">
        <v>176.89661297965236</v>
      </c>
      <c r="H61" s="1962">
        <v>47.205635648820952</v>
      </c>
      <c r="I61" s="1962">
        <v>33.725628704319881</v>
      </c>
      <c r="R61" s="2081">
        <f t="shared" si="0"/>
        <v>257.82787733279321</v>
      </c>
      <c r="T61" s="2082" t="s">
        <v>392</v>
      </c>
      <c r="U61" s="2083">
        <f t="shared" si="1"/>
        <v>0</v>
      </c>
      <c r="V61" s="2083">
        <f t="shared" si="1"/>
        <v>0</v>
      </c>
      <c r="W61" s="2083">
        <f t="shared" si="1"/>
        <v>257.82787733279321</v>
      </c>
    </row>
    <row r="62" spans="1:23" ht="13.5" outlineLevel="2" x14ac:dyDescent="0.25">
      <c r="A62" s="1961" t="s">
        <v>2040</v>
      </c>
      <c r="B62" s="1961" t="s">
        <v>2041</v>
      </c>
      <c r="C62" s="1961" t="s">
        <v>2080</v>
      </c>
      <c r="D62" s="1961" t="s">
        <v>2081</v>
      </c>
      <c r="E62" s="1961" t="s">
        <v>913</v>
      </c>
      <c r="F62" s="1962">
        <v>1792.43713</v>
      </c>
      <c r="G62" s="1962">
        <v>501.41258048227229</v>
      </c>
      <c r="H62" s="1962">
        <v>133.80414234784618</v>
      </c>
      <c r="I62" s="1962">
        <v>95.595128884492325</v>
      </c>
      <c r="R62" s="2081">
        <f t="shared" si="0"/>
        <v>730.81185171461073</v>
      </c>
      <c r="T62" s="2082" t="s">
        <v>99</v>
      </c>
      <c r="U62" s="2083">
        <f t="shared" si="1"/>
        <v>321.70055896513668</v>
      </c>
      <c r="V62" s="2083">
        <f t="shared" si="1"/>
        <v>0</v>
      </c>
      <c r="W62" s="2083">
        <f t="shared" si="1"/>
        <v>409.11129274947399</v>
      </c>
    </row>
    <row r="63" spans="1:23" ht="13.5" outlineLevel="2" x14ac:dyDescent="0.25">
      <c r="A63" s="1961" t="s">
        <v>2040</v>
      </c>
      <c r="B63" s="1961" t="s">
        <v>2041</v>
      </c>
      <c r="C63" s="1961" t="s">
        <v>2082</v>
      </c>
      <c r="D63" s="1961" t="s">
        <v>2083</v>
      </c>
      <c r="E63" s="1961" t="s">
        <v>1083</v>
      </c>
      <c r="F63" s="1962">
        <v>6.5886500000000003</v>
      </c>
      <c r="G63" s="1962">
        <v>1.7851217399971564</v>
      </c>
      <c r="H63" s="1962">
        <v>0.50191735450252184</v>
      </c>
      <c r="I63" s="1962">
        <v>0.35668553725495344</v>
      </c>
      <c r="R63" s="2081">
        <f t="shared" si="0"/>
        <v>2.6437246317546319</v>
      </c>
      <c r="T63" s="2082" t="s">
        <v>394</v>
      </c>
      <c r="U63" s="2083">
        <f t="shared" si="1"/>
        <v>2.6437246317546319</v>
      </c>
      <c r="V63" s="2083">
        <f t="shared" si="1"/>
        <v>0</v>
      </c>
      <c r="W63" s="2083">
        <f t="shared" si="1"/>
        <v>0</v>
      </c>
    </row>
    <row r="64" spans="1:23" ht="13.5" outlineLevel="2" x14ac:dyDescent="0.25">
      <c r="A64" s="1961" t="s">
        <v>2040</v>
      </c>
      <c r="B64" s="1961" t="s">
        <v>2041</v>
      </c>
      <c r="C64" s="1961" t="s">
        <v>2084</v>
      </c>
      <c r="D64" s="1961" t="s">
        <v>2085</v>
      </c>
      <c r="E64" s="1961" t="s">
        <v>1083</v>
      </c>
      <c r="F64" s="1962">
        <v>3.5581399999999999</v>
      </c>
      <c r="G64" s="1962">
        <v>0.96403862216895442</v>
      </c>
      <c r="H64" s="1962">
        <v>0.27105586360629308</v>
      </c>
      <c r="I64" s="1962">
        <v>0.19262475279887989</v>
      </c>
      <c r="R64" s="2081">
        <f t="shared" si="0"/>
        <v>1.4277192385741273</v>
      </c>
      <c r="T64" s="2082" t="s">
        <v>394</v>
      </c>
      <c r="U64" s="2083">
        <f t="shared" si="1"/>
        <v>1.4277192385741273</v>
      </c>
      <c r="V64" s="2083">
        <f t="shared" si="1"/>
        <v>0</v>
      </c>
      <c r="W64" s="2083">
        <f t="shared" si="1"/>
        <v>0</v>
      </c>
    </row>
    <row r="65" spans="1:23" ht="13.5" outlineLevel="2" x14ac:dyDescent="0.25">
      <c r="A65" s="1961" t="s">
        <v>2040</v>
      </c>
      <c r="B65" s="1961" t="s">
        <v>2041</v>
      </c>
      <c r="C65" s="1961" t="s">
        <v>2086</v>
      </c>
      <c r="D65" s="1961" t="s">
        <v>2087</v>
      </c>
      <c r="E65" s="1961" t="s">
        <v>1083</v>
      </c>
      <c r="F65" s="1962">
        <v>431.80245000000002</v>
      </c>
      <c r="G65" s="1962">
        <v>116.992092477692</v>
      </c>
      <c r="H65" s="1962">
        <v>32.894317253414201</v>
      </c>
      <c r="I65" s="1962">
        <v>23.37621346804811</v>
      </c>
      <c r="R65" s="2081">
        <f t="shared" si="0"/>
        <v>173.26262319915432</v>
      </c>
      <c r="T65" s="2082" t="s">
        <v>394</v>
      </c>
      <c r="U65" s="2083">
        <f t="shared" si="1"/>
        <v>173.26262319915432</v>
      </c>
      <c r="V65" s="2083">
        <f t="shared" si="1"/>
        <v>0</v>
      </c>
      <c r="W65" s="2083">
        <f t="shared" si="1"/>
        <v>0</v>
      </c>
    </row>
    <row r="66" spans="1:23" ht="13.5" outlineLevel="2" x14ac:dyDescent="0.25">
      <c r="A66" s="1961" t="s">
        <v>2040</v>
      </c>
      <c r="B66" s="1961" t="s">
        <v>2041</v>
      </c>
      <c r="C66" s="1961" t="s">
        <v>2088</v>
      </c>
      <c r="D66" s="1961" t="s">
        <v>2089</v>
      </c>
      <c r="E66" s="1961" t="s">
        <v>1083</v>
      </c>
      <c r="F66" s="1962">
        <v>24.115829999999999</v>
      </c>
      <c r="G66" s="1962">
        <v>6.53391702565406</v>
      </c>
      <c r="H66" s="1962">
        <v>1.8371219590101993</v>
      </c>
      <c r="I66" s="1962">
        <v>1.30554328730455</v>
      </c>
      <c r="R66" s="2081">
        <f t="shared" si="0"/>
        <v>9.6765822719688099</v>
      </c>
      <c r="T66" s="2082" t="s">
        <v>394</v>
      </c>
      <c r="U66" s="2083">
        <f t="shared" si="1"/>
        <v>9.6765822719688099</v>
      </c>
      <c r="V66" s="2083">
        <f t="shared" si="1"/>
        <v>0</v>
      </c>
      <c r="W66" s="2083">
        <f t="shared" si="1"/>
        <v>0</v>
      </c>
    </row>
    <row r="67" spans="1:23" ht="13.5" outlineLevel="2" x14ac:dyDescent="0.25">
      <c r="A67" s="1961" t="s">
        <v>2040</v>
      </c>
      <c r="B67" s="1961" t="s">
        <v>2041</v>
      </c>
      <c r="C67" s="1961" t="s">
        <v>2090</v>
      </c>
      <c r="D67" s="1961" t="s">
        <v>2091</v>
      </c>
      <c r="E67" s="1961" t="s">
        <v>1083</v>
      </c>
      <c r="F67" s="1962">
        <v>2.3696899999999999</v>
      </c>
      <c r="G67" s="1962">
        <v>0.64204125823254554</v>
      </c>
      <c r="H67" s="1962">
        <v>0.18052082532705194</v>
      </c>
      <c r="I67" s="1962">
        <v>0.12828639414412521</v>
      </c>
      <c r="R67" s="2081">
        <f t="shared" si="0"/>
        <v>0.95084847770372272</v>
      </c>
      <c r="T67" s="2082" t="s">
        <v>394</v>
      </c>
      <c r="U67" s="2083">
        <f t="shared" si="1"/>
        <v>0.95084847770372272</v>
      </c>
      <c r="V67" s="2083">
        <f t="shared" si="1"/>
        <v>0</v>
      </c>
      <c r="W67" s="2083">
        <f t="shared" si="1"/>
        <v>0</v>
      </c>
    </row>
    <row r="68" spans="1:23" ht="13.5" outlineLevel="2" x14ac:dyDescent="0.25">
      <c r="A68" s="1961" t="s">
        <v>2040</v>
      </c>
      <c r="B68" s="1961" t="s">
        <v>2041</v>
      </c>
      <c r="C68" s="1961" t="s">
        <v>2090</v>
      </c>
      <c r="D68" s="1961" t="s">
        <v>2091</v>
      </c>
      <c r="E68" s="1961" t="s">
        <v>1568</v>
      </c>
      <c r="F68" s="1962">
        <v>1.03765</v>
      </c>
      <c r="G68" s="1962">
        <v>0.2811397742341829</v>
      </c>
      <c r="H68" s="1962">
        <v>7.904723166347305E-2</v>
      </c>
      <c r="I68" s="1962">
        <v>5.6174595362115519E-2</v>
      </c>
      <c r="R68" s="2081">
        <f t="shared" si="0"/>
        <v>0.41636160125977145</v>
      </c>
      <c r="T68" s="2082" t="s">
        <v>394</v>
      </c>
      <c r="U68" s="2083">
        <f t="shared" si="1"/>
        <v>0.41636160125977145</v>
      </c>
      <c r="V68" s="2083">
        <f t="shared" si="1"/>
        <v>0</v>
      </c>
      <c r="W68" s="2083">
        <f t="shared" si="1"/>
        <v>0</v>
      </c>
    </row>
    <row r="69" spans="1:23" ht="13.5" outlineLevel="2" x14ac:dyDescent="0.25">
      <c r="A69" s="1961" t="s">
        <v>2040</v>
      </c>
      <c r="B69" s="1961" t="s">
        <v>2041</v>
      </c>
      <c r="C69" s="1961" t="s">
        <v>2092</v>
      </c>
      <c r="D69" s="1961" t="s">
        <v>2093</v>
      </c>
      <c r="E69" s="1961" t="s">
        <v>913</v>
      </c>
      <c r="F69" s="1962">
        <v>1869.5877599999999</v>
      </c>
      <c r="G69" s="1962">
        <v>522.99453492110547</v>
      </c>
      <c r="H69" s="1962">
        <v>139.56338137830858</v>
      </c>
      <c r="I69" s="1962">
        <v>99.709763810834076</v>
      </c>
      <c r="R69" s="2081">
        <f t="shared" ref="R69:R105" si="2">G69+H69+I69</f>
        <v>762.26768011024808</v>
      </c>
      <c r="T69" s="2082" t="s">
        <v>99</v>
      </c>
      <c r="U69" s="2083">
        <f t="shared" si="1"/>
        <v>335.54729332480281</v>
      </c>
      <c r="V69" s="2083">
        <f t="shared" si="1"/>
        <v>0</v>
      </c>
      <c r="W69" s="2083">
        <f t="shared" si="1"/>
        <v>426.72038678544516</v>
      </c>
    </row>
    <row r="70" spans="1:23" ht="13.5" outlineLevel="2" x14ac:dyDescent="0.25">
      <c r="A70" s="1961" t="s">
        <v>2040</v>
      </c>
      <c r="B70" s="1961" t="s">
        <v>2041</v>
      </c>
      <c r="C70" s="1961" t="s">
        <v>2094</v>
      </c>
      <c r="D70" s="1961" t="s">
        <v>2095</v>
      </c>
      <c r="E70" s="1961" t="s">
        <v>1083</v>
      </c>
      <c r="F70" s="1962">
        <v>359.93472000000003</v>
      </c>
      <c r="G70" s="1962">
        <v>97.520325658790384</v>
      </c>
      <c r="H70" s="1962">
        <v>27.419499056104957</v>
      </c>
      <c r="I70" s="1962">
        <v>19.485556066859104</v>
      </c>
      <c r="R70" s="2081">
        <f t="shared" si="2"/>
        <v>144.42538078175443</v>
      </c>
      <c r="T70" s="2082" t="s">
        <v>393</v>
      </c>
      <c r="U70" s="2083">
        <f t="shared" ref="U70:W105" si="3">IF($T70="PTD",$R70*U$174,IF($T70="PROD",$R70*U$175,IF($T70="TRANS",$R70*U$176,IF($T70="DIST",$R70*U$177,IF($T70="LABOR",$R70*U$178,IF($T70="TD",$R70*U$179,0))))))</f>
        <v>0</v>
      </c>
      <c r="V70" s="2083">
        <f t="shared" si="3"/>
        <v>0</v>
      </c>
      <c r="W70" s="2083">
        <f t="shared" si="3"/>
        <v>144.42538078175443</v>
      </c>
    </row>
    <row r="71" spans="1:23" ht="13.5" outlineLevel="2" x14ac:dyDescent="0.25">
      <c r="A71" s="1961" t="s">
        <v>2040</v>
      </c>
      <c r="B71" s="1961" t="s">
        <v>2041</v>
      </c>
      <c r="C71" s="1961" t="s">
        <v>2096</v>
      </c>
      <c r="D71" s="1961" t="s">
        <v>2097</v>
      </c>
      <c r="E71" s="1961" t="s">
        <v>913</v>
      </c>
      <c r="F71" s="1962">
        <v>462.84132</v>
      </c>
      <c r="G71" s="1962">
        <v>129.47425420439777</v>
      </c>
      <c r="H71" s="1962">
        <v>34.550771588705615</v>
      </c>
      <c r="I71" s="1962">
        <v>24.684478410949094</v>
      </c>
      <c r="R71" s="2081">
        <f t="shared" si="2"/>
        <v>188.70950420405248</v>
      </c>
      <c r="T71" s="2082" t="s">
        <v>95</v>
      </c>
      <c r="U71" s="2083">
        <f t="shared" si="3"/>
        <v>78.664198777110485</v>
      </c>
      <c r="V71" s="2083">
        <f t="shared" si="3"/>
        <v>0</v>
      </c>
      <c r="W71" s="2083">
        <f t="shared" si="3"/>
        <v>110.04530542694201</v>
      </c>
    </row>
    <row r="72" spans="1:23" ht="13.5" outlineLevel="2" x14ac:dyDescent="0.25">
      <c r="A72" s="1961" t="s">
        <v>2040</v>
      </c>
      <c r="B72" s="1961" t="s">
        <v>2041</v>
      </c>
      <c r="C72" s="1961" t="s">
        <v>2098</v>
      </c>
      <c r="D72" s="1961" t="s">
        <v>2099</v>
      </c>
      <c r="E72" s="1961" t="s">
        <v>1083</v>
      </c>
      <c r="F72" s="1962">
        <v>2416.94461</v>
      </c>
      <c r="G72" s="1962">
        <v>654.84437140839907</v>
      </c>
      <c r="H72" s="1962">
        <v>184.12063846620009</v>
      </c>
      <c r="I72" s="1962">
        <v>130.84458678687045</v>
      </c>
      <c r="R72" s="2081">
        <f t="shared" si="2"/>
        <v>969.80959666146964</v>
      </c>
      <c r="T72" s="2082" t="s">
        <v>394</v>
      </c>
      <c r="U72" s="2083">
        <f t="shared" si="3"/>
        <v>969.80959666146964</v>
      </c>
      <c r="V72" s="2083">
        <f t="shared" si="3"/>
        <v>0</v>
      </c>
      <c r="W72" s="2083">
        <f t="shared" si="3"/>
        <v>0</v>
      </c>
    </row>
    <row r="73" spans="1:23" ht="13.5" outlineLevel="2" x14ac:dyDescent="0.25">
      <c r="A73" s="1961" t="s">
        <v>2040</v>
      </c>
      <c r="B73" s="1961" t="s">
        <v>2041</v>
      </c>
      <c r="C73" s="1961" t="s">
        <v>2100</v>
      </c>
      <c r="D73" s="1961" t="s">
        <v>2101</v>
      </c>
      <c r="E73" s="1961" t="s">
        <v>913</v>
      </c>
      <c r="F73" s="1962">
        <v>4516.41201</v>
      </c>
      <c r="G73" s="1962">
        <v>1263.4115654897341</v>
      </c>
      <c r="H73" s="1962">
        <v>337.14690762267469</v>
      </c>
      <c r="I73" s="1962">
        <v>240.871482165413</v>
      </c>
      <c r="R73" s="2081">
        <f t="shared" si="2"/>
        <v>1841.4299552778218</v>
      </c>
      <c r="T73" s="2082" t="s">
        <v>392</v>
      </c>
      <c r="U73" s="2083">
        <f t="shared" si="3"/>
        <v>0</v>
      </c>
      <c r="V73" s="2083">
        <f t="shared" si="3"/>
        <v>0</v>
      </c>
      <c r="W73" s="2083">
        <f t="shared" si="3"/>
        <v>1841.4299552778218</v>
      </c>
    </row>
    <row r="74" spans="1:23" ht="13.5" outlineLevel="2" x14ac:dyDescent="0.25">
      <c r="A74" s="1961" t="s">
        <v>2040</v>
      </c>
      <c r="B74" s="1961" t="s">
        <v>2041</v>
      </c>
      <c r="C74" s="1961" t="s">
        <v>2102</v>
      </c>
      <c r="D74" s="1961" t="s">
        <v>2103</v>
      </c>
      <c r="E74" s="1961" t="s">
        <v>1754</v>
      </c>
      <c r="F74" s="1962">
        <v>486.58112999999997</v>
      </c>
      <c r="G74" s="1962">
        <v>148.32273332370298</v>
      </c>
      <c r="H74" s="1962">
        <v>32.459767362634764</v>
      </c>
      <c r="I74" s="1962">
        <v>20.777826332491447</v>
      </c>
      <c r="R74" s="2081">
        <f t="shared" si="2"/>
        <v>201.56032701882921</v>
      </c>
      <c r="T74" s="2082" t="s">
        <v>394</v>
      </c>
      <c r="U74" s="2083">
        <f t="shared" si="3"/>
        <v>201.56032701882921</v>
      </c>
      <c r="V74" s="2083">
        <f t="shared" si="3"/>
        <v>0</v>
      </c>
      <c r="W74" s="2083">
        <f t="shared" si="3"/>
        <v>0</v>
      </c>
    </row>
    <row r="75" spans="1:23" ht="13.5" outlineLevel="2" x14ac:dyDescent="0.25">
      <c r="A75" s="1961" t="s">
        <v>2040</v>
      </c>
      <c r="B75" s="1961" t="s">
        <v>2041</v>
      </c>
      <c r="C75" s="1961" t="s">
        <v>2104</v>
      </c>
      <c r="D75" s="1961" t="s">
        <v>2105</v>
      </c>
      <c r="E75" s="1961" t="s">
        <v>1754</v>
      </c>
      <c r="F75" s="1962">
        <v>5033.9437900000003</v>
      </c>
      <c r="G75" s="1962">
        <v>1534.4785407742399</v>
      </c>
      <c r="H75" s="1962">
        <v>335.81377136425323</v>
      </c>
      <c r="I75" s="1962">
        <v>214.95780125329523</v>
      </c>
      <c r="R75" s="2081">
        <f t="shared" si="2"/>
        <v>2085.2501133917885</v>
      </c>
      <c r="T75" s="2082" t="s">
        <v>392</v>
      </c>
      <c r="U75" s="2083">
        <f t="shared" si="3"/>
        <v>0</v>
      </c>
      <c r="V75" s="2083">
        <f t="shared" si="3"/>
        <v>0</v>
      </c>
      <c r="W75" s="2083">
        <f t="shared" si="3"/>
        <v>2085.2501133917885</v>
      </c>
    </row>
    <row r="76" spans="1:23" ht="13.5" outlineLevel="2" x14ac:dyDescent="0.25">
      <c r="A76" s="1961" t="s">
        <v>2040</v>
      </c>
      <c r="B76" s="1961" t="s">
        <v>2041</v>
      </c>
      <c r="C76" s="1961" t="s">
        <v>2106</v>
      </c>
      <c r="D76" s="1961" t="s">
        <v>2107</v>
      </c>
      <c r="E76" s="1961" t="s">
        <v>913</v>
      </c>
      <c r="F76" s="1962">
        <v>946.05548999999996</v>
      </c>
      <c r="G76" s="1962">
        <v>264.64756647856348</v>
      </c>
      <c r="H76" s="1962">
        <v>70.622361774508306</v>
      </c>
      <c r="I76" s="1962">
        <v>50.455491567746947</v>
      </c>
      <c r="R76" s="2081">
        <f t="shared" si="2"/>
        <v>385.72541982081873</v>
      </c>
      <c r="T76" s="2082" t="s">
        <v>99</v>
      </c>
      <c r="U76" s="2083">
        <f t="shared" si="3"/>
        <v>169.79484236919166</v>
      </c>
      <c r="V76" s="2083">
        <f t="shared" si="3"/>
        <v>0</v>
      </c>
      <c r="W76" s="2083">
        <f t="shared" si="3"/>
        <v>215.93057745162704</v>
      </c>
    </row>
    <row r="77" spans="1:23" ht="13.5" outlineLevel="2" x14ac:dyDescent="0.25">
      <c r="A77" s="1961" t="s">
        <v>2040</v>
      </c>
      <c r="B77" s="1961" t="s">
        <v>2041</v>
      </c>
      <c r="C77" s="1961" t="s">
        <v>2108</v>
      </c>
      <c r="D77" s="1961" t="s">
        <v>2109</v>
      </c>
      <c r="E77" s="1961" t="s">
        <v>1754</v>
      </c>
      <c r="F77" s="1962">
        <v>2128.8570100000002</v>
      </c>
      <c r="G77" s="1962">
        <v>648.93163978333018</v>
      </c>
      <c r="H77" s="1962">
        <v>142.01578941812693</v>
      </c>
      <c r="I77" s="1962">
        <v>90.905747291283191</v>
      </c>
      <c r="R77" s="2081">
        <f t="shared" si="2"/>
        <v>881.85317649274032</v>
      </c>
      <c r="T77" s="2082" t="s">
        <v>392</v>
      </c>
      <c r="U77" s="2083">
        <f t="shared" si="3"/>
        <v>0</v>
      </c>
      <c r="V77" s="2083">
        <f t="shared" si="3"/>
        <v>0</v>
      </c>
      <c r="W77" s="2083">
        <f t="shared" si="3"/>
        <v>881.85317649274032</v>
      </c>
    </row>
    <row r="78" spans="1:23" ht="13.5" outlineLevel="2" x14ac:dyDescent="0.25">
      <c r="A78" s="1961" t="s">
        <v>2040</v>
      </c>
      <c r="B78" s="1961" t="s">
        <v>2041</v>
      </c>
      <c r="C78" s="1961" t="s">
        <v>2110</v>
      </c>
      <c r="D78" s="1961" t="s">
        <v>2111</v>
      </c>
      <c r="E78" s="1961" t="s">
        <v>913</v>
      </c>
      <c r="F78" s="1962">
        <v>1803.10995</v>
      </c>
      <c r="G78" s="1962">
        <v>504.39817262810271</v>
      </c>
      <c r="H78" s="1962">
        <v>134.60086068325188</v>
      </c>
      <c r="I78" s="1962">
        <v>96.164336912146268</v>
      </c>
      <c r="R78" s="2081">
        <f t="shared" si="2"/>
        <v>735.16337022350092</v>
      </c>
      <c r="T78" s="2082" t="s">
        <v>99</v>
      </c>
      <c r="U78" s="2083">
        <f t="shared" si="3"/>
        <v>323.61608063240675</v>
      </c>
      <c r="V78" s="2083">
        <f t="shared" si="3"/>
        <v>0</v>
      </c>
      <c r="W78" s="2083">
        <f t="shared" si="3"/>
        <v>411.54728959109406</v>
      </c>
    </row>
    <row r="79" spans="1:23" ht="13.5" outlineLevel="2" x14ac:dyDescent="0.25">
      <c r="A79" s="1961" t="s">
        <v>2040</v>
      </c>
      <c r="B79" s="1961" t="s">
        <v>2041</v>
      </c>
      <c r="C79" s="1961" t="s">
        <v>2112</v>
      </c>
      <c r="D79" s="1961" t="s">
        <v>2113</v>
      </c>
      <c r="E79" s="1961" t="s">
        <v>1754</v>
      </c>
      <c r="F79" s="1962">
        <v>781.17088999999999</v>
      </c>
      <c r="G79" s="1962">
        <v>238.12144461440525</v>
      </c>
      <c r="H79" s="1962">
        <v>52.111814035744366</v>
      </c>
      <c r="I79" s="1962">
        <v>33.35730074123051</v>
      </c>
      <c r="R79" s="2081">
        <f t="shared" si="2"/>
        <v>323.59055939138011</v>
      </c>
      <c r="T79" s="2082" t="s">
        <v>392</v>
      </c>
      <c r="U79" s="2083">
        <f t="shared" si="3"/>
        <v>0</v>
      </c>
      <c r="V79" s="2083">
        <f t="shared" si="3"/>
        <v>0</v>
      </c>
      <c r="W79" s="2083">
        <f t="shared" si="3"/>
        <v>323.59055939138011</v>
      </c>
    </row>
    <row r="80" spans="1:23" ht="13.5" outlineLevel="2" x14ac:dyDescent="0.25">
      <c r="A80" s="1961" t="s">
        <v>2040</v>
      </c>
      <c r="B80" s="1961" t="s">
        <v>2041</v>
      </c>
      <c r="C80" s="1961" t="s">
        <v>2114</v>
      </c>
      <c r="D80" s="1961" t="s">
        <v>2115</v>
      </c>
      <c r="E80" s="1961" t="s">
        <v>913</v>
      </c>
      <c r="F80" s="1962">
        <v>330.72719000000001</v>
      </c>
      <c r="G80" s="1962">
        <v>92.516926255344174</v>
      </c>
      <c r="H80" s="1962">
        <v>24.688546821758358</v>
      </c>
      <c r="I80" s="1962">
        <v>17.638503367566361</v>
      </c>
      <c r="R80" s="2081">
        <f t="shared" si="2"/>
        <v>134.8439764446689</v>
      </c>
      <c r="T80" s="2082" t="s">
        <v>394</v>
      </c>
      <c r="U80" s="2083">
        <f t="shared" si="3"/>
        <v>134.8439764446689</v>
      </c>
      <c r="V80" s="2083">
        <f t="shared" si="3"/>
        <v>0</v>
      </c>
      <c r="W80" s="2083">
        <f t="shared" si="3"/>
        <v>0</v>
      </c>
    </row>
    <row r="81" spans="1:32" ht="13.5" outlineLevel="2" x14ac:dyDescent="0.25">
      <c r="A81" s="1961" t="s">
        <v>2040</v>
      </c>
      <c r="B81" s="1961" t="s">
        <v>2041</v>
      </c>
      <c r="C81" s="1961" t="s">
        <v>2116</v>
      </c>
      <c r="D81" s="1961" t="s">
        <v>2117</v>
      </c>
      <c r="E81" s="1961" t="s">
        <v>913</v>
      </c>
      <c r="F81" s="1962">
        <v>57.993259999999999</v>
      </c>
      <c r="G81" s="1962">
        <v>16.222912179452198</v>
      </c>
      <c r="H81" s="1962">
        <v>4.3291551409982532</v>
      </c>
      <c r="I81" s="1962">
        <v>3.0929247510800413</v>
      </c>
      <c r="R81" s="2081">
        <f t="shared" si="2"/>
        <v>23.644992071530492</v>
      </c>
      <c r="T81" s="2082" t="s">
        <v>393</v>
      </c>
      <c r="U81" s="2083">
        <f t="shared" si="3"/>
        <v>0</v>
      </c>
      <c r="V81" s="2083">
        <f t="shared" si="3"/>
        <v>0</v>
      </c>
      <c r="W81" s="2083">
        <f t="shared" si="3"/>
        <v>23.644992071530492</v>
      </c>
    </row>
    <row r="82" spans="1:32" ht="13.5" outlineLevel="2" x14ac:dyDescent="0.25">
      <c r="A82" s="1961" t="s">
        <v>2040</v>
      </c>
      <c r="B82" s="1961" t="s">
        <v>2041</v>
      </c>
      <c r="C82" s="1961" t="s">
        <v>2118</v>
      </c>
      <c r="D82" s="1961" t="s">
        <v>2119</v>
      </c>
      <c r="E82" s="1961" t="s">
        <v>913</v>
      </c>
      <c r="F82" s="1962">
        <v>742.43047000000001</v>
      </c>
      <c r="G82" s="1962">
        <v>207.68593305772808</v>
      </c>
      <c r="H82" s="1962">
        <v>55.42190051109818</v>
      </c>
      <c r="I82" s="1962">
        <v>39.595662954953525</v>
      </c>
      <c r="R82" s="2081">
        <f t="shared" si="2"/>
        <v>302.70349652377979</v>
      </c>
      <c r="T82" s="2082" t="s">
        <v>99</v>
      </c>
      <c r="U82" s="2083">
        <f t="shared" si="3"/>
        <v>133.24891188331341</v>
      </c>
      <c r="V82" s="2083">
        <f t="shared" si="3"/>
        <v>0</v>
      </c>
      <c r="W82" s="2083">
        <f t="shared" si="3"/>
        <v>169.45458464046635</v>
      </c>
    </row>
    <row r="83" spans="1:32" ht="13.5" outlineLevel="2" x14ac:dyDescent="0.25">
      <c r="A83" s="1961" t="s">
        <v>2040</v>
      </c>
      <c r="B83" s="1961" t="s">
        <v>2041</v>
      </c>
      <c r="C83" s="1961" t="s">
        <v>2120</v>
      </c>
      <c r="D83" s="1961" t="s">
        <v>2121</v>
      </c>
      <c r="E83" s="1961" t="s">
        <v>913</v>
      </c>
      <c r="F83" s="1962">
        <v>164.96205</v>
      </c>
      <c r="G83" s="1962">
        <v>46.146135776681682</v>
      </c>
      <c r="H83" s="1962">
        <v>12.314298365484383</v>
      </c>
      <c r="I83" s="1962">
        <v>8.797836290525888</v>
      </c>
      <c r="R83" s="2081">
        <f t="shared" si="2"/>
        <v>67.258270432691958</v>
      </c>
      <c r="T83" s="2082" t="s">
        <v>109</v>
      </c>
      <c r="U83" s="2083">
        <f t="shared" si="3"/>
        <v>0</v>
      </c>
      <c r="V83" s="2083">
        <f t="shared" si="3"/>
        <v>0</v>
      </c>
      <c r="W83" s="2083">
        <f t="shared" si="3"/>
        <v>67.258270432691958</v>
      </c>
    </row>
    <row r="84" spans="1:32" ht="13.5" outlineLevel="2" x14ac:dyDescent="0.25">
      <c r="A84" s="1961" t="s">
        <v>2040</v>
      </c>
      <c r="B84" s="1961" t="s">
        <v>2041</v>
      </c>
      <c r="C84" s="1961" t="s">
        <v>2122</v>
      </c>
      <c r="D84" s="1961" t="s">
        <v>2123</v>
      </c>
      <c r="E84" s="1961" t="s">
        <v>913</v>
      </c>
      <c r="F84" s="1962">
        <v>360.52976999999998</v>
      </c>
      <c r="G84" s="1962">
        <v>100.85383709741615</v>
      </c>
      <c r="H84" s="1962">
        <v>26.913287979989704</v>
      </c>
      <c r="I84" s="1962">
        <v>19.227949060532112</v>
      </c>
      <c r="R84" s="2081">
        <f t="shared" si="2"/>
        <v>146.99507413793796</v>
      </c>
      <c r="T84" s="2082" t="s">
        <v>392</v>
      </c>
      <c r="U84" s="2083">
        <f t="shared" si="3"/>
        <v>0</v>
      </c>
      <c r="V84" s="2083">
        <f t="shared" si="3"/>
        <v>0</v>
      </c>
      <c r="W84" s="2083">
        <f t="shared" si="3"/>
        <v>146.99507413793796</v>
      </c>
    </row>
    <row r="85" spans="1:32" ht="13.5" outlineLevel="2" x14ac:dyDescent="0.25">
      <c r="A85" s="1961" t="s">
        <v>2040</v>
      </c>
      <c r="B85" s="1961" t="s">
        <v>2041</v>
      </c>
      <c r="C85" s="1961" t="s">
        <v>2124</v>
      </c>
      <c r="D85" s="1961" t="s">
        <v>2125</v>
      </c>
      <c r="E85" s="1961" t="s">
        <v>913</v>
      </c>
      <c r="F85" s="1962">
        <v>233.75703999999999</v>
      </c>
      <c r="G85" s="1962">
        <v>65.390701113348257</v>
      </c>
      <c r="H85" s="1962">
        <v>17.449794880655688</v>
      </c>
      <c r="I85" s="1962">
        <v>12.466844160083555</v>
      </c>
      <c r="R85" s="2081">
        <f t="shared" si="2"/>
        <v>95.307340154087498</v>
      </c>
      <c r="T85" s="2082" t="s">
        <v>392</v>
      </c>
      <c r="U85" s="2083">
        <f t="shared" si="3"/>
        <v>0</v>
      </c>
      <c r="V85" s="2083">
        <f t="shared" si="3"/>
        <v>0</v>
      </c>
      <c r="W85" s="2083">
        <f t="shared" si="3"/>
        <v>95.307340154087498</v>
      </c>
    </row>
    <row r="86" spans="1:32" ht="13.5" outlineLevel="2" x14ac:dyDescent="0.25">
      <c r="A86" s="1961" t="s">
        <v>2040</v>
      </c>
      <c r="B86" s="1961" t="s">
        <v>2041</v>
      </c>
      <c r="C86" s="1961" t="s">
        <v>2126</v>
      </c>
      <c r="D86" s="1961" t="s">
        <v>2127</v>
      </c>
      <c r="E86" s="1961" t="s">
        <v>913</v>
      </c>
      <c r="F86" s="1962">
        <v>2035.40894</v>
      </c>
      <c r="G86" s="1962">
        <v>569.38100191111675</v>
      </c>
      <c r="H86" s="1962">
        <v>151.94181318026966</v>
      </c>
      <c r="I86" s="1962">
        <v>108.55341964041322</v>
      </c>
      <c r="R86" s="2081">
        <f t="shared" si="2"/>
        <v>829.87623473179974</v>
      </c>
      <c r="T86" s="2082" t="s">
        <v>99</v>
      </c>
      <c r="U86" s="2083">
        <f t="shared" si="3"/>
        <v>365.30831835682653</v>
      </c>
      <c r="V86" s="2083">
        <f t="shared" si="3"/>
        <v>0</v>
      </c>
      <c r="W86" s="2083">
        <f t="shared" si="3"/>
        <v>464.56791637497309</v>
      </c>
    </row>
    <row r="87" spans="1:32" ht="13.5" outlineLevel="2" x14ac:dyDescent="0.25">
      <c r="A87" s="1961" t="s">
        <v>2040</v>
      </c>
      <c r="B87" s="1961" t="s">
        <v>2041</v>
      </c>
      <c r="C87" s="1961" t="s">
        <v>2128</v>
      </c>
      <c r="D87" s="1961" t="s">
        <v>2129</v>
      </c>
      <c r="E87" s="1961" t="s">
        <v>913</v>
      </c>
      <c r="F87" s="1962">
        <v>380.78165999999999</v>
      </c>
      <c r="G87" s="1962">
        <v>106.51905807202468</v>
      </c>
      <c r="H87" s="1962">
        <v>28.425077000100508</v>
      </c>
      <c r="I87" s="1962">
        <v>20.308032708824179</v>
      </c>
      <c r="R87" s="2081">
        <f t="shared" si="2"/>
        <v>155.25216778094938</v>
      </c>
      <c r="T87" s="2082" t="s">
        <v>99</v>
      </c>
      <c r="U87" s="2083">
        <f t="shared" si="3"/>
        <v>68.341405573133073</v>
      </c>
      <c r="V87" s="2083">
        <f t="shared" si="3"/>
        <v>0</v>
      </c>
      <c r="W87" s="2083">
        <f t="shared" si="3"/>
        <v>86.91076220781629</v>
      </c>
    </row>
    <row r="88" spans="1:32" ht="13.5" outlineLevel="2" x14ac:dyDescent="0.25">
      <c r="A88" s="1961" t="s">
        <v>2040</v>
      </c>
      <c r="B88" s="1961" t="s">
        <v>2041</v>
      </c>
      <c r="C88" s="1961" t="s">
        <v>2130</v>
      </c>
      <c r="D88" s="1961" t="s">
        <v>2131</v>
      </c>
      <c r="E88" s="1961" t="s">
        <v>913</v>
      </c>
      <c r="F88" s="1962">
        <v>755.17220999999995</v>
      </c>
      <c r="G88" s="1962">
        <v>211.25028051868154</v>
      </c>
      <c r="H88" s="1962">
        <v>56.373062236206628</v>
      </c>
      <c r="I88" s="1962">
        <v>40.275211630400058</v>
      </c>
      <c r="R88" s="2081">
        <f t="shared" si="2"/>
        <v>307.89855438528821</v>
      </c>
      <c r="T88" s="2082" t="s">
        <v>109</v>
      </c>
      <c r="U88" s="2083">
        <f t="shared" si="3"/>
        <v>0</v>
      </c>
      <c r="V88" s="2083">
        <f t="shared" si="3"/>
        <v>0</v>
      </c>
      <c r="W88" s="2083">
        <f t="shared" si="3"/>
        <v>307.89855438528821</v>
      </c>
    </row>
    <row r="89" spans="1:32" ht="13.5" outlineLevel="2" x14ac:dyDescent="0.25">
      <c r="A89" s="1961" t="s">
        <v>2040</v>
      </c>
      <c r="B89" s="1961" t="s">
        <v>2041</v>
      </c>
      <c r="C89" s="1961" t="s">
        <v>2132</v>
      </c>
      <c r="D89" s="1961" t="s">
        <v>2133</v>
      </c>
      <c r="E89" s="1961" t="s">
        <v>1754</v>
      </c>
      <c r="F89" s="1962">
        <v>474.38267999999999</v>
      </c>
      <c r="G89" s="1962">
        <v>144.60432474852351</v>
      </c>
      <c r="H89" s="1962">
        <v>31.646010262796697</v>
      </c>
      <c r="I89" s="1962">
        <v>20.256932158840321</v>
      </c>
      <c r="R89" s="2081">
        <f t="shared" si="2"/>
        <v>196.50726717016053</v>
      </c>
      <c r="T89" s="2082" t="s">
        <v>392</v>
      </c>
      <c r="U89" s="2083">
        <f t="shared" si="3"/>
        <v>0</v>
      </c>
      <c r="V89" s="2083">
        <f t="shared" si="3"/>
        <v>0</v>
      </c>
      <c r="W89" s="2083">
        <f t="shared" si="3"/>
        <v>196.50726717016053</v>
      </c>
      <c r="Y89" s="1953" t="s">
        <v>5588</v>
      </c>
    </row>
    <row r="90" spans="1:32" ht="40.5" customHeight="1" outlineLevel="2" x14ac:dyDescent="0.2">
      <c r="A90" s="2085" t="s">
        <v>2040</v>
      </c>
      <c r="B90" s="2085" t="s">
        <v>2041</v>
      </c>
      <c r="C90" s="2085" t="s">
        <v>2134</v>
      </c>
      <c r="D90" s="2085" t="s">
        <v>2135</v>
      </c>
      <c r="E90" s="2085" t="s">
        <v>913</v>
      </c>
      <c r="F90" s="2084">
        <v>1442.65714</v>
      </c>
      <c r="G90" s="2084">
        <v>403.56586415869145</v>
      </c>
      <c r="H90" s="2084">
        <v>107.69331771190026</v>
      </c>
      <c r="I90" s="2084">
        <v>76.940492319768609</v>
      </c>
      <c r="J90" s="2086"/>
      <c r="K90" s="2086"/>
      <c r="L90" s="2086"/>
      <c r="M90" s="2086"/>
      <c r="N90" s="2086"/>
      <c r="O90" s="2086"/>
      <c r="P90" s="2086"/>
      <c r="Q90" s="2086"/>
      <c r="R90" s="2087">
        <f t="shared" si="2"/>
        <v>588.19967419036027</v>
      </c>
      <c r="S90" s="2086"/>
      <c r="T90" s="2088" t="s">
        <v>99</v>
      </c>
      <c r="U90" s="2093">
        <f t="shared" si="3"/>
        <v>258.92322836062061</v>
      </c>
      <c r="V90" s="2093">
        <f t="shared" si="3"/>
        <v>0</v>
      </c>
      <c r="W90" s="2121">
        <f t="shared" si="3"/>
        <v>329.2764458297396</v>
      </c>
      <c r="X90" s="2122" t="s">
        <v>5587</v>
      </c>
      <c r="Y90" s="3827" t="s">
        <v>5590</v>
      </c>
      <c r="Z90" s="3827"/>
      <c r="AA90" s="3827"/>
      <c r="AB90" s="3827"/>
      <c r="AC90" s="3827"/>
      <c r="AD90" s="3827"/>
      <c r="AE90" s="3827"/>
      <c r="AF90" s="3827"/>
    </row>
    <row r="91" spans="1:32" ht="13.5" outlineLevel="2" x14ac:dyDescent="0.25">
      <c r="A91" s="1961" t="s">
        <v>2040</v>
      </c>
      <c r="B91" s="1961" t="s">
        <v>2041</v>
      </c>
      <c r="C91" s="1961" t="s">
        <v>2136</v>
      </c>
      <c r="D91" s="1961" t="s">
        <v>2137</v>
      </c>
      <c r="E91" s="1961" t="s">
        <v>913</v>
      </c>
      <c r="F91" s="1962">
        <v>248.77365</v>
      </c>
      <c r="G91" s="1962">
        <v>69.591415907844777</v>
      </c>
      <c r="H91" s="1962">
        <v>18.570774014814827</v>
      </c>
      <c r="I91" s="1962">
        <v>13.267717308899746</v>
      </c>
      <c r="R91" s="2081">
        <f t="shared" si="2"/>
        <v>101.42990723155935</v>
      </c>
      <c r="T91" s="2082" t="s">
        <v>99</v>
      </c>
      <c r="U91" s="2083">
        <f t="shared" si="3"/>
        <v>44.649054028911621</v>
      </c>
      <c r="V91" s="2083">
        <f t="shared" si="3"/>
        <v>0</v>
      </c>
      <c r="W91" s="2120">
        <f t="shared" si="3"/>
        <v>56.78085320264772</v>
      </c>
      <c r="X91" s="2123" t="s">
        <v>5587</v>
      </c>
      <c r="Y91" s="2124" t="s">
        <v>5589</v>
      </c>
      <c r="Z91" s="2124"/>
      <c r="AA91" s="2124"/>
      <c r="AB91" s="2124"/>
      <c r="AC91" s="2126"/>
      <c r="AD91" s="2128"/>
      <c r="AE91" s="2128"/>
      <c r="AF91" s="2127"/>
    </row>
    <row r="92" spans="1:32" ht="13.5" outlineLevel="2" x14ac:dyDescent="0.25">
      <c r="A92" s="1961" t="s">
        <v>2040</v>
      </c>
      <c r="B92" s="1961" t="s">
        <v>2041</v>
      </c>
      <c r="C92" s="1961" t="s">
        <v>2138</v>
      </c>
      <c r="D92" s="1961" t="s">
        <v>2139</v>
      </c>
      <c r="E92" s="1961" t="s">
        <v>913</v>
      </c>
      <c r="F92" s="1962">
        <v>67.699299999999994</v>
      </c>
      <c r="G92" s="1962">
        <v>18.938059328107922</v>
      </c>
      <c r="H92" s="1962">
        <v>5.0537040448663006</v>
      </c>
      <c r="I92" s="1962">
        <v>3.6105719975182118</v>
      </c>
      <c r="R92" s="2081">
        <f t="shared" si="2"/>
        <v>27.602335370492433</v>
      </c>
      <c r="T92" s="2082" t="s">
        <v>99</v>
      </c>
      <c r="U92" s="2083">
        <f t="shared" si="3"/>
        <v>12.150441589852848</v>
      </c>
      <c r="V92" s="2083">
        <f t="shared" si="3"/>
        <v>0</v>
      </c>
      <c r="W92" s="2120">
        <f t="shared" si="3"/>
        <v>15.451893780639582</v>
      </c>
      <c r="X92" s="2123" t="s">
        <v>5587</v>
      </c>
      <c r="Y92" s="2124" t="s">
        <v>5591</v>
      </c>
      <c r="Z92" s="2124"/>
      <c r="AA92" s="2124"/>
      <c r="AB92" s="2124"/>
      <c r="AC92" s="2124"/>
      <c r="AD92" s="2126"/>
      <c r="AE92" s="2128"/>
      <c r="AF92" s="2127"/>
    </row>
    <row r="93" spans="1:32" ht="13.5" outlineLevel="2" x14ac:dyDescent="0.25">
      <c r="A93" s="1961" t="s">
        <v>2040</v>
      </c>
      <c r="B93" s="1961" t="s">
        <v>2041</v>
      </c>
      <c r="C93" s="1961" t="s">
        <v>2140</v>
      </c>
      <c r="D93" s="1961" t="s">
        <v>2141</v>
      </c>
      <c r="E93" s="1961" t="s">
        <v>913</v>
      </c>
      <c r="F93" s="1962">
        <v>26.47137</v>
      </c>
      <c r="G93" s="1962">
        <v>7.4050451859368751</v>
      </c>
      <c r="H93" s="1962">
        <v>1.976068728068864</v>
      </c>
      <c r="I93" s="1962">
        <v>1.4117839808970503</v>
      </c>
      <c r="R93" s="2081">
        <f t="shared" si="2"/>
        <v>10.79289789490279</v>
      </c>
      <c r="T93" s="2082" t="s">
        <v>393</v>
      </c>
      <c r="U93" s="2083">
        <f t="shared" si="3"/>
        <v>0</v>
      </c>
      <c r="V93" s="2083">
        <f t="shared" si="3"/>
        <v>0</v>
      </c>
      <c r="W93" s="2120">
        <f t="shared" si="3"/>
        <v>10.79289789490279</v>
      </c>
      <c r="X93" s="2123" t="s">
        <v>5587</v>
      </c>
      <c r="Y93" s="2124" t="s">
        <v>5592</v>
      </c>
      <c r="Z93" s="2124"/>
      <c r="AA93" s="2124"/>
      <c r="AB93" s="2124"/>
      <c r="AC93" s="2124"/>
      <c r="AD93" s="2126"/>
      <c r="AE93" s="2128"/>
      <c r="AF93" s="2127"/>
    </row>
    <row r="94" spans="1:32" ht="25.5" customHeight="1" outlineLevel="2" x14ac:dyDescent="0.2">
      <c r="A94" s="2089" t="s">
        <v>2040</v>
      </c>
      <c r="B94" s="2089" t="s">
        <v>2041</v>
      </c>
      <c r="C94" s="2089" t="s">
        <v>2142</v>
      </c>
      <c r="D94" s="2089" t="s">
        <v>2143</v>
      </c>
      <c r="E94" s="2089" t="s">
        <v>913</v>
      </c>
      <c r="F94" s="1962">
        <v>47.482320000000001</v>
      </c>
      <c r="G94" s="1962">
        <v>13.282604003234974</v>
      </c>
      <c r="H94" s="1962">
        <v>3.5445210311426565</v>
      </c>
      <c r="I94" s="1962">
        <v>2.5323501863268745</v>
      </c>
      <c r="J94" s="2090"/>
      <c r="K94" s="2090"/>
      <c r="L94" s="2090"/>
      <c r="M94" s="2090"/>
      <c r="N94" s="2090"/>
      <c r="O94" s="2090"/>
      <c r="P94" s="2090"/>
      <c r="Q94" s="2090"/>
      <c r="R94" s="2091">
        <f t="shared" si="2"/>
        <v>19.359475220704503</v>
      </c>
      <c r="S94" s="2090"/>
      <c r="T94" s="2092" t="s">
        <v>99</v>
      </c>
      <c r="U94" s="2093">
        <f t="shared" si="3"/>
        <v>8.5219663380670365</v>
      </c>
      <c r="V94" s="2093">
        <f t="shared" si="3"/>
        <v>0</v>
      </c>
      <c r="W94" s="2121">
        <f t="shared" si="3"/>
        <v>10.837508882637465</v>
      </c>
      <c r="X94" s="2125" t="s">
        <v>5587</v>
      </c>
      <c r="Y94" s="3827" t="s">
        <v>5593</v>
      </c>
      <c r="Z94" s="3827"/>
      <c r="AA94" s="3827"/>
      <c r="AB94" s="3827"/>
      <c r="AC94" s="3827"/>
      <c r="AD94" s="3827"/>
      <c r="AE94" s="3827"/>
      <c r="AF94" s="3827"/>
    </row>
    <row r="95" spans="1:32" ht="13.5" outlineLevel="2" x14ac:dyDescent="0.25">
      <c r="A95" s="1961" t="s">
        <v>2040</v>
      </c>
      <c r="B95" s="1961" t="s">
        <v>2041</v>
      </c>
      <c r="C95" s="1961" t="s">
        <v>2144</v>
      </c>
      <c r="D95" s="1961" t="s">
        <v>2145</v>
      </c>
      <c r="E95" s="1961" t="s">
        <v>918</v>
      </c>
      <c r="F95" s="1962">
        <v>2.0000000000000002E-5</v>
      </c>
      <c r="G95" s="1962">
        <v>0</v>
      </c>
      <c r="H95" s="1962">
        <v>0</v>
      </c>
      <c r="I95" s="1962">
        <v>0</v>
      </c>
      <c r="R95" s="2081">
        <f t="shared" si="2"/>
        <v>0</v>
      </c>
      <c r="T95" s="2082" t="s">
        <v>394</v>
      </c>
      <c r="U95" s="2083">
        <f t="shared" si="3"/>
        <v>0</v>
      </c>
      <c r="V95" s="2083">
        <f t="shared" si="3"/>
        <v>0</v>
      </c>
      <c r="W95" s="2083">
        <f t="shared" si="3"/>
        <v>0</v>
      </c>
    </row>
    <row r="96" spans="1:32" ht="13.5" outlineLevel="2" x14ac:dyDescent="0.25">
      <c r="A96" s="1961" t="s">
        <v>2040</v>
      </c>
      <c r="B96" s="1961" t="s">
        <v>2041</v>
      </c>
      <c r="C96" s="1961" t="s">
        <v>2144</v>
      </c>
      <c r="D96" s="1961" t="s">
        <v>2145</v>
      </c>
      <c r="E96" s="1961" t="s">
        <v>912</v>
      </c>
      <c r="F96" s="1962">
        <v>2.3866499999999999</v>
      </c>
      <c r="G96" s="1962">
        <v>2.3866499999999999</v>
      </c>
      <c r="H96" s="1962">
        <v>0</v>
      </c>
      <c r="I96" s="1962">
        <v>0</v>
      </c>
      <c r="R96" s="2081">
        <f t="shared" si="2"/>
        <v>2.3866499999999999</v>
      </c>
      <c r="T96" s="2082" t="s">
        <v>394</v>
      </c>
      <c r="U96" s="2083">
        <f t="shared" si="3"/>
        <v>2.3866499999999999</v>
      </c>
      <c r="V96" s="2083">
        <f t="shared" si="3"/>
        <v>0</v>
      </c>
      <c r="W96" s="2083">
        <f t="shared" si="3"/>
        <v>0</v>
      </c>
    </row>
    <row r="97" spans="1:23" ht="13.5" outlineLevel="2" x14ac:dyDescent="0.25">
      <c r="A97" s="1961" t="s">
        <v>2040</v>
      </c>
      <c r="B97" s="1961" t="s">
        <v>2041</v>
      </c>
      <c r="C97" s="1961" t="s">
        <v>2144</v>
      </c>
      <c r="D97" s="1961" t="s">
        <v>2145</v>
      </c>
      <c r="E97" s="1961" t="s">
        <v>906</v>
      </c>
      <c r="F97" s="1962">
        <v>1.8211599999999999</v>
      </c>
      <c r="G97" s="1962">
        <v>0.47053680112312379</v>
      </c>
      <c r="H97" s="1962">
        <v>0.13005104262029485</v>
      </c>
      <c r="I97" s="1962">
        <v>0.10747091385034263</v>
      </c>
      <c r="R97" s="2081">
        <f t="shared" si="2"/>
        <v>0.70805875759376136</v>
      </c>
      <c r="T97" s="2082" t="s">
        <v>394</v>
      </c>
      <c r="U97" s="2083">
        <f t="shared" si="3"/>
        <v>0.70805875759376136</v>
      </c>
      <c r="V97" s="2083">
        <f t="shared" si="3"/>
        <v>0</v>
      </c>
      <c r="W97" s="2083">
        <f t="shared" si="3"/>
        <v>0</v>
      </c>
    </row>
    <row r="98" spans="1:23" ht="13.5" outlineLevel="2" x14ac:dyDescent="0.25">
      <c r="A98" s="1961" t="s">
        <v>2040</v>
      </c>
      <c r="B98" s="1961" t="s">
        <v>2041</v>
      </c>
      <c r="C98" s="1961" t="s">
        <v>2144</v>
      </c>
      <c r="D98" s="1961" t="s">
        <v>2145</v>
      </c>
      <c r="E98" s="1961" t="s">
        <v>1083</v>
      </c>
      <c r="F98" s="1962">
        <v>6982.7952999999998</v>
      </c>
      <c r="G98" s="1962">
        <v>1891.9110433821745</v>
      </c>
      <c r="H98" s="1962">
        <v>531.94298437595603</v>
      </c>
      <c r="I98" s="1962">
        <v>378.02312964292588</v>
      </c>
      <c r="R98" s="2081">
        <f t="shared" si="2"/>
        <v>2801.8771574010566</v>
      </c>
      <c r="T98" s="2082" t="s">
        <v>394</v>
      </c>
      <c r="U98" s="2083">
        <f t="shared" si="3"/>
        <v>2801.8771574010566</v>
      </c>
      <c r="V98" s="2083">
        <f t="shared" si="3"/>
        <v>0</v>
      </c>
      <c r="W98" s="2083">
        <f t="shared" si="3"/>
        <v>0</v>
      </c>
    </row>
    <row r="99" spans="1:23" ht="13.5" outlineLevel="2" x14ac:dyDescent="0.25">
      <c r="A99" s="1961" t="s">
        <v>2040</v>
      </c>
      <c r="B99" s="1961" t="s">
        <v>2041</v>
      </c>
      <c r="C99" s="1961" t="s">
        <v>2144</v>
      </c>
      <c r="D99" s="1961" t="s">
        <v>2145</v>
      </c>
      <c r="E99" s="1961" t="s">
        <v>913</v>
      </c>
      <c r="F99" s="1962">
        <v>441.83721000000003</v>
      </c>
      <c r="G99" s="1962">
        <v>123.59860879426643</v>
      </c>
      <c r="H99" s="1962">
        <v>32.9828298867114</v>
      </c>
      <c r="I99" s="1962">
        <v>23.564276999726349</v>
      </c>
      <c r="R99" s="2081">
        <f t="shared" si="2"/>
        <v>180.1457156807042</v>
      </c>
      <c r="T99" s="2082" t="s">
        <v>394</v>
      </c>
      <c r="U99" s="2083">
        <f t="shared" si="3"/>
        <v>180.1457156807042</v>
      </c>
      <c r="V99" s="2083">
        <f t="shared" si="3"/>
        <v>0</v>
      </c>
      <c r="W99" s="2083">
        <f t="shared" si="3"/>
        <v>0</v>
      </c>
    </row>
    <row r="100" spans="1:23" ht="13.5" outlineLevel="2" x14ac:dyDescent="0.25">
      <c r="A100" s="1961" t="s">
        <v>2040</v>
      </c>
      <c r="B100" s="1961" t="s">
        <v>2041</v>
      </c>
      <c r="C100" s="1961" t="s">
        <v>2144</v>
      </c>
      <c r="D100" s="1961" t="s">
        <v>2145</v>
      </c>
      <c r="E100" s="1961" t="s">
        <v>920</v>
      </c>
      <c r="F100" s="1962">
        <v>1.0608599999999999</v>
      </c>
      <c r="G100" s="1962">
        <v>0</v>
      </c>
      <c r="H100" s="1962">
        <v>0</v>
      </c>
      <c r="I100" s="1962">
        <v>0</v>
      </c>
      <c r="R100" s="2081">
        <f t="shared" si="2"/>
        <v>0</v>
      </c>
      <c r="T100" s="2082" t="s">
        <v>394</v>
      </c>
      <c r="U100" s="2083">
        <f t="shared" si="3"/>
        <v>0</v>
      </c>
      <c r="V100" s="2083">
        <f t="shared" si="3"/>
        <v>0</v>
      </c>
      <c r="W100" s="2083">
        <f t="shared" si="3"/>
        <v>0</v>
      </c>
    </row>
    <row r="101" spans="1:23" ht="13.5" outlineLevel="2" x14ac:dyDescent="0.25">
      <c r="A101" s="1961" t="s">
        <v>2040</v>
      </c>
      <c r="B101" s="1961" t="s">
        <v>2041</v>
      </c>
      <c r="C101" s="1961" t="s">
        <v>2144</v>
      </c>
      <c r="D101" s="1961" t="s">
        <v>2145</v>
      </c>
      <c r="E101" s="1961" t="s">
        <v>921</v>
      </c>
      <c r="F101" s="1962">
        <v>0.12467</v>
      </c>
      <c r="G101" s="1962">
        <v>0</v>
      </c>
      <c r="H101" s="1962">
        <v>0.12467</v>
      </c>
      <c r="I101" s="1962">
        <v>0</v>
      </c>
      <c r="R101" s="2081">
        <f t="shared" si="2"/>
        <v>0.12467</v>
      </c>
      <c r="T101" s="2082" t="s">
        <v>394</v>
      </c>
      <c r="U101" s="2083">
        <f t="shared" si="3"/>
        <v>0.12467</v>
      </c>
      <c r="V101" s="2083">
        <f t="shared" si="3"/>
        <v>0</v>
      </c>
      <c r="W101" s="2083">
        <f t="shared" si="3"/>
        <v>0</v>
      </c>
    </row>
    <row r="102" spans="1:23" ht="13.5" outlineLevel="2" x14ac:dyDescent="0.25">
      <c r="A102" s="1961" t="s">
        <v>2040</v>
      </c>
      <c r="B102" s="1961" t="s">
        <v>2041</v>
      </c>
      <c r="C102" s="1961" t="s">
        <v>2144</v>
      </c>
      <c r="D102" s="1961" t="s">
        <v>2145</v>
      </c>
      <c r="E102" s="1961" t="s">
        <v>922</v>
      </c>
      <c r="F102" s="1962">
        <v>20.66732</v>
      </c>
      <c r="G102" s="1962">
        <v>0</v>
      </c>
      <c r="H102" s="1962">
        <v>0</v>
      </c>
      <c r="I102" s="1962">
        <v>0</v>
      </c>
      <c r="R102" s="2081">
        <f t="shared" si="2"/>
        <v>0</v>
      </c>
      <c r="T102" s="2082" t="s">
        <v>394</v>
      </c>
      <c r="U102" s="2083">
        <f t="shared" si="3"/>
        <v>0</v>
      </c>
      <c r="V102" s="2083">
        <f t="shared" si="3"/>
        <v>0</v>
      </c>
      <c r="W102" s="2083">
        <f t="shared" si="3"/>
        <v>0</v>
      </c>
    </row>
    <row r="103" spans="1:23" ht="13.5" outlineLevel="2" x14ac:dyDescent="0.25">
      <c r="A103" s="1961" t="s">
        <v>2040</v>
      </c>
      <c r="B103" s="1961" t="s">
        <v>2041</v>
      </c>
      <c r="C103" s="1961" t="s">
        <v>2146</v>
      </c>
      <c r="D103" s="1961" t="s">
        <v>2147</v>
      </c>
      <c r="E103" s="1961" t="s">
        <v>1083</v>
      </c>
      <c r="F103" s="1962">
        <v>134.11199999999999</v>
      </c>
      <c r="G103" s="1962">
        <v>36.336160942605638</v>
      </c>
      <c r="H103" s="1962">
        <v>10.216529979137183</v>
      </c>
      <c r="I103" s="1962">
        <v>7.260335694313147</v>
      </c>
      <c r="R103" s="2081">
        <f t="shared" si="2"/>
        <v>53.813026616055971</v>
      </c>
      <c r="T103" s="2082" t="s">
        <v>394</v>
      </c>
      <c r="U103" s="2083">
        <f t="shared" si="3"/>
        <v>53.813026616055971</v>
      </c>
      <c r="V103" s="2083">
        <f t="shared" si="3"/>
        <v>0</v>
      </c>
      <c r="W103" s="2083">
        <f t="shared" si="3"/>
        <v>0</v>
      </c>
    </row>
    <row r="104" spans="1:23" ht="13.5" outlineLevel="2" x14ac:dyDescent="0.25">
      <c r="A104" s="1961" t="s">
        <v>2040</v>
      </c>
      <c r="B104" s="1961" t="s">
        <v>2041</v>
      </c>
      <c r="C104" s="1961" t="s">
        <v>2146</v>
      </c>
      <c r="D104" s="1961" t="s">
        <v>2147</v>
      </c>
      <c r="E104" s="1961" t="s">
        <v>1567</v>
      </c>
      <c r="F104" s="1962">
        <v>14.73897</v>
      </c>
      <c r="G104" s="1962">
        <v>3.9933606690544932</v>
      </c>
      <c r="H104" s="1962">
        <v>1.122801306867421</v>
      </c>
      <c r="I104" s="1962">
        <v>0.79791420595032991</v>
      </c>
      <c r="R104" s="2081">
        <f t="shared" si="2"/>
        <v>5.914076181872244</v>
      </c>
      <c r="T104" s="2082" t="s">
        <v>394</v>
      </c>
      <c r="U104" s="2083">
        <f t="shared" si="3"/>
        <v>5.914076181872244</v>
      </c>
      <c r="V104" s="2083">
        <f t="shared" si="3"/>
        <v>0</v>
      </c>
      <c r="W104" s="2083">
        <f t="shared" si="3"/>
        <v>0</v>
      </c>
    </row>
    <row r="105" spans="1:23" ht="13.5" outlineLevel="2" x14ac:dyDescent="0.25">
      <c r="A105" s="1961" t="s">
        <v>2040</v>
      </c>
      <c r="B105" s="1961" t="s">
        <v>2041</v>
      </c>
      <c r="C105" s="1961" t="s">
        <v>2148</v>
      </c>
      <c r="D105" s="1961" t="s">
        <v>2149</v>
      </c>
      <c r="E105" s="1961" t="s">
        <v>913</v>
      </c>
      <c r="F105" s="1962">
        <v>69.0989</v>
      </c>
      <c r="G105" s="1962">
        <v>19.329580478778905</v>
      </c>
      <c r="H105" s="1962">
        <v>5.1581831780507628</v>
      </c>
      <c r="I105" s="1962">
        <v>3.6852161455038854</v>
      </c>
      <c r="R105" s="2081">
        <f t="shared" si="2"/>
        <v>28.172979802333554</v>
      </c>
      <c r="T105" s="2082" t="s">
        <v>393</v>
      </c>
      <c r="U105" s="2083">
        <f t="shared" si="3"/>
        <v>0</v>
      </c>
      <c r="V105" s="2083">
        <f t="shared" si="3"/>
        <v>0</v>
      </c>
      <c r="W105" s="2083">
        <f t="shared" si="3"/>
        <v>28.172979802333554</v>
      </c>
    </row>
    <row r="106" spans="1:23" ht="12.75" outlineLevel="2" x14ac:dyDescent="0.2">
      <c r="A106" s="1961" t="s">
        <v>2040</v>
      </c>
      <c r="B106" s="1961" t="s">
        <v>2041</v>
      </c>
      <c r="C106" s="1961" t="s">
        <v>2150</v>
      </c>
      <c r="D106" s="1961" t="s">
        <v>2151</v>
      </c>
      <c r="E106" s="1961" t="s">
        <v>1567</v>
      </c>
      <c r="F106" s="1962">
        <v>313.87788</v>
      </c>
      <c r="G106" s="1962">
        <v>85.041734997642706</v>
      </c>
      <c r="H106" s="1962">
        <v>23.924930944345199</v>
      </c>
      <c r="I106" s="1962">
        <v>16.992206333656487</v>
      </c>
    </row>
    <row r="107" spans="1:23" ht="12.75" outlineLevel="2" x14ac:dyDescent="0.2">
      <c r="A107" s="1961" t="s">
        <v>2040</v>
      </c>
      <c r="B107" s="1961" t="s">
        <v>2041</v>
      </c>
      <c r="C107" s="1961" t="s">
        <v>2152</v>
      </c>
      <c r="D107" s="1961" t="s">
        <v>2153</v>
      </c>
      <c r="E107" s="1961" t="s">
        <v>912</v>
      </c>
      <c r="F107" s="1962">
        <v>75.824449999999999</v>
      </c>
      <c r="G107" s="1962">
        <v>75.824449999999999</v>
      </c>
      <c r="H107" s="1962">
        <v>0</v>
      </c>
      <c r="I107" s="1962">
        <v>0</v>
      </c>
    </row>
    <row r="108" spans="1:23" ht="12.75" outlineLevel="2" x14ac:dyDescent="0.2">
      <c r="A108" s="1961" t="s">
        <v>2040</v>
      </c>
      <c r="B108" s="1961" t="s">
        <v>2041</v>
      </c>
      <c r="C108" s="1961" t="s">
        <v>2154</v>
      </c>
      <c r="D108" s="1961" t="s">
        <v>2155</v>
      </c>
      <c r="E108" s="1961" t="s">
        <v>918</v>
      </c>
      <c r="F108" s="1962">
        <v>1.28891</v>
      </c>
      <c r="G108" s="1962">
        <v>0</v>
      </c>
      <c r="H108" s="1962">
        <v>0</v>
      </c>
      <c r="I108" s="1962">
        <v>0</v>
      </c>
    </row>
    <row r="109" spans="1:23" ht="12.75" outlineLevel="2" x14ac:dyDescent="0.2">
      <c r="A109" s="1961" t="s">
        <v>2040</v>
      </c>
      <c r="B109" s="1961" t="s">
        <v>2041</v>
      </c>
      <c r="C109" s="1961" t="s">
        <v>2154</v>
      </c>
      <c r="D109" s="1961" t="s">
        <v>2155</v>
      </c>
      <c r="E109" s="1961" t="s">
        <v>912</v>
      </c>
      <c r="F109" s="1962">
        <v>148.80816999999999</v>
      </c>
      <c r="G109" s="1962">
        <v>148.80816999999999</v>
      </c>
      <c r="H109" s="1962">
        <v>0</v>
      </c>
      <c r="I109" s="1962">
        <v>0</v>
      </c>
    </row>
    <row r="110" spans="1:23" ht="12.75" outlineLevel="2" x14ac:dyDescent="0.2">
      <c r="A110" s="1961" t="s">
        <v>2040</v>
      </c>
      <c r="B110" s="1961" t="s">
        <v>2041</v>
      </c>
      <c r="C110" s="1961" t="s">
        <v>2154</v>
      </c>
      <c r="D110" s="1961" t="s">
        <v>2155</v>
      </c>
      <c r="E110" s="1961" t="s">
        <v>913</v>
      </c>
      <c r="F110" s="1962">
        <v>244.61538999999999</v>
      </c>
      <c r="G110" s="1962">
        <v>68.428193029887424</v>
      </c>
      <c r="H110" s="1962">
        <v>18.260362897098606</v>
      </c>
      <c r="I110" s="1962">
        <v>13.045946963941969</v>
      </c>
    </row>
    <row r="111" spans="1:23" ht="12.75" outlineLevel="2" x14ac:dyDescent="0.2">
      <c r="A111" s="1961" t="s">
        <v>2040</v>
      </c>
      <c r="B111" s="1961" t="s">
        <v>2041</v>
      </c>
      <c r="C111" s="1961" t="s">
        <v>2154</v>
      </c>
      <c r="D111" s="1961" t="s">
        <v>2155</v>
      </c>
      <c r="E111" s="1961" t="s">
        <v>921</v>
      </c>
      <c r="F111" s="1962">
        <v>103.06829</v>
      </c>
      <c r="G111" s="1962">
        <v>0</v>
      </c>
      <c r="H111" s="1962">
        <v>103.06829</v>
      </c>
      <c r="I111" s="1962">
        <v>0</v>
      </c>
    </row>
    <row r="112" spans="1:23" ht="12.75" outlineLevel="2" x14ac:dyDescent="0.2">
      <c r="A112" s="1961" t="s">
        <v>2040</v>
      </c>
      <c r="B112" s="1961" t="s">
        <v>2041</v>
      </c>
      <c r="C112" s="1961" t="s">
        <v>2154</v>
      </c>
      <c r="D112" s="1961" t="s">
        <v>2155</v>
      </c>
      <c r="E112" s="1961" t="s">
        <v>922</v>
      </c>
      <c r="F112" s="1962">
        <v>176.24936</v>
      </c>
      <c r="G112" s="1962">
        <v>0</v>
      </c>
      <c r="H112" s="1962">
        <v>0</v>
      </c>
      <c r="I112" s="1962">
        <v>0</v>
      </c>
    </row>
    <row r="113" spans="1:9" ht="13.5" outlineLevel="1" thickBot="1" x14ac:dyDescent="0.25">
      <c r="A113" s="1964" t="s">
        <v>2156</v>
      </c>
      <c r="B113" s="1964"/>
      <c r="C113" s="1964"/>
      <c r="D113" s="1964"/>
      <c r="E113" s="1964"/>
      <c r="F113" s="1965">
        <f t="shared" ref="F113:I113" si="4">SUBTOTAL(9,F37:F112)</f>
        <v>63152.170889999994</v>
      </c>
      <c r="G113" s="1965">
        <f t="shared" si="4"/>
        <v>17960.654762405175</v>
      </c>
      <c r="H113" s="1965">
        <f t="shared" si="4"/>
        <v>4664.8283276491829</v>
      </c>
      <c r="I113" s="1965">
        <f t="shared" si="4"/>
        <v>3179.5971392744714</v>
      </c>
    </row>
    <row r="114" spans="1:9" ht="12.75" hidden="1" outlineLevel="2" x14ac:dyDescent="0.2">
      <c r="A114" s="1967" t="s">
        <v>2157</v>
      </c>
      <c r="B114" s="1967" t="s">
        <v>2158</v>
      </c>
      <c r="C114" s="1967" t="s">
        <v>2159</v>
      </c>
      <c r="D114" s="1967" t="s">
        <v>2160</v>
      </c>
      <c r="E114" s="1967" t="s">
        <v>913</v>
      </c>
      <c r="F114" s="1968">
        <v>-10.098610000000001</v>
      </c>
      <c r="G114" s="1962">
        <v>-2.8249638520844971</v>
      </c>
      <c r="H114" s="1962">
        <v>-0.75385397196909387</v>
      </c>
      <c r="I114" s="1962">
        <v>-0.53858398062989421</v>
      </c>
    </row>
    <row r="115" spans="1:9" ht="12.75" hidden="1" outlineLevel="2" x14ac:dyDescent="0.2">
      <c r="A115" s="1961" t="s">
        <v>2157</v>
      </c>
      <c r="B115" s="1961" t="s">
        <v>2158</v>
      </c>
      <c r="C115" s="1961" t="s">
        <v>2161</v>
      </c>
      <c r="D115" s="1961" t="s">
        <v>2162</v>
      </c>
      <c r="E115" s="1961" t="s">
        <v>1083</v>
      </c>
      <c r="F115" s="1962">
        <v>-48.596939999999996</v>
      </c>
      <c r="G115" s="1962">
        <v>-13.166802621377277</v>
      </c>
      <c r="H115" s="1962">
        <v>-3.7020706156371608</v>
      </c>
      <c r="I115" s="1962">
        <v>-2.6308615046855937</v>
      </c>
    </row>
    <row r="116" spans="1:9" ht="12.75" hidden="1" outlineLevel="2" x14ac:dyDescent="0.2">
      <c r="A116" s="1961" t="s">
        <v>2157</v>
      </c>
      <c r="B116" s="1961" t="s">
        <v>2158</v>
      </c>
      <c r="C116" s="1961" t="s">
        <v>2163</v>
      </c>
      <c r="D116" s="1961" t="s">
        <v>2164</v>
      </c>
      <c r="E116" s="1961" t="s">
        <v>1083</v>
      </c>
      <c r="F116" s="1962">
        <v>-443.68716000000001</v>
      </c>
      <c r="G116" s="1962">
        <v>-120.21212161423003</v>
      </c>
      <c r="H116" s="1962">
        <v>-33.799683633815292</v>
      </c>
      <c r="I116" s="1962">
        <v>-24.019608423231542</v>
      </c>
    </row>
    <row r="117" spans="1:9" ht="13.5" outlineLevel="1" collapsed="1" thickBot="1" x14ac:dyDescent="0.25">
      <c r="A117" s="1964" t="s">
        <v>2165</v>
      </c>
      <c r="B117" s="1964"/>
      <c r="C117" s="1964"/>
      <c r="D117" s="1964"/>
      <c r="E117" s="1964"/>
      <c r="F117" s="1965">
        <f t="shared" ref="F117:I117" si="5">SUBTOTAL(9,F114:F116)</f>
        <v>-502.38270999999997</v>
      </c>
      <c r="G117" s="1965">
        <f t="shared" si="5"/>
        <v>-136.20388808769181</v>
      </c>
      <c r="H117" s="1965">
        <f t="shared" si="5"/>
        <v>-38.255608221421546</v>
      </c>
      <c r="I117" s="1965">
        <f t="shared" si="5"/>
        <v>-27.189053908547031</v>
      </c>
    </row>
    <row r="118" spans="1:9" ht="12.75" hidden="1" outlineLevel="2" x14ac:dyDescent="0.2">
      <c r="A118" s="1967" t="s">
        <v>2166</v>
      </c>
      <c r="B118" s="1967" t="s">
        <v>2167</v>
      </c>
      <c r="C118" s="1967" t="s">
        <v>2168</v>
      </c>
      <c r="D118" s="1967" t="s">
        <v>2169</v>
      </c>
      <c r="E118" s="1967" t="s">
        <v>1083</v>
      </c>
      <c r="F118" s="1968">
        <v>75.351339999999993</v>
      </c>
      <c r="G118" s="1962">
        <v>20.415610963083076</v>
      </c>
      <c r="H118" s="1962">
        <v>5.740196433415047</v>
      </c>
      <c r="I118" s="1962">
        <v>4.0792473709759456</v>
      </c>
    </row>
    <row r="119" spans="1:9" ht="12.75" hidden="1" outlineLevel="2" x14ac:dyDescent="0.2">
      <c r="A119" s="1961" t="s">
        <v>2166</v>
      </c>
      <c r="B119" s="1961" t="s">
        <v>2167</v>
      </c>
      <c r="C119" s="1961" t="s">
        <v>2168</v>
      </c>
      <c r="D119" s="1961" t="s">
        <v>2169</v>
      </c>
      <c r="E119" s="1961" t="s">
        <v>920</v>
      </c>
      <c r="F119" s="1962">
        <v>301.63547999999997</v>
      </c>
      <c r="G119" s="1962">
        <v>0</v>
      </c>
      <c r="H119" s="1962">
        <v>0</v>
      </c>
      <c r="I119" s="1962">
        <v>0</v>
      </c>
    </row>
    <row r="120" spans="1:9" ht="13.5" outlineLevel="1" collapsed="1" thickBot="1" x14ac:dyDescent="0.25">
      <c r="A120" s="1964" t="s">
        <v>2170</v>
      </c>
      <c r="B120" s="1964"/>
      <c r="C120" s="1964"/>
      <c r="D120" s="1964"/>
      <c r="E120" s="1964"/>
      <c r="F120" s="1965">
        <f t="shared" ref="F120:I120" si="6">SUBTOTAL(9,F118:F119)</f>
        <v>376.98681999999997</v>
      </c>
      <c r="G120" s="1965">
        <f t="shared" si="6"/>
        <v>20.415610963083076</v>
      </c>
      <c r="H120" s="1965">
        <f t="shared" si="6"/>
        <v>5.740196433415047</v>
      </c>
      <c r="I120" s="1965">
        <f t="shared" si="6"/>
        <v>4.0792473709759456</v>
      </c>
    </row>
    <row r="121" spans="1:9" ht="12.75" hidden="1" outlineLevel="2" x14ac:dyDescent="0.2">
      <c r="A121" s="1967" t="s">
        <v>2171</v>
      </c>
      <c r="B121" s="1967" t="s">
        <v>2172</v>
      </c>
      <c r="C121" s="1967" t="s">
        <v>2173</v>
      </c>
      <c r="D121" s="1967" t="s">
        <v>2174</v>
      </c>
      <c r="E121" s="1967" t="s">
        <v>1083</v>
      </c>
      <c r="F121" s="1968">
        <v>1250.66164</v>
      </c>
      <c r="G121" s="1962">
        <v>338.85291872303083</v>
      </c>
      <c r="H121" s="1962">
        <v>95.274264337396176</v>
      </c>
      <c r="I121" s="1962">
        <v>67.706270478407745</v>
      </c>
    </row>
    <row r="122" spans="1:9" ht="12.75" hidden="1" outlineLevel="2" x14ac:dyDescent="0.2">
      <c r="A122" s="1961" t="s">
        <v>2171</v>
      </c>
      <c r="B122" s="1961" t="s">
        <v>2172</v>
      </c>
      <c r="C122" s="1961" t="s">
        <v>2175</v>
      </c>
      <c r="D122" s="1961" t="s">
        <v>2176</v>
      </c>
      <c r="E122" s="1961" t="s">
        <v>919</v>
      </c>
      <c r="F122" s="1962">
        <v>65.778120000000001</v>
      </c>
      <c r="G122" s="1962">
        <v>0</v>
      </c>
      <c r="H122" s="1962">
        <v>0</v>
      </c>
      <c r="I122" s="1962">
        <v>65.778120000000001</v>
      </c>
    </row>
    <row r="123" spans="1:9" ht="12.75" hidden="1" outlineLevel="2" x14ac:dyDescent="0.2">
      <c r="A123" s="1961" t="s">
        <v>2171</v>
      </c>
      <c r="B123" s="1961" t="s">
        <v>2172</v>
      </c>
      <c r="C123" s="1961" t="s">
        <v>2177</v>
      </c>
      <c r="D123" s="1961" t="s">
        <v>2178</v>
      </c>
      <c r="E123" s="1961" t="s">
        <v>912</v>
      </c>
      <c r="F123" s="1962">
        <v>179.48699999999999</v>
      </c>
      <c r="G123" s="1962">
        <v>179.48699999999999</v>
      </c>
      <c r="H123" s="1962">
        <v>0</v>
      </c>
      <c r="I123" s="1962">
        <v>0</v>
      </c>
    </row>
    <row r="124" spans="1:9" ht="12.75" hidden="1" outlineLevel="2" x14ac:dyDescent="0.2">
      <c r="A124" s="1961" t="s">
        <v>2171</v>
      </c>
      <c r="B124" s="1961" t="s">
        <v>2172</v>
      </c>
      <c r="C124" s="1961" t="s">
        <v>2179</v>
      </c>
      <c r="D124" s="1961" t="s">
        <v>2180</v>
      </c>
      <c r="E124" s="1961" t="s">
        <v>920</v>
      </c>
      <c r="F124" s="1962">
        <v>2663.8294900000001</v>
      </c>
      <c r="G124" s="1962">
        <v>0</v>
      </c>
      <c r="H124" s="1962">
        <v>0</v>
      </c>
      <c r="I124" s="1962">
        <v>0</v>
      </c>
    </row>
    <row r="125" spans="1:9" ht="12.75" hidden="1" outlineLevel="2" x14ac:dyDescent="0.2">
      <c r="A125" s="1961" t="s">
        <v>2171</v>
      </c>
      <c r="B125" s="1961" t="s">
        <v>2172</v>
      </c>
      <c r="C125" s="1961" t="s">
        <v>2181</v>
      </c>
      <c r="D125" s="1961" t="s">
        <v>2182</v>
      </c>
      <c r="E125" s="1961" t="s">
        <v>922</v>
      </c>
      <c r="F125" s="1962">
        <v>4974.0264500000003</v>
      </c>
      <c r="G125" s="1962">
        <v>0</v>
      </c>
      <c r="H125" s="1962">
        <v>0</v>
      </c>
      <c r="I125" s="1962">
        <v>0</v>
      </c>
    </row>
    <row r="126" spans="1:9" ht="12.75" hidden="1" outlineLevel="2" x14ac:dyDescent="0.2">
      <c r="A126" s="1961" t="s">
        <v>2171</v>
      </c>
      <c r="B126" s="1961" t="s">
        <v>2172</v>
      </c>
      <c r="C126" s="1961" t="s">
        <v>2183</v>
      </c>
      <c r="D126" s="1961" t="s">
        <v>2184</v>
      </c>
      <c r="E126" s="1961" t="s">
        <v>936</v>
      </c>
      <c r="F126" s="1962">
        <v>3964.50614</v>
      </c>
      <c r="G126" s="1962">
        <v>0</v>
      </c>
      <c r="H126" s="1962">
        <v>0</v>
      </c>
      <c r="I126" s="1962">
        <v>0</v>
      </c>
    </row>
    <row r="127" spans="1:9" ht="12.75" hidden="1" outlineLevel="2" x14ac:dyDescent="0.2">
      <c r="A127" s="1961" t="s">
        <v>2171</v>
      </c>
      <c r="B127" s="1961" t="s">
        <v>2172</v>
      </c>
      <c r="C127" s="1961" t="s">
        <v>2185</v>
      </c>
      <c r="D127" s="1961" t="s">
        <v>2186</v>
      </c>
      <c r="E127" s="1961" t="s">
        <v>936</v>
      </c>
      <c r="F127" s="1962">
        <v>124.29024</v>
      </c>
      <c r="G127" s="1962">
        <v>0</v>
      </c>
      <c r="H127" s="1962">
        <v>0</v>
      </c>
      <c r="I127" s="1962">
        <v>0</v>
      </c>
    </row>
    <row r="128" spans="1:9" ht="13.5" outlineLevel="1" collapsed="1" thickBot="1" x14ac:dyDescent="0.25">
      <c r="A128" s="1964" t="s">
        <v>2187</v>
      </c>
      <c r="B128" s="1964"/>
      <c r="C128" s="1964"/>
      <c r="D128" s="1964"/>
      <c r="E128" s="1964"/>
      <c r="F128" s="1965">
        <f t="shared" ref="F128:I128" si="7">SUBTOTAL(9,F121:F127)</f>
        <v>13222.57908</v>
      </c>
      <c r="G128" s="1965">
        <f t="shared" si="7"/>
        <v>518.33991872303079</v>
      </c>
      <c r="H128" s="1965">
        <f t="shared" si="7"/>
        <v>95.274264337396176</v>
      </c>
      <c r="I128" s="1965">
        <f t="shared" si="7"/>
        <v>133.48439047840776</v>
      </c>
    </row>
    <row r="129" spans="1:11" ht="12.75" outlineLevel="2" x14ac:dyDescent="0.2">
      <c r="A129" s="1967" t="s">
        <v>2188</v>
      </c>
      <c r="B129" s="1967" t="s">
        <v>2189</v>
      </c>
      <c r="C129" s="1967" t="s">
        <v>2190</v>
      </c>
      <c r="D129" s="1967" t="s">
        <v>2191</v>
      </c>
      <c r="E129" s="1967" t="s">
        <v>918</v>
      </c>
      <c r="F129" s="1968">
        <v>-8919.1264900000006</v>
      </c>
      <c r="G129" s="1962">
        <v>0</v>
      </c>
      <c r="H129" s="1962">
        <v>0</v>
      </c>
      <c r="I129" s="1962">
        <v>0</v>
      </c>
    </row>
    <row r="130" spans="1:11" ht="12.75" outlineLevel="2" x14ac:dyDescent="0.2">
      <c r="A130" s="1961" t="s">
        <v>2188</v>
      </c>
      <c r="B130" s="1961" t="s">
        <v>2189</v>
      </c>
      <c r="C130" s="1961" t="s">
        <v>2192</v>
      </c>
      <c r="D130" s="1961" t="s">
        <v>2193</v>
      </c>
      <c r="E130" s="1961" t="s">
        <v>936</v>
      </c>
      <c r="F130" s="1962">
        <v>-628.62630999999999</v>
      </c>
      <c r="G130" s="1962">
        <v>0</v>
      </c>
      <c r="H130" s="1962">
        <v>0</v>
      </c>
      <c r="I130" s="1962">
        <v>0</v>
      </c>
    </row>
    <row r="131" spans="1:11" ht="13.5" outlineLevel="1" thickBot="1" x14ac:dyDescent="0.25">
      <c r="A131" s="1964" t="s">
        <v>2194</v>
      </c>
      <c r="B131" s="1964"/>
      <c r="C131" s="1964"/>
      <c r="D131" s="1964"/>
      <c r="E131" s="1964"/>
      <c r="F131" s="1965">
        <f t="shared" ref="F131:I131" si="8">SUBTOTAL(9,F129:F130)</f>
        <v>-9547.7528000000002</v>
      </c>
      <c r="G131" s="1965">
        <f t="shared" si="8"/>
        <v>0</v>
      </c>
      <c r="H131" s="1965">
        <f t="shared" si="8"/>
        <v>0</v>
      </c>
      <c r="I131" s="1965">
        <f t="shared" si="8"/>
        <v>0</v>
      </c>
    </row>
    <row r="132" spans="1:11" ht="12.75" hidden="1" outlineLevel="2" x14ac:dyDescent="0.2">
      <c r="A132" s="1967" t="s">
        <v>2195</v>
      </c>
      <c r="B132" s="1967" t="s">
        <v>2196</v>
      </c>
      <c r="C132" s="1967" t="s">
        <v>2197</v>
      </c>
      <c r="D132" s="1967" t="s">
        <v>2198</v>
      </c>
      <c r="E132" s="1967" t="s">
        <v>919</v>
      </c>
      <c r="F132" s="1968">
        <v>7449.1074399999998</v>
      </c>
      <c r="G132" s="1962">
        <v>0</v>
      </c>
      <c r="H132" s="1962">
        <v>0</v>
      </c>
      <c r="I132" s="1962">
        <v>7449.1074399999998</v>
      </c>
    </row>
    <row r="133" spans="1:11" ht="12.75" hidden="1" outlineLevel="2" x14ac:dyDescent="0.2">
      <c r="A133" s="1961" t="s">
        <v>2195</v>
      </c>
      <c r="B133" s="1961" t="s">
        <v>2196</v>
      </c>
      <c r="C133" s="1961" t="s">
        <v>2197</v>
      </c>
      <c r="D133" s="1961" t="s">
        <v>2198</v>
      </c>
      <c r="E133" s="1961" t="s">
        <v>912</v>
      </c>
      <c r="F133" s="1962">
        <v>54544.374730000003</v>
      </c>
      <c r="G133" s="1962">
        <v>54544.374730000003</v>
      </c>
      <c r="H133" s="1962">
        <v>0</v>
      </c>
      <c r="I133" s="1962">
        <v>0</v>
      </c>
    </row>
    <row r="134" spans="1:11" ht="12.75" hidden="1" outlineLevel="2" x14ac:dyDescent="0.2">
      <c r="A134" s="1961" t="s">
        <v>2195</v>
      </c>
      <c r="B134" s="1961" t="s">
        <v>2196</v>
      </c>
      <c r="C134" s="1961" t="s">
        <v>2197</v>
      </c>
      <c r="D134" s="1961" t="s">
        <v>2198</v>
      </c>
      <c r="E134" s="1961" t="s">
        <v>921</v>
      </c>
      <c r="F134" s="1962">
        <v>15294.56479</v>
      </c>
      <c r="G134" s="1962">
        <v>0</v>
      </c>
      <c r="H134" s="1962">
        <v>15294.56479</v>
      </c>
      <c r="I134" s="1962">
        <v>0</v>
      </c>
    </row>
    <row r="135" spans="1:11" ht="12.75" hidden="1" outlineLevel="2" x14ac:dyDescent="0.2">
      <c r="A135" s="1961" t="s">
        <v>2195</v>
      </c>
      <c r="B135" s="1961" t="s">
        <v>2196</v>
      </c>
      <c r="C135" s="1961" t="s">
        <v>2199</v>
      </c>
      <c r="D135" s="1961" t="s">
        <v>2200</v>
      </c>
      <c r="E135" s="1961" t="s">
        <v>919</v>
      </c>
      <c r="F135" s="1962">
        <v>449.18914999999998</v>
      </c>
      <c r="G135" s="1962">
        <v>0</v>
      </c>
      <c r="H135" s="1962">
        <v>0</v>
      </c>
      <c r="I135" s="1962">
        <v>449.18914999999998</v>
      </c>
    </row>
    <row r="136" spans="1:11" ht="12.75" hidden="1" outlineLevel="2" x14ac:dyDescent="0.2">
      <c r="A136" s="1961" t="s">
        <v>2195</v>
      </c>
      <c r="B136" s="1961" t="s">
        <v>2196</v>
      </c>
      <c r="C136" s="1961" t="s">
        <v>2199</v>
      </c>
      <c r="D136" s="1961" t="s">
        <v>2200</v>
      </c>
      <c r="E136" s="1961" t="s">
        <v>912</v>
      </c>
      <c r="F136" s="1962">
        <v>1312.9191599999999</v>
      </c>
      <c r="G136" s="1962">
        <v>1312.9191599999999</v>
      </c>
      <c r="H136" s="1962">
        <v>0</v>
      </c>
      <c r="I136" s="1962">
        <v>0</v>
      </c>
    </row>
    <row r="137" spans="1:11" ht="12.75" hidden="1" outlineLevel="2" x14ac:dyDescent="0.2">
      <c r="A137" s="1961" t="s">
        <v>2195</v>
      </c>
      <c r="B137" s="1961" t="s">
        <v>2196</v>
      </c>
      <c r="C137" s="1961" t="s">
        <v>2199</v>
      </c>
      <c r="D137" s="1961" t="s">
        <v>2200</v>
      </c>
      <c r="E137" s="1961" t="s">
        <v>921</v>
      </c>
      <c r="F137" s="1962">
        <v>629.31768999999997</v>
      </c>
      <c r="G137" s="1962">
        <v>0</v>
      </c>
      <c r="H137" s="1962">
        <v>629.31768999999997</v>
      </c>
      <c r="I137" s="1962">
        <v>0</v>
      </c>
    </row>
    <row r="138" spans="1:11" ht="12.75" hidden="1" outlineLevel="2" x14ac:dyDescent="0.2">
      <c r="A138" s="1961" t="s">
        <v>2195</v>
      </c>
      <c r="B138" s="1961" t="s">
        <v>2196</v>
      </c>
      <c r="C138" s="1961" t="s">
        <v>2201</v>
      </c>
      <c r="D138" s="1961" t="s">
        <v>2202</v>
      </c>
      <c r="E138" s="1961" t="s">
        <v>919</v>
      </c>
      <c r="F138" s="1962">
        <v>31.785240000000002</v>
      </c>
      <c r="G138" s="1962">
        <v>0</v>
      </c>
      <c r="H138" s="1962">
        <v>0</v>
      </c>
      <c r="I138" s="1962">
        <v>31.785240000000002</v>
      </c>
    </row>
    <row r="139" spans="1:11" ht="12.75" hidden="1" outlineLevel="2" x14ac:dyDescent="0.2">
      <c r="A139" s="1961" t="s">
        <v>2195</v>
      </c>
      <c r="B139" s="1961" t="s">
        <v>2196</v>
      </c>
      <c r="C139" s="1961" t="s">
        <v>2201</v>
      </c>
      <c r="D139" s="1961" t="s">
        <v>2202</v>
      </c>
      <c r="E139" s="1961" t="s">
        <v>912</v>
      </c>
      <c r="F139" s="1962">
        <v>1.6146400000000001</v>
      </c>
      <c r="G139" s="1962">
        <v>1.6146400000000001</v>
      </c>
      <c r="H139" s="1962">
        <v>0</v>
      </c>
      <c r="I139" s="1962">
        <v>0</v>
      </c>
    </row>
    <row r="140" spans="1:11" ht="12.75" hidden="1" outlineLevel="2" x14ac:dyDescent="0.2">
      <c r="A140" s="1961" t="s">
        <v>2195</v>
      </c>
      <c r="B140" s="1961" t="s">
        <v>2196</v>
      </c>
      <c r="C140" s="1961" t="s">
        <v>2201</v>
      </c>
      <c r="D140" s="1961" t="s">
        <v>2202</v>
      </c>
      <c r="E140" s="1961" t="s">
        <v>921</v>
      </c>
      <c r="F140" s="1962">
        <v>16.825900000000001</v>
      </c>
      <c r="G140" s="1962">
        <v>0</v>
      </c>
      <c r="H140" s="1962">
        <v>16.825900000000001</v>
      </c>
      <c r="I140" s="1962">
        <v>0</v>
      </c>
    </row>
    <row r="141" spans="1:11" ht="12.75" hidden="1" outlineLevel="2" x14ac:dyDescent="0.2">
      <c r="A141" s="1961" t="s">
        <v>2195</v>
      </c>
      <c r="B141" s="1961" t="s">
        <v>2196</v>
      </c>
      <c r="C141" s="1961" t="s">
        <v>2203</v>
      </c>
      <c r="D141" s="1961" t="s">
        <v>2204</v>
      </c>
      <c r="E141" s="1961" t="s">
        <v>919</v>
      </c>
      <c r="F141" s="1962">
        <v>1924.3317199999999</v>
      </c>
      <c r="G141" s="1962">
        <v>0</v>
      </c>
      <c r="H141" s="1962">
        <v>0</v>
      </c>
      <c r="I141" s="1962">
        <v>1924.3317199999999</v>
      </c>
    </row>
    <row r="142" spans="1:11" ht="12.75" hidden="1" outlineLevel="2" x14ac:dyDescent="0.2">
      <c r="A142" s="1961" t="s">
        <v>2195</v>
      </c>
      <c r="B142" s="1961" t="s">
        <v>2196</v>
      </c>
      <c r="C142" s="1961" t="s">
        <v>2203</v>
      </c>
      <c r="D142" s="1961" t="s">
        <v>2204</v>
      </c>
      <c r="E142" s="1961" t="s">
        <v>912</v>
      </c>
      <c r="F142" s="1962">
        <v>845.98887999999999</v>
      </c>
      <c r="G142" s="1962">
        <v>845.98887999999999</v>
      </c>
      <c r="H142" s="1962">
        <v>0</v>
      </c>
      <c r="I142" s="1962">
        <v>0</v>
      </c>
    </row>
    <row r="143" spans="1:11" ht="12.75" hidden="1" outlineLevel="2" x14ac:dyDescent="0.2">
      <c r="A143" s="1961" t="s">
        <v>2195</v>
      </c>
      <c r="B143" s="1961" t="s">
        <v>2196</v>
      </c>
      <c r="C143" s="1961" t="s">
        <v>2203</v>
      </c>
      <c r="D143" s="1961" t="s">
        <v>2204</v>
      </c>
      <c r="E143" s="1961" t="s">
        <v>921</v>
      </c>
      <c r="F143" s="1962">
        <v>693.05998999999997</v>
      </c>
      <c r="G143" s="1962">
        <v>0</v>
      </c>
      <c r="H143" s="1962">
        <v>693.05998999999997</v>
      </c>
      <c r="I143" s="1962">
        <v>0</v>
      </c>
    </row>
    <row r="144" spans="1:11" ht="13.5" outlineLevel="1" collapsed="1" thickBot="1" x14ac:dyDescent="0.25">
      <c r="A144" s="1964" t="s">
        <v>2205</v>
      </c>
      <c r="B144" s="1964"/>
      <c r="C144" s="1964"/>
      <c r="D144" s="1964"/>
      <c r="E144" s="1964"/>
      <c r="F144" s="1965">
        <f t="shared" ref="F144:I144" si="9">SUBTOTAL(9,F132:F143)</f>
        <v>83193.079330000008</v>
      </c>
      <c r="G144" s="1965">
        <f t="shared" si="9"/>
        <v>56704.897409999998</v>
      </c>
      <c r="H144" s="1965">
        <f t="shared" si="9"/>
        <v>16633.768370000002</v>
      </c>
      <c r="I144" s="1965">
        <f t="shared" si="9"/>
        <v>9854.4135499999993</v>
      </c>
    </row>
    <row r="145" spans="1:25" ht="12.75" hidden="1" outlineLevel="2" x14ac:dyDescent="0.2">
      <c r="A145" s="1967" t="s">
        <v>2206</v>
      </c>
      <c r="B145" s="1967" t="s">
        <v>2196</v>
      </c>
      <c r="C145" s="1967" t="s">
        <v>2207</v>
      </c>
      <c r="D145" s="1967" t="s">
        <v>2208</v>
      </c>
      <c r="E145" s="1967" t="s">
        <v>912</v>
      </c>
      <c r="F145" s="1968">
        <v>-56704.897409999998</v>
      </c>
      <c r="G145" s="1962">
        <v>-56704.897409999998</v>
      </c>
      <c r="H145" s="1962">
        <v>0</v>
      </c>
      <c r="I145" s="1962">
        <v>0</v>
      </c>
    </row>
    <row r="146" spans="1:25" ht="12.75" hidden="1" outlineLevel="2" x14ac:dyDescent="0.2">
      <c r="A146" s="1961" t="s">
        <v>2206</v>
      </c>
      <c r="B146" s="1961" t="s">
        <v>2196</v>
      </c>
      <c r="C146" s="1961" t="s">
        <v>2209</v>
      </c>
      <c r="D146" s="1961" t="s">
        <v>2210</v>
      </c>
      <c r="E146" s="1961" t="s">
        <v>921</v>
      </c>
      <c r="F146" s="1962">
        <v>-16633.768370000002</v>
      </c>
      <c r="G146" s="1962">
        <v>0</v>
      </c>
      <c r="H146" s="1962">
        <v>-16633.768370000002</v>
      </c>
      <c r="I146" s="1962">
        <v>0</v>
      </c>
    </row>
    <row r="147" spans="1:25" ht="12.75" hidden="1" outlineLevel="2" x14ac:dyDescent="0.2">
      <c r="A147" s="1961" t="s">
        <v>2206</v>
      </c>
      <c r="B147" s="1961" t="s">
        <v>2196</v>
      </c>
      <c r="C147" s="1961" t="s">
        <v>2211</v>
      </c>
      <c r="D147" s="1961" t="s">
        <v>2212</v>
      </c>
      <c r="E147" s="1961" t="s">
        <v>919</v>
      </c>
      <c r="F147" s="1984">
        <v>-9854.4135499999993</v>
      </c>
      <c r="G147" s="1962">
        <v>0</v>
      </c>
      <c r="H147" s="1962">
        <v>0</v>
      </c>
      <c r="I147" s="1962">
        <v>-9854.4135499999993</v>
      </c>
    </row>
    <row r="148" spans="1:25" ht="13.5" outlineLevel="1" collapsed="1" thickBot="1" x14ac:dyDescent="0.25">
      <c r="A148" s="1973" t="s">
        <v>2213</v>
      </c>
      <c r="B148" s="1973"/>
      <c r="C148" s="1973"/>
      <c r="D148" s="1973"/>
      <c r="E148" s="1973"/>
      <c r="F148" s="1974">
        <f t="shared" ref="F148:I148" si="10">SUBTOTAL(9,F145:F147)</f>
        <v>-83193.079329999993</v>
      </c>
      <c r="G148" s="1965">
        <f t="shared" si="10"/>
        <v>-56704.897409999998</v>
      </c>
      <c r="H148" s="1965">
        <f t="shared" si="10"/>
        <v>-16633.768370000002</v>
      </c>
      <c r="I148" s="1965">
        <f t="shared" si="10"/>
        <v>-9854.4135499999993</v>
      </c>
    </row>
    <row r="149" spans="1:25" ht="13.5" thickBot="1" x14ac:dyDescent="0.25">
      <c r="A149" s="1973" t="s">
        <v>1342</v>
      </c>
      <c r="B149" s="1973"/>
      <c r="C149" s="1973"/>
      <c r="D149" s="1973"/>
      <c r="E149" s="1973"/>
      <c r="F149" s="1974">
        <f t="shared" ref="F149:I149" si="11">SUBTOTAL(9,F37:F147)</f>
        <v>66701.601279999973</v>
      </c>
      <c r="G149" s="1970">
        <f t="shared" si="11"/>
        <v>18363.206404003613</v>
      </c>
      <c r="H149" s="1970">
        <f t="shared" si="11"/>
        <v>4727.5871801985741</v>
      </c>
      <c r="I149" s="1970">
        <f t="shared" si="11"/>
        <v>3289.9717232153071</v>
      </c>
    </row>
    <row r="152" spans="1:25" ht="12" customHeight="1" x14ac:dyDescent="0.2">
      <c r="D152" s="2023" t="s">
        <v>5459</v>
      </c>
      <c r="E152" s="2023" t="s">
        <v>5459</v>
      </c>
      <c r="F152" s="2023" t="s">
        <v>5459</v>
      </c>
      <c r="G152" s="2023" t="s">
        <v>5459</v>
      </c>
      <c r="H152" s="2023" t="s">
        <v>5459</v>
      </c>
      <c r="I152" s="2023" t="s">
        <v>5459</v>
      </c>
      <c r="J152" s="2023" t="s">
        <v>5459</v>
      </c>
      <c r="K152" s="2042" t="s">
        <v>5594</v>
      </c>
      <c r="L152" s="2042"/>
      <c r="M152" s="3826" t="s">
        <v>5595</v>
      </c>
      <c r="N152" s="3826"/>
      <c r="O152" s="3826"/>
      <c r="P152" s="3826"/>
      <c r="Q152" s="2023" t="s">
        <v>5459</v>
      </c>
      <c r="R152" s="2023" t="s">
        <v>5459</v>
      </c>
      <c r="S152" s="2023" t="s">
        <v>5459</v>
      </c>
      <c r="T152" s="2023" t="s">
        <v>5459</v>
      </c>
      <c r="U152" s="2023" t="s">
        <v>5459</v>
      </c>
      <c r="V152" s="2023" t="s">
        <v>5459</v>
      </c>
      <c r="W152" s="2023" t="s">
        <v>5459</v>
      </c>
      <c r="X152" s="2023" t="s">
        <v>5459</v>
      </c>
      <c r="Y152" s="2023" t="s">
        <v>5459</v>
      </c>
    </row>
    <row r="153" spans="1:25" ht="12" customHeight="1" x14ac:dyDescent="0.25">
      <c r="D153" s="2023" t="s">
        <v>5459</v>
      </c>
      <c r="E153" s="2023" t="s">
        <v>5459</v>
      </c>
      <c r="F153" s="2023" t="s">
        <v>5459</v>
      </c>
      <c r="G153" s="2023" t="s">
        <v>5459</v>
      </c>
      <c r="H153" s="2023" t="s">
        <v>5459</v>
      </c>
      <c r="I153" s="2023" t="s">
        <v>5459</v>
      </c>
      <c r="J153" s="2023" t="s">
        <v>5459</v>
      </c>
      <c r="K153" s="2043" t="s">
        <v>5459</v>
      </c>
      <c r="L153" s="2043">
        <v>2</v>
      </c>
      <c r="M153" s="2043">
        <v>3</v>
      </c>
      <c r="N153" s="2043">
        <v>4</v>
      </c>
      <c r="O153" s="2043">
        <v>5</v>
      </c>
      <c r="P153" s="2043">
        <v>6</v>
      </c>
      <c r="Q153" s="2023" t="s">
        <v>5459</v>
      </c>
      <c r="R153" s="2023" t="s">
        <v>5459</v>
      </c>
      <c r="S153" s="2023" t="s">
        <v>5459</v>
      </c>
      <c r="T153" s="2094" t="s">
        <v>5596</v>
      </c>
      <c r="U153" s="2094"/>
      <c r="V153" s="2094"/>
      <c r="W153" s="2023" t="s">
        <v>5459</v>
      </c>
      <c r="X153" s="2023" t="s">
        <v>5459</v>
      </c>
      <c r="Y153" s="2023" t="s">
        <v>5459</v>
      </c>
    </row>
    <row r="154" spans="1:25" ht="12" customHeight="1" x14ac:dyDescent="0.25">
      <c r="D154" s="2023" t="s">
        <v>5459</v>
      </c>
      <c r="E154" s="2023" t="s">
        <v>5459</v>
      </c>
      <c r="F154" s="2023" t="s">
        <v>5459</v>
      </c>
      <c r="G154" s="2023" t="s">
        <v>5459</v>
      </c>
      <c r="H154" s="2023" t="s">
        <v>5459</v>
      </c>
      <c r="I154" s="2023" t="s">
        <v>5459</v>
      </c>
      <c r="J154" s="2023" t="s">
        <v>5459</v>
      </c>
      <c r="K154" s="2043" t="s">
        <v>5459</v>
      </c>
      <c r="L154" s="2095" t="s">
        <v>5459</v>
      </c>
      <c r="M154" s="2095" t="s">
        <v>912</v>
      </c>
      <c r="N154" s="2095" t="s">
        <v>921</v>
      </c>
      <c r="O154" s="2095" t="s">
        <v>5462</v>
      </c>
      <c r="P154" s="2095" t="s">
        <v>5459</v>
      </c>
      <c r="Q154" s="2023" t="s">
        <v>5459</v>
      </c>
      <c r="R154" s="2023" t="s">
        <v>5459</v>
      </c>
      <c r="S154" s="2023" t="s">
        <v>5459</v>
      </c>
      <c r="T154" s="2023" t="s">
        <v>5459</v>
      </c>
      <c r="U154" s="2094" t="s">
        <v>394</v>
      </c>
      <c r="V154" s="2094" t="s">
        <v>5586</v>
      </c>
      <c r="W154" s="2094" t="s">
        <v>392</v>
      </c>
      <c r="X154" s="2096" t="s">
        <v>5459</v>
      </c>
      <c r="Y154" s="2071" t="s">
        <v>5597</v>
      </c>
    </row>
    <row r="155" spans="1:25" ht="12" customHeight="1" x14ac:dyDescent="0.25">
      <c r="D155" s="2097" t="s">
        <v>5598</v>
      </c>
      <c r="E155" s="2098" t="s">
        <v>5459</v>
      </c>
      <c r="F155" s="2099">
        <f>SUMIF($C$37:$C$148,"302*",F$37:F$148)</f>
        <v>3664.6490800000001</v>
      </c>
      <c r="G155" s="2099">
        <f>SUMIF($C$37:$C$148,"302*",G$37:G$148)</f>
        <v>991.98704507240154</v>
      </c>
      <c r="H155" s="2099">
        <f>SUMIF($C$37:$C$148,"302*",H$37:H$148)</f>
        <v>278.91403830211982</v>
      </c>
      <c r="I155" s="2099">
        <f>SUMIF($C$37:$C$148,"302*",I$37:I$148)</f>
        <v>201.56425285284786</v>
      </c>
      <c r="J155" s="2023" t="s">
        <v>5459</v>
      </c>
      <c r="K155" s="2043">
        <v>302</v>
      </c>
      <c r="L155" s="2100">
        <f>F155/$F155</f>
        <v>1</v>
      </c>
      <c r="M155" s="2100">
        <f t="shared" ref="M155:O160" si="12">G155/$F155</f>
        <v>0.27069086928028629</v>
      </c>
      <c r="N155" s="2100">
        <f t="shared" si="12"/>
        <v>7.6109344227338629E-2</v>
      </c>
      <c r="O155" s="2100">
        <f t="shared" si="12"/>
        <v>5.5002334044177523E-2</v>
      </c>
      <c r="P155" s="2100">
        <f>SUM(M155:O155)</f>
        <v>0.40180254755180245</v>
      </c>
      <c r="Q155" s="2023" t="s">
        <v>5459</v>
      </c>
      <c r="R155" s="2023" t="s">
        <v>5459</v>
      </c>
      <c r="S155" s="2023" t="s">
        <v>5459</v>
      </c>
      <c r="T155" s="2101">
        <v>302</v>
      </c>
      <c r="U155" s="2102">
        <f>SUMIFS(U$37:U$105,$C$37:$C$105,"302*")</f>
        <v>1469.1102162273692</v>
      </c>
      <c r="V155" s="2102">
        <f>SUMIFS(V$37:V$105,$C$37:$C$105,"302*")</f>
        <v>0</v>
      </c>
      <c r="W155" s="2102">
        <f>SUMIFS(W$37:W$105,$C$37:$C$105,"302*")</f>
        <v>3.3551199999999999</v>
      </c>
      <c r="X155" s="2103">
        <f>SUM(U155:W155)</f>
        <v>1472.4653362273691</v>
      </c>
      <c r="Y155" s="2104">
        <f>X155-G155-H155-I155</f>
        <v>0</v>
      </c>
    </row>
    <row r="156" spans="1:25" ht="12" customHeight="1" x14ac:dyDescent="0.25">
      <c r="D156" s="2105" t="s">
        <v>5599</v>
      </c>
      <c r="E156" s="2106" t="s">
        <v>5459</v>
      </c>
      <c r="F156" s="2099">
        <f>SUMIF($C$37:$C$148,"303*",F$37:F$148)</f>
        <v>58423.789359999995</v>
      </c>
      <c r="G156" s="2099">
        <f>SUMIF($C$37:$C$148,"303*",G$37:G$148)</f>
        <v>16590.565169305242</v>
      </c>
      <c r="H156" s="2099">
        <f>SUMIF($C$37:$C$148,"303*",H$37:H$148)</f>
        <v>4240.6607055056202</v>
      </c>
      <c r="I156" s="2099">
        <f>SUMIF($C$37:$C$148,"303*",I$37:I$148)</f>
        <v>2947.9947331240251</v>
      </c>
      <c r="J156" s="2023" t="s">
        <v>5459</v>
      </c>
      <c r="K156" s="2043">
        <v>303</v>
      </c>
      <c r="L156" s="2100">
        <f t="shared" ref="L156:L160" si="13">F156/$F156</f>
        <v>1</v>
      </c>
      <c r="M156" s="2100">
        <f t="shared" si="12"/>
        <v>0.28396934452635858</v>
      </c>
      <c r="N156" s="2100">
        <f t="shared" si="12"/>
        <v>7.2584485737054907E-2</v>
      </c>
      <c r="O156" s="2100">
        <f t="shared" si="12"/>
        <v>5.0458807369697552E-2</v>
      </c>
      <c r="P156" s="2100">
        <f t="shared" ref="P156:P160" si="14">SUM(M156:O156)</f>
        <v>0.40701263763311102</v>
      </c>
      <c r="Q156" s="2023" t="s">
        <v>5459</v>
      </c>
      <c r="R156" s="2023" t="s">
        <v>5459</v>
      </c>
      <c r="S156" s="2023" t="s">
        <v>5459</v>
      </c>
      <c r="T156" s="2101">
        <v>303</v>
      </c>
      <c r="U156" s="2102">
        <f>SUMIFS(U$37:U$105,$C$37:$C$105,"303*")</f>
        <v>8658.8760322337548</v>
      </c>
      <c r="V156" s="2102">
        <f>SUMIFS(V$37:V$105,$C$37:$C$105,"303*")</f>
        <v>0</v>
      </c>
      <c r="W156" s="2102">
        <f>SUMIFS(W$37:W$105,$C$37:$C$105,"303*")</f>
        <v>15120.344575701136</v>
      </c>
      <c r="X156" s="2103">
        <f>SUM(U156:W156)</f>
        <v>23779.220607934891</v>
      </c>
      <c r="Y156" s="2104">
        <f>X156-G156-H156-I156</f>
        <v>0</v>
      </c>
    </row>
    <row r="157" spans="1:25" ht="12" customHeight="1" x14ac:dyDescent="0.2">
      <c r="D157" s="2105" t="s">
        <v>5600</v>
      </c>
      <c r="E157" s="2106" t="s">
        <v>5459</v>
      </c>
      <c r="F157" s="2099">
        <f>SUM(F155:F156)</f>
        <v>62088.438439999998</v>
      </c>
      <c r="G157" s="2099">
        <f t="shared" ref="G157:I157" si="15">SUM(G155:G156)</f>
        <v>17582.552214377643</v>
      </c>
      <c r="H157" s="2099">
        <f t="shared" si="15"/>
        <v>4519.5747438077397</v>
      </c>
      <c r="I157" s="2099">
        <f t="shared" si="15"/>
        <v>3149.5589859768729</v>
      </c>
      <c r="J157" s="2023" t="s">
        <v>5459</v>
      </c>
      <c r="K157" s="2043" t="s">
        <v>5459</v>
      </c>
      <c r="L157" s="2100">
        <f t="shared" si="13"/>
        <v>1</v>
      </c>
      <c r="M157" s="2100">
        <f t="shared" si="12"/>
        <v>0.28318560840225965</v>
      </c>
      <c r="N157" s="2100">
        <f t="shared" si="12"/>
        <v>7.2792533640144486E-2</v>
      </c>
      <c r="O157" s="2100">
        <f t="shared" si="12"/>
        <v>5.0726980177162803E-2</v>
      </c>
      <c r="P157" s="2100">
        <f t="shared" si="14"/>
        <v>0.40670512221956695</v>
      </c>
      <c r="Q157" s="2023" t="s">
        <v>5459</v>
      </c>
      <c r="R157" s="2023" t="s">
        <v>5459</v>
      </c>
      <c r="S157" s="2023" t="s">
        <v>5459</v>
      </c>
      <c r="T157" s="2023" t="s">
        <v>5459</v>
      </c>
      <c r="U157" s="2023" t="s">
        <v>5459</v>
      </c>
      <c r="V157" s="2023" t="s">
        <v>5459</v>
      </c>
      <c r="W157" s="2023" t="s">
        <v>5459</v>
      </c>
      <c r="X157" s="2023" t="s">
        <v>5459</v>
      </c>
      <c r="Y157" s="2023" t="s">
        <v>5459</v>
      </c>
    </row>
    <row r="158" spans="1:25" ht="12" customHeight="1" x14ac:dyDescent="0.2">
      <c r="D158" s="2105" t="s">
        <v>2155</v>
      </c>
      <c r="E158" s="2106" t="s">
        <v>5459</v>
      </c>
      <c r="F158" s="2129">
        <f>SUMIF($C$37:$C$148,"33*",F$37:F$148)+SUMIF($C$37:$C$148,"39*",F$37:F$148)+SUMIF($C$37:$C$148,"34*",F$37:F$148)</f>
        <v>1063.73245</v>
      </c>
      <c r="G158" s="2129">
        <f>SUMIF($C$37:$C$148,"33*",G$37:G$148)+SUMIF($C$37:$C$148,"39*",G$37:G$148)+SUMIF($C$37:$C$148,"34*",G$37:G$148)</f>
        <v>378.10254802753013</v>
      </c>
      <c r="H158" s="2129">
        <f>SUMIF($C$37:$C$148,"33*",H$37:H$148)+SUMIF($C$37:$C$148,"39*",H$37:H$148)+SUMIF($C$37:$C$148,"34*",H$37:H$148)</f>
        <v>145.2535838414438</v>
      </c>
      <c r="I158" s="2129">
        <f>SUMIF($C$37:$C$148,"33*",I$37:I$148)+SUMIF($C$37:$C$148,"39*",I$37:I$148)+SUMIF($C$37:$C$148,"34*",I$37:I$148)</f>
        <v>30.038153297598456</v>
      </c>
      <c r="J158" s="2023" t="s">
        <v>5459</v>
      </c>
      <c r="K158" s="2043" t="s">
        <v>5459</v>
      </c>
      <c r="L158" s="2100">
        <f t="shared" si="13"/>
        <v>1</v>
      </c>
      <c r="M158" s="2100">
        <f t="shared" si="12"/>
        <v>0.35544891765549708</v>
      </c>
      <c r="N158" s="2100">
        <f t="shared" si="12"/>
        <v>0.13655086280525128</v>
      </c>
      <c r="O158" s="2100">
        <f t="shared" si="12"/>
        <v>2.8238447833003926E-2</v>
      </c>
      <c r="P158" s="2100">
        <f t="shared" si="14"/>
        <v>0.52023822829375221</v>
      </c>
      <c r="Q158" s="2023" t="s">
        <v>5459</v>
      </c>
      <c r="R158" s="2023" t="s">
        <v>5459</v>
      </c>
      <c r="S158" s="2023" t="s">
        <v>5459</v>
      </c>
      <c r="T158" s="2023" t="s">
        <v>5459</v>
      </c>
      <c r="U158" s="2023" t="s">
        <v>5459</v>
      </c>
      <c r="V158" s="2023" t="s">
        <v>5459</v>
      </c>
      <c r="W158" s="2023" t="s">
        <v>5459</v>
      </c>
      <c r="X158" s="2023" t="s">
        <v>5459</v>
      </c>
      <c r="Y158" s="2023" t="s">
        <v>5459</v>
      </c>
    </row>
    <row r="159" spans="1:25" ht="12" customHeight="1" x14ac:dyDescent="0.2">
      <c r="D159" s="2105" t="s">
        <v>5601</v>
      </c>
      <c r="E159" s="2106" t="s">
        <v>5459</v>
      </c>
      <c r="F159" s="2129">
        <f>SUMIF($C$37:$C$148,"56*",F$37:F$148)+SUMIF($C$37:$C$148,"36*",F$37:F$148)+SUMIF($C$37:$C$148,"58*",F$37:F$148)</f>
        <v>3549.4303899999986</v>
      </c>
      <c r="G159" s="2129">
        <f>SUMIF($C$37:$C$148,"56*",G$37:G$148)+SUMIF($C$37:$C$148,"36*",G$37:G$148)+SUMIF($C$37:$C$148,"58*",G$37:G$148)</f>
        <v>402.55164159842207</v>
      </c>
      <c r="H159" s="2129">
        <f>SUMIF($C$37:$C$148,"56*",H$37:H$148)+SUMIF($C$37:$C$148,"36*",H$37:H$148)+SUMIF($C$37:$C$148,"58*",H$37:H$148)</f>
        <v>62.758852549389673</v>
      </c>
      <c r="I159" s="2129">
        <f>SUMIF($C$37:$C$148,"56*",I$37:I$148)+SUMIF($C$37:$C$148,"36*",I$37:I$148)+SUMIF($C$37:$C$148,"58*",I$37:I$148)</f>
        <v>110.37458394083666</v>
      </c>
      <c r="J159" s="2023" t="s">
        <v>5459</v>
      </c>
      <c r="K159" s="2043" t="s">
        <v>5459</v>
      </c>
      <c r="L159" s="2100">
        <f t="shared" si="13"/>
        <v>1</v>
      </c>
      <c r="M159" s="2100">
        <f t="shared" si="12"/>
        <v>0.11341302613865946</v>
      </c>
      <c r="N159" s="2100">
        <f t="shared" si="12"/>
        <v>1.7681387054723927E-2</v>
      </c>
      <c r="O159" s="2100">
        <f t="shared" si="12"/>
        <v>3.1096421626354728E-2</v>
      </c>
      <c r="P159" s="2100">
        <f t="shared" si="14"/>
        <v>0.16219083481973812</v>
      </c>
      <c r="Q159" s="2023" t="s">
        <v>5459</v>
      </c>
      <c r="R159" s="2023" t="s">
        <v>5459</v>
      </c>
      <c r="S159" s="2023" t="s">
        <v>5459</v>
      </c>
      <c r="T159" s="2107" t="s">
        <v>5602</v>
      </c>
      <c r="U159" s="2107"/>
      <c r="V159" s="2107"/>
      <c r="W159" s="2107"/>
      <c r="X159" s="2096" t="s">
        <v>5459</v>
      </c>
      <c r="Y159" s="2023" t="s">
        <v>5459</v>
      </c>
    </row>
    <row r="160" spans="1:25" ht="12" customHeight="1" x14ac:dyDescent="0.25">
      <c r="D160" s="2105" t="s">
        <v>5603</v>
      </c>
      <c r="E160" s="2106" t="s">
        <v>5459</v>
      </c>
      <c r="F160" s="2108">
        <f>SUM(F157:F159)</f>
        <v>66701.601280000003</v>
      </c>
      <c r="G160" s="2108">
        <f t="shared" ref="G160:I160" si="16">SUM(G157:G159)</f>
        <v>18363.206404003598</v>
      </c>
      <c r="H160" s="2108">
        <f t="shared" si="16"/>
        <v>4727.5871801985732</v>
      </c>
      <c r="I160" s="2108">
        <f t="shared" si="16"/>
        <v>3289.971723215308</v>
      </c>
      <c r="J160" s="2023" t="s">
        <v>5459</v>
      </c>
      <c r="K160" s="2043" t="s">
        <v>5459</v>
      </c>
      <c r="L160" s="2100">
        <f t="shared" si="13"/>
        <v>1</v>
      </c>
      <c r="M160" s="2100">
        <f t="shared" si="12"/>
        <v>0.27530383156647958</v>
      </c>
      <c r="N160" s="2100">
        <f t="shared" si="12"/>
        <v>7.0876666968655008E-2</v>
      </c>
      <c r="O160" s="2100">
        <f t="shared" si="12"/>
        <v>4.9323729267078065E-2</v>
      </c>
      <c r="P160" s="2100">
        <f t="shared" si="14"/>
        <v>0.39550422780221267</v>
      </c>
      <c r="Q160" s="2023" t="s">
        <v>5459</v>
      </c>
      <c r="R160" s="2023" t="s">
        <v>5459</v>
      </c>
      <c r="S160" s="2023" t="s">
        <v>5459</v>
      </c>
      <c r="T160" s="2109" t="s">
        <v>912</v>
      </c>
      <c r="U160" s="2110">
        <f>G155</f>
        <v>991.98704507240154</v>
      </c>
      <c r="V160" s="2111" t="s">
        <v>5604</v>
      </c>
      <c r="W160" s="2111" t="s">
        <v>5604</v>
      </c>
      <c r="X160" s="2110">
        <f>SUM(U160:W160)</f>
        <v>991.98704507240154</v>
      </c>
      <c r="Y160" s="2023" t="s">
        <v>5459</v>
      </c>
    </row>
    <row r="161" spans="4:25" ht="12" customHeight="1" x14ac:dyDescent="0.25">
      <c r="D161" s="2069" t="s">
        <v>5605</v>
      </c>
      <c r="E161" s="2071" t="s">
        <v>5459</v>
      </c>
      <c r="F161" s="2070">
        <f>F149-F160</f>
        <v>0</v>
      </c>
      <c r="G161" s="2070">
        <f t="shared" ref="G161:I161" si="17">G149-G160</f>
        <v>0</v>
      </c>
      <c r="H161" s="2070">
        <f t="shared" si="17"/>
        <v>0</v>
      </c>
      <c r="I161" s="2070">
        <f t="shared" si="17"/>
        <v>0</v>
      </c>
      <c r="J161" s="2023" t="s">
        <v>5459</v>
      </c>
      <c r="K161" s="2023" t="s">
        <v>5459</v>
      </c>
      <c r="L161" s="2023" t="s">
        <v>5459</v>
      </c>
      <c r="M161" s="2023" t="s">
        <v>5459</v>
      </c>
      <c r="N161" s="2023" t="s">
        <v>5459</v>
      </c>
      <c r="O161" s="2023" t="s">
        <v>5459</v>
      </c>
      <c r="P161" s="2023" t="s">
        <v>5459</v>
      </c>
      <c r="Q161" s="2023" t="s">
        <v>5459</v>
      </c>
      <c r="R161" s="2023" t="s">
        <v>5459</v>
      </c>
      <c r="S161" s="2023" t="s">
        <v>5459</v>
      </c>
      <c r="T161" s="2109" t="s">
        <v>921</v>
      </c>
      <c r="U161" s="2110">
        <f>H155</f>
        <v>278.91403830211982</v>
      </c>
      <c r="V161" s="2111" t="s">
        <v>5604</v>
      </c>
      <c r="W161" s="2111" t="s">
        <v>5604</v>
      </c>
      <c r="X161" s="2110">
        <f t="shared" ref="X161:X162" si="18">SUM(U161:W161)</f>
        <v>278.91403830211982</v>
      </c>
      <c r="Y161" s="2023" t="s">
        <v>5459</v>
      </c>
    </row>
    <row r="162" spans="4:25" ht="12" customHeight="1" x14ac:dyDescent="0.25">
      <c r="D162" s="2023" t="s">
        <v>5459</v>
      </c>
      <c r="E162" s="2023" t="s">
        <v>5459</v>
      </c>
      <c r="F162" s="2023" t="s">
        <v>5459</v>
      </c>
      <c r="G162" s="2023" t="s">
        <v>5459</v>
      </c>
      <c r="H162" s="2023" t="s">
        <v>5459</v>
      </c>
      <c r="I162" s="2023" t="s">
        <v>5459</v>
      </c>
      <c r="J162" s="2023" t="s">
        <v>5459</v>
      </c>
      <c r="K162" s="2023" t="s">
        <v>5459</v>
      </c>
      <c r="L162" s="2023" t="s">
        <v>5459</v>
      </c>
      <c r="M162" s="2023" t="s">
        <v>5459</v>
      </c>
      <c r="N162" s="2023" t="s">
        <v>5459</v>
      </c>
      <c r="O162" s="2023" t="s">
        <v>5459</v>
      </c>
      <c r="P162" s="2023" t="s">
        <v>5459</v>
      </c>
      <c r="Q162" s="2023" t="s">
        <v>5459</v>
      </c>
      <c r="R162" s="2023" t="s">
        <v>5459</v>
      </c>
      <c r="S162" s="2023" t="s">
        <v>5459</v>
      </c>
      <c r="T162" s="2109" t="s">
        <v>5462</v>
      </c>
      <c r="U162" s="2110">
        <f>I155-V162</f>
        <v>181.43356285284784</v>
      </c>
      <c r="V162" s="2110">
        <v>20.130690000000001</v>
      </c>
      <c r="W162" s="2111" t="s">
        <v>5604</v>
      </c>
      <c r="X162" s="2110">
        <f t="shared" si="18"/>
        <v>201.56425285284786</v>
      </c>
      <c r="Y162" s="2023" t="s">
        <v>5459</v>
      </c>
    </row>
    <row r="163" spans="4:25" ht="12" customHeight="1" x14ac:dyDescent="0.25">
      <c r="D163" s="2023" t="s">
        <v>5459</v>
      </c>
      <c r="E163" s="2023" t="s">
        <v>5459</v>
      </c>
      <c r="F163" s="2023" t="s">
        <v>5459</v>
      </c>
      <c r="G163" s="2023" t="s">
        <v>5459</v>
      </c>
      <c r="H163" s="2023" t="s">
        <v>5459</v>
      </c>
      <c r="I163" s="2023" t="s">
        <v>5459</v>
      </c>
      <c r="J163" s="2023" t="s">
        <v>5459</v>
      </c>
      <c r="K163" s="2023" t="s">
        <v>5459</v>
      </c>
      <c r="L163" s="2023" t="s">
        <v>5459</v>
      </c>
      <c r="M163" s="2023" t="s">
        <v>5459</v>
      </c>
      <c r="N163" s="2023" t="s">
        <v>5459</v>
      </c>
      <c r="O163" s="2023" t="s">
        <v>5459</v>
      </c>
      <c r="P163" s="2023" t="s">
        <v>5459</v>
      </c>
      <c r="Q163" s="2023" t="s">
        <v>5459</v>
      </c>
      <c r="R163" s="2023" t="s">
        <v>5459</v>
      </c>
      <c r="S163" s="2023" t="s">
        <v>5459</v>
      </c>
      <c r="T163" s="2109" t="s">
        <v>5606</v>
      </c>
      <c r="U163" s="2112">
        <f>SUM(U160:U162)</f>
        <v>1452.3346462273694</v>
      </c>
      <c r="V163" s="2112">
        <f t="shared" ref="V163:X163" si="19">SUM(V160:V162)</f>
        <v>20.130690000000001</v>
      </c>
      <c r="W163" s="2112"/>
      <c r="X163" s="2112">
        <f t="shared" si="19"/>
        <v>1472.4653362273693</v>
      </c>
      <c r="Y163" s="2023" t="s">
        <v>5459</v>
      </c>
    </row>
    <row r="164" spans="4:25" ht="12" customHeight="1" x14ac:dyDescent="0.25">
      <c r="D164" s="2023" t="s">
        <v>5459</v>
      </c>
      <c r="E164" s="2023" t="s">
        <v>5459</v>
      </c>
      <c r="F164" s="2023" t="s">
        <v>5459</v>
      </c>
      <c r="G164" s="2023" t="s">
        <v>5459</v>
      </c>
      <c r="H164" s="2023" t="s">
        <v>5459</v>
      </c>
      <c r="I164" s="2023" t="s">
        <v>5459</v>
      </c>
      <c r="J164" s="2023" t="s">
        <v>5459</v>
      </c>
      <c r="K164" s="2023" t="s">
        <v>5459</v>
      </c>
      <c r="L164" s="2023" t="s">
        <v>5459</v>
      </c>
      <c r="M164" s="2023" t="s">
        <v>5459</v>
      </c>
      <c r="N164" s="2023" t="s">
        <v>5459</v>
      </c>
      <c r="O164" s="2023" t="s">
        <v>5459</v>
      </c>
      <c r="P164" s="2023" t="s">
        <v>5459</v>
      </c>
      <c r="Q164" s="2023" t="s">
        <v>5459</v>
      </c>
      <c r="R164" s="2023" t="s">
        <v>5459</v>
      </c>
      <c r="S164" s="2023" t="s">
        <v>5459</v>
      </c>
      <c r="T164" s="2109" t="s">
        <v>5459</v>
      </c>
      <c r="U164" s="2096" t="s">
        <v>5459</v>
      </c>
      <c r="V164" s="2096" t="s">
        <v>5459</v>
      </c>
      <c r="W164" s="2113" t="s">
        <v>5607</v>
      </c>
      <c r="X164" s="2112">
        <f>G155+H155+I155</f>
        <v>1472.4653362273693</v>
      </c>
      <c r="Y164" s="2104">
        <f>X164-X163</f>
        <v>0</v>
      </c>
    </row>
    <row r="165" spans="4:25" ht="12" customHeight="1" x14ac:dyDescent="0.2">
      <c r="D165" s="2023" t="s">
        <v>5459</v>
      </c>
      <c r="E165" s="2023" t="s">
        <v>5459</v>
      </c>
      <c r="F165" s="2023" t="s">
        <v>5459</v>
      </c>
      <c r="G165" s="2023" t="s">
        <v>5459</v>
      </c>
      <c r="H165" s="2023" t="s">
        <v>5459</v>
      </c>
      <c r="I165" s="2023" t="s">
        <v>5459</v>
      </c>
      <c r="J165" s="2023" t="s">
        <v>5459</v>
      </c>
      <c r="K165" s="2023" t="s">
        <v>5459</v>
      </c>
      <c r="L165" s="2023" t="s">
        <v>5459</v>
      </c>
      <c r="M165" s="2023" t="s">
        <v>5459</v>
      </c>
      <c r="N165" s="2023" t="s">
        <v>5459</v>
      </c>
      <c r="O165" s="2023" t="s">
        <v>5459</v>
      </c>
      <c r="P165" s="2023" t="s">
        <v>5459</v>
      </c>
      <c r="Q165" s="2023" t="s">
        <v>5459</v>
      </c>
      <c r="R165" s="2023" t="s">
        <v>5459</v>
      </c>
      <c r="S165" s="2023" t="s">
        <v>5459</v>
      </c>
      <c r="T165" s="2107" t="s">
        <v>5608</v>
      </c>
      <c r="U165" s="2107"/>
      <c r="V165" s="2107"/>
      <c r="W165" s="2107"/>
      <c r="X165" s="2096" t="s">
        <v>5459</v>
      </c>
      <c r="Y165" s="2023" t="s">
        <v>5459</v>
      </c>
    </row>
    <row r="166" spans="4:25" ht="12" customHeight="1" x14ac:dyDescent="0.25">
      <c r="D166" s="2023" t="s">
        <v>5459</v>
      </c>
      <c r="E166" s="2023" t="s">
        <v>5459</v>
      </c>
      <c r="F166" s="2023" t="s">
        <v>5459</v>
      </c>
      <c r="G166" s="2023" t="s">
        <v>5459</v>
      </c>
      <c r="H166" s="2023" t="s">
        <v>5459</v>
      </c>
      <c r="I166" s="2023" t="s">
        <v>5459</v>
      </c>
      <c r="J166" s="2023" t="s">
        <v>5459</v>
      </c>
      <c r="K166" s="2023" t="s">
        <v>5459</v>
      </c>
      <c r="L166" s="2023" t="s">
        <v>5459</v>
      </c>
      <c r="M166" s="2023" t="s">
        <v>5459</v>
      </c>
      <c r="N166" s="2023" t="s">
        <v>5459</v>
      </c>
      <c r="O166" s="2023" t="s">
        <v>5459</v>
      </c>
      <c r="P166" s="2023" t="s">
        <v>5459</v>
      </c>
      <c r="Q166" s="2023" t="s">
        <v>5459</v>
      </c>
      <c r="R166" s="2023" t="s">
        <v>5459</v>
      </c>
      <c r="S166" s="2023" t="s">
        <v>5459</v>
      </c>
      <c r="T166" s="2109" t="s">
        <v>912</v>
      </c>
      <c r="U166" s="2110">
        <f>U156*($G$144/SUM($G$144,$H$144,$I$144))</f>
        <v>5901.9413759897297</v>
      </c>
      <c r="V166" s="2110">
        <f>V156*($G$144/SUM($G$144,$H$144,$I$144))</f>
        <v>0</v>
      </c>
      <c r="W166" s="2110">
        <f>W156*($G$144/SUM($G$144,$H$144,$I$144))</f>
        <v>10306.116745215842</v>
      </c>
      <c r="X166" s="2110">
        <f>SUM(U166:W166)</f>
        <v>16208.058121205573</v>
      </c>
      <c r="Y166" s="2023" t="s">
        <v>5459</v>
      </c>
    </row>
    <row r="167" spans="4:25" ht="12" customHeight="1" x14ac:dyDescent="0.25">
      <c r="D167" s="2023" t="s">
        <v>5459</v>
      </c>
      <c r="E167" s="2023" t="s">
        <v>5459</v>
      </c>
      <c r="F167" s="2023" t="s">
        <v>5459</v>
      </c>
      <c r="G167" s="2023" t="s">
        <v>5459</v>
      </c>
      <c r="H167" s="2023" t="s">
        <v>5459</v>
      </c>
      <c r="I167" s="2023" t="s">
        <v>5459</v>
      </c>
      <c r="J167" s="2023" t="s">
        <v>5459</v>
      </c>
      <c r="K167" s="2023" t="s">
        <v>5459</v>
      </c>
      <c r="L167" s="2023" t="s">
        <v>5459</v>
      </c>
      <c r="M167" s="2023" t="s">
        <v>5459</v>
      </c>
      <c r="N167" s="2023" t="s">
        <v>5459</v>
      </c>
      <c r="O167" s="2023" t="s">
        <v>5459</v>
      </c>
      <c r="P167" s="2023" t="s">
        <v>5459</v>
      </c>
      <c r="Q167" s="2023" t="s">
        <v>5459</v>
      </c>
      <c r="R167" s="2023" t="s">
        <v>5459</v>
      </c>
      <c r="S167" s="2023" t="s">
        <v>5459</v>
      </c>
      <c r="T167" s="2109" t="s">
        <v>921</v>
      </c>
      <c r="U167" s="2110">
        <f>U156*($H$144/SUM($G$144,$H$144,$I$144))</f>
        <v>1731.2706708859955</v>
      </c>
      <c r="V167" s="2110">
        <f>V156*($H$144/SUM($G$144,$H$144,$I$144))</f>
        <v>0</v>
      </c>
      <c r="W167" s="2110">
        <f>W156*($H$144/SUM($G$144,$H$144,$I$144))</f>
        <v>3023.1878826019488</v>
      </c>
      <c r="X167" s="2110">
        <f t="shared" ref="X167:X168" si="20">SUM(U167:W167)</f>
        <v>4754.4585534879443</v>
      </c>
      <c r="Y167" s="2023" t="s">
        <v>5459</v>
      </c>
    </row>
    <row r="168" spans="4:25" ht="12" customHeight="1" x14ac:dyDescent="0.25">
      <c r="D168" s="2023" t="s">
        <v>5459</v>
      </c>
      <c r="E168" s="2023" t="s">
        <v>5459</v>
      </c>
      <c r="F168" s="2023" t="s">
        <v>5459</v>
      </c>
      <c r="G168" s="2023" t="s">
        <v>5459</v>
      </c>
      <c r="H168" s="2023" t="s">
        <v>5459</v>
      </c>
      <c r="I168" s="2023" t="s">
        <v>5459</v>
      </c>
      <c r="J168" s="2023" t="s">
        <v>5459</v>
      </c>
      <c r="K168" s="2023" t="s">
        <v>5459</v>
      </c>
      <c r="L168" s="2023" t="s">
        <v>5459</v>
      </c>
      <c r="M168" s="2023" t="s">
        <v>5459</v>
      </c>
      <c r="N168" s="2023" t="s">
        <v>5459</v>
      </c>
      <c r="O168" s="2023" t="s">
        <v>5459</v>
      </c>
      <c r="P168" s="2023" t="s">
        <v>5459</v>
      </c>
      <c r="Q168" s="2023" t="s">
        <v>5459</v>
      </c>
      <c r="R168" s="2023" t="s">
        <v>5459</v>
      </c>
      <c r="S168" s="2023" t="s">
        <v>5459</v>
      </c>
      <c r="T168" s="2109" t="s">
        <v>5462</v>
      </c>
      <c r="U168" s="2110">
        <f>U156*($I$144/SUM($G$144,$H$144,$I$144))</f>
        <v>1025.66398535803</v>
      </c>
      <c r="V168" s="2110">
        <f>V156*($I$144/SUM($G$144,$H$144,$I$144))</f>
        <v>0</v>
      </c>
      <c r="W168" s="2110">
        <f>W156*($I$144/SUM($G$144,$H$144,$I$144))</f>
        <v>1791.039947883346</v>
      </c>
      <c r="X168" s="2110">
        <f t="shared" si="20"/>
        <v>2816.703933241376</v>
      </c>
      <c r="Y168" s="2023" t="s">
        <v>5459</v>
      </c>
    </row>
    <row r="169" spans="4:25" ht="12" customHeight="1" x14ac:dyDescent="0.25">
      <c r="D169" s="2023" t="s">
        <v>5459</v>
      </c>
      <c r="E169" s="2023" t="s">
        <v>5459</v>
      </c>
      <c r="F169" s="2023" t="s">
        <v>5459</v>
      </c>
      <c r="G169" s="2023" t="s">
        <v>5459</v>
      </c>
      <c r="H169" s="2023" t="s">
        <v>5459</v>
      </c>
      <c r="I169" s="2023" t="s">
        <v>5459</v>
      </c>
      <c r="J169" s="2023" t="s">
        <v>5459</v>
      </c>
      <c r="K169" s="2023" t="s">
        <v>5459</v>
      </c>
      <c r="L169" s="2023" t="s">
        <v>5459</v>
      </c>
      <c r="M169" s="2023" t="s">
        <v>5459</v>
      </c>
      <c r="N169" s="2023" t="s">
        <v>5459</v>
      </c>
      <c r="O169" s="2023" t="s">
        <v>5459</v>
      </c>
      <c r="P169" s="2023" t="s">
        <v>5459</v>
      </c>
      <c r="Q169" s="2023" t="s">
        <v>5459</v>
      </c>
      <c r="R169" s="2023" t="s">
        <v>5459</v>
      </c>
      <c r="S169" s="2023" t="s">
        <v>5459</v>
      </c>
      <c r="T169" s="2109" t="s">
        <v>5606</v>
      </c>
      <c r="U169" s="2112">
        <f>SUM(U166:U168)</f>
        <v>8658.8760322337548</v>
      </c>
      <c r="V169" s="2112">
        <f t="shared" ref="V169:X169" si="21">SUM(V166:V168)</f>
        <v>0</v>
      </c>
      <c r="W169" s="2112">
        <f t="shared" si="21"/>
        <v>15120.344575701138</v>
      </c>
      <c r="X169" s="2112">
        <f t="shared" si="21"/>
        <v>23779.220607934894</v>
      </c>
      <c r="Y169" s="2023" t="s">
        <v>5459</v>
      </c>
    </row>
    <row r="170" spans="4:25" ht="12" customHeight="1" x14ac:dyDescent="0.25">
      <c r="D170" s="2023" t="s">
        <v>5459</v>
      </c>
      <c r="E170" s="2023" t="s">
        <v>5459</v>
      </c>
      <c r="F170" s="2023" t="s">
        <v>5459</v>
      </c>
      <c r="G170" s="2023" t="s">
        <v>5459</v>
      </c>
      <c r="H170" s="2023" t="s">
        <v>5459</v>
      </c>
      <c r="I170" s="2023" t="s">
        <v>5459</v>
      </c>
      <c r="J170" s="2023" t="s">
        <v>5459</v>
      </c>
      <c r="K170" s="2023" t="s">
        <v>5459</v>
      </c>
      <c r="L170" s="2023" t="s">
        <v>5459</v>
      </c>
      <c r="M170" s="2023" t="s">
        <v>5459</v>
      </c>
      <c r="N170" s="2023" t="s">
        <v>5459</v>
      </c>
      <c r="O170" s="2023" t="s">
        <v>5459</v>
      </c>
      <c r="P170" s="2023" t="s">
        <v>5459</v>
      </c>
      <c r="Q170" s="2023" t="s">
        <v>5459</v>
      </c>
      <c r="R170" s="2023" t="s">
        <v>5459</v>
      </c>
      <c r="S170" s="2023" t="s">
        <v>5459</v>
      </c>
      <c r="T170" s="2114" t="s">
        <v>5459</v>
      </c>
      <c r="U170" s="2114" t="s">
        <v>5459</v>
      </c>
      <c r="V170" s="2114" t="s">
        <v>5459</v>
      </c>
      <c r="W170" s="2113" t="s">
        <v>5607</v>
      </c>
      <c r="X170" s="2112">
        <f>G156+H156+I156</f>
        <v>23779.220607934887</v>
      </c>
      <c r="Y170" s="2104">
        <f>X169-X170</f>
        <v>0</v>
      </c>
    </row>
    <row r="171" spans="4:25" ht="12" customHeight="1" x14ac:dyDescent="0.25">
      <c r="D171" s="2023" t="s">
        <v>5459</v>
      </c>
      <c r="E171" s="2023" t="s">
        <v>5459</v>
      </c>
      <c r="F171" s="2022" t="s">
        <v>5459</v>
      </c>
      <c r="G171" s="2022" t="s">
        <v>5459</v>
      </c>
      <c r="H171" s="2022" t="s">
        <v>5459</v>
      </c>
      <c r="I171" s="2022" t="s">
        <v>5459</v>
      </c>
      <c r="J171" s="2023" t="s">
        <v>5459</v>
      </c>
      <c r="K171" s="2023" t="s">
        <v>5459</v>
      </c>
      <c r="L171" s="2023" t="s">
        <v>5459</v>
      </c>
      <c r="M171" s="2023" t="s">
        <v>5459</v>
      </c>
      <c r="N171" s="2023" t="s">
        <v>5459</v>
      </c>
      <c r="O171" s="2023" t="s">
        <v>5459</v>
      </c>
      <c r="P171" s="2023" t="s">
        <v>5459</v>
      </c>
      <c r="Q171" s="2023" t="s">
        <v>5459</v>
      </c>
      <c r="R171" s="2023" t="s">
        <v>5459</v>
      </c>
      <c r="S171" s="2023" t="s">
        <v>5459</v>
      </c>
      <c r="T171" s="2023" t="s">
        <v>5459</v>
      </c>
      <c r="U171" s="2023" t="s">
        <v>5459</v>
      </c>
      <c r="V171" s="2023" t="s">
        <v>5459</v>
      </c>
      <c r="W171" s="2023" t="s">
        <v>5459</v>
      </c>
      <c r="X171" s="2023" t="s">
        <v>5459</v>
      </c>
      <c r="Y171" s="2023" t="s">
        <v>5459</v>
      </c>
    </row>
    <row r="172" spans="4:25" ht="12" customHeight="1" x14ac:dyDescent="0.25">
      <c r="D172" s="2023" t="s">
        <v>5459</v>
      </c>
      <c r="E172" s="2023" t="s">
        <v>5459</v>
      </c>
      <c r="F172" s="2022" t="s">
        <v>5459</v>
      </c>
      <c r="G172" s="2022" t="s">
        <v>5459</v>
      </c>
      <c r="H172" s="2022" t="s">
        <v>5459</v>
      </c>
      <c r="I172" s="2022" t="s">
        <v>5459</v>
      </c>
      <c r="J172" s="2023" t="s">
        <v>5459</v>
      </c>
      <c r="K172" s="2023" t="s">
        <v>5459</v>
      </c>
      <c r="L172" s="2023" t="s">
        <v>5459</v>
      </c>
      <c r="M172" s="2023" t="s">
        <v>5459</v>
      </c>
      <c r="N172" s="2023" t="s">
        <v>5459</v>
      </c>
      <c r="O172" s="2023" t="s">
        <v>5459</v>
      </c>
      <c r="P172" s="2023" t="s">
        <v>5459</v>
      </c>
      <c r="Q172" s="2023" t="s">
        <v>5459</v>
      </c>
      <c r="R172" s="2023" t="s">
        <v>5459</v>
      </c>
      <c r="S172" s="2023" t="s">
        <v>5459</v>
      </c>
      <c r="T172" s="2023" t="s">
        <v>5459</v>
      </c>
      <c r="U172" s="2023" t="s">
        <v>5459</v>
      </c>
      <c r="V172" s="2023" t="s">
        <v>5459</v>
      </c>
      <c r="W172" s="2023" t="s">
        <v>5459</v>
      </c>
      <c r="X172" s="2023" t="s">
        <v>5459</v>
      </c>
      <c r="Y172" s="2023" t="s">
        <v>5459</v>
      </c>
    </row>
    <row r="173" spans="4:25" ht="12" customHeight="1" x14ac:dyDescent="0.25">
      <c r="D173" s="2023" t="s">
        <v>5459</v>
      </c>
      <c r="E173" s="2023" t="s">
        <v>5459</v>
      </c>
      <c r="F173" s="2022" t="s">
        <v>5459</v>
      </c>
      <c r="G173" s="2022" t="s">
        <v>5459</v>
      </c>
      <c r="H173" s="2022" t="s">
        <v>5459</v>
      </c>
      <c r="I173" s="2022" t="s">
        <v>5459</v>
      </c>
      <c r="J173" s="2023" t="s">
        <v>5459</v>
      </c>
      <c r="K173" s="2023" t="s">
        <v>5459</v>
      </c>
      <c r="L173" s="2023" t="s">
        <v>5459</v>
      </c>
      <c r="M173" s="2023" t="s">
        <v>5459</v>
      </c>
      <c r="N173" s="2023" t="s">
        <v>5459</v>
      </c>
      <c r="O173" s="2023" t="s">
        <v>5459</v>
      </c>
      <c r="P173" s="2023" t="s">
        <v>5459</v>
      </c>
      <c r="Q173" s="2023" t="s">
        <v>5459</v>
      </c>
      <c r="R173" s="2115"/>
      <c r="S173" s="2115" t="s">
        <v>707</v>
      </c>
      <c r="T173" s="2116" t="s">
        <v>197</v>
      </c>
      <c r="U173" s="2116" t="s">
        <v>5609</v>
      </c>
      <c r="V173" s="2116" t="s">
        <v>5610</v>
      </c>
      <c r="W173" s="2116" t="s">
        <v>5611</v>
      </c>
      <c r="X173" s="2023" t="s">
        <v>5459</v>
      </c>
      <c r="Y173" s="2023" t="s">
        <v>5459</v>
      </c>
    </row>
    <row r="174" spans="4:25" ht="12" customHeight="1" x14ac:dyDescent="0.25">
      <c r="D174" s="2023" t="s">
        <v>5459</v>
      </c>
      <c r="E174" s="2023" t="s">
        <v>5459</v>
      </c>
      <c r="F174" s="2022" t="s">
        <v>5459</v>
      </c>
      <c r="G174" s="2022" t="s">
        <v>5459</v>
      </c>
      <c r="H174" s="2022" t="s">
        <v>5459</v>
      </c>
      <c r="I174" s="2022" t="s">
        <v>5459</v>
      </c>
      <c r="J174" s="2023" t="s">
        <v>5459</v>
      </c>
      <c r="K174" s="2023" t="s">
        <v>5459</v>
      </c>
      <c r="L174" s="2023" t="s">
        <v>5459</v>
      </c>
      <c r="M174" s="2023" t="s">
        <v>5459</v>
      </c>
      <c r="N174" s="2023" t="s">
        <v>5459</v>
      </c>
      <c r="O174" s="2023" t="s">
        <v>5459</v>
      </c>
      <c r="P174" s="2023" t="s">
        <v>5459</v>
      </c>
      <c r="Q174" s="2023" t="s">
        <v>5459</v>
      </c>
      <c r="R174" s="2117" t="s">
        <v>5459</v>
      </c>
      <c r="S174" s="2118" t="s">
        <v>99</v>
      </c>
      <c r="T174" s="2119">
        <f>SUM(U174:W174)</f>
        <v>0.99999999999999989</v>
      </c>
      <c r="U174" s="2119">
        <f>VLOOKUP($S174,Ratios!$D$78:$G$87,2,FALSE)</f>
        <v>0.44019614379593275</v>
      </c>
      <c r="V174" s="2119">
        <f>VLOOKUP($S174,Ratios!$D$78:$G$87,3,FALSE)</f>
        <v>0</v>
      </c>
      <c r="W174" s="2119">
        <f>VLOOKUP($S174,Ratios!$D$78:$G$87,4,FALSE)</f>
        <v>0.55980385620406714</v>
      </c>
      <c r="X174" s="2023" t="s">
        <v>5459</v>
      </c>
      <c r="Y174" s="2023" t="s">
        <v>5459</v>
      </c>
    </row>
    <row r="175" spans="4:25" ht="12" customHeight="1" x14ac:dyDescent="0.25">
      <c r="D175" s="2023" t="s">
        <v>5459</v>
      </c>
      <c r="E175" s="2023" t="s">
        <v>5459</v>
      </c>
      <c r="F175" s="2022" t="s">
        <v>5459</v>
      </c>
      <c r="G175" s="2022" t="s">
        <v>5459</v>
      </c>
      <c r="H175" s="2022" t="s">
        <v>5459</v>
      </c>
      <c r="I175" s="2022" t="s">
        <v>5459</v>
      </c>
      <c r="J175" s="2023" t="s">
        <v>5459</v>
      </c>
      <c r="K175" s="2023" t="s">
        <v>5459</v>
      </c>
      <c r="L175" s="2023" t="s">
        <v>5459</v>
      </c>
      <c r="M175" s="2023" t="s">
        <v>5459</v>
      </c>
      <c r="N175" s="2023" t="s">
        <v>5459</v>
      </c>
      <c r="O175" s="2023" t="s">
        <v>5459</v>
      </c>
      <c r="P175" s="2023" t="s">
        <v>5459</v>
      </c>
      <c r="Q175" s="2023" t="s">
        <v>5459</v>
      </c>
      <c r="R175" s="2117" t="s">
        <v>5459</v>
      </c>
      <c r="S175" s="2118" t="s">
        <v>394</v>
      </c>
      <c r="T175" s="2119">
        <f t="shared" ref="T175:T179" si="22">SUM(U175:W175)</f>
        <v>1</v>
      </c>
      <c r="U175" s="2119">
        <f>VLOOKUP($S175,Ratios!$D$78:$G$87,2,FALSE)</f>
        <v>1</v>
      </c>
      <c r="V175" s="2119">
        <f>VLOOKUP($S175,Ratios!$D$78:$G$87,3,FALSE)</f>
        <v>0</v>
      </c>
      <c r="W175" s="2119">
        <f>VLOOKUP($S175,Ratios!$D$78:$G$87,4,FALSE)</f>
        <v>0</v>
      </c>
      <c r="X175" s="2023" t="s">
        <v>5459</v>
      </c>
      <c r="Y175" s="2023" t="s">
        <v>5459</v>
      </c>
    </row>
    <row r="176" spans="4:25" ht="12" customHeight="1" x14ac:dyDescent="0.25">
      <c r="D176" s="2023" t="s">
        <v>5459</v>
      </c>
      <c r="E176" s="2023" t="s">
        <v>5459</v>
      </c>
      <c r="F176" s="2022" t="s">
        <v>5459</v>
      </c>
      <c r="G176" s="2022" t="s">
        <v>5459</v>
      </c>
      <c r="H176" s="2022" t="s">
        <v>5459</v>
      </c>
      <c r="I176" s="2022" t="s">
        <v>5459</v>
      </c>
      <c r="J176" s="2023" t="s">
        <v>5459</v>
      </c>
      <c r="K176" s="2023" t="s">
        <v>5459</v>
      </c>
      <c r="L176" s="2023" t="s">
        <v>5459</v>
      </c>
      <c r="M176" s="2023" t="s">
        <v>5459</v>
      </c>
      <c r="N176" s="2023" t="s">
        <v>5459</v>
      </c>
      <c r="O176" s="2023" t="s">
        <v>5459</v>
      </c>
      <c r="P176" s="2023" t="s">
        <v>5459</v>
      </c>
      <c r="Q176" s="2023" t="s">
        <v>5459</v>
      </c>
      <c r="R176" s="2117" t="s">
        <v>5459</v>
      </c>
      <c r="S176" s="2118" t="s">
        <v>393</v>
      </c>
      <c r="T176" s="2119">
        <f t="shared" si="22"/>
        <v>1</v>
      </c>
      <c r="U176" s="2119">
        <f>VLOOKUP($S176,Ratios!$D$78:$G$87,2,FALSE)</f>
        <v>0</v>
      </c>
      <c r="V176" s="2119">
        <f>VLOOKUP($S176,Ratios!$D$78:$G$87,3,FALSE)</f>
        <v>0</v>
      </c>
      <c r="W176" s="2119">
        <f>VLOOKUP($S176,Ratios!$D$78:$G$87,4,FALSE)</f>
        <v>1</v>
      </c>
      <c r="X176" s="2023" t="s">
        <v>5459</v>
      </c>
      <c r="Y176" s="2023" t="s">
        <v>5459</v>
      </c>
    </row>
    <row r="177" spans="4:25" ht="12" customHeight="1" x14ac:dyDescent="0.25">
      <c r="D177" s="2023" t="s">
        <v>5459</v>
      </c>
      <c r="E177" s="2023" t="s">
        <v>5459</v>
      </c>
      <c r="F177" s="2022" t="s">
        <v>5459</v>
      </c>
      <c r="G177" s="2022" t="s">
        <v>5459</v>
      </c>
      <c r="H177" s="2022" t="s">
        <v>5459</v>
      </c>
      <c r="I177" s="2022" t="s">
        <v>5459</v>
      </c>
      <c r="J177" s="2023" t="s">
        <v>5459</v>
      </c>
      <c r="K177" s="2023" t="s">
        <v>5459</v>
      </c>
      <c r="L177" s="2023" t="s">
        <v>5459</v>
      </c>
      <c r="M177" s="2023" t="s">
        <v>5459</v>
      </c>
      <c r="N177" s="2023" t="s">
        <v>5459</v>
      </c>
      <c r="O177" s="2023" t="s">
        <v>5459</v>
      </c>
      <c r="P177" s="2023" t="s">
        <v>5459</v>
      </c>
      <c r="Q177" s="2023" t="s">
        <v>5459</v>
      </c>
      <c r="R177" s="2117" t="s">
        <v>5459</v>
      </c>
      <c r="S177" s="2118" t="s">
        <v>392</v>
      </c>
      <c r="T177" s="2119">
        <f t="shared" si="22"/>
        <v>1</v>
      </c>
      <c r="U177" s="2119">
        <f>VLOOKUP($S177,Ratios!$D$78:$G$87,2,FALSE)</f>
        <v>0</v>
      </c>
      <c r="V177" s="2119">
        <f>VLOOKUP($S177,Ratios!$D$78:$G$87,3,FALSE)</f>
        <v>0</v>
      </c>
      <c r="W177" s="2119">
        <f>VLOOKUP($S177,Ratios!$D$78:$G$87,4,FALSE)</f>
        <v>1</v>
      </c>
      <c r="X177" s="2023" t="s">
        <v>5459</v>
      </c>
      <c r="Y177" s="2023" t="s">
        <v>5459</v>
      </c>
    </row>
    <row r="178" spans="4:25" ht="12" customHeight="1" x14ac:dyDescent="0.25">
      <c r="D178" s="2023" t="s">
        <v>5459</v>
      </c>
      <c r="E178" s="2023" t="s">
        <v>5459</v>
      </c>
      <c r="F178" s="2022" t="s">
        <v>5459</v>
      </c>
      <c r="G178" s="2022" t="s">
        <v>5459</v>
      </c>
      <c r="H178" s="2022" t="s">
        <v>5459</v>
      </c>
      <c r="I178" s="2022" t="s">
        <v>5459</v>
      </c>
      <c r="J178" s="2023" t="s">
        <v>5459</v>
      </c>
      <c r="K178" s="2023" t="s">
        <v>5459</v>
      </c>
      <c r="L178" s="2023" t="s">
        <v>5459</v>
      </c>
      <c r="M178" s="2023" t="s">
        <v>5459</v>
      </c>
      <c r="N178" s="2023" t="s">
        <v>5459</v>
      </c>
      <c r="O178" s="2023" t="s">
        <v>5459</v>
      </c>
      <c r="P178" s="2023" t="s">
        <v>5459</v>
      </c>
      <c r="Q178" s="2023" t="s">
        <v>5459</v>
      </c>
      <c r="R178" s="2117" t="s">
        <v>5459</v>
      </c>
      <c r="S178" s="2118" t="s">
        <v>95</v>
      </c>
      <c r="T178" s="2119">
        <f t="shared" si="22"/>
        <v>1</v>
      </c>
      <c r="U178" s="2119">
        <f>VLOOKUP($S178,Ratios!$D$78:$G$87,2,FALSE)</f>
        <v>0.41685340178759894</v>
      </c>
      <c r="V178" s="2119">
        <f>VLOOKUP($S178,Ratios!$D$78:$G$87,3,FALSE)</f>
        <v>0</v>
      </c>
      <c r="W178" s="2119">
        <f>VLOOKUP($S178,Ratios!$D$78:$G$87,4,FALSE)</f>
        <v>0.58314659821240111</v>
      </c>
      <c r="X178" s="2023" t="s">
        <v>5459</v>
      </c>
      <c r="Y178" s="2023" t="s">
        <v>5459</v>
      </c>
    </row>
    <row r="179" spans="4:25" ht="12" customHeight="1" x14ac:dyDescent="0.25">
      <c r="D179" s="2023" t="s">
        <v>5459</v>
      </c>
      <c r="E179" s="2023" t="s">
        <v>5459</v>
      </c>
      <c r="F179" s="2022" t="s">
        <v>5459</v>
      </c>
      <c r="G179" s="2022" t="s">
        <v>5459</v>
      </c>
      <c r="H179" s="2022" t="s">
        <v>5459</v>
      </c>
      <c r="I179" s="2022" t="s">
        <v>5459</v>
      </c>
      <c r="J179" s="2023" t="s">
        <v>5459</v>
      </c>
      <c r="K179" s="2023" t="s">
        <v>5459</v>
      </c>
      <c r="L179" s="2023" t="s">
        <v>5459</v>
      </c>
      <c r="M179" s="2023" t="s">
        <v>5459</v>
      </c>
      <c r="N179" s="2023" t="s">
        <v>5459</v>
      </c>
      <c r="O179" s="2023" t="s">
        <v>5459</v>
      </c>
      <c r="P179" s="2023" t="s">
        <v>5459</v>
      </c>
      <c r="Q179" s="2023" t="s">
        <v>5459</v>
      </c>
      <c r="R179" s="2117" t="s">
        <v>5459</v>
      </c>
      <c r="S179" s="2118" t="s">
        <v>109</v>
      </c>
      <c r="T179" s="2119">
        <f t="shared" si="22"/>
        <v>1</v>
      </c>
      <c r="U179" s="2119">
        <f>VLOOKUP($S179,Ratios!$D$78:$G$87,2,FALSE)</f>
        <v>0</v>
      </c>
      <c r="V179" s="2119">
        <f>VLOOKUP($S179,Ratios!$D$78:$G$87,3,FALSE)</f>
        <v>0</v>
      </c>
      <c r="W179" s="2119">
        <f>VLOOKUP($S179,Ratios!$D$78:$G$87,4,FALSE)</f>
        <v>1</v>
      </c>
      <c r="X179" s="2023" t="s">
        <v>5459</v>
      </c>
      <c r="Y179" s="2023" t="s">
        <v>5459</v>
      </c>
    </row>
  </sheetData>
  <mergeCells count="5">
    <mergeCell ref="M9:Q9"/>
    <mergeCell ref="T9:W9"/>
    <mergeCell ref="M152:P152"/>
    <mergeCell ref="Y90:AF90"/>
    <mergeCell ref="Y94:AF94"/>
  </mergeCells>
  <printOptions horizontalCentered="1"/>
  <pageMargins left="0.75" right="0.75" top="0.75" bottom="1" header="0.5" footer="0.5"/>
  <pageSetup scale="10" fitToHeight="15" orientation="landscape" r:id="rId1"/>
  <headerFooter alignWithMargins="0">
    <oddFooter>&amp;C&amp;P of &amp;N</oddFooter>
  </headerFooter>
  <customProperties>
    <customPr name="_pios_id" r:id="rId2"/>
  </customProperties>
  <drawing r:id="rId3"/>
  <legacyDrawing r:id="rId4"/>
  <oleObjects>
    <mc:AlternateContent xmlns:mc="http://schemas.openxmlformats.org/markup-compatibility/2006">
      <mc:Choice Requires="x14">
        <oleObject progId="StaticMetafile" shapeId="121857" r:id="rId5">
          <objectPr defaultSize="0" autoPict="0" r:id="rId6">
            <anchor moveWithCells="1" sizeWithCells="1">
              <from>
                <xdr:col>0</xdr:col>
                <xdr:colOff>9525</xdr:colOff>
                <xdr:row>2</xdr:row>
                <xdr:rowOff>28575</xdr:rowOff>
              </from>
              <to>
                <xdr:col>1</xdr:col>
                <xdr:colOff>1095375</xdr:colOff>
                <xdr:row>2</xdr:row>
                <xdr:rowOff>504825</xdr:rowOff>
              </to>
            </anchor>
          </objectPr>
        </oleObject>
      </mc:Choice>
      <mc:Fallback>
        <oleObject progId="StaticMetafile" shapeId="121857" r:id="rId5"/>
      </mc:Fallback>
    </mc:AlternateContent>
    <mc:AlternateContent xmlns:mc="http://schemas.openxmlformats.org/markup-compatibility/2006">
      <mc:Choice Requires="x14">
        <oleObject progId="StaticMetafile" shapeId="121858" r:id="rId7">
          <objectPr defaultSize="0" autoPict="0" r:id="rId6">
            <anchor moveWithCells="1" sizeWithCells="1">
              <from>
                <xdr:col>0</xdr:col>
                <xdr:colOff>38100</xdr:colOff>
                <xdr:row>0</xdr:row>
                <xdr:rowOff>95250</xdr:rowOff>
              </from>
              <to>
                <xdr:col>1</xdr:col>
                <xdr:colOff>1905000</xdr:colOff>
                <xdr:row>3</xdr:row>
                <xdr:rowOff>9525</xdr:rowOff>
              </to>
            </anchor>
          </objectPr>
        </oleObject>
      </mc:Choice>
      <mc:Fallback>
        <oleObject progId="StaticMetafile" shapeId="121858" r:id="rId7"/>
      </mc:Fallback>
    </mc:AlternateContent>
  </oleObjects>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7371DD-569C-485C-8816-7EA06B4B212D}">
  <sheetPr codeName="Sheet131">
    <tabColor rgb="FF00B0F0"/>
    <pageSetUpPr fitToPage="1"/>
  </sheetPr>
  <dimension ref="A1:EP2313"/>
  <sheetViews>
    <sheetView showGridLines="0" topLeftCell="A3" zoomScale="85" zoomScaleNormal="85" zoomScaleSheetLayoutView="100" workbookViewId="0">
      <pane ySplit="34" topLeftCell="A37" activePane="bottomLeft" state="frozen"/>
      <selection activeCell="R63" sqref="R63"/>
      <selection pane="bottomLeft" activeCell="R63" sqref="R63"/>
    </sheetView>
  </sheetViews>
  <sheetFormatPr defaultRowHeight="12" customHeight="1" outlineLevelRow="2" x14ac:dyDescent="0.2"/>
  <cols>
    <col min="1" max="1" width="14.25" style="1953" customWidth="1"/>
    <col min="2" max="2" width="19.25" style="1953" customWidth="1"/>
    <col min="3" max="3" width="16.25" style="1953" customWidth="1"/>
    <col min="4" max="4" width="34.625" style="1953" bestFit="1" customWidth="1"/>
    <col min="5" max="5" width="6.5" style="1953" bestFit="1" customWidth="1"/>
    <col min="6" max="6" width="8.875" style="1953" bestFit="1" customWidth="1"/>
    <col min="7" max="7" width="8.25" style="1953" bestFit="1" customWidth="1"/>
    <col min="8" max="8" width="7.875" style="1953" bestFit="1" customWidth="1"/>
    <col min="9" max="9" width="7.125" style="1953" bestFit="1" customWidth="1"/>
    <col min="10" max="11" width="6.5" style="1953" customWidth="1"/>
    <col min="12" max="12" width="2" style="1953" bestFit="1" customWidth="1"/>
    <col min="13" max="13" width="6.25" style="1953" bestFit="1" customWidth="1"/>
    <col min="14" max="14" width="5.5" style="1953" bestFit="1" customWidth="1"/>
    <col min="15" max="16" width="4.75" style="1953" bestFit="1" customWidth="1"/>
    <col min="17" max="17" width="5.5" style="1953" bestFit="1" customWidth="1"/>
    <col min="18" max="19" width="6.5" style="1953" customWidth="1"/>
    <col min="20" max="20" width="4.875" style="1953" customWidth="1"/>
    <col min="21" max="24" width="4" style="1953" customWidth="1"/>
    <col min="25" max="25" width="4.875" style="1953" customWidth="1"/>
    <col min="26" max="26" width="4" style="1953" customWidth="1"/>
    <col min="27" max="27" width="6.25" style="1953" customWidth="1"/>
    <col min="28" max="29" width="4.875" style="1953" customWidth="1"/>
    <col min="30" max="30" width="4" style="1953" customWidth="1"/>
    <col min="31" max="31" width="4.875" style="1953" customWidth="1"/>
    <col min="32" max="32" width="4" style="1953" customWidth="1"/>
    <col min="33" max="33" width="19.625" style="1953" customWidth="1"/>
    <col min="34" max="34" width="8.375" style="1953" customWidth="1"/>
    <col min="35" max="35" width="19.625" style="1953" customWidth="1"/>
    <col min="36" max="36" width="8.375" style="1953" customWidth="1"/>
    <col min="37" max="37" width="19.625" style="1953" customWidth="1"/>
    <col min="38" max="38" width="8.375" style="1953" customWidth="1"/>
    <col min="39" max="39" width="19.625" style="1953" customWidth="1"/>
    <col min="40" max="40" width="8.375" style="1953" customWidth="1"/>
    <col min="41" max="41" width="19.625" style="1953" customWidth="1"/>
    <col min="42" max="42" width="8.375" style="1953" customWidth="1"/>
    <col min="43" max="43" width="13.5" style="1953" customWidth="1"/>
    <col min="44" max="44" width="20" style="1953" customWidth="1"/>
    <col min="45" max="45" width="5.75" style="1953" customWidth="1"/>
    <col min="46" max="46" width="25.75" style="1953" customWidth="1"/>
    <col min="47" max="50" width="20" style="1953" customWidth="1"/>
    <col min="51" max="51" width="5.75" style="1953" customWidth="1"/>
    <col min="52" max="52" width="19.625" style="1953" customWidth="1"/>
    <col min="53" max="53" width="13" style="1953" customWidth="1"/>
    <col min="54" max="54" width="19.75" style="1953" customWidth="1"/>
    <col min="55" max="55" width="25.75" style="1953" customWidth="1"/>
    <col min="56" max="56" width="13" style="1953" customWidth="1"/>
    <col min="57" max="57" width="25.75" style="1953" customWidth="1"/>
    <col min="58" max="58" width="13" style="1953" customWidth="1"/>
    <col min="59" max="59" width="5.75" style="1953" customWidth="1"/>
    <col min="60" max="60" width="13" style="1953" customWidth="1"/>
    <col min="61" max="61" width="5.75" style="1953" customWidth="1"/>
    <col min="62" max="62" width="19.625" style="1953" customWidth="1"/>
    <col min="63" max="63" width="13" style="1953" customWidth="1"/>
    <col min="64" max="64" width="5.375" style="1953" customWidth="1"/>
    <col min="65" max="65" width="19.625" style="1953" customWidth="1"/>
    <col min="66" max="66" width="19.375" style="1953" customWidth="1"/>
    <col min="67" max="67" width="9.5" style="1953" customWidth="1"/>
    <col min="68" max="68" width="5.375" style="1953" customWidth="1"/>
    <col min="69" max="69" width="4.25" style="1953" customWidth="1"/>
    <col min="70" max="70" width="9.5" style="1953" customWidth="1"/>
    <col min="71" max="71" width="10.375" style="1953" customWidth="1"/>
    <col min="72" max="73" width="9.5" style="1953" customWidth="1"/>
    <col min="74" max="74" width="8.375" style="1953" customWidth="1"/>
    <col min="75" max="75" width="4.875" style="1953" customWidth="1"/>
    <col min="76" max="76" width="4" style="1953" customWidth="1"/>
    <col min="77" max="77" width="5.25" style="1953" customWidth="1"/>
    <col min="78" max="78" width="4.5" style="1953" customWidth="1"/>
    <col min="79" max="79" width="5.25" style="1953" customWidth="1"/>
    <col min="80" max="80" width="4.5" style="1953" customWidth="1"/>
    <col min="81" max="81" width="5.25" style="1953" customWidth="1"/>
    <col min="82" max="82" width="4.5" style="1953" customWidth="1"/>
    <col min="83" max="83" width="5.25" style="1953" customWidth="1"/>
    <col min="84" max="84" width="4.5" style="1953" customWidth="1"/>
    <col min="85" max="85" width="5.25" style="1953" customWidth="1"/>
    <col min="86" max="86" width="4.5" style="1953" customWidth="1"/>
    <col min="87" max="87" width="5.25" style="1953" customWidth="1"/>
    <col min="88" max="88" width="4.5" style="1953" customWidth="1"/>
    <col min="89" max="89" width="5.25" style="1953" customWidth="1"/>
    <col min="90" max="90" width="4.5" style="1953" customWidth="1"/>
    <col min="91" max="91" width="5.25" style="1953" customWidth="1"/>
    <col min="92" max="92" width="4.5" style="1953" customWidth="1"/>
    <col min="93" max="93" width="5.25" style="1953" customWidth="1"/>
    <col min="94" max="94" width="4.5" style="1953" customWidth="1"/>
    <col min="95" max="95" width="5.25" style="1953" customWidth="1"/>
    <col min="96" max="96" width="4.5" style="1953" customWidth="1"/>
    <col min="97" max="97" width="5.25" style="1953" customWidth="1"/>
    <col min="98" max="98" width="4.5" style="1953" customWidth="1"/>
    <col min="99" max="99" width="5.25" style="1953" customWidth="1"/>
    <col min="100" max="100" width="4.5" style="1953" customWidth="1"/>
    <col min="101" max="101" width="5.25" style="1953" customWidth="1"/>
    <col min="102" max="102" width="4.5" style="1953" customWidth="1"/>
    <col min="103" max="103" width="5.25" style="1953" customWidth="1"/>
    <col min="104" max="104" width="4.5" style="1953" customWidth="1"/>
    <col min="105" max="105" width="5.25" style="1953" customWidth="1"/>
    <col min="106" max="106" width="4.5" style="1953" customWidth="1"/>
    <col min="107" max="107" width="5.25" style="1953" customWidth="1"/>
    <col min="108" max="108" width="4.5" style="1953" customWidth="1"/>
    <col min="109" max="109" width="5.25" style="1953" customWidth="1"/>
    <col min="110" max="110" width="4.5" style="1953" customWidth="1"/>
    <col min="111" max="111" width="5.25" style="1953" customWidth="1"/>
    <col min="112" max="112" width="4.5" style="1953" customWidth="1"/>
    <col min="113" max="113" width="5.25" style="1953" customWidth="1"/>
    <col min="114" max="114" width="4.5" style="1953" customWidth="1"/>
    <col min="115" max="115" width="5.25" style="1953" customWidth="1"/>
    <col min="116" max="116" width="4.5" style="1953" customWidth="1"/>
    <col min="117" max="117" width="5.25" style="1953" customWidth="1"/>
    <col min="118" max="118" width="4.5" style="1953" customWidth="1"/>
    <col min="119" max="119" width="5.25" style="1953" customWidth="1"/>
    <col min="120" max="120" width="4.5" style="1953" customWidth="1"/>
    <col min="121" max="121" width="5.25" style="1953" customWidth="1"/>
    <col min="122" max="122" width="4.5" style="1953" customWidth="1"/>
    <col min="123" max="123" width="5.25" style="1953" customWidth="1"/>
    <col min="124" max="124" width="4.5" style="1953" customWidth="1"/>
    <col min="125" max="125" width="5.25" style="1953" customWidth="1"/>
    <col min="126" max="126" width="4.5" style="1953" customWidth="1"/>
    <col min="127" max="127" width="5.25" style="1953" customWidth="1"/>
    <col min="128" max="128" width="4.5" style="1953" customWidth="1"/>
    <col min="129" max="129" width="5.25" style="1953" customWidth="1"/>
    <col min="130" max="130" width="4.5" style="1953" customWidth="1"/>
    <col min="131" max="131" width="7.125" style="1953" customWidth="1"/>
    <col min="132" max="132" width="6" style="1953" customWidth="1"/>
    <col min="133" max="133" width="5.25" style="1953" customWidth="1"/>
    <col min="134" max="134" width="4.5" style="1953" customWidth="1"/>
    <col min="135" max="135" width="5.25" style="1953" customWidth="1"/>
    <col min="136" max="136" width="4.5" style="1953" customWidth="1"/>
    <col min="137" max="137" width="5.25" style="1953" customWidth="1"/>
    <col min="138" max="138" width="4.5" style="1953" customWidth="1"/>
    <col min="139" max="139" width="5.25" style="1953" customWidth="1"/>
    <col min="140" max="140" width="4.5" style="1953" customWidth="1"/>
    <col min="141" max="141" width="5.25" style="1953" customWidth="1"/>
    <col min="142" max="142" width="4.5" style="1953" customWidth="1"/>
    <col min="143" max="143" width="5.25" style="1953" customWidth="1"/>
    <col min="144" max="144" width="4.5" style="1953" customWidth="1"/>
    <col min="145" max="145" width="5.25" style="1953" customWidth="1"/>
    <col min="146" max="146" width="4.5" style="1953" customWidth="1"/>
    <col min="147" max="16384" width="9" style="1953"/>
  </cols>
  <sheetData>
    <row r="1" spans="1:145" s="1946" customFormat="1" ht="39.950000000000003" hidden="1" customHeight="1" x14ac:dyDescent="0.2">
      <c r="BJ1" s="1947"/>
    </row>
    <row r="2" spans="1:145" s="1946" customFormat="1" ht="42" hidden="1" customHeight="1" x14ac:dyDescent="0.2"/>
    <row r="3" spans="1:145" s="1946" customFormat="1" ht="35.25" customHeight="1" x14ac:dyDescent="0.2">
      <c r="D3" s="1947"/>
      <c r="F3" s="1947"/>
      <c r="G3" s="1947"/>
      <c r="I3" s="1947"/>
      <c r="K3" s="1947"/>
      <c r="M3" s="1947"/>
      <c r="O3" s="1947"/>
      <c r="AT3" s="1947"/>
      <c r="AZ3" s="1947"/>
      <c r="BC3" s="1947"/>
      <c r="BE3" s="1947"/>
      <c r="BJ3" s="1948"/>
      <c r="BL3" s="1947"/>
      <c r="BN3" s="1947"/>
      <c r="BP3" s="1947"/>
      <c r="BR3" s="1947"/>
      <c r="BT3" s="1947"/>
      <c r="BV3" s="1947"/>
      <c r="BX3" s="1947"/>
    </row>
    <row r="4" spans="1:145" s="1946" customFormat="1" ht="12" customHeight="1" x14ac:dyDescent="0.25">
      <c r="A4" s="1949"/>
      <c r="D4" s="1948"/>
      <c r="F4" s="1948"/>
      <c r="G4" s="1948"/>
      <c r="I4" s="1948"/>
      <c r="K4" s="1948"/>
      <c r="M4" s="1948"/>
      <c r="O4" s="1948"/>
      <c r="BJ4" s="1948"/>
      <c r="BZ4" s="1947"/>
    </row>
    <row r="5" spans="1:145" s="1946" customFormat="1" ht="12" customHeight="1" x14ac:dyDescent="0.2">
      <c r="A5" s="1950" t="s">
        <v>2214</v>
      </c>
      <c r="B5" s="1951"/>
      <c r="C5" s="1947"/>
      <c r="D5" s="1948"/>
      <c r="E5" s="1947"/>
      <c r="F5" s="1948"/>
      <c r="G5" s="1948"/>
      <c r="H5" s="1947"/>
      <c r="I5" s="1948"/>
      <c r="J5" s="1947"/>
      <c r="K5" s="1948"/>
      <c r="L5" s="1947"/>
      <c r="M5" s="1948"/>
      <c r="N5" s="1947"/>
      <c r="O5" s="1948"/>
      <c r="P5" s="1947"/>
      <c r="Q5" s="1947"/>
      <c r="R5" s="1947"/>
      <c r="S5" s="1947"/>
      <c r="T5" s="1947"/>
      <c r="U5" s="1947"/>
      <c r="V5" s="1947"/>
      <c r="W5" s="1947"/>
      <c r="X5" s="1947"/>
      <c r="Y5" s="1947"/>
      <c r="Z5" s="1947"/>
      <c r="AA5" s="1947"/>
      <c r="AB5" s="1947"/>
      <c r="AC5" s="1947"/>
      <c r="AD5" s="1947"/>
      <c r="AE5" s="1947"/>
      <c r="AF5" s="1947"/>
      <c r="AG5" s="1947"/>
      <c r="AH5" s="1947"/>
      <c r="AI5" s="1947"/>
      <c r="AJ5" s="1947"/>
      <c r="AK5" s="1947"/>
      <c r="AL5" s="1947"/>
      <c r="AM5" s="1947"/>
      <c r="AN5" s="1951"/>
      <c r="AO5" s="1951"/>
      <c r="AP5" s="1951"/>
      <c r="AQ5" s="1951"/>
      <c r="AR5" s="1951"/>
      <c r="AS5" s="1947"/>
      <c r="AU5" s="1951"/>
      <c r="AV5" s="1951"/>
      <c r="AW5" s="1951"/>
      <c r="AX5" s="1951"/>
      <c r="AY5" s="1947"/>
      <c r="BA5" s="1951"/>
      <c r="BB5" s="1947"/>
      <c r="BD5" s="1947"/>
      <c r="BF5" s="1951"/>
      <c r="BG5" s="1947"/>
      <c r="BH5" s="1951"/>
      <c r="BI5" s="1947"/>
      <c r="BJ5" s="1948"/>
      <c r="BK5" s="1947"/>
      <c r="BM5" s="1947"/>
      <c r="BO5" s="1947"/>
      <c r="BQ5" s="1947"/>
      <c r="BS5" s="1947"/>
      <c r="BU5" s="1947"/>
      <c r="BW5" s="1947"/>
      <c r="BY5" s="1947"/>
      <c r="CA5" s="1947"/>
      <c r="CB5" s="1947"/>
      <c r="CC5" s="1947"/>
      <c r="CD5" s="1947"/>
      <c r="CE5" s="1947"/>
      <c r="CF5" s="1947"/>
      <c r="CG5" s="1947"/>
      <c r="CH5" s="1947"/>
      <c r="CI5" s="1947"/>
      <c r="CJ5" s="1947"/>
      <c r="CK5" s="1947"/>
      <c r="CL5" s="1947"/>
      <c r="CM5" s="1947"/>
      <c r="CN5" s="1947"/>
      <c r="CO5" s="1947"/>
      <c r="CP5" s="1947"/>
    </row>
    <row r="6" spans="1:145" s="1946" customFormat="1" ht="12" customHeight="1" x14ac:dyDescent="0.2">
      <c r="A6" s="1952" t="s">
        <v>874</v>
      </c>
      <c r="B6" s="1952"/>
      <c r="C6" s="1948"/>
      <c r="D6" s="1948"/>
      <c r="E6" s="1948"/>
      <c r="F6" s="1948"/>
      <c r="G6" s="1948"/>
      <c r="H6" s="1948"/>
      <c r="I6" s="1948"/>
      <c r="J6" s="1948"/>
      <c r="K6" s="1948"/>
      <c r="L6" s="1948"/>
      <c r="M6" s="1948"/>
      <c r="N6" s="1948"/>
      <c r="O6" s="1948"/>
      <c r="P6" s="1948"/>
      <c r="Q6" s="1948"/>
      <c r="BJ6" s="1948"/>
    </row>
    <row r="7" spans="1:145" s="1946" customFormat="1" ht="12" customHeight="1" x14ac:dyDescent="0.2">
      <c r="A7" s="1952" t="s">
        <v>875</v>
      </c>
      <c r="B7" s="1952"/>
      <c r="C7" s="1948"/>
      <c r="E7" s="1948"/>
      <c r="H7" s="1948"/>
      <c r="J7" s="1948"/>
      <c r="L7" s="1948"/>
      <c r="N7" s="1948"/>
      <c r="P7" s="1948"/>
      <c r="Q7" s="1948"/>
      <c r="U7" s="1953"/>
      <c r="V7" s="1953"/>
      <c r="W7" s="1953"/>
      <c r="X7" s="1953"/>
      <c r="Y7" s="1953"/>
      <c r="Z7" s="1953"/>
      <c r="AA7" s="1953"/>
      <c r="AB7" s="1953"/>
      <c r="AC7" s="1953"/>
      <c r="AD7" s="1953"/>
      <c r="AE7" s="1953"/>
      <c r="AF7" s="1953"/>
      <c r="BJ7" s="1948"/>
      <c r="CY7" s="1953"/>
    </row>
    <row r="8" spans="1:145" s="1946" customFormat="1" ht="12" customHeight="1" x14ac:dyDescent="0.2">
      <c r="A8" s="1952" t="s">
        <v>876</v>
      </c>
      <c r="B8" s="1952"/>
      <c r="C8" s="1948"/>
      <c r="D8" s="1948"/>
      <c r="E8" s="1948"/>
      <c r="G8" s="1948"/>
      <c r="H8" s="1948"/>
      <c r="I8" s="1948"/>
      <c r="J8" s="1948"/>
      <c r="K8" s="1948"/>
      <c r="L8" s="1948"/>
      <c r="M8" s="1948"/>
      <c r="N8" s="1948"/>
      <c r="O8" s="1948"/>
      <c r="P8" s="1948"/>
      <c r="Q8" s="1948"/>
      <c r="AT8" s="1948"/>
      <c r="AZ8" s="1948"/>
      <c r="BC8" s="1948"/>
      <c r="BE8" s="1948"/>
      <c r="BJ8" s="1948"/>
      <c r="BL8" s="1948"/>
      <c r="BN8" s="1948"/>
      <c r="BP8" s="1948"/>
      <c r="BR8" s="1948"/>
      <c r="BT8" s="1948"/>
      <c r="BV8" s="1948"/>
      <c r="BX8" s="1948"/>
    </row>
    <row r="9" spans="1:145" s="1946" customFormat="1" ht="12" customHeight="1" x14ac:dyDescent="0.2">
      <c r="D9" s="1954"/>
      <c r="G9" s="1954"/>
      <c r="I9" s="1954"/>
      <c r="K9" s="1954"/>
      <c r="M9" s="1954"/>
      <c r="O9" s="1954"/>
      <c r="AT9" s="1954"/>
      <c r="AZ9" s="1954"/>
      <c r="BC9" s="1954"/>
      <c r="BE9" s="1954"/>
      <c r="BJ9" s="1948"/>
      <c r="BL9" s="1948"/>
      <c r="BN9" s="1948"/>
      <c r="BP9" s="1948"/>
      <c r="BR9" s="1948"/>
      <c r="BT9" s="1948"/>
      <c r="BV9" s="1948"/>
      <c r="BX9" s="1948"/>
      <c r="BZ9" s="1948"/>
    </row>
    <row r="10" spans="1:145" s="1946" customFormat="1" ht="12" hidden="1" customHeight="1" outlineLevel="1" x14ac:dyDescent="0.2">
      <c r="A10" s="1951" t="s">
        <v>877</v>
      </c>
      <c r="B10" s="1952" t="s">
        <v>878</v>
      </c>
      <c r="AP10" s="1952"/>
      <c r="AQ10" s="1952"/>
      <c r="AR10" s="1952"/>
      <c r="AS10" s="1952"/>
      <c r="AT10" s="1952"/>
      <c r="AW10" s="1952"/>
      <c r="AX10" s="1952"/>
      <c r="AY10" s="1952"/>
      <c r="CS10" s="1952"/>
      <c r="CT10" s="1952"/>
      <c r="CU10" s="1952"/>
      <c r="CV10" s="1952"/>
      <c r="CW10" s="1952"/>
      <c r="CX10" s="1952"/>
      <c r="CY10" s="1952"/>
      <c r="CZ10" s="1952"/>
      <c r="DA10" s="1952"/>
      <c r="DB10" s="1952"/>
      <c r="DC10" s="1952"/>
      <c r="DD10" s="1952"/>
      <c r="DE10" s="1952"/>
      <c r="DF10" s="1952"/>
      <c r="DG10" s="1952"/>
      <c r="DH10" s="1952"/>
      <c r="DI10" s="1952"/>
      <c r="DJ10" s="1952"/>
      <c r="DK10" s="1952"/>
      <c r="DL10" s="1952"/>
      <c r="DM10" s="1952"/>
      <c r="DN10" s="1952"/>
      <c r="DO10" s="1952"/>
      <c r="DP10" s="1952"/>
      <c r="DQ10" s="1952"/>
      <c r="DR10" s="1952"/>
      <c r="DS10" s="1952"/>
      <c r="DT10" s="1952"/>
      <c r="DU10" s="1952"/>
      <c r="DV10" s="1952"/>
      <c r="DW10" s="1952"/>
      <c r="DX10" s="1952"/>
      <c r="DY10" s="1952"/>
      <c r="DZ10" s="1952"/>
      <c r="EA10" s="1952"/>
      <c r="EB10" s="1952"/>
      <c r="EC10" s="1955"/>
      <c r="ED10" s="1955"/>
      <c r="EE10" s="1955"/>
      <c r="EF10" s="1955"/>
      <c r="EG10" s="1955"/>
      <c r="EH10" s="1955"/>
      <c r="EI10" s="1955"/>
      <c r="EJ10" s="1955"/>
      <c r="EK10" s="1955"/>
      <c r="EL10" s="1955"/>
      <c r="EM10" s="1955"/>
      <c r="EN10" s="1955"/>
      <c r="EO10" s="1955"/>
    </row>
    <row r="11" spans="1:145" s="1946" customFormat="1" ht="12" hidden="1" customHeight="1" outlineLevel="1" x14ac:dyDescent="0.2">
      <c r="A11" s="1951" t="s">
        <v>879</v>
      </c>
      <c r="B11" s="1956">
        <v>45378.64485571759</v>
      </c>
      <c r="AP11" s="1956"/>
      <c r="AQ11" s="1956"/>
      <c r="AR11" s="1956"/>
      <c r="AS11" s="1956"/>
      <c r="AT11" s="1956"/>
      <c r="AW11" s="1956"/>
      <c r="AX11" s="1956"/>
      <c r="AY11" s="1956"/>
      <c r="CS11" s="1952"/>
      <c r="CT11" s="1952"/>
      <c r="CU11" s="1952"/>
      <c r="CV11" s="1952"/>
      <c r="CW11" s="1952"/>
      <c r="CX11" s="1952"/>
      <c r="CY11" s="1952"/>
      <c r="CZ11" s="1952"/>
      <c r="DA11" s="1952"/>
      <c r="DB11" s="1952"/>
      <c r="DC11" s="1952"/>
      <c r="DD11" s="1952"/>
      <c r="DE11" s="1952"/>
      <c r="DF11" s="1952"/>
      <c r="DG11" s="1952"/>
      <c r="DH11" s="1952"/>
      <c r="DI11" s="1952"/>
      <c r="DJ11" s="1952"/>
      <c r="DK11" s="1952"/>
      <c r="DL11" s="1952"/>
      <c r="DM11" s="1952"/>
      <c r="DN11" s="1952"/>
      <c r="DO11" s="1952"/>
      <c r="DP11" s="1952"/>
      <c r="DQ11" s="1952"/>
      <c r="DR11" s="1952"/>
      <c r="DS11" s="1952"/>
      <c r="DT11" s="1952"/>
      <c r="DU11" s="1952"/>
      <c r="DV11" s="1952"/>
      <c r="DW11" s="1952"/>
      <c r="DX11" s="1952"/>
      <c r="DY11" s="1952"/>
      <c r="DZ11" s="1952"/>
      <c r="EA11" s="1952"/>
      <c r="EB11" s="1952"/>
      <c r="EC11" s="1955"/>
      <c r="ED11" s="1955"/>
      <c r="EE11" s="1955"/>
      <c r="EF11" s="1955"/>
      <c r="EG11" s="1955"/>
      <c r="EH11" s="1955"/>
      <c r="EI11" s="1955"/>
      <c r="EJ11" s="1955"/>
      <c r="EK11" s="1955"/>
      <c r="EL11" s="1955"/>
      <c r="EM11" s="1955"/>
      <c r="EN11" s="1955"/>
      <c r="EO11" s="1955"/>
    </row>
    <row r="12" spans="1:145" s="1946" customFormat="1" ht="12" hidden="1" customHeight="1" outlineLevel="1" x14ac:dyDescent="0.2">
      <c r="BJ12" s="1948"/>
      <c r="BL12" s="1948"/>
      <c r="BN12" s="1948"/>
      <c r="BP12" s="1948"/>
      <c r="BR12" s="1948"/>
      <c r="BT12" s="1948"/>
      <c r="BV12" s="1948"/>
      <c r="BX12" s="1948"/>
      <c r="BZ12" s="1948"/>
    </row>
    <row r="13" spans="1:145" s="1946" customFormat="1" ht="12" hidden="1" customHeight="1" outlineLevel="1" x14ac:dyDescent="0.2">
      <c r="A13" s="1953"/>
      <c r="B13" s="1953"/>
      <c r="AN13" s="1953"/>
      <c r="AO13" s="1953"/>
      <c r="AP13" s="1953"/>
      <c r="AQ13" s="1953"/>
      <c r="AR13" s="1953"/>
      <c r="AU13" s="1953"/>
      <c r="AV13" s="1953"/>
      <c r="AW13" s="1953"/>
      <c r="AX13" s="1953"/>
      <c r="BA13" s="1953"/>
      <c r="BF13" s="1953"/>
      <c r="BH13" s="1953"/>
      <c r="BI13" s="1948"/>
      <c r="BJ13" s="1947"/>
      <c r="BK13" s="1948"/>
      <c r="BL13" s="1948"/>
      <c r="BM13" s="1948"/>
      <c r="BN13" s="1948"/>
      <c r="BO13" s="1948"/>
      <c r="BP13" s="1948"/>
      <c r="BQ13" s="1948"/>
      <c r="BR13" s="1948"/>
      <c r="BS13" s="1948"/>
      <c r="BT13" s="1948"/>
      <c r="BU13" s="1948"/>
      <c r="BV13" s="1948"/>
      <c r="BW13" s="1948"/>
      <c r="BX13" s="1948"/>
      <c r="BY13" s="1948"/>
      <c r="BZ13" s="1948"/>
      <c r="CA13" s="1948"/>
      <c r="CB13" s="1948"/>
      <c r="CC13" s="1948"/>
      <c r="CD13" s="1948"/>
      <c r="CE13" s="1948"/>
      <c r="CF13" s="1948"/>
      <c r="CG13" s="1948"/>
      <c r="CH13" s="1948"/>
      <c r="CI13" s="1948"/>
      <c r="CJ13" s="1948"/>
      <c r="CK13" s="1948"/>
      <c r="CL13" s="1948"/>
      <c r="CM13" s="1948"/>
      <c r="CN13" s="1948"/>
      <c r="CO13" s="1948"/>
      <c r="CP13" s="1948"/>
    </row>
    <row r="14" spans="1:145" s="1946" customFormat="1" ht="12" hidden="1" customHeight="1" outlineLevel="1" x14ac:dyDescent="0.2">
      <c r="A14" s="1953"/>
      <c r="B14" s="1953"/>
      <c r="AN14" s="1953"/>
      <c r="AO14" s="1953"/>
      <c r="AP14" s="1953"/>
      <c r="AQ14" s="1953"/>
      <c r="AR14" s="1953"/>
      <c r="AU14" s="1953"/>
      <c r="AV14" s="1953"/>
      <c r="AW14" s="1953"/>
      <c r="AX14" s="1953"/>
      <c r="BA14" s="1953"/>
      <c r="BF14" s="1953"/>
      <c r="BH14" s="1953"/>
      <c r="BI14" s="1948"/>
      <c r="BJ14" s="1948"/>
      <c r="BK14" s="1948"/>
      <c r="BL14" s="1948"/>
      <c r="BM14" s="1948"/>
      <c r="BN14" s="1948"/>
      <c r="BO14" s="1948"/>
      <c r="BP14" s="1948"/>
      <c r="BQ14" s="1948"/>
      <c r="BR14" s="1948"/>
      <c r="BS14" s="1948"/>
      <c r="BT14" s="1948"/>
      <c r="BU14" s="1948"/>
      <c r="BV14" s="1948"/>
      <c r="BW14" s="1948"/>
      <c r="BX14" s="1948"/>
      <c r="BY14" s="1948"/>
      <c r="BZ14" s="1948"/>
      <c r="CA14" s="1948"/>
      <c r="CB14" s="1948"/>
      <c r="CC14" s="1948"/>
      <c r="CD14" s="1948"/>
      <c r="CE14" s="1948"/>
      <c r="CF14" s="1948"/>
      <c r="CG14" s="1948"/>
      <c r="CH14" s="1948"/>
      <c r="CI14" s="1948"/>
      <c r="CJ14" s="1948"/>
      <c r="CK14" s="1948"/>
      <c r="CL14" s="1948"/>
      <c r="CM14" s="1948"/>
      <c r="CN14" s="1948"/>
      <c r="CO14" s="1948"/>
      <c r="CP14" s="1948"/>
    </row>
    <row r="15" spans="1:145" ht="12" hidden="1" customHeight="1" outlineLevel="1" x14ac:dyDescent="0.2">
      <c r="C15" s="1946"/>
      <c r="D15" s="1946"/>
      <c r="E15" s="1946"/>
      <c r="F15" s="1946"/>
      <c r="G15" s="1946"/>
      <c r="H15" s="1946"/>
      <c r="I15" s="1946"/>
      <c r="J15" s="1946"/>
      <c r="K15" s="1946"/>
      <c r="L15" s="1946"/>
      <c r="M15" s="1946"/>
      <c r="N15" s="1946"/>
      <c r="O15" s="1946"/>
      <c r="P15" s="1946"/>
      <c r="Q15" s="1946"/>
      <c r="R15" s="1946"/>
      <c r="S15" s="1946"/>
      <c r="T15" s="1946"/>
      <c r="U15" s="1946"/>
      <c r="V15" s="1946"/>
      <c r="W15" s="1946"/>
      <c r="X15" s="1946"/>
      <c r="Y15" s="1946"/>
      <c r="Z15" s="1946"/>
      <c r="AA15" s="1946"/>
      <c r="AB15" s="1946"/>
      <c r="AC15" s="1946"/>
      <c r="AD15" s="1946"/>
      <c r="AE15" s="1946"/>
      <c r="AF15" s="1946"/>
      <c r="AG15" s="1946"/>
      <c r="AH15" s="1946"/>
      <c r="AI15" s="1946"/>
      <c r="AJ15" s="1946"/>
      <c r="AK15" s="1946"/>
      <c r="AL15" s="1946"/>
      <c r="AM15" s="1946"/>
      <c r="AS15" s="1946"/>
      <c r="AT15" s="1946"/>
      <c r="AY15" s="1946"/>
      <c r="AZ15" s="1946"/>
      <c r="BB15" s="1946"/>
      <c r="BC15" s="1946"/>
      <c r="BD15" s="1946"/>
      <c r="BE15" s="1946"/>
      <c r="BG15" s="1946"/>
      <c r="BI15" s="1948"/>
      <c r="BJ15" s="1948"/>
      <c r="BK15" s="1952"/>
      <c r="BL15" s="1952"/>
      <c r="BM15" s="1952"/>
      <c r="BN15" s="1952"/>
      <c r="BO15" s="1952"/>
      <c r="BP15" s="1952"/>
      <c r="BQ15" s="1952"/>
      <c r="BR15" s="1952"/>
      <c r="BS15" s="1952"/>
      <c r="BT15" s="1952"/>
      <c r="BU15" s="1952"/>
      <c r="BV15" s="1952"/>
      <c r="BW15" s="1952"/>
      <c r="BX15" s="1952"/>
    </row>
    <row r="16" spans="1:145" s="1946" customFormat="1" ht="12" hidden="1" customHeight="1" outlineLevel="1" x14ac:dyDescent="0.2">
      <c r="A16" s="1953"/>
      <c r="B16" s="1953"/>
      <c r="AN16" s="1953"/>
      <c r="AO16" s="1953"/>
      <c r="AP16" s="1953"/>
      <c r="AQ16" s="1953"/>
      <c r="AR16" s="1953"/>
      <c r="AU16" s="1953"/>
      <c r="AV16" s="1953"/>
      <c r="AW16" s="1953"/>
      <c r="AX16" s="1953"/>
      <c r="BA16" s="1953"/>
      <c r="BF16" s="1953"/>
      <c r="BH16" s="1953"/>
      <c r="BI16" s="1948"/>
      <c r="BJ16" s="1948"/>
      <c r="BK16" s="1948"/>
      <c r="BL16" s="1948"/>
      <c r="BM16" s="1948"/>
      <c r="BN16" s="1948"/>
      <c r="BO16" s="1948"/>
      <c r="BP16" s="1948"/>
      <c r="BQ16" s="1948"/>
      <c r="BR16" s="1948"/>
      <c r="BS16" s="1948"/>
      <c r="BT16" s="1948"/>
      <c r="BU16" s="1948"/>
      <c r="BV16" s="1948"/>
      <c r="BW16" s="1948"/>
      <c r="BX16" s="1948"/>
      <c r="BY16" s="1948"/>
      <c r="BZ16" s="1948"/>
      <c r="CA16" s="1948"/>
      <c r="CB16" s="1948"/>
      <c r="CC16" s="1948"/>
      <c r="CD16" s="1948"/>
      <c r="CE16" s="1948"/>
      <c r="CF16" s="1948"/>
      <c r="CG16" s="1948"/>
      <c r="CH16" s="1948"/>
      <c r="CI16" s="1948"/>
      <c r="CJ16" s="1948"/>
      <c r="CK16" s="1948"/>
      <c r="CL16" s="1948"/>
      <c r="CM16" s="1948"/>
      <c r="CN16" s="1948"/>
      <c r="CO16" s="1948"/>
      <c r="CP16" s="1948"/>
    </row>
    <row r="17" spans="1:146" s="1946" customFormat="1" ht="12" hidden="1" customHeight="1" outlineLevel="1" x14ac:dyDescent="0.2">
      <c r="A17" s="1953"/>
      <c r="B17" s="1953"/>
      <c r="AN17" s="1953"/>
      <c r="AO17" s="1953"/>
      <c r="AP17" s="1953"/>
      <c r="AQ17" s="1953"/>
      <c r="AR17" s="1953"/>
      <c r="AU17" s="1953"/>
      <c r="AV17" s="1953"/>
      <c r="AW17" s="1953"/>
      <c r="AX17" s="1953"/>
      <c r="BA17" s="1953"/>
      <c r="BF17" s="1953"/>
      <c r="BH17" s="1953"/>
      <c r="BI17" s="1948"/>
      <c r="BJ17" s="1948"/>
      <c r="BK17" s="1948"/>
      <c r="BL17" s="1948"/>
      <c r="BM17" s="1948"/>
      <c r="BN17" s="1948"/>
      <c r="BO17" s="1948"/>
      <c r="BP17" s="1948"/>
      <c r="BQ17" s="1948"/>
      <c r="BR17" s="1948"/>
      <c r="BS17" s="1948"/>
      <c r="BT17" s="1948"/>
      <c r="BU17" s="1948"/>
      <c r="BV17" s="1948"/>
      <c r="BW17" s="1948"/>
      <c r="BX17" s="1948"/>
      <c r="BY17" s="1948"/>
      <c r="BZ17" s="1948"/>
      <c r="CA17" s="1948"/>
      <c r="CB17" s="1948"/>
      <c r="CC17" s="1948"/>
      <c r="CD17" s="1948"/>
      <c r="CE17" s="1948"/>
      <c r="CF17" s="1948"/>
      <c r="CG17" s="1948"/>
      <c r="CH17" s="1948"/>
      <c r="CI17" s="1948"/>
      <c r="CJ17" s="1948"/>
      <c r="CK17" s="1948"/>
      <c r="CL17" s="1948"/>
      <c r="CM17" s="1948"/>
      <c r="CN17" s="1948"/>
      <c r="CO17" s="1948"/>
      <c r="CP17" s="1948"/>
    </row>
    <row r="18" spans="1:146" s="1946" customFormat="1" ht="12" hidden="1" customHeight="1" outlineLevel="1" x14ac:dyDescent="0.2">
      <c r="A18" s="1953"/>
      <c r="B18" s="1953"/>
      <c r="AN18" s="1953"/>
      <c r="AO18" s="1953"/>
      <c r="AP18" s="1953"/>
      <c r="AQ18" s="1953"/>
      <c r="AR18" s="1953"/>
      <c r="AU18" s="1953"/>
      <c r="AV18" s="1953"/>
      <c r="AW18" s="1953"/>
      <c r="AX18" s="1953"/>
      <c r="BA18" s="1953"/>
      <c r="BF18" s="1953"/>
      <c r="BH18" s="1953"/>
      <c r="BI18" s="1948"/>
      <c r="BJ18" s="1948"/>
      <c r="BK18" s="1948"/>
      <c r="BL18" s="1948"/>
      <c r="BM18" s="1948"/>
      <c r="BN18" s="1948"/>
      <c r="BO18" s="1948"/>
      <c r="BP18" s="1948"/>
      <c r="BQ18" s="1948"/>
      <c r="BR18" s="1948"/>
      <c r="BS18" s="1948"/>
      <c r="BT18" s="1948"/>
      <c r="BU18" s="1948"/>
      <c r="BV18" s="1948"/>
      <c r="BW18" s="1948"/>
      <c r="BX18" s="1948"/>
      <c r="BY18" s="1948"/>
      <c r="BZ18" s="1948"/>
      <c r="CA18" s="1948"/>
      <c r="CB18" s="1948"/>
      <c r="CC18" s="1948"/>
      <c r="CD18" s="1948"/>
      <c r="CE18" s="1948"/>
      <c r="CF18" s="1948"/>
      <c r="CG18" s="1948"/>
      <c r="CH18" s="1948"/>
      <c r="CI18" s="1948"/>
      <c r="CJ18" s="1948"/>
      <c r="CK18" s="1948"/>
      <c r="CL18" s="1948"/>
      <c r="CM18" s="1948"/>
      <c r="CN18" s="1948"/>
      <c r="CO18" s="1948"/>
      <c r="CP18" s="1948"/>
    </row>
    <row r="19" spans="1:146" s="1946" customFormat="1" ht="12" hidden="1" customHeight="1" outlineLevel="1" x14ac:dyDescent="0.2">
      <c r="A19" s="1953"/>
      <c r="B19" s="1953" t="s">
        <v>2215</v>
      </c>
      <c r="AN19" s="1953"/>
      <c r="AO19" s="1953"/>
      <c r="AP19" s="1953"/>
      <c r="AQ19" s="1953"/>
      <c r="AR19" s="1953"/>
      <c r="AU19" s="1953"/>
      <c r="AV19" s="1953"/>
      <c r="AW19" s="1953"/>
      <c r="AX19" s="1953"/>
      <c r="BA19" s="1953"/>
      <c r="BF19" s="1953"/>
      <c r="BH19" s="1953"/>
      <c r="BI19" s="1948"/>
      <c r="BJ19" s="1948"/>
      <c r="BK19" s="1948"/>
      <c r="BL19" s="1948"/>
      <c r="BM19" s="1948"/>
      <c r="BN19" s="1948"/>
      <c r="BO19" s="1948"/>
      <c r="BP19" s="1948"/>
      <c r="BQ19" s="1948"/>
      <c r="BR19" s="1948"/>
      <c r="BS19" s="1948"/>
      <c r="BT19" s="1948"/>
      <c r="BU19" s="1948"/>
      <c r="BV19" s="1948"/>
      <c r="BW19" s="1948"/>
      <c r="BX19" s="1948"/>
      <c r="BY19" s="1948"/>
      <c r="BZ19" s="1948"/>
      <c r="CA19" s="1948"/>
      <c r="CB19" s="1948"/>
      <c r="CC19" s="1948"/>
      <c r="CD19" s="1948"/>
      <c r="CE19" s="1948"/>
      <c r="CF19" s="1948"/>
      <c r="CG19" s="1948"/>
      <c r="CH19" s="1948"/>
      <c r="CI19" s="1948"/>
      <c r="CJ19" s="1948"/>
      <c r="CK19" s="1948"/>
      <c r="CL19" s="1948"/>
      <c r="CM19" s="1948"/>
      <c r="CN19" s="1948"/>
      <c r="CO19" s="1948"/>
      <c r="CP19" s="1948"/>
    </row>
    <row r="20" spans="1:146" s="1946" customFormat="1" ht="12" hidden="1" customHeight="1" outlineLevel="1" x14ac:dyDescent="0.2">
      <c r="A20" s="1953"/>
      <c r="B20" s="1953"/>
      <c r="AN20" s="1953"/>
      <c r="AO20" s="1953"/>
      <c r="AP20" s="1953"/>
      <c r="AQ20" s="1953"/>
      <c r="AR20" s="1953"/>
      <c r="AU20" s="1953"/>
      <c r="AV20" s="1953"/>
      <c r="AW20" s="1953"/>
      <c r="AX20" s="1953"/>
      <c r="BA20" s="1953"/>
      <c r="BF20" s="1953"/>
      <c r="BH20" s="1953"/>
      <c r="BI20" s="1948"/>
      <c r="BJ20" s="1948"/>
      <c r="BK20" s="1948"/>
      <c r="BL20" s="1948"/>
      <c r="BM20" s="1948"/>
      <c r="BN20" s="1948"/>
      <c r="BO20" s="1948"/>
      <c r="BP20" s="1948"/>
      <c r="BQ20" s="1948"/>
      <c r="BR20" s="1948"/>
      <c r="BS20" s="1948"/>
      <c r="BT20" s="1948"/>
      <c r="BU20" s="1948"/>
      <c r="BV20" s="1948"/>
      <c r="BW20" s="1948"/>
      <c r="BX20" s="1948"/>
      <c r="BY20" s="1948"/>
      <c r="BZ20" s="1948"/>
      <c r="CA20" s="1948"/>
      <c r="CB20" s="1948"/>
      <c r="CC20" s="1948"/>
      <c r="CD20" s="1948"/>
      <c r="CE20" s="1948"/>
      <c r="CF20" s="1948"/>
      <c r="CG20" s="1948"/>
      <c r="CH20" s="1948"/>
      <c r="CI20" s="1948"/>
      <c r="CJ20" s="1948"/>
      <c r="CK20" s="1948"/>
      <c r="CL20" s="1948"/>
      <c r="CM20" s="1948"/>
      <c r="CN20" s="1948"/>
      <c r="CO20" s="1948"/>
      <c r="CP20" s="1948"/>
    </row>
    <row r="21" spans="1:146" s="1946" customFormat="1" ht="12" hidden="1" customHeight="1" outlineLevel="1" x14ac:dyDescent="0.2">
      <c r="A21" s="1953"/>
      <c r="B21" s="1953"/>
      <c r="AN21" s="1953"/>
      <c r="AO21" s="1953"/>
      <c r="AP21" s="1953"/>
      <c r="AQ21" s="1953"/>
      <c r="AR21" s="1953"/>
      <c r="AU21" s="1953"/>
      <c r="AV21" s="1953"/>
      <c r="AW21" s="1953"/>
      <c r="AX21" s="1953"/>
      <c r="BA21" s="1953"/>
      <c r="BF21" s="1953"/>
      <c r="BH21" s="1953"/>
      <c r="BI21" s="1948"/>
      <c r="BJ21" s="1948"/>
      <c r="BK21" s="1948"/>
      <c r="BL21" s="1948"/>
      <c r="BM21" s="1948"/>
      <c r="BN21" s="1948"/>
      <c r="BO21" s="1948"/>
      <c r="BP21" s="1948"/>
      <c r="BQ21" s="1948"/>
      <c r="BR21" s="1948"/>
      <c r="BS21" s="1948"/>
      <c r="BT21" s="1948"/>
      <c r="BU21" s="1948"/>
      <c r="BV21" s="1948"/>
      <c r="BW21" s="1948"/>
      <c r="BX21" s="1948"/>
      <c r="BY21" s="1948"/>
      <c r="BZ21" s="1948"/>
      <c r="CA21" s="1948"/>
      <c r="CB21" s="1948"/>
      <c r="CC21" s="1948"/>
      <c r="CD21" s="1948"/>
      <c r="CE21" s="1948"/>
      <c r="CF21" s="1948"/>
      <c r="CG21" s="1948"/>
      <c r="CH21" s="1948"/>
      <c r="CI21" s="1948"/>
      <c r="CJ21" s="1948"/>
      <c r="CK21" s="1948"/>
      <c r="CL21" s="1948"/>
      <c r="CM21" s="1948"/>
      <c r="CN21" s="1948"/>
      <c r="CO21" s="1948"/>
      <c r="CP21" s="1948"/>
    </row>
    <row r="22" spans="1:146" s="1946" customFormat="1" ht="12" hidden="1" customHeight="1" outlineLevel="1" x14ac:dyDescent="0.2">
      <c r="A22" s="1953"/>
      <c r="B22" s="1953"/>
      <c r="AN22" s="1953"/>
      <c r="AO22" s="1953"/>
      <c r="AP22" s="1953"/>
      <c r="AQ22" s="1953"/>
      <c r="AR22" s="1953"/>
      <c r="AU22" s="1953"/>
      <c r="AV22" s="1953"/>
      <c r="AW22" s="1953"/>
      <c r="AX22" s="1953"/>
      <c r="BA22" s="1953"/>
      <c r="BF22" s="1953"/>
      <c r="BH22" s="1953"/>
      <c r="BI22" s="1948"/>
      <c r="BJ22" s="1948"/>
      <c r="BK22" s="1948"/>
      <c r="BL22" s="1948"/>
      <c r="BM22" s="1948"/>
      <c r="BN22" s="1948"/>
      <c r="BO22" s="1948"/>
      <c r="BP22" s="1948"/>
      <c r="BQ22" s="1948"/>
      <c r="BR22" s="1948"/>
      <c r="BS22" s="1948"/>
      <c r="BT22" s="1948"/>
      <c r="BU22" s="1948"/>
      <c r="BV22" s="1948"/>
      <c r="BW22" s="1948"/>
      <c r="BX22" s="1948"/>
      <c r="BY22" s="1948"/>
      <c r="BZ22" s="1948"/>
      <c r="CA22" s="1948"/>
      <c r="CB22" s="1948"/>
      <c r="CC22" s="1948"/>
      <c r="CD22" s="1948"/>
      <c r="CE22" s="1948"/>
      <c r="CF22" s="1948"/>
      <c r="CG22" s="1948"/>
      <c r="CH22" s="1948"/>
      <c r="CI22" s="1948"/>
      <c r="CJ22" s="1948"/>
      <c r="CK22" s="1948"/>
      <c r="CL22" s="1948"/>
      <c r="CM22" s="1948"/>
      <c r="CN22" s="1948"/>
      <c r="CO22" s="1948"/>
      <c r="CP22" s="1948"/>
    </row>
    <row r="23" spans="1:146" ht="12" hidden="1" customHeight="1" outlineLevel="1" x14ac:dyDescent="0.2">
      <c r="C23" s="1946"/>
      <c r="D23" s="1946"/>
      <c r="E23" s="1946"/>
      <c r="F23" s="1946"/>
      <c r="G23" s="1946"/>
      <c r="H23" s="1946"/>
      <c r="I23" s="1946"/>
      <c r="J23" s="1946"/>
      <c r="K23" s="1946"/>
      <c r="L23" s="1946"/>
      <c r="M23" s="1946"/>
      <c r="N23" s="1946"/>
      <c r="O23" s="1946"/>
      <c r="P23" s="1946"/>
      <c r="Q23" s="1946"/>
      <c r="R23" s="1946"/>
      <c r="S23" s="1946"/>
      <c r="T23" s="1946"/>
      <c r="U23" s="1946"/>
      <c r="V23" s="1946"/>
      <c r="W23" s="1946"/>
      <c r="X23" s="1946"/>
      <c r="Y23" s="1946"/>
      <c r="Z23" s="1946"/>
      <c r="AA23" s="1946"/>
      <c r="AB23" s="1946"/>
      <c r="AC23" s="1946"/>
      <c r="AD23" s="1946"/>
      <c r="AE23" s="1946"/>
      <c r="AF23" s="1946"/>
      <c r="AG23" s="1946"/>
      <c r="AH23" s="1946"/>
      <c r="AI23" s="1946"/>
      <c r="AJ23" s="1946"/>
      <c r="AK23" s="1946"/>
      <c r="AL23" s="1946"/>
      <c r="AM23" s="1946"/>
      <c r="AS23" s="1946"/>
      <c r="AT23" s="1946"/>
      <c r="AY23" s="1946"/>
      <c r="AZ23" s="1946"/>
      <c r="BB23" s="1946"/>
      <c r="BC23" s="1946"/>
      <c r="BD23" s="1946"/>
      <c r="BE23" s="1946"/>
      <c r="BG23" s="1946"/>
      <c r="BI23" s="1947"/>
      <c r="BJ23" s="1948"/>
      <c r="BK23" s="1951"/>
      <c r="BL23" s="1951"/>
      <c r="BM23" s="1951"/>
      <c r="BN23" s="1951"/>
      <c r="BO23" s="1951"/>
      <c r="BP23" s="1951"/>
      <c r="BQ23" s="1951"/>
      <c r="BR23" s="1951"/>
      <c r="BS23" s="1951"/>
      <c r="BT23" s="1951"/>
      <c r="BU23" s="1951"/>
      <c r="BV23" s="1951"/>
      <c r="BW23" s="1951"/>
      <c r="BX23" s="1951"/>
    </row>
    <row r="24" spans="1:146" ht="12" hidden="1" customHeight="1" outlineLevel="1" x14ac:dyDescent="0.2">
      <c r="C24" s="1946"/>
      <c r="D24" s="1946"/>
      <c r="E24" s="1946"/>
      <c r="F24" s="1946"/>
      <c r="G24" s="1946"/>
      <c r="H24" s="1946"/>
      <c r="I24" s="1946"/>
      <c r="J24" s="1946"/>
      <c r="K24" s="1946"/>
      <c r="L24" s="1946"/>
      <c r="M24" s="1946"/>
      <c r="N24" s="1946"/>
      <c r="O24" s="1946"/>
      <c r="P24" s="1946"/>
      <c r="Q24" s="1946"/>
      <c r="R24" s="1946"/>
      <c r="S24" s="1946"/>
      <c r="T24" s="1946"/>
      <c r="U24" s="1946"/>
      <c r="V24" s="1946"/>
      <c r="W24" s="1946"/>
      <c r="X24" s="1946"/>
      <c r="Y24" s="1946"/>
      <c r="Z24" s="1946"/>
      <c r="AA24" s="1946"/>
      <c r="AB24" s="1946"/>
      <c r="AC24" s="1946"/>
      <c r="AD24" s="1946"/>
      <c r="AE24" s="1946"/>
      <c r="AF24" s="1946"/>
      <c r="AG24" s="1946"/>
      <c r="AH24" s="1946"/>
      <c r="AI24" s="1946"/>
      <c r="AJ24" s="1946"/>
      <c r="AK24" s="1946"/>
      <c r="AL24" s="1946"/>
      <c r="AM24" s="1946"/>
      <c r="AS24" s="1946"/>
      <c r="AT24" s="1946"/>
      <c r="AY24" s="1946"/>
      <c r="AZ24" s="1946"/>
      <c r="BB24" s="1946"/>
      <c r="BC24" s="1946"/>
      <c r="BD24" s="1946"/>
      <c r="BE24" s="1946"/>
      <c r="BG24" s="1946"/>
      <c r="BI24" s="1948"/>
      <c r="BJ24" s="1948"/>
      <c r="BK24" s="1952"/>
      <c r="BL24" s="1952"/>
      <c r="BM24" s="1952"/>
      <c r="BN24" s="1952"/>
      <c r="BO24" s="1952"/>
      <c r="BP24" s="1952"/>
      <c r="BQ24" s="1952"/>
      <c r="BR24" s="1952"/>
      <c r="BS24" s="1952"/>
      <c r="BT24" s="1952"/>
      <c r="BU24" s="1952"/>
      <c r="BV24" s="1952"/>
      <c r="BW24" s="1952"/>
      <c r="BX24" s="1952"/>
      <c r="BY24" s="1952"/>
      <c r="BZ24" s="1952"/>
      <c r="CA24" s="1952"/>
      <c r="CB24" s="1952"/>
      <c r="CC24" s="1952"/>
      <c r="CD24" s="1952"/>
      <c r="CE24" s="1952"/>
      <c r="CF24" s="1952"/>
      <c r="CG24" s="1952"/>
      <c r="CH24" s="1952"/>
      <c r="CI24" s="1952"/>
      <c r="CJ24" s="1952"/>
      <c r="CK24" s="1952"/>
      <c r="CL24" s="1952"/>
      <c r="CM24" s="1952"/>
      <c r="CN24" s="1952"/>
      <c r="CO24" s="1952"/>
      <c r="CP24" s="1952"/>
      <c r="CQ24" s="1952"/>
      <c r="CR24" s="1952"/>
      <c r="CS24" s="1952"/>
      <c r="CT24" s="1952"/>
      <c r="CU24" s="1952"/>
      <c r="CV24" s="1952"/>
      <c r="CW24" s="1952"/>
      <c r="CX24" s="1952"/>
      <c r="CY24" s="1952"/>
      <c r="CZ24" s="1952"/>
      <c r="DA24" s="1952"/>
      <c r="DB24" s="1952"/>
      <c r="DC24" s="1952"/>
      <c r="DD24" s="1952"/>
      <c r="DE24" s="1952"/>
      <c r="DF24" s="1952"/>
      <c r="DG24" s="1952"/>
      <c r="DH24" s="1952"/>
      <c r="DI24" s="1952"/>
      <c r="DJ24" s="1952"/>
      <c r="DK24" s="1952"/>
      <c r="DL24" s="1952"/>
      <c r="DM24" s="1952"/>
      <c r="DN24" s="1952"/>
    </row>
    <row r="25" spans="1:146" s="1946" customFormat="1" ht="12" hidden="1" customHeight="1" outlineLevel="1" x14ac:dyDescent="0.2">
      <c r="A25" s="1953"/>
      <c r="B25" s="1953"/>
      <c r="D25" s="1948"/>
      <c r="F25" s="1948"/>
      <c r="G25" s="1948"/>
      <c r="I25" s="1948"/>
      <c r="K25" s="1948"/>
      <c r="M25" s="1948"/>
      <c r="O25" s="1948"/>
      <c r="AN25" s="1953"/>
      <c r="AO25" s="1953"/>
      <c r="AP25" s="1953"/>
      <c r="AQ25" s="1953"/>
      <c r="AR25" s="1953"/>
      <c r="AT25" s="1948"/>
      <c r="AU25" s="1953"/>
      <c r="AV25" s="1953"/>
      <c r="AW25" s="1953"/>
      <c r="AX25" s="1953"/>
      <c r="AZ25" s="1948"/>
      <c r="BA25" s="1953"/>
      <c r="BC25" s="1948"/>
      <c r="BE25" s="1948"/>
      <c r="BF25" s="1953"/>
      <c r="BH25" s="1953"/>
      <c r="BI25" s="1948"/>
      <c r="BK25" s="1948"/>
      <c r="BM25" s="1948"/>
      <c r="BO25" s="1948"/>
      <c r="BQ25" s="1948"/>
      <c r="BS25" s="1948"/>
      <c r="BU25" s="1948"/>
      <c r="BW25" s="1948"/>
      <c r="BY25" s="1948"/>
      <c r="BZ25" s="1948"/>
      <c r="CA25" s="1948"/>
      <c r="CB25" s="1948"/>
      <c r="CC25" s="1948"/>
      <c r="CD25" s="1948"/>
      <c r="CE25" s="1948"/>
      <c r="CF25" s="1948"/>
      <c r="CG25" s="1948"/>
      <c r="CH25" s="1948"/>
      <c r="CI25" s="1948"/>
      <c r="CJ25" s="1948"/>
      <c r="CK25" s="1948"/>
      <c r="CL25" s="1948"/>
      <c r="CM25" s="1948"/>
      <c r="CN25" s="1948"/>
      <c r="CO25" s="1948"/>
      <c r="CP25" s="1948"/>
    </row>
    <row r="26" spans="1:146" s="1946" customFormat="1" ht="12" hidden="1" customHeight="1" outlineLevel="1" x14ac:dyDescent="0.2">
      <c r="D26" s="1948"/>
      <c r="F26" s="1948"/>
      <c r="G26" s="1948"/>
      <c r="I26" s="1948"/>
      <c r="K26" s="1948"/>
      <c r="M26" s="1948"/>
      <c r="O26" s="1948"/>
      <c r="AT26" s="1948"/>
      <c r="AZ26" s="1948"/>
      <c r="BC26" s="1948"/>
      <c r="BE26" s="1948"/>
      <c r="BI26" s="1948"/>
      <c r="BJ26" s="1948"/>
      <c r="BK26" s="1948"/>
      <c r="BL26" s="1948"/>
      <c r="BM26" s="1948"/>
      <c r="BN26" s="1948"/>
      <c r="BO26" s="1948"/>
      <c r="BP26" s="1948"/>
      <c r="BQ26" s="1948"/>
      <c r="BR26" s="1948"/>
      <c r="BS26" s="1948"/>
      <c r="BT26" s="1948"/>
      <c r="BU26" s="1948"/>
      <c r="BV26" s="1948"/>
      <c r="BW26" s="1948"/>
      <c r="BX26" s="1948"/>
      <c r="BY26" s="1948"/>
      <c r="CA26" s="1948"/>
      <c r="CB26" s="1948"/>
      <c r="CC26" s="1948"/>
      <c r="CD26" s="1948"/>
      <c r="CE26" s="1948"/>
      <c r="CF26" s="1948"/>
      <c r="CG26" s="1948"/>
      <c r="CH26" s="1948"/>
      <c r="CI26" s="1948"/>
      <c r="CJ26" s="1948"/>
      <c r="CK26" s="1948"/>
      <c r="CL26" s="1948"/>
      <c r="CM26" s="1948"/>
      <c r="CN26" s="1948"/>
      <c r="CO26" s="1948"/>
      <c r="CP26" s="1948"/>
    </row>
    <row r="27" spans="1:146" s="1946" customFormat="1" ht="12" hidden="1" customHeight="1" outlineLevel="1" x14ac:dyDescent="0.2">
      <c r="A27" s="1951" t="s">
        <v>881</v>
      </c>
      <c r="B27" s="1952" t="s">
        <v>882</v>
      </c>
      <c r="C27" s="1948"/>
      <c r="D27" s="1948"/>
      <c r="E27" s="1948"/>
      <c r="F27" s="1948"/>
      <c r="G27" s="1948"/>
      <c r="H27" s="1948"/>
      <c r="I27" s="1948"/>
      <c r="J27" s="1948"/>
      <c r="K27" s="1948"/>
      <c r="L27" s="1948"/>
      <c r="M27" s="1948"/>
      <c r="N27" s="1948"/>
      <c r="O27" s="1948"/>
      <c r="P27" s="1948"/>
      <c r="Q27" s="1948"/>
      <c r="R27" s="1948"/>
      <c r="S27" s="1948"/>
      <c r="T27" s="1948"/>
      <c r="U27" s="1948"/>
      <c r="V27" s="1948"/>
      <c r="W27" s="1948"/>
      <c r="X27" s="1948"/>
      <c r="Y27" s="1948"/>
      <c r="Z27" s="1948"/>
      <c r="AA27" s="1948"/>
      <c r="AB27" s="1948"/>
      <c r="AC27" s="1948"/>
      <c r="AD27" s="1948"/>
      <c r="AE27" s="1948"/>
      <c r="AF27" s="1948"/>
      <c r="AG27" s="1948"/>
      <c r="AH27" s="1948"/>
      <c r="AI27" s="1948"/>
      <c r="AJ27" s="1948"/>
      <c r="AK27" s="1948"/>
      <c r="AL27" s="1948"/>
      <c r="AM27" s="1948"/>
      <c r="AN27" s="1952"/>
      <c r="AO27" s="1952"/>
      <c r="AP27" s="1952"/>
      <c r="AQ27" s="1952"/>
      <c r="AR27" s="1952"/>
      <c r="AS27" s="1948"/>
      <c r="AT27" s="1948"/>
      <c r="AU27" s="1952"/>
      <c r="AV27" s="1952"/>
      <c r="AW27" s="1952"/>
      <c r="AX27" s="1952"/>
      <c r="AY27" s="1948"/>
      <c r="AZ27" s="1948"/>
      <c r="BA27" s="1952"/>
      <c r="BB27" s="1948"/>
      <c r="BC27" s="1948"/>
      <c r="BD27" s="1948"/>
      <c r="BE27" s="1948"/>
      <c r="BF27" s="1952"/>
      <c r="BG27" s="1948"/>
      <c r="BH27" s="1952"/>
      <c r="BI27" s="1948"/>
      <c r="BJ27" s="1948"/>
      <c r="BK27" s="1948"/>
      <c r="BL27" s="1948"/>
      <c r="BM27" s="1948"/>
      <c r="BN27" s="1948"/>
      <c r="BO27" s="1948"/>
      <c r="BP27" s="1948"/>
      <c r="BQ27" s="1948"/>
      <c r="BR27" s="1948"/>
      <c r="BS27" s="1948"/>
      <c r="BT27" s="1948"/>
      <c r="BU27" s="1948"/>
      <c r="BV27" s="1948"/>
      <c r="BW27" s="1948"/>
      <c r="BX27" s="1948"/>
      <c r="BY27" s="1948"/>
      <c r="BZ27" s="1948"/>
      <c r="CA27" s="1948"/>
      <c r="CB27" s="1948"/>
      <c r="CC27" s="1948"/>
      <c r="CD27" s="1948"/>
      <c r="CE27" s="1948"/>
      <c r="CF27" s="1948"/>
      <c r="CG27" s="1948"/>
      <c r="CH27" s="1948"/>
      <c r="CI27" s="1948"/>
      <c r="CJ27" s="1948"/>
      <c r="CK27" s="1948"/>
      <c r="CL27" s="1948"/>
      <c r="CM27" s="1948"/>
      <c r="CN27" s="1948"/>
      <c r="CO27" s="1948"/>
      <c r="CP27" s="1948"/>
      <c r="CQ27" s="1947"/>
      <c r="CR27" s="1947"/>
      <c r="CS27" s="1947"/>
      <c r="CT27" s="1947"/>
      <c r="CU27" s="1947"/>
      <c r="CV27" s="1947"/>
      <c r="CW27" s="1947"/>
      <c r="CX27" s="1947"/>
      <c r="CY27" s="1947"/>
      <c r="CZ27" s="1947"/>
      <c r="DA27" s="1947"/>
      <c r="DB27" s="1947"/>
      <c r="DC27" s="1947"/>
      <c r="DD27" s="1947"/>
      <c r="DE27" s="1947"/>
      <c r="DF27" s="1947"/>
      <c r="DG27" s="1947"/>
      <c r="DH27" s="1947"/>
      <c r="DI27" s="1947"/>
      <c r="DJ27" s="1947"/>
      <c r="DK27" s="1947"/>
      <c r="DL27" s="1947"/>
      <c r="DM27" s="1947"/>
      <c r="DN27" s="1947"/>
      <c r="DO27" s="1947"/>
      <c r="DP27" s="1947"/>
      <c r="DQ27" s="1947"/>
      <c r="DR27" s="1947"/>
      <c r="DS27" s="1947"/>
      <c r="DT27" s="1947"/>
      <c r="DU27" s="1947"/>
      <c r="DV27" s="1947"/>
      <c r="DW27" s="1947"/>
      <c r="DX27" s="1947"/>
      <c r="DY27" s="1947"/>
      <c r="DZ27" s="1947"/>
      <c r="EA27" s="1947"/>
      <c r="EB27" s="1947"/>
      <c r="EC27" s="1947"/>
      <c r="ED27" s="1947"/>
      <c r="EE27" s="1947"/>
      <c r="EF27" s="1947"/>
      <c r="EG27" s="1947"/>
      <c r="EH27" s="1947"/>
      <c r="EI27" s="1947"/>
      <c r="EJ27" s="1947"/>
      <c r="EK27" s="1947"/>
      <c r="EL27" s="1947"/>
      <c r="EM27" s="1947"/>
      <c r="EN27" s="1947"/>
      <c r="EO27" s="1947"/>
      <c r="EP27" s="1947"/>
    </row>
    <row r="28" spans="1:146" s="1946" customFormat="1" ht="12" hidden="1" customHeight="1" outlineLevel="1" x14ac:dyDescent="0.2">
      <c r="A28" s="1951" t="s">
        <v>883</v>
      </c>
      <c r="B28" s="1952" t="s">
        <v>884</v>
      </c>
      <c r="C28" s="1948"/>
      <c r="D28" s="1948"/>
      <c r="E28" s="1948"/>
      <c r="F28" s="1948"/>
      <c r="G28" s="1948"/>
      <c r="H28" s="1948"/>
      <c r="I28" s="1948"/>
      <c r="J28" s="1948"/>
      <c r="K28" s="1948"/>
      <c r="L28" s="1948"/>
      <c r="M28" s="1948"/>
      <c r="N28" s="1948"/>
      <c r="O28" s="1948"/>
      <c r="P28" s="1948"/>
      <c r="Q28" s="1948"/>
      <c r="R28" s="1948"/>
      <c r="S28" s="1948"/>
      <c r="T28" s="1948"/>
      <c r="U28" s="1948"/>
      <c r="V28" s="1948"/>
      <c r="W28" s="1948"/>
      <c r="X28" s="1948"/>
      <c r="Y28" s="1948"/>
      <c r="Z28" s="1948"/>
      <c r="AA28" s="1948"/>
      <c r="AB28" s="1948"/>
      <c r="AC28" s="1948"/>
      <c r="AD28" s="1948"/>
      <c r="AE28" s="1948"/>
      <c r="AF28" s="1948"/>
      <c r="AG28" s="1948"/>
      <c r="AH28" s="1948"/>
      <c r="AI28" s="1948"/>
      <c r="AJ28" s="1948"/>
      <c r="AK28" s="1948"/>
      <c r="AL28" s="1948"/>
      <c r="AM28" s="1948"/>
      <c r="AN28" s="1952"/>
      <c r="AO28" s="1952"/>
      <c r="AP28" s="1952"/>
      <c r="AQ28" s="1952"/>
      <c r="AR28" s="1952"/>
      <c r="AS28" s="1948"/>
      <c r="AT28" s="1948"/>
      <c r="AU28" s="1952"/>
      <c r="AV28" s="1952"/>
      <c r="AW28" s="1952"/>
      <c r="AX28" s="1952"/>
      <c r="AY28" s="1948"/>
      <c r="AZ28" s="1948"/>
      <c r="BA28" s="1952"/>
      <c r="BB28" s="1948"/>
      <c r="BC28" s="1948"/>
      <c r="BD28" s="1948"/>
      <c r="BE28" s="1948"/>
      <c r="BF28" s="1952"/>
      <c r="BG28" s="1948"/>
      <c r="BH28" s="1952"/>
      <c r="BI28" s="1948"/>
      <c r="BJ28" s="1948"/>
      <c r="BK28" s="1948"/>
      <c r="BL28" s="1948"/>
      <c r="BM28" s="1948"/>
      <c r="BN28" s="1948"/>
      <c r="BO28" s="1948"/>
      <c r="BP28" s="1948"/>
      <c r="BQ28" s="1948"/>
      <c r="BR28" s="1948"/>
      <c r="BS28" s="1948"/>
      <c r="BT28" s="1948"/>
      <c r="BU28" s="1948"/>
      <c r="BV28" s="1948"/>
      <c r="BW28" s="1948"/>
      <c r="BX28" s="1948"/>
      <c r="BY28" s="1948"/>
      <c r="BZ28" s="1948"/>
      <c r="CA28" s="1948"/>
      <c r="CB28" s="1948"/>
      <c r="CC28" s="1948"/>
      <c r="CD28" s="1948"/>
      <c r="CE28" s="1948"/>
      <c r="CF28" s="1948"/>
      <c r="CG28" s="1948"/>
      <c r="CH28" s="1948"/>
      <c r="CI28" s="1948"/>
      <c r="CJ28" s="1948"/>
      <c r="CK28" s="1948"/>
      <c r="CL28" s="1948"/>
      <c r="CM28" s="1948"/>
      <c r="CN28" s="1948"/>
      <c r="CO28" s="1948"/>
      <c r="CP28" s="1948"/>
      <c r="CQ28" s="1947"/>
      <c r="CR28" s="1947"/>
      <c r="CS28" s="1947"/>
      <c r="CT28" s="1947"/>
      <c r="CU28" s="1947"/>
      <c r="CV28" s="1947"/>
      <c r="CW28" s="1947"/>
      <c r="CX28" s="1947"/>
      <c r="CY28" s="1947"/>
      <c r="CZ28" s="1947"/>
      <c r="DA28" s="1947"/>
      <c r="DB28" s="1947"/>
      <c r="DC28" s="1947"/>
      <c r="DD28" s="1947"/>
      <c r="DE28" s="1947"/>
      <c r="DF28" s="1947"/>
      <c r="DG28" s="1947"/>
      <c r="DH28" s="1947"/>
      <c r="DI28" s="1947"/>
      <c r="DJ28" s="1947"/>
      <c r="DK28" s="1947"/>
      <c r="DL28" s="1947"/>
      <c r="DM28" s="1947"/>
      <c r="DN28" s="1947"/>
      <c r="DO28" s="1947"/>
      <c r="DP28" s="1947"/>
      <c r="DQ28" s="1947"/>
      <c r="DR28" s="1947"/>
      <c r="DS28" s="1947"/>
      <c r="DT28" s="1947"/>
      <c r="DU28" s="1947"/>
      <c r="DV28" s="1947"/>
      <c r="DW28" s="1947"/>
      <c r="DX28" s="1947"/>
      <c r="DY28" s="1947"/>
      <c r="DZ28" s="1947"/>
      <c r="EA28" s="1947"/>
      <c r="EB28" s="1947"/>
      <c r="EC28" s="1947"/>
      <c r="ED28" s="1947"/>
      <c r="EE28" s="1947"/>
      <c r="EF28" s="1947"/>
      <c r="EG28" s="1947"/>
      <c r="EH28" s="1947"/>
      <c r="EI28" s="1947"/>
      <c r="EJ28" s="1947"/>
      <c r="EK28" s="1947"/>
      <c r="EL28" s="1947"/>
      <c r="EM28" s="1947"/>
      <c r="EN28" s="1947"/>
      <c r="EO28" s="1947"/>
      <c r="EP28" s="1947"/>
    </row>
    <row r="29" spans="1:146" s="1946" customFormat="1" ht="12" hidden="1" customHeight="1" outlineLevel="1" x14ac:dyDescent="0.2">
      <c r="A29" s="1951" t="s">
        <v>885</v>
      </c>
      <c r="B29" s="1952" t="e">
        <v>#NAME?</v>
      </c>
      <c r="C29" s="1948"/>
      <c r="D29" s="1948"/>
      <c r="E29" s="1948"/>
      <c r="F29" s="1948"/>
      <c r="G29" s="1948"/>
      <c r="H29" s="1948"/>
      <c r="I29" s="1948"/>
      <c r="J29" s="1948"/>
      <c r="K29" s="1948"/>
      <c r="L29" s="1948"/>
      <c r="M29" s="1948"/>
      <c r="N29" s="1948"/>
      <c r="O29" s="1948"/>
      <c r="P29" s="1948"/>
      <c r="Q29" s="1948"/>
      <c r="R29" s="1948"/>
      <c r="S29" s="1948"/>
      <c r="T29" s="1948"/>
      <c r="U29" s="1948"/>
      <c r="V29" s="1948"/>
      <c r="W29" s="1948"/>
      <c r="X29" s="1948"/>
      <c r="Y29" s="1948"/>
      <c r="Z29" s="1948"/>
      <c r="AA29" s="1948"/>
      <c r="AB29" s="1948"/>
      <c r="AC29" s="1948"/>
      <c r="AD29" s="1948"/>
      <c r="AE29" s="1948"/>
      <c r="AF29" s="1948"/>
      <c r="AG29" s="1948"/>
      <c r="AH29" s="1948"/>
      <c r="AI29" s="1948"/>
      <c r="AJ29" s="1948"/>
      <c r="AK29" s="1948"/>
      <c r="AL29" s="1948"/>
      <c r="AM29" s="1948"/>
      <c r="AN29" s="1952"/>
      <c r="AO29" s="1952"/>
      <c r="AP29" s="1952"/>
      <c r="AQ29" s="1952"/>
      <c r="AR29" s="1952"/>
      <c r="AS29" s="1948"/>
      <c r="AT29" s="1948"/>
      <c r="AU29" s="1952"/>
      <c r="AV29" s="1952"/>
      <c r="AW29" s="1952"/>
      <c r="AX29" s="1952"/>
      <c r="AY29" s="1948"/>
      <c r="AZ29" s="1948"/>
      <c r="BA29" s="1952"/>
      <c r="BB29" s="1948"/>
      <c r="BC29" s="1948"/>
      <c r="BD29" s="1948"/>
      <c r="BE29" s="1948"/>
      <c r="BF29" s="1952"/>
      <c r="BG29" s="1948"/>
      <c r="BH29" s="1952"/>
      <c r="BI29" s="1948"/>
      <c r="BJ29" s="1948"/>
      <c r="BK29" s="1948"/>
      <c r="BL29" s="1948"/>
      <c r="BM29" s="1948"/>
      <c r="BN29" s="1948"/>
      <c r="BO29" s="1948"/>
      <c r="BP29" s="1948"/>
      <c r="BQ29" s="1948"/>
      <c r="BR29" s="1948"/>
      <c r="BS29" s="1948"/>
      <c r="BT29" s="1948"/>
      <c r="BU29" s="1948"/>
      <c r="BV29" s="1948"/>
      <c r="BW29" s="1948"/>
      <c r="BX29" s="1948"/>
      <c r="BY29" s="1948"/>
      <c r="BZ29" s="1948"/>
      <c r="CA29" s="1948"/>
      <c r="CB29" s="1948"/>
      <c r="CC29" s="1948"/>
      <c r="CD29" s="1948"/>
      <c r="CE29" s="1948"/>
      <c r="CF29" s="1948"/>
      <c r="CG29" s="1948"/>
      <c r="CH29" s="1948"/>
      <c r="CI29" s="1948"/>
      <c r="CJ29" s="1948"/>
      <c r="CK29" s="1948"/>
      <c r="CL29" s="1948"/>
      <c r="CM29" s="1948"/>
      <c r="CN29" s="1948"/>
      <c r="CO29" s="1948"/>
      <c r="CP29" s="1948"/>
      <c r="CQ29" s="1947"/>
      <c r="CR29" s="1947"/>
      <c r="CS29" s="1947"/>
      <c r="CT29" s="1947"/>
      <c r="CU29" s="1947"/>
      <c r="CV29" s="1947"/>
      <c r="CW29" s="1947"/>
      <c r="CX29" s="1947"/>
      <c r="CY29" s="1947"/>
      <c r="CZ29" s="1947"/>
      <c r="DA29" s="1947"/>
      <c r="DB29" s="1947"/>
      <c r="DC29" s="1947"/>
      <c r="DD29" s="1947"/>
      <c r="DE29" s="1947"/>
      <c r="DF29" s="1947"/>
      <c r="DG29" s="1947"/>
      <c r="DH29" s="1947"/>
      <c r="DI29" s="1947"/>
      <c r="DJ29" s="1947"/>
      <c r="DK29" s="1947"/>
      <c r="DL29" s="1947"/>
      <c r="DM29" s="1947"/>
      <c r="DN29" s="1947"/>
      <c r="DO29" s="1947"/>
      <c r="DP29" s="1947"/>
      <c r="DQ29" s="1947"/>
      <c r="DR29" s="1947"/>
      <c r="DS29" s="1947"/>
      <c r="DT29" s="1947"/>
      <c r="DU29" s="1947"/>
      <c r="DV29" s="1947"/>
      <c r="DW29" s="1947"/>
      <c r="DX29" s="1947"/>
      <c r="DY29" s="1947"/>
      <c r="DZ29" s="1947"/>
      <c r="EA29" s="1947"/>
      <c r="EB29" s="1947"/>
      <c r="EC29" s="1947"/>
      <c r="ED29" s="1947"/>
      <c r="EE29" s="1947"/>
      <c r="EF29" s="1947"/>
      <c r="EG29" s="1947"/>
      <c r="EH29" s="1947"/>
      <c r="EI29" s="1947"/>
      <c r="EJ29" s="1947"/>
      <c r="EK29" s="1947"/>
      <c r="EL29" s="1947"/>
      <c r="EM29" s="1947"/>
      <c r="EN29" s="1947"/>
      <c r="EO29" s="1947"/>
      <c r="EP29" s="1947"/>
    </row>
    <row r="30" spans="1:146" s="1946" customFormat="1" ht="12" hidden="1" customHeight="1" outlineLevel="1" x14ac:dyDescent="0.2">
      <c r="A30" s="1951" t="s">
        <v>886</v>
      </c>
      <c r="B30" s="1952" t="s">
        <v>887</v>
      </c>
      <c r="C30" s="1948"/>
      <c r="D30" s="1948"/>
      <c r="E30" s="1948"/>
      <c r="F30" s="1948"/>
      <c r="G30" s="1948"/>
      <c r="H30" s="1948"/>
      <c r="I30" s="1948"/>
      <c r="J30" s="1948"/>
      <c r="K30" s="1948"/>
      <c r="L30" s="1948"/>
      <c r="M30" s="1948"/>
      <c r="N30" s="1948"/>
      <c r="O30" s="1948"/>
      <c r="P30" s="1948"/>
      <c r="Q30" s="1948"/>
      <c r="R30" s="1948"/>
      <c r="S30" s="1948"/>
      <c r="T30" s="1948"/>
      <c r="U30" s="1948"/>
      <c r="V30" s="1948"/>
      <c r="W30" s="1948"/>
      <c r="X30" s="1948"/>
      <c r="Y30" s="1948"/>
      <c r="Z30" s="1948"/>
      <c r="AA30" s="1948"/>
      <c r="AB30" s="1948"/>
      <c r="AC30" s="1948"/>
      <c r="AD30" s="1948"/>
      <c r="AE30" s="1948"/>
      <c r="AF30" s="1948"/>
      <c r="AG30" s="1948"/>
      <c r="AH30" s="1948"/>
      <c r="AI30" s="1948"/>
      <c r="AJ30" s="1948"/>
      <c r="AK30" s="1948"/>
      <c r="AL30" s="1948"/>
      <c r="AM30" s="1948"/>
      <c r="AN30" s="1952"/>
      <c r="AO30" s="1952"/>
      <c r="AP30" s="1952"/>
      <c r="AQ30" s="1952"/>
      <c r="AR30" s="1952"/>
      <c r="AS30" s="1948"/>
      <c r="AT30" s="1948"/>
      <c r="AU30" s="1952"/>
      <c r="AV30" s="1952"/>
      <c r="AW30" s="1952"/>
      <c r="AX30" s="1952"/>
      <c r="AY30" s="1948"/>
      <c r="AZ30" s="1948"/>
      <c r="BA30" s="1952"/>
      <c r="BB30" s="1948"/>
      <c r="BC30" s="1948"/>
      <c r="BD30" s="1948"/>
      <c r="BE30" s="1948"/>
      <c r="BF30" s="1952"/>
      <c r="BG30" s="1948"/>
      <c r="BH30" s="1952"/>
      <c r="BI30" s="1948"/>
      <c r="BJ30" s="1948"/>
      <c r="BK30" s="1948"/>
      <c r="BL30" s="1948"/>
      <c r="BM30" s="1948"/>
      <c r="BN30" s="1948"/>
      <c r="BO30" s="1948"/>
      <c r="BP30" s="1948"/>
      <c r="BQ30" s="1948"/>
      <c r="BR30" s="1948"/>
      <c r="BS30" s="1948"/>
      <c r="BT30" s="1948"/>
      <c r="BU30" s="1948"/>
      <c r="BV30" s="1948"/>
      <c r="BW30" s="1948"/>
      <c r="BX30" s="1948"/>
      <c r="BY30" s="1948"/>
      <c r="BZ30" s="1948"/>
      <c r="CA30" s="1948"/>
      <c r="CB30" s="1948"/>
      <c r="CC30" s="1948"/>
      <c r="CD30" s="1948"/>
      <c r="CE30" s="1948"/>
      <c r="CF30" s="1948"/>
      <c r="CG30" s="1948"/>
      <c r="CH30" s="1948"/>
      <c r="CI30" s="1948"/>
      <c r="CJ30" s="1948"/>
      <c r="CK30" s="1948"/>
      <c r="CL30" s="1948"/>
      <c r="CM30" s="1948"/>
      <c r="CN30" s="1948"/>
      <c r="CO30" s="1948"/>
      <c r="CP30" s="1948"/>
      <c r="CQ30" s="1947"/>
      <c r="CR30" s="1947"/>
      <c r="CS30" s="1947"/>
      <c r="CT30" s="1947"/>
      <c r="CU30" s="1947"/>
      <c r="CV30" s="1947"/>
      <c r="CW30" s="1947"/>
      <c r="CX30" s="1947"/>
      <c r="CY30" s="1947"/>
      <c r="CZ30" s="1947"/>
      <c r="DA30" s="1947"/>
      <c r="DB30" s="1947"/>
      <c r="DC30" s="1947"/>
      <c r="DD30" s="1947"/>
      <c r="DE30" s="1947"/>
      <c r="DF30" s="1947"/>
      <c r="DG30" s="1947"/>
      <c r="DH30" s="1947"/>
      <c r="DI30" s="1947"/>
      <c r="DJ30" s="1947"/>
      <c r="DK30" s="1947"/>
      <c r="DL30" s="1947"/>
      <c r="DM30" s="1947"/>
      <c r="DN30" s="1947"/>
      <c r="DO30" s="1947"/>
      <c r="DP30" s="1947"/>
      <c r="DQ30" s="1947"/>
      <c r="DR30" s="1947"/>
      <c r="DS30" s="1947"/>
      <c r="DT30" s="1947"/>
      <c r="DU30" s="1947"/>
      <c r="DV30" s="1947"/>
      <c r="DW30" s="1947"/>
      <c r="DX30" s="1947"/>
      <c r="DY30" s="1947"/>
      <c r="DZ30" s="1947"/>
      <c r="EA30" s="1947"/>
      <c r="EB30" s="1947"/>
      <c r="EC30" s="1947"/>
      <c r="ED30" s="1947"/>
      <c r="EE30" s="1947"/>
      <c r="EF30" s="1947"/>
      <c r="EG30" s="1947"/>
      <c r="EH30" s="1947"/>
      <c r="EI30" s="1947"/>
      <c r="EJ30" s="1947"/>
      <c r="EK30" s="1947"/>
      <c r="EL30" s="1947"/>
      <c r="EM30" s="1947"/>
      <c r="EN30" s="1947"/>
      <c r="EO30" s="1947"/>
      <c r="EP30" s="1947"/>
    </row>
    <row r="31" spans="1:146" s="1946" customFormat="1" ht="12" hidden="1" customHeight="1" outlineLevel="1" x14ac:dyDescent="0.2">
      <c r="A31" s="1951" t="s">
        <v>888</v>
      </c>
      <c r="B31" s="1952" t="s">
        <v>889</v>
      </c>
      <c r="C31" s="1948"/>
      <c r="D31" s="1948"/>
      <c r="E31" s="1948"/>
      <c r="F31" s="1948"/>
      <c r="G31" s="1948"/>
      <c r="H31" s="1948"/>
      <c r="I31" s="1948"/>
      <c r="J31" s="1948"/>
      <c r="K31" s="1948"/>
      <c r="L31" s="1948"/>
      <c r="M31" s="1948"/>
      <c r="N31" s="1948"/>
      <c r="O31" s="1948"/>
      <c r="P31" s="1948"/>
      <c r="Q31" s="1948"/>
      <c r="R31" s="1948"/>
      <c r="S31" s="1948"/>
      <c r="T31" s="1948"/>
      <c r="U31" s="1948"/>
      <c r="V31" s="1948"/>
      <c r="W31" s="1948"/>
      <c r="X31" s="1948"/>
      <c r="Y31" s="1948"/>
      <c r="Z31" s="1948"/>
      <c r="AA31" s="1948"/>
      <c r="AB31" s="1948"/>
      <c r="AC31" s="1948"/>
      <c r="AD31" s="1948"/>
      <c r="AE31" s="1948"/>
      <c r="AF31" s="1948"/>
      <c r="AG31" s="1948"/>
      <c r="AH31" s="1948"/>
      <c r="AI31" s="1948"/>
      <c r="AJ31" s="1948"/>
      <c r="AK31" s="1948"/>
      <c r="AL31" s="1948"/>
      <c r="AM31" s="1948"/>
      <c r="AN31" s="1952"/>
      <c r="AO31" s="1952"/>
      <c r="AP31" s="1952"/>
      <c r="AQ31" s="1952"/>
      <c r="AR31" s="1952"/>
      <c r="AS31" s="1948"/>
      <c r="AT31" s="1948"/>
      <c r="AU31" s="1952"/>
      <c r="AV31" s="1952"/>
      <c r="AW31" s="1952"/>
      <c r="AX31" s="1952"/>
      <c r="AY31" s="1948"/>
      <c r="AZ31" s="1948"/>
      <c r="BA31" s="1952"/>
      <c r="BB31" s="1948"/>
      <c r="BC31" s="1948"/>
      <c r="BD31" s="1948"/>
      <c r="BE31" s="1948"/>
      <c r="BF31" s="1952"/>
      <c r="BG31" s="1948"/>
      <c r="BH31" s="1952"/>
      <c r="BI31" s="1948"/>
      <c r="BJ31" s="1948"/>
      <c r="BK31" s="1948"/>
      <c r="BL31" s="1948"/>
      <c r="BM31" s="1948"/>
      <c r="BN31" s="1948"/>
      <c r="BO31" s="1948"/>
      <c r="BP31" s="1948"/>
      <c r="BQ31" s="1948"/>
      <c r="BR31" s="1948"/>
      <c r="BS31" s="1948"/>
      <c r="BT31" s="1948"/>
      <c r="BU31" s="1948"/>
      <c r="BV31" s="1948"/>
      <c r="BW31" s="1948"/>
      <c r="BX31" s="1948"/>
      <c r="BY31" s="1948"/>
      <c r="BZ31" s="1948"/>
      <c r="CA31" s="1948"/>
      <c r="CB31" s="1948"/>
      <c r="CC31" s="1948"/>
      <c r="CD31" s="1948"/>
      <c r="CE31" s="1948"/>
      <c r="CF31" s="1948"/>
      <c r="CG31" s="1948"/>
      <c r="CH31" s="1948"/>
      <c r="CI31" s="1948"/>
      <c r="CJ31" s="1948"/>
      <c r="CK31" s="1948"/>
      <c r="CL31" s="1948"/>
      <c r="CM31" s="1948"/>
      <c r="CN31" s="1948"/>
      <c r="CO31" s="1948"/>
      <c r="CP31" s="1948"/>
      <c r="CQ31" s="1947"/>
      <c r="CR31" s="1947"/>
      <c r="CS31" s="1947"/>
      <c r="CT31" s="1947"/>
      <c r="CU31" s="1947"/>
      <c r="CV31" s="1947"/>
      <c r="CW31" s="1947"/>
      <c r="CX31" s="1947"/>
      <c r="CY31" s="1947"/>
      <c r="CZ31" s="1947"/>
      <c r="DA31" s="1947"/>
      <c r="DB31" s="1947"/>
      <c r="DC31" s="1947"/>
      <c r="DD31" s="1947"/>
      <c r="DE31" s="1947"/>
      <c r="DF31" s="1947"/>
      <c r="DG31" s="1947"/>
      <c r="DH31" s="1947"/>
      <c r="DI31" s="1947"/>
      <c r="DJ31" s="1947"/>
      <c r="DK31" s="1947"/>
      <c r="DL31" s="1947"/>
      <c r="DM31" s="1947"/>
      <c r="DN31" s="1947"/>
      <c r="DO31" s="1947"/>
      <c r="DP31" s="1947"/>
      <c r="DQ31" s="1947"/>
      <c r="DR31" s="1947"/>
      <c r="DS31" s="1947"/>
      <c r="DT31" s="1947"/>
      <c r="DU31" s="1947"/>
      <c r="DV31" s="1947"/>
      <c r="DW31" s="1947"/>
      <c r="DX31" s="1947"/>
      <c r="DY31" s="1947"/>
      <c r="DZ31" s="1947"/>
      <c r="EA31" s="1947"/>
      <c r="EB31" s="1947"/>
      <c r="EC31" s="1947"/>
      <c r="ED31" s="1947"/>
      <c r="EE31" s="1947"/>
      <c r="EF31" s="1947"/>
      <c r="EG31" s="1947"/>
      <c r="EH31" s="1947"/>
      <c r="EI31" s="1947"/>
      <c r="EJ31" s="1947"/>
      <c r="EK31" s="1947"/>
      <c r="EL31" s="1947"/>
      <c r="EM31" s="1947"/>
      <c r="EN31" s="1947"/>
      <c r="EO31" s="1947"/>
      <c r="EP31" s="1947"/>
    </row>
    <row r="32" spans="1:146" s="1946" customFormat="1" ht="12" hidden="1" customHeight="1" outlineLevel="1" x14ac:dyDescent="0.2">
      <c r="A32" s="1951" t="s">
        <v>890</v>
      </c>
      <c r="B32" s="1952" t="s">
        <v>724</v>
      </c>
      <c r="C32" s="1948"/>
      <c r="D32" s="1948"/>
      <c r="E32" s="1948"/>
      <c r="F32" s="1948"/>
      <c r="G32" s="1948"/>
      <c r="H32" s="1948"/>
      <c r="I32" s="1948"/>
      <c r="J32" s="1948"/>
      <c r="K32" s="1948"/>
      <c r="L32" s="1948"/>
      <c r="M32" s="1948"/>
      <c r="N32" s="1948"/>
      <c r="O32" s="1948"/>
      <c r="P32" s="1948"/>
      <c r="Q32" s="1948"/>
      <c r="R32" s="1948"/>
      <c r="S32" s="1948"/>
      <c r="T32" s="1948"/>
      <c r="U32" s="1948"/>
      <c r="V32" s="1948"/>
      <c r="W32" s="1948"/>
      <c r="X32" s="1948"/>
      <c r="Y32" s="1948"/>
      <c r="Z32" s="1948"/>
      <c r="AA32" s="1948"/>
      <c r="AB32" s="1948"/>
      <c r="AC32" s="1948"/>
      <c r="AD32" s="1948"/>
      <c r="AE32" s="1948"/>
      <c r="AF32" s="1948"/>
      <c r="AG32" s="1948"/>
      <c r="AH32" s="1948"/>
      <c r="AI32" s="1948"/>
      <c r="AJ32" s="1948"/>
      <c r="AK32" s="1948"/>
      <c r="AL32" s="1948"/>
      <c r="AM32" s="1948"/>
      <c r="AN32" s="1952"/>
      <c r="AO32" s="1952"/>
      <c r="AP32" s="1952"/>
      <c r="AQ32" s="1952"/>
      <c r="AR32" s="1952"/>
      <c r="AS32" s="1948"/>
      <c r="AT32" s="1948"/>
      <c r="AU32" s="1952"/>
      <c r="AV32" s="1952"/>
      <c r="AW32" s="1952"/>
      <c r="AX32" s="1952"/>
      <c r="AY32" s="1948"/>
      <c r="AZ32" s="1948"/>
      <c r="BA32" s="1952"/>
      <c r="BB32" s="1948"/>
      <c r="BC32" s="1948"/>
      <c r="BD32" s="1948"/>
      <c r="BE32" s="1948"/>
      <c r="BF32" s="1952"/>
      <c r="BG32" s="1948"/>
      <c r="BH32" s="1952"/>
      <c r="BI32" s="1948"/>
      <c r="BJ32" s="1948"/>
      <c r="BK32" s="1948"/>
      <c r="BL32" s="1948"/>
      <c r="BM32" s="1948"/>
      <c r="BN32" s="1948"/>
      <c r="BO32" s="1948"/>
      <c r="BP32" s="1948"/>
      <c r="BQ32" s="1948"/>
      <c r="BR32" s="1948"/>
      <c r="BS32" s="1948"/>
      <c r="BT32" s="1948"/>
      <c r="BU32" s="1948"/>
      <c r="BV32" s="1948"/>
      <c r="BW32" s="1948"/>
      <c r="BX32" s="1948"/>
      <c r="BY32" s="1948"/>
      <c r="BZ32" s="1948"/>
      <c r="CA32" s="1948"/>
      <c r="CB32" s="1948"/>
      <c r="CC32" s="1948"/>
      <c r="CD32" s="1948"/>
      <c r="CE32" s="1948"/>
      <c r="CF32" s="1948"/>
      <c r="CG32" s="1948"/>
      <c r="CH32" s="1948"/>
      <c r="CI32" s="1948"/>
      <c r="CJ32" s="1948"/>
      <c r="CK32" s="1948"/>
      <c r="CL32" s="1948"/>
      <c r="CM32" s="1948"/>
      <c r="CN32" s="1948"/>
      <c r="CO32" s="1948"/>
      <c r="CP32" s="1948"/>
      <c r="CQ32" s="1947"/>
      <c r="CR32" s="1947"/>
      <c r="CS32" s="1947"/>
      <c r="CT32" s="1947"/>
      <c r="CU32" s="1947"/>
      <c r="CV32" s="1947"/>
      <c r="CW32" s="1947"/>
      <c r="CX32" s="1947"/>
      <c r="CY32" s="1947"/>
      <c r="CZ32" s="1947"/>
      <c r="DA32" s="1947"/>
      <c r="DB32" s="1947"/>
      <c r="DC32" s="1947"/>
      <c r="DD32" s="1947"/>
      <c r="DE32" s="1947"/>
      <c r="DF32" s="1947"/>
      <c r="DG32" s="1947"/>
      <c r="DH32" s="1947"/>
      <c r="DI32" s="1947"/>
      <c r="DJ32" s="1947"/>
      <c r="DK32" s="1947"/>
      <c r="DL32" s="1947"/>
      <c r="DM32" s="1947"/>
      <c r="DN32" s="1947"/>
      <c r="DO32" s="1947"/>
      <c r="DP32" s="1947"/>
      <c r="DQ32" s="1947"/>
      <c r="DR32" s="1947"/>
      <c r="DS32" s="1947"/>
      <c r="DT32" s="1947"/>
      <c r="DU32" s="1947"/>
      <c r="DV32" s="1947"/>
      <c r="DW32" s="1947"/>
      <c r="DX32" s="1947"/>
      <c r="DY32" s="1947"/>
      <c r="DZ32" s="1947"/>
      <c r="EA32" s="1947"/>
      <c r="EB32" s="1947"/>
      <c r="EC32" s="1947"/>
      <c r="ED32" s="1947"/>
      <c r="EE32" s="1947"/>
      <c r="EF32" s="1947"/>
      <c r="EG32" s="1947"/>
      <c r="EH32" s="1947"/>
      <c r="EI32" s="1947"/>
      <c r="EJ32" s="1947"/>
      <c r="EK32" s="1947"/>
      <c r="EL32" s="1947"/>
      <c r="EM32" s="1947"/>
      <c r="EN32" s="1947"/>
      <c r="EO32" s="1947"/>
      <c r="EP32" s="1947"/>
    </row>
    <row r="33" spans="1:146" s="1946" customFormat="1" ht="12" hidden="1" customHeight="1" outlineLevel="1" x14ac:dyDescent="0.2">
      <c r="A33" s="1951" t="s">
        <v>891</v>
      </c>
      <c r="B33" s="1952" t="s">
        <v>1346</v>
      </c>
      <c r="C33" s="1948"/>
      <c r="D33" s="1952"/>
      <c r="E33" s="1948"/>
      <c r="F33" s="1952"/>
      <c r="G33" s="1952"/>
      <c r="H33" s="1948"/>
      <c r="I33" s="1952"/>
      <c r="J33" s="1948"/>
      <c r="K33" s="1952"/>
      <c r="L33" s="1948"/>
      <c r="M33" s="1952"/>
      <c r="N33" s="1948"/>
      <c r="O33" s="1952"/>
      <c r="P33" s="1948"/>
      <c r="Q33" s="1948"/>
      <c r="R33" s="1948"/>
      <c r="S33" s="1948"/>
      <c r="T33" s="1948"/>
      <c r="U33" s="1948"/>
      <c r="V33" s="1948"/>
      <c r="W33" s="1948"/>
      <c r="X33" s="1948"/>
      <c r="Y33" s="1948"/>
      <c r="Z33" s="1948"/>
      <c r="AA33" s="1948"/>
      <c r="AB33" s="1948"/>
      <c r="AC33" s="1948"/>
      <c r="AD33" s="1948"/>
      <c r="AE33" s="1948"/>
      <c r="AF33" s="1948"/>
      <c r="AG33" s="1948"/>
      <c r="AH33" s="1948"/>
      <c r="AI33" s="1948"/>
      <c r="AJ33" s="1948"/>
      <c r="AK33" s="1948"/>
      <c r="AL33" s="1948"/>
      <c r="AM33" s="1948"/>
      <c r="AN33" s="1952"/>
      <c r="AO33" s="1952"/>
      <c r="AP33" s="1952"/>
      <c r="AQ33" s="1952"/>
      <c r="AR33" s="1952"/>
      <c r="AS33" s="1948"/>
      <c r="AT33" s="1952"/>
      <c r="AU33" s="1952"/>
      <c r="AV33" s="1952"/>
      <c r="AW33" s="1952"/>
      <c r="AX33" s="1952"/>
      <c r="AY33" s="1948"/>
      <c r="AZ33" s="1952"/>
      <c r="BA33" s="1952"/>
      <c r="BB33" s="1948"/>
      <c r="BC33" s="1952"/>
      <c r="BD33" s="1948"/>
      <c r="BE33" s="1952"/>
      <c r="BF33" s="1952"/>
      <c r="BG33" s="1948"/>
      <c r="BH33" s="1952"/>
      <c r="BI33" s="1948"/>
      <c r="BJ33" s="1952"/>
      <c r="BK33" s="1948"/>
      <c r="BL33" s="1952"/>
      <c r="BM33" s="1948"/>
      <c r="BN33" s="1952"/>
      <c r="BO33" s="1948"/>
      <c r="BP33" s="1952"/>
      <c r="BQ33" s="1948"/>
      <c r="BR33" s="1952"/>
      <c r="BS33" s="1948"/>
      <c r="BT33" s="1952"/>
      <c r="BU33" s="1948"/>
      <c r="BV33" s="1952"/>
      <c r="BW33" s="1948"/>
      <c r="BX33" s="1952"/>
      <c r="BY33" s="1948"/>
      <c r="BZ33" s="1948"/>
      <c r="CA33" s="1948"/>
      <c r="CB33" s="1948"/>
      <c r="CC33" s="1948"/>
      <c r="CD33" s="1948"/>
      <c r="CE33" s="1948"/>
      <c r="CF33" s="1948"/>
      <c r="CG33" s="1948"/>
      <c r="CH33" s="1948"/>
      <c r="CI33" s="1948"/>
      <c r="CJ33" s="1948"/>
      <c r="CK33" s="1948"/>
      <c r="CL33" s="1948"/>
      <c r="CM33" s="1948"/>
      <c r="CN33" s="1948"/>
      <c r="CO33" s="1948"/>
      <c r="CP33" s="1948"/>
      <c r="CQ33" s="1947"/>
      <c r="CR33" s="1947"/>
      <c r="CS33" s="1947"/>
      <c r="CT33" s="1947"/>
      <c r="CU33" s="1947"/>
      <c r="CV33" s="1947"/>
      <c r="CW33" s="1947"/>
      <c r="CX33" s="1947"/>
      <c r="CY33" s="1947"/>
      <c r="CZ33" s="1947"/>
      <c r="DA33" s="1947"/>
      <c r="DB33" s="1947"/>
      <c r="DC33" s="1947"/>
      <c r="DD33" s="1947"/>
      <c r="DE33" s="1947"/>
      <c r="DF33" s="1947"/>
      <c r="DG33" s="1947"/>
      <c r="DH33" s="1947"/>
      <c r="DI33" s="1947"/>
      <c r="DJ33" s="1947"/>
      <c r="DK33" s="1947"/>
      <c r="DL33" s="1947"/>
      <c r="DM33" s="1947"/>
      <c r="DN33" s="1947"/>
      <c r="DO33" s="1947"/>
      <c r="DP33" s="1947"/>
      <c r="DQ33" s="1947"/>
      <c r="DR33" s="1947"/>
      <c r="DS33" s="1947"/>
      <c r="DT33" s="1947"/>
      <c r="DU33" s="1947"/>
      <c r="DV33" s="1947"/>
      <c r="DW33" s="1947"/>
      <c r="DX33" s="1947"/>
      <c r="DY33" s="1947"/>
      <c r="DZ33" s="1947"/>
      <c r="EA33" s="1947"/>
      <c r="EB33" s="1947"/>
      <c r="EC33" s="1947"/>
      <c r="ED33" s="1947"/>
      <c r="EE33" s="1947"/>
      <c r="EF33" s="1947"/>
      <c r="EG33" s="1947"/>
      <c r="EH33" s="1947"/>
      <c r="EI33" s="1947"/>
      <c r="EJ33" s="1947"/>
      <c r="EK33" s="1947"/>
      <c r="EL33" s="1947"/>
      <c r="EM33" s="1947"/>
      <c r="EN33" s="1947"/>
      <c r="EO33" s="1947"/>
      <c r="EP33" s="1947"/>
    </row>
    <row r="34" spans="1:146" s="1946" customFormat="1" ht="12" hidden="1" customHeight="1" outlineLevel="1" x14ac:dyDescent="0.2">
      <c r="A34" s="1951" t="s">
        <v>893</v>
      </c>
      <c r="B34" s="1952" t="s">
        <v>724</v>
      </c>
      <c r="C34" s="1948"/>
      <c r="D34" s="1952"/>
      <c r="E34" s="1948"/>
      <c r="F34" s="1952"/>
      <c r="G34" s="1952"/>
      <c r="H34" s="1948"/>
      <c r="I34" s="1952"/>
      <c r="J34" s="1948"/>
      <c r="K34" s="1952"/>
      <c r="L34" s="1948"/>
      <c r="M34" s="1952"/>
      <c r="N34" s="1948"/>
      <c r="O34" s="1952"/>
      <c r="P34" s="1948"/>
      <c r="Q34" s="1948"/>
      <c r="R34" s="1948"/>
      <c r="S34" s="1948"/>
      <c r="T34" s="1948"/>
      <c r="U34" s="1953"/>
      <c r="V34" s="1953"/>
      <c r="W34" s="1953"/>
      <c r="X34" s="1953"/>
      <c r="Y34" s="1953"/>
      <c r="Z34" s="1953"/>
      <c r="AA34" s="1953"/>
      <c r="AB34" s="1953"/>
      <c r="AC34" s="1953"/>
      <c r="AD34" s="1953"/>
      <c r="AE34" s="1953"/>
      <c r="AF34" s="1953"/>
      <c r="AG34" s="1948"/>
      <c r="AH34" s="1948"/>
      <c r="AI34" s="1948"/>
      <c r="AJ34" s="1948"/>
      <c r="AK34" s="1948"/>
      <c r="AL34" s="1948"/>
      <c r="AM34" s="1948"/>
      <c r="AN34" s="1952"/>
      <c r="AO34" s="1952"/>
      <c r="AP34" s="1952"/>
      <c r="AQ34" s="1952"/>
      <c r="AR34" s="1952"/>
      <c r="AS34" s="1948"/>
      <c r="AT34" s="1952"/>
      <c r="AU34" s="1952"/>
      <c r="AV34" s="1952"/>
      <c r="AW34" s="1952"/>
      <c r="AX34" s="1952"/>
      <c r="AY34" s="1948"/>
      <c r="AZ34" s="1952"/>
      <c r="BA34" s="1952"/>
      <c r="BB34" s="1948"/>
      <c r="BC34" s="1952"/>
      <c r="BD34" s="1948"/>
      <c r="BE34" s="1952"/>
      <c r="BF34" s="1952"/>
      <c r="BG34" s="1948"/>
      <c r="BH34" s="1952"/>
      <c r="BI34" s="1948"/>
      <c r="BJ34" s="1952"/>
      <c r="BK34" s="1948"/>
      <c r="BL34" s="1952"/>
      <c r="BM34" s="1948"/>
      <c r="BN34" s="1952"/>
      <c r="BO34" s="1948"/>
      <c r="BP34" s="1952"/>
      <c r="BQ34" s="1953"/>
      <c r="BR34" s="1952"/>
      <c r="BS34" s="1953"/>
      <c r="BT34" s="1952"/>
      <c r="BU34" s="1948"/>
      <c r="BV34" s="1952"/>
      <c r="BW34" s="1953"/>
      <c r="BX34" s="1952"/>
      <c r="BY34" s="1953"/>
      <c r="BZ34" s="1952"/>
      <c r="CA34" s="1948"/>
      <c r="CB34" s="1948"/>
      <c r="CC34" s="1948"/>
      <c r="CD34" s="1948"/>
      <c r="CE34" s="1948"/>
      <c r="CF34" s="1948"/>
      <c r="CG34" s="1948"/>
      <c r="CH34" s="1948"/>
      <c r="CI34" s="1948"/>
      <c r="CJ34" s="1948"/>
      <c r="CK34" s="1948"/>
      <c r="CL34" s="1948"/>
      <c r="CM34" s="1948"/>
      <c r="CN34" s="1948"/>
      <c r="CO34" s="1948"/>
      <c r="CP34" s="1948"/>
      <c r="CQ34" s="1947"/>
      <c r="CR34" s="1947"/>
      <c r="CS34" s="1947"/>
      <c r="CT34" s="1947"/>
      <c r="CU34" s="1953"/>
      <c r="CV34" s="1947"/>
      <c r="CW34" s="1953"/>
      <c r="CX34" s="1947"/>
      <c r="CY34" s="1953"/>
      <c r="CZ34" s="1947"/>
      <c r="DA34" s="1947"/>
      <c r="DB34" s="1947"/>
      <c r="DC34" s="1947"/>
      <c r="DD34" s="1947"/>
      <c r="DE34" s="1947"/>
      <c r="DF34" s="1947"/>
      <c r="DG34" s="1947"/>
      <c r="DH34" s="1947"/>
      <c r="DI34" s="1947"/>
      <c r="DJ34" s="1947"/>
      <c r="DK34" s="1947"/>
      <c r="DL34" s="1947"/>
      <c r="DM34" s="1947"/>
      <c r="DN34" s="1947"/>
      <c r="DO34" s="1947"/>
      <c r="DP34" s="1947"/>
      <c r="DQ34" s="1947"/>
      <c r="DR34" s="1947"/>
      <c r="DS34" s="1947"/>
      <c r="DT34" s="1947"/>
      <c r="DU34" s="1947"/>
      <c r="DV34" s="1947"/>
      <c r="DW34" s="1947"/>
      <c r="DX34" s="1947"/>
      <c r="DY34" s="1947"/>
      <c r="DZ34" s="1947"/>
      <c r="EA34" s="1947"/>
      <c r="EB34" s="1947"/>
      <c r="EC34" s="1947"/>
      <c r="ED34" s="1947"/>
      <c r="EE34" s="1947"/>
      <c r="EF34" s="1947"/>
      <c r="EG34" s="1947"/>
      <c r="EH34" s="1947"/>
      <c r="EI34" s="1947"/>
      <c r="EJ34" s="1947"/>
      <c r="EK34" s="1947"/>
      <c r="EL34" s="1947"/>
      <c r="EM34" s="1947"/>
      <c r="EN34" s="1947"/>
      <c r="EO34" s="1947"/>
      <c r="EP34" s="1947"/>
    </row>
    <row r="35" spans="1:146" ht="12" hidden="1" customHeight="1" outlineLevel="1" x14ac:dyDescent="0.2">
      <c r="A35" s="1951"/>
      <c r="B35" s="1951"/>
      <c r="C35" s="1951"/>
      <c r="D35" s="1951"/>
      <c r="E35" s="1951"/>
      <c r="F35" s="1951"/>
      <c r="G35" s="1951"/>
      <c r="H35" s="1951"/>
      <c r="I35" s="1951"/>
      <c r="J35" s="1951"/>
      <c r="K35" s="1951"/>
      <c r="L35" s="1951"/>
      <c r="M35" s="1951"/>
      <c r="N35" s="1951"/>
      <c r="O35" s="1951"/>
      <c r="P35" s="1951"/>
      <c r="Q35" s="1951"/>
      <c r="R35" s="1951"/>
      <c r="S35" s="1951"/>
      <c r="T35" s="1951"/>
      <c r="U35" s="1951"/>
      <c r="V35" s="1951"/>
      <c r="W35" s="1951"/>
      <c r="X35" s="1951"/>
      <c r="Y35" s="1951"/>
      <c r="Z35" s="1951"/>
      <c r="AA35" s="1951"/>
      <c r="AB35" s="1951"/>
      <c r="AC35" s="1951"/>
      <c r="AD35" s="1951"/>
      <c r="AE35" s="1951"/>
      <c r="AF35" s="1951"/>
      <c r="AG35" s="1951"/>
      <c r="AH35" s="1951"/>
      <c r="AI35" s="1951"/>
      <c r="AJ35" s="1951"/>
      <c r="AK35" s="1951"/>
      <c r="AL35" s="1947"/>
      <c r="AM35" s="1947"/>
      <c r="AN35" s="1951"/>
      <c r="AO35" s="1951"/>
      <c r="AP35" s="1957"/>
      <c r="AQ35" s="1951"/>
      <c r="AR35" s="1951"/>
      <c r="AS35" s="1951"/>
      <c r="AT35" s="1951"/>
      <c r="AU35" s="1951"/>
      <c r="AV35" s="1951"/>
      <c r="AW35" s="1951"/>
      <c r="AX35" s="1951"/>
      <c r="AY35" s="1951"/>
      <c r="AZ35" s="1951"/>
      <c r="BA35" s="1951"/>
      <c r="BB35" s="1951"/>
      <c r="BC35" s="1951"/>
      <c r="BD35" s="1951"/>
      <c r="BE35" s="1951"/>
      <c r="BF35" s="1951"/>
      <c r="BG35" s="1951"/>
      <c r="BH35" s="1951"/>
      <c r="BI35" s="1951"/>
      <c r="BJ35" s="1951"/>
      <c r="BK35" s="1951"/>
      <c r="BL35" s="1951"/>
      <c r="BM35" s="1951"/>
      <c r="BN35" s="1951"/>
      <c r="BO35" s="1951"/>
      <c r="BP35" s="1951"/>
      <c r="BQ35" s="1951"/>
      <c r="BR35" s="1951"/>
      <c r="BS35" s="1951"/>
      <c r="BT35" s="1951"/>
      <c r="BU35" s="1951"/>
      <c r="BV35" s="1951"/>
      <c r="BW35" s="1951"/>
      <c r="BX35" s="1951"/>
    </row>
    <row r="36" spans="1:146" ht="12.75" collapsed="1" x14ac:dyDescent="0.2">
      <c r="A36" s="1958" t="s">
        <v>894</v>
      </c>
      <c r="B36" s="1959" t="s">
        <v>1347</v>
      </c>
      <c r="C36" s="1958" t="s">
        <v>895</v>
      </c>
      <c r="D36" s="1959" t="s">
        <v>1874</v>
      </c>
      <c r="E36" s="1958" t="s">
        <v>896</v>
      </c>
      <c r="F36" s="1960" t="s">
        <v>897</v>
      </c>
      <c r="G36" s="1960" t="s">
        <v>898</v>
      </c>
      <c r="H36" s="1960" t="s">
        <v>899</v>
      </c>
      <c r="I36" s="1960" t="s">
        <v>900</v>
      </c>
    </row>
    <row r="37" spans="1:146" ht="12.75" outlineLevel="2" x14ac:dyDescent="0.2">
      <c r="A37" s="1961" t="s">
        <v>2216</v>
      </c>
      <c r="B37" s="1961" t="s">
        <v>2217</v>
      </c>
      <c r="C37" s="1961" t="s">
        <v>2218</v>
      </c>
      <c r="D37" s="1961" t="s">
        <v>2219</v>
      </c>
      <c r="E37" s="1961" t="s">
        <v>913</v>
      </c>
      <c r="F37" s="1962">
        <v>-509.55293</v>
      </c>
      <c r="G37" s="1962">
        <v>-142.54126141852612</v>
      </c>
      <c r="H37" s="1962">
        <v>-38.037759672765816</v>
      </c>
      <c r="I37" s="1962">
        <v>-27.175724716671485</v>
      </c>
    </row>
    <row r="38" spans="1:146" ht="13.5" outlineLevel="1" thickBot="1" x14ac:dyDescent="0.25">
      <c r="A38" s="1964" t="s">
        <v>2220</v>
      </c>
      <c r="B38" s="1964"/>
      <c r="C38" s="1964"/>
      <c r="D38" s="1964"/>
      <c r="E38" s="1964"/>
      <c r="F38" s="1965">
        <f t="shared" ref="F38:I38" si="0">SUBTOTAL(9,F37:F37)</f>
        <v>-509.55293</v>
      </c>
      <c r="G38" s="1965">
        <f t="shared" si="0"/>
        <v>-142.54126141852612</v>
      </c>
      <c r="H38" s="1965">
        <f t="shared" si="0"/>
        <v>-38.037759672765816</v>
      </c>
      <c r="I38" s="1965">
        <f t="shared" si="0"/>
        <v>-27.175724716671485</v>
      </c>
    </row>
    <row r="39" spans="1:146" ht="12.75" outlineLevel="2" x14ac:dyDescent="0.2">
      <c r="A39" s="1967" t="s">
        <v>2221</v>
      </c>
      <c r="B39" s="1967" t="s">
        <v>2222</v>
      </c>
      <c r="C39" s="1967" t="s">
        <v>2223</v>
      </c>
      <c r="D39" s="1967" t="s">
        <v>2224</v>
      </c>
      <c r="E39" s="1967" t="s">
        <v>2225</v>
      </c>
      <c r="F39" s="1968">
        <v>153145.65299999999</v>
      </c>
      <c r="G39" s="1962">
        <v>42840.641813960116</v>
      </c>
      <c r="H39" s="1962">
        <v>11432.212829671664</v>
      </c>
      <c r="I39" s="1962">
        <v>8167.638458055565</v>
      </c>
    </row>
    <row r="40" spans="1:146" ht="12.75" outlineLevel="2" x14ac:dyDescent="0.2">
      <c r="A40" s="1961" t="s">
        <v>2221</v>
      </c>
      <c r="B40" s="1961" t="s">
        <v>2222</v>
      </c>
      <c r="C40" s="1961" t="s">
        <v>2226</v>
      </c>
      <c r="D40" s="1961" t="s">
        <v>2227</v>
      </c>
      <c r="E40" s="1961" t="s">
        <v>912</v>
      </c>
      <c r="F40" s="1962">
        <v>154.81218000000001</v>
      </c>
      <c r="G40" s="1962">
        <v>154.81218000000001</v>
      </c>
      <c r="H40" s="1962">
        <v>0</v>
      </c>
      <c r="I40" s="1962">
        <v>0</v>
      </c>
    </row>
    <row r="41" spans="1:146" ht="13.5" outlineLevel="1" thickBot="1" x14ac:dyDescent="0.25">
      <c r="A41" s="1964" t="s">
        <v>2228</v>
      </c>
      <c r="B41" s="1964"/>
      <c r="C41" s="1964"/>
      <c r="D41" s="1964"/>
      <c r="E41" s="1964"/>
      <c r="F41" s="1965">
        <f t="shared" ref="F41:I41" si="1">SUBTOTAL(9,F39:F40)</f>
        <v>153300.46518</v>
      </c>
      <c r="G41" s="1965">
        <f t="shared" si="1"/>
        <v>42995.453993960116</v>
      </c>
      <c r="H41" s="1965">
        <f t="shared" si="1"/>
        <v>11432.212829671664</v>
      </c>
      <c r="I41" s="1965">
        <f t="shared" si="1"/>
        <v>8167.638458055565</v>
      </c>
    </row>
    <row r="42" spans="1:146" ht="12.75" outlineLevel="2" x14ac:dyDescent="0.2">
      <c r="A42" s="1967" t="s">
        <v>2229</v>
      </c>
      <c r="B42" s="1967" t="s">
        <v>2230</v>
      </c>
      <c r="C42" s="1967" t="s">
        <v>2231</v>
      </c>
      <c r="D42" s="1967" t="s">
        <v>2232</v>
      </c>
      <c r="E42" s="1967" t="s">
        <v>918</v>
      </c>
      <c r="F42" s="1968">
        <v>1340.98651</v>
      </c>
      <c r="G42" s="1962">
        <v>0</v>
      </c>
      <c r="H42" s="1962">
        <v>0</v>
      </c>
      <c r="I42" s="1962">
        <v>0</v>
      </c>
    </row>
    <row r="43" spans="1:146" ht="12.75" outlineLevel="2" x14ac:dyDescent="0.2">
      <c r="A43" s="1961" t="s">
        <v>2229</v>
      </c>
      <c r="B43" s="1961" t="s">
        <v>2230</v>
      </c>
      <c r="C43" s="1961" t="s">
        <v>2231</v>
      </c>
      <c r="D43" s="1961" t="s">
        <v>2232</v>
      </c>
      <c r="E43" s="1961" t="s">
        <v>912</v>
      </c>
      <c r="F43" s="1962">
        <v>34510.600859999999</v>
      </c>
      <c r="G43" s="1962">
        <v>34510.600859999999</v>
      </c>
      <c r="H43" s="1962">
        <v>0</v>
      </c>
      <c r="I43" s="1962">
        <v>0</v>
      </c>
    </row>
    <row r="44" spans="1:146" ht="12.75" outlineLevel="2" x14ac:dyDescent="0.2">
      <c r="A44" s="1961" t="s">
        <v>2229</v>
      </c>
      <c r="B44" s="1961" t="s">
        <v>2230</v>
      </c>
      <c r="C44" s="1961" t="s">
        <v>2231</v>
      </c>
      <c r="D44" s="1961" t="s">
        <v>2232</v>
      </c>
      <c r="E44" s="1961" t="s">
        <v>920</v>
      </c>
      <c r="F44" s="1962">
        <v>8.4048300000000005</v>
      </c>
      <c r="G44" s="1962">
        <v>0</v>
      </c>
      <c r="H44" s="1962">
        <v>0</v>
      </c>
      <c r="I44" s="1962">
        <v>0</v>
      </c>
    </row>
    <row r="45" spans="1:146" ht="12.75" outlineLevel="2" x14ac:dyDescent="0.2">
      <c r="A45" s="1961" t="s">
        <v>2229</v>
      </c>
      <c r="B45" s="1961" t="s">
        <v>2230</v>
      </c>
      <c r="C45" s="1961" t="s">
        <v>2231</v>
      </c>
      <c r="D45" s="1961" t="s">
        <v>2232</v>
      </c>
      <c r="E45" s="1961" t="s">
        <v>922</v>
      </c>
      <c r="F45" s="1962">
        <v>1968.4296099999999</v>
      </c>
      <c r="G45" s="1962">
        <v>0</v>
      </c>
      <c r="H45" s="1962">
        <v>0</v>
      </c>
      <c r="I45" s="1962">
        <v>0</v>
      </c>
    </row>
    <row r="46" spans="1:146" ht="13.5" outlineLevel="1" thickBot="1" x14ac:dyDescent="0.25">
      <c r="A46" s="1964" t="s">
        <v>2233</v>
      </c>
      <c r="B46" s="1964"/>
      <c r="C46" s="1964"/>
      <c r="D46" s="1964"/>
      <c r="E46" s="1964"/>
      <c r="F46" s="1965">
        <f t="shared" ref="F46:I46" si="2">SUBTOTAL(9,F42:F45)</f>
        <v>37828.42181</v>
      </c>
      <c r="G46" s="1965">
        <f t="shared" si="2"/>
        <v>34510.600859999999</v>
      </c>
      <c r="H46" s="1965">
        <f t="shared" si="2"/>
        <v>0</v>
      </c>
      <c r="I46" s="1965">
        <f t="shared" si="2"/>
        <v>0</v>
      </c>
    </row>
    <row r="47" spans="1:146" ht="12.75" outlineLevel="2" x14ac:dyDescent="0.2">
      <c r="A47" s="1967" t="s">
        <v>2234</v>
      </c>
      <c r="B47" s="1967" t="s">
        <v>2235</v>
      </c>
      <c r="C47" s="1967" t="s">
        <v>2236</v>
      </c>
      <c r="D47" s="1967" t="s">
        <v>2237</v>
      </c>
      <c r="E47" s="1967" t="s">
        <v>913</v>
      </c>
      <c r="F47" s="1968">
        <v>4054.48495</v>
      </c>
      <c r="G47" s="1962">
        <v>1134.1930644485349</v>
      </c>
      <c r="H47" s="1962">
        <v>302.66438488528746</v>
      </c>
      <c r="I47" s="1962">
        <v>216.2357635134932</v>
      </c>
    </row>
    <row r="48" spans="1:146" ht="12.75" outlineLevel="2" x14ac:dyDescent="0.2">
      <c r="A48" s="1961" t="s">
        <v>2234</v>
      </c>
      <c r="B48" s="1961" t="s">
        <v>2235</v>
      </c>
      <c r="C48" s="1961" t="s">
        <v>2238</v>
      </c>
      <c r="D48" s="1961" t="s">
        <v>2239</v>
      </c>
      <c r="E48" s="1961" t="s">
        <v>913</v>
      </c>
      <c r="F48" s="1962">
        <v>15634.90454</v>
      </c>
      <c r="G48" s="1962">
        <v>4373.6752044382138</v>
      </c>
      <c r="H48" s="1962">
        <v>1167.1343767940953</v>
      </c>
      <c r="I48" s="1962">
        <v>833.84833397087357</v>
      </c>
    </row>
    <row r="49" spans="1:17" ht="12.75" outlineLevel="2" x14ac:dyDescent="0.2">
      <c r="A49" s="1961" t="s">
        <v>2234</v>
      </c>
      <c r="B49" s="1961" t="s">
        <v>2235</v>
      </c>
      <c r="C49" s="1961" t="s">
        <v>2240</v>
      </c>
      <c r="D49" s="1961" t="s">
        <v>2241</v>
      </c>
      <c r="E49" s="1961" t="s">
        <v>912</v>
      </c>
      <c r="F49" s="1962">
        <v>1438.991</v>
      </c>
      <c r="G49" s="1962">
        <v>1438.991</v>
      </c>
      <c r="H49" s="1962">
        <v>0</v>
      </c>
      <c r="I49" s="1962">
        <v>0</v>
      </c>
    </row>
    <row r="50" spans="1:17" ht="12.75" outlineLevel="2" x14ac:dyDescent="0.2">
      <c r="A50" s="1961" t="s">
        <v>2234</v>
      </c>
      <c r="B50" s="1961" t="s">
        <v>2235</v>
      </c>
      <c r="C50" s="1961" t="s">
        <v>2242</v>
      </c>
      <c r="D50" s="1961" t="s">
        <v>2243</v>
      </c>
      <c r="E50" s="1961" t="s">
        <v>906</v>
      </c>
      <c r="F50" s="1962">
        <v>374.27499999999998</v>
      </c>
      <c r="G50" s="1962">
        <v>96.702190494166999</v>
      </c>
      <c r="H50" s="1962">
        <v>26.727390222007323</v>
      </c>
      <c r="I50" s="1962">
        <v>22.086843704746968</v>
      </c>
    </row>
    <row r="51" spans="1:17" ht="12.75" outlineLevel="2" x14ac:dyDescent="0.2">
      <c r="A51" s="1961" t="s">
        <v>2234</v>
      </c>
      <c r="B51" s="1961" t="s">
        <v>2235</v>
      </c>
      <c r="C51" s="1961" t="s">
        <v>2244</v>
      </c>
      <c r="D51" s="1961" t="s">
        <v>2245</v>
      </c>
      <c r="E51" s="1961" t="s">
        <v>921</v>
      </c>
      <c r="F51" s="1962">
        <v>26.544509999999999</v>
      </c>
      <c r="G51" s="1962">
        <v>0</v>
      </c>
      <c r="H51" s="1962">
        <v>26.544509999999999</v>
      </c>
      <c r="I51" s="1962">
        <v>0</v>
      </c>
    </row>
    <row r="52" spans="1:17" ht="12.75" outlineLevel="2" x14ac:dyDescent="0.2">
      <c r="A52" s="1961" t="s">
        <v>2234</v>
      </c>
      <c r="B52" s="1961" t="s">
        <v>2235</v>
      </c>
      <c r="C52" s="1961" t="s">
        <v>2246</v>
      </c>
      <c r="D52" s="1961" t="s">
        <v>2247</v>
      </c>
      <c r="E52" s="1961" t="s">
        <v>906</v>
      </c>
      <c r="F52" s="1962">
        <v>58.920780000000001</v>
      </c>
      <c r="G52" s="1962">
        <v>15.223481374991398</v>
      </c>
      <c r="H52" s="1962">
        <v>4.2075978337987969</v>
      </c>
      <c r="I52" s="1962">
        <v>3.4770531262354716</v>
      </c>
    </row>
    <row r="53" spans="1:17" ht="12.75" outlineLevel="2" x14ac:dyDescent="0.2">
      <c r="A53" s="1961" t="s">
        <v>2234</v>
      </c>
      <c r="B53" s="1961" t="s">
        <v>2235</v>
      </c>
      <c r="C53" s="1961" t="s">
        <v>2248</v>
      </c>
      <c r="D53" s="1961" t="s">
        <v>2249</v>
      </c>
      <c r="E53" s="1961" t="s">
        <v>922</v>
      </c>
      <c r="F53" s="1962">
        <v>125.85713</v>
      </c>
      <c r="G53" s="1962">
        <v>0</v>
      </c>
      <c r="H53" s="1962">
        <v>0</v>
      </c>
      <c r="I53" s="1962">
        <v>0</v>
      </c>
    </row>
    <row r="54" spans="1:17" ht="12.75" outlineLevel="2" x14ac:dyDescent="0.2">
      <c r="A54" s="1961" t="s">
        <v>2234</v>
      </c>
      <c r="B54" s="1961" t="s">
        <v>2235</v>
      </c>
      <c r="C54" s="1961" t="s">
        <v>2250</v>
      </c>
      <c r="D54" s="1961" t="s">
        <v>2251</v>
      </c>
      <c r="E54" s="1961" t="s">
        <v>906</v>
      </c>
      <c r="F54" s="1962">
        <v>268.11471</v>
      </c>
      <c r="G54" s="1962">
        <v>69.27334115478817</v>
      </c>
      <c r="H54" s="1962">
        <v>19.146366918523356</v>
      </c>
      <c r="I54" s="1962">
        <v>15.822076533868303</v>
      </c>
    </row>
    <row r="55" spans="1:17" ht="12.75" outlineLevel="2" x14ac:dyDescent="0.2">
      <c r="A55" s="1961" t="s">
        <v>2234</v>
      </c>
      <c r="B55" s="1961" t="s">
        <v>2235</v>
      </c>
      <c r="C55" s="1961" t="s">
        <v>2252</v>
      </c>
      <c r="D55" s="1961" t="s">
        <v>2253</v>
      </c>
      <c r="E55" s="1961" t="s">
        <v>1083</v>
      </c>
      <c r="F55" s="1962">
        <v>2091.9169999999999</v>
      </c>
      <c r="G55" s="1962">
        <v>566.78174056439957</v>
      </c>
      <c r="H55" s="1962">
        <v>159.36033124826054</v>
      </c>
      <c r="I55" s="1962">
        <v>113.24877464090071</v>
      </c>
    </row>
    <row r="56" spans="1:17" ht="12.75" outlineLevel="2" x14ac:dyDescent="0.2">
      <c r="A56" s="1961" t="s">
        <v>2234</v>
      </c>
      <c r="B56" s="1961" t="s">
        <v>2235</v>
      </c>
      <c r="C56" s="1961" t="s">
        <v>2254</v>
      </c>
      <c r="D56" s="1961" t="s">
        <v>2255</v>
      </c>
      <c r="E56" s="1961" t="s">
        <v>913</v>
      </c>
      <c r="F56" s="1962">
        <v>25.368980000000001</v>
      </c>
      <c r="G56" s="1962">
        <v>7.0966649335160543</v>
      </c>
      <c r="H56" s="1962">
        <v>1.8937761075835686</v>
      </c>
      <c r="I56" s="1962">
        <v>1.3529907811986177</v>
      </c>
    </row>
    <row r="57" spans="1:17" ht="12.75" outlineLevel="2" x14ac:dyDescent="0.2">
      <c r="A57" s="1961" t="s">
        <v>2234</v>
      </c>
      <c r="B57" s="1961" t="s">
        <v>2235</v>
      </c>
      <c r="C57" s="1961" t="s">
        <v>2256</v>
      </c>
      <c r="D57" s="1961" t="s">
        <v>2257</v>
      </c>
      <c r="E57" s="1961" t="s">
        <v>906</v>
      </c>
      <c r="F57" s="1962">
        <v>509.55293</v>
      </c>
      <c r="G57" s="1962">
        <v>131.65422350870602</v>
      </c>
      <c r="H57" s="1962">
        <v>36.387736287160998</v>
      </c>
      <c r="I57" s="1962">
        <v>30.069924959069901</v>
      </c>
    </row>
    <row r="58" spans="1:17" ht="13.5" outlineLevel="1" thickBot="1" x14ac:dyDescent="0.25">
      <c r="A58" s="1964" t="s">
        <v>2258</v>
      </c>
      <c r="B58" s="1964"/>
      <c r="C58" s="1964"/>
      <c r="D58" s="1964"/>
      <c r="E58" s="1964"/>
      <c r="F58" s="1965">
        <f t="shared" ref="F58:I58" si="3">SUBTOTAL(9,F47:F57)</f>
        <v>24608.931530000009</v>
      </c>
      <c r="G58" s="1965">
        <f t="shared" si="3"/>
        <v>7833.5909109173153</v>
      </c>
      <c r="H58" s="1965">
        <f t="shared" si="3"/>
        <v>1744.0664702967174</v>
      </c>
      <c r="I58" s="1965">
        <f t="shared" si="3"/>
        <v>1236.1417612303867</v>
      </c>
    </row>
    <row r="59" spans="1:17" ht="13.5" thickBot="1" x14ac:dyDescent="0.25">
      <c r="A59" s="1973" t="s">
        <v>1342</v>
      </c>
      <c r="B59" s="1973"/>
      <c r="C59" s="1973"/>
      <c r="D59" s="1973"/>
      <c r="E59" s="1973"/>
      <c r="F59" s="1974">
        <f t="shared" ref="F59:I59" si="4">SUBTOTAL(9,F37:F58)</f>
        <v>215228.26558999997</v>
      </c>
      <c r="G59" s="1970">
        <f t="shared" si="4"/>
        <v>85197.104503458919</v>
      </c>
      <c r="H59" s="1970">
        <f t="shared" si="4"/>
        <v>13138.241540295612</v>
      </c>
      <c r="I59" s="1970">
        <f t="shared" si="4"/>
        <v>9376.6044945692793</v>
      </c>
    </row>
    <row r="60" spans="1:17" ht="12.75" x14ac:dyDescent="0.2"/>
    <row r="61" spans="1:17" ht="12.75" x14ac:dyDescent="0.2">
      <c r="F61" s="1975"/>
    </row>
    <row r="62" spans="1:17" ht="12.75" x14ac:dyDescent="0.2"/>
    <row r="63" spans="1:17" ht="12.75" x14ac:dyDescent="0.2">
      <c r="C63" s="2077"/>
      <c r="D63" s="2077"/>
      <c r="E63" s="2077"/>
      <c r="F63" s="2077"/>
      <c r="G63" s="2077"/>
      <c r="H63" s="2077"/>
      <c r="I63" s="2077"/>
      <c r="J63" s="2077"/>
      <c r="K63" s="2077"/>
      <c r="L63" s="2077"/>
      <c r="M63" s="3817" t="s">
        <v>5460</v>
      </c>
      <c r="N63" s="3818"/>
      <c r="O63" s="3818"/>
      <c r="P63" s="3818"/>
      <c r="Q63" s="3819"/>
    </row>
    <row r="64" spans="1:17" ht="12.75" x14ac:dyDescent="0.2">
      <c r="C64" s="2077"/>
      <c r="D64" s="2077"/>
      <c r="E64" s="2077"/>
      <c r="F64" s="2077"/>
      <c r="G64" s="2077"/>
      <c r="H64" s="2077"/>
      <c r="I64" s="2077"/>
      <c r="J64" s="2077"/>
      <c r="K64" s="2077"/>
      <c r="L64" s="2077"/>
      <c r="M64" s="2026" t="s">
        <v>5461</v>
      </c>
      <c r="N64" s="2026" t="s">
        <v>912</v>
      </c>
      <c r="O64" s="2027" t="s">
        <v>921</v>
      </c>
      <c r="P64" s="2028" t="s">
        <v>5462</v>
      </c>
      <c r="Q64" s="2029" t="s">
        <v>5463</v>
      </c>
    </row>
    <row r="65" spans="3:17" ht="12.75" x14ac:dyDescent="0.2">
      <c r="C65" s="2077" t="s">
        <v>5612</v>
      </c>
      <c r="D65" s="2130" t="s">
        <v>271</v>
      </c>
      <c r="E65" s="2131" t="s">
        <v>5459</v>
      </c>
      <c r="F65" s="2132">
        <f>SUMIFS(F$37:F$57,$D37:$D57,"*PROPERTY*")</f>
        <v>153300.46518</v>
      </c>
      <c r="G65" s="2132">
        <f>SUMIFS(G$37:G$57,$D37:$D57,"*PROPERTY*")</f>
        <v>42995.453993960116</v>
      </c>
      <c r="H65" s="2132">
        <f>SUMIFS(H$37:H$57,$D37:$D57,"*PROPERTY*")</f>
        <v>11432.212829671664</v>
      </c>
      <c r="I65" s="2132">
        <f>SUMIFS(I$37:I$57,$D37:$D57,"*PROPERTY*")</f>
        <v>8167.638458055565</v>
      </c>
      <c r="J65" s="2077"/>
      <c r="K65" s="2077"/>
      <c r="L65" s="2077" t="s">
        <v>5612</v>
      </c>
      <c r="M65" s="2133">
        <f>F65/$F65</f>
        <v>1</v>
      </c>
      <c r="N65" s="2133">
        <f t="shared" ref="N65:P68" si="5">G65/$F65</f>
        <v>0.28046525458012389</v>
      </c>
      <c r="O65" s="2133">
        <f t="shared" si="5"/>
        <v>7.4573895234097062E-2</v>
      </c>
      <c r="P65" s="2133">
        <f t="shared" si="5"/>
        <v>5.327862800980683E-2</v>
      </c>
      <c r="Q65" s="2133">
        <f>SUM(N65:P65)</f>
        <v>0.40831777782402778</v>
      </c>
    </row>
    <row r="66" spans="3:17" ht="12.75" x14ac:dyDescent="0.2">
      <c r="C66" s="2077" t="s">
        <v>5613</v>
      </c>
      <c r="D66" s="2134" t="s">
        <v>5614</v>
      </c>
      <c r="E66" s="2135" t="s">
        <v>5459</v>
      </c>
      <c r="F66" s="2136">
        <f>SUMIFS(F$37:F$57,$D37:$D57,"*FRANCHISE*")</f>
        <v>37828.42181</v>
      </c>
      <c r="G66" s="2136">
        <f>SUMIFS(G$37:G$57,$D37:$D57,"*FRANCHISE*")</f>
        <v>34510.600859999999</v>
      </c>
      <c r="H66" s="2136">
        <f>SUMIFS(H$37:H$57,$D37:$D57,"*FRANCHISE*")</f>
        <v>0</v>
      </c>
      <c r="I66" s="2136">
        <f>SUMIFS(I$37:I$57,$D37:$D57,"*FRANCHISE*")</f>
        <v>0</v>
      </c>
      <c r="J66" s="2077"/>
      <c r="K66" s="2077"/>
      <c r="L66" s="2077" t="s">
        <v>5613</v>
      </c>
      <c r="M66" s="2133">
        <f t="shared" ref="M66:M68" si="6">F66/$F66</f>
        <v>1</v>
      </c>
      <c r="N66" s="2133">
        <f t="shared" si="5"/>
        <v>0.91229290593553314</v>
      </c>
      <c r="O66" s="2133">
        <f t="shared" si="5"/>
        <v>0</v>
      </c>
      <c r="P66" s="2133">
        <f t="shared" si="5"/>
        <v>0</v>
      </c>
      <c r="Q66" s="2133">
        <f t="shared" ref="Q66:Q68" si="7">SUM(N66:P66)</f>
        <v>0.91229290593553314</v>
      </c>
    </row>
    <row r="67" spans="3:17" ht="12.75" x14ac:dyDescent="0.2">
      <c r="C67" s="2077" t="s">
        <v>5615</v>
      </c>
      <c r="D67" s="2134" t="s">
        <v>153</v>
      </c>
      <c r="E67" s="2135" t="s">
        <v>5459</v>
      </c>
      <c r="F67" s="2136" t="s">
        <v>5459</v>
      </c>
      <c r="G67" s="2136" t="s">
        <v>5459</v>
      </c>
      <c r="H67" s="2136" t="s">
        <v>5459</v>
      </c>
      <c r="I67" s="2136" t="s">
        <v>5459</v>
      </c>
      <c r="J67" s="2077"/>
      <c r="K67" s="2077"/>
      <c r="L67" s="2077" t="s">
        <v>5615</v>
      </c>
      <c r="M67" s="2133">
        <f>SUMIFS(F$37:F$57,$B$37:$B$57,"MISC*")/SUMIFS($F$37:$F$57,$B$37:$B$57,"MISC*")</f>
        <v>1</v>
      </c>
      <c r="N67" s="2133">
        <f>SUMIFS(G$37:G$57,$B$37:$B$57,"MISC*")/SUMIFS($F$37:$F$57,$B$37:$B$57,"MISC*")</f>
        <v>0.31832308125070852</v>
      </c>
      <c r="O67" s="2133">
        <f>SUMIFS(H$37:H$57,$B$37:$B$57,"MISC*")/SUMIFS($F$37:$F$57,$B$37:$B$57,"MISC*")</f>
        <v>7.0871279729092601E-2</v>
      </c>
      <c r="P67" s="2133">
        <f>SUMIFS(I$37:I$57,$B$37:$B$57,"MISC*")/SUMIFS($F$37:$F$57,$B$37:$B$57,"MISC*")</f>
        <v>5.0231427549930131E-2</v>
      </c>
      <c r="Q67" s="2133">
        <f t="shared" si="7"/>
        <v>0.43942578852973124</v>
      </c>
    </row>
    <row r="68" spans="3:17" ht="12.75" x14ac:dyDescent="0.2">
      <c r="C68" s="2077" t="s">
        <v>5616</v>
      </c>
      <c r="D68" s="2134" t="s">
        <v>5617</v>
      </c>
      <c r="E68" s="2135" t="s">
        <v>5459</v>
      </c>
      <c r="F68" s="2136">
        <f>SUMIFS(F$37:F$59,$A$37:$A$59,"*GRAND*")-SUM(F65:F67)</f>
        <v>24099.378599999967</v>
      </c>
      <c r="G68" s="2136">
        <f>SUMIFS(G$37:G$59,$A$37:$A$59,"*GRAND*")-SUM(G65:G67)</f>
        <v>7691.0496494988038</v>
      </c>
      <c r="H68" s="2136">
        <f>SUMIFS(H$37:H$59,$A$37:$A$59,"*GRAND*")-SUM(H65:H67)</f>
        <v>1706.0287106239484</v>
      </c>
      <c r="I68" s="2136">
        <f>SUMIFS(I$37:I$59,$A$37:$A$59,"*GRAND*")-SUM(I65:I67)</f>
        <v>1208.9660365137142</v>
      </c>
      <c r="J68" s="2077"/>
      <c r="K68" s="2077"/>
      <c r="L68" s="2077" t="s">
        <v>5616</v>
      </c>
      <c r="M68" s="2133">
        <f t="shared" si="6"/>
        <v>1</v>
      </c>
      <c r="N68" s="2133">
        <f t="shared" si="5"/>
        <v>0.31913891960263302</v>
      </c>
      <c r="O68" s="2133">
        <f t="shared" si="5"/>
        <v>7.07913983568004E-2</v>
      </c>
      <c r="P68" s="2133">
        <f t="shared" si="5"/>
        <v>5.0165859318618111E-2</v>
      </c>
      <c r="Q68" s="2133">
        <f t="shared" si="7"/>
        <v>0.44009617727805156</v>
      </c>
    </row>
    <row r="69" spans="3:17" ht="12.75" x14ac:dyDescent="0.2"/>
    <row r="70" spans="3:17" ht="12.75" x14ac:dyDescent="0.2"/>
    <row r="71" spans="3:17" ht="12.75" x14ac:dyDescent="0.2"/>
    <row r="72" spans="3:17" ht="12.75" x14ac:dyDescent="0.2"/>
    <row r="73" spans="3:17" ht="12.75" x14ac:dyDescent="0.2"/>
    <row r="74" spans="3:17" ht="12.75" x14ac:dyDescent="0.2"/>
    <row r="75" spans="3:17" ht="12.75" x14ac:dyDescent="0.2"/>
    <row r="76" spans="3:17" ht="12.75" x14ac:dyDescent="0.2"/>
    <row r="77" spans="3:17" ht="12.75" x14ac:dyDescent="0.2"/>
    <row r="78" spans="3:17" ht="12.75" x14ac:dyDescent="0.2"/>
    <row r="79" spans="3:17" ht="12.75" x14ac:dyDescent="0.2"/>
    <row r="80" spans="3:17" ht="12.75" x14ac:dyDescent="0.2"/>
    <row r="81" ht="12.75" x14ac:dyDescent="0.2"/>
    <row r="82" ht="12.75" x14ac:dyDescent="0.2"/>
    <row r="83" ht="12.75" x14ac:dyDescent="0.2"/>
    <row r="84" ht="12.75" x14ac:dyDescent="0.2"/>
    <row r="85" ht="12.75" x14ac:dyDescent="0.2"/>
    <row r="86" ht="12.75" x14ac:dyDescent="0.2"/>
    <row r="87" ht="12.75" x14ac:dyDescent="0.2"/>
    <row r="88" ht="12.75" x14ac:dyDescent="0.2"/>
    <row r="89" ht="12.75" x14ac:dyDescent="0.2"/>
    <row r="90" ht="12.75" x14ac:dyDescent="0.2"/>
    <row r="91" ht="12.75" x14ac:dyDescent="0.2"/>
    <row r="92" ht="12.75" x14ac:dyDescent="0.2"/>
    <row r="93" ht="12.75" x14ac:dyDescent="0.2"/>
    <row r="94" ht="12.75" x14ac:dyDescent="0.2"/>
    <row r="95" ht="12.75" x14ac:dyDescent="0.2"/>
    <row r="96" ht="12.75" x14ac:dyDescent="0.2"/>
    <row r="97" ht="12.75" x14ac:dyDescent="0.2"/>
    <row r="98" ht="12.75" x14ac:dyDescent="0.2"/>
    <row r="99" ht="12.75" x14ac:dyDescent="0.2"/>
    <row r="100" ht="12.75" x14ac:dyDescent="0.2"/>
    <row r="101" ht="12.75" x14ac:dyDescent="0.2"/>
    <row r="102" ht="12.75" x14ac:dyDescent="0.2"/>
    <row r="103" ht="12.75" x14ac:dyDescent="0.2"/>
    <row r="104" ht="12.75" x14ac:dyDescent="0.2"/>
    <row r="105" ht="12.75" x14ac:dyDescent="0.2"/>
    <row r="106" ht="12.75" x14ac:dyDescent="0.2"/>
    <row r="107" ht="12.75" x14ac:dyDescent="0.2"/>
    <row r="108" ht="12.75" x14ac:dyDescent="0.2"/>
    <row r="109" ht="12.75" x14ac:dyDescent="0.2"/>
    <row r="110" ht="12.75" x14ac:dyDescent="0.2"/>
    <row r="111" ht="12.75" x14ac:dyDescent="0.2"/>
    <row r="112" ht="12.75" x14ac:dyDescent="0.2"/>
    <row r="113" ht="12.75" x14ac:dyDescent="0.2"/>
    <row r="114" ht="12.75" x14ac:dyDescent="0.2"/>
    <row r="115" ht="12.75" x14ac:dyDescent="0.2"/>
    <row r="116" ht="12.75" x14ac:dyDescent="0.2"/>
    <row r="117" ht="12.75" x14ac:dyDescent="0.2"/>
    <row r="118" ht="12.75" x14ac:dyDescent="0.2"/>
    <row r="119" ht="12.75" x14ac:dyDescent="0.2"/>
    <row r="120" ht="12.75" x14ac:dyDescent="0.2"/>
    <row r="121" ht="12.75" x14ac:dyDescent="0.2"/>
    <row r="122" ht="12.75" x14ac:dyDescent="0.2"/>
    <row r="123" ht="12.75" x14ac:dyDescent="0.2"/>
    <row r="124" ht="12.75" x14ac:dyDescent="0.2"/>
    <row r="125" ht="12.75" x14ac:dyDescent="0.2"/>
    <row r="126" ht="12.75" x14ac:dyDescent="0.2"/>
    <row r="127" ht="12.75" x14ac:dyDescent="0.2"/>
    <row r="128" ht="12.75" x14ac:dyDescent="0.2"/>
    <row r="129" ht="12.75" x14ac:dyDescent="0.2"/>
    <row r="130" ht="12.75" x14ac:dyDescent="0.2"/>
    <row r="131" ht="12.75" x14ac:dyDescent="0.2"/>
    <row r="132" ht="12.75" x14ac:dyDescent="0.2"/>
    <row r="133" ht="12.75" x14ac:dyDescent="0.2"/>
    <row r="134" ht="12.75" x14ac:dyDescent="0.2"/>
    <row r="135" ht="12.75" x14ac:dyDescent="0.2"/>
    <row r="136" ht="12.75" x14ac:dyDescent="0.2"/>
    <row r="137" ht="12.75" x14ac:dyDescent="0.2"/>
    <row r="138" ht="12.75" x14ac:dyDescent="0.2"/>
    <row r="139" ht="12.75" x14ac:dyDescent="0.2"/>
    <row r="140" ht="12.75" x14ac:dyDescent="0.2"/>
    <row r="141" ht="12.75" x14ac:dyDescent="0.2"/>
    <row r="142" ht="12.75" x14ac:dyDescent="0.2"/>
    <row r="143" ht="12.75" x14ac:dyDescent="0.2"/>
    <row r="144" ht="12.75" x14ac:dyDescent="0.2"/>
    <row r="145" ht="12.75" x14ac:dyDescent="0.2"/>
    <row r="146" ht="12.75" x14ac:dyDescent="0.2"/>
    <row r="147" ht="12.75" x14ac:dyDescent="0.2"/>
    <row r="148" ht="12.75" x14ac:dyDescent="0.2"/>
    <row r="149" ht="12.75" x14ac:dyDescent="0.2"/>
    <row r="150" ht="12.75" x14ac:dyDescent="0.2"/>
    <row r="151" ht="12.75" x14ac:dyDescent="0.2"/>
    <row r="152" ht="12.75" x14ac:dyDescent="0.2"/>
    <row r="153" ht="12.75" x14ac:dyDescent="0.2"/>
    <row r="154" ht="12.75" x14ac:dyDescent="0.2"/>
    <row r="155" ht="12.75" x14ac:dyDescent="0.2"/>
    <row r="156" ht="12.75" x14ac:dyDescent="0.2"/>
    <row r="157" ht="12.75" x14ac:dyDescent="0.2"/>
    <row r="158" ht="12.75" x14ac:dyDescent="0.2"/>
    <row r="159" ht="12.75" x14ac:dyDescent="0.2"/>
    <row r="160" ht="12.75" x14ac:dyDescent="0.2"/>
    <row r="161" ht="12.75" x14ac:dyDescent="0.2"/>
    <row r="162" ht="12.75" x14ac:dyDescent="0.2"/>
    <row r="163" ht="12.75" x14ac:dyDescent="0.2"/>
    <row r="164" ht="12.75" x14ac:dyDescent="0.2"/>
    <row r="165" ht="12.75" x14ac:dyDescent="0.2"/>
    <row r="166" ht="12.75" x14ac:dyDescent="0.2"/>
    <row r="167" ht="12.75" x14ac:dyDescent="0.2"/>
    <row r="168" ht="12.75" x14ac:dyDescent="0.2"/>
    <row r="169" ht="12.75" x14ac:dyDescent="0.2"/>
    <row r="170" ht="12.75" x14ac:dyDescent="0.2"/>
    <row r="171" ht="12.75" x14ac:dyDescent="0.2"/>
    <row r="172" ht="12.75" x14ac:dyDescent="0.2"/>
    <row r="173" ht="12.75" x14ac:dyDescent="0.2"/>
    <row r="174" ht="12.75" x14ac:dyDescent="0.2"/>
    <row r="175" ht="12.75" x14ac:dyDescent="0.2"/>
    <row r="176" ht="12.75" x14ac:dyDescent="0.2"/>
    <row r="177" ht="12.75" x14ac:dyDescent="0.2"/>
    <row r="178" ht="12.75" x14ac:dyDescent="0.2"/>
    <row r="179" ht="12.75" x14ac:dyDescent="0.2"/>
    <row r="180" ht="12.75" x14ac:dyDescent="0.2"/>
    <row r="181" ht="12.75" x14ac:dyDescent="0.2"/>
    <row r="182" ht="12.75" x14ac:dyDescent="0.2"/>
    <row r="183" ht="12.75" x14ac:dyDescent="0.2"/>
    <row r="184" ht="12.75" x14ac:dyDescent="0.2"/>
    <row r="185" ht="12.75" x14ac:dyDescent="0.2"/>
    <row r="186" ht="12.75" x14ac:dyDescent="0.2"/>
    <row r="187" ht="12.75" x14ac:dyDescent="0.2"/>
    <row r="188" ht="12.75" x14ac:dyDescent="0.2"/>
    <row r="189" ht="12.75" x14ac:dyDescent="0.2"/>
    <row r="190" ht="12.75" x14ac:dyDescent="0.2"/>
    <row r="191" ht="12.75" x14ac:dyDescent="0.2"/>
    <row r="192" ht="12.75" x14ac:dyDescent="0.2"/>
    <row r="193" ht="12.75" x14ac:dyDescent="0.2"/>
    <row r="194" ht="12.75" x14ac:dyDescent="0.2"/>
    <row r="195" ht="12.75" x14ac:dyDescent="0.2"/>
    <row r="196" ht="12.75" x14ac:dyDescent="0.2"/>
    <row r="197" ht="12.75" x14ac:dyDescent="0.2"/>
    <row r="198" ht="12.75" x14ac:dyDescent="0.2"/>
    <row r="199" ht="12.75" x14ac:dyDescent="0.2"/>
    <row r="200" ht="12.75" x14ac:dyDescent="0.2"/>
    <row r="201" ht="12.75" x14ac:dyDescent="0.2"/>
    <row r="202" ht="12.75" x14ac:dyDescent="0.2"/>
    <row r="203" ht="12.75" x14ac:dyDescent="0.2"/>
    <row r="204" ht="12.75" x14ac:dyDescent="0.2"/>
    <row r="205" ht="12.75" x14ac:dyDescent="0.2"/>
    <row r="206" ht="12.75" x14ac:dyDescent="0.2"/>
    <row r="207" ht="12.75" x14ac:dyDescent="0.2"/>
    <row r="208" ht="12.75" x14ac:dyDescent="0.2"/>
    <row r="209" ht="12.75" x14ac:dyDescent="0.2"/>
    <row r="210" ht="12.75" x14ac:dyDescent="0.2"/>
    <row r="211" ht="12.75" x14ac:dyDescent="0.2"/>
    <row r="212" ht="12.75" x14ac:dyDescent="0.2"/>
    <row r="213" ht="12.75" x14ac:dyDescent="0.2"/>
    <row r="214" ht="12.75" x14ac:dyDescent="0.2"/>
    <row r="215" ht="12.75" x14ac:dyDescent="0.2"/>
    <row r="216" ht="12.75" x14ac:dyDescent="0.2"/>
    <row r="217" ht="12.75" x14ac:dyDescent="0.2"/>
    <row r="218" ht="12.75" x14ac:dyDescent="0.2"/>
    <row r="219" ht="12.75" x14ac:dyDescent="0.2"/>
    <row r="220" ht="12.75" x14ac:dyDescent="0.2"/>
    <row r="221" ht="12.75" x14ac:dyDescent="0.2"/>
    <row r="222" ht="12.75" x14ac:dyDescent="0.2"/>
    <row r="223" ht="12.75" x14ac:dyDescent="0.2"/>
    <row r="224" ht="12.75" x14ac:dyDescent="0.2"/>
    <row r="225" ht="12.75" x14ac:dyDescent="0.2"/>
    <row r="226" ht="12.75" x14ac:dyDescent="0.2"/>
    <row r="227" ht="12.75" x14ac:dyDescent="0.2"/>
    <row r="228" ht="12.75" x14ac:dyDescent="0.2"/>
    <row r="229" ht="12.75" x14ac:dyDescent="0.2"/>
    <row r="230" ht="12.75" x14ac:dyDescent="0.2"/>
    <row r="231" ht="12.75" x14ac:dyDescent="0.2"/>
    <row r="232" ht="12.75" x14ac:dyDescent="0.2"/>
    <row r="233" ht="12.75" x14ac:dyDescent="0.2"/>
    <row r="234" ht="12.75" x14ac:dyDescent="0.2"/>
    <row r="235" ht="12.75" x14ac:dyDescent="0.2"/>
    <row r="236" ht="12.75" x14ac:dyDescent="0.2"/>
    <row r="237" ht="12.75" x14ac:dyDescent="0.2"/>
    <row r="238" ht="12.75" x14ac:dyDescent="0.2"/>
    <row r="239" ht="12.75" x14ac:dyDescent="0.2"/>
    <row r="240" ht="12.75" x14ac:dyDescent="0.2"/>
    <row r="241" ht="12.75" x14ac:dyDescent="0.2"/>
    <row r="242" ht="12.75" x14ac:dyDescent="0.2"/>
    <row r="243" ht="12.75" x14ac:dyDescent="0.2"/>
    <row r="244" ht="12.75" x14ac:dyDescent="0.2"/>
    <row r="245" ht="12.75" x14ac:dyDescent="0.2"/>
    <row r="246" ht="12.75" x14ac:dyDescent="0.2"/>
    <row r="247" ht="12.75" x14ac:dyDescent="0.2"/>
    <row r="248" ht="12.75" x14ac:dyDescent="0.2"/>
    <row r="249" ht="12.75" x14ac:dyDescent="0.2"/>
    <row r="250" ht="12.75" x14ac:dyDescent="0.2"/>
    <row r="251" ht="12.75" x14ac:dyDescent="0.2"/>
    <row r="252" ht="12.75" x14ac:dyDescent="0.2"/>
    <row r="253" ht="12.75" x14ac:dyDescent="0.2"/>
    <row r="254" ht="12.75" x14ac:dyDescent="0.2"/>
    <row r="255" ht="12.75" x14ac:dyDescent="0.2"/>
    <row r="256" ht="12.75" x14ac:dyDescent="0.2"/>
    <row r="257" ht="12.75" x14ac:dyDescent="0.2"/>
    <row r="258" ht="12.75" x14ac:dyDescent="0.2"/>
    <row r="259" ht="12.75" x14ac:dyDescent="0.2"/>
    <row r="260" ht="12.75" x14ac:dyDescent="0.2"/>
    <row r="261" ht="12.75" x14ac:dyDescent="0.2"/>
    <row r="262" ht="12.75" x14ac:dyDescent="0.2"/>
    <row r="263" ht="12.75" x14ac:dyDescent="0.2"/>
    <row r="264" ht="12.75" x14ac:dyDescent="0.2"/>
    <row r="265" ht="12.75" x14ac:dyDescent="0.2"/>
    <row r="266" ht="12.75" x14ac:dyDescent="0.2"/>
    <row r="267" ht="12.75" x14ac:dyDescent="0.2"/>
    <row r="268" ht="12.75" x14ac:dyDescent="0.2"/>
    <row r="269" ht="12.75" x14ac:dyDescent="0.2"/>
    <row r="270" ht="12.75" x14ac:dyDescent="0.2"/>
    <row r="271" ht="12.75" x14ac:dyDescent="0.2"/>
    <row r="272" ht="12.75" x14ac:dyDescent="0.2"/>
    <row r="273" ht="12.75" x14ac:dyDescent="0.2"/>
    <row r="274" ht="12.75" x14ac:dyDescent="0.2"/>
    <row r="275" ht="12.75" x14ac:dyDescent="0.2"/>
    <row r="276" ht="12.75" x14ac:dyDescent="0.2"/>
    <row r="277" ht="12.75" x14ac:dyDescent="0.2"/>
    <row r="278" ht="12.75" x14ac:dyDescent="0.2"/>
    <row r="279" ht="12.75" x14ac:dyDescent="0.2"/>
    <row r="280" ht="12.75" x14ac:dyDescent="0.2"/>
    <row r="281" ht="12.75" x14ac:dyDescent="0.2"/>
    <row r="282" ht="12.75" x14ac:dyDescent="0.2"/>
    <row r="283" ht="12.75" x14ac:dyDescent="0.2"/>
    <row r="284" ht="12.75" x14ac:dyDescent="0.2"/>
    <row r="285" ht="12.75" x14ac:dyDescent="0.2"/>
    <row r="286" ht="12.75" x14ac:dyDescent="0.2"/>
    <row r="287" ht="12.75" x14ac:dyDescent="0.2"/>
    <row r="288" ht="12.75" x14ac:dyDescent="0.2"/>
    <row r="289" ht="12.75" x14ac:dyDescent="0.2"/>
    <row r="290" ht="12.75" x14ac:dyDescent="0.2"/>
    <row r="291" ht="12.75" x14ac:dyDescent="0.2"/>
    <row r="292" ht="12.75" x14ac:dyDescent="0.2"/>
    <row r="293" ht="12.75" x14ac:dyDescent="0.2"/>
    <row r="294" ht="12.75" x14ac:dyDescent="0.2"/>
    <row r="295" ht="12.75" x14ac:dyDescent="0.2"/>
    <row r="296" ht="12.75" x14ac:dyDescent="0.2"/>
    <row r="297" ht="12.75" x14ac:dyDescent="0.2"/>
    <row r="298" ht="12.75" x14ac:dyDescent="0.2"/>
    <row r="299" ht="12.75" x14ac:dyDescent="0.2"/>
    <row r="300" ht="12.75" x14ac:dyDescent="0.2"/>
    <row r="301" ht="12.75" x14ac:dyDescent="0.2"/>
    <row r="302" ht="12.75" x14ac:dyDescent="0.2"/>
    <row r="303" ht="12.75" x14ac:dyDescent="0.2"/>
    <row r="304" ht="12.75" x14ac:dyDescent="0.2"/>
    <row r="305" ht="12.75" x14ac:dyDescent="0.2"/>
    <row r="306" ht="12.75" x14ac:dyDescent="0.2"/>
    <row r="307" ht="12.75" x14ac:dyDescent="0.2"/>
    <row r="308" ht="12.75" x14ac:dyDescent="0.2"/>
    <row r="309" ht="12.75" x14ac:dyDescent="0.2"/>
    <row r="310" ht="12.75" x14ac:dyDescent="0.2"/>
    <row r="311" ht="12.75" x14ac:dyDescent="0.2"/>
    <row r="312" ht="12.75" x14ac:dyDescent="0.2"/>
    <row r="313" ht="12.75" x14ac:dyDescent="0.2"/>
    <row r="314" ht="12.75" x14ac:dyDescent="0.2"/>
    <row r="315" ht="12.75" x14ac:dyDescent="0.2"/>
    <row r="316" ht="12.75" x14ac:dyDescent="0.2"/>
    <row r="317" ht="12.75" x14ac:dyDescent="0.2"/>
    <row r="318" ht="12.75" x14ac:dyDescent="0.2"/>
    <row r="319" ht="12.75" x14ac:dyDescent="0.2"/>
    <row r="320" ht="12.75" x14ac:dyDescent="0.2"/>
    <row r="321" ht="12.75" x14ac:dyDescent="0.2"/>
    <row r="322" ht="12.75" x14ac:dyDescent="0.2"/>
    <row r="323" ht="12.75" x14ac:dyDescent="0.2"/>
    <row r="324" ht="12.75" x14ac:dyDescent="0.2"/>
    <row r="325" ht="12.75" x14ac:dyDescent="0.2"/>
    <row r="326" ht="12.75" x14ac:dyDescent="0.2"/>
    <row r="327" ht="12.75" x14ac:dyDescent="0.2"/>
    <row r="328" ht="12.75" x14ac:dyDescent="0.2"/>
    <row r="329" ht="12.75" x14ac:dyDescent="0.2"/>
    <row r="330" ht="12.75" x14ac:dyDescent="0.2"/>
    <row r="331" ht="12.75" x14ac:dyDescent="0.2"/>
    <row r="332" ht="12.75" x14ac:dyDescent="0.2"/>
    <row r="333" ht="12.75" x14ac:dyDescent="0.2"/>
    <row r="334" ht="12.75" x14ac:dyDescent="0.2"/>
    <row r="335" ht="12.75" x14ac:dyDescent="0.2"/>
    <row r="336" ht="12.75" x14ac:dyDescent="0.2"/>
    <row r="337" ht="12.75" x14ac:dyDescent="0.2"/>
    <row r="338" ht="12.75" x14ac:dyDescent="0.2"/>
    <row r="339" ht="12.75" x14ac:dyDescent="0.2"/>
    <row r="340" ht="12.75" x14ac:dyDescent="0.2"/>
    <row r="341" ht="12.75" x14ac:dyDescent="0.2"/>
    <row r="342" ht="12.75" x14ac:dyDescent="0.2"/>
    <row r="343" ht="12.75" x14ac:dyDescent="0.2"/>
    <row r="344" ht="12.75" x14ac:dyDescent="0.2"/>
    <row r="345" ht="12.75" x14ac:dyDescent="0.2"/>
    <row r="346" ht="12.75" x14ac:dyDescent="0.2"/>
    <row r="347" ht="12.75" x14ac:dyDescent="0.2"/>
    <row r="348" ht="12.75" x14ac:dyDescent="0.2"/>
    <row r="349" ht="12.75" x14ac:dyDescent="0.2"/>
    <row r="350" ht="12.75" x14ac:dyDescent="0.2"/>
    <row r="351" ht="12.75" x14ac:dyDescent="0.2"/>
    <row r="352" ht="12.75" x14ac:dyDescent="0.2"/>
    <row r="353" ht="12.75" x14ac:dyDescent="0.2"/>
    <row r="354" ht="12.75" x14ac:dyDescent="0.2"/>
    <row r="355" ht="12.75" x14ac:dyDescent="0.2"/>
    <row r="356" ht="12.75" x14ac:dyDescent="0.2"/>
    <row r="357" ht="12.75" x14ac:dyDescent="0.2"/>
    <row r="358" ht="12.75" x14ac:dyDescent="0.2"/>
    <row r="359" ht="12.75" x14ac:dyDescent="0.2"/>
    <row r="360" ht="12.75" x14ac:dyDescent="0.2"/>
    <row r="361" ht="12.75" x14ac:dyDescent="0.2"/>
    <row r="362" ht="12.75" x14ac:dyDescent="0.2"/>
    <row r="363" ht="12.75" x14ac:dyDescent="0.2"/>
    <row r="364" ht="12.75" x14ac:dyDescent="0.2"/>
    <row r="365" ht="12.75" x14ac:dyDescent="0.2"/>
    <row r="366" ht="12.75" x14ac:dyDescent="0.2"/>
    <row r="367" ht="12.75" x14ac:dyDescent="0.2"/>
    <row r="368" ht="12.75" x14ac:dyDescent="0.2"/>
    <row r="369" ht="12.75" x14ac:dyDescent="0.2"/>
    <row r="370" ht="12.75" x14ac:dyDescent="0.2"/>
    <row r="371" ht="12.75" x14ac:dyDescent="0.2"/>
    <row r="372" ht="12.75" x14ac:dyDescent="0.2"/>
    <row r="373" ht="12.75" x14ac:dyDescent="0.2"/>
    <row r="374" ht="12.75" x14ac:dyDescent="0.2"/>
    <row r="375" ht="12.75" x14ac:dyDescent="0.2"/>
    <row r="376" ht="12.75" x14ac:dyDescent="0.2"/>
    <row r="377" ht="12.75" x14ac:dyDescent="0.2"/>
    <row r="378" ht="12.75" x14ac:dyDescent="0.2"/>
    <row r="379" ht="12.75" x14ac:dyDescent="0.2"/>
    <row r="380" ht="12.75" x14ac:dyDescent="0.2"/>
    <row r="381" ht="12.75" x14ac:dyDescent="0.2"/>
    <row r="382" ht="12.75" x14ac:dyDescent="0.2"/>
    <row r="383" ht="12.75" x14ac:dyDescent="0.2"/>
    <row r="384" ht="12.75" x14ac:dyDescent="0.2"/>
    <row r="385" ht="12.75" x14ac:dyDescent="0.2"/>
    <row r="386" ht="12.75" x14ac:dyDescent="0.2"/>
    <row r="387" ht="12.75" x14ac:dyDescent="0.2"/>
    <row r="388" ht="12.75" x14ac:dyDescent="0.2"/>
    <row r="389" ht="12.75" x14ac:dyDescent="0.2"/>
    <row r="390" ht="12.75" x14ac:dyDescent="0.2"/>
    <row r="391" ht="12.75" x14ac:dyDescent="0.2"/>
    <row r="392" ht="12.75" x14ac:dyDescent="0.2"/>
    <row r="393" ht="12.75" x14ac:dyDescent="0.2"/>
    <row r="394" ht="12.75" x14ac:dyDescent="0.2"/>
    <row r="395" ht="12.75" x14ac:dyDescent="0.2"/>
    <row r="396" ht="12.75" x14ac:dyDescent="0.2"/>
    <row r="397" ht="12.75" x14ac:dyDescent="0.2"/>
    <row r="398" ht="12.75" x14ac:dyDescent="0.2"/>
    <row r="399" ht="12.75" x14ac:dyDescent="0.2"/>
    <row r="400" ht="12.75" x14ac:dyDescent="0.2"/>
    <row r="401" ht="12.75" x14ac:dyDescent="0.2"/>
    <row r="402" ht="12.75" x14ac:dyDescent="0.2"/>
    <row r="403" ht="12.75" x14ac:dyDescent="0.2"/>
    <row r="404" ht="12.75" x14ac:dyDescent="0.2"/>
    <row r="405" ht="12.75" x14ac:dyDescent="0.2"/>
    <row r="406" ht="12.75" x14ac:dyDescent="0.2"/>
    <row r="407" ht="12.75" x14ac:dyDescent="0.2"/>
    <row r="408" ht="12.75" x14ac:dyDescent="0.2"/>
    <row r="409" ht="12.75" x14ac:dyDescent="0.2"/>
    <row r="410" ht="12.75" x14ac:dyDescent="0.2"/>
    <row r="411" ht="12.75" x14ac:dyDescent="0.2"/>
    <row r="412" ht="12.75" x14ac:dyDescent="0.2"/>
    <row r="413" ht="12.75" x14ac:dyDescent="0.2"/>
    <row r="414" ht="12.75" x14ac:dyDescent="0.2"/>
    <row r="415" ht="12.75" x14ac:dyDescent="0.2"/>
    <row r="416" ht="12.75" x14ac:dyDescent="0.2"/>
    <row r="417" ht="12.75" x14ac:dyDescent="0.2"/>
    <row r="418" ht="12.75" x14ac:dyDescent="0.2"/>
    <row r="419" ht="12.75" x14ac:dyDescent="0.2"/>
    <row r="420" ht="12.75" x14ac:dyDescent="0.2"/>
    <row r="421" ht="12.75" x14ac:dyDescent="0.2"/>
    <row r="422" ht="12.75" x14ac:dyDescent="0.2"/>
    <row r="423" ht="12.75" x14ac:dyDescent="0.2"/>
    <row r="424" ht="12.75" x14ac:dyDescent="0.2"/>
    <row r="425" ht="12.75" x14ac:dyDescent="0.2"/>
    <row r="426" ht="12.75" x14ac:dyDescent="0.2"/>
    <row r="427" ht="12.75" x14ac:dyDescent="0.2"/>
    <row r="428" ht="12.75" x14ac:dyDescent="0.2"/>
    <row r="429" ht="12.75" x14ac:dyDescent="0.2"/>
    <row r="430" ht="12.75" x14ac:dyDescent="0.2"/>
    <row r="431" ht="12.75" x14ac:dyDescent="0.2"/>
    <row r="432" ht="12.75" x14ac:dyDescent="0.2"/>
    <row r="433" ht="12.75" x14ac:dyDescent="0.2"/>
    <row r="434" ht="12.75" x14ac:dyDescent="0.2"/>
    <row r="435" ht="12.75" x14ac:dyDescent="0.2"/>
    <row r="436" ht="12.75" x14ac:dyDescent="0.2"/>
    <row r="437" ht="12.75" x14ac:dyDescent="0.2"/>
    <row r="438" ht="12.75" x14ac:dyDescent="0.2"/>
    <row r="439" ht="12.75" x14ac:dyDescent="0.2"/>
    <row r="440" ht="12.75" x14ac:dyDescent="0.2"/>
    <row r="441" ht="12.75" x14ac:dyDescent="0.2"/>
    <row r="442" ht="12.75" x14ac:dyDescent="0.2"/>
    <row r="443" ht="12.75" x14ac:dyDescent="0.2"/>
    <row r="444" ht="12.75" x14ac:dyDescent="0.2"/>
    <row r="445" ht="12.75" x14ac:dyDescent="0.2"/>
    <row r="446" ht="12.75" x14ac:dyDescent="0.2"/>
    <row r="447" ht="12.75" x14ac:dyDescent="0.2"/>
    <row r="448" ht="12.75" x14ac:dyDescent="0.2"/>
    <row r="449" ht="12.75" x14ac:dyDescent="0.2"/>
    <row r="450" ht="12.75" x14ac:dyDescent="0.2"/>
    <row r="451" ht="12.75" x14ac:dyDescent="0.2"/>
    <row r="452" ht="12.75" x14ac:dyDescent="0.2"/>
    <row r="453" ht="12.75" x14ac:dyDescent="0.2"/>
    <row r="454" ht="12.75" x14ac:dyDescent="0.2"/>
    <row r="455" ht="12.75" x14ac:dyDescent="0.2"/>
    <row r="456" ht="12.75" x14ac:dyDescent="0.2"/>
    <row r="457" ht="12.75" x14ac:dyDescent="0.2"/>
    <row r="458" ht="12.75" x14ac:dyDescent="0.2"/>
    <row r="459" ht="12.75" x14ac:dyDescent="0.2"/>
    <row r="460" ht="12.75" x14ac:dyDescent="0.2"/>
    <row r="461" ht="12.75" x14ac:dyDescent="0.2"/>
    <row r="462" ht="12.75" x14ac:dyDescent="0.2"/>
    <row r="463" ht="12.75" x14ac:dyDescent="0.2"/>
    <row r="464" ht="12.75" x14ac:dyDescent="0.2"/>
    <row r="465" ht="12.75" x14ac:dyDescent="0.2"/>
    <row r="466" ht="12.75" x14ac:dyDescent="0.2"/>
    <row r="467" ht="12.75" x14ac:dyDescent="0.2"/>
    <row r="468" ht="12.75" x14ac:dyDescent="0.2"/>
    <row r="469" ht="12.75" x14ac:dyDescent="0.2"/>
    <row r="470" ht="12.75" x14ac:dyDescent="0.2"/>
    <row r="471" ht="12.75" x14ac:dyDescent="0.2"/>
    <row r="472" ht="12.75" x14ac:dyDescent="0.2"/>
    <row r="473" ht="12.75" x14ac:dyDescent="0.2"/>
    <row r="474" ht="12.75" x14ac:dyDescent="0.2"/>
    <row r="475" ht="12.75" x14ac:dyDescent="0.2"/>
    <row r="476" ht="12.75" x14ac:dyDescent="0.2"/>
    <row r="477" ht="12.75" x14ac:dyDescent="0.2"/>
    <row r="478" ht="12.75" x14ac:dyDescent="0.2"/>
    <row r="479" ht="12.75" x14ac:dyDescent="0.2"/>
    <row r="480" ht="12.75" x14ac:dyDescent="0.2"/>
    <row r="481" ht="12.75" x14ac:dyDescent="0.2"/>
    <row r="482" ht="12.75" x14ac:dyDescent="0.2"/>
    <row r="483" ht="12.75" x14ac:dyDescent="0.2"/>
    <row r="484" ht="12.75" x14ac:dyDescent="0.2"/>
    <row r="485" ht="12.75" x14ac:dyDescent="0.2"/>
    <row r="486" ht="12.75" x14ac:dyDescent="0.2"/>
    <row r="487" ht="12.75" x14ac:dyDescent="0.2"/>
    <row r="488" ht="12.75" x14ac:dyDescent="0.2"/>
    <row r="489" ht="12.75" x14ac:dyDescent="0.2"/>
    <row r="490" ht="12.75" x14ac:dyDescent="0.2"/>
    <row r="491" ht="12.75" x14ac:dyDescent="0.2"/>
    <row r="492" ht="12.75" x14ac:dyDescent="0.2"/>
    <row r="493" ht="12.75" x14ac:dyDescent="0.2"/>
    <row r="494" ht="12.75" x14ac:dyDescent="0.2"/>
    <row r="495" ht="12.75" x14ac:dyDescent="0.2"/>
    <row r="496" ht="12.75" x14ac:dyDescent="0.2"/>
    <row r="497" ht="12.75" x14ac:dyDescent="0.2"/>
    <row r="498" ht="12.75" x14ac:dyDescent="0.2"/>
    <row r="499" ht="12.75" x14ac:dyDescent="0.2"/>
    <row r="500" ht="12.75" x14ac:dyDescent="0.2"/>
    <row r="501" ht="12.75" x14ac:dyDescent="0.2"/>
    <row r="502" ht="12.75" x14ac:dyDescent="0.2"/>
    <row r="503" ht="12.75" x14ac:dyDescent="0.2"/>
    <row r="504" ht="12.75" x14ac:dyDescent="0.2"/>
    <row r="505" ht="12.75" x14ac:dyDescent="0.2"/>
    <row r="506" ht="12.75" x14ac:dyDescent="0.2"/>
    <row r="507" ht="12.75" x14ac:dyDescent="0.2"/>
    <row r="508" ht="12.75" x14ac:dyDescent="0.2"/>
    <row r="509" ht="12.75" x14ac:dyDescent="0.2"/>
    <row r="510" ht="12.75" x14ac:dyDescent="0.2"/>
    <row r="511" ht="12.75" x14ac:dyDescent="0.2"/>
    <row r="512" ht="12.75" x14ac:dyDescent="0.2"/>
    <row r="513" ht="12.75" x14ac:dyDescent="0.2"/>
    <row r="514" ht="12.75" x14ac:dyDescent="0.2"/>
    <row r="515" ht="12.75" x14ac:dyDescent="0.2"/>
    <row r="516" ht="12.75" x14ac:dyDescent="0.2"/>
    <row r="517" ht="12.75" x14ac:dyDescent="0.2"/>
    <row r="518" ht="12.75" x14ac:dyDescent="0.2"/>
    <row r="519" ht="12.75" x14ac:dyDescent="0.2"/>
    <row r="520" ht="12.75" x14ac:dyDescent="0.2"/>
    <row r="521" ht="12.75" x14ac:dyDescent="0.2"/>
    <row r="522" ht="12.75" x14ac:dyDescent="0.2"/>
    <row r="523" ht="12.75" x14ac:dyDescent="0.2"/>
    <row r="524" ht="12.75" x14ac:dyDescent="0.2"/>
    <row r="525" ht="12.75" x14ac:dyDescent="0.2"/>
    <row r="526" ht="12.75" x14ac:dyDescent="0.2"/>
    <row r="527" ht="12.75" x14ac:dyDescent="0.2"/>
    <row r="528" ht="12.75" x14ac:dyDescent="0.2"/>
    <row r="529" ht="12.75" x14ac:dyDescent="0.2"/>
    <row r="530" ht="12.75" x14ac:dyDescent="0.2"/>
    <row r="531" ht="12.75" x14ac:dyDescent="0.2"/>
    <row r="532" ht="12.75" x14ac:dyDescent="0.2"/>
    <row r="533" ht="12.75" x14ac:dyDescent="0.2"/>
    <row r="534" ht="12.75" x14ac:dyDescent="0.2"/>
    <row r="535" ht="12.75" x14ac:dyDescent="0.2"/>
    <row r="536" ht="12.75" x14ac:dyDescent="0.2"/>
    <row r="537" ht="12.75" x14ac:dyDescent="0.2"/>
    <row r="538" ht="12.75" x14ac:dyDescent="0.2"/>
    <row r="539" ht="12.75" x14ac:dyDescent="0.2"/>
    <row r="540" ht="12.75" x14ac:dyDescent="0.2"/>
    <row r="541" ht="12.75" x14ac:dyDescent="0.2"/>
    <row r="542" ht="12.75" x14ac:dyDescent="0.2"/>
    <row r="543" ht="12.75" x14ac:dyDescent="0.2"/>
    <row r="544" ht="12.75" x14ac:dyDescent="0.2"/>
    <row r="545" ht="12.75" x14ac:dyDescent="0.2"/>
    <row r="546" ht="12.75" x14ac:dyDescent="0.2"/>
    <row r="547" ht="12.75" x14ac:dyDescent="0.2"/>
    <row r="548" ht="12.75" x14ac:dyDescent="0.2"/>
    <row r="549" ht="12.75" x14ac:dyDescent="0.2"/>
    <row r="550" ht="12.75" x14ac:dyDescent="0.2"/>
    <row r="551" ht="12.75" x14ac:dyDescent="0.2"/>
    <row r="552" ht="12.75" x14ac:dyDescent="0.2"/>
    <row r="553" ht="12.75" x14ac:dyDescent="0.2"/>
    <row r="554" ht="12.75" x14ac:dyDescent="0.2"/>
    <row r="555" ht="12.75" x14ac:dyDescent="0.2"/>
    <row r="556" ht="12.75" x14ac:dyDescent="0.2"/>
    <row r="557" ht="12.75" x14ac:dyDescent="0.2"/>
    <row r="558" ht="12.75" x14ac:dyDescent="0.2"/>
    <row r="559" ht="12.75" x14ac:dyDescent="0.2"/>
    <row r="560" ht="12.75" x14ac:dyDescent="0.2"/>
    <row r="561" ht="12.75" x14ac:dyDescent="0.2"/>
    <row r="562" ht="12.75" x14ac:dyDescent="0.2"/>
    <row r="563" ht="12.75" x14ac:dyDescent="0.2"/>
    <row r="564" ht="12.75" x14ac:dyDescent="0.2"/>
    <row r="565" ht="12.75" x14ac:dyDescent="0.2"/>
    <row r="566" ht="12.75" x14ac:dyDescent="0.2"/>
    <row r="567" ht="12.75" x14ac:dyDescent="0.2"/>
    <row r="568" ht="12.75" x14ac:dyDescent="0.2"/>
    <row r="569" ht="12.75" x14ac:dyDescent="0.2"/>
    <row r="570" ht="12.75" x14ac:dyDescent="0.2"/>
    <row r="571" ht="12.75" x14ac:dyDescent="0.2"/>
    <row r="572" ht="12.75" x14ac:dyDescent="0.2"/>
    <row r="573" ht="12.75" x14ac:dyDescent="0.2"/>
    <row r="574" ht="12.75" x14ac:dyDescent="0.2"/>
    <row r="575" ht="12.75" x14ac:dyDescent="0.2"/>
    <row r="576" ht="12.75" x14ac:dyDescent="0.2"/>
    <row r="577" ht="12.75" x14ac:dyDescent="0.2"/>
    <row r="578" ht="12.75" x14ac:dyDescent="0.2"/>
    <row r="579" ht="12.75" x14ac:dyDescent="0.2"/>
    <row r="580" ht="12.75" x14ac:dyDescent="0.2"/>
    <row r="581" ht="12.75" x14ac:dyDescent="0.2"/>
    <row r="582" ht="12.75" x14ac:dyDescent="0.2"/>
    <row r="583" ht="12.75" x14ac:dyDescent="0.2"/>
    <row r="584" ht="12.75" x14ac:dyDescent="0.2"/>
    <row r="585" ht="12.75" x14ac:dyDescent="0.2"/>
    <row r="586" ht="12.75" x14ac:dyDescent="0.2"/>
    <row r="587" ht="12.75" x14ac:dyDescent="0.2"/>
    <row r="588" ht="12.75" x14ac:dyDescent="0.2"/>
    <row r="589" ht="12.75" x14ac:dyDescent="0.2"/>
    <row r="590" ht="12.75" x14ac:dyDescent="0.2"/>
    <row r="591" ht="12.75" x14ac:dyDescent="0.2"/>
    <row r="592" ht="12.75" x14ac:dyDescent="0.2"/>
    <row r="593" ht="12.75" x14ac:dyDescent="0.2"/>
    <row r="594" ht="12.75" x14ac:dyDescent="0.2"/>
    <row r="595" ht="12.75" x14ac:dyDescent="0.2"/>
    <row r="596" ht="12.75" x14ac:dyDescent="0.2"/>
    <row r="597" ht="12.75" x14ac:dyDescent="0.2"/>
    <row r="598" ht="12.75" x14ac:dyDescent="0.2"/>
    <row r="599" ht="12.75" x14ac:dyDescent="0.2"/>
    <row r="600" ht="12.75" x14ac:dyDescent="0.2"/>
    <row r="601" ht="12.75" x14ac:dyDescent="0.2"/>
    <row r="602" ht="12.75" x14ac:dyDescent="0.2"/>
    <row r="603" ht="12.75" x14ac:dyDescent="0.2"/>
    <row r="604" ht="12.75" x14ac:dyDescent="0.2"/>
    <row r="605" ht="12.75" x14ac:dyDescent="0.2"/>
    <row r="606" ht="12.75" x14ac:dyDescent="0.2"/>
    <row r="607" ht="12.75" x14ac:dyDescent="0.2"/>
    <row r="608" ht="12.75" x14ac:dyDescent="0.2"/>
    <row r="609" ht="12.75" x14ac:dyDescent="0.2"/>
    <row r="610" ht="12.75" x14ac:dyDescent="0.2"/>
    <row r="611" ht="12.75" x14ac:dyDescent="0.2"/>
    <row r="612" ht="12.75" x14ac:dyDescent="0.2"/>
    <row r="613" ht="12.75" x14ac:dyDescent="0.2"/>
    <row r="614" ht="12.75" x14ac:dyDescent="0.2"/>
    <row r="615" ht="12.75" x14ac:dyDescent="0.2"/>
    <row r="616" ht="12.75" x14ac:dyDescent="0.2"/>
    <row r="617" ht="12.75" x14ac:dyDescent="0.2"/>
    <row r="618" ht="12.75" x14ac:dyDescent="0.2"/>
    <row r="619" ht="12.75" x14ac:dyDescent="0.2"/>
    <row r="620" ht="12.75" x14ac:dyDescent="0.2"/>
    <row r="621" ht="12.75" x14ac:dyDescent="0.2"/>
    <row r="622" ht="12.75" x14ac:dyDescent="0.2"/>
    <row r="623" ht="12.75" x14ac:dyDescent="0.2"/>
    <row r="624" ht="12.75" x14ac:dyDescent="0.2"/>
    <row r="625" ht="12.75" x14ac:dyDescent="0.2"/>
    <row r="626" ht="12.75" x14ac:dyDescent="0.2"/>
    <row r="627" ht="12.75" x14ac:dyDescent="0.2"/>
    <row r="628" ht="12.75" x14ac:dyDescent="0.2"/>
    <row r="629" ht="12.75" x14ac:dyDescent="0.2"/>
    <row r="630" ht="12.75" x14ac:dyDescent="0.2"/>
    <row r="631" ht="12.75" x14ac:dyDescent="0.2"/>
    <row r="632" ht="12.75" x14ac:dyDescent="0.2"/>
    <row r="633" ht="12.75" x14ac:dyDescent="0.2"/>
    <row r="634" ht="12.75" x14ac:dyDescent="0.2"/>
    <row r="635" ht="12.75" x14ac:dyDescent="0.2"/>
    <row r="636" ht="12.75" x14ac:dyDescent="0.2"/>
    <row r="637" ht="12.75" x14ac:dyDescent="0.2"/>
    <row r="638" ht="12.75" x14ac:dyDescent="0.2"/>
    <row r="639" ht="12.75" x14ac:dyDescent="0.2"/>
    <row r="640" ht="12.75" x14ac:dyDescent="0.2"/>
    <row r="641" ht="12.75" x14ac:dyDescent="0.2"/>
    <row r="642" ht="12.75" x14ac:dyDescent="0.2"/>
    <row r="643" ht="12.75" x14ac:dyDescent="0.2"/>
    <row r="644" ht="12.75" x14ac:dyDescent="0.2"/>
    <row r="645" ht="12.75" x14ac:dyDescent="0.2"/>
    <row r="646" ht="12.75" x14ac:dyDescent="0.2"/>
    <row r="647" ht="12.75" x14ac:dyDescent="0.2"/>
    <row r="648" ht="12.75" x14ac:dyDescent="0.2"/>
    <row r="649" ht="12.75" x14ac:dyDescent="0.2"/>
    <row r="650" ht="12.75" x14ac:dyDescent="0.2"/>
    <row r="651" ht="12.75" x14ac:dyDescent="0.2"/>
    <row r="652" ht="12.75" x14ac:dyDescent="0.2"/>
    <row r="653" ht="12.75" x14ac:dyDescent="0.2"/>
    <row r="654" ht="12.75" x14ac:dyDescent="0.2"/>
    <row r="655" ht="12.75" x14ac:dyDescent="0.2"/>
    <row r="656" ht="12.75" x14ac:dyDescent="0.2"/>
    <row r="657" ht="12.75" x14ac:dyDescent="0.2"/>
    <row r="658" ht="12.75" x14ac:dyDescent="0.2"/>
    <row r="659" ht="12.75" x14ac:dyDescent="0.2"/>
    <row r="660" ht="12.75" x14ac:dyDescent="0.2"/>
    <row r="661" ht="12.75" x14ac:dyDescent="0.2"/>
    <row r="662" ht="12.75" x14ac:dyDescent="0.2"/>
    <row r="663" ht="12.75" x14ac:dyDescent="0.2"/>
    <row r="664" ht="12.75" x14ac:dyDescent="0.2"/>
    <row r="665" ht="12.75" x14ac:dyDescent="0.2"/>
    <row r="666" ht="12.75" x14ac:dyDescent="0.2"/>
    <row r="667" ht="12.75" x14ac:dyDescent="0.2"/>
    <row r="668" ht="12.75" x14ac:dyDescent="0.2"/>
    <row r="669" ht="12.75" x14ac:dyDescent="0.2"/>
    <row r="670" ht="12.75" x14ac:dyDescent="0.2"/>
    <row r="671" ht="12.75" x14ac:dyDescent="0.2"/>
    <row r="672" ht="12.75" x14ac:dyDescent="0.2"/>
    <row r="673" ht="12.75" x14ac:dyDescent="0.2"/>
    <row r="674" ht="12.75" x14ac:dyDescent="0.2"/>
    <row r="675" ht="12.75" x14ac:dyDescent="0.2"/>
    <row r="676" ht="12.75" x14ac:dyDescent="0.2"/>
    <row r="677" ht="12.75" x14ac:dyDescent="0.2"/>
    <row r="678" ht="12.75" x14ac:dyDescent="0.2"/>
    <row r="679" ht="12.75" x14ac:dyDescent="0.2"/>
    <row r="680" ht="12.75" x14ac:dyDescent="0.2"/>
    <row r="681" ht="12.75" x14ac:dyDescent="0.2"/>
    <row r="682" ht="12.75" x14ac:dyDescent="0.2"/>
    <row r="683" ht="12.75" x14ac:dyDescent="0.2"/>
    <row r="684" ht="12.75" x14ac:dyDescent="0.2"/>
    <row r="685" ht="12.75" x14ac:dyDescent="0.2"/>
    <row r="686" ht="12.75" x14ac:dyDescent="0.2"/>
    <row r="687" ht="12.75" x14ac:dyDescent="0.2"/>
    <row r="688" ht="12.75" x14ac:dyDescent="0.2"/>
    <row r="689" ht="12.75" x14ac:dyDescent="0.2"/>
    <row r="690" ht="12.75" x14ac:dyDescent="0.2"/>
    <row r="691" ht="12.75" x14ac:dyDescent="0.2"/>
    <row r="692" ht="12.75" x14ac:dyDescent="0.2"/>
    <row r="693" ht="12.75" x14ac:dyDescent="0.2"/>
    <row r="694" ht="12.75" x14ac:dyDescent="0.2"/>
    <row r="695" ht="12.75" x14ac:dyDescent="0.2"/>
    <row r="696" ht="12.75" x14ac:dyDescent="0.2"/>
    <row r="697" ht="12.75" x14ac:dyDescent="0.2"/>
    <row r="698" ht="12.75" x14ac:dyDescent="0.2"/>
    <row r="699" ht="12.75" x14ac:dyDescent="0.2"/>
    <row r="700" ht="12.75" x14ac:dyDescent="0.2"/>
    <row r="701" ht="12.75" x14ac:dyDescent="0.2"/>
    <row r="702" ht="12.75" x14ac:dyDescent="0.2"/>
    <row r="703" ht="12.75" x14ac:dyDescent="0.2"/>
    <row r="704" ht="12.75" x14ac:dyDescent="0.2"/>
    <row r="705" ht="12.75" x14ac:dyDescent="0.2"/>
    <row r="706" ht="12.75" x14ac:dyDescent="0.2"/>
    <row r="707" ht="12.75" x14ac:dyDescent="0.2"/>
    <row r="708" ht="12.75" x14ac:dyDescent="0.2"/>
    <row r="709" ht="12.75" x14ac:dyDescent="0.2"/>
    <row r="710" ht="12.75" x14ac:dyDescent="0.2"/>
    <row r="711" ht="12.75" x14ac:dyDescent="0.2"/>
    <row r="712" ht="12.75" x14ac:dyDescent="0.2"/>
    <row r="713" ht="12.75" x14ac:dyDescent="0.2"/>
    <row r="714" ht="12.75" x14ac:dyDescent="0.2"/>
    <row r="715" ht="12.75" x14ac:dyDescent="0.2"/>
    <row r="716" ht="12.75" x14ac:dyDescent="0.2"/>
    <row r="717" ht="12.75" x14ac:dyDescent="0.2"/>
    <row r="718" ht="12.75" x14ac:dyDescent="0.2"/>
    <row r="719" ht="12.75" x14ac:dyDescent="0.2"/>
    <row r="720" ht="12.75" x14ac:dyDescent="0.2"/>
    <row r="721" ht="12.75" x14ac:dyDescent="0.2"/>
    <row r="722" ht="12.75" x14ac:dyDescent="0.2"/>
    <row r="723" ht="12.75" x14ac:dyDescent="0.2"/>
    <row r="724" ht="12.75" x14ac:dyDescent="0.2"/>
    <row r="725" ht="12.75" x14ac:dyDescent="0.2"/>
    <row r="726" ht="12.75" x14ac:dyDescent="0.2"/>
    <row r="727" ht="12.75" x14ac:dyDescent="0.2"/>
    <row r="728" ht="12.75" x14ac:dyDescent="0.2"/>
    <row r="729" ht="12.75" x14ac:dyDescent="0.2"/>
    <row r="730" ht="12.75" x14ac:dyDescent="0.2"/>
    <row r="731" ht="12.75" x14ac:dyDescent="0.2"/>
    <row r="732" ht="12.75" x14ac:dyDescent="0.2"/>
    <row r="733" ht="12.75" x14ac:dyDescent="0.2"/>
    <row r="734" ht="12.75" x14ac:dyDescent="0.2"/>
    <row r="735" ht="12.75" x14ac:dyDescent="0.2"/>
    <row r="736" ht="12.75" x14ac:dyDescent="0.2"/>
    <row r="737" ht="12.75" x14ac:dyDescent="0.2"/>
    <row r="738" ht="12.75" x14ac:dyDescent="0.2"/>
    <row r="739" ht="12.75" x14ac:dyDescent="0.2"/>
    <row r="740" ht="12.75" x14ac:dyDescent="0.2"/>
    <row r="741" ht="12.75" x14ac:dyDescent="0.2"/>
    <row r="742" ht="12.75" x14ac:dyDescent="0.2"/>
    <row r="743" ht="12.75" x14ac:dyDescent="0.2"/>
    <row r="744" ht="12.75" x14ac:dyDescent="0.2"/>
    <row r="745" ht="12.75" x14ac:dyDescent="0.2"/>
    <row r="746" ht="12.75" x14ac:dyDescent="0.2"/>
    <row r="747" ht="12.75" x14ac:dyDescent="0.2"/>
    <row r="748" ht="12.75" x14ac:dyDescent="0.2"/>
    <row r="749" ht="12.75" x14ac:dyDescent="0.2"/>
    <row r="750" ht="12.75" x14ac:dyDescent="0.2"/>
    <row r="751" ht="12.75" x14ac:dyDescent="0.2"/>
    <row r="752" ht="12.75" x14ac:dyDescent="0.2"/>
    <row r="753" ht="12.75" x14ac:dyDescent="0.2"/>
    <row r="754" ht="12.75" x14ac:dyDescent="0.2"/>
    <row r="755" ht="12.75" x14ac:dyDescent="0.2"/>
    <row r="756" ht="12.75" x14ac:dyDescent="0.2"/>
    <row r="757" ht="12.75" x14ac:dyDescent="0.2"/>
    <row r="758" ht="12.75" x14ac:dyDescent="0.2"/>
    <row r="759" ht="12.75" x14ac:dyDescent="0.2"/>
    <row r="760" ht="12.75" x14ac:dyDescent="0.2"/>
    <row r="761" ht="12.75" x14ac:dyDescent="0.2"/>
    <row r="762" ht="12.75" x14ac:dyDescent="0.2"/>
    <row r="763" ht="12.75" x14ac:dyDescent="0.2"/>
    <row r="764" ht="12.75" x14ac:dyDescent="0.2"/>
    <row r="765" ht="12.75" x14ac:dyDescent="0.2"/>
    <row r="766" ht="12.75" x14ac:dyDescent="0.2"/>
    <row r="767" ht="12.75" x14ac:dyDescent="0.2"/>
    <row r="768" ht="12.75" x14ac:dyDescent="0.2"/>
    <row r="769" ht="12.75" x14ac:dyDescent="0.2"/>
    <row r="770" ht="12.75" x14ac:dyDescent="0.2"/>
    <row r="771" ht="12.75" x14ac:dyDescent="0.2"/>
    <row r="772" ht="12.75" x14ac:dyDescent="0.2"/>
    <row r="773" ht="12.75" x14ac:dyDescent="0.2"/>
    <row r="774" ht="12.75" x14ac:dyDescent="0.2"/>
    <row r="775" ht="12.75" x14ac:dyDescent="0.2"/>
    <row r="776" ht="12.75" x14ac:dyDescent="0.2"/>
    <row r="777" ht="12.75" x14ac:dyDescent="0.2"/>
    <row r="778" ht="12.75" x14ac:dyDescent="0.2"/>
    <row r="779" ht="12.75" x14ac:dyDescent="0.2"/>
    <row r="780" ht="12.75" x14ac:dyDescent="0.2"/>
    <row r="781" ht="12.75" x14ac:dyDescent="0.2"/>
    <row r="782" ht="12.75" x14ac:dyDescent="0.2"/>
    <row r="783" ht="12.75" x14ac:dyDescent="0.2"/>
    <row r="784" ht="12.75" x14ac:dyDescent="0.2"/>
    <row r="785" ht="12.75" x14ac:dyDescent="0.2"/>
    <row r="786" ht="12.75" x14ac:dyDescent="0.2"/>
    <row r="787" ht="12.75" x14ac:dyDescent="0.2"/>
    <row r="788" ht="12.75" x14ac:dyDescent="0.2"/>
    <row r="789" ht="12.75" x14ac:dyDescent="0.2"/>
    <row r="790" ht="12.75" x14ac:dyDescent="0.2"/>
    <row r="791" ht="12.75" x14ac:dyDescent="0.2"/>
    <row r="792" ht="12.75" x14ac:dyDescent="0.2"/>
    <row r="793" ht="12.75" x14ac:dyDescent="0.2"/>
    <row r="794" ht="12.75" x14ac:dyDescent="0.2"/>
    <row r="795" ht="12.75" x14ac:dyDescent="0.2"/>
    <row r="796" ht="12.75" x14ac:dyDescent="0.2"/>
    <row r="797" ht="12.75" x14ac:dyDescent="0.2"/>
    <row r="798" ht="12.75" x14ac:dyDescent="0.2"/>
    <row r="799" ht="12.75" x14ac:dyDescent="0.2"/>
    <row r="800" ht="12.75" x14ac:dyDescent="0.2"/>
    <row r="801" ht="12.75" x14ac:dyDescent="0.2"/>
    <row r="802" ht="12.75" x14ac:dyDescent="0.2"/>
    <row r="803" ht="12.75" x14ac:dyDescent="0.2"/>
    <row r="804" ht="12.75" x14ac:dyDescent="0.2"/>
    <row r="805" ht="12.75" x14ac:dyDescent="0.2"/>
    <row r="806" ht="12.75" x14ac:dyDescent="0.2"/>
    <row r="807" ht="12.75" x14ac:dyDescent="0.2"/>
    <row r="808" ht="12.75" x14ac:dyDescent="0.2"/>
    <row r="809" ht="12.75" x14ac:dyDescent="0.2"/>
    <row r="810" ht="12.75" x14ac:dyDescent="0.2"/>
    <row r="811" ht="12.75" x14ac:dyDescent="0.2"/>
    <row r="812" ht="12.75" x14ac:dyDescent="0.2"/>
    <row r="813" ht="12.75" x14ac:dyDescent="0.2"/>
    <row r="814" ht="12.75" x14ac:dyDescent="0.2"/>
    <row r="815" ht="12.75" x14ac:dyDescent="0.2"/>
    <row r="816" ht="12.75" x14ac:dyDescent="0.2"/>
    <row r="817" ht="12.75" x14ac:dyDescent="0.2"/>
    <row r="818" ht="12.75" x14ac:dyDescent="0.2"/>
    <row r="819" ht="12.75" x14ac:dyDescent="0.2"/>
    <row r="820" ht="12.75" x14ac:dyDescent="0.2"/>
    <row r="821" ht="12.75" x14ac:dyDescent="0.2"/>
    <row r="822" ht="12.75" x14ac:dyDescent="0.2"/>
    <row r="823" ht="12.75" x14ac:dyDescent="0.2"/>
    <row r="824" ht="12.75" x14ac:dyDescent="0.2"/>
    <row r="825" ht="12.75" x14ac:dyDescent="0.2"/>
    <row r="826" ht="12.75" x14ac:dyDescent="0.2"/>
    <row r="827" ht="12.75" x14ac:dyDescent="0.2"/>
    <row r="828" ht="12.75" x14ac:dyDescent="0.2"/>
    <row r="829" ht="12.75" x14ac:dyDescent="0.2"/>
    <row r="830" ht="12.75" x14ac:dyDescent="0.2"/>
    <row r="831" ht="12.75" x14ac:dyDescent="0.2"/>
    <row r="832" ht="12.75" x14ac:dyDescent="0.2"/>
    <row r="833" ht="12.75" x14ac:dyDescent="0.2"/>
    <row r="834" ht="12.75" x14ac:dyDescent="0.2"/>
    <row r="835" ht="12.75" x14ac:dyDescent="0.2"/>
    <row r="836" ht="12.75" x14ac:dyDescent="0.2"/>
    <row r="837" ht="12.75" x14ac:dyDescent="0.2"/>
    <row r="838" ht="12.75" x14ac:dyDescent="0.2"/>
    <row r="839" ht="12.75" x14ac:dyDescent="0.2"/>
    <row r="840" ht="12.75" x14ac:dyDescent="0.2"/>
    <row r="841" ht="12.75" x14ac:dyDescent="0.2"/>
    <row r="842" ht="12.75" x14ac:dyDescent="0.2"/>
    <row r="843" ht="12.75" x14ac:dyDescent="0.2"/>
    <row r="844" ht="12.75" x14ac:dyDescent="0.2"/>
    <row r="845" ht="12.75" x14ac:dyDescent="0.2"/>
    <row r="846" ht="12.75" x14ac:dyDescent="0.2"/>
    <row r="847" ht="12.75" x14ac:dyDescent="0.2"/>
    <row r="848" ht="12.75" x14ac:dyDescent="0.2"/>
    <row r="849" ht="12.75" x14ac:dyDescent="0.2"/>
    <row r="850" ht="12.75" x14ac:dyDescent="0.2"/>
    <row r="851" ht="12.75" x14ac:dyDescent="0.2"/>
    <row r="852" ht="12.75" x14ac:dyDescent="0.2"/>
    <row r="853" ht="12.75" x14ac:dyDescent="0.2"/>
    <row r="854" ht="12.75" x14ac:dyDescent="0.2"/>
    <row r="855" ht="12.75" x14ac:dyDescent="0.2"/>
    <row r="856" ht="12.75" x14ac:dyDescent="0.2"/>
    <row r="857" ht="12.75" x14ac:dyDescent="0.2"/>
    <row r="858" ht="12.75" x14ac:dyDescent="0.2"/>
    <row r="859" ht="12.75" x14ac:dyDescent="0.2"/>
    <row r="860" ht="12.75" x14ac:dyDescent="0.2"/>
    <row r="861" ht="12.75" x14ac:dyDescent="0.2"/>
    <row r="862" ht="12.75" x14ac:dyDescent="0.2"/>
    <row r="863" ht="12.75" x14ac:dyDescent="0.2"/>
    <row r="864" ht="12.75" x14ac:dyDescent="0.2"/>
    <row r="865" ht="12.75" x14ac:dyDescent="0.2"/>
    <row r="866" ht="12.75" x14ac:dyDescent="0.2"/>
    <row r="867" ht="12.75" x14ac:dyDescent="0.2"/>
    <row r="868" ht="12.75" x14ac:dyDescent="0.2"/>
    <row r="869" ht="12.75" x14ac:dyDescent="0.2"/>
    <row r="870" ht="12.75" x14ac:dyDescent="0.2"/>
    <row r="871" ht="12.75" x14ac:dyDescent="0.2"/>
    <row r="872" ht="12.75" x14ac:dyDescent="0.2"/>
    <row r="873" ht="12.75" x14ac:dyDescent="0.2"/>
    <row r="874" ht="12.75" x14ac:dyDescent="0.2"/>
    <row r="875" ht="12.75" x14ac:dyDescent="0.2"/>
    <row r="876" ht="12.75" x14ac:dyDescent="0.2"/>
    <row r="877" ht="12.75" x14ac:dyDescent="0.2"/>
    <row r="878" ht="12.75" x14ac:dyDescent="0.2"/>
    <row r="879" ht="12.75" x14ac:dyDescent="0.2"/>
    <row r="880" ht="12.75" x14ac:dyDescent="0.2"/>
    <row r="881" ht="12.75" x14ac:dyDescent="0.2"/>
    <row r="882" ht="12.75" x14ac:dyDescent="0.2"/>
    <row r="883" ht="12.75" x14ac:dyDescent="0.2"/>
    <row r="884" ht="12.75" x14ac:dyDescent="0.2"/>
    <row r="885" ht="12.75" x14ac:dyDescent="0.2"/>
    <row r="886" ht="12.75" x14ac:dyDescent="0.2"/>
    <row r="887" ht="12.75" x14ac:dyDescent="0.2"/>
    <row r="888" ht="12.75" x14ac:dyDescent="0.2"/>
    <row r="889" ht="12.75" x14ac:dyDescent="0.2"/>
    <row r="890" ht="12.75" x14ac:dyDescent="0.2"/>
    <row r="891" ht="12.75" x14ac:dyDescent="0.2"/>
    <row r="892" ht="12.75" x14ac:dyDescent="0.2"/>
    <row r="893" ht="12.75" x14ac:dyDescent="0.2"/>
    <row r="894" ht="12.75" x14ac:dyDescent="0.2"/>
    <row r="895" ht="12.75" x14ac:dyDescent="0.2"/>
    <row r="896" ht="12.75" x14ac:dyDescent="0.2"/>
    <row r="897" ht="12.75" x14ac:dyDescent="0.2"/>
    <row r="898" ht="12.75" x14ac:dyDescent="0.2"/>
    <row r="899" ht="12.75" x14ac:dyDescent="0.2"/>
    <row r="900" ht="12.75" x14ac:dyDescent="0.2"/>
    <row r="901" ht="12.75" x14ac:dyDescent="0.2"/>
    <row r="902" ht="12.75" x14ac:dyDescent="0.2"/>
    <row r="903" ht="12.75" x14ac:dyDescent="0.2"/>
    <row r="904" ht="12.75" x14ac:dyDescent="0.2"/>
    <row r="905" ht="12.75" x14ac:dyDescent="0.2"/>
    <row r="906" ht="12.75" x14ac:dyDescent="0.2"/>
    <row r="907" ht="12.75" x14ac:dyDescent="0.2"/>
    <row r="908" ht="12.75" x14ac:dyDescent="0.2"/>
    <row r="909" ht="12.75" x14ac:dyDescent="0.2"/>
    <row r="910" ht="12.75" x14ac:dyDescent="0.2"/>
    <row r="911" ht="12.75" x14ac:dyDescent="0.2"/>
    <row r="912" ht="12.75" x14ac:dyDescent="0.2"/>
    <row r="913" ht="12.75" x14ac:dyDescent="0.2"/>
    <row r="914" ht="12.75" x14ac:dyDescent="0.2"/>
    <row r="915" ht="12.75" x14ac:dyDescent="0.2"/>
    <row r="916" ht="12.75" x14ac:dyDescent="0.2"/>
    <row r="917" ht="12.75" x14ac:dyDescent="0.2"/>
    <row r="918" ht="12.75" x14ac:dyDescent="0.2"/>
    <row r="919" ht="12.75" x14ac:dyDescent="0.2"/>
    <row r="920" ht="12.75" x14ac:dyDescent="0.2"/>
    <row r="921" ht="12.75" x14ac:dyDescent="0.2"/>
    <row r="922" ht="12.75" x14ac:dyDescent="0.2"/>
    <row r="923" ht="12.75" x14ac:dyDescent="0.2"/>
    <row r="924" ht="12.75" x14ac:dyDescent="0.2"/>
    <row r="925" ht="12.75" x14ac:dyDescent="0.2"/>
    <row r="926" ht="12.75" x14ac:dyDescent="0.2"/>
    <row r="927" ht="12.75" x14ac:dyDescent="0.2"/>
    <row r="928" ht="12.75" x14ac:dyDescent="0.2"/>
    <row r="929" ht="12.75" x14ac:dyDescent="0.2"/>
    <row r="930" ht="12.75" x14ac:dyDescent="0.2"/>
    <row r="931" ht="12.75" x14ac:dyDescent="0.2"/>
    <row r="932" ht="12.75" x14ac:dyDescent="0.2"/>
    <row r="933" ht="12.75" x14ac:dyDescent="0.2"/>
    <row r="934" ht="12.75" x14ac:dyDescent="0.2"/>
    <row r="935" ht="12.75" x14ac:dyDescent="0.2"/>
    <row r="936" ht="12.75" x14ac:dyDescent="0.2"/>
    <row r="937" ht="12.75" x14ac:dyDescent="0.2"/>
    <row r="938" ht="12.75" x14ac:dyDescent="0.2"/>
    <row r="939" ht="12.75" x14ac:dyDescent="0.2"/>
    <row r="940" ht="12.75" x14ac:dyDescent="0.2"/>
    <row r="941" ht="12.75" x14ac:dyDescent="0.2"/>
    <row r="942" ht="12.75" x14ac:dyDescent="0.2"/>
    <row r="943" ht="12.75" x14ac:dyDescent="0.2"/>
    <row r="944" ht="12.75" x14ac:dyDescent="0.2"/>
    <row r="945" ht="12.75" x14ac:dyDescent="0.2"/>
    <row r="946" ht="12.75" x14ac:dyDescent="0.2"/>
    <row r="947" ht="12.75" x14ac:dyDescent="0.2"/>
    <row r="948" ht="12.75" x14ac:dyDescent="0.2"/>
    <row r="949" ht="12.75" x14ac:dyDescent="0.2"/>
    <row r="950" ht="12.75" x14ac:dyDescent="0.2"/>
    <row r="951" ht="12.75" x14ac:dyDescent="0.2"/>
    <row r="952" ht="12.75" x14ac:dyDescent="0.2"/>
    <row r="953" ht="12.75" x14ac:dyDescent="0.2"/>
    <row r="954" ht="12.75" x14ac:dyDescent="0.2"/>
    <row r="955" ht="12.75" x14ac:dyDescent="0.2"/>
    <row r="956" ht="12.75" x14ac:dyDescent="0.2"/>
    <row r="957" ht="12.75" x14ac:dyDescent="0.2"/>
    <row r="958" ht="12.75" x14ac:dyDescent="0.2"/>
    <row r="959" ht="12.75" x14ac:dyDescent="0.2"/>
    <row r="960" ht="12.75" x14ac:dyDescent="0.2"/>
    <row r="961" ht="12.75" x14ac:dyDescent="0.2"/>
    <row r="962" ht="12.75" x14ac:dyDescent="0.2"/>
    <row r="963" ht="12.75" x14ac:dyDescent="0.2"/>
    <row r="964" ht="12.75" x14ac:dyDescent="0.2"/>
    <row r="965" ht="12.75" x14ac:dyDescent="0.2"/>
    <row r="966" ht="12.75" x14ac:dyDescent="0.2"/>
    <row r="967" ht="12.75" x14ac:dyDescent="0.2"/>
    <row r="968" ht="12.75" x14ac:dyDescent="0.2"/>
    <row r="969" ht="12.75" x14ac:dyDescent="0.2"/>
    <row r="970" ht="12.75" x14ac:dyDescent="0.2"/>
    <row r="971" ht="12.75" x14ac:dyDescent="0.2"/>
    <row r="972" ht="12.75" x14ac:dyDescent="0.2"/>
    <row r="973" ht="12.75" x14ac:dyDescent="0.2"/>
    <row r="974" ht="12.75" x14ac:dyDescent="0.2"/>
    <row r="975" ht="12.75" x14ac:dyDescent="0.2"/>
    <row r="976" ht="12.75" x14ac:dyDescent="0.2"/>
    <row r="977" ht="12.75" x14ac:dyDescent="0.2"/>
    <row r="978" ht="12.75" x14ac:dyDescent="0.2"/>
    <row r="979" ht="12.75" x14ac:dyDescent="0.2"/>
    <row r="980" ht="12.75" x14ac:dyDescent="0.2"/>
    <row r="981" ht="12.75" x14ac:dyDescent="0.2"/>
    <row r="982" ht="12.75" x14ac:dyDescent="0.2"/>
    <row r="983" ht="12.75" x14ac:dyDescent="0.2"/>
    <row r="984" ht="12.75" x14ac:dyDescent="0.2"/>
    <row r="985" ht="12.75" x14ac:dyDescent="0.2"/>
    <row r="986" ht="12.75" x14ac:dyDescent="0.2"/>
    <row r="987" ht="12.75" x14ac:dyDescent="0.2"/>
    <row r="988" ht="12.75" x14ac:dyDescent="0.2"/>
    <row r="989" ht="12.75" x14ac:dyDescent="0.2"/>
    <row r="990" ht="12.75" x14ac:dyDescent="0.2"/>
    <row r="991" ht="12.75" x14ac:dyDescent="0.2"/>
    <row r="992" ht="12.75" x14ac:dyDescent="0.2"/>
    <row r="993" ht="12.75" x14ac:dyDescent="0.2"/>
    <row r="994" ht="12.75" x14ac:dyDescent="0.2"/>
    <row r="995" ht="12.75" x14ac:dyDescent="0.2"/>
    <row r="996" ht="12.75" x14ac:dyDescent="0.2"/>
    <row r="997" ht="12.75" x14ac:dyDescent="0.2"/>
    <row r="998" ht="12.75" x14ac:dyDescent="0.2"/>
    <row r="999" ht="12.75" x14ac:dyDescent="0.2"/>
    <row r="1000" ht="12.75" x14ac:dyDescent="0.2"/>
    <row r="1001" ht="12.75" x14ac:dyDescent="0.2"/>
    <row r="1002" ht="12.75" x14ac:dyDescent="0.2"/>
    <row r="1003" ht="12.75" x14ac:dyDescent="0.2"/>
    <row r="1004" ht="12.75" x14ac:dyDescent="0.2"/>
    <row r="1005" ht="12.75" x14ac:dyDescent="0.2"/>
    <row r="1006" ht="12.75" x14ac:dyDescent="0.2"/>
    <row r="1007" ht="12.75" x14ac:dyDescent="0.2"/>
    <row r="1008" ht="12.75" x14ac:dyDescent="0.2"/>
    <row r="1009" ht="12.75" x14ac:dyDescent="0.2"/>
    <row r="1010" ht="12.75" x14ac:dyDescent="0.2"/>
    <row r="1011" ht="12.75" x14ac:dyDescent="0.2"/>
    <row r="1012" ht="12.75" x14ac:dyDescent="0.2"/>
    <row r="1013" ht="12.75" x14ac:dyDescent="0.2"/>
    <row r="1014" ht="12.75" x14ac:dyDescent="0.2"/>
    <row r="1015" ht="12.75" x14ac:dyDescent="0.2"/>
    <row r="1016" ht="12.75" x14ac:dyDescent="0.2"/>
    <row r="1017" ht="12.75" x14ac:dyDescent="0.2"/>
    <row r="1018" ht="12.75" x14ac:dyDescent="0.2"/>
    <row r="1019" ht="12.75" x14ac:dyDescent="0.2"/>
    <row r="1020" ht="12.75" x14ac:dyDescent="0.2"/>
    <row r="1021" ht="12.75" x14ac:dyDescent="0.2"/>
    <row r="1022" ht="12.75" x14ac:dyDescent="0.2"/>
    <row r="1023" ht="12.75" x14ac:dyDescent="0.2"/>
    <row r="1024" ht="12.75" x14ac:dyDescent="0.2"/>
    <row r="1025" ht="12.75" x14ac:dyDescent="0.2"/>
    <row r="1026" ht="12.75" x14ac:dyDescent="0.2"/>
    <row r="1027" ht="12.75" x14ac:dyDescent="0.2"/>
    <row r="1028" ht="12.75" x14ac:dyDescent="0.2"/>
    <row r="1029" ht="12.75" x14ac:dyDescent="0.2"/>
    <row r="1030" ht="12.75" x14ac:dyDescent="0.2"/>
    <row r="1031" ht="12.75" x14ac:dyDescent="0.2"/>
    <row r="1032" ht="12.75" x14ac:dyDescent="0.2"/>
    <row r="1033" ht="12.75" x14ac:dyDescent="0.2"/>
    <row r="1034" ht="12.75" x14ac:dyDescent="0.2"/>
    <row r="1035" ht="12.75" x14ac:dyDescent="0.2"/>
    <row r="1036" ht="12.75" x14ac:dyDescent="0.2"/>
    <row r="1037" ht="12.75" x14ac:dyDescent="0.2"/>
    <row r="1038" ht="12.75" x14ac:dyDescent="0.2"/>
    <row r="1039" ht="12.75" x14ac:dyDescent="0.2"/>
    <row r="1040" ht="12.75" x14ac:dyDescent="0.2"/>
    <row r="1041" ht="12.75" x14ac:dyDescent="0.2"/>
    <row r="1042" ht="12.75" x14ac:dyDescent="0.2"/>
    <row r="1043" ht="12.75" x14ac:dyDescent="0.2"/>
    <row r="1044" ht="12.75" x14ac:dyDescent="0.2"/>
    <row r="1045" ht="12.75" x14ac:dyDescent="0.2"/>
    <row r="1046" ht="12.75" x14ac:dyDescent="0.2"/>
    <row r="1047" ht="12.75" x14ac:dyDescent="0.2"/>
    <row r="1048" ht="12.75" x14ac:dyDescent="0.2"/>
    <row r="1049" ht="12.75" x14ac:dyDescent="0.2"/>
    <row r="1050" ht="12.75" x14ac:dyDescent="0.2"/>
    <row r="1051" ht="12.75" x14ac:dyDescent="0.2"/>
    <row r="1052" ht="12.75" x14ac:dyDescent="0.2"/>
    <row r="1053" ht="12.75" x14ac:dyDescent="0.2"/>
    <row r="1054" ht="12.75" x14ac:dyDescent="0.2"/>
    <row r="1055" ht="12.75" x14ac:dyDescent="0.2"/>
    <row r="1056" ht="12.75" x14ac:dyDescent="0.2"/>
    <row r="1057" ht="12.75" x14ac:dyDescent="0.2"/>
    <row r="1058" ht="12.75" x14ac:dyDescent="0.2"/>
    <row r="1059" ht="12.75" x14ac:dyDescent="0.2"/>
    <row r="1060" ht="12.75" x14ac:dyDescent="0.2"/>
    <row r="1061" ht="12.75" x14ac:dyDescent="0.2"/>
    <row r="1062" ht="12.75" x14ac:dyDescent="0.2"/>
    <row r="1063" ht="12.75" x14ac:dyDescent="0.2"/>
    <row r="1064" ht="12.75" x14ac:dyDescent="0.2"/>
    <row r="1065" ht="12.75" x14ac:dyDescent="0.2"/>
    <row r="1066" ht="12.75" x14ac:dyDescent="0.2"/>
    <row r="1067" ht="12.75" x14ac:dyDescent="0.2"/>
    <row r="1068" ht="12.75" x14ac:dyDescent="0.2"/>
    <row r="1069" ht="12.75" x14ac:dyDescent="0.2"/>
    <row r="1070" ht="12.75" x14ac:dyDescent="0.2"/>
    <row r="1071" ht="12.75" x14ac:dyDescent="0.2"/>
    <row r="1072" ht="12.75" x14ac:dyDescent="0.2"/>
    <row r="1073" ht="12.75" x14ac:dyDescent="0.2"/>
    <row r="1074" ht="12.75" x14ac:dyDescent="0.2"/>
    <row r="1075" ht="12.75" x14ac:dyDescent="0.2"/>
    <row r="1076" ht="12.75" x14ac:dyDescent="0.2"/>
    <row r="1077" ht="12.75" x14ac:dyDescent="0.2"/>
    <row r="1078" ht="12.75" x14ac:dyDescent="0.2"/>
    <row r="1079" ht="12.75" x14ac:dyDescent="0.2"/>
    <row r="1080" ht="12.75" x14ac:dyDescent="0.2"/>
    <row r="1081" ht="12.75" x14ac:dyDescent="0.2"/>
    <row r="1082" ht="12.75" x14ac:dyDescent="0.2"/>
    <row r="1083" ht="12.75" x14ac:dyDescent="0.2"/>
    <row r="1084" ht="12.75" x14ac:dyDescent="0.2"/>
    <row r="1085" ht="12.75" x14ac:dyDescent="0.2"/>
    <row r="1086" ht="12.75" x14ac:dyDescent="0.2"/>
    <row r="1087" ht="12.75" x14ac:dyDescent="0.2"/>
    <row r="1088" ht="12.75" x14ac:dyDescent="0.2"/>
    <row r="1089" ht="12.75" x14ac:dyDescent="0.2"/>
    <row r="1090" ht="12.75" x14ac:dyDescent="0.2"/>
    <row r="1091" ht="12.75" x14ac:dyDescent="0.2"/>
    <row r="1092" ht="12.75" x14ac:dyDescent="0.2"/>
    <row r="1093" ht="12.75" x14ac:dyDescent="0.2"/>
    <row r="1094" ht="12.75" x14ac:dyDescent="0.2"/>
    <row r="1095" ht="12.75" x14ac:dyDescent="0.2"/>
    <row r="1096" ht="12.75" x14ac:dyDescent="0.2"/>
    <row r="1097" ht="12.75" x14ac:dyDescent="0.2"/>
    <row r="1098" ht="12.75" x14ac:dyDescent="0.2"/>
    <row r="1099" ht="12.75" x14ac:dyDescent="0.2"/>
    <row r="1100" ht="12.75" x14ac:dyDescent="0.2"/>
    <row r="1101" ht="12.75" x14ac:dyDescent="0.2"/>
    <row r="1102" ht="12.75" x14ac:dyDescent="0.2"/>
    <row r="1103" ht="12.75" x14ac:dyDescent="0.2"/>
    <row r="1104" ht="12.75" x14ac:dyDescent="0.2"/>
    <row r="1105" ht="12.75" x14ac:dyDescent="0.2"/>
    <row r="1106" ht="12.75" x14ac:dyDescent="0.2"/>
    <row r="1107" ht="12.75" x14ac:dyDescent="0.2"/>
    <row r="1108" ht="12.75" x14ac:dyDescent="0.2"/>
    <row r="1109" ht="12.75" x14ac:dyDescent="0.2"/>
    <row r="1110" ht="12.75" x14ac:dyDescent="0.2"/>
    <row r="1111" ht="12.75" x14ac:dyDescent="0.2"/>
    <row r="1112" ht="12.75" x14ac:dyDescent="0.2"/>
    <row r="1113" ht="12.75" x14ac:dyDescent="0.2"/>
    <row r="1114" ht="12.75" x14ac:dyDescent="0.2"/>
    <row r="1115" ht="12.75" x14ac:dyDescent="0.2"/>
    <row r="1116" ht="12.75" x14ac:dyDescent="0.2"/>
    <row r="1117" ht="12.75" x14ac:dyDescent="0.2"/>
    <row r="1118" ht="12.75" x14ac:dyDescent="0.2"/>
    <row r="1119" ht="12.75" x14ac:dyDescent="0.2"/>
    <row r="1120" ht="12.75" x14ac:dyDescent="0.2"/>
    <row r="1121" ht="12.75" x14ac:dyDescent="0.2"/>
    <row r="1122" ht="12.75" x14ac:dyDescent="0.2"/>
    <row r="1123" ht="12.75" x14ac:dyDescent="0.2"/>
    <row r="1124" ht="12.75" x14ac:dyDescent="0.2"/>
    <row r="1125" ht="12.75" x14ac:dyDescent="0.2"/>
    <row r="1126" ht="12.75" x14ac:dyDescent="0.2"/>
    <row r="1127" ht="12.75" x14ac:dyDescent="0.2"/>
    <row r="1128" ht="12.75" x14ac:dyDescent="0.2"/>
    <row r="1129" ht="12.75" x14ac:dyDescent="0.2"/>
    <row r="1130" ht="12.75" x14ac:dyDescent="0.2"/>
    <row r="1131" ht="12.75" x14ac:dyDescent="0.2"/>
    <row r="1132" ht="12.75" x14ac:dyDescent="0.2"/>
    <row r="1133" ht="12.75" x14ac:dyDescent="0.2"/>
    <row r="1134" ht="12.75" x14ac:dyDescent="0.2"/>
    <row r="1135" ht="12.75" x14ac:dyDescent="0.2"/>
    <row r="1136" ht="12.75" x14ac:dyDescent="0.2"/>
    <row r="1137" ht="12.75" x14ac:dyDescent="0.2"/>
    <row r="1138" ht="12.75" x14ac:dyDescent="0.2"/>
    <row r="1139" ht="12.75" x14ac:dyDescent="0.2"/>
    <row r="1140" ht="12.75" x14ac:dyDescent="0.2"/>
    <row r="1141" ht="12.75" x14ac:dyDescent="0.2"/>
    <row r="1142" ht="12.75" x14ac:dyDescent="0.2"/>
    <row r="1143" ht="12.75" x14ac:dyDescent="0.2"/>
    <row r="1144" ht="12.75" x14ac:dyDescent="0.2"/>
    <row r="1145" ht="12.75" x14ac:dyDescent="0.2"/>
    <row r="1146" ht="12.75" x14ac:dyDescent="0.2"/>
    <row r="1147" ht="12.75" x14ac:dyDescent="0.2"/>
    <row r="1148" ht="12.75" x14ac:dyDescent="0.2"/>
    <row r="1149" ht="12.75" x14ac:dyDescent="0.2"/>
    <row r="1150" ht="12.75" x14ac:dyDescent="0.2"/>
    <row r="1151" ht="12.75" x14ac:dyDescent="0.2"/>
    <row r="1152" ht="12.75" x14ac:dyDescent="0.2"/>
    <row r="1153" ht="12.75" x14ac:dyDescent="0.2"/>
    <row r="1154" ht="12.75" x14ac:dyDescent="0.2"/>
    <row r="1155" ht="12.75" x14ac:dyDescent="0.2"/>
    <row r="1156" ht="12.75" x14ac:dyDescent="0.2"/>
    <row r="1157" ht="12.75" x14ac:dyDescent="0.2"/>
    <row r="1158" ht="12.75" x14ac:dyDescent="0.2"/>
    <row r="1159" ht="12.75" x14ac:dyDescent="0.2"/>
    <row r="1160" ht="12.75" x14ac:dyDescent="0.2"/>
    <row r="1161" ht="12.75" x14ac:dyDescent="0.2"/>
    <row r="1162" ht="12.75" x14ac:dyDescent="0.2"/>
    <row r="1163" ht="12.75" x14ac:dyDescent="0.2"/>
    <row r="1164" ht="12.75" x14ac:dyDescent="0.2"/>
    <row r="1165" ht="12.75" x14ac:dyDescent="0.2"/>
    <row r="1166" ht="12.75" x14ac:dyDescent="0.2"/>
    <row r="1167" ht="12.75" x14ac:dyDescent="0.2"/>
    <row r="1168" ht="12.75" x14ac:dyDescent="0.2"/>
    <row r="1169" ht="12.75" x14ac:dyDescent="0.2"/>
    <row r="1170" ht="12.75" x14ac:dyDescent="0.2"/>
    <row r="1171" ht="12.75" x14ac:dyDescent="0.2"/>
    <row r="1172" ht="12.75" x14ac:dyDescent="0.2"/>
    <row r="1173" ht="12.75" x14ac:dyDescent="0.2"/>
    <row r="1174" ht="12.75" x14ac:dyDescent="0.2"/>
    <row r="1175" ht="12.75" x14ac:dyDescent="0.2"/>
    <row r="1176" ht="12.75" x14ac:dyDescent="0.2"/>
    <row r="1177" ht="12.75" x14ac:dyDescent="0.2"/>
    <row r="1178" ht="12.75" x14ac:dyDescent="0.2"/>
    <row r="1179" ht="12.75" x14ac:dyDescent="0.2"/>
    <row r="1180" ht="12.75" x14ac:dyDescent="0.2"/>
    <row r="1181" ht="12.75" x14ac:dyDescent="0.2"/>
    <row r="1182" ht="12.75" x14ac:dyDescent="0.2"/>
    <row r="1183" ht="12.75" x14ac:dyDescent="0.2"/>
    <row r="1184" ht="12.75" x14ac:dyDescent="0.2"/>
    <row r="1185" ht="12.75" x14ac:dyDescent="0.2"/>
    <row r="1186" ht="12.75" x14ac:dyDescent="0.2"/>
    <row r="1187" ht="12.75" x14ac:dyDescent="0.2"/>
    <row r="1188" ht="12.75" x14ac:dyDescent="0.2"/>
    <row r="1189" ht="12.75" x14ac:dyDescent="0.2"/>
    <row r="1190" ht="12.75" x14ac:dyDescent="0.2"/>
    <row r="1191" ht="12.75" x14ac:dyDescent="0.2"/>
    <row r="1192" ht="12.75" x14ac:dyDescent="0.2"/>
    <row r="1193" ht="12.75" x14ac:dyDescent="0.2"/>
    <row r="1194" ht="12.75" x14ac:dyDescent="0.2"/>
    <row r="1195" ht="12.75" x14ac:dyDescent="0.2"/>
    <row r="1196" ht="12.75" x14ac:dyDescent="0.2"/>
    <row r="1197" ht="12.75" x14ac:dyDescent="0.2"/>
    <row r="1198" ht="12.75" x14ac:dyDescent="0.2"/>
    <row r="1199" ht="12.75" x14ac:dyDescent="0.2"/>
    <row r="1200" ht="12.75" x14ac:dyDescent="0.2"/>
    <row r="1201" ht="12.75" x14ac:dyDescent="0.2"/>
    <row r="1202" ht="12.75" x14ac:dyDescent="0.2"/>
    <row r="1203" ht="12.75" x14ac:dyDescent="0.2"/>
    <row r="1204" ht="12.75" x14ac:dyDescent="0.2"/>
    <row r="1205" ht="12.75" x14ac:dyDescent="0.2"/>
    <row r="1206" ht="12.75" x14ac:dyDescent="0.2"/>
    <row r="1207" ht="12.75" x14ac:dyDescent="0.2"/>
    <row r="1208" ht="12.75" x14ac:dyDescent="0.2"/>
    <row r="1209" ht="12.75" x14ac:dyDescent="0.2"/>
    <row r="1210" ht="12.75" x14ac:dyDescent="0.2"/>
    <row r="1211" ht="12.75" x14ac:dyDescent="0.2"/>
    <row r="1212" ht="12.75" x14ac:dyDescent="0.2"/>
    <row r="1213" ht="12.75" x14ac:dyDescent="0.2"/>
    <row r="1214" ht="12.75" x14ac:dyDescent="0.2"/>
    <row r="1215" ht="12.75" x14ac:dyDescent="0.2"/>
    <row r="1216" ht="12.75" x14ac:dyDescent="0.2"/>
    <row r="1217" ht="12.75" x14ac:dyDescent="0.2"/>
    <row r="1218" ht="12.75" x14ac:dyDescent="0.2"/>
    <row r="1219" ht="12.75" x14ac:dyDescent="0.2"/>
    <row r="1220" ht="12.75" x14ac:dyDescent="0.2"/>
    <row r="1221" ht="12.75" x14ac:dyDescent="0.2"/>
    <row r="1222" ht="12.75" x14ac:dyDescent="0.2"/>
    <row r="1223" ht="12.75" x14ac:dyDescent="0.2"/>
    <row r="1224" ht="12.75" x14ac:dyDescent="0.2"/>
    <row r="1225" ht="12.75" x14ac:dyDescent="0.2"/>
    <row r="1226" ht="12.75" x14ac:dyDescent="0.2"/>
    <row r="1227" ht="12.75" x14ac:dyDescent="0.2"/>
    <row r="1228" ht="12.75" x14ac:dyDescent="0.2"/>
    <row r="1229" ht="12.75" x14ac:dyDescent="0.2"/>
    <row r="1230" ht="12.75" x14ac:dyDescent="0.2"/>
    <row r="1231" ht="12.75" x14ac:dyDescent="0.2"/>
    <row r="1232" ht="12.75" x14ac:dyDescent="0.2"/>
    <row r="1233" ht="12.75" x14ac:dyDescent="0.2"/>
    <row r="1234" ht="12.75" x14ac:dyDescent="0.2"/>
    <row r="1235" ht="12.75" x14ac:dyDescent="0.2"/>
    <row r="1236" ht="12.75" x14ac:dyDescent="0.2"/>
    <row r="1237" ht="12.75" x14ac:dyDescent="0.2"/>
    <row r="1238" ht="12.75" x14ac:dyDescent="0.2"/>
    <row r="1239" ht="12.75" x14ac:dyDescent="0.2"/>
    <row r="1240" ht="12.75" x14ac:dyDescent="0.2"/>
    <row r="1241" ht="12.75" x14ac:dyDescent="0.2"/>
    <row r="1242" ht="12.75" x14ac:dyDescent="0.2"/>
    <row r="1243" ht="12.75" x14ac:dyDescent="0.2"/>
    <row r="1244" ht="12.75" x14ac:dyDescent="0.2"/>
    <row r="1245" ht="12.75" x14ac:dyDescent="0.2"/>
    <row r="1246" ht="12.75" x14ac:dyDescent="0.2"/>
    <row r="1247" ht="12.75" x14ac:dyDescent="0.2"/>
    <row r="1248" ht="12.75" x14ac:dyDescent="0.2"/>
    <row r="1249" ht="12.75" x14ac:dyDescent="0.2"/>
    <row r="1250" ht="12.75" x14ac:dyDescent="0.2"/>
    <row r="1251" ht="12.75" x14ac:dyDescent="0.2"/>
    <row r="1252" ht="12.75" x14ac:dyDescent="0.2"/>
    <row r="1253" ht="12.75" x14ac:dyDescent="0.2"/>
    <row r="1254" ht="12.75" x14ac:dyDescent="0.2"/>
    <row r="1255" ht="12.75" x14ac:dyDescent="0.2"/>
    <row r="1256" ht="12.75" x14ac:dyDescent="0.2"/>
    <row r="1257" ht="12.75" x14ac:dyDescent="0.2"/>
    <row r="1258" ht="12.75" x14ac:dyDescent="0.2"/>
    <row r="1259" ht="12.75" x14ac:dyDescent="0.2"/>
    <row r="1260" ht="12.75" x14ac:dyDescent="0.2"/>
    <row r="1261" ht="12.75" x14ac:dyDescent="0.2"/>
    <row r="1262" ht="12.75" x14ac:dyDescent="0.2"/>
    <row r="1263" ht="12.75" x14ac:dyDescent="0.2"/>
    <row r="1264" ht="12.75" x14ac:dyDescent="0.2"/>
    <row r="1265" ht="12.75" x14ac:dyDescent="0.2"/>
    <row r="1266" ht="12.75" x14ac:dyDescent="0.2"/>
    <row r="1267" ht="12.75" x14ac:dyDescent="0.2"/>
    <row r="1268" ht="12.75" x14ac:dyDescent="0.2"/>
    <row r="1269" ht="12.75" x14ac:dyDescent="0.2"/>
    <row r="1270" ht="12.75" x14ac:dyDescent="0.2"/>
    <row r="1271" ht="12.75" x14ac:dyDescent="0.2"/>
    <row r="1272" ht="12.75" x14ac:dyDescent="0.2"/>
    <row r="1273" ht="12.75" x14ac:dyDescent="0.2"/>
    <row r="1274" ht="12.75" x14ac:dyDescent="0.2"/>
    <row r="1275" ht="12.75" x14ac:dyDescent="0.2"/>
    <row r="1276" ht="12.75" x14ac:dyDescent="0.2"/>
    <row r="1277" ht="12.75" x14ac:dyDescent="0.2"/>
    <row r="1278" ht="12.75" x14ac:dyDescent="0.2"/>
    <row r="1279" ht="12.75" x14ac:dyDescent="0.2"/>
    <row r="1280" ht="12.75" x14ac:dyDescent="0.2"/>
    <row r="1281" ht="12.75" x14ac:dyDescent="0.2"/>
    <row r="1282" ht="12.75" x14ac:dyDescent="0.2"/>
    <row r="1283" ht="12.75" x14ac:dyDescent="0.2"/>
    <row r="1284" ht="12.75" x14ac:dyDescent="0.2"/>
    <row r="1285" ht="12.75" x14ac:dyDescent="0.2"/>
    <row r="1286" ht="12.75" x14ac:dyDescent="0.2"/>
    <row r="1287" ht="12.75" x14ac:dyDescent="0.2"/>
    <row r="1288" ht="12.75" x14ac:dyDescent="0.2"/>
    <row r="1289" ht="12.75" x14ac:dyDescent="0.2"/>
    <row r="1290" ht="12.75" x14ac:dyDescent="0.2"/>
    <row r="1291" ht="12.75" x14ac:dyDescent="0.2"/>
    <row r="1292" ht="12.75" x14ac:dyDescent="0.2"/>
    <row r="1293" ht="12.75" x14ac:dyDescent="0.2"/>
    <row r="1294" ht="12.75" x14ac:dyDescent="0.2"/>
    <row r="1295" ht="12.75" x14ac:dyDescent="0.2"/>
    <row r="1296" ht="12.75" x14ac:dyDescent="0.2"/>
    <row r="1297" ht="12.75" x14ac:dyDescent="0.2"/>
    <row r="1298" ht="12.75" x14ac:dyDescent="0.2"/>
    <row r="1299" ht="12.75" x14ac:dyDescent="0.2"/>
    <row r="1300" ht="12.75" x14ac:dyDescent="0.2"/>
    <row r="1301" ht="12.75" x14ac:dyDescent="0.2"/>
    <row r="1302" ht="12.75" x14ac:dyDescent="0.2"/>
    <row r="1303" ht="12.75" x14ac:dyDescent="0.2"/>
    <row r="1304" ht="12.75" x14ac:dyDescent="0.2"/>
    <row r="1305" ht="12.75" x14ac:dyDescent="0.2"/>
    <row r="1306" ht="12.75" x14ac:dyDescent="0.2"/>
    <row r="1307" ht="12.75" x14ac:dyDescent="0.2"/>
    <row r="1308" ht="12.75" x14ac:dyDescent="0.2"/>
    <row r="1309" ht="12.75" x14ac:dyDescent="0.2"/>
    <row r="1310" ht="12.75" x14ac:dyDescent="0.2"/>
    <row r="1311" ht="12.75" x14ac:dyDescent="0.2"/>
    <row r="1312" ht="12.75" x14ac:dyDescent="0.2"/>
    <row r="1313" ht="12.75" x14ac:dyDescent="0.2"/>
    <row r="1314" ht="12.75" x14ac:dyDescent="0.2"/>
    <row r="1315" ht="12.75" x14ac:dyDescent="0.2"/>
    <row r="1316" ht="12.75" x14ac:dyDescent="0.2"/>
    <row r="1317" ht="12.75" x14ac:dyDescent="0.2"/>
    <row r="1318" ht="12.75" x14ac:dyDescent="0.2"/>
    <row r="1319" ht="12.75" x14ac:dyDescent="0.2"/>
    <row r="1320" ht="12.75" x14ac:dyDescent="0.2"/>
    <row r="1321" ht="12.75" x14ac:dyDescent="0.2"/>
    <row r="1322" ht="12.75" x14ac:dyDescent="0.2"/>
    <row r="1323" ht="12.75" x14ac:dyDescent="0.2"/>
    <row r="1324" ht="12.75" x14ac:dyDescent="0.2"/>
    <row r="1325" ht="12.75" x14ac:dyDescent="0.2"/>
    <row r="1326" ht="12.75" x14ac:dyDescent="0.2"/>
    <row r="1327" ht="12.75" x14ac:dyDescent="0.2"/>
    <row r="1328" ht="12.75" x14ac:dyDescent="0.2"/>
    <row r="1329" ht="12.75" x14ac:dyDescent="0.2"/>
    <row r="1330" ht="12.75" x14ac:dyDescent="0.2"/>
    <row r="1331" ht="12.75" x14ac:dyDescent="0.2"/>
    <row r="1332" ht="12.75" x14ac:dyDescent="0.2"/>
    <row r="1333" ht="12.75" x14ac:dyDescent="0.2"/>
    <row r="1334" ht="12.75" x14ac:dyDescent="0.2"/>
    <row r="1335" ht="12.75" x14ac:dyDescent="0.2"/>
    <row r="1336" ht="12.75" x14ac:dyDescent="0.2"/>
    <row r="1337" ht="12.75" x14ac:dyDescent="0.2"/>
    <row r="1338" ht="12.75" x14ac:dyDescent="0.2"/>
    <row r="1339" ht="12.75" x14ac:dyDescent="0.2"/>
    <row r="1340" ht="12.75" x14ac:dyDescent="0.2"/>
    <row r="1341" ht="12.75" x14ac:dyDescent="0.2"/>
    <row r="1342" ht="12.75" x14ac:dyDescent="0.2"/>
    <row r="1343" ht="12.75" x14ac:dyDescent="0.2"/>
    <row r="1344" ht="12.75" x14ac:dyDescent="0.2"/>
    <row r="1345" ht="12.75" x14ac:dyDescent="0.2"/>
    <row r="1346" ht="12.75" x14ac:dyDescent="0.2"/>
    <row r="1347" ht="12.75" x14ac:dyDescent="0.2"/>
    <row r="1348" ht="12.75" x14ac:dyDescent="0.2"/>
    <row r="1349" ht="12.75" x14ac:dyDescent="0.2"/>
    <row r="1350" ht="12.75" x14ac:dyDescent="0.2"/>
    <row r="1351" ht="12.75" x14ac:dyDescent="0.2"/>
    <row r="1352" ht="12.75" x14ac:dyDescent="0.2"/>
    <row r="1353" ht="12.75" x14ac:dyDescent="0.2"/>
    <row r="1354" ht="12.75" x14ac:dyDescent="0.2"/>
    <row r="1355" ht="12.75" x14ac:dyDescent="0.2"/>
    <row r="1356" ht="12.75" x14ac:dyDescent="0.2"/>
    <row r="1357" ht="12.75" x14ac:dyDescent="0.2"/>
    <row r="1358" ht="12.75" x14ac:dyDescent="0.2"/>
    <row r="1359" ht="12.75" x14ac:dyDescent="0.2"/>
    <row r="1360" ht="12.75" x14ac:dyDescent="0.2"/>
    <row r="1361" ht="12.75" x14ac:dyDescent="0.2"/>
    <row r="1362" ht="12.75" x14ac:dyDescent="0.2"/>
    <row r="1363" ht="12.75" x14ac:dyDescent="0.2"/>
    <row r="1364" ht="12.75" x14ac:dyDescent="0.2"/>
    <row r="1365" ht="12.75" x14ac:dyDescent="0.2"/>
    <row r="1366" ht="12.75" x14ac:dyDescent="0.2"/>
    <row r="1367" ht="12.75" x14ac:dyDescent="0.2"/>
    <row r="1368" ht="12.75" x14ac:dyDescent="0.2"/>
    <row r="1369" ht="12.75" x14ac:dyDescent="0.2"/>
    <row r="1370" ht="12.75" x14ac:dyDescent="0.2"/>
    <row r="1371" ht="12.75" x14ac:dyDescent="0.2"/>
    <row r="1372" ht="12.75" x14ac:dyDescent="0.2"/>
    <row r="1373" ht="12.75" x14ac:dyDescent="0.2"/>
    <row r="1374" ht="12.75" x14ac:dyDescent="0.2"/>
    <row r="1375" ht="12.75" x14ac:dyDescent="0.2"/>
    <row r="1376" ht="12.75" x14ac:dyDescent="0.2"/>
    <row r="1377" ht="12.75" x14ac:dyDescent="0.2"/>
    <row r="1378" ht="12.75" x14ac:dyDescent="0.2"/>
    <row r="1379" ht="12.75" x14ac:dyDescent="0.2"/>
    <row r="1380" ht="12.75" x14ac:dyDescent="0.2"/>
    <row r="1381" ht="12.75" x14ac:dyDescent="0.2"/>
    <row r="1382" ht="12.75" x14ac:dyDescent="0.2"/>
    <row r="1383" ht="12.75" x14ac:dyDescent="0.2"/>
    <row r="1384" ht="12.75" x14ac:dyDescent="0.2"/>
    <row r="1385" ht="12.75" x14ac:dyDescent="0.2"/>
    <row r="1386" ht="12.75" x14ac:dyDescent="0.2"/>
    <row r="1387" ht="12.75" x14ac:dyDescent="0.2"/>
    <row r="1388" ht="12.75" x14ac:dyDescent="0.2"/>
    <row r="1389" ht="12.75" x14ac:dyDescent="0.2"/>
    <row r="1390" ht="12.75" x14ac:dyDescent="0.2"/>
    <row r="1391" ht="12.75" x14ac:dyDescent="0.2"/>
    <row r="1392" ht="12.75" x14ac:dyDescent="0.2"/>
    <row r="1393" ht="12.75" x14ac:dyDescent="0.2"/>
    <row r="1394" ht="12.75" x14ac:dyDescent="0.2"/>
    <row r="1395" ht="12.75" x14ac:dyDescent="0.2"/>
    <row r="1396" ht="12.75" x14ac:dyDescent="0.2"/>
    <row r="1397" ht="12.75" x14ac:dyDescent="0.2"/>
    <row r="1398" ht="12.75" x14ac:dyDescent="0.2"/>
    <row r="1399" ht="12.75" x14ac:dyDescent="0.2"/>
    <row r="1400" ht="12.75" x14ac:dyDescent="0.2"/>
    <row r="1401" ht="12.75" x14ac:dyDescent="0.2"/>
    <row r="1402" ht="12.75" x14ac:dyDescent="0.2"/>
    <row r="1403" ht="12.75" x14ac:dyDescent="0.2"/>
    <row r="1404" ht="12.75" x14ac:dyDescent="0.2"/>
    <row r="1405" ht="12.75" x14ac:dyDescent="0.2"/>
    <row r="1406" ht="12.75" x14ac:dyDescent="0.2"/>
    <row r="1407" ht="12.75" x14ac:dyDescent="0.2"/>
    <row r="1408" ht="12.75" x14ac:dyDescent="0.2"/>
    <row r="1409" ht="12.75" x14ac:dyDescent="0.2"/>
    <row r="1410" ht="12.75" x14ac:dyDescent="0.2"/>
    <row r="1411" ht="12.75" x14ac:dyDescent="0.2"/>
    <row r="1412" ht="12.75" x14ac:dyDescent="0.2"/>
    <row r="1413" ht="12.75" x14ac:dyDescent="0.2"/>
    <row r="1414" ht="12.75" x14ac:dyDescent="0.2"/>
    <row r="1415" ht="12.75" x14ac:dyDescent="0.2"/>
    <row r="1416" ht="12.75" x14ac:dyDescent="0.2"/>
    <row r="1417" ht="12.75" x14ac:dyDescent="0.2"/>
    <row r="1418" ht="12.75" x14ac:dyDescent="0.2"/>
    <row r="1419" ht="12.75" x14ac:dyDescent="0.2"/>
    <row r="1420" ht="12.75" x14ac:dyDescent="0.2"/>
    <row r="1421" ht="12.75" x14ac:dyDescent="0.2"/>
    <row r="1422" ht="12.75" x14ac:dyDescent="0.2"/>
    <row r="1423" ht="12.75" x14ac:dyDescent="0.2"/>
    <row r="1424" ht="12.75" x14ac:dyDescent="0.2"/>
    <row r="1425" ht="12.75" x14ac:dyDescent="0.2"/>
    <row r="1426" ht="12.75" x14ac:dyDescent="0.2"/>
    <row r="1427" ht="12.75" x14ac:dyDescent="0.2"/>
    <row r="1428" ht="12.75" x14ac:dyDescent="0.2"/>
    <row r="1429" ht="12.75" x14ac:dyDescent="0.2"/>
    <row r="1430" ht="12.75" x14ac:dyDescent="0.2"/>
    <row r="1431" ht="12.75" x14ac:dyDescent="0.2"/>
    <row r="1432" ht="12.75" x14ac:dyDescent="0.2"/>
    <row r="1433" ht="12.75" x14ac:dyDescent="0.2"/>
    <row r="1434" ht="12.75" x14ac:dyDescent="0.2"/>
    <row r="1435" ht="12.75" x14ac:dyDescent="0.2"/>
    <row r="1436" ht="12.75" x14ac:dyDescent="0.2"/>
    <row r="1437" ht="12.75" x14ac:dyDescent="0.2"/>
    <row r="1438" ht="12.75" x14ac:dyDescent="0.2"/>
    <row r="1439" ht="12.75" x14ac:dyDescent="0.2"/>
    <row r="1440" ht="12.75" x14ac:dyDescent="0.2"/>
    <row r="1441" ht="12.75" x14ac:dyDescent="0.2"/>
    <row r="1442" ht="12.75" x14ac:dyDescent="0.2"/>
    <row r="1443" ht="12.75" x14ac:dyDescent="0.2"/>
    <row r="1444" ht="12.75" x14ac:dyDescent="0.2"/>
    <row r="1445" ht="12.75" x14ac:dyDescent="0.2"/>
    <row r="1446" ht="12.75" x14ac:dyDescent="0.2"/>
    <row r="1447" ht="12.75" x14ac:dyDescent="0.2"/>
    <row r="1448" ht="12.75" x14ac:dyDescent="0.2"/>
    <row r="1449" ht="12.75" x14ac:dyDescent="0.2"/>
    <row r="1450" ht="12.75" x14ac:dyDescent="0.2"/>
    <row r="1451" ht="12.75" x14ac:dyDescent="0.2"/>
    <row r="1452" ht="12.75" x14ac:dyDescent="0.2"/>
    <row r="1453" ht="12.75" x14ac:dyDescent="0.2"/>
    <row r="1454" ht="12.75" x14ac:dyDescent="0.2"/>
    <row r="1455" ht="12.75" x14ac:dyDescent="0.2"/>
    <row r="1456" ht="12.75" x14ac:dyDescent="0.2"/>
    <row r="1457" ht="12.75" x14ac:dyDescent="0.2"/>
    <row r="1458" ht="12.75" x14ac:dyDescent="0.2"/>
    <row r="1459" ht="12.75" x14ac:dyDescent="0.2"/>
    <row r="1460" ht="12.75" x14ac:dyDescent="0.2"/>
    <row r="1461" ht="12.75" x14ac:dyDescent="0.2"/>
    <row r="1462" ht="12.75" x14ac:dyDescent="0.2"/>
    <row r="1463" ht="12.75" x14ac:dyDescent="0.2"/>
    <row r="1464" ht="12.75" x14ac:dyDescent="0.2"/>
    <row r="1465" ht="12.75" x14ac:dyDescent="0.2"/>
    <row r="1466" ht="12.75" x14ac:dyDescent="0.2"/>
    <row r="1467" ht="12.75" x14ac:dyDescent="0.2"/>
    <row r="1468" ht="12.75" x14ac:dyDescent="0.2"/>
    <row r="1469" ht="12.75" x14ac:dyDescent="0.2"/>
    <row r="1470" ht="12.75" x14ac:dyDescent="0.2"/>
    <row r="1471" ht="12.75" x14ac:dyDescent="0.2"/>
    <row r="1472" ht="12.75" x14ac:dyDescent="0.2"/>
    <row r="1473" ht="12.75" x14ac:dyDescent="0.2"/>
    <row r="1474" ht="12.75" x14ac:dyDescent="0.2"/>
    <row r="1475" ht="12.75" x14ac:dyDescent="0.2"/>
    <row r="1476" ht="12.75" x14ac:dyDescent="0.2"/>
    <row r="1477" ht="12.75" x14ac:dyDescent="0.2"/>
    <row r="1478" ht="12.75" x14ac:dyDescent="0.2"/>
    <row r="1479" ht="12.75" x14ac:dyDescent="0.2"/>
    <row r="1480" ht="12.75" x14ac:dyDescent="0.2"/>
    <row r="1481" ht="12.75" x14ac:dyDescent="0.2"/>
    <row r="1482" ht="12.75" x14ac:dyDescent="0.2"/>
    <row r="1483" ht="12.75" x14ac:dyDescent="0.2"/>
    <row r="1484" ht="12.75" x14ac:dyDescent="0.2"/>
    <row r="1485" ht="12.75" x14ac:dyDescent="0.2"/>
    <row r="1486" ht="12.75" x14ac:dyDescent="0.2"/>
    <row r="1487" ht="12.75" x14ac:dyDescent="0.2"/>
    <row r="1488" ht="12.75" x14ac:dyDescent="0.2"/>
    <row r="1489" ht="12.75" x14ac:dyDescent="0.2"/>
    <row r="1490" ht="12.75" x14ac:dyDescent="0.2"/>
    <row r="1491" ht="12.75" x14ac:dyDescent="0.2"/>
    <row r="1492" ht="12.75" x14ac:dyDescent="0.2"/>
    <row r="1493" ht="12.75" x14ac:dyDescent="0.2"/>
    <row r="1494" ht="12.75" x14ac:dyDescent="0.2"/>
    <row r="1495" ht="12.75" x14ac:dyDescent="0.2"/>
    <row r="1496" ht="12.75" x14ac:dyDescent="0.2"/>
    <row r="1497" ht="12.75" x14ac:dyDescent="0.2"/>
    <row r="1498" ht="12.75" x14ac:dyDescent="0.2"/>
    <row r="1499" ht="12.75" x14ac:dyDescent="0.2"/>
    <row r="1500" ht="12.75" x14ac:dyDescent="0.2"/>
    <row r="1501" ht="12.75" x14ac:dyDescent="0.2"/>
    <row r="1502" ht="12.75" x14ac:dyDescent="0.2"/>
    <row r="1503" ht="12.75" x14ac:dyDescent="0.2"/>
    <row r="1504" ht="12.75" x14ac:dyDescent="0.2"/>
    <row r="1505" ht="12.75" x14ac:dyDescent="0.2"/>
    <row r="1506" ht="12.75" x14ac:dyDescent="0.2"/>
    <row r="1507" ht="12.75" x14ac:dyDescent="0.2"/>
    <row r="1508" ht="12.75" x14ac:dyDescent="0.2"/>
    <row r="1509" ht="12.75" x14ac:dyDescent="0.2"/>
    <row r="1510" ht="12.75" x14ac:dyDescent="0.2"/>
    <row r="1511" ht="12.75" x14ac:dyDescent="0.2"/>
    <row r="1512" ht="12.75" x14ac:dyDescent="0.2"/>
    <row r="1513" ht="12.75" x14ac:dyDescent="0.2"/>
    <row r="1514" ht="12.75" x14ac:dyDescent="0.2"/>
    <row r="1515" ht="12.75" x14ac:dyDescent="0.2"/>
    <row r="1516" ht="12.75" x14ac:dyDescent="0.2"/>
    <row r="1517" ht="12.75" x14ac:dyDescent="0.2"/>
    <row r="1518" ht="12.75" x14ac:dyDescent="0.2"/>
    <row r="1519" ht="12.75" x14ac:dyDescent="0.2"/>
    <row r="1520" ht="12.75" x14ac:dyDescent="0.2"/>
    <row r="1521" ht="12.75" x14ac:dyDescent="0.2"/>
    <row r="1522" ht="12.75" x14ac:dyDescent="0.2"/>
    <row r="1523" ht="12.75" x14ac:dyDescent="0.2"/>
    <row r="1524" ht="12.75" x14ac:dyDescent="0.2"/>
    <row r="1525" ht="12.75" x14ac:dyDescent="0.2"/>
    <row r="1526" ht="12.75" x14ac:dyDescent="0.2"/>
    <row r="1527" ht="12.75" x14ac:dyDescent="0.2"/>
    <row r="1528" ht="12.75" x14ac:dyDescent="0.2"/>
    <row r="1529" ht="12.75" x14ac:dyDescent="0.2"/>
    <row r="1530" ht="12.75" x14ac:dyDescent="0.2"/>
    <row r="1531" ht="12.75" x14ac:dyDescent="0.2"/>
    <row r="1532" ht="12.75" x14ac:dyDescent="0.2"/>
    <row r="1533" ht="12.75" x14ac:dyDescent="0.2"/>
    <row r="1534" ht="12.75" x14ac:dyDescent="0.2"/>
    <row r="1535" ht="12.75" x14ac:dyDescent="0.2"/>
    <row r="1536" ht="12.75" x14ac:dyDescent="0.2"/>
    <row r="1537" ht="12.75" x14ac:dyDescent="0.2"/>
    <row r="1538" ht="12.75" x14ac:dyDescent="0.2"/>
    <row r="1539" ht="12.75" x14ac:dyDescent="0.2"/>
    <row r="1540" ht="12.75" x14ac:dyDescent="0.2"/>
    <row r="1541" ht="12.75" x14ac:dyDescent="0.2"/>
    <row r="1542" ht="12.75" x14ac:dyDescent="0.2"/>
    <row r="1543" ht="12.75" x14ac:dyDescent="0.2"/>
    <row r="1544" ht="12.75" x14ac:dyDescent="0.2"/>
    <row r="1545" ht="12.75" x14ac:dyDescent="0.2"/>
    <row r="1546" ht="12.75" x14ac:dyDescent="0.2"/>
    <row r="1547" ht="12.75" x14ac:dyDescent="0.2"/>
    <row r="1548" ht="12.75" x14ac:dyDescent="0.2"/>
    <row r="1549" ht="12.75" x14ac:dyDescent="0.2"/>
    <row r="1550" ht="12.75" x14ac:dyDescent="0.2"/>
    <row r="1551" ht="12.75" x14ac:dyDescent="0.2"/>
    <row r="1552" ht="12.75" x14ac:dyDescent="0.2"/>
    <row r="1553" ht="12.75" x14ac:dyDescent="0.2"/>
    <row r="1554" ht="12.75" x14ac:dyDescent="0.2"/>
    <row r="1555" ht="12.75" x14ac:dyDescent="0.2"/>
    <row r="1556" ht="12.75" x14ac:dyDescent="0.2"/>
    <row r="1557" ht="12.75" x14ac:dyDescent="0.2"/>
    <row r="1558" ht="12.75" x14ac:dyDescent="0.2"/>
    <row r="1559" ht="12.75" x14ac:dyDescent="0.2"/>
    <row r="1560" ht="12.75" x14ac:dyDescent="0.2"/>
    <row r="1561" ht="12.75" x14ac:dyDescent="0.2"/>
    <row r="1562" ht="12.75" x14ac:dyDescent="0.2"/>
    <row r="1563" ht="12.75" x14ac:dyDescent="0.2"/>
    <row r="1564" ht="12.75" x14ac:dyDescent="0.2"/>
    <row r="1565" ht="12.75" x14ac:dyDescent="0.2"/>
    <row r="1566" ht="12.75" x14ac:dyDescent="0.2"/>
    <row r="1567" ht="12.75" x14ac:dyDescent="0.2"/>
    <row r="1568" ht="12.75" x14ac:dyDescent="0.2"/>
    <row r="1569" ht="12.75" x14ac:dyDescent="0.2"/>
    <row r="1570" ht="12.75" x14ac:dyDescent="0.2"/>
    <row r="1571" ht="12.75" x14ac:dyDescent="0.2"/>
    <row r="1572" ht="12.75" x14ac:dyDescent="0.2"/>
    <row r="1573" ht="12.75" x14ac:dyDescent="0.2"/>
    <row r="1574" ht="12.75" x14ac:dyDescent="0.2"/>
    <row r="1575" ht="12.75" x14ac:dyDescent="0.2"/>
    <row r="1576" ht="12.75" x14ac:dyDescent="0.2"/>
    <row r="1577" ht="12.75" x14ac:dyDescent="0.2"/>
    <row r="1578" ht="12.75" x14ac:dyDescent="0.2"/>
    <row r="1579" ht="12.75" x14ac:dyDescent="0.2"/>
    <row r="1580" ht="12.75" x14ac:dyDescent="0.2"/>
    <row r="1581" ht="12.75" x14ac:dyDescent="0.2"/>
    <row r="1582" ht="12.75" x14ac:dyDescent="0.2"/>
    <row r="1583" ht="12.75" x14ac:dyDescent="0.2"/>
    <row r="1584" ht="12.75" x14ac:dyDescent="0.2"/>
    <row r="1585" ht="12.75" x14ac:dyDescent="0.2"/>
    <row r="1586" ht="12.75" x14ac:dyDescent="0.2"/>
    <row r="1587" ht="12.75" x14ac:dyDescent="0.2"/>
    <row r="1588" ht="12.75" x14ac:dyDescent="0.2"/>
    <row r="1589" ht="12.75" x14ac:dyDescent="0.2"/>
    <row r="1590" ht="12.75" x14ac:dyDescent="0.2"/>
    <row r="1591" ht="12.75" x14ac:dyDescent="0.2"/>
    <row r="1592" ht="12.75" x14ac:dyDescent="0.2"/>
    <row r="1593" ht="12.75" x14ac:dyDescent="0.2"/>
    <row r="1594" ht="12.75" x14ac:dyDescent="0.2"/>
    <row r="1595" ht="12.75" x14ac:dyDescent="0.2"/>
    <row r="1596" ht="12.75" x14ac:dyDescent="0.2"/>
    <row r="1597" ht="12.75" x14ac:dyDescent="0.2"/>
    <row r="1598" ht="12.75" x14ac:dyDescent="0.2"/>
    <row r="1599" ht="12.75" x14ac:dyDescent="0.2"/>
    <row r="1600" ht="12.75" x14ac:dyDescent="0.2"/>
    <row r="1601" ht="12.75" x14ac:dyDescent="0.2"/>
    <row r="1602" ht="12.75" x14ac:dyDescent="0.2"/>
    <row r="1603" ht="12.75" x14ac:dyDescent="0.2"/>
    <row r="1604" ht="12.75" x14ac:dyDescent="0.2"/>
    <row r="1605" ht="12.75" x14ac:dyDescent="0.2"/>
    <row r="1606" ht="12.75" x14ac:dyDescent="0.2"/>
    <row r="1607" ht="12.75" x14ac:dyDescent="0.2"/>
    <row r="1608" ht="12.75" x14ac:dyDescent="0.2"/>
    <row r="1609" ht="12.75" x14ac:dyDescent="0.2"/>
    <row r="1610" ht="12.75" x14ac:dyDescent="0.2"/>
    <row r="1611" ht="12.75" x14ac:dyDescent="0.2"/>
    <row r="1612" ht="12.75" x14ac:dyDescent="0.2"/>
    <row r="1613" ht="12.75" x14ac:dyDescent="0.2"/>
    <row r="1614" ht="12.75" x14ac:dyDescent="0.2"/>
    <row r="1615" ht="12.75" x14ac:dyDescent="0.2"/>
    <row r="1616" ht="12.75" x14ac:dyDescent="0.2"/>
    <row r="1617" ht="12.75" x14ac:dyDescent="0.2"/>
    <row r="1618" ht="12.75" x14ac:dyDescent="0.2"/>
    <row r="1619" ht="12.75" x14ac:dyDescent="0.2"/>
    <row r="1620" ht="12.75" x14ac:dyDescent="0.2"/>
    <row r="1621" ht="12.75" x14ac:dyDescent="0.2"/>
    <row r="1622" ht="12.75" x14ac:dyDescent="0.2"/>
    <row r="1623" ht="12.75" x14ac:dyDescent="0.2"/>
    <row r="1624" ht="12.75" x14ac:dyDescent="0.2"/>
    <row r="1625" ht="12.75" x14ac:dyDescent="0.2"/>
    <row r="1626" ht="12.75" x14ac:dyDescent="0.2"/>
    <row r="1627" ht="12.75" x14ac:dyDescent="0.2"/>
    <row r="1628" ht="12.75" x14ac:dyDescent="0.2"/>
    <row r="1629" ht="12.75" x14ac:dyDescent="0.2"/>
    <row r="1630" ht="12.75" x14ac:dyDescent="0.2"/>
    <row r="1631" ht="12.75" x14ac:dyDescent="0.2"/>
    <row r="1632" ht="12.75" x14ac:dyDescent="0.2"/>
    <row r="1633" ht="12.75" x14ac:dyDescent="0.2"/>
    <row r="1634" ht="12.75" x14ac:dyDescent="0.2"/>
    <row r="1635" ht="12.75" x14ac:dyDescent="0.2"/>
    <row r="1636" ht="12.75" x14ac:dyDescent="0.2"/>
    <row r="1637" ht="12.75" x14ac:dyDescent="0.2"/>
    <row r="1638" ht="12.75" x14ac:dyDescent="0.2"/>
    <row r="1639" ht="12.75" x14ac:dyDescent="0.2"/>
    <row r="1640" ht="12.75" x14ac:dyDescent="0.2"/>
    <row r="1641" ht="12.75" x14ac:dyDescent="0.2"/>
    <row r="1642" ht="12.75" x14ac:dyDescent="0.2"/>
    <row r="1643" ht="12.75" x14ac:dyDescent="0.2"/>
    <row r="1644" ht="12.75" x14ac:dyDescent="0.2"/>
    <row r="1645" ht="12.75" x14ac:dyDescent="0.2"/>
    <row r="1646" ht="12.75" x14ac:dyDescent="0.2"/>
    <row r="1647" ht="12.75" x14ac:dyDescent="0.2"/>
    <row r="1648" ht="12.75" x14ac:dyDescent="0.2"/>
    <row r="1649" ht="12.75" x14ac:dyDescent="0.2"/>
    <row r="1650" ht="12.75" x14ac:dyDescent="0.2"/>
    <row r="1651" ht="12.75" x14ac:dyDescent="0.2"/>
    <row r="1652" ht="12.75" x14ac:dyDescent="0.2"/>
    <row r="1653" ht="12.75" x14ac:dyDescent="0.2"/>
    <row r="1654" ht="12.75" x14ac:dyDescent="0.2"/>
    <row r="1655" ht="12.75" x14ac:dyDescent="0.2"/>
    <row r="1656" ht="12.75" x14ac:dyDescent="0.2"/>
    <row r="1657" ht="12.75" x14ac:dyDescent="0.2"/>
    <row r="1658" ht="12.75" x14ac:dyDescent="0.2"/>
    <row r="1659" ht="12.75" x14ac:dyDescent="0.2"/>
    <row r="1660" ht="12.75" x14ac:dyDescent="0.2"/>
    <row r="1661" ht="12.75" x14ac:dyDescent="0.2"/>
    <row r="1662" ht="12.75" x14ac:dyDescent="0.2"/>
    <row r="1663" ht="12.75" x14ac:dyDescent="0.2"/>
    <row r="1664" ht="12.75" x14ac:dyDescent="0.2"/>
    <row r="1665" ht="12.75" x14ac:dyDescent="0.2"/>
    <row r="1666" ht="12.75" x14ac:dyDescent="0.2"/>
    <row r="1667" ht="12.75" x14ac:dyDescent="0.2"/>
    <row r="1668" ht="12.75" x14ac:dyDescent="0.2"/>
    <row r="1669" ht="12.75" x14ac:dyDescent="0.2"/>
    <row r="1670" ht="12.75" x14ac:dyDescent="0.2"/>
    <row r="1671" ht="12.75" x14ac:dyDescent="0.2"/>
    <row r="1672" ht="12.75" x14ac:dyDescent="0.2"/>
    <row r="1673" ht="12.75" x14ac:dyDescent="0.2"/>
    <row r="1674" ht="12.75" x14ac:dyDescent="0.2"/>
    <row r="1675" ht="12.75" x14ac:dyDescent="0.2"/>
    <row r="1676" ht="12.75" x14ac:dyDescent="0.2"/>
    <row r="1677" ht="12.75" x14ac:dyDescent="0.2"/>
    <row r="1678" ht="12.75" x14ac:dyDescent="0.2"/>
    <row r="1679" ht="12.75" x14ac:dyDescent="0.2"/>
    <row r="1680" ht="12.75" x14ac:dyDescent="0.2"/>
    <row r="1681" ht="12.75" x14ac:dyDescent="0.2"/>
    <row r="1682" ht="12.75" x14ac:dyDescent="0.2"/>
    <row r="1683" ht="12.75" x14ac:dyDescent="0.2"/>
    <row r="1684" ht="12.75" x14ac:dyDescent="0.2"/>
    <row r="1685" ht="12.75" x14ac:dyDescent="0.2"/>
    <row r="1686" ht="12.75" x14ac:dyDescent="0.2"/>
    <row r="1687" ht="12.75" x14ac:dyDescent="0.2"/>
    <row r="1688" ht="12.75" x14ac:dyDescent="0.2"/>
    <row r="1689" ht="12.75" x14ac:dyDescent="0.2"/>
    <row r="1690" ht="12.75" x14ac:dyDescent="0.2"/>
    <row r="1691" ht="12.75" x14ac:dyDescent="0.2"/>
    <row r="1692" ht="12.75" x14ac:dyDescent="0.2"/>
    <row r="1693" ht="12.75" x14ac:dyDescent="0.2"/>
    <row r="1694" ht="12.75" x14ac:dyDescent="0.2"/>
    <row r="1695" ht="12.75" x14ac:dyDescent="0.2"/>
    <row r="1696" ht="12.75" x14ac:dyDescent="0.2"/>
    <row r="1697" ht="12.75" x14ac:dyDescent="0.2"/>
    <row r="1698" ht="12.75" x14ac:dyDescent="0.2"/>
    <row r="1699" ht="12.75" x14ac:dyDescent="0.2"/>
    <row r="1700" ht="12.75" x14ac:dyDescent="0.2"/>
    <row r="1701" ht="12.75" x14ac:dyDescent="0.2"/>
    <row r="1702" ht="12.75" x14ac:dyDescent="0.2"/>
    <row r="1703" ht="12.75" x14ac:dyDescent="0.2"/>
    <row r="1704" ht="12.75" x14ac:dyDescent="0.2"/>
    <row r="1705" ht="12.75" x14ac:dyDescent="0.2"/>
    <row r="1706" ht="12.75" x14ac:dyDescent="0.2"/>
    <row r="1707" ht="12.75" x14ac:dyDescent="0.2"/>
    <row r="1708" ht="12.75" x14ac:dyDescent="0.2"/>
    <row r="1709" ht="12.75" x14ac:dyDescent="0.2"/>
    <row r="1710" ht="12.75" x14ac:dyDescent="0.2"/>
    <row r="1711" ht="12.75" x14ac:dyDescent="0.2"/>
    <row r="1712" ht="12.75" x14ac:dyDescent="0.2"/>
    <row r="1713" ht="12.75" x14ac:dyDescent="0.2"/>
    <row r="1714" ht="12.75" x14ac:dyDescent="0.2"/>
    <row r="1715" ht="12.75" x14ac:dyDescent="0.2"/>
    <row r="1716" ht="12.75" x14ac:dyDescent="0.2"/>
    <row r="1717" ht="12.75" x14ac:dyDescent="0.2"/>
    <row r="1718" ht="12.75" x14ac:dyDescent="0.2"/>
    <row r="1719" ht="12.75" x14ac:dyDescent="0.2"/>
    <row r="1720" ht="12.75" x14ac:dyDescent="0.2"/>
    <row r="1721" ht="12.75" x14ac:dyDescent="0.2"/>
    <row r="1722" ht="12.75" x14ac:dyDescent="0.2"/>
    <row r="1723" ht="12.75" x14ac:dyDescent="0.2"/>
    <row r="1724" ht="12.75" x14ac:dyDescent="0.2"/>
    <row r="1725" ht="12.75" x14ac:dyDescent="0.2"/>
    <row r="1726" ht="12.75" x14ac:dyDescent="0.2"/>
    <row r="1727" ht="12.75" x14ac:dyDescent="0.2"/>
    <row r="1728" ht="12.75" x14ac:dyDescent="0.2"/>
    <row r="1729" ht="12.75" x14ac:dyDescent="0.2"/>
    <row r="1730" ht="12.75" x14ac:dyDescent="0.2"/>
    <row r="1731" ht="12.75" x14ac:dyDescent="0.2"/>
    <row r="1732" ht="12.75" x14ac:dyDescent="0.2"/>
    <row r="1733" ht="12.75" x14ac:dyDescent="0.2"/>
    <row r="1734" ht="12.75" x14ac:dyDescent="0.2"/>
    <row r="1735" ht="12.75" x14ac:dyDescent="0.2"/>
    <row r="1736" ht="12.75" x14ac:dyDescent="0.2"/>
    <row r="1737" ht="12.75" x14ac:dyDescent="0.2"/>
    <row r="1738" ht="12.75" x14ac:dyDescent="0.2"/>
    <row r="1739" ht="12.75" x14ac:dyDescent="0.2"/>
    <row r="1740" ht="12.75" x14ac:dyDescent="0.2"/>
    <row r="1741" ht="12.75" x14ac:dyDescent="0.2"/>
    <row r="1742" ht="12.75" x14ac:dyDescent="0.2"/>
    <row r="1743" ht="12.75" x14ac:dyDescent="0.2"/>
    <row r="1744" ht="12.75" x14ac:dyDescent="0.2"/>
    <row r="1745" ht="12.75" x14ac:dyDescent="0.2"/>
    <row r="1746" ht="12.75" x14ac:dyDescent="0.2"/>
    <row r="1747" ht="12.75" x14ac:dyDescent="0.2"/>
    <row r="1748" ht="12.75" x14ac:dyDescent="0.2"/>
    <row r="1749" ht="12.75" x14ac:dyDescent="0.2"/>
    <row r="1750" ht="12.75" x14ac:dyDescent="0.2"/>
    <row r="1751" ht="12.75" x14ac:dyDescent="0.2"/>
    <row r="1752" ht="12.75" x14ac:dyDescent="0.2"/>
    <row r="1753" ht="12.75" x14ac:dyDescent="0.2"/>
    <row r="1754" ht="12.75" x14ac:dyDescent="0.2"/>
    <row r="1755" ht="12.75" x14ac:dyDescent="0.2"/>
    <row r="1756" ht="12.75" x14ac:dyDescent="0.2"/>
    <row r="1757" ht="12.75" x14ac:dyDescent="0.2"/>
    <row r="1758" ht="12.75" x14ac:dyDescent="0.2"/>
    <row r="1759" ht="12.75" x14ac:dyDescent="0.2"/>
    <row r="1760" ht="12.75" x14ac:dyDescent="0.2"/>
    <row r="1761" ht="12.75" x14ac:dyDescent="0.2"/>
    <row r="1762" ht="12.75" x14ac:dyDescent="0.2"/>
    <row r="1763" ht="12.75" x14ac:dyDescent="0.2"/>
    <row r="1764" ht="12.75" x14ac:dyDescent="0.2"/>
    <row r="1765" ht="12.75" x14ac:dyDescent="0.2"/>
    <row r="1766" ht="12.75" x14ac:dyDescent="0.2"/>
    <row r="1767" ht="12.75" x14ac:dyDescent="0.2"/>
    <row r="1768" ht="12.75" x14ac:dyDescent="0.2"/>
    <row r="1769" ht="12.75" x14ac:dyDescent="0.2"/>
    <row r="1770" ht="12.75" x14ac:dyDescent="0.2"/>
    <row r="1771" ht="12.75" x14ac:dyDescent="0.2"/>
    <row r="1772" ht="12.75" x14ac:dyDescent="0.2"/>
    <row r="1773" ht="12.75" x14ac:dyDescent="0.2"/>
    <row r="1774" ht="12.75" x14ac:dyDescent="0.2"/>
    <row r="1775" ht="12.75" x14ac:dyDescent="0.2"/>
    <row r="1776" ht="12.75" x14ac:dyDescent="0.2"/>
    <row r="1777" ht="12.75" x14ac:dyDescent="0.2"/>
    <row r="1778" ht="12.75" x14ac:dyDescent="0.2"/>
    <row r="1779" ht="12.75" x14ac:dyDescent="0.2"/>
    <row r="1780" ht="12.75" x14ac:dyDescent="0.2"/>
    <row r="1781" ht="12.75" x14ac:dyDescent="0.2"/>
    <row r="1782" ht="12.75" x14ac:dyDescent="0.2"/>
    <row r="1783" ht="12.75" x14ac:dyDescent="0.2"/>
    <row r="1784" ht="12.75" x14ac:dyDescent="0.2"/>
    <row r="1785" ht="12.75" x14ac:dyDescent="0.2"/>
    <row r="1786" ht="12.75" x14ac:dyDescent="0.2"/>
    <row r="1787" ht="12.75" x14ac:dyDescent="0.2"/>
    <row r="1788" ht="12.75" x14ac:dyDescent="0.2"/>
    <row r="1789" ht="12.75" x14ac:dyDescent="0.2"/>
    <row r="1790" ht="12.75" x14ac:dyDescent="0.2"/>
    <row r="1791" ht="12.75" x14ac:dyDescent="0.2"/>
    <row r="1792" ht="12.75" x14ac:dyDescent="0.2"/>
    <row r="1793" ht="12.75" x14ac:dyDescent="0.2"/>
    <row r="1794" ht="12.75" x14ac:dyDescent="0.2"/>
    <row r="1795" ht="12.75" x14ac:dyDescent="0.2"/>
    <row r="1796" ht="12.75" x14ac:dyDescent="0.2"/>
    <row r="1797" ht="12.75" x14ac:dyDescent="0.2"/>
    <row r="1798" ht="12.75" x14ac:dyDescent="0.2"/>
    <row r="1799" ht="12.75" x14ac:dyDescent="0.2"/>
    <row r="1800" ht="12.75" x14ac:dyDescent="0.2"/>
    <row r="1801" ht="12.75" x14ac:dyDescent="0.2"/>
    <row r="1802" ht="12.75" x14ac:dyDescent="0.2"/>
    <row r="1803" ht="12.75" x14ac:dyDescent="0.2"/>
    <row r="1804" ht="12.75" x14ac:dyDescent="0.2"/>
    <row r="1805" ht="12.75" x14ac:dyDescent="0.2"/>
    <row r="1806" ht="12.75" x14ac:dyDescent="0.2"/>
    <row r="1807" ht="12.75" x14ac:dyDescent="0.2"/>
    <row r="1808" ht="12.75" x14ac:dyDescent="0.2"/>
    <row r="1809" ht="12.75" x14ac:dyDescent="0.2"/>
    <row r="1810" ht="12.75" x14ac:dyDescent="0.2"/>
    <row r="1811" ht="12.75" x14ac:dyDescent="0.2"/>
    <row r="1812" ht="12.75" x14ac:dyDescent="0.2"/>
    <row r="1813" ht="12.75" x14ac:dyDescent="0.2"/>
    <row r="1814" ht="12.75" x14ac:dyDescent="0.2"/>
    <row r="1815" ht="12.75" x14ac:dyDescent="0.2"/>
    <row r="1816" ht="12.75" x14ac:dyDescent="0.2"/>
    <row r="1817" ht="12.75" x14ac:dyDescent="0.2"/>
    <row r="1818" ht="12.75" x14ac:dyDescent="0.2"/>
    <row r="1819" ht="12.75" x14ac:dyDescent="0.2"/>
    <row r="1820" ht="12.75" x14ac:dyDescent="0.2"/>
    <row r="1821" ht="12.75" x14ac:dyDescent="0.2"/>
    <row r="1822" ht="12.75" x14ac:dyDescent="0.2"/>
    <row r="1823" ht="12.75" x14ac:dyDescent="0.2"/>
    <row r="1824" ht="12.75" x14ac:dyDescent="0.2"/>
    <row r="1825" ht="12.75" x14ac:dyDescent="0.2"/>
    <row r="1826" ht="12.75" x14ac:dyDescent="0.2"/>
    <row r="1827" ht="12.75" x14ac:dyDescent="0.2"/>
    <row r="1828" ht="12.75" x14ac:dyDescent="0.2"/>
    <row r="1829" ht="12.75" x14ac:dyDescent="0.2"/>
    <row r="1830" ht="12.75" x14ac:dyDescent="0.2"/>
    <row r="1831" ht="12.75" x14ac:dyDescent="0.2"/>
    <row r="1832" ht="12.75" x14ac:dyDescent="0.2"/>
    <row r="1833" ht="12.75" x14ac:dyDescent="0.2"/>
    <row r="1834" ht="12.75" x14ac:dyDescent="0.2"/>
    <row r="1835" ht="12.75" x14ac:dyDescent="0.2"/>
    <row r="1836" ht="12.75" x14ac:dyDescent="0.2"/>
    <row r="1837" ht="12.75" x14ac:dyDescent="0.2"/>
    <row r="1838" ht="12.75" x14ac:dyDescent="0.2"/>
    <row r="1839" ht="12.75" x14ac:dyDescent="0.2"/>
    <row r="1840" ht="12.75" x14ac:dyDescent="0.2"/>
    <row r="1841" ht="12.75" x14ac:dyDescent="0.2"/>
    <row r="1842" ht="12.75" x14ac:dyDescent="0.2"/>
    <row r="1843" ht="12.75" x14ac:dyDescent="0.2"/>
    <row r="1844" ht="12.75" x14ac:dyDescent="0.2"/>
    <row r="1845" ht="12.75" x14ac:dyDescent="0.2"/>
    <row r="1846" ht="12.75" x14ac:dyDescent="0.2"/>
    <row r="1847" ht="12.75" x14ac:dyDescent="0.2"/>
    <row r="1848" ht="12.75" x14ac:dyDescent="0.2"/>
    <row r="1849" ht="12.75" x14ac:dyDescent="0.2"/>
    <row r="1850" ht="12.75" x14ac:dyDescent="0.2"/>
    <row r="1851" ht="12.75" x14ac:dyDescent="0.2"/>
    <row r="1852" ht="12.75" x14ac:dyDescent="0.2"/>
    <row r="1853" ht="12.75" x14ac:dyDescent="0.2"/>
    <row r="1854" ht="12.75" x14ac:dyDescent="0.2"/>
    <row r="1855" ht="12.75" x14ac:dyDescent="0.2"/>
    <row r="1856" ht="12.75" x14ac:dyDescent="0.2"/>
    <row r="1857" ht="12.75" x14ac:dyDescent="0.2"/>
    <row r="1858" ht="12.75" x14ac:dyDescent="0.2"/>
    <row r="1859" ht="12.75" x14ac:dyDescent="0.2"/>
    <row r="1860" ht="12.75" x14ac:dyDescent="0.2"/>
    <row r="1861" ht="12.75" x14ac:dyDescent="0.2"/>
    <row r="1862" ht="12.75" x14ac:dyDescent="0.2"/>
    <row r="1863" ht="12.75" x14ac:dyDescent="0.2"/>
    <row r="1864" ht="12.75" x14ac:dyDescent="0.2"/>
    <row r="1865" ht="12.75" x14ac:dyDescent="0.2"/>
    <row r="1866" ht="12.75" x14ac:dyDescent="0.2"/>
    <row r="1867" ht="12.75" x14ac:dyDescent="0.2"/>
    <row r="1868" ht="12.75" x14ac:dyDescent="0.2"/>
    <row r="1869" ht="12.75" x14ac:dyDescent="0.2"/>
    <row r="1870" ht="12.75" x14ac:dyDescent="0.2"/>
    <row r="1871" ht="12.75" x14ac:dyDescent="0.2"/>
    <row r="1872" ht="12.75" x14ac:dyDescent="0.2"/>
    <row r="1873" ht="12.75" x14ac:dyDescent="0.2"/>
    <row r="1874" ht="12.75" x14ac:dyDescent="0.2"/>
    <row r="1875" ht="12.75" x14ac:dyDescent="0.2"/>
    <row r="1876" ht="12.75" x14ac:dyDescent="0.2"/>
    <row r="1877" ht="12.75" x14ac:dyDescent="0.2"/>
    <row r="1878" ht="12.75" x14ac:dyDescent="0.2"/>
    <row r="1879" ht="12.75" x14ac:dyDescent="0.2"/>
    <row r="1880" ht="12.75" x14ac:dyDescent="0.2"/>
    <row r="1881" ht="12.75" x14ac:dyDescent="0.2"/>
    <row r="1882" ht="12.75" x14ac:dyDescent="0.2"/>
    <row r="1883" ht="12.75" x14ac:dyDescent="0.2"/>
    <row r="1884" ht="12.75" x14ac:dyDescent="0.2"/>
    <row r="1885" ht="12.75" x14ac:dyDescent="0.2"/>
    <row r="1886" ht="12.75" x14ac:dyDescent="0.2"/>
    <row r="1887" ht="12.75" x14ac:dyDescent="0.2"/>
    <row r="1888" ht="12.75" x14ac:dyDescent="0.2"/>
    <row r="1889" ht="12.75" x14ac:dyDescent="0.2"/>
    <row r="1890" ht="12.75" x14ac:dyDescent="0.2"/>
    <row r="1891" ht="12.75" x14ac:dyDescent="0.2"/>
    <row r="1892" ht="12.75" x14ac:dyDescent="0.2"/>
    <row r="1893" ht="12.75" x14ac:dyDescent="0.2"/>
    <row r="1894" ht="12.75" x14ac:dyDescent="0.2"/>
    <row r="1895" ht="12.75" x14ac:dyDescent="0.2"/>
    <row r="1896" ht="12.75" x14ac:dyDescent="0.2"/>
    <row r="1897" ht="12.75" x14ac:dyDescent="0.2"/>
    <row r="1898" ht="12.75" x14ac:dyDescent="0.2"/>
    <row r="1899" ht="12.75" x14ac:dyDescent="0.2"/>
    <row r="1900" ht="12.75" x14ac:dyDescent="0.2"/>
    <row r="1901" ht="12.75" x14ac:dyDescent="0.2"/>
    <row r="1902" ht="12.75" x14ac:dyDescent="0.2"/>
    <row r="1903" ht="12.75" x14ac:dyDescent="0.2"/>
    <row r="1904" ht="12.75" x14ac:dyDescent="0.2"/>
    <row r="1905" ht="12.75" x14ac:dyDescent="0.2"/>
    <row r="1906" ht="12.75" x14ac:dyDescent="0.2"/>
    <row r="1907" ht="12.75" x14ac:dyDescent="0.2"/>
    <row r="1908" ht="12.75" x14ac:dyDescent="0.2"/>
    <row r="1909" ht="12.75" x14ac:dyDescent="0.2"/>
    <row r="1910" ht="12.75" x14ac:dyDescent="0.2"/>
    <row r="1911" ht="12.75" x14ac:dyDescent="0.2"/>
    <row r="1912" ht="12.75" x14ac:dyDescent="0.2"/>
    <row r="1913" ht="12.75" x14ac:dyDescent="0.2"/>
    <row r="1914" ht="12.75" x14ac:dyDescent="0.2"/>
    <row r="1915" ht="12.75" x14ac:dyDescent="0.2"/>
    <row r="1916" ht="12.75" x14ac:dyDescent="0.2"/>
    <row r="1917" ht="12.75" x14ac:dyDescent="0.2"/>
    <row r="1918" ht="12.75" x14ac:dyDescent="0.2"/>
    <row r="1919" ht="12.75" x14ac:dyDescent="0.2"/>
    <row r="1920" ht="12.75" x14ac:dyDescent="0.2"/>
    <row r="1921" ht="12.75" x14ac:dyDescent="0.2"/>
    <row r="1922" ht="12.75" x14ac:dyDescent="0.2"/>
    <row r="1923" ht="12.75" x14ac:dyDescent="0.2"/>
    <row r="1924" ht="12.75" x14ac:dyDescent="0.2"/>
    <row r="1925" ht="12.75" x14ac:dyDescent="0.2"/>
    <row r="1926" ht="12.75" x14ac:dyDescent="0.2"/>
    <row r="1927" ht="12.75" x14ac:dyDescent="0.2"/>
    <row r="1928" ht="12.75" x14ac:dyDescent="0.2"/>
    <row r="1929" ht="12.75" x14ac:dyDescent="0.2"/>
    <row r="1930" ht="12.75" x14ac:dyDescent="0.2"/>
    <row r="1931" ht="12.75" x14ac:dyDescent="0.2"/>
    <row r="1932" ht="12.75" x14ac:dyDescent="0.2"/>
    <row r="1933" ht="12.75" x14ac:dyDescent="0.2"/>
    <row r="1934" ht="12.75" x14ac:dyDescent="0.2"/>
    <row r="1935" ht="12.75" x14ac:dyDescent="0.2"/>
    <row r="1936" ht="12.75" x14ac:dyDescent="0.2"/>
    <row r="1937" ht="12.75" x14ac:dyDescent="0.2"/>
    <row r="1938" ht="12.75" x14ac:dyDescent="0.2"/>
    <row r="1939" ht="12.75" x14ac:dyDescent="0.2"/>
    <row r="1940" ht="12.75" x14ac:dyDescent="0.2"/>
    <row r="1941" ht="12.75" x14ac:dyDescent="0.2"/>
    <row r="1942" ht="12.75" x14ac:dyDescent="0.2"/>
    <row r="1943" ht="12.75" x14ac:dyDescent="0.2"/>
    <row r="1944" ht="12.75" x14ac:dyDescent="0.2"/>
    <row r="1945" ht="12.75" x14ac:dyDescent="0.2"/>
    <row r="1946" ht="12.75" x14ac:dyDescent="0.2"/>
    <row r="1947" ht="12.75" x14ac:dyDescent="0.2"/>
    <row r="1948" ht="12.75" x14ac:dyDescent="0.2"/>
    <row r="1949" ht="12.75" x14ac:dyDescent="0.2"/>
    <row r="1950" ht="12.75" x14ac:dyDescent="0.2"/>
    <row r="1951" ht="12.75" x14ac:dyDescent="0.2"/>
    <row r="1952" ht="12.75" x14ac:dyDescent="0.2"/>
    <row r="1953" ht="12.75" x14ac:dyDescent="0.2"/>
    <row r="1954" ht="12.75" x14ac:dyDescent="0.2"/>
    <row r="1955" ht="12.75" x14ac:dyDescent="0.2"/>
    <row r="1956" ht="12.75" x14ac:dyDescent="0.2"/>
    <row r="1957" ht="12.75" x14ac:dyDescent="0.2"/>
    <row r="1958" ht="12.75" x14ac:dyDescent="0.2"/>
    <row r="1959" ht="12.75" x14ac:dyDescent="0.2"/>
    <row r="1960" ht="12.75" x14ac:dyDescent="0.2"/>
    <row r="1961" ht="12.75" x14ac:dyDescent="0.2"/>
    <row r="1962" ht="12.75" x14ac:dyDescent="0.2"/>
    <row r="1963" ht="12.75" x14ac:dyDescent="0.2"/>
    <row r="1964" ht="12.75" x14ac:dyDescent="0.2"/>
    <row r="1965" ht="12.75" x14ac:dyDescent="0.2"/>
    <row r="1966" ht="12.75" x14ac:dyDescent="0.2"/>
    <row r="1967" ht="12.75" x14ac:dyDescent="0.2"/>
    <row r="1968" ht="12.75" x14ac:dyDescent="0.2"/>
    <row r="1969" ht="12.75" x14ac:dyDescent="0.2"/>
    <row r="1970" ht="12.75" x14ac:dyDescent="0.2"/>
    <row r="1971" ht="12.75" x14ac:dyDescent="0.2"/>
    <row r="1972" ht="12.75" x14ac:dyDescent="0.2"/>
    <row r="1973" ht="12.75" x14ac:dyDescent="0.2"/>
    <row r="1974" ht="12.75" x14ac:dyDescent="0.2"/>
    <row r="1975" ht="12.75" x14ac:dyDescent="0.2"/>
    <row r="1976" ht="12.75" x14ac:dyDescent="0.2"/>
    <row r="1977" ht="12.75" x14ac:dyDescent="0.2"/>
    <row r="1978" ht="12.75" x14ac:dyDescent="0.2"/>
    <row r="1979" ht="12.75" x14ac:dyDescent="0.2"/>
    <row r="1980" ht="12.75" x14ac:dyDescent="0.2"/>
    <row r="1981" ht="12.75" x14ac:dyDescent="0.2"/>
    <row r="1982" ht="12.75" x14ac:dyDescent="0.2"/>
    <row r="1983" ht="12.75" x14ac:dyDescent="0.2"/>
    <row r="1984" ht="12.75" x14ac:dyDescent="0.2"/>
    <row r="1985" ht="12.75" x14ac:dyDescent="0.2"/>
    <row r="1986" ht="12.75" x14ac:dyDescent="0.2"/>
    <row r="1987" ht="12.75" x14ac:dyDescent="0.2"/>
    <row r="1988" ht="12.75" x14ac:dyDescent="0.2"/>
    <row r="1989" ht="12.75" x14ac:dyDescent="0.2"/>
    <row r="1990" ht="12.75" x14ac:dyDescent="0.2"/>
    <row r="1991" ht="12.75" x14ac:dyDescent="0.2"/>
    <row r="1992" ht="12.75" x14ac:dyDescent="0.2"/>
    <row r="1993" ht="12.75" x14ac:dyDescent="0.2"/>
    <row r="1994" ht="12.75" x14ac:dyDescent="0.2"/>
    <row r="1995" ht="12.75" x14ac:dyDescent="0.2"/>
    <row r="1996" ht="12.75" x14ac:dyDescent="0.2"/>
    <row r="1997" ht="12.75" x14ac:dyDescent="0.2"/>
    <row r="1998" ht="12.75" x14ac:dyDescent="0.2"/>
    <row r="1999" ht="12.75" x14ac:dyDescent="0.2"/>
    <row r="2000" ht="12.75" x14ac:dyDescent="0.2"/>
    <row r="2001" ht="12.75" x14ac:dyDescent="0.2"/>
    <row r="2002" ht="12.75" x14ac:dyDescent="0.2"/>
    <row r="2003" ht="12.75" x14ac:dyDescent="0.2"/>
    <row r="2004" ht="12.75" x14ac:dyDescent="0.2"/>
    <row r="2005" ht="12.75" x14ac:dyDescent="0.2"/>
    <row r="2006" ht="12.75" x14ac:dyDescent="0.2"/>
    <row r="2007" ht="12.75" x14ac:dyDescent="0.2"/>
    <row r="2008" ht="12.75" x14ac:dyDescent="0.2"/>
    <row r="2009" ht="12.75" x14ac:dyDescent="0.2"/>
    <row r="2010" ht="12.75" x14ac:dyDescent="0.2"/>
    <row r="2011" ht="12.75" x14ac:dyDescent="0.2"/>
    <row r="2012" ht="12.75" x14ac:dyDescent="0.2"/>
    <row r="2013" ht="12.75" x14ac:dyDescent="0.2"/>
    <row r="2014" ht="12.75" x14ac:dyDescent="0.2"/>
    <row r="2015" ht="12.75" x14ac:dyDescent="0.2"/>
    <row r="2016" ht="12.75" x14ac:dyDescent="0.2"/>
    <row r="2017" ht="12.75" x14ac:dyDescent="0.2"/>
    <row r="2018" ht="12.75" x14ac:dyDescent="0.2"/>
    <row r="2019" ht="12.75" x14ac:dyDescent="0.2"/>
    <row r="2020" ht="12.75" x14ac:dyDescent="0.2"/>
    <row r="2021" ht="12.75" x14ac:dyDescent="0.2"/>
    <row r="2022" ht="12.75" x14ac:dyDescent="0.2"/>
    <row r="2023" ht="12.75" x14ac:dyDescent="0.2"/>
    <row r="2024" ht="12.75" x14ac:dyDescent="0.2"/>
    <row r="2025" ht="12.75" x14ac:dyDescent="0.2"/>
    <row r="2026" ht="12.75" x14ac:dyDescent="0.2"/>
    <row r="2027" ht="12.75" x14ac:dyDescent="0.2"/>
    <row r="2028" ht="12.75" x14ac:dyDescent="0.2"/>
    <row r="2029" ht="12.75" x14ac:dyDescent="0.2"/>
    <row r="2030" ht="12.75" x14ac:dyDescent="0.2"/>
    <row r="2031" ht="12.75" x14ac:dyDescent="0.2"/>
    <row r="2032" ht="12.75" x14ac:dyDescent="0.2"/>
    <row r="2033" ht="12.75" x14ac:dyDescent="0.2"/>
    <row r="2034" ht="12.75" x14ac:dyDescent="0.2"/>
    <row r="2035" ht="12.75" x14ac:dyDescent="0.2"/>
    <row r="2036" ht="12.75" x14ac:dyDescent="0.2"/>
    <row r="2037" ht="12.75" x14ac:dyDescent="0.2"/>
    <row r="2038" ht="12.75" x14ac:dyDescent="0.2"/>
    <row r="2039" ht="12.75" x14ac:dyDescent="0.2"/>
    <row r="2040" ht="12.75" x14ac:dyDescent="0.2"/>
    <row r="2041" ht="12.75" x14ac:dyDescent="0.2"/>
    <row r="2042" ht="12.75" x14ac:dyDescent="0.2"/>
    <row r="2043" ht="12.75" x14ac:dyDescent="0.2"/>
    <row r="2044" ht="12.75" x14ac:dyDescent="0.2"/>
    <row r="2045" ht="12.75" x14ac:dyDescent="0.2"/>
    <row r="2046" ht="12.75" x14ac:dyDescent="0.2"/>
    <row r="2047" ht="12.75" x14ac:dyDescent="0.2"/>
    <row r="2048" ht="12.75" x14ac:dyDescent="0.2"/>
    <row r="2049" ht="12.75" x14ac:dyDescent="0.2"/>
    <row r="2050" ht="12.75" x14ac:dyDescent="0.2"/>
    <row r="2051" ht="12.75" x14ac:dyDescent="0.2"/>
    <row r="2052" ht="12.75" x14ac:dyDescent="0.2"/>
    <row r="2053" ht="12.75" x14ac:dyDescent="0.2"/>
    <row r="2054" ht="12.75" x14ac:dyDescent="0.2"/>
    <row r="2055" ht="12.75" x14ac:dyDescent="0.2"/>
    <row r="2056" ht="12.75" x14ac:dyDescent="0.2"/>
    <row r="2057" ht="12.75" x14ac:dyDescent="0.2"/>
    <row r="2058" ht="12.75" x14ac:dyDescent="0.2"/>
    <row r="2059" ht="12.75" x14ac:dyDescent="0.2"/>
    <row r="2060" ht="12.75" x14ac:dyDescent="0.2"/>
    <row r="2061" ht="12.75" x14ac:dyDescent="0.2"/>
    <row r="2062" ht="12.75" x14ac:dyDescent="0.2"/>
    <row r="2063" ht="12.75" x14ac:dyDescent="0.2"/>
    <row r="2064" ht="12.75" x14ac:dyDescent="0.2"/>
    <row r="2065" ht="12.75" x14ac:dyDescent="0.2"/>
    <row r="2066" ht="12.75" x14ac:dyDescent="0.2"/>
    <row r="2067" ht="12.75" x14ac:dyDescent="0.2"/>
    <row r="2068" ht="12.75" x14ac:dyDescent="0.2"/>
    <row r="2069" ht="12.75" x14ac:dyDescent="0.2"/>
    <row r="2070" ht="12.75" x14ac:dyDescent="0.2"/>
    <row r="2071" ht="12.75" x14ac:dyDescent="0.2"/>
    <row r="2072" ht="12.75" x14ac:dyDescent="0.2"/>
    <row r="2073" ht="12.75" x14ac:dyDescent="0.2"/>
    <row r="2074" ht="12.75" x14ac:dyDescent="0.2"/>
    <row r="2075" ht="12.75" x14ac:dyDescent="0.2"/>
    <row r="2076" ht="12.75" x14ac:dyDescent="0.2"/>
    <row r="2077" ht="12.75" x14ac:dyDescent="0.2"/>
    <row r="2078" ht="12.75" x14ac:dyDescent="0.2"/>
    <row r="2079" ht="12.75" x14ac:dyDescent="0.2"/>
    <row r="2080" ht="12.75" x14ac:dyDescent="0.2"/>
    <row r="2081" ht="12.75" x14ac:dyDescent="0.2"/>
    <row r="2082" ht="12.75" x14ac:dyDescent="0.2"/>
    <row r="2083" ht="12.75" x14ac:dyDescent="0.2"/>
    <row r="2084" ht="12.75" x14ac:dyDescent="0.2"/>
    <row r="2085" ht="12.75" x14ac:dyDescent="0.2"/>
    <row r="2086" ht="12.75" x14ac:dyDescent="0.2"/>
    <row r="2087" ht="12.75" x14ac:dyDescent="0.2"/>
    <row r="2088" ht="12.75" x14ac:dyDescent="0.2"/>
    <row r="2089" ht="12.75" x14ac:dyDescent="0.2"/>
    <row r="2090" ht="12.75" x14ac:dyDescent="0.2"/>
    <row r="2091" ht="12.75" x14ac:dyDescent="0.2"/>
    <row r="2092" ht="12.75" x14ac:dyDescent="0.2"/>
    <row r="2093" ht="12.75" x14ac:dyDescent="0.2"/>
    <row r="2094" ht="12.75" x14ac:dyDescent="0.2"/>
    <row r="2095" ht="12.75" x14ac:dyDescent="0.2"/>
    <row r="2096" ht="12.75" x14ac:dyDescent="0.2"/>
    <row r="2097" ht="12.75" x14ac:dyDescent="0.2"/>
    <row r="2098" ht="12.75" x14ac:dyDescent="0.2"/>
    <row r="2099" ht="12.75" x14ac:dyDescent="0.2"/>
    <row r="2100" ht="12.75" x14ac:dyDescent="0.2"/>
    <row r="2101" ht="12.75" x14ac:dyDescent="0.2"/>
    <row r="2102" ht="12.75" x14ac:dyDescent="0.2"/>
    <row r="2103" ht="12.75" x14ac:dyDescent="0.2"/>
    <row r="2104" ht="12.75" x14ac:dyDescent="0.2"/>
    <row r="2105" ht="12.75" x14ac:dyDescent="0.2"/>
    <row r="2106" ht="12.75" x14ac:dyDescent="0.2"/>
    <row r="2107" ht="12.75" x14ac:dyDescent="0.2"/>
    <row r="2108" ht="12.75" x14ac:dyDescent="0.2"/>
    <row r="2109" ht="12.75" x14ac:dyDescent="0.2"/>
    <row r="2110" ht="12.75" x14ac:dyDescent="0.2"/>
    <row r="2111" ht="12.75" x14ac:dyDescent="0.2"/>
    <row r="2112" ht="12.75" x14ac:dyDescent="0.2"/>
    <row r="2113" ht="12.75" x14ac:dyDescent="0.2"/>
    <row r="2114" ht="12.75" x14ac:dyDescent="0.2"/>
    <row r="2115" ht="12.75" x14ac:dyDescent="0.2"/>
    <row r="2116" ht="12.75" x14ac:dyDescent="0.2"/>
    <row r="2117" ht="12.75" x14ac:dyDescent="0.2"/>
    <row r="2118" ht="12.75" x14ac:dyDescent="0.2"/>
    <row r="2119" ht="12.75" x14ac:dyDescent="0.2"/>
    <row r="2120" ht="12.75" x14ac:dyDescent="0.2"/>
    <row r="2121" ht="12.75" x14ac:dyDescent="0.2"/>
    <row r="2122" ht="12.75" x14ac:dyDescent="0.2"/>
    <row r="2123" ht="12.75" x14ac:dyDescent="0.2"/>
    <row r="2124" ht="12.75" x14ac:dyDescent="0.2"/>
    <row r="2125" ht="12.75" x14ac:dyDescent="0.2"/>
    <row r="2126" ht="12.75" x14ac:dyDescent="0.2"/>
    <row r="2127" ht="12.75" x14ac:dyDescent="0.2"/>
    <row r="2128" ht="12.75" x14ac:dyDescent="0.2"/>
    <row r="2129" ht="12.75" x14ac:dyDescent="0.2"/>
    <row r="2130" ht="12.75" x14ac:dyDescent="0.2"/>
    <row r="2131" ht="12.75" x14ac:dyDescent="0.2"/>
    <row r="2132" ht="12.75" x14ac:dyDescent="0.2"/>
    <row r="2133" ht="12.75" x14ac:dyDescent="0.2"/>
    <row r="2134" ht="12.75" x14ac:dyDescent="0.2"/>
    <row r="2135" ht="12.75" x14ac:dyDescent="0.2"/>
    <row r="2136" ht="12.75" x14ac:dyDescent="0.2"/>
    <row r="2137" ht="12.75" x14ac:dyDescent="0.2"/>
    <row r="2138" ht="12.75" x14ac:dyDescent="0.2"/>
    <row r="2139" ht="12.75" x14ac:dyDescent="0.2"/>
    <row r="2140" ht="12.75" x14ac:dyDescent="0.2"/>
    <row r="2141" ht="12.75" x14ac:dyDescent="0.2"/>
    <row r="2142" ht="12.75" x14ac:dyDescent="0.2"/>
    <row r="2143" ht="12.75" x14ac:dyDescent="0.2"/>
    <row r="2144" ht="12.75" x14ac:dyDescent="0.2"/>
    <row r="2145" ht="12.75" x14ac:dyDescent="0.2"/>
    <row r="2146" ht="12.75" x14ac:dyDescent="0.2"/>
    <row r="2147" ht="12.75" x14ac:dyDescent="0.2"/>
    <row r="2148" ht="12.75" x14ac:dyDescent="0.2"/>
    <row r="2149" ht="12.75" x14ac:dyDescent="0.2"/>
    <row r="2150" ht="12.75" x14ac:dyDescent="0.2"/>
    <row r="2151" ht="12.75" x14ac:dyDescent="0.2"/>
    <row r="2152" ht="12.75" x14ac:dyDescent="0.2"/>
    <row r="2153" ht="12.75" x14ac:dyDescent="0.2"/>
    <row r="2154" ht="12.75" x14ac:dyDescent="0.2"/>
    <row r="2155" ht="12.75" x14ac:dyDescent="0.2"/>
    <row r="2156" ht="12.75" x14ac:dyDescent="0.2"/>
    <row r="2157" ht="12.75" x14ac:dyDescent="0.2"/>
    <row r="2158" ht="12.75" x14ac:dyDescent="0.2"/>
    <row r="2159" ht="12.75" x14ac:dyDescent="0.2"/>
    <row r="2160" ht="12.75" x14ac:dyDescent="0.2"/>
    <row r="2161" ht="12.75" x14ac:dyDescent="0.2"/>
    <row r="2162" ht="12.75" x14ac:dyDescent="0.2"/>
    <row r="2163" ht="12.75" x14ac:dyDescent="0.2"/>
    <row r="2164" ht="12.75" x14ac:dyDescent="0.2"/>
    <row r="2165" ht="12.75" x14ac:dyDescent="0.2"/>
    <row r="2166" ht="12.75" x14ac:dyDescent="0.2"/>
    <row r="2167" ht="12.75" x14ac:dyDescent="0.2"/>
    <row r="2168" ht="12.75" x14ac:dyDescent="0.2"/>
    <row r="2169" ht="12.75" x14ac:dyDescent="0.2"/>
    <row r="2170" ht="12.75" x14ac:dyDescent="0.2"/>
    <row r="2171" ht="12.75" x14ac:dyDescent="0.2"/>
    <row r="2172" ht="12.75" x14ac:dyDescent="0.2"/>
    <row r="2173" ht="12.75" x14ac:dyDescent="0.2"/>
    <row r="2174" ht="12.75" x14ac:dyDescent="0.2"/>
    <row r="2175" ht="12.75" x14ac:dyDescent="0.2"/>
    <row r="2176" ht="12.75" x14ac:dyDescent="0.2"/>
    <row r="2177" ht="12.75" x14ac:dyDescent="0.2"/>
    <row r="2178" ht="12.75" x14ac:dyDescent="0.2"/>
    <row r="2179" ht="12.75" x14ac:dyDescent="0.2"/>
    <row r="2180" ht="12.75" x14ac:dyDescent="0.2"/>
    <row r="2181" ht="12.75" x14ac:dyDescent="0.2"/>
    <row r="2182" ht="12.75" x14ac:dyDescent="0.2"/>
    <row r="2183" ht="12.75" x14ac:dyDescent="0.2"/>
    <row r="2184" ht="12.75" x14ac:dyDescent="0.2"/>
    <row r="2185" ht="12.75" x14ac:dyDescent="0.2"/>
    <row r="2186" ht="12.75" x14ac:dyDescent="0.2"/>
    <row r="2187" ht="12.75" x14ac:dyDescent="0.2"/>
    <row r="2188" ht="12.75" x14ac:dyDescent="0.2"/>
    <row r="2189" ht="12.75" x14ac:dyDescent="0.2"/>
    <row r="2190" ht="12.75" x14ac:dyDescent="0.2"/>
    <row r="2191" ht="12.75" x14ac:dyDescent="0.2"/>
    <row r="2192" ht="12.75" x14ac:dyDescent="0.2"/>
    <row r="2193" ht="12.75" x14ac:dyDescent="0.2"/>
    <row r="2194" ht="12.75" x14ac:dyDescent="0.2"/>
    <row r="2195" ht="12.75" x14ac:dyDescent="0.2"/>
    <row r="2196" ht="12.75" x14ac:dyDescent="0.2"/>
    <row r="2197" ht="12.75" x14ac:dyDescent="0.2"/>
    <row r="2198" ht="12.75" x14ac:dyDescent="0.2"/>
    <row r="2199" ht="12.75" x14ac:dyDescent="0.2"/>
    <row r="2200" ht="12.75" x14ac:dyDescent="0.2"/>
    <row r="2201" ht="12.75" x14ac:dyDescent="0.2"/>
    <row r="2202" ht="12.75" x14ac:dyDescent="0.2"/>
    <row r="2203" ht="12.75" x14ac:dyDescent="0.2"/>
    <row r="2204" ht="12.75" x14ac:dyDescent="0.2"/>
    <row r="2205" ht="12.75" x14ac:dyDescent="0.2"/>
    <row r="2206" ht="12.75" x14ac:dyDescent="0.2"/>
    <row r="2207" ht="12.75" x14ac:dyDescent="0.2"/>
    <row r="2208" ht="12.75" x14ac:dyDescent="0.2"/>
    <row r="2209" ht="12.75" x14ac:dyDescent="0.2"/>
    <row r="2210" ht="12.75" x14ac:dyDescent="0.2"/>
    <row r="2211" ht="12.75" x14ac:dyDescent="0.2"/>
    <row r="2212" ht="12.75" x14ac:dyDescent="0.2"/>
    <row r="2213" ht="12.75" x14ac:dyDescent="0.2"/>
    <row r="2214" ht="12.75" x14ac:dyDescent="0.2"/>
    <row r="2215" ht="12.75" x14ac:dyDescent="0.2"/>
    <row r="2216" ht="12.75" x14ac:dyDescent="0.2"/>
    <row r="2217" ht="12.75" x14ac:dyDescent="0.2"/>
    <row r="2218" ht="12.75" x14ac:dyDescent="0.2"/>
    <row r="2219" ht="12.75" x14ac:dyDescent="0.2"/>
    <row r="2220" ht="12.75" x14ac:dyDescent="0.2"/>
    <row r="2221" ht="12.75" x14ac:dyDescent="0.2"/>
    <row r="2222" ht="12.75" x14ac:dyDescent="0.2"/>
    <row r="2223" ht="12.75" x14ac:dyDescent="0.2"/>
    <row r="2224" ht="12.75" x14ac:dyDescent="0.2"/>
    <row r="2225" ht="12.75" x14ac:dyDescent="0.2"/>
    <row r="2226" ht="12.75" x14ac:dyDescent="0.2"/>
    <row r="2227" ht="12.75" x14ac:dyDescent="0.2"/>
    <row r="2228" ht="12.75" x14ac:dyDescent="0.2"/>
    <row r="2229" ht="12.75" x14ac:dyDescent="0.2"/>
    <row r="2230" ht="12.75" x14ac:dyDescent="0.2"/>
    <row r="2231" ht="12.75" x14ac:dyDescent="0.2"/>
    <row r="2232" ht="12.75" x14ac:dyDescent="0.2"/>
    <row r="2233" ht="12.75" x14ac:dyDescent="0.2"/>
    <row r="2234" ht="12.75" x14ac:dyDescent="0.2"/>
    <row r="2235" ht="12.75" x14ac:dyDescent="0.2"/>
    <row r="2236" ht="12.75" x14ac:dyDescent="0.2"/>
    <row r="2237" ht="12.75" x14ac:dyDescent="0.2"/>
    <row r="2238" ht="12.75" x14ac:dyDescent="0.2"/>
    <row r="2239" ht="12.75" x14ac:dyDescent="0.2"/>
    <row r="2240" ht="12.75" x14ac:dyDescent="0.2"/>
    <row r="2241" ht="12.75" x14ac:dyDescent="0.2"/>
    <row r="2242" ht="12.75" x14ac:dyDescent="0.2"/>
    <row r="2243" ht="12.75" x14ac:dyDescent="0.2"/>
    <row r="2244" ht="12.75" x14ac:dyDescent="0.2"/>
    <row r="2245" ht="12.75" x14ac:dyDescent="0.2"/>
    <row r="2246" ht="12.75" x14ac:dyDescent="0.2"/>
    <row r="2247" ht="12.75" x14ac:dyDescent="0.2"/>
    <row r="2248" ht="12.75" x14ac:dyDescent="0.2"/>
    <row r="2249" ht="12.75" x14ac:dyDescent="0.2"/>
    <row r="2250" ht="12.75" x14ac:dyDescent="0.2"/>
    <row r="2251" ht="12.75" x14ac:dyDescent="0.2"/>
    <row r="2252" ht="12.75" x14ac:dyDescent="0.2"/>
    <row r="2253" ht="12.75" x14ac:dyDescent="0.2"/>
    <row r="2254" ht="12.75" x14ac:dyDescent="0.2"/>
    <row r="2255" ht="12.75" x14ac:dyDescent="0.2"/>
    <row r="2256" ht="12.75" x14ac:dyDescent="0.2"/>
    <row r="2257" ht="12.75" x14ac:dyDescent="0.2"/>
    <row r="2258" ht="12.75" x14ac:dyDescent="0.2"/>
    <row r="2259" ht="12.75" x14ac:dyDescent="0.2"/>
    <row r="2260" ht="12.75" x14ac:dyDescent="0.2"/>
    <row r="2261" ht="12.75" x14ac:dyDescent="0.2"/>
    <row r="2262" ht="12.75" x14ac:dyDescent="0.2"/>
    <row r="2263" ht="12.75" x14ac:dyDescent="0.2"/>
    <row r="2264" ht="12.75" x14ac:dyDescent="0.2"/>
    <row r="2265" ht="12.75" x14ac:dyDescent="0.2"/>
    <row r="2266" ht="12.75" x14ac:dyDescent="0.2"/>
    <row r="2267" ht="12.75" x14ac:dyDescent="0.2"/>
    <row r="2268" ht="12.75" x14ac:dyDescent="0.2"/>
    <row r="2269" ht="12.75" x14ac:dyDescent="0.2"/>
    <row r="2270" ht="12.75" x14ac:dyDescent="0.2"/>
    <row r="2271" ht="12.75" x14ac:dyDescent="0.2"/>
    <row r="2272" ht="12.75" x14ac:dyDescent="0.2"/>
    <row r="2273" ht="12.75" x14ac:dyDescent="0.2"/>
    <row r="2274" ht="12.75" x14ac:dyDescent="0.2"/>
    <row r="2275" ht="12.75" x14ac:dyDescent="0.2"/>
    <row r="2276" ht="12.75" x14ac:dyDescent="0.2"/>
    <row r="2277" ht="12.75" x14ac:dyDescent="0.2"/>
    <row r="2278" ht="12.75" x14ac:dyDescent="0.2"/>
    <row r="2279" ht="12.75" x14ac:dyDescent="0.2"/>
    <row r="2280" ht="12.75" x14ac:dyDescent="0.2"/>
    <row r="2281" ht="12.75" x14ac:dyDescent="0.2"/>
    <row r="2282" ht="12.75" x14ac:dyDescent="0.2"/>
    <row r="2283" ht="12.75" x14ac:dyDescent="0.2"/>
    <row r="2284" ht="12.75" x14ac:dyDescent="0.2"/>
    <row r="2285" ht="12.75" x14ac:dyDescent="0.2"/>
    <row r="2286" ht="12.75" x14ac:dyDescent="0.2"/>
    <row r="2287" ht="12.75" x14ac:dyDescent="0.2"/>
    <row r="2288" ht="12.75" x14ac:dyDescent="0.2"/>
    <row r="2289" ht="12.75" x14ac:dyDescent="0.2"/>
    <row r="2290" ht="12.75" x14ac:dyDescent="0.2"/>
    <row r="2291" ht="12.75" x14ac:dyDescent="0.2"/>
    <row r="2292" ht="12.75" x14ac:dyDescent="0.2"/>
    <row r="2293" ht="12.75" x14ac:dyDescent="0.2"/>
    <row r="2294" ht="12.75" x14ac:dyDescent="0.2"/>
    <row r="2295" ht="12.75" x14ac:dyDescent="0.2"/>
    <row r="2296" ht="12.75" x14ac:dyDescent="0.2"/>
    <row r="2297" ht="12.75" x14ac:dyDescent="0.2"/>
    <row r="2298" ht="12.75" x14ac:dyDescent="0.2"/>
    <row r="2299" ht="12.75" x14ac:dyDescent="0.2"/>
    <row r="2300" ht="12.75" x14ac:dyDescent="0.2"/>
    <row r="2301" ht="12.75" x14ac:dyDescent="0.2"/>
    <row r="2302" ht="12.75" x14ac:dyDescent="0.2"/>
    <row r="2303" ht="12.75" x14ac:dyDescent="0.2"/>
    <row r="2304" ht="12.75" x14ac:dyDescent="0.2"/>
    <row r="2305" ht="12.75" x14ac:dyDescent="0.2"/>
    <row r="2306" ht="12.75" x14ac:dyDescent="0.2"/>
    <row r="2307" ht="12.75" x14ac:dyDescent="0.2"/>
    <row r="2308" ht="12.75" x14ac:dyDescent="0.2"/>
    <row r="2309" ht="12.75" x14ac:dyDescent="0.2"/>
    <row r="2310" ht="12.75" x14ac:dyDescent="0.2"/>
    <row r="2311" ht="12.75" x14ac:dyDescent="0.2"/>
    <row r="2312" ht="12.75" x14ac:dyDescent="0.2"/>
    <row r="2313" ht="12.75" x14ac:dyDescent="0.2"/>
  </sheetData>
  <mergeCells count="1">
    <mergeCell ref="M63:Q63"/>
  </mergeCells>
  <printOptions horizontalCentered="1"/>
  <pageMargins left="0.75" right="0.75" top="0.75" bottom="1" header="0.5" footer="0.5"/>
  <pageSetup scale="10" fitToHeight="15" orientation="landscape" r:id="rId1"/>
  <headerFooter alignWithMargins="0">
    <oddFooter>&amp;C&amp;P of &amp;N</oddFooter>
  </headerFooter>
  <customProperties>
    <customPr name="_pios_id" r:id="rId2"/>
  </customProperties>
  <drawing r:id="rId3"/>
  <legacyDrawing r:id="rId4"/>
  <oleObjects>
    <mc:AlternateContent xmlns:mc="http://schemas.openxmlformats.org/markup-compatibility/2006">
      <mc:Choice Requires="x14">
        <oleObject progId="StaticMetafile" shapeId="122881" r:id="rId5">
          <objectPr defaultSize="0" autoPict="0" r:id="rId6">
            <anchor moveWithCells="1" sizeWithCells="1">
              <from>
                <xdr:col>0</xdr:col>
                <xdr:colOff>38100</xdr:colOff>
                <xdr:row>2</xdr:row>
                <xdr:rowOff>95250</xdr:rowOff>
              </from>
              <to>
                <xdr:col>1</xdr:col>
                <xdr:colOff>1905000</xdr:colOff>
                <xdr:row>3</xdr:row>
                <xdr:rowOff>66675</xdr:rowOff>
              </to>
            </anchor>
          </objectPr>
        </oleObject>
      </mc:Choice>
      <mc:Fallback>
        <oleObject progId="StaticMetafile" shapeId="122881" r:id="rId5"/>
      </mc:Fallback>
    </mc:AlternateContent>
  </oleObjects>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90FC8F-0AB6-4152-9DA8-C1BD3C415555}">
  <sheetPr codeName="Sheet25">
    <tabColor rgb="FF00B0F0"/>
    <pageSetUpPr fitToPage="1"/>
  </sheetPr>
  <dimension ref="A1:EF607"/>
  <sheetViews>
    <sheetView topLeftCell="C1" zoomScale="80" zoomScaleNormal="80" zoomScaleSheetLayoutView="100" workbookViewId="0">
      <pane ySplit="36" topLeftCell="A577" activePane="bottomLeft" state="frozen"/>
      <selection activeCell="R63" sqref="R63"/>
      <selection pane="bottomLeft" activeCell="R63" sqref="R63"/>
    </sheetView>
  </sheetViews>
  <sheetFormatPr defaultColWidth="7.625" defaultRowHeight="12.75" outlineLevelRow="3" x14ac:dyDescent="0.2"/>
  <cols>
    <col min="1" max="1" width="13.25" style="1953" customWidth="1"/>
    <col min="2" max="2" width="19.125" style="1953" customWidth="1"/>
    <col min="3" max="3" width="17" style="1953" customWidth="1"/>
    <col min="4" max="4" width="39.875" style="1953" bestFit="1" customWidth="1"/>
    <col min="5" max="5" width="6.375" style="1953" bestFit="1" customWidth="1"/>
    <col min="6" max="6" width="11.375" style="1953" bestFit="1" customWidth="1"/>
    <col min="7" max="9" width="10.375" style="1953" bestFit="1" customWidth="1"/>
    <col min="10" max="10" width="3.5" style="1953" customWidth="1"/>
    <col min="11" max="11" width="4.25" style="1953" customWidth="1"/>
    <col min="12" max="12" width="7.75" style="1953" bestFit="1" customWidth="1"/>
    <col min="13" max="16" width="6.875" style="1953" bestFit="1" customWidth="1"/>
    <col min="17" max="17" width="6.375" style="1953" customWidth="1"/>
    <col min="18" max="18" width="7.875" style="1953" customWidth="1"/>
    <col min="19" max="19" width="9" style="1953" bestFit="1" customWidth="1"/>
    <col min="20" max="20" width="9.25" style="1953" customWidth="1"/>
    <col min="21" max="21" width="12.625" style="1953" bestFit="1" customWidth="1"/>
    <col min="22" max="22" width="11.5" style="1953" bestFit="1" customWidth="1"/>
    <col min="23" max="23" width="10.125" style="1953" bestFit="1" customWidth="1"/>
    <col min="24" max="24" width="8.375" style="1953" customWidth="1"/>
    <col min="25" max="25" width="19.625" style="1953" customWidth="1"/>
    <col min="26" max="26" width="8.375" style="1953" customWidth="1"/>
    <col min="27" max="27" width="19.625" style="1953" customWidth="1"/>
    <col min="28" max="28" width="8.375" style="1953" customWidth="1"/>
    <col min="29" max="29" width="19.625" style="1953" customWidth="1"/>
    <col min="30" max="30" width="8.375" style="1953" customWidth="1"/>
    <col min="31" max="31" width="19.625" style="1953" customWidth="1"/>
    <col min="32" max="32" width="8.375" style="1953" customWidth="1"/>
    <col min="33" max="33" width="13.5" style="1953" customWidth="1"/>
    <col min="34" max="34" width="19.875" style="1953" customWidth="1"/>
    <col min="35" max="35" width="5.75" style="1953" customWidth="1"/>
    <col min="36" max="36" width="25.75" style="1953" customWidth="1"/>
    <col min="37" max="40" width="19.875" style="1953" customWidth="1"/>
    <col min="41" max="41" width="5.75" style="1953" customWidth="1"/>
    <col min="42" max="42" width="19.625" style="1953" customWidth="1"/>
    <col min="43" max="43" width="13" style="1953" customWidth="1"/>
    <col min="44" max="44" width="19.75" style="1953" customWidth="1"/>
    <col min="45" max="45" width="25.75" style="1953" customWidth="1"/>
    <col min="46" max="46" width="13" style="1953" customWidth="1"/>
    <col min="47" max="47" width="25.75" style="1953" customWidth="1"/>
    <col min="48" max="48" width="13" style="1953" customWidth="1"/>
    <col min="49" max="49" width="5.75" style="1953" customWidth="1"/>
    <col min="50" max="50" width="13" style="1953" customWidth="1"/>
    <col min="51" max="51" width="5.75" style="1953" customWidth="1"/>
    <col min="52" max="52" width="19.625" style="1953" customWidth="1"/>
    <col min="53" max="53" width="13" style="1953" customWidth="1"/>
    <col min="54" max="54" width="5.5" style="1953" customWidth="1"/>
    <col min="55" max="55" width="19.625" style="1953" customWidth="1"/>
    <col min="56" max="56" width="19.375" style="1953" customWidth="1"/>
    <col min="57" max="57" width="9.375" style="1953" customWidth="1"/>
    <col min="58" max="58" width="5.5" style="1953" customWidth="1"/>
    <col min="59" max="59" width="4.25" style="1953" customWidth="1"/>
    <col min="60" max="60" width="9.375" style="1953" customWidth="1"/>
    <col min="61" max="61" width="10.375" style="1953" customWidth="1"/>
    <col min="62" max="63" width="9.375" style="1953" customWidth="1"/>
    <col min="64" max="64" width="8.375" style="1953" customWidth="1"/>
    <col min="65" max="65" width="4.875" style="1953" customWidth="1"/>
    <col min="66" max="66" width="4" style="1953" customWidth="1"/>
    <col min="67" max="67" width="5.25" style="1953" customWidth="1"/>
    <col min="68" max="68" width="4.625" style="1953" customWidth="1"/>
    <col min="69" max="69" width="5.25" style="1953" customWidth="1"/>
    <col min="70" max="70" width="4.625" style="1953" customWidth="1"/>
    <col min="71" max="71" width="5.25" style="1953" customWidth="1"/>
    <col min="72" max="72" width="4.625" style="1953" customWidth="1"/>
    <col min="73" max="73" width="5.25" style="1953" customWidth="1"/>
    <col min="74" max="74" width="4.625" style="1953" customWidth="1"/>
    <col min="75" max="75" width="5.25" style="1953" customWidth="1"/>
    <col min="76" max="76" width="4.625" style="1953" customWidth="1"/>
    <col min="77" max="77" width="5.25" style="1953" customWidth="1"/>
    <col min="78" max="78" width="4.625" style="1953" customWidth="1"/>
    <col min="79" max="79" width="5.25" style="1953" customWidth="1"/>
    <col min="80" max="80" width="4.625" style="1953" customWidth="1"/>
    <col min="81" max="81" width="5.25" style="1953" customWidth="1"/>
    <col min="82" max="82" width="4.625" style="1953" customWidth="1"/>
    <col min="83" max="83" width="5.25" style="1953" customWidth="1"/>
    <col min="84" max="84" width="4.625" style="1953" customWidth="1"/>
    <col min="85" max="85" width="5.25" style="1953" customWidth="1"/>
    <col min="86" max="86" width="4.625" style="1953" customWidth="1"/>
    <col min="87" max="87" width="5.25" style="1953" customWidth="1"/>
    <col min="88" max="88" width="4.625" style="1953" customWidth="1"/>
    <col min="89" max="89" width="5.25" style="1953" customWidth="1"/>
    <col min="90" max="90" width="4.625" style="1953" customWidth="1"/>
    <col min="91" max="91" width="5.25" style="1953" customWidth="1"/>
    <col min="92" max="92" width="4.625" style="1953" customWidth="1"/>
    <col min="93" max="93" width="5.25" style="1953" customWidth="1"/>
    <col min="94" max="94" width="4.625" style="1953" customWidth="1"/>
    <col min="95" max="95" width="5.25" style="1953" customWidth="1"/>
    <col min="96" max="96" width="4.625" style="1953" customWidth="1"/>
    <col min="97" max="97" width="5.25" style="1953" customWidth="1"/>
    <col min="98" max="98" width="4.625" style="1953" customWidth="1"/>
    <col min="99" max="99" width="5.25" style="1953" customWidth="1"/>
    <col min="100" max="100" width="4.625" style="1953" customWidth="1"/>
    <col min="101" max="101" width="5.25" style="1953" customWidth="1"/>
    <col min="102" max="102" width="4.625" style="1953" customWidth="1"/>
    <col min="103" max="103" width="5.25" style="1953" customWidth="1"/>
    <col min="104" max="104" width="4.625" style="1953" customWidth="1"/>
    <col min="105" max="105" width="5.25" style="1953" customWidth="1"/>
    <col min="106" max="106" width="4.625" style="1953" customWidth="1"/>
    <col min="107" max="107" width="5.25" style="1953" customWidth="1"/>
    <col min="108" max="108" width="4.625" style="1953" customWidth="1"/>
    <col min="109" max="109" width="5.25" style="1953" customWidth="1"/>
    <col min="110" max="110" width="4.625" style="1953" customWidth="1"/>
    <col min="111" max="111" width="5.25" style="1953" customWidth="1"/>
    <col min="112" max="112" width="4.625" style="1953" customWidth="1"/>
    <col min="113" max="113" width="5.25" style="1953" customWidth="1"/>
    <col min="114" max="114" width="4.625" style="1953" customWidth="1"/>
    <col min="115" max="115" width="5.25" style="1953" customWidth="1"/>
    <col min="116" max="116" width="4.625" style="1953" customWidth="1"/>
    <col min="117" max="117" width="5.25" style="1953" customWidth="1"/>
    <col min="118" max="118" width="4.625" style="1953" customWidth="1"/>
    <col min="119" max="119" width="5.25" style="1953" customWidth="1"/>
    <col min="120" max="120" width="4.625" style="1953" customWidth="1"/>
    <col min="121" max="121" width="7.125" style="1953" customWidth="1"/>
    <col min="122" max="122" width="6" style="1953" customWidth="1"/>
    <col min="123" max="123" width="5.25" style="1953" customWidth="1"/>
    <col min="124" max="124" width="4.625" style="1953" customWidth="1"/>
    <col min="125" max="125" width="5.25" style="1953" customWidth="1"/>
    <col min="126" max="126" width="4.625" style="1953" customWidth="1"/>
    <col min="127" max="127" width="5.25" style="1953" customWidth="1"/>
    <col min="128" max="128" width="4.625" style="1953" customWidth="1"/>
    <col min="129" max="129" width="5.25" style="1953" customWidth="1"/>
    <col min="130" max="130" width="4.625" style="1953" customWidth="1"/>
    <col min="131" max="131" width="5.25" style="1953" customWidth="1"/>
    <col min="132" max="132" width="4.625" style="1953" customWidth="1"/>
    <col min="133" max="133" width="5.25" style="1953" customWidth="1"/>
    <col min="134" max="134" width="4.625" style="1953" customWidth="1"/>
    <col min="135" max="135" width="5.25" style="1953" customWidth="1"/>
    <col min="136" max="136" width="4.625" style="1953" customWidth="1"/>
    <col min="137" max="16384" width="7.625" style="1953"/>
  </cols>
  <sheetData>
    <row r="1" spans="1:135" s="1946" customFormat="1" ht="39.950000000000003" customHeight="1" x14ac:dyDescent="0.2">
      <c r="AZ1" s="1947"/>
    </row>
    <row r="2" spans="1:135" s="1946" customFormat="1" ht="42" hidden="1" customHeight="1" x14ac:dyDescent="0.2"/>
    <row r="3" spans="1:135" s="1946" customFormat="1" ht="35.25" hidden="1" customHeight="1" x14ac:dyDescent="0.2">
      <c r="D3" s="1947"/>
      <c r="F3" s="1947"/>
      <c r="G3" s="1947"/>
      <c r="I3" s="1947"/>
      <c r="AJ3" s="1947"/>
      <c r="AP3" s="1947"/>
      <c r="AS3" s="1947"/>
      <c r="AU3" s="1947"/>
      <c r="AZ3" s="1948"/>
      <c r="BB3" s="1947"/>
      <c r="BD3" s="1947"/>
      <c r="BF3" s="1947"/>
      <c r="BH3" s="1947"/>
      <c r="BJ3" s="1947"/>
      <c r="BL3" s="1947"/>
      <c r="BN3" s="1947"/>
    </row>
    <row r="4" spans="1:135" s="1946" customFormat="1" ht="12" hidden="1" customHeight="1" x14ac:dyDescent="0.25">
      <c r="A4" s="1949"/>
      <c r="D4" s="1948"/>
      <c r="F4" s="1948"/>
      <c r="G4" s="1948"/>
      <c r="I4" s="1948"/>
      <c r="AZ4" s="1948"/>
      <c r="BP4" s="1947"/>
    </row>
    <row r="5" spans="1:135" s="1946" customFormat="1" ht="12" customHeight="1" x14ac:dyDescent="0.2">
      <c r="A5" s="1950" t="s">
        <v>2259</v>
      </c>
      <c r="B5" s="1951"/>
      <c r="C5" s="1947"/>
      <c r="D5" s="1948"/>
      <c r="E5" s="1947"/>
      <c r="F5" s="1948"/>
      <c r="G5" s="1948"/>
      <c r="H5" s="1947"/>
      <c r="I5" s="1948"/>
      <c r="J5" s="1947"/>
      <c r="K5" s="1947"/>
      <c r="L5" s="1947"/>
      <c r="M5" s="1947"/>
      <c r="N5" s="1947"/>
      <c r="O5" s="1947"/>
      <c r="P5" s="1947"/>
      <c r="Q5" s="1947"/>
      <c r="R5" s="1947"/>
      <c r="S5" s="1947"/>
      <c r="T5" s="1947"/>
      <c r="U5" s="1947"/>
      <c r="V5" s="1947"/>
      <c r="W5" s="1947"/>
      <c r="X5" s="1947"/>
      <c r="Y5" s="1947"/>
      <c r="Z5" s="1947"/>
      <c r="AA5" s="1947"/>
      <c r="AB5" s="1947"/>
      <c r="AC5" s="1947"/>
      <c r="AD5" s="1951"/>
      <c r="AE5" s="1951"/>
      <c r="AF5" s="1951"/>
      <c r="AG5" s="1951"/>
      <c r="AH5" s="1951"/>
      <c r="AI5" s="1947"/>
      <c r="AK5" s="1951"/>
      <c r="AL5" s="1951"/>
      <c r="AM5" s="1951"/>
      <c r="AN5" s="1951"/>
      <c r="AO5" s="1947"/>
      <c r="AQ5" s="1951"/>
      <c r="AR5" s="1947"/>
      <c r="AT5" s="1947"/>
      <c r="AV5" s="1951"/>
      <c r="AW5" s="1947"/>
      <c r="AX5" s="1951"/>
      <c r="AY5" s="1947"/>
      <c r="AZ5" s="1948"/>
      <c r="BA5" s="1947"/>
      <c r="BC5" s="1947"/>
      <c r="BE5" s="1947"/>
      <c r="BG5" s="1947"/>
      <c r="BI5" s="1947"/>
      <c r="BK5" s="1947"/>
      <c r="BM5" s="1947"/>
      <c r="BO5" s="1947"/>
      <c r="BQ5" s="1947"/>
      <c r="BR5" s="1947"/>
      <c r="BS5" s="1947"/>
      <c r="BT5" s="1947"/>
      <c r="BU5" s="1947"/>
      <c r="BV5" s="1947"/>
      <c r="BW5" s="1947"/>
      <c r="BX5" s="1947"/>
      <c r="BY5" s="1947"/>
      <c r="BZ5" s="1947"/>
      <c r="CA5" s="1947"/>
      <c r="CB5" s="1947"/>
      <c r="CC5" s="1947"/>
      <c r="CD5" s="1947"/>
      <c r="CE5" s="1947"/>
      <c r="CF5" s="1947"/>
    </row>
    <row r="6" spans="1:135" s="1946" customFormat="1" ht="12" customHeight="1" x14ac:dyDescent="0.2">
      <c r="A6" s="1952" t="s">
        <v>2260</v>
      </c>
      <c r="B6" s="1952"/>
      <c r="C6" s="1948"/>
      <c r="D6" s="1948"/>
      <c r="E6" s="1948"/>
      <c r="F6" s="1948"/>
      <c r="G6" s="1948"/>
      <c r="H6" s="1948"/>
      <c r="I6" s="1948"/>
      <c r="AZ6" s="1948"/>
    </row>
    <row r="7" spans="1:135" s="1946" customFormat="1" ht="12" customHeight="1" x14ac:dyDescent="0.2">
      <c r="A7" s="1952" t="s">
        <v>875</v>
      </c>
      <c r="B7" s="1952"/>
      <c r="C7" s="1948"/>
      <c r="E7" s="1948"/>
      <c r="H7" s="1948"/>
      <c r="K7" s="1953"/>
      <c r="L7" s="1953"/>
      <c r="M7" s="1953"/>
      <c r="N7" s="1953"/>
      <c r="O7" s="1953"/>
      <c r="P7" s="1953"/>
      <c r="Q7" s="1953"/>
      <c r="R7" s="1953"/>
      <c r="S7" s="1953"/>
      <c r="T7" s="1953"/>
      <c r="U7" s="1953"/>
      <c r="V7" s="1953"/>
      <c r="AZ7" s="1948"/>
      <c r="CO7" s="1953"/>
    </row>
    <row r="8" spans="1:135" s="1946" customFormat="1" ht="12" customHeight="1" x14ac:dyDescent="0.2">
      <c r="A8" s="1952" t="s">
        <v>876</v>
      </c>
      <c r="B8" s="1952"/>
      <c r="C8" s="1948"/>
      <c r="D8" s="1948"/>
      <c r="E8" s="1948"/>
      <c r="F8" s="1948"/>
      <c r="G8" s="1948"/>
      <c r="H8" s="1948"/>
      <c r="I8" s="1948"/>
      <c r="AJ8" s="1948"/>
      <c r="AP8" s="1948"/>
      <c r="AS8" s="1948"/>
      <c r="AU8" s="1948"/>
      <c r="AZ8" s="1948"/>
      <c r="BB8" s="1948"/>
      <c r="BD8" s="1948"/>
      <c r="BF8" s="1948"/>
      <c r="BH8" s="1948"/>
      <c r="BJ8" s="1948"/>
      <c r="BL8" s="1948"/>
      <c r="BN8" s="1948"/>
    </row>
    <row r="9" spans="1:135" s="1946" customFormat="1" ht="15.75" x14ac:dyDescent="0.25">
      <c r="D9" s="1954"/>
      <c r="F9" s="1954"/>
      <c r="G9" s="1954"/>
      <c r="I9" s="1954"/>
      <c r="L9" s="3817" t="s">
        <v>5460</v>
      </c>
      <c r="M9" s="3818"/>
      <c r="N9" s="3818"/>
      <c r="O9" s="3818"/>
      <c r="P9" s="3819"/>
      <c r="Q9" s="2138"/>
      <c r="R9" s="2139" t="s">
        <v>5618</v>
      </c>
      <c r="S9" s="2140" t="s">
        <v>5459</v>
      </c>
      <c r="T9" s="2140" t="s">
        <v>5459</v>
      </c>
      <c r="U9" s="2141" t="s">
        <v>5459</v>
      </c>
      <c r="AJ9" s="1954"/>
      <c r="AP9" s="1954"/>
      <c r="AS9" s="1954"/>
      <c r="AU9" s="1954"/>
      <c r="AZ9" s="1948"/>
      <c r="BB9" s="1948"/>
      <c r="BD9" s="1948"/>
      <c r="BF9" s="1948"/>
      <c r="BH9" s="1948"/>
      <c r="BJ9" s="1948"/>
      <c r="BL9" s="1948"/>
      <c r="BN9" s="1948"/>
      <c r="BP9" s="1948"/>
    </row>
    <row r="10" spans="1:135" s="1946" customFormat="1" ht="12" hidden="1" customHeight="1" outlineLevel="3" x14ac:dyDescent="0.2">
      <c r="A10" s="1951" t="s">
        <v>877</v>
      </c>
      <c r="B10" s="1952" t="s">
        <v>2261</v>
      </c>
      <c r="Q10" s="2142"/>
      <c r="AF10" s="1952"/>
      <c r="AG10" s="1952"/>
      <c r="AH10" s="1952"/>
      <c r="AI10" s="1952"/>
      <c r="AJ10" s="1952"/>
      <c r="AM10" s="1952"/>
      <c r="AN10" s="1952"/>
      <c r="AO10" s="1952"/>
      <c r="CI10" s="1952"/>
      <c r="CJ10" s="1952"/>
      <c r="CK10" s="1952"/>
      <c r="CL10" s="1952"/>
      <c r="CM10" s="1952"/>
      <c r="CN10" s="1952"/>
      <c r="CO10" s="1952"/>
      <c r="CP10" s="1952"/>
      <c r="CQ10" s="1952"/>
      <c r="CR10" s="1952"/>
      <c r="CS10" s="1952"/>
      <c r="CT10" s="1952"/>
      <c r="CU10" s="1952"/>
      <c r="CV10" s="1952"/>
      <c r="CW10" s="1952"/>
      <c r="CX10" s="1952"/>
      <c r="CY10" s="1952"/>
      <c r="CZ10" s="1952"/>
      <c r="DA10" s="1952"/>
      <c r="DB10" s="1952"/>
      <c r="DC10" s="1952"/>
      <c r="DD10" s="1952"/>
      <c r="DE10" s="1952"/>
      <c r="DF10" s="1952"/>
      <c r="DG10" s="1952"/>
      <c r="DH10" s="1952"/>
      <c r="DI10" s="1952"/>
      <c r="DJ10" s="1952"/>
      <c r="DK10" s="1952"/>
      <c r="DL10" s="1952"/>
      <c r="DM10" s="1952"/>
      <c r="DN10" s="1952"/>
      <c r="DO10" s="1952"/>
      <c r="DP10" s="1952"/>
      <c r="DQ10" s="1952"/>
      <c r="DR10" s="1952"/>
      <c r="DS10" s="1955"/>
      <c r="DT10" s="1955"/>
      <c r="DU10" s="1955"/>
      <c r="DV10" s="1955"/>
      <c r="DW10" s="1955"/>
      <c r="DX10" s="1955"/>
      <c r="DY10" s="1955"/>
      <c r="DZ10" s="1955"/>
      <c r="EA10" s="1955"/>
      <c r="EB10" s="1955"/>
      <c r="EC10" s="1955"/>
      <c r="ED10" s="1955"/>
      <c r="EE10" s="1955"/>
    </row>
    <row r="11" spans="1:135" s="1946" customFormat="1" ht="12" hidden="1" customHeight="1" outlineLevel="3" x14ac:dyDescent="0.2">
      <c r="A11" s="1951" t="s">
        <v>879</v>
      </c>
      <c r="B11" s="1956" t="s">
        <v>2262</v>
      </c>
      <c r="Q11" s="2142"/>
      <c r="AF11" s="1956"/>
      <c r="AG11" s="1956"/>
      <c r="AH11" s="1956"/>
      <c r="AI11" s="1956"/>
      <c r="AJ11" s="1956"/>
      <c r="AM11" s="1956"/>
      <c r="AN11" s="1956"/>
      <c r="AO11" s="1956"/>
      <c r="CI11" s="1952"/>
      <c r="CJ11" s="1952"/>
      <c r="CK11" s="1952"/>
      <c r="CL11" s="1952"/>
      <c r="CM11" s="1952"/>
      <c r="CN11" s="1952"/>
      <c r="CO11" s="1952"/>
      <c r="CP11" s="1952"/>
      <c r="CQ11" s="1952"/>
      <c r="CR11" s="1952"/>
      <c r="CS11" s="1952"/>
      <c r="CT11" s="1952"/>
      <c r="CU11" s="1952"/>
      <c r="CV11" s="1952"/>
      <c r="CW11" s="1952"/>
      <c r="CX11" s="1952"/>
      <c r="CY11" s="1952"/>
      <c r="CZ11" s="1952"/>
      <c r="DA11" s="1952"/>
      <c r="DB11" s="1952"/>
      <c r="DC11" s="1952"/>
      <c r="DD11" s="1952"/>
      <c r="DE11" s="1952"/>
      <c r="DF11" s="1952"/>
      <c r="DG11" s="1952"/>
      <c r="DH11" s="1952"/>
      <c r="DI11" s="1952"/>
      <c r="DJ11" s="1952"/>
      <c r="DK11" s="1952"/>
      <c r="DL11" s="1952"/>
      <c r="DM11" s="1952"/>
      <c r="DN11" s="1952"/>
      <c r="DO11" s="1952"/>
      <c r="DP11" s="1952"/>
      <c r="DQ11" s="1952"/>
      <c r="DR11" s="1952"/>
      <c r="DS11" s="1955"/>
      <c r="DT11" s="1955"/>
      <c r="DU11" s="1955"/>
      <c r="DV11" s="1955"/>
      <c r="DW11" s="1955"/>
      <c r="DX11" s="1955"/>
      <c r="DY11" s="1955"/>
      <c r="DZ11" s="1955"/>
      <c r="EA11" s="1955"/>
      <c r="EB11" s="1955"/>
      <c r="EC11" s="1955"/>
      <c r="ED11" s="1955"/>
      <c r="EE11" s="1955"/>
    </row>
    <row r="12" spans="1:135" s="1946" customFormat="1" ht="12" hidden="1" customHeight="1" outlineLevel="3" x14ac:dyDescent="0.2">
      <c r="Q12" s="2142"/>
      <c r="AZ12" s="1948"/>
      <c r="BB12" s="1948"/>
      <c r="BD12" s="1948"/>
      <c r="BF12" s="1948"/>
      <c r="BH12" s="1948"/>
      <c r="BJ12" s="1948"/>
      <c r="BL12" s="1948"/>
      <c r="BN12" s="1948"/>
      <c r="BP12" s="1948"/>
    </row>
    <row r="13" spans="1:135" s="1946" customFormat="1" ht="12" hidden="1" customHeight="1" outlineLevel="3" x14ac:dyDescent="0.2">
      <c r="A13" s="1953"/>
      <c r="B13" s="1953"/>
      <c r="Q13" s="2142"/>
      <c r="AD13" s="1953"/>
      <c r="AE13" s="1953"/>
      <c r="AF13" s="1953"/>
      <c r="AG13" s="1953"/>
      <c r="AH13" s="1953"/>
      <c r="AK13" s="1953"/>
      <c r="AL13" s="1953"/>
      <c r="AM13" s="1953"/>
      <c r="AN13" s="1953"/>
      <c r="AQ13" s="1953"/>
      <c r="AV13" s="1953"/>
      <c r="AX13" s="1953"/>
      <c r="AY13" s="1948"/>
      <c r="AZ13" s="1947"/>
      <c r="BA13" s="1948"/>
      <c r="BB13" s="1948"/>
      <c r="BC13" s="1948"/>
      <c r="BD13" s="1948"/>
      <c r="BE13" s="1948"/>
      <c r="BF13" s="1948"/>
      <c r="BG13" s="1948"/>
      <c r="BH13" s="1948"/>
      <c r="BI13" s="1948"/>
      <c r="BJ13" s="1948"/>
      <c r="BK13" s="1948"/>
      <c r="BL13" s="1948"/>
      <c r="BM13" s="1948"/>
      <c r="BN13" s="1948"/>
      <c r="BO13" s="1948"/>
      <c r="BP13" s="1948"/>
      <c r="BQ13" s="1948"/>
      <c r="BR13" s="1948"/>
      <c r="BS13" s="1948"/>
      <c r="BT13" s="1948"/>
      <c r="BU13" s="1948"/>
      <c r="BV13" s="1948"/>
      <c r="BW13" s="1948"/>
      <c r="BX13" s="1948"/>
      <c r="BY13" s="1948"/>
      <c r="BZ13" s="1948"/>
      <c r="CA13" s="1948"/>
      <c r="CB13" s="1948"/>
      <c r="CC13" s="1948"/>
      <c r="CD13" s="1948"/>
      <c r="CE13" s="1948"/>
      <c r="CF13" s="1948"/>
    </row>
    <row r="14" spans="1:135" s="1946" customFormat="1" ht="12" hidden="1" customHeight="1" outlineLevel="3" x14ac:dyDescent="0.2">
      <c r="A14" s="1953"/>
      <c r="B14" s="1953"/>
      <c r="Q14" s="2142"/>
      <c r="AD14" s="1953"/>
      <c r="AE14" s="1953"/>
      <c r="AF14" s="1953"/>
      <c r="AG14" s="1953"/>
      <c r="AH14" s="1953"/>
      <c r="AK14" s="1953"/>
      <c r="AL14" s="1953"/>
      <c r="AM14" s="1953"/>
      <c r="AN14" s="1953"/>
      <c r="AQ14" s="1953"/>
      <c r="AV14" s="1953"/>
      <c r="AX14" s="1953"/>
      <c r="AY14" s="1948"/>
      <c r="AZ14" s="1948"/>
      <c r="BA14" s="1948"/>
      <c r="BB14" s="1948"/>
      <c r="BC14" s="1948"/>
      <c r="BD14" s="1948"/>
      <c r="BE14" s="1948"/>
      <c r="BF14" s="1948"/>
      <c r="BG14" s="1948"/>
      <c r="BH14" s="1948"/>
      <c r="BI14" s="1948"/>
      <c r="BJ14" s="1948"/>
      <c r="BK14" s="1948"/>
      <c r="BL14" s="1948"/>
      <c r="BM14" s="1948"/>
      <c r="BN14" s="1948"/>
      <c r="BO14" s="1948"/>
      <c r="BP14" s="1948"/>
      <c r="BQ14" s="1948"/>
      <c r="BR14" s="1948"/>
      <c r="BS14" s="1948"/>
      <c r="BT14" s="1948"/>
      <c r="BU14" s="1948"/>
      <c r="BV14" s="1948"/>
      <c r="BW14" s="1948"/>
      <c r="BX14" s="1948"/>
      <c r="BY14" s="1948"/>
      <c r="BZ14" s="1948"/>
      <c r="CA14" s="1948"/>
      <c r="CB14" s="1948"/>
      <c r="CC14" s="1948"/>
      <c r="CD14" s="1948"/>
      <c r="CE14" s="1948"/>
      <c r="CF14" s="1948"/>
    </row>
    <row r="15" spans="1:135" ht="12" hidden="1" customHeight="1" outlineLevel="3" x14ac:dyDescent="0.2">
      <c r="C15" s="1946"/>
      <c r="D15" s="1946"/>
      <c r="E15" s="1946"/>
      <c r="F15" s="1946"/>
      <c r="G15" s="1946"/>
      <c r="H15" s="1946"/>
      <c r="I15" s="1946"/>
      <c r="J15" s="1946"/>
      <c r="K15" s="1946"/>
      <c r="L15" s="1946"/>
      <c r="M15" s="1946"/>
      <c r="N15" s="1946"/>
      <c r="O15" s="1946"/>
      <c r="P15" s="1946"/>
      <c r="Q15" s="2142"/>
      <c r="R15" s="1946"/>
      <c r="S15" s="1946"/>
      <c r="T15" s="1946"/>
      <c r="U15" s="1946"/>
      <c r="V15" s="1946"/>
      <c r="W15" s="1946"/>
      <c r="X15" s="1946"/>
      <c r="Y15" s="1946"/>
      <c r="Z15" s="1946"/>
      <c r="AA15" s="1946"/>
      <c r="AB15" s="1946"/>
      <c r="AC15" s="1946"/>
      <c r="AI15" s="1946"/>
      <c r="AJ15" s="1946"/>
      <c r="AO15" s="1946"/>
      <c r="AP15" s="1946"/>
      <c r="AR15" s="1946"/>
      <c r="AS15" s="1946"/>
      <c r="AT15" s="1946"/>
      <c r="AU15" s="1946"/>
      <c r="AW15" s="1946"/>
      <c r="AY15" s="1948"/>
      <c r="AZ15" s="1948"/>
      <c r="BA15" s="1952"/>
      <c r="BB15" s="1952"/>
      <c r="BC15" s="1952"/>
      <c r="BD15" s="1952"/>
      <c r="BE15" s="1952"/>
      <c r="BF15" s="1952"/>
      <c r="BG15" s="1952"/>
      <c r="BH15" s="1952"/>
      <c r="BI15" s="1952"/>
      <c r="BJ15" s="1952"/>
      <c r="BK15" s="1952"/>
      <c r="BL15" s="1952"/>
      <c r="BM15" s="1952"/>
      <c r="BN15" s="1952"/>
    </row>
    <row r="16" spans="1:135" s="1946" customFormat="1" ht="12" hidden="1" customHeight="1" outlineLevel="3" x14ac:dyDescent="0.2">
      <c r="A16" s="1953"/>
      <c r="B16" s="1953"/>
      <c r="Q16" s="2142"/>
      <c r="AD16" s="1953"/>
      <c r="AE16" s="1953"/>
      <c r="AF16" s="1953"/>
      <c r="AG16" s="1953"/>
      <c r="AH16" s="1953"/>
      <c r="AK16" s="1953"/>
      <c r="AL16" s="1953"/>
      <c r="AM16" s="1953"/>
      <c r="AN16" s="1953"/>
      <c r="AQ16" s="1953"/>
      <c r="AV16" s="1953"/>
      <c r="AX16" s="1953"/>
      <c r="AY16" s="1948"/>
      <c r="AZ16" s="1948"/>
      <c r="BA16" s="1948"/>
      <c r="BB16" s="1948"/>
      <c r="BC16" s="1948"/>
      <c r="BD16" s="1948"/>
      <c r="BE16" s="1948"/>
      <c r="BF16" s="1948"/>
      <c r="BG16" s="1948"/>
      <c r="BH16" s="1948"/>
      <c r="BI16" s="1948"/>
      <c r="BJ16" s="1948"/>
      <c r="BK16" s="1948"/>
      <c r="BL16" s="1948"/>
      <c r="BM16" s="1948"/>
      <c r="BN16" s="1948"/>
      <c r="BO16" s="1948"/>
      <c r="BP16" s="1948"/>
      <c r="BQ16" s="1948"/>
      <c r="BR16" s="1948"/>
      <c r="BS16" s="1948"/>
      <c r="BT16" s="1948"/>
      <c r="BU16" s="1948"/>
      <c r="BV16" s="1948"/>
      <c r="BW16" s="1948"/>
      <c r="BX16" s="1948"/>
      <c r="BY16" s="1948"/>
      <c r="BZ16" s="1948"/>
      <c r="CA16" s="1948"/>
      <c r="CB16" s="1948"/>
      <c r="CC16" s="1948"/>
      <c r="CD16" s="1948"/>
      <c r="CE16" s="1948"/>
      <c r="CF16" s="1948"/>
    </row>
    <row r="17" spans="1:136" s="1946" customFormat="1" ht="12" hidden="1" customHeight="1" outlineLevel="3" x14ac:dyDescent="0.2">
      <c r="A17" s="1953"/>
      <c r="B17" s="1953"/>
      <c r="Q17" s="2142"/>
      <c r="AD17" s="1953"/>
      <c r="AE17" s="1953"/>
      <c r="AF17" s="1953"/>
      <c r="AG17" s="1953"/>
      <c r="AH17" s="1953"/>
      <c r="AK17" s="1953"/>
      <c r="AL17" s="1953"/>
      <c r="AM17" s="1953"/>
      <c r="AN17" s="1953"/>
      <c r="AQ17" s="1953"/>
      <c r="AV17" s="1953"/>
      <c r="AX17" s="1953"/>
      <c r="AY17" s="1948"/>
      <c r="AZ17" s="1948"/>
      <c r="BA17" s="1948"/>
      <c r="BB17" s="1948"/>
      <c r="BC17" s="1948"/>
      <c r="BD17" s="1948"/>
      <c r="BE17" s="1948"/>
      <c r="BF17" s="1948"/>
      <c r="BG17" s="1948"/>
      <c r="BH17" s="1948"/>
      <c r="BI17" s="1948"/>
      <c r="BJ17" s="1948"/>
      <c r="BK17" s="1948"/>
      <c r="BL17" s="1948"/>
      <c r="BM17" s="1948"/>
      <c r="BN17" s="1948"/>
      <c r="BO17" s="1948"/>
      <c r="BP17" s="1948"/>
      <c r="BQ17" s="1948"/>
      <c r="BR17" s="1948"/>
      <c r="BS17" s="1948"/>
      <c r="BT17" s="1948"/>
      <c r="BU17" s="1948"/>
      <c r="BV17" s="1948"/>
      <c r="BW17" s="1948"/>
      <c r="BX17" s="1948"/>
      <c r="BY17" s="1948"/>
      <c r="BZ17" s="1948"/>
      <c r="CA17" s="1948"/>
      <c r="CB17" s="1948"/>
      <c r="CC17" s="1948"/>
      <c r="CD17" s="1948"/>
      <c r="CE17" s="1948"/>
      <c r="CF17" s="1948"/>
    </row>
    <row r="18" spans="1:136" s="1946" customFormat="1" ht="12" hidden="1" customHeight="1" outlineLevel="3" x14ac:dyDescent="0.2">
      <c r="A18" s="1953"/>
      <c r="B18" s="1953"/>
      <c r="Q18" s="2142"/>
      <c r="AD18" s="1953"/>
      <c r="AE18" s="1953"/>
      <c r="AF18" s="1953"/>
      <c r="AG18" s="1953"/>
      <c r="AH18" s="1953"/>
      <c r="AK18" s="1953"/>
      <c r="AL18" s="1953"/>
      <c r="AM18" s="1953"/>
      <c r="AN18" s="1953"/>
      <c r="AQ18" s="1953"/>
      <c r="AV18" s="1953"/>
      <c r="AX18" s="1953"/>
      <c r="AY18" s="1948"/>
      <c r="AZ18" s="1948"/>
      <c r="BA18" s="1948"/>
      <c r="BB18" s="1948"/>
      <c r="BC18" s="1948"/>
      <c r="BD18" s="1948"/>
      <c r="BE18" s="1948"/>
      <c r="BF18" s="1948"/>
      <c r="BG18" s="1948"/>
      <c r="BH18" s="1948"/>
      <c r="BI18" s="1948"/>
      <c r="BJ18" s="1948"/>
      <c r="BK18" s="1948"/>
      <c r="BL18" s="1948"/>
      <c r="BM18" s="1948"/>
      <c r="BN18" s="1948"/>
      <c r="BO18" s="1948"/>
      <c r="BP18" s="1948"/>
      <c r="BQ18" s="1948"/>
      <c r="BR18" s="1948"/>
      <c r="BS18" s="1948"/>
      <c r="BT18" s="1948"/>
      <c r="BU18" s="1948"/>
      <c r="BV18" s="1948"/>
      <c r="BW18" s="1948"/>
      <c r="BX18" s="1948"/>
      <c r="BY18" s="1948"/>
      <c r="BZ18" s="1948"/>
      <c r="CA18" s="1948"/>
      <c r="CB18" s="1948"/>
      <c r="CC18" s="1948"/>
      <c r="CD18" s="1948"/>
      <c r="CE18" s="1948"/>
      <c r="CF18" s="1948"/>
    </row>
    <row r="19" spans="1:136" s="1946" customFormat="1" ht="12" hidden="1" customHeight="1" outlineLevel="3" x14ac:dyDescent="0.2">
      <c r="A19" s="1953"/>
      <c r="B19" s="1953" t="s">
        <v>2263</v>
      </c>
      <c r="Q19" s="2142"/>
      <c r="AD19" s="1953"/>
      <c r="AE19" s="1953"/>
      <c r="AF19" s="1953"/>
      <c r="AG19" s="1953"/>
      <c r="AH19" s="1953"/>
      <c r="AK19" s="1953"/>
      <c r="AL19" s="1953"/>
      <c r="AM19" s="1953"/>
      <c r="AN19" s="1953"/>
      <c r="AQ19" s="1953"/>
      <c r="AV19" s="1953"/>
      <c r="AX19" s="1953"/>
      <c r="AY19" s="1948"/>
      <c r="AZ19" s="1948"/>
      <c r="BA19" s="1948"/>
      <c r="BB19" s="1948"/>
      <c r="BC19" s="1948"/>
      <c r="BD19" s="1948"/>
      <c r="BE19" s="1948"/>
      <c r="BF19" s="1948"/>
      <c r="BG19" s="1948"/>
      <c r="BH19" s="1948"/>
      <c r="BI19" s="1948"/>
      <c r="BJ19" s="1948"/>
      <c r="BK19" s="1948"/>
      <c r="BL19" s="1948"/>
      <c r="BM19" s="1948"/>
      <c r="BN19" s="1948"/>
      <c r="BO19" s="1948"/>
      <c r="BP19" s="1948"/>
      <c r="BQ19" s="1948"/>
      <c r="BR19" s="1948"/>
      <c r="BS19" s="1948"/>
      <c r="BT19" s="1948"/>
      <c r="BU19" s="1948"/>
      <c r="BV19" s="1948"/>
      <c r="BW19" s="1948"/>
      <c r="BX19" s="1948"/>
      <c r="BY19" s="1948"/>
      <c r="BZ19" s="1948"/>
      <c r="CA19" s="1948"/>
      <c r="CB19" s="1948"/>
      <c r="CC19" s="1948"/>
      <c r="CD19" s="1948"/>
      <c r="CE19" s="1948"/>
      <c r="CF19" s="1948"/>
    </row>
    <row r="20" spans="1:136" s="1946" customFormat="1" ht="12" hidden="1" customHeight="1" outlineLevel="3" x14ac:dyDescent="0.2">
      <c r="A20" s="1953"/>
      <c r="B20" s="1953"/>
      <c r="Q20" s="2142"/>
      <c r="AD20" s="1953"/>
      <c r="AE20" s="1953"/>
      <c r="AF20" s="1953"/>
      <c r="AG20" s="1953"/>
      <c r="AH20" s="1953"/>
      <c r="AK20" s="1953"/>
      <c r="AL20" s="1953"/>
      <c r="AM20" s="1953"/>
      <c r="AN20" s="1953"/>
      <c r="AQ20" s="1953"/>
      <c r="AV20" s="1953"/>
      <c r="AX20" s="1953"/>
      <c r="AY20" s="1948"/>
      <c r="AZ20" s="1948"/>
      <c r="BA20" s="1948"/>
      <c r="BB20" s="1948"/>
      <c r="BC20" s="1948"/>
      <c r="BD20" s="1948"/>
      <c r="BE20" s="1948"/>
      <c r="BF20" s="1948"/>
      <c r="BG20" s="1948"/>
      <c r="BH20" s="1948"/>
      <c r="BI20" s="1948"/>
      <c r="BJ20" s="1948"/>
      <c r="BK20" s="1948"/>
      <c r="BL20" s="1948"/>
      <c r="BM20" s="1948"/>
      <c r="BN20" s="1948"/>
      <c r="BO20" s="1948"/>
      <c r="BP20" s="1948"/>
      <c r="BQ20" s="1948"/>
      <c r="BR20" s="1948"/>
      <c r="BS20" s="1948"/>
      <c r="BT20" s="1948"/>
      <c r="BU20" s="1948"/>
      <c r="BV20" s="1948"/>
      <c r="BW20" s="1948"/>
      <c r="BX20" s="1948"/>
      <c r="BY20" s="1948"/>
      <c r="BZ20" s="1948"/>
      <c r="CA20" s="1948"/>
      <c r="CB20" s="1948"/>
      <c r="CC20" s="1948"/>
      <c r="CD20" s="1948"/>
      <c r="CE20" s="1948"/>
      <c r="CF20" s="1948"/>
    </row>
    <row r="21" spans="1:136" s="1946" customFormat="1" ht="12" hidden="1" customHeight="1" outlineLevel="3" x14ac:dyDescent="0.2">
      <c r="A21" s="1953"/>
      <c r="B21" s="1953"/>
      <c r="Q21" s="2142"/>
      <c r="AD21" s="1953"/>
      <c r="AE21" s="1953"/>
      <c r="AF21" s="1953"/>
      <c r="AG21" s="1953"/>
      <c r="AH21" s="1953"/>
      <c r="AK21" s="1953"/>
      <c r="AL21" s="1953"/>
      <c r="AM21" s="1953"/>
      <c r="AN21" s="1953"/>
      <c r="AQ21" s="1953"/>
      <c r="AV21" s="1953"/>
      <c r="AX21" s="1953"/>
      <c r="AY21" s="1948"/>
      <c r="AZ21" s="1948"/>
      <c r="BA21" s="1948"/>
      <c r="BB21" s="1948"/>
      <c r="BC21" s="1948"/>
      <c r="BD21" s="1948"/>
      <c r="BE21" s="1948"/>
      <c r="BF21" s="1948"/>
      <c r="BG21" s="1948"/>
      <c r="BH21" s="1948"/>
      <c r="BI21" s="1948"/>
      <c r="BJ21" s="1948"/>
      <c r="BK21" s="1948"/>
      <c r="BL21" s="1948"/>
      <c r="BM21" s="1948"/>
      <c r="BN21" s="1948"/>
      <c r="BO21" s="1948"/>
      <c r="BP21" s="1948"/>
      <c r="BQ21" s="1948"/>
      <c r="BR21" s="1948"/>
      <c r="BS21" s="1948"/>
      <c r="BT21" s="1948"/>
      <c r="BU21" s="1948"/>
      <c r="BV21" s="1948"/>
      <c r="BW21" s="1948"/>
      <c r="BX21" s="1948"/>
      <c r="BY21" s="1948"/>
      <c r="BZ21" s="1948"/>
      <c r="CA21" s="1948"/>
      <c r="CB21" s="1948"/>
      <c r="CC21" s="1948"/>
      <c r="CD21" s="1948"/>
      <c r="CE21" s="1948"/>
      <c r="CF21" s="1948"/>
    </row>
    <row r="22" spans="1:136" s="1946" customFormat="1" ht="12" hidden="1" customHeight="1" outlineLevel="3" x14ac:dyDescent="0.2">
      <c r="A22" s="1953"/>
      <c r="B22" s="1953"/>
      <c r="Q22" s="2142"/>
      <c r="AD22" s="1953"/>
      <c r="AE22" s="1953"/>
      <c r="AF22" s="1953"/>
      <c r="AG22" s="1953"/>
      <c r="AH22" s="1953"/>
      <c r="AK22" s="1953"/>
      <c r="AL22" s="1953"/>
      <c r="AM22" s="1953"/>
      <c r="AN22" s="1953"/>
      <c r="AQ22" s="1953"/>
      <c r="AV22" s="1953"/>
      <c r="AX22" s="1953"/>
      <c r="AY22" s="1948"/>
      <c r="AZ22" s="1948"/>
      <c r="BA22" s="1948"/>
      <c r="BB22" s="1948"/>
      <c r="BC22" s="1948"/>
      <c r="BD22" s="1948"/>
      <c r="BE22" s="1948"/>
      <c r="BF22" s="1948"/>
      <c r="BG22" s="1948"/>
      <c r="BH22" s="1948"/>
      <c r="BI22" s="1948"/>
      <c r="BJ22" s="1948"/>
      <c r="BK22" s="1948"/>
      <c r="BL22" s="1948"/>
      <c r="BM22" s="1948"/>
      <c r="BN22" s="1948"/>
      <c r="BO22" s="1948"/>
      <c r="BP22" s="1948"/>
      <c r="BQ22" s="1948"/>
      <c r="BR22" s="1948"/>
      <c r="BS22" s="1948"/>
      <c r="BT22" s="1948"/>
      <c r="BU22" s="1948"/>
      <c r="BV22" s="1948"/>
      <c r="BW22" s="1948"/>
      <c r="BX22" s="1948"/>
      <c r="BY22" s="1948"/>
      <c r="BZ22" s="1948"/>
      <c r="CA22" s="1948"/>
      <c r="CB22" s="1948"/>
      <c r="CC22" s="1948"/>
      <c r="CD22" s="1948"/>
      <c r="CE22" s="1948"/>
      <c r="CF22" s="1948"/>
    </row>
    <row r="23" spans="1:136" ht="12" hidden="1" customHeight="1" outlineLevel="3" x14ac:dyDescent="0.2">
      <c r="C23" s="1946"/>
      <c r="D23" s="1946"/>
      <c r="E23" s="1946"/>
      <c r="F23" s="1946"/>
      <c r="G23" s="1946"/>
      <c r="H23" s="1946"/>
      <c r="I23" s="1946"/>
      <c r="J23" s="1946"/>
      <c r="K23" s="1946"/>
      <c r="L23" s="1946"/>
      <c r="M23" s="1946"/>
      <c r="N23" s="1946"/>
      <c r="O23" s="1946"/>
      <c r="P23" s="1946"/>
      <c r="Q23" s="2142"/>
      <c r="R23" s="1946"/>
      <c r="S23" s="1946"/>
      <c r="T23" s="1946"/>
      <c r="U23" s="1946"/>
      <c r="V23" s="1946"/>
      <c r="W23" s="1946"/>
      <c r="X23" s="1946"/>
      <c r="Y23" s="1946"/>
      <c r="Z23" s="1946"/>
      <c r="AA23" s="1946"/>
      <c r="AB23" s="1946"/>
      <c r="AC23" s="1946"/>
      <c r="AI23" s="1946"/>
      <c r="AJ23" s="1946"/>
      <c r="AO23" s="1946"/>
      <c r="AP23" s="1946"/>
      <c r="AR23" s="1946"/>
      <c r="AS23" s="1946"/>
      <c r="AT23" s="1946"/>
      <c r="AU23" s="1946"/>
      <c r="AW23" s="1946"/>
      <c r="AY23" s="1947"/>
      <c r="AZ23" s="1948"/>
      <c r="BA23" s="1951"/>
      <c r="BB23" s="1951"/>
      <c r="BC23" s="1951"/>
      <c r="BD23" s="1951"/>
      <c r="BE23" s="1951"/>
      <c r="BF23" s="1951"/>
      <c r="BG23" s="1951"/>
      <c r="BH23" s="1951"/>
      <c r="BI23" s="1951"/>
      <c r="BJ23" s="1951"/>
      <c r="BK23" s="1951"/>
      <c r="BL23" s="1951"/>
      <c r="BM23" s="1951"/>
      <c r="BN23" s="1951"/>
    </row>
    <row r="24" spans="1:136" ht="12" hidden="1" customHeight="1" outlineLevel="3" x14ac:dyDescent="0.2">
      <c r="C24" s="1946"/>
      <c r="D24" s="1946"/>
      <c r="E24" s="1946"/>
      <c r="F24" s="1946"/>
      <c r="G24" s="1946"/>
      <c r="H24" s="1946"/>
      <c r="I24" s="1946"/>
      <c r="J24" s="1946"/>
      <c r="K24" s="1946"/>
      <c r="L24" s="1946"/>
      <c r="M24" s="1946"/>
      <c r="N24" s="1946"/>
      <c r="O24" s="1946"/>
      <c r="P24" s="1946"/>
      <c r="Q24" s="2142"/>
      <c r="R24" s="1946"/>
      <c r="S24" s="1946"/>
      <c r="T24" s="1946"/>
      <c r="U24" s="1946"/>
      <c r="V24" s="1946"/>
      <c r="W24" s="1946"/>
      <c r="X24" s="1946"/>
      <c r="Y24" s="1946"/>
      <c r="Z24" s="1946"/>
      <c r="AA24" s="1946"/>
      <c r="AB24" s="1946"/>
      <c r="AC24" s="1946"/>
      <c r="AI24" s="1946"/>
      <c r="AJ24" s="1946"/>
      <c r="AO24" s="1946"/>
      <c r="AP24" s="1946"/>
      <c r="AR24" s="1946"/>
      <c r="AS24" s="1946"/>
      <c r="AT24" s="1946"/>
      <c r="AU24" s="1946"/>
      <c r="AW24" s="1946"/>
      <c r="AY24" s="1948"/>
      <c r="AZ24" s="1948"/>
      <c r="BA24" s="1952"/>
      <c r="BB24" s="1952"/>
      <c r="BC24" s="1952"/>
      <c r="BD24" s="1952"/>
      <c r="BE24" s="1952"/>
      <c r="BF24" s="1952"/>
      <c r="BG24" s="1952"/>
      <c r="BH24" s="1952"/>
      <c r="BI24" s="1952"/>
      <c r="BJ24" s="1952"/>
      <c r="BK24" s="1952"/>
      <c r="BL24" s="1952"/>
      <c r="BM24" s="1952"/>
      <c r="BN24" s="1952"/>
      <c r="BO24" s="1952"/>
      <c r="BP24" s="1952"/>
      <c r="BQ24" s="1952"/>
      <c r="BR24" s="1952"/>
      <c r="BS24" s="1952"/>
      <c r="BT24" s="1952"/>
      <c r="BU24" s="1952"/>
      <c r="BV24" s="1952"/>
      <c r="BW24" s="1952"/>
      <c r="BX24" s="1952"/>
      <c r="BY24" s="1952"/>
      <c r="BZ24" s="1952"/>
      <c r="CA24" s="1952"/>
      <c r="CB24" s="1952"/>
      <c r="CC24" s="1952"/>
      <c r="CD24" s="1952"/>
      <c r="CE24" s="1952"/>
      <c r="CF24" s="1952"/>
      <c r="CG24" s="1952"/>
      <c r="CH24" s="1952"/>
      <c r="CI24" s="1952"/>
      <c r="CJ24" s="1952"/>
      <c r="CK24" s="1952"/>
      <c r="CL24" s="1952"/>
      <c r="CM24" s="1952"/>
      <c r="CN24" s="1952"/>
      <c r="CO24" s="1952"/>
      <c r="CP24" s="1952"/>
      <c r="CQ24" s="1952"/>
      <c r="CR24" s="1952"/>
      <c r="CS24" s="1952"/>
      <c r="CT24" s="1952"/>
      <c r="CU24" s="1952"/>
      <c r="CV24" s="1952"/>
      <c r="CW24" s="1952"/>
      <c r="CX24" s="1952"/>
      <c r="CY24" s="1952"/>
      <c r="CZ24" s="1952"/>
      <c r="DA24" s="1952"/>
      <c r="DB24" s="1952"/>
      <c r="DC24" s="1952"/>
      <c r="DD24" s="1952"/>
    </row>
    <row r="25" spans="1:136" s="1946" customFormat="1" ht="12" hidden="1" customHeight="1" outlineLevel="3" x14ac:dyDescent="0.2">
      <c r="A25" s="1953"/>
      <c r="B25" s="1953"/>
      <c r="D25" s="1948"/>
      <c r="F25" s="1948"/>
      <c r="G25" s="1948"/>
      <c r="I25" s="1948"/>
      <c r="Q25" s="2142"/>
      <c r="AD25" s="1953"/>
      <c r="AE25" s="1953"/>
      <c r="AF25" s="1953"/>
      <c r="AG25" s="1953"/>
      <c r="AH25" s="1953"/>
      <c r="AJ25" s="1948"/>
      <c r="AK25" s="1953"/>
      <c r="AL25" s="1953"/>
      <c r="AM25" s="1953"/>
      <c r="AN25" s="1953"/>
      <c r="AP25" s="1948"/>
      <c r="AQ25" s="1953"/>
      <c r="AS25" s="1948"/>
      <c r="AU25" s="1948"/>
      <c r="AV25" s="1953"/>
      <c r="AX25" s="1953"/>
      <c r="AY25" s="1948"/>
      <c r="BA25" s="1948"/>
      <c r="BC25" s="1948"/>
      <c r="BE25" s="1948"/>
      <c r="BG25" s="1948"/>
      <c r="BI25" s="1948"/>
      <c r="BK25" s="1948"/>
      <c r="BM25" s="1948"/>
      <c r="BO25" s="1948"/>
      <c r="BP25" s="1948"/>
      <c r="BQ25" s="1948"/>
      <c r="BR25" s="1948"/>
      <c r="BS25" s="1948"/>
      <c r="BT25" s="1948"/>
      <c r="BU25" s="1948"/>
      <c r="BV25" s="1948"/>
      <c r="BW25" s="1948"/>
      <c r="BX25" s="1948"/>
      <c r="BY25" s="1948"/>
      <c r="BZ25" s="1948"/>
      <c r="CA25" s="1948"/>
      <c r="CB25" s="1948"/>
      <c r="CC25" s="1948"/>
      <c r="CD25" s="1948"/>
      <c r="CE25" s="1948"/>
      <c r="CF25" s="1948"/>
    </row>
    <row r="26" spans="1:136" s="1946" customFormat="1" ht="12" hidden="1" customHeight="1" outlineLevel="3" x14ac:dyDescent="0.2">
      <c r="D26" s="1948"/>
      <c r="F26" s="1948"/>
      <c r="G26" s="1948"/>
      <c r="I26" s="1948"/>
      <c r="Q26" s="2142"/>
      <c r="AJ26" s="1948"/>
      <c r="AP26" s="1948"/>
      <c r="AS26" s="1948"/>
      <c r="AU26" s="1948"/>
      <c r="AY26" s="1948"/>
      <c r="AZ26" s="1948"/>
      <c r="BA26" s="1948"/>
      <c r="BB26" s="1948"/>
      <c r="BC26" s="1948"/>
      <c r="BD26" s="1948"/>
      <c r="BE26" s="1948"/>
      <c r="BF26" s="1948"/>
      <c r="BG26" s="1948"/>
      <c r="BH26" s="1948"/>
      <c r="BI26" s="1948"/>
      <c r="BJ26" s="1948"/>
      <c r="BK26" s="1948"/>
      <c r="BL26" s="1948"/>
      <c r="BM26" s="1948"/>
      <c r="BN26" s="1948"/>
      <c r="BO26" s="1948"/>
      <c r="BQ26" s="1948"/>
      <c r="BR26" s="1948"/>
      <c r="BS26" s="1948"/>
      <c r="BT26" s="1948"/>
      <c r="BU26" s="1948"/>
      <c r="BV26" s="1948"/>
      <c r="BW26" s="1948"/>
      <c r="BX26" s="1948"/>
      <c r="BY26" s="1948"/>
      <c r="BZ26" s="1948"/>
      <c r="CA26" s="1948"/>
      <c r="CB26" s="1948"/>
      <c r="CC26" s="1948"/>
      <c r="CD26" s="1948"/>
      <c r="CE26" s="1948"/>
      <c r="CF26" s="1948"/>
    </row>
    <row r="27" spans="1:136" s="1946" customFormat="1" ht="12" hidden="1" customHeight="1" outlineLevel="3" x14ac:dyDescent="0.2">
      <c r="A27" s="1951" t="s">
        <v>724</v>
      </c>
      <c r="B27" s="1952" t="s">
        <v>724</v>
      </c>
      <c r="C27" s="1948"/>
      <c r="D27" s="1948"/>
      <c r="E27" s="1948"/>
      <c r="F27" s="1948"/>
      <c r="G27" s="1948"/>
      <c r="H27" s="1948"/>
      <c r="I27" s="1948"/>
      <c r="J27" s="1948"/>
      <c r="K27" s="1948"/>
      <c r="L27" s="1948"/>
      <c r="M27" s="1948"/>
      <c r="N27" s="1948"/>
      <c r="O27" s="1948"/>
      <c r="P27" s="1948"/>
      <c r="Q27" s="2143"/>
      <c r="R27" s="1948"/>
      <c r="S27" s="1948"/>
      <c r="T27" s="1948"/>
      <c r="U27" s="1948"/>
      <c r="V27" s="1948"/>
      <c r="W27" s="1948"/>
      <c r="X27" s="1948"/>
      <c r="Y27" s="1948"/>
      <c r="Z27" s="1948"/>
      <c r="AA27" s="1948"/>
      <c r="AB27" s="1948"/>
      <c r="AC27" s="1948"/>
      <c r="AD27" s="1952"/>
      <c r="AE27" s="1952"/>
      <c r="AF27" s="1952"/>
      <c r="AG27" s="1952"/>
      <c r="AH27" s="1952"/>
      <c r="AI27" s="1948"/>
      <c r="AJ27" s="1948"/>
      <c r="AK27" s="1952"/>
      <c r="AL27" s="1952"/>
      <c r="AM27" s="1952"/>
      <c r="AN27" s="1952"/>
      <c r="AO27" s="1948"/>
      <c r="AP27" s="1948"/>
      <c r="AQ27" s="1952"/>
      <c r="AR27" s="1948"/>
      <c r="AS27" s="1948"/>
      <c r="AT27" s="1948"/>
      <c r="AU27" s="1948"/>
      <c r="AV27" s="1952"/>
      <c r="AW27" s="1948"/>
      <c r="AX27" s="1952"/>
      <c r="AY27" s="1948"/>
      <c r="AZ27" s="1948"/>
      <c r="BA27" s="1948"/>
      <c r="BB27" s="1948"/>
      <c r="BC27" s="1948"/>
      <c r="BD27" s="1948"/>
      <c r="BE27" s="1948"/>
      <c r="BF27" s="1948"/>
      <c r="BG27" s="1948"/>
      <c r="BH27" s="1948"/>
      <c r="BI27" s="1948"/>
      <c r="BJ27" s="1948"/>
      <c r="BK27" s="1948"/>
      <c r="BL27" s="1948"/>
      <c r="BM27" s="1948"/>
      <c r="BN27" s="1948"/>
      <c r="BO27" s="1948"/>
      <c r="BP27" s="1948"/>
      <c r="BQ27" s="1948"/>
      <c r="BR27" s="1948"/>
      <c r="BS27" s="1948"/>
      <c r="BT27" s="1948"/>
      <c r="BU27" s="1948"/>
      <c r="BV27" s="1948"/>
      <c r="BW27" s="1948"/>
      <c r="BX27" s="1948"/>
      <c r="BY27" s="1948"/>
      <c r="BZ27" s="1948"/>
      <c r="CA27" s="1948"/>
      <c r="CB27" s="1948"/>
      <c r="CC27" s="1948"/>
      <c r="CD27" s="1948"/>
      <c r="CE27" s="1948"/>
      <c r="CF27" s="1948"/>
      <c r="CG27" s="1947"/>
      <c r="CH27" s="1947"/>
      <c r="CI27" s="1947"/>
      <c r="CJ27" s="1947"/>
      <c r="CK27" s="1947"/>
      <c r="CL27" s="1947"/>
      <c r="CM27" s="1947"/>
      <c r="CN27" s="1947"/>
      <c r="CO27" s="1947"/>
      <c r="CP27" s="1947"/>
      <c r="CQ27" s="1947"/>
      <c r="CR27" s="1947"/>
      <c r="CS27" s="1947"/>
      <c r="CT27" s="1947"/>
      <c r="CU27" s="1947"/>
      <c r="CV27" s="1947"/>
      <c r="CW27" s="1947"/>
      <c r="CX27" s="1947"/>
      <c r="CY27" s="1947"/>
      <c r="CZ27" s="1947"/>
      <c r="DA27" s="1947"/>
      <c r="DB27" s="1947"/>
      <c r="DC27" s="1947"/>
      <c r="DD27" s="1947"/>
      <c r="DE27" s="1947"/>
      <c r="DF27" s="1947"/>
      <c r="DG27" s="1947"/>
      <c r="DH27" s="1947"/>
      <c r="DI27" s="1947"/>
      <c r="DJ27" s="1947"/>
      <c r="DK27" s="1947"/>
      <c r="DL27" s="1947"/>
      <c r="DM27" s="1947"/>
      <c r="DN27" s="1947"/>
      <c r="DO27" s="1947"/>
      <c r="DP27" s="1947"/>
      <c r="DQ27" s="1947"/>
      <c r="DR27" s="1947"/>
      <c r="DS27" s="1947"/>
      <c r="DT27" s="1947"/>
      <c r="DU27" s="1947"/>
      <c r="DV27" s="1947"/>
      <c r="DW27" s="1947"/>
      <c r="DX27" s="1947"/>
      <c r="DY27" s="1947"/>
      <c r="DZ27" s="1947"/>
      <c r="EA27" s="1947"/>
      <c r="EB27" s="1947"/>
      <c r="EC27" s="1947"/>
      <c r="ED27" s="1947"/>
      <c r="EE27" s="1947"/>
      <c r="EF27" s="1947"/>
    </row>
    <row r="28" spans="1:136" s="1946" customFormat="1" ht="12" hidden="1" customHeight="1" outlineLevel="3" x14ac:dyDescent="0.2">
      <c r="A28" s="1951" t="s">
        <v>883</v>
      </c>
      <c r="B28" s="1952" t="s">
        <v>884</v>
      </c>
      <c r="C28" s="1948"/>
      <c r="D28" s="1948"/>
      <c r="E28" s="1948"/>
      <c r="F28" s="1948"/>
      <c r="G28" s="1948"/>
      <c r="H28" s="1948"/>
      <c r="I28" s="1948"/>
      <c r="J28" s="1948"/>
      <c r="K28" s="1948"/>
      <c r="L28" s="1948"/>
      <c r="M28" s="1948"/>
      <c r="N28" s="1948"/>
      <c r="O28" s="1948"/>
      <c r="P28" s="1948"/>
      <c r="Q28" s="2143"/>
      <c r="R28" s="1948"/>
      <c r="S28" s="1948"/>
      <c r="T28" s="1948"/>
      <c r="U28" s="1948"/>
      <c r="V28" s="1948"/>
      <c r="W28" s="1948"/>
      <c r="X28" s="1948"/>
      <c r="Y28" s="1948"/>
      <c r="Z28" s="1948"/>
      <c r="AA28" s="1948"/>
      <c r="AB28" s="1948"/>
      <c r="AC28" s="1948"/>
      <c r="AD28" s="1952"/>
      <c r="AE28" s="1952"/>
      <c r="AF28" s="1952"/>
      <c r="AG28" s="1952"/>
      <c r="AH28" s="1952"/>
      <c r="AI28" s="1948"/>
      <c r="AJ28" s="1948"/>
      <c r="AK28" s="1952"/>
      <c r="AL28" s="1952"/>
      <c r="AM28" s="1952"/>
      <c r="AN28" s="1952"/>
      <c r="AO28" s="1948"/>
      <c r="AP28" s="1948"/>
      <c r="AQ28" s="1952"/>
      <c r="AR28" s="1948"/>
      <c r="AS28" s="1948"/>
      <c r="AT28" s="1948"/>
      <c r="AU28" s="1948"/>
      <c r="AV28" s="1952"/>
      <c r="AW28" s="1948"/>
      <c r="AX28" s="1952"/>
      <c r="AY28" s="1948"/>
      <c r="AZ28" s="1948"/>
      <c r="BA28" s="1948"/>
      <c r="BB28" s="1948"/>
      <c r="BC28" s="1948"/>
      <c r="BD28" s="1948"/>
      <c r="BE28" s="1948"/>
      <c r="BF28" s="1948"/>
      <c r="BG28" s="1948"/>
      <c r="BH28" s="1948"/>
      <c r="BI28" s="1948"/>
      <c r="BJ28" s="1948"/>
      <c r="BK28" s="1948"/>
      <c r="BL28" s="1948"/>
      <c r="BM28" s="1948"/>
      <c r="BN28" s="1948"/>
      <c r="BO28" s="1948"/>
      <c r="BP28" s="1948"/>
      <c r="BQ28" s="1948"/>
      <c r="BR28" s="1948"/>
      <c r="BS28" s="1948"/>
      <c r="BT28" s="1948"/>
      <c r="BU28" s="1948"/>
      <c r="BV28" s="1948"/>
      <c r="BW28" s="1948"/>
      <c r="BX28" s="1948"/>
      <c r="BY28" s="1948"/>
      <c r="BZ28" s="1948"/>
      <c r="CA28" s="1948"/>
      <c r="CB28" s="1948"/>
      <c r="CC28" s="1948"/>
      <c r="CD28" s="1948"/>
      <c r="CE28" s="1948"/>
      <c r="CF28" s="1948"/>
      <c r="CG28" s="1947"/>
      <c r="CH28" s="1947"/>
      <c r="CI28" s="1947"/>
      <c r="CJ28" s="1947"/>
      <c r="CK28" s="1947"/>
      <c r="CL28" s="1947"/>
      <c r="CM28" s="1947"/>
      <c r="CN28" s="1947"/>
      <c r="CO28" s="1947"/>
      <c r="CP28" s="1947"/>
      <c r="CQ28" s="1947"/>
      <c r="CR28" s="1947"/>
      <c r="CS28" s="1947"/>
      <c r="CT28" s="1947"/>
      <c r="CU28" s="1947"/>
      <c r="CV28" s="1947"/>
      <c r="CW28" s="1947"/>
      <c r="CX28" s="1947"/>
      <c r="CY28" s="1947"/>
      <c r="CZ28" s="1947"/>
      <c r="DA28" s="1947"/>
      <c r="DB28" s="1947"/>
      <c r="DC28" s="1947"/>
      <c r="DD28" s="1947"/>
      <c r="DE28" s="1947"/>
      <c r="DF28" s="1947"/>
      <c r="DG28" s="1947"/>
      <c r="DH28" s="1947"/>
      <c r="DI28" s="1947"/>
      <c r="DJ28" s="1947"/>
      <c r="DK28" s="1947"/>
      <c r="DL28" s="1947"/>
      <c r="DM28" s="1947"/>
      <c r="DN28" s="1947"/>
      <c r="DO28" s="1947"/>
      <c r="DP28" s="1947"/>
      <c r="DQ28" s="1947"/>
      <c r="DR28" s="1947"/>
      <c r="DS28" s="1947"/>
      <c r="DT28" s="1947"/>
      <c r="DU28" s="1947"/>
      <c r="DV28" s="1947"/>
      <c r="DW28" s="1947"/>
      <c r="DX28" s="1947"/>
      <c r="DY28" s="1947"/>
      <c r="DZ28" s="1947"/>
      <c r="EA28" s="1947"/>
      <c r="EB28" s="1947"/>
      <c r="EC28" s="1947"/>
      <c r="ED28" s="1947"/>
      <c r="EE28" s="1947"/>
      <c r="EF28" s="1947"/>
    </row>
    <row r="29" spans="1:136" s="1946" customFormat="1" ht="12" hidden="1" customHeight="1" outlineLevel="3" x14ac:dyDescent="0.2">
      <c r="A29" s="1951" t="s">
        <v>885</v>
      </c>
      <c r="B29" s="1952" t="s">
        <v>2264</v>
      </c>
      <c r="C29" s="1948"/>
      <c r="D29" s="1948"/>
      <c r="E29" s="1948"/>
      <c r="F29" s="1948"/>
      <c r="G29" s="1948"/>
      <c r="H29" s="1948"/>
      <c r="I29" s="1948"/>
      <c r="J29" s="1948"/>
      <c r="K29" s="1948"/>
      <c r="L29" s="1948"/>
      <c r="M29" s="1948"/>
      <c r="N29" s="1948"/>
      <c r="O29" s="1948"/>
      <c r="P29" s="1948"/>
      <c r="Q29" s="2143"/>
      <c r="R29" s="1948"/>
      <c r="S29" s="1948"/>
      <c r="T29" s="1948"/>
      <c r="U29" s="1948"/>
      <c r="V29" s="1948"/>
      <c r="W29" s="1948"/>
      <c r="X29" s="1948"/>
      <c r="Y29" s="1948"/>
      <c r="Z29" s="1948"/>
      <c r="AA29" s="1948"/>
      <c r="AB29" s="1948"/>
      <c r="AC29" s="1948"/>
      <c r="AD29" s="1952"/>
      <c r="AE29" s="1952"/>
      <c r="AF29" s="1952"/>
      <c r="AG29" s="1952"/>
      <c r="AH29" s="1952"/>
      <c r="AI29" s="1948"/>
      <c r="AJ29" s="1948"/>
      <c r="AK29" s="1952"/>
      <c r="AL29" s="1952"/>
      <c r="AM29" s="1952"/>
      <c r="AN29" s="1952"/>
      <c r="AO29" s="1948"/>
      <c r="AP29" s="1948"/>
      <c r="AQ29" s="1952"/>
      <c r="AR29" s="1948"/>
      <c r="AS29" s="1948"/>
      <c r="AT29" s="1948"/>
      <c r="AU29" s="1948"/>
      <c r="AV29" s="1952"/>
      <c r="AW29" s="1948"/>
      <c r="AX29" s="1952"/>
      <c r="AY29" s="1948"/>
      <c r="AZ29" s="1948"/>
      <c r="BA29" s="1948"/>
      <c r="BB29" s="1948"/>
      <c r="BC29" s="1948"/>
      <c r="BD29" s="1948"/>
      <c r="BE29" s="1948"/>
      <c r="BF29" s="1948"/>
      <c r="BG29" s="1948"/>
      <c r="BH29" s="1948"/>
      <c r="BI29" s="1948"/>
      <c r="BJ29" s="1948"/>
      <c r="BK29" s="1948"/>
      <c r="BL29" s="1948"/>
      <c r="BM29" s="1948"/>
      <c r="BN29" s="1948"/>
      <c r="BO29" s="1948"/>
      <c r="BP29" s="1948"/>
      <c r="BQ29" s="1948"/>
      <c r="BR29" s="1948"/>
      <c r="BS29" s="1948"/>
      <c r="BT29" s="1948"/>
      <c r="BU29" s="1948"/>
      <c r="BV29" s="1948"/>
      <c r="BW29" s="1948"/>
      <c r="BX29" s="1948"/>
      <c r="BY29" s="1948"/>
      <c r="BZ29" s="1948"/>
      <c r="CA29" s="1948"/>
      <c r="CB29" s="1948"/>
      <c r="CC29" s="1948"/>
      <c r="CD29" s="1948"/>
      <c r="CE29" s="1948"/>
      <c r="CF29" s="1948"/>
      <c r="CG29" s="1947"/>
      <c r="CH29" s="1947"/>
      <c r="CI29" s="1947"/>
      <c r="CJ29" s="1947"/>
      <c r="CK29" s="1947"/>
      <c r="CL29" s="1947"/>
      <c r="CM29" s="1947"/>
      <c r="CN29" s="1947"/>
      <c r="CO29" s="1947"/>
      <c r="CP29" s="1947"/>
      <c r="CQ29" s="1947"/>
      <c r="CR29" s="1947"/>
      <c r="CS29" s="1947"/>
      <c r="CT29" s="1947"/>
      <c r="CU29" s="1947"/>
      <c r="CV29" s="1947"/>
      <c r="CW29" s="1947"/>
      <c r="CX29" s="1947"/>
      <c r="CY29" s="1947"/>
      <c r="CZ29" s="1947"/>
      <c r="DA29" s="1947"/>
      <c r="DB29" s="1947"/>
      <c r="DC29" s="1947"/>
      <c r="DD29" s="1947"/>
      <c r="DE29" s="1947"/>
      <c r="DF29" s="1947"/>
      <c r="DG29" s="1947"/>
      <c r="DH29" s="1947"/>
      <c r="DI29" s="1947"/>
      <c r="DJ29" s="1947"/>
      <c r="DK29" s="1947"/>
      <c r="DL29" s="1947"/>
      <c r="DM29" s="1947"/>
      <c r="DN29" s="1947"/>
      <c r="DO29" s="1947"/>
      <c r="DP29" s="1947"/>
      <c r="DQ29" s="1947"/>
      <c r="DR29" s="1947"/>
      <c r="DS29" s="1947"/>
      <c r="DT29" s="1947"/>
      <c r="DU29" s="1947"/>
      <c r="DV29" s="1947"/>
      <c r="DW29" s="1947"/>
      <c r="DX29" s="1947"/>
      <c r="DY29" s="1947"/>
      <c r="DZ29" s="1947"/>
      <c r="EA29" s="1947"/>
      <c r="EB29" s="1947"/>
      <c r="EC29" s="1947"/>
      <c r="ED29" s="1947"/>
      <c r="EE29" s="1947"/>
      <c r="EF29" s="1947"/>
    </row>
    <row r="30" spans="1:136" s="1946" customFormat="1" ht="12" hidden="1" customHeight="1" outlineLevel="3" x14ac:dyDescent="0.2">
      <c r="A30" s="1951" t="s">
        <v>886</v>
      </c>
      <c r="B30" s="1952" t="s">
        <v>2265</v>
      </c>
      <c r="C30" s="1948"/>
      <c r="D30" s="1948"/>
      <c r="E30" s="1948"/>
      <c r="F30" s="1948"/>
      <c r="G30" s="1948"/>
      <c r="H30" s="1948"/>
      <c r="I30" s="1948"/>
      <c r="J30" s="1948"/>
      <c r="K30" s="1948"/>
      <c r="L30" s="1948"/>
      <c r="M30" s="1948"/>
      <c r="N30" s="1948"/>
      <c r="O30" s="1948"/>
      <c r="P30" s="1948"/>
      <c r="Q30" s="2143"/>
      <c r="R30" s="1948"/>
      <c r="S30" s="1948"/>
      <c r="T30" s="1948"/>
      <c r="U30" s="1948"/>
      <c r="V30" s="1948"/>
      <c r="W30" s="1948"/>
      <c r="X30" s="1948"/>
      <c r="Y30" s="1948"/>
      <c r="Z30" s="1948"/>
      <c r="AA30" s="1948"/>
      <c r="AB30" s="1948"/>
      <c r="AC30" s="1948"/>
      <c r="AD30" s="1952"/>
      <c r="AE30" s="1952"/>
      <c r="AF30" s="1952"/>
      <c r="AG30" s="1952"/>
      <c r="AH30" s="1952"/>
      <c r="AI30" s="1948"/>
      <c r="AJ30" s="1948"/>
      <c r="AK30" s="1952"/>
      <c r="AL30" s="1952"/>
      <c r="AM30" s="1952"/>
      <c r="AN30" s="1952"/>
      <c r="AO30" s="1948"/>
      <c r="AP30" s="1948"/>
      <c r="AQ30" s="1952"/>
      <c r="AR30" s="1948"/>
      <c r="AS30" s="1948"/>
      <c r="AT30" s="1948"/>
      <c r="AU30" s="1948"/>
      <c r="AV30" s="1952"/>
      <c r="AW30" s="1948"/>
      <c r="AX30" s="1952"/>
      <c r="AY30" s="1948"/>
      <c r="AZ30" s="1948"/>
      <c r="BA30" s="1948"/>
      <c r="BB30" s="1948"/>
      <c r="BC30" s="1948"/>
      <c r="BD30" s="1948"/>
      <c r="BE30" s="1948"/>
      <c r="BF30" s="1948"/>
      <c r="BG30" s="1948"/>
      <c r="BH30" s="1948"/>
      <c r="BI30" s="1948"/>
      <c r="BJ30" s="1948"/>
      <c r="BK30" s="1948"/>
      <c r="BL30" s="1948"/>
      <c r="BM30" s="1948"/>
      <c r="BN30" s="1948"/>
      <c r="BO30" s="1948"/>
      <c r="BP30" s="1948"/>
      <c r="BQ30" s="1948"/>
      <c r="BR30" s="1948"/>
      <c r="BS30" s="1948"/>
      <c r="BT30" s="1948"/>
      <c r="BU30" s="1948"/>
      <c r="BV30" s="1948"/>
      <c r="BW30" s="1948"/>
      <c r="BX30" s="1948"/>
      <c r="BY30" s="1948"/>
      <c r="BZ30" s="1948"/>
      <c r="CA30" s="1948"/>
      <c r="CB30" s="1948"/>
      <c r="CC30" s="1948"/>
      <c r="CD30" s="1948"/>
      <c r="CE30" s="1948"/>
      <c r="CF30" s="1948"/>
      <c r="CG30" s="1947"/>
      <c r="CH30" s="1947"/>
      <c r="CI30" s="1947"/>
      <c r="CJ30" s="1947"/>
      <c r="CK30" s="1947"/>
      <c r="CL30" s="1947"/>
      <c r="CM30" s="1947"/>
      <c r="CN30" s="1947"/>
      <c r="CO30" s="1947"/>
      <c r="CP30" s="1947"/>
      <c r="CQ30" s="1947"/>
      <c r="CR30" s="1947"/>
      <c r="CS30" s="1947"/>
      <c r="CT30" s="1947"/>
      <c r="CU30" s="1947"/>
      <c r="CV30" s="1947"/>
      <c r="CW30" s="1947"/>
      <c r="CX30" s="1947"/>
      <c r="CY30" s="1947"/>
      <c r="CZ30" s="1947"/>
      <c r="DA30" s="1947"/>
      <c r="DB30" s="1947"/>
      <c r="DC30" s="1947"/>
      <c r="DD30" s="1947"/>
      <c r="DE30" s="1947"/>
      <c r="DF30" s="1947"/>
      <c r="DG30" s="1947"/>
      <c r="DH30" s="1947"/>
      <c r="DI30" s="1947"/>
      <c r="DJ30" s="1947"/>
      <c r="DK30" s="1947"/>
      <c r="DL30" s="1947"/>
      <c r="DM30" s="1947"/>
      <c r="DN30" s="1947"/>
      <c r="DO30" s="1947"/>
      <c r="DP30" s="1947"/>
      <c r="DQ30" s="1947"/>
      <c r="DR30" s="1947"/>
      <c r="DS30" s="1947"/>
      <c r="DT30" s="1947"/>
      <c r="DU30" s="1947"/>
      <c r="DV30" s="1947"/>
      <c r="DW30" s="1947"/>
      <c r="DX30" s="1947"/>
      <c r="DY30" s="1947"/>
      <c r="DZ30" s="1947"/>
      <c r="EA30" s="1947"/>
      <c r="EB30" s="1947"/>
      <c r="EC30" s="1947"/>
      <c r="ED30" s="1947"/>
      <c r="EE30" s="1947"/>
      <c r="EF30" s="1947"/>
    </row>
    <row r="31" spans="1:136" s="1946" customFormat="1" ht="12" hidden="1" customHeight="1" outlineLevel="3" x14ac:dyDescent="0.2">
      <c r="A31" s="1951" t="s">
        <v>888</v>
      </c>
      <c r="B31" s="1952" t="s">
        <v>889</v>
      </c>
      <c r="C31" s="1948"/>
      <c r="D31" s="1948"/>
      <c r="E31" s="1948"/>
      <c r="F31" s="1948"/>
      <c r="G31" s="1948"/>
      <c r="H31" s="1948"/>
      <c r="I31" s="1948"/>
      <c r="J31" s="1948"/>
      <c r="K31" s="1948"/>
      <c r="L31" s="1948"/>
      <c r="M31" s="1948"/>
      <c r="N31" s="1948"/>
      <c r="O31" s="1948"/>
      <c r="P31" s="1948"/>
      <c r="Q31" s="2143"/>
      <c r="R31" s="1948"/>
      <c r="S31" s="1948"/>
      <c r="T31" s="1948"/>
      <c r="U31" s="1948"/>
      <c r="V31" s="1948"/>
      <c r="W31" s="1948"/>
      <c r="X31" s="1948"/>
      <c r="Y31" s="1948"/>
      <c r="Z31" s="1948"/>
      <c r="AA31" s="1948"/>
      <c r="AB31" s="1948"/>
      <c r="AC31" s="1948"/>
      <c r="AD31" s="1952"/>
      <c r="AE31" s="1952"/>
      <c r="AF31" s="1952"/>
      <c r="AG31" s="1952"/>
      <c r="AH31" s="1952"/>
      <c r="AI31" s="1948"/>
      <c r="AJ31" s="1948"/>
      <c r="AK31" s="1952"/>
      <c r="AL31" s="1952"/>
      <c r="AM31" s="1952"/>
      <c r="AN31" s="1952"/>
      <c r="AO31" s="1948"/>
      <c r="AP31" s="1948"/>
      <c r="AQ31" s="1952"/>
      <c r="AR31" s="1948"/>
      <c r="AS31" s="1948"/>
      <c r="AT31" s="1948"/>
      <c r="AU31" s="1948"/>
      <c r="AV31" s="1952"/>
      <c r="AW31" s="1948"/>
      <c r="AX31" s="1952"/>
      <c r="AY31" s="1948"/>
      <c r="AZ31" s="1948"/>
      <c r="BA31" s="1948"/>
      <c r="BB31" s="1948"/>
      <c r="BC31" s="1948"/>
      <c r="BD31" s="1948"/>
      <c r="BE31" s="1948"/>
      <c r="BF31" s="1948"/>
      <c r="BG31" s="1948"/>
      <c r="BH31" s="1948"/>
      <c r="BI31" s="1948"/>
      <c r="BJ31" s="1948"/>
      <c r="BK31" s="1948"/>
      <c r="BL31" s="1948"/>
      <c r="BM31" s="1948"/>
      <c r="BN31" s="1948"/>
      <c r="BO31" s="1948"/>
      <c r="BP31" s="1948"/>
      <c r="BQ31" s="1948"/>
      <c r="BR31" s="1948"/>
      <c r="BS31" s="1948"/>
      <c r="BT31" s="1948"/>
      <c r="BU31" s="1948"/>
      <c r="BV31" s="1948"/>
      <c r="BW31" s="1948"/>
      <c r="BX31" s="1948"/>
      <c r="BY31" s="1948"/>
      <c r="BZ31" s="1948"/>
      <c r="CA31" s="1948"/>
      <c r="CB31" s="1948"/>
      <c r="CC31" s="1948"/>
      <c r="CD31" s="1948"/>
      <c r="CE31" s="1948"/>
      <c r="CF31" s="1948"/>
      <c r="CG31" s="1947"/>
      <c r="CH31" s="1947"/>
      <c r="CI31" s="1947"/>
      <c r="CJ31" s="1947"/>
      <c r="CK31" s="1947"/>
      <c r="CL31" s="1947"/>
      <c r="CM31" s="1947"/>
      <c r="CN31" s="1947"/>
      <c r="CO31" s="1947"/>
      <c r="CP31" s="1947"/>
      <c r="CQ31" s="1947"/>
      <c r="CR31" s="1947"/>
      <c r="CS31" s="1947"/>
      <c r="CT31" s="1947"/>
      <c r="CU31" s="1947"/>
      <c r="CV31" s="1947"/>
      <c r="CW31" s="1947"/>
      <c r="CX31" s="1947"/>
      <c r="CY31" s="1947"/>
      <c r="CZ31" s="1947"/>
      <c r="DA31" s="1947"/>
      <c r="DB31" s="1947"/>
      <c r="DC31" s="1947"/>
      <c r="DD31" s="1947"/>
      <c r="DE31" s="1947"/>
      <c r="DF31" s="1947"/>
      <c r="DG31" s="1947"/>
      <c r="DH31" s="1947"/>
      <c r="DI31" s="1947"/>
      <c r="DJ31" s="1947"/>
      <c r="DK31" s="1947"/>
      <c r="DL31" s="1947"/>
      <c r="DM31" s="1947"/>
      <c r="DN31" s="1947"/>
      <c r="DO31" s="1947"/>
      <c r="DP31" s="1947"/>
      <c r="DQ31" s="1947"/>
      <c r="DR31" s="1947"/>
      <c r="DS31" s="1947"/>
      <c r="DT31" s="1947"/>
      <c r="DU31" s="1947"/>
      <c r="DV31" s="1947"/>
      <c r="DW31" s="1947"/>
      <c r="DX31" s="1947"/>
      <c r="DY31" s="1947"/>
      <c r="DZ31" s="1947"/>
      <c r="EA31" s="1947"/>
      <c r="EB31" s="1947"/>
      <c r="EC31" s="1947"/>
      <c r="ED31" s="1947"/>
      <c r="EE31" s="1947"/>
      <c r="EF31" s="1947"/>
    </row>
    <row r="32" spans="1:136" s="1946" customFormat="1" ht="12" hidden="1" customHeight="1" outlineLevel="3" x14ac:dyDescent="0.2">
      <c r="A32" s="1951" t="s">
        <v>890</v>
      </c>
      <c r="B32" s="1952" t="s">
        <v>724</v>
      </c>
      <c r="C32" s="1948"/>
      <c r="D32" s="1948"/>
      <c r="E32" s="1948"/>
      <c r="F32" s="1948"/>
      <c r="G32" s="1948"/>
      <c r="H32" s="1948"/>
      <c r="I32" s="1948"/>
      <c r="J32" s="1948"/>
      <c r="K32" s="1948"/>
      <c r="L32" s="1948"/>
      <c r="M32" s="1948"/>
      <c r="N32" s="1948"/>
      <c r="O32" s="1948"/>
      <c r="P32" s="1948"/>
      <c r="Q32" s="2143"/>
      <c r="R32" s="1948"/>
      <c r="S32" s="1948"/>
      <c r="T32" s="1948"/>
      <c r="U32" s="1948"/>
      <c r="V32" s="1948"/>
      <c r="W32" s="1948"/>
      <c r="X32" s="1948"/>
      <c r="Y32" s="1948"/>
      <c r="Z32" s="1948"/>
      <c r="AA32" s="1948"/>
      <c r="AB32" s="1948"/>
      <c r="AC32" s="1948"/>
      <c r="AD32" s="1952"/>
      <c r="AE32" s="1952"/>
      <c r="AF32" s="1952"/>
      <c r="AG32" s="1952"/>
      <c r="AH32" s="1952"/>
      <c r="AI32" s="1948"/>
      <c r="AJ32" s="1948"/>
      <c r="AK32" s="1952"/>
      <c r="AL32" s="1952"/>
      <c r="AM32" s="1952"/>
      <c r="AN32" s="1952"/>
      <c r="AO32" s="1948"/>
      <c r="AP32" s="1948"/>
      <c r="AQ32" s="1952"/>
      <c r="AR32" s="1948"/>
      <c r="AS32" s="1948"/>
      <c r="AT32" s="1948"/>
      <c r="AU32" s="1948"/>
      <c r="AV32" s="1952"/>
      <c r="AW32" s="1948"/>
      <c r="AX32" s="1952"/>
      <c r="AY32" s="1948"/>
      <c r="AZ32" s="1948"/>
      <c r="BA32" s="1948"/>
      <c r="BB32" s="1948"/>
      <c r="BC32" s="1948"/>
      <c r="BD32" s="1948"/>
      <c r="BE32" s="1948"/>
      <c r="BF32" s="1948"/>
      <c r="BG32" s="1948"/>
      <c r="BH32" s="1948"/>
      <c r="BI32" s="1948"/>
      <c r="BJ32" s="1948"/>
      <c r="BK32" s="1948"/>
      <c r="BL32" s="1948"/>
      <c r="BM32" s="1948"/>
      <c r="BN32" s="1948"/>
      <c r="BO32" s="1948"/>
      <c r="BP32" s="1948"/>
      <c r="BQ32" s="1948"/>
      <c r="BR32" s="1948"/>
      <c r="BS32" s="1948"/>
      <c r="BT32" s="1948"/>
      <c r="BU32" s="1948"/>
      <c r="BV32" s="1948"/>
      <c r="BW32" s="1948"/>
      <c r="BX32" s="1948"/>
      <c r="BY32" s="1948"/>
      <c r="BZ32" s="1948"/>
      <c r="CA32" s="1948"/>
      <c r="CB32" s="1948"/>
      <c r="CC32" s="1948"/>
      <c r="CD32" s="1948"/>
      <c r="CE32" s="1948"/>
      <c r="CF32" s="1948"/>
      <c r="CG32" s="1947"/>
      <c r="CH32" s="1947"/>
      <c r="CI32" s="1947"/>
      <c r="CJ32" s="1947"/>
      <c r="CK32" s="1947"/>
      <c r="CL32" s="1947"/>
      <c r="CM32" s="1947"/>
      <c r="CN32" s="1947"/>
      <c r="CO32" s="1947"/>
      <c r="CP32" s="1947"/>
      <c r="CQ32" s="1947"/>
      <c r="CR32" s="1947"/>
      <c r="CS32" s="1947"/>
      <c r="CT32" s="1947"/>
      <c r="CU32" s="1947"/>
      <c r="CV32" s="1947"/>
      <c r="CW32" s="1947"/>
      <c r="CX32" s="1947"/>
      <c r="CY32" s="1947"/>
      <c r="CZ32" s="1947"/>
      <c r="DA32" s="1947"/>
      <c r="DB32" s="1947"/>
      <c r="DC32" s="1947"/>
      <c r="DD32" s="1947"/>
      <c r="DE32" s="1947"/>
      <c r="DF32" s="1947"/>
      <c r="DG32" s="1947"/>
      <c r="DH32" s="1947"/>
      <c r="DI32" s="1947"/>
      <c r="DJ32" s="1947"/>
      <c r="DK32" s="1947"/>
      <c r="DL32" s="1947"/>
      <c r="DM32" s="1947"/>
      <c r="DN32" s="1947"/>
      <c r="DO32" s="1947"/>
      <c r="DP32" s="1947"/>
      <c r="DQ32" s="1947"/>
      <c r="DR32" s="1947"/>
      <c r="DS32" s="1947"/>
      <c r="DT32" s="1947"/>
      <c r="DU32" s="1947"/>
      <c r="DV32" s="1947"/>
      <c r="DW32" s="1947"/>
      <c r="DX32" s="1947"/>
      <c r="DY32" s="1947"/>
      <c r="DZ32" s="1947"/>
      <c r="EA32" s="1947"/>
      <c r="EB32" s="1947"/>
      <c r="EC32" s="1947"/>
      <c r="ED32" s="1947"/>
      <c r="EE32" s="1947"/>
      <c r="EF32" s="1947"/>
    </row>
    <row r="33" spans="1:136" s="1946" customFormat="1" ht="12" hidden="1" customHeight="1" outlineLevel="3" x14ac:dyDescent="0.2">
      <c r="A33" s="1951" t="s">
        <v>891</v>
      </c>
      <c r="B33" s="1952" t="s">
        <v>2266</v>
      </c>
      <c r="C33" s="1948"/>
      <c r="D33" s="1952"/>
      <c r="E33" s="1948"/>
      <c r="F33" s="1952"/>
      <c r="G33" s="1952"/>
      <c r="H33" s="1948"/>
      <c r="I33" s="1952"/>
      <c r="J33" s="1948"/>
      <c r="K33" s="1948"/>
      <c r="L33" s="1948"/>
      <c r="M33" s="1948"/>
      <c r="N33" s="1948"/>
      <c r="O33" s="1948"/>
      <c r="P33" s="1948"/>
      <c r="Q33" s="2143"/>
      <c r="R33" s="1948"/>
      <c r="S33" s="1948"/>
      <c r="T33" s="1948"/>
      <c r="U33" s="1948"/>
      <c r="V33" s="1948"/>
      <c r="W33" s="1948"/>
      <c r="X33" s="1948"/>
      <c r="Y33" s="1948"/>
      <c r="Z33" s="1948"/>
      <c r="AA33" s="1948"/>
      <c r="AB33" s="1948"/>
      <c r="AC33" s="1948"/>
      <c r="AD33" s="1952"/>
      <c r="AE33" s="1952"/>
      <c r="AF33" s="1952"/>
      <c r="AG33" s="1952"/>
      <c r="AH33" s="1952"/>
      <c r="AI33" s="1948"/>
      <c r="AJ33" s="1952"/>
      <c r="AK33" s="1952"/>
      <c r="AL33" s="1952"/>
      <c r="AM33" s="1952"/>
      <c r="AN33" s="1952"/>
      <c r="AO33" s="1948"/>
      <c r="AP33" s="1952"/>
      <c r="AQ33" s="1952"/>
      <c r="AR33" s="1948"/>
      <c r="AS33" s="1952"/>
      <c r="AT33" s="1948"/>
      <c r="AU33" s="1952"/>
      <c r="AV33" s="1952"/>
      <c r="AW33" s="1948"/>
      <c r="AX33" s="1952"/>
      <c r="AY33" s="1948"/>
      <c r="AZ33" s="1952"/>
      <c r="BA33" s="1948"/>
      <c r="BB33" s="1952"/>
      <c r="BC33" s="1948"/>
      <c r="BD33" s="1952"/>
      <c r="BE33" s="1948"/>
      <c r="BF33" s="1952"/>
      <c r="BG33" s="1948"/>
      <c r="BH33" s="1952"/>
      <c r="BI33" s="1948"/>
      <c r="BJ33" s="1952"/>
      <c r="BK33" s="1948"/>
      <c r="BL33" s="1952"/>
      <c r="BM33" s="1948"/>
      <c r="BN33" s="1952"/>
      <c r="BO33" s="1948"/>
      <c r="BP33" s="1948"/>
      <c r="BQ33" s="1948"/>
      <c r="BR33" s="1948"/>
      <c r="BS33" s="1948"/>
      <c r="BT33" s="1948"/>
      <c r="BU33" s="1948"/>
      <c r="BV33" s="1948"/>
      <c r="BW33" s="1948"/>
      <c r="BX33" s="1948"/>
      <c r="BY33" s="1948"/>
      <c r="BZ33" s="1948"/>
      <c r="CA33" s="1948"/>
      <c r="CB33" s="1948"/>
      <c r="CC33" s="1948"/>
      <c r="CD33" s="1948"/>
      <c r="CE33" s="1948"/>
      <c r="CF33" s="1948"/>
      <c r="CG33" s="1947"/>
      <c r="CH33" s="1947"/>
      <c r="CI33" s="1947"/>
      <c r="CJ33" s="1947"/>
      <c r="CK33" s="1947"/>
      <c r="CL33" s="1947"/>
      <c r="CM33" s="1947"/>
      <c r="CN33" s="1947"/>
      <c r="CO33" s="1947"/>
      <c r="CP33" s="1947"/>
      <c r="CQ33" s="1947"/>
      <c r="CR33" s="1947"/>
      <c r="CS33" s="1947"/>
      <c r="CT33" s="1947"/>
      <c r="CU33" s="1947"/>
      <c r="CV33" s="1947"/>
      <c r="CW33" s="1947"/>
      <c r="CX33" s="1947"/>
      <c r="CY33" s="1947"/>
      <c r="CZ33" s="1947"/>
      <c r="DA33" s="1947"/>
      <c r="DB33" s="1947"/>
      <c r="DC33" s="1947"/>
      <c r="DD33" s="1947"/>
      <c r="DE33" s="1947"/>
      <c r="DF33" s="1947"/>
      <c r="DG33" s="1947"/>
      <c r="DH33" s="1947"/>
      <c r="DI33" s="1947"/>
      <c r="DJ33" s="1947"/>
      <c r="DK33" s="1947"/>
      <c r="DL33" s="1947"/>
      <c r="DM33" s="1947"/>
      <c r="DN33" s="1947"/>
      <c r="DO33" s="1947"/>
      <c r="DP33" s="1947"/>
      <c r="DQ33" s="1947"/>
      <c r="DR33" s="1947"/>
      <c r="DS33" s="1947"/>
      <c r="DT33" s="1947"/>
      <c r="DU33" s="1947"/>
      <c r="DV33" s="1947"/>
      <c r="DW33" s="1947"/>
      <c r="DX33" s="1947"/>
      <c r="DY33" s="1947"/>
      <c r="DZ33" s="1947"/>
      <c r="EA33" s="1947"/>
      <c r="EB33" s="1947"/>
      <c r="EC33" s="1947"/>
      <c r="ED33" s="1947"/>
      <c r="EE33" s="1947"/>
      <c r="EF33" s="1947"/>
    </row>
    <row r="34" spans="1:136" s="1946" customFormat="1" ht="12" hidden="1" customHeight="1" outlineLevel="3" x14ac:dyDescent="0.2">
      <c r="A34" s="1951" t="s">
        <v>893</v>
      </c>
      <c r="B34" s="1952" t="s">
        <v>724</v>
      </c>
      <c r="C34" s="1948"/>
      <c r="D34" s="1952"/>
      <c r="E34" s="1948"/>
      <c r="F34" s="1952"/>
      <c r="G34" s="1952"/>
      <c r="H34" s="1948"/>
      <c r="I34" s="1952"/>
      <c r="J34" s="1948"/>
      <c r="K34" s="1953"/>
      <c r="L34" s="1948"/>
      <c r="M34" s="1953"/>
      <c r="N34" s="1953"/>
      <c r="O34" s="1953"/>
      <c r="P34" s="1953"/>
      <c r="Q34" s="2142"/>
      <c r="R34" s="1953"/>
      <c r="S34" s="1953"/>
      <c r="T34" s="1953"/>
      <c r="U34" s="1953"/>
      <c r="V34" s="1953"/>
      <c r="W34" s="1948"/>
      <c r="X34" s="1948"/>
      <c r="Y34" s="1948"/>
      <c r="Z34" s="1948"/>
      <c r="AA34" s="1948"/>
      <c r="AB34" s="1948"/>
      <c r="AC34" s="1948"/>
      <c r="AD34" s="1952"/>
      <c r="AE34" s="1952"/>
      <c r="AF34" s="1952"/>
      <c r="AG34" s="1952"/>
      <c r="AH34" s="1952"/>
      <c r="AI34" s="1948"/>
      <c r="AJ34" s="1952"/>
      <c r="AK34" s="1952"/>
      <c r="AL34" s="1952"/>
      <c r="AM34" s="1952"/>
      <c r="AN34" s="1952"/>
      <c r="AO34" s="1948"/>
      <c r="AP34" s="1952"/>
      <c r="AQ34" s="1952"/>
      <c r="AR34" s="1948"/>
      <c r="AS34" s="1952"/>
      <c r="AT34" s="1948"/>
      <c r="AU34" s="1952"/>
      <c r="AV34" s="1952"/>
      <c r="AW34" s="1948"/>
      <c r="AX34" s="1952"/>
      <c r="AY34" s="1948"/>
      <c r="AZ34" s="1952"/>
      <c r="BA34" s="1948"/>
      <c r="BB34" s="1952"/>
      <c r="BC34" s="1948"/>
      <c r="BD34" s="1952"/>
      <c r="BE34" s="1948"/>
      <c r="BF34" s="1952"/>
      <c r="BG34" s="1953"/>
      <c r="BH34" s="1952"/>
      <c r="BI34" s="1953"/>
      <c r="BJ34" s="1952"/>
      <c r="BK34" s="1948"/>
      <c r="BL34" s="1952"/>
      <c r="BM34" s="1953"/>
      <c r="BN34" s="1952"/>
      <c r="BO34" s="1953"/>
      <c r="BP34" s="1952"/>
      <c r="BQ34" s="1948"/>
      <c r="BR34" s="1948"/>
      <c r="BS34" s="1948"/>
      <c r="BT34" s="1948"/>
      <c r="BU34" s="1948"/>
      <c r="BV34" s="1948"/>
      <c r="BW34" s="1948"/>
      <c r="BX34" s="1948"/>
      <c r="BY34" s="1948"/>
      <c r="BZ34" s="1948"/>
      <c r="CA34" s="1948"/>
      <c r="CB34" s="1948"/>
      <c r="CC34" s="1948"/>
      <c r="CD34" s="1948"/>
      <c r="CE34" s="1948"/>
      <c r="CF34" s="1948"/>
      <c r="CG34" s="1947"/>
      <c r="CH34" s="1947"/>
      <c r="CI34" s="1947"/>
      <c r="CJ34" s="1947"/>
      <c r="CK34" s="1953"/>
      <c r="CL34" s="1947"/>
      <c r="CM34" s="1953"/>
      <c r="CN34" s="1947"/>
      <c r="CO34" s="1953"/>
      <c r="CP34" s="1947"/>
      <c r="CQ34" s="1947"/>
      <c r="CR34" s="1947"/>
      <c r="CS34" s="1947"/>
      <c r="CT34" s="1947"/>
      <c r="CU34" s="1947"/>
      <c r="CV34" s="1947"/>
      <c r="CW34" s="1947"/>
      <c r="CX34" s="1947"/>
      <c r="CY34" s="1947"/>
      <c r="CZ34" s="1947"/>
      <c r="DA34" s="1947"/>
      <c r="DB34" s="1947"/>
      <c r="DC34" s="1947"/>
      <c r="DD34" s="1947"/>
      <c r="DE34" s="1947"/>
      <c r="DF34" s="1947"/>
      <c r="DG34" s="1947"/>
      <c r="DH34" s="1947"/>
      <c r="DI34" s="1947"/>
      <c r="DJ34" s="1947"/>
      <c r="DK34" s="1947"/>
      <c r="DL34" s="1947"/>
      <c r="DM34" s="1947"/>
      <c r="DN34" s="1947"/>
      <c r="DO34" s="1947"/>
      <c r="DP34" s="1947"/>
      <c r="DQ34" s="1947"/>
      <c r="DR34" s="1947"/>
      <c r="DS34" s="1947"/>
      <c r="DT34" s="1947"/>
      <c r="DU34" s="1947"/>
      <c r="DV34" s="1947"/>
      <c r="DW34" s="1947"/>
      <c r="DX34" s="1947"/>
      <c r="DY34" s="1947"/>
      <c r="DZ34" s="1947"/>
      <c r="EA34" s="1947"/>
      <c r="EB34" s="1947"/>
      <c r="EC34" s="1947"/>
      <c r="ED34" s="1947"/>
      <c r="EE34" s="1947"/>
      <c r="EF34" s="1947"/>
    </row>
    <row r="35" spans="1:136" ht="12" hidden="1" customHeight="1" outlineLevel="3" x14ac:dyDescent="0.2">
      <c r="A35" s="1951"/>
      <c r="B35" s="1951"/>
      <c r="C35" s="1951"/>
      <c r="D35" s="1951"/>
      <c r="J35" s="1951"/>
      <c r="K35" s="1951"/>
      <c r="L35" s="1951"/>
      <c r="M35" s="1951"/>
      <c r="N35" s="1951"/>
      <c r="O35" s="1951"/>
      <c r="P35" s="1951"/>
      <c r="Q35" s="2144"/>
      <c r="R35" s="1951"/>
      <c r="S35" s="1951"/>
      <c r="T35" s="1951"/>
      <c r="U35" s="1951"/>
      <c r="V35" s="1951"/>
      <c r="W35" s="1951"/>
      <c r="X35" s="1951"/>
      <c r="Y35" s="1951"/>
      <c r="Z35" s="1951"/>
      <c r="AA35" s="1951"/>
      <c r="AB35" s="1947"/>
      <c r="AC35" s="1947"/>
      <c r="AD35" s="1951"/>
      <c r="AE35" s="1951"/>
      <c r="AF35" s="1957"/>
      <c r="AG35" s="1951"/>
      <c r="AH35" s="1951"/>
      <c r="AI35" s="1951"/>
      <c r="AJ35" s="1951"/>
      <c r="AK35" s="1951"/>
      <c r="AL35" s="1951"/>
      <c r="AM35" s="1951"/>
      <c r="AN35" s="1951"/>
      <c r="AO35" s="1951"/>
      <c r="AP35" s="1951"/>
      <c r="AQ35" s="1951"/>
      <c r="AR35" s="1951"/>
      <c r="AS35" s="1951"/>
      <c r="AT35" s="1951"/>
      <c r="AU35" s="1951"/>
      <c r="AV35" s="1951"/>
      <c r="AW35" s="1951"/>
      <c r="AX35" s="1951"/>
      <c r="AY35" s="1951"/>
      <c r="AZ35" s="1951"/>
      <c r="BA35" s="1951"/>
      <c r="BB35" s="1951"/>
      <c r="BC35" s="1951"/>
      <c r="BD35" s="1951"/>
      <c r="BE35" s="1951"/>
      <c r="BF35" s="1951"/>
      <c r="BG35" s="1951"/>
      <c r="BH35" s="1951"/>
      <c r="BI35" s="1951"/>
      <c r="BJ35" s="1951"/>
      <c r="BK35" s="1951"/>
      <c r="BL35" s="1951"/>
      <c r="BM35" s="1951"/>
      <c r="BN35" s="1951"/>
    </row>
    <row r="36" spans="1:136" ht="16.5" outlineLevel="2" collapsed="1" thickBot="1" x14ac:dyDescent="0.3">
      <c r="A36" s="1958" t="s">
        <v>894</v>
      </c>
      <c r="B36" s="1959"/>
      <c r="C36" s="1958" t="s">
        <v>895</v>
      </c>
      <c r="D36" s="1959"/>
      <c r="E36" s="1958" t="s">
        <v>896</v>
      </c>
      <c r="F36" s="1960" t="s">
        <v>104</v>
      </c>
      <c r="G36" s="1960" t="s">
        <v>898</v>
      </c>
      <c r="H36" s="1960" t="s">
        <v>899</v>
      </c>
      <c r="I36" s="1960" t="s">
        <v>900</v>
      </c>
      <c r="L36" s="2145" t="s">
        <v>5461</v>
      </c>
      <c r="M36" s="2145" t="s">
        <v>912</v>
      </c>
      <c r="N36" s="2146" t="s">
        <v>921</v>
      </c>
      <c r="O36" s="2147" t="s">
        <v>5462</v>
      </c>
      <c r="P36" s="2148" t="s">
        <v>5463</v>
      </c>
      <c r="Q36" s="2149"/>
      <c r="R36" s="2150" t="s">
        <v>5585</v>
      </c>
      <c r="S36" s="2151" t="s">
        <v>394</v>
      </c>
      <c r="T36" s="2151" t="s">
        <v>5586</v>
      </c>
      <c r="U36" s="2152" t="s">
        <v>392</v>
      </c>
    </row>
    <row r="37" spans="1:136" ht="15.75" outlineLevel="2" x14ac:dyDescent="0.25">
      <c r="A37" s="1980" t="s">
        <v>2267</v>
      </c>
      <c r="B37" s="1980" t="s">
        <v>2268</v>
      </c>
      <c r="C37" s="1980" t="s">
        <v>2042</v>
      </c>
      <c r="D37" s="1980" t="s">
        <v>2043</v>
      </c>
      <c r="E37" s="1980" t="s">
        <v>919</v>
      </c>
      <c r="F37" s="1985">
        <v>1000</v>
      </c>
      <c r="G37" s="1962">
        <v>0</v>
      </c>
      <c r="H37" s="1962">
        <v>0</v>
      </c>
      <c r="I37" s="1962">
        <v>1000</v>
      </c>
      <c r="L37" s="2182">
        <f>F37/$F37</f>
        <v>1</v>
      </c>
      <c r="M37" s="2183">
        <f>G37/$F37</f>
        <v>0</v>
      </c>
      <c r="N37" s="2183">
        <f>H37/$F37</f>
        <v>0</v>
      </c>
      <c r="O37" s="2183">
        <f>I37/$F37</f>
        <v>1</v>
      </c>
      <c r="P37" s="2184">
        <f>SUM(M37:O37)</f>
        <v>1</v>
      </c>
      <c r="Q37" s="2189" t="str">
        <f>LEFT(C37,3)</f>
        <v>302</v>
      </c>
      <c r="R37" s="2185" t="s">
        <v>393</v>
      </c>
      <c r="S37" s="2186">
        <f>IF($R37="PTD",$F37*T$601,IF($R37="PROD",$F37*T$602,IF($R37="TRANS",$F37*T$603,IF($R37="DIST",$F37*T$604,IF($R37="LABOR",$F37*T$605,IF($R37="TD",$F37*T$606))))))</f>
        <v>0</v>
      </c>
      <c r="T37" s="2186">
        <f>IF($R37="PTD",$F37*U$601,IF($R37="PROD",$F37*U$602,IF($R37="TRANS",$F37*U$603,IF($R37="DIST",$F37*U$604,IF($R37="LABOR",$F37*U$605,IF($R37="TD",$F37*U$606))))))</f>
        <v>0</v>
      </c>
      <c r="U37" s="2187">
        <f>IF($R37="PTD",$F37*V$601,IF($R37="PROD",$F37*V$602,IF($R37="TRANS",$F37*V$603,IF($R37="DIST",$F37*V$604,IF($R37="LABOR",$F37*V$605,IF($R37="TD",$F37*V$606))))))</f>
        <v>1000</v>
      </c>
    </row>
    <row r="38" spans="1:136" ht="15.75" outlineLevel="2" x14ac:dyDescent="0.25">
      <c r="A38" s="1980" t="s">
        <v>2267</v>
      </c>
      <c r="B38" s="1980" t="s">
        <v>2268</v>
      </c>
      <c r="C38" s="1980" t="s">
        <v>2042</v>
      </c>
      <c r="D38" s="1980" t="s">
        <v>2043</v>
      </c>
      <c r="E38" s="1980" t="s">
        <v>1083</v>
      </c>
      <c r="F38" s="1985">
        <v>13121.05416</v>
      </c>
      <c r="G38" s="1962">
        <v>3555.004292639027</v>
      </c>
      <c r="H38" s="1962">
        <v>999.54995215582983</v>
      </c>
      <c r="I38" s="1962">
        <v>710.32612939083754</v>
      </c>
      <c r="L38" s="2191">
        <f t="shared" ref="L38:L101" si="0">F38/$F38</f>
        <v>1</v>
      </c>
      <c r="M38" s="2188">
        <f t="shared" ref="M38:M101" si="1">G38/$F38</f>
        <v>0.27093892375481415</v>
      </c>
      <c r="N38" s="2188">
        <f t="shared" ref="N38:N101" si="2">H38/$F38</f>
        <v>7.6179088963979236E-2</v>
      </c>
      <c r="O38" s="2188">
        <f t="shared" ref="O38:O101" si="3">I38/$F38</f>
        <v>5.4136361357023585E-2</v>
      </c>
      <c r="P38" s="2192">
        <f t="shared" ref="P38:P101" si="4">SUM(M38:O38)</f>
        <v>0.40125437407581699</v>
      </c>
      <c r="Q38" s="2189" t="str">
        <f t="shared" ref="Q38:Q101" si="5">LEFT(C38,3)</f>
        <v>302</v>
      </c>
      <c r="R38" s="2196" t="s">
        <v>394</v>
      </c>
      <c r="S38" s="2190">
        <f t="shared" ref="S38:U38" si="6">IF($R38="PTD",$F38*T$601,IF($R38="PROD",$F38*T$602,IF($R38="TRANS",$F38*T$603,IF($R38="DIST",$F38*T$604,IF($R38="LABOR",$F38*T$605,IF($R38="TD",$F38*T$606))))))</f>
        <v>13121.05416</v>
      </c>
      <c r="T38" s="2190">
        <f t="shared" si="6"/>
        <v>0</v>
      </c>
      <c r="U38" s="2197">
        <f t="shared" si="6"/>
        <v>0</v>
      </c>
    </row>
    <row r="39" spans="1:136" ht="15.75" outlineLevel="2" x14ac:dyDescent="0.25">
      <c r="A39" s="1980" t="s">
        <v>2267</v>
      </c>
      <c r="B39" s="1980" t="s">
        <v>2268</v>
      </c>
      <c r="C39" s="1980" t="s">
        <v>2042</v>
      </c>
      <c r="D39" s="1980" t="s">
        <v>2043</v>
      </c>
      <c r="E39" s="1980" t="s">
        <v>1567</v>
      </c>
      <c r="F39" s="1985">
        <v>103455.07483</v>
      </c>
      <c r="G39" s="1962">
        <v>28030.006631413962</v>
      </c>
      <c r="H39" s="1962">
        <v>7881.1133492496992</v>
      </c>
      <c r="I39" s="1962">
        <v>5600.6813152147952</v>
      </c>
      <c r="L39" s="2191">
        <f t="shared" si="0"/>
        <v>1</v>
      </c>
      <c r="M39" s="2188">
        <f t="shared" si="1"/>
        <v>0.27093892375481415</v>
      </c>
      <c r="N39" s="2188">
        <f t="shared" si="2"/>
        <v>7.6179088963979236E-2</v>
      </c>
      <c r="O39" s="2188">
        <f t="shared" si="3"/>
        <v>5.4136361357023585E-2</v>
      </c>
      <c r="P39" s="2192">
        <f t="shared" si="4"/>
        <v>0.40125437407581699</v>
      </c>
      <c r="Q39" s="2189" t="str">
        <f t="shared" si="5"/>
        <v>302</v>
      </c>
      <c r="R39" s="2196" t="s">
        <v>394</v>
      </c>
      <c r="S39" s="2190">
        <f t="shared" ref="S39:U39" si="7">IF($R39="PTD",$F39*T$601,IF($R39="PROD",$F39*T$602,IF($R39="TRANS",$F39*T$603,IF($R39="DIST",$F39*T$604,IF($R39="LABOR",$F39*T$605,IF($R39="TD",$F39*T$606))))))</f>
        <v>103455.07483</v>
      </c>
      <c r="T39" s="2190">
        <f t="shared" si="7"/>
        <v>0</v>
      </c>
      <c r="U39" s="2197">
        <f t="shared" si="7"/>
        <v>0</v>
      </c>
    </row>
    <row r="40" spans="1:136" ht="15.75" outlineLevel="2" x14ac:dyDescent="0.25">
      <c r="A40" s="1980" t="s">
        <v>2267</v>
      </c>
      <c r="B40" s="1980" t="s">
        <v>2268</v>
      </c>
      <c r="C40" s="1980" t="s">
        <v>2042</v>
      </c>
      <c r="D40" s="1980" t="s">
        <v>2043</v>
      </c>
      <c r="E40" s="1980" t="s">
        <v>1568</v>
      </c>
      <c r="F40" s="1985">
        <v>10501.81313</v>
      </c>
      <c r="G40" s="1962">
        <v>2845.3499469163762</v>
      </c>
      <c r="H40" s="1962">
        <v>800.01855671335522</v>
      </c>
      <c r="I40" s="1962">
        <v>568.52995050961488</v>
      </c>
      <c r="L40" s="2191">
        <f t="shared" si="0"/>
        <v>1</v>
      </c>
      <c r="M40" s="2188">
        <f t="shared" si="1"/>
        <v>0.27093892375481415</v>
      </c>
      <c r="N40" s="2188">
        <f t="shared" si="2"/>
        <v>7.6179088963979236E-2</v>
      </c>
      <c r="O40" s="2188">
        <f t="shared" si="3"/>
        <v>5.4136361357023578E-2</v>
      </c>
      <c r="P40" s="2192">
        <f t="shared" si="4"/>
        <v>0.40125437407581699</v>
      </c>
      <c r="Q40" s="2189" t="str">
        <f t="shared" si="5"/>
        <v>302</v>
      </c>
      <c r="R40" s="2196" t="s">
        <v>394</v>
      </c>
      <c r="S40" s="2190">
        <f t="shared" ref="S40:U40" si="8">IF($R40="PTD",$F40*T$601,IF($R40="PROD",$F40*T$602,IF($R40="TRANS",$F40*T$603,IF($R40="DIST",$F40*T$604,IF($R40="LABOR",$F40*T$605,IF($R40="TD",$F40*T$606))))))</f>
        <v>10501.81313</v>
      </c>
      <c r="T40" s="2190">
        <f t="shared" si="8"/>
        <v>0</v>
      </c>
      <c r="U40" s="2197">
        <f t="shared" si="8"/>
        <v>0</v>
      </c>
    </row>
    <row r="41" spans="1:136" ht="15.75" outlineLevel="2" x14ac:dyDescent="0.25">
      <c r="A41" s="1980" t="s">
        <v>2267</v>
      </c>
      <c r="B41" s="1980" t="s">
        <v>2268</v>
      </c>
      <c r="C41" s="1980" t="s">
        <v>2044</v>
      </c>
      <c r="D41" s="1980" t="s">
        <v>2269</v>
      </c>
      <c r="E41" s="1980" t="s">
        <v>912</v>
      </c>
      <c r="F41" s="1985">
        <v>530.80893000000003</v>
      </c>
      <c r="G41" s="1962">
        <v>530.80893000000003</v>
      </c>
      <c r="H41" s="1962">
        <v>0</v>
      </c>
      <c r="I41" s="1962">
        <v>0</v>
      </c>
      <c r="L41" s="2191">
        <f t="shared" si="0"/>
        <v>1</v>
      </c>
      <c r="M41" s="2188">
        <f t="shared" si="1"/>
        <v>1</v>
      </c>
      <c r="N41" s="2188">
        <f t="shared" si="2"/>
        <v>0</v>
      </c>
      <c r="O41" s="2188">
        <f t="shared" si="3"/>
        <v>0</v>
      </c>
      <c r="P41" s="2192">
        <f t="shared" si="4"/>
        <v>1</v>
      </c>
      <c r="Q41" s="2189" t="str">
        <f t="shared" si="5"/>
        <v>303</v>
      </c>
      <c r="R41" s="2196" t="s">
        <v>393</v>
      </c>
      <c r="S41" s="2190">
        <f t="shared" ref="S41:U41" si="9">IF($R41="PTD",$F41*T$601,IF($R41="PROD",$F41*T$602,IF($R41="TRANS",$F41*T$603,IF($R41="DIST",$F41*T$604,IF($R41="LABOR",$F41*T$605,IF($R41="TD",$F41*T$606))))))</f>
        <v>0</v>
      </c>
      <c r="T41" s="2190">
        <f t="shared" si="9"/>
        <v>0</v>
      </c>
      <c r="U41" s="2197">
        <f t="shared" si="9"/>
        <v>530.80893000000003</v>
      </c>
    </row>
    <row r="42" spans="1:136" ht="15.75" outlineLevel="2" x14ac:dyDescent="0.25">
      <c r="A42" s="1980" t="s">
        <v>2267</v>
      </c>
      <c r="B42" s="1980" t="s">
        <v>2268</v>
      </c>
      <c r="C42" s="1980" t="s">
        <v>2044</v>
      </c>
      <c r="D42" s="1980" t="s">
        <v>2269</v>
      </c>
      <c r="E42" s="1980" t="s">
        <v>1083</v>
      </c>
      <c r="F42" s="1985">
        <v>50932.078719999998</v>
      </c>
      <c r="G42" s="1962">
        <v>13799.482592992272</v>
      </c>
      <c r="H42" s="1962">
        <v>3879.9593559312734</v>
      </c>
      <c r="I42" s="1962">
        <v>2757.2774182502912</v>
      </c>
      <c r="L42" s="2191">
        <f t="shared" si="0"/>
        <v>1</v>
      </c>
      <c r="M42" s="2188">
        <f t="shared" si="1"/>
        <v>0.27093892375481415</v>
      </c>
      <c r="N42" s="2188">
        <f t="shared" si="2"/>
        <v>7.6179088963979236E-2</v>
      </c>
      <c r="O42" s="2188">
        <f t="shared" si="3"/>
        <v>5.4136361357023585E-2</v>
      </c>
      <c r="P42" s="2192">
        <f t="shared" si="4"/>
        <v>0.40125437407581699</v>
      </c>
      <c r="Q42" s="2189" t="str">
        <f t="shared" si="5"/>
        <v>303</v>
      </c>
      <c r="R42" s="2196" t="s">
        <v>393</v>
      </c>
      <c r="S42" s="2190">
        <f t="shared" ref="S42:U42" si="10">IF($R42="PTD",$F42*T$601,IF($R42="PROD",$F42*T$602,IF($R42="TRANS",$F42*T$603,IF($R42="DIST",$F42*T$604,IF($R42="LABOR",$F42*T$605,IF($R42="TD",$F42*T$606))))))</f>
        <v>0</v>
      </c>
      <c r="T42" s="2190">
        <f t="shared" si="10"/>
        <v>0</v>
      </c>
      <c r="U42" s="2197">
        <f t="shared" si="10"/>
        <v>50932.078719999998</v>
      </c>
    </row>
    <row r="43" spans="1:136" ht="15.75" outlineLevel="2" x14ac:dyDescent="0.25">
      <c r="A43" s="1980" t="s">
        <v>2267</v>
      </c>
      <c r="B43" s="1980" t="s">
        <v>2268</v>
      </c>
      <c r="C43" s="1980" t="s">
        <v>2044</v>
      </c>
      <c r="D43" s="1980" t="s">
        <v>2269</v>
      </c>
      <c r="E43" s="1980" t="s">
        <v>920</v>
      </c>
      <c r="F43" s="1985">
        <v>3231.06594</v>
      </c>
      <c r="G43" s="1962">
        <v>0</v>
      </c>
      <c r="H43" s="1962">
        <v>0</v>
      </c>
      <c r="I43" s="1962">
        <v>0</v>
      </c>
      <c r="L43" s="2191">
        <f t="shared" si="0"/>
        <v>1</v>
      </c>
      <c r="M43" s="2188">
        <f t="shared" si="1"/>
        <v>0</v>
      </c>
      <c r="N43" s="2188">
        <f t="shared" si="2"/>
        <v>0</v>
      </c>
      <c r="O43" s="2188">
        <f t="shared" si="3"/>
        <v>0</v>
      </c>
      <c r="P43" s="2192">
        <f t="shared" si="4"/>
        <v>0</v>
      </c>
      <c r="Q43" s="2189" t="str">
        <f t="shared" si="5"/>
        <v>303</v>
      </c>
      <c r="R43" s="2196" t="s">
        <v>393</v>
      </c>
      <c r="S43" s="2190">
        <f t="shared" ref="S43:U43" si="11">IF($R43="PTD",$F43*T$601,IF($R43="PROD",$F43*T$602,IF($R43="TRANS",$F43*T$603,IF($R43="DIST",$F43*T$604,IF($R43="LABOR",$F43*T$605,IF($R43="TD",$F43*T$606))))))</f>
        <v>0</v>
      </c>
      <c r="T43" s="2190">
        <f t="shared" si="11"/>
        <v>0</v>
      </c>
      <c r="U43" s="2197">
        <f t="shared" si="11"/>
        <v>3231.06594</v>
      </c>
    </row>
    <row r="44" spans="1:136" ht="15.75" outlineLevel="2" x14ac:dyDescent="0.25">
      <c r="A44" s="1980" t="s">
        <v>2267</v>
      </c>
      <c r="B44" s="1980" t="s">
        <v>2268</v>
      </c>
      <c r="C44" s="1980" t="s">
        <v>2044</v>
      </c>
      <c r="D44" s="1980" t="s">
        <v>2269</v>
      </c>
      <c r="E44" s="1980" t="s">
        <v>922</v>
      </c>
      <c r="F44" s="1985">
        <v>4229.3195900000001</v>
      </c>
      <c r="G44" s="1962">
        <v>0</v>
      </c>
      <c r="H44" s="1962">
        <v>0</v>
      </c>
      <c r="I44" s="1962">
        <v>0</v>
      </c>
      <c r="L44" s="2191">
        <f t="shared" si="0"/>
        <v>1</v>
      </c>
      <c r="M44" s="2188">
        <f t="shared" si="1"/>
        <v>0</v>
      </c>
      <c r="N44" s="2188">
        <f t="shared" si="2"/>
        <v>0</v>
      </c>
      <c r="O44" s="2188">
        <f t="shared" si="3"/>
        <v>0</v>
      </c>
      <c r="P44" s="2192">
        <f t="shared" si="4"/>
        <v>0</v>
      </c>
      <c r="Q44" s="2189" t="str">
        <f t="shared" si="5"/>
        <v>303</v>
      </c>
      <c r="R44" s="2196" t="s">
        <v>393</v>
      </c>
      <c r="S44" s="2190">
        <f t="shared" ref="S44:U44" si="12">IF($R44="PTD",$F44*T$601,IF($R44="PROD",$F44*T$602,IF($R44="TRANS",$F44*T$603,IF($R44="DIST",$F44*T$604,IF($R44="LABOR",$F44*T$605,IF($R44="TD",$F44*T$606))))))</f>
        <v>0</v>
      </c>
      <c r="T44" s="2190">
        <f t="shared" si="12"/>
        <v>0</v>
      </c>
      <c r="U44" s="2197">
        <f t="shared" si="12"/>
        <v>4229.3195900000001</v>
      </c>
    </row>
    <row r="45" spans="1:136" ht="15.75" outlineLevel="2" x14ac:dyDescent="0.25">
      <c r="A45" s="1980" t="s">
        <v>2267</v>
      </c>
      <c r="B45" s="1980" t="s">
        <v>2268</v>
      </c>
      <c r="C45" s="1980" t="s">
        <v>2046</v>
      </c>
      <c r="D45" s="1980" t="s">
        <v>2270</v>
      </c>
      <c r="E45" s="1980" t="s">
        <v>913</v>
      </c>
      <c r="F45" s="1985">
        <v>11249.26273</v>
      </c>
      <c r="G45" s="1962">
        <v>3146.8450187551916</v>
      </c>
      <c r="H45" s="1962">
        <v>839.74937053063661</v>
      </c>
      <c r="I45" s="1962">
        <v>599.9511517203764</v>
      </c>
      <c r="L45" s="2191">
        <f t="shared" si="0"/>
        <v>1</v>
      </c>
      <c r="M45" s="2188">
        <f t="shared" si="1"/>
        <v>0.27973788987637871</v>
      </c>
      <c r="N45" s="2188">
        <f t="shared" si="2"/>
        <v>7.464928064051328E-2</v>
      </c>
      <c r="O45" s="2188">
        <f t="shared" si="3"/>
        <v>5.3332486414456461E-2</v>
      </c>
      <c r="P45" s="2192">
        <f t="shared" si="4"/>
        <v>0.40771965693134848</v>
      </c>
      <c r="Q45" s="2189" t="str">
        <f t="shared" si="5"/>
        <v>303</v>
      </c>
      <c r="R45" s="2196" t="s">
        <v>99</v>
      </c>
      <c r="S45" s="2190">
        <f t="shared" ref="S45:U45" si="13">IF($R45="PTD",$F45*T$601,IF($R45="PROD",$F45*T$602,IF($R45="TRANS",$F45*T$603,IF($R45="DIST",$F45*T$604,IF($R45="LABOR",$F45*T$605,IF($R45="TD",$F45*T$606))))))</f>
        <v>4951.8820742933076</v>
      </c>
      <c r="T45" s="2190">
        <f t="shared" si="13"/>
        <v>0</v>
      </c>
      <c r="U45" s="2197">
        <f t="shared" si="13"/>
        <v>6297.3806557066919</v>
      </c>
    </row>
    <row r="46" spans="1:136" ht="15.75" outlineLevel="2" x14ac:dyDescent="0.25">
      <c r="A46" s="1980" t="s">
        <v>2267</v>
      </c>
      <c r="B46" s="1980" t="s">
        <v>2268</v>
      </c>
      <c r="C46" s="1980" t="s">
        <v>2271</v>
      </c>
      <c r="D46" s="1980" t="s">
        <v>2272</v>
      </c>
      <c r="E46" s="1980" t="s">
        <v>913</v>
      </c>
      <c r="F46" s="1985">
        <v>3292.5410000000002</v>
      </c>
      <c r="G46" s="1962">
        <v>921.04847167146193</v>
      </c>
      <c r="H46" s="1962">
        <v>245.78581712939624</v>
      </c>
      <c r="I46" s="1962">
        <v>175.5993981515409</v>
      </c>
      <c r="L46" s="2191">
        <f t="shared" si="0"/>
        <v>1</v>
      </c>
      <c r="M46" s="2188">
        <f t="shared" si="1"/>
        <v>0.27973788987637871</v>
      </c>
      <c r="N46" s="2188">
        <f t="shared" si="2"/>
        <v>7.464928064051328E-2</v>
      </c>
      <c r="O46" s="2188">
        <f t="shared" si="3"/>
        <v>5.3332486414456461E-2</v>
      </c>
      <c r="P46" s="2192">
        <f t="shared" si="4"/>
        <v>0.40771965693134848</v>
      </c>
      <c r="Q46" s="2189" t="str">
        <f t="shared" si="5"/>
        <v>303</v>
      </c>
      <c r="R46" s="2196" t="s">
        <v>394</v>
      </c>
      <c r="S46" s="2190">
        <f t="shared" ref="S46:U46" si="14">IF($R46="PTD",$F46*T$601,IF($R46="PROD",$F46*T$602,IF($R46="TRANS",$F46*T$603,IF($R46="DIST",$F46*T$604,IF($R46="LABOR",$F46*T$605,IF($R46="TD",$F46*T$606))))))</f>
        <v>3292.5410000000002</v>
      </c>
      <c r="T46" s="2190">
        <f t="shared" si="14"/>
        <v>0</v>
      </c>
      <c r="U46" s="2197">
        <f t="shared" si="14"/>
        <v>0</v>
      </c>
    </row>
    <row r="47" spans="1:136" ht="15.75" outlineLevel="2" x14ac:dyDescent="0.25">
      <c r="A47" s="1980" t="s">
        <v>2267</v>
      </c>
      <c r="B47" s="1980" t="s">
        <v>2268</v>
      </c>
      <c r="C47" s="1980" t="s">
        <v>2273</v>
      </c>
      <c r="D47" s="1980" t="s">
        <v>2274</v>
      </c>
      <c r="E47" s="1980" t="s">
        <v>913</v>
      </c>
      <c r="F47" s="1985">
        <v>4409.6926000000003</v>
      </c>
      <c r="G47" s="1962">
        <v>1233.5581029274822</v>
      </c>
      <c r="H47" s="1962">
        <v>329.18038043579469</v>
      </c>
      <c r="I47" s="1962">
        <v>235.17987068142921</v>
      </c>
      <c r="L47" s="2191">
        <f t="shared" si="0"/>
        <v>1</v>
      </c>
      <c r="M47" s="2188">
        <f t="shared" si="1"/>
        <v>0.27973788987637871</v>
      </c>
      <c r="N47" s="2188">
        <f t="shared" si="2"/>
        <v>7.464928064051328E-2</v>
      </c>
      <c r="O47" s="2188">
        <f t="shared" si="3"/>
        <v>5.3332486414456461E-2</v>
      </c>
      <c r="P47" s="2192">
        <f t="shared" si="4"/>
        <v>0.40771965693134848</v>
      </c>
      <c r="Q47" s="2189" t="str">
        <f t="shared" si="5"/>
        <v>303</v>
      </c>
      <c r="R47" s="2196" t="s">
        <v>99</v>
      </c>
      <c r="S47" s="2190">
        <f t="shared" ref="S47:U47" si="15">IF($R47="PTD",$F47*T$601,IF($R47="PROD",$F47*T$602,IF($R47="TRANS",$F47*T$603,IF($R47="DIST",$F47*T$604,IF($R47="LABOR",$F47*T$605,IF($R47="TD",$F47*T$606))))))</f>
        <v>1941.1296778454607</v>
      </c>
      <c r="T47" s="2190">
        <f t="shared" si="15"/>
        <v>0</v>
      </c>
      <c r="U47" s="2197">
        <f t="shared" si="15"/>
        <v>2468.5629221545391</v>
      </c>
    </row>
    <row r="48" spans="1:136" ht="15.75" outlineLevel="2" x14ac:dyDescent="0.25">
      <c r="A48" s="1980" t="s">
        <v>2267</v>
      </c>
      <c r="B48" s="1980" t="s">
        <v>2268</v>
      </c>
      <c r="C48" s="1980" t="s">
        <v>2048</v>
      </c>
      <c r="D48" s="1980" t="s">
        <v>2049</v>
      </c>
      <c r="E48" s="1980" t="s">
        <v>913</v>
      </c>
      <c r="F48" s="1985">
        <v>16795.518820000001</v>
      </c>
      <c r="G48" s="1962">
        <v>4698.3429940858068</v>
      </c>
      <c r="H48" s="1962">
        <v>1253.7733978972026</v>
      </c>
      <c r="I48" s="1962">
        <v>895.74677929139784</v>
      </c>
      <c r="L48" s="2191">
        <f t="shared" si="0"/>
        <v>1</v>
      </c>
      <c r="M48" s="2188">
        <f t="shared" si="1"/>
        <v>0.27973788987637871</v>
      </c>
      <c r="N48" s="2188">
        <f t="shared" si="2"/>
        <v>7.464928064051328E-2</v>
      </c>
      <c r="O48" s="2188">
        <f t="shared" si="3"/>
        <v>5.3332486414456461E-2</v>
      </c>
      <c r="P48" s="2192">
        <f t="shared" si="4"/>
        <v>0.40771965693134848</v>
      </c>
      <c r="Q48" s="2189" t="str">
        <f t="shared" si="5"/>
        <v>303</v>
      </c>
      <c r="R48" s="2196" t="s">
        <v>392</v>
      </c>
      <c r="S48" s="2190">
        <f t="shared" ref="S48:U48" si="16">IF($R48="PTD",$F48*T$601,IF($R48="PROD",$F48*T$602,IF($R48="TRANS",$F48*T$603,IF($R48="DIST",$F48*T$604,IF($R48="LABOR",$F48*T$605,IF($R48="TD",$F48*T$606))))))</f>
        <v>0</v>
      </c>
      <c r="T48" s="2190">
        <f t="shared" si="16"/>
        <v>0</v>
      </c>
      <c r="U48" s="2197">
        <f t="shared" si="16"/>
        <v>16795.518820000001</v>
      </c>
    </row>
    <row r="49" spans="1:21" ht="15.75" outlineLevel="2" x14ac:dyDescent="0.25">
      <c r="A49" s="1980" t="s">
        <v>2267</v>
      </c>
      <c r="B49" s="1980" t="s">
        <v>2268</v>
      </c>
      <c r="C49" s="1980" t="s">
        <v>2050</v>
      </c>
      <c r="D49" s="1980" t="s">
        <v>2275</v>
      </c>
      <c r="E49" s="1980" t="s">
        <v>1754</v>
      </c>
      <c r="F49" s="1985">
        <v>148271.82006</v>
      </c>
      <c r="G49" s="1962">
        <v>45197.152684855362</v>
      </c>
      <c r="H49" s="1962">
        <v>9891.1948878536314</v>
      </c>
      <c r="I49" s="1962">
        <v>6331.454175399489</v>
      </c>
      <c r="L49" s="2191">
        <f t="shared" si="0"/>
        <v>1</v>
      </c>
      <c r="M49" s="2188">
        <f t="shared" si="1"/>
        <v>0.30482631606306432</v>
      </c>
      <c r="N49" s="2188">
        <f t="shared" si="2"/>
        <v>6.6709877061271919E-2</v>
      </c>
      <c r="O49" s="2188">
        <f t="shared" si="3"/>
        <v>4.2701668953934666E-2</v>
      </c>
      <c r="P49" s="2192">
        <f t="shared" si="4"/>
        <v>0.4142378620782709</v>
      </c>
      <c r="Q49" s="2189" t="str">
        <f t="shared" si="5"/>
        <v>303</v>
      </c>
      <c r="R49" s="2196" t="s">
        <v>392</v>
      </c>
      <c r="S49" s="2190">
        <f t="shared" ref="S49:U49" si="17">IF($R49="PTD",$F49*T$601,IF($R49="PROD",$F49*T$602,IF($R49="TRANS",$F49*T$603,IF($R49="DIST",$F49*T$604,IF($R49="LABOR",$F49*T$605,IF($R49="TD",$F49*T$606))))))</f>
        <v>0</v>
      </c>
      <c r="T49" s="2190">
        <f t="shared" si="17"/>
        <v>0</v>
      </c>
      <c r="U49" s="2197">
        <f t="shared" si="17"/>
        <v>148271.82006</v>
      </c>
    </row>
    <row r="50" spans="1:21" ht="15.75" outlineLevel="2" x14ac:dyDescent="0.25">
      <c r="A50" s="1980" t="s">
        <v>2267</v>
      </c>
      <c r="B50" s="1980" t="s">
        <v>2268</v>
      </c>
      <c r="C50" s="1980" t="s">
        <v>2052</v>
      </c>
      <c r="D50" s="1980" t="s">
        <v>2276</v>
      </c>
      <c r="E50" s="1980" t="s">
        <v>913</v>
      </c>
      <c r="F50" s="1985">
        <v>183249.07915999999</v>
      </c>
      <c r="G50" s="1962">
        <v>51261.710726007885</v>
      </c>
      <c r="H50" s="1962">
        <v>13679.411937330473</v>
      </c>
      <c r="I50" s="1962">
        <v>9773.1290247623565</v>
      </c>
      <c r="L50" s="2191">
        <f t="shared" si="0"/>
        <v>1</v>
      </c>
      <c r="M50" s="2188">
        <f t="shared" si="1"/>
        <v>0.27973788987637871</v>
      </c>
      <c r="N50" s="2188">
        <f t="shared" si="2"/>
        <v>7.464928064051328E-2</v>
      </c>
      <c r="O50" s="2188">
        <f t="shared" si="3"/>
        <v>5.3332486414456461E-2</v>
      </c>
      <c r="P50" s="2192">
        <f t="shared" si="4"/>
        <v>0.40771965693134848</v>
      </c>
      <c r="Q50" s="2189" t="str">
        <f t="shared" si="5"/>
        <v>303</v>
      </c>
      <c r="R50" s="2196" t="s">
        <v>95</v>
      </c>
      <c r="S50" s="2190">
        <f t="shared" ref="S50:U50" si="18">IF($R50="PTD",$F50*T$601,IF($R50="PROD",$F50*T$602,IF($R50="TRANS",$F50*T$603,IF($R50="DIST",$F50*T$604,IF($R50="LABOR",$F50*T$605,IF($R50="TD",$F50*T$606))))))</f>
        <v>76388.002022290995</v>
      </c>
      <c r="T50" s="2190">
        <f t="shared" si="18"/>
        <v>0</v>
      </c>
      <c r="U50" s="2197">
        <f t="shared" si="18"/>
        <v>106861.077137709</v>
      </c>
    </row>
    <row r="51" spans="1:21" ht="15.75" outlineLevel="2" x14ac:dyDescent="0.25">
      <c r="A51" s="1980" t="s">
        <v>2267</v>
      </c>
      <c r="B51" s="1980" t="s">
        <v>2268</v>
      </c>
      <c r="C51" s="1980" t="s">
        <v>2054</v>
      </c>
      <c r="D51" s="1980" t="s">
        <v>2055</v>
      </c>
      <c r="E51" s="1980" t="s">
        <v>1083</v>
      </c>
      <c r="F51" s="1985">
        <v>3281.2051200000001</v>
      </c>
      <c r="G51" s="1962">
        <v>889.00618383158587</v>
      </c>
      <c r="H51" s="1962">
        <v>249.95921674554418</v>
      </c>
      <c r="I51" s="1962">
        <v>177.63250606283594</v>
      </c>
      <c r="L51" s="2191">
        <f t="shared" si="0"/>
        <v>1</v>
      </c>
      <c r="M51" s="2188">
        <f t="shared" si="1"/>
        <v>0.27093892375481415</v>
      </c>
      <c r="N51" s="2188">
        <f t="shared" si="2"/>
        <v>7.6179088963979236E-2</v>
      </c>
      <c r="O51" s="2188">
        <f t="shared" si="3"/>
        <v>5.4136361357023585E-2</v>
      </c>
      <c r="P51" s="2192">
        <f t="shared" si="4"/>
        <v>0.40125437407581699</v>
      </c>
      <c r="Q51" s="2189" t="str">
        <f t="shared" si="5"/>
        <v>303</v>
      </c>
      <c r="R51" s="2196" t="s">
        <v>99</v>
      </c>
      <c r="S51" s="2190">
        <f t="shared" ref="S51:U51" si="19">IF($R51="PTD",$F51*T$601,IF($R51="PROD",$F51*T$602,IF($R51="TRANS",$F51*T$603,IF($R51="DIST",$F51*T$604,IF($R51="LABOR",$F51*T$605,IF($R51="TD",$F51*T$606))))))</f>
        <v>1444.3738408274708</v>
      </c>
      <c r="T51" s="2190">
        <f t="shared" si="19"/>
        <v>0</v>
      </c>
      <c r="U51" s="2197">
        <f t="shared" si="19"/>
        <v>1836.8312791725289</v>
      </c>
    </row>
    <row r="52" spans="1:21" ht="15.75" outlineLevel="2" x14ac:dyDescent="0.25">
      <c r="A52" s="1980" t="s">
        <v>2267</v>
      </c>
      <c r="B52" s="1980" t="s">
        <v>2268</v>
      </c>
      <c r="C52" s="1980" t="s">
        <v>2056</v>
      </c>
      <c r="D52" s="1980" t="s">
        <v>2057</v>
      </c>
      <c r="E52" s="1980" t="s">
        <v>913</v>
      </c>
      <c r="F52" s="1985">
        <v>3649.3470900000002</v>
      </c>
      <c r="G52" s="1962">
        <v>1020.8606543831031</v>
      </c>
      <c r="H52" s="1962">
        <v>272.42113507605046</v>
      </c>
      <c r="I52" s="1962">
        <v>194.62875409906124</v>
      </c>
      <c r="L52" s="2191">
        <f t="shared" si="0"/>
        <v>1</v>
      </c>
      <c r="M52" s="2188">
        <f t="shared" si="1"/>
        <v>0.27973788987637871</v>
      </c>
      <c r="N52" s="2188">
        <f t="shared" si="2"/>
        <v>7.4649280640513266E-2</v>
      </c>
      <c r="O52" s="2188">
        <f t="shared" si="3"/>
        <v>5.3332486414456461E-2</v>
      </c>
      <c r="P52" s="2192">
        <f t="shared" si="4"/>
        <v>0.40771965693134843</v>
      </c>
      <c r="Q52" s="2189" t="str">
        <f t="shared" si="5"/>
        <v>303</v>
      </c>
      <c r="R52" s="2196" t="s">
        <v>394</v>
      </c>
      <c r="S52" s="2190">
        <f t="shared" ref="S52:U52" si="20">IF($R52="PTD",$F52*T$601,IF($R52="PROD",$F52*T$602,IF($R52="TRANS",$F52*T$603,IF($R52="DIST",$F52*T$604,IF($R52="LABOR",$F52*T$605,IF($R52="TD",$F52*T$606))))))</f>
        <v>3649.3470900000002</v>
      </c>
      <c r="T52" s="2190">
        <f t="shared" si="20"/>
        <v>0</v>
      </c>
      <c r="U52" s="2197">
        <f t="shared" si="20"/>
        <v>0</v>
      </c>
    </row>
    <row r="53" spans="1:21" ht="15.75" outlineLevel="2" x14ac:dyDescent="0.25">
      <c r="A53" s="1980" t="s">
        <v>2267</v>
      </c>
      <c r="B53" s="1980" t="s">
        <v>2268</v>
      </c>
      <c r="C53" s="1980" t="s">
        <v>2058</v>
      </c>
      <c r="D53" s="1980" t="s">
        <v>2059</v>
      </c>
      <c r="E53" s="1980" t="s">
        <v>913</v>
      </c>
      <c r="F53" s="1985">
        <v>4359.3381799999997</v>
      </c>
      <c r="G53" s="1962">
        <v>1219.4720637307332</v>
      </c>
      <c r="H53" s="1962">
        <v>325.42145920572437</v>
      </c>
      <c r="I53" s="1962">
        <v>232.49434426087134</v>
      </c>
      <c r="L53" s="2191">
        <f t="shared" si="0"/>
        <v>1</v>
      </c>
      <c r="M53" s="2188">
        <f t="shared" si="1"/>
        <v>0.27973788987637871</v>
      </c>
      <c r="N53" s="2188">
        <f t="shared" si="2"/>
        <v>7.464928064051328E-2</v>
      </c>
      <c r="O53" s="2188">
        <f t="shared" si="3"/>
        <v>5.3332486414456461E-2</v>
      </c>
      <c r="P53" s="2192">
        <f t="shared" si="4"/>
        <v>0.40771965693134848</v>
      </c>
      <c r="Q53" s="2189" t="str">
        <f t="shared" si="5"/>
        <v>303</v>
      </c>
      <c r="R53" s="2196" t="s">
        <v>394</v>
      </c>
      <c r="S53" s="2190">
        <f t="shared" ref="S53:U53" si="21">IF($R53="PTD",$F53*T$601,IF($R53="PROD",$F53*T$602,IF($R53="TRANS",$F53*T$603,IF($R53="DIST",$F53*T$604,IF($R53="LABOR",$F53*T$605,IF($R53="TD",$F53*T$606))))))</f>
        <v>4359.3381799999997</v>
      </c>
      <c r="T53" s="2190">
        <f t="shared" si="21"/>
        <v>0</v>
      </c>
      <c r="U53" s="2197">
        <f t="shared" si="21"/>
        <v>0</v>
      </c>
    </row>
    <row r="54" spans="1:21" ht="15.75" outlineLevel="2" x14ac:dyDescent="0.25">
      <c r="A54" s="1980" t="s">
        <v>2267</v>
      </c>
      <c r="B54" s="1980" t="s">
        <v>2268</v>
      </c>
      <c r="C54" s="1980" t="s">
        <v>2060</v>
      </c>
      <c r="D54" s="1980" t="s">
        <v>2061</v>
      </c>
      <c r="E54" s="1980" t="s">
        <v>913</v>
      </c>
      <c r="F54" s="1985">
        <v>3082.5028000000002</v>
      </c>
      <c r="G54" s="1962">
        <v>862.29282881002905</v>
      </c>
      <c r="H54" s="1962">
        <v>230.106616592368</v>
      </c>
      <c r="I54" s="1962">
        <v>164.39753870352402</v>
      </c>
      <c r="L54" s="2191">
        <f t="shared" si="0"/>
        <v>1</v>
      </c>
      <c r="M54" s="2188">
        <f t="shared" si="1"/>
        <v>0.27973788987637871</v>
      </c>
      <c r="N54" s="2188">
        <f t="shared" si="2"/>
        <v>7.464928064051328E-2</v>
      </c>
      <c r="O54" s="2188">
        <f t="shared" si="3"/>
        <v>5.3332486414456461E-2</v>
      </c>
      <c r="P54" s="2192">
        <f t="shared" si="4"/>
        <v>0.40771965693134848</v>
      </c>
      <c r="Q54" s="2189" t="str">
        <f t="shared" si="5"/>
        <v>303</v>
      </c>
      <c r="R54" s="2196" t="s">
        <v>99</v>
      </c>
      <c r="S54" s="2190">
        <f t="shared" ref="S54:U54" si="22">IF($R54="PTD",$F54*T$601,IF($R54="PROD",$F54*T$602,IF($R54="TRANS",$F54*T$603,IF($R54="DIST",$F54*T$604,IF($R54="LABOR",$F54*T$605,IF($R54="TD",$F54*T$606))))))</f>
        <v>1356.9058458001655</v>
      </c>
      <c r="T54" s="2190">
        <f t="shared" si="22"/>
        <v>0</v>
      </c>
      <c r="U54" s="2197">
        <f t="shared" si="22"/>
        <v>1725.5969541998345</v>
      </c>
    </row>
    <row r="55" spans="1:21" ht="15.75" outlineLevel="2" x14ac:dyDescent="0.25">
      <c r="A55" s="1980" t="s">
        <v>2267</v>
      </c>
      <c r="B55" s="1980" t="s">
        <v>2268</v>
      </c>
      <c r="C55" s="1980" t="s">
        <v>2062</v>
      </c>
      <c r="D55" s="1980" t="s">
        <v>2063</v>
      </c>
      <c r="E55" s="1980" t="s">
        <v>913</v>
      </c>
      <c r="F55" s="1985">
        <v>1429.0590999999999</v>
      </c>
      <c r="G55" s="1962">
        <v>399.76197714263685</v>
      </c>
      <c r="H55" s="1962">
        <v>106.67823380777932</v>
      </c>
      <c r="I55" s="1962">
        <v>76.215275036205369</v>
      </c>
      <c r="L55" s="2191">
        <f t="shared" si="0"/>
        <v>1</v>
      </c>
      <c r="M55" s="2188">
        <f t="shared" si="1"/>
        <v>0.27973788987637871</v>
      </c>
      <c r="N55" s="2188">
        <f t="shared" si="2"/>
        <v>7.464928064051328E-2</v>
      </c>
      <c r="O55" s="2188">
        <f t="shared" si="3"/>
        <v>5.3332486414456461E-2</v>
      </c>
      <c r="P55" s="2192">
        <f t="shared" si="4"/>
        <v>0.40771965693134848</v>
      </c>
      <c r="Q55" s="2189" t="str">
        <f t="shared" si="5"/>
        <v>303</v>
      </c>
      <c r="R55" s="2196" t="s">
        <v>99</v>
      </c>
      <c r="S55" s="2190">
        <f t="shared" ref="S55:U55" si="23">IF($R55="PTD",$F55*T$601,IF($R55="PROD",$F55*T$602,IF($R55="TRANS",$F55*T$603,IF($R55="DIST",$F55*T$604,IF($R55="LABOR",$F55*T$605,IF($R55="TD",$F55*T$606))))))</f>
        <v>629.06630507648617</v>
      </c>
      <c r="T55" s="2190">
        <f t="shared" si="23"/>
        <v>0</v>
      </c>
      <c r="U55" s="2197">
        <f t="shared" si="23"/>
        <v>799.99279492351354</v>
      </c>
    </row>
    <row r="56" spans="1:21" ht="15.75" outlineLevel="2" x14ac:dyDescent="0.25">
      <c r="A56" s="1980" t="s">
        <v>2267</v>
      </c>
      <c r="B56" s="1980" t="s">
        <v>2268</v>
      </c>
      <c r="C56" s="1980" t="s">
        <v>2064</v>
      </c>
      <c r="D56" s="1980" t="s">
        <v>2065</v>
      </c>
      <c r="E56" s="1980" t="s">
        <v>913</v>
      </c>
      <c r="F56" s="1985">
        <v>1342.4746700000001</v>
      </c>
      <c r="G56" s="1962">
        <v>375.54103139828788</v>
      </c>
      <c r="H56" s="1962">
        <v>100.21476839361046</v>
      </c>
      <c r="I56" s="1962">
        <v>71.597512099526924</v>
      </c>
      <c r="L56" s="2191">
        <f t="shared" si="0"/>
        <v>1</v>
      </c>
      <c r="M56" s="2188">
        <f t="shared" si="1"/>
        <v>0.27973788987637871</v>
      </c>
      <c r="N56" s="2188">
        <f t="shared" si="2"/>
        <v>7.464928064051328E-2</v>
      </c>
      <c r="O56" s="2188">
        <f t="shared" si="3"/>
        <v>5.3332486414456461E-2</v>
      </c>
      <c r="P56" s="2192">
        <f t="shared" si="4"/>
        <v>0.40771965693134848</v>
      </c>
      <c r="Q56" s="2189" t="str">
        <f t="shared" si="5"/>
        <v>303</v>
      </c>
      <c r="R56" s="2196" t="s">
        <v>99</v>
      </c>
      <c r="S56" s="2190">
        <f t="shared" ref="S56:U56" si="24">IF($R56="PTD",$F56*T$601,IF($R56="PROD",$F56*T$602,IF($R56="TRANS",$F56*T$603,IF($R56="DIST",$F56*T$604,IF($R56="LABOR",$F56*T$605,IF($R56="TD",$F56*T$606))))))</f>
        <v>590.95217287771743</v>
      </c>
      <c r="T56" s="2190">
        <f t="shared" si="24"/>
        <v>0</v>
      </c>
      <c r="U56" s="2197">
        <f t="shared" si="24"/>
        <v>751.52249712228252</v>
      </c>
    </row>
    <row r="57" spans="1:21" ht="15.75" outlineLevel="2" x14ac:dyDescent="0.25">
      <c r="A57" s="1980" t="s">
        <v>2267</v>
      </c>
      <c r="B57" s="1980" t="s">
        <v>2268</v>
      </c>
      <c r="C57" s="1980" t="s">
        <v>2066</v>
      </c>
      <c r="D57" s="1980" t="s">
        <v>2277</v>
      </c>
      <c r="E57" s="1980" t="s">
        <v>913</v>
      </c>
      <c r="F57" s="1985">
        <v>1907.76232</v>
      </c>
      <c r="G57" s="1962">
        <v>533.67340578246478</v>
      </c>
      <c r="H57" s="1962">
        <v>142.41308482107669</v>
      </c>
      <c r="I57" s="1962">
        <v>101.74570801341194</v>
      </c>
      <c r="L57" s="2191">
        <f t="shared" si="0"/>
        <v>1</v>
      </c>
      <c r="M57" s="2188">
        <f t="shared" si="1"/>
        <v>0.27973788987637871</v>
      </c>
      <c r="N57" s="2188">
        <f t="shared" si="2"/>
        <v>7.464928064051328E-2</v>
      </c>
      <c r="O57" s="2188">
        <f t="shared" si="3"/>
        <v>5.3332486414456461E-2</v>
      </c>
      <c r="P57" s="2192">
        <f t="shared" si="4"/>
        <v>0.40771965693134848</v>
      </c>
      <c r="Q57" s="2189" t="str">
        <f t="shared" si="5"/>
        <v>303</v>
      </c>
      <c r="R57" s="2196" t="s">
        <v>99</v>
      </c>
      <c r="S57" s="2190">
        <f t="shared" ref="S57:U57" si="25">IF($R57="PTD",$F57*T$601,IF($R57="PROD",$F57*T$602,IF($R57="TRANS",$F57*T$603,IF($R57="DIST",$F57*T$604,IF($R57="LABOR",$F57*T$605,IF($R57="TD",$F57*T$606))))))</f>
        <v>839.78961654318232</v>
      </c>
      <c r="T57" s="2190">
        <f t="shared" si="25"/>
        <v>0</v>
      </c>
      <c r="U57" s="2197">
        <f t="shared" si="25"/>
        <v>1067.9727034568175</v>
      </c>
    </row>
    <row r="58" spans="1:21" ht="15.75" outlineLevel="2" x14ac:dyDescent="0.25">
      <c r="A58" s="1980" t="s">
        <v>2267</v>
      </c>
      <c r="B58" s="1980" t="s">
        <v>2268</v>
      </c>
      <c r="C58" s="1980" t="s">
        <v>2068</v>
      </c>
      <c r="D58" s="1980" t="s">
        <v>2069</v>
      </c>
      <c r="E58" s="1980" t="s">
        <v>913</v>
      </c>
      <c r="F58" s="1985">
        <v>4360.21893</v>
      </c>
      <c r="G58" s="1962">
        <v>1219.7184428772418</v>
      </c>
      <c r="H58" s="1962">
        <v>325.48720655964854</v>
      </c>
      <c r="I58" s="1962">
        <v>232.54131684828087</v>
      </c>
      <c r="L58" s="2191">
        <f t="shared" si="0"/>
        <v>1</v>
      </c>
      <c r="M58" s="2188">
        <f t="shared" si="1"/>
        <v>0.27973788987637871</v>
      </c>
      <c r="N58" s="2188">
        <f t="shared" si="2"/>
        <v>7.464928064051328E-2</v>
      </c>
      <c r="O58" s="2188">
        <f t="shared" si="3"/>
        <v>5.3332486414456461E-2</v>
      </c>
      <c r="P58" s="2192">
        <f t="shared" si="4"/>
        <v>0.40771965693134848</v>
      </c>
      <c r="Q58" s="2189" t="str">
        <f t="shared" si="5"/>
        <v>303</v>
      </c>
      <c r="R58" s="2196" t="s">
        <v>109</v>
      </c>
      <c r="S58" s="2190">
        <f t="shared" ref="S58:U58" si="26">IF($R58="PTD",$F58*T$601,IF($R58="PROD",$F58*T$602,IF($R58="TRANS",$F58*T$603,IF($R58="DIST",$F58*T$604,IF($R58="LABOR",$F58*T$605,IF($R58="TD",$F58*T$606))))))</f>
        <v>0</v>
      </c>
      <c r="T58" s="2190">
        <f t="shared" si="26"/>
        <v>0</v>
      </c>
      <c r="U58" s="2197">
        <f t="shared" si="26"/>
        <v>4360.21893</v>
      </c>
    </row>
    <row r="59" spans="1:21" ht="15.75" outlineLevel="2" x14ac:dyDescent="0.25">
      <c r="A59" s="1980" t="s">
        <v>2267</v>
      </c>
      <c r="B59" s="1980" t="s">
        <v>2268</v>
      </c>
      <c r="C59" s="1980" t="s">
        <v>2070</v>
      </c>
      <c r="D59" s="1980" t="s">
        <v>2278</v>
      </c>
      <c r="E59" s="1980" t="s">
        <v>913</v>
      </c>
      <c r="F59" s="1985">
        <v>1390.3799200000001</v>
      </c>
      <c r="G59" s="1962">
        <v>388.94194494728828</v>
      </c>
      <c r="H59" s="1962">
        <v>103.79086084501441</v>
      </c>
      <c r="I59" s="1962">
        <v>74.152418194333066</v>
      </c>
      <c r="L59" s="2191">
        <f t="shared" si="0"/>
        <v>1</v>
      </c>
      <c r="M59" s="2188">
        <f t="shared" si="1"/>
        <v>0.27973788987637871</v>
      </c>
      <c r="N59" s="2188">
        <f t="shared" si="2"/>
        <v>7.464928064051328E-2</v>
      </c>
      <c r="O59" s="2188">
        <f t="shared" si="3"/>
        <v>5.3332486414456461E-2</v>
      </c>
      <c r="P59" s="2192">
        <f t="shared" si="4"/>
        <v>0.40771965693134848</v>
      </c>
      <c r="Q59" s="2189" t="str">
        <f t="shared" si="5"/>
        <v>303</v>
      </c>
      <c r="R59" s="2196" t="s">
        <v>109</v>
      </c>
      <c r="S59" s="2190">
        <f t="shared" ref="S59:U59" si="27">IF($R59="PTD",$F59*T$601,IF($R59="PROD",$F59*T$602,IF($R59="TRANS",$F59*T$603,IF($R59="DIST",$F59*T$604,IF($R59="LABOR",$F59*T$605,IF($R59="TD",$F59*T$606))))))</f>
        <v>0</v>
      </c>
      <c r="T59" s="2190">
        <f t="shared" si="27"/>
        <v>0</v>
      </c>
      <c r="U59" s="2197">
        <f t="shared" si="27"/>
        <v>1390.3799200000001</v>
      </c>
    </row>
    <row r="60" spans="1:21" ht="15.75" outlineLevel="2" x14ac:dyDescent="0.25">
      <c r="A60" s="1980" t="s">
        <v>2267</v>
      </c>
      <c r="B60" s="1980" t="s">
        <v>2268</v>
      </c>
      <c r="C60" s="1980" t="s">
        <v>2279</v>
      </c>
      <c r="D60" s="1980" t="s">
        <v>2280</v>
      </c>
      <c r="E60" s="1980" t="s">
        <v>913</v>
      </c>
      <c r="F60" s="1985">
        <v>5876.8036400000001</v>
      </c>
      <c r="G60" s="1962">
        <v>1643.9646494714216</v>
      </c>
      <c r="H60" s="1962">
        <v>438.69916419154998</v>
      </c>
      <c r="I60" s="1962">
        <v>313.42455029072829</v>
      </c>
      <c r="L60" s="2191">
        <f t="shared" si="0"/>
        <v>1</v>
      </c>
      <c r="M60" s="2188">
        <f t="shared" si="1"/>
        <v>0.27973788987637871</v>
      </c>
      <c r="N60" s="2188">
        <f t="shared" si="2"/>
        <v>7.464928064051328E-2</v>
      </c>
      <c r="O60" s="2188">
        <f t="shared" si="3"/>
        <v>5.3332486414456461E-2</v>
      </c>
      <c r="P60" s="2192">
        <f t="shared" si="4"/>
        <v>0.40771965693134848</v>
      </c>
      <c r="Q60" s="2189" t="str">
        <f t="shared" si="5"/>
        <v>303</v>
      </c>
      <c r="R60" s="2196" t="s">
        <v>95</v>
      </c>
      <c r="S60" s="2190">
        <f t="shared" ref="S60:U60" si="28">IF($R60="PTD",$F60*T$601,IF($R60="PROD",$F60*T$602,IF($R60="TRANS",$F60*T$603,IF($R60="DIST",$F60*T$604,IF($R60="LABOR",$F60*T$605,IF($R60="TD",$F60*T$606))))))</f>
        <v>2449.7655889717439</v>
      </c>
      <c r="T60" s="2190">
        <f t="shared" si="28"/>
        <v>0</v>
      </c>
      <c r="U60" s="2197">
        <f t="shared" si="28"/>
        <v>3427.0380510282562</v>
      </c>
    </row>
    <row r="61" spans="1:21" ht="15.75" outlineLevel="2" x14ac:dyDescent="0.25">
      <c r="A61" s="1980" t="s">
        <v>2267</v>
      </c>
      <c r="B61" s="1980" t="s">
        <v>2268</v>
      </c>
      <c r="C61" s="1980" t="s">
        <v>2281</v>
      </c>
      <c r="D61" s="1980" t="s">
        <v>2282</v>
      </c>
      <c r="E61" s="1980" t="s">
        <v>913</v>
      </c>
      <c r="F61" s="1985">
        <v>2907.75963</v>
      </c>
      <c r="G61" s="1962">
        <v>813.41054316391967</v>
      </c>
      <c r="H61" s="1962">
        <v>217.06216465502507</v>
      </c>
      <c r="I61" s="1962">
        <v>155.07805096347994</v>
      </c>
      <c r="L61" s="2191">
        <f t="shared" si="0"/>
        <v>1</v>
      </c>
      <c r="M61" s="2188">
        <f t="shared" si="1"/>
        <v>0.27973788987637871</v>
      </c>
      <c r="N61" s="2188">
        <f t="shared" si="2"/>
        <v>7.464928064051328E-2</v>
      </c>
      <c r="O61" s="2188">
        <f t="shared" si="3"/>
        <v>5.3332486414456461E-2</v>
      </c>
      <c r="P61" s="2192">
        <f t="shared" si="4"/>
        <v>0.40771965693134848</v>
      </c>
      <c r="Q61" s="2189" t="str">
        <f t="shared" si="5"/>
        <v>303</v>
      </c>
      <c r="R61" s="2196" t="s">
        <v>392</v>
      </c>
      <c r="S61" s="2190">
        <f t="shared" ref="S61:U61" si="29">IF($R61="PTD",$F61*T$601,IF($R61="PROD",$F61*T$602,IF($R61="TRANS",$F61*T$603,IF($R61="DIST",$F61*T$604,IF($R61="LABOR",$F61*T$605,IF($R61="TD",$F61*T$606))))))</f>
        <v>0</v>
      </c>
      <c r="T61" s="2190">
        <f t="shared" si="29"/>
        <v>0</v>
      </c>
      <c r="U61" s="2197">
        <f t="shared" si="29"/>
        <v>2907.75963</v>
      </c>
    </row>
    <row r="62" spans="1:21" ht="15.75" outlineLevel="2" x14ac:dyDescent="0.25">
      <c r="A62" s="1980" t="s">
        <v>2267</v>
      </c>
      <c r="B62" s="1980" t="s">
        <v>2268</v>
      </c>
      <c r="C62" s="1980" t="s">
        <v>2283</v>
      </c>
      <c r="D62" s="1980" t="s">
        <v>2284</v>
      </c>
      <c r="E62" s="1980" t="s">
        <v>913</v>
      </c>
      <c r="F62" s="1985">
        <v>2020.2035599999999</v>
      </c>
      <c r="G62" s="1962">
        <v>565.12748099514818</v>
      </c>
      <c r="H62" s="1962">
        <v>150.80674250140399</v>
      </c>
      <c r="I62" s="1962">
        <v>107.74247891813657</v>
      </c>
      <c r="L62" s="2191">
        <f t="shared" si="0"/>
        <v>1</v>
      </c>
      <c r="M62" s="2188">
        <f t="shared" si="1"/>
        <v>0.27973788987637871</v>
      </c>
      <c r="N62" s="2188">
        <f t="shared" si="2"/>
        <v>7.464928064051328E-2</v>
      </c>
      <c r="O62" s="2188">
        <f t="shared" si="3"/>
        <v>5.3332486414456461E-2</v>
      </c>
      <c r="P62" s="2192">
        <f t="shared" si="4"/>
        <v>0.40771965693134848</v>
      </c>
      <c r="Q62" s="2189" t="str">
        <f t="shared" si="5"/>
        <v>303</v>
      </c>
      <c r="R62" s="2196" t="s">
        <v>99</v>
      </c>
      <c r="S62" s="2190">
        <f t="shared" ref="S62:U62" si="30">IF($R62="PTD",$F62*T$601,IF($R62="PROD",$F62*T$602,IF($R62="TRANS",$F62*T$603,IF($R62="DIST",$F62*T$604,IF($R62="LABOR",$F62*T$605,IF($R62="TD",$F62*T$606))))))</f>
        <v>889.28581679481522</v>
      </c>
      <c r="T62" s="2190">
        <f t="shared" si="30"/>
        <v>0</v>
      </c>
      <c r="U62" s="2197">
        <f t="shared" si="30"/>
        <v>1130.9177432051845</v>
      </c>
    </row>
    <row r="63" spans="1:21" ht="15.75" outlineLevel="2" x14ac:dyDescent="0.25">
      <c r="A63" s="1980" t="s">
        <v>2267</v>
      </c>
      <c r="B63" s="1980" t="s">
        <v>2268</v>
      </c>
      <c r="C63" s="1980" t="s">
        <v>2285</v>
      </c>
      <c r="D63" s="1980" t="s">
        <v>2286</v>
      </c>
      <c r="E63" s="1980" t="s">
        <v>913</v>
      </c>
      <c r="F63" s="1985">
        <v>8998.6676900000002</v>
      </c>
      <c r="G63" s="1962">
        <v>2517.2683112993473</v>
      </c>
      <c r="H63" s="1962">
        <v>671.74406978152933</v>
      </c>
      <c r="I63" s="1962">
        <v>479.9213223251333</v>
      </c>
      <c r="L63" s="2191">
        <f t="shared" si="0"/>
        <v>1</v>
      </c>
      <c r="M63" s="2188">
        <f t="shared" si="1"/>
        <v>0.27973788987637871</v>
      </c>
      <c r="N63" s="2188">
        <f t="shared" si="2"/>
        <v>7.464928064051328E-2</v>
      </c>
      <c r="O63" s="2188">
        <f t="shared" si="3"/>
        <v>5.3332486414456461E-2</v>
      </c>
      <c r="P63" s="2192">
        <f t="shared" si="4"/>
        <v>0.40771965693134848</v>
      </c>
      <c r="Q63" s="2189" t="str">
        <f t="shared" si="5"/>
        <v>303</v>
      </c>
      <c r="R63" s="2196" t="s">
        <v>394</v>
      </c>
      <c r="S63" s="2190">
        <f t="shared" ref="S63:U63" si="31">IF($R63="PTD",$F63*T$601,IF($R63="PROD",$F63*T$602,IF($R63="TRANS",$F63*T$603,IF($R63="DIST",$F63*T$604,IF($R63="LABOR",$F63*T$605,IF($R63="TD",$F63*T$606))))))</f>
        <v>8998.6676900000002</v>
      </c>
      <c r="T63" s="2190">
        <f t="shared" si="31"/>
        <v>0</v>
      </c>
      <c r="U63" s="2197">
        <f t="shared" si="31"/>
        <v>0</v>
      </c>
    </row>
    <row r="64" spans="1:21" ht="15.75" outlineLevel="2" x14ac:dyDescent="0.25">
      <c r="A64" s="1980" t="s">
        <v>2267</v>
      </c>
      <c r="B64" s="1980" t="s">
        <v>2268</v>
      </c>
      <c r="C64" s="1980" t="s">
        <v>2072</v>
      </c>
      <c r="D64" s="1980" t="s">
        <v>2073</v>
      </c>
      <c r="E64" s="1980" t="s">
        <v>913</v>
      </c>
      <c r="F64" s="1985">
        <v>10576.99015</v>
      </c>
      <c r="G64" s="1962">
        <v>2958.784905804242</v>
      </c>
      <c r="H64" s="1962">
        <v>789.56470603929461</v>
      </c>
      <c r="I64" s="1962">
        <v>564.09718348071476</v>
      </c>
      <c r="L64" s="2191">
        <f t="shared" si="0"/>
        <v>1</v>
      </c>
      <c r="M64" s="2188">
        <f t="shared" si="1"/>
        <v>0.27973788987637871</v>
      </c>
      <c r="N64" s="2188">
        <f t="shared" si="2"/>
        <v>7.464928064051328E-2</v>
      </c>
      <c r="O64" s="2188">
        <f t="shared" si="3"/>
        <v>5.3332486414456461E-2</v>
      </c>
      <c r="P64" s="2192">
        <f t="shared" si="4"/>
        <v>0.40771965693134848</v>
      </c>
      <c r="Q64" s="2189" t="str">
        <f t="shared" si="5"/>
        <v>303</v>
      </c>
      <c r="R64" s="2196" t="s">
        <v>99</v>
      </c>
      <c r="S64" s="2190">
        <f t="shared" ref="S64:U64" si="32">IF($R64="PTD",$F64*T$601,IF($R64="PROD",$F64*T$602,IF($R64="TRANS",$F64*T$603,IF($R64="DIST",$F64*T$604,IF($R64="LABOR",$F64*T$605,IF($R64="TD",$F64*T$606))))))</f>
        <v>4655.9502769975643</v>
      </c>
      <c r="T64" s="2190">
        <f t="shared" si="32"/>
        <v>0</v>
      </c>
      <c r="U64" s="2197">
        <f t="shared" si="32"/>
        <v>5921.0398730024344</v>
      </c>
    </row>
    <row r="65" spans="1:21" ht="15.75" outlineLevel="2" x14ac:dyDescent="0.25">
      <c r="A65" s="1980" t="s">
        <v>2267</v>
      </c>
      <c r="B65" s="1980" t="s">
        <v>2268</v>
      </c>
      <c r="C65" s="1980" t="s">
        <v>2287</v>
      </c>
      <c r="D65" s="1980" t="s">
        <v>2288</v>
      </c>
      <c r="E65" s="1980" t="s">
        <v>913</v>
      </c>
      <c r="F65" s="1985">
        <v>10386.432650000001</v>
      </c>
      <c r="G65" s="1962">
        <v>2905.4787528541247</v>
      </c>
      <c r="H65" s="1962">
        <v>775.33972574364009</v>
      </c>
      <c r="I65" s="1962">
        <v>553.93427820079205</v>
      </c>
      <c r="L65" s="2191">
        <f t="shared" si="0"/>
        <v>1</v>
      </c>
      <c r="M65" s="2188">
        <f t="shared" si="1"/>
        <v>0.27973788987637871</v>
      </c>
      <c r="N65" s="2188">
        <f t="shared" si="2"/>
        <v>7.464928064051328E-2</v>
      </c>
      <c r="O65" s="2188">
        <f t="shared" si="3"/>
        <v>5.3332486414456461E-2</v>
      </c>
      <c r="P65" s="2192">
        <f t="shared" si="4"/>
        <v>0.40771965693134848</v>
      </c>
      <c r="Q65" s="2189" t="str">
        <f t="shared" si="5"/>
        <v>303</v>
      </c>
      <c r="R65" s="2196" t="s">
        <v>109</v>
      </c>
      <c r="S65" s="2190">
        <f t="shared" ref="S65:U65" si="33">IF($R65="PTD",$F65*T$601,IF($R65="PROD",$F65*T$602,IF($R65="TRANS",$F65*T$603,IF($R65="DIST",$F65*T$604,IF($R65="LABOR",$F65*T$605,IF($R65="TD",$F65*T$606))))))</f>
        <v>0</v>
      </c>
      <c r="T65" s="2190">
        <f t="shared" si="33"/>
        <v>0</v>
      </c>
      <c r="U65" s="2197">
        <f t="shared" si="33"/>
        <v>10386.432650000001</v>
      </c>
    </row>
    <row r="66" spans="1:21" ht="15.75" outlineLevel="2" x14ac:dyDescent="0.25">
      <c r="A66" s="1980" t="s">
        <v>2267</v>
      </c>
      <c r="B66" s="1980" t="s">
        <v>2268</v>
      </c>
      <c r="C66" s="1980" t="s">
        <v>2074</v>
      </c>
      <c r="D66" s="1980" t="s">
        <v>2075</v>
      </c>
      <c r="E66" s="1980" t="s">
        <v>913</v>
      </c>
      <c r="F66" s="1985">
        <v>1915.00766</v>
      </c>
      <c r="G66" s="1962">
        <v>535.70020190550167</v>
      </c>
      <c r="H66" s="1962">
        <v>142.95394424007264</v>
      </c>
      <c r="I66" s="1962">
        <v>102.13212001053006</v>
      </c>
      <c r="L66" s="2191">
        <f t="shared" si="0"/>
        <v>1</v>
      </c>
      <c r="M66" s="2188">
        <f t="shared" si="1"/>
        <v>0.27973788987637871</v>
      </c>
      <c r="N66" s="2188">
        <f t="shared" si="2"/>
        <v>7.464928064051328E-2</v>
      </c>
      <c r="O66" s="2188">
        <f t="shared" si="3"/>
        <v>5.3332486414456461E-2</v>
      </c>
      <c r="P66" s="2192">
        <f t="shared" si="4"/>
        <v>0.40771965693134848</v>
      </c>
      <c r="Q66" s="2189" t="str">
        <f t="shared" si="5"/>
        <v>303</v>
      </c>
      <c r="R66" s="2196" t="s">
        <v>109</v>
      </c>
      <c r="S66" s="2190">
        <f t="shared" ref="S66:U66" si="34">IF($R66="PTD",$F66*T$601,IF($R66="PROD",$F66*T$602,IF($R66="TRANS",$F66*T$603,IF($R66="DIST",$F66*T$604,IF($R66="LABOR",$F66*T$605,IF($R66="TD",$F66*T$606))))))</f>
        <v>0</v>
      </c>
      <c r="T66" s="2190">
        <f t="shared" si="34"/>
        <v>0</v>
      </c>
      <c r="U66" s="2197">
        <f t="shared" si="34"/>
        <v>1915.00766</v>
      </c>
    </row>
    <row r="67" spans="1:21" ht="15.75" outlineLevel="2" x14ac:dyDescent="0.25">
      <c r="A67" s="1980" t="s">
        <v>2267</v>
      </c>
      <c r="B67" s="1980" t="s">
        <v>2268</v>
      </c>
      <c r="C67" s="1980" t="s">
        <v>2289</v>
      </c>
      <c r="D67" s="1980" t="s">
        <v>2290</v>
      </c>
      <c r="E67" s="1980" t="s">
        <v>913</v>
      </c>
      <c r="F67" s="1985">
        <v>2415.8410899999999</v>
      </c>
      <c r="G67" s="1962">
        <v>675.80228879325068</v>
      </c>
      <c r="H67" s="1962">
        <v>180.34079951029349</v>
      </c>
      <c r="I67" s="1962">
        <v>128.84281211191069</v>
      </c>
      <c r="L67" s="2191">
        <f t="shared" si="0"/>
        <v>1</v>
      </c>
      <c r="M67" s="2188">
        <f t="shared" si="1"/>
        <v>0.27973788987637871</v>
      </c>
      <c r="N67" s="2188">
        <f t="shared" si="2"/>
        <v>7.464928064051328E-2</v>
      </c>
      <c r="O67" s="2188">
        <f t="shared" si="3"/>
        <v>5.3332486414456461E-2</v>
      </c>
      <c r="P67" s="2192">
        <f t="shared" si="4"/>
        <v>0.40771965693134848</v>
      </c>
      <c r="Q67" s="2189" t="str">
        <f t="shared" si="5"/>
        <v>303</v>
      </c>
      <c r="R67" s="2196" t="s">
        <v>109</v>
      </c>
      <c r="S67" s="2190">
        <f t="shared" ref="S67:U67" si="35">IF($R67="PTD",$F67*T$601,IF($R67="PROD",$F67*T$602,IF($R67="TRANS",$F67*T$603,IF($R67="DIST",$F67*T$604,IF($R67="LABOR",$F67*T$605,IF($R67="TD",$F67*T$606))))))</f>
        <v>0</v>
      </c>
      <c r="T67" s="2190">
        <f t="shared" si="35"/>
        <v>0</v>
      </c>
      <c r="U67" s="2197">
        <f t="shared" si="35"/>
        <v>2415.8410899999999</v>
      </c>
    </row>
    <row r="68" spans="1:21" ht="15.75" outlineLevel="2" x14ac:dyDescent="0.25">
      <c r="A68" s="1980" t="s">
        <v>2267</v>
      </c>
      <c r="B68" s="1980" t="s">
        <v>2268</v>
      </c>
      <c r="C68" s="1980" t="s">
        <v>2076</v>
      </c>
      <c r="D68" s="1980" t="s">
        <v>2077</v>
      </c>
      <c r="E68" s="1980" t="s">
        <v>913</v>
      </c>
      <c r="F68" s="1985">
        <v>13486.055920000001</v>
      </c>
      <c r="G68" s="1962">
        <v>3772.5608258156453</v>
      </c>
      <c r="H68" s="1962">
        <v>1006.7243731057356</v>
      </c>
      <c r="I68" s="1962">
        <v>719.24489413800018</v>
      </c>
      <c r="L68" s="2191">
        <f t="shared" si="0"/>
        <v>1</v>
      </c>
      <c r="M68" s="2188">
        <f t="shared" si="1"/>
        <v>0.27973788987637871</v>
      </c>
      <c r="N68" s="2188">
        <f t="shared" si="2"/>
        <v>7.464928064051328E-2</v>
      </c>
      <c r="O68" s="2188">
        <f t="shared" si="3"/>
        <v>5.3332486414456461E-2</v>
      </c>
      <c r="P68" s="2192">
        <f t="shared" si="4"/>
        <v>0.40771965693134848</v>
      </c>
      <c r="Q68" s="2189" t="str">
        <f t="shared" si="5"/>
        <v>303</v>
      </c>
      <c r="R68" s="2196" t="s">
        <v>109</v>
      </c>
      <c r="S68" s="2190">
        <f t="shared" ref="S68:U68" si="36">IF($R68="PTD",$F68*T$601,IF($R68="PROD",$F68*T$602,IF($R68="TRANS",$F68*T$603,IF($R68="DIST",$F68*T$604,IF($R68="LABOR",$F68*T$605,IF($R68="TD",$F68*T$606))))))</f>
        <v>0</v>
      </c>
      <c r="T68" s="2190">
        <f t="shared" si="36"/>
        <v>0</v>
      </c>
      <c r="U68" s="2197">
        <f t="shared" si="36"/>
        <v>13486.055920000001</v>
      </c>
    </row>
    <row r="69" spans="1:21" ht="15.75" outlineLevel="2" x14ac:dyDescent="0.25">
      <c r="A69" s="1980" t="s">
        <v>2267</v>
      </c>
      <c r="B69" s="1980" t="s">
        <v>2268</v>
      </c>
      <c r="C69" s="1980" t="s">
        <v>2078</v>
      </c>
      <c r="D69" s="1980" t="s">
        <v>2079</v>
      </c>
      <c r="E69" s="1980" t="s">
        <v>913</v>
      </c>
      <c r="F69" s="1985">
        <v>7829.7166500000003</v>
      </c>
      <c r="G69" s="1962">
        <v>2190.2684140009487</v>
      </c>
      <c r="H69" s="1962">
        <v>584.48271554154951</v>
      </c>
      <c r="I69" s="1962">
        <v>417.57825686516856</v>
      </c>
      <c r="L69" s="2191">
        <f t="shared" si="0"/>
        <v>1</v>
      </c>
      <c r="M69" s="2188">
        <f t="shared" si="1"/>
        <v>0.27973788987637871</v>
      </c>
      <c r="N69" s="2188">
        <f t="shared" si="2"/>
        <v>7.464928064051328E-2</v>
      </c>
      <c r="O69" s="2188">
        <f t="shared" si="3"/>
        <v>5.3332486414456461E-2</v>
      </c>
      <c r="P69" s="2192">
        <f t="shared" si="4"/>
        <v>0.40771965693134848</v>
      </c>
      <c r="Q69" s="2189" t="str">
        <f t="shared" si="5"/>
        <v>303</v>
      </c>
      <c r="R69" s="2196" t="s">
        <v>392</v>
      </c>
      <c r="S69" s="2190">
        <f t="shared" ref="S69:U69" si="37">IF($R69="PTD",$F69*T$601,IF($R69="PROD",$F69*T$602,IF($R69="TRANS",$F69*T$603,IF($R69="DIST",$F69*T$604,IF($R69="LABOR",$F69*T$605,IF($R69="TD",$F69*T$606))))))</f>
        <v>0</v>
      </c>
      <c r="T69" s="2190">
        <f t="shared" si="37"/>
        <v>0</v>
      </c>
      <c r="U69" s="2197">
        <f t="shared" si="37"/>
        <v>7829.7166500000003</v>
      </c>
    </row>
    <row r="70" spans="1:21" ht="15.75" outlineLevel="2" x14ac:dyDescent="0.25">
      <c r="A70" s="1980" t="s">
        <v>2267</v>
      </c>
      <c r="B70" s="1980" t="s">
        <v>2268</v>
      </c>
      <c r="C70" s="1980" t="s">
        <v>2291</v>
      </c>
      <c r="D70" s="1980" t="s">
        <v>2292</v>
      </c>
      <c r="E70" s="1980" t="s">
        <v>1083</v>
      </c>
      <c r="F70" s="1985">
        <v>1599.6162899999999</v>
      </c>
      <c r="G70" s="1962">
        <v>433.39831603326866</v>
      </c>
      <c r="H70" s="1962">
        <v>121.8573116641404</v>
      </c>
      <c r="I70" s="1962">
        <v>86.597405508021424</v>
      </c>
      <c r="L70" s="2191">
        <f t="shared" si="0"/>
        <v>1</v>
      </c>
      <c r="M70" s="2188">
        <f t="shared" si="1"/>
        <v>0.27093892375481415</v>
      </c>
      <c r="N70" s="2188">
        <f t="shared" si="2"/>
        <v>7.6179088963979236E-2</v>
      </c>
      <c r="O70" s="2188">
        <f t="shared" si="3"/>
        <v>5.4136361357023585E-2</v>
      </c>
      <c r="P70" s="2192">
        <f t="shared" si="4"/>
        <v>0.40125437407581699</v>
      </c>
      <c r="Q70" s="2189" t="str">
        <f t="shared" si="5"/>
        <v>303</v>
      </c>
      <c r="R70" s="2196" t="s">
        <v>393</v>
      </c>
      <c r="S70" s="2190">
        <f t="shared" ref="S70:U70" si="38">IF($R70="PTD",$F70*T$601,IF($R70="PROD",$F70*T$602,IF($R70="TRANS",$F70*T$603,IF($R70="DIST",$F70*T$604,IF($R70="LABOR",$F70*T$605,IF($R70="TD",$F70*T$606))))))</f>
        <v>0</v>
      </c>
      <c r="T70" s="2190">
        <f t="shared" si="38"/>
        <v>0</v>
      </c>
      <c r="U70" s="2197">
        <f t="shared" si="38"/>
        <v>1599.6162899999999</v>
      </c>
    </row>
    <row r="71" spans="1:21" ht="15.75" outlineLevel="2" x14ac:dyDescent="0.25">
      <c r="A71" s="1980" t="s">
        <v>2267</v>
      </c>
      <c r="B71" s="1980" t="s">
        <v>2268</v>
      </c>
      <c r="C71" s="1980" t="s">
        <v>2080</v>
      </c>
      <c r="D71" s="1980" t="s">
        <v>2081</v>
      </c>
      <c r="E71" s="1980" t="s">
        <v>913</v>
      </c>
      <c r="F71" s="1985">
        <v>8898.4408100000001</v>
      </c>
      <c r="G71" s="1962">
        <v>2489.231055379254</v>
      </c>
      <c r="H71" s="1962">
        <v>664.26220528868635</v>
      </c>
      <c r="I71" s="1962">
        <v>474.57597360916992</v>
      </c>
      <c r="L71" s="2191">
        <f t="shared" si="0"/>
        <v>1</v>
      </c>
      <c r="M71" s="2188">
        <f t="shared" si="1"/>
        <v>0.27973788987637871</v>
      </c>
      <c r="N71" s="2188">
        <f t="shared" si="2"/>
        <v>7.464928064051328E-2</v>
      </c>
      <c r="O71" s="2188">
        <f t="shared" si="3"/>
        <v>5.3332486414456461E-2</v>
      </c>
      <c r="P71" s="2192">
        <f t="shared" si="4"/>
        <v>0.40771965693134848</v>
      </c>
      <c r="Q71" s="2189" t="str">
        <f t="shared" si="5"/>
        <v>303</v>
      </c>
      <c r="R71" s="2196" t="s">
        <v>99</v>
      </c>
      <c r="S71" s="2190">
        <f t="shared" ref="S71:U71" si="39">IF($R71="PTD",$F71*T$601,IF($R71="PROD",$F71*T$602,IF($R71="TRANS",$F71*T$603,IF($R71="DIST",$F71*T$604,IF($R71="LABOR",$F71*T$605,IF($R71="TD",$F71*T$606))))))</f>
        <v>3917.0593303583564</v>
      </c>
      <c r="T71" s="2190">
        <f t="shared" si="39"/>
        <v>0</v>
      </c>
      <c r="U71" s="2197">
        <f t="shared" si="39"/>
        <v>4981.3814796416427</v>
      </c>
    </row>
    <row r="72" spans="1:21" ht="15.75" outlineLevel="2" x14ac:dyDescent="0.25">
      <c r="A72" s="1980" t="s">
        <v>2267</v>
      </c>
      <c r="B72" s="1980" t="s">
        <v>2268</v>
      </c>
      <c r="C72" s="1980" t="s">
        <v>2082</v>
      </c>
      <c r="D72" s="1980" t="s">
        <v>2083</v>
      </c>
      <c r="E72" s="1980" t="s">
        <v>1083</v>
      </c>
      <c r="F72" s="1985">
        <v>206.85417000000001</v>
      </c>
      <c r="G72" s="1962">
        <v>56.044846193995369</v>
      </c>
      <c r="H72" s="1962">
        <v>15.757962219000085</v>
      </c>
      <c r="I72" s="1962">
        <v>11.198332095327189</v>
      </c>
      <c r="L72" s="2191">
        <f t="shared" si="0"/>
        <v>1</v>
      </c>
      <c r="M72" s="2188">
        <f t="shared" si="1"/>
        <v>0.27093892375481415</v>
      </c>
      <c r="N72" s="2188">
        <f t="shared" si="2"/>
        <v>7.6179088963979236E-2</v>
      </c>
      <c r="O72" s="2188">
        <f t="shared" si="3"/>
        <v>5.4136361357023585E-2</v>
      </c>
      <c r="P72" s="2192">
        <f t="shared" si="4"/>
        <v>0.40125437407581699</v>
      </c>
      <c r="Q72" s="2189" t="str">
        <f t="shared" si="5"/>
        <v>303</v>
      </c>
      <c r="R72" s="2196" t="s">
        <v>394</v>
      </c>
      <c r="S72" s="2190">
        <f t="shared" ref="S72:U72" si="40">IF($R72="PTD",$F72*T$601,IF($R72="PROD",$F72*T$602,IF($R72="TRANS",$F72*T$603,IF($R72="DIST",$F72*T$604,IF($R72="LABOR",$F72*T$605,IF($R72="TD",$F72*T$606))))))</f>
        <v>206.85417000000001</v>
      </c>
      <c r="T72" s="2190">
        <f t="shared" si="40"/>
        <v>0</v>
      </c>
      <c r="U72" s="2197">
        <f t="shared" si="40"/>
        <v>0</v>
      </c>
    </row>
    <row r="73" spans="1:21" ht="15.75" outlineLevel="2" x14ac:dyDescent="0.25">
      <c r="A73" s="1980" t="s">
        <v>2267</v>
      </c>
      <c r="B73" s="1980" t="s">
        <v>2268</v>
      </c>
      <c r="C73" s="1980" t="s">
        <v>2084</v>
      </c>
      <c r="D73" s="1980" t="s">
        <v>2085</v>
      </c>
      <c r="E73" s="1980" t="s">
        <v>1083</v>
      </c>
      <c r="F73" s="1985">
        <v>51</v>
      </c>
      <c r="G73" s="1962">
        <v>13.817885111495523</v>
      </c>
      <c r="H73" s="1962">
        <v>3.885133537162941</v>
      </c>
      <c r="I73" s="1962">
        <v>2.7609544292082027</v>
      </c>
      <c r="L73" s="2191">
        <f t="shared" si="0"/>
        <v>1</v>
      </c>
      <c r="M73" s="2188">
        <f t="shared" si="1"/>
        <v>0.27093892375481415</v>
      </c>
      <c r="N73" s="2188">
        <f t="shared" si="2"/>
        <v>7.6179088963979236E-2</v>
      </c>
      <c r="O73" s="2188">
        <f t="shared" si="3"/>
        <v>5.4136361357023578E-2</v>
      </c>
      <c r="P73" s="2192">
        <f t="shared" si="4"/>
        <v>0.40125437407581699</v>
      </c>
      <c r="Q73" s="2189" t="str">
        <f t="shared" si="5"/>
        <v>303</v>
      </c>
      <c r="R73" s="2196" t="s">
        <v>394</v>
      </c>
      <c r="S73" s="2190">
        <f t="shared" ref="S73:U73" si="41">IF($R73="PTD",$F73*T$601,IF($R73="PROD",$F73*T$602,IF($R73="TRANS",$F73*T$603,IF($R73="DIST",$F73*T$604,IF($R73="LABOR",$F73*T$605,IF($R73="TD",$F73*T$606))))))</f>
        <v>51</v>
      </c>
      <c r="T73" s="2190">
        <f t="shared" si="41"/>
        <v>0</v>
      </c>
      <c r="U73" s="2197">
        <f t="shared" si="41"/>
        <v>0</v>
      </c>
    </row>
    <row r="74" spans="1:21" ht="15.75" outlineLevel="2" x14ac:dyDescent="0.25">
      <c r="A74" s="1980" t="s">
        <v>2267</v>
      </c>
      <c r="B74" s="1980" t="s">
        <v>2268</v>
      </c>
      <c r="C74" s="1980" t="s">
        <v>2086</v>
      </c>
      <c r="D74" s="1980" t="s">
        <v>2087</v>
      </c>
      <c r="E74" s="1980" t="s">
        <v>1083</v>
      </c>
      <c r="F74" s="1985">
        <v>23200.203539999999</v>
      </c>
      <c r="G74" s="1962">
        <v>6285.838178020229</v>
      </c>
      <c r="H74" s="1962">
        <v>1767.3703694560859</v>
      </c>
      <c r="I74" s="1962">
        <v>1255.9746023979378</v>
      </c>
      <c r="L74" s="2191">
        <f t="shared" si="0"/>
        <v>1</v>
      </c>
      <c r="M74" s="2188">
        <f t="shared" si="1"/>
        <v>0.27093892375481415</v>
      </c>
      <c r="N74" s="2188">
        <f t="shared" si="2"/>
        <v>7.6179088963979236E-2</v>
      </c>
      <c r="O74" s="2188">
        <f t="shared" si="3"/>
        <v>5.4136361357023592E-2</v>
      </c>
      <c r="P74" s="2192">
        <f t="shared" si="4"/>
        <v>0.40125437407581699</v>
      </c>
      <c r="Q74" s="2189" t="str">
        <f t="shared" si="5"/>
        <v>303</v>
      </c>
      <c r="R74" s="2196" t="s">
        <v>394</v>
      </c>
      <c r="S74" s="2190">
        <f t="shared" ref="S74:U74" si="42">IF($R74="PTD",$F74*T$601,IF($R74="PROD",$F74*T$602,IF($R74="TRANS",$F74*T$603,IF($R74="DIST",$F74*T$604,IF($R74="LABOR",$F74*T$605,IF($R74="TD",$F74*T$606))))))</f>
        <v>23200.203539999999</v>
      </c>
      <c r="T74" s="2190">
        <f t="shared" si="42"/>
        <v>0</v>
      </c>
      <c r="U74" s="2197">
        <f t="shared" si="42"/>
        <v>0</v>
      </c>
    </row>
    <row r="75" spans="1:21" ht="15.75" outlineLevel="2" x14ac:dyDescent="0.25">
      <c r="A75" s="1980" t="s">
        <v>2267</v>
      </c>
      <c r="B75" s="1980" t="s">
        <v>2268</v>
      </c>
      <c r="C75" s="1980" t="s">
        <v>2088</v>
      </c>
      <c r="D75" s="1980" t="s">
        <v>2089</v>
      </c>
      <c r="E75" s="1980" t="s">
        <v>1083</v>
      </c>
      <c r="F75" s="1985">
        <v>652.20663000000002</v>
      </c>
      <c r="G75" s="1962">
        <v>176.70816239795428</v>
      </c>
      <c r="H75" s="1962">
        <v>49.684506889667091</v>
      </c>
      <c r="I75" s="1962">
        <v>35.308093801126581</v>
      </c>
      <c r="L75" s="2191">
        <f t="shared" si="0"/>
        <v>1</v>
      </c>
      <c r="M75" s="2188">
        <f t="shared" si="1"/>
        <v>0.27093892375481415</v>
      </c>
      <c r="N75" s="2188">
        <f t="shared" si="2"/>
        <v>7.6179088963979236E-2</v>
      </c>
      <c r="O75" s="2188">
        <f t="shared" si="3"/>
        <v>5.4136361357023585E-2</v>
      </c>
      <c r="P75" s="2192">
        <f t="shared" si="4"/>
        <v>0.40125437407581699</v>
      </c>
      <c r="Q75" s="2189" t="str">
        <f t="shared" si="5"/>
        <v>303</v>
      </c>
      <c r="R75" s="2196" t="s">
        <v>394</v>
      </c>
      <c r="S75" s="2190">
        <f t="shared" ref="S75:U75" si="43">IF($R75="PTD",$F75*T$601,IF($R75="PROD",$F75*T$602,IF($R75="TRANS",$F75*T$603,IF($R75="DIST",$F75*T$604,IF($R75="LABOR",$F75*T$605,IF($R75="TD",$F75*T$606))))))</f>
        <v>652.20663000000002</v>
      </c>
      <c r="T75" s="2190">
        <f t="shared" si="43"/>
        <v>0</v>
      </c>
      <c r="U75" s="2197">
        <f t="shared" si="43"/>
        <v>0</v>
      </c>
    </row>
    <row r="76" spans="1:21" ht="15.75" outlineLevel="2" x14ac:dyDescent="0.25">
      <c r="A76" s="1980" t="s">
        <v>2267</v>
      </c>
      <c r="B76" s="1980" t="s">
        <v>2268</v>
      </c>
      <c r="C76" s="1980" t="s">
        <v>2090</v>
      </c>
      <c r="D76" s="1980" t="s">
        <v>2091</v>
      </c>
      <c r="E76" s="1980" t="s">
        <v>1083</v>
      </c>
      <c r="F76" s="1985">
        <v>117.38714</v>
      </c>
      <c r="G76" s="1962">
        <v>31.804745374255695</v>
      </c>
      <c r="H76" s="1962">
        <v>8.9424453812870865</v>
      </c>
      <c r="I76" s="1962">
        <v>6.3549126297075178</v>
      </c>
      <c r="L76" s="2191">
        <f t="shared" si="0"/>
        <v>1</v>
      </c>
      <c r="M76" s="2188">
        <f t="shared" si="1"/>
        <v>0.27093892375481415</v>
      </c>
      <c r="N76" s="2188">
        <f t="shared" si="2"/>
        <v>7.617908896397925E-2</v>
      </c>
      <c r="O76" s="2188">
        <f t="shared" si="3"/>
        <v>5.4136361357023585E-2</v>
      </c>
      <c r="P76" s="2192">
        <f t="shared" si="4"/>
        <v>0.40125437407581699</v>
      </c>
      <c r="Q76" s="2189" t="str">
        <f t="shared" si="5"/>
        <v>303</v>
      </c>
      <c r="R76" s="2196" t="s">
        <v>394</v>
      </c>
      <c r="S76" s="2190">
        <f t="shared" ref="S76:U76" si="44">IF($R76="PTD",$F76*T$601,IF($R76="PROD",$F76*T$602,IF($R76="TRANS",$F76*T$603,IF($R76="DIST",$F76*T$604,IF($R76="LABOR",$F76*T$605,IF($R76="TD",$F76*T$606))))))</f>
        <v>117.38714</v>
      </c>
      <c r="T76" s="2190">
        <f t="shared" si="44"/>
        <v>0</v>
      </c>
      <c r="U76" s="2197">
        <f t="shared" si="44"/>
        <v>0</v>
      </c>
    </row>
    <row r="77" spans="1:21" ht="15.75" outlineLevel="2" x14ac:dyDescent="0.25">
      <c r="A77" s="1980" t="s">
        <v>2267</v>
      </c>
      <c r="B77" s="1980" t="s">
        <v>2268</v>
      </c>
      <c r="C77" s="1980" t="s">
        <v>2293</v>
      </c>
      <c r="D77" s="1980" t="s">
        <v>2294</v>
      </c>
      <c r="E77" s="1980" t="s">
        <v>913</v>
      </c>
      <c r="F77" s="1985">
        <v>2629.15326</v>
      </c>
      <c r="G77" s="1962">
        <v>735.47378511400211</v>
      </c>
      <c r="H77" s="1962">
        <v>196.26439955266039</v>
      </c>
      <c r="I77" s="1962">
        <v>140.21928052047392</v>
      </c>
      <c r="L77" s="2191">
        <f t="shared" si="0"/>
        <v>1</v>
      </c>
      <c r="M77" s="2188">
        <f t="shared" si="1"/>
        <v>0.27973788987637871</v>
      </c>
      <c r="N77" s="2188">
        <f t="shared" si="2"/>
        <v>7.464928064051328E-2</v>
      </c>
      <c r="O77" s="2188">
        <f t="shared" si="3"/>
        <v>5.3332486414456461E-2</v>
      </c>
      <c r="P77" s="2192">
        <f t="shared" si="4"/>
        <v>0.40771965693134848</v>
      </c>
      <c r="Q77" s="2189" t="str">
        <f t="shared" si="5"/>
        <v>303</v>
      </c>
      <c r="R77" s="2196" t="s">
        <v>392</v>
      </c>
      <c r="S77" s="2190">
        <f t="shared" ref="S77:U77" si="45">IF($R77="PTD",$F77*T$601,IF($R77="PROD",$F77*T$602,IF($R77="TRANS",$F77*T$603,IF($R77="DIST",$F77*T$604,IF($R77="LABOR",$F77*T$605,IF($R77="TD",$F77*T$606))))))</f>
        <v>0</v>
      </c>
      <c r="T77" s="2190">
        <f t="shared" si="45"/>
        <v>0</v>
      </c>
      <c r="U77" s="2197">
        <f t="shared" si="45"/>
        <v>2629.15326</v>
      </c>
    </row>
    <row r="78" spans="1:21" ht="15.75" outlineLevel="2" x14ac:dyDescent="0.25">
      <c r="A78" s="1980" t="s">
        <v>2267</v>
      </c>
      <c r="B78" s="1980" t="s">
        <v>2268</v>
      </c>
      <c r="C78" s="1980" t="s">
        <v>2092</v>
      </c>
      <c r="D78" s="1980" t="s">
        <v>2093</v>
      </c>
      <c r="E78" s="1980" t="s">
        <v>913</v>
      </c>
      <c r="F78" s="1985">
        <v>12006.471890000001</v>
      </c>
      <c r="G78" s="1962">
        <v>3358.6651113686567</v>
      </c>
      <c r="H78" s="1962">
        <v>896.27448961904395</v>
      </c>
      <c r="I78" s="1962">
        <v>640.33499895897842</v>
      </c>
      <c r="L78" s="2191">
        <f t="shared" si="0"/>
        <v>1</v>
      </c>
      <c r="M78" s="2188">
        <f t="shared" si="1"/>
        <v>0.27973788987637871</v>
      </c>
      <c r="N78" s="2188">
        <f t="shared" si="2"/>
        <v>7.464928064051328E-2</v>
      </c>
      <c r="O78" s="2188">
        <f t="shared" si="3"/>
        <v>5.3332486414456461E-2</v>
      </c>
      <c r="P78" s="2192">
        <f t="shared" si="4"/>
        <v>0.40771965693134848</v>
      </c>
      <c r="Q78" s="2189" t="str">
        <f t="shared" si="5"/>
        <v>303</v>
      </c>
      <c r="R78" s="2196" t="s">
        <v>95</v>
      </c>
      <c r="S78" s="2190">
        <f t="shared" ref="S78:U78" si="46">IF($R78="PTD",$F78*T$601,IF($R78="PROD",$F78*T$602,IF($R78="TRANS",$F78*T$603,IF($R78="DIST",$F78*T$604,IF($R78="LABOR",$F78*T$605,IF($R78="TD",$F78*T$606))))))</f>
        <v>5004.9386508136831</v>
      </c>
      <c r="T78" s="2190">
        <f t="shared" si="46"/>
        <v>0</v>
      </c>
      <c r="U78" s="2197">
        <f t="shared" si="46"/>
        <v>7001.5332391863185</v>
      </c>
    </row>
    <row r="79" spans="1:21" ht="15.75" outlineLevel="2" x14ac:dyDescent="0.25">
      <c r="A79" s="1980" t="s">
        <v>2267</v>
      </c>
      <c r="B79" s="1980" t="s">
        <v>2268</v>
      </c>
      <c r="C79" s="1980" t="s">
        <v>2094</v>
      </c>
      <c r="D79" s="1980" t="s">
        <v>2095</v>
      </c>
      <c r="E79" s="1980" t="s">
        <v>1083</v>
      </c>
      <c r="F79" s="1985">
        <v>8773.5046899999998</v>
      </c>
      <c r="G79" s="1962">
        <v>2377.0839182664145</v>
      </c>
      <c r="H79" s="1962">
        <v>668.35759430539906</v>
      </c>
      <c r="I79" s="1962">
        <v>474.96562026538118</v>
      </c>
      <c r="L79" s="2191">
        <f t="shared" si="0"/>
        <v>1</v>
      </c>
      <c r="M79" s="2188">
        <f t="shared" si="1"/>
        <v>0.27093892375481415</v>
      </c>
      <c r="N79" s="2188">
        <f t="shared" si="2"/>
        <v>7.6179088963979236E-2</v>
      </c>
      <c r="O79" s="2188">
        <f t="shared" si="3"/>
        <v>5.4136361357023585E-2</v>
      </c>
      <c r="P79" s="2192">
        <f t="shared" si="4"/>
        <v>0.40125437407581699</v>
      </c>
      <c r="Q79" s="2189" t="str">
        <f t="shared" si="5"/>
        <v>303</v>
      </c>
      <c r="R79" s="2196" t="s">
        <v>393</v>
      </c>
      <c r="S79" s="2190">
        <f t="shared" ref="S79:U79" si="47">IF($R79="PTD",$F79*T$601,IF($R79="PROD",$F79*T$602,IF($R79="TRANS",$F79*T$603,IF($R79="DIST",$F79*T$604,IF($R79="LABOR",$F79*T$605,IF($R79="TD",$F79*T$606))))))</f>
        <v>0</v>
      </c>
      <c r="T79" s="2190">
        <f t="shared" si="47"/>
        <v>0</v>
      </c>
      <c r="U79" s="2197">
        <f t="shared" si="47"/>
        <v>8773.5046899999998</v>
      </c>
    </row>
    <row r="80" spans="1:21" ht="15.75" outlineLevel="2" x14ac:dyDescent="0.25">
      <c r="A80" s="1980" t="s">
        <v>2267</v>
      </c>
      <c r="B80" s="1980" t="s">
        <v>2268</v>
      </c>
      <c r="C80" s="1980" t="s">
        <v>5720</v>
      </c>
      <c r="D80" s="1980" t="s">
        <v>2295</v>
      </c>
      <c r="E80" s="1980" t="s">
        <v>922</v>
      </c>
      <c r="F80" s="1985">
        <v>1039.08186</v>
      </c>
      <c r="G80" s="1962">
        <v>0</v>
      </c>
      <c r="H80" s="1962">
        <v>0</v>
      </c>
      <c r="I80" s="1962">
        <v>0</v>
      </c>
      <c r="L80" s="2191">
        <f t="shared" si="0"/>
        <v>1</v>
      </c>
      <c r="M80" s="2188">
        <f t="shared" si="1"/>
        <v>0</v>
      </c>
      <c r="N80" s="2188">
        <f t="shared" si="2"/>
        <v>0</v>
      </c>
      <c r="O80" s="2188">
        <f t="shared" si="3"/>
        <v>0</v>
      </c>
      <c r="P80" s="2192">
        <f t="shared" si="4"/>
        <v>0</v>
      </c>
      <c r="Q80" s="2189" t="str">
        <f t="shared" si="5"/>
        <v>303</v>
      </c>
      <c r="R80" s="2196" t="s">
        <v>99</v>
      </c>
      <c r="S80" s="2190">
        <f t="shared" ref="S80:U80" si="48">IF($R80="PTD",$F80*T$601,IF($R80="PROD",$F80*T$602,IF($R80="TRANS",$F80*T$603,IF($R80="DIST",$F80*T$604,IF($R80="LABOR",$F80*T$605,IF($R80="TD",$F80*T$606))))))</f>
        <v>457.39982786030527</v>
      </c>
      <c r="T80" s="2190">
        <f t="shared" si="48"/>
        <v>0</v>
      </c>
      <c r="U80" s="2197">
        <f t="shared" si="48"/>
        <v>581.68203213969468</v>
      </c>
    </row>
    <row r="81" spans="1:21" ht="15.75" outlineLevel="2" x14ac:dyDescent="0.25">
      <c r="A81" s="1980" t="s">
        <v>2267</v>
      </c>
      <c r="B81" s="1980" t="s">
        <v>2268</v>
      </c>
      <c r="C81" s="1980" t="s">
        <v>2296</v>
      </c>
      <c r="D81" s="1980" t="s">
        <v>2297</v>
      </c>
      <c r="E81" s="1980" t="s">
        <v>919</v>
      </c>
      <c r="F81" s="1985">
        <v>3356.5908899999999</v>
      </c>
      <c r="G81" s="1962">
        <v>0</v>
      </c>
      <c r="H81" s="1962">
        <v>0</v>
      </c>
      <c r="I81" s="1962">
        <v>3356.5908899999999</v>
      </c>
      <c r="L81" s="2191">
        <f t="shared" si="0"/>
        <v>1</v>
      </c>
      <c r="M81" s="2188">
        <f t="shared" si="1"/>
        <v>0</v>
      </c>
      <c r="N81" s="2188">
        <f t="shared" si="2"/>
        <v>0</v>
      </c>
      <c r="O81" s="2188">
        <f t="shared" si="3"/>
        <v>1</v>
      </c>
      <c r="P81" s="2192">
        <f t="shared" si="4"/>
        <v>1</v>
      </c>
      <c r="Q81" s="2189" t="str">
        <f t="shared" si="5"/>
        <v>303</v>
      </c>
      <c r="R81" s="2196" t="s">
        <v>99</v>
      </c>
      <c r="S81" s="2190">
        <f t="shared" ref="S81:U81" si="49">IF($R81="PTD",$F81*T$601,IF($R81="PROD",$F81*T$602,IF($R81="TRANS",$F81*T$603,IF($R81="DIST",$F81*T$604,IF($R81="LABOR",$F81*T$605,IF($R81="TD",$F81*T$606))))))</f>
        <v>1477.5583660785578</v>
      </c>
      <c r="T81" s="2190">
        <f t="shared" si="49"/>
        <v>0</v>
      </c>
      <c r="U81" s="2197">
        <f t="shared" si="49"/>
        <v>1879.0325239214417</v>
      </c>
    </row>
    <row r="82" spans="1:21" ht="15.75" outlineLevel="2" x14ac:dyDescent="0.25">
      <c r="A82" s="1980" t="s">
        <v>2267</v>
      </c>
      <c r="B82" s="1980" t="s">
        <v>2268</v>
      </c>
      <c r="C82" s="1980" t="s">
        <v>2298</v>
      </c>
      <c r="D82" s="1980" t="s">
        <v>2299</v>
      </c>
      <c r="E82" s="1980" t="s">
        <v>920</v>
      </c>
      <c r="F82" s="1985">
        <v>4287.2701699999998</v>
      </c>
      <c r="G82" s="1962">
        <v>0</v>
      </c>
      <c r="H82" s="1962">
        <v>0</v>
      </c>
      <c r="I82" s="1962">
        <v>0</v>
      </c>
      <c r="L82" s="2191">
        <f t="shared" si="0"/>
        <v>1</v>
      </c>
      <c r="M82" s="2188">
        <f t="shared" si="1"/>
        <v>0</v>
      </c>
      <c r="N82" s="2188">
        <f t="shared" si="2"/>
        <v>0</v>
      </c>
      <c r="O82" s="2188">
        <f t="shared" si="3"/>
        <v>0</v>
      </c>
      <c r="P82" s="2192">
        <f t="shared" si="4"/>
        <v>0</v>
      </c>
      <c r="Q82" s="2189" t="str">
        <f t="shared" si="5"/>
        <v>303</v>
      </c>
      <c r="R82" s="2196" t="s">
        <v>99</v>
      </c>
      <c r="S82" s="2190">
        <f t="shared" ref="S82:U82" si="50">IF($R82="PTD",$F82*T$601,IF($R82="PROD",$F82*T$602,IF($R82="TRANS",$F82*T$603,IF($R82="DIST",$F82*T$604,IF($R82="LABOR",$F82*T$605,IF($R82="TD",$F82*T$606))))))</f>
        <v>1887.2397962453329</v>
      </c>
      <c r="T82" s="2190">
        <f t="shared" si="50"/>
        <v>0</v>
      </c>
      <c r="U82" s="2197">
        <f t="shared" si="50"/>
        <v>2400.0303737546665</v>
      </c>
    </row>
    <row r="83" spans="1:21" ht="15.75" outlineLevel="2" x14ac:dyDescent="0.25">
      <c r="A83" s="1980" t="s">
        <v>2267</v>
      </c>
      <c r="B83" s="1980" t="s">
        <v>2268</v>
      </c>
      <c r="C83" s="1980" t="s">
        <v>2096</v>
      </c>
      <c r="D83" s="1980" t="s">
        <v>2300</v>
      </c>
      <c r="E83" s="1980" t="s">
        <v>913</v>
      </c>
      <c r="F83" s="1985">
        <v>7014.6659499999996</v>
      </c>
      <c r="G83" s="1962">
        <v>1962.2678510406834</v>
      </c>
      <c r="H83" s="1962">
        <v>523.63976710100269</v>
      </c>
      <c r="I83" s="1962">
        <v>374.1095764803253</v>
      </c>
      <c r="L83" s="2191">
        <f t="shared" si="0"/>
        <v>1</v>
      </c>
      <c r="M83" s="2188">
        <f t="shared" si="1"/>
        <v>0.27973788987637871</v>
      </c>
      <c r="N83" s="2188">
        <f t="shared" si="2"/>
        <v>7.464928064051328E-2</v>
      </c>
      <c r="O83" s="2188">
        <f t="shared" si="3"/>
        <v>5.3332486414456461E-2</v>
      </c>
      <c r="P83" s="2192">
        <f t="shared" si="4"/>
        <v>0.40771965693134848</v>
      </c>
      <c r="Q83" s="2189" t="str">
        <f t="shared" si="5"/>
        <v>303</v>
      </c>
      <c r="R83" s="2196" t="s">
        <v>95</v>
      </c>
      <c r="S83" s="2190">
        <f t="shared" ref="S83:U83" si="51">IF($R83="PTD",$F83*T$601,IF($R83="PROD",$F83*T$602,IF($R83="TRANS",$F83*T$603,IF($R83="DIST",$F83*T$604,IF($R83="LABOR",$F83*T$605,IF($R83="TD",$F83*T$606))))))</f>
        <v>2924.0873636611391</v>
      </c>
      <c r="T83" s="2190">
        <f t="shared" si="51"/>
        <v>0</v>
      </c>
      <c r="U83" s="2197">
        <f t="shared" si="51"/>
        <v>4090.5785863388605</v>
      </c>
    </row>
    <row r="84" spans="1:21" ht="15.75" outlineLevel="2" x14ac:dyDescent="0.25">
      <c r="A84" s="1980" t="s">
        <v>2267</v>
      </c>
      <c r="B84" s="1980" t="s">
        <v>2268</v>
      </c>
      <c r="C84" s="1980" t="s">
        <v>2098</v>
      </c>
      <c r="D84" s="1980" t="s">
        <v>2099</v>
      </c>
      <c r="E84" s="1980" t="s">
        <v>1083</v>
      </c>
      <c r="F84" s="1985">
        <v>89672.296820000003</v>
      </c>
      <c r="G84" s="1962">
        <v>24295.715592433</v>
      </c>
      <c r="H84" s="1962">
        <v>6831.1538770551324</v>
      </c>
      <c r="I84" s="1962">
        <v>4854.5318643617975</v>
      </c>
      <c r="L84" s="2191">
        <f t="shared" si="0"/>
        <v>1</v>
      </c>
      <c r="M84" s="2188">
        <f t="shared" si="1"/>
        <v>0.27093892377042605</v>
      </c>
      <c r="N84" s="2188">
        <f t="shared" si="2"/>
        <v>7.6179088963979236E-2</v>
      </c>
      <c r="O84" s="2188">
        <f t="shared" si="3"/>
        <v>5.4136361357023592E-2</v>
      </c>
      <c r="P84" s="2192">
        <f t="shared" si="4"/>
        <v>0.40125437409142889</v>
      </c>
      <c r="Q84" s="2189" t="str">
        <f t="shared" si="5"/>
        <v>303</v>
      </c>
      <c r="R84" s="2196" t="s">
        <v>394</v>
      </c>
      <c r="S84" s="2190">
        <f t="shared" ref="S84:U84" si="52">IF($R84="PTD",$F84*T$601,IF($R84="PROD",$F84*T$602,IF($R84="TRANS",$F84*T$603,IF($R84="DIST",$F84*T$604,IF($R84="LABOR",$F84*T$605,IF($R84="TD",$F84*T$606))))))</f>
        <v>89672.296820000003</v>
      </c>
      <c r="T84" s="2190">
        <f t="shared" si="52"/>
        <v>0</v>
      </c>
      <c r="U84" s="2197">
        <f t="shared" si="52"/>
        <v>0</v>
      </c>
    </row>
    <row r="85" spans="1:21" ht="15.75" outlineLevel="2" x14ac:dyDescent="0.25">
      <c r="A85" s="1980" t="s">
        <v>2267</v>
      </c>
      <c r="B85" s="1980" t="s">
        <v>2268</v>
      </c>
      <c r="C85" s="1980" t="s">
        <v>2301</v>
      </c>
      <c r="D85" s="1980" t="s">
        <v>2302</v>
      </c>
      <c r="E85" s="1980" t="s">
        <v>1754</v>
      </c>
      <c r="F85" s="1985">
        <v>5868.34458</v>
      </c>
      <c r="G85" s="1962">
        <v>1788.8258597100505</v>
      </c>
      <c r="H85" s="1962">
        <v>391.47654548498139</v>
      </c>
      <c r="I85" s="1962">
        <v>250.58810756277677</v>
      </c>
      <c r="L85" s="2191">
        <f t="shared" si="0"/>
        <v>1</v>
      </c>
      <c r="M85" s="2188">
        <f t="shared" si="1"/>
        <v>0.30482631606306432</v>
      </c>
      <c r="N85" s="2188">
        <f t="shared" si="2"/>
        <v>6.6709877061271919E-2</v>
      </c>
      <c r="O85" s="2188">
        <f t="shared" si="3"/>
        <v>4.2701668953934666E-2</v>
      </c>
      <c r="P85" s="2192">
        <f t="shared" si="4"/>
        <v>0.4142378620782709</v>
      </c>
      <c r="Q85" s="2189" t="str">
        <f t="shared" si="5"/>
        <v>303</v>
      </c>
      <c r="R85" s="2196" t="s">
        <v>392</v>
      </c>
      <c r="S85" s="2190">
        <f t="shared" ref="S85:U85" si="53">IF($R85="PTD",$F85*T$601,IF($R85="PROD",$F85*T$602,IF($R85="TRANS",$F85*T$603,IF($R85="DIST",$F85*T$604,IF($R85="LABOR",$F85*T$605,IF($R85="TD",$F85*T$606))))))</f>
        <v>0</v>
      </c>
      <c r="T85" s="2190">
        <f t="shared" si="53"/>
        <v>0</v>
      </c>
      <c r="U85" s="2197">
        <f t="shared" si="53"/>
        <v>5868.34458</v>
      </c>
    </row>
    <row r="86" spans="1:21" ht="15.75" outlineLevel="2" x14ac:dyDescent="0.25">
      <c r="A86" s="1980" t="s">
        <v>2267</v>
      </c>
      <c r="B86" s="1980" t="s">
        <v>2268</v>
      </c>
      <c r="C86" s="1980" t="s">
        <v>2303</v>
      </c>
      <c r="D86" s="1980" t="s">
        <v>2304</v>
      </c>
      <c r="E86" s="1980" t="s">
        <v>913</v>
      </c>
      <c r="F86" s="1985">
        <v>3978.4801299999999</v>
      </c>
      <c r="G86" s="1962">
        <v>1112.9316364813008</v>
      </c>
      <c r="H86" s="1962">
        <v>296.99067974707577</v>
      </c>
      <c r="I86" s="1962">
        <v>212.18223748340998</v>
      </c>
      <c r="L86" s="2191">
        <f t="shared" si="0"/>
        <v>1</v>
      </c>
      <c r="M86" s="2188">
        <f t="shared" si="1"/>
        <v>0.27973788987637871</v>
      </c>
      <c r="N86" s="2188">
        <f t="shared" si="2"/>
        <v>7.464928064051328E-2</v>
      </c>
      <c r="O86" s="2188">
        <f t="shared" si="3"/>
        <v>5.3332486414456461E-2</v>
      </c>
      <c r="P86" s="2192">
        <f t="shared" si="4"/>
        <v>0.40771965693134848</v>
      </c>
      <c r="Q86" s="2189" t="str">
        <f t="shared" si="5"/>
        <v>303</v>
      </c>
      <c r="R86" s="2196" t="s">
        <v>393</v>
      </c>
      <c r="S86" s="2190">
        <f t="shared" ref="S86:U86" si="54">IF($R86="PTD",$F86*T$601,IF($R86="PROD",$F86*T$602,IF($R86="TRANS",$F86*T$603,IF($R86="DIST",$F86*T$604,IF($R86="LABOR",$F86*T$605,IF($R86="TD",$F86*T$606))))))</f>
        <v>0</v>
      </c>
      <c r="T86" s="2190">
        <f t="shared" si="54"/>
        <v>0</v>
      </c>
      <c r="U86" s="2197">
        <f t="shared" si="54"/>
        <v>3978.4801299999999</v>
      </c>
    </row>
    <row r="87" spans="1:21" ht="15.75" outlineLevel="2" x14ac:dyDescent="0.25">
      <c r="A87" s="1980" t="s">
        <v>2267</v>
      </c>
      <c r="B87" s="1980" t="s">
        <v>2268</v>
      </c>
      <c r="C87" s="1980" t="s">
        <v>2100</v>
      </c>
      <c r="D87" s="1980" t="s">
        <v>2101</v>
      </c>
      <c r="E87" s="1980" t="s">
        <v>913</v>
      </c>
      <c r="F87" s="1985">
        <v>35099.852129999999</v>
      </c>
      <c r="G87" s="1962">
        <v>9818.758569819116</v>
      </c>
      <c r="H87" s="1962">
        <v>2620.178712092888</v>
      </c>
      <c r="I87" s="1962">
        <v>1871.9623868726555</v>
      </c>
      <c r="L87" s="2191">
        <f t="shared" si="0"/>
        <v>1</v>
      </c>
      <c r="M87" s="2188">
        <f t="shared" si="1"/>
        <v>0.27973788987637871</v>
      </c>
      <c r="N87" s="2188">
        <f t="shared" si="2"/>
        <v>7.464928064051328E-2</v>
      </c>
      <c r="O87" s="2188">
        <f t="shared" si="3"/>
        <v>5.3332486414456461E-2</v>
      </c>
      <c r="P87" s="2192">
        <f t="shared" si="4"/>
        <v>0.40771965693134848</v>
      </c>
      <c r="Q87" s="2189" t="str">
        <f t="shared" si="5"/>
        <v>303</v>
      </c>
      <c r="R87" s="2196" t="s">
        <v>392</v>
      </c>
      <c r="S87" s="2190">
        <f t="shared" ref="S87:U87" si="55">IF($R87="PTD",$F87*T$601,IF($R87="PROD",$F87*T$602,IF($R87="TRANS",$F87*T$603,IF($R87="DIST",$F87*T$604,IF($R87="LABOR",$F87*T$605,IF($R87="TD",$F87*T$606))))))</f>
        <v>0</v>
      </c>
      <c r="T87" s="2190">
        <f t="shared" si="55"/>
        <v>0</v>
      </c>
      <c r="U87" s="2197">
        <f t="shared" si="55"/>
        <v>35099.852129999999</v>
      </c>
    </row>
    <row r="88" spans="1:21" ht="15.75" outlineLevel="2" x14ac:dyDescent="0.25">
      <c r="A88" s="1980" t="s">
        <v>2267</v>
      </c>
      <c r="B88" s="1980" t="s">
        <v>2268</v>
      </c>
      <c r="C88" s="1980" t="s">
        <v>2102</v>
      </c>
      <c r="D88" s="1980" t="s">
        <v>2103</v>
      </c>
      <c r="E88" s="1980" t="s">
        <v>1754</v>
      </c>
      <c r="F88" s="1985">
        <v>4934.2896799999999</v>
      </c>
      <c r="G88" s="1962">
        <v>1504.1013455423965</v>
      </c>
      <c r="H88" s="1962">
        <v>329.16585793750272</v>
      </c>
      <c r="I88" s="1962">
        <v>210.70240443817622</v>
      </c>
      <c r="L88" s="2191">
        <f t="shared" si="0"/>
        <v>1</v>
      </c>
      <c r="M88" s="2188">
        <f t="shared" si="1"/>
        <v>0.30482631606306432</v>
      </c>
      <c r="N88" s="2188">
        <f t="shared" si="2"/>
        <v>6.6709877061271919E-2</v>
      </c>
      <c r="O88" s="2188">
        <f t="shared" si="3"/>
        <v>4.2701668953934666E-2</v>
      </c>
      <c r="P88" s="2192">
        <f t="shared" si="4"/>
        <v>0.4142378620782709</v>
      </c>
      <c r="Q88" s="2189" t="str">
        <f t="shared" si="5"/>
        <v>303</v>
      </c>
      <c r="R88" s="2196" t="s">
        <v>394</v>
      </c>
      <c r="S88" s="2190">
        <f t="shared" ref="S88:U88" si="56">IF($R88="PTD",$F88*T$601,IF($R88="PROD",$F88*T$602,IF($R88="TRANS",$F88*T$603,IF($R88="DIST",$F88*T$604,IF($R88="LABOR",$F88*T$605,IF($R88="TD",$F88*T$606))))))</f>
        <v>4934.2896799999999</v>
      </c>
      <c r="T88" s="2190">
        <f t="shared" si="56"/>
        <v>0</v>
      </c>
      <c r="U88" s="2197">
        <f t="shared" si="56"/>
        <v>0</v>
      </c>
    </row>
    <row r="89" spans="1:21" ht="15.75" outlineLevel="2" x14ac:dyDescent="0.25">
      <c r="A89" s="1980" t="s">
        <v>2267</v>
      </c>
      <c r="B89" s="1980" t="s">
        <v>2268</v>
      </c>
      <c r="C89" s="1980" t="s">
        <v>2104</v>
      </c>
      <c r="D89" s="1980" t="s">
        <v>2105</v>
      </c>
      <c r="E89" s="1980" t="s">
        <v>1754</v>
      </c>
      <c r="F89" s="1985">
        <v>48689.26629</v>
      </c>
      <c r="G89" s="1962">
        <v>14841.769674994242</v>
      </c>
      <c r="H89" s="1962">
        <v>3248.0549684094312</v>
      </c>
      <c r="I89" s="1962">
        <v>2079.1129307255505</v>
      </c>
      <c r="L89" s="2191">
        <f t="shared" si="0"/>
        <v>1</v>
      </c>
      <c r="M89" s="2188">
        <f t="shared" si="1"/>
        <v>0.30482631606306432</v>
      </c>
      <c r="N89" s="2188">
        <f t="shared" si="2"/>
        <v>6.6709877061271919E-2</v>
      </c>
      <c r="O89" s="2188">
        <f t="shared" si="3"/>
        <v>4.2701668953934666E-2</v>
      </c>
      <c r="P89" s="2192">
        <f t="shared" si="4"/>
        <v>0.4142378620782709</v>
      </c>
      <c r="Q89" s="2189" t="str">
        <f t="shared" si="5"/>
        <v>303</v>
      </c>
      <c r="R89" s="2196" t="s">
        <v>392</v>
      </c>
      <c r="S89" s="2190">
        <f t="shared" ref="S89:U89" si="57">IF($R89="PTD",$F89*T$601,IF($R89="PROD",$F89*T$602,IF($R89="TRANS",$F89*T$603,IF($R89="DIST",$F89*T$604,IF($R89="LABOR",$F89*T$605,IF($R89="TD",$F89*T$606))))))</f>
        <v>0</v>
      </c>
      <c r="T89" s="2190">
        <f t="shared" si="57"/>
        <v>0</v>
      </c>
      <c r="U89" s="2197">
        <f t="shared" si="57"/>
        <v>48689.26629</v>
      </c>
    </row>
    <row r="90" spans="1:21" ht="15.75" outlineLevel="2" x14ac:dyDescent="0.25">
      <c r="A90" s="1980" t="s">
        <v>2267</v>
      </c>
      <c r="B90" s="1980" t="s">
        <v>2268</v>
      </c>
      <c r="C90" s="1980" t="s">
        <v>2106</v>
      </c>
      <c r="D90" s="1980" t="s">
        <v>2107</v>
      </c>
      <c r="E90" s="1980" t="s">
        <v>913</v>
      </c>
      <c r="F90" s="1985">
        <v>6437.9240900000004</v>
      </c>
      <c r="G90" s="1962">
        <v>1800.9273837904475</v>
      </c>
      <c r="H90" s="1962">
        <v>480.58535704680213</v>
      </c>
      <c r="I90" s="1962">
        <v>343.34975241241716</v>
      </c>
      <c r="L90" s="2191">
        <f t="shared" si="0"/>
        <v>1</v>
      </c>
      <c r="M90" s="2188">
        <f t="shared" si="1"/>
        <v>0.27973728155444083</v>
      </c>
      <c r="N90" s="2188">
        <f t="shared" si="2"/>
        <v>7.4649118307140855E-2</v>
      </c>
      <c r="O90" s="2188">
        <f t="shared" si="3"/>
        <v>5.3332370436883658E-2</v>
      </c>
      <c r="P90" s="2192">
        <f t="shared" si="4"/>
        <v>0.40771877029846537</v>
      </c>
      <c r="Q90" s="2189" t="str">
        <f t="shared" si="5"/>
        <v>303</v>
      </c>
      <c r="R90" s="2196" t="s">
        <v>99</v>
      </c>
      <c r="S90" s="2190">
        <f t="shared" ref="S90:U90" si="58">IF($R90="PTD",$F90*T$601,IF($R90="PROD",$F90*T$602,IF($R90="TRANS",$F90*T$603,IF($R90="DIST",$F90*T$604,IF($R90="LABOR",$F90*T$605,IF($R90="TD",$F90*T$606))))))</f>
        <v>2833.9493584689399</v>
      </c>
      <c r="T90" s="2190">
        <f t="shared" si="58"/>
        <v>0</v>
      </c>
      <c r="U90" s="2197">
        <f t="shared" si="58"/>
        <v>3603.9747315310601</v>
      </c>
    </row>
    <row r="91" spans="1:21" ht="15.75" outlineLevel="2" x14ac:dyDescent="0.25">
      <c r="A91" s="1980" t="s">
        <v>2267</v>
      </c>
      <c r="B91" s="1980" t="s">
        <v>2268</v>
      </c>
      <c r="C91" s="1980" t="s">
        <v>2108</v>
      </c>
      <c r="D91" s="1980" t="s">
        <v>2109</v>
      </c>
      <c r="E91" s="1980" t="s">
        <v>1754</v>
      </c>
      <c r="F91" s="1985">
        <v>10515.66635</v>
      </c>
      <c r="G91" s="1962">
        <v>3205.4518344188295</v>
      </c>
      <c r="H91" s="1962">
        <v>701.49880942585401</v>
      </c>
      <c r="I91" s="1962">
        <v>449.03650330773041</v>
      </c>
      <c r="L91" s="2191">
        <f t="shared" si="0"/>
        <v>1</v>
      </c>
      <c r="M91" s="2188">
        <f t="shared" si="1"/>
        <v>0.30482631606306432</v>
      </c>
      <c r="N91" s="2188">
        <f t="shared" si="2"/>
        <v>6.6709877061271919E-2</v>
      </c>
      <c r="O91" s="2188">
        <f t="shared" si="3"/>
        <v>4.2701668953934666E-2</v>
      </c>
      <c r="P91" s="2192">
        <f t="shared" si="4"/>
        <v>0.4142378620782709</v>
      </c>
      <c r="Q91" s="2189" t="str">
        <f t="shared" si="5"/>
        <v>303</v>
      </c>
      <c r="R91" s="2196" t="s">
        <v>392</v>
      </c>
      <c r="S91" s="2190">
        <f t="shared" ref="S91:U91" si="59">IF($R91="PTD",$F91*T$601,IF($R91="PROD",$F91*T$602,IF($R91="TRANS",$F91*T$603,IF($R91="DIST",$F91*T$604,IF($R91="LABOR",$F91*T$605,IF($R91="TD",$F91*T$606))))))</f>
        <v>0</v>
      </c>
      <c r="T91" s="2190">
        <f t="shared" si="59"/>
        <v>0</v>
      </c>
      <c r="U91" s="2197">
        <f t="shared" si="59"/>
        <v>10515.66635</v>
      </c>
    </row>
    <row r="92" spans="1:21" ht="15.75" outlineLevel="2" x14ac:dyDescent="0.25">
      <c r="A92" s="1980" t="s">
        <v>2267</v>
      </c>
      <c r="B92" s="1980" t="s">
        <v>2268</v>
      </c>
      <c r="C92" s="1980" t="s">
        <v>2110</v>
      </c>
      <c r="D92" s="1980" t="s">
        <v>2111</v>
      </c>
      <c r="E92" s="1980" t="s">
        <v>913</v>
      </c>
      <c r="F92" s="1985">
        <v>7595.4948100000001</v>
      </c>
      <c r="G92" s="1962">
        <v>2124.7476907163859</v>
      </c>
      <c r="H92" s="1962">
        <v>566.99822367525212</v>
      </c>
      <c r="I92" s="1962">
        <v>405.08662376539957</v>
      </c>
      <c r="L92" s="2191">
        <f t="shared" si="0"/>
        <v>1</v>
      </c>
      <c r="M92" s="2188">
        <f t="shared" si="1"/>
        <v>0.27973788987637871</v>
      </c>
      <c r="N92" s="2188">
        <f t="shared" si="2"/>
        <v>7.464928064051328E-2</v>
      </c>
      <c r="O92" s="2188">
        <f t="shared" si="3"/>
        <v>5.3332486414456461E-2</v>
      </c>
      <c r="P92" s="2192">
        <f t="shared" si="4"/>
        <v>0.40771965693134848</v>
      </c>
      <c r="Q92" s="2189" t="str">
        <f t="shared" si="5"/>
        <v>303</v>
      </c>
      <c r="R92" s="2196" t="s">
        <v>99</v>
      </c>
      <c r="S92" s="2190">
        <f t="shared" ref="S92:U92" si="60">IF($R92="PTD",$F92*T$601,IF($R92="PROD",$F92*T$602,IF($R92="TRANS",$F92*T$603,IF($R92="DIST",$F92*T$604,IF($R92="LABOR",$F92*T$605,IF($R92="TD",$F92*T$606))))))</f>
        <v>3343.5075255840211</v>
      </c>
      <c r="T92" s="2190">
        <f t="shared" si="60"/>
        <v>0</v>
      </c>
      <c r="U92" s="2197">
        <f t="shared" si="60"/>
        <v>4251.9872844159781</v>
      </c>
    </row>
    <row r="93" spans="1:21" ht="15.75" outlineLevel="2" x14ac:dyDescent="0.25">
      <c r="A93" s="1980" t="s">
        <v>2267</v>
      </c>
      <c r="B93" s="1980" t="s">
        <v>2268</v>
      </c>
      <c r="C93" s="1980" t="s">
        <v>2112</v>
      </c>
      <c r="D93" s="1980" t="s">
        <v>2113</v>
      </c>
      <c r="E93" s="1980" t="s">
        <v>1754</v>
      </c>
      <c r="F93" s="1985">
        <v>3902.7451500000002</v>
      </c>
      <c r="G93" s="1962">
        <v>1189.6594266074915</v>
      </c>
      <c r="H93" s="1962">
        <v>260.35164915797526</v>
      </c>
      <c r="I93" s="1962">
        <v>166.6537314068741</v>
      </c>
      <c r="L93" s="2191">
        <f t="shared" si="0"/>
        <v>1</v>
      </c>
      <c r="M93" s="2188">
        <f t="shared" si="1"/>
        <v>0.30482631606306432</v>
      </c>
      <c r="N93" s="2188">
        <f t="shared" si="2"/>
        <v>6.6709877061271919E-2</v>
      </c>
      <c r="O93" s="2188">
        <f t="shared" si="3"/>
        <v>4.2701668953934666E-2</v>
      </c>
      <c r="P93" s="2192">
        <f t="shared" si="4"/>
        <v>0.4142378620782709</v>
      </c>
      <c r="Q93" s="2189" t="str">
        <f t="shared" si="5"/>
        <v>303</v>
      </c>
      <c r="R93" s="2196" t="s">
        <v>392</v>
      </c>
      <c r="S93" s="2190">
        <f t="shared" ref="S93:U93" si="61">IF($R93="PTD",$F93*T$601,IF($R93="PROD",$F93*T$602,IF($R93="TRANS",$F93*T$603,IF($R93="DIST",$F93*T$604,IF($R93="LABOR",$F93*T$605,IF($R93="TD",$F93*T$606))))))</f>
        <v>0</v>
      </c>
      <c r="T93" s="2190">
        <f t="shared" si="61"/>
        <v>0</v>
      </c>
      <c r="U93" s="2197">
        <f t="shared" si="61"/>
        <v>3902.7451500000002</v>
      </c>
    </row>
    <row r="94" spans="1:21" ht="15.75" outlineLevel="2" x14ac:dyDescent="0.25">
      <c r="A94" s="1980" t="s">
        <v>2267</v>
      </c>
      <c r="B94" s="1980" t="s">
        <v>2268</v>
      </c>
      <c r="C94" s="1980" t="s">
        <v>2305</v>
      </c>
      <c r="D94" s="1980" t="s">
        <v>2306</v>
      </c>
      <c r="E94" s="1980" t="s">
        <v>1754</v>
      </c>
      <c r="F94" s="1985">
        <v>1085.2564500000001</v>
      </c>
      <c r="G94" s="1962">
        <v>330.81472563717921</v>
      </c>
      <c r="H94" s="1962">
        <v>72.397324359452398</v>
      </c>
      <c r="I94" s="1962">
        <v>46.342261658022352</v>
      </c>
      <c r="L94" s="2191">
        <f t="shared" si="0"/>
        <v>1</v>
      </c>
      <c r="M94" s="2188">
        <f t="shared" si="1"/>
        <v>0.30482631606306432</v>
      </c>
      <c r="N94" s="2188">
        <f t="shared" si="2"/>
        <v>6.6709877061271919E-2</v>
      </c>
      <c r="O94" s="2188">
        <f t="shared" si="3"/>
        <v>4.2701668953934666E-2</v>
      </c>
      <c r="P94" s="2192">
        <f t="shared" si="4"/>
        <v>0.4142378620782709</v>
      </c>
      <c r="Q94" s="2189" t="str">
        <f t="shared" si="5"/>
        <v>303</v>
      </c>
      <c r="R94" s="2196" t="s">
        <v>95</v>
      </c>
      <c r="S94" s="2190">
        <f t="shared" ref="S94:U94" si="62">IF($R94="PTD",$F94*T$601,IF($R94="PROD",$F94*T$602,IF($R94="TRANS",$F94*T$603,IF($R94="DIST",$F94*T$604,IF($R94="LABOR",$F94*T$605,IF($R94="TD",$F94*T$606))))))</f>
        <v>452.39284299443329</v>
      </c>
      <c r="T94" s="2190">
        <f t="shared" si="62"/>
        <v>0</v>
      </c>
      <c r="U94" s="2197">
        <f t="shared" si="62"/>
        <v>632.86360700556679</v>
      </c>
    </row>
    <row r="95" spans="1:21" ht="15.75" outlineLevel="2" x14ac:dyDescent="0.25">
      <c r="A95" s="1980" t="s">
        <v>2267</v>
      </c>
      <c r="B95" s="1980" t="s">
        <v>2268</v>
      </c>
      <c r="C95" s="1980" t="s">
        <v>2114</v>
      </c>
      <c r="D95" s="1980" t="s">
        <v>2307</v>
      </c>
      <c r="E95" s="1980" t="s">
        <v>913</v>
      </c>
      <c r="F95" s="1985">
        <v>19936.280040000001</v>
      </c>
      <c r="G95" s="1962">
        <v>5576.9329243741704</v>
      </c>
      <c r="H95" s="1962">
        <v>1488.2289636338235</v>
      </c>
      <c r="I95" s="1962">
        <v>1063.2513843880995</v>
      </c>
      <c r="L95" s="2191">
        <f t="shared" si="0"/>
        <v>1</v>
      </c>
      <c r="M95" s="2188">
        <f t="shared" si="1"/>
        <v>0.2797378905786162</v>
      </c>
      <c r="N95" s="2188">
        <f t="shared" si="2"/>
        <v>7.464928064051328E-2</v>
      </c>
      <c r="O95" s="2188">
        <f t="shared" si="3"/>
        <v>5.3332486414456454E-2</v>
      </c>
      <c r="P95" s="2192">
        <f t="shared" si="4"/>
        <v>0.40771965763358597</v>
      </c>
      <c r="Q95" s="2189" t="str">
        <f t="shared" si="5"/>
        <v>303</v>
      </c>
      <c r="R95" s="2196" t="s">
        <v>394</v>
      </c>
      <c r="S95" s="2190">
        <f t="shared" ref="S95:U95" si="63">IF($R95="PTD",$F95*T$601,IF($R95="PROD",$F95*T$602,IF($R95="TRANS",$F95*T$603,IF($R95="DIST",$F95*T$604,IF($R95="LABOR",$F95*T$605,IF($R95="TD",$F95*T$606))))))</f>
        <v>19936.280040000001</v>
      </c>
      <c r="T95" s="2190">
        <f t="shared" si="63"/>
        <v>0</v>
      </c>
      <c r="U95" s="2197">
        <f t="shared" si="63"/>
        <v>0</v>
      </c>
    </row>
    <row r="96" spans="1:21" ht="15.75" outlineLevel="2" x14ac:dyDescent="0.25">
      <c r="A96" s="1980" t="s">
        <v>2267</v>
      </c>
      <c r="B96" s="1980" t="s">
        <v>2268</v>
      </c>
      <c r="C96" s="1980" t="s">
        <v>2116</v>
      </c>
      <c r="D96" s="1980" t="s">
        <v>2117</v>
      </c>
      <c r="E96" s="1980" t="s">
        <v>1083</v>
      </c>
      <c r="F96" s="1985">
        <v>10148.948549999999</v>
      </c>
      <c r="G96" s="1962">
        <v>2749.7451973799816</v>
      </c>
      <c r="H96" s="1962">
        <v>773.137654481298</v>
      </c>
      <c r="I96" s="1962">
        <v>549.42714609664051</v>
      </c>
      <c r="L96" s="2191">
        <f t="shared" si="0"/>
        <v>1</v>
      </c>
      <c r="M96" s="2188">
        <f t="shared" si="1"/>
        <v>0.27093892375481415</v>
      </c>
      <c r="N96" s="2188">
        <f t="shared" si="2"/>
        <v>7.6179088963979236E-2</v>
      </c>
      <c r="O96" s="2188">
        <f t="shared" si="3"/>
        <v>5.4136361357023585E-2</v>
      </c>
      <c r="P96" s="2192">
        <f t="shared" si="4"/>
        <v>0.40125437407581699</v>
      </c>
      <c r="Q96" s="2189" t="str">
        <f t="shared" si="5"/>
        <v>303</v>
      </c>
      <c r="R96" s="2196" t="s">
        <v>393</v>
      </c>
      <c r="S96" s="2190">
        <f t="shared" ref="S96:U96" si="64">IF($R96="PTD",$F96*T$601,IF($R96="PROD",$F96*T$602,IF($R96="TRANS",$F96*T$603,IF($R96="DIST",$F96*T$604,IF($R96="LABOR",$F96*T$605,IF($R96="TD",$F96*T$606))))))</f>
        <v>0</v>
      </c>
      <c r="T96" s="2190">
        <f t="shared" si="64"/>
        <v>0</v>
      </c>
      <c r="U96" s="2197">
        <f t="shared" si="64"/>
        <v>10148.948549999999</v>
      </c>
    </row>
    <row r="97" spans="1:22" ht="15.75" outlineLevel="2" x14ac:dyDescent="0.25">
      <c r="A97" s="1980" t="s">
        <v>2267</v>
      </c>
      <c r="B97" s="1980" t="s">
        <v>2268</v>
      </c>
      <c r="C97" s="1980" t="s">
        <v>2308</v>
      </c>
      <c r="D97" s="1980" t="s">
        <v>2309</v>
      </c>
      <c r="E97" s="1980" t="s">
        <v>912</v>
      </c>
      <c r="F97" s="1985">
        <v>4070.90915</v>
      </c>
      <c r="G97" s="1962">
        <v>4070.90915</v>
      </c>
      <c r="H97" s="1962">
        <v>0</v>
      </c>
      <c r="I97" s="1962">
        <v>0</v>
      </c>
      <c r="L97" s="2191">
        <f t="shared" si="0"/>
        <v>1</v>
      </c>
      <c r="M97" s="2188">
        <f t="shared" si="1"/>
        <v>1</v>
      </c>
      <c r="N97" s="2188">
        <f t="shared" si="2"/>
        <v>0</v>
      </c>
      <c r="O97" s="2188">
        <f t="shared" si="3"/>
        <v>0</v>
      </c>
      <c r="P97" s="2192">
        <f t="shared" si="4"/>
        <v>1</v>
      </c>
      <c r="Q97" s="2189" t="str">
        <f t="shared" si="5"/>
        <v>303</v>
      </c>
      <c r="R97" s="2196" t="s">
        <v>99</v>
      </c>
      <c r="S97" s="2190">
        <f t="shared" ref="S97:U97" si="65">IF($R97="PTD",$F97*T$601,IF($R97="PROD",$F97*T$602,IF($R97="TRANS",$F97*T$603,IF($R97="DIST",$F97*T$604,IF($R97="LABOR",$F97*T$605,IF($R97="TD",$F97*T$606))))))</f>
        <v>1791.9985095735783</v>
      </c>
      <c r="T97" s="2190">
        <f t="shared" si="65"/>
        <v>0</v>
      </c>
      <c r="U97" s="2197">
        <f t="shared" si="65"/>
        <v>2278.9106404264212</v>
      </c>
    </row>
    <row r="98" spans="1:22" ht="15.75" outlineLevel="2" x14ac:dyDescent="0.25">
      <c r="A98" s="1980" t="s">
        <v>2267</v>
      </c>
      <c r="B98" s="1980" t="s">
        <v>2268</v>
      </c>
      <c r="C98" s="1980" t="s">
        <v>2310</v>
      </c>
      <c r="D98" s="1980" t="s">
        <v>2311</v>
      </c>
      <c r="E98" s="1980" t="s">
        <v>921</v>
      </c>
      <c r="F98" s="1985">
        <v>2021.2450899999999</v>
      </c>
      <c r="G98" s="1962">
        <v>0</v>
      </c>
      <c r="H98" s="1962">
        <v>2021.2450899999999</v>
      </c>
      <c r="I98" s="1962">
        <v>0</v>
      </c>
      <c r="L98" s="2191">
        <f t="shared" si="0"/>
        <v>1</v>
      </c>
      <c r="M98" s="2188">
        <f t="shared" si="1"/>
        <v>0</v>
      </c>
      <c r="N98" s="2188">
        <f t="shared" si="2"/>
        <v>1</v>
      </c>
      <c r="O98" s="2188">
        <f t="shared" si="3"/>
        <v>0</v>
      </c>
      <c r="P98" s="2192">
        <f t="shared" si="4"/>
        <v>1</v>
      </c>
      <c r="Q98" s="2189" t="str">
        <f t="shared" si="5"/>
        <v>303</v>
      </c>
      <c r="R98" s="2196" t="s">
        <v>99</v>
      </c>
      <c r="S98" s="2190">
        <f t="shared" ref="S98:U98" si="66">IF($R98="PTD",$F98*T$601,IF($R98="PROD",$F98*T$602,IF($R98="TRANS",$F98*T$603,IF($R98="DIST",$F98*T$604,IF($R98="LABOR",$F98*T$605,IF($R98="TD",$F98*T$606))))))</f>
        <v>889.74429428446297</v>
      </c>
      <c r="T98" s="2190">
        <f t="shared" si="66"/>
        <v>0</v>
      </c>
      <c r="U98" s="2197">
        <f t="shared" si="66"/>
        <v>1131.5007957155367</v>
      </c>
    </row>
    <row r="99" spans="1:22" ht="15.75" outlineLevel="2" x14ac:dyDescent="0.25">
      <c r="A99" s="1980" t="s">
        <v>2267</v>
      </c>
      <c r="B99" s="1980" t="s">
        <v>2268</v>
      </c>
      <c r="C99" s="1980" t="s">
        <v>2312</v>
      </c>
      <c r="D99" s="1980" t="s">
        <v>2313</v>
      </c>
      <c r="E99" s="1980" t="s">
        <v>918</v>
      </c>
      <c r="F99" s="1985">
        <v>472.34097000000003</v>
      </c>
      <c r="G99" s="1962">
        <v>0</v>
      </c>
      <c r="H99" s="1962">
        <v>0</v>
      </c>
      <c r="I99" s="1962">
        <v>0</v>
      </c>
      <c r="L99" s="2191">
        <f t="shared" si="0"/>
        <v>1</v>
      </c>
      <c r="M99" s="2188">
        <f t="shared" si="1"/>
        <v>0</v>
      </c>
      <c r="N99" s="2188">
        <f t="shared" si="2"/>
        <v>0</v>
      </c>
      <c r="O99" s="2188">
        <f t="shared" si="3"/>
        <v>0</v>
      </c>
      <c r="P99" s="2192">
        <f t="shared" si="4"/>
        <v>0</v>
      </c>
      <c r="Q99" s="2189" t="str">
        <f t="shared" si="5"/>
        <v>303</v>
      </c>
      <c r="R99" s="2196" t="s">
        <v>99</v>
      </c>
      <c r="S99" s="2190">
        <f t="shared" ref="S99:U99" si="67">IF($R99="PTD",$F99*T$601,IF($R99="PROD",$F99*T$602,IF($R99="TRANS",$F99*T$603,IF($R99="DIST",$F99*T$604,IF($R99="LABOR",$F99*T$605,IF($R99="TD",$F99*T$606))))))</f>
        <v>207.92267355083038</v>
      </c>
      <c r="T99" s="2190">
        <f t="shared" si="67"/>
        <v>0</v>
      </c>
      <c r="U99" s="2197">
        <f t="shared" si="67"/>
        <v>264.41829644916959</v>
      </c>
    </row>
    <row r="100" spans="1:22" ht="15.75" outlineLevel="2" x14ac:dyDescent="0.25">
      <c r="A100" s="1980" t="s">
        <v>2267</v>
      </c>
      <c r="B100" s="1980" t="s">
        <v>2268</v>
      </c>
      <c r="C100" s="1980" t="s">
        <v>2314</v>
      </c>
      <c r="D100" s="1980" t="s">
        <v>2315</v>
      </c>
      <c r="E100" s="1980" t="s">
        <v>1083</v>
      </c>
      <c r="F100" s="1985">
        <v>1601.05449</v>
      </c>
      <c r="G100" s="1962">
        <v>433.78798039341285</v>
      </c>
      <c r="H100" s="1962">
        <v>121.9668724298884</v>
      </c>
      <c r="I100" s="1962">
        <v>86.67526442292511</v>
      </c>
      <c r="L100" s="2191">
        <f t="shared" si="0"/>
        <v>1</v>
      </c>
      <c r="M100" s="2188">
        <f t="shared" si="1"/>
        <v>0.27093892375481415</v>
      </c>
      <c r="N100" s="2188">
        <f t="shared" si="2"/>
        <v>7.6179088963979236E-2</v>
      </c>
      <c r="O100" s="2188">
        <f t="shared" si="3"/>
        <v>5.4136361357023592E-2</v>
      </c>
      <c r="P100" s="2192">
        <f t="shared" si="4"/>
        <v>0.40125437407581699</v>
      </c>
      <c r="Q100" s="2189" t="str">
        <f t="shared" si="5"/>
        <v>303</v>
      </c>
      <c r="R100" s="2196" t="s">
        <v>394</v>
      </c>
      <c r="S100" s="2190">
        <f t="shared" ref="S100:U100" si="68">IF($R100="PTD",$F100*T$601,IF($R100="PROD",$F100*T$602,IF($R100="TRANS",$F100*T$603,IF($R100="DIST",$F100*T$604,IF($R100="LABOR",$F100*T$605,IF($R100="TD",$F100*T$606))))))</f>
        <v>1601.05449</v>
      </c>
      <c r="T100" s="2190">
        <f t="shared" si="68"/>
        <v>0</v>
      </c>
      <c r="U100" s="2197">
        <f t="shared" si="68"/>
        <v>0</v>
      </c>
    </row>
    <row r="101" spans="1:22" ht="15.75" outlineLevel="2" x14ac:dyDescent="0.25">
      <c r="A101" s="1980" t="s">
        <v>2267</v>
      </c>
      <c r="B101" s="1980" t="s">
        <v>2268</v>
      </c>
      <c r="C101" s="1980" t="s">
        <v>2316</v>
      </c>
      <c r="D101" s="1980" t="s">
        <v>2317</v>
      </c>
      <c r="E101" s="1980" t="s">
        <v>913</v>
      </c>
      <c r="F101" s="1985">
        <v>923.24478999999997</v>
      </c>
      <c r="G101" s="1962">
        <v>258.26654939396036</v>
      </c>
      <c r="H101" s="1962">
        <v>68.919559428601744</v>
      </c>
      <c r="I101" s="1962">
        <v>49.238940219892704</v>
      </c>
      <c r="L101" s="2191">
        <f t="shared" si="0"/>
        <v>1</v>
      </c>
      <c r="M101" s="2188">
        <f t="shared" si="1"/>
        <v>0.27973788987637871</v>
      </c>
      <c r="N101" s="2188">
        <f t="shared" si="2"/>
        <v>7.464928064051328E-2</v>
      </c>
      <c r="O101" s="2188">
        <f t="shared" si="3"/>
        <v>5.3332486414456461E-2</v>
      </c>
      <c r="P101" s="2192">
        <f t="shared" si="4"/>
        <v>0.40771965693134848</v>
      </c>
      <c r="Q101" s="2189" t="str">
        <f t="shared" si="5"/>
        <v>303</v>
      </c>
      <c r="R101" s="2196" t="s">
        <v>99</v>
      </c>
      <c r="S101" s="2190">
        <f t="shared" ref="S101:U101" si="69">IF($R101="PTD",$F101*T$601,IF($R101="PROD",$F101*T$602,IF($R101="TRANS",$F101*T$603,IF($R101="DIST",$F101*T$604,IF($R101="LABOR",$F101*T$605,IF($R101="TD",$F101*T$606))))))</f>
        <v>406.40879633768571</v>
      </c>
      <c r="T101" s="2190">
        <f t="shared" si="69"/>
        <v>0</v>
      </c>
      <c r="U101" s="2197">
        <f t="shared" si="69"/>
        <v>516.83599366231419</v>
      </c>
    </row>
    <row r="102" spans="1:22" ht="15.75" outlineLevel="2" x14ac:dyDescent="0.25">
      <c r="A102" s="1980" t="s">
        <v>2267</v>
      </c>
      <c r="B102" s="1980" t="s">
        <v>2268</v>
      </c>
      <c r="C102" s="1980" t="s">
        <v>2118</v>
      </c>
      <c r="D102" s="1980" t="s">
        <v>2119</v>
      </c>
      <c r="E102" s="1980" t="s">
        <v>913</v>
      </c>
      <c r="F102" s="1985">
        <v>3712.1523400000001</v>
      </c>
      <c r="G102" s="1962">
        <v>1038.4296624912615</v>
      </c>
      <c r="H102" s="1962">
        <v>277.10950180899806</v>
      </c>
      <c r="I102" s="1962">
        <v>197.97831424144277</v>
      </c>
      <c r="L102" s="2191">
        <f t="shared" ref="L102:L124" si="70">F102/$F102</f>
        <v>1</v>
      </c>
      <c r="M102" s="2188">
        <f t="shared" ref="M102:M124" si="71">G102/$F102</f>
        <v>0.27973788987637871</v>
      </c>
      <c r="N102" s="2188">
        <f t="shared" ref="N102:N124" si="72">H102/$F102</f>
        <v>7.464928064051328E-2</v>
      </c>
      <c r="O102" s="2188">
        <f t="shared" ref="O102:O124" si="73">I102/$F102</f>
        <v>5.3332486414456461E-2</v>
      </c>
      <c r="P102" s="2192">
        <f t="shared" ref="P102:P124" si="74">SUM(M102:O102)</f>
        <v>0.40771965693134848</v>
      </c>
      <c r="Q102" s="2189" t="str">
        <f t="shared" ref="Q102:Q124" si="75">LEFT(C102,3)</f>
        <v>303</v>
      </c>
      <c r="R102" s="2196" t="s">
        <v>99</v>
      </c>
      <c r="S102" s="2190">
        <f t="shared" ref="S102:U102" si="76">IF($R102="PTD",$F102*T$601,IF($R102="PROD",$F102*T$602,IF($R102="TRANS",$F102*T$603,IF($R102="DIST",$F102*T$604,IF($R102="LABOR",$F102*T$605,IF($R102="TD",$F102*T$606))))))</f>
        <v>1634.0751452510483</v>
      </c>
      <c r="T102" s="2190">
        <f t="shared" si="76"/>
        <v>0</v>
      </c>
      <c r="U102" s="2197">
        <f t="shared" si="76"/>
        <v>2078.0771947489516</v>
      </c>
    </row>
    <row r="103" spans="1:22" ht="15.75" outlineLevel="2" x14ac:dyDescent="0.25">
      <c r="A103" s="1980" t="s">
        <v>2267</v>
      </c>
      <c r="B103" s="1980" t="s">
        <v>2268</v>
      </c>
      <c r="C103" s="1980" t="s">
        <v>2120</v>
      </c>
      <c r="D103" s="1980" t="s">
        <v>2121</v>
      </c>
      <c r="E103" s="1980" t="s">
        <v>913</v>
      </c>
      <c r="F103" s="1985">
        <v>824.81024000000002</v>
      </c>
      <c r="G103" s="1962">
        <v>230.73067608602949</v>
      </c>
      <c r="H103" s="1962">
        <v>61.571492480929102</v>
      </c>
      <c r="I103" s="1962">
        <v>43.989180919304573</v>
      </c>
      <c r="L103" s="2191">
        <f t="shared" si="70"/>
        <v>1</v>
      </c>
      <c r="M103" s="2188">
        <f t="shared" si="71"/>
        <v>0.27973788987637871</v>
      </c>
      <c r="N103" s="2188">
        <f t="shared" si="72"/>
        <v>7.4649282337873379E-2</v>
      </c>
      <c r="O103" s="2188">
        <f t="shared" si="73"/>
        <v>5.3332486414456461E-2</v>
      </c>
      <c r="P103" s="2192">
        <f t="shared" si="74"/>
        <v>0.40771965862870857</v>
      </c>
      <c r="Q103" s="2189" t="str">
        <f t="shared" si="75"/>
        <v>303</v>
      </c>
      <c r="R103" s="2196" t="s">
        <v>109</v>
      </c>
      <c r="S103" s="2190">
        <f t="shared" ref="S103:U103" si="77">IF($R103="PTD",$F103*T$601,IF($R103="PROD",$F103*T$602,IF($R103="TRANS",$F103*T$603,IF($R103="DIST",$F103*T$604,IF($R103="LABOR",$F103*T$605,IF($R103="TD",$F103*T$606))))))</f>
        <v>0</v>
      </c>
      <c r="T103" s="2190">
        <f t="shared" si="77"/>
        <v>0</v>
      </c>
      <c r="U103" s="2197">
        <f t="shared" si="77"/>
        <v>824.81024000000002</v>
      </c>
    </row>
    <row r="104" spans="1:22" ht="15.75" outlineLevel="2" x14ac:dyDescent="0.25">
      <c r="A104" s="1980" t="s">
        <v>2267</v>
      </c>
      <c r="B104" s="1980" t="s">
        <v>2268</v>
      </c>
      <c r="C104" s="1980" t="s">
        <v>2122</v>
      </c>
      <c r="D104" s="1980" t="s">
        <v>2123</v>
      </c>
      <c r="E104" s="1980" t="s">
        <v>913</v>
      </c>
      <c r="F104" s="1985">
        <v>1802.64887</v>
      </c>
      <c r="G104" s="1962">
        <v>504.26919248183901</v>
      </c>
      <c r="H104" s="1962">
        <v>134.56644139293414</v>
      </c>
      <c r="I104" s="1962">
        <v>96.139746369310288</v>
      </c>
      <c r="L104" s="2191">
        <f t="shared" si="70"/>
        <v>1</v>
      </c>
      <c r="M104" s="2188">
        <f t="shared" si="71"/>
        <v>0.27973789065301385</v>
      </c>
      <c r="N104" s="2188">
        <f t="shared" si="72"/>
        <v>7.464928064051328E-2</v>
      </c>
      <c r="O104" s="2188">
        <f t="shared" si="73"/>
        <v>5.3332486414456461E-2</v>
      </c>
      <c r="P104" s="2192">
        <f t="shared" si="74"/>
        <v>0.40771965770798363</v>
      </c>
      <c r="Q104" s="2189" t="str">
        <f t="shared" si="75"/>
        <v>303</v>
      </c>
      <c r="R104" s="2196" t="s">
        <v>392</v>
      </c>
      <c r="S104" s="2190">
        <f t="shared" ref="S104:U104" si="78">IF($R104="PTD",$F104*T$601,IF($R104="PROD",$F104*T$602,IF($R104="TRANS",$F104*T$603,IF($R104="DIST",$F104*T$604,IF($R104="LABOR",$F104*T$605,IF($R104="TD",$F104*T$606))))))</f>
        <v>0</v>
      </c>
      <c r="T104" s="2190">
        <f t="shared" si="78"/>
        <v>0</v>
      </c>
      <c r="U104" s="2197">
        <f t="shared" si="78"/>
        <v>1802.64887</v>
      </c>
    </row>
    <row r="105" spans="1:22" ht="15.75" outlineLevel="2" x14ac:dyDescent="0.25">
      <c r="A105" s="1980" t="s">
        <v>2267</v>
      </c>
      <c r="B105" s="1980" t="s">
        <v>2268</v>
      </c>
      <c r="C105" s="1980" t="s">
        <v>2124</v>
      </c>
      <c r="D105" s="1980" t="s">
        <v>2125</v>
      </c>
      <c r="E105" s="1980" t="s">
        <v>913</v>
      </c>
      <c r="F105" s="1985">
        <v>1168.7851800000001</v>
      </c>
      <c r="G105" s="1962">
        <v>326.95349997198349</v>
      </c>
      <c r="H105" s="1962">
        <v>87.248972924292801</v>
      </c>
      <c r="I105" s="1962">
        <v>62.334219733768052</v>
      </c>
      <c r="L105" s="2191">
        <f t="shared" si="70"/>
        <v>1</v>
      </c>
      <c r="M105" s="2188">
        <f t="shared" si="71"/>
        <v>0.27973788987637871</v>
      </c>
      <c r="N105" s="2188">
        <f t="shared" si="72"/>
        <v>7.4649280652491504E-2</v>
      </c>
      <c r="O105" s="2188">
        <f t="shared" si="73"/>
        <v>5.3332486414456461E-2</v>
      </c>
      <c r="P105" s="2192">
        <f t="shared" si="74"/>
        <v>0.40771965694332668</v>
      </c>
      <c r="Q105" s="2189" t="str">
        <f t="shared" si="75"/>
        <v>303</v>
      </c>
      <c r="R105" s="2196" t="s">
        <v>392</v>
      </c>
      <c r="S105" s="2190">
        <f t="shared" ref="S105:U105" si="79">IF($R105="PTD",$F105*T$601,IF($R105="PROD",$F105*T$602,IF($R105="TRANS",$F105*T$603,IF($R105="DIST",$F105*T$604,IF($R105="LABOR",$F105*T$605,IF($R105="TD",$F105*T$606))))))</f>
        <v>0</v>
      </c>
      <c r="T105" s="2190">
        <f t="shared" si="79"/>
        <v>0</v>
      </c>
      <c r="U105" s="2197">
        <f t="shared" si="79"/>
        <v>1168.7851800000001</v>
      </c>
    </row>
    <row r="106" spans="1:22" ht="15.75" outlineLevel="2" x14ac:dyDescent="0.25">
      <c r="A106" s="1980" t="s">
        <v>2267</v>
      </c>
      <c r="B106" s="1980" t="s">
        <v>2268</v>
      </c>
      <c r="C106" s="1980" t="s">
        <v>2126</v>
      </c>
      <c r="D106" s="1980" t="s">
        <v>2127</v>
      </c>
      <c r="E106" s="1980" t="s">
        <v>913</v>
      </c>
      <c r="F106" s="1985">
        <v>20953.928309999999</v>
      </c>
      <c r="G106" s="1962">
        <v>5861.6076900603139</v>
      </c>
      <c r="H106" s="1962">
        <v>1564.195674934386</v>
      </c>
      <c r="I106" s="1962">
        <v>1117.5250969225697</v>
      </c>
      <c r="L106" s="2191">
        <f t="shared" si="70"/>
        <v>1</v>
      </c>
      <c r="M106" s="2188">
        <f t="shared" si="71"/>
        <v>0.27973788987637871</v>
      </c>
      <c r="N106" s="2188">
        <f t="shared" si="72"/>
        <v>7.464928064051328E-2</v>
      </c>
      <c r="O106" s="2188">
        <f t="shared" si="73"/>
        <v>5.3332486414456468E-2</v>
      </c>
      <c r="P106" s="2192">
        <f t="shared" si="74"/>
        <v>0.40771965693134848</v>
      </c>
      <c r="Q106" s="2189" t="str">
        <f t="shared" si="75"/>
        <v>303</v>
      </c>
      <c r="R106" s="2196" t="s">
        <v>99</v>
      </c>
      <c r="S106" s="2190">
        <f t="shared" ref="S106:U106" si="80">IF($R106="PTD",$F106*T$601,IF($R106="PROD",$F106*T$602,IF($R106="TRANS",$F106*T$603,IF($R106="DIST",$F106*T$604,IF($R106="LABOR",$F106*T$605,IF($R106="TD",$F106*T$606))))))</f>
        <v>9223.8384394384266</v>
      </c>
      <c r="T106" s="2190">
        <f t="shared" si="80"/>
        <v>0</v>
      </c>
      <c r="U106" s="2197">
        <f t="shared" si="80"/>
        <v>11730.089870561571</v>
      </c>
    </row>
    <row r="107" spans="1:22" ht="15.75" outlineLevel="2" x14ac:dyDescent="0.25">
      <c r="A107" s="1980" t="s">
        <v>2267</v>
      </c>
      <c r="B107" s="1980" t="s">
        <v>2268</v>
      </c>
      <c r="C107" s="1980" t="s">
        <v>2128</v>
      </c>
      <c r="D107" s="1980" t="s">
        <v>2129</v>
      </c>
      <c r="E107" s="1980" t="s">
        <v>913</v>
      </c>
      <c r="F107" s="1985">
        <v>1903.9083000000001</v>
      </c>
      <c r="G107" s="1962">
        <v>532.59529036012339</v>
      </c>
      <c r="H107" s="1962">
        <v>142.12538500050255</v>
      </c>
      <c r="I107" s="1962">
        <v>101.5401635441209</v>
      </c>
      <c r="L107" s="2191">
        <f t="shared" si="70"/>
        <v>1</v>
      </c>
      <c r="M107" s="2188">
        <f t="shared" si="71"/>
        <v>0.27973788987637871</v>
      </c>
      <c r="N107" s="2188">
        <f t="shared" si="72"/>
        <v>7.464928064051328E-2</v>
      </c>
      <c r="O107" s="2188">
        <f t="shared" si="73"/>
        <v>5.3332486414456461E-2</v>
      </c>
      <c r="P107" s="2192">
        <f t="shared" si="74"/>
        <v>0.40771965693134848</v>
      </c>
      <c r="Q107" s="2189" t="str">
        <f t="shared" si="75"/>
        <v>303</v>
      </c>
      <c r="R107" s="2196" t="s">
        <v>99</v>
      </c>
      <c r="S107" s="2190">
        <f t="shared" ref="S107:U107" si="81">IF($R107="PTD",$F107*T$601,IF($R107="PROD",$F107*T$602,IF($R107="TRANS",$F107*T$603,IF($R107="DIST",$F107*T$604,IF($R107="LABOR",$F107*T$605,IF($R107="TD",$F107*T$606))))))</f>
        <v>838.09309180106993</v>
      </c>
      <c r="T107" s="2190">
        <f t="shared" si="81"/>
        <v>0</v>
      </c>
      <c r="U107" s="2197">
        <f t="shared" si="81"/>
        <v>1065.8152081989299</v>
      </c>
    </row>
    <row r="108" spans="1:22" ht="15.75" outlineLevel="2" x14ac:dyDescent="0.25">
      <c r="A108" s="1980" t="s">
        <v>2267</v>
      </c>
      <c r="B108" s="1980" t="s">
        <v>2268</v>
      </c>
      <c r="C108" s="1980" t="s">
        <v>2130</v>
      </c>
      <c r="D108" s="1980" t="s">
        <v>2131</v>
      </c>
      <c r="E108" s="1980" t="s">
        <v>913</v>
      </c>
      <c r="F108" s="1985">
        <v>7251.8586400000004</v>
      </c>
      <c r="G108" s="1962">
        <v>2028.6196336353855</v>
      </c>
      <c r="H108" s="1962">
        <v>541.34603078269095</v>
      </c>
      <c r="I108" s="1962">
        <v>386.75965239735871</v>
      </c>
      <c r="L108" s="2191">
        <f t="shared" si="70"/>
        <v>1</v>
      </c>
      <c r="M108" s="2188">
        <f t="shared" si="71"/>
        <v>0.27973788987637871</v>
      </c>
      <c r="N108" s="2188">
        <f t="shared" si="72"/>
        <v>7.464928064051328E-2</v>
      </c>
      <c r="O108" s="2188">
        <f t="shared" si="73"/>
        <v>5.3332486414456461E-2</v>
      </c>
      <c r="P108" s="2192">
        <f t="shared" si="74"/>
        <v>0.40771965693134848</v>
      </c>
      <c r="Q108" s="2189" t="str">
        <f t="shared" si="75"/>
        <v>303</v>
      </c>
      <c r="R108" s="2196" t="s">
        <v>109</v>
      </c>
      <c r="S108" s="2190">
        <f t="shared" ref="S108:U108" si="82">IF($R108="PTD",$F108*T$601,IF($R108="PROD",$F108*T$602,IF($R108="TRANS",$F108*T$603,IF($R108="DIST",$F108*T$604,IF($R108="LABOR",$F108*T$605,IF($R108="TD",$F108*T$606))))))</f>
        <v>0</v>
      </c>
      <c r="T108" s="2190">
        <f t="shared" si="82"/>
        <v>0</v>
      </c>
      <c r="U108" s="2197">
        <f t="shared" si="82"/>
        <v>7251.8586400000004</v>
      </c>
    </row>
    <row r="109" spans="1:22" ht="15.75" outlineLevel="2" x14ac:dyDescent="0.25">
      <c r="A109" s="1980" t="s">
        <v>2267</v>
      </c>
      <c r="B109" s="1980" t="s">
        <v>2268</v>
      </c>
      <c r="C109" s="1980" t="s">
        <v>2132</v>
      </c>
      <c r="D109" s="1980" t="s">
        <v>2133</v>
      </c>
      <c r="E109" s="1980" t="s">
        <v>1754</v>
      </c>
      <c r="F109" s="1985">
        <v>4719.2962699999998</v>
      </c>
      <c r="G109" s="1962">
        <v>1438.5656963942604</v>
      </c>
      <c r="H109" s="1962">
        <v>314.82367398741911</v>
      </c>
      <c r="I109" s="1962">
        <v>201.52182701707866</v>
      </c>
      <c r="L109" s="2191">
        <f t="shared" si="70"/>
        <v>1</v>
      </c>
      <c r="M109" s="2188">
        <f t="shared" si="71"/>
        <v>0.30482631606306432</v>
      </c>
      <c r="N109" s="2188">
        <f t="shared" si="72"/>
        <v>6.6709877061271919E-2</v>
      </c>
      <c r="O109" s="2188">
        <f t="shared" si="73"/>
        <v>4.2701668953934666E-2</v>
      </c>
      <c r="P109" s="2192">
        <f t="shared" si="74"/>
        <v>0.4142378620782709</v>
      </c>
      <c r="Q109" s="2189" t="str">
        <f t="shared" si="75"/>
        <v>303</v>
      </c>
      <c r="R109" s="2196" t="s">
        <v>392</v>
      </c>
      <c r="S109" s="2190">
        <f t="shared" ref="S109:U109" si="83">IF($R109="PTD",$F109*T$601,IF($R109="PROD",$F109*T$602,IF($R109="TRANS",$F109*T$603,IF($R109="DIST",$F109*T$604,IF($R109="LABOR",$F109*T$605,IF($R109="TD",$F109*T$606))))))</f>
        <v>0</v>
      </c>
      <c r="T109" s="2190">
        <f t="shared" si="83"/>
        <v>0</v>
      </c>
      <c r="U109" s="2197">
        <f t="shared" si="83"/>
        <v>4719.2962699999998</v>
      </c>
    </row>
    <row r="110" spans="1:22" ht="15.75" outlineLevel="2" x14ac:dyDescent="0.25">
      <c r="A110" s="1980" t="s">
        <v>2267</v>
      </c>
      <c r="B110" s="1980" t="s">
        <v>2268</v>
      </c>
      <c r="C110" s="1980" t="s">
        <v>2134</v>
      </c>
      <c r="D110" s="1980" t="s">
        <v>2135</v>
      </c>
      <c r="E110" s="1980" t="s">
        <v>913</v>
      </c>
      <c r="F110" s="1985">
        <v>7454.2123000000001</v>
      </c>
      <c r="G110" s="1962">
        <v>2085.2256194925476</v>
      </c>
      <c r="H110" s="1962">
        <v>556.45158593666599</v>
      </c>
      <c r="I110" s="1962">
        <v>397.55167622022424</v>
      </c>
      <c r="L110" s="2191">
        <f t="shared" si="70"/>
        <v>1</v>
      </c>
      <c r="M110" s="2188">
        <f t="shared" si="71"/>
        <v>0.27973788987637871</v>
      </c>
      <c r="N110" s="2188">
        <f t="shared" si="72"/>
        <v>7.464928064051328E-2</v>
      </c>
      <c r="O110" s="2188">
        <f t="shared" si="73"/>
        <v>5.3332486414456461E-2</v>
      </c>
      <c r="P110" s="2192">
        <f t="shared" si="74"/>
        <v>0.40771965693134848</v>
      </c>
      <c r="Q110" s="2189" t="str">
        <f t="shared" si="75"/>
        <v>303</v>
      </c>
      <c r="R110" s="2196" t="s">
        <v>99</v>
      </c>
      <c r="S110" s="2190">
        <f t="shared" ref="S110:U110" si="84">IF($R110="PTD",$F110*T$601,IF($R110="PROD",$F110*T$602,IF($R110="TRANS",$F110*T$603,IF($R110="DIST",$F110*T$604,IF($R110="LABOR",$F110*T$605,IF($R110="TD",$F110*T$606))))))</f>
        <v>3281.3155094962108</v>
      </c>
      <c r="T110" s="2190">
        <f t="shared" si="84"/>
        <v>0</v>
      </c>
      <c r="U110" s="2197">
        <f t="shared" si="84"/>
        <v>4172.8967905037889</v>
      </c>
      <c r="V110" s="2201" t="s">
        <v>5587</v>
      </c>
    </row>
    <row r="111" spans="1:22" ht="15.75" outlineLevel="2" x14ac:dyDescent="0.25">
      <c r="A111" s="1980" t="s">
        <v>2267</v>
      </c>
      <c r="B111" s="1980" t="s">
        <v>2268</v>
      </c>
      <c r="C111" s="1980" t="s">
        <v>2136</v>
      </c>
      <c r="D111" s="1980" t="s">
        <v>2137</v>
      </c>
      <c r="E111" s="1980" t="s">
        <v>913</v>
      </c>
      <c r="F111" s="1985">
        <v>3316.9819400000001</v>
      </c>
      <c r="G111" s="1962">
        <v>927.88552865365705</v>
      </c>
      <c r="H111" s="1962">
        <v>247.61031571857418</v>
      </c>
      <c r="I111" s="1962">
        <v>176.90289425204745</v>
      </c>
      <c r="L111" s="2191">
        <f t="shared" si="70"/>
        <v>1</v>
      </c>
      <c r="M111" s="2188">
        <f t="shared" si="71"/>
        <v>0.27973788987637871</v>
      </c>
      <c r="N111" s="2188">
        <f t="shared" si="72"/>
        <v>7.464928064051328E-2</v>
      </c>
      <c r="O111" s="2188">
        <f t="shared" si="73"/>
        <v>5.3332486414456461E-2</v>
      </c>
      <c r="P111" s="2192">
        <f t="shared" si="74"/>
        <v>0.40771965693134848</v>
      </c>
      <c r="Q111" s="2189" t="str">
        <f t="shared" si="75"/>
        <v>303</v>
      </c>
      <c r="R111" s="2196" t="s">
        <v>99</v>
      </c>
      <c r="S111" s="2190">
        <f t="shared" ref="S111:U111" si="85">IF($R111="PTD",$F111*T$601,IF($R111="PROD",$F111*T$602,IF($R111="TRANS",$F111*T$603,IF($R111="DIST",$F111*T$604,IF($R111="LABOR",$F111*T$605,IF($R111="TD",$F111*T$606))))))</f>
        <v>1460.122659028752</v>
      </c>
      <c r="T111" s="2190">
        <f t="shared" si="85"/>
        <v>0</v>
      </c>
      <c r="U111" s="2197">
        <f t="shared" si="85"/>
        <v>1856.8592809712477</v>
      </c>
      <c r="V111" s="2201" t="s">
        <v>5587</v>
      </c>
    </row>
    <row r="112" spans="1:22" ht="15.75" outlineLevel="2" x14ac:dyDescent="0.25">
      <c r="A112" s="1980" t="s">
        <v>2267</v>
      </c>
      <c r="B112" s="1980" t="s">
        <v>2268</v>
      </c>
      <c r="C112" s="1980" t="s">
        <v>2138</v>
      </c>
      <c r="D112" s="1980" t="s">
        <v>2139</v>
      </c>
      <c r="E112" s="1980" t="s">
        <v>913</v>
      </c>
      <c r="F112" s="1985">
        <v>1141.2167999999999</v>
      </c>
      <c r="G112" s="1962">
        <v>319.24157952347326</v>
      </c>
      <c r="H112" s="1962">
        <v>85.192413174868506</v>
      </c>
      <c r="I112" s="1962">
        <v>60.863929481949469</v>
      </c>
      <c r="L112" s="2191">
        <f t="shared" si="70"/>
        <v>1</v>
      </c>
      <c r="M112" s="2188">
        <f t="shared" si="71"/>
        <v>0.27973788987637871</v>
      </c>
      <c r="N112" s="2188">
        <f t="shared" si="72"/>
        <v>7.4650507401283012E-2</v>
      </c>
      <c r="O112" s="2188">
        <f t="shared" si="73"/>
        <v>5.3332486414456461E-2</v>
      </c>
      <c r="P112" s="2192">
        <f t="shared" si="74"/>
        <v>0.40772088369211817</v>
      </c>
      <c r="Q112" s="2189" t="str">
        <f t="shared" si="75"/>
        <v>303</v>
      </c>
      <c r="R112" s="2196" t="s">
        <v>99</v>
      </c>
      <c r="S112" s="2190">
        <f t="shared" ref="S112:U112" si="86">IF($R112="PTD",$F112*T$601,IF($R112="PROD",$F112*T$602,IF($R112="TRANS",$F112*T$603,IF($R112="DIST",$F112*T$604,IF($R112="LABOR",$F112*T$605,IF($R112="TD",$F112*T$606))))))</f>
        <v>502.35923459513418</v>
      </c>
      <c r="T112" s="2190">
        <f t="shared" si="86"/>
        <v>0</v>
      </c>
      <c r="U112" s="2197">
        <f t="shared" si="86"/>
        <v>638.85756540486557</v>
      </c>
      <c r="V112" s="2201" t="s">
        <v>5587</v>
      </c>
    </row>
    <row r="113" spans="1:22" ht="15.75" outlineLevel="2" x14ac:dyDescent="0.25">
      <c r="A113" s="1980" t="s">
        <v>2267</v>
      </c>
      <c r="B113" s="1980" t="s">
        <v>2268</v>
      </c>
      <c r="C113" s="1980" t="s">
        <v>2140</v>
      </c>
      <c r="D113" s="1980" t="s">
        <v>2141</v>
      </c>
      <c r="E113" s="1980" t="s">
        <v>1083</v>
      </c>
      <c r="F113" s="1985">
        <v>624.72442000000001</v>
      </c>
      <c r="G113" s="1962">
        <v>169.2621619981505</v>
      </c>
      <c r="H113" s="1962">
        <v>47.59093716915033</v>
      </c>
      <c r="I113" s="1962">
        <v>33.820306949676976</v>
      </c>
      <c r="L113" s="2191">
        <f t="shared" si="70"/>
        <v>1</v>
      </c>
      <c r="M113" s="2188">
        <f t="shared" si="71"/>
        <v>0.27093892375481415</v>
      </c>
      <c r="N113" s="2188">
        <f t="shared" si="72"/>
        <v>7.6179088963979236E-2</v>
      </c>
      <c r="O113" s="2188">
        <f t="shared" si="73"/>
        <v>5.4136361357023592E-2</v>
      </c>
      <c r="P113" s="2192">
        <f t="shared" si="74"/>
        <v>0.40125437407581699</v>
      </c>
      <c r="Q113" s="2189" t="str">
        <f t="shared" si="75"/>
        <v>303</v>
      </c>
      <c r="R113" s="2196" t="s">
        <v>393</v>
      </c>
      <c r="S113" s="2190">
        <f t="shared" ref="S113:U113" si="87">IF($R113="PTD",$F113*T$601,IF($R113="PROD",$F113*T$602,IF($R113="TRANS",$F113*T$603,IF($R113="DIST",$F113*T$604,IF($R113="LABOR",$F113*T$605,IF($R113="TD",$F113*T$606))))))</f>
        <v>0</v>
      </c>
      <c r="T113" s="2190">
        <f t="shared" si="87"/>
        <v>0</v>
      </c>
      <c r="U113" s="2197">
        <f t="shared" si="87"/>
        <v>624.72442000000001</v>
      </c>
      <c r="V113" s="2201" t="s">
        <v>5587</v>
      </c>
    </row>
    <row r="114" spans="1:22" ht="15.75" outlineLevel="2" x14ac:dyDescent="0.25">
      <c r="A114" s="1980" t="s">
        <v>2267</v>
      </c>
      <c r="B114" s="1980" t="s">
        <v>2268</v>
      </c>
      <c r="C114" s="1980" t="s">
        <v>2142</v>
      </c>
      <c r="D114" s="1980" t="s">
        <v>2143</v>
      </c>
      <c r="E114" s="1980" t="s">
        <v>913</v>
      </c>
      <c r="F114" s="1985">
        <v>5697.8785200000002</v>
      </c>
      <c r="G114" s="1962">
        <v>1593.9125139567439</v>
      </c>
      <c r="H114" s="1962">
        <v>425.34253269503245</v>
      </c>
      <c r="I114" s="1962">
        <v>303.88202875912327</v>
      </c>
      <c r="L114" s="2191">
        <f t="shared" si="70"/>
        <v>1</v>
      </c>
      <c r="M114" s="2188">
        <f t="shared" si="71"/>
        <v>0.27973788987637871</v>
      </c>
      <c r="N114" s="2188">
        <f t="shared" si="72"/>
        <v>7.464928064051328E-2</v>
      </c>
      <c r="O114" s="2188">
        <f t="shared" si="73"/>
        <v>5.3332486414456454E-2</v>
      </c>
      <c r="P114" s="2192">
        <f t="shared" si="74"/>
        <v>0.40771965693134848</v>
      </c>
      <c r="Q114" s="2189" t="str">
        <f t="shared" si="75"/>
        <v>303</v>
      </c>
      <c r="R114" s="2196" t="s">
        <v>109</v>
      </c>
      <c r="S114" s="2190">
        <f t="shared" ref="S114:U114" si="88">IF($R114="PTD",$F114*T$601,IF($R114="PROD",$F114*T$602,IF($R114="TRANS",$F114*T$603,IF($R114="DIST",$F114*T$604,IF($R114="LABOR",$F114*T$605,IF($R114="TD",$F114*T$606))))))</f>
        <v>0</v>
      </c>
      <c r="T114" s="2190">
        <f t="shared" si="88"/>
        <v>0</v>
      </c>
      <c r="U114" s="2197">
        <f t="shared" si="88"/>
        <v>5697.8785200000002</v>
      </c>
      <c r="V114" s="2201" t="s">
        <v>5587</v>
      </c>
    </row>
    <row r="115" spans="1:22" ht="15.75" outlineLevel="2" x14ac:dyDescent="0.25">
      <c r="A115" s="1980" t="s">
        <v>2267</v>
      </c>
      <c r="B115" s="1980" t="s">
        <v>2268</v>
      </c>
      <c r="C115" s="1980" t="s">
        <v>2144</v>
      </c>
      <c r="D115" s="1980" t="s">
        <v>2145</v>
      </c>
      <c r="E115" s="1980" t="s">
        <v>912</v>
      </c>
      <c r="F115" s="1985">
        <v>11.933249999999999</v>
      </c>
      <c r="G115" s="1962">
        <v>11.933249999999999</v>
      </c>
      <c r="H115" s="1962">
        <v>0</v>
      </c>
      <c r="I115" s="1962">
        <v>0</v>
      </c>
      <c r="L115" s="2191">
        <f t="shared" si="70"/>
        <v>1</v>
      </c>
      <c r="M115" s="2188">
        <f t="shared" si="71"/>
        <v>1</v>
      </c>
      <c r="N115" s="2188">
        <f t="shared" si="72"/>
        <v>0</v>
      </c>
      <c r="O115" s="2188">
        <f t="shared" si="73"/>
        <v>0</v>
      </c>
      <c r="P115" s="2192">
        <f t="shared" si="74"/>
        <v>1</v>
      </c>
      <c r="Q115" s="2189" t="str">
        <f t="shared" si="75"/>
        <v>303</v>
      </c>
      <c r="R115" s="2196" t="s">
        <v>95</v>
      </c>
      <c r="S115" s="2190">
        <f t="shared" ref="S115:U115" si="89">IF($R115="PTD",$F115*T$601,IF($R115="PROD",$F115*T$602,IF($R115="TRANS",$F115*T$603,IF($R115="DIST",$F115*T$604,IF($R115="LABOR",$F115*T$605,IF($R115="TD",$F115*T$606))))))</f>
        <v>4.9744158568818646</v>
      </c>
      <c r="T115" s="2190">
        <f t="shared" si="89"/>
        <v>0</v>
      </c>
      <c r="U115" s="2197">
        <f t="shared" si="89"/>
        <v>6.9588341431181355</v>
      </c>
    </row>
    <row r="116" spans="1:22" ht="15.75" outlineLevel="2" x14ac:dyDescent="0.25">
      <c r="A116" s="1980" t="s">
        <v>2267</v>
      </c>
      <c r="B116" s="1980" t="s">
        <v>2268</v>
      </c>
      <c r="C116" s="1980" t="s">
        <v>2144</v>
      </c>
      <c r="D116" s="1980" t="s">
        <v>2145</v>
      </c>
      <c r="E116" s="1980" t="s">
        <v>906</v>
      </c>
      <c r="F116" s="1985">
        <v>9.1057799999999993</v>
      </c>
      <c r="G116" s="1962">
        <v>2.3526788381750743</v>
      </c>
      <c r="H116" s="1962">
        <v>0.65025378487943308</v>
      </c>
      <c r="I116" s="1962">
        <v>0.53735338900490504</v>
      </c>
      <c r="L116" s="2191">
        <f t="shared" si="70"/>
        <v>1</v>
      </c>
      <c r="M116" s="2188">
        <f t="shared" si="71"/>
        <v>0.25837202723710373</v>
      </c>
      <c r="N116" s="2188">
        <f t="shared" si="72"/>
        <v>7.1411102055994449E-2</v>
      </c>
      <c r="O116" s="2188">
        <f t="shared" si="73"/>
        <v>5.9012340404106522E-2</v>
      </c>
      <c r="P116" s="2192">
        <f t="shared" si="74"/>
        <v>0.38879546969720469</v>
      </c>
      <c r="Q116" s="2189" t="str">
        <f t="shared" si="75"/>
        <v>303</v>
      </c>
      <c r="R116" s="2196" t="s">
        <v>95</v>
      </c>
      <c r="S116" s="2190">
        <f t="shared" ref="S116:U116" si="90">IF($R116="PTD",$F116*T$601,IF($R116="PROD",$F116*T$602,IF($R116="TRANS",$F116*T$603,IF($R116="DIST",$F116*T$604,IF($R116="LABOR",$F116*T$605,IF($R116="TD",$F116*T$606))))))</f>
        <v>3.7957753689294824</v>
      </c>
      <c r="T116" s="2190">
        <f t="shared" si="90"/>
        <v>0</v>
      </c>
      <c r="U116" s="2197">
        <f t="shared" si="90"/>
        <v>5.3100046310705178</v>
      </c>
    </row>
    <row r="117" spans="1:22" ht="15.75" outlineLevel="2" x14ac:dyDescent="0.25">
      <c r="A117" s="1980" t="s">
        <v>2267</v>
      </c>
      <c r="B117" s="1980" t="s">
        <v>2268</v>
      </c>
      <c r="C117" s="1980" t="s">
        <v>2144</v>
      </c>
      <c r="D117" s="1980" t="s">
        <v>2145</v>
      </c>
      <c r="E117" s="1980" t="s">
        <v>1083</v>
      </c>
      <c r="F117" s="1985">
        <v>191.25811999999999</v>
      </c>
      <c r="G117" s="1962">
        <v>51.819269192169095</v>
      </c>
      <c r="H117" s="1962">
        <v>14.569869338563416</v>
      </c>
      <c r="I117" s="1962">
        <v>10.35401869678498</v>
      </c>
      <c r="L117" s="2191">
        <f t="shared" si="70"/>
        <v>1</v>
      </c>
      <c r="M117" s="2188">
        <f t="shared" si="71"/>
        <v>0.27093892375481415</v>
      </c>
      <c r="N117" s="2188">
        <f t="shared" si="72"/>
        <v>7.6179088963979236E-2</v>
      </c>
      <c r="O117" s="2188">
        <f t="shared" si="73"/>
        <v>5.4136361357023592E-2</v>
      </c>
      <c r="P117" s="2192">
        <f t="shared" si="74"/>
        <v>0.40125437407581699</v>
      </c>
      <c r="Q117" s="2189" t="str">
        <f t="shared" si="75"/>
        <v>303</v>
      </c>
      <c r="R117" s="2196" t="s">
        <v>95</v>
      </c>
      <c r="S117" s="2190">
        <f t="shared" ref="S117:U117" si="91">IF($R117="PTD",$F117*T$601,IF($R117="PROD",$F117*T$602,IF($R117="TRANS",$F117*T$603,IF($R117="DIST",$F117*T$604,IF($R117="LABOR",$F117*T$605,IF($R117="TD",$F117*T$606))))))</f>
        <v>79.726597941500813</v>
      </c>
      <c r="T117" s="2190">
        <f t="shared" si="91"/>
        <v>0</v>
      </c>
      <c r="U117" s="2197">
        <f t="shared" si="91"/>
        <v>111.53152205849919</v>
      </c>
    </row>
    <row r="118" spans="1:22" ht="15.75" outlineLevel="2" x14ac:dyDescent="0.25">
      <c r="A118" s="1980" t="s">
        <v>2267</v>
      </c>
      <c r="B118" s="1980" t="s">
        <v>2268</v>
      </c>
      <c r="C118" s="1980" t="s">
        <v>2144</v>
      </c>
      <c r="D118" s="1980" t="s">
        <v>2145</v>
      </c>
      <c r="E118" s="1980" t="s">
        <v>913</v>
      </c>
      <c r="F118" s="1985">
        <v>35920.017760000002</v>
      </c>
      <c r="G118" s="1962">
        <v>10048.189972504448</v>
      </c>
      <c r="H118" s="1962">
        <v>2681.4034863784614</v>
      </c>
      <c r="I118" s="1962">
        <v>1915.7038591922349</v>
      </c>
      <c r="L118" s="2191">
        <f t="shared" si="70"/>
        <v>1</v>
      </c>
      <c r="M118" s="2188">
        <f t="shared" si="71"/>
        <v>0.27973788987637871</v>
      </c>
      <c r="N118" s="2188">
        <f t="shared" si="72"/>
        <v>7.464928064051328E-2</v>
      </c>
      <c r="O118" s="2188">
        <f t="shared" si="73"/>
        <v>5.3332486414456461E-2</v>
      </c>
      <c r="P118" s="2192">
        <f t="shared" si="74"/>
        <v>0.40771965693134848</v>
      </c>
      <c r="Q118" s="2189" t="str">
        <f t="shared" si="75"/>
        <v>303</v>
      </c>
      <c r="R118" s="2196" t="s">
        <v>95</v>
      </c>
      <c r="S118" s="2190">
        <f t="shared" ref="S118:U118" si="92">IF($R118="PTD",$F118*T$601,IF($R118="PROD",$F118*T$602,IF($R118="TRANS",$F118*T$603,IF($R118="DIST",$F118*T$604,IF($R118="LABOR",$F118*T$605,IF($R118="TD",$F118*T$606))))))</f>
        <v>14973.381595526971</v>
      </c>
      <c r="T118" s="2190">
        <f t="shared" si="92"/>
        <v>0</v>
      </c>
      <c r="U118" s="2197">
        <f t="shared" si="92"/>
        <v>20946.636164473035</v>
      </c>
    </row>
    <row r="119" spans="1:22" ht="15.75" outlineLevel="2" x14ac:dyDescent="0.25">
      <c r="A119" s="1980" t="s">
        <v>2267</v>
      </c>
      <c r="B119" s="1980" t="s">
        <v>2268</v>
      </c>
      <c r="C119" s="1980" t="s">
        <v>2144</v>
      </c>
      <c r="D119" s="1980" t="s">
        <v>2145</v>
      </c>
      <c r="E119" s="1980" t="s">
        <v>920</v>
      </c>
      <c r="F119" s="1985">
        <v>1.18936</v>
      </c>
      <c r="G119" s="1962">
        <v>0</v>
      </c>
      <c r="H119" s="1962">
        <v>0</v>
      </c>
      <c r="I119" s="1962">
        <v>0</v>
      </c>
      <c r="L119" s="2191">
        <f t="shared" si="70"/>
        <v>1</v>
      </c>
      <c r="M119" s="2188">
        <f t="shared" si="71"/>
        <v>0</v>
      </c>
      <c r="N119" s="2188">
        <f t="shared" si="72"/>
        <v>0</v>
      </c>
      <c r="O119" s="2188">
        <f t="shared" si="73"/>
        <v>0</v>
      </c>
      <c r="P119" s="2192">
        <f t="shared" si="74"/>
        <v>0</v>
      </c>
      <c r="Q119" s="2189" t="str">
        <f t="shared" si="75"/>
        <v>303</v>
      </c>
      <c r="R119" s="2196" t="s">
        <v>95</v>
      </c>
      <c r="S119" s="2190">
        <f t="shared" ref="S119:U119" si="93">IF($R119="PTD",$F119*T$601,IF($R119="PROD",$F119*T$602,IF($R119="TRANS",$F119*T$603,IF($R119="DIST",$F119*T$604,IF($R119="LABOR",$F119*T$605,IF($R119="TD",$F119*T$606))))))</f>
        <v>0.49578876195009869</v>
      </c>
      <c r="T119" s="2190">
        <f t="shared" si="93"/>
        <v>0</v>
      </c>
      <c r="U119" s="2197">
        <f t="shared" si="93"/>
        <v>0.6935712380499014</v>
      </c>
    </row>
    <row r="120" spans="1:22" ht="15.75" outlineLevel="2" x14ac:dyDescent="0.25">
      <c r="A120" s="1980" t="s">
        <v>2267</v>
      </c>
      <c r="B120" s="1980" t="s">
        <v>2268</v>
      </c>
      <c r="C120" s="1980" t="s">
        <v>2144</v>
      </c>
      <c r="D120" s="1980" t="s">
        <v>2145</v>
      </c>
      <c r="E120" s="1980" t="s">
        <v>921</v>
      </c>
      <c r="F120" s="1985">
        <v>0.62334000000000001</v>
      </c>
      <c r="G120" s="1962">
        <v>0</v>
      </c>
      <c r="H120" s="1962">
        <v>0.62334000000000001</v>
      </c>
      <c r="I120" s="1962">
        <v>0</v>
      </c>
      <c r="L120" s="2191">
        <f t="shared" si="70"/>
        <v>1</v>
      </c>
      <c r="M120" s="2188">
        <f t="shared" si="71"/>
        <v>0</v>
      </c>
      <c r="N120" s="2188">
        <f t="shared" si="72"/>
        <v>1</v>
      </c>
      <c r="O120" s="2188">
        <f t="shared" si="73"/>
        <v>0</v>
      </c>
      <c r="P120" s="2192">
        <f t="shared" si="74"/>
        <v>1</v>
      </c>
      <c r="Q120" s="2189" t="str">
        <f t="shared" si="75"/>
        <v>303</v>
      </c>
      <c r="R120" s="2196" t="s">
        <v>95</v>
      </c>
      <c r="S120" s="2190">
        <f t="shared" ref="S120:U120" si="94">IF($R120="PTD",$F120*T$601,IF($R120="PROD",$F120*T$602,IF($R120="TRANS",$F120*T$603,IF($R120="DIST",$F120*T$604,IF($R120="LABOR",$F120*T$605,IF($R120="TD",$F120*T$606))))))</f>
        <v>0.25984139947028195</v>
      </c>
      <c r="T120" s="2190">
        <f t="shared" si="94"/>
        <v>0</v>
      </c>
      <c r="U120" s="2197">
        <f t="shared" si="94"/>
        <v>0.36349860052971811</v>
      </c>
    </row>
    <row r="121" spans="1:22" ht="15.75" outlineLevel="2" x14ac:dyDescent="0.25">
      <c r="A121" s="1980" t="s">
        <v>2267</v>
      </c>
      <c r="B121" s="1980" t="s">
        <v>2268</v>
      </c>
      <c r="C121" s="1980" t="s">
        <v>2144</v>
      </c>
      <c r="D121" s="1980" t="s">
        <v>2145</v>
      </c>
      <c r="E121" s="1980" t="s">
        <v>922</v>
      </c>
      <c r="F121" s="1985">
        <v>81.451509999999999</v>
      </c>
      <c r="G121" s="1962">
        <v>0</v>
      </c>
      <c r="H121" s="1962">
        <v>0</v>
      </c>
      <c r="I121" s="1962">
        <v>0</v>
      </c>
      <c r="L121" s="2191">
        <f t="shared" si="70"/>
        <v>1</v>
      </c>
      <c r="M121" s="2188">
        <f t="shared" si="71"/>
        <v>0</v>
      </c>
      <c r="N121" s="2188">
        <f t="shared" si="72"/>
        <v>0</v>
      </c>
      <c r="O121" s="2188">
        <f t="shared" si="73"/>
        <v>0</v>
      </c>
      <c r="P121" s="2192">
        <f t="shared" si="74"/>
        <v>0</v>
      </c>
      <c r="Q121" s="2189" t="str">
        <f t="shared" si="75"/>
        <v>303</v>
      </c>
      <c r="R121" s="2196" t="s">
        <v>95</v>
      </c>
      <c r="S121" s="2190">
        <f t="shared" ref="S121:U121" si="95">IF($R121="PTD",$F121*T$601,IF($R121="PROD",$F121*T$602,IF($R121="TRANS",$F121*T$603,IF($R121="DIST",$F121*T$604,IF($R121="LABOR",$F121*T$605,IF($R121="TD",$F121*T$606))))))</f>
        <v>33.953339024236634</v>
      </c>
      <c r="T121" s="2190">
        <f t="shared" si="95"/>
        <v>0</v>
      </c>
      <c r="U121" s="2197">
        <f t="shared" si="95"/>
        <v>47.498170975763372</v>
      </c>
    </row>
    <row r="122" spans="1:22" ht="15.75" outlineLevel="2" x14ac:dyDescent="0.25">
      <c r="A122" s="1980" t="s">
        <v>2267</v>
      </c>
      <c r="B122" s="1980" t="s">
        <v>2268</v>
      </c>
      <c r="C122" s="1980" t="s">
        <v>2146</v>
      </c>
      <c r="D122" s="1980" t="s">
        <v>2147</v>
      </c>
      <c r="E122" s="1980" t="s">
        <v>1083</v>
      </c>
      <c r="F122" s="1985">
        <v>1686.5737999999999</v>
      </c>
      <c r="G122" s="1962">
        <v>456.95849020506716</v>
      </c>
      <c r="H122" s="1962">
        <v>128.48165555451652</v>
      </c>
      <c r="I122" s="1962">
        <v>91.304968692088423</v>
      </c>
      <c r="L122" s="2191">
        <f t="shared" si="70"/>
        <v>1</v>
      </c>
      <c r="M122" s="2188">
        <f t="shared" si="71"/>
        <v>0.27093892375481415</v>
      </c>
      <c r="N122" s="2188">
        <f t="shared" si="72"/>
        <v>7.6179088963979236E-2</v>
      </c>
      <c r="O122" s="2188">
        <f t="shared" si="73"/>
        <v>5.4136361357023585E-2</v>
      </c>
      <c r="P122" s="2192">
        <f t="shared" si="74"/>
        <v>0.40125437407581699</v>
      </c>
      <c r="Q122" s="2189" t="str">
        <f t="shared" si="75"/>
        <v>303</v>
      </c>
      <c r="R122" s="2196" t="s">
        <v>394</v>
      </c>
      <c r="S122" s="2190">
        <f t="shared" ref="S122:U122" si="96">IF($R122="PTD",$F122*T$601,IF($R122="PROD",$F122*T$602,IF($R122="TRANS",$F122*T$603,IF($R122="DIST",$F122*T$604,IF($R122="LABOR",$F122*T$605,IF($R122="TD",$F122*T$606))))))</f>
        <v>1686.5737999999999</v>
      </c>
      <c r="T122" s="2190">
        <f t="shared" si="96"/>
        <v>0</v>
      </c>
      <c r="U122" s="2197">
        <f t="shared" si="96"/>
        <v>0</v>
      </c>
    </row>
    <row r="123" spans="1:22" ht="15.75" outlineLevel="2" x14ac:dyDescent="0.25">
      <c r="A123" s="1980" t="s">
        <v>2267</v>
      </c>
      <c r="B123" s="1980" t="s">
        <v>2268</v>
      </c>
      <c r="C123" s="1980" t="s">
        <v>2318</v>
      </c>
      <c r="D123" s="1980" t="s">
        <v>2319</v>
      </c>
      <c r="E123" s="1980" t="s">
        <v>1754</v>
      </c>
      <c r="F123" s="1985">
        <v>4132.1965499999997</v>
      </c>
      <c r="G123" s="1962">
        <v>1259.6022515850038</v>
      </c>
      <c r="H123" s="1962">
        <v>275.65832384351194</v>
      </c>
      <c r="I123" s="1962">
        <v>176.45168913069091</v>
      </c>
      <c r="L123" s="2191">
        <f t="shared" si="70"/>
        <v>1</v>
      </c>
      <c r="M123" s="2188">
        <f t="shared" si="71"/>
        <v>0.30482631606306432</v>
      </c>
      <c r="N123" s="2188">
        <f t="shared" si="72"/>
        <v>6.6709877061271919E-2</v>
      </c>
      <c r="O123" s="2188">
        <f t="shared" si="73"/>
        <v>4.2701668953934666E-2</v>
      </c>
      <c r="P123" s="2192">
        <f t="shared" si="74"/>
        <v>0.4142378620782709</v>
      </c>
      <c r="Q123" s="2189" t="str">
        <f t="shared" si="75"/>
        <v>303</v>
      </c>
      <c r="R123" s="2196" t="s">
        <v>392</v>
      </c>
      <c r="S123" s="2190">
        <f t="shared" ref="S123:U123" si="97">IF($R123="PTD",$F123*T$601,IF($R123="PROD",$F123*T$602,IF($R123="TRANS",$F123*T$603,IF($R123="DIST",$F123*T$604,IF($R123="LABOR",$F123*T$605,IF($R123="TD",$F123*T$606))))))</f>
        <v>0</v>
      </c>
      <c r="T123" s="2190">
        <f t="shared" si="97"/>
        <v>0</v>
      </c>
      <c r="U123" s="2197">
        <f t="shared" si="97"/>
        <v>4132.1965499999997</v>
      </c>
    </row>
    <row r="124" spans="1:22" ht="16.5" outlineLevel="2" thickBot="1" x14ac:dyDescent="0.3">
      <c r="A124" s="1980" t="s">
        <v>2267</v>
      </c>
      <c r="B124" s="1980" t="s">
        <v>2268</v>
      </c>
      <c r="C124" s="1980" t="s">
        <v>2148</v>
      </c>
      <c r="D124" s="1980" t="s">
        <v>2149</v>
      </c>
      <c r="E124" s="1980" t="s">
        <v>913</v>
      </c>
      <c r="F124" s="1985">
        <v>1446.82672</v>
      </c>
      <c r="G124" s="1962">
        <v>404.73225366956223</v>
      </c>
      <c r="H124" s="1962">
        <v>108.00457385947333</v>
      </c>
      <c r="I124" s="1962">
        <v>77.162866388472608</v>
      </c>
      <c r="L124" s="2193">
        <f t="shared" si="70"/>
        <v>1</v>
      </c>
      <c r="M124" s="2194">
        <f t="shared" si="71"/>
        <v>0.27973788987637871</v>
      </c>
      <c r="N124" s="2194">
        <f t="shared" si="72"/>
        <v>7.464928064051328E-2</v>
      </c>
      <c r="O124" s="2194">
        <f t="shared" si="73"/>
        <v>5.3332486414456468E-2</v>
      </c>
      <c r="P124" s="2195">
        <f t="shared" si="74"/>
        <v>0.40771965693134848</v>
      </c>
      <c r="Q124" s="2189" t="str">
        <f t="shared" si="75"/>
        <v>303</v>
      </c>
      <c r="R124" s="2198" t="s">
        <v>393</v>
      </c>
      <c r="S124" s="2199">
        <f t="shared" ref="S124:U124" si="98">IF($R124="PTD",$F124*T$601,IF($R124="PROD",$F124*T$602,IF($R124="TRANS",$F124*T$603,IF($R124="DIST",$F124*T$604,IF($R124="LABOR",$F124*T$605,IF($R124="TD",$F124*T$606))))))</f>
        <v>0</v>
      </c>
      <c r="T124" s="2199">
        <f t="shared" si="98"/>
        <v>0</v>
      </c>
      <c r="U124" s="2200">
        <f t="shared" si="98"/>
        <v>1446.82672</v>
      </c>
    </row>
    <row r="125" spans="1:22" outlineLevel="2" x14ac:dyDescent="0.2">
      <c r="A125" s="1980" t="s">
        <v>2267</v>
      </c>
      <c r="B125" s="1980" t="s">
        <v>2268</v>
      </c>
      <c r="C125" s="1980" t="s">
        <v>2320</v>
      </c>
      <c r="D125" s="1980" t="s">
        <v>2321</v>
      </c>
      <c r="E125" s="1980" t="s">
        <v>1083</v>
      </c>
      <c r="F125" s="1985">
        <v>1306.4406100000001</v>
      </c>
      <c r="G125" s="1962">
        <v>353.96561282298291</v>
      </c>
      <c r="H125" s="1962">
        <v>99.523455455345314</v>
      </c>
      <c r="I125" s="1962">
        <v>70.725940954450323</v>
      </c>
    </row>
    <row r="126" spans="1:22" outlineLevel="2" x14ac:dyDescent="0.2">
      <c r="A126" s="1980" t="s">
        <v>2267</v>
      </c>
      <c r="B126" s="1980" t="s">
        <v>2268</v>
      </c>
      <c r="C126" s="1980" t="s">
        <v>2322</v>
      </c>
      <c r="D126" s="1980" t="s">
        <v>2323</v>
      </c>
      <c r="E126" s="1980" t="s">
        <v>1083</v>
      </c>
      <c r="F126" s="1985">
        <v>12944.644270000001</v>
      </c>
      <c r="G126" s="1962">
        <v>3507.207986902722</v>
      </c>
      <c r="H126" s="1962">
        <v>986.11120745139408</v>
      </c>
      <c r="I126" s="1962">
        <v>700.77593983884481</v>
      </c>
    </row>
    <row r="127" spans="1:22" outlineLevel="2" x14ac:dyDescent="0.2">
      <c r="A127" s="1980" t="s">
        <v>2267</v>
      </c>
      <c r="B127" s="1980" t="s">
        <v>2268</v>
      </c>
      <c r="C127" s="1980" t="s">
        <v>1877</v>
      </c>
      <c r="D127" s="1980" t="s">
        <v>1878</v>
      </c>
      <c r="E127" s="1980" t="s">
        <v>1083</v>
      </c>
      <c r="F127" s="1985">
        <v>41789.142</v>
      </c>
      <c r="G127" s="1962">
        <v>11322.305158117102</v>
      </c>
      <c r="H127" s="1962">
        <v>3183.4587661463611</v>
      </c>
      <c r="I127" s="1962">
        <v>2262.3120921119712</v>
      </c>
    </row>
    <row r="128" spans="1:22" outlineLevel="2" x14ac:dyDescent="0.2">
      <c r="A128" s="1980" t="s">
        <v>2267</v>
      </c>
      <c r="B128" s="1980" t="s">
        <v>2268</v>
      </c>
      <c r="C128" s="1980" t="s">
        <v>2324</v>
      </c>
      <c r="D128" s="1980" t="s">
        <v>1893</v>
      </c>
      <c r="E128" s="1980" t="s">
        <v>1083</v>
      </c>
      <c r="F128" s="1985">
        <v>35638.062689999999</v>
      </c>
      <c r="G128" s="1962">
        <v>9655.7383499351963</v>
      </c>
      <c r="H128" s="1962">
        <v>2714.875148165379</v>
      </c>
      <c r="I128" s="1962">
        <v>1929.3150398501</v>
      </c>
    </row>
    <row r="129" spans="1:9" outlineLevel="2" x14ac:dyDescent="0.2">
      <c r="A129" s="1980" t="s">
        <v>2267</v>
      </c>
      <c r="B129" s="1980" t="s">
        <v>2268</v>
      </c>
      <c r="C129" s="1980" t="s">
        <v>2325</v>
      </c>
      <c r="D129" s="1980" t="s">
        <v>2326</v>
      </c>
      <c r="E129" s="1980" t="s">
        <v>1083</v>
      </c>
      <c r="F129" s="1985">
        <v>36.662190000000002</v>
      </c>
      <c r="G129" s="1962">
        <v>9.9332143010945106</v>
      </c>
      <c r="H129" s="1962">
        <v>2.7928922336243103</v>
      </c>
      <c r="I129" s="1962">
        <v>1.9847575659798566</v>
      </c>
    </row>
    <row r="130" spans="1:9" outlineLevel="2" x14ac:dyDescent="0.2">
      <c r="A130" s="1980" t="s">
        <v>2267</v>
      </c>
      <c r="B130" s="1980" t="s">
        <v>2268</v>
      </c>
      <c r="C130" s="1980" t="s">
        <v>1879</v>
      </c>
      <c r="D130" s="1980" t="s">
        <v>1880</v>
      </c>
      <c r="E130" s="1980" t="s">
        <v>1083</v>
      </c>
      <c r="F130" s="1985">
        <v>1047784.96595</v>
      </c>
      <c r="G130" s="1962">
        <v>283885.73100096761</v>
      </c>
      <c r="H130" s="1962">
        <v>79819.304136225008</v>
      </c>
      <c r="I130" s="1962">
        <v>56723.265541125853</v>
      </c>
    </row>
    <row r="131" spans="1:9" outlineLevel="2" x14ac:dyDescent="0.2">
      <c r="A131" s="1980" t="s">
        <v>2267</v>
      </c>
      <c r="B131" s="1980" t="s">
        <v>2268</v>
      </c>
      <c r="C131" s="1980" t="s">
        <v>1881</v>
      </c>
      <c r="D131" s="1980" t="s">
        <v>1882</v>
      </c>
      <c r="E131" s="1980" t="s">
        <v>1083</v>
      </c>
      <c r="F131" s="1985">
        <v>4458342.5470200004</v>
      </c>
      <c r="G131" s="1962">
        <v>1207938.5314198958</v>
      </c>
      <c r="H131" s="1962">
        <v>339632.47352133039</v>
      </c>
      <c r="I131" s="1962">
        <v>241358.44317886766</v>
      </c>
    </row>
    <row r="132" spans="1:9" outlineLevel="2" x14ac:dyDescent="0.2">
      <c r="A132" s="1980" t="s">
        <v>2267</v>
      </c>
      <c r="B132" s="1980" t="s">
        <v>2268</v>
      </c>
      <c r="C132" s="1980" t="s">
        <v>1883</v>
      </c>
      <c r="D132" s="1980" t="s">
        <v>1884</v>
      </c>
      <c r="E132" s="1980" t="s">
        <v>1083</v>
      </c>
      <c r="F132" s="1985">
        <v>994721.14450000005</v>
      </c>
      <c r="G132" s="1962">
        <v>269508.67632698698</v>
      </c>
      <c r="H132" s="1962">
        <v>75776.950561216756</v>
      </c>
      <c r="I132" s="1962">
        <v>53850.583328124078</v>
      </c>
    </row>
    <row r="133" spans="1:9" outlineLevel="2" x14ac:dyDescent="0.2">
      <c r="A133" s="1980" t="s">
        <v>2267</v>
      </c>
      <c r="B133" s="1980" t="s">
        <v>2268</v>
      </c>
      <c r="C133" s="1980" t="s">
        <v>1885</v>
      </c>
      <c r="D133" s="1980" t="s">
        <v>1886</v>
      </c>
      <c r="E133" s="1980" t="s">
        <v>1083</v>
      </c>
      <c r="F133" s="1985">
        <v>428661.06706999999</v>
      </c>
      <c r="G133" s="1962">
        <v>116140.968167536</v>
      </c>
      <c r="H133" s="1962">
        <v>32655.009563719799</v>
      </c>
      <c r="I133" s="1962">
        <v>23206.150426588843</v>
      </c>
    </row>
    <row r="134" spans="1:9" outlineLevel="2" x14ac:dyDescent="0.2">
      <c r="A134" s="1980" t="s">
        <v>2267</v>
      </c>
      <c r="B134" s="1980" t="s">
        <v>2268</v>
      </c>
      <c r="C134" s="1980" t="s">
        <v>1887</v>
      </c>
      <c r="D134" s="1980" t="s">
        <v>1888</v>
      </c>
      <c r="E134" s="1980" t="s">
        <v>1083</v>
      </c>
      <c r="F134" s="1985">
        <v>49.137999999999998</v>
      </c>
      <c r="G134" s="1962">
        <v>13.313396835464058</v>
      </c>
      <c r="H134" s="1962">
        <v>3.7432880735120118</v>
      </c>
      <c r="I134" s="1962">
        <v>2.660152524361425</v>
      </c>
    </row>
    <row r="135" spans="1:9" outlineLevel="2" x14ac:dyDescent="0.2">
      <c r="A135" s="1980" t="s">
        <v>2267</v>
      </c>
      <c r="B135" s="1980" t="s">
        <v>2268</v>
      </c>
      <c r="C135" s="1980" t="s">
        <v>1889</v>
      </c>
      <c r="D135" s="1980" t="s">
        <v>1890</v>
      </c>
      <c r="E135" s="1980" t="s">
        <v>1083</v>
      </c>
      <c r="F135" s="1985">
        <v>34254.28024</v>
      </c>
      <c r="G135" s="1962">
        <v>9280.8178222213974</v>
      </c>
      <c r="H135" s="1962">
        <v>2609.4598618000359</v>
      </c>
      <c r="I135" s="1962">
        <v>1854.4020930973925</v>
      </c>
    </row>
    <row r="136" spans="1:9" outlineLevel="2" x14ac:dyDescent="0.2">
      <c r="A136" s="1980" t="s">
        <v>2267</v>
      </c>
      <c r="B136" s="1980" t="s">
        <v>2268</v>
      </c>
      <c r="C136" s="1980" t="s">
        <v>2327</v>
      </c>
      <c r="D136" s="1980" t="s">
        <v>2328</v>
      </c>
      <c r="E136" s="1980" t="s">
        <v>1568</v>
      </c>
      <c r="F136" s="1985">
        <v>171.91165000000001</v>
      </c>
      <c r="G136" s="1962">
        <v>46.5775574319143</v>
      </c>
      <c r="H136" s="1962">
        <v>13.096072879294463</v>
      </c>
      <c r="I136" s="1962">
        <v>9.3066712058821643</v>
      </c>
    </row>
    <row r="137" spans="1:9" outlineLevel="2" x14ac:dyDescent="0.2">
      <c r="A137" s="1980" t="s">
        <v>2267</v>
      </c>
      <c r="B137" s="1980" t="s">
        <v>2268</v>
      </c>
      <c r="C137" s="1980" t="s">
        <v>2329</v>
      </c>
      <c r="D137" s="1980" t="s">
        <v>2323</v>
      </c>
      <c r="E137" s="1980" t="s">
        <v>1567</v>
      </c>
      <c r="F137" s="1985">
        <v>23142.030549999999</v>
      </c>
      <c r="G137" s="1962">
        <v>6270.0768507180301</v>
      </c>
      <c r="H137" s="1962">
        <v>1762.9388040755753</v>
      </c>
      <c r="I137" s="1962">
        <v>1252.8253283900792</v>
      </c>
    </row>
    <row r="138" spans="1:9" outlineLevel="2" x14ac:dyDescent="0.2">
      <c r="A138" s="1980" t="s">
        <v>2267</v>
      </c>
      <c r="B138" s="1980" t="s">
        <v>2268</v>
      </c>
      <c r="C138" s="1980" t="s">
        <v>2329</v>
      </c>
      <c r="D138" s="1980" t="s">
        <v>2323</v>
      </c>
      <c r="E138" s="1980" t="s">
        <v>1568</v>
      </c>
      <c r="F138" s="1985">
        <v>5776.5894500000004</v>
      </c>
      <c r="G138" s="1962">
        <v>1565.1029285564139</v>
      </c>
      <c r="H138" s="1962">
        <v>440.05532161993392</v>
      </c>
      <c r="I138" s="1962">
        <v>312.72353387637014</v>
      </c>
    </row>
    <row r="139" spans="1:9" outlineLevel="2" x14ac:dyDescent="0.2">
      <c r="A139" s="1980" t="s">
        <v>2267</v>
      </c>
      <c r="B139" s="1980" t="s">
        <v>2268</v>
      </c>
      <c r="C139" s="1980" t="s">
        <v>1891</v>
      </c>
      <c r="D139" s="1980" t="s">
        <v>1878</v>
      </c>
      <c r="E139" s="1980" t="s">
        <v>1567</v>
      </c>
      <c r="F139" s="1985">
        <v>7994.3297400000001</v>
      </c>
      <c r="G139" s="1962">
        <v>2165.9750958967034</v>
      </c>
      <c r="H139" s="1962">
        <v>609.00075647084498</v>
      </c>
      <c r="I139" s="1962">
        <v>432.78392361184041</v>
      </c>
    </row>
    <row r="140" spans="1:9" outlineLevel="2" x14ac:dyDescent="0.2">
      <c r="A140" s="1980" t="s">
        <v>2267</v>
      </c>
      <c r="B140" s="1980" t="s">
        <v>2268</v>
      </c>
      <c r="C140" s="1980" t="s">
        <v>1891</v>
      </c>
      <c r="D140" s="1980" t="s">
        <v>1878</v>
      </c>
      <c r="E140" s="1980" t="s">
        <v>1568</v>
      </c>
      <c r="F140" s="1985">
        <v>381.22672</v>
      </c>
      <c r="G140" s="1962">
        <v>103.28915722337788</v>
      </c>
      <c r="H140" s="1962">
        <v>29.041504218326001</v>
      </c>
      <c r="I140" s="1962">
        <v>20.638227472872849</v>
      </c>
    </row>
    <row r="141" spans="1:9" outlineLevel="2" x14ac:dyDescent="0.2">
      <c r="A141" s="1980" t="s">
        <v>2267</v>
      </c>
      <c r="B141" s="1980" t="s">
        <v>2268</v>
      </c>
      <c r="C141" s="1980" t="s">
        <v>1892</v>
      </c>
      <c r="D141" s="1980" t="s">
        <v>1893</v>
      </c>
      <c r="E141" s="1980" t="s">
        <v>1567</v>
      </c>
      <c r="F141" s="1985">
        <v>20.872119999999999</v>
      </c>
      <c r="G141" s="1962">
        <v>5.6550697292813314</v>
      </c>
      <c r="H141" s="1962">
        <v>1.5900190863468502</v>
      </c>
      <c r="I141" s="1962">
        <v>1.1299406306071591</v>
      </c>
    </row>
    <row r="142" spans="1:9" outlineLevel="2" x14ac:dyDescent="0.2">
      <c r="A142" s="1980" t="s">
        <v>2267</v>
      </c>
      <c r="B142" s="1980" t="s">
        <v>2268</v>
      </c>
      <c r="C142" s="1980" t="s">
        <v>1892</v>
      </c>
      <c r="D142" s="1980" t="s">
        <v>1893</v>
      </c>
      <c r="E142" s="1980" t="s">
        <v>1568</v>
      </c>
      <c r="F142" s="1985">
        <v>139.75391999999999</v>
      </c>
      <c r="G142" s="1962">
        <v>37.864776675316392</v>
      </c>
      <c r="H142" s="1962">
        <v>10.646326304744836</v>
      </c>
      <c r="I142" s="1962">
        <v>7.5657687141805656</v>
      </c>
    </row>
    <row r="143" spans="1:9" outlineLevel="2" x14ac:dyDescent="0.2">
      <c r="A143" s="1980" t="s">
        <v>2267</v>
      </c>
      <c r="B143" s="1980" t="s">
        <v>2268</v>
      </c>
      <c r="C143" s="1980" t="s">
        <v>1894</v>
      </c>
      <c r="D143" s="1980" t="s">
        <v>1895</v>
      </c>
      <c r="E143" s="1980" t="s">
        <v>1567</v>
      </c>
      <c r="F143" s="1985">
        <v>406.01483000000002</v>
      </c>
      <c r="G143" s="1962">
        <v>110.00522106869383</v>
      </c>
      <c r="H143" s="1962">
        <v>30.929839855264905</v>
      </c>
      <c r="I143" s="1962">
        <v>21.980165553190503</v>
      </c>
    </row>
    <row r="144" spans="1:9" outlineLevel="2" x14ac:dyDescent="0.2">
      <c r="A144" s="1980" t="s">
        <v>2267</v>
      </c>
      <c r="B144" s="1980" t="s">
        <v>2268</v>
      </c>
      <c r="C144" s="1980" t="s">
        <v>1894</v>
      </c>
      <c r="D144" s="1980" t="s">
        <v>1895</v>
      </c>
      <c r="E144" s="1980" t="s">
        <v>1568</v>
      </c>
      <c r="F144" s="1985">
        <v>128.86227</v>
      </c>
      <c r="G144" s="1962">
        <v>34.91380474640227</v>
      </c>
      <c r="H144" s="1962">
        <v>9.8166103304303114</v>
      </c>
      <c r="I144" s="1962">
        <v>6.9761344140063395</v>
      </c>
    </row>
    <row r="145" spans="1:9" outlineLevel="2" x14ac:dyDescent="0.2">
      <c r="A145" s="1980" t="s">
        <v>2267</v>
      </c>
      <c r="B145" s="1980" t="s">
        <v>2268</v>
      </c>
      <c r="C145" s="1980" t="s">
        <v>1896</v>
      </c>
      <c r="D145" s="1980" t="s">
        <v>1897</v>
      </c>
      <c r="E145" s="1980" t="s">
        <v>1567</v>
      </c>
      <c r="F145" s="1985">
        <v>309.50785000000002</v>
      </c>
      <c r="G145" s="1962">
        <v>83.857723772666461</v>
      </c>
      <c r="H145" s="1962">
        <v>23.578026040199941</v>
      </c>
      <c r="I145" s="1962">
        <v>16.755628810435454</v>
      </c>
    </row>
    <row r="146" spans="1:9" outlineLevel="2" x14ac:dyDescent="0.2">
      <c r="A146" s="1980" t="s">
        <v>2267</v>
      </c>
      <c r="B146" s="1980" t="s">
        <v>2268</v>
      </c>
      <c r="C146" s="1980" t="s">
        <v>1898</v>
      </c>
      <c r="D146" s="1980" t="s">
        <v>1899</v>
      </c>
      <c r="E146" s="1980" t="s">
        <v>1567</v>
      </c>
      <c r="F146" s="1985">
        <v>7.0330300000000001</v>
      </c>
      <c r="G146" s="1962">
        <v>1.9055215789353206</v>
      </c>
      <c r="H146" s="1962">
        <v>0.53576981805633495</v>
      </c>
      <c r="I146" s="1962">
        <v>0.38074265351478759</v>
      </c>
    </row>
    <row r="147" spans="1:9" outlineLevel="2" x14ac:dyDescent="0.2">
      <c r="A147" s="1980" t="s">
        <v>2267</v>
      </c>
      <c r="B147" s="1980" t="s">
        <v>2268</v>
      </c>
      <c r="C147" s="1980" t="s">
        <v>1898</v>
      </c>
      <c r="D147" s="1980" t="s">
        <v>1899</v>
      </c>
      <c r="E147" s="1980" t="s">
        <v>1568</v>
      </c>
      <c r="F147" s="1985">
        <v>9343.6784000000007</v>
      </c>
      <c r="G147" s="1962">
        <v>2531.5661696071043</v>
      </c>
      <c r="H147" s="1962">
        <v>711.79290808441124</v>
      </c>
      <c r="I147" s="1962">
        <v>505.83275026621601</v>
      </c>
    </row>
    <row r="148" spans="1:9" outlineLevel="2" x14ac:dyDescent="0.2">
      <c r="A148" s="1980" t="s">
        <v>2267</v>
      </c>
      <c r="B148" s="1980" t="s">
        <v>2268</v>
      </c>
      <c r="C148" s="1980" t="s">
        <v>1900</v>
      </c>
      <c r="D148" s="1980" t="s">
        <v>1901</v>
      </c>
      <c r="E148" s="1980" t="s">
        <v>1567</v>
      </c>
      <c r="F148" s="1985">
        <v>67490.156510000001</v>
      </c>
      <c r="G148" s="1962">
        <v>18285.710368863365</v>
      </c>
      <c r="H148" s="1962">
        <v>5141.3386369681721</v>
      </c>
      <c r="I148" s="1962">
        <v>3653.6715008674378</v>
      </c>
    </row>
    <row r="149" spans="1:9" outlineLevel="2" x14ac:dyDescent="0.2">
      <c r="A149" s="1980" t="s">
        <v>2267</v>
      </c>
      <c r="B149" s="1980" t="s">
        <v>2268</v>
      </c>
      <c r="C149" s="1980" t="s">
        <v>1900</v>
      </c>
      <c r="D149" s="1980" t="s">
        <v>1901</v>
      </c>
      <c r="E149" s="1980" t="s">
        <v>1568</v>
      </c>
      <c r="F149" s="1985">
        <v>10419.94872</v>
      </c>
      <c r="G149" s="1962">
        <v>2823.1696917771533</v>
      </c>
      <c r="H149" s="1962">
        <v>793.78220054098153</v>
      </c>
      <c r="I149" s="1962">
        <v>564.09810922757538</v>
      </c>
    </row>
    <row r="150" spans="1:9" outlineLevel="2" x14ac:dyDescent="0.2">
      <c r="A150" s="1980" t="s">
        <v>2267</v>
      </c>
      <c r="B150" s="1980" t="s">
        <v>2268</v>
      </c>
      <c r="C150" s="1980" t="s">
        <v>1902</v>
      </c>
      <c r="D150" s="1980" t="s">
        <v>1903</v>
      </c>
      <c r="E150" s="1980" t="s">
        <v>1567</v>
      </c>
      <c r="F150" s="1985">
        <v>155730.96707000001</v>
      </c>
      <c r="G150" s="1962">
        <v>42193.580613242208</v>
      </c>
      <c r="H150" s="1962">
        <v>11863.443194872052</v>
      </c>
      <c r="I150" s="1962">
        <v>8430.7079077802609</v>
      </c>
    </row>
    <row r="151" spans="1:9" outlineLevel="2" x14ac:dyDescent="0.2">
      <c r="A151" s="1980" t="s">
        <v>2267</v>
      </c>
      <c r="B151" s="1980" t="s">
        <v>2268</v>
      </c>
      <c r="C151" s="1980" t="s">
        <v>1902</v>
      </c>
      <c r="D151" s="1980" t="s">
        <v>1903</v>
      </c>
      <c r="E151" s="1980" t="s">
        <v>1568</v>
      </c>
      <c r="F151" s="1985">
        <v>363.64618999999999</v>
      </c>
      <c r="G151" s="1962">
        <v>98.525907346138652</v>
      </c>
      <c r="H151" s="1962">
        <v>27.702235459422095</v>
      </c>
      <c r="I151" s="1962">
        <v>19.686481547944854</v>
      </c>
    </row>
    <row r="152" spans="1:9" outlineLevel="2" x14ac:dyDescent="0.2">
      <c r="A152" s="1980" t="s">
        <v>2267</v>
      </c>
      <c r="B152" s="1980" t="s">
        <v>2268</v>
      </c>
      <c r="C152" s="1980" t="s">
        <v>1904</v>
      </c>
      <c r="D152" s="1980" t="s">
        <v>1905</v>
      </c>
      <c r="E152" s="1980" t="s">
        <v>1567</v>
      </c>
      <c r="F152" s="1985">
        <v>23195.464489999998</v>
      </c>
      <c r="G152" s="1962">
        <v>6284.5541849136089</v>
      </c>
      <c r="H152" s="1962">
        <v>1767.0093529445312</v>
      </c>
      <c r="I152" s="1962">
        <v>1255.7180474746488</v>
      </c>
    </row>
    <row r="153" spans="1:9" outlineLevel="2" x14ac:dyDescent="0.2">
      <c r="A153" s="1980" t="s">
        <v>2267</v>
      </c>
      <c r="B153" s="1980" t="s">
        <v>2268</v>
      </c>
      <c r="C153" s="1980" t="s">
        <v>1904</v>
      </c>
      <c r="D153" s="1980" t="s">
        <v>1905</v>
      </c>
      <c r="E153" s="1980" t="s">
        <v>1568</v>
      </c>
      <c r="F153" s="1985">
        <v>2056.29853</v>
      </c>
      <c r="G153" s="1962">
        <v>557.13131063680646</v>
      </c>
      <c r="H153" s="1962">
        <v>156.64694865336972</v>
      </c>
      <c r="I153" s="1962">
        <v>111.32052027799641</v>
      </c>
    </row>
    <row r="154" spans="1:9" outlineLevel="2" x14ac:dyDescent="0.2">
      <c r="A154" s="1980" t="s">
        <v>2267</v>
      </c>
      <c r="B154" s="1980" t="s">
        <v>2268</v>
      </c>
      <c r="C154" s="1980" t="s">
        <v>2150</v>
      </c>
      <c r="D154" s="1980" t="s">
        <v>2151</v>
      </c>
      <c r="E154" s="1980" t="s">
        <v>1567</v>
      </c>
      <c r="F154" s="1985">
        <v>14768.0972</v>
      </c>
      <c r="G154" s="1962">
        <v>4001.2523612744844</v>
      </c>
      <c r="H154" s="1962">
        <v>1125.0201904274927</v>
      </c>
      <c r="I154" s="1962">
        <v>799.49244657484803</v>
      </c>
    </row>
    <row r="155" spans="1:9" outlineLevel="2" x14ac:dyDescent="0.2">
      <c r="A155" s="1980" t="s">
        <v>2267</v>
      </c>
      <c r="B155" s="1980" t="s">
        <v>2268</v>
      </c>
      <c r="C155" s="1980" t="s">
        <v>1906</v>
      </c>
      <c r="D155" s="1980" t="s">
        <v>1907</v>
      </c>
      <c r="E155" s="1980" t="s">
        <v>1567</v>
      </c>
      <c r="F155" s="1985">
        <v>8990.9777400000003</v>
      </c>
      <c r="G155" s="1962">
        <v>2436.0058323790913</v>
      </c>
      <c r="H155" s="1962">
        <v>684.92449312861697</v>
      </c>
      <c r="I155" s="1962">
        <v>486.73881988559526</v>
      </c>
    </row>
    <row r="156" spans="1:9" outlineLevel="2" x14ac:dyDescent="0.2">
      <c r="A156" s="1980" t="s">
        <v>2267</v>
      </c>
      <c r="B156" s="1980" t="s">
        <v>2268</v>
      </c>
      <c r="C156" s="1980" t="s">
        <v>1906</v>
      </c>
      <c r="D156" s="1980" t="s">
        <v>1907</v>
      </c>
      <c r="E156" s="1980" t="s">
        <v>1568</v>
      </c>
      <c r="F156" s="1985">
        <v>30850.74813</v>
      </c>
      <c r="G156" s="1962">
        <v>8358.6684953730455</v>
      </c>
      <c r="H156" s="1962">
        <v>2350.1818864005859</v>
      </c>
      <c r="I156" s="1962">
        <v>1670.1472489001997</v>
      </c>
    </row>
    <row r="157" spans="1:9" outlineLevel="2" x14ac:dyDescent="0.2">
      <c r="A157" s="1980" t="s">
        <v>2267</v>
      </c>
      <c r="B157" s="1980" t="s">
        <v>2268</v>
      </c>
      <c r="C157" s="1980" t="s">
        <v>1908</v>
      </c>
      <c r="D157" s="1980" t="s">
        <v>1909</v>
      </c>
      <c r="E157" s="1980" t="s">
        <v>1567</v>
      </c>
      <c r="F157" s="1985">
        <v>380029.93083999999</v>
      </c>
      <c r="G157" s="1962">
        <v>102964.90045640605</v>
      </c>
      <c r="H157" s="1962">
        <v>28950.333924435199</v>
      </c>
      <c r="I157" s="1962">
        <v>20573.437662438922</v>
      </c>
    </row>
    <row r="158" spans="1:9" outlineLevel="2" x14ac:dyDescent="0.2">
      <c r="A158" s="1980" t="s">
        <v>2267</v>
      </c>
      <c r="B158" s="1980" t="s">
        <v>2268</v>
      </c>
      <c r="C158" s="1980" t="s">
        <v>1908</v>
      </c>
      <c r="D158" s="1980" t="s">
        <v>1909</v>
      </c>
      <c r="E158" s="1980" t="s">
        <v>1568</v>
      </c>
      <c r="F158" s="1985">
        <v>75090.707980000007</v>
      </c>
      <c r="G158" s="1962">
        <v>20344.995604088235</v>
      </c>
      <c r="H158" s="1962">
        <v>5720.3417235766065</v>
      </c>
      <c r="I158" s="1962">
        <v>4065.1377017600148</v>
      </c>
    </row>
    <row r="159" spans="1:9" outlineLevel="2" x14ac:dyDescent="0.2">
      <c r="A159" s="1980" t="s">
        <v>2267</v>
      </c>
      <c r="B159" s="1980" t="s">
        <v>2268</v>
      </c>
      <c r="C159" s="1980" t="s">
        <v>1910</v>
      </c>
      <c r="D159" s="1980" t="s">
        <v>1911</v>
      </c>
      <c r="E159" s="1980" t="s">
        <v>1567</v>
      </c>
      <c r="F159" s="1985">
        <v>19396.36579</v>
      </c>
      <c r="G159" s="1962">
        <v>5255.2304718972955</v>
      </c>
      <c r="H159" s="1962">
        <v>1477.5974750942935</v>
      </c>
      <c r="I159" s="1962">
        <v>1050.0486674204503</v>
      </c>
    </row>
    <row r="160" spans="1:9" outlineLevel="2" x14ac:dyDescent="0.2">
      <c r="A160" s="1980" t="s">
        <v>2267</v>
      </c>
      <c r="B160" s="1980" t="s">
        <v>2268</v>
      </c>
      <c r="C160" s="1980" t="s">
        <v>1910</v>
      </c>
      <c r="D160" s="1980" t="s">
        <v>1911</v>
      </c>
      <c r="E160" s="1980" t="s">
        <v>1568</v>
      </c>
      <c r="F160" s="1985">
        <v>410.76028000000002</v>
      </c>
      <c r="G160" s="1962">
        <v>111.29094818442611</v>
      </c>
      <c r="H160" s="1962">
        <v>31.291343912989021</v>
      </c>
      <c r="I160" s="1962">
        <v>22.23706694919219</v>
      </c>
    </row>
    <row r="161" spans="1:9" outlineLevel="2" x14ac:dyDescent="0.2">
      <c r="A161" s="1980" t="s">
        <v>2267</v>
      </c>
      <c r="B161" s="1980" t="s">
        <v>2268</v>
      </c>
      <c r="C161" s="1980" t="s">
        <v>1912</v>
      </c>
      <c r="D161" s="1980" t="s">
        <v>1913</v>
      </c>
      <c r="E161" s="1980" t="s">
        <v>1567</v>
      </c>
      <c r="F161" s="1985">
        <v>188.39053000000001</v>
      </c>
      <c r="G161" s="1962">
        <v>51.042327443799032</v>
      </c>
      <c r="H161" s="1962">
        <v>14.3514189448412</v>
      </c>
      <c r="I161" s="1962">
        <v>10.198777808321193</v>
      </c>
    </row>
    <row r="162" spans="1:9" outlineLevel="2" x14ac:dyDescent="0.2">
      <c r="A162" s="1980" t="s">
        <v>2267</v>
      </c>
      <c r="B162" s="1980" t="s">
        <v>2268</v>
      </c>
      <c r="C162" s="1980" t="s">
        <v>1912</v>
      </c>
      <c r="D162" s="1980" t="s">
        <v>1913</v>
      </c>
      <c r="E162" s="1980" t="s">
        <v>1568</v>
      </c>
      <c r="F162" s="1985">
        <v>63.464170000000003</v>
      </c>
      <c r="G162" s="1962">
        <v>17.194913916792565</v>
      </c>
      <c r="H162" s="1962">
        <v>4.8346426524551021</v>
      </c>
      <c r="I162" s="1962">
        <v>3.4357192403435755</v>
      </c>
    </row>
    <row r="163" spans="1:9" outlineLevel="2" x14ac:dyDescent="0.2">
      <c r="A163" s="1980" t="s">
        <v>2267</v>
      </c>
      <c r="B163" s="1980" t="s">
        <v>2268</v>
      </c>
      <c r="C163" s="1980" t="s">
        <v>1914</v>
      </c>
      <c r="D163" s="1980" t="s">
        <v>1915</v>
      </c>
      <c r="E163" s="1980" t="s">
        <v>1567</v>
      </c>
      <c r="F163" s="1985">
        <v>79328.901800000007</v>
      </c>
      <c r="G163" s="1962">
        <v>21493.287276343341</v>
      </c>
      <c r="H163" s="1962">
        <v>6043.2034676369731</v>
      </c>
      <c r="I163" s="1962">
        <v>4294.578093900639</v>
      </c>
    </row>
    <row r="164" spans="1:9" outlineLevel="2" x14ac:dyDescent="0.2">
      <c r="A164" s="1980" t="s">
        <v>2267</v>
      </c>
      <c r="B164" s="1980" t="s">
        <v>2268</v>
      </c>
      <c r="C164" s="1980" t="s">
        <v>1914</v>
      </c>
      <c r="D164" s="1980" t="s">
        <v>1915</v>
      </c>
      <c r="E164" s="1980" t="s">
        <v>1568</v>
      </c>
      <c r="F164" s="1985">
        <v>51284.521699999998</v>
      </c>
      <c r="G164" s="1962">
        <v>13894.973114678411</v>
      </c>
      <c r="H164" s="1962">
        <v>3906.8081410594236</v>
      </c>
      <c r="I164" s="1962">
        <v>2776.3573987733175</v>
      </c>
    </row>
    <row r="165" spans="1:9" outlineLevel="2" x14ac:dyDescent="0.2">
      <c r="A165" s="1980" t="s">
        <v>2267</v>
      </c>
      <c r="B165" s="1980" t="s">
        <v>2268</v>
      </c>
      <c r="C165" s="1980" t="s">
        <v>1916</v>
      </c>
      <c r="D165" s="1980" t="s">
        <v>1886</v>
      </c>
      <c r="E165" s="1980" t="s">
        <v>1567</v>
      </c>
      <c r="F165" s="1985">
        <v>56796.242859999998</v>
      </c>
      <c r="G165" s="1962">
        <v>15388.312913805448</v>
      </c>
      <c r="H165" s="1962">
        <v>4326.6860376517106</v>
      </c>
      <c r="I165" s="1962">
        <v>3074.7419271902309</v>
      </c>
    </row>
    <row r="166" spans="1:9" outlineLevel="2" x14ac:dyDescent="0.2">
      <c r="A166" s="1980" t="s">
        <v>2267</v>
      </c>
      <c r="B166" s="1980" t="s">
        <v>2268</v>
      </c>
      <c r="C166" s="1980" t="s">
        <v>1916</v>
      </c>
      <c r="D166" s="1980" t="s">
        <v>1886</v>
      </c>
      <c r="E166" s="1980" t="s">
        <v>1568</v>
      </c>
      <c r="F166" s="1985">
        <v>14656.418750000001</v>
      </c>
      <c r="G166" s="1962">
        <v>3970.9943222248789</v>
      </c>
      <c r="H166" s="1962">
        <v>1116.5126278495834</v>
      </c>
      <c r="I166" s="1962">
        <v>793.44518164985595</v>
      </c>
    </row>
    <row r="167" spans="1:9" outlineLevel="2" x14ac:dyDescent="0.2">
      <c r="A167" s="1980" t="s">
        <v>2267</v>
      </c>
      <c r="B167" s="1980" t="s">
        <v>2268</v>
      </c>
      <c r="C167" s="1980" t="s">
        <v>1917</v>
      </c>
      <c r="D167" s="1980" t="s">
        <v>1918</v>
      </c>
      <c r="E167" s="1980" t="s">
        <v>1567</v>
      </c>
      <c r="F167" s="1985">
        <v>1622.84231</v>
      </c>
      <c r="G167" s="1962">
        <v>439.69114889517647</v>
      </c>
      <c r="H167" s="1962">
        <v>123.62664870799956</v>
      </c>
      <c r="I167" s="1962">
        <v>87.854777719626895</v>
      </c>
    </row>
    <row r="168" spans="1:9" outlineLevel="2" x14ac:dyDescent="0.2">
      <c r="A168" s="1980" t="s">
        <v>2267</v>
      </c>
      <c r="B168" s="1980" t="s">
        <v>2268</v>
      </c>
      <c r="C168" s="1980" t="s">
        <v>1917</v>
      </c>
      <c r="D168" s="1980" t="s">
        <v>1918</v>
      </c>
      <c r="E168" s="1980" t="s">
        <v>1568</v>
      </c>
      <c r="F168" s="1985">
        <v>63.58343</v>
      </c>
      <c r="G168" s="1962">
        <v>17.227226092839562</v>
      </c>
      <c r="H168" s="1962">
        <v>4.8437277706049464</v>
      </c>
      <c r="I168" s="1962">
        <v>3.4421755427990139</v>
      </c>
    </row>
    <row r="169" spans="1:9" outlineLevel="2" x14ac:dyDescent="0.2">
      <c r="A169" s="1980" t="s">
        <v>2267</v>
      </c>
      <c r="B169" s="1980" t="s">
        <v>2268</v>
      </c>
      <c r="C169" s="1980" t="s">
        <v>1919</v>
      </c>
      <c r="D169" s="1980" t="s">
        <v>1920</v>
      </c>
      <c r="E169" s="1980" t="s">
        <v>1568</v>
      </c>
      <c r="F169" s="1985">
        <v>211.14277999999999</v>
      </c>
      <c r="G169" s="1962">
        <v>57.206797571799498</v>
      </c>
      <c r="H169" s="1962">
        <v>16.084664621721895</v>
      </c>
      <c r="I169" s="1962">
        <v>11.430501836006531</v>
      </c>
    </row>
    <row r="170" spans="1:9" outlineLevel="2" x14ac:dyDescent="0.2">
      <c r="A170" s="1980" t="s">
        <v>2267</v>
      </c>
      <c r="B170" s="1980" t="s">
        <v>2268</v>
      </c>
      <c r="C170" s="1980" t="s">
        <v>1921</v>
      </c>
      <c r="D170" s="1980" t="s">
        <v>1922</v>
      </c>
      <c r="E170" s="1980" t="s">
        <v>1567</v>
      </c>
      <c r="F170" s="1985">
        <v>2471.0590000000002</v>
      </c>
      <c r="G170" s="1962">
        <v>669.50606599464732</v>
      </c>
      <c r="H170" s="1962">
        <v>188.24302339624157</v>
      </c>
      <c r="I170" s="1962">
        <v>133.77414295852535</v>
      </c>
    </row>
    <row r="171" spans="1:9" outlineLevel="2" x14ac:dyDescent="0.2">
      <c r="A171" s="1980" t="s">
        <v>2267</v>
      </c>
      <c r="B171" s="1980" t="s">
        <v>2268</v>
      </c>
      <c r="C171" s="1980" t="s">
        <v>1923</v>
      </c>
      <c r="D171" s="1980" t="s">
        <v>1924</v>
      </c>
      <c r="E171" s="1980" t="s">
        <v>1567</v>
      </c>
      <c r="F171" s="1985">
        <v>23438.832689999999</v>
      </c>
      <c r="G171" s="1962">
        <v>6350.4921030977557</v>
      </c>
      <c r="H171" s="1962">
        <v>1785.5489207033347</v>
      </c>
      <c r="I171" s="1962">
        <v>1268.8931162926572</v>
      </c>
    </row>
    <row r="172" spans="1:9" outlineLevel="2" x14ac:dyDescent="0.2">
      <c r="A172" s="1980" t="s">
        <v>2267</v>
      </c>
      <c r="B172" s="1980" t="s">
        <v>2268</v>
      </c>
      <c r="C172" s="1980" t="s">
        <v>1923</v>
      </c>
      <c r="D172" s="1980" t="s">
        <v>1924</v>
      </c>
      <c r="E172" s="1980" t="s">
        <v>1568</v>
      </c>
      <c r="F172" s="1985">
        <v>4301.2581499999997</v>
      </c>
      <c r="G172" s="1962">
        <v>1165.3782539526228</v>
      </c>
      <c r="H172" s="1962">
        <v>327.66592726589073</v>
      </c>
      <c r="I172" s="1962">
        <v>232.85446549824275</v>
      </c>
    </row>
    <row r="173" spans="1:9" outlineLevel="2" x14ac:dyDescent="0.2">
      <c r="A173" s="1980" t="s">
        <v>2267</v>
      </c>
      <c r="B173" s="1980" t="s">
        <v>2268</v>
      </c>
      <c r="C173" s="1980" t="s">
        <v>2330</v>
      </c>
      <c r="D173" s="1980" t="s">
        <v>2323</v>
      </c>
      <c r="E173" s="1980" t="s">
        <v>912</v>
      </c>
      <c r="F173" s="1985">
        <v>74.985870000000006</v>
      </c>
      <c r="G173" s="1962">
        <v>74.985870000000006</v>
      </c>
      <c r="H173" s="1962">
        <v>0</v>
      </c>
      <c r="I173" s="1962">
        <v>0</v>
      </c>
    </row>
    <row r="174" spans="1:9" outlineLevel="2" x14ac:dyDescent="0.2">
      <c r="A174" s="1980" t="s">
        <v>2267</v>
      </c>
      <c r="B174" s="1980" t="s">
        <v>2268</v>
      </c>
      <c r="C174" s="1980" t="s">
        <v>2330</v>
      </c>
      <c r="D174" s="1980" t="s">
        <v>2323</v>
      </c>
      <c r="E174" s="1980" t="s">
        <v>1083</v>
      </c>
      <c r="F174" s="1985">
        <v>14322.803029999999</v>
      </c>
      <c r="G174" s="1962">
        <v>3880.6048381003907</v>
      </c>
      <c r="H174" s="1962">
        <v>1091.0980862359213</v>
      </c>
      <c r="I174" s="1962">
        <v>775.38444047755229</v>
      </c>
    </row>
    <row r="175" spans="1:9" outlineLevel="2" x14ac:dyDescent="0.2">
      <c r="A175" s="1980" t="s">
        <v>2267</v>
      </c>
      <c r="B175" s="1980" t="s">
        <v>2268</v>
      </c>
      <c r="C175" s="1980" t="s">
        <v>1925</v>
      </c>
      <c r="D175" s="1980" t="s">
        <v>1878</v>
      </c>
      <c r="E175" s="1980" t="s">
        <v>1083</v>
      </c>
      <c r="F175" s="1985">
        <v>9806.5859099999998</v>
      </c>
      <c r="G175" s="1962">
        <v>2656.9858321645247</v>
      </c>
      <c r="H175" s="1962">
        <v>747.05678047079527</v>
      </c>
      <c r="I175" s="1962">
        <v>530.89287850245591</v>
      </c>
    </row>
    <row r="176" spans="1:9" outlineLevel="2" x14ac:dyDescent="0.2">
      <c r="A176" s="1980" t="s">
        <v>2267</v>
      </c>
      <c r="B176" s="1980" t="s">
        <v>2268</v>
      </c>
      <c r="C176" s="1980" t="s">
        <v>2331</v>
      </c>
      <c r="D176" s="1980" t="s">
        <v>2332</v>
      </c>
      <c r="E176" s="1980" t="s">
        <v>1083</v>
      </c>
      <c r="F176" s="1985">
        <v>32709.669569999998</v>
      </c>
      <c r="G176" s="1962">
        <v>8862.3226696713937</v>
      </c>
      <c r="H176" s="1962">
        <v>2491.7928281553941</v>
      </c>
      <c r="I176" s="1962">
        <v>1770.7824917103583</v>
      </c>
    </row>
    <row r="177" spans="1:9" outlineLevel="2" x14ac:dyDescent="0.2">
      <c r="A177" s="1980" t="s">
        <v>2267</v>
      </c>
      <c r="B177" s="1980" t="s">
        <v>2268</v>
      </c>
      <c r="C177" s="1980" t="s">
        <v>1926</v>
      </c>
      <c r="D177" s="1980" t="s">
        <v>1927</v>
      </c>
      <c r="E177" s="1980" t="s">
        <v>912</v>
      </c>
      <c r="F177" s="1985">
        <v>3.7556400000000001</v>
      </c>
      <c r="G177" s="1962">
        <v>3.7556400000000001</v>
      </c>
      <c r="H177" s="1962">
        <v>0</v>
      </c>
      <c r="I177" s="1962">
        <v>0</v>
      </c>
    </row>
    <row r="178" spans="1:9" outlineLevel="2" x14ac:dyDescent="0.2">
      <c r="A178" s="1980" t="s">
        <v>2267</v>
      </c>
      <c r="B178" s="1980" t="s">
        <v>2268</v>
      </c>
      <c r="C178" s="1980" t="s">
        <v>1926</v>
      </c>
      <c r="D178" s="1980" t="s">
        <v>1927</v>
      </c>
      <c r="E178" s="1980" t="s">
        <v>1083</v>
      </c>
      <c r="F178" s="1985">
        <v>278638.70341000002</v>
      </c>
      <c r="G178" s="1962">
        <v>75494.070418342264</v>
      </c>
      <c r="H178" s="1962">
        <v>21226.442575878216</v>
      </c>
      <c r="I178" s="1962">
        <v>15084.48553585628</v>
      </c>
    </row>
    <row r="179" spans="1:9" outlineLevel="2" x14ac:dyDescent="0.2">
      <c r="A179" s="1980" t="s">
        <v>2267</v>
      </c>
      <c r="B179" s="1980" t="s">
        <v>2268</v>
      </c>
      <c r="C179" s="1980" t="s">
        <v>1926</v>
      </c>
      <c r="D179" s="1980" t="s">
        <v>1927</v>
      </c>
      <c r="E179" s="1980" t="s">
        <v>920</v>
      </c>
      <c r="F179" s="1985">
        <v>69.481819999999999</v>
      </c>
      <c r="G179" s="1962">
        <v>0</v>
      </c>
      <c r="H179" s="1962">
        <v>0</v>
      </c>
      <c r="I179" s="1962">
        <v>0</v>
      </c>
    </row>
    <row r="180" spans="1:9" outlineLevel="2" x14ac:dyDescent="0.2">
      <c r="A180" s="1980" t="s">
        <v>2267</v>
      </c>
      <c r="B180" s="1980" t="s">
        <v>2268</v>
      </c>
      <c r="C180" s="1980" t="s">
        <v>1928</v>
      </c>
      <c r="D180" s="1980" t="s">
        <v>1929</v>
      </c>
      <c r="E180" s="1980" t="s">
        <v>1083</v>
      </c>
      <c r="F180" s="1985">
        <v>16439.352719999999</v>
      </c>
      <c r="G180" s="1962">
        <v>4454.0605331825764</v>
      </c>
      <c r="H180" s="1962">
        <v>1252.334913367114</v>
      </c>
      <c r="I180" s="1962">
        <v>889.96673932548856</v>
      </c>
    </row>
    <row r="181" spans="1:9" outlineLevel="2" x14ac:dyDescent="0.2">
      <c r="A181" s="1980" t="s">
        <v>2267</v>
      </c>
      <c r="B181" s="1980" t="s">
        <v>2268</v>
      </c>
      <c r="C181" s="1980" t="s">
        <v>1930</v>
      </c>
      <c r="D181" s="1980" t="s">
        <v>1931</v>
      </c>
      <c r="E181" s="1980" t="s">
        <v>1083</v>
      </c>
      <c r="F181" s="1985">
        <v>4111942.5207600002</v>
      </c>
      <c r="G181" s="1962">
        <v>1114085.281116372</v>
      </c>
      <c r="H181" s="1962">
        <v>313244.03510374512</v>
      </c>
      <c r="I181" s="1962">
        <v>222605.60618317383</v>
      </c>
    </row>
    <row r="182" spans="1:9" outlineLevel="2" x14ac:dyDescent="0.2">
      <c r="A182" s="1980" t="s">
        <v>2267</v>
      </c>
      <c r="B182" s="1980" t="s">
        <v>2268</v>
      </c>
      <c r="C182" s="1980" t="s">
        <v>1932</v>
      </c>
      <c r="D182" s="1980" t="s">
        <v>1933</v>
      </c>
      <c r="E182" s="1980" t="s">
        <v>1083</v>
      </c>
      <c r="F182" s="1985">
        <v>598277.42093000002</v>
      </c>
      <c r="G182" s="1962">
        <v>162096.64053358012</v>
      </c>
      <c r="H182" s="1962">
        <v>45576.228874166525</v>
      </c>
      <c r="I182" s="1962">
        <v>32388.562651214586</v>
      </c>
    </row>
    <row r="183" spans="1:9" outlineLevel="2" x14ac:dyDescent="0.2">
      <c r="A183" s="1980" t="s">
        <v>2267</v>
      </c>
      <c r="B183" s="1980" t="s">
        <v>2268</v>
      </c>
      <c r="C183" s="1980" t="s">
        <v>1932</v>
      </c>
      <c r="D183" s="1980" t="s">
        <v>1933</v>
      </c>
      <c r="E183" s="1980" t="s">
        <v>920</v>
      </c>
      <c r="F183" s="1985">
        <v>284.86588</v>
      </c>
      <c r="G183" s="1962">
        <v>0</v>
      </c>
      <c r="H183" s="1962">
        <v>0</v>
      </c>
      <c r="I183" s="1962">
        <v>0</v>
      </c>
    </row>
    <row r="184" spans="1:9" outlineLevel="2" x14ac:dyDescent="0.2">
      <c r="A184" s="1980" t="s">
        <v>2267</v>
      </c>
      <c r="B184" s="1980" t="s">
        <v>2268</v>
      </c>
      <c r="C184" s="1980" t="s">
        <v>1934</v>
      </c>
      <c r="D184" s="1980" t="s">
        <v>1886</v>
      </c>
      <c r="E184" s="1980" t="s">
        <v>1083</v>
      </c>
      <c r="F184" s="1985">
        <v>465682.61047000001</v>
      </c>
      <c r="G184" s="1962">
        <v>126171.54529207415</v>
      </c>
      <c r="H184" s="1962">
        <v>35475.277011972219</v>
      </c>
      <c r="I184" s="1962">
        <v>25210.362078085975</v>
      </c>
    </row>
    <row r="185" spans="1:9" outlineLevel="2" x14ac:dyDescent="0.2">
      <c r="A185" s="1980" t="s">
        <v>2267</v>
      </c>
      <c r="B185" s="1980" t="s">
        <v>2268</v>
      </c>
      <c r="C185" s="1980" t="s">
        <v>1934</v>
      </c>
      <c r="D185" s="1980" t="s">
        <v>1886</v>
      </c>
      <c r="E185" s="1980" t="s">
        <v>920</v>
      </c>
      <c r="F185" s="1985">
        <v>80.50761</v>
      </c>
      <c r="G185" s="1962">
        <v>0</v>
      </c>
      <c r="H185" s="1962">
        <v>0</v>
      </c>
      <c r="I185" s="1962">
        <v>0</v>
      </c>
    </row>
    <row r="186" spans="1:9" outlineLevel="2" x14ac:dyDescent="0.2">
      <c r="A186" s="1980" t="s">
        <v>2267</v>
      </c>
      <c r="B186" s="1980" t="s">
        <v>2268</v>
      </c>
      <c r="C186" s="1980" t="s">
        <v>2152</v>
      </c>
      <c r="D186" s="1980" t="s">
        <v>2153</v>
      </c>
      <c r="E186" s="1980" t="s">
        <v>912</v>
      </c>
      <c r="F186" s="1985">
        <v>510.30732999999998</v>
      </c>
      <c r="G186" s="1962">
        <v>510.30732999999998</v>
      </c>
      <c r="H186" s="1962">
        <v>0</v>
      </c>
      <c r="I186" s="1962">
        <v>0</v>
      </c>
    </row>
    <row r="187" spans="1:9" outlineLevel="2" x14ac:dyDescent="0.2">
      <c r="A187" s="1980" t="s">
        <v>2267</v>
      </c>
      <c r="B187" s="1980" t="s">
        <v>2268</v>
      </c>
      <c r="C187" s="1980" t="s">
        <v>1935</v>
      </c>
      <c r="D187" s="1980" t="s">
        <v>1936</v>
      </c>
      <c r="E187" s="1980" t="s">
        <v>1083</v>
      </c>
      <c r="F187" s="1985">
        <v>25889.659780000002</v>
      </c>
      <c r="G187" s="1962">
        <v>7014.5165571714988</v>
      </c>
      <c r="H187" s="1962">
        <v>1972.2506956277753</v>
      </c>
      <c r="I187" s="1962">
        <v>1401.5719772604798</v>
      </c>
    </row>
    <row r="188" spans="1:9" outlineLevel="2" x14ac:dyDescent="0.2">
      <c r="A188" s="1980" t="s">
        <v>2267</v>
      </c>
      <c r="B188" s="1980" t="s">
        <v>2268</v>
      </c>
      <c r="C188" s="1980" t="s">
        <v>2333</v>
      </c>
      <c r="D188" s="1980" t="s">
        <v>2328</v>
      </c>
      <c r="E188" s="1980" t="s">
        <v>1083</v>
      </c>
      <c r="F188" s="1985">
        <v>840.95993999999996</v>
      </c>
      <c r="G188" s="1962">
        <v>227.84878106451308</v>
      </c>
      <c r="H188" s="1962">
        <v>64.063562084402633</v>
      </c>
      <c r="I188" s="1962">
        <v>45.526511198620874</v>
      </c>
    </row>
    <row r="189" spans="1:9" outlineLevel="2" x14ac:dyDescent="0.2">
      <c r="A189" s="1980" t="s">
        <v>2267</v>
      </c>
      <c r="B189" s="1980" t="s">
        <v>2268</v>
      </c>
      <c r="C189" s="1980" t="s">
        <v>2334</v>
      </c>
      <c r="D189" s="1980" t="s">
        <v>2323</v>
      </c>
      <c r="E189" s="1980" t="s">
        <v>1083</v>
      </c>
      <c r="F189" s="1985">
        <v>63410.361539999998</v>
      </c>
      <c r="G189" s="1962">
        <v>17180.335110551259</v>
      </c>
      <c r="H189" s="1962">
        <v>4830.5435729937471</v>
      </c>
      <c r="I189" s="1962">
        <v>3432.8062461089503</v>
      </c>
    </row>
    <row r="190" spans="1:9" outlineLevel="2" x14ac:dyDescent="0.2">
      <c r="A190" s="1980" t="s">
        <v>2267</v>
      </c>
      <c r="B190" s="1980" t="s">
        <v>2268</v>
      </c>
      <c r="C190" s="1980" t="s">
        <v>1937</v>
      </c>
      <c r="D190" s="1980" t="s">
        <v>1878</v>
      </c>
      <c r="E190" s="1980" t="s">
        <v>1083</v>
      </c>
      <c r="F190" s="1985">
        <v>282578.66492000001</v>
      </c>
      <c r="G190" s="1962">
        <v>76561.559349497053</v>
      </c>
      <c r="H190" s="1962">
        <v>21526.585254263158</v>
      </c>
      <c r="I190" s="1962">
        <v>15297.780715894405</v>
      </c>
    </row>
    <row r="191" spans="1:9" outlineLevel="2" x14ac:dyDescent="0.2">
      <c r="A191" s="1980" t="s">
        <v>2267</v>
      </c>
      <c r="B191" s="1980" t="s">
        <v>2268</v>
      </c>
      <c r="C191" s="1980" t="s">
        <v>1938</v>
      </c>
      <c r="D191" s="1980" t="s">
        <v>1927</v>
      </c>
      <c r="E191" s="1980" t="s">
        <v>1083</v>
      </c>
      <c r="F191" s="1985">
        <v>387409.87547000003</v>
      </c>
      <c r="G191" s="1962">
        <v>104964.41471182839</v>
      </c>
      <c r="H191" s="1962">
        <v>29512.531368953249</v>
      </c>
      <c r="I191" s="1962">
        <v>20972.96101172343</v>
      </c>
    </row>
    <row r="192" spans="1:9" outlineLevel="2" x14ac:dyDescent="0.2">
      <c r="A192" s="1980" t="s">
        <v>2267</v>
      </c>
      <c r="B192" s="1980" t="s">
        <v>2268</v>
      </c>
      <c r="C192" s="1980" t="s">
        <v>1939</v>
      </c>
      <c r="D192" s="1980" t="s">
        <v>1940</v>
      </c>
      <c r="E192" s="1980" t="s">
        <v>1083</v>
      </c>
      <c r="F192" s="1985">
        <v>2532620.3901900002</v>
      </c>
      <c r="G192" s="1962">
        <v>686185.44279757608</v>
      </c>
      <c r="H192" s="1962">
        <v>192932.71401627184</v>
      </c>
      <c r="I192" s="1962">
        <v>137106.85262349193</v>
      </c>
    </row>
    <row r="193" spans="1:9" outlineLevel="2" x14ac:dyDescent="0.2">
      <c r="A193" s="1980" t="s">
        <v>2267</v>
      </c>
      <c r="B193" s="1980" t="s">
        <v>2268</v>
      </c>
      <c r="C193" s="1980" t="s">
        <v>1941</v>
      </c>
      <c r="D193" s="1980" t="s">
        <v>1942</v>
      </c>
      <c r="E193" s="1980" t="s">
        <v>1083</v>
      </c>
      <c r="F193" s="1985">
        <v>181617.66451999999</v>
      </c>
      <c r="G193" s="1962">
        <v>49207.294559911694</v>
      </c>
      <c r="H193" s="1962">
        <v>13835.468222899215</v>
      </c>
      <c r="I193" s="1962">
        <v>9832.1195152734017</v>
      </c>
    </row>
    <row r="194" spans="1:9" outlineLevel="2" x14ac:dyDescent="0.2">
      <c r="A194" s="1980" t="s">
        <v>2267</v>
      </c>
      <c r="B194" s="1980" t="s">
        <v>2268</v>
      </c>
      <c r="C194" s="1980" t="s">
        <v>1943</v>
      </c>
      <c r="D194" s="1980" t="s">
        <v>1944</v>
      </c>
      <c r="E194" s="1980" t="s">
        <v>1083</v>
      </c>
      <c r="F194" s="1985">
        <v>26422.69974</v>
      </c>
      <c r="G194" s="1962">
        <v>7158.9378302522082</v>
      </c>
      <c r="H194" s="1962">
        <v>2012.8571941619709</v>
      </c>
      <c r="I194" s="1962">
        <v>1430.428821152773</v>
      </c>
    </row>
    <row r="195" spans="1:9" outlineLevel="2" x14ac:dyDescent="0.2">
      <c r="A195" s="1980" t="s">
        <v>2267</v>
      </c>
      <c r="B195" s="1980" t="s">
        <v>2268</v>
      </c>
      <c r="C195" s="1980" t="s">
        <v>1945</v>
      </c>
      <c r="D195" s="1980" t="s">
        <v>1946</v>
      </c>
      <c r="E195" s="1980" t="s">
        <v>1083</v>
      </c>
      <c r="F195" s="1985">
        <v>1529717.8157500001</v>
      </c>
      <c r="G195" s="1962">
        <v>414460.09864787012</v>
      </c>
      <c r="H195" s="1962">
        <v>116532.50957580325</v>
      </c>
      <c r="I195" s="1962">
        <v>82813.356447718834</v>
      </c>
    </row>
    <row r="196" spans="1:9" outlineLevel="2" x14ac:dyDescent="0.2">
      <c r="A196" s="1980" t="s">
        <v>2267</v>
      </c>
      <c r="B196" s="1980" t="s">
        <v>2268</v>
      </c>
      <c r="C196" s="1980" t="s">
        <v>1947</v>
      </c>
      <c r="D196" s="1980" t="s">
        <v>1948</v>
      </c>
      <c r="E196" s="1980" t="s">
        <v>1083</v>
      </c>
      <c r="F196" s="1985">
        <v>1306243.9428399999</v>
      </c>
      <c r="G196" s="1962">
        <v>353912.32803431456</v>
      </c>
      <c r="H196" s="1962">
        <v>99508.473530267365</v>
      </c>
      <c r="I196" s="1962">
        <v>70715.29411000949</v>
      </c>
    </row>
    <row r="197" spans="1:9" outlineLevel="2" x14ac:dyDescent="0.2">
      <c r="A197" s="1980" t="s">
        <v>2267</v>
      </c>
      <c r="B197" s="1980" t="s">
        <v>2268</v>
      </c>
      <c r="C197" s="1980" t="s">
        <v>1949</v>
      </c>
      <c r="D197" s="1980" t="s">
        <v>1950</v>
      </c>
      <c r="E197" s="1980" t="s">
        <v>1083</v>
      </c>
      <c r="F197" s="1985">
        <v>1689786.5589000001</v>
      </c>
      <c r="G197" s="1962">
        <v>457828.95164371689</v>
      </c>
      <c r="H197" s="1962">
        <v>128726.40060057944</v>
      </c>
      <c r="I197" s="1962">
        <v>91478.895768851828</v>
      </c>
    </row>
    <row r="198" spans="1:9" outlineLevel="2" x14ac:dyDescent="0.2">
      <c r="A198" s="1980" t="s">
        <v>2267</v>
      </c>
      <c r="B198" s="1980" t="s">
        <v>2268</v>
      </c>
      <c r="C198" s="1980" t="s">
        <v>1951</v>
      </c>
      <c r="D198" s="1980" t="s">
        <v>1952</v>
      </c>
      <c r="E198" s="1980" t="s">
        <v>1083</v>
      </c>
      <c r="F198" s="1985">
        <v>3884.7502500000001</v>
      </c>
      <c r="G198" s="1962">
        <v>1052.5300517912453</v>
      </c>
      <c r="H198" s="1962">
        <v>295.93673489759055</v>
      </c>
      <c r="I198" s="1962">
        <v>210.30624331578773</v>
      </c>
    </row>
    <row r="199" spans="1:9" outlineLevel="2" x14ac:dyDescent="0.2">
      <c r="A199" s="1980" t="s">
        <v>2267</v>
      </c>
      <c r="B199" s="1980" t="s">
        <v>2268</v>
      </c>
      <c r="C199" s="1980" t="s">
        <v>1953</v>
      </c>
      <c r="D199" s="1980" t="s">
        <v>1954</v>
      </c>
      <c r="E199" s="1980" t="s">
        <v>1083</v>
      </c>
      <c r="F199" s="1985">
        <v>9083.6238099999991</v>
      </c>
      <c r="G199" s="1962">
        <v>2461.1072588750044</v>
      </c>
      <c r="H199" s="1962">
        <v>691.98218633730994</v>
      </c>
      <c r="I199" s="1962">
        <v>491.75434100942329</v>
      </c>
    </row>
    <row r="200" spans="1:9" outlineLevel="2" x14ac:dyDescent="0.2">
      <c r="A200" s="1980" t="s">
        <v>2267</v>
      </c>
      <c r="B200" s="1980" t="s">
        <v>2268</v>
      </c>
      <c r="C200" s="1980" t="s">
        <v>1955</v>
      </c>
      <c r="D200" s="1980" t="s">
        <v>1956</v>
      </c>
      <c r="E200" s="1980" t="s">
        <v>1083</v>
      </c>
      <c r="F200" s="1985">
        <v>12141.46832</v>
      </c>
      <c r="G200" s="1962">
        <v>3289.5963594239715</v>
      </c>
      <c r="H200" s="1962">
        <v>924.92599530261555</v>
      </c>
      <c r="I200" s="1962">
        <v>657.29491637637409</v>
      </c>
    </row>
    <row r="201" spans="1:9" outlineLevel="2" x14ac:dyDescent="0.2">
      <c r="A201" s="1980" t="s">
        <v>2267</v>
      </c>
      <c r="B201" s="1980" t="s">
        <v>2268</v>
      </c>
      <c r="C201" s="1980" t="s">
        <v>2335</v>
      </c>
      <c r="D201" s="1980" t="s">
        <v>2328</v>
      </c>
      <c r="E201" s="1980" t="s">
        <v>919</v>
      </c>
      <c r="F201" s="1985">
        <v>0.71150999999999998</v>
      </c>
      <c r="G201" s="1962">
        <v>0</v>
      </c>
      <c r="H201" s="1962">
        <v>0</v>
      </c>
      <c r="I201" s="1962">
        <v>0.71150999999999998</v>
      </c>
    </row>
    <row r="202" spans="1:9" outlineLevel="2" x14ac:dyDescent="0.2">
      <c r="A202" s="1980" t="s">
        <v>2267</v>
      </c>
      <c r="B202" s="1980" t="s">
        <v>2268</v>
      </c>
      <c r="C202" s="1980" t="s">
        <v>2335</v>
      </c>
      <c r="D202" s="1980" t="s">
        <v>2328</v>
      </c>
      <c r="E202" s="1980" t="s">
        <v>912</v>
      </c>
      <c r="F202" s="1985">
        <v>7.79596</v>
      </c>
      <c r="G202" s="1962">
        <v>7.79596</v>
      </c>
      <c r="H202" s="1962">
        <v>0</v>
      </c>
      <c r="I202" s="1962">
        <v>0</v>
      </c>
    </row>
    <row r="203" spans="1:9" outlineLevel="2" x14ac:dyDescent="0.2">
      <c r="A203" s="1980" t="s">
        <v>2267</v>
      </c>
      <c r="B203" s="1980" t="s">
        <v>2268</v>
      </c>
      <c r="C203" s="1980" t="s">
        <v>2335</v>
      </c>
      <c r="D203" s="1980" t="s">
        <v>2328</v>
      </c>
      <c r="E203" s="1980" t="s">
        <v>920</v>
      </c>
      <c r="F203" s="1985">
        <v>168.32687000000001</v>
      </c>
      <c r="G203" s="1962">
        <v>0</v>
      </c>
      <c r="H203" s="1962">
        <v>0</v>
      </c>
      <c r="I203" s="1962">
        <v>0</v>
      </c>
    </row>
    <row r="204" spans="1:9" outlineLevel="2" x14ac:dyDescent="0.2">
      <c r="A204" s="1980" t="s">
        <v>2267</v>
      </c>
      <c r="B204" s="1980" t="s">
        <v>2268</v>
      </c>
      <c r="C204" s="1980" t="s">
        <v>2335</v>
      </c>
      <c r="D204" s="1980" t="s">
        <v>2328</v>
      </c>
      <c r="E204" s="1980" t="s">
        <v>922</v>
      </c>
      <c r="F204" s="1985">
        <v>4.3268300000000002</v>
      </c>
      <c r="G204" s="1962">
        <v>0</v>
      </c>
      <c r="H204" s="1962">
        <v>0</v>
      </c>
      <c r="I204" s="1962">
        <v>0</v>
      </c>
    </row>
    <row r="205" spans="1:9" outlineLevel="2" x14ac:dyDescent="0.2">
      <c r="A205" s="1980" t="s">
        <v>2267</v>
      </c>
      <c r="B205" s="1980" t="s">
        <v>2268</v>
      </c>
      <c r="C205" s="1980" t="s">
        <v>2335</v>
      </c>
      <c r="D205" s="1980" t="s">
        <v>2328</v>
      </c>
      <c r="E205" s="1980" t="s">
        <v>923</v>
      </c>
      <c r="F205" s="1985">
        <v>1.9599</v>
      </c>
      <c r="G205" s="1962">
        <v>0</v>
      </c>
      <c r="H205" s="1962">
        <v>0</v>
      </c>
      <c r="I205" s="1962">
        <v>0</v>
      </c>
    </row>
    <row r="206" spans="1:9" outlineLevel="2" x14ac:dyDescent="0.2">
      <c r="A206" s="1980" t="s">
        <v>2267</v>
      </c>
      <c r="B206" s="1980" t="s">
        <v>2268</v>
      </c>
      <c r="C206" s="1980" t="s">
        <v>2336</v>
      </c>
      <c r="D206" s="1980" t="s">
        <v>2323</v>
      </c>
      <c r="E206" s="1980" t="s">
        <v>918</v>
      </c>
      <c r="F206" s="1985">
        <v>1605.6573900000001</v>
      </c>
      <c r="G206" s="1962">
        <v>0</v>
      </c>
      <c r="H206" s="1962">
        <v>0</v>
      </c>
      <c r="I206" s="1962">
        <v>0</v>
      </c>
    </row>
    <row r="207" spans="1:9" outlineLevel="2" x14ac:dyDescent="0.2">
      <c r="A207" s="1980" t="s">
        <v>2267</v>
      </c>
      <c r="B207" s="1980" t="s">
        <v>2268</v>
      </c>
      <c r="C207" s="1980" t="s">
        <v>2336</v>
      </c>
      <c r="D207" s="1980" t="s">
        <v>2323</v>
      </c>
      <c r="E207" s="1980" t="s">
        <v>919</v>
      </c>
      <c r="F207" s="1985">
        <v>502.21458999999999</v>
      </c>
      <c r="G207" s="1962">
        <v>0</v>
      </c>
      <c r="H207" s="1962">
        <v>0</v>
      </c>
      <c r="I207" s="1962">
        <v>502.21458999999999</v>
      </c>
    </row>
    <row r="208" spans="1:9" outlineLevel="2" x14ac:dyDescent="0.2">
      <c r="A208" s="1980" t="s">
        <v>2267</v>
      </c>
      <c r="B208" s="1980" t="s">
        <v>2268</v>
      </c>
      <c r="C208" s="1980" t="s">
        <v>2336</v>
      </c>
      <c r="D208" s="1980" t="s">
        <v>2323</v>
      </c>
      <c r="E208" s="1980" t="s">
        <v>912</v>
      </c>
      <c r="F208" s="1985">
        <v>9024.5560800000003</v>
      </c>
      <c r="G208" s="1962">
        <v>9024.5560800000003</v>
      </c>
      <c r="H208" s="1962">
        <v>0</v>
      </c>
      <c r="I208" s="1962">
        <v>0</v>
      </c>
    </row>
    <row r="209" spans="1:9" outlineLevel="2" x14ac:dyDescent="0.2">
      <c r="A209" s="1980" t="s">
        <v>2267</v>
      </c>
      <c r="B209" s="1980" t="s">
        <v>2268</v>
      </c>
      <c r="C209" s="1980" t="s">
        <v>2336</v>
      </c>
      <c r="D209" s="1980" t="s">
        <v>2323</v>
      </c>
      <c r="E209" s="1980" t="s">
        <v>920</v>
      </c>
      <c r="F209" s="1985">
        <v>28153.63019</v>
      </c>
      <c r="G209" s="1962">
        <v>0</v>
      </c>
      <c r="H209" s="1962">
        <v>0</v>
      </c>
      <c r="I209" s="1962">
        <v>0</v>
      </c>
    </row>
    <row r="210" spans="1:9" outlineLevel="2" x14ac:dyDescent="0.2">
      <c r="A210" s="1980" t="s">
        <v>2267</v>
      </c>
      <c r="B210" s="1980" t="s">
        <v>2268</v>
      </c>
      <c r="C210" s="1980" t="s">
        <v>2336</v>
      </c>
      <c r="D210" s="1980" t="s">
        <v>2323</v>
      </c>
      <c r="E210" s="1980" t="s">
        <v>921</v>
      </c>
      <c r="F210" s="1985">
        <v>2208.5533399999999</v>
      </c>
      <c r="G210" s="1962">
        <v>0</v>
      </c>
      <c r="H210" s="1962">
        <v>2208.5533399999999</v>
      </c>
      <c r="I210" s="1962">
        <v>0</v>
      </c>
    </row>
    <row r="211" spans="1:9" outlineLevel="2" x14ac:dyDescent="0.2">
      <c r="A211" s="1980" t="s">
        <v>2267</v>
      </c>
      <c r="B211" s="1980" t="s">
        <v>2268</v>
      </c>
      <c r="C211" s="1980" t="s">
        <v>2336</v>
      </c>
      <c r="D211" s="1980" t="s">
        <v>2323</v>
      </c>
      <c r="E211" s="1980" t="s">
        <v>922</v>
      </c>
      <c r="F211" s="1985">
        <v>847.34610999999995</v>
      </c>
      <c r="G211" s="1962">
        <v>0</v>
      </c>
      <c r="H211" s="1962">
        <v>0</v>
      </c>
      <c r="I211" s="1962">
        <v>0</v>
      </c>
    </row>
    <row r="212" spans="1:9" outlineLevel="2" x14ac:dyDescent="0.2">
      <c r="A212" s="1980" t="s">
        <v>2267</v>
      </c>
      <c r="B212" s="1980" t="s">
        <v>2268</v>
      </c>
      <c r="C212" s="1980" t="s">
        <v>2336</v>
      </c>
      <c r="D212" s="1980" t="s">
        <v>2323</v>
      </c>
      <c r="E212" s="1980" t="s">
        <v>923</v>
      </c>
      <c r="F212" s="1985">
        <v>638.21570999999994</v>
      </c>
      <c r="G212" s="1962">
        <v>0</v>
      </c>
      <c r="H212" s="1962">
        <v>0</v>
      </c>
      <c r="I212" s="1962">
        <v>0</v>
      </c>
    </row>
    <row r="213" spans="1:9" outlineLevel="2" x14ac:dyDescent="0.2">
      <c r="A213" s="1980" t="s">
        <v>2267</v>
      </c>
      <c r="B213" s="1980" t="s">
        <v>2268</v>
      </c>
      <c r="C213" s="1980" t="s">
        <v>1957</v>
      </c>
      <c r="D213" s="1980" t="s">
        <v>1878</v>
      </c>
      <c r="E213" s="1980" t="s">
        <v>918</v>
      </c>
      <c r="F213" s="1985">
        <v>1203.85952</v>
      </c>
      <c r="G213" s="1962">
        <v>0</v>
      </c>
      <c r="H213" s="1962">
        <v>0</v>
      </c>
      <c r="I213" s="1962">
        <v>0</v>
      </c>
    </row>
    <row r="214" spans="1:9" outlineLevel="2" x14ac:dyDescent="0.2">
      <c r="A214" s="1980" t="s">
        <v>2267</v>
      </c>
      <c r="B214" s="1980" t="s">
        <v>2268</v>
      </c>
      <c r="C214" s="1980" t="s">
        <v>1957</v>
      </c>
      <c r="D214" s="1980" t="s">
        <v>1878</v>
      </c>
      <c r="E214" s="1980" t="s">
        <v>919</v>
      </c>
      <c r="F214" s="1985">
        <v>1808.7607700000001</v>
      </c>
      <c r="G214" s="1962">
        <v>0</v>
      </c>
      <c r="H214" s="1962">
        <v>0</v>
      </c>
      <c r="I214" s="1962">
        <v>1808.7607700000001</v>
      </c>
    </row>
    <row r="215" spans="1:9" outlineLevel="2" x14ac:dyDescent="0.2">
      <c r="A215" s="1980" t="s">
        <v>2267</v>
      </c>
      <c r="B215" s="1980" t="s">
        <v>2268</v>
      </c>
      <c r="C215" s="1980" t="s">
        <v>1957</v>
      </c>
      <c r="D215" s="1980" t="s">
        <v>1878</v>
      </c>
      <c r="E215" s="1980" t="s">
        <v>912</v>
      </c>
      <c r="F215" s="1985">
        <v>6441.8962700000002</v>
      </c>
      <c r="G215" s="1962">
        <v>6441.8962700000002</v>
      </c>
      <c r="H215" s="1962">
        <v>0</v>
      </c>
      <c r="I215" s="1962">
        <v>0</v>
      </c>
    </row>
    <row r="216" spans="1:9" outlineLevel="2" x14ac:dyDescent="0.2">
      <c r="A216" s="1980" t="s">
        <v>2267</v>
      </c>
      <c r="B216" s="1980" t="s">
        <v>2268</v>
      </c>
      <c r="C216" s="1980" t="s">
        <v>1957</v>
      </c>
      <c r="D216" s="1980" t="s">
        <v>1878</v>
      </c>
      <c r="E216" s="1980" t="s">
        <v>920</v>
      </c>
      <c r="F216" s="1985">
        <v>12513.514999999999</v>
      </c>
      <c r="G216" s="1962">
        <v>0</v>
      </c>
      <c r="H216" s="1962">
        <v>0</v>
      </c>
      <c r="I216" s="1962">
        <v>0</v>
      </c>
    </row>
    <row r="217" spans="1:9" outlineLevel="2" x14ac:dyDescent="0.2">
      <c r="A217" s="1980" t="s">
        <v>2267</v>
      </c>
      <c r="B217" s="1980" t="s">
        <v>2268</v>
      </c>
      <c r="C217" s="1980" t="s">
        <v>1957</v>
      </c>
      <c r="D217" s="1980" t="s">
        <v>1878</v>
      </c>
      <c r="E217" s="1980" t="s">
        <v>921</v>
      </c>
      <c r="F217" s="1985">
        <v>624.58932000000004</v>
      </c>
      <c r="G217" s="1962">
        <v>0</v>
      </c>
      <c r="H217" s="1962">
        <v>624.58932000000004</v>
      </c>
      <c r="I217" s="1962">
        <v>0</v>
      </c>
    </row>
    <row r="218" spans="1:9" outlineLevel="2" x14ac:dyDescent="0.2">
      <c r="A218" s="1980" t="s">
        <v>2267</v>
      </c>
      <c r="B218" s="1980" t="s">
        <v>2268</v>
      </c>
      <c r="C218" s="1980" t="s">
        <v>1957</v>
      </c>
      <c r="D218" s="1980" t="s">
        <v>1878</v>
      </c>
      <c r="E218" s="1980" t="s">
        <v>922</v>
      </c>
      <c r="F218" s="1985">
        <v>4807.3836000000001</v>
      </c>
      <c r="G218" s="1962">
        <v>0</v>
      </c>
      <c r="H218" s="1962">
        <v>0</v>
      </c>
      <c r="I218" s="1962">
        <v>0</v>
      </c>
    </row>
    <row r="219" spans="1:9" outlineLevel="2" x14ac:dyDescent="0.2">
      <c r="A219" s="1980" t="s">
        <v>2267</v>
      </c>
      <c r="B219" s="1980" t="s">
        <v>2268</v>
      </c>
      <c r="C219" s="1980" t="s">
        <v>1957</v>
      </c>
      <c r="D219" s="1980" t="s">
        <v>1878</v>
      </c>
      <c r="E219" s="1980" t="s">
        <v>923</v>
      </c>
      <c r="F219" s="1985">
        <v>6998.5994300000002</v>
      </c>
      <c r="G219" s="1962">
        <v>0</v>
      </c>
      <c r="H219" s="1962">
        <v>0</v>
      </c>
      <c r="I219" s="1962">
        <v>0</v>
      </c>
    </row>
    <row r="220" spans="1:9" outlineLevel="2" x14ac:dyDescent="0.2">
      <c r="A220" s="1980" t="s">
        <v>2267</v>
      </c>
      <c r="B220" s="1980" t="s">
        <v>2268</v>
      </c>
      <c r="C220" s="1980" t="s">
        <v>1958</v>
      </c>
      <c r="D220" s="1980" t="s">
        <v>1927</v>
      </c>
      <c r="E220" s="1980" t="s">
        <v>918</v>
      </c>
      <c r="F220" s="1985">
        <v>8815.8286900000003</v>
      </c>
      <c r="G220" s="1962">
        <v>0</v>
      </c>
      <c r="H220" s="1962">
        <v>0</v>
      </c>
      <c r="I220" s="1962">
        <v>0</v>
      </c>
    </row>
    <row r="221" spans="1:9" outlineLevel="2" x14ac:dyDescent="0.2">
      <c r="A221" s="1980" t="s">
        <v>2267</v>
      </c>
      <c r="B221" s="1980" t="s">
        <v>2268</v>
      </c>
      <c r="C221" s="1980" t="s">
        <v>1958</v>
      </c>
      <c r="D221" s="1980" t="s">
        <v>1927</v>
      </c>
      <c r="E221" s="1980" t="s">
        <v>919</v>
      </c>
      <c r="F221" s="1985">
        <v>4315.8819000000003</v>
      </c>
      <c r="G221" s="1962">
        <v>0</v>
      </c>
      <c r="H221" s="1962">
        <v>0</v>
      </c>
      <c r="I221" s="1962">
        <v>4315.8819000000003</v>
      </c>
    </row>
    <row r="222" spans="1:9" outlineLevel="2" x14ac:dyDescent="0.2">
      <c r="A222" s="1980" t="s">
        <v>2267</v>
      </c>
      <c r="B222" s="1980" t="s">
        <v>2268</v>
      </c>
      <c r="C222" s="1980" t="s">
        <v>1958</v>
      </c>
      <c r="D222" s="1980" t="s">
        <v>1927</v>
      </c>
      <c r="E222" s="1980" t="s">
        <v>912</v>
      </c>
      <c r="F222" s="1985">
        <v>35144.442219999997</v>
      </c>
      <c r="G222" s="1962">
        <v>35144.442219999997</v>
      </c>
      <c r="H222" s="1962">
        <v>0</v>
      </c>
      <c r="I222" s="1962">
        <v>0</v>
      </c>
    </row>
    <row r="223" spans="1:9" outlineLevel="2" x14ac:dyDescent="0.2">
      <c r="A223" s="1980" t="s">
        <v>2267</v>
      </c>
      <c r="B223" s="1980" t="s">
        <v>2268</v>
      </c>
      <c r="C223" s="1980" t="s">
        <v>1958</v>
      </c>
      <c r="D223" s="1980" t="s">
        <v>1927</v>
      </c>
      <c r="E223" s="1980" t="s">
        <v>920</v>
      </c>
      <c r="F223" s="1985">
        <v>68538.851190000001</v>
      </c>
      <c r="G223" s="1962">
        <v>0</v>
      </c>
      <c r="H223" s="1962">
        <v>0</v>
      </c>
      <c r="I223" s="1962">
        <v>0</v>
      </c>
    </row>
    <row r="224" spans="1:9" outlineLevel="2" x14ac:dyDescent="0.2">
      <c r="A224" s="1980" t="s">
        <v>2267</v>
      </c>
      <c r="B224" s="1980" t="s">
        <v>2268</v>
      </c>
      <c r="C224" s="1980" t="s">
        <v>1958</v>
      </c>
      <c r="D224" s="1980" t="s">
        <v>1927</v>
      </c>
      <c r="E224" s="1980" t="s">
        <v>921</v>
      </c>
      <c r="F224" s="1985">
        <v>9553.2016199999998</v>
      </c>
      <c r="G224" s="1962">
        <v>0</v>
      </c>
      <c r="H224" s="1962">
        <v>9553.2016199999998</v>
      </c>
      <c r="I224" s="1962">
        <v>0</v>
      </c>
    </row>
    <row r="225" spans="1:9" outlineLevel="2" x14ac:dyDescent="0.2">
      <c r="A225" s="1980" t="s">
        <v>2267</v>
      </c>
      <c r="B225" s="1980" t="s">
        <v>2268</v>
      </c>
      <c r="C225" s="1980" t="s">
        <v>1958</v>
      </c>
      <c r="D225" s="1980" t="s">
        <v>1927</v>
      </c>
      <c r="E225" s="1980" t="s">
        <v>922</v>
      </c>
      <c r="F225" s="1985">
        <v>19652.137699999999</v>
      </c>
      <c r="G225" s="1962">
        <v>0</v>
      </c>
      <c r="H225" s="1962">
        <v>0</v>
      </c>
      <c r="I225" s="1962">
        <v>0</v>
      </c>
    </row>
    <row r="226" spans="1:9" outlineLevel="2" x14ac:dyDescent="0.2">
      <c r="A226" s="1980" t="s">
        <v>2267</v>
      </c>
      <c r="B226" s="1980" t="s">
        <v>2268</v>
      </c>
      <c r="C226" s="1980" t="s">
        <v>1958</v>
      </c>
      <c r="D226" s="1980" t="s">
        <v>1927</v>
      </c>
      <c r="E226" s="1980" t="s">
        <v>923</v>
      </c>
      <c r="F226" s="1985">
        <v>5027.2732299999998</v>
      </c>
      <c r="G226" s="1962">
        <v>0</v>
      </c>
      <c r="H226" s="1962">
        <v>0</v>
      </c>
      <c r="I226" s="1962">
        <v>0</v>
      </c>
    </row>
    <row r="227" spans="1:9" outlineLevel="2" x14ac:dyDescent="0.2">
      <c r="A227" s="1980" t="s">
        <v>2267</v>
      </c>
      <c r="B227" s="1980" t="s">
        <v>2268</v>
      </c>
      <c r="C227" s="1980" t="s">
        <v>1959</v>
      </c>
      <c r="D227" s="1980" t="s">
        <v>1940</v>
      </c>
      <c r="E227" s="1980" t="s">
        <v>918</v>
      </c>
      <c r="F227" s="1985">
        <v>45351.845659999999</v>
      </c>
      <c r="G227" s="1962">
        <v>0</v>
      </c>
      <c r="H227" s="1962">
        <v>0</v>
      </c>
      <c r="I227" s="1962">
        <v>0</v>
      </c>
    </row>
    <row r="228" spans="1:9" outlineLevel="2" x14ac:dyDescent="0.2">
      <c r="A228" s="1980" t="s">
        <v>2267</v>
      </c>
      <c r="B228" s="1980" t="s">
        <v>2268</v>
      </c>
      <c r="C228" s="1980" t="s">
        <v>1959</v>
      </c>
      <c r="D228" s="1980" t="s">
        <v>1940</v>
      </c>
      <c r="E228" s="1980" t="s">
        <v>919</v>
      </c>
      <c r="F228" s="1985">
        <v>49507.191409999999</v>
      </c>
      <c r="G228" s="1962">
        <v>0</v>
      </c>
      <c r="H228" s="1962">
        <v>0</v>
      </c>
      <c r="I228" s="1962">
        <v>49507.191409999999</v>
      </c>
    </row>
    <row r="229" spans="1:9" outlineLevel="2" x14ac:dyDescent="0.2">
      <c r="A229" s="1980" t="s">
        <v>2267</v>
      </c>
      <c r="B229" s="1980" t="s">
        <v>2268</v>
      </c>
      <c r="C229" s="1980" t="s">
        <v>1959</v>
      </c>
      <c r="D229" s="1980" t="s">
        <v>1940</v>
      </c>
      <c r="E229" s="1980" t="s">
        <v>912</v>
      </c>
      <c r="F229" s="1985">
        <v>303133.18524999998</v>
      </c>
      <c r="G229" s="1962">
        <v>303133.18524999998</v>
      </c>
      <c r="H229" s="1962">
        <v>0</v>
      </c>
      <c r="I229" s="1962">
        <v>0</v>
      </c>
    </row>
    <row r="230" spans="1:9" outlineLevel="2" x14ac:dyDescent="0.2">
      <c r="A230" s="1980" t="s">
        <v>2267</v>
      </c>
      <c r="B230" s="1980" t="s">
        <v>2268</v>
      </c>
      <c r="C230" s="1980" t="s">
        <v>1959</v>
      </c>
      <c r="D230" s="1980" t="s">
        <v>1940</v>
      </c>
      <c r="E230" s="1980" t="s">
        <v>920</v>
      </c>
      <c r="F230" s="1985">
        <v>599147.74406000006</v>
      </c>
      <c r="G230" s="1962">
        <v>0</v>
      </c>
      <c r="H230" s="1962">
        <v>0</v>
      </c>
      <c r="I230" s="1962">
        <v>0</v>
      </c>
    </row>
    <row r="231" spans="1:9" outlineLevel="2" x14ac:dyDescent="0.2">
      <c r="A231" s="1980" t="s">
        <v>2267</v>
      </c>
      <c r="B231" s="1980" t="s">
        <v>2268</v>
      </c>
      <c r="C231" s="1980" t="s">
        <v>1959</v>
      </c>
      <c r="D231" s="1980" t="s">
        <v>1940</v>
      </c>
      <c r="E231" s="1980" t="s">
        <v>921</v>
      </c>
      <c r="F231" s="1985">
        <v>92894.460649999994</v>
      </c>
      <c r="G231" s="1962">
        <v>0</v>
      </c>
      <c r="H231" s="1962">
        <v>92894.460649999994</v>
      </c>
      <c r="I231" s="1962">
        <v>0</v>
      </c>
    </row>
    <row r="232" spans="1:9" outlineLevel="2" x14ac:dyDescent="0.2">
      <c r="A232" s="1980" t="s">
        <v>2267</v>
      </c>
      <c r="B232" s="1980" t="s">
        <v>2268</v>
      </c>
      <c r="C232" s="1980" t="s">
        <v>1959</v>
      </c>
      <c r="D232" s="1980" t="s">
        <v>1940</v>
      </c>
      <c r="E232" s="1980" t="s">
        <v>922</v>
      </c>
      <c r="F232" s="1985">
        <v>145283.16308</v>
      </c>
      <c r="G232" s="1962">
        <v>0</v>
      </c>
      <c r="H232" s="1962">
        <v>0</v>
      </c>
      <c r="I232" s="1962">
        <v>0</v>
      </c>
    </row>
    <row r="233" spans="1:9" outlineLevel="2" x14ac:dyDescent="0.2">
      <c r="A233" s="1980" t="s">
        <v>2267</v>
      </c>
      <c r="B233" s="1980" t="s">
        <v>2268</v>
      </c>
      <c r="C233" s="1980" t="s">
        <v>1959</v>
      </c>
      <c r="D233" s="1980" t="s">
        <v>1940</v>
      </c>
      <c r="E233" s="1980" t="s">
        <v>923</v>
      </c>
      <c r="F233" s="1985">
        <v>20335.998879999999</v>
      </c>
      <c r="G233" s="1962">
        <v>0</v>
      </c>
      <c r="H233" s="1962">
        <v>0</v>
      </c>
      <c r="I233" s="1962">
        <v>0</v>
      </c>
    </row>
    <row r="234" spans="1:9" outlineLevel="2" x14ac:dyDescent="0.2">
      <c r="A234" s="1980" t="s">
        <v>2267</v>
      </c>
      <c r="B234" s="1980" t="s">
        <v>2268</v>
      </c>
      <c r="C234" s="1980" t="s">
        <v>1960</v>
      </c>
      <c r="D234" s="1980" t="s">
        <v>1944</v>
      </c>
      <c r="E234" s="1980" t="s">
        <v>918</v>
      </c>
      <c r="F234" s="1985">
        <v>914.96613000000002</v>
      </c>
      <c r="G234" s="1962">
        <v>0</v>
      </c>
      <c r="H234" s="1962">
        <v>0</v>
      </c>
      <c r="I234" s="1962">
        <v>0</v>
      </c>
    </row>
    <row r="235" spans="1:9" outlineLevel="2" x14ac:dyDescent="0.2">
      <c r="A235" s="1980" t="s">
        <v>2267</v>
      </c>
      <c r="B235" s="1980" t="s">
        <v>2268</v>
      </c>
      <c r="C235" s="1980" t="s">
        <v>1960</v>
      </c>
      <c r="D235" s="1980" t="s">
        <v>1944</v>
      </c>
      <c r="E235" s="1980" t="s">
        <v>919</v>
      </c>
      <c r="F235" s="1985">
        <v>601.77459999999996</v>
      </c>
      <c r="G235" s="1962">
        <v>0</v>
      </c>
      <c r="H235" s="1962">
        <v>0</v>
      </c>
      <c r="I235" s="1962">
        <v>601.77459999999996</v>
      </c>
    </row>
    <row r="236" spans="1:9" outlineLevel="2" x14ac:dyDescent="0.2">
      <c r="A236" s="1980" t="s">
        <v>2267</v>
      </c>
      <c r="B236" s="1980" t="s">
        <v>2268</v>
      </c>
      <c r="C236" s="1980" t="s">
        <v>1960</v>
      </c>
      <c r="D236" s="1980" t="s">
        <v>1944</v>
      </c>
      <c r="E236" s="1980" t="s">
        <v>912</v>
      </c>
      <c r="F236" s="1985">
        <v>4826.2978700000003</v>
      </c>
      <c r="G236" s="1962">
        <v>4826.2978700000003</v>
      </c>
      <c r="H236" s="1962">
        <v>0</v>
      </c>
      <c r="I236" s="1962">
        <v>0</v>
      </c>
    </row>
    <row r="237" spans="1:9" outlineLevel="2" x14ac:dyDescent="0.2">
      <c r="A237" s="1980" t="s">
        <v>2267</v>
      </c>
      <c r="B237" s="1980" t="s">
        <v>2268</v>
      </c>
      <c r="C237" s="1980" t="s">
        <v>1960</v>
      </c>
      <c r="D237" s="1980" t="s">
        <v>1944</v>
      </c>
      <c r="E237" s="1980" t="s">
        <v>920</v>
      </c>
      <c r="F237" s="1985">
        <v>8014.8150999999998</v>
      </c>
      <c r="G237" s="1962">
        <v>0</v>
      </c>
      <c r="H237" s="1962">
        <v>0</v>
      </c>
      <c r="I237" s="1962">
        <v>0</v>
      </c>
    </row>
    <row r="238" spans="1:9" outlineLevel="2" x14ac:dyDescent="0.2">
      <c r="A238" s="1980" t="s">
        <v>2267</v>
      </c>
      <c r="B238" s="1980" t="s">
        <v>2268</v>
      </c>
      <c r="C238" s="1980" t="s">
        <v>1960</v>
      </c>
      <c r="D238" s="1980" t="s">
        <v>1944</v>
      </c>
      <c r="E238" s="1980" t="s">
        <v>921</v>
      </c>
      <c r="F238" s="1985">
        <v>1674.82178</v>
      </c>
      <c r="G238" s="1962">
        <v>0</v>
      </c>
      <c r="H238" s="1962">
        <v>1674.82178</v>
      </c>
      <c r="I238" s="1962">
        <v>0</v>
      </c>
    </row>
    <row r="239" spans="1:9" outlineLevel="2" x14ac:dyDescent="0.2">
      <c r="A239" s="1980" t="s">
        <v>2267</v>
      </c>
      <c r="B239" s="1980" t="s">
        <v>2268</v>
      </c>
      <c r="C239" s="1980" t="s">
        <v>1960</v>
      </c>
      <c r="D239" s="1980" t="s">
        <v>1944</v>
      </c>
      <c r="E239" s="1980" t="s">
        <v>922</v>
      </c>
      <c r="F239" s="1985">
        <v>2315.0032099999999</v>
      </c>
      <c r="G239" s="1962">
        <v>0</v>
      </c>
      <c r="H239" s="1962">
        <v>0</v>
      </c>
      <c r="I239" s="1962">
        <v>0</v>
      </c>
    </row>
    <row r="240" spans="1:9" outlineLevel="2" x14ac:dyDescent="0.2">
      <c r="A240" s="1980" t="s">
        <v>2267</v>
      </c>
      <c r="B240" s="1980" t="s">
        <v>2268</v>
      </c>
      <c r="C240" s="1980" t="s">
        <v>1960</v>
      </c>
      <c r="D240" s="1980" t="s">
        <v>1944</v>
      </c>
      <c r="E240" s="1980" t="s">
        <v>923</v>
      </c>
      <c r="F240" s="1985">
        <v>338.87615</v>
      </c>
      <c r="G240" s="1962">
        <v>0</v>
      </c>
      <c r="H240" s="1962">
        <v>0</v>
      </c>
      <c r="I240" s="1962">
        <v>0</v>
      </c>
    </row>
    <row r="241" spans="1:9" outlineLevel="2" x14ac:dyDescent="0.2">
      <c r="A241" s="1980" t="s">
        <v>2267</v>
      </c>
      <c r="B241" s="1980" t="s">
        <v>2268</v>
      </c>
      <c r="C241" s="1980" t="s">
        <v>1961</v>
      </c>
      <c r="D241" s="1980" t="s">
        <v>1962</v>
      </c>
      <c r="E241" s="1980" t="s">
        <v>918</v>
      </c>
      <c r="F241" s="1985">
        <v>122290.77827</v>
      </c>
      <c r="G241" s="1962">
        <v>0</v>
      </c>
      <c r="H241" s="1962">
        <v>0</v>
      </c>
      <c r="I241" s="1962">
        <v>0</v>
      </c>
    </row>
    <row r="242" spans="1:9" outlineLevel="2" x14ac:dyDescent="0.2">
      <c r="A242" s="1980" t="s">
        <v>2267</v>
      </c>
      <c r="B242" s="1980" t="s">
        <v>2268</v>
      </c>
      <c r="C242" s="1980" t="s">
        <v>1961</v>
      </c>
      <c r="D242" s="1980" t="s">
        <v>1962</v>
      </c>
      <c r="E242" s="1980" t="s">
        <v>919</v>
      </c>
      <c r="F242" s="1985">
        <v>113199.85759</v>
      </c>
      <c r="G242" s="1962">
        <v>0</v>
      </c>
      <c r="H242" s="1962">
        <v>0</v>
      </c>
      <c r="I242" s="1962">
        <v>113199.85759</v>
      </c>
    </row>
    <row r="243" spans="1:9" outlineLevel="2" x14ac:dyDescent="0.2">
      <c r="A243" s="1980" t="s">
        <v>2267</v>
      </c>
      <c r="B243" s="1980" t="s">
        <v>2268</v>
      </c>
      <c r="C243" s="1980" t="s">
        <v>1961</v>
      </c>
      <c r="D243" s="1980" t="s">
        <v>1962</v>
      </c>
      <c r="E243" s="1980" t="s">
        <v>912</v>
      </c>
      <c r="F243" s="1985">
        <v>533268.78705000004</v>
      </c>
      <c r="G243" s="1962">
        <v>533268.78705000004</v>
      </c>
      <c r="H243" s="1962">
        <v>0</v>
      </c>
      <c r="I243" s="1962">
        <v>0</v>
      </c>
    </row>
    <row r="244" spans="1:9" outlineLevel="2" x14ac:dyDescent="0.2">
      <c r="A244" s="1980" t="s">
        <v>2267</v>
      </c>
      <c r="B244" s="1980" t="s">
        <v>2268</v>
      </c>
      <c r="C244" s="1980" t="s">
        <v>1961</v>
      </c>
      <c r="D244" s="1980" t="s">
        <v>1962</v>
      </c>
      <c r="E244" s="1980" t="s">
        <v>920</v>
      </c>
      <c r="F244" s="1985">
        <v>495642.29035000002</v>
      </c>
      <c r="G244" s="1962">
        <v>0</v>
      </c>
      <c r="H244" s="1962">
        <v>0</v>
      </c>
      <c r="I244" s="1962">
        <v>0</v>
      </c>
    </row>
    <row r="245" spans="1:9" outlineLevel="2" x14ac:dyDescent="0.2">
      <c r="A245" s="1980" t="s">
        <v>2267</v>
      </c>
      <c r="B245" s="1980" t="s">
        <v>2268</v>
      </c>
      <c r="C245" s="1980" t="s">
        <v>1961</v>
      </c>
      <c r="D245" s="1980" t="s">
        <v>1962</v>
      </c>
      <c r="E245" s="1980" t="s">
        <v>921</v>
      </c>
      <c r="F245" s="1985">
        <v>137767.28883</v>
      </c>
      <c r="G245" s="1962">
        <v>0</v>
      </c>
      <c r="H245" s="1962">
        <v>137767.28883</v>
      </c>
      <c r="I245" s="1962">
        <v>0</v>
      </c>
    </row>
    <row r="246" spans="1:9" outlineLevel="2" x14ac:dyDescent="0.2">
      <c r="A246" s="1980" t="s">
        <v>2267</v>
      </c>
      <c r="B246" s="1980" t="s">
        <v>2268</v>
      </c>
      <c r="C246" s="1980" t="s">
        <v>1961</v>
      </c>
      <c r="D246" s="1980" t="s">
        <v>1962</v>
      </c>
      <c r="E246" s="1980" t="s">
        <v>922</v>
      </c>
      <c r="F246" s="1985">
        <v>163980.55707000001</v>
      </c>
      <c r="G246" s="1962">
        <v>0</v>
      </c>
      <c r="H246" s="1962">
        <v>0</v>
      </c>
      <c r="I246" s="1962">
        <v>0</v>
      </c>
    </row>
    <row r="247" spans="1:9" outlineLevel="2" x14ac:dyDescent="0.2">
      <c r="A247" s="1980" t="s">
        <v>2267</v>
      </c>
      <c r="B247" s="1980" t="s">
        <v>2268</v>
      </c>
      <c r="C247" s="1980" t="s">
        <v>1961</v>
      </c>
      <c r="D247" s="1980" t="s">
        <v>1962</v>
      </c>
      <c r="E247" s="1980" t="s">
        <v>923</v>
      </c>
      <c r="F247" s="1985">
        <v>32741.57777</v>
      </c>
      <c r="G247" s="1962">
        <v>0</v>
      </c>
      <c r="H247" s="1962">
        <v>0</v>
      </c>
      <c r="I247" s="1962">
        <v>0</v>
      </c>
    </row>
    <row r="248" spans="1:9" outlineLevel="2" x14ac:dyDescent="0.2">
      <c r="A248" s="1980" t="s">
        <v>2267</v>
      </c>
      <c r="B248" s="1980" t="s">
        <v>2268</v>
      </c>
      <c r="C248" s="1980" t="s">
        <v>1963</v>
      </c>
      <c r="D248" s="1980" t="s">
        <v>1950</v>
      </c>
      <c r="E248" s="1980" t="s">
        <v>918</v>
      </c>
      <c r="F248" s="1985">
        <v>88636.007209999996</v>
      </c>
      <c r="G248" s="1962">
        <v>0</v>
      </c>
      <c r="H248" s="1962">
        <v>0</v>
      </c>
      <c r="I248" s="1962">
        <v>0</v>
      </c>
    </row>
    <row r="249" spans="1:9" outlineLevel="2" x14ac:dyDescent="0.2">
      <c r="A249" s="1980" t="s">
        <v>2267</v>
      </c>
      <c r="B249" s="1980" t="s">
        <v>2268</v>
      </c>
      <c r="C249" s="1980" t="s">
        <v>1963</v>
      </c>
      <c r="D249" s="1980" t="s">
        <v>1950</v>
      </c>
      <c r="E249" s="1980" t="s">
        <v>919</v>
      </c>
      <c r="F249" s="1985">
        <v>48885.64013</v>
      </c>
      <c r="G249" s="1962">
        <v>0</v>
      </c>
      <c r="H249" s="1962">
        <v>0</v>
      </c>
      <c r="I249" s="1962">
        <v>48885.64013</v>
      </c>
    </row>
    <row r="250" spans="1:9" outlineLevel="2" x14ac:dyDescent="0.2">
      <c r="A250" s="1980" t="s">
        <v>2267</v>
      </c>
      <c r="B250" s="1980" t="s">
        <v>2268</v>
      </c>
      <c r="C250" s="1980" t="s">
        <v>1963</v>
      </c>
      <c r="D250" s="1980" t="s">
        <v>1950</v>
      </c>
      <c r="E250" s="1980" t="s">
        <v>912</v>
      </c>
      <c r="F250" s="1985">
        <v>346165.2561</v>
      </c>
      <c r="G250" s="1962">
        <v>346165.2561</v>
      </c>
      <c r="H250" s="1962">
        <v>0</v>
      </c>
      <c r="I250" s="1962">
        <v>0</v>
      </c>
    </row>
    <row r="251" spans="1:9" outlineLevel="2" x14ac:dyDescent="0.2">
      <c r="A251" s="1980" t="s">
        <v>2267</v>
      </c>
      <c r="B251" s="1980" t="s">
        <v>2268</v>
      </c>
      <c r="C251" s="1980" t="s">
        <v>1963</v>
      </c>
      <c r="D251" s="1980" t="s">
        <v>1950</v>
      </c>
      <c r="E251" s="1980" t="s">
        <v>920</v>
      </c>
      <c r="F251" s="1985">
        <v>306009.21789999999</v>
      </c>
      <c r="G251" s="1962">
        <v>0</v>
      </c>
      <c r="H251" s="1962">
        <v>0</v>
      </c>
      <c r="I251" s="1962">
        <v>0</v>
      </c>
    </row>
    <row r="252" spans="1:9" outlineLevel="2" x14ac:dyDescent="0.2">
      <c r="A252" s="1980" t="s">
        <v>2267</v>
      </c>
      <c r="B252" s="1980" t="s">
        <v>2268</v>
      </c>
      <c r="C252" s="1980" t="s">
        <v>1963</v>
      </c>
      <c r="D252" s="1980" t="s">
        <v>1950</v>
      </c>
      <c r="E252" s="1980" t="s">
        <v>921</v>
      </c>
      <c r="F252" s="1985">
        <v>98031.415850000005</v>
      </c>
      <c r="G252" s="1962">
        <v>0</v>
      </c>
      <c r="H252" s="1962">
        <v>98031.415850000005</v>
      </c>
      <c r="I252" s="1962">
        <v>0</v>
      </c>
    </row>
    <row r="253" spans="1:9" outlineLevel="2" x14ac:dyDescent="0.2">
      <c r="A253" s="1980" t="s">
        <v>2267</v>
      </c>
      <c r="B253" s="1980" t="s">
        <v>2268</v>
      </c>
      <c r="C253" s="1980" t="s">
        <v>1963</v>
      </c>
      <c r="D253" s="1980" t="s">
        <v>1950</v>
      </c>
      <c r="E253" s="1980" t="s">
        <v>922</v>
      </c>
      <c r="F253" s="1985">
        <v>120613.63433</v>
      </c>
      <c r="G253" s="1962">
        <v>0</v>
      </c>
      <c r="H253" s="1962">
        <v>0</v>
      </c>
      <c r="I253" s="1962">
        <v>0</v>
      </c>
    </row>
    <row r="254" spans="1:9" outlineLevel="2" x14ac:dyDescent="0.2">
      <c r="A254" s="1980" t="s">
        <v>2267</v>
      </c>
      <c r="B254" s="1980" t="s">
        <v>2268</v>
      </c>
      <c r="C254" s="1980" t="s">
        <v>1963</v>
      </c>
      <c r="D254" s="1980" t="s">
        <v>1950</v>
      </c>
      <c r="E254" s="1980" t="s">
        <v>923</v>
      </c>
      <c r="F254" s="1985">
        <v>15702.15114</v>
      </c>
      <c r="G254" s="1962">
        <v>0</v>
      </c>
      <c r="H254" s="1962">
        <v>0</v>
      </c>
      <c r="I254" s="1962">
        <v>0</v>
      </c>
    </row>
    <row r="255" spans="1:9" outlineLevel="2" x14ac:dyDescent="0.2">
      <c r="A255" s="1980" t="s">
        <v>2267</v>
      </c>
      <c r="B255" s="1980" t="s">
        <v>2268</v>
      </c>
      <c r="C255" s="1980" t="s">
        <v>1964</v>
      </c>
      <c r="D255" s="1980" t="s">
        <v>1952</v>
      </c>
      <c r="E255" s="1980" t="s">
        <v>918</v>
      </c>
      <c r="F255" s="1985">
        <v>21042.040580000001</v>
      </c>
      <c r="G255" s="1962">
        <v>0</v>
      </c>
      <c r="H255" s="1962">
        <v>0</v>
      </c>
      <c r="I255" s="1962">
        <v>0</v>
      </c>
    </row>
    <row r="256" spans="1:9" outlineLevel="2" x14ac:dyDescent="0.2">
      <c r="A256" s="1980" t="s">
        <v>2267</v>
      </c>
      <c r="B256" s="1980" t="s">
        <v>2268</v>
      </c>
      <c r="C256" s="1980" t="s">
        <v>1964</v>
      </c>
      <c r="D256" s="1980" t="s">
        <v>1952</v>
      </c>
      <c r="E256" s="1980" t="s">
        <v>919</v>
      </c>
      <c r="F256" s="1985">
        <v>14987.710220000001</v>
      </c>
      <c r="G256" s="1962">
        <v>0</v>
      </c>
      <c r="H256" s="1962">
        <v>0</v>
      </c>
      <c r="I256" s="1962">
        <v>14987.710220000001</v>
      </c>
    </row>
    <row r="257" spans="1:9" outlineLevel="2" x14ac:dyDescent="0.2">
      <c r="A257" s="1980" t="s">
        <v>2267</v>
      </c>
      <c r="B257" s="1980" t="s">
        <v>2268</v>
      </c>
      <c r="C257" s="1980" t="s">
        <v>1964</v>
      </c>
      <c r="D257" s="1980" t="s">
        <v>1952</v>
      </c>
      <c r="E257" s="1980" t="s">
        <v>912</v>
      </c>
      <c r="F257" s="1985">
        <v>123753.6303</v>
      </c>
      <c r="G257" s="1962">
        <v>123753.6303</v>
      </c>
      <c r="H257" s="1962">
        <v>0</v>
      </c>
      <c r="I257" s="1962">
        <v>0</v>
      </c>
    </row>
    <row r="258" spans="1:9" outlineLevel="2" x14ac:dyDescent="0.2">
      <c r="A258" s="1980" t="s">
        <v>2267</v>
      </c>
      <c r="B258" s="1980" t="s">
        <v>2268</v>
      </c>
      <c r="C258" s="1980" t="s">
        <v>1964</v>
      </c>
      <c r="D258" s="1980" t="s">
        <v>1952</v>
      </c>
      <c r="E258" s="1980" t="s">
        <v>920</v>
      </c>
      <c r="F258" s="1985">
        <v>283423.71674</v>
      </c>
      <c r="G258" s="1962">
        <v>0</v>
      </c>
      <c r="H258" s="1962">
        <v>0</v>
      </c>
      <c r="I258" s="1962">
        <v>0</v>
      </c>
    </row>
    <row r="259" spans="1:9" outlineLevel="2" x14ac:dyDescent="0.2">
      <c r="A259" s="1980" t="s">
        <v>2267</v>
      </c>
      <c r="B259" s="1980" t="s">
        <v>2268</v>
      </c>
      <c r="C259" s="1980" t="s">
        <v>1964</v>
      </c>
      <c r="D259" s="1980" t="s">
        <v>1952</v>
      </c>
      <c r="E259" s="1980" t="s">
        <v>921</v>
      </c>
      <c r="F259" s="1985">
        <v>25538.8004</v>
      </c>
      <c r="G259" s="1962">
        <v>0</v>
      </c>
      <c r="H259" s="1962">
        <v>25538.8004</v>
      </c>
      <c r="I259" s="1962">
        <v>0</v>
      </c>
    </row>
    <row r="260" spans="1:9" outlineLevel="2" x14ac:dyDescent="0.2">
      <c r="A260" s="1980" t="s">
        <v>2267</v>
      </c>
      <c r="B260" s="1980" t="s">
        <v>2268</v>
      </c>
      <c r="C260" s="1980" t="s">
        <v>1964</v>
      </c>
      <c r="D260" s="1980" t="s">
        <v>1952</v>
      </c>
      <c r="E260" s="1980" t="s">
        <v>922</v>
      </c>
      <c r="F260" s="1985">
        <v>31987.856690000001</v>
      </c>
      <c r="G260" s="1962">
        <v>0</v>
      </c>
      <c r="H260" s="1962">
        <v>0</v>
      </c>
      <c r="I260" s="1962">
        <v>0</v>
      </c>
    </row>
    <row r="261" spans="1:9" outlineLevel="2" x14ac:dyDescent="0.2">
      <c r="A261" s="1980" t="s">
        <v>2267</v>
      </c>
      <c r="B261" s="1980" t="s">
        <v>2268</v>
      </c>
      <c r="C261" s="1980" t="s">
        <v>1964</v>
      </c>
      <c r="D261" s="1980" t="s">
        <v>1952</v>
      </c>
      <c r="E261" s="1980" t="s">
        <v>923</v>
      </c>
      <c r="F261" s="1985">
        <v>5615.0474599999998</v>
      </c>
      <c r="G261" s="1962">
        <v>0</v>
      </c>
      <c r="H261" s="1962">
        <v>0</v>
      </c>
      <c r="I261" s="1962">
        <v>0</v>
      </c>
    </row>
    <row r="262" spans="1:9" outlineLevel="2" x14ac:dyDescent="0.2">
      <c r="A262" s="1980" t="s">
        <v>2267</v>
      </c>
      <c r="B262" s="1980" t="s">
        <v>2268</v>
      </c>
      <c r="C262" s="1980" t="s">
        <v>1965</v>
      </c>
      <c r="D262" s="1980" t="s">
        <v>1954</v>
      </c>
      <c r="E262" s="1980" t="s">
        <v>918</v>
      </c>
      <c r="F262" s="1985">
        <v>22769.255280000001</v>
      </c>
      <c r="G262" s="1962">
        <v>0</v>
      </c>
      <c r="H262" s="1962">
        <v>0</v>
      </c>
      <c r="I262" s="1962">
        <v>0</v>
      </c>
    </row>
    <row r="263" spans="1:9" outlineLevel="2" x14ac:dyDescent="0.2">
      <c r="A263" s="1980" t="s">
        <v>2267</v>
      </c>
      <c r="B263" s="1980" t="s">
        <v>2268</v>
      </c>
      <c r="C263" s="1980" t="s">
        <v>1965</v>
      </c>
      <c r="D263" s="1980" t="s">
        <v>1954</v>
      </c>
      <c r="E263" s="1980" t="s">
        <v>919</v>
      </c>
      <c r="F263" s="1985">
        <v>37418.227299999999</v>
      </c>
      <c r="G263" s="1962">
        <v>0</v>
      </c>
      <c r="H263" s="1962">
        <v>0</v>
      </c>
      <c r="I263" s="1962">
        <v>37418.227299999999</v>
      </c>
    </row>
    <row r="264" spans="1:9" outlineLevel="2" x14ac:dyDescent="0.2">
      <c r="A264" s="1980" t="s">
        <v>2267</v>
      </c>
      <c r="B264" s="1980" t="s">
        <v>2268</v>
      </c>
      <c r="C264" s="1980" t="s">
        <v>1965</v>
      </c>
      <c r="D264" s="1980" t="s">
        <v>1954</v>
      </c>
      <c r="E264" s="1980" t="s">
        <v>912</v>
      </c>
      <c r="F264" s="1985">
        <v>242556.50081999999</v>
      </c>
      <c r="G264" s="1962">
        <v>242556.50081999999</v>
      </c>
      <c r="H264" s="1962">
        <v>0</v>
      </c>
      <c r="I264" s="1962">
        <v>0</v>
      </c>
    </row>
    <row r="265" spans="1:9" outlineLevel="2" x14ac:dyDescent="0.2">
      <c r="A265" s="1980" t="s">
        <v>2267</v>
      </c>
      <c r="B265" s="1980" t="s">
        <v>2268</v>
      </c>
      <c r="C265" s="1980" t="s">
        <v>1965</v>
      </c>
      <c r="D265" s="1980" t="s">
        <v>1954</v>
      </c>
      <c r="E265" s="1980" t="s">
        <v>920</v>
      </c>
      <c r="F265" s="1985">
        <v>735312.65220999997</v>
      </c>
      <c r="G265" s="1962">
        <v>0</v>
      </c>
      <c r="H265" s="1962">
        <v>0</v>
      </c>
      <c r="I265" s="1962">
        <v>0</v>
      </c>
    </row>
    <row r="266" spans="1:9" outlineLevel="2" x14ac:dyDescent="0.2">
      <c r="A266" s="1980" t="s">
        <v>2267</v>
      </c>
      <c r="B266" s="1980" t="s">
        <v>2268</v>
      </c>
      <c r="C266" s="1980" t="s">
        <v>1965</v>
      </c>
      <c r="D266" s="1980" t="s">
        <v>1954</v>
      </c>
      <c r="E266" s="1980" t="s">
        <v>921</v>
      </c>
      <c r="F266" s="1985">
        <v>38026.263610000002</v>
      </c>
      <c r="G266" s="1962">
        <v>0</v>
      </c>
      <c r="H266" s="1962">
        <v>38026.263610000002</v>
      </c>
      <c r="I266" s="1962">
        <v>0</v>
      </c>
    </row>
    <row r="267" spans="1:9" outlineLevel="2" x14ac:dyDescent="0.2">
      <c r="A267" s="1980" t="s">
        <v>2267</v>
      </c>
      <c r="B267" s="1980" t="s">
        <v>2268</v>
      </c>
      <c r="C267" s="1980" t="s">
        <v>1965</v>
      </c>
      <c r="D267" s="1980" t="s">
        <v>1954</v>
      </c>
      <c r="E267" s="1980" t="s">
        <v>922</v>
      </c>
      <c r="F267" s="1985">
        <v>54663.706960000003</v>
      </c>
      <c r="G267" s="1962">
        <v>0</v>
      </c>
      <c r="H267" s="1962">
        <v>0</v>
      </c>
      <c r="I267" s="1962">
        <v>0</v>
      </c>
    </row>
    <row r="268" spans="1:9" outlineLevel="2" x14ac:dyDescent="0.2">
      <c r="A268" s="1980" t="s">
        <v>2267</v>
      </c>
      <c r="B268" s="1980" t="s">
        <v>2268</v>
      </c>
      <c r="C268" s="1980" t="s">
        <v>1965</v>
      </c>
      <c r="D268" s="1980" t="s">
        <v>1954</v>
      </c>
      <c r="E268" s="1980" t="s">
        <v>923</v>
      </c>
      <c r="F268" s="1985">
        <v>19838.183550000002</v>
      </c>
      <c r="G268" s="1962">
        <v>0</v>
      </c>
      <c r="H268" s="1962">
        <v>0</v>
      </c>
      <c r="I268" s="1962">
        <v>0</v>
      </c>
    </row>
    <row r="269" spans="1:9" outlineLevel="2" x14ac:dyDescent="0.2">
      <c r="A269" s="1980" t="s">
        <v>2267</v>
      </c>
      <c r="B269" s="1980" t="s">
        <v>2268</v>
      </c>
      <c r="C269" s="1980" t="s">
        <v>1966</v>
      </c>
      <c r="D269" s="1980" t="s">
        <v>1967</v>
      </c>
      <c r="E269" s="1980" t="s">
        <v>918</v>
      </c>
      <c r="F269" s="1985">
        <v>61492.819779999998</v>
      </c>
      <c r="G269" s="1962">
        <v>0</v>
      </c>
      <c r="H269" s="1962">
        <v>0</v>
      </c>
      <c r="I269" s="1962">
        <v>0</v>
      </c>
    </row>
    <row r="270" spans="1:9" outlineLevel="2" x14ac:dyDescent="0.2">
      <c r="A270" s="1980" t="s">
        <v>2267</v>
      </c>
      <c r="B270" s="1980" t="s">
        <v>2268</v>
      </c>
      <c r="C270" s="1980" t="s">
        <v>1966</v>
      </c>
      <c r="D270" s="1980" t="s">
        <v>1967</v>
      </c>
      <c r="E270" s="1980" t="s">
        <v>919</v>
      </c>
      <c r="F270" s="1985">
        <v>96909.676479999995</v>
      </c>
      <c r="G270" s="1962">
        <v>0</v>
      </c>
      <c r="H270" s="1962">
        <v>0</v>
      </c>
      <c r="I270" s="1962">
        <v>96909.676479999995</v>
      </c>
    </row>
    <row r="271" spans="1:9" outlineLevel="2" x14ac:dyDescent="0.2">
      <c r="A271" s="1980" t="s">
        <v>2267</v>
      </c>
      <c r="B271" s="1980" t="s">
        <v>2268</v>
      </c>
      <c r="C271" s="1980" t="s">
        <v>1966</v>
      </c>
      <c r="D271" s="1980" t="s">
        <v>1967</v>
      </c>
      <c r="E271" s="1980" t="s">
        <v>912</v>
      </c>
      <c r="F271" s="1985">
        <v>539636.84947000002</v>
      </c>
      <c r="G271" s="1962">
        <v>539636.84947000002</v>
      </c>
      <c r="H271" s="1962">
        <v>0</v>
      </c>
      <c r="I271" s="1962">
        <v>0</v>
      </c>
    </row>
    <row r="272" spans="1:9" outlineLevel="2" x14ac:dyDescent="0.2">
      <c r="A272" s="1980" t="s">
        <v>2267</v>
      </c>
      <c r="B272" s="1980" t="s">
        <v>2268</v>
      </c>
      <c r="C272" s="1980" t="s">
        <v>1966</v>
      </c>
      <c r="D272" s="1980" t="s">
        <v>1967</v>
      </c>
      <c r="E272" s="1980" t="s">
        <v>920</v>
      </c>
      <c r="F272" s="1985">
        <v>683222.36815999995</v>
      </c>
      <c r="G272" s="1962">
        <v>0</v>
      </c>
      <c r="H272" s="1962">
        <v>0</v>
      </c>
      <c r="I272" s="1962">
        <v>0</v>
      </c>
    </row>
    <row r="273" spans="1:9" outlineLevel="2" x14ac:dyDescent="0.2">
      <c r="A273" s="1980" t="s">
        <v>2267</v>
      </c>
      <c r="B273" s="1980" t="s">
        <v>2268</v>
      </c>
      <c r="C273" s="1980" t="s">
        <v>1966</v>
      </c>
      <c r="D273" s="1980" t="s">
        <v>1967</v>
      </c>
      <c r="E273" s="1980" t="s">
        <v>921</v>
      </c>
      <c r="F273" s="1985">
        <v>133240.04853</v>
      </c>
      <c r="G273" s="1962">
        <v>0</v>
      </c>
      <c r="H273" s="1962">
        <v>133240.04853</v>
      </c>
      <c r="I273" s="1962">
        <v>0</v>
      </c>
    </row>
    <row r="274" spans="1:9" outlineLevel="2" x14ac:dyDescent="0.2">
      <c r="A274" s="1980" t="s">
        <v>2267</v>
      </c>
      <c r="B274" s="1980" t="s">
        <v>2268</v>
      </c>
      <c r="C274" s="1980" t="s">
        <v>1966</v>
      </c>
      <c r="D274" s="1980" t="s">
        <v>1967</v>
      </c>
      <c r="E274" s="1980" t="s">
        <v>922</v>
      </c>
      <c r="F274" s="1985">
        <v>122475.56436999999</v>
      </c>
      <c r="G274" s="1962">
        <v>0</v>
      </c>
      <c r="H274" s="1962">
        <v>0</v>
      </c>
      <c r="I274" s="1962">
        <v>0</v>
      </c>
    </row>
    <row r="275" spans="1:9" outlineLevel="2" x14ac:dyDescent="0.2">
      <c r="A275" s="1980" t="s">
        <v>2267</v>
      </c>
      <c r="B275" s="1980" t="s">
        <v>2268</v>
      </c>
      <c r="C275" s="1980" t="s">
        <v>1966</v>
      </c>
      <c r="D275" s="1980" t="s">
        <v>1967</v>
      </c>
      <c r="E275" s="1980" t="s">
        <v>923</v>
      </c>
      <c r="F275" s="1985">
        <v>17042.614740000001</v>
      </c>
      <c r="G275" s="1962">
        <v>0</v>
      </c>
      <c r="H275" s="1962">
        <v>0</v>
      </c>
      <c r="I275" s="1962">
        <v>0</v>
      </c>
    </row>
    <row r="276" spans="1:9" outlineLevel="2" x14ac:dyDescent="0.2">
      <c r="A276" s="1980" t="s">
        <v>2267</v>
      </c>
      <c r="B276" s="1980" t="s">
        <v>2268</v>
      </c>
      <c r="C276" s="1980" t="s">
        <v>5718</v>
      </c>
      <c r="D276" s="1980" t="s">
        <v>1968</v>
      </c>
      <c r="E276" s="1980" t="s">
        <v>918</v>
      </c>
      <c r="F276" s="1985">
        <v>12275.16734</v>
      </c>
      <c r="G276" s="1962">
        <v>0</v>
      </c>
      <c r="H276" s="1962">
        <v>0</v>
      </c>
      <c r="I276" s="1962">
        <v>0</v>
      </c>
    </row>
    <row r="277" spans="1:9" outlineLevel="2" x14ac:dyDescent="0.2">
      <c r="A277" s="1980" t="s">
        <v>2267</v>
      </c>
      <c r="B277" s="1980" t="s">
        <v>2268</v>
      </c>
      <c r="C277" s="1980" t="s">
        <v>5718</v>
      </c>
      <c r="D277" s="1980" t="s">
        <v>1968</v>
      </c>
      <c r="E277" s="1980" t="s">
        <v>919</v>
      </c>
      <c r="F277" s="1985">
        <v>10588.84836</v>
      </c>
      <c r="G277" s="1962">
        <v>0</v>
      </c>
      <c r="H277" s="1962">
        <v>0</v>
      </c>
      <c r="I277" s="1962">
        <v>10588.84836</v>
      </c>
    </row>
    <row r="278" spans="1:9" outlineLevel="2" x14ac:dyDescent="0.2">
      <c r="A278" s="1980" t="s">
        <v>2267</v>
      </c>
      <c r="B278" s="1980" t="s">
        <v>2268</v>
      </c>
      <c r="C278" s="1980" t="s">
        <v>5718</v>
      </c>
      <c r="D278" s="1980" t="s">
        <v>1968</v>
      </c>
      <c r="E278" s="1980" t="s">
        <v>912</v>
      </c>
      <c r="F278" s="1985">
        <v>120260.2213</v>
      </c>
      <c r="G278" s="1962">
        <v>120260.2213</v>
      </c>
      <c r="H278" s="1962">
        <v>0</v>
      </c>
      <c r="I278" s="1962">
        <v>0</v>
      </c>
    </row>
    <row r="279" spans="1:9" outlineLevel="2" x14ac:dyDescent="0.2">
      <c r="A279" s="1980" t="s">
        <v>2267</v>
      </c>
      <c r="B279" s="1980" t="s">
        <v>2268</v>
      </c>
      <c r="C279" s="1980" t="s">
        <v>5718</v>
      </c>
      <c r="D279" s="1980" t="s">
        <v>1968</v>
      </c>
      <c r="E279" s="1980" t="s">
        <v>920</v>
      </c>
      <c r="F279" s="1985">
        <v>111752.33504999999</v>
      </c>
      <c r="G279" s="1962">
        <v>0</v>
      </c>
      <c r="H279" s="1962">
        <v>0</v>
      </c>
      <c r="I279" s="1962">
        <v>0</v>
      </c>
    </row>
    <row r="280" spans="1:9" outlineLevel="2" x14ac:dyDescent="0.2">
      <c r="A280" s="1980" t="s">
        <v>2267</v>
      </c>
      <c r="B280" s="1980" t="s">
        <v>2268</v>
      </c>
      <c r="C280" s="1980" t="s">
        <v>5718</v>
      </c>
      <c r="D280" s="1980" t="s">
        <v>1968</v>
      </c>
      <c r="E280" s="1980" t="s">
        <v>921</v>
      </c>
      <c r="F280" s="1985">
        <v>28858.639019999999</v>
      </c>
      <c r="G280" s="1962">
        <v>0</v>
      </c>
      <c r="H280" s="1962">
        <v>28858.639019999999</v>
      </c>
      <c r="I280" s="1962">
        <v>0</v>
      </c>
    </row>
    <row r="281" spans="1:9" outlineLevel="2" x14ac:dyDescent="0.2">
      <c r="A281" s="1980" t="s">
        <v>2267</v>
      </c>
      <c r="B281" s="1980" t="s">
        <v>2268</v>
      </c>
      <c r="C281" s="1980" t="s">
        <v>5718</v>
      </c>
      <c r="D281" s="1980" t="s">
        <v>1968</v>
      </c>
      <c r="E281" s="1980" t="s">
        <v>922</v>
      </c>
      <c r="F281" s="1985">
        <v>21429.92181</v>
      </c>
      <c r="G281" s="1962">
        <v>0</v>
      </c>
      <c r="H281" s="1962">
        <v>0</v>
      </c>
      <c r="I281" s="1962">
        <v>0</v>
      </c>
    </row>
    <row r="282" spans="1:9" outlineLevel="2" x14ac:dyDescent="0.2">
      <c r="A282" s="1980" t="s">
        <v>2267</v>
      </c>
      <c r="B282" s="1980" t="s">
        <v>2268</v>
      </c>
      <c r="C282" s="1980" t="s">
        <v>5718</v>
      </c>
      <c r="D282" s="1980" t="s">
        <v>1968</v>
      </c>
      <c r="E282" s="1980" t="s">
        <v>923</v>
      </c>
      <c r="F282" s="1985">
        <v>4852.9863400000004</v>
      </c>
      <c r="G282" s="1962">
        <v>0</v>
      </c>
      <c r="H282" s="1962">
        <v>0</v>
      </c>
      <c r="I282" s="1962">
        <v>0</v>
      </c>
    </row>
    <row r="283" spans="1:9" outlineLevel="2" x14ac:dyDescent="0.2">
      <c r="A283" s="1980" t="s">
        <v>2267</v>
      </c>
      <c r="B283" s="1980" t="s">
        <v>2268</v>
      </c>
      <c r="C283" s="1980" t="s">
        <v>1969</v>
      </c>
      <c r="D283" s="1980" t="s">
        <v>1970</v>
      </c>
      <c r="E283" s="1980" t="s">
        <v>918</v>
      </c>
      <c r="F283" s="1985">
        <v>18603.405579999999</v>
      </c>
      <c r="G283" s="1962">
        <v>0</v>
      </c>
      <c r="H283" s="1962">
        <v>0</v>
      </c>
      <c r="I283" s="1962">
        <v>0</v>
      </c>
    </row>
    <row r="284" spans="1:9" outlineLevel="2" x14ac:dyDescent="0.2">
      <c r="A284" s="1980" t="s">
        <v>2267</v>
      </c>
      <c r="B284" s="1980" t="s">
        <v>2268</v>
      </c>
      <c r="C284" s="1980" t="s">
        <v>1969</v>
      </c>
      <c r="D284" s="1980" t="s">
        <v>1970</v>
      </c>
      <c r="E284" s="1980" t="s">
        <v>919</v>
      </c>
      <c r="F284" s="1985">
        <v>44945.151619999997</v>
      </c>
      <c r="G284" s="1962">
        <v>0</v>
      </c>
      <c r="H284" s="1962">
        <v>0</v>
      </c>
      <c r="I284" s="1962">
        <v>44945.151619999997</v>
      </c>
    </row>
    <row r="285" spans="1:9" outlineLevel="2" x14ac:dyDescent="0.2">
      <c r="A285" s="1980" t="s">
        <v>2267</v>
      </c>
      <c r="B285" s="1980" t="s">
        <v>2268</v>
      </c>
      <c r="C285" s="1980" t="s">
        <v>1969</v>
      </c>
      <c r="D285" s="1980" t="s">
        <v>1970</v>
      </c>
      <c r="E285" s="1980" t="s">
        <v>912</v>
      </c>
      <c r="F285" s="1985">
        <v>247546.41529999999</v>
      </c>
      <c r="G285" s="1962">
        <v>247546.41529999999</v>
      </c>
      <c r="H285" s="1962">
        <v>0</v>
      </c>
      <c r="I285" s="1962">
        <v>0</v>
      </c>
    </row>
    <row r="286" spans="1:9" outlineLevel="2" x14ac:dyDescent="0.2">
      <c r="A286" s="1980" t="s">
        <v>2267</v>
      </c>
      <c r="B286" s="1980" t="s">
        <v>2268</v>
      </c>
      <c r="C286" s="1980" t="s">
        <v>1969</v>
      </c>
      <c r="D286" s="1980" t="s">
        <v>1970</v>
      </c>
      <c r="E286" s="1980" t="s">
        <v>920</v>
      </c>
      <c r="F286" s="1985">
        <v>331702.83049000002</v>
      </c>
      <c r="G286" s="1962">
        <v>0</v>
      </c>
      <c r="H286" s="1962">
        <v>0</v>
      </c>
      <c r="I286" s="1962">
        <v>0</v>
      </c>
    </row>
    <row r="287" spans="1:9" outlineLevel="2" x14ac:dyDescent="0.2">
      <c r="A287" s="1980" t="s">
        <v>2267</v>
      </c>
      <c r="B287" s="1980" t="s">
        <v>2268</v>
      </c>
      <c r="C287" s="1980" t="s">
        <v>1969</v>
      </c>
      <c r="D287" s="1980" t="s">
        <v>1970</v>
      </c>
      <c r="E287" s="1980" t="s">
        <v>921</v>
      </c>
      <c r="F287" s="1985">
        <v>52957.378770000003</v>
      </c>
      <c r="G287" s="1962">
        <v>0</v>
      </c>
      <c r="H287" s="1962">
        <v>52957.378770000003</v>
      </c>
      <c r="I287" s="1962">
        <v>0</v>
      </c>
    </row>
    <row r="288" spans="1:9" outlineLevel="2" x14ac:dyDescent="0.2">
      <c r="A288" s="1980" t="s">
        <v>2267</v>
      </c>
      <c r="B288" s="1980" t="s">
        <v>2268</v>
      </c>
      <c r="C288" s="1980" t="s">
        <v>1969</v>
      </c>
      <c r="D288" s="1980" t="s">
        <v>1970</v>
      </c>
      <c r="E288" s="1980" t="s">
        <v>922</v>
      </c>
      <c r="F288" s="1985">
        <v>41760.507799999999</v>
      </c>
      <c r="G288" s="1962">
        <v>0</v>
      </c>
      <c r="H288" s="1962">
        <v>0</v>
      </c>
      <c r="I288" s="1962">
        <v>0</v>
      </c>
    </row>
    <row r="289" spans="1:9" outlineLevel="2" x14ac:dyDescent="0.2">
      <c r="A289" s="1980" t="s">
        <v>2267</v>
      </c>
      <c r="B289" s="1980" t="s">
        <v>2268</v>
      </c>
      <c r="C289" s="1980" t="s">
        <v>1969</v>
      </c>
      <c r="D289" s="1980" t="s">
        <v>1970</v>
      </c>
      <c r="E289" s="1980" t="s">
        <v>923</v>
      </c>
      <c r="F289" s="1985">
        <v>14326.56832</v>
      </c>
      <c r="G289" s="1962">
        <v>0</v>
      </c>
      <c r="H289" s="1962">
        <v>0</v>
      </c>
      <c r="I289" s="1962">
        <v>0</v>
      </c>
    </row>
    <row r="290" spans="1:9" outlineLevel="2" x14ac:dyDescent="0.2">
      <c r="A290" s="1980" t="s">
        <v>2267</v>
      </c>
      <c r="B290" s="1980" t="s">
        <v>2268</v>
      </c>
      <c r="C290" s="1980" t="s">
        <v>1971</v>
      </c>
      <c r="D290" s="1980" t="s">
        <v>1972</v>
      </c>
      <c r="E290" s="1980" t="s">
        <v>918</v>
      </c>
      <c r="F290" s="1985">
        <v>9395.5391199999995</v>
      </c>
      <c r="G290" s="1962">
        <v>0</v>
      </c>
      <c r="H290" s="1962">
        <v>0</v>
      </c>
      <c r="I290" s="1962">
        <v>0</v>
      </c>
    </row>
    <row r="291" spans="1:9" outlineLevel="2" x14ac:dyDescent="0.2">
      <c r="A291" s="1980" t="s">
        <v>2267</v>
      </c>
      <c r="B291" s="1980" t="s">
        <v>2268</v>
      </c>
      <c r="C291" s="1980" t="s">
        <v>1971</v>
      </c>
      <c r="D291" s="1980" t="s">
        <v>1972</v>
      </c>
      <c r="E291" s="1980" t="s">
        <v>919</v>
      </c>
      <c r="F291" s="1985">
        <v>18397.784680000001</v>
      </c>
      <c r="G291" s="1962">
        <v>0</v>
      </c>
      <c r="H291" s="1962">
        <v>0</v>
      </c>
      <c r="I291" s="1962">
        <v>18397.784680000001</v>
      </c>
    </row>
    <row r="292" spans="1:9" outlineLevel="2" x14ac:dyDescent="0.2">
      <c r="A292" s="1980" t="s">
        <v>2267</v>
      </c>
      <c r="B292" s="1980" t="s">
        <v>2268</v>
      </c>
      <c r="C292" s="1980" t="s">
        <v>1971</v>
      </c>
      <c r="D292" s="1980" t="s">
        <v>1972</v>
      </c>
      <c r="E292" s="1980" t="s">
        <v>912</v>
      </c>
      <c r="F292" s="1985">
        <v>107708.93936999999</v>
      </c>
      <c r="G292" s="1962">
        <v>107708.93936999999</v>
      </c>
      <c r="H292" s="1962">
        <v>0</v>
      </c>
      <c r="I292" s="1962">
        <v>0</v>
      </c>
    </row>
    <row r="293" spans="1:9" outlineLevel="2" x14ac:dyDescent="0.2">
      <c r="A293" s="1980" t="s">
        <v>2267</v>
      </c>
      <c r="B293" s="1980" t="s">
        <v>2268</v>
      </c>
      <c r="C293" s="1980" t="s">
        <v>1971</v>
      </c>
      <c r="D293" s="1980" t="s">
        <v>1972</v>
      </c>
      <c r="E293" s="1980" t="s">
        <v>920</v>
      </c>
      <c r="F293" s="1985">
        <v>139924.66445000001</v>
      </c>
      <c r="G293" s="1962">
        <v>0</v>
      </c>
      <c r="H293" s="1962">
        <v>0</v>
      </c>
      <c r="I293" s="1962">
        <v>0</v>
      </c>
    </row>
    <row r="294" spans="1:9" outlineLevel="2" x14ac:dyDescent="0.2">
      <c r="A294" s="1980" t="s">
        <v>2267</v>
      </c>
      <c r="B294" s="1980" t="s">
        <v>2268</v>
      </c>
      <c r="C294" s="1980" t="s">
        <v>1971</v>
      </c>
      <c r="D294" s="1980" t="s">
        <v>1972</v>
      </c>
      <c r="E294" s="1980" t="s">
        <v>921</v>
      </c>
      <c r="F294" s="1985">
        <v>16138.109539999999</v>
      </c>
      <c r="G294" s="1962">
        <v>0</v>
      </c>
      <c r="H294" s="1962">
        <v>16138.109539999999</v>
      </c>
      <c r="I294" s="1962">
        <v>0</v>
      </c>
    </row>
    <row r="295" spans="1:9" outlineLevel="2" x14ac:dyDescent="0.2">
      <c r="A295" s="1980" t="s">
        <v>2267</v>
      </c>
      <c r="B295" s="1980" t="s">
        <v>2268</v>
      </c>
      <c r="C295" s="1980" t="s">
        <v>1971</v>
      </c>
      <c r="D295" s="1980" t="s">
        <v>1972</v>
      </c>
      <c r="E295" s="1980" t="s">
        <v>922</v>
      </c>
      <c r="F295" s="1985">
        <v>15348.005069999999</v>
      </c>
      <c r="G295" s="1962">
        <v>0</v>
      </c>
      <c r="H295" s="1962">
        <v>0</v>
      </c>
      <c r="I295" s="1962">
        <v>0</v>
      </c>
    </row>
    <row r="296" spans="1:9" outlineLevel="2" x14ac:dyDescent="0.2">
      <c r="A296" s="1980" t="s">
        <v>2267</v>
      </c>
      <c r="B296" s="1980" t="s">
        <v>2268</v>
      </c>
      <c r="C296" s="1980" t="s">
        <v>1971</v>
      </c>
      <c r="D296" s="1980" t="s">
        <v>1972</v>
      </c>
      <c r="E296" s="1980" t="s">
        <v>923</v>
      </c>
      <c r="F296" s="1985">
        <v>3060.8828400000002</v>
      </c>
      <c r="G296" s="1962">
        <v>0</v>
      </c>
      <c r="H296" s="1962">
        <v>0</v>
      </c>
      <c r="I296" s="1962">
        <v>0</v>
      </c>
    </row>
    <row r="297" spans="1:9" outlineLevel="2" x14ac:dyDescent="0.2">
      <c r="A297" s="1980" t="s">
        <v>2267</v>
      </c>
      <c r="B297" s="1980" t="s">
        <v>2268</v>
      </c>
      <c r="C297" s="1980" t="s">
        <v>1973</v>
      </c>
      <c r="D297" s="1980" t="s">
        <v>1974</v>
      </c>
      <c r="E297" s="1980" t="s">
        <v>918</v>
      </c>
      <c r="F297" s="1985">
        <v>287.15577999999999</v>
      </c>
      <c r="G297" s="1962">
        <v>0</v>
      </c>
      <c r="H297" s="1962">
        <v>0</v>
      </c>
      <c r="I297" s="1962">
        <v>0</v>
      </c>
    </row>
    <row r="298" spans="1:9" outlineLevel="2" x14ac:dyDescent="0.2">
      <c r="A298" s="1980" t="s">
        <v>2267</v>
      </c>
      <c r="B298" s="1980" t="s">
        <v>2268</v>
      </c>
      <c r="C298" s="1980" t="s">
        <v>1973</v>
      </c>
      <c r="D298" s="1980" t="s">
        <v>1974</v>
      </c>
      <c r="E298" s="1980" t="s">
        <v>919</v>
      </c>
      <c r="F298" s="1985">
        <v>172.26339999999999</v>
      </c>
      <c r="G298" s="1962">
        <v>0</v>
      </c>
      <c r="H298" s="1962">
        <v>0</v>
      </c>
      <c r="I298" s="1962">
        <v>172.26339999999999</v>
      </c>
    </row>
    <row r="299" spans="1:9" outlineLevel="2" x14ac:dyDescent="0.2">
      <c r="A299" s="1980" t="s">
        <v>2267</v>
      </c>
      <c r="B299" s="1980" t="s">
        <v>2268</v>
      </c>
      <c r="C299" s="1980" t="s">
        <v>1973</v>
      </c>
      <c r="D299" s="1980" t="s">
        <v>1974</v>
      </c>
      <c r="E299" s="1980" t="s">
        <v>912</v>
      </c>
      <c r="F299" s="1985">
        <v>2692.1952700000002</v>
      </c>
      <c r="G299" s="1962">
        <v>2692.1952700000002</v>
      </c>
      <c r="H299" s="1962">
        <v>0</v>
      </c>
      <c r="I299" s="1962">
        <v>0</v>
      </c>
    </row>
    <row r="300" spans="1:9" outlineLevel="2" x14ac:dyDescent="0.2">
      <c r="A300" s="1980" t="s">
        <v>2267</v>
      </c>
      <c r="B300" s="1980" t="s">
        <v>2268</v>
      </c>
      <c r="C300" s="1980" t="s">
        <v>1973</v>
      </c>
      <c r="D300" s="1980" t="s">
        <v>1974</v>
      </c>
      <c r="E300" s="1980" t="s">
        <v>920</v>
      </c>
      <c r="F300" s="1985">
        <v>4190.1450999999997</v>
      </c>
      <c r="G300" s="1962">
        <v>0</v>
      </c>
      <c r="H300" s="1962">
        <v>0</v>
      </c>
      <c r="I300" s="1962">
        <v>0</v>
      </c>
    </row>
    <row r="301" spans="1:9" outlineLevel="2" x14ac:dyDescent="0.2">
      <c r="A301" s="1980" t="s">
        <v>2267</v>
      </c>
      <c r="B301" s="1980" t="s">
        <v>2268</v>
      </c>
      <c r="C301" s="1980" t="s">
        <v>1973</v>
      </c>
      <c r="D301" s="1980" t="s">
        <v>1974</v>
      </c>
      <c r="E301" s="1980" t="s">
        <v>921</v>
      </c>
      <c r="F301" s="1985">
        <v>533.58217000000002</v>
      </c>
      <c r="G301" s="1962">
        <v>0</v>
      </c>
      <c r="H301" s="1962">
        <v>533.58217000000002</v>
      </c>
      <c r="I301" s="1962">
        <v>0</v>
      </c>
    </row>
    <row r="302" spans="1:9" outlineLevel="2" x14ac:dyDescent="0.2">
      <c r="A302" s="1980" t="s">
        <v>2267</v>
      </c>
      <c r="B302" s="1980" t="s">
        <v>2268</v>
      </c>
      <c r="C302" s="1980" t="s">
        <v>1973</v>
      </c>
      <c r="D302" s="1980" t="s">
        <v>1974</v>
      </c>
      <c r="E302" s="1980" t="s">
        <v>922</v>
      </c>
      <c r="F302" s="1985">
        <v>882.55888000000004</v>
      </c>
      <c r="G302" s="1962">
        <v>0</v>
      </c>
      <c r="H302" s="1962">
        <v>0</v>
      </c>
      <c r="I302" s="1962">
        <v>0</v>
      </c>
    </row>
    <row r="303" spans="1:9" outlineLevel="2" x14ac:dyDescent="0.2">
      <c r="A303" s="1980" t="s">
        <v>2267</v>
      </c>
      <c r="B303" s="1980" t="s">
        <v>2268</v>
      </c>
      <c r="C303" s="1980" t="s">
        <v>1973</v>
      </c>
      <c r="D303" s="1980" t="s">
        <v>1974</v>
      </c>
      <c r="E303" s="1980" t="s">
        <v>923</v>
      </c>
      <c r="F303" s="1985">
        <v>149.85664</v>
      </c>
      <c r="G303" s="1962">
        <v>0</v>
      </c>
      <c r="H303" s="1962">
        <v>0</v>
      </c>
      <c r="I303" s="1962">
        <v>0</v>
      </c>
    </row>
    <row r="304" spans="1:9" outlineLevel="2" x14ac:dyDescent="0.2">
      <c r="A304" s="1980" t="s">
        <v>2267</v>
      </c>
      <c r="B304" s="1980" t="s">
        <v>2268</v>
      </c>
      <c r="C304" s="1980" t="s">
        <v>1975</v>
      </c>
      <c r="D304" s="1980" t="s">
        <v>1976</v>
      </c>
      <c r="E304" s="1980" t="s">
        <v>918</v>
      </c>
      <c r="F304" s="1985">
        <v>807.0462</v>
      </c>
      <c r="G304" s="1962">
        <v>0</v>
      </c>
      <c r="H304" s="1962">
        <v>0</v>
      </c>
      <c r="I304" s="1962">
        <v>0</v>
      </c>
    </row>
    <row r="305" spans="1:9" outlineLevel="2" x14ac:dyDescent="0.2">
      <c r="A305" s="1980" t="s">
        <v>2267</v>
      </c>
      <c r="B305" s="1980" t="s">
        <v>2268</v>
      </c>
      <c r="C305" s="1980" t="s">
        <v>1975</v>
      </c>
      <c r="D305" s="1980" t="s">
        <v>1976</v>
      </c>
      <c r="E305" s="1980" t="s">
        <v>919</v>
      </c>
      <c r="F305" s="1985">
        <v>830.28633000000002</v>
      </c>
      <c r="G305" s="1962">
        <v>0</v>
      </c>
      <c r="H305" s="1962">
        <v>0</v>
      </c>
      <c r="I305" s="1962">
        <v>830.28633000000002</v>
      </c>
    </row>
    <row r="306" spans="1:9" outlineLevel="2" x14ac:dyDescent="0.2">
      <c r="A306" s="1980" t="s">
        <v>2267</v>
      </c>
      <c r="B306" s="1980" t="s">
        <v>2268</v>
      </c>
      <c r="C306" s="1980" t="s">
        <v>1975</v>
      </c>
      <c r="D306" s="1980" t="s">
        <v>1976</v>
      </c>
      <c r="E306" s="1980" t="s">
        <v>912</v>
      </c>
      <c r="F306" s="1985">
        <v>25034.361870000001</v>
      </c>
      <c r="G306" s="1962">
        <v>25034.361870000001</v>
      </c>
      <c r="H306" s="1962">
        <v>0</v>
      </c>
      <c r="I306" s="1962">
        <v>0</v>
      </c>
    </row>
    <row r="307" spans="1:9" outlineLevel="2" x14ac:dyDescent="0.2">
      <c r="A307" s="1980" t="s">
        <v>2267</v>
      </c>
      <c r="B307" s="1980" t="s">
        <v>2268</v>
      </c>
      <c r="C307" s="1980" t="s">
        <v>1975</v>
      </c>
      <c r="D307" s="1980" t="s">
        <v>1976</v>
      </c>
      <c r="E307" s="1980" t="s">
        <v>920</v>
      </c>
      <c r="F307" s="1985">
        <v>21890.610059999999</v>
      </c>
      <c r="G307" s="1962">
        <v>0</v>
      </c>
      <c r="H307" s="1962">
        <v>0</v>
      </c>
      <c r="I307" s="1962">
        <v>0</v>
      </c>
    </row>
    <row r="308" spans="1:9" outlineLevel="2" x14ac:dyDescent="0.2">
      <c r="A308" s="1980" t="s">
        <v>2267</v>
      </c>
      <c r="B308" s="1980" t="s">
        <v>2268</v>
      </c>
      <c r="C308" s="1980" t="s">
        <v>1975</v>
      </c>
      <c r="D308" s="1980" t="s">
        <v>1976</v>
      </c>
      <c r="E308" s="1980" t="s">
        <v>921</v>
      </c>
      <c r="F308" s="1985">
        <v>3868.6803399999999</v>
      </c>
      <c r="G308" s="1962">
        <v>0</v>
      </c>
      <c r="H308" s="1962">
        <v>3868.6803399999999</v>
      </c>
      <c r="I308" s="1962">
        <v>0</v>
      </c>
    </row>
    <row r="309" spans="1:9" outlineLevel="2" x14ac:dyDescent="0.2">
      <c r="A309" s="1980" t="s">
        <v>2267</v>
      </c>
      <c r="B309" s="1980" t="s">
        <v>2268</v>
      </c>
      <c r="C309" s="1980" t="s">
        <v>1975</v>
      </c>
      <c r="D309" s="1980" t="s">
        <v>1976</v>
      </c>
      <c r="E309" s="1980" t="s">
        <v>922</v>
      </c>
      <c r="F309" s="1985">
        <v>8974.5060200000007</v>
      </c>
      <c r="G309" s="1962">
        <v>0</v>
      </c>
      <c r="H309" s="1962">
        <v>0</v>
      </c>
      <c r="I309" s="1962">
        <v>0</v>
      </c>
    </row>
    <row r="310" spans="1:9" outlineLevel="2" x14ac:dyDescent="0.2">
      <c r="A310" s="1980" t="s">
        <v>2267</v>
      </c>
      <c r="B310" s="1980" t="s">
        <v>2268</v>
      </c>
      <c r="C310" s="1980" t="s">
        <v>1975</v>
      </c>
      <c r="D310" s="1980" t="s">
        <v>1976</v>
      </c>
      <c r="E310" s="1980" t="s">
        <v>923</v>
      </c>
      <c r="F310" s="1985">
        <v>2279.3227700000002</v>
      </c>
      <c r="G310" s="1962">
        <v>0</v>
      </c>
      <c r="H310" s="1962">
        <v>0</v>
      </c>
      <c r="I310" s="1962">
        <v>0</v>
      </c>
    </row>
    <row r="311" spans="1:9" outlineLevel="2" x14ac:dyDescent="0.2">
      <c r="A311" s="1980" t="s">
        <v>2267</v>
      </c>
      <c r="B311" s="1980" t="s">
        <v>2268</v>
      </c>
      <c r="C311" s="1980" t="s">
        <v>2337</v>
      </c>
      <c r="D311" s="1980" t="s">
        <v>2328</v>
      </c>
      <c r="E311" s="1980" t="s">
        <v>919</v>
      </c>
      <c r="F311" s="1985">
        <v>88.883499999999998</v>
      </c>
      <c r="G311" s="1962">
        <v>0</v>
      </c>
      <c r="H311" s="1962">
        <v>0</v>
      </c>
      <c r="I311" s="1962">
        <v>88.883499999999998</v>
      </c>
    </row>
    <row r="312" spans="1:9" outlineLevel="2" x14ac:dyDescent="0.2">
      <c r="A312" s="1980" t="s">
        <v>2267</v>
      </c>
      <c r="B312" s="1980" t="s">
        <v>2268</v>
      </c>
      <c r="C312" s="1980" t="s">
        <v>2337</v>
      </c>
      <c r="D312" s="1980" t="s">
        <v>2328</v>
      </c>
      <c r="E312" s="1980" t="s">
        <v>912</v>
      </c>
      <c r="F312" s="1985">
        <v>228</v>
      </c>
      <c r="G312" s="1962">
        <v>228</v>
      </c>
      <c r="H312" s="1962">
        <v>0</v>
      </c>
      <c r="I312" s="1962">
        <v>0</v>
      </c>
    </row>
    <row r="313" spans="1:9" outlineLevel="2" x14ac:dyDescent="0.2">
      <c r="A313" s="1980" t="s">
        <v>2267</v>
      </c>
      <c r="B313" s="1980" t="s">
        <v>2268</v>
      </c>
      <c r="C313" s="1980" t="s">
        <v>2337</v>
      </c>
      <c r="D313" s="1980" t="s">
        <v>2328</v>
      </c>
      <c r="E313" s="1980" t="s">
        <v>920</v>
      </c>
      <c r="F313" s="1985">
        <v>1327.3750199999999</v>
      </c>
      <c r="G313" s="1962">
        <v>0</v>
      </c>
      <c r="H313" s="1962">
        <v>0</v>
      </c>
      <c r="I313" s="1962">
        <v>0</v>
      </c>
    </row>
    <row r="314" spans="1:9" outlineLevel="2" x14ac:dyDescent="0.2">
      <c r="A314" s="1980" t="s">
        <v>2267</v>
      </c>
      <c r="B314" s="1980" t="s">
        <v>2268</v>
      </c>
      <c r="C314" s="1980" t="s">
        <v>2337</v>
      </c>
      <c r="D314" s="1980" t="s">
        <v>2328</v>
      </c>
      <c r="E314" s="1980" t="s">
        <v>923</v>
      </c>
      <c r="F314" s="1985">
        <v>434.01495</v>
      </c>
      <c r="G314" s="1962">
        <v>0</v>
      </c>
      <c r="H314" s="1962">
        <v>0</v>
      </c>
      <c r="I314" s="1962">
        <v>0</v>
      </c>
    </row>
    <row r="315" spans="1:9" outlineLevel="2" x14ac:dyDescent="0.2">
      <c r="A315" s="1980" t="s">
        <v>2267</v>
      </c>
      <c r="B315" s="1980" t="s">
        <v>2268</v>
      </c>
      <c r="C315" s="1980" t="s">
        <v>5721</v>
      </c>
      <c r="D315" s="1980" t="s">
        <v>2323</v>
      </c>
      <c r="E315" s="1980" t="s">
        <v>918</v>
      </c>
      <c r="F315" s="1985">
        <v>996.65907000000004</v>
      </c>
      <c r="G315" s="1962">
        <v>0</v>
      </c>
      <c r="H315" s="1962">
        <v>0</v>
      </c>
      <c r="I315" s="1962">
        <v>0</v>
      </c>
    </row>
    <row r="316" spans="1:9" outlineLevel="2" x14ac:dyDescent="0.2">
      <c r="A316" s="1980" t="s">
        <v>2267</v>
      </c>
      <c r="B316" s="1980" t="s">
        <v>2268</v>
      </c>
      <c r="C316" s="1980" t="s">
        <v>5721</v>
      </c>
      <c r="D316" s="1980" t="s">
        <v>2323</v>
      </c>
      <c r="E316" s="1980" t="s">
        <v>1754</v>
      </c>
      <c r="F316" s="1985">
        <v>1128.5057899999999</v>
      </c>
      <c r="G316" s="1962">
        <v>343.99826262153806</v>
      </c>
      <c r="H316" s="1962">
        <v>75.282482513833543</v>
      </c>
      <c r="I316" s="1962">
        <v>48.189080657178508</v>
      </c>
    </row>
    <row r="317" spans="1:9" outlineLevel="2" x14ac:dyDescent="0.2">
      <c r="A317" s="1980" t="s">
        <v>2267</v>
      </c>
      <c r="B317" s="1980" t="s">
        <v>2268</v>
      </c>
      <c r="C317" s="1980" t="s">
        <v>5721</v>
      </c>
      <c r="D317" s="1980" t="s">
        <v>2323</v>
      </c>
      <c r="E317" s="1980" t="s">
        <v>919</v>
      </c>
      <c r="F317" s="1985">
        <v>100.14944</v>
      </c>
      <c r="G317" s="1962">
        <v>0</v>
      </c>
      <c r="H317" s="1962">
        <v>0</v>
      </c>
      <c r="I317" s="1962">
        <v>100.14944</v>
      </c>
    </row>
    <row r="318" spans="1:9" outlineLevel="2" x14ac:dyDescent="0.2">
      <c r="A318" s="1980" t="s">
        <v>2267</v>
      </c>
      <c r="B318" s="1980" t="s">
        <v>2268</v>
      </c>
      <c r="C318" s="1980" t="s">
        <v>5721</v>
      </c>
      <c r="D318" s="1980" t="s">
        <v>2323</v>
      </c>
      <c r="E318" s="1980" t="s">
        <v>912</v>
      </c>
      <c r="F318" s="1985">
        <v>5887.3561499999996</v>
      </c>
      <c r="G318" s="1962">
        <v>5887.3561499999996</v>
      </c>
      <c r="H318" s="1962">
        <v>0</v>
      </c>
      <c r="I318" s="1962">
        <v>0</v>
      </c>
    </row>
    <row r="319" spans="1:9" outlineLevel="2" x14ac:dyDescent="0.2">
      <c r="A319" s="1980" t="s">
        <v>2267</v>
      </c>
      <c r="B319" s="1980" t="s">
        <v>2268</v>
      </c>
      <c r="C319" s="1980" t="s">
        <v>5721</v>
      </c>
      <c r="D319" s="1980" t="s">
        <v>2323</v>
      </c>
      <c r="E319" s="1980" t="s">
        <v>1083</v>
      </c>
      <c r="F319" s="1985">
        <v>0.33232</v>
      </c>
      <c r="G319" s="1962">
        <v>9.0038423142199842E-2</v>
      </c>
      <c r="H319" s="1962">
        <v>2.5315834844509579E-2</v>
      </c>
      <c r="I319" s="1962">
        <v>1.7990595606166077E-2</v>
      </c>
    </row>
    <row r="320" spans="1:9" outlineLevel="2" x14ac:dyDescent="0.2">
      <c r="A320" s="1980" t="s">
        <v>2267</v>
      </c>
      <c r="B320" s="1980" t="s">
        <v>2268</v>
      </c>
      <c r="C320" s="1980" t="s">
        <v>5721</v>
      </c>
      <c r="D320" s="1980" t="s">
        <v>2323</v>
      </c>
      <c r="E320" s="1980" t="s">
        <v>913</v>
      </c>
      <c r="F320" s="1985">
        <v>7516.3022000000001</v>
      </c>
      <c r="G320" s="1962">
        <v>2102.5945171011831</v>
      </c>
      <c r="H320" s="1962">
        <v>561.0865523067074</v>
      </c>
      <c r="I320" s="1962">
        <v>400.86308496844919</v>
      </c>
    </row>
    <row r="321" spans="1:9" outlineLevel="2" x14ac:dyDescent="0.2">
      <c r="A321" s="1980" t="s">
        <v>2267</v>
      </c>
      <c r="B321" s="1980" t="s">
        <v>2268</v>
      </c>
      <c r="C321" s="1980" t="s">
        <v>5721</v>
      </c>
      <c r="D321" s="1980" t="s">
        <v>2323</v>
      </c>
      <c r="E321" s="1980" t="s">
        <v>920</v>
      </c>
      <c r="F321" s="1985">
        <v>2676.9398999999999</v>
      </c>
      <c r="G321" s="1962">
        <v>0</v>
      </c>
      <c r="H321" s="1962">
        <v>0</v>
      </c>
      <c r="I321" s="1962">
        <v>0</v>
      </c>
    </row>
    <row r="322" spans="1:9" outlineLevel="2" x14ac:dyDescent="0.2">
      <c r="A322" s="1980" t="s">
        <v>2267</v>
      </c>
      <c r="B322" s="1980" t="s">
        <v>2268</v>
      </c>
      <c r="C322" s="1980" t="s">
        <v>5721</v>
      </c>
      <c r="D322" s="1980" t="s">
        <v>2323</v>
      </c>
      <c r="E322" s="1980" t="s">
        <v>921</v>
      </c>
      <c r="F322" s="1985">
        <v>1098.82635</v>
      </c>
      <c r="G322" s="1962">
        <v>0</v>
      </c>
      <c r="H322" s="1962">
        <v>1098.82635</v>
      </c>
      <c r="I322" s="1962">
        <v>0</v>
      </c>
    </row>
    <row r="323" spans="1:9" outlineLevel="2" x14ac:dyDescent="0.2">
      <c r="A323" s="1980" t="s">
        <v>2267</v>
      </c>
      <c r="B323" s="1980" t="s">
        <v>2268</v>
      </c>
      <c r="C323" s="1980" t="s">
        <v>5721</v>
      </c>
      <c r="D323" s="1980" t="s">
        <v>2323</v>
      </c>
      <c r="E323" s="1980" t="s">
        <v>922</v>
      </c>
      <c r="F323" s="1985">
        <v>3094.6194099999998</v>
      </c>
      <c r="G323" s="1962">
        <v>0</v>
      </c>
      <c r="H323" s="1962">
        <v>0</v>
      </c>
      <c r="I323" s="1962">
        <v>0</v>
      </c>
    </row>
    <row r="324" spans="1:9" outlineLevel="2" x14ac:dyDescent="0.2">
      <c r="A324" s="1980" t="s">
        <v>2267</v>
      </c>
      <c r="B324" s="1980" t="s">
        <v>2268</v>
      </c>
      <c r="C324" s="1980" t="s">
        <v>5721</v>
      </c>
      <c r="D324" s="1980" t="s">
        <v>2323</v>
      </c>
      <c r="E324" s="1980" t="s">
        <v>923</v>
      </c>
      <c r="F324" s="1985">
        <v>221.27450999999999</v>
      </c>
      <c r="G324" s="1962">
        <v>0</v>
      </c>
      <c r="H324" s="1962">
        <v>0</v>
      </c>
      <c r="I324" s="1962">
        <v>0</v>
      </c>
    </row>
    <row r="325" spans="1:9" outlineLevel="2" x14ac:dyDescent="0.2">
      <c r="A325" s="1980" t="s">
        <v>2267</v>
      </c>
      <c r="B325" s="1980" t="s">
        <v>2268</v>
      </c>
      <c r="C325" s="1980" t="s">
        <v>1977</v>
      </c>
      <c r="D325" s="1980" t="s">
        <v>1878</v>
      </c>
      <c r="E325" s="1980" t="s">
        <v>919</v>
      </c>
      <c r="F325" s="1985">
        <v>4.8676399999999997</v>
      </c>
      <c r="G325" s="1962">
        <v>0</v>
      </c>
      <c r="H325" s="1962">
        <v>0</v>
      </c>
      <c r="I325" s="1962">
        <v>4.8676399999999997</v>
      </c>
    </row>
    <row r="326" spans="1:9" outlineLevel="2" x14ac:dyDescent="0.2">
      <c r="A326" s="1980" t="s">
        <v>2267</v>
      </c>
      <c r="B326" s="1980" t="s">
        <v>2268</v>
      </c>
      <c r="C326" s="1980" t="s">
        <v>1977</v>
      </c>
      <c r="D326" s="1980" t="s">
        <v>1878</v>
      </c>
      <c r="E326" s="1980" t="s">
        <v>912</v>
      </c>
      <c r="F326" s="1985">
        <v>1.2</v>
      </c>
      <c r="G326" s="1962">
        <v>1.2</v>
      </c>
      <c r="H326" s="1962">
        <v>0</v>
      </c>
      <c r="I326" s="1962">
        <v>0</v>
      </c>
    </row>
    <row r="327" spans="1:9" outlineLevel="2" x14ac:dyDescent="0.2">
      <c r="A327" s="1980" t="s">
        <v>2267</v>
      </c>
      <c r="B327" s="1980" t="s">
        <v>2268</v>
      </c>
      <c r="C327" s="1980" t="s">
        <v>1977</v>
      </c>
      <c r="D327" s="1980" t="s">
        <v>1878</v>
      </c>
      <c r="E327" s="1980" t="s">
        <v>1083</v>
      </c>
      <c r="F327" s="1985">
        <v>1.2275499999999999</v>
      </c>
      <c r="G327" s="1962">
        <v>0.332592475855222</v>
      </c>
      <c r="H327" s="1962">
        <v>9.3513640657732711E-2</v>
      </c>
      <c r="I327" s="1962">
        <v>6.6455090383814294E-2</v>
      </c>
    </row>
    <row r="328" spans="1:9" outlineLevel="2" x14ac:dyDescent="0.2">
      <c r="A328" s="1980" t="s">
        <v>2267</v>
      </c>
      <c r="B328" s="1980" t="s">
        <v>2268</v>
      </c>
      <c r="C328" s="1980" t="s">
        <v>1977</v>
      </c>
      <c r="D328" s="1980" t="s">
        <v>1878</v>
      </c>
      <c r="E328" s="1980" t="s">
        <v>913</v>
      </c>
      <c r="F328" s="1985">
        <v>95.314980000000006</v>
      </c>
      <c r="G328" s="1962">
        <v>26.66321137880924</v>
      </c>
      <c r="H328" s="1962">
        <v>7.1151946912649109</v>
      </c>
      <c r="I328" s="1962">
        <v>5.0833848759441898</v>
      </c>
    </row>
    <row r="329" spans="1:9" outlineLevel="2" x14ac:dyDescent="0.2">
      <c r="A329" s="1980" t="s">
        <v>2267</v>
      </c>
      <c r="B329" s="1980" t="s">
        <v>2268</v>
      </c>
      <c r="C329" s="1980" t="s">
        <v>1977</v>
      </c>
      <c r="D329" s="1980" t="s">
        <v>1878</v>
      </c>
      <c r="E329" s="1980" t="s">
        <v>920</v>
      </c>
      <c r="F329" s="1985">
        <v>95.833730000000003</v>
      </c>
      <c r="G329" s="1962">
        <v>0</v>
      </c>
      <c r="H329" s="1962">
        <v>0</v>
      </c>
      <c r="I329" s="1962">
        <v>0</v>
      </c>
    </row>
    <row r="330" spans="1:9" outlineLevel="2" x14ac:dyDescent="0.2">
      <c r="A330" s="1980" t="s">
        <v>2267</v>
      </c>
      <c r="B330" s="1980" t="s">
        <v>2268</v>
      </c>
      <c r="C330" s="1980" t="s">
        <v>1977</v>
      </c>
      <c r="D330" s="1980" t="s">
        <v>1878</v>
      </c>
      <c r="E330" s="1980" t="s">
        <v>922</v>
      </c>
      <c r="F330" s="1985">
        <v>52.406599999999997</v>
      </c>
      <c r="G330" s="1962">
        <v>0</v>
      </c>
      <c r="H330" s="1962">
        <v>0</v>
      </c>
      <c r="I330" s="1962">
        <v>0</v>
      </c>
    </row>
    <row r="331" spans="1:9" outlineLevel="2" x14ac:dyDescent="0.2">
      <c r="A331" s="1980" t="s">
        <v>2267</v>
      </c>
      <c r="B331" s="1980" t="s">
        <v>2268</v>
      </c>
      <c r="C331" s="1980" t="s">
        <v>1977</v>
      </c>
      <c r="D331" s="1980" t="s">
        <v>1878</v>
      </c>
      <c r="E331" s="1980" t="s">
        <v>923</v>
      </c>
      <c r="F331" s="1985">
        <v>21.908149999999999</v>
      </c>
      <c r="G331" s="1962">
        <v>0</v>
      </c>
      <c r="H331" s="1962">
        <v>0</v>
      </c>
      <c r="I331" s="1962">
        <v>0</v>
      </c>
    </row>
    <row r="332" spans="1:9" outlineLevel="2" x14ac:dyDescent="0.2">
      <c r="A332" s="1980" t="s">
        <v>2267</v>
      </c>
      <c r="B332" s="1980" t="s">
        <v>2268</v>
      </c>
      <c r="C332" s="1980" t="s">
        <v>1978</v>
      </c>
      <c r="D332" s="1980" t="s">
        <v>1880</v>
      </c>
      <c r="E332" s="1980" t="s">
        <v>918</v>
      </c>
      <c r="F332" s="1985">
        <v>3921.01829</v>
      </c>
      <c r="G332" s="1962">
        <v>0</v>
      </c>
      <c r="H332" s="1962">
        <v>0</v>
      </c>
      <c r="I332" s="1962">
        <v>0</v>
      </c>
    </row>
    <row r="333" spans="1:9" outlineLevel="2" x14ac:dyDescent="0.2">
      <c r="A333" s="1980" t="s">
        <v>2267</v>
      </c>
      <c r="B333" s="1980" t="s">
        <v>2268</v>
      </c>
      <c r="C333" s="1980" t="s">
        <v>1978</v>
      </c>
      <c r="D333" s="1980" t="s">
        <v>1880</v>
      </c>
      <c r="E333" s="1980" t="s">
        <v>1754</v>
      </c>
      <c r="F333" s="1985">
        <v>8218.8288799999991</v>
      </c>
      <c r="G333" s="1962">
        <v>2505.3153298431207</v>
      </c>
      <c r="H333" s="1962">
        <v>548.2770641724311</v>
      </c>
      <c r="I333" s="1962">
        <v>350.95771002279758</v>
      </c>
    </row>
    <row r="334" spans="1:9" outlineLevel="2" x14ac:dyDescent="0.2">
      <c r="A334" s="1980" t="s">
        <v>2267</v>
      </c>
      <c r="B334" s="1980" t="s">
        <v>2268</v>
      </c>
      <c r="C334" s="1980" t="s">
        <v>1978</v>
      </c>
      <c r="D334" s="1980" t="s">
        <v>1880</v>
      </c>
      <c r="E334" s="1980" t="s">
        <v>919</v>
      </c>
      <c r="F334" s="1985">
        <v>13446.2624</v>
      </c>
      <c r="G334" s="1962">
        <v>0</v>
      </c>
      <c r="H334" s="1962">
        <v>0</v>
      </c>
      <c r="I334" s="1962">
        <v>13446.2624</v>
      </c>
    </row>
    <row r="335" spans="1:9" outlineLevel="2" x14ac:dyDescent="0.2">
      <c r="A335" s="1980" t="s">
        <v>2267</v>
      </c>
      <c r="B335" s="1980" t="s">
        <v>2268</v>
      </c>
      <c r="C335" s="1980" t="s">
        <v>1978</v>
      </c>
      <c r="D335" s="1980" t="s">
        <v>1880</v>
      </c>
      <c r="E335" s="1980" t="s">
        <v>912</v>
      </c>
      <c r="F335" s="1985">
        <v>38789.185219999999</v>
      </c>
      <c r="G335" s="1962">
        <v>38789.185219999999</v>
      </c>
      <c r="H335" s="1962">
        <v>0</v>
      </c>
      <c r="I335" s="1962">
        <v>0</v>
      </c>
    </row>
    <row r="336" spans="1:9" outlineLevel="2" x14ac:dyDescent="0.2">
      <c r="A336" s="1980" t="s">
        <v>2267</v>
      </c>
      <c r="B336" s="1980" t="s">
        <v>2268</v>
      </c>
      <c r="C336" s="1980" t="s">
        <v>1978</v>
      </c>
      <c r="D336" s="1980" t="s">
        <v>1880</v>
      </c>
      <c r="E336" s="1980" t="s">
        <v>906</v>
      </c>
      <c r="F336" s="1985">
        <v>940.95261000000005</v>
      </c>
      <c r="G336" s="1962">
        <v>243.11583337974386</v>
      </c>
      <c r="H336" s="1962">
        <v>67.19446286256435</v>
      </c>
      <c r="I336" s="1962">
        <v>55.527815725452491</v>
      </c>
    </row>
    <row r="337" spans="1:9" outlineLevel="2" x14ac:dyDescent="0.2">
      <c r="A337" s="1980" t="s">
        <v>2267</v>
      </c>
      <c r="B337" s="1980" t="s">
        <v>2268</v>
      </c>
      <c r="C337" s="1980" t="s">
        <v>1978</v>
      </c>
      <c r="D337" s="1980" t="s">
        <v>1880</v>
      </c>
      <c r="E337" s="1980" t="s">
        <v>1083</v>
      </c>
      <c r="F337" s="1985">
        <v>12023.51957</v>
      </c>
      <c r="G337" s="1962">
        <v>3257.6394520407462</v>
      </c>
      <c r="H337" s="1962">
        <v>915.94076698317542</v>
      </c>
      <c r="I337" s="1962">
        <v>650.90960022476486</v>
      </c>
    </row>
    <row r="338" spans="1:9" outlineLevel="2" x14ac:dyDescent="0.2">
      <c r="A338" s="1980" t="s">
        <v>2267</v>
      </c>
      <c r="B338" s="1980" t="s">
        <v>2268</v>
      </c>
      <c r="C338" s="1980" t="s">
        <v>1978</v>
      </c>
      <c r="D338" s="1980" t="s">
        <v>1880</v>
      </c>
      <c r="E338" s="1980" t="s">
        <v>913</v>
      </c>
      <c r="F338" s="1985">
        <v>114871.07120999999</v>
      </c>
      <c r="G338" s="1962">
        <v>32133.7924681246</v>
      </c>
      <c r="H338" s="1962">
        <v>8575.0428322316748</v>
      </c>
      <c r="I338" s="1962">
        <v>6126.3598447213853</v>
      </c>
    </row>
    <row r="339" spans="1:9" outlineLevel="2" x14ac:dyDescent="0.2">
      <c r="A339" s="1980" t="s">
        <v>2267</v>
      </c>
      <c r="B339" s="1980" t="s">
        <v>2268</v>
      </c>
      <c r="C339" s="1980" t="s">
        <v>1978</v>
      </c>
      <c r="D339" s="1980" t="s">
        <v>1880</v>
      </c>
      <c r="E339" s="1980" t="s">
        <v>920</v>
      </c>
      <c r="F339" s="1985">
        <v>48529.256880000001</v>
      </c>
      <c r="G339" s="1962">
        <v>0</v>
      </c>
      <c r="H339" s="1962">
        <v>0</v>
      </c>
      <c r="I339" s="1962">
        <v>0</v>
      </c>
    </row>
    <row r="340" spans="1:9" outlineLevel="2" x14ac:dyDescent="0.2">
      <c r="A340" s="1980" t="s">
        <v>2267</v>
      </c>
      <c r="B340" s="1980" t="s">
        <v>2268</v>
      </c>
      <c r="C340" s="1980" t="s">
        <v>1978</v>
      </c>
      <c r="D340" s="1980" t="s">
        <v>1880</v>
      </c>
      <c r="E340" s="1980" t="s">
        <v>921</v>
      </c>
      <c r="F340" s="1985">
        <v>11928.221299999999</v>
      </c>
      <c r="G340" s="1962">
        <v>0</v>
      </c>
      <c r="H340" s="1962">
        <v>11928.221299999999</v>
      </c>
      <c r="I340" s="1962">
        <v>0</v>
      </c>
    </row>
    <row r="341" spans="1:9" outlineLevel="2" x14ac:dyDescent="0.2">
      <c r="A341" s="1980" t="s">
        <v>2267</v>
      </c>
      <c r="B341" s="1980" t="s">
        <v>2268</v>
      </c>
      <c r="C341" s="1980" t="s">
        <v>1978</v>
      </c>
      <c r="D341" s="1980" t="s">
        <v>1880</v>
      </c>
      <c r="E341" s="1980" t="s">
        <v>922</v>
      </c>
      <c r="F341" s="1985">
        <v>16426.601780000001</v>
      </c>
      <c r="G341" s="1962">
        <v>0</v>
      </c>
      <c r="H341" s="1962">
        <v>0</v>
      </c>
      <c r="I341" s="1962">
        <v>0</v>
      </c>
    </row>
    <row r="342" spans="1:9" outlineLevel="2" x14ac:dyDescent="0.2">
      <c r="A342" s="1980" t="s">
        <v>2267</v>
      </c>
      <c r="B342" s="1980" t="s">
        <v>2268</v>
      </c>
      <c r="C342" s="1980" t="s">
        <v>1978</v>
      </c>
      <c r="D342" s="1980" t="s">
        <v>1880</v>
      </c>
      <c r="E342" s="1980" t="s">
        <v>923</v>
      </c>
      <c r="F342" s="1985">
        <v>4434.5811100000001</v>
      </c>
      <c r="G342" s="1962">
        <v>0</v>
      </c>
      <c r="H342" s="1962">
        <v>0</v>
      </c>
      <c r="I342" s="1962">
        <v>0</v>
      </c>
    </row>
    <row r="343" spans="1:9" outlineLevel="2" x14ac:dyDescent="0.2">
      <c r="A343" s="1980" t="s">
        <v>2267</v>
      </c>
      <c r="B343" s="1980" t="s">
        <v>2268</v>
      </c>
      <c r="C343" s="1980" t="s">
        <v>2154</v>
      </c>
      <c r="D343" s="1980" t="s">
        <v>2155</v>
      </c>
      <c r="E343" s="1980" t="s">
        <v>918</v>
      </c>
      <c r="F343" s="1985">
        <v>513.30661999999995</v>
      </c>
      <c r="G343" s="1962">
        <v>0</v>
      </c>
      <c r="H343" s="1962">
        <v>0</v>
      </c>
      <c r="I343" s="1962">
        <v>0</v>
      </c>
    </row>
    <row r="344" spans="1:9" outlineLevel="2" x14ac:dyDescent="0.2">
      <c r="A344" s="1980" t="s">
        <v>2267</v>
      </c>
      <c r="B344" s="1980" t="s">
        <v>2268</v>
      </c>
      <c r="C344" s="1980" t="s">
        <v>2154</v>
      </c>
      <c r="D344" s="1980" t="s">
        <v>2155</v>
      </c>
      <c r="E344" s="1980" t="s">
        <v>919</v>
      </c>
      <c r="F344" s="1985">
        <v>333.77069999999998</v>
      </c>
      <c r="G344" s="1962">
        <v>0</v>
      </c>
      <c r="H344" s="1962">
        <v>0</v>
      </c>
      <c r="I344" s="1962">
        <v>333.77069999999998</v>
      </c>
    </row>
    <row r="345" spans="1:9" outlineLevel="2" x14ac:dyDescent="0.2">
      <c r="A345" s="1980" t="s">
        <v>2267</v>
      </c>
      <c r="B345" s="1980" t="s">
        <v>2268</v>
      </c>
      <c r="C345" s="1980" t="s">
        <v>2154</v>
      </c>
      <c r="D345" s="1980" t="s">
        <v>2155</v>
      </c>
      <c r="E345" s="1980" t="s">
        <v>912</v>
      </c>
      <c r="F345" s="1985">
        <v>5690.4733399999996</v>
      </c>
      <c r="G345" s="1962">
        <v>5690.4733399999996</v>
      </c>
      <c r="H345" s="1962">
        <v>0</v>
      </c>
      <c r="I345" s="1962">
        <v>0</v>
      </c>
    </row>
    <row r="346" spans="1:9" outlineLevel="2" x14ac:dyDescent="0.2">
      <c r="A346" s="1980" t="s">
        <v>2267</v>
      </c>
      <c r="B346" s="1980" t="s">
        <v>2268</v>
      </c>
      <c r="C346" s="1980" t="s">
        <v>2154</v>
      </c>
      <c r="D346" s="1980" t="s">
        <v>2155</v>
      </c>
      <c r="E346" s="1980" t="s">
        <v>913</v>
      </c>
      <c r="F346" s="1985">
        <v>2196.8860399999999</v>
      </c>
      <c r="G346" s="1962">
        <v>614.55226512847366</v>
      </c>
      <c r="H346" s="1962">
        <v>163.99596253518587</v>
      </c>
      <c r="I346" s="1962">
        <v>117.16539488240905</v>
      </c>
    </row>
    <row r="347" spans="1:9" outlineLevel="2" x14ac:dyDescent="0.2">
      <c r="A347" s="1980" t="s">
        <v>2267</v>
      </c>
      <c r="B347" s="1980" t="s">
        <v>2268</v>
      </c>
      <c r="C347" s="1980" t="s">
        <v>2154</v>
      </c>
      <c r="D347" s="1980" t="s">
        <v>2155</v>
      </c>
      <c r="E347" s="1980" t="s">
        <v>920</v>
      </c>
      <c r="F347" s="1985">
        <v>33.126809999999999</v>
      </c>
      <c r="G347" s="1962">
        <v>0</v>
      </c>
      <c r="H347" s="1962">
        <v>0</v>
      </c>
      <c r="I347" s="1962">
        <v>0</v>
      </c>
    </row>
    <row r="348" spans="1:9" outlineLevel="2" x14ac:dyDescent="0.2">
      <c r="A348" s="1980" t="s">
        <v>2267</v>
      </c>
      <c r="B348" s="1980" t="s">
        <v>2268</v>
      </c>
      <c r="C348" s="1980" t="s">
        <v>2154</v>
      </c>
      <c r="D348" s="1980" t="s">
        <v>2155</v>
      </c>
      <c r="E348" s="1980" t="s">
        <v>921</v>
      </c>
      <c r="F348" s="1985">
        <v>2573.7149199999999</v>
      </c>
      <c r="G348" s="1962">
        <v>0</v>
      </c>
      <c r="H348" s="1962">
        <v>2573.7149199999999</v>
      </c>
      <c r="I348" s="1962">
        <v>0</v>
      </c>
    </row>
    <row r="349" spans="1:9" outlineLevel="2" x14ac:dyDescent="0.2">
      <c r="A349" s="1980" t="s">
        <v>2267</v>
      </c>
      <c r="B349" s="1980" t="s">
        <v>2268</v>
      </c>
      <c r="C349" s="1980" t="s">
        <v>2154</v>
      </c>
      <c r="D349" s="1980" t="s">
        <v>2155</v>
      </c>
      <c r="E349" s="1980" t="s">
        <v>922</v>
      </c>
      <c r="F349" s="1985">
        <v>4767.9759100000001</v>
      </c>
      <c r="G349" s="1962">
        <v>0</v>
      </c>
      <c r="H349" s="1962">
        <v>0</v>
      </c>
      <c r="I349" s="1962">
        <v>0</v>
      </c>
    </row>
    <row r="350" spans="1:9" outlineLevel="2" x14ac:dyDescent="0.2">
      <c r="A350" s="1980" t="s">
        <v>2267</v>
      </c>
      <c r="B350" s="1980" t="s">
        <v>2268</v>
      </c>
      <c r="C350" s="1980" t="s">
        <v>5719</v>
      </c>
      <c r="D350" s="1980" t="s">
        <v>1979</v>
      </c>
      <c r="E350" s="1980" t="s">
        <v>918</v>
      </c>
      <c r="F350" s="1985">
        <v>115.0532</v>
      </c>
      <c r="G350" s="1962">
        <v>0</v>
      </c>
      <c r="H350" s="1962">
        <v>0</v>
      </c>
      <c r="I350" s="1962">
        <v>0</v>
      </c>
    </row>
    <row r="351" spans="1:9" outlineLevel="2" x14ac:dyDescent="0.2">
      <c r="A351" s="1980" t="s">
        <v>2267</v>
      </c>
      <c r="B351" s="1980" t="s">
        <v>2268</v>
      </c>
      <c r="C351" s="1980" t="s">
        <v>5719</v>
      </c>
      <c r="D351" s="1980" t="s">
        <v>1979</v>
      </c>
      <c r="E351" s="1980" t="s">
        <v>1754</v>
      </c>
      <c r="F351" s="1985">
        <v>780.45838000000003</v>
      </c>
      <c r="G351" s="1962">
        <v>237.90425281594716</v>
      </c>
      <c r="H351" s="1962">
        <v>52.064282581239446</v>
      </c>
      <c r="I351" s="1962">
        <v>33.326875375084143</v>
      </c>
    </row>
    <row r="352" spans="1:9" outlineLevel="2" x14ac:dyDescent="0.2">
      <c r="A352" s="1980" t="s">
        <v>2267</v>
      </c>
      <c r="B352" s="1980" t="s">
        <v>2268</v>
      </c>
      <c r="C352" s="1980" t="s">
        <v>5719</v>
      </c>
      <c r="D352" s="1980" t="s">
        <v>1979</v>
      </c>
      <c r="E352" s="1980" t="s">
        <v>919</v>
      </c>
      <c r="F352" s="1985">
        <v>79.759810000000002</v>
      </c>
      <c r="G352" s="1962">
        <v>0</v>
      </c>
      <c r="H352" s="1962">
        <v>0</v>
      </c>
      <c r="I352" s="1962">
        <v>79.759810000000002</v>
      </c>
    </row>
    <row r="353" spans="1:9" outlineLevel="2" x14ac:dyDescent="0.2">
      <c r="A353" s="1980" t="s">
        <v>2267</v>
      </c>
      <c r="B353" s="1980" t="s">
        <v>2268</v>
      </c>
      <c r="C353" s="1980" t="s">
        <v>5719</v>
      </c>
      <c r="D353" s="1980" t="s">
        <v>1979</v>
      </c>
      <c r="E353" s="1980" t="s">
        <v>912</v>
      </c>
      <c r="F353" s="1985">
        <v>1346.19524</v>
      </c>
      <c r="G353" s="1962">
        <v>1346.19524</v>
      </c>
      <c r="H353" s="1962">
        <v>0</v>
      </c>
      <c r="I353" s="1962">
        <v>0</v>
      </c>
    </row>
    <row r="354" spans="1:9" outlineLevel="2" x14ac:dyDescent="0.2">
      <c r="A354" s="1980" t="s">
        <v>2267</v>
      </c>
      <c r="B354" s="1980" t="s">
        <v>2268</v>
      </c>
      <c r="C354" s="1980" t="s">
        <v>5719</v>
      </c>
      <c r="D354" s="1980" t="s">
        <v>1979</v>
      </c>
      <c r="E354" s="1980" t="s">
        <v>906</v>
      </c>
      <c r="F354" s="1985">
        <v>3.8216700000000001</v>
      </c>
      <c r="G354" s="1962">
        <v>0.9874126253312222</v>
      </c>
      <c r="H354" s="1962">
        <v>0.27290966639433234</v>
      </c>
      <c r="I354" s="1962">
        <v>0.22552569095216179</v>
      </c>
    </row>
    <row r="355" spans="1:9" outlineLevel="2" x14ac:dyDescent="0.2">
      <c r="A355" s="1980" t="s">
        <v>2267</v>
      </c>
      <c r="B355" s="1980" t="s">
        <v>2268</v>
      </c>
      <c r="C355" s="1980" t="s">
        <v>5719</v>
      </c>
      <c r="D355" s="1980" t="s">
        <v>1979</v>
      </c>
      <c r="E355" s="1980" t="s">
        <v>1083</v>
      </c>
      <c r="F355" s="1985">
        <v>2070.0221499999998</v>
      </c>
      <c r="G355" s="1962">
        <v>560.84957346962642</v>
      </c>
      <c r="H355" s="1962">
        <v>157.69240152225754</v>
      </c>
      <c r="I355" s="1962">
        <v>112.06346712944287</v>
      </c>
    </row>
    <row r="356" spans="1:9" outlineLevel="2" x14ac:dyDescent="0.2">
      <c r="A356" s="1980" t="s">
        <v>2267</v>
      </c>
      <c r="B356" s="1980" t="s">
        <v>2268</v>
      </c>
      <c r="C356" s="1980" t="s">
        <v>5719</v>
      </c>
      <c r="D356" s="1980" t="s">
        <v>1979</v>
      </c>
      <c r="E356" s="1980" t="s">
        <v>913</v>
      </c>
      <c r="F356" s="1985">
        <v>17123.18132</v>
      </c>
      <c r="G356" s="1962">
        <v>4790.0026104274248</v>
      </c>
      <c r="H356" s="1962">
        <v>1278.2331678150747</v>
      </c>
      <c r="I356" s="1962">
        <v>913.22183512117465</v>
      </c>
    </row>
    <row r="357" spans="1:9" outlineLevel="2" x14ac:dyDescent="0.2">
      <c r="A357" s="1980" t="s">
        <v>2267</v>
      </c>
      <c r="B357" s="1980" t="s">
        <v>2268</v>
      </c>
      <c r="C357" s="1980" t="s">
        <v>5719</v>
      </c>
      <c r="D357" s="1980" t="s">
        <v>1979</v>
      </c>
      <c r="E357" s="1980" t="s">
        <v>920</v>
      </c>
      <c r="F357" s="1985">
        <v>1079.3766700000001</v>
      </c>
      <c r="G357" s="1962">
        <v>0</v>
      </c>
      <c r="H357" s="1962">
        <v>0</v>
      </c>
      <c r="I357" s="1962">
        <v>0</v>
      </c>
    </row>
    <row r="358" spans="1:9" outlineLevel="2" x14ac:dyDescent="0.2">
      <c r="A358" s="1980" t="s">
        <v>2267</v>
      </c>
      <c r="B358" s="1980" t="s">
        <v>2268</v>
      </c>
      <c r="C358" s="1980" t="s">
        <v>5719</v>
      </c>
      <c r="D358" s="1980" t="s">
        <v>1979</v>
      </c>
      <c r="E358" s="1980" t="s">
        <v>921</v>
      </c>
      <c r="F358" s="1985">
        <v>57.934109999999997</v>
      </c>
      <c r="G358" s="1962">
        <v>0</v>
      </c>
      <c r="H358" s="1962">
        <v>57.934109999999997</v>
      </c>
      <c r="I358" s="1962">
        <v>0</v>
      </c>
    </row>
    <row r="359" spans="1:9" outlineLevel="2" x14ac:dyDescent="0.2">
      <c r="A359" s="1980" t="s">
        <v>2267</v>
      </c>
      <c r="B359" s="1980" t="s">
        <v>2268</v>
      </c>
      <c r="C359" s="1980" t="s">
        <v>5719</v>
      </c>
      <c r="D359" s="1980" t="s">
        <v>1979</v>
      </c>
      <c r="E359" s="1980" t="s">
        <v>922</v>
      </c>
      <c r="F359" s="1985">
        <v>551.87640999999996</v>
      </c>
      <c r="G359" s="1962">
        <v>0</v>
      </c>
      <c r="H359" s="1962">
        <v>0</v>
      </c>
      <c r="I359" s="1962">
        <v>0</v>
      </c>
    </row>
    <row r="360" spans="1:9" outlineLevel="2" x14ac:dyDescent="0.2">
      <c r="A360" s="1980" t="s">
        <v>2267</v>
      </c>
      <c r="B360" s="1980" t="s">
        <v>2268</v>
      </c>
      <c r="C360" s="1980" t="s">
        <v>5719</v>
      </c>
      <c r="D360" s="1980" t="s">
        <v>1979</v>
      </c>
      <c r="E360" s="1980" t="s">
        <v>923</v>
      </c>
      <c r="F360" s="1985">
        <v>46.384889999999999</v>
      </c>
      <c r="G360" s="1962">
        <v>0</v>
      </c>
      <c r="H360" s="1962">
        <v>0</v>
      </c>
      <c r="I360" s="1962">
        <v>0</v>
      </c>
    </row>
    <row r="361" spans="1:9" outlineLevel="2" x14ac:dyDescent="0.2">
      <c r="A361" s="1980" t="s">
        <v>2267</v>
      </c>
      <c r="B361" s="1980" t="s">
        <v>2268</v>
      </c>
      <c r="C361" s="1980" t="s">
        <v>1980</v>
      </c>
      <c r="D361" s="1980" t="s">
        <v>1981</v>
      </c>
      <c r="E361" s="1980" t="s">
        <v>918</v>
      </c>
      <c r="F361" s="1985">
        <v>49.293370000000003</v>
      </c>
      <c r="G361" s="1962">
        <v>0</v>
      </c>
      <c r="H361" s="1962">
        <v>0</v>
      </c>
      <c r="I361" s="1962">
        <v>0</v>
      </c>
    </row>
    <row r="362" spans="1:9" outlineLevel="2" x14ac:dyDescent="0.2">
      <c r="A362" s="1980" t="s">
        <v>2267</v>
      </c>
      <c r="B362" s="1980" t="s">
        <v>2268</v>
      </c>
      <c r="C362" s="1980" t="s">
        <v>1980</v>
      </c>
      <c r="D362" s="1980" t="s">
        <v>1981</v>
      </c>
      <c r="E362" s="1980" t="s">
        <v>1754</v>
      </c>
      <c r="F362" s="1985">
        <v>2021.6492900000001</v>
      </c>
      <c r="G362" s="1962">
        <v>616.25190544220959</v>
      </c>
      <c r="H362" s="1962">
        <v>134.86397559690766</v>
      </c>
      <c r="I362" s="1962">
        <v>86.327798722537068</v>
      </c>
    </row>
    <row r="363" spans="1:9" outlineLevel="2" x14ac:dyDescent="0.2">
      <c r="A363" s="1980" t="s">
        <v>2267</v>
      </c>
      <c r="B363" s="1980" t="s">
        <v>2268</v>
      </c>
      <c r="C363" s="1980" t="s">
        <v>1980</v>
      </c>
      <c r="D363" s="1980" t="s">
        <v>1981</v>
      </c>
      <c r="E363" s="1980" t="s">
        <v>919</v>
      </c>
      <c r="F363" s="1985">
        <v>408.19466999999997</v>
      </c>
      <c r="G363" s="1962">
        <v>0</v>
      </c>
      <c r="H363" s="1962">
        <v>0</v>
      </c>
      <c r="I363" s="1962">
        <v>408.19466999999997</v>
      </c>
    </row>
    <row r="364" spans="1:9" outlineLevel="2" x14ac:dyDescent="0.2">
      <c r="A364" s="1980" t="s">
        <v>2267</v>
      </c>
      <c r="B364" s="1980" t="s">
        <v>2268</v>
      </c>
      <c r="C364" s="1980" t="s">
        <v>1980</v>
      </c>
      <c r="D364" s="1980" t="s">
        <v>1981</v>
      </c>
      <c r="E364" s="1980" t="s">
        <v>912</v>
      </c>
      <c r="F364" s="1985">
        <v>971.92309999999998</v>
      </c>
      <c r="G364" s="1962">
        <v>971.92309999999998</v>
      </c>
      <c r="H364" s="1962">
        <v>0</v>
      </c>
      <c r="I364" s="1962">
        <v>0</v>
      </c>
    </row>
    <row r="365" spans="1:9" outlineLevel="2" x14ac:dyDescent="0.2">
      <c r="A365" s="1980" t="s">
        <v>2267</v>
      </c>
      <c r="B365" s="1980" t="s">
        <v>2268</v>
      </c>
      <c r="C365" s="1980" t="s">
        <v>1980</v>
      </c>
      <c r="D365" s="1980" t="s">
        <v>1981</v>
      </c>
      <c r="E365" s="1980" t="s">
        <v>906</v>
      </c>
      <c r="F365" s="1985">
        <v>22.76107</v>
      </c>
      <c r="G365" s="1962">
        <v>5.8808237979856246</v>
      </c>
      <c r="H365" s="1962">
        <v>1.6253930926736335</v>
      </c>
      <c r="I365" s="1962">
        <v>1.3431840108016968</v>
      </c>
    </row>
    <row r="366" spans="1:9" outlineLevel="2" x14ac:dyDescent="0.2">
      <c r="A366" s="1980" t="s">
        <v>2267</v>
      </c>
      <c r="B366" s="1980" t="s">
        <v>2268</v>
      </c>
      <c r="C366" s="1980" t="s">
        <v>1980</v>
      </c>
      <c r="D366" s="1980" t="s">
        <v>1981</v>
      </c>
      <c r="E366" s="1980" t="s">
        <v>1083</v>
      </c>
      <c r="F366" s="1985">
        <v>1738.25506</v>
      </c>
      <c r="G366" s="1962">
        <v>470.96095516775989</v>
      </c>
      <c r="H366" s="1962">
        <v>132.41868685782705</v>
      </c>
      <c r="I366" s="1962">
        <v>94.102804058834707</v>
      </c>
    </row>
    <row r="367" spans="1:9" outlineLevel="2" x14ac:dyDescent="0.2">
      <c r="A367" s="1980" t="s">
        <v>2267</v>
      </c>
      <c r="B367" s="1980" t="s">
        <v>2268</v>
      </c>
      <c r="C367" s="1980" t="s">
        <v>1980</v>
      </c>
      <c r="D367" s="1980" t="s">
        <v>1981</v>
      </c>
      <c r="E367" s="1980" t="s">
        <v>913</v>
      </c>
      <c r="F367" s="1985">
        <v>55519.131300000001</v>
      </c>
      <c r="G367" s="1962">
        <v>15530.804637631611</v>
      </c>
      <c r="H367" s="1962">
        <v>4144.4632133312052</v>
      </c>
      <c r="I367" s="1962">
        <v>2960.9733157996743</v>
      </c>
    </row>
    <row r="368" spans="1:9" outlineLevel="2" x14ac:dyDescent="0.2">
      <c r="A368" s="1980" t="s">
        <v>2267</v>
      </c>
      <c r="B368" s="1980" t="s">
        <v>2268</v>
      </c>
      <c r="C368" s="1980" t="s">
        <v>1980</v>
      </c>
      <c r="D368" s="1980" t="s">
        <v>1981</v>
      </c>
      <c r="E368" s="1980" t="s">
        <v>920</v>
      </c>
      <c r="F368" s="1985">
        <v>799.67675999999994</v>
      </c>
      <c r="G368" s="1962">
        <v>0</v>
      </c>
      <c r="H368" s="1962">
        <v>0</v>
      </c>
      <c r="I368" s="1962">
        <v>0</v>
      </c>
    </row>
    <row r="369" spans="1:9" outlineLevel="2" x14ac:dyDescent="0.2">
      <c r="A369" s="1980" t="s">
        <v>2267</v>
      </c>
      <c r="B369" s="1980" t="s">
        <v>2268</v>
      </c>
      <c r="C369" s="1980" t="s">
        <v>1980</v>
      </c>
      <c r="D369" s="1980" t="s">
        <v>1981</v>
      </c>
      <c r="E369" s="1980" t="s">
        <v>921</v>
      </c>
      <c r="F369" s="1985">
        <v>312.20082000000002</v>
      </c>
      <c r="G369" s="1962">
        <v>0</v>
      </c>
      <c r="H369" s="1962">
        <v>312.20082000000002</v>
      </c>
      <c r="I369" s="1962">
        <v>0</v>
      </c>
    </row>
    <row r="370" spans="1:9" outlineLevel="2" x14ac:dyDescent="0.2">
      <c r="A370" s="1980" t="s">
        <v>2267</v>
      </c>
      <c r="B370" s="1980" t="s">
        <v>2268</v>
      </c>
      <c r="C370" s="1980" t="s">
        <v>1980</v>
      </c>
      <c r="D370" s="1980" t="s">
        <v>1981</v>
      </c>
      <c r="E370" s="1980" t="s">
        <v>922</v>
      </c>
      <c r="F370" s="1985">
        <v>1153.2215000000001</v>
      </c>
      <c r="G370" s="1962">
        <v>0</v>
      </c>
      <c r="H370" s="1962">
        <v>0</v>
      </c>
      <c r="I370" s="1962">
        <v>0</v>
      </c>
    </row>
    <row r="371" spans="1:9" outlineLevel="2" x14ac:dyDescent="0.2">
      <c r="A371" s="1980" t="s">
        <v>2267</v>
      </c>
      <c r="B371" s="1980" t="s">
        <v>2268</v>
      </c>
      <c r="C371" s="1980" t="s">
        <v>1980</v>
      </c>
      <c r="D371" s="1980" t="s">
        <v>1981</v>
      </c>
      <c r="E371" s="1980" t="s">
        <v>923</v>
      </c>
      <c r="F371" s="1985">
        <v>71.689149999999998</v>
      </c>
      <c r="G371" s="1962">
        <v>0</v>
      </c>
      <c r="H371" s="1962">
        <v>0</v>
      </c>
      <c r="I371" s="1962">
        <v>0</v>
      </c>
    </row>
    <row r="372" spans="1:9" outlineLevel="2" x14ac:dyDescent="0.2">
      <c r="A372" s="1980" t="s">
        <v>2267</v>
      </c>
      <c r="B372" s="1980" t="s">
        <v>2268</v>
      </c>
      <c r="C372" s="1980" t="s">
        <v>1982</v>
      </c>
      <c r="D372" s="1980" t="s">
        <v>1983</v>
      </c>
      <c r="E372" s="1980" t="s">
        <v>1754</v>
      </c>
      <c r="F372" s="1985">
        <v>0.42877999999999999</v>
      </c>
      <c r="G372" s="1962">
        <v>0.13070342780152072</v>
      </c>
      <c r="H372" s="1962">
        <v>2.8603861086332172E-2</v>
      </c>
      <c r="I372" s="1962">
        <v>1.8309621614068107E-2</v>
      </c>
    </row>
    <row r="373" spans="1:9" outlineLevel="2" x14ac:dyDescent="0.2">
      <c r="A373" s="1980" t="s">
        <v>2267</v>
      </c>
      <c r="B373" s="1980" t="s">
        <v>2268</v>
      </c>
      <c r="C373" s="1980" t="s">
        <v>1982</v>
      </c>
      <c r="D373" s="1980" t="s">
        <v>1983</v>
      </c>
      <c r="E373" s="1980" t="s">
        <v>912</v>
      </c>
      <c r="F373" s="1985">
        <v>2.21835</v>
      </c>
      <c r="G373" s="1962">
        <v>2.21835</v>
      </c>
      <c r="H373" s="1962">
        <v>0</v>
      </c>
      <c r="I373" s="1962">
        <v>0</v>
      </c>
    </row>
    <row r="374" spans="1:9" outlineLevel="2" x14ac:dyDescent="0.2">
      <c r="A374" s="1980" t="s">
        <v>2267</v>
      </c>
      <c r="B374" s="1980" t="s">
        <v>2268</v>
      </c>
      <c r="C374" s="1980" t="s">
        <v>1982</v>
      </c>
      <c r="D374" s="1980" t="s">
        <v>1983</v>
      </c>
      <c r="E374" s="1980" t="s">
        <v>1083</v>
      </c>
      <c r="F374" s="1985">
        <v>25.020399999999999</v>
      </c>
      <c r="G374" s="1962">
        <v>6.7790002479149516</v>
      </c>
      <c r="H374" s="1962">
        <v>1.906031277514346</v>
      </c>
      <c r="I374" s="1962">
        <v>1.3545134156972729</v>
      </c>
    </row>
    <row r="375" spans="1:9" outlineLevel="2" x14ac:dyDescent="0.2">
      <c r="A375" s="1980" t="s">
        <v>2267</v>
      </c>
      <c r="B375" s="1980" t="s">
        <v>2268</v>
      </c>
      <c r="C375" s="1980" t="s">
        <v>1982</v>
      </c>
      <c r="D375" s="1980" t="s">
        <v>1983</v>
      </c>
      <c r="E375" s="1980" t="s">
        <v>913</v>
      </c>
      <c r="F375" s="1985">
        <v>739.14571000000001</v>
      </c>
      <c r="G375" s="1962">
        <v>206.76706122657777</v>
      </c>
      <c r="H375" s="1962">
        <v>55.176695540021441</v>
      </c>
      <c r="I375" s="1962">
        <v>39.420478536878775</v>
      </c>
    </row>
    <row r="376" spans="1:9" outlineLevel="2" x14ac:dyDescent="0.2">
      <c r="A376" s="1980" t="s">
        <v>2267</v>
      </c>
      <c r="B376" s="1980" t="s">
        <v>2268</v>
      </c>
      <c r="C376" s="1980" t="s">
        <v>1982</v>
      </c>
      <c r="D376" s="1980" t="s">
        <v>1983</v>
      </c>
      <c r="E376" s="1980" t="s">
        <v>920</v>
      </c>
      <c r="F376" s="1985">
        <v>9.4319600000000001</v>
      </c>
      <c r="G376" s="1962">
        <v>0</v>
      </c>
      <c r="H376" s="1962">
        <v>0</v>
      </c>
      <c r="I376" s="1962">
        <v>0</v>
      </c>
    </row>
    <row r="377" spans="1:9" outlineLevel="2" x14ac:dyDescent="0.2">
      <c r="A377" s="1980" t="s">
        <v>2267</v>
      </c>
      <c r="B377" s="1980" t="s">
        <v>2268</v>
      </c>
      <c r="C377" s="1980" t="s">
        <v>1982</v>
      </c>
      <c r="D377" s="1980" t="s">
        <v>1983</v>
      </c>
      <c r="E377" s="1980" t="s">
        <v>923</v>
      </c>
      <c r="F377" s="1985">
        <v>8.2157300000000006</v>
      </c>
      <c r="G377" s="1962">
        <v>0</v>
      </c>
      <c r="H377" s="1962">
        <v>0</v>
      </c>
      <c r="I377" s="1962">
        <v>0</v>
      </c>
    </row>
    <row r="378" spans="1:9" outlineLevel="2" x14ac:dyDescent="0.2">
      <c r="A378" s="1980" t="s">
        <v>2267</v>
      </c>
      <c r="B378" s="1980" t="s">
        <v>2268</v>
      </c>
      <c r="C378" s="1980" t="s">
        <v>2338</v>
      </c>
      <c r="D378" s="1980" t="s">
        <v>2339</v>
      </c>
      <c r="E378" s="1980" t="s">
        <v>918</v>
      </c>
      <c r="F378" s="1985">
        <v>41.207990000000002</v>
      </c>
      <c r="G378" s="1962">
        <v>0</v>
      </c>
      <c r="H378" s="1962">
        <v>0</v>
      </c>
      <c r="I378" s="1962">
        <v>0</v>
      </c>
    </row>
    <row r="379" spans="1:9" outlineLevel="2" x14ac:dyDescent="0.2">
      <c r="A379" s="1980" t="s">
        <v>2267</v>
      </c>
      <c r="B379" s="1980" t="s">
        <v>2268</v>
      </c>
      <c r="C379" s="1980" t="s">
        <v>2338</v>
      </c>
      <c r="D379" s="1980" t="s">
        <v>2339</v>
      </c>
      <c r="E379" s="1980" t="s">
        <v>919</v>
      </c>
      <c r="F379" s="1985">
        <v>313.51902000000001</v>
      </c>
      <c r="G379" s="1962">
        <v>0</v>
      </c>
      <c r="H379" s="1962">
        <v>0</v>
      </c>
      <c r="I379" s="1962">
        <v>313.51902000000001</v>
      </c>
    </row>
    <row r="380" spans="1:9" outlineLevel="2" x14ac:dyDescent="0.2">
      <c r="A380" s="1980" t="s">
        <v>2267</v>
      </c>
      <c r="B380" s="1980" t="s">
        <v>2268</v>
      </c>
      <c r="C380" s="1980" t="s">
        <v>2338</v>
      </c>
      <c r="D380" s="1980" t="s">
        <v>2339</v>
      </c>
      <c r="E380" s="1980" t="s">
        <v>912</v>
      </c>
      <c r="F380" s="1985">
        <v>1610.51053</v>
      </c>
      <c r="G380" s="1962">
        <v>1610.51053</v>
      </c>
      <c r="H380" s="1962">
        <v>0</v>
      </c>
      <c r="I380" s="1962">
        <v>0</v>
      </c>
    </row>
    <row r="381" spans="1:9" outlineLevel="2" x14ac:dyDescent="0.2">
      <c r="A381" s="1980" t="s">
        <v>2267</v>
      </c>
      <c r="B381" s="1980" t="s">
        <v>2268</v>
      </c>
      <c r="C381" s="1980" t="s">
        <v>2338</v>
      </c>
      <c r="D381" s="1980" t="s">
        <v>2339</v>
      </c>
      <c r="E381" s="1980" t="s">
        <v>906</v>
      </c>
      <c r="F381" s="1985">
        <v>25.145810000000001</v>
      </c>
      <c r="G381" s="1962">
        <v>6.4969739062190355</v>
      </c>
      <c r="H381" s="1962">
        <v>1.7956900041906458</v>
      </c>
      <c r="I381" s="1962">
        <v>1.4839130994569858</v>
      </c>
    </row>
    <row r="382" spans="1:9" outlineLevel="2" x14ac:dyDescent="0.2">
      <c r="A382" s="1980" t="s">
        <v>2267</v>
      </c>
      <c r="B382" s="1980" t="s">
        <v>2268</v>
      </c>
      <c r="C382" s="1980" t="s">
        <v>2338</v>
      </c>
      <c r="D382" s="1980" t="s">
        <v>2339</v>
      </c>
      <c r="E382" s="1980" t="s">
        <v>1083</v>
      </c>
      <c r="F382" s="1985">
        <v>545.15319</v>
      </c>
      <c r="G382" s="1962">
        <v>147.70321858010371</v>
      </c>
      <c r="H382" s="1962">
        <v>41.529273360007075</v>
      </c>
      <c r="I382" s="1962">
        <v>29.512610088774135</v>
      </c>
    </row>
    <row r="383" spans="1:9" outlineLevel="2" x14ac:dyDescent="0.2">
      <c r="A383" s="1980" t="s">
        <v>2267</v>
      </c>
      <c r="B383" s="1980" t="s">
        <v>2268</v>
      </c>
      <c r="C383" s="1980" t="s">
        <v>2338</v>
      </c>
      <c r="D383" s="1980" t="s">
        <v>2339</v>
      </c>
      <c r="E383" s="1980" t="s">
        <v>913</v>
      </c>
      <c r="F383" s="1985">
        <v>552.87531999999999</v>
      </c>
      <c r="G383" s="1962">
        <v>154.66017538152764</v>
      </c>
      <c r="H383" s="1962">
        <v>41.271744921893585</v>
      </c>
      <c r="I383" s="1962">
        <v>29.486215492788268</v>
      </c>
    </row>
    <row r="384" spans="1:9" outlineLevel="2" x14ac:dyDescent="0.2">
      <c r="A384" s="1980" t="s">
        <v>2267</v>
      </c>
      <c r="B384" s="1980" t="s">
        <v>2268</v>
      </c>
      <c r="C384" s="1980" t="s">
        <v>2338</v>
      </c>
      <c r="D384" s="1980" t="s">
        <v>2339</v>
      </c>
      <c r="E384" s="1980" t="s">
        <v>920</v>
      </c>
      <c r="F384" s="1985">
        <v>3200.3922600000001</v>
      </c>
      <c r="G384" s="1962">
        <v>0</v>
      </c>
      <c r="H384" s="1962">
        <v>0</v>
      </c>
      <c r="I384" s="1962">
        <v>0</v>
      </c>
    </row>
    <row r="385" spans="1:17" outlineLevel="2" x14ac:dyDescent="0.2">
      <c r="A385" s="1980" t="s">
        <v>2267</v>
      </c>
      <c r="B385" s="1980" t="s">
        <v>2268</v>
      </c>
      <c r="C385" s="1980" t="s">
        <v>2338</v>
      </c>
      <c r="D385" s="1980" t="s">
        <v>2339</v>
      </c>
      <c r="E385" s="1980" t="s">
        <v>921</v>
      </c>
      <c r="F385" s="1985">
        <v>271.68079999999998</v>
      </c>
      <c r="G385" s="1962">
        <v>0</v>
      </c>
      <c r="H385" s="1962">
        <v>271.68079999999998</v>
      </c>
      <c r="I385" s="1962">
        <v>0</v>
      </c>
    </row>
    <row r="386" spans="1:17" outlineLevel="2" x14ac:dyDescent="0.2">
      <c r="A386" s="1980" t="s">
        <v>2267</v>
      </c>
      <c r="B386" s="1980" t="s">
        <v>2268</v>
      </c>
      <c r="C386" s="1980" t="s">
        <v>2338</v>
      </c>
      <c r="D386" s="1980" t="s">
        <v>2339</v>
      </c>
      <c r="E386" s="1980" t="s">
        <v>922</v>
      </c>
      <c r="F386" s="1985">
        <v>680.83046999999999</v>
      </c>
      <c r="G386" s="1962">
        <v>0</v>
      </c>
      <c r="H386" s="1962">
        <v>0</v>
      </c>
      <c r="I386" s="1962">
        <v>0</v>
      </c>
    </row>
    <row r="387" spans="1:17" outlineLevel="2" x14ac:dyDescent="0.2">
      <c r="A387" s="1980" t="s">
        <v>2267</v>
      </c>
      <c r="B387" s="1980" t="s">
        <v>2268</v>
      </c>
      <c r="C387" s="1980" t="s">
        <v>2340</v>
      </c>
      <c r="D387" s="1980" t="s">
        <v>2341</v>
      </c>
      <c r="E387" s="1980" t="s">
        <v>912</v>
      </c>
      <c r="F387" s="1985">
        <v>324.40314000000001</v>
      </c>
      <c r="G387" s="1962">
        <v>324.40314000000001</v>
      </c>
      <c r="H387" s="1962">
        <v>0</v>
      </c>
      <c r="I387" s="1962">
        <v>0</v>
      </c>
    </row>
    <row r="388" spans="1:17" outlineLevel="2" x14ac:dyDescent="0.2">
      <c r="A388" s="1980" t="s">
        <v>2267</v>
      </c>
      <c r="B388" s="1980" t="s">
        <v>2268</v>
      </c>
      <c r="C388" s="1980" t="s">
        <v>2340</v>
      </c>
      <c r="D388" s="1980" t="s">
        <v>2341</v>
      </c>
      <c r="E388" s="1980" t="s">
        <v>913</v>
      </c>
      <c r="F388" s="1985">
        <v>162.29898</v>
      </c>
      <c r="G388" s="1962">
        <v>45.401174194288593</v>
      </c>
      <c r="H388" s="1962">
        <v>12.115502105689052</v>
      </c>
      <c r="I388" s="1962">
        <v>8.6558081459301413</v>
      </c>
    </row>
    <row r="389" spans="1:17" outlineLevel="2" x14ac:dyDescent="0.2">
      <c r="A389" s="1980" t="s">
        <v>2267</v>
      </c>
      <c r="B389" s="1980" t="s">
        <v>2268</v>
      </c>
      <c r="C389" s="1980" t="s">
        <v>2340</v>
      </c>
      <c r="D389" s="1980" t="s">
        <v>2341</v>
      </c>
      <c r="E389" s="1980" t="s">
        <v>920</v>
      </c>
      <c r="F389" s="1985">
        <v>673.21543999999994</v>
      </c>
      <c r="G389" s="1962">
        <v>0</v>
      </c>
      <c r="H389" s="1962">
        <v>0</v>
      </c>
      <c r="I389" s="1962">
        <v>0</v>
      </c>
    </row>
    <row r="390" spans="1:17" outlineLevel="2" x14ac:dyDescent="0.2">
      <c r="A390" s="1980" t="s">
        <v>2267</v>
      </c>
      <c r="B390" s="1980" t="s">
        <v>2268</v>
      </c>
      <c r="C390" s="1980" t="s">
        <v>2340</v>
      </c>
      <c r="D390" s="1980" t="s">
        <v>2341</v>
      </c>
      <c r="E390" s="1980" t="s">
        <v>922</v>
      </c>
      <c r="F390" s="1985">
        <v>19.118950000000002</v>
      </c>
      <c r="G390" s="1962">
        <v>0</v>
      </c>
      <c r="H390" s="1962">
        <v>0</v>
      </c>
      <c r="I390" s="1962">
        <v>0</v>
      </c>
    </row>
    <row r="391" spans="1:17" outlineLevel="2" x14ac:dyDescent="0.2">
      <c r="A391" s="1980" t="s">
        <v>2267</v>
      </c>
      <c r="B391" s="1980" t="s">
        <v>2268</v>
      </c>
      <c r="C391" s="1980" t="s">
        <v>2342</v>
      </c>
      <c r="D391" s="1980" t="s">
        <v>2343</v>
      </c>
      <c r="E391" s="1980" t="s">
        <v>918</v>
      </c>
      <c r="F391" s="1985">
        <v>387.03976</v>
      </c>
      <c r="G391" s="1962">
        <v>0</v>
      </c>
      <c r="H391" s="1962">
        <v>0</v>
      </c>
      <c r="I391" s="1962">
        <v>0</v>
      </c>
    </row>
    <row r="392" spans="1:17" outlineLevel="2" x14ac:dyDescent="0.2">
      <c r="A392" s="1980" t="s">
        <v>2267</v>
      </c>
      <c r="B392" s="1980" t="s">
        <v>2268</v>
      </c>
      <c r="C392" s="1980" t="s">
        <v>2342</v>
      </c>
      <c r="D392" s="1980" t="s">
        <v>2343</v>
      </c>
      <c r="E392" s="1980" t="s">
        <v>919</v>
      </c>
      <c r="F392" s="1985">
        <v>1787.84564</v>
      </c>
      <c r="G392" s="1962">
        <v>0</v>
      </c>
      <c r="H392" s="1962">
        <v>0</v>
      </c>
      <c r="I392" s="1962">
        <v>1787.84564</v>
      </c>
    </row>
    <row r="393" spans="1:17" outlineLevel="2" x14ac:dyDescent="0.2">
      <c r="A393" s="1980" t="s">
        <v>2267</v>
      </c>
      <c r="B393" s="1980" t="s">
        <v>2268</v>
      </c>
      <c r="C393" s="1980" t="s">
        <v>2342</v>
      </c>
      <c r="D393" s="1980" t="s">
        <v>2343</v>
      </c>
      <c r="E393" s="1980" t="s">
        <v>912</v>
      </c>
      <c r="F393" s="1985">
        <v>5996.7131499999996</v>
      </c>
      <c r="G393" s="1962">
        <v>5996.7131499999996</v>
      </c>
      <c r="H393" s="1962">
        <v>0</v>
      </c>
      <c r="I393" s="1962">
        <v>0</v>
      </c>
    </row>
    <row r="394" spans="1:17" outlineLevel="2" x14ac:dyDescent="0.2">
      <c r="A394" s="1980" t="s">
        <v>2267</v>
      </c>
      <c r="B394" s="1980" t="s">
        <v>2268</v>
      </c>
      <c r="C394" s="1980" t="s">
        <v>2342</v>
      </c>
      <c r="D394" s="1980" t="s">
        <v>2343</v>
      </c>
      <c r="E394" s="1980" t="s">
        <v>906</v>
      </c>
      <c r="F394" s="1985">
        <v>70.626509999999996</v>
      </c>
      <c r="G394" s="1962">
        <v>18.247914565381578</v>
      </c>
      <c r="H394" s="1962">
        <v>5.0435169134687126</v>
      </c>
      <c r="I394" s="1962">
        <v>4.167835649674033</v>
      </c>
      <c r="L394" s="2181">
        <f>F394/$F$394</f>
        <v>1</v>
      </c>
      <c r="M394" s="2181">
        <f>G394/$F$394</f>
        <v>0.25837202723710373</v>
      </c>
      <c r="N394" s="2181">
        <f>H394/$F$394</f>
        <v>7.1411102055994449E-2</v>
      </c>
      <c r="O394" s="2181">
        <f>I394/$F$394</f>
        <v>5.9012340404106522E-2</v>
      </c>
      <c r="P394" s="2181">
        <f>SUM(M394:O394)</f>
        <v>0.38879546969720469</v>
      </c>
      <c r="Q394" s="1953" t="s">
        <v>906</v>
      </c>
    </row>
    <row r="395" spans="1:17" outlineLevel="2" x14ac:dyDescent="0.2">
      <c r="A395" s="1980" t="s">
        <v>2267</v>
      </c>
      <c r="B395" s="1980" t="s">
        <v>2268</v>
      </c>
      <c r="C395" s="1980" t="s">
        <v>2342</v>
      </c>
      <c r="D395" s="1980" t="s">
        <v>2343</v>
      </c>
      <c r="E395" s="1980" t="s">
        <v>1083</v>
      </c>
      <c r="F395" s="1985">
        <v>8618.3713900000002</v>
      </c>
      <c r="G395" s="1962">
        <v>2335.0522689258819</v>
      </c>
      <c r="H395" s="1962">
        <v>656.53968084342341</v>
      </c>
      <c r="I395" s="1962">
        <v>466.56726787807366</v>
      </c>
      <c r="L395" s="2181">
        <f>F395/$F$395</f>
        <v>1</v>
      </c>
      <c r="M395" s="2181">
        <f>G395/$F$395</f>
        <v>0.27093892375481415</v>
      </c>
      <c r="N395" s="2181">
        <f>H395/$F$395</f>
        <v>7.6179088963979236E-2</v>
      </c>
      <c r="O395" s="2181">
        <f>I395/$F$395</f>
        <v>5.4136361357023585E-2</v>
      </c>
      <c r="P395" s="2181">
        <f>SUM(M395:O395)</f>
        <v>0.40125437407581699</v>
      </c>
      <c r="Q395" s="1953" t="s">
        <v>1083</v>
      </c>
    </row>
    <row r="396" spans="1:17" outlineLevel="2" x14ac:dyDescent="0.2">
      <c r="A396" s="1980" t="s">
        <v>2267</v>
      </c>
      <c r="B396" s="1980" t="s">
        <v>2268</v>
      </c>
      <c r="C396" s="1980" t="s">
        <v>2342</v>
      </c>
      <c r="D396" s="1980" t="s">
        <v>2343</v>
      </c>
      <c r="E396" s="1980" t="s">
        <v>913</v>
      </c>
      <c r="F396" s="1985">
        <v>1032.37186</v>
      </c>
      <c r="G396" s="1962">
        <v>288.79352568415226</v>
      </c>
      <c r="H396" s="1962">
        <v>77.065816702508684</v>
      </c>
      <c r="I396" s="1962">
        <v>55.058958198117146</v>
      </c>
    </row>
    <row r="397" spans="1:17" outlineLevel="2" x14ac:dyDescent="0.2">
      <c r="A397" s="1980" t="s">
        <v>2267</v>
      </c>
      <c r="B397" s="1980" t="s">
        <v>2268</v>
      </c>
      <c r="C397" s="1980" t="s">
        <v>2342</v>
      </c>
      <c r="D397" s="1980" t="s">
        <v>2343</v>
      </c>
      <c r="E397" s="1980" t="s">
        <v>920</v>
      </c>
      <c r="F397" s="1985">
        <v>8776.21126</v>
      </c>
      <c r="G397" s="1962">
        <v>0</v>
      </c>
      <c r="H397" s="1962">
        <v>0</v>
      </c>
      <c r="I397" s="1962">
        <v>0</v>
      </c>
    </row>
    <row r="398" spans="1:17" outlineLevel="2" x14ac:dyDescent="0.2">
      <c r="A398" s="1980" t="s">
        <v>2267</v>
      </c>
      <c r="B398" s="1980" t="s">
        <v>2268</v>
      </c>
      <c r="C398" s="1980" t="s">
        <v>2342</v>
      </c>
      <c r="D398" s="1980" t="s">
        <v>2343</v>
      </c>
      <c r="E398" s="1980" t="s">
        <v>921</v>
      </c>
      <c r="F398" s="1985">
        <v>1356.0686700000001</v>
      </c>
      <c r="G398" s="1962">
        <v>0</v>
      </c>
      <c r="H398" s="1962">
        <v>1356.0686700000001</v>
      </c>
      <c r="I398" s="1962">
        <v>0</v>
      </c>
    </row>
    <row r="399" spans="1:17" outlineLevel="2" x14ac:dyDescent="0.2">
      <c r="A399" s="1980" t="s">
        <v>2267</v>
      </c>
      <c r="B399" s="1980" t="s">
        <v>2268</v>
      </c>
      <c r="C399" s="1980" t="s">
        <v>2342</v>
      </c>
      <c r="D399" s="1980" t="s">
        <v>2343</v>
      </c>
      <c r="E399" s="1980" t="s">
        <v>922</v>
      </c>
      <c r="F399" s="1985">
        <v>2559.2541500000002</v>
      </c>
      <c r="G399" s="1962">
        <v>0</v>
      </c>
      <c r="H399" s="1962">
        <v>0</v>
      </c>
      <c r="I399" s="1962">
        <v>0</v>
      </c>
    </row>
    <row r="400" spans="1:17" outlineLevel="2" x14ac:dyDescent="0.2">
      <c r="A400" s="1980" t="s">
        <v>2267</v>
      </c>
      <c r="B400" s="1980" t="s">
        <v>2268</v>
      </c>
      <c r="C400" s="1980" t="s">
        <v>2342</v>
      </c>
      <c r="D400" s="1980" t="s">
        <v>2343</v>
      </c>
      <c r="E400" s="1980" t="s">
        <v>923</v>
      </c>
      <c r="F400" s="1985">
        <v>328.12347</v>
      </c>
      <c r="G400" s="1962">
        <v>0</v>
      </c>
      <c r="H400" s="1962">
        <v>0</v>
      </c>
      <c r="I400" s="1962">
        <v>0</v>
      </c>
    </row>
    <row r="401" spans="1:9" outlineLevel="2" x14ac:dyDescent="0.2">
      <c r="A401" s="1980" t="s">
        <v>2267</v>
      </c>
      <c r="B401" s="1980" t="s">
        <v>2268</v>
      </c>
      <c r="C401" s="1980" t="s">
        <v>2344</v>
      </c>
      <c r="D401" s="1980" t="s">
        <v>2345</v>
      </c>
      <c r="E401" s="1980" t="s">
        <v>918</v>
      </c>
      <c r="F401" s="1985">
        <v>1224.99721</v>
      </c>
      <c r="G401" s="1962">
        <v>0</v>
      </c>
      <c r="H401" s="1962">
        <v>0</v>
      </c>
      <c r="I401" s="1962">
        <v>0</v>
      </c>
    </row>
    <row r="402" spans="1:9" outlineLevel="2" x14ac:dyDescent="0.2">
      <c r="A402" s="1980" t="s">
        <v>2267</v>
      </c>
      <c r="B402" s="1980" t="s">
        <v>2268</v>
      </c>
      <c r="C402" s="1980" t="s">
        <v>2344</v>
      </c>
      <c r="D402" s="1980" t="s">
        <v>2345</v>
      </c>
      <c r="E402" s="1980" t="s">
        <v>919</v>
      </c>
      <c r="F402" s="1985">
        <v>4333.8583500000004</v>
      </c>
      <c r="G402" s="1962">
        <v>0</v>
      </c>
      <c r="H402" s="1962">
        <v>0</v>
      </c>
      <c r="I402" s="1962">
        <v>4333.8583500000004</v>
      </c>
    </row>
    <row r="403" spans="1:9" outlineLevel="2" x14ac:dyDescent="0.2">
      <c r="A403" s="1980" t="s">
        <v>2267</v>
      </c>
      <c r="B403" s="1980" t="s">
        <v>2268</v>
      </c>
      <c r="C403" s="1980" t="s">
        <v>2344</v>
      </c>
      <c r="D403" s="1980" t="s">
        <v>2345</v>
      </c>
      <c r="E403" s="1980" t="s">
        <v>912</v>
      </c>
      <c r="F403" s="1985">
        <v>14738.92785</v>
      </c>
      <c r="G403" s="1962">
        <v>14738.92785</v>
      </c>
      <c r="H403" s="1962">
        <v>0</v>
      </c>
      <c r="I403" s="1962">
        <v>0</v>
      </c>
    </row>
    <row r="404" spans="1:9" outlineLevel="2" x14ac:dyDescent="0.2">
      <c r="A404" s="1980" t="s">
        <v>2267</v>
      </c>
      <c r="B404" s="1980" t="s">
        <v>2268</v>
      </c>
      <c r="C404" s="1980" t="s">
        <v>2344</v>
      </c>
      <c r="D404" s="1980" t="s">
        <v>2345</v>
      </c>
      <c r="E404" s="1980" t="s">
        <v>906</v>
      </c>
      <c r="F404" s="1985">
        <v>110.51173</v>
      </c>
      <c r="G404" s="1962">
        <v>28.553139713579455</v>
      </c>
      <c r="H404" s="1962">
        <v>7.8917644294145033</v>
      </c>
      <c r="I404" s="1962">
        <v>6.5215558294067106</v>
      </c>
    </row>
    <row r="405" spans="1:9" outlineLevel="2" x14ac:dyDescent="0.2">
      <c r="A405" s="1980" t="s">
        <v>2267</v>
      </c>
      <c r="B405" s="1980" t="s">
        <v>2268</v>
      </c>
      <c r="C405" s="1980" t="s">
        <v>2344</v>
      </c>
      <c r="D405" s="1980" t="s">
        <v>2345</v>
      </c>
      <c r="E405" s="1980" t="s">
        <v>1083</v>
      </c>
      <c r="F405" s="1985">
        <v>7574.4435199999998</v>
      </c>
      <c r="G405" s="1962">
        <v>2052.2115753504263</v>
      </c>
      <c r="H405" s="1962">
        <v>577.01420676271607</v>
      </c>
      <c r="I405" s="1962">
        <v>410.0528114770857</v>
      </c>
    </row>
    <row r="406" spans="1:9" outlineLevel="2" x14ac:dyDescent="0.2">
      <c r="A406" s="1980" t="s">
        <v>2267</v>
      </c>
      <c r="B406" s="1980" t="s">
        <v>2268</v>
      </c>
      <c r="C406" s="1980" t="s">
        <v>2344</v>
      </c>
      <c r="D406" s="1980" t="s">
        <v>2345</v>
      </c>
      <c r="E406" s="1980" t="s">
        <v>913</v>
      </c>
      <c r="F406" s="1985">
        <v>425.41601000000003</v>
      </c>
      <c r="G406" s="1962">
        <v>119.00497695702843</v>
      </c>
      <c r="H406" s="1962">
        <v>31.756999119457404</v>
      </c>
      <c r="I406" s="1962">
        <v>22.688493573817276</v>
      </c>
    </row>
    <row r="407" spans="1:9" outlineLevel="2" x14ac:dyDescent="0.2">
      <c r="A407" s="1980" t="s">
        <v>2267</v>
      </c>
      <c r="B407" s="1980" t="s">
        <v>2268</v>
      </c>
      <c r="C407" s="1980" t="s">
        <v>2344</v>
      </c>
      <c r="D407" s="1980" t="s">
        <v>2345</v>
      </c>
      <c r="E407" s="1980" t="s">
        <v>920</v>
      </c>
      <c r="F407" s="1985">
        <v>24326.959650000001</v>
      </c>
      <c r="G407" s="1962">
        <v>0</v>
      </c>
      <c r="H407" s="1962">
        <v>0</v>
      </c>
      <c r="I407" s="1962">
        <v>0</v>
      </c>
    </row>
    <row r="408" spans="1:9" outlineLevel="2" x14ac:dyDescent="0.2">
      <c r="A408" s="1980" t="s">
        <v>2267</v>
      </c>
      <c r="B408" s="1980" t="s">
        <v>2268</v>
      </c>
      <c r="C408" s="1980" t="s">
        <v>2344</v>
      </c>
      <c r="D408" s="1980" t="s">
        <v>2345</v>
      </c>
      <c r="E408" s="1980" t="s">
        <v>921</v>
      </c>
      <c r="F408" s="1985">
        <v>3473.0959800000001</v>
      </c>
      <c r="G408" s="1962">
        <v>0</v>
      </c>
      <c r="H408" s="1962">
        <v>3473.0959800000001</v>
      </c>
      <c r="I408" s="1962">
        <v>0</v>
      </c>
    </row>
    <row r="409" spans="1:9" outlineLevel="2" x14ac:dyDescent="0.2">
      <c r="A409" s="1980" t="s">
        <v>2267</v>
      </c>
      <c r="B409" s="1980" t="s">
        <v>2268</v>
      </c>
      <c r="C409" s="1980" t="s">
        <v>2344</v>
      </c>
      <c r="D409" s="1980" t="s">
        <v>2345</v>
      </c>
      <c r="E409" s="1980" t="s">
        <v>922</v>
      </c>
      <c r="F409" s="1985">
        <v>6260.5724799999998</v>
      </c>
      <c r="G409" s="1962">
        <v>0</v>
      </c>
      <c r="H409" s="1962">
        <v>0</v>
      </c>
      <c r="I409" s="1962">
        <v>0</v>
      </c>
    </row>
    <row r="410" spans="1:9" outlineLevel="2" x14ac:dyDescent="0.2">
      <c r="A410" s="1980" t="s">
        <v>2267</v>
      </c>
      <c r="B410" s="1980" t="s">
        <v>2268</v>
      </c>
      <c r="C410" s="1980" t="s">
        <v>2344</v>
      </c>
      <c r="D410" s="1980" t="s">
        <v>2345</v>
      </c>
      <c r="E410" s="1980" t="s">
        <v>923</v>
      </c>
      <c r="F410" s="1985">
        <v>1250.19181</v>
      </c>
      <c r="G410" s="1962">
        <v>0</v>
      </c>
      <c r="H410" s="1962">
        <v>0</v>
      </c>
      <c r="I410" s="1962">
        <v>0</v>
      </c>
    </row>
    <row r="411" spans="1:9" outlineLevel="2" x14ac:dyDescent="0.2">
      <c r="A411" s="1980" t="s">
        <v>2267</v>
      </c>
      <c r="B411" s="1980" t="s">
        <v>2268</v>
      </c>
      <c r="C411" s="1980" t="s">
        <v>2346</v>
      </c>
      <c r="D411" s="1980" t="s">
        <v>2347</v>
      </c>
      <c r="E411" s="1980" t="s">
        <v>912</v>
      </c>
      <c r="F411" s="1985">
        <v>370.64954999999998</v>
      </c>
      <c r="G411" s="1962">
        <v>370.64954999999998</v>
      </c>
      <c r="H411" s="1962">
        <v>0</v>
      </c>
      <c r="I411" s="1962">
        <v>0</v>
      </c>
    </row>
    <row r="412" spans="1:9" outlineLevel="2" x14ac:dyDescent="0.2">
      <c r="A412" s="1980" t="s">
        <v>2267</v>
      </c>
      <c r="B412" s="1980" t="s">
        <v>2268</v>
      </c>
      <c r="C412" s="1980" t="s">
        <v>2346</v>
      </c>
      <c r="D412" s="1980" t="s">
        <v>2347</v>
      </c>
      <c r="E412" s="1980" t="s">
        <v>906</v>
      </c>
      <c r="F412" s="1985">
        <v>3.5</v>
      </c>
      <c r="G412" s="1962">
        <v>0.90430209532986305</v>
      </c>
      <c r="H412" s="1962">
        <v>0.24993885719598058</v>
      </c>
      <c r="I412" s="1962">
        <v>0.20654319141437283</v>
      </c>
    </row>
    <row r="413" spans="1:9" outlineLevel="2" x14ac:dyDescent="0.2">
      <c r="A413" s="1980" t="s">
        <v>2267</v>
      </c>
      <c r="B413" s="1980" t="s">
        <v>2268</v>
      </c>
      <c r="C413" s="1980" t="s">
        <v>2346</v>
      </c>
      <c r="D413" s="1980" t="s">
        <v>2347</v>
      </c>
      <c r="E413" s="1980" t="s">
        <v>1083</v>
      </c>
      <c r="F413" s="1985">
        <v>4032.1698200000001</v>
      </c>
      <c r="G413" s="1962">
        <v>1092.4717514274428</v>
      </c>
      <c r="H413" s="1962">
        <v>307.16702343565214</v>
      </c>
      <c r="I413" s="1962">
        <v>218.28700242840475</v>
      </c>
    </row>
    <row r="414" spans="1:9" outlineLevel="2" x14ac:dyDescent="0.2">
      <c r="A414" s="1980" t="s">
        <v>2267</v>
      </c>
      <c r="B414" s="1980" t="s">
        <v>2268</v>
      </c>
      <c r="C414" s="1980" t="s">
        <v>2346</v>
      </c>
      <c r="D414" s="1980" t="s">
        <v>2347</v>
      </c>
      <c r="E414" s="1980" t="s">
        <v>920</v>
      </c>
      <c r="F414" s="1985">
        <v>149.11608000000001</v>
      </c>
      <c r="G414" s="1962">
        <v>0</v>
      </c>
      <c r="H414" s="1962">
        <v>0</v>
      </c>
      <c r="I414" s="1962">
        <v>0</v>
      </c>
    </row>
    <row r="415" spans="1:9" outlineLevel="2" x14ac:dyDescent="0.2">
      <c r="A415" s="1980" t="s">
        <v>2267</v>
      </c>
      <c r="B415" s="1980" t="s">
        <v>2268</v>
      </c>
      <c r="C415" s="1980" t="s">
        <v>2346</v>
      </c>
      <c r="D415" s="1980" t="s">
        <v>2347</v>
      </c>
      <c r="E415" s="1980" t="s">
        <v>921</v>
      </c>
      <c r="F415" s="1985">
        <v>86.224090000000004</v>
      </c>
      <c r="G415" s="1962">
        <v>0</v>
      </c>
      <c r="H415" s="1962">
        <v>86.224090000000004</v>
      </c>
      <c r="I415" s="1962">
        <v>0</v>
      </c>
    </row>
    <row r="416" spans="1:9" outlineLevel="2" x14ac:dyDescent="0.2">
      <c r="A416" s="1980" t="s">
        <v>2267</v>
      </c>
      <c r="B416" s="1980" t="s">
        <v>2268</v>
      </c>
      <c r="C416" s="1980" t="s">
        <v>2348</v>
      </c>
      <c r="D416" s="1980" t="s">
        <v>2349</v>
      </c>
      <c r="E416" s="1980" t="s">
        <v>918</v>
      </c>
      <c r="F416" s="1985">
        <v>632.39527999999996</v>
      </c>
      <c r="G416" s="1962">
        <v>0</v>
      </c>
      <c r="H416" s="1962">
        <v>0</v>
      </c>
      <c r="I416" s="1962">
        <v>0</v>
      </c>
    </row>
    <row r="417" spans="1:9" outlineLevel="2" x14ac:dyDescent="0.2">
      <c r="A417" s="1980" t="s">
        <v>2267</v>
      </c>
      <c r="B417" s="1980" t="s">
        <v>2268</v>
      </c>
      <c r="C417" s="1980" t="s">
        <v>2348</v>
      </c>
      <c r="D417" s="1980" t="s">
        <v>2349</v>
      </c>
      <c r="E417" s="1980" t="s">
        <v>919</v>
      </c>
      <c r="F417" s="1985">
        <v>2493.1154099999999</v>
      </c>
      <c r="G417" s="1962">
        <v>0</v>
      </c>
      <c r="H417" s="1962">
        <v>0</v>
      </c>
      <c r="I417" s="1962">
        <v>2493.1154099999999</v>
      </c>
    </row>
    <row r="418" spans="1:9" outlineLevel="2" x14ac:dyDescent="0.2">
      <c r="A418" s="1980" t="s">
        <v>2267</v>
      </c>
      <c r="B418" s="1980" t="s">
        <v>2268</v>
      </c>
      <c r="C418" s="1980" t="s">
        <v>2348</v>
      </c>
      <c r="D418" s="1980" t="s">
        <v>2349</v>
      </c>
      <c r="E418" s="1980" t="s">
        <v>912</v>
      </c>
      <c r="F418" s="1985">
        <v>5815.1824999999999</v>
      </c>
      <c r="G418" s="1962">
        <v>5815.1824999999999</v>
      </c>
      <c r="H418" s="1962">
        <v>0</v>
      </c>
      <c r="I418" s="1962">
        <v>0</v>
      </c>
    </row>
    <row r="419" spans="1:9" outlineLevel="2" x14ac:dyDescent="0.2">
      <c r="A419" s="1980" t="s">
        <v>2267</v>
      </c>
      <c r="B419" s="1980" t="s">
        <v>2268</v>
      </c>
      <c r="C419" s="1980" t="s">
        <v>2348</v>
      </c>
      <c r="D419" s="1980" t="s">
        <v>2349</v>
      </c>
      <c r="E419" s="1980" t="s">
        <v>906</v>
      </c>
      <c r="F419" s="1985">
        <v>41.30735</v>
      </c>
      <c r="G419" s="1962">
        <v>10.672663759292577</v>
      </c>
      <c r="H419" s="1962">
        <v>2.9498033865126825</v>
      </c>
      <c r="I419" s="1962">
        <v>2.4376433993915696</v>
      </c>
    </row>
    <row r="420" spans="1:9" outlineLevel="2" x14ac:dyDescent="0.2">
      <c r="A420" s="1980" t="s">
        <v>2267</v>
      </c>
      <c r="B420" s="1980" t="s">
        <v>2268</v>
      </c>
      <c r="C420" s="1980" t="s">
        <v>2348</v>
      </c>
      <c r="D420" s="1980" t="s">
        <v>2349</v>
      </c>
      <c r="E420" s="1980" t="s">
        <v>1083</v>
      </c>
      <c r="F420" s="1985">
        <v>2065.6001700000002</v>
      </c>
      <c r="G420" s="1962">
        <v>559.65148696756125</v>
      </c>
      <c r="H420" s="1962">
        <v>157.35553911444063</v>
      </c>
      <c r="I420" s="1962">
        <v>111.82407722224936</v>
      </c>
    </row>
    <row r="421" spans="1:9" outlineLevel="2" x14ac:dyDescent="0.2">
      <c r="A421" s="1980" t="s">
        <v>2267</v>
      </c>
      <c r="B421" s="1980" t="s">
        <v>2268</v>
      </c>
      <c r="C421" s="1980" t="s">
        <v>2348</v>
      </c>
      <c r="D421" s="1980" t="s">
        <v>2349</v>
      </c>
      <c r="E421" s="1980" t="s">
        <v>913</v>
      </c>
      <c r="F421" s="1985">
        <v>1049.1016999999999</v>
      </c>
      <c r="G421" s="1962">
        <v>293.47349582372169</v>
      </c>
      <c r="H421" s="1962">
        <v>78.314687223739568</v>
      </c>
      <c r="I421" s="1962">
        <v>55.951202162633173</v>
      </c>
    </row>
    <row r="422" spans="1:9" outlineLevel="2" x14ac:dyDescent="0.2">
      <c r="A422" s="1980" t="s">
        <v>2267</v>
      </c>
      <c r="B422" s="1980" t="s">
        <v>2268</v>
      </c>
      <c r="C422" s="1980" t="s">
        <v>2348</v>
      </c>
      <c r="D422" s="1980" t="s">
        <v>2349</v>
      </c>
      <c r="E422" s="1980" t="s">
        <v>920</v>
      </c>
      <c r="F422" s="1985">
        <v>12998.119720000001</v>
      </c>
      <c r="G422" s="1962">
        <v>0</v>
      </c>
      <c r="H422" s="1962">
        <v>0</v>
      </c>
      <c r="I422" s="1962">
        <v>0</v>
      </c>
    </row>
    <row r="423" spans="1:9" outlineLevel="2" x14ac:dyDescent="0.2">
      <c r="A423" s="1980" t="s">
        <v>2267</v>
      </c>
      <c r="B423" s="1980" t="s">
        <v>2268</v>
      </c>
      <c r="C423" s="1980" t="s">
        <v>2348</v>
      </c>
      <c r="D423" s="1980" t="s">
        <v>2349</v>
      </c>
      <c r="E423" s="1980" t="s">
        <v>921</v>
      </c>
      <c r="F423" s="1985">
        <v>1134.16668</v>
      </c>
      <c r="G423" s="1962">
        <v>0</v>
      </c>
      <c r="H423" s="1962">
        <v>1134.16668</v>
      </c>
      <c r="I423" s="1962">
        <v>0</v>
      </c>
    </row>
    <row r="424" spans="1:9" outlineLevel="2" x14ac:dyDescent="0.2">
      <c r="A424" s="1980" t="s">
        <v>2267</v>
      </c>
      <c r="B424" s="1980" t="s">
        <v>2268</v>
      </c>
      <c r="C424" s="1980" t="s">
        <v>2348</v>
      </c>
      <c r="D424" s="1980" t="s">
        <v>2349</v>
      </c>
      <c r="E424" s="1980" t="s">
        <v>922</v>
      </c>
      <c r="F424" s="1985">
        <v>4496.4990100000005</v>
      </c>
      <c r="G424" s="1962">
        <v>0</v>
      </c>
      <c r="H424" s="1962">
        <v>0</v>
      </c>
      <c r="I424" s="1962">
        <v>0</v>
      </c>
    </row>
    <row r="425" spans="1:9" outlineLevel="2" x14ac:dyDescent="0.2">
      <c r="A425" s="1980" t="s">
        <v>2267</v>
      </c>
      <c r="B425" s="1980" t="s">
        <v>2268</v>
      </c>
      <c r="C425" s="1980" t="s">
        <v>2348</v>
      </c>
      <c r="D425" s="1980" t="s">
        <v>2349</v>
      </c>
      <c r="E425" s="1980" t="s">
        <v>923</v>
      </c>
      <c r="F425" s="1985">
        <v>1198.75235</v>
      </c>
      <c r="G425" s="1962">
        <v>0</v>
      </c>
      <c r="H425" s="1962">
        <v>0</v>
      </c>
      <c r="I425" s="1962">
        <v>0</v>
      </c>
    </row>
    <row r="426" spans="1:9" outlineLevel="2" x14ac:dyDescent="0.2">
      <c r="A426" s="1980" t="s">
        <v>2267</v>
      </c>
      <c r="B426" s="1980" t="s">
        <v>2268</v>
      </c>
      <c r="C426" s="1980" t="s">
        <v>2350</v>
      </c>
      <c r="D426" s="1980" t="s">
        <v>2351</v>
      </c>
      <c r="E426" s="1980" t="s">
        <v>918</v>
      </c>
      <c r="F426" s="1985">
        <v>304.49049000000002</v>
      </c>
      <c r="G426" s="1962">
        <v>0</v>
      </c>
      <c r="H426" s="1962">
        <v>0</v>
      </c>
      <c r="I426" s="1962">
        <v>0</v>
      </c>
    </row>
    <row r="427" spans="1:9" outlineLevel="2" x14ac:dyDescent="0.2">
      <c r="A427" s="1980" t="s">
        <v>2267</v>
      </c>
      <c r="B427" s="1980" t="s">
        <v>2268</v>
      </c>
      <c r="C427" s="1980" t="s">
        <v>2350</v>
      </c>
      <c r="D427" s="1980" t="s">
        <v>2351</v>
      </c>
      <c r="E427" s="1980" t="s">
        <v>919</v>
      </c>
      <c r="F427" s="1985">
        <v>251.756</v>
      </c>
      <c r="G427" s="1962">
        <v>0</v>
      </c>
      <c r="H427" s="1962">
        <v>0</v>
      </c>
      <c r="I427" s="1962">
        <v>251.756</v>
      </c>
    </row>
    <row r="428" spans="1:9" outlineLevel="2" x14ac:dyDescent="0.2">
      <c r="A428" s="1980" t="s">
        <v>2267</v>
      </c>
      <c r="B428" s="1980" t="s">
        <v>2268</v>
      </c>
      <c r="C428" s="1980" t="s">
        <v>2350</v>
      </c>
      <c r="D428" s="1980" t="s">
        <v>2351</v>
      </c>
      <c r="E428" s="1980" t="s">
        <v>912</v>
      </c>
      <c r="F428" s="1985">
        <v>787.88688999999999</v>
      </c>
      <c r="G428" s="1962">
        <v>787.88688999999999</v>
      </c>
      <c r="H428" s="1962">
        <v>0</v>
      </c>
      <c r="I428" s="1962">
        <v>0</v>
      </c>
    </row>
    <row r="429" spans="1:9" outlineLevel="2" x14ac:dyDescent="0.2">
      <c r="A429" s="1980" t="s">
        <v>2267</v>
      </c>
      <c r="B429" s="1980" t="s">
        <v>2268</v>
      </c>
      <c r="C429" s="1980" t="s">
        <v>2350</v>
      </c>
      <c r="D429" s="1980" t="s">
        <v>2351</v>
      </c>
      <c r="E429" s="1980" t="s">
        <v>906</v>
      </c>
      <c r="F429" s="1985">
        <v>6.085</v>
      </c>
      <c r="G429" s="1962">
        <v>1.5721937857377761</v>
      </c>
      <c r="H429" s="1962">
        <v>0.43453655601072622</v>
      </c>
      <c r="I429" s="1962">
        <v>0.35909009135898817</v>
      </c>
    </row>
    <row r="430" spans="1:9" outlineLevel="2" x14ac:dyDescent="0.2">
      <c r="A430" s="1980" t="s">
        <v>2267</v>
      </c>
      <c r="B430" s="1980" t="s">
        <v>2268</v>
      </c>
      <c r="C430" s="1980" t="s">
        <v>2350</v>
      </c>
      <c r="D430" s="1980" t="s">
        <v>2351</v>
      </c>
      <c r="E430" s="1980" t="s">
        <v>1083</v>
      </c>
      <c r="F430" s="1985">
        <v>1664.3085100000001</v>
      </c>
      <c r="G430" s="1962">
        <v>450.92595649537839</v>
      </c>
      <c r="H430" s="1962">
        <v>126.78550604679774</v>
      </c>
      <c r="I430" s="1962">
        <v>90.099606906929509</v>
      </c>
    </row>
    <row r="431" spans="1:9" outlineLevel="2" x14ac:dyDescent="0.2">
      <c r="A431" s="1980" t="s">
        <v>2267</v>
      </c>
      <c r="B431" s="1980" t="s">
        <v>2268</v>
      </c>
      <c r="C431" s="1980" t="s">
        <v>2350</v>
      </c>
      <c r="D431" s="1980" t="s">
        <v>2351</v>
      </c>
      <c r="E431" s="1980" t="s">
        <v>913</v>
      </c>
      <c r="F431" s="1985">
        <v>100.36626</v>
      </c>
      <c r="G431" s="1962">
        <v>28.076245787183993</v>
      </c>
      <c r="H431" s="1962">
        <v>7.4922692495787198</v>
      </c>
      <c r="I431" s="1962">
        <v>5.3527821979198045</v>
      </c>
    </row>
    <row r="432" spans="1:9" outlineLevel="2" x14ac:dyDescent="0.2">
      <c r="A432" s="1980" t="s">
        <v>2267</v>
      </c>
      <c r="B432" s="1980" t="s">
        <v>2268</v>
      </c>
      <c r="C432" s="1980" t="s">
        <v>2350</v>
      </c>
      <c r="D432" s="1980" t="s">
        <v>2351</v>
      </c>
      <c r="E432" s="1980" t="s">
        <v>920</v>
      </c>
      <c r="F432" s="1985">
        <v>565.91110000000003</v>
      </c>
      <c r="G432" s="1962">
        <v>0</v>
      </c>
      <c r="H432" s="1962">
        <v>0</v>
      </c>
      <c r="I432" s="1962">
        <v>0</v>
      </c>
    </row>
    <row r="433" spans="1:9" outlineLevel="2" x14ac:dyDescent="0.2">
      <c r="A433" s="1980" t="s">
        <v>2267</v>
      </c>
      <c r="B433" s="1980" t="s">
        <v>2268</v>
      </c>
      <c r="C433" s="1980" t="s">
        <v>2350</v>
      </c>
      <c r="D433" s="1980" t="s">
        <v>2351</v>
      </c>
      <c r="E433" s="1980" t="s">
        <v>921</v>
      </c>
      <c r="F433" s="1985">
        <v>128.82228000000001</v>
      </c>
      <c r="G433" s="1962">
        <v>0</v>
      </c>
      <c r="H433" s="1962">
        <v>128.82228000000001</v>
      </c>
      <c r="I433" s="1962">
        <v>0</v>
      </c>
    </row>
    <row r="434" spans="1:9" outlineLevel="2" x14ac:dyDescent="0.2">
      <c r="A434" s="1980" t="s">
        <v>2267</v>
      </c>
      <c r="B434" s="1980" t="s">
        <v>2268</v>
      </c>
      <c r="C434" s="1980" t="s">
        <v>2350</v>
      </c>
      <c r="D434" s="1980" t="s">
        <v>2351</v>
      </c>
      <c r="E434" s="1980" t="s">
        <v>922</v>
      </c>
      <c r="F434" s="1985">
        <v>469.33776</v>
      </c>
      <c r="G434" s="1962">
        <v>0</v>
      </c>
      <c r="H434" s="1962">
        <v>0</v>
      </c>
      <c r="I434" s="1962">
        <v>0</v>
      </c>
    </row>
    <row r="435" spans="1:9" outlineLevel="2" x14ac:dyDescent="0.2">
      <c r="A435" s="1980" t="s">
        <v>2267</v>
      </c>
      <c r="B435" s="1980" t="s">
        <v>2268</v>
      </c>
      <c r="C435" s="1980" t="s">
        <v>2350</v>
      </c>
      <c r="D435" s="1980" t="s">
        <v>2351</v>
      </c>
      <c r="E435" s="1980" t="s">
        <v>923</v>
      </c>
      <c r="F435" s="1985">
        <v>120.53462</v>
      </c>
      <c r="G435" s="1962">
        <v>0</v>
      </c>
      <c r="H435" s="1962">
        <v>0</v>
      </c>
      <c r="I435" s="1962">
        <v>0</v>
      </c>
    </row>
    <row r="436" spans="1:9" outlineLevel="2" x14ac:dyDescent="0.2">
      <c r="A436" s="1980" t="s">
        <v>2267</v>
      </c>
      <c r="B436" s="1980" t="s">
        <v>2268</v>
      </c>
      <c r="C436" s="1980" t="s">
        <v>2352</v>
      </c>
      <c r="D436" s="1980" t="s">
        <v>2353</v>
      </c>
      <c r="E436" s="1980" t="s">
        <v>912</v>
      </c>
      <c r="F436" s="1985">
        <v>497.03134</v>
      </c>
      <c r="G436" s="1962">
        <v>497.03134</v>
      </c>
      <c r="H436" s="1962">
        <v>0</v>
      </c>
      <c r="I436" s="1962">
        <v>0</v>
      </c>
    </row>
    <row r="437" spans="1:9" outlineLevel="2" x14ac:dyDescent="0.2">
      <c r="A437" s="1980" t="s">
        <v>2267</v>
      </c>
      <c r="B437" s="1980" t="s">
        <v>2268</v>
      </c>
      <c r="C437" s="1980" t="s">
        <v>2352</v>
      </c>
      <c r="D437" s="1980" t="s">
        <v>2353</v>
      </c>
      <c r="E437" s="1980" t="s">
        <v>1083</v>
      </c>
      <c r="F437" s="1985">
        <v>640.31587000000002</v>
      </c>
      <c r="G437" s="1962">
        <v>173.48649268092748</v>
      </c>
      <c r="H437" s="1962">
        <v>48.778679625777762</v>
      </c>
      <c r="I437" s="1962">
        <v>34.664371320956938</v>
      </c>
    </row>
    <row r="438" spans="1:9" outlineLevel="2" x14ac:dyDescent="0.2">
      <c r="A438" s="1980" t="s">
        <v>2267</v>
      </c>
      <c r="B438" s="1980" t="s">
        <v>2268</v>
      </c>
      <c r="C438" s="1980" t="s">
        <v>2352</v>
      </c>
      <c r="D438" s="1980" t="s">
        <v>2353</v>
      </c>
      <c r="E438" s="1980" t="s">
        <v>913</v>
      </c>
      <c r="F438" s="1985">
        <v>214.51728</v>
      </c>
      <c r="G438" s="1962">
        <v>60.008611249220294</v>
      </c>
      <c r="H438" s="1962">
        <v>16.013560636959568</v>
      </c>
      <c r="I438" s="1962">
        <v>11.440739921266152</v>
      </c>
    </row>
    <row r="439" spans="1:9" outlineLevel="2" x14ac:dyDescent="0.2">
      <c r="A439" s="1980" t="s">
        <v>2267</v>
      </c>
      <c r="B439" s="1980" t="s">
        <v>2268</v>
      </c>
      <c r="C439" s="1980" t="s">
        <v>2352</v>
      </c>
      <c r="D439" s="1980" t="s">
        <v>2353</v>
      </c>
      <c r="E439" s="1980" t="s">
        <v>920</v>
      </c>
      <c r="F439" s="1985">
        <v>2048.8279600000001</v>
      </c>
      <c r="G439" s="1962">
        <v>0</v>
      </c>
      <c r="H439" s="1962">
        <v>0</v>
      </c>
      <c r="I439" s="1962">
        <v>0</v>
      </c>
    </row>
    <row r="440" spans="1:9" outlineLevel="2" x14ac:dyDescent="0.2">
      <c r="A440" s="1980" t="s">
        <v>2267</v>
      </c>
      <c r="B440" s="1980" t="s">
        <v>2268</v>
      </c>
      <c r="C440" s="1980" t="s">
        <v>2352</v>
      </c>
      <c r="D440" s="1980" t="s">
        <v>2353</v>
      </c>
      <c r="E440" s="1980" t="s">
        <v>921</v>
      </c>
      <c r="F440" s="1985">
        <v>456.07154000000003</v>
      </c>
      <c r="G440" s="1962">
        <v>0</v>
      </c>
      <c r="H440" s="1962">
        <v>456.07154000000003</v>
      </c>
      <c r="I440" s="1962">
        <v>0</v>
      </c>
    </row>
    <row r="441" spans="1:9" outlineLevel="2" x14ac:dyDescent="0.2">
      <c r="A441" s="1980" t="s">
        <v>2267</v>
      </c>
      <c r="B441" s="1980" t="s">
        <v>2268</v>
      </c>
      <c r="C441" s="1980" t="s">
        <v>2352</v>
      </c>
      <c r="D441" s="1980" t="s">
        <v>2353</v>
      </c>
      <c r="E441" s="1980" t="s">
        <v>922</v>
      </c>
      <c r="F441" s="1985">
        <v>86.466899999999995</v>
      </c>
      <c r="G441" s="1962">
        <v>0</v>
      </c>
      <c r="H441" s="1962">
        <v>0</v>
      </c>
      <c r="I441" s="1962">
        <v>0</v>
      </c>
    </row>
    <row r="442" spans="1:9" outlineLevel="2" x14ac:dyDescent="0.2">
      <c r="A442" s="1980" t="s">
        <v>2267</v>
      </c>
      <c r="B442" s="1980" t="s">
        <v>2268</v>
      </c>
      <c r="C442" s="1980" t="s">
        <v>2354</v>
      </c>
      <c r="D442" s="1980" t="s">
        <v>2355</v>
      </c>
      <c r="E442" s="1980" t="s">
        <v>913</v>
      </c>
      <c r="F442" s="1985">
        <v>2993.14068</v>
      </c>
      <c r="G442" s="1962">
        <v>837.29485792634932</v>
      </c>
      <c r="H442" s="1962">
        <v>223.43579861785676</v>
      </c>
      <c r="I442" s="1962">
        <v>159.63163465265697</v>
      </c>
    </row>
    <row r="443" spans="1:9" outlineLevel="2" x14ac:dyDescent="0.2">
      <c r="A443" s="1980" t="s">
        <v>2267</v>
      </c>
      <c r="B443" s="1980" t="s">
        <v>2268</v>
      </c>
      <c r="C443" s="1980" t="s">
        <v>1984</v>
      </c>
      <c r="D443" s="1980" t="s">
        <v>1985</v>
      </c>
      <c r="E443" s="1980" t="s">
        <v>918</v>
      </c>
      <c r="F443" s="1985">
        <v>108.18109</v>
      </c>
      <c r="G443" s="1962">
        <v>0</v>
      </c>
      <c r="H443" s="1962">
        <v>0</v>
      </c>
      <c r="I443" s="1962">
        <v>0</v>
      </c>
    </row>
    <row r="444" spans="1:9" outlineLevel="2" x14ac:dyDescent="0.2">
      <c r="A444" s="1980" t="s">
        <v>2267</v>
      </c>
      <c r="B444" s="1980" t="s">
        <v>2268</v>
      </c>
      <c r="C444" s="1980" t="s">
        <v>1984</v>
      </c>
      <c r="D444" s="1980" t="s">
        <v>1985</v>
      </c>
      <c r="E444" s="1980" t="s">
        <v>919</v>
      </c>
      <c r="F444" s="1985">
        <v>891.03119000000004</v>
      </c>
      <c r="G444" s="1962">
        <v>0</v>
      </c>
      <c r="H444" s="1962">
        <v>0</v>
      </c>
      <c r="I444" s="1962">
        <v>891.03119000000004</v>
      </c>
    </row>
    <row r="445" spans="1:9" outlineLevel="2" x14ac:dyDescent="0.2">
      <c r="A445" s="1980" t="s">
        <v>2267</v>
      </c>
      <c r="B445" s="1980" t="s">
        <v>2268</v>
      </c>
      <c r="C445" s="1980" t="s">
        <v>1984</v>
      </c>
      <c r="D445" s="1980" t="s">
        <v>1985</v>
      </c>
      <c r="E445" s="1980" t="s">
        <v>912</v>
      </c>
      <c r="F445" s="1985">
        <v>3251.1133500000001</v>
      </c>
      <c r="G445" s="1962">
        <v>3251.1133500000001</v>
      </c>
      <c r="H445" s="1962">
        <v>0</v>
      </c>
      <c r="I445" s="1962">
        <v>0</v>
      </c>
    </row>
    <row r="446" spans="1:9" outlineLevel="2" x14ac:dyDescent="0.2">
      <c r="A446" s="1980" t="s">
        <v>2267</v>
      </c>
      <c r="B446" s="1980" t="s">
        <v>2268</v>
      </c>
      <c r="C446" s="1980" t="s">
        <v>1984</v>
      </c>
      <c r="D446" s="1980" t="s">
        <v>1985</v>
      </c>
      <c r="E446" s="1980" t="s">
        <v>1083</v>
      </c>
      <c r="F446" s="1985">
        <v>7319.6230699999996</v>
      </c>
      <c r="G446" s="1962">
        <v>1983.1707968767087</v>
      </c>
      <c r="H446" s="1962">
        <v>557.6022170323248</v>
      </c>
      <c r="I446" s="1962">
        <v>396.25775951472633</v>
      </c>
    </row>
    <row r="447" spans="1:9" outlineLevel="2" x14ac:dyDescent="0.2">
      <c r="A447" s="1980" t="s">
        <v>2267</v>
      </c>
      <c r="B447" s="1980" t="s">
        <v>2268</v>
      </c>
      <c r="C447" s="1980" t="s">
        <v>1984</v>
      </c>
      <c r="D447" s="1980" t="s">
        <v>1985</v>
      </c>
      <c r="E447" s="1980" t="s">
        <v>913</v>
      </c>
      <c r="F447" s="1985">
        <v>242.93978000000001</v>
      </c>
      <c r="G447" s="1962">
        <v>67.959461424231677</v>
      </c>
      <c r="H447" s="1962">
        <v>18.135279815964555</v>
      </c>
      <c r="I447" s="1962">
        <v>12.956582516381042</v>
      </c>
    </row>
    <row r="448" spans="1:9" outlineLevel="2" x14ac:dyDescent="0.2">
      <c r="A448" s="1980" t="s">
        <v>2267</v>
      </c>
      <c r="B448" s="1980" t="s">
        <v>2268</v>
      </c>
      <c r="C448" s="1980" t="s">
        <v>1984</v>
      </c>
      <c r="D448" s="1980" t="s">
        <v>1985</v>
      </c>
      <c r="E448" s="1980" t="s">
        <v>920</v>
      </c>
      <c r="F448" s="1985">
        <v>4244.5811199999998</v>
      </c>
      <c r="G448" s="1962">
        <v>0</v>
      </c>
      <c r="H448" s="1962">
        <v>0</v>
      </c>
      <c r="I448" s="1962">
        <v>0</v>
      </c>
    </row>
    <row r="449" spans="1:9" outlineLevel="2" x14ac:dyDescent="0.2">
      <c r="A449" s="1980" t="s">
        <v>2267</v>
      </c>
      <c r="B449" s="1980" t="s">
        <v>2268</v>
      </c>
      <c r="C449" s="1980" t="s">
        <v>1984</v>
      </c>
      <c r="D449" s="1980" t="s">
        <v>1985</v>
      </c>
      <c r="E449" s="1980" t="s">
        <v>921</v>
      </c>
      <c r="F449" s="1985">
        <v>741.64428999999996</v>
      </c>
      <c r="G449" s="1962">
        <v>0</v>
      </c>
      <c r="H449" s="1962">
        <v>741.64428999999996</v>
      </c>
      <c r="I449" s="1962">
        <v>0</v>
      </c>
    </row>
    <row r="450" spans="1:9" outlineLevel="2" x14ac:dyDescent="0.2">
      <c r="A450" s="1980" t="s">
        <v>2267</v>
      </c>
      <c r="B450" s="1980" t="s">
        <v>2268</v>
      </c>
      <c r="C450" s="1980" t="s">
        <v>1984</v>
      </c>
      <c r="D450" s="1980" t="s">
        <v>1985</v>
      </c>
      <c r="E450" s="1980" t="s">
        <v>922</v>
      </c>
      <c r="F450" s="1985">
        <v>1562.9051099999999</v>
      </c>
      <c r="G450" s="1962">
        <v>0</v>
      </c>
      <c r="H450" s="1962">
        <v>0</v>
      </c>
      <c r="I450" s="1962">
        <v>0</v>
      </c>
    </row>
    <row r="451" spans="1:9" outlineLevel="2" x14ac:dyDescent="0.2">
      <c r="A451" s="1980" t="s">
        <v>2267</v>
      </c>
      <c r="B451" s="1980" t="s">
        <v>2268</v>
      </c>
      <c r="C451" s="1980" t="s">
        <v>1984</v>
      </c>
      <c r="D451" s="1980" t="s">
        <v>1985</v>
      </c>
      <c r="E451" s="1980" t="s">
        <v>923</v>
      </c>
      <c r="F451" s="1985">
        <v>1.3375699999999999</v>
      </c>
      <c r="G451" s="1962">
        <v>0</v>
      </c>
      <c r="H451" s="1962">
        <v>0</v>
      </c>
      <c r="I451" s="1962">
        <v>0</v>
      </c>
    </row>
    <row r="452" spans="1:9" outlineLevel="2" x14ac:dyDescent="0.2">
      <c r="A452" s="1980" t="s">
        <v>2267</v>
      </c>
      <c r="B452" s="1980" t="s">
        <v>2268</v>
      </c>
      <c r="C452" s="1980" t="s">
        <v>1986</v>
      </c>
      <c r="D452" s="1980" t="s">
        <v>1987</v>
      </c>
      <c r="E452" s="1980" t="s">
        <v>918</v>
      </c>
      <c r="F452" s="1985">
        <v>1127.1243199999999</v>
      </c>
      <c r="G452" s="1962">
        <v>0</v>
      </c>
      <c r="H452" s="1962">
        <v>0</v>
      </c>
      <c r="I452" s="1962">
        <v>0</v>
      </c>
    </row>
    <row r="453" spans="1:9" outlineLevel="2" x14ac:dyDescent="0.2">
      <c r="A453" s="1980" t="s">
        <v>2267</v>
      </c>
      <c r="B453" s="1980" t="s">
        <v>2268</v>
      </c>
      <c r="C453" s="1980" t="s">
        <v>1986</v>
      </c>
      <c r="D453" s="1980" t="s">
        <v>1987</v>
      </c>
      <c r="E453" s="1980" t="s">
        <v>919</v>
      </c>
      <c r="F453" s="1985">
        <v>2347.0184800000002</v>
      </c>
      <c r="G453" s="1962">
        <v>0</v>
      </c>
      <c r="H453" s="1962">
        <v>0</v>
      </c>
      <c r="I453" s="1962">
        <v>2347.0184800000002</v>
      </c>
    </row>
    <row r="454" spans="1:9" outlineLevel="2" x14ac:dyDescent="0.2">
      <c r="A454" s="1980" t="s">
        <v>2267</v>
      </c>
      <c r="B454" s="1980" t="s">
        <v>2268</v>
      </c>
      <c r="C454" s="1980" t="s">
        <v>1986</v>
      </c>
      <c r="D454" s="1980" t="s">
        <v>1987</v>
      </c>
      <c r="E454" s="1980" t="s">
        <v>912</v>
      </c>
      <c r="F454" s="1985">
        <v>10741.77866</v>
      </c>
      <c r="G454" s="1962">
        <v>10741.77866</v>
      </c>
      <c r="H454" s="1962">
        <v>0</v>
      </c>
      <c r="I454" s="1962">
        <v>0</v>
      </c>
    </row>
    <row r="455" spans="1:9" outlineLevel="2" x14ac:dyDescent="0.2">
      <c r="A455" s="1980" t="s">
        <v>2267</v>
      </c>
      <c r="B455" s="1980" t="s">
        <v>2268</v>
      </c>
      <c r="C455" s="1980" t="s">
        <v>1986</v>
      </c>
      <c r="D455" s="1980" t="s">
        <v>1987</v>
      </c>
      <c r="E455" s="1980" t="s">
        <v>906</v>
      </c>
      <c r="F455" s="1985">
        <v>125.69247</v>
      </c>
      <c r="G455" s="1962">
        <v>32.475056561500708</v>
      </c>
      <c r="H455" s="1962">
        <v>8.9757378272971415</v>
      </c>
      <c r="I455" s="1962">
        <v>7.4173242085963809</v>
      </c>
    </row>
    <row r="456" spans="1:9" outlineLevel="2" x14ac:dyDescent="0.2">
      <c r="A456" s="1980" t="s">
        <v>2267</v>
      </c>
      <c r="B456" s="1980" t="s">
        <v>2268</v>
      </c>
      <c r="C456" s="1980" t="s">
        <v>1986</v>
      </c>
      <c r="D456" s="1980" t="s">
        <v>1987</v>
      </c>
      <c r="E456" s="1980" t="s">
        <v>1083</v>
      </c>
      <c r="F456" s="1985">
        <v>22994.296310000002</v>
      </c>
      <c r="G456" s="1962">
        <v>6230.0498947306951</v>
      </c>
      <c r="H456" s="1962">
        <v>1751.6845442635895</v>
      </c>
      <c r="I456" s="1962">
        <v>1244.827534188634</v>
      </c>
    </row>
    <row r="457" spans="1:9" outlineLevel="2" x14ac:dyDescent="0.2">
      <c r="A457" s="1980" t="s">
        <v>2267</v>
      </c>
      <c r="B457" s="1980" t="s">
        <v>2268</v>
      </c>
      <c r="C457" s="1980" t="s">
        <v>1986</v>
      </c>
      <c r="D457" s="1980" t="s">
        <v>1987</v>
      </c>
      <c r="E457" s="1980" t="s">
        <v>913</v>
      </c>
      <c r="F457" s="1985">
        <v>1802.3471099999999</v>
      </c>
      <c r="G457" s="1962">
        <v>504.1847773761894</v>
      </c>
      <c r="H457" s="1962">
        <v>134.54391522600807</v>
      </c>
      <c r="I457" s="1962">
        <v>96.123652758209857</v>
      </c>
    </row>
    <row r="458" spans="1:9" outlineLevel="2" x14ac:dyDescent="0.2">
      <c r="A458" s="1980" t="s">
        <v>2267</v>
      </c>
      <c r="B458" s="1980" t="s">
        <v>2268</v>
      </c>
      <c r="C458" s="1980" t="s">
        <v>1986</v>
      </c>
      <c r="D458" s="1980" t="s">
        <v>1987</v>
      </c>
      <c r="E458" s="1980" t="s">
        <v>920</v>
      </c>
      <c r="F458" s="1985">
        <v>16891.92424</v>
      </c>
      <c r="G458" s="1962">
        <v>0</v>
      </c>
      <c r="H458" s="1962">
        <v>0</v>
      </c>
      <c r="I458" s="1962">
        <v>0</v>
      </c>
    </row>
    <row r="459" spans="1:9" outlineLevel="2" x14ac:dyDescent="0.2">
      <c r="A459" s="1980" t="s">
        <v>2267</v>
      </c>
      <c r="B459" s="1980" t="s">
        <v>2268</v>
      </c>
      <c r="C459" s="1980" t="s">
        <v>1986</v>
      </c>
      <c r="D459" s="1980" t="s">
        <v>1987</v>
      </c>
      <c r="E459" s="1980" t="s">
        <v>921</v>
      </c>
      <c r="F459" s="1985">
        <v>2992.4178099999999</v>
      </c>
      <c r="G459" s="1962">
        <v>0</v>
      </c>
      <c r="H459" s="1962">
        <v>2992.4178099999999</v>
      </c>
      <c r="I459" s="1962">
        <v>0</v>
      </c>
    </row>
    <row r="460" spans="1:9" outlineLevel="2" x14ac:dyDescent="0.2">
      <c r="A460" s="1980" t="s">
        <v>2267</v>
      </c>
      <c r="B460" s="1980" t="s">
        <v>2268</v>
      </c>
      <c r="C460" s="1980" t="s">
        <v>1986</v>
      </c>
      <c r="D460" s="1980" t="s">
        <v>1987</v>
      </c>
      <c r="E460" s="1980" t="s">
        <v>922</v>
      </c>
      <c r="F460" s="1985">
        <v>4173.4383200000002</v>
      </c>
      <c r="G460" s="1962">
        <v>0</v>
      </c>
      <c r="H460" s="1962">
        <v>0</v>
      </c>
      <c r="I460" s="1962">
        <v>0</v>
      </c>
    </row>
    <row r="461" spans="1:9" outlineLevel="2" x14ac:dyDescent="0.2">
      <c r="A461" s="1980" t="s">
        <v>2267</v>
      </c>
      <c r="B461" s="1980" t="s">
        <v>2268</v>
      </c>
      <c r="C461" s="1980" t="s">
        <v>1986</v>
      </c>
      <c r="D461" s="1980" t="s">
        <v>1987</v>
      </c>
      <c r="E461" s="1980" t="s">
        <v>923</v>
      </c>
      <c r="F461" s="1985">
        <v>287.96370000000002</v>
      </c>
      <c r="G461" s="1962">
        <v>0</v>
      </c>
      <c r="H461" s="1962">
        <v>0</v>
      </c>
      <c r="I461" s="1962">
        <v>0</v>
      </c>
    </row>
    <row r="462" spans="1:9" outlineLevel="2" x14ac:dyDescent="0.2">
      <c r="A462" s="1980" t="s">
        <v>2267</v>
      </c>
      <c r="B462" s="1980" t="s">
        <v>2268</v>
      </c>
      <c r="C462" s="1980" t="s">
        <v>1988</v>
      </c>
      <c r="D462" s="1980" t="s">
        <v>1989</v>
      </c>
      <c r="E462" s="1980" t="s">
        <v>918</v>
      </c>
      <c r="F462" s="1985">
        <v>798.16234999999995</v>
      </c>
      <c r="G462" s="1962">
        <v>0</v>
      </c>
      <c r="H462" s="1962">
        <v>0</v>
      </c>
      <c r="I462" s="1962">
        <v>0</v>
      </c>
    </row>
    <row r="463" spans="1:9" outlineLevel="2" x14ac:dyDescent="0.2">
      <c r="A463" s="1980" t="s">
        <v>2267</v>
      </c>
      <c r="B463" s="1980" t="s">
        <v>2268</v>
      </c>
      <c r="C463" s="1980" t="s">
        <v>1988</v>
      </c>
      <c r="D463" s="1980" t="s">
        <v>1989</v>
      </c>
      <c r="E463" s="1980" t="s">
        <v>919</v>
      </c>
      <c r="F463" s="1985">
        <v>1468.21425</v>
      </c>
      <c r="G463" s="1962">
        <v>0</v>
      </c>
      <c r="H463" s="1962">
        <v>0</v>
      </c>
      <c r="I463" s="1962">
        <v>1468.21425</v>
      </c>
    </row>
    <row r="464" spans="1:9" outlineLevel="2" x14ac:dyDescent="0.2">
      <c r="A464" s="1980" t="s">
        <v>2267</v>
      </c>
      <c r="B464" s="1980" t="s">
        <v>2268</v>
      </c>
      <c r="C464" s="1980" t="s">
        <v>1988</v>
      </c>
      <c r="D464" s="1980" t="s">
        <v>1989</v>
      </c>
      <c r="E464" s="1980" t="s">
        <v>912</v>
      </c>
      <c r="F464" s="1985">
        <v>10815.71919</v>
      </c>
      <c r="G464" s="1962">
        <v>10815.71919</v>
      </c>
      <c r="H464" s="1962">
        <v>0</v>
      </c>
      <c r="I464" s="1962">
        <v>0</v>
      </c>
    </row>
    <row r="465" spans="1:9" outlineLevel="2" x14ac:dyDescent="0.2">
      <c r="A465" s="1980" t="s">
        <v>2267</v>
      </c>
      <c r="B465" s="1980" t="s">
        <v>2268</v>
      </c>
      <c r="C465" s="1980" t="s">
        <v>1988</v>
      </c>
      <c r="D465" s="1980" t="s">
        <v>1989</v>
      </c>
      <c r="E465" s="1980" t="s">
        <v>906</v>
      </c>
      <c r="F465" s="1985">
        <v>1326.8479299999999</v>
      </c>
      <c r="G465" s="1962">
        <v>342.82038950945469</v>
      </c>
      <c r="H465" s="1962">
        <v>94.751672942014977</v>
      </c>
      <c r="I465" s="1962">
        <v>78.300401709644092</v>
      </c>
    </row>
    <row r="466" spans="1:9" outlineLevel="2" x14ac:dyDescent="0.2">
      <c r="A466" s="1980" t="s">
        <v>2267</v>
      </c>
      <c r="B466" s="1980" t="s">
        <v>2268</v>
      </c>
      <c r="C466" s="1980" t="s">
        <v>1988</v>
      </c>
      <c r="D466" s="1980" t="s">
        <v>1989</v>
      </c>
      <c r="E466" s="1980" t="s">
        <v>1083</v>
      </c>
      <c r="F466" s="1985">
        <v>7394.8230599999997</v>
      </c>
      <c r="G466" s="1962">
        <v>2003.5454012336813</v>
      </c>
      <c r="H466" s="1962">
        <v>563.33088376062517</v>
      </c>
      <c r="I466" s="1962">
        <v>400.32881334741086</v>
      </c>
    </row>
    <row r="467" spans="1:9" outlineLevel="2" x14ac:dyDescent="0.2">
      <c r="A467" s="1980" t="s">
        <v>2267</v>
      </c>
      <c r="B467" s="1980" t="s">
        <v>2268</v>
      </c>
      <c r="C467" s="1980" t="s">
        <v>1988</v>
      </c>
      <c r="D467" s="1980" t="s">
        <v>1989</v>
      </c>
      <c r="E467" s="1980" t="s">
        <v>913</v>
      </c>
      <c r="F467" s="1985">
        <v>4840.5218000000004</v>
      </c>
      <c r="G467" s="1962">
        <v>1354.0773542326106</v>
      </c>
      <c r="H467" s="1962">
        <v>361.34147029472251</v>
      </c>
      <c r="I467" s="1962">
        <v>258.15706313738036</v>
      </c>
    </row>
    <row r="468" spans="1:9" outlineLevel="2" x14ac:dyDescent="0.2">
      <c r="A468" s="1980" t="s">
        <v>2267</v>
      </c>
      <c r="B468" s="1980" t="s">
        <v>2268</v>
      </c>
      <c r="C468" s="1980" t="s">
        <v>1988</v>
      </c>
      <c r="D468" s="1980" t="s">
        <v>1989</v>
      </c>
      <c r="E468" s="1980" t="s">
        <v>920</v>
      </c>
      <c r="F468" s="1985">
        <v>10146.127539999999</v>
      </c>
      <c r="G468" s="1962">
        <v>0</v>
      </c>
      <c r="H468" s="1962">
        <v>0</v>
      </c>
      <c r="I468" s="1962">
        <v>0</v>
      </c>
    </row>
    <row r="469" spans="1:9" outlineLevel="2" x14ac:dyDescent="0.2">
      <c r="A469" s="1980" t="s">
        <v>2267</v>
      </c>
      <c r="B469" s="1980" t="s">
        <v>2268</v>
      </c>
      <c r="C469" s="1980" t="s">
        <v>1988</v>
      </c>
      <c r="D469" s="1980" t="s">
        <v>1989</v>
      </c>
      <c r="E469" s="1980" t="s">
        <v>921</v>
      </c>
      <c r="F469" s="1985">
        <v>1472.9082000000001</v>
      </c>
      <c r="G469" s="1962">
        <v>0</v>
      </c>
      <c r="H469" s="1962">
        <v>1472.9082000000001</v>
      </c>
      <c r="I469" s="1962">
        <v>0</v>
      </c>
    </row>
    <row r="470" spans="1:9" outlineLevel="2" x14ac:dyDescent="0.2">
      <c r="A470" s="1980" t="s">
        <v>2267</v>
      </c>
      <c r="B470" s="1980" t="s">
        <v>2268</v>
      </c>
      <c r="C470" s="1980" t="s">
        <v>1988</v>
      </c>
      <c r="D470" s="1980" t="s">
        <v>1989</v>
      </c>
      <c r="E470" s="1980" t="s">
        <v>922</v>
      </c>
      <c r="F470" s="1985">
        <v>3466.2667999999999</v>
      </c>
      <c r="G470" s="1962">
        <v>0</v>
      </c>
      <c r="H470" s="1962">
        <v>0</v>
      </c>
      <c r="I470" s="1962">
        <v>0</v>
      </c>
    </row>
    <row r="471" spans="1:9" outlineLevel="2" x14ac:dyDescent="0.2">
      <c r="A471" s="1980" t="s">
        <v>2267</v>
      </c>
      <c r="B471" s="1980" t="s">
        <v>2268</v>
      </c>
      <c r="C471" s="1980" t="s">
        <v>1988</v>
      </c>
      <c r="D471" s="1980" t="s">
        <v>1989</v>
      </c>
      <c r="E471" s="1980" t="s">
        <v>923</v>
      </c>
      <c r="F471" s="1985">
        <v>97.088610000000003</v>
      </c>
      <c r="G471" s="1962">
        <v>0</v>
      </c>
      <c r="H471" s="1962">
        <v>0</v>
      </c>
      <c r="I471" s="1962">
        <v>0</v>
      </c>
    </row>
    <row r="472" spans="1:9" outlineLevel="2" x14ac:dyDescent="0.2">
      <c r="A472" s="1980" t="s">
        <v>2267</v>
      </c>
      <c r="B472" s="1980" t="s">
        <v>2268</v>
      </c>
      <c r="C472" s="1980" t="s">
        <v>2356</v>
      </c>
      <c r="D472" s="1980" t="s">
        <v>2357</v>
      </c>
      <c r="E472" s="1980" t="s">
        <v>918</v>
      </c>
      <c r="F472" s="1985">
        <v>2234.7800499999998</v>
      </c>
      <c r="G472" s="1962">
        <v>0</v>
      </c>
      <c r="H472" s="1962">
        <v>0</v>
      </c>
      <c r="I472" s="1962">
        <v>0</v>
      </c>
    </row>
    <row r="473" spans="1:9" outlineLevel="2" x14ac:dyDescent="0.2">
      <c r="A473" s="1980" t="s">
        <v>2267</v>
      </c>
      <c r="B473" s="1980" t="s">
        <v>2268</v>
      </c>
      <c r="C473" s="1980" t="s">
        <v>2356</v>
      </c>
      <c r="D473" s="1980" t="s">
        <v>2357</v>
      </c>
      <c r="E473" s="1980" t="s">
        <v>919</v>
      </c>
      <c r="F473" s="1985">
        <v>3852.2810399999998</v>
      </c>
      <c r="G473" s="1962">
        <v>0</v>
      </c>
      <c r="H473" s="1962">
        <v>0</v>
      </c>
      <c r="I473" s="1962">
        <v>3852.2810399999998</v>
      </c>
    </row>
    <row r="474" spans="1:9" outlineLevel="2" x14ac:dyDescent="0.2">
      <c r="A474" s="1980" t="s">
        <v>2267</v>
      </c>
      <c r="B474" s="1980" t="s">
        <v>2268</v>
      </c>
      <c r="C474" s="1980" t="s">
        <v>2356</v>
      </c>
      <c r="D474" s="1980" t="s">
        <v>2357</v>
      </c>
      <c r="E474" s="1980" t="s">
        <v>912</v>
      </c>
      <c r="F474" s="1985">
        <v>14753.39316</v>
      </c>
      <c r="G474" s="1962">
        <v>14753.39316</v>
      </c>
      <c r="H474" s="1962">
        <v>0</v>
      </c>
      <c r="I474" s="1962">
        <v>0</v>
      </c>
    </row>
    <row r="475" spans="1:9" outlineLevel="2" x14ac:dyDescent="0.2">
      <c r="A475" s="1980" t="s">
        <v>2267</v>
      </c>
      <c r="B475" s="1980" t="s">
        <v>2268</v>
      </c>
      <c r="C475" s="1980" t="s">
        <v>2356</v>
      </c>
      <c r="D475" s="1980" t="s">
        <v>2357</v>
      </c>
      <c r="E475" s="1980" t="s">
        <v>1083</v>
      </c>
      <c r="F475" s="1985">
        <v>253.97973999999999</v>
      </c>
      <c r="G475" s="1962">
        <v>68.812997411127526</v>
      </c>
      <c r="H475" s="1962">
        <v>19.347945208508314</v>
      </c>
      <c r="I475" s="1962">
        <v>13.749538982002896</v>
      </c>
    </row>
    <row r="476" spans="1:9" outlineLevel="2" x14ac:dyDescent="0.2">
      <c r="A476" s="1980" t="s">
        <v>2267</v>
      </c>
      <c r="B476" s="1980" t="s">
        <v>2268</v>
      </c>
      <c r="C476" s="1980" t="s">
        <v>2356</v>
      </c>
      <c r="D476" s="1980" t="s">
        <v>2357</v>
      </c>
      <c r="E476" s="1980" t="s">
        <v>913</v>
      </c>
      <c r="F476" s="1985">
        <v>1221.8844899999999</v>
      </c>
      <c r="G476" s="1962">
        <v>341.80738890527516</v>
      </c>
      <c r="H476" s="1962">
        <v>91.212798204300441</v>
      </c>
      <c r="I476" s="1962">
        <v>65.16613796296005</v>
      </c>
    </row>
    <row r="477" spans="1:9" outlineLevel="2" x14ac:dyDescent="0.2">
      <c r="A477" s="1980" t="s">
        <v>2267</v>
      </c>
      <c r="B477" s="1980" t="s">
        <v>2268</v>
      </c>
      <c r="C477" s="1980" t="s">
        <v>2356</v>
      </c>
      <c r="D477" s="1980" t="s">
        <v>2357</v>
      </c>
      <c r="E477" s="1980" t="s">
        <v>920</v>
      </c>
      <c r="F477" s="1985">
        <v>15561.241169999999</v>
      </c>
      <c r="G477" s="1962">
        <v>0</v>
      </c>
      <c r="H477" s="1962">
        <v>0</v>
      </c>
      <c r="I477" s="1962">
        <v>0</v>
      </c>
    </row>
    <row r="478" spans="1:9" outlineLevel="2" x14ac:dyDescent="0.2">
      <c r="A478" s="1980" t="s">
        <v>2267</v>
      </c>
      <c r="B478" s="1980" t="s">
        <v>2268</v>
      </c>
      <c r="C478" s="1980" t="s">
        <v>2356</v>
      </c>
      <c r="D478" s="1980" t="s">
        <v>2357</v>
      </c>
      <c r="E478" s="1980" t="s">
        <v>921</v>
      </c>
      <c r="F478" s="1985">
        <v>3124.8743399999998</v>
      </c>
      <c r="G478" s="1962">
        <v>0</v>
      </c>
      <c r="H478" s="1962">
        <v>3124.8743399999998</v>
      </c>
      <c r="I478" s="1962">
        <v>0</v>
      </c>
    </row>
    <row r="479" spans="1:9" outlineLevel="2" x14ac:dyDescent="0.2">
      <c r="A479" s="1980" t="s">
        <v>2267</v>
      </c>
      <c r="B479" s="1980" t="s">
        <v>2268</v>
      </c>
      <c r="C479" s="1980" t="s">
        <v>2356</v>
      </c>
      <c r="D479" s="1980" t="s">
        <v>2357</v>
      </c>
      <c r="E479" s="1980" t="s">
        <v>922</v>
      </c>
      <c r="F479" s="1985">
        <v>6484.5396700000001</v>
      </c>
      <c r="G479" s="1962">
        <v>0</v>
      </c>
      <c r="H479" s="1962">
        <v>0</v>
      </c>
      <c r="I479" s="1962">
        <v>0</v>
      </c>
    </row>
    <row r="480" spans="1:9" outlineLevel="2" x14ac:dyDescent="0.2">
      <c r="A480" s="1980" t="s">
        <v>2267</v>
      </c>
      <c r="B480" s="1980" t="s">
        <v>2268</v>
      </c>
      <c r="C480" s="1980" t="s">
        <v>2356</v>
      </c>
      <c r="D480" s="1980" t="s">
        <v>2357</v>
      </c>
      <c r="E480" s="1980" t="s">
        <v>923</v>
      </c>
      <c r="F480" s="1985">
        <v>1268.6809599999999</v>
      </c>
      <c r="G480" s="1962">
        <v>0</v>
      </c>
      <c r="H480" s="1962">
        <v>0</v>
      </c>
      <c r="I480" s="1962">
        <v>0</v>
      </c>
    </row>
    <row r="481" spans="1:9" outlineLevel="2" x14ac:dyDescent="0.2">
      <c r="A481" s="1980" t="s">
        <v>2267</v>
      </c>
      <c r="B481" s="1980" t="s">
        <v>2268</v>
      </c>
      <c r="C481" s="1980" t="s">
        <v>2358</v>
      </c>
      <c r="D481" s="1980" t="s">
        <v>2359</v>
      </c>
      <c r="E481" s="1980" t="s">
        <v>919</v>
      </c>
      <c r="F481" s="1985">
        <v>561.28447000000006</v>
      </c>
      <c r="G481" s="1962">
        <v>0</v>
      </c>
      <c r="H481" s="1962">
        <v>0</v>
      </c>
      <c r="I481" s="1962">
        <v>561.28447000000006</v>
      </c>
    </row>
    <row r="482" spans="1:9" outlineLevel="2" x14ac:dyDescent="0.2">
      <c r="A482" s="1980" t="s">
        <v>2267</v>
      </c>
      <c r="B482" s="1980" t="s">
        <v>2268</v>
      </c>
      <c r="C482" s="1980" t="s">
        <v>2358</v>
      </c>
      <c r="D482" s="1980" t="s">
        <v>2359</v>
      </c>
      <c r="E482" s="1980" t="s">
        <v>912</v>
      </c>
      <c r="F482" s="1985">
        <v>1065.5643600000001</v>
      </c>
      <c r="G482" s="1962">
        <v>1065.5643600000001</v>
      </c>
      <c r="H482" s="1962">
        <v>0</v>
      </c>
      <c r="I482" s="1962">
        <v>0</v>
      </c>
    </row>
    <row r="483" spans="1:9" outlineLevel="2" x14ac:dyDescent="0.2">
      <c r="A483" s="1980" t="s">
        <v>2267</v>
      </c>
      <c r="B483" s="1980" t="s">
        <v>2268</v>
      </c>
      <c r="C483" s="1980" t="s">
        <v>2358</v>
      </c>
      <c r="D483" s="1980" t="s">
        <v>2359</v>
      </c>
      <c r="E483" s="1980" t="s">
        <v>1083</v>
      </c>
      <c r="F483" s="1985">
        <v>124.30812</v>
      </c>
      <c r="G483" s="1962">
        <v>33.679908246784287</v>
      </c>
      <c r="H483" s="1962">
        <v>9.4696793324250059</v>
      </c>
      <c r="I483" s="1962">
        <v>6.7295893039322507</v>
      </c>
    </row>
    <row r="484" spans="1:9" outlineLevel="2" x14ac:dyDescent="0.2">
      <c r="A484" s="1980" t="s">
        <v>2267</v>
      </c>
      <c r="B484" s="1980" t="s">
        <v>2268</v>
      </c>
      <c r="C484" s="1980" t="s">
        <v>2358</v>
      </c>
      <c r="D484" s="1980" t="s">
        <v>2359</v>
      </c>
      <c r="E484" s="1980" t="s">
        <v>920</v>
      </c>
      <c r="F484" s="1985">
        <v>1787.60544</v>
      </c>
      <c r="G484" s="1962">
        <v>0</v>
      </c>
      <c r="H484" s="1962">
        <v>0</v>
      </c>
      <c r="I484" s="1962">
        <v>0</v>
      </c>
    </row>
    <row r="485" spans="1:9" outlineLevel="2" x14ac:dyDescent="0.2">
      <c r="A485" s="1980" t="s">
        <v>2267</v>
      </c>
      <c r="B485" s="1980" t="s">
        <v>2268</v>
      </c>
      <c r="C485" s="1980" t="s">
        <v>2358</v>
      </c>
      <c r="D485" s="1980" t="s">
        <v>2359</v>
      </c>
      <c r="E485" s="1980" t="s">
        <v>923</v>
      </c>
      <c r="F485" s="1985">
        <v>209.91423</v>
      </c>
      <c r="G485" s="1962">
        <v>0</v>
      </c>
      <c r="H485" s="1962">
        <v>0</v>
      </c>
      <c r="I485" s="1962">
        <v>0</v>
      </c>
    </row>
    <row r="486" spans="1:9" outlineLevel="2" x14ac:dyDescent="0.2">
      <c r="A486" s="1980" t="s">
        <v>2267</v>
      </c>
      <c r="B486" s="1980" t="s">
        <v>2268</v>
      </c>
      <c r="C486" s="1980" t="s">
        <v>2360</v>
      </c>
      <c r="D486" s="1980" t="s">
        <v>2361</v>
      </c>
      <c r="E486" s="1980" t="s">
        <v>918</v>
      </c>
      <c r="F486" s="1985">
        <v>1664.55414</v>
      </c>
      <c r="G486" s="1962">
        <v>0</v>
      </c>
      <c r="H486" s="1962">
        <v>0</v>
      </c>
      <c r="I486" s="1962">
        <v>0</v>
      </c>
    </row>
    <row r="487" spans="1:9" outlineLevel="2" x14ac:dyDescent="0.2">
      <c r="A487" s="1980" t="s">
        <v>2267</v>
      </c>
      <c r="B487" s="1980" t="s">
        <v>2268</v>
      </c>
      <c r="C487" s="1980" t="s">
        <v>2360</v>
      </c>
      <c r="D487" s="1980" t="s">
        <v>2361</v>
      </c>
      <c r="E487" s="1980" t="s">
        <v>919</v>
      </c>
      <c r="F487" s="1985">
        <v>4353.0043500000002</v>
      </c>
      <c r="G487" s="1962">
        <v>0</v>
      </c>
      <c r="H487" s="1962">
        <v>0</v>
      </c>
      <c r="I487" s="1962">
        <v>4353.0043500000002</v>
      </c>
    </row>
    <row r="488" spans="1:9" outlineLevel="2" x14ac:dyDescent="0.2">
      <c r="A488" s="1980" t="s">
        <v>2267</v>
      </c>
      <c r="B488" s="1980" t="s">
        <v>2268</v>
      </c>
      <c r="C488" s="1980" t="s">
        <v>2360</v>
      </c>
      <c r="D488" s="1980" t="s">
        <v>2361</v>
      </c>
      <c r="E488" s="1980" t="s">
        <v>912</v>
      </c>
      <c r="F488" s="1985">
        <v>15107.86656</v>
      </c>
      <c r="G488" s="1962">
        <v>15107.86656</v>
      </c>
      <c r="H488" s="1962">
        <v>0</v>
      </c>
      <c r="I488" s="1962">
        <v>0</v>
      </c>
    </row>
    <row r="489" spans="1:9" outlineLevel="2" x14ac:dyDescent="0.2">
      <c r="A489" s="1980" t="s">
        <v>2267</v>
      </c>
      <c r="B489" s="1980" t="s">
        <v>2268</v>
      </c>
      <c r="C489" s="1980" t="s">
        <v>2360</v>
      </c>
      <c r="D489" s="1980" t="s">
        <v>2361</v>
      </c>
      <c r="E489" s="1980" t="s">
        <v>1083</v>
      </c>
      <c r="F489" s="1985">
        <v>1109.1580899999999</v>
      </c>
      <c r="G489" s="1962">
        <v>300.51409917854528</v>
      </c>
      <c r="H489" s="1962">
        <v>84.494652813227276</v>
      </c>
      <c r="I489" s="1962">
        <v>60.04578316230608</v>
      </c>
    </row>
    <row r="490" spans="1:9" outlineLevel="2" x14ac:dyDescent="0.2">
      <c r="A490" s="1980" t="s">
        <v>2267</v>
      </c>
      <c r="B490" s="1980" t="s">
        <v>2268</v>
      </c>
      <c r="C490" s="1980" t="s">
        <v>2360</v>
      </c>
      <c r="D490" s="1980" t="s">
        <v>2361</v>
      </c>
      <c r="E490" s="1980" t="s">
        <v>913</v>
      </c>
      <c r="F490" s="1985">
        <v>2003.3018999999999</v>
      </c>
      <c r="G490" s="1962">
        <v>560.39944629134027</v>
      </c>
      <c r="H490" s="1962">
        <v>149.54504574077347</v>
      </c>
      <c r="I490" s="1962">
        <v>106.84107136580481</v>
      </c>
    </row>
    <row r="491" spans="1:9" outlineLevel="2" x14ac:dyDescent="0.2">
      <c r="A491" s="1980" t="s">
        <v>2267</v>
      </c>
      <c r="B491" s="1980" t="s">
        <v>2268</v>
      </c>
      <c r="C491" s="1980" t="s">
        <v>2360</v>
      </c>
      <c r="D491" s="1980" t="s">
        <v>2361</v>
      </c>
      <c r="E491" s="1980" t="s">
        <v>920</v>
      </c>
      <c r="F491" s="1985">
        <v>18332.29276</v>
      </c>
      <c r="G491" s="1962">
        <v>0</v>
      </c>
      <c r="H491" s="1962">
        <v>0</v>
      </c>
      <c r="I491" s="1962">
        <v>0</v>
      </c>
    </row>
    <row r="492" spans="1:9" outlineLevel="2" x14ac:dyDescent="0.2">
      <c r="A492" s="1980" t="s">
        <v>2267</v>
      </c>
      <c r="B492" s="1980" t="s">
        <v>2268</v>
      </c>
      <c r="C492" s="1980" t="s">
        <v>2360</v>
      </c>
      <c r="D492" s="1980" t="s">
        <v>2361</v>
      </c>
      <c r="E492" s="1980" t="s">
        <v>921</v>
      </c>
      <c r="F492" s="1985">
        <v>2992.3382499999998</v>
      </c>
      <c r="G492" s="1962">
        <v>0</v>
      </c>
      <c r="H492" s="1962">
        <v>2992.3382499999998</v>
      </c>
      <c r="I492" s="1962">
        <v>0</v>
      </c>
    </row>
    <row r="493" spans="1:9" outlineLevel="2" x14ac:dyDescent="0.2">
      <c r="A493" s="1980" t="s">
        <v>2267</v>
      </c>
      <c r="B493" s="1980" t="s">
        <v>2268</v>
      </c>
      <c r="C493" s="1980" t="s">
        <v>2360</v>
      </c>
      <c r="D493" s="1980" t="s">
        <v>2361</v>
      </c>
      <c r="E493" s="1980" t="s">
        <v>922</v>
      </c>
      <c r="F493" s="1985">
        <v>7760.2688799999996</v>
      </c>
      <c r="G493" s="1962">
        <v>0</v>
      </c>
      <c r="H493" s="1962">
        <v>0</v>
      </c>
      <c r="I493" s="1962">
        <v>0</v>
      </c>
    </row>
    <row r="494" spans="1:9" outlineLevel="2" x14ac:dyDescent="0.2">
      <c r="A494" s="1980" t="s">
        <v>2267</v>
      </c>
      <c r="B494" s="1980" t="s">
        <v>2268</v>
      </c>
      <c r="C494" s="1980" t="s">
        <v>2360</v>
      </c>
      <c r="D494" s="1980" t="s">
        <v>2361</v>
      </c>
      <c r="E494" s="1980" t="s">
        <v>923</v>
      </c>
      <c r="F494" s="1985">
        <v>1040.5532599999999</v>
      </c>
      <c r="G494" s="1962">
        <v>0</v>
      </c>
      <c r="H494" s="1962">
        <v>0</v>
      </c>
      <c r="I494" s="1962">
        <v>0</v>
      </c>
    </row>
    <row r="495" spans="1:9" outlineLevel="2" x14ac:dyDescent="0.2">
      <c r="A495" s="1980" t="s">
        <v>2267</v>
      </c>
      <c r="B495" s="1980" t="s">
        <v>2268</v>
      </c>
      <c r="C495" s="1980" t="s">
        <v>2362</v>
      </c>
      <c r="D495" s="1980" t="s">
        <v>2363</v>
      </c>
      <c r="E495" s="1980" t="s">
        <v>912</v>
      </c>
      <c r="F495" s="1985">
        <v>1388.16886</v>
      </c>
      <c r="G495" s="1962">
        <v>1388.16886</v>
      </c>
      <c r="H495" s="1962">
        <v>0</v>
      </c>
      <c r="I495" s="1962">
        <v>0</v>
      </c>
    </row>
    <row r="496" spans="1:9" outlineLevel="2" x14ac:dyDescent="0.2">
      <c r="A496" s="1980" t="s">
        <v>2267</v>
      </c>
      <c r="B496" s="1980" t="s">
        <v>2268</v>
      </c>
      <c r="C496" s="1980" t="s">
        <v>2362</v>
      </c>
      <c r="D496" s="1980" t="s">
        <v>2363</v>
      </c>
      <c r="E496" s="1980" t="s">
        <v>1083</v>
      </c>
      <c r="F496" s="1985">
        <v>3010.2379299999998</v>
      </c>
      <c r="G496" s="1962">
        <v>815.59062500011953</v>
      </c>
      <c r="H496" s="1962">
        <v>229.31718307221468</v>
      </c>
      <c r="I496" s="1962">
        <v>162.96332834909865</v>
      </c>
    </row>
    <row r="497" spans="1:9" outlineLevel="2" x14ac:dyDescent="0.2">
      <c r="A497" s="1980" t="s">
        <v>2267</v>
      </c>
      <c r="B497" s="1980" t="s">
        <v>2268</v>
      </c>
      <c r="C497" s="1980" t="s">
        <v>2362</v>
      </c>
      <c r="D497" s="1980" t="s">
        <v>2363</v>
      </c>
      <c r="E497" s="1980" t="s">
        <v>920</v>
      </c>
      <c r="F497" s="1985">
        <v>1082.7974300000001</v>
      </c>
      <c r="G497" s="1962">
        <v>0</v>
      </c>
      <c r="H497" s="1962">
        <v>0</v>
      </c>
      <c r="I497" s="1962">
        <v>0</v>
      </c>
    </row>
    <row r="498" spans="1:9" outlineLevel="2" x14ac:dyDescent="0.2">
      <c r="A498" s="1980" t="s">
        <v>2267</v>
      </c>
      <c r="B498" s="1980" t="s">
        <v>2268</v>
      </c>
      <c r="C498" s="1980" t="s">
        <v>2362</v>
      </c>
      <c r="D498" s="1980" t="s">
        <v>2363</v>
      </c>
      <c r="E498" s="1980" t="s">
        <v>922</v>
      </c>
      <c r="F498" s="1985">
        <v>607.57097999999996</v>
      </c>
      <c r="G498" s="1962">
        <v>0</v>
      </c>
      <c r="H498" s="1962">
        <v>0</v>
      </c>
      <c r="I498" s="1962">
        <v>0</v>
      </c>
    </row>
    <row r="499" spans="1:9" outlineLevel="2" x14ac:dyDescent="0.2">
      <c r="A499" s="1980" t="s">
        <v>2267</v>
      </c>
      <c r="B499" s="1980" t="s">
        <v>2268</v>
      </c>
      <c r="C499" s="1980" t="s">
        <v>2364</v>
      </c>
      <c r="D499" s="1980" t="s">
        <v>2365</v>
      </c>
      <c r="E499" s="1980" t="s">
        <v>912</v>
      </c>
      <c r="F499" s="1985">
        <v>1216.5528099999999</v>
      </c>
      <c r="G499" s="1962">
        <v>1216.5528099999999</v>
      </c>
      <c r="H499" s="1962">
        <v>0</v>
      </c>
      <c r="I499" s="1962">
        <v>0</v>
      </c>
    </row>
    <row r="500" spans="1:9" outlineLevel="2" x14ac:dyDescent="0.2">
      <c r="A500" s="1980" t="s">
        <v>2267</v>
      </c>
      <c r="B500" s="1980" t="s">
        <v>2268</v>
      </c>
      <c r="C500" s="1980" t="s">
        <v>2364</v>
      </c>
      <c r="D500" s="1980" t="s">
        <v>2365</v>
      </c>
      <c r="E500" s="1980" t="s">
        <v>1083</v>
      </c>
      <c r="F500" s="1985">
        <v>37121.846689999998</v>
      </c>
      <c r="G500" s="1962">
        <v>10057.75318997981</v>
      </c>
      <c r="H500" s="1962">
        <v>2827.9084615047082</v>
      </c>
      <c r="I500" s="1962">
        <v>2009.6417066498698</v>
      </c>
    </row>
    <row r="501" spans="1:9" outlineLevel="2" x14ac:dyDescent="0.2">
      <c r="A501" s="1980" t="s">
        <v>2267</v>
      </c>
      <c r="B501" s="1980" t="s">
        <v>2268</v>
      </c>
      <c r="C501" s="1980" t="s">
        <v>2364</v>
      </c>
      <c r="D501" s="1980" t="s">
        <v>2365</v>
      </c>
      <c r="E501" s="1980" t="s">
        <v>913</v>
      </c>
      <c r="F501" s="1985">
        <v>195.47286</v>
      </c>
      <c r="G501" s="1962">
        <v>54.681165384500794</v>
      </c>
      <c r="H501" s="1962">
        <v>14.591908383743762</v>
      </c>
      <c r="I501" s="1962">
        <v>10.42505365034495</v>
      </c>
    </row>
    <row r="502" spans="1:9" outlineLevel="2" x14ac:dyDescent="0.2">
      <c r="A502" s="1980" t="s">
        <v>2267</v>
      </c>
      <c r="B502" s="1980" t="s">
        <v>2268</v>
      </c>
      <c r="C502" s="1980" t="s">
        <v>2364</v>
      </c>
      <c r="D502" s="1980" t="s">
        <v>2365</v>
      </c>
      <c r="E502" s="1980" t="s">
        <v>920</v>
      </c>
      <c r="F502" s="1985">
        <v>2690.9034200000001</v>
      </c>
      <c r="G502" s="1962">
        <v>0</v>
      </c>
      <c r="H502" s="1962">
        <v>0</v>
      </c>
      <c r="I502" s="1962">
        <v>0</v>
      </c>
    </row>
    <row r="503" spans="1:9" outlineLevel="2" x14ac:dyDescent="0.2">
      <c r="A503" s="1980" t="s">
        <v>2267</v>
      </c>
      <c r="B503" s="1980" t="s">
        <v>2268</v>
      </c>
      <c r="C503" s="1980" t="s">
        <v>2364</v>
      </c>
      <c r="D503" s="1980" t="s">
        <v>2365</v>
      </c>
      <c r="E503" s="1980" t="s">
        <v>922</v>
      </c>
      <c r="F503" s="1985">
        <v>900.13572999999997</v>
      </c>
      <c r="G503" s="1962">
        <v>0</v>
      </c>
      <c r="H503" s="1962">
        <v>0</v>
      </c>
      <c r="I503" s="1962">
        <v>0</v>
      </c>
    </row>
    <row r="504" spans="1:9" outlineLevel="2" x14ac:dyDescent="0.2">
      <c r="A504" s="1980" t="s">
        <v>2267</v>
      </c>
      <c r="B504" s="1980" t="s">
        <v>2268</v>
      </c>
      <c r="C504" s="1980" t="s">
        <v>2366</v>
      </c>
      <c r="D504" s="1980" t="s">
        <v>2367</v>
      </c>
      <c r="E504" s="1980" t="s">
        <v>918</v>
      </c>
      <c r="F504" s="1985">
        <v>1675.9409000000001</v>
      </c>
      <c r="G504" s="1962">
        <v>0</v>
      </c>
      <c r="H504" s="1962">
        <v>0</v>
      </c>
      <c r="I504" s="1962">
        <v>0</v>
      </c>
    </row>
    <row r="505" spans="1:9" outlineLevel="2" x14ac:dyDescent="0.2">
      <c r="A505" s="1980" t="s">
        <v>2267</v>
      </c>
      <c r="B505" s="1980" t="s">
        <v>2268</v>
      </c>
      <c r="C505" s="1980" t="s">
        <v>2366</v>
      </c>
      <c r="D505" s="1980" t="s">
        <v>2367</v>
      </c>
      <c r="E505" s="1980" t="s">
        <v>919</v>
      </c>
      <c r="F505" s="1985">
        <v>3884.12743</v>
      </c>
      <c r="G505" s="1962">
        <v>0</v>
      </c>
      <c r="H505" s="1962">
        <v>0</v>
      </c>
      <c r="I505" s="1962">
        <v>3884.12743</v>
      </c>
    </row>
    <row r="506" spans="1:9" outlineLevel="2" x14ac:dyDescent="0.2">
      <c r="A506" s="1980" t="s">
        <v>2267</v>
      </c>
      <c r="B506" s="1980" t="s">
        <v>2268</v>
      </c>
      <c r="C506" s="1980" t="s">
        <v>2366</v>
      </c>
      <c r="D506" s="1980" t="s">
        <v>2367</v>
      </c>
      <c r="E506" s="1980" t="s">
        <v>912</v>
      </c>
      <c r="F506" s="1985">
        <v>11207.76138</v>
      </c>
      <c r="G506" s="1962">
        <v>11207.76138</v>
      </c>
      <c r="H506" s="1962">
        <v>0</v>
      </c>
      <c r="I506" s="1962">
        <v>0</v>
      </c>
    </row>
    <row r="507" spans="1:9" outlineLevel="2" x14ac:dyDescent="0.2">
      <c r="A507" s="1980" t="s">
        <v>2267</v>
      </c>
      <c r="B507" s="1980" t="s">
        <v>2268</v>
      </c>
      <c r="C507" s="1980" t="s">
        <v>2366</v>
      </c>
      <c r="D507" s="1980" t="s">
        <v>2367</v>
      </c>
      <c r="E507" s="1980" t="s">
        <v>1083</v>
      </c>
      <c r="F507" s="1985">
        <v>325.36768999999998</v>
      </c>
      <c r="G507" s="1962">
        <v>88.154771753190005</v>
      </c>
      <c r="H507" s="1962">
        <v>24.786214202514415</v>
      </c>
      <c r="I507" s="1962">
        <v>17.614222839740027</v>
      </c>
    </row>
    <row r="508" spans="1:9" outlineLevel="2" x14ac:dyDescent="0.2">
      <c r="A508" s="1980" t="s">
        <v>2267</v>
      </c>
      <c r="B508" s="1980" t="s">
        <v>2268</v>
      </c>
      <c r="C508" s="1980" t="s">
        <v>2366</v>
      </c>
      <c r="D508" s="1980" t="s">
        <v>2367</v>
      </c>
      <c r="E508" s="1980" t="s">
        <v>913</v>
      </c>
      <c r="F508" s="1985">
        <v>1271.35095</v>
      </c>
      <c r="G508" s="1962">
        <v>355.64503204532946</v>
      </c>
      <c r="H508" s="1962">
        <v>94.905433859133169</v>
      </c>
      <c r="I508" s="1962">
        <v>67.804307268881317</v>
      </c>
    </row>
    <row r="509" spans="1:9" outlineLevel="2" x14ac:dyDescent="0.2">
      <c r="A509" s="1980" t="s">
        <v>2267</v>
      </c>
      <c r="B509" s="1980" t="s">
        <v>2268</v>
      </c>
      <c r="C509" s="1980" t="s">
        <v>2366</v>
      </c>
      <c r="D509" s="1980" t="s">
        <v>2367</v>
      </c>
      <c r="E509" s="1980" t="s">
        <v>920</v>
      </c>
      <c r="F509" s="1985">
        <v>18082.874319999999</v>
      </c>
      <c r="G509" s="1962">
        <v>0</v>
      </c>
      <c r="H509" s="1962">
        <v>0</v>
      </c>
      <c r="I509" s="1962">
        <v>0</v>
      </c>
    </row>
    <row r="510" spans="1:9" outlineLevel="2" x14ac:dyDescent="0.2">
      <c r="A510" s="1980" t="s">
        <v>2267</v>
      </c>
      <c r="B510" s="1980" t="s">
        <v>2268</v>
      </c>
      <c r="C510" s="1980" t="s">
        <v>2366</v>
      </c>
      <c r="D510" s="1980" t="s">
        <v>2367</v>
      </c>
      <c r="E510" s="1980" t="s">
        <v>921</v>
      </c>
      <c r="F510" s="1985">
        <v>2191.7188599999999</v>
      </c>
      <c r="G510" s="1962">
        <v>0</v>
      </c>
      <c r="H510" s="1962">
        <v>2191.7188599999999</v>
      </c>
      <c r="I510" s="1962">
        <v>0</v>
      </c>
    </row>
    <row r="511" spans="1:9" outlineLevel="2" x14ac:dyDescent="0.2">
      <c r="A511" s="1980" t="s">
        <v>2267</v>
      </c>
      <c r="B511" s="1980" t="s">
        <v>2268</v>
      </c>
      <c r="C511" s="1980" t="s">
        <v>2366</v>
      </c>
      <c r="D511" s="1980" t="s">
        <v>2367</v>
      </c>
      <c r="E511" s="1980" t="s">
        <v>922</v>
      </c>
      <c r="F511" s="1985">
        <v>5188.4460200000003</v>
      </c>
      <c r="G511" s="1962">
        <v>0</v>
      </c>
      <c r="H511" s="1962">
        <v>0</v>
      </c>
      <c r="I511" s="1962">
        <v>0</v>
      </c>
    </row>
    <row r="512" spans="1:9" outlineLevel="2" x14ac:dyDescent="0.2">
      <c r="A512" s="1980" t="s">
        <v>2267</v>
      </c>
      <c r="B512" s="1980" t="s">
        <v>2268</v>
      </c>
      <c r="C512" s="1980" t="s">
        <v>2366</v>
      </c>
      <c r="D512" s="1980" t="s">
        <v>2367</v>
      </c>
      <c r="E512" s="1980" t="s">
        <v>923</v>
      </c>
      <c r="F512" s="1985">
        <v>1372.3745200000001</v>
      </c>
      <c r="G512" s="1962">
        <v>0</v>
      </c>
      <c r="H512" s="1962">
        <v>0</v>
      </c>
      <c r="I512" s="1962">
        <v>0</v>
      </c>
    </row>
    <row r="513" spans="1:9" outlineLevel="2" x14ac:dyDescent="0.2">
      <c r="A513" s="1980" t="s">
        <v>2267</v>
      </c>
      <c r="B513" s="1980" t="s">
        <v>2268</v>
      </c>
      <c r="C513" s="1980" t="s">
        <v>2368</v>
      </c>
      <c r="D513" s="1980" t="s">
        <v>2369</v>
      </c>
      <c r="E513" s="1980" t="s">
        <v>918</v>
      </c>
      <c r="F513" s="1985">
        <v>880.24410999999998</v>
      </c>
      <c r="G513" s="1962">
        <v>0</v>
      </c>
      <c r="H513" s="1962">
        <v>0</v>
      </c>
      <c r="I513" s="1962">
        <v>0</v>
      </c>
    </row>
    <row r="514" spans="1:9" outlineLevel="2" x14ac:dyDescent="0.2">
      <c r="A514" s="1980" t="s">
        <v>2267</v>
      </c>
      <c r="B514" s="1980" t="s">
        <v>2268</v>
      </c>
      <c r="C514" s="1980" t="s">
        <v>2368</v>
      </c>
      <c r="D514" s="1980" t="s">
        <v>2369</v>
      </c>
      <c r="E514" s="1980" t="s">
        <v>919</v>
      </c>
      <c r="F514" s="1985">
        <v>2322.8209299999999</v>
      </c>
      <c r="G514" s="1962">
        <v>0</v>
      </c>
      <c r="H514" s="1962">
        <v>0</v>
      </c>
      <c r="I514" s="1962">
        <v>2322.8209299999999</v>
      </c>
    </row>
    <row r="515" spans="1:9" outlineLevel="2" x14ac:dyDescent="0.2">
      <c r="A515" s="1980" t="s">
        <v>2267</v>
      </c>
      <c r="B515" s="1980" t="s">
        <v>2268</v>
      </c>
      <c r="C515" s="1980" t="s">
        <v>2368</v>
      </c>
      <c r="D515" s="1980" t="s">
        <v>2369</v>
      </c>
      <c r="E515" s="1980" t="s">
        <v>912</v>
      </c>
      <c r="F515" s="1985">
        <v>4862.7615400000004</v>
      </c>
      <c r="G515" s="1962">
        <v>4862.7615400000004</v>
      </c>
      <c r="H515" s="1962">
        <v>0</v>
      </c>
      <c r="I515" s="1962">
        <v>0</v>
      </c>
    </row>
    <row r="516" spans="1:9" outlineLevel="2" x14ac:dyDescent="0.2">
      <c r="A516" s="1980" t="s">
        <v>2267</v>
      </c>
      <c r="B516" s="1980" t="s">
        <v>2268</v>
      </c>
      <c r="C516" s="1980" t="s">
        <v>2368</v>
      </c>
      <c r="D516" s="1980" t="s">
        <v>2369</v>
      </c>
      <c r="E516" s="1980" t="s">
        <v>906</v>
      </c>
      <c r="F516" s="1985">
        <v>74.793930000000003</v>
      </c>
      <c r="G516" s="1962">
        <v>19.324659319130031</v>
      </c>
      <c r="H516" s="1962">
        <v>5.3411169683989055</v>
      </c>
      <c r="I516" s="1962">
        <v>4.4137648573209152</v>
      </c>
    </row>
    <row r="517" spans="1:9" outlineLevel="2" x14ac:dyDescent="0.2">
      <c r="A517" s="1980" t="s">
        <v>2267</v>
      </c>
      <c r="B517" s="1980" t="s">
        <v>2268</v>
      </c>
      <c r="C517" s="1980" t="s">
        <v>2368</v>
      </c>
      <c r="D517" s="1980" t="s">
        <v>2369</v>
      </c>
      <c r="E517" s="1980" t="s">
        <v>1083</v>
      </c>
      <c r="F517" s="1985">
        <v>7168.3191200000001</v>
      </c>
      <c r="G517" s="1962">
        <v>1942.1766675038566</v>
      </c>
      <c r="H517" s="1962">
        <v>546.07601996467338</v>
      </c>
      <c r="I517" s="1962">
        <v>388.06671420278133</v>
      </c>
    </row>
    <row r="518" spans="1:9" outlineLevel="2" x14ac:dyDescent="0.2">
      <c r="A518" s="1980" t="s">
        <v>2267</v>
      </c>
      <c r="B518" s="1980" t="s">
        <v>2268</v>
      </c>
      <c r="C518" s="1980" t="s">
        <v>2368</v>
      </c>
      <c r="D518" s="1980" t="s">
        <v>2369</v>
      </c>
      <c r="E518" s="1980" t="s">
        <v>913</v>
      </c>
      <c r="F518" s="1985">
        <v>489.48746999999997</v>
      </c>
      <c r="G518" s="1962">
        <v>136.92819197872723</v>
      </c>
      <c r="H518" s="1962">
        <v>36.539887518044821</v>
      </c>
      <c r="I518" s="1962">
        <v>26.105583843821663</v>
      </c>
    </row>
    <row r="519" spans="1:9" outlineLevel="2" x14ac:dyDescent="0.2">
      <c r="A519" s="1980" t="s">
        <v>2267</v>
      </c>
      <c r="B519" s="1980" t="s">
        <v>2268</v>
      </c>
      <c r="C519" s="1980" t="s">
        <v>2368</v>
      </c>
      <c r="D519" s="1980" t="s">
        <v>2369</v>
      </c>
      <c r="E519" s="1980" t="s">
        <v>920</v>
      </c>
      <c r="F519" s="1985">
        <v>10173.551450000001</v>
      </c>
      <c r="G519" s="1962">
        <v>0</v>
      </c>
      <c r="H519" s="1962">
        <v>0</v>
      </c>
      <c r="I519" s="1962">
        <v>0</v>
      </c>
    </row>
    <row r="520" spans="1:9" outlineLevel="2" x14ac:dyDescent="0.2">
      <c r="A520" s="1980" t="s">
        <v>2267</v>
      </c>
      <c r="B520" s="1980" t="s">
        <v>2268</v>
      </c>
      <c r="C520" s="1980" t="s">
        <v>2368</v>
      </c>
      <c r="D520" s="1980" t="s">
        <v>2369</v>
      </c>
      <c r="E520" s="1980" t="s">
        <v>921</v>
      </c>
      <c r="F520" s="1985">
        <v>1540.52802</v>
      </c>
      <c r="G520" s="1962">
        <v>0</v>
      </c>
      <c r="H520" s="1962">
        <v>1540.52802</v>
      </c>
      <c r="I520" s="1962">
        <v>0</v>
      </c>
    </row>
    <row r="521" spans="1:9" outlineLevel="2" x14ac:dyDescent="0.2">
      <c r="A521" s="1980" t="s">
        <v>2267</v>
      </c>
      <c r="B521" s="1980" t="s">
        <v>2268</v>
      </c>
      <c r="C521" s="1980" t="s">
        <v>2368</v>
      </c>
      <c r="D521" s="1980" t="s">
        <v>2369</v>
      </c>
      <c r="E521" s="1980" t="s">
        <v>922</v>
      </c>
      <c r="F521" s="1985">
        <v>3262.0350899999999</v>
      </c>
      <c r="G521" s="1962">
        <v>0</v>
      </c>
      <c r="H521" s="1962">
        <v>0</v>
      </c>
      <c r="I521" s="1962">
        <v>0</v>
      </c>
    </row>
    <row r="522" spans="1:9" outlineLevel="2" x14ac:dyDescent="0.2">
      <c r="A522" s="1980" t="s">
        <v>2267</v>
      </c>
      <c r="B522" s="1980" t="s">
        <v>2268</v>
      </c>
      <c r="C522" s="1980" t="s">
        <v>2368</v>
      </c>
      <c r="D522" s="1980" t="s">
        <v>2369</v>
      </c>
      <c r="E522" s="1980" t="s">
        <v>923</v>
      </c>
      <c r="F522" s="1985">
        <v>954.95037000000002</v>
      </c>
      <c r="G522" s="1962">
        <v>0</v>
      </c>
      <c r="H522" s="1962">
        <v>0</v>
      </c>
      <c r="I522" s="1962">
        <v>0</v>
      </c>
    </row>
    <row r="523" spans="1:9" outlineLevel="2" x14ac:dyDescent="0.2">
      <c r="A523" s="1980" t="s">
        <v>2267</v>
      </c>
      <c r="B523" s="1980" t="s">
        <v>2268</v>
      </c>
      <c r="C523" s="1980" t="s">
        <v>1990</v>
      </c>
      <c r="D523" s="1980" t="s">
        <v>1991</v>
      </c>
      <c r="E523" s="1980" t="s">
        <v>918</v>
      </c>
      <c r="F523" s="1985">
        <v>6177.2966100000003</v>
      </c>
      <c r="G523" s="1962">
        <v>0</v>
      </c>
      <c r="H523" s="1962">
        <v>0</v>
      </c>
      <c r="I523" s="1962">
        <v>0</v>
      </c>
    </row>
    <row r="524" spans="1:9" outlineLevel="2" x14ac:dyDescent="0.2">
      <c r="A524" s="1980" t="s">
        <v>2267</v>
      </c>
      <c r="B524" s="1980" t="s">
        <v>2268</v>
      </c>
      <c r="C524" s="1980" t="s">
        <v>1990</v>
      </c>
      <c r="D524" s="1980" t="s">
        <v>1991</v>
      </c>
      <c r="E524" s="1980" t="s">
        <v>1754</v>
      </c>
      <c r="F524" s="1985">
        <v>3440.87797</v>
      </c>
      <c r="G524" s="1962">
        <v>1048.8701556176552</v>
      </c>
      <c r="H524" s="1962">
        <v>229.54054636153887</v>
      </c>
      <c r="I524" s="1962">
        <v>146.93123198582674</v>
      </c>
    </row>
    <row r="525" spans="1:9" outlineLevel="2" x14ac:dyDescent="0.2">
      <c r="A525" s="1980" t="s">
        <v>2267</v>
      </c>
      <c r="B525" s="1980" t="s">
        <v>2268</v>
      </c>
      <c r="C525" s="1980" t="s">
        <v>1990</v>
      </c>
      <c r="D525" s="1980" t="s">
        <v>1991</v>
      </c>
      <c r="E525" s="1980" t="s">
        <v>919</v>
      </c>
      <c r="F525" s="1985">
        <v>12636.06465</v>
      </c>
      <c r="G525" s="1962">
        <v>0</v>
      </c>
      <c r="H525" s="1962">
        <v>0</v>
      </c>
      <c r="I525" s="1962">
        <v>12636.06465</v>
      </c>
    </row>
    <row r="526" spans="1:9" outlineLevel="2" x14ac:dyDescent="0.2">
      <c r="A526" s="1980" t="s">
        <v>2267</v>
      </c>
      <c r="B526" s="1980" t="s">
        <v>2268</v>
      </c>
      <c r="C526" s="1980" t="s">
        <v>1990</v>
      </c>
      <c r="D526" s="1980" t="s">
        <v>1991</v>
      </c>
      <c r="E526" s="1980" t="s">
        <v>912</v>
      </c>
      <c r="F526" s="1985">
        <v>63202.444020000003</v>
      </c>
      <c r="G526" s="1962">
        <v>63202.444020000003</v>
      </c>
      <c r="H526" s="1962">
        <v>0</v>
      </c>
      <c r="I526" s="1962">
        <v>0</v>
      </c>
    </row>
    <row r="527" spans="1:9" outlineLevel="2" x14ac:dyDescent="0.2">
      <c r="A527" s="1980" t="s">
        <v>2267</v>
      </c>
      <c r="B527" s="1980" t="s">
        <v>2268</v>
      </c>
      <c r="C527" s="1980" t="s">
        <v>1990</v>
      </c>
      <c r="D527" s="1980" t="s">
        <v>1991</v>
      </c>
      <c r="E527" s="1980" t="s">
        <v>906</v>
      </c>
      <c r="F527" s="1985">
        <v>279.63639000000001</v>
      </c>
      <c r="G527" s="1962">
        <v>72.250220973565362</v>
      </c>
      <c r="H527" s="1962">
        <v>19.969142784859866</v>
      </c>
      <c r="I527" s="1962">
        <v>16.501997836055491</v>
      </c>
    </row>
    <row r="528" spans="1:9" outlineLevel="2" x14ac:dyDescent="0.2">
      <c r="A528" s="1980" t="s">
        <v>2267</v>
      </c>
      <c r="B528" s="1980" t="s">
        <v>2268</v>
      </c>
      <c r="C528" s="1980" t="s">
        <v>1990</v>
      </c>
      <c r="D528" s="1980" t="s">
        <v>1991</v>
      </c>
      <c r="E528" s="1980" t="s">
        <v>1083</v>
      </c>
      <c r="F528" s="1985">
        <v>201495.70817999999</v>
      </c>
      <c r="G528" s="1962">
        <v>54593.030315503296</v>
      </c>
      <c r="H528" s="1962">
        <v>15349.759479304217</v>
      </c>
      <c r="I528" s="1962">
        <v>10908.244469921852</v>
      </c>
    </row>
    <row r="529" spans="1:9" outlineLevel="2" x14ac:dyDescent="0.2">
      <c r="A529" s="1980" t="s">
        <v>2267</v>
      </c>
      <c r="B529" s="1980" t="s">
        <v>2268</v>
      </c>
      <c r="C529" s="1980" t="s">
        <v>1990</v>
      </c>
      <c r="D529" s="1980" t="s">
        <v>1991</v>
      </c>
      <c r="E529" s="1980" t="s">
        <v>913</v>
      </c>
      <c r="F529" s="1985">
        <v>94712.76152</v>
      </c>
      <c r="G529" s="1962">
        <v>26494.74805196948</v>
      </c>
      <c r="H529" s="1962">
        <v>7070.2395149444874</v>
      </c>
      <c r="I529" s="1962">
        <v>5051.2670670410544</v>
      </c>
    </row>
    <row r="530" spans="1:9" outlineLevel="2" x14ac:dyDescent="0.2">
      <c r="A530" s="1980" t="s">
        <v>2267</v>
      </c>
      <c r="B530" s="1980" t="s">
        <v>2268</v>
      </c>
      <c r="C530" s="1980" t="s">
        <v>1990</v>
      </c>
      <c r="D530" s="1980" t="s">
        <v>1991</v>
      </c>
      <c r="E530" s="1980" t="s">
        <v>920</v>
      </c>
      <c r="F530" s="1985">
        <v>72548.049180000002</v>
      </c>
      <c r="G530" s="1962">
        <v>0</v>
      </c>
      <c r="H530" s="1962">
        <v>0</v>
      </c>
      <c r="I530" s="1962">
        <v>0</v>
      </c>
    </row>
    <row r="531" spans="1:9" outlineLevel="2" x14ac:dyDescent="0.2">
      <c r="A531" s="1980" t="s">
        <v>2267</v>
      </c>
      <c r="B531" s="1980" t="s">
        <v>2268</v>
      </c>
      <c r="C531" s="1980" t="s">
        <v>1990</v>
      </c>
      <c r="D531" s="1980" t="s">
        <v>1991</v>
      </c>
      <c r="E531" s="1980" t="s">
        <v>921</v>
      </c>
      <c r="F531" s="1985">
        <v>13195.42656</v>
      </c>
      <c r="G531" s="1962">
        <v>0</v>
      </c>
      <c r="H531" s="1962">
        <v>13195.42656</v>
      </c>
      <c r="I531" s="1962">
        <v>0</v>
      </c>
    </row>
    <row r="532" spans="1:9" outlineLevel="2" x14ac:dyDescent="0.2">
      <c r="A532" s="1980" t="s">
        <v>2267</v>
      </c>
      <c r="B532" s="1980" t="s">
        <v>2268</v>
      </c>
      <c r="C532" s="1980" t="s">
        <v>1990</v>
      </c>
      <c r="D532" s="1980" t="s">
        <v>1991</v>
      </c>
      <c r="E532" s="1980" t="s">
        <v>922</v>
      </c>
      <c r="F532" s="1985">
        <v>26277.82922</v>
      </c>
      <c r="G532" s="1962">
        <v>0</v>
      </c>
      <c r="H532" s="1962">
        <v>0</v>
      </c>
      <c r="I532" s="1962">
        <v>0</v>
      </c>
    </row>
    <row r="533" spans="1:9" outlineLevel="2" x14ac:dyDescent="0.2">
      <c r="A533" s="1980" t="s">
        <v>2267</v>
      </c>
      <c r="B533" s="1980" t="s">
        <v>2268</v>
      </c>
      <c r="C533" s="1980" t="s">
        <v>1990</v>
      </c>
      <c r="D533" s="1980" t="s">
        <v>1991</v>
      </c>
      <c r="E533" s="1980" t="s">
        <v>923</v>
      </c>
      <c r="F533" s="1985">
        <v>6780.6666500000001</v>
      </c>
      <c r="G533" s="1962">
        <v>0</v>
      </c>
      <c r="H533" s="1962">
        <v>0</v>
      </c>
      <c r="I533" s="1962">
        <v>0</v>
      </c>
    </row>
    <row r="534" spans="1:9" outlineLevel="2" x14ac:dyDescent="0.2">
      <c r="A534" s="1980" t="s">
        <v>2267</v>
      </c>
      <c r="B534" s="1980" t="s">
        <v>2268</v>
      </c>
      <c r="C534" s="1980" t="s">
        <v>1992</v>
      </c>
      <c r="D534" s="1980" t="s">
        <v>1993</v>
      </c>
      <c r="E534" s="1980" t="s">
        <v>918</v>
      </c>
      <c r="F534" s="1985">
        <v>54.495139999999999</v>
      </c>
      <c r="G534" s="1962">
        <v>0</v>
      </c>
      <c r="H534" s="1962">
        <v>0</v>
      </c>
      <c r="I534" s="1962">
        <v>0</v>
      </c>
    </row>
    <row r="535" spans="1:9" outlineLevel="2" x14ac:dyDescent="0.2">
      <c r="A535" s="1980" t="s">
        <v>2267</v>
      </c>
      <c r="B535" s="1980" t="s">
        <v>2268</v>
      </c>
      <c r="C535" s="1980" t="s">
        <v>1992</v>
      </c>
      <c r="D535" s="1980" t="s">
        <v>1993</v>
      </c>
      <c r="E535" s="1980" t="s">
        <v>919</v>
      </c>
      <c r="F535" s="1985">
        <v>103.6764</v>
      </c>
      <c r="G535" s="1962">
        <v>0</v>
      </c>
      <c r="H535" s="1962">
        <v>0</v>
      </c>
      <c r="I535" s="1962">
        <v>103.6764</v>
      </c>
    </row>
    <row r="536" spans="1:9" outlineLevel="2" x14ac:dyDescent="0.2">
      <c r="A536" s="1980" t="s">
        <v>2267</v>
      </c>
      <c r="B536" s="1980" t="s">
        <v>2268</v>
      </c>
      <c r="C536" s="1980" t="s">
        <v>1992</v>
      </c>
      <c r="D536" s="1980" t="s">
        <v>1993</v>
      </c>
      <c r="E536" s="1980" t="s">
        <v>912</v>
      </c>
      <c r="F536" s="1985">
        <v>337.11013000000003</v>
      </c>
      <c r="G536" s="1962">
        <v>337.11013000000003</v>
      </c>
      <c r="H536" s="1962">
        <v>0</v>
      </c>
      <c r="I536" s="1962">
        <v>0</v>
      </c>
    </row>
    <row r="537" spans="1:9" outlineLevel="2" x14ac:dyDescent="0.2">
      <c r="A537" s="1980" t="s">
        <v>2267</v>
      </c>
      <c r="B537" s="1980" t="s">
        <v>2268</v>
      </c>
      <c r="C537" s="1980" t="s">
        <v>1992</v>
      </c>
      <c r="D537" s="1980" t="s">
        <v>1993</v>
      </c>
      <c r="E537" s="1980" t="s">
        <v>1083</v>
      </c>
      <c r="F537" s="1985">
        <v>563.29808000000003</v>
      </c>
      <c r="G537" s="1962">
        <v>152.61937554835322</v>
      </c>
      <c r="H537" s="1962">
        <v>42.911534549558695</v>
      </c>
      <c r="I537" s="1962">
        <v>30.494908410597581</v>
      </c>
    </row>
    <row r="538" spans="1:9" outlineLevel="2" x14ac:dyDescent="0.2">
      <c r="A538" s="1980" t="s">
        <v>2267</v>
      </c>
      <c r="B538" s="1980" t="s">
        <v>2268</v>
      </c>
      <c r="C538" s="1980" t="s">
        <v>1992</v>
      </c>
      <c r="D538" s="1980" t="s">
        <v>1993</v>
      </c>
      <c r="E538" s="1980" t="s">
        <v>913</v>
      </c>
      <c r="F538" s="1985">
        <v>44.977519999999998</v>
      </c>
      <c r="G538" s="1962">
        <v>12.581916536672621</v>
      </c>
      <c r="H538" s="1962">
        <v>3.3575395129942986</v>
      </c>
      <c r="I538" s="1962">
        <v>2.3987629743559435</v>
      </c>
    </row>
    <row r="539" spans="1:9" outlineLevel="2" x14ac:dyDescent="0.2">
      <c r="A539" s="1980" t="s">
        <v>2267</v>
      </c>
      <c r="B539" s="1980" t="s">
        <v>2268</v>
      </c>
      <c r="C539" s="1980" t="s">
        <v>1992</v>
      </c>
      <c r="D539" s="1980" t="s">
        <v>1993</v>
      </c>
      <c r="E539" s="1980" t="s">
        <v>920</v>
      </c>
      <c r="F539" s="1985">
        <v>461.36113</v>
      </c>
      <c r="G539" s="1962">
        <v>0</v>
      </c>
      <c r="H539" s="1962">
        <v>0</v>
      </c>
      <c r="I539" s="1962">
        <v>0</v>
      </c>
    </row>
    <row r="540" spans="1:9" outlineLevel="2" x14ac:dyDescent="0.2">
      <c r="A540" s="1980" t="s">
        <v>2267</v>
      </c>
      <c r="B540" s="1980" t="s">
        <v>2268</v>
      </c>
      <c r="C540" s="1980" t="s">
        <v>1992</v>
      </c>
      <c r="D540" s="1980" t="s">
        <v>1993</v>
      </c>
      <c r="E540" s="1980" t="s">
        <v>921</v>
      </c>
      <c r="F540" s="1985">
        <v>3.0575700000000001</v>
      </c>
      <c r="G540" s="1962">
        <v>0</v>
      </c>
      <c r="H540" s="1962">
        <v>3.0575700000000001</v>
      </c>
      <c r="I540" s="1962">
        <v>0</v>
      </c>
    </row>
    <row r="541" spans="1:9" outlineLevel="2" x14ac:dyDescent="0.2">
      <c r="A541" s="1980" t="s">
        <v>2267</v>
      </c>
      <c r="B541" s="1980" t="s">
        <v>2268</v>
      </c>
      <c r="C541" s="1980" t="s">
        <v>1992</v>
      </c>
      <c r="D541" s="1980" t="s">
        <v>1993</v>
      </c>
      <c r="E541" s="1980" t="s">
        <v>922</v>
      </c>
      <c r="F541" s="1985">
        <v>123.50982999999999</v>
      </c>
      <c r="G541" s="1962">
        <v>0</v>
      </c>
      <c r="H541" s="1962">
        <v>0</v>
      </c>
      <c r="I541" s="1962">
        <v>0</v>
      </c>
    </row>
    <row r="542" spans="1:9" outlineLevel="2" x14ac:dyDescent="0.2">
      <c r="A542" s="1980" t="s">
        <v>2267</v>
      </c>
      <c r="B542" s="1980" t="s">
        <v>2268</v>
      </c>
      <c r="C542" s="1980" t="s">
        <v>1992</v>
      </c>
      <c r="D542" s="1980" t="s">
        <v>1993</v>
      </c>
      <c r="E542" s="1980" t="s">
        <v>923</v>
      </c>
      <c r="F542" s="1985">
        <v>37.06635</v>
      </c>
      <c r="G542" s="1962">
        <v>0</v>
      </c>
      <c r="H542" s="1962">
        <v>0</v>
      </c>
      <c r="I542" s="1962">
        <v>0</v>
      </c>
    </row>
    <row r="543" spans="1:9" outlineLevel="2" x14ac:dyDescent="0.2">
      <c r="A543" s="1980" t="s">
        <v>2267</v>
      </c>
      <c r="B543" s="1980" t="s">
        <v>2268</v>
      </c>
      <c r="C543" s="1980" t="s">
        <v>1994</v>
      </c>
      <c r="D543" s="1980" t="s">
        <v>1995</v>
      </c>
      <c r="E543" s="1980" t="s">
        <v>918</v>
      </c>
      <c r="F543" s="1985">
        <v>65.608459999999994</v>
      </c>
      <c r="G543" s="1962">
        <v>0</v>
      </c>
      <c r="H543" s="1962">
        <v>0</v>
      </c>
      <c r="I543" s="1962">
        <v>0</v>
      </c>
    </row>
    <row r="544" spans="1:9" outlineLevel="2" x14ac:dyDescent="0.2">
      <c r="A544" s="1980" t="s">
        <v>2267</v>
      </c>
      <c r="B544" s="1980" t="s">
        <v>2268</v>
      </c>
      <c r="C544" s="1980" t="s">
        <v>1994</v>
      </c>
      <c r="D544" s="1980" t="s">
        <v>1995</v>
      </c>
      <c r="E544" s="1980" t="s">
        <v>1754</v>
      </c>
      <c r="F544" s="1985">
        <v>69.363320000000002</v>
      </c>
      <c r="G544" s="1962">
        <v>21.143765305503472</v>
      </c>
      <c r="H544" s="1962">
        <v>4.6272185497616638</v>
      </c>
      <c r="I544" s="1962">
        <v>2.9619295281858355</v>
      </c>
    </row>
    <row r="545" spans="1:9" outlineLevel="2" x14ac:dyDescent="0.2">
      <c r="A545" s="1980" t="s">
        <v>2267</v>
      </c>
      <c r="B545" s="1980" t="s">
        <v>2268</v>
      </c>
      <c r="C545" s="1980" t="s">
        <v>1994</v>
      </c>
      <c r="D545" s="1980" t="s">
        <v>1995</v>
      </c>
      <c r="E545" s="1980" t="s">
        <v>919</v>
      </c>
      <c r="F545" s="1985">
        <v>84.157259999999994</v>
      </c>
      <c r="G545" s="1962">
        <v>0</v>
      </c>
      <c r="H545" s="1962">
        <v>0</v>
      </c>
      <c r="I545" s="1962">
        <v>84.157259999999994</v>
      </c>
    </row>
    <row r="546" spans="1:9" outlineLevel="2" x14ac:dyDescent="0.2">
      <c r="A546" s="1980" t="s">
        <v>2267</v>
      </c>
      <c r="B546" s="1980" t="s">
        <v>2268</v>
      </c>
      <c r="C546" s="1980" t="s">
        <v>1994</v>
      </c>
      <c r="D546" s="1980" t="s">
        <v>1995</v>
      </c>
      <c r="E546" s="1980" t="s">
        <v>912</v>
      </c>
      <c r="F546" s="1985">
        <v>1374.2430099999999</v>
      </c>
      <c r="G546" s="1962">
        <v>1374.2430099999999</v>
      </c>
      <c r="H546" s="1962">
        <v>0</v>
      </c>
      <c r="I546" s="1962">
        <v>0</v>
      </c>
    </row>
    <row r="547" spans="1:9" outlineLevel="2" x14ac:dyDescent="0.2">
      <c r="A547" s="1980" t="s">
        <v>2267</v>
      </c>
      <c r="B547" s="1980" t="s">
        <v>2268</v>
      </c>
      <c r="C547" s="1980" t="s">
        <v>1994</v>
      </c>
      <c r="D547" s="1980" t="s">
        <v>1995</v>
      </c>
      <c r="E547" s="1980" t="s">
        <v>906</v>
      </c>
      <c r="F547" s="1985">
        <v>3.96584</v>
      </c>
      <c r="G547" s="1962">
        <v>1.0246621204979955</v>
      </c>
      <c r="H547" s="1962">
        <v>0.28320500497774503</v>
      </c>
      <c r="I547" s="1962">
        <v>0.23403350006822182</v>
      </c>
    </row>
    <row r="548" spans="1:9" outlineLevel="2" x14ac:dyDescent="0.2">
      <c r="A548" s="1980" t="s">
        <v>2267</v>
      </c>
      <c r="B548" s="1980" t="s">
        <v>2268</v>
      </c>
      <c r="C548" s="1980" t="s">
        <v>1994</v>
      </c>
      <c r="D548" s="1980" t="s">
        <v>1995</v>
      </c>
      <c r="E548" s="1980" t="s">
        <v>1083</v>
      </c>
      <c r="F548" s="1985">
        <v>3118.4825999999998</v>
      </c>
      <c r="G548" s="1962">
        <v>844.91831939211454</v>
      </c>
      <c r="H548" s="1962">
        <v>237.56316341802125</v>
      </c>
      <c r="I548" s="1962">
        <v>168.82330091919042</v>
      </c>
    </row>
    <row r="549" spans="1:9" outlineLevel="2" x14ac:dyDescent="0.2">
      <c r="A549" s="1980" t="s">
        <v>2267</v>
      </c>
      <c r="B549" s="1980" t="s">
        <v>2268</v>
      </c>
      <c r="C549" s="1980" t="s">
        <v>1994</v>
      </c>
      <c r="D549" s="1980" t="s">
        <v>1995</v>
      </c>
      <c r="E549" s="1980" t="s">
        <v>913</v>
      </c>
      <c r="F549" s="1985">
        <v>1634.02359</v>
      </c>
      <c r="G549" s="1962">
        <v>457.09831107482501</v>
      </c>
      <c r="H549" s="1962">
        <v>121.978685543129</v>
      </c>
      <c r="I549" s="1962">
        <v>87.146540914576377</v>
      </c>
    </row>
    <row r="550" spans="1:9" outlineLevel="2" x14ac:dyDescent="0.2">
      <c r="A550" s="1980" t="s">
        <v>2267</v>
      </c>
      <c r="B550" s="1980" t="s">
        <v>2268</v>
      </c>
      <c r="C550" s="1980" t="s">
        <v>1994</v>
      </c>
      <c r="D550" s="1980" t="s">
        <v>1995</v>
      </c>
      <c r="E550" s="1980" t="s">
        <v>920</v>
      </c>
      <c r="F550" s="1985">
        <v>1766.0332599999999</v>
      </c>
      <c r="G550" s="1962">
        <v>0</v>
      </c>
      <c r="H550" s="1962">
        <v>0</v>
      </c>
      <c r="I550" s="1962">
        <v>0</v>
      </c>
    </row>
    <row r="551" spans="1:9" outlineLevel="2" x14ac:dyDescent="0.2">
      <c r="A551" s="1980" t="s">
        <v>2267</v>
      </c>
      <c r="B551" s="1980" t="s">
        <v>2268</v>
      </c>
      <c r="C551" s="1980" t="s">
        <v>1994</v>
      </c>
      <c r="D551" s="1980" t="s">
        <v>1995</v>
      </c>
      <c r="E551" s="1980" t="s">
        <v>921</v>
      </c>
      <c r="F551" s="1985">
        <v>209.60416000000001</v>
      </c>
      <c r="G551" s="1962">
        <v>0</v>
      </c>
      <c r="H551" s="1962">
        <v>209.60416000000001</v>
      </c>
      <c r="I551" s="1962">
        <v>0</v>
      </c>
    </row>
    <row r="552" spans="1:9" outlineLevel="2" x14ac:dyDescent="0.2">
      <c r="A552" s="1980" t="s">
        <v>2267</v>
      </c>
      <c r="B552" s="1980" t="s">
        <v>2268</v>
      </c>
      <c r="C552" s="1980" t="s">
        <v>1994</v>
      </c>
      <c r="D552" s="1980" t="s">
        <v>1995</v>
      </c>
      <c r="E552" s="1980" t="s">
        <v>922</v>
      </c>
      <c r="F552" s="1985">
        <v>286.40618999999998</v>
      </c>
      <c r="G552" s="1962">
        <v>0</v>
      </c>
      <c r="H552" s="1962">
        <v>0</v>
      </c>
      <c r="I552" s="1962">
        <v>0</v>
      </c>
    </row>
    <row r="553" spans="1:9" outlineLevel="2" x14ac:dyDescent="0.2">
      <c r="A553" s="1980" t="s">
        <v>2267</v>
      </c>
      <c r="B553" s="1980" t="s">
        <v>2268</v>
      </c>
      <c r="C553" s="1980" t="s">
        <v>1994</v>
      </c>
      <c r="D553" s="1980" t="s">
        <v>1995</v>
      </c>
      <c r="E553" s="1980" t="s">
        <v>923</v>
      </c>
      <c r="F553" s="1985">
        <v>17.231770000000001</v>
      </c>
      <c r="G553" s="1962">
        <v>0</v>
      </c>
      <c r="H553" s="1962">
        <v>0</v>
      </c>
      <c r="I553" s="1962">
        <v>0</v>
      </c>
    </row>
    <row r="554" spans="1:9" outlineLevel="2" x14ac:dyDescent="0.2">
      <c r="A554" s="1980" t="s">
        <v>2267</v>
      </c>
      <c r="B554" s="1980" t="s">
        <v>2268</v>
      </c>
      <c r="C554" s="1980" t="s">
        <v>2370</v>
      </c>
      <c r="D554" s="1980" t="s">
        <v>2323</v>
      </c>
      <c r="E554" s="1980" t="s">
        <v>906</v>
      </c>
      <c r="F554" s="1985">
        <v>1822.9007200000001</v>
      </c>
      <c r="G554" s="1962">
        <v>470.98655447837604</v>
      </c>
      <c r="H554" s="1962">
        <v>130.17534935386576</v>
      </c>
      <c r="I554" s="1962">
        <v>107.57363781153087</v>
      </c>
    </row>
    <row r="555" spans="1:9" ht="13.5" outlineLevel="1" thickBot="1" x14ac:dyDescent="0.25">
      <c r="A555" s="1981" t="s">
        <v>2371</v>
      </c>
      <c r="B555" s="1981"/>
      <c r="C555" s="1981"/>
      <c r="D555" s="1981"/>
      <c r="E555" s="1981"/>
      <c r="F555" s="1974">
        <v>33090034.886349998</v>
      </c>
      <c r="G555" s="1965">
        <f t="shared" ref="G555:I555" si="99">SUBTOTAL(9,G37:G554)</f>
        <v>9238030.0971291307</v>
      </c>
      <c r="H555" s="1965">
        <f t="shared" si="99"/>
        <v>2476428.9045465305</v>
      </c>
      <c r="I555" s="1965">
        <f t="shared" si="99"/>
        <v>1768446.8168864462</v>
      </c>
    </row>
    <row r="556" spans="1:9" hidden="1" outlineLevel="2" x14ac:dyDescent="0.2">
      <c r="A556" s="1982" t="s">
        <v>2372</v>
      </c>
      <c r="B556" s="1982" t="s">
        <v>2373</v>
      </c>
      <c r="C556" s="1982" t="s">
        <v>2374</v>
      </c>
      <c r="D556" s="1982" t="s">
        <v>2375</v>
      </c>
      <c r="E556" s="1982" t="s">
        <v>913</v>
      </c>
      <c r="F556" s="1985">
        <v>-2846.0430000000001</v>
      </c>
      <c r="G556" s="1962">
        <v>-796.14606331743857</v>
      </c>
      <c r="H556" s="1962">
        <v>-212.45506262196835</v>
      </c>
      <c r="I556" s="1962">
        <v>-151.78654963245893</v>
      </c>
    </row>
    <row r="557" spans="1:9" hidden="1" outlineLevel="2" x14ac:dyDescent="0.2">
      <c r="A557" s="1980" t="s">
        <v>2372</v>
      </c>
      <c r="B557" s="1980" t="s">
        <v>2373</v>
      </c>
      <c r="C557" s="1980" t="s">
        <v>2376</v>
      </c>
      <c r="D557" s="1980" t="s">
        <v>2377</v>
      </c>
      <c r="E557" s="1980" t="s">
        <v>1083</v>
      </c>
      <c r="F557" s="1985">
        <v>-84103.167379999999</v>
      </c>
      <c r="G557" s="1962">
        <v>-22786.821654308191</v>
      </c>
      <c r="H557" s="1962">
        <v>-6406.9026699934566</v>
      </c>
      <c r="I557" s="1962">
        <v>-4553.0394605539186</v>
      </c>
    </row>
    <row r="558" spans="1:9" hidden="1" outlineLevel="2" x14ac:dyDescent="0.2">
      <c r="A558" s="1980" t="s">
        <v>2372</v>
      </c>
      <c r="B558" s="1980" t="s">
        <v>2373</v>
      </c>
      <c r="C558" s="1980" t="s">
        <v>2378</v>
      </c>
      <c r="D558" s="1980" t="s">
        <v>2379</v>
      </c>
      <c r="E558" s="1980" t="s">
        <v>1083</v>
      </c>
      <c r="F558" s="1985">
        <v>-4046.2310000000002</v>
      </c>
      <c r="G558" s="1962">
        <v>-1096.2814724033656</v>
      </c>
      <c r="H558" s="1962">
        <v>-308.23819131781067</v>
      </c>
      <c r="I558" s="1962">
        <v>-219.04822354999092</v>
      </c>
    </row>
    <row r="559" spans="1:9" hidden="1" outlineLevel="2" x14ac:dyDescent="0.2">
      <c r="A559" s="1980" t="s">
        <v>2372</v>
      </c>
      <c r="B559" s="1980" t="s">
        <v>2373</v>
      </c>
      <c r="C559" s="1980" t="s">
        <v>2380</v>
      </c>
      <c r="D559" s="1980" t="s">
        <v>2381</v>
      </c>
      <c r="E559" s="1980" t="s">
        <v>918</v>
      </c>
      <c r="F559" s="1985">
        <v>-1788.3879999999999</v>
      </c>
      <c r="G559" s="1962">
        <v>0</v>
      </c>
      <c r="H559" s="1962">
        <v>0</v>
      </c>
      <c r="I559" s="1962">
        <v>0</v>
      </c>
    </row>
    <row r="560" spans="1:9" hidden="1" outlineLevel="2" x14ac:dyDescent="0.2">
      <c r="A560" s="1980" t="s">
        <v>2372</v>
      </c>
      <c r="B560" s="1980" t="s">
        <v>2373</v>
      </c>
      <c r="C560" s="1980" t="s">
        <v>2380</v>
      </c>
      <c r="D560" s="1980" t="s">
        <v>2381</v>
      </c>
      <c r="E560" s="1980" t="s">
        <v>919</v>
      </c>
      <c r="F560" s="1985">
        <v>-139.59577999999999</v>
      </c>
      <c r="G560" s="1962">
        <v>0</v>
      </c>
      <c r="H560" s="1962">
        <v>0</v>
      </c>
      <c r="I560" s="1962">
        <v>-139.59577999999999</v>
      </c>
    </row>
    <row r="561" spans="1:9" hidden="1" outlineLevel="2" x14ac:dyDescent="0.2">
      <c r="A561" s="1980" t="s">
        <v>2372</v>
      </c>
      <c r="B561" s="1980" t="s">
        <v>2373</v>
      </c>
      <c r="C561" s="1980" t="s">
        <v>2380</v>
      </c>
      <c r="D561" s="1980" t="s">
        <v>2381</v>
      </c>
      <c r="E561" s="1980" t="s">
        <v>912</v>
      </c>
      <c r="F561" s="1985">
        <v>-571.96699999999998</v>
      </c>
      <c r="G561" s="1962">
        <v>-571.96699999999998</v>
      </c>
      <c r="H561" s="1962">
        <v>0</v>
      </c>
      <c r="I561" s="1962">
        <v>0</v>
      </c>
    </row>
    <row r="562" spans="1:9" hidden="1" outlineLevel="2" x14ac:dyDescent="0.2">
      <c r="A562" s="1980" t="s">
        <v>2372</v>
      </c>
      <c r="B562" s="1980" t="s">
        <v>2373</v>
      </c>
      <c r="C562" s="1980" t="s">
        <v>2380</v>
      </c>
      <c r="D562" s="1980" t="s">
        <v>2381</v>
      </c>
      <c r="E562" s="1980" t="s">
        <v>920</v>
      </c>
      <c r="F562" s="1985">
        <v>-1581.67022</v>
      </c>
      <c r="G562" s="1962">
        <v>0</v>
      </c>
      <c r="H562" s="1962">
        <v>0</v>
      </c>
      <c r="I562" s="1962">
        <v>0</v>
      </c>
    </row>
    <row r="563" spans="1:9" hidden="1" outlineLevel="2" x14ac:dyDescent="0.2">
      <c r="A563" s="1980" t="s">
        <v>2372</v>
      </c>
      <c r="B563" s="1980" t="s">
        <v>2373</v>
      </c>
      <c r="C563" s="1980" t="s">
        <v>2380</v>
      </c>
      <c r="D563" s="1980" t="s">
        <v>2381</v>
      </c>
      <c r="E563" s="1980" t="s">
        <v>921</v>
      </c>
      <c r="F563" s="1985">
        <v>-631.98</v>
      </c>
      <c r="G563" s="1962">
        <v>0</v>
      </c>
      <c r="H563" s="1962">
        <v>-631.98</v>
      </c>
      <c r="I563" s="1962">
        <v>0</v>
      </c>
    </row>
    <row r="564" spans="1:9" hidden="1" outlineLevel="2" x14ac:dyDescent="0.2">
      <c r="A564" s="1980" t="s">
        <v>2372</v>
      </c>
      <c r="B564" s="1980" t="s">
        <v>2373</v>
      </c>
      <c r="C564" s="1980" t="s">
        <v>2380</v>
      </c>
      <c r="D564" s="1980" t="s">
        <v>2381</v>
      </c>
      <c r="E564" s="1980" t="s">
        <v>923</v>
      </c>
      <c r="F564" s="1985">
        <v>-427.93200000000002</v>
      </c>
      <c r="G564" s="1962">
        <v>0</v>
      </c>
      <c r="H564" s="1962">
        <v>0</v>
      </c>
      <c r="I564" s="1962">
        <v>0</v>
      </c>
    </row>
    <row r="565" spans="1:9" ht="13.5" outlineLevel="1" collapsed="1" thickBot="1" x14ac:dyDescent="0.25">
      <c r="A565" s="1981" t="s">
        <v>2382</v>
      </c>
      <c r="B565" s="1981"/>
      <c r="C565" s="2137" t="s">
        <v>936</v>
      </c>
      <c r="D565" s="1981"/>
      <c r="E565" s="1981"/>
      <c r="F565" s="1974">
        <v>-96136.974380000014</v>
      </c>
      <c r="G565" s="1965">
        <f t="shared" ref="G565:I565" si="100">SUBTOTAL(9,G556:G564)</f>
        <v>-25251.216190028998</v>
      </c>
      <c r="H565" s="1965">
        <f t="shared" si="100"/>
        <v>-7559.5759239332347</v>
      </c>
      <c r="I565" s="1965">
        <f t="shared" si="100"/>
        <v>-5063.4700137363689</v>
      </c>
    </row>
    <row r="566" spans="1:9" hidden="1" outlineLevel="2" x14ac:dyDescent="0.2">
      <c r="A566" s="1982" t="s">
        <v>2383</v>
      </c>
      <c r="B566" s="1982" t="s">
        <v>2384</v>
      </c>
      <c r="C566" s="1982" t="s">
        <v>904</v>
      </c>
      <c r="D566" s="1982" t="s">
        <v>2385</v>
      </c>
      <c r="E566" s="1982" t="s">
        <v>1083</v>
      </c>
      <c r="F566" s="1985">
        <v>-553.173</v>
      </c>
      <c r="G566" s="1962">
        <v>-149.87609727022181</v>
      </c>
      <c r="H566" s="1962">
        <v>-42.140215179471284</v>
      </c>
      <c r="I566" s="1962">
        <v>-29.946773420948809</v>
      </c>
    </row>
    <row r="567" spans="1:9" hidden="1" outlineLevel="2" x14ac:dyDescent="0.2">
      <c r="A567" s="1980" t="s">
        <v>2383</v>
      </c>
      <c r="B567" s="1980" t="s">
        <v>2384</v>
      </c>
      <c r="C567" s="1980" t="s">
        <v>2386</v>
      </c>
      <c r="D567" s="1980" t="s">
        <v>2387</v>
      </c>
      <c r="E567" s="1980" t="s">
        <v>1083</v>
      </c>
      <c r="F567" s="1985">
        <v>553.173</v>
      </c>
      <c r="G567" s="1962">
        <v>149.87609727022181</v>
      </c>
      <c r="H567" s="1962">
        <v>42.140215179471284</v>
      </c>
      <c r="I567" s="1962">
        <v>29.946773420948809</v>
      </c>
    </row>
    <row r="568" spans="1:9" ht="13.5" outlineLevel="1" collapsed="1" thickBot="1" x14ac:dyDescent="0.25">
      <c r="A568" s="1981" t="s">
        <v>2388</v>
      </c>
      <c r="B568" s="1981"/>
      <c r="C568" s="1981"/>
      <c r="D568" s="1981"/>
      <c r="E568" s="1981"/>
      <c r="F568" s="1974">
        <v>0</v>
      </c>
      <c r="G568" s="1965">
        <f t="shared" ref="G568:I568" si="101">SUBTOTAL(9,G566:G567)</f>
        <v>0</v>
      </c>
      <c r="H568" s="1965">
        <f t="shared" si="101"/>
        <v>0</v>
      </c>
      <c r="I568" s="1965">
        <f t="shared" si="101"/>
        <v>0</v>
      </c>
    </row>
    <row r="569" spans="1:9" hidden="1" outlineLevel="2" x14ac:dyDescent="0.2">
      <c r="A569" s="1982" t="s">
        <v>2389</v>
      </c>
      <c r="B569" s="1982" t="s">
        <v>2390</v>
      </c>
      <c r="C569" s="1982" t="s">
        <v>904</v>
      </c>
      <c r="D569" s="1982" t="s">
        <v>2391</v>
      </c>
      <c r="E569" s="1982" t="s">
        <v>918</v>
      </c>
      <c r="F569" s="1985">
        <v>50029.624640000002</v>
      </c>
      <c r="G569" s="1962">
        <v>0</v>
      </c>
      <c r="H569" s="1962">
        <v>0</v>
      </c>
      <c r="I569" s="1962">
        <v>0</v>
      </c>
    </row>
    <row r="570" spans="1:9" hidden="1" outlineLevel="2" x14ac:dyDescent="0.2">
      <c r="A570" s="1980" t="s">
        <v>2389</v>
      </c>
      <c r="B570" s="1980" t="s">
        <v>2390</v>
      </c>
      <c r="C570" s="1980" t="s">
        <v>904</v>
      </c>
      <c r="D570" s="1980" t="s">
        <v>2391</v>
      </c>
      <c r="E570" s="1980" t="s">
        <v>919</v>
      </c>
      <c r="F570" s="1985">
        <v>5296.6871899999996</v>
      </c>
      <c r="G570" s="1962">
        <v>0</v>
      </c>
      <c r="H570" s="1962">
        <v>0</v>
      </c>
      <c r="I570" s="1962">
        <v>5296.6871899999996</v>
      </c>
    </row>
    <row r="571" spans="1:9" hidden="1" outlineLevel="2" x14ac:dyDescent="0.2">
      <c r="A571" s="1980" t="s">
        <v>2389</v>
      </c>
      <c r="B571" s="1980" t="s">
        <v>2390</v>
      </c>
      <c r="C571" s="1980" t="s">
        <v>904</v>
      </c>
      <c r="D571" s="1980" t="s">
        <v>2391</v>
      </c>
      <c r="E571" s="1980" t="s">
        <v>912</v>
      </c>
      <c r="F571" s="1985">
        <v>67489.204469999997</v>
      </c>
      <c r="G571" s="1962">
        <v>67489.204469999997</v>
      </c>
      <c r="H571" s="1962">
        <v>0</v>
      </c>
      <c r="I571" s="1962">
        <v>0</v>
      </c>
    </row>
    <row r="572" spans="1:9" hidden="1" outlineLevel="2" x14ac:dyDescent="0.2">
      <c r="A572" s="1980" t="s">
        <v>2389</v>
      </c>
      <c r="B572" s="1980" t="s">
        <v>2390</v>
      </c>
      <c r="C572" s="1980" t="s">
        <v>904</v>
      </c>
      <c r="D572" s="1980" t="s">
        <v>2391</v>
      </c>
      <c r="E572" s="1980" t="s">
        <v>920</v>
      </c>
      <c r="F572" s="1985">
        <v>36420.599580000002</v>
      </c>
      <c r="G572" s="1962">
        <v>0</v>
      </c>
      <c r="H572" s="1962">
        <v>0</v>
      </c>
      <c r="I572" s="1962">
        <v>0</v>
      </c>
    </row>
    <row r="573" spans="1:9" hidden="1" outlineLevel="2" x14ac:dyDescent="0.2">
      <c r="A573" s="1980" t="s">
        <v>2389</v>
      </c>
      <c r="B573" s="1980" t="s">
        <v>2390</v>
      </c>
      <c r="C573" s="1980" t="s">
        <v>904</v>
      </c>
      <c r="D573" s="1980" t="s">
        <v>2391</v>
      </c>
      <c r="E573" s="1980" t="s">
        <v>921</v>
      </c>
      <c r="F573" s="1985">
        <v>6644.64624</v>
      </c>
      <c r="G573" s="1962">
        <v>0</v>
      </c>
      <c r="H573" s="1962">
        <v>6644.64624</v>
      </c>
      <c r="I573" s="1962">
        <v>0</v>
      </c>
    </row>
    <row r="574" spans="1:9" hidden="1" outlineLevel="2" x14ac:dyDescent="0.2">
      <c r="A574" s="1980" t="s">
        <v>2389</v>
      </c>
      <c r="B574" s="1980" t="s">
        <v>2390</v>
      </c>
      <c r="C574" s="1980" t="s">
        <v>904</v>
      </c>
      <c r="D574" s="1980" t="s">
        <v>2391</v>
      </c>
      <c r="E574" s="1980" t="s">
        <v>923</v>
      </c>
      <c r="F574" s="1985">
        <v>7254.0840900000003</v>
      </c>
      <c r="G574" s="1962">
        <v>0</v>
      </c>
      <c r="H574" s="1962">
        <v>0</v>
      </c>
      <c r="I574" s="1962">
        <v>0</v>
      </c>
    </row>
    <row r="575" spans="1:9" ht="13.5" outlineLevel="1" collapsed="1" thickBot="1" x14ac:dyDescent="0.25">
      <c r="A575" s="1981" t="s">
        <v>2392</v>
      </c>
      <c r="B575" s="1981"/>
      <c r="C575" s="2137" t="s">
        <v>936</v>
      </c>
      <c r="D575" s="1981"/>
      <c r="E575" s="1981"/>
      <c r="F575" s="1974">
        <v>173134.84620999999</v>
      </c>
      <c r="G575" s="1965">
        <f t="shared" ref="G575:I575" si="102">SUBTOTAL(9,G569:G574)</f>
        <v>67489.204469999997</v>
      </c>
      <c r="H575" s="1965">
        <f t="shared" si="102"/>
        <v>6644.64624</v>
      </c>
      <c r="I575" s="1965">
        <f t="shared" si="102"/>
        <v>5296.6871899999996</v>
      </c>
    </row>
    <row r="576" spans="1:9" hidden="1" outlineLevel="2" x14ac:dyDescent="0.2">
      <c r="A576" s="1982" t="s">
        <v>2393</v>
      </c>
      <c r="B576" s="1982" t="s">
        <v>2394</v>
      </c>
      <c r="C576" s="1982" t="s">
        <v>904</v>
      </c>
      <c r="D576" s="1982" t="s">
        <v>2395</v>
      </c>
      <c r="E576" s="1982" t="s">
        <v>1083</v>
      </c>
      <c r="F576" s="1985">
        <v>189733.02695</v>
      </c>
      <c r="G576" s="1962">
        <v>51406.06212257615</v>
      </c>
      <c r="H576" s="1962">
        <v>14453.68913942912</v>
      </c>
      <c r="I576" s="1962">
        <v>10271.455708327094</v>
      </c>
    </row>
    <row r="577" spans="1:23" ht="13.5" outlineLevel="1" collapsed="1" thickBot="1" x14ac:dyDescent="0.25">
      <c r="A577" s="1981" t="s">
        <v>2396</v>
      </c>
      <c r="B577" s="1981"/>
      <c r="C577" s="2137" t="s">
        <v>936</v>
      </c>
      <c r="D577" s="1981"/>
      <c r="E577" s="1981"/>
      <c r="F577" s="1974">
        <v>189733.02695</v>
      </c>
      <c r="G577" s="1965">
        <f t="shared" ref="G577:I581" si="103">SUBTOTAL(9,G576:G576)</f>
        <v>51406.06212257615</v>
      </c>
      <c r="H577" s="1965">
        <f t="shared" si="103"/>
        <v>14453.68913942912</v>
      </c>
      <c r="I577" s="1965">
        <f t="shared" si="103"/>
        <v>10271.455708327094</v>
      </c>
    </row>
    <row r="578" spans="1:23" hidden="1" outlineLevel="2" x14ac:dyDescent="0.2">
      <c r="A578" s="1982" t="s">
        <v>2397</v>
      </c>
      <c r="B578" s="1982" t="s">
        <v>2398</v>
      </c>
      <c r="C578" s="1982" t="s">
        <v>904</v>
      </c>
      <c r="D578" s="1982" t="s">
        <v>2399</v>
      </c>
      <c r="E578" s="1982" t="s">
        <v>1083</v>
      </c>
      <c r="F578" s="1985">
        <v>59424.28615</v>
      </c>
      <c r="G578" s="1962">
        <v>16100.352134379109</v>
      </c>
      <c r="H578" s="1962">
        <v>4526.887981241809</v>
      </c>
      <c r="I578" s="1962">
        <v>3217.0146283995718</v>
      </c>
    </row>
    <row r="579" spans="1:23" ht="13.5" outlineLevel="1" collapsed="1" thickBot="1" x14ac:dyDescent="0.25">
      <c r="A579" s="1981" t="s">
        <v>2400</v>
      </c>
      <c r="B579" s="1981"/>
      <c r="C579" s="2137" t="s">
        <v>936</v>
      </c>
      <c r="D579" s="1981"/>
      <c r="E579" s="1981"/>
      <c r="F579" s="1974">
        <v>59424.28615</v>
      </c>
      <c r="G579" s="1965">
        <f t="shared" si="103"/>
        <v>16100.352134379109</v>
      </c>
      <c r="H579" s="1965">
        <f t="shared" si="103"/>
        <v>4526.887981241809</v>
      </c>
      <c r="I579" s="1965">
        <f t="shared" si="103"/>
        <v>3217.0146283995718</v>
      </c>
    </row>
    <row r="580" spans="1:23" hidden="1" outlineLevel="2" x14ac:dyDescent="0.2">
      <c r="A580" s="1982" t="s">
        <v>2401</v>
      </c>
      <c r="B580" s="1982" t="s">
        <v>2402</v>
      </c>
      <c r="C580" s="1982" t="s">
        <v>904</v>
      </c>
      <c r="D580" s="1982" t="s">
        <v>2403</v>
      </c>
      <c r="E580" s="1982" t="s">
        <v>913</v>
      </c>
      <c r="F580" s="1985">
        <v>125342.46580000001</v>
      </c>
      <c r="G580" s="1962">
        <v>35063.036894794168</v>
      </c>
      <c r="H580" s="1962">
        <v>9356.7249056781384</v>
      </c>
      <c r="I580" s="1962">
        <v>6684.8253544329737</v>
      </c>
    </row>
    <row r="581" spans="1:23" ht="13.5" outlineLevel="1" collapsed="1" thickBot="1" x14ac:dyDescent="0.25">
      <c r="A581" s="1973" t="s">
        <v>2404</v>
      </c>
      <c r="B581" s="1973"/>
      <c r="C581" s="2137" t="s">
        <v>936</v>
      </c>
      <c r="D581" s="1973"/>
      <c r="E581" s="1986"/>
      <c r="F581" s="1974">
        <v>125342.46580000001</v>
      </c>
      <c r="G581" s="1965">
        <f t="shared" si="103"/>
        <v>35063.036894794168</v>
      </c>
      <c r="H581" s="1965">
        <f t="shared" si="103"/>
        <v>9356.7249056781384</v>
      </c>
      <c r="I581" s="1965">
        <f t="shared" si="103"/>
        <v>6684.8253544329737</v>
      </c>
    </row>
    <row r="582" spans="1:23" ht="16.5" thickBot="1" x14ac:dyDescent="0.3">
      <c r="A582" s="1973" t="s">
        <v>1342</v>
      </c>
      <c r="B582" s="1973"/>
      <c r="C582" s="1973"/>
      <c r="D582" s="1973"/>
      <c r="E582" s="1987"/>
      <c r="F582" s="1974">
        <v>33541532.537079997</v>
      </c>
      <c r="G582" s="1970">
        <f t="shared" ref="G582:I582" si="104">SUBTOTAL(9,G37:G581)</f>
        <v>9382837.5365608502</v>
      </c>
      <c r="H582" s="1970">
        <f t="shared" si="104"/>
        <v>2503851.276888947</v>
      </c>
      <c r="I582" s="1970">
        <f t="shared" si="104"/>
        <v>1788853.3297538692</v>
      </c>
      <c r="K582" s="2153" t="s">
        <v>5594</v>
      </c>
      <c r="L582" s="2153"/>
      <c r="M582" s="3828" t="s">
        <v>5595</v>
      </c>
      <c r="N582" s="3828"/>
      <c r="O582" s="3828"/>
      <c r="P582" s="3828"/>
      <c r="Q582" s="2142"/>
      <c r="R582" s="2107" t="s">
        <v>5596</v>
      </c>
      <c r="S582" s="2107"/>
      <c r="T582" s="2107"/>
      <c r="U582" s="2023" t="s">
        <v>5459</v>
      </c>
      <c r="V582" s="2023" t="s">
        <v>5459</v>
      </c>
      <c r="W582" s="2023" t="s">
        <v>5459</v>
      </c>
    </row>
    <row r="583" spans="1:23" ht="15.75" x14ac:dyDescent="0.25">
      <c r="K583" s="2022" t="s">
        <v>5459</v>
      </c>
      <c r="L583" s="2154">
        <v>2</v>
      </c>
      <c r="M583" s="2154">
        <v>3</v>
      </c>
      <c r="N583" s="2154">
        <v>4</v>
      </c>
      <c r="O583" s="2154">
        <v>5</v>
      </c>
      <c r="P583" s="2154">
        <v>6</v>
      </c>
      <c r="Q583" s="2142"/>
      <c r="R583" s="2023" t="s">
        <v>5459</v>
      </c>
      <c r="S583" s="2107" t="s">
        <v>394</v>
      </c>
      <c r="T583" s="2107" t="s">
        <v>5586</v>
      </c>
      <c r="U583" s="2107" t="s">
        <v>392</v>
      </c>
      <c r="V583" s="2096" t="s">
        <v>5459</v>
      </c>
      <c r="W583" s="2071" t="s">
        <v>5597</v>
      </c>
    </row>
    <row r="584" spans="1:23" ht="15.75" x14ac:dyDescent="0.25">
      <c r="D584" s="2022" t="s">
        <v>5459</v>
      </c>
      <c r="E584" s="2022" t="s">
        <v>5459</v>
      </c>
      <c r="F584" s="2155" t="s">
        <v>104</v>
      </c>
      <c r="G584" s="2156" t="s">
        <v>898</v>
      </c>
      <c r="H584" s="2156" t="s">
        <v>899</v>
      </c>
      <c r="I584" s="2156" t="s">
        <v>900</v>
      </c>
      <c r="J584" s="2142"/>
      <c r="K584" s="2022" t="s">
        <v>5459</v>
      </c>
      <c r="L584" s="2157" t="s">
        <v>5459</v>
      </c>
      <c r="M584" s="2157" t="s">
        <v>912</v>
      </c>
      <c r="N584" s="2157" t="s">
        <v>921</v>
      </c>
      <c r="O584" s="2157" t="s">
        <v>5462</v>
      </c>
      <c r="P584" s="2157" t="s">
        <v>5459</v>
      </c>
      <c r="Q584" s="2142"/>
      <c r="R584" s="2158">
        <v>302</v>
      </c>
      <c r="S584" s="2159">
        <f t="shared" ref="S584:U585" si="105">SUMIFS(S$37:S$124,$Q$37:$Q$124,$R584)</f>
        <v>127077.94211999999</v>
      </c>
      <c r="T584" s="2159">
        <f t="shared" si="105"/>
        <v>0</v>
      </c>
      <c r="U584" s="2160">
        <f t="shared" si="105"/>
        <v>1000</v>
      </c>
      <c r="V584" s="2161">
        <f>SUM(S584:U584)</f>
        <v>128077.94211999999</v>
      </c>
      <c r="W584" s="2104">
        <f>V584-F585</f>
        <v>0</v>
      </c>
    </row>
    <row r="585" spans="1:23" ht="15.75" x14ac:dyDescent="0.25">
      <c r="D585" s="2162" t="s">
        <v>5598</v>
      </c>
      <c r="E585" s="2163" t="s">
        <v>5459</v>
      </c>
      <c r="F585" s="2164">
        <f>SUMIF($C$37:$C$581,"302*",F$37:F$581)</f>
        <v>128077.94211999999</v>
      </c>
      <c r="G585" s="2164">
        <f>SUMIF($C$37:$C$581,"302*",G$37:G$581)</f>
        <v>34430.360870969365</v>
      </c>
      <c r="H585" s="2164">
        <f>SUMIF($C$37:$C$581,"302*",H$37:H$581)</f>
        <v>9680.6818581188854</v>
      </c>
      <c r="I585" s="2164">
        <f>SUMIF($C$37:$C$581,"302*",I$37:I$581)</f>
        <v>7879.5373951152478</v>
      </c>
      <c r="J585" s="2142"/>
      <c r="K585" s="2165">
        <v>302</v>
      </c>
      <c r="L585" s="2166">
        <f>F585/$F585</f>
        <v>1</v>
      </c>
      <c r="M585" s="2166">
        <f>G585/$F585</f>
        <v>0.26882350154182322</v>
      </c>
      <c r="N585" s="2166">
        <f>H585/$F585</f>
        <v>7.558430201079254E-2</v>
      </c>
      <c r="O585" s="2166">
        <f>I585/$F585</f>
        <v>6.1521424100745445E-2</v>
      </c>
      <c r="P585" s="2166">
        <f>SUM(M585:O585)</f>
        <v>0.4059292276533612</v>
      </c>
      <c r="Q585" s="2142"/>
      <c r="R585" s="2158">
        <v>303</v>
      </c>
      <c r="S585" s="2159">
        <f t="shared" si="105"/>
        <v>316125.74227762071</v>
      </c>
      <c r="T585" s="2159">
        <f t="shared" si="105"/>
        <v>0</v>
      </c>
      <c r="U585" s="2159">
        <f t="shared" si="105"/>
        <v>636120.87721237913</v>
      </c>
      <c r="V585" s="2167">
        <f>SUM(S585:U585)</f>
        <v>952246.61948999984</v>
      </c>
      <c r="W585" s="2104">
        <f>V585-F586</f>
        <v>0</v>
      </c>
    </row>
    <row r="586" spans="1:23" ht="16.5" thickBot="1" x14ac:dyDescent="0.3">
      <c r="D586" s="2168" t="s">
        <v>5599</v>
      </c>
      <c r="E586" s="2163" t="s">
        <v>5459</v>
      </c>
      <c r="F586" s="2164">
        <f>SUMIF($C$37:$C$581,"303*",F$37:F$581)</f>
        <v>952246.6194900003</v>
      </c>
      <c r="G586" s="2164">
        <f>SUMIF($C$37:$C$581,"303*",G$37:G$581)</f>
        <v>268593.15073539485</v>
      </c>
      <c r="H586" s="2164">
        <f>SUMIF($C$37:$C$581,"303*",H$37:H$581)</f>
        <v>69816.478924611292</v>
      </c>
      <c r="I586" s="2164">
        <f>SUMIF($C$37:$C$581,"303*",I$37:I$581)</f>
        <v>50585.195110994791</v>
      </c>
      <c r="J586" s="2142"/>
      <c r="K586" s="2165">
        <v>303</v>
      </c>
      <c r="L586" s="2166">
        <f t="shared" ref="L586:O606" si="106">F586/$F586</f>
        <v>1</v>
      </c>
      <c r="M586" s="2166">
        <f t="shared" si="106"/>
        <v>0.28206259306989895</v>
      </c>
      <c r="N586" s="2166">
        <f t="shared" si="106"/>
        <v>7.3317644290512962E-2</v>
      </c>
      <c r="O586" s="2166">
        <f t="shared" si="106"/>
        <v>5.3121947692591411E-2</v>
      </c>
      <c r="P586" s="2166">
        <f t="shared" ref="P586:P606" si="107">SUM(M586:O586)</f>
        <v>0.40850218505300334</v>
      </c>
      <c r="Q586" s="2142"/>
      <c r="R586" s="2096" t="s">
        <v>5459</v>
      </c>
      <c r="S586" s="2096" t="s">
        <v>5459</v>
      </c>
      <c r="T586" s="2096" t="s">
        <v>5459</v>
      </c>
      <c r="U586" s="2096" t="s">
        <v>5459</v>
      </c>
      <c r="V586" s="2096" t="s">
        <v>5459</v>
      </c>
      <c r="W586" s="2071" t="s">
        <v>5459</v>
      </c>
    </row>
    <row r="587" spans="1:23" ht="16.5" thickBot="1" x14ac:dyDescent="0.3">
      <c r="D587" s="2169" t="s">
        <v>5600</v>
      </c>
      <c r="E587" s="2170" t="s">
        <v>5459</v>
      </c>
      <c r="F587" s="2171">
        <f>SUM(F585:F586)</f>
        <v>1080324.5616100002</v>
      </c>
      <c r="G587" s="2171">
        <f>SUM(G585:G586)</f>
        <v>303023.51160636422</v>
      </c>
      <c r="H587" s="2171">
        <f>SUM(H585:H586)</f>
        <v>79497.160782730178</v>
      </c>
      <c r="I587" s="2171">
        <f>SUM(I585:I586)</f>
        <v>58464.732506110042</v>
      </c>
      <c r="J587" s="2142"/>
      <c r="K587" s="2165" t="s">
        <v>5459</v>
      </c>
      <c r="L587" s="2166">
        <f t="shared" si="106"/>
        <v>1</v>
      </c>
      <c r="M587" s="2166">
        <f t="shared" si="106"/>
        <v>0.28049303179293672</v>
      </c>
      <c r="N587" s="2166">
        <f t="shared" si="106"/>
        <v>7.3586368030229832E-2</v>
      </c>
      <c r="O587" s="2166">
        <f t="shared" si="106"/>
        <v>5.4117748113567329E-2</v>
      </c>
      <c r="P587" s="2166">
        <f t="shared" si="107"/>
        <v>0.4081971479367339</v>
      </c>
      <c r="Q587" s="2142"/>
      <c r="R587" s="2107" t="s">
        <v>5602</v>
      </c>
      <c r="S587" s="2107"/>
      <c r="T587" s="2107"/>
      <c r="U587" s="2096" t="s">
        <v>5459</v>
      </c>
      <c r="V587" s="2096" t="s">
        <v>5459</v>
      </c>
      <c r="W587" s="2071" t="s">
        <v>5459</v>
      </c>
    </row>
    <row r="588" spans="1:23" ht="15.75" x14ac:dyDescent="0.25">
      <c r="D588" s="2172" t="s">
        <v>5619</v>
      </c>
      <c r="E588" s="2163" t="s">
        <v>5459</v>
      </c>
      <c r="F588" s="2173">
        <f>SUMIF($C$37:$C$581,"31*",F$37:F$581)</f>
        <v>7055528.0945400009</v>
      </c>
      <c r="G588" s="2173">
        <f>SUMIF($C$37:$C$581,"31*",G$37:G$581)</f>
        <v>1911617.1884565223</v>
      </c>
      <c r="H588" s="2173">
        <f>SUMIF($C$37:$C$581,"31*",H$37:H$581)</f>
        <v>537483.70240181754</v>
      </c>
      <c r="I588" s="2173">
        <f>SUMIF($C$37:$C$581,"31*",I$37:I$581)</f>
        <v>381960.6184906495</v>
      </c>
      <c r="J588" s="2142"/>
      <c r="K588" s="2174" t="s">
        <v>5620</v>
      </c>
      <c r="L588" s="2166">
        <f t="shared" si="106"/>
        <v>1</v>
      </c>
      <c r="M588" s="2166">
        <f t="shared" si="106"/>
        <v>0.27093892375481415</v>
      </c>
      <c r="N588" s="2166">
        <f t="shared" si="106"/>
        <v>7.6179088963979222E-2</v>
      </c>
      <c r="O588" s="2166">
        <f t="shared" si="106"/>
        <v>5.4136361357023578E-2</v>
      </c>
      <c r="P588" s="2166">
        <f t="shared" si="107"/>
        <v>0.40125437407581699</v>
      </c>
      <c r="Q588" s="2142"/>
      <c r="R588" s="2158" t="s">
        <v>912</v>
      </c>
      <c r="S588" s="2110">
        <f>G585</f>
        <v>34430.360870969365</v>
      </c>
      <c r="T588" s="2111" t="s">
        <v>5604</v>
      </c>
      <c r="U588" s="2111" t="s">
        <v>5604</v>
      </c>
      <c r="V588" s="2110">
        <f>SUM(S588:U588)</f>
        <v>34430.360870969365</v>
      </c>
      <c r="W588" s="2071" t="s">
        <v>5459</v>
      </c>
    </row>
    <row r="589" spans="1:23" ht="15.75" x14ac:dyDescent="0.25">
      <c r="D589" s="2172" t="s">
        <v>5621</v>
      </c>
      <c r="E589" s="2163" t="s">
        <v>5459</v>
      </c>
      <c r="F589" s="2173">
        <f>SUMIF($C$37:$C$581,"33*",F$37:F$581)</f>
        <v>1071042.5381699998</v>
      </c>
      <c r="G589" s="2175">
        <f>SUMIF($C$37:$C$581,"33*",G$37:G$581)</f>
        <v>290187.11258740415</v>
      </c>
      <c r="H589" s="2175">
        <f>SUMIF($C$37:$C$581,"33*",H$37:H$581)</f>
        <v>81591.044813458531</v>
      </c>
      <c r="I589" s="2175">
        <f>SUMIF($C$37:$C$581,"33*",I$37:I$581)</f>
        <v>57982.347275114851</v>
      </c>
      <c r="J589" s="2142"/>
      <c r="K589" s="2174" t="s">
        <v>5622</v>
      </c>
      <c r="L589" s="2166">
        <f t="shared" si="106"/>
        <v>1</v>
      </c>
      <c r="M589" s="2166">
        <f t="shared" si="106"/>
        <v>0.2709389237548141</v>
      </c>
      <c r="N589" s="2166">
        <f t="shared" si="106"/>
        <v>7.6179088977050599E-2</v>
      </c>
      <c r="O589" s="2166">
        <f t="shared" si="106"/>
        <v>5.4136362664161226E-2</v>
      </c>
      <c r="P589" s="2166">
        <f t="shared" si="107"/>
        <v>0.40125437539602593</v>
      </c>
      <c r="Q589" s="2142"/>
      <c r="R589" s="2158" t="s">
        <v>921</v>
      </c>
      <c r="S589" s="2110">
        <f>H585</f>
        <v>9680.6818581188854</v>
      </c>
      <c r="T589" s="2111" t="s">
        <v>5604</v>
      </c>
      <c r="U589" s="2111" t="s">
        <v>5604</v>
      </c>
      <c r="V589" s="2110">
        <f t="shared" ref="V589:V590" si="108">SUM(S589:U589)</f>
        <v>9680.6818581188854</v>
      </c>
      <c r="W589" s="2071" t="s">
        <v>5459</v>
      </c>
    </row>
    <row r="590" spans="1:23" ht="15.75" x14ac:dyDescent="0.25">
      <c r="D590" s="2172" t="s">
        <v>5623</v>
      </c>
      <c r="E590" s="2163" t="s">
        <v>5459</v>
      </c>
      <c r="F590" s="2173">
        <f>SUMIF($C$37:$C$581,"34*",F$37:F$581)</f>
        <v>5554733.2307300009</v>
      </c>
      <c r="G590" s="2173">
        <f>SUMIF($C$37:$C$581,"34*",G$37:G$581)</f>
        <v>1505305.0766306589</v>
      </c>
      <c r="H590" s="2173">
        <f>SUMIF($C$37:$C$581,"34*",H$37:H$581)</f>
        <v>423076.51686961908</v>
      </c>
      <c r="I590" s="2173">
        <f>SUMIF($C$37:$C$581,"34*",I$37:I$581)</f>
        <v>300657.61497560696</v>
      </c>
      <c r="J590" s="2142"/>
      <c r="K590" s="2174" t="s">
        <v>5624</v>
      </c>
      <c r="L590" s="2166">
        <f t="shared" si="106"/>
        <v>1</v>
      </c>
      <c r="M590" s="2166">
        <f t="shared" si="106"/>
        <v>0.27099502606227455</v>
      </c>
      <c r="N590" s="2166">
        <f t="shared" si="106"/>
        <v>7.6165046870129982E-2</v>
      </c>
      <c r="O590" s="2166">
        <f t="shared" si="106"/>
        <v>5.412638239984293E-2</v>
      </c>
      <c r="P590" s="2166">
        <f t="shared" si="107"/>
        <v>0.40128645533224744</v>
      </c>
      <c r="Q590" s="2142"/>
      <c r="R590" s="2158" t="s">
        <v>5462</v>
      </c>
      <c r="S590" s="2110">
        <f>I585-T590</f>
        <v>7879.5373951152478</v>
      </c>
      <c r="T590" s="2110">
        <f>T584</f>
        <v>0</v>
      </c>
      <c r="U590" s="2111" t="s">
        <v>5604</v>
      </c>
      <c r="V590" s="2110">
        <f t="shared" si="108"/>
        <v>7879.5373951152478</v>
      </c>
      <c r="W590" s="2071" t="s">
        <v>5459</v>
      </c>
    </row>
    <row r="591" spans="1:23" ht="15.75" x14ac:dyDescent="0.25">
      <c r="D591" s="2172" t="s">
        <v>5625</v>
      </c>
      <c r="E591" s="2163" t="s">
        <v>5459</v>
      </c>
      <c r="F591" s="2173">
        <f>SUMIF($C$37:$C$581,"35*",F$37:F$581)</f>
        <v>8025758.7761899987</v>
      </c>
      <c r="G591" s="2173">
        <f>SUMIF($C$37:$C$581,"35*",G$37:G$581)</f>
        <v>2174490.4451366728</v>
      </c>
      <c r="H591" s="2173">
        <f>SUMIF($C$37:$C$581,"35*",H$37:H$581)</f>
        <v>611394.99181481509</v>
      </c>
      <c r="I591" s="2173">
        <f>SUMIF($C$37:$C$581,"35*",I$37:I$581)</f>
        <v>434485.37727212522</v>
      </c>
      <c r="J591" s="2142"/>
      <c r="K591" s="2174" t="s">
        <v>5626</v>
      </c>
      <c r="L591" s="2166">
        <f t="shared" si="106"/>
        <v>1</v>
      </c>
      <c r="M591" s="2166">
        <f t="shared" si="106"/>
        <v>0.27093892375481415</v>
      </c>
      <c r="N591" s="2166">
        <f t="shared" si="106"/>
        <v>7.617908896397925E-2</v>
      </c>
      <c r="O591" s="2166">
        <f t="shared" si="106"/>
        <v>5.4136361357023592E-2</v>
      </c>
      <c r="P591" s="2166">
        <f t="shared" si="107"/>
        <v>0.40125437407581699</v>
      </c>
      <c r="Q591" s="2142"/>
      <c r="R591" s="2158" t="s">
        <v>5606</v>
      </c>
      <c r="S591" s="2112">
        <f>SUM(S588:S590)</f>
        <v>51990.580124203501</v>
      </c>
      <c r="T591" s="2112">
        <f t="shared" ref="T591:V591" si="109">SUM(T588:T590)</f>
        <v>0</v>
      </c>
      <c r="U591" s="2112">
        <f t="shared" si="109"/>
        <v>0</v>
      </c>
      <c r="V591" s="2112">
        <f t="shared" si="109"/>
        <v>51990.580124203501</v>
      </c>
      <c r="W591" s="2071" t="s">
        <v>5459</v>
      </c>
    </row>
    <row r="592" spans="1:23" ht="15.75" x14ac:dyDescent="0.25">
      <c r="D592" s="2172" t="s">
        <v>5627</v>
      </c>
      <c r="E592" s="2163" t="s">
        <v>5459</v>
      </c>
      <c r="F592" s="2176">
        <f>SUMIF($C$37:$C$581,"36*",F$37:F$581)+SUMIF($C$37:$C$581,"37*",F$37:F$581)</f>
        <v>8881264.5250099991</v>
      </c>
      <c r="G592" s="2176">
        <f>SUMIF($C$37:$C$581,"36*",G$37:G$581)+SUMIF($C$37:$C$581,"37*",G$37:G$581)</f>
        <v>2647201.3305000002</v>
      </c>
      <c r="H592" s="2176">
        <f>SUMIF($C$37:$C$581,"36*",H$37:H$581)+SUMIF($C$37:$C$581,"37*",H$37:H$581)</f>
        <v>641915.83377000003</v>
      </c>
      <c r="I592" s="2176">
        <f>SUMIF($C$37:$C$581,"36*",I$37:I$581)+SUMIF($C$37:$C$581,"37*",I$37:I$581)</f>
        <v>443071.98089000006</v>
      </c>
      <c r="J592" s="2142"/>
      <c r="K592" s="2174" t="s">
        <v>5628</v>
      </c>
      <c r="L592" s="2166">
        <f t="shared" si="106"/>
        <v>1</v>
      </c>
      <c r="M592" s="2166">
        <f t="shared" si="106"/>
        <v>0.29806581293073464</v>
      </c>
      <c r="N592" s="2166">
        <f t="shared" si="106"/>
        <v>7.2277526692549152E-2</v>
      </c>
      <c r="O592" s="2166">
        <f t="shared" si="106"/>
        <v>4.988838916376058E-2</v>
      </c>
      <c r="P592" s="2166">
        <f t="shared" si="107"/>
        <v>0.4202317287870444</v>
      </c>
      <c r="Q592" s="2142"/>
      <c r="R592" s="2158" t="s">
        <v>5459</v>
      </c>
      <c r="S592" s="2096" t="s">
        <v>5459</v>
      </c>
      <c r="T592" s="2096" t="s">
        <v>5459</v>
      </c>
      <c r="U592" s="2096" t="s">
        <v>5607</v>
      </c>
      <c r="V592" s="2112">
        <f>G585+H585+I585</f>
        <v>51990.580124203501</v>
      </c>
      <c r="W592" s="2104">
        <f>V592-V591</f>
        <v>0</v>
      </c>
    </row>
    <row r="593" spans="4:23" ht="15.75" x14ac:dyDescent="0.25">
      <c r="D593" s="2172" t="s">
        <v>5629</v>
      </c>
      <c r="E593" s="2163" t="s">
        <v>5459</v>
      </c>
      <c r="F593" s="2173">
        <f>SUMIF($C$37:$C$581,"389*",F$37:F$581)</f>
        <v>25071.997259999993</v>
      </c>
      <c r="G593" s="2173">
        <f>SUMIF($C$37:$C$581,"389*",G$37:G$581)</f>
        <v>8590.2347720005273</v>
      </c>
      <c r="H593" s="2173">
        <f>SUMIF($C$37:$C$581,"389*",H$37:H$581)</f>
        <v>1742.4294089873079</v>
      </c>
      <c r="I593" s="2173">
        <f>SUMIF($C$37:$C$581,"389*",I$37:I$581)</f>
        <v>648.12057618756182</v>
      </c>
      <c r="J593" s="2142"/>
      <c r="K593" s="2174" t="s">
        <v>5630</v>
      </c>
      <c r="L593" s="2166">
        <f t="shared" si="106"/>
        <v>1</v>
      </c>
      <c r="M593" s="2166">
        <f t="shared" si="106"/>
        <v>0.34262267512710032</v>
      </c>
      <c r="N593" s="2166">
        <f t="shared" si="106"/>
        <v>6.9497032522701715E-2</v>
      </c>
      <c r="O593" s="2166">
        <f t="shared" si="106"/>
        <v>2.5850376795532645E-2</v>
      </c>
      <c r="P593" s="2166">
        <f t="shared" si="107"/>
        <v>0.4379700844453347</v>
      </c>
      <c r="Q593" s="2142"/>
      <c r="R593" s="2107" t="s">
        <v>5608</v>
      </c>
      <c r="S593" s="2107"/>
      <c r="T593" s="2107"/>
      <c r="U593" s="2096" t="s">
        <v>5459</v>
      </c>
      <c r="V593" s="2096" t="s">
        <v>5459</v>
      </c>
      <c r="W593" s="2071" t="s">
        <v>5459</v>
      </c>
    </row>
    <row r="594" spans="4:23" ht="15.75" x14ac:dyDescent="0.25">
      <c r="D594" s="2172" t="s">
        <v>5631</v>
      </c>
      <c r="E594" s="2163" t="s">
        <v>5459</v>
      </c>
      <c r="F594" s="2173">
        <f>SUMIF($C$37:$C$581,"390*",F$37:F$581)</f>
        <v>289638.75359000004</v>
      </c>
      <c r="G594" s="2173">
        <f>SUMIF($C$37:$C$581,"390*",G$37:G$581)</f>
        <v>83234.073908516672</v>
      </c>
      <c r="H594" s="2173">
        <f>SUMIF($C$37:$C$581,"390*",H$37:H$581)</f>
        <v>24772.387308785033</v>
      </c>
      <c r="I594" s="2173">
        <f>SUMIF($C$37:$C$581,"390*",I$37:I$581)</f>
        <v>21080.953465576811</v>
      </c>
      <c r="J594" s="2142"/>
      <c r="K594" s="2165">
        <v>390</v>
      </c>
      <c r="L594" s="2166">
        <f t="shared" si="106"/>
        <v>1</v>
      </c>
      <c r="M594" s="2166">
        <f t="shared" si="106"/>
        <v>0.28737202075637708</v>
      </c>
      <c r="N594" s="2166">
        <f t="shared" si="106"/>
        <v>8.5528566194051997E-2</v>
      </c>
      <c r="O594" s="2166">
        <f t="shared" si="106"/>
        <v>7.2783607871127934E-2</v>
      </c>
      <c r="P594" s="2166">
        <f t="shared" si="107"/>
        <v>0.44568419482155697</v>
      </c>
      <c r="Q594" s="2142"/>
      <c r="R594" s="2158" t="s">
        <v>912</v>
      </c>
      <c r="S594" s="2110">
        <f>S$585*$M$586</f>
        <v>89167.246602972285</v>
      </c>
      <c r="T594" s="2110">
        <f>T$585*$M$586</f>
        <v>0</v>
      </c>
      <c r="U594" s="2110">
        <f>U$585*$M$586</f>
        <v>179425.90413242244</v>
      </c>
      <c r="V594" s="2110">
        <f t="shared" ref="V594:V596" si="110">SUM(S594:U594)</f>
        <v>268593.15073539474</v>
      </c>
      <c r="W594" s="2071" t="s">
        <v>5459</v>
      </c>
    </row>
    <row r="595" spans="4:23" ht="15.75" x14ac:dyDescent="0.25">
      <c r="D595" s="2172" t="s">
        <v>5632</v>
      </c>
      <c r="E595" s="2163" t="s">
        <v>5459</v>
      </c>
      <c r="F595" s="2173">
        <f>SUMIF($C$37:$C$581,"391*",F$37:F$581)</f>
        <v>63852.457020000009</v>
      </c>
      <c r="G595" s="2173">
        <f>SUMIF($C$37:$C$581,"391*",G$37:G$581)</f>
        <v>17811.716536941862</v>
      </c>
      <c r="H595" s="2173">
        <f>SUMIF($C$37:$C$581,"391*",H$37:H$581)</f>
        <v>4782.6834195572364</v>
      </c>
      <c r="I595" s="2173">
        <f>SUMIF($C$37:$C$581,"391*",I$37:I$581)</f>
        <v>3591.735074166038</v>
      </c>
      <c r="J595" s="2142"/>
      <c r="K595" s="2165">
        <v>391</v>
      </c>
      <c r="L595" s="2166">
        <f t="shared" si="106"/>
        <v>1</v>
      </c>
      <c r="M595" s="2166">
        <f t="shared" si="106"/>
        <v>0.27895115345933885</v>
      </c>
      <c r="N595" s="2166">
        <f t="shared" si="106"/>
        <v>7.4902104676397865E-2</v>
      </c>
      <c r="O595" s="2166">
        <f t="shared" si="106"/>
        <v>5.6250538221904706E-2</v>
      </c>
      <c r="P595" s="2166">
        <f t="shared" si="107"/>
        <v>0.41010379635764138</v>
      </c>
      <c r="Q595" s="2142"/>
      <c r="R595" s="2158" t="s">
        <v>921</v>
      </c>
      <c r="S595" s="2110">
        <f>S$585*$N$586</f>
        <v>23177.594723384969</v>
      </c>
      <c r="T595" s="2110">
        <f>T$585*$N$586</f>
        <v>0</v>
      </c>
      <c r="U595" s="2110">
        <f>U$585*$N$586</f>
        <v>46638.884201226283</v>
      </c>
      <c r="V595" s="2110">
        <f t="shared" si="110"/>
        <v>69816.478924611249</v>
      </c>
      <c r="W595" s="2071" t="s">
        <v>5459</v>
      </c>
    </row>
    <row r="596" spans="4:23" ht="15.75" x14ac:dyDescent="0.25">
      <c r="D596" s="2172" t="s">
        <v>5633</v>
      </c>
      <c r="E596" s="2163" t="s">
        <v>5459</v>
      </c>
      <c r="F596" s="2173">
        <f>SUMIF($C$37:$C$581,"392*",F$37:F$581)</f>
        <v>174207.78638999991</v>
      </c>
      <c r="G596" s="2173">
        <f>SUMIF($C$37:$C$581,"392*",G$37:G$581)</f>
        <v>45781.90704059507</v>
      </c>
      <c r="H596" s="2173">
        <f>SUMIF($C$37:$C$581,"392*",H$37:H$581)</f>
        <v>10873.328449498258</v>
      </c>
      <c r="I596" s="2173">
        <f>SUMIF($C$37:$C$581,"392*",I$37:I$581)</f>
        <v>12043.142096244959</v>
      </c>
      <c r="J596" s="2142"/>
      <c r="K596" s="2165">
        <v>392</v>
      </c>
      <c r="L596" s="2166">
        <f t="shared" si="106"/>
        <v>1</v>
      </c>
      <c r="M596" s="2166">
        <f t="shared" si="106"/>
        <v>0.26280057848908583</v>
      </c>
      <c r="N596" s="2166">
        <f t="shared" si="106"/>
        <v>6.2415857952273612E-2</v>
      </c>
      <c r="O596" s="2166">
        <f t="shared" si="106"/>
        <v>6.9130905947475341E-2</v>
      </c>
      <c r="P596" s="2166">
        <f t="shared" si="107"/>
        <v>0.39434734238883479</v>
      </c>
      <c r="Q596" s="2142"/>
      <c r="R596" s="2158" t="s">
        <v>5462</v>
      </c>
      <c r="S596" s="2110">
        <f>S$585*$O$586</f>
        <v>16793.2151455534</v>
      </c>
      <c r="T596" s="2110">
        <f>T$585*$O$586</f>
        <v>0</v>
      </c>
      <c r="U596" s="2110">
        <f>U$585*$O$586</f>
        <v>33791.979965441365</v>
      </c>
      <c r="V596" s="2110">
        <f t="shared" si="110"/>
        <v>50585.195110994769</v>
      </c>
      <c r="W596" s="2071" t="s">
        <v>5459</v>
      </c>
    </row>
    <row r="597" spans="4:23" ht="15.75" x14ac:dyDescent="0.25">
      <c r="D597" s="2172" t="s">
        <v>5634</v>
      </c>
      <c r="E597" s="2163" t="s">
        <v>5459</v>
      </c>
      <c r="F597" s="2173">
        <f>SUMIF($C$37:$C$581,"393*",F$37:F$581)</f>
        <v>18363.35657</v>
      </c>
      <c r="G597" s="2173">
        <f>SUMIF($C$37:$C$581,"393*",G$37:G$581)</f>
        <v>5302.2436083009407</v>
      </c>
      <c r="H597" s="2173">
        <f>SUMIF($C$37:$C$581,"393*",H$37:H$581)</f>
        <v>1317.3817868482893</v>
      </c>
      <c r="I597" s="2173">
        <f>SUMIF($C$37:$C$581,"393*",I$37:I$581)</f>
        <v>1300.2455320311076</v>
      </c>
      <c r="J597" s="2142"/>
      <c r="K597" s="2165">
        <v>393</v>
      </c>
      <c r="L597" s="2166">
        <f t="shared" si="106"/>
        <v>1</v>
      </c>
      <c r="M597" s="2166">
        <f t="shared" si="106"/>
        <v>0.28874043740800381</v>
      </c>
      <c r="N597" s="2166">
        <f t="shared" si="106"/>
        <v>7.1739705201851842E-2</v>
      </c>
      <c r="O597" s="2166">
        <f t="shared" si="106"/>
        <v>7.0806528592670434E-2</v>
      </c>
      <c r="P597" s="2166">
        <f t="shared" si="107"/>
        <v>0.43128667120252612</v>
      </c>
      <c r="Q597" s="2142"/>
      <c r="R597" s="2158" t="s">
        <v>5606</v>
      </c>
      <c r="S597" s="2112">
        <f>SUM(S594:S596)</f>
        <v>129138.05647191066</v>
      </c>
      <c r="T597" s="2112">
        <f t="shared" ref="T597:V597" si="111">SUM(T594:T596)</f>
        <v>0</v>
      </c>
      <c r="U597" s="2112">
        <f t="shared" si="111"/>
        <v>259856.76829909009</v>
      </c>
      <c r="V597" s="2112">
        <f t="shared" si="111"/>
        <v>388994.82477100077</v>
      </c>
      <c r="W597" s="2071" t="s">
        <v>5459</v>
      </c>
    </row>
    <row r="598" spans="4:23" ht="15.75" x14ac:dyDescent="0.25">
      <c r="D598" s="2172" t="s">
        <v>5635</v>
      </c>
      <c r="E598" s="2163" t="s">
        <v>5459</v>
      </c>
      <c r="F598" s="2173">
        <f>SUMIF($C$37:$C$581,"394*",F$37:F$581)</f>
        <v>63484.001420000001</v>
      </c>
      <c r="G598" s="2173">
        <f>SUMIF($C$37:$C$581,"394*",G$37:G$581)</f>
        <v>17508.488388668389</v>
      </c>
      <c r="H598" s="2173">
        <f>SUMIF($C$37:$C$581,"394*",H$37:H$581)</f>
        <v>4887.6220073168943</v>
      </c>
      <c r="I598" s="2173">
        <f>SUMIF($C$37:$C$581,"394*",I$37:I$581)</f>
        <v>3695.3869911554407</v>
      </c>
      <c r="J598" s="2142"/>
      <c r="K598" s="2165">
        <v>394</v>
      </c>
      <c r="L598" s="2166">
        <f t="shared" si="106"/>
        <v>1</v>
      </c>
      <c r="M598" s="2166">
        <f t="shared" si="106"/>
        <v>0.27579371175479361</v>
      </c>
      <c r="N598" s="2166">
        <f t="shared" si="106"/>
        <v>7.6989822600834007E-2</v>
      </c>
      <c r="O598" s="2166">
        <f t="shared" si="106"/>
        <v>5.8209736445365999E-2</v>
      </c>
      <c r="P598" s="2166">
        <f t="shared" si="107"/>
        <v>0.41099327080099357</v>
      </c>
      <c r="Q598" s="2142"/>
      <c r="R598" s="2096" t="s">
        <v>5459</v>
      </c>
      <c r="S598" s="2096" t="s">
        <v>5459</v>
      </c>
      <c r="T598" s="2096" t="s">
        <v>5459</v>
      </c>
      <c r="U598" s="2096" t="s">
        <v>5607</v>
      </c>
      <c r="V598" s="2112">
        <f>G586+H586+I586</f>
        <v>388994.82477100095</v>
      </c>
      <c r="W598" s="2104">
        <f>V598-V597</f>
        <v>0</v>
      </c>
    </row>
    <row r="599" spans="4:23" ht="15.75" x14ac:dyDescent="0.25">
      <c r="D599" s="2172" t="s">
        <v>5636</v>
      </c>
      <c r="E599" s="2163" t="s">
        <v>5459</v>
      </c>
      <c r="F599" s="2173">
        <f>SUMIF($C$37:$C$581,"395*",F$37:F$581)</f>
        <v>41826.679729999996</v>
      </c>
      <c r="G599" s="2173">
        <f>SUMIF($C$37:$C$581,"395*",G$37:G$581)</f>
        <v>14516.162334975746</v>
      </c>
      <c r="H599" s="2173">
        <f>SUMIF($C$37:$C$581,"395*",H$37:H$581)</f>
        <v>2492.3322269973628</v>
      </c>
      <c r="I599" s="2173">
        <f>SUMIF($C$37:$C$581,"395*",I$37:I$581)</f>
        <v>2205.0005281944354</v>
      </c>
      <c r="J599" s="2142"/>
      <c r="K599" s="2165">
        <v>395</v>
      </c>
      <c r="L599" s="2166">
        <f t="shared" si="106"/>
        <v>1</v>
      </c>
      <c r="M599" s="2166">
        <f t="shared" si="106"/>
        <v>0.34705509566335707</v>
      </c>
      <c r="N599" s="2166">
        <f t="shared" si="106"/>
        <v>5.9587140148008179E-2</v>
      </c>
      <c r="O599" s="2166">
        <f t="shared" si="106"/>
        <v>5.2717560715509267E-2</v>
      </c>
      <c r="P599" s="2166">
        <f t="shared" si="107"/>
        <v>0.45935979652687453</v>
      </c>
      <c r="Q599" s="2142"/>
      <c r="R599" s="2023" t="s">
        <v>5459</v>
      </c>
      <c r="S599" s="2023" t="s">
        <v>5459</v>
      </c>
      <c r="T599" s="2023" t="s">
        <v>5459</v>
      </c>
      <c r="U599" s="2023" t="s">
        <v>5459</v>
      </c>
      <c r="V599" s="2023" t="s">
        <v>5459</v>
      </c>
      <c r="W599" s="2071" t="s">
        <v>5459</v>
      </c>
    </row>
    <row r="600" spans="4:23" ht="15.75" x14ac:dyDescent="0.25">
      <c r="D600" s="2172" t="s">
        <v>5637</v>
      </c>
      <c r="E600" s="2163" t="s">
        <v>5459</v>
      </c>
      <c r="F600" s="2173">
        <f>SUMIF($C$37:$C$581,"396*",F$37:F$581)</f>
        <v>232010.81024000002</v>
      </c>
      <c r="G600" s="2173">
        <f>SUMIF($C$37:$C$581,"396*",G$37:G$581)</f>
        <v>64377.536812997729</v>
      </c>
      <c r="H600" s="2173">
        <f>SUMIF($C$37:$C$581,"396*",H$37:H$581)</f>
        <v>13982.995816772669</v>
      </c>
      <c r="I600" s="2173">
        <f>SUMIF($C$37:$C$581,"396*",I$37:I$581)</f>
        <v>17913.085022438863</v>
      </c>
      <c r="J600" s="2142"/>
      <c r="K600" s="2165">
        <v>396</v>
      </c>
      <c r="L600" s="2166">
        <f t="shared" si="106"/>
        <v>1</v>
      </c>
      <c r="M600" s="2166">
        <f t="shared" si="106"/>
        <v>0.27747645356008788</v>
      </c>
      <c r="N600" s="2166">
        <f t="shared" si="106"/>
        <v>6.0268725419768902E-2</v>
      </c>
      <c r="O600" s="2166">
        <f t="shared" si="106"/>
        <v>7.720797580039028E-2</v>
      </c>
      <c r="P600" s="2166">
        <f t="shared" si="107"/>
        <v>0.41495315478024708</v>
      </c>
      <c r="Q600" s="2142"/>
      <c r="R600" s="2116" t="s">
        <v>707</v>
      </c>
      <c r="S600" s="2079" t="s">
        <v>197</v>
      </c>
      <c r="T600" s="2079" t="s">
        <v>394</v>
      </c>
      <c r="U600" s="2079" t="s">
        <v>5586</v>
      </c>
      <c r="V600" s="2079" t="s">
        <v>392</v>
      </c>
      <c r="W600" s="2071" t="s">
        <v>5459</v>
      </c>
    </row>
    <row r="601" spans="4:23" ht="15.75" x14ac:dyDescent="0.25">
      <c r="D601" s="2172" t="s">
        <v>5638</v>
      </c>
      <c r="E601" s="2163" t="s">
        <v>5459</v>
      </c>
      <c r="F601" s="2173">
        <f>SUMIF($C$37:$C$581,"397*",F$37:F$581)</f>
        <v>502475.31309999997</v>
      </c>
      <c r="G601" s="2173">
        <f>SUMIF($C$37:$C$581,"397*",G$37:G$581)</f>
        <v>145913.65418614901</v>
      </c>
      <c r="H601" s="2173">
        <f>SUMIF($C$37:$C$581,"397*",H$37:H$581)</f>
        <v>35914.261887457651</v>
      </c>
      <c r="I601" s="2173">
        <f>SUMIF($C$37:$C$581,"397*",I$37:I$581)</f>
        <v>28895.579488169744</v>
      </c>
      <c r="J601" s="2142"/>
      <c r="K601" s="2165">
        <v>397</v>
      </c>
      <c r="L601" s="2166">
        <f t="shared" si="106"/>
        <v>1</v>
      </c>
      <c r="M601" s="2166">
        <f t="shared" si="106"/>
        <v>0.29038969752750826</v>
      </c>
      <c r="N601" s="2166">
        <f t="shared" si="106"/>
        <v>7.1474679354665505E-2</v>
      </c>
      <c r="O601" s="2166">
        <f t="shared" si="106"/>
        <v>5.7506465959292014E-2</v>
      </c>
      <c r="P601" s="2166">
        <f t="shared" si="107"/>
        <v>0.41937084284146575</v>
      </c>
      <c r="Q601" s="2142"/>
      <c r="R601" s="2177" t="s">
        <v>99</v>
      </c>
      <c r="S601" s="2178">
        <f>SUM(T601:V601)</f>
        <v>0.99999999999999989</v>
      </c>
      <c r="T601" s="2178">
        <f>VLOOKUP($R601,Ratios!$D$78:$G$87,2,FALSE)</f>
        <v>0.44019614379593275</v>
      </c>
      <c r="U601" s="2178">
        <f>VLOOKUP($R601,Ratios!$D$78:$G$87,3,FALSE)</f>
        <v>0</v>
      </c>
      <c r="V601" s="2178">
        <f>VLOOKUP($R601,Ratios!$D$78:$G$87,4,FALSE)</f>
        <v>0.55980385620406714</v>
      </c>
      <c r="W601" s="2071" t="s">
        <v>5459</v>
      </c>
    </row>
    <row r="602" spans="4:23" ht="15.75" x14ac:dyDescent="0.25">
      <c r="D602" s="2172" t="s">
        <v>5639</v>
      </c>
      <c r="E602" s="2163" t="s">
        <v>5459</v>
      </c>
      <c r="F602" s="2173">
        <f>SUMIF($C$37:$C$581,"398*",F$37:F$581)</f>
        <v>8629.1194599999999</v>
      </c>
      <c r="G602" s="2173">
        <f>SUMIF($C$37:$C$581,"398*",G$37:G$581)</f>
        <v>2698.4280678929408</v>
      </c>
      <c r="H602" s="2173">
        <f>SUMIF($C$37:$C$581,"398*",H$37:H$581)</f>
        <v>574.0564325158897</v>
      </c>
      <c r="I602" s="2173">
        <f>SUMIF($C$37:$C$581,"398*",I$37:I$581)</f>
        <v>343.32306486202083</v>
      </c>
      <c r="J602" s="2142"/>
      <c r="K602" s="2165">
        <v>398</v>
      </c>
      <c r="L602" s="2166">
        <f t="shared" si="106"/>
        <v>1</v>
      </c>
      <c r="M602" s="2166">
        <f t="shared" si="106"/>
        <v>0.3127118682736304</v>
      </c>
      <c r="N602" s="2166">
        <f t="shared" si="106"/>
        <v>6.6525493728173471E-2</v>
      </c>
      <c r="O602" s="2166">
        <f t="shared" si="106"/>
        <v>3.9786569933755539E-2</v>
      </c>
      <c r="P602" s="2166">
        <f t="shared" si="107"/>
        <v>0.41902393193555942</v>
      </c>
      <c r="Q602" s="2142"/>
      <c r="R602" s="2177" t="s">
        <v>394</v>
      </c>
      <c r="S602" s="2178">
        <f t="shared" ref="S602:S606" si="112">SUM(T602:V602)</f>
        <v>1</v>
      </c>
      <c r="T602" s="2178">
        <f>VLOOKUP($R602,Ratios!$D$78:$G$87,2,FALSE)</f>
        <v>1</v>
      </c>
      <c r="U602" s="2178">
        <f>VLOOKUP($R602,Ratios!$D$78:$G$87,3,FALSE)</f>
        <v>0</v>
      </c>
      <c r="V602" s="2178">
        <f>VLOOKUP($R602,Ratios!$D$78:$G$87,4,FALSE)</f>
        <v>0</v>
      </c>
      <c r="W602" s="2071" t="s">
        <v>5459</v>
      </c>
    </row>
    <row r="603" spans="4:23" ht="16.5" thickBot="1" x14ac:dyDescent="0.3">
      <c r="D603" s="2168" t="s">
        <v>5640</v>
      </c>
      <c r="E603" s="2163" t="s">
        <v>5459</v>
      </c>
      <c r="F603" s="2179">
        <f>SUMIF($C$37:$C$581,"399*",F$37:F$581)</f>
        <v>1822.9007200000001</v>
      </c>
      <c r="G603" s="2179">
        <f>SUMIF($C$37:$C$581,"399*",G$37:G$581)</f>
        <v>470.98655447837604</v>
      </c>
      <c r="H603" s="2179">
        <f>SUMIF($C$37:$C$581,"399*",H$37:H$581)</f>
        <v>130.17534935386576</v>
      </c>
      <c r="I603" s="2179">
        <f>SUMIF($C$37:$C$581,"399*",I$37:I$581)</f>
        <v>107.57363781153087</v>
      </c>
      <c r="J603" s="2142"/>
      <c r="K603" s="2165">
        <v>399</v>
      </c>
      <c r="L603" s="2166">
        <f t="shared" si="106"/>
        <v>1</v>
      </c>
      <c r="M603" s="2166">
        <f t="shared" si="106"/>
        <v>0.25837202723710373</v>
      </c>
      <c r="N603" s="2166">
        <f t="shared" si="106"/>
        <v>7.1411102055994435E-2</v>
      </c>
      <c r="O603" s="2166">
        <f t="shared" si="106"/>
        <v>5.9012340404106522E-2</v>
      </c>
      <c r="P603" s="2166">
        <f t="shared" si="107"/>
        <v>0.38879546969720469</v>
      </c>
      <c r="Q603" s="2142"/>
      <c r="R603" s="2177" t="s">
        <v>393</v>
      </c>
      <c r="S603" s="2178">
        <f t="shared" si="112"/>
        <v>1</v>
      </c>
      <c r="T603" s="2178">
        <f>VLOOKUP($R603,Ratios!$D$78:$G$87,2,FALSE)</f>
        <v>0</v>
      </c>
      <c r="U603" s="2178">
        <f>VLOOKUP($R603,Ratios!$D$78:$G$87,3,FALSE)</f>
        <v>0</v>
      </c>
      <c r="V603" s="2178">
        <f>VLOOKUP($R603,Ratios!$D$78:$G$87,4,FALSE)</f>
        <v>1</v>
      </c>
      <c r="W603" s="2023" t="s">
        <v>5459</v>
      </c>
    </row>
    <row r="604" spans="4:23" ht="16.5" thickBot="1" x14ac:dyDescent="0.3">
      <c r="D604" s="2169" t="s">
        <v>5641</v>
      </c>
      <c r="E604" s="2170" t="s">
        <v>5459</v>
      </c>
      <c r="F604" s="2171">
        <f>SUM(F593:F603)</f>
        <v>1421383.1754999999</v>
      </c>
      <c r="G604" s="2171">
        <f>SUM(G593:G603)</f>
        <v>406205.4322115173</v>
      </c>
      <c r="H604" s="2171">
        <f>SUM(H593:H603)</f>
        <v>101469.65409409047</v>
      </c>
      <c r="I604" s="2171">
        <f>SUM(I593:I603)</f>
        <v>91824.145476838501</v>
      </c>
      <c r="J604" s="2142"/>
      <c r="K604" s="2174" t="s">
        <v>5579</v>
      </c>
      <c r="L604" s="2166">
        <f t="shared" si="106"/>
        <v>1</v>
      </c>
      <c r="M604" s="2166">
        <f t="shared" si="106"/>
        <v>0.28578179284317645</v>
      </c>
      <c r="N604" s="2166">
        <f t="shared" si="106"/>
        <v>7.1387966202988498E-2</v>
      </c>
      <c r="O604" s="2166">
        <f t="shared" si="106"/>
        <v>6.4601964522717478E-2</v>
      </c>
      <c r="P604" s="2166">
        <f t="shared" si="107"/>
        <v>0.42177172356888243</v>
      </c>
      <c r="Q604" s="2142"/>
      <c r="R604" s="2177" t="s">
        <v>392</v>
      </c>
      <c r="S604" s="2178">
        <f t="shared" si="112"/>
        <v>1</v>
      </c>
      <c r="T604" s="2178">
        <f>VLOOKUP($R604,Ratios!$D$78:$G$87,2,FALSE)</f>
        <v>0</v>
      </c>
      <c r="U604" s="2178">
        <f>VLOOKUP($R604,Ratios!$D$78:$G$87,3,FALSE)</f>
        <v>0</v>
      </c>
      <c r="V604" s="2178">
        <f>VLOOKUP($R604,Ratios!$D$78:$G$87,4,FALSE)</f>
        <v>1</v>
      </c>
      <c r="W604" s="2023" t="s">
        <v>5459</v>
      </c>
    </row>
    <row r="605" spans="4:23" ht="15.75" x14ac:dyDescent="0.25">
      <c r="D605" s="2172" t="s">
        <v>5642</v>
      </c>
      <c r="E605" s="2163" t="s">
        <v>5459</v>
      </c>
      <c r="F605" s="2173">
        <f>SUMIF($C$556:$C$581,"OTHER",F$556:F$581)</f>
        <v>451497.65072999999</v>
      </c>
      <c r="G605" s="2173">
        <f>SUMIF($C$556:$C$581,"OTHER",G$556:G$581)</f>
        <v>144807.43943172041</v>
      </c>
      <c r="H605" s="2173">
        <f>SUMIF($C$556:$C$581,"OTHER",H$556:H$581)</f>
        <v>27422.372342415831</v>
      </c>
      <c r="I605" s="2173">
        <f>SUMIF($C$556:$C$581,"OTHER",I$556:I$581)</f>
        <v>20406.512867423269</v>
      </c>
      <c r="J605" s="2142"/>
      <c r="K605" s="2165" t="s">
        <v>5459</v>
      </c>
      <c r="L605" s="2166">
        <f t="shared" si="106"/>
        <v>1</v>
      </c>
      <c r="M605" s="2166">
        <f t="shared" si="106"/>
        <v>0.32072689458647191</v>
      </c>
      <c r="N605" s="2166">
        <f t="shared" si="106"/>
        <v>6.0736467394854013E-2</v>
      </c>
      <c r="O605" s="2166">
        <f t="shared" si="106"/>
        <v>4.5197384381578019E-2</v>
      </c>
      <c r="P605" s="2166">
        <f t="shared" si="107"/>
        <v>0.42666074636290391</v>
      </c>
      <c r="Q605" s="2142"/>
      <c r="R605" s="2177" t="s">
        <v>95</v>
      </c>
      <c r="S605" s="2178">
        <f t="shared" si="112"/>
        <v>1</v>
      </c>
      <c r="T605" s="2178">
        <f>VLOOKUP($R605,Ratios!$D$78:$G$87,2,FALSE)</f>
        <v>0.41685340178759894</v>
      </c>
      <c r="U605" s="2178">
        <f>VLOOKUP($R605,Ratios!$D$78:$G$87,3,FALSE)</f>
        <v>0</v>
      </c>
      <c r="V605" s="2178">
        <f>VLOOKUP($R605,Ratios!$D$78:$G$87,4,FALSE)</f>
        <v>0.58314659821240111</v>
      </c>
      <c r="W605" s="2023" t="s">
        <v>5459</v>
      </c>
    </row>
    <row r="606" spans="4:23" ht="15.75" x14ac:dyDescent="0.25">
      <c r="D606" s="2172" t="s">
        <v>5643</v>
      </c>
      <c r="E606" s="2163" t="s">
        <v>5459</v>
      </c>
      <c r="F606" s="2173">
        <f>SUM(F587:F592,F604,F605)</f>
        <v>33541532.552479997</v>
      </c>
      <c r="G606" s="2173">
        <f>SUM(G587:G592,G604,G605)</f>
        <v>9382837.5365608595</v>
      </c>
      <c r="H606" s="2173">
        <f>SUM(H587:H592,H604,H605)</f>
        <v>2503851.2768889465</v>
      </c>
      <c r="I606" s="2173">
        <f>SUM(I587:I592,I604,I605)</f>
        <v>1788853.3297538685</v>
      </c>
      <c r="J606" s="2142"/>
      <c r="K606" s="2174" t="s">
        <v>5461</v>
      </c>
      <c r="L606" s="2166">
        <f t="shared" si="106"/>
        <v>1</v>
      </c>
      <c r="M606" s="2166">
        <f t="shared" si="106"/>
        <v>0.27973788979022396</v>
      </c>
      <c r="N606" s="2166">
        <f t="shared" si="106"/>
        <v>7.4649280648442423E-2</v>
      </c>
      <c r="O606" s="2166">
        <f t="shared" si="106"/>
        <v>5.3332486431709097E-2</v>
      </c>
      <c r="P606" s="2166">
        <f t="shared" si="107"/>
        <v>0.40771965687037548</v>
      </c>
      <c r="Q606" s="2142"/>
      <c r="R606" s="2177" t="s">
        <v>109</v>
      </c>
      <c r="S606" s="2178">
        <f t="shared" si="112"/>
        <v>1</v>
      </c>
      <c r="T606" s="2178">
        <f>VLOOKUP($R606,Ratios!$D$78:$G$87,2,FALSE)</f>
        <v>0</v>
      </c>
      <c r="U606" s="2178">
        <f>VLOOKUP($R606,Ratios!$D$78:$G$87,3,FALSE)</f>
        <v>0</v>
      </c>
      <c r="V606" s="2178">
        <f>VLOOKUP($R606,Ratios!$D$78:$G$87,4,FALSE)</f>
        <v>1</v>
      </c>
      <c r="W606" s="2023" t="s">
        <v>5459</v>
      </c>
    </row>
    <row r="607" spans="4:23" ht="15.75" x14ac:dyDescent="0.25">
      <c r="D607" s="2077" t="s">
        <v>5644</v>
      </c>
      <c r="E607" s="2023" t="s">
        <v>5459</v>
      </c>
      <c r="F607" s="2180">
        <f>F582-F606</f>
        <v>-1.5399999916553497E-2</v>
      </c>
      <c r="G607" s="2180">
        <f>G582-G606</f>
        <v>0</v>
      </c>
      <c r="H607" s="2180">
        <f>H582-H606</f>
        <v>0</v>
      </c>
      <c r="I607" s="2180">
        <f>I582-I606</f>
        <v>0</v>
      </c>
      <c r="J607" s="2142"/>
      <c r="K607" s="2142"/>
      <c r="L607" s="2142"/>
      <c r="M607" s="2142"/>
      <c r="N607" s="2142"/>
      <c r="O607" s="2142"/>
      <c r="P607" s="2142"/>
      <c r="Q607" s="2142"/>
      <c r="R607" s="2142"/>
      <c r="S607" s="2142"/>
      <c r="T607" s="2142"/>
      <c r="U607" s="2142"/>
      <c r="V607" s="2142"/>
      <c r="W607" s="2142"/>
    </row>
  </sheetData>
  <mergeCells count="2">
    <mergeCell ref="L9:P9"/>
    <mergeCell ref="M582:P582"/>
  </mergeCells>
  <pageMargins left="0.7" right="0.7" top="0.75" bottom="0.75" header="0.3" footer="0.3"/>
  <pageSetup scale="10" fitToHeight="0" orientation="landscape" horizontalDpi="1200" verticalDpi="1200" r:id="rId1"/>
  <customProperties>
    <customPr name="_pios_id" r:id="rId2"/>
  </customProperties>
  <drawing r:id="rId3"/>
  <legacyDrawing r:id="rId4"/>
  <oleObjects>
    <mc:AlternateContent xmlns:mc="http://schemas.openxmlformats.org/markup-compatibility/2006">
      <mc:Choice Requires="x14">
        <oleObject progId="StaticMetafile" shapeId="123905" r:id="rId5">
          <objectPr defaultSize="0" autoPict="0" r:id="rId6">
            <anchor moveWithCells="1" sizeWithCells="1">
              <from>
                <xdr:col>0</xdr:col>
                <xdr:colOff>38100</xdr:colOff>
                <xdr:row>0</xdr:row>
                <xdr:rowOff>95250</xdr:rowOff>
              </from>
              <to>
                <xdr:col>2</xdr:col>
                <xdr:colOff>438150</xdr:colOff>
                <xdr:row>4</xdr:row>
                <xdr:rowOff>9525</xdr:rowOff>
              </to>
            </anchor>
          </objectPr>
        </oleObject>
      </mc:Choice>
      <mc:Fallback>
        <oleObject progId="StaticMetafile" shapeId="123905" r:id="rId5"/>
      </mc:Fallback>
    </mc:AlternateContent>
  </oleObjects>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C69237-FA5D-496A-8F54-B0E25C1021FA}">
  <sheetPr codeName="Sheet26">
    <tabColor rgb="FF00B0F0"/>
    <pageSetUpPr fitToPage="1"/>
  </sheetPr>
  <dimension ref="A1:EH5447"/>
  <sheetViews>
    <sheetView zoomScaleNormal="100" zoomScaleSheetLayoutView="100" workbookViewId="0">
      <selection activeCell="R63" sqref="R63"/>
    </sheetView>
  </sheetViews>
  <sheetFormatPr defaultRowHeight="12" customHeight="1" outlineLevelRow="2" x14ac:dyDescent="0.2"/>
  <cols>
    <col min="1" max="1" width="13.875" style="1953" bestFit="1" customWidth="1"/>
    <col min="2" max="2" width="18.25" style="1953" customWidth="1"/>
    <col min="3" max="3" width="18.25" style="1953" bestFit="1" customWidth="1"/>
    <col min="4" max="4" width="17.375" style="1953" bestFit="1" customWidth="1"/>
    <col min="5" max="5" width="6.375" style="1953" bestFit="1" customWidth="1"/>
    <col min="6" max="6" width="8.75" style="1953" bestFit="1" customWidth="1"/>
    <col min="7" max="7" width="8.25" style="1953" bestFit="1" customWidth="1"/>
    <col min="8" max="8" width="6.75" style="1953" bestFit="1" customWidth="1"/>
    <col min="9" max="9" width="7.125" style="1953" bestFit="1" customWidth="1"/>
    <col min="10" max="10" width="4.875" style="1953" customWidth="1"/>
    <col min="11" max="11" width="6.25" style="1953" bestFit="1" customWidth="1"/>
    <col min="12" max="12" width="5.5" style="1953" bestFit="1" customWidth="1"/>
    <col min="13" max="14" width="4.75" style="1953" bestFit="1" customWidth="1"/>
    <col min="15" max="15" width="5.5" style="1953" bestFit="1" customWidth="1"/>
    <col min="16" max="16" width="4" style="1953" customWidth="1"/>
    <col min="17" max="17" width="4.875" style="1953" customWidth="1"/>
    <col min="18" max="18" width="4" style="1953" customWidth="1"/>
    <col min="19" max="19" width="6.375" style="1953" customWidth="1"/>
    <col min="20" max="21" width="4.875" style="1953" customWidth="1"/>
    <col min="22" max="22" width="4" style="1953" customWidth="1"/>
    <col min="23" max="23" width="4.875" style="1953" customWidth="1"/>
    <col min="24" max="24" width="4" style="1953" customWidth="1"/>
    <col min="25" max="25" width="19.625" style="1953" customWidth="1"/>
    <col min="26" max="26" width="8.375" style="1953" customWidth="1"/>
    <col min="27" max="27" width="19.625" style="1953" customWidth="1"/>
    <col min="28" max="28" width="8.375" style="1953" customWidth="1"/>
    <col min="29" max="29" width="19.625" style="1953" customWidth="1"/>
    <col min="30" max="30" width="8.375" style="1953" customWidth="1"/>
    <col min="31" max="31" width="19.625" style="1953" customWidth="1"/>
    <col min="32" max="32" width="8.375" style="1953" customWidth="1"/>
    <col min="33" max="33" width="19.625" style="1953" customWidth="1"/>
    <col min="34" max="34" width="8.375" style="1953" customWidth="1"/>
    <col min="35" max="35" width="13.5" style="1953" customWidth="1"/>
    <col min="36" max="36" width="19.875" style="1953" customWidth="1"/>
    <col min="37" max="37" width="5.75" style="1953" customWidth="1"/>
    <col min="38" max="38" width="25.75" style="1953" customWidth="1"/>
    <col min="39" max="42" width="19.875" style="1953" customWidth="1"/>
    <col min="43" max="43" width="5.75" style="1953" customWidth="1"/>
    <col min="44" max="44" width="19.625" style="1953" customWidth="1"/>
    <col min="45" max="45" width="13" style="1953" customWidth="1"/>
    <col min="46" max="46" width="19.75" style="1953" customWidth="1"/>
    <col min="47" max="47" width="25.75" style="1953" customWidth="1"/>
    <col min="48" max="48" width="13" style="1953" customWidth="1"/>
    <col min="49" max="49" width="25.75" style="1953" customWidth="1"/>
    <col min="50" max="50" width="13" style="1953" customWidth="1"/>
    <col min="51" max="51" width="5.75" style="1953" customWidth="1"/>
    <col min="52" max="52" width="13" style="1953" customWidth="1"/>
    <col min="53" max="53" width="5.75" style="1953" customWidth="1"/>
    <col min="54" max="54" width="19.625" style="1953" customWidth="1"/>
    <col min="55" max="55" width="13" style="1953" customWidth="1"/>
    <col min="56" max="56" width="5.5" style="1953" customWidth="1"/>
    <col min="57" max="57" width="19.625" style="1953" customWidth="1"/>
    <col min="58" max="58" width="19.375" style="1953" customWidth="1"/>
    <col min="59" max="59" width="9.375" style="1953" customWidth="1"/>
    <col min="60" max="60" width="5.5" style="1953" customWidth="1"/>
    <col min="61" max="61" width="4.25" style="1953" customWidth="1"/>
    <col min="62" max="62" width="9.375" style="1953" customWidth="1"/>
    <col min="63" max="63" width="10.375" style="1953" customWidth="1"/>
    <col min="64" max="65" width="9.375" style="1953" customWidth="1"/>
    <col min="66" max="66" width="8.375" style="1953" customWidth="1"/>
    <col min="67" max="67" width="4.875" style="1953" customWidth="1"/>
    <col min="68" max="68" width="4" style="1953" customWidth="1"/>
    <col min="69" max="69" width="5.25" style="1953" customWidth="1"/>
    <col min="70" max="70" width="4.625" style="1953" customWidth="1"/>
    <col min="71" max="71" width="5.25" style="1953" customWidth="1"/>
    <col min="72" max="72" width="4.625" style="1953" customWidth="1"/>
    <col min="73" max="73" width="5.25" style="1953" customWidth="1"/>
    <col min="74" max="74" width="4.625" style="1953" customWidth="1"/>
    <col min="75" max="75" width="5.25" style="1953" customWidth="1"/>
    <col min="76" max="76" width="4.625" style="1953" customWidth="1"/>
    <col min="77" max="77" width="5.25" style="1953" customWidth="1"/>
    <col min="78" max="78" width="4.625" style="1953" customWidth="1"/>
    <col min="79" max="79" width="5.25" style="1953" customWidth="1"/>
    <col min="80" max="80" width="4.625" style="1953" customWidth="1"/>
    <col min="81" max="81" width="5.25" style="1953" customWidth="1"/>
    <col min="82" max="82" width="4.625" style="1953" customWidth="1"/>
    <col min="83" max="83" width="5.25" style="1953" customWidth="1"/>
    <col min="84" max="84" width="4.625" style="1953" customWidth="1"/>
    <col min="85" max="85" width="5.25" style="1953" customWidth="1"/>
    <col min="86" max="86" width="4.625" style="1953" customWidth="1"/>
    <col min="87" max="87" width="5.25" style="1953" customWidth="1"/>
    <col min="88" max="88" width="4.625" style="1953" customWidth="1"/>
    <col min="89" max="89" width="5.25" style="1953" customWidth="1"/>
    <col min="90" max="90" width="4.625" style="1953" customWidth="1"/>
    <col min="91" max="91" width="5.25" style="1953" customWidth="1"/>
    <col min="92" max="92" width="4.625" style="1953" customWidth="1"/>
    <col min="93" max="93" width="5.25" style="1953" customWidth="1"/>
    <col min="94" max="94" width="4.625" style="1953" customWidth="1"/>
    <col min="95" max="95" width="5.25" style="1953" customWidth="1"/>
    <col min="96" max="96" width="4.625" style="1953" customWidth="1"/>
    <col min="97" max="97" width="5.25" style="1953" customWidth="1"/>
    <col min="98" max="98" width="4.625" style="1953" customWidth="1"/>
    <col min="99" max="99" width="5.25" style="1953" customWidth="1"/>
    <col min="100" max="100" width="4.625" style="1953" customWidth="1"/>
    <col min="101" max="101" width="5.25" style="1953" customWidth="1"/>
    <col min="102" max="102" width="4.625" style="1953" customWidth="1"/>
    <col min="103" max="103" width="5.25" style="1953" customWidth="1"/>
    <col min="104" max="104" width="4.625" style="1953" customWidth="1"/>
    <col min="105" max="105" width="5.25" style="1953" customWidth="1"/>
    <col min="106" max="106" width="4.625" style="1953" customWidth="1"/>
    <col min="107" max="107" width="5.25" style="1953" customWidth="1"/>
    <col min="108" max="108" width="4.625" style="1953" customWidth="1"/>
    <col min="109" max="109" width="5.25" style="1953" customWidth="1"/>
    <col min="110" max="110" width="4.625" style="1953" customWidth="1"/>
    <col min="111" max="111" width="5.25" style="1953" customWidth="1"/>
    <col min="112" max="112" width="4.625" style="1953" customWidth="1"/>
    <col min="113" max="113" width="5.25" style="1953" customWidth="1"/>
    <col min="114" max="114" width="4.625" style="1953" customWidth="1"/>
    <col min="115" max="115" width="5.25" style="1953" customWidth="1"/>
    <col min="116" max="116" width="4.625" style="1953" customWidth="1"/>
    <col min="117" max="117" width="5.25" style="1953" customWidth="1"/>
    <col min="118" max="118" width="4.625" style="1953" customWidth="1"/>
    <col min="119" max="119" width="5.25" style="1953" customWidth="1"/>
    <col min="120" max="120" width="4.625" style="1953" customWidth="1"/>
    <col min="121" max="121" width="5.25" style="1953" customWidth="1"/>
    <col min="122" max="122" width="4.625" style="1953" customWidth="1"/>
    <col min="123" max="123" width="7.125" style="1953" customWidth="1"/>
    <col min="124" max="124" width="6" style="1953" customWidth="1"/>
    <col min="125" max="125" width="5.25" style="1953" customWidth="1"/>
    <col min="126" max="126" width="4.625" style="1953" customWidth="1"/>
    <col min="127" max="127" width="5.25" style="1953" customWidth="1"/>
    <col min="128" max="128" width="4.625" style="1953" customWidth="1"/>
    <col min="129" max="129" width="5.25" style="1953" customWidth="1"/>
    <col min="130" max="130" width="4.625" style="1953" customWidth="1"/>
    <col min="131" max="131" width="5.25" style="1953" customWidth="1"/>
    <col min="132" max="132" width="4.625" style="1953" customWidth="1"/>
    <col min="133" max="133" width="5.25" style="1953" customWidth="1"/>
    <col min="134" max="134" width="4.625" style="1953" customWidth="1"/>
    <col min="135" max="135" width="5.25" style="1953" customWidth="1"/>
    <col min="136" max="136" width="4.625" style="1953" customWidth="1"/>
    <col min="137" max="137" width="5.25" style="1953" customWidth="1"/>
    <col min="138" max="138" width="4.625" style="1953" customWidth="1"/>
    <col min="139" max="16384" width="9" style="1953"/>
  </cols>
  <sheetData>
    <row r="1" spans="1:137" s="1946" customFormat="1" ht="39.950000000000003" customHeight="1" x14ac:dyDescent="0.2">
      <c r="BB1" s="1947"/>
    </row>
    <row r="2" spans="1:137" s="1946" customFormat="1" ht="42" hidden="1" customHeight="1" x14ac:dyDescent="0.2"/>
    <row r="3" spans="1:137" s="1946" customFormat="1" ht="35.25" hidden="1" customHeight="1" x14ac:dyDescent="0.2">
      <c r="D3" s="1947"/>
      <c r="F3" s="1947"/>
      <c r="G3" s="1947"/>
      <c r="I3" s="1947"/>
      <c r="AL3" s="1947"/>
      <c r="AR3" s="1947"/>
      <c r="AU3" s="1947"/>
      <c r="AW3" s="1947"/>
      <c r="BB3" s="1948"/>
      <c r="BD3" s="1947"/>
      <c r="BF3" s="1947"/>
      <c r="BH3" s="1947"/>
      <c r="BJ3" s="1947"/>
      <c r="BL3" s="1947"/>
      <c r="BN3" s="1947"/>
      <c r="BP3" s="1947"/>
    </row>
    <row r="4" spans="1:137" s="1946" customFormat="1" ht="12" customHeight="1" x14ac:dyDescent="0.25">
      <c r="A4" s="1949"/>
      <c r="D4" s="1948"/>
      <c r="F4" s="1948"/>
      <c r="G4" s="1948"/>
      <c r="I4" s="1948"/>
      <c r="BB4" s="1948"/>
      <c r="BR4" s="1947"/>
    </row>
    <row r="5" spans="1:137" s="1946" customFormat="1" ht="12" customHeight="1" x14ac:dyDescent="0.2">
      <c r="A5" s="1950" t="s">
        <v>2405</v>
      </c>
      <c r="B5" s="1951"/>
      <c r="C5" s="1947"/>
      <c r="D5" s="1948"/>
      <c r="E5" s="1947"/>
      <c r="F5" s="1948"/>
      <c r="G5" s="1948"/>
      <c r="H5" s="1947"/>
      <c r="I5" s="1948"/>
      <c r="J5" s="1947"/>
      <c r="K5" s="1947"/>
      <c r="L5" s="1947"/>
      <c r="M5" s="1947"/>
      <c r="N5" s="1947"/>
      <c r="O5" s="1947"/>
      <c r="P5" s="1947"/>
      <c r="Q5" s="1947"/>
      <c r="R5" s="1947"/>
      <c r="S5" s="1947"/>
      <c r="T5" s="1947"/>
      <c r="U5" s="1947"/>
      <c r="V5" s="1947"/>
      <c r="W5" s="1947"/>
      <c r="X5" s="1947"/>
      <c r="Y5" s="1947"/>
      <c r="Z5" s="1947"/>
      <c r="AA5" s="1947"/>
      <c r="AB5" s="1947"/>
      <c r="AC5" s="1947"/>
      <c r="AD5" s="1947"/>
      <c r="AE5" s="1947"/>
      <c r="AF5" s="1951"/>
      <c r="AG5" s="1951"/>
      <c r="AH5" s="1951"/>
      <c r="AI5" s="1951"/>
      <c r="AJ5" s="1951"/>
      <c r="AK5" s="1947"/>
      <c r="AM5" s="1951"/>
      <c r="AN5" s="1951"/>
      <c r="AO5" s="1951"/>
      <c r="AP5" s="1951"/>
      <c r="AQ5" s="1947"/>
      <c r="AS5" s="1951"/>
      <c r="AT5" s="1947"/>
      <c r="AV5" s="1947"/>
      <c r="AX5" s="1951"/>
      <c r="AY5" s="1947"/>
      <c r="AZ5" s="1951"/>
      <c r="BA5" s="1947"/>
      <c r="BB5" s="1948"/>
      <c r="BC5" s="1947"/>
      <c r="BE5" s="1947"/>
      <c r="BG5" s="1947"/>
      <c r="BI5" s="1947"/>
      <c r="BK5" s="1947"/>
      <c r="BM5" s="1947"/>
      <c r="BO5" s="1947"/>
      <c r="BQ5" s="1947"/>
      <c r="BS5" s="1947"/>
      <c r="BT5" s="1947"/>
      <c r="BU5" s="1947"/>
      <c r="BV5" s="1947"/>
      <c r="BW5" s="1947"/>
      <c r="BX5" s="1947"/>
      <c r="BY5" s="1947"/>
      <c r="BZ5" s="1947"/>
      <c r="CA5" s="1947"/>
      <c r="CB5" s="1947"/>
      <c r="CC5" s="1947"/>
      <c r="CD5" s="1947"/>
      <c r="CE5" s="1947"/>
      <c r="CF5" s="1947"/>
      <c r="CG5" s="1947"/>
      <c r="CH5" s="1947"/>
    </row>
    <row r="6" spans="1:137" s="1946" customFormat="1" ht="12" customHeight="1" x14ac:dyDescent="0.2">
      <c r="A6" s="1952" t="s">
        <v>2260</v>
      </c>
      <c r="B6" s="1952"/>
      <c r="C6" s="1948"/>
      <c r="D6" s="1948"/>
      <c r="E6" s="1948"/>
      <c r="F6" s="1948"/>
      <c r="G6" s="1948"/>
      <c r="H6" s="1948"/>
      <c r="I6" s="1948"/>
      <c r="BB6" s="1948"/>
    </row>
    <row r="7" spans="1:137" s="1946" customFormat="1" ht="12" customHeight="1" x14ac:dyDescent="0.2">
      <c r="A7" s="1952" t="s">
        <v>875</v>
      </c>
      <c r="B7" s="1952"/>
      <c r="C7" s="1948"/>
      <c r="E7" s="1948"/>
      <c r="H7" s="1948"/>
      <c r="M7" s="1953"/>
      <c r="N7" s="1953"/>
      <c r="O7" s="1953"/>
      <c r="P7" s="1953"/>
      <c r="Q7" s="1953"/>
      <c r="R7" s="1953"/>
      <c r="S7" s="1953"/>
      <c r="T7" s="1953"/>
      <c r="U7" s="1953"/>
      <c r="V7" s="1953"/>
      <c r="W7" s="1953"/>
      <c r="X7" s="1953"/>
      <c r="BB7" s="1948"/>
      <c r="CQ7" s="1953"/>
    </row>
    <row r="8" spans="1:137" s="1946" customFormat="1" ht="12" customHeight="1" x14ac:dyDescent="0.2">
      <c r="A8" s="1952" t="s">
        <v>876</v>
      </c>
      <c r="B8" s="1952"/>
      <c r="C8" s="1948"/>
      <c r="D8" s="1948"/>
      <c r="E8" s="1948"/>
      <c r="F8" s="1948"/>
      <c r="G8" s="1948"/>
      <c r="H8" s="1948"/>
      <c r="I8" s="1948"/>
      <c r="AL8" s="1948"/>
      <c r="AR8" s="1948"/>
      <c r="AU8" s="1948"/>
      <c r="AW8" s="1948"/>
      <c r="BB8" s="1948"/>
      <c r="BD8" s="1948"/>
      <c r="BF8" s="1948"/>
      <c r="BH8" s="1948"/>
      <c r="BJ8" s="1948"/>
      <c r="BL8" s="1948"/>
      <c r="BN8" s="1948"/>
      <c r="BP8" s="1948"/>
    </row>
    <row r="9" spans="1:137" s="1946" customFormat="1" ht="12" customHeight="1" x14ac:dyDescent="0.2">
      <c r="D9" s="1954"/>
      <c r="F9" s="1954"/>
      <c r="G9" s="1954"/>
      <c r="I9" s="1954"/>
      <c r="AL9" s="1954"/>
      <c r="AR9" s="1954"/>
      <c r="AU9" s="1954"/>
      <c r="AW9" s="1954"/>
      <c r="BB9" s="1948"/>
      <c r="BD9" s="1948"/>
      <c r="BF9" s="1948"/>
      <c r="BH9" s="1948"/>
      <c r="BJ9" s="1948"/>
      <c r="BL9" s="1948"/>
      <c r="BN9" s="1948"/>
      <c r="BP9" s="1948"/>
      <c r="BR9" s="1948"/>
    </row>
    <row r="10" spans="1:137" s="1946" customFormat="1" ht="12" hidden="1" customHeight="1" outlineLevel="1" x14ac:dyDescent="0.2">
      <c r="A10" s="1951" t="s">
        <v>877</v>
      </c>
      <c r="B10" s="1952" t="s">
        <v>2261</v>
      </c>
      <c r="AH10" s="1952"/>
      <c r="AI10" s="1952"/>
      <c r="AJ10" s="1952"/>
      <c r="AK10" s="1952"/>
      <c r="AL10" s="1952"/>
      <c r="AO10" s="1952"/>
      <c r="AP10" s="1952"/>
      <c r="AQ10" s="1952"/>
      <c r="CK10" s="1952"/>
      <c r="CL10" s="1952"/>
      <c r="CM10" s="1952"/>
      <c r="CN10" s="1952"/>
      <c r="CO10" s="1952"/>
      <c r="CP10" s="1952"/>
      <c r="CQ10" s="1952"/>
      <c r="CR10" s="1952"/>
      <c r="CS10" s="1952"/>
      <c r="CT10" s="1952"/>
      <c r="CU10" s="1952"/>
      <c r="CV10" s="1952"/>
      <c r="CW10" s="1952"/>
      <c r="CX10" s="1952"/>
      <c r="CY10" s="1952"/>
      <c r="CZ10" s="1952"/>
      <c r="DA10" s="1952"/>
      <c r="DB10" s="1952"/>
      <c r="DC10" s="1952"/>
      <c r="DD10" s="1952"/>
      <c r="DE10" s="1952"/>
      <c r="DF10" s="1952"/>
      <c r="DG10" s="1952"/>
      <c r="DH10" s="1952"/>
      <c r="DI10" s="1952"/>
      <c r="DJ10" s="1952"/>
      <c r="DK10" s="1952"/>
      <c r="DL10" s="1952"/>
      <c r="DM10" s="1952"/>
      <c r="DN10" s="1952"/>
      <c r="DO10" s="1952"/>
      <c r="DP10" s="1952"/>
      <c r="DQ10" s="1952"/>
      <c r="DR10" s="1952"/>
      <c r="DS10" s="1952"/>
      <c r="DT10" s="1952"/>
      <c r="DU10" s="1955"/>
      <c r="DV10" s="1955"/>
      <c r="DW10" s="1955"/>
      <c r="DX10" s="1955"/>
      <c r="DY10" s="1955"/>
      <c r="DZ10" s="1955"/>
      <c r="EA10" s="1955"/>
      <c r="EB10" s="1955"/>
      <c r="EC10" s="1955"/>
      <c r="ED10" s="1955"/>
      <c r="EE10" s="1955"/>
      <c r="EF10" s="1955"/>
      <c r="EG10" s="1955"/>
    </row>
    <row r="11" spans="1:137" s="1946" customFormat="1" ht="12" hidden="1" customHeight="1" outlineLevel="1" x14ac:dyDescent="0.2">
      <c r="A11" s="1951" t="s">
        <v>879</v>
      </c>
      <c r="B11" s="1956">
        <v>43909.371154224536</v>
      </c>
      <c r="AH11" s="1956"/>
      <c r="AI11" s="1956"/>
      <c r="AJ11" s="1956"/>
      <c r="AK11" s="1956"/>
      <c r="AL11" s="1956"/>
      <c r="AO11" s="1956"/>
      <c r="AP11" s="1956"/>
      <c r="AQ11" s="1956"/>
      <c r="CK11" s="1952"/>
      <c r="CL11" s="1952"/>
      <c r="CM11" s="1952"/>
      <c r="CN11" s="1952"/>
      <c r="CO11" s="1952"/>
      <c r="CP11" s="1952"/>
      <c r="CQ11" s="1952"/>
      <c r="CR11" s="1952"/>
      <c r="CS11" s="1952"/>
      <c r="CT11" s="1952"/>
      <c r="CU11" s="1952"/>
      <c r="CV11" s="1952"/>
      <c r="CW11" s="1952"/>
      <c r="CX11" s="1952"/>
      <c r="CY11" s="1952"/>
      <c r="CZ11" s="1952"/>
      <c r="DA11" s="1952"/>
      <c r="DB11" s="1952"/>
      <c r="DC11" s="1952"/>
      <c r="DD11" s="1952"/>
      <c r="DE11" s="1952"/>
      <c r="DF11" s="1952"/>
      <c r="DG11" s="1952"/>
      <c r="DH11" s="1952"/>
      <c r="DI11" s="1952"/>
      <c r="DJ11" s="1952"/>
      <c r="DK11" s="1952"/>
      <c r="DL11" s="1952"/>
      <c r="DM11" s="1952"/>
      <c r="DN11" s="1952"/>
      <c r="DO11" s="1952"/>
      <c r="DP11" s="1952"/>
      <c r="DQ11" s="1952"/>
      <c r="DR11" s="1952"/>
      <c r="DS11" s="1952"/>
      <c r="DT11" s="1952"/>
      <c r="DU11" s="1955"/>
      <c r="DV11" s="1955"/>
      <c r="DW11" s="1955"/>
      <c r="DX11" s="1955"/>
      <c r="DY11" s="1955"/>
      <c r="DZ11" s="1955"/>
      <c r="EA11" s="1955"/>
      <c r="EB11" s="1955"/>
      <c r="EC11" s="1955"/>
      <c r="ED11" s="1955"/>
      <c r="EE11" s="1955"/>
      <c r="EF11" s="1955"/>
      <c r="EG11" s="1955"/>
    </row>
    <row r="12" spans="1:137" s="1946" customFormat="1" ht="12" hidden="1" customHeight="1" outlineLevel="1" x14ac:dyDescent="0.2">
      <c r="BB12" s="1948"/>
      <c r="BD12" s="1948"/>
      <c r="BF12" s="1948"/>
      <c r="BH12" s="1948"/>
      <c r="BJ12" s="1948"/>
      <c r="BL12" s="1948"/>
      <c r="BN12" s="1948"/>
      <c r="BP12" s="1948"/>
      <c r="BR12" s="1948"/>
    </row>
    <row r="13" spans="1:137" s="1946" customFormat="1" ht="12" hidden="1" customHeight="1" outlineLevel="1" x14ac:dyDescent="0.2">
      <c r="A13" s="1953"/>
      <c r="B13" s="1953"/>
      <c r="AF13" s="1953"/>
      <c r="AG13" s="1953"/>
      <c r="AH13" s="1953"/>
      <c r="AI13" s="1953"/>
      <c r="AJ13" s="1953"/>
      <c r="AM13" s="1953"/>
      <c r="AN13" s="1953"/>
      <c r="AO13" s="1953"/>
      <c r="AP13" s="1953"/>
      <c r="AS13" s="1953"/>
      <c r="AX13" s="1953"/>
      <c r="AZ13" s="1953"/>
      <c r="BA13" s="1948"/>
      <c r="BB13" s="1947"/>
      <c r="BC13" s="1948"/>
      <c r="BD13" s="1948"/>
      <c r="BE13" s="1948"/>
      <c r="BF13" s="1948"/>
      <c r="BG13" s="1948"/>
      <c r="BH13" s="1948"/>
      <c r="BI13" s="1948"/>
      <c r="BJ13" s="1948"/>
      <c r="BK13" s="1948"/>
      <c r="BL13" s="1948"/>
      <c r="BM13" s="1948"/>
      <c r="BN13" s="1948"/>
      <c r="BO13" s="1948"/>
      <c r="BP13" s="1948"/>
      <c r="BQ13" s="1948"/>
      <c r="BR13" s="1948"/>
      <c r="BS13" s="1948"/>
      <c r="BT13" s="1948"/>
      <c r="BU13" s="1948"/>
      <c r="BV13" s="1948"/>
      <c r="BW13" s="1948"/>
      <c r="BX13" s="1948"/>
      <c r="BY13" s="1948"/>
      <c r="BZ13" s="1948"/>
      <c r="CA13" s="1948"/>
      <c r="CB13" s="1948"/>
      <c r="CC13" s="1948"/>
      <c r="CD13" s="1948"/>
      <c r="CE13" s="1948"/>
      <c r="CF13" s="1948"/>
      <c r="CG13" s="1948"/>
      <c r="CH13" s="1948"/>
    </row>
    <row r="14" spans="1:137" s="1946" customFormat="1" ht="12" hidden="1" customHeight="1" outlineLevel="1" x14ac:dyDescent="0.2">
      <c r="A14" s="1953"/>
      <c r="B14" s="1953"/>
      <c r="AF14" s="1953"/>
      <c r="AG14" s="1953"/>
      <c r="AH14" s="1953"/>
      <c r="AI14" s="1953"/>
      <c r="AJ14" s="1953"/>
      <c r="AM14" s="1953"/>
      <c r="AN14" s="1953"/>
      <c r="AO14" s="1953"/>
      <c r="AP14" s="1953"/>
      <c r="AS14" s="1953"/>
      <c r="AX14" s="1953"/>
      <c r="AZ14" s="1953"/>
      <c r="BA14" s="1948"/>
      <c r="BB14" s="1948"/>
      <c r="BC14" s="1948"/>
      <c r="BD14" s="1948"/>
      <c r="BE14" s="1948"/>
      <c r="BF14" s="1948"/>
      <c r="BG14" s="1948"/>
      <c r="BH14" s="1948"/>
      <c r="BI14" s="1948"/>
      <c r="BJ14" s="1948"/>
      <c r="BK14" s="1948"/>
      <c r="BL14" s="1948"/>
      <c r="BM14" s="1948"/>
      <c r="BN14" s="1948"/>
      <c r="BO14" s="1948"/>
      <c r="BP14" s="1948"/>
      <c r="BQ14" s="1948"/>
      <c r="BR14" s="1948"/>
      <c r="BS14" s="1948"/>
      <c r="BT14" s="1948"/>
      <c r="BU14" s="1948"/>
      <c r="BV14" s="1948"/>
      <c r="BW14" s="1948"/>
      <c r="BX14" s="1948"/>
      <c r="BY14" s="1948"/>
      <c r="BZ14" s="1948"/>
      <c r="CA14" s="1948"/>
      <c r="CB14" s="1948"/>
      <c r="CC14" s="1948"/>
      <c r="CD14" s="1948"/>
      <c r="CE14" s="1948"/>
      <c r="CF14" s="1948"/>
      <c r="CG14" s="1948"/>
      <c r="CH14" s="1948"/>
    </row>
    <row r="15" spans="1:137" ht="12" hidden="1" customHeight="1" outlineLevel="1" x14ac:dyDescent="0.2">
      <c r="C15" s="1946"/>
      <c r="D15" s="1946"/>
      <c r="E15" s="1946"/>
      <c r="F15" s="1946"/>
      <c r="G15" s="1946"/>
      <c r="H15" s="1946"/>
      <c r="I15" s="1946"/>
      <c r="J15" s="1946"/>
      <c r="K15" s="1946"/>
      <c r="L15" s="1946"/>
      <c r="M15" s="1946"/>
      <c r="N15" s="1946"/>
      <c r="O15" s="1946"/>
      <c r="P15" s="1946"/>
      <c r="Q15" s="1946"/>
      <c r="R15" s="1946"/>
      <c r="S15" s="1946"/>
      <c r="T15" s="1946"/>
      <c r="U15" s="1946"/>
      <c r="V15" s="1946"/>
      <c r="W15" s="1946"/>
      <c r="X15" s="1946"/>
      <c r="Y15" s="1946"/>
      <c r="Z15" s="1946"/>
      <c r="AA15" s="1946"/>
      <c r="AB15" s="1946"/>
      <c r="AC15" s="1946"/>
      <c r="AD15" s="1946"/>
      <c r="AE15" s="1946"/>
      <c r="AK15" s="1946"/>
      <c r="AL15" s="1946"/>
      <c r="AQ15" s="1946"/>
      <c r="AR15" s="1946"/>
      <c r="AT15" s="1946"/>
      <c r="AU15" s="1946"/>
      <c r="AV15" s="1946"/>
      <c r="AW15" s="1946"/>
      <c r="AY15" s="1946"/>
      <c r="BA15" s="1948"/>
      <c r="BB15" s="1948"/>
      <c r="BC15" s="1952"/>
      <c r="BD15" s="1952"/>
      <c r="BE15" s="1952"/>
      <c r="BF15" s="1952"/>
      <c r="BG15" s="1952"/>
      <c r="BH15" s="1952"/>
      <c r="BI15" s="1952"/>
      <c r="BJ15" s="1952"/>
      <c r="BK15" s="1952"/>
      <c r="BL15" s="1952"/>
      <c r="BM15" s="1952"/>
      <c r="BN15" s="1952"/>
      <c r="BO15" s="1952"/>
      <c r="BP15" s="1952"/>
    </row>
    <row r="16" spans="1:137" s="1946" customFormat="1" ht="12" hidden="1" customHeight="1" outlineLevel="1" x14ac:dyDescent="0.2">
      <c r="A16" s="1953"/>
      <c r="B16" s="1953"/>
      <c r="AF16" s="1953"/>
      <c r="AG16" s="1953"/>
      <c r="AH16" s="1953"/>
      <c r="AI16" s="1953"/>
      <c r="AJ16" s="1953"/>
      <c r="AM16" s="1953"/>
      <c r="AN16" s="1953"/>
      <c r="AO16" s="1953"/>
      <c r="AP16" s="1953"/>
      <c r="AS16" s="1953"/>
      <c r="AX16" s="1953"/>
      <c r="AZ16" s="1953"/>
      <c r="BA16" s="1948"/>
      <c r="BB16" s="1948"/>
      <c r="BC16" s="1948"/>
      <c r="BD16" s="1948"/>
      <c r="BE16" s="1948"/>
      <c r="BF16" s="1948"/>
      <c r="BG16" s="1948"/>
      <c r="BH16" s="1948"/>
      <c r="BI16" s="1948"/>
      <c r="BJ16" s="1948"/>
      <c r="BK16" s="1948"/>
      <c r="BL16" s="1948"/>
      <c r="BM16" s="1948"/>
      <c r="BN16" s="1948"/>
      <c r="BO16" s="1948"/>
      <c r="BP16" s="1948"/>
      <c r="BQ16" s="1948"/>
      <c r="BR16" s="1948"/>
      <c r="BS16" s="1948"/>
      <c r="BT16" s="1948"/>
      <c r="BU16" s="1948"/>
      <c r="BV16" s="1948"/>
      <c r="BW16" s="1948"/>
      <c r="BX16" s="1948"/>
      <c r="BY16" s="1948"/>
      <c r="BZ16" s="1948"/>
      <c r="CA16" s="1948"/>
      <c r="CB16" s="1948"/>
      <c r="CC16" s="1948"/>
      <c r="CD16" s="1948"/>
      <c r="CE16" s="1948"/>
      <c r="CF16" s="1948"/>
      <c r="CG16" s="1948"/>
      <c r="CH16" s="1948"/>
    </row>
    <row r="17" spans="1:138" s="1946" customFormat="1" ht="12" hidden="1" customHeight="1" outlineLevel="1" x14ac:dyDescent="0.2">
      <c r="A17" s="1953"/>
      <c r="B17" s="1953"/>
      <c r="AF17" s="1953"/>
      <c r="AG17" s="1953"/>
      <c r="AH17" s="1953"/>
      <c r="AI17" s="1953"/>
      <c r="AJ17" s="1953"/>
      <c r="AM17" s="1953"/>
      <c r="AN17" s="1953"/>
      <c r="AO17" s="1953"/>
      <c r="AP17" s="1953"/>
      <c r="AS17" s="1953"/>
      <c r="AX17" s="1953"/>
      <c r="AZ17" s="1953"/>
      <c r="BA17" s="1948"/>
      <c r="BB17" s="1948"/>
      <c r="BC17" s="1948"/>
      <c r="BD17" s="1948"/>
      <c r="BE17" s="1948"/>
      <c r="BF17" s="1948"/>
      <c r="BG17" s="1948"/>
      <c r="BH17" s="1948"/>
      <c r="BI17" s="1948"/>
      <c r="BJ17" s="1948"/>
      <c r="BK17" s="1948"/>
      <c r="BL17" s="1948"/>
      <c r="BM17" s="1948"/>
      <c r="BN17" s="1948"/>
      <c r="BO17" s="1948"/>
      <c r="BP17" s="1948"/>
      <c r="BQ17" s="1948"/>
      <c r="BR17" s="1948"/>
      <c r="BS17" s="1948"/>
      <c r="BT17" s="1948"/>
      <c r="BU17" s="1948"/>
      <c r="BV17" s="1948"/>
      <c r="BW17" s="1948"/>
      <c r="BX17" s="1948"/>
      <c r="BY17" s="1948"/>
      <c r="BZ17" s="1948"/>
      <c r="CA17" s="1948"/>
      <c r="CB17" s="1948"/>
      <c r="CC17" s="1948"/>
      <c r="CD17" s="1948"/>
      <c r="CE17" s="1948"/>
      <c r="CF17" s="1948"/>
      <c r="CG17" s="1948"/>
      <c r="CH17" s="1948"/>
    </row>
    <row r="18" spans="1:138" s="1946" customFormat="1" ht="12" hidden="1" customHeight="1" outlineLevel="1" x14ac:dyDescent="0.2">
      <c r="A18" s="1953"/>
      <c r="B18" s="1953"/>
      <c r="AF18" s="1953"/>
      <c r="AG18" s="1953"/>
      <c r="AH18" s="1953"/>
      <c r="AI18" s="1953"/>
      <c r="AJ18" s="1953"/>
      <c r="AM18" s="1953"/>
      <c r="AN18" s="1953"/>
      <c r="AO18" s="1953"/>
      <c r="AP18" s="1953"/>
      <c r="AS18" s="1953"/>
      <c r="AX18" s="1953"/>
      <c r="AZ18" s="1953"/>
      <c r="BA18" s="1948"/>
      <c r="BB18" s="1948"/>
      <c r="BC18" s="1948"/>
      <c r="BD18" s="1948"/>
      <c r="BE18" s="1948"/>
      <c r="BF18" s="1948"/>
      <c r="BG18" s="1948"/>
      <c r="BH18" s="1948"/>
      <c r="BI18" s="1948"/>
      <c r="BJ18" s="1948"/>
      <c r="BK18" s="1948"/>
      <c r="BL18" s="1948"/>
      <c r="BM18" s="1948"/>
      <c r="BN18" s="1948"/>
      <c r="BO18" s="1948"/>
      <c r="BP18" s="1948"/>
      <c r="BQ18" s="1948"/>
      <c r="BR18" s="1948"/>
      <c r="BS18" s="1948"/>
      <c r="BT18" s="1948"/>
      <c r="BU18" s="1948"/>
      <c r="BV18" s="1948"/>
      <c r="BW18" s="1948"/>
      <c r="BX18" s="1948"/>
      <c r="BY18" s="1948"/>
      <c r="BZ18" s="1948"/>
      <c r="CA18" s="1948"/>
      <c r="CB18" s="1948"/>
      <c r="CC18" s="1948"/>
      <c r="CD18" s="1948"/>
      <c r="CE18" s="1948"/>
      <c r="CF18" s="1948"/>
      <c r="CG18" s="1948"/>
      <c r="CH18" s="1948"/>
    </row>
    <row r="19" spans="1:138" s="1946" customFormat="1" ht="12" hidden="1" customHeight="1" outlineLevel="1" x14ac:dyDescent="0.2">
      <c r="A19" s="1953"/>
      <c r="B19" s="1953" t="s">
        <v>2406</v>
      </c>
      <c r="AF19" s="1953"/>
      <c r="AG19" s="1953"/>
      <c r="AH19" s="1953"/>
      <c r="AI19" s="1953"/>
      <c r="AJ19" s="1953"/>
      <c r="AM19" s="1953"/>
      <c r="AN19" s="1953"/>
      <c r="AO19" s="1953"/>
      <c r="AP19" s="1953"/>
      <c r="AS19" s="1953"/>
      <c r="AX19" s="1953"/>
      <c r="AZ19" s="1953"/>
      <c r="BA19" s="1948"/>
      <c r="BB19" s="1948"/>
      <c r="BC19" s="1948"/>
      <c r="BD19" s="1948"/>
      <c r="BE19" s="1948"/>
      <c r="BF19" s="1948"/>
      <c r="BG19" s="1948"/>
      <c r="BH19" s="1948"/>
      <c r="BI19" s="1948"/>
      <c r="BJ19" s="1948"/>
      <c r="BK19" s="1948"/>
      <c r="BL19" s="1948"/>
      <c r="BM19" s="1948"/>
      <c r="BN19" s="1948"/>
      <c r="BO19" s="1948"/>
      <c r="BP19" s="1948"/>
      <c r="BQ19" s="1948"/>
      <c r="BR19" s="1948"/>
      <c r="BS19" s="1948"/>
      <c r="BT19" s="1948"/>
      <c r="BU19" s="1948"/>
      <c r="BV19" s="1948"/>
      <c r="BW19" s="1948"/>
      <c r="BX19" s="1948"/>
      <c r="BY19" s="1948"/>
      <c r="BZ19" s="1948"/>
      <c r="CA19" s="1948"/>
      <c r="CB19" s="1948"/>
      <c r="CC19" s="1948"/>
      <c r="CD19" s="1948"/>
      <c r="CE19" s="1948"/>
      <c r="CF19" s="1948"/>
      <c r="CG19" s="1948"/>
      <c r="CH19" s="1948"/>
    </row>
    <row r="20" spans="1:138" s="1946" customFormat="1" ht="12" hidden="1" customHeight="1" outlineLevel="1" x14ac:dyDescent="0.2">
      <c r="A20" s="1953"/>
      <c r="B20" s="1953"/>
      <c r="AF20" s="1953"/>
      <c r="AG20" s="1953"/>
      <c r="AH20" s="1953"/>
      <c r="AI20" s="1953"/>
      <c r="AJ20" s="1953"/>
      <c r="AM20" s="1953"/>
      <c r="AN20" s="1953"/>
      <c r="AO20" s="1953"/>
      <c r="AP20" s="1953"/>
      <c r="AS20" s="1953"/>
      <c r="AX20" s="1953"/>
      <c r="AZ20" s="1953"/>
      <c r="BA20" s="1948"/>
      <c r="BB20" s="1948"/>
      <c r="BC20" s="1948"/>
      <c r="BD20" s="1948"/>
      <c r="BE20" s="1948"/>
      <c r="BF20" s="1948"/>
      <c r="BG20" s="1948"/>
      <c r="BH20" s="1948"/>
      <c r="BI20" s="1948"/>
      <c r="BJ20" s="1948"/>
      <c r="BK20" s="1948"/>
      <c r="BL20" s="1948"/>
      <c r="BM20" s="1948"/>
      <c r="BN20" s="1948"/>
      <c r="BO20" s="1948"/>
      <c r="BP20" s="1948"/>
      <c r="BQ20" s="1948"/>
      <c r="BR20" s="1948"/>
      <c r="BS20" s="1948"/>
      <c r="BT20" s="1948"/>
      <c r="BU20" s="1948"/>
      <c r="BV20" s="1948"/>
      <c r="BW20" s="1948"/>
      <c r="BX20" s="1948"/>
      <c r="BY20" s="1948"/>
      <c r="BZ20" s="1948"/>
      <c r="CA20" s="1948"/>
      <c r="CB20" s="1948"/>
      <c r="CC20" s="1948"/>
      <c r="CD20" s="1948"/>
      <c r="CE20" s="1948"/>
      <c r="CF20" s="1948"/>
      <c r="CG20" s="1948"/>
      <c r="CH20" s="1948"/>
    </row>
    <row r="21" spans="1:138" s="1946" customFormat="1" ht="12" hidden="1" customHeight="1" outlineLevel="1" x14ac:dyDescent="0.2">
      <c r="A21" s="1953"/>
      <c r="B21" s="1953"/>
      <c r="AF21" s="1953"/>
      <c r="AG21" s="1953"/>
      <c r="AH21" s="1953"/>
      <c r="AI21" s="1953"/>
      <c r="AJ21" s="1953"/>
      <c r="AM21" s="1953"/>
      <c r="AN21" s="1953"/>
      <c r="AO21" s="1953"/>
      <c r="AP21" s="1953"/>
      <c r="AS21" s="1953"/>
      <c r="AX21" s="1953"/>
      <c r="AZ21" s="1953"/>
      <c r="BA21" s="1948"/>
      <c r="BB21" s="1948"/>
      <c r="BC21" s="1948"/>
      <c r="BD21" s="1948"/>
      <c r="BE21" s="1948"/>
      <c r="BF21" s="1948"/>
      <c r="BG21" s="1948"/>
      <c r="BH21" s="1948"/>
      <c r="BI21" s="1948"/>
      <c r="BJ21" s="1948"/>
      <c r="BK21" s="1948"/>
      <c r="BL21" s="1948"/>
      <c r="BM21" s="1948"/>
      <c r="BN21" s="1948"/>
      <c r="BO21" s="1948"/>
      <c r="BP21" s="1948"/>
      <c r="BQ21" s="1948"/>
      <c r="BR21" s="1948"/>
      <c r="BS21" s="1948"/>
      <c r="BT21" s="1948"/>
      <c r="BU21" s="1948"/>
      <c r="BV21" s="1948"/>
      <c r="BW21" s="1948"/>
      <c r="BX21" s="1948"/>
      <c r="BY21" s="1948"/>
      <c r="BZ21" s="1948"/>
      <c r="CA21" s="1948"/>
      <c r="CB21" s="1948"/>
      <c r="CC21" s="1948"/>
      <c r="CD21" s="1948"/>
      <c r="CE21" s="1948"/>
      <c r="CF21" s="1948"/>
      <c r="CG21" s="1948"/>
      <c r="CH21" s="1948"/>
    </row>
    <row r="22" spans="1:138" s="1946" customFormat="1" ht="12" hidden="1" customHeight="1" outlineLevel="1" x14ac:dyDescent="0.2">
      <c r="A22" s="1953"/>
      <c r="B22" s="1953"/>
      <c r="AF22" s="1953"/>
      <c r="AG22" s="1953"/>
      <c r="AH22" s="1953"/>
      <c r="AI22" s="1953"/>
      <c r="AJ22" s="1953"/>
      <c r="AM22" s="1953"/>
      <c r="AN22" s="1953"/>
      <c r="AO22" s="1953"/>
      <c r="AP22" s="1953"/>
      <c r="AS22" s="1953"/>
      <c r="AX22" s="1953"/>
      <c r="AZ22" s="1953"/>
      <c r="BA22" s="1948"/>
      <c r="BB22" s="1948"/>
      <c r="BC22" s="1948"/>
      <c r="BD22" s="1948"/>
      <c r="BE22" s="1948"/>
      <c r="BF22" s="1948"/>
      <c r="BG22" s="1948"/>
      <c r="BH22" s="1948"/>
      <c r="BI22" s="1948"/>
      <c r="BJ22" s="1948"/>
      <c r="BK22" s="1948"/>
      <c r="BL22" s="1948"/>
      <c r="BM22" s="1948"/>
      <c r="BN22" s="1948"/>
      <c r="BO22" s="1948"/>
      <c r="BP22" s="1948"/>
      <c r="BQ22" s="1948"/>
      <c r="BR22" s="1948"/>
      <c r="BS22" s="1948"/>
      <c r="BT22" s="1948"/>
      <c r="BU22" s="1948"/>
      <c r="BV22" s="1948"/>
      <c r="BW22" s="1948"/>
      <c r="BX22" s="1948"/>
      <c r="BY22" s="1948"/>
      <c r="BZ22" s="1948"/>
      <c r="CA22" s="1948"/>
      <c r="CB22" s="1948"/>
      <c r="CC22" s="1948"/>
      <c r="CD22" s="1948"/>
      <c r="CE22" s="1948"/>
      <c r="CF22" s="1948"/>
      <c r="CG22" s="1948"/>
      <c r="CH22" s="1948"/>
    </row>
    <row r="23" spans="1:138" ht="12" hidden="1" customHeight="1" outlineLevel="1" x14ac:dyDescent="0.2">
      <c r="C23" s="1946"/>
      <c r="D23" s="1946"/>
      <c r="E23" s="1946"/>
      <c r="F23" s="1946"/>
      <c r="G23" s="1946"/>
      <c r="H23" s="1946"/>
      <c r="I23" s="1946"/>
      <c r="J23" s="1946"/>
      <c r="K23" s="1946"/>
      <c r="L23" s="1946"/>
      <c r="M23" s="1946"/>
      <c r="N23" s="1946"/>
      <c r="O23" s="1946"/>
      <c r="P23" s="1946"/>
      <c r="Q23" s="1946"/>
      <c r="R23" s="1946"/>
      <c r="S23" s="1946"/>
      <c r="T23" s="1946"/>
      <c r="U23" s="1946"/>
      <c r="V23" s="1946"/>
      <c r="W23" s="1946"/>
      <c r="X23" s="1946"/>
      <c r="Y23" s="1946"/>
      <c r="Z23" s="1946"/>
      <c r="AA23" s="1946"/>
      <c r="AB23" s="1946"/>
      <c r="AC23" s="1946"/>
      <c r="AD23" s="1946"/>
      <c r="AE23" s="1946"/>
      <c r="AK23" s="1946"/>
      <c r="AL23" s="1946"/>
      <c r="AQ23" s="1946"/>
      <c r="AR23" s="1946"/>
      <c r="AT23" s="1946"/>
      <c r="AU23" s="1946"/>
      <c r="AV23" s="1946"/>
      <c r="AW23" s="1946"/>
      <c r="AY23" s="1946"/>
      <c r="BA23" s="1947"/>
      <c r="BB23" s="1948"/>
      <c r="BC23" s="1951"/>
      <c r="BD23" s="1951"/>
      <c r="BE23" s="1951"/>
      <c r="BF23" s="1951"/>
      <c r="BG23" s="1951"/>
      <c r="BH23" s="1951"/>
      <c r="BI23" s="1951"/>
      <c r="BJ23" s="1951"/>
      <c r="BK23" s="1951"/>
      <c r="BL23" s="1951"/>
      <c r="BM23" s="1951"/>
      <c r="BN23" s="1951"/>
      <c r="BO23" s="1951"/>
      <c r="BP23" s="1951"/>
    </row>
    <row r="24" spans="1:138" ht="12" hidden="1" customHeight="1" outlineLevel="1" x14ac:dyDescent="0.2">
      <c r="C24" s="1946"/>
      <c r="D24" s="1946"/>
      <c r="E24" s="1946"/>
      <c r="F24" s="1946"/>
      <c r="G24" s="1946"/>
      <c r="H24" s="1946"/>
      <c r="I24" s="1946"/>
      <c r="J24" s="1946"/>
      <c r="K24" s="1946"/>
      <c r="L24" s="1946"/>
      <c r="M24" s="1946"/>
      <c r="N24" s="1946"/>
      <c r="O24" s="1946"/>
      <c r="P24" s="1946"/>
      <c r="Q24" s="1946"/>
      <c r="R24" s="1946"/>
      <c r="S24" s="1946"/>
      <c r="T24" s="1946"/>
      <c r="U24" s="1946"/>
      <c r="V24" s="1946"/>
      <c r="W24" s="1946"/>
      <c r="X24" s="1946"/>
      <c r="Y24" s="1946"/>
      <c r="Z24" s="1946"/>
      <c r="AA24" s="1946"/>
      <c r="AB24" s="1946"/>
      <c r="AC24" s="1946"/>
      <c r="AD24" s="1946"/>
      <c r="AE24" s="1946"/>
      <c r="AK24" s="1946"/>
      <c r="AL24" s="1946"/>
      <c r="AQ24" s="1946"/>
      <c r="AR24" s="1946"/>
      <c r="AT24" s="1946"/>
      <c r="AU24" s="1946"/>
      <c r="AV24" s="1946"/>
      <c r="AW24" s="1946"/>
      <c r="AY24" s="1946"/>
      <c r="BA24" s="1948"/>
      <c r="BB24" s="1948"/>
      <c r="BC24" s="1952"/>
      <c r="BD24" s="1952"/>
      <c r="BE24" s="1952"/>
      <c r="BF24" s="1952"/>
      <c r="BG24" s="1952"/>
      <c r="BH24" s="1952"/>
      <c r="BI24" s="1952"/>
      <c r="BJ24" s="1952"/>
      <c r="BK24" s="1952"/>
      <c r="BL24" s="1952"/>
      <c r="BM24" s="1952"/>
      <c r="BN24" s="1952"/>
      <c r="BO24" s="1952"/>
      <c r="BP24" s="1952"/>
      <c r="BQ24" s="1952"/>
      <c r="BR24" s="1952"/>
      <c r="BS24" s="1952"/>
      <c r="BT24" s="1952"/>
      <c r="BU24" s="1952"/>
      <c r="BV24" s="1952"/>
      <c r="BW24" s="1952"/>
      <c r="BX24" s="1952"/>
      <c r="BY24" s="1952"/>
      <c r="BZ24" s="1952"/>
      <c r="CA24" s="1952"/>
      <c r="CB24" s="1952"/>
      <c r="CC24" s="1952"/>
      <c r="CD24" s="1952"/>
      <c r="CE24" s="1952"/>
      <c r="CF24" s="1952"/>
      <c r="CG24" s="1952"/>
      <c r="CH24" s="1952"/>
      <c r="CI24" s="1952"/>
      <c r="CJ24" s="1952"/>
      <c r="CK24" s="1952"/>
      <c r="CL24" s="1952"/>
      <c r="CM24" s="1952"/>
      <c r="CN24" s="1952"/>
      <c r="CO24" s="1952"/>
      <c r="CP24" s="1952"/>
      <c r="CQ24" s="1952"/>
      <c r="CR24" s="1952"/>
      <c r="CS24" s="1952"/>
      <c r="CT24" s="1952"/>
      <c r="CU24" s="1952"/>
      <c r="CV24" s="1952"/>
      <c r="CW24" s="1952"/>
      <c r="CX24" s="1952"/>
      <c r="CY24" s="1952"/>
      <c r="CZ24" s="1952"/>
      <c r="DA24" s="1952"/>
      <c r="DB24" s="1952"/>
      <c r="DC24" s="1952"/>
      <c r="DD24" s="1952"/>
      <c r="DE24" s="1952"/>
      <c r="DF24" s="1952"/>
    </row>
    <row r="25" spans="1:138" s="1946" customFormat="1" ht="12" hidden="1" customHeight="1" outlineLevel="1" x14ac:dyDescent="0.2">
      <c r="A25" s="1953"/>
      <c r="B25" s="1953"/>
      <c r="D25" s="1948"/>
      <c r="F25" s="1948"/>
      <c r="G25" s="1948"/>
      <c r="I25" s="1948"/>
      <c r="AF25" s="1953"/>
      <c r="AG25" s="1953"/>
      <c r="AH25" s="1953"/>
      <c r="AI25" s="1953"/>
      <c r="AJ25" s="1953"/>
      <c r="AL25" s="1948"/>
      <c r="AM25" s="1953"/>
      <c r="AN25" s="1953"/>
      <c r="AO25" s="1953"/>
      <c r="AP25" s="1953"/>
      <c r="AR25" s="1948"/>
      <c r="AS25" s="1953"/>
      <c r="AU25" s="1948"/>
      <c r="AW25" s="1948"/>
      <c r="AX25" s="1953"/>
      <c r="AZ25" s="1953"/>
      <c r="BA25" s="1948"/>
      <c r="BC25" s="1948"/>
      <c r="BE25" s="1948"/>
      <c r="BG25" s="1948"/>
      <c r="BI25" s="1948"/>
      <c r="BK25" s="1948"/>
      <c r="BM25" s="1948"/>
      <c r="BO25" s="1948"/>
      <c r="BQ25" s="1948"/>
      <c r="BR25" s="1948"/>
      <c r="BS25" s="1948"/>
      <c r="BT25" s="1948"/>
      <c r="BU25" s="1948"/>
      <c r="BV25" s="1948"/>
      <c r="BW25" s="1948"/>
      <c r="BX25" s="1948"/>
      <c r="BY25" s="1948"/>
      <c r="BZ25" s="1948"/>
      <c r="CA25" s="1948"/>
      <c r="CB25" s="1948"/>
      <c r="CC25" s="1948"/>
      <c r="CD25" s="1948"/>
      <c r="CE25" s="1948"/>
      <c r="CF25" s="1948"/>
      <c r="CG25" s="1948"/>
      <c r="CH25" s="1948"/>
    </row>
    <row r="26" spans="1:138" s="1946" customFormat="1" ht="12" hidden="1" customHeight="1" outlineLevel="1" x14ac:dyDescent="0.2">
      <c r="D26" s="1948"/>
      <c r="F26" s="1948"/>
      <c r="G26" s="1948"/>
      <c r="I26" s="1948"/>
      <c r="AL26" s="1948"/>
      <c r="AR26" s="1948"/>
      <c r="AU26" s="1948"/>
      <c r="AW26" s="1948"/>
      <c r="BA26" s="1948"/>
      <c r="BB26" s="1948"/>
      <c r="BC26" s="1948"/>
      <c r="BD26" s="1948"/>
      <c r="BE26" s="1948"/>
      <c r="BF26" s="1948"/>
      <c r="BG26" s="1948"/>
      <c r="BH26" s="1948"/>
      <c r="BI26" s="1948"/>
      <c r="BJ26" s="1948"/>
      <c r="BK26" s="1948"/>
      <c r="BL26" s="1948"/>
      <c r="BM26" s="1948"/>
      <c r="BN26" s="1948"/>
      <c r="BO26" s="1948"/>
      <c r="BP26" s="1948"/>
      <c r="BQ26" s="1948"/>
      <c r="BS26" s="1948"/>
      <c r="BT26" s="1948"/>
      <c r="BU26" s="1948"/>
      <c r="BV26" s="1948"/>
      <c r="BW26" s="1948"/>
      <c r="BX26" s="1948"/>
      <c r="BY26" s="1948"/>
      <c r="BZ26" s="1948"/>
      <c r="CA26" s="1948"/>
      <c r="CB26" s="1948"/>
      <c r="CC26" s="1948"/>
      <c r="CD26" s="1948"/>
      <c r="CE26" s="1948"/>
      <c r="CF26" s="1948"/>
      <c r="CG26" s="1948"/>
      <c r="CH26" s="1948"/>
    </row>
    <row r="27" spans="1:138" s="1946" customFormat="1" ht="12" hidden="1" customHeight="1" outlineLevel="1" x14ac:dyDescent="0.2">
      <c r="A27" s="1951" t="s">
        <v>724</v>
      </c>
      <c r="B27" s="1952" t="s">
        <v>724</v>
      </c>
      <c r="C27" s="1948"/>
      <c r="D27" s="1948"/>
      <c r="E27" s="1948"/>
      <c r="F27" s="1948"/>
      <c r="G27" s="1948"/>
      <c r="H27" s="1948"/>
      <c r="I27" s="1948"/>
      <c r="J27" s="1948"/>
      <c r="K27" s="1948"/>
      <c r="L27" s="1948"/>
      <c r="M27" s="1948"/>
      <c r="N27" s="1948"/>
      <c r="O27" s="1948"/>
      <c r="P27" s="1948"/>
      <c r="Q27" s="1948"/>
      <c r="R27" s="1948"/>
      <c r="S27" s="1948"/>
      <c r="T27" s="1948"/>
      <c r="U27" s="1948"/>
      <c r="V27" s="1948"/>
      <c r="W27" s="1948"/>
      <c r="X27" s="1948"/>
      <c r="Y27" s="1948"/>
      <c r="Z27" s="1948"/>
      <c r="AA27" s="1948"/>
      <c r="AB27" s="1948"/>
      <c r="AC27" s="1948"/>
      <c r="AD27" s="1948"/>
      <c r="AE27" s="1948"/>
      <c r="AF27" s="1952"/>
      <c r="AG27" s="1952"/>
      <c r="AH27" s="1952"/>
      <c r="AI27" s="1952"/>
      <c r="AJ27" s="1952"/>
      <c r="AK27" s="1948"/>
      <c r="AL27" s="1948"/>
      <c r="AM27" s="1952"/>
      <c r="AN27" s="1952"/>
      <c r="AO27" s="1952"/>
      <c r="AP27" s="1952"/>
      <c r="AQ27" s="1948"/>
      <c r="AR27" s="1948"/>
      <c r="AS27" s="1952"/>
      <c r="AT27" s="1948"/>
      <c r="AU27" s="1948"/>
      <c r="AV27" s="1948"/>
      <c r="AW27" s="1948"/>
      <c r="AX27" s="1952"/>
      <c r="AY27" s="1948"/>
      <c r="AZ27" s="1952"/>
      <c r="BA27" s="1948"/>
      <c r="BB27" s="1948"/>
      <c r="BC27" s="1948"/>
      <c r="BD27" s="1948"/>
      <c r="BE27" s="1948"/>
      <c r="BF27" s="1948"/>
      <c r="BG27" s="1948"/>
      <c r="BH27" s="1948"/>
      <c r="BI27" s="1948"/>
      <c r="BJ27" s="1948"/>
      <c r="BK27" s="1948"/>
      <c r="BL27" s="1948"/>
      <c r="BM27" s="1948"/>
      <c r="BN27" s="1948"/>
      <c r="BO27" s="1948"/>
      <c r="BP27" s="1948"/>
      <c r="BQ27" s="1948"/>
      <c r="BR27" s="1948"/>
      <c r="BS27" s="1948"/>
      <c r="BT27" s="1948"/>
      <c r="BU27" s="1948"/>
      <c r="BV27" s="1948"/>
      <c r="BW27" s="1948"/>
      <c r="BX27" s="1948"/>
      <c r="BY27" s="1948"/>
      <c r="BZ27" s="1948"/>
      <c r="CA27" s="1948"/>
      <c r="CB27" s="1948"/>
      <c r="CC27" s="1948"/>
      <c r="CD27" s="1948"/>
      <c r="CE27" s="1948"/>
      <c r="CF27" s="1948"/>
      <c r="CG27" s="1948"/>
      <c r="CH27" s="1948"/>
      <c r="CI27" s="1947"/>
      <c r="CJ27" s="1947"/>
      <c r="CK27" s="1947"/>
      <c r="CL27" s="1947"/>
      <c r="CM27" s="1947"/>
      <c r="CN27" s="1947"/>
      <c r="CO27" s="1947"/>
      <c r="CP27" s="1947"/>
      <c r="CQ27" s="1947"/>
      <c r="CR27" s="1947"/>
      <c r="CS27" s="1947"/>
      <c r="CT27" s="1947"/>
      <c r="CU27" s="1947"/>
      <c r="CV27" s="1947"/>
      <c r="CW27" s="1947"/>
      <c r="CX27" s="1947"/>
      <c r="CY27" s="1947"/>
      <c r="CZ27" s="1947"/>
      <c r="DA27" s="1947"/>
      <c r="DB27" s="1947"/>
      <c r="DC27" s="1947"/>
      <c r="DD27" s="1947"/>
      <c r="DE27" s="1947"/>
      <c r="DF27" s="1947"/>
      <c r="DG27" s="1947"/>
      <c r="DH27" s="1947"/>
      <c r="DI27" s="1947"/>
      <c r="DJ27" s="1947"/>
      <c r="DK27" s="1947"/>
      <c r="DL27" s="1947"/>
      <c r="DM27" s="1947"/>
      <c r="DN27" s="1947"/>
      <c r="DO27" s="1947"/>
      <c r="DP27" s="1947"/>
      <c r="DQ27" s="1947"/>
      <c r="DR27" s="1947"/>
      <c r="DS27" s="1947"/>
      <c r="DT27" s="1947"/>
      <c r="DU27" s="1947"/>
      <c r="DV27" s="1947"/>
      <c r="DW27" s="1947"/>
      <c r="DX27" s="1947"/>
      <c r="DY27" s="1947"/>
      <c r="DZ27" s="1947"/>
      <c r="EA27" s="1947"/>
      <c r="EB27" s="1947"/>
      <c r="EC27" s="1947"/>
      <c r="ED27" s="1947"/>
      <c r="EE27" s="1947"/>
      <c r="EF27" s="1947"/>
      <c r="EG27" s="1947"/>
      <c r="EH27" s="1947"/>
    </row>
    <row r="28" spans="1:138" s="1946" customFormat="1" ht="12" hidden="1" customHeight="1" outlineLevel="1" x14ac:dyDescent="0.2">
      <c r="A28" s="1951" t="s">
        <v>883</v>
      </c>
      <c r="B28" s="1952" t="s">
        <v>884</v>
      </c>
      <c r="C28" s="1948"/>
      <c r="D28" s="1948"/>
      <c r="E28" s="1948"/>
      <c r="F28" s="1948"/>
      <c r="G28" s="1948"/>
      <c r="H28" s="1948"/>
      <c r="I28" s="1948"/>
      <c r="J28" s="1948"/>
      <c r="K28" s="1948"/>
      <c r="L28" s="1948"/>
      <c r="M28" s="1948"/>
      <c r="N28" s="1948"/>
      <c r="O28" s="1948"/>
      <c r="P28" s="1948"/>
      <c r="Q28" s="1948"/>
      <c r="R28" s="1948"/>
      <c r="S28" s="1948"/>
      <c r="T28" s="1948"/>
      <c r="U28" s="1948"/>
      <c r="V28" s="1948"/>
      <c r="W28" s="1948"/>
      <c r="X28" s="1948"/>
      <c r="Y28" s="1948"/>
      <c r="Z28" s="1948"/>
      <c r="AA28" s="1948"/>
      <c r="AB28" s="1948"/>
      <c r="AC28" s="1948"/>
      <c r="AD28" s="1948"/>
      <c r="AE28" s="1948"/>
      <c r="AF28" s="1952"/>
      <c r="AG28" s="1952"/>
      <c r="AH28" s="1952"/>
      <c r="AI28" s="1952"/>
      <c r="AJ28" s="1952"/>
      <c r="AK28" s="1948"/>
      <c r="AL28" s="1948"/>
      <c r="AM28" s="1952"/>
      <c r="AN28" s="1952"/>
      <c r="AO28" s="1952"/>
      <c r="AP28" s="1952"/>
      <c r="AQ28" s="1948"/>
      <c r="AR28" s="1948"/>
      <c r="AS28" s="1952"/>
      <c r="AT28" s="1948"/>
      <c r="AU28" s="1948"/>
      <c r="AV28" s="1948"/>
      <c r="AW28" s="1948"/>
      <c r="AX28" s="1952"/>
      <c r="AY28" s="1948"/>
      <c r="AZ28" s="1952"/>
      <c r="BA28" s="1948"/>
      <c r="BB28" s="1948"/>
      <c r="BC28" s="1948"/>
      <c r="BD28" s="1948"/>
      <c r="BE28" s="1948"/>
      <c r="BF28" s="1948"/>
      <c r="BG28" s="1948"/>
      <c r="BH28" s="1948"/>
      <c r="BI28" s="1948"/>
      <c r="BJ28" s="1948"/>
      <c r="BK28" s="1948"/>
      <c r="BL28" s="1948"/>
      <c r="BM28" s="1948"/>
      <c r="BN28" s="1948"/>
      <c r="BO28" s="1948"/>
      <c r="BP28" s="1948"/>
      <c r="BQ28" s="1948"/>
      <c r="BR28" s="1948"/>
      <c r="BS28" s="1948"/>
      <c r="BT28" s="1948"/>
      <c r="BU28" s="1948"/>
      <c r="BV28" s="1948"/>
      <c r="BW28" s="1948"/>
      <c r="BX28" s="1948"/>
      <c r="BY28" s="1948"/>
      <c r="BZ28" s="1948"/>
      <c r="CA28" s="1948"/>
      <c r="CB28" s="1948"/>
      <c r="CC28" s="1948"/>
      <c r="CD28" s="1948"/>
      <c r="CE28" s="1948"/>
      <c r="CF28" s="1948"/>
      <c r="CG28" s="1948"/>
      <c r="CH28" s="1948"/>
      <c r="CI28" s="1947"/>
      <c r="CJ28" s="1947"/>
      <c r="CK28" s="1947"/>
      <c r="CL28" s="1947"/>
      <c r="CM28" s="1947"/>
      <c r="CN28" s="1947"/>
      <c r="CO28" s="1947"/>
      <c r="CP28" s="1947"/>
      <c r="CQ28" s="1947"/>
      <c r="CR28" s="1947"/>
      <c r="CS28" s="1947"/>
      <c r="CT28" s="1947"/>
      <c r="CU28" s="1947"/>
      <c r="CV28" s="1947"/>
      <c r="CW28" s="1947"/>
      <c r="CX28" s="1947"/>
      <c r="CY28" s="1947"/>
      <c r="CZ28" s="1947"/>
      <c r="DA28" s="1947"/>
      <c r="DB28" s="1947"/>
      <c r="DC28" s="1947"/>
      <c r="DD28" s="1947"/>
      <c r="DE28" s="1947"/>
      <c r="DF28" s="1947"/>
      <c r="DG28" s="1947"/>
      <c r="DH28" s="1947"/>
      <c r="DI28" s="1947"/>
      <c r="DJ28" s="1947"/>
      <c r="DK28" s="1947"/>
      <c r="DL28" s="1947"/>
      <c r="DM28" s="1947"/>
      <c r="DN28" s="1947"/>
      <c r="DO28" s="1947"/>
      <c r="DP28" s="1947"/>
      <c r="DQ28" s="1947"/>
      <c r="DR28" s="1947"/>
      <c r="DS28" s="1947"/>
      <c r="DT28" s="1947"/>
      <c r="DU28" s="1947"/>
      <c r="DV28" s="1947"/>
      <c r="DW28" s="1947"/>
      <c r="DX28" s="1947"/>
      <c r="DY28" s="1947"/>
      <c r="DZ28" s="1947"/>
      <c r="EA28" s="1947"/>
      <c r="EB28" s="1947"/>
      <c r="EC28" s="1947"/>
      <c r="ED28" s="1947"/>
      <c r="EE28" s="1947"/>
      <c r="EF28" s="1947"/>
      <c r="EG28" s="1947"/>
      <c r="EH28" s="1947"/>
    </row>
    <row r="29" spans="1:138" s="1946" customFormat="1" ht="12" hidden="1" customHeight="1" outlineLevel="1" x14ac:dyDescent="0.2">
      <c r="A29" s="1951" t="s">
        <v>885</v>
      </c>
      <c r="B29" s="1952" t="s">
        <v>2264</v>
      </c>
      <c r="C29" s="1948"/>
      <c r="D29" s="1948"/>
      <c r="E29" s="1948"/>
      <c r="F29" s="1948"/>
      <c r="G29" s="1948"/>
      <c r="H29" s="1948"/>
      <c r="I29" s="1948"/>
      <c r="J29" s="1948"/>
      <c r="K29" s="1948"/>
      <c r="L29" s="1948"/>
      <c r="M29" s="1948"/>
      <c r="N29" s="1948"/>
      <c r="O29" s="1948"/>
      <c r="P29" s="1948"/>
      <c r="Q29" s="1948"/>
      <c r="R29" s="1948"/>
      <c r="S29" s="1948"/>
      <c r="T29" s="1948"/>
      <c r="U29" s="1948"/>
      <c r="V29" s="1948"/>
      <c r="W29" s="1948"/>
      <c r="X29" s="1948"/>
      <c r="Y29" s="1948"/>
      <c r="Z29" s="1948"/>
      <c r="AA29" s="1948"/>
      <c r="AB29" s="1948"/>
      <c r="AC29" s="1948"/>
      <c r="AD29" s="1948"/>
      <c r="AE29" s="1948"/>
      <c r="AF29" s="1952"/>
      <c r="AG29" s="1952"/>
      <c r="AH29" s="1952"/>
      <c r="AI29" s="1952"/>
      <c r="AJ29" s="1952"/>
      <c r="AK29" s="1948"/>
      <c r="AL29" s="1948"/>
      <c r="AM29" s="1952"/>
      <c r="AN29" s="1952"/>
      <c r="AO29" s="1952"/>
      <c r="AP29" s="1952"/>
      <c r="AQ29" s="1948"/>
      <c r="AR29" s="1948"/>
      <c r="AS29" s="1952"/>
      <c r="AT29" s="1948"/>
      <c r="AU29" s="1948"/>
      <c r="AV29" s="1948"/>
      <c r="AW29" s="1948"/>
      <c r="AX29" s="1952"/>
      <c r="AY29" s="1948"/>
      <c r="AZ29" s="1952"/>
      <c r="BA29" s="1948"/>
      <c r="BB29" s="1948"/>
      <c r="BC29" s="1948"/>
      <c r="BD29" s="1948"/>
      <c r="BE29" s="1948"/>
      <c r="BF29" s="1948"/>
      <c r="BG29" s="1948"/>
      <c r="BH29" s="1948"/>
      <c r="BI29" s="1948"/>
      <c r="BJ29" s="1948"/>
      <c r="BK29" s="1948"/>
      <c r="BL29" s="1948"/>
      <c r="BM29" s="1948"/>
      <c r="BN29" s="1948"/>
      <c r="BO29" s="1948"/>
      <c r="BP29" s="1948"/>
      <c r="BQ29" s="1948"/>
      <c r="BR29" s="1948"/>
      <c r="BS29" s="1948"/>
      <c r="BT29" s="1948"/>
      <c r="BU29" s="1948"/>
      <c r="BV29" s="1948"/>
      <c r="BW29" s="1948"/>
      <c r="BX29" s="1948"/>
      <c r="BY29" s="1948"/>
      <c r="BZ29" s="1948"/>
      <c r="CA29" s="1948"/>
      <c r="CB29" s="1948"/>
      <c r="CC29" s="1948"/>
      <c r="CD29" s="1948"/>
      <c r="CE29" s="1948"/>
      <c r="CF29" s="1948"/>
      <c r="CG29" s="1948"/>
      <c r="CH29" s="1948"/>
      <c r="CI29" s="1947"/>
      <c r="CJ29" s="1947"/>
      <c r="CK29" s="1947"/>
      <c r="CL29" s="1947"/>
      <c r="CM29" s="1947"/>
      <c r="CN29" s="1947"/>
      <c r="CO29" s="1947"/>
      <c r="CP29" s="1947"/>
      <c r="CQ29" s="1947"/>
      <c r="CR29" s="1947"/>
      <c r="CS29" s="1947"/>
      <c r="CT29" s="1947"/>
      <c r="CU29" s="1947"/>
      <c r="CV29" s="1947"/>
      <c r="CW29" s="1947"/>
      <c r="CX29" s="1947"/>
      <c r="CY29" s="1947"/>
      <c r="CZ29" s="1947"/>
      <c r="DA29" s="1947"/>
      <c r="DB29" s="1947"/>
      <c r="DC29" s="1947"/>
      <c r="DD29" s="1947"/>
      <c r="DE29" s="1947"/>
      <c r="DF29" s="1947"/>
      <c r="DG29" s="1947"/>
      <c r="DH29" s="1947"/>
      <c r="DI29" s="1947"/>
      <c r="DJ29" s="1947"/>
      <c r="DK29" s="1947"/>
      <c r="DL29" s="1947"/>
      <c r="DM29" s="1947"/>
      <c r="DN29" s="1947"/>
      <c r="DO29" s="1947"/>
      <c r="DP29" s="1947"/>
      <c r="DQ29" s="1947"/>
      <c r="DR29" s="1947"/>
      <c r="DS29" s="1947"/>
      <c r="DT29" s="1947"/>
      <c r="DU29" s="1947"/>
      <c r="DV29" s="1947"/>
      <c r="DW29" s="1947"/>
      <c r="DX29" s="1947"/>
      <c r="DY29" s="1947"/>
      <c r="DZ29" s="1947"/>
      <c r="EA29" s="1947"/>
      <c r="EB29" s="1947"/>
      <c r="EC29" s="1947"/>
      <c r="ED29" s="1947"/>
      <c r="EE29" s="1947"/>
      <c r="EF29" s="1947"/>
      <c r="EG29" s="1947"/>
      <c r="EH29" s="1947"/>
    </row>
    <row r="30" spans="1:138" s="1946" customFormat="1" ht="12" hidden="1" customHeight="1" outlineLevel="1" x14ac:dyDescent="0.2">
      <c r="A30" s="1951" t="s">
        <v>886</v>
      </c>
      <c r="B30" s="1952" t="s">
        <v>2265</v>
      </c>
      <c r="C30" s="1948"/>
      <c r="D30" s="1948"/>
      <c r="E30" s="1948"/>
      <c r="F30" s="1948"/>
      <c r="G30" s="1948"/>
      <c r="H30" s="1948"/>
      <c r="I30" s="1948"/>
      <c r="J30" s="1948"/>
      <c r="K30" s="1948"/>
      <c r="L30" s="1948"/>
      <c r="M30" s="1948"/>
      <c r="N30" s="1948"/>
      <c r="O30" s="1948"/>
      <c r="P30" s="1948"/>
      <c r="Q30" s="1948"/>
      <c r="R30" s="1948"/>
      <c r="S30" s="1948"/>
      <c r="T30" s="1948"/>
      <c r="U30" s="1948"/>
      <c r="V30" s="1948"/>
      <c r="W30" s="1948"/>
      <c r="X30" s="1948"/>
      <c r="Y30" s="1948"/>
      <c r="Z30" s="1948"/>
      <c r="AA30" s="1948"/>
      <c r="AB30" s="1948"/>
      <c r="AC30" s="1948"/>
      <c r="AD30" s="1948"/>
      <c r="AE30" s="1948"/>
      <c r="AF30" s="1952"/>
      <c r="AG30" s="1952"/>
      <c r="AH30" s="1952"/>
      <c r="AI30" s="1952"/>
      <c r="AJ30" s="1952"/>
      <c r="AK30" s="1948"/>
      <c r="AL30" s="1948"/>
      <c r="AM30" s="1952"/>
      <c r="AN30" s="1952"/>
      <c r="AO30" s="1952"/>
      <c r="AP30" s="1952"/>
      <c r="AQ30" s="1948"/>
      <c r="AR30" s="1948"/>
      <c r="AS30" s="1952"/>
      <c r="AT30" s="1948"/>
      <c r="AU30" s="1948"/>
      <c r="AV30" s="1948"/>
      <c r="AW30" s="1948"/>
      <c r="AX30" s="1952"/>
      <c r="AY30" s="1948"/>
      <c r="AZ30" s="1952"/>
      <c r="BA30" s="1948"/>
      <c r="BB30" s="1948"/>
      <c r="BC30" s="1948"/>
      <c r="BD30" s="1948"/>
      <c r="BE30" s="1948"/>
      <c r="BF30" s="1948"/>
      <c r="BG30" s="1948"/>
      <c r="BH30" s="1948"/>
      <c r="BI30" s="1948"/>
      <c r="BJ30" s="1948"/>
      <c r="BK30" s="1948"/>
      <c r="BL30" s="1948"/>
      <c r="BM30" s="1948"/>
      <c r="BN30" s="1948"/>
      <c r="BO30" s="1948"/>
      <c r="BP30" s="1948"/>
      <c r="BQ30" s="1948"/>
      <c r="BR30" s="1948"/>
      <c r="BS30" s="1948"/>
      <c r="BT30" s="1948"/>
      <c r="BU30" s="1948"/>
      <c r="BV30" s="1948"/>
      <c r="BW30" s="1948"/>
      <c r="BX30" s="1948"/>
      <c r="BY30" s="1948"/>
      <c r="BZ30" s="1948"/>
      <c r="CA30" s="1948"/>
      <c r="CB30" s="1948"/>
      <c r="CC30" s="1948"/>
      <c r="CD30" s="1948"/>
      <c r="CE30" s="1948"/>
      <c r="CF30" s="1948"/>
      <c r="CG30" s="1948"/>
      <c r="CH30" s="1948"/>
      <c r="CI30" s="1947"/>
      <c r="CJ30" s="1947"/>
      <c r="CK30" s="1947"/>
      <c r="CL30" s="1947"/>
      <c r="CM30" s="1947"/>
      <c r="CN30" s="1947"/>
      <c r="CO30" s="1947"/>
      <c r="CP30" s="1947"/>
      <c r="CQ30" s="1947"/>
      <c r="CR30" s="1947"/>
      <c r="CS30" s="1947"/>
      <c r="CT30" s="1947"/>
      <c r="CU30" s="1947"/>
      <c r="CV30" s="1947"/>
      <c r="CW30" s="1947"/>
      <c r="CX30" s="1947"/>
      <c r="CY30" s="1947"/>
      <c r="CZ30" s="1947"/>
      <c r="DA30" s="1947"/>
      <c r="DB30" s="1947"/>
      <c r="DC30" s="1947"/>
      <c r="DD30" s="1947"/>
      <c r="DE30" s="1947"/>
      <c r="DF30" s="1947"/>
      <c r="DG30" s="1947"/>
      <c r="DH30" s="1947"/>
      <c r="DI30" s="1947"/>
      <c r="DJ30" s="1947"/>
      <c r="DK30" s="1947"/>
      <c r="DL30" s="1947"/>
      <c r="DM30" s="1947"/>
      <c r="DN30" s="1947"/>
      <c r="DO30" s="1947"/>
      <c r="DP30" s="1947"/>
      <c r="DQ30" s="1947"/>
      <c r="DR30" s="1947"/>
      <c r="DS30" s="1947"/>
      <c r="DT30" s="1947"/>
      <c r="DU30" s="1947"/>
      <c r="DV30" s="1947"/>
      <c r="DW30" s="1947"/>
      <c r="DX30" s="1947"/>
      <c r="DY30" s="1947"/>
      <c r="DZ30" s="1947"/>
      <c r="EA30" s="1947"/>
      <c r="EB30" s="1947"/>
      <c r="EC30" s="1947"/>
      <c r="ED30" s="1947"/>
      <c r="EE30" s="1947"/>
      <c r="EF30" s="1947"/>
      <c r="EG30" s="1947"/>
      <c r="EH30" s="1947"/>
    </row>
    <row r="31" spans="1:138" s="1946" customFormat="1" ht="12" hidden="1" customHeight="1" outlineLevel="1" x14ac:dyDescent="0.2">
      <c r="A31" s="1951" t="s">
        <v>888</v>
      </c>
      <c r="B31" s="1952" t="s">
        <v>889</v>
      </c>
      <c r="C31" s="1948"/>
      <c r="D31" s="1948"/>
      <c r="E31" s="1948"/>
      <c r="F31" s="1948"/>
      <c r="G31" s="1948"/>
      <c r="H31" s="1948"/>
      <c r="I31" s="1948"/>
      <c r="J31" s="1948"/>
      <c r="K31" s="1948"/>
      <c r="L31" s="1948"/>
      <c r="M31" s="1948"/>
      <c r="N31" s="1948"/>
      <c r="O31" s="1948"/>
      <c r="P31" s="1948"/>
      <c r="Q31" s="1948"/>
      <c r="R31" s="1948"/>
      <c r="S31" s="1948"/>
      <c r="T31" s="1948"/>
      <c r="U31" s="1948"/>
      <c r="V31" s="1948"/>
      <c r="W31" s="1948"/>
      <c r="X31" s="1948"/>
      <c r="Y31" s="1948"/>
      <c r="Z31" s="1948"/>
      <c r="AA31" s="1948"/>
      <c r="AB31" s="1948"/>
      <c r="AC31" s="1948"/>
      <c r="AD31" s="1948"/>
      <c r="AE31" s="1948"/>
      <c r="AF31" s="1952"/>
      <c r="AG31" s="1952"/>
      <c r="AH31" s="1952"/>
      <c r="AI31" s="1952"/>
      <c r="AJ31" s="1952"/>
      <c r="AK31" s="1948"/>
      <c r="AL31" s="1948"/>
      <c r="AM31" s="1952"/>
      <c r="AN31" s="1952"/>
      <c r="AO31" s="1952"/>
      <c r="AP31" s="1952"/>
      <c r="AQ31" s="1948"/>
      <c r="AR31" s="1948"/>
      <c r="AS31" s="1952"/>
      <c r="AT31" s="1948"/>
      <c r="AU31" s="1948"/>
      <c r="AV31" s="1948"/>
      <c r="AW31" s="1948"/>
      <c r="AX31" s="1952"/>
      <c r="AY31" s="1948"/>
      <c r="AZ31" s="1952"/>
      <c r="BA31" s="1948"/>
      <c r="BB31" s="1948"/>
      <c r="BC31" s="1948"/>
      <c r="BD31" s="1948"/>
      <c r="BE31" s="1948"/>
      <c r="BF31" s="1948"/>
      <c r="BG31" s="1948"/>
      <c r="BH31" s="1948"/>
      <c r="BI31" s="1948"/>
      <c r="BJ31" s="1948"/>
      <c r="BK31" s="1948"/>
      <c r="BL31" s="1948"/>
      <c r="BM31" s="1948"/>
      <c r="BN31" s="1948"/>
      <c r="BO31" s="1948"/>
      <c r="BP31" s="1948"/>
      <c r="BQ31" s="1948"/>
      <c r="BR31" s="1948"/>
      <c r="BS31" s="1948"/>
      <c r="BT31" s="1948"/>
      <c r="BU31" s="1948"/>
      <c r="BV31" s="1948"/>
      <c r="BW31" s="1948"/>
      <c r="BX31" s="1948"/>
      <c r="BY31" s="1948"/>
      <c r="BZ31" s="1948"/>
      <c r="CA31" s="1948"/>
      <c r="CB31" s="1948"/>
      <c r="CC31" s="1948"/>
      <c r="CD31" s="1948"/>
      <c r="CE31" s="1948"/>
      <c r="CF31" s="1948"/>
      <c r="CG31" s="1948"/>
      <c r="CH31" s="1948"/>
      <c r="CI31" s="1947"/>
      <c r="CJ31" s="1947"/>
      <c r="CK31" s="1947"/>
      <c r="CL31" s="1947"/>
      <c r="CM31" s="1947"/>
      <c r="CN31" s="1947"/>
      <c r="CO31" s="1947"/>
      <c r="CP31" s="1947"/>
      <c r="CQ31" s="1947"/>
      <c r="CR31" s="1947"/>
      <c r="CS31" s="1947"/>
      <c r="CT31" s="1947"/>
      <c r="CU31" s="1947"/>
      <c r="CV31" s="1947"/>
      <c r="CW31" s="1947"/>
      <c r="CX31" s="1947"/>
      <c r="CY31" s="1947"/>
      <c r="CZ31" s="1947"/>
      <c r="DA31" s="1947"/>
      <c r="DB31" s="1947"/>
      <c r="DC31" s="1947"/>
      <c r="DD31" s="1947"/>
      <c r="DE31" s="1947"/>
      <c r="DF31" s="1947"/>
      <c r="DG31" s="1947"/>
      <c r="DH31" s="1947"/>
      <c r="DI31" s="1947"/>
      <c r="DJ31" s="1947"/>
      <c r="DK31" s="1947"/>
      <c r="DL31" s="1947"/>
      <c r="DM31" s="1947"/>
      <c r="DN31" s="1947"/>
      <c r="DO31" s="1947"/>
      <c r="DP31" s="1947"/>
      <c r="DQ31" s="1947"/>
      <c r="DR31" s="1947"/>
      <c r="DS31" s="1947"/>
      <c r="DT31" s="1947"/>
      <c r="DU31" s="1947"/>
      <c r="DV31" s="1947"/>
      <c r="DW31" s="1947"/>
      <c r="DX31" s="1947"/>
      <c r="DY31" s="1947"/>
      <c r="DZ31" s="1947"/>
      <c r="EA31" s="1947"/>
      <c r="EB31" s="1947"/>
      <c r="EC31" s="1947"/>
      <c r="ED31" s="1947"/>
      <c r="EE31" s="1947"/>
      <c r="EF31" s="1947"/>
      <c r="EG31" s="1947"/>
      <c r="EH31" s="1947"/>
    </row>
    <row r="32" spans="1:138" s="1946" customFormat="1" ht="12" hidden="1" customHeight="1" outlineLevel="1" x14ac:dyDescent="0.2">
      <c r="A32" s="1951" t="s">
        <v>890</v>
      </c>
      <c r="B32" s="1952" t="s">
        <v>724</v>
      </c>
      <c r="C32" s="1948"/>
      <c r="D32" s="1948"/>
      <c r="E32" s="1948"/>
      <c r="F32" s="1948"/>
      <c r="G32" s="1948"/>
      <c r="H32" s="1948"/>
      <c r="I32" s="1948"/>
      <c r="J32" s="1948"/>
      <c r="K32" s="1948"/>
      <c r="L32" s="1948"/>
      <c r="M32" s="1948"/>
      <c r="N32" s="1948"/>
      <c r="O32" s="1948"/>
      <c r="P32" s="1948"/>
      <c r="Q32" s="1948"/>
      <c r="R32" s="1948"/>
      <c r="S32" s="1948"/>
      <c r="T32" s="1948"/>
      <c r="U32" s="1948"/>
      <c r="V32" s="1948"/>
      <c r="W32" s="1948"/>
      <c r="X32" s="1948"/>
      <c r="Y32" s="1948"/>
      <c r="Z32" s="1948"/>
      <c r="AA32" s="1948"/>
      <c r="AB32" s="1948"/>
      <c r="AC32" s="1948"/>
      <c r="AD32" s="1948"/>
      <c r="AE32" s="1948"/>
      <c r="AF32" s="1952"/>
      <c r="AG32" s="1952"/>
      <c r="AH32" s="1952"/>
      <c r="AI32" s="1952"/>
      <c r="AJ32" s="1952"/>
      <c r="AK32" s="1948"/>
      <c r="AL32" s="1948"/>
      <c r="AM32" s="1952"/>
      <c r="AN32" s="1952"/>
      <c r="AO32" s="1952"/>
      <c r="AP32" s="1952"/>
      <c r="AQ32" s="1948"/>
      <c r="AR32" s="1948"/>
      <c r="AS32" s="1952"/>
      <c r="AT32" s="1948"/>
      <c r="AU32" s="1948"/>
      <c r="AV32" s="1948"/>
      <c r="AW32" s="1948"/>
      <c r="AX32" s="1952"/>
      <c r="AY32" s="1948"/>
      <c r="AZ32" s="1952"/>
      <c r="BA32" s="1948"/>
      <c r="BB32" s="1948"/>
      <c r="BC32" s="1948"/>
      <c r="BD32" s="1948"/>
      <c r="BE32" s="1948"/>
      <c r="BF32" s="1948"/>
      <c r="BG32" s="1948"/>
      <c r="BH32" s="1948"/>
      <c r="BI32" s="1948"/>
      <c r="BJ32" s="1948"/>
      <c r="BK32" s="1948"/>
      <c r="BL32" s="1948"/>
      <c r="BM32" s="1948"/>
      <c r="BN32" s="1948"/>
      <c r="BO32" s="1948"/>
      <c r="BP32" s="1948"/>
      <c r="BQ32" s="1948"/>
      <c r="BR32" s="1948"/>
      <c r="BS32" s="1948"/>
      <c r="BT32" s="1948"/>
      <c r="BU32" s="1948"/>
      <c r="BV32" s="1948"/>
      <c r="BW32" s="1948"/>
      <c r="BX32" s="1948"/>
      <c r="BY32" s="1948"/>
      <c r="BZ32" s="1948"/>
      <c r="CA32" s="1948"/>
      <c r="CB32" s="1948"/>
      <c r="CC32" s="1948"/>
      <c r="CD32" s="1948"/>
      <c r="CE32" s="1948"/>
      <c r="CF32" s="1948"/>
      <c r="CG32" s="1948"/>
      <c r="CH32" s="1948"/>
      <c r="CI32" s="1947"/>
      <c r="CJ32" s="1947"/>
      <c r="CK32" s="1947"/>
      <c r="CL32" s="1947"/>
      <c r="CM32" s="1947"/>
      <c r="CN32" s="1947"/>
      <c r="CO32" s="1947"/>
      <c r="CP32" s="1947"/>
      <c r="CQ32" s="1947"/>
      <c r="CR32" s="1947"/>
      <c r="CS32" s="1947"/>
      <c r="CT32" s="1947"/>
      <c r="CU32" s="1947"/>
      <c r="CV32" s="1947"/>
      <c r="CW32" s="1947"/>
      <c r="CX32" s="1947"/>
      <c r="CY32" s="1947"/>
      <c r="CZ32" s="1947"/>
      <c r="DA32" s="1947"/>
      <c r="DB32" s="1947"/>
      <c r="DC32" s="1947"/>
      <c r="DD32" s="1947"/>
      <c r="DE32" s="1947"/>
      <c r="DF32" s="1947"/>
      <c r="DG32" s="1947"/>
      <c r="DH32" s="1947"/>
      <c r="DI32" s="1947"/>
      <c r="DJ32" s="1947"/>
      <c r="DK32" s="1947"/>
      <c r="DL32" s="1947"/>
      <c r="DM32" s="1947"/>
      <c r="DN32" s="1947"/>
      <c r="DO32" s="1947"/>
      <c r="DP32" s="1947"/>
      <c r="DQ32" s="1947"/>
      <c r="DR32" s="1947"/>
      <c r="DS32" s="1947"/>
      <c r="DT32" s="1947"/>
      <c r="DU32" s="1947"/>
      <c r="DV32" s="1947"/>
      <c r="DW32" s="1947"/>
      <c r="DX32" s="1947"/>
      <c r="DY32" s="1947"/>
      <c r="DZ32" s="1947"/>
      <c r="EA32" s="1947"/>
      <c r="EB32" s="1947"/>
      <c r="EC32" s="1947"/>
      <c r="ED32" s="1947"/>
      <c r="EE32" s="1947"/>
      <c r="EF32" s="1947"/>
      <c r="EG32" s="1947"/>
      <c r="EH32" s="1947"/>
    </row>
    <row r="33" spans="1:138" s="1946" customFormat="1" ht="12" hidden="1" customHeight="1" outlineLevel="1" x14ac:dyDescent="0.2">
      <c r="A33" s="1951" t="s">
        <v>891</v>
      </c>
      <c r="B33" s="1952" t="s">
        <v>2266</v>
      </c>
      <c r="C33" s="1948"/>
      <c r="D33" s="1952"/>
      <c r="E33" s="1948"/>
      <c r="F33" s="1952"/>
      <c r="G33" s="1952"/>
      <c r="H33" s="1948"/>
      <c r="I33" s="1952"/>
      <c r="J33" s="1948"/>
      <c r="K33" s="1948"/>
      <c r="L33" s="1948"/>
      <c r="M33" s="1948"/>
      <c r="N33" s="1948"/>
      <c r="O33" s="1948"/>
      <c r="P33" s="1948"/>
      <c r="Q33" s="1948"/>
      <c r="R33" s="1948"/>
      <c r="S33" s="1948"/>
      <c r="T33" s="1948"/>
      <c r="U33" s="1948"/>
      <c r="V33" s="1948"/>
      <c r="W33" s="1948"/>
      <c r="X33" s="1948"/>
      <c r="Y33" s="1948"/>
      <c r="Z33" s="1948"/>
      <c r="AA33" s="1948"/>
      <c r="AB33" s="1948"/>
      <c r="AC33" s="1948"/>
      <c r="AD33" s="1948"/>
      <c r="AE33" s="1948"/>
      <c r="AF33" s="1952"/>
      <c r="AG33" s="1952"/>
      <c r="AH33" s="1952"/>
      <c r="AI33" s="1952"/>
      <c r="AJ33" s="1952"/>
      <c r="AK33" s="1948"/>
      <c r="AL33" s="1952"/>
      <c r="AM33" s="1952"/>
      <c r="AN33" s="1952"/>
      <c r="AO33" s="1952"/>
      <c r="AP33" s="1952"/>
      <c r="AQ33" s="1948"/>
      <c r="AR33" s="1952"/>
      <c r="AS33" s="1952"/>
      <c r="AT33" s="1948"/>
      <c r="AU33" s="1952"/>
      <c r="AV33" s="1948"/>
      <c r="AW33" s="1952"/>
      <c r="AX33" s="1952"/>
      <c r="AY33" s="1948"/>
      <c r="AZ33" s="1952"/>
      <c r="BA33" s="1948"/>
      <c r="BB33" s="1952"/>
      <c r="BC33" s="1948"/>
      <c r="BD33" s="1952"/>
      <c r="BE33" s="1948"/>
      <c r="BF33" s="1952"/>
      <c r="BG33" s="1948"/>
      <c r="BH33" s="1952"/>
      <c r="BI33" s="1948"/>
      <c r="BJ33" s="1952"/>
      <c r="BK33" s="1948"/>
      <c r="BL33" s="1952"/>
      <c r="BM33" s="1948"/>
      <c r="BN33" s="1952"/>
      <c r="BO33" s="1948"/>
      <c r="BP33" s="1952"/>
      <c r="BQ33" s="1948"/>
      <c r="BR33" s="1948"/>
      <c r="BS33" s="1948"/>
      <c r="BT33" s="1948"/>
      <c r="BU33" s="1948"/>
      <c r="BV33" s="1948"/>
      <c r="BW33" s="1948"/>
      <c r="BX33" s="1948"/>
      <c r="BY33" s="1948"/>
      <c r="BZ33" s="1948"/>
      <c r="CA33" s="1948"/>
      <c r="CB33" s="1948"/>
      <c r="CC33" s="1948"/>
      <c r="CD33" s="1948"/>
      <c r="CE33" s="1948"/>
      <c r="CF33" s="1948"/>
      <c r="CG33" s="1948"/>
      <c r="CH33" s="1948"/>
      <c r="CI33" s="1947"/>
      <c r="CJ33" s="1947"/>
      <c r="CK33" s="1947"/>
      <c r="CL33" s="1947"/>
      <c r="CM33" s="1947"/>
      <c r="CN33" s="1947"/>
      <c r="CO33" s="1947"/>
      <c r="CP33" s="1947"/>
      <c r="CQ33" s="1947"/>
      <c r="CR33" s="1947"/>
      <c r="CS33" s="1947"/>
      <c r="CT33" s="1947"/>
      <c r="CU33" s="1947"/>
      <c r="CV33" s="1947"/>
      <c r="CW33" s="1947"/>
      <c r="CX33" s="1947"/>
      <c r="CY33" s="1947"/>
      <c r="CZ33" s="1947"/>
      <c r="DA33" s="1947"/>
      <c r="DB33" s="1947"/>
      <c r="DC33" s="1947"/>
      <c r="DD33" s="1947"/>
      <c r="DE33" s="1947"/>
      <c r="DF33" s="1947"/>
      <c r="DG33" s="1947"/>
      <c r="DH33" s="1947"/>
      <c r="DI33" s="1947"/>
      <c r="DJ33" s="1947"/>
      <c r="DK33" s="1947"/>
      <c r="DL33" s="1947"/>
      <c r="DM33" s="1947"/>
      <c r="DN33" s="1947"/>
      <c r="DO33" s="1947"/>
      <c r="DP33" s="1947"/>
      <c r="DQ33" s="1947"/>
      <c r="DR33" s="1947"/>
      <c r="DS33" s="1947"/>
      <c r="DT33" s="1947"/>
      <c r="DU33" s="1947"/>
      <c r="DV33" s="1947"/>
      <c r="DW33" s="1947"/>
      <c r="DX33" s="1947"/>
      <c r="DY33" s="1947"/>
      <c r="DZ33" s="1947"/>
      <c r="EA33" s="1947"/>
      <c r="EB33" s="1947"/>
      <c r="EC33" s="1947"/>
      <c r="ED33" s="1947"/>
      <c r="EE33" s="1947"/>
      <c r="EF33" s="1947"/>
      <c r="EG33" s="1947"/>
      <c r="EH33" s="1947"/>
    </row>
    <row r="34" spans="1:138" s="1946" customFormat="1" ht="12" hidden="1" customHeight="1" outlineLevel="1" x14ac:dyDescent="0.2">
      <c r="A34" s="1951" t="s">
        <v>893</v>
      </c>
      <c r="B34" s="1952" t="s">
        <v>724</v>
      </c>
      <c r="C34" s="1948"/>
      <c r="D34" s="1952"/>
      <c r="E34" s="1948"/>
      <c r="F34" s="1952"/>
      <c r="G34" s="1952"/>
      <c r="H34" s="1948"/>
      <c r="I34" s="1952"/>
      <c r="J34" s="1948"/>
      <c r="K34" s="1948"/>
      <c r="L34" s="1948"/>
      <c r="M34" s="1953"/>
      <c r="N34" s="1953"/>
      <c r="O34" s="1953"/>
      <c r="P34" s="1953"/>
      <c r="Q34" s="1953"/>
      <c r="R34" s="1953"/>
      <c r="S34" s="1953"/>
      <c r="T34" s="1953"/>
      <c r="U34" s="1953"/>
      <c r="V34" s="1953"/>
      <c r="W34" s="1953"/>
      <c r="X34" s="1953"/>
      <c r="Y34" s="1948"/>
      <c r="Z34" s="1948"/>
      <c r="AA34" s="1948"/>
      <c r="AB34" s="1948"/>
      <c r="AC34" s="1948"/>
      <c r="AD34" s="1948"/>
      <c r="AE34" s="1948"/>
      <c r="AF34" s="1952"/>
      <c r="AG34" s="1952"/>
      <c r="AH34" s="1952"/>
      <c r="AI34" s="1952"/>
      <c r="AJ34" s="1952"/>
      <c r="AK34" s="1948"/>
      <c r="AL34" s="1952"/>
      <c r="AM34" s="1952"/>
      <c r="AN34" s="1952"/>
      <c r="AO34" s="1952"/>
      <c r="AP34" s="1952"/>
      <c r="AQ34" s="1948"/>
      <c r="AR34" s="1952"/>
      <c r="AS34" s="1952"/>
      <c r="AT34" s="1948"/>
      <c r="AU34" s="1952"/>
      <c r="AV34" s="1948"/>
      <c r="AW34" s="1952"/>
      <c r="AX34" s="1952"/>
      <c r="AY34" s="1948"/>
      <c r="AZ34" s="1952"/>
      <c r="BA34" s="1948"/>
      <c r="BB34" s="1952"/>
      <c r="BC34" s="1948"/>
      <c r="BD34" s="1952"/>
      <c r="BE34" s="1948"/>
      <c r="BF34" s="1952"/>
      <c r="BG34" s="1948"/>
      <c r="BH34" s="1952"/>
      <c r="BI34" s="1953"/>
      <c r="BJ34" s="1952"/>
      <c r="BK34" s="1953"/>
      <c r="BL34" s="1952"/>
      <c r="BM34" s="1948"/>
      <c r="BN34" s="1952"/>
      <c r="BO34" s="1953"/>
      <c r="BP34" s="1952"/>
      <c r="BQ34" s="1953"/>
      <c r="BR34" s="1952"/>
      <c r="BS34" s="1948"/>
      <c r="BT34" s="1948"/>
      <c r="BU34" s="1948"/>
      <c r="BV34" s="1948"/>
      <c r="BW34" s="1948"/>
      <c r="BX34" s="1948"/>
      <c r="BY34" s="1948"/>
      <c r="BZ34" s="1948"/>
      <c r="CA34" s="1948"/>
      <c r="CB34" s="1948"/>
      <c r="CC34" s="1948"/>
      <c r="CD34" s="1948"/>
      <c r="CE34" s="1948"/>
      <c r="CF34" s="1948"/>
      <c r="CG34" s="1948"/>
      <c r="CH34" s="1948"/>
      <c r="CI34" s="1947"/>
      <c r="CJ34" s="1947"/>
      <c r="CK34" s="1947"/>
      <c r="CL34" s="1947"/>
      <c r="CM34" s="1953"/>
      <c r="CN34" s="1947"/>
      <c r="CO34" s="1953"/>
      <c r="CP34" s="1947"/>
      <c r="CQ34" s="1953"/>
      <c r="CR34" s="1947"/>
      <c r="CS34" s="1947"/>
      <c r="CT34" s="1947"/>
      <c r="CU34" s="1947"/>
      <c r="CV34" s="1947"/>
      <c r="CW34" s="1947"/>
      <c r="CX34" s="1947"/>
      <c r="CY34" s="1947"/>
      <c r="CZ34" s="1947"/>
      <c r="DA34" s="1947"/>
      <c r="DB34" s="1947"/>
      <c r="DC34" s="1947"/>
      <c r="DD34" s="1947"/>
      <c r="DE34" s="1947"/>
      <c r="DF34" s="1947"/>
      <c r="DG34" s="1947"/>
      <c r="DH34" s="1947"/>
      <c r="DI34" s="1947"/>
      <c r="DJ34" s="1947"/>
      <c r="DK34" s="1947"/>
      <c r="DL34" s="1947"/>
      <c r="DM34" s="1947"/>
      <c r="DN34" s="1947"/>
      <c r="DO34" s="1947"/>
      <c r="DP34" s="1947"/>
      <c r="DQ34" s="1947"/>
      <c r="DR34" s="1947"/>
      <c r="DS34" s="1947"/>
      <c r="DT34" s="1947"/>
      <c r="DU34" s="1947"/>
      <c r="DV34" s="1947"/>
      <c r="DW34" s="1947"/>
      <c r="DX34" s="1947"/>
      <c r="DY34" s="1947"/>
      <c r="DZ34" s="1947"/>
      <c r="EA34" s="1947"/>
      <c r="EB34" s="1947"/>
      <c r="EC34" s="1947"/>
      <c r="ED34" s="1947"/>
      <c r="EE34" s="1947"/>
      <c r="EF34" s="1947"/>
      <c r="EG34" s="1947"/>
      <c r="EH34" s="1947"/>
    </row>
    <row r="35" spans="1:138" ht="12" hidden="1" customHeight="1" outlineLevel="1" x14ac:dyDescent="0.2">
      <c r="A35" s="1951"/>
      <c r="B35" s="1951"/>
      <c r="C35" s="1951"/>
      <c r="D35" s="1951"/>
      <c r="J35" s="1951"/>
      <c r="K35" s="1951"/>
      <c r="L35" s="1951"/>
      <c r="M35" s="1951"/>
      <c r="N35" s="1951"/>
      <c r="O35" s="1951"/>
      <c r="P35" s="1951"/>
      <c r="Q35" s="1951"/>
      <c r="R35" s="1951"/>
      <c r="S35" s="1951"/>
      <c r="T35" s="1951"/>
      <c r="U35" s="1951"/>
      <c r="V35" s="1951"/>
      <c r="W35" s="1951"/>
      <c r="X35" s="1951"/>
      <c r="Y35" s="1951"/>
      <c r="Z35" s="1951"/>
      <c r="AA35" s="1951"/>
      <c r="AB35" s="1951"/>
      <c r="AC35" s="1951"/>
      <c r="AD35" s="1947"/>
      <c r="AE35" s="1947"/>
      <c r="AF35" s="1951"/>
      <c r="AG35" s="1951"/>
      <c r="AH35" s="1957"/>
      <c r="AI35" s="1951"/>
      <c r="AJ35" s="1951"/>
      <c r="AK35" s="1951"/>
      <c r="AL35" s="1951"/>
      <c r="AM35" s="1951"/>
      <c r="AN35" s="1951"/>
      <c r="AO35" s="1951"/>
      <c r="AP35" s="1951"/>
      <c r="AQ35" s="1951"/>
      <c r="AR35" s="1951"/>
      <c r="AS35" s="1951"/>
      <c r="AT35" s="1951"/>
      <c r="AU35" s="1951"/>
      <c r="AV35" s="1951"/>
      <c r="AW35" s="1951"/>
      <c r="AX35" s="1951"/>
      <c r="AY35" s="1951"/>
      <c r="AZ35" s="1951"/>
      <c r="BA35" s="1951"/>
      <c r="BB35" s="1951"/>
      <c r="BC35" s="1951"/>
      <c r="BD35" s="1951"/>
      <c r="BE35" s="1951"/>
      <c r="BF35" s="1951"/>
      <c r="BG35" s="1951"/>
      <c r="BH35" s="1951"/>
      <c r="BI35" s="1951"/>
      <c r="BJ35" s="1951"/>
      <c r="BK35" s="1951"/>
      <c r="BL35" s="1951"/>
      <c r="BM35" s="1951"/>
      <c r="BN35" s="1951"/>
      <c r="BO35" s="1951"/>
      <c r="BP35" s="1951"/>
    </row>
    <row r="36" spans="1:138" ht="12.75" collapsed="1" x14ac:dyDescent="0.2">
      <c r="A36" s="1958" t="s">
        <v>894</v>
      </c>
      <c r="B36" s="1959"/>
      <c r="C36" s="1958" t="s">
        <v>895</v>
      </c>
      <c r="D36" s="1959"/>
      <c r="E36" s="1958" t="s">
        <v>896</v>
      </c>
      <c r="F36" s="1960" t="s">
        <v>897</v>
      </c>
      <c r="G36" s="1960" t="s">
        <v>898</v>
      </c>
      <c r="H36" s="1960" t="s">
        <v>899</v>
      </c>
      <c r="I36" s="1960" t="s">
        <v>900</v>
      </c>
    </row>
    <row r="37" spans="1:138" ht="12.75" hidden="1" outlineLevel="2" x14ac:dyDescent="0.2">
      <c r="A37" s="1961" t="s">
        <v>2407</v>
      </c>
      <c r="B37" s="1961" t="s">
        <v>2408</v>
      </c>
      <c r="C37" s="1961" t="s">
        <v>2334</v>
      </c>
      <c r="D37" s="1961" t="s">
        <v>2323</v>
      </c>
      <c r="E37" s="1961" t="s">
        <v>1083</v>
      </c>
      <c r="F37" s="1962">
        <v>1357.58258</v>
      </c>
      <c r="G37" s="1962">
        <v>367.82196313348391</v>
      </c>
      <c r="H37" s="1962">
        <v>103.41940413776845</v>
      </c>
      <c r="I37" s="1962">
        <v>73.494581122880376</v>
      </c>
    </row>
    <row r="38" spans="1:138" ht="12.75" hidden="1" outlineLevel="2" x14ac:dyDescent="0.2">
      <c r="A38" s="1961" t="s">
        <v>2407</v>
      </c>
      <c r="B38" s="1961" t="s">
        <v>2408</v>
      </c>
      <c r="C38" s="1961" t="s">
        <v>1937</v>
      </c>
      <c r="D38" s="1961" t="s">
        <v>1878</v>
      </c>
      <c r="E38" s="1961" t="s">
        <v>1083</v>
      </c>
      <c r="F38" s="1962">
        <v>754.56223</v>
      </c>
      <c r="G38" s="1962">
        <v>204.44027850223253</v>
      </c>
      <c r="H38" s="1962">
        <v>57.48186324802856</v>
      </c>
      <c r="I38" s="1962">
        <v>40.849253549641546</v>
      </c>
    </row>
    <row r="39" spans="1:138" ht="12.75" hidden="1" outlineLevel="2" x14ac:dyDescent="0.2">
      <c r="A39" s="1961" t="s">
        <v>2407</v>
      </c>
      <c r="B39" s="1961" t="s">
        <v>2408</v>
      </c>
      <c r="C39" s="1961" t="s">
        <v>2336</v>
      </c>
      <c r="D39" s="1961" t="s">
        <v>2323</v>
      </c>
      <c r="E39" s="1961" t="s">
        <v>912</v>
      </c>
      <c r="F39" s="1962">
        <v>3912.4562099999998</v>
      </c>
      <c r="G39" s="1962">
        <v>3912.4562099999998</v>
      </c>
      <c r="H39" s="1962">
        <v>0</v>
      </c>
      <c r="I39" s="1962">
        <v>0</v>
      </c>
    </row>
    <row r="40" spans="1:138" ht="12.75" hidden="1" outlineLevel="2" x14ac:dyDescent="0.2">
      <c r="A40" s="1961" t="s">
        <v>2407</v>
      </c>
      <c r="B40" s="1961" t="s">
        <v>2408</v>
      </c>
      <c r="C40" s="1961" t="s">
        <v>2336</v>
      </c>
      <c r="D40" s="1961" t="s">
        <v>2323</v>
      </c>
      <c r="E40" s="1961" t="s">
        <v>920</v>
      </c>
      <c r="F40" s="1962">
        <v>5168.2526200000002</v>
      </c>
      <c r="G40" s="1962">
        <v>0</v>
      </c>
      <c r="H40" s="1962">
        <v>0</v>
      </c>
      <c r="I40" s="1962">
        <v>0</v>
      </c>
    </row>
    <row r="41" spans="1:138" ht="12.75" hidden="1" outlineLevel="2" x14ac:dyDescent="0.2">
      <c r="A41" s="1961" t="s">
        <v>2407</v>
      </c>
      <c r="B41" s="1961" t="s">
        <v>2408</v>
      </c>
      <c r="C41" s="1961" t="s">
        <v>2336</v>
      </c>
      <c r="D41" s="1961" t="s">
        <v>2323</v>
      </c>
      <c r="E41" s="1961" t="s">
        <v>922</v>
      </c>
      <c r="F41" s="1962">
        <v>0.60072000000000003</v>
      </c>
      <c r="G41" s="1962">
        <v>0</v>
      </c>
      <c r="H41" s="1962">
        <v>0</v>
      </c>
      <c r="I41" s="1962">
        <v>0</v>
      </c>
    </row>
    <row r="42" spans="1:138" ht="12.75" hidden="1" outlineLevel="2" x14ac:dyDescent="0.2">
      <c r="A42" s="1961" t="s">
        <v>2407</v>
      </c>
      <c r="B42" s="1961" t="s">
        <v>2408</v>
      </c>
      <c r="C42" s="1961" t="s">
        <v>5721</v>
      </c>
      <c r="D42" s="1961" t="s">
        <v>2323</v>
      </c>
      <c r="E42" s="1961" t="s">
        <v>912</v>
      </c>
      <c r="F42" s="1984">
        <v>2981.12075</v>
      </c>
      <c r="G42" s="1962">
        <v>2981.12075</v>
      </c>
      <c r="H42" s="1962">
        <v>0</v>
      </c>
      <c r="I42" s="1962">
        <v>0</v>
      </c>
    </row>
    <row r="43" spans="1:138" ht="13.5" outlineLevel="1" collapsed="1" thickBot="1" x14ac:dyDescent="0.25">
      <c r="A43" s="1988" t="s">
        <v>2409</v>
      </c>
      <c r="B43" s="1988"/>
      <c r="C43" s="1988"/>
      <c r="D43" s="1988"/>
      <c r="E43" s="1986"/>
      <c r="F43" s="1989">
        <f>SUBTOTAL(9,F37:F42)</f>
        <v>14174.575110000002</v>
      </c>
      <c r="G43" s="1989">
        <f t="shared" ref="G43:I43" si="0">SUBTOTAL(9,G37:G42)</f>
        <v>7465.8392016357166</v>
      </c>
      <c r="H43" s="1989">
        <f t="shared" si="0"/>
        <v>160.90126738579701</v>
      </c>
      <c r="I43" s="1989">
        <f t="shared" si="0"/>
        <v>114.34383467252192</v>
      </c>
      <c r="K43" s="2026" t="s">
        <v>5461</v>
      </c>
      <c r="L43" s="2026" t="s">
        <v>912</v>
      </c>
      <c r="M43" s="2027" t="s">
        <v>921</v>
      </c>
      <c r="N43" s="2028" t="s">
        <v>5462</v>
      </c>
      <c r="O43" s="2029" t="s">
        <v>5463</v>
      </c>
    </row>
    <row r="44" spans="1:138" ht="13.5" thickBot="1" x14ac:dyDescent="0.25">
      <c r="A44" s="1973" t="s">
        <v>1342</v>
      </c>
      <c r="B44" s="1973"/>
      <c r="C44" s="1973"/>
      <c r="D44" s="1973"/>
      <c r="E44" s="1987"/>
      <c r="F44" s="1974">
        <f>SUBTOTAL(9,F37:F43)</f>
        <v>14174.575110000002</v>
      </c>
      <c r="G44" s="1974">
        <f t="shared" ref="G44:I44" si="1">SUBTOTAL(9,G37:G43)</f>
        <v>7465.8392016357166</v>
      </c>
      <c r="H44" s="1974">
        <f t="shared" si="1"/>
        <v>160.90126738579701</v>
      </c>
      <c r="I44" s="1974">
        <f t="shared" si="1"/>
        <v>114.34383467252192</v>
      </c>
      <c r="K44" s="2059">
        <f>F44/$F$44</f>
        <v>1</v>
      </c>
      <c r="L44" s="2059">
        <f t="shared" ref="L44:N44" si="2">G44/$F$44</f>
        <v>0.52670638405017534</v>
      </c>
      <c r="M44" s="2059">
        <f t="shared" si="2"/>
        <v>1.1351399681270375E-2</v>
      </c>
      <c r="N44" s="2059">
        <f t="shared" si="2"/>
        <v>8.0668262565312208E-3</v>
      </c>
      <c r="O44" s="2059">
        <f>SUM(L44:N44)</f>
        <v>0.54612460998797696</v>
      </c>
    </row>
    <row r="45" spans="1:138" ht="12.75" x14ac:dyDescent="0.2"/>
    <row r="46" spans="1:138" ht="12.75" x14ac:dyDescent="0.2">
      <c r="F46" s="1975"/>
    </row>
    <row r="47" spans="1:138" ht="12.75" x14ac:dyDescent="0.2"/>
    <row r="48" spans="1:138" ht="12.75" x14ac:dyDescent="0.2"/>
    <row r="49" ht="12.75" x14ac:dyDescent="0.2"/>
    <row r="50" ht="12.75" x14ac:dyDescent="0.2"/>
    <row r="51" ht="12.75" x14ac:dyDescent="0.2"/>
    <row r="52" ht="12.75" x14ac:dyDescent="0.2"/>
    <row r="53" ht="12.75" x14ac:dyDescent="0.2"/>
    <row r="54" ht="12.75" x14ac:dyDescent="0.2"/>
    <row r="55" ht="12.75" x14ac:dyDescent="0.2"/>
    <row r="56" ht="12.75" x14ac:dyDescent="0.2"/>
    <row r="57" ht="12.75" x14ac:dyDescent="0.2"/>
    <row r="58" ht="12.75" x14ac:dyDescent="0.2"/>
    <row r="59" ht="12.75" x14ac:dyDescent="0.2"/>
    <row r="60" ht="12.75" x14ac:dyDescent="0.2"/>
    <row r="61" ht="12.75" x14ac:dyDescent="0.2"/>
    <row r="62" ht="12.75" x14ac:dyDescent="0.2"/>
    <row r="63" ht="12.75" x14ac:dyDescent="0.2"/>
    <row r="64" ht="12.75" x14ac:dyDescent="0.2"/>
    <row r="65" ht="12.75" x14ac:dyDescent="0.2"/>
    <row r="66" ht="12.75" x14ac:dyDescent="0.2"/>
    <row r="67" ht="12.75" x14ac:dyDescent="0.2"/>
    <row r="68" ht="12.75" x14ac:dyDescent="0.2"/>
    <row r="69" ht="12.75" x14ac:dyDescent="0.2"/>
    <row r="70" ht="12.75" x14ac:dyDescent="0.2"/>
    <row r="71" ht="12.75" x14ac:dyDescent="0.2"/>
    <row r="72" ht="12.75" x14ac:dyDescent="0.2"/>
    <row r="73" ht="12.75" x14ac:dyDescent="0.2"/>
    <row r="74" ht="12.75" x14ac:dyDescent="0.2"/>
    <row r="75" ht="12.75" x14ac:dyDescent="0.2"/>
    <row r="76" ht="12.75" x14ac:dyDescent="0.2"/>
    <row r="77" ht="12.75" x14ac:dyDescent="0.2"/>
    <row r="78" ht="12.75" x14ac:dyDescent="0.2"/>
    <row r="79" ht="12.75" x14ac:dyDescent="0.2"/>
    <row r="80" ht="12.75" x14ac:dyDescent="0.2"/>
    <row r="81" ht="12.75" x14ac:dyDescent="0.2"/>
    <row r="82" ht="12.75" x14ac:dyDescent="0.2"/>
    <row r="83" ht="12.75" x14ac:dyDescent="0.2"/>
    <row r="84" ht="12.75" x14ac:dyDescent="0.2"/>
    <row r="85" ht="12.75" x14ac:dyDescent="0.2"/>
    <row r="86" ht="12.75" x14ac:dyDescent="0.2"/>
    <row r="87" ht="12.75" x14ac:dyDescent="0.2"/>
    <row r="88" ht="12.75" x14ac:dyDescent="0.2"/>
    <row r="89" ht="12.75" x14ac:dyDescent="0.2"/>
    <row r="90" ht="12.75" x14ac:dyDescent="0.2"/>
    <row r="91" ht="12.75" x14ac:dyDescent="0.2"/>
    <row r="92" ht="12.75" x14ac:dyDescent="0.2"/>
    <row r="93" ht="12.75" x14ac:dyDescent="0.2"/>
    <row r="94" ht="12.75" x14ac:dyDescent="0.2"/>
    <row r="95" ht="12.75" x14ac:dyDescent="0.2"/>
    <row r="96" ht="12.75" x14ac:dyDescent="0.2"/>
    <row r="97" ht="12.75" x14ac:dyDescent="0.2"/>
    <row r="98" ht="12.75" x14ac:dyDescent="0.2"/>
    <row r="99" ht="12.75" x14ac:dyDescent="0.2"/>
    <row r="100" ht="12.75" x14ac:dyDescent="0.2"/>
    <row r="101" ht="12.75" x14ac:dyDescent="0.2"/>
    <row r="102" ht="12.75" x14ac:dyDescent="0.2"/>
    <row r="103" ht="12.75" x14ac:dyDescent="0.2"/>
    <row r="104" ht="12.75" x14ac:dyDescent="0.2"/>
    <row r="105" ht="12.75" x14ac:dyDescent="0.2"/>
    <row r="106" ht="12.75" x14ac:dyDescent="0.2"/>
    <row r="107" ht="12.75" x14ac:dyDescent="0.2"/>
    <row r="108" ht="12.75" x14ac:dyDescent="0.2"/>
    <row r="109" ht="12.75" x14ac:dyDescent="0.2"/>
    <row r="110" ht="12.75" x14ac:dyDescent="0.2"/>
    <row r="111" ht="12.75" x14ac:dyDescent="0.2"/>
    <row r="112" ht="12.75" x14ac:dyDescent="0.2"/>
    <row r="113" ht="12.75" x14ac:dyDescent="0.2"/>
    <row r="114" ht="12.75" x14ac:dyDescent="0.2"/>
    <row r="115" ht="12.75" x14ac:dyDescent="0.2"/>
    <row r="116" ht="12.75" x14ac:dyDescent="0.2"/>
    <row r="117" ht="12.75" x14ac:dyDescent="0.2"/>
    <row r="118" ht="12.75" x14ac:dyDescent="0.2"/>
    <row r="119" ht="12.75" x14ac:dyDescent="0.2"/>
    <row r="120" ht="12.75" x14ac:dyDescent="0.2"/>
    <row r="121" ht="12.75" x14ac:dyDescent="0.2"/>
    <row r="122" ht="12.75" x14ac:dyDescent="0.2"/>
    <row r="123" ht="12.75" x14ac:dyDescent="0.2"/>
    <row r="124" ht="12.75" x14ac:dyDescent="0.2"/>
    <row r="125" ht="12.75" x14ac:dyDescent="0.2"/>
    <row r="126" ht="12.75" x14ac:dyDescent="0.2"/>
    <row r="127" ht="12.75" x14ac:dyDescent="0.2"/>
    <row r="128" ht="12.75" x14ac:dyDescent="0.2"/>
    <row r="129" ht="12.75" x14ac:dyDescent="0.2"/>
    <row r="130" ht="12.75" x14ac:dyDescent="0.2"/>
    <row r="131" ht="12.75" x14ac:dyDescent="0.2"/>
    <row r="132" ht="12.75" x14ac:dyDescent="0.2"/>
    <row r="133" ht="12.75" x14ac:dyDescent="0.2"/>
    <row r="134" ht="12.75" x14ac:dyDescent="0.2"/>
    <row r="135" ht="12.75" x14ac:dyDescent="0.2"/>
    <row r="136" ht="12.75" x14ac:dyDescent="0.2"/>
    <row r="137" ht="12.75" x14ac:dyDescent="0.2"/>
    <row r="138" ht="12.75" x14ac:dyDescent="0.2"/>
    <row r="139" ht="12.75" x14ac:dyDescent="0.2"/>
    <row r="140" ht="12.75" x14ac:dyDescent="0.2"/>
    <row r="141" ht="12.75" x14ac:dyDescent="0.2"/>
    <row r="142" ht="12.75" x14ac:dyDescent="0.2"/>
    <row r="143" ht="12.75" x14ac:dyDescent="0.2"/>
    <row r="144" ht="12.75" x14ac:dyDescent="0.2"/>
    <row r="145" ht="12.75" x14ac:dyDescent="0.2"/>
    <row r="146" ht="12.75" x14ac:dyDescent="0.2"/>
    <row r="147" ht="12.75" x14ac:dyDescent="0.2"/>
    <row r="148" ht="12.75" x14ac:dyDescent="0.2"/>
    <row r="149" ht="12.75" x14ac:dyDescent="0.2"/>
    <row r="150" ht="12.75" x14ac:dyDescent="0.2"/>
    <row r="151" ht="12.75" x14ac:dyDescent="0.2"/>
    <row r="152" ht="12.75" x14ac:dyDescent="0.2"/>
    <row r="153" ht="12.75" x14ac:dyDescent="0.2"/>
    <row r="154" ht="12.75" x14ac:dyDescent="0.2"/>
    <row r="155" ht="12.75" x14ac:dyDescent="0.2"/>
    <row r="156" ht="12.75" x14ac:dyDescent="0.2"/>
    <row r="157" ht="12.75" x14ac:dyDescent="0.2"/>
    <row r="158" ht="12.75" x14ac:dyDescent="0.2"/>
    <row r="159" ht="12.75" x14ac:dyDescent="0.2"/>
    <row r="160" ht="12.75" x14ac:dyDescent="0.2"/>
    <row r="161" ht="12.75" x14ac:dyDescent="0.2"/>
    <row r="162" ht="12.75" x14ac:dyDescent="0.2"/>
    <row r="163" ht="12.75" x14ac:dyDescent="0.2"/>
    <row r="164" ht="12.75" x14ac:dyDescent="0.2"/>
    <row r="165" ht="12.75" x14ac:dyDescent="0.2"/>
    <row r="166" ht="12.75" x14ac:dyDescent="0.2"/>
    <row r="167" ht="12.75" x14ac:dyDescent="0.2"/>
    <row r="168" ht="12.75" x14ac:dyDescent="0.2"/>
    <row r="169" ht="12.75" x14ac:dyDescent="0.2"/>
    <row r="170" ht="12.75" x14ac:dyDescent="0.2"/>
    <row r="171" ht="12.75" x14ac:dyDescent="0.2"/>
    <row r="172" ht="12.75" x14ac:dyDescent="0.2"/>
    <row r="173" ht="12.75" x14ac:dyDescent="0.2"/>
    <row r="174" ht="12.75" x14ac:dyDescent="0.2"/>
    <row r="175" ht="12.75" x14ac:dyDescent="0.2"/>
    <row r="176" ht="12.75" x14ac:dyDescent="0.2"/>
    <row r="177" ht="12.75" x14ac:dyDescent="0.2"/>
    <row r="178" ht="12.75" x14ac:dyDescent="0.2"/>
    <row r="179" ht="12.75" x14ac:dyDescent="0.2"/>
    <row r="180" ht="12.75" x14ac:dyDescent="0.2"/>
    <row r="181" ht="12.75" x14ac:dyDescent="0.2"/>
    <row r="182" ht="12.75" x14ac:dyDescent="0.2"/>
    <row r="183" ht="12.75" x14ac:dyDescent="0.2"/>
    <row r="184" ht="12.75" x14ac:dyDescent="0.2"/>
    <row r="185" ht="12.75" x14ac:dyDescent="0.2"/>
    <row r="186" ht="12.75" x14ac:dyDescent="0.2"/>
    <row r="187" ht="12.75" x14ac:dyDescent="0.2"/>
    <row r="188" ht="12.75" x14ac:dyDescent="0.2"/>
    <row r="189" ht="12.75" x14ac:dyDescent="0.2"/>
    <row r="190" ht="12.75" x14ac:dyDescent="0.2"/>
    <row r="191" ht="12.75" x14ac:dyDescent="0.2"/>
    <row r="192" ht="12.75" x14ac:dyDescent="0.2"/>
    <row r="193" ht="12.75" x14ac:dyDescent="0.2"/>
    <row r="194" ht="12.75" x14ac:dyDescent="0.2"/>
    <row r="195" ht="12.75" x14ac:dyDescent="0.2"/>
    <row r="196" ht="12.75" x14ac:dyDescent="0.2"/>
    <row r="197" ht="12.75" x14ac:dyDescent="0.2"/>
    <row r="198" ht="12.75" x14ac:dyDescent="0.2"/>
    <row r="199" ht="12.75" x14ac:dyDescent="0.2"/>
    <row r="200" ht="12.75" x14ac:dyDescent="0.2"/>
    <row r="201" ht="12.75" x14ac:dyDescent="0.2"/>
    <row r="202" ht="12.75" x14ac:dyDescent="0.2"/>
    <row r="203" ht="12.75" x14ac:dyDescent="0.2"/>
    <row r="204" ht="12.75" x14ac:dyDescent="0.2"/>
    <row r="205" ht="12.75" x14ac:dyDescent="0.2"/>
    <row r="206" ht="12.75" x14ac:dyDescent="0.2"/>
    <row r="207" ht="12.75" x14ac:dyDescent="0.2"/>
    <row r="208" ht="12.75" x14ac:dyDescent="0.2"/>
    <row r="209" ht="12.75" x14ac:dyDescent="0.2"/>
    <row r="210" ht="12.75" x14ac:dyDescent="0.2"/>
    <row r="211" ht="12.75" x14ac:dyDescent="0.2"/>
    <row r="212" ht="12.75" x14ac:dyDescent="0.2"/>
    <row r="213" ht="12.75" x14ac:dyDescent="0.2"/>
    <row r="214" ht="12.75" x14ac:dyDescent="0.2"/>
    <row r="215" ht="12.75" x14ac:dyDescent="0.2"/>
    <row r="216" ht="12.75" x14ac:dyDescent="0.2"/>
    <row r="217" ht="12.75" x14ac:dyDescent="0.2"/>
    <row r="218" ht="12.75" x14ac:dyDescent="0.2"/>
    <row r="219" ht="12.75" x14ac:dyDescent="0.2"/>
    <row r="220" ht="12.75" x14ac:dyDescent="0.2"/>
    <row r="221" ht="12.75" x14ac:dyDescent="0.2"/>
    <row r="222" ht="12.75" x14ac:dyDescent="0.2"/>
    <row r="223" ht="12.75" x14ac:dyDescent="0.2"/>
    <row r="224" ht="12.75" x14ac:dyDescent="0.2"/>
    <row r="225" ht="12.75" x14ac:dyDescent="0.2"/>
    <row r="226" ht="12.75" x14ac:dyDescent="0.2"/>
    <row r="227" ht="12.75" x14ac:dyDescent="0.2"/>
    <row r="228" ht="12.75" x14ac:dyDescent="0.2"/>
    <row r="229" ht="12.75" x14ac:dyDescent="0.2"/>
    <row r="230" ht="12.75" x14ac:dyDescent="0.2"/>
    <row r="231" ht="12.75" x14ac:dyDescent="0.2"/>
    <row r="232" ht="12.75" x14ac:dyDescent="0.2"/>
    <row r="233" ht="12.75" x14ac:dyDescent="0.2"/>
    <row r="234" ht="12.75" x14ac:dyDescent="0.2"/>
    <row r="235" ht="12.75" x14ac:dyDescent="0.2"/>
    <row r="236" ht="12.75" x14ac:dyDescent="0.2"/>
    <row r="237" ht="12.75" x14ac:dyDescent="0.2"/>
    <row r="238" ht="12.75" x14ac:dyDescent="0.2"/>
    <row r="239" ht="12.75" x14ac:dyDescent="0.2"/>
    <row r="240" ht="12.75" x14ac:dyDescent="0.2"/>
    <row r="241" ht="12.75" x14ac:dyDescent="0.2"/>
    <row r="242" ht="12.75" x14ac:dyDescent="0.2"/>
    <row r="243" ht="12.75" x14ac:dyDescent="0.2"/>
    <row r="244" ht="12.75" x14ac:dyDescent="0.2"/>
    <row r="245" ht="12.75" x14ac:dyDescent="0.2"/>
    <row r="246" ht="12.75" x14ac:dyDescent="0.2"/>
    <row r="247" ht="12.75" x14ac:dyDescent="0.2"/>
    <row r="248" ht="12.75" x14ac:dyDescent="0.2"/>
    <row r="249" ht="12.75" x14ac:dyDescent="0.2"/>
    <row r="250" ht="12.75" x14ac:dyDescent="0.2"/>
    <row r="251" ht="12.75" x14ac:dyDescent="0.2"/>
    <row r="252" ht="12.75" x14ac:dyDescent="0.2"/>
    <row r="253" ht="12.75" x14ac:dyDescent="0.2"/>
    <row r="254" ht="12.75" x14ac:dyDescent="0.2"/>
    <row r="255" ht="12.75" x14ac:dyDescent="0.2"/>
    <row r="256" ht="12.75" x14ac:dyDescent="0.2"/>
    <row r="257" ht="12.75" x14ac:dyDescent="0.2"/>
    <row r="258" ht="12.75" x14ac:dyDescent="0.2"/>
    <row r="259" ht="12.75" x14ac:dyDescent="0.2"/>
    <row r="260" ht="12.75" x14ac:dyDescent="0.2"/>
    <row r="261" ht="12.75" x14ac:dyDescent="0.2"/>
    <row r="262" ht="12.75" x14ac:dyDescent="0.2"/>
    <row r="263" ht="12.75" x14ac:dyDescent="0.2"/>
    <row r="264" ht="12.75" x14ac:dyDescent="0.2"/>
    <row r="265" ht="12.75" x14ac:dyDescent="0.2"/>
    <row r="266" ht="12.75" x14ac:dyDescent="0.2"/>
    <row r="267" ht="12.75" x14ac:dyDescent="0.2"/>
    <row r="268" ht="12.75" x14ac:dyDescent="0.2"/>
    <row r="269" ht="12.75" x14ac:dyDescent="0.2"/>
    <row r="270" ht="12.75" x14ac:dyDescent="0.2"/>
    <row r="271" ht="12.75" x14ac:dyDescent="0.2"/>
    <row r="272" ht="12.75" x14ac:dyDescent="0.2"/>
    <row r="273" ht="12.75" x14ac:dyDescent="0.2"/>
    <row r="274" ht="12.75" x14ac:dyDescent="0.2"/>
    <row r="275" ht="12.75" x14ac:dyDescent="0.2"/>
    <row r="276" ht="12.75" x14ac:dyDescent="0.2"/>
    <row r="277" ht="12.75" x14ac:dyDescent="0.2"/>
    <row r="278" ht="12.75" x14ac:dyDescent="0.2"/>
    <row r="279" ht="12.75" x14ac:dyDescent="0.2"/>
    <row r="280" ht="12.75" x14ac:dyDescent="0.2"/>
    <row r="281" ht="12.75" x14ac:dyDescent="0.2"/>
    <row r="282" ht="12.75" x14ac:dyDescent="0.2"/>
    <row r="283" ht="12.75" x14ac:dyDescent="0.2"/>
    <row r="284" ht="12.75" x14ac:dyDescent="0.2"/>
    <row r="285" ht="12.75" x14ac:dyDescent="0.2"/>
    <row r="286" ht="12.75" x14ac:dyDescent="0.2"/>
    <row r="287" ht="12.75" x14ac:dyDescent="0.2"/>
    <row r="288" ht="12.75" x14ac:dyDescent="0.2"/>
    <row r="289" ht="12.75" x14ac:dyDescent="0.2"/>
    <row r="290" ht="12.75" x14ac:dyDescent="0.2"/>
    <row r="291" ht="12.75" x14ac:dyDescent="0.2"/>
    <row r="292" ht="12.75" x14ac:dyDescent="0.2"/>
    <row r="293" ht="12.75" x14ac:dyDescent="0.2"/>
    <row r="294" ht="12.75" x14ac:dyDescent="0.2"/>
    <row r="295" ht="12.75" x14ac:dyDescent="0.2"/>
    <row r="296" ht="12.75" x14ac:dyDescent="0.2"/>
    <row r="297" ht="12.75" x14ac:dyDescent="0.2"/>
    <row r="298" ht="12.75" x14ac:dyDescent="0.2"/>
    <row r="299" ht="12.75" x14ac:dyDescent="0.2"/>
    <row r="300" ht="12.75" x14ac:dyDescent="0.2"/>
    <row r="301" ht="12.75" x14ac:dyDescent="0.2"/>
    <row r="302" ht="12.75" x14ac:dyDescent="0.2"/>
    <row r="303" ht="12.75" x14ac:dyDescent="0.2"/>
    <row r="304" ht="12.75" x14ac:dyDescent="0.2"/>
    <row r="305" ht="12.75" x14ac:dyDescent="0.2"/>
    <row r="306" ht="12.75" x14ac:dyDescent="0.2"/>
    <row r="307" ht="12.75" x14ac:dyDescent="0.2"/>
    <row r="308" ht="12.75" x14ac:dyDescent="0.2"/>
    <row r="309" ht="12.75" x14ac:dyDescent="0.2"/>
    <row r="310" ht="12.75" x14ac:dyDescent="0.2"/>
    <row r="311" ht="12.75" x14ac:dyDescent="0.2"/>
    <row r="312" ht="12.75" x14ac:dyDescent="0.2"/>
    <row r="313" ht="12.75" x14ac:dyDescent="0.2"/>
    <row r="314" ht="12.75" x14ac:dyDescent="0.2"/>
    <row r="315" ht="12.75" x14ac:dyDescent="0.2"/>
    <row r="316" ht="12.75" x14ac:dyDescent="0.2"/>
    <row r="317" ht="12.75" x14ac:dyDescent="0.2"/>
    <row r="318" ht="12.75" x14ac:dyDescent="0.2"/>
    <row r="319" ht="12.75" x14ac:dyDescent="0.2"/>
    <row r="320" ht="12.75" x14ac:dyDescent="0.2"/>
    <row r="321" ht="12.75" x14ac:dyDescent="0.2"/>
    <row r="322" ht="12.75" x14ac:dyDescent="0.2"/>
    <row r="323" ht="12.75" x14ac:dyDescent="0.2"/>
    <row r="324" ht="12.75" x14ac:dyDescent="0.2"/>
    <row r="325" ht="12.75" x14ac:dyDescent="0.2"/>
    <row r="326" ht="12.75" x14ac:dyDescent="0.2"/>
    <row r="327" ht="12.75" x14ac:dyDescent="0.2"/>
    <row r="328" ht="12.75" x14ac:dyDescent="0.2"/>
    <row r="329" ht="12.75" x14ac:dyDescent="0.2"/>
    <row r="330" ht="12.75" x14ac:dyDescent="0.2"/>
    <row r="331" ht="12.75" x14ac:dyDescent="0.2"/>
    <row r="332" ht="12.75" x14ac:dyDescent="0.2"/>
    <row r="333" ht="12.75" x14ac:dyDescent="0.2"/>
    <row r="334" ht="12.75" x14ac:dyDescent="0.2"/>
    <row r="335" ht="12.75" x14ac:dyDescent="0.2"/>
    <row r="336" ht="12.75" x14ac:dyDescent="0.2"/>
    <row r="337" ht="12.75" x14ac:dyDescent="0.2"/>
    <row r="338" ht="12.75" x14ac:dyDescent="0.2"/>
    <row r="339" ht="12.75" x14ac:dyDescent="0.2"/>
    <row r="340" ht="12.75" x14ac:dyDescent="0.2"/>
    <row r="341" ht="12.75" x14ac:dyDescent="0.2"/>
    <row r="342" ht="12.75" x14ac:dyDescent="0.2"/>
    <row r="343" ht="12.75" x14ac:dyDescent="0.2"/>
    <row r="344" ht="12.75" x14ac:dyDescent="0.2"/>
    <row r="345" ht="12.75" x14ac:dyDescent="0.2"/>
    <row r="346" ht="12.75" x14ac:dyDescent="0.2"/>
    <row r="347" ht="12.75" x14ac:dyDescent="0.2"/>
    <row r="348" ht="12.75" x14ac:dyDescent="0.2"/>
    <row r="349" ht="12.75" x14ac:dyDescent="0.2"/>
    <row r="350" ht="12.75" x14ac:dyDescent="0.2"/>
    <row r="351" ht="12.75" x14ac:dyDescent="0.2"/>
    <row r="352" ht="12.75" x14ac:dyDescent="0.2"/>
    <row r="353" ht="12.75" x14ac:dyDescent="0.2"/>
    <row r="354" ht="12.75" x14ac:dyDescent="0.2"/>
    <row r="355" ht="12.75" x14ac:dyDescent="0.2"/>
    <row r="356" ht="12.75" x14ac:dyDescent="0.2"/>
    <row r="357" ht="12.75" x14ac:dyDescent="0.2"/>
    <row r="358" ht="12.75" x14ac:dyDescent="0.2"/>
    <row r="359" ht="12.75" x14ac:dyDescent="0.2"/>
    <row r="360" ht="12.75" x14ac:dyDescent="0.2"/>
    <row r="361" ht="12.75" x14ac:dyDescent="0.2"/>
    <row r="362" ht="12.75" x14ac:dyDescent="0.2"/>
    <row r="363" ht="12.75" x14ac:dyDescent="0.2"/>
    <row r="364" ht="12.75" x14ac:dyDescent="0.2"/>
    <row r="365" ht="12.75" x14ac:dyDescent="0.2"/>
    <row r="366" ht="12.75" x14ac:dyDescent="0.2"/>
    <row r="367" ht="12.75" x14ac:dyDescent="0.2"/>
    <row r="368" ht="12.75" x14ac:dyDescent="0.2"/>
    <row r="369" ht="12.75" x14ac:dyDescent="0.2"/>
    <row r="370" ht="12.75" x14ac:dyDescent="0.2"/>
    <row r="371" ht="12.75" x14ac:dyDescent="0.2"/>
    <row r="372" ht="12.75" x14ac:dyDescent="0.2"/>
    <row r="373" ht="12.75" x14ac:dyDescent="0.2"/>
    <row r="374" ht="12.75" x14ac:dyDescent="0.2"/>
    <row r="375" ht="12.75" x14ac:dyDescent="0.2"/>
    <row r="376" ht="12.75" x14ac:dyDescent="0.2"/>
    <row r="377" ht="12.75" x14ac:dyDescent="0.2"/>
    <row r="378" ht="12.75" x14ac:dyDescent="0.2"/>
    <row r="379" ht="12.75" x14ac:dyDescent="0.2"/>
    <row r="380" ht="12.75" x14ac:dyDescent="0.2"/>
    <row r="381" ht="12.75" x14ac:dyDescent="0.2"/>
    <row r="382" ht="12.75" x14ac:dyDescent="0.2"/>
    <row r="383" ht="12.75" x14ac:dyDescent="0.2"/>
    <row r="384" ht="12.75" x14ac:dyDescent="0.2"/>
    <row r="385" ht="12.75" x14ac:dyDescent="0.2"/>
    <row r="386" ht="12.75" x14ac:dyDescent="0.2"/>
    <row r="387" ht="12.75" x14ac:dyDescent="0.2"/>
    <row r="388" ht="12.75" x14ac:dyDescent="0.2"/>
    <row r="389" ht="12.75" x14ac:dyDescent="0.2"/>
    <row r="390" ht="12.75" x14ac:dyDescent="0.2"/>
    <row r="391" ht="12.75" x14ac:dyDescent="0.2"/>
    <row r="392" ht="12.75" x14ac:dyDescent="0.2"/>
    <row r="393" ht="12.75" x14ac:dyDescent="0.2"/>
    <row r="394" ht="12.75" x14ac:dyDescent="0.2"/>
    <row r="395" ht="12.75" x14ac:dyDescent="0.2"/>
    <row r="396" ht="12.75" x14ac:dyDescent="0.2"/>
    <row r="397" ht="12.75" x14ac:dyDescent="0.2"/>
    <row r="398" ht="12.75" x14ac:dyDescent="0.2"/>
    <row r="399" ht="12.75" x14ac:dyDescent="0.2"/>
    <row r="400" ht="12.75" x14ac:dyDescent="0.2"/>
    <row r="401" ht="12.75" x14ac:dyDescent="0.2"/>
    <row r="402" ht="12.75" x14ac:dyDescent="0.2"/>
    <row r="403" ht="12.75" x14ac:dyDescent="0.2"/>
    <row r="404" ht="12.75" x14ac:dyDescent="0.2"/>
    <row r="405" ht="12.75" x14ac:dyDescent="0.2"/>
    <row r="406" ht="12.75" x14ac:dyDescent="0.2"/>
    <row r="407" ht="12.75" x14ac:dyDescent="0.2"/>
    <row r="408" ht="12.75" x14ac:dyDescent="0.2"/>
    <row r="409" ht="12.75" x14ac:dyDescent="0.2"/>
    <row r="410" ht="12.75" x14ac:dyDescent="0.2"/>
    <row r="411" ht="12.75" x14ac:dyDescent="0.2"/>
    <row r="412" ht="12.75" x14ac:dyDescent="0.2"/>
    <row r="413" ht="12.75" x14ac:dyDescent="0.2"/>
    <row r="414" ht="12.75" x14ac:dyDescent="0.2"/>
    <row r="415" ht="12.75" x14ac:dyDescent="0.2"/>
    <row r="416" ht="12.75" x14ac:dyDescent="0.2"/>
    <row r="417" ht="12.75" x14ac:dyDescent="0.2"/>
    <row r="418" ht="12.75" x14ac:dyDescent="0.2"/>
    <row r="419" ht="12.75" x14ac:dyDescent="0.2"/>
    <row r="420" ht="12.75" x14ac:dyDescent="0.2"/>
    <row r="421" ht="12.75" x14ac:dyDescent="0.2"/>
    <row r="422" ht="12.75" x14ac:dyDescent="0.2"/>
    <row r="423" ht="12.75" x14ac:dyDescent="0.2"/>
    <row r="424" ht="12.75" x14ac:dyDescent="0.2"/>
    <row r="425" ht="12.75" x14ac:dyDescent="0.2"/>
    <row r="426" ht="12.75" x14ac:dyDescent="0.2"/>
    <row r="427" ht="12.75" x14ac:dyDescent="0.2"/>
    <row r="428" ht="12.75" x14ac:dyDescent="0.2"/>
    <row r="429" ht="12.75" x14ac:dyDescent="0.2"/>
    <row r="430" ht="12.75" x14ac:dyDescent="0.2"/>
    <row r="431" ht="12.75" x14ac:dyDescent="0.2"/>
    <row r="432" ht="12.75" x14ac:dyDescent="0.2"/>
    <row r="433" ht="12.75" x14ac:dyDescent="0.2"/>
    <row r="434" ht="12.75" x14ac:dyDescent="0.2"/>
    <row r="435" ht="12.75" x14ac:dyDescent="0.2"/>
    <row r="436" ht="12.75" x14ac:dyDescent="0.2"/>
    <row r="437" ht="12.75" x14ac:dyDescent="0.2"/>
    <row r="438" ht="12.75" x14ac:dyDescent="0.2"/>
    <row r="439" ht="12.75" x14ac:dyDescent="0.2"/>
    <row r="440" ht="12.75" x14ac:dyDescent="0.2"/>
    <row r="441" ht="12.75" x14ac:dyDescent="0.2"/>
    <row r="442" ht="12.75" x14ac:dyDescent="0.2"/>
    <row r="443" ht="12.75" x14ac:dyDescent="0.2"/>
    <row r="444" ht="12.75" x14ac:dyDescent="0.2"/>
    <row r="445" ht="12.75" x14ac:dyDescent="0.2"/>
    <row r="446" ht="12.75" x14ac:dyDescent="0.2"/>
    <row r="447" ht="12.75" x14ac:dyDescent="0.2"/>
    <row r="448" ht="12.75" x14ac:dyDescent="0.2"/>
    <row r="449" ht="12.75" x14ac:dyDescent="0.2"/>
    <row r="450" ht="12.75" x14ac:dyDescent="0.2"/>
    <row r="451" ht="12.75" x14ac:dyDescent="0.2"/>
    <row r="452" ht="12.75" x14ac:dyDescent="0.2"/>
    <row r="453" ht="12.75" x14ac:dyDescent="0.2"/>
    <row r="454" ht="12.75" x14ac:dyDescent="0.2"/>
    <row r="455" ht="12.75" x14ac:dyDescent="0.2"/>
    <row r="456" ht="12.75" x14ac:dyDescent="0.2"/>
    <row r="457" ht="12.75" x14ac:dyDescent="0.2"/>
    <row r="458" ht="12.75" x14ac:dyDescent="0.2"/>
    <row r="459" ht="12.75" x14ac:dyDescent="0.2"/>
    <row r="460" ht="12.75" x14ac:dyDescent="0.2"/>
    <row r="461" ht="12.75" x14ac:dyDescent="0.2"/>
    <row r="462" ht="12.75" x14ac:dyDescent="0.2"/>
    <row r="463" ht="12.75" x14ac:dyDescent="0.2"/>
    <row r="464" ht="12.75" x14ac:dyDescent="0.2"/>
    <row r="465" ht="12.75" x14ac:dyDescent="0.2"/>
    <row r="466" ht="12.75" x14ac:dyDescent="0.2"/>
    <row r="467" ht="12.75" x14ac:dyDescent="0.2"/>
    <row r="468" ht="12.75" x14ac:dyDescent="0.2"/>
    <row r="469" ht="12.75" x14ac:dyDescent="0.2"/>
    <row r="470" ht="12.75" x14ac:dyDescent="0.2"/>
    <row r="471" ht="12.75" x14ac:dyDescent="0.2"/>
    <row r="472" ht="12.75" x14ac:dyDescent="0.2"/>
    <row r="473" ht="12.75" x14ac:dyDescent="0.2"/>
    <row r="474" ht="12.75" x14ac:dyDescent="0.2"/>
    <row r="475" ht="12.75" x14ac:dyDescent="0.2"/>
    <row r="476" ht="12.75" x14ac:dyDescent="0.2"/>
    <row r="477" ht="12.75" x14ac:dyDescent="0.2"/>
    <row r="478" ht="12.75" x14ac:dyDescent="0.2"/>
    <row r="479" ht="12.75" x14ac:dyDescent="0.2"/>
    <row r="480" ht="12.75" x14ac:dyDescent="0.2"/>
    <row r="481" ht="12.75" x14ac:dyDescent="0.2"/>
    <row r="482" ht="12.75" x14ac:dyDescent="0.2"/>
    <row r="483" ht="12.75" x14ac:dyDescent="0.2"/>
    <row r="484" ht="12.75" x14ac:dyDescent="0.2"/>
    <row r="485" ht="12.75" x14ac:dyDescent="0.2"/>
    <row r="486" ht="12.75" x14ac:dyDescent="0.2"/>
    <row r="487" ht="12.75" x14ac:dyDescent="0.2"/>
    <row r="488" ht="12.75" x14ac:dyDescent="0.2"/>
    <row r="489" ht="12.75" x14ac:dyDescent="0.2"/>
    <row r="490" ht="12.75" x14ac:dyDescent="0.2"/>
    <row r="491" ht="12.75" x14ac:dyDescent="0.2"/>
    <row r="492" ht="12.75" x14ac:dyDescent="0.2"/>
    <row r="493" ht="12.75" x14ac:dyDescent="0.2"/>
    <row r="494" ht="12.75" x14ac:dyDescent="0.2"/>
    <row r="495" ht="12.75" x14ac:dyDescent="0.2"/>
    <row r="496" ht="12.75" x14ac:dyDescent="0.2"/>
    <row r="497" ht="12.75" x14ac:dyDescent="0.2"/>
    <row r="498" ht="12.75" x14ac:dyDescent="0.2"/>
    <row r="499" ht="12.75" x14ac:dyDescent="0.2"/>
    <row r="500" ht="12.75" x14ac:dyDescent="0.2"/>
    <row r="501" ht="12.75" x14ac:dyDescent="0.2"/>
    <row r="502" ht="12.75" x14ac:dyDescent="0.2"/>
    <row r="503" ht="12.75" x14ac:dyDescent="0.2"/>
    <row r="504" ht="12.75" x14ac:dyDescent="0.2"/>
    <row r="505" ht="12.75" x14ac:dyDescent="0.2"/>
    <row r="506" ht="12.75" x14ac:dyDescent="0.2"/>
    <row r="507" ht="12.75" x14ac:dyDescent="0.2"/>
    <row r="508" ht="12.75" x14ac:dyDescent="0.2"/>
    <row r="509" ht="12.75" x14ac:dyDescent="0.2"/>
    <row r="510" ht="12.75" x14ac:dyDescent="0.2"/>
    <row r="511" ht="12.75" x14ac:dyDescent="0.2"/>
    <row r="512" ht="12.75" x14ac:dyDescent="0.2"/>
    <row r="513" ht="12.75" x14ac:dyDescent="0.2"/>
    <row r="514" ht="12.75" x14ac:dyDescent="0.2"/>
    <row r="515" ht="12.75" x14ac:dyDescent="0.2"/>
    <row r="516" ht="12.75" x14ac:dyDescent="0.2"/>
    <row r="517" ht="12.75" x14ac:dyDescent="0.2"/>
    <row r="518" ht="12.75" x14ac:dyDescent="0.2"/>
    <row r="519" ht="12.75" x14ac:dyDescent="0.2"/>
    <row r="520" ht="12.75" x14ac:dyDescent="0.2"/>
    <row r="521" ht="12.75" x14ac:dyDescent="0.2"/>
    <row r="522" ht="12.75" x14ac:dyDescent="0.2"/>
    <row r="523" ht="12.75" x14ac:dyDescent="0.2"/>
    <row r="524" ht="12.75" x14ac:dyDescent="0.2"/>
    <row r="525" ht="12.75" x14ac:dyDescent="0.2"/>
    <row r="526" ht="12.75" x14ac:dyDescent="0.2"/>
    <row r="527" ht="12.75" x14ac:dyDescent="0.2"/>
    <row r="528" ht="12.75" x14ac:dyDescent="0.2"/>
    <row r="529" ht="12.75" x14ac:dyDescent="0.2"/>
    <row r="530" ht="12.75" x14ac:dyDescent="0.2"/>
    <row r="531" ht="12.75" x14ac:dyDescent="0.2"/>
    <row r="532" ht="12.75" x14ac:dyDescent="0.2"/>
    <row r="533" ht="12.75" x14ac:dyDescent="0.2"/>
    <row r="534" ht="12.75" x14ac:dyDescent="0.2"/>
    <row r="535" ht="12.75" x14ac:dyDescent="0.2"/>
    <row r="536" ht="12.75" x14ac:dyDescent="0.2"/>
    <row r="537" ht="12.75" x14ac:dyDescent="0.2"/>
    <row r="538" ht="12.75" x14ac:dyDescent="0.2"/>
    <row r="539" ht="12.75" x14ac:dyDescent="0.2"/>
    <row r="540" ht="12.75" x14ac:dyDescent="0.2"/>
    <row r="541" ht="12.75" x14ac:dyDescent="0.2"/>
    <row r="542" ht="12.75" x14ac:dyDescent="0.2"/>
    <row r="543" ht="12.75" x14ac:dyDescent="0.2"/>
    <row r="544" ht="12.75" x14ac:dyDescent="0.2"/>
    <row r="545" ht="12.75" x14ac:dyDescent="0.2"/>
    <row r="546" ht="12.75" x14ac:dyDescent="0.2"/>
    <row r="547" ht="12.75" x14ac:dyDescent="0.2"/>
    <row r="548" ht="12.75" x14ac:dyDescent="0.2"/>
    <row r="549" ht="12.75" x14ac:dyDescent="0.2"/>
    <row r="550" ht="12.75" x14ac:dyDescent="0.2"/>
    <row r="551" ht="12.75" x14ac:dyDescent="0.2"/>
    <row r="552" ht="12.75" x14ac:dyDescent="0.2"/>
    <row r="553" ht="12.75" x14ac:dyDescent="0.2"/>
    <row r="554" ht="12.75" x14ac:dyDescent="0.2"/>
    <row r="555" ht="12.75" x14ac:dyDescent="0.2"/>
    <row r="556" ht="12.75" x14ac:dyDescent="0.2"/>
    <row r="557" ht="12.75" x14ac:dyDescent="0.2"/>
    <row r="558" ht="12.75" x14ac:dyDescent="0.2"/>
    <row r="559" ht="12.75" x14ac:dyDescent="0.2"/>
    <row r="560" ht="12.75" x14ac:dyDescent="0.2"/>
    <row r="561" ht="12.75" x14ac:dyDescent="0.2"/>
    <row r="562" ht="12.75" x14ac:dyDescent="0.2"/>
    <row r="563" ht="12.75" x14ac:dyDescent="0.2"/>
    <row r="564" ht="12.75" x14ac:dyDescent="0.2"/>
    <row r="565" ht="12.75" x14ac:dyDescent="0.2"/>
    <row r="566" ht="12.75" x14ac:dyDescent="0.2"/>
    <row r="567" ht="12.75" x14ac:dyDescent="0.2"/>
    <row r="568" ht="12.75" x14ac:dyDescent="0.2"/>
    <row r="569" ht="12.75" x14ac:dyDescent="0.2"/>
    <row r="570" ht="12.75" x14ac:dyDescent="0.2"/>
    <row r="571" ht="12.75" x14ac:dyDescent="0.2"/>
    <row r="572" ht="12.75" x14ac:dyDescent="0.2"/>
    <row r="573" ht="12.75" x14ac:dyDescent="0.2"/>
    <row r="574" ht="12.75" x14ac:dyDescent="0.2"/>
    <row r="575" ht="12.75" x14ac:dyDescent="0.2"/>
    <row r="576" ht="12.75" x14ac:dyDescent="0.2"/>
    <row r="577" ht="12.75" x14ac:dyDescent="0.2"/>
    <row r="578" ht="12.75" x14ac:dyDescent="0.2"/>
    <row r="579" ht="12.75" x14ac:dyDescent="0.2"/>
    <row r="580" ht="12.75" x14ac:dyDescent="0.2"/>
    <row r="581" ht="12.75" x14ac:dyDescent="0.2"/>
    <row r="582" ht="12.75" x14ac:dyDescent="0.2"/>
    <row r="583" ht="12.75" x14ac:dyDescent="0.2"/>
    <row r="584" ht="12.75" x14ac:dyDescent="0.2"/>
    <row r="585" ht="12.75" x14ac:dyDescent="0.2"/>
    <row r="586" ht="12.75" x14ac:dyDescent="0.2"/>
    <row r="587" ht="12.75" x14ac:dyDescent="0.2"/>
    <row r="588" ht="12.75" x14ac:dyDescent="0.2"/>
    <row r="589" ht="12.75" x14ac:dyDescent="0.2"/>
    <row r="590" ht="12.75" x14ac:dyDescent="0.2"/>
    <row r="591" ht="12.75" x14ac:dyDescent="0.2"/>
    <row r="592" ht="12.75" x14ac:dyDescent="0.2"/>
    <row r="593" ht="12.75" x14ac:dyDescent="0.2"/>
    <row r="594" ht="12.75" x14ac:dyDescent="0.2"/>
    <row r="595" ht="12.75" x14ac:dyDescent="0.2"/>
    <row r="596" ht="12.75" x14ac:dyDescent="0.2"/>
    <row r="597" ht="12.75" x14ac:dyDescent="0.2"/>
    <row r="598" ht="12.75" x14ac:dyDescent="0.2"/>
    <row r="599" ht="12.75" x14ac:dyDescent="0.2"/>
    <row r="600" ht="12.75" x14ac:dyDescent="0.2"/>
    <row r="601" ht="12.75" x14ac:dyDescent="0.2"/>
    <row r="602" ht="12.75" x14ac:dyDescent="0.2"/>
    <row r="603" ht="12.75" x14ac:dyDescent="0.2"/>
    <row r="604" ht="12.75" x14ac:dyDescent="0.2"/>
    <row r="605" ht="12.75" x14ac:dyDescent="0.2"/>
    <row r="606" ht="12.75" x14ac:dyDescent="0.2"/>
    <row r="607" ht="12.75" x14ac:dyDescent="0.2"/>
    <row r="608" ht="12.75" x14ac:dyDescent="0.2"/>
    <row r="609" ht="12.75" x14ac:dyDescent="0.2"/>
    <row r="610" ht="12.75" x14ac:dyDescent="0.2"/>
    <row r="611" ht="12.75" x14ac:dyDescent="0.2"/>
    <row r="612" ht="12.75" x14ac:dyDescent="0.2"/>
    <row r="613" ht="12.75" x14ac:dyDescent="0.2"/>
    <row r="614" ht="12.75" x14ac:dyDescent="0.2"/>
    <row r="615" ht="12.75" x14ac:dyDescent="0.2"/>
    <row r="616" ht="12.75" x14ac:dyDescent="0.2"/>
    <row r="617" ht="12.75" x14ac:dyDescent="0.2"/>
    <row r="618" ht="12.75" x14ac:dyDescent="0.2"/>
    <row r="619" ht="12.75" x14ac:dyDescent="0.2"/>
    <row r="620" ht="12.75" x14ac:dyDescent="0.2"/>
    <row r="621" ht="12.75" x14ac:dyDescent="0.2"/>
    <row r="622" ht="12.75" x14ac:dyDescent="0.2"/>
    <row r="623" ht="12.75" x14ac:dyDescent="0.2"/>
    <row r="624" ht="12.75" x14ac:dyDescent="0.2"/>
    <row r="625" ht="12.75" x14ac:dyDescent="0.2"/>
    <row r="626" ht="12.75" x14ac:dyDescent="0.2"/>
    <row r="627" ht="12.75" x14ac:dyDescent="0.2"/>
    <row r="628" ht="12.75" x14ac:dyDescent="0.2"/>
    <row r="629" ht="12.75" x14ac:dyDescent="0.2"/>
    <row r="630" ht="12.75" x14ac:dyDescent="0.2"/>
    <row r="631" ht="12.75" x14ac:dyDescent="0.2"/>
    <row r="632" ht="12.75" x14ac:dyDescent="0.2"/>
    <row r="633" ht="12.75" x14ac:dyDescent="0.2"/>
    <row r="634" ht="12.75" x14ac:dyDescent="0.2"/>
    <row r="635" ht="12.75" x14ac:dyDescent="0.2"/>
    <row r="636" ht="12.75" x14ac:dyDescent="0.2"/>
    <row r="637" ht="12.75" x14ac:dyDescent="0.2"/>
    <row r="638" ht="12.75" x14ac:dyDescent="0.2"/>
    <row r="639" ht="12.75" x14ac:dyDescent="0.2"/>
    <row r="640" ht="12.75" x14ac:dyDescent="0.2"/>
    <row r="641" ht="12.75" x14ac:dyDescent="0.2"/>
    <row r="642" ht="12.75" x14ac:dyDescent="0.2"/>
    <row r="643" ht="12.75" x14ac:dyDescent="0.2"/>
    <row r="644" ht="12.75" x14ac:dyDescent="0.2"/>
    <row r="645" ht="12.75" x14ac:dyDescent="0.2"/>
    <row r="646" ht="12.75" x14ac:dyDescent="0.2"/>
    <row r="647" ht="12.75" x14ac:dyDescent="0.2"/>
    <row r="648" ht="12.75" x14ac:dyDescent="0.2"/>
    <row r="649" ht="12.75" x14ac:dyDescent="0.2"/>
    <row r="650" ht="12.75" x14ac:dyDescent="0.2"/>
    <row r="651" ht="12.75" x14ac:dyDescent="0.2"/>
    <row r="652" ht="12.75" x14ac:dyDescent="0.2"/>
    <row r="653" ht="12.75" x14ac:dyDescent="0.2"/>
    <row r="654" ht="12.75" x14ac:dyDescent="0.2"/>
    <row r="655" ht="12.75" x14ac:dyDescent="0.2"/>
    <row r="656" ht="12.75" x14ac:dyDescent="0.2"/>
    <row r="657" ht="12.75" x14ac:dyDescent="0.2"/>
    <row r="658" ht="12.75" x14ac:dyDescent="0.2"/>
    <row r="659" ht="12.75" x14ac:dyDescent="0.2"/>
    <row r="660" ht="12.75" x14ac:dyDescent="0.2"/>
    <row r="661" ht="12.75" x14ac:dyDescent="0.2"/>
    <row r="662" ht="12.75" x14ac:dyDescent="0.2"/>
    <row r="663" ht="12.75" x14ac:dyDescent="0.2"/>
    <row r="664" ht="12.75" x14ac:dyDescent="0.2"/>
    <row r="665" ht="12.75" x14ac:dyDescent="0.2"/>
    <row r="666" ht="12.75" x14ac:dyDescent="0.2"/>
    <row r="667" ht="12.75" x14ac:dyDescent="0.2"/>
    <row r="668" ht="12.75" x14ac:dyDescent="0.2"/>
    <row r="669" ht="12.75" x14ac:dyDescent="0.2"/>
    <row r="670" ht="12.75" x14ac:dyDescent="0.2"/>
    <row r="671" ht="12.75" x14ac:dyDescent="0.2"/>
    <row r="672" ht="12.75" x14ac:dyDescent="0.2"/>
    <row r="673" ht="12.75" x14ac:dyDescent="0.2"/>
    <row r="674" ht="12.75" x14ac:dyDescent="0.2"/>
    <row r="675" ht="12.75" x14ac:dyDescent="0.2"/>
    <row r="676" ht="12.75" x14ac:dyDescent="0.2"/>
    <row r="677" ht="12.75" x14ac:dyDescent="0.2"/>
    <row r="678" ht="12.75" x14ac:dyDescent="0.2"/>
    <row r="679" ht="12.75" x14ac:dyDescent="0.2"/>
    <row r="680" ht="12.75" x14ac:dyDescent="0.2"/>
    <row r="681" ht="12.75" x14ac:dyDescent="0.2"/>
    <row r="682" ht="12.75" x14ac:dyDescent="0.2"/>
    <row r="683" ht="12.75" x14ac:dyDescent="0.2"/>
    <row r="684" ht="12.75" x14ac:dyDescent="0.2"/>
    <row r="685" ht="12.75" x14ac:dyDescent="0.2"/>
    <row r="686" ht="12.75" x14ac:dyDescent="0.2"/>
    <row r="687" ht="12.75" x14ac:dyDescent="0.2"/>
    <row r="688" ht="12.75" x14ac:dyDescent="0.2"/>
    <row r="689" ht="12.75" x14ac:dyDescent="0.2"/>
    <row r="690" ht="12.75" x14ac:dyDescent="0.2"/>
    <row r="691" ht="12.75" x14ac:dyDescent="0.2"/>
    <row r="692" ht="12.75" x14ac:dyDescent="0.2"/>
    <row r="693" ht="12.75" x14ac:dyDescent="0.2"/>
    <row r="694" ht="12.75" x14ac:dyDescent="0.2"/>
    <row r="695" ht="12.75" x14ac:dyDescent="0.2"/>
    <row r="696" ht="12.75" x14ac:dyDescent="0.2"/>
    <row r="697" ht="12.75" x14ac:dyDescent="0.2"/>
    <row r="698" ht="12.75" x14ac:dyDescent="0.2"/>
    <row r="699" ht="12.75" x14ac:dyDescent="0.2"/>
    <row r="700" ht="12.75" x14ac:dyDescent="0.2"/>
    <row r="701" ht="12.75" x14ac:dyDescent="0.2"/>
    <row r="702" ht="12.75" x14ac:dyDescent="0.2"/>
    <row r="703" ht="12.75" x14ac:dyDescent="0.2"/>
    <row r="704" ht="12.75" x14ac:dyDescent="0.2"/>
    <row r="705" ht="12.75" x14ac:dyDescent="0.2"/>
    <row r="706" ht="12.75" x14ac:dyDescent="0.2"/>
    <row r="707" ht="12.75" x14ac:dyDescent="0.2"/>
    <row r="708" ht="12.75" x14ac:dyDescent="0.2"/>
    <row r="709" ht="12.75" x14ac:dyDescent="0.2"/>
    <row r="710" ht="12.75" x14ac:dyDescent="0.2"/>
    <row r="711" ht="12.75" x14ac:dyDescent="0.2"/>
    <row r="712" ht="12.75" x14ac:dyDescent="0.2"/>
    <row r="713" ht="12.75" x14ac:dyDescent="0.2"/>
    <row r="714" ht="12.75" x14ac:dyDescent="0.2"/>
    <row r="715" ht="12.75" x14ac:dyDescent="0.2"/>
    <row r="716" ht="12.75" x14ac:dyDescent="0.2"/>
    <row r="717" ht="12.75" x14ac:dyDescent="0.2"/>
    <row r="718" ht="12.75" x14ac:dyDescent="0.2"/>
    <row r="719" ht="12.75" x14ac:dyDescent="0.2"/>
    <row r="720" ht="12.75" x14ac:dyDescent="0.2"/>
    <row r="721" ht="12.75" x14ac:dyDescent="0.2"/>
    <row r="722" ht="12.75" x14ac:dyDescent="0.2"/>
    <row r="723" ht="12.75" x14ac:dyDescent="0.2"/>
    <row r="724" ht="12.75" x14ac:dyDescent="0.2"/>
    <row r="725" ht="12.75" x14ac:dyDescent="0.2"/>
    <row r="726" ht="12.75" x14ac:dyDescent="0.2"/>
    <row r="727" ht="12.75" x14ac:dyDescent="0.2"/>
    <row r="728" ht="12.75" x14ac:dyDescent="0.2"/>
    <row r="729" ht="12.75" x14ac:dyDescent="0.2"/>
    <row r="730" ht="12.75" x14ac:dyDescent="0.2"/>
    <row r="731" ht="12.75" x14ac:dyDescent="0.2"/>
    <row r="732" ht="12.75" x14ac:dyDescent="0.2"/>
    <row r="733" ht="12.75" x14ac:dyDescent="0.2"/>
    <row r="734" ht="12.75" x14ac:dyDescent="0.2"/>
    <row r="735" ht="12.75" x14ac:dyDescent="0.2"/>
    <row r="736" ht="12.75" x14ac:dyDescent="0.2"/>
    <row r="737" ht="12.75" x14ac:dyDescent="0.2"/>
    <row r="738" ht="12.75" x14ac:dyDescent="0.2"/>
    <row r="739" ht="12.75" x14ac:dyDescent="0.2"/>
    <row r="740" ht="12.75" x14ac:dyDescent="0.2"/>
    <row r="741" ht="12.75" x14ac:dyDescent="0.2"/>
    <row r="742" ht="12.75" x14ac:dyDescent="0.2"/>
    <row r="743" ht="12.75" x14ac:dyDescent="0.2"/>
    <row r="744" ht="12.75" x14ac:dyDescent="0.2"/>
    <row r="745" ht="12.75" x14ac:dyDescent="0.2"/>
    <row r="746" ht="12.75" x14ac:dyDescent="0.2"/>
    <row r="747" ht="12.75" x14ac:dyDescent="0.2"/>
    <row r="748" ht="12.75" x14ac:dyDescent="0.2"/>
    <row r="749" ht="12.75" x14ac:dyDescent="0.2"/>
    <row r="750" ht="12.75" x14ac:dyDescent="0.2"/>
    <row r="751" ht="12.75" x14ac:dyDescent="0.2"/>
    <row r="752" ht="12.75" x14ac:dyDescent="0.2"/>
    <row r="753" ht="12.75" x14ac:dyDescent="0.2"/>
    <row r="754" ht="12.75" x14ac:dyDescent="0.2"/>
    <row r="755" ht="12.75" x14ac:dyDescent="0.2"/>
    <row r="756" ht="12.75" x14ac:dyDescent="0.2"/>
    <row r="757" ht="12.75" x14ac:dyDescent="0.2"/>
    <row r="758" ht="12.75" x14ac:dyDescent="0.2"/>
    <row r="759" ht="12.75" x14ac:dyDescent="0.2"/>
    <row r="760" ht="12.75" x14ac:dyDescent="0.2"/>
    <row r="761" ht="12.75" x14ac:dyDescent="0.2"/>
    <row r="762" ht="12.75" x14ac:dyDescent="0.2"/>
    <row r="763" ht="12.75" x14ac:dyDescent="0.2"/>
    <row r="764" ht="12.75" x14ac:dyDescent="0.2"/>
    <row r="765" ht="12.75" x14ac:dyDescent="0.2"/>
    <row r="766" ht="12.75" x14ac:dyDescent="0.2"/>
    <row r="767" ht="12.75" x14ac:dyDescent="0.2"/>
    <row r="768" ht="12.75" x14ac:dyDescent="0.2"/>
    <row r="769" ht="12.75" x14ac:dyDescent="0.2"/>
    <row r="770" ht="12.75" x14ac:dyDescent="0.2"/>
    <row r="771" ht="12.75" x14ac:dyDescent="0.2"/>
    <row r="772" ht="12.75" x14ac:dyDescent="0.2"/>
    <row r="773" ht="12.75" x14ac:dyDescent="0.2"/>
    <row r="774" ht="12.75" x14ac:dyDescent="0.2"/>
    <row r="775" ht="12.75" x14ac:dyDescent="0.2"/>
    <row r="776" ht="12.75" x14ac:dyDescent="0.2"/>
    <row r="777" ht="12.75" x14ac:dyDescent="0.2"/>
    <row r="778" ht="12.75" x14ac:dyDescent="0.2"/>
    <row r="779" ht="12.75" x14ac:dyDescent="0.2"/>
    <row r="780" ht="12.75" x14ac:dyDescent="0.2"/>
    <row r="781" ht="12.75" x14ac:dyDescent="0.2"/>
    <row r="782" ht="12.75" x14ac:dyDescent="0.2"/>
    <row r="783" ht="12.75" x14ac:dyDescent="0.2"/>
    <row r="784" ht="12.75" x14ac:dyDescent="0.2"/>
    <row r="785" ht="12.75" x14ac:dyDescent="0.2"/>
    <row r="786" ht="12.75" x14ac:dyDescent="0.2"/>
    <row r="787" ht="12.75" x14ac:dyDescent="0.2"/>
    <row r="788" ht="12.75" x14ac:dyDescent="0.2"/>
    <row r="789" ht="12.75" x14ac:dyDescent="0.2"/>
    <row r="790" ht="12.75" x14ac:dyDescent="0.2"/>
    <row r="791" ht="12.75" x14ac:dyDescent="0.2"/>
    <row r="792" ht="12.75" x14ac:dyDescent="0.2"/>
    <row r="793" ht="12.75" x14ac:dyDescent="0.2"/>
    <row r="794" ht="12.75" x14ac:dyDescent="0.2"/>
    <row r="795" ht="12.75" x14ac:dyDescent="0.2"/>
    <row r="796" ht="12.75" x14ac:dyDescent="0.2"/>
    <row r="797" ht="12.75" x14ac:dyDescent="0.2"/>
    <row r="798" ht="12.75" x14ac:dyDescent="0.2"/>
    <row r="799" ht="12.75" x14ac:dyDescent="0.2"/>
    <row r="800" ht="12.75" x14ac:dyDescent="0.2"/>
    <row r="801" ht="12.75" x14ac:dyDescent="0.2"/>
    <row r="802" ht="12.75" x14ac:dyDescent="0.2"/>
    <row r="803" ht="12.75" x14ac:dyDescent="0.2"/>
    <row r="804" ht="12.75" x14ac:dyDescent="0.2"/>
    <row r="805" ht="12.75" x14ac:dyDescent="0.2"/>
    <row r="806" ht="12.75" x14ac:dyDescent="0.2"/>
    <row r="807" ht="12.75" x14ac:dyDescent="0.2"/>
    <row r="808" ht="12.75" x14ac:dyDescent="0.2"/>
    <row r="809" ht="12.75" x14ac:dyDescent="0.2"/>
    <row r="810" ht="12.75" x14ac:dyDescent="0.2"/>
    <row r="811" ht="12.75" x14ac:dyDescent="0.2"/>
    <row r="812" ht="12.75" x14ac:dyDescent="0.2"/>
    <row r="813" ht="12.75" x14ac:dyDescent="0.2"/>
    <row r="814" ht="12.75" x14ac:dyDescent="0.2"/>
    <row r="815" ht="12.75" x14ac:dyDescent="0.2"/>
    <row r="816" ht="12.75" x14ac:dyDescent="0.2"/>
    <row r="817" ht="12.75" x14ac:dyDescent="0.2"/>
    <row r="818" ht="12.75" x14ac:dyDescent="0.2"/>
    <row r="819" ht="12.75" x14ac:dyDescent="0.2"/>
    <row r="820" ht="12.75" x14ac:dyDescent="0.2"/>
    <row r="821" ht="12.75" x14ac:dyDescent="0.2"/>
    <row r="822" ht="12.75" x14ac:dyDescent="0.2"/>
    <row r="823" ht="12.75" x14ac:dyDescent="0.2"/>
    <row r="824" ht="12.75" x14ac:dyDescent="0.2"/>
    <row r="825" ht="12.75" x14ac:dyDescent="0.2"/>
    <row r="826" ht="12.75" x14ac:dyDescent="0.2"/>
    <row r="827" ht="12.75" x14ac:dyDescent="0.2"/>
    <row r="828" ht="12.75" x14ac:dyDescent="0.2"/>
    <row r="829" ht="12.75" x14ac:dyDescent="0.2"/>
    <row r="830" ht="12.75" x14ac:dyDescent="0.2"/>
    <row r="831" ht="12.75" x14ac:dyDescent="0.2"/>
    <row r="832" ht="12.75" x14ac:dyDescent="0.2"/>
    <row r="833" ht="12.75" x14ac:dyDescent="0.2"/>
    <row r="834" ht="12.75" x14ac:dyDescent="0.2"/>
    <row r="835" ht="12.75" x14ac:dyDescent="0.2"/>
    <row r="836" ht="12.75" x14ac:dyDescent="0.2"/>
    <row r="837" ht="12.75" x14ac:dyDescent="0.2"/>
    <row r="838" ht="12.75" x14ac:dyDescent="0.2"/>
    <row r="839" ht="12.75" x14ac:dyDescent="0.2"/>
    <row r="840" ht="12.75" x14ac:dyDescent="0.2"/>
    <row r="841" ht="12.75" x14ac:dyDescent="0.2"/>
    <row r="842" ht="12.75" x14ac:dyDescent="0.2"/>
    <row r="843" ht="12.75" x14ac:dyDescent="0.2"/>
    <row r="844" ht="12.75" x14ac:dyDescent="0.2"/>
    <row r="845" ht="12.75" x14ac:dyDescent="0.2"/>
    <row r="846" ht="12.75" x14ac:dyDescent="0.2"/>
    <row r="847" ht="12.75" x14ac:dyDescent="0.2"/>
    <row r="848" ht="12.75" x14ac:dyDescent="0.2"/>
    <row r="849" ht="12.75" x14ac:dyDescent="0.2"/>
    <row r="850" ht="12.75" x14ac:dyDescent="0.2"/>
    <row r="851" ht="12.75" x14ac:dyDescent="0.2"/>
    <row r="852" ht="12.75" x14ac:dyDescent="0.2"/>
    <row r="853" ht="12.75" x14ac:dyDescent="0.2"/>
    <row r="854" ht="12.75" x14ac:dyDescent="0.2"/>
    <row r="855" ht="12.75" x14ac:dyDescent="0.2"/>
    <row r="856" ht="12.75" x14ac:dyDescent="0.2"/>
    <row r="857" ht="12.75" x14ac:dyDescent="0.2"/>
    <row r="858" ht="12.75" x14ac:dyDescent="0.2"/>
    <row r="859" ht="12.75" x14ac:dyDescent="0.2"/>
    <row r="860" ht="12.75" x14ac:dyDescent="0.2"/>
    <row r="861" ht="12.75" x14ac:dyDescent="0.2"/>
    <row r="862" ht="12.75" x14ac:dyDescent="0.2"/>
    <row r="863" ht="12.75" x14ac:dyDescent="0.2"/>
    <row r="864" ht="12.75" x14ac:dyDescent="0.2"/>
    <row r="865" ht="12.75" x14ac:dyDescent="0.2"/>
    <row r="866" ht="12.75" x14ac:dyDescent="0.2"/>
    <row r="867" ht="12.75" x14ac:dyDescent="0.2"/>
    <row r="868" ht="12.75" x14ac:dyDescent="0.2"/>
    <row r="869" ht="12.75" x14ac:dyDescent="0.2"/>
    <row r="870" ht="12.75" x14ac:dyDescent="0.2"/>
    <row r="871" ht="12.75" x14ac:dyDescent="0.2"/>
    <row r="872" ht="12.75" x14ac:dyDescent="0.2"/>
    <row r="873" ht="12.75" x14ac:dyDescent="0.2"/>
    <row r="874" ht="12.75" x14ac:dyDescent="0.2"/>
    <row r="875" ht="12.75" x14ac:dyDescent="0.2"/>
    <row r="876" ht="12.75" x14ac:dyDescent="0.2"/>
    <row r="877" ht="12.75" x14ac:dyDescent="0.2"/>
    <row r="878" ht="12.75" x14ac:dyDescent="0.2"/>
    <row r="879" ht="12.75" x14ac:dyDescent="0.2"/>
    <row r="880" ht="12.75" x14ac:dyDescent="0.2"/>
    <row r="881" ht="12.75" x14ac:dyDescent="0.2"/>
    <row r="882" ht="12.75" x14ac:dyDescent="0.2"/>
    <row r="883" ht="12.75" x14ac:dyDescent="0.2"/>
    <row r="884" ht="12.75" x14ac:dyDescent="0.2"/>
    <row r="885" ht="12.75" x14ac:dyDescent="0.2"/>
    <row r="886" ht="12.75" x14ac:dyDescent="0.2"/>
    <row r="887" ht="12.75" x14ac:dyDescent="0.2"/>
    <row r="888" ht="12.75" x14ac:dyDescent="0.2"/>
    <row r="889" ht="12.75" x14ac:dyDescent="0.2"/>
    <row r="890" ht="12.75" x14ac:dyDescent="0.2"/>
    <row r="891" ht="12.75" x14ac:dyDescent="0.2"/>
    <row r="892" ht="12.75" x14ac:dyDescent="0.2"/>
    <row r="893" ht="12.75" x14ac:dyDescent="0.2"/>
    <row r="894" ht="12.75" x14ac:dyDescent="0.2"/>
    <row r="895" ht="12.75" x14ac:dyDescent="0.2"/>
    <row r="896" ht="12.75" x14ac:dyDescent="0.2"/>
    <row r="897" ht="12.75" x14ac:dyDescent="0.2"/>
    <row r="898" ht="12.75" x14ac:dyDescent="0.2"/>
    <row r="899" ht="12.75" x14ac:dyDescent="0.2"/>
    <row r="900" ht="12.75" x14ac:dyDescent="0.2"/>
    <row r="901" ht="12.75" x14ac:dyDescent="0.2"/>
    <row r="902" ht="12.75" x14ac:dyDescent="0.2"/>
    <row r="903" ht="12.75" x14ac:dyDescent="0.2"/>
    <row r="904" ht="12.75" x14ac:dyDescent="0.2"/>
    <row r="905" ht="12.75" x14ac:dyDescent="0.2"/>
    <row r="906" ht="12.75" x14ac:dyDescent="0.2"/>
    <row r="907" ht="12.75" x14ac:dyDescent="0.2"/>
    <row r="908" ht="12.75" x14ac:dyDescent="0.2"/>
    <row r="909" ht="12.75" x14ac:dyDescent="0.2"/>
    <row r="910" ht="12.75" x14ac:dyDescent="0.2"/>
    <row r="911" ht="12.75" x14ac:dyDescent="0.2"/>
    <row r="912" ht="12.75" x14ac:dyDescent="0.2"/>
    <row r="913" ht="12.75" x14ac:dyDescent="0.2"/>
    <row r="914" ht="12.75" x14ac:dyDescent="0.2"/>
    <row r="915" ht="12.75" x14ac:dyDescent="0.2"/>
    <row r="916" ht="12.75" x14ac:dyDescent="0.2"/>
    <row r="917" ht="12.75" x14ac:dyDescent="0.2"/>
    <row r="918" ht="12.75" x14ac:dyDescent="0.2"/>
    <row r="919" ht="12.75" x14ac:dyDescent="0.2"/>
    <row r="920" ht="12.75" x14ac:dyDescent="0.2"/>
    <row r="921" ht="12.75" x14ac:dyDescent="0.2"/>
    <row r="922" ht="12.75" x14ac:dyDescent="0.2"/>
    <row r="923" ht="12.75" x14ac:dyDescent="0.2"/>
    <row r="924" ht="12.75" x14ac:dyDescent="0.2"/>
    <row r="925" ht="12.75" x14ac:dyDescent="0.2"/>
    <row r="926" ht="12.75" x14ac:dyDescent="0.2"/>
    <row r="927" ht="12.75" x14ac:dyDescent="0.2"/>
    <row r="928" ht="12.75" x14ac:dyDescent="0.2"/>
    <row r="929" ht="12.75" x14ac:dyDescent="0.2"/>
    <row r="930" ht="12.75" x14ac:dyDescent="0.2"/>
    <row r="931" ht="12.75" x14ac:dyDescent="0.2"/>
    <row r="932" ht="12.75" x14ac:dyDescent="0.2"/>
    <row r="933" ht="12.75" x14ac:dyDescent="0.2"/>
    <row r="934" ht="12.75" x14ac:dyDescent="0.2"/>
    <row r="935" ht="12.75" x14ac:dyDescent="0.2"/>
    <row r="936" ht="12.75" x14ac:dyDescent="0.2"/>
    <row r="937" ht="12.75" x14ac:dyDescent="0.2"/>
    <row r="938" ht="12.75" x14ac:dyDescent="0.2"/>
    <row r="939" ht="12.75" x14ac:dyDescent="0.2"/>
    <row r="940" ht="12.75" x14ac:dyDescent="0.2"/>
    <row r="941" ht="12.75" x14ac:dyDescent="0.2"/>
    <row r="942" ht="12.75" x14ac:dyDescent="0.2"/>
    <row r="943" ht="12.75" x14ac:dyDescent="0.2"/>
    <row r="944" ht="12.75" x14ac:dyDescent="0.2"/>
    <row r="945" ht="12.75" x14ac:dyDescent="0.2"/>
    <row r="946" ht="12.75" x14ac:dyDescent="0.2"/>
    <row r="947" ht="12.75" x14ac:dyDescent="0.2"/>
    <row r="948" ht="12.75" x14ac:dyDescent="0.2"/>
    <row r="949" ht="12.75" x14ac:dyDescent="0.2"/>
    <row r="950" ht="12.75" x14ac:dyDescent="0.2"/>
    <row r="951" ht="12.75" x14ac:dyDescent="0.2"/>
    <row r="952" ht="12.75" x14ac:dyDescent="0.2"/>
    <row r="953" ht="12.75" x14ac:dyDescent="0.2"/>
    <row r="954" ht="12.75" x14ac:dyDescent="0.2"/>
    <row r="955" ht="12.75" x14ac:dyDescent="0.2"/>
    <row r="956" ht="12.75" x14ac:dyDescent="0.2"/>
    <row r="957" ht="12.75" x14ac:dyDescent="0.2"/>
    <row r="958" ht="12.75" x14ac:dyDescent="0.2"/>
    <row r="959" ht="12.75" x14ac:dyDescent="0.2"/>
    <row r="960" ht="12.75" x14ac:dyDescent="0.2"/>
    <row r="961" ht="12.75" x14ac:dyDescent="0.2"/>
    <row r="962" ht="12.75" x14ac:dyDescent="0.2"/>
    <row r="963" ht="12.75" x14ac:dyDescent="0.2"/>
    <row r="964" ht="12.75" x14ac:dyDescent="0.2"/>
    <row r="965" ht="12.75" x14ac:dyDescent="0.2"/>
    <row r="966" ht="12.75" x14ac:dyDescent="0.2"/>
    <row r="967" ht="12.75" x14ac:dyDescent="0.2"/>
    <row r="968" ht="12.75" x14ac:dyDescent="0.2"/>
    <row r="969" ht="12.75" x14ac:dyDescent="0.2"/>
    <row r="970" ht="12.75" x14ac:dyDescent="0.2"/>
    <row r="971" ht="12.75" x14ac:dyDescent="0.2"/>
    <row r="972" ht="12.75" x14ac:dyDescent="0.2"/>
    <row r="973" ht="12.75" x14ac:dyDescent="0.2"/>
    <row r="974" ht="12.75" x14ac:dyDescent="0.2"/>
    <row r="975" ht="12.75" x14ac:dyDescent="0.2"/>
    <row r="976" ht="12.75" x14ac:dyDescent="0.2"/>
    <row r="977" ht="12.75" x14ac:dyDescent="0.2"/>
    <row r="978" ht="12.75" x14ac:dyDescent="0.2"/>
    <row r="979" ht="12.75" x14ac:dyDescent="0.2"/>
    <row r="980" ht="12.75" x14ac:dyDescent="0.2"/>
    <row r="981" ht="12.75" x14ac:dyDescent="0.2"/>
    <row r="982" ht="12.75" x14ac:dyDescent="0.2"/>
    <row r="983" ht="12.75" x14ac:dyDescent="0.2"/>
    <row r="984" ht="12.75" x14ac:dyDescent="0.2"/>
    <row r="985" ht="12.75" x14ac:dyDescent="0.2"/>
    <row r="986" ht="12.75" x14ac:dyDescent="0.2"/>
    <row r="987" ht="12.75" x14ac:dyDescent="0.2"/>
    <row r="988" ht="12.75" x14ac:dyDescent="0.2"/>
    <row r="989" ht="12.75" x14ac:dyDescent="0.2"/>
    <row r="990" ht="12.75" x14ac:dyDescent="0.2"/>
    <row r="991" ht="12.75" x14ac:dyDescent="0.2"/>
    <row r="992" ht="12.75" x14ac:dyDescent="0.2"/>
    <row r="993" ht="12.75" x14ac:dyDescent="0.2"/>
    <row r="994" ht="12.75" x14ac:dyDescent="0.2"/>
    <row r="995" ht="12.75" x14ac:dyDescent="0.2"/>
    <row r="996" ht="12.75" x14ac:dyDescent="0.2"/>
    <row r="997" ht="12.75" x14ac:dyDescent="0.2"/>
    <row r="998" ht="12.75" x14ac:dyDescent="0.2"/>
    <row r="999" ht="12.75" x14ac:dyDescent="0.2"/>
    <row r="1000" ht="12.75" x14ac:dyDescent="0.2"/>
    <row r="1001" ht="12.75" x14ac:dyDescent="0.2"/>
    <row r="1002" ht="12.75" x14ac:dyDescent="0.2"/>
    <row r="1003" ht="12.75" x14ac:dyDescent="0.2"/>
    <row r="1004" ht="12.75" x14ac:dyDescent="0.2"/>
    <row r="1005" ht="12.75" x14ac:dyDescent="0.2"/>
    <row r="1006" ht="12.75" x14ac:dyDescent="0.2"/>
    <row r="1007" ht="12.75" x14ac:dyDescent="0.2"/>
    <row r="1008" ht="12.75" x14ac:dyDescent="0.2"/>
    <row r="1009" ht="12.75" x14ac:dyDescent="0.2"/>
    <row r="1010" ht="12.75" x14ac:dyDescent="0.2"/>
    <row r="1011" ht="12.75" x14ac:dyDescent="0.2"/>
    <row r="1012" ht="12.75" x14ac:dyDescent="0.2"/>
    <row r="1013" ht="12.75" x14ac:dyDescent="0.2"/>
    <row r="1014" ht="12.75" x14ac:dyDescent="0.2"/>
    <row r="1015" ht="12.75" x14ac:dyDescent="0.2"/>
    <row r="1016" ht="12.75" x14ac:dyDescent="0.2"/>
    <row r="1017" ht="12.75" x14ac:dyDescent="0.2"/>
    <row r="1018" ht="12.75" x14ac:dyDescent="0.2"/>
    <row r="1019" ht="12.75" x14ac:dyDescent="0.2"/>
    <row r="1020" ht="12.75" x14ac:dyDescent="0.2"/>
    <row r="1021" ht="12.75" x14ac:dyDescent="0.2"/>
    <row r="1022" ht="12.75" x14ac:dyDescent="0.2"/>
    <row r="1023" ht="12.75" x14ac:dyDescent="0.2"/>
    <row r="1024" ht="12.75" x14ac:dyDescent="0.2"/>
    <row r="1025" ht="12.75" x14ac:dyDescent="0.2"/>
    <row r="1026" ht="12.75" x14ac:dyDescent="0.2"/>
    <row r="1027" ht="12.75" x14ac:dyDescent="0.2"/>
    <row r="1028" ht="12.75" x14ac:dyDescent="0.2"/>
    <row r="1029" ht="12.75" x14ac:dyDescent="0.2"/>
    <row r="1030" ht="12.75" x14ac:dyDescent="0.2"/>
    <row r="1031" ht="12.75" x14ac:dyDescent="0.2"/>
    <row r="1032" ht="12.75" x14ac:dyDescent="0.2"/>
    <row r="1033" ht="12.75" x14ac:dyDescent="0.2"/>
    <row r="1034" ht="12.75" x14ac:dyDescent="0.2"/>
    <row r="1035" ht="12.75" x14ac:dyDescent="0.2"/>
    <row r="1036" ht="12.75" x14ac:dyDescent="0.2"/>
    <row r="1037" ht="12.75" x14ac:dyDescent="0.2"/>
    <row r="1038" ht="12.75" x14ac:dyDescent="0.2"/>
    <row r="1039" ht="12.75" x14ac:dyDescent="0.2"/>
    <row r="1040" ht="12.75" x14ac:dyDescent="0.2"/>
    <row r="1041" ht="12.75" x14ac:dyDescent="0.2"/>
    <row r="1042" ht="12.75" x14ac:dyDescent="0.2"/>
    <row r="1043" ht="12.75" x14ac:dyDescent="0.2"/>
    <row r="1044" ht="12.75" x14ac:dyDescent="0.2"/>
    <row r="1045" ht="12.75" x14ac:dyDescent="0.2"/>
    <row r="1046" ht="12.75" x14ac:dyDescent="0.2"/>
    <row r="1047" ht="12.75" x14ac:dyDescent="0.2"/>
    <row r="1048" ht="12.75" x14ac:dyDescent="0.2"/>
    <row r="1049" ht="12.75" x14ac:dyDescent="0.2"/>
    <row r="1050" ht="12.75" x14ac:dyDescent="0.2"/>
    <row r="1051" ht="12.75" x14ac:dyDescent="0.2"/>
    <row r="1052" ht="12.75" x14ac:dyDescent="0.2"/>
    <row r="1053" ht="12.75" x14ac:dyDescent="0.2"/>
    <row r="1054" ht="12.75" x14ac:dyDescent="0.2"/>
    <row r="1055" ht="12.75" x14ac:dyDescent="0.2"/>
    <row r="1056" ht="12.75" x14ac:dyDescent="0.2"/>
    <row r="1057" ht="12.75" x14ac:dyDescent="0.2"/>
    <row r="1058" ht="12.75" x14ac:dyDescent="0.2"/>
    <row r="1059" ht="12.75" x14ac:dyDescent="0.2"/>
    <row r="1060" ht="12.75" x14ac:dyDescent="0.2"/>
    <row r="1061" ht="12.75" x14ac:dyDescent="0.2"/>
    <row r="1062" ht="12.75" x14ac:dyDescent="0.2"/>
    <row r="1063" ht="12.75" x14ac:dyDescent="0.2"/>
    <row r="1064" ht="12.75" x14ac:dyDescent="0.2"/>
    <row r="1065" ht="12.75" x14ac:dyDescent="0.2"/>
    <row r="1066" ht="12.75" x14ac:dyDescent="0.2"/>
    <row r="1067" ht="12.75" x14ac:dyDescent="0.2"/>
    <row r="1068" ht="12.75" x14ac:dyDescent="0.2"/>
    <row r="1069" ht="12.75" x14ac:dyDescent="0.2"/>
    <row r="1070" ht="12.75" x14ac:dyDescent="0.2"/>
    <row r="1071" ht="12.75" x14ac:dyDescent="0.2"/>
    <row r="1072" ht="12.75" x14ac:dyDescent="0.2"/>
    <row r="1073" ht="12.75" x14ac:dyDescent="0.2"/>
    <row r="1074" ht="12.75" x14ac:dyDescent="0.2"/>
    <row r="1075" ht="12.75" x14ac:dyDescent="0.2"/>
    <row r="1076" ht="12.75" x14ac:dyDescent="0.2"/>
    <row r="1077" ht="12.75" x14ac:dyDescent="0.2"/>
    <row r="1078" ht="12.75" x14ac:dyDescent="0.2"/>
    <row r="1079" ht="12.75" x14ac:dyDescent="0.2"/>
    <row r="1080" ht="12.75" x14ac:dyDescent="0.2"/>
    <row r="1081" ht="12.75" x14ac:dyDescent="0.2"/>
    <row r="1082" ht="12.75" x14ac:dyDescent="0.2"/>
    <row r="1083" ht="12.75" x14ac:dyDescent="0.2"/>
    <row r="1084" ht="12.75" x14ac:dyDescent="0.2"/>
    <row r="1085" ht="12.75" x14ac:dyDescent="0.2"/>
    <row r="1086" ht="12.75" x14ac:dyDescent="0.2"/>
    <row r="1087" ht="12.75" x14ac:dyDescent="0.2"/>
    <row r="1088" ht="12.75" x14ac:dyDescent="0.2"/>
    <row r="1089" ht="12.75" x14ac:dyDescent="0.2"/>
    <row r="1090" ht="12.75" x14ac:dyDescent="0.2"/>
    <row r="1091" ht="12.75" x14ac:dyDescent="0.2"/>
    <row r="1092" ht="12.75" x14ac:dyDescent="0.2"/>
    <row r="1093" ht="12.75" x14ac:dyDescent="0.2"/>
    <row r="1094" ht="12.75" x14ac:dyDescent="0.2"/>
    <row r="1095" ht="12.75" x14ac:dyDescent="0.2"/>
    <row r="1096" ht="12.75" x14ac:dyDescent="0.2"/>
    <row r="1097" ht="12.75" x14ac:dyDescent="0.2"/>
    <row r="1098" ht="12.75" x14ac:dyDescent="0.2"/>
    <row r="1099" ht="12.75" x14ac:dyDescent="0.2"/>
    <row r="1100" ht="12.75" x14ac:dyDescent="0.2"/>
    <row r="1101" ht="12.75" x14ac:dyDescent="0.2"/>
    <row r="1102" ht="12.75" x14ac:dyDescent="0.2"/>
    <row r="1103" ht="12.75" x14ac:dyDescent="0.2"/>
    <row r="1104" ht="12.75" x14ac:dyDescent="0.2"/>
    <row r="1105" ht="12.75" x14ac:dyDescent="0.2"/>
    <row r="1106" ht="12.75" x14ac:dyDescent="0.2"/>
    <row r="1107" ht="12.75" x14ac:dyDescent="0.2"/>
    <row r="1108" ht="12.75" x14ac:dyDescent="0.2"/>
    <row r="1109" ht="12.75" x14ac:dyDescent="0.2"/>
    <row r="1110" ht="12.75" x14ac:dyDescent="0.2"/>
    <row r="1111" ht="12.75" x14ac:dyDescent="0.2"/>
    <row r="1112" ht="12.75" x14ac:dyDescent="0.2"/>
    <row r="1113" ht="12.75" x14ac:dyDescent="0.2"/>
    <row r="1114" ht="12.75" x14ac:dyDescent="0.2"/>
    <row r="1115" ht="12.75" x14ac:dyDescent="0.2"/>
    <row r="1116" ht="12.75" x14ac:dyDescent="0.2"/>
    <row r="1117" ht="12.75" x14ac:dyDescent="0.2"/>
    <row r="1118" ht="12.75" x14ac:dyDescent="0.2"/>
    <row r="1119" ht="12.75" x14ac:dyDescent="0.2"/>
    <row r="1120" ht="12.75" x14ac:dyDescent="0.2"/>
    <row r="1121" ht="12.75" x14ac:dyDescent="0.2"/>
    <row r="1122" ht="12.75" x14ac:dyDescent="0.2"/>
    <row r="1123" ht="12.75" x14ac:dyDescent="0.2"/>
    <row r="1124" ht="12.75" x14ac:dyDescent="0.2"/>
    <row r="1125" ht="12.75" x14ac:dyDescent="0.2"/>
    <row r="1126" ht="12.75" x14ac:dyDescent="0.2"/>
    <row r="1127" ht="12.75" x14ac:dyDescent="0.2"/>
    <row r="1128" ht="12.75" x14ac:dyDescent="0.2"/>
    <row r="1129" ht="12.75" x14ac:dyDescent="0.2"/>
    <row r="1130" ht="12.75" x14ac:dyDescent="0.2"/>
    <row r="1131" ht="12.75" x14ac:dyDescent="0.2"/>
    <row r="1132" ht="12.75" x14ac:dyDescent="0.2"/>
    <row r="1133" ht="12.75" x14ac:dyDescent="0.2"/>
    <row r="1134" ht="12.75" x14ac:dyDescent="0.2"/>
    <row r="1135" ht="12.75" x14ac:dyDescent="0.2"/>
    <row r="1136" ht="12.75" x14ac:dyDescent="0.2"/>
    <row r="1137" ht="12.75" x14ac:dyDescent="0.2"/>
    <row r="1138" ht="12.75" x14ac:dyDescent="0.2"/>
    <row r="1139" ht="12.75" x14ac:dyDescent="0.2"/>
    <row r="1140" ht="12.75" x14ac:dyDescent="0.2"/>
    <row r="1141" ht="12.75" x14ac:dyDescent="0.2"/>
    <row r="1142" ht="12.75" x14ac:dyDescent="0.2"/>
    <row r="1143" ht="12.75" x14ac:dyDescent="0.2"/>
    <row r="1144" ht="12.75" x14ac:dyDescent="0.2"/>
    <row r="1145" ht="12.75" x14ac:dyDescent="0.2"/>
    <row r="1146" ht="12.75" x14ac:dyDescent="0.2"/>
    <row r="1147" ht="12.75" x14ac:dyDescent="0.2"/>
    <row r="1148" ht="12.75" x14ac:dyDescent="0.2"/>
    <row r="1149" ht="12.75" x14ac:dyDescent="0.2"/>
    <row r="1150" ht="12.75" x14ac:dyDescent="0.2"/>
    <row r="1151" ht="12.75" x14ac:dyDescent="0.2"/>
    <row r="1152" ht="12.75" x14ac:dyDescent="0.2"/>
    <row r="1153" ht="12.75" x14ac:dyDescent="0.2"/>
    <row r="1154" ht="12.75" x14ac:dyDescent="0.2"/>
    <row r="1155" ht="12.75" x14ac:dyDescent="0.2"/>
    <row r="1156" ht="12.75" x14ac:dyDescent="0.2"/>
    <row r="1157" ht="12.75" x14ac:dyDescent="0.2"/>
    <row r="1158" ht="12.75" x14ac:dyDescent="0.2"/>
    <row r="1159" ht="12.75" x14ac:dyDescent="0.2"/>
    <row r="1160" ht="12.75" x14ac:dyDescent="0.2"/>
    <row r="1161" ht="12.75" x14ac:dyDescent="0.2"/>
    <row r="1162" ht="12.75" x14ac:dyDescent="0.2"/>
    <row r="1163" ht="12.75" x14ac:dyDescent="0.2"/>
    <row r="1164" ht="12.75" x14ac:dyDescent="0.2"/>
    <row r="1165" ht="12.75" x14ac:dyDescent="0.2"/>
    <row r="1166" ht="12.75" x14ac:dyDescent="0.2"/>
    <row r="1167" ht="12.75" x14ac:dyDescent="0.2"/>
    <row r="1168" ht="12.75" x14ac:dyDescent="0.2"/>
    <row r="1169" ht="12.75" x14ac:dyDescent="0.2"/>
    <row r="1170" ht="12.75" x14ac:dyDescent="0.2"/>
    <row r="1171" ht="12.75" x14ac:dyDescent="0.2"/>
    <row r="1172" ht="12.75" x14ac:dyDescent="0.2"/>
    <row r="1173" ht="12.75" x14ac:dyDescent="0.2"/>
    <row r="1174" ht="12.75" x14ac:dyDescent="0.2"/>
    <row r="1175" ht="12.75" x14ac:dyDescent="0.2"/>
    <row r="1176" ht="12.75" x14ac:dyDescent="0.2"/>
    <row r="1177" ht="12.75" x14ac:dyDescent="0.2"/>
    <row r="1178" ht="12.75" x14ac:dyDescent="0.2"/>
    <row r="1179" ht="12.75" x14ac:dyDescent="0.2"/>
    <row r="1180" ht="12.75" x14ac:dyDescent="0.2"/>
    <row r="1181" ht="12.75" x14ac:dyDescent="0.2"/>
    <row r="1182" ht="12.75" x14ac:dyDescent="0.2"/>
    <row r="1183" ht="12.75" x14ac:dyDescent="0.2"/>
    <row r="1184" ht="12.75" x14ac:dyDescent="0.2"/>
    <row r="1185" ht="12.75" x14ac:dyDescent="0.2"/>
    <row r="1186" ht="12.75" x14ac:dyDescent="0.2"/>
    <row r="1187" ht="12.75" x14ac:dyDescent="0.2"/>
    <row r="1188" ht="12.75" x14ac:dyDescent="0.2"/>
    <row r="1189" ht="12.75" x14ac:dyDescent="0.2"/>
    <row r="1190" ht="12.75" x14ac:dyDescent="0.2"/>
    <row r="1191" ht="12.75" x14ac:dyDescent="0.2"/>
    <row r="1192" ht="12.75" x14ac:dyDescent="0.2"/>
    <row r="1193" ht="12.75" x14ac:dyDescent="0.2"/>
    <row r="1194" ht="12.75" x14ac:dyDescent="0.2"/>
    <row r="1195" ht="12.75" x14ac:dyDescent="0.2"/>
    <row r="1196" ht="12.75" x14ac:dyDescent="0.2"/>
    <row r="1197" ht="12.75" x14ac:dyDescent="0.2"/>
    <row r="1198" ht="12.75" x14ac:dyDescent="0.2"/>
    <row r="1199" ht="12.75" x14ac:dyDescent="0.2"/>
    <row r="1200" ht="12.75" x14ac:dyDescent="0.2"/>
    <row r="1201" ht="12.75" x14ac:dyDescent="0.2"/>
    <row r="1202" ht="12.75" x14ac:dyDescent="0.2"/>
    <row r="1203" ht="12.75" x14ac:dyDescent="0.2"/>
    <row r="1204" ht="12.75" x14ac:dyDescent="0.2"/>
    <row r="1205" ht="12.75" x14ac:dyDescent="0.2"/>
    <row r="1206" ht="12.75" x14ac:dyDescent="0.2"/>
    <row r="1207" ht="12.75" x14ac:dyDescent="0.2"/>
    <row r="1208" ht="12.75" x14ac:dyDescent="0.2"/>
    <row r="1209" ht="12.75" x14ac:dyDescent="0.2"/>
    <row r="1210" ht="12.75" x14ac:dyDescent="0.2"/>
    <row r="1211" ht="12.75" x14ac:dyDescent="0.2"/>
    <row r="1212" ht="12.75" x14ac:dyDescent="0.2"/>
    <row r="1213" ht="12.75" x14ac:dyDescent="0.2"/>
    <row r="1214" ht="12.75" x14ac:dyDescent="0.2"/>
    <row r="1215" ht="12.75" x14ac:dyDescent="0.2"/>
    <row r="1216" ht="12.75" x14ac:dyDescent="0.2"/>
    <row r="1217" ht="12.75" x14ac:dyDescent="0.2"/>
    <row r="1218" ht="12.75" x14ac:dyDescent="0.2"/>
    <row r="1219" ht="12.75" x14ac:dyDescent="0.2"/>
    <row r="1220" ht="12.75" x14ac:dyDescent="0.2"/>
    <row r="1221" ht="12.75" x14ac:dyDescent="0.2"/>
    <row r="1222" ht="12.75" x14ac:dyDescent="0.2"/>
    <row r="1223" ht="12.75" x14ac:dyDescent="0.2"/>
    <row r="1224" ht="12.75" x14ac:dyDescent="0.2"/>
    <row r="1225" ht="12.75" x14ac:dyDescent="0.2"/>
    <row r="1226" ht="12.75" x14ac:dyDescent="0.2"/>
    <row r="1227" ht="12.75" x14ac:dyDescent="0.2"/>
    <row r="1228" ht="12.75" x14ac:dyDescent="0.2"/>
    <row r="1229" ht="12.75" x14ac:dyDescent="0.2"/>
    <row r="1230" ht="12.75" x14ac:dyDescent="0.2"/>
    <row r="1231" ht="12.75" x14ac:dyDescent="0.2"/>
    <row r="1232" ht="12.75" x14ac:dyDescent="0.2"/>
    <row r="1233" ht="12.75" x14ac:dyDescent="0.2"/>
    <row r="1234" ht="12.75" x14ac:dyDescent="0.2"/>
    <row r="1235" ht="12.75" x14ac:dyDescent="0.2"/>
    <row r="1236" ht="12.75" x14ac:dyDescent="0.2"/>
    <row r="1237" ht="12.75" x14ac:dyDescent="0.2"/>
    <row r="1238" ht="12.75" x14ac:dyDescent="0.2"/>
    <row r="1239" ht="12.75" x14ac:dyDescent="0.2"/>
    <row r="1240" ht="12.75" x14ac:dyDescent="0.2"/>
    <row r="1241" ht="12.75" x14ac:dyDescent="0.2"/>
    <row r="1242" ht="12.75" x14ac:dyDescent="0.2"/>
    <row r="1243" ht="12.75" x14ac:dyDescent="0.2"/>
    <row r="1244" ht="12.75" x14ac:dyDescent="0.2"/>
    <row r="1245" ht="12.75" x14ac:dyDescent="0.2"/>
    <row r="1246" ht="12.75" x14ac:dyDescent="0.2"/>
    <row r="1247" ht="12.75" x14ac:dyDescent="0.2"/>
    <row r="1248" ht="12.75" x14ac:dyDescent="0.2"/>
    <row r="1249" ht="12.75" x14ac:dyDescent="0.2"/>
    <row r="1250" ht="12.75" x14ac:dyDescent="0.2"/>
    <row r="1251" ht="12.75" x14ac:dyDescent="0.2"/>
    <row r="1252" ht="12.75" x14ac:dyDescent="0.2"/>
    <row r="1253" ht="12.75" x14ac:dyDescent="0.2"/>
    <row r="1254" ht="12.75" x14ac:dyDescent="0.2"/>
    <row r="1255" ht="12.75" x14ac:dyDescent="0.2"/>
    <row r="1256" ht="12.75" x14ac:dyDescent="0.2"/>
    <row r="1257" ht="12.75" x14ac:dyDescent="0.2"/>
    <row r="1258" ht="12.75" x14ac:dyDescent="0.2"/>
    <row r="1259" ht="12.75" x14ac:dyDescent="0.2"/>
    <row r="1260" ht="12.75" x14ac:dyDescent="0.2"/>
    <row r="1261" ht="12.75" x14ac:dyDescent="0.2"/>
    <row r="1262" ht="12.75" x14ac:dyDescent="0.2"/>
    <row r="1263" ht="12.75" x14ac:dyDescent="0.2"/>
    <row r="1264" ht="12.75" x14ac:dyDescent="0.2"/>
    <row r="1265" ht="12.75" x14ac:dyDescent="0.2"/>
    <row r="1266" ht="12.75" x14ac:dyDescent="0.2"/>
    <row r="1267" ht="12.75" x14ac:dyDescent="0.2"/>
    <row r="1268" ht="12.75" x14ac:dyDescent="0.2"/>
    <row r="1269" ht="12.75" x14ac:dyDescent="0.2"/>
    <row r="1270" ht="12.75" x14ac:dyDescent="0.2"/>
    <row r="1271" ht="12.75" x14ac:dyDescent="0.2"/>
    <row r="1272" ht="12.75" x14ac:dyDescent="0.2"/>
    <row r="1273" ht="12.75" x14ac:dyDescent="0.2"/>
    <row r="1274" ht="12.75" x14ac:dyDescent="0.2"/>
    <row r="1275" ht="12.75" x14ac:dyDescent="0.2"/>
    <row r="1276" ht="12.75" x14ac:dyDescent="0.2"/>
    <row r="1277" ht="12.75" x14ac:dyDescent="0.2"/>
    <row r="1278" ht="12.75" x14ac:dyDescent="0.2"/>
    <row r="1279" ht="12.75" x14ac:dyDescent="0.2"/>
    <row r="1280" ht="12.75" x14ac:dyDescent="0.2"/>
    <row r="1281" ht="12.75" x14ac:dyDescent="0.2"/>
    <row r="1282" ht="12.75" x14ac:dyDescent="0.2"/>
    <row r="1283" ht="12.75" x14ac:dyDescent="0.2"/>
    <row r="1284" ht="12.75" x14ac:dyDescent="0.2"/>
    <row r="1285" ht="12.75" x14ac:dyDescent="0.2"/>
    <row r="1286" ht="12.75" x14ac:dyDescent="0.2"/>
    <row r="1287" ht="12.75" x14ac:dyDescent="0.2"/>
    <row r="1288" ht="12.75" x14ac:dyDescent="0.2"/>
    <row r="1289" ht="12.75" x14ac:dyDescent="0.2"/>
    <row r="1290" ht="12.75" x14ac:dyDescent="0.2"/>
    <row r="1291" ht="12.75" x14ac:dyDescent="0.2"/>
    <row r="1292" ht="12.75" x14ac:dyDescent="0.2"/>
    <row r="1293" ht="12.75" x14ac:dyDescent="0.2"/>
    <row r="1294" ht="12.75" x14ac:dyDescent="0.2"/>
    <row r="1295" ht="12.75" x14ac:dyDescent="0.2"/>
    <row r="1296" ht="12.75" x14ac:dyDescent="0.2"/>
    <row r="1297" ht="12.75" x14ac:dyDescent="0.2"/>
    <row r="1298" ht="12.75" x14ac:dyDescent="0.2"/>
    <row r="1299" ht="12.75" x14ac:dyDescent="0.2"/>
    <row r="1300" ht="12.75" x14ac:dyDescent="0.2"/>
    <row r="1301" ht="12.75" x14ac:dyDescent="0.2"/>
    <row r="1302" ht="12.75" x14ac:dyDescent="0.2"/>
    <row r="1303" ht="12.75" x14ac:dyDescent="0.2"/>
    <row r="1304" ht="12.75" x14ac:dyDescent="0.2"/>
    <row r="1305" ht="12.75" x14ac:dyDescent="0.2"/>
    <row r="1306" ht="12.75" x14ac:dyDescent="0.2"/>
    <row r="1307" ht="12.75" x14ac:dyDescent="0.2"/>
    <row r="1308" ht="12.75" x14ac:dyDescent="0.2"/>
    <row r="1309" ht="12.75" x14ac:dyDescent="0.2"/>
    <row r="1310" ht="12.75" x14ac:dyDescent="0.2"/>
    <row r="1311" ht="12.75" x14ac:dyDescent="0.2"/>
    <row r="1312" ht="12.75" x14ac:dyDescent="0.2"/>
    <row r="1313" ht="12.75" x14ac:dyDescent="0.2"/>
    <row r="1314" ht="12.75" x14ac:dyDescent="0.2"/>
    <row r="1315" ht="12.75" x14ac:dyDescent="0.2"/>
    <row r="1316" ht="12.75" x14ac:dyDescent="0.2"/>
    <row r="1317" ht="12.75" x14ac:dyDescent="0.2"/>
    <row r="1318" ht="12.75" x14ac:dyDescent="0.2"/>
    <row r="1319" ht="12.75" x14ac:dyDescent="0.2"/>
    <row r="1320" ht="12.75" x14ac:dyDescent="0.2"/>
    <row r="1321" ht="12.75" x14ac:dyDescent="0.2"/>
    <row r="1322" ht="12.75" x14ac:dyDescent="0.2"/>
    <row r="1323" ht="12.75" x14ac:dyDescent="0.2"/>
    <row r="1324" ht="12.75" x14ac:dyDescent="0.2"/>
    <row r="1325" ht="12.75" x14ac:dyDescent="0.2"/>
    <row r="1326" ht="12.75" x14ac:dyDescent="0.2"/>
    <row r="1327" ht="12.75" x14ac:dyDescent="0.2"/>
    <row r="1328" ht="12.75" x14ac:dyDescent="0.2"/>
    <row r="1329" ht="12.75" x14ac:dyDescent="0.2"/>
    <row r="1330" ht="12.75" x14ac:dyDescent="0.2"/>
    <row r="1331" ht="12.75" x14ac:dyDescent="0.2"/>
    <row r="1332" ht="12.75" x14ac:dyDescent="0.2"/>
    <row r="1333" ht="12.75" x14ac:dyDescent="0.2"/>
    <row r="1334" ht="12.75" x14ac:dyDescent="0.2"/>
    <row r="1335" ht="12.75" x14ac:dyDescent="0.2"/>
    <row r="1336" ht="12.75" x14ac:dyDescent="0.2"/>
    <row r="1337" ht="12.75" x14ac:dyDescent="0.2"/>
    <row r="1338" ht="12.75" x14ac:dyDescent="0.2"/>
    <row r="1339" ht="12.75" x14ac:dyDescent="0.2"/>
    <row r="1340" ht="12.75" x14ac:dyDescent="0.2"/>
    <row r="1341" ht="12.75" x14ac:dyDescent="0.2"/>
    <row r="1342" ht="12.75" x14ac:dyDescent="0.2"/>
    <row r="1343" ht="12.75" x14ac:dyDescent="0.2"/>
    <row r="1344" ht="12.75" x14ac:dyDescent="0.2"/>
    <row r="1345" ht="12.75" x14ac:dyDescent="0.2"/>
    <row r="1346" ht="12.75" x14ac:dyDescent="0.2"/>
    <row r="1347" ht="12.75" x14ac:dyDescent="0.2"/>
    <row r="1348" ht="12.75" x14ac:dyDescent="0.2"/>
    <row r="1349" ht="12.75" x14ac:dyDescent="0.2"/>
    <row r="1350" ht="12.75" x14ac:dyDescent="0.2"/>
    <row r="1351" ht="12.75" x14ac:dyDescent="0.2"/>
    <row r="1352" ht="12.75" x14ac:dyDescent="0.2"/>
    <row r="1353" ht="12.75" x14ac:dyDescent="0.2"/>
    <row r="1354" ht="12.75" x14ac:dyDescent="0.2"/>
    <row r="1355" ht="12.75" x14ac:dyDescent="0.2"/>
    <row r="1356" ht="12.75" x14ac:dyDescent="0.2"/>
    <row r="1357" ht="12.75" x14ac:dyDescent="0.2"/>
    <row r="1358" ht="12.75" x14ac:dyDescent="0.2"/>
    <row r="1359" ht="12.75" x14ac:dyDescent="0.2"/>
    <row r="1360" ht="12.75" x14ac:dyDescent="0.2"/>
    <row r="1361" ht="12.75" x14ac:dyDescent="0.2"/>
    <row r="1362" ht="12.75" x14ac:dyDescent="0.2"/>
    <row r="1363" ht="12.75" x14ac:dyDescent="0.2"/>
    <row r="1364" ht="12.75" x14ac:dyDescent="0.2"/>
    <row r="1365" ht="12.75" x14ac:dyDescent="0.2"/>
    <row r="1366" ht="12.75" x14ac:dyDescent="0.2"/>
    <row r="1367" ht="12.75" x14ac:dyDescent="0.2"/>
    <row r="1368" ht="12.75" x14ac:dyDescent="0.2"/>
    <row r="1369" ht="12.75" x14ac:dyDescent="0.2"/>
    <row r="1370" ht="12.75" x14ac:dyDescent="0.2"/>
    <row r="1371" ht="12.75" x14ac:dyDescent="0.2"/>
    <row r="1372" ht="12.75" x14ac:dyDescent="0.2"/>
    <row r="1373" ht="12.75" x14ac:dyDescent="0.2"/>
    <row r="1374" ht="12.75" x14ac:dyDescent="0.2"/>
    <row r="1375" ht="12.75" x14ac:dyDescent="0.2"/>
    <row r="1376" ht="12.75" x14ac:dyDescent="0.2"/>
    <row r="1377" ht="12.75" x14ac:dyDescent="0.2"/>
    <row r="1378" ht="12.75" x14ac:dyDescent="0.2"/>
    <row r="1379" ht="12.75" x14ac:dyDescent="0.2"/>
    <row r="1380" ht="12.75" x14ac:dyDescent="0.2"/>
    <row r="1381" ht="12.75" x14ac:dyDescent="0.2"/>
    <row r="1382" ht="12.75" x14ac:dyDescent="0.2"/>
    <row r="1383" ht="12.75" x14ac:dyDescent="0.2"/>
    <row r="1384" ht="12.75" x14ac:dyDescent="0.2"/>
    <row r="1385" ht="12.75" x14ac:dyDescent="0.2"/>
    <row r="1386" ht="12.75" x14ac:dyDescent="0.2"/>
    <row r="1387" ht="12.75" x14ac:dyDescent="0.2"/>
    <row r="1388" ht="12.75" x14ac:dyDescent="0.2"/>
    <row r="1389" ht="12.75" x14ac:dyDescent="0.2"/>
    <row r="1390" ht="12.75" x14ac:dyDescent="0.2"/>
    <row r="1391" ht="12.75" x14ac:dyDescent="0.2"/>
    <row r="1392" ht="12.75" x14ac:dyDescent="0.2"/>
    <row r="1393" ht="12.75" x14ac:dyDescent="0.2"/>
    <row r="1394" ht="12.75" x14ac:dyDescent="0.2"/>
    <row r="1395" ht="12.75" x14ac:dyDescent="0.2"/>
    <row r="1396" ht="12.75" x14ac:dyDescent="0.2"/>
    <row r="1397" ht="12.75" x14ac:dyDescent="0.2"/>
    <row r="1398" ht="12.75" x14ac:dyDescent="0.2"/>
    <row r="1399" ht="12.75" x14ac:dyDescent="0.2"/>
    <row r="1400" ht="12.75" x14ac:dyDescent="0.2"/>
    <row r="1401" ht="12.75" x14ac:dyDescent="0.2"/>
    <row r="1402" ht="12.75" x14ac:dyDescent="0.2"/>
    <row r="1403" ht="12.75" x14ac:dyDescent="0.2"/>
    <row r="1404" ht="12.75" x14ac:dyDescent="0.2"/>
    <row r="1405" ht="12.75" x14ac:dyDescent="0.2"/>
    <row r="1406" ht="12.75" x14ac:dyDescent="0.2"/>
    <row r="1407" ht="12.75" x14ac:dyDescent="0.2"/>
    <row r="1408" ht="12.75" x14ac:dyDescent="0.2"/>
    <row r="1409" ht="12.75" x14ac:dyDescent="0.2"/>
    <row r="1410" ht="12.75" x14ac:dyDescent="0.2"/>
    <row r="1411" ht="12.75" x14ac:dyDescent="0.2"/>
    <row r="1412" ht="12.75" x14ac:dyDescent="0.2"/>
    <row r="1413" ht="12.75" x14ac:dyDescent="0.2"/>
    <row r="1414" ht="12.75" x14ac:dyDescent="0.2"/>
    <row r="1415" ht="12.75" x14ac:dyDescent="0.2"/>
    <row r="1416" ht="12.75" x14ac:dyDescent="0.2"/>
    <row r="1417" ht="12.75" x14ac:dyDescent="0.2"/>
    <row r="1418" ht="12.75" x14ac:dyDescent="0.2"/>
    <row r="1419" ht="12.75" x14ac:dyDescent="0.2"/>
    <row r="1420" ht="12.75" x14ac:dyDescent="0.2"/>
    <row r="1421" ht="12.75" x14ac:dyDescent="0.2"/>
    <row r="1422" ht="12.75" x14ac:dyDescent="0.2"/>
    <row r="1423" ht="12.75" x14ac:dyDescent="0.2"/>
    <row r="1424" ht="12.75" x14ac:dyDescent="0.2"/>
    <row r="1425" ht="12.75" x14ac:dyDescent="0.2"/>
    <row r="1426" ht="12.75" x14ac:dyDescent="0.2"/>
    <row r="1427" ht="12.75" x14ac:dyDescent="0.2"/>
    <row r="1428" ht="12.75" x14ac:dyDescent="0.2"/>
    <row r="1429" ht="12.75" x14ac:dyDescent="0.2"/>
    <row r="1430" ht="12.75" x14ac:dyDescent="0.2"/>
    <row r="1431" ht="12.75" x14ac:dyDescent="0.2"/>
    <row r="1432" ht="12.75" x14ac:dyDescent="0.2"/>
    <row r="1433" ht="12.75" x14ac:dyDescent="0.2"/>
    <row r="1434" ht="12.75" x14ac:dyDescent="0.2"/>
    <row r="1435" ht="12.75" x14ac:dyDescent="0.2"/>
    <row r="1436" ht="12.75" x14ac:dyDescent="0.2"/>
    <row r="1437" ht="12.75" x14ac:dyDescent="0.2"/>
    <row r="1438" ht="12.75" x14ac:dyDescent="0.2"/>
    <row r="1439" ht="12.75" x14ac:dyDescent="0.2"/>
    <row r="1440" ht="12.75" x14ac:dyDescent="0.2"/>
    <row r="1441" ht="12.75" x14ac:dyDescent="0.2"/>
    <row r="1442" ht="12.75" x14ac:dyDescent="0.2"/>
    <row r="1443" ht="12.75" x14ac:dyDescent="0.2"/>
    <row r="1444" ht="12.75" x14ac:dyDescent="0.2"/>
    <row r="1445" ht="12.75" x14ac:dyDescent="0.2"/>
    <row r="1446" ht="12.75" x14ac:dyDescent="0.2"/>
    <row r="1447" ht="12.75" x14ac:dyDescent="0.2"/>
    <row r="1448" ht="12.75" x14ac:dyDescent="0.2"/>
    <row r="1449" ht="12.75" x14ac:dyDescent="0.2"/>
    <row r="1450" ht="12.75" x14ac:dyDescent="0.2"/>
    <row r="1451" ht="12.75" x14ac:dyDescent="0.2"/>
    <row r="1452" ht="12.75" x14ac:dyDescent="0.2"/>
    <row r="1453" ht="12.75" x14ac:dyDescent="0.2"/>
    <row r="1454" ht="12.75" x14ac:dyDescent="0.2"/>
    <row r="1455" ht="12.75" x14ac:dyDescent="0.2"/>
    <row r="1456" ht="12.75" x14ac:dyDescent="0.2"/>
    <row r="1457" ht="12.75" x14ac:dyDescent="0.2"/>
    <row r="1458" ht="12.75" x14ac:dyDescent="0.2"/>
    <row r="1459" ht="12.75" x14ac:dyDescent="0.2"/>
    <row r="1460" ht="12.75" x14ac:dyDescent="0.2"/>
    <row r="1461" ht="12.75" x14ac:dyDescent="0.2"/>
    <row r="1462" ht="12.75" x14ac:dyDescent="0.2"/>
    <row r="1463" ht="12.75" x14ac:dyDescent="0.2"/>
    <row r="1464" ht="12.75" x14ac:dyDescent="0.2"/>
    <row r="1465" ht="12.75" x14ac:dyDescent="0.2"/>
    <row r="1466" ht="12.75" x14ac:dyDescent="0.2"/>
    <row r="1467" ht="12.75" x14ac:dyDescent="0.2"/>
    <row r="1468" ht="12.75" x14ac:dyDescent="0.2"/>
    <row r="1469" ht="12.75" x14ac:dyDescent="0.2"/>
    <row r="1470" ht="12.75" x14ac:dyDescent="0.2"/>
    <row r="1471" ht="12.75" x14ac:dyDescent="0.2"/>
    <row r="1472" ht="12.75" x14ac:dyDescent="0.2"/>
    <row r="1473" ht="12.75" x14ac:dyDescent="0.2"/>
    <row r="1474" ht="12.75" x14ac:dyDescent="0.2"/>
    <row r="1475" ht="12.75" x14ac:dyDescent="0.2"/>
    <row r="1476" ht="12.75" x14ac:dyDescent="0.2"/>
    <row r="1477" ht="12.75" x14ac:dyDescent="0.2"/>
    <row r="1478" ht="12.75" x14ac:dyDescent="0.2"/>
    <row r="1479" ht="12.75" x14ac:dyDescent="0.2"/>
    <row r="1480" ht="12.75" x14ac:dyDescent="0.2"/>
    <row r="1481" ht="12.75" x14ac:dyDescent="0.2"/>
    <row r="1482" ht="12.75" x14ac:dyDescent="0.2"/>
    <row r="1483" ht="12.75" x14ac:dyDescent="0.2"/>
    <row r="1484" ht="12.75" x14ac:dyDescent="0.2"/>
    <row r="1485" ht="12.75" x14ac:dyDescent="0.2"/>
    <row r="1486" ht="12.75" x14ac:dyDescent="0.2"/>
    <row r="1487" ht="12.75" x14ac:dyDescent="0.2"/>
    <row r="1488" ht="12.75" x14ac:dyDescent="0.2"/>
    <row r="1489" ht="12.75" x14ac:dyDescent="0.2"/>
    <row r="1490" ht="12.75" x14ac:dyDescent="0.2"/>
    <row r="1491" ht="12.75" x14ac:dyDescent="0.2"/>
    <row r="1492" ht="12.75" x14ac:dyDescent="0.2"/>
    <row r="1493" ht="12.75" x14ac:dyDescent="0.2"/>
    <row r="1494" ht="12.75" x14ac:dyDescent="0.2"/>
    <row r="1495" ht="12.75" x14ac:dyDescent="0.2"/>
    <row r="1496" ht="12.75" x14ac:dyDescent="0.2"/>
    <row r="1497" ht="12.75" x14ac:dyDescent="0.2"/>
    <row r="1498" ht="12.75" x14ac:dyDescent="0.2"/>
    <row r="1499" ht="12.75" x14ac:dyDescent="0.2"/>
    <row r="1500" ht="12.75" x14ac:dyDescent="0.2"/>
    <row r="1501" ht="12.75" x14ac:dyDescent="0.2"/>
    <row r="1502" ht="12.75" x14ac:dyDescent="0.2"/>
    <row r="1503" ht="12.75" x14ac:dyDescent="0.2"/>
    <row r="1504" ht="12.75" x14ac:dyDescent="0.2"/>
    <row r="1505" ht="12.75" x14ac:dyDescent="0.2"/>
    <row r="1506" ht="12.75" x14ac:dyDescent="0.2"/>
    <row r="1507" ht="12.75" x14ac:dyDescent="0.2"/>
    <row r="1508" ht="12.75" x14ac:dyDescent="0.2"/>
    <row r="1509" ht="12.75" x14ac:dyDescent="0.2"/>
    <row r="1510" ht="12.75" x14ac:dyDescent="0.2"/>
    <row r="1511" ht="12.75" x14ac:dyDescent="0.2"/>
    <row r="1512" ht="12.75" x14ac:dyDescent="0.2"/>
    <row r="1513" ht="12.75" x14ac:dyDescent="0.2"/>
    <row r="1514" ht="12.75" x14ac:dyDescent="0.2"/>
    <row r="1515" ht="12.75" x14ac:dyDescent="0.2"/>
    <row r="1516" ht="12.75" x14ac:dyDescent="0.2"/>
    <row r="1517" ht="12.75" x14ac:dyDescent="0.2"/>
    <row r="1518" ht="12.75" x14ac:dyDescent="0.2"/>
    <row r="1519" ht="12.75" x14ac:dyDescent="0.2"/>
    <row r="1520" ht="12.75" x14ac:dyDescent="0.2"/>
    <row r="1521" ht="12.75" x14ac:dyDescent="0.2"/>
    <row r="1522" ht="12.75" x14ac:dyDescent="0.2"/>
    <row r="1523" ht="12.75" x14ac:dyDescent="0.2"/>
    <row r="1524" ht="12.75" x14ac:dyDescent="0.2"/>
    <row r="1525" ht="12.75" x14ac:dyDescent="0.2"/>
    <row r="1526" ht="12.75" x14ac:dyDescent="0.2"/>
    <row r="1527" ht="12.75" x14ac:dyDescent="0.2"/>
    <row r="1528" ht="12.75" x14ac:dyDescent="0.2"/>
    <row r="1529" ht="12.75" x14ac:dyDescent="0.2"/>
    <row r="1530" ht="12.75" x14ac:dyDescent="0.2"/>
    <row r="1531" ht="12.75" x14ac:dyDescent="0.2"/>
    <row r="1532" ht="12.75" x14ac:dyDescent="0.2"/>
    <row r="1533" ht="12.75" x14ac:dyDescent="0.2"/>
    <row r="1534" ht="12.75" x14ac:dyDescent="0.2"/>
    <row r="1535" ht="12.75" x14ac:dyDescent="0.2"/>
    <row r="1536" ht="12.75" x14ac:dyDescent="0.2"/>
    <row r="1537" ht="12.75" x14ac:dyDescent="0.2"/>
    <row r="1538" ht="12.75" x14ac:dyDescent="0.2"/>
    <row r="1539" ht="12.75" x14ac:dyDescent="0.2"/>
    <row r="1540" ht="12.75" x14ac:dyDescent="0.2"/>
    <row r="1541" ht="12.75" x14ac:dyDescent="0.2"/>
    <row r="1542" ht="12.75" x14ac:dyDescent="0.2"/>
    <row r="1543" ht="12.75" x14ac:dyDescent="0.2"/>
    <row r="1544" ht="12.75" x14ac:dyDescent="0.2"/>
    <row r="1545" ht="12.75" x14ac:dyDescent="0.2"/>
    <row r="1546" ht="12.75" x14ac:dyDescent="0.2"/>
    <row r="1547" ht="12.75" x14ac:dyDescent="0.2"/>
    <row r="1548" ht="12.75" x14ac:dyDescent="0.2"/>
    <row r="1549" ht="12.75" x14ac:dyDescent="0.2"/>
    <row r="1550" ht="12.75" x14ac:dyDescent="0.2"/>
    <row r="1551" ht="12.75" x14ac:dyDescent="0.2"/>
    <row r="1552" ht="12.75" x14ac:dyDescent="0.2"/>
    <row r="1553" ht="12.75" x14ac:dyDescent="0.2"/>
    <row r="1554" ht="12.75" x14ac:dyDescent="0.2"/>
    <row r="1555" ht="12.75" x14ac:dyDescent="0.2"/>
    <row r="1556" ht="12.75" x14ac:dyDescent="0.2"/>
    <row r="1557" ht="12.75" x14ac:dyDescent="0.2"/>
    <row r="1558" ht="12.75" x14ac:dyDescent="0.2"/>
    <row r="1559" ht="12.75" x14ac:dyDescent="0.2"/>
    <row r="1560" ht="12.75" x14ac:dyDescent="0.2"/>
    <row r="1561" ht="12.75" x14ac:dyDescent="0.2"/>
    <row r="1562" ht="12.75" x14ac:dyDescent="0.2"/>
    <row r="1563" ht="12.75" x14ac:dyDescent="0.2"/>
    <row r="1564" ht="12.75" x14ac:dyDescent="0.2"/>
    <row r="1565" ht="12.75" x14ac:dyDescent="0.2"/>
    <row r="1566" ht="12.75" x14ac:dyDescent="0.2"/>
    <row r="1567" ht="12.75" x14ac:dyDescent="0.2"/>
    <row r="1568" ht="12.75" x14ac:dyDescent="0.2"/>
    <row r="1569" ht="12.75" x14ac:dyDescent="0.2"/>
    <row r="1570" ht="12.75" x14ac:dyDescent="0.2"/>
    <row r="1571" ht="12.75" x14ac:dyDescent="0.2"/>
    <row r="1572" ht="12.75" x14ac:dyDescent="0.2"/>
    <row r="1573" ht="12.75" x14ac:dyDescent="0.2"/>
    <row r="1574" ht="12.75" x14ac:dyDescent="0.2"/>
    <row r="1575" ht="12.75" x14ac:dyDescent="0.2"/>
    <row r="1576" ht="12.75" x14ac:dyDescent="0.2"/>
    <row r="1577" ht="12.75" x14ac:dyDescent="0.2"/>
    <row r="1578" ht="12.75" x14ac:dyDescent="0.2"/>
    <row r="1579" ht="12.75" x14ac:dyDescent="0.2"/>
    <row r="1580" ht="12.75" x14ac:dyDescent="0.2"/>
    <row r="1581" ht="12.75" x14ac:dyDescent="0.2"/>
    <row r="1582" ht="12.75" x14ac:dyDescent="0.2"/>
    <row r="1583" ht="12.75" x14ac:dyDescent="0.2"/>
    <row r="1584" ht="12.75" x14ac:dyDescent="0.2"/>
    <row r="1585" ht="12.75" x14ac:dyDescent="0.2"/>
    <row r="1586" ht="12.75" x14ac:dyDescent="0.2"/>
    <row r="1587" ht="12.75" x14ac:dyDescent="0.2"/>
    <row r="1588" ht="12.75" x14ac:dyDescent="0.2"/>
    <row r="1589" ht="12.75" x14ac:dyDescent="0.2"/>
    <row r="1590" ht="12.75" x14ac:dyDescent="0.2"/>
    <row r="1591" ht="12.75" x14ac:dyDescent="0.2"/>
    <row r="1592" ht="12.75" x14ac:dyDescent="0.2"/>
    <row r="1593" ht="12.75" x14ac:dyDescent="0.2"/>
    <row r="1594" ht="12.75" x14ac:dyDescent="0.2"/>
    <row r="1595" ht="12.75" x14ac:dyDescent="0.2"/>
    <row r="1596" ht="12.75" x14ac:dyDescent="0.2"/>
    <row r="1597" ht="12.75" x14ac:dyDescent="0.2"/>
    <row r="1598" ht="12.75" x14ac:dyDescent="0.2"/>
    <row r="1599" ht="12.75" x14ac:dyDescent="0.2"/>
    <row r="1600" ht="12.75" x14ac:dyDescent="0.2"/>
    <row r="1601" ht="12.75" x14ac:dyDescent="0.2"/>
    <row r="1602" ht="12.75" x14ac:dyDescent="0.2"/>
    <row r="1603" ht="12.75" x14ac:dyDescent="0.2"/>
    <row r="1604" ht="12.75" x14ac:dyDescent="0.2"/>
    <row r="1605" ht="12.75" x14ac:dyDescent="0.2"/>
    <row r="1606" ht="12.75" x14ac:dyDescent="0.2"/>
    <row r="1607" ht="12.75" x14ac:dyDescent="0.2"/>
    <row r="1608" ht="12.75" x14ac:dyDescent="0.2"/>
    <row r="1609" ht="12.75" x14ac:dyDescent="0.2"/>
    <row r="1610" ht="12.75" x14ac:dyDescent="0.2"/>
    <row r="1611" ht="12.75" x14ac:dyDescent="0.2"/>
    <row r="1612" ht="12.75" x14ac:dyDescent="0.2"/>
    <row r="1613" ht="12.75" x14ac:dyDescent="0.2"/>
    <row r="1614" ht="12.75" x14ac:dyDescent="0.2"/>
    <row r="1615" ht="12.75" x14ac:dyDescent="0.2"/>
    <row r="1616" ht="12.75" x14ac:dyDescent="0.2"/>
    <row r="1617" ht="12.75" x14ac:dyDescent="0.2"/>
    <row r="1618" ht="12.75" x14ac:dyDescent="0.2"/>
    <row r="1619" ht="12.75" x14ac:dyDescent="0.2"/>
    <row r="1620" ht="12.75" x14ac:dyDescent="0.2"/>
    <row r="1621" ht="12.75" x14ac:dyDescent="0.2"/>
    <row r="1622" ht="12.75" x14ac:dyDescent="0.2"/>
    <row r="1623" ht="12.75" x14ac:dyDescent="0.2"/>
    <row r="1624" ht="12.75" x14ac:dyDescent="0.2"/>
    <row r="1625" ht="12.75" x14ac:dyDescent="0.2"/>
    <row r="1626" ht="12.75" x14ac:dyDescent="0.2"/>
    <row r="1627" ht="12.75" x14ac:dyDescent="0.2"/>
    <row r="1628" ht="12.75" x14ac:dyDescent="0.2"/>
    <row r="1629" ht="12.75" x14ac:dyDescent="0.2"/>
    <row r="1630" ht="12.75" x14ac:dyDescent="0.2"/>
    <row r="1631" ht="12.75" x14ac:dyDescent="0.2"/>
    <row r="1632" ht="12.75" x14ac:dyDescent="0.2"/>
    <row r="1633" ht="12.75" x14ac:dyDescent="0.2"/>
    <row r="1634" ht="12.75" x14ac:dyDescent="0.2"/>
    <row r="1635" ht="12.75" x14ac:dyDescent="0.2"/>
    <row r="1636" ht="12.75" x14ac:dyDescent="0.2"/>
    <row r="1637" ht="12.75" x14ac:dyDescent="0.2"/>
    <row r="1638" ht="12.75" x14ac:dyDescent="0.2"/>
    <row r="1639" ht="12.75" x14ac:dyDescent="0.2"/>
    <row r="1640" ht="12.75" x14ac:dyDescent="0.2"/>
    <row r="1641" ht="12.75" x14ac:dyDescent="0.2"/>
    <row r="1642" ht="12.75" x14ac:dyDescent="0.2"/>
    <row r="1643" ht="12.75" x14ac:dyDescent="0.2"/>
    <row r="1644" ht="12.75" x14ac:dyDescent="0.2"/>
    <row r="1645" ht="12.75" x14ac:dyDescent="0.2"/>
    <row r="1646" ht="12.75" x14ac:dyDescent="0.2"/>
    <row r="1647" ht="12.75" x14ac:dyDescent="0.2"/>
    <row r="1648" ht="12.75" x14ac:dyDescent="0.2"/>
    <row r="1649" ht="12.75" x14ac:dyDescent="0.2"/>
    <row r="1650" ht="12.75" x14ac:dyDescent="0.2"/>
    <row r="1651" ht="12.75" x14ac:dyDescent="0.2"/>
    <row r="1652" ht="12.75" x14ac:dyDescent="0.2"/>
    <row r="1653" ht="12.75" x14ac:dyDescent="0.2"/>
    <row r="1654" ht="12.75" x14ac:dyDescent="0.2"/>
    <row r="1655" ht="12.75" x14ac:dyDescent="0.2"/>
    <row r="1656" ht="12.75" x14ac:dyDescent="0.2"/>
    <row r="1657" ht="12.75" x14ac:dyDescent="0.2"/>
    <row r="1658" ht="12.75" x14ac:dyDescent="0.2"/>
    <row r="1659" ht="12.75" x14ac:dyDescent="0.2"/>
    <row r="1660" ht="12.75" x14ac:dyDescent="0.2"/>
    <row r="1661" ht="12.75" x14ac:dyDescent="0.2"/>
    <row r="1662" ht="12.75" x14ac:dyDescent="0.2"/>
    <row r="1663" ht="12.75" x14ac:dyDescent="0.2"/>
    <row r="1664" ht="12.75" x14ac:dyDescent="0.2"/>
    <row r="1665" ht="12.75" x14ac:dyDescent="0.2"/>
    <row r="1666" ht="12.75" x14ac:dyDescent="0.2"/>
    <row r="1667" ht="12.75" x14ac:dyDescent="0.2"/>
    <row r="1668" ht="12.75" x14ac:dyDescent="0.2"/>
    <row r="1669" ht="12.75" x14ac:dyDescent="0.2"/>
    <row r="1670" ht="12.75" x14ac:dyDescent="0.2"/>
    <row r="1671" ht="12.75" x14ac:dyDescent="0.2"/>
    <row r="1672" ht="12.75" x14ac:dyDescent="0.2"/>
    <row r="1673" ht="12.75" x14ac:dyDescent="0.2"/>
    <row r="1674" ht="12.75" x14ac:dyDescent="0.2"/>
    <row r="1675" ht="12.75" x14ac:dyDescent="0.2"/>
    <row r="1676" ht="12.75" x14ac:dyDescent="0.2"/>
    <row r="1677" ht="12.75" x14ac:dyDescent="0.2"/>
    <row r="1678" ht="12.75" x14ac:dyDescent="0.2"/>
    <row r="1679" ht="12.75" x14ac:dyDescent="0.2"/>
    <row r="1680" ht="12.75" x14ac:dyDescent="0.2"/>
    <row r="1681" ht="12.75" x14ac:dyDescent="0.2"/>
    <row r="1682" ht="12.75" x14ac:dyDescent="0.2"/>
    <row r="1683" ht="12.75" x14ac:dyDescent="0.2"/>
    <row r="1684" ht="12.75" x14ac:dyDescent="0.2"/>
    <row r="1685" ht="12.75" x14ac:dyDescent="0.2"/>
    <row r="1686" ht="12.75" x14ac:dyDescent="0.2"/>
    <row r="1687" ht="12.75" x14ac:dyDescent="0.2"/>
    <row r="1688" ht="12.75" x14ac:dyDescent="0.2"/>
    <row r="1689" ht="12.75" x14ac:dyDescent="0.2"/>
    <row r="1690" ht="12.75" x14ac:dyDescent="0.2"/>
    <row r="1691" ht="12.75" x14ac:dyDescent="0.2"/>
    <row r="1692" ht="12.75" x14ac:dyDescent="0.2"/>
    <row r="1693" ht="12.75" x14ac:dyDescent="0.2"/>
    <row r="1694" ht="12.75" x14ac:dyDescent="0.2"/>
    <row r="1695" ht="12.75" x14ac:dyDescent="0.2"/>
    <row r="1696" ht="12.75" x14ac:dyDescent="0.2"/>
    <row r="1697" ht="12.75" x14ac:dyDescent="0.2"/>
    <row r="1698" ht="12.75" x14ac:dyDescent="0.2"/>
    <row r="1699" ht="12.75" x14ac:dyDescent="0.2"/>
    <row r="1700" ht="12.75" x14ac:dyDescent="0.2"/>
    <row r="1701" ht="12.75" x14ac:dyDescent="0.2"/>
    <row r="1702" ht="12.75" x14ac:dyDescent="0.2"/>
    <row r="1703" ht="12.75" x14ac:dyDescent="0.2"/>
    <row r="1704" ht="12.75" x14ac:dyDescent="0.2"/>
    <row r="1705" ht="12.75" x14ac:dyDescent="0.2"/>
    <row r="1706" ht="12.75" x14ac:dyDescent="0.2"/>
    <row r="1707" ht="12.75" x14ac:dyDescent="0.2"/>
    <row r="1708" ht="12.75" x14ac:dyDescent="0.2"/>
    <row r="1709" ht="12.75" x14ac:dyDescent="0.2"/>
    <row r="1710" ht="12.75" x14ac:dyDescent="0.2"/>
    <row r="1711" ht="12.75" x14ac:dyDescent="0.2"/>
    <row r="1712" ht="12.75" x14ac:dyDescent="0.2"/>
    <row r="1713" ht="12.75" x14ac:dyDescent="0.2"/>
    <row r="1714" ht="12.75" x14ac:dyDescent="0.2"/>
    <row r="1715" ht="12.75" x14ac:dyDescent="0.2"/>
    <row r="1716" ht="12.75" x14ac:dyDescent="0.2"/>
    <row r="1717" ht="12.75" x14ac:dyDescent="0.2"/>
    <row r="1718" ht="12.75" x14ac:dyDescent="0.2"/>
    <row r="1719" ht="12.75" x14ac:dyDescent="0.2"/>
    <row r="1720" ht="12.75" x14ac:dyDescent="0.2"/>
    <row r="1721" ht="12.75" x14ac:dyDescent="0.2"/>
    <row r="1722" ht="12.75" x14ac:dyDescent="0.2"/>
    <row r="1723" ht="12.75" x14ac:dyDescent="0.2"/>
    <row r="1724" ht="12.75" x14ac:dyDescent="0.2"/>
    <row r="1725" ht="12.75" x14ac:dyDescent="0.2"/>
    <row r="1726" ht="12.75" x14ac:dyDescent="0.2"/>
    <row r="1727" ht="12.75" x14ac:dyDescent="0.2"/>
    <row r="1728" ht="12.75" x14ac:dyDescent="0.2"/>
    <row r="1729" ht="12.75" x14ac:dyDescent="0.2"/>
    <row r="1730" ht="12.75" x14ac:dyDescent="0.2"/>
    <row r="1731" ht="12.75" x14ac:dyDescent="0.2"/>
    <row r="1732" ht="12.75" x14ac:dyDescent="0.2"/>
    <row r="1733" ht="12.75" x14ac:dyDescent="0.2"/>
    <row r="1734" ht="12.75" x14ac:dyDescent="0.2"/>
    <row r="1735" ht="12.75" x14ac:dyDescent="0.2"/>
    <row r="1736" ht="12.75" x14ac:dyDescent="0.2"/>
    <row r="1737" ht="12.75" x14ac:dyDescent="0.2"/>
    <row r="1738" ht="12.75" x14ac:dyDescent="0.2"/>
    <row r="1739" ht="12.75" x14ac:dyDescent="0.2"/>
    <row r="1740" ht="12.75" x14ac:dyDescent="0.2"/>
    <row r="1741" ht="12.75" x14ac:dyDescent="0.2"/>
    <row r="1742" ht="12.75" x14ac:dyDescent="0.2"/>
    <row r="1743" ht="12.75" x14ac:dyDescent="0.2"/>
    <row r="1744" ht="12.75" x14ac:dyDescent="0.2"/>
    <row r="1745" ht="12.75" x14ac:dyDescent="0.2"/>
    <row r="1746" ht="12.75" x14ac:dyDescent="0.2"/>
    <row r="1747" ht="12.75" x14ac:dyDescent="0.2"/>
    <row r="1748" ht="12.75" x14ac:dyDescent="0.2"/>
    <row r="1749" ht="12.75" x14ac:dyDescent="0.2"/>
    <row r="1750" ht="12.75" x14ac:dyDescent="0.2"/>
    <row r="1751" ht="12.75" x14ac:dyDescent="0.2"/>
    <row r="1752" ht="12.75" x14ac:dyDescent="0.2"/>
    <row r="1753" ht="12.75" x14ac:dyDescent="0.2"/>
    <row r="1754" ht="12.75" x14ac:dyDescent="0.2"/>
    <row r="1755" ht="12.75" x14ac:dyDescent="0.2"/>
    <row r="1756" ht="12.75" x14ac:dyDescent="0.2"/>
    <row r="1757" ht="12.75" x14ac:dyDescent="0.2"/>
    <row r="1758" ht="12.75" x14ac:dyDescent="0.2"/>
    <row r="1759" ht="12.75" x14ac:dyDescent="0.2"/>
    <row r="1760" ht="12.75" x14ac:dyDescent="0.2"/>
    <row r="1761" ht="12.75" x14ac:dyDescent="0.2"/>
    <row r="1762" ht="12.75" x14ac:dyDescent="0.2"/>
    <row r="1763" ht="12.75" x14ac:dyDescent="0.2"/>
    <row r="1764" ht="12.75" x14ac:dyDescent="0.2"/>
    <row r="1765" ht="12.75" x14ac:dyDescent="0.2"/>
    <row r="1766" ht="12.75" x14ac:dyDescent="0.2"/>
    <row r="1767" ht="12.75" x14ac:dyDescent="0.2"/>
    <row r="1768" ht="12.75" x14ac:dyDescent="0.2"/>
    <row r="1769" ht="12.75" x14ac:dyDescent="0.2"/>
    <row r="1770" ht="12.75" x14ac:dyDescent="0.2"/>
    <row r="1771" ht="12.75" x14ac:dyDescent="0.2"/>
    <row r="1772" ht="12.75" x14ac:dyDescent="0.2"/>
    <row r="1773" ht="12.75" x14ac:dyDescent="0.2"/>
    <row r="1774" ht="12.75" x14ac:dyDescent="0.2"/>
    <row r="1775" ht="12.75" x14ac:dyDescent="0.2"/>
    <row r="1776" ht="12.75" x14ac:dyDescent="0.2"/>
    <row r="1777" ht="12.75" x14ac:dyDescent="0.2"/>
    <row r="1778" ht="12.75" x14ac:dyDescent="0.2"/>
    <row r="1779" ht="12.75" x14ac:dyDescent="0.2"/>
    <row r="1780" ht="12.75" x14ac:dyDescent="0.2"/>
    <row r="1781" ht="12.75" x14ac:dyDescent="0.2"/>
    <row r="1782" ht="12.75" x14ac:dyDescent="0.2"/>
    <row r="1783" ht="12.75" x14ac:dyDescent="0.2"/>
    <row r="1784" ht="12.75" x14ac:dyDescent="0.2"/>
    <row r="1785" ht="12.75" x14ac:dyDescent="0.2"/>
    <row r="1786" ht="12.75" x14ac:dyDescent="0.2"/>
    <row r="1787" ht="12.75" x14ac:dyDescent="0.2"/>
    <row r="1788" ht="12.75" x14ac:dyDescent="0.2"/>
    <row r="1789" ht="12.75" x14ac:dyDescent="0.2"/>
    <row r="1790" ht="12.75" x14ac:dyDescent="0.2"/>
    <row r="1791" ht="12.75" x14ac:dyDescent="0.2"/>
    <row r="1792" ht="12.75" x14ac:dyDescent="0.2"/>
    <row r="1793" ht="12.75" x14ac:dyDescent="0.2"/>
    <row r="1794" ht="12.75" x14ac:dyDescent="0.2"/>
    <row r="1795" ht="12.75" x14ac:dyDescent="0.2"/>
    <row r="1796" ht="12.75" x14ac:dyDescent="0.2"/>
    <row r="1797" ht="12.75" x14ac:dyDescent="0.2"/>
    <row r="1798" ht="12.75" x14ac:dyDescent="0.2"/>
    <row r="1799" ht="12.75" x14ac:dyDescent="0.2"/>
    <row r="1800" ht="12.75" x14ac:dyDescent="0.2"/>
    <row r="1801" ht="12.75" x14ac:dyDescent="0.2"/>
    <row r="1802" ht="12.75" x14ac:dyDescent="0.2"/>
    <row r="1803" ht="12.75" x14ac:dyDescent="0.2"/>
    <row r="1804" ht="12.75" x14ac:dyDescent="0.2"/>
    <row r="1805" ht="12.75" x14ac:dyDescent="0.2"/>
    <row r="1806" ht="12.75" x14ac:dyDescent="0.2"/>
    <row r="1807" ht="12.75" x14ac:dyDescent="0.2"/>
    <row r="1808" ht="12.75" x14ac:dyDescent="0.2"/>
    <row r="1809" ht="12.75" x14ac:dyDescent="0.2"/>
    <row r="1810" ht="12.75" x14ac:dyDescent="0.2"/>
    <row r="1811" ht="12.75" x14ac:dyDescent="0.2"/>
    <row r="1812" ht="12.75" x14ac:dyDescent="0.2"/>
    <row r="1813" ht="12.75" x14ac:dyDescent="0.2"/>
    <row r="1814" ht="12.75" x14ac:dyDescent="0.2"/>
    <row r="1815" ht="12.75" x14ac:dyDescent="0.2"/>
    <row r="1816" ht="12.75" x14ac:dyDescent="0.2"/>
    <row r="1817" ht="12.75" x14ac:dyDescent="0.2"/>
    <row r="1818" ht="12.75" x14ac:dyDescent="0.2"/>
    <row r="1819" ht="12.75" x14ac:dyDescent="0.2"/>
    <row r="1820" ht="12.75" x14ac:dyDescent="0.2"/>
    <row r="1821" ht="12.75" x14ac:dyDescent="0.2"/>
    <row r="1822" ht="12.75" x14ac:dyDescent="0.2"/>
    <row r="1823" ht="12.75" x14ac:dyDescent="0.2"/>
    <row r="1824" ht="12.75" x14ac:dyDescent="0.2"/>
    <row r="1825" ht="12.75" x14ac:dyDescent="0.2"/>
    <row r="1826" ht="12.75" x14ac:dyDescent="0.2"/>
    <row r="1827" ht="12.75" x14ac:dyDescent="0.2"/>
    <row r="1828" ht="12.75" x14ac:dyDescent="0.2"/>
    <row r="1829" ht="12.75" x14ac:dyDescent="0.2"/>
    <row r="1830" ht="12.75" x14ac:dyDescent="0.2"/>
    <row r="1831" ht="12.75" x14ac:dyDescent="0.2"/>
    <row r="1832" ht="12.75" x14ac:dyDescent="0.2"/>
    <row r="1833" ht="12.75" x14ac:dyDescent="0.2"/>
    <row r="1834" ht="12.75" x14ac:dyDescent="0.2"/>
    <row r="1835" ht="12.75" x14ac:dyDescent="0.2"/>
    <row r="1836" ht="12.75" x14ac:dyDescent="0.2"/>
    <row r="1837" ht="12.75" x14ac:dyDescent="0.2"/>
    <row r="1838" ht="12.75" x14ac:dyDescent="0.2"/>
    <row r="1839" ht="12.75" x14ac:dyDescent="0.2"/>
    <row r="1840" ht="12.75" x14ac:dyDescent="0.2"/>
    <row r="1841" ht="12.75" x14ac:dyDescent="0.2"/>
    <row r="1842" ht="12.75" x14ac:dyDescent="0.2"/>
    <row r="1843" ht="12.75" x14ac:dyDescent="0.2"/>
    <row r="1844" ht="12.75" x14ac:dyDescent="0.2"/>
    <row r="1845" ht="12.75" x14ac:dyDescent="0.2"/>
    <row r="1846" ht="12.75" x14ac:dyDescent="0.2"/>
    <row r="1847" ht="12.75" x14ac:dyDescent="0.2"/>
    <row r="1848" ht="12.75" x14ac:dyDescent="0.2"/>
    <row r="1849" ht="12.75" x14ac:dyDescent="0.2"/>
    <row r="1850" ht="12.75" x14ac:dyDescent="0.2"/>
    <row r="1851" ht="12.75" x14ac:dyDescent="0.2"/>
    <row r="1852" ht="12.75" x14ac:dyDescent="0.2"/>
    <row r="1853" ht="12.75" x14ac:dyDescent="0.2"/>
    <row r="1854" ht="12.75" x14ac:dyDescent="0.2"/>
    <row r="1855" ht="12.75" x14ac:dyDescent="0.2"/>
    <row r="1856" ht="12.75" x14ac:dyDescent="0.2"/>
    <row r="1857" ht="12.75" x14ac:dyDescent="0.2"/>
    <row r="1858" ht="12.75" x14ac:dyDescent="0.2"/>
    <row r="1859" ht="12.75" x14ac:dyDescent="0.2"/>
    <row r="1860" ht="12.75" x14ac:dyDescent="0.2"/>
    <row r="1861" ht="12.75" x14ac:dyDescent="0.2"/>
    <row r="1862" ht="12.75" x14ac:dyDescent="0.2"/>
    <row r="1863" ht="12.75" x14ac:dyDescent="0.2"/>
    <row r="1864" ht="12.75" x14ac:dyDescent="0.2"/>
    <row r="1865" ht="12.75" x14ac:dyDescent="0.2"/>
    <row r="1866" ht="12.75" x14ac:dyDescent="0.2"/>
    <row r="1867" ht="12.75" x14ac:dyDescent="0.2"/>
    <row r="1868" ht="12.75" x14ac:dyDescent="0.2"/>
    <row r="1869" ht="12.75" x14ac:dyDescent="0.2"/>
    <row r="1870" ht="12.75" x14ac:dyDescent="0.2"/>
    <row r="1871" ht="12.75" x14ac:dyDescent="0.2"/>
    <row r="1872" ht="12.75" x14ac:dyDescent="0.2"/>
    <row r="1873" ht="12.75" x14ac:dyDescent="0.2"/>
    <row r="1874" ht="12.75" x14ac:dyDescent="0.2"/>
    <row r="1875" ht="12.75" x14ac:dyDescent="0.2"/>
    <row r="1876" ht="12.75" x14ac:dyDescent="0.2"/>
    <row r="1877" ht="12.75" x14ac:dyDescent="0.2"/>
    <row r="1878" ht="12.75" x14ac:dyDescent="0.2"/>
    <row r="1879" ht="12.75" x14ac:dyDescent="0.2"/>
    <row r="1880" ht="12.75" x14ac:dyDescent="0.2"/>
    <row r="1881" ht="12.75" x14ac:dyDescent="0.2"/>
    <row r="1882" ht="12.75" x14ac:dyDescent="0.2"/>
    <row r="1883" ht="12.75" x14ac:dyDescent="0.2"/>
    <row r="1884" ht="12.75" x14ac:dyDescent="0.2"/>
    <row r="1885" ht="12.75" x14ac:dyDescent="0.2"/>
    <row r="1886" ht="12.75" x14ac:dyDescent="0.2"/>
    <row r="1887" ht="12.75" x14ac:dyDescent="0.2"/>
    <row r="1888" ht="12.75" x14ac:dyDescent="0.2"/>
    <row r="1889" ht="12.75" x14ac:dyDescent="0.2"/>
    <row r="1890" ht="12.75" x14ac:dyDescent="0.2"/>
    <row r="1891" ht="12.75" x14ac:dyDescent="0.2"/>
    <row r="1892" ht="12.75" x14ac:dyDescent="0.2"/>
    <row r="1893" ht="12.75" x14ac:dyDescent="0.2"/>
    <row r="1894" ht="12.75" x14ac:dyDescent="0.2"/>
    <row r="1895" ht="12.75" x14ac:dyDescent="0.2"/>
    <row r="1896" ht="12.75" x14ac:dyDescent="0.2"/>
    <row r="1897" ht="12.75" x14ac:dyDescent="0.2"/>
    <row r="1898" ht="12.75" x14ac:dyDescent="0.2"/>
    <row r="1899" ht="12.75" x14ac:dyDescent="0.2"/>
    <row r="1900" ht="12.75" x14ac:dyDescent="0.2"/>
    <row r="1901" ht="12.75" x14ac:dyDescent="0.2"/>
    <row r="1902" ht="12.75" x14ac:dyDescent="0.2"/>
    <row r="1903" ht="12.75" x14ac:dyDescent="0.2"/>
    <row r="1904" ht="12.75" x14ac:dyDescent="0.2"/>
    <row r="1905" ht="12.75" x14ac:dyDescent="0.2"/>
    <row r="1906" ht="12.75" x14ac:dyDescent="0.2"/>
    <row r="1907" ht="12.75" x14ac:dyDescent="0.2"/>
    <row r="1908" ht="12.75" x14ac:dyDescent="0.2"/>
    <row r="1909" ht="12.75" x14ac:dyDescent="0.2"/>
    <row r="1910" ht="12.75" x14ac:dyDescent="0.2"/>
    <row r="1911" ht="12.75" x14ac:dyDescent="0.2"/>
    <row r="1912" ht="12.75" x14ac:dyDescent="0.2"/>
    <row r="1913" ht="12.75" x14ac:dyDescent="0.2"/>
    <row r="1914" ht="12.75" x14ac:dyDescent="0.2"/>
    <row r="1915" ht="12.75" x14ac:dyDescent="0.2"/>
    <row r="1916" ht="12.75" x14ac:dyDescent="0.2"/>
    <row r="1917" ht="12.75" x14ac:dyDescent="0.2"/>
    <row r="1918" ht="12.75" x14ac:dyDescent="0.2"/>
    <row r="1919" ht="12.75" x14ac:dyDescent="0.2"/>
    <row r="1920" ht="12.75" x14ac:dyDescent="0.2"/>
    <row r="1921" ht="12.75" x14ac:dyDescent="0.2"/>
    <row r="1922" ht="12.75" x14ac:dyDescent="0.2"/>
    <row r="1923" ht="12.75" x14ac:dyDescent="0.2"/>
    <row r="1924" ht="12.75" x14ac:dyDescent="0.2"/>
    <row r="1925" ht="12.75" x14ac:dyDescent="0.2"/>
    <row r="1926" ht="12.75" x14ac:dyDescent="0.2"/>
    <row r="1927" ht="12.75" x14ac:dyDescent="0.2"/>
    <row r="1928" ht="12.75" x14ac:dyDescent="0.2"/>
    <row r="1929" ht="12.75" x14ac:dyDescent="0.2"/>
    <row r="1930" ht="12.75" x14ac:dyDescent="0.2"/>
    <row r="1931" ht="12.75" x14ac:dyDescent="0.2"/>
    <row r="1932" ht="12.75" x14ac:dyDescent="0.2"/>
    <row r="1933" ht="12.75" x14ac:dyDescent="0.2"/>
    <row r="1934" ht="12.75" x14ac:dyDescent="0.2"/>
    <row r="1935" ht="12.75" x14ac:dyDescent="0.2"/>
    <row r="1936" ht="12.75" x14ac:dyDescent="0.2"/>
    <row r="1937" ht="12.75" x14ac:dyDescent="0.2"/>
    <row r="1938" ht="12.75" x14ac:dyDescent="0.2"/>
    <row r="1939" ht="12.75" x14ac:dyDescent="0.2"/>
    <row r="1940" ht="12.75" x14ac:dyDescent="0.2"/>
    <row r="1941" ht="12.75" x14ac:dyDescent="0.2"/>
    <row r="1942" ht="12.75" x14ac:dyDescent="0.2"/>
    <row r="1943" ht="12.75" x14ac:dyDescent="0.2"/>
    <row r="1944" ht="12.75" x14ac:dyDescent="0.2"/>
    <row r="1945" ht="12.75" x14ac:dyDescent="0.2"/>
    <row r="1946" ht="12.75" x14ac:dyDescent="0.2"/>
    <row r="1947" ht="12.75" x14ac:dyDescent="0.2"/>
    <row r="1948" ht="12.75" x14ac:dyDescent="0.2"/>
    <row r="1949" ht="12.75" x14ac:dyDescent="0.2"/>
    <row r="1950" ht="12.75" x14ac:dyDescent="0.2"/>
    <row r="1951" ht="12.75" x14ac:dyDescent="0.2"/>
    <row r="1952" ht="12.75" x14ac:dyDescent="0.2"/>
    <row r="1953" ht="12.75" x14ac:dyDescent="0.2"/>
    <row r="1954" ht="12.75" x14ac:dyDescent="0.2"/>
    <row r="1955" ht="12.75" x14ac:dyDescent="0.2"/>
    <row r="1956" ht="12.75" x14ac:dyDescent="0.2"/>
    <row r="1957" ht="12.75" x14ac:dyDescent="0.2"/>
    <row r="1958" ht="12.75" x14ac:dyDescent="0.2"/>
    <row r="1959" ht="12.75" x14ac:dyDescent="0.2"/>
    <row r="1960" ht="12.75" x14ac:dyDescent="0.2"/>
    <row r="1961" ht="12.75" x14ac:dyDescent="0.2"/>
    <row r="1962" ht="12.75" x14ac:dyDescent="0.2"/>
    <row r="1963" ht="12.75" x14ac:dyDescent="0.2"/>
    <row r="1964" ht="12.75" x14ac:dyDescent="0.2"/>
    <row r="1965" ht="12.75" x14ac:dyDescent="0.2"/>
    <row r="1966" ht="12.75" x14ac:dyDescent="0.2"/>
    <row r="1967" ht="12.75" x14ac:dyDescent="0.2"/>
    <row r="1968" ht="12.75" x14ac:dyDescent="0.2"/>
    <row r="1969" ht="12.75" x14ac:dyDescent="0.2"/>
    <row r="1970" ht="12.75" x14ac:dyDescent="0.2"/>
    <row r="1971" ht="12.75" x14ac:dyDescent="0.2"/>
    <row r="1972" ht="12.75" x14ac:dyDescent="0.2"/>
    <row r="1973" ht="12.75" x14ac:dyDescent="0.2"/>
    <row r="1974" ht="12.75" x14ac:dyDescent="0.2"/>
    <row r="1975" ht="12.75" x14ac:dyDescent="0.2"/>
    <row r="1976" ht="12.75" x14ac:dyDescent="0.2"/>
    <row r="1977" ht="12.75" x14ac:dyDescent="0.2"/>
    <row r="1978" ht="12.75" x14ac:dyDescent="0.2"/>
    <row r="1979" ht="12.75" x14ac:dyDescent="0.2"/>
    <row r="1980" ht="12.75" x14ac:dyDescent="0.2"/>
    <row r="1981" ht="12.75" x14ac:dyDescent="0.2"/>
    <row r="1982" ht="12.75" x14ac:dyDescent="0.2"/>
    <row r="1983" ht="12.75" x14ac:dyDescent="0.2"/>
    <row r="1984" ht="12.75" x14ac:dyDescent="0.2"/>
    <row r="1985" ht="12.75" x14ac:dyDescent="0.2"/>
    <row r="1986" ht="12.75" x14ac:dyDescent="0.2"/>
    <row r="1987" ht="12.75" x14ac:dyDescent="0.2"/>
    <row r="1988" ht="12.75" x14ac:dyDescent="0.2"/>
    <row r="1989" ht="12.75" x14ac:dyDescent="0.2"/>
    <row r="1990" ht="12.75" x14ac:dyDescent="0.2"/>
    <row r="1991" ht="12.75" x14ac:dyDescent="0.2"/>
    <row r="1992" ht="12.75" x14ac:dyDescent="0.2"/>
    <row r="1993" ht="12.75" x14ac:dyDescent="0.2"/>
    <row r="1994" ht="12.75" x14ac:dyDescent="0.2"/>
    <row r="1995" ht="12.75" x14ac:dyDescent="0.2"/>
    <row r="1996" ht="12.75" x14ac:dyDescent="0.2"/>
    <row r="1997" ht="12.75" x14ac:dyDescent="0.2"/>
    <row r="1998" ht="12.75" x14ac:dyDescent="0.2"/>
    <row r="1999" ht="12.75" x14ac:dyDescent="0.2"/>
    <row r="2000" ht="12.75" x14ac:dyDescent="0.2"/>
    <row r="2001" ht="12.75" x14ac:dyDescent="0.2"/>
    <row r="2002" ht="12.75" x14ac:dyDescent="0.2"/>
    <row r="2003" ht="12.75" x14ac:dyDescent="0.2"/>
    <row r="2004" ht="12.75" x14ac:dyDescent="0.2"/>
    <row r="2005" ht="12.75" x14ac:dyDescent="0.2"/>
    <row r="2006" ht="12.75" x14ac:dyDescent="0.2"/>
    <row r="2007" ht="12.75" x14ac:dyDescent="0.2"/>
    <row r="2008" ht="12.75" x14ac:dyDescent="0.2"/>
    <row r="2009" ht="12.75" x14ac:dyDescent="0.2"/>
    <row r="2010" ht="12.75" x14ac:dyDescent="0.2"/>
    <row r="2011" ht="12.75" x14ac:dyDescent="0.2"/>
    <row r="2012" ht="12.75" x14ac:dyDescent="0.2"/>
    <row r="2013" ht="12.75" x14ac:dyDescent="0.2"/>
    <row r="2014" ht="12.75" x14ac:dyDescent="0.2"/>
    <row r="2015" ht="12.75" x14ac:dyDescent="0.2"/>
    <row r="2016" ht="12.75" x14ac:dyDescent="0.2"/>
    <row r="2017" ht="12.75" x14ac:dyDescent="0.2"/>
    <row r="2018" ht="12.75" x14ac:dyDescent="0.2"/>
    <row r="2019" ht="12.75" x14ac:dyDescent="0.2"/>
    <row r="2020" ht="12.75" x14ac:dyDescent="0.2"/>
    <row r="2021" ht="12.75" x14ac:dyDescent="0.2"/>
    <row r="2022" ht="12.75" x14ac:dyDescent="0.2"/>
    <row r="2023" ht="12.75" x14ac:dyDescent="0.2"/>
    <row r="2024" ht="12.75" x14ac:dyDescent="0.2"/>
    <row r="2025" ht="12.75" x14ac:dyDescent="0.2"/>
    <row r="2026" ht="12.75" x14ac:dyDescent="0.2"/>
    <row r="2027" ht="12.75" x14ac:dyDescent="0.2"/>
    <row r="2028" ht="12.75" x14ac:dyDescent="0.2"/>
    <row r="2029" ht="12.75" x14ac:dyDescent="0.2"/>
    <row r="2030" ht="12.75" x14ac:dyDescent="0.2"/>
    <row r="2031" ht="12.75" x14ac:dyDescent="0.2"/>
    <row r="2032" ht="12.75" x14ac:dyDescent="0.2"/>
    <row r="2033" ht="12.75" x14ac:dyDescent="0.2"/>
    <row r="2034" ht="12.75" x14ac:dyDescent="0.2"/>
    <row r="2035" ht="12.75" x14ac:dyDescent="0.2"/>
    <row r="2036" ht="12.75" x14ac:dyDescent="0.2"/>
    <row r="2037" ht="12.75" x14ac:dyDescent="0.2"/>
    <row r="2038" ht="12.75" x14ac:dyDescent="0.2"/>
    <row r="2039" ht="12.75" x14ac:dyDescent="0.2"/>
    <row r="2040" ht="12.75" x14ac:dyDescent="0.2"/>
    <row r="2041" ht="12.75" x14ac:dyDescent="0.2"/>
    <row r="2042" ht="12.75" x14ac:dyDescent="0.2"/>
    <row r="2043" ht="12.75" x14ac:dyDescent="0.2"/>
    <row r="2044" ht="12.75" x14ac:dyDescent="0.2"/>
    <row r="2045" ht="12.75" x14ac:dyDescent="0.2"/>
    <row r="2046" ht="12.75" x14ac:dyDescent="0.2"/>
    <row r="2047" ht="12.75" x14ac:dyDescent="0.2"/>
    <row r="2048" ht="12.75" x14ac:dyDescent="0.2"/>
    <row r="2049" ht="12.75" x14ac:dyDescent="0.2"/>
    <row r="2050" ht="12.75" x14ac:dyDescent="0.2"/>
    <row r="2051" ht="12.75" x14ac:dyDescent="0.2"/>
    <row r="2052" ht="12.75" x14ac:dyDescent="0.2"/>
    <row r="2053" ht="12.75" x14ac:dyDescent="0.2"/>
    <row r="2054" ht="12.75" x14ac:dyDescent="0.2"/>
    <row r="2055" ht="12.75" x14ac:dyDescent="0.2"/>
    <row r="2056" ht="12.75" x14ac:dyDescent="0.2"/>
    <row r="2057" ht="12.75" x14ac:dyDescent="0.2"/>
    <row r="2058" ht="12.75" x14ac:dyDescent="0.2"/>
    <row r="2059" ht="12.75" x14ac:dyDescent="0.2"/>
    <row r="2060" ht="12.75" x14ac:dyDescent="0.2"/>
    <row r="2061" ht="12.75" x14ac:dyDescent="0.2"/>
    <row r="2062" ht="12.75" x14ac:dyDescent="0.2"/>
    <row r="2063" ht="12.75" x14ac:dyDescent="0.2"/>
    <row r="2064" ht="12.75" x14ac:dyDescent="0.2"/>
    <row r="2065" ht="12.75" x14ac:dyDescent="0.2"/>
    <row r="2066" ht="12.75" x14ac:dyDescent="0.2"/>
    <row r="2067" ht="12.75" x14ac:dyDescent="0.2"/>
    <row r="2068" ht="12.75" x14ac:dyDescent="0.2"/>
    <row r="2069" ht="12.75" x14ac:dyDescent="0.2"/>
    <row r="2070" ht="12.75" x14ac:dyDescent="0.2"/>
    <row r="2071" ht="12.75" x14ac:dyDescent="0.2"/>
    <row r="2072" ht="12.75" x14ac:dyDescent="0.2"/>
    <row r="2073" ht="12.75" x14ac:dyDescent="0.2"/>
    <row r="2074" ht="12.75" x14ac:dyDescent="0.2"/>
    <row r="2075" ht="12.75" x14ac:dyDescent="0.2"/>
    <row r="2076" ht="12.75" x14ac:dyDescent="0.2"/>
    <row r="2077" ht="12.75" x14ac:dyDescent="0.2"/>
    <row r="2078" ht="12.75" x14ac:dyDescent="0.2"/>
    <row r="2079" ht="12.75" x14ac:dyDescent="0.2"/>
    <row r="2080" ht="12.75" x14ac:dyDescent="0.2"/>
    <row r="2081" ht="12.75" x14ac:dyDescent="0.2"/>
    <row r="2082" ht="12.75" x14ac:dyDescent="0.2"/>
    <row r="2083" ht="12.75" x14ac:dyDescent="0.2"/>
    <row r="2084" ht="12.75" x14ac:dyDescent="0.2"/>
    <row r="2085" ht="12.75" x14ac:dyDescent="0.2"/>
    <row r="2086" ht="12.75" x14ac:dyDescent="0.2"/>
    <row r="2087" ht="12.75" x14ac:dyDescent="0.2"/>
    <row r="2088" ht="12.75" x14ac:dyDescent="0.2"/>
    <row r="2089" ht="12.75" x14ac:dyDescent="0.2"/>
    <row r="2090" ht="12.75" x14ac:dyDescent="0.2"/>
    <row r="2091" ht="12.75" x14ac:dyDescent="0.2"/>
    <row r="2092" ht="12.75" x14ac:dyDescent="0.2"/>
    <row r="2093" ht="12.75" x14ac:dyDescent="0.2"/>
    <row r="2094" ht="12.75" x14ac:dyDescent="0.2"/>
    <row r="2095" ht="12.75" x14ac:dyDescent="0.2"/>
    <row r="2096" ht="12.75" x14ac:dyDescent="0.2"/>
    <row r="2097" ht="12.75" x14ac:dyDescent="0.2"/>
    <row r="2098" ht="12.75" x14ac:dyDescent="0.2"/>
    <row r="2099" ht="12.75" x14ac:dyDescent="0.2"/>
    <row r="2100" ht="12.75" x14ac:dyDescent="0.2"/>
    <row r="2101" ht="12.75" x14ac:dyDescent="0.2"/>
    <row r="2102" ht="12.75" x14ac:dyDescent="0.2"/>
    <row r="2103" ht="12.75" x14ac:dyDescent="0.2"/>
    <row r="2104" ht="12.75" x14ac:dyDescent="0.2"/>
    <row r="2105" ht="12.75" x14ac:dyDescent="0.2"/>
    <row r="2106" ht="12.75" x14ac:dyDescent="0.2"/>
    <row r="2107" ht="12.75" x14ac:dyDescent="0.2"/>
    <row r="2108" ht="12.75" x14ac:dyDescent="0.2"/>
    <row r="2109" ht="12.75" x14ac:dyDescent="0.2"/>
    <row r="2110" ht="12.75" x14ac:dyDescent="0.2"/>
    <row r="2111" ht="12.75" x14ac:dyDescent="0.2"/>
    <row r="2112" ht="12.75" x14ac:dyDescent="0.2"/>
    <row r="2113" ht="12.75" x14ac:dyDescent="0.2"/>
    <row r="2114" ht="12.75" x14ac:dyDescent="0.2"/>
    <row r="2115" ht="12.75" x14ac:dyDescent="0.2"/>
    <row r="2116" ht="12.75" x14ac:dyDescent="0.2"/>
    <row r="2117" ht="12.75" x14ac:dyDescent="0.2"/>
    <row r="2118" ht="12.75" x14ac:dyDescent="0.2"/>
    <row r="2119" ht="12.75" x14ac:dyDescent="0.2"/>
    <row r="2120" ht="12.75" x14ac:dyDescent="0.2"/>
    <row r="2121" ht="12.75" x14ac:dyDescent="0.2"/>
    <row r="2122" ht="12.75" x14ac:dyDescent="0.2"/>
    <row r="2123" ht="12.75" x14ac:dyDescent="0.2"/>
    <row r="2124" ht="12.75" x14ac:dyDescent="0.2"/>
    <row r="2125" ht="12.75" x14ac:dyDescent="0.2"/>
    <row r="2126" ht="12.75" x14ac:dyDescent="0.2"/>
    <row r="2127" ht="12.75" x14ac:dyDescent="0.2"/>
    <row r="2128" ht="12.75" x14ac:dyDescent="0.2"/>
    <row r="2129" ht="12.75" x14ac:dyDescent="0.2"/>
    <row r="2130" ht="12.75" x14ac:dyDescent="0.2"/>
    <row r="2131" ht="12.75" x14ac:dyDescent="0.2"/>
    <row r="2132" ht="12.75" x14ac:dyDescent="0.2"/>
    <row r="2133" ht="12.75" x14ac:dyDescent="0.2"/>
    <row r="2134" ht="12.75" x14ac:dyDescent="0.2"/>
    <row r="2135" ht="12.75" x14ac:dyDescent="0.2"/>
    <row r="2136" ht="12.75" x14ac:dyDescent="0.2"/>
    <row r="2137" ht="12.75" x14ac:dyDescent="0.2"/>
    <row r="2138" ht="12.75" x14ac:dyDescent="0.2"/>
    <row r="2139" ht="12.75" x14ac:dyDescent="0.2"/>
    <row r="2140" ht="12.75" x14ac:dyDescent="0.2"/>
    <row r="2141" ht="12.75" x14ac:dyDescent="0.2"/>
    <row r="2142" ht="12.75" x14ac:dyDescent="0.2"/>
    <row r="2143" ht="12.75" x14ac:dyDescent="0.2"/>
    <row r="2144" ht="12.75" x14ac:dyDescent="0.2"/>
    <row r="2145" ht="12.75" x14ac:dyDescent="0.2"/>
    <row r="2146" ht="12.75" x14ac:dyDescent="0.2"/>
    <row r="2147" ht="12.75" x14ac:dyDescent="0.2"/>
    <row r="2148" ht="12.75" x14ac:dyDescent="0.2"/>
    <row r="2149" ht="12.75" x14ac:dyDescent="0.2"/>
    <row r="2150" ht="12.75" x14ac:dyDescent="0.2"/>
    <row r="2151" ht="12.75" x14ac:dyDescent="0.2"/>
    <row r="2152" ht="12.75" x14ac:dyDescent="0.2"/>
    <row r="2153" ht="12.75" x14ac:dyDescent="0.2"/>
    <row r="2154" ht="12.75" x14ac:dyDescent="0.2"/>
    <row r="2155" ht="12.75" x14ac:dyDescent="0.2"/>
    <row r="2156" ht="12.75" x14ac:dyDescent="0.2"/>
    <row r="2157" ht="12.75" x14ac:dyDescent="0.2"/>
    <row r="2158" ht="12.75" x14ac:dyDescent="0.2"/>
    <row r="2159" ht="12.75" x14ac:dyDescent="0.2"/>
    <row r="2160" ht="12.75" x14ac:dyDescent="0.2"/>
    <row r="2161" ht="12.75" x14ac:dyDescent="0.2"/>
    <row r="2162" ht="12.75" x14ac:dyDescent="0.2"/>
    <row r="2163" ht="12.75" x14ac:dyDescent="0.2"/>
    <row r="2164" ht="12.75" x14ac:dyDescent="0.2"/>
    <row r="2165" ht="12.75" x14ac:dyDescent="0.2"/>
    <row r="2166" ht="12.75" x14ac:dyDescent="0.2"/>
    <row r="2167" ht="12.75" x14ac:dyDescent="0.2"/>
    <row r="2168" ht="12.75" x14ac:dyDescent="0.2"/>
    <row r="2169" ht="12.75" x14ac:dyDescent="0.2"/>
    <row r="2170" ht="12.75" x14ac:dyDescent="0.2"/>
    <row r="2171" ht="12.75" x14ac:dyDescent="0.2"/>
    <row r="2172" ht="12.75" x14ac:dyDescent="0.2"/>
    <row r="2173" ht="12.75" x14ac:dyDescent="0.2"/>
    <row r="2174" ht="12.75" x14ac:dyDescent="0.2"/>
    <row r="2175" ht="12.75" x14ac:dyDescent="0.2"/>
    <row r="2176" ht="12.75" x14ac:dyDescent="0.2"/>
    <row r="2177" ht="12.75" x14ac:dyDescent="0.2"/>
    <row r="2178" ht="12.75" x14ac:dyDescent="0.2"/>
    <row r="2179" ht="12.75" x14ac:dyDescent="0.2"/>
    <row r="2180" ht="12.75" x14ac:dyDescent="0.2"/>
    <row r="2181" ht="12.75" x14ac:dyDescent="0.2"/>
    <row r="2182" ht="12.75" x14ac:dyDescent="0.2"/>
    <row r="2183" ht="12.75" x14ac:dyDescent="0.2"/>
    <row r="2184" ht="12.75" x14ac:dyDescent="0.2"/>
    <row r="2185" ht="12.75" x14ac:dyDescent="0.2"/>
    <row r="2186" ht="12.75" x14ac:dyDescent="0.2"/>
    <row r="2187" ht="12.75" x14ac:dyDescent="0.2"/>
    <row r="2188" ht="12.75" x14ac:dyDescent="0.2"/>
    <row r="2189" ht="12.75" x14ac:dyDescent="0.2"/>
    <row r="2190" ht="12.75" x14ac:dyDescent="0.2"/>
    <row r="2191" ht="12.75" x14ac:dyDescent="0.2"/>
    <row r="2192" ht="12.75" x14ac:dyDescent="0.2"/>
    <row r="2193" ht="12.75" x14ac:dyDescent="0.2"/>
    <row r="2194" ht="12.75" x14ac:dyDescent="0.2"/>
    <row r="2195" ht="12.75" x14ac:dyDescent="0.2"/>
    <row r="2196" ht="12.75" x14ac:dyDescent="0.2"/>
    <row r="2197" ht="12.75" x14ac:dyDescent="0.2"/>
    <row r="2198" ht="12.75" x14ac:dyDescent="0.2"/>
    <row r="2199" ht="12.75" x14ac:dyDescent="0.2"/>
    <row r="2200" ht="12.75" x14ac:dyDescent="0.2"/>
    <row r="2201" ht="12.75" x14ac:dyDescent="0.2"/>
    <row r="2202" ht="12.75" x14ac:dyDescent="0.2"/>
    <row r="2203" ht="12.75" x14ac:dyDescent="0.2"/>
    <row r="2204" ht="12.75" x14ac:dyDescent="0.2"/>
    <row r="2205" ht="12.75" x14ac:dyDescent="0.2"/>
    <row r="2206" ht="12.75" x14ac:dyDescent="0.2"/>
    <row r="2207" ht="12.75" x14ac:dyDescent="0.2"/>
    <row r="2208" ht="12.75" x14ac:dyDescent="0.2"/>
    <row r="2209" ht="12.75" x14ac:dyDescent="0.2"/>
    <row r="2210" ht="12.75" x14ac:dyDescent="0.2"/>
    <row r="2211" ht="12.75" x14ac:dyDescent="0.2"/>
    <row r="2212" ht="12.75" x14ac:dyDescent="0.2"/>
    <row r="2213" ht="12.75" x14ac:dyDescent="0.2"/>
    <row r="2214" ht="12.75" x14ac:dyDescent="0.2"/>
    <row r="2215" ht="12.75" x14ac:dyDescent="0.2"/>
    <row r="2216" ht="12.75" x14ac:dyDescent="0.2"/>
    <row r="2217" ht="12.75" x14ac:dyDescent="0.2"/>
    <row r="2218" ht="12.75" x14ac:dyDescent="0.2"/>
    <row r="2219" ht="12.75" x14ac:dyDescent="0.2"/>
    <row r="2220" ht="12.75" x14ac:dyDescent="0.2"/>
    <row r="2221" ht="12.75" x14ac:dyDescent="0.2"/>
    <row r="2222" ht="12.75" x14ac:dyDescent="0.2"/>
    <row r="2223" ht="12.75" x14ac:dyDescent="0.2"/>
    <row r="2224" ht="12.75" x14ac:dyDescent="0.2"/>
    <row r="2225" ht="12.75" x14ac:dyDescent="0.2"/>
    <row r="2226" ht="12.75" x14ac:dyDescent="0.2"/>
    <row r="2227" ht="12.75" x14ac:dyDescent="0.2"/>
    <row r="2228" ht="12.75" x14ac:dyDescent="0.2"/>
    <row r="2229" ht="12.75" x14ac:dyDescent="0.2"/>
    <row r="2230" ht="12.75" x14ac:dyDescent="0.2"/>
    <row r="2231" ht="12.75" x14ac:dyDescent="0.2"/>
    <row r="2232" ht="12.75" x14ac:dyDescent="0.2"/>
    <row r="2233" ht="12.75" x14ac:dyDescent="0.2"/>
    <row r="2234" ht="12.75" x14ac:dyDescent="0.2"/>
    <row r="2235" ht="12.75" x14ac:dyDescent="0.2"/>
    <row r="2236" ht="12.75" x14ac:dyDescent="0.2"/>
    <row r="2237" ht="12.75" x14ac:dyDescent="0.2"/>
    <row r="2238" ht="12.75" x14ac:dyDescent="0.2"/>
    <row r="2239" ht="12.75" x14ac:dyDescent="0.2"/>
    <row r="2240" ht="12.75" x14ac:dyDescent="0.2"/>
    <row r="2241" ht="12.75" x14ac:dyDescent="0.2"/>
    <row r="2242" ht="12.75" x14ac:dyDescent="0.2"/>
    <row r="2243" ht="12.75" x14ac:dyDescent="0.2"/>
    <row r="2244" ht="12.75" x14ac:dyDescent="0.2"/>
    <row r="2245" ht="12.75" x14ac:dyDescent="0.2"/>
    <row r="2246" ht="12.75" x14ac:dyDescent="0.2"/>
    <row r="2247" ht="12.75" x14ac:dyDescent="0.2"/>
    <row r="2248" ht="12.75" x14ac:dyDescent="0.2"/>
    <row r="2249" ht="12.75" x14ac:dyDescent="0.2"/>
    <row r="2250" ht="12.75" x14ac:dyDescent="0.2"/>
    <row r="2251" ht="12.75" x14ac:dyDescent="0.2"/>
    <row r="2252" ht="12.75" x14ac:dyDescent="0.2"/>
    <row r="2253" ht="12.75" x14ac:dyDescent="0.2"/>
    <row r="2254" ht="12.75" x14ac:dyDescent="0.2"/>
    <row r="2255" ht="12.75" x14ac:dyDescent="0.2"/>
    <row r="2256" ht="12.75" x14ac:dyDescent="0.2"/>
    <row r="2257" ht="12.75" x14ac:dyDescent="0.2"/>
    <row r="2258" ht="12.75" x14ac:dyDescent="0.2"/>
    <row r="2259" ht="12.75" x14ac:dyDescent="0.2"/>
    <row r="2260" ht="12.75" x14ac:dyDescent="0.2"/>
    <row r="2261" ht="12.75" x14ac:dyDescent="0.2"/>
    <row r="2262" ht="12.75" x14ac:dyDescent="0.2"/>
    <row r="2263" ht="12.75" x14ac:dyDescent="0.2"/>
    <row r="2264" ht="12.75" x14ac:dyDescent="0.2"/>
    <row r="2265" ht="12.75" x14ac:dyDescent="0.2"/>
    <row r="2266" ht="12.75" x14ac:dyDescent="0.2"/>
    <row r="2267" ht="12.75" x14ac:dyDescent="0.2"/>
    <row r="2268" ht="12.75" x14ac:dyDescent="0.2"/>
    <row r="2269" ht="12.75" x14ac:dyDescent="0.2"/>
    <row r="2270" ht="12.75" x14ac:dyDescent="0.2"/>
    <row r="2271" ht="12.75" x14ac:dyDescent="0.2"/>
    <row r="2272" ht="12.75" x14ac:dyDescent="0.2"/>
    <row r="2273" ht="12.75" x14ac:dyDescent="0.2"/>
    <row r="2274" ht="12.75" x14ac:dyDescent="0.2"/>
    <row r="2275" ht="12.75" x14ac:dyDescent="0.2"/>
    <row r="2276" ht="12.75" x14ac:dyDescent="0.2"/>
    <row r="2277" ht="12.75" x14ac:dyDescent="0.2"/>
    <row r="2278" ht="12.75" x14ac:dyDescent="0.2"/>
    <row r="2279" ht="12.75" x14ac:dyDescent="0.2"/>
    <row r="2280" ht="12.75" x14ac:dyDescent="0.2"/>
    <row r="2281" ht="12.75" x14ac:dyDescent="0.2"/>
    <row r="2282" ht="12.75" x14ac:dyDescent="0.2"/>
    <row r="2283" ht="12.75" x14ac:dyDescent="0.2"/>
    <row r="2284" ht="12.75" x14ac:dyDescent="0.2"/>
    <row r="2285" ht="12.75" x14ac:dyDescent="0.2"/>
    <row r="2286" ht="12.75" x14ac:dyDescent="0.2"/>
    <row r="2287" ht="12.75" x14ac:dyDescent="0.2"/>
    <row r="2288" ht="12.75" x14ac:dyDescent="0.2"/>
    <row r="2289" ht="12.75" x14ac:dyDescent="0.2"/>
    <row r="2290" ht="12.75" x14ac:dyDescent="0.2"/>
    <row r="2291" ht="12.75" x14ac:dyDescent="0.2"/>
    <row r="2292" ht="12.75" x14ac:dyDescent="0.2"/>
    <row r="2293" ht="12.75" x14ac:dyDescent="0.2"/>
    <row r="2294" ht="12.75" x14ac:dyDescent="0.2"/>
    <row r="2295" ht="12.75" x14ac:dyDescent="0.2"/>
    <row r="2296" ht="12.75" x14ac:dyDescent="0.2"/>
    <row r="2297" ht="12.75" x14ac:dyDescent="0.2"/>
    <row r="2298" ht="12.75" x14ac:dyDescent="0.2"/>
    <row r="2299" ht="12.75" x14ac:dyDescent="0.2"/>
    <row r="2300" ht="12.75" x14ac:dyDescent="0.2"/>
    <row r="2301" ht="12.75" x14ac:dyDescent="0.2"/>
    <row r="2302" ht="12.75" x14ac:dyDescent="0.2"/>
    <row r="2303" ht="12.75" x14ac:dyDescent="0.2"/>
    <row r="2304" ht="12.75" x14ac:dyDescent="0.2"/>
    <row r="2305" ht="12.75" x14ac:dyDescent="0.2"/>
    <row r="2306" ht="12.75" x14ac:dyDescent="0.2"/>
    <row r="2307" ht="12.75" x14ac:dyDescent="0.2"/>
    <row r="2308" ht="12.75" x14ac:dyDescent="0.2"/>
    <row r="2309" ht="12.75" x14ac:dyDescent="0.2"/>
    <row r="2310" ht="12.75" x14ac:dyDescent="0.2"/>
    <row r="2311" ht="12.75" x14ac:dyDescent="0.2"/>
    <row r="2312" ht="12.75" x14ac:dyDescent="0.2"/>
    <row r="2313" ht="12.75" x14ac:dyDescent="0.2"/>
    <row r="2314" ht="12.75" x14ac:dyDescent="0.2"/>
    <row r="2315" ht="12.75" x14ac:dyDescent="0.2"/>
    <row r="2316" ht="12.75" x14ac:dyDescent="0.2"/>
    <row r="2317" ht="12.75" x14ac:dyDescent="0.2"/>
    <row r="2318" ht="12.75" x14ac:dyDescent="0.2"/>
    <row r="2319" ht="12.75" x14ac:dyDescent="0.2"/>
    <row r="2320" ht="12.75" x14ac:dyDescent="0.2"/>
    <row r="2321" ht="12.75" x14ac:dyDescent="0.2"/>
    <row r="2322" ht="12.75" x14ac:dyDescent="0.2"/>
    <row r="2323" ht="12.75" x14ac:dyDescent="0.2"/>
    <row r="2324" ht="12.75" x14ac:dyDescent="0.2"/>
    <row r="2325" ht="12.75" x14ac:dyDescent="0.2"/>
    <row r="2326" ht="12.75" x14ac:dyDescent="0.2"/>
    <row r="2327" ht="12.75" x14ac:dyDescent="0.2"/>
    <row r="2328" ht="12.75" x14ac:dyDescent="0.2"/>
    <row r="2329" ht="12.75" x14ac:dyDescent="0.2"/>
    <row r="2330" ht="12.75" x14ac:dyDescent="0.2"/>
    <row r="2331" ht="12.75" x14ac:dyDescent="0.2"/>
    <row r="2332" ht="12.75" x14ac:dyDescent="0.2"/>
    <row r="2333" ht="12.75" x14ac:dyDescent="0.2"/>
    <row r="2334" ht="12.75" x14ac:dyDescent="0.2"/>
    <row r="2335" ht="12.75" x14ac:dyDescent="0.2"/>
    <row r="2336" ht="12.75" x14ac:dyDescent="0.2"/>
    <row r="2337" ht="12.75" x14ac:dyDescent="0.2"/>
    <row r="2338" ht="12.75" x14ac:dyDescent="0.2"/>
    <row r="2339" ht="12.75" x14ac:dyDescent="0.2"/>
    <row r="2340" ht="12.75" x14ac:dyDescent="0.2"/>
    <row r="2341" ht="12.75" x14ac:dyDescent="0.2"/>
    <row r="2342" ht="12.75" x14ac:dyDescent="0.2"/>
    <row r="2343" ht="12.75" x14ac:dyDescent="0.2"/>
    <row r="2344" ht="12.75" x14ac:dyDescent="0.2"/>
    <row r="2345" ht="12.75" x14ac:dyDescent="0.2"/>
    <row r="2346" ht="12.75" x14ac:dyDescent="0.2"/>
    <row r="2347" ht="12.75" x14ac:dyDescent="0.2"/>
    <row r="2348" ht="12.75" x14ac:dyDescent="0.2"/>
    <row r="2349" ht="12.75" x14ac:dyDescent="0.2"/>
    <row r="2350" ht="12.75" x14ac:dyDescent="0.2"/>
    <row r="2351" ht="12.75" x14ac:dyDescent="0.2"/>
    <row r="2352" ht="12.75" x14ac:dyDescent="0.2"/>
    <row r="2353" ht="12.75" x14ac:dyDescent="0.2"/>
    <row r="2354" ht="12.75" x14ac:dyDescent="0.2"/>
    <row r="2355" ht="12.75" x14ac:dyDescent="0.2"/>
    <row r="2356" ht="12.75" x14ac:dyDescent="0.2"/>
    <row r="2357" ht="12.75" x14ac:dyDescent="0.2"/>
    <row r="2358" ht="12.75" x14ac:dyDescent="0.2"/>
    <row r="2359" ht="12.75" x14ac:dyDescent="0.2"/>
    <row r="2360" ht="12.75" x14ac:dyDescent="0.2"/>
    <row r="2361" ht="12.75" x14ac:dyDescent="0.2"/>
    <row r="2362" ht="12.75" x14ac:dyDescent="0.2"/>
    <row r="2363" ht="12.75" x14ac:dyDescent="0.2"/>
    <row r="2364" ht="12.75" x14ac:dyDescent="0.2"/>
    <row r="2365" ht="12.75" x14ac:dyDescent="0.2"/>
    <row r="2366" ht="12.75" x14ac:dyDescent="0.2"/>
    <row r="2367" ht="12.75" x14ac:dyDescent="0.2"/>
    <row r="2368" ht="12.75" x14ac:dyDescent="0.2"/>
    <row r="2369" ht="12.75" x14ac:dyDescent="0.2"/>
    <row r="2370" ht="12.75" x14ac:dyDescent="0.2"/>
    <row r="2371" ht="12.75" x14ac:dyDescent="0.2"/>
    <row r="2372" ht="12.75" x14ac:dyDescent="0.2"/>
    <row r="2373" ht="12.75" x14ac:dyDescent="0.2"/>
    <row r="2374" ht="12.75" x14ac:dyDescent="0.2"/>
    <row r="2375" ht="12.75" x14ac:dyDescent="0.2"/>
    <row r="2376" ht="12.75" x14ac:dyDescent="0.2"/>
    <row r="2377" ht="12.75" x14ac:dyDescent="0.2"/>
    <row r="2378" ht="12.75" x14ac:dyDescent="0.2"/>
    <row r="2379" ht="12.75" x14ac:dyDescent="0.2"/>
    <row r="2380" ht="12.75" x14ac:dyDescent="0.2"/>
    <row r="2381" ht="12.75" x14ac:dyDescent="0.2"/>
    <row r="2382" ht="12.75" x14ac:dyDescent="0.2"/>
    <row r="2383" ht="12.75" x14ac:dyDescent="0.2"/>
    <row r="2384" ht="12.75" x14ac:dyDescent="0.2"/>
    <row r="2385" ht="12.75" x14ac:dyDescent="0.2"/>
    <row r="2386" ht="12.75" x14ac:dyDescent="0.2"/>
    <row r="2387" ht="12.75" x14ac:dyDescent="0.2"/>
    <row r="2388" ht="12.75" x14ac:dyDescent="0.2"/>
    <row r="2389" ht="12.75" x14ac:dyDescent="0.2"/>
    <row r="2390" ht="12.75" x14ac:dyDescent="0.2"/>
    <row r="2391" ht="12.75" x14ac:dyDescent="0.2"/>
    <row r="2392" ht="12.75" x14ac:dyDescent="0.2"/>
    <row r="2393" ht="12.75" x14ac:dyDescent="0.2"/>
    <row r="2394" ht="12.75" x14ac:dyDescent="0.2"/>
    <row r="2395" ht="12.75" x14ac:dyDescent="0.2"/>
    <row r="2396" ht="12.75" x14ac:dyDescent="0.2"/>
    <row r="2397" ht="12.75" x14ac:dyDescent="0.2"/>
    <row r="2398" ht="12.75" x14ac:dyDescent="0.2"/>
    <row r="2399" ht="12.75" x14ac:dyDescent="0.2"/>
    <row r="2400" ht="12.75" x14ac:dyDescent="0.2"/>
    <row r="2401" ht="12.75" x14ac:dyDescent="0.2"/>
    <row r="2402" ht="12.75" x14ac:dyDescent="0.2"/>
    <row r="2403" ht="12.75" x14ac:dyDescent="0.2"/>
    <row r="2404" ht="12.75" x14ac:dyDescent="0.2"/>
    <row r="2405" ht="12.75" x14ac:dyDescent="0.2"/>
    <row r="2406" ht="12.75" x14ac:dyDescent="0.2"/>
    <row r="2407" ht="12.75" x14ac:dyDescent="0.2"/>
    <row r="2408" ht="12.75" x14ac:dyDescent="0.2"/>
    <row r="2409" ht="12.75" x14ac:dyDescent="0.2"/>
    <row r="2410" ht="12.75" x14ac:dyDescent="0.2"/>
    <row r="2411" ht="12.75" x14ac:dyDescent="0.2"/>
    <row r="2412" ht="12.75" x14ac:dyDescent="0.2"/>
    <row r="2413" ht="12.75" x14ac:dyDescent="0.2"/>
    <row r="2414" ht="12.75" x14ac:dyDescent="0.2"/>
    <row r="2415" ht="12.75" x14ac:dyDescent="0.2"/>
    <row r="2416" ht="12.75" x14ac:dyDescent="0.2"/>
    <row r="2417" ht="12.75" x14ac:dyDescent="0.2"/>
    <row r="2418" ht="12.75" x14ac:dyDescent="0.2"/>
    <row r="2419" ht="12.75" x14ac:dyDescent="0.2"/>
    <row r="2420" ht="12.75" x14ac:dyDescent="0.2"/>
    <row r="2421" ht="12.75" x14ac:dyDescent="0.2"/>
    <row r="2422" ht="12.75" x14ac:dyDescent="0.2"/>
    <row r="2423" ht="12.75" x14ac:dyDescent="0.2"/>
    <row r="2424" ht="12.75" x14ac:dyDescent="0.2"/>
    <row r="2425" ht="12.75" x14ac:dyDescent="0.2"/>
    <row r="2426" ht="12.75" x14ac:dyDescent="0.2"/>
    <row r="2427" ht="12.75" x14ac:dyDescent="0.2"/>
    <row r="2428" ht="12.75" x14ac:dyDescent="0.2"/>
    <row r="2429" ht="12.75" x14ac:dyDescent="0.2"/>
    <row r="2430" ht="12.75" x14ac:dyDescent="0.2"/>
    <row r="2431" ht="12.75" x14ac:dyDescent="0.2"/>
    <row r="2432" ht="12.75" x14ac:dyDescent="0.2"/>
    <row r="2433" ht="12.75" x14ac:dyDescent="0.2"/>
    <row r="2434" ht="12.75" x14ac:dyDescent="0.2"/>
    <row r="2435" ht="12.75" x14ac:dyDescent="0.2"/>
    <row r="2436" ht="12.75" x14ac:dyDescent="0.2"/>
    <row r="2437" ht="12.75" x14ac:dyDescent="0.2"/>
    <row r="2438" ht="12.75" x14ac:dyDescent="0.2"/>
    <row r="2439" ht="12.75" x14ac:dyDescent="0.2"/>
    <row r="2440" ht="12.75" x14ac:dyDescent="0.2"/>
    <row r="2441" ht="12.75" x14ac:dyDescent="0.2"/>
    <row r="2442" ht="12.75" x14ac:dyDescent="0.2"/>
    <row r="2443" ht="12.75" x14ac:dyDescent="0.2"/>
    <row r="2444" ht="12.75" x14ac:dyDescent="0.2"/>
    <row r="2445" ht="12.75" x14ac:dyDescent="0.2"/>
    <row r="2446" ht="12.75" x14ac:dyDescent="0.2"/>
    <row r="2447" ht="12.75" x14ac:dyDescent="0.2"/>
    <row r="2448" ht="12.75" x14ac:dyDescent="0.2"/>
    <row r="2449" ht="12.75" x14ac:dyDescent="0.2"/>
    <row r="2450" ht="12.75" x14ac:dyDescent="0.2"/>
    <row r="2451" ht="12.75" x14ac:dyDescent="0.2"/>
    <row r="2452" ht="12.75" x14ac:dyDescent="0.2"/>
    <row r="2453" ht="12.75" x14ac:dyDescent="0.2"/>
    <row r="2454" ht="12.75" x14ac:dyDescent="0.2"/>
    <row r="2455" ht="12.75" x14ac:dyDescent="0.2"/>
    <row r="2456" ht="12.75" x14ac:dyDescent="0.2"/>
    <row r="2457" ht="12.75" x14ac:dyDescent="0.2"/>
    <row r="2458" ht="12.75" x14ac:dyDescent="0.2"/>
    <row r="2459" ht="12.75" x14ac:dyDescent="0.2"/>
    <row r="2460" ht="12.75" x14ac:dyDescent="0.2"/>
    <row r="2461" ht="12.75" x14ac:dyDescent="0.2"/>
    <row r="2462" ht="12.75" x14ac:dyDescent="0.2"/>
    <row r="2463" ht="12.75" x14ac:dyDescent="0.2"/>
    <row r="2464" ht="12.75" x14ac:dyDescent="0.2"/>
    <row r="2465" ht="12.75" x14ac:dyDescent="0.2"/>
    <row r="2466" ht="12.75" x14ac:dyDescent="0.2"/>
    <row r="2467" ht="12.75" x14ac:dyDescent="0.2"/>
    <row r="2468" ht="12.75" x14ac:dyDescent="0.2"/>
    <row r="2469" ht="12.75" x14ac:dyDescent="0.2"/>
    <row r="2470" ht="12.75" x14ac:dyDescent="0.2"/>
    <row r="2471" ht="12.75" x14ac:dyDescent="0.2"/>
    <row r="2472" ht="12.75" x14ac:dyDescent="0.2"/>
    <row r="2473" ht="12.75" x14ac:dyDescent="0.2"/>
    <row r="2474" ht="12.75" x14ac:dyDescent="0.2"/>
    <row r="2475" ht="12.75" x14ac:dyDescent="0.2"/>
    <row r="2476" ht="12.75" x14ac:dyDescent="0.2"/>
    <row r="2477" ht="12.75" x14ac:dyDescent="0.2"/>
    <row r="2478" ht="12.75" x14ac:dyDescent="0.2"/>
    <row r="2479" ht="12.75" x14ac:dyDescent="0.2"/>
    <row r="2480" ht="12.75" x14ac:dyDescent="0.2"/>
    <row r="2481" ht="12.75" x14ac:dyDescent="0.2"/>
    <row r="2482" ht="12.75" x14ac:dyDescent="0.2"/>
    <row r="2483" ht="12.75" x14ac:dyDescent="0.2"/>
    <row r="2484" ht="12.75" x14ac:dyDescent="0.2"/>
    <row r="2485" ht="12.75" x14ac:dyDescent="0.2"/>
    <row r="2486" ht="12.75" x14ac:dyDescent="0.2"/>
    <row r="2487" ht="12.75" x14ac:dyDescent="0.2"/>
    <row r="2488" ht="12.75" x14ac:dyDescent="0.2"/>
    <row r="2489" ht="12.75" x14ac:dyDescent="0.2"/>
    <row r="2490" ht="12.75" x14ac:dyDescent="0.2"/>
    <row r="2491" ht="12.75" x14ac:dyDescent="0.2"/>
    <row r="2492" ht="12.75" x14ac:dyDescent="0.2"/>
    <row r="2493" ht="12.75" x14ac:dyDescent="0.2"/>
    <row r="2494" ht="12.75" x14ac:dyDescent="0.2"/>
    <row r="2495" ht="12.75" x14ac:dyDescent="0.2"/>
    <row r="2496" ht="12.75" x14ac:dyDescent="0.2"/>
    <row r="2497" ht="12.75" x14ac:dyDescent="0.2"/>
    <row r="2498" ht="12.75" x14ac:dyDescent="0.2"/>
    <row r="2499" ht="12.75" x14ac:dyDescent="0.2"/>
    <row r="2500" ht="12.75" x14ac:dyDescent="0.2"/>
    <row r="2501" ht="12.75" x14ac:dyDescent="0.2"/>
    <row r="2502" ht="12.75" x14ac:dyDescent="0.2"/>
    <row r="2503" ht="12.75" x14ac:dyDescent="0.2"/>
    <row r="2504" ht="12.75" x14ac:dyDescent="0.2"/>
    <row r="2505" ht="12.75" x14ac:dyDescent="0.2"/>
    <row r="2506" ht="12.75" x14ac:dyDescent="0.2"/>
    <row r="2507" ht="12.75" x14ac:dyDescent="0.2"/>
    <row r="2508" ht="12.75" x14ac:dyDescent="0.2"/>
    <row r="2509" ht="12.75" x14ac:dyDescent="0.2"/>
    <row r="2510" ht="12.75" x14ac:dyDescent="0.2"/>
    <row r="2511" ht="12.75" x14ac:dyDescent="0.2"/>
    <row r="2512" ht="12.75" x14ac:dyDescent="0.2"/>
    <row r="2513" ht="12.75" x14ac:dyDescent="0.2"/>
    <row r="2514" ht="12.75" x14ac:dyDescent="0.2"/>
    <row r="2515" ht="12.75" x14ac:dyDescent="0.2"/>
    <row r="2516" ht="12.75" x14ac:dyDescent="0.2"/>
    <row r="2517" ht="12.75" x14ac:dyDescent="0.2"/>
    <row r="2518" ht="12.75" x14ac:dyDescent="0.2"/>
    <row r="2519" ht="12.75" x14ac:dyDescent="0.2"/>
    <row r="2520" ht="12.75" x14ac:dyDescent="0.2"/>
    <row r="2521" ht="12.75" x14ac:dyDescent="0.2"/>
    <row r="2522" ht="12.75" x14ac:dyDescent="0.2"/>
    <row r="2523" ht="12.75" x14ac:dyDescent="0.2"/>
    <row r="2524" ht="12.75" x14ac:dyDescent="0.2"/>
    <row r="2525" ht="12.75" x14ac:dyDescent="0.2"/>
    <row r="2526" ht="12.75" x14ac:dyDescent="0.2"/>
    <row r="2527" ht="12.75" x14ac:dyDescent="0.2"/>
    <row r="2528" ht="12.75" x14ac:dyDescent="0.2"/>
    <row r="2529" ht="12.75" x14ac:dyDescent="0.2"/>
    <row r="2530" ht="12.75" x14ac:dyDescent="0.2"/>
    <row r="2531" ht="12.75" x14ac:dyDescent="0.2"/>
    <row r="2532" ht="12.75" x14ac:dyDescent="0.2"/>
    <row r="2533" ht="12.75" x14ac:dyDescent="0.2"/>
    <row r="2534" ht="12.75" x14ac:dyDescent="0.2"/>
    <row r="2535" ht="12.75" x14ac:dyDescent="0.2"/>
    <row r="2536" ht="12.75" x14ac:dyDescent="0.2"/>
    <row r="2537" ht="12.75" x14ac:dyDescent="0.2"/>
    <row r="2538" ht="12.75" x14ac:dyDescent="0.2"/>
    <row r="2539" ht="12.75" x14ac:dyDescent="0.2"/>
    <row r="2540" ht="12.75" x14ac:dyDescent="0.2"/>
    <row r="2541" ht="12.75" x14ac:dyDescent="0.2"/>
    <row r="2542" ht="12.75" x14ac:dyDescent="0.2"/>
    <row r="2543" ht="12.75" x14ac:dyDescent="0.2"/>
    <row r="2544" ht="12.75" x14ac:dyDescent="0.2"/>
    <row r="2545" ht="12.75" x14ac:dyDescent="0.2"/>
    <row r="2546" ht="12.75" x14ac:dyDescent="0.2"/>
    <row r="2547" ht="12.75" x14ac:dyDescent="0.2"/>
    <row r="2548" ht="12.75" x14ac:dyDescent="0.2"/>
    <row r="2549" ht="12.75" x14ac:dyDescent="0.2"/>
    <row r="2550" ht="12.75" x14ac:dyDescent="0.2"/>
    <row r="2551" ht="12.75" x14ac:dyDescent="0.2"/>
    <row r="2552" ht="12.75" x14ac:dyDescent="0.2"/>
    <row r="2553" ht="12.75" x14ac:dyDescent="0.2"/>
    <row r="2554" ht="12.75" x14ac:dyDescent="0.2"/>
    <row r="2555" ht="12.75" x14ac:dyDescent="0.2"/>
    <row r="2556" ht="12.75" x14ac:dyDescent="0.2"/>
    <row r="2557" ht="12.75" x14ac:dyDescent="0.2"/>
    <row r="2558" ht="12.75" x14ac:dyDescent="0.2"/>
    <row r="2559" ht="12.75" x14ac:dyDescent="0.2"/>
    <row r="2560" ht="12.75" x14ac:dyDescent="0.2"/>
    <row r="2561" ht="12.75" x14ac:dyDescent="0.2"/>
    <row r="2562" ht="12.75" x14ac:dyDescent="0.2"/>
    <row r="2563" ht="12.75" x14ac:dyDescent="0.2"/>
    <row r="2564" ht="12.75" x14ac:dyDescent="0.2"/>
    <row r="2565" ht="12.75" x14ac:dyDescent="0.2"/>
    <row r="2566" ht="12.75" x14ac:dyDescent="0.2"/>
    <row r="2567" ht="12.75" x14ac:dyDescent="0.2"/>
    <row r="2568" ht="12.75" x14ac:dyDescent="0.2"/>
    <row r="2569" ht="12.75" x14ac:dyDescent="0.2"/>
    <row r="2570" ht="12.75" x14ac:dyDescent="0.2"/>
    <row r="2571" ht="12.75" x14ac:dyDescent="0.2"/>
    <row r="2572" ht="12.75" x14ac:dyDescent="0.2"/>
    <row r="2573" ht="12.75" x14ac:dyDescent="0.2"/>
    <row r="2574" ht="12.75" x14ac:dyDescent="0.2"/>
    <row r="2575" ht="12.75" x14ac:dyDescent="0.2"/>
    <row r="2576" ht="12.75" x14ac:dyDescent="0.2"/>
    <row r="2577" ht="12.75" x14ac:dyDescent="0.2"/>
    <row r="2578" ht="12.75" x14ac:dyDescent="0.2"/>
    <row r="2579" ht="12.75" x14ac:dyDescent="0.2"/>
    <row r="2580" ht="12.75" x14ac:dyDescent="0.2"/>
    <row r="2581" ht="12.75" x14ac:dyDescent="0.2"/>
    <row r="2582" ht="12.75" x14ac:dyDescent="0.2"/>
    <row r="2583" ht="12.75" x14ac:dyDescent="0.2"/>
    <row r="2584" ht="12.75" x14ac:dyDescent="0.2"/>
    <row r="2585" ht="12.75" x14ac:dyDescent="0.2"/>
    <row r="2586" ht="12.75" x14ac:dyDescent="0.2"/>
    <row r="2587" ht="12.75" x14ac:dyDescent="0.2"/>
    <row r="2588" ht="12.75" x14ac:dyDescent="0.2"/>
    <row r="2589" ht="12.75" x14ac:dyDescent="0.2"/>
    <row r="2590" ht="12.75" x14ac:dyDescent="0.2"/>
    <row r="2591" ht="12.75" x14ac:dyDescent="0.2"/>
    <row r="2592" ht="12.75" x14ac:dyDescent="0.2"/>
    <row r="2593" ht="12.75" x14ac:dyDescent="0.2"/>
    <row r="2594" ht="12.75" x14ac:dyDescent="0.2"/>
    <row r="2595" ht="12.75" x14ac:dyDescent="0.2"/>
    <row r="2596" ht="12.75" x14ac:dyDescent="0.2"/>
    <row r="2597" ht="12.75" x14ac:dyDescent="0.2"/>
    <row r="2598" ht="12.75" x14ac:dyDescent="0.2"/>
    <row r="2599" ht="12.75" x14ac:dyDescent="0.2"/>
    <row r="2600" ht="12.75" x14ac:dyDescent="0.2"/>
    <row r="2601" ht="12.75" x14ac:dyDescent="0.2"/>
    <row r="2602" ht="12.75" x14ac:dyDescent="0.2"/>
    <row r="2603" ht="12.75" x14ac:dyDescent="0.2"/>
    <row r="2604" ht="12.75" x14ac:dyDescent="0.2"/>
    <row r="2605" ht="12.75" x14ac:dyDescent="0.2"/>
    <row r="2606" ht="12.75" x14ac:dyDescent="0.2"/>
    <row r="2607" ht="12.75" x14ac:dyDescent="0.2"/>
    <row r="2608" ht="12.75" x14ac:dyDescent="0.2"/>
    <row r="2609" ht="12.75" x14ac:dyDescent="0.2"/>
    <row r="2610" ht="12.75" x14ac:dyDescent="0.2"/>
    <row r="2611" ht="12.75" x14ac:dyDescent="0.2"/>
    <row r="2612" ht="12.75" x14ac:dyDescent="0.2"/>
    <row r="2613" ht="12.75" x14ac:dyDescent="0.2"/>
    <row r="2614" ht="12.75" x14ac:dyDescent="0.2"/>
    <row r="2615" ht="12.75" x14ac:dyDescent="0.2"/>
    <row r="2616" ht="12.75" x14ac:dyDescent="0.2"/>
    <row r="2617" ht="12.75" x14ac:dyDescent="0.2"/>
    <row r="2618" ht="12.75" x14ac:dyDescent="0.2"/>
    <row r="2619" ht="12.75" x14ac:dyDescent="0.2"/>
    <row r="2620" ht="12.75" x14ac:dyDescent="0.2"/>
    <row r="2621" ht="12.75" x14ac:dyDescent="0.2"/>
    <row r="2622" ht="12.75" x14ac:dyDescent="0.2"/>
    <row r="2623" ht="12.75" x14ac:dyDescent="0.2"/>
    <row r="2624" ht="12.75" x14ac:dyDescent="0.2"/>
    <row r="2625" ht="12.75" x14ac:dyDescent="0.2"/>
    <row r="2626" ht="12.75" x14ac:dyDescent="0.2"/>
    <row r="2627" ht="12.75" x14ac:dyDescent="0.2"/>
    <row r="2628" ht="12.75" x14ac:dyDescent="0.2"/>
    <row r="2629" ht="12.75" x14ac:dyDescent="0.2"/>
    <row r="2630" ht="12.75" x14ac:dyDescent="0.2"/>
    <row r="2631" ht="12.75" x14ac:dyDescent="0.2"/>
    <row r="2632" ht="12.75" x14ac:dyDescent="0.2"/>
    <row r="2633" ht="12.75" x14ac:dyDescent="0.2"/>
    <row r="2634" ht="12.75" x14ac:dyDescent="0.2"/>
    <row r="2635" ht="12.75" x14ac:dyDescent="0.2"/>
    <row r="2636" ht="12.75" x14ac:dyDescent="0.2"/>
    <row r="2637" ht="12.75" x14ac:dyDescent="0.2"/>
    <row r="2638" ht="12.75" x14ac:dyDescent="0.2"/>
    <row r="2639" ht="12.75" x14ac:dyDescent="0.2"/>
    <row r="2640" ht="12.75" x14ac:dyDescent="0.2"/>
    <row r="2641" ht="12.75" x14ac:dyDescent="0.2"/>
    <row r="2642" ht="12.75" x14ac:dyDescent="0.2"/>
    <row r="2643" ht="12.75" x14ac:dyDescent="0.2"/>
    <row r="2644" ht="12.75" x14ac:dyDescent="0.2"/>
    <row r="2645" ht="12.75" x14ac:dyDescent="0.2"/>
    <row r="2646" ht="12.75" x14ac:dyDescent="0.2"/>
    <row r="2647" ht="12.75" x14ac:dyDescent="0.2"/>
    <row r="2648" ht="12.75" x14ac:dyDescent="0.2"/>
    <row r="2649" ht="12.75" x14ac:dyDescent="0.2"/>
    <row r="2650" ht="12.75" x14ac:dyDescent="0.2"/>
    <row r="2651" ht="12.75" x14ac:dyDescent="0.2"/>
    <row r="2652" ht="12.75" x14ac:dyDescent="0.2"/>
    <row r="2653" ht="12.75" x14ac:dyDescent="0.2"/>
    <row r="2654" ht="12.75" x14ac:dyDescent="0.2"/>
    <row r="2655" ht="12.75" x14ac:dyDescent="0.2"/>
    <row r="2656" ht="12.75" x14ac:dyDescent="0.2"/>
    <row r="2657" ht="12.75" x14ac:dyDescent="0.2"/>
    <row r="2658" ht="12.75" x14ac:dyDescent="0.2"/>
    <row r="2659" ht="12.75" x14ac:dyDescent="0.2"/>
    <row r="2660" ht="12.75" x14ac:dyDescent="0.2"/>
    <row r="2661" ht="12.75" x14ac:dyDescent="0.2"/>
    <row r="2662" ht="12.75" x14ac:dyDescent="0.2"/>
    <row r="2663" ht="12.75" x14ac:dyDescent="0.2"/>
    <row r="2664" ht="12.75" x14ac:dyDescent="0.2"/>
    <row r="2665" ht="12.75" x14ac:dyDescent="0.2"/>
    <row r="2666" ht="12.75" x14ac:dyDescent="0.2"/>
    <row r="2667" ht="12.75" x14ac:dyDescent="0.2"/>
    <row r="2668" ht="12.75" x14ac:dyDescent="0.2"/>
    <row r="2669" ht="12.75" x14ac:dyDescent="0.2"/>
    <row r="2670" ht="12.75" x14ac:dyDescent="0.2"/>
    <row r="2671" ht="12.75" x14ac:dyDescent="0.2"/>
    <row r="2672" ht="12.75" x14ac:dyDescent="0.2"/>
    <row r="2673" ht="12.75" x14ac:dyDescent="0.2"/>
    <row r="2674" ht="12.75" x14ac:dyDescent="0.2"/>
    <row r="2675" ht="12.75" x14ac:dyDescent="0.2"/>
    <row r="2676" ht="12.75" x14ac:dyDescent="0.2"/>
    <row r="2677" ht="12.75" x14ac:dyDescent="0.2"/>
    <row r="2678" ht="12.75" x14ac:dyDescent="0.2"/>
    <row r="2679" ht="12.75" x14ac:dyDescent="0.2"/>
    <row r="2680" ht="12.75" x14ac:dyDescent="0.2"/>
    <row r="2681" ht="12.75" x14ac:dyDescent="0.2"/>
    <row r="2682" ht="12.75" x14ac:dyDescent="0.2"/>
    <row r="2683" ht="12.75" x14ac:dyDescent="0.2"/>
    <row r="2684" ht="12.75" x14ac:dyDescent="0.2"/>
    <row r="2685" ht="12.75" x14ac:dyDescent="0.2"/>
    <row r="2686" ht="12.75" x14ac:dyDescent="0.2"/>
    <row r="2687" ht="12.75" x14ac:dyDescent="0.2"/>
    <row r="2688" ht="12.75" x14ac:dyDescent="0.2"/>
    <row r="2689" ht="12.75" x14ac:dyDescent="0.2"/>
    <row r="2690" ht="12.75" x14ac:dyDescent="0.2"/>
    <row r="2691" ht="12.75" x14ac:dyDescent="0.2"/>
    <row r="2692" ht="12.75" x14ac:dyDescent="0.2"/>
    <row r="2693" ht="12.75" x14ac:dyDescent="0.2"/>
    <row r="2694" ht="12.75" x14ac:dyDescent="0.2"/>
    <row r="2695" ht="12.75" x14ac:dyDescent="0.2"/>
    <row r="2696" ht="12.75" x14ac:dyDescent="0.2"/>
    <row r="2697" ht="12.75" x14ac:dyDescent="0.2"/>
    <row r="2698" ht="12.75" x14ac:dyDescent="0.2"/>
    <row r="2699" ht="12.75" x14ac:dyDescent="0.2"/>
    <row r="2700" ht="12.75" x14ac:dyDescent="0.2"/>
    <row r="2701" ht="12.75" x14ac:dyDescent="0.2"/>
    <row r="2702" ht="12.75" x14ac:dyDescent="0.2"/>
    <row r="2703" ht="12.75" x14ac:dyDescent="0.2"/>
    <row r="2704" ht="12.75" x14ac:dyDescent="0.2"/>
    <row r="2705" ht="12.75" x14ac:dyDescent="0.2"/>
    <row r="2706" ht="12.75" x14ac:dyDescent="0.2"/>
    <row r="2707" ht="12.75" x14ac:dyDescent="0.2"/>
    <row r="2708" ht="12.75" x14ac:dyDescent="0.2"/>
    <row r="2709" ht="12.75" x14ac:dyDescent="0.2"/>
    <row r="2710" ht="12.75" x14ac:dyDescent="0.2"/>
    <row r="2711" ht="12.75" x14ac:dyDescent="0.2"/>
    <row r="2712" ht="12.75" x14ac:dyDescent="0.2"/>
    <row r="2713" ht="12.75" x14ac:dyDescent="0.2"/>
    <row r="2714" ht="12.75" x14ac:dyDescent="0.2"/>
    <row r="2715" ht="12.75" x14ac:dyDescent="0.2"/>
    <row r="2716" ht="12.75" x14ac:dyDescent="0.2"/>
    <row r="2717" ht="12.75" x14ac:dyDescent="0.2"/>
    <row r="2718" ht="12.75" x14ac:dyDescent="0.2"/>
    <row r="2719" ht="12.75" x14ac:dyDescent="0.2"/>
    <row r="2720" ht="12.75" x14ac:dyDescent="0.2"/>
    <row r="2721" ht="12.75" x14ac:dyDescent="0.2"/>
    <row r="2722" ht="12.75" x14ac:dyDescent="0.2"/>
    <row r="2723" ht="12.75" x14ac:dyDescent="0.2"/>
    <row r="2724" ht="12.75" x14ac:dyDescent="0.2"/>
    <row r="2725" ht="12.75" x14ac:dyDescent="0.2"/>
    <row r="2726" ht="12.75" x14ac:dyDescent="0.2"/>
    <row r="2727" ht="12.75" x14ac:dyDescent="0.2"/>
    <row r="2728" ht="12.75" x14ac:dyDescent="0.2"/>
    <row r="2729" ht="12.75" x14ac:dyDescent="0.2"/>
    <row r="2730" ht="12.75" x14ac:dyDescent="0.2"/>
    <row r="2731" ht="12.75" x14ac:dyDescent="0.2"/>
    <row r="2732" ht="12.75" x14ac:dyDescent="0.2"/>
    <row r="2733" ht="12.75" x14ac:dyDescent="0.2"/>
    <row r="2734" ht="12.75" x14ac:dyDescent="0.2"/>
    <row r="2735" ht="12.75" x14ac:dyDescent="0.2"/>
    <row r="2736" ht="12.75" x14ac:dyDescent="0.2"/>
    <row r="2737" ht="12.75" x14ac:dyDescent="0.2"/>
    <row r="2738" ht="12.75" x14ac:dyDescent="0.2"/>
    <row r="2739" ht="12.75" x14ac:dyDescent="0.2"/>
    <row r="2740" ht="12.75" x14ac:dyDescent="0.2"/>
    <row r="2741" ht="12.75" x14ac:dyDescent="0.2"/>
    <row r="2742" ht="12.75" x14ac:dyDescent="0.2"/>
    <row r="2743" ht="12.75" x14ac:dyDescent="0.2"/>
    <row r="2744" ht="12.75" x14ac:dyDescent="0.2"/>
    <row r="2745" ht="12.75" x14ac:dyDescent="0.2"/>
    <row r="2746" ht="12.75" x14ac:dyDescent="0.2"/>
    <row r="2747" ht="12.75" x14ac:dyDescent="0.2"/>
    <row r="2748" ht="12.75" x14ac:dyDescent="0.2"/>
    <row r="2749" ht="12.75" x14ac:dyDescent="0.2"/>
    <row r="2750" ht="12.75" x14ac:dyDescent="0.2"/>
    <row r="2751" ht="12.75" x14ac:dyDescent="0.2"/>
    <row r="2752" ht="12.75" x14ac:dyDescent="0.2"/>
    <row r="2753" ht="12.75" x14ac:dyDescent="0.2"/>
    <row r="2754" ht="12.75" x14ac:dyDescent="0.2"/>
    <row r="2755" ht="12.75" x14ac:dyDescent="0.2"/>
    <row r="2756" ht="12.75" x14ac:dyDescent="0.2"/>
    <row r="2757" ht="12.75" x14ac:dyDescent="0.2"/>
    <row r="2758" ht="12.75" x14ac:dyDescent="0.2"/>
    <row r="2759" ht="12.75" x14ac:dyDescent="0.2"/>
    <row r="2760" ht="12.75" x14ac:dyDescent="0.2"/>
    <row r="2761" ht="12.75" x14ac:dyDescent="0.2"/>
    <row r="2762" ht="12.75" x14ac:dyDescent="0.2"/>
    <row r="2763" ht="12.75" x14ac:dyDescent="0.2"/>
    <row r="2764" ht="12.75" x14ac:dyDescent="0.2"/>
    <row r="2765" ht="12.75" x14ac:dyDescent="0.2"/>
    <row r="2766" ht="12.75" x14ac:dyDescent="0.2"/>
    <row r="2767" ht="12.75" x14ac:dyDescent="0.2"/>
    <row r="2768" ht="12.75" x14ac:dyDescent="0.2"/>
    <row r="2769" ht="12.75" x14ac:dyDescent="0.2"/>
    <row r="2770" ht="12.75" x14ac:dyDescent="0.2"/>
    <row r="2771" ht="12.75" x14ac:dyDescent="0.2"/>
    <row r="2772" ht="12.75" x14ac:dyDescent="0.2"/>
    <row r="2773" ht="12.75" x14ac:dyDescent="0.2"/>
    <row r="2774" ht="12.75" x14ac:dyDescent="0.2"/>
    <row r="2775" ht="12.75" x14ac:dyDescent="0.2"/>
    <row r="2776" ht="12.75" x14ac:dyDescent="0.2"/>
    <row r="2777" ht="12.75" x14ac:dyDescent="0.2"/>
    <row r="2778" ht="12.75" x14ac:dyDescent="0.2"/>
    <row r="2779" ht="12.75" x14ac:dyDescent="0.2"/>
    <row r="2780" ht="12.75" x14ac:dyDescent="0.2"/>
    <row r="2781" ht="12.75" x14ac:dyDescent="0.2"/>
    <row r="2782" ht="12.75" x14ac:dyDescent="0.2"/>
    <row r="2783" ht="12.75" x14ac:dyDescent="0.2"/>
    <row r="2784" ht="12.75" x14ac:dyDescent="0.2"/>
    <row r="2785" ht="12.75" x14ac:dyDescent="0.2"/>
    <row r="2786" ht="12.75" x14ac:dyDescent="0.2"/>
    <row r="2787" ht="12.75" x14ac:dyDescent="0.2"/>
    <row r="2788" ht="12.75" x14ac:dyDescent="0.2"/>
    <row r="2789" ht="12.75" x14ac:dyDescent="0.2"/>
    <row r="2790" ht="12.75" x14ac:dyDescent="0.2"/>
    <row r="2791" ht="12.75" x14ac:dyDescent="0.2"/>
    <row r="2792" ht="12.75" x14ac:dyDescent="0.2"/>
    <row r="2793" ht="12.75" x14ac:dyDescent="0.2"/>
    <row r="2794" ht="12.75" x14ac:dyDescent="0.2"/>
    <row r="2795" ht="12.75" x14ac:dyDescent="0.2"/>
    <row r="2796" ht="12.75" x14ac:dyDescent="0.2"/>
    <row r="2797" ht="12.75" x14ac:dyDescent="0.2"/>
    <row r="2798" ht="12.75" x14ac:dyDescent="0.2"/>
    <row r="2799" ht="12.75" x14ac:dyDescent="0.2"/>
    <row r="2800" ht="12.75" x14ac:dyDescent="0.2"/>
    <row r="2801" ht="12.75" x14ac:dyDescent="0.2"/>
    <row r="2802" ht="12.75" x14ac:dyDescent="0.2"/>
    <row r="2803" ht="12.75" x14ac:dyDescent="0.2"/>
    <row r="2804" ht="12.75" x14ac:dyDescent="0.2"/>
    <row r="2805" ht="12.75" x14ac:dyDescent="0.2"/>
    <row r="2806" ht="12.75" x14ac:dyDescent="0.2"/>
    <row r="2807" ht="12.75" x14ac:dyDescent="0.2"/>
    <row r="2808" ht="12.75" x14ac:dyDescent="0.2"/>
    <row r="2809" ht="12.75" x14ac:dyDescent="0.2"/>
    <row r="2810" ht="12.75" x14ac:dyDescent="0.2"/>
    <row r="2811" ht="12.75" x14ac:dyDescent="0.2"/>
    <row r="2812" ht="12.75" x14ac:dyDescent="0.2"/>
    <row r="2813" ht="12.75" x14ac:dyDescent="0.2"/>
    <row r="2814" ht="12.75" x14ac:dyDescent="0.2"/>
    <row r="2815" ht="12.75" x14ac:dyDescent="0.2"/>
    <row r="2816" ht="12.75" x14ac:dyDescent="0.2"/>
    <row r="2817" ht="12.75" x14ac:dyDescent="0.2"/>
    <row r="2818" ht="12.75" x14ac:dyDescent="0.2"/>
    <row r="2819" ht="12.75" x14ac:dyDescent="0.2"/>
    <row r="2820" ht="12.75" x14ac:dyDescent="0.2"/>
    <row r="2821" ht="12.75" x14ac:dyDescent="0.2"/>
    <row r="2822" ht="12.75" x14ac:dyDescent="0.2"/>
    <row r="2823" ht="12.75" x14ac:dyDescent="0.2"/>
    <row r="2824" ht="12.75" x14ac:dyDescent="0.2"/>
    <row r="2825" ht="12.75" x14ac:dyDescent="0.2"/>
    <row r="2826" ht="12.75" x14ac:dyDescent="0.2"/>
    <row r="2827" ht="12.75" x14ac:dyDescent="0.2"/>
    <row r="2828" ht="12.75" x14ac:dyDescent="0.2"/>
    <row r="2829" ht="12.75" x14ac:dyDescent="0.2"/>
    <row r="2830" ht="12.75" x14ac:dyDescent="0.2"/>
    <row r="2831" ht="12.75" x14ac:dyDescent="0.2"/>
    <row r="2832" ht="12.75" x14ac:dyDescent="0.2"/>
    <row r="2833" ht="12.75" x14ac:dyDescent="0.2"/>
    <row r="2834" ht="12.75" x14ac:dyDescent="0.2"/>
    <row r="2835" ht="12.75" x14ac:dyDescent="0.2"/>
    <row r="2836" ht="12.75" x14ac:dyDescent="0.2"/>
    <row r="2837" ht="12.75" x14ac:dyDescent="0.2"/>
    <row r="2838" ht="12.75" x14ac:dyDescent="0.2"/>
    <row r="2839" ht="12.75" x14ac:dyDescent="0.2"/>
    <row r="2840" ht="12.75" x14ac:dyDescent="0.2"/>
    <row r="2841" ht="12.75" x14ac:dyDescent="0.2"/>
    <row r="2842" ht="12.75" x14ac:dyDescent="0.2"/>
    <row r="2843" ht="12.75" x14ac:dyDescent="0.2"/>
    <row r="2844" ht="12.75" x14ac:dyDescent="0.2"/>
    <row r="2845" ht="12.75" x14ac:dyDescent="0.2"/>
    <row r="2846" ht="12.75" x14ac:dyDescent="0.2"/>
    <row r="2847" ht="12.75" x14ac:dyDescent="0.2"/>
    <row r="2848" ht="12.75" x14ac:dyDescent="0.2"/>
    <row r="2849" ht="12.75" x14ac:dyDescent="0.2"/>
    <row r="2850" ht="12.75" x14ac:dyDescent="0.2"/>
    <row r="2851" ht="12.75" x14ac:dyDescent="0.2"/>
    <row r="2852" ht="12.75" x14ac:dyDescent="0.2"/>
    <row r="2853" ht="12.75" x14ac:dyDescent="0.2"/>
    <row r="2854" ht="12.75" x14ac:dyDescent="0.2"/>
    <row r="2855" ht="12.75" x14ac:dyDescent="0.2"/>
    <row r="2856" ht="12.75" x14ac:dyDescent="0.2"/>
    <row r="2857" ht="12.75" x14ac:dyDescent="0.2"/>
    <row r="2858" ht="12.75" x14ac:dyDescent="0.2"/>
    <row r="2859" ht="12.75" x14ac:dyDescent="0.2"/>
    <row r="2860" ht="12.75" x14ac:dyDescent="0.2"/>
    <row r="2861" ht="12.75" x14ac:dyDescent="0.2"/>
    <row r="2862" ht="12.75" x14ac:dyDescent="0.2"/>
    <row r="2863" ht="12.75" x14ac:dyDescent="0.2"/>
    <row r="2864" ht="12.75" x14ac:dyDescent="0.2"/>
    <row r="2865" ht="12.75" x14ac:dyDescent="0.2"/>
    <row r="2866" ht="12.75" x14ac:dyDescent="0.2"/>
    <row r="2867" ht="12.75" x14ac:dyDescent="0.2"/>
    <row r="2868" ht="12.75" x14ac:dyDescent="0.2"/>
    <row r="2869" ht="12.75" x14ac:dyDescent="0.2"/>
    <row r="2870" ht="12.75" x14ac:dyDescent="0.2"/>
    <row r="2871" ht="12.75" x14ac:dyDescent="0.2"/>
    <row r="2872" ht="12.75" x14ac:dyDescent="0.2"/>
    <row r="2873" ht="12.75" x14ac:dyDescent="0.2"/>
    <row r="2874" ht="12.75" x14ac:dyDescent="0.2"/>
    <row r="2875" ht="12.75" x14ac:dyDescent="0.2"/>
    <row r="2876" ht="12.75" x14ac:dyDescent="0.2"/>
    <row r="2877" ht="12.75" x14ac:dyDescent="0.2"/>
    <row r="2878" ht="12.75" x14ac:dyDescent="0.2"/>
    <row r="2879" ht="12.75" x14ac:dyDescent="0.2"/>
    <row r="2880" ht="12.75" x14ac:dyDescent="0.2"/>
    <row r="2881" ht="12.75" x14ac:dyDescent="0.2"/>
    <row r="2882" ht="12.75" x14ac:dyDescent="0.2"/>
    <row r="2883" ht="12.75" x14ac:dyDescent="0.2"/>
    <row r="2884" ht="12.75" x14ac:dyDescent="0.2"/>
    <row r="2885" ht="12.75" x14ac:dyDescent="0.2"/>
    <row r="2886" ht="12.75" x14ac:dyDescent="0.2"/>
    <row r="2887" ht="12.75" x14ac:dyDescent="0.2"/>
    <row r="2888" ht="12.75" x14ac:dyDescent="0.2"/>
    <row r="2889" ht="12.75" x14ac:dyDescent="0.2"/>
    <row r="2890" ht="12.75" x14ac:dyDescent="0.2"/>
    <row r="2891" ht="12.75" x14ac:dyDescent="0.2"/>
    <row r="2892" ht="12.75" x14ac:dyDescent="0.2"/>
    <row r="2893" ht="12.75" x14ac:dyDescent="0.2"/>
    <row r="2894" ht="12.75" x14ac:dyDescent="0.2"/>
    <row r="2895" ht="12.75" x14ac:dyDescent="0.2"/>
    <row r="2896" ht="12.75" x14ac:dyDescent="0.2"/>
    <row r="2897" ht="12.75" x14ac:dyDescent="0.2"/>
    <row r="2898" ht="12.75" x14ac:dyDescent="0.2"/>
    <row r="2899" ht="12.75" x14ac:dyDescent="0.2"/>
    <row r="2900" ht="12.75" x14ac:dyDescent="0.2"/>
    <row r="2901" ht="12.75" x14ac:dyDescent="0.2"/>
    <row r="2902" ht="12.75" x14ac:dyDescent="0.2"/>
    <row r="2903" ht="12.75" x14ac:dyDescent="0.2"/>
    <row r="2904" ht="12.75" x14ac:dyDescent="0.2"/>
    <row r="2905" ht="12.75" x14ac:dyDescent="0.2"/>
    <row r="2906" ht="12.75" x14ac:dyDescent="0.2"/>
    <row r="2907" ht="12.75" x14ac:dyDescent="0.2"/>
    <row r="2908" ht="12.75" x14ac:dyDescent="0.2"/>
    <row r="2909" ht="12.75" x14ac:dyDescent="0.2"/>
    <row r="2910" ht="12.75" x14ac:dyDescent="0.2"/>
    <row r="2911" ht="12.75" x14ac:dyDescent="0.2"/>
    <row r="2912" ht="12.75" x14ac:dyDescent="0.2"/>
    <row r="2913" ht="12.75" x14ac:dyDescent="0.2"/>
    <row r="2914" ht="12.75" x14ac:dyDescent="0.2"/>
    <row r="2915" ht="12.75" x14ac:dyDescent="0.2"/>
    <row r="2916" ht="12.75" x14ac:dyDescent="0.2"/>
    <row r="2917" ht="12.75" x14ac:dyDescent="0.2"/>
    <row r="2918" ht="12.75" x14ac:dyDescent="0.2"/>
    <row r="2919" ht="12.75" x14ac:dyDescent="0.2"/>
    <row r="2920" ht="12.75" x14ac:dyDescent="0.2"/>
    <row r="2921" ht="12.75" x14ac:dyDescent="0.2"/>
    <row r="2922" ht="12.75" x14ac:dyDescent="0.2"/>
    <row r="2923" ht="12.75" x14ac:dyDescent="0.2"/>
    <row r="2924" ht="12.75" x14ac:dyDescent="0.2"/>
    <row r="2925" ht="12.75" x14ac:dyDescent="0.2"/>
    <row r="2926" ht="12.75" x14ac:dyDescent="0.2"/>
    <row r="2927" ht="12.75" x14ac:dyDescent="0.2"/>
    <row r="2928" ht="12.75" x14ac:dyDescent="0.2"/>
    <row r="2929" ht="12.75" x14ac:dyDescent="0.2"/>
    <row r="2930" ht="12.75" x14ac:dyDescent="0.2"/>
    <row r="2931" ht="12.75" x14ac:dyDescent="0.2"/>
    <row r="2932" ht="12.75" x14ac:dyDescent="0.2"/>
    <row r="2933" ht="12.75" x14ac:dyDescent="0.2"/>
    <row r="2934" ht="12.75" x14ac:dyDescent="0.2"/>
    <row r="2935" ht="12.75" x14ac:dyDescent="0.2"/>
    <row r="2936" ht="12.75" x14ac:dyDescent="0.2"/>
    <row r="2937" ht="12.75" x14ac:dyDescent="0.2"/>
    <row r="2938" ht="12.75" x14ac:dyDescent="0.2"/>
    <row r="2939" ht="12.75" x14ac:dyDescent="0.2"/>
    <row r="2940" ht="12.75" x14ac:dyDescent="0.2"/>
    <row r="2941" ht="12.75" x14ac:dyDescent="0.2"/>
    <row r="2942" ht="12.75" x14ac:dyDescent="0.2"/>
    <row r="2943" ht="12.75" x14ac:dyDescent="0.2"/>
    <row r="2944" ht="12.75" x14ac:dyDescent="0.2"/>
    <row r="2945" ht="12.75" x14ac:dyDescent="0.2"/>
    <row r="2946" ht="12.75" x14ac:dyDescent="0.2"/>
    <row r="2947" ht="12.75" x14ac:dyDescent="0.2"/>
    <row r="2948" ht="12.75" x14ac:dyDescent="0.2"/>
    <row r="2949" ht="12.75" x14ac:dyDescent="0.2"/>
    <row r="2950" ht="12.75" x14ac:dyDescent="0.2"/>
    <row r="2951" ht="12.75" x14ac:dyDescent="0.2"/>
    <row r="2952" ht="12.75" x14ac:dyDescent="0.2"/>
    <row r="2953" ht="12.75" x14ac:dyDescent="0.2"/>
    <row r="2954" ht="12.75" x14ac:dyDescent="0.2"/>
    <row r="2955" ht="12.75" x14ac:dyDescent="0.2"/>
    <row r="2956" ht="12.75" x14ac:dyDescent="0.2"/>
    <row r="2957" ht="12.75" x14ac:dyDescent="0.2"/>
    <row r="2958" ht="12.75" x14ac:dyDescent="0.2"/>
    <row r="2959" ht="12.75" x14ac:dyDescent="0.2"/>
    <row r="2960" ht="12.75" x14ac:dyDescent="0.2"/>
    <row r="2961" ht="12.75" x14ac:dyDescent="0.2"/>
    <row r="2962" ht="12.75" x14ac:dyDescent="0.2"/>
    <row r="2963" ht="12.75" x14ac:dyDescent="0.2"/>
    <row r="2964" ht="12.75" x14ac:dyDescent="0.2"/>
    <row r="2965" ht="12.75" x14ac:dyDescent="0.2"/>
    <row r="2966" ht="12.75" x14ac:dyDescent="0.2"/>
    <row r="2967" ht="12.75" x14ac:dyDescent="0.2"/>
    <row r="2968" ht="12.75" x14ac:dyDescent="0.2"/>
    <row r="2969" ht="12.75" x14ac:dyDescent="0.2"/>
    <row r="2970" ht="12.75" x14ac:dyDescent="0.2"/>
    <row r="2971" ht="12.75" x14ac:dyDescent="0.2"/>
    <row r="2972" ht="12.75" x14ac:dyDescent="0.2"/>
    <row r="2973" ht="12.75" x14ac:dyDescent="0.2"/>
    <row r="2974" ht="12.75" x14ac:dyDescent="0.2"/>
    <row r="2975" ht="12.75" x14ac:dyDescent="0.2"/>
    <row r="2976" ht="12.75" x14ac:dyDescent="0.2"/>
    <row r="2977" ht="12.75" x14ac:dyDescent="0.2"/>
    <row r="2978" ht="12.75" x14ac:dyDescent="0.2"/>
    <row r="2979" ht="12.75" x14ac:dyDescent="0.2"/>
    <row r="2980" ht="12.75" x14ac:dyDescent="0.2"/>
    <row r="2981" ht="12.75" x14ac:dyDescent="0.2"/>
    <row r="2982" ht="12.75" x14ac:dyDescent="0.2"/>
    <row r="2983" ht="12.75" x14ac:dyDescent="0.2"/>
    <row r="2984" ht="12.75" x14ac:dyDescent="0.2"/>
    <row r="2985" ht="12.75" x14ac:dyDescent="0.2"/>
    <row r="2986" ht="12.75" x14ac:dyDescent="0.2"/>
    <row r="2987" ht="12.75" x14ac:dyDescent="0.2"/>
    <row r="2988" ht="12.75" x14ac:dyDescent="0.2"/>
    <row r="2989" ht="12.75" x14ac:dyDescent="0.2"/>
    <row r="2990" ht="12.75" x14ac:dyDescent="0.2"/>
    <row r="2991" ht="12.75" x14ac:dyDescent="0.2"/>
    <row r="2992" ht="12.75" x14ac:dyDescent="0.2"/>
    <row r="2993" ht="12.75" x14ac:dyDescent="0.2"/>
    <row r="2994" ht="12.75" x14ac:dyDescent="0.2"/>
    <row r="2995" ht="12.75" x14ac:dyDescent="0.2"/>
    <row r="2996" ht="12.75" x14ac:dyDescent="0.2"/>
    <row r="2997" ht="12.75" x14ac:dyDescent="0.2"/>
    <row r="2998" ht="12.75" x14ac:dyDescent="0.2"/>
    <row r="2999" ht="12.75" x14ac:dyDescent="0.2"/>
    <row r="3000" ht="12.75" x14ac:dyDescent="0.2"/>
    <row r="3001" ht="12.75" x14ac:dyDescent="0.2"/>
    <row r="3002" ht="12.75" x14ac:dyDescent="0.2"/>
    <row r="3003" ht="12.75" x14ac:dyDescent="0.2"/>
    <row r="3004" ht="12.75" x14ac:dyDescent="0.2"/>
    <row r="3005" ht="12.75" x14ac:dyDescent="0.2"/>
    <row r="3006" ht="12.75" x14ac:dyDescent="0.2"/>
    <row r="3007" ht="12.75" x14ac:dyDescent="0.2"/>
    <row r="3008" ht="12.75" x14ac:dyDescent="0.2"/>
    <row r="3009" ht="12.75" x14ac:dyDescent="0.2"/>
    <row r="3010" ht="12.75" x14ac:dyDescent="0.2"/>
    <row r="3011" ht="12.75" x14ac:dyDescent="0.2"/>
    <row r="3012" ht="12.75" x14ac:dyDescent="0.2"/>
    <row r="3013" ht="12.75" x14ac:dyDescent="0.2"/>
    <row r="3014" ht="12.75" x14ac:dyDescent="0.2"/>
    <row r="3015" ht="12.75" x14ac:dyDescent="0.2"/>
    <row r="3016" ht="12.75" x14ac:dyDescent="0.2"/>
    <row r="3017" ht="12.75" x14ac:dyDescent="0.2"/>
    <row r="3018" ht="12.75" x14ac:dyDescent="0.2"/>
    <row r="3019" ht="12.75" x14ac:dyDescent="0.2"/>
    <row r="3020" ht="12.75" x14ac:dyDescent="0.2"/>
    <row r="3021" ht="12.75" x14ac:dyDescent="0.2"/>
    <row r="3022" ht="12.75" x14ac:dyDescent="0.2"/>
    <row r="3023" ht="12.75" x14ac:dyDescent="0.2"/>
    <row r="3024" ht="12.75" x14ac:dyDescent="0.2"/>
    <row r="3025" ht="12.75" x14ac:dyDescent="0.2"/>
    <row r="3026" ht="12.75" x14ac:dyDescent="0.2"/>
    <row r="3027" ht="12.75" x14ac:dyDescent="0.2"/>
    <row r="3028" ht="12.75" x14ac:dyDescent="0.2"/>
    <row r="3029" ht="12.75" x14ac:dyDescent="0.2"/>
    <row r="3030" ht="12.75" x14ac:dyDescent="0.2"/>
    <row r="3031" ht="12.75" x14ac:dyDescent="0.2"/>
    <row r="3032" ht="12.75" x14ac:dyDescent="0.2"/>
    <row r="3033" ht="12.75" x14ac:dyDescent="0.2"/>
    <row r="3034" ht="12.75" x14ac:dyDescent="0.2"/>
    <row r="3035" ht="12.75" x14ac:dyDescent="0.2"/>
    <row r="3036" ht="12.75" x14ac:dyDescent="0.2"/>
    <row r="3037" ht="12.75" x14ac:dyDescent="0.2"/>
    <row r="3038" ht="12.75" x14ac:dyDescent="0.2"/>
    <row r="3039" ht="12.75" x14ac:dyDescent="0.2"/>
    <row r="3040" ht="12.75" x14ac:dyDescent="0.2"/>
    <row r="3041" ht="12.75" x14ac:dyDescent="0.2"/>
    <row r="3042" ht="12.75" x14ac:dyDescent="0.2"/>
    <row r="3043" ht="12.75" x14ac:dyDescent="0.2"/>
    <row r="3044" ht="12.75" x14ac:dyDescent="0.2"/>
    <row r="3045" ht="12.75" x14ac:dyDescent="0.2"/>
    <row r="3046" ht="12.75" x14ac:dyDescent="0.2"/>
    <row r="3047" ht="12.75" x14ac:dyDescent="0.2"/>
    <row r="3048" ht="12.75" x14ac:dyDescent="0.2"/>
    <row r="3049" ht="12.75" x14ac:dyDescent="0.2"/>
    <row r="3050" ht="12.75" x14ac:dyDescent="0.2"/>
    <row r="3051" ht="12.75" x14ac:dyDescent="0.2"/>
    <row r="3052" ht="12.75" x14ac:dyDescent="0.2"/>
    <row r="3053" ht="12.75" x14ac:dyDescent="0.2"/>
    <row r="3054" ht="12.75" x14ac:dyDescent="0.2"/>
    <row r="3055" ht="12.75" x14ac:dyDescent="0.2"/>
    <row r="3056" ht="12.75" x14ac:dyDescent="0.2"/>
    <row r="3057" ht="12.75" x14ac:dyDescent="0.2"/>
    <row r="3058" ht="12.75" x14ac:dyDescent="0.2"/>
    <row r="3059" ht="12.75" x14ac:dyDescent="0.2"/>
    <row r="3060" ht="12.75" x14ac:dyDescent="0.2"/>
    <row r="3061" ht="12.75" x14ac:dyDescent="0.2"/>
    <row r="3062" ht="12.75" x14ac:dyDescent="0.2"/>
    <row r="3063" ht="12.75" x14ac:dyDescent="0.2"/>
    <row r="3064" ht="12.75" x14ac:dyDescent="0.2"/>
    <row r="3065" ht="12.75" x14ac:dyDescent="0.2"/>
    <row r="3066" ht="12.75" x14ac:dyDescent="0.2"/>
    <row r="3067" ht="12.75" x14ac:dyDescent="0.2"/>
    <row r="3068" ht="12.75" x14ac:dyDescent="0.2"/>
    <row r="3069" ht="12.75" x14ac:dyDescent="0.2"/>
    <row r="3070" ht="12.75" x14ac:dyDescent="0.2"/>
    <row r="3071" ht="12.75" x14ac:dyDescent="0.2"/>
    <row r="3072" ht="12.75" x14ac:dyDescent="0.2"/>
    <row r="3073" ht="12.75" x14ac:dyDescent="0.2"/>
    <row r="3074" ht="12.75" x14ac:dyDescent="0.2"/>
    <row r="3075" ht="12.75" x14ac:dyDescent="0.2"/>
    <row r="3076" ht="12.75" x14ac:dyDescent="0.2"/>
    <row r="3077" ht="12.75" x14ac:dyDescent="0.2"/>
    <row r="3078" ht="12.75" x14ac:dyDescent="0.2"/>
    <row r="3079" ht="12.75" x14ac:dyDescent="0.2"/>
    <row r="3080" ht="12.75" x14ac:dyDescent="0.2"/>
    <row r="3081" ht="12.75" x14ac:dyDescent="0.2"/>
    <row r="3082" ht="12.75" x14ac:dyDescent="0.2"/>
    <row r="3083" ht="12.75" x14ac:dyDescent="0.2"/>
    <row r="3084" ht="12.75" x14ac:dyDescent="0.2"/>
    <row r="3085" ht="12.75" x14ac:dyDescent="0.2"/>
    <row r="3086" ht="12.75" x14ac:dyDescent="0.2"/>
    <row r="3087" ht="12.75" x14ac:dyDescent="0.2"/>
    <row r="3088" ht="12.75" x14ac:dyDescent="0.2"/>
    <row r="3089" ht="12.75" x14ac:dyDescent="0.2"/>
    <row r="3090" ht="12.75" x14ac:dyDescent="0.2"/>
    <row r="3091" ht="12.75" x14ac:dyDescent="0.2"/>
    <row r="3092" ht="12.75" x14ac:dyDescent="0.2"/>
    <row r="3093" ht="12.75" x14ac:dyDescent="0.2"/>
    <row r="3094" ht="12.75" x14ac:dyDescent="0.2"/>
    <row r="3095" ht="12.75" x14ac:dyDescent="0.2"/>
    <row r="3096" ht="12.75" x14ac:dyDescent="0.2"/>
    <row r="3097" ht="12.75" x14ac:dyDescent="0.2"/>
    <row r="3098" ht="12.75" x14ac:dyDescent="0.2"/>
    <row r="3099" ht="12.75" x14ac:dyDescent="0.2"/>
    <row r="3100" ht="12.75" x14ac:dyDescent="0.2"/>
    <row r="3101" ht="12.75" x14ac:dyDescent="0.2"/>
    <row r="3102" ht="12.75" x14ac:dyDescent="0.2"/>
    <row r="3103" ht="12.75" x14ac:dyDescent="0.2"/>
    <row r="3104" ht="12.75" x14ac:dyDescent="0.2"/>
    <row r="3105" ht="12.75" x14ac:dyDescent="0.2"/>
    <row r="3106" ht="12.75" x14ac:dyDescent="0.2"/>
    <row r="3107" ht="12.75" x14ac:dyDescent="0.2"/>
    <row r="3108" ht="12.75" x14ac:dyDescent="0.2"/>
    <row r="3109" ht="12.75" x14ac:dyDescent="0.2"/>
    <row r="3110" ht="12.75" x14ac:dyDescent="0.2"/>
    <row r="3111" ht="12.75" x14ac:dyDescent="0.2"/>
    <row r="3112" ht="12.75" x14ac:dyDescent="0.2"/>
    <row r="3113" ht="12.75" x14ac:dyDescent="0.2"/>
    <row r="3114" ht="12.75" x14ac:dyDescent="0.2"/>
    <row r="3115" ht="12.75" x14ac:dyDescent="0.2"/>
    <row r="3116" ht="12.75" x14ac:dyDescent="0.2"/>
    <row r="3117" ht="12.75" x14ac:dyDescent="0.2"/>
    <row r="3118" ht="12.75" x14ac:dyDescent="0.2"/>
    <row r="3119" ht="12.75" x14ac:dyDescent="0.2"/>
    <row r="3120" ht="12.75" x14ac:dyDescent="0.2"/>
    <row r="3121" ht="12.75" x14ac:dyDescent="0.2"/>
    <row r="3122" ht="12.75" x14ac:dyDescent="0.2"/>
    <row r="3123" ht="12.75" x14ac:dyDescent="0.2"/>
    <row r="3124" ht="12.75" x14ac:dyDescent="0.2"/>
    <row r="3125" ht="12.75" x14ac:dyDescent="0.2"/>
    <row r="3126" ht="12.75" x14ac:dyDescent="0.2"/>
    <row r="3127" ht="12.75" x14ac:dyDescent="0.2"/>
    <row r="3128" ht="12.75" x14ac:dyDescent="0.2"/>
    <row r="3129" ht="12.75" x14ac:dyDescent="0.2"/>
    <row r="3130" ht="12.75" x14ac:dyDescent="0.2"/>
    <row r="3131" ht="12.75" x14ac:dyDescent="0.2"/>
    <row r="3132" ht="12.75" x14ac:dyDescent="0.2"/>
    <row r="3133" ht="12.75" x14ac:dyDescent="0.2"/>
    <row r="3134" ht="12.75" x14ac:dyDescent="0.2"/>
    <row r="3135" ht="12.75" x14ac:dyDescent="0.2"/>
    <row r="3136" ht="12.75" x14ac:dyDescent="0.2"/>
    <row r="3137" ht="12.75" x14ac:dyDescent="0.2"/>
    <row r="3138" ht="12.75" x14ac:dyDescent="0.2"/>
    <row r="3139" ht="12.75" x14ac:dyDescent="0.2"/>
    <row r="3140" ht="12.75" x14ac:dyDescent="0.2"/>
    <row r="3141" ht="12.75" x14ac:dyDescent="0.2"/>
    <row r="3142" ht="12.75" x14ac:dyDescent="0.2"/>
    <row r="3143" ht="12.75" x14ac:dyDescent="0.2"/>
    <row r="3144" ht="12.75" x14ac:dyDescent="0.2"/>
    <row r="3145" ht="12.75" x14ac:dyDescent="0.2"/>
    <row r="3146" ht="12.75" x14ac:dyDescent="0.2"/>
    <row r="3147" ht="12.75" x14ac:dyDescent="0.2"/>
    <row r="3148" ht="12.75" x14ac:dyDescent="0.2"/>
    <row r="3149" ht="12.75" x14ac:dyDescent="0.2"/>
    <row r="3150" ht="12.75" x14ac:dyDescent="0.2"/>
    <row r="3151" ht="12.75" x14ac:dyDescent="0.2"/>
    <row r="3152" ht="12.75" x14ac:dyDescent="0.2"/>
    <row r="3153" ht="12.75" x14ac:dyDescent="0.2"/>
    <row r="3154" ht="12.75" x14ac:dyDescent="0.2"/>
    <row r="3155" ht="12.75" x14ac:dyDescent="0.2"/>
    <row r="3156" ht="12.75" x14ac:dyDescent="0.2"/>
    <row r="3157" ht="12.75" x14ac:dyDescent="0.2"/>
    <row r="3158" ht="12.75" x14ac:dyDescent="0.2"/>
    <row r="3159" ht="12.75" x14ac:dyDescent="0.2"/>
    <row r="3160" ht="12.75" x14ac:dyDescent="0.2"/>
    <row r="3161" ht="12.75" x14ac:dyDescent="0.2"/>
    <row r="3162" ht="12.75" x14ac:dyDescent="0.2"/>
    <row r="3163" ht="12.75" x14ac:dyDescent="0.2"/>
    <row r="3164" ht="12.75" x14ac:dyDescent="0.2"/>
    <row r="3165" ht="12.75" x14ac:dyDescent="0.2"/>
    <row r="3166" ht="12.75" x14ac:dyDescent="0.2"/>
    <row r="3167" ht="12.75" x14ac:dyDescent="0.2"/>
    <row r="3168" ht="12.75" x14ac:dyDescent="0.2"/>
    <row r="3169" ht="12.75" x14ac:dyDescent="0.2"/>
    <row r="3170" ht="12.75" x14ac:dyDescent="0.2"/>
    <row r="3171" ht="12.75" x14ac:dyDescent="0.2"/>
    <row r="3172" ht="12.75" x14ac:dyDescent="0.2"/>
    <row r="3173" ht="12.75" x14ac:dyDescent="0.2"/>
    <row r="3174" ht="12.75" x14ac:dyDescent="0.2"/>
    <row r="3175" ht="12.75" x14ac:dyDescent="0.2"/>
    <row r="3176" ht="12.75" x14ac:dyDescent="0.2"/>
    <row r="3177" ht="12.75" x14ac:dyDescent="0.2"/>
    <row r="3178" ht="12.75" x14ac:dyDescent="0.2"/>
    <row r="3179" ht="12.75" x14ac:dyDescent="0.2"/>
    <row r="3180" ht="12.75" x14ac:dyDescent="0.2"/>
    <row r="3181" ht="12.75" x14ac:dyDescent="0.2"/>
    <row r="3182" ht="12.75" x14ac:dyDescent="0.2"/>
    <row r="3183" ht="12.75" x14ac:dyDescent="0.2"/>
    <row r="3184" ht="12.75" x14ac:dyDescent="0.2"/>
    <row r="3185" ht="12.75" x14ac:dyDescent="0.2"/>
    <row r="3186" ht="12.75" x14ac:dyDescent="0.2"/>
    <row r="3187" ht="12.75" x14ac:dyDescent="0.2"/>
    <row r="3188" ht="12.75" x14ac:dyDescent="0.2"/>
    <row r="3189" ht="12.75" x14ac:dyDescent="0.2"/>
    <row r="3190" ht="12.75" x14ac:dyDescent="0.2"/>
    <row r="3191" ht="12.75" x14ac:dyDescent="0.2"/>
    <row r="3192" ht="12.75" x14ac:dyDescent="0.2"/>
    <row r="3193" ht="12.75" x14ac:dyDescent="0.2"/>
    <row r="3194" ht="12.75" x14ac:dyDescent="0.2"/>
    <row r="3195" ht="12.75" x14ac:dyDescent="0.2"/>
    <row r="3196" ht="12.75" x14ac:dyDescent="0.2"/>
    <row r="3197" ht="12.75" x14ac:dyDescent="0.2"/>
    <row r="3198" ht="12.75" x14ac:dyDescent="0.2"/>
    <row r="3199" ht="12.75" x14ac:dyDescent="0.2"/>
    <row r="3200" ht="12.75" x14ac:dyDescent="0.2"/>
    <row r="3201" ht="12.75" x14ac:dyDescent="0.2"/>
    <row r="3202" ht="12.75" x14ac:dyDescent="0.2"/>
    <row r="3203" ht="12.75" x14ac:dyDescent="0.2"/>
    <row r="3204" ht="12.75" x14ac:dyDescent="0.2"/>
    <row r="3205" ht="12.75" x14ac:dyDescent="0.2"/>
    <row r="3206" ht="12.75" x14ac:dyDescent="0.2"/>
    <row r="3207" ht="12.75" x14ac:dyDescent="0.2"/>
    <row r="3208" ht="12.75" x14ac:dyDescent="0.2"/>
    <row r="3209" ht="12.75" x14ac:dyDescent="0.2"/>
    <row r="3210" ht="12.75" x14ac:dyDescent="0.2"/>
    <row r="3211" ht="12.75" x14ac:dyDescent="0.2"/>
    <row r="3212" ht="12.75" x14ac:dyDescent="0.2"/>
    <row r="3213" ht="12.75" x14ac:dyDescent="0.2"/>
    <row r="3214" ht="12.75" x14ac:dyDescent="0.2"/>
    <row r="3215" ht="12.75" x14ac:dyDescent="0.2"/>
    <row r="3216" ht="12.75" x14ac:dyDescent="0.2"/>
    <row r="3217" ht="12.75" x14ac:dyDescent="0.2"/>
    <row r="3218" ht="12.75" x14ac:dyDescent="0.2"/>
    <row r="3219" ht="12.75" x14ac:dyDescent="0.2"/>
    <row r="3220" ht="12.75" x14ac:dyDescent="0.2"/>
    <row r="3221" ht="12.75" x14ac:dyDescent="0.2"/>
    <row r="3222" ht="12.75" x14ac:dyDescent="0.2"/>
    <row r="3223" ht="12.75" x14ac:dyDescent="0.2"/>
    <row r="3224" ht="12.75" x14ac:dyDescent="0.2"/>
    <row r="3225" ht="12.75" x14ac:dyDescent="0.2"/>
    <row r="3226" ht="12.75" x14ac:dyDescent="0.2"/>
    <row r="3227" ht="12.75" x14ac:dyDescent="0.2"/>
    <row r="3228" ht="12.75" x14ac:dyDescent="0.2"/>
    <row r="3229" ht="12.75" x14ac:dyDescent="0.2"/>
    <row r="3230" ht="12.75" x14ac:dyDescent="0.2"/>
    <row r="3231" ht="12.75" x14ac:dyDescent="0.2"/>
    <row r="3232" ht="12.75" x14ac:dyDescent="0.2"/>
    <row r="3233" ht="12.75" x14ac:dyDescent="0.2"/>
    <row r="3234" ht="12.75" x14ac:dyDescent="0.2"/>
    <row r="3235" ht="12.75" x14ac:dyDescent="0.2"/>
    <row r="3236" ht="12.75" x14ac:dyDescent="0.2"/>
    <row r="3237" ht="12.75" x14ac:dyDescent="0.2"/>
    <row r="3238" ht="12.75" x14ac:dyDescent="0.2"/>
    <row r="3239" ht="12.75" x14ac:dyDescent="0.2"/>
    <row r="3240" ht="12.75" x14ac:dyDescent="0.2"/>
    <row r="3241" ht="12.75" x14ac:dyDescent="0.2"/>
    <row r="3242" ht="12.75" x14ac:dyDescent="0.2"/>
    <row r="3243" ht="12.75" x14ac:dyDescent="0.2"/>
    <row r="3244" ht="12.75" x14ac:dyDescent="0.2"/>
    <row r="3245" ht="12.75" x14ac:dyDescent="0.2"/>
    <row r="3246" ht="12.75" x14ac:dyDescent="0.2"/>
    <row r="3247" ht="12.75" x14ac:dyDescent="0.2"/>
    <row r="3248" ht="12.75" x14ac:dyDescent="0.2"/>
    <row r="3249" ht="12.75" x14ac:dyDescent="0.2"/>
    <row r="3250" ht="12.75" x14ac:dyDescent="0.2"/>
    <row r="3251" ht="12.75" x14ac:dyDescent="0.2"/>
    <row r="3252" ht="12.75" x14ac:dyDescent="0.2"/>
    <row r="3253" ht="12.75" x14ac:dyDescent="0.2"/>
    <row r="3254" ht="12.75" x14ac:dyDescent="0.2"/>
    <row r="3255" ht="12.75" x14ac:dyDescent="0.2"/>
    <row r="3256" ht="12.75" x14ac:dyDescent="0.2"/>
    <row r="3257" ht="12.75" x14ac:dyDescent="0.2"/>
    <row r="3258" ht="12.75" x14ac:dyDescent="0.2"/>
    <row r="3259" ht="12.75" x14ac:dyDescent="0.2"/>
    <row r="3260" ht="12.75" x14ac:dyDescent="0.2"/>
    <row r="3261" ht="12.75" x14ac:dyDescent="0.2"/>
    <row r="3262" ht="12.75" x14ac:dyDescent="0.2"/>
    <row r="3263" ht="12.75" x14ac:dyDescent="0.2"/>
    <row r="3264" ht="12.75" x14ac:dyDescent="0.2"/>
    <row r="3265" ht="12.75" x14ac:dyDescent="0.2"/>
    <row r="3266" ht="12.75" x14ac:dyDescent="0.2"/>
    <row r="3267" ht="12.75" x14ac:dyDescent="0.2"/>
    <row r="3268" ht="12.75" x14ac:dyDescent="0.2"/>
    <row r="3269" ht="12.75" x14ac:dyDescent="0.2"/>
    <row r="3270" ht="12.75" x14ac:dyDescent="0.2"/>
    <row r="3271" ht="12.75" x14ac:dyDescent="0.2"/>
    <row r="3272" ht="12.75" x14ac:dyDescent="0.2"/>
    <row r="3273" ht="12.75" x14ac:dyDescent="0.2"/>
    <row r="3274" ht="12.75" x14ac:dyDescent="0.2"/>
    <row r="3275" ht="12.75" x14ac:dyDescent="0.2"/>
    <row r="3276" ht="12.75" x14ac:dyDescent="0.2"/>
    <row r="3277" ht="12.75" x14ac:dyDescent="0.2"/>
    <row r="3278" ht="12.75" x14ac:dyDescent="0.2"/>
    <row r="3279" ht="12.75" x14ac:dyDescent="0.2"/>
    <row r="3280" ht="12.75" x14ac:dyDescent="0.2"/>
    <row r="3281" ht="12.75" x14ac:dyDescent="0.2"/>
    <row r="3282" ht="12.75" x14ac:dyDescent="0.2"/>
    <row r="3283" ht="12.75" x14ac:dyDescent="0.2"/>
    <row r="3284" ht="12.75" x14ac:dyDescent="0.2"/>
    <row r="3285" ht="12.75" x14ac:dyDescent="0.2"/>
    <row r="3286" ht="12.75" x14ac:dyDescent="0.2"/>
    <row r="3287" ht="12.75" x14ac:dyDescent="0.2"/>
    <row r="3288" ht="12.75" x14ac:dyDescent="0.2"/>
    <row r="3289" ht="12.75" x14ac:dyDescent="0.2"/>
    <row r="3290" ht="12.75" x14ac:dyDescent="0.2"/>
    <row r="3291" ht="12.75" x14ac:dyDescent="0.2"/>
    <row r="3292" ht="12.75" x14ac:dyDescent="0.2"/>
    <row r="3293" ht="12.75" x14ac:dyDescent="0.2"/>
    <row r="3294" ht="12.75" x14ac:dyDescent="0.2"/>
    <row r="3295" ht="12.75" x14ac:dyDescent="0.2"/>
    <row r="3296" ht="12.75" x14ac:dyDescent="0.2"/>
    <row r="3297" ht="12.75" x14ac:dyDescent="0.2"/>
    <row r="3298" ht="12.75" x14ac:dyDescent="0.2"/>
    <row r="3299" ht="12.75" x14ac:dyDescent="0.2"/>
    <row r="3300" ht="12.75" x14ac:dyDescent="0.2"/>
    <row r="3301" ht="12.75" x14ac:dyDescent="0.2"/>
    <row r="3302" ht="12.75" x14ac:dyDescent="0.2"/>
    <row r="3303" ht="12.75" x14ac:dyDescent="0.2"/>
    <row r="3304" ht="12.75" x14ac:dyDescent="0.2"/>
    <row r="3305" ht="12.75" x14ac:dyDescent="0.2"/>
    <row r="3306" ht="12.75" x14ac:dyDescent="0.2"/>
    <row r="3307" ht="12.75" x14ac:dyDescent="0.2"/>
    <row r="3308" ht="12.75" x14ac:dyDescent="0.2"/>
    <row r="3309" ht="12.75" x14ac:dyDescent="0.2"/>
    <row r="3310" ht="12.75" x14ac:dyDescent="0.2"/>
    <row r="3311" ht="12.75" x14ac:dyDescent="0.2"/>
    <row r="3312" ht="12.75" x14ac:dyDescent="0.2"/>
    <row r="3313" ht="12.75" x14ac:dyDescent="0.2"/>
    <row r="3314" ht="12.75" x14ac:dyDescent="0.2"/>
    <row r="3315" ht="12.75" x14ac:dyDescent="0.2"/>
    <row r="3316" ht="12.75" x14ac:dyDescent="0.2"/>
    <row r="3317" ht="12.75" x14ac:dyDescent="0.2"/>
    <row r="3318" ht="12.75" x14ac:dyDescent="0.2"/>
    <row r="3319" ht="12.75" x14ac:dyDescent="0.2"/>
    <row r="3320" ht="12.75" x14ac:dyDescent="0.2"/>
    <row r="3321" ht="12.75" x14ac:dyDescent="0.2"/>
    <row r="3322" ht="12.75" x14ac:dyDescent="0.2"/>
    <row r="3323" ht="12.75" x14ac:dyDescent="0.2"/>
    <row r="3324" ht="12.75" x14ac:dyDescent="0.2"/>
    <row r="3325" ht="12.75" x14ac:dyDescent="0.2"/>
    <row r="3326" ht="12.75" x14ac:dyDescent="0.2"/>
    <row r="3327" ht="12.75" x14ac:dyDescent="0.2"/>
    <row r="3328" ht="12.75" x14ac:dyDescent="0.2"/>
    <row r="3329" ht="12.75" x14ac:dyDescent="0.2"/>
    <row r="3330" ht="12.75" x14ac:dyDescent="0.2"/>
    <row r="3331" ht="12.75" x14ac:dyDescent="0.2"/>
    <row r="3332" ht="12.75" x14ac:dyDescent="0.2"/>
    <row r="3333" ht="12.75" x14ac:dyDescent="0.2"/>
    <row r="3334" ht="12.75" x14ac:dyDescent="0.2"/>
    <row r="3335" ht="12.75" x14ac:dyDescent="0.2"/>
    <row r="3336" ht="12.75" x14ac:dyDescent="0.2"/>
    <row r="3337" ht="12.75" x14ac:dyDescent="0.2"/>
    <row r="3338" ht="12.75" x14ac:dyDescent="0.2"/>
    <row r="3339" ht="12.75" x14ac:dyDescent="0.2"/>
    <row r="3340" ht="12.75" x14ac:dyDescent="0.2"/>
    <row r="3341" ht="12.75" x14ac:dyDescent="0.2"/>
    <row r="3342" ht="12.75" x14ac:dyDescent="0.2"/>
    <row r="3343" ht="12.75" x14ac:dyDescent="0.2"/>
    <row r="3344" ht="12.75" x14ac:dyDescent="0.2"/>
    <row r="3345" ht="12.75" x14ac:dyDescent="0.2"/>
    <row r="3346" ht="12.75" x14ac:dyDescent="0.2"/>
    <row r="3347" ht="12.75" x14ac:dyDescent="0.2"/>
    <row r="3348" ht="12.75" x14ac:dyDescent="0.2"/>
    <row r="3349" ht="12.75" x14ac:dyDescent="0.2"/>
    <row r="3350" ht="12.75" x14ac:dyDescent="0.2"/>
    <row r="3351" ht="12.75" x14ac:dyDescent="0.2"/>
    <row r="3352" ht="12.75" x14ac:dyDescent="0.2"/>
    <row r="3353" ht="12.75" x14ac:dyDescent="0.2"/>
    <row r="3354" ht="12.75" x14ac:dyDescent="0.2"/>
    <row r="3355" ht="12.75" x14ac:dyDescent="0.2"/>
    <row r="3356" ht="12.75" x14ac:dyDescent="0.2"/>
    <row r="3357" ht="12.75" x14ac:dyDescent="0.2"/>
    <row r="3358" ht="12.75" x14ac:dyDescent="0.2"/>
    <row r="3359" ht="12.75" x14ac:dyDescent="0.2"/>
    <row r="3360" ht="12.75" x14ac:dyDescent="0.2"/>
    <row r="3361" ht="12.75" x14ac:dyDescent="0.2"/>
    <row r="3362" ht="12.75" x14ac:dyDescent="0.2"/>
    <row r="3363" ht="12.75" x14ac:dyDescent="0.2"/>
    <row r="3364" ht="12.75" x14ac:dyDescent="0.2"/>
    <row r="3365" ht="12.75" x14ac:dyDescent="0.2"/>
    <row r="3366" ht="12.75" x14ac:dyDescent="0.2"/>
    <row r="3367" ht="12.75" x14ac:dyDescent="0.2"/>
    <row r="3368" ht="12.75" x14ac:dyDescent="0.2"/>
    <row r="3369" ht="12.75" x14ac:dyDescent="0.2"/>
    <row r="3370" ht="12.75" x14ac:dyDescent="0.2"/>
    <row r="3371" ht="12.75" x14ac:dyDescent="0.2"/>
    <row r="3372" ht="12.75" x14ac:dyDescent="0.2"/>
    <row r="3373" ht="12.75" x14ac:dyDescent="0.2"/>
    <row r="3374" ht="12.75" x14ac:dyDescent="0.2"/>
    <row r="3375" ht="12.75" x14ac:dyDescent="0.2"/>
    <row r="3376" ht="12.75" x14ac:dyDescent="0.2"/>
    <row r="3377" ht="12.75" x14ac:dyDescent="0.2"/>
    <row r="3378" ht="12.75" x14ac:dyDescent="0.2"/>
    <row r="3379" ht="12.75" x14ac:dyDescent="0.2"/>
    <row r="3380" ht="12.75" x14ac:dyDescent="0.2"/>
    <row r="3381" ht="12.75" x14ac:dyDescent="0.2"/>
    <row r="3382" ht="12.75" x14ac:dyDescent="0.2"/>
    <row r="3383" ht="12.75" x14ac:dyDescent="0.2"/>
    <row r="3384" ht="12.75" x14ac:dyDescent="0.2"/>
    <row r="3385" ht="12.75" x14ac:dyDescent="0.2"/>
    <row r="3386" ht="12.75" x14ac:dyDescent="0.2"/>
    <row r="3387" ht="12.75" x14ac:dyDescent="0.2"/>
    <row r="3388" ht="12.75" x14ac:dyDescent="0.2"/>
    <row r="3389" ht="12.75" x14ac:dyDescent="0.2"/>
    <row r="3390" ht="12.75" x14ac:dyDescent="0.2"/>
    <row r="3391" ht="12.75" x14ac:dyDescent="0.2"/>
    <row r="3392" ht="12.75" x14ac:dyDescent="0.2"/>
    <row r="3393" ht="12.75" x14ac:dyDescent="0.2"/>
    <row r="3394" ht="12.75" x14ac:dyDescent="0.2"/>
    <row r="3395" ht="12.75" x14ac:dyDescent="0.2"/>
    <row r="3396" ht="12.75" x14ac:dyDescent="0.2"/>
    <row r="3397" ht="12.75" x14ac:dyDescent="0.2"/>
    <row r="3398" ht="12.75" x14ac:dyDescent="0.2"/>
    <row r="3399" ht="12.75" x14ac:dyDescent="0.2"/>
    <row r="3400" ht="12.75" x14ac:dyDescent="0.2"/>
    <row r="3401" ht="12.75" x14ac:dyDescent="0.2"/>
    <row r="3402" ht="12.75" x14ac:dyDescent="0.2"/>
    <row r="3403" ht="12.75" x14ac:dyDescent="0.2"/>
    <row r="3404" ht="12.75" x14ac:dyDescent="0.2"/>
    <row r="3405" ht="12.75" x14ac:dyDescent="0.2"/>
    <row r="3406" ht="12.75" x14ac:dyDescent="0.2"/>
    <row r="3407" ht="12.75" x14ac:dyDescent="0.2"/>
    <row r="3408" ht="12.75" x14ac:dyDescent="0.2"/>
    <row r="3409" ht="12.75" x14ac:dyDescent="0.2"/>
    <row r="3410" ht="12.75" x14ac:dyDescent="0.2"/>
    <row r="3411" ht="12.75" x14ac:dyDescent="0.2"/>
    <row r="3412" ht="12.75" x14ac:dyDescent="0.2"/>
    <row r="3413" ht="12.75" x14ac:dyDescent="0.2"/>
    <row r="3414" ht="12.75" x14ac:dyDescent="0.2"/>
    <row r="3415" ht="12.75" x14ac:dyDescent="0.2"/>
    <row r="3416" ht="12.75" x14ac:dyDescent="0.2"/>
    <row r="3417" ht="12.75" x14ac:dyDescent="0.2"/>
    <row r="3418" ht="12.75" x14ac:dyDescent="0.2"/>
    <row r="3419" ht="12.75" x14ac:dyDescent="0.2"/>
    <row r="3420" ht="12.75" x14ac:dyDescent="0.2"/>
    <row r="3421" ht="12.75" x14ac:dyDescent="0.2"/>
    <row r="3422" ht="12.75" x14ac:dyDescent="0.2"/>
    <row r="3423" ht="12.75" x14ac:dyDescent="0.2"/>
    <row r="3424" ht="12.75" x14ac:dyDescent="0.2"/>
    <row r="3425" ht="12.75" x14ac:dyDescent="0.2"/>
    <row r="3426" ht="12.75" x14ac:dyDescent="0.2"/>
    <row r="3427" ht="12.75" x14ac:dyDescent="0.2"/>
    <row r="3428" ht="12.75" x14ac:dyDescent="0.2"/>
    <row r="3429" ht="12.75" x14ac:dyDescent="0.2"/>
    <row r="3430" ht="12.75" x14ac:dyDescent="0.2"/>
    <row r="3431" ht="12.75" x14ac:dyDescent="0.2"/>
    <row r="3432" ht="12.75" x14ac:dyDescent="0.2"/>
    <row r="3433" ht="12.75" x14ac:dyDescent="0.2"/>
    <row r="3434" ht="12.75" x14ac:dyDescent="0.2"/>
    <row r="3435" ht="12.75" x14ac:dyDescent="0.2"/>
    <row r="3436" ht="12.75" x14ac:dyDescent="0.2"/>
    <row r="3437" ht="12.75" x14ac:dyDescent="0.2"/>
    <row r="3438" ht="12.75" x14ac:dyDescent="0.2"/>
    <row r="3439" ht="12.75" x14ac:dyDescent="0.2"/>
    <row r="3440" ht="12.75" x14ac:dyDescent="0.2"/>
    <row r="3441" ht="12.75" x14ac:dyDescent="0.2"/>
    <row r="3442" ht="12.75" x14ac:dyDescent="0.2"/>
    <row r="3443" ht="12.75" x14ac:dyDescent="0.2"/>
    <row r="3444" ht="12.75" x14ac:dyDescent="0.2"/>
    <row r="3445" ht="12.75" x14ac:dyDescent="0.2"/>
    <row r="3446" ht="12.75" x14ac:dyDescent="0.2"/>
    <row r="3447" ht="12.75" x14ac:dyDescent="0.2"/>
    <row r="3448" ht="12.75" x14ac:dyDescent="0.2"/>
    <row r="3449" ht="12.75" x14ac:dyDescent="0.2"/>
    <row r="3450" ht="12.75" x14ac:dyDescent="0.2"/>
    <row r="3451" ht="12.75" x14ac:dyDescent="0.2"/>
    <row r="3452" ht="12.75" x14ac:dyDescent="0.2"/>
    <row r="3453" ht="12.75" x14ac:dyDescent="0.2"/>
    <row r="3454" ht="12.75" x14ac:dyDescent="0.2"/>
    <row r="3455" ht="12.75" x14ac:dyDescent="0.2"/>
    <row r="3456" ht="12.75" x14ac:dyDescent="0.2"/>
    <row r="3457" ht="12.75" x14ac:dyDescent="0.2"/>
    <row r="3458" ht="12.75" x14ac:dyDescent="0.2"/>
    <row r="3459" ht="12.75" x14ac:dyDescent="0.2"/>
    <row r="3460" ht="12.75" x14ac:dyDescent="0.2"/>
    <row r="3461" ht="12.75" x14ac:dyDescent="0.2"/>
    <row r="3462" ht="12.75" x14ac:dyDescent="0.2"/>
    <row r="3463" ht="12.75" x14ac:dyDescent="0.2"/>
    <row r="3464" ht="12.75" x14ac:dyDescent="0.2"/>
    <row r="3465" ht="12.75" x14ac:dyDescent="0.2"/>
    <row r="3466" ht="12.75" x14ac:dyDescent="0.2"/>
    <row r="3467" ht="12.75" x14ac:dyDescent="0.2"/>
    <row r="3468" ht="12.75" x14ac:dyDescent="0.2"/>
    <row r="3469" ht="12.75" x14ac:dyDescent="0.2"/>
    <row r="3470" ht="12.75" x14ac:dyDescent="0.2"/>
    <row r="3471" ht="12.75" x14ac:dyDescent="0.2"/>
    <row r="3472" ht="12.75" x14ac:dyDescent="0.2"/>
    <row r="3473" ht="12.75" x14ac:dyDescent="0.2"/>
    <row r="3474" ht="12.75" x14ac:dyDescent="0.2"/>
    <row r="3475" ht="12.75" x14ac:dyDescent="0.2"/>
    <row r="3476" ht="12.75" x14ac:dyDescent="0.2"/>
    <row r="3477" ht="12.75" x14ac:dyDescent="0.2"/>
    <row r="3478" ht="12.75" x14ac:dyDescent="0.2"/>
    <row r="3479" ht="12.75" x14ac:dyDescent="0.2"/>
    <row r="3480" ht="12.75" x14ac:dyDescent="0.2"/>
    <row r="3481" ht="12.75" x14ac:dyDescent="0.2"/>
    <row r="3482" ht="12.75" x14ac:dyDescent="0.2"/>
    <row r="3483" ht="12.75" x14ac:dyDescent="0.2"/>
    <row r="3484" ht="12.75" x14ac:dyDescent="0.2"/>
    <row r="3485" ht="12.75" x14ac:dyDescent="0.2"/>
    <row r="3486" ht="12.75" x14ac:dyDescent="0.2"/>
    <row r="3487" ht="12.75" x14ac:dyDescent="0.2"/>
    <row r="3488" ht="12.75" x14ac:dyDescent="0.2"/>
    <row r="3489" ht="12.75" x14ac:dyDescent="0.2"/>
    <row r="3490" ht="12.75" x14ac:dyDescent="0.2"/>
    <row r="3491" ht="12.75" x14ac:dyDescent="0.2"/>
    <row r="3492" ht="12.75" x14ac:dyDescent="0.2"/>
    <row r="3493" ht="12.75" x14ac:dyDescent="0.2"/>
    <row r="3494" ht="12.75" x14ac:dyDescent="0.2"/>
    <row r="3495" ht="12.75" x14ac:dyDescent="0.2"/>
    <row r="3496" ht="12.75" x14ac:dyDescent="0.2"/>
    <row r="3497" ht="12.75" x14ac:dyDescent="0.2"/>
    <row r="3498" ht="12.75" x14ac:dyDescent="0.2"/>
    <row r="3499" ht="12.75" x14ac:dyDescent="0.2"/>
    <row r="3500" ht="12.75" x14ac:dyDescent="0.2"/>
    <row r="3501" ht="12.75" x14ac:dyDescent="0.2"/>
    <row r="3502" ht="12.75" x14ac:dyDescent="0.2"/>
    <row r="3503" ht="12.75" x14ac:dyDescent="0.2"/>
    <row r="3504" ht="12.75" x14ac:dyDescent="0.2"/>
    <row r="3505" ht="12.75" x14ac:dyDescent="0.2"/>
    <row r="3506" ht="12.75" x14ac:dyDescent="0.2"/>
    <row r="3507" ht="12.75" x14ac:dyDescent="0.2"/>
    <row r="3508" ht="12.75" x14ac:dyDescent="0.2"/>
    <row r="3509" ht="12.75" x14ac:dyDescent="0.2"/>
    <row r="3510" ht="12.75" x14ac:dyDescent="0.2"/>
    <row r="3511" ht="12.75" x14ac:dyDescent="0.2"/>
    <row r="3512" ht="12.75" x14ac:dyDescent="0.2"/>
    <row r="3513" ht="12.75" x14ac:dyDescent="0.2"/>
    <row r="3514" ht="12.75" x14ac:dyDescent="0.2"/>
    <row r="3515" ht="12.75" x14ac:dyDescent="0.2"/>
    <row r="3516" ht="12.75" x14ac:dyDescent="0.2"/>
    <row r="3517" ht="12.75" x14ac:dyDescent="0.2"/>
    <row r="3518" ht="12.75" x14ac:dyDescent="0.2"/>
    <row r="3519" ht="12.75" x14ac:dyDescent="0.2"/>
    <row r="3520" ht="12.75" x14ac:dyDescent="0.2"/>
    <row r="3521" ht="12.75" x14ac:dyDescent="0.2"/>
    <row r="3522" ht="12.75" x14ac:dyDescent="0.2"/>
    <row r="3523" ht="12.75" x14ac:dyDescent="0.2"/>
    <row r="3524" ht="12.75" x14ac:dyDescent="0.2"/>
    <row r="3525" ht="12.75" x14ac:dyDescent="0.2"/>
    <row r="3526" ht="12.75" x14ac:dyDescent="0.2"/>
    <row r="3527" ht="12.75" x14ac:dyDescent="0.2"/>
    <row r="3528" ht="12.75" x14ac:dyDescent="0.2"/>
    <row r="3529" ht="12.75" x14ac:dyDescent="0.2"/>
    <row r="3530" ht="12.75" x14ac:dyDescent="0.2"/>
    <row r="3531" ht="12.75" x14ac:dyDescent="0.2"/>
    <row r="3532" ht="12.75" x14ac:dyDescent="0.2"/>
    <row r="3533" ht="12.75" x14ac:dyDescent="0.2"/>
    <row r="3534" ht="12.75" x14ac:dyDescent="0.2"/>
    <row r="3535" ht="12.75" x14ac:dyDescent="0.2"/>
    <row r="3536" ht="12.75" x14ac:dyDescent="0.2"/>
    <row r="3537" ht="12.75" x14ac:dyDescent="0.2"/>
    <row r="3538" ht="12.75" x14ac:dyDescent="0.2"/>
    <row r="3539" ht="12.75" x14ac:dyDescent="0.2"/>
    <row r="3540" ht="12.75" x14ac:dyDescent="0.2"/>
    <row r="3541" ht="12.75" x14ac:dyDescent="0.2"/>
    <row r="3542" ht="12.75" x14ac:dyDescent="0.2"/>
    <row r="3543" ht="12.75" x14ac:dyDescent="0.2"/>
    <row r="3544" ht="12.75" x14ac:dyDescent="0.2"/>
    <row r="3545" ht="12.75" x14ac:dyDescent="0.2"/>
    <row r="3546" ht="12.75" x14ac:dyDescent="0.2"/>
    <row r="3547" ht="12.75" x14ac:dyDescent="0.2"/>
    <row r="3548" ht="12.75" x14ac:dyDescent="0.2"/>
    <row r="3549" ht="12.75" x14ac:dyDescent="0.2"/>
    <row r="3550" ht="12.75" x14ac:dyDescent="0.2"/>
    <row r="3551" ht="12.75" x14ac:dyDescent="0.2"/>
    <row r="3552" ht="12.75" x14ac:dyDescent="0.2"/>
    <row r="3553" ht="12.75" x14ac:dyDescent="0.2"/>
    <row r="3554" ht="12.75" x14ac:dyDescent="0.2"/>
    <row r="3555" ht="12.75" x14ac:dyDescent="0.2"/>
    <row r="3556" ht="12.75" x14ac:dyDescent="0.2"/>
    <row r="3557" ht="12.75" x14ac:dyDescent="0.2"/>
    <row r="3558" ht="12.75" x14ac:dyDescent="0.2"/>
    <row r="3559" ht="12.75" x14ac:dyDescent="0.2"/>
    <row r="3560" ht="12.75" x14ac:dyDescent="0.2"/>
    <row r="3561" ht="12.75" x14ac:dyDescent="0.2"/>
    <row r="3562" ht="12.75" x14ac:dyDescent="0.2"/>
    <row r="3563" ht="12.75" x14ac:dyDescent="0.2"/>
    <row r="3564" ht="12.75" x14ac:dyDescent="0.2"/>
    <row r="3565" ht="12.75" x14ac:dyDescent="0.2"/>
    <row r="3566" ht="12.75" x14ac:dyDescent="0.2"/>
    <row r="3567" ht="12.75" x14ac:dyDescent="0.2"/>
    <row r="3568" ht="12.75" x14ac:dyDescent="0.2"/>
    <row r="3569" ht="12.75" x14ac:dyDescent="0.2"/>
    <row r="3570" ht="12.75" x14ac:dyDescent="0.2"/>
    <row r="3571" ht="12.75" x14ac:dyDescent="0.2"/>
    <row r="3572" ht="12.75" x14ac:dyDescent="0.2"/>
    <row r="3573" ht="12.75" x14ac:dyDescent="0.2"/>
    <row r="3574" ht="12.75" x14ac:dyDescent="0.2"/>
    <row r="3575" ht="12.75" x14ac:dyDescent="0.2"/>
    <row r="3576" ht="12.75" x14ac:dyDescent="0.2"/>
    <row r="3577" ht="12.75" x14ac:dyDescent="0.2"/>
    <row r="3578" ht="12.75" x14ac:dyDescent="0.2"/>
    <row r="3579" ht="12.75" x14ac:dyDescent="0.2"/>
    <row r="3580" ht="12.75" x14ac:dyDescent="0.2"/>
    <row r="3581" ht="12.75" x14ac:dyDescent="0.2"/>
    <row r="3582" ht="12.75" x14ac:dyDescent="0.2"/>
    <row r="3583" ht="12.75" x14ac:dyDescent="0.2"/>
    <row r="3584" ht="12.75" x14ac:dyDescent="0.2"/>
    <row r="3585" ht="12.75" x14ac:dyDescent="0.2"/>
    <row r="3586" ht="12.75" x14ac:dyDescent="0.2"/>
    <row r="3587" ht="12.75" x14ac:dyDescent="0.2"/>
    <row r="3588" ht="12.75" x14ac:dyDescent="0.2"/>
    <row r="3589" ht="12.75" x14ac:dyDescent="0.2"/>
    <row r="3590" ht="12.75" x14ac:dyDescent="0.2"/>
    <row r="3591" ht="12.75" x14ac:dyDescent="0.2"/>
    <row r="3592" ht="12.75" x14ac:dyDescent="0.2"/>
    <row r="3593" ht="12.75" x14ac:dyDescent="0.2"/>
    <row r="3594" ht="12.75" x14ac:dyDescent="0.2"/>
    <row r="3595" ht="12.75" x14ac:dyDescent="0.2"/>
    <row r="3596" ht="12.75" x14ac:dyDescent="0.2"/>
    <row r="3597" ht="12.75" x14ac:dyDescent="0.2"/>
    <row r="3598" ht="12.75" x14ac:dyDescent="0.2"/>
    <row r="3599" ht="12.75" x14ac:dyDescent="0.2"/>
    <row r="3600" ht="12.75" x14ac:dyDescent="0.2"/>
    <row r="3601" ht="12.75" x14ac:dyDescent="0.2"/>
    <row r="3602" ht="12.75" x14ac:dyDescent="0.2"/>
    <row r="3603" ht="12.75" x14ac:dyDescent="0.2"/>
    <row r="3604" ht="12.75" x14ac:dyDescent="0.2"/>
    <row r="3605" ht="12.75" x14ac:dyDescent="0.2"/>
    <row r="3606" ht="12.75" x14ac:dyDescent="0.2"/>
    <row r="3607" ht="12.75" x14ac:dyDescent="0.2"/>
    <row r="3608" ht="12.75" x14ac:dyDescent="0.2"/>
    <row r="3609" ht="12.75" x14ac:dyDescent="0.2"/>
    <row r="3610" ht="12.75" x14ac:dyDescent="0.2"/>
    <row r="3611" ht="12.75" x14ac:dyDescent="0.2"/>
    <row r="3612" ht="12.75" x14ac:dyDescent="0.2"/>
    <row r="3613" ht="12.75" x14ac:dyDescent="0.2"/>
    <row r="3614" ht="12.75" x14ac:dyDescent="0.2"/>
    <row r="3615" ht="12.75" x14ac:dyDescent="0.2"/>
    <row r="3616" ht="12.75" x14ac:dyDescent="0.2"/>
    <row r="3617" ht="12.75" x14ac:dyDescent="0.2"/>
    <row r="3618" ht="12.75" x14ac:dyDescent="0.2"/>
    <row r="3619" ht="12.75" x14ac:dyDescent="0.2"/>
    <row r="3620" ht="12.75" x14ac:dyDescent="0.2"/>
    <row r="3621" ht="12.75" x14ac:dyDescent="0.2"/>
    <row r="3622" ht="12.75" x14ac:dyDescent="0.2"/>
    <row r="3623" ht="12.75" x14ac:dyDescent="0.2"/>
    <row r="3624" ht="12.75" x14ac:dyDescent="0.2"/>
    <row r="3625" ht="12.75" x14ac:dyDescent="0.2"/>
    <row r="3626" ht="12.75" x14ac:dyDescent="0.2"/>
    <row r="3627" ht="12.75" x14ac:dyDescent="0.2"/>
    <row r="3628" ht="12.75" x14ac:dyDescent="0.2"/>
    <row r="3629" ht="12.75" x14ac:dyDescent="0.2"/>
    <row r="3630" ht="12.75" x14ac:dyDescent="0.2"/>
    <row r="3631" ht="12.75" x14ac:dyDescent="0.2"/>
    <row r="3632" ht="12.75" x14ac:dyDescent="0.2"/>
    <row r="3633" ht="12.75" x14ac:dyDescent="0.2"/>
    <row r="3634" ht="12.75" x14ac:dyDescent="0.2"/>
    <row r="3635" ht="12.75" x14ac:dyDescent="0.2"/>
    <row r="3636" ht="12.75" x14ac:dyDescent="0.2"/>
    <row r="3637" ht="12.75" x14ac:dyDescent="0.2"/>
    <row r="3638" ht="12.75" x14ac:dyDescent="0.2"/>
    <row r="3639" ht="12.75" x14ac:dyDescent="0.2"/>
    <row r="3640" ht="12.75" x14ac:dyDescent="0.2"/>
    <row r="3641" ht="12.75" x14ac:dyDescent="0.2"/>
    <row r="3642" ht="12.75" x14ac:dyDescent="0.2"/>
    <row r="3643" ht="12.75" x14ac:dyDescent="0.2"/>
    <row r="3644" ht="12.75" x14ac:dyDescent="0.2"/>
    <row r="3645" ht="12.75" x14ac:dyDescent="0.2"/>
    <row r="3646" ht="12.75" x14ac:dyDescent="0.2"/>
    <row r="3647" ht="12.75" x14ac:dyDescent="0.2"/>
    <row r="3648" ht="12.75" x14ac:dyDescent="0.2"/>
    <row r="3649" ht="12.75" x14ac:dyDescent="0.2"/>
    <row r="3650" ht="12.75" x14ac:dyDescent="0.2"/>
    <row r="3651" ht="12.75" x14ac:dyDescent="0.2"/>
    <row r="3652" ht="12.75" x14ac:dyDescent="0.2"/>
    <row r="3653" ht="12.75" x14ac:dyDescent="0.2"/>
    <row r="3654" ht="12.75" x14ac:dyDescent="0.2"/>
    <row r="3655" ht="12.75" x14ac:dyDescent="0.2"/>
    <row r="3656" ht="12.75" x14ac:dyDescent="0.2"/>
    <row r="3657" ht="12.75" x14ac:dyDescent="0.2"/>
    <row r="3658" ht="12.75" x14ac:dyDescent="0.2"/>
    <row r="3659" ht="12.75" x14ac:dyDescent="0.2"/>
    <row r="3660" ht="12.75" x14ac:dyDescent="0.2"/>
    <row r="3661" ht="12.75" x14ac:dyDescent="0.2"/>
    <row r="3662" ht="12.75" x14ac:dyDescent="0.2"/>
    <row r="3663" ht="12.75" x14ac:dyDescent="0.2"/>
    <row r="3664" ht="12.75" x14ac:dyDescent="0.2"/>
    <row r="3665" ht="12.75" x14ac:dyDescent="0.2"/>
    <row r="3666" ht="12.75" x14ac:dyDescent="0.2"/>
    <row r="3667" ht="12.75" x14ac:dyDescent="0.2"/>
    <row r="3668" ht="12.75" x14ac:dyDescent="0.2"/>
    <row r="3669" ht="12.75" x14ac:dyDescent="0.2"/>
    <row r="3670" ht="12.75" x14ac:dyDescent="0.2"/>
    <row r="3671" ht="12.75" x14ac:dyDescent="0.2"/>
    <row r="3672" ht="12.75" x14ac:dyDescent="0.2"/>
    <row r="3673" ht="12.75" x14ac:dyDescent="0.2"/>
    <row r="3674" ht="12.75" x14ac:dyDescent="0.2"/>
    <row r="3675" ht="12.75" x14ac:dyDescent="0.2"/>
    <row r="3676" ht="12.75" x14ac:dyDescent="0.2"/>
    <row r="3677" ht="12.75" x14ac:dyDescent="0.2"/>
    <row r="3678" ht="12.75" x14ac:dyDescent="0.2"/>
    <row r="3679" ht="12.75" x14ac:dyDescent="0.2"/>
    <row r="3680" ht="12.75" x14ac:dyDescent="0.2"/>
    <row r="3681" ht="12.75" x14ac:dyDescent="0.2"/>
    <row r="3682" ht="12.75" x14ac:dyDescent="0.2"/>
    <row r="3683" ht="12.75" x14ac:dyDescent="0.2"/>
    <row r="3684" ht="12.75" x14ac:dyDescent="0.2"/>
    <row r="3685" ht="12.75" x14ac:dyDescent="0.2"/>
    <row r="3686" ht="12.75" x14ac:dyDescent="0.2"/>
    <row r="3687" ht="12.75" x14ac:dyDescent="0.2"/>
    <row r="3688" ht="12.75" x14ac:dyDescent="0.2"/>
    <row r="3689" ht="12.75" x14ac:dyDescent="0.2"/>
    <row r="3690" ht="12.75" x14ac:dyDescent="0.2"/>
    <row r="3691" ht="12.75" x14ac:dyDescent="0.2"/>
    <row r="3692" ht="12.75" x14ac:dyDescent="0.2"/>
    <row r="3693" ht="12.75" x14ac:dyDescent="0.2"/>
    <row r="3694" ht="12.75" x14ac:dyDescent="0.2"/>
    <row r="3695" ht="12.75" x14ac:dyDescent="0.2"/>
    <row r="3696" ht="12.75" x14ac:dyDescent="0.2"/>
    <row r="3697" ht="12.75" x14ac:dyDescent="0.2"/>
    <row r="3698" ht="12.75" x14ac:dyDescent="0.2"/>
    <row r="3699" ht="12.75" x14ac:dyDescent="0.2"/>
    <row r="3700" ht="12.75" x14ac:dyDescent="0.2"/>
    <row r="3701" ht="12.75" x14ac:dyDescent="0.2"/>
    <row r="3702" ht="12.75" x14ac:dyDescent="0.2"/>
    <row r="3703" ht="12.75" x14ac:dyDescent="0.2"/>
    <row r="3704" ht="12.75" x14ac:dyDescent="0.2"/>
    <row r="3705" ht="12.75" x14ac:dyDescent="0.2"/>
    <row r="3706" ht="12.75" x14ac:dyDescent="0.2"/>
    <row r="3707" ht="12.75" x14ac:dyDescent="0.2"/>
    <row r="3708" ht="12.75" x14ac:dyDescent="0.2"/>
    <row r="3709" ht="12.75" x14ac:dyDescent="0.2"/>
    <row r="3710" ht="12.75" x14ac:dyDescent="0.2"/>
    <row r="3711" ht="12.75" x14ac:dyDescent="0.2"/>
    <row r="3712" ht="12.75" x14ac:dyDescent="0.2"/>
    <row r="3713" ht="12.75" x14ac:dyDescent="0.2"/>
    <row r="3714" ht="12.75" x14ac:dyDescent="0.2"/>
    <row r="3715" ht="12.75" x14ac:dyDescent="0.2"/>
    <row r="3716" ht="12.75" x14ac:dyDescent="0.2"/>
    <row r="3717" ht="12.75" x14ac:dyDescent="0.2"/>
    <row r="3718" ht="12.75" x14ac:dyDescent="0.2"/>
    <row r="3719" ht="12.75" x14ac:dyDescent="0.2"/>
    <row r="3720" ht="12.75" x14ac:dyDescent="0.2"/>
    <row r="3721" ht="12.75" x14ac:dyDescent="0.2"/>
    <row r="3722" ht="12.75" x14ac:dyDescent="0.2"/>
    <row r="3723" ht="12.75" x14ac:dyDescent="0.2"/>
    <row r="3724" ht="12.75" x14ac:dyDescent="0.2"/>
    <row r="3725" ht="12.75" x14ac:dyDescent="0.2"/>
    <row r="3726" ht="12.75" x14ac:dyDescent="0.2"/>
    <row r="3727" ht="12.75" x14ac:dyDescent="0.2"/>
    <row r="3728" ht="12.75" x14ac:dyDescent="0.2"/>
    <row r="3729" ht="12.75" x14ac:dyDescent="0.2"/>
    <row r="3730" ht="12.75" x14ac:dyDescent="0.2"/>
    <row r="3731" ht="12.75" x14ac:dyDescent="0.2"/>
    <row r="3732" ht="12.75" x14ac:dyDescent="0.2"/>
    <row r="3733" ht="12.75" x14ac:dyDescent="0.2"/>
    <row r="3734" ht="12.75" x14ac:dyDescent="0.2"/>
    <row r="3735" ht="12.75" x14ac:dyDescent="0.2"/>
    <row r="3736" ht="12.75" x14ac:dyDescent="0.2"/>
    <row r="3737" ht="12.75" x14ac:dyDescent="0.2"/>
    <row r="3738" ht="12.75" x14ac:dyDescent="0.2"/>
    <row r="3739" ht="12.75" x14ac:dyDescent="0.2"/>
    <row r="3740" ht="12.75" x14ac:dyDescent="0.2"/>
    <row r="3741" ht="12.75" x14ac:dyDescent="0.2"/>
    <row r="3742" ht="12.75" x14ac:dyDescent="0.2"/>
    <row r="3743" ht="12.75" x14ac:dyDescent="0.2"/>
    <row r="3744" ht="12.75" x14ac:dyDescent="0.2"/>
    <row r="3745" ht="12.75" x14ac:dyDescent="0.2"/>
    <row r="3746" ht="12.75" x14ac:dyDescent="0.2"/>
    <row r="3747" ht="12.75" x14ac:dyDescent="0.2"/>
    <row r="3748" ht="12.75" x14ac:dyDescent="0.2"/>
    <row r="3749" ht="12.75" x14ac:dyDescent="0.2"/>
    <row r="3750" ht="12.75" x14ac:dyDescent="0.2"/>
    <row r="3751" ht="12.75" x14ac:dyDescent="0.2"/>
    <row r="3752" ht="12.75" x14ac:dyDescent="0.2"/>
    <row r="3753" ht="12.75" x14ac:dyDescent="0.2"/>
    <row r="3754" ht="12.75" x14ac:dyDescent="0.2"/>
    <row r="3755" ht="12.75" x14ac:dyDescent="0.2"/>
    <row r="3756" ht="12.75" x14ac:dyDescent="0.2"/>
    <row r="3757" ht="12.75" x14ac:dyDescent="0.2"/>
    <row r="3758" ht="12.75" x14ac:dyDescent="0.2"/>
    <row r="3759" ht="12.75" x14ac:dyDescent="0.2"/>
    <row r="3760" ht="12.75" x14ac:dyDescent="0.2"/>
    <row r="3761" ht="12.75" x14ac:dyDescent="0.2"/>
    <row r="3762" ht="12.75" x14ac:dyDescent="0.2"/>
    <row r="3763" ht="12.75" x14ac:dyDescent="0.2"/>
    <row r="3764" ht="12.75" x14ac:dyDescent="0.2"/>
    <row r="3765" ht="12.75" x14ac:dyDescent="0.2"/>
    <row r="3766" ht="12.75" x14ac:dyDescent="0.2"/>
    <row r="3767" ht="12.75" x14ac:dyDescent="0.2"/>
    <row r="3768" ht="12.75" x14ac:dyDescent="0.2"/>
    <row r="3769" ht="12.75" x14ac:dyDescent="0.2"/>
    <row r="3770" ht="12.75" x14ac:dyDescent="0.2"/>
    <row r="3771" ht="12.75" x14ac:dyDescent="0.2"/>
    <row r="3772" ht="12.75" x14ac:dyDescent="0.2"/>
    <row r="3773" ht="12.75" x14ac:dyDescent="0.2"/>
    <row r="3774" ht="12.75" x14ac:dyDescent="0.2"/>
    <row r="3775" ht="12.75" x14ac:dyDescent="0.2"/>
    <row r="3776" ht="12.75" x14ac:dyDescent="0.2"/>
    <row r="3777" ht="12.75" x14ac:dyDescent="0.2"/>
    <row r="3778" ht="12.75" x14ac:dyDescent="0.2"/>
    <row r="3779" ht="12.75" x14ac:dyDescent="0.2"/>
    <row r="3780" ht="12.75" x14ac:dyDescent="0.2"/>
    <row r="3781" ht="12.75" x14ac:dyDescent="0.2"/>
    <row r="3782" ht="12.75" x14ac:dyDescent="0.2"/>
    <row r="3783" ht="12.75" x14ac:dyDescent="0.2"/>
    <row r="3784" ht="12.75" x14ac:dyDescent="0.2"/>
    <row r="3785" ht="12.75" x14ac:dyDescent="0.2"/>
    <row r="3786" ht="12.75" x14ac:dyDescent="0.2"/>
    <row r="3787" ht="12.75" x14ac:dyDescent="0.2"/>
    <row r="3788" ht="12.75" x14ac:dyDescent="0.2"/>
    <row r="3789" ht="12.75" x14ac:dyDescent="0.2"/>
    <row r="3790" ht="12.75" x14ac:dyDescent="0.2"/>
    <row r="3791" ht="12.75" x14ac:dyDescent="0.2"/>
    <row r="3792" ht="12.75" x14ac:dyDescent="0.2"/>
    <row r="3793" ht="12.75" x14ac:dyDescent="0.2"/>
    <row r="3794" ht="12.75" x14ac:dyDescent="0.2"/>
    <row r="3795" ht="12.75" x14ac:dyDescent="0.2"/>
    <row r="3796" ht="12.75" x14ac:dyDescent="0.2"/>
    <row r="3797" ht="12.75" x14ac:dyDescent="0.2"/>
    <row r="3798" ht="12.75" x14ac:dyDescent="0.2"/>
    <row r="3799" ht="12.75" x14ac:dyDescent="0.2"/>
    <row r="3800" ht="12.75" x14ac:dyDescent="0.2"/>
    <row r="3801" ht="12.75" x14ac:dyDescent="0.2"/>
    <row r="3802" ht="12.75" x14ac:dyDescent="0.2"/>
    <row r="3803" ht="12.75" x14ac:dyDescent="0.2"/>
    <row r="3804" ht="12.75" x14ac:dyDescent="0.2"/>
    <row r="3805" ht="12.75" x14ac:dyDescent="0.2"/>
    <row r="3806" ht="12.75" x14ac:dyDescent="0.2"/>
    <row r="3807" ht="12.75" x14ac:dyDescent="0.2"/>
    <row r="3808" ht="12.75" x14ac:dyDescent="0.2"/>
    <row r="3809" ht="12.75" x14ac:dyDescent="0.2"/>
    <row r="3810" ht="12.75" x14ac:dyDescent="0.2"/>
    <row r="3811" ht="12.75" x14ac:dyDescent="0.2"/>
    <row r="3812" ht="12.75" x14ac:dyDescent="0.2"/>
    <row r="3813" ht="12.75" x14ac:dyDescent="0.2"/>
    <row r="3814" ht="12.75" x14ac:dyDescent="0.2"/>
    <row r="3815" ht="12.75" x14ac:dyDescent="0.2"/>
    <row r="3816" ht="12.75" x14ac:dyDescent="0.2"/>
    <row r="3817" ht="12.75" x14ac:dyDescent="0.2"/>
    <row r="3818" ht="12.75" x14ac:dyDescent="0.2"/>
    <row r="3819" ht="12.75" x14ac:dyDescent="0.2"/>
    <row r="3820" ht="12.75" x14ac:dyDescent="0.2"/>
    <row r="3821" ht="12.75" x14ac:dyDescent="0.2"/>
    <row r="3822" ht="12.75" x14ac:dyDescent="0.2"/>
    <row r="3823" ht="12.75" x14ac:dyDescent="0.2"/>
    <row r="3824" ht="12.75" x14ac:dyDescent="0.2"/>
    <row r="3825" ht="12.75" x14ac:dyDescent="0.2"/>
    <row r="3826" ht="12.75" x14ac:dyDescent="0.2"/>
    <row r="3827" ht="12.75" x14ac:dyDescent="0.2"/>
    <row r="3828" ht="12.75" x14ac:dyDescent="0.2"/>
    <row r="3829" ht="12.75" x14ac:dyDescent="0.2"/>
    <row r="3830" ht="12.75" x14ac:dyDescent="0.2"/>
    <row r="3831" ht="12.75" x14ac:dyDescent="0.2"/>
    <row r="3832" ht="12.75" x14ac:dyDescent="0.2"/>
    <row r="3833" ht="12.75" x14ac:dyDescent="0.2"/>
    <row r="3834" ht="12.75" x14ac:dyDescent="0.2"/>
    <row r="3835" ht="12.75" x14ac:dyDescent="0.2"/>
    <row r="3836" ht="12.75" x14ac:dyDescent="0.2"/>
    <row r="3837" ht="12.75" x14ac:dyDescent="0.2"/>
    <row r="3838" ht="12.75" x14ac:dyDescent="0.2"/>
    <row r="3839" ht="12.75" x14ac:dyDescent="0.2"/>
    <row r="3840" ht="12.75" x14ac:dyDescent="0.2"/>
    <row r="3841" ht="12.75" x14ac:dyDescent="0.2"/>
    <row r="3842" ht="12.75" x14ac:dyDescent="0.2"/>
    <row r="3843" ht="12.75" x14ac:dyDescent="0.2"/>
    <row r="3844" ht="12.75" x14ac:dyDescent="0.2"/>
    <row r="3845" ht="12.75" x14ac:dyDescent="0.2"/>
    <row r="3846" ht="12.75" x14ac:dyDescent="0.2"/>
    <row r="3847" ht="12.75" x14ac:dyDescent="0.2"/>
    <row r="3848" ht="12.75" x14ac:dyDescent="0.2"/>
    <row r="3849" ht="12.75" x14ac:dyDescent="0.2"/>
    <row r="3850" ht="12.75" x14ac:dyDescent="0.2"/>
    <row r="3851" ht="12.75" x14ac:dyDescent="0.2"/>
    <row r="3852" ht="12.75" x14ac:dyDescent="0.2"/>
    <row r="3853" ht="12.75" x14ac:dyDescent="0.2"/>
    <row r="3854" ht="12.75" x14ac:dyDescent="0.2"/>
    <row r="3855" ht="12.75" x14ac:dyDescent="0.2"/>
    <row r="3856" ht="12.75" x14ac:dyDescent="0.2"/>
    <row r="3857" ht="12.75" x14ac:dyDescent="0.2"/>
    <row r="3858" ht="12.75" x14ac:dyDescent="0.2"/>
    <row r="3859" ht="12.75" x14ac:dyDescent="0.2"/>
    <row r="3860" ht="12.75" x14ac:dyDescent="0.2"/>
    <row r="3861" ht="12.75" x14ac:dyDescent="0.2"/>
    <row r="3862" ht="12.75" x14ac:dyDescent="0.2"/>
    <row r="3863" ht="12.75" x14ac:dyDescent="0.2"/>
    <row r="3864" ht="12.75" x14ac:dyDescent="0.2"/>
    <row r="3865" ht="12.75" x14ac:dyDescent="0.2"/>
    <row r="3866" ht="12.75" x14ac:dyDescent="0.2"/>
    <row r="3867" ht="12.75" x14ac:dyDescent="0.2"/>
    <row r="3868" ht="12.75" x14ac:dyDescent="0.2"/>
    <row r="3869" ht="12.75" x14ac:dyDescent="0.2"/>
    <row r="3870" ht="12.75" x14ac:dyDescent="0.2"/>
    <row r="3871" ht="12.75" x14ac:dyDescent="0.2"/>
    <row r="3872" ht="12.75" x14ac:dyDescent="0.2"/>
    <row r="3873" ht="12.75" x14ac:dyDescent="0.2"/>
    <row r="3874" ht="12.75" x14ac:dyDescent="0.2"/>
    <row r="3875" ht="12.75" x14ac:dyDescent="0.2"/>
    <row r="3876" ht="12.75" x14ac:dyDescent="0.2"/>
    <row r="3877" ht="12.75" x14ac:dyDescent="0.2"/>
    <row r="3878" ht="12.75" x14ac:dyDescent="0.2"/>
    <row r="3879" ht="12.75" x14ac:dyDescent="0.2"/>
    <row r="3880" ht="12.75" x14ac:dyDescent="0.2"/>
    <row r="3881" ht="12.75" x14ac:dyDescent="0.2"/>
    <row r="3882" ht="12.75" x14ac:dyDescent="0.2"/>
    <row r="3883" ht="12.75" x14ac:dyDescent="0.2"/>
    <row r="3884" ht="12.75" x14ac:dyDescent="0.2"/>
    <row r="3885" ht="12.75" x14ac:dyDescent="0.2"/>
    <row r="3886" ht="12.75" x14ac:dyDescent="0.2"/>
    <row r="3887" ht="12.75" x14ac:dyDescent="0.2"/>
    <row r="3888" ht="12.75" x14ac:dyDescent="0.2"/>
    <row r="3889" ht="12.75" x14ac:dyDescent="0.2"/>
    <row r="3890" ht="12.75" x14ac:dyDescent="0.2"/>
    <row r="3891" ht="12.75" x14ac:dyDescent="0.2"/>
    <row r="3892" ht="12.75" x14ac:dyDescent="0.2"/>
    <row r="3893" ht="12.75" x14ac:dyDescent="0.2"/>
    <row r="3894" ht="12.75" x14ac:dyDescent="0.2"/>
    <row r="3895" ht="12.75" x14ac:dyDescent="0.2"/>
    <row r="3896" ht="12.75" x14ac:dyDescent="0.2"/>
    <row r="3897" ht="12.75" x14ac:dyDescent="0.2"/>
    <row r="3898" ht="12.75" x14ac:dyDescent="0.2"/>
    <row r="3899" ht="12.75" x14ac:dyDescent="0.2"/>
    <row r="3900" ht="12.75" x14ac:dyDescent="0.2"/>
    <row r="3901" ht="12.75" x14ac:dyDescent="0.2"/>
    <row r="3902" ht="12.75" x14ac:dyDescent="0.2"/>
    <row r="3903" ht="12.75" x14ac:dyDescent="0.2"/>
    <row r="3904" ht="12.75" x14ac:dyDescent="0.2"/>
    <row r="3905" ht="12.75" x14ac:dyDescent="0.2"/>
    <row r="3906" ht="12.75" x14ac:dyDescent="0.2"/>
    <row r="3907" ht="12.75" x14ac:dyDescent="0.2"/>
    <row r="3908" ht="12.75" x14ac:dyDescent="0.2"/>
    <row r="3909" ht="12.75" x14ac:dyDescent="0.2"/>
    <row r="3910" ht="12.75" x14ac:dyDescent="0.2"/>
    <row r="3911" ht="12.75" x14ac:dyDescent="0.2"/>
    <row r="3912" ht="12.75" x14ac:dyDescent="0.2"/>
    <row r="3913" ht="12.75" x14ac:dyDescent="0.2"/>
    <row r="3914" ht="12.75" x14ac:dyDescent="0.2"/>
    <row r="3915" ht="12.75" x14ac:dyDescent="0.2"/>
    <row r="3916" ht="12.75" x14ac:dyDescent="0.2"/>
    <row r="3917" ht="12.75" x14ac:dyDescent="0.2"/>
    <row r="3918" ht="12.75" x14ac:dyDescent="0.2"/>
    <row r="3919" ht="12.75" x14ac:dyDescent="0.2"/>
    <row r="3920" ht="12.75" x14ac:dyDescent="0.2"/>
    <row r="3921" ht="12.75" x14ac:dyDescent="0.2"/>
    <row r="3922" ht="12.75" x14ac:dyDescent="0.2"/>
    <row r="3923" ht="12.75" x14ac:dyDescent="0.2"/>
    <row r="3924" ht="12.75" x14ac:dyDescent="0.2"/>
    <row r="3925" ht="12.75" x14ac:dyDescent="0.2"/>
    <row r="3926" ht="12.75" x14ac:dyDescent="0.2"/>
    <row r="3927" ht="12.75" x14ac:dyDescent="0.2"/>
    <row r="3928" ht="12.75" x14ac:dyDescent="0.2"/>
    <row r="3929" ht="12.75" x14ac:dyDescent="0.2"/>
    <row r="3930" ht="12.75" x14ac:dyDescent="0.2"/>
    <row r="3931" ht="12.75" x14ac:dyDescent="0.2"/>
    <row r="3932" ht="12.75" x14ac:dyDescent="0.2"/>
    <row r="3933" ht="12.75" x14ac:dyDescent="0.2"/>
    <row r="3934" ht="12.75" x14ac:dyDescent="0.2"/>
    <row r="3935" ht="12.75" x14ac:dyDescent="0.2"/>
    <row r="3936" ht="12.75" x14ac:dyDescent="0.2"/>
    <row r="3937" ht="12.75" x14ac:dyDescent="0.2"/>
    <row r="3938" ht="12.75" x14ac:dyDescent="0.2"/>
    <row r="3939" ht="12.75" x14ac:dyDescent="0.2"/>
    <row r="3940" ht="12.75" x14ac:dyDescent="0.2"/>
    <row r="3941" ht="12.75" x14ac:dyDescent="0.2"/>
    <row r="3942" ht="12.75" x14ac:dyDescent="0.2"/>
    <row r="3943" ht="12.75" x14ac:dyDescent="0.2"/>
    <row r="3944" ht="12.75" x14ac:dyDescent="0.2"/>
    <row r="3945" ht="12.75" x14ac:dyDescent="0.2"/>
    <row r="3946" ht="12.75" x14ac:dyDescent="0.2"/>
    <row r="3947" ht="12.75" x14ac:dyDescent="0.2"/>
    <row r="3948" ht="12.75" x14ac:dyDescent="0.2"/>
    <row r="3949" ht="12.75" x14ac:dyDescent="0.2"/>
    <row r="3950" ht="12.75" x14ac:dyDescent="0.2"/>
    <row r="3951" ht="12.75" x14ac:dyDescent="0.2"/>
    <row r="3952" ht="12.75" x14ac:dyDescent="0.2"/>
    <row r="3953" ht="12.75" x14ac:dyDescent="0.2"/>
    <row r="3954" ht="12.75" x14ac:dyDescent="0.2"/>
    <row r="3955" ht="12.75" x14ac:dyDescent="0.2"/>
    <row r="3956" ht="12.75" x14ac:dyDescent="0.2"/>
    <row r="3957" ht="12.75" x14ac:dyDescent="0.2"/>
    <row r="3958" ht="12.75" x14ac:dyDescent="0.2"/>
    <row r="3959" ht="12.75" x14ac:dyDescent="0.2"/>
    <row r="3960" ht="12.75" x14ac:dyDescent="0.2"/>
    <row r="3961" ht="12.75" x14ac:dyDescent="0.2"/>
    <row r="3962" ht="12.75" x14ac:dyDescent="0.2"/>
    <row r="3963" ht="12.75" x14ac:dyDescent="0.2"/>
    <row r="3964" ht="12.75" x14ac:dyDescent="0.2"/>
    <row r="3965" ht="12.75" x14ac:dyDescent="0.2"/>
    <row r="3966" ht="12.75" x14ac:dyDescent="0.2"/>
    <row r="3967" ht="12.75" x14ac:dyDescent="0.2"/>
    <row r="3968" ht="12.75" x14ac:dyDescent="0.2"/>
    <row r="3969" ht="12.75" x14ac:dyDescent="0.2"/>
    <row r="3970" ht="12.75" x14ac:dyDescent="0.2"/>
    <row r="3971" ht="12.75" x14ac:dyDescent="0.2"/>
    <row r="3972" ht="12.75" x14ac:dyDescent="0.2"/>
    <row r="3973" ht="12.75" x14ac:dyDescent="0.2"/>
    <row r="3974" ht="12.75" x14ac:dyDescent="0.2"/>
    <row r="3975" ht="12.75" x14ac:dyDescent="0.2"/>
    <row r="3976" ht="12.75" x14ac:dyDescent="0.2"/>
    <row r="3977" ht="12.75" x14ac:dyDescent="0.2"/>
    <row r="3978" ht="12.75" x14ac:dyDescent="0.2"/>
    <row r="3979" ht="12.75" x14ac:dyDescent="0.2"/>
    <row r="3980" ht="12.75" x14ac:dyDescent="0.2"/>
    <row r="3981" ht="12.75" x14ac:dyDescent="0.2"/>
    <row r="3982" ht="12.75" x14ac:dyDescent="0.2"/>
    <row r="3983" ht="12.75" x14ac:dyDescent="0.2"/>
    <row r="3984" ht="12.75" x14ac:dyDescent="0.2"/>
    <row r="3985" ht="12.75" x14ac:dyDescent="0.2"/>
    <row r="3986" ht="12.75" x14ac:dyDescent="0.2"/>
    <row r="3987" ht="12.75" x14ac:dyDescent="0.2"/>
    <row r="3988" ht="12.75" x14ac:dyDescent="0.2"/>
    <row r="3989" ht="12.75" x14ac:dyDescent="0.2"/>
    <row r="3990" ht="12.75" x14ac:dyDescent="0.2"/>
    <row r="3991" ht="12.75" x14ac:dyDescent="0.2"/>
    <row r="3992" ht="12.75" x14ac:dyDescent="0.2"/>
    <row r="3993" ht="12.75" x14ac:dyDescent="0.2"/>
    <row r="3994" ht="12.75" x14ac:dyDescent="0.2"/>
    <row r="3995" ht="12.75" x14ac:dyDescent="0.2"/>
    <row r="3996" ht="12.75" x14ac:dyDescent="0.2"/>
    <row r="3997" ht="12.75" x14ac:dyDescent="0.2"/>
    <row r="3998" ht="12.75" x14ac:dyDescent="0.2"/>
    <row r="3999" ht="12.75" x14ac:dyDescent="0.2"/>
    <row r="4000" ht="12.75" x14ac:dyDescent="0.2"/>
    <row r="4001" ht="12.75" x14ac:dyDescent="0.2"/>
    <row r="4002" ht="12.75" x14ac:dyDescent="0.2"/>
    <row r="4003" ht="12.75" x14ac:dyDescent="0.2"/>
    <row r="4004" ht="12.75" x14ac:dyDescent="0.2"/>
    <row r="4005" ht="12.75" x14ac:dyDescent="0.2"/>
    <row r="4006" ht="12.75" x14ac:dyDescent="0.2"/>
    <row r="4007" ht="12.75" x14ac:dyDescent="0.2"/>
    <row r="4008" ht="12.75" x14ac:dyDescent="0.2"/>
    <row r="4009" ht="12.75" x14ac:dyDescent="0.2"/>
    <row r="4010" ht="12.75" x14ac:dyDescent="0.2"/>
    <row r="4011" ht="12.75" x14ac:dyDescent="0.2"/>
    <row r="4012" ht="12.75" x14ac:dyDescent="0.2"/>
    <row r="4013" ht="12.75" x14ac:dyDescent="0.2"/>
    <row r="4014" ht="12.75" x14ac:dyDescent="0.2"/>
    <row r="4015" ht="12.75" x14ac:dyDescent="0.2"/>
    <row r="4016" ht="12.75" x14ac:dyDescent="0.2"/>
    <row r="4017" ht="12.75" x14ac:dyDescent="0.2"/>
    <row r="4018" ht="12.75" x14ac:dyDescent="0.2"/>
    <row r="4019" ht="12.75" x14ac:dyDescent="0.2"/>
    <row r="4020" ht="12.75" x14ac:dyDescent="0.2"/>
    <row r="4021" ht="12.75" x14ac:dyDescent="0.2"/>
    <row r="4022" ht="12.75" x14ac:dyDescent="0.2"/>
    <row r="4023" ht="12.75" x14ac:dyDescent="0.2"/>
    <row r="4024" ht="12.75" x14ac:dyDescent="0.2"/>
    <row r="4025" ht="12.75" x14ac:dyDescent="0.2"/>
    <row r="4026" ht="12.75" x14ac:dyDescent="0.2"/>
    <row r="4027" ht="12.75" x14ac:dyDescent="0.2"/>
    <row r="4028" ht="12.75" x14ac:dyDescent="0.2"/>
    <row r="4029" ht="12.75" x14ac:dyDescent="0.2"/>
    <row r="4030" ht="12.75" x14ac:dyDescent="0.2"/>
    <row r="4031" ht="12.75" x14ac:dyDescent="0.2"/>
    <row r="4032" ht="12.75" x14ac:dyDescent="0.2"/>
    <row r="4033" ht="12.75" x14ac:dyDescent="0.2"/>
    <row r="4034" ht="12.75" x14ac:dyDescent="0.2"/>
    <row r="4035" ht="12.75" x14ac:dyDescent="0.2"/>
    <row r="4036" ht="12.75" x14ac:dyDescent="0.2"/>
    <row r="4037" ht="12.75" x14ac:dyDescent="0.2"/>
    <row r="4038" ht="12.75" x14ac:dyDescent="0.2"/>
    <row r="4039" ht="12.75" x14ac:dyDescent="0.2"/>
    <row r="4040" ht="12.75" x14ac:dyDescent="0.2"/>
    <row r="4041" ht="12.75" x14ac:dyDescent="0.2"/>
    <row r="4042" ht="12.75" x14ac:dyDescent="0.2"/>
    <row r="4043" ht="12.75" x14ac:dyDescent="0.2"/>
    <row r="4044" ht="12.75" x14ac:dyDescent="0.2"/>
    <row r="4045" ht="12.75" x14ac:dyDescent="0.2"/>
    <row r="4046" ht="12.75" x14ac:dyDescent="0.2"/>
    <row r="4047" ht="12.75" x14ac:dyDescent="0.2"/>
    <row r="4048" ht="12.75" x14ac:dyDescent="0.2"/>
    <row r="4049" ht="12.75" x14ac:dyDescent="0.2"/>
    <row r="4050" ht="12.75" x14ac:dyDescent="0.2"/>
    <row r="4051" ht="12.75" x14ac:dyDescent="0.2"/>
    <row r="4052" ht="12.75" x14ac:dyDescent="0.2"/>
    <row r="4053" ht="12.75" x14ac:dyDescent="0.2"/>
    <row r="4054" ht="12.75" x14ac:dyDescent="0.2"/>
    <row r="4055" ht="12.75" x14ac:dyDescent="0.2"/>
    <row r="4056" ht="12.75" x14ac:dyDescent="0.2"/>
    <row r="4057" ht="12.75" x14ac:dyDescent="0.2"/>
    <row r="4058" ht="12.75" x14ac:dyDescent="0.2"/>
    <row r="4059" ht="12.75" x14ac:dyDescent="0.2"/>
    <row r="4060" ht="12.75" x14ac:dyDescent="0.2"/>
    <row r="4061" ht="12.75" x14ac:dyDescent="0.2"/>
    <row r="4062" ht="12.75" x14ac:dyDescent="0.2"/>
    <row r="4063" ht="12.75" x14ac:dyDescent="0.2"/>
    <row r="4064" ht="12.75" x14ac:dyDescent="0.2"/>
    <row r="4065" ht="12.75" x14ac:dyDescent="0.2"/>
    <row r="4066" ht="12.75" x14ac:dyDescent="0.2"/>
    <row r="4067" ht="12.75" x14ac:dyDescent="0.2"/>
    <row r="4068" ht="12.75" x14ac:dyDescent="0.2"/>
    <row r="4069" ht="12.75" x14ac:dyDescent="0.2"/>
    <row r="4070" ht="12.75" x14ac:dyDescent="0.2"/>
    <row r="4071" ht="12.75" x14ac:dyDescent="0.2"/>
    <row r="4072" ht="12.75" x14ac:dyDescent="0.2"/>
    <row r="4073" ht="12.75" x14ac:dyDescent="0.2"/>
    <row r="4074" ht="12.75" x14ac:dyDescent="0.2"/>
    <row r="4075" ht="12.75" x14ac:dyDescent="0.2"/>
    <row r="4076" ht="12.75" x14ac:dyDescent="0.2"/>
    <row r="4077" ht="12.75" x14ac:dyDescent="0.2"/>
    <row r="4078" ht="12.75" x14ac:dyDescent="0.2"/>
    <row r="4079" ht="12.75" x14ac:dyDescent="0.2"/>
    <row r="4080" ht="12.75" x14ac:dyDescent="0.2"/>
    <row r="4081" ht="12.75" x14ac:dyDescent="0.2"/>
    <row r="4082" ht="12.75" x14ac:dyDescent="0.2"/>
    <row r="4083" ht="12.75" x14ac:dyDescent="0.2"/>
    <row r="4084" ht="12.75" x14ac:dyDescent="0.2"/>
    <row r="4085" ht="12.75" x14ac:dyDescent="0.2"/>
    <row r="4086" ht="12.75" x14ac:dyDescent="0.2"/>
    <row r="4087" ht="12.75" x14ac:dyDescent="0.2"/>
    <row r="4088" ht="12.75" x14ac:dyDescent="0.2"/>
    <row r="4089" ht="12.75" x14ac:dyDescent="0.2"/>
    <row r="4090" ht="12.75" x14ac:dyDescent="0.2"/>
    <row r="4091" ht="12.75" x14ac:dyDescent="0.2"/>
    <row r="4092" ht="12.75" x14ac:dyDescent="0.2"/>
    <row r="4093" ht="12.75" x14ac:dyDescent="0.2"/>
    <row r="4094" ht="12.75" x14ac:dyDescent="0.2"/>
    <row r="4095" ht="12.75" x14ac:dyDescent="0.2"/>
    <row r="4096" ht="12.75" x14ac:dyDescent="0.2"/>
    <row r="4097" ht="12.75" x14ac:dyDescent="0.2"/>
    <row r="4098" ht="12.75" x14ac:dyDescent="0.2"/>
    <row r="4099" ht="12.75" x14ac:dyDescent="0.2"/>
    <row r="4100" ht="12.75" x14ac:dyDescent="0.2"/>
    <row r="4101" ht="12.75" x14ac:dyDescent="0.2"/>
    <row r="4102" ht="12.75" x14ac:dyDescent="0.2"/>
    <row r="4103" ht="12.75" x14ac:dyDescent="0.2"/>
    <row r="4104" ht="12.75" x14ac:dyDescent="0.2"/>
    <row r="4105" ht="12.75" x14ac:dyDescent="0.2"/>
    <row r="4106" ht="12.75" x14ac:dyDescent="0.2"/>
    <row r="4107" ht="12.75" x14ac:dyDescent="0.2"/>
    <row r="4108" ht="12.75" x14ac:dyDescent="0.2"/>
    <row r="4109" ht="12.75" x14ac:dyDescent="0.2"/>
    <row r="4110" ht="12.75" x14ac:dyDescent="0.2"/>
    <row r="4111" ht="12.75" x14ac:dyDescent="0.2"/>
    <row r="4112" ht="12.75" x14ac:dyDescent="0.2"/>
    <row r="4113" ht="12.75" x14ac:dyDescent="0.2"/>
    <row r="4114" ht="12.75" x14ac:dyDescent="0.2"/>
    <row r="4115" ht="12.75" x14ac:dyDescent="0.2"/>
    <row r="4116" ht="12.75" x14ac:dyDescent="0.2"/>
    <row r="4117" ht="12.75" x14ac:dyDescent="0.2"/>
    <row r="4118" ht="12.75" x14ac:dyDescent="0.2"/>
    <row r="4119" ht="12.75" x14ac:dyDescent="0.2"/>
    <row r="4120" ht="12.75" x14ac:dyDescent="0.2"/>
    <row r="4121" ht="12.75" x14ac:dyDescent="0.2"/>
    <row r="4122" ht="12.75" x14ac:dyDescent="0.2"/>
    <row r="4123" ht="12.75" x14ac:dyDescent="0.2"/>
    <row r="4124" ht="12.75" x14ac:dyDescent="0.2"/>
    <row r="4125" ht="12.75" x14ac:dyDescent="0.2"/>
    <row r="4126" ht="12.75" x14ac:dyDescent="0.2"/>
    <row r="4127" ht="12.75" x14ac:dyDescent="0.2"/>
    <row r="4128" ht="12.75" x14ac:dyDescent="0.2"/>
    <row r="4129" ht="12.75" x14ac:dyDescent="0.2"/>
    <row r="4130" ht="12.75" x14ac:dyDescent="0.2"/>
    <row r="4131" ht="12.75" x14ac:dyDescent="0.2"/>
    <row r="4132" ht="12.75" x14ac:dyDescent="0.2"/>
    <row r="4133" ht="12.75" x14ac:dyDescent="0.2"/>
    <row r="4134" ht="12.75" x14ac:dyDescent="0.2"/>
    <row r="4135" ht="12.75" x14ac:dyDescent="0.2"/>
    <row r="4136" ht="12.75" x14ac:dyDescent="0.2"/>
    <row r="4137" ht="12.75" x14ac:dyDescent="0.2"/>
    <row r="4138" ht="12.75" x14ac:dyDescent="0.2"/>
    <row r="4139" ht="12.75" x14ac:dyDescent="0.2"/>
    <row r="4140" ht="12.75" x14ac:dyDescent="0.2"/>
    <row r="4141" ht="12.75" x14ac:dyDescent="0.2"/>
    <row r="4142" ht="12.75" x14ac:dyDescent="0.2"/>
    <row r="4143" ht="12.75" x14ac:dyDescent="0.2"/>
    <row r="4144" ht="12.75" x14ac:dyDescent="0.2"/>
    <row r="4145" ht="12.75" x14ac:dyDescent="0.2"/>
    <row r="4146" ht="12.75" x14ac:dyDescent="0.2"/>
    <row r="4147" ht="12.75" x14ac:dyDescent="0.2"/>
    <row r="4148" ht="12.75" x14ac:dyDescent="0.2"/>
    <row r="4149" ht="12.75" x14ac:dyDescent="0.2"/>
    <row r="4150" ht="12.75" x14ac:dyDescent="0.2"/>
    <row r="4151" ht="12.75" x14ac:dyDescent="0.2"/>
    <row r="4152" ht="12.75" x14ac:dyDescent="0.2"/>
    <row r="4153" ht="12.75" x14ac:dyDescent="0.2"/>
    <row r="4154" ht="12.75" x14ac:dyDescent="0.2"/>
    <row r="4155" ht="12.75" x14ac:dyDescent="0.2"/>
    <row r="4156" ht="12.75" x14ac:dyDescent="0.2"/>
    <row r="4157" ht="12.75" x14ac:dyDescent="0.2"/>
    <row r="4158" ht="12.75" x14ac:dyDescent="0.2"/>
    <row r="4159" ht="12.75" x14ac:dyDescent="0.2"/>
    <row r="4160" ht="12.75" x14ac:dyDescent="0.2"/>
    <row r="4161" ht="12.75" x14ac:dyDescent="0.2"/>
    <row r="4162" ht="12.75" x14ac:dyDescent="0.2"/>
    <row r="4163" ht="12.75" x14ac:dyDescent="0.2"/>
    <row r="4164" ht="12.75" x14ac:dyDescent="0.2"/>
    <row r="4165" ht="12.75" x14ac:dyDescent="0.2"/>
    <row r="4166" ht="12.75" x14ac:dyDescent="0.2"/>
    <row r="4167" ht="12.75" x14ac:dyDescent="0.2"/>
    <row r="4168" ht="12.75" x14ac:dyDescent="0.2"/>
    <row r="4169" ht="12.75" x14ac:dyDescent="0.2"/>
    <row r="4170" ht="12.75" x14ac:dyDescent="0.2"/>
    <row r="4171" ht="12.75" x14ac:dyDescent="0.2"/>
    <row r="4172" ht="12.75" x14ac:dyDescent="0.2"/>
    <row r="4173" ht="12.75" x14ac:dyDescent="0.2"/>
    <row r="4174" ht="12.75" x14ac:dyDescent="0.2"/>
    <row r="4175" ht="12.75" x14ac:dyDescent="0.2"/>
    <row r="4176" ht="12.75" x14ac:dyDescent="0.2"/>
    <row r="4177" ht="12.75" x14ac:dyDescent="0.2"/>
    <row r="4178" ht="12.75" x14ac:dyDescent="0.2"/>
    <row r="4179" ht="12.75" x14ac:dyDescent="0.2"/>
    <row r="4180" ht="12.75" x14ac:dyDescent="0.2"/>
    <row r="4181" ht="12.75" x14ac:dyDescent="0.2"/>
    <row r="4182" ht="12.75" x14ac:dyDescent="0.2"/>
    <row r="4183" ht="12.75" x14ac:dyDescent="0.2"/>
    <row r="4184" ht="12.75" x14ac:dyDescent="0.2"/>
    <row r="4185" ht="12.75" x14ac:dyDescent="0.2"/>
    <row r="4186" ht="12.75" x14ac:dyDescent="0.2"/>
    <row r="4187" ht="12.75" x14ac:dyDescent="0.2"/>
    <row r="4188" ht="12.75" x14ac:dyDescent="0.2"/>
    <row r="4189" ht="12.75" x14ac:dyDescent="0.2"/>
    <row r="4190" ht="12.75" x14ac:dyDescent="0.2"/>
    <row r="4191" ht="12.75" x14ac:dyDescent="0.2"/>
    <row r="4192" ht="12.75" x14ac:dyDescent="0.2"/>
    <row r="4193" ht="12.75" x14ac:dyDescent="0.2"/>
    <row r="4194" ht="12.75" x14ac:dyDescent="0.2"/>
    <row r="4195" ht="12.75" x14ac:dyDescent="0.2"/>
    <row r="4196" ht="12.75" x14ac:dyDescent="0.2"/>
    <row r="4197" ht="12.75" x14ac:dyDescent="0.2"/>
    <row r="4198" ht="12.75" x14ac:dyDescent="0.2"/>
    <row r="4199" ht="12.75" x14ac:dyDescent="0.2"/>
    <row r="4200" ht="12.75" x14ac:dyDescent="0.2"/>
    <row r="4201" ht="12.75" x14ac:dyDescent="0.2"/>
    <row r="4202" ht="12.75" x14ac:dyDescent="0.2"/>
    <row r="4203" ht="12.75" x14ac:dyDescent="0.2"/>
    <row r="4204" ht="12.75" x14ac:dyDescent="0.2"/>
    <row r="4205" ht="12.75" x14ac:dyDescent="0.2"/>
    <row r="4206" ht="12.75" x14ac:dyDescent="0.2"/>
    <row r="4207" ht="12.75" x14ac:dyDescent="0.2"/>
    <row r="4208" ht="12.75" x14ac:dyDescent="0.2"/>
    <row r="4209" ht="12.75" x14ac:dyDescent="0.2"/>
    <row r="4210" ht="12.75" x14ac:dyDescent="0.2"/>
    <row r="4211" ht="12.75" x14ac:dyDescent="0.2"/>
    <row r="4212" ht="12.75" x14ac:dyDescent="0.2"/>
    <row r="4213" ht="12.75" x14ac:dyDescent="0.2"/>
    <row r="4214" ht="12.75" x14ac:dyDescent="0.2"/>
    <row r="4215" ht="12.75" x14ac:dyDescent="0.2"/>
    <row r="4216" ht="12.75" x14ac:dyDescent="0.2"/>
    <row r="4217" ht="12.75" x14ac:dyDescent="0.2"/>
    <row r="4218" ht="12.75" x14ac:dyDescent="0.2"/>
    <row r="4219" ht="12.75" x14ac:dyDescent="0.2"/>
    <row r="4220" ht="12.75" x14ac:dyDescent="0.2"/>
    <row r="4221" ht="12.75" x14ac:dyDescent="0.2"/>
    <row r="4222" ht="12.75" x14ac:dyDescent="0.2"/>
    <row r="4223" ht="12.75" x14ac:dyDescent="0.2"/>
    <row r="4224" ht="12.75" x14ac:dyDescent="0.2"/>
    <row r="4225" ht="12.75" x14ac:dyDescent="0.2"/>
    <row r="4226" ht="12.75" x14ac:dyDescent="0.2"/>
    <row r="4227" ht="12.75" x14ac:dyDescent="0.2"/>
    <row r="4228" ht="12.75" x14ac:dyDescent="0.2"/>
    <row r="4229" ht="12.75" x14ac:dyDescent="0.2"/>
    <row r="4230" ht="12.75" x14ac:dyDescent="0.2"/>
    <row r="4231" ht="12.75" x14ac:dyDescent="0.2"/>
    <row r="4232" ht="12.75" x14ac:dyDescent="0.2"/>
    <row r="4233" ht="12.75" x14ac:dyDescent="0.2"/>
    <row r="4234" ht="12.75" x14ac:dyDescent="0.2"/>
    <row r="4235" ht="12.75" x14ac:dyDescent="0.2"/>
    <row r="4236" ht="12.75" x14ac:dyDescent="0.2"/>
    <row r="4237" ht="12.75" x14ac:dyDescent="0.2"/>
    <row r="4238" ht="12.75" x14ac:dyDescent="0.2"/>
    <row r="4239" ht="12.75" x14ac:dyDescent="0.2"/>
    <row r="4240" ht="12.75" x14ac:dyDescent="0.2"/>
    <row r="4241" ht="12.75" x14ac:dyDescent="0.2"/>
    <row r="4242" ht="12.75" x14ac:dyDescent="0.2"/>
    <row r="4243" ht="12.75" x14ac:dyDescent="0.2"/>
    <row r="4244" ht="12.75" x14ac:dyDescent="0.2"/>
    <row r="4245" ht="12.75" x14ac:dyDescent="0.2"/>
    <row r="4246" ht="12.75" x14ac:dyDescent="0.2"/>
    <row r="4247" ht="12.75" x14ac:dyDescent="0.2"/>
    <row r="4248" ht="12.75" x14ac:dyDescent="0.2"/>
    <row r="4249" ht="12.75" x14ac:dyDescent="0.2"/>
    <row r="4250" ht="12.75" x14ac:dyDescent="0.2"/>
    <row r="4251" ht="12.75" x14ac:dyDescent="0.2"/>
    <row r="4252" ht="12.75" x14ac:dyDescent="0.2"/>
    <row r="4253" ht="12.75" x14ac:dyDescent="0.2"/>
    <row r="4254" ht="12.75" x14ac:dyDescent="0.2"/>
    <row r="4255" ht="12.75" x14ac:dyDescent="0.2"/>
    <row r="4256" ht="12.75" x14ac:dyDescent="0.2"/>
    <row r="4257" ht="12.75" x14ac:dyDescent="0.2"/>
    <row r="4258" ht="12.75" x14ac:dyDescent="0.2"/>
    <row r="4259" ht="12.75" x14ac:dyDescent="0.2"/>
    <row r="4260" ht="12.75" x14ac:dyDescent="0.2"/>
    <row r="4261" ht="12.75" x14ac:dyDescent="0.2"/>
    <row r="4262" ht="12.75" x14ac:dyDescent="0.2"/>
    <row r="4263" ht="12.75" x14ac:dyDescent="0.2"/>
    <row r="4264" ht="12.75" x14ac:dyDescent="0.2"/>
    <row r="4265" ht="12.75" x14ac:dyDescent="0.2"/>
    <row r="4266" ht="12.75" x14ac:dyDescent="0.2"/>
    <row r="4267" ht="12.75" x14ac:dyDescent="0.2"/>
    <row r="4268" ht="12.75" x14ac:dyDescent="0.2"/>
    <row r="4269" ht="12.75" x14ac:dyDescent="0.2"/>
    <row r="4270" ht="12.75" x14ac:dyDescent="0.2"/>
    <row r="4271" ht="12.75" x14ac:dyDescent="0.2"/>
    <row r="4272" ht="12.75" x14ac:dyDescent="0.2"/>
    <row r="4273" ht="12.75" x14ac:dyDescent="0.2"/>
    <row r="4274" ht="12.75" x14ac:dyDescent="0.2"/>
    <row r="4275" ht="12.75" x14ac:dyDescent="0.2"/>
    <row r="4276" ht="12.75" x14ac:dyDescent="0.2"/>
    <row r="4277" ht="12.75" x14ac:dyDescent="0.2"/>
    <row r="4278" ht="12.75" x14ac:dyDescent="0.2"/>
    <row r="4279" ht="12.75" x14ac:dyDescent="0.2"/>
    <row r="4280" ht="12.75" x14ac:dyDescent="0.2"/>
    <row r="4281" ht="12.75" x14ac:dyDescent="0.2"/>
    <row r="4282" ht="12.75" x14ac:dyDescent="0.2"/>
    <row r="4283" ht="12.75" x14ac:dyDescent="0.2"/>
    <row r="4284" ht="12.75" x14ac:dyDescent="0.2"/>
    <row r="4285" ht="12.75" x14ac:dyDescent="0.2"/>
    <row r="4286" ht="12.75" x14ac:dyDescent="0.2"/>
    <row r="4287" ht="12.75" x14ac:dyDescent="0.2"/>
    <row r="4288" ht="12.75" x14ac:dyDescent="0.2"/>
    <row r="4289" ht="12.75" x14ac:dyDescent="0.2"/>
    <row r="4290" ht="12.75" x14ac:dyDescent="0.2"/>
    <row r="4291" ht="12.75" x14ac:dyDescent="0.2"/>
    <row r="4292" ht="12.75" x14ac:dyDescent="0.2"/>
    <row r="4293" ht="12.75" x14ac:dyDescent="0.2"/>
    <row r="4294" ht="12.75" x14ac:dyDescent="0.2"/>
    <row r="4295" ht="12.75" x14ac:dyDescent="0.2"/>
    <row r="4296" ht="12.75" x14ac:dyDescent="0.2"/>
    <row r="4297" ht="12.75" x14ac:dyDescent="0.2"/>
    <row r="4298" ht="12.75" x14ac:dyDescent="0.2"/>
    <row r="4299" ht="12.75" x14ac:dyDescent="0.2"/>
    <row r="4300" ht="12.75" x14ac:dyDescent="0.2"/>
    <row r="4301" ht="12.75" x14ac:dyDescent="0.2"/>
    <row r="4302" ht="12.75" x14ac:dyDescent="0.2"/>
    <row r="4303" ht="12.75" x14ac:dyDescent="0.2"/>
    <row r="4304" ht="12.75" x14ac:dyDescent="0.2"/>
    <row r="4305" ht="12.75" x14ac:dyDescent="0.2"/>
    <row r="4306" ht="12.75" x14ac:dyDescent="0.2"/>
    <row r="4307" ht="12.75" x14ac:dyDescent="0.2"/>
    <row r="4308" ht="12.75" x14ac:dyDescent="0.2"/>
    <row r="4309" ht="12.75" x14ac:dyDescent="0.2"/>
    <row r="4310" ht="12.75" x14ac:dyDescent="0.2"/>
    <row r="4311" ht="12.75" x14ac:dyDescent="0.2"/>
    <row r="4312" ht="12.75" x14ac:dyDescent="0.2"/>
    <row r="4313" ht="12.75" x14ac:dyDescent="0.2"/>
    <row r="4314" ht="12.75" x14ac:dyDescent="0.2"/>
    <row r="4315" ht="12.75" x14ac:dyDescent="0.2"/>
    <row r="4316" ht="12.75" x14ac:dyDescent="0.2"/>
    <row r="4317" ht="12.75" x14ac:dyDescent="0.2"/>
    <row r="4318" ht="12.75" x14ac:dyDescent="0.2"/>
    <row r="4319" ht="12.75" x14ac:dyDescent="0.2"/>
    <row r="4320" ht="12.75" x14ac:dyDescent="0.2"/>
    <row r="4321" ht="12.75" x14ac:dyDescent="0.2"/>
    <row r="4322" ht="12.75" x14ac:dyDescent="0.2"/>
    <row r="4323" ht="12.75" x14ac:dyDescent="0.2"/>
    <row r="4324" ht="12.75" x14ac:dyDescent="0.2"/>
    <row r="4325" ht="12.75" x14ac:dyDescent="0.2"/>
    <row r="4326" ht="12.75" x14ac:dyDescent="0.2"/>
    <row r="4327" ht="12.75" x14ac:dyDescent="0.2"/>
    <row r="4328" ht="12.75" x14ac:dyDescent="0.2"/>
    <row r="4329" ht="12.75" x14ac:dyDescent="0.2"/>
    <row r="4330" ht="12.75" x14ac:dyDescent="0.2"/>
    <row r="4331" ht="12.75" x14ac:dyDescent="0.2"/>
    <row r="4332" ht="12.75" x14ac:dyDescent="0.2"/>
    <row r="4333" ht="12.75" x14ac:dyDescent="0.2"/>
    <row r="4334" ht="12.75" x14ac:dyDescent="0.2"/>
    <row r="4335" ht="12.75" x14ac:dyDescent="0.2"/>
    <row r="4336" ht="12.75" x14ac:dyDescent="0.2"/>
    <row r="4337" ht="12.75" x14ac:dyDescent="0.2"/>
    <row r="4338" ht="12.75" x14ac:dyDescent="0.2"/>
    <row r="4339" ht="12.75" x14ac:dyDescent="0.2"/>
    <row r="4340" ht="12.75" x14ac:dyDescent="0.2"/>
    <row r="4341" ht="12.75" x14ac:dyDescent="0.2"/>
    <row r="4342" ht="12.75" x14ac:dyDescent="0.2"/>
    <row r="4343" ht="12.75" x14ac:dyDescent="0.2"/>
    <row r="4344" ht="12.75" x14ac:dyDescent="0.2"/>
    <row r="4345" ht="12.75" x14ac:dyDescent="0.2"/>
    <row r="4346" ht="12.75" x14ac:dyDescent="0.2"/>
    <row r="4347" ht="12.75" x14ac:dyDescent="0.2"/>
    <row r="4348" ht="12.75" x14ac:dyDescent="0.2"/>
    <row r="4349" ht="12.75" x14ac:dyDescent="0.2"/>
    <row r="4350" ht="12.75" x14ac:dyDescent="0.2"/>
    <row r="4351" ht="12.75" x14ac:dyDescent="0.2"/>
    <row r="4352" ht="12.75" x14ac:dyDescent="0.2"/>
    <row r="4353" ht="12.75" x14ac:dyDescent="0.2"/>
    <row r="4354" ht="12.75" x14ac:dyDescent="0.2"/>
    <row r="4355" ht="12.75" x14ac:dyDescent="0.2"/>
    <row r="4356" ht="12.75" x14ac:dyDescent="0.2"/>
    <row r="4357" ht="12.75" x14ac:dyDescent="0.2"/>
    <row r="4358" ht="12.75" x14ac:dyDescent="0.2"/>
    <row r="4359" ht="12.75" x14ac:dyDescent="0.2"/>
    <row r="4360" ht="12.75" x14ac:dyDescent="0.2"/>
    <row r="4361" ht="12.75" x14ac:dyDescent="0.2"/>
    <row r="4362" ht="12.75" x14ac:dyDescent="0.2"/>
    <row r="4363" ht="12.75" x14ac:dyDescent="0.2"/>
    <row r="4364" ht="12.75" x14ac:dyDescent="0.2"/>
    <row r="4365" ht="12.75" x14ac:dyDescent="0.2"/>
    <row r="4366" ht="12.75" x14ac:dyDescent="0.2"/>
    <row r="4367" ht="12.75" x14ac:dyDescent="0.2"/>
    <row r="4368" ht="12.75" x14ac:dyDescent="0.2"/>
    <row r="4369" ht="12.75" x14ac:dyDescent="0.2"/>
    <row r="4370" ht="12.75" x14ac:dyDescent="0.2"/>
    <row r="4371" ht="12.75" x14ac:dyDescent="0.2"/>
    <row r="4372" ht="12.75" x14ac:dyDescent="0.2"/>
    <row r="4373" ht="12.75" x14ac:dyDescent="0.2"/>
    <row r="4374" ht="12.75" x14ac:dyDescent="0.2"/>
    <row r="4375" ht="12.75" x14ac:dyDescent="0.2"/>
    <row r="4376" ht="12.75" x14ac:dyDescent="0.2"/>
    <row r="4377" ht="12.75" x14ac:dyDescent="0.2"/>
    <row r="4378" ht="12.75" x14ac:dyDescent="0.2"/>
    <row r="4379" ht="12.75" x14ac:dyDescent="0.2"/>
    <row r="4380" ht="12.75" x14ac:dyDescent="0.2"/>
    <row r="4381" ht="12.75" x14ac:dyDescent="0.2"/>
    <row r="4382" ht="12.75" x14ac:dyDescent="0.2"/>
    <row r="4383" ht="12.75" x14ac:dyDescent="0.2"/>
    <row r="4384" ht="12.75" x14ac:dyDescent="0.2"/>
    <row r="4385" ht="12.75" x14ac:dyDescent="0.2"/>
    <row r="4386" ht="12.75" x14ac:dyDescent="0.2"/>
    <row r="4387" ht="12.75" x14ac:dyDescent="0.2"/>
    <row r="4388" ht="12.75" x14ac:dyDescent="0.2"/>
    <row r="4389" ht="12.75" x14ac:dyDescent="0.2"/>
    <row r="4390" ht="12.75" x14ac:dyDescent="0.2"/>
    <row r="4391" ht="12.75" x14ac:dyDescent="0.2"/>
    <row r="4392" ht="12.75" x14ac:dyDescent="0.2"/>
    <row r="4393" ht="12.75" x14ac:dyDescent="0.2"/>
    <row r="4394" ht="12.75" x14ac:dyDescent="0.2"/>
    <row r="4395" ht="12.75" x14ac:dyDescent="0.2"/>
    <row r="4396" ht="12.75" x14ac:dyDescent="0.2"/>
    <row r="4397" ht="12.75" x14ac:dyDescent="0.2"/>
    <row r="4398" ht="12.75" x14ac:dyDescent="0.2"/>
    <row r="4399" ht="12.75" x14ac:dyDescent="0.2"/>
    <row r="4400" ht="12.75" x14ac:dyDescent="0.2"/>
    <row r="4401" ht="12.75" x14ac:dyDescent="0.2"/>
    <row r="4402" ht="12.75" x14ac:dyDescent="0.2"/>
    <row r="4403" ht="12.75" x14ac:dyDescent="0.2"/>
    <row r="4404" ht="12.75" x14ac:dyDescent="0.2"/>
    <row r="4405" ht="12.75" x14ac:dyDescent="0.2"/>
    <row r="4406" ht="12.75" x14ac:dyDescent="0.2"/>
    <row r="4407" ht="12.75" x14ac:dyDescent="0.2"/>
    <row r="4408" ht="12.75" x14ac:dyDescent="0.2"/>
    <row r="4409" ht="12.75" x14ac:dyDescent="0.2"/>
    <row r="4410" ht="12.75" x14ac:dyDescent="0.2"/>
    <row r="4411" ht="12.75" x14ac:dyDescent="0.2"/>
    <row r="4412" ht="12.75" x14ac:dyDescent="0.2"/>
    <row r="4413" ht="12.75" x14ac:dyDescent="0.2"/>
    <row r="4414" ht="12.75" x14ac:dyDescent="0.2"/>
    <row r="4415" ht="12.75" x14ac:dyDescent="0.2"/>
    <row r="4416" ht="12.75" x14ac:dyDescent="0.2"/>
    <row r="4417" ht="12.75" x14ac:dyDescent="0.2"/>
    <row r="4418" ht="12.75" x14ac:dyDescent="0.2"/>
    <row r="4419" ht="12.75" x14ac:dyDescent="0.2"/>
    <row r="4420" ht="12.75" x14ac:dyDescent="0.2"/>
    <row r="4421" ht="12.75" x14ac:dyDescent="0.2"/>
    <row r="4422" ht="12.75" x14ac:dyDescent="0.2"/>
    <row r="4423" ht="12.75" x14ac:dyDescent="0.2"/>
    <row r="4424" ht="12.75" x14ac:dyDescent="0.2"/>
    <row r="4425" ht="12.75" x14ac:dyDescent="0.2"/>
    <row r="4426" ht="12.75" x14ac:dyDescent="0.2"/>
    <row r="4427" ht="12.75" x14ac:dyDescent="0.2"/>
    <row r="4428" ht="12.75" x14ac:dyDescent="0.2"/>
    <row r="4429" ht="12.75" x14ac:dyDescent="0.2"/>
    <row r="4430" ht="12.75" x14ac:dyDescent="0.2"/>
    <row r="4431" ht="12.75" x14ac:dyDescent="0.2"/>
    <row r="4432" ht="12.75" x14ac:dyDescent="0.2"/>
    <row r="4433" ht="12.75" x14ac:dyDescent="0.2"/>
    <row r="4434" ht="12.75" x14ac:dyDescent="0.2"/>
    <row r="4435" ht="12.75" x14ac:dyDescent="0.2"/>
    <row r="4436" ht="12.75" x14ac:dyDescent="0.2"/>
    <row r="4437" ht="12.75" x14ac:dyDescent="0.2"/>
    <row r="4438" ht="12.75" x14ac:dyDescent="0.2"/>
    <row r="4439" ht="12.75" x14ac:dyDescent="0.2"/>
    <row r="4440" ht="12.75" x14ac:dyDescent="0.2"/>
    <row r="4441" ht="12.75" x14ac:dyDescent="0.2"/>
    <row r="4442" ht="12.75" x14ac:dyDescent="0.2"/>
    <row r="4443" ht="12.75" x14ac:dyDescent="0.2"/>
    <row r="4444" ht="12.75" x14ac:dyDescent="0.2"/>
    <row r="4445" ht="12.75" x14ac:dyDescent="0.2"/>
    <row r="4446" ht="12.75" x14ac:dyDescent="0.2"/>
    <row r="4447" ht="12.75" x14ac:dyDescent="0.2"/>
    <row r="4448" ht="12.75" x14ac:dyDescent="0.2"/>
    <row r="4449" ht="12.75" x14ac:dyDescent="0.2"/>
    <row r="4450" ht="12.75" x14ac:dyDescent="0.2"/>
    <row r="4451" ht="12.75" x14ac:dyDescent="0.2"/>
    <row r="4452" ht="12.75" x14ac:dyDescent="0.2"/>
    <row r="4453" ht="12.75" x14ac:dyDescent="0.2"/>
    <row r="4454" ht="12.75" x14ac:dyDescent="0.2"/>
    <row r="4455" ht="12.75" x14ac:dyDescent="0.2"/>
    <row r="4456" ht="12.75" x14ac:dyDescent="0.2"/>
    <row r="4457" ht="12.75" x14ac:dyDescent="0.2"/>
    <row r="4458" ht="12.75" x14ac:dyDescent="0.2"/>
    <row r="4459" ht="12.75" x14ac:dyDescent="0.2"/>
    <row r="4460" ht="12.75" x14ac:dyDescent="0.2"/>
    <row r="4461" ht="12.75" x14ac:dyDescent="0.2"/>
    <row r="4462" ht="12.75" x14ac:dyDescent="0.2"/>
    <row r="4463" ht="12.75" x14ac:dyDescent="0.2"/>
    <row r="4464" ht="12.75" x14ac:dyDescent="0.2"/>
    <row r="4465" ht="12.75" x14ac:dyDescent="0.2"/>
    <row r="4466" ht="12.75" x14ac:dyDescent="0.2"/>
    <row r="4467" ht="12.75" x14ac:dyDescent="0.2"/>
    <row r="4468" ht="12.75" x14ac:dyDescent="0.2"/>
    <row r="4469" ht="12.75" x14ac:dyDescent="0.2"/>
    <row r="4470" ht="12.75" x14ac:dyDescent="0.2"/>
    <row r="4471" ht="12.75" x14ac:dyDescent="0.2"/>
    <row r="4472" ht="12.75" x14ac:dyDescent="0.2"/>
    <row r="4473" ht="12.75" x14ac:dyDescent="0.2"/>
    <row r="4474" ht="12.75" x14ac:dyDescent="0.2"/>
    <row r="4475" ht="12.75" x14ac:dyDescent="0.2"/>
    <row r="4476" ht="12.75" x14ac:dyDescent="0.2"/>
    <row r="4477" ht="12.75" x14ac:dyDescent="0.2"/>
    <row r="4478" ht="12.75" x14ac:dyDescent="0.2"/>
    <row r="4479" ht="12.75" x14ac:dyDescent="0.2"/>
    <row r="4480" ht="12.75" x14ac:dyDescent="0.2"/>
    <row r="4481" ht="12.75" x14ac:dyDescent="0.2"/>
    <row r="4482" ht="12.75" x14ac:dyDescent="0.2"/>
    <row r="4483" ht="12.75" x14ac:dyDescent="0.2"/>
    <row r="4484" ht="12.75" x14ac:dyDescent="0.2"/>
    <row r="4485" ht="12.75" x14ac:dyDescent="0.2"/>
    <row r="4486" ht="12.75" x14ac:dyDescent="0.2"/>
    <row r="4487" ht="12.75" x14ac:dyDescent="0.2"/>
    <row r="4488" ht="12.75" x14ac:dyDescent="0.2"/>
    <row r="4489" ht="12.75" x14ac:dyDescent="0.2"/>
    <row r="4490" ht="12.75" x14ac:dyDescent="0.2"/>
    <row r="4491" ht="12.75" x14ac:dyDescent="0.2"/>
    <row r="4492" ht="12.75" x14ac:dyDescent="0.2"/>
    <row r="4493" ht="12.75" x14ac:dyDescent="0.2"/>
    <row r="4494" ht="12.75" x14ac:dyDescent="0.2"/>
    <row r="4495" ht="12.75" x14ac:dyDescent="0.2"/>
    <row r="4496" ht="12.75" x14ac:dyDescent="0.2"/>
    <row r="4497" ht="12.75" x14ac:dyDescent="0.2"/>
    <row r="4498" ht="12.75" x14ac:dyDescent="0.2"/>
    <row r="4499" ht="12.75" x14ac:dyDescent="0.2"/>
    <row r="4500" ht="12.75" x14ac:dyDescent="0.2"/>
    <row r="4501" ht="12.75" x14ac:dyDescent="0.2"/>
    <row r="4502" ht="12.75" x14ac:dyDescent="0.2"/>
    <row r="4503" ht="12.75" x14ac:dyDescent="0.2"/>
    <row r="4504" ht="12.75" x14ac:dyDescent="0.2"/>
    <row r="4505" ht="12.75" x14ac:dyDescent="0.2"/>
    <row r="4506" ht="12.75" x14ac:dyDescent="0.2"/>
    <row r="4507" ht="12.75" x14ac:dyDescent="0.2"/>
    <row r="4508" ht="12.75" x14ac:dyDescent="0.2"/>
    <row r="4509" ht="12.75" x14ac:dyDescent="0.2"/>
    <row r="4510" ht="12.75" x14ac:dyDescent="0.2"/>
    <row r="4511" ht="12.75" x14ac:dyDescent="0.2"/>
    <row r="4512" ht="12.75" x14ac:dyDescent="0.2"/>
    <row r="4513" ht="12.75" x14ac:dyDescent="0.2"/>
    <row r="4514" ht="12.75" x14ac:dyDescent="0.2"/>
    <row r="4515" ht="12.75" x14ac:dyDescent="0.2"/>
    <row r="4516" ht="12.75" x14ac:dyDescent="0.2"/>
    <row r="4517" ht="12.75" x14ac:dyDescent="0.2"/>
    <row r="4518" ht="12.75" x14ac:dyDescent="0.2"/>
    <row r="4519" ht="12.75" x14ac:dyDescent="0.2"/>
    <row r="4520" ht="12.75" x14ac:dyDescent="0.2"/>
    <row r="4521" ht="12.75" x14ac:dyDescent="0.2"/>
    <row r="4522" ht="12.75" x14ac:dyDescent="0.2"/>
    <row r="4523" ht="12.75" x14ac:dyDescent="0.2"/>
    <row r="4524" ht="12.75" x14ac:dyDescent="0.2"/>
    <row r="4525" ht="12.75" x14ac:dyDescent="0.2"/>
    <row r="4526" ht="12.75" x14ac:dyDescent="0.2"/>
    <row r="4527" ht="12.75" x14ac:dyDescent="0.2"/>
    <row r="4528" ht="12.75" x14ac:dyDescent="0.2"/>
    <row r="4529" ht="12.75" x14ac:dyDescent="0.2"/>
    <row r="4530" ht="12.75" x14ac:dyDescent="0.2"/>
    <row r="4531" ht="12.75" x14ac:dyDescent="0.2"/>
    <row r="4532" ht="12.75" x14ac:dyDescent="0.2"/>
    <row r="4533" ht="12.75" x14ac:dyDescent="0.2"/>
    <row r="4534" ht="12.75" x14ac:dyDescent="0.2"/>
    <row r="4535" ht="12.75" x14ac:dyDescent="0.2"/>
    <row r="4536" ht="12.75" x14ac:dyDescent="0.2"/>
    <row r="4537" ht="12.75" x14ac:dyDescent="0.2"/>
    <row r="4538" ht="12.75" x14ac:dyDescent="0.2"/>
    <row r="4539" ht="12.75" x14ac:dyDescent="0.2"/>
    <row r="4540" ht="12.75" x14ac:dyDescent="0.2"/>
    <row r="4541" ht="12.75" x14ac:dyDescent="0.2"/>
    <row r="4542" ht="12.75" x14ac:dyDescent="0.2"/>
    <row r="4543" ht="12.75" x14ac:dyDescent="0.2"/>
    <row r="4544" ht="12.75" x14ac:dyDescent="0.2"/>
    <row r="4545" ht="12.75" x14ac:dyDescent="0.2"/>
    <row r="4546" ht="12.75" x14ac:dyDescent="0.2"/>
    <row r="4547" ht="12.75" x14ac:dyDescent="0.2"/>
    <row r="4548" ht="12.75" x14ac:dyDescent="0.2"/>
    <row r="4549" ht="12.75" x14ac:dyDescent="0.2"/>
    <row r="4550" ht="12.75" x14ac:dyDescent="0.2"/>
    <row r="4551" ht="12.75" x14ac:dyDescent="0.2"/>
    <row r="4552" ht="12.75" x14ac:dyDescent="0.2"/>
    <row r="4553" ht="12.75" x14ac:dyDescent="0.2"/>
    <row r="4554" ht="12.75" x14ac:dyDescent="0.2"/>
    <row r="4555" ht="12.75" x14ac:dyDescent="0.2"/>
    <row r="4556" ht="12.75" x14ac:dyDescent="0.2"/>
    <row r="4557" ht="12.75" x14ac:dyDescent="0.2"/>
    <row r="4558" ht="12.75" x14ac:dyDescent="0.2"/>
    <row r="4559" ht="12.75" x14ac:dyDescent="0.2"/>
    <row r="4560" ht="12.75" x14ac:dyDescent="0.2"/>
    <row r="4561" ht="12.75" x14ac:dyDescent="0.2"/>
    <row r="4562" ht="12.75" x14ac:dyDescent="0.2"/>
    <row r="4563" ht="12.75" x14ac:dyDescent="0.2"/>
    <row r="4564" ht="12.75" x14ac:dyDescent="0.2"/>
    <row r="4565" ht="12.75" x14ac:dyDescent="0.2"/>
    <row r="4566" ht="12.75" x14ac:dyDescent="0.2"/>
    <row r="4567" ht="12.75" x14ac:dyDescent="0.2"/>
    <row r="4568" ht="12.75" x14ac:dyDescent="0.2"/>
    <row r="4569" ht="12.75" x14ac:dyDescent="0.2"/>
    <row r="4570" ht="12.75" x14ac:dyDescent="0.2"/>
    <row r="4571" ht="12.75" x14ac:dyDescent="0.2"/>
    <row r="4572" ht="12.75" x14ac:dyDescent="0.2"/>
    <row r="4573" ht="12.75" x14ac:dyDescent="0.2"/>
    <row r="4574" ht="12.75" x14ac:dyDescent="0.2"/>
    <row r="4575" ht="12.75" x14ac:dyDescent="0.2"/>
    <row r="4576" ht="12.75" x14ac:dyDescent="0.2"/>
    <row r="4577" ht="12.75" x14ac:dyDescent="0.2"/>
    <row r="4578" ht="12.75" x14ac:dyDescent="0.2"/>
    <row r="4579" ht="12.75" x14ac:dyDescent="0.2"/>
    <row r="4580" ht="12.75" x14ac:dyDescent="0.2"/>
    <row r="4581" ht="12.75" x14ac:dyDescent="0.2"/>
    <row r="4582" ht="12.75" x14ac:dyDescent="0.2"/>
    <row r="4583" ht="12.75" x14ac:dyDescent="0.2"/>
    <row r="4584" ht="12.75" x14ac:dyDescent="0.2"/>
    <row r="4585" ht="12.75" x14ac:dyDescent="0.2"/>
    <row r="4586" ht="12.75" x14ac:dyDescent="0.2"/>
    <row r="4587" ht="12.75" x14ac:dyDescent="0.2"/>
    <row r="4588" ht="12.75" x14ac:dyDescent="0.2"/>
    <row r="4589" ht="12.75" x14ac:dyDescent="0.2"/>
    <row r="4590" ht="12.75" x14ac:dyDescent="0.2"/>
    <row r="4591" ht="12.75" x14ac:dyDescent="0.2"/>
    <row r="4592" ht="12.75" x14ac:dyDescent="0.2"/>
    <row r="4593" ht="12.75" x14ac:dyDescent="0.2"/>
    <row r="4594" ht="12.75" x14ac:dyDescent="0.2"/>
    <row r="4595" ht="12.75" x14ac:dyDescent="0.2"/>
    <row r="4596" ht="12.75" x14ac:dyDescent="0.2"/>
    <row r="4597" ht="12.75" x14ac:dyDescent="0.2"/>
    <row r="4598" ht="12.75" x14ac:dyDescent="0.2"/>
    <row r="4599" ht="12.75" x14ac:dyDescent="0.2"/>
    <row r="4600" ht="12.75" x14ac:dyDescent="0.2"/>
    <row r="4601" ht="12.75" x14ac:dyDescent="0.2"/>
    <row r="4602" ht="12.75" x14ac:dyDescent="0.2"/>
    <row r="4603" ht="12.75" x14ac:dyDescent="0.2"/>
    <row r="4604" ht="12.75" x14ac:dyDescent="0.2"/>
    <row r="4605" ht="12.75" x14ac:dyDescent="0.2"/>
    <row r="4606" ht="12.75" x14ac:dyDescent="0.2"/>
    <row r="4607" ht="12.75" x14ac:dyDescent="0.2"/>
    <row r="4608" ht="12.75" x14ac:dyDescent="0.2"/>
    <row r="4609" ht="12.75" x14ac:dyDescent="0.2"/>
    <row r="4610" ht="12.75" x14ac:dyDescent="0.2"/>
    <row r="4611" ht="12.75" x14ac:dyDescent="0.2"/>
    <row r="4612" ht="12.75" x14ac:dyDescent="0.2"/>
    <row r="4613" ht="12.75" x14ac:dyDescent="0.2"/>
    <row r="4614" ht="12.75" x14ac:dyDescent="0.2"/>
    <row r="4615" ht="12.75" x14ac:dyDescent="0.2"/>
    <row r="4616" ht="12.75" x14ac:dyDescent="0.2"/>
    <row r="4617" ht="12.75" x14ac:dyDescent="0.2"/>
    <row r="4618" ht="12.75" x14ac:dyDescent="0.2"/>
    <row r="4619" ht="12.75" x14ac:dyDescent="0.2"/>
    <row r="4620" ht="12.75" x14ac:dyDescent="0.2"/>
    <row r="4621" ht="12.75" x14ac:dyDescent="0.2"/>
    <row r="4622" ht="12.75" x14ac:dyDescent="0.2"/>
    <row r="4623" ht="12.75" x14ac:dyDescent="0.2"/>
    <row r="4624" ht="12.75" x14ac:dyDescent="0.2"/>
    <row r="4625" ht="12.75" x14ac:dyDescent="0.2"/>
    <row r="4626" ht="12.75" x14ac:dyDescent="0.2"/>
    <row r="4627" ht="12.75" x14ac:dyDescent="0.2"/>
    <row r="4628" ht="12.75" x14ac:dyDescent="0.2"/>
    <row r="4629" ht="12.75" x14ac:dyDescent="0.2"/>
    <row r="4630" ht="12.75" x14ac:dyDescent="0.2"/>
    <row r="4631" ht="12.75" x14ac:dyDescent="0.2"/>
    <row r="4632" ht="12.75" x14ac:dyDescent="0.2"/>
    <row r="4633" ht="12.75" x14ac:dyDescent="0.2"/>
    <row r="4634" ht="12.75" x14ac:dyDescent="0.2"/>
    <row r="4635" ht="12.75" x14ac:dyDescent="0.2"/>
    <row r="4636" ht="12.75" x14ac:dyDescent="0.2"/>
    <row r="4637" ht="12.75" x14ac:dyDescent="0.2"/>
    <row r="4638" ht="12.75" x14ac:dyDescent="0.2"/>
    <row r="4639" ht="12.75" x14ac:dyDescent="0.2"/>
    <row r="4640" ht="12.75" x14ac:dyDescent="0.2"/>
    <row r="4641" ht="12.75" x14ac:dyDescent="0.2"/>
    <row r="4642" ht="12.75" x14ac:dyDescent="0.2"/>
    <row r="4643" ht="12.75" x14ac:dyDescent="0.2"/>
    <row r="4644" ht="12.75" x14ac:dyDescent="0.2"/>
    <row r="4645" ht="12.75" x14ac:dyDescent="0.2"/>
    <row r="4646" ht="12.75" x14ac:dyDescent="0.2"/>
    <row r="4647" ht="12.75" x14ac:dyDescent="0.2"/>
    <row r="4648" ht="12.75" x14ac:dyDescent="0.2"/>
    <row r="4649" ht="12.75" x14ac:dyDescent="0.2"/>
    <row r="4650" ht="12.75" x14ac:dyDescent="0.2"/>
    <row r="4651" ht="12.75" x14ac:dyDescent="0.2"/>
    <row r="4652" ht="12.75" x14ac:dyDescent="0.2"/>
    <row r="4653" ht="12.75" x14ac:dyDescent="0.2"/>
    <row r="4654" ht="12.75" x14ac:dyDescent="0.2"/>
    <row r="4655" ht="12.75" x14ac:dyDescent="0.2"/>
    <row r="4656" ht="12.75" x14ac:dyDescent="0.2"/>
    <row r="4657" ht="12.75" x14ac:dyDescent="0.2"/>
    <row r="4658" ht="12.75" x14ac:dyDescent="0.2"/>
    <row r="4659" ht="12.75" x14ac:dyDescent="0.2"/>
    <row r="4660" ht="12.75" x14ac:dyDescent="0.2"/>
    <row r="4661" ht="12.75" x14ac:dyDescent="0.2"/>
    <row r="4662" ht="12.75" x14ac:dyDescent="0.2"/>
    <row r="4663" ht="12.75" x14ac:dyDescent="0.2"/>
    <row r="4664" ht="12.75" x14ac:dyDescent="0.2"/>
    <row r="4665" ht="12.75" x14ac:dyDescent="0.2"/>
    <row r="4666" ht="12.75" x14ac:dyDescent="0.2"/>
    <row r="4667" ht="12.75" x14ac:dyDescent="0.2"/>
    <row r="4668" ht="12.75" x14ac:dyDescent="0.2"/>
    <row r="4669" ht="12.75" x14ac:dyDescent="0.2"/>
    <row r="4670" ht="12.75" x14ac:dyDescent="0.2"/>
    <row r="4671" ht="12.75" x14ac:dyDescent="0.2"/>
    <row r="4672" ht="12.75" x14ac:dyDescent="0.2"/>
    <row r="4673" ht="12.75" x14ac:dyDescent="0.2"/>
    <row r="4674" ht="12.75" x14ac:dyDescent="0.2"/>
    <row r="4675" ht="12.75" x14ac:dyDescent="0.2"/>
    <row r="4676" ht="12.75" x14ac:dyDescent="0.2"/>
    <row r="4677" ht="12.75" x14ac:dyDescent="0.2"/>
    <row r="4678" ht="12.75" x14ac:dyDescent="0.2"/>
    <row r="4679" ht="12.75" x14ac:dyDescent="0.2"/>
    <row r="4680" ht="12.75" x14ac:dyDescent="0.2"/>
    <row r="4681" ht="12.75" x14ac:dyDescent="0.2"/>
    <row r="4682" ht="12.75" x14ac:dyDescent="0.2"/>
    <row r="4683" ht="12.75" x14ac:dyDescent="0.2"/>
    <row r="4684" ht="12.75" x14ac:dyDescent="0.2"/>
    <row r="4685" ht="12.75" x14ac:dyDescent="0.2"/>
    <row r="4686" ht="12.75" x14ac:dyDescent="0.2"/>
    <row r="4687" ht="12.75" x14ac:dyDescent="0.2"/>
    <row r="4688" ht="12.75" x14ac:dyDescent="0.2"/>
    <row r="4689" ht="12.75" x14ac:dyDescent="0.2"/>
    <row r="4690" ht="12.75" x14ac:dyDescent="0.2"/>
    <row r="4691" ht="12.75" x14ac:dyDescent="0.2"/>
    <row r="4692" ht="12.75" x14ac:dyDescent="0.2"/>
    <row r="4693" ht="12.75" x14ac:dyDescent="0.2"/>
    <row r="4694" ht="12.75" x14ac:dyDescent="0.2"/>
    <row r="4695" ht="12.75" x14ac:dyDescent="0.2"/>
    <row r="4696" ht="12.75" x14ac:dyDescent="0.2"/>
    <row r="4697" ht="12.75" x14ac:dyDescent="0.2"/>
    <row r="4698" ht="12.75" x14ac:dyDescent="0.2"/>
    <row r="4699" ht="12.75" x14ac:dyDescent="0.2"/>
    <row r="4700" ht="12.75" x14ac:dyDescent="0.2"/>
    <row r="4701" ht="12.75" x14ac:dyDescent="0.2"/>
    <row r="4702" ht="12.75" x14ac:dyDescent="0.2"/>
    <row r="4703" ht="12.75" x14ac:dyDescent="0.2"/>
    <row r="4704" ht="12.75" x14ac:dyDescent="0.2"/>
    <row r="4705" ht="12.75" x14ac:dyDescent="0.2"/>
    <row r="4706" ht="12.75" x14ac:dyDescent="0.2"/>
    <row r="4707" ht="12.75" x14ac:dyDescent="0.2"/>
    <row r="4708" ht="12.75" x14ac:dyDescent="0.2"/>
    <row r="4709" ht="12.75" x14ac:dyDescent="0.2"/>
    <row r="4710" ht="12.75" x14ac:dyDescent="0.2"/>
    <row r="4711" ht="12.75" x14ac:dyDescent="0.2"/>
    <row r="4712" ht="12.75" x14ac:dyDescent="0.2"/>
    <row r="4713" ht="12.75" x14ac:dyDescent="0.2"/>
    <row r="4714" ht="12.75" x14ac:dyDescent="0.2"/>
    <row r="4715" ht="12.75" x14ac:dyDescent="0.2"/>
    <row r="4716" ht="12.75" x14ac:dyDescent="0.2"/>
    <row r="4717" ht="12.75" x14ac:dyDescent="0.2"/>
    <row r="4718" ht="12.75" x14ac:dyDescent="0.2"/>
    <row r="4719" ht="12.75" x14ac:dyDescent="0.2"/>
    <row r="4720" ht="12.75" x14ac:dyDescent="0.2"/>
    <row r="4721" ht="12.75" x14ac:dyDescent="0.2"/>
    <row r="4722" ht="12.75" x14ac:dyDescent="0.2"/>
    <row r="4723" ht="12.75" x14ac:dyDescent="0.2"/>
    <row r="4724" ht="12.75" x14ac:dyDescent="0.2"/>
    <row r="4725" ht="12.75" x14ac:dyDescent="0.2"/>
    <row r="4726" ht="12.75" x14ac:dyDescent="0.2"/>
    <row r="4727" ht="12.75" x14ac:dyDescent="0.2"/>
    <row r="4728" ht="12.75" x14ac:dyDescent="0.2"/>
    <row r="4729" ht="12.75" x14ac:dyDescent="0.2"/>
    <row r="4730" ht="12.75" x14ac:dyDescent="0.2"/>
    <row r="4731" ht="12.75" x14ac:dyDescent="0.2"/>
    <row r="4732" ht="12.75" x14ac:dyDescent="0.2"/>
    <row r="4733" ht="12.75" x14ac:dyDescent="0.2"/>
    <row r="4734" ht="12.75" x14ac:dyDescent="0.2"/>
    <row r="4735" ht="12.75" x14ac:dyDescent="0.2"/>
    <row r="4736" ht="12.75" x14ac:dyDescent="0.2"/>
    <row r="4737" ht="12.75" x14ac:dyDescent="0.2"/>
    <row r="4738" ht="12.75" x14ac:dyDescent="0.2"/>
    <row r="4739" ht="12.75" x14ac:dyDescent="0.2"/>
    <row r="4740" ht="12.75" x14ac:dyDescent="0.2"/>
    <row r="4741" ht="12.75" x14ac:dyDescent="0.2"/>
    <row r="4742" ht="12.75" x14ac:dyDescent="0.2"/>
    <row r="4743" ht="12.75" x14ac:dyDescent="0.2"/>
    <row r="4744" ht="12.75" x14ac:dyDescent="0.2"/>
    <row r="4745" ht="12.75" x14ac:dyDescent="0.2"/>
    <row r="4746" ht="12.75" x14ac:dyDescent="0.2"/>
    <row r="4747" ht="12.75" x14ac:dyDescent="0.2"/>
    <row r="4748" ht="12.75" x14ac:dyDescent="0.2"/>
    <row r="4749" ht="12.75" x14ac:dyDescent="0.2"/>
    <row r="4750" ht="12.75" x14ac:dyDescent="0.2"/>
    <row r="4751" ht="12.75" x14ac:dyDescent="0.2"/>
    <row r="4752" ht="12.75" x14ac:dyDescent="0.2"/>
    <row r="4753" ht="12.75" x14ac:dyDescent="0.2"/>
    <row r="4754" ht="12.75" x14ac:dyDescent="0.2"/>
    <row r="4755" ht="12.75" x14ac:dyDescent="0.2"/>
    <row r="4756" ht="12.75" x14ac:dyDescent="0.2"/>
    <row r="4757" ht="12.75" x14ac:dyDescent="0.2"/>
    <row r="4758" ht="12.75" x14ac:dyDescent="0.2"/>
    <row r="4759" ht="12.75" x14ac:dyDescent="0.2"/>
    <row r="4760" ht="12.75" x14ac:dyDescent="0.2"/>
    <row r="4761" ht="12.75" x14ac:dyDescent="0.2"/>
    <row r="4762" ht="12.75" x14ac:dyDescent="0.2"/>
    <row r="4763" ht="12.75" x14ac:dyDescent="0.2"/>
    <row r="4764" ht="12.75" x14ac:dyDescent="0.2"/>
    <row r="4765" ht="12.75" x14ac:dyDescent="0.2"/>
    <row r="4766" ht="12.75" x14ac:dyDescent="0.2"/>
    <row r="4767" ht="12.75" x14ac:dyDescent="0.2"/>
    <row r="4768" ht="12.75" x14ac:dyDescent="0.2"/>
    <row r="4769" ht="12.75" x14ac:dyDescent="0.2"/>
    <row r="4770" ht="12.75" x14ac:dyDescent="0.2"/>
    <row r="4771" ht="12.75" x14ac:dyDescent="0.2"/>
    <row r="4772" ht="12.75" x14ac:dyDescent="0.2"/>
    <row r="4773" ht="12.75" x14ac:dyDescent="0.2"/>
    <row r="4774" ht="12.75" x14ac:dyDescent="0.2"/>
    <row r="4775" ht="12.75" x14ac:dyDescent="0.2"/>
    <row r="4776" ht="12.75" x14ac:dyDescent="0.2"/>
    <row r="4777" ht="12.75" x14ac:dyDescent="0.2"/>
    <row r="4778" ht="12.75" x14ac:dyDescent="0.2"/>
    <row r="4779" ht="12.75" x14ac:dyDescent="0.2"/>
    <row r="4780" ht="12.75" x14ac:dyDescent="0.2"/>
    <row r="4781" ht="12.75" x14ac:dyDescent="0.2"/>
    <row r="4782" ht="12.75" x14ac:dyDescent="0.2"/>
    <row r="4783" ht="12.75" x14ac:dyDescent="0.2"/>
    <row r="4784" ht="12.75" x14ac:dyDescent="0.2"/>
    <row r="4785" ht="12.75" x14ac:dyDescent="0.2"/>
    <row r="4786" ht="12.75" x14ac:dyDescent="0.2"/>
    <row r="4787" ht="12.75" x14ac:dyDescent="0.2"/>
    <row r="4788" ht="12.75" x14ac:dyDescent="0.2"/>
    <row r="4789" ht="12.75" x14ac:dyDescent="0.2"/>
    <row r="4790" ht="12.75" x14ac:dyDescent="0.2"/>
    <row r="4791" ht="12.75" x14ac:dyDescent="0.2"/>
    <row r="4792" ht="12.75" x14ac:dyDescent="0.2"/>
    <row r="4793" ht="12.75" x14ac:dyDescent="0.2"/>
    <row r="4794" ht="12.75" x14ac:dyDescent="0.2"/>
    <row r="4795" ht="12.75" x14ac:dyDescent="0.2"/>
    <row r="4796" ht="12.75" x14ac:dyDescent="0.2"/>
    <row r="4797" ht="12.75" x14ac:dyDescent="0.2"/>
    <row r="4798" ht="12.75" x14ac:dyDescent="0.2"/>
    <row r="4799" ht="12.75" x14ac:dyDescent="0.2"/>
    <row r="4800" ht="12.75" x14ac:dyDescent="0.2"/>
    <row r="4801" ht="12.75" x14ac:dyDescent="0.2"/>
    <row r="4802" ht="12.75" x14ac:dyDescent="0.2"/>
    <row r="4803" ht="12.75" x14ac:dyDescent="0.2"/>
    <row r="4804" ht="12.75" x14ac:dyDescent="0.2"/>
    <row r="4805" ht="12.75" x14ac:dyDescent="0.2"/>
    <row r="4806" ht="12.75" x14ac:dyDescent="0.2"/>
    <row r="4807" ht="12.75" x14ac:dyDescent="0.2"/>
    <row r="4808" ht="12.75" x14ac:dyDescent="0.2"/>
    <row r="4809" ht="12.75" x14ac:dyDescent="0.2"/>
    <row r="4810" ht="12.75" x14ac:dyDescent="0.2"/>
    <row r="4811" ht="12.75" x14ac:dyDescent="0.2"/>
    <row r="4812" ht="12.75" x14ac:dyDescent="0.2"/>
    <row r="4813" ht="12.75" x14ac:dyDescent="0.2"/>
    <row r="4814" ht="12.75" x14ac:dyDescent="0.2"/>
    <row r="4815" ht="12.75" x14ac:dyDescent="0.2"/>
    <row r="4816" ht="12.75" x14ac:dyDescent="0.2"/>
    <row r="4817" ht="12.75" x14ac:dyDescent="0.2"/>
    <row r="4818" ht="12.75" x14ac:dyDescent="0.2"/>
    <row r="4819" ht="12.75" x14ac:dyDescent="0.2"/>
    <row r="4820" ht="12.75" x14ac:dyDescent="0.2"/>
    <row r="4821" ht="12.75" x14ac:dyDescent="0.2"/>
    <row r="4822" ht="12.75" x14ac:dyDescent="0.2"/>
    <row r="4823" ht="12.75" x14ac:dyDescent="0.2"/>
    <row r="4824" ht="12.75" x14ac:dyDescent="0.2"/>
    <row r="4825" ht="12.75" x14ac:dyDescent="0.2"/>
    <row r="4826" ht="12.75" x14ac:dyDescent="0.2"/>
    <row r="4827" ht="12.75" x14ac:dyDescent="0.2"/>
    <row r="4828" ht="12.75" x14ac:dyDescent="0.2"/>
    <row r="4829" ht="12.75" x14ac:dyDescent="0.2"/>
    <row r="4830" ht="12.75" x14ac:dyDescent="0.2"/>
    <row r="4831" ht="12.75" x14ac:dyDescent="0.2"/>
    <row r="4832" ht="12.75" x14ac:dyDescent="0.2"/>
    <row r="4833" ht="12.75" x14ac:dyDescent="0.2"/>
    <row r="4834" ht="12.75" x14ac:dyDescent="0.2"/>
    <row r="4835" ht="12.75" x14ac:dyDescent="0.2"/>
    <row r="4836" ht="12.75" x14ac:dyDescent="0.2"/>
    <row r="4837" ht="12.75" x14ac:dyDescent="0.2"/>
    <row r="4838" ht="12.75" x14ac:dyDescent="0.2"/>
    <row r="4839" ht="12.75" x14ac:dyDescent="0.2"/>
    <row r="4840" ht="12.75" x14ac:dyDescent="0.2"/>
    <row r="4841" ht="12.75" x14ac:dyDescent="0.2"/>
    <row r="4842" ht="12.75" x14ac:dyDescent="0.2"/>
    <row r="4843" ht="12.75" x14ac:dyDescent="0.2"/>
    <row r="4844" ht="12.75" x14ac:dyDescent="0.2"/>
    <row r="4845" ht="12.75" x14ac:dyDescent="0.2"/>
    <row r="4846" ht="12.75" x14ac:dyDescent="0.2"/>
    <row r="4847" ht="12.75" x14ac:dyDescent="0.2"/>
    <row r="4848" ht="12.75" x14ac:dyDescent="0.2"/>
    <row r="4849" ht="12.75" x14ac:dyDescent="0.2"/>
    <row r="4850" ht="12.75" x14ac:dyDescent="0.2"/>
    <row r="4851" ht="12.75" x14ac:dyDescent="0.2"/>
    <row r="4852" ht="12.75" x14ac:dyDescent="0.2"/>
    <row r="4853" ht="12.75" x14ac:dyDescent="0.2"/>
    <row r="4854" ht="12.75" x14ac:dyDescent="0.2"/>
    <row r="4855" ht="12.75" x14ac:dyDescent="0.2"/>
    <row r="4856" ht="12.75" x14ac:dyDescent="0.2"/>
    <row r="4857" ht="12.75" x14ac:dyDescent="0.2"/>
    <row r="4858" ht="12.75" x14ac:dyDescent="0.2"/>
    <row r="4859" ht="12.75" x14ac:dyDescent="0.2"/>
    <row r="4860" ht="12.75" x14ac:dyDescent="0.2"/>
    <row r="4861" ht="12.75" x14ac:dyDescent="0.2"/>
    <row r="4862" ht="12.75" x14ac:dyDescent="0.2"/>
    <row r="4863" ht="12.75" x14ac:dyDescent="0.2"/>
    <row r="4864" ht="12.75" x14ac:dyDescent="0.2"/>
    <row r="4865" ht="12.75" x14ac:dyDescent="0.2"/>
    <row r="4866" ht="12.75" x14ac:dyDescent="0.2"/>
    <row r="4867" ht="12.75" x14ac:dyDescent="0.2"/>
    <row r="4868" ht="12.75" x14ac:dyDescent="0.2"/>
    <row r="4869" ht="12.75" x14ac:dyDescent="0.2"/>
    <row r="4870" ht="12.75" x14ac:dyDescent="0.2"/>
    <row r="4871" ht="12.75" x14ac:dyDescent="0.2"/>
    <row r="4872" ht="12.75" x14ac:dyDescent="0.2"/>
    <row r="4873" ht="12.75" x14ac:dyDescent="0.2"/>
    <row r="4874" ht="12.75" x14ac:dyDescent="0.2"/>
    <row r="4875" ht="12.75" x14ac:dyDescent="0.2"/>
    <row r="4876" ht="12.75" x14ac:dyDescent="0.2"/>
    <row r="4877" ht="12.75" x14ac:dyDescent="0.2"/>
    <row r="4878" ht="12.75" x14ac:dyDescent="0.2"/>
    <row r="4879" ht="12.75" x14ac:dyDescent="0.2"/>
    <row r="4880" ht="12.75" x14ac:dyDescent="0.2"/>
    <row r="4881" ht="12.75" x14ac:dyDescent="0.2"/>
    <row r="4882" ht="12.75" x14ac:dyDescent="0.2"/>
    <row r="4883" ht="12.75" x14ac:dyDescent="0.2"/>
    <row r="4884" ht="12.75" x14ac:dyDescent="0.2"/>
    <row r="4885" ht="12.75" x14ac:dyDescent="0.2"/>
    <row r="4886" ht="12.75" x14ac:dyDescent="0.2"/>
    <row r="4887" ht="12.75" x14ac:dyDescent="0.2"/>
    <row r="4888" ht="12.75" x14ac:dyDescent="0.2"/>
    <row r="4889" ht="12.75" x14ac:dyDescent="0.2"/>
    <row r="4890" ht="12.75" x14ac:dyDescent="0.2"/>
    <row r="4891" ht="12.75" x14ac:dyDescent="0.2"/>
    <row r="4892" ht="12.75" x14ac:dyDescent="0.2"/>
    <row r="4893" ht="12.75" x14ac:dyDescent="0.2"/>
    <row r="4894" ht="12.75" x14ac:dyDescent="0.2"/>
    <row r="4895" ht="12.75" x14ac:dyDescent="0.2"/>
    <row r="4896" ht="12.75" x14ac:dyDescent="0.2"/>
    <row r="4897" ht="12.75" x14ac:dyDescent="0.2"/>
    <row r="4898" ht="12.75" x14ac:dyDescent="0.2"/>
    <row r="4899" ht="12.75" x14ac:dyDescent="0.2"/>
    <row r="4900" ht="12.75" x14ac:dyDescent="0.2"/>
    <row r="4901" ht="12.75" x14ac:dyDescent="0.2"/>
    <row r="4902" ht="12.75" x14ac:dyDescent="0.2"/>
    <row r="4903" ht="12.75" x14ac:dyDescent="0.2"/>
    <row r="4904" ht="12.75" x14ac:dyDescent="0.2"/>
    <row r="4905" ht="12.75" x14ac:dyDescent="0.2"/>
    <row r="4906" ht="12.75" x14ac:dyDescent="0.2"/>
    <row r="4907" ht="12.75" x14ac:dyDescent="0.2"/>
    <row r="4908" ht="12.75" x14ac:dyDescent="0.2"/>
    <row r="4909" ht="12.75" x14ac:dyDescent="0.2"/>
    <row r="4910" ht="12.75" x14ac:dyDescent="0.2"/>
    <row r="4911" ht="12.75" x14ac:dyDescent="0.2"/>
    <row r="4912" ht="12.75" x14ac:dyDescent="0.2"/>
    <row r="4913" ht="12.75" x14ac:dyDescent="0.2"/>
    <row r="4914" ht="12.75" x14ac:dyDescent="0.2"/>
    <row r="4915" ht="12.75" x14ac:dyDescent="0.2"/>
    <row r="4916" ht="12.75" x14ac:dyDescent="0.2"/>
    <row r="4917" ht="12.75" x14ac:dyDescent="0.2"/>
    <row r="4918" ht="12.75" x14ac:dyDescent="0.2"/>
    <row r="4919" ht="12.75" x14ac:dyDescent="0.2"/>
    <row r="4920" ht="12.75" x14ac:dyDescent="0.2"/>
    <row r="4921" ht="12.75" x14ac:dyDescent="0.2"/>
    <row r="4922" ht="12.75" x14ac:dyDescent="0.2"/>
    <row r="4923" ht="12.75" x14ac:dyDescent="0.2"/>
    <row r="4924" ht="12.75" x14ac:dyDescent="0.2"/>
    <row r="4925" ht="12.75" x14ac:dyDescent="0.2"/>
    <row r="4926" ht="12.75" x14ac:dyDescent="0.2"/>
    <row r="4927" ht="12.75" x14ac:dyDescent="0.2"/>
    <row r="4928" ht="12.75" x14ac:dyDescent="0.2"/>
    <row r="4929" ht="12.75" x14ac:dyDescent="0.2"/>
    <row r="4930" ht="12.75" x14ac:dyDescent="0.2"/>
    <row r="4931" ht="12.75" x14ac:dyDescent="0.2"/>
    <row r="4932" ht="12.75" x14ac:dyDescent="0.2"/>
    <row r="4933" ht="12.75" x14ac:dyDescent="0.2"/>
    <row r="4934" ht="12.75" x14ac:dyDescent="0.2"/>
    <row r="4935" ht="12.75" x14ac:dyDescent="0.2"/>
    <row r="4936" ht="12.75" x14ac:dyDescent="0.2"/>
    <row r="4937" ht="12.75" x14ac:dyDescent="0.2"/>
    <row r="4938" ht="12.75" x14ac:dyDescent="0.2"/>
    <row r="4939" ht="12.75" x14ac:dyDescent="0.2"/>
    <row r="4940" ht="12.75" x14ac:dyDescent="0.2"/>
    <row r="4941" ht="12.75" x14ac:dyDescent="0.2"/>
    <row r="4942" ht="12.75" x14ac:dyDescent="0.2"/>
    <row r="4943" ht="12.75" x14ac:dyDescent="0.2"/>
    <row r="4944" ht="12.75" x14ac:dyDescent="0.2"/>
    <row r="4945" ht="12.75" x14ac:dyDescent="0.2"/>
    <row r="4946" ht="12.75" x14ac:dyDescent="0.2"/>
    <row r="4947" ht="12.75" x14ac:dyDescent="0.2"/>
    <row r="4948" ht="12.75" x14ac:dyDescent="0.2"/>
    <row r="4949" ht="12.75" x14ac:dyDescent="0.2"/>
    <row r="4950" ht="12.75" x14ac:dyDescent="0.2"/>
    <row r="4951" ht="12.75" x14ac:dyDescent="0.2"/>
    <row r="4952" ht="12.75" x14ac:dyDescent="0.2"/>
    <row r="4953" ht="12.75" x14ac:dyDescent="0.2"/>
    <row r="4954" ht="12.75" x14ac:dyDescent="0.2"/>
    <row r="4955" ht="12.75" x14ac:dyDescent="0.2"/>
    <row r="4956" ht="12.75" x14ac:dyDescent="0.2"/>
    <row r="4957" ht="12.75" x14ac:dyDescent="0.2"/>
    <row r="4958" ht="12.75" x14ac:dyDescent="0.2"/>
    <row r="4959" ht="12.75" x14ac:dyDescent="0.2"/>
    <row r="4960" ht="12.75" x14ac:dyDescent="0.2"/>
    <row r="4961" ht="12.75" x14ac:dyDescent="0.2"/>
    <row r="4962" ht="12.75" x14ac:dyDescent="0.2"/>
    <row r="4963" ht="12.75" x14ac:dyDescent="0.2"/>
    <row r="4964" ht="12.75" x14ac:dyDescent="0.2"/>
    <row r="4965" ht="12.75" x14ac:dyDescent="0.2"/>
    <row r="4966" ht="12.75" x14ac:dyDescent="0.2"/>
    <row r="4967" ht="12.75" x14ac:dyDescent="0.2"/>
    <row r="4968" ht="12.75" x14ac:dyDescent="0.2"/>
    <row r="4969" ht="12.75" x14ac:dyDescent="0.2"/>
    <row r="4970" ht="12.75" x14ac:dyDescent="0.2"/>
    <row r="4971" ht="12.75" x14ac:dyDescent="0.2"/>
    <row r="4972" ht="12.75" x14ac:dyDescent="0.2"/>
    <row r="4973" ht="12.75" x14ac:dyDescent="0.2"/>
    <row r="4974" ht="12.75" x14ac:dyDescent="0.2"/>
    <row r="4975" ht="12.75" x14ac:dyDescent="0.2"/>
    <row r="4976" ht="12.75" x14ac:dyDescent="0.2"/>
    <row r="4977" ht="12.75" x14ac:dyDescent="0.2"/>
    <row r="4978" ht="12.75" x14ac:dyDescent="0.2"/>
    <row r="4979" ht="12.75" x14ac:dyDescent="0.2"/>
    <row r="4980" ht="12.75" x14ac:dyDescent="0.2"/>
    <row r="4981" ht="12.75" x14ac:dyDescent="0.2"/>
    <row r="4982" ht="12.75" x14ac:dyDescent="0.2"/>
    <row r="4983" ht="12.75" x14ac:dyDescent="0.2"/>
    <row r="4984" ht="12.75" x14ac:dyDescent="0.2"/>
    <row r="4985" ht="12.75" x14ac:dyDescent="0.2"/>
    <row r="4986" ht="12.75" x14ac:dyDescent="0.2"/>
    <row r="4987" ht="12.75" x14ac:dyDescent="0.2"/>
    <row r="4988" ht="12.75" x14ac:dyDescent="0.2"/>
    <row r="4989" ht="12.75" x14ac:dyDescent="0.2"/>
    <row r="4990" ht="12.75" x14ac:dyDescent="0.2"/>
    <row r="4991" ht="12.75" x14ac:dyDescent="0.2"/>
    <row r="4992" ht="12.75" x14ac:dyDescent="0.2"/>
    <row r="4993" ht="12.75" x14ac:dyDescent="0.2"/>
    <row r="4994" ht="12.75" x14ac:dyDescent="0.2"/>
    <row r="4995" ht="12.75" x14ac:dyDescent="0.2"/>
    <row r="4996" ht="12.75" x14ac:dyDescent="0.2"/>
    <row r="4997" ht="12.75" x14ac:dyDescent="0.2"/>
    <row r="4998" ht="12.75" x14ac:dyDescent="0.2"/>
    <row r="4999" ht="12.75" x14ac:dyDescent="0.2"/>
    <row r="5000" ht="12.75" x14ac:dyDescent="0.2"/>
    <row r="5001" ht="12.75" x14ac:dyDescent="0.2"/>
    <row r="5002" ht="12.75" x14ac:dyDescent="0.2"/>
    <row r="5003" ht="12.75" x14ac:dyDescent="0.2"/>
    <row r="5004" ht="12.75" x14ac:dyDescent="0.2"/>
    <row r="5005" ht="12.75" x14ac:dyDescent="0.2"/>
    <row r="5006" ht="12.75" x14ac:dyDescent="0.2"/>
    <row r="5007" ht="12.75" x14ac:dyDescent="0.2"/>
    <row r="5008" ht="12.75" x14ac:dyDescent="0.2"/>
    <row r="5009" ht="12.75" x14ac:dyDescent="0.2"/>
    <row r="5010" ht="12.75" x14ac:dyDescent="0.2"/>
    <row r="5011" ht="12.75" x14ac:dyDescent="0.2"/>
    <row r="5012" ht="12.75" x14ac:dyDescent="0.2"/>
    <row r="5013" ht="12.75" x14ac:dyDescent="0.2"/>
    <row r="5014" ht="12.75" x14ac:dyDescent="0.2"/>
    <row r="5015" ht="12.75" x14ac:dyDescent="0.2"/>
    <row r="5016" ht="12.75" x14ac:dyDescent="0.2"/>
    <row r="5017" ht="12.75" x14ac:dyDescent="0.2"/>
    <row r="5018" ht="12.75" x14ac:dyDescent="0.2"/>
    <row r="5019" ht="12.75" x14ac:dyDescent="0.2"/>
    <row r="5020" ht="12.75" x14ac:dyDescent="0.2"/>
    <row r="5021" ht="12.75" x14ac:dyDescent="0.2"/>
    <row r="5022" ht="12.75" x14ac:dyDescent="0.2"/>
    <row r="5023" ht="12.75" x14ac:dyDescent="0.2"/>
    <row r="5024" ht="12.75" x14ac:dyDescent="0.2"/>
    <row r="5025" ht="12.75" x14ac:dyDescent="0.2"/>
    <row r="5026" ht="12.75" x14ac:dyDescent="0.2"/>
    <row r="5027" ht="12.75" x14ac:dyDescent="0.2"/>
    <row r="5028" ht="12.75" x14ac:dyDescent="0.2"/>
    <row r="5029" ht="12.75" x14ac:dyDescent="0.2"/>
    <row r="5030" ht="12.75" x14ac:dyDescent="0.2"/>
    <row r="5031" ht="12.75" x14ac:dyDescent="0.2"/>
    <row r="5032" ht="12.75" x14ac:dyDescent="0.2"/>
    <row r="5033" ht="12.75" x14ac:dyDescent="0.2"/>
    <row r="5034" ht="12.75" x14ac:dyDescent="0.2"/>
    <row r="5035" ht="12.75" x14ac:dyDescent="0.2"/>
    <row r="5036" ht="12.75" x14ac:dyDescent="0.2"/>
    <row r="5037" ht="12.75" x14ac:dyDescent="0.2"/>
    <row r="5038" ht="12.75" x14ac:dyDescent="0.2"/>
    <row r="5039" ht="12.75" x14ac:dyDescent="0.2"/>
    <row r="5040" ht="12.75" x14ac:dyDescent="0.2"/>
    <row r="5041" ht="12.75" x14ac:dyDescent="0.2"/>
    <row r="5042" ht="12.75" x14ac:dyDescent="0.2"/>
    <row r="5043" ht="12.75" x14ac:dyDescent="0.2"/>
    <row r="5044" ht="12.75" x14ac:dyDescent="0.2"/>
    <row r="5045" ht="12.75" x14ac:dyDescent="0.2"/>
    <row r="5046" ht="12.75" x14ac:dyDescent="0.2"/>
    <row r="5047" ht="12.75" x14ac:dyDescent="0.2"/>
    <row r="5048" ht="12.75" x14ac:dyDescent="0.2"/>
    <row r="5049" ht="12.75" x14ac:dyDescent="0.2"/>
    <row r="5050" ht="12.75" x14ac:dyDescent="0.2"/>
    <row r="5051" ht="12.75" x14ac:dyDescent="0.2"/>
    <row r="5052" ht="12.75" x14ac:dyDescent="0.2"/>
    <row r="5053" ht="12.75" x14ac:dyDescent="0.2"/>
    <row r="5054" ht="12.75" x14ac:dyDescent="0.2"/>
    <row r="5055" ht="12.75" x14ac:dyDescent="0.2"/>
    <row r="5056" ht="12.75" x14ac:dyDescent="0.2"/>
    <row r="5057" ht="12.75" x14ac:dyDescent="0.2"/>
    <row r="5058" ht="12.75" x14ac:dyDescent="0.2"/>
    <row r="5059" ht="12.75" x14ac:dyDescent="0.2"/>
    <row r="5060" ht="12.75" x14ac:dyDescent="0.2"/>
    <row r="5061" ht="12.75" x14ac:dyDescent="0.2"/>
    <row r="5062" ht="12.75" x14ac:dyDescent="0.2"/>
    <row r="5063" ht="12.75" x14ac:dyDescent="0.2"/>
    <row r="5064" ht="12.75" x14ac:dyDescent="0.2"/>
    <row r="5065" ht="12.75" x14ac:dyDescent="0.2"/>
    <row r="5066" ht="12.75" x14ac:dyDescent="0.2"/>
    <row r="5067" ht="12.75" x14ac:dyDescent="0.2"/>
    <row r="5068" ht="12.75" x14ac:dyDescent="0.2"/>
    <row r="5069" ht="12.75" x14ac:dyDescent="0.2"/>
    <row r="5070" ht="12.75" x14ac:dyDescent="0.2"/>
    <row r="5071" ht="12.75" x14ac:dyDescent="0.2"/>
    <row r="5072" ht="12.75" x14ac:dyDescent="0.2"/>
    <row r="5073" ht="12.75" x14ac:dyDescent="0.2"/>
    <row r="5074" ht="12.75" x14ac:dyDescent="0.2"/>
    <row r="5075" ht="12.75" x14ac:dyDescent="0.2"/>
    <row r="5076" ht="12.75" x14ac:dyDescent="0.2"/>
    <row r="5077" ht="12.75" x14ac:dyDescent="0.2"/>
    <row r="5078" ht="12.75" x14ac:dyDescent="0.2"/>
    <row r="5079" ht="12.75" x14ac:dyDescent="0.2"/>
    <row r="5080" ht="12.75" x14ac:dyDescent="0.2"/>
    <row r="5081" ht="12.75" x14ac:dyDescent="0.2"/>
    <row r="5082" ht="12.75" x14ac:dyDescent="0.2"/>
    <row r="5083" ht="12.75" x14ac:dyDescent="0.2"/>
    <row r="5084" ht="12.75" x14ac:dyDescent="0.2"/>
    <row r="5085" ht="12.75" x14ac:dyDescent="0.2"/>
    <row r="5086" ht="12.75" x14ac:dyDescent="0.2"/>
    <row r="5087" ht="12.75" x14ac:dyDescent="0.2"/>
    <row r="5088" ht="12.75" x14ac:dyDescent="0.2"/>
    <row r="5089" ht="12.75" x14ac:dyDescent="0.2"/>
    <row r="5090" ht="12.75" x14ac:dyDescent="0.2"/>
    <row r="5091" ht="12.75" x14ac:dyDescent="0.2"/>
    <row r="5092" ht="12.75" x14ac:dyDescent="0.2"/>
    <row r="5093" ht="12.75" x14ac:dyDescent="0.2"/>
    <row r="5094" ht="12.75" x14ac:dyDescent="0.2"/>
    <row r="5095" ht="12.75" x14ac:dyDescent="0.2"/>
    <row r="5096" ht="12.75" x14ac:dyDescent="0.2"/>
    <row r="5097" ht="12.75" x14ac:dyDescent="0.2"/>
    <row r="5098" ht="12.75" x14ac:dyDescent="0.2"/>
    <row r="5099" ht="12.75" x14ac:dyDescent="0.2"/>
    <row r="5100" ht="12.75" x14ac:dyDescent="0.2"/>
    <row r="5101" ht="12.75" x14ac:dyDescent="0.2"/>
    <row r="5102" ht="12.75" x14ac:dyDescent="0.2"/>
    <row r="5103" ht="12.75" x14ac:dyDescent="0.2"/>
    <row r="5104" ht="12.75" x14ac:dyDescent="0.2"/>
    <row r="5105" ht="12.75" x14ac:dyDescent="0.2"/>
    <row r="5106" ht="12.75" x14ac:dyDescent="0.2"/>
    <row r="5107" ht="12.75" x14ac:dyDescent="0.2"/>
    <row r="5108" ht="12.75" x14ac:dyDescent="0.2"/>
    <row r="5109" ht="12.75" x14ac:dyDescent="0.2"/>
    <row r="5110" ht="12.75" x14ac:dyDescent="0.2"/>
    <row r="5111" ht="12.75" x14ac:dyDescent="0.2"/>
    <row r="5112" ht="12.75" x14ac:dyDescent="0.2"/>
    <row r="5113" ht="12.75" x14ac:dyDescent="0.2"/>
    <row r="5114" ht="12.75" x14ac:dyDescent="0.2"/>
    <row r="5115" ht="12.75" x14ac:dyDescent="0.2"/>
    <row r="5116" ht="12.75" x14ac:dyDescent="0.2"/>
    <row r="5117" ht="12.75" x14ac:dyDescent="0.2"/>
    <row r="5118" ht="12.75" x14ac:dyDescent="0.2"/>
    <row r="5119" ht="12.75" x14ac:dyDescent="0.2"/>
    <row r="5120" ht="12.75" x14ac:dyDescent="0.2"/>
    <row r="5121" ht="12.75" x14ac:dyDescent="0.2"/>
    <row r="5122" ht="12.75" x14ac:dyDescent="0.2"/>
    <row r="5123" ht="12.75" x14ac:dyDescent="0.2"/>
    <row r="5124" ht="12.75" x14ac:dyDescent="0.2"/>
    <row r="5125" ht="12.75" x14ac:dyDescent="0.2"/>
    <row r="5126" ht="12.75" x14ac:dyDescent="0.2"/>
    <row r="5127" ht="12.75" x14ac:dyDescent="0.2"/>
    <row r="5128" ht="12.75" x14ac:dyDescent="0.2"/>
    <row r="5129" ht="12.75" x14ac:dyDescent="0.2"/>
    <row r="5130" ht="12.75" x14ac:dyDescent="0.2"/>
    <row r="5131" ht="12.75" x14ac:dyDescent="0.2"/>
    <row r="5132" ht="12.75" x14ac:dyDescent="0.2"/>
    <row r="5133" ht="12.75" x14ac:dyDescent="0.2"/>
    <row r="5134" ht="12.75" x14ac:dyDescent="0.2"/>
    <row r="5135" ht="12.75" x14ac:dyDescent="0.2"/>
    <row r="5136" ht="12.75" x14ac:dyDescent="0.2"/>
    <row r="5137" ht="12.75" x14ac:dyDescent="0.2"/>
    <row r="5138" ht="12.75" x14ac:dyDescent="0.2"/>
    <row r="5139" ht="12.75" x14ac:dyDescent="0.2"/>
    <row r="5140" ht="12.75" x14ac:dyDescent="0.2"/>
    <row r="5141" ht="12.75" x14ac:dyDescent="0.2"/>
    <row r="5142" ht="12.75" x14ac:dyDescent="0.2"/>
    <row r="5143" ht="12.75" x14ac:dyDescent="0.2"/>
    <row r="5144" ht="12.75" x14ac:dyDescent="0.2"/>
    <row r="5145" ht="12.75" x14ac:dyDescent="0.2"/>
    <row r="5146" ht="12.75" x14ac:dyDescent="0.2"/>
    <row r="5147" ht="12.75" x14ac:dyDescent="0.2"/>
    <row r="5148" ht="12.75" x14ac:dyDescent="0.2"/>
    <row r="5149" ht="12.75" x14ac:dyDescent="0.2"/>
    <row r="5150" ht="12.75" x14ac:dyDescent="0.2"/>
    <row r="5151" ht="12.75" x14ac:dyDescent="0.2"/>
    <row r="5152" ht="12.75" x14ac:dyDescent="0.2"/>
    <row r="5153" ht="12.75" x14ac:dyDescent="0.2"/>
    <row r="5154" ht="12.75" x14ac:dyDescent="0.2"/>
    <row r="5155" ht="12.75" x14ac:dyDescent="0.2"/>
    <row r="5156" ht="12.75" x14ac:dyDescent="0.2"/>
    <row r="5157" ht="12.75" x14ac:dyDescent="0.2"/>
    <row r="5158" ht="12.75" x14ac:dyDescent="0.2"/>
    <row r="5159" ht="12.75" x14ac:dyDescent="0.2"/>
    <row r="5160" ht="12.75" x14ac:dyDescent="0.2"/>
    <row r="5161" ht="12.75" x14ac:dyDescent="0.2"/>
    <row r="5162" ht="12.75" x14ac:dyDescent="0.2"/>
    <row r="5163" ht="12.75" x14ac:dyDescent="0.2"/>
    <row r="5164" ht="12.75" x14ac:dyDescent="0.2"/>
    <row r="5165" ht="12.75" x14ac:dyDescent="0.2"/>
    <row r="5166" ht="12.75" x14ac:dyDescent="0.2"/>
    <row r="5167" ht="12.75" x14ac:dyDescent="0.2"/>
    <row r="5168" ht="12.75" x14ac:dyDescent="0.2"/>
    <row r="5169" ht="12.75" x14ac:dyDescent="0.2"/>
    <row r="5170" ht="12.75" x14ac:dyDescent="0.2"/>
    <row r="5171" ht="12.75" x14ac:dyDescent="0.2"/>
    <row r="5172" ht="12.75" x14ac:dyDescent="0.2"/>
    <row r="5173" ht="12.75" x14ac:dyDescent="0.2"/>
    <row r="5174" ht="12.75" x14ac:dyDescent="0.2"/>
    <row r="5175" ht="12.75" x14ac:dyDescent="0.2"/>
    <row r="5176" ht="12.75" x14ac:dyDescent="0.2"/>
    <row r="5177" ht="12.75" x14ac:dyDescent="0.2"/>
    <row r="5178" ht="12.75" x14ac:dyDescent="0.2"/>
    <row r="5179" ht="12.75" x14ac:dyDescent="0.2"/>
    <row r="5180" ht="12.75" x14ac:dyDescent="0.2"/>
    <row r="5181" ht="12.75" x14ac:dyDescent="0.2"/>
    <row r="5182" ht="12.75" x14ac:dyDescent="0.2"/>
    <row r="5183" ht="12.75" x14ac:dyDescent="0.2"/>
    <row r="5184" ht="12.75" x14ac:dyDescent="0.2"/>
    <row r="5185" ht="12.75" x14ac:dyDescent="0.2"/>
    <row r="5186" ht="12.75" x14ac:dyDescent="0.2"/>
    <row r="5187" ht="12.75" x14ac:dyDescent="0.2"/>
    <row r="5188" ht="12.75" x14ac:dyDescent="0.2"/>
    <row r="5189" ht="12.75" x14ac:dyDescent="0.2"/>
    <row r="5190" ht="12.75" x14ac:dyDescent="0.2"/>
    <row r="5191" ht="12.75" x14ac:dyDescent="0.2"/>
    <row r="5192" ht="12.75" x14ac:dyDescent="0.2"/>
    <row r="5193" ht="12.75" x14ac:dyDescent="0.2"/>
    <row r="5194" ht="12.75" x14ac:dyDescent="0.2"/>
    <row r="5195" ht="12.75" x14ac:dyDescent="0.2"/>
    <row r="5196" ht="12.75" x14ac:dyDescent="0.2"/>
    <row r="5197" ht="12.75" x14ac:dyDescent="0.2"/>
    <row r="5198" ht="12.75" x14ac:dyDescent="0.2"/>
    <row r="5199" ht="12.75" x14ac:dyDescent="0.2"/>
    <row r="5200" ht="12.75" x14ac:dyDescent="0.2"/>
    <row r="5201" ht="12.75" x14ac:dyDescent="0.2"/>
    <row r="5202" ht="12.75" x14ac:dyDescent="0.2"/>
    <row r="5203" ht="12.75" x14ac:dyDescent="0.2"/>
    <row r="5204" ht="12.75" x14ac:dyDescent="0.2"/>
    <row r="5205" ht="12.75" x14ac:dyDescent="0.2"/>
    <row r="5206" ht="12.75" x14ac:dyDescent="0.2"/>
    <row r="5207" ht="12.75" x14ac:dyDescent="0.2"/>
    <row r="5208" ht="12.75" x14ac:dyDescent="0.2"/>
    <row r="5209" ht="12.75" x14ac:dyDescent="0.2"/>
    <row r="5210" ht="12.75" x14ac:dyDescent="0.2"/>
    <row r="5211" ht="12.75" x14ac:dyDescent="0.2"/>
    <row r="5212" ht="12.75" x14ac:dyDescent="0.2"/>
    <row r="5213" ht="12.75" x14ac:dyDescent="0.2"/>
    <row r="5214" ht="12.75" x14ac:dyDescent="0.2"/>
    <row r="5215" ht="12.75" x14ac:dyDescent="0.2"/>
    <row r="5216" ht="12.75" x14ac:dyDescent="0.2"/>
    <row r="5217" ht="12.75" x14ac:dyDescent="0.2"/>
    <row r="5218" ht="12.75" x14ac:dyDescent="0.2"/>
    <row r="5219" ht="12.75" x14ac:dyDescent="0.2"/>
    <row r="5220" ht="12.75" x14ac:dyDescent="0.2"/>
    <row r="5221" ht="12.75" x14ac:dyDescent="0.2"/>
    <row r="5222" ht="12.75" x14ac:dyDescent="0.2"/>
    <row r="5223" ht="12.75" x14ac:dyDescent="0.2"/>
    <row r="5224" ht="12.75" x14ac:dyDescent="0.2"/>
    <row r="5225" ht="12.75" x14ac:dyDescent="0.2"/>
    <row r="5226" ht="12.75" x14ac:dyDescent="0.2"/>
    <row r="5227" ht="12.75" x14ac:dyDescent="0.2"/>
    <row r="5228" ht="12.75" x14ac:dyDescent="0.2"/>
    <row r="5229" ht="12.75" x14ac:dyDescent="0.2"/>
    <row r="5230" ht="12.75" x14ac:dyDescent="0.2"/>
    <row r="5231" ht="12.75" x14ac:dyDescent="0.2"/>
    <row r="5232" ht="12.75" x14ac:dyDescent="0.2"/>
    <row r="5233" ht="12.75" x14ac:dyDescent="0.2"/>
    <row r="5234" ht="12.75" x14ac:dyDescent="0.2"/>
    <row r="5235" ht="12.75" x14ac:dyDescent="0.2"/>
    <row r="5236" ht="12.75" x14ac:dyDescent="0.2"/>
    <row r="5237" ht="12.75" x14ac:dyDescent="0.2"/>
    <row r="5238" ht="12.75" x14ac:dyDescent="0.2"/>
    <row r="5239" ht="12.75" x14ac:dyDescent="0.2"/>
    <row r="5240" ht="12.75" x14ac:dyDescent="0.2"/>
    <row r="5241" ht="12.75" x14ac:dyDescent="0.2"/>
    <row r="5242" ht="12.75" x14ac:dyDescent="0.2"/>
    <row r="5243" ht="12.75" x14ac:dyDescent="0.2"/>
    <row r="5244" ht="12.75" x14ac:dyDescent="0.2"/>
    <row r="5245" ht="12.75" x14ac:dyDescent="0.2"/>
    <row r="5246" ht="12.75" x14ac:dyDescent="0.2"/>
    <row r="5247" ht="12.75" x14ac:dyDescent="0.2"/>
    <row r="5248" ht="12.75" x14ac:dyDescent="0.2"/>
    <row r="5249" ht="12.75" x14ac:dyDescent="0.2"/>
    <row r="5250" ht="12.75" x14ac:dyDescent="0.2"/>
    <row r="5251" ht="12.75" x14ac:dyDescent="0.2"/>
    <row r="5252" ht="12.75" x14ac:dyDescent="0.2"/>
    <row r="5253" ht="12.75" x14ac:dyDescent="0.2"/>
    <row r="5254" ht="12.75" x14ac:dyDescent="0.2"/>
    <row r="5255" ht="12.75" x14ac:dyDescent="0.2"/>
    <row r="5256" ht="12.75" x14ac:dyDescent="0.2"/>
    <row r="5257" ht="12.75" x14ac:dyDescent="0.2"/>
    <row r="5258" ht="12.75" x14ac:dyDescent="0.2"/>
    <row r="5259" ht="12.75" x14ac:dyDescent="0.2"/>
    <row r="5260" ht="12.75" x14ac:dyDescent="0.2"/>
    <row r="5261" ht="12.75" x14ac:dyDescent="0.2"/>
    <row r="5262" ht="12.75" x14ac:dyDescent="0.2"/>
    <row r="5263" ht="12.75" x14ac:dyDescent="0.2"/>
    <row r="5264" ht="12.75" x14ac:dyDescent="0.2"/>
    <row r="5265" ht="12.75" x14ac:dyDescent="0.2"/>
    <row r="5266" ht="12.75" x14ac:dyDescent="0.2"/>
    <row r="5267" ht="12.75" x14ac:dyDescent="0.2"/>
    <row r="5268" ht="12.75" x14ac:dyDescent="0.2"/>
    <row r="5269" ht="12.75" x14ac:dyDescent="0.2"/>
    <row r="5270" ht="12.75" x14ac:dyDescent="0.2"/>
    <row r="5271" ht="12.75" x14ac:dyDescent="0.2"/>
    <row r="5272" ht="12.75" x14ac:dyDescent="0.2"/>
    <row r="5273" ht="12.75" x14ac:dyDescent="0.2"/>
    <row r="5274" ht="12.75" x14ac:dyDescent="0.2"/>
    <row r="5275" ht="12.75" x14ac:dyDescent="0.2"/>
    <row r="5276" ht="12.75" x14ac:dyDescent="0.2"/>
    <row r="5277" ht="12.75" x14ac:dyDescent="0.2"/>
    <row r="5278" ht="12.75" x14ac:dyDescent="0.2"/>
    <row r="5279" ht="12.75" x14ac:dyDescent="0.2"/>
    <row r="5280" ht="12.75" x14ac:dyDescent="0.2"/>
    <row r="5281" ht="12.75" x14ac:dyDescent="0.2"/>
    <row r="5282" ht="12.75" x14ac:dyDescent="0.2"/>
    <row r="5283" ht="12.75" x14ac:dyDescent="0.2"/>
    <row r="5284" ht="12.75" x14ac:dyDescent="0.2"/>
    <row r="5285" ht="12.75" x14ac:dyDescent="0.2"/>
    <row r="5286" ht="12.75" x14ac:dyDescent="0.2"/>
    <row r="5287" ht="12.75" x14ac:dyDescent="0.2"/>
    <row r="5288" ht="12.75" x14ac:dyDescent="0.2"/>
    <row r="5289" ht="12.75" x14ac:dyDescent="0.2"/>
    <row r="5290" ht="12.75" x14ac:dyDescent="0.2"/>
    <row r="5291" ht="12.75" x14ac:dyDescent="0.2"/>
    <row r="5292" ht="12.75" x14ac:dyDescent="0.2"/>
    <row r="5293" ht="12.75" x14ac:dyDescent="0.2"/>
    <row r="5294" ht="12.75" x14ac:dyDescent="0.2"/>
    <row r="5295" ht="12.75" x14ac:dyDescent="0.2"/>
    <row r="5296" ht="12.75" x14ac:dyDescent="0.2"/>
    <row r="5297" ht="12.75" x14ac:dyDescent="0.2"/>
    <row r="5298" ht="12.75" x14ac:dyDescent="0.2"/>
    <row r="5299" ht="12.75" x14ac:dyDescent="0.2"/>
    <row r="5300" ht="12.75" x14ac:dyDescent="0.2"/>
    <row r="5301" ht="12.75" x14ac:dyDescent="0.2"/>
    <row r="5302" ht="12.75" x14ac:dyDescent="0.2"/>
    <row r="5303" ht="12.75" x14ac:dyDescent="0.2"/>
    <row r="5304" ht="12.75" x14ac:dyDescent="0.2"/>
    <row r="5305" ht="12.75" x14ac:dyDescent="0.2"/>
    <row r="5306" ht="12.75" x14ac:dyDescent="0.2"/>
    <row r="5307" ht="12.75" x14ac:dyDescent="0.2"/>
    <row r="5308" ht="12.75" x14ac:dyDescent="0.2"/>
    <row r="5309" ht="12.75" x14ac:dyDescent="0.2"/>
    <row r="5310" ht="12.75" x14ac:dyDescent="0.2"/>
    <row r="5311" ht="12.75" x14ac:dyDescent="0.2"/>
    <row r="5312" ht="12.75" x14ac:dyDescent="0.2"/>
    <row r="5313" ht="12.75" x14ac:dyDescent="0.2"/>
    <row r="5314" ht="12.75" x14ac:dyDescent="0.2"/>
    <row r="5315" ht="12.75" x14ac:dyDescent="0.2"/>
    <row r="5316" ht="12.75" x14ac:dyDescent="0.2"/>
    <row r="5317" ht="12.75" x14ac:dyDescent="0.2"/>
    <row r="5318" ht="12.75" x14ac:dyDescent="0.2"/>
    <row r="5319" ht="12.75" x14ac:dyDescent="0.2"/>
    <row r="5320" ht="12.75" x14ac:dyDescent="0.2"/>
    <row r="5321" ht="12.75" x14ac:dyDescent="0.2"/>
    <row r="5322" ht="12.75" x14ac:dyDescent="0.2"/>
    <row r="5323" ht="12.75" x14ac:dyDescent="0.2"/>
    <row r="5324" ht="12.75" x14ac:dyDescent="0.2"/>
    <row r="5325" ht="12.75" x14ac:dyDescent="0.2"/>
    <row r="5326" ht="12.75" x14ac:dyDescent="0.2"/>
    <row r="5327" ht="12.75" x14ac:dyDescent="0.2"/>
    <row r="5328" ht="12.75" x14ac:dyDescent="0.2"/>
    <row r="5329" ht="12.75" x14ac:dyDescent="0.2"/>
    <row r="5330" ht="12.75" x14ac:dyDescent="0.2"/>
    <row r="5331" ht="12.75" x14ac:dyDescent="0.2"/>
    <row r="5332" ht="12.75" x14ac:dyDescent="0.2"/>
    <row r="5333" ht="12.75" x14ac:dyDescent="0.2"/>
    <row r="5334" ht="12.75" x14ac:dyDescent="0.2"/>
    <row r="5335" ht="12.75" x14ac:dyDescent="0.2"/>
    <row r="5336" ht="12.75" x14ac:dyDescent="0.2"/>
    <row r="5337" ht="12.75" x14ac:dyDescent="0.2"/>
    <row r="5338" ht="12.75" x14ac:dyDescent="0.2"/>
    <row r="5339" ht="12.75" x14ac:dyDescent="0.2"/>
    <row r="5340" ht="12.75" x14ac:dyDescent="0.2"/>
    <row r="5341" ht="12.75" x14ac:dyDescent="0.2"/>
    <row r="5342" ht="12.75" x14ac:dyDescent="0.2"/>
    <row r="5343" ht="12.75" x14ac:dyDescent="0.2"/>
    <row r="5344" ht="12.75" x14ac:dyDescent="0.2"/>
    <row r="5345" ht="12.75" x14ac:dyDescent="0.2"/>
    <row r="5346" ht="12.75" x14ac:dyDescent="0.2"/>
    <row r="5347" ht="12.75" x14ac:dyDescent="0.2"/>
    <row r="5348" ht="12.75" x14ac:dyDescent="0.2"/>
    <row r="5349" ht="12.75" x14ac:dyDescent="0.2"/>
    <row r="5350" ht="12.75" x14ac:dyDescent="0.2"/>
    <row r="5351" ht="12.75" x14ac:dyDescent="0.2"/>
    <row r="5352" ht="12.75" x14ac:dyDescent="0.2"/>
    <row r="5353" ht="12.75" x14ac:dyDescent="0.2"/>
    <row r="5354" ht="12.75" x14ac:dyDescent="0.2"/>
    <row r="5355" ht="12.75" x14ac:dyDescent="0.2"/>
    <row r="5356" ht="12.75" x14ac:dyDescent="0.2"/>
    <row r="5357" ht="12.75" x14ac:dyDescent="0.2"/>
    <row r="5358" ht="12.75" x14ac:dyDescent="0.2"/>
    <row r="5359" ht="12.75" x14ac:dyDescent="0.2"/>
    <row r="5360" ht="12.75" x14ac:dyDescent="0.2"/>
    <row r="5361" ht="12.75" x14ac:dyDescent="0.2"/>
    <row r="5362" ht="12.75" x14ac:dyDescent="0.2"/>
    <row r="5363" ht="12.75" x14ac:dyDescent="0.2"/>
    <row r="5364" ht="12.75" x14ac:dyDescent="0.2"/>
    <row r="5365" ht="12.75" x14ac:dyDescent="0.2"/>
    <row r="5366" ht="12.75" x14ac:dyDescent="0.2"/>
    <row r="5367" ht="12.75" x14ac:dyDescent="0.2"/>
    <row r="5368" ht="12.75" x14ac:dyDescent="0.2"/>
    <row r="5369" ht="12.75" x14ac:dyDescent="0.2"/>
    <row r="5370" ht="12.75" x14ac:dyDescent="0.2"/>
    <row r="5371" ht="12.75" x14ac:dyDescent="0.2"/>
    <row r="5372" ht="12.75" x14ac:dyDescent="0.2"/>
    <row r="5373" ht="12.75" x14ac:dyDescent="0.2"/>
    <row r="5374" ht="12.75" x14ac:dyDescent="0.2"/>
    <row r="5375" ht="12.75" x14ac:dyDescent="0.2"/>
    <row r="5376" ht="12.75" x14ac:dyDescent="0.2"/>
    <row r="5377" ht="12.75" x14ac:dyDescent="0.2"/>
    <row r="5378" ht="12.75" x14ac:dyDescent="0.2"/>
    <row r="5379" ht="12.75" x14ac:dyDescent="0.2"/>
    <row r="5380" ht="12.75" x14ac:dyDescent="0.2"/>
    <row r="5381" ht="12.75" x14ac:dyDescent="0.2"/>
    <row r="5382" ht="12.75" x14ac:dyDescent="0.2"/>
    <row r="5383" ht="12.75" x14ac:dyDescent="0.2"/>
    <row r="5384" ht="12.75" x14ac:dyDescent="0.2"/>
    <row r="5385" ht="12.75" x14ac:dyDescent="0.2"/>
    <row r="5386" ht="12.75" x14ac:dyDescent="0.2"/>
    <row r="5387" ht="12.75" x14ac:dyDescent="0.2"/>
    <row r="5388" ht="12.75" x14ac:dyDescent="0.2"/>
    <row r="5389" ht="12.75" x14ac:dyDescent="0.2"/>
    <row r="5390" ht="12.75" x14ac:dyDescent="0.2"/>
    <row r="5391" ht="12.75" x14ac:dyDescent="0.2"/>
    <row r="5392" ht="12.75" x14ac:dyDescent="0.2"/>
    <row r="5393" ht="12.75" x14ac:dyDescent="0.2"/>
    <row r="5394" ht="12.75" x14ac:dyDescent="0.2"/>
    <row r="5395" ht="12.75" x14ac:dyDescent="0.2"/>
    <row r="5396" ht="12.75" x14ac:dyDescent="0.2"/>
    <row r="5397" ht="12.75" x14ac:dyDescent="0.2"/>
    <row r="5398" ht="12.75" x14ac:dyDescent="0.2"/>
    <row r="5399" ht="12.75" x14ac:dyDescent="0.2"/>
    <row r="5400" ht="12.75" x14ac:dyDescent="0.2"/>
    <row r="5401" ht="12.75" x14ac:dyDescent="0.2"/>
    <row r="5402" ht="12.75" x14ac:dyDescent="0.2"/>
    <row r="5403" ht="12.75" x14ac:dyDescent="0.2"/>
    <row r="5404" ht="12.75" x14ac:dyDescent="0.2"/>
    <row r="5405" ht="12.75" x14ac:dyDescent="0.2"/>
    <row r="5406" ht="12.75" x14ac:dyDescent="0.2"/>
    <row r="5407" ht="12.75" x14ac:dyDescent="0.2"/>
    <row r="5408" ht="12.75" x14ac:dyDescent="0.2"/>
    <row r="5409" ht="12.75" x14ac:dyDescent="0.2"/>
    <row r="5410" ht="12.75" x14ac:dyDescent="0.2"/>
    <row r="5411" ht="12.75" x14ac:dyDescent="0.2"/>
    <row r="5412" ht="12.75" x14ac:dyDescent="0.2"/>
    <row r="5413" ht="12.75" x14ac:dyDescent="0.2"/>
    <row r="5414" ht="12.75" x14ac:dyDescent="0.2"/>
    <row r="5415" ht="12.75" x14ac:dyDescent="0.2"/>
    <row r="5416" ht="12.75" x14ac:dyDescent="0.2"/>
    <row r="5417" ht="12.75" x14ac:dyDescent="0.2"/>
    <row r="5418" ht="12.75" x14ac:dyDescent="0.2"/>
    <row r="5419" ht="12.75" x14ac:dyDescent="0.2"/>
    <row r="5420" ht="12.75" x14ac:dyDescent="0.2"/>
    <row r="5421" ht="12.75" x14ac:dyDescent="0.2"/>
    <row r="5422" ht="12.75" x14ac:dyDescent="0.2"/>
    <row r="5423" ht="12.75" x14ac:dyDescent="0.2"/>
    <row r="5424" ht="12.75" x14ac:dyDescent="0.2"/>
    <row r="5425" ht="12.75" x14ac:dyDescent="0.2"/>
    <row r="5426" ht="12.75" x14ac:dyDescent="0.2"/>
    <row r="5427" ht="12.75" x14ac:dyDescent="0.2"/>
    <row r="5428" ht="12.75" x14ac:dyDescent="0.2"/>
    <row r="5429" ht="12.75" x14ac:dyDescent="0.2"/>
    <row r="5430" ht="12.75" x14ac:dyDescent="0.2"/>
    <row r="5431" ht="12.75" x14ac:dyDescent="0.2"/>
    <row r="5432" ht="12.75" x14ac:dyDescent="0.2"/>
    <row r="5433" ht="12.75" x14ac:dyDescent="0.2"/>
    <row r="5434" ht="12.75" x14ac:dyDescent="0.2"/>
    <row r="5435" ht="12.75" x14ac:dyDescent="0.2"/>
    <row r="5436" ht="12.75" x14ac:dyDescent="0.2"/>
    <row r="5437" ht="12.75" x14ac:dyDescent="0.2"/>
    <row r="5438" ht="12.75" x14ac:dyDescent="0.2"/>
    <row r="5439" ht="12.75" x14ac:dyDescent="0.2"/>
    <row r="5440" ht="12.75" x14ac:dyDescent="0.2"/>
    <row r="5441" ht="12.75" x14ac:dyDescent="0.2"/>
    <row r="5442" ht="12.75" x14ac:dyDescent="0.2"/>
    <row r="5443" ht="12.75" x14ac:dyDescent="0.2"/>
    <row r="5444" ht="12.75" x14ac:dyDescent="0.2"/>
    <row r="5445" ht="12.75" x14ac:dyDescent="0.2"/>
    <row r="5446" ht="12.75" x14ac:dyDescent="0.2"/>
    <row r="5447" ht="12.75" x14ac:dyDescent="0.2"/>
  </sheetData>
  <pageMargins left="0.7" right="0.7" top="0.75" bottom="0.75" header="0.3" footer="0.3"/>
  <pageSetup scale="10" fitToHeight="0" orientation="landscape" horizontalDpi="1200" verticalDpi="1200" r:id="rId1"/>
  <customProperties>
    <customPr name="_pios_id" r:id="rId2"/>
  </customProperties>
  <drawing r:id="rId3"/>
  <legacyDrawing r:id="rId4"/>
  <oleObjects>
    <mc:AlternateContent xmlns:mc="http://schemas.openxmlformats.org/markup-compatibility/2006">
      <mc:Choice Requires="x14">
        <oleObject progId="StaticMetafile" shapeId="124929" r:id="rId5">
          <objectPr defaultSize="0" autoPict="0" r:id="rId6">
            <anchor moveWithCells="1" sizeWithCells="1">
              <from>
                <xdr:col>0</xdr:col>
                <xdr:colOff>9525</xdr:colOff>
                <xdr:row>2</xdr:row>
                <xdr:rowOff>19050</xdr:rowOff>
              </from>
              <to>
                <xdr:col>1</xdr:col>
                <xdr:colOff>1095375</xdr:colOff>
                <xdr:row>2</xdr:row>
                <xdr:rowOff>504825</xdr:rowOff>
              </to>
            </anchor>
          </objectPr>
        </oleObject>
      </mc:Choice>
      <mc:Fallback>
        <oleObject progId="StaticMetafile" shapeId="124929" r:id="rId5"/>
      </mc:Fallback>
    </mc:AlternateContent>
    <mc:AlternateContent xmlns:mc="http://schemas.openxmlformats.org/markup-compatibility/2006">
      <mc:Choice Requires="x14">
        <oleObject progId="StaticMetafile" shapeId="124930" r:id="rId7">
          <objectPr defaultSize="0" autoPict="0" r:id="rId6">
            <anchor moveWithCells="1" sizeWithCells="1">
              <from>
                <xdr:col>0</xdr:col>
                <xdr:colOff>38100</xdr:colOff>
                <xdr:row>0</xdr:row>
                <xdr:rowOff>95250</xdr:rowOff>
              </from>
              <to>
                <xdr:col>1</xdr:col>
                <xdr:colOff>1838325</xdr:colOff>
                <xdr:row>3</xdr:row>
                <xdr:rowOff>9525</xdr:rowOff>
              </to>
            </anchor>
          </objectPr>
        </oleObject>
      </mc:Choice>
      <mc:Fallback>
        <oleObject progId="StaticMetafile" shapeId="124930" r:id="rId7"/>
      </mc:Fallback>
    </mc:AlternateContent>
  </oleObjects>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F843C-944E-4C80-BC19-C072EEA5D674}">
  <sheetPr codeName="Sheet27">
    <tabColor rgb="FF00B0F0"/>
  </sheetPr>
  <dimension ref="A1:EH100"/>
  <sheetViews>
    <sheetView zoomScaleNormal="100" zoomScaleSheetLayoutView="100" workbookViewId="0">
      <pane ySplit="36" topLeftCell="A76" activePane="bottomLeft" state="frozen"/>
      <selection activeCell="R63" sqref="R63"/>
      <selection pane="bottomLeft" activeCell="R63" sqref="R63"/>
    </sheetView>
  </sheetViews>
  <sheetFormatPr defaultColWidth="7.625" defaultRowHeight="12.75" outlineLevelRow="1" x14ac:dyDescent="0.2"/>
  <cols>
    <col min="1" max="1" width="8.125" style="1953" customWidth="1"/>
    <col min="2" max="2" width="19.875" style="1953" customWidth="1"/>
    <col min="3" max="3" width="15.75" style="1953" bestFit="1" customWidth="1"/>
    <col min="4" max="4" width="37.75" style="1953" bestFit="1" customWidth="1"/>
    <col min="5" max="5" width="6.375" style="1953" bestFit="1" customWidth="1"/>
    <col min="6" max="6" width="8.875" style="1953" bestFit="1" customWidth="1"/>
    <col min="7" max="7" width="8.25" style="1953" bestFit="1" customWidth="1"/>
    <col min="8" max="8" width="6.875" style="1953" bestFit="1" customWidth="1"/>
    <col min="9" max="9" width="7.125" style="1953" bestFit="1" customWidth="1"/>
    <col min="10" max="10" width="4.875" style="1953" customWidth="1"/>
    <col min="11" max="11" width="3.5" style="1953" bestFit="1" customWidth="1"/>
    <col min="12" max="12" width="9.25" style="1953" customWidth="1"/>
    <col min="13" max="14" width="6.5" style="1953" bestFit="1" customWidth="1"/>
    <col min="15" max="15" width="11.125" style="1953" bestFit="1" customWidth="1"/>
    <col min="16" max="16" width="10.5" style="1953" bestFit="1" customWidth="1"/>
    <col min="17" max="17" width="9.75" style="1953" bestFit="1" customWidth="1"/>
    <col min="18" max="18" width="4" style="1953" customWidth="1"/>
    <col min="19" max="19" width="6.375" style="1953" customWidth="1"/>
    <col min="20" max="21" width="4.875" style="1953" customWidth="1"/>
    <col min="22" max="22" width="4" style="1953" customWidth="1"/>
    <col min="23" max="23" width="4.875" style="1953" customWidth="1"/>
    <col min="24" max="24" width="4" style="1953" customWidth="1"/>
    <col min="25" max="25" width="19.625" style="1953" customWidth="1"/>
    <col min="26" max="26" width="8.375" style="1953" customWidth="1"/>
    <col min="27" max="27" width="19.625" style="1953" customWidth="1"/>
    <col min="28" max="28" width="8.375" style="1953" customWidth="1"/>
    <col min="29" max="29" width="19.625" style="1953" customWidth="1"/>
    <col min="30" max="30" width="8.375" style="1953" customWidth="1"/>
    <col min="31" max="31" width="19.625" style="1953" customWidth="1"/>
    <col min="32" max="32" width="8.375" style="1953" customWidth="1"/>
    <col min="33" max="33" width="19.625" style="1953" customWidth="1"/>
    <col min="34" max="34" width="8.375" style="1953" customWidth="1"/>
    <col min="35" max="35" width="13.5" style="1953" customWidth="1"/>
    <col min="36" max="36" width="19.875" style="1953" customWidth="1"/>
    <col min="37" max="37" width="5.75" style="1953" customWidth="1"/>
    <col min="38" max="38" width="25.75" style="1953" customWidth="1"/>
    <col min="39" max="42" width="19.875" style="1953" customWidth="1"/>
    <col min="43" max="43" width="5.75" style="1953" customWidth="1"/>
    <col min="44" max="44" width="19.625" style="1953" customWidth="1"/>
    <col min="45" max="45" width="13" style="1953" customWidth="1"/>
    <col min="46" max="46" width="19.75" style="1953" customWidth="1"/>
    <col min="47" max="47" width="25.75" style="1953" customWidth="1"/>
    <col min="48" max="48" width="13" style="1953" customWidth="1"/>
    <col min="49" max="49" width="25.75" style="1953" customWidth="1"/>
    <col min="50" max="50" width="13" style="1953" customWidth="1"/>
    <col min="51" max="51" width="5.75" style="1953" customWidth="1"/>
    <col min="52" max="52" width="13" style="1953" customWidth="1"/>
    <col min="53" max="53" width="5.75" style="1953" customWidth="1"/>
    <col min="54" max="54" width="19.625" style="1953" customWidth="1"/>
    <col min="55" max="55" width="13" style="1953" customWidth="1"/>
    <col min="56" max="56" width="5.5" style="1953" customWidth="1"/>
    <col min="57" max="57" width="19.625" style="1953" customWidth="1"/>
    <col min="58" max="58" width="19.375" style="1953" customWidth="1"/>
    <col min="59" max="59" width="9.375" style="1953" customWidth="1"/>
    <col min="60" max="60" width="5.5" style="1953" customWidth="1"/>
    <col min="61" max="61" width="4.25" style="1953" customWidth="1"/>
    <col min="62" max="62" width="9.375" style="1953" customWidth="1"/>
    <col min="63" max="63" width="10.375" style="1953" customWidth="1"/>
    <col min="64" max="65" width="9.375" style="1953" customWidth="1"/>
    <col min="66" max="66" width="8.375" style="1953" customWidth="1"/>
    <col min="67" max="67" width="4.875" style="1953" customWidth="1"/>
    <col min="68" max="68" width="4" style="1953" customWidth="1"/>
    <col min="69" max="69" width="5.25" style="1953" customWidth="1"/>
    <col min="70" max="70" width="4.625" style="1953" customWidth="1"/>
    <col min="71" max="71" width="5.25" style="1953" customWidth="1"/>
    <col min="72" max="72" width="4.625" style="1953" customWidth="1"/>
    <col min="73" max="73" width="5.25" style="1953" customWidth="1"/>
    <col min="74" max="74" width="4.625" style="1953" customWidth="1"/>
    <col min="75" max="75" width="5.25" style="1953" customWidth="1"/>
    <col min="76" max="76" width="4.625" style="1953" customWidth="1"/>
    <col min="77" max="77" width="5.25" style="1953" customWidth="1"/>
    <col min="78" max="78" width="4.625" style="1953" customWidth="1"/>
    <col min="79" max="79" width="5.25" style="1953" customWidth="1"/>
    <col min="80" max="80" width="4.625" style="1953" customWidth="1"/>
    <col min="81" max="81" width="5.25" style="1953" customWidth="1"/>
    <col min="82" max="82" width="4.625" style="1953" customWidth="1"/>
    <col min="83" max="83" width="5.25" style="1953" customWidth="1"/>
    <col min="84" max="84" width="4.625" style="1953" customWidth="1"/>
    <col min="85" max="85" width="5.25" style="1953" customWidth="1"/>
    <col min="86" max="86" width="4.625" style="1953" customWidth="1"/>
    <col min="87" max="87" width="5.25" style="1953" customWidth="1"/>
    <col min="88" max="88" width="4.625" style="1953" customWidth="1"/>
    <col min="89" max="89" width="5.25" style="1953" customWidth="1"/>
    <col min="90" max="90" width="4.625" style="1953" customWidth="1"/>
    <col min="91" max="91" width="5.25" style="1953" customWidth="1"/>
    <col min="92" max="92" width="4.625" style="1953" customWidth="1"/>
    <col min="93" max="93" width="5.25" style="1953" customWidth="1"/>
    <col min="94" max="94" width="4.625" style="1953" customWidth="1"/>
    <col min="95" max="95" width="5.25" style="1953" customWidth="1"/>
    <col min="96" max="96" width="4.625" style="1953" customWidth="1"/>
    <col min="97" max="97" width="5.25" style="1953" customWidth="1"/>
    <col min="98" max="98" width="4.625" style="1953" customWidth="1"/>
    <col min="99" max="99" width="5.25" style="1953" customWidth="1"/>
    <col min="100" max="100" width="4.625" style="1953" customWidth="1"/>
    <col min="101" max="101" width="5.25" style="1953" customWidth="1"/>
    <col min="102" max="102" width="4.625" style="1953" customWidth="1"/>
    <col min="103" max="103" width="5.25" style="1953" customWidth="1"/>
    <col min="104" max="104" width="4.625" style="1953" customWidth="1"/>
    <col min="105" max="105" width="5.25" style="1953" customWidth="1"/>
    <col min="106" max="106" width="4.625" style="1953" customWidth="1"/>
    <col min="107" max="107" width="5.25" style="1953" customWidth="1"/>
    <col min="108" max="108" width="4.625" style="1953" customWidth="1"/>
    <col min="109" max="109" width="5.25" style="1953" customWidth="1"/>
    <col min="110" max="110" width="4.625" style="1953" customWidth="1"/>
    <col min="111" max="111" width="5.25" style="1953" customWidth="1"/>
    <col min="112" max="112" width="4.625" style="1953" customWidth="1"/>
    <col min="113" max="113" width="5.25" style="1953" customWidth="1"/>
    <col min="114" max="114" width="4.625" style="1953" customWidth="1"/>
    <col min="115" max="115" width="5.25" style="1953" customWidth="1"/>
    <col min="116" max="116" width="4.625" style="1953" customWidth="1"/>
    <col min="117" max="117" width="5.25" style="1953" customWidth="1"/>
    <col min="118" max="118" width="4.625" style="1953" customWidth="1"/>
    <col min="119" max="119" width="5.25" style="1953" customWidth="1"/>
    <col min="120" max="120" width="4.625" style="1953" customWidth="1"/>
    <col min="121" max="121" width="5.25" style="1953" customWidth="1"/>
    <col min="122" max="122" width="4.625" style="1953" customWidth="1"/>
    <col min="123" max="123" width="7.125" style="1953" customWidth="1"/>
    <col min="124" max="124" width="6" style="1953" customWidth="1"/>
    <col min="125" max="125" width="5.25" style="1953" customWidth="1"/>
    <col min="126" max="126" width="4.625" style="1953" customWidth="1"/>
    <col min="127" max="127" width="5.25" style="1953" customWidth="1"/>
    <col min="128" max="128" width="4.625" style="1953" customWidth="1"/>
    <col min="129" max="129" width="5.25" style="1953" customWidth="1"/>
    <col min="130" max="130" width="4.625" style="1953" customWidth="1"/>
    <col min="131" max="131" width="5.25" style="1953" customWidth="1"/>
    <col min="132" max="132" width="4.625" style="1953" customWidth="1"/>
    <col min="133" max="133" width="5.25" style="1953" customWidth="1"/>
    <col min="134" max="134" width="4.625" style="1953" customWidth="1"/>
    <col min="135" max="135" width="5.25" style="1953" customWidth="1"/>
    <col min="136" max="136" width="4.625" style="1953" customWidth="1"/>
    <col min="137" max="137" width="5.25" style="1953" customWidth="1"/>
    <col min="138" max="138" width="4.625" style="1953" customWidth="1"/>
    <col min="139" max="16384" width="7.625" style="1953"/>
  </cols>
  <sheetData>
    <row r="1" spans="1:137" ht="39.950000000000003" customHeight="1" x14ac:dyDescent="0.2">
      <c r="A1" s="1946"/>
      <c r="B1" s="1946"/>
      <c r="C1" s="1946"/>
      <c r="D1" s="1946"/>
      <c r="E1" s="1946"/>
      <c r="F1" s="1946"/>
      <c r="G1" s="1946"/>
      <c r="H1" s="1946"/>
      <c r="I1" s="1946"/>
      <c r="BB1" s="1951"/>
    </row>
    <row r="2" spans="1:137" ht="42" hidden="1" customHeight="1" x14ac:dyDescent="0.2">
      <c r="A2" s="1946"/>
      <c r="B2" s="1946"/>
      <c r="C2" s="1946"/>
      <c r="D2" s="1946"/>
      <c r="E2" s="1946"/>
      <c r="F2" s="1946"/>
      <c r="G2" s="1946"/>
      <c r="H2" s="1946"/>
      <c r="I2" s="1946"/>
    </row>
    <row r="3" spans="1:137" ht="35.25" hidden="1" customHeight="1" x14ac:dyDescent="0.2">
      <c r="A3" s="1946"/>
      <c r="B3" s="1946"/>
      <c r="C3" s="1946"/>
      <c r="D3" s="1947"/>
      <c r="E3" s="1946"/>
      <c r="F3" s="1947"/>
      <c r="G3" s="1947"/>
      <c r="H3" s="1946"/>
      <c r="I3" s="1947"/>
      <c r="AL3" s="1951"/>
      <c r="AR3" s="1951"/>
      <c r="AU3" s="1951"/>
      <c r="AW3" s="1951"/>
      <c r="BB3" s="1952"/>
      <c r="BD3" s="1951"/>
      <c r="BF3" s="1951"/>
      <c r="BH3" s="1951"/>
      <c r="BJ3" s="1951"/>
      <c r="BL3" s="1951"/>
      <c r="BN3" s="1951"/>
      <c r="BP3" s="1951"/>
    </row>
    <row r="4" spans="1:137" ht="12" customHeight="1" x14ac:dyDescent="0.25">
      <c r="A4" s="1949"/>
      <c r="B4" s="1946"/>
      <c r="C4" s="1946"/>
      <c r="D4" s="1948"/>
      <c r="E4" s="1946"/>
      <c r="F4" s="1948"/>
      <c r="G4" s="1948"/>
      <c r="H4" s="1946"/>
      <c r="I4" s="1948"/>
      <c r="BB4" s="1952"/>
      <c r="BR4" s="1951"/>
    </row>
    <row r="5" spans="1:137" ht="12" customHeight="1" x14ac:dyDescent="0.2">
      <c r="A5" s="1950" t="s">
        <v>2410</v>
      </c>
      <c r="B5" s="1951"/>
      <c r="C5" s="1947"/>
      <c r="D5" s="1948"/>
      <c r="E5" s="1947"/>
      <c r="F5" s="1948"/>
      <c r="G5" s="1948"/>
      <c r="H5" s="1947"/>
      <c r="I5" s="1948"/>
      <c r="J5" s="1951"/>
      <c r="K5" s="1951"/>
      <c r="L5" s="1951"/>
      <c r="M5" s="1951"/>
      <c r="N5" s="1951"/>
      <c r="O5" s="1951"/>
      <c r="P5" s="1951"/>
      <c r="Q5" s="1951"/>
      <c r="R5" s="1951"/>
      <c r="S5" s="1951"/>
      <c r="T5" s="1951"/>
      <c r="U5" s="1951"/>
      <c r="V5" s="1951"/>
      <c r="W5" s="1951"/>
      <c r="X5" s="1951"/>
      <c r="Y5" s="1951"/>
      <c r="Z5" s="1951"/>
      <c r="AA5" s="1951"/>
      <c r="AB5" s="1951"/>
      <c r="AC5" s="1951"/>
      <c r="AD5" s="1951"/>
      <c r="AE5" s="1951"/>
      <c r="AF5" s="1951"/>
      <c r="AG5" s="1951"/>
      <c r="AH5" s="1951"/>
      <c r="AI5" s="1951"/>
      <c r="AJ5" s="1951"/>
      <c r="AK5" s="1951"/>
      <c r="AM5" s="1951"/>
      <c r="AN5" s="1951"/>
      <c r="AO5" s="1951"/>
      <c r="AP5" s="1951"/>
      <c r="AQ5" s="1951"/>
      <c r="AS5" s="1951"/>
      <c r="AT5" s="1951"/>
      <c r="AV5" s="1951"/>
      <c r="AX5" s="1951"/>
      <c r="AY5" s="1951"/>
      <c r="AZ5" s="1951"/>
      <c r="BA5" s="1951"/>
      <c r="BB5" s="1952"/>
      <c r="BC5" s="1951"/>
      <c r="BE5" s="1951"/>
      <c r="BG5" s="1951"/>
      <c r="BI5" s="1951"/>
      <c r="BK5" s="1951"/>
      <c r="BM5" s="1951"/>
      <c r="BO5" s="1951"/>
      <c r="BQ5" s="1951"/>
      <c r="BS5" s="1951"/>
      <c r="BT5" s="1951"/>
      <c r="BU5" s="1951"/>
      <c r="BV5" s="1951"/>
      <c r="BW5" s="1951"/>
      <c r="BX5" s="1951"/>
      <c r="BY5" s="1951"/>
      <c r="BZ5" s="1951"/>
      <c r="CA5" s="1951"/>
      <c r="CB5" s="1951"/>
      <c r="CC5" s="1951"/>
      <c r="CD5" s="1951"/>
      <c r="CE5" s="1951"/>
      <c r="CF5" s="1951"/>
      <c r="CG5" s="1951"/>
      <c r="CH5" s="1951"/>
    </row>
    <row r="6" spans="1:137" ht="12" customHeight="1" x14ac:dyDescent="0.2">
      <c r="A6" s="1952" t="s">
        <v>2260</v>
      </c>
      <c r="B6" s="1952"/>
      <c r="C6" s="1948"/>
      <c r="D6" s="1948"/>
      <c r="E6" s="1948"/>
      <c r="F6" s="1948"/>
      <c r="G6" s="1948"/>
      <c r="H6" s="1948"/>
      <c r="I6" s="1948"/>
      <c r="BB6" s="1952"/>
    </row>
    <row r="7" spans="1:137" ht="12" customHeight="1" x14ac:dyDescent="0.2">
      <c r="A7" s="1952" t="s">
        <v>875</v>
      </c>
      <c r="B7" s="1952"/>
      <c r="C7" s="1948"/>
      <c r="D7" s="1946"/>
      <c r="E7" s="1948"/>
      <c r="F7" s="1946"/>
      <c r="G7" s="1946"/>
      <c r="H7" s="1948"/>
      <c r="I7" s="1946"/>
      <c r="BB7" s="1952"/>
    </row>
    <row r="8" spans="1:137" ht="12" customHeight="1" x14ac:dyDescent="0.2">
      <c r="A8" s="1952" t="s">
        <v>876</v>
      </c>
      <c r="B8" s="1952"/>
      <c r="C8" s="1948"/>
      <c r="D8" s="1948"/>
      <c r="E8" s="1948"/>
      <c r="F8" s="1948"/>
      <c r="G8" s="1948"/>
      <c r="H8" s="1948"/>
      <c r="I8" s="1948"/>
      <c r="AL8" s="1952"/>
      <c r="AR8" s="1952"/>
      <c r="AU8" s="1952"/>
      <c r="AW8" s="1952"/>
      <c r="BB8" s="1952"/>
      <c r="BD8" s="1952"/>
      <c r="BF8" s="1952"/>
      <c r="BH8" s="1952"/>
      <c r="BJ8" s="1952"/>
      <c r="BL8" s="1952"/>
      <c r="BN8" s="1952"/>
      <c r="BP8" s="1952"/>
    </row>
    <row r="9" spans="1:137" ht="12" customHeight="1" x14ac:dyDescent="0.25">
      <c r="A9" s="1946"/>
      <c r="B9" s="1946"/>
      <c r="C9" s="1946"/>
      <c r="D9" s="1954"/>
      <c r="E9" s="1946"/>
      <c r="F9" s="1954"/>
      <c r="G9" s="1954"/>
      <c r="H9" s="1946"/>
      <c r="I9" s="1954"/>
      <c r="L9" s="3829" t="s">
        <v>5583</v>
      </c>
      <c r="M9" s="3830"/>
      <c r="N9" s="3830"/>
      <c r="O9" s="3831"/>
      <c r="AL9" s="1956"/>
      <c r="AR9" s="1956"/>
      <c r="AU9" s="1956"/>
      <c r="AW9" s="1956"/>
      <c r="BB9" s="1952"/>
      <c r="BD9" s="1952"/>
      <c r="BF9" s="1952"/>
      <c r="BH9" s="1952"/>
      <c r="BJ9" s="1952"/>
      <c r="BL9" s="1952"/>
      <c r="BN9" s="1952"/>
      <c r="BP9" s="1952"/>
      <c r="BR9" s="1952"/>
    </row>
    <row r="10" spans="1:137" ht="12" hidden="1" customHeight="1" outlineLevel="1" x14ac:dyDescent="0.2">
      <c r="A10" s="1951" t="s">
        <v>877</v>
      </c>
      <c r="B10" s="1952" t="s">
        <v>2411</v>
      </c>
      <c r="C10" s="1946"/>
      <c r="D10" s="1946"/>
      <c r="E10" s="1946"/>
      <c r="F10" s="1946"/>
      <c r="G10" s="1946"/>
      <c r="H10" s="1946"/>
      <c r="I10" s="1946"/>
      <c r="L10" s="1946"/>
      <c r="M10" s="1946"/>
      <c r="N10" s="1946"/>
      <c r="O10" s="1946"/>
      <c r="AH10" s="1952"/>
      <c r="AI10" s="1952"/>
      <c r="AJ10" s="1952"/>
      <c r="AK10" s="1952"/>
      <c r="AL10" s="1952"/>
      <c r="AO10" s="1952"/>
      <c r="AP10" s="1952"/>
      <c r="AQ10" s="1952"/>
      <c r="CK10" s="1952"/>
      <c r="CL10" s="1952"/>
      <c r="CM10" s="1952"/>
      <c r="CN10" s="1952"/>
      <c r="CO10" s="1952"/>
      <c r="CP10" s="1952"/>
      <c r="CQ10" s="1952"/>
      <c r="CR10" s="1952"/>
      <c r="CS10" s="1952"/>
      <c r="CT10" s="1952"/>
      <c r="CU10" s="1952"/>
      <c r="CV10" s="1952"/>
      <c r="CW10" s="1952"/>
      <c r="CX10" s="1952"/>
      <c r="CY10" s="1952"/>
      <c r="CZ10" s="1952"/>
      <c r="DA10" s="1952"/>
      <c r="DB10" s="1952"/>
      <c r="DC10" s="1952"/>
      <c r="DD10" s="1952"/>
      <c r="DE10" s="1952"/>
      <c r="DF10" s="1952"/>
      <c r="DG10" s="1952"/>
      <c r="DH10" s="1952"/>
      <c r="DI10" s="1952"/>
      <c r="DJ10" s="1952"/>
      <c r="DK10" s="1952"/>
      <c r="DL10" s="1952"/>
      <c r="DM10" s="1952"/>
      <c r="DN10" s="1952"/>
      <c r="DO10" s="1952"/>
      <c r="DP10" s="1952"/>
      <c r="DQ10" s="1952"/>
      <c r="DR10" s="1952"/>
      <c r="DS10" s="1952"/>
      <c r="DT10" s="1952"/>
      <c r="DU10" s="1952"/>
      <c r="DV10" s="1952"/>
      <c r="DW10" s="1952"/>
      <c r="DX10" s="1952"/>
      <c r="DY10" s="1952"/>
      <c r="DZ10" s="1952"/>
      <c r="EA10" s="1952"/>
      <c r="EB10" s="1952"/>
      <c r="EC10" s="1952"/>
      <c r="ED10" s="1952"/>
      <c r="EE10" s="1952"/>
      <c r="EF10" s="1952"/>
      <c r="EG10" s="1952"/>
    </row>
    <row r="11" spans="1:137" ht="12" hidden="1" customHeight="1" outlineLevel="1" x14ac:dyDescent="0.2">
      <c r="A11" s="1951" t="s">
        <v>879</v>
      </c>
      <c r="B11" s="1956">
        <v>45394.508727094908</v>
      </c>
      <c r="C11" s="1946"/>
      <c r="D11" s="1946"/>
      <c r="E11" s="1946"/>
      <c r="F11" s="1946"/>
      <c r="G11" s="1946"/>
      <c r="H11" s="1946"/>
      <c r="I11" s="1946"/>
      <c r="L11" s="1946"/>
      <c r="M11" s="1946"/>
      <c r="N11" s="1946"/>
      <c r="O11" s="1946"/>
      <c r="AH11" s="1956"/>
      <c r="AI11" s="1956"/>
      <c r="AJ11" s="1956"/>
      <c r="AK11" s="1956"/>
      <c r="AL11" s="1956"/>
      <c r="AO11" s="1956"/>
      <c r="AP11" s="1956"/>
      <c r="AQ11" s="1956"/>
      <c r="CK11" s="1952"/>
      <c r="CL11" s="1952"/>
      <c r="CM11" s="1952"/>
      <c r="CN11" s="1952"/>
      <c r="CO11" s="1952"/>
      <c r="CP11" s="1952"/>
      <c r="CQ11" s="1952"/>
      <c r="CR11" s="1952"/>
      <c r="CS11" s="1952"/>
      <c r="CT11" s="1952"/>
      <c r="CU11" s="1952"/>
      <c r="CV11" s="1952"/>
      <c r="CW11" s="1952"/>
      <c r="CX11" s="1952"/>
      <c r="CY11" s="1952"/>
      <c r="CZ11" s="1952"/>
      <c r="DA11" s="1952"/>
      <c r="DB11" s="1952"/>
      <c r="DC11" s="1952"/>
      <c r="DD11" s="1952"/>
      <c r="DE11" s="1952"/>
      <c r="DF11" s="1952"/>
      <c r="DG11" s="1952"/>
      <c r="DH11" s="1952"/>
      <c r="DI11" s="1952"/>
      <c r="DJ11" s="1952"/>
      <c r="DK11" s="1952"/>
      <c r="DL11" s="1952"/>
      <c r="DM11" s="1952"/>
      <c r="DN11" s="1952"/>
      <c r="DO11" s="1952"/>
      <c r="DP11" s="1952"/>
      <c r="DQ11" s="1952"/>
      <c r="DR11" s="1952"/>
      <c r="DS11" s="1952"/>
      <c r="DT11" s="1952"/>
      <c r="DU11" s="1952"/>
      <c r="DV11" s="1952"/>
      <c r="DW11" s="1952"/>
      <c r="DX11" s="1952"/>
      <c r="DY11" s="1952"/>
      <c r="DZ11" s="1952"/>
      <c r="EA11" s="1952"/>
      <c r="EB11" s="1952"/>
      <c r="EC11" s="1952"/>
      <c r="ED11" s="1952"/>
      <c r="EE11" s="1952"/>
      <c r="EF11" s="1952"/>
      <c r="EG11" s="1952"/>
    </row>
    <row r="12" spans="1:137" ht="12" hidden="1" customHeight="1" outlineLevel="1" x14ac:dyDescent="0.2">
      <c r="A12" s="1946"/>
      <c r="B12" s="1946"/>
      <c r="C12" s="1946"/>
      <c r="D12" s="1946"/>
      <c r="E12" s="1946"/>
      <c r="F12" s="1946"/>
      <c r="G12" s="1946"/>
      <c r="H12" s="1946"/>
      <c r="I12" s="1946"/>
      <c r="L12" s="1946"/>
      <c r="M12" s="1946"/>
      <c r="N12" s="1946"/>
      <c r="O12" s="1946"/>
      <c r="BB12" s="1952"/>
      <c r="BD12" s="1952"/>
      <c r="BF12" s="1952"/>
      <c r="BH12" s="1952"/>
      <c r="BJ12" s="1952"/>
      <c r="BL12" s="1952"/>
      <c r="BN12" s="1952"/>
      <c r="BP12" s="1952"/>
      <c r="BR12" s="1952"/>
    </row>
    <row r="13" spans="1:137" ht="12" hidden="1" customHeight="1" outlineLevel="1" x14ac:dyDescent="0.2">
      <c r="C13" s="1946"/>
      <c r="D13" s="1946"/>
      <c r="E13" s="1946"/>
      <c r="F13" s="1946"/>
      <c r="G13" s="1946"/>
      <c r="H13" s="1946"/>
      <c r="I13" s="1946"/>
      <c r="L13" s="1946"/>
      <c r="M13" s="1946"/>
      <c r="N13" s="1946"/>
      <c r="O13" s="1946"/>
      <c r="BA13" s="1952"/>
      <c r="BB13" s="1951"/>
      <c r="BC13" s="1952"/>
      <c r="BD13" s="1952"/>
      <c r="BE13" s="1952"/>
      <c r="BF13" s="1952"/>
      <c r="BG13" s="1952"/>
      <c r="BH13" s="1952"/>
      <c r="BI13" s="1952"/>
      <c r="BJ13" s="1952"/>
      <c r="BK13" s="1952"/>
      <c r="BL13" s="1952"/>
      <c r="BM13" s="1952"/>
      <c r="BN13" s="1952"/>
      <c r="BO13" s="1952"/>
      <c r="BP13" s="1952"/>
      <c r="BQ13" s="1952"/>
      <c r="BR13" s="1952"/>
      <c r="BS13" s="1952"/>
      <c r="BT13" s="1952"/>
      <c r="BU13" s="1952"/>
      <c r="BV13" s="1952"/>
      <c r="BW13" s="1952"/>
      <c r="BX13" s="1952"/>
      <c r="BY13" s="1952"/>
      <c r="BZ13" s="1952"/>
      <c r="CA13" s="1952"/>
      <c r="CB13" s="1952"/>
      <c r="CC13" s="1952"/>
      <c r="CD13" s="1952"/>
      <c r="CE13" s="1952"/>
      <c r="CF13" s="1952"/>
      <c r="CG13" s="1952"/>
      <c r="CH13" s="1952"/>
    </row>
    <row r="14" spans="1:137" ht="12" hidden="1" customHeight="1" outlineLevel="1" x14ac:dyDescent="0.2">
      <c r="C14" s="1946"/>
      <c r="D14" s="1946"/>
      <c r="E14" s="1946"/>
      <c r="F14" s="1946"/>
      <c r="G14" s="1946"/>
      <c r="H14" s="1946"/>
      <c r="I14" s="1946"/>
      <c r="L14" s="1946"/>
      <c r="M14" s="1946"/>
      <c r="N14" s="1946"/>
      <c r="O14" s="1946"/>
      <c r="BA14" s="1952"/>
      <c r="BB14" s="1952"/>
      <c r="BC14" s="1952"/>
      <c r="BD14" s="1952"/>
      <c r="BE14" s="1952"/>
      <c r="BF14" s="1952"/>
      <c r="BG14" s="1952"/>
      <c r="BH14" s="1952"/>
      <c r="BI14" s="1952"/>
      <c r="BJ14" s="1952"/>
      <c r="BK14" s="1952"/>
      <c r="BL14" s="1952"/>
      <c r="BM14" s="1952"/>
      <c r="BN14" s="1952"/>
      <c r="BO14" s="1952"/>
      <c r="BP14" s="1952"/>
      <c r="BQ14" s="1952"/>
      <c r="BR14" s="1952"/>
      <c r="BS14" s="1952"/>
      <c r="BT14" s="1952"/>
      <c r="BU14" s="1952"/>
      <c r="BV14" s="1952"/>
      <c r="BW14" s="1952"/>
      <c r="BX14" s="1952"/>
      <c r="BY14" s="1952"/>
      <c r="BZ14" s="1952"/>
      <c r="CA14" s="1952"/>
      <c r="CB14" s="1952"/>
      <c r="CC14" s="1952"/>
      <c r="CD14" s="1952"/>
      <c r="CE14" s="1952"/>
      <c r="CF14" s="1952"/>
      <c r="CG14" s="1952"/>
      <c r="CH14" s="1952"/>
    </row>
    <row r="15" spans="1:137" ht="12" hidden="1" customHeight="1" outlineLevel="1" x14ac:dyDescent="0.2">
      <c r="C15" s="1946"/>
      <c r="D15" s="1946"/>
      <c r="E15" s="1946"/>
      <c r="F15" s="1946"/>
      <c r="G15" s="1946"/>
      <c r="H15" s="1946"/>
      <c r="I15" s="1946"/>
      <c r="L15" s="1946"/>
      <c r="M15" s="1946"/>
      <c r="N15" s="1946"/>
      <c r="O15" s="1946"/>
      <c r="BA15" s="1952"/>
      <c r="BB15" s="1952"/>
      <c r="BC15" s="1952"/>
      <c r="BD15" s="1952"/>
      <c r="BE15" s="1952"/>
      <c r="BF15" s="1952"/>
      <c r="BG15" s="1952"/>
      <c r="BH15" s="1952"/>
      <c r="BI15" s="1952"/>
      <c r="BJ15" s="1952"/>
      <c r="BK15" s="1952"/>
      <c r="BL15" s="1952"/>
      <c r="BM15" s="1952"/>
      <c r="BN15" s="1952"/>
      <c r="BO15" s="1952"/>
      <c r="BP15" s="1952"/>
    </row>
    <row r="16" spans="1:137" ht="12" hidden="1" customHeight="1" outlineLevel="1" x14ac:dyDescent="0.2">
      <c r="C16" s="1946"/>
      <c r="D16" s="1946"/>
      <c r="E16" s="1946"/>
      <c r="F16" s="1946"/>
      <c r="G16" s="1946"/>
      <c r="H16" s="1946"/>
      <c r="I16" s="1946"/>
      <c r="L16" s="1946"/>
      <c r="M16" s="1946"/>
      <c r="N16" s="1946"/>
      <c r="O16" s="1946"/>
      <c r="BA16" s="1952"/>
      <c r="BB16" s="1952"/>
      <c r="BC16" s="1952"/>
      <c r="BD16" s="1952"/>
      <c r="BE16" s="1952"/>
      <c r="BF16" s="1952"/>
      <c r="BG16" s="1952"/>
      <c r="BH16" s="1952"/>
      <c r="BI16" s="1952"/>
      <c r="BJ16" s="1952"/>
      <c r="BK16" s="1952"/>
      <c r="BL16" s="1952"/>
      <c r="BM16" s="1952"/>
      <c r="BN16" s="1952"/>
      <c r="BO16" s="1952"/>
      <c r="BP16" s="1952"/>
      <c r="BQ16" s="1952"/>
      <c r="BR16" s="1952"/>
      <c r="BS16" s="1952"/>
      <c r="BT16" s="1952"/>
      <c r="BU16" s="1952"/>
      <c r="BV16" s="1952"/>
      <c r="BW16" s="1952"/>
      <c r="BX16" s="1952"/>
      <c r="BY16" s="1952"/>
      <c r="BZ16" s="1952"/>
      <c r="CA16" s="1952"/>
      <c r="CB16" s="1952"/>
      <c r="CC16" s="1952"/>
      <c r="CD16" s="1952"/>
      <c r="CE16" s="1952"/>
      <c r="CF16" s="1952"/>
      <c r="CG16" s="1952"/>
      <c r="CH16" s="1952"/>
    </row>
    <row r="17" spans="1:138" ht="12" hidden="1" customHeight="1" outlineLevel="1" x14ac:dyDescent="0.2">
      <c r="C17" s="1946"/>
      <c r="D17" s="1946"/>
      <c r="E17" s="1946"/>
      <c r="F17" s="1946"/>
      <c r="G17" s="1946"/>
      <c r="H17" s="1946"/>
      <c r="I17" s="1946"/>
      <c r="L17" s="1946"/>
      <c r="M17" s="1946"/>
      <c r="N17" s="1946"/>
      <c r="O17" s="1946"/>
      <c r="BA17" s="1952"/>
      <c r="BB17" s="1952"/>
      <c r="BC17" s="1952"/>
      <c r="BD17" s="1952"/>
      <c r="BE17" s="1952"/>
      <c r="BF17" s="1952"/>
      <c r="BG17" s="1952"/>
      <c r="BH17" s="1952"/>
      <c r="BI17" s="1952"/>
      <c r="BJ17" s="1952"/>
      <c r="BK17" s="1952"/>
      <c r="BL17" s="1952"/>
      <c r="BM17" s="1952"/>
      <c r="BN17" s="1952"/>
      <c r="BO17" s="1952"/>
      <c r="BP17" s="1952"/>
      <c r="BQ17" s="1952"/>
      <c r="BR17" s="1952"/>
      <c r="BS17" s="1952"/>
      <c r="BT17" s="1952"/>
      <c r="BU17" s="1952"/>
      <c r="BV17" s="1952"/>
      <c r="BW17" s="1952"/>
      <c r="BX17" s="1952"/>
      <c r="BY17" s="1952"/>
      <c r="BZ17" s="1952"/>
      <c r="CA17" s="1952"/>
      <c r="CB17" s="1952"/>
      <c r="CC17" s="1952"/>
      <c r="CD17" s="1952"/>
      <c r="CE17" s="1952"/>
      <c r="CF17" s="1952"/>
      <c r="CG17" s="1952"/>
      <c r="CH17" s="1952"/>
    </row>
    <row r="18" spans="1:138" ht="12" hidden="1" customHeight="1" outlineLevel="1" x14ac:dyDescent="0.2">
      <c r="C18" s="1946"/>
      <c r="D18" s="1946"/>
      <c r="E18" s="1946"/>
      <c r="F18" s="1946"/>
      <c r="G18" s="1946"/>
      <c r="H18" s="1946"/>
      <c r="I18" s="1946"/>
      <c r="L18" s="1946"/>
      <c r="M18" s="1946"/>
      <c r="N18" s="1946"/>
      <c r="O18" s="1946"/>
      <c r="BA18" s="1952"/>
      <c r="BB18" s="1952"/>
      <c r="BC18" s="1952"/>
      <c r="BD18" s="1952"/>
      <c r="BE18" s="1952"/>
      <c r="BF18" s="1952"/>
      <c r="BG18" s="1952"/>
      <c r="BH18" s="1952"/>
      <c r="BI18" s="1952"/>
      <c r="BJ18" s="1952"/>
      <c r="BK18" s="1952"/>
      <c r="BL18" s="1952"/>
      <c r="BM18" s="1952"/>
      <c r="BN18" s="1952"/>
      <c r="BO18" s="1952"/>
      <c r="BP18" s="1952"/>
      <c r="BQ18" s="1952"/>
      <c r="BR18" s="1952"/>
      <c r="BS18" s="1952"/>
      <c r="BT18" s="1952"/>
      <c r="BU18" s="1952"/>
      <c r="BV18" s="1952"/>
      <c r="BW18" s="1952"/>
      <c r="BX18" s="1952"/>
      <c r="BY18" s="1952"/>
      <c r="BZ18" s="1952"/>
      <c r="CA18" s="1952"/>
      <c r="CB18" s="1952"/>
      <c r="CC18" s="1952"/>
      <c r="CD18" s="1952"/>
      <c r="CE18" s="1952"/>
      <c r="CF18" s="1952"/>
      <c r="CG18" s="1952"/>
      <c r="CH18" s="1952"/>
    </row>
    <row r="19" spans="1:138" ht="12" hidden="1" customHeight="1" outlineLevel="1" x14ac:dyDescent="0.2">
      <c r="B19" s="1953" t="s">
        <v>2412</v>
      </c>
      <c r="C19" s="1946"/>
      <c r="D19" s="1946"/>
      <c r="E19" s="1946"/>
      <c r="F19" s="1946"/>
      <c r="G19" s="1946"/>
      <c r="H19" s="1946"/>
      <c r="I19" s="1946"/>
      <c r="L19" s="1946"/>
      <c r="M19" s="1946"/>
      <c r="N19" s="1946"/>
      <c r="O19" s="1946"/>
      <c r="BA19" s="1952"/>
      <c r="BB19" s="1952"/>
      <c r="BC19" s="1952"/>
      <c r="BD19" s="1952"/>
      <c r="BE19" s="1952"/>
      <c r="BF19" s="1952"/>
      <c r="BG19" s="1952"/>
      <c r="BH19" s="1952"/>
      <c r="BI19" s="1952"/>
      <c r="BJ19" s="1952"/>
      <c r="BK19" s="1952"/>
      <c r="BL19" s="1952"/>
      <c r="BM19" s="1952"/>
      <c r="BN19" s="1952"/>
      <c r="BO19" s="1952"/>
      <c r="BP19" s="1952"/>
      <c r="BQ19" s="1952"/>
      <c r="BR19" s="1952"/>
      <c r="BS19" s="1952"/>
      <c r="BT19" s="1952"/>
      <c r="BU19" s="1952"/>
      <c r="BV19" s="1952"/>
      <c r="BW19" s="1952"/>
      <c r="BX19" s="1952"/>
      <c r="BY19" s="1952"/>
      <c r="BZ19" s="1952"/>
      <c r="CA19" s="1952"/>
      <c r="CB19" s="1952"/>
      <c r="CC19" s="1952"/>
      <c r="CD19" s="1952"/>
      <c r="CE19" s="1952"/>
      <c r="CF19" s="1952"/>
      <c r="CG19" s="1952"/>
      <c r="CH19" s="1952"/>
    </row>
    <row r="20" spans="1:138" ht="12" hidden="1" customHeight="1" outlineLevel="1" x14ac:dyDescent="0.2">
      <c r="C20" s="1946"/>
      <c r="D20" s="1946"/>
      <c r="E20" s="1946"/>
      <c r="F20" s="1946"/>
      <c r="G20" s="1946"/>
      <c r="H20" s="1946"/>
      <c r="I20" s="1946"/>
      <c r="L20" s="1946"/>
      <c r="M20" s="1946"/>
      <c r="N20" s="1946"/>
      <c r="O20" s="1946"/>
      <c r="BA20" s="1952"/>
      <c r="BB20" s="1952"/>
      <c r="BC20" s="1952"/>
      <c r="BD20" s="1952"/>
      <c r="BE20" s="1952"/>
      <c r="BF20" s="1952"/>
      <c r="BG20" s="1952"/>
      <c r="BH20" s="1952"/>
      <c r="BI20" s="1952"/>
      <c r="BJ20" s="1952"/>
      <c r="BK20" s="1952"/>
      <c r="BL20" s="1952"/>
      <c r="BM20" s="1952"/>
      <c r="BN20" s="1952"/>
      <c r="BO20" s="1952"/>
      <c r="BP20" s="1952"/>
      <c r="BQ20" s="1952"/>
      <c r="BR20" s="1952"/>
      <c r="BS20" s="1952"/>
      <c r="BT20" s="1952"/>
      <c r="BU20" s="1952"/>
      <c r="BV20" s="1952"/>
      <c r="BW20" s="1952"/>
      <c r="BX20" s="1952"/>
      <c r="BY20" s="1952"/>
      <c r="BZ20" s="1952"/>
      <c r="CA20" s="1952"/>
      <c r="CB20" s="1952"/>
      <c r="CC20" s="1952"/>
      <c r="CD20" s="1952"/>
      <c r="CE20" s="1952"/>
      <c r="CF20" s="1952"/>
      <c r="CG20" s="1952"/>
      <c r="CH20" s="1952"/>
    </row>
    <row r="21" spans="1:138" ht="12" hidden="1" customHeight="1" outlineLevel="1" x14ac:dyDescent="0.2">
      <c r="C21" s="1946"/>
      <c r="D21" s="1946"/>
      <c r="E21" s="1946"/>
      <c r="F21" s="1946"/>
      <c r="G21" s="1946"/>
      <c r="H21" s="1946"/>
      <c r="I21" s="1946"/>
      <c r="L21" s="1946"/>
      <c r="M21" s="1946"/>
      <c r="N21" s="1946"/>
      <c r="O21" s="1946"/>
      <c r="BA21" s="1952"/>
      <c r="BB21" s="1952"/>
      <c r="BC21" s="1952"/>
      <c r="BD21" s="1952"/>
      <c r="BE21" s="1952"/>
      <c r="BF21" s="1952"/>
      <c r="BG21" s="1952"/>
      <c r="BH21" s="1952"/>
      <c r="BI21" s="1952"/>
      <c r="BJ21" s="1952"/>
      <c r="BK21" s="1952"/>
      <c r="BL21" s="1952"/>
      <c r="BM21" s="1952"/>
      <c r="BN21" s="1952"/>
      <c r="BO21" s="1952"/>
      <c r="BP21" s="1952"/>
      <c r="BQ21" s="1952"/>
      <c r="BR21" s="1952"/>
      <c r="BS21" s="1952"/>
      <c r="BT21" s="1952"/>
      <c r="BU21" s="1952"/>
      <c r="BV21" s="1952"/>
      <c r="BW21" s="1952"/>
      <c r="BX21" s="1952"/>
      <c r="BY21" s="1952"/>
      <c r="BZ21" s="1952"/>
      <c r="CA21" s="1952"/>
      <c r="CB21" s="1952"/>
      <c r="CC21" s="1952"/>
      <c r="CD21" s="1952"/>
      <c r="CE21" s="1952"/>
      <c r="CF21" s="1952"/>
      <c r="CG21" s="1952"/>
      <c r="CH21" s="1952"/>
    </row>
    <row r="22" spans="1:138" ht="12" hidden="1" customHeight="1" outlineLevel="1" x14ac:dyDescent="0.2">
      <c r="C22" s="1946"/>
      <c r="D22" s="1946"/>
      <c r="E22" s="1946"/>
      <c r="F22" s="1946"/>
      <c r="G22" s="1946"/>
      <c r="H22" s="1946"/>
      <c r="I22" s="1946"/>
      <c r="L22" s="1946"/>
      <c r="M22" s="1946"/>
      <c r="N22" s="1946"/>
      <c r="O22" s="1946"/>
      <c r="BA22" s="1952"/>
      <c r="BB22" s="1952"/>
      <c r="BC22" s="1952"/>
      <c r="BD22" s="1952"/>
      <c r="BE22" s="1952"/>
      <c r="BF22" s="1952"/>
      <c r="BG22" s="1952"/>
      <c r="BH22" s="1952"/>
      <c r="BI22" s="1952"/>
      <c r="BJ22" s="1952"/>
      <c r="BK22" s="1952"/>
      <c r="BL22" s="1952"/>
      <c r="BM22" s="1952"/>
      <c r="BN22" s="1952"/>
      <c r="BO22" s="1952"/>
      <c r="BP22" s="1952"/>
      <c r="BQ22" s="1952"/>
      <c r="BR22" s="1952"/>
      <c r="BS22" s="1952"/>
      <c r="BT22" s="1952"/>
      <c r="BU22" s="1952"/>
      <c r="BV22" s="1952"/>
      <c r="BW22" s="1952"/>
      <c r="BX22" s="1952"/>
      <c r="BY22" s="1952"/>
      <c r="BZ22" s="1952"/>
      <c r="CA22" s="1952"/>
      <c r="CB22" s="1952"/>
      <c r="CC22" s="1952"/>
      <c r="CD22" s="1952"/>
      <c r="CE22" s="1952"/>
      <c r="CF22" s="1952"/>
      <c r="CG22" s="1952"/>
      <c r="CH22" s="1952"/>
    </row>
    <row r="23" spans="1:138" ht="12" hidden="1" customHeight="1" outlineLevel="1" x14ac:dyDescent="0.2">
      <c r="C23" s="1946"/>
      <c r="D23" s="1946"/>
      <c r="E23" s="1946"/>
      <c r="F23" s="1946"/>
      <c r="G23" s="1946"/>
      <c r="H23" s="1946"/>
      <c r="I23" s="1946"/>
      <c r="L23" s="1946"/>
      <c r="M23" s="1946"/>
      <c r="N23" s="1946"/>
      <c r="O23" s="1946"/>
      <c r="BA23" s="1951"/>
      <c r="BB23" s="1952"/>
      <c r="BC23" s="1951"/>
      <c r="BD23" s="1951"/>
      <c r="BE23" s="1951"/>
      <c r="BF23" s="1951"/>
      <c r="BG23" s="1951"/>
      <c r="BH23" s="1951"/>
      <c r="BI23" s="1951"/>
      <c r="BJ23" s="1951"/>
      <c r="BK23" s="1951"/>
      <c r="BL23" s="1951"/>
      <c r="BM23" s="1951"/>
      <c r="BN23" s="1951"/>
      <c r="BO23" s="1951"/>
      <c r="BP23" s="1951"/>
    </row>
    <row r="24" spans="1:138" ht="12" hidden="1" customHeight="1" outlineLevel="1" x14ac:dyDescent="0.2">
      <c r="C24" s="1946"/>
      <c r="D24" s="1946"/>
      <c r="E24" s="1946"/>
      <c r="F24" s="1946"/>
      <c r="G24" s="1946"/>
      <c r="H24" s="1946"/>
      <c r="I24" s="1946"/>
      <c r="L24" s="1946"/>
      <c r="M24" s="1946"/>
      <c r="N24" s="1946"/>
      <c r="O24" s="1946"/>
      <c r="BA24" s="1952"/>
      <c r="BB24" s="1952"/>
      <c r="BC24" s="1952"/>
      <c r="BD24" s="1952"/>
      <c r="BE24" s="1952"/>
      <c r="BF24" s="1952"/>
      <c r="BG24" s="1952"/>
      <c r="BH24" s="1952"/>
      <c r="BI24" s="1952"/>
      <c r="BJ24" s="1952"/>
      <c r="BK24" s="1952"/>
      <c r="BL24" s="1952"/>
      <c r="BM24" s="1952"/>
      <c r="BN24" s="1952"/>
      <c r="BO24" s="1952"/>
      <c r="BP24" s="1952"/>
      <c r="BQ24" s="1952"/>
      <c r="BR24" s="1952"/>
      <c r="BS24" s="1952"/>
      <c r="BT24" s="1952"/>
      <c r="BU24" s="1952"/>
      <c r="BV24" s="1952"/>
      <c r="BW24" s="1952"/>
      <c r="BX24" s="1952"/>
      <c r="BY24" s="1952"/>
      <c r="BZ24" s="1952"/>
      <c r="CA24" s="1952"/>
      <c r="CB24" s="1952"/>
      <c r="CC24" s="1952"/>
      <c r="CD24" s="1952"/>
      <c r="CE24" s="1952"/>
      <c r="CF24" s="1952"/>
      <c r="CG24" s="1952"/>
      <c r="CH24" s="1952"/>
      <c r="CI24" s="1952"/>
      <c r="CJ24" s="1952"/>
      <c r="CK24" s="1952"/>
      <c r="CL24" s="1952"/>
      <c r="CM24" s="1952"/>
      <c r="CN24" s="1952"/>
      <c r="CO24" s="1952"/>
      <c r="CP24" s="1952"/>
      <c r="CQ24" s="1952"/>
      <c r="CR24" s="1952"/>
      <c r="CS24" s="1952"/>
      <c r="CT24" s="1952"/>
      <c r="CU24" s="1952"/>
      <c r="CV24" s="1952"/>
      <c r="CW24" s="1952"/>
      <c r="CX24" s="1952"/>
      <c r="CY24" s="1952"/>
      <c r="CZ24" s="1952"/>
      <c r="DA24" s="1952"/>
      <c r="DB24" s="1952"/>
      <c r="DC24" s="1952"/>
      <c r="DD24" s="1952"/>
      <c r="DE24" s="1952"/>
      <c r="DF24" s="1952"/>
    </row>
    <row r="25" spans="1:138" ht="12" hidden="1" customHeight="1" outlineLevel="1" x14ac:dyDescent="0.2">
      <c r="C25" s="1946"/>
      <c r="D25" s="1948"/>
      <c r="E25" s="1946"/>
      <c r="F25" s="1948"/>
      <c r="G25" s="1948"/>
      <c r="H25" s="1946"/>
      <c r="I25" s="1948"/>
      <c r="L25" s="1946"/>
      <c r="M25" s="1946"/>
      <c r="N25" s="1946"/>
      <c r="O25" s="1946"/>
      <c r="AL25" s="1952"/>
      <c r="AR25" s="1952"/>
      <c r="AU25" s="1952"/>
      <c r="AW25" s="1952"/>
      <c r="BA25" s="1952"/>
      <c r="BC25" s="1952"/>
      <c r="BE25" s="1952"/>
      <c r="BG25" s="1952"/>
      <c r="BI25" s="1952"/>
      <c r="BK25" s="1952"/>
      <c r="BM25" s="1952"/>
      <c r="BO25" s="1952"/>
      <c r="BQ25" s="1952"/>
      <c r="BR25" s="1952"/>
      <c r="BS25" s="1952"/>
      <c r="BT25" s="1952"/>
      <c r="BU25" s="1952"/>
      <c r="BV25" s="1952"/>
      <c r="BW25" s="1952"/>
      <c r="BX25" s="1952"/>
      <c r="BY25" s="1952"/>
      <c r="BZ25" s="1952"/>
      <c r="CA25" s="1952"/>
      <c r="CB25" s="1952"/>
      <c r="CC25" s="1952"/>
      <c r="CD25" s="1952"/>
      <c r="CE25" s="1952"/>
      <c r="CF25" s="1952"/>
      <c r="CG25" s="1952"/>
      <c r="CH25" s="1952"/>
    </row>
    <row r="26" spans="1:138" ht="12" hidden="1" customHeight="1" outlineLevel="1" x14ac:dyDescent="0.2">
      <c r="A26" s="1946"/>
      <c r="B26" s="1946"/>
      <c r="C26" s="1946"/>
      <c r="D26" s="1948"/>
      <c r="E26" s="1946"/>
      <c r="F26" s="1948"/>
      <c r="G26" s="1948"/>
      <c r="H26" s="1946"/>
      <c r="I26" s="1948"/>
      <c r="L26" s="1946"/>
      <c r="M26" s="1946"/>
      <c r="N26" s="1946"/>
      <c r="O26" s="1946"/>
      <c r="AL26" s="1952"/>
      <c r="AR26" s="1952"/>
      <c r="AU26" s="1952"/>
      <c r="AW26" s="1952"/>
      <c r="BA26" s="1952"/>
      <c r="BB26" s="1952"/>
      <c r="BC26" s="1952"/>
      <c r="BD26" s="1952"/>
      <c r="BE26" s="1952"/>
      <c r="BF26" s="1952"/>
      <c r="BG26" s="1952"/>
      <c r="BH26" s="1952"/>
      <c r="BI26" s="1952"/>
      <c r="BJ26" s="1952"/>
      <c r="BK26" s="1952"/>
      <c r="BL26" s="1952"/>
      <c r="BM26" s="1952"/>
      <c r="BN26" s="1952"/>
      <c r="BO26" s="1952"/>
      <c r="BP26" s="1952"/>
      <c r="BQ26" s="1952"/>
      <c r="BS26" s="1952"/>
      <c r="BT26" s="1952"/>
      <c r="BU26" s="1952"/>
      <c r="BV26" s="1952"/>
      <c r="BW26" s="1952"/>
      <c r="BX26" s="1952"/>
      <c r="BY26" s="1952"/>
      <c r="BZ26" s="1952"/>
      <c r="CA26" s="1952"/>
      <c r="CB26" s="1952"/>
      <c r="CC26" s="1952"/>
      <c r="CD26" s="1952"/>
      <c r="CE26" s="1952"/>
      <c r="CF26" s="1952"/>
      <c r="CG26" s="1952"/>
      <c r="CH26" s="1952"/>
    </row>
    <row r="27" spans="1:138" ht="12" hidden="1" customHeight="1" outlineLevel="1" x14ac:dyDescent="0.2">
      <c r="A27" s="1951" t="s">
        <v>724</v>
      </c>
      <c r="B27" s="1952" t="s">
        <v>724</v>
      </c>
      <c r="C27" s="1948"/>
      <c r="D27" s="1948"/>
      <c r="E27" s="1948"/>
      <c r="F27" s="1948"/>
      <c r="G27" s="1948"/>
      <c r="H27" s="1948"/>
      <c r="I27" s="1948"/>
      <c r="J27" s="1952"/>
      <c r="K27" s="1952"/>
      <c r="L27" s="1948"/>
      <c r="M27" s="1948"/>
      <c r="N27" s="1948"/>
      <c r="O27" s="1948"/>
      <c r="P27" s="1952"/>
      <c r="Q27" s="1952"/>
      <c r="R27" s="1952"/>
      <c r="S27" s="1952"/>
      <c r="T27" s="1952"/>
      <c r="U27" s="1952"/>
      <c r="V27" s="1952"/>
      <c r="W27" s="1952"/>
      <c r="X27" s="1952"/>
      <c r="Y27" s="1952"/>
      <c r="Z27" s="1952"/>
      <c r="AA27" s="1952"/>
      <c r="AB27" s="1952"/>
      <c r="AC27" s="1952"/>
      <c r="AD27" s="1952"/>
      <c r="AE27" s="1952"/>
      <c r="AF27" s="1952"/>
      <c r="AG27" s="1952"/>
      <c r="AH27" s="1952"/>
      <c r="AI27" s="1952"/>
      <c r="AJ27" s="1952"/>
      <c r="AK27" s="1952"/>
      <c r="AL27" s="1952"/>
      <c r="AM27" s="1952"/>
      <c r="AN27" s="1952"/>
      <c r="AO27" s="1952"/>
      <c r="AP27" s="1952"/>
      <c r="AQ27" s="1952"/>
      <c r="AR27" s="1952"/>
      <c r="AS27" s="1952"/>
      <c r="AT27" s="1952"/>
      <c r="AU27" s="1952"/>
      <c r="AV27" s="1952"/>
      <c r="AW27" s="1952"/>
      <c r="AX27" s="1952"/>
      <c r="AY27" s="1952"/>
      <c r="AZ27" s="1952"/>
      <c r="BA27" s="1952"/>
      <c r="BB27" s="1952"/>
      <c r="BC27" s="1952"/>
      <c r="BD27" s="1952"/>
      <c r="BE27" s="1952"/>
      <c r="BF27" s="1952"/>
      <c r="BG27" s="1952"/>
      <c r="BH27" s="1952"/>
      <c r="BI27" s="1952"/>
      <c r="BJ27" s="1952"/>
      <c r="BK27" s="1952"/>
      <c r="BL27" s="1952"/>
      <c r="BM27" s="1952"/>
      <c r="BN27" s="1952"/>
      <c r="BO27" s="1952"/>
      <c r="BP27" s="1952"/>
      <c r="BQ27" s="1952"/>
      <c r="BR27" s="1952"/>
      <c r="BS27" s="1952"/>
      <c r="BT27" s="1952"/>
      <c r="BU27" s="1952"/>
      <c r="BV27" s="1952"/>
      <c r="BW27" s="1952"/>
      <c r="BX27" s="1952"/>
      <c r="BY27" s="1952"/>
      <c r="BZ27" s="1952"/>
      <c r="CA27" s="1952"/>
      <c r="CB27" s="1952"/>
      <c r="CC27" s="1952"/>
      <c r="CD27" s="1952"/>
      <c r="CE27" s="1952"/>
      <c r="CF27" s="1952"/>
      <c r="CG27" s="1952"/>
      <c r="CH27" s="1952"/>
      <c r="CI27" s="1951"/>
      <c r="CJ27" s="1951"/>
      <c r="CK27" s="1951"/>
      <c r="CL27" s="1951"/>
      <c r="CM27" s="1951"/>
      <c r="CN27" s="1951"/>
      <c r="CO27" s="1951"/>
      <c r="CP27" s="1951"/>
      <c r="CQ27" s="1951"/>
      <c r="CR27" s="1951"/>
      <c r="CS27" s="1951"/>
      <c r="CT27" s="1951"/>
      <c r="CU27" s="1951"/>
      <c r="CV27" s="1951"/>
      <c r="CW27" s="1951"/>
      <c r="CX27" s="1951"/>
      <c r="CY27" s="1951"/>
      <c r="CZ27" s="1951"/>
      <c r="DA27" s="1951"/>
      <c r="DB27" s="1951"/>
      <c r="DC27" s="1951"/>
      <c r="DD27" s="1951"/>
      <c r="DE27" s="1951"/>
      <c r="DF27" s="1951"/>
      <c r="DG27" s="1951"/>
      <c r="DH27" s="1951"/>
      <c r="DI27" s="1951"/>
      <c r="DJ27" s="1951"/>
      <c r="DK27" s="1951"/>
      <c r="DL27" s="1951"/>
      <c r="DM27" s="1951"/>
      <c r="DN27" s="1951"/>
      <c r="DO27" s="1951"/>
      <c r="DP27" s="1951"/>
      <c r="DQ27" s="1951"/>
      <c r="DR27" s="1951"/>
      <c r="DS27" s="1951"/>
      <c r="DT27" s="1951"/>
      <c r="DU27" s="1951"/>
      <c r="DV27" s="1951"/>
      <c r="DW27" s="1951"/>
      <c r="DX27" s="1951"/>
      <c r="DY27" s="1951"/>
      <c r="DZ27" s="1951"/>
      <c r="EA27" s="1951"/>
      <c r="EB27" s="1951"/>
      <c r="EC27" s="1951"/>
      <c r="ED27" s="1951"/>
      <c r="EE27" s="1951"/>
      <c r="EF27" s="1951"/>
      <c r="EG27" s="1951"/>
      <c r="EH27" s="1951"/>
    </row>
    <row r="28" spans="1:138" ht="12" hidden="1" customHeight="1" outlineLevel="1" x14ac:dyDescent="0.2">
      <c r="A28" s="1951" t="s">
        <v>883</v>
      </c>
      <c r="B28" s="1952" t="s">
        <v>884</v>
      </c>
      <c r="C28" s="1948"/>
      <c r="D28" s="1948"/>
      <c r="E28" s="1948"/>
      <c r="F28" s="1948"/>
      <c r="G28" s="1948"/>
      <c r="H28" s="1948"/>
      <c r="I28" s="1948"/>
      <c r="J28" s="1952"/>
      <c r="K28" s="1952"/>
      <c r="L28" s="1948"/>
      <c r="M28" s="1948"/>
      <c r="N28" s="1948"/>
      <c r="O28" s="1948"/>
      <c r="P28" s="1952"/>
      <c r="Q28" s="1952"/>
      <c r="R28" s="1952"/>
      <c r="S28" s="1952"/>
      <c r="T28" s="1952"/>
      <c r="U28" s="1952"/>
      <c r="V28" s="1952"/>
      <c r="W28" s="1952"/>
      <c r="X28" s="1952"/>
      <c r="Y28" s="1952"/>
      <c r="Z28" s="1952"/>
      <c r="AA28" s="1952"/>
      <c r="AB28" s="1952"/>
      <c r="AC28" s="1952"/>
      <c r="AD28" s="1952"/>
      <c r="AE28" s="1952"/>
      <c r="AF28" s="1952"/>
      <c r="AG28" s="1952"/>
      <c r="AH28" s="1952"/>
      <c r="AI28" s="1952"/>
      <c r="AJ28" s="1952"/>
      <c r="AK28" s="1952"/>
      <c r="AL28" s="1952"/>
      <c r="AM28" s="1952"/>
      <c r="AN28" s="1952"/>
      <c r="AO28" s="1952"/>
      <c r="AP28" s="1952"/>
      <c r="AQ28" s="1952"/>
      <c r="AR28" s="1952"/>
      <c r="AS28" s="1952"/>
      <c r="AT28" s="1952"/>
      <c r="AU28" s="1952"/>
      <c r="AV28" s="1952"/>
      <c r="AW28" s="1952"/>
      <c r="AX28" s="1952"/>
      <c r="AY28" s="1952"/>
      <c r="AZ28" s="1952"/>
      <c r="BA28" s="1952"/>
      <c r="BB28" s="1952"/>
      <c r="BC28" s="1952"/>
      <c r="BD28" s="1952"/>
      <c r="BE28" s="1952"/>
      <c r="BF28" s="1952"/>
      <c r="BG28" s="1952"/>
      <c r="BH28" s="1952"/>
      <c r="BI28" s="1952"/>
      <c r="BJ28" s="1952"/>
      <c r="BK28" s="1952"/>
      <c r="BL28" s="1952"/>
      <c r="BM28" s="1952"/>
      <c r="BN28" s="1952"/>
      <c r="BO28" s="1952"/>
      <c r="BP28" s="1952"/>
      <c r="BQ28" s="1952"/>
      <c r="BR28" s="1952"/>
      <c r="BS28" s="1952"/>
      <c r="BT28" s="1952"/>
      <c r="BU28" s="1952"/>
      <c r="BV28" s="1952"/>
      <c r="BW28" s="1952"/>
      <c r="BX28" s="1952"/>
      <c r="BY28" s="1952"/>
      <c r="BZ28" s="1952"/>
      <c r="CA28" s="1952"/>
      <c r="CB28" s="1952"/>
      <c r="CC28" s="1952"/>
      <c r="CD28" s="1952"/>
      <c r="CE28" s="1952"/>
      <c r="CF28" s="1952"/>
      <c r="CG28" s="1952"/>
      <c r="CH28" s="1952"/>
      <c r="CI28" s="1951"/>
      <c r="CJ28" s="1951"/>
      <c r="CK28" s="1951"/>
      <c r="CL28" s="1951"/>
      <c r="CM28" s="1951"/>
      <c r="CN28" s="1951"/>
      <c r="CO28" s="1951"/>
      <c r="CP28" s="1951"/>
      <c r="CQ28" s="1951"/>
      <c r="CR28" s="1951"/>
      <c r="CS28" s="1951"/>
      <c r="CT28" s="1951"/>
      <c r="CU28" s="1951"/>
      <c r="CV28" s="1951"/>
      <c r="CW28" s="1951"/>
      <c r="CX28" s="1951"/>
      <c r="CY28" s="1951"/>
      <c r="CZ28" s="1951"/>
      <c r="DA28" s="1951"/>
      <c r="DB28" s="1951"/>
      <c r="DC28" s="1951"/>
      <c r="DD28" s="1951"/>
      <c r="DE28" s="1951"/>
      <c r="DF28" s="1951"/>
      <c r="DG28" s="1951"/>
      <c r="DH28" s="1951"/>
      <c r="DI28" s="1951"/>
      <c r="DJ28" s="1951"/>
      <c r="DK28" s="1951"/>
      <c r="DL28" s="1951"/>
      <c r="DM28" s="1951"/>
      <c r="DN28" s="1951"/>
      <c r="DO28" s="1951"/>
      <c r="DP28" s="1951"/>
      <c r="DQ28" s="1951"/>
      <c r="DR28" s="1951"/>
      <c r="DS28" s="1951"/>
      <c r="DT28" s="1951"/>
      <c r="DU28" s="1951"/>
      <c r="DV28" s="1951"/>
      <c r="DW28" s="1951"/>
      <c r="DX28" s="1951"/>
      <c r="DY28" s="1951"/>
      <c r="DZ28" s="1951"/>
      <c r="EA28" s="1951"/>
      <c r="EB28" s="1951"/>
      <c r="EC28" s="1951"/>
      <c r="ED28" s="1951"/>
      <c r="EE28" s="1951"/>
      <c r="EF28" s="1951"/>
      <c r="EG28" s="1951"/>
      <c r="EH28" s="1951"/>
    </row>
    <row r="29" spans="1:138" ht="12" hidden="1" customHeight="1" outlineLevel="1" x14ac:dyDescent="0.2">
      <c r="A29" s="1951" t="s">
        <v>885</v>
      </c>
      <c r="B29" s="1952" t="s">
        <v>2264</v>
      </c>
      <c r="C29" s="1948"/>
      <c r="D29" s="1948"/>
      <c r="E29" s="1948"/>
      <c r="F29" s="1948"/>
      <c r="G29" s="1948"/>
      <c r="H29" s="1948"/>
      <c r="I29" s="1948"/>
      <c r="J29" s="1952"/>
      <c r="K29" s="1952"/>
      <c r="L29" s="1948"/>
      <c r="M29" s="1948"/>
      <c r="N29" s="1948"/>
      <c r="O29" s="1948"/>
      <c r="P29" s="1952"/>
      <c r="Q29" s="1952"/>
      <c r="R29" s="1952"/>
      <c r="S29" s="1952"/>
      <c r="T29" s="1952"/>
      <c r="U29" s="1952"/>
      <c r="V29" s="1952"/>
      <c r="W29" s="1952"/>
      <c r="X29" s="1952"/>
      <c r="Y29" s="1952"/>
      <c r="Z29" s="1952"/>
      <c r="AA29" s="1952"/>
      <c r="AB29" s="1952"/>
      <c r="AC29" s="1952"/>
      <c r="AD29" s="1952"/>
      <c r="AE29" s="1952"/>
      <c r="AF29" s="1952"/>
      <c r="AG29" s="1952"/>
      <c r="AH29" s="1952"/>
      <c r="AI29" s="1952"/>
      <c r="AJ29" s="1952"/>
      <c r="AK29" s="1952"/>
      <c r="AL29" s="1952"/>
      <c r="AM29" s="1952"/>
      <c r="AN29" s="1952"/>
      <c r="AO29" s="1952"/>
      <c r="AP29" s="1952"/>
      <c r="AQ29" s="1952"/>
      <c r="AR29" s="1952"/>
      <c r="AS29" s="1952"/>
      <c r="AT29" s="1952"/>
      <c r="AU29" s="1952"/>
      <c r="AV29" s="1952"/>
      <c r="AW29" s="1952"/>
      <c r="AX29" s="1952"/>
      <c r="AY29" s="1952"/>
      <c r="AZ29" s="1952"/>
      <c r="BA29" s="1952"/>
      <c r="BB29" s="1952"/>
      <c r="BC29" s="1952"/>
      <c r="BD29" s="1952"/>
      <c r="BE29" s="1952"/>
      <c r="BF29" s="1952"/>
      <c r="BG29" s="1952"/>
      <c r="BH29" s="1952"/>
      <c r="BI29" s="1952"/>
      <c r="BJ29" s="1952"/>
      <c r="BK29" s="1952"/>
      <c r="BL29" s="1952"/>
      <c r="BM29" s="1952"/>
      <c r="BN29" s="1952"/>
      <c r="BO29" s="1952"/>
      <c r="BP29" s="1952"/>
      <c r="BQ29" s="1952"/>
      <c r="BR29" s="1952"/>
      <c r="BS29" s="1952"/>
      <c r="BT29" s="1952"/>
      <c r="BU29" s="1952"/>
      <c r="BV29" s="1952"/>
      <c r="BW29" s="1952"/>
      <c r="BX29" s="1952"/>
      <c r="BY29" s="1952"/>
      <c r="BZ29" s="1952"/>
      <c r="CA29" s="1952"/>
      <c r="CB29" s="1952"/>
      <c r="CC29" s="1952"/>
      <c r="CD29" s="1952"/>
      <c r="CE29" s="1952"/>
      <c r="CF29" s="1952"/>
      <c r="CG29" s="1952"/>
      <c r="CH29" s="1952"/>
      <c r="CI29" s="1951"/>
      <c r="CJ29" s="1951"/>
      <c r="CK29" s="1951"/>
      <c r="CL29" s="1951"/>
      <c r="CM29" s="1951"/>
      <c r="CN29" s="1951"/>
      <c r="CO29" s="1951"/>
      <c r="CP29" s="1951"/>
      <c r="CQ29" s="1951"/>
      <c r="CR29" s="1951"/>
      <c r="CS29" s="1951"/>
      <c r="CT29" s="1951"/>
      <c r="CU29" s="1951"/>
      <c r="CV29" s="1951"/>
      <c r="CW29" s="1951"/>
      <c r="CX29" s="1951"/>
      <c r="CY29" s="1951"/>
      <c r="CZ29" s="1951"/>
      <c r="DA29" s="1951"/>
      <c r="DB29" s="1951"/>
      <c r="DC29" s="1951"/>
      <c r="DD29" s="1951"/>
      <c r="DE29" s="1951"/>
      <c r="DF29" s="1951"/>
      <c r="DG29" s="1951"/>
      <c r="DH29" s="1951"/>
      <c r="DI29" s="1951"/>
      <c r="DJ29" s="1951"/>
      <c r="DK29" s="1951"/>
      <c r="DL29" s="1951"/>
      <c r="DM29" s="1951"/>
      <c r="DN29" s="1951"/>
      <c r="DO29" s="1951"/>
      <c r="DP29" s="1951"/>
      <c r="DQ29" s="1951"/>
      <c r="DR29" s="1951"/>
      <c r="DS29" s="1951"/>
      <c r="DT29" s="1951"/>
      <c r="DU29" s="1951"/>
      <c r="DV29" s="1951"/>
      <c r="DW29" s="1951"/>
      <c r="DX29" s="1951"/>
      <c r="DY29" s="1951"/>
      <c r="DZ29" s="1951"/>
      <c r="EA29" s="1951"/>
      <c r="EB29" s="1951"/>
      <c r="EC29" s="1951"/>
      <c r="ED29" s="1951"/>
      <c r="EE29" s="1951"/>
      <c r="EF29" s="1951"/>
      <c r="EG29" s="1951"/>
      <c r="EH29" s="1951"/>
    </row>
    <row r="30" spans="1:138" ht="12" hidden="1" customHeight="1" outlineLevel="1" x14ac:dyDescent="0.2">
      <c r="A30" s="1951" t="s">
        <v>886</v>
      </c>
      <c r="B30" s="1952" t="s">
        <v>887</v>
      </c>
      <c r="C30" s="1948"/>
      <c r="D30" s="1948"/>
      <c r="E30" s="1948"/>
      <c r="F30" s="1948"/>
      <c r="G30" s="1948"/>
      <c r="H30" s="1948"/>
      <c r="I30" s="1948"/>
      <c r="J30" s="1952"/>
      <c r="K30" s="1952"/>
      <c r="L30" s="1948"/>
      <c r="M30" s="1948"/>
      <c r="N30" s="1948"/>
      <c r="O30" s="1948"/>
      <c r="P30" s="1952"/>
      <c r="Q30" s="1952"/>
      <c r="R30" s="1952"/>
      <c r="S30" s="1952"/>
      <c r="T30" s="1952"/>
      <c r="U30" s="1952"/>
      <c r="V30" s="1952"/>
      <c r="W30" s="1952"/>
      <c r="X30" s="1952"/>
      <c r="Y30" s="1952"/>
      <c r="Z30" s="1952"/>
      <c r="AA30" s="1952"/>
      <c r="AB30" s="1952"/>
      <c r="AC30" s="1952"/>
      <c r="AD30" s="1952"/>
      <c r="AE30" s="1952"/>
      <c r="AF30" s="1952"/>
      <c r="AG30" s="1952"/>
      <c r="AH30" s="1952"/>
      <c r="AI30" s="1952"/>
      <c r="AJ30" s="1952"/>
      <c r="AK30" s="1952"/>
      <c r="AL30" s="1952"/>
      <c r="AM30" s="1952"/>
      <c r="AN30" s="1952"/>
      <c r="AO30" s="1952"/>
      <c r="AP30" s="1952"/>
      <c r="AQ30" s="1952"/>
      <c r="AR30" s="1952"/>
      <c r="AS30" s="1952"/>
      <c r="AT30" s="1952"/>
      <c r="AU30" s="1952"/>
      <c r="AV30" s="1952"/>
      <c r="AW30" s="1952"/>
      <c r="AX30" s="1952"/>
      <c r="AY30" s="1952"/>
      <c r="AZ30" s="1952"/>
      <c r="BA30" s="1952"/>
      <c r="BB30" s="1952"/>
      <c r="BC30" s="1952"/>
      <c r="BD30" s="1952"/>
      <c r="BE30" s="1952"/>
      <c r="BF30" s="1952"/>
      <c r="BG30" s="1952"/>
      <c r="BH30" s="1952"/>
      <c r="BI30" s="1952"/>
      <c r="BJ30" s="1952"/>
      <c r="BK30" s="1952"/>
      <c r="BL30" s="1952"/>
      <c r="BM30" s="1952"/>
      <c r="BN30" s="1952"/>
      <c r="BO30" s="1952"/>
      <c r="BP30" s="1952"/>
      <c r="BQ30" s="1952"/>
      <c r="BR30" s="1952"/>
      <c r="BS30" s="1952"/>
      <c r="BT30" s="1952"/>
      <c r="BU30" s="1952"/>
      <c r="BV30" s="1952"/>
      <c r="BW30" s="1952"/>
      <c r="BX30" s="1952"/>
      <c r="BY30" s="1952"/>
      <c r="BZ30" s="1952"/>
      <c r="CA30" s="1952"/>
      <c r="CB30" s="1952"/>
      <c r="CC30" s="1952"/>
      <c r="CD30" s="1952"/>
      <c r="CE30" s="1952"/>
      <c r="CF30" s="1952"/>
      <c r="CG30" s="1952"/>
      <c r="CH30" s="1952"/>
      <c r="CI30" s="1951"/>
      <c r="CJ30" s="1951"/>
      <c r="CK30" s="1951"/>
      <c r="CL30" s="1951"/>
      <c r="CM30" s="1951"/>
      <c r="CN30" s="1951"/>
      <c r="CO30" s="1951"/>
      <c r="CP30" s="1951"/>
      <c r="CQ30" s="1951"/>
      <c r="CR30" s="1951"/>
      <c r="CS30" s="1951"/>
      <c r="CT30" s="1951"/>
      <c r="CU30" s="1951"/>
      <c r="CV30" s="1951"/>
      <c r="CW30" s="1951"/>
      <c r="CX30" s="1951"/>
      <c r="CY30" s="1951"/>
      <c r="CZ30" s="1951"/>
      <c r="DA30" s="1951"/>
      <c r="DB30" s="1951"/>
      <c r="DC30" s="1951"/>
      <c r="DD30" s="1951"/>
      <c r="DE30" s="1951"/>
      <c r="DF30" s="1951"/>
      <c r="DG30" s="1951"/>
      <c r="DH30" s="1951"/>
      <c r="DI30" s="1951"/>
      <c r="DJ30" s="1951"/>
      <c r="DK30" s="1951"/>
      <c r="DL30" s="1951"/>
      <c r="DM30" s="1951"/>
      <c r="DN30" s="1951"/>
      <c r="DO30" s="1951"/>
      <c r="DP30" s="1951"/>
      <c r="DQ30" s="1951"/>
      <c r="DR30" s="1951"/>
      <c r="DS30" s="1951"/>
      <c r="DT30" s="1951"/>
      <c r="DU30" s="1951"/>
      <c r="DV30" s="1951"/>
      <c r="DW30" s="1951"/>
      <c r="DX30" s="1951"/>
      <c r="DY30" s="1951"/>
      <c r="DZ30" s="1951"/>
      <c r="EA30" s="1951"/>
      <c r="EB30" s="1951"/>
      <c r="EC30" s="1951"/>
      <c r="ED30" s="1951"/>
      <c r="EE30" s="1951"/>
      <c r="EF30" s="1951"/>
      <c r="EG30" s="1951"/>
      <c r="EH30" s="1951"/>
    </row>
    <row r="31" spans="1:138" ht="12" hidden="1" customHeight="1" outlineLevel="1" x14ac:dyDescent="0.2">
      <c r="A31" s="1951" t="s">
        <v>888</v>
      </c>
      <c r="B31" s="1952" t="s">
        <v>889</v>
      </c>
      <c r="C31" s="1948"/>
      <c r="D31" s="1948"/>
      <c r="E31" s="1948"/>
      <c r="F31" s="1948"/>
      <c r="G31" s="1948"/>
      <c r="H31" s="1948"/>
      <c r="I31" s="1948"/>
      <c r="J31" s="1952"/>
      <c r="K31" s="1952"/>
      <c r="L31" s="1948"/>
      <c r="M31" s="1948"/>
      <c r="N31" s="1948"/>
      <c r="O31" s="1948"/>
      <c r="P31" s="1952"/>
      <c r="Q31" s="1952"/>
      <c r="R31" s="1952"/>
      <c r="S31" s="1952"/>
      <c r="T31" s="1952"/>
      <c r="U31" s="1952"/>
      <c r="V31" s="1952"/>
      <c r="W31" s="1952"/>
      <c r="X31" s="1952"/>
      <c r="Y31" s="1952"/>
      <c r="Z31" s="1952"/>
      <c r="AA31" s="1952"/>
      <c r="AB31" s="1952"/>
      <c r="AC31" s="1952"/>
      <c r="AD31" s="1952"/>
      <c r="AE31" s="1952"/>
      <c r="AF31" s="1952"/>
      <c r="AG31" s="1952"/>
      <c r="AH31" s="1952"/>
      <c r="AI31" s="1952"/>
      <c r="AJ31" s="1952"/>
      <c r="AK31" s="1952"/>
      <c r="AL31" s="1952"/>
      <c r="AM31" s="1952"/>
      <c r="AN31" s="1952"/>
      <c r="AO31" s="1952"/>
      <c r="AP31" s="1952"/>
      <c r="AQ31" s="1952"/>
      <c r="AR31" s="1952"/>
      <c r="AS31" s="1952"/>
      <c r="AT31" s="1952"/>
      <c r="AU31" s="1952"/>
      <c r="AV31" s="1952"/>
      <c r="AW31" s="1952"/>
      <c r="AX31" s="1952"/>
      <c r="AY31" s="1952"/>
      <c r="AZ31" s="1952"/>
      <c r="BA31" s="1952"/>
      <c r="BB31" s="1952"/>
      <c r="BC31" s="1952"/>
      <c r="BD31" s="1952"/>
      <c r="BE31" s="1952"/>
      <c r="BF31" s="1952"/>
      <c r="BG31" s="1952"/>
      <c r="BH31" s="1952"/>
      <c r="BI31" s="1952"/>
      <c r="BJ31" s="1952"/>
      <c r="BK31" s="1952"/>
      <c r="BL31" s="1952"/>
      <c r="BM31" s="1952"/>
      <c r="BN31" s="1952"/>
      <c r="BO31" s="1952"/>
      <c r="BP31" s="1952"/>
      <c r="BQ31" s="1952"/>
      <c r="BR31" s="1952"/>
      <c r="BS31" s="1952"/>
      <c r="BT31" s="1952"/>
      <c r="BU31" s="1952"/>
      <c r="BV31" s="1952"/>
      <c r="BW31" s="1952"/>
      <c r="BX31" s="1952"/>
      <c r="BY31" s="1952"/>
      <c r="BZ31" s="1952"/>
      <c r="CA31" s="1952"/>
      <c r="CB31" s="1952"/>
      <c r="CC31" s="1952"/>
      <c r="CD31" s="1952"/>
      <c r="CE31" s="1952"/>
      <c r="CF31" s="1952"/>
      <c r="CG31" s="1952"/>
      <c r="CH31" s="1952"/>
      <c r="CI31" s="1951"/>
      <c r="CJ31" s="1951"/>
      <c r="CK31" s="1951"/>
      <c r="CL31" s="1951"/>
      <c r="CM31" s="1951"/>
      <c r="CN31" s="1951"/>
      <c r="CO31" s="1951"/>
      <c r="CP31" s="1951"/>
      <c r="CQ31" s="1951"/>
      <c r="CR31" s="1951"/>
      <c r="CS31" s="1951"/>
      <c r="CT31" s="1951"/>
      <c r="CU31" s="1951"/>
      <c r="CV31" s="1951"/>
      <c r="CW31" s="1951"/>
      <c r="CX31" s="1951"/>
      <c r="CY31" s="1951"/>
      <c r="CZ31" s="1951"/>
      <c r="DA31" s="1951"/>
      <c r="DB31" s="1951"/>
      <c r="DC31" s="1951"/>
      <c r="DD31" s="1951"/>
      <c r="DE31" s="1951"/>
      <c r="DF31" s="1951"/>
      <c r="DG31" s="1951"/>
      <c r="DH31" s="1951"/>
      <c r="DI31" s="1951"/>
      <c r="DJ31" s="1951"/>
      <c r="DK31" s="1951"/>
      <c r="DL31" s="1951"/>
      <c r="DM31" s="1951"/>
      <c r="DN31" s="1951"/>
      <c r="DO31" s="1951"/>
      <c r="DP31" s="1951"/>
      <c r="DQ31" s="1951"/>
      <c r="DR31" s="1951"/>
      <c r="DS31" s="1951"/>
      <c r="DT31" s="1951"/>
      <c r="DU31" s="1951"/>
      <c r="DV31" s="1951"/>
      <c r="DW31" s="1951"/>
      <c r="DX31" s="1951"/>
      <c r="DY31" s="1951"/>
      <c r="DZ31" s="1951"/>
      <c r="EA31" s="1951"/>
      <c r="EB31" s="1951"/>
      <c r="EC31" s="1951"/>
      <c r="ED31" s="1951"/>
      <c r="EE31" s="1951"/>
      <c r="EF31" s="1951"/>
      <c r="EG31" s="1951"/>
      <c r="EH31" s="1951"/>
    </row>
    <row r="32" spans="1:138" ht="12" hidden="1" customHeight="1" outlineLevel="1" x14ac:dyDescent="0.2">
      <c r="A32" s="1951" t="s">
        <v>890</v>
      </c>
      <c r="B32" s="1952" t="s">
        <v>724</v>
      </c>
      <c r="C32" s="1948"/>
      <c r="D32" s="1948"/>
      <c r="E32" s="1948"/>
      <c r="F32" s="1948"/>
      <c r="G32" s="1948"/>
      <c r="H32" s="1948"/>
      <c r="I32" s="1948"/>
      <c r="J32" s="1952"/>
      <c r="K32" s="1952"/>
      <c r="L32" s="1948"/>
      <c r="M32" s="1948"/>
      <c r="N32" s="1948"/>
      <c r="O32" s="1948"/>
      <c r="P32" s="1952"/>
      <c r="Q32" s="1952"/>
      <c r="R32" s="1952"/>
      <c r="S32" s="1952"/>
      <c r="T32" s="1952"/>
      <c r="U32" s="1952"/>
      <c r="V32" s="1952"/>
      <c r="W32" s="1952"/>
      <c r="X32" s="1952"/>
      <c r="Y32" s="1952"/>
      <c r="Z32" s="1952"/>
      <c r="AA32" s="1952"/>
      <c r="AB32" s="1952"/>
      <c r="AC32" s="1952"/>
      <c r="AD32" s="1952"/>
      <c r="AE32" s="1952"/>
      <c r="AF32" s="1952"/>
      <c r="AG32" s="1952"/>
      <c r="AH32" s="1952"/>
      <c r="AI32" s="1952"/>
      <c r="AJ32" s="1952"/>
      <c r="AK32" s="1952"/>
      <c r="AL32" s="1952"/>
      <c r="AM32" s="1952"/>
      <c r="AN32" s="1952"/>
      <c r="AO32" s="1952"/>
      <c r="AP32" s="1952"/>
      <c r="AQ32" s="1952"/>
      <c r="AR32" s="1952"/>
      <c r="AS32" s="1952"/>
      <c r="AT32" s="1952"/>
      <c r="AU32" s="1952"/>
      <c r="AV32" s="1952"/>
      <c r="AW32" s="1952"/>
      <c r="AX32" s="1952"/>
      <c r="AY32" s="1952"/>
      <c r="AZ32" s="1952"/>
      <c r="BA32" s="1952"/>
      <c r="BB32" s="1952"/>
      <c r="BC32" s="1952"/>
      <c r="BD32" s="1952"/>
      <c r="BE32" s="1952"/>
      <c r="BF32" s="1952"/>
      <c r="BG32" s="1952"/>
      <c r="BH32" s="1952"/>
      <c r="BI32" s="1952"/>
      <c r="BJ32" s="1952"/>
      <c r="BK32" s="1952"/>
      <c r="BL32" s="1952"/>
      <c r="BM32" s="1952"/>
      <c r="BN32" s="1952"/>
      <c r="BO32" s="1952"/>
      <c r="BP32" s="1952"/>
      <c r="BQ32" s="1952"/>
      <c r="BR32" s="1952"/>
      <c r="BS32" s="1952"/>
      <c r="BT32" s="1952"/>
      <c r="BU32" s="1952"/>
      <c r="BV32" s="1952"/>
      <c r="BW32" s="1952"/>
      <c r="BX32" s="1952"/>
      <c r="BY32" s="1952"/>
      <c r="BZ32" s="1952"/>
      <c r="CA32" s="1952"/>
      <c r="CB32" s="1952"/>
      <c r="CC32" s="1952"/>
      <c r="CD32" s="1952"/>
      <c r="CE32" s="1952"/>
      <c r="CF32" s="1952"/>
      <c r="CG32" s="1952"/>
      <c r="CH32" s="1952"/>
      <c r="CI32" s="1951"/>
      <c r="CJ32" s="1951"/>
      <c r="CK32" s="1951"/>
      <c r="CL32" s="1951"/>
      <c r="CM32" s="1951"/>
      <c r="CN32" s="1951"/>
      <c r="CO32" s="1951"/>
      <c r="CP32" s="1951"/>
      <c r="CQ32" s="1951"/>
      <c r="CR32" s="1951"/>
      <c r="CS32" s="1951"/>
      <c r="CT32" s="1951"/>
      <c r="CU32" s="1951"/>
      <c r="CV32" s="1951"/>
      <c r="CW32" s="1951"/>
      <c r="CX32" s="1951"/>
      <c r="CY32" s="1951"/>
      <c r="CZ32" s="1951"/>
      <c r="DA32" s="1951"/>
      <c r="DB32" s="1951"/>
      <c r="DC32" s="1951"/>
      <c r="DD32" s="1951"/>
      <c r="DE32" s="1951"/>
      <c r="DF32" s="1951"/>
      <c r="DG32" s="1951"/>
      <c r="DH32" s="1951"/>
      <c r="DI32" s="1951"/>
      <c r="DJ32" s="1951"/>
      <c r="DK32" s="1951"/>
      <c r="DL32" s="1951"/>
      <c r="DM32" s="1951"/>
      <c r="DN32" s="1951"/>
      <c r="DO32" s="1951"/>
      <c r="DP32" s="1951"/>
      <c r="DQ32" s="1951"/>
      <c r="DR32" s="1951"/>
      <c r="DS32" s="1951"/>
      <c r="DT32" s="1951"/>
      <c r="DU32" s="1951"/>
      <c r="DV32" s="1951"/>
      <c r="DW32" s="1951"/>
      <c r="DX32" s="1951"/>
      <c r="DY32" s="1951"/>
      <c r="DZ32" s="1951"/>
      <c r="EA32" s="1951"/>
      <c r="EB32" s="1951"/>
      <c r="EC32" s="1951"/>
      <c r="ED32" s="1951"/>
      <c r="EE32" s="1951"/>
      <c r="EF32" s="1951"/>
      <c r="EG32" s="1951"/>
      <c r="EH32" s="1951"/>
    </row>
    <row r="33" spans="1:138" ht="12" hidden="1" customHeight="1" outlineLevel="1" x14ac:dyDescent="0.2">
      <c r="A33" s="1951" t="s">
        <v>891</v>
      </c>
      <c r="B33" s="1952" t="s">
        <v>2266</v>
      </c>
      <c r="C33" s="1948"/>
      <c r="D33" s="1952"/>
      <c r="E33" s="1948"/>
      <c r="F33" s="1952"/>
      <c r="G33" s="1952"/>
      <c r="H33" s="1948"/>
      <c r="I33" s="1952"/>
      <c r="J33" s="1952"/>
      <c r="K33" s="1952"/>
      <c r="L33" s="1948"/>
      <c r="M33" s="1948"/>
      <c r="N33" s="1948"/>
      <c r="O33" s="1948"/>
      <c r="P33" s="1952"/>
      <c r="Q33" s="1952"/>
      <c r="R33" s="1952"/>
      <c r="S33" s="1952"/>
      <c r="T33" s="1952"/>
      <c r="U33" s="1952"/>
      <c r="V33" s="1952"/>
      <c r="W33" s="1952"/>
      <c r="X33" s="1952"/>
      <c r="Y33" s="1952"/>
      <c r="Z33" s="1952"/>
      <c r="AA33" s="1952"/>
      <c r="AB33" s="1952"/>
      <c r="AC33" s="1952"/>
      <c r="AD33" s="1952"/>
      <c r="AE33" s="1952"/>
      <c r="AF33" s="1952"/>
      <c r="AG33" s="1952"/>
      <c r="AH33" s="1952"/>
      <c r="AI33" s="1952"/>
      <c r="AJ33" s="1952"/>
      <c r="AK33" s="1952"/>
      <c r="AL33" s="1952"/>
      <c r="AM33" s="1952"/>
      <c r="AN33" s="1952"/>
      <c r="AO33" s="1952"/>
      <c r="AP33" s="1952"/>
      <c r="AQ33" s="1952"/>
      <c r="AR33" s="1952"/>
      <c r="AS33" s="1952"/>
      <c r="AT33" s="1952"/>
      <c r="AU33" s="1952"/>
      <c r="AV33" s="1952"/>
      <c r="AW33" s="1952"/>
      <c r="AX33" s="1952"/>
      <c r="AY33" s="1952"/>
      <c r="AZ33" s="1952"/>
      <c r="BA33" s="1952"/>
      <c r="BB33" s="1952"/>
      <c r="BC33" s="1952"/>
      <c r="BD33" s="1952"/>
      <c r="BE33" s="1952"/>
      <c r="BF33" s="1952"/>
      <c r="BG33" s="1952"/>
      <c r="BH33" s="1952"/>
      <c r="BI33" s="1952"/>
      <c r="BJ33" s="1952"/>
      <c r="BK33" s="1952"/>
      <c r="BL33" s="1952"/>
      <c r="BM33" s="1952"/>
      <c r="BN33" s="1952"/>
      <c r="BO33" s="1952"/>
      <c r="BP33" s="1952"/>
      <c r="BQ33" s="1952"/>
      <c r="BR33" s="1952"/>
      <c r="BS33" s="1952"/>
      <c r="BT33" s="1952"/>
      <c r="BU33" s="1952"/>
      <c r="BV33" s="1952"/>
      <c r="BW33" s="1952"/>
      <c r="BX33" s="1952"/>
      <c r="BY33" s="1952"/>
      <c r="BZ33" s="1952"/>
      <c r="CA33" s="1952"/>
      <c r="CB33" s="1952"/>
      <c r="CC33" s="1952"/>
      <c r="CD33" s="1952"/>
      <c r="CE33" s="1952"/>
      <c r="CF33" s="1952"/>
      <c r="CG33" s="1952"/>
      <c r="CH33" s="1952"/>
      <c r="CI33" s="1951"/>
      <c r="CJ33" s="1951"/>
      <c r="CK33" s="1951"/>
      <c r="CL33" s="1951"/>
      <c r="CM33" s="1951"/>
      <c r="CN33" s="1951"/>
      <c r="CO33" s="1951"/>
      <c r="CP33" s="1951"/>
      <c r="CQ33" s="1951"/>
      <c r="CR33" s="1951"/>
      <c r="CS33" s="1951"/>
      <c r="CT33" s="1951"/>
      <c r="CU33" s="1951"/>
      <c r="CV33" s="1951"/>
      <c r="CW33" s="1951"/>
      <c r="CX33" s="1951"/>
      <c r="CY33" s="1951"/>
      <c r="CZ33" s="1951"/>
      <c r="DA33" s="1951"/>
      <c r="DB33" s="1951"/>
      <c r="DC33" s="1951"/>
      <c r="DD33" s="1951"/>
      <c r="DE33" s="1951"/>
      <c r="DF33" s="1951"/>
      <c r="DG33" s="1951"/>
      <c r="DH33" s="1951"/>
      <c r="DI33" s="1951"/>
      <c r="DJ33" s="1951"/>
      <c r="DK33" s="1951"/>
      <c r="DL33" s="1951"/>
      <c r="DM33" s="1951"/>
      <c r="DN33" s="1951"/>
      <c r="DO33" s="1951"/>
      <c r="DP33" s="1951"/>
      <c r="DQ33" s="1951"/>
      <c r="DR33" s="1951"/>
      <c r="DS33" s="1951"/>
      <c r="DT33" s="1951"/>
      <c r="DU33" s="1951"/>
      <c r="DV33" s="1951"/>
      <c r="DW33" s="1951"/>
      <c r="DX33" s="1951"/>
      <c r="DY33" s="1951"/>
      <c r="DZ33" s="1951"/>
      <c r="EA33" s="1951"/>
      <c r="EB33" s="1951"/>
      <c r="EC33" s="1951"/>
      <c r="ED33" s="1951"/>
      <c r="EE33" s="1951"/>
      <c r="EF33" s="1951"/>
      <c r="EG33" s="1951"/>
      <c r="EH33" s="1951"/>
    </row>
    <row r="34" spans="1:138" ht="12" hidden="1" customHeight="1" outlineLevel="1" x14ac:dyDescent="0.2">
      <c r="A34" s="1951" t="s">
        <v>893</v>
      </c>
      <c r="B34" s="1952" t="s">
        <v>724</v>
      </c>
      <c r="C34" s="1948"/>
      <c r="D34" s="1952"/>
      <c r="E34" s="1948"/>
      <c r="F34" s="1952"/>
      <c r="G34" s="1952"/>
      <c r="H34" s="1948"/>
      <c r="I34" s="1952"/>
      <c r="J34" s="1952"/>
      <c r="K34" s="1952"/>
      <c r="Y34" s="1952"/>
      <c r="Z34" s="1952"/>
      <c r="AA34" s="1952"/>
      <c r="AB34" s="1952"/>
      <c r="AC34" s="1952"/>
      <c r="AD34" s="1952"/>
      <c r="AE34" s="1952"/>
      <c r="AF34" s="1952"/>
      <c r="AG34" s="1952"/>
      <c r="AH34" s="1952"/>
      <c r="AI34" s="1952"/>
      <c r="AJ34" s="1952"/>
      <c r="AK34" s="1952"/>
      <c r="AL34" s="1952"/>
      <c r="AM34" s="1952"/>
      <c r="AN34" s="1952"/>
      <c r="AO34" s="1952"/>
      <c r="AP34" s="1952"/>
      <c r="AQ34" s="1952"/>
      <c r="AR34" s="1952"/>
      <c r="AS34" s="1952"/>
      <c r="AT34" s="1952"/>
      <c r="AU34" s="1952"/>
      <c r="AV34" s="1952"/>
      <c r="AW34" s="1952"/>
      <c r="AX34" s="1952"/>
      <c r="AY34" s="1952"/>
      <c r="AZ34" s="1952"/>
      <c r="BA34" s="1952"/>
      <c r="BB34" s="1952"/>
      <c r="BC34" s="1952"/>
      <c r="BD34" s="1952"/>
      <c r="BE34" s="1952"/>
      <c r="BF34" s="1952"/>
      <c r="BG34" s="1952"/>
      <c r="BH34" s="1952"/>
      <c r="BJ34" s="1952"/>
      <c r="BL34" s="1952"/>
      <c r="BM34" s="1952"/>
      <c r="BN34" s="1952"/>
      <c r="BP34" s="1952"/>
      <c r="BR34" s="1952"/>
      <c r="BS34" s="1952"/>
      <c r="BT34" s="1952"/>
      <c r="BU34" s="1952"/>
      <c r="BV34" s="1952"/>
      <c r="BW34" s="1952"/>
      <c r="BX34" s="1952"/>
      <c r="BY34" s="1952"/>
      <c r="BZ34" s="1952"/>
      <c r="CA34" s="1952"/>
      <c r="CB34" s="1952"/>
      <c r="CC34" s="1952"/>
      <c r="CD34" s="1952"/>
      <c r="CE34" s="1952"/>
      <c r="CF34" s="1952"/>
      <c r="CG34" s="1952"/>
      <c r="CH34" s="1952"/>
      <c r="CI34" s="1951"/>
      <c r="CJ34" s="1951"/>
      <c r="CK34" s="1951"/>
      <c r="CL34" s="1951"/>
      <c r="CN34" s="1951"/>
      <c r="CP34" s="1951"/>
      <c r="CR34" s="1951"/>
      <c r="CS34" s="1951"/>
      <c r="CT34" s="1951"/>
      <c r="CU34" s="1951"/>
      <c r="CV34" s="1951"/>
      <c r="CW34" s="1951"/>
      <c r="CX34" s="1951"/>
      <c r="CY34" s="1951"/>
      <c r="CZ34" s="1951"/>
      <c r="DA34" s="1951"/>
      <c r="DB34" s="1951"/>
      <c r="DC34" s="1951"/>
      <c r="DD34" s="1951"/>
      <c r="DE34" s="1951"/>
      <c r="DF34" s="1951"/>
      <c r="DG34" s="1951"/>
      <c r="DH34" s="1951"/>
      <c r="DI34" s="1951"/>
      <c r="DJ34" s="1951"/>
      <c r="DK34" s="1951"/>
      <c r="DL34" s="1951"/>
      <c r="DM34" s="1951"/>
      <c r="DN34" s="1951"/>
      <c r="DO34" s="1951"/>
      <c r="DP34" s="1951"/>
      <c r="DQ34" s="1951"/>
      <c r="DR34" s="1951"/>
      <c r="DS34" s="1951"/>
      <c r="DT34" s="1951"/>
      <c r="DU34" s="1951"/>
      <c r="DV34" s="1951"/>
      <c r="DW34" s="1951"/>
      <c r="DX34" s="1951"/>
      <c r="DY34" s="1951"/>
      <c r="DZ34" s="1951"/>
      <c r="EA34" s="1951"/>
      <c r="EB34" s="1951"/>
      <c r="EC34" s="1951"/>
      <c r="ED34" s="1951"/>
      <c r="EE34" s="1951"/>
      <c r="EF34" s="1951"/>
      <c r="EG34" s="1951"/>
      <c r="EH34" s="1951"/>
    </row>
    <row r="35" spans="1:138" ht="12" hidden="1" customHeight="1" outlineLevel="1" x14ac:dyDescent="0.2">
      <c r="A35" s="1951"/>
      <c r="B35" s="1951"/>
      <c r="C35" s="1951"/>
      <c r="D35" s="1951"/>
      <c r="J35" s="1951"/>
      <c r="K35" s="1951"/>
      <c r="L35" s="1951"/>
      <c r="M35" s="1951"/>
      <c r="N35" s="1951"/>
      <c r="O35" s="1951"/>
      <c r="P35" s="1951"/>
      <c r="Q35" s="1951"/>
      <c r="R35" s="1951"/>
      <c r="S35" s="1951"/>
      <c r="T35" s="1951"/>
      <c r="U35" s="1951"/>
      <c r="V35" s="1951"/>
      <c r="W35" s="1951"/>
      <c r="X35" s="1951"/>
      <c r="Y35" s="1951"/>
      <c r="Z35" s="1951"/>
      <c r="AA35" s="1951"/>
      <c r="AB35" s="1951"/>
      <c r="AC35" s="1951"/>
      <c r="AD35" s="1951"/>
      <c r="AE35" s="1951"/>
      <c r="AF35" s="1951"/>
      <c r="AG35" s="1951"/>
      <c r="AH35" s="1957"/>
      <c r="AI35" s="1951"/>
      <c r="AJ35" s="1951"/>
      <c r="AK35" s="1951"/>
      <c r="AL35" s="1951"/>
      <c r="AM35" s="1951"/>
      <c r="AN35" s="1951"/>
      <c r="AO35" s="1951"/>
      <c r="AP35" s="1951"/>
      <c r="AQ35" s="1951"/>
      <c r="AR35" s="1951"/>
      <c r="AS35" s="1951"/>
      <c r="AT35" s="1951"/>
      <c r="AU35" s="1951"/>
      <c r="AV35" s="1951"/>
      <c r="AW35" s="1951"/>
      <c r="AX35" s="1951"/>
      <c r="AY35" s="1951"/>
      <c r="AZ35" s="1951"/>
      <c r="BA35" s="1951"/>
      <c r="BB35" s="1951"/>
      <c r="BC35" s="1951"/>
      <c r="BD35" s="1951"/>
      <c r="BE35" s="1951"/>
      <c r="BF35" s="1951"/>
      <c r="BG35" s="1951"/>
      <c r="BH35" s="1951"/>
      <c r="BI35" s="1951"/>
      <c r="BJ35" s="1951"/>
      <c r="BK35" s="1951"/>
      <c r="BL35" s="1951"/>
      <c r="BM35" s="1951"/>
      <c r="BN35" s="1951"/>
      <c r="BO35" s="1951"/>
      <c r="BP35" s="1951"/>
    </row>
    <row r="36" spans="1:138" ht="13.5" collapsed="1" x14ac:dyDescent="0.25">
      <c r="A36" s="1958" t="s">
        <v>894</v>
      </c>
      <c r="B36" s="1959"/>
      <c r="C36" s="1958" t="s">
        <v>895</v>
      </c>
      <c r="D36" s="1959"/>
      <c r="E36" s="1958" t="s">
        <v>896</v>
      </c>
      <c r="F36" s="1960" t="s">
        <v>104</v>
      </c>
      <c r="G36" s="1960" t="s">
        <v>898</v>
      </c>
      <c r="H36" s="1960" t="s">
        <v>899</v>
      </c>
      <c r="I36" s="1960" t="s">
        <v>900</v>
      </c>
      <c r="L36" s="2202" t="s">
        <v>5585</v>
      </c>
      <c r="M36" s="2203" t="s">
        <v>5609</v>
      </c>
      <c r="N36" s="2203" t="s">
        <v>5645</v>
      </c>
      <c r="O36" s="2204" t="s">
        <v>5646</v>
      </c>
    </row>
    <row r="37" spans="1:138" ht="13.5" x14ac:dyDescent="0.25">
      <c r="A37" s="1980" t="s">
        <v>2413</v>
      </c>
      <c r="B37" s="1980" t="s">
        <v>2414</v>
      </c>
      <c r="C37" s="1980" t="s">
        <v>2415</v>
      </c>
      <c r="D37" s="1980" t="s">
        <v>2416</v>
      </c>
      <c r="E37" s="1980" t="s">
        <v>906</v>
      </c>
      <c r="F37" s="1985">
        <v>2346.5100000000002</v>
      </c>
      <c r="G37" s="1962">
        <v>606.27254563213637</v>
      </c>
      <c r="H37" s="1962">
        <v>167.56686508541156</v>
      </c>
      <c r="I37" s="1962">
        <v>138.47304688164002</v>
      </c>
      <c r="K37" s="2023">
        <f t="shared" ref="K37:K38" si="0">IF(L37&lt;&gt;"",186,"")</f>
        <v>186</v>
      </c>
      <c r="L37" s="2205" t="s">
        <v>394</v>
      </c>
      <c r="M37" s="2206">
        <f t="shared" ref="M37:O38" si="1">IF($L37="PTD",$F37*N$95,IF($L37="PROD",$F37*N$96,IF($L37="TRANS",$F37*N$97,IF($L37="DIST",$F37*N$98,IF($L37="LABOR",$F37*N$99,IF($L37="TD",$F37*N$100,0))))))</f>
        <v>2346.5100000000002</v>
      </c>
      <c r="N37" s="2206">
        <f t="shared" si="1"/>
        <v>0</v>
      </c>
      <c r="O37" s="2206">
        <f t="shared" si="1"/>
        <v>0</v>
      </c>
    </row>
    <row r="38" spans="1:138" ht="13.5" x14ac:dyDescent="0.25">
      <c r="A38" s="1980" t="s">
        <v>2413</v>
      </c>
      <c r="B38" s="1980" t="s">
        <v>2414</v>
      </c>
      <c r="C38" s="1980" t="s">
        <v>2417</v>
      </c>
      <c r="D38" s="1980" t="s">
        <v>2418</v>
      </c>
      <c r="E38" s="1980" t="s">
        <v>906</v>
      </c>
      <c r="F38" s="1985">
        <v>-2040</v>
      </c>
      <c r="G38" s="1962">
        <v>-527.07893556369163</v>
      </c>
      <c r="H38" s="1962">
        <v>-145.67864819422869</v>
      </c>
      <c r="I38" s="1962">
        <v>-120.38517442437731</v>
      </c>
      <c r="K38" s="2023">
        <f t="shared" si="0"/>
        <v>186</v>
      </c>
      <c r="L38" s="2205" t="s">
        <v>394</v>
      </c>
      <c r="M38" s="2206">
        <f t="shared" si="1"/>
        <v>-2040</v>
      </c>
      <c r="N38" s="2206">
        <f t="shared" si="1"/>
        <v>0</v>
      </c>
      <c r="O38" s="2206">
        <f t="shared" si="1"/>
        <v>0</v>
      </c>
    </row>
    <row r="39" spans="1:138" ht="13.5" outlineLevel="1" thickBot="1" x14ac:dyDescent="0.25">
      <c r="A39" s="1964" t="s">
        <v>2419</v>
      </c>
      <c r="B39" s="1964"/>
      <c r="C39" s="1964"/>
      <c r="D39" s="1964"/>
      <c r="E39" s="1964"/>
      <c r="F39" s="1965">
        <f t="shared" ref="F39:I39" si="2">SUBTOTAL(9,F37:F38)</f>
        <v>306.51000000000022</v>
      </c>
      <c r="G39" s="1965">
        <f t="shared" si="2"/>
        <v>79.193610068444741</v>
      </c>
      <c r="H39" s="1965">
        <f t="shared" si="2"/>
        <v>21.888216891182878</v>
      </c>
      <c r="I39" s="1965">
        <f t="shared" si="2"/>
        <v>18.087872457262705</v>
      </c>
      <c r="Q39" s="1953" t="s">
        <v>5588</v>
      </c>
    </row>
    <row r="40" spans="1:138" ht="13.5" x14ac:dyDescent="0.25">
      <c r="A40" s="1980" t="s">
        <v>2420</v>
      </c>
      <c r="B40" s="1980" t="s">
        <v>2421</v>
      </c>
      <c r="C40" s="1980" t="s">
        <v>2422</v>
      </c>
      <c r="D40" s="1980" t="s">
        <v>2423</v>
      </c>
      <c r="E40" s="1980" t="s">
        <v>913</v>
      </c>
      <c r="F40" s="1985">
        <v>41.595799999999997</v>
      </c>
      <c r="G40" s="1962">
        <v>11.635921319719873</v>
      </c>
      <c r="H40" s="1962">
        <v>3.1050965476666619</v>
      </c>
      <c r="I40" s="1962">
        <v>2.2184074383984478</v>
      </c>
      <c r="K40" s="2023">
        <f t="shared" ref="K40:K43" si="3">IF(L40&lt;&gt;"",186,"")</f>
        <v>186</v>
      </c>
      <c r="L40" s="2205" t="s">
        <v>99</v>
      </c>
      <c r="M40" s="2206">
        <f t="shared" ref="M40:O40" si="4">IF($L40="PTD",$F40*N$95,IF($L40="PROD",$F40*N$96,IF($L40="TRANS",$F40*N$97,IF($L40="DIST",$F40*N$98,IF($L40="LABOR",$F40*N$99,IF($L40="TD",$F40*N$100,0))))))</f>
        <v>18.310310758106858</v>
      </c>
      <c r="N40" s="2206">
        <f t="shared" si="4"/>
        <v>0</v>
      </c>
      <c r="O40" s="2206">
        <f t="shared" si="4"/>
        <v>23.285489241893135</v>
      </c>
      <c r="P40" s="2201" t="s">
        <v>5587</v>
      </c>
      <c r="Q40" s="1953" t="s">
        <v>5649</v>
      </c>
    </row>
    <row r="41" spans="1:138" ht="13.5" x14ac:dyDescent="0.25">
      <c r="A41" s="1980" t="s">
        <v>2420</v>
      </c>
      <c r="B41" s="1980" t="s">
        <v>2421</v>
      </c>
      <c r="C41" s="1980" t="s">
        <v>2424</v>
      </c>
      <c r="D41" s="1980" t="s">
        <v>2425</v>
      </c>
      <c r="E41" s="1980" t="s">
        <v>936</v>
      </c>
      <c r="F41" s="1985">
        <v>3607.0555800000002</v>
      </c>
      <c r="G41" s="1962">
        <v>0</v>
      </c>
      <c r="H41" s="1962">
        <v>0</v>
      </c>
      <c r="I41" s="1962">
        <v>0</v>
      </c>
      <c r="K41" s="2023">
        <f t="shared" si="3"/>
        <v>186</v>
      </c>
      <c r="L41" s="2205" t="s">
        <v>394</v>
      </c>
      <c r="M41" s="2206">
        <f t="shared" ref="M41:O41" si="5">IF($L41="PTD",$F41*N$95,IF($L41="PROD",$F41*N$96,IF($L41="TRANS",$F41*N$97,IF($L41="DIST",$F41*N$98,IF($L41="LABOR",$F41*N$99,IF($L41="TD",$F41*N$100,0))))))</f>
        <v>3607.0555800000002</v>
      </c>
      <c r="N41" s="2206">
        <f t="shared" si="5"/>
        <v>0</v>
      </c>
      <c r="O41" s="2206">
        <f t="shared" si="5"/>
        <v>0</v>
      </c>
    </row>
    <row r="42" spans="1:138" ht="13.5" x14ac:dyDescent="0.25">
      <c r="A42" s="1980" t="s">
        <v>2420</v>
      </c>
      <c r="B42" s="1980" t="s">
        <v>2421</v>
      </c>
      <c r="C42" s="1980" t="s">
        <v>2426</v>
      </c>
      <c r="D42" s="1980" t="s">
        <v>2427</v>
      </c>
      <c r="E42" s="1980" t="s">
        <v>936</v>
      </c>
      <c r="F42" s="1985">
        <v>83.292599999999993</v>
      </c>
      <c r="G42" s="1962">
        <v>0</v>
      </c>
      <c r="H42" s="1962">
        <v>0</v>
      </c>
      <c r="I42" s="1962">
        <v>0</v>
      </c>
      <c r="K42" s="2023">
        <f t="shared" si="3"/>
        <v>186</v>
      </c>
      <c r="L42" s="2205" t="s">
        <v>394</v>
      </c>
      <c r="M42" s="2206">
        <f t="shared" ref="M42:O42" si="6">IF($L42="PTD",$F42*N$95,IF($L42="PROD",$F42*N$96,IF($L42="TRANS",$F42*N$97,IF($L42="DIST",$F42*N$98,IF($L42="LABOR",$F42*N$99,IF($L42="TD",$F42*N$100,0))))))</f>
        <v>83.292599999999993</v>
      </c>
      <c r="N42" s="2206">
        <f t="shared" si="6"/>
        <v>0</v>
      </c>
      <c r="O42" s="2206">
        <f t="shared" si="6"/>
        <v>0</v>
      </c>
    </row>
    <row r="43" spans="1:138" ht="13.5" x14ac:dyDescent="0.25">
      <c r="A43" s="1980" t="s">
        <v>2420</v>
      </c>
      <c r="B43" s="1980" t="s">
        <v>2421</v>
      </c>
      <c r="C43" s="1980" t="s">
        <v>2428</v>
      </c>
      <c r="D43" s="1980" t="s">
        <v>2429</v>
      </c>
      <c r="E43" s="1980" t="s">
        <v>936</v>
      </c>
      <c r="F43" s="1985">
        <v>48.974310000000003</v>
      </c>
      <c r="G43" s="1962">
        <v>0</v>
      </c>
      <c r="H43" s="1962">
        <v>0</v>
      </c>
      <c r="I43" s="1962">
        <v>0</v>
      </c>
      <c r="K43" s="2023">
        <f t="shared" si="3"/>
        <v>186</v>
      </c>
      <c r="L43" s="2205" t="s">
        <v>394</v>
      </c>
      <c r="M43" s="2206">
        <f t="shared" ref="M43:O43" si="7">IF($L43="PTD",$F43*N$95,IF($L43="PROD",$F43*N$96,IF($L43="TRANS",$F43*N$97,IF($L43="DIST",$F43*N$98,IF($L43="LABOR",$F43*N$99,IF($L43="TD",$F43*N$100,0))))))</f>
        <v>48.974310000000003</v>
      </c>
      <c r="N43" s="2206">
        <f t="shared" si="7"/>
        <v>0</v>
      </c>
      <c r="O43" s="2206">
        <f t="shared" si="7"/>
        <v>0</v>
      </c>
    </row>
    <row r="44" spans="1:138" ht="13.5" outlineLevel="1" thickBot="1" x14ac:dyDescent="0.25">
      <c r="A44" s="1964" t="s">
        <v>2430</v>
      </c>
      <c r="B44" s="1964"/>
      <c r="C44" s="1964"/>
      <c r="D44" s="1964"/>
      <c r="E44" s="1964"/>
      <c r="F44" s="1965">
        <f t="shared" ref="F44:I44" si="8">SUBTOTAL(9,F40:F43)</f>
        <v>3780.9182900000001</v>
      </c>
      <c r="G44" s="1965">
        <f t="shared" si="8"/>
        <v>11.635921319719873</v>
      </c>
      <c r="H44" s="1965">
        <f t="shared" si="8"/>
        <v>3.1050965476666619</v>
      </c>
      <c r="I44" s="1965">
        <f t="shared" si="8"/>
        <v>2.2184074383984478</v>
      </c>
    </row>
    <row r="45" spans="1:138" ht="13.5" x14ac:dyDescent="0.25">
      <c r="A45" s="1980" t="s">
        <v>2431</v>
      </c>
      <c r="B45" s="1980" t="s">
        <v>2432</v>
      </c>
      <c r="C45" s="1980" t="s">
        <v>2433</v>
      </c>
      <c r="D45" s="1980" t="s">
        <v>2434</v>
      </c>
      <c r="E45" s="1980" t="s">
        <v>1083</v>
      </c>
      <c r="F45" s="1985">
        <v>663.92</v>
      </c>
      <c r="G45" s="1962">
        <v>179.88177025929619</v>
      </c>
      <c r="H45" s="1962">
        <v>50.57682074496509</v>
      </c>
      <c r="I45" s="1962">
        <v>35.942213032155095</v>
      </c>
      <c r="K45" s="2023">
        <f t="shared" ref="K45:K73" si="9">IF(L45&lt;&gt;"",186,"")</f>
        <v>186</v>
      </c>
      <c r="L45" s="2205" t="s">
        <v>394</v>
      </c>
      <c r="M45" s="2206">
        <f t="shared" ref="M45:O45" si="10">IF($L45="PTD",$F45*N$95,IF($L45="PROD",$F45*N$96,IF($L45="TRANS",$F45*N$97,IF($L45="DIST",$F45*N$98,IF($L45="LABOR",$F45*N$99,IF($L45="TD",$F45*N$100,0))))))</f>
        <v>663.92</v>
      </c>
      <c r="N45" s="2206">
        <f t="shared" si="10"/>
        <v>0</v>
      </c>
      <c r="O45" s="2206">
        <f t="shared" si="10"/>
        <v>0</v>
      </c>
    </row>
    <row r="46" spans="1:138" ht="13.5" x14ac:dyDescent="0.25">
      <c r="A46" s="1980" t="s">
        <v>2431</v>
      </c>
      <c r="B46" s="1980" t="s">
        <v>2432</v>
      </c>
      <c r="C46" s="1980" t="s">
        <v>2435</v>
      </c>
      <c r="D46" s="1980" t="s">
        <v>2436</v>
      </c>
      <c r="E46" s="1980" t="s">
        <v>1083</v>
      </c>
      <c r="F46" s="1985">
        <v>7269.24719</v>
      </c>
      <c r="G46" s="1962">
        <v>1969.5220101663072</v>
      </c>
      <c r="H46" s="1962">
        <v>553.7646283881661</v>
      </c>
      <c r="I46" s="1962">
        <v>393.53059267136831</v>
      </c>
      <c r="K46" s="2023">
        <f t="shared" si="9"/>
        <v>186</v>
      </c>
      <c r="L46" s="2205" t="s">
        <v>393</v>
      </c>
      <c r="M46" s="2206">
        <f t="shared" ref="M46:O46" si="11">IF($L46="PTD",$F46*N$95,IF($L46="PROD",$F46*N$96,IF($L46="TRANS",$F46*N$97,IF($L46="DIST",$F46*N$98,IF($L46="LABOR",$F46*N$99,IF($L46="TD",$F46*N$100,0))))))</f>
        <v>0</v>
      </c>
      <c r="N46" s="2206">
        <f t="shared" si="11"/>
        <v>0</v>
      </c>
      <c r="O46" s="2206">
        <f t="shared" si="11"/>
        <v>7269.24719</v>
      </c>
    </row>
    <row r="47" spans="1:138" ht="13.5" x14ac:dyDescent="0.25">
      <c r="A47" s="1980" t="s">
        <v>2431</v>
      </c>
      <c r="B47" s="1980" t="s">
        <v>2432</v>
      </c>
      <c r="C47" s="1980" t="s">
        <v>2437</v>
      </c>
      <c r="D47" s="1980" t="s">
        <v>2438</v>
      </c>
      <c r="E47" s="1980" t="s">
        <v>1083</v>
      </c>
      <c r="F47" s="1985">
        <v>1069.73633</v>
      </c>
      <c r="G47" s="1962">
        <v>289.83320995162472</v>
      </c>
      <c r="H47" s="1962">
        <v>81.491539051070646</v>
      </c>
      <c r="I47" s="1962">
        <v>57.911632517616226</v>
      </c>
      <c r="K47" s="2023">
        <f t="shared" si="9"/>
        <v>186</v>
      </c>
      <c r="L47" s="2205" t="s">
        <v>394</v>
      </c>
      <c r="M47" s="2206">
        <f t="shared" ref="M47:O47" si="12">IF($L47="PTD",$F47*N$95,IF($L47="PROD",$F47*N$96,IF($L47="TRANS",$F47*N$97,IF($L47="DIST",$F47*N$98,IF($L47="LABOR",$F47*N$99,IF($L47="TD",$F47*N$100,0))))))</f>
        <v>1069.73633</v>
      </c>
      <c r="N47" s="2206">
        <f t="shared" si="12"/>
        <v>0</v>
      </c>
      <c r="O47" s="2206">
        <f t="shared" si="12"/>
        <v>0</v>
      </c>
    </row>
    <row r="48" spans="1:138" ht="13.5" x14ac:dyDescent="0.25">
      <c r="A48" s="1980" t="s">
        <v>2431</v>
      </c>
      <c r="B48" s="1980" t="s">
        <v>2432</v>
      </c>
      <c r="C48" s="1980" t="s">
        <v>2439</v>
      </c>
      <c r="D48" s="1980" t="s">
        <v>2440</v>
      </c>
      <c r="E48" s="1980" t="s">
        <v>1083</v>
      </c>
      <c r="F48" s="1985">
        <v>28260.927530000001</v>
      </c>
      <c r="G48" s="1962">
        <v>7656.9852892909985</v>
      </c>
      <c r="H48" s="1962">
        <v>2152.8917125124399</v>
      </c>
      <c r="I48" s="1962">
        <v>1529.9437850487361</v>
      </c>
      <c r="K48" s="2023">
        <f t="shared" si="9"/>
        <v>186</v>
      </c>
      <c r="L48" s="2205" t="s">
        <v>394</v>
      </c>
      <c r="M48" s="2206">
        <f t="shared" ref="M48:O48" si="13">IF($L48="PTD",$F48*N$95,IF($L48="PROD",$F48*N$96,IF($L48="TRANS",$F48*N$97,IF($L48="DIST",$F48*N$98,IF($L48="LABOR",$F48*N$99,IF($L48="TD",$F48*N$100,0))))))</f>
        <v>28260.927530000001</v>
      </c>
      <c r="N48" s="2206">
        <f t="shared" si="13"/>
        <v>0</v>
      </c>
      <c r="O48" s="2206">
        <f t="shared" si="13"/>
        <v>0</v>
      </c>
    </row>
    <row r="49" spans="1:15" ht="13.5" x14ac:dyDescent="0.25">
      <c r="A49" s="1980" t="s">
        <v>2431</v>
      </c>
      <c r="B49" s="1980" t="s">
        <v>2432</v>
      </c>
      <c r="C49" s="1980" t="s">
        <v>2441</v>
      </c>
      <c r="D49" s="1980" t="s">
        <v>2442</v>
      </c>
      <c r="E49" s="1980" t="s">
        <v>1083</v>
      </c>
      <c r="F49" s="1985">
        <v>13211.062749999999</v>
      </c>
      <c r="G49" s="1962">
        <v>3579.3911231423153</v>
      </c>
      <c r="H49" s="1962">
        <v>1006.4067245409622</v>
      </c>
      <c r="I49" s="1962">
        <v>715.19886694431364</v>
      </c>
      <c r="K49" s="2023">
        <f t="shared" si="9"/>
        <v>186</v>
      </c>
      <c r="L49" s="2205" t="s">
        <v>394</v>
      </c>
      <c r="M49" s="2206">
        <f t="shared" ref="M49:O49" si="14">IF($L49="PTD",$F49*N$95,IF($L49="PROD",$F49*N$96,IF($L49="TRANS",$F49*N$97,IF($L49="DIST",$F49*N$98,IF($L49="LABOR",$F49*N$99,IF($L49="TD",$F49*N$100,0))))))</f>
        <v>13211.062749999999</v>
      </c>
      <c r="N49" s="2206">
        <f t="shared" si="14"/>
        <v>0</v>
      </c>
      <c r="O49" s="2206">
        <f t="shared" si="14"/>
        <v>0</v>
      </c>
    </row>
    <row r="50" spans="1:15" ht="13.5" x14ac:dyDescent="0.25">
      <c r="A50" s="1980" t="s">
        <v>2431</v>
      </c>
      <c r="B50" s="1980" t="s">
        <v>2432</v>
      </c>
      <c r="C50" s="1980" t="s">
        <v>2443</v>
      </c>
      <c r="D50" s="1980" t="s">
        <v>2444</v>
      </c>
      <c r="E50" s="1980" t="s">
        <v>1083</v>
      </c>
      <c r="F50" s="1985">
        <v>14034.79581</v>
      </c>
      <c r="G50" s="1962">
        <v>3802.5724718799752</v>
      </c>
      <c r="H50" s="1962">
        <v>1069.1579586012731</v>
      </c>
      <c r="I50" s="1962">
        <v>759.7927775422005</v>
      </c>
      <c r="K50" s="2023">
        <f t="shared" si="9"/>
        <v>186</v>
      </c>
      <c r="L50" s="2205" t="s">
        <v>394</v>
      </c>
      <c r="M50" s="2206">
        <f t="shared" ref="M50:O50" si="15">IF($L50="PTD",$F50*N$95,IF($L50="PROD",$F50*N$96,IF($L50="TRANS",$F50*N$97,IF($L50="DIST",$F50*N$98,IF($L50="LABOR",$F50*N$99,IF($L50="TD",$F50*N$100,0))))))</f>
        <v>14034.79581</v>
      </c>
      <c r="N50" s="2206">
        <f t="shared" si="15"/>
        <v>0</v>
      </c>
      <c r="O50" s="2206">
        <f t="shared" si="15"/>
        <v>0</v>
      </c>
    </row>
    <row r="51" spans="1:15" ht="13.5" x14ac:dyDescent="0.25">
      <c r="A51" s="1980" t="s">
        <v>2431</v>
      </c>
      <c r="B51" s="1980" t="s">
        <v>2432</v>
      </c>
      <c r="C51" s="1980" t="s">
        <v>2445</v>
      </c>
      <c r="D51" s="1980" t="s">
        <v>2446</v>
      </c>
      <c r="E51" s="1980" t="s">
        <v>1083</v>
      </c>
      <c r="F51" s="1985">
        <v>1780.2482500000001</v>
      </c>
      <c r="G51" s="1962">
        <v>482.33854487139138</v>
      </c>
      <c r="H51" s="1962">
        <v>135.61768981471835</v>
      </c>
      <c r="I51" s="1962">
        <v>96.376162567208866</v>
      </c>
      <c r="K51" s="2023">
        <f t="shared" si="9"/>
        <v>186</v>
      </c>
      <c r="L51" s="2205" t="s">
        <v>394</v>
      </c>
      <c r="M51" s="2206">
        <f t="shared" ref="M51:O51" si="16">IF($L51="PTD",$F51*N$95,IF($L51="PROD",$F51*N$96,IF($L51="TRANS",$F51*N$97,IF($L51="DIST",$F51*N$98,IF($L51="LABOR",$F51*N$99,IF($L51="TD",$F51*N$100,0))))))</f>
        <v>1780.2482500000001</v>
      </c>
      <c r="N51" s="2206">
        <f t="shared" si="16"/>
        <v>0</v>
      </c>
      <c r="O51" s="2206">
        <f t="shared" si="16"/>
        <v>0</v>
      </c>
    </row>
    <row r="52" spans="1:15" ht="13.5" x14ac:dyDescent="0.25">
      <c r="A52" s="1980" t="s">
        <v>2431</v>
      </c>
      <c r="B52" s="1980" t="s">
        <v>2432</v>
      </c>
      <c r="C52" s="1980" t="s">
        <v>2447</v>
      </c>
      <c r="D52" s="1980" t="s">
        <v>2448</v>
      </c>
      <c r="E52" s="1980" t="s">
        <v>1083</v>
      </c>
      <c r="F52" s="1985">
        <v>668.21939999999995</v>
      </c>
      <c r="G52" s="1962">
        <v>181.04664506808766</v>
      </c>
      <c r="H52" s="1962">
        <v>50.904345120056824</v>
      </c>
      <c r="I52" s="1962">
        <v>36.17496690417348</v>
      </c>
      <c r="K52" s="2023">
        <f t="shared" si="9"/>
        <v>186</v>
      </c>
      <c r="L52" s="2205" t="s">
        <v>394</v>
      </c>
      <c r="M52" s="2206">
        <f t="shared" ref="M52:O52" si="17">IF($L52="PTD",$F52*N$95,IF($L52="PROD",$F52*N$96,IF($L52="TRANS",$F52*N$97,IF($L52="DIST",$F52*N$98,IF($L52="LABOR",$F52*N$99,IF($L52="TD",$F52*N$100,0))))))</f>
        <v>668.21939999999995</v>
      </c>
      <c r="N52" s="2206">
        <f t="shared" si="17"/>
        <v>0</v>
      </c>
      <c r="O52" s="2206">
        <f t="shared" si="17"/>
        <v>0</v>
      </c>
    </row>
    <row r="53" spans="1:15" ht="13.5" x14ac:dyDescent="0.25">
      <c r="A53" s="1980" t="s">
        <v>2431</v>
      </c>
      <c r="B53" s="1980" t="s">
        <v>2432</v>
      </c>
      <c r="C53" s="1980" t="s">
        <v>2449</v>
      </c>
      <c r="D53" s="1980" t="s">
        <v>2450</v>
      </c>
      <c r="E53" s="1980" t="s">
        <v>1083</v>
      </c>
      <c r="F53" s="1985">
        <v>56054.91</v>
      </c>
      <c r="G53" s="1962">
        <v>15187.45698657297</v>
      </c>
      <c r="H53" s="1962">
        <v>4270.2119757578494</v>
      </c>
      <c r="I53" s="1962">
        <v>3034.6088635954352</v>
      </c>
      <c r="K53" s="2023">
        <f t="shared" si="9"/>
        <v>186</v>
      </c>
      <c r="L53" s="2205" t="s">
        <v>393</v>
      </c>
      <c r="M53" s="2206">
        <f t="shared" ref="M53:O53" si="18">IF($L53="PTD",$F53*N$95,IF($L53="PROD",$F53*N$96,IF($L53="TRANS",$F53*N$97,IF($L53="DIST",$F53*N$98,IF($L53="LABOR",$F53*N$99,IF($L53="TD",$F53*N$100,0))))))</f>
        <v>0</v>
      </c>
      <c r="N53" s="2206">
        <f t="shared" si="18"/>
        <v>0</v>
      </c>
      <c r="O53" s="2206">
        <f t="shared" si="18"/>
        <v>56054.91</v>
      </c>
    </row>
    <row r="54" spans="1:15" ht="13.5" x14ac:dyDescent="0.25">
      <c r="A54" s="1980" t="s">
        <v>2431</v>
      </c>
      <c r="B54" s="1980" t="s">
        <v>2432</v>
      </c>
      <c r="C54" s="1980" t="s">
        <v>2451</v>
      </c>
      <c r="D54" s="1980" t="s">
        <v>2452</v>
      </c>
      <c r="E54" s="1980" t="s">
        <v>1083</v>
      </c>
      <c r="F54" s="1985">
        <v>-56054.91</v>
      </c>
      <c r="G54" s="1962">
        <v>-15187.45698657297</v>
      </c>
      <c r="H54" s="1962">
        <v>-4270.2119757578494</v>
      </c>
      <c r="I54" s="1962">
        <v>-3034.6088635954352</v>
      </c>
      <c r="K54" s="2023">
        <f t="shared" si="9"/>
        <v>186</v>
      </c>
      <c r="L54" s="2205" t="s">
        <v>393</v>
      </c>
      <c r="M54" s="2206">
        <f t="shared" ref="M54:O54" si="19">IF($L54="PTD",$F54*N$95,IF($L54="PROD",$F54*N$96,IF($L54="TRANS",$F54*N$97,IF($L54="DIST",$F54*N$98,IF($L54="LABOR",$F54*N$99,IF($L54="TD",$F54*N$100,0))))))</f>
        <v>0</v>
      </c>
      <c r="N54" s="2206">
        <f t="shared" si="19"/>
        <v>0</v>
      </c>
      <c r="O54" s="2206">
        <f t="shared" si="19"/>
        <v>-56054.91</v>
      </c>
    </row>
    <row r="55" spans="1:15" ht="13.5" x14ac:dyDescent="0.25">
      <c r="A55" s="1980" t="s">
        <v>2431</v>
      </c>
      <c r="B55" s="1980" t="s">
        <v>2432</v>
      </c>
      <c r="C55" s="1980" t="s">
        <v>2453</v>
      </c>
      <c r="D55" s="1980" t="s">
        <v>2454</v>
      </c>
      <c r="E55" s="1980" t="s">
        <v>1083</v>
      </c>
      <c r="F55" s="1985">
        <v>420</v>
      </c>
      <c r="G55" s="1962">
        <v>113.79434797702194</v>
      </c>
      <c r="H55" s="1962">
        <v>31.99521736487128</v>
      </c>
      <c r="I55" s="1962">
        <v>22.737271769949906</v>
      </c>
      <c r="K55" s="2023">
        <f t="shared" si="9"/>
        <v>186</v>
      </c>
      <c r="L55" s="2205" t="s">
        <v>393</v>
      </c>
      <c r="M55" s="2206">
        <f t="shared" ref="M55:O55" si="20">IF($L55="PTD",$F55*N$95,IF($L55="PROD",$F55*N$96,IF($L55="TRANS",$F55*N$97,IF($L55="DIST",$F55*N$98,IF($L55="LABOR",$F55*N$99,IF($L55="TD",$F55*N$100,0))))))</f>
        <v>0</v>
      </c>
      <c r="N55" s="2206">
        <f t="shared" si="20"/>
        <v>0</v>
      </c>
      <c r="O55" s="2206">
        <f t="shared" si="20"/>
        <v>420</v>
      </c>
    </row>
    <row r="56" spans="1:15" ht="13.5" x14ac:dyDescent="0.25">
      <c r="A56" s="1980" t="s">
        <v>2431</v>
      </c>
      <c r="B56" s="1980" t="s">
        <v>2432</v>
      </c>
      <c r="C56" s="1980" t="s">
        <v>2455</v>
      </c>
      <c r="D56" s="1980" t="s">
        <v>2456</v>
      </c>
      <c r="E56" s="1980" t="s">
        <v>1083</v>
      </c>
      <c r="F56" s="1985">
        <v>-420</v>
      </c>
      <c r="G56" s="1962">
        <v>-113.79434797702194</v>
      </c>
      <c r="H56" s="1962">
        <v>-31.99521736487128</v>
      </c>
      <c r="I56" s="1962">
        <v>-22.737271769949906</v>
      </c>
      <c r="K56" s="2023">
        <f t="shared" si="9"/>
        <v>186</v>
      </c>
      <c r="L56" s="2205" t="s">
        <v>393</v>
      </c>
      <c r="M56" s="2206">
        <f t="shared" ref="M56:O56" si="21">IF($L56="PTD",$F56*N$95,IF($L56="PROD",$F56*N$96,IF($L56="TRANS",$F56*N$97,IF($L56="DIST",$F56*N$98,IF($L56="LABOR",$F56*N$99,IF($L56="TD",$F56*N$100,0))))))</f>
        <v>0</v>
      </c>
      <c r="N56" s="2206">
        <f t="shared" si="21"/>
        <v>0</v>
      </c>
      <c r="O56" s="2206">
        <f t="shared" si="21"/>
        <v>-420</v>
      </c>
    </row>
    <row r="57" spans="1:15" ht="13.5" x14ac:dyDescent="0.25">
      <c r="A57" s="1980" t="s">
        <v>2431</v>
      </c>
      <c r="B57" s="1980" t="s">
        <v>2432</v>
      </c>
      <c r="C57" s="1980" t="s">
        <v>2457</v>
      </c>
      <c r="D57" s="1980" t="s">
        <v>2458</v>
      </c>
      <c r="E57" s="1980" t="s">
        <v>1083</v>
      </c>
      <c r="F57" s="1985">
        <v>5189.8299399999996</v>
      </c>
      <c r="G57" s="1962">
        <v>1406.1269384141117</v>
      </c>
      <c r="H57" s="1962">
        <v>395.356516707183</v>
      </c>
      <c r="I57" s="1962">
        <v>280.95850901334001</v>
      </c>
      <c r="K57" s="2023">
        <f t="shared" si="9"/>
        <v>186</v>
      </c>
      <c r="L57" s="2205" t="s">
        <v>394</v>
      </c>
      <c r="M57" s="2206">
        <f t="shared" ref="M57:O57" si="22">IF($L57="PTD",$F57*N$95,IF($L57="PROD",$F57*N$96,IF($L57="TRANS",$F57*N$97,IF($L57="DIST",$F57*N$98,IF($L57="LABOR",$F57*N$99,IF($L57="TD",$F57*N$100,0))))))</f>
        <v>5189.8299399999996</v>
      </c>
      <c r="N57" s="2206">
        <f t="shared" si="22"/>
        <v>0</v>
      </c>
      <c r="O57" s="2206">
        <f t="shared" si="22"/>
        <v>0</v>
      </c>
    </row>
    <row r="58" spans="1:15" ht="13.5" x14ac:dyDescent="0.25">
      <c r="A58" s="1980" t="s">
        <v>2431</v>
      </c>
      <c r="B58" s="1980" t="s">
        <v>2432</v>
      </c>
      <c r="C58" s="1980" t="s">
        <v>2459</v>
      </c>
      <c r="D58" s="1980" t="s">
        <v>2460</v>
      </c>
      <c r="E58" s="1980" t="s">
        <v>1083</v>
      </c>
      <c r="F58" s="1985">
        <v>4398.6202000000003</v>
      </c>
      <c r="G58" s="1962">
        <v>1191.7574229941854</v>
      </c>
      <c r="H58" s="1962">
        <v>335.08287953455618</v>
      </c>
      <c r="I58" s="1962">
        <v>238.12529261950337</v>
      </c>
      <c r="K58" s="2023">
        <f t="shared" si="9"/>
        <v>186</v>
      </c>
      <c r="L58" s="2205" t="s">
        <v>394</v>
      </c>
      <c r="M58" s="2206">
        <f t="shared" ref="M58:O58" si="23">IF($L58="PTD",$F58*N$95,IF($L58="PROD",$F58*N$96,IF($L58="TRANS",$F58*N$97,IF($L58="DIST",$F58*N$98,IF($L58="LABOR",$F58*N$99,IF($L58="TD",$F58*N$100,0))))))</f>
        <v>4398.6202000000003</v>
      </c>
      <c r="N58" s="2206">
        <f t="shared" si="23"/>
        <v>0</v>
      </c>
      <c r="O58" s="2206">
        <f t="shared" si="23"/>
        <v>0</v>
      </c>
    </row>
    <row r="59" spans="1:15" ht="13.5" x14ac:dyDescent="0.25">
      <c r="A59" s="1980" t="s">
        <v>2431</v>
      </c>
      <c r="B59" s="1980" t="s">
        <v>2432</v>
      </c>
      <c r="C59" s="1980" t="s">
        <v>2461</v>
      </c>
      <c r="D59" s="1980" t="s">
        <v>2462</v>
      </c>
      <c r="E59" s="1980" t="s">
        <v>1083</v>
      </c>
      <c r="F59" s="1985">
        <v>1139.92785</v>
      </c>
      <c r="G59" s="1962">
        <v>308.85082483713921</v>
      </c>
      <c r="H59" s="1962">
        <v>86.838665097667587</v>
      </c>
      <c r="I59" s="1962">
        <v>61.711546008534981</v>
      </c>
      <c r="K59" s="2023">
        <f t="shared" si="9"/>
        <v>186</v>
      </c>
      <c r="L59" s="2205" t="s">
        <v>394</v>
      </c>
      <c r="M59" s="2206">
        <f t="shared" ref="M59:O59" si="24">IF($L59="PTD",$F59*N$95,IF($L59="PROD",$F59*N$96,IF($L59="TRANS",$F59*N$97,IF($L59="DIST",$F59*N$98,IF($L59="LABOR",$F59*N$99,IF($L59="TD",$F59*N$100,0))))))</f>
        <v>1139.92785</v>
      </c>
      <c r="N59" s="2206">
        <f t="shared" si="24"/>
        <v>0</v>
      </c>
      <c r="O59" s="2206">
        <f t="shared" si="24"/>
        <v>0</v>
      </c>
    </row>
    <row r="60" spans="1:15" ht="13.5" x14ac:dyDescent="0.25">
      <c r="A60" s="1980" t="s">
        <v>2431</v>
      </c>
      <c r="B60" s="1980" t="s">
        <v>2432</v>
      </c>
      <c r="C60" s="1980" t="s">
        <v>2463</v>
      </c>
      <c r="D60" s="1980" t="s">
        <v>2464</v>
      </c>
      <c r="E60" s="1980" t="s">
        <v>1083</v>
      </c>
      <c r="F60" s="1985">
        <v>4460.2113499999996</v>
      </c>
      <c r="G60" s="1962">
        <v>1208.4448628880066</v>
      </c>
      <c r="H60" s="1962">
        <v>339.77483722979991</v>
      </c>
      <c r="I60" s="1962">
        <v>241.45961337229798</v>
      </c>
      <c r="K60" s="2023">
        <f t="shared" si="9"/>
        <v>186</v>
      </c>
      <c r="L60" s="2205" t="s">
        <v>394</v>
      </c>
      <c r="M60" s="2206">
        <f t="shared" ref="M60:O60" si="25">IF($L60="PTD",$F60*N$95,IF($L60="PROD",$F60*N$96,IF($L60="TRANS",$F60*N$97,IF($L60="DIST",$F60*N$98,IF($L60="LABOR",$F60*N$99,IF($L60="TD",$F60*N$100,0))))))</f>
        <v>4460.2113499999996</v>
      </c>
      <c r="N60" s="2206">
        <f t="shared" si="25"/>
        <v>0</v>
      </c>
      <c r="O60" s="2206">
        <f t="shared" si="25"/>
        <v>0</v>
      </c>
    </row>
    <row r="61" spans="1:15" ht="13.5" x14ac:dyDescent="0.25">
      <c r="A61" s="1980" t="s">
        <v>2431</v>
      </c>
      <c r="B61" s="1980" t="s">
        <v>2432</v>
      </c>
      <c r="C61" s="1980" t="s">
        <v>2465</v>
      </c>
      <c r="D61" s="1980" t="s">
        <v>2466</v>
      </c>
      <c r="E61" s="1980" t="s">
        <v>1083</v>
      </c>
      <c r="F61" s="1985">
        <v>1634.7317</v>
      </c>
      <c r="G61" s="1962">
        <v>442.91244742587776</v>
      </c>
      <c r="H61" s="1962">
        <v>124.53237160653701</v>
      </c>
      <c r="I61" s="1962">
        <v>88.49842603298147</v>
      </c>
      <c r="K61" s="2023">
        <f t="shared" si="9"/>
        <v>186</v>
      </c>
      <c r="L61" s="2205" t="s">
        <v>394</v>
      </c>
      <c r="M61" s="2206">
        <f t="shared" ref="M61:O61" si="26">IF($L61="PTD",$F61*N$95,IF($L61="PROD",$F61*N$96,IF($L61="TRANS",$F61*N$97,IF($L61="DIST",$F61*N$98,IF($L61="LABOR",$F61*N$99,IF($L61="TD",$F61*N$100,0))))))</f>
        <v>1634.7317</v>
      </c>
      <c r="N61" s="2206">
        <f t="shared" si="26"/>
        <v>0</v>
      </c>
      <c r="O61" s="2206">
        <f t="shared" si="26"/>
        <v>0</v>
      </c>
    </row>
    <row r="62" spans="1:15" ht="13.5" x14ac:dyDescent="0.25">
      <c r="A62" s="1980" t="s">
        <v>2431</v>
      </c>
      <c r="B62" s="1980" t="s">
        <v>2432</v>
      </c>
      <c r="C62" s="1980" t="s">
        <v>2467</v>
      </c>
      <c r="D62" s="1980" t="s">
        <v>2468</v>
      </c>
      <c r="E62" s="1980" t="s">
        <v>1083</v>
      </c>
      <c r="F62" s="1985">
        <v>4180.8857500000004</v>
      </c>
      <c r="G62" s="1962">
        <v>1132.7646854468392</v>
      </c>
      <c r="H62" s="1962">
        <v>318.49606749748307</v>
      </c>
      <c r="I62" s="1962">
        <v>226.3379417544306</v>
      </c>
      <c r="K62" s="2023">
        <f t="shared" si="9"/>
        <v>186</v>
      </c>
      <c r="L62" s="2205" t="s">
        <v>394</v>
      </c>
      <c r="M62" s="2206">
        <f t="shared" ref="M62:O62" si="27">IF($L62="PTD",$F62*N$95,IF($L62="PROD",$F62*N$96,IF($L62="TRANS",$F62*N$97,IF($L62="DIST",$F62*N$98,IF($L62="LABOR",$F62*N$99,IF($L62="TD",$F62*N$100,0))))))</f>
        <v>4180.8857500000004</v>
      </c>
      <c r="N62" s="2206">
        <f t="shared" si="27"/>
        <v>0</v>
      </c>
      <c r="O62" s="2206">
        <f t="shared" si="27"/>
        <v>0</v>
      </c>
    </row>
    <row r="63" spans="1:15" ht="13.5" x14ac:dyDescent="0.25">
      <c r="A63" s="1980" t="s">
        <v>2431</v>
      </c>
      <c r="B63" s="1980" t="s">
        <v>2432</v>
      </c>
      <c r="C63" s="1980" t="s">
        <v>2469</v>
      </c>
      <c r="D63" s="1980" t="s">
        <v>2470</v>
      </c>
      <c r="E63" s="1980" t="s">
        <v>1083</v>
      </c>
      <c r="F63" s="1985">
        <v>3662.5736200000001</v>
      </c>
      <c r="G63" s="1962">
        <v>992.33375477557365</v>
      </c>
      <c r="H63" s="1962">
        <v>279.01152163510346</v>
      </c>
      <c r="I63" s="1962">
        <v>198.27840898902198</v>
      </c>
      <c r="K63" s="2023">
        <f t="shared" si="9"/>
        <v>186</v>
      </c>
      <c r="L63" s="2205" t="s">
        <v>394</v>
      </c>
      <c r="M63" s="2206">
        <f t="shared" ref="M63:O63" si="28">IF($L63="PTD",$F63*N$95,IF($L63="PROD",$F63*N$96,IF($L63="TRANS",$F63*N$97,IF($L63="DIST",$F63*N$98,IF($L63="LABOR",$F63*N$99,IF($L63="TD",$F63*N$100,0))))))</f>
        <v>3662.5736200000001</v>
      </c>
      <c r="N63" s="2206">
        <f t="shared" si="28"/>
        <v>0</v>
      </c>
      <c r="O63" s="2206">
        <f t="shared" si="28"/>
        <v>0</v>
      </c>
    </row>
    <row r="64" spans="1:15" ht="13.5" x14ac:dyDescent="0.25">
      <c r="A64" s="1980" t="s">
        <v>2431</v>
      </c>
      <c r="B64" s="1980" t="s">
        <v>2432</v>
      </c>
      <c r="C64" s="1980" t="s">
        <v>2471</v>
      </c>
      <c r="D64" s="1980" t="s">
        <v>2472</v>
      </c>
      <c r="E64" s="1980" t="s">
        <v>1083</v>
      </c>
      <c r="F64" s="1985">
        <v>4782.0698199999997</v>
      </c>
      <c r="G64" s="1962">
        <v>1295.6488503511778</v>
      </c>
      <c r="H64" s="1962">
        <v>364.29372224974014</v>
      </c>
      <c r="I64" s="1962">
        <v>258.88385981003671</v>
      </c>
      <c r="K64" s="2023">
        <f t="shared" si="9"/>
        <v>186</v>
      </c>
      <c r="L64" s="2205" t="s">
        <v>394</v>
      </c>
      <c r="M64" s="2206">
        <f t="shared" ref="M64:O64" si="29">IF($L64="PTD",$F64*N$95,IF($L64="PROD",$F64*N$96,IF($L64="TRANS",$F64*N$97,IF($L64="DIST",$F64*N$98,IF($L64="LABOR",$F64*N$99,IF($L64="TD",$F64*N$100,0))))))</f>
        <v>4782.0698199999997</v>
      </c>
      <c r="N64" s="2206">
        <f t="shared" si="29"/>
        <v>0</v>
      </c>
      <c r="O64" s="2206">
        <f t="shared" si="29"/>
        <v>0</v>
      </c>
    </row>
    <row r="65" spans="1:17" ht="13.5" x14ac:dyDescent="0.25">
      <c r="A65" s="1980" t="s">
        <v>2431</v>
      </c>
      <c r="B65" s="1980" t="s">
        <v>2432</v>
      </c>
      <c r="C65" s="1980" t="s">
        <v>2473</v>
      </c>
      <c r="D65" s="1980" t="s">
        <v>2474</v>
      </c>
      <c r="E65" s="1980" t="s">
        <v>1083</v>
      </c>
      <c r="F65" s="1985">
        <v>6283.0645000000004</v>
      </c>
      <c r="G65" s="1962">
        <v>1702.3267335120797</v>
      </c>
      <c r="H65" s="1962">
        <v>478.63812951191977</v>
      </c>
      <c r="I65" s="1962">
        <v>340.14225020148672</v>
      </c>
      <c r="K65" s="2023">
        <f t="shared" si="9"/>
        <v>186</v>
      </c>
      <c r="L65" s="2205" t="s">
        <v>394</v>
      </c>
      <c r="M65" s="2206">
        <f t="shared" ref="M65:O65" si="30">IF($L65="PTD",$F65*N$95,IF($L65="PROD",$F65*N$96,IF($L65="TRANS",$F65*N$97,IF($L65="DIST",$F65*N$98,IF($L65="LABOR",$F65*N$99,IF($L65="TD",$F65*N$100,0))))))</f>
        <v>6283.0645000000004</v>
      </c>
      <c r="N65" s="2206">
        <f t="shared" si="30"/>
        <v>0</v>
      </c>
      <c r="O65" s="2206">
        <f t="shared" si="30"/>
        <v>0</v>
      </c>
    </row>
    <row r="66" spans="1:17" ht="13.5" x14ac:dyDescent="0.25">
      <c r="A66" s="1980" t="s">
        <v>2431</v>
      </c>
      <c r="B66" s="1980" t="s">
        <v>2432</v>
      </c>
      <c r="C66" s="1980" t="s">
        <v>2475</v>
      </c>
      <c r="D66" s="1980" t="s">
        <v>2476</v>
      </c>
      <c r="E66" s="1980" t="s">
        <v>1083</v>
      </c>
      <c r="F66" s="1985">
        <v>3140.9447399999999</v>
      </c>
      <c r="G66" s="1962">
        <v>851.00418742894453</v>
      </c>
      <c r="H66" s="1962">
        <v>239.27430877940262</v>
      </c>
      <c r="I66" s="1962">
        <v>170.03931944708248</v>
      </c>
      <c r="K66" s="2023">
        <f t="shared" si="9"/>
        <v>186</v>
      </c>
      <c r="L66" s="2205" t="s">
        <v>394</v>
      </c>
      <c r="M66" s="2206">
        <f t="shared" ref="M66:O66" si="31">IF($L66="PTD",$F66*N$95,IF($L66="PROD",$F66*N$96,IF($L66="TRANS",$F66*N$97,IF($L66="DIST",$F66*N$98,IF($L66="LABOR",$F66*N$99,IF($L66="TD",$F66*N$100,0))))))</f>
        <v>3140.9447399999999</v>
      </c>
      <c r="N66" s="2206">
        <f t="shared" si="31"/>
        <v>0</v>
      </c>
      <c r="O66" s="2206">
        <f t="shared" si="31"/>
        <v>0</v>
      </c>
    </row>
    <row r="67" spans="1:17" ht="13.5" x14ac:dyDescent="0.25">
      <c r="A67" s="1980" t="s">
        <v>2431</v>
      </c>
      <c r="B67" s="1980" t="s">
        <v>2432</v>
      </c>
      <c r="C67" s="1980" t="s">
        <v>2477</v>
      </c>
      <c r="D67" s="1980" t="s">
        <v>2478</v>
      </c>
      <c r="E67" s="1980" t="s">
        <v>1083</v>
      </c>
      <c r="F67" s="1985">
        <v>1607.91192</v>
      </c>
      <c r="G67" s="1962">
        <v>435.64592509733683</v>
      </c>
      <c r="H67" s="1962">
        <v>122.48926519992267</v>
      </c>
      <c r="I67" s="1962">
        <v>87.046500731385592</v>
      </c>
      <c r="K67" s="2023">
        <f t="shared" si="9"/>
        <v>186</v>
      </c>
      <c r="L67" s="2205" t="s">
        <v>394</v>
      </c>
      <c r="M67" s="2206">
        <f t="shared" ref="M67:O67" si="32">IF($L67="PTD",$F67*N$95,IF($L67="PROD",$F67*N$96,IF($L67="TRANS",$F67*N$97,IF($L67="DIST",$F67*N$98,IF($L67="LABOR",$F67*N$99,IF($L67="TD",$F67*N$100,0))))))</f>
        <v>1607.91192</v>
      </c>
      <c r="N67" s="2206">
        <f t="shared" si="32"/>
        <v>0</v>
      </c>
      <c r="O67" s="2206">
        <f t="shared" si="32"/>
        <v>0</v>
      </c>
    </row>
    <row r="68" spans="1:17" ht="13.5" x14ac:dyDescent="0.25">
      <c r="A68" s="1980" t="s">
        <v>2431</v>
      </c>
      <c r="B68" s="1980" t="s">
        <v>2432</v>
      </c>
      <c r="C68" s="1980" t="s">
        <v>2479</v>
      </c>
      <c r="D68" s="1980" t="s">
        <v>2480</v>
      </c>
      <c r="E68" s="1980" t="s">
        <v>1083</v>
      </c>
      <c r="F68" s="1985">
        <v>6118.1453700000002</v>
      </c>
      <c r="G68" s="1962">
        <v>1657.6437219232994</v>
      </c>
      <c r="H68" s="1962">
        <v>466.07474043578765</v>
      </c>
      <c r="I68" s="1962">
        <v>331.21412858512076</v>
      </c>
      <c r="K68" s="2023">
        <f t="shared" si="9"/>
        <v>186</v>
      </c>
      <c r="L68" s="2205" t="s">
        <v>394</v>
      </c>
      <c r="M68" s="2206">
        <f t="shared" ref="M68:O68" si="33">IF($L68="PTD",$F68*N$95,IF($L68="PROD",$F68*N$96,IF($L68="TRANS",$F68*N$97,IF($L68="DIST",$F68*N$98,IF($L68="LABOR",$F68*N$99,IF($L68="TD",$F68*N$100,0))))))</f>
        <v>6118.1453700000002</v>
      </c>
      <c r="N68" s="2206">
        <f t="shared" si="33"/>
        <v>0</v>
      </c>
      <c r="O68" s="2206">
        <f t="shared" si="33"/>
        <v>0</v>
      </c>
    </row>
    <row r="69" spans="1:17" ht="13.5" x14ac:dyDescent="0.25">
      <c r="A69" s="1980" t="s">
        <v>2431</v>
      </c>
      <c r="B69" s="1980" t="s">
        <v>2432</v>
      </c>
      <c r="C69" s="1980" t="s">
        <v>2481</v>
      </c>
      <c r="D69" s="1980" t="s">
        <v>2482</v>
      </c>
      <c r="E69" s="1980" t="s">
        <v>1083</v>
      </c>
      <c r="F69" s="1985">
        <v>4287.9607900000001</v>
      </c>
      <c r="G69" s="1962">
        <v>1161.7754815454427</v>
      </c>
      <c r="H69" s="1962">
        <v>326.65294649546468</v>
      </c>
      <c r="I69" s="1962">
        <v>232.13459481218834</v>
      </c>
      <c r="K69" s="2023">
        <f t="shared" si="9"/>
        <v>186</v>
      </c>
      <c r="L69" s="2205" t="s">
        <v>394</v>
      </c>
      <c r="M69" s="2206">
        <f t="shared" ref="M69:O69" si="34">IF($L69="PTD",$F69*N$95,IF($L69="PROD",$F69*N$96,IF($L69="TRANS",$F69*N$97,IF($L69="DIST",$F69*N$98,IF($L69="LABOR",$F69*N$99,IF($L69="TD",$F69*N$100,0))))))</f>
        <v>4287.9607900000001</v>
      </c>
      <c r="N69" s="2206">
        <f t="shared" si="34"/>
        <v>0</v>
      </c>
      <c r="O69" s="2206">
        <f t="shared" si="34"/>
        <v>0</v>
      </c>
    </row>
    <row r="70" spans="1:17" ht="13.5" x14ac:dyDescent="0.25">
      <c r="A70" s="1980" t="s">
        <v>2431</v>
      </c>
      <c r="B70" s="1980" t="s">
        <v>2432</v>
      </c>
      <c r="C70" s="1980" t="s">
        <v>2483</v>
      </c>
      <c r="D70" s="1980" t="s">
        <v>2484</v>
      </c>
      <c r="E70" s="1980" t="s">
        <v>1083</v>
      </c>
      <c r="F70" s="1985">
        <v>4734.2782999999999</v>
      </c>
      <c r="G70" s="1962">
        <v>1282.7002673577711</v>
      </c>
      <c r="H70" s="1962">
        <v>360.65300779593639</v>
      </c>
      <c r="I70" s="1962">
        <v>256.29660081351528</v>
      </c>
      <c r="K70" s="2023">
        <f t="shared" si="9"/>
        <v>186</v>
      </c>
      <c r="L70" s="2205" t="s">
        <v>394</v>
      </c>
      <c r="M70" s="2206">
        <f t="shared" ref="M70:O70" si="35">IF($L70="PTD",$F70*N$95,IF($L70="PROD",$F70*N$96,IF($L70="TRANS",$F70*N$97,IF($L70="DIST",$F70*N$98,IF($L70="LABOR",$F70*N$99,IF($L70="TD",$F70*N$100,0))))))</f>
        <v>4734.2782999999999</v>
      </c>
      <c r="N70" s="2206">
        <f t="shared" si="35"/>
        <v>0</v>
      </c>
      <c r="O70" s="2206">
        <f t="shared" si="35"/>
        <v>0</v>
      </c>
    </row>
    <row r="71" spans="1:17" ht="13.5" x14ac:dyDescent="0.25">
      <c r="A71" s="1980" t="s">
        <v>2431</v>
      </c>
      <c r="B71" s="1980" t="s">
        <v>2432</v>
      </c>
      <c r="C71" s="1980" t="s">
        <v>2485</v>
      </c>
      <c r="D71" s="1980" t="s">
        <v>2486</v>
      </c>
      <c r="E71" s="1980" t="s">
        <v>1083</v>
      </c>
      <c r="F71" s="1985">
        <v>1103.0570600000001</v>
      </c>
      <c r="G71" s="1962">
        <v>298.8610926765495</v>
      </c>
      <c r="H71" s="1962">
        <v>84.029881906085393</v>
      </c>
      <c r="I71" s="1962">
        <v>59.715495597576052</v>
      </c>
      <c r="K71" s="2023">
        <f t="shared" si="9"/>
        <v>186</v>
      </c>
      <c r="L71" s="2205" t="s">
        <v>394</v>
      </c>
      <c r="M71" s="2206">
        <f t="shared" ref="M71:O71" si="36">IF($L71="PTD",$F71*N$95,IF($L71="PROD",$F71*N$96,IF($L71="TRANS",$F71*N$97,IF($L71="DIST",$F71*N$98,IF($L71="LABOR",$F71*N$99,IF($L71="TD",$F71*N$100,0))))))</f>
        <v>1103.0570600000001</v>
      </c>
      <c r="N71" s="2206">
        <f t="shared" si="36"/>
        <v>0</v>
      </c>
      <c r="O71" s="2206">
        <f t="shared" si="36"/>
        <v>0</v>
      </c>
    </row>
    <row r="72" spans="1:17" ht="13.5" x14ac:dyDescent="0.25">
      <c r="A72" s="1980" t="s">
        <v>2431</v>
      </c>
      <c r="B72" s="1980" t="s">
        <v>2432</v>
      </c>
      <c r="C72" s="1980" t="s">
        <v>2487</v>
      </c>
      <c r="D72" s="1980" t="s">
        <v>2488</v>
      </c>
      <c r="E72" s="1980" t="s">
        <v>1083</v>
      </c>
      <c r="F72" s="1985">
        <v>-2211.3009299999999</v>
      </c>
      <c r="G72" s="1962">
        <v>-599.12749407221963</v>
      </c>
      <c r="H72" s="1962">
        <v>-168.45489027260001</v>
      </c>
      <c r="I72" s="1962">
        <v>-119.71178621560232</v>
      </c>
      <c r="K72" s="2023">
        <f t="shared" si="9"/>
        <v>186</v>
      </c>
      <c r="L72" s="2205" t="s">
        <v>394</v>
      </c>
      <c r="M72" s="2206">
        <f t="shared" ref="M72:O72" si="37">IF($L72="PTD",$F72*N$95,IF($L72="PROD",$F72*N$96,IF($L72="TRANS",$F72*N$97,IF($L72="DIST",$F72*N$98,IF($L72="LABOR",$F72*N$99,IF($L72="TD",$F72*N$100,0))))))</f>
        <v>-2211.3009299999999</v>
      </c>
      <c r="N72" s="2206">
        <f t="shared" si="37"/>
        <v>0</v>
      </c>
      <c r="O72" s="2206">
        <f t="shared" si="37"/>
        <v>0</v>
      </c>
    </row>
    <row r="73" spans="1:17" ht="13.5" x14ac:dyDescent="0.25">
      <c r="A73" s="1980" t="s">
        <v>2431</v>
      </c>
      <c r="B73" s="1980" t="s">
        <v>2432</v>
      </c>
      <c r="C73" s="1980" t="s">
        <v>2489</v>
      </c>
      <c r="D73" s="1980" t="s">
        <v>2490</v>
      </c>
      <c r="E73" s="1980" t="s">
        <v>1083</v>
      </c>
      <c r="F73" s="1985">
        <v>3221.5685699999999</v>
      </c>
      <c r="G73" s="1962">
        <v>872.8483211581356</v>
      </c>
      <c r="H73" s="1962">
        <v>245.41615869758937</v>
      </c>
      <c r="I73" s="1962">
        <v>174.40400024194972</v>
      </c>
      <c r="K73" s="2023">
        <f t="shared" si="9"/>
        <v>186</v>
      </c>
      <c r="L73" s="2205" t="s">
        <v>394</v>
      </c>
      <c r="M73" s="2206">
        <f t="shared" ref="M73:O73" si="38">IF($L73="PTD",$F73*N$95,IF($L73="PROD",$F73*N$96,IF($L73="TRANS",$F73*N$97,IF($L73="DIST",$F73*N$98,IF($L73="LABOR",$F73*N$99,IF($L73="TD",$F73*N$100,0))))))</f>
        <v>3221.5685699999999</v>
      </c>
      <c r="N73" s="2206">
        <f t="shared" si="38"/>
        <v>0</v>
      </c>
      <c r="O73" s="2206">
        <f t="shared" si="38"/>
        <v>0</v>
      </c>
    </row>
    <row r="74" spans="1:17" ht="13.5" outlineLevel="1" thickBot="1" x14ac:dyDescent="0.25">
      <c r="A74" s="1964" t="s">
        <v>2491</v>
      </c>
      <c r="B74" s="1964"/>
      <c r="C74" s="1964"/>
      <c r="D74" s="1964"/>
      <c r="E74" s="1964"/>
      <c r="F74" s="1965">
        <f>SUBTOTAL(9,F45:F73)</f>
        <v>124692.63781000004</v>
      </c>
      <c r="G74" s="1965">
        <f t="shared" ref="G74:I74" si="39">SUBTOTAL(9,G45:G73)</f>
        <v>33784.089088390239</v>
      </c>
      <c r="H74" s="1965">
        <f t="shared" si="39"/>
        <v>9498.9715488812271</v>
      </c>
      <c r="I74" s="1965">
        <f t="shared" si="39"/>
        <v>6750.4056990426207</v>
      </c>
    </row>
    <row r="75" spans="1:17" ht="13.5" x14ac:dyDescent="0.25">
      <c r="A75" s="1980" t="s">
        <v>2492</v>
      </c>
      <c r="B75" s="1980" t="s">
        <v>2493</v>
      </c>
      <c r="C75" s="1980" t="s">
        <v>2494</v>
      </c>
      <c r="D75" s="1980" t="s">
        <v>2495</v>
      </c>
      <c r="E75" s="1980" t="s">
        <v>1083</v>
      </c>
      <c r="F75" s="1985">
        <v>2160.47228</v>
      </c>
      <c r="G75" s="1962">
        <v>585.35603434530947</v>
      </c>
      <c r="H75" s="1962">
        <v>164.58281002233105</v>
      </c>
      <c r="I75" s="1962">
        <v>116.96010805191264</v>
      </c>
      <c r="K75" s="2023">
        <f t="shared" ref="K75" si="40">IF(L75&lt;&gt;"",186,"")</f>
        <v>186</v>
      </c>
      <c r="L75" s="2205" t="s">
        <v>394</v>
      </c>
      <c r="M75" s="2206">
        <f>IF($L75="PTD",$F75*N$95,IF($L75="PROD",$F75*N$96,IF($L75="TRANS",$F75*N$97,IF($L75="DIST",$F75*N$98,IF($L75="LABOR",$F75*N$99,IF($L75="TD",$F75*N$100,0))))))</f>
        <v>2160.47228</v>
      </c>
      <c r="N75" s="2206">
        <f>IF($L75="PTD",$F75*O$95,IF($L75="PROD",$F75*O$96,IF($L75="TRANS",$F75*O$97,IF($L75="DIST",$F75*O$98,IF($L75="LABOR",$F75*O$99,IF($L75="TD",$F75*O$100,0))))))</f>
        <v>0</v>
      </c>
      <c r="O75" s="2206">
        <f>IF($L75="PTD",$F75*P$95,IF($L75="PROD",$F75*P$96,IF($L75="TRANS",$F75*P$97,IF($L75="DIST",$F75*P$98,IF($L75="LABOR",$F75*P$99,IF($L75="TD",$F75*P$100,0))))))</f>
        <v>0</v>
      </c>
    </row>
    <row r="76" spans="1:17" ht="13.5" outlineLevel="1" thickBot="1" x14ac:dyDescent="0.25">
      <c r="A76" s="1973" t="s">
        <v>2496</v>
      </c>
      <c r="B76" s="1973"/>
      <c r="C76" s="1973"/>
      <c r="D76" s="1973"/>
      <c r="E76" s="1986"/>
      <c r="F76" s="1974">
        <f t="shared" ref="F76:I76" si="41">SUBTOTAL(9,F75:F75)</f>
        <v>2160.47228</v>
      </c>
      <c r="G76" s="1974">
        <f t="shared" si="41"/>
        <v>585.35603434530947</v>
      </c>
      <c r="H76" s="1974">
        <f t="shared" si="41"/>
        <v>164.58281002233105</v>
      </c>
      <c r="I76" s="1974">
        <f t="shared" si="41"/>
        <v>116.96010805191264</v>
      </c>
    </row>
    <row r="77" spans="1:17" ht="13.5" thickBot="1" x14ac:dyDescent="0.25">
      <c r="A77" s="1973" t="s">
        <v>1342</v>
      </c>
      <c r="B77" s="1973"/>
      <c r="C77" s="1973"/>
      <c r="D77" s="1973"/>
      <c r="E77" s="1987"/>
      <c r="F77" s="1974">
        <f>SUBTOTAL(9,F37:F76)</f>
        <v>130940.53838000003</v>
      </c>
      <c r="G77" s="1974">
        <f t="shared" ref="G77:I77" si="42">SUBTOTAL(9,G37:G76)</f>
        <v>34460.274654123714</v>
      </c>
      <c r="H77" s="1974">
        <f t="shared" si="42"/>
        <v>9688.5476723424108</v>
      </c>
      <c r="I77" s="1974">
        <f t="shared" si="42"/>
        <v>6887.6720869901947</v>
      </c>
    </row>
    <row r="79" spans="1:17" x14ac:dyDescent="0.2">
      <c r="F79" s="1976"/>
    </row>
    <row r="80" spans="1:17" ht="15.75" x14ac:dyDescent="0.25">
      <c r="F80" s="2022" t="s">
        <v>5459</v>
      </c>
      <c r="G80" s="3832" t="s">
        <v>5647</v>
      </c>
      <c r="H80" s="3832"/>
      <c r="I80" s="3832"/>
      <c r="J80" s="2023" t="s">
        <v>5459</v>
      </c>
      <c r="K80" s="2023" t="s">
        <v>5459</v>
      </c>
      <c r="L80" s="2207" t="s">
        <v>5596</v>
      </c>
      <c r="M80" s="2207"/>
      <c r="N80" s="2207"/>
      <c r="O80" s="2207"/>
      <c r="P80" s="2023" t="s">
        <v>5459</v>
      </c>
      <c r="Q80" s="2023" t="s">
        <v>5459</v>
      </c>
    </row>
    <row r="81" spans="6:17" x14ac:dyDescent="0.2">
      <c r="F81" s="2208">
        <f>F77/$F$77</f>
        <v>1</v>
      </c>
      <c r="G81" s="2208">
        <f>G77/$F$77</f>
        <v>0.2631749882845083</v>
      </c>
      <c r="H81" s="2208">
        <f>H77/$F$77</f>
        <v>7.3991964537563321E-2</v>
      </c>
      <c r="I81" s="2208">
        <f>I77/$F$77</f>
        <v>5.2601525640605003E-2</v>
      </c>
      <c r="J81" s="2023" t="s">
        <v>5459</v>
      </c>
      <c r="K81" s="2023" t="s">
        <v>5459</v>
      </c>
      <c r="L81" s="2207"/>
      <c r="M81" s="2207" t="s">
        <v>394</v>
      </c>
      <c r="N81" s="2207" t="s">
        <v>5586</v>
      </c>
      <c r="O81" s="2207" t="s">
        <v>392</v>
      </c>
      <c r="P81" s="2023" t="s">
        <v>5459</v>
      </c>
      <c r="Q81" s="2071" t="s">
        <v>5597</v>
      </c>
    </row>
    <row r="82" spans="6:17" ht="13.5" x14ac:dyDescent="0.25">
      <c r="F82" s="2023" t="s">
        <v>5459</v>
      </c>
      <c r="G82" s="2023" t="s">
        <v>5459</v>
      </c>
      <c r="H82" s="2023" t="s">
        <v>5459</v>
      </c>
      <c r="I82" s="2023" t="s">
        <v>5459</v>
      </c>
      <c r="J82" s="2023" t="s">
        <v>5459</v>
      </c>
      <c r="K82" s="2023" t="s">
        <v>5459</v>
      </c>
      <c r="L82" s="2209">
        <v>186</v>
      </c>
      <c r="M82" s="2102">
        <f>SUMIFS(M$37:M$76,$K$37:$K$76,$L82)</f>
        <v>123648.00570075815</v>
      </c>
      <c r="N82" s="2102">
        <f>SUMIFS(N$37:N$76,$K$37:$K$76,$L82)</f>
        <v>0</v>
      </c>
      <c r="O82" s="2102">
        <f>SUMIFS(O$37:O$76,$K$37:$K$76,$L82)</f>
        <v>7292.5326792418928</v>
      </c>
      <c r="P82" s="2210">
        <f>SUM(M82:O82)</f>
        <v>130940.53838000004</v>
      </c>
      <c r="Q82" s="2104">
        <f>P82-F77</f>
        <v>0</v>
      </c>
    </row>
    <row r="83" spans="6:17" x14ac:dyDescent="0.2">
      <c r="F83" s="2023" t="s">
        <v>5459</v>
      </c>
      <c r="G83" s="2023" t="s">
        <v>5459</v>
      </c>
      <c r="H83" s="2023" t="s">
        <v>5459</v>
      </c>
      <c r="I83" s="2023" t="s">
        <v>5459</v>
      </c>
      <c r="J83" s="2023" t="s">
        <v>5459</v>
      </c>
      <c r="K83" s="2023" t="s">
        <v>5459</v>
      </c>
      <c r="L83" s="2023" t="s">
        <v>5459</v>
      </c>
      <c r="M83" s="2023" t="s">
        <v>5459</v>
      </c>
      <c r="N83" s="2023" t="s">
        <v>5459</v>
      </c>
      <c r="O83" s="2023" t="s">
        <v>5459</v>
      </c>
      <c r="P83" s="2023" t="s">
        <v>5459</v>
      </c>
      <c r="Q83" s="2023" t="s">
        <v>5459</v>
      </c>
    </row>
    <row r="84" spans="6:17" x14ac:dyDescent="0.2">
      <c r="F84" s="2023" t="s">
        <v>5459</v>
      </c>
      <c r="G84" s="2023" t="s">
        <v>5459</v>
      </c>
      <c r="H84" s="2023" t="s">
        <v>5459</v>
      </c>
      <c r="I84" s="2023" t="s">
        <v>5459</v>
      </c>
      <c r="J84" s="2023" t="s">
        <v>5459</v>
      </c>
      <c r="K84" s="2023" t="s">
        <v>5459</v>
      </c>
      <c r="L84" s="2023" t="s">
        <v>5459</v>
      </c>
      <c r="M84" s="2023" t="s">
        <v>5459</v>
      </c>
      <c r="N84" s="2023" t="s">
        <v>5459</v>
      </c>
      <c r="O84" s="2023" t="s">
        <v>5459</v>
      </c>
      <c r="P84" s="2023" t="s">
        <v>5459</v>
      </c>
      <c r="Q84" s="2023" t="s">
        <v>5459</v>
      </c>
    </row>
    <row r="85" spans="6:17" x14ac:dyDescent="0.2">
      <c r="F85" s="2023" t="s">
        <v>5459</v>
      </c>
      <c r="G85" s="2023" t="s">
        <v>5459</v>
      </c>
      <c r="H85" s="2023" t="s">
        <v>5459</v>
      </c>
      <c r="I85" s="2023" t="s">
        <v>5459</v>
      </c>
      <c r="J85" s="2023" t="s">
        <v>5459</v>
      </c>
      <c r="K85" s="2023" t="s">
        <v>5459</v>
      </c>
      <c r="L85" s="2023" t="s">
        <v>5459</v>
      </c>
      <c r="M85" s="2023" t="s">
        <v>5459</v>
      </c>
      <c r="N85" s="2023" t="s">
        <v>5459</v>
      </c>
      <c r="O85" s="2023" t="s">
        <v>5459</v>
      </c>
      <c r="P85" s="2023" t="s">
        <v>5459</v>
      </c>
      <c r="Q85" s="2023" t="s">
        <v>5459</v>
      </c>
    </row>
    <row r="86" spans="6:17" x14ac:dyDescent="0.2">
      <c r="F86" s="2023" t="s">
        <v>5459</v>
      </c>
      <c r="G86" s="2023" t="s">
        <v>5459</v>
      </c>
      <c r="H86" s="2023" t="s">
        <v>5459</v>
      </c>
      <c r="I86" s="2023" t="s">
        <v>5459</v>
      </c>
      <c r="J86" s="2023" t="s">
        <v>5459</v>
      </c>
      <c r="K86" s="2023" t="s">
        <v>5459</v>
      </c>
      <c r="L86" s="2207" t="s">
        <v>5648</v>
      </c>
      <c r="M86" s="2207"/>
      <c r="N86" s="2207"/>
      <c r="O86" s="2207"/>
      <c r="P86" s="2023" t="s">
        <v>5459</v>
      </c>
      <c r="Q86" s="2023" t="s">
        <v>5459</v>
      </c>
    </row>
    <row r="87" spans="6:17" x14ac:dyDescent="0.2">
      <c r="F87" s="2023" t="s">
        <v>5459</v>
      </c>
      <c r="G87" s="2023" t="s">
        <v>5459</v>
      </c>
      <c r="H87" s="2023" t="s">
        <v>5459</v>
      </c>
      <c r="I87" s="2023" t="s">
        <v>5459</v>
      </c>
      <c r="J87" s="2023" t="s">
        <v>5459</v>
      </c>
      <c r="K87" s="2023" t="s">
        <v>5459</v>
      </c>
      <c r="L87" s="2211" t="s">
        <v>912</v>
      </c>
      <c r="M87" s="2110">
        <f>M$82*$G$81</f>
        <v>32541.062451699843</v>
      </c>
      <c r="N87" s="2110">
        <f>N$82*$G$81</f>
        <v>0</v>
      </c>
      <c r="O87" s="2110">
        <f>O$82*$G$81</f>
        <v>1919.212202423879</v>
      </c>
      <c r="P87" s="2110">
        <f>SUM(M87:O87)</f>
        <v>34460.274654123721</v>
      </c>
      <c r="Q87" s="2023" t="s">
        <v>5459</v>
      </c>
    </row>
    <row r="88" spans="6:17" x14ac:dyDescent="0.2">
      <c r="F88" s="2023" t="s">
        <v>5459</v>
      </c>
      <c r="G88" s="2023" t="s">
        <v>5459</v>
      </c>
      <c r="H88" s="2023" t="s">
        <v>5459</v>
      </c>
      <c r="I88" s="2023" t="s">
        <v>5459</v>
      </c>
      <c r="J88" s="2023" t="s">
        <v>5459</v>
      </c>
      <c r="K88" s="2023" t="s">
        <v>5459</v>
      </c>
      <c r="L88" s="2211" t="s">
        <v>921</v>
      </c>
      <c r="M88" s="2110">
        <f>M$82*$H$81</f>
        <v>9148.9588529509238</v>
      </c>
      <c r="N88" s="2110">
        <f>N$82*$H$81</f>
        <v>0</v>
      </c>
      <c r="O88" s="2110">
        <f>O$82*$H$81</f>
        <v>539.58881939148773</v>
      </c>
      <c r="P88" s="2110">
        <f>SUM(M88:O88)</f>
        <v>9688.5476723424108</v>
      </c>
      <c r="Q88" s="2023" t="s">
        <v>5459</v>
      </c>
    </row>
    <row r="89" spans="6:17" x14ac:dyDescent="0.2">
      <c r="F89" s="2023" t="s">
        <v>5459</v>
      </c>
      <c r="G89" s="2023" t="s">
        <v>5459</v>
      </c>
      <c r="H89" s="2023" t="s">
        <v>5459</v>
      </c>
      <c r="I89" s="2023" t="s">
        <v>5459</v>
      </c>
      <c r="J89" s="2023" t="s">
        <v>5459</v>
      </c>
      <c r="K89" s="2023" t="s">
        <v>5459</v>
      </c>
      <c r="L89" s="2211" t="s">
        <v>5462</v>
      </c>
      <c r="M89" s="2110">
        <f>M$82*$I$81</f>
        <v>6504.0737422781031</v>
      </c>
      <c r="N89" s="2110">
        <f>N$82*$I$81</f>
        <v>0</v>
      </c>
      <c r="O89" s="2110">
        <f>O$82*$I$81</f>
        <v>383.59834471209234</v>
      </c>
      <c r="P89" s="2110">
        <f>SUM(M89:O89)</f>
        <v>6887.6720869901956</v>
      </c>
      <c r="Q89" s="2023" t="s">
        <v>5459</v>
      </c>
    </row>
    <row r="90" spans="6:17" x14ac:dyDescent="0.2">
      <c r="F90" s="2023" t="s">
        <v>5459</v>
      </c>
      <c r="G90" s="2023" t="s">
        <v>5459</v>
      </c>
      <c r="H90" s="2023" t="s">
        <v>5459</v>
      </c>
      <c r="I90" s="2023" t="s">
        <v>5459</v>
      </c>
      <c r="J90" s="2023" t="s">
        <v>5459</v>
      </c>
      <c r="K90" s="2023" t="s">
        <v>5459</v>
      </c>
      <c r="L90" s="2211" t="s">
        <v>5606</v>
      </c>
      <c r="M90" s="2112">
        <f>SUM(M87:M89)</f>
        <v>48194.095046928873</v>
      </c>
      <c r="N90" s="2112">
        <f>SUM(N87:N89)</f>
        <v>0</v>
      </c>
      <c r="O90" s="2112">
        <f>SUM(O87:O89)</f>
        <v>2842.3993665274593</v>
      </c>
      <c r="P90" s="2112">
        <f>SUM(P87:P89)</f>
        <v>51036.494413456334</v>
      </c>
      <c r="Q90" s="2023" t="s">
        <v>5459</v>
      </c>
    </row>
    <row r="91" spans="6:17" x14ac:dyDescent="0.2">
      <c r="F91" s="2023" t="s">
        <v>5459</v>
      </c>
      <c r="G91" s="2023" t="s">
        <v>5459</v>
      </c>
      <c r="H91" s="2023" t="s">
        <v>5459</v>
      </c>
      <c r="I91" s="2023" t="s">
        <v>5459</v>
      </c>
      <c r="J91" s="2023" t="s">
        <v>5459</v>
      </c>
      <c r="K91" s="2023" t="s">
        <v>5459</v>
      </c>
      <c r="L91" s="2023" t="s">
        <v>5459</v>
      </c>
      <c r="M91" s="2023" t="s">
        <v>5459</v>
      </c>
      <c r="N91" s="2023" t="s">
        <v>5459</v>
      </c>
      <c r="O91" s="2212" t="s">
        <v>5607</v>
      </c>
      <c r="P91" s="2213">
        <f>(G77+H77+I77)</f>
        <v>51036.494413456312</v>
      </c>
      <c r="Q91" s="2214"/>
    </row>
    <row r="92" spans="6:17" x14ac:dyDescent="0.2">
      <c r="F92" s="2023" t="s">
        <v>5459</v>
      </c>
      <c r="G92" s="2023" t="s">
        <v>5459</v>
      </c>
      <c r="H92" s="2023" t="s">
        <v>5459</v>
      </c>
      <c r="I92" s="2023" t="s">
        <v>5459</v>
      </c>
      <c r="J92" s="2023" t="s">
        <v>5459</v>
      </c>
      <c r="K92" s="2023" t="s">
        <v>5459</v>
      </c>
      <c r="L92" s="2023" t="s">
        <v>5459</v>
      </c>
      <c r="M92" s="2023" t="s">
        <v>5459</v>
      </c>
      <c r="N92" s="2023" t="s">
        <v>5459</v>
      </c>
      <c r="O92" s="2023" t="s">
        <v>5459</v>
      </c>
      <c r="P92" s="2023" t="s">
        <v>5459</v>
      </c>
      <c r="Q92" s="2023" t="s">
        <v>5459</v>
      </c>
    </row>
    <row r="93" spans="6:17" x14ac:dyDescent="0.2">
      <c r="F93" s="2023" t="s">
        <v>5459</v>
      </c>
      <c r="G93" s="2023" t="s">
        <v>5459</v>
      </c>
      <c r="H93" s="2023" t="s">
        <v>5459</v>
      </c>
      <c r="I93" s="2023" t="s">
        <v>5459</v>
      </c>
      <c r="J93" s="2023" t="s">
        <v>5459</v>
      </c>
      <c r="K93" s="2023" t="s">
        <v>5459</v>
      </c>
      <c r="L93" s="2023" t="s">
        <v>5459</v>
      </c>
      <c r="M93" s="2023" t="s">
        <v>5459</v>
      </c>
      <c r="N93" s="2023" t="s">
        <v>5459</v>
      </c>
      <c r="O93" s="2023" t="s">
        <v>5459</v>
      </c>
      <c r="P93" s="2023" t="s">
        <v>5459</v>
      </c>
      <c r="Q93" s="2023" t="s">
        <v>5459</v>
      </c>
    </row>
    <row r="94" spans="6:17" x14ac:dyDescent="0.2">
      <c r="F94" s="2023" t="s">
        <v>5459</v>
      </c>
      <c r="G94" s="2023" t="s">
        <v>5459</v>
      </c>
      <c r="H94" s="2023" t="s">
        <v>5459</v>
      </c>
      <c r="I94" s="2023" t="s">
        <v>5459</v>
      </c>
      <c r="J94" s="2023" t="s">
        <v>5459</v>
      </c>
      <c r="K94" s="2023" t="s">
        <v>5459</v>
      </c>
      <c r="L94" s="2207" t="s">
        <v>707</v>
      </c>
      <c r="M94" s="2207" t="s">
        <v>197</v>
      </c>
      <c r="N94" s="2207" t="s">
        <v>5609</v>
      </c>
      <c r="O94" s="2207" t="s">
        <v>5610</v>
      </c>
      <c r="P94" s="2207" t="s">
        <v>5611</v>
      </c>
      <c r="Q94" s="2023" t="s">
        <v>5459</v>
      </c>
    </row>
    <row r="95" spans="6:17" ht="15.75" x14ac:dyDescent="0.25">
      <c r="F95" s="2023" t="s">
        <v>5459</v>
      </c>
      <c r="G95" s="2023" t="s">
        <v>5459</v>
      </c>
      <c r="H95" s="2023" t="s">
        <v>5459</v>
      </c>
      <c r="I95" s="2023" t="s">
        <v>5459</v>
      </c>
      <c r="J95" s="2023" t="s">
        <v>5459</v>
      </c>
      <c r="K95" s="2023" t="s">
        <v>5459</v>
      </c>
      <c r="L95" s="2118" t="s">
        <v>99</v>
      </c>
      <c r="M95" s="2119">
        <f t="shared" ref="M95:M100" si="43">SUM(N95:P95)</f>
        <v>0.99999999999999989</v>
      </c>
      <c r="N95" s="2119">
        <f>VLOOKUP($L95,Ratios!$D$78:$G$87,2,FALSE)</f>
        <v>0.44019614379593275</v>
      </c>
      <c r="O95" s="2119">
        <f>VLOOKUP($L95,Ratios!$D$78:$G$87,3,FALSE)</f>
        <v>0</v>
      </c>
      <c r="P95" s="2119">
        <f>VLOOKUP($L95,Ratios!$D$78:$G$87,4,FALSE)</f>
        <v>0.55980385620406714</v>
      </c>
      <c r="Q95" s="2023" t="s">
        <v>5459</v>
      </c>
    </row>
    <row r="96" spans="6:17" ht="15.75" x14ac:dyDescent="0.25">
      <c r="F96" s="2023" t="s">
        <v>5459</v>
      </c>
      <c r="G96" s="2023" t="s">
        <v>5459</v>
      </c>
      <c r="H96" s="2023" t="s">
        <v>5459</v>
      </c>
      <c r="I96" s="2023" t="s">
        <v>5459</v>
      </c>
      <c r="J96" s="2023" t="s">
        <v>5459</v>
      </c>
      <c r="K96" s="2023" t="s">
        <v>5459</v>
      </c>
      <c r="L96" s="2118" t="s">
        <v>394</v>
      </c>
      <c r="M96" s="2119">
        <f t="shared" si="43"/>
        <v>1</v>
      </c>
      <c r="N96" s="2119">
        <f>VLOOKUP($L96,Ratios!$D$78:$G$87,2,FALSE)</f>
        <v>1</v>
      </c>
      <c r="O96" s="2119">
        <f>VLOOKUP($L96,Ratios!$D$78:$G$87,3,FALSE)</f>
        <v>0</v>
      </c>
      <c r="P96" s="2119">
        <f>VLOOKUP($L96,Ratios!$D$78:$G$87,4,FALSE)</f>
        <v>0</v>
      </c>
      <c r="Q96" s="2023" t="s">
        <v>5459</v>
      </c>
    </row>
    <row r="97" spans="6:17" ht="15.75" x14ac:dyDescent="0.25">
      <c r="F97" s="2023" t="s">
        <v>5459</v>
      </c>
      <c r="G97" s="2023" t="s">
        <v>5459</v>
      </c>
      <c r="H97" s="2023" t="s">
        <v>5459</v>
      </c>
      <c r="I97" s="2023" t="s">
        <v>5459</v>
      </c>
      <c r="J97" s="2023" t="s">
        <v>5459</v>
      </c>
      <c r="K97" s="2023" t="s">
        <v>5459</v>
      </c>
      <c r="L97" s="2118" t="s">
        <v>393</v>
      </c>
      <c r="M97" s="2119">
        <f t="shared" si="43"/>
        <v>1</v>
      </c>
      <c r="N97" s="2119">
        <f>VLOOKUP($L97,Ratios!$D$78:$G$87,2,FALSE)</f>
        <v>0</v>
      </c>
      <c r="O97" s="2119">
        <f>VLOOKUP($L97,Ratios!$D$78:$G$87,3,FALSE)</f>
        <v>0</v>
      </c>
      <c r="P97" s="2119">
        <f>VLOOKUP($L97,Ratios!$D$78:$G$87,4,FALSE)</f>
        <v>1</v>
      </c>
      <c r="Q97" s="2023" t="s">
        <v>5459</v>
      </c>
    </row>
    <row r="98" spans="6:17" ht="15.75" x14ac:dyDescent="0.25">
      <c r="F98" s="2023" t="s">
        <v>5459</v>
      </c>
      <c r="G98" s="2023" t="s">
        <v>5459</v>
      </c>
      <c r="H98" s="2023" t="s">
        <v>5459</v>
      </c>
      <c r="I98" s="2023" t="s">
        <v>5459</v>
      </c>
      <c r="J98" s="2023" t="s">
        <v>5459</v>
      </c>
      <c r="K98" s="2023" t="s">
        <v>5459</v>
      </c>
      <c r="L98" s="2118" t="s">
        <v>392</v>
      </c>
      <c r="M98" s="2119">
        <f t="shared" si="43"/>
        <v>1</v>
      </c>
      <c r="N98" s="2119">
        <f>VLOOKUP($L98,Ratios!$D$78:$G$87,2,FALSE)</f>
        <v>0</v>
      </c>
      <c r="O98" s="2119">
        <f>VLOOKUP($L98,Ratios!$D$78:$G$87,3,FALSE)</f>
        <v>0</v>
      </c>
      <c r="P98" s="2119">
        <f>VLOOKUP($L98,Ratios!$D$78:$G$87,4,FALSE)</f>
        <v>1</v>
      </c>
      <c r="Q98" s="2023" t="s">
        <v>5459</v>
      </c>
    </row>
    <row r="99" spans="6:17" ht="15.75" x14ac:dyDescent="0.25">
      <c r="F99" s="2023" t="s">
        <v>5459</v>
      </c>
      <c r="G99" s="2023" t="s">
        <v>5459</v>
      </c>
      <c r="H99" s="2023" t="s">
        <v>5459</v>
      </c>
      <c r="I99" s="2023" t="s">
        <v>5459</v>
      </c>
      <c r="J99" s="2023" t="s">
        <v>5459</v>
      </c>
      <c r="K99" s="2023" t="s">
        <v>5459</v>
      </c>
      <c r="L99" s="2118" t="s">
        <v>95</v>
      </c>
      <c r="M99" s="2119">
        <f t="shared" si="43"/>
        <v>1</v>
      </c>
      <c r="N99" s="2119">
        <f>VLOOKUP($L99,Ratios!$D$78:$G$87,2,FALSE)</f>
        <v>0.41685340178759894</v>
      </c>
      <c r="O99" s="2119">
        <f>VLOOKUP($L99,Ratios!$D$78:$G$87,3,FALSE)</f>
        <v>0</v>
      </c>
      <c r="P99" s="2119">
        <f>VLOOKUP($L99,Ratios!$D$78:$G$87,4,FALSE)</f>
        <v>0.58314659821240111</v>
      </c>
      <c r="Q99" s="2023" t="s">
        <v>5459</v>
      </c>
    </row>
    <row r="100" spans="6:17" ht="15.75" x14ac:dyDescent="0.25">
      <c r="F100" s="2023" t="s">
        <v>5459</v>
      </c>
      <c r="G100" s="2023" t="s">
        <v>5459</v>
      </c>
      <c r="H100" s="2023" t="s">
        <v>5459</v>
      </c>
      <c r="I100" s="2023" t="s">
        <v>5459</v>
      </c>
      <c r="J100" s="2023" t="s">
        <v>5459</v>
      </c>
      <c r="K100" s="2023" t="s">
        <v>5459</v>
      </c>
      <c r="L100" s="2118" t="s">
        <v>109</v>
      </c>
      <c r="M100" s="2119">
        <f t="shared" si="43"/>
        <v>1</v>
      </c>
      <c r="N100" s="2119">
        <f>VLOOKUP($L100,Ratios!$D$78:$G$87,2,FALSE)</f>
        <v>0</v>
      </c>
      <c r="O100" s="2119">
        <f>VLOOKUP($L100,Ratios!$D$78:$G$87,3,FALSE)</f>
        <v>0</v>
      </c>
      <c r="P100" s="2119">
        <f>VLOOKUP($L100,Ratios!$D$78:$G$87,4,FALSE)</f>
        <v>1</v>
      </c>
      <c r="Q100" s="2023" t="s">
        <v>5459</v>
      </c>
    </row>
  </sheetData>
  <mergeCells count="2">
    <mergeCell ref="L9:O9"/>
    <mergeCell ref="G80:I80"/>
  </mergeCells>
  <pageMargins left="0.7" right="0.7" top="0.75" bottom="0.75" header="0.3" footer="0.3"/>
  <pageSetup scale="66" orientation="landscape" horizontalDpi="1200" verticalDpi="1200" r:id="rId1"/>
  <customProperties>
    <customPr name="_pios_id" r:id="rId2"/>
  </customProperties>
  <drawing r:id="rId3"/>
  <legacyDrawing r:id="rId4"/>
  <oleObjects>
    <mc:AlternateContent xmlns:mc="http://schemas.openxmlformats.org/markup-compatibility/2006">
      <mc:Choice Requires="x14">
        <oleObject progId="StaticMetafile" shapeId="125953" r:id="rId5">
          <objectPr defaultSize="0" autoPict="0" r:id="rId6">
            <anchor moveWithCells="1" sizeWithCells="1">
              <from>
                <xdr:col>0</xdr:col>
                <xdr:colOff>38100</xdr:colOff>
                <xdr:row>0</xdr:row>
                <xdr:rowOff>95250</xdr:rowOff>
              </from>
              <to>
                <xdr:col>1</xdr:col>
                <xdr:colOff>1857375</xdr:colOff>
                <xdr:row>3</xdr:row>
                <xdr:rowOff>9525</xdr:rowOff>
              </to>
            </anchor>
          </objectPr>
        </oleObject>
      </mc:Choice>
      <mc:Fallback>
        <oleObject progId="StaticMetafile" shapeId="125953" r:id="rId5"/>
      </mc:Fallback>
    </mc:AlternateContent>
  </oleObjects>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DB7495-F94C-477C-BBD1-52C39FB10D05}">
  <sheetPr codeName="Sheet28">
    <tabColor rgb="FF00B0F0"/>
  </sheetPr>
  <dimension ref="A1:P185"/>
  <sheetViews>
    <sheetView zoomScaleNormal="100" zoomScaleSheetLayoutView="100" workbookViewId="0">
      <pane ySplit="36" topLeftCell="A38" activePane="bottomLeft" state="frozen"/>
      <selection activeCell="R63" sqref="R63"/>
      <selection pane="bottomLeft" activeCell="R63" sqref="R63"/>
    </sheetView>
  </sheetViews>
  <sheetFormatPr defaultColWidth="7.625" defaultRowHeight="12.75" outlineLevelRow="2" x14ac:dyDescent="0.2"/>
  <cols>
    <col min="1" max="1" width="13.625" style="1953" bestFit="1" customWidth="1"/>
    <col min="2" max="2" width="20.25" style="1953" customWidth="1"/>
    <col min="3" max="3" width="6.625" style="1953" customWidth="1"/>
    <col min="4" max="4" width="36.5" style="1953" bestFit="1" customWidth="1"/>
    <col min="5" max="5" width="6.375" style="1953" bestFit="1" customWidth="1"/>
    <col min="6" max="6" width="13.125" style="1953" bestFit="1" customWidth="1"/>
    <col min="7" max="7" width="8.875" style="1953" bestFit="1" customWidth="1"/>
    <col min="8" max="9" width="7.875" style="1953" bestFit="1" customWidth="1"/>
    <col min="10" max="16384" width="7.625" style="1953"/>
  </cols>
  <sheetData>
    <row r="1" spans="1:9" ht="39.950000000000003" customHeight="1" x14ac:dyDescent="0.2"/>
    <row r="2" spans="1:9" ht="42" hidden="1" customHeight="1" x14ac:dyDescent="0.2"/>
    <row r="3" spans="1:9" ht="35.25" hidden="1" customHeight="1" x14ac:dyDescent="0.2">
      <c r="D3" s="1951"/>
      <c r="F3" s="1951"/>
      <c r="G3" s="1951"/>
    </row>
    <row r="4" spans="1:9" ht="12" customHeight="1" x14ac:dyDescent="0.25">
      <c r="A4" s="1990"/>
      <c r="D4" s="1952"/>
      <c r="F4" s="1952"/>
      <c r="G4" s="1952"/>
    </row>
    <row r="5" spans="1:9" ht="12" customHeight="1" x14ac:dyDescent="0.2">
      <c r="A5" s="1950" t="s">
        <v>2497</v>
      </c>
      <c r="B5" s="1951"/>
      <c r="C5" s="1951"/>
      <c r="D5" s="1952"/>
      <c r="E5" s="1951"/>
      <c r="F5" s="1952"/>
      <c r="G5" s="1952"/>
      <c r="H5" s="1951"/>
      <c r="I5" s="1951"/>
    </row>
    <row r="6" spans="1:9" ht="12" customHeight="1" x14ac:dyDescent="0.2">
      <c r="A6" s="1952" t="s">
        <v>2260</v>
      </c>
      <c r="B6" s="1952"/>
      <c r="C6" s="1952"/>
      <c r="D6" s="1952"/>
      <c r="E6" s="1952"/>
      <c r="F6" s="1952"/>
      <c r="G6" s="1952"/>
      <c r="H6" s="1952"/>
      <c r="I6" s="1952"/>
    </row>
    <row r="7" spans="1:9" ht="12" customHeight="1" x14ac:dyDescent="0.2">
      <c r="A7" s="1952" t="s">
        <v>875</v>
      </c>
      <c r="B7" s="1952"/>
      <c r="C7" s="1952"/>
      <c r="E7" s="1952"/>
      <c r="H7" s="1952"/>
      <c r="I7" s="1952"/>
    </row>
    <row r="8" spans="1:9" ht="12" customHeight="1" x14ac:dyDescent="0.2">
      <c r="A8" s="1952" t="s">
        <v>876</v>
      </c>
      <c r="B8" s="1952"/>
      <c r="C8" s="1952"/>
      <c r="D8" s="1952"/>
      <c r="E8" s="1952"/>
      <c r="F8" s="1952"/>
      <c r="G8" s="1952"/>
      <c r="H8" s="1952"/>
      <c r="I8" s="1952"/>
    </row>
    <row r="9" spans="1:9" ht="12" customHeight="1" x14ac:dyDescent="0.2">
      <c r="D9" s="1956"/>
      <c r="F9" s="1956"/>
      <c r="G9" s="1956"/>
    </row>
    <row r="10" spans="1:9" s="1946" customFormat="1" ht="12" hidden="1" customHeight="1" outlineLevel="1" x14ac:dyDescent="0.2">
      <c r="A10" s="1951" t="s">
        <v>877</v>
      </c>
      <c r="B10" s="1952" t="s">
        <v>2411</v>
      </c>
    </row>
    <row r="11" spans="1:9" s="1946" customFormat="1" ht="12" hidden="1" customHeight="1" outlineLevel="1" x14ac:dyDescent="0.2">
      <c r="A11" s="1951" t="s">
        <v>879</v>
      </c>
      <c r="B11" s="1956">
        <v>45394.521819050926</v>
      </c>
    </row>
    <row r="12" spans="1:9" s="1946" customFormat="1" ht="12" hidden="1" customHeight="1" outlineLevel="1" x14ac:dyDescent="0.2"/>
    <row r="13" spans="1:9" s="1946" customFormat="1" ht="12" hidden="1" customHeight="1" outlineLevel="1" x14ac:dyDescent="0.2">
      <c r="A13" s="1953"/>
      <c r="B13" s="1953"/>
    </row>
    <row r="14" spans="1:9" s="1946" customFormat="1" ht="12" hidden="1" customHeight="1" outlineLevel="1" x14ac:dyDescent="0.2">
      <c r="A14" s="1953"/>
      <c r="B14" s="1953"/>
    </row>
    <row r="15" spans="1:9" ht="12" hidden="1" customHeight="1" outlineLevel="1" x14ac:dyDescent="0.2">
      <c r="C15" s="1946"/>
      <c r="D15" s="1946"/>
      <c r="E15" s="1946"/>
      <c r="F15" s="1946"/>
      <c r="G15" s="1946"/>
      <c r="H15" s="1946"/>
      <c r="I15" s="1946"/>
    </row>
    <row r="16" spans="1:9" s="1946" customFormat="1" ht="12" hidden="1" customHeight="1" outlineLevel="1" x14ac:dyDescent="0.2">
      <c r="A16" s="1953"/>
      <c r="B16" s="1953"/>
    </row>
    <row r="17" spans="1:9" s="1946" customFormat="1" ht="12" hidden="1" customHeight="1" outlineLevel="1" x14ac:dyDescent="0.2">
      <c r="A17" s="1953"/>
      <c r="B17" s="1953"/>
    </row>
    <row r="18" spans="1:9" s="1946" customFormat="1" ht="12" hidden="1" customHeight="1" outlineLevel="1" x14ac:dyDescent="0.2">
      <c r="A18" s="1953"/>
      <c r="B18" s="1953"/>
    </row>
    <row r="19" spans="1:9" s="1946" customFormat="1" ht="12" hidden="1" customHeight="1" outlineLevel="1" x14ac:dyDescent="0.2">
      <c r="A19" s="1953"/>
      <c r="B19" s="1953" t="s">
        <v>2498</v>
      </c>
    </row>
    <row r="20" spans="1:9" s="1946" customFormat="1" ht="12" hidden="1" customHeight="1" outlineLevel="1" x14ac:dyDescent="0.2">
      <c r="A20" s="1953"/>
      <c r="B20" s="1953"/>
    </row>
    <row r="21" spans="1:9" s="1946" customFormat="1" ht="12" hidden="1" customHeight="1" outlineLevel="1" x14ac:dyDescent="0.2">
      <c r="A21" s="1953"/>
      <c r="B21" s="1953"/>
    </row>
    <row r="22" spans="1:9" s="1946" customFormat="1" ht="12" hidden="1" customHeight="1" outlineLevel="1" x14ac:dyDescent="0.2">
      <c r="A22" s="1953"/>
      <c r="B22" s="1953"/>
    </row>
    <row r="23" spans="1:9" ht="12" hidden="1" customHeight="1" outlineLevel="1" x14ac:dyDescent="0.2">
      <c r="C23" s="1946"/>
      <c r="D23" s="1946"/>
      <c r="E23" s="1946"/>
      <c r="F23" s="1946"/>
      <c r="G23" s="1946"/>
      <c r="H23" s="1946"/>
      <c r="I23" s="1946"/>
    </row>
    <row r="24" spans="1:9" ht="12" hidden="1" customHeight="1" outlineLevel="1" x14ac:dyDescent="0.2">
      <c r="C24" s="1946"/>
      <c r="D24" s="1946"/>
      <c r="E24" s="1946"/>
      <c r="F24" s="1946"/>
      <c r="G24" s="1946"/>
      <c r="H24" s="1946"/>
      <c r="I24" s="1946"/>
    </row>
    <row r="25" spans="1:9" s="1946" customFormat="1" ht="12" hidden="1" customHeight="1" outlineLevel="1" x14ac:dyDescent="0.2">
      <c r="A25" s="1953"/>
      <c r="B25" s="1953"/>
      <c r="D25" s="1948"/>
      <c r="F25" s="1948"/>
      <c r="G25" s="1948"/>
    </row>
    <row r="26" spans="1:9" s="1946" customFormat="1" ht="12" hidden="1" customHeight="1" outlineLevel="1" x14ac:dyDescent="0.2">
      <c r="D26" s="1948"/>
      <c r="F26" s="1948"/>
      <c r="G26" s="1948"/>
    </row>
    <row r="27" spans="1:9" s="1946" customFormat="1" ht="12" hidden="1" customHeight="1" outlineLevel="1" x14ac:dyDescent="0.2">
      <c r="A27" s="1951" t="s">
        <v>724</v>
      </c>
      <c r="B27" s="1952" t="s">
        <v>724</v>
      </c>
      <c r="C27" s="1948"/>
      <c r="D27" s="1948"/>
      <c r="E27" s="1948"/>
      <c r="F27" s="1948"/>
      <c r="G27" s="1948"/>
      <c r="H27" s="1948"/>
      <c r="I27" s="1948"/>
    </row>
    <row r="28" spans="1:9" s="1946" customFormat="1" ht="12" hidden="1" customHeight="1" outlineLevel="1" x14ac:dyDescent="0.2">
      <c r="A28" s="1951" t="s">
        <v>883</v>
      </c>
      <c r="B28" s="1952" t="s">
        <v>884</v>
      </c>
      <c r="C28" s="1948"/>
      <c r="D28" s="1948"/>
      <c r="E28" s="1948"/>
      <c r="F28" s="1948"/>
      <c r="G28" s="1948"/>
      <c r="H28" s="1948"/>
      <c r="I28" s="1948"/>
    </row>
    <row r="29" spans="1:9" s="1946" customFormat="1" ht="12" hidden="1" customHeight="1" outlineLevel="1" x14ac:dyDescent="0.2">
      <c r="A29" s="1951" t="s">
        <v>885</v>
      </c>
      <c r="B29" s="1952" t="s">
        <v>2264</v>
      </c>
      <c r="C29" s="1948"/>
      <c r="D29" s="1948"/>
      <c r="E29" s="1948"/>
      <c r="F29" s="1948"/>
      <c r="G29" s="1948"/>
      <c r="H29" s="1948"/>
      <c r="I29" s="1948"/>
    </row>
    <row r="30" spans="1:9" s="1946" customFormat="1" ht="12" hidden="1" customHeight="1" outlineLevel="1" x14ac:dyDescent="0.2">
      <c r="A30" s="1951" t="s">
        <v>886</v>
      </c>
      <c r="B30" s="1952" t="s">
        <v>887</v>
      </c>
      <c r="C30" s="1948"/>
      <c r="D30" s="1948"/>
      <c r="E30" s="1948"/>
      <c r="F30" s="1948"/>
      <c r="G30" s="1948"/>
      <c r="H30" s="1948"/>
      <c r="I30" s="1948"/>
    </row>
    <row r="31" spans="1:9" s="1946" customFormat="1" ht="12" hidden="1" customHeight="1" outlineLevel="1" x14ac:dyDescent="0.2">
      <c r="A31" s="1951" t="s">
        <v>888</v>
      </c>
      <c r="B31" s="1952" t="s">
        <v>889</v>
      </c>
      <c r="C31" s="1948"/>
      <c r="D31" s="1948"/>
      <c r="E31" s="1948"/>
      <c r="F31" s="1948"/>
      <c r="G31" s="1948"/>
      <c r="H31" s="1948"/>
      <c r="I31" s="1948"/>
    </row>
    <row r="32" spans="1:9" s="1946" customFormat="1" ht="12" hidden="1" customHeight="1" outlineLevel="1" x14ac:dyDescent="0.2">
      <c r="A32" s="1951" t="s">
        <v>890</v>
      </c>
      <c r="B32" s="1952" t="s">
        <v>724</v>
      </c>
      <c r="C32" s="1948"/>
      <c r="D32" s="1948"/>
      <c r="E32" s="1948"/>
      <c r="F32" s="1948"/>
      <c r="G32" s="1948"/>
      <c r="H32" s="1948"/>
      <c r="I32" s="1948"/>
    </row>
    <row r="33" spans="1:9" s="1946" customFormat="1" ht="12" hidden="1" customHeight="1" outlineLevel="1" x14ac:dyDescent="0.2">
      <c r="A33" s="1951" t="s">
        <v>891</v>
      </c>
      <c r="B33" s="1952" t="s">
        <v>2266</v>
      </c>
      <c r="C33" s="1948"/>
      <c r="D33" s="1952"/>
      <c r="E33" s="1948"/>
      <c r="F33" s="1952"/>
      <c r="G33" s="1952"/>
      <c r="H33" s="1948"/>
      <c r="I33" s="1948"/>
    </row>
    <row r="34" spans="1:9" s="1946" customFormat="1" ht="12" hidden="1" customHeight="1" outlineLevel="1" x14ac:dyDescent="0.2">
      <c r="A34" s="1951" t="s">
        <v>893</v>
      </c>
      <c r="B34" s="1952" t="s">
        <v>724</v>
      </c>
      <c r="C34" s="1948"/>
      <c r="D34" s="1952"/>
      <c r="E34" s="1948"/>
      <c r="F34" s="1952"/>
      <c r="G34" s="1952"/>
      <c r="H34" s="1948"/>
      <c r="I34" s="1948"/>
    </row>
    <row r="35" spans="1:9" ht="12" hidden="1" customHeight="1" outlineLevel="1" x14ac:dyDescent="0.2">
      <c r="A35" s="1951"/>
      <c r="B35" s="1951"/>
      <c r="C35" s="1951"/>
      <c r="D35" s="1951"/>
    </row>
    <row r="36" spans="1:9" collapsed="1" x14ac:dyDescent="0.2">
      <c r="A36" s="1958" t="s">
        <v>894</v>
      </c>
      <c r="B36" s="1959"/>
      <c r="C36" s="1958" t="s">
        <v>895</v>
      </c>
      <c r="D36" s="1959"/>
      <c r="E36" s="1958" t="s">
        <v>896</v>
      </c>
      <c r="F36" s="1960" t="s">
        <v>104</v>
      </c>
      <c r="G36" s="1960" t="s">
        <v>898</v>
      </c>
      <c r="H36" s="1960" t="s">
        <v>899</v>
      </c>
      <c r="I36" s="1960" t="s">
        <v>900</v>
      </c>
    </row>
    <row r="37" spans="1:9" hidden="1" outlineLevel="2" x14ac:dyDescent="0.2">
      <c r="A37" s="1980" t="s">
        <v>2499</v>
      </c>
      <c r="B37" s="1980" t="s">
        <v>2500</v>
      </c>
      <c r="C37" s="1980" t="s">
        <v>904</v>
      </c>
      <c r="D37" s="1980" t="s">
        <v>2501</v>
      </c>
      <c r="E37" s="1980" t="s">
        <v>906</v>
      </c>
      <c r="F37" s="1985">
        <v>21932.351040000001</v>
      </c>
      <c r="G37" s="1985">
        <v>5666.7060002806011</v>
      </c>
      <c r="H37" s="1985">
        <v>1566.2133584453361</v>
      </c>
      <c r="I37" s="1985">
        <v>1294.2793654348397</v>
      </c>
    </row>
    <row r="38" spans="1:9" ht="13.5" outlineLevel="1" collapsed="1" thickBot="1" x14ac:dyDescent="0.25">
      <c r="A38" s="1964" t="s">
        <v>5650</v>
      </c>
      <c r="B38" s="1964"/>
      <c r="C38" s="1964"/>
      <c r="D38" s="1964"/>
      <c r="E38" s="1964"/>
      <c r="F38" s="1965">
        <f>SUBTOTAL(9,F37)</f>
        <v>21932.351040000001</v>
      </c>
      <c r="G38" s="1965">
        <f t="shared" ref="G38:I38" si="0">SUBTOTAL(9,G37)</f>
        <v>5666.7060002806011</v>
      </c>
      <c r="H38" s="1965">
        <f t="shared" si="0"/>
        <v>1566.2133584453361</v>
      </c>
      <c r="I38" s="1965">
        <f t="shared" si="0"/>
        <v>1294.2793654348397</v>
      </c>
    </row>
    <row r="39" spans="1:9" hidden="1" outlineLevel="2" x14ac:dyDescent="0.2">
      <c r="A39" s="1980" t="s">
        <v>2502</v>
      </c>
      <c r="B39" s="1980" t="s">
        <v>2503</v>
      </c>
      <c r="C39" s="1980" t="s">
        <v>904</v>
      </c>
      <c r="D39" s="1980" t="s">
        <v>2504</v>
      </c>
      <c r="E39" s="1980" t="s">
        <v>906</v>
      </c>
      <c r="F39" s="1985">
        <v>14887.023709999999</v>
      </c>
      <c r="G39" s="1985">
        <v>3846.3904954795289</v>
      </c>
      <c r="H39" s="1985">
        <v>1063.098769464819</v>
      </c>
      <c r="I39" s="1985">
        <v>878.51811077852471</v>
      </c>
    </row>
    <row r="40" spans="1:9" ht="13.5" outlineLevel="1" collapsed="1" thickBot="1" x14ac:dyDescent="0.25">
      <c r="A40" s="1964" t="s">
        <v>5651</v>
      </c>
      <c r="B40" s="1964"/>
      <c r="C40" s="1964"/>
      <c r="D40" s="1964"/>
      <c r="E40" s="1964"/>
      <c r="F40" s="1965">
        <f>SUBTOTAL(9,F39)</f>
        <v>14887.023709999999</v>
      </c>
      <c r="G40" s="1965">
        <f t="shared" ref="G40:I40" si="1">SUBTOTAL(9,G39)</f>
        <v>3846.3904954795289</v>
      </c>
      <c r="H40" s="1965">
        <f t="shared" si="1"/>
        <v>1063.098769464819</v>
      </c>
      <c r="I40" s="1965">
        <f t="shared" si="1"/>
        <v>878.51811077852471</v>
      </c>
    </row>
    <row r="41" spans="1:9" hidden="1" outlineLevel="2" x14ac:dyDescent="0.2">
      <c r="A41" s="1980" t="s">
        <v>2505</v>
      </c>
      <c r="B41" s="1980" t="s">
        <v>2506</v>
      </c>
      <c r="C41" s="1980" t="s">
        <v>904</v>
      </c>
      <c r="D41" s="1980" t="s">
        <v>2507</v>
      </c>
      <c r="E41" s="1980" t="s">
        <v>906</v>
      </c>
      <c r="F41" s="1985">
        <v>21829.05053</v>
      </c>
      <c r="G41" s="1985">
        <v>5640.0160380972738</v>
      </c>
      <c r="H41" s="1985">
        <v>1558.8365551832896</v>
      </c>
      <c r="I41" s="1985">
        <v>1288.183360574802</v>
      </c>
    </row>
    <row r="42" spans="1:9" ht="13.5" outlineLevel="1" collapsed="1" thickBot="1" x14ac:dyDescent="0.25">
      <c r="A42" s="1964" t="s">
        <v>5652</v>
      </c>
      <c r="B42" s="1964"/>
      <c r="C42" s="1964"/>
      <c r="D42" s="1964"/>
      <c r="E42" s="1964"/>
      <c r="F42" s="1965">
        <f>SUBTOTAL(9,F41)</f>
        <v>21829.05053</v>
      </c>
      <c r="G42" s="1965">
        <f t="shared" ref="G42:I42" si="2">SUBTOTAL(9,G41)</f>
        <v>5640.0160380972738</v>
      </c>
      <c r="H42" s="1965">
        <f t="shared" si="2"/>
        <v>1558.8365551832896</v>
      </c>
      <c r="I42" s="1965">
        <f t="shared" si="2"/>
        <v>1288.183360574802</v>
      </c>
    </row>
    <row r="43" spans="1:9" hidden="1" outlineLevel="2" x14ac:dyDescent="0.2">
      <c r="A43" s="1980" t="s">
        <v>2508</v>
      </c>
      <c r="B43" s="1980" t="s">
        <v>2509</v>
      </c>
      <c r="C43" s="1980" t="s">
        <v>904</v>
      </c>
      <c r="D43" s="1980" t="s">
        <v>2510</v>
      </c>
      <c r="E43" s="1980" t="s">
        <v>906</v>
      </c>
      <c r="F43" s="1985">
        <v>16691.1659</v>
      </c>
      <c r="G43" s="1985">
        <v>4312.5303705338174</v>
      </c>
      <c r="H43" s="1985">
        <v>1191.9345515184345</v>
      </c>
      <c r="I43" s="1985">
        <v>984.98476383221498</v>
      </c>
    </row>
    <row r="44" spans="1:9" ht="13.5" outlineLevel="1" collapsed="1" thickBot="1" x14ac:dyDescent="0.25">
      <c r="A44" s="1964" t="s">
        <v>5653</v>
      </c>
      <c r="B44" s="1964"/>
      <c r="C44" s="1964"/>
      <c r="D44" s="1964"/>
      <c r="E44" s="1964"/>
      <c r="F44" s="1965">
        <f>SUBTOTAL(9,F43)</f>
        <v>16691.1659</v>
      </c>
      <c r="G44" s="1965">
        <f t="shared" ref="G44:I44" si="3">SUBTOTAL(9,G43)</f>
        <v>4312.5303705338174</v>
      </c>
      <c r="H44" s="1965">
        <f t="shared" si="3"/>
        <v>1191.9345515184345</v>
      </c>
      <c r="I44" s="1965">
        <f t="shared" si="3"/>
        <v>984.98476383221498</v>
      </c>
    </row>
    <row r="45" spans="1:9" hidden="1" outlineLevel="2" x14ac:dyDescent="0.2">
      <c r="A45" s="1980" t="s">
        <v>2511</v>
      </c>
      <c r="B45" s="1980" t="s">
        <v>2512</v>
      </c>
      <c r="C45" s="1980" t="s">
        <v>904</v>
      </c>
      <c r="D45" s="1980" t="s">
        <v>2513</v>
      </c>
      <c r="E45" s="1980" t="s">
        <v>906</v>
      </c>
      <c r="F45" s="1985">
        <v>1861.89688</v>
      </c>
      <c r="G45" s="1985">
        <v>481.06207139203843</v>
      </c>
      <c r="H45" s="1985">
        <v>132.96010811541765</v>
      </c>
      <c r="I45" s="1985">
        <v>109.87489247990388</v>
      </c>
    </row>
    <row r="46" spans="1:9" ht="13.5" outlineLevel="1" collapsed="1" thickBot="1" x14ac:dyDescent="0.25">
      <c r="A46" s="1964" t="s">
        <v>5654</v>
      </c>
      <c r="B46" s="1964"/>
      <c r="C46" s="1964"/>
      <c r="D46" s="1964"/>
      <c r="E46" s="1964"/>
      <c r="F46" s="1965">
        <f>SUBTOTAL(9,F45)</f>
        <v>1861.89688</v>
      </c>
      <c r="G46" s="1965">
        <f t="shared" ref="G46:I46" si="4">SUBTOTAL(9,G45)</f>
        <v>481.06207139203843</v>
      </c>
      <c r="H46" s="1965">
        <f t="shared" si="4"/>
        <v>132.96010811541765</v>
      </c>
      <c r="I46" s="1965">
        <f t="shared" si="4"/>
        <v>109.87489247990388</v>
      </c>
    </row>
    <row r="47" spans="1:9" hidden="1" outlineLevel="2" x14ac:dyDescent="0.2">
      <c r="A47" s="1980" t="s">
        <v>2514</v>
      </c>
      <c r="B47" s="1980" t="s">
        <v>2515</v>
      </c>
      <c r="C47" s="1980" t="s">
        <v>904</v>
      </c>
      <c r="D47" s="1980" t="s">
        <v>2516</v>
      </c>
      <c r="E47" s="1980" t="s">
        <v>906</v>
      </c>
      <c r="F47" s="1985">
        <v>3160.8768599999999</v>
      </c>
      <c r="G47" s="1985">
        <v>816.68216216505084</v>
      </c>
      <c r="H47" s="1985">
        <v>225.72170003589127</v>
      </c>
      <c r="I47" s="1985">
        <v>186.53074123778336</v>
      </c>
    </row>
    <row r="48" spans="1:9" ht="13.5" outlineLevel="1" collapsed="1" thickBot="1" x14ac:dyDescent="0.25">
      <c r="A48" s="1964" t="s">
        <v>5655</v>
      </c>
      <c r="B48" s="1964"/>
      <c r="C48" s="1964"/>
      <c r="D48" s="1964"/>
      <c r="E48" s="1964"/>
      <c r="F48" s="1965">
        <f>SUBTOTAL(9,F47)</f>
        <v>3160.8768599999999</v>
      </c>
      <c r="G48" s="1965">
        <f t="shared" ref="G48:I48" si="5">SUBTOTAL(9,G47)</f>
        <v>816.68216216505084</v>
      </c>
      <c r="H48" s="1965">
        <f t="shared" si="5"/>
        <v>225.72170003589127</v>
      </c>
      <c r="I48" s="1965">
        <f t="shared" si="5"/>
        <v>186.53074123778336</v>
      </c>
    </row>
    <row r="49" spans="1:9" hidden="1" outlineLevel="2" x14ac:dyDescent="0.2">
      <c r="A49" s="1980" t="s">
        <v>2517</v>
      </c>
      <c r="B49" s="1980" t="s">
        <v>2518</v>
      </c>
      <c r="C49" s="1980" t="s">
        <v>904</v>
      </c>
      <c r="D49" s="1980" t="s">
        <v>2519</v>
      </c>
      <c r="E49" s="1980" t="s">
        <v>906</v>
      </c>
      <c r="F49" s="1985">
        <v>16955.23198</v>
      </c>
      <c r="G49" s="1985">
        <v>4380.7576589479722</v>
      </c>
      <c r="H49" s="1985">
        <v>1210.7918013068409</v>
      </c>
      <c r="I49" s="1985">
        <v>1000.5679212343531</v>
      </c>
    </row>
    <row r="50" spans="1:9" ht="13.5" outlineLevel="1" collapsed="1" thickBot="1" x14ac:dyDescent="0.25">
      <c r="A50" s="1964" t="s">
        <v>5656</v>
      </c>
      <c r="B50" s="1964"/>
      <c r="C50" s="1964"/>
      <c r="D50" s="1964"/>
      <c r="E50" s="1964"/>
      <c r="F50" s="1965">
        <f>SUBTOTAL(9,F49)</f>
        <v>16955.23198</v>
      </c>
      <c r="G50" s="1965">
        <f t="shared" ref="G50:I50" si="6">SUBTOTAL(9,G49)</f>
        <v>4380.7576589479722</v>
      </c>
      <c r="H50" s="1965">
        <f t="shared" si="6"/>
        <v>1210.7918013068409</v>
      </c>
      <c r="I50" s="1965">
        <f t="shared" si="6"/>
        <v>1000.5679212343531</v>
      </c>
    </row>
    <row r="51" spans="1:9" hidden="1" outlineLevel="2" x14ac:dyDescent="0.2">
      <c r="A51" s="1980" t="s">
        <v>2520</v>
      </c>
      <c r="B51" s="1980" t="s">
        <v>2521</v>
      </c>
      <c r="C51" s="1980" t="s">
        <v>904</v>
      </c>
      <c r="D51" s="1980" t="s">
        <v>2522</v>
      </c>
      <c r="E51" s="1980" t="s">
        <v>906</v>
      </c>
      <c r="F51" s="1985">
        <v>814.15913999999998</v>
      </c>
      <c r="G51" s="1985">
        <v>210.35594749541696</v>
      </c>
      <c r="H51" s="1985">
        <v>58.14000143636067</v>
      </c>
      <c r="I51" s="1985">
        <v>48.045436312794621</v>
      </c>
    </row>
    <row r="52" spans="1:9" ht="13.5" outlineLevel="1" collapsed="1" thickBot="1" x14ac:dyDescent="0.25">
      <c r="A52" s="1964" t="s">
        <v>5657</v>
      </c>
      <c r="B52" s="1964"/>
      <c r="C52" s="1964"/>
      <c r="D52" s="1964"/>
      <c r="E52" s="1964"/>
      <c r="F52" s="1965">
        <f>SUBTOTAL(9,F51)</f>
        <v>814.15913999999998</v>
      </c>
      <c r="G52" s="1965">
        <f t="shared" ref="G52:I52" si="7">SUBTOTAL(9,G51)</f>
        <v>210.35594749541696</v>
      </c>
      <c r="H52" s="1965">
        <f t="shared" si="7"/>
        <v>58.14000143636067</v>
      </c>
      <c r="I52" s="1965">
        <f t="shared" si="7"/>
        <v>48.045436312794621</v>
      </c>
    </row>
    <row r="53" spans="1:9" hidden="1" outlineLevel="2" x14ac:dyDescent="0.2">
      <c r="A53" s="1980" t="s">
        <v>2523</v>
      </c>
      <c r="B53" s="1980" t="s">
        <v>2524</v>
      </c>
      <c r="C53" s="1980" t="s">
        <v>904</v>
      </c>
      <c r="D53" s="1980" t="s">
        <v>2525</v>
      </c>
      <c r="E53" s="1980" t="s">
        <v>906</v>
      </c>
      <c r="F53" s="1985">
        <v>2345.2841400000002</v>
      </c>
      <c r="G53" s="1985">
        <v>605.95581769882745</v>
      </c>
      <c r="H53" s="1985">
        <v>167.47932507184518</v>
      </c>
      <c r="I53" s="1985">
        <v>138.40070601403224</v>
      </c>
    </row>
    <row r="54" spans="1:9" ht="13.5" outlineLevel="1" collapsed="1" thickBot="1" x14ac:dyDescent="0.25">
      <c r="A54" s="1964" t="s">
        <v>5658</v>
      </c>
      <c r="B54" s="1964"/>
      <c r="C54" s="1964"/>
      <c r="D54" s="1964"/>
      <c r="E54" s="1964"/>
      <c r="F54" s="1965">
        <f>SUBTOTAL(9,F53)</f>
        <v>2345.2841400000002</v>
      </c>
      <c r="G54" s="1965">
        <f t="shared" ref="G54:I54" si="8">SUBTOTAL(9,G53)</f>
        <v>605.95581769882745</v>
      </c>
      <c r="H54" s="1965">
        <f t="shared" si="8"/>
        <v>167.47932507184518</v>
      </c>
      <c r="I54" s="1965">
        <f t="shared" si="8"/>
        <v>138.40070601403224</v>
      </c>
    </row>
    <row r="55" spans="1:9" hidden="1" outlineLevel="2" x14ac:dyDescent="0.2">
      <c r="A55" s="1980" t="s">
        <v>2526</v>
      </c>
      <c r="B55" s="1980" t="s">
        <v>2527</v>
      </c>
      <c r="C55" s="1980" t="s">
        <v>904</v>
      </c>
      <c r="D55" s="1980" t="s">
        <v>2528</v>
      </c>
      <c r="E55" s="1980" t="s">
        <v>906</v>
      </c>
      <c r="F55" s="1985">
        <v>3293.22325</v>
      </c>
      <c r="G55" s="1985">
        <v>850.87676724686332</v>
      </c>
      <c r="H55" s="1985">
        <v>235.17270159892371</v>
      </c>
      <c r="I55" s="1985">
        <v>194.34081145571798</v>
      </c>
    </row>
    <row r="56" spans="1:9" ht="13.5" outlineLevel="1" collapsed="1" thickBot="1" x14ac:dyDescent="0.25">
      <c r="A56" s="1964" t="s">
        <v>5659</v>
      </c>
      <c r="B56" s="1964"/>
      <c r="C56" s="1964"/>
      <c r="D56" s="1964"/>
      <c r="E56" s="1964"/>
      <c r="F56" s="1965">
        <f>SUBTOTAL(9,F55)</f>
        <v>3293.22325</v>
      </c>
      <c r="G56" s="1965">
        <f t="shared" ref="G56:I56" si="9">SUBTOTAL(9,G55)</f>
        <v>850.87676724686332</v>
      </c>
      <c r="H56" s="1965">
        <f t="shared" si="9"/>
        <v>235.17270159892371</v>
      </c>
      <c r="I56" s="1965">
        <f t="shared" si="9"/>
        <v>194.34081145571798</v>
      </c>
    </row>
    <row r="57" spans="1:9" hidden="1" outlineLevel="2" x14ac:dyDescent="0.2">
      <c r="A57" s="1980" t="s">
        <v>2529</v>
      </c>
      <c r="B57" s="1980" t="s">
        <v>2530</v>
      </c>
      <c r="C57" s="1980" t="s">
        <v>904</v>
      </c>
      <c r="D57" s="1980" t="s">
        <v>2531</v>
      </c>
      <c r="E57" s="1980" t="s">
        <v>906</v>
      </c>
      <c r="F57" s="1985">
        <v>74.310249999999996</v>
      </c>
      <c r="G57" s="1985">
        <v>19.199689936995988</v>
      </c>
      <c r="H57" s="1985">
        <v>5.3065768465564611</v>
      </c>
      <c r="I57" s="1985">
        <v>4.3852217685142563</v>
      </c>
    </row>
    <row r="58" spans="1:9" ht="13.5" outlineLevel="1" collapsed="1" thickBot="1" x14ac:dyDescent="0.25">
      <c r="A58" s="1964" t="s">
        <v>5660</v>
      </c>
      <c r="B58" s="1964"/>
      <c r="C58" s="1964"/>
      <c r="D58" s="1964"/>
      <c r="E58" s="1964"/>
      <c r="F58" s="1965">
        <f>SUBTOTAL(9,F57)</f>
        <v>74.310249999999996</v>
      </c>
      <c r="G58" s="1965">
        <f t="shared" ref="G58:I58" si="10">SUBTOTAL(9,G57)</f>
        <v>19.199689936995988</v>
      </c>
      <c r="H58" s="1965">
        <f t="shared" si="10"/>
        <v>5.3065768465564611</v>
      </c>
      <c r="I58" s="1965">
        <f t="shared" si="10"/>
        <v>4.3852217685142563</v>
      </c>
    </row>
    <row r="59" spans="1:9" hidden="1" outlineLevel="2" x14ac:dyDescent="0.2">
      <c r="A59" s="1980" t="s">
        <v>2532</v>
      </c>
      <c r="B59" s="1980" t="s">
        <v>2533</v>
      </c>
      <c r="C59" s="1980" t="s">
        <v>904</v>
      </c>
      <c r="D59" s="1980" t="s">
        <v>2534</v>
      </c>
      <c r="E59" s="1980" t="s">
        <v>906</v>
      </c>
      <c r="F59" s="1985">
        <v>21.57752</v>
      </c>
      <c r="G59" s="1985">
        <v>5.57502758514915</v>
      </c>
      <c r="H59" s="1985">
        <v>1.5408744828352614</v>
      </c>
      <c r="I59" s="1985">
        <v>1.2733399553164166</v>
      </c>
    </row>
    <row r="60" spans="1:9" ht="13.5" outlineLevel="1" collapsed="1" thickBot="1" x14ac:dyDescent="0.25">
      <c r="A60" s="1964" t="s">
        <v>5661</v>
      </c>
      <c r="B60" s="1964"/>
      <c r="C60" s="1964"/>
      <c r="D60" s="1964"/>
      <c r="E60" s="1964"/>
      <c r="F60" s="1965">
        <f>SUBTOTAL(9,F59)</f>
        <v>21.57752</v>
      </c>
      <c r="G60" s="1965">
        <f t="shared" ref="G60:I60" si="11">SUBTOTAL(9,G59)</f>
        <v>5.57502758514915</v>
      </c>
      <c r="H60" s="1965">
        <f t="shared" si="11"/>
        <v>1.5408744828352614</v>
      </c>
      <c r="I60" s="1965">
        <f t="shared" si="11"/>
        <v>1.2733399553164166</v>
      </c>
    </row>
    <row r="61" spans="1:9" hidden="1" outlineLevel="2" x14ac:dyDescent="0.2">
      <c r="A61" s="1980" t="s">
        <v>2535</v>
      </c>
      <c r="B61" s="1980" t="s">
        <v>2536</v>
      </c>
      <c r="C61" s="1980" t="s">
        <v>904</v>
      </c>
      <c r="D61" s="1980" t="s">
        <v>2537</v>
      </c>
      <c r="E61" s="1980" t="s">
        <v>906</v>
      </c>
      <c r="F61" s="1985">
        <v>57.71163</v>
      </c>
      <c r="G61" s="1985">
        <v>14.911070838257652</v>
      </c>
      <c r="H61" s="1985">
        <v>4.1212510997477905</v>
      </c>
      <c r="I61" s="1985">
        <v>3.4056983548358462</v>
      </c>
    </row>
    <row r="62" spans="1:9" ht="13.5" outlineLevel="1" collapsed="1" thickBot="1" x14ac:dyDescent="0.25">
      <c r="A62" s="1964" t="s">
        <v>5662</v>
      </c>
      <c r="B62" s="1964"/>
      <c r="C62" s="1964"/>
      <c r="D62" s="1964"/>
      <c r="E62" s="1964"/>
      <c r="F62" s="1965">
        <f>SUBTOTAL(9,F61)</f>
        <v>57.71163</v>
      </c>
      <c r="G62" s="1965">
        <f t="shared" ref="G62:I62" si="12">SUBTOTAL(9,G61)</f>
        <v>14.911070838257652</v>
      </c>
      <c r="H62" s="1965">
        <f t="shared" si="12"/>
        <v>4.1212510997477905</v>
      </c>
      <c r="I62" s="1965">
        <f t="shared" si="12"/>
        <v>3.4056983548358462</v>
      </c>
    </row>
    <row r="63" spans="1:9" hidden="1" outlineLevel="2" x14ac:dyDescent="0.2">
      <c r="A63" s="1980" t="s">
        <v>2538</v>
      </c>
      <c r="B63" s="1980" t="s">
        <v>2539</v>
      </c>
      <c r="C63" s="1980" t="s">
        <v>904</v>
      </c>
      <c r="D63" s="1980" t="s">
        <v>2540</v>
      </c>
      <c r="E63" s="1980" t="s">
        <v>913</v>
      </c>
      <c r="F63" s="1985">
        <v>-147.99832000000001</v>
      </c>
      <c r="G63" s="1985">
        <v>-41.40073774204906</v>
      </c>
      <c r="H63" s="1985">
        <v>-11.047968124004489</v>
      </c>
      <c r="I63" s="1985">
        <v>-7.8931183907623801</v>
      </c>
    </row>
    <row r="64" spans="1:9" hidden="1" outlineLevel="2" x14ac:dyDescent="0.2">
      <c r="A64" s="1980" t="s">
        <v>2538</v>
      </c>
      <c r="B64" s="1980" t="s">
        <v>2539</v>
      </c>
      <c r="C64" s="1980" t="s">
        <v>2541</v>
      </c>
      <c r="D64" s="1980" t="s">
        <v>2542</v>
      </c>
      <c r="E64" s="1980" t="s">
        <v>1083</v>
      </c>
      <c r="F64" s="1985">
        <v>27293.307479999999</v>
      </c>
      <c r="G64" s="1985">
        <v>7394.8193543404186</v>
      </c>
      <c r="H64" s="1985">
        <v>2079.1792986401597</v>
      </c>
      <c r="I64" s="1985">
        <v>1477.5603563656348</v>
      </c>
    </row>
    <row r="65" spans="1:9" hidden="1" outlineLevel="2" x14ac:dyDescent="0.2">
      <c r="A65" s="1980" t="s">
        <v>2538</v>
      </c>
      <c r="B65" s="1980" t="s">
        <v>2539</v>
      </c>
      <c r="C65" s="1980" t="s">
        <v>2543</v>
      </c>
      <c r="D65" s="1980" t="s">
        <v>2544</v>
      </c>
      <c r="E65" s="1980" t="s">
        <v>1083</v>
      </c>
      <c r="F65" s="1985">
        <v>22573.078259999998</v>
      </c>
      <c r="G65" s="1985">
        <v>6115.9255295975927</v>
      </c>
      <c r="H65" s="1985">
        <v>1719.5965369594055</v>
      </c>
      <c r="I65" s="1985">
        <v>1222.0243216237332</v>
      </c>
    </row>
    <row r="66" spans="1:9" hidden="1" outlineLevel="2" x14ac:dyDescent="0.2">
      <c r="A66" s="1980" t="s">
        <v>2538</v>
      </c>
      <c r="B66" s="1980" t="s">
        <v>2539</v>
      </c>
      <c r="C66" s="1980" t="s">
        <v>2545</v>
      </c>
      <c r="D66" s="1980" t="s">
        <v>2546</v>
      </c>
      <c r="E66" s="1980" t="s">
        <v>1083</v>
      </c>
      <c r="F66" s="1985">
        <v>7228.2152400000004</v>
      </c>
      <c r="G66" s="1985">
        <v>1958.4048577937458</v>
      </c>
      <c r="H66" s="1985">
        <v>550.6388518187506</v>
      </c>
      <c r="I66" s="1985">
        <v>391.30927219898496</v>
      </c>
    </row>
    <row r="67" spans="1:9" hidden="1" outlineLevel="2" x14ac:dyDescent="0.2">
      <c r="A67" s="1980" t="s">
        <v>2538</v>
      </c>
      <c r="B67" s="1980" t="s">
        <v>2539</v>
      </c>
      <c r="C67" s="1980" t="s">
        <v>2547</v>
      </c>
      <c r="D67" s="1980" t="s">
        <v>2548</v>
      </c>
      <c r="E67" s="1980" t="s">
        <v>1083</v>
      </c>
      <c r="F67" s="1985">
        <v>4634.9083600000004</v>
      </c>
      <c r="G67" s="1985">
        <v>1255.7770827605907</v>
      </c>
      <c r="H67" s="1985">
        <v>353.08309629633112</v>
      </c>
      <c r="I67" s="1985">
        <v>250.91707383364957</v>
      </c>
    </row>
    <row r="68" spans="1:9" hidden="1" outlineLevel="2" x14ac:dyDescent="0.2">
      <c r="A68" s="1980" t="s">
        <v>2538</v>
      </c>
      <c r="B68" s="1980" t="s">
        <v>2539</v>
      </c>
      <c r="C68" s="1980" t="s">
        <v>2549</v>
      </c>
      <c r="D68" s="1980" t="s">
        <v>2550</v>
      </c>
      <c r="E68" s="1980" t="s">
        <v>1083</v>
      </c>
      <c r="F68" s="1985">
        <v>1.45692</v>
      </c>
      <c r="G68" s="1985">
        <v>0.39473633679686382</v>
      </c>
      <c r="H68" s="1985">
        <v>0.11098683829340063</v>
      </c>
      <c r="I68" s="1985">
        <v>7.8872347588274799E-2</v>
      </c>
    </row>
    <row r="69" spans="1:9" hidden="1" outlineLevel="2" x14ac:dyDescent="0.2">
      <c r="A69" s="1980" t="s">
        <v>2538</v>
      </c>
      <c r="B69" s="1980" t="s">
        <v>2539</v>
      </c>
      <c r="C69" s="1980" t="s">
        <v>2551</v>
      </c>
      <c r="D69" s="1980" t="s">
        <v>2552</v>
      </c>
      <c r="E69" s="1980" t="s">
        <v>1083</v>
      </c>
      <c r="F69" s="1985">
        <v>14325.96746</v>
      </c>
      <c r="G69" s="1985">
        <v>3881.4622053588887</v>
      </c>
      <c r="H69" s="1985">
        <v>1091.3391496304116</v>
      </c>
      <c r="I69" s="1985">
        <v>775.55575120352137</v>
      </c>
    </row>
    <row r="70" spans="1:9" hidden="1" outlineLevel="2" x14ac:dyDescent="0.2">
      <c r="A70" s="1980" t="s">
        <v>2538</v>
      </c>
      <c r="B70" s="1980" t="s">
        <v>2539</v>
      </c>
      <c r="C70" s="1980" t="s">
        <v>2553</v>
      </c>
      <c r="D70" s="1980" t="s">
        <v>2554</v>
      </c>
      <c r="E70" s="1980" t="s">
        <v>1083</v>
      </c>
      <c r="F70" s="1985">
        <v>21973.482090000001</v>
      </c>
      <c r="G70" s="1985">
        <v>5953.4715886102849</v>
      </c>
      <c r="H70" s="1985">
        <v>1673.9198469825144</v>
      </c>
      <c r="I70" s="1985">
        <v>1189.5643666963258</v>
      </c>
    </row>
    <row r="71" spans="1:9" hidden="1" outlineLevel="2" x14ac:dyDescent="0.2">
      <c r="A71" s="1980" t="s">
        <v>2538</v>
      </c>
      <c r="B71" s="1980" t="s">
        <v>2539</v>
      </c>
      <c r="C71" s="1980" t="s">
        <v>2555</v>
      </c>
      <c r="D71" s="1980" t="s">
        <v>2556</v>
      </c>
      <c r="E71" s="1980" t="s">
        <v>1083</v>
      </c>
      <c r="F71" s="1985">
        <v>30393.437109999999</v>
      </c>
      <c r="G71" s="1985">
        <v>8234.7651397930294</v>
      </c>
      <c r="H71" s="1985">
        <v>2315.344349523798</v>
      </c>
      <c r="I71" s="1985">
        <v>1645.3900942689306</v>
      </c>
    </row>
    <row r="72" spans="1:9" hidden="1" outlineLevel="2" x14ac:dyDescent="0.2">
      <c r="A72" s="1980" t="s">
        <v>2538</v>
      </c>
      <c r="B72" s="1980" t="s">
        <v>2539</v>
      </c>
      <c r="C72" s="1980" t="s">
        <v>2557</v>
      </c>
      <c r="D72" s="1980" t="s">
        <v>2558</v>
      </c>
      <c r="E72" s="1980" t="s">
        <v>1083</v>
      </c>
      <c r="F72" s="1985">
        <v>1309.45227</v>
      </c>
      <c r="G72" s="1985">
        <v>354.78158874209834</v>
      </c>
      <c r="H72" s="1985">
        <v>99.752880970414552</v>
      </c>
      <c r="I72" s="1985">
        <v>70.888981268494817</v>
      </c>
    </row>
    <row r="73" spans="1:9" hidden="1" outlineLevel="2" x14ac:dyDescent="0.2">
      <c r="A73" s="1980" t="s">
        <v>2538</v>
      </c>
      <c r="B73" s="1980" t="s">
        <v>2539</v>
      </c>
      <c r="C73" s="1980" t="s">
        <v>2559</v>
      </c>
      <c r="D73" s="1980" t="s">
        <v>2560</v>
      </c>
      <c r="E73" s="1980" t="s">
        <v>1083</v>
      </c>
      <c r="F73" s="1985">
        <v>4185.9128099999998</v>
      </c>
      <c r="G73" s="1985">
        <v>1134.1267116728898</v>
      </c>
      <c r="H73" s="1985">
        <v>318.87902434845029</v>
      </c>
      <c r="I73" s="1985">
        <v>226.61008849115399</v>
      </c>
    </row>
    <row r="74" spans="1:9" hidden="1" outlineLevel="2" x14ac:dyDescent="0.2">
      <c r="A74" s="1980" t="s">
        <v>2538</v>
      </c>
      <c r="B74" s="1980" t="s">
        <v>2539</v>
      </c>
      <c r="C74" s="1980" t="s">
        <v>2561</v>
      </c>
      <c r="D74" s="1980" t="s">
        <v>2562</v>
      </c>
      <c r="E74" s="1980" t="s">
        <v>1083</v>
      </c>
      <c r="F74" s="1985">
        <v>6823.1359700000003</v>
      </c>
      <c r="G74" s="1985">
        <v>1848.65311634456</v>
      </c>
      <c r="H74" s="1985">
        <v>519.78028207195678</v>
      </c>
      <c r="I74" s="1985">
        <v>369.37975446002565</v>
      </c>
    </row>
    <row r="75" spans="1:9" hidden="1" outlineLevel="2" x14ac:dyDescent="0.2">
      <c r="A75" s="1980" t="s">
        <v>2538</v>
      </c>
      <c r="B75" s="1980" t="s">
        <v>2539</v>
      </c>
      <c r="C75" s="1980" t="s">
        <v>2563</v>
      </c>
      <c r="D75" s="1980" t="s">
        <v>2564</v>
      </c>
      <c r="E75" s="1980" t="s">
        <v>1083</v>
      </c>
      <c r="F75" s="1985">
        <v>3890.3555200000001</v>
      </c>
      <c r="G75" s="1985">
        <v>1054.0487376124004</v>
      </c>
      <c r="H75" s="1985">
        <v>296.3637392595877</v>
      </c>
      <c r="I75" s="1985">
        <v>210.60969223801141</v>
      </c>
    </row>
    <row r="76" spans="1:9" hidden="1" outlineLevel="2" x14ac:dyDescent="0.2">
      <c r="A76" s="1980" t="s">
        <v>2538</v>
      </c>
      <c r="B76" s="1980" t="s">
        <v>2539</v>
      </c>
      <c r="C76" s="1980" t="s">
        <v>2565</v>
      </c>
      <c r="D76" s="1980" t="s">
        <v>2566</v>
      </c>
      <c r="E76" s="1980" t="s">
        <v>1083</v>
      </c>
      <c r="F76" s="1985">
        <v>6.9151400000000001</v>
      </c>
      <c r="G76" s="1985">
        <v>1.8735805892138655</v>
      </c>
      <c r="H76" s="1985">
        <v>0.52678906525837133</v>
      </c>
      <c r="I76" s="1985">
        <v>0.37436051787440811</v>
      </c>
    </row>
    <row r="77" spans="1:9" hidden="1" outlineLevel="2" x14ac:dyDescent="0.2">
      <c r="A77" s="1980" t="s">
        <v>2538</v>
      </c>
      <c r="B77" s="1980" t="s">
        <v>2539</v>
      </c>
      <c r="C77" s="1980" t="s">
        <v>2567</v>
      </c>
      <c r="D77" s="1980" t="s">
        <v>2568</v>
      </c>
      <c r="E77" s="1980" t="s">
        <v>1083</v>
      </c>
      <c r="F77" s="1985">
        <v>28.882359999999998</v>
      </c>
      <c r="G77" s="1985">
        <v>7.8253555338990939</v>
      </c>
      <c r="H77" s="1985">
        <v>2.2002318719296752</v>
      </c>
      <c r="I77" s="1985">
        <v>1.5635858778036436</v>
      </c>
    </row>
    <row r="78" spans="1:9" hidden="1" outlineLevel="2" x14ac:dyDescent="0.2">
      <c r="A78" s="1980" t="s">
        <v>2538</v>
      </c>
      <c r="B78" s="1980" t="s">
        <v>2539</v>
      </c>
      <c r="C78" s="1980" t="s">
        <v>2569</v>
      </c>
      <c r="D78" s="1980" t="s">
        <v>2570</v>
      </c>
      <c r="E78" s="1980" t="s">
        <v>1083</v>
      </c>
      <c r="F78" s="1985">
        <v>276.10282999999998</v>
      </c>
      <c r="G78" s="1985">
        <v>74.807003605858412</v>
      </c>
      <c r="H78" s="1985">
        <v>21.033262049776432</v>
      </c>
      <c r="I78" s="1985">
        <v>14.947202576576851</v>
      </c>
    </row>
    <row r="79" spans="1:9" hidden="1" outlineLevel="2" x14ac:dyDescent="0.2">
      <c r="A79" s="1980" t="s">
        <v>2538</v>
      </c>
      <c r="B79" s="1980" t="s">
        <v>2539</v>
      </c>
      <c r="C79" s="1980" t="s">
        <v>2571</v>
      </c>
      <c r="D79" s="1980" t="s">
        <v>2572</v>
      </c>
      <c r="E79" s="1980" t="s">
        <v>1083</v>
      </c>
      <c r="F79" s="1985">
        <v>108.02867999999999</v>
      </c>
      <c r="G79" s="1985">
        <v>29.269174293853215</v>
      </c>
      <c r="H79" s="1985">
        <v>8.2295264243812447</v>
      </c>
      <c r="I79" s="1985">
        <v>5.8482796574022666</v>
      </c>
    </row>
    <row r="80" spans="1:9" hidden="1" outlineLevel="2" x14ac:dyDescent="0.2">
      <c r="A80" s="1980" t="s">
        <v>2538</v>
      </c>
      <c r="B80" s="1980" t="s">
        <v>2539</v>
      </c>
      <c r="C80" s="1980" t="s">
        <v>2573</v>
      </c>
      <c r="D80" s="1980" t="s">
        <v>2574</v>
      </c>
      <c r="E80" s="1980" t="s">
        <v>1083</v>
      </c>
      <c r="F80" s="1985">
        <v>243.5778</v>
      </c>
      <c r="G80" s="1985">
        <v>65.994706982565376</v>
      </c>
      <c r="H80" s="1985">
        <v>18.555534895850339</v>
      </c>
      <c r="I80" s="1985">
        <v>13.186415799348818</v>
      </c>
    </row>
    <row r="81" spans="1:9" hidden="1" outlineLevel="2" x14ac:dyDescent="0.2">
      <c r="A81" s="1980" t="s">
        <v>2538</v>
      </c>
      <c r="B81" s="1980" t="s">
        <v>2539</v>
      </c>
      <c r="C81" s="1980" t="s">
        <v>2575</v>
      </c>
      <c r="D81" s="1980" t="s">
        <v>2576</v>
      </c>
      <c r="E81" s="1980" t="s">
        <v>1083</v>
      </c>
      <c r="F81" s="1985">
        <v>5.1193600000000004</v>
      </c>
      <c r="G81" s="1985">
        <v>1.3870338887134455</v>
      </c>
      <c r="H81" s="1985">
        <v>0.38998818087863679</v>
      </c>
      <c r="I81" s="1985">
        <v>0.27714352287669231</v>
      </c>
    </row>
    <row r="82" spans="1:9" hidden="1" outlineLevel="2" x14ac:dyDescent="0.2">
      <c r="A82" s="1980" t="s">
        <v>2538</v>
      </c>
      <c r="B82" s="1980" t="s">
        <v>2539</v>
      </c>
      <c r="C82" s="1980" t="s">
        <v>2577</v>
      </c>
      <c r="D82" s="1980" t="s">
        <v>2578</v>
      </c>
      <c r="E82" s="1980" t="s">
        <v>1083</v>
      </c>
      <c r="F82" s="1985">
        <v>1013.19602</v>
      </c>
      <c r="G82" s="1985">
        <v>274.51423921146113</v>
      </c>
      <c r="H82" s="1985">
        <v>77.184349745529687</v>
      </c>
      <c r="I82" s="1985">
        <v>54.850745864218091</v>
      </c>
    </row>
    <row r="83" spans="1:9" hidden="1" outlineLevel="2" x14ac:dyDescent="0.2">
      <c r="A83" s="1980" t="s">
        <v>2538</v>
      </c>
      <c r="B83" s="1980" t="s">
        <v>2539</v>
      </c>
      <c r="C83" s="1980" t="s">
        <v>2579</v>
      </c>
      <c r="D83" s="1980" t="s">
        <v>2580</v>
      </c>
      <c r="E83" s="1980" t="s">
        <v>1083</v>
      </c>
      <c r="F83" s="1985">
        <v>487.08109000000002</v>
      </c>
      <c r="G83" s="1985">
        <v>131.96922630592178</v>
      </c>
      <c r="H83" s="1985">
        <v>37.105393687781977</v>
      </c>
      <c r="I83" s="1985">
        <v>26.368797898412929</v>
      </c>
    </row>
    <row r="84" spans="1:9" hidden="1" outlineLevel="2" x14ac:dyDescent="0.2">
      <c r="A84" s="1980" t="s">
        <v>2538</v>
      </c>
      <c r="B84" s="1980" t="s">
        <v>2539</v>
      </c>
      <c r="C84" s="1980" t="s">
        <v>2581</v>
      </c>
      <c r="D84" s="1980" t="s">
        <v>2582</v>
      </c>
      <c r="E84" s="1980" t="s">
        <v>1083</v>
      </c>
      <c r="F84" s="1985">
        <v>4.5860300000000001</v>
      </c>
      <c r="G84" s="1985">
        <v>1.2425340325072904</v>
      </c>
      <c r="H84" s="1985">
        <v>0.34935958736147771</v>
      </c>
      <c r="I84" s="1985">
        <v>0.24827097727415087</v>
      </c>
    </row>
    <row r="85" spans="1:9" hidden="1" outlineLevel="2" x14ac:dyDescent="0.2">
      <c r="A85" s="1980" t="s">
        <v>2538</v>
      </c>
      <c r="B85" s="1980" t="s">
        <v>2539</v>
      </c>
      <c r="C85" s="1980" t="s">
        <v>2583</v>
      </c>
      <c r="D85" s="1980" t="s">
        <v>2584</v>
      </c>
      <c r="E85" s="1980" t="s">
        <v>1083</v>
      </c>
      <c r="F85" s="1985">
        <v>349.95681000000002</v>
      </c>
      <c r="G85" s="1985">
        <v>94.816921462067995</v>
      </c>
      <c r="H85" s="1985">
        <v>26.659390962540378</v>
      </c>
      <c r="I85" s="1985">
        <v>18.945388325511246</v>
      </c>
    </row>
    <row r="86" spans="1:9" hidden="1" outlineLevel="2" x14ac:dyDescent="0.2">
      <c r="A86" s="1980" t="s">
        <v>2538</v>
      </c>
      <c r="B86" s="1980" t="s">
        <v>2539</v>
      </c>
      <c r="C86" s="1980" t="s">
        <v>2585</v>
      </c>
      <c r="D86" s="1980" t="s">
        <v>2586</v>
      </c>
      <c r="E86" s="1980" t="s">
        <v>1083</v>
      </c>
      <c r="F86" s="1985">
        <v>444.38096999999999</v>
      </c>
      <c r="G86" s="1985">
        <v>120.40010174892035</v>
      </c>
      <c r="H86" s="1985">
        <v>33.852537447529386</v>
      </c>
      <c r="I86" s="1985">
        <v>24.057168772104657</v>
      </c>
    </row>
    <row r="87" spans="1:9" hidden="1" outlineLevel="2" x14ac:dyDescent="0.2">
      <c r="A87" s="1980" t="s">
        <v>2538</v>
      </c>
      <c r="B87" s="1980" t="s">
        <v>2539</v>
      </c>
      <c r="C87" s="1980" t="s">
        <v>2587</v>
      </c>
      <c r="D87" s="1980" t="s">
        <v>2588</v>
      </c>
      <c r="E87" s="1980" t="s">
        <v>1083</v>
      </c>
      <c r="F87" s="1985">
        <v>3.73387</v>
      </c>
      <c r="G87" s="1985">
        <v>1.0116507192403879</v>
      </c>
      <c r="H87" s="1985">
        <v>0.28444281490993317</v>
      </c>
      <c r="I87" s="1985">
        <v>0.20213813558014965</v>
      </c>
    </row>
    <row r="88" spans="1:9" hidden="1" outlineLevel="2" x14ac:dyDescent="0.2">
      <c r="A88" s="1980" t="s">
        <v>2538</v>
      </c>
      <c r="B88" s="1980" t="s">
        <v>2539</v>
      </c>
      <c r="C88" s="1980" t="s">
        <v>2589</v>
      </c>
      <c r="D88" s="1980" t="s">
        <v>2590</v>
      </c>
      <c r="E88" s="1980" t="s">
        <v>1083</v>
      </c>
      <c r="F88" s="1985">
        <v>939.13118999999995</v>
      </c>
      <c r="G88" s="1985">
        <v>254.44719388317787</v>
      </c>
      <c r="H88" s="1985">
        <v>71.54215847185769</v>
      </c>
      <c r="I88" s="1985">
        <v>50.841145463491571</v>
      </c>
    </row>
    <row r="89" spans="1:9" hidden="1" outlineLevel="2" x14ac:dyDescent="0.2">
      <c r="A89" s="1980" t="s">
        <v>2538</v>
      </c>
      <c r="B89" s="1980" t="s">
        <v>2539</v>
      </c>
      <c r="C89" s="1980" t="s">
        <v>2591</v>
      </c>
      <c r="D89" s="1980" t="s">
        <v>2592</v>
      </c>
      <c r="E89" s="1980" t="s">
        <v>1083</v>
      </c>
      <c r="F89" s="1985">
        <v>10.725440000000001</v>
      </c>
      <c r="G89" s="1985">
        <v>2.905939170396834</v>
      </c>
      <c r="H89" s="1985">
        <v>0.81705424793782155</v>
      </c>
      <c r="I89" s="1985">
        <v>0.58063629555307505</v>
      </c>
    </row>
    <row r="90" spans="1:9" hidden="1" outlineLevel="2" x14ac:dyDescent="0.2">
      <c r="A90" s="1980" t="s">
        <v>2538</v>
      </c>
      <c r="B90" s="1980" t="s">
        <v>2539</v>
      </c>
      <c r="C90" s="1980" t="s">
        <v>2593</v>
      </c>
      <c r="D90" s="1980" t="s">
        <v>2594</v>
      </c>
      <c r="E90" s="1980" t="s">
        <v>922</v>
      </c>
      <c r="F90" s="1985">
        <v>828.46650999999997</v>
      </c>
      <c r="G90" s="1985">
        <v>0</v>
      </c>
      <c r="H90" s="1985">
        <v>0</v>
      </c>
      <c r="I90" s="1985">
        <v>0</v>
      </c>
    </row>
    <row r="91" spans="1:9" hidden="1" outlineLevel="2" x14ac:dyDescent="0.2">
      <c r="A91" s="1980" t="s">
        <v>2538</v>
      </c>
      <c r="B91" s="1980" t="s">
        <v>2539</v>
      </c>
      <c r="C91" s="1980" t="s">
        <v>2595</v>
      </c>
      <c r="D91" s="1980" t="s">
        <v>2596</v>
      </c>
      <c r="E91" s="1980" t="s">
        <v>922</v>
      </c>
      <c r="F91" s="1985">
        <v>188.29365999999999</v>
      </c>
      <c r="G91" s="1985">
        <v>0</v>
      </c>
      <c r="H91" s="1985">
        <v>0</v>
      </c>
      <c r="I91" s="1985">
        <v>0</v>
      </c>
    </row>
    <row r="92" spans="1:9" hidden="1" outlineLevel="2" x14ac:dyDescent="0.2">
      <c r="A92" s="1980" t="s">
        <v>2538</v>
      </c>
      <c r="B92" s="1980" t="s">
        <v>2539</v>
      </c>
      <c r="C92" s="1980" t="s">
        <v>2597</v>
      </c>
      <c r="D92" s="1980" t="s">
        <v>2598</v>
      </c>
      <c r="E92" s="1980" t="s">
        <v>922</v>
      </c>
      <c r="F92" s="1985">
        <v>407.58515</v>
      </c>
      <c r="G92" s="1985">
        <v>0</v>
      </c>
      <c r="H92" s="1985">
        <v>0</v>
      </c>
      <c r="I92" s="1985">
        <v>0</v>
      </c>
    </row>
    <row r="93" spans="1:9" hidden="1" outlineLevel="2" x14ac:dyDescent="0.2">
      <c r="A93" s="1980" t="s">
        <v>2538</v>
      </c>
      <c r="B93" s="1980" t="s">
        <v>2539</v>
      </c>
      <c r="C93" s="1980" t="s">
        <v>2599</v>
      </c>
      <c r="D93" s="1980" t="s">
        <v>2600</v>
      </c>
      <c r="E93" s="1980" t="s">
        <v>922</v>
      </c>
      <c r="F93" s="1985">
        <v>1070.4593</v>
      </c>
      <c r="G93" s="1985">
        <v>0</v>
      </c>
      <c r="H93" s="1985">
        <v>0</v>
      </c>
      <c r="I93" s="1985">
        <v>0</v>
      </c>
    </row>
    <row r="94" spans="1:9" hidden="1" outlineLevel="2" x14ac:dyDescent="0.2">
      <c r="A94" s="1980" t="s">
        <v>2538</v>
      </c>
      <c r="B94" s="1980" t="s">
        <v>2539</v>
      </c>
      <c r="C94" s="1980" t="s">
        <v>2601</v>
      </c>
      <c r="D94" s="1980" t="s">
        <v>2602</v>
      </c>
      <c r="E94" s="1980" t="s">
        <v>922</v>
      </c>
      <c r="F94" s="1985">
        <v>1064.36007</v>
      </c>
      <c r="G94" s="1985">
        <v>0</v>
      </c>
      <c r="H94" s="1985">
        <v>0</v>
      </c>
      <c r="I94" s="1985">
        <v>0</v>
      </c>
    </row>
    <row r="95" spans="1:9" hidden="1" outlineLevel="2" x14ac:dyDescent="0.2">
      <c r="A95" s="1980" t="s">
        <v>2538</v>
      </c>
      <c r="B95" s="1980" t="s">
        <v>2539</v>
      </c>
      <c r="C95" s="1980" t="s">
        <v>2603</v>
      </c>
      <c r="D95" s="1980" t="s">
        <v>2604</v>
      </c>
      <c r="E95" s="1980" t="s">
        <v>922</v>
      </c>
      <c r="F95" s="1985">
        <v>702.59468000000004</v>
      </c>
      <c r="G95" s="1985">
        <v>0</v>
      </c>
      <c r="H95" s="1985">
        <v>0</v>
      </c>
      <c r="I95" s="1985">
        <v>0</v>
      </c>
    </row>
    <row r="96" spans="1:9" hidden="1" outlineLevel="2" x14ac:dyDescent="0.2">
      <c r="A96" s="1980" t="s">
        <v>2538</v>
      </c>
      <c r="B96" s="1980" t="s">
        <v>2539</v>
      </c>
      <c r="C96" s="1980" t="s">
        <v>2605</v>
      </c>
      <c r="D96" s="1980" t="s">
        <v>2606</v>
      </c>
      <c r="E96" s="1980" t="s">
        <v>923</v>
      </c>
      <c r="F96" s="1985">
        <v>1334.4782299999999</v>
      </c>
      <c r="G96" s="1985">
        <v>0</v>
      </c>
      <c r="H96" s="1985">
        <v>0</v>
      </c>
      <c r="I96" s="1985">
        <v>0</v>
      </c>
    </row>
    <row r="97" spans="1:9" hidden="1" outlineLevel="2" x14ac:dyDescent="0.2">
      <c r="A97" s="1980" t="s">
        <v>2538</v>
      </c>
      <c r="B97" s="1980" t="s">
        <v>2539</v>
      </c>
      <c r="C97" s="1980" t="s">
        <v>2607</v>
      </c>
      <c r="D97" s="1980" t="s">
        <v>2608</v>
      </c>
      <c r="E97" s="1980" t="s">
        <v>923</v>
      </c>
      <c r="F97" s="1985">
        <v>14.14115</v>
      </c>
      <c r="G97" s="1985">
        <v>0</v>
      </c>
      <c r="H97" s="1985">
        <v>0</v>
      </c>
      <c r="I97" s="1985">
        <v>0</v>
      </c>
    </row>
    <row r="98" spans="1:9" hidden="1" outlineLevel="2" x14ac:dyDescent="0.2">
      <c r="A98" s="1980" t="s">
        <v>2538</v>
      </c>
      <c r="B98" s="1980" t="s">
        <v>2539</v>
      </c>
      <c r="C98" s="1980" t="s">
        <v>2609</v>
      </c>
      <c r="D98" s="1980" t="s">
        <v>2610</v>
      </c>
      <c r="E98" s="1980" t="s">
        <v>923</v>
      </c>
      <c r="F98" s="1985">
        <v>1046.1032299999999</v>
      </c>
      <c r="G98" s="1985">
        <v>0</v>
      </c>
      <c r="H98" s="1985">
        <v>0</v>
      </c>
      <c r="I98" s="1985">
        <v>0</v>
      </c>
    </row>
    <row r="99" spans="1:9" hidden="1" outlineLevel="2" x14ac:dyDescent="0.2">
      <c r="A99" s="1980" t="s">
        <v>2538</v>
      </c>
      <c r="B99" s="1980" t="s">
        <v>2539</v>
      </c>
      <c r="C99" s="1980" t="s">
        <v>2611</v>
      </c>
      <c r="D99" s="1980" t="s">
        <v>2612</v>
      </c>
      <c r="E99" s="1980" t="s">
        <v>922</v>
      </c>
      <c r="F99" s="1985">
        <v>2360.0994999999998</v>
      </c>
      <c r="G99" s="1985">
        <v>0</v>
      </c>
      <c r="H99" s="1985">
        <v>0</v>
      </c>
      <c r="I99" s="1985">
        <v>0</v>
      </c>
    </row>
    <row r="100" spans="1:9" hidden="1" outlineLevel="2" x14ac:dyDescent="0.2">
      <c r="A100" s="1980" t="s">
        <v>2538</v>
      </c>
      <c r="B100" s="1980" t="s">
        <v>2539</v>
      </c>
      <c r="C100" s="1980" t="s">
        <v>2613</v>
      </c>
      <c r="D100" s="1980" t="s">
        <v>2614</v>
      </c>
      <c r="E100" s="1980" t="s">
        <v>922</v>
      </c>
      <c r="F100" s="1985">
        <v>730.94962999999996</v>
      </c>
      <c r="G100" s="1985">
        <v>0</v>
      </c>
      <c r="H100" s="1985">
        <v>0</v>
      </c>
      <c r="I100" s="1985">
        <v>0</v>
      </c>
    </row>
    <row r="101" spans="1:9" hidden="1" outlineLevel="2" x14ac:dyDescent="0.2">
      <c r="A101" s="1980" t="s">
        <v>2538</v>
      </c>
      <c r="B101" s="1980" t="s">
        <v>2539</v>
      </c>
      <c r="C101" s="1980" t="s">
        <v>2615</v>
      </c>
      <c r="D101" s="1980" t="s">
        <v>2616</v>
      </c>
      <c r="E101" s="1980" t="s">
        <v>922</v>
      </c>
      <c r="F101" s="1985">
        <v>748.67683999999997</v>
      </c>
      <c r="G101" s="1985">
        <v>0</v>
      </c>
      <c r="H101" s="1985">
        <v>0</v>
      </c>
      <c r="I101" s="1985">
        <v>0</v>
      </c>
    </row>
    <row r="102" spans="1:9" hidden="1" outlineLevel="2" x14ac:dyDescent="0.2">
      <c r="A102" s="1980" t="s">
        <v>2538</v>
      </c>
      <c r="B102" s="1980" t="s">
        <v>2539</v>
      </c>
      <c r="C102" s="1980" t="s">
        <v>2617</v>
      </c>
      <c r="D102" s="1980" t="s">
        <v>2618</v>
      </c>
      <c r="E102" s="1980" t="s">
        <v>919</v>
      </c>
      <c r="F102" s="1985">
        <v>3289.4371299999998</v>
      </c>
      <c r="G102" s="1985">
        <v>0</v>
      </c>
      <c r="H102" s="1985">
        <v>0</v>
      </c>
      <c r="I102" s="1985">
        <v>3289.4371299999998</v>
      </c>
    </row>
    <row r="103" spans="1:9" hidden="1" outlineLevel="2" x14ac:dyDescent="0.2">
      <c r="A103" s="1980" t="s">
        <v>2538</v>
      </c>
      <c r="B103" s="1980" t="s">
        <v>2539</v>
      </c>
      <c r="C103" s="1980" t="s">
        <v>2619</v>
      </c>
      <c r="D103" s="1980" t="s">
        <v>2620</v>
      </c>
      <c r="E103" s="1980" t="s">
        <v>919</v>
      </c>
      <c r="F103" s="1985">
        <v>0.71148</v>
      </c>
      <c r="G103" s="1985">
        <v>0</v>
      </c>
      <c r="H103" s="1985">
        <v>0</v>
      </c>
      <c r="I103" s="1985">
        <v>0.71148</v>
      </c>
    </row>
    <row r="104" spans="1:9" hidden="1" outlineLevel="2" x14ac:dyDescent="0.2">
      <c r="A104" s="1980" t="s">
        <v>2538</v>
      </c>
      <c r="B104" s="1980" t="s">
        <v>2539</v>
      </c>
      <c r="C104" s="1980" t="s">
        <v>2621</v>
      </c>
      <c r="D104" s="1980" t="s">
        <v>2622</v>
      </c>
      <c r="E104" s="1980" t="s">
        <v>919</v>
      </c>
      <c r="F104" s="1985">
        <v>1505.9802199999999</v>
      </c>
      <c r="G104" s="1985">
        <v>0</v>
      </c>
      <c r="H104" s="1985">
        <v>0</v>
      </c>
      <c r="I104" s="1985">
        <v>1505.9802199999999</v>
      </c>
    </row>
    <row r="105" spans="1:9" hidden="1" outlineLevel="2" x14ac:dyDescent="0.2">
      <c r="A105" s="1980" t="s">
        <v>2538</v>
      </c>
      <c r="B105" s="1980" t="s">
        <v>2539</v>
      </c>
      <c r="C105" s="1980" t="s">
        <v>2623</v>
      </c>
      <c r="D105" s="1980" t="s">
        <v>2624</v>
      </c>
      <c r="E105" s="1980" t="s">
        <v>919</v>
      </c>
      <c r="F105" s="1985">
        <v>110.68476</v>
      </c>
      <c r="G105" s="1985">
        <v>0</v>
      </c>
      <c r="H105" s="1985">
        <v>0</v>
      </c>
      <c r="I105" s="1985">
        <v>110.68476</v>
      </c>
    </row>
    <row r="106" spans="1:9" hidden="1" outlineLevel="2" x14ac:dyDescent="0.2">
      <c r="A106" s="1980" t="s">
        <v>2538</v>
      </c>
      <c r="B106" s="1980" t="s">
        <v>2539</v>
      </c>
      <c r="C106" s="1980" t="s">
        <v>2625</v>
      </c>
      <c r="D106" s="1980" t="s">
        <v>2626</v>
      </c>
      <c r="E106" s="1980" t="s">
        <v>919</v>
      </c>
      <c r="F106" s="1985">
        <v>332.34791999999999</v>
      </c>
      <c r="G106" s="1985">
        <v>0</v>
      </c>
      <c r="H106" s="1985">
        <v>0</v>
      </c>
      <c r="I106" s="1985">
        <v>332.34791999999999</v>
      </c>
    </row>
    <row r="107" spans="1:9" hidden="1" outlineLevel="2" x14ac:dyDescent="0.2">
      <c r="A107" s="1980" t="s">
        <v>2538</v>
      </c>
      <c r="B107" s="1980" t="s">
        <v>2539</v>
      </c>
      <c r="C107" s="1980" t="s">
        <v>2627</v>
      </c>
      <c r="D107" s="1980" t="s">
        <v>2628</v>
      </c>
      <c r="E107" s="1980" t="s">
        <v>919</v>
      </c>
      <c r="F107" s="1985">
        <v>401.45906000000002</v>
      </c>
      <c r="G107" s="1985">
        <v>0</v>
      </c>
      <c r="H107" s="1985">
        <v>0</v>
      </c>
      <c r="I107" s="1985">
        <v>401.45906000000002</v>
      </c>
    </row>
    <row r="108" spans="1:9" hidden="1" outlineLevel="2" x14ac:dyDescent="0.2">
      <c r="A108" s="1980" t="s">
        <v>2538</v>
      </c>
      <c r="B108" s="1980" t="s">
        <v>2539</v>
      </c>
      <c r="C108" s="1980" t="s">
        <v>2629</v>
      </c>
      <c r="D108" s="1980" t="s">
        <v>2630</v>
      </c>
      <c r="E108" s="1980" t="s">
        <v>920</v>
      </c>
      <c r="F108" s="1985">
        <v>1719.79916</v>
      </c>
      <c r="G108" s="1985">
        <v>0</v>
      </c>
      <c r="H108" s="1985">
        <v>0</v>
      </c>
      <c r="I108" s="1985">
        <v>0</v>
      </c>
    </row>
    <row r="109" spans="1:9" hidden="1" outlineLevel="2" x14ac:dyDescent="0.2">
      <c r="A109" s="1980" t="s">
        <v>2538</v>
      </c>
      <c r="B109" s="1980" t="s">
        <v>2539</v>
      </c>
      <c r="C109" s="1980" t="s">
        <v>2631</v>
      </c>
      <c r="D109" s="1980" t="s">
        <v>2632</v>
      </c>
      <c r="E109" s="1980" t="s">
        <v>920</v>
      </c>
      <c r="F109" s="1985">
        <v>871.14332000000002</v>
      </c>
      <c r="G109" s="1985">
        <v>0</v>
      </c>
      <c r="H109" s="1985">
        <v>0</v>
      </c>
      <c r="I109" s="1985">
        <v>0</v>
      </c>
    </row>
    <row r="110" spans="1:9" hidden="1" outlineLevel="2" x14ac:dyDescent="0.2">
      <c r="A110" s="1980" t="s">
        <v>2538</v>
      </c>
      <c r="B110" s="1980" t="s">
        <v>2539</v>
      </c>
      <c r="C110" s="1980" t="s">
        <v>2633</v>
      </c>
      <c r="D110" s="1980" t="s">
        <v>2634</v>
      </c>
      <c r="E110" s="1980" t="s">
        <v>920</v>
      </c>
      <c r="F110" s="1985">
        <v>3371.70597</v>
      </c>
      <c r="G110" s="1985">
        <v>0</v>
      </c>
      <c r="H110" s="1985">
        <v>0</v>
      </c>
      <c r="I110" s="1985">
        <v>0</v>
      </c>
    </row>
    <row r="111" spans="1:9" hidden="1" outlineLevel="2" x14ac:dyDescent="0.2">
      <c r="A111" s="1980" t="s">
        <v>2538</v>
      </c>
      <c r="B111" s="1980" t="s">
        <v>2539</v>
      </c>
      <c r="C111" s="1980" t="s">
        <v>2635</v>
      </c>
      <c r="D111" s="1980" t="s">
        <v>2636</v>
      </c>
      <c r="E111" s="1980" t="s">
        <v>920</v>
      </c>
      <c r="F111" s="1985">
        <v>2399.7212199999999</v>
      </c>
      <c r="G111" s="1985">
        <v>0</v>
      </c>
      <c r="H111" s="1985">
        <v>0</v>
      </c>
      <c r="I111" s="1985">
        <v>0</v>
      </c>
    </row>
    <row r="112" spans="1:9" hidden="1" outlineLevel="2" x14ac:dyDescent="0.2">
      <c r="A112" s="1980" t="s">
        <v>2538</v>
      </c>
      <c r="B112" s="1980" t="s">
        <v>2539</v>
      </c>
      <c r="C112" s="1980" t="s">
        <v>2637</v>
      </c>
      <c r="D112" s="1980" t="s">
        <v>2638</v>
      </c>
      <c r="E112" s="1980" t="s">
        <v>920</v>
      </c>
      <c r="F112" s="1985">
        <v>12026.160519999999</v>
      </c>
      <c r="G112" s="1985">
        <v>0</v>
      </c>
      <c r="H112" s="1985">
        <v>0</v>
      </c>
      <c r="I112" s="1985">
        <v>0</v>
      </c>
    </row>
    <row r="113" spans="1:9" hidden="1" outlineLevel="2" x14ac:dyDescent="0.2">
      <c r="A113" s="1980" t="s">
        <v>2538</v>
      </c>
      <c r="B113" s="1980" t="s">
        <v>2539</v>
      </c>
      <c r="C113" s="1980" t="s">
        <v>2639</v>
      </c>
      <c r="D113" s="1980" t="s">
        <v>2640</v>
      </c>
      <c r="E113" s="1980" t="s">
        <v>920</v>
      </c>
      <c r="F113" s="1985">
        <v>1666.2241300000001</v>
      </c>
      <c r="G113" s="1985">
        <v>0</v>
      </c>
      <c r="H113" s="1985">
        <v>0</v>
      </c>
      <c r="I113" s="1985">
        <v>0</v>
      </c>
    </row>
    <row r="114" spans="1:9" hidden="1" outlineLevel="2" x14ac:dyDescent="0.2">
      <c r="A114" s="1980" t="s">
        <v>2538</v>
      </c>
      <c r="B114" s="1980" t="s">
        <v>2539</v>
      </c>
      <c r="C114" s="1980" t="s">
        <v>2641</v>
      </c>
      <c r="D114" s="1980" t="s">
        <v>2642</v>
      </c>
      <c r="E114" s="1980" t="s">
        <v>920</v>
      </c>
      <c r="F114" s="1985">
        <v>4479.1316100000004</v>
      </c>
      <c r="G114" s="1985">
        <v>0</v>
      </c>
      <c r="H114" s="1985">
        <v>0</v>
      </c>
      <c r="I114" s="1985">
        <v>0</v>
      </c>
    </row>
    <row r="115" spans="1:9" hidden="1" outlineLevel="2" x14ac:dyDescent="0.2">
      <c r="A115" s="1980" t="s">
        <v>2538</v>
      </c>
      <c r="B115" s="1980" t="s">
        <v>2539</v>
      </c>
      <c r="C115" s="1980" t="s">
        <v>2643</v>
      </c>
      <c r="D115" s="1980" t="s">
        <v>2644</v>
      </c>
      <c r="E115" s="1980" t="s">
        <v>920</v>
      </c>
      <c r="F115" s="1985">
        <v>1081.58808</v>
      </c>
      <c r="G115" s="1985">
        <v>0</v>
      </c>
      <c r="H115" s="1985">
        <v>0</v>
      </c>
      <c r="I115" s="1985">
        <v>0</v>
      </c>
    </row>
    <row r="116" spans="1:9" hidden="1" outlineLevel="2" x14ac:dyDescent="0.2">
      <c r="A116" s="1980" t="s">
        <v>2538</v>
      </c>
      <c r="B116" s="1980" t="s">
        <v>2539</v>
      </c>
      <c r="C116" s="1980" t="s">
        <v>2645</v>
      </c>
      <c r="D116" s="1980" t="s">
        <v>2646</v>
      </c>
      <c r="E116" s="1980" t="s">
        <v>920</v>
      </c>
      <c r="F116" s="1985">
        <v>1846.8282999999999</v>
      </c>
      <c r="G116" s="1985">
        <v>0</v>
      </c>
      <c r="H116" s="1985">
        <v>0</v>
      </c>
      <c r="I116" s="1985">
        <v>0</v>
      </c>
    </row>
    <row r="117" spans="1:9" hidden="1" outlineLevel="2" x14ac:dyDescent="0.2">
      <c r="A117" s="1980" t="s">
        <v>2538</v>
      </c>
      <c r="B117" s="1980" t="s">
        <v>2539</v>
      </c>
      <c r="C117" s="1980" t="s">
        <v>2647</v>
      </c>
      <c r="D117" s="1980" t="s">
        <v>2648</v>
      </c>
      <c r="E117" s="1980" t="s">
        <v>920</v>
      </c>
      <c r="F117" s="1985">
        <v>1123.3701100000001</v>
      </c>
      <c r="G117" s="1985">
        <v>0</v>
      </c>
      <c r="H117" s="1985">
        <v>0</v>
      </c>
      <c r="I117" s="1985">
        <v>0</v>
      </c>
    </row>
    <row r="118" spans="1:9" hidden="1" outlineLevel="2" x14ac:dyDescent="0.2">
      <c r="A118" s="1980" t="s">
        <v>2538</v>
      </c>
      <c r="B118" s="1980" t="s">
        <v>2539</v>
      </c>
      <c r="C118" s="1980" t="s">
        <v>2649</v>
      </c>
      <c r="D118" s="1980" t="s">
        <v>2650</v>
      </c>
      <c r="E118" s="1980" t="s">
        <v>920</v>
      </c>
      <c r="F118" s="1985">
        <v>2519.8033300000002</v>
      </c>
      <c r="G118" s="1985">
        <v>0</v>
      </c>
      <c r="H118" s="1985">
        <v>0</v>
      </c>
      <c r="I118" s="1985">
        <v>0</v>
      </c>
    </row>
    <row r="119" spans="1:9" hidden="1" outlineLevel="2" x14ac:dyDescent="0.2">
      <c r="A119" s="1980" t="s">
        <v>2538</v>
      </c>
      <c r="B119" s="1980" t="s">
        <v>2539</v>
      </c>
      <c r="C119" s="1980" t="s">
        <v>2651</v>
      </c>
      <c r="D119" s="1980" t="s">
        <v>2652</v>
      </c>
      <c r="E119" s="1980" t="s">
        <v>920</v>
      </c>
      <c r="F119" s="1985">
        <v>1390.2207800000001</v>
      </c>
      <c r="G119" s="1985">
        <v>0</v>
      </c>
      <c r="H119" s="1985">
        <v>0</v>
      </c>
      <c r="I119" s="1985">
        <v>0</v>
      </c>
    </row>
    <row r="120" spans="1:9" hidden="1" outlineLevel="2" x14ac:dyDescent="0.2">
      <c r="A120" s="1980" t="s">
        <v>2538</v>
      </c>
      <c r="B120" s="1980" t="s">
        <v>2539</v>
      </c>
      <c r="C120" s="1980" t="s">
        <v>2653</v>
      </c>
      <c r="D120" s="1980" t="s">
        <v>2654</v>
      </c>
      <c r="E120" s="1980" t="s">
        <v>920</v>
      </c>
      <c r="F120" s="1985">
        <v>436.75459000000001</v>
      </c>
      <c r="G120" s="1985">
        <v>0</v>
      </c>
      <c r="H120" s="1985">
        <v>0</v>
      </c>
      <c r="I120" s="1985">
        <v>0</v>
      </c>
    </row>
    <row r="121" spans="1:9" hidden="1" outlineLevel="2" x14ac:dyDescent="0.2">
      <c r="A121" s="1980" t="s">
        <v>2538</v>
      </c>
      <c r="B121" s="1980" t="s">
        <v>2539</v>
      </c>
      <c r="C121" s="1980" t="s">
        <v>2655</v>
      </c>
      <c r="D121" s="1980" t="s">
        <v>2656</v>
      </c>
      <c r="E121" s="1980" t="s">
        <v>920</v>
      </c>
      <c r="F121" s="1985">
        <v>1332.59626</v>
      </c>
      <c r="G121" s="1985">
        <v>0</v>
      </c>
      <c r="H121" s="1985">
        <v>0</v>
      </c>
      <c r="I121" s="1985">
        <v>0</v>
      </c>
    </row>
    <row r="122" spans="1:9" hidden="1" outlineLevel="2" x14ac:dyDescent="0.2">
      <c r="A122" s="1980" t="s">
        <v>2538</v>
      </c>
      <c r="B122" s="1980" t="s">
        <v>2539</v>
      </c>
      <c r="C122" s="1980" t="s">
        <v>2657</v>
      </c>
      <c r="D122" s="1980" t="s">
        <v>2658</v>
      </c>
      <c r="E122" s="1980" t="s">
        <v>920</v>
      </c>
      <c r="F122" s="1985">
        <v>1084.3313700000001</v>
      </c>
      <c r="G122" s="1985">
        <v>0</v>
      </c>
      <c r="H122" s="1985">
        <v>0</v>
      </c>
      <c r="I122" s="1985">
        <v>0</v>
      </c>
    </row>
    <row r="123" spans="1:9" hidden="1" outlineLevel="2" x14ac:dyDescent="0.2">
      <c r="A123" s="1980" t="s">
        <v>2538</v>
      </c>
      <c r="B123" s="1980" t="s">
        <v>2539</v>
      </c>
      <c r="C123" s="1980" t="s">
        <v>2659</v>
      </c>
      <c r="D123" s="1980" t="s">
        <v>2660</v>
      </c>
      <c r="E123" s="1980" t="s">
        <v>920</v>
      </c>
      <c r="F123" s="1985">
        <v>1526.7650000000001</v>
      </c>
      <c r="G123" s="1985">
        <v>0</v>
      </c>
      <c r="H123" s="1985">
        <v>0</v>
      </c>
      <c r="I123" s="1985">
        <v>0</v>
      </c>
    </row>
    <row r="124" spans="1:9" hidden="1" outlineLevel="2" x14ac:dyDescent="0.2">
      <c r="A124" s="1980" t="s">
        <v>2538</v>
      </c>
      <c r="B124" s="1980" t="s">
        <v>2539</v>
      </c>
      <c r="C124" s="1980" t="s">
        <v>2661</v>
      </c>
      <c r="D124" s="1980" t="s">
        <v>2662</v>
      </c>
      <c r="E124" s="1980" t="s">
        <v>920</v>
      </c>
      <c r="F124" s="1985">
        <v>149.16175000000001</v>
      </c>
      <c r="G124" s="1985">
        <v>0</v>
      </c>
      <c r="H124" s="1985">
        <v>0</v>
      </c>
      <c r="I124" s="1985">
        <v>0</v>
      </c>
    </row>
    <row r="125" spans="1:9" hidden="1" outlineLevel="2" x14ac:dyDescent="0.2">
      <c r="A125" s="1980" t="s">
        <v>2538</v>
      </c>
      <c r="B125" s="1980" t="s">
        <v>2539</v>
      </c>
      <c r="C125" s="1980" t="s">
        <v>2663</v>
      </c>
      <c r="D125" s="1980" t="s">
        <v>2664</v>
      </c>
      <c r="E125" s="1980" t="s">
        <v>920</v>
      </c>
      <c r="F125" s="1985">
        <v>131.12635</v>
      </c>
      <c r="G125" s="1985">
        <v>0</v>
      </c>
      <c r="H125" s="1985">
        <v>0</v>
      </c>
      <c r="I125" s="1985">
        <v>0</v>
      </c>
    </row>
    <row r="126" spans="1:9" hidden="1" outlineLevel="2" x14ac:dyDescent="0.2">
      <c r="A126" s="1980" t="s">
        <v>2538</v>
      </c>
      <c r="B126" s="1980" t="s">
        <v>2539</v>
      </c>
      <c r="C126" s="1980" t="s">
        <v>2665</v>
      </c>
      <c r="D126" s="1980" t="s">
        <v>2666</v>
      </c>
      <c r="E126" s="1980" t="s">
        <v>920</v>
      </c>
      <c r="F126" s="1985">
        <v>3627.2563799999998</v>
      </c>
      <c r="G126" s="1985">
        <v>0</v>
      </c>
      <c r="H126" s="1985">
        <v>0</v>
      </c>
      <c r="I126" s="1985">
        <v>0</v>
      </c>
    </row>
    <row r="127" spans="1:9" hidden="1" outlineLevel="2" x14ac:dyDescent="0.2">
      <c r="A127" s="1980" t="s">
        <v>2538</v>
      </c>
      <c r="B127" s="1980" t="s">
        <v>2539</v>
      </c>
      <c r="C127" s="1980" t="s">
        <v>2667</v>
      </c>
      <c r="D127" s="1980" t="s">
        <v>2668</v>
      </c>
      <c r="E127" s="1980" t="s">
        <v>920</v>
      </c>
      <c r="F127" s="1985">
        <v>14.62091</v>
      </c>
      <c r="G127" s="1985">
        <v>0</v>
      </c>
      <c r="H127" s="1985">
        <v>0</v>
      </c>
      <c r="I127" s="1985">
        <v>0</v>
      </c>
    </row>
    <row r="128" spans="1:9" hidden="1" outlineLevel="2" x14ac:dyDescent="0.2">
      <c r="A128" s="1980" t="s">
        <v>2538</v>
      </c>
      <c r="B128" s="1980" t="s">
        <v>2539</v>
      </c>
      <c r="C128" s="1980" t="s">
        <v>2669</v>
      </c>
      <c r="D128" s="1980" t="s">
        <v>2670</v>
      </c>
      <c r="E128" s="1980" t="s">
        <v>920</v>
      </c>
      <c r="F128" s="1985">
        <v>1822.6813</v>
      </c>
      <c r="G128" s="1985">
        <v>0</v>
      </c>
      <c r="H128" s="1985">
        <v>0</v>
      </c>
      <c r="I128" s="1985">
        <v>0</v>
      </c>
    </row>
    <row r="129" spans="1:9" hidden="1" outlineLevel="2" x14ac:dyDescent="0.2">
      <c r="A129" s="1980" t="s">
        <v>2538</v>
      </c>
      <c r="B129" s="1980" t="s">
        <v>2539</v>
      </c>
      <c r="C129" s="1980" t="s">
        <v>2671</v>
      </c>
      <c r="D129" s="1980" t="s">
        <v>2672</v>
      </c>
      <c r="E129" s="1980" t="s">
        <v>921</v>
      </c>
      <c r="F129" s="1985">
        <v>2991.2998899999998</v>
      </c>
      <c r="G129" s="1985">
        <v>0</v>
      </c>
      <c r="H129" s="1985">
        <v>2991.2998899999998</v>
      </c>
      <c r="I129" s="1985">
        <v>0</v>
      </c>
    </row>
    <row r="130" spans="1:9" hidden="1" outlineLevel="2" x14ac:dyDescent="0.2">
      <c r="A130" s="1980" t="s">
        <v>2538</v>
      </c>
      <c r="B130" s="1980" t="s">
        <v>2539</v>
      </c>
      <c r="C130" s="1980" t="s">
        <v>2673</v>
      </c>
      <c r="D130" s="1980" t="s">
        <v>2674</v>
      </c>
      <c r="E130" s="1980" t="s">
        <v>921</v>
      </c>
      <c r="F130" s="1985">
        <v>513.59213999999997</v>
      </c>
      <c r="G130" s="1985">
        <v>0</v>
      </c>
      <c r="H130" s="1985">
        <v>513.59213999999997</v>
      </c>
      <c r="I130" s="1985">
        <v>0</v>
      </c>
    </row>
    <row r="131" spans="1:9" hidden="1" outlineLevel="2" x14ac:dyDescent="0.2">
      <c r="A131" s="1980" t="s">
        <v>2538</v>
      </c>
      <c r="B131" s="1980" t="s">
        <v>2539</v>
      </c>
      <c r="C131" s="1980" t="s">
        <v>2675</v>
      </c>
      <c r="D131" s="1980" t="s">
        <v>2676</v>
      </c>
      <c r="E131" s="1980" t="s">
        <v>912</v>
      </c>
      <c r="F131" s="1985">
        <v>251.36958999999999</v>
      </c>
      <c r="G131" s="1985">
        <v>251.36958999999999</v>
      </c>
      <c r="H131" s="1985">
        <v>0</v>
      </c>
      <c r="I131" s="1985">
        <v>0</v>
      </c>
    </row>
    <row r="132" spans="1:9" hidden="1" outlineLevel="2" x14ac:dyDescent="0.2">
      <c r="A132" s="1980" t="s">
        <v>2538</v>
      </c>
      <c r="B132" s="1980" t="s">
        <v>2539</v>
      </c>
      <c r="C132" s="1980" t="s">
        <v>2677</v>
      </c>
      <c r="D132" s="1980" t="s">
        <v>2678</v>
      </c>
      <c r="E132" s="1980" t="s">
        <v>912</v>
      </c>
      <c r="F132" s="1985">
        <v>1499.36268</v>
      </c>
      <c r="G132" s="1985">
        <v>1499.36268</v>
      </c>
      <c r="H132" s="1985">
        <v>0</v>
      </c>
      <c r="I132" s="1985">
        <v>0</v>
      </c>
    </row>
    <row r="133" spans="1:9" hidden="1" outlineLevel="2" x14ac:dyDescent="0.2">
      <c r="A133" s="1980" t="s">
        <v>2538</v>
      </c>
      <c r="B133" s="1980" t="s">
        <v>2539</v>
      </c>
      <c r="C133" s="1980" t="s">
        <v>2679</v>
      </c>
      <c r="D133" s="1980" t="s">
        <v>2680</v>
      </c>
      <c r="E133" s="1980" t="s">
        <v>912</v>
      </c>
      <c r="F133" s="1985">
        <v>702.69502999999997</v>
      </c>
      <c r="G133" s="1985">
        <v>702.69502999999997</v>
      </c>
      <c r="H133" s="1985">
        <v>0</v>
      </c>
      <c r="I133" s="1985">
        <v>0</v>
      </c>
    </row>
    <row r="134" spans="1:9" hidden="1" outlineLevel="2" x14ac:dyDescent="0.2">
      <c r="A134" s="1980" t="s">
        <v>2538</v>
      </c>
      <c r="B134" s="1980" t="s">
        <v>2539</v>
      </c>
      <c r="C134" s="1980" t="s">
        <v>2681</v>
      </c>
      <c r="D134" s="1980" t="s">
        <v>2682</v>
      </c>
      <c r="E134" s="1980" t="s">
        <v>912</v>
      </c>
      <c r="F134" s="1985">
        <v>18360.379349999999</v>
      </c>
      <c r="G134" s="1985">
        <v>18360.379349999999</v>
      </c>
      <c r="H134" s="1985">
        <v>0</v>
      </c>
      <c r="I134" s="1985">
        <v>0</v>
      </c>
    </row>
    <row r="135" spans="1:9" hidden="1" outlineLevel="2" x14ac:dyDescent="0.2">
      <c r="A135" s="1980" t="s">
        <v>2538</v>
      </c>
      <c r="B135" s="1980" t="s">
        <v>2539</v>
      </c>
      <c r="C135" s="1980" t="s">
        <v>2683</v>
      </c>
      <c r="D135" s="1980" t="s">
        <v>2684</v>
      </c>
      <c r="E135" s="1980" t="s">
        <v>912</v>
      </c>
      <c r="F135" s="1985">
        <v>2032.74359</v>
      </c>
      <c r="G135" s="1985">
        <v>2032.74359</v>
      </c>
      <c r="H135" s="1985">
        <v>0</v>
      </c>
      <c r="I135" s="1985">
        <v>0</v>
      </c>
    </row>
    <row r="136" spans="1:9" hidden="1" outlineLevel="2" x14ac:dyDescent="0.2">
      <c r="A136" s="1980" t="s">
        <v>2538</v>
      </c>
      <c r="B136" s="1980" t="s">
        <v>2539</v>
      </c>
      <c r="C136" s="1980" t="s">
        <v>2685</v>
      </c>
      <c r="D136" s="1980" t="s">
        <v>2686</v>
      </c>
      <c r="E136" s="1980" t="s">
        <v>912</v>
      </c>
      <c r="F136" s="1985">
        <v>124.16562</v>
      </c>
      <c r="G136" s="1985">
        <v>124.16562</v>
      </c>
      <c r="H136" s="1985">
        <v>0</v>
      </c>
      <c r="I136" s="1985">
        <v>0</v>
      </c>
    </row>
    <row r="137" spans="1:9" hidden="1" outlineLevel="2" x14ac:dyDescent="0.2">
      <c r="A137" s="1980" t="s">
        <v>2538</v>
      </c>
      <c r="B137" s="1980" t="s">
        <v>2539</v>
      </c>
      <c r="C137" s="1980" t="s">
        <v>2687</v>
      </c>
      <c r="D137" s="1980" t="s">
        <v>2688</v>
      </c>
      <c r="E137" s="1980" t="s">
        <v>912</v>
      </c>
      <c r="F137" s="1985">
        <v>1.0866199999999999</v>
      </c>
      <c r="G137" s="1985">
        <v>1.0866199999999999</v>
      </c>
      <c r="H137" s="1985">
        <v>0</v>
      </c>
      <c r="I137" s="1985">
        <v>0</v>
      </c>
    </row>
    <row r="138" spans="1:9" hidden="1" outlineLevel="2" x14ac:dyDescent="0.2">
      <c r="A138" s="1980" t="s">
        <v>2538</v>
      </c>
      <c r="B138" s="1980" t="s">
        <v>2539</v>
      </c>
      <c r="C138" s="1980" t="s">
        <v>2689</v>
      </c>
      <c r="D138" s="1980" t="s">
        <v>2690</v>
      </c>
      <c r="E138" s="1980" t="s">
        <v>912</v>
      </c>
      <c r="F138" s="1985">
        <v>3771.6609199999998</v>
      </c>
      <c r="G138" s="1985">
        <v>3771.6609199999998</v>
      </c>
      <c r="H138" s="1985">
        <v>0</v>
      </c>
      <c r="I138" s="1985">
        <v>0</v>
      </c>
    </row>
    <row r="139" spans="1:9" hidden="1" outlineLevel="2" x14ac:dyDescent="0.2">
      <c r="A139" s="1980" t="s">
        <v>2538</v>
      </c>
      <c r="B139" s="1980" t="s">
        <v>2539</v>
      </c>
      <c r="C139" s="1980" t="s">
        <v>2691</v>
      </c>
      <c r="D139" s="1980" t="s">
        <v>2692</v>
      </c>
      <c r="E139" s="1980" t="s">
        <v>912</v>
      </c>
      <c r="F139" s="1985">
        <v>263.74793</v>
      </c>
      <c r="G139" s="1985">
        <v>263.74793</v>
      </c>
      <c r="H139" s="1985">
        <v>0</v>
      </c>
      <c r="I139" s="1985">
        <v>0</v>
      </c>
    </row>
    <row r="140" spans="1:9" hidden="1" outlineLevel="2" x14ac:dyDescent="0.2">
      <c r="A140" s="1980" t="s">
        <v>2538</v>
      </c>
      <c r="B140" s="1980" t="s">
        <v>2539</v>
      </c>
      <c r="C140" s="1980" t="s">
        <v>2693</v>
      </c>
      <c r="D140" s="1980" t="s">
        <v>2694</v>
      </c>
      <c r="E140" s="1980" t="s">
        <v>912</v>
      </c>
      <c r="F140" s="1985">
        <v>287.16897</v>
      </c>
      <c r="G140" s="1985">
        <v>287.16897</v>
      </c>
      <c r="H140" s="1985">
        <v>0</v>
      </c>
      <c r="I140" s="1985">
        <v>0</v>
      </c>
    </row>
    <row r="141" spans="1:9" hidden="1" outlineLevel="2" x14ac:dyDescent="0.2">
      <c r="A141" s="1980" t="s">
        <v>2538</v>
      </c>
      <c r="B141" s="1980" t="s">
        <v>2539</v>
      </c>
      <c r="C141" s="1980" t="s">
        <v>2695</v>
      </c>
      <c r="D141" s="1980" t="s">
        <v>2696</v>
      </c>
      <c r="E141" s="1980" t="s">
        <v>912</v>
      </c>
      <c r="F141" s="1985">
        <v>5230.2585300000001</v>
      </c>
      <c r="G141" s="1985">
        <v>5230.2585300000001</v>
      </c>
      <c r="H141" s="1985">
        <v>0</v>
      </c>
      <c r="I141" s="1985">
        <v>0</v>
      </c>
    </row>
    <row r="142" spans="1:9" hidden="1" outlineLevel="2" x14ac:dyDescent="0.2">
      <c r="A142" s="1980" t="s">
        <v>2538</v>
      </c>
      <c r="B142" s="1980" t="s">
        <v>2539</v>
      </c>
      <c r="C142" s="1980" t="s">
        <v>2697</v>
      </c>
      <c r="D142" s="1980" t="s">
        <v>2698</v>
      </c>
      <c r="E142" s="1980" t="s">
        <v>912</v>
      </c>
      <c r="F142" s="1985">
        <v>1315.9135000000001</v>
      </c>
      <c r="G142" s="1985">
        <v>1315.9135000000001</v>
      </c>
      <c r="H142" s="1985">
        <v>0</v>
      </c>
      <c r="I142" s="1985">
        <v>0</v>
      </c>
    </row>
    <row r="143" spans="1:9" hidden="1" outlineLevel="2" x14ac:dyDescent="0.2">
      <c r="A143" s="1980" t="s">
        <v>2538</v>
      </c>
      <c r="B143" s="1980" t="s">
        <v>2539</v>
      </c>
      <c r="C143" s="1980" t="s">
        <v>2699</v>
      </c>
      <c r="D143" s="1980" t="s">
        <v>2700</v>
      </c>
      <c r="E143" s="1980" t="s">
        <v>912</v>
      </c>
      <c r="F143" s="1985">
        <v>1707.9846399999999</v>
      </c>
      <c r="G143" s="1985">
        <v>1707.9846399999999</v>
      </c>
      <c r="H143" s="1985">
        <v>0</v>
      </c>
      <c r="I143" s="1985">
        <v>0</v>
      </c>
    </row>
    <row r="144" spans="1:9" hidden="1" outlineLevel="2" x14ac:dyDescent="0.2">
      <c r="A144" s="1980" t="s">
        <v>2538</v>
      </c>
      <c r="B144" s="1980" t="s">
        <v>2539</v>
      </c>
      <c r="C144" s="1980" t="s">
        <v>2701</v>
      </c>
      <c r="D144" s="1980" t="s">
        <v>2702</v>
      </c>
      <c r="E144" s="1980" t="s">
        <v>912</v>
      </c>
      <c r="F144" s="1985">
        <v>1066.78334</v>
      </c>
      <c r="G144" s="1985">
        <v>1066.78334</v>
      </c>
      <c r="H144" s="1985">
        <v>0</v>
      </c>
      <c r="I144" s="1985">
        <v>0</v>
      </c>
    </row>
    <row r="145" spans="1:9" hidden="1" outlineLevel="2" x14ac:dyDescent="0.2">
      <c r="A145" s="1980" t="s">
        <v>2538</v>
      </c>
      <c r="B145" s="1980" t="s">
        <v>2539</v>
      </c>
      <c r="C145" s="1980" t="s">
        <v>2703</v>
      </c>
      <c r="D145" s="1980" t="s">
        <v>2704</v>
      </c>
      <c r="E145" s="1980" t="s">
        <v>912</v>
      </c>
      <c r="F145" s="1985">
        <v>3891.4494</v>
      </c>
      <c r="G145" s="1985">
        <v>3891.4494</v>
      </c>
      <c r="H145" s="1985">
        <v>0</v>
      </c>
      <c r="I145" s="1985">
        <v>0</v>
      </c>
    </row>
    <row r="146" spans="1:9" hidden="1" outlineLevel="2" x14ac:dyDescent="0.2">
      <c r="A146" s="1980" t="s">
        <v>2538</v>
      </c>
      <c r="B146" s="1980" t="s">
        <v>2539</v>
      </c>
      <c r="C146" s="1980" t="s">
        <v>2705</v>
      </c>
      <c r="D146" s="1980" t="s">
        <v>2706</v>
      </c>
      <c r="E146" s="1980" t="s">
        <v>912</v>
      </c>
      <c r="F146" s="1985">
        <v>131.57653999999999</v>
      </c>
      <c r="G146" s="1985">
        <v>131.57653999999999</v>
      </c>
      <c r="H146" s="1985">
        <v>0</v>
      </c>
      <c r="I146" s="1985">
        <v>0</v>
      </c>
    </row>
    <row r="147" spans="1:9" hidden="1" outlineLevel="2" x14ac:dyDescent="0.2">
      <c r="A147" s="1980" t="s">
        <v>2538</v>
      </c>
      <c r="B147" s="1980" t="s">
        <v>2539</v>
      </c>
      <c r="C147" s="1980" t="s">
        <v>2707</v>
      </c>
      <c r="D147" s="1980" t="s">
        <v>2708</v>
      </c>
      <c r="E147" s="1980" t="s">
        <v>918</v>
      </c>
      <c r="F147" s="1985">
        <v>121.03838</v>
      </c>
      <c r="G147" s="1985">
        <v>0</v>
      </c>
      <c r="H147" s="1985">
        <v>0</v>
      </c>
      <c r="I147" s="1985">
        <v>0</v>
      </c>
    </row>
    <row r="148" spans="1:9" hidden="1" outlineLevel="2" x14ac:dyDescent="0.2">
      <c r="A148" s="1980" t="s">
        <v>2538</v>
      </c>
      <c r="B148" s="1980" t="s">
        <v>2539</v>
      </c>
      <c r="C148" s="1980" t="s">
        <v>2709</v>
      </c>
      <c r="D148" s="1980" t="s">
        <v>2710</v>
      </c>
      <c r="E148" s="1980" t="s">
        <v>918</v>
      </c>
      <c r="F148" s="1985">
        <v>343.15812</v>
      </c>
      <c r="G148" s="1985">
        <v>0</v>
      </c>
      <c r="H148" s="1985">
        <v>0</v>
      </c>
      <c r="I148" s="1985">
        <v>0</v>
      </c>
    </row>
    <row r="149" spans="1:9" hidden="1" outlineLevel="2" x14ac:dyDescent="0.2">
      <c r="A149" s="1980" t="s">
        <v>2538</v>
      </c>
      <c r="B149" s="1980" t="s">
        <v>2539</v>
      </c>
      <c r="C149" s="1980" t="s">
        <v>2711</v>
      </c>
      <c r="D149" s="1980" t="s">
        <v>2712</v>
      </c>
      <c r="E149" s="1980" t="s">
        <v>918</v>
      </c>
      <c r="F149" s="1985">
        <v>1988.1011900000001</v>
      </c>
      <c r="G149" s="1985">
        <v>0</v>
      </c>
      <c r="H149" s="1985">
        <v>0</v>
      </c>
      <c r="I149" s="1985">
        <v>0</v>
      </c>
    </row>
    <row r="150" spans="1:9" hidden="1" outlineLevel="2" x14ac:dyDescent="0.2">
      <c r="A150" s="1980" t="s">
        <v>2538</v>
      </c>
      <c r="B150" s="1980" t="s">
        <v>2539</v>
      </c>
      <c r="C150" s="1980" t="s">
        <v>2713</v>
      </c>
      <c r="D150" s="1980" t="s">
        <v>2714</v>
      </c>
      <c r="E150" s="1980" t="s">
        <v>918</v>
      </c>
      <c r="F150" s="1985">
        <v>645.18835999999999</v>
      </c>
      <c r="G150" s="1985">
        <v>0</v>
      </c>
      <c r="H150" s="1985">
        <v>0</v>
      </c>
      <c r="I150" s="1985">
        <v>0</v>
      </c>
    </row>
    <row r="151" spans="1:9" hidden="1" outlineLevel="2" x14ac:dyDescent="0.2">
      <c r="A151" s="1980" t="s">
        <v>2538</v>
      </c>
      <c r="B151" s="1980" t="s">
        <v>2539</v>
      </c>
      <c r="C151" s="1980" t="s">
        <v>2715</v>
      </c>
      <c r="D151" s="1980" t="s">
        <v>2632</v>
      </c>
      <c r="E151" s="1980" t="s">
        <v>913</v>
      </c>
      <c r="F151" s="1985">
        <v>145.72703000000001</v>
      </c>
      <c r="G151" s="1985">
        <v>40.765371870151739</v>
      </c>
      <c r="H151" s="1985">
        <v>10.878417959378499</v>
      </c>
      <c r="I151" s="1985">
        <v>7.7719848476940898</v>
      </c>
    </row>
    <row r="152" spans="1:9" hidden="1" outlineLevel="2" x14ac:dyDescent="0.2">
      <c r="A152" s="1980" t="s">
        <v>2538</v>
      </c>
      <c r="B152" s="1980" t="s">
        <v>2539</v>
      </c>
      <c r="C152" s="1980" t="s">
        <v>2716</v>
      </c>
      <c r="D152" s="1980" t="s">
        <v>2717</v>
      </c>
      <c r="E152" s="1980" t="s">
        <v>912</v>
      </c>
      <c r="F152" s="1985">
        <v>9.8669999999999994E-2</v>
      </c>
      <c r="G152" s="1985">
        <v>9.8669999999999994E-2</v>
      </c>
      <c r="H152" s="1985">
        <v>0</v>
      </c>
      <c r="I152" s="1985">
        <v>0</v>
      </c>
    </row>
    <row r="153" spans="1:9" hidden="1" outlineLevel="2" x14ac:dyDescent="0.2">
      <c r="A153" s="1980" t="s">
        <v>2538</v>
      </c>
      <c r="B153" s="1980" t="s">
        <v>2539</v>
      </c>
      <c r="C153" s="1980" t="s">
        <v>2718</v>
      </c>
      <c r="D153" s="1980" t="s">
        <v>2719</v>
      </c>
      <c r="E153" s="1980" t="s">
        <v>1714</v>
      </c>
      <c r="F153" s="1985">
        <v>119.97027</v>
      </c>
      <c r="G153" s="1985">
        <v>32.452790048689181</v>
      </c>
      <c r="H153" s="1985">
        <v>7.3415498999821756</v>
      </c>
      <c r="I153" s="1985">
        <v>5.9632208383084739</v>
      </c>
    </row>
    <row r="154" spans="1:9" hidden="1" outlineLevel="2" x14ac:dyDescent="0.2">
      <c r="A154" s="1980" t="s">
        <v>2538</v>
      </c>
      <c r="B154" s="1980" t="s">
        <v>2539</v>
      </c>
      <c r="C154" s="1980" t="s">
        <v>2720</v>
      </c>
      <c r="D154" s="1980" t="s">
        <v>2721</v>
      </c>
      <c r="E154" s="1980" t="s">
        <v>912</v>
      </c>
      <c r="F154" s="1985">
        <v>156.32074</v>
      </c>
      <c r="G154" s="1985">
        <v>156.32074</v>
      </c>
      <c r="H154" s="1985">
        <v>0</v>
      </c>
      <c r="I154" s="1985">
        <v>0</v>
      </c>
    </row>
    <row r="155" spans="1:9" hidden="1" outlineLevel="2" x14ac:dyDescent="0.2">
      <c r="A155" s="1980" t="s">
        <v>2538</v>
      </c>
      <c r="B155" s="1980" t="s">
        <v>2539</v>
      </c>
      <c r="C155" s="1980" t="s">
        <v>2722</v>
      </c>
      <c r="D155" s="1980" t="s">
        <v>2723</v>
      </c>
      <c r="E155" s="1980" t="s">
        <v>912</v>
      </c>
      <c r="F155" s="1985">
        <v>22160.194780000002</v>
      </c>
      <c r="G155" s="1985">
        <v>22160.194780000002</v>
      </c>
      <c r="H155" s="1985">
        <v>0</v>
      </c>
      <c r="I155" s="1985">
        <v>0</v>
      </c>
    </row>
    <row r="156" spans="1:9" hidden="1" outlineLevel="2" x14ac:dyDescent="0.2">
      <c r="A156" s="1980" t="s">
        <v>2538</v>
      </c>
      <c r="B156" s="1980" t="s">
        <v>2539</v>
      </c>
      <c r="C156" s="1980" t="s">
        <v>2724</v>
      </c>
      <c r="D156" s="1980" t="s">
        <v>2725</v>
      </c>
      <c r="E156" s="1980" t="s">
        <v>912</v>
      </c>
      <c r="F156" s="1985">
        <v>49304.894719999997</v>
      </c>
      <c r="G156" s="1985">
        <v>49304.894719999997</v>
      </c>
      <c r="H156" s="1985">
        <v>0</v>
      </c>
      <c r="I156" s="1985">
        <v>0</v>
      </c>
    </row>
    <row r="157" spans="1:9" hidden="1" outlineLevel="2" x14ac:dyDescent="0.2">
      <c r="A157" s="1980" t="s">
        <v>2538</v>
      </c>
      <c r="B157" s="1980" t="s">
        <v>2539</v>
      </c>
      <c r="C157" s="1980" t="s">
        <v>2726</v>
      </c>
      <c r="D157" s="1980" t="s">
        <v>2727</v>
      </c>
      <c r="E157" s="1980" t="s">
        <v>921</v>
      </c>
      <c r="F157" s="1985">
        <v>19825.93579</v>
      </c>
      <c r="G157" s="1985">
        <v>0</v>
      </c>
      <c r="H157" s="1985">
        <v>19825.93579</v>
      </c>
      <c r="I157" s="1985">
        <v>0</v>
      </c>
    </row>
    <row r="158" spans="1:9" hidden="1" outlineLevel="2" x14ac:dyDescent="0.2">
      <c r="A158" s="1980" t="s">
        <v>2538</v>
      </c>
      <c r="B158" s="1980" t="s">
        <v>2539</v>
      </c>
      <c r="C158" s="1980" t="s">
        <v>2728</v>
      </c>
      <c r="D158" s="1980" t="s">
        <v>2729</v>
      </c>
      <c r="E158" s="1980" t="s">
        <v>919</v>
      </c>
      <c r="F158" s="1985">
        <v>8246.7361400000009</v>
      </c>
      <c r="G158" s="1985">
        <v>0</v>
      </c>
      <c r="H158" s="1985">
        <v>0</v>
      </c>
      <c r="I158" s="1985">
        <v>8246.7361400000009</v>
      </c>
    </row>
    <row r="159" spans="1:9" hidden="1" outlineLevel="2" x14ac:dyDescent="0.2">
      <c r="A159" s="1980" t="s">
        <v>2538</v>
      </c>
      <c r="B159" s="1980" t="s">
        <v>2539</v>
      </c>
      <c r="C159" s="1980" t="s">
        <v>2730</v>
      </c>
      <c r="D159" s="1980" t="s">
        <v>2731</v>
      </c>
      <c r="E159" s="1980" t="s">
        <v>920</v>
      </c>
      <c r="F159" s="1985">
        <v>10664.36361</v>
      </c>
      <c r="G159" s="1985">
        <v>0</v>
      </c>
      <c r="H159" s="1985">
        <v>0</v>
      </c>
      <c r="I159" s="1985">
        <v>0</v>
      </c>
    </row>
    <row r="160" spans="1:9" hidden="1" outlineLevel="2" x14ac:dyDescent="0.2">
      <c r="A160" s="1980" t="s">
        <v>2538</v>
      </c>
      <c r="B160" s="1980" t="s">
        <v>2539</v>
      </c>
      <c r="C160" s="1980" t="s">
        <v>2732</v>
      </c>
      <c r="D160" s="1980" t="s">
        <v>2733</v>
      </c>
      <c r="E160" s="1980" t="s">
        <v>922</v>
      </c>
      <c r="F160" s="1991">
        <v>11020.369360000001</v>
      </c>
      <c r="G160" s="1985">
        <v>0</v>
      </c>
      <c r="H160" s="1985">
        <v>0</v>
      </c>
      <c r="I160" s="1985">
        <v>0</v>
      </c>
    </row>
    <row r="161" spans="1:9" hidden="1" outlineLevel="2" x14ac:dyDescent="0.2">
      <c r="A161" s="1980" t="s">
        <v>2538</v>
      </c>
      <c r="B161" s="1980" t="s">
        <v>2539</v>
      </c>
      <c r="C161" s="1980" t="s">
        <v>2734</v>
      </c>
      <c r="D161" s="1980" t="s">
        <v>2735</v>
      </c>
      <c r="E161" s="1980" t="s">
        <v>920</v>
      </c>
      <c r="F161" s="1985">
        <v>57599.650580000001</v>
      </c>
      <c r="G161" s="1985">
        <v>0</v>
      </c>
      <c r="H161" s="1985">
        <v>0</v>
      </c>
      <c r="I161" s="1985">
        <v>0</v>
      </c>
    </row>
    <row r="162" spans="1:9" hidden="1" outlineLevel="2" x14ac:dyDescent="0.2">
      <c r="A162" s="1980" t="s">
        <v>2538</v>
      </c>
      <c r="B162" s="1980" t="s">
        <v>2539</v>
      </c>
      <c r="C162" s="1980" t="s">
        <v>2736</v>
      </c>
      <c r="D162" s="1980" t="s">
        <v>2737</v>
      </c>
      <c r="E162" s="1980" t="s">
        <v>920</v>
      </c>
      <c r="F162" s="1985">
        <v>2.6169600000000002</v>
      </c>
      <c r="G162" s="1985">
        <v>0</v>
      </c>
      <c r="H162" s="1985">
        <v>0</v>
      </c>
      <c r="I162" s="1985">
        <v>0</v>
      </c>
    </row>
    <row r="163" spans="1:9" ht="13.5" outlineLevel="1" collapsed="1" thickBot="1" x14ac:dyDescent="0.25">
      <c r="A163" s="1964" t="s">
        <v>5663</v>
      </c>
      <c r="B163" s="1964"/>
      <c r="C163" s="1964"/>
      <c r="D163" s="1964"/>
      <c r="E163" s="1964"/>
      <c r="F163" s="1965">
        <f>SUBTOTAL(9,F63:F162)</f>
        <v>435651.55070000002</v>
      </c>
      <c r="G163" s="1965">
        <f t="shared" ref="G163:I163" si="13">SUBTOTAL(9,G63:G162)</f>
        <v>152540.76789456786</v>
      </c>
      <c r="H163" s="1965">
        <f t="shared" si="13"/>
        <v>34654.717882528952</v>
      </c>
      <c r="I163" s="1965">
        <f t="shared" si="13"/>
        <v>21935.378701975322</v>
      </c>
    </row>
    <row r="164" spans="1:9" hidden="1" outlineLevel="2" x14ac:dyDescent="0.2">
      <c r="A164" s="1980" t="s">
        <v>2738</v>
      </c>
      <c r="B164" s="1980" t="s">
        <v>2739</v>
      </c>
      <c r="C164" s="1980" t="s">
        <v>904</v>
      </c>
      <c r="D164" s="1980" t="s">
        <v>2740</v>
      </c>
      <c r="E164" s="1980" t="s">
        <v>906</v>
      </c>
      <c r="F164" s="1985">
        <v>197.58600000000001</v>
      </c>
      <c r="G164" s="1985">
        <v>51.050695373670379</v>
      </c>
      <c r="H164" s="1985">
        <v>14.109834010835721</v>
      </c>
      <c r="I164" s="1985">
        <v>11.660012292485799</v>
      </c>
    </row>
    <row r="165" spans="1:9" hidden="1" outlineLevel="2" x14ac:dyDescent="0.2">
      <c r="A165" s="1980" t="s">
        <v>2738</v>
      </c>
      <c r="B165" s="1980" t="s">
        <v>2739</v>
      </c>
      <c r="C165" s="1980" t="s">
        <v>2741</v>
      </c>
      <c r="D165" s="1980" t="s">
        <v>2742</v>
      </c>
      <c r="E165" s="1980" t="s">
        <v>906</v>
      </c>
      <c r="F165" s="1985">
        <v>-197.58600000000001</v>
      </c>
      <c r="G165" s="1985">
        <v>-51.050695373670379</v>
      </c>
      <c r="H165" s="1985">
        <v>-14.109834010835721</v>
      </c>
      <c r="I165" s="1985">
        <v>-11.660012292485799</v>
      </c>
    </row>
    <row r="166" spans="1:9" hidden="1" outlineLevel="2" x14ac:dyDescent="0.2">
      <c r="A166" s="1980" t="s">
        <v>2738</v>
      </c>
      <c r="B166" s="1980" t="s">
        <v>2739</v>
      </c>
      <c r="C166" s="1980" t="s">
        <v>2741</v>
      </c>
      <c r="D166" s="1980" t="s">
        <v>2742</v>
      </c>
      <c r="E166" s="1980" t="s">
        <v>913</v>
      </c>
      <c r="F166" s="1985">
        <v>347.89411000000001</v>
      </c>
      <c r="G166" s="1985">
        <v>97.319164231820778</v>
      </c>
      <c r="H166" s="1985">
        <v>25.970045050571599</v>
      </c>
      <c r="I166" s="1985">
        <v>18.554057895244423</v>
      </c>
    </row>
    <row r="167" spans="1:9" hidden="1" outlineLevel="2" x14ac:dyDescent="0.2">
      <c r="A167" s="1980" t="s">
        <v>2738</v>
      </c>
      <c r="B167" s="1980" t="s">
        <v>2739</v>
      </c>
      <c r="C167" s="1980" t="s">
        <v>2741</v>
      </c>
      <c r="D167" s="1980" t="s">
        <v>2742</v>
      </c>
      <c r="E167" s="1980" t="s">
        <v>920</v>
      </c>
      <c r="F167" s="1985">
        <v>-1131.2672500000001</v>
      </c>
      <c r="G167" s="1985">
        <v>0</v>
      </c>
      <c r="H167" s="1985">
        <v>0</v>
      </c>
      <c r="I167" s="1985">
        <v>0</v>
      </c>
    </row>
    <row r="168" spans="1:9" ht="13.5" outlineLevel="1" collapsed="1" thickBot="1" x14ac:dyDescent="0.25">
      <c r="A168" s="1964" t="s">
        <v>5664</v>
      </c>
      <c r="B168" s="1964"/>
      <c r="C168" s="1964"/>
      <c r="D168" s="1964"/>
      <c r="E168" s="1964"/>
      <c r="F168" s="1965">
        <f>SUBTOTAL(9,F164:F167)</f>
        <v>-783.37314000000015</v>
      </c>
      <c r="G168" s="1965">
        <f t="shared" ref="G168:I168" si="14">SUBTOTAL(9,G164:G167)</f>
        <v>97.319164231820778</v>
      </c>
      <c r="H168" s="1965">
        <f t="shared" si="14"/>
        <v>25.970045050571599</v>
      </c>
      <c r="I168" s="1965">
        <f t="shared" si="14"/>
        <v>18.554057895244423</v>
      </c>
    </row>
    <row r="169" spans="1:9" hidden="1" outlineLevel="2" x14ac:dyDescent="0.2">
      <c r="A169" s="1980" t="s">
        <v>2743</v>
      </c>
      <c r="B169" s="1980" t="s">
        <v>2744</v>
      </c>
      <c r="C169" s="1980" t="s">
        <v>2745</v>
      </c>
      <c r="D169" s="1980" t="s">
        <v>2746</v>
      </c>
      <c r="E169" s="1980" t="s">
        <v>1083</v>
      </c>
      <c r="F169" s="1985">
        <v>-9163.7785399999993</v>
      </c>
      <c r="G169" s="1985">
        <v>-2482.8242951550619</v>
      </c>
      <c r="H169" s="1985">
        <v>-698.08830064486369</v>
      </c>
      <c r="I169" s="1985">
        <v>-496.09362643717799</v>
      </c>
    </row>
    <row r="170" spans="1:9" hidden="1" outlineLevel="2" x14ac:dyDescent="0.2">
      <c r="A170" s="1980" t="s">
        <v>2743</v>
      </c>
      <c r="B170" s="1980" t="s">
        <v>2744</v>
      </c>
      <c r="C170" s="1980" t="s">
        <v>2745</v>
      </c>
      <c r="D170" s="1980" t="s">
        <v>2746</v>
      </c>
      <c r="E170" s="1980" t="s">
        <v>913</v>
      </c>
      <c r="F170" s="1985">
        <v>-1379.6336799999999</v>
      </c>
      <c r="G170" s="1985">
        <v>-385.93581444558311</v>
      </c>
      <c r="H170" s="1985">
        <v>-102.98866175942409</v>
      </c>
      <c r="I170" s="1985">
        <v>-73.579294495526568</v>
      </c>
    </row>
    <row r="171" spans="1:9" hidden="1" outlineLevel="2" x14ac:dyDescent="0.2">
      <c r="A171" s="1980" t="s">
        <v>2743</v>
      </c>
      <c r="B171" s="1980" t="s">
        <v>2744</v>
      </c>
      <c r="C171" s="1980" t="s">
        <v>2747</v>
      </c>
      <c r="D171" s="1980" t="s">
        <v>2748</v>
      </c>
      <c r="E171" s="1980" t="s">
        <v>1083</v>
      </c>
      <c r="F171" s="1985">
        <v>5689.7167300000001</v>
      </c>
      <c r="G171" s="1985">
        <v>1541.5657272959606</v>
      </c>
      <c r="H171" s="1985">
        <v>433.43743695451104</v>
      </c>
      <c r="I171" s="1985">
        <v>308.0205609143826</v>
      </c>
    </row>
    <row r="172" spans="1:9" ht="13.5" outlineLevel="1" collapsed="1" thickBot="1" x14ac:dyDescent="0.25">
      <c r="A172" s="1964" t="s">
        <v>5665</v>
      </c>
      <c r="B172" s="1964"/>
      <c r="C172" s="1964"/>
      <c r="D172" s="1964"/>
      <c r="E172" s="1964"/>
      <c r="F172" s="1965">
        <f>SUBTOTAL(9,F169:F171)</f>
        <v>-4853.6954899999982</v>
      </c>
      <c r="G172" s="1965">
        <f t="shared" ref="G172:I172" si="15">SUBTOTAL(9,G169:G171)</f>
        <v>-1327.1943823046845</v>
      </c>
      <c r="H172" s="1965">
        <f t="shared" si="15"/>
        <v>-367.63952544977673</v>
      </c>
      <c r="I172" s="1965">
        <f t="shared" si="15"/>
        <v>-261.65236001832193</v>
      </c>
    </row>
    <row r="173" spans="1:9" hidden="1" outlineLevel="2" x14ac:dyDescent="0.2">
      <c r="A173" s="1980" t="s">
        <v>2749</v>
      </c>
      <c r="B173" s="1980" t="s">
        <v>2750</v>
      </c>
      <c r="C173" s="1980" t="s">
        <v>2751</v>
      </c>
      <c r="D173" s="1980" t="s">
        <v>2752</v>
      </c>
      <c r="E173" s="1980" t="s">
        <v>913</v>
      </c>
      <c r="F173" s="1985">
        <v>-27.434560000000001</v>
      </c>
      <c r="G173" s="1985">
        <v>-7.6744859240869046</v>
      </c>
      <c r="H173" s="1985">
        <v>-2.0479701686889999</v>
      </c>
      <c r="I173" s="1985">
        <v>-1.4631532984865907</v>
      </c>
    </row>
    <row r="174" spans="1:9" hidden="1" outlineLevel="2" x14ac:dyDescent="0.2">
      <c r="A174" s="1980" t="s">
        <v>2749</v>
      </c>
      <c r="B174" s="1980" t="s">
        <v>2750</v>
      </c>
      <c r="C174" s="1980" t="s">
        <v>2753</v>
      </c>
      <c r="D174" s="1980" t="s">
        <v>2754</v>
      </c>
      <c r="E174" s="1980" t="s">
        <v>1083</v>
      </c>
      <c r="F174" s="1985">
        <v>18.45364</v>
      </c>
      <c r="G174" s="1985">
        <v>4.999809360958789</v>
      </c>
      <c r="H174" s="1985">
        <v>1.4057814832692457</v>
      </c>
      <c r="I174" s="1985">
        <v>0.99901292339242476</v>
      </c>
    </row>
    <row r="175" spans="1:9" hidden="1" outlineLevel="2" x14ac:dyDescent="0.2">
      <c r="A175" s="1980" t="s">
        <v>2749</v>
      </c>
      <c r="B175" s="1980" t="s">
        <v>2750</v>
      </c>
      <c r="C175" s="1980" t="s">
        <v>2753</v>
      </c>
      <c r="D175" s="1980" t="s">
        <v>2754</v>
      </c>
      <c r="E175" s="1980" t="s">
        <v>913</v>
      </c>
      <c r="F175" s="1985">
        <v>-12.40381</v>
      </c>
      <c r="G175" s="1985">
        <v>-3.4698156358275249</v>
      </c>
      <c r="H175" s="1985">
        <v>-0.92593549370160499</v>
      </c>
      <c r="I175" s="1985">
        <v>-0.66152602831249918</v>
      </c>
    </row>
    <row r="176" spans="1:9" hidden="1" outlineLevel="2" x14ac:dyDescent="0.2">
      <c r="A176" s="1980" t="s">
        <v>2749</v>
      </c>
      <c r="B176" s="1980" t="s">
        <v>2750</v>
      </c>
      <c r="C176" s="1980" t="s">
        <v>2755</v>
      </c>
      <c r="D176" s="1980" t="s">
        <v>2756</v>
      </c>
      <c r="E176" s="1980" t="s">
        <v>1714</v>
      </c>
      <c r="F176" s="1985">
        <v>-1037.09745</v>
      </c>
      <c r="G176" s="1985">
        <v>-280.54205266755605</v>
      </c>
      <c r="H176" s="1985">
        <v>-63.464912434716275</v>
      </c>
      <c r="I176" s="1985">
        <v>-51.54978083484</v>
      </c>
    </row>
    <row r="177" spans="1:16" hidden="1" outlineLevel="2" x14ac:dyDescent="0.2">
      <c r="A177" s="1980" t="s">
        <v>2749</v>
      </c>
      <c r="B177" s="1980" t="s">
        <v>2750</v>
      </c>
      <c r="C177" s="1980" t="s">
        <v>2757</v>
      </c>
      <c r="D177" s="1980" t="s">
        <v>2758</v>
      </c>
      <c r="E177" s="1980" t="s">
        <v>1714</v>
      </c>
      <c r="F177" s="1985">
        <v>-514.99976000000004</v>
      </c>
      <c r="G177" s="1985">
        <v>-139.31100668861808</v>
      </c>
      <c r="H177" s="1985">
        <v>-31.515278214501347</v>
      </c>
      <c r="I177" s="1985">
        <v>-25.59848619625398</v>
      </c>
    </row>
    <row r="178" spans="1:16" ht="13.5" outlineLevel="1" collapsed="1" thickBot="1" x14ac:dyDescent="0.25">
      <c r="A178" s="1964" t="s">
        <v>5666</v>
      </c>
      <c r="B178" s="1964"/>
      <c r="C178" s="1964"/>
      <c r="D178" s="1964"/>
      <c r="E178" s="1964"/>
      <c r="F178" s="1965">
        <f>SUBTOTAL(9,F173:F177)</f>
        <v>-1573.4819400000001</v>
      </c>
      <c r="G178" s="1965">
        <f t="shared" ref="G178:I178" si="16">SUBTOTAL(9,G173:G177)</f>
        <v>-425.99755155512975</v>
      </c>
      <c r="H178" s="1965">
        <f t="shared" si="16"/>
        <v>-96.548314828338988</v>
      </c>
      <c r="I178" s="1965">
        <f t="shared" si="16"/>
        <v>-78.273933434500634</v>
      </c>
      <c r="K178" s="2215" t="s">
        <v>5594</v>
      </c>
      <c r="L178" s="2215"/>
      <c r="M178" s="2215" t="s">
        <v>5595</v>
      </c>
      <c r="N178" s="2215"/>
      <c r="O178" s="2215"/>
      <c r="P178" s="2215"/>
    </row>
    <row r="179" spans="1:16" ht="13.5" outlineLevel="1" thickBot="1" x14ac:dyDescent="0.25">
      <c r="A179" s="1964" t="s">
        <v>1342</v>
      </c>
      <c r="B179" s="1964"/>
      <c r="C179" s="1964"/>
      <c r="D179" s="1964"/>
      <c r="E179" s="1964"/>
      <c r="F179" s="1965">
        <f>SUBTOTAL(9,F37:F178)</f>
        <v>532364.86295999994</v>
      </c>
      <c r="G179" s="1965">
        <f t="shared" ref="G179:I179" si="17">SUBTOTAL(9,G37:G178)</f>
        <v>177735.91424263769</v>
      </c>
      <c r="H179" s="1965">
        <f t="shared" si="17"/>
        <v>41637.817661907706</v>
      </c>
      <c r="I179" s="1965">
        <f t="shared" si="17"/>
        <v>27746.796835851383</v>
      </c>
      <c r="K179" s="2216" t="s">
        <v>5459</v>
      </c>
      <c r="L179" s="2216">
        <v>2</v>
      </c>
      <c r="M179" s="2216">
        <v>3</v>
      </c>
      <c r="N179" s="2216">
        <v>4</v>
      </c>
      <c r="O179" s="2216">
        <v>5</v>
      </c>
      <c r="P179" s="2216">
        <v>6</v>
      </c>
    </row>
    <row r="180" spans="1:16" x14ac:dyDescent="0.2">
      <c r="K180" s="2216" t="s">
        <v>5459</v>
      </c>
      <c r="L180" s="2217" t="s">
        <v>5459</v>
      </c>
      <c r="M180" s="2217" t="s">
        <v>912</v>
      </c>
      <c r="N180" s="2217" t="s">
        <v>921</v>
      </c>
      <c r="O180" s="2217" t="s">
        <v>5462</v>
      </c>
      <c r="P180" s="2217" t="s">
        <v>5463</v>
      </c>
    </row>
    <row r="181" spans="1:16" x14ac:dyDescent="0.2">
      <c r="D181" s="2219">
        <v>151</v>
      </c>
      <c r="E181" s="2219" t="s">
        <v>5459</v>
      </c>
      <c r="F181" s="2220">
        <f>SUMIF($A$37:$A$178,"151*",F$37:F$178)</f>
        <v>103923.86283000001</v>
      </c>
      <c r="G181" s="2220">
        <f>SUMIF($A$37:$A$178,"151*",G$37:G$178)</f>
        <v>26851.019117697797</v>
      </c>
      <c r="H181" s="2220">
        <f>SUMIF($A$37:$A$178,"151*",H$37:H$178)</f>
        <v>7421.317574606298</v>
      </c>
      <c r="I181" s="2220">
        <f>SUMIF($A$37:$A$178,"151*",I$37:I$178)</f>
        <v>6132.7903694336328</v>
      </c>
      <c r="K181" s="2023">
        <v>151</v>
      </c>
      <c r="L181" s="2218">
        <f>F181/$F181</f>
        <v>1</v>
      </c>
      <c r="M181" s="2218">
        <f t="shared" ref="M181:O184" si="18">G181/$F181</f>
        <v>0.25837202723710373</v>
      </c>
      <c r="N181" s="2218">
        <f t="shared" si="18"/>
        <v>7.1411102055994435E-2</v>
      </c>
      <c r="O181" s="2218">
        <f t="shared" si="18"/>
        <v>5.9012340404106516E-2</v>
      </c>
      <c r="P181" s="2218">
        <f>SUM(M181:O181)</f>
        <v>0.38879546969720469</v>
      </c>
    </row>
    <row r="182" spans="1:16" x14ac:dyDescent="0.2">
      <c r="D182" s="2219">
        <v>154</v>
      </c>
      <c r="E182" s="2219" t="s">
        <v>5459</v>
      </c>
      <c r="F182" s="2220">
        <f>SUMIF($A$37:$A$178,"154*",F$37:F$178)</f>
        <v>428441.00013</v>
      </c>
      <c r="G182" s="2220">
        <f>SUMIF($A$37:$A$178,"154*",G$37:G$178)</f>
        <v>150884.89512493985</v>
      </c>
      <c r="H182" s="2220">
        <f>SUMIF($A$37:$A$178,"154*",H$37:H$178)</f>
        <v>34216.500087301407</v>
      </c>
      <c r="I182" s="2220">
        <f>SUMIF($A$37:$A$178,"154*",I$37:I$178)</f>
        <v>21614.006466417741</v>
      </c>
      <c r="K182" s="2023">
        <v>154</v>
      </c>
      <c r="L182" s="2218">
        <f>F182/$F182</f>
        <v>1</v>
      </c>
      <c r="M182" s="2218">
        <f t="shared" si="18"/>
        <v>0.35217193284292936</v>
      </c>
      <c r="N182" s="2218">
        <f t="shared" si="18"/>
        <v>7.9862805093161585E-2</v>
      </c>
      <c r="O182" s="2218">
        <f t="shared" si="18"/>
        <v>5.044803475825025E-2</v>
      </c>
      <c r="P182" s="2218">
        <f t="shared" ref="P182:P184" si="19">SUM(M182:O182)</f>
        <v>0.4824827726943412</v>
      </c>
    </row>
    <row r="183" spans="1:16" x14ac:dyDescent="0.2">
      <c r="D183" s="2219">
        <v>253</v>
      </c>
      <c r="E183" s="2219" t="s">
        <v>5459</v>
      </c>
      <c r="F183" s="2220">
        <f>SUMIF($A$37:$A$178,"253*",F$37:F$178)</f>
        <v>0</v>
      </c>
      <c r="G183" s="2220">
        <f>SUMIF($A$37:$A$178,"253*",G$37:G$178)</f>
        <v>0</v>
      </c>
      <c r="H183" s="2220">
        <f>SUMIF($A$37:$A$178,"253*",H$37:H$178)</f>
        <v>0</v>
      </c>
      <c r="I183" s="2220">
        <f>SUMIF($A$37:$A$178,"253*",I$37:I$178)</f>
        <v>0</v>
      </c>
      <c r="K183" s="2023">
        <v>253</v>
      </c>
      <c r="L183" s="2218">
        <v>0</v>
      </c>
      <c r="M183" s="2218">
        <v>0</v>
      </c>
      <c r="N183" s="2218">
        <v>0</v>
      </c>
      <c r="O183" s="2218">
        <v>0</v>
      </c>
      <c r="P183" s="2218">
        <f t="shared" si="19"/>
        <v>0</v>
      </c>
    </row>
    <row r="184" spans="1:16" x14ac:dyDescent="0.2">
      <c r="D184" s="2219" t="s">
        <v>197</v>
      </c>
      <c r="E184" s="2219" t="s">
        <v>5459</v>
      </c>
      <c r="F184" s="2221">
        <f>SUM(F181:F183)</f>
        <v>532364.86296000006</v>
      </c>
      <c r="G184" s="2221">
        <f t="shared" ref="G184:I184" si="20">SUM(G181:G183)</f>
        <v>177735.91424263763</v>
      </c>
      <c r="H184" s="2221">
        <f t="shared" si="20"/>
        <v>41637.817661907706</v>
      </c>
      <c r="I184" s="2221">
        <f t="shared" si="20"/>
        <v>27746.796835851375</v>
      </c>
      <c r="K184" s="2023" t="s">
        <v>197</v>
      </c>
      <c r="L184" s="2218">
        <f>F184/$F184</f>
        <v>1</v>
      </c>
      <c r="M184" s="2218">
        <f t="shared" si="18"/>
        <v>0.33386109153487098</v>
      </c>
      <c r="N184" s="2218">
        <f t="shared" si="18"/>
        <v>7.8212933570403986E-2</v>
      </c>
      <c r="O184" s="2218">
        <f t="shared" si="18"/>
        <v>5.2119887630405405E-2</v>
      </c>
      <c r="P184" s="2218">
        <f t="shared" si="19"/>
        <v>0.46419391273568039</v>
      </c>
    </row>
    <row r="185" spans="1:16" x14ac:dyDescent="0.2">
      <c r="F185" s="1975">
        <f>F184-F179</f>
        <v>0</v>
      </c>
      <c r="G185" s="1975">
        <f t="shared" ref="G185:I185" si="21">G184-G179</f>
        <v>0</v>
      </c>
      <c r="H185" s="1975">
        <f t="shared" si="21"/>
        <v>0</v>
      </c>
      <c r="I185" s="1975">
        <f t="shared" si="21"/>
        <v>0</v>
      </c>
    </row>
  </sheetData>
  <pageMargins left="0.7" right="0.7" top="0.75" bottom="0.75" header="0.3" footer="0.3"/>
  <pageSetup scale="64" orientation="landscape" horizontalDpi="1200" verticalDpi="1200" r:id="rId1"/>
  <customProperties>
    <customPr name="_pios_id" r:id="rId2"/>
  </customProperties>
  <drawing r:id="rId3"/>
  <legacyDrawing r:id="rId4"/>
  <oleObjects>
    <mc:AlternateContent xmlns:mc="http://schemas.openxmlformats.org/markup-compatibility/2006">
      <mc:Choice Requires="x14">
        <oleObject progId="StaticMetafile" shapeId="139265" r:id="rId5">
          <objectPr defaultSize="0" autoPict="0" r:id="rId6">
            <anchor moveWithCells="1" sizeWithCells="1">
              <from>
                <xdr:col>0</xdr:col>
                <xdr:colOff>38100</xdr:colOff>
                <xdr:row>0</xdr:row>
                <xdr:rowOff>95250</xdr:rowOff>
              </from>
              <to>
                <xdr:col>1</xdr:col>
                <xdr:colOff>1857375</xdr:colOff>
                <xdr:row>3</xdr:row>
                <xdr:rowOff>9525</xdr:rowOff>
              </to>
            </anchor>
          </objectPr>
        </oleObject>
      </mc:Choice>
      <mc:Fallback>
        <oleObject progId="StaticMetafile" shapeId="139265" r:id="rId5"/>
      </mc:Fallback>
    </mc:AlternateContent>
  </oleObjects>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5E9F3D-2BAC-444B-9605-5E5CC97BAFBB}">
  <sheetPr codeName="Sheet29">
    <tabColor rgb="FF00B0F0"/>
    <pageSetUpPr fitToPage="1"/>
  </sheetPr>
  <dimension ref="A1:X256"/>
  <sheetViews>
    <sheetView topLeftCell="D1" zoomScale="85" zoomScaleNormal="85" zoomScaleSheetLayoutView="100" workbookViewId="0">
      <pane ySplit="36" topLeftCell="A226" activePane="bottomLeft" state="frozen"/>
      <selection activeCell="R63" sqref="R63"/>
      <selection pane="bottomLeft" activeCell="R63" sqref="R63"/>
    </sheetView>
  </sheetViews>
  <sheetFormatPr defaultRowHeight="12.75" outlineLevelRow="2" x14ac:dyDescent="0.2"/>
  <cols>
    <col min="1" max="1" width="9" style="1953"/>
    <col min="2" max="2" width="17.875" style="1953" customWidth="1"/>
    <col min="3" max="3" width="9" style="1953"/>
    <col min="4" max="4" width="37.5" style="1953" bestFit="1" customWidth="1"/>
    <col min="5" max="5" width="5.75" style="1953" bestFit="1" customWidth="1"/>
    <col min="6" max="6" width="11.125" style="1953" bestFit="1" customWidth="1"/>
    <col min="7" max="9" width="9.625" style="1953" bestFit="1" customWidth="1"/>
    <col min="10" max="10" width="6" style="1953" bestFit="1" customWidth="1"/>
    <col min="11" max="11" width="6" style="1953" customWidth="1"/>
    <col min="12" max="12" width="8.5" style="1953" bestFit="1" customWidth="1"/>
    <col min="13" max="16" width="7.5" style="1953" bestFit="1" customWidth="1"/>
    <col min="17" max="17" width="9" style="1953"/>
    <col min="18" max="18" width="3.625" style="1953" bestFit="1" customWidth="1"/>
    <col min="19" max="19" width="8.125" style="1953" bestFit="1" customWidth="1"/>
    <col min="20" max="21" width="8.5" style="1953" bestFit="1" customWidth="1"/>
    <col min="22" max="22" width="11.625" style="1953" customWidth="1"/>
    <col min="23" max="23" width="10.875" style="1953" bestFit="1" customWidth="1"/>
    <col min="24" max="16384" width="9" style="1953"/>
  </cols>
  <sheetData>
    <row r="1" spans="1:22" ht="39.950000000000003" customHeight="1" x14ac:dyDescent="0.2"/>
    <row r="2" spans="1:22" ht="42" hidden="1" customHeight="1" x14ac:dyDescent="0.2"/>
    <row r="3" spans="1:22" ht="35.25" hidden="1" customHeight="1" x14ac:dyDescent="0.2">
      <c r="D3" s="1951"/>
      <c r="F3" s="1951"/>
      <c r="G3" s="1951"/>
      <c r="I3" s="1951"/>
    </row>
    <row r="4" spans="1:22" ht="12" customHeight="1" x14ac:dyDescent="0.25">
      <c r="A4" s="1990"/>
      <c r="D4" s="1952"/>
      <c r="F4" s="1952"/>
      <c r="G4" s="1952"/>
      <c r="I4" s="1952"/>
    </row>
    <row r="5" spans="1:22" ht="12" customHeight="1" x14ac:dyDescent="0.2">
      <c r="A5" s="1950" t="s">
        <v>2759</v>
      </c>
      <c r="B5" s="1951"/>
      <c r="C5" s="1951"/>
      <c r="D5" s="1952"/>
      <c r="E5" s="1951"/>
      <c r="F5" s="1952"/>
      <c r="G5" s="1952"/>
      <c r="H5" s="1951"/>
      <c r="I5" s="1952"/>
    </row>
    <row r="6" spans="1:22" ht="12" customHeight="1" x14ac:dyDescent="0.2">
      <c r="A6" s="1952" t="s">
        <v>2260</v>
      </c>
      <c r="B6" s="1952"/>
      <c r="C6" s="1952"/>
      <c r="D6" s="1952"/>
      <c r="E6" s="1952"/>
      <c r="F6" s="1952"/>
      <c r="G6" s="1952"/>
      <c r="H6" s="1952"/>
      <c r="I6" s="1952"/>
    </row>
    <row r="7" spans="1:22" ht="12" customHeight="1" x14ac:dyDescent="0.2">
      <c r="A7" s="1952" t="s">
        <v>875</v>
      </c>
      <c r="B7" s="1952"/>
      <c r="C7" s="1952"/>
      <c r="E7" s="1952"/>
      <c r="H7" s="1952"/>
    </row>
    <row r="8" spans="1:22" ht="12" customHeight="1" x14ac:dyDescent="0.2">
      <c r="A8" s="1952" t="s">
        <v>876</v>
      </c>
      <c r="B8" s="1952"/>
      <c r="C8" s="1952"/>
      <c r="D8" s="1952"/>
      <c r="E8" s="1952"/>
      <c r="F8" s="1952"/>
      <c r="G8" s="1952"/>
      <c r="H8" s="1952"/>
      <c r="I8" s="1952"/>
    </row>
    <row r="9" spans="1:22" ht="12" customHeight="1" x14ac:dyDescent="0.2">
      <c r="D9" s="1956"/>
      <c r="F9" s="1956"/>
      <c r="G9" s="1956"/>
      <c r="I9" s="1956"/>
      <c r="J9" s="1946"/>
      <c r="K9" s="1946"/>
      <c r="L9" s="1946"/>
      <c r="M9" s="1946"/>
      <c r="N9" s="1946"/>
      <c r="O9" s="1946"/>
      <c r="P9" s="1946"/>
      <c r="Q9" s="1946"/>
      <c r="R9" s="1946"/>
      <c r="S9" s="3833" t="s">
        <v>5583</v>
      </c>
      <c r="T9" s="3834"/>
      <c r="U9" s="3834"/>
      <c r="V9" s="3835"/>
    </row>
    <row r="10" spans="1:22" s="1946" customFormat="1" ht="12" hidden="1" customHeight="1" outlineLevel="1" x14ac:dyDescent="0.2">
      <c r="A10" s="1951" t="s">
        <v>877</v>
      </c>
      <c r="B10" s="1952" t="s">
        <v>2411</v>
      </c>
      <c r="S10" s="2222"/>
      <c r="T10" s="2222"/>
      <c r="U10" s="2222"/>
      <c r="V10" s="2222"/>
    </row>
    <row r="11" spans="1:22" s="1946" customFormat="1" ht="12" hidden="1" customHeight="1" outlineLevel="1" x14ac:dyDescent="0.2">
      <c r="A11" s="1951" t="s">
        <v>879</v>
      </c>
      <c r="B11" s="1956">
        <v>45394.544804363424</v>
      </c>
      <c r="S11" s="2222"/>
      <c r="T11" s="2222"/>
      <c r="U11" s="2222"/>
      <c r="V11" s="2222"/>
    </row>
    <row r="12" spans="1:22" s="1946" customFormat="1" ht="12" hidden="1" customHeight="1" outlineLevel="1" x14ac:dyDescent="0.2">
      <c r="S12" s="2222"/>
      <c r="T12" s="2222"/>
      <c r="U12" s="2222"/>
      <c r="V12" s="2222"/>
    </row>
    <row r="13" spans="1:22" s="1946" customFormat="1" ht="12" hidden="1" customHeight="1" outlineLevel="1" x14ac:dyDescent="0.2">
      <c r="A13" s="1953"/>
      <c r="B13" s="1953"/>
      <c r="S13" s="2222"/>
      <c r="T13" s="2222"/>
      <c r="U13" s="2222"/>
      <c r="V13" s="2222"/>
    </row>
    <row r="14" spans="1:22" s="1946" customFormat="1" ht="12" hidden="1" customHeight="1" outlineLevel="1" x14ac:dyDescent="0.2">
      <c r="A14" s="1953"/>
      <c r="B14" s="1953"/>
      <c r="S14" s="2222"/>
      <c r="T14" s="2222"/>
      <c r="U14" s="2222"/>
      <c r="V14" s="2222"/>
    </row>
    <row r="15" spans="1:22" ht="12" hidden="1" customHeight="1" outlineLevel="1" x14ac:dyDescent="0.2">
      <c r="C15" s="1946"/>
      <c r="D15" s="1946"/>
      <c r="E15" s="1946"/>
      <c r="F15" s="1946"/>
      <c r="G15" s="1946"/>
      <c r="H15" s="1946"/>
      <c r="I15" s="1946"/>
      <c r="J15" s="1946"/>
      <c r="K15" s="1946"/>
      <c r="L15" s="1946"/>
      <c r="M15" s="1946"/>
      <c r="N15" s="1946"/>
      <c r="O15" s="1946"/>
      <c r="P15" s="1946"/>
      <c r="Q15" s="1946"/>
      <c r="R15" s="1946"/>
      <c r="S15" s="2222"/>
      <c r="T15" s="2222"/>
      <c r="U15" s="2222"/>
      <c r="V15" s="2222"/>
    </row>
    <row r="16" spans="1:22" s="1946" customFormat="1" ht="12" hidden="1" customHeight="1" outlineLevel="1" x14ac:dyDescent="0.2">
      <c r="A16" s="1953"/>
      <c r="B16" s="1953"/>
      <c r="S16" s="2222"/>
      <c r="T16" s="2222"/>
      <c r="U16" s="2222"/>
      <c r="V16" s="2222"/>
    </row>
    <row r="17" spans="1:22" s="1946" customFormat="1" ht="12" hidden="1" customHeight="1" outlineLevel="1" x14ac:dyDescent="0.2">
      <c r="A17" s="1953"/>
      <c r="B17" s="1953"/>
      <c r="S17" s="2222"/>
      <c r="T17" s="2222"/>
      <c r="U17" s="2222"/>
      <c r="V17" s="2222"/>
    </row>
    <row r="18" spans="1:22" s="1946" customFormat="1" ht="12" hidden="1" customHeight="1" outlineLevel="1" x14ac:dyDescent="0.2">
      <c r="A18" s="1953"/>
      <c r="B18" s="1953"/>
      <c r="S18" s="2222"/>
      <c r="T18" s="2222"/>
      <c r="U18" s="2222"/>
      <c r="V18" s="2222"/>
    </row>
    <row r="19" spans="1:22" s="1946" customFormat="1" ht="12" hidden="1" customHeight="1" outlineLevel="1" x14ac:dyDescent="0.2">
      <c r="A19" s="1953"/>
      <c r="B19" s="1953" t="s">
        <v>2760</v>
      </c>
      <c r="S19" s="2222"/>
      <c r="T19" s="2222"/>
      <c r="U19" s="2222"/>
      <c r="V19" s="2222"/>
    </row>
    <row r="20" spans="1:22" s="1946" customFormat="1" ht="12" hidden="1" customHeight="1" outlineLevel="1" x14ac:dyDescent="0.2">
      <c r="A20" s="1953"/>
      <c r="B20" s="1953"/>
      <c r="S20" s="2222"/>
      <c r="T20" s="2222"/>
      <c r="U20" s="2222"/>
      <c r="V20" s="2222"/>
    </row>
    <row r="21" spans="1:22" s="1946" customFormat="1" ht="12" hidden="1" customHeight="1" outlineLevel="1" x14ac:dyDescent="0.2">
      <c r="A21" s="1953"/>
      <c r="B21" s="1953"/>
      <c r="S21" s="2222"/>
      <c r="T21" s="2222"/>
      <c r="U21" s="2222"/>
      <c r="V21" s="2222"/>
    </row>
    <row r="22" spans="1:22" s="1946" customFormat="1" ht="12" hidden="1" customHeight="1" outlineLevel="1" x14ac:dyDescent="0.2">
      <c r="A22" s="1953"/>
      <c r="B22" s="1953"/>
      <c r="S22" s="2222"/>
      <c r="T22" s="2222"/>
      <c r="U22" s="2222"/>
      <c r="V22" s="2222"/>
    </row>
    <row r="23" spans="1:22" ht="12" hidden="1" customHeight="1" outlineLevel="1" x14ac:dyDescent="0.2">
      <c r="C23" s="1946"/>
      <c r="D23" s="1946"/>
      <c r="E23" s="1946"/>
      <c r="F23" s="1946"/>
      <c r="G23" s="1946"/>
      <c r="H23" s="1946"/>
      <c r="I23" s="1946"/>
      <c r="J23" s="1946"/>
      <c r="K23" s="1946"/>
      <c r="L23" s="1946"/>
      <c r="M23" s="1946"/>
      <c r="N23" s="1946"/>
      <c r="O23" s="1946"/>
      <c r="P23" s="1946"/>
      <c r="Q23" s="1946"/>
      <c r="R23" s="1946"/>
      <c r="S23" s="2222"/>
      <c r="T23" s="2222"/>
      <c r="U23" s="2222"/>
      <c r="V23" s="2222"/>
    </row>
    <row r="24" spans="1:22" ht="12" hidden="1" customHeight="1" outlineLevel="1" x14ac:dyDescent="0.2">
      <c r="C24" s="1946"/>
      <c r="D24" s="1946"/>
      <c r="E24" s="1946"/>
      <c r="F24" s="1946"/>
      <c r="G24" s="1946"/>
      <c r="H24" s="1946"/>
      <c r="I24" s="1946"/>
      <c r="J24" s="1946"/>
      <c r="K24" s="1946"/>
      <c r="L24" s="1946"/>
      <c r="M24" s="1946"/>
      <c r="N24" s="1946"/>
      <c r="O24" s="1946"/>
      <c r="P24" s="1946"/>
      <c r="Q24" s="1946"/>
      <c r="R24" s="1946"/>
      <c r="S24" s="2222"/>
      <c r="T24" s="2222"/>
      <c r="U24" s="2222"/>
      <c r="V24" s="2222"/>
    </row>
    <row r="25" spans="1:22" s="1946" customFormat="1" ht="12" hidden="1" customHeight="1" outlineLevel="1" x14ac:dyDescent="0.2">
      <c r="A25" s="1953"/>
      <c r="B25" s="1953"/>
      <c r="D25" s="1948"/>
      <c r="F25" s="1948"/>
      <c r="G25" s="1948"/>
      <c r="I25" s="1948"/>
      <c r="S25" s="2222"/>
      <c r="T25" s="2222"/>
      <c r="U25" s="2222"/>
      <c r="V25" s="2222"/>
    </row>
    <row r="26" spans="1:22" s="1946" customFormat="1" ht="12" hidden="1" customHeight="1" outlineLevel="1" x14ac:dyDescent="0.2">
      <c r="D26" s="1948"/>
      <c r="F26" s="1948"/>
      <c r="G26" s="1948"/>
      <c r="I26" s="1948"/>
      <c r="S26" s="2222"/>
      <c r="T26" s="2222"/>
      <c r="U26" s="2222"/>
      <c r="V26" s="2222"/>
    </row>
    <row r="27" spans="1:22" s="1946" customFormat="1" ht="12" hidden="1" customHeight="1" outlineLevel="1" x14ac:dyDescent="0.2">
      <c r="A27" s="1951" t="s">
        <v>724</v>
      </c>
      <c r="B27" s="1952" t="s">
        <v>724</v>
      </c>
      <c r="C27" s="1948"/>
      <c r="D27" s="1948"/>
      <c r="E27" s="1948"/>
      <c r="F27" s="1948"/>
      <c r="G27" s="1948"/>
      <c r="H27" s="1948"/>
      <c r="I27" s="1948"/>
      <c r="J27" s="1948"/>
      <c r="K27" s="1948"/>
      <c r="L27" s="1948"/>
      <c r="M27" s="1948"/>
      <c r="N27" s="1948"/>
      <c r="O27" s="1948"/>
      <c r="P27" s="1948"/>
      <c r="Q27" s="1948"/>
      <c r="R27" s="1948"/>
      <c r="S27" s="2223"/>
      <c r="T27" s="2223"/>
      <c r="U27" s="2223"/>
      <c r="V27" s="2223"/>
    </row>
    <row r="28" spans="1:22" s="1946" customFormat="1" ht="12" hidden="1" customHeight="1" outlineLevel="1" x14ac:dyDescent="0.2">
      <c r="A28" s="1951" t="s">
        <v>883</v>
      </c>
      <c r="B28" s="1952" t="s">
        <v>884</v>
      </c>
      <c r="C28" s="1948"/>
      <c r="D28" s="1948"/>
      <c r="E28" s="1948"/>
      <c r="F28" s="1948"/>
      <c r="G28" s="1948"/>
      <c r="H28" s="1948"/>
      <c r="I28" s="1948"/>
      <c r="J28" s="1948"/>
      <c r="K28" s="1948"/>
      <c r="L28" s="1948"/>
      <c r="M28" s="1948"/>
      <c r="N28" s="1948"/>
      <c r="O28" s="1948"/>
      <c r="P28" s="1948"/>
      <c r="Q28" s="1948"/>
      <c r="R28" s="1948"/>
      <c r="S28" s="2223"/>
      <c r="T28" s="2223"/>
      <c r="U28" s="2223"/>
      <c r="V28" s="2223"/>
    </row>
    <row r="29" spans="1:22" s="1946" customFormat="1" ht="12" hidden="1" customHeight="1" outlineLevel="1" x14ac:dyDescent="0.2">
      <c r="A29" s="1951" t="s">
        <v>885</v>
      </c>
      <c r="B29" s="1952" t="s">
        <v>2264</v>
      </c>
      <c r="C29" s="1948"/>
      <c r="D29" s="1948"/>
      <c r="E29" s="1948"/>
      <c r="F29" s="1948"/>
      <c r="G29" s="1948"/>
      <c r="H29" s="1948"/>
      <c r="I29" s="1948"/>
      <c r="J29" s="1948"/>
      <c r="K29" s="1948"/>
      <c r="L29" s="1948"/>
      <c r="M29" s="1948"/>
      <c r="N29" s="1948"/>
      <c r="O29" s="1948"/>
      <c r="P29" s="1948"/>
      <c r="Q29" s="1948"/>
      <c r="R29" s="1948"/>
      <c r="S29" s="2223"/>
      <c r="T29" s="2223"/>
      <c r="U29" s="2223"/>
      <c r="V29" s="2223"/>
    </row>
    <row r="30" spans="1:22" s="1946" customFormat="1" ht="12" hidden="1" customHeight="1" outlineLevel="1" x14ac:dyDescent="0.2">
      <c r="A30" s="1951" t="s">
        <v>886</v>
      </c>
      <c r="B30" s="1952" t="s">
        <v>887</v>
      </c>
      <c r="C30" s="1948"/>
      <c r="D30" s="1948"/>
      <c r="E30" s="1948"/>
      <c r="F30" s="1948"/>
      <c r="G30" s="1948"/>
      <c r="H30" s="1948"/>
      <c r="I30" s="1948"/>
      <c r="J30" s="1948"/>
      <c r="K30" s="1948"/>
      <c r="L30" s="1948"/>
      <c r="M30" s="1948"/>
      <c r="N30" s="1948"/>
      <c r="O30" s="1948"/>
      <c r="P30" s="1948"/>
      <c r="Q30" s="1948"/>
      <c r="R30" s="1948"/>
      <c r="S30" s="2223"/>
      <c r="T30" s="2223"/>
      <c r="U30" s="2223"/>
      <c r="V30" s="2223"/>
    </row>
    <row r="31" spans="1:22" s="1946" customFormat="1" ht="12" hidden="1" customHeight="1" outlineLevel="1" x14ac:dyDescent="0.2">
      <c r="A31" s="1951" t="s">
        <v>888</v>
      </c>
      <c r="B31" s="1952" t="s">
        <v>889</v>
      </c>
      <c r="C31" s="1948"/>
      <c r="D31" s="1948"/>
      <c r="E31" s="1948"/>
      <c r="F31" s="1948"/>
      <c r="G31" s="1948"/>
      <c r="H31" s="1948"/>
      <c r="I31" s="1948"/>
      <c r="J31" s="1948"/>
      <c r="K31" s="1948"/>
      <c r="L31" s="1948"/>
      <c r="M31" s="1948"/>
      <c r="N31" s="1948"/>
      <c r="O31" s="1948"/>
      <c r="P31" s="1948"/>
      <c r="Q31" s="1948"/>
      <c r="R31" s="1948"/>
      <c r="S31" s="2223"/>
      <c r="T31" s="2223"/>
      <c r="U31" s="2223"/>
      <c r="V31" s="2223"/>
    </row>
    <row r="32" spans="1:22" s="1946" customFormat="1" ht="12" hidden="1" customHeight="1" outlineLevel="1" x14ac:dyDescent="0.2">
      <c r="A32" s="1951" t="s">
        <v>890</v>
      </c>
      <c r="B32" s="1952" t="s">
        <v>724</v>
      </c>
      <c r="C32" s="1948"/>
      <c r="D32" s="1948"/>
      <c r="E32" s="1948"/>
      <c r="F32" s="1948"/>
      <c r="G32" s="1948"/>
      <c r="H32" s="1948"/>
      <c r="I32" s="1948"/>
      <c r="J32" s="1948"/>
      <c r="K32" s="1948"/>
      <c r="L32" s="1948"/>
      <c r="M32" s="1948"/>
      <c r="N32" s="1948"/>
      <c r="O32" s="1948"/>
      <c r="P32" s="1948"/>
      <c r="Q32" s="1948"/>
      <c r="R32" s="1948"/>
      <c r="S32" s="2223"/>
      <c r="T32" s="2223"/>
      <c r="U32" s="2223"/>
      <c r="V32" s="2223"/>
    </row>
    <row r="33" spans="1:22" s="1946" customFormat="1" ht="12" hidden="1" customHeight="1" outlineLevel="1" x14ac:dyDescent="0.2">
      <c r="A33" s="1951" t="s">
        <v>891</v>
      </c>
      <c r="B33" s="1952" t="s">
        <v>2266</v>
      </c>
      <c r="C33" s="1948"/>
      <c r="D33" s="1952"/>
      <c r="E33" s="1948"/>
      <c r="F33" s="1952"/>
      <c r="G33" s="1952"/>
      <c r="H33" s="1948"/>
      <c r="I33" s="1952"/>
      <c r="J33" s="1948"/>
      <c r="K33" s="1948"/>
      <c r="L33" s="1948"/>
      <c r="M33" s="1948"/>
      <c r="N33" s="1948"/>
      <c r="O33" s="1948"/>
      <c r="P33" s="1948"/>
      <c r="Q33" s="1948"/>
      <c r="R33" s="1948"/>
      <c r="S33" s="2223"/>
      <c r="T33" s="2223"/>
      <c r="U33" s="2223"/>
      <c r="V33" s="2223"/>
    </row>
    <row r="34" spans="1:22" s="1946" customFormat="1" ht="12" hidden="1" customHeight="1" outlineLevel="1" x14ac:dyDescent="0.2">
      <c r="A34" s="1951" t="s">
        <v>893</v>
      </c>
      <c r="B34" s="1952" t="s">
        <v>724</v>
      </c>
      <c r="C34" s="1948"/>
      <c r="D34" s="1952"/>
      <c r="E34" s="1948"/>
      <c r="F34" s="1952"/>
      <c r="G34" s="1952"/>
      <c r="H34" s="1948"/>
      <c r="I34" s="1952"/>
      <c r="J34" s="1948"/>
      <c r="K34" s="1948"/>
      <c r="L34" s="1953"/>
      <c r="M34" s="1953"/>
      <c r="N34" s="1953"/>
      <c r="O34" s="1953"/>
      <c r="P34" s="1953"/>
      <c r="Q34" s="1953"/>
      <c r="R34" s="1953"/>
      <c r="S34" s="2224"/>
      <c r="T34" s="2224"/>
      <c r="U34" s="2224"/>
      <c r="V34" s="2224"/>
    </row>
    <row r="35" spans="1:22" ht="12" hidden="1" customHeight="1" outlineLevel="1" x14ac:dyDescent="0.2">
      <c r="A35" s="1951"/>
      <c r="B35" s="1951"/>
      <c r="C35" s="1951"/>
      <c r="D35" s="1951"/>
      <c r="I35" s="1951"/>
      <c r="J35" s="1951"/>
      <c r="K35" s="1951"/>
      <c r="L35" s="1951"/>
      <c r="M35" s="1951"/>
      <c r="N35" s="1951"/>
      <c r="O35" s="1951"/>
      <c r="P35" s="1951"/>
      <c r="Q35" s="1951"/>
      <c r="R35" s="1951"/>
      <c r="S35" s="2225"/>
      <c r="T35" s="2225"/>
      <c r="U35" s="2225"/>
      <c r="V35" s="2225"/>
    </row>
    <row r="36" spans="1:22" collapsed="1" x14ac:dyDescent="0.2">
      <c r="A36" s="1977" t="s">
        <v>894</v>
      </c>
      <c r="B36" s="1978"/>
      <c r="C36" s="1977" t="s">
        <v>895</v>
      </c>
      <c r="D36" s="1978"/>
      <c r="E36" s="1977" t="s">
        <v>896</v>
      </c>
      <c r="F36" s="1960" t="s">
        <v>897</v>
      </c>
      <c r="G36" s="1960" t="s">
        <v>898</v>
      </c>
      <c r="H36" s="1960" t="s">
        <v>899</v>
      </c>
      <c r="I36" s="1960" t="s">
        <v>900</v>
      </c>
      <c r="S36" s="2226" t="s">
        <v>5585</v>
      </c>
      <c r="T36" s="2227" t="s">
        <v>5609</v>
      </c>
      <c r="U36" s="2227" t="s">
        <v>5645</v>
      </c>
      <c r="V36" s="2228" t="s">
        <v>5667</v>
      </c>
    </row>
    <row r="37" spans="1:22" outlineLevel="2" x14ac:dyDescent="0.2">
      <c r="A37" s="1980" t="s">
        <v>2761</v>
      </c>
      <c r="B37" s="1980" t="s">
        <v>2762</v>
      </c>
      <c r="C37" s="1980" t="s">
        <v>2761</v>
      </c>
      <c r="D37" s="1980" t="s">
        <v>2763</v>
      </c>
      <c r="E37" s="1980" t="s">
        <v>1083</v>
      </c>
      <c r="F37" s="1962">
        <v>144704.69905</v>
      </c>
      <c r="G37" s="1962">
        <v>39206.135422871273</v>
      </c>
      <c r="H37" s="1962">
        <v>11023.47214243579</v>
      </c>
      <c r="I37" s="1962">
        <v>7833.785877830147</v>
      </c>
      <c r="K37" s="2077">
        <v>114</v>
      </c>
      <c r="R37" s="2077">
        <v>114</v>
      </c>
      <c r="S37" s="2229" t="s">
        <v>394</v>
      </c>
      <c r="T37" s="2230">
        <f>IF($S37="PTD",$F37*L$232,IF($S37="PROD",$F37*L$233,IF($S37="TRANS",$F37*L$234,IF($S37="DIST",$F37*L$235,IF($S37="LABOR",$F37*L$236,IF($S37="TD",$F37*L$237))))))</f>
        <v>144704.69905</v>
      </c>
      <c r="U37" s="2230">
        <f>IF($S37="PTD",$F37*M$232,IF($S37="PROD",$F37*M$233,IF($S37="TRANS",$F37*M$234,IF($S37="DIST",$F37*M$235,IF($S37="LABOR",$F37*M$236,IF($S37="TD",$F37*M$237))))))</f>
        <v>0</v>
      </c>
      <c r="V37" s="2230">
        <f>IF($S37="PTD",$F37*N$232,IF($S37="PROD",$F37*N$233,IF($S37="TRANS",$F37*N$234,IF($S37="DIST",$F37*N$235,IF($S37="LABOR",$F37*N$236,IF($S37="TD",$F37*N$237))))))</f>
        <v>0</v>
      </c>
    </row>
    <row r="38" spans="1:22" ht="15.75" outlineLevel="2" x14ac:dyDescent="0.25">
      <c r="A38" s="1980" t="s">
        <v>2761</v>
      </c>
      <c r="B38" s="1980" t="s">
        <v>2762</v>
      </c>
      <c r="C38" s="1980" t="s">
        <v>2761</v>
      </c>
      <c r="D38" s="1980" t="s">
        <v>2763</v>
      </c>
      <c r="E38" s="1980" t="s">
        <v>920</v>
      </c>
      <c r="F38" s="1962">
        <v>11763.78368</v>
      </c>
      <c r="G38" s="1962">
        <v>0</v>
      </c>
      <c r="H38" s="1962">
        <v>0</v>
      </c>
      <c r="I38" s="1962">
        <v>0</v>
      </c>
      <c r="K38" s="1627" t="s">
        <v>5668</v>
      </c>
    </row>
    <row r="39" spans="1:22" ht="13.5" outlineLevel="1" thickBot="1" x14ac:dyDescent="0.25">
      <c r="A39" s="1981" t="s">
        <v>2764</v>
      </c>
      <c r="B39" s="1981"/>
      <c r="C39" s="1981"/>
      <c r="D39" s="1981"/>
      <c r="E39" s="1981"/>
      <c r="F39" s="1965">
        <f>SUBTOTAL(9,F37:F38)</f>
        <v>156468.48272999999</v>
      </c>
      <c r="G39" s="1965">
        <f t="shared" ref="G39:I39" si="0">SUBTOTAL(9,G37:G38)</f>
        <v>39206.135422871273</v>
      </c>
      <c r="H39" s="1965">
        <f t="shared" si="0"/>
        <v>11023.47214243579</v>
      </c>
      <c r="I39" s="1965">
        <f t="shared" si="0"/>
        <v>7833.785877830147</v>
      </c>
    </row>
    <row r="40" spans="1:22" outlineLevel="2" x14ac:dyDescent="0.2">
      <c r="A40" s="1982" t="s">
        <v>2765</v>
      </c>
      <c r="B40" s="1982" t="s">
        <v>2766</v>
      </c>
      <c r="C40" s="1982" t="s">
        <v>2761</v>
      </c>
      <c r="D40" s="1982" t="s">
        <v>2767</v>
      </c>
      <c r="E40" s="1982" t="s">
        <v>1083</v>
      </c>
      <c r="F40" s="1968">
        <v>-142051.17671999999</v>
      </c>
      <c r="G40" s="1962">
        <v>-38487.192938621709</v>
      </c>
      <c r="H40" s="1962">
        <v>-10821.329228790815</v>
      </c>
      <c r="I40" s="1962">
        <v>-7690.1338341043356</v>
      </c>
      <c r="K40" s="2077">
        <v>115</v>
      </c>
      <c r="R40" s="2077">
        <v>115</v>
      </c>
      <c r="S40" s="2229" t="s">
        <v>394</v>
      </c>
      <c r="T40" s="2230">
        <f>IF($S40="PTD",$F40*L$232,IF($S40="PROD",$F40*L$233,IF($S40="TRANS",$F40*L$234,IF($S40="DIST",$F40*L$235,IF($S40="LABOR",$F40*L$236,IF($S40="TD",$F40*L$237))))))</f>
        <v>-142051.17671999999</v>
      </c>
      <c r="U40" s="2230">
        <f>IF($S40="PTD",$F40*M$232,IF($S40="PROD",$F40*M$233,IF($S40="TRANS",$F40*M$234,IF($S40="DIST",$F40*M$235,IF($S40="LABOR",$F40*M$236,IF($S40="TD",$F40*M$237))))))</f>
        <v>0</v>
      </c>
      <c r="V40" s="2230">
        <f>IF($S40="PTD",$F40*N$232,IF($S40="PROD",$F40*N$233,IF($S40="TRANS",$F40*N$234,IF($S40="DIST",$F40*N$235,IF($S40="LABOR",$F40*N$236,IF($S40="TD",$F40*N$237))))))</f>
        <v>0</v>
      </c>
    </row>
    <row r="41" spans="1:22" ht="15.75" outlineLevel="2" x14ac:dyDescent="0.25">
      <c r="A41" s="1980" t="s">
        <v>2765</v>
      </c>
      <c r="B41" s="1980" t="s">
        <v>2766</v>
      </c>
      <c r="C41" s="1980" t="s">
        <v>2761</v>
      </c>
      <c r="D41" s="1980" t="s">
        <v>2767</v>
      </c>
      <c r="E41" s="1980" t="s">
        <v>920</v>
      </c>
      <c r="F41" s="1962">
        <v>-2651.6300500000002</v>
      </c>
      <c r="G41" s="1962">
        <v>0</v>
      </c>
      <c r="H41" s="1962">
        <v>0</v>
      </c>
      <c r="I41" s="1962">
        <v>0</v>
      </c>
      <c r="K41" s="1627" t="s">
        <v>5668</v>
      </c>
      <c r="T41" s="2230"/>
      <c r="U41" s="2230"/>
      <c r="V41" s="2230"/>
    </row>
    <row r="42" spans="1:22" ht="13.5" outlineLevel="1" thickBot="1" x14ac:dyDescent="0.25">
      <c r="A42" s="1981" t="s">
        <v>2768</v>
      </c>
      <c r="B42" s="1981"/>
      <c r="C42" s="1981"/>
      <c r="D42" s="1981"/>
      <c r="E42" s="1981"/>
      <c r="F42" s="1965">
        <f>SUBTOTAL(9,F40:F41)</f>
        <v>-144702.80677</v>
      </c>
      <c r="G42" s="1965">
        <f t="shared" ref="G42:I42" si="1">SUBTOTAL(9,G40:G41)</f>
        <v>-38487.192938621709</v>
      </c>
      <c r="H42" s="1965">
        <f t="shared" si="1"/>
        <v>-10821.329228790815</v>
      </c>
      <c r="I42" s="1965">
        <f t="shared" si="1"/>
        <v>-7690.1338341043356</v>
      </c>
      <c r="T42" s="2230"/>
      <c r="U42" s="2230"/>
      <c r="V42" s="2230"/>
    </row>
    <row r="43" spans="1:22" outlineLevel="2" x14ac:dyDescent="0.2">
      <c r="A43" s="1982" t="s">
        <v>2769</v>
      </c>
      <c r="B43" s="1982" t="s">
        <v>2770</v>
      </c>
      <c r="C43" s="1982" t="s">
        <v>904</v>
      </c>
      <c r="D43" s="1982" t="s">
        <v>2771</v>
      </c>
      <c r="E43" s="1982" t="s">
        <v>913</v>
      </c>
      <c r="F43" s="1968">
        <v>120368.75116</v>
      </c>
      <c r="G43" s="1962">
        <v>33671.700456553313</v>
      </c>
      <c r="H43" s="1962">
        <v>8985.4406856909482</v>
      </c>
      <c r="I43" s="1962">
        <v>6419.5647859657902</v>
      </c>
      <c r="T43" s="2230"/>
      <c r="U43" s="2230"/>
      <c r="V43" s="2230"/>
    </row>
    <row r="44" spans="1:22" ht="13.5" outlineLevel="1" thickBot="1" x14ac:dyDescent="0.25">
      <c r="A44" s="1981" t="s">
        <v>2772</v>
      </c>
      <c r="B44" s="1981"/>
      <c r="C44" s="1981"/>
      <c r="D44" s="1981"/>
      <c r="E44" s="1981"/>
      <c r="F44" s="1965">
        <f>SUBTOTAL(9,F43)</f>
        <v>120368.75116</v>
      </c>
      <c r="G44" s="1965">
        <f t="shared" ref="G44:I44" si="2">SUBTOTAL(9,G43)</f>
        <v>33671.700456553313</v>
      </c>
      <c r="H44" s="1965">
        <f t="shared" si="2"/>
        <v>8985.4406856909482</v>
      </c>
      <c r="I44" s="1965">
        <f t="shared" si="2"/>
        <v>6419.5647859657902</v>
      </c>
      <c r="T44" s="2230"/>
      <c r="U44" s="2230"/>
      <c r="V44" s="2230"/>
    </row>
    <row r="45" spans="1:22" hidden="1" outlineLevel="2" x14ac:dyDescent="0.2">
      <c r="A45" s="1982" t="s">
        <v>2773</v>
      </c>
      <c r="B45" s="1982" t="s">
        <v>2774</v>
      </c>
      <c r="C45" s="1982" t="s">
        <v>2775</v>
      </c>
      <c r="D45" s="1982" t="s">
        <v>2776</v>
      </c>
      <c r="E45" s="1982" t="s">
        <v>913</v>
      </c>
      <c r="F45" s="1968">
        <v>77275.199420000004</v>
      </c>
      <c r="G45" s="1962">
        <v>21616.801225527164</v>
      </c>
      <c r="H45" s="1962">
        <v>5768.5380480552094</v>
      </c>
      <c r="I45" s="1962">
        <v>4121.2785232415636</v>
      </c>
      <c r="T45" s="2230"/>
      <c r="U45" s="2230"/>
      <c r="V45" s="2230"/>
    </row>
    <row r="46" spans="1:22" hidden="1" outlineLevel="2" x14ac:dyDescent="0.2">
      <c r="A46" s="1980" t="s">
        <v>2773</v>
      </c>
      <c r="B46" s="1980" t="s">
        <v>2774</v>
      </c>
      <c r="C46" s="1980" t="s">
        <v>2777</v>
      </c>
      <c r="D46" s="1980" t="s">
        <v>2778</v>
      </c>
      <c r="E46" s="1980" t="s">
        <v>913</v>
      </c>
      <c r="F46" s="1962">
        <v>3207.3573799999999</v>
      </c>
      <c r="G46" s="1962">
        <v>897.21938556063049</v>
      </c>
      <c r="H46" s="1962">
        <v>239.42692117404138</v>
      </c>
      <c r="I46" s="1962">
        <v>171.05634389515666</v>
      </c>
      <c r="T46" s="2230"/>
      <c r="U46" s="2230"/>
      <c r="V46" s="2230"/>
    </row>
    <row r="47" spans="1:22" hidden="1" outlineLevel="2" x14ac:dyDescent="0.2">
      <c r="A47" s="1980" t="s">
        <v>2773</v>
      </c>
      <c r="B47" s="1980" t="s">
        <v>2774</v>
      </c>
      <c r="C47" s="1980" t="s">
        <v>2779</v>
      </c>
      <c r="D47" s="1980" t="s">
        <v>2780</v>
      </c>
      <c r="E47" s="1980" t="s">
        <v>913</v>
      </c>
      <c r="F47" s="1962">
        <v>380.19603000000001</v>
      </c>
      <c r="G47" s="1962">
        <v>106.35523517157638</v>
      </c>
      <c r="H47" s="1962">
        <v>28.381360141879007</v>
      </c>
      <c r="I47" s="1962">
        <v>20.27679960480528</v>
      </c>
      <c r="T47" s="2230"/>
      <c r="U47" s="2230"/>
      <c r="V47" s="2230"/>
    </row>
    <row r="48" spans="1:22" hidden="1" outlineLevel="2" x14ac:dyDescent="0.2">
      <c r="A48" s="1980" t="s">
        <v>2773</v>
      </c>
      <c r="B48" s="1980" t="s">
        <v>2774</v>
      </c>
      <c r="C48" s="1980" t="s">
        <v>2781</v>
      </c>
      <c r="D48" s="1980" t="s">
        <v>2782</v>
      </c>
      <c r="E48" s="1980" t="s">
        <v>913</v>
      </c>
      <c r="F48" s="1962">
        <v>136.22040000000001</v>
      </c>
      <c r="G48" s="1962">
        <v>38.106007254116264</v>
      </c>
      <c r="H48" s="1962">
        <v>10.168754868562976</v>
      </c>
      <c r="I48" s="1962">
        <v>7.2649726323718253</v>
      </c>
      <c r="T48" s="2230"/>
      <c r="U48" s="2230"/>
      <c r="V48" s="2230"/>
    </row>
    <row r="49" spans="1:22" hidden="1" outlineLevel="2" x14ac:dyDescent="0.2">
      <c r="A49" s="1980" t="s">
        <v>2773</v>
      </c>
      <c r="B49" s="1980" t="s">
        <v>2774</v>
      </c>
      <c r="C49" s="1980" t="s">
        <v>2783</v>
      </c>
      <c r="D49" s="1980" t="s">
        <v>2784</v>
      </c>
      <c r="E49" s="1980" t="s">
        <v>913</v>
      </c>
      <c r="F49" s="1962">
        <v>1035.57503</v>
      </c>
      <c r="G49" s="1962">
        <v>289.68957370086758</v>
      </c>
      <c r="H49" s="1962">
        <v>77.304931038777951</v>
      </c>
      <c r="I49" s="1962">
        <v>55.229791218625337</v>
      </c>
      <c r="T49" s="2230"/>
      <c r="U49" s="2230"/>
      <c r="V49" s="2230"/>
    </row>
    <row r="50" spans="1:22" ht="13.5" outlineLevel="1" collapsed="1" thickBot="1" x14ac:dyDescent="0.25">
      <c r="A50" s="1981" t="s">
        <v>2785</v>
      </c>
      <c r="B50" s="1981"/>
      <c r="C50" s="1981"/>
      <c r="D50" s="1981"/>
      <c r="E50" s="1981"/>
      <c r="F50" s="1965">
        <f>SUBTOTAL(9,F45:F49)</f>
        <v>82034.54826000001</v>
      </c>
      <c r="G50" s="1965">
        <f t="shared" ref="G50:I50" si="3">SUBTOTAL(9,G45:G49)</f>
        <v>22948.171427214354</v>
      </c>
      <c r="H50" s="1965">
        <f t="shared" si="3"/>
        <v>6123.8200152784702</v>
      </c>
      <c r="I50" s="1965">
        <f t="shared" si="3"/>
        <v>4375.106430592522</v>
      </c>
      <c r="T50" s="2230"/>
      <c r="U50" s="2230"/>
      <c r="V50" s="2230"/>
    </row>
    <row r="51" spans="1:22" hidden="1" outlineLevel="2" x14ac:dyDescent="0.2">
      <c r="A51" s="1982" t="s">
        <v>2786</v>
      </c>
      <c r="B51" s="1982" t="s">
        <v>2787</v>
      </c>
      <c r="C51" s="1982" t="s">
        <v>2788</v>
      </c>
      <c r="D51" s="1982" t="s">
        <v>2789</v>
      </c>
      <c r="E51" s="1982" t="s">
        <v>2225</v>
      </c>
      <c r="F51" s="1968">
        <v>24138.270550000001</v>
      </c>
      <c r="G51" s="1962">
        <v>6752.3888689221367</v>
      </c>
      <c r="H51" s="1962">
        <v>1801.904532463587</v>
      </c>
      <c r="I51" s="1962">
        <v>1287.35398617635</v>
      </c>
      <c r="T51" s="2230"/>
      <c r="U51" s="2230"/>
      <c r="V51" s="2230"/>
    </row>
    <row r="52" spans="1:22" hidden="1" outlineLevel="2" x14ac:dyDescent="0.2">
      <c r="A52" s="1980" t="s">
        <v>2786</v>
      </c>
      <c r="B52" s="1980" t="s">
        <v>2787</v>
      </c>
      <c r="C52" s="1980" t="s">
        <v>2790</v>
      </c>
      <c r="D52" s="1980" t="s">
        <v>2791</v>
      </c>
      <c r="E52" s="1980" t="s">
        <v>913</v>
      </c>
      <c r="F52" s="1962">
        <v>29.203679999999999</v>
      </c>
      <c r="G52" s="1962">
        <v>8.169375819825003</v>
      </c>
      <c r="H52" s="1962">
        <v>2.1800337040557447</v>
      </c>
      <c r="I52" s="1962">
        <v>1.5575048668521339</v>
      </c>
      <c r="T52" s="2230"/>
      <c r="U52" s="2230"/>
      <c r="V52" s="2230"/>
    </row>
    <row r="53" spans="1:22" hidden="1" outlineLevel="2" x14ac:dyDescent="0.2">
      <c r="A53" s="1980" t="s">
        <v>2786</v>
      </c>
      <c r="B53" s="1980" t="s">
        <v>2787</v>
      </c>
      <c r="C53" s="1980" t="s">
        <v>2792</v>
      </c>
      <c r="D53" s="1980" t="s">
        <v>2793</v>
      </c>
      <c r="E53" s="1980" t="s">
        <v>913</v>
      </c>
      <c r="F53" s="1962">
        <v>681.95550000000003</v>
      </c>
      <c r="G53" s="1962">
        <v>190.76879255959079</v>
      </c>
      <c r="H53" s="1962">
        <v>50.907487503841558</v>
      </c>
      <c r="I53" s="1962">
        <v>36.370382439013866</v>
      </c>
      <c r="T53" s="2230"/>
      <c r="U53" s="2230"/>
      <c r="V53" s="2230"/>
    </row>
    <row r="54" spans="1:22" ht="13.5" outlineLevel="1" collapsed="1" thickBot="1" x14ac:dyDescent="0.25">
      <c r="A54" s="1981" t="s">
        <v>2794</v>
      </c>
      <c r="B54" s="1981"/>
      <c r="C54" s="1981"/>
      <c r="D54" s="1981"/>
      <c r="E54" s="1981"/>
      <c r="F54" s="1965">
        <f>SUBTOTAL(9,F51:F53)</f>
        <v>24849.42973</v>
      </c>
      <c r="G54" s="1965">
        <f t="shared" ref="G54:I54" si="4">SUBTOTAL(9,G51:G53)</f>
        <v>6951.327037301553</v>
      </c>
      <c r="H54" s="1965">
        <f t="shared" si="4"/>
        <v>1854.9920536714842</v>
      </c>
      <c r="I54" s="1965">
        <f t="shared" si="4"/>
        <v>1325.281873482216</v>
      </c>
      <c r="T54" s="2230"/>
      <c r="U54" s="2230"/>
      <c r="V54" s="2230"/>
    </row>
    <row r="55" spans="1:22" hidden="1" outlineLevel="2" x14ac:dyDescent="0.2">
      <c r="A55" s="1982" t="s">
        <v>2795</v>
      </c>
      <c r="B55" s="1982" t="s">
        <v>2796</v>
      </c>
      <c r="C55" s="1982" t="s">
        <v>2797</v>
      </c>
      <c r="D55" s="1982" t="s">
        <v>2798</v>
      </c>
      <c r="E55" s="1982" t="s">
        <v>1083</v>
      </c>
      <c r="F55" s="1968">
        <v>773.24550999999997</v>
      </c>
      <c r="G55" s="1962">
        <v>209.50230627764239</v>
      </c>
      <c r="H55" s="1962">
        <v>58.905138497287496</v>
      </c>
      <c r="I55" s="1962">
        <v>41.860698347055994</v>
      </c>
      <c r="T55" s="2230"/>
      <c r="U55" s="2230"/>
      <c r="V55" s="2230"/>
    </row>
    <row r="56" spans="1:22" hidden="1" outlineLevel="2" x14ac:dyDescent="0.2">
      <c r="A56" s="1980" t="s">
        <v>2795</v>
      </c>
      <c r="B56" s="1980" t="s">
        <v>2796</v>
      </c>
      <c r="C56" s="1980" t="s">
        <v>2799</v>
      </c>
      <c r="D56" s="1980" t="s">
        <v>2800</v>
      </c>
      <c r="E56" s="1980" t="s">
        <v>936</v>
      </c>
      <c r="F56" s="1962">
        <v>29684.252700000001</v>
      </c>
      <c r="G56" s="1962">
        <v>0</v>
      </c>
      <c r="H56" s="1962">
        <v>0</v>
      </c>
      <c r="I56" s="1962">
        <v>0</v>
      </c>
      <c r="T56" s="2230"/>
      <c r="U56" s="2230"/>
      <c r="V56" s="2230"/>
    </row>
    <row r="57" spans="1:22" hidden="1" outlineLevel="2" x14ac:dyDescent="0.2">
      <c r="A57" s="1980" t="s">
        <v>2795</v>
      </c>
      <c r="B57" s="1980" t="s">
        <v>2796</v>
      </c>
      <c r="C57" s="1980" t="s">
        <v>2801</v>
      </c>
      <c r="D57" s="1980" t="s">
        <v>2802</v>
      </c>
      <c r="E57" s="1980" t="s">
        <v>936</v>
      </c>
      <c r="F57" s="1962">
        <v>10453.88171</v>
      </c>
      <c r="G57" s="1962">
        <v>0</v>
      </c>
      <c r="H57" s="1962">
        <v>0</v>
      </c>
      <c r="I57" s="1962">
        <v>0</v>
      </c>
      <c r="T57" s="2230"/>
      <c r="U57" s="2230"/>
      <c r="V57" s="2230"/>
    </row>
    <row r="58" spans="1:22" hidden="1" outlineLevel="2" x14ac:dyDescent="0.2">
      <c r="A58" s="1980" t="s">
        <v>2795</v>
      </c>
      <c r="B58" s="1980" t="s">
        <v>2796</v>
      </c>
      <c r="C58" s="1980" t="s">
        <v>2803</v>
      </c>
      <c r="D58" s="1980" t="s">
        <v>2804</v>
      </c>
      <c r="E58" s="1980" t="s">
        <v>936</v>
      </c>
      <c r="F58" s="1962">
        <v>12616.4355</v>
      </c>
      <c r="G58" s="1962">
        <v>0</v>
      </c>
      <c r="H58" s="1962">
        <v>0</v>
      </c>
      <c r="I58" s="1962">
        <v>0</v>
      </c>
      <c r="T58" s="2230"/>
      <c r="U58" s="2230"/>
      <c r="V58" s="2230"/>
    </row>
    <row r="59" spans="1:22" hidden="1" outlineLevel="2" x14ac:dyDescent="0.2">
      <c r="A59" s="1980" t="s">
        <v>2795</v>
      </c>
      <c r="B59" s="1980" t="s">
        <v>2796</v>
      </c>
      <c r="C59" s="1980" t="s">
        <v>2805</v>
      </c>
      <c r="D59" s="1980" t="s">
        <v>2806</v>
      </c>
      <c r="E59" s="1980" t="s">
        <v>913</v>
      </c>
      <c r="F59" s="1962">
        <v>39.260680000000001</v>
      </c>
      <c r="G59" s="1962">
        <v>10.982699778311744</v>
      </c>
      <c r="H59" s="1962">
        <v>2.930781519457387</v>
      </c>
      <c r="I59" s="1962">
        <v>2.0938696827223224</v>
      </c>
      <c r="T59" s="2230"/>
      <c r="U59" s="2230"/>
      <c r="V59" s="2230"/>
    </row>
    <row r="60" spans="1:22" hidden="1" outlineLevel="2" x14ac:dyDescent="0.2">
      <c r="A60" s="1980" t="s">
        <v>2795</v>
      </c>
      <c r="B60" s="1980" t="s">
        <v>2796</v>
      </c>
      <c r="C60" s="1980" t="s">
        <v>2807</v>
      </c>
      <c r="D60" s="1980" t="s">
        <v>2808</v>
      </c>
      <c r="E60" s="1980" t="s">
        <v>1083</v>
      </c>
      <c r="F60" s="1962">
        <v>207.91409999999999</v>
      </c>
      <c r="G60" s="1962">
        <v>56.3320224874508</v>
      </c>
      <c r="H60" s="1962">
        <v>15.838706720765675</v>
      </c>
      <c r="I60" s="1962">
        <v>11.255712848820338</v>
      </c>
      <c r="T60" s="2230"/>
      <c r="U60" s="2230"/>
      <c r="V60" s="2230"/>
    </row>
    <row r="61" spans="1:22" hidden="1" outlineLevel="2" x14ac:dyDescent="0.2">
      <c r="A61" s="1980" t="s">
        <v>2795</v>
      </c>
      <c r="B61" s="1980" t="s">
        <v>2796</v>
      </c>
      <c r="C61" s="1980" t="s">
        <v>2809</v>
      </c>
      <c r="D61" s="1980" t="s">
        <v>2810</v>
      </c>
      <c r="E61" s="1980" t="s">
        <v>1083</v>
      </c>
      <c r="F61" s="1962">
        <v>213.62602000000001</v>
      </c>
      <c r="G61" s="1962">
        <v>57.879603944824403</v>
      </c>
      <c r="H61" s="1962">
        <v>16.273835582600807</v>
      </c>
      <c r="I61" s="1962">
        <v>11.564935413982749</v>
      </c>
      <c r="T61" s="2230"/>
      <c r="U61" s="2230"/>
      <c r="V61" s="2230"/>
    </row>
    <row r="62" spans="1:22" hidden="1" outlineLevel="2" x14ac:dyDescent="0.2">
      <c r="A62" s="1980" t="s">
        <v>2795</v>
      </c>
      <c r="B62" s="1980" t="s">
        <v>2796</v>
      </c>
      <c r="C62" s="1980" t="s">
        <v>2811</v>
      </c>
      <c r="D62" s="1980" t="s">
        <v>2812</v>
      </c>
      <c r="E62" s="1980" t="s">
        <v>1083</v>
      </c>
      <c r="F62" s="1962">
        <v>282.36984000000001</v>
      </c>
      <c r="G62" s="1962">
        <v>76.504980550419077</v>
      </c>
      <c r="H62" s="1962">
        <v>21.510677162104582</v>
      </c>
      <c r="I62" s="1962">
        <v>15.286475694564933</v>
      </c>
      <c r="T62" s="2230"/>
      <c r="U62" s="2230"/>
      <c r="V62" s="2230"/>
    </row>
    <row r="63" spans="1:22" hidden="1" outlineLevel="2" x14ac:dyDescent="0.2">
      <c r="A63" s="1980" t="s">
        <v>2795</v>
      </c>
      <c r="B63" s="1980" t="s">
        <v>2796</v>
      </c>
      <c r="C63" s="1980" t="s">
        <v>2813</v>
      </c>
      <c r="D63" s="1980" t="s">
        <v>2814</v>
      </c>
      <c r="E63" s="1980" t="s">
        <v>1083</v>
      </c>
      <c r="F63" s="1962">
        <v>133.65608</v>
      </c>
      <c r="G63" s="1962">
        <v>36.212634468487344</v>
      </c>
      <c r="H63" s="1962">
        <v>10.181798408896727</v>
      </c>
      <c r="I63" s="1962">
        <v>7.2356538444432532</v>
      </c>
      <c r="T63" s="2230"/>
      <c r="U63" s="2230"/>
      <c r="V63" s="2230"/>
    </row>
    <row r="64" spans="1:22" hidden="1" outlineLevel="2" x14ac:dyDescent="0.2">
      <c r="A64" s="1980" t="s">
        <v>2795</v>
      </c>
      <c r="B64" s="1980" t="s">
        <v>2796</v>
      </c>
      <c r="C64" s="1980" t="s">
        <v>2815</v>
      </c>
      <c r="D64" s="1980" t="s">
        <v>2816</v>
      </c>
      <c r="E64" s="1980" t="s">
        <v>1083</v>
      </c>
      <c r="F64" s="1962">
        <v>332.66565000000003</v>
      </c>
      <c r="G64" s="1962">
        <v>90.132073181195693</v>
      </c>
      <c r="H64" s="1962">
        <v>25.34216614660998</v>
      </c>
      <c r="I64" s="1962">
        <v>18.009307839469134</v>
      </c>
      <c r="T64" s="2230"/>
      <c r="U64" s="2230"/>
      <c r="V64" s="2230"/>
    </row>
    <row r="65" spans="1:22" hidden="1" outlineLevel="2" x14ac:dyDescent="0.2">
      <c r="A65" s="1980" t="s">
        <v>2795</v>
      </c>
      <c r="B65" s="1980" t="s">
        <v>2796</v>
      </c>
      <c r="C65" s="1980" t="s">
        <v>2817</v>
      </c>
      <c r="D65" s="1980" t="s">
        <v>2818</v>
      </c>
      <c r="E65" s="1980" t="s">
        <v>1083</v>
      </c>
      <c r="F65" s="1962">
        <v>185.43690000000001</v>
      </c>
      <c r="G65" s="1962">
        <v>50.242074110429101</v>
      </c>
      <c r="H65" s="1962">
        <v>14.126414102304523</v>
      </c>
      <c r="I65" s="1962">
        <v>10.038879027326248</v>
      </c>
      <c r="T65" s="2230"/>
      <c r="U65" s="2230"/>
      <c r="V65" s="2230"/>
    </row>
    <row r="66" spans="1:22" hidden="1" outlineLevel="2" x14ac:dyDescent="0.2">
      <c r="A66" s="1980" t="s">
        <v>2795</v>
      </c>
      <c r="B66" s="1980" t="s">
        <v>2796</v>
      </c>
      <c r="C66" s="1980" t="s">
        <v>2819</v>
      </c>
      <c r="D66" s="1980" t="s">
        <v>2820</v>
      </c>
      <c r="E66" s="1980" t="s">
        <v>1083</v>
      </c>
      <c r="F66" s="1962">
        <v>36.525460000000002</v>
      </c>
      <c r="G66" s="1962">
        <v>9.8961688220495141</v>
      </c>
      <c r="H66" s="1962">
        <v>2.7824762667902654</v>
      </c>
      <c r="I66" s="1962">
        <v>1.9773555012915107</v>
      </c>
      <c r="T66" s="2230"/>
      <c r="U66" s="2230"/>
      <c r="V66" s="2230"/>
    </row>
    <row r="67" spans="1:22" hidden="1" outlineLevel="2" x14ac:dyDescent="0.2">
      <c r="A67" s="1980" t="s">
        <v>2795</v>
      </c>
      <c r="B67" s="1980" t="s">
        <v>2796</v>
      </c>
      <c r="C67" s="1980" t="s">
        <v>2821</v>
      </c>
      <c r="D67" s="1980" t="s">
        <v>2822</v>
      </c>
      <c r="E67" s="1980" t="s">
        <v>1083</v>
      </c>
      <c r="F67" s="1962">
        <v>950.04786000000001</v>
      </c>
      <c r="G67" s="1962">
        <v>257.40494470396436</v>
      </c>
      <c r="H67" s="1962">
        <v>72.373780446978088</v>
      </c>
      <c r="I67" s="1962">
        <v>51.432134255426952</v>
      </c>
      <c r="T67" s="2230"/>
      <c r="U67" s="2230"/>
      <c r="V67" s="2230"/>
    </row>
    <row r="68" spans="1:22" hidden="1" outlineLevel="2" x14ac:dyDescent="0.2">
      <c r="A68" s="1980" t="s">
        <v>2795</v>
      </c>
      <c r="B68" s="1980" t="s">
        <v>2796</v>
      </c>
      <c r="C68" s="1980" t="s">
        <v>2823</v>
      </c>
      <c r="D68" s="1980" t="s">
        <v>2824</v>
      </c>
      <c r="E68" s="1980" t="s">
        <v>1083</v>
      </c>
      <c r="F68" s="1962">
        <v>557.59374000000003</v>
      </c>
      <c r="G68" s="1962">
        <v>151.07384780802167</v>
      </c>
      <c r="H68" s="1962">
        <v>42.476983125217906</v>
      </c>
      <c r="I68" s="1962">
        <v>30.186096199054258</v>
      </c>
      <c r="T68" s="2230"/>
      <c r="U68" s="2230"/>
      <c r="V68" s="2230"/>
    </row>
    <row r="69" spans="1:22" hidden="1" outlineLevel="2" x14ac:dyDescent="0.2">
      <c r="A69" s="1980" t="s">
        <v>2795</v>
      </c>
      <c r="B69" s="1980" t="s">
        <v>2796</v>
      </c>
      <c r="C69" s="1980" t="s">
        <v>2825</v>
      </c>
      <c r="D69" s="1980" t="s">
        <v>2826</v>
      </c>
      <c r="E69" s="1980" t="s">
        <v>913</v>
      </c>
      <c r="F69" s="1962">
        <v>1836.4739999999999</v>
      </c>
      <c r="G69" s="1962">
        <v>513.73136157283272</v>
      </c>
      <c r="H69" s="1962">
        <v>137.09146301500598</v>
      </c>
      <c r="I69" s="1962">
        <v>97.943724655502507</v>
      </c>
      <c r="T69" s="2230"/>
      <c r="U69" s="2230"/>
      <c r="V69" s="2230"/>
    </row>
    <row r="70" spans="1:22" hidden="1" outlineLevel="2" x14ac:dyDescent="0.2">
      <c r="A70" s="1980" t="s">
        <v>2795</v>
      </c>
      <c r="B70" s="1980" t="s">
        <v>2796</v>
      </c>
      <c r="C70" s="1980" t="s">
        <v>2827</v>
      </c>
      <c r="D70" s="1980" t="s">
        <v>2828</v>
      </c>
      <c r="E70" s="1980" t="s">
        <v>1083</v>
      </c>
      <c r="F70" s="1962">
        <v>329.30694</v>
      </c>
      <c r="G70" s="1962">
        <v>89.222067908591157</v>
      </c>
      <c r="H70" s="1962">
        <v>25.086302678715771</v>
      </c>
      <c r="I70" s="1962">
        <v>17.827479501215684</v>
      </c>
      <c r="T70" s="2230"/>
      <c r="U70" s="2230"/>
      <c r="V70" s="2230"/>
    </row>
    <row r="71" spans="1:22" hidden="1" outlineLevel="2" x14ac:dyDescent="0.2">
      <c r="A71" s="1980" t="s">
        <v>2795</v>
      </c>
      <c r="B71" s="1980" t="s">
        <v>2796</v>
      </c>
      <c r="C71" s="1980" t="s">
        <v>2829</v>
      </c>
      <c r="D71" s="1980" t="s">
        <v>2830</v>
      </c>
      <c r="E71" s="1980" t="s">
        <v>1083</v>
      </c>
      <c r="F71" s="1962">
        <v>83.763009999999994</v>
      </c>
      <c r="G71" s="1962">
        <v>22.694659779863734</v>
      </c>
      <c r="H71" s="1962">
        <v>6.3809897906806823</v>
      </c>
      <c r="I71" s="1962">
        <v>4.5346245777119796</v>
      </c>
      <c r="T71" s="2230"/>
      <c r="U71" s="2230"/>
      <c r="V71" s="2230"/>
    </row>
    <row r="72" spans="1:22" hidden="1" outlineLevel="2" x14ac:dyDescent="0.2">
      <c r="A72" s="1980" t="s">
        <v>2795</v>
      </c>
      <c r="B72" s="1980" t="s">
        <v>2796</v>
      </c>
      <c r="C72" s="1980" t="s">
        <v>2831</v>
      </c>
      <c r="D72" s="1980" t="s">
        <v>2832</v>
      </c>
      <c r="E72" s="1980" t="s">
        <v>1083</v>
      </c>
      <c r="F72" s="1962">
        <v>167.2988</v>
      </c>
      <c r="G72" s="1962">
        <v>45.327756817471901</v>
      </c>
      <c r="H72" s="1962">
        <v>12.744670168766969</v>
      </c>
      <c r="I72" s="1962">
        <v>9.0569482913964166</v>
      </c>
      <c r="T72" s="2230"/>
      <c r="U72" s="2230"/>
      <c r="V72" s="2230"/>
    </row>
    <row r="73" spans="1:22" hidden="1" outlineLevel="2" x14ac:dyDescent="0.2">
      <c r="A73" s="1980" t="s">
        <v>2795</v>
      </c>
      <c r="B73" s="1980" t="s">
        <v>2796</v>
      </c>
      <c r="C73" s="1980" t="s">
        <v>2833</v>
      </c>
      <c r="D73" s="1980" t="s">
        <v>2834</v>
      </c>
      <c r="E73" s="1980" t="s">
        <v>906</v>
      </c>
      <c r="F73" s="1962">
        <v>72.076179999999994</v>
      </c>
      <c r="G73" s="1962">
        <v>18.622468742106388</v>
      </c>
      <c r="H73" s="1962">
        <v>5.1470394457862252</v>
      </c>
      <c r="I73" s="1962">
        <v>4.2533840691876543</v>
      </c>
      <c r="T73" s="2230"/>
      <c r="U73" s="2230"/>
      <c r="V73" s="2230"/>
    </row>
    <row r="74" spans="1:22" hidden="1" outlineLevel="2" x14ac:dyDescent="0.2">
      <c r="A74" s="1980" t="s">
        <v>2795</v>
      </c>
      <c r="B74" s="1980" t="s">
        <v>2796</v>
      </c>
      <c r="C74" s="1980" t="s">
        <v>2833</v>
      </c>
      <c r="D74" s="1980" t="s">
        <v>2834</v>
      </c>
      <c r="E74" s="1980" t="s">
        <v>913</v>
      </c>
      <c r="F74" s="1962">
        <v>2242.92326</v>
      </c>
      <c r="G74" s="1962">
        <v>627.43061990704837</v>
      </c>
      <c r="H74" s="1962">
        <v>167.43260789087495</v>
      </c>
      <c r="I74" s="1962">
        <v>119.6206742926184</v>
      </c>
      <c r="T74" s="2230"/>
      <c r="U74" s="2230"/>
      <c r="V74" s="2230"/>
    </row>
    <row r="75" spans="1:22" hidden="1" outlineLevel="2" x14ac:dyDescent="0.2">
      <c r="A75" s="1980" t="s">
        <v>2795</v>
      </c>
      <c r="B75" s="1980" t="s">
        <v>2796</v>
      </c>
      <c r="C75" s="1980" t="s">
        <v>2835</v>
      </c>
      <c r="D75" s="1980" t="s">
        <v>2836</v>
      </c>
      <c r="E75" s="1980" t="s">
        <v>912</v>
      </c>
      <c r="F75" s="1962">
        <v>1516.60418</v>
      </c>
      <c r="G75" s="1962">
        <v>1516.60418</v>
      </c>
      <c r="H75" s="1962">
        <v>0</v>
      </c>
      <c r="I75" s="1962">
        <v>0</v>
      </c>
      <c r="T75" s="2230"/>
      <c r="U75" s="2230"/>
      <c r="V75" s="2230"/>
    </row>
    <row r="76" spans="1:22" hidden="1" outlineLevel="2" x14ac:dyDescent="0.2">
      <c r="A76" s="1980" t="s">
        <v>2795</v>
      </c>
      <c r="B76" s="1980" t="s">
        <v>2796</v>
      </c>
      <c r="C76" s="1980" t="s">
        <v>2837</v>
      </c>
      <c r="D76" s="1980" t="s">
        <v>2838</v>
      </c>
      <c r="E76" s="1980" t="s">
        <v>920</v>
      </c>
      <c r="F76" s="1962">
        <v>3454.1280099999999</v>
      </c>
      <c r="G76" s="1962">
        <v>0</v>
      </c>
      <c r="H76" s="1962">
        <v>0</v>
      </c>
      <c r="I76" s="1962">
        <v>0</v>
      </c>
      <c r="T76" s="2230"/>
      <c r="U76" s="2230"/>
      <c r="V76" s="2230"/>
    </row>
    <row r="77" spans="1:22" hidden="1" outlineLevel="2" x14ac:dyDescent="0.2">
      <c r="A77" s="1980" t="s">
        <v>2795</v>
      </c>
      <c r="B77" s="1980" t="s">
        <v>2796</v>
      </c>
      <c r="C77" s="1980" t="s">
        <v>2839</v>
      </c>
      <c r="D77" s="1980" t="s">
        <v>2840</v>
      </c>
      <c r="E77" s="1980" t="s">
        <v>919</v>
      </c>
      <c r="F77" s="1962">
        <v>312.48721</v>
      </c>
      <c r="G77" s="1962">
        <v>0</v>
      </c>
      <c r="H77" s="1962">
        <v>0</v>
      </c>
      <c r="I77" s="1962">
        <v>312.48721</v>
      </c>
      <c r="T77" s="2230"/>
      <c r="U77" s="2230"/>
      <c r="V77" s="2230"/>
    </row>
    <row r="78" spans="1:22" hidden="1" outlineLevel="2" x14ac:dyDescent="0.2">
      <c r="A78" s="1980" t="s">
        <v>2795</v>
      </c>
      <c r="B78" s="1980" t="s">
        <v>2796</v>
      </c>
      <c r="C78" s="1980" t="s">
        <v>2792</v>
      </c>
      <c r="D78" s="1980" t="s">
        <v>2841</v>
      </c>
      <c r="E78" s="1980" t="s">
        <v>913</v>
      </c>
      <c r="F78" s="1962">
        <v>15133.47602</v>
      </c>
      <c r="G78" s="1962">
        <v>4233.4066483295783</v>
      </c>
      <c r="H78" s="1962">
        <v>1129.703098483458</v>
      </c>
      <c r="I78" s="1962">
        <v>807.10590424015265</v>
      </c>
      <c r="T78" s="2230"/>
      <c r="U78" s="2230"/>
      <c r="V78" s="2230"/>
    </row>
    <row r="79" spans="1:22" hidden="1" outlineLevel="2" x14ac:dyDescent="0.2">
      <c r="A79" s="1980" t="s">
        <v>2795</v>
      </c>
      <c r="B79" s="1980" t="s">
        <v>2796</v>
      </c>
      <c r="C79" s="1980" t="s">
        <v>2842</v>
      </c>
      <c r="D79" s="1980" t="s">
        <v>2843</v>
      </c>
      <c r="E79" s="1980" t="s">
        <v>913</v>
      </c>
      <c r="F79" s="1962">
        <v>-2515.2586999999999</v>
      </c>
      <c r="G79" s="1962">
        <v>-703.61316123120343</v>
      </c>
      <c r="H79" s="1962">
        <v>-187.7622525797926</v>
      </c>
      <c r="I79" s="1962">
        <v>-134.1450004465934</v>
      </c>
      <c r="T79" s="2230"/>
      <c r="U79" s="2230"/>
      <c r="V79" s="2230"/>
    </row>
    <row r="80" spans="1:22" hidden="1" outlineLevel="2" x14ac:dyDescent="0.2">
      <c r="A80" s="1980" t="s">
        <v>2795</v>
      </c>
      <c r="B80" s="1980" t="s">
        <v>2796</v>
      </c>
      <c r="C80" s="1980" t="s">
        <v>2844</v>
      </c>
      <c r="D80" s="1980" t="s">
        <v>2845</v>
      </c>
      <c r="E80" s="1980" t="s">
        <v>913</v>
      </c>
      <c r="F80" s="1962">
        <v>2515.2586999999999</v>
      </c>
      <c r="G80" s="1962">
        <v>703.61316123120343</v>
      </c>
      <c r="H80" s="1962">
        <v>187.7622525797926</v>
      </c>
      <c r="I80" s="1962">
        <v>134.1450004465934</v>
      </c>
      <c r="T80" s="2230"/>
      <c r="U80" s="2230"/>
      <c r="V80" s="2230"/>
    </row>
    <row r="81" spans="1:22" hidden="1" outlineLevel="2" x14ac:dyDescent="0.2">
      <c r="A81" s="1980" t="s">
        <v>2795</v>
      </c>
      <c r="B81" s="1980" t="s">
        <v>2796</v>
      </c>
      <c r="C81" s="1980" t="s">
        <v>2846</v>
      </c>
      <c r="D81" s="1980" t="s">
        <v>2847</v>
      </c>
      <c r="E81" s="1980" t="s">
        <v>936</v>
      </c>
      <c r="F81" s="1962">
        <v>1422.9998599999999</v>
      </c>
      <c r="G81" s="1962">
        <v>0</v>
      </c>
      <c r="H81" s="1962">
        <v>0</v>
      </c>
      <c r="I81" s="1962">
        <v>0</v>
      </c>
      <c r="T81" s="2230"/>
      <c r="U81" s="2230"/>
      <c r="V81" s="2230"/>
    </row>
    <row r="82" spans="1:22" hidden="1" outlineLevel="2" x14ac:dyDescent="0.2">
      <c r="A82" s="1980" t="s">
        <v>2795</v>
      </c>
      <c r="B82" s="1980" t="s">
        <v>2796</v>
      </c>
      <c r="C82" s="1980" t="s">
        <v>2848</v>
      </c>
      <c r="D82" s="1980" t="s">
        <v>2849</v>
      </c>
      <c r="E82" s="1980" t="s">
        <v>936</v>
      </c>
      <c r="F82" s="1962">
        <v>1425.63921</v>
      </c>
      <c r="G82" s="1962">
        <v>0</v>
      </c>
      <c r="H82" s="1962">
        <v>0</v>
      </c>
      <c r="I82" s="1962">
        <v>0</v>
      </c>
      <c r="T82" s="2230"/>
      <c r="U82" s="2230"/>
      <c r="V82" s="2230"/>
    </row>
    <row r="83" spans="1:22" hidden="1" outlineLevel="2" x14ac:dyDescent="0.2">
      <c r="A83" s="1980" t="s">
        <v>2795</v>
      </c>
      <c r="B83" s="1980" t="s">
        <v>2796</v>
      </c>
      <c r="C83" s="1980" t="s">
        <v>2850</v>
      </c>
      <c r="D83" s="1980" t="s">
        <v>2851</v>
      </c>
      <c r="E83" s="1980" t="s">
        <v>936</v>
      </c>
      <c r="F83" s="1962">
        <v>29207.5059</v>
      </c>
      <c r="G83" s="1962">
        <v>0</v>
      </c>
      <c r="H83" s="1962">
        <v>0</v>
      </c>
      <c r="I83" s="1962">
        <v>0</v>
      </c>
      <c r="T83" s="2230"/>
      <c r="U83" s="2230"/>
      <c r="V83" s="2230"/>
    </row>
    <row r="84" spans="1:22" hidden="1" outlineLevel="2" x14ac:dyDescent="0.2">
      <c r="A84" s="1980" t="s">
        <v>2795</v>
      </c>
      <c r="B84" s="1980" t="s">
        <v>2796</v>
      </c>
      <c r="C84" s="1980" t="s">
        <v>2852</v>
      </c>
      <c r="D84" s="1980" t="s">
        <v>2853</v>
      </c>
      <c r="E84" s="1980" t="s">
        <v>913</v>
      </c>
      <c r="F84" s="1962">
        <v>250</v>
      </c>
      <c r="G84" s="1962">
        <v>69.934472469094672</v>
      </c>
      <c r="H84" s="1962">
        <v>18.662320160128321</v>
      </c>
      <c r="I84" s="1962">
        <v>13.333121603614115</v>
      </c>
      <c r="T84" s="2230"/>
      <c r="U84" s="2230"/>
      <c r="V84" s="2230"/>
    </row>
    <row r="85" spans="1:22" ht="13.5" outlineLevel="1" collapsed="1" thickBot="1" x14ac:dyDescent="0.25">
      <c r="A85" s="1981" t="s">
        <v>2854</v>
      </c>
      <c r="B85" s="1981"/>
      <c r="C85" s="1981"/>
      <c r="D85" s="1981"/>
      <c r="E85" s="1981"/>
      <c r="F85" s="1965">
        <f>SUBTOTAL(9,F55:F84)</f>
        <v>113921.59433000001</v>
      </c>
      <c r="G85" s="1965">
        <f t="shared" ref="G85:I85" si="5">SUBTOTAL(9,G55:G84)</f>
        <v>8143.1375916593834</v>
      </c>
      <c r="H85" s="1965">
        <f t="shared" si="5"/>
        <v>1784.9912496124302</v>
      </c>
      <c r="I85" s="1965">
        <f t="shared" si="5"/>
        <v>1587.1041898855569</v>
      </c>
      <c r="T85" s="2230"/>
      <c r="U85" s="2230"/>
      <c r="V85" s="2230"/>
    </row>
    <row r="86" spans="1:22" hidden="1" outlineLevel="2" x14ac:dyDescent="0.2">
      <c r="A86" s="1980" t="s">
        <v>2855</v>
      </c>
      <c r="B86" s="1980" t="s">
        <v>2856</v>
      </c>
      <c r="C86" s="1980" t="s">
        <v>2857</v>
      </c>
      <c r="D86" s="1980" t="s">
        <v>2858</v>
      </c>
      <c r="E86" s="1980" t="s">
        <v>918</v>
      </c>
      <c r="F86" s="1962">
        <v>2595.5239000000001</v>
      </c>
      <c r="G86" s="1962">
        <v>0</v>
      </c>
      <c r="H86" s="1962">
        <v>0</v>
      </c>
      <c r="I86" s="1962">
        <v>0</v>
      </c>
      <c r="T86" s="2230"/>
      <c r="U86" s="2230"/>
      <c r="V86" s="2230"/>
    </row>
    <row r="87" spans="1:22" hidden="1" outlineLevel="2" x14ac:dyDescent="0.2">
      <c r="A87" s="1982" t="s">
        <v>2855</v>
      </c>
      <c r="B87" s="1982" t="s">
        <v>2856</v>
      </c>
      <c r="C87" s="1982" t="s">
        <v>2859</v>
      </c>
      <c r="D87" s="1982" t="s">
        <v>2860</v>
      </c>
      <c r="E87" s="1982" t="s">
        <v>912</v>
      </c>
      <c r="F87" s="1968">
        <v>28149.138869999999</v>
      </c>
      <c r="G87" s="1962">
        <v>28149.138869999999</v>
      </c>
      <c r="H87" s="1962">
        <v>0</v>
      </c>
      <c r="I87" s="1962">
        <v>0</v>
      </c>
      <c r="T87" s="2230"/>
      <c r="U87" s="2230"/>
      <c r="V87" s="2230"/>
    </row>
    <row r="88" spans="1:22" hidden="1" outlineLevel="2" x14ac:dyDescent="0.2">
      <c r="A88" s="1980" t="s">
        <v>2855</v>
      </c>
      <c r="B88" s="1980" t="s">
        <v>2856</v>
      </c>
      <c r="C88" s="1980" t="s">
        <v>2861</v>
      </c>
      <c r="D88" s="1980" t="s">
        <v>2862</v>
      </c>
      <c r="E88" s="1980" t="s">
        <v>921</v>
      </c>
      <c r="F88" s="1962">
        <v>386.78746999999998</v>
      </c>
      <c r="G88" s="1962">
        <v>0</v>
      </c>
      <c r="H88" s="1962">
        <v>386.78746999999998</v>
      </c>
      <c r="I88" s="1962">
        <v>0</v>
      </c>
      <c r="T88" s="2230"/>
      <c r="U88" s="2230"/>
      <c r="V88" s="2230"/>
    </row>
    <row r="89" spans="1:22" hidden="1" outlineLevel="2" x14ac:dyDescent="0.2">
      <c r="A89" s="1982" t="s">
        <v>2855</v>
      </c>
      <c r="B89" s="1982" t="s">
        <v>2856</v>
      </c>
      <c r="C89" s="1982" t="s">
        <v>2863</v>
      </c>
      <c r="D89" s="1982" t="s">
        <v>2864</v>
      </c>
      <c r="E89" s="1982" t="s">
        <v>919</v>
      </c>
      <c r="F89" s="1968">
        <v>-894.60014999999999</v>
      </c>
      <c r="G89" s="1962">
        <v>0</v>
      </c>
      <c r="H89" s="1962">
        <v>0</v>
      </c>
      <c r="I89" s="1962">
        <v>-894.60014999999999</v>
      </c>
      <c r="T89" s="2230"/>
      <c r="U89" s="2230"/>
      <c r="V89" s="2230"/>
    </row>
    <row r="90" spans="1:22" hidden="1" outlineLevel="2" x14ac:dyDescent="0.2">
      <c r="A90" s="1980" t="s">
        <v>2855</v>
      </c>
      <c r="B90" s="1980" t="s">
        <v>2856</v>
      </c>
      <c r="C90" s="1980" t="s">
        <v>2865</v>
      </c>
      <c r="D90" s="1980" t="s">
        <v>2866</v>
      </c>
      <c r="E90" s="1980" t="s">
        <v>920</v>
      </c>
      <c r="F90" s="1962">
        <v>2217.01683</v>
      </c>
      <c r="G90" s="1962">
        <v>0</v>
      </c>
      <c r="H90" s="1962">
        <v>0</v>
      </c>
      <c r="I90" s="1962">
        <v>0</v>
      </c>
      <c r="T90" s="2230"/>
      <c r="U90" s="2230"/>
      <c r="V90" s="2230"/>
    </row>
    <row r="91" spans="1:22" hidden="1" outlineLevel="2" x14ac:dyDescent="0.2">
      <c r="A91" s="1980" t="s">
        <v>2855</v>
      </c>
      <c r="B91" s="1980" t="s">
        <v>2856</v>
      </c>
      <c r="C91" s="1980" t="s">
        <v>2867</v>
      </c>
      <c r="D91" s="1980" t="s">
        <v>2868</v>
      </c>
      <c r="E91" s="1980" t="s">
        <v>922</v>
      </c>
      <c r="F91" s="1962">
        <v>6.75509</v>
      </c>
      <c r="G91" s="1962">
        <v>0</v>
      </c>
      <c r="H91" s="1962">
        <v>0</v>
      </c>
      <c r="I91" s="1962">
        <v>0</v>
      </c>
      <c r="T91" s="2230"/>
      <c r="U91" s="2230"/>
      <c r="V91" s="2230"/>
    </row>
    <row r="92" spans="1:22" hidden="1" outlineLevel="2" x14ac:dyDescent="0.2">
      <c r="A92" s="1980" t="s">
        <v>2855</v>
      </c>
      <c r="B92" s="1980" t="s">
        <v>2856</v>
      </c>
      <c r="C92" s="1980" t="s">
        <v>2869</v>
      </c>
      <c r="D92" s="1980" t="s">
        <v>2870</v>
      </c>
      <c r="E92" s="1980" t="s">
        <v>936</v>
      </c>
      <c r="F92" s="1962">
        <v>-2223.7719200000001</v>
      </c>
      <c r="G92" s="1962">
        <v>0</v>
      </c>
      <c r="H92" s="1962">
        <v>0</v>
      </c>
      <c r="I92" s="1962">
        <v>0</v>
      </c>
      <c r="T92" s="2230"/>
      <c r="U92" s="2230"/>
      <c r="V92" s="2230"/>
    </row>
    <row r="93" spans="1:22" hidden="1" outlineLevel="2" x14ac:dyDescent="0.2">
      <c r="A93" s="1980" t="s">
        <v>2855</v>
      </c>
      <c r="B93" s="1980" t="s">
        <v>2856</v>
      </c>
      <c r="C93" s="1980" t="s">
        <v>2871</v>
      </c>
      <c r="D93" s="1980" t="s">
        <v>2872</v>
      </c>
      <c r="E93" s="1980" t="s">
        <v>936</v>
      </c>
      <c r="F93" s="1962">
        <v>-2595.5239000000001</v>
      </c>
      <c r="G93" s="1962">
        <v>0</v>
      </c>
      <c r="H93" s="1962">
        <v>0</v>
      </c>
      <c r="I93" s="1962">
        <v>0</v>
      </c>
      <c r="T93" s="2230"/>
      <c r="U93" s="2230"/>
      <c r="V93" s="2230"/>
    </row>
    <row r="94" spans="1:22" hidden="1" outlineLevel="2" x14ac:dyDescent="0.2">
      <c r="A94" s="1980" t="s">
        <v>2855</v>
      </c>
      <c r="B94" s="1980" t="s">
        <v>2856</v>
      </c>
      <c r="C94" s="1980" t="s">
        <v>2873</v>
      </c>
      <c r="D94" s="1980" t="s">
        <v>2874</v>
      </c>
      <c r="E94" s="1980" t="s">
        <v>936</v>
      </c>
      <c r="F94" s="1962">
        <v>-386.78746999999998</v>
      </c>
      <c r="G94" s="1962">
        <v>0</v>
      </c>
      <c r="H94" s="1962">
        <v>0</v>
      </c>
      <c r="I94" s="1962">
        <v>0</v>
      </c>
      <c r="T94" s="2230"/>
      <c r="U94" s="2230"/>
      <c r="V94" s="2230"/>
    </row>
    <row r="95" spans="1:22" hidden="1" outlineLevel="2" x14ac:dyDescent="0.2">
      <c r="A95" s="1980" t="s">
        <v>2855</v>
      </c>
      <c r="B95" s="1980" t="s">
        <v>2856</v>
      </c>
      <c r="C95" s="1980" t="s">
        <v>2875</v>
      </c>
      <c r="D95" s="1980" t="s">
        <v>2876</v>
      </c>
      <c r="E95" s="1980" t="s">
        <v>936</v>
      </c>
      <c r="F95" s="1962">
        <v>-28149.138869999999</v>
      </c>
      <c r="G95" s="1962">
        <v>0</v>
      </c>
      <c r="H95" s="1962">
        <v>0</v>
      </c>
      <c r="I95" s="1962">
        <v>0</v>
      </c>
      <c r="T95" s="2230"/>
      <c r="U95" s="2230"/>
      <c r="V95" s="2230"/>
    </row>
    <row r="96" spans="1:22" ht="13.5" outlineLevel="1" collapsed="1" thickBot="1" x14ac:dyDescent="0.25">
      <c r="A96" s="1981" t="s">
        <v>2877</v>
      </c>
      <c r="B96" s="1981"/>
      <c r="C96" s="1981"/>
      <c r="D96" s="1981"/>
      <c r="E96" s="1981"/>
      <c r="F96" s="1965">
        <f>SUBTOTAL(9,F86:F95)</f>
        <v>-894.60014999999839</v>
      </c>
      <c r="G96" s="1965">
        <f t="shared" ref="G96:I96" si="6">SUBTOTAL(9,G86:G95)</f>
        <v>28149.138869999999</v>
      </c>
      <c r="H96" s="1965">
        <f t="shared" si="6"/>
        <v>386.78746999999998</v>
      </c>
      <c r="I96" s="1965">
        <f t="shared" si="6"/>
        <v>-894.60014999999999</v>
      </c>
      <c r="T96" s="2230"/>
      <c r="U96" s="2230"/>
      <c r="V96" s="2230"/>
    </row>
    <row r="97" spans="1:22" hidden="1" outlineLevel="2" x14ac:dyDescent="0.2">
      <c r="A97" s="1980" t="s">
        <v>2878</v>
      </c>
      <c r="B97" s="1980" t="s">
        <v>2879</v>
      </c>
      <c r="C97" s="1980" t="s">
        <v>2880</v>
      </c>
      <c r="D97" s="1980" t="s">
        <v>2881</v>
      </c>
      <c r="E97" s="1980" t="s">
        <v>936</v>
      </c>
      <c r="F97" s="1962">
        <v>10797</v>
      </c>
      <c r="G97" s="1962">
        <v>0</v>
      </c>
      <c r="H97" s="1962">
        <v>0</v>
      </c>
      <c r="I97" s="1962">
        <v>0</v>
      </c>
      <c r="T97" s="2230"/>
      <c r="U97" s="2230"/>
      <c r="V97" s="2230"/>
    </row>
    <row r="98" spans="1:22" hidden="1" outlineLevel="2" x14ac:dyDescent="0.2">
      <c r="A98" s="1980" t="s">
        <v>2878</v>
      </c>
      <c r="B98" s="1980" t="s">
        <v>2879</v>
      </c>
      <c r="C98" s="1980" t="s">
        <v>2882</v>
      </c>
      <c r="D98" s="1980" t="s">
        <v>2883</v>
      </c>
      <c r="E98" s="1980" t="s">
        <v>913</v>
      </c>
      <c r="F98" s="1962">
        <v>-10797</v>
      </c>
      <c r="G98" s="1962">
        <v>-3020.3299969952609</v>
      </c>
      <c r="H98" s="1962">
        <v>-805.98828307562189</v>
      </c>
      <c r="I98" s="1962">
        <v>-575.83085581688636</v>
      </c>
      <c r="T98" s="2230"/>
      <c r="U98" s="2230"/>
      <c r="V98" s="2230"/>
    </row>
    <row r="99" spans="1:22" ht="13.5" outlineLevel="1" collapsed="1" thickBot="1" x14ac:dyDescent="0.25">
      <c r="A99" s="1981" t="s">
        <v>2884</v>
      </c>
      <c r="B99" s="1981"/>
      <c r="C99" s="1981"/>
      <c r="D99" s="1981"/>
      <c r="E99" s="1981"/>
      <c r="F99" s="1965">
        <f>SUBTOTAL(9,F97:F98)</f>
        <v>0</v>
      </c>
      <c r="G99" s="1965">
        <f t="shared" ref="G99:I99" si="7">SUBTOTAL(9,G97:G98)</f>
        <v>-3020.3299969952609</v>
      </c>
      <c r="H99" s="1965">
        <f t="shared" si="7"/>
        <v>-805.98828307562189</v>
      </c>
      <c r="I99" s="1965">
        <f t="shared" si="7"/>
        <v>-575.83085581688636</v>
      </c>
      <c r="T99" s="2230"/>
      <c r="U99" s="2230"/>
      <c r="V99" s="2230"/>
    </row>
    <row r="100" spans="1:22" hidden="1" outlineLevel="2" x14ac:dyDescent="0.2">
      <c r="A100" s="1980" t="s">
        <v>2885</v>
      </c>
      <c r="B100" s="1980" t="s">
        <v>2886</v>
      </c>
      <c r="C100" s="1980" t="s">
        <v>2887</v>
      </c>
      <c r="D100" s="1980" t="s">
        <v>2888</v>
      </c>
      <c r="E100" s="1980" t="s">
        <v>913</v>
      </c>
      <c r="F100" s="1962">
        <v>-11983.5851</v>
      </c>
      <c r="G100" s="1962">
        <v>-3352.2628090280127</v>
      </c>
      <c r="H100" s="1962">
        <v>-894.56600720937342</v>
      </c>
      <c r="I100" s="1962">
        <v>-639.11438954223286</v>
      </c>
      <c r="T100" s="2230"/>
      <c r="U100" s="2230"/>
      <c r="V100" s="2230"/>
    </row>
    <row r="101" spans="1:22" hidden="1" outlineLevel="2" x14ac:dyDescent="0.2">
      <c r="A101" s="1980" t="s">
        <v>2885</v>
      </c>
      <c r="B101" s="1980" t="s">
        <v>2886</v>
      </c>
      <c r="C101" s="1980" t="s">
        <v>2889</v>
      </c>
      <c r="D101" s="1980" t="s">
        <v>2890</v>
      </c>
      <c r="E101" s="1980" t="s">
        <v>913</v>
      </c>
      <c r="F101" s="1962">
        <v>-1723289.66818</v>
      </c>
      <c r="G101" s="1962">
        <v>-482069.41542243806</v>
      </c>
      <c r="H101" s="1962">
        <v>-128642.33406486583</v>
      </c>
      <c r="I101" s="1962">
        <v>-91907.322816383035</v>
      </c>
      <c r="T101" s="2230"/>
      <c r="U101" s="2230"/>
      <c r="V101" s="2230"/>
    </row>
    <row r="102" spans="1:22" hidden="1" outlineLevel="2" x14ac:dyDescent="0.2">
      <c r="A102" s="1980" t="s">
        <v>2885</v>
      </c>
      <c r="B102" s="1980" t="s">
        <v>2886</v>
      </c>
      <c r="C102" s="1980" t="s">
        <v>2891</v>
      </c>
      <c r="D102" s="1980" t="s">
        <v>2892</v>
      </c>
      <c r="E102" s="1980" t="s">
        <v>913</v>
      </c>
      <c r="F102" s="1962">
        <v>11983.5851</v>
      </c>
      <c r="G102" s="1962">
        <v>3352.2628090280127</v>
      </c>
      <c r="H102" s="1962">
        <v>894.56600720937342</v>
      </c>
      <c r="I102" s="1962">
        <v>639.11438954223286</v>
      </c>
      <c r="T102" s="2230"/>
      <c r="U102" s="2230"/>
      <c r="V102" s="2230"/>
    </row>
    <row r="103" spans="1:22" hidden="1" outlineLevel="2" x14ac:dyDescent="0.2">
      <c r="A103" s="1980" t="s">
        <v>2885</v>
      </c>
      <c r="B103" s="1980" t="s">
        <v>2886</v>
      </c>
      <c r="C103" s="1980" t="s">
        <v>2893</v>
      </c>
      <c r="D103" s="1980" t="s">
        <v>2894</v>
      </c>
      <c r="E103" s="1980" t="s">
        <v>936</v>
      </c>
      <c r="F103" s="1962">
        <v>4500</v>
      </c>
      <c r="G103" s="1962">
        <v>0</v>
      </c>
      <c r="H103" s="1962">
        <v>0</v>
      </c>
      <c r="I103" s="1962">
        <v>0</v>
      </c>
      <c r="T103" s="2230"/>
      <c r="U103" s="2230"/>
      <c r="V103" s="2230"/>
    </row>
    <row r="104" spans="1:22" ht="13.5" outlineLevel="1" collapsed="1" thickBot="1" x14ac:dyDescent="0.25">
      <c r="A104" s="1981" t="s">
        <v>2895</v>
      </c>
      <c r="B104" s="1981"/>
      <c r="C104" s="1981"/>
      <c r="D104" s="1981"/>
      <c r="E104" s="1981"/>
      <c r="F104" s="1965">
        <f>SUBTOTAL(9,F100:F103)</f>
        <v>-1718789.66818</v>
      </c>
      <c r="G104" s="1965">
        <f t="shared" ref="G104:I104" si="8">SUBTOTAL(9,G100:G103)</f>
        <v>-482069.41542243806</v>
      </c>
      <c r="H104" s="1965">
        <f t="shared" si="8"/>
        <v>-128642.33406486583</v>
      </c>
      <c r="I104" s="1965">
        <f t="shared" si="8"/>
        <v>-91907.322816383035</v>
      </c>
      <c r="T104" s="2230"/>
      <c r="U104" s="2230"/>
      <c r="V104" s="2230"/>
    </row>
    <row r="105" spans="1:22" hidden="1" outlineLevel="2" x14ac:dyDescent="0.2">
      <c r="A105" s="1980" t="s">
        <v>2896</v>
      </c>
      <c r="B105" s="1980" t="s">
        <v>2897</v>
      </c>
      <c r="C105" s="1980" t="s">
        <v>2898</v>
      </c>
      <c r="D105" s="1980" t="s">
        <v>2899</v>
      </c>
      <c r="E105" s="1980" t="s">
        <v>912</v>
      </c>
      <c r="F105" s="1962">
        <v>7192.5083000000004</v>
      </c>
      <c r="G105" s="1962">
        <v>7192.5083000000004</v>
      </c>
      <c r="H105" s="1962">
        <v>0</v>
      </c>
      <c r="I105" s="1962">
        <v>0</v>
      </c>
      <c r="T105" s="2230"/>
      <c r="U105" s="2230"/>
      <c r="V105" s="2230"/>
    </row>
    <row r="106" spans="1:22" hidden="1" outlineLevel="2" x14ac:dyDescent="0.2">
      <c r="A106" s="1980" t="s">
        <v>2896</v>
      </c>
      <c r="B106" s="1980" t="s">
        <v>2897</v>
      </c>
      <c r="C106" s="1980" t="s">
        <v>2900</v>
      </c>
      <c r="D106" s="1980" t="s">
        <v>2901</v>
      </c>
      <c r="E106" s="1980" t="s">
        <v>912</v>
      </c>
      <c r="F106" s="1962">
        <v>-9796.5349999999999</v>
      </c>
      <c r="G106" s="1962">
        <v>-9796.5349999999999</v>
      </c>
      <c r="H106" s="1962">
        <v>0</v>
      </c>
      <c r="I106" s="1962">
        <v>0</v>
      </c>
      <c r="T106" s="2230"/>
      <c r="U106" s="2230"/>
      <c r="V106" s="2230"/>
    </row>
    <row r="107" spans="1:22" ht="13.5" outlineLevel="1" collapsed="1" thickBot="1" x14ac:dyDescent="0.25">
      <c r="A107" s="1981" t="s">
        <v>2902</v>
      </c>
      <c r="B107" s="1981"/>
      <c r="C107" s="1981"/>
      <c r="D107" s="1981"/>
      <c r="E107" s="1981"/>
      <c r="F107" s="1965">
        <f>SUBTOTAL(9,F105:F106)</f>
        <v>-2604.0266999999994</v>
      </c>
      <c r="G107" s="1965">
        <f t="shared" ref="G107:I107" si="9">SUBTOTAL(9,G105:G106)</f>
        <v>-2604.0266999999994</v>
      </c>
      <c r="H107" s="1965">
        <f t="shared" si="9"/>
        <v>0</v>
      </c>
      <c r="I107" s="1965">
        <f t="shared" si="9"/>
        <v>0</v>
      </c>
      <c r="T107" s="2230"/>
      <c r="U107" s="2230"/>
      <c r="V107" s="2230"/>
    </row>
    <row r="108" spans="1:22" hidden="1" outlineLevel="2" x14ac:dyDescent="0.2">
      <c r="A108" s="1980" t="s">
        <v>2903</v>
      </c>
      <c r="B108" s="1980" t="s">
        <v>2904</v>
      </c>
      <c r="C108" s="1980" t="s">
        <v>2905</v>
      </c>
      <c r="D108" s="1980" t="s">
        <v>2906</v>
      </c>
      <c r="E108" s="1980" t="s">
        <v>913</v>
      </c>
      <c r="F108" s="1962">
        <v>498750</v>
      </c>
      <c r="G108" s="1962">
        <v>139519.27257584388</v>
      </c>
      <c r="H108" s="1962">
        <v>37231.328719455996</v>
      </c>
      <c r="I108" s="1962">
        <v>26599.577599210159</v>
      </c>
      <c r="T108" s="2230"/>
      <c r="U108" s="2230"/>
      <c r="V108" s="2230"/>
    </row>
    <row r="109" spans="1:22" hidden="1" outlineLevel="2" x14ac:dyDescent="0.2">
      <c r="A109" s="1980" t="s">
        <v>2903</v>
      </c>
      <c r="B109" s="1980" t="s">
        <v>2904</v>
      </c>
      <c r="C109" s="1980" t="s">
        <v>2907</v>
      </c>
      <c r="D109" s="1980" t="s">
        <v>2908</v>
      </c>
      <c r="E109" s="1980" t="s">
        <v>913</v>
      </c>
      <c r="F109" s="1962">
        <v>-350000</v>
      </c>
      <c r="G109" s="1962">
        <v>-97908.261456732551</v>
      </c>
      <c r="H109" s="1962">
        <v>-26127.24822417965</v>
      </c>
      <c r="I109" s="1962">
        <v>-18666.370245059763</v>
      </c>
      <c r="T109" s="2230"/>
      <c r="U109" s="2230"/>
      <c r="V109" s="2230"/>
    </row>
    <row r="110" spans="1:22" ht="13.5" outlineLevel="1" collapsed="1" thickBot="1" x14ac:dyDescent="0.25">
      <c r="A110" s="1981" t="s">
        <v>2909</v>
      </c>
      <c r="B110" s="1981"/>
      <c r="C110" s="1981"/>
      <c r="D110" s="1981"/>
      <c r="E110" s="1981"/>
      <c r="F110" s="1965">
        <f>SUBTOTAL(9,F108:F109)</f>
        <v>148750</v>
      </c>
      <c r="G110" s="1965">
        <f t="shared" ref="G110:I110" si="10">SUBTOTAL(9,G108:G109)</f>
        <v>41611.011119111325</v>
      </c>
      <c r="H110" s="1965">
        <f t="shared" si="10"/>
        <v>11104.080495276346</v>
      </c>
      <c r="I110" s="1965">
        <f t="shared" si="10"/>
        <v>7933.207354150396</v>
      </c>
      <c r="T110" s="2230"/>
      <c r="U110" s="2230"/>
      <c r="V110" s="2230"/>
    </row>
    <row r="111" spans="1:22" hidden="1" outlineLevel="2" x14ac:dyDescent="0.2">
      <c r="A111" s="1980" t="s">
        <v>2910</v>
      </c>
      <c r="B111" s="1980" t="s">
        <v>2911</v>
      </c>
      <c r="C111" s="1980" t="s">
        <v>2912</v>
      </c>
      <c r="D111" s="1980" t="s">
        <v>2913</v>
      </c>
      <c r="E111" s="1980" t="s">
        <v>913</v>
      </c>
      <c r="F111" s="1962">
        <v>-1000.189</v>
      </c>
      <c r="G111" s="1962">
        <v>-279.79076033756536</v>
      </c>
      <c r="H111" s="1962">
        <v>-74.66338935455434</v>
      </c>
      <c r="I111" s="1962">
        <v>-53.342566254388792</v>
      </c>
      <c r="T111" s="2230"/>
      <c r="U111" s="2230"/>
      <c r="V111" s="2230"/>
    </row>
    <row r="112" spans="1:22" ht="13.5" outlineLevel="1" collapsed="1" thickBot="1" x14ac:dyDescent="0.25">
      <c r="A112" s="1981" t="s">
        <v>2914</v>
      </c>
      <c r="B112" s="1981"/>
      <c r="C112" s="1981"/>
      <c r="D112" s="1981"/>
      <c r="E112" s="1981"/>
      <c r="F112" s="1965">
        <f t="shared" ref="F112:I112" si="11">SUBTOTAL(9,F111)</f>
        <v>-1000.189</v>
      </c>
      <c r="G112" s="1965">
        <f t="shared" si="11"/>
        <v>-279.79076033756536</v>
      </c>
      <c r="H112" s="1965">
        <f t="shared" si="11"/>
        <v>-74.66338935455434</v>
      </c>
      <c r="I112" s="1965">
        <f t="shared" si="11"/>
        <v>-53.342566254388792</v>
      </c>
      <c r="T112" s="2230"/>
      <c r="U112" s="2230"/>
      <c r="V112" s="2230"/>
    </row>
    <row r="113" spans="1:22" hidden="1" outlineLevel="2" x14ac:dyDescent="0.2">
      <c r="A113" s="1980" t="s">
        <v>2915</v>
      </c>
      <c r="B113" s="1980" t="s">
        <v>2916</v>
      </c>
      <c r="C113" s="1980" t="s">
        <v>2917</v>
      </c>
      <c r="D113" s="1980" t="s">
        <v>2918</v>
      </c>
      <c r="E113" s="1980" t="s">
        <v>913</v>
      </c>
      <c r="F113" s="1962">
        <v>145.46616</v>
      </c>
      <c r="G113" s="1962">
        <v>40.692396646819688</v>
      </c>
      <c r="H113" s="1962">
        <v>10.858944201537808</v>
      </c>
      <c r="I113" s="1962">
        <v>7.7580720019631499</v>
      </c>
      <c r="T113" s="2230"/>
      <c r="U113" s="2230"/>
      <c r="V113" s="2230"/>
    </row>
    <row r="114" spans="1:22" ht="13.5" outlineLevel="1" collapsed="1" thickBot="1" x14ac:dyDescent="0.25">
      <c r="A114" s="1981" t="s">
        <v>2919</v>
      </c>
      <c r="B114" s="1981"/>
      <c r="C114" s="1981"/>
      <c r="D114" s="1981"/>
      <c r="E114" s="1981"/>
      <c r="F114" s="1965">
        <f t="shared" ref="F114:I114" si="12">SUBTOTAL(9,F113)</f>
        <v>145.46616</v>
      </c>
      <c r="G114" s="1965">
        <f t="shared" si="12"/>
        <v>40.692396646819688</v>
      </c>
      <c r="H114" s="1965">
        <f t="shared" si="12"/>
        <v>10.858944201537808</v>
      </c>
      <c r="I114" s="1965">
        <f t="shared" si="12"/>
        <v>7.7580720019631499</v>
      </c>
      <c r="T114" s="2230"/>
      <c r="U114" s="2230"/>
      <c r="V114" s="2230"/>
    </row>
    <row r="115" spans="1:22" hidden="1" outlineLevel="2" x14ac:dyDescent="0.2">
      <c r="A115" s="1980" t="s">
        <v>2920</v>
      </c>
      <c r="B115" s="1980" t="s">
        <v>2921</v>
      </c>
      <c r="C115" s="1980" t="s">
        <v>2922</v>
      </c>
      <c r="D115" s="1980" t="s">
        <v>2923</v>
      </c>
      <c r="E115" s="1980" t="s">
        <v>1083</v>
      </c>
      <c r="F115" s="1962">
        <v>-234.88849999999999</v>
      </c>
      <c r="G115" s="1962">
        <v>-63.640437392382665</v>
      </c>
      <c r="H115" s="1962">
        <v>-17.893591938115637</v>
      </c>
      <c r="I115" s="1962">
        <v>-12.716008714609234</v>
      </c>
      <c r="T115" s="2230"/>
      <c r="U115" s="2230"/>
      <c r="V115" s="2230"/>
    </row>
    <row r="116" spans="1:22" ht="13.5" outlineLevel="1" collapsed="1" thickBot="1" x14ac:dyDescent="0.25">
      <c r="A116" s="1981" t="s">
        <v>2924</v>
      </c>
      <c r="B116" s="1981"/>
      <c r="C116" s="1981"/>
      <c r="D116" s="1981"/>
      <c r="E116" s="1981"/>
      <c r="F116" s="1965">
        <f t="shared" ref="F116:I116" si="13">SUBTOTAL(9,F115)</f>
        <v>-234.88849999999999</v>
      </c>
      <c r="G116" s="1965">
        <f t="shared" si="13"/>
        <v>-63.640437392382665</v>
      </c>
      <c r="H116" s="1965">
        <f t="shared" si="13"/>
        <v>-17.893591938115637</v>
      </c>
      <c r="I116" s="1965">
        <f t="shared" si="13"/>
        <v>-12.716008714609234</v>
      </c>
      <c r="T116" s="2230"/>
      <c r="U116" s="2230"/>
      <c r="V116" s="2230"/>
    </row>
    <row r="117" spans="1:22" hidden="1" outlineLevel="2" x14ac:dyDescent="0.2">
      <c r="A117" s="1980" t="s">
        <v>2925</v>
      </c>
      <c r="B117" s="1980" t="s">
        <v>2926</v>
      </c>
      <c r="C117" s="1980" t="s">
        <v>2927</v>
      </c>
      <c r="D117" s="1980" t="s">
        <v>2928</v>
      </c>
      <c r="E117" s="1980" t="s">
        <v>2929</v>
      </c>
      <c r="F117" s="1962">
        <v>-6977.6261199999999</v>
      </c>
      <c r="G117" s="1962">
        <v>-1874.8375272561841</v>
      </c>
      <c r="H117" s="1962">
        <v>-525.60273814064453</v>
      </c>
      <c r="I117" s="1962">
        <v>-383.82443579382334</v>
      </c>
      <c r="T117" s="2230"/>
      <c r="U117" s="2230"/>
      <c r="V117" s="2230"/>
    </row>
    <row r="118" spans="1:22" ht="13.5" outlineLevel="1" collapsed="1" thickBot="1" x14ac:dyDescent="0.25">
      <c r="A118" s="1981" t="s">
        <v>2930</v>
      </c>
      <c r="B118" s="1981"/>
      <c r="C118" s="1981"/>
      <c r="D118" s="1981"/>
      <c r="E118" s="1981"/>
      <c r="F118" s="1965">
        <f t="shared" ref="F118:I118" si="14">SUBTOTAL(9,F117)</f>
        <v>-6977.6261199999999</v>
      </c>
      <c r="G118" s="1965">
        <f t="shared" si="14"/>
        <v>-1874.8375272561841</v>
      </c>
      <c r="H118" s="1965">
        <f t="shared" si="14"/>
        <v>-525.60273814064453</v>
      </c>
      <c r="I118" s="1965">
        <f t="shared" si="14"/>
        <v>-383.82443579382334</v>
      </c>
      <c r="T118" s="2230"/>
      <c r="U118" s="2230"/>
      <c r="V118" s="2230"/>
    </row>
    <row r="119" spans="1:22" outlineLevel="2" x14ac:dyDescent="0.2">
      <c r="A119" s="1980" t="s">
        <v>2931</v>
      </c>
      <c r="B119" s="1980" t="s">
        <v>2932</v>
      </c>
      <c r="C119" s="1980" t="s">
        <v>2933</v>
      </c>
      <c r="D119" s="1980" t="s">
        <v>2934</v>
      </c>
      <c r="E119" s="1980" t="s">
        <v>918</v>
      </c>
      <c r="F119" s="1962">
        <v>-325.82008999999999</v>
      </c>
      <c r="G119" s="1962">
        <v>0</v>
      </c>
      <c r="H119" s="1962">
        <v>0</v>
      </c>
      <c r="I119" s="1962">
        <v>0</v>
      </c>
      <c r="S119" s="2229" t="s">
        <v>392</v>
      </c>
      <c r="T119" s="2230">
        <f t="shared" ref="T119:T124" si="15">IF($S119="PTD",$F119*L$232,IF($S119="PROD",$F119*L$233,IF($S119="TRANS",$F119*L$234,IF($S119="DIST",$F119*L$235,IF($S119="LABOR",$F119*L$236,IF($S119="TD",$F119*L$237))))))</f>
        <v>0</v>
      </c>
      <c r="U119" s="2230">
        <f t="shared" ref="U119:U124" si="16">IF($S119="PTD",$F119*M$232,IF($S119="PROD",$F119*M$233,IF($S119="TRANS",$F119*M$234,IF($S119="DIST",$F119*M$235,IF($S119="LABOR",$F119*M$236,IF($S119="TD",$F119*M$237))))))</f>
        <v>0</v>
      </c>
      <c r="V119" s="2230">
        <f t="shared" ref="V119:V124" si="17">IF($S119="PTD",$F119*N$232,IF($S119="PROD",$F119*N$233,IF($S119="TRANS",$F119*N$234,IF($S119="DIST",$F119*N$235,IF($S119="LABOR",$F119*N$236,IF($S119="TD",$F119*N$237))))))</f>
        <v>-325.82008999999999</v>
      </c>
    </row>
    <row r="120" spans="1:22" outlineLevel="2" x14ac:dyDescent="0.2">
      <c r="A120" s="1980" t="s">
        <v>2931</v>
      </c>
      <c r="B120" s="1980" t="s">
        <v>2932</v>
      </c>
      <c r="C120" s="1980" t="s">
        <v>2933</v>
      </c>
      <c r="D120" s="1980" t="s">
        <v>2934</v>
      </c>
      <c r="E120" s="1980" t="s">
        <v>919</v>
      </c>
      <c r="F120" s="1962">
        <v>-63.340670000000003</v>
      </c>
      <c r="G120" s="1962">
        <v>0</v>
      </c>
      <c r="H120" s="1962">
        <v>0</v>
      </c>
      <c r="I120" s="1962">
        <v>-63.340670000000003</v>
      </c>
      <c r="S120" s="2229" t="s">
        <v>392</v>
      </c>
      <c r="T120" s="2230">
        <f t="shared" si="15"/>
        <v>0</v>
      </c>
      <c r="U120" s="2230">
        <f t="shared" si="16"/>
        <v>0</v>
      </c>
      <c r="V120" s="2230">
        <f t="shared" si="17"/>
        <v>-63.340670000000003</v>
      </c>
    </row>
    <row r="121" spans="1:22" outlineLevel="2" x14ac:dyDescent="0.2">
      <c r="A121" s="1980" t="s">
        <v>2931</v>
      </c>
      <c r="B121" s="1980" t="s">
        <v>2932</v>
      </c>
      <c r="C121" s="1980" t="s">
        <v>2933</v>
      </c>
      <c r="D121" s="1980" t="s">
        <v>2934</v>
      </c>
      <c r="E121" s="1980" t="s">
        <v>912</v>
      </c>
      <c r="F121" s="1962">
        <v>-2260.7525700000001</v>
      </c>
      <c r="G121" s="1962">
        <v>-2260.7525700000001</v>
      </c>
      <c r="H121" s="1962">
        <v>0</v>
      </c>
      <c r="I121" s="1962">
        <v>0</v>
      </c>
      <c r="S121" s="2229" t="s">
        <v>392</v>
      </c>
      <c r="T121" s="2230">
        <f t="shared" si="15"/>
        <v>0</v>
      </c>
      <c r="U121" s="2230">
        <f t="shared" si="16"/>
        <v>0</v>
      </c>
      <c r="V121" s="2230">
        <f t="shared" si="17"/>
        <v>-2260.7525700000001</v>
      </c>
    </row>
    <row r="122" spans="1:22" outlineLevel="2" x14ac:dyDescent="0.2">
      <c r="A122" s="1980" t="s">
        <v>2931</v>
      </c>
      <c r="B122" s="1980" t="s">
        <v>2932</v>
      </c>
      <c r="C122" s="1980" t="s">
        <v>2933</v>
      </c>
      <c r="D122" s="1980" t="s">
        <v>2934</v>
      </c>
      <c r="E122" s="1980" t="s">
        <v>920</v>
      </c>
      <c r="F122" s="1962">
        <v>-1201.4027900000001</v>
      </c>
      <c r="G122" s="1962">
        <v>0</v>
      </c>
      <c r="H122" s="1962">
        <v>0</v>
      </c>
      <c r="I122" s="1962">
        <v>0</v>
      </c>
      <c r="S122" s="2229" t="s">
        <v>392</v>
      </c>
      <c r="T122" s="2230">
        <f t="shared" si="15"/>
        <v>0</v>
      </c>
      <c r="U122" s="2230">
        <f t="shared" si="16"/>
        <v>0</v>
      </c>
      <c r="V122" s="2230">
        <f t="shared" si="17"/>
        <v>-1201.4027900000001</v>
      </c>
    </row>
    <row r="123" spans="1:22" outlineLevel="2" x14ac:dyDescent="0.2">
      <c r="A123" s="1980" t="s">
        <v>2931</v>
      </c>
      <c r="B123" s="1980" t="s">
        <v>2932</v>
      </c>
      <c r="C123" s="1980" t="s">
        <v>2933</v>
      </c>
      <c r="D123" s="1980" t="s">
        <v>2934</v>
      </c>
      <c r="E123" s="1980" t="s">
        <v>921</v>
      </c>
      <c r="F123" s="1962">
        <v>-375.45006999999998</v>
      </c>
      <c r="G123" s="1962">
        <v>0</v>
      </c>
      <c r="H123" s="1962">
        <v>-375.45006999999998</v>
      </c>
      <c r="I123" s="1962">
        <v>0</v>
      </c>
      <c r="S123" s="2229" t="s">
        <v>392</v>
      </c>
      <c r="T123" s="2230">
        <f t="shared" si="15"/>
        <v>0</v>
      </c>
      <c r="U123" s="2230">
        <f t="shared" si="16"/>
        <v>0</v>
      </c>
      <c r="V123" s="2230">
        <f t="shared" si="17"/>
        <v>-375.45006999999998</v>
      </c>
    </row>
    <row r="124" spans="1:22" outlineLevel="2" x14ac:dyDescent="0.2">
      <c r="A124" s="1980" t="s">
        <v>2931</v>
      </c>
      <c r="B124" s="1980" t="s">
        <v>2932</v>
      </c>
      <c r="C124" s="1980" t="s">
        <v>2933</v>
      </c>
      <c r="D124" s="1980" t="s">
        <v>2934</v>
      </c>
      <c r="E124" s="1980" t="s">
        <v>922</v>
      </c>
      <c r="F124" s="1962">
        <v>-179.50584000000001</v>
      </c>
      <c r="G124" s="1962">
        <v>0</v>
      </c>
      <c r="H124" s="1962">
        <v>0</v>
      </c>
      <c r="I124" s="1962">
        <v>0</v>
      </c>
      <c r="S124" s="2229" t="s">
        <v>392</v>
      </c>
      <c r="T124" s="2230">
        <f t="shared" si="15"/>
        <v>0</v>
      </c>
      <c r="U124" s="2230">
        <f t="shared" si="16"/>
        <v>0</v>
      </c>
      <c r="V124" s="2230">
        <f t="shared" si="17"/>
        <v>-179.50584000000001</v>
      </c>
    </row>
    <row r="125" spans="1:22" ht="13.5" outlineLevel="1" thickBot="1" x14ac:dyDescent="0.25">
      <c r="A125" s="1981" t="s">
        <v>2935</v>
      </c>
      <c r="B125" s="1981"/>
      <c r="C125" s="1981"/>
      <c r="D125" s="1981"/>
      <c r="E125" s="1981"/>
      <c r="F125" s="1965">
        <f>SUBTOTAL(9,F119:F124)</f>
        <v>-4406.2720300000001</v>
      </c>
      <c r="G125" s="1965">
        <f t="shared" ref="G125:I125" si="18">SUBTOTAL(9,G119:G124)</f>
        <v>-2260.7525700000001</v>
      </c>
      <c r="H125" s="1965">
        <f t="shared" si="18"/>
        <v>-375.45006999999998</v>
      </c>
      <c r="I125" s="1965">
        <f t="shared" si="18"/>
        <v>-63.340670000000003</v>
      </c>
      <c r="T125" s="2230"/>
      <c r="U125" s="2230"/>
      <c r="V125" s="2230"/>
    </row>
    <row r="126" spans="1:22" outlineLevel="2" x14ac:dyDescent="0.2">
      <c r="A126" s="1980" t="s">
        <v>2936</v>
      </c>
      <c r="B126" s="1980" t="s">
        <v>2937</v>
      </c>
      <c r="C126" s="1980" t="s">
        <v>2938</v>
      </c>
      <c r="D126" s="1980" t="s">
        <v>2939</v>
      </c>
      <c r="E126" s="1980" t="s">
        <v>906</v>
      </c>
      <c r="F126" s="1962">
        <v>-79856.959340000001</v>
      </c>
      <c r="G126" s="1962">
        <v>-20632.804473666765</v>
      </c>
      <c r="H126" s="1962">
        <v>-5702.6734733101393</v>
      </c>
      <c r="I126" s="1962">
        <v>-4712.5460682089742</v>
      </c>
      <c r="S126" s="2229" t="s">
        <v>394</v>
      </c>
      <c r="T126" s="2230">
        <f>IF($S126="PTD",$F126*L$232,IF($S126="PROD",$F126*L$233,IF($S126="TRANS",$F126*L$234,IF($S126="DIST",$F126*L$235,IF($S126="LABOR",$F126*L$236,IF($S126="TD",$F126*L$237))))))</f>
        <v>-79856.959340000001</v>
      </c>
      <c r="U126" s="2230">
        <f>IF($S126="PTD",$F126*M$232,IF($S126="PROD",$F126*M$233,IF($S126="TRANS",$F126*M$234,IF($S126="DIST",$F126*M$235,IF($S126="LABOR",$F126*M$236,IF($S126="TD",$F126*M$237))))))</f>
        <v>0</v>
      </c>
      <c r="V126" s="2230">
        <f>IF($S126="PTD",$F126*N$232,IF($S126="PROD",$F126*N$233,IF($S126="TRANS",$F126*N$234,IF($S126="DIST",$F126*N$235,IF($S126="LABOR",$F126*N$236,IF($S126="TD",$F126*N$237))))))</f>
        <v>0</v>
      </c>
    </row>
    <row r="127" spans="1:22" ht="13.5" outlineLevel="1" thickBot="1" x14ac:dyDescent="0.25">
      <c r="A127" s="1981" t="s">
        <v>2940</v>
      </c>
      <c r="B127" s="1981"/>
      <c r="C127" s="1981"/>
      <c r="D127" s="1981"/>
      <c r="E127" s="1981"/>
      <c r="F127" s="1965">
        <f t="shared" ref="F127:I127" si="19">SUBTOTAL(9,F126)</f>
        <v>-79856.959340000001</v>
      </c>
      <c r="G127" s="1965">
        <f t="shared" si="19"/>
        <v>-20632.804473666765</v>
      </c>
      <c r="H127" s="1965">
        <f t="shared" si="19"/>
        <v>-5702.6734733101393</v>
      </c>
      <c r="I127" s="1965">
        <f t="shared" si="19"/>
        <v>-4712.5460682089742</v>
      </c>
      <c r="S127" s="2229"/>
      <c r="T127" s="2230"/>
      <c r="U127" s="2230"/>
      <c r="V127" s="2230"/>
    </row>
    <row r="128" spans="1:22" outlineLevel="2" x14ac:dyDescent="0.2">
      <c r="A128" s="1980" t="s">
        <v>2941</v>
      </c>
      <c r="B128" s="1980" t="s">
        <v>2942</v>
      </c>
      <c r="C128" s="1980" t="s">
        <v>904</v>
      </c>
      <c r="D128" s="1980" t="s">
        <v>2943</v>
      </c>
      <c r="E128" s="1980" t="s">
        <v>906</v>
      </c>
      <c r="F128" s="1962">
        <v>-5006.3024999999998</v>
      </c>
      <c r="G128" s="1962">
        <v>-1293.4885258871805</v>
      </c>
      <c r="H128" s="1962">
        <v>-357.50557875068012</v>
      </c>
      <c r="I128" s="1962">
        <v>-295.43362729592945</v>
      </c>
      <c r="S128" s="2229" t="s">
        <v>392</v>
      </c>
      <c r="T128" s="2230">
        <f t="shared" ref="T128:T139" si="20">IF($S128="PTD",$F128*L$232,IF($S128="PROD",$F128*L$233,IF($S128="TRANS",$F128*L$234,IF($S128="DIST",$F128*L$235,IF($S128="LABOR",$F128*L$236,IF($S128="TD",$F128*L$237))))))</f>
        <v>0</v>
      </c>
      <c r="U128" s="2230">
        <f t="shared" ref="U128:U139" si="21">IF($S128="PTD",$F128*M$232,IF($S128="PROD",$F128*M$233,IF($S128="TRANS",$F128*M$234,IF($S128="DIST",$F128*M$235,IF($S128="LABOR",$F128*M$236,IF($S128="TD",$F128*M$237))))))</f>
        <v>0</v>
      </c>
      <c r="V128" s="2230">
        <f t="shared" ref="V128:V139" si="22">IF($S128="PTD",$F128*N$232,IF($S128="PROD",$F128*N$233,IF($S128="TRANS",$F128*N$234,IF($S128="DIST",$F128*N$235,IF($S128="LABOR",$F128*N$236,IF($S128="TD",$F128*N$237))))))</f>
        <v>-5006.3024999999998</v>
      </c>
    </row>
    <row r="129" spans="1:22" outlineLevel="2" x14ac:dyDescent="0.2">
      <c r="A129" s="1980" t="s">
        <v>2941</v>
      </c>
      <c r="B129" s="1980" t="s">
        <v>2942</v>
      </c>
      <c r="C129" s="1980" t="s">
        <v>2944</v>
      </c>
      <c r="D129" s="1980" t="s">
        <v>2945</v>
      </c>
      <c r="E129" s="1980" t="s">
        <v>918</v>
      </c>
      <c r="F129" s="1962">
        <v>-19.100000000000001</v>
      </c>
      <c r="G129" s="1962">
        <v>0</v>
      </c>
      <c r="H129" s="1962">
        <v>0</v>
      </c>
      <c r="I129" s="1962">
        <v>0</v>
      </c>
      <c r="S129" s="2229" t="s">
        <v>392</v>
      </c>
      <c r="T129" s="2230">
        <f t="shared" si="20"/>
        <v>0</v>
      </c>
      <c r="U129" s="2230">
        <f t="shared" si="21"/>
        <v>0</v>
      </c>
      <c r="V129" s="2230">
        <f t="shared" si="22"/>
        <v>-19.100000000000001</v>
      </c>
    </row>
    <row r="130" spans="1:22" outlineLevel="2" x14ac:dyDescent="0.2">
      <c r="A130" s="1980" t="s">
        <v>2941</v>
      </c>
      <c r="B130" s="1980" t="s">
        <v>2942</v>
      </c>
      <c r="C130" s="1980" t="s">
        <v>2946</v>
      </c>
      <c r="D130" s="1980" t="s">
        <v>2947</v>
      </c>
      <c r="E130" s="1980" t="s">
        <v>913</v>
      </c>
      <c r="F130" s="1962">
        <v>-10564.734</v>
      </c>
      <c r="G130" s="1962">
        <v>-2955.3563962652343</v>
      </c>
      <c r="H130" s="1962">
        <v>-788.64979325837248</v>
      </c>
      <c r="I130" s="1962">
        <v>-563.44353252734629</v>
      </c>
      <c r="S130" s="2229" t="s">
        <v>99</v>
      </c>
      <c r="T130" s="2230">
        <f t="shared" si="20"/>
        <v>-4650.55516702978</v>
      </c>
      <c r="U130" s="2230">
        <f t="shared" si="21"/>
        <v>0</v>
      </c>
      <c r="V130" s="2230">
        <f t="shared" si="22"/>
        <v>-5914.1788329702194</v>
      </c>
    </row>
    <row r="131" spans="1:22" outlineLevel="2" x14ac:dyDescent="0.2">
      <c r="A131" s="1980" t="s">
        <v>2941</v>
      </c>
      <c r="B131" s="1980" t="s">
        <v>2942</v>
      </c>
      <c r="C131" s="1980" t="s">
        <v>2948</v>
      </c>
      <c r="D131" s="1980" t="s">
        <v>2949</v>
      </c>
      <c r="E131" s="1980" t="s">
        <v>906</v>
      </c>
      <c r="F131" s="1962">
        <v>-16102.400089999999</v>
      </c>
      <c r="G131" s="1962">
        <v>-4160.4097546362209</v>
      </c>
      <c r="H131" s="1962">
        <v>-1149.890136173444</v>
      </c>
      <c r="I131" s="1962">
        <v>-950.24031543419551</v>
      </c>
      <c r="S131" s="2229" t="s">
        <v>394</v>
      </c>
      <c r="T131" s="2230">
        <f t="shared" si="20"/>
        <v>-16102.400089999999</v>
      </c>
      <c r="U131" s="2230">
        <f t="shared" si="21"/>
        <v>0</v>
      </c>
      <c r="V131" s="2230">
        <f t="shared" si="22"/>
        <v>0</v>
      </c>
    </row>
    <row r="132" spans="1:22" outlineLevel="2" x14ac:dyDescent="0.2">
      <c r="A132" s="1980" t="s">
        <v>2941</v>
      </c>
      <c r="B132" s="1980" t="s">
        <v>2942</v>
      </c>
      <c r="C132" s="1980" t="s">
        <v>2950</v>
      </c>
      <c r="D132" s="1980" t="s">
        <v>2951</v>
      </c>
      <c r="E132" s="1980" t="s">
        <v>906</v>
      </c>
      <c r="F132" s="1962">
        <v>5006.3024999999998</v>
      </c>
      <c r="G132" s="1962">
        <v>1293.4885258871805</v>
      </c>
      <c r="H132" s="1962">
        <v>357.50557875068012</v>
      </c>
      <c r="I132" s="1962">
        <v>295.43362729592945</v>
      </c>
      <c r="S132" s="2229" t="s">
        <v>394</v>
      </c>
      <c r="T132" s="2230">
        <f t="shared" si="20"/>
        <v>5006.3024999999998</v>
      </c>
      <c r="U132" s="2230">
        <f t="shared" si="21"/>
        <v>0</v>
      </c>
      <c r="V132" s="2230">
        <f t="shared" si="22"/>
        <v>0</v>
      </c>
    </row>
    <row r="133" spans="1:22" outlineLevel="2" x14ac:dyDescent="0.2">
      <c r="A133" s="1980" t="s">
        <v>2941</v>
      </c>
      <c r="B133" s="1980" t="s">
        <v>2942</v>
      </c>
      <c r="C133" s="1980" t="s">
        <v>2952</v>
      </c>
      <c r="D133" s="1980" t="s">
        <v>2953</v>
      </c>
      <c r="E133" s="1980" t="s">
        <v>1083</v>
      </c>
      <c r="F133" s="1962">
        <v>-128.51195999999999</v>
      </c>
      <c r="G133" s="1962">
        <v>-34.818892132021723</v>
      </c>
      <c r="H133" s="1962">
        <v>-9.7899240337753408</v>
      </c>
      <c r="I133" s="1962">
        <v>-6.9571699052593603</v>
      </c>
      <c r="S133" s="2229" t="s">
        <v>393</v>
      </c>
      <c r="T133" s="2230">
        <f t="shared" si="20"/>
        <v>0</v>
      </c>
      <c r="U133" s="2230">
        <f t="shared" si="21"/>
        <v>0</v>
      </c>
      <c r="V133" s="2230">
        <f t="shared" si="22"/>
        <v>-128.51195999999999</v>
      </c>
    </row>
    <row r="134" spans="1:22" outlineLevel="2" x14ac:dyDescent="0.2">
      <c r="A134" s="1980" t="s">
        <v>2941</v>
      </c>
      <c r="B134" s="1980" t="s">
        <v>2942</v>
      </c>
      <c r="C134" s="1980" t="s">
        <v>2954</v>
      </c>
      <c r="D134" s="1980" t="s">
        <v>2955</v>
      </c>
      <c r="E134" s="1980" t="s">
        <v>1083</v>
      </c>
      <c r="F134" s="1962">
        <v>-4354.2467999999999</v>
      </c>
      <c r="G134" s="1962">
        <v>-1179.7349417548435</v>
      </c>
      <c r="H134" s="1962">
        <v>-331.70255434832188</v>
      </c>
      <c r="I134" s="1962">
        <v>-235.7230782024636</v>
      </c>
      <c r="S134" s="2229" t="s">
        <v>393</v>
      </c>
      <c r="T134" s="2230">
        <f t="shared" si="20"/>
        <v>0</v>
      </c>
      <c r="U134" s="2230">
        <f t="shared" si="21"/>
        <v>0</v>
      </c>
      <c r="V134" s="2230">
        <f t="shared" si="22"/>
        <v>-4354.2467999999999</v>
      </c>
    </row>
    <row r="135" spans="1:22" outlineLevel="2" x14ac:dyDescent="0.2">
      <c r="A135" s="1980" t="s">
        <v>2941</v>
      </c>
      <c r="B135" s="1980" t="s">
        <v>2942</v>
      </c>
      <c r="C135" s="1980" t="s">
        <v>2956</v>
      </c>
      <c r="D135" s="1980" t="s">
        <v>2957</v>
      </c>
      <c r="E135" s="1980" t="s">
        <v>1083</v>
      </c>
      <c r="F135" s="1962">
        <v>-45898.819130000003</v>
      </c>
      <c r="G135" s="1962">
        <v>-12435.776656699076</v>
      </c>
      <c r="H135" s="1962">
        <v>-3496.5302258458623</v>
      </c>
      <c r="I135" s="1962">
        <v>-2484.7950582823469</v>
      </c>
      <c r="S135" s="2229" t="s">
        <v>393</v>
      </c>
      <c r="T135" s="2230">
        <f t="shared" si="20"/>
        <v>0</v>
      </c>
      <c r="U135" s="2230">
        <f t="shared" si="21"/>
        <v>0</v>
      </c>
      <c r="V135" s="2230">
        <f t="shared" si="22"/>
        <v>-45898.819130000003</v>
      </c>
    </row>
    <row r="136" spans="1:22" outlineLevel="2" x14ac:dyDescent="0.2">
      <c r="A136" s="1980" t="s">
        <v>2941</v>
      </c>
      <c r="B136" s="1980" t="s">
        <v>2942</v>
      </c>
      <c r="C136" s="1980" t="s">
        <v>2958</v>
      </c>
      <c r="D136" s="1980" t="s">
        <v>2959</v>
      </c>
      <c r="E136" s="1980" t="s">
        <v>1083</v>
      </c>
      <c r="F136" s="1962">
        <v>-58082.806320000003</v>
      </c>
      <c r="G136" s="1962">
        <v>-15736.893033000119</v>
      </c>
      <c r="H136" s="1962">
        <v>-4424.6952699288559</v>
      </c>
      <c r="I136" s="1962">
        <v>-3144.3917915695333</v>
      </c>
      <c r="S136" s="2229" t="s">
        <v>393</v>
      </c>
      <c r="T136" s="2230">
        <f t="shared" si="20"/>
        <v>0</v>
      </c>
      <c r="U136" s="2230">
        <f t="shared" si="21"/>
        <v>0</v>
      </c>
      <c r="V136" s="2230">
        <f t="shared" si="22"/>
        <v>-58082.806320000003</v>
      </c>
    </row>
    <row r="137" spans="1:22" outlineLevel="2" x14ac:dyDescent="0.2">
      <c r="A137" s="1980" t="s">
        <v>2941</v>
      </c>
      <c r="B137" s="1980" t="s">
        <v>2942</v>
      </c>
      <c r="C137" s="1980" t="s">
        <v>2960</v>
      </c>
      <c r="D137" s="1980" t="s">
        <v>2961</v>
      </c>
      <c r="E137" s="1980" t="s">
        <v>1083</v>
      </c>
      <c r="F137" s="1962">
        <v>-125456.82</v>
      </c>
      <c r="G137" s="1962">
        <v>-33991.135788501444</v>
      </c>
      <c r="H137" s="1962">
        <v>-9557.1862519179303</v>
      </c>
      <c r="I137" s="1962">
        <v>-6791.7757422230643</v>
      </c>
      <c r="S137" s="2229" t="s">
        <v>393</v>
      </c>
      <c r="T137" s="2230">
        <f t="shared" si="20"/>
        <v>0</v>
      </c>
      <c r="U137" s="2230">
        <f t="shared" si="21"/>
        <v>0</v>
      </c>
      <c r="V137" s="2230">
        <f t="shared" si="22"/>
        <v>-125456.82</v>
      </c>
    </row>
    <row r="138" spans="1:22" outlineLevel="2" x14ac:dyDescent="0.2">
      <c r="A138" s="1980" t="s">
        <v>2941</v>
      </c>
      <c r="B138" s="1980" t="s">
        <v>2942</v>
      </c>
      <c r="C138" s="1980" t="s">
        <v>2962</v>
      </c>
      <c r="D138" s="1980" t="s">
        <v>2963</v>
      </c>
      <c r="E138" s="1980" t="s">
        <v>1083</v>
      </c>
      <c r="F138" s="1962">
        <v>-1850</v>
      </c>
      <c r="G138" s="1962">
        <v>-501.23700894640621</v>
      </c>
      <c r="H138" s="1962">
        <v>-140.9313145833616</v>
      </c>
      <c r="I138" s="1962">
        <v>-100.15226851049363</v>
      </c>
      <c r="S138" s="2229" t="s">
        <v>393</v>
      </c>
      <c r="T138" s="2230">
        <f t="shared" si="20"/>
        <v>0</v>
      </c>
      <c r="U138" s="2230">
        <f t="shared" si="21"/>
        <v>0</v>
      </c>
      <c r="V138" s="2230">
        <f t="shared" si="22"/>
        <v>-1850</v>
      </c>
    </row>
    <row r="139" spans="1:22" outlineLevel="2" x14ac:dyDescent="0.2">
      <c r="A139" s="1980" t="s">
        <v>2941</v>
      </c>
      <c r="B139" s="1980" t="s">
        <v>2942</v>
      </c>
      <c r="C139" s="1980" t="s">
        <v>2964</v>
      </c>
      <c r="D139" s="1980" t="s">
        <v>2965</v>
      </c>
      <c r="E139" s="1980" t="s">
        <v>1083</v>
      </c>
      <c r="F139" s="1962">
        <v>-2262.9997699999999</v>
      </c>
      <c r="G139" s="1962">
        <v>-613.1347221411919</v>
      </c>
      <c r="H139" s="1962">
        <v>-172.39326080429453</v>
      </c>
      <c r="I139" s="1962">
        <v>-122.51057329958125</v>
      </c>
      <c r="S139" s="2229" t="s">
        <v>393</v>
      </c>
      <c r="T139" s="2230">
        <f t="shared" si="20"/>
        <v>0</v>
      </c>
      <c r="U139" s="2230">
        <f t="shared" si="21"/>
        <v>0</v>
      </c>
      <c r="V139" s="2230">
        <f t="shared" si="22"/>
        <v>-2262.9997699999999</v>
      </c>
    </row>
    <row r="140" spans="1:22" ht="13.5" outlineLevel="1" thickBot="1" x14ac:dyDescent="0.25">
      <c r="A140" s="1981" t="s">
        <v>2966</v>
      </c>
      <c r="B140" s="1981"/>
      <c r="C140" s="1981"/>
      <c r="D140" s="1981"/>
      <c r="E140" s="1981"/>
      <c r="F140" s="1965">
        <f>SUBTOTAL(9,F128:F139)</f>
        <v>-264720.43807000003</v>
      </c>
      <c r="G140" s="1965">
        <f t="shared" ref="G140:I140" si="23">SUBTOTAL(9,G128:G139)</f>
        <v>-71608.497194076554</v>
      </c>
      <c r="H140" s="1965">
        <f t="shared" si="23"/>
        <v>-20071.768730894222</v>
      </c>
      <c r="I140" s="1965">
        <f t="shared" si="23"/>
        <v>-14399.989529954284</v>
      </c>
      <c r="S140" s="2229"/>
      <c r="T140" s="2230"/>
      <c r="U140" s="2230"/>
      <c r="V140" s="2230"/>
    </row>
    <row r="141" spans="1:22" outlineLevel="2" x14ac:dyDescent="0.2">
      <c r="A141" s="1980" t="s">
        <v>2967</v>
      </c>
      <c r="B141" s="1980" t="s">
        <v>2968</v>
      </c>
      <c r="C141" s="1980" t="s">
        <v>2969</v>
      </c>
      <c r="D141" s="1980" t="s">
        <v>2970</v>
      </c>
      <c r="E141" s="1980" t="s">
        <v>936</v>
      </c>
      <c r="F141" s="1962">
        <v>-9690.0915600000008</v>
      </c>
      <c r="G141" s="1962">
        <v>0</v>
      </c>
      <c r="H141" s="1962">
        <v>0</v>
      </c>
      <c r="I141" s="1962">
        <v>0</v>
      </c>
      <c r="S141" s="2229" t="s">
        <v>394</v>
      </c>
      <c r="T141" s="2230">
        <f t="shared" ref="T141:T204" si="24">IF($S141="PTD",$F141*L$232,IF($S141="PROD",$F141*L$233,IF($S141="TRANS",$F141*L$234,IF($S141="DIST",$F141*L$235,IF($S141="LABOR",$F141*L$236,IF($S141="TD",$F141*L$237))))))</f>
        <v>-9690.0915600000008</v>
      </c>
      <c r="U141" s="2230">
        <f t="shared" ref="U141:U204" si="25">IF($S141="PTD",$F141*M$232,IF($S141="PROD",$F141*M$233,IF($S141="TRANS",$F141*M$234,IF($S141="DIST",$F141*M$235,IF($S141="LABOR",$F141*M$236,IF($S141="TD",$F141*M$237))))))</f>
        <v>0</v>
      </c>
      <c r="V141" s="2230">
        <f t="shared" ref="V141:V204" si="26">IF($S141="PTD",$F141*N$232,IF($S141="PROD",$F141*N$233,IF($S141="TRANS",$F141*N$234,IF($S141="DIST",$F141*N$235,IF($S141="LABOR",$F141*N$236,IF($S141="TD",$F141*N$237))))))</f>
        <v>0</v>
      </c>
    </row>
    <row r="142" spans="1:22" outlineLevel="2" x14ac:dyDescent="0.2">
      <c r="A142" s="1980" t="s">
        <v>2967</v>
      </c>
      <c r="B142" s="1980" t="s">
        <v>2968</v>
      </c>
      <c r="C142" s="1980" t="s">
        <v>2971</v>
      </c>
      <c r="D142" s="1980" t="s">
        <v>2972</v>
      </c>
      <c r="E142" s="1980" t="s">
        <v>936</v>
      </c>
      <c r="F142" s="1962">
        <v>-803.77317000000005</v>
      </c>
      <c r="G142" s="1962">
        <v>0</v>
      </c>
      <c r="H142" s="1962">
        <v>0</v>
      </c>
      <c r="I142" s="1962">
        <v>0</v>
      </c>
      <c r="S142" s="2229" t="s">
        <v>394</v>
      </c>
      <c r="T142" s="2230">
        <f t="shared" si="24"/>
        <v>-803.77317000000005</v>
      </c>
      <c r="U142" s="2230">
        <f t="shared" si="25"/>
        <v>0</v>
      </c>
      <c r="V142" s="2230">
        <f t="shared" si="26"/>
        <v>0</v>
      </c>
    </row>
    <row r="143" spans="1:22" outlineLevel="2" x14ac:dyDescent="0.2">
      <c r="A143" s="1980" t="s">
        <v>2967</v>
      </c>
      <c r="B143" s="1980" t="s">
        <v>2968</v>
      </c>
      <c r="C143" s="1980" t="s">
        <v>2973</v>
      </c>
      <c r="D143" s="1980" t="s">
        <v>2974</v>
      </c>
      <c r="E143" s="1980" t="s">
        <v>936</v>
      </c>
      <c r="F143" s="1962">
        <v>-10417.778920000001</v>
      </c>
      <c r="G143" s="1962">
        <v>0</v>
      </c>
      <c r="H143" s="1962">
        <v>0</v>
      </c>
      <c r="I143" s="1962">
        <v>0</v>
      </c>
      <c r="S143" s="2229" t="s">
        <v>394</v>
      </c>
      <c r="T143" s="2230">
        <f t="shared" si="24"/>
        <v>-10417.778920000001</v>
      </c>
      <c r="U143" s="2230">
        <f t="shared" si="25"/>
        <v>0</v>
      </c>
      <c r="V143" s="2230">
        <f t="shared" si="26"/>
        <v>0</v>
      </c>
    </row>
    <row r="144" spans="1:22" outlineLevel="2" x14ac:dyDescent="0.2">
      <c r="A144" s="1980" t="s">
        <v>2967</v>
      </c>
      <c r="B144" s="1980" t="s">
        <v>2968</v>
      </c>
      <c r="C144" s="1980" t="s">
        <v>2975</v>
      </c>
      <c r="D144" s="1980" t="s">
        <v>2976</v>
      </c>
      <c r="E144" s="1980" t="s">
        <v>936</v>
      </c>
      <c r="F144" s="1962">
        <v>-25698.976350000001</v>
      </c>
      <c r="G144" s="1962">
        <v>0</v>
      </c>
      <c r="H144" s="1962">
        <v>0</v>
      </c>
      <c r="I144" s="1962">
        <v>0</v>
      </c>
      <c r="S144" s="2229" t="s">
        <v>392</v>
      </c>
      <c r="T144" s="2230">
        <f t="shared" si="24"/>
        <v>0</v>
      </c>
      <c r="U144" s="2230">
        <f t="shared" si="25"/>
        <v>0</v>
      </c>
      <c r="V144" s="2230">
        <f t="shared" si="26"/>
        <v>-25698.976350000001</v>
      </c>
    </row>
    <row r="145" spans="1:23" outlineLevel="2" x14ac:dyDescent="0.2">
      <c r="A145" s="1980" t="s">
        <v>2967</v>
      </c>
      <c r="B145" s="1980" t="s">
        <v>2968</v>
      </c>
      <c r="C145" s="1980" t="s">
        <v>2977</v>
      </c>
      <c r="D145" s="1980" t="s">
        <v>2978</v>
      </c>
      <c r="E145" s="1980" t="s">
        <v>936</v>
      </c>
      <c r="F145" s="1962">
        <v>-23357.228790000001</v>
      </c>
      <c r="G145" s="1962">
        <v>0</v>
      </c>
      <c r="H145" s="1962">
        <v>0</v>
      </c>
      <c r="I145" s="1962">
        <v>0</v>
      </c>
      <c r="S145" s="2229" t="s">
        <v>99</v>
      </c>
      <c r="T145" s="2230">
        <f t="shared" si="24"/>
        <v>-10281.76204311734</v>
      </c>
      <c r="U145" s="2230">
        <f t="shared" si="25"/>
        <v>0</v>
      </c>
      <c r="V145" s="2230">
        <f t="shared" si="26"/>
        <v>-13075.466746882657</v>
      </c>
    </row>
    <row r="146" spans="1:23" outlineLevel="2" x14ac:dyDescent="0.2">
      <c r="A146" s="1980" t="s">
        <v>2967</v>
      </c>
      <c r="B146" s="1980" t="s">
        <v>2968</v>
      </c>
      <c r="C146" s="1980" t="s">
        <v>2979</v>
      </c>
      <c r="D146" s="1980" t="s">
        <v>2980</v>
      </c>
      <c r="E146" s="1980" t="s">
        <v>918</v>
      </c>
      <c r="F146" s="1962">
        <v>-2.5000000000000001E-4</v>
      </c>
      <c r="G146" s="1962">
        <v>0</v>
      </c>
      <c r="H146" s="1962">
        <v>0</v>
      </c>
      <c r="I146" s="1962">
        <v>0</v>
      </c>
      <c r="S146" s="2229"/>
      <c r="T146" s="2230"/>
      <c r="U146" s="2230"/>
      <c r="V146" s="2230"/>
    </row>
    <row r="147" spans="1:23" outlineLevel="2" x14ac:dyDescent="0.2">
      <c r="A147" s="1980" t="s">
        <v>2967</v>
      </c>
      <c r="B147" s="1980" t="s">
        <v>2968</v>
      </c>
      <c r="C147" s="1980" t="s">
        <v>2981</v>
      </c>
      <c r="D147" s="1980" t="s">
        <v>2982</v>
      </c>
      <c r="E147" s="1980" t="s">
        <v>921</v>
      </c>
      <c r="F147" s="1962">
        <v>-530.68205</v>
      </c>
      <c r="G147" s="1962">
        <v>0</v>
      </c>
      <c r="H147" s="1962">
        <v>-530.68205</v>
      </c>
      <c r="I147" s="1962">
        <v>0</v>
      </c>
      <c r="S147" s="2229" t="s">
        <v>392</v>
      </c>
      <c r="T147" s="2230">
        <f t="shared" si="24"/>
        <v>0</v>
      </c>
      <c r="U147" s="2230">
        <f t="shared" si="25"/>
        <v>0</v>
      </c>
      <c r="V147" s="2230">
        <f t="shared" si="26"/>
        <v>-530.68205</v>
      </c>
    </row>
    <row r="148" spans="1:23" outlineLevel="2" x14ac:dyDescent="0.2">
      <c r="A148" s="1980" t="s">
        <v>2967</v>
      </c>
      <c r="B148" s="1980" t="s">
        <v>2968</v>
      </c>
      <c r="C148" s="1980" t="s">
        <v>2983</v>
      </c>
      <c r="D148" s="1980" t="s">
        <v>2984</v>
      </c>
      <c r="E148" s="1980" t="s">
        <v>913</v>
      </c>
      <c r="F148" s="1962">
        <v>-41449.408000000003</v>
      </c>
      <c r="G148" s="1962">
        <v>-11594.969930545092</v>
      </c>
      <c r="H148" s="1962">
        <v>-3094.1684901751364</v>
      </c>
      <c r="I148" s="1962">
        <v>-2210.5999890472631</v>
      </c>
      <c r="S148" s="2229" t="s">
        <v>392</v>
      </c>
      <c r="T148" s="2230">
        <f t="shared" si="24"/>
        <v>0</v>
      </c>
      <c r="U148" s="2230">
        <f t="shared" si="25"/>
        <v>0</v>
      </c>
      <c r="V148" s="2230">
        <f t="shared" si="26"/>
        <v>-41449.408000000003</v>
      </c>
    </row>
    <row r="149" spans="1:23" outlineLevel="2" x14ac:dyDescent="0.2">
      <c r="A149" s="1980" t="s">
        <v>2967</v>
      </c>
      <c r="B149" s="1980" t="s">
        <v>2968</v>
      </c>
      <c r="C149" s="1980" t="s">
        <v>2985</v>
      </c>
      <c r="D149" s="1980" t="s">
        <v>2986</v>
      </c>
      <c r="E149" s="1980" t="s">
        <v>936</v>
      </c>
      <c r="F149" s="1962">
        <v>-3073.8868000000002</v>
      </c>
      <c r="G149" s="1962">
        <v>0</v>
      </c>
      <c r="H149" s="1962">
        <v>0</v>
      </c>
      <c r="I149" s="1962">
        <v>0</v>
      </c>
      <c r="S149" s="2229" t="s">
        <v>394</v>
      </c>
      <c r="T149" s="2230">
        <f t="shared" si="24"/>
        <v>-3073.8868000000002</v>
      </c>
      <c r="U149" s="2230">
        <f t="shared" si="25"/>
        <v>0</v>
      </c>
      <c r="V149" s="2230">
        <f t="shared" si="26"/>
        <v>0</v>
      </c>
    </row>
    <row r="150" spans="1:23" outlineLevel="2" x14ac:dyDescent="0.2">
      <c r="A150" s="1980" t="s">
        <v>2967</v>
      </c>
      <c r="B150" s="1980" t="s">
        <v>2968</v>
      </c>
      <c r="C150" s="1980" t="s">
        <v>2987</v>
      </c>
      <c r="D150" s="1980" t="s">
        <v>2988</v>
      </c>
      <c r="E150" s="1980" t="s">
        <v>936</v>
      </c>
      <c r="F150" s="1962">
        <v>-3782.8468400000002</v>
      </c>
      <c r="G150" s="1962">
        <v>0</v>
      </c>
      <c r="H150" s="1962">
        <v>0</v>
      </c>
      <c r="I150" s="1962">
        <v>0</v>
      </c>
      <c r="S150" s="2229" t="s">
        <v>394</v>
      </c>
      <c r="T150" s="2230">
        <f t="shared" si="24"/>
        <v>-3782.8468400000002</v>
      </c>
      <c r="U150" s="2230">
        <f t="shared" si="25"/>
        <v>0</v>
      </c>
      <c r="V150" s="2230">
        <f t="shared" si="26"/>
        <v>0</v>
      </c>
      <c r="W150" s="2201" t="s">
        <v>5587</v>
      </c>
    </row>
    <row r="151" spans="1:23" outlineLevel="2" x14ac:dyDescent="0.2">
      <c r="A151" s="1980" t="s">
        <v>2967</v>
      </c>
      <c r="B151" s="1980" t="s">
        <v>2968</v>
      </c>
      <c r="C151" s="1980" t="s">
        <v>2989</v>
      </c>
      <c r="D151" s="1980" t="s">
        <v>2990</v>
      </c>
      <c r="E151" s="1980" t="s">
        <v>936</v>
      </c>
      <c r="F151" s="1962">
        <v>-1498.8576700000001</v>
      </c>
      <c r="G151" s="1962">
        <v>0</v>
      </c>
      <c r="H151" s="1962">
        <v>0</v>
      </c>
      <c r="I151" s="1962">
        <v>0</v>
      </c>
      <c r="S151" s="2229" t="s">
        <v>394</v>
      </c>
      <c r="T151" s="2230">
        <f t="shared" si="24"/>
        <v>-1498.8576700000001</v>
      </c>
      <c r="U151" s="2230">
        <f t="shared" si="25"/>
        <v>0</v>
      </c>
      <c r="V151" s="2230">
        <f t="shared" si="26"/>
        <v>0</v>
      </c>
      <c r="W151" s="2201" t="s">
        <v>5587</v>
      </c>
    </row>
    <row r="152" spans="1:23" outlineLevel="2" x14ac:dyDescent="0.2">
      <c r="A152" s="1980" t="s">
        <v>2967</v>
      </c>
      <c r="B152" s="1980" t="s">
        <v>2968</v>
      </c>
      <c r="C152" s="1980" t="s">
        <v>2991</v>
      </c>
      <c r="D152" s="1980" t="s">
        <v>2992</v>
      </c>
      <c r="E152" s="1980" t="s">
        <v>936</v>
      </c>
      <c r="F152" s="1962">
        <v>4834.4549699999998</v>
      </c>
      <c r="G152" s="1962">
        <v>0</v>
      </c>
      <c r="H152" s="1962">
        <v>0</v>
      </c>
      <c r="I152" s="1962">
        <v>0</v>
      </c>
      <c r="S152" s="2229" t="s">
        <v>394</v>
      </c>
      <c r="T152" s="2230">
        <f t="shared" si="24"/>
        <v>4834.4549699999998</v>
      </c>
      <c r="U152" s="2230">
        <f t="shared" si="25"/>
        <v>0</v>
      </c>
      <c r="V152" s="2230">
        <f t="shared" si="26"/>
        <v>0</v>
      </c>
    </row>
    <row r="153" spans="1:23" outlineLevel="2" x14ac:dyDescent="0.2">
      <c r="A153" s="1980" t="s">
        <v>2967</v>
      </c>
      <c r="B153" s="1980" t="s">
        <v>2968</v>
      </c>
      <c r="C153" s="1980" t="s">
        <v>2993</v>
      </c>
      <c r="D153" s="1980" t="s">
        <v>2994</v>
      </c>
      <c r="E153" s="1980" t="s">
        <v>918</v>
      </c>
      <c r="F153" s="1962">
        <v>17.887060000000002</v>
      </c>
      <c r="G153" s="1962">
        <v>0</v>
      </c>
      <c r="H153" s="1962">
        <v>0</v>
      </c>
      <c r="I153" s="1962">
        <v>0</v>
      </c>
      <c r="S153" s="2229"/>
      <c r="T153" s="2230"/>
      <c r="U153" s="2230"/>
      <c r="V153" s="2230"/>
    </row>
    <row r="154" spans="1:23" outlineLevel="2" x14ac:dyDescent="0.2">
      <c r="A154" s="1980" t="s">
        <v>2967</v>
      </c>
      <c r="B154" s="1980" t="s">
        <v>2968</v>
      </c>
      <c r="C154" s="1980" t="s">
        <v>2995</v>
      </c>
      <c r="D154" s="1980" t="s">
        <v>2996</v>
      </c>
      <c r="E154" s="1980" t="s">
        <v>919</v>
      </c>
      <c r="F154" s="1962">
        <v>-2176.10151</v>
      </c>
      <c r="G154" s="1962">
        <v>0</v>
      </c>
      <c r="H154" s="1962">
        <v>0</v>
      </c>
      <c r="I154" s="1962">
        <v>-2176.10151</v>
      </c>
      <c r="S154" s="2229" t="s">
        <v>394</v>
      </c>
      <c r="T154" s="2230">
        <f t="shared" si="24"/>
        <v>-2176.10151</v>
      </c>
      <c r="U154" s="2230">
        <f t="shared" si="25"/>
        <v>0</v>
      </c>
      <c r="V154" s="2230">
        <f t="shared" si="26"/>
        <v>0</v>
      </c>
    </row>
    <row r="155" spans="1:23" outlineLevel="2" x14ac:dyDescent="0.2">
      <c r="A155" s="1980" t="s">
        <v>2967</v>
      </c>
      <c r="B155" s="1980" t="s">
        <v>2968</v>
      </c>
      <c r="C155" s="1980" t="s">
        <v>2997</v>
      </c>
      <c r="D155" s="1980" t="s">
        <v>2998</v>
      </c>
      <c r="E155" s="1980" t="s">
        <v>912</v>
      </c>
      <c r="F155" s="1962">
        <v>-6851.2603399999998</v>
      </c>
      <c r="G155" s="1962">
        <v>-6851.2603399999998</v>
      </c>
      <c r="H155" s="1962">
        <v>0</v>
      </c>
      <c r="I155" s="1962">
        <v>0</v>
      </c>
      <c r="S155" s="2229" t="s">
        <v>394</v>
      </c>
      <c r="T155" s="2230">
        <f t="shared" si="24"/>
        <v>-6851.2603399999998</v>
      </c>
      <c r="U155" s="2230">
        <f t="shared" si="25"/>
        <v>0</v>
      </c>
      <c r="V155" s="2230">
        <f t="shared" si="26"/>
        <v>0</v>
      </c>
    </row>
    <row r="156" spans="1:23" outlineLevel="2" x14ac:dyDescent="0.2">
      <c r="A156" s="1980" t="s">
        <v>2967</v>
      </c>
      <c r="B156" s="1980" t="s">
        <v>2968</v>
      </c>
      <c r="C156" s="1980" t="s">
        <v>2999</v>
      </c>
      <c r="D156" s="1980" t="s">
        <v>3000</v>
      </c>
      <c r="E156" s="1980" t="s">
        <v>920</v>
      </c>
      <c r="F156" s="1962">
        <v>-16500.768390000001</v>
      </c>
      <c r="G156" s="1962">
        <v>0</v>
      </c>
      <c r="H156" s="1962">
        <v>0</v>
      </c>
      <c r="I156" s="1962">
        <v>0</v>
      </c>
      <c r="S156" s="2229"/>
      <c r="T156" s="2230"/>
      <c r="U156" s="2230"/>
      <c r="V156" s="2230"/>
    </row>
    <row r="157" spans="1:23" outlineLevel="2" x14ac:dyDescent="0.2">
      <c r="A157" s="1980" t="s">
        <v>2967</v>
      </c>
      <c r="B157" s="1980" t="s">
        <v>2968</v>
      </c>
      <c r="C157" s="1980" t="s">
        <v>3001</v>
      </c>
      <c r="D157" s="1980" t="s">
        <v>3002</v>
      </c>
      <c r="E157" s="1980" t="s">
        <v>922</v>
      </c>
      <c r="F157" s="1962">
        <v>-233.17679999999999</v>
      </c>
      <c r="G157" s="1962">
        <v>0</v>
      </c>
      <c r="H157" s="1962">
        <v>0</v>
      </c>
      <c r="I157" s="1962">
        <v>0</v>
      </c>
      <c r="S157" s="2229"/>
      <c r="T157" s="2230"/>
      <c r="U157" s="2230"/>
      <c r="V157" s="2230"/>
    </row>
    <row r="158" spans="1:23" outlineLevel="2" x14ac:dyDescent="0.2">
      <c r="A158" s="1980" t="s">
        <v>2967</v>
      </c>
      <c r="B158" s="1980" t="s">
        <v>2968</v>
      </c>
      <c r="C158" s="1980" t="s">
        <v>3003</v>
      </c>
      <c r="D158" s="1980" t="s">
        <v>3004</v>
      </c>
      <c r="E158" s="1980" t="s">
        <v>936</v>
      </c>
      <c r="F158" s="1962">
        <v>-17.887060000000002</v>
      </c>
      <c r="G158" s="1962">
        <v>0</v>
      </c>
      <c r="H158" s="1962">
        <v>0</v>
      </c>
      <c r="I158" s="1962">
        <v>0</v>
      </c>
      <c r="S158" s="2229" t="s">
        <v>99</v>
      </c>
      <c r="T158" s="2230">
        <f t="shared" si="24"/>
        <v>-7.8738148358464777</v>
      </c>
      <c r="U158" s="2230">
        <f t="shared" si="25"/>
        <v>0</v>
      </c>
      <c r="V158" s="2230">
        <f t="shared" si="26"/>
        <v>-10.013245164153522</v>
      </c>
    </row>
    <row r="159" spans="1:23" outlineLevel="2" x14ac:dyDescent="0.2">
      <c r="A159" s="1980" t="s">
        <v>2967</v>
      </c>
      <c r="B159" s="1980" t="s">
        <v>2968</v>
      </c>
      <c r="C159" s="1980" t="s">
        <v>3005</v>
      </c>
      <c r="D159" s="1980" t="s">
        <v>3006</v>
      </c>
      <c r="E159" s="1980" t="s">
        <v>936</v>
      </c>
      <c r="F159" s="1962">
        <v>0.63827</v>
      </c>
      <c r="G159" s="1962">
        <v>0</v>
      </c>
      <c r="H159" s="1962">
        <v>0</v>
      </c>
      <c r="I159" s="1962">
        <v>0</v>
      </c>
      <c r="S159" s="2229" t="s">
        <v>99</v>
      </c>
      <c r="T159" s="2230">
        <f t="shared" si="24"/>
        <v>0.28096399270062999</v>
      </c>
      <c r="U159" s="2230">
        <f t="shared" si="25"/>
        <v>0</v>
      </c>
      <c r="V159" s="2230">
        <f t="shared" si="26"/>
        <v>0.35730600729936995</v>
      </c>
    </row>
    <row r="160" spans="1:23" outlineLevel="2" x14ac:dyDescent="0.2">
      <c r="A160" s="1980" t="s">
        <v>2967</v>
      </c>
      <c r="B160" s="1980" t="s">
        <v>2968</v>
      </c>
      <c r="C160" s="1980" t="s">
        <v>3007</v>
      </c>
      <c r="D160" s="1980" t="s">
        <v>3008</v>
      </c>
      <c r="E160" s="1980" t="s">
        <v>936</v>
      </c>
      <c r="F160" s="1962">
        <v>9690.0915600000008</v>
      </c>
      <c r="G160" s="1962">
        <v>0</v>
      </c>
      <c r="H160" s="1962">
        <v>0</v>
      </c>
      <c r="I160" s="1962">
        <v>0</v>
      </c>
      <c r="S160" s="2229" t="s">
        <v>394</v>
      </c>
      <c r="T160" s="2230">
        <f t="shared" si="24"/>
        <v>9690.0915600000008</v>
      </c>
      <c r="U160" s="2230">
        <f t="shared" si="25"/>
        <v>0</v>
      </c>
      <c r="V160" s="2230">
        <f t="shared" si="26"/>
        <v>0</v>
      </c>
    </row>
    <row r="161" spans="1:22" outlineLevel="2" x14ac:dyDescent="0.2">
      <c r="A161" s="1980" t="s">
        <v>2967</v>
      </c>
      <c r="B161" s="1980" t="s">
        <v>2968</v>
      </c>
      <c r="C161" s="1980" t="s">
        <v>3009</v>
      </c>
      <c r="D161" s="1980" t="s">
        <v>3010</v>
      </c>
      <c r="E161" s="1980" t="s">
        <v>936</v>
      </c>
      <c r="F161" s="1962">
        <v>-351.53332999999998</v>
      </c>
      <c r="G161" s="1962">
        <v>0</v>
      </c>
      <c r="H161" s="1962">
        <v>0</v>
      </c>
      <c r="I161" s="1962">
        <v>0</v>
      </c>
      <c r="S161" s="2229"/>
      <c r="T161" s="2230"/>
      <c r="U161" s="2230"/>
      <c r="V161" s="2230"/>
    </row>
    <row r="162" spans="1:22" outlineLevel="2" x14ac:dyDescent="0.2">
      <c r="A162" s="1980" t="s">
        <v>2967</v>
      </c>
      <c r="B162" s="1980" t="s">
        <v>2968</v>
      </c>
      <c r="C162" s="1980" t="s">
        <v>3011</v>
      </c>
      <c r="D162" s="1980" t="s">
        <v>3012</v>
      </c>
      <c r="E162" s="1980" t="s">
        <v>918</v>
      </c>
      <c r="F162" s="1962">
        <v>-261.77724999999998</v>
      </c>
      <c r="G162" s="1962">
        <v>0</v>
      </c>
      <c r="H162" s="1962">
        <v>0</v>
      </c>
      <c r="I162" s="1962">
        <v>0</v>
      </c>
      <c r="S162" s="2229"/>
      <c r="T162" s="2230"/>
      <c r="U162" s="2230"/>
      <c r="V162" s="2230"/>
    </row>
    <row r="163" spans="1:22" outlineLevel="2" x14ac:dyDescent="0.2">
      <c r="A163" s="1980" t="s">
        <v>2967</v>
      </c>
      <c r="B163" s="1980" t="s">
        <v>2968</v>
      </c>
      <c r="C163" s="1980" t="s">
        <v>3013</v>
      </c>
      <c r="D163" s="1980" t="s">
        <v>3014</v>
      </c>
      <c r="E163" s="1980" t="s">
        <v>936</v>
      </c>
      <c r="F163" s="1962">
        <v>-5944.2874300000003</v>
      </c>
      <c r="G163" s="1962">
        <v>0</v>
      </c>
      <c r="H163" s="1962">
        <v>0</v>
      </c>
      <c r="I163" s="1962">
        <v>0</v>
      </c>
      <c r="S163" s="2229" t="s">
        <v>394</v>
      </c>
      <c r="T163" s="2230">
        <f t="shared" si="24"/>
        <v>-5944.2874300000003</v>
      </c>
      <c r="U163" s="2230">
        <f t="shared" si="25"/>
        <v>0</v>
      </c>
      <c r="V163" s="2230">
        <f t="shared" si="26"/>
        <v>0</v>
      </c>
    </row>
    <row r="164" spans="1:22" outlineLevel="2" x14ac:dyDescent="0.2">
      <c r="A164" s="1980" t="s">
        <v>2967</v>
      </c>
      <c r="B164" s="1980" t="s">
        <v>2968</v>
      </c>
      <c r="C164" s="1980" t="s">
        <v>3015</v>
      </c>
      <c r="D164" s="1980" t="s">
        <v>3016</v>
      </c>
      <c r="E164" s="1980" t="s">
        <v>936</v>
      </c>
      <c r="F164" s="1962">
        <v>-1849.4497200000001</v>
      </c>
      <c r="G164" s="1962">
        <v>0</v>
      </c>
      <c r="H164" s="1962">
        <v>0</v>
      </c>
      <c r="I164" s="1962">
        <v>0</v>
      </c>
      <c r="S164" s="2229" t="s">
        <v>99</v>
      </c>
      <c r="T164" s="2230">
        <f t="shared" si="24"/>
        <v>-814.12063488846763</v>
      </c>
      <c r="U164" s="2230">
        <f t="shared" si="25"/>
        <v>0</v>
      </c>
      <c r="V164" s="2230">
        <f t="shared" si="26"/>
        <v>-1035.3290851115323</v>
      </c>
    </row>
    <row r="165" spans="1:22" outlineLevel="2" x14ac:dyDescent="0.2">
      <c r="A165" s="1980" t="s">
        <v>2967</v>
      </c>
      <c r="B165" s="1980" t="s">
        <v>2968</v>
      </c>
      <c r="C165" s="1980" t="s">
        <v>3017</v>
      </c>
      <c r="D165" s="1980" t="s">
        <v>3018</v>
      </c>
      <c r="E165" s="1980" t="s">
        <v>936</v>
      </c>
      <c r="F165" s="1962">
        <v>-294.34555999999998</v>
      </c>
      <c r="G165" s="1962">
        <v>0</v>
      </c>
      <c r="H165" s="1962">
        <v>0</v>
      </c>
      <c r="I165" s="1962">
        <v>0</v>
      </c>
      <c r="S165" s="2229" t="s">
        <v>394</v>
      </c>
      <c r="T165" s="2230">
        <f t="shared" si="24"/>
        <v>-294.34555999999998</v>
      </c>
      <c r="U165" s="2230">
        <f t="shared" si="25"/>
        <v>0</v>
      </c>
      <c r="V165" s="2230">
        <f t="shared" si="26"/>
        <v>0</v>
      </c>
    </row>
    <row r="166" spans="1:22" outlineLevel="2" x14ac:dyDescent="0.2">
      <c r="A166" s="1980" t="s">
        <v>2967</v>
      </c>
      <c r="B166" s="1980" t="s">
        <v>2968</v>
      </c>
      <c r="C166" s="1980" t="s">
        <v>3019</v>
      </c>
      <c r="D166" s="1980" t="s">
        <v>3020</v>
      </c>
      <c r="E166" s="1980" t="s">
        <v>918</v>
      </c>
      <c r="F166" s="1962">
        <v>2.98E-3</v>
      </c>
      <c r="G166" s="1962">
        <v>0</v>
      </c>
      <c r="H166" s="1962">
        <v>0</v>
      </c>
      <c r="I166" s="1962">
        <v>0</v>
      </c>
      <c r="S166" s="2229"/>
      <c r="T166" s="2230"/>
      <c r="U166" s="2230"/>
      <c r="V166" s="2230"/>
    </row>
    <row r="167" spans="1:22" outlineLevel="2" x14ac:dyDescent="0.2">
      <c r="A167" s="1980" t="s">
        <v>2967</v>
      </c>
      <c r="B167" s="1980" t="s">
        <v>2968</v>
      </c>
      <c r="C167" s="1980" t="s">
        <v>3021</v>
      </c>
      <c r="D167" s="1980" t="s">
        <v>3022</v>
      </c>
      <c r="E167" s="1980" t="s">
        <v>921</v>
      </c>
      <c r="F167" s="1962">
        <v>-10484.219300000001</v>
      </c>
      <c r="G167" s="1962">
        <v>0</v>
      </c>
      <c r="H167" s="1962">
        <v>-10484.219300000001</v>
      </c>
      <c r="I167" s="1962">
        <v>0</v>
      </c>
      <c r="S167" s="2229" t="s">
        <v>392</v>
      </c>
      <c r="T167" s="2230">
        <f t="shared" si="24"/>
        <v>0</v>
      </c>
      <c r="U167" s="2230">
        <f t="shared" si="25"/>
        <v>0</v>
      </c>
      <c r="V167" s="2230">
        <f t="shared" si="26"/>
        <v>-10484.219300000001</v>
      </c>
    </row>
    <row r="168" spans="1:22" outlineLevel="2" x14ac:dyDescent="0.2">
      <c r="A168" s="1980" t="s">
        <v>2967</v>
      </c>
      <c r="B168" s="1980" t="s">
        <v>2968</v>
      </c>
      <c r="C168" s="1980" t="s">
        <v>3023</v>
      </c>
      <c r="D168" s="1980" t="s">
        <v>3024</v>
      </c>
      <c r="E168" s="1980" t="s">
        <v>922</v>
      </c>
      <c r="F168" s="1962">
        <v>-8047.3720800000001</v>
      </c>
      <c r="G168" s="1962">
        <v>0</v>
      </c>
      <c r="H168" s="1962">
        <v>0</v>
      </c>
      <c r="I168" s="1962">
        <v>0</v>
      </c>
      <c r="S168" s="2229"/>
      <c r="T168" s="2230"/>
      <c r="U168" s="2230"/>
      <c r="V168" s="2230"/>
    </row>
    <row r="169" spans="1:22" outlineLevel="2" x14ac:dyDescent="0.2">
      <c r="A169" s="1980" t="s">
        <v>2967</v>
      </c>
      <c r="B169" s="1980" t="s">
        <v>2968</v>
      </c>
      <c r="C169" s="1980" t="s">
        <v>3025</v>
      </c>
      <c r="D169" s="1980" t="s">
        <v>3026</v>
      </c>
      <c r="E169" s="1980" t="s">
        <v>936</v>
      </c>
      <c r="F169" s="1962">
        <v>16514.200639999999</v>
      </c>
      <c r="G169" s="1962">
        <v>0</v>
      </c>
      <c r="H169" s="1962">
        <v>0</v>
      </c>
      <c r="I169" s="1962">
        <v>0</v>
      </c>
      <c r="S169" s="2229" t="s">
        <v>394</v>
      </c>
      <c r="T169" s="2230">
        <f t="shared" si="24"/>
        <v>16514.200639999999</v>
      </c>
      <c r="U169" s="2230">
        <f t="shared" si="25"/>
        <v>0</v>
      </c>
      <c r="V169" s="2230">
        <f t="shared" si="26"/>
        <v>0</v>
      </c>
    </row>
    <row r="170" spans="1:22" outlineLevel="2" x14ac:dyDescent="0.2">
      <c r="A170" s="1980" t="s">
        <v>2967</v>
      </c>
      <c r="B170" s="1980" t="s">
        <v>2968</v>
      </c>
      <c r="C170" s="1980" t="s">
        <v>3027</v>
      </c>
      <c r="D170" s="1980" t="s">
        <v>3028</v>
      </c>
      <c r="E170" s="1980" t="s">
        <v>936</v>
      </c>
      <c r="F170" s="1962">
        <v>72415.230410000004</v>
      </c>
      <c r="G170" s="1962">
        <v>0</v>
      </c>
      <c r="H170" s="1962">
        <v>0</v>
      </c>
      <c r="I170" s="1962">
        <v>0</v>
      </c>
      <c r="S170" s="2229" t="s">
        <v>394</v>
      </c>
      <c r="T170" s="2230">
        <f t="shared" si="24"/>
        <v>72415.230410000004</v>
      </c>
      <c r="U170" s="2230">
        <f t="shared" si="25"/>
        <v>0</v>
      </c>
      <c r="V170" s="2230">
        <f t="shared" si="26"/>
        <v>0</v>
      </c>
    </row>
    <row r="171" spans="1:22" outlineLevel="2" x14ac:dyDescent="0.2">
      <c r="A171" s="1980" t="s">
        <v>2967</v>
      </c>
      <c r="B171" s="1980" t="s">
        <v>2968</v>
      </c>
      <c r="C171" s="1980" t="s">
        <v>3029</v>
      </c>
      <c r="D171" s="1980" t="s">
        <v>3030</v>
      </c>
      <c r="E171" s="1980" t="s">
        <v>936</v>
      </c>
      <c r="F171" s="1962">
        <v>-3311.8214200000002</v>
      </c>
      <c r="G171" s="1962">
        <v>0</v>
      </c>
      <c r="H171" s="1962">
        <v>0</v>
      </c>
      <c r="I171" s="1962">
        <v>0</v>
      </c>
      <c r="S171" s="2229" t="s">
        <v>394</v>
      </c>
      <c r="T171" s="2230">
        <f t="shared" si="24"/>
        <v>-3311.8214200000002</v>
      </c>
      <c r="U171" s="2230">
        <f t="shared" si="25"/>
        <v>0</v>
      </c>
      <c r="V171" s="2230">
        <f t="shared" si="26"/>
        <v>0</v>
      </c>
    </row>
    <row r="172" spans="1:22" outlineLevel="2" x14ac:dyDescent="0.2">
      <c r="A172" s="1980" t="s">
        <v>2967</v>
      </c>
      <c r="B172" s="1980" t="s">
        <v>2968</v>
      </c>
      <c r="C172" s="1980" t="s">
        <v>3031</v>
      </c>
      <c r="D172" s="1980" t="s">
        <v>3032</v>
      </c>
      <c r="E172" s="1980" t="s">
        <v>936</v>
      </c>
      <c r="F172" s="1962">
        <v>516.55493999999999</v>
      </c>
      <c r="G172" s="1962">
        <v>0</v>
      </c>
      <c r="H172" s="1962">
        <v>0</v>
      </c>
      <c r="I172" s="1962">
        <v>0</v>
      </c>
      <c r="S172" s="2229" t="s">
        <v>394</v>
      </c>
      <c r="T172" s="2230">
        <f t="shared" si="24"/>
        <v>516.55493999999999</v>
      </c>
      <c r="U172" s="2230">
        <f t="shared" si="25"/>
        <v>0</v>
      </c>
      <c r="V172" s="2230">
        <f t="shared" si="26"/>
        <v>0</v>
      </c>
    </row>
    <row r="173" spans="1:22" outlineLevel="2" x14ac:dyDescent="0.2">
      <c r="A173" s="1980" t="s">
        <v>2967</v>
      </c>
      <c r="B173" s="1980" t="s">
        <v>2968</v>
      </c>
      <c r="C173" s="1980" t="s">
        <v>3033</v>
      </c>
      <c r="D173" s="1980" t="s">
        <v>3034</v>
      </c>
      <c r="E173" s="1980" t="s">
        <v>936</v>
      </c>
      <c r="F173" s="1962">
        <v>-5880.62619</v>
      </c>
      <c r="G173" s="1962">
        <v>0</v>
      </c>
      <c r="H173" s="1962">
        <v>0</v>
      </c>
      <c r="I173" s="1962">
        <v>0</v>
      </c>
      <c r="S173" s="2229" t="s">
        <v>392</v>
      </c>
      <c r="T173" s="2230">
        <f t="shared" si="24"/>
        <v>0</v>
      </c>
      <c r="U173" s="2230">
        <f t="shared" si="25"/>
        <v>0</v>
      </c>
      <c r="V173" s="2230">
        <f t="shared" si="26"/>
        <v>-5880.62619</v>
      </c>
    </row>
    <row r="174" spans="1:22" outlineLevel="2" x14ac:dyDescent="0.2">
      <c r="A174" s="1980" t="s">
        <v>2967</v>
      </c>
      <c r="B174" s="1980" t="s">
        <v>2968</v>
      </c>
      <c r="C174" s="1980" t="s">
        <v>3035</v>
      </c>
      <c r="D174" s="1980" t="s">
        <v>3036</v>
      </c>
      <c r="E174" s="1980" t="s">
        <v>936</v>
      </c>
      <c r="F174" s="1962">
        <v>-844.16291999999999</v>
      </c>
      <c r="G174" s="1962">
        <v>0</v>
      </c>
      <c r="H174" s="1962">
        <v>0</v>
      </c>
      <c r="I174" s="1962">
        <v>0</v>
      </c>
      <c r="S174" s="2229"/>
      <c r="T174" s="2230"/>
      <c r="U174" s="2230"/>
      <c r="V174" s="2230"/>
    </row>
    <row r="175" spans="1:22" outlineLevel="2" x14ac:dyDescent="0.2">
      <c r="A175" s="1980" t="s">
        <v>2967</v>
      </c>
      <c r="B175" s="1980" t="s">
        <v>2968</v>
      </c>
      <c r="C175" s="1980" t="s">
        <v>3037</v>
      </c>
      <c r="D175" s="1980" t="s">
        <v>3038</v>
      </c>
      <c r="E175" s="1980" t="s">
        <v>936</v>
      </c>
      <c r="F175" s="1962">
        <v>-646.23576000000003</v>
      </c>
      <c r="G175" s="1962">
        <v>0</v>
      </c>
      <c r="H175" s="1962">
        <v>0</v>
      </c>
      <c r="I175" s="1962">
        <v>0</v>
      </c>
      <c r="S175" s="2229" t="s">
        <v>394</v>
      </c>
      <c r="T175" s="2230">
        <f t="shared" si="24"/>
        <v>-646.23576000000003</v>
      </c>
      <c r="U175" s="2230">
        <f t="shared" si="25"/>
        <v>0</v>
      </c>
      <c r="V175" s="2230">
        <f t="shared" si="26"/>
        <v>0</v>
      </c>
    </row>
    <row r="176" spans="1:22" outlineLevel="2" x14ac:dyDescent="0.2">
      <c r="A176" s="1980" t="s">
        <v>2967</v>
      </c>
      <c r="B176" s="1980" t="s">
        <v>2968</v>
      </c>
      <c r="C176" s="1980" t="s">
        <v>3039</v>
      </c>
      <c r="D176" s="1980" t="s">
        <v>3040</v>
      </c>
      <c r="E176" s="1980" t="s">
        <v>936</v>
      </c>
      <c r="F176" s="1962">
        <v>-3576.50767</v>
      </c>
      <c r="G176" s="1962">
        <v>0</v>
      </c>
      <c r="H176" s="1962">
        <v>0</v>
      </c>
      <c r="I176" s="1962">
        <v>0</v>
      </c>
      <c r="S176" s="2229" t="s">
        <v>394</v>
      </c>
      <c r="T176" s="2230">
        <f t="shared" si="24"/>
        <v>-3576.50767</v>
      </c>
      <c r="U176" s="2230">
        <f t="shared" si="25"/>
        <v>0</v>
      </c>
      <c r="V176" s="2230">
        <f t="shared" si="26"/>
        <v>0</v>
      </c>
    </row>
    <row r="177" spans="1:23" outlineLevel="2" x14ac:dyDescent="0.2">
      <c r="A177" s="1980" t="s">
        <v>2967</v>
      </c>
      <c r="B177" s="1980" t="s">
        <v>2968</v>
      </c>
      <c r="C177" s="1980" t="s">
        <v>3041</v>
      </c>
      <c r="D177" s="1980" t="s">
        <v>3042</v>
      </c>
      <c r="E177" s="1980" t="s">
        <v>912</v>
      </c>
      <c r="F177" s="1962">
        <v>-10913.4804</v>
      </c>
      <c r="G177" s="1962">
        <v>-10913.4804</v>
      </c>
      <c r="H177" s="1962">
        <v>0</v>
      </c>
      <c r="I177" s="1962">
        <v>0</v>
      </c>
      <c r="S177" s="2229" t="s">
        <v>394</v>
      </c>
      <c r="T177" s="2230">
        <f t="shared" si="24"/>
        <v>-10913.4804</v>
      </c>
      <c r="U177" s="2230">
        <f t="shared" si="25"/>
        <v>0</v>
      </c>
      <c r="V177" s="2230">
        <f t="shared" si="26"/>
        <v>0</v>
      </c>
    </row>
    <row r="178" spans="1:23" outlineLevel="2" x14ac:dyDescent="0.2">
      <c r="A178" s="1980" t="s">
        <v>2967</v>
      </c>
      <c r="B178" s="1980" t="s">
        <v>2968</v>
      </c>
      <c r="C178" s="1980" t="s">
        <v>3043</v>
      </c>
      <c r="D178" s="1980" t="s">
        <v>3044</v>
      </c>
      <c r="E178" s="1980" t="s">
        <v>921</v>
      </c>
      <c r="F178" s="1962">
        <v>-4067.2074200000002</v>
      </c>
      <c r="G178" s="1962">
        <v>0</v>
      </c>
      <c r="H178" s="1962">
        <v>-4067.2074200000002</v>
      </c>
      <c r="I178" s="1962">
        <v>0</v>
      </c>
      <c r="S178" s="2229" t="s">
        <v>394</v>
      </c>
      <c r="T178" s="2230">
        <f t="shared" si="24"/>
        <v>-4067.2074200000002</v>
      </c>
      <c r="U178" s="2230">
        <f t="shared" si="25"/>
        <v>0</v>
      </c>
      <c r="V178" s="2230">
        <f t="shared" si="26"/>
        <v>0</v>
      </c>
    </row>
    <row r="179" spans="1:23" outlineLevel="2" x14ac:dyDescent="0.2">
      <c r="A179" s="1980" t="s">
        <v>2967</v>
      </c>
      <c r="B179" s="1980" t="s">
        <v>2968</v>
      </c>
      <c r="C179" s="1980" t="s">
        <v>3045</v>
      </c>
      <c r="D179" s="1980" t="s">
        <v>3046</v>
      </c>
      <c r="E179" s="1980" t="s">
        <v>921</v>
      </c>
      <c r="F179" s="1962">
        <v>-7648.2237599999999</v>
      </c>
      <c r="G179" s="1962">
        <v>0</v>
      </c>
      <c r="H179" s="1962">
        <v>-7648.2237599999999</v>
      </c>
      <c r="I179" s="1962">
        <v>0</v>
      </c>
      <c r="S179" s="2229" t="s">
        <v>394</v>
      </c>
      <c r="T179" s="2230">
        <f t="shared" si="24"/>
        <v>-7648.2237599999999</v>
      </c>
      <c r="U179" s="2230">
        <f t="shared" si="25"/>
        <v>0</v>
      </c>
      <c r="V179" s="2230">
        <f t="shared" si="26"/>
        <v>0</v>
      </c>
    </row>
    <row r="180" spans="1:23" outlineLevel="2" x14ac:dyDescent="0.2">
      <c r="A180" s="1980" t="s">
        <v>2967</v>
      </c>
      <c r="B180" s="1980" t="s">
        <v>2968</v>
      </c>
      <c r="C180" s="1980" t="s">
        <v>3047</v>
      </c>
      <c r="D180" s="1980" t="s">
        <v>3048</v>
      </c>
      <c r="E180" s="1980" t="s">
        <v>936</v>
      </c>
      <c r="F180" s="1962">
        <v>4014.3452699999998</v>
      </c>
      <c r="G180" s="1962">
        <v>0</v>
      </c>
      <c r="H180" s="1962">
        <v>0</v>
      </c>
      <c r="I180" s="1962">
        <v>0</v>
      </c>
      <c r="S180" s="2229"/>
      <c r="T180" s="2230"/>
      <c r="U180" s="2230"/>
      <c r="V180" s="2230"/>
    </row>
    <row r="181" spans="1:23" outlineLevel="2" x14ac:dyDescent="0.2">
      <c r="A181" s="1980" t="s">
        <v>2967</v>
      </c>
      <c r="B181" s="1980" t="s">
        <v>2968</v>
      </c>
      <c r="C181" s="1980" t="s">
        <v>3049</v>
      </c>
      <c r="D181" s="1980" t="s">
        <v>3050</v>
      </c>
      <c r="E181" s="1980" t="s">
        <v>936</v>
      </c>
      <c r="F181" s="1962">
        <v>-10011.37419</v>
      </c>
      <c r="G181" s="1962">
        <v>0</v>
      </c>
      <c r="H181" s="1962">
        <v>0</v>
      </c>
      <c r="I181" s="1962">
        <v>0</v>
      </c>
      <c r="S181" s="2229"/>
      <c r="T181" s="2230"/>
      <c r="U181" s="2230"/>
      <c r="V181" s="2230"/>
    </row>
    <row r="182" spans="1:23" outlineLevel="2" x14ac:dyDescent="0.2">
      <c r="A182" s="1980" t="s">
        <v>2967</v>
      </c>
      <c r="B182" s="1980" t="s">
        <v>2968</v>
      </c>
      <c r="C182" s="1980" t="s">
        <v>3051</v>
      </c>
      <c r="D182" s="1980" t="s">
        <v>3052</v>
      </c>
      <c r="E182" s="1980" t="s">
        <v>936</v>
      </c>
      <c r="F182" s="1962">
        <v>-4014.3452699999998</v>
      </c>
      <c r="G182" s="1962">
        <v>0</v>
      </c>
      <c r="H182" s="1962">
        <v>0</v>
      </c>
      <c r="I182" s="1962">
        <v>0</v>
      </c>
      <c r="S182" s="2229"/>
      <c r="T182" s="2230"/>
      <c r="U182" s="2230"/>
      <c r="V182" s="2230"/>
    </row>
    <row r="183" spans="1:23" outlineLevel="2" x14ac:dyDescent="0.2">
      <c r="A183" s="1980" t="s">
        <v>2967</v>
      </c>
      <c r="B183" s="1980" t="s">
        <v>2968</v>
      </c>
      <c r="C183" s="1980" t="s">
        <v>3053</v>
      </c>
      <c r="D183" s="1980" t="s">
        <v>3054</v>
      </c>
      <c r="E183" s="1980" t="s">
        <v>936</v>
      </c>
      <c r="F183" s="1962">
        <v>8844.6723700000002</v>
      </c>
      <c r="G183" s="1962">
        <v>0</v>
      </c>
      <c r="H183" s="1962">
        <v>0</v>
      </c>
      <c r="I183" s="1962">
        <v>0</v>
      </c>
      <c r="S183" s="2229" t="s">
        <v>394</v>
      </c>
      <c r="T183" s="2230">
        <f t="shared" si="24"/>
        <v>8844.6723700000002</v>
      </c>
      <c r="U183" s="2230">
        <f t="shared" si="25"/>
        <v>0</v>
      </c>
      <c r="V183" s="2230">
        <f t="shared" si="26"/>
        <v>0</v>
      </c>
    </row>
    <row r="184" spans="1:23" outlineLevel="2" x14ac:dyDescent="0.2">
      <c r="A184" s="1980" t="s">
        <v>2967</v>
      </c>
      <c r="B184" s="1980" t="s">
        <v>2968</v>
      </c>
      <c r="C184" s="1980" t="s">
        <v>3055</v>
      </c>
      <c r="D184" s="1980" t="s">
        <v>3056</v>
      </c>
      <c r="E184" s="1980" t="s">
        <v>936</v>
      </c>
      <c r="F184" s="1962">
        <v>1238.4135900000001</v>
      </c>
      <c r="G184" s="1962">
        <v>0</v>
      </c>
      <c r="H184" s="1962">
        <v>0</v>
      </c>
      <c r="I184" s="1962">
        <v>0</v>
      </c>
      <c r="S184" s="2229"/>
      <c r="T184" s="2230"/>
      <c r="U184" s="2230"/>
      <c r="V184" s="2230"/>
    </row>
    <row r="185" spans="1:23" outlineLevel="2" x14ac:dyDescent="0.2">
      <c r="A185" s="1980" t="s">
        <v>2967</v>
      </c>
      <c r="B185" s="1980" t="s">
        <v>2968</v>
      </c>
      <c r="C185" s="1980" t="s">
        <v>3057</v>
      </c>
      <c r="D185" s="1980" t="s">
        <v>3058</v>
      </c>
      <c r="E185" s="1980" t="s">
        <v>936</v>
      </c>
      <c r="F185" s="1962">
        <v>159.91422</v>
      </c>
      <c r="G185" s="1962">
        <v>0</v>
      </c>
      <c r="H185" s="1962">
        <v>0</v>
      </c>
      <c r="I185" s="1962">
        <v>0</v>
      </c>
      <c r="S185" s="2229" t="s">
        <v>394</v>
      </c>
      <c r="T185" s="2230">
        <f t="shared" si="24"/>
        <v>159.91422</v>
      </c>
      <c r="U185" s="2230">
        <f t="shared" si="25"/>
        <v>0</v>
      </c>
      <c r="V185" s="2230">
        <f t="shared" si="26"/>
        <v>0</v>
      </c>
      <c r="W185" s="2201" t="s">
        <v>5587</v>
      </c>
    </row>
    <row r="186" spans="1:23" outlineLevel="2" x14ac:dyDescent="0.2">
      <c r="A186" s="1980" t="s">
        <v>2967</v>
      </c>
      <c r="B186" s="1980" t="s">
        <v>2968</v>
      </c>
      <c r="C186" s="1980" t="s">
        <v>3059</v>
      </c>
      <c r="D186" s="1980" t="s">
        <v>3060</v>
      </c>
      <c r="E186" s="1980" t="s">
        <v>936</v>
      </c>
      <c r="F186" s="1962">
        <v>174.77874</v>
      </c>
      <c r="G186" s="1962">
        <v>0</v>
      </c>
      <c r="H186" s="1962">
        <v>0</v>
      </c>
      <c r="I186" s="1962">
        <v>0</v>
      </c>
      <c r="S186" s="2229"/>
      <c r="T186" s="2230"/>
      <c r="U186" s="2230"/>
      <c r="V186" s="2230"/>
    </row>
    <row r="187" spans="1:23" outlineLevel="2" x14ac:dyDescent="0.2">
      <c r="A187" s="1980" t="s">
        <v>2967</v>
      </c>
      <c r="B187" s="1980" t="s">
        <v>2968</v>
      </c>
      <c r="C187" s="1980" t="s">
        <v>3061</v>
      </c>
      <c r="D187" s="1980" t="s">
        <v>3062</v>
      </c>
      <c r="E187" s="1980" t="s">
        <v>936</v>
      </c>
      <c r="F187" s="1962">
        <v>-3400</v>
      </c>
      <c r="G187" s="1962">
        <v>0</v>
      </c>
      <c r="H187" s="1962">
        <v>0</v>
      </c>
      <c r="I187" s="1962">
        <v>0</v>
      </c>
      <c r="S187" s="2229" t="s">
        <v>394</v>
      </c>
      <c r="T187" s="2230">
        <f t="shared" si="24"/>
        <v>-3400</v>
      </c>
      <c r="U187" s="2230">
        <f t="shared" si="25"/>
        <v>0</v>
      </c>
      <c r="V187" s="2230">
        <f t="shared" si="26"/>
        <v>0</v>
      </c>
      <c r="W187" s="2201" t="s">
        <v>5587</v>
      </c>
    </row>
    <row r="188" spans="1:23" outlineLevel="2" x14ac:dyDescent="0.2">
      <c r="A188" s="1980" t="s">
        <v>2967</v>
      </c>
      <c r="B188" s="1980" t="s">
        <v>2968</v>
      </c>
      <c r="C188" s="1980" t="s">
        <v>3063</v>
      </c>
      <c r="D188" s="1980" t="s">
        <v>3064</v>
      </c>
      <c r="E188" s="1980" t="s">
        <v>936</v>
      </c>
      <c r="F188" s="1962">
        <v>-191.89706000000001</v>
      </c>
      <c r="G188" s="1962">
        <v>0</v>
      </c>
      <c r="H188" s="1962">
        <v>0</v>
      </c>
      <c r="I188" s="1962">
        <v>0</v>
      </c>
      <c r="S188" s="2229" t="s">
        <v>394</v>
      </c>
      <c r="T188" s="2230">
        <f t="shared" si="24"/>
        <v>-191.89706000000001</v>
      </c>
      <c r="U188" s="2230">
        <f t="shared" si="25"/>
        <v>0</v>
      </c>
      <c r="V188" s="2230">
        <f t="shared" si="26"/>
        <v>0</v>
      </c>
    </row>
    <row r="189" spans="1:23" outlineLevel="2" x14ac:dyDescent="0.2">
      <c r="A189" s="1980" t="s">
        <v>2967</v>
      </c>
      <c r="B189" s="1980" t="s">
        <v>2968</v>
      </c>
      <c r="C189" s="1980" t="s">
        <v>3065</v>
      </c>
      <c r="D189" s="1980" t="s">
        <v>3066</v>
      </c>
      <c r="E189" s="1980" t="s">
        <v>936</v>
      </c>
      <c r="F189" s="1962">
        <v>-2122.9947200000001</v>
      </c>
      <c r="G189" s="1962">
        <v>0</v>
      </c>
      <c r="H189" s="1962">
        <v>0</v>
      </c>
      <c r="I189" s="1962">
        <v>0</v>
      </c>
      <c r="S189" s="2229"/>
      <c r="T189" s="2230"/>
      <c r="U189" s="2230"/>
      <c r="V189" s="2230"/>
    </row>
    <row r="190" spans="1:23" outlineLevel="2" x14ac:dyDescent="0.2">
      <c r="A190" s="1980" t="s">
        <v>2967</v>
      </c>
      <c r="B190" s="1980" t="s">
        <v>2968</v>
      </c>
      <c r="C190" s="1980" t="s">
        <v>3067</v>
      </c>
      <c r="D190" s="1980" t="s">
        <v>3068</v>
      </c>
      <c r="E190" s="1980" t="s">
        <v>936</v>
      </c>
      <c r="F190" s="1962">
        <v>-174.77874</v>
      </c>
      <c r="G190" s="1962">
        <v>0</v>
      </c>
      <c r="H190" s="1962">
        <v>0</v>
      </c>
      <c r="I190" s="1962">
        <v>0</v>
      </c>
      <c r="S190" s="2229"/>
      <c r="T190" s="2230"/>
      <c r="U190" s="2230"/>
      <c r="V190" s="2230"/>
    </row>
    <row r="191" spans="1:23" outlineLevel="2" x14ac:dyDescent="0.2">
      <c r="A191" s="1980" t="s">
        <v>2967</v>
      </c>
      <c r="B191" s="1980" t="s">
        <v>2968</v>
      </c>
      <c r="C191" s="1980" t="s">
        <v>3069</v>
      </c>
      <c r="D191" s="1980" t="s">
        <v>3070</v>
      </c>
      <c r="E191" s="1980" t="s">
        <v>936</v>
      </c>
      <c r="F191" s="1962">
        <v>-72.599260000000001</v>
      </c>
      <c r="G191" s="1962">
        <v>0</v>
      </c>
      <c r="H191" s="1962">
        <v>0</v>
      </c>
      <c r="I191" s="1962">
        <v>0</v>
      </c>
      <c r="S191" s="2229" t="s">
        <v>394</v>
      </c>
      <c r="T191" s="2230">
        <f t="shared" si="24"/>
        <v>-72.599260000000001</v>
      </c>
      <c r="U191" s="2230">
        <f t="shared" si="25"/>
        <v>0</v>
      </c>
      <c r="V191" s="2230">
        <f t="shared" si="26"/>
        <v>0</v>
      </c>
      <c r="W191" s="2201" t="s">
        <v>5587</v>
      </c>
    </row>
    <row r="192" spans="1:23" outlineLevel="2" x14ac:dyDescent="0.2">
      <c r="A192" s="1980" t="s">
        <v>2967</v>
      </c>
      <c r="B192" s="1980" t="s">
        <v>2968</v>
      </c>
      <c r="C192" s="1980" t="s">
        <v>3071</v>
      </c>
      <c r="D192" s="1980" t="s">
        <v>3072</v>
      </c>
      <c r="E192" s="1980" t="s">
        <v>936</v>
      </c>
      <c r="F192" s="1962">
        <v>-86134.164569999994</v>
      </c>
      <c r="G192" s="1962">
        <v>0</v>
      </c>
      <c r="H192" s="1962">
        <v>0</v>
      </c>
      <c r="I192" s="1962">
        <v>0</v>
      </c>
      <c r="S192" s="2229" t="s">
        <v>394</v>
      </c>
      <c r="T192" s="2230">
        <f t="shared" si="24"/>
        <v>-86134.164569999994</v>
      </c>
      <c r="U192" s="2230">
        <f t="shared" si="25"/>
        <v>0</v>
      </c>
      <c r="V192" s="2230">
        <f t="shared" si="26"/>
        <v>0</v>
      </c>
    </row>
    <row r="193" spans="1:22" outlineLevel="2" x14ac:dyDescent="0.2">
      <c r="A193" s="1980" t="s">
        <v>2967</v>
      </c>
      <c r="B193" s="1980" t="s">
        <v>2968</v>
      </c>
      <c r="C193" s="1980" t="s">
        <v>3073</v>
      </c>
      <c r="D193" s="1980" t="s">
        <v>3074</v>
      </c>
      <c r="E193" s="1980" t="s">
        <v>936</v>
      </c>
      <c r="F193" s="1962">
        <v>419.13</v>
      </c>
      <c r="G193" s="1962">
        <v>0</v>
      </c>
      <c r="H193" s="1962">
        <v>0</v>
      </c>
      <c r="I193" s="1962">
        <v>0</v>
      </c>
      <c r="S193" s="2229"/>
      <c r="T193" s="2230"/>
      <c r="U193" s="2230"/>
      <c r="V193" s="2230"/>
    </row>
    <row r="194" spans="1:22" outlineLevel="2" x14ac:dyDescent="0.2">
      <c r="A194" s="1980" t="s">
        <v>2967</v>
      </c>
      <c r="B194" s="1980" t="s">
        <v>2968</v>
      </c>
      <c r="C194" s="1980" t="s">
        <v>3075</v>
      </c>
      <c r="D194" s="1980" t="s">
        <v>3076</v>
      </c>
      <c r="E194" s="1980" t="s">
        <v>936</v>
      </c>
      <c r="F194" s="1962">
        <v>-419.13</v>
      </c>
      <c r="G194" s="1962">
        <v>0</v>
      </c>
      <c r="H194" s="1962">
        <v>0</v>
      </c>
      <c r="I194" s="1962">
        <v>0</v>
      </c>
      <c r="S194" s="2229"/>
      <c r="T194" s="2230"/>
      <c r="U194" s="2230"/>
      <c r="V194" s="2230"/>
    </row>
    <row r="195" spans="1:22" outlineLevel="2" x14ac:dyDescent="0.2">
      <c r="A195" s="1980" t="s">
        <v>2967</v>
      </c>
      <c r="B195" s="1980" t="s">
        <v>2968</v>
      </c>
      <c r="C195" s="1980" t="s">
        <v>3077</v>
      </c>
      <c r="D195" s="1980" t="s">
        <v>3078</v>
      </c>
      <c r="E195" s="1980" t="s">
        <v>936</v>
      </c>
      <c r="F195" s="1962">
        <v>384.64317</v>
      </c>
      <c r="G195" s="1962">
        <v>0</v>
      </c>
      <c r="H195" s="1962">
        <v>0</v>
      </c>
      <c r="I195" s="1962">
        <v>0</v>
      </c>
      <c r="S195" s="2229" t="s">
        <v>394</v>
      </c>
      <c r="T195" s="2230">
        <f t="shared" si="24"/>
        <v>384.64317</v>
      </c>
      <c r="U195" s="2230">
        <f t="shared" si="25"/>
        <v>0</v>
      </c>
      <c r="V195" s="2230">
        <f t="shared" si="26"/>
        <v>0</v>
      </c>
    </row>
    <row r="196" spans="1:22" outlineLevel="2" x14ac:dyDescent="0.2">
      <c r="A196" s="1980" t="s">
        <v>2967</v>
      </c>
      <c r="B196" s="1980" t="s">
        <v>2968</v>
      </c>
      <c r="C196" s="1980" t="s">
        <v>3079</v>
      </c>
      <c r="D196" s="1980" t="s">
        <v>3080</v>
      </c>
      <c r="E196" s="1980" t="s">
        <v>936</v>
      </c>
      <c r="F196" s="1962">
        <v>-384.64317</v>
      </c>
      <c r="G196" s="1962">
        <v>0</v>
      </c>
      <c r="H196" s="1962">
        <v>0</v>
      </c>
      <c r="I196" s="1962">
        <v>0</v>
      </c>
      <c r="S196" s="2229" t="s">
        <v>394</v>
      </c>
      <c r="T196" s="2230">
        <f t="shared" si="24"/>
        <v>-384.64317</v>
      </c>
      <c r="U196" s="2230">
        <f t="shared" si="25"/>
        <v>0</v>
      </c>
      <c r="V196" s="2230">
        <f t="shared" si="26"/>
        <v>0</v>
      </c>
    </row>
    <row r="197" spans="1:22" outlineLevel="2" x14ac:dyDescent="0.2">
      <c r="A197" s="1980" t="s">
        <v>2967</v>
      </c>
      <c r="B197" s="1980" t="s">
        <v>2968</v>
      </c>
      <c r="C197" s="1980" t="s">
        <v>3081</v>
      </c>
      <c r="D197" s="1980" t="s">
        <v>3082</v>
      </c>
      <c r="E197" s="1980" t="s">
        <v>918</v>
      </c>
      <c r="F197" s="1962">
        <v>-29711.459459999998</v>
      </c>
      <c r="G197" s="1962">
        <v>0</v>
      </c>
      <c r="H197" s="1962">
        <v>0</v>
      </c>
      <c r="I197" s="1962">
        <v>0</v>
      </c>
      <c r="S197" s="2229"/>
      <c r="T197" s="2230"/>
      <c r="U197" s="2230"/>
      <c r="V197" s="2230"/>
    </row>
    <row r="198" spans="1:22" outlineLevel="2" x14ac:dyDescent="0.2">
      <c r="A198" s="1980" t="s">
        <v>2967</v>
      </c>
      <c r="B198" s="1980" t="s">
        <v>2968</v>
      </c>
      <c r="C198" s="1980" t="s">
        <v>3083</v>
      </c>
      <c r="D198" s="1980" t="s">
        <v>3084</v>
      </c>
      <c r="E198" s="1980" t="s">
        <v>919</v>
      </c>
      <c r="F198" s="1962">
        <v>-75946.143429999996</v>
      </c>
      <c r="G198" s="1962">
        <v>0</v>
      </c>
      <c r="H198" s="1962">
        <v>0</v>
      </c>
      <c r="I198" s="1962">
        <v>-75946.143429999996</v>
      </c>
      <c r="S198" s="2229" t="s">
        <v>392</v>
      </c>
      <c r="T198" s="2230">
        <f t="shared" si="24"/>
        <v>0</v>
      </c>
      <c r="U198" s="2230">
        <f t="shared" si="25"/>
        <v>0</v>
      </c>
      <c r="V198" s="2230">
        <f t="shared" si="26"/>
        <v>-75946.143429999996</v>
      </c>
    </row>
    <row r="199" spans="1:22" outlineLevel="2" x14ac:dyDescent="0.2">
      <c r="A199" s="1980" t="s">
        <v>2967</v>
      </c>
      <c r="B199" s="1980" t="s">
        <v>2968</v>
      </c>
      <c r="C199" s="1980" t="s">
        <v>3085</v>
      </c>
      <c r="D199" s="1980" t="s">
        <v>3086</v>
      </c>
      <c r="E199" s="1980" t="s">
        <v>912</v>
      </c>
      <c r="F199" s="1962">
        <v>-330161.20293000003</v>
      </c>
      <c r="G199" s="1962">
        <v>-330161.20293000003</v>
      </c>
      <c r="H199" s="1962">
        <v>0</v>
      </c>
      <c r="I199" s="1962">
        <v>0</v>
      </c>
      <c r="S199" s="2229" t="s">
        <v>392</v>
      </c>
      <c r="T199" s="2230">
        <f t="shared" si="24"/>
        <v>0</v>
      </c>
      <c r="U199" s="2230">
        <f t="shared" si="25"/>
        <v>0</v>
      </c>
      <c r="V199" s="2230">
        <f t="shared" si="26"/>
        <v>-330161.20293000003</v>
      </c>
    </row>
    <row r="200" spans="1:22" outlineLevel="2" x14ac:dyDescent="0.2">
      <c r="A200" s="1980" t="s">
        <v>2967</v>
      </c>
      <c r="B200" s="1980" t="s">
        <v>2968</v>
      </c>
      <c r="C200" s="1980" t="s">
        <v>3087</v>
      </c>
      <c r="D200" s="1980" t="s">
        <v>3088</v>
      </c>
      <c r="E200" s="1980" t="s">
        <v>921</v>
      </c>
      <c r="F200" s="1962">
        <v>-68573.289319999996</v>
      </c>
      <c r="G200" s="1962">
        <v>0</v>
      </c>
      <c r="H200" s="1962">
        <v>-68573.289319999996</v>
      </c>
      <c r="I200" s="1962">
        <v>0</v>
      </c>
      <c r="S200" s="2229" t="s">
        <v>392</v>
      </c>
      <c r="T200" s="2230">
        <f t="shared" si="24"/>
        <v>0</v>
      </c>
      <c r="U200" s="2230">
        <f t="shared" si="25"/>
        <v>0</v>
      </c>
      <c r="V200" s="2230">
        <f t="shared" si="26"/>
        <v>-68573.289319999996</v>
      </c>
    </row>
    <row r="201" spans="1:22" outlineLevel="2" x14ac:dyDescent="0.2">
      <c r="A201" s="1980" t="s">
        <v>2967</v>
      </c>
      <c r="B201" s="1980" t="s">
        <v>2968</v>
      </c>
      <c r="C201" s="1980" t="s">
        <v>3089</v>
      </c>
      <c r="D201" s="1980" t="s">
        <v>3090</v>
      </c>
      <c r="E201" s="1980" t="s">
        <v>922</v>
      </c>
      <c r="F201" s="1962">
        <v>-187416.6827</v>
      </c>
      <c r="G201" s="1962">
        <v>0</v>
      </c>
      <c r="H201" s="1962">
        <v>0</v>
      </c>
      <c r="I201" s="1962">
        <v>0</v>
      </c>
      <c r="S201" s="2229"/>
      <c r="T201" s="2230"/>
      <c r="U201" s="2230"/>
      <c r="V201" s="2230"/>
    </row>
    <row r="202" spans="1:22" outlineLevel="2" x14ac:dyDescent="0.2">
      <c r="A202" s="1980" t="s">
        <v>2967</v>
      </c>
      <c r="B202" s="1980" t="s">
        <v>2968</v>
      </c>
      <c r="C202" s="1980" t="s">
        <v>3091</v>
      </c>
      <c r="D202" s="1980" t="s">
        <v>3092</v>
      </c>
      <c r="E202" s="1980" t="s">
        <v>920</v>
      </c>
      <c r="F202" s="1962">
        <v>-588925.11092999997</v>
      </c>
      <c r="G202" s="1962">
        <v>0</v>
      </c>
      <c r="H202" s="1962">
        <v>0</v>
      </c>
      <c r="I202" s="1962">
        <v>0</v>
      </c>
      <c r="S202" s="2229"/>
      <c r="T202" s="2230"/>
      <c r="U202" s="2230"/>
      <c r="V202" s="2230"/>
    </row>
    <row r="203" spans="1:22" outlineLevel="2" x14ac:dyDescent="0.2">
      <c r="A203" s="1980" t="s">
        <v>2967</v>
      </c>
      <c r="B203" s="1980" t="s">
        <v>2968</v>
      </c>
      <c r="C203" s="1980" t="s">
        <v>3093</v>
      </c>
      <c r="D203" s="1980" t="s">
        <v>3094</v>
      </c>
      <c r="E203" s="1980" t="s">
        <v>918</v>
      </c>
      <c r="F203" s="1962">
        <v>-704.82312999999999</v>
      </c>
      <c r="G203" s="1962">
        <v>0</v>
      </c>
      <c r="H203" s="1962">
        <v>0</v>
      </c>
      <c r="I203" s="1962">
        <v>0</v>
      </c>
      <c r="S203" s="2229"/>
      <c r="T203" s="2230"/>
      <c r="U203" s="2230"/>
      <c r="V203" s="2230"/>
    </row>
    <row r="204" spans="1:22" outlineLevel="2" x14ac:dyDescent="0.2">
      <c r="A204" s="1980" t="s">
        <v>2967</v>
      </c>
      <c r="B204" s="1980" t="s">
        <v>2968</v>
      </c>
      <c r="C204" s="1980" t="s">
        <v>3095</v>
      </c>
      <c r="D204" s="1980" t="s">
        <v>3096</v>
      </c>
      <c r="E204" s="1980" t="s">
        <v>919</v>
      </c>
      <c r="F204" s="1962">
        <v>-4.0999999999999999E-4</v>
      </c>
      <c r="G204" s="1962">
        <v>0</v>
      </c>
      <c r="H204" s="1962">
        <v>0</v>
      </c>
      <c r="I204" s="1962">
        <v>-4.0999999999999999E-4</v>
      </c>
      <c r="S204" s="2229" t="s">
        <v>392</v>
      </c>
      <c r="T204" s="2230">
        <f t="shared" si="24"/>
        <v>0</v>
      </c>
      <c r="U204" s="2230">
        <f t="shared" si="25"/>
        <v>0</v>
      </c>
      <c r="V204" s="2230">
        <f t="shared" si="26"/>
        <v>-4.0999999999999999E-4</v>
      </c>
    </row>
    <row r="205" spans="1:22" outlineLevel="2" x14ac:dyDescent="0.2">
      <c r="A205" s="1980" t="s">
        <v>2967</v>
      </c>
      <c r="B205" s="1980" t="s">
        <v>2968</v>
      </c>
      <c r="C205" s="1980" t="s">
        <v>3097</v>
      </c>
      <c r="D205" s="1980" t="s">
        <v>3098</v>
      </c>
      <c r="E205" s="1980" t="s">
        <v>912</v>
      </c>
      <c r="F205" s="1962">
        <v>-1.78501</v>
      </c>
      <c r="G205" s="1962">
        <v>-1.78501</v>
      </c>
      <c r="H205" s="1962">
        <v>0</v>
      </c>
      <c r="I205" s="1962">
        <v>0</v>
      </c>
      <c r="S205" s="2229" t="s">
        <v>392</v>
      </c>
      <c r="T205" s="2230">
        <f t="shared" ref="T205:T210" si="27">IF($S205="PTD",$F205*L$232,IF($S205="PROD",$F205*L$233,IF($S205="TRANS",$F205*L$234,IF($S205="DIST",$F205*L$235,IF($S205="LABOR",$F205*L$236,IF($S205="TD",$F205*L$237))))))</f>
        <v>0</v>
      </c>
      <c r="U205" s="2230">
        <f t="shared" ref="U205:U210" si="28">IF($S205="PTD",$F205*M$232,IF($S205="PROD",$F205*M$233,IF($S205="TRANS",$F205*M$234,IF($S205="DIST",$F205*M$235,IF($S205="LABOR",$F205*M$236,IF($S205="TD",$F205*M$237))))))</f>
        <v>0</v>
      </c>
      <c r="V205" s="2230">
        <f t="shared" ref="V205:V210" si="29">IF($S205="PTD",$F205*N$232,IF($S205="PROD",$F205*N$233,IF($S205="TRANS",$F205*N$234,IF($S205="DIST",$F205*N$235,IF($S205="LABOR",$F205*N$236,IF($S205="TD",$F205*N$237))))))</f>
        <v>-1.78501</v>
      </c>
    </row>
    <row r="206" spans="1:22" outlineLevel="2" x14ac:dyDescent="0.2">
      <c r="A206" s="1980" t="s">
        <v>2967</v>
      </c>
      <c r="B206" s="1980" t="s">
        <v>2968</v>
      </c>
      <c r="C206" s="1980" t="s">
        <v>3099</v>
      </c>
      <c r="D206" s="1980" t="s">
        <v>3100</v>
      </c>
      <c r="E206" s="1980" t="s">
        <v>921</v>
      </c>
      <c r="F206" s="1962">
        <v>-6385.8670599999996</v>
      </c>
      <c r="G206" s="1962">
        <v>0</v>
      </c>
      <c r="H206" s="1962">
        <v>-6385.8670599999996</v>
      </c>
      <c r="I206" s="1962">
        <v>0</v>
      </c>
      <c r="S206" s="2229" t="s">
        <v>392</v>
      </c>
      <c r="T206" s="2230">
        <f t="shared" si="27"/>
        <v>0</v>
      </c>
      <c r="U206" s="2230">
        <f t="shared" si="28"/>
        <v>0</v>
      </c>
      <c r="V206" s="2230">
        <f t="shared" si="29"/>
        <v>-6385.8670599999996</v>
      </c>
    </row>
    <row r="207" spans="1:22" outlineLevel="2" x14ac:dyDescent="0.2">
      <c r="A207" s="1980" t="s">
        <v>2967</v>
      </c>
      <c r="B207" s="1980" t="s">
        <v>2968</v>
      </c>
      <c r="C207" s="1980" t="s">
        <v>3101</v>
      </c>
      <c r="D207" s="1980" t="s">
        <v>3102</v>
      </c>
      <c r="E207" s="1980" t="s">
        <v>923</v>
      </c>
      <c r="F207" s="1962">
        <v>-6889.4101099999998</v>
      </c>
      <c r="G207" s="1962">
        <v>0</v>
      </c>
      <c r="H207" s="1962">
        <v>0</v>
      </c>
      <c r="I207" s="1962">
        <v>0</v>
      </c>
      <c r="S207" s="2229"/>
      <c r="T207" s="2230"/>
      <c r="U207" s="2230"/>
      <c r="V207" s="2230"/>
    </row>
    <row r="208" spans="1:22" outlineLevel="2" x14ac:dyDescent="0.2">
      <c r="A208" s="1980" t="s">
        <v>2967</v>
      </c>
      <c r="B208" s="1980" t="s">
        <v>2968</v>
      </c>
      <c r="C208" s="1980" t="s">
        <v>3103</v>
      </c>
      <c r="D208" s="1980" t="s">
        <v>3104</v>
      </c>
      <c r="E208" s="1980" t="s">
        <v>936</v>
      </c>
      <c r="F208" s="1962">
        <v>-151.721</v>
      </c>
      <c r="G208" s="1962">
        <v>0</v>
      </c>
      <c r="H208" s="1962">
        <v>0</v>
      </c>
      <c r="I208" s="1962">
        <v>0</v>
      </c>
      <c r="S208" s="2229" t="s">
        <v>99</v>
      </c>
      <c r="T208" s="2230">
        <f t="shared" si="27"/>
        <v>-66.786999132862718</v>
      </c>
      <c r="U208" s="2230">
        <f t="shared" si="28"/>
        <v>0</v>
      </c>
      <c r="V208" s="2230">
        <f t="shared" si="29"/>
        <v>-84.934000867137271</v>
      </c>
    </row>
    <row r="209" spans="1:24" outlineLevel="2" x14ac:dyDescent="0.2">
      <c r="A209" s="1980" t="s">
        <v>2967</v>
      </c>
      <c r="B209" s="1980" t="s">
        <v>2968</v>
      </c>
      <c r="C209" s="1980" t="s">
        <v>3105</v>
      </c>
      <c r="D209" s="1980" t="s">
        <v>3106</v>
      </c>
      <c r="E209" s="1980" t="s">
        <v>936</v>
      </c>
      <c r="F209" s="1962">
        <v>25698.976350000001</v>
      </c>
      <c r="G209" s="1962">
        <v>0</v>
      </c>
      <c r="H209" s="1962">
        <v>0</v>
      </c>
      <c r="I209" s="1962">
        <v>0</v>
      </c>
      <c r="S209" s="2229" t="s">
        <v>392</v>
      </c>
      <c r="T209" s="2230">
        <f t="shared" si="27"/>
        <v>0</v>
      </c>
      <c r="U209" s="2230">
        <f t="shared" si="28"/>
        <v>0</v>
      </c>
      <c r="V209" s="2230">
        <f t="shared" si="29"/>
        <v>25698.976350000001</v>
      </c>
    </row>
    <row r="210" spans="1:24" outlineLevel="2" x14ac:dyDescent="0.2">
      <c r="A210" s="1980" t="s">
        <v>2967</v>
      </c>
      <c r="B210" s="1980" t="s">
        <v>2968</v>
      </c>
      <c r="C210" s="1980" t="s">
        <v>3107</v>
      </c>
      <c r="D210" s="1980" t="s">
        <v>3108</v>
      </c>
      <c r="E210" s="1980" t="s">
        <v>936</v>
      </c>
      <c r="F210" s="1962">
        <v>18522.773819999999</v>
      </c>
      <c r="G210" s="1962">
        <v>0</v>
      </c>
      <c r="H210" s="1962">
        <v>0</v>
      </c>
      <c r="I210" s="1962">
        <v>0</v>
      </c>
      <c r="S210" s="2229" t="s">
        <v>99</v>
      </c>
      <c r="T210" s="2230">
        <f t="shared" si="27"/>
        <v>8153.6536079682583</v>
      </c>
      <c r="U210" s="2230">
        <f t="shared" si="28"/>
        <v>0</v>
      </c>
      <c r="V210" s="2230">
        <f t="shared" si="29"/>
        <v>10369.120212031739</v>
      </c>
    </row>
    <row r="211" spans="1:24" ht="13.5" outlineLevel="1" thickBot="1" x14ac:dyDescent="0.25">
      <c r="A211" s="1981" t="s">
        <v>3109</v>
      </c>
      <c r="B211" s="1981"/>
      <c r="C211" s="1981"/>
      <c r="D211" s="1981"/>
      <c r="E211" s="1981"/>
      <c r="F211" s="1965">
        <f>SUBTOTAL(9,F141:F210)</f>
        <v>-1448550.68882</v>
      </c>
      <c r="G211" s="1965">
        <f t="shared" ref="G211:I211" si="30">SUBTOTAL(9,G141:G210)</f>
        <v>-359522.69861054514</v>
      </c>
      <c r="H211" s="1965">
        <f t="shared" si="30"/>
        <v>-100783.65740017513</v>
      </c>
      <c r="I211" s="1965">
        <f t="shared" si="30"/>
        <v>-80332.845339047257</v>
      </c>
    </row>
    <row r="212" spans="1:24" ht="13.5" outlineLevel="1" thickBot="1" x14ac:dyDescent="0.25">
      <c r="A212" s="1981" t="s">
        <v>1342</v>
      </c>
      <c r="B212" s="1981"/>
      <c r="C212" s="1981"/>
      <c r="D212" s="1981"/>
      <c r="E212" s="1981"/>
      <c r="F212" s="1965">
        <f>SUBTOTAL(9,F37:F211)</f>
        <v>-3026199.8913099999</v>
      </c>
      <c r="G212" s="1965">
        <f t="shared" ref="G212:I212" si="31">SUBTOTAL(9,G37:G211)</f>
        <v>-801702.67230997153</v>
      </c>
      <c r="H212" s="1965">
        <f t="shared" si="31"/>
        <v>-226546.91791437808</v>
      </c>
      <c r="I212" s="1965">
        <f t="shared" si="31"/>
        <v>-171544.68369036901</v>
      </c>
    </row>
    <row r="218" spans="1:24" ht="15.75" x14ac:dyDescent="0.25">
      <c r="D218" s="2023" t="s">
        <v>5459</v>
      </c>
      <c r="E218" s="2023" t="s">
        <v>5459</v>
      </c>
      <c r="F218" s="2023" t="s">
        <v>5459</v>
      </c>
      <c r="G218" s="2023" t="s">
        <v>5459</v>
      </c>
      <c r="H218" s="2023" t="s">
        <v>5459</v>
      </c>
      <c r="I218" s="2023" t="s">
        <v>5459</v>
      </c>
      <c r="J218" s="2023" t="s">
        <v>5459</v>
      </c>
      <c r="K218" s="2153" t="s">
        <v>5594</v>
      </c>
      <c r="L218" s="2022"/>
      <c r="M218" s="3828" t="s">
        <v>5595</v>
      </c>
      <c r="N218" s="3828"/>
      <c r="O218" s="3828"/>
      <c r="P218" s="3828"/>
      <c r="Q218" s="2023" t="s">
        <v>5459</v>
      </c>
      <c r="R218" s="2023" t="s">
        <v>5459</v>
      </c>
      <c r="S218" s="2023" t="s">
        <v>5459</v>
      </c>
      <c r="T218" s="2023" t="s">
        <v>5459</v>
      </c>
      <c r="U218" s="2023" t="s">
        <v>5459</v>
      </c>
      <c r="V218" s="2023" t="s">
        <v>5459</v>
      </c>
      <c r="W218" s="2023" t="s">
        <v>5459</v>
      </c>
      <c r="X218" s="2023" t="s">
        <v>5459</v>
      </c>
    </row>
    <row r="219" spans="1:24" ht="15.75" x14ac:dyDescent="0.25">
      <c r="D219" s="2023" t="s">
        <v>5459</v>
      </c>
      <c r="E219" s="2023" t="s">
        <v>5459</v>
      </c>
      <c r="F219" s="2023" t="s">
        <v>5459</v>
      </c>
      <c r="G219" s="2023" t="s">
        <v>5459</v>
      </c>
      <c r="H219" s="2023" t="s">
        <v>5459</v>
      </c>
      <c r="I219" s="2023" t="s">
        <v>5459</v>
      </c>
      <c r="J219" s="2023" t="s">
        <v>5459</v>
      </c>
      <c r="K219" s="2022" t="s">
        <v>5459</v>
      </c>
      <c r="L219" s="2154">
        <v>2</v>
      </c>
      <c r="M219" s="2154">
        <v>3</v>
      </c>
      <c r="N219" s="2154">
        <v>4</v>
      </c>
      <c r="O219" s="2154">
        <v>5</v>
      </c>
      <c r="P219" s="2154">
        <v>6</v>
      </c>
      <c r="Q219" s="2023" t="s">
        <v>5459</v>
      </c>
      <c r="R219" s="2023" t="s">
        <v>5459</v>
      </c>
      <c r="S219" s="2231" t="s">
        <v>5596</v>
      </c>
      <c r="T219" s="2231"/>
      <c r="U219" s="2231"/>
      <c r="V219" s="2023" t="s">
        <v>5459</v>
      </c>
      <c r="W219" s="2023" t="s">
        <v>5459</v>
      </c>
      <c r="X219" s="2023" t="s">
        <v>5459</v>
      </c>
    </row>
    <row r="220" spans="1:24" ht="15.75" x14ac:dyDescent="0.25">
      <c r="D220" s="2023" t="s">
        <v>5459</v>
      </c>
      <c r="E220" s="2023" t="s">
        <v>5459</v>
      </c>
      <c r="F220" s="2023" t="s">
        <v>5459</v>
      </c>
      <c r="G220" s="2023" t="s">
        <v>5459</v>
      </c>
      <c r="H220" s="2023" t="s">
        <v>5459</v>
      </c>
      <c r="I220" s="2023" t="s">
        <v>5459</v>
      </c>
      <c r="J220" s="2023" t="s">
        <v>5459</v>
      </c>
      <c r="K220" s="2022" t="s">
        <v>5459</v>
      </c>
      <c r="L220" s="2157" t="s">
        <v>5459</v>
      </c>
      <c r="M220" s="2157" t="s">
        <v>912</v>
      </c>
      <c r="N220" s="2157" t="s">
        <v>921</v>
      </c>
      <c r="O220" s="2157" t="s">
        <v>5462</v>
      </c>
      <c r="P220" s="2157" t="s">
        <v>5463</v>
      </c>
      <c r="Q220" s="2023" t="s">
        <v>5459</v>
      </c>
      <c r="R220" s="2023" t="s">
        <v>5459</v>
      </c>
      <c r="S220" s="2023" t="s">
        <v>5459</v>
      </c>
      <c r="T220" s="2231" t="s">
        <v>394</v>
      </c>
      <c r="U220" s="2231" t="s">
        <v>5586</v>
      </c>
      <c r="V220" s="2231" t="s">
        <v>392</v>
      </c>
      <c r="W220" s="2023" t="s">
        <v>5459</v>
      </c>
      <c r="X220" s="2071" t="s">
        <v>5597</v>
      </c>
    </row>
    <row r="221" spans="1:24" ht="15.75" x14ac:dyDescent="0.25">
      <c r="D221" s="2232" t="s">
        <v>5669</v>
      </c>
      <c r="E221" s="2219" t="s">
        <v>5459</v>
      </c>
      <c r="F221" s="2221">
        <f>SUMIF($A$37:$A$211,"1140000 Total",F$37:F$211)</f>
        <v>156468.48272999999</v>
      </c>
      <c r="G221" s="2221">
        <f>SUMIF($A$37:$A$211,"1140000 Total",G$37:G$211)</f>
        <v>39206.135422871273</v>
      </c>
      <c r="H221" s="2221">
        <f>SUMIF($A$37:$A$211,"1140000 Total",H$37:H$211)</f>
        <v>11023.47214243579</v>
      </c>
      <c r="I221" s="2221">
        <f>SUMIF($A$37:$A$211,"1140000 Total",I$37:I$211)</f>
        <v>7833.785877830147</v>
      </c>
      <c r="J221" s="2023" t="s">
        <v>5459</v>
      </c>
      <c r="K221" s="2022">
        <v>114</v>
      </c>
      <c r="L221" s="2233">
        <f>F221/$F221</f>
        <v>1</v>
      </c>
      <c r="M221" s="2233">
        <f t="shared" ref="M221:O227" si="32">G221/$F221</f>
        <v>0.25056889885309924</v>
      </c>
      <c r="N221" s="2233">
        <f t="shared" si="32"/>
        <v>7.0451709827452941E-2</v>
      </c>
      <c r="O221" s="2233">
        <f t="shared" si="32"/>
        <v>5.0066222546223747E-2</v>
      </c>
      <c r="P221" s="2233">
        <f>SUM(M221:O221)</f>
        <v>0.37108683122677588</v>
      </c>
      <c r="Q221" s="2023" t="s">
        <v>5459</v>
      </c>
      <c r="R221" s="2023" t="s">
        <v>5459</v>
      </c>
      <c r="S221" s="2101">
        <v>114</v>
      </c>
      <c r="T221" s="2102">
        <f t="shared" ref="T221:V222" si="33">SUMIFS(T$37:T$210,$R$37:$R$210,$S221)</f>
        <v>144704.69905</v>
      </c>
      <c r="U221" s="2102">
        <f t="shared" si="33"/>
        <v>0</v>
      </c>
      <c r="V221" s="2102">
        <f t="shared" si="33"/>
        <v>0</v>
      </c>
      <c r="W221" s="2210">
        <f>SUM(T221:V221)</f>
        <v>144704.69905</v>
      </c>
      <c r="X221" s="2104">
        <f>SUM(T221:V221)-F221+SUMIFS(F:F,A:A,"114*",E:E,"UT")</f>
        <v>0</v>
      </c>
    </row>
    <row r="222" spans="1:24" ht="15.75" x14ac:dyDescent="0.25">
      <c r="D222" s="2232" t="s">
        <v>5670</v>
      </c>
      <c r="E222" s="2219" t="s">
        <v>5459</v>
      </c>
      <c r="F222" s="2221">
        <f>SUMIF($A$37:$A$211,"115*",F$37:F$211)/2</f>
        <v>-144702.80677</v>
      </c>
      <c r="G222" s="2221">
        <f>SUMIF($A$37:$A$211,"115*",G$37:G$211)/2</f>
        <v>-38487.192938621709</v>
      </c>
      <c r="H222" s="2221">
        <f>SUMIF($A$37:$A$211,"115*",H$37:H$211)/2</f>
        <v>-10821.329228790815</v>
      </c>
      <c r="I222" s="2221">
        <f>SUMIF($A$37:$A$211,"115*",I$37:I$211)/2</f>
        <v>-7690.1338341043356</v>
      </c>
      <c r="J222" s="2023" t="s">
        <v>5459</v>
      </c>
      <c r="K222" s="2022">
        <v>115</v>
      </c>
      <c r="L222" s="2233">
        <f t="shared" ref="L222:L227" si="34">F222/$F222</f>
        <v>1</v>
      </c>
      <c r="M222" s="2233">
        <f t="shared" si="32"/>
        <v>0.26597405950663933</v>
      </c>
      <c r="N222" s="2233">
        <f t="shared" si="32"/>
        <v>7.4783132893827944E-2</v>
      </c>
      <c r="O222" s="2233">
        <f t="shared" si="32"/>
        <v>5.3144330823710506E-2</v>
      </c>
      <c r="P222" s="2233">
        <f t="shared" ref="P222:P227" si="35">SUM(M222:O222)</f>
        <v>0.39390152322417776</v>
      </c>
      <c r="Q222" s="2023" t="s">
        <v>5459</v>
      </c>
      <c r="R222" s="2023" t="s">
        <v>5459</v>
      </c>
      <c r="S222" s="2101">
        <v>115</v>
      </c>
      <c r="T222" s="2102">
        <f t="shared" si="33"/>
        <v>-142051.17671999999</v>
      </c>
      <c r="U222" s="2102">
        <f t="shared" si="33"/>
        <v>0</v>
      </c>
      <c r="V222" s="2102">
        <f t="shared" si="33"/>
        <v>0</v>
      </c>
      <c r="W222" s="2210">
        <f>SUM(T222:V222)</f>
        <v>-142051.17671999999</v>
      </c>
      <c r="X222" s="2104">
        <f>SUM(T222:V222)-F222+SUMIFS(F:F,A:A,"115*",E:E,"UT")</f>
        <v>6.8212102632969618E-12</v>
      </c>
    </row>
    <row r="223" spans="1:24" ht="18.75" customHeight="1" x14ac:dyDescent="0.25">
      <c r="D223" s="2232" t="s">
        <v>5671</v>
      </c>
      <c r="E223" s="2219" t="s">
        <v>5459</v>
      </c>
      <c r="F223" s="2221">
        <f>SUMIF($A$37:$A$211,"165*",F$37:F$211)/2</f>
        <v>220805.57231999995</v>
      </c>
      <c r="G223" s="2221">
        <f>SUMIF($A$37:$A$211,"165*",G$37:G$211)/2</f>
        <v>38042.636056175288</v>
      </c>
      <c r="H223" s="2221">
        <f>SUMIF($A$37:$A$211,"165*",H$37:H$211)/2</f>
        <v>9763.8033185623826</v>
      </c>
      <c r="I223" s="2221">
        <f>SUMIF($A$37:$A$211,"165*",I$37:I$211)/2</f>
        <v>7287.4924939602952</v>
      </c>
      <c r="J223" s="2023" t="s">
        <v>5459</v>
      </c>
      <c r="K223" s="2022">
        <v>165</v>
      </c>
      <c r="L223" s="2233">
        <f t="shared" si="34"/>
        <v>1</v>
      </c>
      <c r="M223" s="2233">
        <f t="shared" si="32"/>
        <v>0.17229019927559813</v>
      </c>
      <c r="N223" s="2233">
        <f t="shared" si="32"/>
        <v>4.421900777219654E-2</v>
      </c>
      <c r="O223" s="2233">
        <f t="shared" si="32"/>
        <v>3.3004114965898508E-2</v>
      </c>
      <c r="P223" s="2233">
        <f t="shared" si="35"/>
        <v>0.24951332201369317</v>
      </c>
      <c r="Q223" s="2023" t="s">
        <v>5459</v>
      </c>
      <c r="R223" s="2023" t="s">
        <v>5459</v>
      </c>
      <c r="S223" s="2101">
        <v>165</v>
      </c>
      <c r="T223" s="3836" t="s">
        <v>5672</v>
      </c>
      <c r="U223" s="3837"/>
      <c r="V223" s="3837"/>
      <c r="W223" s="3838"/>
      <c r="X223" s="2023" t="s">
        <v>5459</v>
      </c>
    </row>
    <row r="224" spans="1:24" ht="18.75" customHeight="1" x14ac:dyDescent="0.25">
      <c r="D224" s="2232" t="s">
        <v>5673</v>
      </c>
      <c r="E224" s="2219" t="s">
        <v>5459</v>
      </c>
      <c r="F224" s="2221">
        <f>(SUMIF($A$37:$A$211,"228*",F$37:F$211)+SUMIF($A$37:$A$211,"230*",F$37:F$211))/2</f>
        <v>-1581605.5324899997</v>
      </c>
      <c r="G224" s="2221">
        <f>(SUMIF($A$37:$A$211,"228*",G$37:G$211)+SUMIF($A$37:$A$211,"230*",G$37:G$211))/2</f>
        <v>-420111.19845866138</v>
      </c>
      <c r="H224" s="2221">
        <f>(SUMIF($A$37:$A$211,"228*",H$37:H$211)+SUMIF($A$37:$A$211,"230*",H$37:H$211))/2</f>
        <v>-118564.75515789687</v>
      </c>
      <c r="I224" s="2221">
        <f>(SUMIF($A$37:$A$211,"228*",I$37:I$211)+SUMIF($A$37:$A$211,"230*",I$37:I$211))/2</f>
        <v>-85886.67140681039</v>
      </c>
      <c r="J224" s="2023" t="s">
        <v>5459</v>
      </c>
      <c r="K224" s="2234">
        <v>228</v>
      </c>
      <c r="L224" s="2233">
        <f t="shared" si="34"/>
        <v>1</v>
      </c>
      <c r="M224" s="2233">
        <f t="shared" si="32"/>
        <v>0.26562324791394704</v>
      </c>
      <c r="N224" s="2233">
        <f t="shared" si="32"/>
        <v>7.4964808052507589E-2</v>
      </c>
      <c r="O224" s="2233">
        <f t="shared" si="32"/>
        <v>5.4303471783887072E-2</v>
      </c>
      <c r="P224" s="2233">
        <f t="shared" si="35"/>
        <v>0.3948915277503417</v>
      </c>
      <c r="Q224" s="2023" t="s">
        <v>5459</v>
      </c>
      <c r="R224" s="2023" t="s">
        <v>5459</v>
      </c>
      <c r="S224" s="2101">
        <v>228</v>
      </c>
      <c r="T224" s="3839"/>
      <c r="U224" s="3840"/>
      <c r="V224" s="3840"/>
      <c r="W224" s="3841"/>
      <c r="X224" s="2023" t="s">
        <v>5459</v>
      </c>
    </row>
    <row r="225" spans="4:24" ht="15.75" x14ac:dyDescent="0.25">
      <c r="D225" s="2232" t="s">
        <v>5674</v>
      </c>
      <c r="E225" s="2219" t="s">
        <v>5459</v>
      </c>
      <c r="F225" s="2221">
        <f>SUMIF($A$37:$A$211,"253*",F$37:F$211)/2</f>
        <v>-348983.66943999997</v>
      </c>
      <c r="G225" s="2221">
        <f>SUMIF($A$37:$A$211,"253*",G$37:G$211)/2</f>
        <v>-94502.054237743316</v>
      </c>
      <c r="H225" s="2221">
        <f>SUMIF($A$37:$A$211,"253*",H$37:H$211)/2</f>
        <v>-26149.892274204358</v>
      </c>
      <c r="I225" s="2221">
        <f>SUMIF($A$37:$A$211,"253*",I$37:I$211)/2</f>
        <v>-19175.876268163258</v>
      </c>
      <c r="J225" s="2023" t="s">
        <v>5459</v>
      </c>
      <c r="K225" s="2234">
        <v>253</v>
      </c>
      <c r="L225" s="2233">
        <f t="shared" si="34"/>
        <v>1</v>
      </c>
      <c r="M225" s="2233">
        <f t="shared" si="32"/>
        <v>0.27079219606289012</v>
      </c>
      <c r="N225" s="2233">
        <f t="shared" si="32"/>
        <v>7.4931564322668842E-2</v>
      </c>
      <c r="O225" s="2233">
        <f t="shared" si="32"/>
        <v>5.4947775347006962E-2</v>
      </c>
      <c r="P225" s="2233">
        <f t="shared" si="35"/>
        <v>0.40067153573256592</v>
      </c>
      <c r="Q225" s="2023" t="s">
        <v>5459</v>
      </c>
      <c r="R225" s="2023" t="s">
        <v>5459</v>
      </c>
      <c r="S225" s="2101">
        <v>253</v>
      </c>
      <c r="T225" s="2235">
        <f>SUMIFS(T:T,$A:$A,"2530000")+SUMIFS(T:T,$A:$A,"2532500")+SUMIFS(T:T,$A:$A,"2539900")+SUMIFS(T:T,$A:$A,"2533500")</f>
        <v>-95603.612097029778</v>
      </c>
      <c r="U225" s="2235">
        <f>SUMIFS(U:U,$A:$A,"2530000")+SUMIFS(U:U,$A:$A,"2532500")+SUMIFS(U:U,$A:$A,"2539900")+SUMIFS(U:U,$A:$A,"2533500")</f>
        <v>0</v>
      </c>
      <c r="V225" s="2235">
        <f>SUMIFS(V:V,$A:$A,"2530000")+SUMIFS(V:V,$A:$A,"2532500")+SUMIFS(V:V,$A:$A,"2539900")+SUMIFS(V:V,$A:$A,"2533500")</f>
        <v>-253380.05734297022</v>
      </c>
      <c r="W225" s="2210">
        <f t="shared" ref="W225:W226" si="36">SUM(T225:V225)</f>
        <v>-348983.66943999997</v>
      </c>
      <c r="X225" s="2104">
        <f>W225-F225</f>
        <v>0</v>
      </c>
    </row>
    <row r="226" spans="4:24" ht="15.75" x14ac:dyDescent="0.25">
      <c r="D226" s="2232" t="s">
        <v>5675</v>
      </c>
      <c r="E226" s="2219" t="s">
        <v>5459</v>
      </c>
      <c r="F226" s="2220">
        <f>(SUMIF($A$37:$A$211,"254*",F$37:F$211))/2-SUM(F146,F153,F156,F157,F161,F162,F166,F168,F174,F180,F181,F182,F184,F186,F189,F190,F193,F194,F197,F201,F202,F203,F207)</f>
        <v>-597786.34618999995</v>
      </c>
      <c r="G226" s="2220">
        <f t="shared" ref="G226:I226" si="37">(SUMIF($A$37:$A$211,"254*",G$37:G$211))/2-SUM(G146,G153,G156,G157,G161,G162,G166,G168,G174,G180,G181,G182,G184,G186,G189,G190,G193,G194,G197,G201,G202,G203,G207)</f>
        <v>-359522.69861054514</v>
      </c>
      <c r="H226" s="2220">
        <f t="shared" si="37"/>
        <v>-100783.65740017513</v>
      </c>
      <c r="I226" s="2220">
        <f t="shared" si="37"/>
        <v>-80332.845339047257</v>
      </c>
      <c r="J226" s="2023" t="s">
        <v>5459</v>
      </c>
      <c r="K226" s="2234">
        <v>254</v>
      </c>
      <c r="L226" s="2233">
        <f t="shared" si="34"/>
        <v>1</v>
      </c>
      <c r="M226" s="2233">
        <f t="shared" si="32"/>
        <v>0.6014234030301433</v>
      </c>
      <c r="N226" s="2233">
        <f t="shared" si="32"/>
        <v>0.16859477979468959</v>
      </c>
      <c r="O226" s="2233">
        <f t="shared" si="32"/>
        <v>0.13438387452481948</v>
      </c>
      <c r="P226" s="2233">
        <f t="shared" si="35"/>
        <v>0.9044020573496524</v>
      </c>
      <c r="Q226" s="2023" t="s">
        <v>5459</v>
      </c>
      <c r="R226" s="2023" t="s">
        <v>5459</v>
      </c>
      <c r="S226" s="2101">
        <v>254</v>
      </c>
      <c r="T226" s="2236">
        <f>SUMIFS(T:T,$A:$A,"2540000")</f>
        <v>-54536.85693001355</v>
      </c>
      <c r="U226" s="2236">
        <f t="shared" ref="U226:V226" si="38">SUMIFS(U:U,$A:$A,"2540000")</f>
        <v>0</v>
      </c>
      <c r="V226" s="2236">
        <f t="shared" si="38"/>
        <v>-543249.48925998644</v>
      </c>
      <c r="W226" s="2210">
        <f t="shared" si="36"/>
        <v>-597786.34618999995</v>
      </c>
      <c r="X226" s="2104">
        <f>W226-F226</f>
        <v>0</v>
      </c>
    </row>
    <row r="227" spans="4:24" ht="15.75" x14ac:dyDescent="0.25">
      <c r="D227" s="2232" t="s">
        <v>197</v>
      </c>
      <c r="E227" s="2219" t="s">
        <v>5459</v>
      </c>
      <c r="F227" s="2221">
        <f>SUM(F221:F226)+SUM(F44,F146,F153,F156,F157,F161,F162,F166,F168,F174,F180,F181,F182,F184,F186,F189,F190,F193,F194,F197,F201,F202,F203,F207)</f>
        <v>-3026199.8913099999</v>
      </c>
      <c r="G227" s="2221">
        <f t="shared" ref="G227:I227" si="39">SUM(G221:G226)+SUM(G44,G146,G153,G156,G157,G161,G162,G166,G168,G174,G180,G181,G182,G184,G186,G189,G190,G193,G194,G197,G201,G202,G203,G207)</f>
        <v>-801702.67230997165</v>
      </c>
      <c r="H227" s="2221">
        <f t="shared" si="39"/>
        <v>-226546.91791437805</v>
      </c>
      <c r="I227" s="2221">
        <f t="shared" si="39"/>
        <v>-171544.68369036901</v>
      </c>
      <c r="J227" s="2023" t="s">
        <v>5459</v>
      </c>
      <c r="K227" s="2234" t="s">
        <v>5461</v>
      </c>
      <c r="L227" s="2233">
        <f t="shared" si="34"/>
        <v>1</v>
      </c>
      <c r="M227" s="2233">
        <f t="shared" si="32"/>
        <v>0.26492059384845384</v>
      </c>
      <c r="N227" s="2233">
        <f t="shared" si="32"/>
        <v>7.4861848539789957E-2</v>
      </c>
      <c r="O227" s="2233">
        <f t="shared" si="32"/>
        <v>5.6686501173625281E-2</v>
      </c>
      <c r="P227" s="2233">
        <f t="shared" si="35"/>
        <v>0.39646894356186907</v>
      </c>
      <c r="Q227" s="2023" t="s">
        <v>5459</v>
      </c>
      <c r="R227" s="2023" t="s">
        <v>5459</v>
      </c>
      <c r="S227" s="2023" t="s">
        <v>5459</v>
      </c>
      <c r="T227" s="2023" t="s">
        <v>5459</v>
      </c>
      <c r="U227" s="2023" t="s">
        <v>5459</v>
      </c>
      <c r="V227" s="2023" t="s">
        <v>5459</v>
      </c>
      <c r="W227" s="2023" t="s">
        <v>5459</v>
      </c>
      <c r="X227" s="2023" t="s">
        <v>5459</v>
      </c>
    </row>
    <row r="228" spans="4:24" ht="15.75" x14ac:dyDescent="0.25">
      <c r="D228" s="2237" t="s">
        <v>5676</v>
      </c>
      <c r="E228" s="2022" t="s">
        <v>5459</v>
      </c>
      <c r="F228" s="2180">
        <f>F227-F212</f>
        <v>0</v>
      </c>
      <c r="G228" s="2180">
        <f t="shared" ref="G228:I228" si="40">G227-G212</f>
        <v>0</v>
      </c>
      <c r="H228" s="2180">
        <f t="shared" si="40"/>
        <v>0</v>
      </c>
      <c r="I228" s="2180">
        <f t="shared" si="40"/>
        <v>0</v>
      </c>
      <c r="J228" s="2023" t="s">
        <v>5459</v>
      </c>
      <c r="K228" s="2023" t="s">
        <v>5459</v>
      </c>
      <c r="L228" s="2023" t="s">
        <v>5459</v>
      </c>
      <c r="M228" s="2023" t="s">
        <v>5459</v>
      </c>
      <c r="N228" s="2023" t="s">
        <v>5459</v>
      </c>
      <c r="O228" s="2023" t="s">
        <v>5459</v>
      </c>
      <c r="P228" s="2233"/>
      <c r="Q228" s="2023" t="s">
        <v>5459</v>
      </c>
      <c r="R228" s="2023" t="s">
        <v>5459</v>
      </c>
      <c r="S228" s="2023" t="s">
        <v>5459</v>
      </c>
      <c r="T228" s="2023" t="s">
        <v>5459</v>
      </c>
      <c r="U228" s="2023" t="s">
        <v>5459</v>
      </c>
      <c r="V228" s="2023" t="s">
        <v>5459</v>
      </c>
      <c r="W228" s="2023" t="s">
        <v>5459</v>
      </c>
      <c r="X228" s="2023" t="s">
        <v>5459</v>
      </c>
    </row>
    <row r="229" spans="4:24" ht="15.75" x14ac:dyDescent="0.25">
      <c r="J229"/>
      <c r="K229"/>
    </row>
    <row r="230" spans="4:24" ht="15.75" x14ac:dyDescent="0.25">
      <c r="J230"/>
      <c r="K230"/>
      <c r="S230" s="2107" t="s">
        <v>5677</v>
      </c>
    </row>
    <row r="231" spans="4:24" x14ac:dyDescent="0.2">
      <c r="J231" s="2116" t="s">
        <v>707</v>
      </c>
      <c r="K231" s="2238" t="s">
        <v>197</v>
      </c>
      <c r="L231" s="2238" t="s">
        <v>394</v>
      </c>
      <c r="M231" s="2238" t="s">
        <v>5586</v>
      </c>
      <c r="N231" s="2238" t="s">
        <v>392</v>
      </c>
      <c r="S231" s="2042" t="s">
        <v>912</v>
      </c>
      <c r="T231" s="2110">
        <f>SUMIFS($G:$G,$A:$A,"114*",$S:$S,"PROD",$E:$E,"SG")</f>
        <v>39206.135422871273</v>
      </c>
      <c r="U231" s="2239">
        <f>SUMIFS($G:$G,$A:$A,"114*",$S:$S,"TRANS",$E:$E,"SG")</f>
        <v>0</v>
      </c>
      <c r="V231" s="2239">
        <f>SUMIFS($G:$G,$A:$A,"114*",$S:$S,"DIST",$E:$E,"SG")</f>
        <v>0</v>
      </c>
      <c r="W231" s="2110">
        <f>SUM(T231:V231)</f>
        <v>39206.135422871273</v>
      </c>
    </row>
    <row r="232" spans="4:24" x14ac:dyDescent="0.2">
      <c r="J232" s="2177" t="s">
        <v>99</v>
      </c>
      <c r="K232" s="2178">
        <f>SUM(L232:N232)</f>
        <v>0.99999999999999989</v>
      </c>
      <c r="L232" s="2178">
        <f>VLOOKUP($J232,Ratios!$D$78:$G$87,2,FALSE)</f>
        <v>0.44019614379593275</v>
      </c>
      <c r="M232" s="2178">
        <f>VLOOKUP($J232,Ratios!$D$78:$G$87,3,FALSE)</f>
        <v>0</v>
      </c>
      <c r="N232" s="2178">
        <f>VLOOKUP($J232,Ratios!$D$78:$G$87,4,FALSE)</f>
        <v>0.55980385620406714</v>
      </c>
      <c r="S232" s="2042" t="s">
        <v>921</v>
      </c>
      <c r="T232" s="2110">
        <f>SUMIFS($H:$H,$A:$A,"114*",$S:$S,"PROD",$E:$E,"SG")</f>
        <v>11023.47214243579</v>
      </c>
      <c r="U232" s="2239">
        <f>SUMIFS($H:$H,$A:$A,"114*",$S:$S,"TRANS",$E:$E,"SG")</f>
        <v>0</v>
      </c>
      <c r="V232" s="2239">
        <f>SUMIFS($H:$H,$A:$A,"114*",$S:$S,"DIST",$E:$E,"SG")</f>
        <v>0</v>
      </c>
      <c r="W232" s="2110">
        <f t="shared" ref="W232:W233" si="41">SUM(T232:V232)</f>
        <v>11023.47214243579</v>
      </c>
    </row>
    <row r="233" spans="4:24" x14ac:dyDescent="0.2">
      <c r="J233" s="2177" t="s">
        <v>394</v>
      </c>
      <c r="K233" s="2178">
        <f t="shared" ref="K233:K237" si="42">SUM(L233:N233)</f>
        <v>1</v>
      </c>
      <c r="L233" s="2178">
        <f>VLOOKUP($J233,Ratios!$D$78:$G$87,2,FALSE)</f>
        <v>1</v>
      </c>
      <c r="M233" s="2178">
        <f>VLOOKUP($J233,Ratios!$D$78:$G$87,3,FALSE)</f>
        <v>0</v>
      </c>
      <c r="N233" s="2178">
        <f>VLOOKUP($J233,Ratios!$D$78:$G$87,4,FALSE)</f>
        <v>0</v>
      </c>
      <c r="S233" s="2042" t="s">
        <v>5462</v>
      </c>
      <c r="T233" s="2110">
        <f>SUMIFS($I:$I,$A:$A,"114*",$S:$S,"PROD",$E:$E,"SG")</f>
        <v>7833.785877830147</v>
      </c>
      <c r="U233" s="2239">
        <f>SUMIFS($I:$I,$A:$A,"114*",$S:$S,"TRANS",$E:$E,"SG")</f>
        <v>0</v>
      </c>
      <c r="V233" s="2239">
        <f>SUMIFS($I:$I,$A:$A,"114*",$S:$S,"DIST",$E:$E,"SG")</f>
        <v>0</v>
      </c>
      <c r="W233" s="2110">
        <f t="shared" si="41"/>
        <v>7833.785877830147</v>
      </c>
    </row>
    <row r="234" spans="4:24" x14ac:dyDescent="0.2">
      <c r="J234" s="2177" t="s">
        <v>393</v>
      </c>
      <c r="K234" s="2178">
        <f t="shared" si="42"/>
        <v>1</v>
      </c>
      <c r="L234" s="2178">
        <f>VLOOKUP($J234,Ratios!$D$78:$G$87,2,FALSE)</f>
        <v>0</v>
      </c>
      <c r="M234" s="2178">
        <f>VLOOKUP($J234,Ratios!$D$78:$G$87,3,FALSE)</f>
        <v>0</v>
      </c>
      <c r="N234" s="2178">
        <f>VLOOKUP($J234,Ratios!$D$78:$G$87,4,FALSE)</f>
        <v>1</v>
      </c>
      <c r="S234" s="2042" t="s">
        <v>5606</v>
      </c>
      <c r="T234" s="2112">
        <f>SUM(T231:T233)</f>
        <v>58063.393443137211</v>
      </c>
      <c r="U234" s="2096" t="s">
        <v>5604</v>
      </c>
      <c r="V234" s="2096" t="s">
        <v>5604</v>
      </c>
      <c r="W234" s="2112">
        <f>SUM(W231:W233)</f>
        <v>58063.393443137211</v>
      </c>
    </row>
    <row r="235" spans="4:24" x14ac:dyDescent="0.2">
      <c r="J235" s="2177" t="s">
        <v>392</v>
      </c>
      <c r="K235" s="2178">
        <f t="shared" si="42"/>
        <v>1</v>
      </c>
      <c r="L235" s="2178">
        <f>VLOOKUP($J235,Ratios!$D$78:$G$87,2,FALSE)</f>
        <v>0</v>
      </c>
      <c r="M235" s="2178">
        <f>VLOOKUP($J235,Ratios!$D$78:$G$87,3,FALSE)</f>
        <v>0</v>
      </c>
      <c r="N235" s="2178">
        <f>VLOOKUP($J235,Ratios!$D$78:$G$87,4,FALSE)</f>
        <v>1</v>
      </c>
      <c r="S235" s="2023" t="s">
        <v>5459</v>
      </c>
      <c r="T235" s="2023" t="s">
        <v>5459</v>
      </c>
      <c r="U235" s="2023" t="s">
        <v>5459</v>
      </c>
      <c r="V235" s="2096" t="s">
        <v>5607</v>
      </c>
      <c r="W235" s="2112">
        <f>SUM(G221,H221,I221)</f>
        <v>58063.393443137211</v>
      </c>
    </row>
    <row r="236" spans="4:24" x14ac:dyDescent="0.2">
      <c r="J236" s="2177" t="s">
        <v>95</v>
      </c>
      <c r="K236" s="2178">
        <f t="shared" si="42"/>
        <v>1</v>
      </c>
      <c r="L236" s="2178">
        <f>VLOOKUP($J236,Ratios!$D$78:$G$87,2,FALSE)</f>
        <v>0.41685340178759894</v>
      </c>
      <c r="M236" s="2178">
        <f>VLOOKUP($J236,Ratios!$D$78:$G$87,3,FALSE)</f>
        <v>0</v>
      </c>
      <c r="N236" s="2178">
        <f>VLOOKUP($J236,Ratios!$D$78:$G$87,4,FALSE)</f>
        <v>0.58314659821240111</v>
      </c>
      <c r="S236" s="2023" t="s">
        <v>5459</v>
      </c>
      <c r="T236" s="2023" t="s">
        <v>5459</v>
      </c>
      <c r="U236" s="2023" t="s">
        <v>5459</v>
      </c>
      <c r="V236" s="2023" t="s">
        <v>5459</v>
      </c>
      <c r="W236" s="2023" t="s">
        <v>5459</v>
      </c>
    </row>
    <row r="237" spans="4:24" x14ac:dyDescent="0.2">
      <c r="J237" s="2177" t="s">
        <v>109</v>
      </c>
      <c r="K237" s="2178">
        <f t="shared" si="42"/>
        <v>1</v>
      </c>
      <c r="L237" s="2178">
        <f>VLOOKUP($J237,Ratios!$D$78:$G$87,2,FALSE)</f>
        <v>0</v>
      </c>
      <c r="M237" s="2178">
        <f>VLOOKUP($J237,Ratios!$D$78:$G$87,3,FALSE)</f>
        <v>0</v>
      </c>
      <c r="N237" s="2178">
        <f>VLOOKUP($J237,Ratios!$D$78:$G$87,4,FALSE)</f>
        <v>1</v>
      </c>
      <c r="S237" s="2107" t="s">
        <v>5678</v>
      </c>
      <c r="T237" s="2096"/>
      <c r="U237" s="2023"/>
      <c r="V237" s="2023"/>
      <c r="W237" s="2023" t="s">
        <v>5459</v>
      </c>
    </row>
    <row r="238" spans="4:24" ht="15.75" x14ac:dyDescent="0.25">
      <c r="J238"/>
      <c r="K238"/>
      <c r="S238" s="2109" t="s">
        <v>912</v>
      </c>
      <c r="T238" s="2110">
        <f>SUMIFS($G:$G,$A:$A,"115*",$S:$S,"PROD",$E:$E,"SG")</f>
        <v>-38487.192938621709</v>
      </c>
      <c r="U238" s="2239">
        <f>SUMIFS($G:$G,$A:$A,"115*",$S:$S,"TRANS",$E:$E,"SG")</f>
        <v>0</v>
      </c>
      <c r="V238" s="2239">
        <f>SUMIFS($G:$G,$A:$A,"115*",$S:$S,"DIST",$E:$E,"SG")</f>
        <v>0</v>
      </c>
      <c r="W238" s="2110">
        <f>SUM(T238:V238)</f>
        <v>-38487.192938621709</v>
      </c>
    </row>
    <row r="239" spans="4:24" ht="15.75" x14ac:dyDescent="0.25">
      <c r="J239"/>
      <c r="K239"/>
      <c r="S239" s="2109" t="s">
        <v>921</v>
      </c>
      <c r="T239" s="2110">
        <f>SUMIFS($H:$H,$A:$A,"115*",$S:$S,"PROD",$E:$E,"SG")</f>
        <v>-10821.329228790815</v>
      </c>
      <c r="U239" s="2239">
        <f>SUMIFS($H:$H,$A:$A,"115*",$S:$S,"TRANS",$E:$E,"SG")</f>
        <v>0</v>
      </c>
      <c r="V239" s="2239">
        <f>SUMIFS($H:$H,$A:$A,"115*",$S:$S,"DIST",$E:$E,"SG")</f>
        <v>0</v>
      </c>
      <c r="W239" s="2110">
        <f t="shared" ref="W239:W240" si="43">SUM(T239:V239)</f>
        <v>-10821.329228790815</v>
      </c>
    </row>
    <row r="240" spans="4:24" ht="15.75" x14ac:dyDescent="0.25">
      <c r="J240"/>
      <c r="K240"/>
      <c r="S240" s="2109" t="s">
        <v>5462</v>
      </c>
      <c r="T240" s="2110">
        <f>SUMIFS($I:$I,$A:$A,"115*",$S:$S,"PROD",$E:$E,"SG")</f>
        <v>-7690.1338341043356</v>
      </c>
      <c r="U240" s="2239">
        <f>SUMIFS($I:$I,$A:$A,"115*",$S:$S,"TRANS",$E:$E,"SG")</f>
        <v>0</v>
      </c>
      <c r="V240" s="2239">
        <f>SUMIFS($I:$I,$A:$A,"115*",$S:$S,"DIST",$E:$E,"SG")</f>
        <v>0</v>
      </c>
      <c r="W240" s="2110">
        <f t="shared" si="43"/>
        <v>-7690.1338341043356</v>
      </c>
    </row>
    <row r="241" spans="10:23" ht="15.75" x14ac:dyDescent="0.25">
      <c r="J241"/>
      <c r="K241"/>
      <c r="S241" s="2109" t="s">
        <v>5606</v>
      </c>
      <c r="T241" s="2112">
        <f>SUM(T238:T240)</f>
        <v>-56998.656001516858</v>
      </c>
      <c r="U241" s="2096" t="s">
        <v>5604</v>
      </c>
      <c r="V241" s="2096" t="s">
        <v>5604</v>
      </c>
      <c r="W241" s="2112">
        <f>SUM(W238:W240)</f>
        <v>-56998.656001516858</v>
      </c>
    </row>
    <row r="242" spans="10:23" ht="15.75" x14ac:dyDescent="0.25">
      <c r="J242"/>
      <c r="K242"/>
      <c r="S242" s="2023" t="s">
        <v>5459</v>
      </c>
      <c r="T242" s="2023" t="s">
        <v>5459</v>
      </c>
      <c r="U242" s="2023" t="s">
        <v>5459</v>
      </c>
      <c r="V242" s="2096" t="s">
        <v>5607</v>
      </c>
      <c r="W242" s="2112">
        <f>SUM(G222,H222,I222)</f>
        <v>-56998.656001516858</v>
      </c>
    </row>
    <row r="243" spans="10:23" ht="15.75" x14ac:dyDescent="0.25">
      <c r="J243"/>
      <c r="K243"/>
      <c r="S243" s="2023" t="s">
        <v>5459</v>
      </c>
      <c r="T243" s="2023" t="s">
        <v>5459</v>
      </c>
      <c r="U243" s="2023" t="s">
        <v>5459</v>
      </c>
      <c r="V243" s="2023" t="s">
        <v>5459</v>
      </c>
      <c r="W243" s="2023" t="s">
        <v>5459</v>
      </c>
    </row>
    <row r="244" spans="10:23" ht="15.75" x14ac:dyDescent="0.25">
      <c r="J244"/>
      <c r="K244"/>
      <c r="S244" s="2107" t="s">
        <v>5679</v>
      </c>
      <c r="T244" s="2096"/>
      <c r="U244" s="2023"/>
      <c r="V244" s="2023"/>
      <c r="W244" s="2023"/>
    </row>
    <row r="245" spans="10:23" ht="15.75" x14ac:dyDescent="0.25">
      <c r="J245"/>
      <c r="K245"/>
      <c r="S245" s="2109" t="s">
        <v>912</v>
      </c>
      <c r="T245" s="2110">
        <f>T$225*$M$225</f>
        <v>-25888.712071299382</v>
      </c>
      <c r="U245" s="2110">
        <f>U$225*$M$225</f>
        <v>0</v>
      </c>
      <c r="V245" s="2110">
        <f>V$225*$M$225</f>
        <v>-68613.342166443937</v>
      </c>
      <c r="W245" s="2110">
        <f>SUM(T245:V245)</f>
        <v>-94502.054237743316</v>
      </c>
    </row>
    <row r="246" spans="10:23" ht="15.75" x14ac:dyDescent="0.25">
      <c r="J246"/>
      <c r="K246"/>
      <c r="S246" s="2109" t="s">
        <v>921</v>
      </c>
      <c r="T246" s="2110">
        <f>T$225*$N$225</f>
        <v>-7163.7282093280683</v>
      </c>
      <c r="U246" s="2110">
        <f>U$225*$N$225</f>
        <v>0</v>
      </c>
      <c r="V246" s="2110">
        <f>V$225*$N$225</f>
        <v>-18986.164064876291</v>
      </c>
      <c r="W246" s="2110">
        <f t="shared" ref="W246:W247" si="44">SUM(T246:V246)</f>
        <v>-26149.892274204358</v>
      </c>
    </row>
    <row r="247" spans="10:23" ht="15.75" x14ac:dyDescent="0.25">
      <c r="J247"/>
      <c r="K247"/>
      <c r="S247" s="2109" t="s">
        <v>5462</v>
      </c>
      <c r="T247" s="2110">
        <f>T$225*$O$225</f>
        <v>-5253.2057998699893</v>
      </c>
      <c r="U247" s="2110">
        <f>U$225*$O$225</f>
        <v>0</v>
      </c>
      <c r="V247" s="2110">
        <f>V$225*$O$225</f>
        <v>-13922.670468293269</v>
      </c>
      <c r="W247" s="2110">
        <f t="shared" si="44"/>
        <v>-19175.876268163258</v>
      </c>
    </row>
    <row r="248" spans="10:23" ht="15.75" x14ac:dyDescent="0.25">
      <c r="J248"/>
      <c r="K248"/>
      <c r="S248" s="2109" t="s">
        <v>5606</v>
      </c>
      <c r="T248" s="2112">
        <f>SUM(T245:T247)</f>
        <v>-38305.646080497441</v>
      </c>
      <c r="U248" s="2112">
        <f t="shared" ref="U248:W248" si="45">SUM(U245:U247)</f>
        <v>0</v>
      </c>
      <c r="V248" s="2112">
        <f t="shared" si="45"/>
        <v>-101522.17669961351</v>
      </c>
      <c r="W248" s="2112">
        <f t="shared" si="45"/>
        <v>-139827.82278011093</v>
      </c>
    </row>
    <row r="249" spans="10:23" ht="15.75" x14ac:dyDescent="0.25">
      <c r="J249"/>
      <c r="K249"/>
      <c r="S249" s="2023" t="s">
        <v>5459</v>
      </c>
      <c r="T249" s="2023" t="s">
        <v>5459</v>
      </c>
      <c r="U249" s="2023" t="s">
        <v>5459</v>
      </c>
      <c r="V249" s="2096" t="s">
        <v>5607</v>
      </c>
      <c r="W249" s="2112">
        <f>SUM(G225:I225)</f>
        <v>-139827.82278011093</v>
      </c>
    </row>
    <row r="250" spans="10:23" ht="15.75" x14ac:dyDescent="0.25">
      <c r="J250"/>
      <c r="K250"/>
      <c r="S250" s="2023" t="s">
        <v>5459</v>
      </c>
      <c r="T250" s="2023" t="s">
        <v>5459</v>
      </c>
      <c r="U250" s="2023" t="s">
        <v>5459</v>
      </c>
      <c r="V250" s="2023" t="s">
        <v>5459</v>
      </c>
      <c r="W250" s="2023" t="s">
        <v>5459</v>
      </c>
    </row>
    <row r="251" spans="10:23" ht="15.75" x14ac:dyDescent="0.25">
      <c r="J251"/>
      <c r="K251"/>
      <c r="S251" s="2107" t="s">
        <v>5680</v>
      </c>
      <c r="T251" s="2096"/>
      <c r="U251" s="2023"/>
      <c r="V251" s="2023"/>
      <c r="W251" s="2023"/>
    </row>
    <row r="252" spans="10:23" ht="15.75" x14ac:dyDescent="0.25">
      <c r="J252"/>
      <c r="K252"/>
      <c r="S252" s="2109" t="s">
        <v>912</v>
      </c>
      <c r="T252" s="2110">
        <f>T$226*$M$226</f>
        <v>-32799.742085416801</v>
      </c>
      <c r="U252" s="2110">
        <f>U$226*$M$226</f>
        <v>0</v>
      </c>
      <c r="V252" s="2110">
        <f>V$226*$M$226</f>
        <v>-326722.95652512833</v>
      </c>
      <c r="W252" s="2110">
        <f>SUM(T252:V252)</f>
        <v>-359522.69861054514</v>
      </c>
    </row>
    <row r="253" spans="10:23" ht="15.75" x14ac:dyDescent="0.25">
      <c r="J253"/>
      <c r="K253"/>
      <c r="S253" s="2109" t="s">
        <v>921</v>
      </c>
      <c r="T253" s="2110">
        <f>T$226*$N$226</f>
        <v>-9194.629384810125</v>
      </c>
      <c r="U253" s="2110">
        <f>U$226*$N$226</f>
        <v>0</v>
      </c>
      <c r="V253" s="2110">
        <f>V$226*$N$226</f>
        <v>-91589.028015365009</v>
      </c>
      <c r="W253" s="2110">
        <f t="shared" ref="W253:W254" si="46">SUM(T253:V253)</f>
        <v>-100783.65740017513</v>
      </c>
    </row>
    <row r="254" spans="10:23" ht="15.75" x14ac:dyDescent="0.25">
      <c r="J254"/>
      <c r="K254"/>
      <c r="S254" s="2109" t="s">
        <v>5462</v>
      </c>
      <c r="T254" s="2110">
        <f>T$226*$O$226</f>
        <v>-7328.8741386609727</v>
      </c>
      <c r="U254" s="2110">
        <f>U$226*$O$226</f>
        <v>0</v>
      </c>
      <c r="V254" s="2110">
        <f>V$226*$O$226</f>
        <v>-73003.971200386281</v>
      </c>
      <c r="W254" s="2110">
        <f t="shared" si="46"/>
        <v>-80332.845339047257</v>
      </c>
    </row>
    <row r="255" spans="10:23" ht="15.75" x14ac:dyDescent="0.25">
      <c r="J255"/>
      <c r="K255"/>
      <c r="S255" s="2109" t="s">
        <v>5606</v>
      </c>
      <c r="T255" s="2112">
        <f>SUM(T252:T254)</f>
        <v>-49323.245608887897</v>
      </c>
      <c r="U255" s="2112">
        <f t="shared" ref="U255:W255" si="47">SUM(U252:U254)</f>
        <v>0</v>
      </c>
      <c r="V255" s="2112">
        <f t="shared" si="47"/>
        <v>-491315.95574087964</v>
      </c>
      <c r="W255" s="2112">
        <f t="shared" si="47"/>
        <v>-540639.20134976751</v>
      </c>
    </row>
    <row r="256" spans="10:23" ht="15.75" x14ac:dyDescent="0.25">
      <c r="J256"/>
      <c r="K256"/>
      <c r="T256" s="2023" t="s">
        <v>5459</v>
      </c>
      <c r="U256" s="2023" t="s">
        <v>5459</v>
      </c>
      <c r="V256" s="2096" t="s">
        <v>5607</v>
      </c>
      <c r="W256" s="2240">
        <f>SUM(G226:I226)</f>
        <v>-540639.20134976751</v>
      </c>
    </row>
  </sheetData>
  <mergeCells count="3">
    <mergeCell ref="S9:V9"/>
    <mergeCell ref="M218:P218"/>
    <mergeCell ref="T223:W224"/>
  </mergeCells>
  <pageMargins left="0.7" right="0.7" top="0.75" bottom="0.75" header="0.3" footer="0.3"/>
  <pageSetup scale="86" fitToHeight="0" orientation="landscape" horizontalDpi="1200" verticalDpi="1200" r:id="rId1"/>
  <customProperties>
    <customPr name="_pios_id" r:id="rId2"/>
  </customProperties>
  <drawing r:id="rId3"/>
  <legacyDrawing r:id="rId4"/>
  <oleObjects>
    <mc:AlternateContent xmlns:mc="http://schemas.openxmlformats.org/markup-compatibility/2006">
      <mc:Choice Requires="x14">
        <oleObject progId="StaticMetafile" shapeId="140289" r:id="rId5">
          <objectPr defaultSize="0" autoPict="0" r:id="rId6">
            <anchor moveWithCells="1" sizeWithCells="1">
              <from>
                <xdr:col>0</xdr:col>
                <xdr:colOff>38100</xdr:colOff>
                <xdr:row>0</xdr:row>
                <xdr:rowOff>95250</xdr:rowOff>
              </from>
              <to>
                <xdr:col>2</xdr:col>
                <xdr:colOff>247650</xdr:colOff>
                <xdr:row>3</xdr:row>
                <xdr:rowOff>9525</xdr:rowOff>
              </to>
            </anchor>
          </objectPr>
        </oleObject>
      </mc:Choice>
      <mc:Fallback>
        <oleObject progId="StaticMetafile" shapeId="140289" r:id="rId5"/>
      </mc:Fallback>
    </mc:AlternateContent>
  </oleObjects>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E25C56-7A47-45FC-84C2-E10505D3666D}">
  <sheetPr codeName="Sheet30">
    <tabColor rgb="FF00B0F0"/>
    <pageSetUpPr fitToPage="1"/>
  </sheetPr>
  <dimension ref="A1:AD1030"/>
  <sheetViews>
    <sheetView topLeftCell="F1" zoomScale="115" zoomScaleNormal="115" zoomScaleSheetLayoutView="100" workbookViewId="0">
      <pane ySplit="36" topLeftCell="A970" activePane="bottomLeft" state="frozen"/>
      <selection activeCell="W987" sqref="W987"/>
      <selection pane="bottomLeft" activeCell="W987" sqref="W987"/>
    </sheetView>
  </sheetViews>
  <sheetFormatPr defaultRowHeight="12.75" outlineLevelRow="2" x14ac:dyDescent="0.2"/>
  <cols>
    <col min="1" max="1" width="9" style="1953"/>
    <col min="2" max="2" width="21.25" style="1953" customWidth="1"/>
    <col min="3" max="3" width="9" style="1953"/>
    <col min="4" max="4" width="39.625" style="1953" bestFit="1" customWidth="1"/>
    <col min="5" max="5" width="6.25" style="1953" bestFit="1" customWidth="1"/>
    <col min="6" max="6" width="10.375" style="1953" bestFit="1" customWidth="1"/>
    <col min="7" max="7" width="8.875" style="1953" bestFit="1" customWidth="1"/>
    <col min="8" max="9" width="7.875" style="1953" bestFit="1" customWidth="1"/>
    <col min="10" max="16" width="9" style="1953"/>
    <col min="17" max="17" width="3.625" style="1953" customWidth="1"/>
    <col min="18" max="18" width="9" style="1953"/>
    <col min="19" max="19" width="10.75" style="1953" bestFit="1" customWidth="1"/>
    <col min="20" max="20" width="9.375" style="1953" bestFit="1" customWidth="1"/>
    <col min="21" max="21" width="8.375" style="1953" bestFit="1" customWidth="1"/>
    <col min="22" max="22" width="9.375" style="1953" bestFit="1" customWidth="1"/>
    <col min="23" max="23" width="9" style="1953"/>
    <col min="24" max="24" width="11.5" style="1953" bestFit="1" customWidth="1"/>
    <col min="25" max="30" width="7.625" style="1953" customWidth="1"/>
    <col min="31" max="16384" width="9" style="1953"/>
  </cols>
  <sheetData>
    <row r="1" spans="1:30" ht="39.950000000000003" customHeight="1" x14ac:dyDescent="0.2"/>
    <row r="2" spans="1:30" ht="42" hidden="1" customHeight="1" x14ac:dyDescent="0.2"/>
    <row r="3" spans="1:30" ht="35.25" hidden="1" customHeight="1" x14ac:dyDescent="0.2">
      <c r="D3" s="1951"/>
      <c r="F3" s="1951"/>
      <c r="G3" s="1951"/>
    </row>
    <row r="4" spans="1:30" ht="12" customHeight="1" x14ac:dyDescent="0.25">
      <c r="A4" s="1990"/>
      <c r="D4" s="1952"/>
      <c r="F4" s="1952"/>
      <c r="G4" s="1952"/>
    </row>
    <row r="5" spans="1:30" ht="12" customHeight="1" thickBot="1" x14ac:dyDescent="0.25">
      <c r="A5" s="1950" t="s">
        <v>5681</v>
      </c>
      <c r="B5" s="1951"/>
      <c r="C5" s="1951"/>
      <c r="D5" s="1952"/>
      <c r="E5" s="1951"/>
      <c r="F5" s="1952"/>
      <c r="G5" s="1952"/>
      <c r="H5" s="1951"/>
      <c r="I5" s="1951"/>
    </row>
    <row r="6" spans="1:30" ht="12" customHeight="1" x14ac:dyDescent="0.2">
      <c r="A6" s="1952" t="s">
        <v>2260</v>
      </c>
      <c r="B6" s="1952"/>
      <c r="C6" s="1952"/>
      <c r="D6" s="1952"/>
      <c r="E6" s="1952"/>
      <c r="F6" s="1952"/>
      <c r="G6" s="1952"/>
      <c r="H6" s="1952"/>
      <c r="I6" s="1952"/>
      <c r="J6" s="2023" t="s">
        <v>5459</v>
      </c>
      <c r="K6" s="2023" t="s">
        <v>5459</v>
      </c>
      <c r="L6" s="2023" t="s">
        <v>5459</v>
      </c>
      <c r="M6" s="2023" t="s">
        <v>5459</v>
      </c>
      <c r="N6" s="2023" t="s">
        <v>5459</v>
      </c>
      <c r="O6" s="2023" t="s">
        <v>5459</v>
      </c>
      <c r="P6" s="2023" t="s">
        <v>5459</v>
      </c>
      <c r="Q6" s="2023" t="s">
        <v>5459</v>
      </c>
      <c r="R6" s="2023" t="s">
        <v>5459</v>
      </c>
      <c r="S6" s="2023" t="s">
        <v>5459</v>
      </c>
      <c r="T6" s="2023" t="s">
        <v>5459</v>
      </c>
      <c r="U6" s="2023" t="s">
        <v>5459</v>
      </c>
      <c r="V6" s="2023" t="s">
        <v>5459</v>
      </c>
      <c r="W6" s="2241" t="s">
        <v>5682</v>
      </c>
      <c r="X6" s="2242" t="s">
        <v>5459</v>
      </c>
      <c r="Y6" s="2243" t="s">
        <v>5683</v>
      </c>
      <c r="Z6" s="2244"/>
      <c r="AA6" s="2244"/>
      <c r="AB6" s="2244"/>
      <c r="AC6" s="2244"/>
      <c r="AD6" s="2245"/>
    </row>
    <row r="7" spans="1:30" ht="12" customHeight="1" x14ac:dyDescent="0.2">
      <c r="A7" s="1952" t="s">
        <v>875</v>
      </c>
      <c r="B7" s="1952"/>
      <c r="C7" s="1952"/>
      <c r="E7" s="1952"/>
      <c r="H7" s="1952"/>
      <c r="I7" s="1952"/>
      <c r="J7" s="2023" t="s">
        <v>5459</v>
      </c>
      <c r="K7" s="2023" t="s">
        <v>5459</v>
      </c>
      <c r="L7" s="2023" t="s">
        <v>5459</v>
      </c>
      <c r="M7" s="2023" t="s">
        <v>5459</v>
      </c>
      <c r="N7" s="2023" t="s">
        <v>5459</v>
      </c>
      <c r="O7" s="2023" t="s">
        <v>5459</v>
      </c>
      <c r="P7" s="2023" t="s">
        <v>5459</v>
      </c>
      <c r="Q7" s="2023" t="s">
        <v>5459</v>
      </c>
      <c r="R7" s="2023" t="s">
        <v>5459</v>
      </c>
      <c r="S7" s="2023" t="s">
        <v>5459</v>
      </c>
      <c r="T7" s="2023" t="s">
        <v>5459</v>
      </c>
      <c r="U7" s="2023" t="s">
        <v>5459</v>
      </c>
      <c r="V7" s="2023" t="s">
        <v>5459</v>
      </c>
      <c r="W7" s="2246" t="s">
        <v>5459</v>
      </c>
      <c r="X7" s="2247" t="s">
        <v>5459</v>
      </c>
      <c r="Y7" s="2248" t="s">
        <v>5684</v>
      </c>
      <c r="Z7" s="1946"/>
      <c r="AA7" s="1946"/>
      <c r="AB7" s="1946"/>
      <c r="AC7" s="1946"/>
      <c r="AD7" s="2249"/>
    </row>
    <row r="8" spans="1:30" ht="12" customHeight="1" x14ac:dyDescent="0.2">
      <c r="A8" s="1952" t="s">
        <v>876</v>
      </c>
      <c r="B8" s="1952"/>
      <c r="C8" s="1952"/>
      <c r="D8" s="1952"/>
      <c r="E8" s="1952"/>
      <c r="F8" s="1952"/>
      <c r="G8" s="1952"/>
      <c r="H8" s="1952"/>
      <c r="I8" s="1952"/>
      <c r="J8" s="2023" t="s">
        <v>5459</v>
      </c>
      <c r="K8" s="2023" t="s">
        <v>5459</v>
      </c>
      <c r="L8" s="2023" t="s">
        <v>5459</v>
      </c>
      <c r="M8" s="2023" t="s">
        <v>5459</v>
      </c>
      <c r="N8" s="2023" t="s">
        <v>5459</v>
      </c>
      <c r="O8" s="2023" t="s">
        <v>5459</v>
      </c>
      <c r="P8" s="2023" t="s">
        <v>5459</v>
      </c>
      <c r="Q8" s="2023" t="s">
        <v>5459</v>
      </c>
      <c r="R8" s="2023" t="s">
        <v>5459</v>
      </c>
      <c r="S8" s="2023" t="s">
        <v>5459</v>
      </c>
      <c r="T8" s="2023" t="s">
        <v>5459</v>
      </c>
      <c r="U8" s="2023" t="s">
        <v>5459</v>
      </c>
      <c r="V8" s="2023" t="s">
        <v>5459</v>
      </c>
      <c r="W8" s="2246" t="s">
        <v>5459</v>
      </c>
      <c r="X8" s="2250" t="s">
        <v>5459</v>
      </c>
      <c r="Y8" s="2248" t="s">
        <v>5685</v>
      </c>
      <c r="Z8" s="1946"/>
      <c r="AA8" s="1946"/>
      <c r="AB8" s="1946"/>
      <c r="AC8" s="1946"/>
      <c r="AD8" s="2249"/>
    </row>
    <row r="9" spans="1:30" ht="12" customHeight="1" x14ac:dyDescent="0.25">
      <c r="D9" s="1956"/>
      <c r="F9" s="1956"/>
      <c r="G9" s="1956"/>
      <c r="J9" s="2023" t="s">
        <v>5459</v>
      </c>
      <c r="K9" s="2023" t="s">
        <v>5459</v>
      </c>
      <c r="L9" s="3842" t="s">
        <v>5460</v>
      </c>
      <c r="M9" s="3843"/>
      <c r="N9" s="3843"/>
      <c r="O9" s="3843"/>
      <c r="P9" s="3844"/>
      <c r="Q9" s="2023" t="s">
        <v>5459</v>
      </c>
      <c r="R9" s="3842" t="s">
        <v>5686</v>
      </c>
      <c r="S9" s="3843"/>
      <c r="T9" s="3843"/>
      <c r="U9" s="3843"/>
      <c r="V9" s="3843"/>
      <c r="W9" s="2246" t="s">
        <v>5459</v>
      </c>
      <c r="X9" s="2251" t="s">
        <v>5459</v>
      </c>
      <c r="Y9" s="2248" t="s">
        <v>5687</v>
      </c>
      <c r="Z9" s="1946"/>
      <c r="AA9" s="1946"/>
      <c r="AB9" s="1946"/>
      <c r="AC9" s="1946"/>
      <c r="AD9" s="2249"/>
    </row>
    <row r="10" spans="1:30" s="1946" customFormat="1" ht="12" hidden="1" customHeight="1" outlineLevel="1" x14ac:dyDescent="0.2">
      <c r="A10" s="1951" t="s">
        <v>877</v>
      </c>
      <c r="B10" s="1952" t="s">
        <v>2411</v>
      </c>
      <c r="W10" s="2252"/>
      <c r="Y10" s="2253"/>
      <c r="AD10" s="2249"/>
    </row>
    <row r="11" spans="1:30" s="1946" customFormat="1" ht="12" hidden="1" customHeight="1" outlineLevel="1" x14ac:dyDescent="0.2">
      <c r="A11" s="1951" t="s">
        <v>879</v>
      </c>
      <c r="B11" s="1956">
        <v>45394.5657808912</v>
      </c>
      <c r="W11" s="2252"/>
      <c r="Y11" s="2253"/>
      <c r="AD11" s="2249"/>
    </row>
    <row r="12" spans="1:30" s="1946" customFormat="1" ht="12" hidden="1" customHeight="1" outlineLevel="1" x14ac:dyDescent="0.2">
      <c r="W12" s="2252"/>
      <c r="Y12" s="2253"/>
      <c r="AD12" s="2249"/>
    </row>
    <row r="13" spans="1:30" s="1946" customFormat="1" ht="12" hidden="1" customHeight="1" outlineLevel="1" x14ac:dyDescent="0.2">
      <c r="A13" s="1953"/>
      <c r="B13" s="1953"/>
      <c r="W13" s="2252"/>
      <c r="Y13" s="2253"/>
      <c r="AD13" s="2249"/>
    </row>
    <row r="14" spans="1:30" s="1946" customFormat="1" ht="12" hidden="1" customHeight="1" outlineLevel="1" x14ac:dyDescent="0.2">
      <c r="A14" s="1953"/>
      <c r="B14" s="1953"/>
      <c r="W14" s="2252"/>
      <c r="Y14" s="2253"/>
      <c r="AD14" s="2249"/>
    </row>
    <row r="15" spans="1:30" ht="12" hidden="1" customHeight="1" outlineLevel="1" x14ac:dyDescent="0.2">
      <c r="C15" s="1946"/>
      <c r="D15" s="1946"/>
      <c r="E15" s="1946"/>
      <c r="F15" s="1946"/>
      <c r="G15" s="1946"/>
      <c r="H15" s="1946"/>
      <c r="I15" s="1946"/>
      <c r="J15" s="1946"/>
      <c r="K15" s="1946"/>
      <c r="L15" s="1946"/>
      <c r="M15" s="1946"/>
      <c r="N15" s="1946"/>
      <c r="O15" s="1946"/>
      <c r="P15" s="1946"/>
      <c r="Q15" s="1946"/>
      <c r="R15" s="1946"/>
      <c r="S15" s="1946"/>
      <c r="T15" s="1946"/>
      <c r="U15" s="1946"/>
      <c r="V15" s="1946"/>
      <c r="W15" s="2252"/>
      <c r="X15" s="1946"/>
      <c r="Y15" s="2253"/>
      <c r="Z15" s="1946"/>
      <c r="AA15" s="1946"/>
      <c r="AB15" s="1946"/>
      <c r="AC15" s="1946"/>
      <c r="AD15" s="2249"/>
    </row>
    <row r="16" spans="1:30" s="1946" customFormat="1" ht="12" hidden="1" customHeight="1" outlineLevel="1" x14ac:dyDescent="0.2">
      <c r="A16" s="1953"/>
      <c r="B16" s="1953"/>
      <c r="W16" s="2252"/>
      <c r="Y16" s="2253"/>
      <c r="AD16" s="2249"/>
    </row>
    <row r="17" spans="1:30" s="1946" customFormat="1" ht="12" hidden="1" customHeight="1" outlineLevel="1" x14ac:dyDescent="0.2">
      <c r="A17" s="1953"/>
      <c r="B17" s="1953"/>
      <c r="W17" s="2252"/>
      <c r="Y17" s="2253"/>
      <c r="AD17" s="2249"/>
    </row>
    <row r="18" spans="1:30" s="1946" customFormat="1" ht="12" hidden="1" customHeight="1" outlineLevel="1" x14ac:dyDescent="0.2">
      <c r="A18" s="1953"/>
      <c r="B18" s="1953"/>
      <c r="W18" s="2252"/>
      <c r="Y18" s="2253"/>
      <c r="AD18" s="2249"/>
    </row>
    <row r="19" spans="1:30" s="1946" customFormat="1" ht="12" hidden="1" customHeight="1" outlineLevel="1" x14ac:dyDescent="0.2">
      <c r="A19" s="1953"/>
      <c r="B19" s="1953" t="s">
        <v>3110</v>
      </c>
      <c r="W19" s="2252"/>
      <c r="Y19" s="2253"/>
      <c r="AD19" s="2249"/>
    </row>
    <row r="20" spans="1:30" s="1946" customFormat="1" ht="12" hidden="1" customHeight="1" outlineLevel="1" x14ac:dyDescent="0.2">
      <c r="A20" s="1953"/>
      <c r="B20" s="1953"/>
      <c r="W20" s="2252"/>
      <c r="Y20" s="2253"/>
      <c r="AD20" s="2249"/>
    </row>
    <row r="21" spans="1:30" s="1946" customFormat="1" ht="12" hidden="1" customHeight="1" outlineLevel="1" x14ac:dyDescent="0.2">
      <c r="A21" s="1953"/>
      <c r="B21" s="1953"/>
      <c r="W21" s="2252"/>
      <c r="Y21" s="2253"/>
      <c r="AD21" s="2249"/>
    </row>
    <row r="22" spans="1:30" s="1946" customFormat="1" ht="12" hidden="1" customHeight="1" outlineLevel="1" x14ac:dyDescent="0.2">
      <c r="A22" s="1953"/>
      <c r="B22" s="1953"/>
      <c r="W22" s="2252"/>
      <c r="Y22" s="2253"/>
      <c r="AD22" s="2249"/>
    </row>
    <row r="23" spans="1:30" ht="12" hidden="1" customHeight="1" outlineLevel="1" x14ac:dyDescent="0.2">
      <c r="C23" s="1946"/>
      <c r="D23" s="1946"/>
      <c r="E23" s="1946"/>
      <c r="F23" s="1946"/>
      <c r="G23" s="1946"/>
      <c r="H23" s="1946"/>
      <c r="I23" s="1946"/>
      <c r="J23" s="1946"/>
      <c r="K23" s="1946"/>
      <c r="L23" s="1946"/>
      <c r="M23" s="1946"/>
      <c r="N23" s="1946"/>
      <c r="O23" s="1946"/>
      <c r="P23" s="1946"/>
      <c r="Q23" s="1946"/>
      <c r="R23" s="1946"/>
      <c r="S23" s="1946"/>
      <c r="T23" s="1946"/>
      <c r="U23" s="1946"/>
      <c r="V23" s="1946"/>
      <c r="W23" s="2252"/>
      <c r="X23" s="1946"/>
      <c r="Y23" s="2253"/>
      <c r="Z23" s="1946"/>
      <c r="AA23" s="1946"/>
      <c r="AB23" s="1946"/>
      <c r="AC23" s="1946"/>
      <c r="AD23" s="2249"/>
    </row>
    <row r="24" spans="1:30" ht="12" hidden="1" customHeight="1" outlineLevel="1" x14ac:dyDescent="0.2">
      <c r="C24" s="1946"/>
      <c r="D24" s="1946"/>
      <c r="E24" s="1946"/>
      <c r="F24" s="1946"/>
      <c r="G24" s="1946"/>
      <c r="H24" s="1946"/>
      <c r="I24" s="1946"/>
      <c r="J24" s="1946"/>
      <c r="K24" s="1946"/>
      <c r="L24" s="1946"/>
      <c r="M24" s="1946"/>
      <c r="N24" s="1946"/>
      <c r="O24" s="1946"/>
      <c r="P24" s="1946"/>
      <c r="Q24" s="1946"/>
      <c r="R24" s="1946"/>
      <c r="S24" s="1946"/>
      <c r="T24" s="1946"/>
      <c r="U24" s="1946"/>
      <c r="V24" s="1946"/>
      <c r="W24" s="2252"/>
      <c r="X24" s="1946"/>
      <c r="Y24" s="2253"/>
      <c r="Z24" s="1946"/>
      <c r="AA24" s="1946"/>
      <c r="AB24" s="1946"/>
      <c r="AC24" s="1946"/>
      <c r="AD24" s="2249"/>
    </row>
    <row r="25" spans="1:30" s="1946" customFormat="1" ht="12" hidden="1" customHeight="1" outlineLevel="1" x14ac:dyDescent="0.2">
      <c r="A25" s="1953"/>
      <c r="B25" s="1953"/>
      <c r="D25" s="1948"/>
      <c r="F25" s="1948"/>
      <c r="G25" s="1948"/>
      <c r="W25" s="2252"/>
      <c r="Y25" s="2253"/>
      <c r="AD25" s="2249"/>
    </row>
    <row r="26" spans="1:30" s="1946" customFormat="1" ht="12" hidden="1" customHeight="1" outlineLevel="1" x14ac:dyDescent="0.2">
      <c r="D26" s="1948"/>
      <c r="F26" s="1948"/>
      <c r="G26" s="1948"/>
      <c r="W26" s="2252"/>
      <c r="Y26" s="2253"/>
      <c r="AD26" s="2249"/>
    </row>
    <row r="27" spans="1:30" s="1946" customFormat="1" ht="12" hidden="1" customHeight="1" outlineLevel="1" x14ac:dyDescent="0.2">
      <c r="A27" s="1951" t="s">
        <v>724</v>
      </c>
      <c r="B27" s="1952" t="s">
        <v>724</v>
      </c>
      <c r="C27" s="1948"/>
      <c r="D27" s="1948"/>
      <c r="E27" s="1948"/>
      <c r="F27" s="1948"/>
      <c r="G27" s="1948"/>
      <c r="H27" s="1948"/>
      <c r="I27" s="1948"/>
      <c r="J27" s="1948"/>
      <c r="K27" s="1948"/>
      <c r="L27" s="1948"/>
      <c r="M27" s="1948"/>
      <c r="N27" s="1948"/>
      <c r="O27" s="1948"/>
      <c r="P27" s="1948"/>
      <c r="Q27" s="1948"/>
      <c r="R27" s="1948"/>
      <c r="S27" s="1948"/>
      <c r="T27" s="1948"/>
      <c r="U27" s="1948"/>
      <c r="V27" s="1948"/>
      <c r="W27" s="2254"/>
      <c r="X27" s="1948"/>
      <c r="Y27" s="2255"/>
      <c r="Z27" s="1948"/>
      <c r="AA27" s="1948"/>
      <c r="AB27" s="1948"/>
      <c r="AC27" s="1948"/>
      <c r="AD27" s="2256"/>
    </row>
    <row r="28" spans="1:30" s="1946" customFormat="1" ht="12" hidden="1" customHeight="1" outlineLevel="1" x14ac:dyDescent="0.2">
      <c r="A28" s="1951" t="s">
        <v>883</v>
      </c>
      <c r="B28" s="1952" t="s">
        <v>884</v>
      </c>
      <c r="C28" s="1948"/>
      <c r="D28" s="1948"/>
      <c r="E28" s="1948"/>
      <c r="F28" s="1948"/>
      <c r="G28" s="1948"/>
      <c r="H28" s="1948"/>
      <c r="I28" s="1948"/>
      <c r="J28" s="1948"/>
      <c r="K28" s="1948"/>
      <c r="L28" s="1948"/>
      <c r="M28" s="1948"/>
      <c r="N28" s="1948"/>
      <c r="O28" s="1948"/>
      <c r="P28" s="1948"/>
      <c r="Q28" s="1948"/>
      <c r="R28" s="1948"/>
      <c r="S28" s="1948"/>
      <c r="T28" s="1948"/>
      <c r="U28" s="1948"/>
      <c r="V28" s="1948"/>
      <c r="W28" s="2254"/>
      <c r="X28" s="1948"/>
      <c r="Y28" s="2255"/>
      <c r="Z28" s="1948"/>
      <c r="AA28" s="1948"/>
      <c r="AB28" s="1948"/>
      <c r="AC28" s="1948"/>
      <c r="AD28" s="2256"/>
    </row>
    <row r="29" spans="1:30" s="1946" customFormat="1" ht="12" hidden="1" customHeight="1" outlineLevel="1" x14ac:dyDescent="0.2">
      <c r="A29" s="1951" t="s">
        <v>885</v>
      </c>
      <c r="B29" s="1952" t="s">
        <v>2264</v>
      </c>
      <c r="C29" s="1948"/>
      <c r="D29" s="1948"/>
      <c r="E29" s="1948"/>
      <c r="F29" s="1948"/>
      <c r="G29" s="1948"/>
      <c r="H29" s="1948"/>
      <c r="I29" s="1948"/>
      <c r="J29" s="1948"/>
      <c r="K29" s="1948"/>
      <c r="L29" s="1948"/>
      <c r="M29" s="1948"/>
      <c r="N29" s="1948"/>
      <c r="O29" s="1948"/>
      <c r="P29" s="1948"/>
      <c r="Q29" s="1948"/>
      <c r="R29" s="1948"/>
      <c r="S29" s="1948"/>
      <c r="T29" s="1948"/>
      <c r="U29" s="1948"/>
      <c r="V29" s="1948"/>
      <c r="W29" s="2254"/>
      <c r="X29" s="1948"/>
      <c r="Y29" s="2255"/>
      <c r="Z29" s="1948"/>
      <c r="AA29" s="1948"/>
      <c r="AB29" s="1948"/>
      <c r="AC29" s="1948"/>
      <c r="AD29" s="2256"/>
    </row>
    <row r="30" spans="1:30" s="1946" customFormat="1" ht="12" hidden="1" customHeight="1" outlineLevel="1" x14ac:dyDescent="0.2">
      <c r="A30" s="1951" t="s">
        <v>886</v>
      </c>
      <c r="B30" s="1952" t="s">
        <v>887</v>
      </c>
      <c r="C30" s="1948"/>
      <c r="D30" s="1948"/>
      <c r="E30" s="1948"/>
      <c r="F30" s="1948"/>
      <c r="G30" s="1948"/>
      <c r="H30" s="1948"/>
      <c r="I30" s="1948"/>
      <c r="J30" s="1948"/>
      <c r="K30" s="1948"/>
      <c r="L30" s="1948"/>
      <c r="M30" s="1948"/>
      <c r="N30" s="1948"/>
      <c r="O30" s="1948"/>
      <c r="P30" s="1948"/>
      <c r="Q30" s="1948"/>
      <c r="R30" s="1948"/>
      <c r="S30" s="1948"/>
      <c r="T30" s="1948"/>
      <c r="U30" s="1948"/>
      <c r="V30" s="1948"/>
      <c r="W30" s="2254"/>
      <c r="X30" s="1948"/>
      <c r="Y30" s="2255"/>
      <c r="Z30" s="1948"/>
      <c r="AA30" s="1948"/>
      <c r="AB30" s="1948"/>
      <c r="AC30" s="1948"/>
      <c r="AD30" s="2256"/>
    </row>
    <row r="31" spans="1:30" s="1946" customFormat="1" ht="12" hidden="1" customHeight="1" outlineLevel="1" x14ac:dyDescent="0.2">
      <c r="A31" s="1951" t="s">
        <v>888</v>
      </c>
      <c r="B31" s="1952" t="s">
        <v>889</v>
      </c>
      <c r="C31" s="1948"/>
      <c r="D31" s="1948"/>
      <c r="E31" s="1948"/>
      <c r="F31" s="1948"/>
      <c r="G31" s="1948"/>
      <c r="H31" s="1948"/>
      <c r="I31" s="1948"/>
      <c r="J31" s="1948"/>
      <c r="K31" s="1948"/>
      <c r="L31" s="1948"/>
      <c r="M31" s="1948"/>
      <c r="N31" s="1948"/>
      <c r="O31" s="1948"/>
      <c r="P31" s="1948"/>
      <c r="Q31" s="1948"/>
      <c r="R31" s="1948"/>
      <c r="S31" s="1948"/>
      <c r="T31" s="1948"/>
      <c r="U31" s="1948"/>
      <c r="V31" s="1948"/>
      <c r="W31" s="2254"/>
      <c r="X31" s="1948"/>
      <c r="Y31" s="2255"/>
      <c r="Z31" s="1948"/>
      <c r="AA31" s="1948"/>
      <c r="AB31" s="1948"/>
      <c r="AC31" s="1948"/>
      <c r="AD31" s="2256"/>
    </row>
    <row r="32" spans="1:30" s="1946" customFormat="1" ht="12" hidden="1" customHeight="1" outlineLevel="1" x14ac:dyDescent="0.2">
      <c r="A32" s="1951" t="s">
        <v>890</v>
      </c>
      <c r="B32" s="1952" t="s">
        <v>724</v>
      </c>
      <c r="C32" s="1948"/>
      <c r="D32" s="1948"/>
      <c r="E32" s="1948"/>
      <c r="F32" s="1948"/>
      <c r="G32" s="1948"/>
      <c r="H32" s="1948"/>
      <c r="I32" s="1948"/>
      <c r="J32" s="1948"/>
      <c r="K32" s="1948"/>
      <c r="L32" s="1948"/>
      <c r="M32" s="1948"/>
      <c r="N32" s="1948"/>
      <c r="O32" s="1948"/>
      <c r="P32" s="1948"/>
      <c r="Q32" s="1948"/>
      <c r="R32" s="1948"/>
      <c r="S32" s="1948"/>
      <c r="T32" s="1948"/>
      <c r="U32" s="1948"/>
      <c r="V32" s="1948"/>
      <c r="W32" s="2254"/>
      <c r="X32" s="1948"/>
      <c r="Y32" s="2255"/>
      <c r="Z32" s="1948"/>
      <c r="AA32" s="1948"/>
      <c r="AB32" s="1948"/>
      <c r="AC32" s="1948"/>
      <c r="AD32" s="2256"/>
    </row>
    <row r="33" spans="1:30" s="1946" customFormat="1" ht="12" hidden="1" customHeight="1" outlineLevel="1" x14ac:dyDescent="0.2">
      <c r="A33" s="1951" t="s">
        <v>891</v>
      </c>
      <c r="B33" s="1952" t="s">
        <v>2266</v>
      </c>
      <c r="C33" s="1948"/>
      <c r="D33" s="1952"/>
      <c r="E33" s="1948"/>
      <c r="F33" s="1952"/>
      <c r="G33" s="1952"/>
      <c r="H33" s="1948"/>
      <c r="I33" s="1948"/>
      <c r="J33" s="1948"/>
      <c r="K33" s="1948"/>
      <c r="L33" s="1948"/>
      <c r="M33" s="1948"/>
      <c r="N33" s="1948"/>
      <c r="O33" s="1948"/>
      <c r="P33" s="1948"/>
      <c r="Q33" s="1948"/>
      <c r="R33" s="1948"/>
      <c r="S33" s="1948"/>
      <c r="T33" s="1948"/>
      <c r="U33" s="1948"/>
      <c r="V33" s="1948"/>
      <c r="W33" s="2254"/>
      <c r="X33" s="1948"/>
      <c r="Y33" s="2255"/>
      <c r="Z33" s="1948"/>
      <c r="AA33" s="1948"/>
      <c r="AB33" s="1948"/>
      <c r="AC33" s="1948"/>
      <c r="AD33" s="2256"/>
    </row>
    <row r="34" spans="1:30" s="1946" customFormat="1" ht="12" hidden="1" customHeight="1" outlineLevel="1" x14ac:dyDescent="0.2">
      <c r="A34" s="1951" t="s">
        <v>893</v>
      </c>
      <c r="B34" s="1952" t="s">
        <v>724</v>
      </c>
      <c r="C34" s="1948"/>
      <c r="D34" s="1952"/>
      <c r="E34" s="1948"/>
      <c r="F34" s="1952"/>
      <c r="G34" s="1952"/>
      <c r="H34" s="1948"/>
      <c r="I34" s="1948"/>
      <c r="J34" s="1953"/>
      <c r="K34" s="1953"/>
      <c r="L34" s="1953"/>
      <c r="M34" s="1953"/>
      <c r="N34" s="1953"/>
      <c r="O34" s="1953"/>
      <c r="P34" s="1953"/>
      <c r="Q34" s="1953"/>
      <c r="R34" s="1953"/>
      <c r="S34" s="1953"/>
      <c r="T34" s="1953"/>
      <c r="U34" s="1953"/>
      <c r="V34" s="1948"/>
      <c r="W34" s="2254"/>
      <c r="X34" s="1948"/>
      <c r="Y34" s="2255"/>
      <c r="Z34" s="1948"/>
      <c r="AA34" s="1948"/>
      <c r="AB34" s="1948"/>
      <c r="AC34" s="1948"/>
      <c r="AD34" s="2256"/>
    </row>
    <row r="35" spans="1:30" ht="12" hidden="1" customHeight="1" outlineLevel="1" x14ac:dyDescent="0.2">
      <c r="A35" s="1951"/>
      <c r="B35" s="1951"/>
      <c r="C35" s="1951"/>
      <c r="D35" s="1951"/>
      <c r="I35" s="1951"/>
      <c r="J35" s="1951"/>
      <c r="K35" s="1951"/>
      <c r="L35" s="1951"/>
      <c r="M35" s="1951"/>
      <c r="N35" s="1951"/>
      <c r="O35" s="1951"/>
      <c r="P35" s="1951"/>
      <c r="Q35" s="1951"/>
      <c r="R35" s="1951"/>
      <c r="S35" s="1951"/>
      <c r="T35" s="1951"/>
      <c r="U35" s="1951"/>
      <c r="V35" s="1951"/>
      <c r="W35" s="2257"/>
      <c r="X35" s="1951"/>
      <c r="Y35" s="2258"/>
      <c r="Z35" s="1951"/>
      <c r="AA35" s="1951"/>
      <c r="AB35" s="1951"/>
      <c r="AC35" s="1947"/>
      <c r="AD35" s="2259"/>
    </row>
    <row r="36" spans="1:30" s="1992" customFormat="1" ht="14.25" collapsed="1" thickBot="1" x14ac:dyDescent="0.3">
      <c r="A36" s="1977" t="s">
        <v>894</v>
      </c>
      <c r="B36" s="1978"/>
      <c r="C36" s="1977" t="s">
        <v>895</v>
      </c>
      <c r="D36" s="1978"/>
      <c r="E36" s="1977" t="s">
        <v>896</v>
      </c>
      <c r="F36" s="1960" t="s">
        <v>104</v>
      </c>
      <c r="G36" s="1960" t="s">
        <v>898</v>
      </c>
      <c r="H36" s="1960" t="s">
        <v>899</v>
      </c>
      <c r="I36" s="1960" t="s">
        <v>900</v>
      </c>
      <c r="J36" s="2211" t="s">
        <v>5688</v>
      </c>
      <c r="K36" s="2023" t="s">
        <v>5459</v>
      </c>
      <c r="L36" s="2260" t="s">
        <v>5461</v>
      </c>
      <c r="M36" s="2261" t="s">
        <v>912</v>
      </c>
      <c r="N36" s="2262" t="s">
        <v>921</v>
      </c>
      <c r="O36" s="2263" t="s">
        <v>5462</v>
      </c>
      <c r="P36" s="2264" t="s">
        <v>5463</v>
      </c>
      <c r="Q36" s="2265"/>
      <c r="R36" s="2260" t="s">
        <v>5689</v>
      </c>
      <c r="S36" s="2261" t="s">
        <v>5461</v>
      </c>
      <c r="T36" s="2262" t="s">
        <v>394</v>
      </c>
      <c r="U36" s="2263" t="s">
        <v>393</v>
      </c>
      <c r="V36" s="2266" t="s">
        <v>392</v>
      </c>
      <c r="W36" s="2267" t="s">
        <v>5459</v>
      </c>
      <c r="X36" s="2268" t="s">
        <v>5459</v>
      </c>
      <c r="Y36" s="2269" t="s">
        <v>5690</v>
      </c>
      <c r="Z36" s="2270"/>
      <c r="AA36" s="2270"/>
      <c r="AB36" s="2270"/>
      <c r="AC36" s="2270"/>
      <c r="AD36" s="2271"/>
    </row>
    <row r="37" spans="1:30" hidden="1" outlineLevel="2" x14ac:dyDescent="0.2">
      <c r="A37" s="1980" t="s">
        <v>3111</v>
      </c>
      <c r="B37" s="1980" t="s">
        <v>3112</v>
      </c>
      <c r="C37" s="1980" t="s">
        <v>904</v>
      </c>
      <c r="D37" s="1980" t="s">
        <v>3113</v>
      </c>
      <c r="E37" s="1980" t="s">
        <v>936</v>
      </c>
      <c r="F37" s="1962">
        <v>678.00144999999998</v>
      </c>
      <c r="G37" s="1962">
        <v>0</v>
      </c>
      <c r="H37" s="1962">
        <v>0</v>
      </c>
      <c r="I37" s="1962">
        <v>0</v>
      </c>
    </row>
    <row r="38" spans="1:30" hidden="1" outlineLevel="2" x14ac:dyDescent="0.2">
      <c r="A38" s="1980" t="s">
        <v>3111</v>
      </c>
      <c r="B38" s="1980" t="s">
        <v>3112</v>
      </c>
      <c r="C38" s="1980" t="s">
        <v>904</v>
      </c>
      <c r="D38" s="1980" t="s">
        <v>3113</v>
      </c>
      <c r="E38" s="1980" t="s">
        <v>921</v>
      </c>
      <c r="F38" s="1962">
        <v>7.0614699999999999</v>
      </c>
      <c r="G38" s="1962">
        <v>0</v>
      </c>
      <c r="H38" s="1962">
        <v>7.0614699999999999</v>
      </c>
      <c r="I38" s="1962">
        <v>0</v>
      </c>
    </row>
    <row r="39" spans="1:30" ht="13.5" outlineLevel="1" collapsed="1" thickBot="1" x14ac:dyDescent="0.25">
      <c r="A39" s="2272" t="s">
        <v>3114</v>
      </c>
      <c r="B39" s="2272"/>
      <c r="C39" s="2272"/>
      <c r="D39" s="2272"/>
      <c r="E39" s="2272"/>
      <c r="F39" s="2273">
        <f>SUBTOTAL(9,F37:F38)</f>
        <v>685.06291999999996</v>
      </c>
      <c r="G39" s="2273">
        <f t="shared" ref="G39:I39" si="0">SUBTOTAL(9,G37:G38)</f>
        <v>0</v>
      </c>
      <c r="H39" s="2273">
        <f t="shared" si="0"/>
        <v>7.0614699999999999</v>
      </c>
      <c r="I39" s="2273">
        <f t="shared" si="0"/>
        <v>0</v>
      </c>
      <c r="J39" s="2069" t="s">
        <v>5691</v>
      </c>
    </row>
    <row r="40" spans="1:30" hidden="1" outlineLevel="2" x14ac:dyDescent="0.2">
      <c r="A40" s="1982" t="s">
        <v>3115</v>
      </c>
      <c r="B40" s="1982" t="s">
        <v>3116</v>
      </c>
      <c r="C40" s="1982" t="s">
        <v>904</v>
      </c>
      <c r="D40" s="1982" t="s">
        <v>3117</v>
      </c>
      <c r="E40" s="1982" t="s">
        <v>936</v>
      </c>
      <c r="F40" s="1968">
        <v>4.6596000000000002</v>
      </c>
      <c r="G40" s="1962">
        <v>0</v>
      </c>
      <c r="H40" s="1962">
        <v>0</v>
      </c>
      <c r="I40" s="1962">
        <v>0</v>
      </c>
    </row>
    <row r="41" spans="1:30" ht="13.5" outlineLevel="1" collapsed="1" thickBot="1" x14ac:dyDescent="0.25">
      <c r="A41" s="2272" t="s">
        <v>3118</v>
      </c>
      <c r="B41" s="2272"/>
      <c r="C41" s="2272"/>
      <c r="D41" s="2272"/>
      <c r="E41" s="2272"/>
      <c r="F41" s="2273">
        <f>SUBTOTAL(9,F40)</f>
        <v>4.6596000000000002</v>
      </c>
      <c r="G41" s="2273">
        <f t="shared" ref="G41:I41" si="1">SUBTOTAL(9,G40)</f>
        <v>0</v>
      </c>
      <c r="H41" s="2273">
        <f t="shared" si="1"/>
        <v>0</v>
      </c>
      <c r="I41" s="2273">
        <f t="shared" si="1"/>
        <v>0</v>
      </c>
    </row>
    <row r="42" spans="1:30" hidden="1" outlineLevel="2" x14ac:dyDescent="0.2">
      <c r="A42" s="1982" t="s">
        <v>3119</v>
      </c>
      <c r="B42" s="1982" t="s">
        <v>3120</v>
      </c>
      <c r="C42" s="1982" t="s">
        <v>904</v>
      </c>
      <c r="D42" s="1982" t="s">
        <v>3121</v>
      </c>
      <c r="E42" s="1982" t="s">
        <v>936</v>
      </c>
      <c r="F42" s="1968">
        <v>-180.4357</v>
      </c>
      <c r="G42" s="1962">
        <v>0</v>
      </c>
      <c r="H42" s="1962">
        <v>0</v>
      </c>
      <c r="I42" s="1962">
        <v>0</v>
      </c>
    </row>
    <row r="43" spans="1:30" hidden="1" outlineLevel="2" x14ac:dyDescent="0.2">
      <c r="A43" s="1980" t="s">
        <v>3119</v>
      </c>
      <c r="B43" s="1980" t="s">
        <v>3120</v>
      </c>
      <c r="C43" s="1980" t="s">
        <v>904</v>
      </c>
      <c r="D43" s="1980" t="s">
        <v>3121</v>
      </c>
      <c r="E43" s="1980" t="s">
        <v>920</v>
      </c>
      <c r="F43" s="1962">
        <v>1.2E-4</v>
      </c>
      <c r="G43" s="1962">
        <v>0</v>
      </c>
      <c r="H43" s="1962">
        <v>0</v>
      </c>
      <c r="I43" s="1962">
        <v>0</v>
      </c>
    </row>
    <row r="44" spans="1:30" hidden="1" outlineLevel="2" x14ac:dyDescent="0.2">
      <c r="A44" s="1980" t="s">
        <v>3119</v>
      </c>
      <c r="B44" s="1980" t="s">
        <v>3120</v>
      </c>
      <c r="C44" s="1980" t="s">
        <v>904</v>
      </c>
      <c r="D44" s="1980" t="s">
        <v>3121</v>
      </c>
      <c r="E44" s="1980" t="s">
        <v>921</v>
      </c>
      <c r="F44" s="1962">
        <v>-3.7495799999999999</v>
      </c>
      <c r="G44" s="1962">
        <v>0</v>
      </c>
      <c r="H44" s="1962">
        <v>-3.7495799999999999</v>
      </c>
      <c r="I44" s="1962">
        <v>0</v>
      </c>
    </row>
    <row r="45" spans="1:30" ht="13.5" outlineLevel="1" collapsed="1" thickBot="1" x14ac:dyDescent="0.25">
      <c r="A45" s="2272" t="s">
        <v>3122</v>
      </c>
      <c r="B45" s="2272"/>
      <c r="C45" s="2272"/>
      <c r="D45" s="2272"/>
      <c r="E45" s="2272"/>
      <c r="F45" s="2273">
        <f>SUBTOTAL(9,F42:F44)</f>
        <v>-184.18516</v>
      </c>
      <c r="G45" s="2273">
        <f t="shared" ref="G45:I45" si="2">SUBTOTAL(9,G42:G44)</f>
        <v>0</v>
      </c>
      <c r="H45" s="2273">
        <f t="shared" si="2"/>
        <v>-3.7495799999999999</v>
      </c>
      <c r="I45" s="2273">
        <f t="shared" si="2"/>
        <v>0</v>
      </c>
    </row>
    <row r="46" spans="1:30" hidden="1" outlineLevel="2" x14ac:dyDescent="0.2">
      <c r="A46" s="1982" t="s">
        <v>3123</v>
      </c>
      <c r="B46" s="1982" t="s">
        <v>3124</v>
      </c>
      <c r="C46" s="1982" t="s">
        <v>904</v>
      </c>
      <c r="D46" s="1982" t="s">
        <v>3125</v>
      </c>
      <c r="E46" s="1982" t="s">
        <v>936</v>
      </c>
      <c r="F46" s="1968">
        <v>-147013.78231000001</v>
      </c>
      <c r="G46" s="1962">
        <v>0</v>
      </c>
      <c r="H46" s="1962">
        <v>0</v>
      </c>
      <c r="I46" s="1962">
        <v>0</v>
      </c>
    </row>
    <row r="47" spans="1:30" ht="13.5" outlineLevel="1" collapsed="1" thickBot="1" x14ac:dyDescent="0.25">
      <c r="A47" s="2274" t="s">
        <v>3126</v>
      </c>
      <c r="B47" s="2274"/>
      <c r="C47" s="2274"/>
      <c r="D47" s="2274"/>
      <c r="E47" s="2274"/>
      <c r="F47" s="2275">
        <f t="shared" ref="F47:I47" si="3">SUBTOTAL(9,F46)</f>
        <v>-147013.78231000001</v>
      </c>
      <c r="G47" s="2275">
        <f t="shared" si="3"/>
        <v>0</v>
      </c>
      <c r="H47" s="2275">
        <f t="shared" si="3"/>
        <v>0</v>
      </c>
      <c r="I47" s="2275">
        <f t="shared" si="3"/>
        <v>0</v>
      </c>
      <c r="J47" s="2278"/>
      <c r="K47" s="2278"/>
      <c r="L47" s="2289">
        <f>F47/$F$47</f>
        <v>1</v>
      </c>
      <c r="M47" s="2289">
        <f>G47/$F$47</f>
        <v>0</v>
      </c>
      <c r="N47" s="2289">
        <f>H47/$F$47</f>
        <v>0</v>
      </c>
      <c r="O47" s="2289">
        <f>I47/$F$47</f>
        <v>0</v>
      </c>
      <c r="P47" s="2289">
        <f>SUM(M47:O47)</f>
        <v>0</v>
      </c>
      <c r="Q47" s="2290"/>
      <c r="R47" s="2290" t="s">
        <v>99</v>
      </c>
      <c r="S47" s="2291">
        <f>IF(R47=0,0,F47)</f>
        <v>-147013.78231000001</v>
      </c>
      <c r="T47" s="2291">
        <f>IF($R47="PTD",$S47*M$1016,IF($R47="PROD",$S47*M$1017,IF($R47="TRANS",$S47*M$1018,IF($R47="DIST",$S47*M$1019,IF($R47="LABOR",$S47*M$1020,IF($R47="TD",$S47*M$1021))))))</f>
        <v>-64714.900057716717</v>
      </c>
      <c r="U47" s="2291">
        <f>IF($R47="PTD",$S47*N$1016,IF($R47="PROD",$S47*N$1017,IF($R47="TRANS",$S47*N$1018,IF($R47="DIST",$S47*N$1019,IF($R47="LABOR",$S47*N$1020,IF($R47="TD",$S47*N$1021))))))</f>
        <v>0</v>
      </c>
      <c r="V47" s="2291">
        <f>IF($R47="PTD",$S47*O$1016,IF($R47="PROD",$S47*O$1017,IF($R47="TRANS",$S47*O$1018,IF($R47="DIST",$S47*O$1019,IF($R47="LABOR",$S47*O$1020,IF($R47="TD",$S47*O$1021))))))</f>
        <v>-82298.882252283278</v>
      </c>
      <c r="W47" s="2290" t="s">
        <v>90</v>
      </c>
    </row>
    <row r="48" spans="1:30" hidden="1" outlineLevel="2" x14ac:dyDescent="0.2">
      <c r="A48" s="1982" t="s">
        <v>3127</v>
      </c>
      <c r="B48" s="1982" t="s">
        <v>3128</v>
      </c>
      <c r="C48" s="1982" t="s">
        <v>3129</v>
      </c>
      <c r="D48" s="1982" t="s">
        <v>3130</v>
      </c>
      <c r="E48" s="1982" t="s">
        <v>918</v>
      </c>
      <c r="F48" s="1968">
        <v>165.83951999999999</v>
      </c>
      <c r="G48" s="1962">
        <v>0</v>
      </c>
      <c r="H48" s="1962">
        <v>0</v>
      </c>
      <c r="I48" s="1962">
        <v>0</v>
      </c>
    </row>
    <row r="49" spans="1:9" hidden="1" outlineLevel="2" x14ac:dyDescent="0.2">
      <c r="A49" s="1980" t="s">
        <v>3127</v>
      </c>
      <c r="B49" s="1980" t="s">
        <v>3128</v>
      </c>
      <c r="C49" s="1980" t="s">
        <v>3129</v>
      </c>
      <c r="D49" s="1980" t="s">
        <v>3130</v>
      </c>
      <c r="E49" s="1980" t="s">
        <v>912</v>
      </c>
      <c r="F49" s="1962">
        <v>752.31583999999998</v>
      </c>
      <c r="G49" s="1962">
        <v>752.31583999999998</v>
      </c>
      <c r="H49" s="1962">
        <v>0</v>
      </c>
      <c r="I49" s="1962">
        <v>0</v>
      </c>
    </row>
    <row r="50" spans="1:9" hidden="1" outlineLevel="2" x14ac:dyDescent="0.2">
      <c r="A50" s="1980" t="s">
        <v>3127</v>
      </c>
      <c r="B50" s="1980" t="s">
        <v>3128</v>
      </c>
      <c r="C50" s="1980" t="s">
        <v>3129</v>
      </c>
      <c r="D50" s="1980" t="s">
        <v>3130</v>
      </c>
      <c r="E50" s="1980" t="s">
        <v>906</v>
      </c>
      <c r="F50" s="1962">
        <v>-1661.9996599999999</v>
      </c>
      <c r="G50" s="1962">
        <v>-429.41422142157711</v>
      </c>
      <c r="H50" s="1962">
        <v>-118.68522733728807</v>
      </c>
      <c r="I50" s="1962">
        <v>-98.078489687429297</v>
      </c>
    </row>
    <row r="51" spans="1:9" hidden="1" outlineLevel="2" x14ac:dyDescent="0.2">
      <c r="A51" s="1980" t="s">
        <v>3127</v>
      </c>
      <c r="B51" s="1980" t="s">
        <v>3128</v>
      </c>
      <c r="C51" s="1980" t="s">
        <v>3129</v>
      </c>
      <c r="D51" s="1980" t="s">
        <v>3130</v>
      </c>
      <c r="E51" s="1980" t="s">
        <v>921</v>
      </c>
      <c r="F51" s="1962">
        <v>743.84429999999998</v>
      </c>
      <c r="G51" s="1962">
        <v>0</v>
      </c>
      <c r="H51" s="1962">
        <v>743.84429999999998</v>
      </c>
      <c r="I51" s="1962">
        <v>0</v>
      </c>
    </row>
    <row r="52" spans="1:9" hidden="1" outlineLevel="2" x14ac:dyDescent="0.2">
      <c r="A52" s="1980" t="s">
        <v>3127</v>
      </c>
      <c r="B52" s="1980" t="s">
        <v>3128</v>
      </c>
      <c r="C52" s="1980" t="s">
        <v>3131</v>
      </c>
      <c r="D52" s="1980" t="s">
        <v>3132</v>
      </c>
      <c r="E52" s="1980" t="s">
        <v>906</v>
      </c>
      <c r="F52" s="1962">
        <v>6553.7103399999996</v>
      </c>
      <c r="G52" s="1962">
        <v>1693.2954264705681</v>
      </c>
      <c r="H52" s="1962">
        <v>468.00767793516604</v>
      </c>
      <c r="I52" s="1962">
        <v>386.74978549399265</v>
      </c>
    </row>
    <row r="53" spans="1:9" hidden="1" outlineLevel="2" x14ac:dyDescent="0.2">
      <c r="A53" s="1980" t="s">
        <v>3127</v>
      </c>
      <c r="B53" s="1980" t="s">
        <v>3128</v>
      </c>
      <c r="C53" s="1980" t="s">
        <v>3133</v>
      </c>
      <c r="D53" s="1980" t="s">
        <v>3134</v>
      </c>
      <c r="E53" s="1980" t="s">
        <v>906</v>
      </c>
      <c r="F53" s="1962">
        <v>4491.6922400000003</v>
      </c>
      <c r="G53" s="1962">
        <v>1160.5276297739676</v>
      </c>
      <c r="H53" s="1962">
        <v>320.75669295475831</v>
      </c>
      <c r="I53" s="1962">
        <v>265.06527145736374</v>
      </c>
    </row>
    <row r="54" spans="1:9" hidden="1" outlineLevel="2" x14ac:dyDescent="0.2">
      <c r="A54" s="1980" t="s">
        <v>3127</v>
      </c>
      <c r="B54" s="1980" t="s">
        <v>3128</v>
      </c>
      <c r="C54" s="1980" t="s">
        <v>3135</v>
      </c>
      <c r="D54" s="1980" t="s">
        <v>3136</v>
      </c>
      <c r="E54" s="1980" t="s">
        <v>906</v>
      </c>
      <c r="F54" s="1962">
        <v>842.95719999999994</v>
      </c>
      <c r="G54" s="1962">
        <v>217.79656063811268</v>
      </c>
      <c r="H54" s="1962">
        <v>60.196502638035319</v>
      </c>
      <c r="I54" s="1962">
        <v>49.744877232492499</v>
      </c>
    </row>
    <row r="55" spans="1:9" hidden="1" outlineLevel="2" x14ac:dyDescent="0.2">
      <c r="A55" s="1980" t="s">
        <v>3127</v>
      </c>
      <c r="B55" s="1980" t="s">
        <v>3128</v>
      </c>
      <c r="C55" s="1980" t="s">
        <v>3137</v>
      </c>
      <c r="D55" s="1980" t="s">
        <v>3138</v>
      </c>
      <c r="E55" s="1980" t="s">
        <v>906</v>
      </c>
      <c r="F55" s="1962">
        <v>16102.400089999999</v>
      </c>
      <c r="G55" s="1962">
        <v>4160.4097546362209</v>
      </c>
      <c r="H55" s="1962">
        <v>1149.890136173444</v>
      </c>
      <c r="I55" s="1962">
        <v>950.24031543419551</v>
      </c>
    </row>
    <row r="56" spans="1:9" hidden="1" outlineLevel="2" x14ac:dyDescent="0.2">
      <c r="A56" s="1980" t="s">
        <v>3127</v>
      </c>
      <c r="B56" s="1980" t="s">
        <v>3128</v>
      </c>
      <c r="C56" s="1980" t="s">
        <v>3139</v>
      </c>
      <c r="D56" s="1980" t="s">
        <v>3140</v>
      </c>
      <c r="E56" s="1980" t="s">
        <v>919</v>
      </c>
      <c r="F56" s="1962">
        <v>-693.87455999999997</v>
      </c>
      <c r="G56" s="1962">
        <v>0</v>
      </c>
      <c r="H56" s="1962">
        <v>0</v>
      </c>
      <c r="I56" s="1962">
        <v>-693.87455999999997</v>
      </c>
    </row>
    <row r="57" spans="1:9" hidden="1" outlineLevel="2" x14ac:dyDescent="0.2">
      <c r="A57" s="1980" t="s">
        <v>3127</v>
      </c>
      <c r="B57" s="1980" t="s">
        <v>3128</v>
      </c>
      <c r="C57" s="1980" t="s">
        <v>3139</v>
      </c>
      <c r="D57" s="1980" t="s">
        <v>3140</v>
      </c>
      <c r="E57" s="1980" t="s">
        <v>923</v>
      </c>
      <c r="F57" s="1962">
        <v>-2929.3627700000002</v>
      </c>
      <c r="G57" s="1962">
        <v>0</v>
      </c>
      <c r="H57" s="1962">
        <v>0</v>
      </c>
      <c r="I57" s="1962">
        <v>0</v>
      </c>
    </row>
    <row r="58" spans="1:9" hidden="1" outlineLevel="2" x14ac:dyDescent="0.2">
      <c r="A58" s="1980" t="s">
        <v>3127</v>
      </c>
      <c r="B58" s="1980" t="s">
        <v>3128</v>
      </c>
      <c r="C58" s="1980" t="s">
        <v>3141</v>
      </c>
      <c r="D58" s="1980" t="s">
        <v>3142</v>
      </c>
      <c r="E58" s="1980" t="s">
        <v>906</v>
      </c>
      <c r="F58" s="1962">
        <v>1611.8124700000001</v>
      </c>
      <c r="G58" s="1962">
        <v>416.44725539994346</v>
      </c>
      <c r="H58" s="1962">
        <v>115.10130479029449</v>
      </c>
      <c r="I58" s="1962">
        <v>95.116826147223733</v>
      </c>
    </row>
    <row r="59" spans="1:9" hidden="1" outlineLevel="2" x14ac:dyDescent="0.2">
      <c r="A59" s="1980" t="s">
        <v>3127</v>
      </c>
      <c r="B59" s="1980" t="s">
        <v>3128</v>
      </c>
      <c r="C59" s="1980" t="s">
        <v>3143</v>
      </c>
      <c r="D59" s="1980" t="s">
        <v>3144</v>
      </c>
      <c r="E59" s="1980" t="s">
        <v>906</v>
      </c>
      <c r="F59" s="1962">
        <v>2770.2919299999999</v>
      </c>
      <c r="G59" s="1962">
        <v>715.76594199268857</v>
      </c>
      <c r="H59" s="1962">
        <v>197.82959973812783</v>
      </c>
      <c r="I59" s="1962">
        <v>163.48141039190924</v>
      </c>
    </row>
    <row r="60" spans="1:9" hidden="1" outlineLevel="2" x14ac:dyDescent="0.2">
      <c r="A60" s="1980" t="s">
        <v>3127</v>
      </c>
      <c r="B60" s="1980" t="s">
        <v>3128</v>
      </c>
      <c r="C60" s="1980" t="s">
        <v>3145</v>
      </c>
      <c r="D60" s="1980" t="s">
        <v>3146</v>
      </c>
      <c r="E60" s="1980" t="s">
        <v>906</v>
      </c>
      <c r="F60" s="1962">
        <v>45111.997920000002</v>
      </c>
      <c r="G60" s="1962">
        <v>11655.678355306407</v>
      </c>
      <c r="H60" s="1962">
        <v>3221.4974874149293</v>
      </c>
      <c r="I60" s="1962">
        <v>2662.1645775643856</v>
      </c>
    </row>
    <row r="61" spans="1:9" hidden="1" outlineLevel="2" x14ac:dyDescent="0.2">
      <c r="A61" s="1980" t="s">
        <v>3127</v>
      </c>
      <c r="B61" s="1980" t="s">
        <v>3128</v>
      </c>
      <c r="C61" s="1980" t="s">
        <v>3147</v>
      </c>
      <c r="D61" s="1980" t="s">
        <v>3148</v>
      </c>
      <c r="E61" s="1980" t="s">
        <v>906</v>
      </c>
      <c r="F61" s="1962">
        <v>-3198.8726999999999</v>
      </c>
      <c r="G61" s="1962">
        <v>-826.49922437242753</v>
      </c>
      <c r="H61" s="1962">
        <v>-228.4350248438345</v>
      </c>
      <c r="I61" s="1962">
        <v>-188.77296468180333</v>
      </c>
    </row>
    <row r="62" spans="1:9" hidden="1" outlineLevel="2" x14ac:dyDescent="0.2">
      <c r="A62" s="1980" t="s">
        <v>3127</v>
      </c>
      <c r="B62" s="1980" t="s">
        <v>3128</v>
      </c>
      <c r="C62" s="1980" t="s">
        <v>3149</v>
      </c>
      <c r="D62" s="1980" t="s">
        <v>3150</v>
      </c>
      <c r="E62" s="1980" t="s">
        <v>919</v>
      </c>
      <c r="F62" s="1962">
        <v>-2527.5239999999999</v>
      </c>
      <c r="G62" s="1962">
        <v>0</v>
      </c>
      <c r="H62" s="1962">
        <v>0</v>
      </c>
      <c r="I62" s="1962">
        <v>-2527.5239999999999</v>
      </c>
    </row>
    <row r="63" spans="1:9" hidden="1" outlineLevel="2" x14ac:dyDescent="0.2">
      <c r="A63" s="1980" t="s">
        <v>3127</v>
      </c>
      <c r="B63" s="1980" t="s">
        <v>3128</v>
      </c>
      <c r="C63" s="1980" t="s">
        <v>3149</v>
      </c>
      <c r="D63" s="1980" t="s">
        <v>3150</v>
      </c>
      <c r="E63" s="1980" t="s">
        <v>936</v>
      </c>
      <c r="F63" s="1962">
        <v>-14361.06451</v>
      </c>
      <c r="G63" s="1962">
        <v>0</v>
      </c>
      <c r="H63" s="1962">
        <v>0</v>
      </c>
      <c r="I63" s="1962">
        <v>0</v>
      </c>
    </row>
    <row r="64" spans="1:9" hidden="1" outlineLevel="2" x14ac:dyDescent="0.2">
      <c r="A64" s="1980" t="s">
        <v>3127</v>
      </c>
      <c r="B64" s="1980" t="s">
        <v>3128</v>
      </c>
      <c r="C64" s="1980" t="s">
        <v>3149</v>
      </c>
      <c r="D64" s="1980" t="s">
        <v>3150</v>
      </c>
      <c r="E64" s="1980" t="s">
        <v>920</v>
      </c>
      <c r="F64" s="1962">
        <v>-26233.71182</v>
      </c>
      <c r="G64" s="1962">
        <v>0</v>
      </c>
      <c r="H64" s="1962">
        <v>0</v>
      </c>
      <c r="I64" s="1962">
        <v>0</v>
      </c>
    </row>
    <row r="65" spans="1:9" hidden="1" outlineLevel="2" x14ac:dyDescent="0.2">
      <c r="A65" s="1980" t="s">
        <v>3127</v>
      </c>
      <c r="B65" s="1980" t="s">
        <v>3128</v>
      </c>
      <c r="C65" s="1980" t="s">
        <v>3149</v>
      </c>
      <c r="D65" s="1980" t="s">
        <v>3150</v>
      </c>
      <c r="E65" s="1980" t="s">
        <v>923</v>
      </c>
      <c r="F65" s="1962">
        <v>-10670.567150000001</v>
      </c>
      <c r="G65" s="1962">
        <v>0</v>
      </c>
      <c r="H65" s="1962">
        <v>0</v>
      </c>
      <c r="I65" s="1962">
        <v>0</v>
      </c>
    </row>
    <row r="66" spans="1:9" hidden="1" outlineLevel="2" x14ac:dyDescent="0.2">
      <c r="A66" s="1980" t="s">
        <v>3127</v>
      </c>
      <c r="B66" s="1980" t="s">
        <v>3128</v>
      </c>
      <c r="C66" s="1980" t="s">
        <v>3151</v>
      </c>
      <c r="D66" s="1980" t="s">
        <v>3152</v>
      </c>
      <c r="E66" s="1980" t="s">
        <v>906</v>
      </c>
      <c r="F66" s="1962">
        <v>2978.683</v>
      </c>
      <c r="G66" s="1962">
        <v>769.60836520669784</v>
      </c>
      <c r="H66" s="1962">
        <v>212.71103570545571</v>
      </c>
      <c r="I66" s="1962">
        <v>175.77905515192523</v>
      </c>
    </row>
    <row r="67" spans="1:9" hidden="1" outlineLevel="2" x14ac:dyDescent="0.2">
      <c r="A67" s="1980" t="s">
        <v>3127</v>
      </c>
      <c r="B67" s="1980" t="s">
        <v>3128</v>
      </c>
      <c r="C67" s="1980" t="s">
        <v>3153</v>
      </c>
      <c r="D67" s="1980" t="s">
        <v>3154</v>
      </c>
      <c r="E67" s="1980" t="s">
        <v>918</v>
      </c>
      <c r="F67" s="1962">
        <v>-1283.7312899999999</v>
      </c>
      <c r="G67" s="1962">
        <v>0</v>
      </c>
      <c r="H67" s="1962">
        <v>0</v>
      </c>
      <c r="I67" s="1962">
        <v>0</v>
      </c>
    </row>
    <row r="68" spans="1:9" hidden="1" outlineLevel="2" x14ac:dyDescent="0.2">
      <c r="A68" s="1980" t="s">
        <v>3127</v>
      </c>
      <c r="B68" s="1980" t="s">
        <v>3128</v>
      </c>
      <c r="C68" s="1980" t="s">
        <v>3155</v>
      </c>
      <c r="D68" s="1980" t="s">
        <v>3156</v>
      </c>
      <c r="E68" s="1980" t="s">
        <v>919</v>
      </c>
      <c r="F68" s="1962">
        <v>-890.95741999999996</v>
      </c>
      <c r="G68" s="1962">
        <v>0</v>
      </c>
      <c r="H68" s="1962">
        <v>0</v>
      </c>
      <c r="I68" s="1962">
        <v>-890.95741999999996</v>
      </c>
    </row>
    <row r="69" spans="1:9" hidden="1" outlineLevel="2" x14ac:dyDescent="0.2">
      <c r="A69" s="1980" t="s">
        <v>3127</v>
      </c>
      <c r="B69" s="1980" t="s">
        <v>3128</v>
      </c>
      <c r="C69" s="1980" t="s">
        <v>3157</v>
      </c>
      <c r="D69" s="1980" t="s">
        <v>3158</v>
      </c>
      <c r="E69" s="1980" t="s">
        <v>921</v>
      </c>
      <c r="F69" s="1962">
        <v>-4283.28024</v>
      </c>
      <c r="G69" s="1962">
        <v>0</v>
      </c>
      <c r="H69" s="1962">
        <v>-4283.28024</v>
      </c>
      <c r="I69" s="1962">
        <v>0</v>
      </c>
    </row>
    <row r="70" spans="1:9" hidden="1" outlineLevel="2" x14ac:dyDescent="0.2">
      <c r="A70" s="1980" t="s">
        <v>3127</v>
      </c>
      <c r="B70" s="1980" t="s">
        <v>3128</v>
      </c>
      <c r="C70" s="1980" t="s">
        <v>3159</v>
      </c>
      <c r="D70" s="1980" t="s">
        <v>3160</v>
      </c>
      <c r="E70" s="1980" t="s">
        <v>919</v>
      </c>
      <c r="F70" s="1962">
        <v>-1669.1179999999999</v>
      </c>
      <c r="G70" s="1962">
        <v>0</v>
      </c>
      <c r="H70" s="1962">
        <v>0</v>
      </c>
      <c r="I70" s="1962">
        <v>-1669.1179999999999</v>
      </c>
    </row>
    <row r="71" spans="1:9" hidden="1" outlineLevel="2" x14ac:dyDescent="0.2">
      <c r="A71" s="1980" t="s">
        <v>3127</v>
      </c>
      <c r="B71" s="1980" t="s">
        <v>3128</v>
      </c>
      <c r="C71" s="1980" t="s">
        <v>3159</v>
      </c>
      <c r="D71" s="1980" t="s">
        <v>3160</v>
      </c>
      <c r="E71" s="1980" t="s">
        <v>920</v>
      </c>
      <c r="F71" s="1962">
        <v>-8931.375</v>
      </c>
      <c r="G71" s="1962">
        <v>0</v>
      </c>
      <c r="H71" s="1962">
        <v>0</v>
      </c>
      <c r="I71" s="1962">
        <v>0</v>
      </c>
    </row>
    <row r="72" spans="1:9" hidden="1" outlineLevel="2" x14ac:dyDescent="0.2">
      <c r="A72" s="1980" t="s">
        <v>3127</v>
      </c>
      <c r="B72" s="1980" t="s">
        <v>3128</v>
      </c>
      <c r="C72" s="1980" t="s">
        <v>3159</v>
      </c>
      <c r="D72" s="1980" t="s">
        <v>3160</v>
      </c>
      <c r="E72" s="1980" t="s">
        <v>923</v>
      </c>
      <c r="F72" s="1962">
        <v>-418.68299999999999</v>
      </c>
      <c r="G72" s="1962">
        <v>0</v>
      </c>
      <c r="H72" s="1962">
        <v>0</v>
      </c>
      <c r="I72" s="1962">
        <v>0</v>
      </c>
    </row>
    <row r="73" spans="1:9" hidden="1" outlineLevel="2" x14ac:dyDescent="0.2">
      <c r="A73" s="1980" t="s">
        <v>3127</v>
      </c>
      <c r="B73" s="1980" t="s">
        <v>3128</v>
      </c>
      <c r="C73" s="1980" t="s">
        <v>3161</v>
      </c>
      <c r="D73" s="1980" t="s">
        <v>3162</v>
      </c>
      <c r="E73" s="1980" t="s">
        <v>919</v>
      </c>
      <c r="F73" s="1962">
        <v>-190.79513</v>
      </c>
      <c r="G73" s="1962">
        <v>0</v>
      </c>
      <c r="H73" s="1962">
        <v>0</v>
      </c>
      <c r="I73" s="1962">
        <v>-190.79513</v>
      </c>
    </row>
    <row r="74" spans="1:9" hidden="1" outlineLevel="2" x14ac:dyDescent="0.2">
      <c r="A74" s="1980" t="s">
        <v>3127</v>
      </c>
      <c r="B74" s="1980" t="s">
        <v>3128</v>
      </c>
      <c r="C74" s="1980" t="s">
        <v>3163</v>
      </c>
      <c r="D74" s="1980" t="s">
        <v>3164</v>
      </c>
      <c r="E74" s="1980" t="s">
        <v>919</v>
      </c>
      <c r="F74" s="1962">
        <v>1112.7453599999999</v>
      </c>
      <c r="G74" s="1962">
        <v>0</v>
      </c>
      <c r="H74" s="1962">
        <v>0</v>
      </c>
      <c r="I74" s="1962">
        <v>1112.7453599999999</v>
      </c>
    </row>
    <row r="75" spans="1:9" hidden="1" outlineLevel="2" x14ac:dyDescent="0.2">
      <c r="A75" s="1980" t="s">
        <v>3127</v>
      </c>
      <c r="B75" s="1980" t="s">
        <v>3128</v>
      </c>
      <c r="C75" s="1980" t="s">
        <v>3163</v>
      </c>
      <c r="D75" s="1980" t="s">
        <v>3164</v>
      </c>
      <c r="E75" s="1980" t="s">
        <v>920</v>
      </c>
      <c r="F75" s="1962">
        <v>8931.375</v>
      </c>
      <c r="G75" s="1962">
        <v>0</v>
      </c>
      <c r="H75" s="1962">
        <v>0</v>
      </c>
      <c r="I75" s="1962">
        <v>0</v>
      </c>
    </row>
    <row r="76" spans="1:9" hidden="1" outlineLevel="2" x14ac:dyDescent="0.2">
      <c r="A76" s="1980" t="s">
        <v>3127</v>
      </c>
      <c r="B76" s="1980" t="s">
        <v>3128</v>
      </c>
      <c r="C76" s="1980" t="s">
        <v>3163</v>
      </c>
      <c r="D76" s="1980" t="s">
        <v>3164</v>
      </c>
      <c r="E76" s="1980" t="s">
        <v>922</v>
      </c>
      <c r="F76" s="1962">
        <v>418.68299999999999</v>
      </c>
      <c r="G76" s="1962">
        <v>0</v>
      </c>
      <c r="H76" s="1962">
        <v>0</v>
      </c>
      <c r="I76" s="1962">
        <v>0</v>
      </c>
    </row>
    <row r="77" spans="1:9" hidden="1" outlineLevel="2" x14ac:dyDescent="0.2">
      <c r="A77" s="1980" t="s">
        <v>3127</v>
      </c>
      <c r="B77" s="1980" t="s">
        <v>3128</v>
      </c>
      <c r="C77" s="1980" t="s">
        <v>3165</v>
      </c>
      <c r="D77" s="1980" t="s">
        <v>3166</v>
      </c>
      <c r="E77" s="1980" t="s">
        <v>919</v>
      </c>
      <c r="F77" s="1962">
        <v>127.19664</v>
      </c>
      <c r="G77" s="1962">
        <v>0</v>
      </c>
      <c r="H77" s="1962">
        <v>0</v>
      </c>
      <c r="I77" s="1962">
        <v>127.19664</v>
      </c>
    </row>
    <row r="78" spans="1:9" hidden="1" outlineLevel="2" x14ac:dyDescent="0.2">
      <c r="A78" s="1980" t="s">
        <v>3127</v>
      </c>
      <c r="B78" s="1980" t="s">
        <v>3128</v>
      </c>
      <c r="C78" s="1980" t="s">
        <v>3167</v>
      </c>
      <c r="D78" s="1980" t="s">
        <v>3168</v>
      </c>
      <c r="E78" s="1980" t="s">
        <v>906</v>
      </c>
      <c r="F78" s="1962">
        <v>79856.959340000001</v>
      </c>
      <c r="G78" s="1962">
        <v>20632.804473666765</v>
      </c>
      <c r="H78" s="1962">
        <v>5702.6734733101393</v>
      </c>
      <c r="I78" s="1962">
        <v>4712.5460682089742</v>
      </c>
    </row>
    <row r="79" spans="1:9" hidden="1" outlineLevel="2" x14ac:dyDescent="0.2">
      <c r="A79" s="1980" t="s">
        <v>3127</v>
      </c>
      <c r="B79" s="1980" t="s">
        <v>3128</v>
      </c>
      <c r="C79" s="1980" t="s">
        <v>3169</v>
      </c>
      <c r="D79" s="1980" t="s">
        <v>3170</v>
      </c>
      <c r="E79" s="1980" t="s">
        <v>936</v>
      </c>
      <c r="F79" s="1962">
        <v>-4752.5586499999999</v>
      </c>
      <c r="G79" s="1962">
        <v>0</v>
      </c>
      <c r="H79" s="1962">
        <v>0</v>
      </c>
      <c r="I79" s="1962">
        <v>0</v>
      </c>
    </row>
    <row r="80" spans="1:9" hidden="1" outlineLevel="2" x14ac:dyDescent="0.2">
      <c r="A80" s="1980" t="s">
        <v>3127</v>
      </c>
      <c r="B80" s="1980" t="s">
        <v>3128</v>
      </c>
      <c r="C80" s="1980" t="s">
        <v>3171</v>
      </c>
      <c r="D80" s="1980" t="s">
        <v>3172</v>
      </c>
      <c r="E80" s="1980" t="s">
        <v>936</v>
      </c>
      <c r="F80" s="1962">
        <v>-8096.7103999999999</v>
      </c>
      <c r="G80" s="1962">
        <v>0</v>
      </c>
      <c r="H80" s="1962">
        <v>0</v>
      </c>
      <c r="I80" s="1962">
        <v>0</v>
      </c>
    </row>
    <row r="81" spans="1:23" ht="13.5" outlineLevel="1" collapsed="1" thickBot="1" x14ac:dyDescent="0.25">
      <c r="A81" s="2274" t="s">
        <v>3173</v>
      </c>
      <c r="B81" s="2274"/>
      <c r="C81" s="2274"/>
      <c r="D81" s="2274"/>
      <c r="E81" s="2274"/>
      <c r="F81" s="2275">
        <f>SUBTOTAL(9,F48:F80)</f>
        <v>79778.317890000006</v>
      </c>
      <c r="G81" s="2275">
        <f t="shared" ref="G81:I81" si="4">SUBTOTAL(9,G48:G80)</f>
        <v>40918.736157297375</v>
      </c>
      <c r="H81" s="2275">
        <f t="shared" si="4"/>
        <v>7562.1077184792284</v>
      </c>
      <c r="I81" s="2275">
        <f t="shared" si="4"/>
        <v>4441.7096227132297</v>
      </c>
      <c r="J81" s="2278"/>
      <c r="K81" s="2278"/>
      <c r="L81" s="2289">
        <f>F81/$F$81</f>
        <v>1</v>
      </c>
      <c r="M81" s="2289">
        <f>G81/$F$81</f>
        <v>0.51290547656967367</v>
      </c>
      <c r="N81" s="2289">
        <f>H81/$F$81</f>
        <v>9.4789009325892515E-2</v>
      </c>
      <c r="O81" s="2289">
        <f>I81/$F$81</f>
        <v>5.5675648975672197E-2</v>
      </c>
      <c r="P81" s="2289">
        <f>SUM(M81:O81)</f>
        <v>0.66337013487123841</v>
      </c>
      <c r="Q81" s="2290"/>
      <c r="R81" s="2290" t="s">
        <v>99</v>
      </c>
      <c r="S81" s="2291">
        <f>IF(R81=0,0,F81)</f>
        <v>79778.317890000006</v>
      </c>
      <c r="T81" s="2291">
        <f>IF($R81="PTD",$S81*M$1016,IF($R81="PROD",$S81*M$1017,IF($R81="TRANS",$S81*M$1018,IF($R81="DIST",$S81*M$1019,IF($R81="LABOR",$S81*M$1020,IF($R81="TD",$S81*M$1021))))))</f>
        <v>35118.10789370408</v>
      </c>
      <c r="U81" s="2291">
        <f>IF($R81="PTD",$S81*N$1016,IF($R81="PROD",$S81*N$1017,IF($R81="TRANS",$S81*N$1018,IF($R81="DIST",$S81*N$1019,IF($R81="LABOR",$S81*N$1020,IF($R81="TD",$S81*N$1021))))))</f>
        <v>0</v>
      </c>
      <c r="V81" s="2291">
        <f>IF($R81="PTD",$S81*O$1016,IF($R81="PROD",$S81*O$1017,IF($R81="TRANS",$S81*O$1018,IF($R81="DIST",$S81*O$1019,IF($R81="LABOR",$S81*O$1020,IF($R81="TD",$S81*O$1021))))))</f>
        <v>44660.209996295918</v>
      </c>
      <c r="W81" s="2290" t="s">
        <v>90</v>
      </c>
    </row>
    <row r="82" spans="1:23" outlineLevel="2" x14ac:dyDescent="0.2">
      <c r="A82" s="1980" t="s">
        <v>3174</v>
      </c>
      <c r="B82" s="1980" t="s">
        <v>3175</v>
      </c>
      <c r="C82" s="1980" t="s">
        <v>3176</v>
      </c>
      <c r="D82" s="1980" t="s">
        <v>3177</v>
      </c>
      <c r="E82" s="1980" t="s">
        <v>918</v>
      </c>
      <c r="F82" s="1962">
        <v>3371.9492599999999</v>
      </c>
      <c r="G82" s="1962">
        <v>0</v>
      </c>
      <c r="H82" s="1962">
        <v>0</v>
      </c>
      <c r="I82" s="1962">
        <v>0</v>
      </c>
      <c r="J82" s="1953" t="s">
        <v>918</v>
      </c>
    </row>
    <row r="83" spans="1:23" outlineLevel="2" x14ac:dyDescent="0.2">
      <c r="A83" s="1982" t="s">
        <v>3174</v>
      </c>
      <c r="B83" s="1982" t="s">
        <v>3175</v>
      </c>
      <c r="C83" s="1982" t="s">
        <v>3178</v>
      </c>
      <c r="D83" s="1982" t="s">
        <v>3179</v>
      </c>
      <c r="E83" s="1982" t="s">
        <v>922</v>
      </c>
      <c r="F83" s="1968">
        <v>32383.89345</v>
      </c>
      <c r="G83" s="1962">
        <v>0</v>
      </c>
      <c r="H83" s="1962">
        <v>0</v>
      </c>
      <c r="I83" s="1962">
        <v>0</v>
      </c>
      <c r="J83" s="1953" t="s">
        <v>5693</v>
      </c>
    </row>
    <row r="84" spans="1:23" outlineLevel="2" x14ac:dyDescent="0.2">
      <c r="A84" s="2280" t="s">
        <v>3174</v>
      </c>
      <c r="B84" s="2280" t="s">
        <v>3175</v>
      </c>
      <c r="C84" s="2280" t="s">
        <v>3180</v>
      </c>
      <c r="D84" s="2280" t="s">
        <v>3181</v>
      </c>
      <c r="E84" s="2280" t="s">
        <v>936</v>
      </c>
      <c r="F84" s="2281">
        <v>515.47249999999997</v>
      </c>
      <c r="G84" s="2281">
        <v>0</v>
      </c>
      <c r="H84" s="2281">
        <v>0</v>
      </c>
      <c r="I84" s="2281">
        <v>0</v>
      </c>
      <c r="J84" s="2282"/>
      <c r="K84" s="2282"/>
      <c r="L84" s="2326">
        <f>F84/$F$84</f>
        <v>1</v>
      </c>
      <c r="M84" s="2326">
        <f>G84/$F$84</f>
        <v>0</v>
      </c>
      <c r="N84" s="2326">
        <f>H84/$F$84</f>
        <v>0</v>
      </c>
      <c r="O84" s="2326">
        <f>I84/$F$84</f>
        <v>0</v>
      </c>
      <c r="P84" s="2326">
        <f t="shared" ref="P84:P86" si="5">SUM(M84:O84)</f>
        <v>0</v>
      </c>
      <c r="Q84" s="2327" t="s">
        <v>912</v>
      </c>
      <c r="R84" s="2327" t="s">
        <v>394</v>
      </c>
      <c r="S84" s="2328">
        <f>IF(R84=0,0,F84)</f>
        <v>515.47249999999997</v>
      </c>
      <c r="T84" s="2328">
        <f>IF($R84="PTD",$S84*M$1015,IF($R84="PROD",$S84*M$1016,IF($R84="TRANS",$S84*M$1017,IF($R84="DIST",$S84*M$1018,IF($R84="LABOR",$S84*M$1019,IF($R84="TD",$S84*M$1020))))))</f>
        <v>226.90900673284892</v>
      </c>
      <c r="U84" s="2328">
        <f t="shared" ref="U84:V86" si="6">IF($R84="PTD",$S84*N$1015,IF($R84="PROD",$S84*N$1016,IF($R84="TRANS",$S84*N$1017,IF($R84="DIST",$S84*N$1018,IF($R84="LABOR",$S84*N$1019,IF($R84="TD",$S84*N$1020))))))</f>
        <v>0</v>
      </c>
      <c r="V84" s="2328">
        <f t="shared" si="6"/>
        <v>288.56349326715099</v>
      </c>
      <c r="W84" s="2327" t="s">
        <v>90</v>
      </c>
    </row>
    <row r="85" spans="1:23" outlineLevel="2" x14ac:dyDescent="0.2">
      <c r="A85" s="2276" t="s">
        <v>3174</v>
      </c>
      <c r="B85" s="2276" t="s">
        <v>3175</v>
      </c>
      <c r="C85" s="2276" t="s">
        <v>3182</v>
      </c>
      <c r="D85" s="2276" t="s">
        <v>3183</v>
      </c>
      <c r="E85" s="2276" t="s">
        <v>1083</v>
      </c>
      <c r="F85" s="2277">
        <v>1940.1488300000001</v>
      </c>
      <c r="G85" s="2277">
        <v>525.66183592436187</v>
      </c>
      <c r="H85" s="2277">
        <v>147.79877032393023</v>
      </c>
      <c r="I85" s="2277">
        <v>105.03259814728652</v>
      </c>
      <c r="J85" s="2278"/>
      <c r="K85" s="2278"/>
      <c r="L85" s="2289">
        <f>F85/$F$85</f>
        <v>1</v>
      </c>
      <c r="M85" s="2289">
        <f>G85/$F$85</f>
        <v>0.27093892375481415</v>
      </c>
      <c r="N85" s="2289">
        <f>H85/$F$85</f>
        <v>7.6179088963979236E-2</v>
      </c>
      <c r="O85" s="2289">
        <f>I85/$F$85</f>
        <v>5.4136361357023585E-2</v>
      </c>
      <c r="P85" s="2289">
        <f t="shared" si="5"/>
        <v>0.40125437407581699</v>
      </c>
      <c r="Q85" s="2278"/>
      <c r="R85" s="2290" t="s">
        <v>394</v>
      </c>
      <c r="S85" s="2291">
        <f t="shared" ref="S85:S86" si="7">IF(R85=0,0,F85)</f>
        <v>1940.1488300000001</v>
      </c>
      <c r="T85" s="2291">
        <f t="shared" ref="T85:T86" si="8">IF($R85="PTD",$S85*M$1015,IF($R85="PROD",$S85*M$1016,IF($R85="TRANS",$S85*M$1017,IF($R85="DIST",$S85*M$1018,IF($R85="LABOR",$S85*M$1019,IF($R85="TD",$S85*M$1020))))))</f>
        <v>854.04603335619072</v>
      </c>
      <c r="U85" s="2291">
        <f t="shared" si="6"/>
        <v>0</v>
      </c>
      <c r="V85" s="2291">
        <f t="shared" si="6"/>
        <v>1086.1027966438091</v>
      </c>
      <c r="W85" s="2290" t="s">
        <v>90</v>
      </c>
    </row>
    <row r="86" spans="1:23" outlineLevel="2" x14ac:dyDescent="0.2">
      <c r="A86" s="2276" t="s">
        <v>3174</v>
      </c>
      <c r="B86" s="2276" t="s">
        <v>3175</v>
      </c>
      <c r="C86" s="2276" t="s">
        <v>3184</v>
      </c>
      <c r="D86" s="2276" t="s">
        <v>3185</v>
      </c>
      <c r="E86" s="2276" t="s">
        <v>1083</v>
      </c>
      <c r="F86" s="2277">
        <v>96.687190000000001</v>
      </c>
      <c r="G86" s="2277">
        <v>26.196323199477231</v>
      </c>
      <c r="H86" s="2277">
        <v>7.3655420486871632</v>
      </c>
      <c r="I86" s="2277">
        <v>5.2342926564351977</v>
      </c>
      <c r="J86" s="2278"/>
      <c r="K86" s="2278"/>
      <c r="L86" s="2289">
        <f>F86/$F$86</f>
        <v>1</v>
      </c>
      <c r="M86" s="2289">
        <f>G86/$F$86</f>
        <v>0.27093892375481415</v>
      </c>
      <c r="N86" s="2289">
        <f>H86/$F$86</f>
        <v>7.6179088963979236E-2</v>
      </c>
      <c r="O86" s="2289">
        <f>I86/$F$86</f>
        <v>5.4136361357023592E-2</v>
      </c>
      <c r="P86" s="2289">
        <f t="shared" si="5"/>
        <v>0.40125437407581699</v>
      </c>
      <c r="Q86" s="2278"/>
      <c r="R86" s="2290" t="s">
        <v>394</v>
      </c>
      <c r="S86" s="2291">
        <f t="shared" si="7"/>
        <v>96.687190000000001</v>
      </c>
      <c r="T86" s="2291">
        <f t="shared" si="8"/>
        <v>42.561328192464671</v>
      </c>
      <c r="U86" s="2291">
        <f t="shared" si="6"/>
        <v>0</v>
      </c>
      <c r="V86" s="2291">
        <f t="shared" si="6"/>
        <v>54.125861807535316</v>
      </c>
      <c r="W86" s="2290" t="s">
        <v>90</v>
      </c>
    </row>
    <row r="87" spans="1:23" outlineLevel="2" x14ac:dyDescent="0.2">
      <c r="A87" s="1980" t="s">
        <v>3174</v>
      </c>
      <c r="B87" s="1980" t="s">
        <v>3175</v>
      </c>
      <c r="C87" s="1980" t="s">
        <v>3186</v>
      </c>
      <c r="D87" s="1980" t="s">
        <v>3187</v>
      </c>
      <c r="E87" s="1980" t="s">
        <v>920</v>
      </c>
      <c r="F87" s="1962">
        <v>-1079.4790800000001</v>
      </c>
      <c r="G87" s="1962">
        <v>0</v>
      </c>
      <c r="H87" s="1962">
        <v>0</v>
      </c>
      <c r="I87" s="1962">
        <v>0</v>
      </c>
      <c r="J87" s="1953" t="s">
        <v>920</v>
      </c>
    </row>
    <row r="88" spans="1:23" ht="13.5" outlineLevel="1" thickBot="1" x14ac:dyDescent="0.25">
      <c r="A88" s="1981" t="s">
        <v>3188</v>
      </c>
      <c r="B88" s="1981"/>
      <c r="C88" s="1981"/>
      <c r="D88" s="1981"/>
      <c r="E88" s="1981"/>
      <c r="F88" s="1965">
        <f>SUBTOTAL(9,F82:F87)</f>
        <v>37228.672149999999</v>
      </c>
      <c r="G88" s="1965">
        <f t="shared" ref="G88:I88" si="9">SUBTOTAL(9,G82:G87)</f>
        <v>551.85815912383907</v>
      </c>
      <c r="H88" s="1965">
        <f t="shared" si="9"/>
        <v>155.16431237261739</v>
      </c>
      <c r="I88" s="1965">
        <f t="shared" si="9"/>
        <v>110.26689080372172</v>
      </c>
    </row>
    <row r="89" spans="1:23" outlineLevel="2" x14ac:dyDescent="0.2">
      <c r="A89" s="1980" t="s">
        <v>3189</v>
      </c>
      <c r="B89" s="1980" t="s">
        <v>3190</v>
      </c>
      <c r="C89" s="1980" t="s">
        <v>3191</v>
      </c>
      <c r="D89" s="1980" t="s">
        <v>3192</v>
      </c>
      <c r="E89" s="1980" t="s">
        <v>913</v>
      </c>
      <c r="F89" s="1962">
        <v>256040.93703999999</v>
      </c>
      <c r="G89" s="1962">
        <v>71624.351449540336</v>
      </c>
      <c r="H89" s="1962">
        <v>19113.271764558951</v>
      </c>
      <c r="I89" s="1962">
        <v>13655.299796230502</v>
      </c>
    </row>
    <row r="90" spans="1:23" outlineLevel="2" x14ac:dyDescent="0.2">
      <c r="A90" s="1980" t="s">
        <v>3189</v>
      </c>
      <c r="B90" s="1980" t="s">
        <v>3190</v>
      </c>
      <c r="C90" s="1980" t="s">
        <v>3193</v>
      </c>
      <c r="D90" s="1980" t="s">
        <v>3194</v>
      </c>
      <c r="E90" s="1980" t="s">
        <v>936</v>
      </c>
      <c r="F90" s="1962">
        <v>1295.5311400000001</v>
      </c>
      <c r="G90" s="1962">
        <v>0</v>
      </c>
      <c r="H90" s="1962">
        <v>0</v>
      </c>
      <c r="I90" s="1962">
        <v>0</v>
      </c>
    </row>
    <row r="91" spans="1:23" outlineLevel="2" x14ac:dyDescent="0.2">
      <c r="A91" s="1980" t="s">
        <v>3189</v>
      </c>
      <c r="B91" s="1980" t="s">
        <v>3190</v>
      </c>
      <c r="C91" s="1980" t="s">
        <v>3195</v>
      </c>
      <c r="D91" s="1980" t="s">
        <v>3196</v>
      </c>
      <c r="E91" s="1980" t="s">
        <v>936</v>
      </c>
      <c r="F91" s="1962">
        <v>10459.99317</v>
      </c>
      <c r="G91" s="1962">
        <v>0</v>
      </c>
      <c r="H91" s="1962">
        <v>0</v>
      </c>
      <c r="I91" s="1962">
        <v>0</v>
      </c>
    </row>
    <row r="92" spans="1:23" outlineLevel="2" x14ac:dyDescent="0.2">
      <c r="A92" s="1982" t="s">
        <v>3189</v>
      </c>
      <c r="B92" s="1982" t="s">
        <v>3190</v>
      </c>
      <c r="C92" s="1982" t="s">
        <v>3197</v>
      </c>
      <c r="D92" s="1982" t="s">
        <v>3198</v>
      </c>
      <c r="E92" s="1982" t="s">
        <v>936</v>
      </c>
      <c r="F92" s="1968">
        <v>2013.8128999999999</v>
      </c>
      <c r="G92" s="1962">
        <v>0</v>
      </c>
      <c r="H92" s="1962">
        <v>0</v>
      </c>
      <c r="I92" s="1962">
        <v>0</v>
      </c>
    </row>
    <row r="93" spans="1:23" outlineLevel="2" x14ac:dyDescent="0.2">
      <c r="A93" s="1980" t="s">
        <v>3189</v>
      </c>
      <c r="B93" s="1980" t="s">
        <v>3190</v>
      </c>
      <c r="C93" s="1980" t="s">
        <v>3199</v>
      </c>
      <c r="D93" s="1980" t="s">
        <v>3200</v>
      </c>
      <c r="E93" s="1980" t="s">
        <v>923</v>
      </c>
      <c r="F93" s="1962">
        <v>4830.3484500000004</v>
      </c>
      <c r="G93" s="1962">
        <v>0</v>
      </c>
      <c r="H93" s="1962">
        <v>0</v>
      </c>
      <c r="I93" s="1962">
        <v>0</v>
      </c>
    </row>
    <row r="94" spans="1:23" outlineLevel="2" x14ac:dyDescent="0.2">
      <c r="A94" s="1980" t="s">
        <v>3189</v>
      </c>
      <c r="B94" s="1980" t="s">
        <v>3190</v>
      </c>
      <c r="C94" s="1980" t="s">
        <v>3201</v>
      </c>
      <c r="D94" s="1980" t="s">
        <v>3202</v>
      </c>
      <c r="E94" s="1980" t="s">
        <v>913</v>
      </c>
      <c r="F94" s="1962">
        <v>-41449.408000000003</v>
      </c>
      <c r="G94" s="1962">
        <v>-11594.969930545092</v>
      </c>
      <c r="H94" s="1962">
        <v>-3094.1684901751364</v>
      </c>
      <c r="I94" s="1962">
        <v>-2210.5999890472631</v>
      </c>
    </row>
    <row r="95" spans="1:23" outlineLevel="2" x14ac:dyDescent="0.2">
      <c r="A95" s="1980" t="s">
        <v>3189</v>
      </c>
      <c r="B95" s="1980" t="s">
        <v>3190</v>
      </c>
      <c r="C95" s="1980" t="s">
        <v>3203</v>
      </c>
      <c r="D95" s="1980" t="s">
        <v>3204</v>
      </c>
      <c r="E95" s="1980" t="s">
        <v>918</v>
      </c>
      <c r="F95" s="1962">
        <v>-127.03400000000001</v>
      </c>
      <c r="G95" s="1962">
        <v>0</v>
      </c>
      <c r="H95" s="1962">
        <v>0</v>
      </c>
      <c r="I95" s="1962">
        <v>0</v>
      </c>
    </row>
    <row r="96" spans="1:23" outlineLevel="2" x14ac:dyDescent="0.2">
      <c r="A96" s="1980" t="s">
        <v>3189</v>
      </c>
      <c r="B96" s="1980" t="s">
        <v>3190</v>
      </c>
      <c r="C96" s="1980" t="s">
        <v>3203</v>
      </c>
      <c r="D96" s="1980" t="s">
        <v>3204</v>
      </c>
      <c r="E96" s="1980" t="s">
        <v>919</v>
      </c>
      <c r="F96" s="1962">
        <v>-347.30160000000001</v>
      </c>
      <c r="G96" s="1962">
        <v>0</v>
      </c>
      <c r="H96" s="1962">
        <v>0</v>
      </c>
      <c r="I96" s="1962">
        <v>-347.30160000000001</v>
      </c>
    </row>
    <row r="97" spans="1:12" outlineLevel="2" x14ac:dyDescent="0.2">
      <c r="A97" s="1980" t="s">
        <v>3189</v>
      </c>
      <c r="B97" s="1980" t="s">
        <v>3190</v>
      </c>
      <c r="C97" s="1980" t="s">
        <v>3203</v>
      </c>
      <c r="D97" s="1980" t="s">
        <v>3204</v>
      </c>
      <c r="E97" s="1980" t="s">
        <v>936</v>
      </c>
      <c r="F97" s="1962">
        <v>-2036.35295</v>
      </c>
      <c r="G97" s="1962">
        <v>0</v>
      </c>
      <c r="H97" s="1962">
        <v>0</v>
      </c>
      <c r="I97" s="1962">
        <v>0</v>
      </c>
    </row>
    <row r="98" spans="1:12" outlineLevel="2" x14ac:dyDescent="0.2">
      <c r="A98" s="1980" t="s">
        <v>3189</v>
      </c>
      <c r="B98" s="1980" t="s">
        <v>3190</v>
      </c>
      <c r="C98" s="1980" t="s">
        <v>3203</v>
      </c>
      <c r="D98" s="1980" t="s">
        <v>3204</v>
      </c>
      <c r="E98" s="1980" t="s">
        <v>913</v>
      </c>
      <c r="F98" s="1962">
        <v>8323.0730000000003</v>
      </c>
      <c r="G98" s="1962">
        <v>2328.2788783070609</v>
      </c>
      <c r="H98" s="1962">
        <v>621.3114121684788</v>
      </c>
      <c r="I98" s="1962">
        <v>443.89017769902938</v>
      </c>
    </row>
    <row r="99" spans="1:12" outlineLevel="2" x14ac:dyDescent="0.2">
      <c r="A99" s="1980" t="s">
        <v>3189</v>
      </c>
      <c r="B99" s="1980" t="s">
        <v>3190</v>
      </c>
      <c r="C99" s="1980" t="s">
        <v>3203</v>
      </c>
      <c r="D99" s="1980" t="s">
        <v>3204</v>
      </c>
      <c r="E99" s="1980" t="s">
        <v>920</v>
      </c>
      <c r="F99" s="1962">
        <v>-3566.2515100000001</v>
      </c>
      <c r="G99" s="1962">
        <v>0</v>
      </c>
      <c r="H99" s="1962">
        <v>0</v>
      </c>
      <c r="I99" s="1962">
        <v>0</v>
      </c>
    </row>
    <row r="100" spans="1:12" outlineLevel="2" x14ac:dyDescent="0.2">
      <c r="A100" s="1980" t="s">
        <v>3189</v>
      </c>
      <c r="B100" s="1980" t="s">
        <v>3190</v>
      </c>
      <c r="C100" s="1980" t="s">
        <v>3203</v>
      </c>
      <c r="D100" s="1980" t="s">
        <v>3204</v>
      </c>
      <c r="E100" s="1980" t="s">
        <v>921</v>
      </c>
      <c r="F100" s="1962">
        <v>-660.17600000000004</v>
      </c>
      <c r="G100" s="1962">
        <v>0</v>
      </c>
      <c r="H100" s="1962">
        <v>-660.17600000000004</v>
      </c>
      <c r="I100" s="1962">
        <v>0</v>
      </c>
    </row>
    <row r="101" spans="1:12" outlineLevel="2" x14ac:dyDescent="0.2">
      <c r="A101" s="1980" t="s">
        <v>3189</v>
      </c>
      <c r="B101" s="1980" t="s">
        <v>3190</v>
      </c>
      <c r="C101" s="1980" t="s">
        <v>3203</v>
      </c>
      <c r="D101" s="1980" t="s">
        <v>3204</v>
      </c>
      <c r="E101" s="1980" t="s">
        <v>923</v>
      </c>
      <c r="F101" s="1962">
        <v>-1412.3068800000001</v>
      </c>
      <c r="G101" s="1962">
        <v>0</v>
      </c>
      <c r="H101" s="1962">
        <v>0</v>
      </c>
      <c r="I101" s="1962">
        <v>0</v>
      </c>
    </row>
    <row r="102" spans="1:12" outlineLevel="2" x14ac:dyDescent="0.2">
      <c r="A102" s="1980" t="s">
        <v>3189</v>
      </c>
      <c r="B102" s="1980" t="s">
        <v>3190</v>
      </c>
      <c r="C102" s="1980" t="s">
        <v>3205</v>
      </c>
      <c r="D102" s="1980" t="s">
        <v>3206</v>
      </c>
      <c r="E102" s="1980" t="s">
        <v>913</v>
      </c>
      <c r="F102" s="1962">
        <v>41449.408000000003</v>
      </c>
      <c r="G102" s="1962">
        <v>11594.969930545092</v>
      </c>
      <c r="H102" s="1962">
        <v>3094.1684901751364</v>
      </c>
      <c r="I102" s="1962">
        <v>2210.5999890472631</v>
      </c>
    </row>
    <row r="103" spans="1:12" ht="13.5" outlineLevel="1" thickBot="1" x14ac:dyDescent="0.25">
      <c r="A103" s="1981" t="s">
        <v>3207</v>
      </c>
      <c r="B103" s="1981"/>
      <c r="C103" s="1981"/>
      <c r="D103" s="1981"/>
      <c r="E103" s="1981"/>
      <c r="F103" s="1965">
        <f>SUBTOTAL(9,F89:F102)</f>
        <v>274814.27276000002</v>
      </c>
      <c r="G103" s="1965">
        <f t="shared" ref="G103:I103" si="10">SUBTOTAL(9,G89:G102)</f>
        <v>73952.630327847393</v>
      </c>
      <c r="H103" s="1965">
        <f t="shared" si="10"/>
        <v>19074.407176727429</v>
      </c>
      <c r="I103" s="1965">
        <f t="shared" si="10"/>
        <v>13751.888373929531</v>
      </c>
      <c r="J103" s="2279" t="s">
        <v>5692</v>
      </c>
      <c r="K103" s="2041"/>
      <c r="L103" s="2041"/>
    </row>
    <row r="104" spans="1:12" hidden="1" outlineLevel="2" x14ac:dyDescent="0.2">
      <c r="A104" s="1980" t="s">
        <v>5722</v>
      </c>
      <c r="B104" s="1980" t="s">
        <v>3208</v>
      </c>
      <c r="C104" s="1980" t="s">
        <v>3209</v>
      </c>
      <c r="D104" s="1980" t="s">
        <v>3210</v>
      </c>
      <c r="E104" s="1980" t="s">
        <v>913</v>
      </c>
      <c r="F104" s="1962">
        <v>126.54994000000001</v>
      </c>
      <c r="G104" s="1962">
        <v>35.400813179582336</v>
      </c>
      <c r="H104" s="1962">
        <v>9.4468619861001173</v>
      </c>
      <c r="I104" s="1962">
        <v>6.7492229558002803</v>
      </c>
    </row>
    <row r="105" spans="1:12" hidden="1" outlineLevel="2" x14ac:dyDescent="0.2">
      <c r="A105" s="1980" t="s">
        <v>5722</v>
      </c>
      <c r="B105" s="1980" t="s">
        <v>3208</v>
      </c>
      <c r="C105" s="1980" t="s">
        <v>3211</v>
      </c>
      <c r="D105" s="1980" t="s">
        <v>3212</v>
      </c>
      <c r="E105" s="1980" t="s">
        <v>913</v>
      </c>
      <c r="F105" s="1962">
        <v>3690.4664400000001</v>
      </c>
      <c r="G105" s="1962">
        <v>1032.3632945851914</v>
      </c>
      <c r="H105" s="1962">
        <v>275.49066497395597</v>
      </c>
      <c r="I105" s="1962">
        <v>196.8217512743075</v>
      </c>
    </row>
    <row r="106" spans="1:12" hidden="1" outlineLevel="2" x14ac:dyDescent="0.2">
      <c r="A106" s="1980" t="s">
        <v>5722</v>
      </c>
      <c r="B106" s="1980" t="s">
        <v>3208</v>
      </c>
      <c r="C106" s="1980" t="s">
        <v>3213</v>
      </c>
      <c r="D106" s="1980" t="s">
        <v>3214</v>
      </c>
      <c r="E106" s="1980" t="s">
        <v>913</v>
      </c>
      <c r="F106" s="1962">
        <v>445.92496</v>
      </c>
      <c r="G106" s="1962">
        <v>124.74210735360857</v>
      </c>
      <c r="H106" s="1962">
        <v>33.287977483649655</v>
      </c>
      <c r="I106" s="1962">
        <v>23.78228687106704</v>
      </c>
    </row>
    <row r="107" spans="1:12" hidden="1" outlineLevel="2" x14ac:dyDescent="0.2">
      <c r="A107" s="1982" t="s">
        <v>5722</v>
      </c>
      <c r="B107" s="1982" t="s">
        <v>3208</v>
      </c>
      <c r="C107" s="1982" t="s">
        <v>3215</v>
      </c>
      <c r="D107" s="1982" t="s">
        <v>3216</v>
      </c>
      <c r="E107" s="1982" t="s">
        <v>913</v>
      </c>
      <c r="F107" s="1968">
        <v>5674.7627899999998</v>
      </c>
      <c r="G107" s="1962">
        <v>1587.4461684235916</v>
      </c>
      <c r="H107" s="1962">
        <v>423.61696007905209</v>
      </c>
      <c r="I107" s="1962">
        <v>302.64920940293803</v>
      </c>
    </row>
    <row r="108" spans="1:12" hidden="1" outlineLevel="2" x14ac:dyDescent="0.2">
      <c r="A108" s="1980" t="s">
        <v>5722</v>
      </c>
      <c r="B108" s="1980" t="s">
        <v>3208</v>
      </c>
      <c r="C108" s="1980" t="s">
        <v>3217</v>
      </c>
      <c r="D108" s="1980" t="s">
        <v>3218</v>
      </c>
      <c r="E108" s="1980" t="s">
        <v>921</v>
      </c>
      <c r="F108" s="1962">
        <v>-4.3842400000000001</v>
      </c>
      <c r="G108" s="1962">
        <v>0</v>
      </c>
      <c r="H108" s="1962">
        <v>-4.3842400000000001</v>
      </c>
      <c r="I108" s="1962">
        <v>0</v>
      </c>
    </row>
    <row r="109" spans="1:12" hidden="1" outlineLevel="2" x14ac:dyDescent="0.2">
      <c r="A109" s="1980" t="s">
        <v>5722</v>
      </c>
      <c r="B109" s="1980" t="s">
        <v>3208</v>
      </c>
      <c r="C109" s="1980" t="s">
        <v>3219</v>
      </c>
      <c r="D109" s="1980" t="s">
        <v>3220</v>
      </c>
      <c r="E109" s="1980" t="s">
        <v>913</v>
      </c>
      <c r="F109" s="1962">
        <v>240.50763000000001</v>
      </c>
      <c r="G109" s="1962">
        <v>67.279096915368839</v>
      </c>
      <c r="H109" s="1962">
        <v>17.953721568054732</v>
      </c>
      <c r="I109" s="1962">
        <v>12.826869909548121</v>
      </c>
    </row>
    <row r="110" spans="1:12" hidden="1" outlineLevel="2" x14ac:dyDescent="0.2">
      <c r="A110" s="1980" t="s">
        <v>5722</v>
      </c>
      <c r="B110" s="1980" t="s">
        <v>3208</v>
      </c>
      <c r="C110" s="1980" t="s">
        <v>3221</v>
      </c>
      <c r="D110" s="1980" t="s">
        <v>3222</v>
      </c>
      <c r="E110" s="1980" t="s">
        <v>913</v>
      </c>
      <c r="F110" s="1962">
        <v>753.94272999999998</v>
      </c>
      <c r="G110" s="1962">
        <v>210.90634837783631</v>
      </c>
      <c r="H110" s="1962">
        <v>56.28128243864473</v>
      </c>
      <c r="I110" s="1962">
        <v>40.209640405003213</v>
      </c>
    </row>
    <row r="111" spans="1:12" hidden="1" outlineLevel="2" x14ac:dyDescent="0.2">
      <c r="A111" s="1980" t="s">
        <v>5722</v>
      </c>
      <c r="B111" s="1980" t="s">
        <v>3208</v>
      </c>
      <c r="C111" s="1980" t="s">
        <v>3223</v>
      </c>
      <c r="D111" s="1980" t="s">
        <v>3224</v>
      </c>
      <c r="E111" s="1980" t="s">
        <v>913</v>
      </c>
      <c r="F111" s="1962">
        <v>732.91916000000003</v>
      </c>
      <c r="G111" s="1962">
        <v>205.02525926836799</v>
      </c>
      <c r="H111" s="1962">
        <v>54.711888061649255</v>
      </c>
      <c r="I111" s="1962">
        <v>39.088401143594844</v>
      </c>
    </row>
    <row r="112" spans="1:12" hidden="1" outlineLevel="2" x14ac:dyDescent="0.2">
      <c r="A112" s="1980" t="s">
        <v>5722</v>
      </c>
      <c r="B112" s="1980" t="s">
        <v>3208</v>
      </c>
      <c r="C112" s="1980" t="s">
        <v>3225</v>
      </c>
      <c r="D112" s="1980" t="s">
        <v>3226</v>
      </c>
      <c r="E112" s="1980" t="s">
        <v>913</v>
      </c>
      <c r="F112" s="1962">
        <v>490.88458000000003</v>
      </c>
      <c r="G112" s="1962">
        <v>137.31901658205243</v>
      </c>
      <c r="H112" s="1962">
        <v>36.644180774520493</v>
      </c>
      <c r="I112" s="1962">
        <v>26.180095193916166</v>
      </c>
    </row>
    <row r="113" spans="1:9" hidden="1" outlineLevel="2" x14ac:dyDescent="0.2">
      <c r="A113" s="1980" t="s">
        <v>5722</v>
      </c>
      <c r="B113" s="1980" t="s">
        <v>3208</v>
      </c>
      <c r="C113" s="1980" t="s">
        <v>3227</v>
      </c>
      <c r="D113" s="1980" t="s">
        <v>3228</v>
      </c>
      <c r="E113" s="1980" t="s">
        <v>913</v>
      </c>
      <c r="F113" s="1962">
        <v>815.11274000000003</v>
      </c>
      <c r="G113" s="1962">
        <v>228.01791789895333</v>
      </c>
      <c r="H113" s="1962">
        <v>60.847579681917736</v>
      </c>
      <c r="I113" s="1962">
        <v>43.471989132300379</v>
      </c>
    </row>
    <row r="114" spans="1:9" hidden="1" outlineLevel="2" x14ac:dyDescent="0.2">
      <c r="A114" s="1980" t="s">
        <v>5722</v>
      </c>
      <c r="B114" s="1980" t="s">
        <v>3208</v>
      </c>
      <c r="C114" s="1980" t="s">
        <v>3229</v>
      </c>
      <c r="D114" s="1980" t="s">
        <v>3230</v>
      </c>
      <c r="E114" s="1980" t="s">
        <v>913</v>
      </c>
      <c r="F114" s="1962">
        <v>337.15636999999998</v>
      </c>
      <c r="G114" s="1962">
        <v>94.315411502179586</v>
      </c>
      <c r="H114" s="1962">
        <v>25.16848048386673</v>
      </c>
      <c r="I114" s="1962">
        <v>17.981387522572454</v>
      </c>
    </row>
    <row r="115" spans="1:9" hidden="1" outlineLevel="2" x14ac:dyDescent="0.2">
      <c r="A115" s="1980" t="s">
        <v>5722</v>
      </c>
      <c r="B115" s="1980" t="s">
        <v>3208</v>
      </c>
      <c r="C115" s="1980" t="s">
        <v>3231</v>
      </c>
      <c r="D115" s="1980" t="s">
        <v>3232</v>
      </c>
      <c r="E115" s="1980" t="s">
        <v>913</v>
      </c>
      <c r="F115" s="1962">
        <v>42.705539999999999</v>
      </c>
      <c r="G115" s="1962">
        <v>11.946357645631286</v>
      </c>
      <c r="H115" s="1962">
        <v>3.1879378403646652</v>
      </c>
      <c r="I115" s="1962">
        <v>2.277592631872027</v>
      </c>
    </row>
    <row r="116" spans="1:9" hidden="1" outlineLevel="2" x14ac:dyDescent="0.2">
      <c r="A116" s="1980" t="s">
        <v>5722</v>
      </c>
      <c r="B116" s="1980" t="s">
        <v>3208</v>
      </c>
      <c r="C116" s="1980" t="s">
        <v>3233</v>
      </c>
      <c r="D116" s="1980" t="s">
        <v>3234</v>
      </c>
      <c r="E116" s="1980" t="s">
        <v>913</v>
      </c>
      <c r="F116" s="1962">
        <v>406.45504</v>
      </c>
      <c r="G116" s="1962">
        <v>113.7008752192191</v>
      </c>
      <c r="H116" s="1962">
        <v>30.341576348711051</v>
      </c>
      <c r="I116" s="1962">
        <v>21.677257898887358</v>
      </c>
    </row>
    <row r="117" spans="1:9" hidden="1" outlineLevel="2" x14ac:dyDescent="0.2">
      <c r="A117" s="1980" t="s">
        <v>5722</v>
      </c>
      <c r="B117" s="1980" t="s">
        <v>3208</v>
      </c>
      <c r="C117" s="1980" t="s">
        <v>3235</v>
      </c>
      <c r="D117" s="1980" t="s">
        <v>3236</v>
      </c>
      <c r="E117" s="1980" t="s">
        <v>913</v>
      </c>
      <c r="F117" s="1962">
        <v>209.29299</v>
      </c>
      <c r="G117" s="1962">
        <v>58.547179388518032</v>
      </c>
      <c r="H117" s="1962">
        <v>15.62357114660214</v>
      </c>
      <c r="I117" s="1962">
        <v>11.162115545815972</v>
      </c>
    </row>
    <row r="118" spans="1:9" hidden="1" outlineLevel="2" x14ac:dyDescent="0.2">
      <c r="A118" s="1980" t="s">
        <v>5722</v>
      </c>
      <c r="B118" s="1980" t="s">
        <v>3208</v>
      </c>
      <c r="C118" s="1980" t="s">
        <v>3237</v>
      </c>
      <c r="D118" s="1980" t="s">
        <v>3238</v>
      </c>
      <c r="E118" s="1980" t="s">
        <v>913</v>
      </c>
      <c r="F118" s="1962">
        <v>9.7502700000000004</v>
      </c>
      <c r="G118" s="1962">
        <v>2.7275199555249592</v>
      </c>
      <c r="H118" s="1962">
        <v>0.7278506415507775</v>
      </c>
      <c r="I118" s="1962">
        <v>0.52000614231228237</v>
      </c>
    </row>
    <row r="119" spans="1:9" hidden="1" outlineLevel="2" x14ac:dyDescent="0.2">
      <c r="A119" s="1980" t="s">
        <v>5722</v>
      </c>
      <c r="B119" s="1980" t="s">
        <v>3208</v>
      </c>
      <c r="C119" s="1980" t="s">
        <v>3239</v>
      </c>
      <c r="D119" s="1980" t="s">
        <v>3240</v>
      </c>
      <c r="E119" s="1980" t="s">
        <v>913</v>
      </c>
      <c r="F119" s="1962">
        <v>25.88598</v>
      </c>
      <c r="G119" s="1962">
        <v>7.2412894225821418</v>
      </c>
      <c r="H119" s="1962">
        <v>1.932369785674714</v>
      </c>
      <c r="I119" s="1962">
        <v>1.3805636766748917</v>
      </c>
    </row>
    <row r="120" spans="1:9" hidden="1" outlineLevel="2" x14ac:dyDescent="0.2">
      <c r="A120" s="1980" t="s">
        <v>5722</v>
      </c>
      <c r="B120" s="1980" t="s">
        <v>3208</v>
      </c>
      <c r="C120" s="1980" t="s">
        <v>3241</v>
      </c>
      <c r="D120" s="1980" t="s">
        <v>3242</v>
      </c>
      <c r="E120" s="1980" t="s">
        <v>913</v>
      </c>
      <c r="F120" s="1962">
        <v>942.91970000000003</v>
      </c>
      <c r="G120" s="1962">
        <v>263.77036720086807</v>
      </c>
      <c r="H120" s="1962">
        <v>70.388277306768586</v>
      </c>
      <c r="I120" s="1962">
        <v>50.288252090173366</v>
      </c>
    </row>
    <row r="121" spans="1:9" hidden="1" outlineLevel="2" x14ac:dyDescent="0.2">
      <c r="A121" s="1980" t="s">
        <v>5722</v>
      </c>
      <c r="B121" s="1980" t="s">
        <v>3208</v>
      </c>
      <c r="C121" s="1980" t="s">
        <v>3243</v>
      </c>
      <c r="D121" s="1980" t="s">
        <v>3244</v>
      </c>
      <c r="E121" s="1980" t="s">
        <v>913</v>
      </c>
      <c r="F121" s="1962">
        <v>1282.4390699999999</v>
      </c>
      <c r="G121" s="1962">
        <v>358.74679933682552</v>
      </c>
      <c r="H121" s="1962">
        <v>95.733154040788847</v>
      </c>
      <c r="I121" s="1962">
        <v>68.395664278143173</v>
      </c>
    </row>
    <row r="122" spans="1:9" hidden="1" outlineLevel="2" x14ac:dyDescent="0.2">
      <c r="A122" s="1980" t="s">
        <v>5722</v>
      </c>
      <c r="B122" s="1980" t="s">
        <v>3208</v>
      </c>
      <c r="C122" s="1980" t="s">
        <v>3245</v>
      </c>
      <c r="D122" s="1980" t="s">
        <v>3246</v>
      </c>
      <c r="E122" s="1980" t="s">
        <v>913</v>
      </c>
      <c r="F122" s="1962">
        <v>159.28407999999999</v>
      </c>
      <c r="G122" s="1962">
        <v>44.557792430100292</v>
      </c>
      <c r="H122" s="1962">
        <v>11.890441989485968</v>
      </c>
      <c r="I122" s="1962">
        <v>8.4950160326391959</v>
      </c>
    </row>
    <row r="123" spans="1:9" hidden="1" outlineLevel="2" x14ac:dyDescent="0.2">
      <c r="A123" s="1980" t="s">
        <v>5722</v>
      </c>
      <c r="B123" s="1980" t="s">
        <v>3208</v>
      </c>
      <c r="C123" s="1980" t="s">
        <v>3247</v>
      </c>
      <c r="D123" s="1980" t="s">
        <v>3248</v>
      </c>
      <c r="E123" s="1980" t="s">
        <v>913</v>
      </c>
      <c r="F123" s="1962">
        <v>119.4975</v>
      </c>
      <c r="G123" s="1962">
        <v>33.427978495502565</v>
      </c>
      <c r="H123" s="1962">
        <v>8.920402413339735</v>
      </c>
      <c r="I123" s="1962">
        <v>6.3730987953115106</v>
      </c>
    </row>
    <row r="124" spans="1:9" hidden="1" outlineLevel="2" x14ac:dyDescent="0.2">
      <c r="A124" s="1980" t="s">
        <v>5722</v>
      </c>
      <c r="B124" s="1980" t="s">
        <v>3208</v>
      </c>
      <c r="C124" s="1980" t="s">
        <v>3249</v>
      </c>
      <c r="D124" s="1980" t="s">
        <v>3250</v>
      </c>
      <c r="E124" s="1980" t="s">
        <v>913</v>
      </c>
      <c r="F124" s="1962">
        <v>17.285609999999998</v>
      </c>
      <c r="G124" s="1962">
        <v>4.8354400666260302</v>
      </c>
      <c r="H124" s="1962">
        <v>1.2903583519324626</v>
      </c>
      <c r="I124" s="1962">
        <v>0.92188456049059264</v>
      </c>
    </row>
    <row r="125" spans="1:9" hidden="1" outlineLevel="2" x14ac:dyDescent="0.2">
      <c r="A125" s="1980" t="s">
        <v>5722</v>
      </c>
      <c r="B125" s="1980" t="s">
        <v>3208</v>
      </c>
      <c r="C125" s="1980" t="s">
        <v>3251</v>
      </c>
      <c r="D125" s="1980" t="s">
        <v>3252</v>
      </c>
      <c r="E125" s="1980" t="s">
        <v>913</v>
      </c>
      <c r="F125" s="1962">
        <v>66.495180000000005</v>
      </c>
      <c r="G125" s="1962">
        <v>18.60122134014998</v>
      </c>
      <c r="H125" s="1962">
        <v>4.9638173530614464</v>
      </c>
      <c r="I125" s="1962">
        <v>3.546353283976837</v>
      </c>
    </row>
    <row r="126" spans="1:9" hidden="1" outlineLevel="2" x14ac:dyDescent="0.2">
      <c r="A126" s="1980" t="s">
        <v>5722</v>
      </c>
      <c r="B126" s="1980" t="s">
        <v>3208</v>
      </c>
      <c r="C126" s="1980" t="s">
        <v>3253</v>
      </c>
      <c r="D126" s="1980" t="s">
        <v>3254</v>
      </c>
      <c r="E126" s="1980" t="s">
        <v>913</v>
      </c>
      <c r="F126" s="1962">
        <v>1487.8611000000001</v>
      </c>
      <c r="G126" s="1962">
        <v>416.21112454314772</v>
      </c>
      <c r="H126" s="1962">
        <v>111.0677608080028</v>
      </c>
      <c r="I126" s="1962">
        <v>79.35133190234825</v>
      </c>
    </row>
    <row r="127" spans="1:9" hidden="1" outlineLevel="2" x14ac:dyDescent="0.2">
      <c r="A127" s="1980" t="s">
        <v>5722</v>
      </c>
      <c r="B127" s="1980" t="s">
        <v>3208</v>
      </c>
      <c r="C127" s="1980" t="s">
        <v>3255</v>
      </c>
      <c r="D127" s="1980" t="s">
        <v>3256</v>
      </c>
      <c r="E127" s="1980" t="s">
        <v>913</v>
      </c>
      <c r="F127" s="1962">
        <v>69.684849999999997</v>
      </c>
      <c r="G127" s="1962">
        <v>19.493492895351967</v>
      </c>
      <c r="H127" s="1962">
        <v>5.201923924042072</v>
      </c>
      <c r="I127" s="1962">
        <v>3.7164663159184363</v>
      </c>
    </row>
    <row r="128" spans="1:9" hidden="1" outlineLevel="2" x14ac:dyDescent="0.2">
      <c r="A128" s="1980" t="s">
        <v>5722</v>
      </c>
      <c r="B128" s="1980" t="s">
        <v>3208</v>
      </c>
      <c r="C128" s="1980" t="s">
        <v>3257</v>
      </c>
      <c r="D128" s="1980" t="s">
        <v>3258</v>
      </c>
      <c r="E128" s="1980" t="s">
        <v>913</v>
      </c>
      <c r="F128" s="1962">
        <v>5150.5530799999997</v>
      </c>
      <c r="G128" s="1962">
        <v>1440.804850295483</v>
      </c>
      <c r="H128" s="1962">
        <v>384.48508232278004</v>
      </c>
      <c r="I128" s="1962">
        <v>274.69180216603684</v>
      </c>
    </row>
    <row r="129" spans="1:9" hidden="1" outlineLevel="2" x14ac:dyDescent="0.2">
      <c r="A129" s="1980" t="s">
        <v>5722</v>
      </c>
      <c r="B129" s="1980" t="s">
        <v>3208</v>
      </c>
      <c r="C129" s="1980" t="s">
        <v>3259</v>
      </c>
      <c r="D129" s="1980" t="s">
        <v>3260</v>
      </c>
      <c r="E129" s="1980" t="s">
        <v>913</v>
      </c>
      <c r="F129" s="1962">
        <v>107.31507000000001</v>
      </c>
      <c r="G129" s="1962">
        <v>30.020091233735876</v>
      </c>
      <c r="H129" s="1962">
        <v>8.0109927773863276</v>
      </c>
      <c r="I129" s="1962">
        <v>5.7233795128414444</v>
      </c>
    </row>
    <row r="130" spans="1:9" hidden="1" outlineLevel="2" x14ac:dyDescent="0.2">
      <c r="A130" s="1980" t="s">
        <v>5722</v>
      </c>
      <c r="B130" s="1980" t="s">
        <v>3208</v>
      </c>
      <c r="C130" s="1980" t="s">
        <v>3261</v>
      </c>
      <c r="D130" s="1980" t="s">
        <v>3262</v>
      </c>
      <c r="E130" s="1980" t="s">
        <v>913</v>
      </c>
      <c r="F130" s="1962">
        <v>8.1219400000000004</v>
      </c>
      <c r="G130" s="1962">
        <v>2.2720143573025555</v>
      </c>
      <c r="H130" s="1962">
        <v>0.60629697840541041</v>
      </c>
      <c r="I130" s="1962">
        <v>0.4331632547090305</v>
      </c>
    </row>
    <row r="131" spans="1:9" hidden="1" outlineLevel="2" x14ac:dyDescent="0.2">
      <c r="A131" s="1980" t="s">
        <v>5722</v>
      </c>
      <c r="B131" s="1980" t="s">
        <v>3208</v>
      </c>
      <c r="C131" s="1980" t="s">
        <v>3263</v>
      </c>
      <c r="D131" s="1980" t="s">
        <v>3264</v>
      </c>
      <c r="E131" s="1980" t="s">
        <v>913</v>
      </c>
      <c r="F131" s="1962">
        <v>1.31186</v>
      </c>
      <c r="G131" s="1962">
        <v>0.36697694821322618</v>
      </c>
      <c r="H131" s="1962">
        <v>9.7929405301063754E-2</v>
      </c>
      <c r="I131" s="1962">
        <v>6.9964755627668851E-2</v>
      </c>
    </row>
    <row r="132" spans="1:9" hidden="1" outlineLevel="2" x14ac:dyDescent="0.2">
      <c r="A132" s="1980" t="s">
        <v>5722</v>
      </c>
      <c r="B132" s="1980" t="s">
        <v>3208</v>
      </c>
      <c r="C132" s="1980" t="s">
        <v>3265</v>
      </c>
      <c r="D132" s="1980" t="s">
        <v>3266</v>
      </c>
      <c r="E132" s="1980" t="s">
        <v>913</v>
      </c>
      <c r="F132" s="1962">
        <v>1.47048</v>
      </c>
      <c r="G132" s="1962">
        <v>0.41134897230541739</v>
      </c>
      <c r="H132" s="1962">
        <v>0.10977027419626197</v>
      </c>
      <c r="I132" s="1962">
        <v>7.8424354622729939E-2</v>
      </c>
    </row>
    <row r="133" spans="1:9" hidden="1" outlineLevel="2" x14ac:dyDescent="0.2">
      <c r="A133" s="1980" t="s">
        <v>5722</v>
      </c>
      <c r="B133" s="1980" t="s">
        <v>3208</v>
      </c>
      <c r="C133" s="1980" t="s">
        <v>3267</v>
      </c>
      <c r="D133" s="1980" t="s">
        <v>3268</v>
      </c>
      <c r="E133" s="1980" t="s">
        <v>913</v>
      </c>
      <c r="F133" s="1962">
        <v>0.83764000000000005</v>
      </c>
      <c r="G133" s="1962">
        <v>0.23431964607604988</v>
      </c>
      <c r="H133" s="1962">
        <v>6.2529223435719553E-2</v>
      </c>
      <c r="I133" s="1962">
        <v>4.4673423920205312E-2</v>
      </c>
    </row>
    <row r="134" spans="1:9" hidden="1" outlineLevel="2" x14ac:dyDescent="0.2">
      <c r="A134" s="1980" t="s">
        <v>5722</v>
      </c>
      <c r="B134" s="1980" t="s">
        <v>3208</v>
      </c>
      <c r="C134" s="1980" t="s">
        <v>3269</v>
      </c>
      <c r="D134" s="1980" t="s">
        <v>3270</v>
      </c>
      <c r="E134" s="1980" t="s">
        <v>913</v>
      </c>
      <c r="F134" s="1962">
        <v>-0.13725999999999999</v>
      </c>
      <c r="G134" s="1962">
        <v>-3.8396822764431737E-2</v>
      </c>
      <c r="H134" s="1962">
        <v>-1.0246360260716852E-2</v>
      </c>
      <c r="I134" s="1962">
        <v>-7.3204170852482937E-3</v>
      </c>
    </row>
    <row r="135" spans="1:9" hidden="1" outlineLevel="2" x14ac:dyDescent="0.2">
      <c r="A135" s="1980" t="s">
        <v>5722</v>
      </c>
      <c r="B135" s="1980" t="s">
        <v>3208</v>
      </c>
      <c r="C135" s="1980" t="s">
        <v>3271</v>
      </c>
      <c r="D135" s="1980" t="s">
        <v>3272</v>
      </c>
      <c r="E135" s="1980" t="s">
        <v>913</v>
      </c>
      <c r="F135" s="1962">
        <v>53.091990000000003</v>
      </c>
      <c r="G135" s="1962">
        <v>14.851841251937801</v>
      </c>
      <c r="H135" s="1962">
        <v>3.963278861273325</v>
      </c>
      <c r="I135" s="1962">
        <v>2.8315278353914586</v>
      </c>
    </row>
    <row r="136" spans="1:9" hidden="1" outlineLevel="2" x14ac:dyDescent="0.2">
      <c r="A136" s="1980" t="s">
        <v>5722</v>
      </c>
      <c r="B136" s="1980" t="s">
        <v>3208</v>
      </c>
      <c r="C136" s="1980" t="s">
        <v>3273</v>
      </c>
      <c r="D136" s="1980" t="s">
        <v>3274</v>
      </c>
      <c r="E136" s="1980" t="s">
        <v>921</v>
      </c>
      <c r="F136" s="1962">
        <v>-43.31673</v>
      </c>
      <c r="G136" s="1962">
        <v>0</v>
      </c>
      <c r="H136" s="1962">
        <v>-43.31673</v>
      </c>
      <c r="I136" s="1962">
        <v>0</v>
      </c>
    </row>
    <row r="137" spans="1:9" hidden="1" outlineLevel="2" x14ac:dyDescent="0.2">
      <c r="A137" s="1980" t="s">
        <v>5722</v>
      </c>
      <c r="B137" s="1980" t="s">
        <v>3208</v>
      </c>
      <c r="C137" s="1980" t="s">
        <v>3275</v>
      </c>
      <c r="D137" s="1980" t="s">
        <v>3276</v>
      </c>
      <c r="E137" s="1980" t="s">
        <v>921</v>
      </c>
      <c r="F137" s="1962">
        <v>-29.955069999999999</v>
      </c>
      <c r="G137" s="1962">
        <v>0</v>
      </c>
      <c r="H137" s="1962">
        <v>-29.955069999999999</v>
      </c>
      <c r="I137" s="1962">
        <v>0</v>
      </c>
    </row>
    <row r="138" spans="1:9" hidden="1" outlineLevel="2" x14ac:dyDescent="0.2">
      <c r="A138" s="1980" t="s">
        <v>5722</v>
      </c>
      <c r="B138" s="1980" t="s">
        <v>3208</v>
      </c>
      <c r="C138" s="1980" t="s">
        <v>3277</v>
      </c>
      <c r="D138" s="1980" t="s">
        <v>3278</v>
      </c>
      <c r="E138" s="1980" t="s">
        <v>921</v>
      </c>
      <c r="F138" s="1962">
        <v>-40.676310000000001</v>
      </c>
      <c r="G138" s="1962">
        <v>0</v>
      </c>
      <c r="H138" s="1962">
        <v>-40.676310000000001</v>
      </c>
      <c r="I138" s="1962">
        <v>0</v>
      </c>
    </row>
    <row r="139" spans="1:9" hidden="1" outlineLevel="2" x14ac:dyDescent="0.2">
      <c r="A139" s="1980" t="s">
        <v>5722</v>
      </c>
      <c r="B139" s="1980" t="s">
        <v>3208</v>
      </c>
      <c r="C139" s="1980" t="s">
        <v>3279</v>
      </c>
      <c r="D139" s="1980" t="s">
        <v>3278</v>
      </c>
      <c r="E139" s="1980" t="s">
        <v>921</v>
      </c>
      <c r="F139" s="1962">
        <v>-194.46297999999999</v>
      </c>
      <c r="G139" s="1962">
        <v>0</v>
      </c>
      <c r="H139" s="1962">
        <v>-194.46297999999999</v>
      </c>
      <c r="I139" s="1962">
        <v>0</v>
      </c>
    </row>
    <row r="140" spans="1:9" hidden="1" outlineLevel="2" x14ac:dyDescent="0.2">
      <c r="A140" s="1980" t="s">
        <v>5722</v>
      </c>
      <c r="B140" s="1980" t="s">
        <v>3208</v>
      </c>
      <c r="C140" s="1980" t="s">
        <v>3280</v>
      </c>
      <c r="D140" s="1980" t="s">
        <v>3278</v>
      </c>
      <c r="E140" s="1980" t="s">
        <v>921</v>
      </c>
      <c r="F140" s="1962">
        <v>-24.179939999999998</v>
      </c>
      <c r="G140" s="1962">
        <v>0</v>
      </c>
      <c r="H140" s="1962">
        <v>-24.179939999999998</v>
      </c>
      <c r="I140" s="1962">
        <v>0</v>
      </c>
    </row>
    <row r="141" spans="1:9" hidden="1" outlineLevel="2" x14ac:dyDescent="0.2">
      <c r="A141" s="1980" t="s">
        <v>5722</v>
      </c>
      <c r="B141" s="1980" t="s">
        <v>3208</v>
      </c>
      <c r="C141" s="1980" t="s">
        <v>3281</v>
      </c>
      <c r="D141" s="1980" t="s">
        <v>3282</v>
      </c>
      <c r="E141" s="1980" t="s">
        <v>921</v>
      </c>
      <c r="F141" s="1962">
        <v>-29.340409999999999</v>
      </c>
      <c r="G141" s="1962">
        <v>0</v>
      </c>
      <c r="H141" s="1962">
        <v>-29.340409999999999</v>
      </c>
      <c r="I141" s="1962">
        <v>0</v>
      </c>
    </row>
    <row r="142" spans="1:9" hidden="1" outlineLevel="2" x14ac:dyDescent="0.2">
      <c r="A142" s="1980" t="s">
        <v>5722</v>
      </c>
      <c r="B142" s="1980" t="s">
        <v>3208</v>
      </c>
      <c r="C142" s="1980" t="s">
        <v>3283</v>
      </c>
      <c r="D142" s="1980" t="s">
        <v>3284</v>
      </c>
      <c r="E142" s="1980" t="s">
        <v>913</v>
      </c>
      <c r="F142" s="1962">
        <v>3323.49053</v>
      </c>
      <c r="G142" s="1962">
        <v>929.7062278863275</v>
      </c>
      <c r="H142" s="1962">
        <v>248.09617728005821</v>
      </c>
      <c r="I142" s="1962">
        <v>177.25001353979971</v>
      </c>
    </row>
    <row r="143" spans="1:9" hidden="1" outlineLevel="2" x14ac:dyDescent="0.2">
      <c r="A143" s="1980" t="s">
        <v>5722</v>
      </c>
      <c r="B143" s="1980" t="s">
        <v>3208</v>
      </c>
      <c r="C143" s="1980" t="s">
        <v>3285</v>
      </c>
      <c r="D143" s="1980" t="s">
        <v>3286</v>
      </c>
      <c r="E143" s="1980" t="s">
        <v>913</v>
      </c>
      <c r="F143" s="1962">
        <v>29.075890000000001</v>
      </c>
      <c r="G143" s="1962">
        <v>8.1336281148777019</v>
      </c>
      <c r="H143" s="1962">
        <v>2.1704942724826939</v>
      </c>
      <c r="I143" s="1962">
        <v>1.5506895084132306</v>
      </c>
    </row>
    <row r="144" spans="1:9" hidden="1" outlineLevel="2" x14ac:dyDescent="0.2">
      <c r="A144" s="1980" t="s">
        <v>5722</v>
      </c>
      <c r="B144" s="1980" t="s">
        <v>3208</v>
      </c>
      <c r="C144" s="1980" t="s">
        <v>3287</v>
      </c>
      <c r="D144" s="1980" t="s">
        <v>3288</v>
      </c>
      <c r="E144" s="1980" t="s">
        <v>913</v>
      </c>
      <c r="F144" s="1962">
        <v>7.5482699999999996</v>
      </c>
      <c r="G144" s="1962">
        <v>2.111537122017173</v>
      </c>
      <c r="H144" s="1962">
        <v>0.5634729255803671</v>
      </c>
      <c r="I144" s="1962">
        <v>0.40256800722764924</v>
      </c>
    </row>
    <row r="145" spans="1:9" hidden="1" outlineLevel="2" x14ac:dyDescent="0.2">
      <c r="A145" s="1980" t="s">
        <v>5722</v>
      </c>
      <c r="B145" s="1980" t="s">
        <v>3208</v>
      </c>
      <c r="C145" s="1980" t="s">
        <v>3289</v>
      </c>
      <c r="D145" s="1980" t="s">
        <v>3290</v>
      </c>
      <c r="E145" s="1980" t="s">
        <v>913</v>
      </c>
      <c r="F145" s="1962">
        <v>1924.1820600000001</v>
      </c>
      <c r="G145" s="1962">
        <v>538.26662920238357</v>
      </c>
      <c r="H145" s="1962">
        <v>143.63880660038097</v>
      </c>
      <c r="I145" s="1962">
        <v>102.62141357389085</v>
      </c>
    </row>
    <row r="146" spans="1:9" hidden="1" outlineLevel="2" x14ac:dyDescent="0.2">
      <c r="A146" s="1980" t="s">
        <v>5722</v>
      </c>
      <c r="B146" s="1980" t="s">
        <v>3208</v>
      </c>
      <c r="C146" s="1980" t="s">
        <v>3291</v>
      </c>
      <c r="D146" s="1980" t="s">
        <v>3292</v>
      </c>
      <c r="E146" s="1980" t="s">
        <v>913</v>
      </c>
      <c r="F146" s="1962">
        <v>0.54913999999999996</v>
      </c>
      <c r="G146" s="1962">
        <v>0.15361526484671459</v>
      </c>
      <c r="H146" s="1962">
        <v>4.0992905970931456E-2</v>
      </c>
      <c r="I146" s="1962">
        <v>2.9287001589634619E-2</v>
      </c>
    </row>
    <row r="147" spans="1:9" hidden="1" outlineLevel="2" x14ac:dyDescent="0.2">
      <c r="A147" s="1980" t="s">
        <v>5722</v>
      </c>
      <c r="B147" s="1980" t="s">
        <v>3208</v>
      </c>
      <c r="C147" s="1980" t="s">
        <v>3293</v>
      </c>
      <c r="D147" s="1980" t="s">
        <v>3294</v>
      </c>
      <c r="E147" s="1980" t="s">
        <v>913</v>
      </c>
      <c r="F147" s="1962">
        <v>10.01413</v>
      </c>
      <c r="G147" s="1962">
        <v>2.8013315951477402</v>
      </c>
      <c r="H147" s="1962">
        <v>0.74754760074058324</v>
      </c>
      <c r="I147" s="1962">
        <v>0.53407845217760086</v>
      </c>
    </row>
    <row r="148" spans="1:9" hidden="1" outlineLevel="2" x14ac:dyDescent="0.2">
      <c r="A148" s="1980" t="s">
        <v>5722</v>
      </c>
      <c r="B148" s="1980" t="s">
        <v>3208</v>
      </c>
      <c r="C148" s="1980" t="s">
        <v>3295</v>
      </c>
      <c r="D148" s="1980" t="s">
        <v>3296</v>
      </c>
      <c r="E148" s="1980" t="s">
        <v>913</v>
      </c>
      <c r="F148" s="1962">
        <v>4.6352000000000002</v>
      </c>
      <c r="G148" s="1962">
        <v>1.2966410671549906</v>
      </c>
      <c r="H148" s="1962">
        <v>0.34601434562490718</v>
      </c>
      <c r="I148" s="1962">
        <v>0.2472067410282886</v>
      </c>
    </row>
    <row r="149" spans="1:9" hidden="1" outlineLevel="2" x14ac:dyDescent="0.2">
      <c r="A149" s="1980" t="s">
        <v>5722</v>
      </c>
      <c r="B149" s="1980" t="s">
        <v>3208</v>
      </c>
      <c r="C149" s="1980" t="s">
        <v>3297</v>
      </c>
      <c r="D149" s="1980" t="s">
        <v>3298</v>
      </c>
      <c r="E149" s="1980" t="s">
        <v>913</v>
      </c>
      <c r="F149" s="1962">
        <v>3187.51638</v>
      </c>
      <c r="G149" s="1962">
        <v>891.66924608759302</v>
      </c>
      <c r="H149" s="1962">
        <v>237.94580479685297</v>
      </c>
      <c r="I149" s="1962">
        <v>169.99817403220743</v>
      </c>
    </row>
    <row r="150" spans="1:9" hidden="1" outlineLevel="2" x14ac:dyDescent="0.2">
      <c r="A150" s="1980" t="s">
        <v>5722</v>
      </c>
      <c r="B150" s="1980" t="s">
        <v>3208</v>
      </c>
      <c r="C150" s="1980" t="s">
        <v>3299</v>
      </c>
      <c r="D150" s="1980" t="s">
        <v>3300</v>
      </c>
      <c r="E150" s="1980" t="s">
        <v>913</v>
      </c>
      <c r="F150" s="1962">
        <v>25.409199999999998</v>
      </c>
      <c r="G150" s="1962">
        <v>7.1079159914468812</v>
      </c>
      <c r="H150" s="1962">
        <v>1.89677850165093</v>
      </c>
      <c r="I150" s="1962">
        <v>1.3551358138022069</v>
      </c>
    </row>
    <row r="151" spans="1:9" hidden="1" outlineLevel="2" x14ac:dyDescent="0.2">
      <c r="A151" s="1980" t="s">
        <v>5722</v>
      </c>
      <c r="B151" s="1980" t="s">
        <v>3208</v>
      </c>
      <c r="C151" s="1980" t="s">
        <v>3301</v>
      </c>
      <c r="D151" s="1980" t="s">
        <v>3302</v>
      </c>
      <c r="E151" s="1980" t="s">
        <v>913</v>
      </c>
      <c r="F151" s="1962">
        <v>6662.17544</v>
      </c>
      <c r="G151" s="1962">
        <v>1863.6628995718349</v>
      </c>
      <c r="H151" s="1962">
        <v>497.32660409689504</v>
      </c>
      <c r="I151" s="1962">
        <v>355.31038114452548</v>
      </c>
    </row>
    <row r="152" spans="1:9" hidden="1" outlineLevel="2" x14ac:dyDescent="0.2">
      <c r="A152" s="1980" t="s">
        <v>5722</v>
      </c>
      <c r="B152" s="1980" t="s">
        <v>3208</v>
      </c>
      <c r="C152" s="1980" t="s">
        <v>3303</v>
      </c>
      <c r="D152" s="1980" t="s">
        <v>3304</v>
      </c>
      <c r="E152" s="1980" t="s">
        <v>913</v>
      </c>
      <c r="F152" s="1962">
        <v>6396.1947300000002</v>
      </c>
      <c r="G152" s="1962">
        <v>1789.2580170086139</v>
      </c>
      <c r="H152" s="1962">
        <v>477.47133543114205</v>
      </c>
      <c r="I152" s="1962">
        <v>341.12496854194302</v>
      </c>
    </row>
    <row r="153" spans="1:9" hidden="1" outlineLevel="2" x14ac:dyDescent="0.2">
      <c r="A153" s="1980" t="s">
        <v>5722</v>
      </c>
      <c r="B153" s="1980" t="s">
        <v>3208</v>
      </c>
      <c r="C153" s="1980" t="s">
        <v>3305</v>
      </c>
      <c r="D153" s="1980" t="s">
        <v>3306</v>
      </c>
      <c r="E153" s="1980" t="s">
        <v>913</v>
      </c>
      <c r="F153" s="1962">
        <v>575.69573000000003</v>
      </c>
      <c r="G153" s="1962">
        <v>161.04390872104145</v>
      </c>
      <c r="H153" s="1962">
        <v>42.97527211231516</v>
      </c>
      <c r="I153" s="1962">
        <v>30.703284699085597</v>
      </c>
    </row>
    <row r="154" spans="1:9" hidden="1" outlineLevel="2" x14ac:dyDescent="0.2">
      <c r="A154" s="1980" t="s">
        <v>5722</v>
      </c>
      <c r="B154" s="1980" t="s">
        <v>3208</v>
      </c>
      <c r="C154" s="1980" t="s">
        <v>3307</v>
      </c>
      <c r="D154" s="1980" t="s">
        <v>3308</v>
      </c>
      <c r="E154" s="1980" t="s">
        <v>913</v>
      </c>
      <c r="F154" s="1962">
        <v>2557.9780099999998</v>
      </c>
      <c r="G154" s="1962">
        <v>715.56337086757833</v>
      </c>
      <c r="H154" s="1962">
        <v>190.95121834075167</v>
      </c>
      <c r="I154" s="1962">
        <v>136.42332746680336</v>
      </c>
    </row>
    <row r="155" spans="1:9" hidden="1" outlineLevel="2" x14ac:dyDescent="0.2">
      <c r="A155" s="1980" t="s">
        <v>5722</v>
      </c>
      <c r="B155" s="1980" t="s">
        <v>3208</v>
      </c>
      <c r="C155" s="1980" t="s">
        <v>3309</v>
      </c>
      <c r="D155" s="1980" t="s">
        <v>3310</v>
      </c>
      <c r="E155" s="1980" t="s">
        <v>913</v>
      </c>
      <c r="F155" s="1962">
        <v>3017.4524099999999</v>
      </c>
      <c r="G155" s="1962">
        <v>844.09576997579347</v>
      </c>
      <c r="H155" s="1962">
        <v>225.25065177348313</v>
      </c>
      <c r="I155" s="1962">
        <v>160.92823966259391</v>
      </c>
    </row>
    <row r="156" spans="1:9" hidden="1" outlineLevel="2" x14ac:dyDescent="0.2">
      <c r="A156" s="1980" t="s">
        <v>5722</v>
      </c>
      <c r="B156" s="1980" t="s">
        <v>3208</v>
      </c>
      <c r="C156" s="1980" t="s">
        <v>3311</v>
      </c>
      <c r="D156" s="1980" t="s">
        <v>3312</v>
      </c>
      <c r="E156" s="1980" t="s">
        <v>913</v>
      </c>
      <c r="F156" s="1962">
        <v>4411.7290499999999</v>
      </c>
      <c r="G156" s="1962">
        <v>1234.1277751533207</v>
      </c>
      <c r="H156" s="1962">
        <v>329.33239996335504</v>
      </c>
      <c r="I156" s="1962">
        <v>235.2884796233879</v>
      </c>
    </row>
    <row r="157" spans="1:9" hidden="1" outlineLevel="2" x14ac:dyDescent="0.2">
      <c r="A157" s="1980" t="s">
        <v>5722</v>
      </c>
      <c r="B157" s="1980" t="s">
        <v>3208</v>
      </c>
      <c r="C157" s="1980" t="s">
        <v>3313</v>
      </c>
      <c r="D157" s="1980" t="s">
        <v>3314</v>
      </c>
      <c r="E157" s="1980" t="s">
        <v>913</v>
      </c>
      <c r="F157" s="1962">
        <v>2.6945399999999999</v>
      </c>
      <c r="G157" s="1962">
        <v>0.75376493378749743</v>
      </c>
      <c r="H157" s="1962">
        <v>0.20114547265708865</v>
      </c>
      <c r="I157" s="1962">
        <v>0.14370651794320952</v>
      </c>
    </row>
    <row r="158" spans="1:9" hidden="1" outlineLevel="2" x14ac:dyDescent="0.2">
      <c r="A158" s="1980" t="s">
        <v>5722</v>
      </c>
      <c r="B158" s="1980" t="s">
        <v>3208</v>
      </c>
      <c r="C158" s="1980" t="s">
        <v>3315</v>
      </c>
      <c r="D158" s="1980" t="s">
        <v>3316</v>
      </c>
      <c r="E158" s="1980" t="s">
        <v>913</v>
      </c>
      <c r="F158" s="1962">
        <v>34.730719999999998</v>
      </c>
      <c r="G158" s="1962">
        <v>9.7154983266873423</v>
      </c>
      <c r="H158" s="1962">
        <v>2.5926232641270874</v>
      </c>
      <c r="I158" s="1962">
        <v>1.8522756525642912</v>
      </c>
    </row>
    <row r="159" spans="1:9" hidden="1" outlineLevel="2" x14ac:dyDescent="0.2">
      <c r="A159" s="1980" t="s">
        <v>5722</v>
      </c>
      <c r="B159" s="1980" t="s">
        <v>3208</v>
      </c>
      <c r="C159" s="1980" t="s">
        <v>3317</v>
      </c>
      <c r="D159" s="1980" t="s">
        <v>3318</v>
      </c>
      <c r="E159" s="1980" t="s">
        <v>921</v>
      </c>
      <c r="F159" s="1962">
        <v>-13.41968</v>
      </c>
      <c r="G159" s="1962">
        <v>0</v>
      </c>
      <c r="H159" s="1962">
        <v>-13.41968</v>
      </c>
      <c r="I159" s="1962">
        <v>0</v>
      </c>
    </row>
    <row r="160" spans="1:9" hidden="1" outlineLevel="2" x14ac:dyDescent="0.2">
      <c r="A160" s="1980" t="s">
        <v>5722</v>
      </c>
      <c r="B160" s="1980" t="s">
        <v>3208</v>
      </c>
      <c r="C160" s="1980" t="s">
        <v>3319</v>
      </c>
      <c r="D160" s="1980" t="s">
        <v>3320</v>
      </c>
      <c r="E160" s="1980" t="s">
        <v>921</v>
      </c>
      <c r="F160" s="1962">
        <v>-42.040489999999998</v>
      </c>
      <c r="G160" s="1962">
        <v>0</v>
      </c>
      <c r="H160" s="1962">
        <v>-42.040489999999998</v>
      </c>
      <c r="I160" s="1962">
        <v>0</v>
      </c>
    </row>
    <row r="161" spans="1:9" hidden="1" outlineLevel="2" x14ac:dyDescent="0.2">
      <c r="A161" s="1980" t="s">
        <v>5722</v>
      </c>
      <c r="B161" s="1980" t="s">
        <v>3208</v>
      </c>
      <c r="C161" s="1980" t="s">
        <v>3321</v>
      </c>
      <c r="D161" s="1980" t="s">
        <v>3322</v>
      </c>
      <c r="E161" s="1980" t="s">
        <v>921</v>
      </c>
      <c r="F161" s="1962">
        <v>-27.909300000000002</v>
      </c>
      <c r="G161" s="1962">
        <v>0</v>
      </c>
      <c r="H161" s="1962">
        <v>-27.909300000000002</v>
      </c>
      <c r="I161" s="1962">
        <v>0</v>
      </c>
    </row>
    <row r="162" spans="1:9" hidden="1" outlineLevel="2" x14ac:dyDescent="0.2">
      <c r="A162" s="1980" t="s">
        <v>5722</v>
      </c>
      <c r="B162" s="1980" t="s">
        <v>3208</v>
      </c>
      <c r="C162" s="1980" t="s">
        <v>3323</v>
      </c>
      <c r="D162" s="1980" t="s">
        <v>3324</v>
      </c>
      <c r="E162" s="1980" t="s">
        <v>921</v>
      </c>
      <c r="F162" s="1962">
        <v>-40.259259999999998</v>
      </c>
      <c r="G162" s="1962">
        <v>0</v>
      </c>
      <c r="H162" s="1962">
        <v>-40.259259999999998</v>
      </c>
      <c r="I162" s="1962">
        <v>0</v>
      </c>
    </row>
    <row r="163" spans="1:9" hidden="1" outlineLevel="2" x14ac:dyDescent="0.2">
      <c r="A163" s="1980" t="s">
        <v>5722</v>
      </c>
      <c r="B163" s="1980" t="s">
        <v>3208</v>
      </c>
      <c r="C163" s="1980" t="s">
        <v>3325</v>
      </c>
      <c r="D163" s="1980" t="s">
        <v>3326</v>
      </c>
      <c r="E163" s="1980" t="s">
        <v>921</v>
      </c>
      <c r="F163" s="1962">
        <v>-0.50551000000000001</v>
      </c>
      <c r="G163" s="1962">
        <v>0</v>
      </c>
      <c r="H163" s="1962">
        <v>-0.50551000000000001</v>
      </c>
      <c r="I163" s="1962">
        <v>0</v>
      </c>
    </row>
    <row r="164" spans="1:9" hidden="1" outlineLevel="2" x14ac:dyDescent="0.2">
      <c r="A164" s="1980" t="s">
        <v>5722</v>
      </c>
      <c r="B164" s="1980" t="s">
        <v>3208</v>
      </c>
      <c r="C164" s="1980" t="s">
        <v>3327</v>
      </c>
      <c r="D164" s="1980" t="s">
        <v>3328</v>
      </c>
      <c r="E164" s="1980" t="s">
        <v>921</v>
      </c>
      <c r="F164" s="1962">
        <v>-29.69821</v>
      </c>
      <c r="G164" s="1962">
        <v>0</v>
      </c>
      <c r="H164" s="1962">
        <v>-29.69821</v>
      </c>
      <c r="I164" s="1962">
        <v>0</v>
      </c>
    </row>
    <row r="165" spans="1:9" hidden="1" outlineLevel="2" x14ac:dyDescent="0.2">
      <c r="A165" s="1980" t="s">
        <v>5722</v>
      </c>
      <c r="B165" s="1980" t="s">
        <v>3208</v>
      </c>
      <c r="C165" s="1980" t="s">
        <v>3329</v>
      </c>
      <c r="D165" s="1980" t="s">
        <v>3330</v>
      </c>
      <c r="E165" s="1980" t="s">
        <v>921</v>
      </c>
      <c r="F165" s="1962">
        <v>-47.004559999999998</v>
      </c>
      <c r="G165" s="1962">
        <v>0</v>
      </c>
      <c r="H165" s="1962">
        <v>-47.004559999999998</v>
      </c>
      <c r="I165" s="1962">
        <v>0</v>
      </c>
    </row>
    <row r="166" spans="1:9" hidden="1" outlineLevel="2" x14ac:dyDescent="0.2">
      <c r="A166" s="1980" t="s">
        <v>5722</v>
      </c>
      <c r="B166" s="1980" t="s">
        <v>3208</v>
      </c>
      <c r="C166" s="1980" t="s">
        <v>3331</v>
      </c>
      <c r="D166" s="1980" t="s">
        <v>3332</v>
      </c>
      <c r="E166" s="1980" t="s">
        <v>921</v>
      </c>
      <c r="F166" s="1962">
        <v>-216.00987000000001</v>
      </c>
      <c r="G166" s="1962">
        <v>0</v>
      </c>
      <c r="H166" s="1962">
        <v>-216.00987000000001</v>
      </c>
      <c r="I166" s="1962">
        <v>0</v>
      </c>
    </row>
    <row r="167" spans="1:9" hidden="1" outlineLevel="2" x14ac:dyDescent="0.2">
      <c r="A167" s="1980" t="s">
        <v>5722</v>
      </c>
      <c r="B167" s="1980" t="s">
        <v>3208</v>
      </c>
      <c r="C167" s="1980" t="s">
        <v>3333</v>
      </c>
      <c r="D167" s="1980" t="s">
        <v>3334</v>
      </c>
      <c r="E167" s="1980" t="s">
        <v>921</v>
      </c>
      <c r="F167" s="1962">
        <v>-1.6064099999999999</v>
      </c>
      <c r="G167" s="1962">
        <v>0</v>
      </c>
      <c r="H167" s="1962">
        <v>-1.6064099999999999</v>
      </c>
      <c r="I167" s="1962">
        <v>0</v>
      </c>
    </row>
    <row r="168" spans="1:9" hidden="1" outlineLevel="2" x14ac:dyDescent="0.2">
      <c r="A168" s="1980" t="s">
        <v>5722</v>
      </c>
      <c r="B168" s="1980" t="s">
        <v>3208</v>
      </c>
      <c r="C168" s="1980" t="s">
        <v>3335</v>
      </c>
      <c r="D168" s="1980" t="s">
        <v>3336</v>
      </c>
      <c r="E168" s="1980" t="s">
        <v>921</v>
      </c>
      <c r="F168" s="1962">
        <v>-18.930949999999999</v>
      </c>
      <c r="G168" s="1962">
        <v>0</v>
      </c>
      <c r="H168" s="1962">
        <v>-18.930949999999999</v>
      </c>
      <c r="I168" s="1962">
        <v>0</v>
      </c>
    </row>
    <row r="169" spans="1:9" hidden="1" outlineLevel="2" x14ac:dyDescent="0.2">
      <c r="A169" s="1980" t="s">
        <v>5722</v>
      </c>
      <c r="B169" s="1980" t="s">
        <v>3208</v>
      </c>
      <c r="C169" s="1980" t="s">
        <v>3337</v>
      </c>
      <c r="D169" s="1980" t="s">
        <v>3338</v>
      </c>
      <c r="E169" s="1980" t="s">
        <v>921</v>
      </c>
      <c r="F169" s="1962">
        <v>-58.518219999999999</v>
      </c>
      <c r="G169" s="1962">
        <v>0</v>
      </c>
      <c r="H169" s="1962">
        <v>-58.518219999999999</v>
      </c>
      <c r="I169" s="1962">
        <v>0</v>
      </c>
    </row>
    <row r="170" spans="1:9" hidden="1" outlineLevel="2" x14ac:dyDescent="0.2">
      <c r="A170" s="1980" t="s">
        <v>5722</v>
      </c>
      <c r="B170" s="1980" t="s">
        <v>3208</v>
      </c>
      <c r="C170" s="1980" t="s">
        <v>3339</v>
      </c>
      <c r="D170" s="1980" t="s">
        <v>3340</v>
      </c>
      <c r="E170" s="1980" t="s">
        <v>921</v>
      </c>
      <c r="F170" s="1962">
        <v>-2.7441800000000001</v>
      </c>
      <c r="G170" s="1962">
        <v>0</v>
      </c>
      <c r="H170" s="1962">
        <v>-2.7441800000000001</v>
      </c>
      <c r="I170" s="1962">
        <v>0</v>
      </c>
    </row>
    <row r="171" spans="1:9" hidden="1" outlineLevel="2" x14ac:dyDescent="0.2">
      <c r="A171" s="1980" t="s">
        <v>5722</v>
      </c>
      <c r="B171" s="1980" t="s">
        <v>3208</v>
      </c>
      <c r="C171" s="1980" t="s">
        <v>3341</v>
      </c>
      <c r="D171" s="1980" t="s">
        <v>3342</v>
      </c>
      <c r="E171" s="1980" t="s">
        <v>921</v>
      </c>
      <c r="F171" s="1962">
        <v>-203.42501999999999</v>
      </c>
      <c r="G171" s="1962">
        <v>0</v>
      </c>
      <c r="H171" s="1962">
        <v>-203.42501999999999</v>
      </c>
      <c r="I171" s="1962">
        <v>0</v>
      </c>
    </row>
    <row r="172" spans="1:9" hidden="1" outlineLevel="2" x14ac:dyDescent="0.2">
      <c r="A172" s="1980" t="s">
        <v>5722</v>
      </c>
      <c r="B172" s="1980" t="s">
        <v>3208</v>
      </c>
      <c r="C172" s="1980" t="s">
        <v>3343</v>
      </c>
      <c r="D172" s="1980" t="s">
        <v>3344</v>
      </c>
      <c r="E172" s="1980" t="s">
        <v>921</v>
      </c>
      <c r="F172" s="1962">
        <v>-295.72644000000003</v>
      </c>
      <c r="G172" s="1962">
        <v>0</v>
      </c>
      <c r="H172" s="1962">
        <v>-295.72644000000003</v>
      </c>
      <c r="I172" s="1962">
        <v>0</v>
      </c>
    </row>
    <row r="173" spans="1:9" hidden="1" outlineLevel="2" x14ac:dyDescent="0.2">
      <c r="A173" s="1980" t="s">
        <v>5722</v>
      </c>
      <c r="B173" s="1980" t="s">
        <v>3208</v>
      </c>
      <c r="C173" s="1980" t="s">
        <v>3345</v>
      </c>
      <c r="D173" s="1980" t="s">
        <v>3346</v>
      </c>
      <c r="E173" s="1980" t="s">
        <v>921</v>
      </c>
      <c r="F173" s="1962">
        <v>-11.950609999999999</v>
      </c>
      <c r="G173" s="1962">
        <v>0</v>
      </c>
      <c r="H173" s="1962">
        <v>-11.950609999999999</v>
      </c>
      <c r="I173" s="1962">
        <v>0</v>
      </c>
    </row>
    <row r="174" spans="1:9" hidden="1" outlineLevel="2" x14ac:dyDescent="0.2">
      <c r="A174" s="1980" t="s">
        <v>5722</v>
      </c>
      <c r="B174" s="1980" t="s">
        <v>3208</v>
      </c>
      <c r="C174" s="1980" t="s">
        <v>3347</v>
      </c>
      <c r="D174" s="1980" t="s">
        <v>3348</v>
      </c>
      <c r="E174" s="1980" t="s">
        <v>921</v>
      </c>
      <c r="F174" s="1962">
        <v>-172.3227</v>
      </c>
      <c r="G174" s="1962">
        <v>0</v>
      </c>
      <c r="H174" s="1962">
        <v>-172.3227</v>
      </c>
      <c r="I174" s="1962">
        <v>0</v>
      </c>
    </row>
    <row r="175" spans="1:9" hidden="1" outlineLevel="2" x14ac:dyDescent="0.2">
      <c r="A175" s="1980" t="s">
        <v>5722</v>
      </c>
      <c r="B175" s="1980" t="s">
        <v>3208</v>
      </c>
      <c r="C175" s="1980" t="s">
        <v>3349</v>
      </c>
      <c r="D175" s="1980" t="s">
        <v>3350</v>
      </c>
      <c r="E175" s="1980" t="s">
        <v>921</v>
      </c>
      <c r="F175" s="1962">
        <v>-12.21869</v>
      </c>
      <c r="G175" s="1962">
        <v>0</v>
      </c>
      <c r="H175" s="1962">
        <v>-12.21869</v>
      </c>
      <c r="I175" s="1962">
        <v>0</v>
      </c>
    </row>
    <row r="176" spans="1:9" hidden="1" outlineLevel="2" x14ac:dyDescent="0.2">
      <c r="A176" s="1980" t="s">
        <v>5722</v>
      </c>
      <c r="B176" s="1980" t="s">
        <v>3208</v>
      </c>
      <c r="C176" s="1980" t="s">
        <v>3351</v>
      </c>
      <c r="D176" s="1980" t="s">
        <v>3352</v>
      </c>
      <c r="E176" s="1980" t="s">
        <v>921</v>
      </c>
      <c r="F176" s="1962">
        <v>-0.55176000000000003</v>
      </c>
      <c r="G176" s="1962">
        <v>0</v>
      </c>
      <c r="H176" s="1962">
        <v>-0.55176000000000003</v>
      </c>
      <c r="I176" s="1962">
        <v>0</v>
      </c>
    </row>
    <row r="177" spans="1:9" hidden="1" outlineLevel="2" x14ac:dyDescent="0.2">
      <c r="A177" s="1980" t="s">
        <v>5722</v>
      </c>
      <c r="B177" s="1980" t="s">
        <v>3208</v>
      </c>
      <c r="C177" s="1980" t="s">
        <v>3353</v>
      </c>
      <c r="D177" s="1980" t="s">
        <v>3354</v>
      </c>
      <c r="E177" s="1980" t="s">
        <v>921</v>
      </c>
      <c r="F177" s="1962">
        <v>-42.404470000000003</v>
      </c>
      <c r="G177" s="1962">
        <v>0</v>
      </c>
      <c r="H177" s="1962">
        <v>-42.404470000000003</v>
      </c>
      <c r="I177" s="1962">
        <v>0</v>
      </c>
    </row>
    <row r="178" spans="1:9" hidden="1" outlineLevel="2" x14ac:dyDescent="0.2">
      <c r="A178" s="1980" t="s">
        <v>5722</v>
      </c>
      <c r="B178" s="1980" t="s">
        <v>3208</v>
      </c>
      <c r="C178" s="1980" t="s">
        <v>3355</v>
      </c>
      <c r="D178" s="1980" t="s">
        <v>3356</v>
      </c>
      <c r="E178" s="1980" t="s">
        <v>921</v>
      </c>
      <c r="F178" s="1962">
        <v>-60.704009999999997</v>
      </c>
      <c r="G178" s="1962">
        <v>0</v>
      </c>
      <c r="H178" s="1962">
        <v>-60.704009999999997</v>
      </c>
      <c r="I178" s="1962">
        <v>0</v>
      </c>
    </row>
    <row r="179" spans="1:9" hidden="1" outlineLevel="2" x14ac:dyDescent="0.2">
      <c r="A179" s="1980" t="s">
        <v>5722</v>
      </c>
      <c r="B179" s="1980" t="s">
        <v>3208</v>
      </c>
      <c r="C179" s="1980" t="s">
        <v>3357</v>
      </c>
      <c r="D179" s="1980" t="s">
        <v>3358</v>
      </c>
      <c r="E179" s="1980" t="s">
        <v>921</v>
      </c>
      <c r="F179" s="1962">
        <v>-72.911180000000002</v>
      </c>
      <c r="G179" s="1962">
        <v>0</v>
      </c>
      <c r="H179" s="1962">
        <v>-72.911180000000002</v>
      </c>
      <c r="I179" s="1962">
        <v>0</v>
      </c>
    </row>
    <row r="180" spans="1:9" hidden="1" outlineLevel="2" x14ac:dyDescent="0.2">
      <c r="A180" s="1980" t="s">
        <v>5722</v>
      </c>
      <c r="B180" s="1980" t="s">
        <v>3208</v>
      </c>
      <c r="C180" s="1980" t="s">
        <v>3359</v>
      </c>
      <c r="D180" s="1980" t="s">
        <v>3360</v>
      </c>
      <c r="E180" s="1980" t="s">
        <v>921</v>
      </c>
      <c r="F180" s="1962">
        <v>-8.8107199999999999</v>
      </c>
      <c r="G180" s="1962">
        <v>0</v>
      </c>
      <c r="H180" s="1962">
        <v>-8.8107199999999999</v>
      </c>
      <c r="I180" s="1962">
        <v>0</v>
      </c>
    </row>
    <row r="181" spans="1:9" hidden="1" outlineLevel="2" x14ac:dyDescent="0.2">
      <c r="A181" s="1980" t="s">
        <v>5722</v>
      </c>
      <c r="B181" s="1980" t="s">
        <v>3208</v>
      </c>
      <c r="C181" s="1980" t="s">
        <v>3361</v>
      </c>
      <c r="D181" s="1980" t="s">
        <v>3362</v>
      </c>
      <c r="E181" s="1980" t="s">
        <v>921</v>
      </c>
      <c r="F181" s="1962">
        <v>-3.4700000000000002E-2</v>
      </c>
      <c r="G181" s="1962">
        <v>0</v>
      </c>
      <c r="H181" s="1962">
        <v>-3.4700000000000002E-2</v>
      </c>
      <c r="I181" s="1962">
        <v>0</v>
      </c>
    </row>
    <row r="182" spans="1:9" hidden="1" outlineLevel="2" x14ac:dyDescent="0.2">
      <c r="A182" s="1980" t="s">
        <v>5722</v>
      </c>
      <c r="B182" s="1980" t="s">
        <v>3208</v>
      </c>
      <c r="C182" s="1980" t="s">
        <v>3363</v>
      </c>
      <c r="D182" s="1980" t="s">
        <v>3364</v>
      </c>
      <c r="E182" s="1980" t="s">
        <v>921</v>
      </c>
      <c r="F182" s="1962">
        <v>-446.8997</v>
      </c>
      <c r="G182" s="1962">
        <v>0</v>
      </c>
      <c r="H182" s="1962">
        <v>-446.8997</v>
      </c>
      <c r="I182" s="1962">
        <v>0</v>
      </c>
    </row>
    <row r="183" spans="1:9" hidden="1" outlineLevel="2" x14ac:dyDescent="0.2">
      <c r="A183" s="1980" t="s">
        <v>5722</v>
      </c>
      <c r="B183" s="1980" t="s">
        <v>3208</v>
      </c>
      <c r="C183" s="1980" t="s">
        <v>3365</v>
      </c>
      <c r="D183" s="1980" t="s">
        <v>3366</v>
      </c>
      <c r="E183" s="1980" t="s">
        <v>921</v>
      </c>
      <c r="F183" s="1962">
        <v>-428.94893000000002</v>
      </c>
      <c r="G183" s="1962">
        <v>0</v>
      </c>
      <c r="H183" s="1962">
        <v>-428.94893000000002</v>
      </c>
      <c r="I183" s="1962">
        <v>0</v>
      </c>
    </row>
    <row r="184" spans="1:9" hidden="1" outlineLevel="2" x14ac:dyDescent="0.2">
      <c r="A184" s="1980" t="s">
        <v>5722</v>
      </c>
      <c r="B184" s="1980" t="s">
        <v>3208</v>
      </c>
      <c r="C184" s="1980" t="s">
        <v>3367</v>
      </c>
      <c r="D184" s="1980" t="s">
        <v>3368</v>
      </c>
      <c r="E184" s="1980" t="s">
        <v>921</v>
      </c>
      <c r="F184" s="1962">
        <v>-2.5823499999999999</v>
      </c>
      <c r="G184" s="1962">
        <v>0</v>
      </c>
      <c r="H184" s="1962">
        <v>-2.5823499999999999</v>
      </c>
      <c r="I184" s="1962">
        <v>0</v>
      </c>
    </row>
    <row r="185" spans="1:9" hidden="1" outlineLevel="2" x14ac:dyDescent="0.2">
      <c r="A185" s="1980" t="s">
        <v>5722</v>
      </c>
      <c r="B185" s="1980" t="s">
        <v>3208</v>
      </c>
      <c r="C185" s="1980" t="s">
        <v>3369</v>
      </c>
      <c r="D185" s="1980" t="s">
        <v>3370</v>
      </c>
      <c r="E185" s="1980" t="s">
        <v>921</v>
      </c>
      <c r="F185" s="1962">
        <v>-0.10644000000000001</v>
      </c>
      <c r="G185" s="1962">
        <v>0</v>
      </c>
      <c r="H185" s="1962">
        <v>-0.10644000000000001</v>
      </c>
      <c r="I185" s="1962">
        <v>0</v>
      </c>
    </row>
    <row r="186" spans="1:9" hidden="1" outlineLevel="2" x14ac:dyDescent="0.2">
      <c r="A186" s="1980" t="s">
        <v>5722</v>
      </c>
      <c r="B186" s="1980" t="s">
        <v>3208</v>
      </c>
      <c r="C186" s="1980" t="s">
        <v>3371</v>
      </c>
      <c r="D186" s="1980" t="s">
        <v>3372</v>
      </c>
      <c r="E186" s="1980" t="s">
        <v>921</v>
      </c>
      <c r="F186" s="1962">
        <v>-0.18059</v>
      </c>
      <c r="G186" s="1962">
        <v>0</v>
      </c>
      <c r="H186" s="1962">
        <v>-0.18059</v>
      </c>
      <c r="I186" s="1962">
        <v>0</v>
      </c>
    </row>
    <row r="187" spans="1:9" hidden="1" outlineLevel="2" x14ac:dyDescent="0.2">
      <c r="A187" s="1980" t="s">
        <v>5722</v>
      </c>
      <c r="B187" s="1980" t="s">
        <v>3208</v>
      </c>
      <c r="C187" s="1980" t="s">
        <v>3373</v>
      </c>
      <c r="D187" s="1980" t="s">
        <v>3374</v>
      </c>
      <c r="E187" s="1980" t="s">
        <v>921</v>
      </c>
      <c r="F187" s="1962">
        <v>-2.3787699999999998</v>
      </c>
      <c r="G187" s="1962">
        <v>0</v>
      </c>
      <c r="H187" s="1962">
        <v>-2.3787699999999998</v>
      </c>
      <c r="I187" s="1962">
        <v>0</v>
      </c>
    </row>
    <row r="188" spans="1:9" hidden="1" outlineLevel="2" x14ac:dyDescent="0.2">
      <c r="A188" s="1980" t="s">
        <v>5722</v>
      </c>
      <c r="B188" s="1980" t="s">
        <v>3208</v>
      </c>
      <c r="C188" s="1980" t="s">
        <v>3375</v>
      </c>
      <c r="D188" s="1980" t="s">
        <v>3376</v>
      </c>
      <c r="E188" s="1980" t="s">
        <v>921</v>
      </c>
      <c r="F188" s="1962">
        <v>-77.968630000000005</v>
      </c>
      <c r="G188" s="1962">
        <v>0</v>
      </c>
      <c r="H188" s="1962">
        <v>-77.968630000000005</v>
      </c>
      <c r="I188" s="1962">
        <v>0</v>
      </c>
    </row>
    <row r="189" spans="1:9" hidden="1" outlineLevel="2" x14ac:dyDescent="0.2">
      <c r="A189" s="1980" t="s">
        <v>5722</v>
      </c>
      <c r="B189" s="1980" t="s">
        <v>3208</v>
      </c>
      <c r="C189" s="1980" t="s">
        <v>3377</v>
      </c>
      <c r="D189" s="1980" t="s">
        <v>3378</v>
      </c>
      <c r="E189" s="1980" t="s">
        <v>921</v>
      </c>
      <c r="F189" s="1962">
        <v>-0.27237</v>
      </c>
      <c r="G189" s="1962">
        <v>0</v>
      </c>
      <c r="H189" s="1962">
        <v>-0.27237</v>
      </c>
      <c r="I189" s="1962">
        <v>0</v>
      </c>
    </row>
    <row r="190" spans="1:9" hidden="1" outlineLevel="2" x14ac:dyDescent="0.2">
      <c r="A190" s="1980" t="s">
        <v>5722</v>
      </c>
      <c r="B190" s="1980" t="s">
        <v>3208</v>
      </c>
      <c r="C190" s="1980" t="s">
        <v>3379</v>
      </c>
      <c r="D190" s="1980" t="s">
        <v>3380</v>
      </c>
      <c r="E190" s="1980" t="s">
        <v>921</v>
      </c>
      <c r="F190" s="1962">
        <v>-322.75797999999998</v>
      </c>
      <c r="G190" s="1962">
        <v>0</v>
      </c>
      <c r="H190" s="1962">
        <v>-322.75797999999998</v>
      </c>
      <c r="I190" s="1962">
        <v>0</v>
      </c>
    </row>
    <row r="191" spans="1:9" hidden="1" outlineLevel="2" x14ac:dyDescent="0.2">
      <c r="A191" s="1980" t="s">
        <v>5722</v>
      </c>
      <c r="B191" s="1980" t="s">
        <v>3208</v>
      </c>
      <c r="C191" s="1980" t="s">
        <v>3381</v>
      </c>
      <c r="D191" s="1980" t="s">
        <v>3382</v>
      </c>
      <c r="E191" s="1980" t="s">
        <v>921</v>
      </c>
      <c r="F191" s="1962">
        <v>-313.48525000000001</v>
      </c>
      <c r="G191" s="1962">
        <v>0</v>
      </c>
      <c r="H191" s="1962">
        <v>-313.48525000000001</v>
      </c>
      <c r="I191" s="1962">
        <v>0</v>
      </c>
    </row>
    <row r="192" spans="1:9" hidden="1" outlineLevel="2" x14ac:dyDescent="0.2">
      <c r="A192" s="1980" t="s">
        <v>5722</v>
      </c>
      <c r="B192" s="1980" t="s">
        <v>3208</v>
      </c>
      <c r="C192" s="1980" t="s">
        <v>3383</v>
      </c>
      <c r="D192" s="1980" t="s">
        <v>3384</v>
      </c>
      <c r="E192" s="1980" t="s">
        <v>921</v>
      </c>
      <c r="F192" s="1962">
        <v>-4.4362700000000004</v>
      </c>
      <c r="G192" s="1962">
        <v>0</v>
      </c>
      <c r="H192" s="1962">
        <v>-4.4362700000000004</v>
      </c>
      <c r="I192" s="1962">
        <v>0</v>
      </c>
    </row>
    <row r="193" spans="1:23" hidden="1" outlineLevel="2" x14ac:dyDescent="0.2">
      <c r="A193" s="1980" t="s">
        <v>5722</v>
      </c>
      <c r="B193" s="1980" t="s">
        <v>3208</v>
      </c>
      <c r="C193" s="1980" t="s">
        <v>3385</v>
      </c>
      <c r="D193" s="1980" t="s">
        <v>3386</v>
      </c>
      <c r="E193" s="1980" t="s">
        <v>921</v>
      </c>
      <c r="F193" s="1962">
        <v>-5.7999999999999996E-3</v>
      </c>
      <c r="G193" s="1962">
        <v>0</v>
      </c>
      <c r="H193" s="1962">
        <v>-5.7999999999999996E-3</v>
      </c>
      <c r="I193" s="1962">
        <v>0</v>
      </c>
    </row>
    <row r="194" spans="1:23" hidden="1" outlineLevel="2" x14ac:dyDescent="0.2">
      <c r="A194" s="1980" t="s">
        <v>5722</v>
      </c>
      <c r="B194" s="1980" t="s">
        <v>3208</v>
      </c>
      <c r="C194" s="1980" t="s">
        <v>3387</v>
      </c>
      <c r="D194" s="1980" t="s">
        <v>3388</v>
      </c>
      <c r="E194" s="1980" t="s">
        <v>921</v>
      </c>
      <c r="F194" s="1962">
        <v>-6.5112199999999998</v>
      </c>
      <c r="G194" s="1962">
        <v>0</v>
      </c>
      <c r="H194" s="1962">
        <v>-6.5112199999999998</v>
      </c>
      <c r="I194" s="1962">
        <v>0</v>
      </c>
    </row>
    <row r="195" spans="1:23" hidden="1" outlineLevel="2" x14ac:dyDescent="0.2">
      <c r="A195" s="1980" t="s">
        <v>5722</v>
      </c>
      <c r="B195" s="1980" t="s">
        <v>3208</v>
      </c>
      <c r="C195" s="1980" t="s">
        <v>3389</v>
      </c>
      <c r="D195" s="1980" t="s">
        <v>3390</v>
      </c>
      <c r="E195" s="1980" t="s">
        <v>921</v>
      </c>
      <c r="F195" s="1962">
        <v>-0.15958</v>
      </c>
      <c r="G195" s="1962">
        <v>0</v>
      </c>
      <c r="H195" s="1962">
        <v>-0.15958</v>
      </c>
      <c r="I195" s="1962">
        <v>0</v>
      </c>
    </row>
    <row r="196" spans="1:23" hidden="1" outlineLevel="2" x14ac:dyDescent="0.2">
      <c r="A196" s="1980" t="s">
        <v>5722</v>
      </c>
      <c r="B196" s="1980" t="s">
        <v>3208</v>
      </c>
      <c r="C196" s="1980" t="s">
        <v>3391</v>
      </c>
      <c r="D196" s="1980" t="s">
        <v>3392</v>
      </c>
      <c r="E196" s="1980" t="s">
        <v>921</v>
      </c>
      <c r="F196" s="1962">
        <v>-191.44056</v>
      </c>
      <c r="G196" s="1962">
        <v>0</v>
      </c>
      <c r="H196" s="1962">
        <v>-191.44056</v>
      </c>
      <c r="I196" s="1962">
        <v>0</v>
      </c>
    </row>
    <row r="197" spans="1:23" hidden="1" outlineLevel="2" x14ac:dyDescent="0.2">
      <c r="A197" s="1980" t="s">
        <v>5722</v>
      </c>
      <c r="B197" s="1980" t="s">
        <v>3208</v>
      </c>
      <c r="C197" s="1980" t="s">
        <v>3393</v>
      </c>
      <c r="D197" s="1980" t="s">
        <v>3394</v>
      </c>
      <c r="E197" s="1980" t="s">
        <v>921</v>
      </c>
      <c r="F197" s="1962">
        <v>-224.26284999999999</v>
      </c>
      <c r="G197" s="1962">
        <v>0</v>
      </c>
      <c r="H197" s="1962">
        <v>-224.26284999999999</v>
      </c>
      <c r="I197" s="1962">
        <v>0</v>
      </c>
    </row>
    <row r="198" spans="1:23" hidden="1" outlineLevel="2" x14ac:dyDescent="0.2">
      <c r="A198" s="1980" t="s">
        <v>5722</v>
      </c>
      <c r="B198" s="1980" t="s">
        <v>3208</v>
      </c>
      <c r="C198" s="1980" t="s">
        <v>3395</v>
      </c>
      <c r="D198" s="1980" t="s">
        <v>3396</v>
      </c>
      <c r="E198" s="1980" t="s">
        <v>921</v>
      </c>
      <c r="F198" s="1962">
        <v>7.9000000000000001E-4</v>
      </c>
      <c r="G198" s="1962">
        <v>0</v>
      </c>
      <c r="H198" s="1962">
        <v>7.9000000000000001E-4</v>
      </c>
      <c r="I198" s="1962">
        <v>0</v>
      </c>
    </row>
    <row r="199" spans="1:23" hidden="1" outlineLevel="2" x14ac:dyDescent="0.2">
      <c r="A199" s="1980" t="s">
        <v>5722</v>
      </c>
      <c r="B199" s="1980" t="s">
        <v>3208</v>
      </c>
      <c r="C199" s="1980" t="s">
        <v>3397</v>
      </c>
      <c r="D199" s="1980" t="s">
        <v>3398</v>
      </c>
      <c r="E199" s="1980" t="s">
        <v>913</v>
      </c>
      <c r="F199" s="1962">
        <v>107.95692</v>
      </c>
      <c r="G199" s="1962">
        <v>30.199640998353026</v>
      </c>
      <c r="H199" s="1962">
        <v>8.0589064181654404</v>
      </c>
      <c r="I199" s="1962">
        <v>5.7576109692465627</v>
      </c>
    </row>
    <row r="200" spans="1:23" hidden="1" outlineLevel="2" x14ac:dyDescent="0.2">
      <c r="A200" s="1980" t="s">
        <v>5722</v>
      </c>
      <c r="B200" s="1980" t="s">
        <v>3208</v>
      </c>
      <c r="C200" s="1980" t="s">
        <v>3399</v>
      </c>
      <c r="D200" s="1980" t="s">
        <v>3400</v>
      </c>
      <c r="E200" s="1980" t="s">
        <v>921</v>
      </c>
      <c r="F200" s="1962">
        <v>-7.77034</v>
      </c>
      <c r="G200" s="1962">
        <v>0</v>
      </c>
      <c r="H200" s="1962">
        <v>-7.77034</v>
      </c>
      <c r="I200" s="1962">
        <v>0</v>
      </c>
    </row>
    <row r="201" spans="1:23" hidden="1" outlineLevel="2" x14ac:dyDescent="0.2">
      <c r="A201" s="1980" t="s">
        <v>5722</v>
      </c>
      <c r="B201" s="1980" t="s">
        <v>3208</v>
      </c>
      <c r="C201" s="1980" t="s">
        <v>3401</v>
      </c>
      <c r="D201" s="1980" t="s">
        <v>3402</v>
      </c>
      <c r="E201" s="1980" t="s">
        <v>913</v>
      </c>
      <c r="F201" s="1962">
        <v>3752.9724900000001</v>
      </c>
      <c r="G201" s="1962">
        <v>1049.8486051166988</v>
      </c>
      <c r="H201" s="1962">
        <v>280.1566966421359</v>
      </c>
      <c r="I201" s="1962">
        <v>200.15535433675385</v>
      </c>
    </row>
    <row r="202" spans="1:23" hidden="1" outlineLevel="2" x14ac:dyDescent="0.2">
      <c r="A202" s="1980" t="s">
        <v>5722</v>
      </c>
      <c r="B202" s="1980" t="s">
        <v>3208</v>
      </c>
      <c r="C202" s="1980" t="s">
        <v>3403</v>
      </c>
      <c r="D202" s="1980" t="s">
        <v>3404</v>
      </c>
      <c r="E202" s="1980" t="s">
        <v>921</v>
      </c>
      <c r="F202" s="1962">
        <v>-252.95122000000001</v>
      </c>
      <c r="G202" s="1962">
        <v>0</v>
      </c>
      <c r="H202" s="1962">
        <v>-252.95122000000001</v>
      </c>
      <c r="I202" s="1962">
        <v>0</v>
      </c>
    </row>
    <row r="203" spans="1:23" hidden="1" outlineLevel="2" x14ac:dyDescent="0.2">
      <c r="A203" s="1980" t="s">
        <v>5722</v>
      </c>
      <c r="B203" s="1980" t="s">
        <v>3208</v>
      </c>
      <c r="C203" s="1980" t="s">
        <v>3405</v>
      </c>
      <c r="D203" s="1980" t="s">
        <v>3406</v>
      </c>
      <c r="E203" s="1980" t="s">
        <v>913</v>
      </c>
      <c r="F203" s="1962">
        <v>-662.82593999999995</v>
      </c>
      <c r="G203" s="1962">
        <v>-185.41752981092719</v>
      </c>
      <c r="H203" s="1962">
        <v>-49.479479610872012</v>
      </c>
      <c r="I203" s="1962">
        <v>-35.35015544019933</v>
      </c>
    </row>
    <row r="204" spans="1:23" hidden="1" outlineLevel="2" x14ac:dyDescent="0.2">
      <c r="A204" s="1980" t="s">
        <v>5722</v>
      </c>
      <c r="B204" s="1980" t="s">
        <v>3208</v>
      </c>
      <c r="C204" s="1980" t="s">
        <v>3407</v>
      </c>
      <c r="D204" s="1980" t="s">
        <v>3408</v>
      </c>
      <c r="E204" s="1980" t="s">
        <v>913</v>
      </c>
      <c r="F204" s="1962">
        <v>2183.9549900000002</v>
      </c>
      <c r="G204" s="1962">
        <v>610.93496048758777</v>
      </c>
      <c r="H204" s="1962">
        <v>163.03066895475939</v>
      </c>
      <c r="I204" s="1962">
        <v>116.4757498339594</v>
      </c>
    </row>
    <row r="205" spans="1:23" hidden="1" outlineLevel="2" x14ac:dyDescent="0.2">
      <c r="A205" s="1980" t="s">
        <v>5722</v>
      </c>
      <c r="B205" s="1980" t="s">
        <v>3208</v>
      </c>
      <c r="C205" s="1980" t="s">
        <v>3409</v>
      </c>
      <c r="D205" s="1980" t="s">
        <v>3410</v>
      </c>
      <c r="E205" s="1980" t="s">
        <v>921</v>
      </c>
      <c r="F205" s="1962">
        <v>-146.36429999999999</v>
      </c>
      <c r="G205" s="1962">
        <v>0</v>
      </c>
      <c r="H205" s="1962">
        <v>-146.36429999999999</v>
      </c>
      <c r="I205" s="1962">
        <v>0</v>
      </c>
    </row>
    <row r="206" spans="1:23" hidden="1" outlineLevel="2" x14ac:dyDescent="0.2">
      <c r="A206" s="1980" t="s">
        <v>5722</v>
      </c>
      <c r="B206" s="1980" t="s">
        <v>3208</v>
      </c>
      <c r="C206" s="1980" t="s">
        <v>3411</v>
      </c>
      <c r="D206" s="1980" t="s">
        <v>3412</v>
      </c>
      <c r="E206" s="1980" t="s">
        <v>913</v>
      </c>
      <c r="F206" s="1962">
        <v>407.66861</v>
      </c>
      <c r="G206" s="1962">
        <v>114.04035673023638</v>
      </c>
      <c r="H206" s="1962">
        <v>30.43216847621796</v>
      </c>
      <c r="I206" s="1962">
        <v>21.741980604425351</v>
      </c>
    </row>
    <row r="207" spans="1:23" hidden="1" outlineLevel="2" x14ac:dyDescent="0.2">
      <c r="A207" s="1980" t="s">
        <v>5722</v>
      </c>
      <c r="B207" s="1980" t="s">
        <v>3208</v>
      </c>
      <c r="C207" s="1980" t="s">
        <v>3413</v>
      </c>
      <c r="D207" s="1980" t="s">
        <v>3414</v>
      </c>
      <c r="E207" s="1980" t="s">
        <v>921</v>
      </c>
      <c r="F207" s="1962">
        <v>-27.32113</v>
      </c>
      <c r="G207" s="1962">
        <v>0</v>
      </c>
      <c r="H207" s="1962">
        <v>-27.32113</v>
      </c>
      <c r="I207" s="1962">
        <v>0</v>
      </c>
    </row>
    <row r="208" spans="1:23" ht="13.5" outlineLevel="1" collapsed="1" thickBot="1" x14ac:dyDescent="0.25">
      <c r="A208" s="2274" t="s">
        <v>5723</v>
      </c>
      <c r="B208" s="2274"/>
      <c r="C208" s="2274"/>
      <c r="D208" s="2274"/>
      <c r="E208" s="2274"/>
      <c r="F208" s="2275">
        <f>SUBTOTAL(9,F104:F207)</f>
        <v>57228.321439999978</v>
      </c>
      <c r="G208" s="2275">
        <f t="shared" ref="G208:I208" si="11">SUBTOTAL(9,G104:G207)</f>
        <v>17184.619728321471</v>
      </c>
      <c r="H208" s="2275">
        <f t="shared" si="11"/>
        <v>382.96486352873075</v>
      </c>
      <c r="I208" s="2275">
        <f t="shared" si="11"/>
        <v>3276.2758421348462</v>
      </c>
      <c r="J208" s="2278"/>
      <c r="K208" s="2278"/>
      <c r="L208" s="2289">
        <f>F208/$F$208</f>
        <v>1</v>
      </c>
      <c r="M208" s="2289">
        <f>G208/$F$208</f>
        <v>0.30028173631369537</v>
      </c>
      <c r="N208" s="2289">
        <f>H208/$F$208</f>
        <v>6.6918765725156463E-3</v>
      </c>
      <c r="O208" s="2289">
        <f>I208/$F$208</f>
        <v>5.7249203885348966E-2</v>
      </c>
      <c r="P208" s="2289">
        <f>SUM(M208:O208)</f>
        <v>0.36422281677155999</v>
      </c>
      <c r="Q208" s="2290"/>
      <c r="R208" s="2290" t="s">
        <v>99</v>
      </c>
      <c r="S208" s="2291">
        <f>IF(R208=0,0,F208)</f>
        <v>57228.321439999978</v>
      </c>
      <c r="T208" s="2291">
        <f>IF($R208="PTD",$S208*M$1016,IF($R208="PROD",$S208*M$1017,IF($R208="TRANS",$S208*M$1018,IF($R208="DIST",$S208*M$1019,IF($R208="LABOR",$S208*M$1020,IF($R208="TD",$S208*M$1021))))))</f>
        <v>25191.68641380209</v>
      </c>
      <c r="U208" s="2291">
        <f>IF($R208="PTD",$S208*N$1016,IF($R208="PROD",$S208*N$1017,IF($R208="TRANS",$S208*N$1018,IF($R208="DIST",$S208*N$1019,IF($R208="LABOR",$S208*N$1020,IF($R208="TD",$S208*N$1021))))))</f>
        <v>0</v>
      </c>
      <c r="V208" s="2291">
        <f>IF($R208="PTD",$S208*O$1016,IF($R208="PROD",$S208*O$1017,IF($R208="TRANS",$S208*O$1018,IF($R208="DIST",$S208*O$1019,IF($R208="LABOR",$S208*O$1020,IF($R208="TD",$S208*O$1021))))))</f>
        <v>32036.635026197881</v>
      </c>
      <c r="W208" s="2290" t="s">
        <v>90</v>
      </c>
    </row>
    <row r="209" spans="1:9" hidden="1" outlineLevel="2" x14ac:dyDescent="0.2">
      <c r="A209" s="1980" t="s">
        <v>3415</v>
      </c>
      <c r="B209" s="1980" t="s">
        <v>3416</v>
      </c>
      <c r="C209" s="1980" t="s">
        <v>904</v>
      </c>
      <c r="D209" s="1980" t="s">
        <v>3417</v>
      </c>
      <c r="E209" s="1980" t="s">
        <v>936</v>
      </c>
      <c r="F209" s="1962">
        <v>452989.33759000001</v>
      </c>
      <c r="G209" s="1962">
        <v>0</v>
      </c>
      <c r="H209" s="1962">
        <v>0</v>
      </c>
      <c r="I209" s="1962">
        <v>0</v>
      </c>
    </row>
    <row r="210" spans="1:9" hidden="1" outlineLevel="2" x14ac:dyDescent="0.2">
      <c r="A210" s="1980" t="s">
        <v>3415</v>
      </c>
      <c r="B210" s="1980" t="s">
        <v>3416</v>
      </c>
      <c r="C210" s="1980" t="s">
        <v>3418</v>
      </c>
      <c r="D210" s="1980" t="s">
        <v>3419</v>
      </c>
      <c r="E210" s="1980" t="s">
        <v>936</v>
      </c>
      <c r="F210" s="1962">
        <v>5064.9558999999999</v>
      </c>
      <c r="G210" s="1962">
        <v>0</v>
      </c>
      <c r="H210" s="1962">
        <v>0</v>
      </c>
      <c r="I210" s="1962">
        <v>0</v>
      </c>
    </row>
    <row r="211" spans="1:9" hidden="1" outlineLevel="2" x14ac:dyDescent="0.2">
      <c r="A211" s="1980" t="s">
        <v>3415</v>
      </c>
      <c r="B211" s="1980" t="s">
        <v>3416</v>
      </c>
      <c r="C211" s="1980" t="s">
        <v>3420</v>
      </c>
      <c r="D211" s="1980" t="s">
        <v>3421</v>
      </c>
      <c r="E211" s="1980" t="s">
        <v>936</v>
      </c>
      <c r="F211" s="1962">
        <v>26337.081480000001</v>
      </c>
      <c r="G211" s="1962">
        <v>0</v>
      </c>
      <c r="H211" s="1962">
        <v>0</v>
      </c>
      <c r="I211" s="1962">
        <v>0</v>
      </c>
    </row>
    <row r="212" spans="1:9" hidden="1" outlineLevel="2" x14ac:dyDescent="0.2">
      <c r="A212" s="1980" t="s">
        <v>3415</v>
      </c>
      <c r="B212" s="1980" t="s">
        <v>3416</v>
      </c>
      <c r="C212" s="1980" t="s">
        <v>3422</v>
      </c>
      <c r="D212" s="1980" t="s">
        <v>3423</v>
      </c>
      <c r="E212" s="1980" t="s">
        <v>936</v>
      </c>
      <c r="F212" s="1962">
        <v>10718.391890000001</v>
      </c>
      <c r="G212" s="1962">
        <v>0</v>
      </c>
      <c r="H212" s="1962">
        <v>0</v>
      </c>
      <c r="I212" s="1962">
        <v>0</v>
      </c>
    </row>
    <row r="213" spans="1:9" hidden="1" outlineLevel="2" x14ac:dyDescent="0.2">
      <c r="A213" s="1982" t="s">
        <v>3415</v>
      </c>
      <c r="B213" s="1982" t="s">
        <v>3416</v>
      </c>
      <c r="C213" s="1982" t="s">
        <v>3424</v>
      </c>
      <c r="D213" s="1982" t="s">
        <v>3425</v>
      </c>
      <c r="E213" s="1982" t="s">
        <v>936</v>
      </c>
      <c r="F213" s="1968">
        <v>14.36074</v>
      </c>
      <c r="G213" s="1962">
        <v>0</v>
      </c>
      <c r="H213" s="1962">
        <v>0</v>
      </c>
      <c r="I213" s="1962">
        <v>0</v>
      </c>
    </row>
    <row r="214" spans="1:9" hidden="1" outlineLevel="2" x14ac:dyDescent="0.2">
      <c r="A214" s="1980" t="s">
        <v>3415</v>
      </c>
      <c r="B214" s="1980" t="s">
        <v>3416</v>
      </c>
      <c r="C214" s="1980" t="s">
        <v>3426</v>
      </c>
      <c r="D214" s="1980" t="s">
        <v>3427</v>
      </c>
      <c r="E214" s="1980" t="s">
        <v>936</v>
      </c>
      <c r="F214" s="1962">
        <v>787.73970999999995</v>
      </c>
      <c r="G214" s="1962">
        <v>0</v>
      </c>
      <c r="H214" s="1962">
        <v>0</v>
      </c>
      <c r="I214" s="1962">
        <v>0</v>
      </c>
    </row>
    <row r="215" spans="1:9" hidden="1" outlineLevel="2" x14ac:dyDescent="0.2">
      <c r="A215" s="1980" t="s">
        <v>3415</v>
      </c>
      <c r="B215" s="1980" t="s">
        <v>3416</v>
      </c>
      <c r="C215" s="1980" t="s">
        <v>3428</v>
      </c>
      <c r="D215" s="1980" t="s">
        <v>3429</v>
      </c>
      <c r="E215" s="1980" t="s">
        <v>936</v>
      </c>
      <c r="F215" s="1962">
        <v>13.03795</v>
      </c>
      <c r="G215" s="1962">
        <v>0</v>
      </c>
      <c r="H215" s="1962">
        <v>0</v>
      </c>
      <c r="I215" s="1962">
        <v>0</v>
      </c>
    </row>
    <row r="216" spans="1:9" hidden="1" outlineLevel="2" x14ac:dyDescent="0.2">
      <c r="A216" s="1980" t="s">
        <v>3415</v>
      </c>
      <c r="B216" s="1980" t="s">
        <v>3416</v>
      </c>
      <c r="C216" s="1980" t="s">
        <v>3430</v>
      </c>
      <c r="D216" s="1980" t="s">
        <v>3431</v>
      </c>
      <c r="E216" s="1980" t="s">
        <v>936</v>
      </c>
      <c r="F216" s="1962">
        <v>624.37847999999997</v>
      </c>
      <c r="G216" s="1962">
        <v>0</v>
      </c>
      <c r="H216" s="1962">
        <v>0</v>
      </c>
      <c r="I216" s="1962">
        <v>0</v>
      </c>
    </row>
    <row r="217" spans="1:9" hidden="1" outlineLevel="2" x14ac:dyDescent="0.2">
      <c r="A217" s="1980" t="s">
        <v>3415</v>
      </c>
      <c r="B217" s="1980" t="s">
        <v>3416</v>
      </c>
      <c r="C217" s="1980" t="s">
        <v>3432</v>
      </c>
      <c r="D217" s="1980" t="s">
        <v>3433</v>
      </c>
      <c r="E217" s="1980" t="s">
        <v>936</v>
      </c>
      <c r="F217" s="1962">
        <v>88.266459999999995</v>
      </c>
      <c r="G217" s="1962">
        <v>0</v>
      </c>
      <c r="H217" s="1962">
        <v>0</v>
      </c>
      <c r="I217" s="1962">
        <v>0</v>
      </c>
    </row>
    <row r="218" spans="1:9" hidden="1" outlineLevel="2" x14ac:dyDescent="0.2">
      <c r="A218" s="1980" t="s">
        <v>3415</v>
      </c>
      <c r="B218" s="1980" t="s">
        <v>3416</v>
      </c>
      <c r="C218" s="1980" t="s">
        <v>3434</v>
      </c>
      <c r="D218" s="1980" t="s">
        <v>3435</v>
      </c>
      <c r="E218" s="1980" t="s">
        <v>936</v>
      </c>
      <c r="F218" s="1962">
        <v>11184.871999999999</v>
      </c>
      <c r="G218" s="1962">
        <v>0</v>
      </c>
      <c r="H218" s="1962">
        <v>0</v>
      </c>
      <c r="I218" s="1962">
        <v>0</v>
      </c>
    </row>
    <row r="219" spans="1:9" hidden="1" outlineLevel="2" x14ac:dyDescent="0.2">
      <c r="A219" s="1980" t="s">
        <v>3415</v>
      </c>
      <c r="B219" s="1980" t="s">
        <v>3416</v>
      </c>
      <c r="C219" s="1980" t="s">
        <v>3436</v>
      </c>
      <c r="D219" s="1980" t="s">
        <v>3437</v>
      </c>
      <c r="E219" s="1980" t="s">
        <v>936</v>
      </c>
      <c r="F219" s="1962">
        <v>1.5</v>
      </c>
      <c r="G219" s="1962">
        <v>0</v>
      </c>
      <c r="H219" s="1962">
        <v>0</v>
      </c>
      <c r="I219" s="1962">
        <v>0</v>
      </c>
    </row>
    <row r="220" spans="1:9" hidden="1" outlineLevel="2" x14ac:dyDescent="0.2">
      <c r="A220" s="1980" t="s">
        <v>3415</v>
      </c>
      <c r="B220" s="1980" t="s">
        <v>3416</v>
      </c>
      <c r="C220" s="1980" t="s">
        <v>3438</v>
      </c>
      <c r="D220" s="1980" t="s">
        <v>3439</v>
      </c>
      <c r="E220" s="1980" t="s">
        <v>936</v>
      </c>
      <c r="F220" s="1962">
        <v>161.90885</v>
      </c>
      <c r="G220" s="1962">
        <v>0</v>
      </c>
      <c r="H220" s="1962">
        <v>0</v>
      </c>
      <c r="I220" s="1962">
        <v>0</v>
      </c>
    </row>
    <row r="221" spans="1:9" hidden="1" outlineLevel="2" x14ac:dyDescent="0.2">
      <c r="A221" s="1980" t="s">
        <v>3415</v>
      </c>
      <c r="B221" s="1980" t="s">
        <v>3416</v>
      </c>
      <c r="C221" s="1980" t="s">
        <v>3440</v>
      </c>
      <c r="D221" s="1980" t="s">
        <v>3441</v>
      </c>
      <c r="E221" s="1980" t="s">
        <v>936</v>
      </c>
      <c r="F221" s="1962">
        <v>22.437750000000001</v>
      </c>
      <c r="G221" s="1962">
        <v>0</v>
      </c>
      <c r="H221" s="1962">
        <v>0</v>
      </c>
      <c r="I221" s="1962">
        <v>0</v>
      </c>
    </row>
    <row r="222" spans="1:9" hidden="1" outlineLevel="2" x14ac:dyDescent="0.2">
      <c r="A222" s="1980" t="s">
        <v>3415</v>
      </c>
      <c r="B222" s="1980" t="s">
        <v>3416</v>
      </c>
      <c r="C222" s="1980" t="s">
        <v>3442</v>
      </c>
      <c r="D222" s="1980" t="s">
        <v>3443</v>
      </c>
      <c r="E222" s="1980" t="s">
        <v>936</v>
      </c>
      <c r="F222" s="1962">
        <v>40.649470000000001</v>
      </c>
      <c r="G222" s="1962">
        <v>0</v>
      </c>
      <c r="H222" s="1962">
        <v>0</v>
      </c>
      <c r="I222" s="1962">
        <v>0</v>
      </c>
    </row>
    <row r="223" spans="1:9" hidden="1" outlineLevel="2" x14ac:dyDescent="0.2">
      <c r="A223" s="1980" t="s">
        <v>3415</v>
      </c>
      <c r="B223" s="1980" t="s">
        <v>3416</v>
      </c>
      <c r="C223" s="1980" t="s">
        <v>3444</v>
      </c>
      <c r="D223" s="1980" t="s">
        <v>3445</v>
      </c>
      <c r="E223" s="1980" t="s">
        <v>936</v>
      </c>
      <c r="F223" s="1962">
        <v>1182.8038899999999</v>
      </c>
      <c r="G223" s="1962">
        <v>0</v>
      </c>
      <c r="H223" s="1962">
        <v>0</v>
      </c>
      <c r="I223" s="1962">
        <v>0</v>
      </c>
    </row>
    <row r="224" spans="1:9" hidden="1" outlineLevel="2" x14ac:dyDescent="0.2">
      <c r="A224" s="1980" t="s">
        <v>3415</v>
      </c>
      <c r="B224" s="1980" t="s">
        <v>3416</v>
      </c>
      <c r="C224" s="1980" t="s">
        <v>3446</v>
      </c>
      <c r="D224" s="1980" t="s">
        <v>3447</v>
      </c>
      <c r="E224" s="1980" t="s">
        <v>936</v>
      </c>
      <c r="F224" s="1962">
        <v>24.17418</v>
      </c>
      <c r="G224" s="1962">
        <v>0</v>
      </c>
      <c r="H224" s="1962">
        <v>0</v>
      </c>
      <c r="I224" s="1962">
        <v>0</v>
      </c>
    </row>
    <row r="225" spans="1:9" hidden="1" outlineLevel="2" x14ac:dyDescent="0.2">
      <c r="A225" s="1980" t="s">
        <v>3415</v>
      </c>
      <c r="B225" s="1980" t="s">
        <v>3416</v>
      </c>
      <c r="C225" s="1980" t="s">
        <v>3448</v>
      </c>
      <c r="D225" s="1980" t="s">
        <v>3449</v>
      </c>
      <c r="E225" s="1980" t="s">
        <v>936</v>
      </c>
      <c r="F225" s="1962">
        <v>-114871.51897</v>
      </c>
      <c r="G225" s="1962">
        <v>0</v>
      </c>
      <c r="H225" s="1962">
        <v>0</v>
      </c>
      <c r="I225" s="1962">
        <v>0</v>
      </c>
    </row>
    <row r="226" spans="1:9" hidden="1" outlineLevel="2" x14ac:dyDescent="0.2">
      <c r="A226" s="1980" t="s">
        <v>3415</v>
      </c>
      <c r="B226" s="1980" t="s">
        <v>3416</v>
      </c>
      <c r="C226" s="1980" t="s">
        <v>3450</v>
      </c>
      <c r="D226" s="1980" t="s">
        <v>3451</v>
      </c>
      <c r="E226" s="1980" t="s">
        <v>936</v>
      </c>
      <c r="F226" s="1962">
        <v>1280.4835399999999</v>
      </c>
      <c r="G226" s="1962">
        <v>0</v>
      </c>
      <c r="H226" s="1962">
        <v>0</v>
      </c>
      <c r="I226" s="1962">
        <v>0</v>
      </c>
    </row>
    <row r="227" spans="1:9" hidden="1" outlineLevel="2" x14ac:dyDescent="0.2">
      <c r="A227" s="1980" t="s">
        <v>3415</v>
      </c>
      <c r="B227" s="1980" t="s">
        <v>3416</v>
      </c>
      <c r="C227" s="1980" t="s">
        <v>3452</v>
      </c>
      <c r="D227" s="1980" t="s">
        <v>3453</v>
      </c>
      <c r="E227" s="1980" t="s">
        <v>936</v>
      </c>
      <c r="F227" s="1962">
        <v>1353.1836699999999</v>
      </c>
      <c r="G227" s="1962">
        <v>0</v>
      </c>
      <c r="H227" s="1962">
        <v>0</v>
      </c>
      <c r="I227" s="1962">
        <v>0</v>
      </c>
    </row>
    <row r="228" spans="1:9" hidden="1" outlineLevel="2" x14ac:dyDescent="0.2">
      <c r="A228" s="1980" t="s">
        <v>3415</v>
      </c>
      <c r="B228" s="1980" t="s">
        <v>3416</v>
      </c>
      <c r="C228" s="1980" t="s">
        <v>3454</v>
      </c>
      <c r="D228" s="1980" t="s">
        <v>3455</v>
      </c>
      <c r="E228" s="1980" t="s">
        <v>936</v>
      </c>
      <c r="F228" s="1962">
        <v>4201.68523</v>
      </c>
      <c r="G228" s="1962">
        <v>0</v>
      </c>
      <c r="H228" s="1962">
        <v>0</v>
      </c>
      <c r="I228" s="1962">
        <v>0</v>
      </c>
    </row>
    <row r="229" spans="1:9" hidden="1" outlineLevel="2" x14ac:dyDescent="0.2">
      <c r="A229" s="1980" t="s">
        <v>3415</v>
      </c>
      <c r="B229" s="1980" t="s">
        <v>3416</v>
      </c>
      <c r="C229" s="1980" t="s">
        <v>3456</v>
      </c>
      <c r="D229" s="1980" t="s">
        <v>3457</v>
      </c>
      <c r="E229" s="1980" t="s">
        <v>936</v>
      </c>
      <c r="F229" s="1962">
        <v>847.94334000000003</v>
      </c>
      <c r="G229" s="1962">
        <v>0</v>
      </c>
      <c r="H229" s="1962">
        <v>0</v>
      </c>
      <c r="I229" s="1962">
        <v>0</v>
      </c>
    </row>
    <row r="230" spans="1:9" hidden="1" outlineLevel="2" x14ac:dyDescent="0.2">
      <c r="A230" s="1980" t="s">
        <v>3415</v>
      </c>
      <c r="B230" s="1980" t="s">
        <v>3416</v>
      </c>
      <c r="C230" s="1980" t="s">
        <v>3458</v>
      </c>
      <c r="D230" s="1980" t="s">
        <v>3459</v>
      </c>
      <c r="E230" s="1980" t="s">
        <v>936</v>
      </c>
      <c r="F230" s="1962">
        <v>2.3E-3</v>
      </c>
      <c r="G230" s="1962">
        <v>0</v>
      </c>
      <c r="H230" s="1962">
        <v>0</v>
      </c>
      <c r="I230" s="1962">
        <v>0</v>
      </c>
    </row>
    <row r="231" spans="1:9" hidden="1" outlineLevel="2" x14ac:dyDescent="0.2">
      <c r="A231" s="1980" t="s">
        <v>3415</v>
      </c>
      <c r="B231" s="1980" t="s">
        <v>3416</v>
      </c>
      <c r="C231" s="1980" t="s">
        <v>3460</v>
      </c>
      <c r="D231" s="1980" t="s">
        <v>3461</v>
      </c>
      <c r="E231" s="1980" t="s">
        <v>936</v>
      </c>
      <c r="F231" s="1962">
        <v>497.80975999999998</v>
      </c>
      <c r="G231" s="1962">
        <v>0</v>
      </c>
      <c r="H231" s="1962">
        <v>0</v>
      </c>
      <c r="I231" s="1962">
        <v>0</v>
      </c>
    </row>
    <row r="232" spans="1:9" hidden="1" outlineLevel="2" x14ac:dyDescent="0.2">
      <c r="A232" s="1980" t="s">
        <v>3415</v>
      </c>
      <c r="B232" s="1980" t="s">
        <v>3416</v>
      </c>
      <c r="C232" s="1980" t="s">
        <v>3462</v>
      </c>
      <c r="D232" s="1980" t="s">
        <v>3463</v>
      </c>
      <c r="E232" s="1980" t="s">
        <v>936</v>
      </c>
      <c r="F232" s="1962">
        <v>81.799130000000005</v>
      </c>
      <c r="G232" s="1962">
        <v>0</v>
      </c>
      <c r="H232" s="1962">
        <v>0</v>
      </c>
      <c r="I232" s="1962">
        <v>0</v>
      </c>
    </row>
    <row r="233" spans="1:9" hidden="1" outlineLevel="2" x14ac:dyDescent="0.2">
      <c r="A233" s="1980" t="s">
        <v>3415</v>
      </c>
      <c r="B233" s="1980" t="s">
        <v>3416</v>
      </c>
      <c r="C233" s="1980" t="s">
        <v>3464</v>
      </c>
      <c r="D233" s="1980" t="s">
        <v>3465</v>
      </c>
      <c r="E233" s="1980" t="s">
        <v>936</v>
      </c>
      <c r="F233" s="1962">
        <v>526.85176999999999</v>
      </c>
      <c r="G233" s="1962">
        <v>0</v>
      </c>
      <c r="H233" s="1962">
        <v>0</v>
      </c>
      <c r="I233" s="1962">
        <v>0</v>
      </c>
    </row>
    <row r="234" spans="1:9" hidden="1" outlineLevel="2" x14ac:dyDescent="0.2">
      <c r="A234" s="1980" t="s">
        <v>3415</v>
      </c>
      <c r="B234" s="1980" t="s">
        <v>3416</v>
      </c>
      <c r="C234" s="1980" t="s">
        <v>3466</v>
      </c>
      <c r="D234" s="1980" t="s">
        <v>3467</v>
      </c>
      <c r="E234" s="1980" t="s">
        <v>936</v>
      </c>
      <c r="F234" s="1962">
        <v>17.985720000000001</v>
      </c>
      <c r="G234" s="1962">
        <v>0</v>
      </c>
      <c r="H234" s="1962">
        <v>0</v>
      </c>
      <c r="I234" s="1962">
        <v>0</v>
      </c>
    </row>
    <row r="235" spans="1:9" hidden="1" outlineLevel="2" x14ac:dyDescent="0.2">
      <c r="A235" s="1980" t="s">
        <v>3415</v>
      </c>
      <c r="B235" s="1980" t="s">
        <v>3416</v>
      </c>
      <c r="C235" s="1980" t="s">
        <v>3468</v>
      </c>
      <c r="D235" s="1980" t="s">
        <v>3469</v>
      </c>
      <c r="E235" s="1980" t="s">
        <v>936</v>
      </c>
      <c r="F235" s="1962">
        <v>70.546120000000002</v>
      </c>
      <c r="G235" s="1962">
        <v>0</v>
      </c>
      <c r="H235" s="1962">
        <v>0</v>
      </c>
      <c r="I235" s="1962">
        <v>0</v>
      </c>
    </row>
    <row r="236" spans="1:9" hidden="1" outlineLevel="2" x14ac:dyDescent="0.2">
      <c r="A236" s="1980" t="s">
        <v>3415</v>
      </c>
      <c r="B236" s="1980" t="s">
        <v>3416</v>
      </c>
      <c r="C236" s="1980" t="s">
        <v>3470</v>
      </c>
      <c r="D236" s="1980" t="s">
        <v>3471</v>
      </c>
      <c r="E236" s="1980" t="s">
        <v>936</v>
      </c>
      <c r="F236" s="1962">
        <v>115.02204999999999</v>
      </c>
      <c r="G236" s="1962">
        <v>0</v>
      </c>
      <c r="H236" s="1962">
        <v>0</v>
      </c>
      <c r="I236" s="1962">
        <v>0</v>
      </c>
    </row>
    <row r="237" spans="1:9" hidden="1" outlineLevel="2" x14ac:dyDescent="0.2">
      <c r="A237" s="1980" t="s">
        <v>3415</v>
      </c>
      <c r="B237" s="1980" t="s">
        <v>3416</v>
      </c>
      <c r="C237" s="1980" t="s">
        <v>3472</v>
      </c>
      <c r="D237" s="1980" t="s">
        <v>3473</v>
      </c>
      <c r="E237" s="1980" t="s">
        <v>936</v>
      </c>
      <c r="F237" s="1962">
        <v>27.546109999999999</v>
      </c>
      <c r="G237" s="1962">
        <v>0</v>
      </c>
      <c r="H237" s="1962">
        <v>0</v>
      </c>
      <c r="I237" s="1962">
        <v>0</v>
      </c>
    </row>
    <row r="238" spans="1:9" hidden="1" outlineLevel="2" x14ac:dyDescent="0.2">
      <c r="A238" s="1980" t="s">
        <v>3415</v>
      </c>
      <c r="B238" s="1980" t="s">
        <v>3416</v>
      </c>
      <c r="C238" s="1980" t="s">
        <v>3474</v>
      </c>
      <c r="D238" s="1980" t="s">
        <v>3475</v>
      </c>
      <c r="E238" s="1980" t="s">
        <v>936</v>
      </c>
      <c r="F238" s="1962">
        <v>3807.4619600000001</v>
      </c>
      <c r="G238" s="1962">
        <v>0</v>
      </c>
      <c r="H238" s="1962">
        <v>0</v>
      </c>
      <c r="I238" s="1962">
        <v>0</v>
      </c>
    </row>
    <row r="239" spans="1:9" hidden="1" outlineLevel="2" x14ac:dyDescent="0.2">
      <c r="A239" s="1980" t="s">
        <v>3415</v>
      </c>
      <c r="B239" s="1980" t="s">
        <v>3416</v>
      </c>
      <c r="C239" s="1980" t="s">
        <v>3476</v>
      </c>
      <c r="D239" s="1980" t="s">
        <v>3477</v>
      </c>
      <c r="E239" s="1980" t="s">
        <v>936</v>
      </c>
      <c r="F239" s="1962">
        <v>23.667570000000001</v>
      </c>
      <c r="G239" s="1962">
        <v>0</v>
      </c>
      <c r="H239" s="1962">
        <v>0</v>
      </c>
      <c r="I239" s="1962">
        <v>0</v>
      </c>
    </row>
    <row r="240" spans="1:9" hidden="1" outlineLevel="2" x14ac:dyDescent="0.2">
      <c r="A240" s="1980" t="s">
        <v>3415</v>
      </c>
      <c r="B240" s="1980" t="s">
        <v>3416</v>
      </c>
      <c r="C240" s="1980" t="s">
        <v>3478</v>
      </c>
      <c r="D240" s="1980" t="s">
        <v>3479</v>
      </c>
      <c r="E240" s="1980" t="s">
        <v>936</v>
      </c>
      <c r="F240" s="1962">
        <v>1508.7507900000001</v>
      </c>
      <c r="G240" s="1962">
        <v>0</v>
      </c>
      <c r="H240" s="1962">
        <v>0</v>
      </c>
      <c r="I240" s="1962">
        <v>0</v>
      </c>
    </row>
    <row r="241" spans="1:9" hidden="1" outlineLevel="2" x14ac:dyDescent="0.2">
      <c r="A241" s="1980" t="s">
        <v>3415</v>
      </c>
      <c r="B241" s="1980" t="s">
        <v>3416</v>
      </c>
      <c r="C241" s="1980" t="s">
        <v>3480</v>
      </c>
      <c r="D241" s="1980" t="s">
        <v>3481</v>
      </c>
      <c r="E241" s="1980" t="s">
        <v>936</v>
      </c>
      <c r="F241" s="1962">
        <v>3674.5790000000002</v>
      </c>
      <c r="G241" s="1962">
        <v>0</v>
      </c>
      <c r="H241" s="1962">
        <v>0</v>
      </c>
      <c r="I241" s="1962">
        <v>0</v>
      </c>
    </row>
    <row r="242" spans="1:9" hidden="1" outlineLevel="2" x14ac:dyDescent="0.2">
      <c r="A242" s="1980" t="s">
        <v>3415</v>
      </c>
      <c r="B242" s="1980" t="s">
        <v>3416</v>
      </c>
      <c r="C242" s="1980" t="s">
        <v>3482</v>
      </c>
      <c r="D242" s="1980" t="s">
        <v>3483</v>
      </c>
      <c r="E242" s="1980" t="s">
        <v>936</v>
      </c>
      <c r="F242" s="1962">
        <v>460.33192000000003</v>
      </c>
      <c r="G242" s="1962">
        <v>0</v>
      </c>
      <c r="H242" s="1962">
        <v>0</v>
      </c>
      <c r="I242" s="1962">
        <v>0</v>
      </c>
    </row>
    <row r="243" spans="1:9" hidden="1" outlineLevel="2" x14ac:dyDescent="0.2">
      <c r="A243" s="1980" t="s">
        <v>3415</v>
      </c>
      <c r="B243" s="1980" t="s">
        <v>3416</v>
      </c>
      <c r="C243" s="1980" t="s">
        <v>3484</v>
      </c>
      <c r="D243" s="1980" t="s">
        <v>3485</v>
      </c>
      <c r="E243" s="1980" t="s">
        <v>936</v>
      </c>
      <c r="F243" s="1962">
        <v>2563.5679700000001</v>
      </c>
      <c r="G243" s="1962">
        <v>0</v>
      </c>
      <c r="H243" s="1962">
        <v>0</v>
      </c>
      <c r="I243" s="1962">
        <v>0</v>
      </c>
    </row>
    <row r="244" spans="1:9" hidden="1" outlineLevel="2" x14ac:dyDescent="0.2">
      <c r="A244" s="1980" t="s">
        <v>3415</v>
      </c>
      <c r="B244" s="1980" t="s">
        <v>3416</v>
      </c>
      <c r="C244" s="1980" t="s">
        <v>3486</v>
      </c>
      <c r="D244" s="1980" t="s">
        <v>3487</v>
      </c>
      <c r="E244" s="1980" t="s">
        <v>936</v>
      </c>
      <c r="F244" s="1962">
        <v>1186.5769499999999</v>
      </c>
      <c r="G244" s="1962">
        <v>0</v>
      </c>
      <c r="H244" s="1962">
        <v>0</v>
      </c>
      <c r="I244" s="1962">
        <v>0</v>
      </c>
    </row>
    <row r="245" spans="1:9" hidden="1" outlineLevel="2" x14ac:dyDescent="0.2">
      <c r="A245" s="1980" t="s">
        <v>3415</v>
      </c>
      <c r="B245" s="1980" t="s">
        <v>3416</v>
      </c>
      <c r="C245" s="1980" t="s">
        <v>3488</v>
      </c>
      <c r="D245" s="1980" t="s">
        <v>3489</v>
      </c>
      <c r="E245" s="1980" t="s">
        <v>936</v>
      </c>
      <c r="F245" s="1962">
        <v>894.60586999999998</v>
      </c>
      <c r="G245" s="1962">
        <v>0</v>
      </c>
      <c r="H245" s="1962">
        <v>0</v>
      </c>
      <c r="I245" s="1962">
        <v>0</v>
      </c>
    </row>
    <row r="246" spans="1:9" hidden="1" outlineLevel="2" x14ac:dyDescent="0.2">
      <c r="A246" s="1980" t="s">
        <v>3415</v>
      </c>
      <c r="B246" s="1980" t="s">
        <v>3416</v>
      </c>
      <c r="C246" s="1980" t="s">
        <v>3490</v>
      </c>
      <c r="D246" s="1980" t="s">
        <v>3491</v>
      </c>
      <c r="E246" s="1980" t="s">
        <v>936</v>
      </c>
      <c r="F246" s="1962">
        <v>13.223100000000001</v>
      </c>
      <c r="G246" s="1962">
        <v>0</v>
      </c>
      <c r="H246" s="1962">
        <v>0</v>
      </c>
      <c r="I246" s="1962">
        <v>0</v>
      </c>
    </row>
    <row r="247" spans="1:9" hidden="1" outlineLevel="2" x14ac:dyDescent="0.2">
      <c r="A247" s="1980" t="s">
        <v>3415</v>
      </c>
      <c r="B247" s="1980" t="s">
        <v>3416</v>
      </c>
      <c r="C247" s="1980" t="s">
        <v>3492</v>
      </c>
      <c r="D247" s="1980" t="s">
        <v>3493</v>
      </c>
      <c r="E247" s="1980" t="s">
        <v>936</v>
      </c>
      <c r="F247" s="1962">
        <v>1541.96381</v>
      </c>
      <c r="G247" s="1962">
        <v>0</v>
      </c>
      <c r="H247" s="1962">
        <v>0</v>
      </c>
      <c r="I247" s="1962">
        <v>0</v>
      </c>
    </row>
    <row r="248" spans="1:9" hidden="1" outlineLevel="2" x14ac:dyDescent="0.2">
      <c r="A248" s="1980" t="s">
        <v>3415</v>
      </c>
      <c r="B248" s="1980" t="s">
        <v>3416</v>
      </c>
      <c r="C248" s="1980" t="s">
        <v>3494</v>
      </c>
      <c r="D248" s="1980" t="s">
        <v>3495</v>
      </c>
      <c r="E248" s="1980" t="s">
        <v>936</v>
      </c>
      <c r="F248" s="1962">
        <v>1658.4727700000001</v>
      </c>
      <c r="G248" s="1962">
        <v>0</v>
      </c>
      <c r="H248" s="1962">
        <v>0</v>
      </c>
      <c r="I248" s="1962">
        <v>0</v>
      </c>
    </row>
    <row r="249" spans="1:9" hidden="1" outlineLevel="2" x14ac:dyDescent="0.2">
      <c r="A249" s="1980" t="s">
        <v>3415</v>
      </c>
      <c r="B249" s="1980" t="s">
        <v>3416</v>
      </c>
      <c r="C249" s="1980" t="s">
        <v>3496</v>
      </c>
      <c r="D249" s="1980" t="s">
        <v>3497</v>
      </c>
      <c r="E249" s="1980" t="s">
        <v>936</v>
      </c>
      <c r="F249" s="1962">
        <v>190.99912</v>
      </c>
      <c r="G249" s="1962">
        <v>0</v>
      </c>
      <c r="H249" s="1962">
        <v>0</v>
      </c>
      <c r="I249" s="1962">
        <v>0</v>
      </c>
    </row>
    <row r="250" spans="1:9" hidden="1" outlineLevel="2" x14ac:dyDescent="0.2">
      <c r="A250" s="1980" t="s">
        <v>3415</v>
      </c>
      <c r="B250" s="1980" t="s">
        <v>3416</v>
      </c>
      <c r="C250" s="1980" t="s">
        <v>3498</v>
      </c>
      <c r="D250" s="1980" t="s">
        <v>3499</v>
      </c>
      <c r="E250" s="1980" t="s">
        <v>936</v>
      </c>
      <c r="F250" s="1962">
        <v>14.031599999999999</v>
      </c>
      <c r="G250" s="1962">
        <v>0</v>
      </c>
      <c r="H250" s="1962">
        <v>0</v>
      </c>
      <c r="I250" s="1962">
        <v>0</v>
      </c>
    </row>
    <row r="251" spans="1:9" hidden="1" outlineLevel="2" x14ac:dyDescent="0.2">
      <c r="A251" s="1980" t="s">
        <v>3415</v>
      </c>
      <c r="B251" s="1980" t="s">
        <v>3416</v>
      </c>
      <c r="C251" s="1980" t="s">
        <v>3500</v>
      </c>
      <c r="D251" s="1980" t="s">
        <v>3501</v>
      </c>
      <c r="E251" s="1980" t="s">
        <v>936</v>
      </c>
      <c r="F251" s="1962">
        <v>-27.3827</v>
      </c>
      <c r="G251" s="1962">
        <v>0</v>
      </c>
      <c r="H251" s="1962">
        <v>0</v>
      </c>
      <c r="I251" s="1962">
        <v>0</v>
      </c>
    </row>
    <row r="252" spans="1:9" hidden="1" outlineLevel="2" x14ac:dyDescent="0.2">
      <c r="A252" s="1980" t="s">
        <v>3415</v>
      </c>
      <c r="B252" s="1980" t="s">
        <v>3416</v>
      </c>
      <c r="C252" s="1980" t="s">
        <v>3502</v>
      </c>
      <c r="D252" s="1980" t="s">
        <v>3503</v>
      </c>
      <c r="E252" s="1980" t="s">
        <v>936</v>
      </c>
      <c r="F252" s="1962">
        <v>-1.2999999999999999E-4</v>
      </c>
      <c r="G252" s="1962">
        <v>0</v>
      </c>
      <c r="H252" s="1962">
        <v>0</v>
      </c>
      <c r="I252" s="1962">
        <v>0</v>
      </c>
    </row>
    <row r="253" spans="1:9" hidden="1" outlineLevel="2" x14ac:dyDescent="0.2">
      <c r="A253" s="1980" t="s">
        <v>3415</v>
      </c>
      <c r="B253" s="1980" t="s">
        <v>3416</v>
      </c>
      <c r="C253" s="1980" t="s">
        <v>3504</v>
      </c>
      <c r="D253" s="1980" t="s">
        <v>3505</v>
      </c>
      <c r="E253" s="1980" t="s">
        <v>936</v>
      </c>
      <c r="F253" s="1962">
        <v>4.2194500000000001</v>
      </c>
      <c r="G253" s="1962">
        <v>0</v>
      </c>
      <c r="H253" s="1962">
        <v>0</v>
      </c>
      <c r="I253" s="1962">
        <v>0</v>
      </c>
    </row>
    <row r="254" spans="1:9" hidden="1" outlineLevel="2" x14ac:dyDescent="0.2">
      <c r="A254" s="1980" t="s">
        <v>3415</v>
      </c>
      <c r="B254" s="1980" t="s">
        <v>3416</v>
      </c>
      <c r="C254" s="1980" t="s">
        <v>3506</v>
      </c>
      <c r="D254" s="1980" t="s">
        <v>3507</v>
      </c>
      <c r="E254" s="1980" t="s">
        <v>936</v>
      </c>
      <c r="F254" s="1962">
        <v>7.3594999999999997</v>
      </c>
      <c r="G254" s="1962">
        <v>0</v>
      </c>
      <c r="H254" s="1962">
        <v>0</v>
      </c>
      <c r="I254" s="1962">
        <v>0</v>
      </c>
    </row>
    <row r="255" spans="1:9" hidden="1" outlineLevel="2" x14ac:dyDescent="0.2">
      <c r="A255" s="1980" t="s">
        <v>3415</v>
      </c>
      <c r="B255" s="1980" t="s">
        <v>3416</v>
      </c>
      <c r="C255" s="1980" t="s">
        <v>3508</v>
      </c>
      <c r="D255" s="1980" t="s">
        <v>3509</v>
      </c>
      <c r="E255" s="1980" t="s">
        <v>936</v>
      </c>
      <c r="F255" s="1962">
        <v>21.631540000000001</v>
      </c>
      <c r="G255" s="1962">
        <v>0</v>
      </c>
      <c r="H255" s="1962">
        <v>0</v>
      </c>
      <c r="I255" s="1962">
        <v>0</v>
      </c>
    </row>
    <row r="256" spans="1:9" hidden="1" outlineLevel="2" x14ac:dyDescent="0.2">
      <c r="A256" s="1980" t="s">
        <v>3415</v>
      </c>
      <c r="B256" s="1980" t="s">
        <v>3416</v>
      </c>
      <c r="C256" s="1980" t="s">
        <v>3510</v>
      </c>
      <c r="D256" s="1980" t="s">
        <v>3511</v>
      </c>
      <c r="E256" s="1980" t="s">
        <v>936</v>
      </c>
      <c r="F256" s="1962">
        <v>3581.3064399999998</v>
      </c>
      <c r="G256" s="1962">
        <v>0</v>
      </c>
      <c r="H256" s="1962">
        <v>0</v>
      </c>
      <c r="I256" s="1962">
        <v>0</v>
      </c>
    </row>
    <row r="257" spans="1:9" hidden="1" outlineLevel="2" x14ac:dyDescent="0.2">
      <c r="A257" s="1980" t="s">
        <v>3415</v>
      </c>
      <c r="B257" s="1980" t="s">
        <v>3416</v>
      </c>
      <c r="C257" s="1980" t="s">
        <v>3512</v>
      </c>
      <c r="D257" s="1980" t="s">
        <v>3513</v>
      </c>
      <c r="E257" s="1980" t="s">
        <v>936</v>
      </c>
      <c r="F257" s="1962">
        <v>2924.0947700000002</v>
      </c>
      <c r="G257" s="1962">
        <v>0</v>
      </c>
      <c r="H257" s="1962">
        <v>0</v>
      </c>
      <c r="I257" s="1962">
        <v>0</v>
      </c>
    </row>
    <row r="258" spans="1:9" hidden="1" outlineLevel="2" x14ac:dyDescent="0.2">
      <c r="A258" s="1980" t="s">
        <v>3415</v>
      </c>
      <c r="B258" s="1980" t="s">
        <v>3416</v>
      </c>
      <c r="C258" s="1980" t="s">
        <v>3514</v>
      </c>
      <c r="D258" s="1980" t="s">
        <v>3515</v>
      </c>
      <c r="E258" s="1980" t="s">
        <v>936</v>
      </c>
      <c r="F258" s="1962">
        <v>3026.0272500000001</v>
      </c>
      <c r="G258" s="1962">
        <v>0</v>
      </c>
      <c r="H258" s="1962">
        <v>0</v>
      </c>
      <c r="I258" s="1962">
        <v>0</v>
      </c>
    </row>
    <row r="259" spans="1:9" hidden="1" outlineLevel="2" x14ac:dyDescent="0.2">
      <c r="A259" s="1980" t="s">
        <v>3415</v>
      </c>
      <c r="B259" s="1980" t="s">
        <v>3416</v>
      </c>
      <c r="C259" s="1980" t="s">
        <v>3516</v>
      </c>
      <c r="D259" s="1980" t="s">
        <v>3517</v>
      </c>
      <c r="E259" s="1980" t="s">
        <v>936</v>
      </c>
      <c r="F259" s="1962">
        <v>1547.34629</v>
      </c>
      <c r="G259" s="1962">
        <v>0</v>
      </c>
      <c r="H259" s="1962">
        <v>0</v>
      </c>
      <c r="I259" s="1962">
        <v>0</v>
      </c>
    </row>
    <row r="260" spans="1:9" hidden="1" outlineLevel="2" x14ac:dyDescent="0.2">
      <c r="A260" s="1980" t="s">
        <v>3415</v>
      </c>
      <c r="B260" s="1980" t="s">
        <v>3416</v>
      </c>
      <c r="C260" s="1980" t="s">
        <v>3518</v>
      </c>
      <c r="D260" s="1980" t="s">
        <v>3519</v>
      </c>
      <c r="E260" s="1980" t="s">
        <v>936</v>
      </c>
      <c r="F260" s="1962">
        <v>284.66932000000003</v>
      </c>
      <c r="G260" s="1962">
        <v>0</v>
      </c>
      <c r="H260" s="1962">
        <v>0</v>
      </c>
      <c r="I260" s="1962">
        <v>0</v>
      </c>
    </row>
    <row r="261" spans="1:9" hidden="1" outlineLevel="2" x14ac:dyDescent="0.2">
      <c r="A261" s="1980" t="s">
        <v>3415</v>
      </c>
      <c r="B261" s="1980" t="s">
        <v>3416</v>
      </c>
      <c r="C261" s="1980" t="s">
        <v>3520</v>
      </c>
      <c r="D261" s="1980" t="s">
        <v>3521</v>
      </c>
      <c r="E261" s="1980" t="s">
        <v>936</v>
      </c>
      <c r="F261" s="1962">
        <v>-0.50904000000000005</v>
      </c>
      <c r="G261" s="1962">
        <v>0</v>
      </c>
      <c r="H261" s="1962">
        <v>0</v>
      </c>
      <c r="I261" s="1962">
        <v>0</v>
      </c>
    </row>
    <row r="262" spans="1:9" hidden="1" outlineLevel="2" x14ac:dyDescent="0.2">
      <c r="A262" s="1980" t="s">
        <v>3415</v>
      </c>
      <c r="B262" s="1980" t="s">
        <v>3416</v>
      </c>
      <c r="C262" s="1980" t="s">
        <v>3522</v>
      </c>
      <c r="D262" s="1980" t="s">
        <v>3523</v>
      </c>
      <c r="E262" s="1980" t="s">
        <v>936</v>
      </c>
      <c r="F262" s="1962">
        <v>1226.7338999999999</v>
      </c>
      <c r="G262" s="1962">
        <v>0</v>
      </c>
      <c r="H262" s="1962">
        <v>0</v>
      </c>
      <c r="I262" s="1962">
        <v>0</v>
      </c>
    </row>
    <row r="263" spans="1:9" hidden="1" outlineLevel="2" x14ac:dyDescent="0.2">
      <c r="A263" s="1980" t="s">
        <v>3415</v>
      </c>
      <c r="B263" s="1980" t="s">
        <v>3416</v>
      </c>
      <c r="C263" s="1980" t="s">
        <v>3524</v>
      </c>
      <c r="D263" s="1980" t="s">
        <v>3525</v>
      </c>
      <c r="E263" s="1980" t="s">
        <v>936</v>
      </c>
      <c r="F263" s="1962">
        <v>2561.6680200000001</v>
      </c>
      <c r="G263" s="1962">
        <v>0</v>
      </c>
      <c r="H263" s="1962">
        <v>0</v>
      </c>
      <c r="I263" s="1962">
        <v>0</v>
      </c>
    </row>
    <row r="264" spans="1:9" hidden="1" outlineLevel="2" x14ac:dyDescent="0.2">
      <c r="A264" s="1980" t="s">
        <v>3415</v>
      </c>
      <c r="B264" s="1980" t="s">
        <v>3416</v>
      </c>
      <c r="C264" s="1980" t="s">
        <v>3526</v>
      </c>
      <c r="D264" s="1980" t="s">
        <v>3527</v>
      </c>
      <c r="E264" s="1980" t="s">
        <v>936</v>
      </c>
      <c r="F264" s="1962">
        <v>230.1515</v>
      </c>
      <c r="G264" s="1962">
        <v>0</v>
      </c>
      <c r="H264" s="1962">
        <v>0</v>
      </c>
      <c r="I264" s="1962">
        <v>0</v>
      </c>
    </row>
    <row r="265" spans="1:9" hidden="1" outlineLevel="2" x14ac:dyDescent="0.2">
      <c r="A265" s="1980" t="s">
        <v>3415</v>
      </c>
      <c r="B265" s="1980" t="s">
        <v>3416</v>
      </c>
      <c r="C265" s="1980" t="s">
        <v>3528</v>
      </c>
      <c r="D265" s="1980" t="s">
        <v>3529</v>
      </c>
      <c r="E265" s="1980" t="s">
        <v>936</v>
      </c>
      <c r="F265" s="1962">
        <v>51.263379999999998</v>
      </c>
      <c r="G265" s="1962">
        <v>0</v>
      </c>
      <c r="H265" s="1962">
        <v>0</v>
      </c>
      <c r="I265" s="1962">
        <v>0</v>
      </c>
    </row>
    <row r="266" spans="1:9" hidden="1" outlineLevel="2" x14ac:dyDescent="0.2">
      <c r="A266" s="1980" t="s">
        <v>3415</v>
      </c>
      <c r="B266" s="1980" t="s">
        <v>3416</v>
      </c>
      <c r="C266" s="1980" t="s">
        <v>3530</v>
      </c>
      <c r="D266" s="1980" t="s">
        <v>3531</v>
      </c>
      <c r="E266" s="1980" t="s">
        <v>936</v>
      </c>
      <c r="F266" s="1962">
        <v>54</v>
      </c>
      <c r="G266" s="1962">
        <v>0</v>
      </c>
      <c r="H266" s="1962">
        <v>0</v>
      </c>
      <c r="I266" s="1962">
        <v>0</v>
      </c>
    </row>
    <row r="267" spans="1:9" hidden="1" outlineLevel="2" x14ac:dyDescent="0.2">
      <c r="A267" s="1980" t="s">
        <v>3415</v>
      </c>
      <c r="B267" s="1980" t="s">
        <v>3416</v>
      </c>
      <c r="C267" s="1980" t="s">
        <v>3532</v>
      </c>
      <c r="D267" s="1980" t="s">
        <v>3533</v>
      </c>
      <c r="E267" s="1980" t="s">
        <v>936</v>
      </c>
      <c r="F267" s="1962">
        <v>88.703429999999997</v>
      </c>
      <c r="G267" s="1962">
        <v>0</v>
      </c>
      <c r="H267" s="1962">
        <v>0</v>
      </c>
      <c r="I267" s="1962">
        <v>0</v>
      </c>
    </row>
    <row r="268" spans="1:9" hidden="1" outlineLevel="2" x14ac:dyDescent="0.2">
      <c r="A268" s="1980" t="s">
        <v>3415</v>
      </c>
      <c r="B268" s="1980" t="s">
        <v>3416</v>
      </c>
      <c r="C268" s="1980" t="s">
        <v>3534</v>
      </c>
      <c r="D268" s="1980" t="s">
        <v>3535</v>
      </c>
      <c r="E268" s="1980" t="s">
        <v>936</v>
      </c>
      <c r="F268" s="1962">
        <v>129.03778</v>
      </c>
      <c r="G268" s="1962">
        <v>0</v>
      </c>
      <c r="H268" s="1962">
        <v>0</v>
      </c>
      <c r="I268" s="1962">
        <v>0</v>
      </c>
    </row>
    <row r="269" spans="1:9" hidden="1" outlineLevel="2" x14ac:dyDescent="0.2">
      <c r="A269" s="1980" t="s">
        <v>3415</v>
      </c>
      <c r="B269" s="1980" t="s">
        <v>3416</v>
      </c>
      <c r="C269" s="1980" t="s">
        <v>3536</v>
      </c>
      <c r="D269" s="1980" t="s">
        <v>3537</v>
      </c>
      <c r="E269" s="1980" t="s">
        <v>936</v>
      </c>
      <c r="F269" s="1962">
        <v>560.81663000000003</v>
      </c>
      <c r="G269" s="1962">
        <v>0</v>
      </c>
      <c r="H269" s="1962">
        <v>0</v>
      </c>
      <c r="I269" s="1962">
        <v>0</v>
      </c>
    </row>
    <row r="270" spans="1:9" hidden="1" outlineLevel="2" x14ac:dyDescent="0.2">
      <c r="A270" s="1980" t="s">
        <v>3415</v>
      </c>
      <c r="B270" s="1980" t="s">
        <v>3416</v>
      </c>
      <c r="C270" s="1980" t="s">
        <v>3538</v>
      </c>
      <c r="D270" s="1980" t="s">
        <v>3539</v>
      </c>
      <c r="E270" s="1980" t="s">
        <v>936</v>
      </c>
      <c r="F270" s="1962">
        <v>76.331549999999993</v>
      </c>
      <c r="G270" s="1962">
        <v>0</v>
      </c>
      <c r="H270" s="1962">
        <v>0</v>
      </c>
      <c r="I270" s="1962">
        <v>0</v>
      </c>
    </row>
    <row r="271" spans="1:9" hidden="1" outlineLevel="2" x14ac:dyDescent="0.2">
      <c r="A271" s="1980" t="s">
        <v>3415</v>
      </c>
      <c r="B271" s="1980" t="s">
        <v>3416</v>
      </c>
      <c r="C271" s="1980" t="s">
        <v>3540</v>
      </c>
      <c r="D271" s="1980" t="s">
        <v>3541</v>
      </c>
      <c r="E271" s="1980" t="s">
        <v>936</v>
      </c>
      <c r="F271" s="1962">
        <v>9256.9511600000005</v>
      </c>
      <c r="G271" s="1962">
        <v>0</v>
      </c>
      <c r="H271" s="1962">
        <v>0</v>
      </c>
      <c r="I271" s="1962">
        <v>0</v>
      </c>
    </row>
    <row r="272" spans="1:9" hidden="1" outlineLevel="2" x14ac:dyDescent="0.2">
      <c r="A272" s="1980" t="s">
        <v>3415</v>
      </c>
      <c r="B272" s="1980" t="s">
        <v>3416</v>
      </c>
      <c r="C272" s="1980" t="s">
        <v>3542</v>
      </c>
      <c r="D272" s="1980" t="s">
        <v>3543</v>
      </c>
      <c r="E272" s="1980" t="s">
        <v>936</v>
      </c>
      <c r="F272" s="1962">
        <v>3275.2843800000001</v>
      </c>
      <c r="G272" s="1962">
        <v>0</v>
      </c>
      <c r="H272" s="1962">
        <v>0</v>
      </c>
      <c r="I272" s="1962">
        <v>0</v>
      </c>
    </row>
    <row r="273" spans="1:9" hidden="1" outlineLevel="2" x14ac:dyDescent="0.2">
      <c r="A273" s="1980" t="s">
        <v>3415</v>
      </c>
      <c r="B273" s="1980" t="s">
        <v>3416</v>
      </c>
      <c r="C273" s="1980" t="s">
        <v>3544</v>
      </c>
      <c r="D273" s="1980" t="s">
        <v>3545</v>
      </c>
      <c r="E273" s="1980" t="s">
        <v>936</v>
      </c>
      <c r="F273" s="1962">
        <v>445.94877000000002</v>
      </c>
      <c r="G273" s="1962">
        <v>0</v>
      </c>
      <c r="H273" s="1962">
        <v>0</v>
      </c>
      <c r="I273" s="1962">
        <v>0</v>
      </c>
    </row>
    <row r="274" spans="1:9" hidden="1" outlineLevel="2" x14ac:dyDescent="0.2">
      <c r="A274" s="1980" t="s">
        <v>3415</v>
      </c>
      <c r="B274" s="1980" t="s">
        <v>3416</v>
      </c>
      <c r="C274" s="1980" t="s">
        <v>3546</v>
      </c>
      <c r="D274" s="1980" t="s">
        <v>3547</v>
      </c>
      <c r="E274" s="1980" t="s">
        <v>936</v>
      </c>
      <c r="F274" s="1962">
        <v>146.02239</v>
      </c>
      <c r="G274" s="1962">
        <v>0</v>
      </c>
      <c r="H274" s="1962">
        <v>0</v>
      </c>
      <c r="I274" s="1962">
        <v>0</v>
      </c>
    </row>
    <row r="275" spans="1:9" hidden="1" outlineLevel="2" x14ac:dyDescent="0.2">
      <c r="A275" s="1980" t="s">
        <v>3415</v>
      </c>
      <c r="B275" s="1980" t="s">
        <v>3416</v>
      </c>
      <c r="C275" s="1980" t="s">
        <v>3548</v>
      </c>
      <c r="D275" s="1980" t="s">
        <v>3549</v>
      </c>
      <c r="E275" s="1980" t="s">
        <v>936</v>
      </c>
      <c r="F275" s="1962">
        <v>-587832.34629999998</v>
      </c>
      <c r="G275" s="1962">
        <v>0</v>
      </c>
      <c r="H275" s="1962">
        <v>0</v>
      </c>
      <c r="I275" s="1962">
        <v>0</v>
      </c>
    </row>
    <row r="276" spans="1:9" hidden="1" outlineLevel="2" x14ac:dyDescent="0.2">
      <c r="A276" s="1980" t="s">
        <v>3415</v>
      </c>
      <c r="B276" s="1980" t="s">
        <v>3416</v>
      </c>
      <c r="C276" s="1980" t="s">
        <v>3550</v>
      </c>
      <c r="D276" s="1980" t="s">
        <v>3551</v>
      </c>
      <c r="E276" s="1980" t="s">
        <v>936</v>
      </c>
      <c r="F276" s="1962">
        <v>1.8589</v>
      </c>
      <c r="G276" s="1962">
        <v>0</v>
      </c>
      <c r="H276" s="1962">
        <v>0</v>
      </c>
      <c r="I276" s="1962">
        <v>0</v>
      </c>
    </row>
    <row r="277" spans="1:9" hidden="1" outlineLevel="2" x14ac:dyDescent="0.2">
      <c r="A277" s="1980" t="s">
        <v>3415</v>
      </c>
      <c r="B277" s="1980" t="s">
        <v>3416</v>
      </c>
      <c r="C277" s="1980" t="s">
        <v>3552</v>
      </c>
      <c r="D277" s="1980" t="s">
        <v>3553</v>
      </c>
      <c r="E277" s="1980" t="s">
        <v>936</v>
      </c>
      <c r="F277" s="1962">
        <v>22.846060000000001</v>
      </c>
      <c r="G277" s="1962">
        <v>0</v>
      </c>
      <c r="H277" s="1962">
        <v>0</v>
      </c>
      <c r="I277" s="1962">
        <v>0</v>
      </c>
    </row>
    <row r="278" spans="1:9" hidden="1" outlineLevel="2" x14ac:dyDescent="0.2">
      <c r="A278" s="1980" t="s">
        <v>3415</v>
      </c>
      <c r="B278" s="1980" t="s">
        <v>3416</v>
      </c>
      <c r="C278" s="1980" t="s">
        <v>3554</v>
      </c>
      <c r="D278" s="1980" t="s">
        <v>3555</v>
      </c>
      <c r="E278" s="1980" t="s">
        <v>936</v>
      </c>
      <c r="F278" s="1962">
        <v>48.278149999999997</v>
      </c>
      <c r="G278" s="1962">
        <v>0</v>
      </c>
      <c r="H278" s="1962">
        <v>0</v>
      </c>
      <c r="I278" s="1962">
        <v>0</v>
      </c>
    </row>
    <row r="279" spans="1:9" hidden="1" outlineLevel="2" x14ac:dyDescent="0.2">
      <c r="A279" s="1980" t="s">
        <v>3415</v>
      </c>
      <c r="B279" s="1980" t="s">
        <v>3416</v>
      </c>
      <c r="C279" s="1980" t="s">
        <v>3556</v>
      </c>
      <c r="D279" s="1980" t="s">
        <v>3557</v>
      </c>
      <c r="E279" s="1980" t="s">
        <v>936</v>
      </c>
      <c r="F279" s="1962">
        <v>3306.2718399999999</v>
      </c>
      <c r="G279" s="1962">
        <v>0</v>
      </c>
      <c r="H279" s="1962">
        <v>0</v>
      </c>
      <c r="I279" s="1962">
        <v>0</v>
      </c>
    </row>
    <row r="280" spans="1:9" hidden="1" outlineLevel="2" x14ac:dyDescent="0.2">
      <c r="A280" s="1980" t="s">
        <v>3415</v>
      </c>
      <c r="B280" s="1980" t="s">
        <v>3416</v>
      </c>
      <c r="C280" s="1980" t="s">
        <v>3558</v>
      </c>
      <c r="D280" s="1980" t="s">
        <v>3559</v>
      </c>
      <c r="E280" s="1980" t="s">
        <v>936</v>
      </c>
      <c r="F280" s="1962">
        <v>3059.7789899999998</v>
      </c>
      <c r="G280" s="1962">
        <v>0</v>
      </c>
      <c r="H280" s="1962">
        <v>0</v>
      </c>
      <c r="I280" s="1962">
        <v>0</v>
      </c>
    </row>
    <row r="281" spans="1:9" hidden="1" outlineLevel="2" x14ac:dyDescent="0.2">
      <c r="A281" s="1980" t="s">
        <v>3415</v>
      </c>
      <c r="B281" s="1980" t="s">
        <v>3416</v>
      </c>
      <c r="C281" s="1980" t="s">
        <v>3560</v>
      </c>
      <c r="D281" s="1980" t="s">
        <v>3561</v>
      </c>
      <c r="E281" s="1980" t="s">
        <v>936</v>
      </c>
      <c r="F281" s="1962">
        <v>2347.3112900000001</v>
      </c>
      <c r="G281" s="1962">
        <v>0</v>
      </c>
      <c r="H281" s="1962">
        <v>0</v>
      </c>
      <c r="I281" s="1962">
        <v>0</v>
      </c>
    </row>
    <row r="282" spans="1:9" hidden="1" outlineLevel="2" x14ac:dyDescent="0.2">
      <c r="A282" s="1980" t="s">
        <v>3415</v>
      </c>
      <c r="B282" s="1980" t="s">
        <v>3416</v>
      </c>
      <c r="C282" s="1980" t="s">
        <v>3562</v>
      </c>
      <c r="D282" s="1980" t="s">
        <v>3563</v>
      </c>
      <c r="E282" s="1980" t="s">
        <v>936</v>
      </c>
      <c r="F282" s="1962">
        <v>65.005750000000006</v>
      </c>
      <c r="G282" s="1962">
        <v>0</v>
      </c>
      <c r="H282" s="1962">
        <v>0</v>
      </c>
      <c r="I282" s="1962">
        <v>0</v>
      </c>
    </row>
    <row r="283" spans="1:9" hidden="1" outlineLevel="2" x14ac:dyDescent="0.2">
      <c r="A283" s="1980" t="s">
        <v>3415</v>
      </c>
      <c r="B283" s="1980" t="s">
        <v>3416</v>
      </c>
      <c r="C283" s="1980" t="s">
        <v>3564</v>
      </c>
      <c r="D283" s="1980" t="s">
        <v>3565</v>
      </c>
      <c r="E283" s="1980" t="s">
        <v>936</v>
      </c>
      <c r="F283" s="1962">
        <v>222.54929000000001</v>
      </c>
      <c r="G283" s="1962">
        <v>0</v>
      </c>
      <c r="H283" s="1962">
        <v>0</v>
      </c>
      <c r="I283" s="1962">
        <v>0</v>
      </c>
    </row>
    <row r="284" spans="1:9" hidden="1" outlineLevel="2" x14ac:dyDescent="0.2">
      <c r="A284" s="1980" t="s">
        <v>3415</v>
      </c>
      <c r="B284" s="1980" t="s">
        <v>3416</v>
      </c>
      <c r="C284" s="1980" t="s">
        <v>3566</v>
      </c>
      <c r="D284" s="1980" t="s">
        <v>3567</v>
      </c>
      <c r="E284" s="1980" t="s">
        <v>936</v>
      </c>
      <c r="F284" s="1962">
        <v>1475.7383600000001</v>
      </c>
      <c r="G284" s="1962">
        <v>0</v>
      </c>
      <c r="H284" s="1962">
        <v>0</v>
      </c>
      <c r="I284" s="1962">
        <v>0</v>
      </c>
    </row>
    <row r="285" spans="1:9" hidden="1" outlineLevel="2" x14ac:dyDescent="0.2">
      <c r="A285" s="1980" t="s">
        <v>3415</v>
      </c>
      <c r="B285" s="1980" t="s">
        <v>3416</v>
      </c>
      <c r="C285" s="1980" t="s">
        <v>3568</v>
      </c>
      <c r="D285" s="1980" t="s">
        <v>3569</v>
      </c>
      <c r="E285" s="1980" t="s">
        <v>936</v>
      </c>
      <c r="F285" s="1962">
        <v>3484.5932400000002</v>
      </c>
      <c r="G285" s="1962">
        <v>0</v>
      </c>
      <c r="H285" s="1962">
        <v>0</v>
      </c>
      <c r="I285" s="1962">
        <v>0</v>
      </c>
    </row>
    <row r="286" spans="1:9" hidden="1" outlineLevel="2" x14ac:dyDescent="0.2">
      <c r="A286" s="1980" t="s">
        <v>3415</v>
      </c>
      <c r="B286" s="1980" t="s">
        <v>3416</v>
      </c>
      <c r="C286" s="1980" t="s">
        <v>3570</v>
      </c>
      <c r="D286" s="1980" t="s">
        <v>3571</v>
      </c>
      <c r="E286" s="1980" t="s">
        <v>936</v>
      </c>
      <c r="F286" s="1962">
        <v>59.976289999999999</v>
      </c>
      <c r="G286" s="1962">
        <v>0</v>
      </c>
      <c r="H286" s="1962">
        <v>0</v>
      </c>
      <c r="I286" s="1962">
        <v>0</v>
      </c>
    </row>
    <row r="287" spans="1:9" hidden="1" outlineLevel="2" x14ac:dyDescent="0.2">
      <c r="A287" s="1980" t="s">
        <v>3415</v>
      </c>
      <c r="B287" s="1980" t="s">
        <v>3416</v>
      </c>
      <c r="C287" s="1980" t="s">
        <v>3572</v>
      </c>
      <c r="D287" s="1980" t="s">
        <v>3573</v>
      </c>
      <c r="E287" s="1980" t="s">
        <v>936</v>
      </c>
      <c r="F287" s="1962">
        <v>50</v>
      </c>
      <c r="G287" s="1962">
        <v>0</v>
      </c>
      <c r="H287" s="1962">
        <v>0</v>
      </c>
      <c r="I287" s="1962">
        <v>0</v>
      </c>
    </row>
    <row r="288" spans="1:9" hidden="1" outlineLevel="2" x14ac:dyDescent="0.2">
      <c r="A288" s="1980" t="s">
        <v>3415</v>
      </c>
      <c r="B288" s="1980" t="s">
        <v>3416</v>
      </c>
      <c r="C288" s="1980" t="s">
        <v>3574</v>
      </c>
      <c r="D288" s="1980" t="s">
        <v>3575</v>
      </c>
      <c r="E288" s="1980" t="s">
        <v>936</v>
      </c>
      <c r="F288" s="1962">
        <v>67.378190000000004</v>
      </c>
      <c r="G288" s="1962">
        <v>0</v>
      </c>
      <c r="H288" s="1962">
        <v>0</v>
      </c>
      <c r="I288" s="1962">
        <v>0</v>
      </c>
    </row>
    <row r="289" spans="1:9" hidden="1" outlineLevel="2" x14ac:dyDescent="0.2">
      <c r="A289" s="1980" t="s">
        <v>3415</v>
      </c>
      <c r="B289" s="1980" t="s">
        <v>3416</v>
      </c>
      <c r="C289" s="1980" t="s">
        <v>3576</v>
      </c>
      <c r="D289" s="1980" t="s">
        <v>3577</v>
      </c>
      <c r="E289" s="1980" t="s">
        <v>936</v>
      </c>
      <c r="F289" s="1962">
        <v>102.7296</v>
      </c>
      <c r="G289" s="1962">
        <v>0</v>
      </c>
      <c r="H289" s="1962">
        <v>0</v>
      </c>
      <c r="I289" s="1962">
        <v>0</v>
      </c>
    </row>
    <row r="290" spans="1:9" hidden="1" outlineLevel="2" x14ac:dyDescent="0.2">
      <c r="A290" s="1980" t="s">
        <v>3415</v>
      </c>
      <c r="B290" s="1980" t="s">
        <v>3416</v>
      </c>
      <c r="C290" s="1980" t="s">
        <v>3578</v>
      </c>
      <c r="D290" s="1980" t="s">
        <v>3539</v>
      </c>
      <c r="E290" s="1980" t="s">
        <v>936</v>
      </c>
      <c r="F290" s="1962">
        <v>943.92487000000006</v>
      </c>
      <c r="G290" s="1962">
        <v>0</v>
      </c>
      <c r="H290" s="1962">
        <v>0</v>
      </c>
      <c r="I290" s="1962">
        <v>0</v>
      </c>
    </row>
    <row r="291" spans="1:9" hidden="1" outlineLevel="2" x14ac:dyDescent="0.2">
      <c r="A291" s="1980" t="s">
        <v>3415</v>
      </c>
      <c r="B291" s="1980" t="s">
        <v>3416</v>
      </c>
      <c r="C291" s="1980" t="s">
        <v>3579</v>
      </c>
      <c r="D291" s="1980" t="s">
        <v>3545</v>
      </c>
      <c r="E291" s="1980" t="s">
        <v>936</v>
      </c>
      <c r="F291" s="1962">
        <v>1967.19092</v>
      </c>
      <c r="G291" s="1962">
        <v>0</v>
      </c>
      <c r="H291" s="1962">
        <v>0</v>
      </c>
      <c r="I291" s="1962">
        <v>0</v>
      </c>
    </row>
    <row r="292" spans="1:9" hidden="1" outlineLevel="2" x14ac:dyDescent="0.2">
      <c r="A292" s="1980" t="s">
        <v>3415</v>
      </c>
      <c r="B292" s="1980" t="s">
        <v>3416</v>
      </c>
      <c r="C292" s="1980" t="s">
        <v>3580</v>
      </c>
      <c r="D292" s="1980" t="s">
        <v>3547</v>
      </c>
      <c r="E292" s="1980" t="s">
        <v>936</v>
      </c>
      <c r="F292" s="1962">
        <v>420.56610000000001</v>
      </c>
      <c r="G292" s="1962">
        <v>0</v>
      </c>
      <c r="H292" s="1962">
        <v>0</v>
      </c>
      <c r="I292" s="1962">
        <v>0</v>
      </c>
    </row>
    <row r="293" spans="1:9" hidden="1" outlineLevel="2" x14ac:dyDescent="0.2">
      <c r="A293" s="1980" t="s">
        <v>3415</v>
      </c>
      <c r="B293" s="1980" t="s">
        <v>3416</v>
      </c>
      <c r="C293" s="1980" t="s">
        <v>3581</v>
      </c>
      <c r="D293" s="1980" t="s">
        <v>3582</v>
      </c>
      <c r="E293" s="1980" t="s">
        <v>936</v>
      </c>
      <c r="F293" s="1962">
        <v>104.62752</v>
      </c>
      <c r="G293" s="1962">
        <v>0</v>
      </c>
      <c r="H293" s="1962">
        <v>0</v>
      </c>
      <c r="I293" s="1962">
        <v>0</v>
      </c>
    </row>
    <row r="294" spans="1:9" hidden="1" outlineLevel="2" x14ac:dyDescent="0.2">
      <c r="A294" s="1980" t="s">
        <v>3415</v>
      </c>
      <c r="B294" s="1980" t="s">
        <v>3416</v>
      </c>
      <c r="C294" s="1980" t="s">
        <v>3583</v>
      </c>
      <c r="D294" s="1980" t="s">
        <v>3584</v>
      </c>
      <c r="E294" s="1980" t="s">
        <v>936</v>
      </c>
      <c r="F294" s="1962">
        <v>35.638219999999997</v>
      </c>
      <c r="G294" s="1962">
        <v>0</v>
      </c>
      <c r="H294" s="1962">
        <v>0</v>
      </c>
      <c r="I294" s="1962">
        <v>0</v>
      </c>
    </row>
    <row r="295" spans="1:9" hidden="1" outlineLevel="2" x14ac:dyDescent="0.2">
      <c r="A295" s="1980" t="s">
        <v>3415</v>
      </c>
      <c r="B295" s="1980" t="s">
        <v>3416</v>
      </c>
      <c r="C295" s="1980" t="s">
        <v>3585</v>
      </c>
      <c r="D295" s="1980" t="s">
        <v>3586</v>
      </c>
      <c r="E295" s="1980" t="s">
        <v>936</v>
      </c>
      <c r="F295" s="1962">
        <v>1.0000000000000001E-5</v>
      </c>
      <c r="G295" s="1962">
        <v>0</v>
      </c>
      <c r="H295" s="1962">
        <v>0</v>
      </c>
      <c r="I295" s="1962">
        <v>0</v>
      </c>
    </row>
    <row r="296" spans="1:9" hidden="1" outlineLevel="2" x14ac:dyDescent="0.2">
      <c r="A296" s="1980" t="s">
        <v>3415</v>
      </c>
      <c r="B296" s="1980" t="s">
        <v>3416</v>
      </c>
      <c r="C296" s="1980" t="s">
        <v>3587</v>
      </c>
      <c r="D296" s="1980" t="s">
        <v>3588</v>
      </c>
      <c r="E296" s="1980" t="s">
        <v>936</v>
      </c>
      <c r="F296" s="1962">
        <v>52.954230000000003</v>
      </c>
      <c r="G296" s="1962">
        <v>0</v>
      </c>
      <c r="H296" s="1962">
        <v>0</v>
      </c>
      <c r="I296" s="1962">
        <v>0</v>
      </c>
    </row>
    <row r="297" spans="1:9" hidden="1" outlineLevel="2" x14ac:dyDescent="0.2">
      <c r="A297" s="1980" t="s">
        <v>3415</v>
      </c>
      <c r="B297" s="1980" t="s">
        <v>3416</v>
      </c>
      <c r="C297" s="1980" t="s">
        <v>3589</v>
      </c>
      <c r="D297" s="1980" t="s">
        <v>3590</v>
      </c>
      <c r="E297" s="1980" t="s">
        <v>936</v>
      </c>
      <c r="F297" s="1962">
        <v>2.8250000000000002</v>
      </c>
      <c r="G297" s="1962">
        <v>0</v>
      </c>
      <c r="H297" s="1962">
        <v>0</v>
      </c>
      <c r="I297" s="1962">
        <v>0</v>
      </c>
    </row>
    <row r="298" spans="1:9" hidden="1" outlineLevel="2" x14ac:dyDescent="0.2">
      <c r="A298" s="1980" t="s">
        <v>3415</v>
      </c>
      <c r="B298" s="1980" t="s">
        <v>3416</v>
      </c>
      <c r="C298" s="1980" t="s">
        <v>3591</v>
      </c>
      <c r="D298" s="1980" t="s">
        <v>3592</v>
      </c>
      <c r="E298" s="1980" t="s">
        <v>936</v>
      </c>
      <c r="F298" s="1962">
        <v>118.51381000000001</v>
      </c>
      <c r="G298" s="1962">
        <v>0</v>
      </c>
      <c r="H298" s="1962">
        <v>0</v>
      </c>
      <c r="I298" s="1962">
        <v>0</v>
      </c>
    </row>
    <row r="299" spans="1:9" hidden="1" outlineLevel="2" x14ac:dyDescent="0.2">
      <c r="A299" s="1980" t="s">
        <v>3415</v>
      </c>
      <c r="B299" s="1980" t="s">
        <v>3416</v>
      </c>
      <c r="C299" s="1980" t="s">
        <v>3593</v>
      </c>
      <c r="D299" s="1980" t="s">
        <v>3594</v>
      </c>
      <c r="E299" s="1980" t="s">
        <v>936</v>
      </c>
      <c r="F299" s="1962">
        <v>3751.5009100000002</v>
      </c>
      <c r="G299" s="1962">
        <v>0</v>
      </c>
      <c r="H299" s="1962">
        <v>0</v>
      </c>
      <c r="I299" s="1962">
        <v>0</v>
      </c>
    </row>
    <row r="300" spans="1:9" hidden="1" outlineLevel="2" x14ac:dyDescent="0.2">
      <c r="A300" s="1980" t="s">
        <v>3415</v>
      </c>
      <c r="B300" s="1980" t="s">
        <v>3416</v>
      </c>
      <c r="C300" s="1980" t="s">
        <v>3595</v>
      </c>
      <c r="D300" s="1980" t="s">
        <v>3596</v>
      </c>
      <c r="E300" s="1980" t="s">
        <v>936</v>
      </c>
      <c r="F300" s="1962">
        <v>8623.8516299999992</v>
      </c>
      <c r="G300" s="1962">
        <v>0</v>
      </c>
      <c r="H300" s="1962">
        <v>0</v>
      </c>
      <c r="I300" s="1962">
        <v>0</v>
      </c>
    </row>
    <row r="301" spans="1:9" hidden="1" outlineLevel="2" x14ac:dyDescent="0.2">
      <c r="A301" s="1980" t="s">
        <v>3415</v>
      </c>
      <c r="B301" s="1980" t="s">
        <v>3416</v>
      </c>
      <c r="C301" s="1980" t="s">
        <v>3597</v>
      </c>
      <c r="D301" s="1980" t="s">
        <v>3598</v>
      </c>
      <c r="E301" s="1980" t="s">
        <v>936</v>
      </c>
      <c r="F301" s="1962">
        <v>1499.1451300000001</v>
      </c>
      <c r="G301" s="1962">
        <v>0</v>
      </c>
      <c r="H301" s="1962">
        <v>0</v>
      </c>
      <c r="I301" s="1962">
        <v>0</v>
      </c>
    </row>
    <row r="302" spans="1:9" hidden="1" outlineLevel="2" x14ac:dyDescent="0.2">
      <c r="A302" s="1980" t="s">
        <v>3415</v>
      </c>
      <c r="B302" s="1980" t="s">
        <v>3416</v>
      </c>
      <c r="C302" s="1980" t="s">
        <v>3599</v>
      </c>
      <c r="D302" s="1980" t="s">
        <v>3600</v>
      </c>
      <c r="E302" s="1980" t="s">
        <v>936</v>
      </c>
      <c r="F302" s="1962">
        <v>2187.1782499999999</v>
      </c>
      <c r="G302" s="1962">
        <v>0</v>
      </c>
      <c r="H302" s="1962">
        <v>0</v>
      </c>
      <c r="I302" s="1962">
        <v>0</v>
      </c>
    </row>
    <row r="303" spans="1:9" hidden="1" outlineLevel="2" x14ac:dyDescent="0.2">
      <c r="A303" s="1980" t="s">
        <v>3415</v>
      </c>
      <c r="B303" s="1980" t="s">
        <v>3416</v>
      </c>
      <c r="C303" s="1980" t="s">
        <v>3601</v>
      </c>
      <c r="D303" s="1980" t="s">
        <v>3602</v>
      </c>
      <c r="E303" s="1980" t="s">
        <v>936</v>
      </c>
      <c r="F303" s="1962">
        <v>2747.6797799999999</v>
      </c>
      <c r="G303" s="1962">
        <v>0</v>
      </c>
      <c r="H303" s="1962">
        <v>0</v>
      </c>
      <c r="I303" s="1962">
        <v>0</v>
      </c>
    </row>
    <row r="304" spans="1:9" hidden="1" outlineLevel="2" x14ac:dyDescent="0.2">
      <c r="A304" s="1980" t="s">
        <v>3415</v>
      </c>
      <c r="B304" s="1980" t="s">
        <v>3416</v>
      </c>
      <c r="C304" s="1980" t="s">
        <v>3603</v>
      </c>
      <c r="D304" s="1980" t="s">
        <v>3604</v>
      </c>
      <c r="E304" s="1980" t="s">
        <v>936</v>
      </c>
      <c r="F304" s="1962">
        <v>64.919430000000006</v>
      </c>
      <c r="G304" s="1962">
        <v>0</v>
      </c>
      <c r="H304" s="1962">
        <v>0</v>
      </c>
      <c r="I304" s="1962">
        <v>0</v>
      </c>
    </row>
    <row r="305" spans="1:9" hidden="1" outlineLevel="2" x14ac:dyDescent="0.2">
      <c r="A305" s="1980" t="s">
        <v>3415</v>
      </c>
      <c r="B305" s="1980" t="s">
        <v>3416</v>
      </c>
      <c r="C305" s="1980" t="s">
        <v>3605</v>
      </c>
      <c r="D305" s="1980" t="s">
        <v>3606</v>
      </c>
      <c r="E305" s="1980" t="s">
        <v>936</v>
      </c>
      <c r="F305" s="1962">
        <v>121.81515</v>
      </c>
      <c r="G305" s="1962">
        <v>0</v>
      </c>
      <c r="H305" s="1962">
        <v>0</v>
      </c>
      <c r="I305" s="1962">
        <v>0</v>
      </c>
    </row>
    <row r="306" spans="1:9" hidden="1" outlineLevel="2" x14ac:dyDescent="0.2">
      <c r="A306" s="1980" t="s">
        <v>3415</v>
      </c>
      <c r="B306" s="1980" t="s">
        <v>3416</v>
      </c>
      <c r="C306" s="1980" t="s">
        <v>3607</v>
      </c>
      <c r="D306" s="1980" t="s">
        <v>3608</v>
      </c>
      <c r="E306" s="1980" t="s">
        <v>936</v>
      </c>
      <c r="F306" s="1962">
        <v>1848.1562899999999</v>
      </c>
      <c r="G306" s="1962">
        <v>0</v>
      </c>
      <c r="H306" s="1962">
        <v>0</v>
      </c>
      <c r="I306" s="1962">
        <v>0</v>
      </c>
    </row>
    <row r="307" spans="1:9" hidden="1" outlineLevel="2" x14ac:dyDescent="0.2">
      <c r="A307" s="1980" t="s">
        <v>3415</v>
      </c>
      <c r="B307" s="1980" t="s">
        <v>3416</v>
      </c>
      <c r="C307" s="1980" t="s">
        <v>3609</v>
      </c>
      <c r="D307" s="1980" t="s">
        <v>3610</v>
      </c>
      <c r="E307" s="1980" t="s">
        <v>936</v>
      </c>
      <c r="F307" s="1962">
        <v>2468.75695</v>
      </c>
      <c r="G307" s="1962">
        <v>0</v>
      </c>
      <c r="H307" s="1962">
        <v>0</v>
      </c>
      <c r="I307" s="1962">
        <v>0</v>
      </c>
    </row>
    <row r="308" spans="1:9" hidden="1" outlineLevel="2" x14ac:dyDescent="0.2">
      <c r="A308" s="1980" t="s">
        <v>3415</v>
      </c>
      <c r="B308" s="1980" t="s">
        <v>3416</v>
      </c>
      <c r="C308" s="1980" t="s">
        <v>3611</v>
      </c>
      <c r="D308" s="1980" t="s">
        <v>3612</v>
      </c>
      <c r="E308" s="1980" t="s">
        <v>936</v>
      </c>
      <c r="F308" s="1962">
        <v>535.93276000000003</v>
      </c>
      <c r="G308" s="1962">
        <v>0</v>
      </c>
      <c r="H308" s="1962">
        <v>0</v>
      </c>
      <c r="I308" s="1962">
        <v>0</v>
      </c>
    </row>
    <row r="309" spans="1:9" hidden="1" outlineLevel="2" x14ac:dyDescent="0.2">
      <c r="A309" s="1980" t="s">
        <v>3415</v>
      </c>
      <c r="B309" s="1980" t="s">
        <v>3416</v>
      </c>
      <c r="C309" s="1980" t="s">
        <v>3613</v>
      </c>
      <c r="D309" s="1980" t="s">
        <v>3614</v>
      </c>
      <c r="E309" s="1980" t="s">
        <v>936</v>
      </c>
      <c r="F309" s="1962">
        <v>210.95123000000001</v>
      </c>
      <c r="G309" s="1962">
        <v>0</v>
      </c>
      <c r="H309" s="1962">
        <v>0</v>
      </c>
      <c r="I309" s="1962">
        <v>0</v>
      </c>
    </row>
    <row r="310" spans="1:9" hidden="1" outlineLevel="2" x14ac:dyDescent="0.2">
      <c r="A310" s="1980" t="s">
        <v>3415</v>
      </c>
      <c r="B310" s="1980" t="s">
        <v>3416</v>
      </c>
      <c r="C310" s="1980" t="s">
        <v>3615</v>
      </c>
      <c r="D310" s="1980" t="s">
        <v>3616</v>
      </c>
      <c r="E310" s="1980" t="s">
        <v>936</v>
      </c>
      <c r="F310" s="1962">
        <v>7.7117699999999996</v>
      </c>
      <c r="G310" s="1962">
        <v>0</v>
      </c>
      <c r="H310" s="1962">
        <v>0</v>
      </c>
      <c r="I310" s="1962">
        <v>0</v>
      </c>
    </row>
    <row r="311" spans="1:9" hidden="1" outlineLevel="2" x14ac:dyDescent="0.2">
      <c r="A311" s="1980" t="s">
        <v>3415</v>
      </c>
      <c r="B311" s="1980" t="s">
        <v>3416</v>
      </c>
      <c r="C311" s="1980" t="s">
        <v>3617</v>
      </c>
      <c r="D311" s="1980" t="s">
        <v>3618</v>
      </c>
      <c r="E311" s="1980" t="s">
        <v>936</v>
      </c>
      <c r="F311" s="1962">
        <v>1.0000000000000001E-5</v>
      </c>
      <c r="G311" s="1962">
        <v>0</v>
      </c>
      <c r="H311" s="1962">
        <v>0</v>
      </c>
      <c r="I311" s="1962">
        <v>0</v>
      </c>
    </row>
    <row r="312" spans="1:9" hidden="1" outlineLevel="2" x14ac:dyDescent="0.2">
      <c r="A312" s="1980" t="s">
        <v>3415</v>
      </c>
      <c r="B312" s="1980" t="s">
        <v>3416</v>
      </c>
      <c r="C312" s="1980" t="s">
        <v>3619</v>
      </c>
      <c r="D312" s="1980" t="s">
        <v>3620</v>
      </c>
      <c r="E312" s="1980" t="s">
        <v>936</v>
      </c>
      <c r="F312" s="1962">
        <v>240.63041999999999</v>
      </c>
      <c r="G312" s="1962">
        <v>0</v>
      </c>
      <c r="H312" s="1962">
        <v>0</v>
      </c>
      <c r="I312" s="1962">
        <v>0</v>
      </c>
    </row>
    <row r="313" spans="1:9" hidden="1" outlineLevel="2" x14ac:dyDescent="0.2">
      <c r="A313" s="1980" t="s">
        <v>3415</v>
      </c>
      <c r="B313" s="1980" t="s">
        <v>3416</v>
      </c>
      <c r="C313" s="1980" t="s">
        <v>3621</v>
      </c>
      <c r="D313" s="1980" t="s">
        <v>3622</v>
      </c>
      <c r="E313" s="1980" t="s">
        <v>936</v>
      </c>
      <c r="F313" s="1962">
        <v>15240.2979</v>
      </c>
      <c r="G313" s="1962">
        <v>0</v>
      </c>
      <c r="H313" s="1962">
        <v>0</v>
      </c>
      <c r="I313" s="1962">
        <v>0</v>
      </c>
    </row>
    <row r="314" spans="1:9" hidden="1" outlineLevel="2" x14ac:dyDescent="0.2">
      <c r="A314" s="1980" t="s">
        <v>3415</v>
      </c>
      <c r="B314" s="1980" t="s">
        <v>3416</v>
      </c>
      <c r="C314" s="1980" t="s">
        <v>3623</v>
      </c>
      <c r="D314" s="1980" t="s">
        <v>3624</v>
      </c>
      <c r="E314" s="1980" t="s">
        <v>936</v>
      </c>
      <c r="F314" s="1962">
        <v>-44183.016029999999</v>
      </c>
      <c r="G314" s="1962">
        <v>0</v>
      </c>
      <c r="H314" s="1962">
        <v>0</v>
      </c>
      <c r="I314" s="1962">
        <v>0</v>
      </c>
    </row>
    <row r="315" spans="1:9" hidden="1" outlineLevel="2" x14ac:dyDescent="0.2">
      <c r="A315" s="1980" t="s">
        <v>3415</v>
      </c>
      <c r="B315" s="1980" t="s">
        <v>3416</v>
      </c>
      <c r="C315" s="1980" t="s">
        <v>3625</v>
      </c>
      <c r="D315" s="1980" t="s">
        <v>3624</v>
      </c>
      <c r="E315" s="1980" t="s">
        <v>936</v>
      </c>
      <c r="F315" s="1962">
        <v>1.0000000000000001E-5</v>
      </c>
      <c r="G315" s="1962">
        <v>0</v>
      </c>
      <c r="H315" s="1962">
        <v>0</v>
      </c>
      <c r="I315" s="1962">
        <v>0</v>
      </c>
    </row>
    <row r="316" spans="1:9" hidden="1" outlineLevel="2" x14ac:dyDescent="0.2">
      <c r="A316" s="1980" t="s">
        <v>3415</v>
      </c>
      <c r="B316" s="1980" t="s">
        <v>3416</v>
      </c>
      <c r="C316" s="1980" t="s">
        <v>3626</v>
      </c>
      <c r="D316" s="1980" t="s">
        <v>3559</v>
      </c>
      <c r="E316" s="1980" t="s">
        <v>936</v>
      </c>
      <c r="F316" s="1962">
        <v>5982.4867400000003</v>
      </c>
      <c r="G316" s="1962">
        <v>0</v>
      </c>
      <c r="H316" s="1962">
        <v>0</v>
      </c>
      <c r="I316" s="1962">
        <v>0</v>
      </c>
    </row>
    <row r="317" spans="1:9" hidden="1" outlineLevel="2" x14ac:dyDescent="0.2">
      <c r="A317" s="1980" t="s">
        <v>3415</v>
      </c>
      <c r="B317" s="1980" t="s">
        <v>3416</v>
      </c>
      <c r="C317" s="1980" t="s">
        <v>3627</v>
      </c>
      <c r="D317" s="1980" t="s">
        <v>3628</v>
      </c>
      <c r="E317" s="1980" t="s">
        <v>936</v>
      </c>
      <c r="F317" s="1962">
        <v>882.56244000000004</v>
      </c>
      <c r="G317" s="1962">
        <v>0</v>
      </c>
      <c r="H317" s="1962">
        <v>0</v>
      </c>
      <c r="I317" s="1962">
        <v>0</v>
      </c>
    </row>
    <row r="318" spans="1:9" hidden="1" outlineLevel="2" x14ac:dyDescent="0.2">
      <c r="A318" s="1980" t="s">
        <v>3415</v>
      </c>
      <c r="B318" s="1980" t="s">
        <v>3416</v>
      </c>
      <c r="C318" s="1980" t="s">
        <v>3629</v>
      </c>
      <c r="D318" s="1980" t="s">
        <v>3630</v>
      </c>
      <c r="E318" s="1980" t="s">
        <v>936</v>
      </c>
      <c r="F318" s="1962">
        <v>1952.2843399999999</v>
      </c>
      <c r="G318" s="1962">
        <v>0</v>
      </c>
      <c r="H318" s="1962">
        <v>0</v>
      </c>
      <c r="I318" s="1962">
        <v>0</v>
      </c>
    </row>
    <row r="319" spans="1:9" hidden="1" outlineLevel="2" x14ac:dyDescent="0.2">
      <c r="A319" s="1980" t="s">
        <v>3415</v>
      </c>
      <c r="B319" s="1980" t="s">
        <v>3416</v>
      </c>
      <c r="C319" s="1980" t="s">
        <v>3631</v>
      </c>
      <c r="D319" s="1980" t="s">
        <v>3632</v>
      </c>
      <c r="E319" s="1980" t="s">
        <v>936</v>
      </c>
      <c r="F319" s="1962">
        <v>3369.3951299999999</v>
      </c>
      <c r="G319" s="1962">
        <v>0</v>
      </c>
      <c r="H319" s="1962">
        <v>0</v>
      </c>
      <c r="I319" s="1962">
        <v>0</v>
      </c>
    </row>
    <row r="320" spans="1:9" hidden="1" outlineLevel="2" x14ac:dyDescent="0.2">
      <c r="A320" s="1980" t="s">
        <v>3415</v>
      </c>
      <c r="B320" s="1980" t="s">
        <v>3416</v>
      </c>
      <c r="C320" s="1980" t="s">
        <v>3633</v>
      </c>
      <c r="D320" s="1980" t="s">
        <v>3634</v>
      </c>
      <c r="E320" s="1980" t="s">
        <v>936</v>
      </c>
      <c r="F320" s="1962">
        <v>117.12991</v>
      </c>
      <c r="G320" s="1962">
        <v>0</v>
      </c>
      <c r="H320" s="1962">
        <v>0</v>
      </c>
      <c r="I320" s="1962">
        <v>0</v>
      </c>
    </row>
    <row r="321" spans="1:9" hidden="1" outlineLevel="2" x14ac:dyDescent="0.2">
      <c r="A321" s="1980" t="s">
        <v>3415</v>
      </c>
      <c r="B321" s="1980" t="s">
        <v>3416</v>
      </c>
      <c r="C321" s="1980" t="s">
        <v>3635</v>
      </c>
      <c r="D321" s="1980" t="s">
        <v>3636</v>
      </c>
      <c r="E321" s="1980" t="s">
        <v>936</v>
      </c>
      <c r="F321" s="1962">
        <v>50</v>
      </c>
      <c r="G321" s="1962">
        <v>0</v>
      </c>
      <c r="H321" s="1962">
        <v>0</v>
      </c>
      <c r="I321" s="1962">
        <v>0</v>
      </c>
    </row>
    <row r="322" spans="1:9" hidden="1" outlineLevel="2" x14ac:dyDescent="0.2">
      <c r="A322" s="1980" t="s">
        <v>3415</v>
      </c>
      <c r="B322" s="1980" t="s">
        <v>3416</v>
      </c>
      <c r="C322" s="1980" t="s">
        <v>3637</v>
      </c>
      <c r="D322" s="1980" t="s">
        <v>3638</v>
      </c>
      <c r="E322" s="1980" t="s">
        <v>936</v>
      </c>
      <c r="F322" s="1962">
        <v>3398.6216399999998</v>
      </c>
      <c r="G322" s="1962">
        <v>0</v>
      </c>
      <c r="H322" s="1962">
        <v>0</v>
      </c>
      <c r="I322" s="1962">
        <v>0</v>
      </c>
    </row>
    <row r="323" spans="1:9" hidden="1" outlineLevel="2" x14ac:dyDescent="0.2">
      <c r="A323" s="1980" t="s">
        <v>3415</v>
      </c>
      <c r="B323" s="1980" t="s">
        <v>3416</v>
      </c>
      <c r="C323" s="1980" t="s">
        <v>3639</v>
      </c>
      <c r="D323" s="1980" t="s">
        <v>3640</v>
      </c>
      <c r="E323" s="1980" t="s">
        <v>936</v>
      </c>
      <c r="F323" s="1962">
        <v>61.213540000000002</v>
      </c>
      <c r="G323" s="1962">
        <v>0</v>
      </c>
      <c r="H323" s="1962">
        <v>0</v>
      </c>
      <c r="I323" s="1962">
        <v>0</v>
      </c>
    </row>
    <row r="324" spans="1:9" hidden="1" outlineLevel="2" x14ac:dyDescent="0.2">
      <c r="A324" s="1980" t="s">
        <v>3415</v>
      </c>
      <c r="B324" s="1980" t="s">
        <v>3416</v>
      </c>
      <c r="C324" s="1980" t="s">
        <v>3641</v>
      </c>
      <c r="D324" s="1980" t="s">
        <v>3642</v>
      </c>
      <c r="E324" s="1980" t="s">
        <v>936</v>
      </c>
      <c r="F324" s="1962">
        <v>107.61076</v>
      </c>
      <c r="G324" s="1962">
        <v>0</v>
      </c>
      <c r="H324" s="1962">
        <v>0</v>
      </c>
      <c r="I324" s="1962">
        <v>0</v>
      </c>
    </row>
    <row r="325" spans="1:9" hidden="1" outlineLevel="2" x14ac:dyDescent="0.2">
      <c r="A325" s="1980" t="s">
        <v>3415</v>
      </c>
      <c r="B325" s="1980" t="s">
        <v>3416</v>
      </c>
      <c r="C325" s="1980" t="s">
        <v>3643</v>
      </c>
      <c r="D325" s="1980" t="s">
        <v>3539</v>
      </c>
      <c r="E325" s="1980" t="s">
        <v>936</v>
      </c>
      <c r="F325" s="1962">
        <v>1936.3963799999999</v>
      </c>
      <c r="G325" s="1962">
        <v>0</v>
      </c>
      <c r="H325" s="1962">
        <v>0</v>
      </c>
      <c r="I325" s="1962">
        <v>0</v>
      </c>
    </row>
    <row r="326" spans="1:9" hidden="1" outlineLevel="2" x14ac:dyDescent="0.2">
      <c r="A326" s="1980" t="s">
        <v>3415</v>
      </c>
      <c r="B326" s="1980" t="s">
        <v>3416</v>
      </c>
      <c r="C326" s="1980" t="s">
        <v>3644</v>
      </c>
      <c r="D326" s="1980" t="s">
        <v>3545</v>
      </c>
      <c r="E326" s="1980" t="s">
        <v>936</v>
      </c>
      <c r="F326" s="1962">
        <v>3276.6373699999999</v>
      </c>
      <c r="G326" s="1962">
        <v>0</v>
      </c>
      <c r="H326" s="1962">
        <v>0</v>
      </c>
      <c r="I326" s="1962">
        <v>0</v>
      </c>
    </row>
    <row r="327" spans="1:9" hidden="1" outlineLevel="2" x14ac:dyDescent="0.2">
      <c r="A327" s="1980" t="s">
        <v>3415</v>
      </c>
      <c r="B327" s="1980" t="s">
        <v>3416</v>
      </c>
      <c r="C327" s="1980" t="s">
        <v>3645</v>
      </c>
      <c r="D327" s="1980" t="s">
        <v>3547</v>
      </c>
      <c r="E327" s="1980" t="s">
        <v>936</v>
      </c>
      <c r="F327" s="1962">
        <v>967.89549999999997</v>
      </c>
      <c r="G327" s="1962">
        <v>0</v>
      </c>
      <c r="H327" s="1962">
        <v>0</v>
      </c>
      <c r="I327" s="1962">
        <v>0</v>
      </c>
    </row>
    <row r="328" spans="1:9" hidden="1" outlineLevel="2" x14ac:dyDescent="0.2">
      <c r="A328" s="1980" t="s">
        <v>3415</v>
      </c>
      <c r="B328" s="1980" t="s">
        <v>3416</v>
      </c>
      <c r="C328" s="1980" t="s">
        <v>3646</v>
      </c>
      <c r="D328" s="1980" t="s">
        <v>3647</v>
      </c>
      <c r="E328" s="1980" t="s">
        <v>936</v>
      </c>
      <c r="F328" s="1962">
        <v>187.28456</v>
      </c>
      <c r="G328" s="1962">
        <v>0</v>
      </c>
      <c r="H328" s="1962">
        <v>0</v>
      </c>
      <c r="I328" s="1962">
        <v>0</v>
      </c>
    </row>
    <row r="329" spans="1:9" hidden="1" outlineLevel="2" x14ac:dyDescent="0.2">
      <c r="A329" s="1980" t="s">
        <v>3415</v>
      </c>
      <c r="B329" s="1980" t="s">
        <v>3416</v>
      </c>
      <c r="C329" s="1980" t="s">
        <v>3648</v>
      </c>
      <c r="D329" s="1980" t="s">
        <v>3649</v>
      </c>
      <c r="E329" s="1980" t="s">
        <v>936</v>
      </c>
      <c r="F329" s="1962">
        <v>276.50463999999999</v>
      </c>
      <c r="G329" s="1962">
        <v>0</v>
      </c>
      <c r="H329" s="1962">
        <v>0</v>
      </c>
      <c r="I329" s="1962">
        <v>0</v>
      </c>
    </row>
    <row r="330" spans="1:9" hidden="1" outlineLevel="2" x14ac:dyDescent="0.2">
      <c r="A330" s="1980" t="s">
        <v>3415</v>
      </c>
      <c r="B330" s="1980" t="s">
        <v>3416</v>
      </c>
      <c r="C330" s="1980" t="s">
        <v>3650</v>
      </c>
      <c r="D330" s="1980" t="s">
        <v>3651</v>
      </c>
      <c r="E330" s="1980" t="s">
        <v>936</v>
      </c>
      <c r="F330" s="1962">
        <v>3033.9213100000002</v>
      </c>
      <c r="G330" s="1962">
        <v>0</v>
      </c>
      <c r="H330" s="1962">
        <v>0</v>
      </c>
      <c r="I330" s="1962">
        <v>0</v>
      </c>
    </row>
    <row r="331" spans="1:9" hidden="1" outlineLevel="2" x14ac:dyDescent="0.2">
      <c r="A331" s="1980" t="s">
        <v>3415</v>
      </c>
      <c r="B331" s="1980" t="s">
        <v>3416</v>
      </c>
      <c r="C331" s="1980" t="s">
        <v>3652</v>
      </c>
      <c r="D331" s="1980" t="s">
        <v>3653</v>
      </c>
      <c r="E331" s="1980" t="s">
        <v>936</v>
      </c>
      <c r="F331" s="1962">
        <v>1.0000000000000001E-5</v>
      </c>
      <c r="G331" s="1962">
        <v>0</v>
      </c>
      <c r="H331" s="1962">
        <v>0</v>
      </c>
      <c r="I331" s="1962">
        <v>0</v>
      </c>
    </row>
    <row r="332" spans="1:9" hidden="1" outlineLevel="2" x14ac:dyDescent="0.2">
      <c r="A332" s="1980" t="s">
        <v>3415</v>
      </c>
      <c r="B332" s="1980" t="s">
        <v>3416</v>
      </c>
      <c r="C332" s="1980" t="s">
        <v>3654</v>
      </c>
      <c r="D332" s="1980" t="s">
        <v>3655</v>
      </c>
      <c r="E332" s="1980" t="s">
        <v>936</v>
      </c>
      <c r="F332" s="1962">
        <v>7175.2080900000001</v>
      </c>
      <c r="G332" s="1962">
        <v>0</v>
      </c>
      <c r="H332" s="1962">
        <v>0</v>
      </c>
      <c r="I332" s="1962">
        <v>0</v>
      </c>
    </row>
    <row r="333" spans="1:9" hidden="1" outlineLevel="2" x14ac:dyDescent="0.2">
      <c r="A333" s="1980" t="s">
        <v>3415</v>
      </c>
      <c r="B333" s="1980" t="s">
        <v>3416</v>
      </c>
      <c r="C333" s="1980" t="s">
        <v>3656</v>
      </c>
      <c r="D333" s="1980" t="s">
        <v>3657</v>
      </c>
      <c r="E333" s="1980" t="s">
        <v>936</v>
      </c>
      <c r="F333" s="1962">
        <v>526.31577000000004</v>
      </c>
      <c r="G333" s="1962">
        <v>0</v>
      </c>
      <c r="H333" s="1962">
        <v>0</v>
      </c>
      <c r="I333" s="1962">
        <v>0</v>
      </c>
    </row>
    <row r="334" spans="1:9" hidden="1" outlineLevel="2" x14ac:dyDescent="0.2">
      <c r="A334" s="1980" t="s">
        <v>3415</v>
      </c>
      <c r="B334" s="1980" t="s">
        <v>3416</v>
      </c>
      <c r="C334" s="1980" t="s">
        <v>3658</v>
      </c>
      <c r="D334" s="1980" t="s">
        <v>3659</v>
      </c>
      <c r="E334" s="1980" t="s">
        <v>936</v>
      </c>
      <c r="F334" s="1962">
        <v>3466.0316800000001</v>
      </c>
      <c r="G334" s="1962">
        <v>0</v>
      </c>
      <c r="H334" s="1962">
        <v>0</v>
      </c>
      <c r="I334" s="1962">
        <v>0</v>
      </c>
    </row>
    <row r="335" spans="1:9" hidden="1" outlineLevel="2" x14ac:dyDescent="0.2">
      <c r="A335" s="1980" t="s">
        <v>3415</v>
      </c>
      <c r="B335" s="1980" t="s">
        <v>3416</v>
      </c>
      <c r="C335" s="1980" t="s">
        <v>3660</v>
      </c>
      <c r="D335" s="1980" t="s">
        <v>3661</v>
      </c>
      <c r="E335" s="1980" t="s">
        <v>936</v>
      </c>
      <c r="F335" s="1962">
        <v>4288.9031299999997</v>
      </c>
      <c r="G335" s="1962">
        <v>0</v>
      </c>
      <c r="H335" s="1962">
        <v>0</v>
      </c>
      <c r="I335" s="1962">
        <v>0</v>
      </c>
    </row>
    <row r="336" spans="1:9" hidden="1" outlineLevel="2" x14ac:dyDescent="0.2">
      <c r="A336" s="1980" t="s">
        <v>3415</v>
      </c>
      <c r="B336" s="1980" t="s">
        <v>3416</v>
      </c>
      <c r="C336" s="1980" t="s">
        <v>5724</v>
      </c>
      <c r="D336" s="1980" t="s">
        <v>3662</v>
      </c>
      <c r="E336" s="1980" t="s">
        <v>936</v>
      </c>
      <c r="F336" s="1962">
        <v>127.42278</v>
      </c>
      <c r="G336" s="1962">
        <v>0</v>
      </c>
      <c r="H336" s="1962">
        <v>0</v>
      </c>
      <c r="I336" s="1962">
        <v>0</v>
      </c>
    </row>
    <row r="337" spans="1:9" hidden="1" outlineLevel="2" x14ac:dyDescent="0.2">
      <c r="A337" s="1980" t="s">
        <v>3415</v>
      </c>
      <c r="B337" s="1980" t="s">
        <v>3416</v>
      </c>
      <c r="C337" s="1980" t="s">
        <v>3663</v>
      </c>
      <c r="D337" s="1980" t="s">
        <v>3664</v>
      </c>
      <c r="E337" s="1980" t="s">
        <v>936</v>
      </c>
      <c r="F337" s="1962">
        <v>50.073210000000003</v>
      </c>
      <c r="G337" s="1962">
        <v>0</v>
      </c>
      <c r="H337" s="1962">
        <v>0</v>
      </c>
      <c r="I337" s="1962">
        <v>0</v>
      </c>
    </row>
    <row r="338" spans="1:9" hidden="1" outlineLevel="2" x14ac:dyDescent="0.2">
      <c r="A338" s="1980" t="s">
        <v>3415</v>
      </c>
      <c r="B338" s="1980" t="s">
        <v>3416</v>
      </c>
      <c r="C338" s="1980" t="s">
        <v>3665</v>
      </c>
      <c r="D338" s="1980" t="s">
        <v>3666</v>
      </c>
      <c r="E338" s="1980" t="s">
        <v>936</v>
      </c>
      <c r="F338" s="1962">
        <v>2570.3730799999998</v>
      </c>
      <c r="G338" s="1962">
        <v>0</v>
      </c>
      <c r="H338" s="1962">
        <v>0</v>
      </c>
      <c r="I338" s="1962">
        <v>0</v>
      </c>
    </row>
    <row r="339" spans="1:9" hidden="1" outlineLevel="2" x14ac:dyDescent="0.2">
      <c r="A339" s="1980" t="s">
        <v>3415</v>
      </c>
      <c r="B339" s="1980" t="s">
        <v>3416</v>
      </c>
      <c r="C339" s="1980" t="s">
        <v>3667</v>
      </c>
      <c r="D339" s="1980" t="s">
        <v>3668</v>
      </c>
      <c r="E339" s="1980" t="s">
        <v>936</v>
      </c>
      <c r="F339" s="1962">
        <v>83.079470000000001</v>
      </c>
      <c r="G339" s="1962">
        <v>0</v>
      </c>
      <c r="H339" s="1962">
        <v>0</v>
      </c>
      <c r="I339" s="1962">
        <v>0</v>
      </c>
    </row>
    <row r="340" spans="1:9" hidden="1" outlineLevel="2" x14ac:dyDescent="0.2">
      <c r="A340" s="1980" t="s">
        <v>3415</v>
      </c>
      <c r="B340" s="1980" t="s">
        <v>3416</v>
      </c>
      <c r="C340" s="1980" t="s">
        <v>3669</v>
      </c>
      <c r="D340" s="1980" t="s">
        <v>3670</v>
      </c>
      <c r="E340" s="1980" t="s">
        <v>936</v>
      </c>
      <c r="F340" s="1962">
        <v>126.04481</v>
      </c>
      <c r="G340" s="1962">
        <v>0</v>
      </c>
      <c r="H340" s="1962">
        <v>0</v>
      </c>
      <c r="I340" s="1962">
        <v>0</v>
      </c>
    </row>
    <row r="341" spans="1:9" hidden="1" outlineLevel="2" x14ac:dyDescent="0.2">
      <c r="A341" s="1980" t="s">
        <v>3415</v>
      </c>
      <c r="B341" s="1980" t="s">
        <v>3416</v>
      </c>
      <c r="C341" s="1980" t="s">
        <v>3671</v>
      </c>
      <c r="D341" s="1980" t="s">
        <v>3672</v>
      </c>
      <c r="E341" s="1980" t="s">
        <v>936</v>
      </c>
      <c r="F341" s="1962">
        <v>1663.64887</v>
      </c>
      <c r="G341" s="1962">
        <v>0</v>
      </c>
      <c r="H341" s="1962">
        <v>0</v>
      </c>
      <c r="I341" s="1962">
        <v>0</v>
      </c>
    </row>
    <row r="342" spans="1:9" hidden="1" outlineLevel="2" x14ac:dyDescent="0.2">
      <c r="A342" s="1980" t="s">
        <v>3415</v>
      </c>
      <c r="B342" s="1980" t="s">
        <v>3416</v>
      </c>
      <c r="C342" s="1980" t="s">
        <v>3673</v>
      </c>
      <c r="D342" s="1980" t="s">
        <v>3674</v>
      </c>
      <c r="E342" s="1980" t="s">
        <v>936</v>
      </c>
      <c r="F342" s="1962">
        <v>3790.9827599999999</v>
      </c>
      <c r="G342" s="1962">
        <v>0</v>
      </c>
      <c r="H342" s="1962">
        <v>0</v>
      </c>
      <c r="I342" s="1962">
        <v>0</v>
      </c>
    </row>
    <row r="343" spans="1:9" hidden="1" outlineLevel="2" x14ac:dyDescent="0.2">
      <c r="A343" s="1980" t="s">
        <v>3415</v>
      </c>
      <c r="B343" s="1980" t="s">
        <v>3416</v>
      </c>
      <c r="C343" s="1980" t="s">
        <v>3675</v>
      </c>
      <c r="D343" s="1980" t="s">
        <v>3676</v>
      </c>
      <c r="E343" s="1980" t="s">
        <v>936</v>
      </c>
      <c r="F343" s="1962">
        <v>1133.1433500000001</v>
      </c>
      <c r="G343" s="1962">
        <v>0</v>
      </c>
      <c r="H343" s="1962">
        <v>0</v>
      </c>
      <c r="I343" s="1962">
        <v>0</v>
      </c>
    </row>
    <row r="344" spans="1:9" hidden="1" outlineLevel="2" x14ac:dyDescent="0.2">
      <c r="A344" s="1980" t="s">
        <v>3415</v>
      </c>
      <c r="B344" s="1980" t="s">
        <v>3416</v>
      </c>
      <c r="C344" s="1980" t="s">
        <v>3677</v>
      </c>
      <c r="D344" s="1980" t="s">
        <v>3647</v>
      </c>
      <c r="E344" s="1980" t="s">
        <v>936</v>
      </c>
      <c r="F344" s="1962">
        <v>1053.38078</v>
      </c>
      <c r="G344" s="1962">
        <v>0</v>
      </c>
      <c r="H344" s="1962">
        <v>0</v>
      </c>
      <c r="I344" s="1962">
        <v>0</v>
      </c>
    </row>
    <row r="345" spans="1:9" hidden="1" outlineLevel="2" x14ac:dyDescent="0.2">
      <c r="A345" s="1980" t="s">
        <v>3415</v>
      </c>
      <c r="B345" s="1980" t="s">
        <v>3416</v>
      </c>
      <c r="C345" s="1980" t="s">
        <v>3678</v>
      </c>
      <c r="D345" s="1980" t="s">
        <v>3679</v>
      </c>
      <c r="E345" s="1980" t="s">
        <v>936</v>
      </c>
      <c r="F345" s="1962">
        <v>3.64</v>
      </c>
      <c r="G345" s="1962">
        <v>0</v>
      </c>
      <c r="H345" s="1962">
        <v>0</v>
      </c>
      <c r="I345" s="1962">
        <v>0</v>
      </c>
    </row>
    <row r="346" spans="1:9" hidden="1" outlineLevel="2" x14ac:dyDescent="0.2">
      <c r="A346" s="1980" t="s">
        <v>3415</v>
      </c>
      <c r="B346" s="1980" t="s">
        <v>3416</v>
      </c>
      <c r="C346" s="1980" t="s">
        <v>3680</v>
      </c>
      <c r="D346" s="1980" t="s">
        <v>3681</v>
      </c>
      <c r="E346" s="1980" t="s">
        <v>936</v>
      </c>
      <c r="F346" s="1962">
        <v>761.93082000000004</v>
      </c>
      <c r="G346" s="1962">
        <v>0</v>
      </c>
      <c r="H346" s="1962">
        <v>0</v>
      </c>
      <c r="I346" s="1962">
        <v>0</v>
      </c>
    </row>
    <row r="347" spans="1:9" hidden="1" outlineLevel="2" x14ac:dyDescent="0.2">
      <c r="A347" s="1980" t="s">
        <v>3415</v>
      </c>
      <c r="B347" s="1980" t="s">
        <v>3416</v>
      </c>
      <c r="C347" s="1980" t="s">
        <v>3682</v>
      </c>
      <c r="D347" s="1980" t="s">
        <v>3683</v>
      </c>
      <c r="E347" s="1980" t="s">
        <v>936</v>
      </c>
      <c r="F347" s="1962">
        <v>7816.55476</v>
      </c>
      <c r="G347" s="1962">
        <v>0</v>
      </c>
      <c r="H347" s="1962">
        <v>0</v>
      </c>
      <c r="I347" s="1962">
        <v>0</v>
      </c>
    </row>
    <row r="348" spans="1:9" hidden="1" outlineLevel="2" x14ac:dyDescent="0.2">
      <c r="A348" s="1980" t="s">
        <v>3415</v>
      </c>
      <c r="B348" s="1980" t="s">
        <v>3416</v>
      </c>
      <c r="C348" s="1980" t="s">
        <v>3684</v>
      </c>
      <c r="D348" s="1980" t="s">
        <v>3685</v>
      </c>
      <c r="E348" s="1980" t="s">
        <v>936</v>
      </c>
      <c r="F348" s="1962">
        <v>1.0000000000000001E-5</v>
      </c>
      <c r="G348" s="1962">
        <v>0</v>
      </c>
      <c r="H348" s="1962">
        <v>0</v>
      </c>
      <c r="I348" s="1962">
        <v>0</v>
      </c>
    </row>
    <row r="349" spans="1:9" hidden="1" outlineLevel="2" x14ac:dyDescent="0.2">
      <c r="A349" s="1980" t="s">
        <v>3415</v>
      </c>
      <c r="B349" s="1980" t="s">
        <v>3416</v>
      </c>
      <c r="C349" s="1980" t="s">
        <v>3686</v>
      </c>
      <c r="D349" s="1980" t="s">
        <v>3559</v>
      </c>
      <c r="E349" s="1980" t="s">
        <v>936</v>
      </c>
      <c r="F349" s="1962">
        <v>9816.5333300000002</v>
      </c>
      <c r="G349" s="1962">
        <v>0</v>
      </c>
      <c r="H349" s="1962">
        <v>0</v>
      </c>
      <c r="I349" s="1962">
        <v>0</v>
      </c>
    </row>
    <row r="350" spans="1:9" hidden="1" outlineLevel="2" x14ac:dyDescent="0.2">
      <c r="A350" s="1980" t="s">
        <v>3415</v>
      </c>
      <c r="B350" s="1980" t="s">
        <v>3416</v>
      </c>
      <c r="C350" s="1980" t="s">
        <v>3687</v>
      </c>
      <c r="D350" s="1980" t="s">
        <v>3688</v>
      </c>
      <c r="E350" s="1980" t="s">
        <v>936</v>
      </c>
      <c r="F350" s="1962">
        <v>499.54298</v>
      </c>
      <c r="G350" s="1962">
        <v>0</v>
      </c>
      <c r="H350" s="1962">
        <v>0</v>
      </c>
      <c r="I350" s="1962">
        <v>0</v>
      </c>
    </row>
    <row r="351" spans="1:9" hidden="1" outlineLevel="2" x14ac:dyDescent="0.2">
      <c r="A351" s="1980" t="s">
        <v>3415</v>
      </c>
      <c r="B351" s="1980" t="s">
        <v>3416</v>
      </c>
      <c r="C351" s="1980" t="s">
        <v>3689</v>
      </c>
      <c r="D351" s="1980" t="s">
        <v>3690</v>
      </c>
      <c r="E351" s="1980" t="s">
        <v>936</v>
      </c>
      <c r="F351" s="1962">
        <v>2531.72993</v>
      </c>
      <c r="G351" s="1962">
        <v>0</v>
      </c>
      <c r="H351" s="1962">
        <v>0</v>
      </c>
      <c r="I351" s="1962">
        <v>0</v>
      </c>
    </row>
    <row r="352" spans="1:9" hidden="1" outlineLevel="2" x14ac:dyDescent="0.2">
      <c r="A352" s="1980" t="s">
        <v>3415</v>
      </c>
      <c r="B352" s="1980" t="s">
        <v>3416</v>
      </c>
      <c r="C352" s="1980" t="s">
        <v>3691</v>
      </c>
      <c r="D352" s="1980" t="s">
        <v>3692</v>
      </c>
      <c r="E352" s="1980" t="s">
        <v>936</v>
      </c>
      <c r="F352" s="1962">
        <v>5215.3013000000001</v>
      </c>
      <c r="G352" s="1962">
        <v>0</v>
      </c>
      <c r="H352" s="1962">
        <v>0</v>
      </c>
      <c r="I352" s="1962">
        <v>0</v>
      </c>
    </row>
    <row r="353" spans="1:9" hidden="1" outlineLevel="2" x14ac:dyDescent="0.2">
      <c r="A353" s="1980" t="s">
        <v>3415</v>
      </c>
      <c r="B353" s="1980" t="s">
        <v>3416</v>
      </c>
      <c r="C353" s="1980" t="s">
        <v>3693</v>
      </c>
      <c r="D353" s="1980" t="s">
        <v>3694</v>
      </c>
      <c r="E353" s="1980" t="s">
        <v>936</v>
      </c>
      <c r="F353" s="1962">
        <v>162.35163</v>
      </c>
      <c r="G353" s="1962">
        <v>0</v>
      </c>
      <c r="H353" s="1962">
        <v>0</v>
      </c>
      <c r="I353" s="1962">
        <v>0</v>
      </c>
    </row>
    <row r="354" spans="1:9" hidden="1" outlineLevel="2" x14ac:dyDescent="0.2">
      <c r="A354" s="1980" t="s">
        <v>3415</v>
      </c>
      <c r="B354" s="1980" t="s">
        <v>3416</v>
      </c>
      <c r="C354" s="1980" t="s">
        <v>3695</v>
      </c>
      <c r="D354" s="1980" t="s">
        <v>3696</v>
      </c>
      <c r="E354" s="1980" t="s">
        <v>936</v>
      </c>
      <c r="F354" s="1962">
        <v>50.171720000000001</v>
      </c>
      <c r="G354" s="1962">
        <v>0</v>
      </c>
      <c r="H354" s="1962">
        <v>0</v>
      </c>
      <c r="I354" s="1962">
        <v>0</v>
      </c>
    </row>
    <row r="355" spans="1:9" hidden="1" outlineLevel="2" x14ac:dyDescent="0.2">
      <c r="A355" s="1980" t="s">
        <v>3415</v>
      </c>
      <c r="B355" s="1980" t="s">
        <v>3416</v>
      </c>
      <c r="C355" s="1980" t="s">
        <v>3697</v>
      </c>
      <c r="D355" s="1980" t="s">
        <v>3698</v>
      </c>
      <c r="E355" s="1980" t="s">
        <v>936</v>
      </c>
      <c r="F355" s="1962">
        <v>2339.0797200000002</v>
      </c>
      <c r="G355" s="1962">
        <v>0</v>
      </c>
      <c r="H355" s="1962">
        <v>0</v>
      </c>
      <c r="I355" s="1962">
        <v>0</v>
      </c>
    </row>
    <row r="356" spans="1:9" hidden="1" outlineLevel="2" x14ac:dyDescent="0.2">
      <c r="A356" s="1980" t="s">
        <v>3415</v>
      </c>
      <c r="B356" s="1980" t="s">
        <v>3416</v>
      </c>
      <c r="C356" s="1980" t="s">
        <v>3699</v>
      </c>
      <c r="D356" s="1980" t="s">
        <v>3700</v>
      </c>
      <c r="E356" s="1980" t="s">
        <v>936</v>
      </c>
      <c r="F356" s="1962">
        <v>52.810299999999998</v>
      </c>
      <c r="G356" s="1962">
        <v>0</v>
      </c>
      <c r="H356" s="1962">
        <v>0</v>
      </c>
      <c r="I356" s="1962">
        <v>0</v>
      </c>
    </row>
    <row r="357" spans="1:9" hidden="1" outlineLevel="2" x14ac:dyDescent="0.2">
      <c r="A357" s="1980" t="s">
        <v>3415</v>
      </c>
      <c r="B357" s="1980" t="s">
        <v>3416</v>
      </c>
      <c r="C357" s="1980" t="s">
        <v>3701</v>
      </c>
      <c r="D357" s="1980" t="s">
        <v>3702</v>
      </c>
      <c r="E357" s="1980" t="s">
        <v>936</v>
      </c>
      <c r="F357" s="1962">
        <v>71.720429999999993</v>
      </c>
      <c r="G357" s="1962">
        <v>0</v>
      </c>
      <c r="H357" s="1962">
        <v>0</v>
      </c>
      <c r="I357" s="1962">
        <v>0</v>
      </c>
    </row>
    <row r="358" spans="1:9" hidden="1" outlineLevel="2" x14ac:dyDescent="0.2">
      <c r="A358" s="1980" t="s">
        <v>3415</v>
      </c>
      <c r="B358" s="1980" t="s">
        <v>3416</v>
      </c>
      <c r="C358" s="1980" t="s">
        <v>3703</v>
      </c>
      <c r="D358" s="1980" t="s">
        <v>3539</v>
      </c>
      <c r="E358" s="1980" t="s">
        <v>936</v>
      </c>
      <c r="F358" s="1962">
        <v>1446.3907099999999</v>
      </c>
      <c r="G358" s="1962">
        <v>0</v>
      </c>
      <c r="H358" s="1962">
        <v>0</v>
      </c>
      <c r="I358" s="1962">
        <v>0</v>
      </c>
    </row>
    <row r="359" spans="1:9" hidden="1" outlineLevel="2" x14ac:dyDescent="0.2">
      <c r="A359" s="1980" t="s">
        <v>3415</v>
      </c>
      <c r="B359" s="1980" t="s">
        <v>3416</v>
      </c>
      <c r="C359" s="1980" t="s">
        <v>3704</v>
      </c>
      <c r="D359" s="1980" t="s">
        <v>3545</v>
      </c>
      <c r="E359" s="1980" t="s">
        <v>936</v>
      </c>
      <c r="F359" s="1962">
        <v>3258.2743999999998</v>
      </c>
      <c r="G359" s="1962">
        <v>0</v>
      </c>
      <c r="H359" s="1962">
        <v>0</v>
      </c>
      <c r="I359" s="1962">
        <v>0</v>
      </c>
    </row>
    <row r="360" spans="1:9" hidden="1" outlineLevel="2" x14ac:dyDescent="0.2">
      <c r="A360" s="1980" t="s">
        <v>3415</v>
      </c>
      <c r="B360" s="1980" t="s">
        <v>3416</v>
      </c>
      <c r="C360" s="1980" t="s">
        <v>3705</v>
      </c>
      <c r="D360" s="1980" t="s">
        <v>3547</v>
      </c>
      <c r="E360" s="1980" t="s">
        <v>936</v>
      </c>
      <c r="F360" s="1962">
        <v>775.53372000000002</v>
      </c>
      <c r="G360" s="1962">
        <v>0</v>
      </c>
      <c r="H360" s="1962">
        <v>0</v>
      </c>
      <c r="I360" s="1962">
        <v>0</v>
      </c>
    </row>
    <row r="361" spans="1:9" hidden="1" outlineLevel="2" x14ac:dyDescent="0.2">
      <c r="A361" s="1980" t="s">
        <v>3415</v>
      </c>
      <c r="B361" s="1980" t="s">
        <v>3416</v>
      </c>
      <c r="C361" s="1980" t="s">
        <v>3706</v>
      </c>
      <c r="D361" s="1980" t="s">
        <v>3582</v>
      </c>
      <c r="E361" s="1980" t="s">
        <v>936</v>
      </c>
      <c r="F361" s="1962">
        <v>947.45029999999997</v>
      </c>
      <c r="G361" s="1962">
        <v>0</v>
      </c>
      <c r="H361" s="1962">
        <v>0</v>
      </c>
      <c r="I361" s="1962">
        <v>0</v>
      </c>
    </row>
    <row r="362" spans="1:9" hidden="1" outlineLevel="2" x14ac:dyDescent="0.2">
      <c r="A362" s="1980" t="s">
        <v>3415</v>
      </c>
      <c r="B362" s="1980" t="s">
        <v>3416</v>
      </c>
      <c r="C362" s="1980" t="s">
        <v>3707</v>
      </c>
      <c r="D362" s="1980" t="s">
        <v>3708</v>
      </c>
      <c r="E362" s="1980" t="s">
        <v>936</v>
      </c>
      <c r="F362" s="1962">
        <v>2731.80899</v>
      </c>
      <c r="G362" s="1962">
        <v>0</v>
      </c>
      <c r="H362" s="1962">
        <v>0</v>
      </c>
      <c r="I362" s="1962">
        <v>0</v>
      </c>
    </row>
    <row r="363" spans="1:9" hidden="1" outlineLevel="2" x14ac:dyDescent="0.2">
      <c r="A363" s="1980" t="s">
        <v>3415</v>
      </c>
      <c r="B363" s="1980" t="s">
        <v>3416</v>
      </c>
      <c r="C363" s="1980" t="s">
        <v>3709</v>
      </c>
      <c r="D363" s="1980" t="s">
        <v>3710</v>
      </c>
      <c r="E363" s="1980" t="s">
        <v>936</v>
      </c>
      <c r="F363" s="1962">
        <v>25439.422709999999</v>
      </c>
      <c r="G363" s="1962">
        <v>0</v>
      </c>
      <c r="H363" s="1962">
        <v>0</v>
      </c>
      <c r="I363" s="1962">
        <v>0</v>
      </c>
    </row>
    <row r="364" spans="1:9" hidden="1" outlineLevel="2" x14ac:dyDescent="0.2">
      <c r="A364" s="1980" t="s">
        <v>3415</v>
      </c>
      <c r="B364" s="1980" t="s">
        <v>3416</v>
      </c>
      <c r="C364" s="1980" t="s">
        <v>3711</v>
      </c>
      <c r="D364" s="1980" t="s">
        <v>3712</v>
      </c>
      <c r="E364" s="1980" t="s">
        <v>936</v>
      </c>
      <c r="F364" s="1962">
        <v>21.01595</v>
      </c>
      <c r="G364" s="1962">
        <v>0</v>
      </c>
      <c r="H364" s="1962">
        <v>0</v>
      </c>
      <c r="I364" s="1962">
        <v>0</v>
      </c>
    </row>
    <row r="365" spans="1:9" hidden="1" outlineLevel="2" x14ac:dyDescent="0.2">
      <c r="A365" s="1980" t="s">
        <v>3415</v>
      </c>
      <c r="B365" s="1980" t="s">
        <v>3416</v>
      </c>
      <c r="C365" s="1980" t="s">
        <v>3713</v>
      </c>
      <c r="D365" s="1980" t="s">
        <v>3714</v>
      </c>
      <c r="E365" s="1980" t="s">
        <v>936</v>
      </c>
      <c r="F365" s="1962">
        <v>95.673599999999993</v>
      </c>
      <c r="G365" s="1962">
        <v>0</v>
      </c>
      <c r="H365" s="1962">
        <v>0</v>
      </c>
      <c r="I365" s="1962">
        <v>0</v>
      </c>
    </row>
    <row r="366" spans="1:9" hidden="1" outlineLevel="2" x14ac:dyDescent="0.2">
      <c r="A366" s="1980" t="s">
        <v>3415</v>
      </c>
      <c r="B366" s="1980" t="s">
        <v>3416</v>
      </c>
      <c r="C366" s="1980" t="s">
        <v>3715</v>
      </c>
      <c r="D366" s="1980" t="s">
        <v>3716</v>
      </c>
      <c r="E366" s="1980" t="s">
        <v>936</v>
      </c>
      <c r="F366" s="1962">
        <v>140.11482000000001</v>
      </c>
      <c r="G366" s="1962">
        <v>0</v>
      </c>
      <c r="H366" s="1962">
        <v>0</v>
      </c>
      <c r="I366" s="1962">
        <v>0</v>
      </c>
    </row>
    <row r="367" spans="1:9" hidden="1" outlineLevel="2" x14ac:dyDescent="0.2">
      <c r="A367" s="1980" t="s">
        <v>3415</v>
      </c>
      <c r="B367" s="1980" t="s">
        <v>3416</v>
      </c>
      <c r="C367" s="1980" t="s">
        <v>3717</v>
      </c>
      <c r="D367" s="1980" t="s">
        <v>3718</v>
      </c>
      <c r="E367" s="1980" t="s">
        <v>936</v>
      </c>
      <c r="F367" s="1962">
        <v>439.24164000000002</v>
      </c>
      <c r="G367" s="1962">
        <v>0</v>
      </c>
      <c r="H367" s="1962">
        <v>0</v>
      </c>
      <c r="I367" s="1962">
        <v>0</v>
      </c>
    </row>
    <row r="368" spans="1:9" hidden="1" outlineLevel="2" x14ac:dyDescent="0.2">
      <c r="A368" s="1980" t="s">
        <v>3415</v>
      </c>
      <c r="B368" s="1980" t="s">
        <v>3416</v>
      </c>
      <c r="C368" s="1980" t="s">
        <v>3719</v>
      </c>
      <c r="D368" s="1980" t="s">
        <v>3720</v>
      </c>
      <c r="E368" s="1980" t="s">
        <v>936</v>
      </c>
      <c r="F368" s="1962">
        <v>85.836780000000005</v>
      </c>
      <c r="G368" s="1962">
        <v>0</v>
      </c>
      <c r="H368" s="1962">
        <v>0</v>
      </c>
      <c r="I368" s="1962">
        <v>0</v>
      </c>
    </row>
    <row r="369" spans="1:9" hidden="1" outlineLevel="2" x14ac:dyDescent="0.2">
      <c r="A369" s="1980" t="s">
        <v>3415</v>
      </c>
      <c r="B369" s="1980" t="s">
        <v>3416</v>
      </c>
      <c r="C369" s="1980" t="s">
        <v>3721</v>
      </c>
      <c r="D369" s="1980" t="s">
        <v>3722</v>
      </c>
      <c r="E369" s="1980" t="s">
        <v>936</v>
      </c>
      <c r="F369" s="1962">
        <v>139.49113</v>
      </c>
      <c r="G369" s="1962">
        <v>0</v>
      </c>
      <c r="H369" s="1962">
        <v>0</v>
      </c>
      <c r="I369" s="1962">
        <v>0</v>
      </c>
    </row>
    <row r="370" spans="1:9" hidden="1" outlineLevel="2" x14ac:dyDescent="0.2">
      <c r="A370" s="1980" t="s">
        <v>3415</v>
      </c>
      <c r="B370" s="1980" t="s">
        <v>3416</v>
      </c>
      <c r="C370" s="1980" t="s">
        <v>3723</v>
      </c>
      <c r="D370" s="1980" t="s">
        <v>3724</v>
      </c>
      <c r="E370" s="1980" t="s">
        <v>936</v>
      </c>
      <c r="F370" s="1962">
        <v>58.969430000000003</v>
      </c>
      <c r="G370" s="1962">
        <v>0</v>
      </c>
      <c r="H370" s="1962">
        <v>0</v>
      </c>
      <c r="I370" s="1962">
        <v>0</v>
      </c>
    </row>
    <row r="371" spans="1:9" hidden="1" outlineLevel="2" x14ac:dyDescent="0.2">
      <c r="A371" s="1980" t="s">
        <v>3415</v>
      </c>
      <c r="B371" s="1980" t="s">
        <v>3416</v>
      </c>
      <c r="C371" s="1980" t="s">
        <v>3725</v>
      </c>
      <c r="D371" s="1980" t="s">
        <v>3726</v>
      </c>
      <c r="E371" s="1980" t="s">
        <v>936</v>
      </c>
      <c r="F371" s="1962">
        <v>4.7113899999999997</v>
      </c>
      <c r="G371" s="1962">
        <v>0</v>
      </c>
      <c r="H371" s="1962">
        <v>0</v>
      </c>
      <c r="I371" s="1962">
        <v>0</v>
      </c>
    </row>
    <row r="372" spans="1:9" hidden="1" outlineLevel="2" x14ac:dyDescent="0.2">
      <c r="A372" s="1980" t="s">
        <v>3415</v>
      </c>
      <c r="B372" s="1980" t="s">
        <v>3416</v>
      </c>
      <c r="C372" s="1980" t="s">
        <v>3727</v>
      </c>
      <c r="D372" s="1980" t="s">
        <v>3728</v>
      </c>
      <c r="E372" s="1980" t="s">
        <v>936</v>
      </c>
      <c r="F372" s="1962">
        <v>11.546659999999999</v>
      </c>
      <c r="G372" s="1962">
        <v>0</v>
      </c>
      <c r="H372" s="1962">
        <v>0</v>
      </c>
      <c r="I372" s="1962">
        <v>0</v>
      </c>
    </row>
    <row r="373" spans="1:9" hidden="1" outlineLevel="2" x14ac:dyDescent="0.2">
      <c r="A373" s="1980" t="s">
        <v>3415</v>
      </c>
      <c r="B373" s="1980" t="s">
        <v>3416</v>
      </c>
      <c r="C373" s="1980" t="s">
        <v>3729</v>
      </c>
      <c r="D373" s="1980" t="s">
        <v>3730</v>
      </c>
      <c r="E373" s="1980" t="s">
        <v>936</v>
      </c>
      <c r="F373" s="1962">
        <v>1.79514</v>
      </c>
      <c r="G373" s="1962">
        <v>0</v>
      </c>
      <c r="H373" s="1962">
        <v>0</v>
      </c>
      <c r="I373" s="1962">
        <v>0</v>
      </c>
    </row>
    <row r="374" spans="1:9" hidden="1" outlineLevel="2" x14ac:dyDescent="0.2">
      <c r="A374" s="1980" t="s">
        <v>3415</v>
      </c>
      <c r="B374" s="1980" t="s">
        <v>3416</v>
      </c>
      <c r="C374" s="1980" t="s">
        <v>3731</v>
      </c>
      <c r="D374" s="1980" t="s">
        <v>3732</v>
      </c>
      <c r="E374" s="1980" t="s">
        <v>936</v>
      </c>
      <c r="F374" s="1962">
        <v>1.7908200000000001</v>
      </c>
      <c r="G374" s="1962">
        <v>0</v>
      </c>
      <c r="H374" s="1962">
        <v>0</v>
      </c>
      <c r="I374" s="1962">
        <v>0</v>
      </c>
    </row>
    <row r="375" spans="1:9" hidden="1" outlineLevel="2" x14ac:dyDescent="0.2">
      <c r="A375" s="1980" t="s">
        <v>3415</v>
      </c>
      <c r="B375" s="1980" t="s">
        <v>3416</v>
      </c>
      <c r="C375" s="1980" t="s">
        <v>3733</v>
      </c>
      <c r="D375" s="1980" t="s">
        <v>3734</v>
      </c>
      <c r="E375" s="1980" t="s">
        <v>936</v>
      </c>
      <c r="F375" s="1962">
        <v>236.04952</v>
      </c>
      <c r="G375" s="1962">
        <v>0</v>
      </c>
      <c r="H375" s="1962">
        <v>0</v>
      </c>
      <c r="I375" s="1962">
        <v>0</v>
      </c>
    </row>
    <row r="376" spans="1:9" hidden="1" outlineLevel="2" x14ac:dyDescent="0.2">
      <c r="A376" s="1980" t="s">
        <v>3415</v>
      </c>
      <c r="B376" s="1980" t="s">
        <v>3416</v>
      </c>
      <c r="C376" s="1980" t="s">
        <v>3735</v>
      </c>
      <c r="D376" s="1980" t="s">
        <v>3736</v>
      </c>
      <c r="E376" s="1980" t="s">
        <v>936</v>
      </c>
      <c r="F376" s="1962">
        <v>33.684919999999998</v>
      </c>
      <c r="G376" s="1962">
        <v>0</v>
      </c>
      <c r="H376" s="1962">
        <v>0</v>
      </c>
      <c r="I376" s="1962">
        <v>0</v>
      </c>
    </row>
    <row r="377" spans="1:9" hidden="1" outlineLevel="2" x14ac:dyDescent="0.2">
      <c r="A377" s="1980" t="s">
        <v>3415</v>
      </c>
      <c r="B377" s="1980" t="s">
        <v>3416</v>
      </c>
      <c r="C377" s="1980" t="s">
        <v>3737</v>
      </c>
      <c r="D377" s="1980" t="s">
        <v>3738</v>
      </c>
      <c r="E377" s="1980" t="s">
        <v>936</v>
      </c>
      <c r="F377" s="1962">
        <v>39.66245</v>
      </c>
      <c r="G377" s="1962">
        <v>0</v>
      </c>
      <c r="H377" s="1962">
        <v>0</v>
      </c>
      <c r="I377" s="1962">
        <v>0</v>
      </c>
    </row>
    <row r="378" spans="1:9" hidden="1" outlineLevel="2" x14ac:dyDescent="0.2">
      <c r="A378" s="1980" t="s">
        <v>3415</v>
      </c>
      <c r="B378" s="1980" t="s">
        <v>3416</v>
      </c>
      <c r="C378" s="1980" t="s">
        <v>3739</v>
      </c>
      <c r="D378" s="1980" t="s">
        <v>3740</v>
      </c>
      <c r="E378" s="1980" t="s">
        <v>936</v>
      </c>
      <c r="F378" s="1962">
        <v>34.008110000000002</v>
      </c>
      <c r="G378" s="1962">
        <v>0</v>
      </c>
      <c r="H378" s="1962">
        <v>0</v>
      </c>
      <c r="I378" s="1962">
        <v>0</v>
      </c>
    </row>
    <row r="379" spans="1:9" hidden="1" outlineLevel="2" x14ac:dyDescent="0.2">
      <c r="A379" s="1980" t="s">
        <v>3415</v>
      </c>
      <c r="B379" s="1980" t="s">
        <v>3416</v>
      </c>
      <c r="C379" s="1980" t="s">
        <v>3741</v>
      </c>
      <c r="D379" s="1980" t="s">
        <v>3742</v>
      </c>
      <c r="E379" s="1980" t="s">
        <v>936</v>
      </c>
      <c r="F379" s="1962">
        <v>-10759.266820000001</v>
      </c>
      <c r="G379" s="1962">
        <v>0</v>
      </c>
      <c r="H379" s="1962">
        <v>0</v>
      </c>
      <c r="I379" s="1962">
        <v>0</v>
      </c>
    </row>
    <row r="380" spans="1:9" hidden="1" outlineLevel="2" x14ac:dyDescent="0.2">
      <c r="A380" s="1980" t="s">
        <v>3415</v>
      </c>
      <c r="B380" s="1980" t="s">
        <v>3416</v>
      </c>
      <c r="C380" s="1980" t="s">
        <v>3743</v>
      </c>
      <c r="D380" s="1980" t="s">
        <v>3744</v>
      </c>
      <c r="E380" s="1980" t="s">
        <v>936</v>
      </c>
      <c r="F380" s="1962">
        <v>-10608.9004</v>
      </c>
      <c r="G380" s="1962">
        <v>0</v>
      </c>
      <c r="H380" s="1962">
        <v>0</v>
      </c>
      <c r="I380" s="1962">
        <v>0</v>
      </c>
    </row>
    <row r="381" spans="1:9" hidden="1" outlineLevel="2" x14ac:dyDescent="0.2">
      <c r="A381" s="1980" t="s">
        <v>3415</v>
      </c>
      <c r="B381" s="1980" t="s">
        <v>3416</v>
      </c>
      <c r="C381" s="1980" t="s">
        <v>3745</v>
      </c>
      <c r="D381" s="1980" t="s">
        <v>3746</v>
      </c>
      <c r="E381" s="1980" t="s">
        <v>936</v>
      </c>
      <c r="F381" s="1962">
        <v>-10191.93166</v>
      </c>
      <c r="G381" s="1962">
        <v>0</v>
      </c>
      <c r="H381" s="1962">
        <v>0</v>
      </c>
      <c r="I381" s="1962">
        <v>0</v>
      </c>
    </row>
    <row r="382" spans="1:9" hidden="1" outlineLevel="2" x14ac:dyDescent="0.2">
      <c r="A382" s="1980" t="s">
        <v>3415</v>
      </c>
      <c r="B382" s="1980" t="s">
        <v>3416</v>
      </c>
      <c r="C382" s="1980" t="s">
        <v>3747</v>
      </c>
      <c r="D382" s="1980" t="s">
        <v>3748</v>
      </c>
      <c r="E382" s="1980" t="s">
        <v>936</v>
      </c>
      <c r="F382" s="1962">
        <v>571.49248</v>
      </c>
      <c r="G382" s="1962">
        <v>0</v>
      </c>
      <c r="H382" s="1962">
        <v>0</v>
      </c>
      <c r="I382" s="1962">
        <v>0</v>
      </c>
    </row>
    <row r="383" spans="1:9" hidden="1" outlineLevel="2" x14ac:dyDescent="0.2">
      <c r="A383" s="1980" t="s">
        <v>3415</v>
      </c>
      <c r="B383" s="1980" t="s">
        <v>3416</v>
      </c>
      <c r="C383" s="1980" t="s">
        <v>3749</v>
      </c>
      <c r="D383" s="1980" t="s">
        <v>3750</v>
      </c>
      <c r="E383" s="1980" t="s">
        <v>936</v>
      </c>
      <c r="F383" s="1962">
        <v>1.0000000000000001E-5</v>
      </c>
      <c r="G383" s="1962">
        <v>0</v>
      </c>
      <c r="H383" s="1962">
        <v>0</v>
      </c>
      <c r="I383" s="1962">
        <v>0</v>
      </c>
    </row>
    <row r="384" spans="1:9" hidden="1" outlineLevel="2" x14ac:dyDescent="0.2">
      <c r="A384" s="1980" t="s">
        <v>3415</v>
      </c>
      <c r="B384" s="1980" t="s">
        <v>3416</v>
      </c>
      <c r="C384" s="1980" t="s">
        <v>3751</v>
      </c>
      <c r="D384" s="1980" t="s">
        <v>3559</v>
      </c>
      <c r="E384" s="1980" t="s">
        <v>936</v>
      </c>
      <c r="F384" s="1962">
        <v>4836.2692500000003</v>
      </c>
      <c r="G384" s="1962">
        <v>0</v>
      </c>
      <c r="H384" s="1962">
        <v>0</v>
      </c>
      <c r="I384" s="1962">
        <v>0</v>
      </c>
    </row>
    <row r="385" spans="1:9" hidden="1" outlineLevel="2" x14ac:dyDescent="0.2">
      <c r="A385" s="1980" t="s">
        <v>3415</v>
      </c>
      <c r="B385" s="1980" t="s">
        <v>3416</v>
      </c>
      <c r="C385" s="1980" t="s">
        <v>3752</v>
      </c>
      <c r="D385" s="1980" t="s">
        <v>3753</v>
      </c>
      <c r="E385" s="1980" t="s">
        <v>936</v>
      </c>
      <c r="F385" s="1962">
        <v>1490.28963</v>
      </c>
      <c r="G385" s="1962">
        <v>0</v>
      </c>
      <c r="H385" s="1962">
        <v>0</v>
      </c>
      <c r="I385" s="1962">
        <v>0</v>
      </c>
    </row>
    <row r="386" spans="1:9" hidden="1" outlineLevel="2" x14ac:dyDescent="0.2">
      <c r="A386" s="1980" t="s">
        <v>3415</v>
      </c>
      <c r="B386" s="1980" t="s">
        <v>3416</v>
      </c>
      <c r="C386" s="1980" t="s">
        <v>3754</v>
      </c>
      <c r="D386" s="1980" t="s">
        <v>3755</v>
      </c>
      <c r="E386" s="1980" t="s">
        <v>936</v>
      </c>
      <c r="F386" s="1962">
        <v>3246.0749799999999</v>
      </c>
      <c r="G386" s="1962">
        <v>0</v>
      </c>
      <c r="H386" s="1962">
        <v>0</v>
      </c>
      <c r="I386" s="1962">
        <v>0</v>
      </c>
    </row>
    <row r="387" spans="1:9" hidden="1" outlineLevel="2" x14ac:dyDescent="0.2">
      <c r="A387" s="1980" t="s">
        <v>3415</v>
      </c>
      <c r="B387" s="1980" t="s">
        <v>3416</v>
      </c>
      <c r="C387" s="1980" t="s">
        <v>3756</v>
      </c>
      <c r="D387" s="1980" t="s">
        <v>3757</v>
      </c>
      <c r="E387" s="1980" t="s">
        <v>936</v>
      </c>
      <c r="F387" s="1962">
        <v>4523.5925900000002</v>
      </c>
      <c r="G387" s="1962">
        <v>0</v>
      </c>
      <c r="H387" s="1962">
        <v>0</v>
      </c>
      <c r="I387" s="1962">
        <v>0</v>
      </c>
    </row>
    <row r="388" spans="1:9" hidden="1" outlineLevel="2" x14ac:dyDescent="0.2">
      <c r="A388" s="1980" t="s">
        <v>3415</v>
      </c>
      <c r="B388" s="1980" t="s">
        <v>3416</v>
      </c>
      <c r="C388" s="1980" t="s">
        <v>3758</v>
      </c>
      <c r="D388" s="1980" t="s">
        <v>3759</v>
      </c>
      <c r="E388" s="1980" t="s">
        <v>936</v>
      </c>
      <c r="F388" s="1962">
        <v>258.42205999999999</v>
      </c>
      <c r="G388" s="1962">
        <v>0</v>
      </c>
      <c r="H388" s="1962">
        <v>0</v>
      </c>
      <c r="I388" s="1962">
        <v>0</v>
      </c>
    </row>
    <row r="389" spans="1:9" hidden="1" outlineLevel="2" x14ac:dyDescent="0.2">
      <c r="A389" s="1980" t="s">
        <v>3415</v>
      </c>
      <c r="B389" s="1980" t="s">
        <v>3416</v>
      </c>
      <c r="C389" s="1980" t="s">
        <v>3760</v>
      </c>
      <c r="D389" s="1980" t="s">
        <v>3761</v>
      </c>
      <c r="E389" s="1980" t="s">
        <v>936</v>
      </c>
      <c r="F389" s="1962">
        <v>50.091999999999999</v>
      </c>
      <c r="G389" s="1962">
        <v>0</v>
      </c>
      <c r="H389" s="1962">
        <v>0</v>
      </c>
      <c r="I389" s="1962">
        <v>0</v>
      </c>
    </row>
    <row r="390" spans="1:9" hidden="1" outlineLevel="2" x14ac:dyDescent="0.2">
      <c r="A390" s="1980" t="s">
        <v>3415</v>
      </c>
      <c r="B390" s="1980" t="s">
        <v>3416</v>
      </c>
      <c r="C390" s="1980" t="s">
        <v>3762</v>
      </c>
      <c r="D390" s="1980" t="s">
        <v>3763</v>
      </c>
      <c r="E390" s="1980" t="s">
        <v>936</v>
      </c>
      <c r="F390" s="1962">
        <v>2369.8033500000001</v>
      </c>
      <c r="G390" s="1962">
        <v>0</v>
      </c>
      <c r="H390" s="1962">
        <v>0</v>
      </c>
      <c r="I390" s="1962">
        <v>0</v>
      </c>
    </row>
    <row r="391" spans="1:9" hidden="1" outlineLevel="2" x14ac:dyDescent="0.2">
      <c r="A391" s="1980" t="s">
        <v>3415</v>
      </c>
      <c r="B391" s="1980" t="s">
        <v>3416</v>
      </c>
      <c r="C391" s="1980" t="s">
        <v>3764</v>
      </c>
      <c r="D391" s="1980" t="s">
        <v>3765</v>
      </c>
      <c r="E391" s="1980" t="s">
        <v>936</v>
      </c>
      <c r="F391" s="1962">
        <v>186.83529999999999</v>
      </c>
      <c r="G391" s="1962">
        <v>0</v>
      </c>
      <c r="H391" s="1962">
        <v>0</v>
      </c>
      <c r="I391" s="1962">
        <v>0</v>
      </c>
    </row>
    <row r="392" spans="1:9" hidden="1" outlineLevel="2" x14ac:dyDescent="0.2">
      <c r="A392" s="1980" t="s">
        <v>3415</v>
      </c>
      <c r="B392" s="1980" t="s">
        <v>3416</v>
      </c>
      <c r="C392" s="1980" t="s">
        <v>3766</v>
      </c>
      <c r="D392" s="1980" t="s">
        <v>3767</v>
      </c>
      <c r="E392" s="1980" t="s">
        <v>936</v>
      </c>
      <c r="F392" s="1962">
        <v>330.07195000000002</v>
      </c>
      <c r="G392" s="1962">
        <v>0</v>
      </c>
      <c r="H392" s="1962">
        <v>0</v>
      </c>
      <c r="I392" s="1962">
        <v>0</v>
      </c>
    </row>
    <row r="393" spans="1:9" hidden="1" outlineLevel="2" x14ac:dyDescent="0.2">
      <c r="A393" s="1980" t="s">
        <v>3415</v>
      </c>
      <c r="B393" s="1980" t="s">
        <v>3416</v>
      </c>
      <c r="C393" s="1980" t="s">
        <v>3768</v>
      </c>
      <c r="D393" s="1980" t="s">
        <v>3539</v>
      </c>
      <c r="E393" s="1980" t="s">
        <v>936</v>
      </c>
      <c r="F393" s="1962">
        <v>2604.5521699999999</v>
      </c>
      <c r="G393" s="1962">
        <v>0</v>
      </c>
      <c r="H393" s="1962">
        <v>0</v>
      </c>
      <c r="I393" s="1962">
        <v>0</v>
      </c>
    </row>
    <row r="394" spans="1:9" hidden="1" outlineLevel="2" x14ac:dyDescent="0.2">
      <c r="A394" s="1980" t="s">
        <v>3415</v>
      </c>
      <c r="B394" s="1980" t="s">
        <v>3416</v>
      </c>
      <c r="C394" s="1980" t="s">
        <v>3769</v>
      </c>
      <c r="D394" s="1980" t="s">
        <v>3545</v>
      </c>
      <c r="E394" s="1980" t="s">
        <v>936</v>
      </c>
      <c r="F394" s="1962">
        <v>4107.1484</v>
      </c>
      <c r="G394" s="1962">
        <v>0</v>
      </c>
      <c r="H394" s="1962">
        <v>0</v>
      </c>
      <c r="I394" s="1962">
        <v>0</v>
      </c>
    </row>
    <row r="395" spans="1:9" hidden="1" outlineLevel="2" x14ac:dyDescent="0.2">
      <c r="A395" s="1980" t="s">
        <v>3415</v>
      </c>
      <c r="B395" s="1980" t="s">
        <v>3416</v>
      </c>
      <c r="C395" s="1980" t="s">
        <v>3770</v>
      </c>
      <c r="D395" s="1980" t="s">
        <v>3547</v>
      </c>
      <c r="E395" s="1980" t="s">
        <v>936</v>
      </c>
      <c r="F395" s="1962">
        <v>1019.0800400000001</v>
      </c>
      <c r="G395" s="1962">
        <v>0</v>
      </c>
      <c r="H395" s="1962">
        <v>0</v>
      </c>
      <c r="I395" s="1962">
        <v>0</v>
      </c>
    </row>
    <row r="396" spans="1:9" hidden="1" outlineLevel="2" x14ac:dyDescent="0.2">
      <c r="A396" s="1980" t="s">
        <v>3415</v>
      </c>
      <c r="B396" s="1980" t="s">
        <v>3416</v>
      </c>
      <c r="C396" s="1980" t="s">
        <v>3771</v>
      </c>
      <c r="D396" s="1980" t="s">
        <v>3582</v>
      </c>
      <c r="E396" s="1980" t="s">
        <v>936</v>
      </c>
      <c r="F396" s="1962">
        <v>986.41423999999995</v>
      </c>
      <c r="G396" s="1962">
        <v>0</v>
      </c>
      <c r="H396" s="1962">
        <v>0</v>
      </c>
      <c r="I396" s="1962">
        <v>0</v>
      </c>
    </row>
    <row r="397" spans="1:9" hidden="1" outlineLevel="2" x14ac:dyDescent="0.2">
      <c r="A397" s="1980" t="s">
        <v>3415</v>
      </c>
      <c r="B397" s="1980" t="s">
        <v>3416</v>
      </c>
      <c r="C397" s="1980" t="s">
        <v>3772</v>
      </c>
      <c r="D397" s="1980" t="s">
        <v>3773</v>
      </c>
      <c r="E397" s="1980" t="s">
        <v>936</v>
      </c>
      <c r="F397" s="1962">
        <v>2512.7119600000001</v>
      </c>
      <c r="G397" s="1962">
        <v>0</v>
      </c>
      <c r="H397" s="1962">
        <v>0</v>
      </c>
      <c r="I397" s="1962">
        <v>0</v>
      </c>
    </row>
    <row r="398" spans="1:9" hidden="1" outlineLevel="2" x14ac:dyDescent="0.2">
      <c r="A398" s="1980" t="s">
        <v>3415</v>
      </c>
      <c r="B398" s="1980" t="s">
        <v>3416</v>
      </c>
      <c r="C398" s="1980" t="s">
        <v>3774</v>
      </c>
      <c r="D398" s="1980" t="s">
        <v>3775</v>
      </c>
      <c r="E398" s="1980" t="s">
        <v>936</v>
      </c>
      <c r="F398" s="1962">
        <v>16875.685020000001</v>
      </c>
      <c r="G398" s="1962">
        <v>0</v>
      </c>
      <c r="H398" s="1962">
        <v>0</v>
      </c>
      <c r="I398" s="1962">
        <v>0</v>
      </c>
    </row>
    <row r="399" spans="1:9" hidden="1" outlineLevel="2" x14ac:dyDescent="0.2">
      <c r="A399" s="1980" t="s">
        <v>3415</v>
      </c>
      <c r="B399" s="1980" t="s">
        <v>3416</v>
      </c>
      <c r="C399" s="1980" t="s">
        <v>3776</v>
      </c>
      <c r="D399" s="1980" t="s">
        <v>3777</v>
      </c>
      <c r="E399" s="1980" t="s">
        <v>936</v>
      </c>
      <c r="F399" s="1962">
        <v>1485.4817700000001</v>
      </c>
      <c r="G399" s="1962">
        <v>0</v>
      </c>
      <c r="H399" s="1962">
        <v>0</v>
      </c>
      <c r="I399" s="1962">
        <v>0</v>
      </c>
    </row>
    <row r="400" spans="1:9" hidden="1" outlineLevel="2" x14ac:dyDescent="0.2">
      <c r="A400" s="1980" t="s">
        <v>3415</v>
      </c>
      <c r="B400" s="1980" t="s">
        <v>3416</v>
      </c>
      <c r="C400" s="1980" t="s">
        <v>3778</v>
      </c>
      <c r="D400" s="1980" t="s">
        <v>3779</v>
      </c>
      <c r="E400" s="1980" t="s">
        <v>936</v>
      </c>
      <c r="F400" s="1962">
        <v>11.26351</v>
      </c>
      <c r="G400" s="1962">
        <v>0</v>
      </c>
      <c r="H400" s="1962">
        <v>0</v>
      </c>
      <c r="I400" s="1962">
        <v>0</v>
      </c>
    </row>
    <row r="401" spans="1:9" hidden="1" outlineLevel="2" x14ac:dyDescent="0.2">
      <c r="A401" s="1980" t="s">
        <v>3415</v>
      </c>
      <c r="B401" s="1980" t="s">
        <v>3416</v>
      </c>
      <c r="C401" s="1980" t="s">
        <v>3780</v>
      </c>
      <c r="D401" s="1980" t="s">
        <v>3781</v>
      </c>
      <c r="E401" s="1980" t="s">
        <v>936</v>
      </c>
      <c r="F401" s="1962">
        <v>668.87369000000001</v>
      </c>
      <c r="G401" s="1962">
        <v>0</v>
      </c>
      <c r="H401" s="1962">
        <v>0</v>
      </c>
      <c r="I401" s="1962">
        <v>0</v>
      </c>
    </row>
    <row r="402" spans="1:9" hidden="1" outlineLevel="2" x14ac:dyDescent="0.2">
      <c r="A402" s="1980" t="s">
        <v>3415</v>
      </c>
      <c r="B402" s="1980" t="s">
        <v>3416</v>
      </c>
      <c r="C402" s="1980" t="s">
        <v>3782</v>
      </c>
      <c r="D402" s="1980" t="s">
        <v>3783</v>
      </c>
      <c r="E402" s="1980" t="s">
        <v>936</v>
      </c>
      <c r="F402" s="1962">
        <v>175.62272999999999</v>
      </c>
      <c r="G402" s="1962">
        <v>0</v>
      </c>
      <c r="H402" s="1962">
        <v>0</v>
      </c>
      <c r="I402" s="1962">
        <v>0</v>
      </c>
    </row>
    <row r="403" spans="1:9" hidden="1" outlineLevel="2" x14ac:dyDescent="0.2">
      <c r="A403" s="1980" t="s">
        <v>3415</v>
      </c>
      <c r="B403" s="1980" t="s">
        <v>3416</v>
      </c>
      <c r="C403" s="1980" t="s">
        <v>3784</v>
      </c>
      <c r="D403" s="1980" t="s">
        <v>3785</v>
      </c>
      <c r="E403" s="1980" t="s">
        <v>936</v>
      </c>
      <c r="F403" s="1962">
        <v>739.81547</v>
      </c>
      <c r="G403" s="1962">
        <v>0</v>
      </c>
      <c r="H403" s="1962">
        <v>0</v>
      </c>
      <c r="I403" s="1962">
        <v>0</v>
      </c>
    </row>
    <row r="404" spans="1:9" hidden="1" outlineLevel="2" x14ac:dyDescent="0.2">
      <c r="A404" s="1980" t="s">
        <v>3415</v>
      </c>
      <c r="B404" s="1980" t="s">
        <v>3416</v>
      </c>
      <c r="C404" s="1980" t="s">
        <v>3786</v>
      </c>
      <c r="D404" s="1980" t="s">
        <v>3787</v>
      </c>
      <c r="E404" s="1980" t="s">
        <v>936</v>
      </c>
      <c r="F404" s="1962">
        <v>49.151409999999998</v>
      </c>
      <c r="G404" s="1962">
        <v>0</v>
      </c>
      <c r="H404" s="1962">
        <v>0</v>
      </c>
      <c r="I404" s="1962">
        <v>0</v>
      </c>
    </row>
    <row r="405" spans="1:9" hidden="1" outlineLevel="2" x14ac:dyDescent="0.2">
      <c r="A405" s="1980" t="s">
        <v>3415</v>
      </c>
      <c r="B405" s="1980" t="s">
        <v>3416</v>
      </c>
      <c r="C405" s="1980" t="s">
        <v>3788</v>
      </c>
      <c r="D405" s="1980" t="s">
        <v>3789</v>
      </c>
      <c r="E405" s="1980" t="s">
        <v>936</v>
      </c>
      <c r="F405" s="1962">
        <v>64.702100000000002</v>
      </c>
      <c r="G405" s="1962">
        <v>0</v>
      </c>
      <c r="H405" s="1962">
        <v>0</v>
      </c>
      <c r="I405" s="1962">
        <v>0</v>
      </c>
    </row>
    <row r="406" spans="1:9" hidden="1" outlineLevel="2" x14ac:dyDescent="0.2">
      <c r="A406" s="1980" t="s">
        <v>3415</v>
      </c>
      <c r="B406" s="1980" t="s">
        <v>3416</v>
      </c>
      <c r="C406" s="1980" t="s">
        <v>3790</v>
      </c>
      <c r="D406" s="1980" t="s">
        <v>3791</v>
      </c>
      <c r="E406" s="1980" t="s">
        <v>936</v>
      </c>
      <c r="F406" s="1962">
        <v>127.25987000000001</v>
      </c>
      <c r="G406" s="1962">
        <v>0</v>
      </c>
      <c r="H406" s="1962">
        <v>0</v>
      </c>
      <c r="I406" s="1962">
        <v>0</v>
      </c>
    </row>
    <row r="407" spans="1:9" hidden="1" outlineLevel="2" x14ac:dyDescent="0.2">
      <c r="A407" s="1980" t="s">
        <v>3415</v>
      </c>
      <c r="B407" s="1980" t="s">
        <v>3416</v>
      </c>
      <c r="C407" s="1980" t="s">
        <v>3792</v>
      </c>
      <c r="D407" s="1980" t="s">
        <v>3793</v>
      </c>
      <c r="E407" s="1980" t="s">
        <v>936</v>
      </c>
      <c r="F407" s="1962">
        <v>3.2514400000000001</v>
      </c>
      <c r="G407" s="1962">
        <v>0</v>
      </c>
      <c r="H407" s="1962">
        <v>0</v>
      </c>
      <c r="I407" s="1962">
        <v>0</v>
      </c>
    </row>
    <row r="408" spans="1:9" hidden="1" outlineLevel="2" x14ac:dyDescent="0.2">
      <c r="A408" s="1980" t="s">
        <v>3415</v>
      </c>
      <c r="B408" s="1980" t="s">
        <v>3416</v>
      </c>
      <c r="C408" s="1980" t="s">
        <v>3794</v>
      </c>
      <c r="D408" s="1980" t="s">
        <v>3795</v>
      </c>
      <c r="E408" s="1980" t="s">
        <v>936</v>
      </c>
      <c r="F408" s="1962">
        <v>11.94477</v>
      </c>
      <c r="G408" s="1962">
        <v>0</v>
      </c>
      <c r="H408" s="1962">
        <v>0</v>
      </c>
      <c r="I408" s="1962">
        <v>0</v>
      </c>
    </row>
    <row r="409" spans="1:9" hidden="1" outlineLevel="2" x14ac:dyDescent="0.2">
      <c r="A409" s="1980" t="s">
        <v>3415</v>
      </c>
      <c r="B409" s="1980" t="s">
        <v>3416</v>
      </c>
      <c r="C409" s="1980" t="s">
        <v>3796</v>
      </c>
      <c r="D409" s="1980" t="s">
        <v>3797</v>
      </c>
      <c r="E409" s="1980" t="s">
        <v>936</v>
      </c>
      <c r="F409" s="1962">
        <v>586.97055999999998</v>
      </c>
      <c r="G409" s="1962">
        <v>0</v>
      </c>
      <c r="H409" s="1962">
        <v>0</v>
      </c>
      <c r="I409" s="1962">
        <v>0</v>
      </c>
    </row>
    <row r="410" spans="1:9" hidden="1" outlineLevel="2" x14ac:dyDescent="0.2">
      <c r="A410" s="1980" t="s">
        <v>3415</v>
      </c>
      <c r="B410" s="1980" t="s">
        <v>3416</v>
      </c>
      <c r="C410" s="1980" t="s">
        <v>3798</v>
      </c>
      <c r="D410" s="1980" t="s">
        <v>3799</v>
      </c>
      <c r="E410" s="1980" t="s">
        <v>936</v>
      </c>
      <c r="F410" s="1962">
        <v>54.880290000000002</v>
      </c>
      <c r="G410" s="1962">
        <v>0</v>
      </c>
      <c r="H410" s="1962">
        <v>0</v>
      </c>
      <c r="I410" s="1962">
        <v>0</v>
      </c>
    </row>
    <row r="411" spans="1:9" hidden="1" outlineLevel="2" x14ac:dyDescent="0.2">
      <c r="A411" s="1980" t="s">
        <v>3415</v>
      </c>
      <c r="B411" s="1980" t="s">
        <v>3416</v>
      </c>
      <c r="C411" s="1980" t="s">
        <v>3800</v>
      </c>
      <c r="D411" s="1980" t="s">
        <v>3801</v>
      </c>
      <c r="E411" s="1980" t="s">
        <v>936</v>
      </c>
      <c r="F411" s="1962">
        <v>186.01231000000001</v>
      </c>
      <c r="G411" s="1962">
        <v>0</v>
      </c>
      <c r="H411" s="1962">
        <v>0</v>
      </c>
      <c r="I411" s="1962">
        <v>0</v>
      </c>
    </row>
    <row r="412" spans="1:9" hidden="1" outlineLevel="2" x14ac:dyDescent="0.2">
      <c r="A412" s="1980" t="s">
        <v>3415</v>
      </c>
      <c r="B412" s="1980" t="s">
        <v>3416</v>
      </c>
      <c r="C412" s="1980" t="s">
        <v>3802</v>
      </c>
      <c r="D412" s="1980" t="s">
        <v>3803</v>
      </c>
      <c r="E412" s="1980" t="s">
        <v>936</v>
      </c>
      <c r="F412" s="1962">
        <v>125.45623000000001</v>
      </c>
      <c r="G412" s="1962">
        <v>0</v>
      </c>
      <c r="H412" s="1962">
        <v>0</v>
      </c>
      <c r="I412" s="1962">
        <v>0</v>
      </c>
    </row>
    <row r="413" spans="1:9" hidden="1" outlineLevel="2" x14ac:dyDescent="0.2">
      <c r="A413" s="1980" t="s">
        <v>3415</v>
      </c>
      <c r="B413" s="1980" t="s">
        <v>3416</v>
      </c>
      <c r="C413" s="1980" t="s">
        <v>3804</v>
      </c>
      <c r="D413" s="1980" t="s">
        <v>3805</v>
      </c>
      <c r="E413" s="1980" t="s">
        <v>936</v>
      </c>
      <c r="F413" s="1962">
        <v>0.86268</v>
      </c>
      <c r="G413" s="1962">
        <v>0</v>
      </c>
      <c r="H413" s="1962">
        <v>0</v>
      </c>
      <c r="I413" s="1962">
        <v>0</v>
      </c>
    </row>
    <row r="414" spans="1:9" hidden="1" outlineLevel="2" x14ac:dyDescent="0.2">
      <c r="A414" s="1980" t="s">
        <v>3415</v>
      </c>
      <c r="B414" s="1980" t="s">
        <v>3416</v>
      </c>
      <c r="C414" s="1980" t="s">
        <v>3806</v>
      </c>
      <c r="D414" s="1980" t="s">
        <v>3807</v>
      </c>
      <c r="E414" s="1980" t="s">
        <v>936</v>
      </c>
      <c r="F414" s="1962">
        <v>3.0861700000000001</v>
      </c>
      <c r="G414" s="1962">
        <v>0</v>
      </c>
      <c r="H414" s="1962">
        <v>0</v>
      </c>
      <c r="I414" s="1962">
        <v>0</v>
      </c>
    </row>
    <row r="415" spans="1:9" hidden="1" outlineLevel="2" x14ac:dyDescent="0.2">
      <c r="A415" s="1980" t="s">
        <v>3415</v>
      </c>
      <c r="B415" s="1980" t="s">
        <v>3416</v>
      </c>
      <c r="C415" s="1980" t="s">
        <v>3808</v>
      </c>
      <c r="D415" s="1980" t="s">
        <v>3809</v>
      </c>
      <c r="E415" s="1980" t="s">
        <v>936</v>
      </c>
      <c r="F415" s="1962">
        <v>724.31773999999996</v>
      </c>
      <c r="G415" s="1962">
        <v>0</v>
      </c>
      <c r="H415" s="1962">
        <v>0</v>
      </c>
      <c r="I415" s="1962">
        <v>0</v>
      </c>
    </row>
    <row r="416" spans="1:9" hidden="1" outlineLevel="2" x14ac:dyDescent="0.2">
      <c r="A416" s="1980" t="s">
        <v>3415</v>
      </c>
      <c r="B416" s="1980" t="s">
        <v>3416</v>
      </c>
      <c r="C416" s="1980" t="s">
        <v>3810</v>
      </c>
      <c r="D416" s="1980" t="s">
        <v>3811</v>
      </c>
      <c r="E416" s="1980" t="s">
        <v>936</v>
      </c>
      <c r="F416" s="1962">
        <v>2.8718400000000002</v>
      </c>
      <c r="G416" s="1962">
        <v>0</v>
      </c>
      <c r="H416" s="1962">
        <v>0</v>
      </c>
      <c r="I416" s="1962">
        <v>0</v>
      </c>
    </row>
    <row r="417" spans="1:9" hidden="1" outlineLevel="2" x14ac:dyDescent="0.2">
      <c r="A417" s="1980" t="s">
        <v>3415</v>
      </c>
      <c r="B417" s="1980" t="s">
        <v>3416</v>
      </c>
      <c r="C417" s="1980" t="s">
        <v>3812</v>
      </c>
      <c r="D417" s="1980" t="s">
        <v>3813</v>
      </c>
      <c r="E417" s="1980" t="s">
        <v>936</v>
      </c>
      <c r="F417" s="1962">
        <v>29.676439999999999</v>
      </c>
      <c r="G417" s="1962">
        <v>0</v>
      </c>
      <c r="H417" s="1962">
        <v>0</v>
      </c>
      <c r="I417" s="1962">
        <v>0</v>
      </c>
    </row>
    <row r="418" spans="1:9" hidden="1" outlineLevel="2" x14ac:dyDescent="0.2">
      <c r="A418" s="1980" t="s">
        <v>3415</v>
      </c>
      <c r="B418" s="1980" t="s">
        <v>3416</v>
      </c>
      <c r="C418" s="1980" t="s">
        <v>3814</v>
      </c>
      <c r="D418" s="1980" t="s">
        <v>3815</v>
      </c>
      <c r="E418" s="1980" t="s">
        <v>936</v>
      </c>
      <c r="F418" s="1962">
        <v>0.32700000000000001</v>
      </c>
      <c r="G418" s="1962">
        <v>0</v>
      </c>
      <c r="H418" s="1962">
        <v>0</v>
      </c>
      <c r="I418" s="1962">
        <v>0</v>
      </c>
    </row>
    <row r="419" spans="1:9" hidden="1" outlineLevel="2" x14ac:dyDescent="0.2">
      <c r="A419" s="1980" t="s">
        <v>3415</v>
      </c>
      <c r="B419" s="1980" t="s">
        <v>3416</v>
      </c>
      <c r="C419" s="1980" t="s">
        <v>3816</v>
      </c>
      <c r="D419" s="1980" t="s">
        <v>3817</v>
      </c>
      <c r="E419" s="1980" t="s">
        <v>936</v>
      </c>
      <c r="F419" s="1962">
        <v>1.0000000000000001E-5</v>
      </c>
      <c r="G419" s="1962">
        <v>0</v>
      </c>
      <c r="H419" s="1962">
        <v>0</v>
      </c>
      <c r="I419" s="1962">
        <v>0</v>
      </c>
    </row>
    <row r="420" spans="1:9" hidden="1" outlineLevel="2" x14ac:dyDescent="0.2">
      <c r="A420" s="1980" t="s">
        <v>3415</v>
      </c>
      <c r="B420" s="1980" t="s">
        <v>3416</v>
      </c>
      <c r="C420" s="1980" t="s">
        <v>3818</v>
      </c>
      <c r="D420" s="1980" t="s">
        <v>3819</v>
      </c>
      <c r="E420" s="1980" t="s">
        <v>936</v>
      </c>
      <c r="F420" s="1962">
        <v>26.626629999999999</v>
      </c>
      <c r="G420" s="1962">
        <v>0</v>
      </c>
      <c r="H420" s="1962">
        <v>0</v>
      </c>
      <c r="I420" s="1962">
        <v>0</v>
      </c>
    </row>
    <row r="421" spans="1:9" hidden="1" outlineLevel="2" x14ac:dyDescent="0.2">
      <c r="A421" s="1980" t="s">
        <v>3415</v>
      </c>
      <c r="B421" s="1980" t="s">
        <v>3416</v>
      </c>
      <c r="C421" s="1980" t="s">
        <v>3820</v>
      </c>
      <c r="D421" s="1980" t="s">
        <v>3559</v>
      </c>
      <c r="E421" s="1980" t="s">
        <v>936</v>
      </c>
      <c r="F421" s="1962">
        <v>6498.2851300000002</v>
      </c>
      <c r="G421" s="1962">
        <v>0</v>
      </c>
      <c r="H421" s="1962">
        <v>0</v>
      </c>
      <c r="I421" s="1962">
        <v>0</v>
      </c>
    </row>
    <row r="422" spans="1:9" hidden="1" outlineLevel="2" x14ac:dyDescent="0.2">
      <c r="A422" s="1980" t="s">
        <v>3415</v>
      </c>
      <c r="B422" s="1980" t="s">
        <v>3416</v>
      </c>
      <c r="C422" s="1980" t="s">
        <v>3821</v>
      </c>
      <c r="D422" s="1980" t="s">
        <v>3822</v>
      </c>
      <c r="E422" s="1980" t="s">
        <v>936</v>
      </c>
      <c r="F422" s="1962">
        <v>1304.8748800000001</v>
      </c>
      <c r="G422" s="1962">
        <v>0</v>
      </c>
      <c r="H422" s="1962">
        <v>0</v>
      </c>
      <c r="I422" s="1962">
        <v>0</v>
      </c>
    </row>
    <row r="423" spans="1:9" hidden="1" outlineLevel="2" x14ac:dyDescent="0.2">
      <c r="A423" s="1980" t="s">
        <v>3415</v>
      </c>
      <c r="B423" s="1980" t="s">
        <v>3416</v>
      </c>
      <c r="C423" s="1980" t="s">
        <v>3823</v>
      </c>
      <c r="D423" s="1980" t="s">
        <v>3824</v>
      </c>
      <c r="E423" s="1980" t="s">
        <v>936</v>
      </c>
      <c r="F423" s="1962">
        <v>3647.42121</v>
      </c>
      <c r="G423" s="1962">
        <v>0</v>
      </c>
      <c r="H423" s="1962">
        <v>0</v>
      </c>
      <c r="I423" s="1962">
        <v>0</v>
      </c>
    </row>
    <row r="424" spans="1:9" hidden="1" outlineLevel="2" x14ac:dyDescent="0.2">
      <c r="A424" s="1980" t="s">
        <v>3415</v>
      </c>
      <c r="B424" s="1980" t="s">
        <v>3416</v>
      </c>
      <c r="C424" s="1980" t="s">
        <v>3825</v>
      </c>
      <c r="D424" s="1980" t="s">
        <v>3826</v>
      </c>
      <c r="E424" s="1980" t="s">
        <v>936</v>
      </c>
      <c r="F424" s="1962">
        <v>5015.8909999999996</v>
      </c>
      <c r="G424" s="1962">
        <v>0</v>
      </c>
      <c r="H424" s="1962">
        <v>0</v>
      </c>
      <c r="I424" s="1962">
        <v>0</v>
      </c>
    </row>
    <row r="425" spans="1:9" hidden="1" outlineLevel="2" x14ac:dyDescent="0.2">
      <c r="A425" s="1980" t="s">
        <v>3415</v>
      </c>
      <c r="B425" s="1980" t="s">
        <v>3416</v>
      </c>
      <c r="C425" s="1980" t="s">
        <v>3827</v>
      </c>
      <c r="D425" s="1980" t="s">
        <v>3828</v>
      </c>
      <c r="E425" s="1980" t="s">
        <v>936</v>
      </c>
      <c r="F425" s="1962">
        <v>254.58275</v>
      </c>
      <c r="G425" s="1962">
        <v>0</v>
      </c>
      <c r="H425" s="1962">
        <v>0</v>
      </c>
      <c r="I425" s="1962">
        <v>0</v>
      </c>
    </row>
    <row r="426" spans="1:9" hidden="1" outlineLevel="2" x14ac:dyDescent="0.2">
      <c r="A426" s="1980" t="s">
        <v>3415</v>
      </c>
      <c r="B426" s="1980" t="s">
        <v>3416</v>
      </c>
      <c r="C426" s="1980" t="s">
        <v>3829</v>
      </c>
      <c r="D426" s="1980" t="s">
        <v>3830</v>
      </c>
      <c r="E426" s="1980" t="s">
        <v>936</v>
      </c>
      <c r="F426" s="1962">
        <v>3.807E-2</v>
      </c>
      <c r="G426" s="1962">
        <v>0</v>
      </c>
      <c r="H426" s="1962">
        <v>0</v>
      </c>
      <c r="I426" s="1962">
        <v>0</v>
      </c>
    </row>
    <row r="427" spans="1:9" hidden="1" outlineLevel="2" x14ac:dyDescent="0.2">
      <c r="A427" s="1980" t="s">
        <v>3415</v>
      </c>
      <c r="B427" s="1980" t="s">
        <v>3416</v>
      </c>
      <c r="C427" s="1980" t="s">
        <v>3831</v>
      </c>
      <c r="D427" s="1980" t="s">
        <v>3832</v>
      </c>
      <c r="E427" s="1980" t="s">
        <v>936</v>
      </c>
      <c r="F427" s="1962">
        <v>1880.4767099999999</v>
      </c>
      <c r="G427" s="1962">
        <v>0</v>
      </c>
      <c r="H427" s="1962">
        <v>0</v>
      </c>
      <c r="I427" s="1962">
        <v>0</v>
      </c>
    </row>
    <row r="428" spans="1:9" hidden="1" outlineLevel="2" x14ac:dyDescent="0.2">
      <c r="A428" s="1980" t="s">
        <v>3415</v>
      </c>
      <c r="B428" s="1980" t="s">
        <v>3416</v>
      </c>
      <c r="C428" s="1980" t="s">
        <v>3833</v>
      </c>
      <c r="D428" s="1980" t="s">
        <v>3834</v>
      </c>
      <c r="E428" s="1980" t="s">
        <v>936</v>
      </c>
      <c r="F428" s="1962">
        <v>125.50482</v>
      </c>
      <c r="G428" s="1962">
        <v>0</v>
      </c>
      <c r="H428" s="1962">
        <v>0</v>
      </c>
      <c r="I428" s="1962">
        <v>0</v>
      </c>
    </row>
    <row r="429" spans="1:9" hidden="1" outlineLevel="2" x14ac:dyDescent="0.2">
      <c r="A429" s="1980" t="s">
        <v>3415</v>
      </c>
      <c r="B429" s="1980" t="s">
        <v>3416</v>
      </c>
      <c r="C429" s="1980" t="s">
        <v>3835</v>
      </c>
      <c r="D429" s="1980" t="s">
        <v>3836</v>
      </c>
      <c r="E429" s="1980" t="s">
        <v>936</v>
      </c>
      <c r="F429" s="1962">
        <v>239.85731999999999</v>
      </c>
      <c r="G429" s="1962">
        <v>0</v>
      </c>
      <c r="H429" s="1962">
        <v>0</v>
      </c>
      <c r="I429" s="1962">
        <v>0</v>
      </c>
    </row>
    <row r="430" spans="1:9" hidden="1" outlineLevel="2" x14ac:dyDescent="0.2">
      <c r="A430" s="1980" t="s">
        <v>3415</v>
      </c>
      <c r="B430" s="1980" t="s">
        <v>3416</v>
      </c>
      <c r="C430" s="1980" t="s">
        <v>3837</v>
      </c>
      <c r="D430" s="1980" t="s">
        <v>3539</v>
      </c>
      <c r="E430" s="1980" t="s">
        <v>936</v>
      </c>
      <c r="F430" s="1962">
        <v>3071.2638200000001</v>
      </c>
      <c r="G430" s="1962">
        <v>0</v>
      </c>
      <c r="H430" s="1962">
        <v>0</v>
      </c>
      <c r="I430" s="1962">
        <v>0</v>
      </c>
    </row>
    <row r="431" spans="1:9" hidden="1" outlineLevel="2" x14ac:dyDescent="0.2">
      <c r="A431" s="1980" t="s">
        <v>3415</v>
      </c>
      <c r="B431" s="1980" t="s">
        <v>3416</v>
      </c>
      <c r="C431" s="1980" t="s">
        <v>3838</v>
      </c>
      <c r="D431" s="1980" t="s">
        <v>3545</v>
      </c>
      <c r="E431" s="1980" t="s">
        <v>936</v>
      </c>
      <c r="F431" s="1962">
        <v>4606.6943600000004</v>
      </c>
      <c r="G431" s="1962">
        <v>0</v>
      </c>
      <c r="H431" s="1962">
        <v>0</v>
      </c>
      <c r="I431" s="1962">
        <v>0</v>
      </c>
    </row>
    <row r="432" spans="1:9" hidden="1" outlineLevel="2" x14ac:dyDescent="0.2">
      <c r="A432" s="1980" t="s">
        <v>3415</v>
      </c>
      <c r="B432" s="1980" t="s">
        <v>3416</v>
      </c>
      <c r="C432" s="1980" t="s">
        <v>3839</v>
      </c>
      <c r="D432" s="1980" t="s">
        <v>3547</v>
      </c>
      <c r="E432" s="1980" t="s">
        <v>936</v>
      </c>
      <c r="F432" s="1962">
        <v>1233.1958299999999</v>
      </c>
      <c r="G432" s="1962">
        <v>0</v>
      </c>
      <c r="H432" s="1962">
        <v>0</v>
      </c>
      <c r="I432" s="1962">
        <v>0</v>
      </c>
    </row>
    <row r="433" spans="1:9" hidden="1" outlineLevel="2" x14ac:dyDescent="0.2">
      <c r="A433" s="1980" t="s">
        <v>3415</v>
      </c>
      <c r="B433" s="1980" t="s">
        <v>3416</v>
      </c>
      <c r="C433" s="1980" t="s">
        <v>3840</v>
      </c>
      <c r="D433" s="1980" t="s">
        <v>3582</v>
      </c>
      <c r="E433" s="1980" t="s">
        <v>936</v>
      </c>
      <c r="F433" s="1962">
        <v>410.93335999999999</v>
      </c>
      <c r="G433" s="1962">
        <v>0</v>
      </c>
      <c r="H433" s="1962">
        <v>0</v>
      </c>
      <c r="I433" s="1962">
        <v>0</v>
      </c>
    </row>
    <row r="434" spans="1:9" hidden="1" outlineLevel="2" x14ac:dyDescent="0.2">
      <c r="A434" s="1980" t="s">
        <v>3415</v>
      </c>
      <c r="B434" s="1980" t="s">
        <v>3416</v>
      </c>
      <c r="C434" s="1980" t="s">
        <v>3841</v>
      </c>
      <c r="D434" s="1980" t="s">
        <v>3842</v>
      </c>
      <c r="E434" s="1980" t="s">
        <v>936</v>
      </c>
      <c r="F434" s="1962">
        <v>2513.3569299999999</v>
      </c>
      <c r="G434" s="1962">
        <v>0</v>
      </c>
      <c r="H434" s="1962">
        <v>0</v>
      </c>
      <c r="I434" s="1962">
        <v>0</v>
      </c>
    </row>
    <row r="435" spans="1:9" hidden="1" outlineLevel="2" x14ac:dyDescent="0.2">
      <c r="A435" s="1980" t="s">
        <v>3415</v>
      </c>
      <c r="B435" s="1980" t="s">
        <v>3416</v>
      </c>
      <c r="C435" s="1980" t="s">
        <v>3843</v>
      </c>
      <c r="D435" s="1980" t="s">
        <v>3844</v>
      </c>
      <c r="E435" s="1980" t="s">
        <v>936</v>
      </c>
      <c r="F435" s="1962">
        <v>11359.762559999999</v>
      </c>
      <c r="G435" s="1962">
        <v>0</v>
      </c>
      <c r="H435" s="1962">
        <v>0</v>
      </c>
      <c r="I435" s="1962">
        <v>0</v>
      </c>
    </row>
    <row r="436" spans="1:9" hidden="1" outlineLevel="2" x14ac:dyDescent="0.2">
      <c r="A436" s="1980" t="s">
        <v>3415</v>
      </c>
      <c r="B436" s="1980" t="s">
        <v>3416</v>
      </c>
      <c r="C436" s="1980" t="s">
        <v>3845</v>
      </c>
      <c r="D436" s="1980" t="s">
        <v>3846</v>
      </c>
      <c r="E436" s="1980" t="s">
        <v>936</v>
      </c>
      <c r="F436" s="1962">
        <v>1437.0285200000001</v>
      </c>
      <c r="G436" s="1962">
        <v>0</v>
      </c>
      <c r="H436" s="1962">
        <v>0</v>
      </c>
      <c r="I436" s="1962">
        <v>0</v>
      </c>
    </row>
    <row r="437" spans="1:9" hidden="1" outlineLevel="2" x14ac:dyDescent="0.2">
      <c r="A437" s="1980" t="s">
        <v>3415</v>
      </c>
      <c r="B437" s="1980" t="s">
        <v>3416</v>
      </c>
      <c r="C437" s="1980" t="s">
        <v>3847</v>
      </c>
      <c r="D437" s="1980" t="s">
        <v>3848</v>
      </c>
      <c r="E437" s="1980" t="s">
        <v>936</v>
      </c>
      <c r="F437" s="1962">
        <v>29.857749999999999</v>
      </c>
      <c r="G437" s="1962">
        <v>0</v>
      </c>
      <c r="H437" s="1962">
        <v>0</v>
      </c>
      <c r="I437" s="1962">
        <v>0</v>
      </c>
    </row>
    <row r="438" spans="1:9" hidden="1" outlineLevel="2" x14ac:dyDescent="0.2">
      <c r="A438" s="1980" t="s">
        <v>3415</v>
      </c>
      <c r="B438" s="1980" t="s">
        <v>3416</v>
      </c>
      <c r="C438" s="1980" t="s">
        <v>3849</v>
      </c>
      <c r="D438" s="1980" t="s">
        <v>3850</v>
      </c>
      <c r="E438" s="1980" t="s">
        <v>936</v>
      </c>
      <c r="F438" s="1962">
        <v>433.12884000000003</v>
      </c>
      <c r="G438" s="1962">
        <v>0</v>
      </c>
      <c r="H438" s="1962">
        <v>0</v>
      </c>
      <c r="I438" s="1962">
        <v>0</v>
      </c>
    </row>
    <row r="439" spans="1:9" hidden="1" outlineLevel="2" x14ac:dyDescent="0.2">
      <c r="A439" s="1980" t="s">
        <v>3415</v>
      </c>
      <c r="B439" s="1980" t="s">
        <v>3416</v>
      </c>
      <c r="C439" s="1980" t="s">
        <v>3851</v>
      </c>
      <c r="D439" s="1980" t="s">
        <v>3852</v>
      </c>
      <c r="E439" s="1980" t="s">
        <v>936</v>
      </c>
      <c r="F439" s="1962">
        <v>182.83957000000001</v>
      </c>
      <c r="G439" s="1962">
        <v>0</v>
      </c>
      <c r="H439" s="1962">
        <v>0</v>
      </c>
      <c r="I439" s="1962">
        <v>0</v>
      </c>
    </row>
    <row r="440" spans="1:9" hidden="1" outlineLevel="2" x14ac:dyDescent="0.2">
      <c r="A440" s="1980" t="s">
        <v>3415</v>
      </c>
      <c r="B440" s="1980" t="s">
        <v>3416</v>
      </c>
      <c r="C440" s="1980" t="s">
        <v>3853</v>
      </c>
      <c r="D440" s="1980" t="s">
        <v>3854</v>
      </c>
      <c r="E440" s="1980" t="s">
        <v>936</v>
      </c>
      <c r="F440" s="1962">
        <v>1069.93316</v>
      </c>
      <c r="G440" s="1962">
        <v>0</v>
      </c>
      <c r="H440" s="1962">
        <v>0</v>
      </c>
      <c r="I440" s="1962">
        <v>0</v>
      </c>
    </row>
    <row r="441" spans="1:9" hidden="1" outlineLevel="2" x14ac:dyDescent="0.2">
      <c r="A441" s="1980" t="s">
        <v>3415</v>
      </c>
      <c r="B441" s="1980" t="s">
        <v>3416</v>
      </c>
      <c r="C441" s="1980" t="s">
        <v>3855</v>
      </c>
      <c r="D441" s="1980" t="s">
        <v>3856</v>
      </c>
      <c r="E441" s="1980" t="s">
        <v>936</v>
      </c>
      <c r="F441" s="1962">
        <v>41.544229999999999</v>
      </c>
      <c r="G441" s="1962">
        <v>0</v>
      </c>
      <c r="H441" s="1962">
        <v>0</v>
      </c>
      <c r="I441" s="1962">
        <v>0</v>
      </c>
    </row>
    <row r="442" spans="1:9" hidden="1" outlineLevel="2" x14ac:dyDescent="0.2">
      <c r="A442" s="1980" t="s">
        <v>3415</v>
      </c>
      <c r="B442" s="1980" t="s">
        <v>3416</v>
      </c>
      <c r="C442" s="1980" t="s">
        <v>3857</v>
      </c>
      <c r="D442" s="1980" t="s">
        <v>3858</v>
      </c>
      <c r="E442" s="1980" t="s">
        <v>936</v>
      </c>
      <c r="F442" s="1962">
        <v>102.34610000000001</v>
      </c>
      <c r="G442" s="1962">
        <v>0</v>
      </c>
      <c r="H442" s="1962">
        <v>0</v>
      </c>
      <c r="I442" s="1962">
        <v>0</v>
      </c>
    </row>
    <row r="443" spans="1:9" hidden="1" outlineLevel="2" x14ac:dyDescent="0.2">
      <c r="A443" s="1980" t="s">
        <v>3415</v>
      </c>
      <c r="B443" s="1980" t="s">
        <v>3416</v>
      </c>
      <c r="C443" s="1980" t="s">
        <v>3859</v>
      </c>
      <c r="D443" s="1980" t="s">
        <v>3860</v>
      </c>
      <c r="E443" s="1980" t="s">
        <v>936</v>
      </c>
      <c r="F443" s="1962">
        <v>167.73187999999999</v>
      </c>
      <c r="G443" s="1962">
        <v>0</v>
      </c>
      <c r="H443" s="1962">
        <v>0</v>
      </c>
      <c r="I443" s="1962">
        <v>0</v>
      </c>
    </row>
    <row r="444" spans="1:9" hidden="1" outlineLevel="2" x14ac:dyDescent="0.2">
      <c r="A444" s="1980" t="s">
        <v>3415</v>
      </c>
      <c r="B444" s="1980" t="s">
        <v>3416</v>
      </c>
      <c r="C444" s="1980" t="s">
        <v>3861</v>
      </c>
      <c r="D444" s="1980" t="s">
        <v>3862</v>
      </c>
      <c r="E444" s="1980" t="s">
        <v>936</v>
      </c>
      <c r="F444" s="1962">
        <v>5.5312200000000002</v>
      </c>
      <c r="G444" s="1962">
        <v>0</v>
      </c>
      <c r="H444" s="1962">
        <v>0</v>
      </c>
      <c r="I444" s="1962">
        <v>0</v>
      </c>
    </row>
    <row r="445" spans="1:9" hidden="1" outlineLevel="2" x14ac:dyDescent="0.2">
      <c r="A445" s="1980" t="s">
        <v>3415</v>
      </c>
      <c r="B445" s="1980" t="s">
        <v>3416</v>
      </c>
      <c r="C445" s="1980" t="s">
        <v>3863</v>
      </c>
      <c r="D445" s="1980" t="s">
        <v>3864</v>
      </c>
      <c r="E445" s="1980" t="s">
        <v>936</v>
      </c>
      <c r="F445" s="1962">
        <v>268.36527000000001</v>
      </c>
      <c r="G445" s="1962">
        <v>0</v>
      </c>
      <c r="H445" s="1962">
        <v>0</v>
      </c>
      <c r="I445" s="1962">
        <v>0</v>
      </c>
    </row>
    <row r="446" spans="1:9" hidden="1" outlineLevel="2" x14ac:dyDescent="0.2">
      <c r="A446" s="1980" t="s">
        <v>3415</v>
      </c>
      <c r="B446" s="1980" t="s">
        <v>3416</v>
      </c>
      <c r="C446" s="1980" t="s">
        <v>3865</v>
      </c>
      <c r="D446" s="1980" t="s">
        <v>3866</v>
      </c>
      <c r="E446" s="1980" t="s">
        <v>936</v>
      </c>
      <c r="F446" s="1962">
        <v>894.20281</v>
      </c>
      <c r="G446" s="1962">
        <v>0</v>
      </c>
      <c r="H446" s="1962">
        <v>0</v>
      </c>
      <c r="I446" s="1962">
        <v>0</v>
      </c>
    </row>
    <row r="447" spans="1:9" hidden="1" outlineLevel="2" x14ac:dyDescent="0.2">
      <c r="A447" s="1980" t="s">
        <v>3415</v>
      </c>
      <c r="B447" s="1980" t="s">
        <v>3416</v>
      </c>
      <c r="C447" s="1980" t="s">
        <v>3867</v>
      </c>
      <c r="D447" s="1980" t="s">
        <v>3868</v>
      </c>
      <c r="E447" s="1980" t="s">
        <v>936</v>
      </c>
      <c r="F447" s="1962">
        <v>55.277000000000001</v>
      </c>
      <c r="G447" s="1962">
        <v>0</v>
      </c>
      <c r="H447" s="1962">
        <v>0</v>
      </c>
      <c r="I447" s="1962">
        <v>0</v>
      </c>
    </row>
    <row r="448" spans="1:9" hidden="1" outlineLevel="2" x14ac:dyDescent="0.2">
      <c r="A448" s="1980" t="s">
        <v>3415</v>
      </c>
      <c r="B448" s="1980" t="s">
        <v>3416</v>
      </c>
      <c r="C448" s="1980" t="s">
        <v>3869</v>
      </c>
      <c r="D448" s="1980" t="s">
        <v>3870</v>
      </c>
      <c r="E448" s="1980" t="s">
        <v>936</v>
      </c>
      <c r="F448" s="1962">
        <v>50.846200000000003</v>
      </c>
      <c r="G448" s="1962">
        <v>0</v>
      </c>
      <c r="H448" s="1962">
        <v>0</v>
      </c>
      <c r="I448" s="1962">
        <v>0</v>
      </c>
    </row>
    <row r="449" spans="1:9" hidden="1" outlineLevel="2" x14ac:dyDescent="0.2">
      <c r="A449" s="1980" t="s">
        <v>3415</v>
      </c>
      <c r="B449" s="1980" t="s">
        <v>3416</v>
      </c>
      <c r="C449" s="1980" t="s">
        <v>3871</v>
      </c>
      <c r="D449" s="1980" t="s">
        <v>3872</v>
      </c>
      <c r="E449" s="1980" t="s">
        <v>936</v>
      </c>
      <c r="F449" s="1962">
        <v>97.67774</v>
      </c>
      <c r="G449" s="1962">
        <v>0</v>
      </c>
      <c r="H449" s="1962">
        <v>0</v>
      </c>
      <c r="I449" s="1962">
        <v>0</v>
      </c>
    </row>
    <row r="450" spans="1:9" hidden="1" outlineLevel="2" x14ac:dyDescent="0.2">
      <c r="A450" s="1980" t="s">
        <v>3415</v>
      </c>
      <c r="B450" s="1980" t="s">
        <v>3416</v>
      </c>
      <c r="C450" s="1980" t="s">
        <v>3873</v>
      </c>
      <c r="D450" s="1980" t="s">
        <v>3874</v>
      </c>
      <c r="E450" s="1980" t="s">
        <v>936</v>
      </c>
      <c r="F450" s="1962">
        <v>2.8799399999999999</v>
      </c>
      <c r="G450" s="1962">
        <v>0</v>
      </c>
      <c r="H450" s="1962">
        <v>0</v>
      </c>
      <c r="I450" s="1962">
        <v>0</v>
      </c>
    </row>
    <row r="451" spans="1:9" hidden="1" outlineLevel="2" x14ac:dyDescent="0.2">
      <c r="A451" s="1980" t="s">
        <v>3415</v>
      </c>
      <c r="B451" s="1980" t="s">
        <v>3416</v>
      </c>
      <c r="C451" s="1980" t="s">
        <v>3875</v>
      </c>
      <c r="D451" s="1980" t="s">
        <v>3876</v>
      </c>
      <c r="E451" s="1980" t="s">
        <v>936</v>
      </c>
      <c r="F451" s="1962">
        <v>10.69408</v>
      </c>
      <c r="G451" s="1962">
        <v>0</v>
      </c>
      <c r="H451" s="1962">
        <v>0</v>
      </c>
      <c r="I451" s="1962">
        <v>0</v>
      </c>
    </row>
    <row r="452" spans="1:9" hidden="1" outlineLevel="2" x14ac:dyDescent="0.2">
      <c r="A452" s="1980" t="s">
        <v>3415</v>
      </c>
      <c r="B452" s="1980" t="s">
        <v>3416</v>
      </c>
      <c r="C452" s="1980" t="s">
        <v>3877</v>
      </c>
      <c r="D452" s="1980" t="s">
        <v>3878</v>
      </c>
      <c r="E452" s="1980" t="s">
        <v>936</v>
      </c>
      <c r="F452" s="1962">
        <v>1307.8153</v>
      </c>
      <c r="G452" s="1962">
        <v>0</v>
      </c>
      <c r="H452" s="1962">
        <v>0</v>
      </c>
      <c r="I452" s="1962">
        <v>0</v>
      </c>
    </row>
    <row r="453" spans="1:9" hidden="1" outlineLevel="2" x14ac:dyDescent="0.2">
      <c r="A453" s="1980" t="s">
        <v>3415</v>
      </c>
      <c r="B453" s="1980" t="s">
        <v>3416</v>
      </c>
      <c r="C453" s="1980" t="s">
        <v>3879</v>
      </c>
      <c r="D453" s="1980" t="s">
        <v>3880</v>
      </c>
      <c r="E453" s="1980" t="s">
        <v>936</v>
      </c>
      <c r="F453" s="1962">
        <v>387.56200999999999</v>
      </c>
      <c r="G453" s="1962">
        <v>0</v>
      </c>
      <c r="H453" s="1962">
        <v>0</v>
      </c>
      <c r="I453" s="1962">
        <v>0</v>
      </c>
    </row>
    <row r="454" spans="1:9" hidden="1" outlineLevel="2" x14ac:dyDescent="0.2">
      <c r="A454" s="1980" t="s">
        <v>3415</v>
      </c>
      <c r="B454" s="1980" t="s">
        <v>3416</v>
      </c>
      <c r="C454" s="1980" t="s">
        <v>3881</v>
      </c>
      <c r="D454" s="1980" t="s">
        <v>3882</v>
      </c>
      <c r="E454" s="1980" t="s">
        <v>936</v>
      </c>
      <c r="F454" s="1962">
        <v>266.24419</v>
      </c>
      <c r="G454" s="1962">
        <v>0</v>
      </c>
      <c r="H454" s="1962">
        <v>0</v>
      </c>
      <c r="I454" s="1962">
        <v>0</v>
      </c>
    </row>
    <row r="455" spans="1:9" hidden="1" outlineLevel="2" x14ac:dyDescent="0.2">
      <c r="A455" s="1980" t="s">
        <v>3415</v>
      </c>
      <c r="B455" s="1980" t="s">
        <v>3416</v>
      </c>
      <c r="C455" s="1980" t="s">
        <v>3883</v>
      </c>
      <c r="D455" s="1980" t="s">
        <v>3884</v>
      </c>
      <c r="E455" s="1980" t="s">
        <v>936</v>
      </c>
      <c r="F455" s="1962">
        <v>3295.9004100000002</v>
      </c>
      <c r="G455" s="1962">
        <v>0</v>
      </c>
      <c r="H455" s="1962">
        <v>0</v>
      </c>
      <c r="I455" s="1962">
        <v>0</v>
      </c>
    </row>
    <row r="456" spans="1:9" hidden="1" outlineLevel="2" x14ac:dyDescent="0.2">
      <c r="A456" s="1980" t="s">
        <v>3415</v>
      </c>
      <c r="B456" s="1980" t="s">
        <v>3416</v>
      </c>
      <c r="C456" s="1980" t="s">
        <v>3885</v>
      </c>
      <c r="D456" s="1980" t="s">
        <v>3886</v>
      </c>
      <c r="E456" s="1980" t="s">
        <v>936</v>
      </c>
      <c r="F456" s="1962">
        <v>6.8141999999999996</v>
      </c>
      <c r="G456" s="1962">
        <v>0</v>
      </c>
      <c r="H456" s="1962">
        <v>0</v>
      </c>
      <c r="I456" s="1962">
        <v>0</v>
      </c>
    </row>
    <row r="457" spans="1:9" hidden="1" outlineLevel="2" x14ac:dyDescent="0.2">
      <c r="A457" s="1980" t="s">
        <v>3415</v>
      </c>
      <c r="B457" s="1980" t="s">
        <v>3416</v>
      </c>
      <c r="C457" s="1980" t="s">
        <v>3887</v>
      </c>
      <c r="D457" s="1980" t="s">
        <v>3888</v>
      </c>
      <c r="E457" s="1980" t="s">
        <v>936</v>
      </c>
      <c r="F457" s="1962">
        <v>0.54224000000000006</v>
      </c>
      <c r="G457" s="1962">
        <v>0</v>
      </c>
      <c r="H457" s="1962">
        <v>0</v>
      </c>
      <c r="I457" s="1962">
        <v>0</v>
      </c>
    </row>
    <row r="458" spans="1:9" hidden="1" outlineLevel="2" x14ac:dyDescent="0.2">
      <c r="A458" s="1980" t="s">
        <v>3415</v>
      </c>
      <c r="B458" s="1980" t="s">
        <v>3416</v>
      </c>
      <c r="C458" s="1980" t="s">
        <v>3889</v>
      </c>
      <c r="D458" s="1980" t="s">
        <v>3890</v>
      </c>
      <c r="E458" s="1980" t="s">
        <v>936</v>
      </c>
      <c r="F458" s="1962">
        <v>0.4</v>
      </c>
      <c r="G458" s="1962">
        <v>0</v>
      </c>
      <c r="H458" s="1962">
        <v>0</v>
      </c>
      <c r="I458" s="1962">
        <v>0</v>
      </c>
    </row>
    <row r="459" spans="1:9" hidden="1" outlineLevel="2" x14ac:dyDescent="0.2">
      <c r="A459" s="1980" t="s">
        <v>3415</v>
      </c>
      <c r="B459" s="1980" t="s">
        <v>3416</v>
      </c>
      <c r="C459" s="1980" t="s">
        <v>3891</v>
      </c>
      <c r="D459" s="1980" t="s">
        <v>3892</v>
      </c>
      <c r="E459" s="1980" t="s">
        <v>936</v>
      </c>
      <c r="F459" s="1962">
        <v>75.372039999999998</v>
      </c>
      <c r="G459" s="1962">
        <v>0</v>
      </c>
      <c r="H459" s="1962">
        <v>0</v>
      </c>
      <c r="I459" s="1962">
        <v>0</v>
      </c>
    </row>
    <row r="460" spans="1:9" hidden="1" outlineLevel="2" x14ac:dyDescent="0.2">
      <c r="A460" s="1980" t="s">
        <v>3415</v>
      </c>
      <c r="B460" s="1980" t="s">
        <v>3416</v>
      </c>
      <c r="C460" s="1980" t="s">
        <v>3893</v>
      </c>
      <c r="D460" s="1980" t="s">
        <v>3894</v>
      </c>
      <c r="E460" s="1980" t="s">
        <v>936</v>
      </c>
      <c r="F460" s="1962">
        <v>73.616749999999996</v>
      </c>
      <c r="G460" s="1962">
        <v>0</v>
      </c>
      <c r="H460" s="1962">
        <v>0</v>
      </c>
      <c r="I460" s="1962">
        <v>0</v>
      </c>
    </row>
    <row r="461" spans="1:9" hidden="1" outlineLevel="2" x14ac:dyDescent="0.2">
      <c r="A461" s="1980" t="s">
        <v>3415</v>
      </c>
      <c r="B461" s="1980" t="s">
        <v>3416</v>
      </c>
      <c r="C461" s="1980" t="s">
        <v>3895</v>
      </c>
      <c r="D461" s="1980" t="s">
        <v>3896</v>
      </c>
      <c r="E461" s="1980" t="s">
        <v>936</v>
      </c>
      <c r="F461" s="1962">
        <v>109.91634000000001</v>
      </c>
      <c r="G461" s="1962">
        <v>0</v>
      </c>
      <c r="H461" s="1962">
        <v>0</v>
      </c>
      <c r="I461" s="1962">
        <v>0</v>
      </c>
    </row>
    <row r="462" spans="1:9" hidden="1" outlineLevel="2" x14ac:dyDescent="0.2">
      <c r="A462" s="1980" t="s">
        <v>3415</v>
      </c>
      <c r="B462" s="1980" t="s">
        <v>3416</v>
      </c>
      <c r="C462" s="1980" t="s">
        <v>3897</v>
      </c>
      <c r="D462" s="1980" t="s">
        <v>3898</v>
      </c>
      <c r="E462" s="1980" t="s">
        <v>936</v>
      </c>
      <c r="F462" s="1962">
        <v>1292.11277</v>
      </c>
      <c r="G462" s="1962">
        <v>0</v>
      </c>
      <c r="H462" s="1962">
        <v>0</v>
      </c>
      <c r="I462" s="1962">
        <v>0</v>
      </c>
    </row>
    <row r="463" spans="1:9" hidden="1" outlineLevel="2" x14ac:dyDescent="0.2">
      <c r="A463" s="1980" t="s">
        <v>3415</v>
      </c>
      <c r="B463" s="1980" t="s">
        <v>3416</v>
      </c>
      <c r="C463" s="1980" t="s">
        <v>3899</v>
      </c>
      <c r="D463" s="1980" t="s">
        <v>3900</v>
      </c>
      <c r="E463" s="1980" t="s">
        <v>936</v>
      </c>
      <c r="F463" s="1962">
        <v>1.0000000000000001E-5</v>
      </c>
      <c r="G463" s="1962">
        <v>0</v>
      </c>
      <c r="H463" s="1962">
        <v>0</v>
      </c>
      <c r="I463" s="1962">
        <v>0</v>
      </c>
    </row>
    <row r="464" spans="1:9" hidden="1" outlineLevel="2" x14ac:dyDescent="0.2">
      <c r="A464" s="1980" t="s">
        <v>3415</v>
      </c>
      <c r="B464" s="1980" t="s">
        <v>3416</v>
      </c>
      <c r="C464" s="1980" t="s">
        <v>3901</v>
      </c>
      <c r="D464" s="1980" t="s">
        <v>3559</v>
      </c>
      <c r="E464" s="1980" t="s">
        <v>936</v>
      </c>
      <c r="F464" s="1962">
        <v>5793.5013300000001</v>
      </c>
      <c r="G464" s="1962">
        <v>0</v>
      </c>
      <c r="H464" s="1962">
        <v>0</v>
      </c>
      <c r="I464" s="1962">
        <v>0</v>
      </c>
    </row>
    <row r="465" spans="1:9" hidden="1" outlineLevel="2" x14ac:dyDescent="0.2">
      <c r="A465" s="1980" t="s">
        <v>3415</v>
      </c>
      <c r="B465" s="1980" t="s">
        <v>3416</v>
      </c>
      <c r="C465" s="1980" t="s">
        <v>3902</v>
      </c>
      <c r="D465" s="1980" t="s">
        <v>3903</v>
      </c>
      <c r="E465" s="1980" t="s">
        <v>936</v>
      </c>
      <c r="F465" s="1962">
        <v>1469.8777600000001</v>
      </c>
      <c r="G465" s="1962">
        <v>0</v>
      </c>
      <c r="H465" s="1962">
        <v>0</v>
      </c>
      <c r="I465" s="1962">
        <v>0</v>
      </c>
    </row>
    <row r="466" spans="1:9" hidden="1" outlineLevel="2" x14ac:dyDescent="0.2">
      <c r="A466" s="1980" t="s">
        <v>3415</v>
      </c>
      <c r="B466" s="1980" t="s">
        <v>3416</v>
      </c>
      <c r="C466" s="1980" t="s">
        <v>3904</v>
      </c>
      <c r="D466" s="1980" t="s">
        <v>3905</v>
      </c>
      <c r="E466" s="1980" t="s">
        <v>936</v>
      </c>
      <c r="F466" s="1962">
        <v>6898.5187599999999</v>
      </c>
      <c r="G466" s="1962">
        <v>0</v>
      </c>
      <c r="H466" s="1962">
        <v>0</v>
      </c>
      <c r="I466" s="1962">
        <v>0</v>
      </c>
    </row>
    <row r="467" spans="1:9" hidden="1" outlineLevel="2" x14ac:dyDescent="0.2">
      <c r="A467" s="1980" t="s">
        <v>3415</v>
      </c>
      <c r="B467" s="1980" t="s">
        <v>3416</v>
      </c>
      <c r="C467" s="1980" t="s">
        <v>3906</v>
      </c>
      <c r="D467" s="1980" t="s">
        <v>3907</v>
      </c>
      <c r="E467" s="1980" t="s">
        <v>936</v>
      </c>
      <c r="F467" s="1962">
        <v>2934.9706200000001</v>
      </c>
      <c r="G467" s="1962">
        <v>0</v>
      </c>
      <c r="H467" s="1962">
        <v>0</v>
      </c>
      <c r="I467" s="1962">
        <v>0</v>
      </c>
    </row>
    <row r="468" spans="1:9" hidden="1" outlineLevel="2" x14ac:dyDescent="0.2">
      <c r="A468" s="1980" t="s">
        <v>3415</v>
      </c>
      <c r="B468" s="1980" t="s">
        <v>3416</v>
      </c>
      <c r="C468" s="1980" t="s">
        <v>3908</v>
      </c>
      <c r="D468" s="1980" t="s">
        <v>3909</v>
      </c>
      <c r="E468" s="1980" t="s">
        <v>936</v>
      </c>
      <c r="F468" s="1962">
        <v>177.00416999999999</v>
      </c>
      <c r="G468" s="1962">
        <v>0</v>
      </c>
      <c r="H468" s="1962">
        <v>0</v>
      </c>
      <c r="I468" s="1962">
        <v>0</v>
      </c>
    </row>
    <row r="469" spans="1:9" hidden="1" outlineLevel="2" x14ac:dyDescent="0.2">
      <c r="A469" s="1980" t="s">
        <v>3415</v>
      </c>
      <c r="B469" s="1980" t="s">
        <v>3416</v>
      </c>
      <c r="C469" s="1980" t="s">
        <v>3910</v>
      </c>
      <c r="D469" s="1980" t="s">
        <v>3911</v>
      </c>
      <c r="E469" s="1980" t="s">
        <v>936</v>
      </c>
      <c r="F469" s="1962">
        <v>1473.8865699999999</v>
      </c>
      <c r="G469" s="1962">
        <v>0</v>
      </c>
      <c r="H469" s="1962">
        <v>0</v>
      </c>
      <c r="I469" s="1962">
        <v>0</v>
      </c>
    </row>
    <row r="470" spans="1:9" hidden="1" outlineLevel="2" x14ac:dyDescent="0.2">
      <c r="A470" s="1980" t="s">
        <v>3415</v>
      </c>
      <c r="B470" s="1980" t="s">
        <v>3416</v>
      </c>
      <c r="C470" s="1980" t="s">
        <v>3912</v>
      </c>
      <c r="D470" s="1980" t="s">
        <v>3913</v>
      </c>
      <c r="E470" s="1980" t="s">
        <v>936</v>
      </c>
      <c r="F470" s="1962">
        <v>171.93923000000001</v>
      </c>
      <c r="G470" s="1962">
        <v>0</v>
      </c>
      <c r="H470" s="1962">
        <v>0</v>
      </c>
      <c r="I470" s="1962">
        <v>0</v>
      </c>
    </row>
    <row r="471" spans="1:9" hidden="1" outlineLevel="2" x14ac:dyDescent="0.2">
      <c r="A471" s="1980" t="s">
        <v>3415</v>
      </c>
      <c r="B471" s="1980" t="s">
        <v>3416</v>
      </c>
      <c r="C471" s="1980" t="s">
        <v>3914</v>
      </c>
      <c r="D471" s="1980" t="s">
        <v>3915</v>
      </c>
      <c r="E471" s="1980" t="s">
        <v>936</v>
      </c>
      <c r="F471" s="1962">
        <v>428.76724999999999</v>
      </c>
      <c r="G471" s="1962">
        <v>0</v>
      </c>
      <c r="H471" s="1962">
        <v>0</v>
      </c>
      <c r="I471" s="1962">
        <v>0</v>
      </c>
    </row>
    <row r="472" spans="1:9" hidden="1" outlineLevel="2" x14ac:dyDescent="0.2">
      <c r="A472" s="1980" t="s">
        <v>3415</v>
      </c>
      <c r="B472" s="1980" t="s">
        <v>3416</v>
      </c>
      <c r="C472" s="1980" t="s">
        <v>3916</v>
      </c>
      <c r="D472" s="1980" t="s">
        <v>3539</v>
      </c>
      <c r="E472" s="1980" t="s">
        <v>936</v>
      </c>
      <c r="F472" s="1962">
        <v>1943.2113099999999</v>
      </c>
      <c r="G472" s="1962">
        <v>0</v>
      </c>
      <c r="H472" s="1962">
        <v>0</v>
      </c>
      <c r="I472" s="1962">
        <v>0</v>
      </c>
    </row>
    <row r="473" spans="1:9" hidden="1" outlineLevel="2" x14ac:dyDescent="0.2">
      <c r="A473" s="1980" t="s">
        <v>3415</v>
      </c>
      <c r="B473" s="1980" t="s">
        <v>3416</v>
      </c>
      <c r="C473" s="1980" t="s">
        <v>3917</v>
      </c>
      <c r="D473" s="1980" t="s">
        <v>3545</v>
      </c>
      <c r="E473" s="1980" t="s">
        <v>936</v>
      </c>
      <c r="F473" s="1962">
        <v>6221.4018299999998</v>
      </c>
      <c r="G473" s="1962">
        <v>0</v>
      </c>
      <c r="H473" s="1962">
        <v>0</v>
      </c>
      <c r="I473" s="1962">
        <v>0</v>
      </c>
    </row>
    <row r="474" spans="1:9" hidden="1" outlineLevel="2" x14ac:dyDescent="0.2">
      <c r="A474" s="1980" t="s">
        <v>3415</v>
      </c>
      <c r="B474" s="1980" t="s">
        <v>3416</v>
      </c>
      <c r="C474" s="1980" t="s">
        <v>3918</v>
      </c>
      <c r="D474" s="1980" t="s">
        <v>3547</v>
      </c>
      <c r="E474" s="1980" t="s">
        <v>936</v>
      </c>
      <c r="F474" s="1962">
        <v>1280.4048499999999</v>
      </c>
      <c r="G474" s="1962">
        <v>0</v>
      </c>
      <c r="H474" s="1962">
        <v>0</v>
      </c>
      <c r="I474" s="1962">
        <v>0</v>
      </c>
    </row>
    <row r="475" spans="1:9" hidden="1" outlineLevel="2" x14ac:dyDescent="0.2">
      <c r="A475" s="1980" t="s">
        <v>3415</v>
      </c>
      <c r="B475" s="1980" t="s">
        <v>3416</v>
      </c>
      <c r="C475" s="1980" t="s">
        <v>3919</v>
      </c>
      <c r="D475" s="1980" t="s">
        <v>3582</v>
      </c>
      <c r="E475" s="1980" t="s">
        <v>936</v>
      </c>
      <c r="F475" s="1962">
        <v>459.69344000000001</v>
      </c>
      <c r="G475" s="1962">
        <v>0</v>
      </c>
      <c r="H475" s="1962">
        <v>0</v>
      </c>
      <c r="I475" s="1962">
        <v>0</v>
      </c>
    </row>
    <row r="476" spans="1:9" hidden="1" outlineLevel="2" x14ac:dyDescent="0.2">
      <c r="A476" s="1980" t="s">
        <v>3415</v>
      </c>
      <c r="B476" s="1980" t="s">
        <v>3416</v>
      </c>
      <c r="C476" s="1980" t="s">
        <v>3920</v>
      </c>
      <c r="D476" s="1980" t="s">
        <v>3921</v>
      </c>
      <c r="E476" s="1980" t="s">
        <v>936</v>
      </c>
      <c r="F476" s="1962">
        <v>2096.5670500000001</v>
      </c>
      <c r="G476" s="1962">
        <v>0</v>
      </c>
      <c r="H476" s="1962">
        <v>0</v>
      </c>
      <c r="I476" s="1962">
        <v>0</v>
      </c>
    </row>
    <row r="477" spans="1:9" hidden="1" outlineLevel="2" x14ac:dyDescent="0.2">
      <c r="A477" s="1980" t="s">
        <v>3415</v>
      </c>
      <c r="B477" s="1980" t="s">
        <v>3416</v>
      </c>
      <c r="C477" s="1980" t="s">
        <v>3922</v>
      </c>
      <c r="D477" s="1980" t="s">
        <v>3923</v>
      </c>
      <c r="E477" s="1980" t="s">
        <v>936</v>
      </c>
      <c r="F477" s="1962">
        <v>11113.2752</v>
      </c>
      <c r="G477" s="1962">
        <v>0</v>
      </c>
      <c r="H477" s="1962">
        <v>0</v>
      </c>
      <c r="I477" s="1962">
        <v>0</v>
      </c>
    </row>
    <row r="478" spans="1:9" hidden="1" outlineLevel="2" x14ac:dyDescent="0.2">
      <c r="A478" s="1980" t="s">
        <v>3415</v>
      </c>
      <c r="B478" s="1980" t="s">
        <v>3416</v>
      </c>
      <c r="C478" s="1980" t="s">
        <v>3924</v>
      </c>
      <c r="D478" s="1980" t="s">
        <v>3925</v>
      </c>
      <c r="E478" s="1980" t="s">
        <v>936</v>
      </c>
      <c r="F478" s="1962">
        <v>1836.0049200000001</v>
      </c>
      <c r="G478" s="1962">
        <v>0</v>
      </c>
      <c r="H478" s="1962">
        <v>0</v>
      </c>
      <c r="I478" s="1962">
        <v>0</v>
      </c>
    </row>
    <row r="479" spans="1:9" hidden="1" outlineLevel="2" x14ac:dyDescent="0.2">
      <c r="A479" s="1980" t="s">
        <v>3415</v>
      </c>
      <c r="B479" s="1980" t="s">
        <v>3416</v>
      </c>
      <c r="C479" s="1980" t="s">
        <v>3926</v>
      </c>
      <c r="D479" s="1980" t="s">
        <v>3927</v>
      </c>
      <c r="E479" s="1980" t="s">
        <v>936</v>
      </c>
      <c r="F479" s="1962">
        <v>0.436</v>
      </c>
      <c r="G479" s="1962">
        <v>0</v>
      </c>
      <c r="H479" s="1962">
        <v>0</v>
      </c>
      <c r="I479" s="1962">
        <v>0</v>
      </c>
    </row>
    <row r="480" spans="1:9" hidden="1" outlineLevel="2" x14ac:dyDescent="0.2">
      <c r="A480" s="1980" t="s">
        <v>3415</v>
      </c>
      <c r="B480" s="1980" t="s">
        <v>3416</v>
      </c>
      <c r="C480" s="1980" t="s">
        <v>3928</v>
      </c>
      <c r="D480" s="1980" t="s">
        <v>3929</v>
      </c>
      <c r="E480" s="1980" t="s">
        <v>936</v>
      </c>
      <c r="F480" s="1962">
        <v>-29.676439999999999</v>
      </c>
      <c r="G480" s="1962">
        <v>0</v>
      </c>
      <c r="H480" s="1962">
        <v>0</v>
      </c>
      <c r="I480" s="1962">
        <v>0</v>
      </c>
    </row>
    <row r="481" spans="1:9" hidden="1" outlineLevel="2" x14ac:dyDescent="0.2">
      <c r="A481" s="1980" t="s">
        <v>3415</v>
      </c>
      <c r="B481" s="1980" t="s">
        <v>3416</v>
      </c>
      <c r="C481" s="1980" t="s">
        <v>3930</v>
      </c>
      <c r="D481" s="1980" t="s">
        <v>3931</v>
      </c>
      <c r="E481" s="1980" t="s">
        <v>936</v>
      </c>
      <c r="F481" s="1962">
        <v>6.3997900000000003</v>
      </c>
      <c r="G481" s="1962">
        <v>0</v>
      </c>
      <c r="H481" s="1962">
        <v>0</v>
      </c>
      <c r="I481" s="1962">
        <v>0</v>
      </c>
    </row>
    <row r="482" spans="1:9" hidden="1" outlineLevel="2" x14ac:dyDescent="0.2">
      <c r="A482" s="1980" t="s">
        <v>3415</v>
      </c>
      <c r="B482" s="1980" t="s">
        <v>3416</v>
      </c>
      <c r="C482" s="1980" t="s">
        <v>3932</v>
      </c>
      <c r="D482" s="1980" t="s">
        <v>3933</v>
      </c>
      <c r="E482" s="1980" t="s">
        <v>936</v>
      </c>
      <c r="F482" s="1962">
        <v>21.026949999999999</v>
      </c>
      <c r="G482" s="1962">
        <v>0</v>
      </c>
      <c r="H482" s="1962">
        <v>0</v>
      </c>
      <c r="I482" s="1962">
        <v>0</v>
      </c>
    </row>
    <row r="483" spans="1:9" hidden="1" outlineLevel="2" x14ac:dyDescent="0.2">
      <c r="A483" s="1980" t="s">
        <v>3415</v>
      </c>
      <c r="B483" s="1980" t="s">
        <v>3416</v>
      </c>
      <c r="C483" s="1980" t="s">
        <v>3934</v>
      </c>
      <c r="D483" s="1980" t="s">
        <v>3935</v>
      </c>
      <c r="E483" s="1980" t="s">
        <v>936</v>
      </c>
      <c r="F483" s="1962">
        <v>534.08069</v>
      </c>
      <c r="G483" s="1962">
        <v>0</v>
      </c>
      <c r="H483" s="1962">
        <v>0</v>
      </c>
      <c r="I483" s="1962">
        <v>0</v>
      </c>
    </row>
    <row r="484" spans="1:9" hidden="1" outlineLevel="2" x14ac:dyDescent="0.2">
      <c r="A484" s="1980" t="s">
        <v>3415</v>
      </c>
      <c r="B484" s="1980" t="s">
        <v>3416</v>
      </c>
      <c r="C484" s="1980" t="s">
        <v>3936</v>
      </c>
      <c r="D484" s="1980" t="s">
        <v>3937</v>
      </c>
      <c r="E484" s="1980" t="s">
        <v>936</v>
      </c>
      <c r="F484" s="1962">
        <v>19.904620000000001</v>
      </c>
      <c r="G484" s="1962">
        <v>0</v>
      </c>
      <c r="H484" s="1962">
        <v>0</v>
      </c>
      <c r="I484" s="1962">
        <v>0</v>
      </c>
    </row>
    <row r="485" spans="1:9" hidden="1" outlineLevel="2" x14ac:dyDescent="0.2">
      <c r="A485" s="1980" t="s">
        <v>3415</v>
      </c>
      <c r="B485" s="1980" t="s">
        <v>3416</v>
      </c>
      <c r="C485" s="1980" t="s">
        <v>3938</v>
      </c>
      <c r="D485" s="1980" t="s">
        <v>3939</v>
      </c>
      <c r="E485" s="1980" t="s">
        <v>936</v>
      </c>
      <c r="F485" s="1962">
        <v>606.10437999999999</v>
      </c>
      <c r="G485" s="1962">
        <v>0</v>
      </c>
      <c r="H485" s="1962">
        <v>0</v>
      </c>
      <c r="I485" s="1962">
        <v>0</v>
      </c>
    </row>
    <row r="486" spans="1:9" hidden="1" outlineLevel="2" x14ac:dyDescent="0.2">
      <c r="A486" s="1980" t="s">
        <v>3415</v>
      </c>
      <c r="B486" s="1980" t="s">
        <v>3416</v>
      </c>
      <c r="C486" s="1980" t="s">
        <v>3940</v>
      </c>
      <c r="D486" s="1980" t="s">
        <v>3941</v>
      </c>
      <c r="E486" s="1980" t="s">
        <v>936</v>
      </c>
      <c r="F486" s="1962">
        <v>168.84137999999999</v>
      </c>
      <c r="G486" s="1962">
        <v>0</v>
      </c>
      <c r="H486" s="1962">
        <v>0</v>
      </c>
      <c r="I486" s="1962">
        <v>0</v>
      </c>
    </row>
    <row r="487" spans="1:9" hidden="1" outlineLevel="2" x14ac:dyDescent="0.2">
      <c r="A487" s="1980" t="s">
        <v>3415</v>
      </c>
      <c r="B487" s="1980" t="s">
        <v>3416</v>
      </c>
      <c r="C487" s="1980" t="s">
        <v>3942</v>
      </c>
      <c r="D487" s="1980" t="s">
        <v>3943</v>
      </c>
      <c r="E487" s="1980" t="s">
        <v>936</v>
      </c>
      <c r="F487" s="1962">
        <v>904.0471</v>
      </c>
      <c r="G487" s="1962">
        <v>0</v>
      </c>
      <c r="H487" s="1962">
        <v>0</v>
      </c>
      <c r="I487" s="1962">
        <v>0</v>
      </c>
    </row>
    <row r="488" spans="1:9" hidden="1" outlineLevel="2" x14ac:dyDescent="0.2">
      <c r="A488" s="1980" t="s">
        <v>3415</v>
      </c>
      <c r="B488" s="1980" t="s">
        <v>3416</v>
      </c>
      <c r="C488" s="1980" t="s">
        <v>3944</v>
      </c>
      <c r="D488" s="1980" t="s">
        <v>3945</v>
      </c>
      <c r="E488" s="1980" t="s">
        <v>936</v>
      </c>
      <c r="F488" s="1962">
        <v>31.07817</v>
      </c>
      <c r="G488" s="1962">
        <v>0</v>
      </c>
      <c r="H488" s="1962">
        <v>0</v>
      </c>
      <c r="I488" s="1962">
        <v>0</v>
      </c>
    </row>
    <row r="489" spans="1:9" hidden="1" outlineLevel="2" x14ac:dyDescent="0.2">
      <c r="A489" s="1980" t="s">
        <v>3415</v>
      </c>
      <c r="B489" s="1980" t="s">
        <v>3416</v>
      </c>
      <c r="C489" s="1980" t="s">
        <v>3946</v>
      </c>
      <c r="D489" s="1980" t="s">
        <v>3947</v>
      </c>
      <c r="E489" s="1980" t="s">
        <v>936</v>
      </c>
      <c r="F489" s="1962">
        <v>142.82818</v>
      </c>
      <c r="G489" s="1962">
        <v>0</v>
      </c>
      <c r="H489" s="1962">
        <v>0</v>
      </c>
      <c r="I489" s="1962">
        <v>0</v>
      </c>
    </row>
    <row r="490" spans="1:9" hidden="1" outlineLevel="2" x14ac:dyDescent="0.2">
      <c r="A490" s="1980" t="s">
        <v>3415</v>
      </c>
      <c r="B490" s="1980" t="s">
        <v>3416</v>
      </c>
      <c r="C490" s="1980" t="s">
        <v>3948</v>
      </c>
      <c r="D490" s="1980" t="s">
        <v>3949</v>
      </c>
      <c r="E490" s="1980" t="s">
        <v>936</v>
      </c>
      <c r="F490" s="1962">
        <v>169.86372</v>
      </c>
      <c r="G490" s="1962">
        <v>0</v>
      </c>
      <c r="H490" s="1962">
        <v>0</v>
      </c>
      <c r="I490" s="1962">
        <v>0</v>
      </c>
    </row>
    <row r="491" spans="1:9" hidden="1" outlineLevel="2" x14ac:dyDescent="0.2">
      <c r="A491" s="1980" t="s">
        <v>3415</v>
      </c>
      <c r="B491" s="1980" t="s">
        <v>3416</v>
      </c>
      <c r="C491" s="1980" t="s">
        <v>3950</v>
      </c>
      <c r="D491" s="1980" t="s">
        <v>3951</v>
      </c>
      <c r="E491" s="1980" t="s">
        <v>936</v>
      </c>
      <c r="F491" s="1962">
        <v>3.6276199999999998</v>
      </c>
      <c r="G491" s="1962">
        <v>0</v>
      </c>
      <c r="H491" s="1962">
        <v>0</v>
      </c>
      <c r="I491" s="1962">
        <v>0</v>
      </c>
    </row>
    <row r="492" spans="1:9" hidden="1" outlineLevel="2" x14ac:dyDescent="0.2">
      <c r="A492" s="1980" t="s">
        <v>3415</v>
      </c>
      <c r="B492" s="1980" t="s">
        <v>3416</v>
      </c>
      <c r="C492" s="1980" t="s">
        <v>3952</v>
      </c>
      <c r="D492" s="1980" t="s">
        <v>3953</v>
      </c>
      <c r="E492" s="1980" t="s">
        <v>936</v>
      </c>
      <c r="F492" s="1962">
        <v>60.461350000000003</v>
      </c>
      <c r="G492" s="1962">
        <v>0</v>
      </c>
      <c r="H492" s="1962">
        <v>0</v>
      </c>
      <c r="I492" s="1962">
        <v>0</v>
      </c>
    </row>
    <row r="493" spans="1:9" hidden="1" outlineLevel="2" x14ac:dyDescent="0.2">
      <c r="A493" s="1980" t="s">
        <v>3415</v>
      </c>
      <c r="B493" s="1980" t="s">
        <v>3416</v>
      </c>
      <c r="C493" s="1980" t="s">
        <v>3954</v>
      </c>
      <c r="D493" s="1980" t="s">
        <v>3955</v>
      </c>
      <c r="E493" s="1980" t="s">
        <v>936</v>
      </c>
      <c r="F493" s="1962">
        <v>1203.22327</v>
      </c>
      <c r="G493" s="1962">
        <v>0</v>
      </c>
      <c r="H493" s="1962">
        <v>0</v>
      </c>
      <c r="I493" s="1962">
        <v>0</v>
      </c>
    </row>
    <row r="494" spans="1:9" hidden="1" outlineLevel="2" x14ac:dyDescent="0.2">
      <c r="A494" s="1980" t="s">
        <v>3415</v>
      </c>
      <c r="B494" s="1980" t="s">
        <v>3416</v>
      </c>
      <c r="C494" s="1980" t="s">
        <v>3956</v>
      </c>
      <c r="D494" s="1980" t="s">
        <v>3957</v>
      </c>
      <c r="E494" s="1980" t="s">
        <v>936</v>
      </c>
      <c r="F494" s="1962">
        <v>58.164349999999999</v>
      </c>
      <c r="G494" s="1962">
        <v>0</v>
      </c>
      <c r="H494" s="1962">
        <v>0</v>
      </c>
      <c r="I494" s="1962">
        <v>0</v>
      </c>
    </row>
    <row r="495" spans="1:9" hidden="1" outlineLevel="2" x14ac:dyDescent="0.2">
      <c r="A495" s="1980" t="s">
        <v>3415</v>
      </c>
      <c r="B495" s="1980" t="s">
        <v>3416</v>
      </c>
      <c r="C495" s="1980" t="s">
        <v>3958</v>
      </c>
      <c r="D495" s="1980" t="s">
        <v>3959</v>
      </c>
      <c r="E495" s="1980" t="s">
        <v>936</v>
      </c>
      <c r="F495" s="1962">
        <v>59.140839999999997</v>
      </c>
      <c r="G495" s="1962">
        <v>0</v>
      </c>
      <c r="H495" s="1962">
        <v>0</v>
      </c>
      <c r="I495" s="1962">
        <v>0</v>
      </c>
    </row>
    <row r="496" spans="1:9" hidden="1" outlineLevel="2" x14ac:dyDescent="0.2">
      <c r="A496" s="1980" t="s">
        <v>3415</v>
      </c>
      <c r="B496" s="1980" t="s">
        <v>3416</v>
      </c>
      <c r="C496" s="1980" t="s">
        <v>3960</v>
      </c>
      <c r="D496" s="1980" t="s">
        <v>3961</v>
      </c>
      <c r="E496" s="1980" t="s">
        <v>936</v>
      </c>
      <c r="F496" s="1962">
        <v>204.65092000000001</v>
      </c>
      <c r="G496" s="1962">
        <v>0</v>
      </c>
      <c r="H496" s="1962">
        <v>0</v>
      </c>
      <c r="I496" s="1962">
        <v>0</v>
      </c>
    </row>
    <row r="497" spans="1:9" hidden="1" outlineLevel="2" x14ac:dyDescent="0.2">
      <c r="A497" s="1980" t="s">
        <v>3415</v>
      </c>
      <c r="B497" s="1980" t="s">
        <v>3416</v>
      </c>
      <c r="C497" s="1980" t="s">
        <v>3962</v>
      </c>
      <c r="D497" s="1980" t="s">
        <v>3963</v>
      </c>
      <c r="E497" s="1980" t="s">
        <v>936</v>
      </c>
      <c r="F497" s="1962">
        <v>0.89290999999999998</v>
      </c>
      <c r="G497" s="1962">
        <v>0</v>
      </c>
      <c r="H497" s="1962">
        <v>0</v>
      </c>
      <c r="I497" s="1962">
        <v>0</v>
      </c>
    </row>
    <row r="498" spans="1:9" hidden="1" outlineLevel="2" x14ac:dyDescent="0.2">
      <c r="A498" s="1980" t="s">
        <v>3415</v>
      </c>
      <c r="B498" s="1980" t="s">
        <v>3416</v>
      </c>
      <c r="C498" s="1980" t="s">
        <v>3964</v>
      </c>
      <c r="D498" s="1980" t="s">
        <v>3965</v>
      </c>
      <c r="E498" s="1980" t="s">
        <v>936</v>
      </c>
      <c r="F498" s="1962">
        <v>1.14706</v>
      </c>
      <c r="G498" s="1962">
        <v>0</v>
      </c>
      <c r="H498" s="1962">
        <v>0</v>
      </c>
      <c r="I498" s="1962">
        <v>0</v>
      </c>
    </row>
    <row r="499" spans="1:9" hidden="1" outlineLevel="2" x14ac:dyDescent="0.2">
      <c r="A499" s="1980" t="s">
        <v>3415</v>
      </c>
      <c r="B499" s="1980" t="s">
        <v>3416</v>
      </c>
      <c r="C499" s="1980" t="s">
        <v>3966</v>
      </c>
      <c r="D499" s="1980" t="s">
        <v>3967</v>
      </c>
      <c r="E499" s="1980" t="s">
        <v>936</v>
      </c>
      <c r="F499" s="1962">
        <v>32.74492</v>
      </c>
      <c r="G499" s="1962">
        <v>0</v>
      </c>
      <c r="H499" s="1962">
        <v>0</v>
      </c>
      <c r="I499" s="1962">
        <v>0</v>
      </c>
    </row>
    <row r="500" spans="1:9" hidden="1" outlineLevel="2" x14ac:dyDescent="0.2">
      <c r="A500" s="1980" t="s">
        <v>3415</v>
      </c>
      <c r="B500" s="1980" t="s">
        <v>3416</v>
      </c>
      <c r="C500" s="1980" t="s">
        <v>3968</v>
      </c>
      <c r="D500" s="1980" t="s">
        <v>3969</v>
      </c>
      <c r="E500" s="1980" t="s">
        <v>936</v>
      </c>
      <c r="F500" s="1962">
        <v>154.75172000000001</v>
      </c>
      <c r="G500" s="1962">
        <v>0</v>
      </c>
      <c r="H500" s="1962">
        <v>0</v>
      </c>
      <c r="I500" s="1962">
        <v>0</v>
      </c>
    </row>
    <row r="501" spans="1:9" hidden="1" outlineLevel="2" x14ac:dyDescent="0.2">
      <c r="A501" s="1980" t="s">
        <v>3415</v>
      </c>
      <c r="B501" s="1980" t="s">
        <v>3416</v>
      </c>
      <c r="C501" s="1980" t="s">
        <v>3970</v>
      </c>
      <c r="D501" s="1980" t="s">
        <v>3971</v>
      </c>
      <c r="E501" s="1980" t="s">
        <v>936</v>
      </c>
      <c r="F501" s="1962">
        <v>0.59624999999999995</v>
      </c>
      <c r="G501" s="1962">
        <v>0</v>
      </c>
      <c r="H501" s="1962">
        <v>0</v>
      </c>
      <c r="I501" s="1962">
        <v>0</v>
      </c>
    </row>
    <row r="502" spans="1:9" hidden="1" outlineLevel="2" x14ac:dyDescent="0.2">
      <c r="A502" s="1980" t="s">
        <v>3415</v>
      </c>
      <c r="B502" s="1980" t="s">
        <v>3416</v>
      </c>
      <c r="C502" s="1980" t="s">
        <v>3972</v>
      </c>
      <c r="D502" s="1980" t="s">
        <v>3973</v>
      </c>
      <c r="E502" s="1980" t="s">
        <v>936</v>
      </c>
      <c r="F502" s="1962">
        <v>7.7400000000000004E-3</v>
      </c>
      <c r="G502" s="1962">
        <v>0</v>
      </c>
      <c r="H502" s="1962">
        <v>0</v>
      </c>
      <c r="I502" s="1962">
        <v>0</v>
      </c>
    </row>
    <row r="503" spans="1:9" hidden="1" outlineLevel="2" x14ac:dyDescent="0.2">
      <c r="A503" s="1980" t="s">
        <v>3415</v>
      </c>
      <c r="B503" s="1980" t="s">
        <v>3416</v>
      </c>
      <c r="C503" s="1980" t="s">
        <v>3974</v>
      </c>
      <c r="D503" s="1980" t="s">
        <v>3975</v>
      </c>
      <c r="E503" s="1980" t="s">
        <v>936</v>
      </c>
      <c r="F503" s="1962">
        <v>34.96707</v>
      </c>
      <c r="G503" s="1962">
        <v>0</v>
      </c>
      <c r="H503" s="1962">
        <v>0</v>
      </c>
      <c r="I503" s="1962">
        <v>0</v>
      </c>
    </row>
    <row r="504" spans="1:9" hidden="1" outlineLevel="2" x14ac:dyDescent="0.2">
      <c r="A504" s="1980" t="s">
        <v>3415</v>
      </c>
      <c r="B504" s="1980" t="s">
        <v>3416</v>
      </c>
      <c r="C504" s="1980" t="s">
        <v>3976</v>
      </c>
      <c r="D504" s="1980" t="s">
        <v>3977</v>
      </c>
      <c r="E504" s="1980" t="s">
        <v>936</v>
      </c>
      <c r="F504" s="1962">
        <v>29.709720000000001</v>
      </c>
      <c r="G504" s="1962">
        <v>0</v>
      </c>
      <c r="H504" s="1962">
        <v>0</v>
      </c>
      <c r="I504" s="1962">
        <v>0</v>
      </c>
    </row>
    <row r="505" spans="1:9" hidden="1" outlineLevel="2" x14ac:dyDescent="0.2">
      <c r="A505" s="1980" t="s">
        <v>3415</v>
      </c>
      <c r="B505" s="1980" t="s">
        <v>3416</v>
      </c>
      <c r="C505" s="1980" t="s">
        <v>3978</v>
      </c>
      <c r="D505" s="1980" t="s">
        <v>3979</v>
      </c>
      <c r="E505" s="1980" t="s">
        <v>936</v>
      </c>
      <c r="F505" s="1962">
        <v>-26.626629999999999</v>
      </c>
      <c r="G505" s="1962">
        <v>0</v>
      </c>
      <c r="H505" s="1962">
        <v>0</v>
      </c>
      <c r="I505" s="1962">
        <v>0</v>
      </c>
    </row>
    <row r="506" spans="1:9" hidden="1" outlineLevel="2" x14ac:dyDescent="0.2">
      <c r="A506" s="1980" t="s">
        <v>3415</v>
      </c>
      <c r="B506" s="1980" t="s">
        <v>3416</v>
      </c>
      <c r="C506" s="1980" t="s">
        <v>3980</v>
      </c>
      <c r="D506" s="1980" t="s">
        <v>3981</v>
      </c>
      <c r="E506" s="1980" t="s">
        <v>936</v>
      </c>
      <c r="F506" s="1962">
        <v>7.7960000000000003</v>
      </c>
      <c r="G506" s="1962">
        <v>0</v>
      </c>
      <c r="H506" s="1962">
        <v>0</v>
      </c>
      <c r="I506" s="1962">
        <v>0</v>
      </c>
    </row>
    <row r="507" spans="1:9" hidden="1" outlineLevel="2" x14ac:dyDescent="0.2">
      <c r="A507" s="1980" t="s">
        <v>3415</v>
      </c>
      <c r="B507" s="1980" t="s">
        <v>3416</v>
      </c>
      <c r="C507" s="1980" t="s">
        <v>3982</v>
      </c>
      <c r="D507" s="1980" t="s">
        <v>3983</v>
      </c>
      <c r="E507" s="1980" t="s">
        <v>936</v>
      </c>
      <c r="F507" s="1962">
        <v>2.48142</v>
      </c>
      <c r="G507" s="1962">
        <v>0</v>
      </c>
      <c r="H507" s="1962">
        <v>0</v>
      </c>
      <c r="I507" s="1962">
        <v>0</v>
      </c>
    </row>
    <row r="508" spans="1:9" hidden="1" outlineLevel="2" x14ac:dyDescent="0.2">
      <c r="A508" s="1980" t="s">
        <v>3415</v>
      </c>
      <c r="B508" s="1980" t="s">
        <v>3416</v>
      </c>
      <c r="C508" s="1980" t="s">
        <v>3984</v>
      </c>
      <c r="D508" s="1980" t="s">
        <v>3985</v>
      </c>
      <c r="E508" s="1980" t="s">
        <v>936</v>
      </c>
      <c r="F508" s="1962">
        <v>42.010570000000001</v>
      </c>
      <c r="G508" s="1962">
        <v>0</v>
      </c>
      <c r="H508" s="1962">
        <v>0</v>
      </c>
      <c r="I508" s="1962">
        <v>0</v>
      </c>
    </row>
    <row r="509" spans="1:9" hidden="1" outlineLevel="2" x14ac:dyDescent="0.2">
      <c r="A509" s="1980" t="s">
        <v>3415</v>
      </c>
      <c r="B509" s="1980" t="s">
        <v>3416</v>
      </c>
      <c r="C509" s="1980" t="s">
        <v>3986</v>
      </c>
      <c r="D509" s="1980" t="s">
        <v>3987</v>
      </c>
      <c r="E509" s="1980" t="s">
        <v>936</v>
      </c>
      <c r="F509" s="1962">
        <v>1.0000000000000001E-5</v>
      </c>
      <c r="G509" s="1962">
        <v>0</v>
      </c>
      <c r="H509" s="1962">
        <v>0</v>
      </c>
      <c r="I509" s="1962">
        <v>0</v>
      </c>
    </row>
    <row r="510" spans="1:9" hidden="1" outlineLevel="2" x14ac:dyDescent="0.2">
      <c r="A510" s="1980" t="s">
        <v>3415</v>
      </c>
      <c r="B510" s="1980" t="s">
        <v>3416</v>
      </c>
      <c r="C510" s="1980" t="s">
        <v>3988</v>
      </c>
      <c r="D510" s="1980" t="s">
        <v>3989</v>
      </c>
      <c r="E510" s="1980" t="s">
        <v>936</v>
      </c>
      <c r="F510" s="1962">
        <v>38.10718</v>
      </c>
      <c r="G510" s="1962">
        <v>0</v>
      </c>
      <c r="H510" s="1962">
        <v>0</v>
      </c>
      <c r="I510" s="1962">
        <v>0</v>
      </c>
    </row>
    <row r="511" spans="1:9" hidden="1" outlineLevel="2" x14ac:dyDescent="0.2">
      <c r="A511" s="1980" t="s">
        <v>3415</v>
      </c>
      <c r="B511" s="1980" t="s">
        <v>3416</v>
      </c>
      <c r="C511" s="1980" t="s">
        <v>3990</v>
      </c>
      <c r="D511" s="1980" t="s">
        <v>3559</v>
      </c>
      <c r="E511" s="1980" t="s">
        <v>936</v>
      </c>
      <c r="F511" s="1962">
        <v>10293.442940000001</v>
      </c>
      <c r="G511" s="1962">
        <v>0</v>
      </c>
      <c r="H511" s="1962">
        <v>0</v>
      </c>
      <c r="I511" s="1962">
        <v>0</v>
      </c>
    </row>
    <row r="512" spans="1:9" hidden="1" outlineLevel="2" x14ac:dyDescent="0.2">
      <c r="A512" s="1980" t="s">
        <v>3415</v>
      </c>
      <c r="B512" s="1980" t="s">
        <v>3416</v>
      </c>
      <c r="C512" s="1980" t="s">
        <v>3991</v>
      </c>
      <c r="D512" s="1980" t="s">
        <v>3992</v>
      </c>
      <c r="E512" s="1980" t="s">
        <v>936</v>
      </c>
      <c r="F512" s="1962">
        <v>66.270449999999997</v>
      </c>
      <c r="G512" s="1962">
        <v>0</v>
      </c>
      <c r="H512" s="1962">
        <v>0</v>
      </c>
      <c r="I512" s="1962">
        <v>0</v>
      </c>
    </row>
    <row r="513" spans="1:9" hidden="1" outlineLevel="2" x14ac:dyDescent="0.2">
      <c r="A513" s="1980" t="s">
        <v>3415</v>
      </c>
      <c r="B513" s="1980" t="s">
        <v>3416</v>
      </c>
      <c r="C513" s="1980" t="s">
        <v>3993</v>
      </c>
      <c r="D513" s="1980" t="s">
        <v>3994</v>
      </c>
      <c r="E513" s="1980" t="s">
        <v>936</v>
      </c>
      <c r="F513" s="1962">
        <v>1444.7774899999999</v>
      </c>
      <c r="G513" s="1962">
        <v>0</v>
      </c>
      <c r="H513" s="1962">
        <v>0</v>
      </c>
      <c r="I513" s="1962">
        <v>0</v>
      </c>
    </row>
    <row r="514" spans="1:9" hidden="1" outlineLevel="2" x14ac:dyDescent="0.2">
      <c r="A514" s="1980" t="s">
        <v>3415</v>
      </c>
      <c r="B514" s="1980" t="s">
        <v>3416</v>
      </c>
      <c r="C514" s="1980" t="s">
        <v>3995</v>
      </c>
      <c r="D514" s="1980" t="s">
        <v>3996</v>
      </c>
      <c r="E514" s="1980" t="s">
        <v>936</v>
      </c>
      <c r="F514" s="1962">
        <v>2168.27189</v>
      </c>
      <c r="G514" s="1962">
        <v>0</v>
      </c>
      <c r="H514" s="1962">
        <v>0</v>
      </c>
      <c r="I514" s="1962">
        <v>0</v>
      </c>
    </row>
    <row r="515" spans="1:9" hidden="1" outlineLevel="2" x14ac:dyDescent="0.2">
      <c r="A515" s="1980" t="s">
        <v>3415</v>
      </c>
      <c r="B515" s="1980" t="s">
        <v>3416</v>
      </c>
      <c r="C515" s="1980" t="s">
        <v>3997</v>
      </c>
      <c r="D515" s="1980" t="s">
        <v>3998</v>
      </c>
      <c r="E515" s="1980" t="s">
        <v>936</v>
      </c>
      <c r="F515" s="1962">
        <v>119.81564</v>
      </c>
      <c r="G515" s="1962">
        <v>0</v>
      </c>
      <c r="H515" s="1962">
        <v>0</v>
      </c>
      <c r="I515" s="1962">
        <v>0</v>
      </c>
    </row>
    <row r="516" spans="1:9" hidden="1" outlineLevel="2" x14ac:dyDescent="0.2">
      <c r="A516" s="1980" t="s">
        <v>3415</v>
      </c>
      <c r="B516" s="1980" t="s">
        <v>3416</v>
      </c>
      <c r="C516" s="1980" t="s">
        <v>3999</v>
      </c>
      <c r="D516" s="1980" t="s">
        <v>4000</v>
      </c>
      <c r="E516" s="1980" t="s">
        <v>936</v>
      </c>
      <c r="F516" s="1962">
        <v>1543.8144400000001</v>
      </c>
      <c r="G516" s="1962">
        <v>0</v>
      </c>
      <c r="H516" s="1962">
        <v>0</v>
      </c>
      <c r="I516" s="1962">
        <v>0</v>
      </c>
    </row>
    <row r="517" spans="1:9" hidden="1" outlineLevel="2" x14ac:dyDescent="0.2">
      <c r="A517" s="1980" t="s">
        <v>3415</v>
      </c>
      <c r="B517" s="1980" t="s">
        <v>3416</v>
      </c>
      <c r="C517" s="1980" t="s">
        <v>4001</v>
      </c>
      <c r="D517" s="1980" t="s">
        <v>4002</v>
      </c>
      <c r="E517" s="1980" t="s">
        <v>936</v>
      </c>
      <c r="F517" s="1962">
        <v>115.78887</v>
      </c>
      <c r="G517" s="1962">
        <v>0</v>
      </c>
      <c r="H517" s="1962">
        <v>0</v>
      </c>
      <c r="I517" s="1962">
        <v>0</v>
      </c>
    </row>
    <row r="518" spans="1:9" hidden="1" outlineLevel="2" x14ac:dyDescent="0.2">
      <c r="A518" s="1980" t="s">
        <v>3415</v>
      </c>
      <c r="B518" s="1980" t="s">
        <v>3416</v>
      </c>
      <c r="C518" s="1980" t="s">
        <v>4003</v>
      </c>
      <c r="D518" s="1980" t="s">
        <v>4004</v>
      </c>
      <c r="E518" s="1980" t="s">
        <v>936</v>
      </c>
      <c r="F518" s="1962">
        <v>318.8664</v>
      </c>
      <c r="G518" s="1962">
        <v>0</v>
      </c>
      <c r="H518" s="1962">
        <v>0</v>
      </c>
      <c r="I518" s="1962">
        <v>0</v>
      </c>
    </row>
    <row r="519" spans="1:9" hidden="1" outlineLevel="2" x14ac:dyDescent="0.2">
      <c r="A519" s="1980" t="s">
        <v>3415</v>
      </c>
      <c r="B519" s="1980" t="s">
        <v>3416</v>
      </c>
      <c r="C519" s="1980" t="s">
        <v>4005</v>
      </c>
      <c r="D519" s="1980" t="s">
        <v>3539</v>
      </c>
      <c r="E519" s="1980" t="s">
        <v>936</v>
      </c>
      <c r="F519" s="1962">
        <v>1313.7971199999999</v>
      </c>
      <c r="G519" s="1962">
        <v>0</v>
      </c>
      <c r="H519" s="1962">
        <v>0</v>
      </c>
      <c r="I519" s="1962">
        <v>0</v>
      </c>
    </row>
    <row r="520" spans="1:9" hidden="1" outlineLevel="2" x14ac:dyDescent="0.2">
      <c r="A520" s="1980" t="s">
        <v>3415</v>
      </c>
      <c r="B520" s="1980" t="s">
        <v>3416</v>
      </c>
      <c r="C520" s="1980" t="s">
        <v>4006</v>
      </c>
      <c r="D520" s="1980" t="s">
        <v>3545</v>
      </c>
      <c r="E520" s="1980" t="s">
        <v>936</v>
      </c>
      <c r="F520" s="1962">
        <v>8289.5647200000003</v>
      </c>
      <c r="G520" s="1962">
        <v>0</v>
      </c>
      <c r="H520" s="1962">
        <v>0</v>
      </c>
      <c r="I520" s="1962">
        <v>0</v>
      </c>
    </row>
    <row r="521" spans="1:9" hidden="1" outlineLevel="2" x14ac:dyDescent="0.2">
      <c r="A521" s="1980" t="s">
        <v>3415</v>
      </c>
      <c r="B521" s="1980" t="s">
        <v>3416</v>
      </c>
      <c r="C521" s="1980" t="s">
        <v>4007</v>
      </c>
      <c r="D521" s="1980" t="s">
        <v>3547</v>
      </c>
      <c r="E521" s="1980" t="s">
        <v>936</v>
      </c>
      <c r="F521" s="1962">
        <v>1444.13159</v>
      </c>
      <c r="G521" s="1962">
        <v>0</v>
      </c>
      <c r="H521" s="1962">
        <v>0</v>
      </c>
      <c r="I521" s="1962">
        <v>0</v>
      </c>
    </row>
    <row r="522" spans="1:9" hidden="1" outlineLevel="2" x14ac:dyDescent="0.2">
      <c r="A522" s="1980" t="s">
        <v>3415</v>
      </c>
      <c r="B522" s="1980" t="s">
        <v>3416</v>
      </c>
      <c r="C522" s="1980" t="s">
        <v>4008</v>
      </c>
      <c r="D522" s="1980" t="s">
        <v>4009</v>
      </c>
      <c r="E522" s="1980" t="s">
        <v>936</v>
      </c>
      <c r="F522" s="1962">
        <v>806.65102000000002</v>
      </c>
      <c r="G522" s="1962">
        <v>0</v>
      </c>
      <c r="H522" s="1962">
        <v>0</v>
      </c>
      <c r="I522" s="1962">
        <v>0</v>
      </c>
    </row>
    <row r="523" spans="1:9" hidden="1" outlineLevel="2" x14ac:dyDescent="0.2">
      <c r="A523" s="1980" t="s">
        <v>3415</v>
      </c>
      <c r="B523" s="1980" t="s">
        <v>3416</v>
      </c>
      <c r="C523" s="1980" t="s">
        <v>4010</v>
      </c>
      <c r="D523" s="1980" t="s">
        <v>4011</v>
      </c>
      <c r="E523" s="1980" t="s">
        <v>936</v>
      </c>
      <c r="F523" s="1962">
        <v>20268.770469999999</v>
      </c>
      <c r="G523" s="1962">
        <v>0</v>
      </c>
      <c r="H523" s="1962">
        <v>0</v>
      </c>
      <c r="I523" s="1962">
        <v>0</v>
      </c>
    </row>
    <row r="524" spans="1:9" hidden="1" outlineLevel="2" x14ac:dyDescent="0.2">
      <c r="A524" s="1980" t="s">
        <v>3415</v>
      </c>
      <c r="B524" s="1980" t="s">
        <v>3416</v>
      </c>
      <c r="C524" s="1980" t="s">
        <v>4012</v>
      </c>
      <c r="D524" s="1980" t="s">
        <v>4013</v>
      </c>
      <c r="E524" s="1980" t="s">
        <v>936</v>
      </c>
      <c r="F524" s="1962">
        <v>1406.0877399999999</v>
      </c>
      <c r="G524" s="1962">
        <v>0</v>
      </c>
      <c r="H524" s="1962">
        <v>0</v>
      </c>
      <c r="I524" s="1962">
        <v>0</v>
      </c>
    </row>
    <row r="525" spans="1:9" hidden="1" outlineLevel="2" x14ac:dyDescent="0.2">
      <c r="A525" s="1980" t="s">
        <v>3415</v>
      </c>
      <c r="B525" s="1980" t="s">
        <v>3416</v>
      </c>
      <c r="C525" s="1980" t="s">
        <v>4014</v>
      </c>
      <c r="D525" s="1980" t="s">
        <v>3933</v>
      </c>
      <c r="E525" s="1980" t="s">
        <v>936</v>
      </c>
      <c r="F525" s="1962">
        <v>70.297430000000006</v>
      </c>
      <c r="G525" s="1962">
        <v>0</v>
      </c>
      <c r="H525" s="1962">
        <v>0</v>
      </c>
      <c r="I525" s="1962">
        <v>0</v>
      </c>
    </row>
    <row r="526" spans="1:9" hidden="1" outlineLevel="2" x14ac:dyDescent="0.2">
      <c r="A526" s="1980" t="s">
        <v>3415</v>
      </c>
      <c r="B526" s="1980" t="s">
        <v>3416</v>
      </c>
      <c r="C526" s="1980" t="s">
        <v>4015</v>
      </c>
      <c r="D526" s="1980" t="s">
        <v>4016</v>
      </c>
      <c r="E526" s="1980" t="s">
        <v>936</v>
      </c>
      <c r="F526" s="1962">
        <v>764.78471999999999</v>
      </c>
      <c r="G526" s="1962">
        <v>0</v>
      </c>
      <c r="H526" s="1962">
        <v>0</v>
      </c>
      <c r="I526" s="1962">
        <v>0</v>
      </c>
    </row>
    <row r="527" spans="1:9" hidden="1" outlineLevel="2" x14ac:dyDescent="0.2">
      <c r="A527" s="1980" t="s">
        <v>3415</v>
      </c>
      <c r="B527" s="1980" t="s">
        <v>3416</v>
      </c>
      <c r="C527" s="1980" t="s">
        <v>4017</v>
      </c>
      <c r="D527" s="1980" t="s">
        <v>3582</v>
      </c>
      <c r="E527" s="1980" t="s">
        <v>936</v>
      </c>
      <c r="F527" s="1962">
        <v>134.89554000000001</v>
      </c>
      <c r="G527" s="1962">
        <v>0</v>
      </c>
      <c r="H527" s="1962">
        <v>0</v>
      </c>
      <c r="I527" s="1962">
        <v>0</v>
      </c>
    </row>
    <row r="528" spans="1:9" hidden="1" outlineLevel="2" x14ac:dyDescent="0.2">
      <c r="A528" s="1980" t="s">
        <v>3415</v>
      </c>
      <c r="B528" s="1980" t="s">
        <v>3416</v>
      </c>
      <c r="C528" s="1980" t="s">
        <v>4018</v>
      </c>
      <c r="D528" s="1980" t="s">
        <v>4019</v>
      </c>
      <c r="E528" s="1980" t="s">
        <v>936</v>
      </c>
      <c r="F528" s="1962">
        <v>26.64667</v>
      </c>
      <c r="G528" s="1962">
        <v>0</v>
      </c>
      <c r="H528" s="1962">
        <v>0</v>
      </c>
      <c r="I528" s="1962">
        <v>0</v>
      </c>
    </row>
    <row r="529" spans="1:9" hidden="1" outlineLevel="2" x14ac:dyDescent="0.2">
      <c r="A529" s="1980" t="s">
        <v>3415</v>
      </c>
      <c r="B529" s="1980" t="s">
        <v>3416</v>
      </c>
      <c r="C529" s="1980" t="s">
        <v>4020</v>
      </c>
      <c r="D529" s="1980" t="s">
        <v>4021</v>
      </c>
      <c r="E529" s="1980" t="s">
        <v>936</v>
      </c>
      <c r="F529" s="1962">
        <v>984.65309000000002</v>
      </c>
      <c r="G529" s="1962">
        <v>0</v>
      </c>
      <c r="H529" s="1962">
        <v>0</v>
      </c>
      <c r="I529" s="1962">
        <v>0</v>
      </c>
    </row>
    <row r="530" spans="1:9" hidden="1" outlineLevel="2" x14ac:dyDescent="0.2">
      <c r="A530" s="1980" t="s">
        <v>3415</v>
      </c>
      <c r="B530" s="1980" t="s">
        <v>3416</v>
      </c>
      <c r="C530" s="1980" t="s">
        <v>4022</v>
      </c>
      <c r="D530" s="1980" t="s">
        <v>4023</v>
      </c>
      <c r="E530" s="1980" t="s">
        <v>936</v>
      </c>
      <c r="F530" s="1962">
        <v>130.01524000000001</v>
      </c>
      <c r="G530" s="1962">
        <v>0</v>
      </c>
      <c r="H530" s="1962">
        <v>0</v>
      </c>
      <c r="I530" s="1962">
        <v>0</v>
      </c>
    </row>
    <row r="531" spans="1:9" hidden="1" outlineLevel="2" x14ac:dyDescent="0.2">
      <c r="A531" s="1980" t="s">
        <v>3415</v>
      </c>
      <c r="B531" s="1980" t="s">
        <v>3416</v>
      </c>
      <c r="C531" s="1980" t="s">
        <v>4024</v>
      </c>
      <c r="D531" s="1980" t="s">
        <v>4025</v>
      </c>
      <c r="E531" s="1980" t="s">
        <v>936</v>
      </c>
      <c r="F531" s="1962">
        <v>883.94907000000001</v>
      </c>
      <c r="G531" s="1962">
        <v>0</v>
      </c>
      <c r="H531" s="1962">
        <v>0</v>
      </c>
      <c r="I531" s="1962">
        <v>0</v>
      </c>
    </row>
    <row r="532" spans="1:9" hidden="1" outlineLevel="2" x14ac:dyDescent="0.2">
      <c r="A532" s="1980" t="s">
        <v>3415</v>
      </c>
      <c r="B532" s="1980" t="s">
        <v>3416</v>
      </c>
      <c r="C532" s="1980" t="s">
        <v>4026</v>
      </c>
      <c r="D532" s="1980" t="s">
        <v>4027</v>
      </c>
      <c r="E532" s="1980" t="s">
        <v>936</v>
      </c>
      <c r="F532" s="1962">
        <v>40.516199999999998</v>
      </c>
      <c r="G532" s="1962">
        <v>0</v>
      </c>
      <c r="H532" s="1962">
        <v>0</v>
      </c>
      <c r="I532" s="1962">
        <v>0</v>
      </c>
    </row>
    <row r="533" spans="1:9" hidden="1" outlineLevel="2" x14ac:dyDescent="0.2">
      <c r="A533" s="1980" t="s">
        <v>3415</v>
      </c>
      <c r="B533" s="1980" t="s">
        <v>3416</v>
      </c>
      <c r="C533" s="1980" t="s">
        <v>4028</v>
      </c>
      <c r="D533" s="1980" t="s">
        <v>4029</v>
      </c>
      <c r="E533" s="1980" t="s">
        <v>936</v>
      </c>
      <c r="F533" s="1962">
        <v>424.25855000000001</v>
      </c>
      <c r="G533" s="1962">
        <v>0</v>
      </c>
      <c r="H533" s="1962">
        <v>0</v>
      </c>
      <c r="I533" s="1962">
        <v>0</v>
      </c>
    </row>
    <row r="534" spans="1:9" hidden="1" outlineLevel="2" x14ac:dyDescent="0.2">
      <c r="A534" s="1980" t="s">
        <v>3415</v>
      </c>
      <c r="B534" s="1980" t="s">
        <v>3416</v>
      </c>
      <c r="C534" s="1980" t="s">
        <v>4030</v>
      </c>
      <c r="D534" s="1980" t="s">
        <v>4031</v>
      </c>
      <c r="E534" s="1980" t="s">
        <v>936</v>
      </c>
      <c r="F534" s="1962">
        <v>168.59556000000001</v>
      </c>
      <c r="G534" s="1962">
        <v>0</v>
      </c>
      <c r="H534" s="1962">
        <v>0</v>
      </c>
      <c r="I534" s="1962">
        <v>0</v>
      </c>
    </row>
    <row r="535" spans="1:9" hidden="1" outlineLevel="2" x14ac:dyDescent="0.2">
      <c r="A535" s="1980" t="s">
        <v>3415</v>
      </c>
      <c r="B535" s="1980" t="s">
        <v>3416</v>
      </c>
      <c r="C535" s="1980" t="s">
        <v>4032</v>
      </c>
      <c r="D535" s="1980" t="s">
        <v>4033</v>
      </c>
      <c r="E535" s="1980" t="s">
        <v>936</v>
      </c>
      <c r="F535" s="1962">
        <v>1.7641</v>
      </c>
      <c r="G535" s="1962">
        <v>0</v>
      </c>
      <c r="H535" s="1962">
        <v>0</v>
      </c>
      <c r="I535" s="1962">
        <v>0</v>
      </c>
    </row>
    <row r="536" spans="1:9" hidden="1" outlineLevel="2" x14ac:dyDescent="0.2">
      <c r="A536" s="1980" t="s">
        <v>3415</v>
      </c>
      <c r="B536" s="1980" t="s">
        <v>3416</v>
      </c>
      <c r="C536" s="1980" t="s">
        <v>4034</v>
      </c>
      <c r="D536" s="1980" t="s">
        <v>4035</v>
      </c>
      <c r="E536" s="1980" t="s">
        <v>936</v>
      </c>
      <c r="F536" s="1962">
        <v>8.8960299999999997</v>
      </c>
      <c r="G536" s="1962">
        <v>0</v>
      </c>
      <c r="H536" s="1962">
        <v>0</v>
      </c>
      <c r="I536" s="1962">
        <v>0</v>
      </c>
    </row>
    <row r="537" spans="1:9" hidden="1" outlineLevel="2" x14ac:dyDescent="0.2">
      <c r="A537" s="1980" t="s">
        <v>3415</v>
      </c>
      <c r="B537" s="1980" t="s">
        <v>3416</v>
      </c>
      <c r="C537" s="1980" t="s">
        <v>4036</v>
      </c>
      <c r="D537" s="1980" t="s">
        <v>4037</v>
      </c>
      <c r="E537" s="1980" t="s">
        <v>936</v>
      </c>
      <c r="F537" s="1962">
        <v>1234.0093400000001</v>
      </c>
      <c r="G537" s="1962">
        <v>0</v>
      </c>
      <c r="H537" s="1962">
        <v>0</v>
      </c>
      <c r="I537" s="1962">
        <v>0</v>
      </c>
    </row>
    <row r="538" spans="1:9" hidden="1" outlineLevel="2" x14ac:dyDescent="0.2">
      <c r="A538" s="1980" t="s">
        <v>3415</v>
      </c>
      <c r="B538" s="1980" t="s">
        <v>3416</v>
      </c>
      <c r="C538" s="1980" t="s">
        <v>4038</v>
      </c>
      <c r="D538" s="1980" t="s">
        <v>4039</v>
      </c>
      <c r="E538" s="1980" t="s">
        <v>936</v>
      </c>
      <c r="F538" s="1962">
        <v>84.720119999999994</v>
      </c>
      <c r="G538" s="1962">
        <v>0</v>
      </c>
      <c r="H538" s="1962">
        <v>0</v>
      </c>
      <c r="I538" s="1962">
        <v>0</v>
      </c>
    </row>
    <row r="539" spans="1:9" hidden="1" outlineLevel="2" x14ac:dyDescent="0.2">
      <c r="A539" s="1980" t="s">
        <v>3415</v>
      </c>
      <c r="B539" s="1980" t="s">
        <v>3416</v>
      </c>
      <c r="C539" s="1980" t="s">
        <v>4040</v>
      </c>
      <c r="D539" s="1980" t="s">
        <v>4041</v>
      </c>
      <c r="E539" s="1980" t="s">
        <v>936</v>
      </c>
      <c r="F539" s="1962">
        <v>25.876909999999999</v>
      </c>
      <c r="G539" s="1962">
        <v>0</v>
      </c>
      <c r="H539" s="1962">
        <v>0</v>
      </c>
      <c r="I539" s="1962">
        <v>0</v>
      </c>
    </row>
    <row r="540" spans="1:9" hidden="1" outlineLevel="2" x14ac:dyDescent="0.2">
      <c r="A540" s="1980" t="s">
        <v>3415</v>
      </c>
      <c r="B540" s="1980" t="s">
        <v>3416</v>
      </c>
      <c r="C540" s="1980" t="s">
        <v>4042</v>
      </c>
      <c r="D540" s="1980" t="s">
        <v>4043</v>
      </c>
      <c r="E540" s="1980" t="s">
        <v>936</v>
      </c>
      <c r="F540" s="1962">
        <v>57.72954</v>
      </c>
      <c r="G540" s="1962">
        <v>0</v>
      </c>
      <c r="H540" s="1962">
        <v>0</v>
      </c>
      <c r="I540" s="1962">
        <v>0</v>
      </c>
    </row>
    <row r="541" spans="1:9" hidden="1" outlineLevel="2" x14ac:dyDescent="0.2">
      <c r="A541" s="1980" t="s">
        <v>3415</v>
      </c>
      <c r="B541" s="1980" t="s">
        <v>3416</v>
      </c>
      <c r="C541" s="1980" t="s">
        <v>4044</v>
      </c>
      <c r="D541" s="1980" t="s">
        <v>4045</v>
      </c>
      <c r="E541" s="1980" t="s">
        <v>936</v>
      </c>
      <c r="F541" s="1962">
        <v>2.2983799999999999</v>
      </c>
      <c r="G541" s="1962">
        <v>0</v>
      </c>
      <c r="H541" s="1962">
        <v>0</v>
      </c>
      <c r="I541" s="1962">
        <v>0</v>
      </c>
    </row>
    <row r="542" spans="1:9" hidden="1" outlineLevel="2" x14ac:dyDescent="0.2">
      <c r="A542" s="1980" t="s">
        <v>3415</v>
      </c>
      <c r="B542" s="1980" t="s">
        <v>3416</v>
      </c>
      <c r="C542" s="1980" t="s">
        <v>4046</v>
      </c>
      <c r="D542" s="1980" t="s">
        <v>4047</v>
      </c>
      <c r="E542" s="1980" t="s">
        <v>936</v>
      </c>
      <c r="F542" s="1962">
        <v>8.1518499999999996</v>
      </c>
      <c r="G542" s="1962">
        <v>0</v>
      </c>
      <c r="H542" s="1962">
        <v>0</v>
      </c>
      <c r="I542" s="1962">
        <v>0</v>
      </c>
    </row>
    <row r="543" spans="1:9" hidden="1" outlineLevel="2" x14ac:dyDescent="0.2">
      <c r="A543" s="1980" t="s">
        <v>3415</v>
      </c>
      <c r="B543" s="1980" t="s">
        <v>3416</v>
      </c>
      <c r="C543" s="1980" t="s">
        <v>4048</v>
      </c>
      <c r="D543" s="1980" t="s">
        <v>4049</v>
      </c>
      <c r="E543" s="1980" t="s">
        <v>936</v>
      </c>
      <c r="F543" s="1962">
        <v>129.77682999999999</v>
      </c>
      <c r="G543" s="1962">
        <v>0</v>
      </c>
      <c r="H543" s="1962">
        <v>0</v>
      </c>
      <c r="I543" s="1962">
        <v>0</v>
      </c>
    </row>
    <row r="544" spans="1:9" hidden="1" outlineLevel="2" x14ac:dyDescent="0.2">
      <c r="A544" s="1980" t="s">
        <v>3415</v>
      </c>
      <c r="B544" s="1980" t="s">
        <v>3416</v>
      </c>
      <c r="C544" s="1980" t="s">
        <v>4050</v>
      </c>
      <c r="D544" s="1980" t="s">
        <v>3969</v>
      </c>
      <c r="E544" s="1980" t="s">
        <v>936</v>
      </c>
      <c r="F544" s="1962">
        <v>177.71106</v>
      </c>
      <c r="G544" s="1962">
        <v>0</v>
      </c>
      <c r="H544" s="1962">
        <v>0</v>
      </c>
      <c r="I544" s="1962">
        <v>0</v>
      </c>
    </row>
    <row r="545" spans="1:9" hidden="1" outlineLevel="2" x14ac:dyDescent="0.2">
      <c r="A545" s="1980" t="s">
        <v>3415</v>
      </c>
      <c r="B545" s="1980" t="s">
        <v>3416</v>
      </c>
      <c r="C545" s="1980" t="s">
        <v>4051</v>
      </c>
      <c r="D545" s="1980" t="s">
        <v>4052</v>
      </c>
      <c r="E545" s="1980" t="s">
        <v>936</v>
      </c>
      <c r="F545" s="1962">
        <v>9.77454</v>
      </c>
      <c r="G545" s="1962">
        <v>0</v>
      </c>
      <c r="H545" s="1962">
        <v>0</v>
      </c>
      <c r="I545" s="1962">
        <v>0</v>
      </c>
    </row>
    <row r="546" spans="1:9" hidden="1" outlineLevel="2" x14ac:dyDescent="0.2">
      <c r="A546" s="1980" t="s">
        <v>3415</v>
      </c>
      <c r="B546" s="1980" t="s">
        <v>3416</v>
      </c>
      <c r="C546" s="1980" t="s">
        <v>4053</v>
      </c>
      <c r="D546" s="1980" t="s">
        <v>4054</v>
      </c>
      <c r="E546" s="1980" t="s">
        <v>936</v>
      </c>
      <c r="F546" s="1962">
        <v>9.6750000000000003E-2</v>
      </c>
      <c r="G546" s="1962">
        <v>0</v>
      </c>
      <c r="H546" s="1962">
        <v>0</v>
      </c>
      <c r="I546" s="1962">
        <v>0</v>
      </c>
    </row>
    <row r="547" spans="1:9" hidden="1" outlineLevel="2" x14ac:dyDescent="0.2">
      <c r="A547" s="1980" t="s">
        <v>3415</v>
      </c>
      <c r="B547" s="1980" t="s">
        <v>3416</v>
      </c>
      <c r="C547" s="1980" t="s">
        <v>4055</v>
      </c>
      <c r="D547" s="1980" t="s">
        <v>4056</v>
      </c>
      <c r="E547" s="1980" t="s">
        <v>936</v>
      </c>
      <c r="F547" s="1962">
        <v>37.646549999999998</v>
      </c>
      <c r="G547" s="1962">
        <v>0</v>
      </c>
      <c r="H547" s="1962">
        <v>0</v>
      </c>
      <c r="I547" s="1962">
        <v>0</v>
      </c>
    </row>
    <row r="548" spans="1:9" hidden="1" outlineLevel="2" x14ac:dyDescent="0.2">
      <c r="A548" s="1980" t="s">
        <v>3415</v>
      </c>
      <c r="B548" s="1980" t="s">
        <v>3416</v>
      </c>
      <c r="C548" s="1980" t="s">
        <v>4057</v>
      </c>
      <c r="D548" s="1980" t="s">
        <v>4058</v>
      </c>
      <c r="E548" s="1980" t="s">
        <v>936</v>
      </c>
      <c r="F548" s="1962">
        <v>25.731780000000001</v>
      </c>
      <c r="G548" s="1962">
        <v>0</v>
      </c>
      <c r="H548" s="1962">
        <v>0</v>
      </c>
      <c r="I548" s="1962">
        <v>0</v>
      </c>
    </row>
    <row r="549" spans="1:9" hidden="1" outlineLevel="2" x14ac:dyDescent="0.2">
      <c r="A549" s="1980" t="s">
        <v>3415</v>
      </c>
      <c r="B549" s="1980" t="s">
        <v>3416</v>
      </c>
      <c r="C549" s="1980" t="s">
        <v>4059</v>
      </c>
      <c r="D549" s="1980" t="s">
        <v>4060</v>
      </c>
      <c r="E549" s="1980" t="s">
        <v>936</v>
      </c>
      <c r="F549" s="1962">
        <v>434.59116999999998</v>
      </c>
      <c r="G549" s="1962">
        <v>0</v>
      </c>
      <c r="H549" s="1962">
        <v>0</v>
      </c>
      <c r="I549" s="1962">
        <v>0</v>
      </c>
    </row>
    <row r="550" spans="1:9" hidden="1" outlineLevel="2" x14ac:dyDescent="0.2">
      <c r="A550" s="1980" t="s">
        <v>3415</v>
      </c>
      <c r="B550" s="1980" t="s">
        <v>3416</v>
      </c>
      <c r="C550" s="1980" t="s">
        <v>4061</v>
      </c>
      <c r="D550" s="1980" t="s">
        <v>3981</v>
      </c>
      <c r="E550" s="1980" t="s">
        <v>936</v>
      </c>
      <c r="F550" s="1962">
        <v>2.3017500000000002</v>
      </c>
      <c r="G550" s="1962">
        <v>0</v>
      </c>
      <c r="H550" s="1962">
        <v>0</v>
      </c>
      <c r="I550" s="1962">
        <v>0</v>
      </c>
    </row>
    <row r="551" spans="1:9" hidden="1" outlineLevel="2" x14ac:dyDescent="0.2">
      <c r="A551" s="1980" t="s">
        <v>3415</v>
      </c>
      <c r="B551" s="1980" t="s">
        <v>3416</v>
      </c>
      <c r="C551" s="1980" t="s">
        <v>4062</v>
      </c>
      <c r="D551" s="1980" t="s">
        <v>4063</v>
      </c>
      <c r="E551" s="1980" t="s">
        <v>936</v>
      </c>
      <c r="F551" s="1962">
        <v>0.12625</v>
      </c>
      <c r="G551" s="1962">
        <v>0</v>
      </c>
      <c r="H551" s="1962">
        <v>0</v>
      </c>
      <c r="I551" s="1962">
        <v>0</v>
      </c>
    </row>
    <row r="552" spans="1:9" hidden="1" outlineLevel="2" x14ac:dyDescent="0.2">
      <c r="A552" s="1980" t="s">
        <v>3415</v>
      </c>
      <c r="B552" s="1980" t="s">
        <v>3416</v>
      </c>
      <c r="C552" s="1980" t="s">
        <v>4064</v>
      </c>
      <c r="D552" s="1980" t="s">
        <v>4065</v>
      </c>
      <c r="E552" s="1980" t="s">
        <v>936</v>
      </c>
      <c r="F552" s="1962">
        <v>0.12625</v>
      </c>
      <c r="G552" s="1962">
        <v>0</v>
      </c>
      <c r="H552" s="1962">
        <v>0</v>
      </c>
      <c r="I552" s="1962">
        <v>0</v>
      </c>
    </row>
    <row r="553" spans="1:9" hidden="1" outlineLevel="2" x14ac:dyDescent="0.2">
      <c r="A553" s="1980" t="s">
        <v>3415</v>
      </c>
      <c r="B553" s="1980" t="s">
        <v>3416</v>
      </c>
      <c r="C553" s="1980" t="s">
        <v>4066</v>
      </c>
      <c r="D553" s="1980" t="s">
        <v>4067</v>
      </c>
      <c r="E553" s="1980" t="s">
        <v>936</v>
      </c>
      <c r="F553" s="1962">
        <v>12.1065</v>
      </c>
      <c r="G553" s="1962">
        <v>0</v>
      </c>
      <c r="H553" s="1962">
        <v>0</v>
      </c>
      <c r="I553" s="1962">
        <v>0</v>
      </c>
    </row>
    <row r="554" spans="1:9" hidden="1" outlineLevel="2" x14ac:dyDescent="0.2">
      <c r="A554" s="1980" t="s">
        <v>3415</v>
      </c>
      <c r="B554" s="1980" t="s">
        <v>3416</v>
      </c>
      <c r="C554" s="1980" t="s">
        <v>4068</v>
      </c>
      <c r="D554" s="1980" t="s">
        <v>4069</v>
      </c>
      <c r="E554" s="1980" t="s">
        <v>936</v>
      </c>
      <c r="F554" s="1962">
        <v>5435.4768000000004</v>
      </c>
      <c r="G554" s="1962">
        <v>0</v>
      </c>
      <c r="H554" s="1962">
        <v>0</v>
      </c>
      <c r="I554" s="1962">
        <v>0</v>
      </c>
    </row>
    <row r="555" spans="1:9" hidden="1" outlineLevel="2" x14ac:dyDescent="0.2">
      <c r="A555" s="1980" t="s">
        <v>3415</v>
      </c>
      <c r="B555" s="1980" t="s">
        <v>3416</v>
      </c>
      <c r="C555" s="1980" t="s">
        <v>4070</v>
      </c>
      <c r="D555" s="1980" t="s">
        <v>4071</v>
      </c>
      <c r="E555" s="1980" t="s">
        <v>936</v>
      </c>
      <c r="F555" s="1962">
        <v>6233.1292299999996</v>
      </c>
      <c r="G555" s="1962">
        <v>0</v>
      </c>
      <c r="H555" s="1962">
        <v>0</v>
      </c>
      <c r="I555" s="1962">
        <v>0</v>
      </c>
    </row>
    <row r="556" spans="1:9" hidden="1" outlineLevel="2" x14ac:dyDescent="0.2">
      <c r="A556" s="1980" t="s">
        <v>3415</v>
      </c>
      <c r="B556" s="1980" t="s">
        <v>3416</v>
      </c>
      <c r="C556" s="1980" t="s">
        <v>4072</v>
      </c>
      <c r="D556" s="1980" t="s">
        <v>4073</v>
      </c>
      <c r="E556" s="1980" t="s">
        <v>936</v>
      </c>
      <c r="F556" s="1962">
        <v>4049.3921599999999</v>
      </c>
      <c r="G556" s="1962">
        <v>0</v>
      </c>
      <c r="H556" s="1962">
        <v>0</v>
      </c>
      <c r="I556" s="1962">
        <v>0</v>
      </c>
    </row>
    <row r="557" spans="1:9" hidden="1" outlineLevel="2" x14ac:dyDescent="0.2">
      <c r="A557" s="1980" t="s">
        <v>3415</v>
      </c>
      <c r="B557" s="1980" t="s">
        <v>3416</v>
      </c>
      <c r="C557" s="1980" t="s">
        <v>4074</v>
      </c>
      <c r="D557" s="1980" t="s">
        <v>4075</v>
      </c>
      <c r="E557" s="1980" t="s">
        <v>936</v>
      </c>
      <c r="F557" s="1962">
        <v>306.17714999999998</v>
      </c>
      <c r="G557" s="1962">
        <v>0</v>
      </c>
      <c r="H557" s="1962">
        <v>0</v>
      </c>
      <c r="I557" s="1962">
        <v>0</v>
      </c>
    </row>
    <row r="558" spans="1:9" hidden="1" outlineLevel="2" x14ac:dyDescent="0.2">
      <c r="A558" s="1980" t="s">
        <v>3415</v>
      </c>
      <c r="B558" s="1980" t="s">
        <v>3416</v>
      </c>
      <c r="C558" s="1980" t="s">
        <v>4076</v>
      </c>
      <c r="D558" s="1980" t="s">
        <v>4077</v>
      </c>
      <c r="E558" s="1980" t="s">
        <v>936</v>
      </c>
      <c r="F558" s="1962">
        <v>1.0000000000000001E-5</v>
      </c>
      <c r="G558" s="1962">
        <v>0</v>
      </c>
      <c r="H558" s="1962">
        <v>0</v>
      </c>
      <c r="I558" s="1962">
        <v>0</v>
      </c>
    </row>
    <row r="559" spans="1:9" hidden="1" outlineLevel="2" x14ac:dyDescent="0.2">
      <c r="A559" s="1980" t="s">
        <v>3415</v>
      </c>
      <c r="B559" s="1980" t="s">
        <v>3416</v>
      </c>
      <c r="C559" s="1980" t="s">
        <v>4078</v>
      </c>
      <c r="D559" s="1980" t="s">
        <v>4079</v>
      </c>
      <c r="E559" s="1980" t="s">
        <v>936</v>
      </c>
      <c r="F559" s="1962">
        <v>29.606560000000002</v>
      </c>
      <c r="G559" s="1962">
        <v>0</v>
      </c>
      <c r="H559" s="1962">
        <v>0</v>
      </c>
      <c r="I559" s="1962">
        <v>0</v>
      </c>
    </row>
    <row r="560" spans="1:9" hidden="1" outlineLevel="2" x14ac:dyDescent="0.2">
      <c r="A560" s="1980" t="s">
        <v>3415</v>
      </c>
      <c r="B560" s="1980" t="s">
        <v>3416</v>
      </c>
      <c r="C560" s="1980" t="s">
        <v>4080</v>
      </c>
      <c r="D560" s="1980" t="s">
        <v>3559</v>
      </c>
      <c r="E560" s="1980" t="s">
        <v>936</v>
      </c>
      <c r="F560" s="1962">
        <v>24564.386439999998</v>
      </c>
      <c r="G560" s="1962">
        <v>0</v>
      </c>
      <c r="H560" s="1962">
        <v>0</v>
      </c>
      <c r="I560" s="1962">
        <v>0</v>
      </c>
    </row>
    <row r="561" spans="1:9" hidden="1" outlineLevel="2" x14ac:dyDescent="0.2">
      <c r="A561" s="1980" t="s">
        <v>3415</v>
      </c>
      <c r="B561" s="1980" t="s">
        <v>3416</v>
      </c>
      <c r="C561" s="1980" t="s">
        <v>4081</v>
      </c>
      <c r="D561" s="1980" t="s">
        <v>3890</v>
      </c>
      <c r="E561" s="1980" t="s">
        <v>936</v>
      </c>
      <c r="F561" s="1962">
        <v>1.05437</v>
      </c>
      <c r="G561" s="1962">
        <v>0</v>
      </c>
      <c r="H561" s="1962">
        <v>0</v>
      </c>
      <c r="I561" s="1962">
        <v>0</v>
      </c>
    </row>
    <row r="562" spans="1:9" hidden="1" outlineLevel="2" x14ac:dyDescent="0.2">
      <c r="A562" s="1980" t="s">
        <v>3415</v>
      </c>
      <c r="B562" s="1980" t="s">
        <v>3416</v>
      </c>
      <c r="C562" s="1980" t="s">
        <v>4082</v>
      </c>
      <c r="D562" s="1980" t="s">
        <v>4083</v>
      </c>
      <c r="E562" s="1980" t="s">
        <v>936</v>
      </c>
      <c r="F562" s="1962">
        <v>0.59555000000000002</v>
      </c>
      <c r="G562" s="1962">
        <v>0</v>
      </c>
      <c r="H562" s="1962">
        <v>0</v>
      </c>
      <c r="I562" s="1962">
        <v>0</v>
      </c>
    </row>
    <row r="563" spans="1:9" hidden="1" outlineLevel="2" x14ac:dyDescent="0.2">
      <c r="A563" s="1980" t="s">
        <v>3415</v>
      </c>
      <c r="B563" s="1980" t="s">
        <v>3416</v>
      </c>
      <c r="C563" s="1980" t="s">
        <v>4084</v>
      </c>
      <c r="D563" s="1980" t="s">
        <v>3545</v>
      </c>
      <c r="E563" s="1980" t="s">
        <v>936</v>
      </c>
      <c r="F563" s="1962">
        <v>401.09062</v>
      </c>
      <c r="G563" s="1962">
        <v>0</v>
      </c>
      <c r="H563" s="1962">
        <v>0</v>
      </c>
      <c r="I563" s="1962">
        <v>0</v>
      </c>
    </row>
    <row r="564" spans="1:9" hidden="1" outlineLevel="2" x14ac:dyDescent="0.2">
      <c r="A564" s="1980" t="s">
        <v>3415</v>
      </c>
      <c r="B564" s="1980" t="s">
        <v>3416</v>
      </c>
      <c r="C564" s="1980" t="s">
        <v>4085</v>
      </c>
      <c r="D564" s="1980" t="s">
        <v>4086</v>
      </c>
      <c r="E564" s="1980" t="s">
        <v>936</v>
      </c>
      <c r="F564" s="1962">
        <v>37.16628</v>
      </c>
      <c r="G564" s="1962">
        <v>0</v>
      </c>
      <c r="H564" s="1962">
        <v>0</v>
      </c>
      <c r="I564" s="1962">
        <v>0</v>
      </c>
    </row>
    <row r="565" spans="1:9" hidden="1" outlineLevel="2" x14ac:dyDescent="0.2">
      <c r="A565" s="1980" t="s">
        <v>3415</v>
      </c>
      <c r="B565" s="1980" t="s">
        <v>3416</v>
      </c>
      <c r="C565" s="1980" t="s">
        <v>4087</v>
      </c>
      <c r="D565" s="1980" t="s">
        <v>4088</v>
      </c>
      <c r="E565" s="1980" t="s">
        <v>936</v>
      </c>
      <c r="F565" s="1962">
        <v>24908.45808</v>
      </c>
      <c r="G565" s="1962">
        <v>0</v>
      </c>
      <c r="H565" s="1962">
        <v>0</v>
      </c>
      <c r="I565" s="1962">
        <v>0</v>
      </c>
    </row>
    <row r="566" spans="1:9" hidden="1" outlineLevel="2" x14ac:dyDescent="0.2">
      <c r="A566" s="1980" t="s">
        <v>3415</v>
      </c>
      <c r="B566" s="1980" t="s">
        <v>3416</v>
      </c>
      <c r="C566" s="1980" t="s">
        <v>4089</v>
      </c>
      <c r="D566" s="1980" t="s">
        <v>4090</v>
      </c>
      <c r="E566" s="1980" t="s">
        <v>936</v>
      </c>
      <c r="F566" s="1962">
        <v>1630.2454700000001</v>
      </c>
      <c r="G566" s="1962">
        <v>0</v>
      </c>
      <c r="H566" s="1962">
        <v>0</v>
      </c>
      <c r="I566" s="1962">
        <v>0</v>
      </c>
    </row>
    <row r="567" spans="1:9" hidden="1" outlineLevel="2" x14ac:dyDescent="0.2">
      <c r="A567" s="1980" t="s">
        <v>3415</v>
      </c>
      <c r="B567" s="1980" t="s">
        <v>3416</v>
      </c>
      <c r="C567" s="1980" t="s">
        <v>4091</v>
      </c>
      <c r="D567" s="1980" t="s">
        <v>4092</v>
      </c>
      <c r="E567" s="1980" t="s">
        <v>936</v>
      </c>
      <c r="F567" s="1962">
        <v>59.767749999999999</v>
      </c>
      <c r="G567" s="1962">
        <v>0</v>
      </c>
      <c r="H567" s="1962">
        <v>0</v>
      </c>
      <c r="I567" s="1962">
        <v>0</v>
      </c>
    </row>
    <row r="568" spans="1:9" hidden="1" outlineLevel="2" x14ac:dyDescent="0.2">
      <c r="A568" s="1980" t="s">
        <v>3415</v>
      </c>
      <c r="B568" s="1980" t="s">
        <v>3416</v>
      </c>
      <c r="C568" s="1980" t="s">
        <v>4093</v>
      </c>
      <c r="D568" s="1980" t="s">
        <v>3547</v>
      </c>
      <c r="E568" s="1980" t="s">
        <v>936</v>
      </c>
      <c r="F568" s="1962">
        <v>144.06113999999999</v>
      </c>
      <c r="G568" s="1962">
        <v>0</v>
      </c>
      <c r="H568" s="1962">
        <v>0</v>
      </c>
      <c r="I568" s="1962">
        <v>0</v>
      </c>
    </row>
    <row r="569" spans="1:9" hidden="1" outlineLevel="2" x14ac:dyDescent="0.2">
      <c r="A569" s="1980" t="s">
        <v>3415</v>
      </c>
      <c r="B569" s="1980" t="s">
        <v>3416</v>
      </c>
      <c r="C569" s="1980" t="s">
        <v>4094</v>
      </c>
      <c r="D569" s="1980" t="s">
        <v>4095</v>
      </c>
      <c r="E569" s="1980" t="s">
        <v>936</v>
      </c>
      <c r="F569" s="1962">
        <v>596.81268</v>
      </c>
      <c r="G569" s="1962">
        <v>0</v>
      </c>
      <c r="H569" s="1962">
        <v>0</v>
      </c>
      <c r="I569" s="1962">
        <v>0</v>
      </c>
    </row>
    <row r="570" spans="1:9" hidden="1" outlineLevel="2" x14ac:dyDescent="0.2">
      <c r="A570" s="1980" t="s">
        <v>3415</v>
      </c>
      <c r="B570" s="1980" t="s">
        <v>3416</v>
      </c>
      <c r="C570" s="1980" t="s">
        <v>4096</v>
      </c>
      <c r="D570" s="1980" t="s">
        <v>4097</v>
      </c>
      <c r="E570" s="1980" t="s">
        <v>936</v>
      </c>
      <c r="F570" s="1962">
        <v>170.1138</v>
      </c>
      <c r="G570" s="1962">
        <v>0</v>
      </c>
      <c r="H570" s="1962">
        <v>0</v>
      </c>
      <c r="I570" s="1962">
        <v>0</v>
      </c>
    </row>
    <row r="571" spans="1:9" hidden="1" outlineLevel="2" x14ac:dyDescent="0.2">
      <c r="A571" s="1980" t="s">
        <v>3415</v>
      </c>
      <c r="B571" s="1980" t="s">
        <v>3416</v>
      </c>
      <c r="C571" s="1980" t="s">
        <v>4098</v>
      </c>
      <c r="D571" s="1980" t="s">
        <v>4099</v>
      </c>
      <c r="E571" s="1980" t="s">
        <v>936</v>
      </c>
      <c r="F571" s="1962">
        <v>1585.1090300000001</v>
      </c>
      <c r="G571" s="1962">
        <v>0</v>
      </c>
      <c r="H571" s="1962">
        <v>0</v>
      </c>
      <c r="I571" s="1962">
        <v>0</v>
      </c>
    </row>
    <row r="572" spans="1:9" hidden="1" outlineLevel="2" x14ac:dyDescent="0.2">
      <c r="A572" s="1980" t="s">
        <v>3415</v>
      </c>
      <c r="B572" s="1980" t="s">
        <v>3416</v>
      </c>
      <c r="C572" s="1980" t="s">
        <v>4100</v>
      </c>
      <c r="D572" s="1980" t="s">
        <v>4101</v>
      </c>
      <c r="E572" s="1980" t="s">
        <v>936</v>
      </c>
      <c r="F572" s="1962">
        <v>241.77144999999999</v>
      </c>
      <c r="G572" s="1962">
        <v>0</v>
      </c>
      <c r="H572" s="1962">
        <v>0</v>
      </c>
      <c r="I572" s="1962">
        <v>0</v>
      </c>
    </row>
    <row r="573" spans="1:9" hidden="1" outlineLevel="2" x14ac:dyDescent="0.2">
      <c r="A573" s="1980" t="s">
        <v>3415</v>
      </c>
      <c r="B573" s="1980" t="s">
        <v>3416</v>
      </c>
      <c r="C573" s="1980" t="s">
        <v>4102</v>
      </c>
      <c r="D573" s="1980" t="s">
        <v>4103</v>
      </c>
      <c r="E573" s="1980" t="s">
        <v>936</v>
      </c>
      <c r="F573" s="1962">
        <v>1761.77487</v>
      </c>
      <c r="G573" s="1962">
        <v>0</v>
      </c>
      <c r="H573" s="1962">
        <v>0</v>
      </c>
      <c r="I573" s="1962">
        <v>0</v>
      </c>
    </row>
    <row r="574" spans="1:9" hidden="1" outlineLevel="2" x14ac:dyDescent="0.2">
      <c r="A574" s="1980" t="s">
        <v>3415</v>
      </c>
      <c r="B574" s="1980" t="s">
        <v>3416</v>
      </c>
      <c r="C574" s="1980" t="s">
        <v>4104</v>
      </c>
      <c r="D574" s="1980" t="s">
        <v>3539</v>
      </c>
      <c r="E574" s="1980" t="s">
        <v>936</v>
      </c>
      <c r="F574" s="1962">
        <v>1202.90924</v>
      </c>
      <c r="G574" s="1962">
        <v>0</v>
      </c>
      <c r="H574" s="1962">
        <v>0</v>
      </c>
      <c r="I574" s="1962">
        <v>0</v>
      </c>
    </row>
    <row r="575" spans="1:9" hidden="1" outlineLevel="2" x14ac:dyDescent="0.2">
      <c r="A575" s="1980" t="s">
        <v>3415</v>
      </c>
      <c r="B575" s="1980" t="s">
        <v>3416</v>
      </c>
      <c r="C575" s="1980" t="s">
        <v>4105</v>
      </c>
      <c r="D575" s="1980" t="s">
        <v>3582</v>
      </c>
      <c r="E575" s="1980" t="s">
        <v>936</v>
      </c>
      <c r="F575" s="1962">
        <v>1.0694999999999999</v>
      </c>
      <c r="G575" s="1962">
        <v>0</v>
      </c>
      <c r="H575" s="1962">
        <v>0</v>
      </c>
      <c r="I575" s="1962">
        <v>0</v>
      </c>
    </row>
    <row r="576" spans="1:9" hidden="1" outlineLevel="2" x14ac:dyDescent="0.2">
      <c r="A576" s="1980" t="s">
        <v>3415</v>
      </c>
      <c r="B576" s="1980" t="s">
        <v>3416</v>
      </c>
      <c r="C576" s="1980" t="s">
        <v>4106</v>
      </c>
      <c r="D576" s="1980" t="s">
        <v>4107</v>
      </c>
      <c r="E576" s="1980" t="s">
        <v>936</v>
      </c>
      <c r="F576" s="1962">
        <v>29.320430000000002</v>
      </c>
      <c r="G576" s="1962">
        <v>0</v>
      </c>
      <c r="H576" s="1962">
        <v>0</v>
      </c>
      <c r="I576" s="1962">
        <v>0</v>
      </c>
    </row>
    <row r="577" spans="1:9" hidden="1" outlineLevel="2" x14ac:dyDescent="0.2">
      <c r="A577" s="1980" t="s">
        <v>3415</v>
      </c>
      <c r="B577" s="1980" t="s">
        <v>3416</v>
      </c>
      <c r="C577" s="1980" t="s">
        <v>4108</v>
      </c>
      <c r="D577" s="1980" t="s">
        <v>4109</v>
      </c>
      <c r="E577" s="1980" t="s">
        <v>936</v>
      </c>
      <c r="F577" s="1962">
        <v>52.930729999999997</v>
      </c>
      <c r="G577" s="1962">
        <v>0</v>
      </c>
      <c r="H577" s="1962">
        <v>0</v>
      </c>
      <c r="I577" s="1962">
        <v>0</v>
      </c>
    </row>
    <row r="578" spans="1:9" hidden="1" outlineLevel="2" x14ac:dyDescent="0.2">
      <c r="A578" s="1980" t="s">
        <v>3415</v>
      </c>
      <c r="B578" s="1980" t="s">
        <v>3416</v>
      </c>
      <c r="C578" s="1980" t="s">
        <v>4110</v>
      </c>
      <c r="D578" s="1980" t="s">
        <v>4111</v>
      </c>
      <c r="E578" s="1980" t="s">
        <v>936</v>
      </c>
      <c r="F578" s="1962">
        <v>12238.989089999999</v>
      </c>
      <c r="G578" s="1962">
        <v>0</v>
      </c>
      <c r="H578" s="1962">
        <v>0</v>
      </c>
      <c r="I578" s="1962">
        <v>0</v>
      </c>
    </row>
    <row r="579" spans="1:9" hidden="1" outlineLevel="2" x14ac:dyDescent="0.2">
      <c r="A579" s="1980" t="s">
        <v>3415</v>
      </c>
      <c r="B579" s="1980" t="s">
        <v>3416</v>
      </c>
      <c r="C579" s="1980" t="s">
        <v>4112</v>
      </c>
      <c r="D579" s="1980" t="s">
        <v>4113</v>
      </c>
      <c r="E579" s="1980" t="s">
        <v>936</v>
      </c>
      <c r="F579" s="1962">
        <v>6640.0237100000004</v>
      </c>
      <c r="G579" s="1962">
        <v>0</v>
      </c>
      <c r="H579" s="1962">
        <v>0</v>
      </c>
      <c r="I579" s="1962">
        <v>0</v>
      </c>
    </row>
    <row r="580" spans="1:9" hidden="1" outlineLevel="2" x14ac:dyDescent="0.2">
      <c r="A580" s="1980" t="s">
        <v>3415</v>
      </c>
      <c r="B580" s="1980" t="s">
        <v>3416</v>
      </c>
      <c r="C580" s="1980" t="s">
        <v>4114</v>
      </c>
      <c r="D580" s="1980" t="s">
        <v>4115</v>
      </c>
      <c r="E580" s="1980" t="s">
        <v>936</v>
      </c>
      <c r="F580" s="1962">
        <v>3635.5106099999998</v>
      </c>
      <c r="G580" s="1962">
        <v>0</v>
      </c>
      <c r="H580" s="1962">
        <v>0</v>
      </c>
      <c r="I580" s="1962">
        <v>0</v>
      </c>
    </row>
    <row r="581" spans="1:9" hidden="1" outlineLevel="2" x14ac:dyDescent="0.2">
      <c r="A581" s="1980" t="s">
        <v>3415</v>
      </c>
      <c r="B581" s="1980" t="s">
        <v>3416</v>
      </c>
      <c r="C581" s="1980" t="s">
        <v>4116</v>
      </c>
      <c r="D581" s="1980" t="s">
        <v>4117</v>
      </c>
      <c r="E581" s="1980" t="s">
        <v>936</v>
      </c>
      <c r="F581" s="1962">
        <v>161.43752000000001</v>
      </c>
      <c r="G581" s="1962">
        <v>0</v>
      </c>
      <c r="H581" s="1962">
        <v>0</v>
      </c>
      <c r="I581" s="1962">
        <v>0</v>
      </c>
    </row>
    <row r="582" spans="1:9" hidden="1" outlineLevel="2" x14ac:dyDescent="0.2">
      <c r="A582" s="1980" t="s">
        <v>3415</v>
      </c>
      <c r="B582" s="1980" t="s">
        <v>3416</v>
      </c>
      <c r="C582" s="1980" t="s">
        <v>4118</v>
      </c>
      <c r="D582" s="1980" t="s">
        <v>3981</v>
      </c>
      <c r="E582" s="1980" t="s">
        <v>936</v>
      </c>
      <c r="F582" s="1962">
        <v>5.2847600000000003</v>
      </c>
      <c r="G582" s="1962">
        <v>0</v>
      </c>
      <c r="H582" s="1962">
        <v>0</v>
      </c>
      <c r="I582" s="1962">
        <v>0</v>
      </c>
    </row>
    <row r="583" spans="1:9" hidden="1" outlineLevel="2" x14ac:dyDescent="0.2">
      <c r="A583" s="1980" t="s">
        <v>3415</v>
      </c>
      <c r="B583" s="1980" t="s">
        <v>3416</v>
      </c>
      <c r="C583" s="1980" t="s">
        <v>4119</v>
      </c>
      <c r="D583" s="1980" t="s">
        <v>4120</v>
      </c>
      <c r="E583" s="1980" t="s">
        <v>936</v>
      </c>
      <c r="F583" s="1962">
        <v>4.2154299999999996</v>
      </c>
      <c r="G583" s="1962">
        <v>0</v>
      </c>
      <c r="H583" s="1962">
        <v>0</v>
      </c>
      <c r="I583" s="1962">
        <v>0</v>
      </c>
    </row>
    <row r="584" spans="1:9" hidden="1" outlineLevel="2" x14ac:dyDescent="0.2">
      <c r="A584" s="1980" t="s">
        <v>3415</v>
      </c>
      <c r="B584" s="1980" t="s">
        <v>3416</v>
      </c>
      <c r="C584" s="1980" t="s">
        <v>4121</v>
      </c>
      <c r="D584" s="1980" t="s">
        <v>4122</v>
      </c>
      <c r="E584" s="1980" t="s">
        <v>936</v>
      </c>
      <c r="F584" s="1962">
        <v>0.13313</v>
      </c>
      <c r="G584" s="1962">
        <v>0</v>
      </c>
      <c r="H584" s="1962">
        <v>0</v>
      </c>
      <c r="I584" s="1962">
        <v>0</v>
      </c>
    </row>
    <row r="585" spans="1:9" hidden="1" outlineLevel="2" x14ac:dyDescent="0.2">
      <c r="A585" s="1980" t="s">
        <v>3415</v>
      </c>
      <c r="B585" s="1980" t="s">
        <v>3416</v>
      </c>
      <c r="C585" s="1980" t="s">
        <v>4123</v>
      </c>
      <c r="D585" s="1980" t="s">
        <v>4124</v>
      </c>
      <c r="E585" s="1980" t="s">
        <v>936</v>
      </c>
      <c r="F585" s="1962">
        <v>1177.82871</v>
      </c>
      <c r="G585" s="1962">
        <v>0</v>
      </c>
      <c r="H585" s="1962">
        <v>0</v>
      </c>
      <c r="I585" s="1962">
        <v>0</v>
      </c>
    </row>
    <row r="586" spans="1:9" hidden="1" outlineLevel="2" x14ac:dyDescent="0.2">
      <c r="A586" s="1980" t="s">
        <v>3415</v>
      </c>
      <c r="B586" s="1980" t="s">
        <v>3416</v>
      </c>
      <c r="C586" s="1980" t="s">
        <v>4125</v>
      </c>
      <c r="D586" s="1980" t="s">
        <v>4126</v>
      </c>
      <c r="E586" s="1980" t="s">
        <v>936</v>
      </c>
      <c r="F586" s="1962">
        <v>255.17862</v>
      </c>
      <c r="G586" s="1962">
        <v>0</v>
      </c>
      <c r="H586" s="1962">
        <v>0</v>
      </c>
      <c r="I586" s="1962">
        <v>0</v>
      </c>
    </row>
    <row r="587" spans="1:9" hidden="1" outlineLevel="2" x14ac:dyDescent="0.2">
      <c r="A587" s="1980" t="s">
        <v>3415</v>
      </c>
      <c r="B587" s="1980" t="s">
        <v>3416</v>
      </c>
      <c r="C587" s="1980" t="s">
        <v>4127</v>
      </c>
      <c r="D587" s="1980" t="s">
        <v>4128</v>
      </c>
      <c r="E587" s="1980" t="s">
        <v>936</v>
      </c>
      <c r="F587" s="1962">
        <v>31.76061</v>
      </c>
      <c r="G587" s="1962">
        <v>0</v>
      </c>
      <c r="H587" s="1962">
        <v>0</v>
      </c>
      <c r="I587" s="1962">
        <v>0</v>
      </c>
    </row>
    <row r="588" spans="1:9" hidden="1" outlineLevel="2" x14ac:dyDescent="0.2">
      <c r="A588" s="1980" t="s">
        <v>3415</v>
      </c>
      <c r="B588" s="1980" t="s">
        <v>3416</v>
      </c>
      <c r="C588" s="1980" t="s">
        <v>4129</v>
      </c>
      <c r="D588" s="1980" t="s">
        <v>4130</v>
      </c>
      <c r="E588" s="1980" t="s">
        <v>936</v>
      </c>
      <c r="F588" s="1962">
        <v>71.310919999999996</v>
      </c>
      <c r="G588" s="1962">
        <v>0</v>
      </c>
      <c r="H588" s="1962">
        <v>0</v>
      </c>
      <c r="I588" s="1962">
        <v>0</v>
      </c>
    </row>
    <row r="589" spans="1:9" hidden="1" outlineLevel="2" x14ac:dyDescent="0.2">
      <c r="A589" s="1980" t="s">
        <v>3415</v>
      </c>
      <c r="B589" s="1980" t="s">
        <v>3416</v>
      </c>
      <c r="C589" s="1980" t="s">
        <v>4131</v>
      </c>
      <c r="D589" s="1980" t="s">
        <v>4132</v>
      </c>
      <c r="E589" s="1980" t="s">
        <v>936</v>
      </c>
      <c r="F589" s="1962">
        <v>1183.1683</v>
      </c>
      <c r="G589" s="1962">
        <v>0</v>
      </c>
      <c r="H589" s="1962">
        <v>0</v>
      </c>
      <c r="I589" s="1962">
        <v>0</v>
      </c>
    </row>
    <row r="590" spans="1:9" hidden="1" outlineLevel="2" x14ac:dyDescent="0.2">
      <c r="A590" s="1980" t="s">
        <v>3415</v>
      </c>
      <c r="B590" s="1980" t="s">
        <v>3416</v>
      </c>
      <c r="C590" s="1980" t="s">
        <v>4133</v>
      </c>
      <c r="D590" s="1980" t="s">
        <v>4134</v>
      </c>
      <c r="E590" s="1980" t="s">
        <v>936</v>
      </c>
      <c r="F590" s="1962">
        <v>95.02319</v>
      </c>
      <c r="G590" s="1962">
        <v>0</v>
      </c>
      <c r="H590" s="1962">
        <v>0</v>
      </c>
      <c r="I590" s="1962">
        <v>0</v>
      </c>
    </row>
    <row r="591" spans="1:9" hidden="1" outlineLevel="2" x14ac:dyDescent="0.2">
      <c r="A591" s="1980" t="s">
        <v>3415</v>
      </c>
      <c r="B591" s="1980" t="s">
        <v>3416</v>
      </c>
      <c r="C591" s="1980" t="s">
        <v>4135</v>
      </c>
      <c r="D591" s="1980" t="s">
        <v>4136</v>
      </c>
      <c r="E591" s="1980" t="s">
        <v>936</v>
      </c>
      <c r="F591" s="1962">
        <v>356.13992000000002</v>
      </c>
      <c r="G591" s="1962">
        <v>0</v>
      </c>
      <c r="H591" s="1962">
        <v>0</v>
      </c>
      <c r="I591" s="1962">
        <v>0</v>
      </c>
    </row>
    <row r="592" spans="1:9" hidden="1" outlineLevel="2" x14ac:dyDescent="0.2">
      <c r="A592" s="1980" t="s">
        <v>3415</v>
      </c>
      <c r="B592" s="1980" t="s">
        <v>3416</v>
      </c>
      <c r="C592" s="1980" t="s">
        <v>4137</v>
      </c>
      <c r="D592" s="1980" t="s">
        <v>4138</v>
      </c>
      <c r="E592" s="1980" t="s">
        <v>936</v>
      </c>
      <c r="F592" s="1962">
        <v>136.21788000000001</v>
      </c>
      <c r="G592" s="1962">
        <v>0</v>
      </c>
      <c r="H592" s="1962">
        <v>0</v>
      </c>
      <c r="I592" s="1962">
        <v>0</v>
      </c>
    </row>
    <row r="593" spans="1:9" hidden="1" outlineLevel="2" x14ac:dyDescent="0.2">
      <c r="A593" s="1980" t="s">
        <v>3415</v>
      </c>
      <c r="B593" s="1980" t="s">
        <v>3416</v>
      </c>
      <c r="C593" s="1980" t="s">
        <v>4139</v>
      </c>
      <c r="D593" s="1980" t="s">
        <v>4140</v>
      </c>
      <c r="E593" s="1980" t="s">
        <v>936</v>
      </c>
      <c r="F593" s="1962">
        <v>202.89221000000001</v>
      </c>
      <c r="G593" s="1962">
        <v>0</v>
      </c>
      <c r="H593" s="1962">
        <v>0</v>
      </c>
      <c r="I593" s="1962">
        <v>0</v>
      </c>
    </row>
    <row r="594" spans="1:9" hidden="1" outlineLevel="2" x14ac:dyDescent="0.2">
      <c r="A594" s="1980" t="s">
        <v>3415</v>
      </c>
      <c r="B594" s="1980" t="s">
        <v>3416</v>
      </c>
      <c r="C594" s="1980" t="s">
        <v>4141</v>
      </c>
      <c r="D594" s="1980" t="s">
        <v>4142</v>
      </c>
      <c r="E594" s="1980" t="s">
        <v>936</v>
      </c>
      <c r="F594" s="1962">
        <v>30.193359999999998</v>
      </c>
      <c r="G594" s="1962">
        <v>0</v>
      </c>
      <c r="H594" s="1962">
        <v>0</v>
      </c>
      <c r="I594" s="1962">
        <v>0</v>
      </c>
    </row>
    <row r="595" spans="1:9" hidden="1" outlineLevel="2" x14ac:dyDescent="0.2">
      <c r="A595" s="1980" t="s">
        <v>3415</v>
      </c>
      <c r="B595" s="1980" t="s">
        <v>3416</v>
      </c>
      <c r="C595" s="1980" t="s">
        <v>4143</v>
      </c>
      <c r="D595" s="1980" t="s">
        <v>3969</v>
      </c>
      <c r="E595" s="1980" t="s">
        <v>936</v>
      </c>
      <c r="F595" s="1962">
        <v>156.99248</v>
      </c>
      <c r="G595" s="1962">
        <v>0</v>
      </c>
      <c r="H595" s="1962">
        <v>0</v>
      </c>
      <c r="I595" s="1962">
        <v>0</v>
      </c>
    </row>
    <row r="596" spans="1:9" hidden="1" outlineLevel="2" x14ac:dyDescent="0.2">
      <c r="A596" s="1980" t="s">
        <v>3415</v>
      </c>
      <c r="B596" s="1980" t="s">
        <v>3416</v>
      </c>
      <c r="C596" s="1980" t="s">
        <v>4144</v>
      </c>
      <c r="D596" s="1980" t="s">
        <v>4145</v>
      </c>
      <c r="E596" s="1980" t="s">
        <v>936</v>
      </c>
      <c r="F596" s="1962">
        <v>62.941569999999999</v>
      </c>
      <c r="G596" s="1962">
        <v>0</v>
      </c>
      <c r="H596" s="1962">
        <v>0</v>
      </c>
      <c r="I596" s="1962">
        <v>0</v>
      </c>
    </row>
    <row r="597" spans="1:9" hidden="1" outlineLevel="2" x14ac:dyDescent="0.2">
      <c r="A597" s="1980" t="s">
        <v>3415</v>
      </c>
      <c r="B597" s="1980" t="s">
        <v>3416</v>
      </c>
      <c r="C597" s="1980" t="s">
        <v>4146</v>
      </c>
      <c r="D597" s="1980" t="s">
        <v>4147</v>
      </c>
      <c r="E597" s="1980" t="s">
        <v>936</v>
      </c>
      <c r="F597" s="1962">
        <v>147.18541999999999</v>
      </c>
      <c r="G597" s="1962">
        <v>0</v>
      </c>
      <c r="H597" s="1962">
        <v>0</v>
      </c>
      <c r="I597" s="1962">
        <v>0</v>
      </c>
    </row>
    <row r="598" spans="1:9" hidden="1" outlineLevel="2" x14ac:dyDescent="0.2">
      <c r="A598" s="1980" t="s">
        <v>3415</v>
      </c>
      <c r="B598" s="1980" t="s">
        <v>3416</v>
      </c>
      <c r="C598" s="1980" t="s">
        <v>4148</v>
      </c>
      <c r="D598" s="1980" t="s">
        <v>4149</v>
      </c>
      <c r="E598" s="1980" t="s">
        <v>936</v>
      </c>
      <c r="F598" s="1962">
        <v>257.58067999999997</v>
      </c>
      <c r="G598" s="1962">
        <v>0</v>
      </c>
      <c r="H598" s="1962">
        <v>0</v>
      </c>
      <c r="I598" s="1962">
        <v>0</v>
      </c>
    </row>
    <row r="599" spans="1:9" hidden="1" outlineLevel="2" x14ac:dyDescent="0.2">
      <c r="A599" s="1980" t="s">
        <v>3415</v>
      </c>
      <c r="B599" s="1980" t="s">
        <v>3416</v>
      </c>
      <c r="C599" s="1980" t="s">
        <v>4150</v>
      </c>
      <c r="D599" s="1980" t="s">
        <v>4151</v>
      </c>
      <c r="E599" s="1980" t="s">
        <v>936</v>
      </c>
      <c r="F599" s="1962">
        <v>159.32512</v>
      </c>
      <c r="G599" s="1962">
        <v>0</v>
      </c>
      <c r="H599" s="1962">
        <v>0</v>
      </c>
      <c r="I599" s="1962">
        <v>0</v>
      </c>
    </row>
    <row r="600" spans="1:9" hidden="1" outlineLevel="2" x14ac:dyDescent="0.2">
      <c r="A600" s="1980" t="s">
        <v>3415</v>
      </c>
      <c r="B600" s="1980" t="s">
        <v>3416</v>
      </c>
      <c r="C600" s="1980" t="s">
        <v>4152</v>
      </c>
      <c r="D600" s="1980" t="s">
        <v>4153</v>
      </c>
      <c r="E600" s="1980" t="s">
        <v>936</v>
      </c>
      <c r="F600" s="1962">
        <v>1.8237300000000001</v>
      </c>
      <c r="G600" s="1962">
        <v>0</v>
      </c>
      <c r="H600" s="1962">
        <v>0</v>
      </c>
      <c r="I600" s="1962">
        <v>0</v>
      </c>
    </row>
    <row r="601" spans="1:9" hidden="1" outlineLevel="2" x14ac:dyDescent="0.2">
      <c r="A601" s="1980" t="s">
        <v>3415</v>
      </c>
      <c r="B601" s="1980" t="s">
        <v>3416</v>
      </c>
      <c r="C601" s="1980" t="s">
        <v>4154</v>
      </c>
      <c r="D601" s="1980" t="s">
        <v>4155</v>
      </c>
      <c r="E601" s="1980" t="s">
        <v>936</v>
      </c>
      <c r="F601" s="1962">
        <v>1.9025300000000001</v>
      </c>
      <c r="G601" s="1962">
        <v>0</v>
      </c>
      <c r="H601" s="1962">
        <v>0</v>
      </c>
      <c r="I601" s="1962">
        <v>0</v>
      </c>
    </row>
    <row r="602" spans="1:9" hidden="1" outlineLevel="2" x14ac:dyDescent="0.2">
      <c r="A602" s="1980" t="s">
        <v>3415</v>
      </c>
      <c r="B602" s="1980" t="s">
        <v>3416</v>
      </c>
      <c r="C602" s="1980" t="s">
        <v>4156</v>
      </c>
      <c r="D602" s="1980" t="s">
        <v>4157</v>
      </c>
      <c r="E602" s="1980" t="s">
        <v>936</v>
      </c>
      <c r="F602" s="1962">
        <v>2.3199800000000002</v>
      </c>
      <c r="G602" s="1962">
        <v>0</v>
      </c>
      <c r="H602" s="1962">
        <v>0</v>
      </c>
      <c r="I602" s="1962">
        <v>0</v>
      </c>
    </row>
    <row r="603" spans="1:9" hidden="1" outlineLevel="2" x14ac:dyDescent="0.2">
      <c r="A603" s="1980" t="s">
        <v>3415</v>
      </c>
      <c r="B603" s="1980" t="s">
        <v>3416</v>
      </c>
      <c r="C603" s="1980" t="s">
        <v>4158</v>
      </c>
      <c r="D603" s="1980" t="s">
        <v>4159</v>
      </c>
      <c r="E603" s="1980" t="s">
        <v>936</v>
      </c>
      <c r="F603" s="1962">
        <v>197.86494999999999</v>
      </c>
      <c r="G603" s="1962">
        <v>0</v>
      </c>
      <c r="H603" s="1962">
        <v>0</v>
      </c>
      <c r="I603" s="1962">
        <v>0</v>
      </c>
    </row>
    <row r="604" spans="1:9" hidden="1" outlineLevel="2" x14ac:dyDescent="0.2">
      <c r="A604" s="1980" t="s">
        <v>3415</v>
      </c>
      <c r="B604" s="1980" t="s">
        <v>3416</v>
      </c>
      <c r="C604" s="1980" t="s">
        <v>4160</v>
      </c>
      <c r="D604" s="1980" t="s">
        <v>4161</v>
      </c>
      <c r="E604" s="1980" t="s">
        <v>936</v>
      </c>
      <c r="F604" s="1962">
        <v>1.0000000000000001E-5</v>
      </c>
      <c r="G604" s="1962">
        <v>0</v>
      </c>
      <c r="H604" s="1962">
        <v>0</v>
      </c>
      <c r="I604" s="1962">
        <v>0</v>
      </c>
    </row>
    <row r="605" spans="1:9" hidden="1" outlineLevel="2" x14ac:dyDescent="0.2">
      <c r="A605" s="1980" t="s">
        <v>3415</v>
      </c>
      <c r="B605" s="1980" t="s">
        <v>3416</v>
      </c>
      <c r="C605" s="1980" t="s">
        <v>4162</v>
      </c>
      <c r="D605" s="1980" t="s">
        <v>4163</v>
      </c>
      <c r="E605" s="1980" t="s">
        <v>936</v>
      </c>
      <c r="F605" s="1962">
        <v>32.300719999999998</v>
      </c>
      <c r="G605" s="1962">
        <v>0</v>
      </c>
      <c r="H605" s="1962">
        <v>0</v>
      </c>
      <c r="I605" s="1962">
        <v>0</v>
      </c>
    </row>
    <row r="606" spans="1:9" hidden="1" outlineLevel="2" x14ac:dyDescent="0.2">
      <c r="A606" s="1980" t="s">
        <v>3415</v>
      </c>
      <c r="B606" s="1980" t="s">
        <v>3416</v>
      </c>
      <c r="C606" s="1980" t="s">
        <v>4164</v>
      </c>
      <c r="D606" s="1980" t="s">
        <v>4165</v>
      </c>
      <c r="E606" s="1980" t="s">
        <v>936</v>
      </c>
      <c r="F606" s="1962">
        <v>10.866529999999999</v>
      </c>
      <c r="G606" s="1962">
        <v>0</v>
      </c>
      <c r="H606" s="1962">
        <v>0</v>
      </c>
      <c r="I606" s="1962">
        <v>0</v>
      </c>
    </row>
    <row r="607" spans="1:9" hidden="1" outlineLevel="2" x14ac:dyDescent="0.2">
      <c r="A607" s="1980" t="s">
        <v>3415</v>
      </c>
      <c r="B607" s="1980" t="s">
        <v>3416</v>
      </c>
      <c r="C607" s="1980" t="s">
        <v>4166</v>
      </c>
      <c r="D607" s="1980" t="s">
        <v>4167</v>
      </c>
      <c r="E607" s="1980" t="s">
        <v>936</v>
      </c>
      <c r="F607" s="1962">
        <v>8.3825099999999999</v>
      </c>
      <c r="G607" s="1962">
        <v>0</v>
      </c>
      <c r="H607" s="1962">
        <v>0</v>
      </c>
      <c r="I607" s="1962">
        <v>0</v>
      </c>
    </row>
    <row r="608" spans="1:9" hidden="1" outlineLevel="2" x14ac:dyDescent="0.2">
      <c r="A608" s="1980" t="s">
        <v>3415</v>
      </c>
      <c r="B608" s="1980" t="s">
        <v>3416</v>
      </c>
      <c r="C608" s="1980" t="s">
        <v>4168</v>
      </c>
      <c r="D608" s="1980" t="s">
        <v>4169</v>
      </c>
      <c r="E608" s="1980" t="s">
        <v>936</v>
      </c>
      <c r="F608" s="1962">
        <v>26.243549999999999</v>
      </c>
      <c r="G608" s="1962">
        <v>0</v>
      </c>
      <c r="H608" s="1962">
        <v>0</v>
      </c>
      <c r="I608" s="1962">
        <v>0</v>
      </c>
    </row>
    <row r="609" spans="1:9" hidden="1" outlineLevel="2" x14ac:dyDescent="0.2">
      <c r="A609" s="1980" t="s">
        <v>3415</v>
      </c>
      <c r="B609" s="1980" t="s">
        <v>3416</v>
      </c>
      <c r="C609" s="1980" t="s">
        <v>4170</v>
      </c>
      <c r="D609" s="1980" t="s">
        <v>4171</v>
      </c>
      <c r="E609" s="1980" t="s">
        <v>936</v>
      </c>
      <c r="F609" s="1962">
        <v>7.26058</v>
      </c>
      <c r="G609" s="1962">
        <v>0</v>
      </c>
      <c r="H609" s="1962">
        <v>0</v>
      </c>
      <c r="I609" s="1962">
        <v>0</v>
      </c>
    </row>
    <row r="610" spans="1:9" hidden="1" outlineLevel="2" x14ac:dyDescent="0.2">
      <c r="A610" s="1980" t="s">
        <v>3415</v>
      </c>
      <c r="B610" s="1980" t="s">
        <v>3416</v>
      </c>
      <c r="C610" s="1980" t="s">
        <v>4172</v>
      </c>
      <c r="D610" s="1980" t="s">
        <v>4173</v>
      </c>
      <c r="E610" s="1980" t="s">
        <v>936</v>
      </c>
      <c r="F610" s="1962">
        <v>4.5135899999999998</v>
      </c>
      <c r="G610" s="1962">
        <v>0</v>
      </c>
      <c r="H610" s="1962">
        <v>0</v>
      </c>
      <c r="I610" s="1962">
        <v>0</v>
      </c>
    </row>
    <row r="611" spans="1:9" hidden="1" outlineLevel="2" x14ac:dyDescent="0.2">
      <c r="A611" s="1980" t="s">
        <v>3415</v>
      </c>
      <c r="B611" s="1980" t="s">
        <v>3416</v>
      </c>
      <c r="C611" s="1980" t="s">
        <v>4174</v>
      </c>
      <c r="D611" s="1980" t="s">
        <v>4175</v>
      </c>
      <c r="E611" s="1980" t="s">
        <v>936</v>
      </c>
      <c r="F611" s="1962">
        <v>1634.9569899999999</v>
      </c>
      <c r="G611" s="1962">
        <v>0</v>
      </c>
      <c r="H611" s="1962">
        <v>0</v>
      </c>
      <c r="I611" s="1962">
        <v>0</v>
      </c>
    </row>
    <row r="612" spans="1:9" hidden="1" outlineLevel="2" x14ac:dyDescent="0.2">
      <c r="A612" s="1980" t="s">
        <v>3415</v>
      </c>
      <c r="B612" s="1980" t="s">
        <v>3416</v>
      </c>
      <c r="C612" s="1980" t="s">
        <v>4176</v>
      </c>
      <c r="D612" s="1980" t="s">
        <v>4177</v>
      </c>
      <c r="E612" s="1980" t="s">
        <v>936</v>
      </c>
      <c r="F612" s="1962">
        <v>22.793559999999999</v>
      </c>
      <c r="G612" s="1962">
        <v>0</v>
      </c>
      <c r="H612" s="1962">
        <v>0</v>
      </c>
      <c r="I612" s="1962">
        <v>0</v>
      </c>
    </row>
    <row r="613" spans="1:9" hidden="1" outlineLevel="2" x14ac:dyDescent="0.2">
      <c r="A613" s="1980" t="s">
        <v>3415</v>
      </c>
      <c r="B613" s="1980" t="s">
        <v>3416</v>
      </c>
      <c r="C613" s="1980" t="s">
        <v>4178</v>
      </c>
      <c r="D613" s="1980" t="s">
        <v>4179</v>
      </c>
      <c r="E613" s="1980" t="s">
        <v>936</v>
      </c>
      <c r="F613" s="1962">
        <v>556.86608000000001</v>
      </c>
      <c r="G613" s="1962">
        <v>0</v>
      </c>
      <c r="H613" s="1962">
        <v>0</v>
      </c>
      <c r="I613" s="1962">
        <v>0</v>
      </c>
    </row>
    <row r="614" spans="1:9" hidden="1" outlineLevel="2" x14ac:dyDescent="0.2">
      <c r="A614" s="1980" t="s">
        <v>3415</v>
      </c>
      <c r="B614" s="1980" t="s">
        <v>3416</v>
      </c>
      <c r="C614" s="1980" t="s">
        <v>4180</v>
      </c>
      <c r="D614" s="1980" t="s">
        <v>4181</v>
      </c>
      <c r="E614" s="1980" t="s">
        <v>936</v>
      </c>
      <c r="F614" s="1962">
        <v>46.381120000000003</v>
      </c>
      <c r="G614" s="1962">
        <v>0</v>
      </c>
      <c r="H614" s="1962">
        <v>0</v>
      </c>
      <c r="I614" s="1962">
        <v>0</v>
      </c>
    </row>
    <row r="615" spans="1:9" hidden="1" outlineLevel="2" x14ac:dyDescent="0.2">
      <c r="A615" s="1980" t="s">
        <v>3415</v>
      </c>
      <c r="B615" s="1980" t="s">
        <v>3416</v>
      </c>
      <c r="C615" s="1980" t="s">
        <v>4182</v>
      </c>
      <c r="D615" s="1980" t="s">
        <v>4183</v>
      </c>
      <c r="E615" s="1980" t="s">
        <v>936</v>
      </c>
      <c r="F615" s="1962">
        <v>20.472989999999999</v>
      </c>
      <c r="G615" s="1962">
        <v>0</v>
      </c>
      <c r="H615" s="1962">
        <v>0</v>
      </c>
      <c r="I615" s="1962">
        <v>0</v>
      </c>
    </row>
    <row r="616" spans="1:9" hidden="1" outlineLevel="2" x14ac:dyDescent="0.2">
      <c r="A616" s="1980" t="s">
        <v>3415</v>
      </c>
      <c r="B616" s="1980" t="s">
        <v>3416</v>
      </c>
      <c r="C616" s="1980" t="s">
        <v>4184</v>
      </c>
      <c r="D616" s="1980" t="s">
        <v>4185</v>
      </c>
      <c r="E616" s="1980" t="s">
        <v>936</v>
      </c>
      <c r="F616" s="1962">
        <v>22.901019999999999</v>
      </c>
      <c r="G616" s="1962">
        <v>0</v>
      </c>
      <c r="H616" s="1962">
        <v>0</v>
      </c>
      <c r="I616" s="1962">
        <v>0</v>
      </c>
    </row>
    <row r="617" spans="1:9" hidden="1" outlineLevel="2" x14ac:dyDescent="0.2">
      <c r="A617" s="1980" t="s">
        <v>3415</v>
      </c>
      <c r="B617" s="1980" t="s">
        <v>3416</v>
      </c>
      <c r="C617" s="1980" t="s">
        <v>4186</v>
      </c>
      <c r="D617" s="1980" t="s">
        <v>4187</v>
      </c>
      <c r="E617" s="1980" t="s">
        <v>936</v>
      </c>
      <c r="F617" s="1962">
        <v>1.2270000000000001</v>
      </c>
      <c r="G617" s="1962">
        <v>0</v>
      </c>
      <c r="H617" s="1962">
        <v>0</v>
      </c>
      <c r="I617" s="1962">
        <v>0</v>
      </c>
    </row>
    <row r="618" spans="1:9" hidden="1" outlineLevel="2" x14ac:dyDescent="0.2">
      <c r="A618" s="1980" t="s">
        <v>3415</v>
      </c>
      <c r="B618" s="1980" t="s">
        <v>3416</v>
      </c>
      <c r="C618" s="1980" t="s">
        <v>4188</v>
      </c>
      <c r="D618" s="1980" t="s">
        <v>4189</v>
      </c>
      <c r="E618" s="1980" t="s">
        <v>936</v>
      </c>
      <c r="F618" s="1962">
        <v>9.0999999999999998E-2</v>
      </c>
      <c r="G618" s="1962">
        <v>0</v>
      </c>
      <c r="H618" s="1962">
        <v>0</v>
      </c>
      <c r="I618" s="1962">
        <v>0</v>
      </c>
    </row>
    <row r="619" spans="1:9" hidden="1" outlineLevel="2" x14ac:dyDescent="0.2">
      <c r="A619" s="1980" t="s">
        <v>3415</v>
      </c>
      <c r="B619" s="1980" t="s">
        <v>3416</v>
      </c>
      <c r="C619" s="1980" t="s">
        <v>4190</v>
      </c>
      <c r="D619" s="1980" t="s">
        <v>4191</v>
      </c>
      <c r="E619" s="1980" t="s">
        <v>936</v>
      </c>
      <c r="F619" s="1962">
        <v>8.0637299999999996</v>
      </c>
      <c r="G619" s="1962">
        <v>0</v>
      </c>
      <c r="H619" s="1962">
        <v>0</v>
      </c>
      <c r="I619" s="1962">
        <v>0</v>
      </c>
    </row>
    <row r="620" spans="1:9" hidden="1" outlineLevel="2" x14ac:dyDescent="0.2">
      <c r="A620" s="1980" t="s">
        <v>3415</v>
      </c>
      <c r="B620" s="1980" t="s">
        <v>3416</v>
      </c>
      <c r="C620" s="1980" t="s">
        <v>4192</v>
      </c>
      <c r="D620" s="1980" t="s">
        <v>4193</v>
      </c>
      <c r="E620" s="1980" t="s">
        <v>936</v>
      </c>
      <c r="F620" s="1962">
        <v>26.358560000000001</v>
      </c>
      <c r="G620" s="1962">
        <v>0</v>
      </c>
      <c r="H620" s="1962">
        <v>0</v>
      </c>
      <c r="I620" s="1962">
        <v>0</v>
      </c>
    </row>
    <row r="621" spans="1:9" hidden="1" outlineLevel="2" x14ac:dyDescent="0.2">
      <c r="A621" s="1980" t="s">
        <v>3415</v>
      </c>
      <c r="B621" s="1980" t="s">
        <v>3416</v>
      </c>
      <c r="C621" s="1980" t="s">
        <v>4194</v>
      </c>
      <c r="D621" s="1980" t="s">
        <v>4195</v>
      </c>
      <c r="E621" s="1980" t="s">
        <v>936</v>
      </c>
      <c r="F621" s="1962">
        <v>4.5800999999999998</v>
      </c>
      <c r="G621" s="1962">
        <v>0</v>
      </c>
      <c r="H621" s="1962">
        <v>0</v>
      </c>
      <c r="I621" s="1962">
        <v>0</v>
      </c>
    </row>
    <row r="622" spans="1:9" hidden="1" outlineLevel="2" x14ac:dyDescent="0.2">
      <c r="A622" s="1980" t="s">
        <v>3415</v>
      </c>
      <c r="B622" s="1980" t="s">
        <v>3416</v>
      </c>
      <c r="C622" s="1980" t="s">
        <v>4196</v>
      </c>
      <c r="D622" s="1980" t="s">
        <v>4197</v>
      </c>
      <c r="E622" s="1980" t="s">
        <v>936</v>
      </c>
      <c r="F622" s="1962">
        <v>4.9894100000000003</v>
      </c>
      <c r="G622" s="1962">
        <v>0</v>
      </c>
      <c r="H622" s="1962">
        <v>0</v>
      </c>
      <c r="I622" s="1962">
        <v>0</v>
      </c>
    </row>
    <row r="623" spans="1:9" hidden="1" outlineLevel="2" x14ac:dyDescent="0.2">
      <c r="A623" s="1980" t="s">
        <v>3415</v>
      </c>
      <c r="B623" s="1980" t="s">
        <v>3416</v>
      </c>
      <c r="C623" s="1980" t="s">
        <v>4198</v>
      </c>
      <c r="D623" s="1980" t="s">
        <v>4199</v>
      </c>
      <c r="E623" s="1980" t="s">
        <v>936</v>
      </c>
      <c r="F623" s="1962">
        <v>1.0000000000000001E-5</v>
      </c>
      <c r="G623" s="1962">
        <v>0</v>
      </c>
      <c r="H623" s="1962">
        <v>0</v>
      </c>
      <c r="I623" s="1962">
        <v>0</v>
      </c>
    </row>
    <row r="624" spans="1:9" hidden="1" outlineLevel="2" x14ac:dyDescent="0.2">
      <c r="A624" s="1980" t="s">
        <v>3415</v>
      </c>
      <c r="B624" s="1980" t="s">
        <v>3416</v>
      </c>
      <c r="C624" s="1980" t="s">
        <v>4200</v>
      </c>
      <c r="D624" s="1980" t="s">
        <v>4201</v>
      </c>
      <c r="E624" s="1980" t="s">
        <v>936</v>
      </c>
      <c r="F624" s="1962">
        <v>23.155809999999999</v>
      </c>
      <c r="G624" s="1962">
        <v>0</v>
      </c>
      <c r="H624" s="1962">
        <v>0</v>
      </c>
      <c r="I624" s="1962">
        <v>0</v>
      </c>
    </row>
    <row r="625" spans="1:9" hidden="1" outlineLevel="2" x14ac:dyDescent="0.2">
      <c r="A625" s="1980" t="s">
        <v>3415</v>
      </c>
      <c r="B625" s="1980" t="s">
        <v>3416</v>
      </c>
      <c r="C625" s="1980" t="s">
        <v>4202</v>
      </c>
      <c r="D625" s="1980" t="s">
        <v>4203</v>
      </c>
      <c r="E625" s="1980" t="s">
        <v>936</v>
      </c>
      <c r="F625" s="1962">
        <v>410.11273</v>
      </c>
      <c r="G625" s="1962">
        <v>0</v>
      </c>
      <c r="H625" s="1962">
        <v>0</v>
      </c>
      <c r="I625" s="1962">
        <v>0</v>
      </c>
    </row>
    <row r="626" spans="1:9" hidden="1" outlineLevel="2" x14ac:dyDescent="0.2">
      <c r="A626" s="1980" t="s">
        <v>3415</v>
      </c>
      <c r="B626" s="1980" t="s">
        <v>3416</v>
      </c>
      <c r="C626" s="1980" t="s">
        <v>4204</v>
      </c>
      <c r="D626" s="1980" t="s">
        <v>4205</v>
      </c>
      <c r="E626" s="1980" t="s">
        <v>936</v>
      </c>
      <c r="F626" s="1962">
        <v>1344.78052</v>
      </c>
      <c r="G626" s="1962">
        <v>0</v>
      </c>
      <c r="H626" s="1962">
        <v>0</v>
      </c>
      <c r="I626" s="1962">
        <v>0</v>
      </c>
    </row>
    <row r="627" spans="1:9" hidden="1" outlineLevel="2" x14ac:dyDescent="0.2">
      <c r="A627" s="1980" t="s">
        <v>3415</v>
      </c>
      <c r="B627" s="1980" t="s">
        <v>3416</v>
      </c>
      <c r="C627" s="1980" t="s">
        <v>4206</v>
      </c>
      <c r="D627" s="1980" t="s">
        <v>4207</v>
      </c>
      <c r="E627" s="1980" t="s">
        <v>936</v>
      </c>
      <c r="F627" s="1962">
        <v>263.88233000000002</v>
      </c>
      <c r="G627" s="1962">
        <v>0</v>
      </c>
      <c r="H627" s="1962">
        <v>0</v>
      </c>
      <c r="I627" s="1962">
        <v>0</v>
      </c>
    </row>
    <row r="628" spans="1:9" hidden="1" outlineLevel="2" x14ac:dyDescent="0.2">
      <c r="A628" s="1980" t="s">
        <v>3415</v>
      </c>
      <c r="B628" s="1980" t="s">
        <v>3416</v>
      </c>
      <c r="C628" s="1980" t="s">
        <v>4208</v>
      </c>
      <c r="D628" s="1980" t="s">
        <v>4209</v>
      </c>
      <c r="E628" s="1980" t="s">
        <v>936</v>
      </c>
      <c r="F628" s="1962">
        <v>135.76651000000001</v>
      </c>
      <c r="G628" s="1962">
        <v>0</v>
      </c>
      <c r="H628" s="1962">
        <v>0</v>
      </c>
      <c r="I628" s="1962">
        <v>0</v>
      </c>
    </row>
    <row r="629" spans="1:9" hidden="1" outlineLevel="2" x14ac:dyDescent="0.2">
      <c r="A629" s="1980" t="s">
        <v>3415</v>
      </c>
      <c r="B629" s="1980" t="s">
        <v>3416</v>
      </c>
      <c r="C629" s="1980" t="s">
        <v>4210</v>
      </c>
      <c r="D629" s="1980" t="s">
        <v>4211</v>
      </c>
      <c r="E629" s="1980" t="s">
        <v>936</v>
      </c>
      <c r="F629" s="1962">
        <v>227.20256000000001</v>
      </c>
      <c r="G629" s="1962">
        <v>0</v>
      </c>
      <c r="H629" s="1962">
        <v>0</v>
      </c>
      <c r="I629" s="1962">
        <v>0</v>
      </c>
    </row>
    <row r="630" spans="1:9" hidden="1" outlineLevel="2" x14ac:dyDescent="0.2">
      <c r="A630" s="1980" t="s">
        <v>3415</v>
      </c>
      <c r="B630" s="1980" t="s">
        <v>3416</v>
      </c>
      <c r="C630" s="1980" t="s">
        <v>4212</v>
      </c>
      <c r="D630" s="1980" t="s">
        <v>4213</v>
      </c>
      <c r="E630" s="1980" t="s">
        <v>936</v>
      </c>
      <c r="F630" s="1962">
        <v>152.61505</v>
      </c>
      <c r="G630" s="1962">
        <v>0</v>
      </c>
      <c r="H630" s="1962">
        <v>0</v>
      </c>
      <c r="I630" s="1962">
        <v>0</v>
      </c>
    </row>
    <row r="631" spans="1:9" hidden="1" outlineLevel="2" x14ac:dyDescent="0.2">
      <c r="A631" s="1980" t="s">
        <v>3415</v>
      </c>
      <c r="B631" s="1980" t="s">
        <v>3416</v>
      </c>
      <c r="C631" s="1980" t="s">
        <v>4214</v>
      </c>
      <c r="D631" s="1980" t="s">
        <v>3559</v>
      </c>
      <c r="E631" s="1980" t="s">
        <v>936</v>
      </c>
      <c r="F631" s="1962">
        <v>4173.9674100000002</v>
      </c>
      <c r="G631" s="1962">
        <v>0</v>
      </c>
      <c r="H631" s="1962">
        <v>0</v>
      </c>
      <c r="I631" s="1962">
        <v>0</v>
      </c>
    </row>
    <row r="632" spans="1:9" hidden="1" outlineLevel="2" x14ac:dyDescent="0.2">
      <c r="A632" s="1980" t="s">
        <v>3415</v>
      </c>
      <c r="B632" s="1980" t="s">
        <v>3416</v>
      </c>
      <c r="C632" s="1980" t="s">
        <v>4215</v>
      </c>
      <c r="D632" s="1980" t="s">
        <v>4216</v>
      </c>
      <c r="E632" s="1980" t="s">
        <v>936</v>
      </c>
      <c r="F632" s="1962">
        <v>18922.35413</v>
      </c>
      <c r="G632" s="1962">
        <v>0</v>
      </c>
      <c r="H632" s="1962">
        <v>0</v>
      </c>
      <c r="I632" s="1962">
        <v>0</v>
      </c>
    </row>
    <row r="633" spans="1:9" hidden="1" outlineLevel="2" x14ac:dyDescent="0.2">
      <c r="A633" s="1980" t="s">
        <v>3415</v>
      </c>
      <c r="B633" s="1980" t="s">
        <v>3416</v>
      </c>
      <c r="C633" s="1980" t="s">
        <v>4217</v>
      </c>
      <c r="D633" s="1980" t="s">
        <v>4218</v>
      </c>
      <c r="E633" s="1980" t="s">
        <v>936</v>
      </c>
      <c r="F633" s="1962">
        <v>2877.7691799999998</v>
      </c>
      <c r="G633" s="1962">
        <v>0</v>
      </c>
      <c r="H633" s="1962">
        <v>0</v>
      </c>
      <c r="I633" s="1962">
        <v>0</v>
      </c>
    </row>
    <row r="634" spans="1:9" hidden="1" outlineLevel="2" x14ac:dyDescent="0.2">
      <c r="A634" s="1980" t="s">
        <v>3415</v>
      </c>
      <c r="B634" s="1980" t="s">
        <v>3416</v>
      </c>
      <c r="C634" s="1980" t="s">
        <v>4219</v>
      </c>
      <c r="D634" s="1980" t="s">
        <v>4220</v>
      </c>
      <c r="E634" s="1980" t="s">
        <v>936</v>
      </c>
      <c r="F634" s="1962">
        <v>476.39917000000003</v>
      </c>
      <c r="G634" s="1962">
        <v>0</v>
      </c>
      <c r="H634" s="1962">
        <v>0</v>
      </c>
      <c r="I634" s="1962">
        <v>0</v>
      </c>
    </row>
    <row r="635" spans="1:9" hidden="1" outlineLevel="2" x14ac:dyDescent="0.2">
      <c r="A635" s="1980" t="s">
        <v>3415</v>
      </c>
      <c r="B635" s="1980" t="s">
        <v>3416</v>
      </c>
      <c r="C635" s="1980" t="s">
        <v>4221</v>
      </c>
      <c r="D635" s="1980" t="s">
        <v>4222</v>
      </c>
      <c r="E635" s="1980" t="s">
        <v>936</v>
      </c>
      <c r="F635" s="1962">
        <v>63.903219999999997</v>
      </c>
      <c r="G635" s="1962">
        <v>0</v>
      </c>
      <c r="H635" s="1962">
        <v>0</v>
      </c>
      <c r="I635" s="1962">
        <v>0</v>
      </c>
    </row>
    <row r="636" spans="1:9" hidden="1" outlineLevel="2" x14ac:dyDescent="0.2">
      <c r="A636" s="1980" t="s">
        <v>3415</v>
      </c>
      <c r="B636" s="1980" t="s">
        <v>3416</v>
      </c>
      <c r="C636" s="1980" t="s">
        <v>4223</v>
      </c>
      <c r="D636" s="1980" t="s">
        <v>4224</v>
      </c>
      <c r="E636" s="1980" t="s">
        <v>936</v>
      </c>
      <c r="F636" s="1962">
        <v>1610.8740600000001</v>
      </c>
      <c r="G636" s="1962">
        <v>0</v>
      </c>
      <c r="H636" s="1962">
        <v>0</v>
      </c>
      <c r="I636" s="1962">
        <v>0</v>
      </c>
    </row>
    <row r="637" spans="1:9" hidden="1" outlineLevel="2" x14ac:dyDescent="0.2">
      <c r="A637" s="1980" t="s">
        <v>3415</v>
      </c>
      <c r="B637" s="1980" t="s">
        <v>3416</v>
      </c>
      <c r="C637" s="1980" t="s">
        <v>4225</v>
      </c>
      <c r="D637" s="1980" t="s">
        <v>4226</v>
      </c>
      <c r="E637" s="1980" t="s">
        <v>936</v>
      </c>
      <c r="F637" s="1962">
        <v>370.42480999999998</v>
      </c>
      <c r="G637" s="1962">
        <v>0</v>
      </c>
      <c r="H637" s="1962">
        <v>0</v>
      </c>
      <c r="I637" s="1962">
        <v>0</v>
      </c>
    </row>
    <row r="638" spans="1:9" hidden="1" outlineLevel="2" x14ac:dyDescent="0.2">
      <c r="A638" s="1980" t="s">
        <v>3415</v>
      </c>
      <c r="B638" s="1980" t="s">
        <v>3416</v>
      </c>
      <c r="C638" s="1980" t="s">
        <v>4227</v>
      </c>
      <c r="D638" s="1980" t="s">
        <v>4228</v>
      </c>
      <c r="E638" s="1980" t="s">
        <v>936</v>
      </c>
      <c r="F638" s="1962">
        <v>1124.93406</v>
      </c>
      <c r="G638" s="1962">
        <v>0</v>
      </c>
      <c r="H638" s="1962">
        <v>0</v>
      </c>
      <c r="I638" s="1962">
        <v>0</v>
      </c>
    </row>
    <row r="639" spans="1:9" hidden="1" outlineLevel="2" x14ac:dyDescent="0.2">
      <c r="A639" s="1980" t="s">
        <v>3415</v>
      </c>
      <c r="B639" s="1980" t="s">
        <v>3416</v>
      </c>
      <c r="C639" s="1980" t="s">
        <v>4229</v>
      </c>
      <c r="D639" s="1980" t="s">
        <v>3539</v>
      </c>
      <c r="E639" s="1980" t="s">
        <v>936</v>
      </c>
      <c r="F639" s="1962">
        <v>1890.20046</v>
      </c>
      <c r="G639" s="1962">
        <v>0</v>
      </c>
      <c r="H639" s="1962">
        <v>0</v>
      </c>
      <c r="I639" s="1962">
        <v>0</v>
      </c>
    </row>
    <row r="640" spans="1:9" hidden="1" outlineLevel="2" x14ac:dyDescent="0.2">
      <c r="A640" s="1980" t="s">
        <v>3415</v>
      </c>
      <c r="B640" s="1980" t="s">
        <v>3416</v>
      </c>
      <c r="C640" s="1980" t="s">
        <v>4230</v>
      </c>
      <c r="D640" s="1980" t="s">
        <v>4111</v>
      </c>
      <c r="E640" s="1980" t="s">
        <v>936</v>
      </c>
      <c r="F640" s="1962">
        <v>15213.332770000001</v>
      </c>
      <c r="G640" s="1962">
        <v>0</v>
      </c>
      <c r="H640" s="1962">
        <v>0</v>
      </c>
      <c r="I640" s="1962">
        <v>0</v>
      </c>
    </row>
    <row r="641" spans="1:9" hidden="1" outlineLevel="2" x14ac:dyDescent="0.2">
      <c r="A641" s="1980" t="s">
        <v>3415</v>
      </c>
      <c r="B641" s="1980" t="s">
        <v>3416</v>
      </c>
      <c r="C641" s="1980" t="s">
        <v>4231</v>
      </c>
      <c r="D641" s="1980" t="s">
        <v>4232</v>
      </c>
      <c r="E641" s="1980" t="s">
        <v>936</v>
      </c>
      <c r="F641" s="1962">
        <v>6315.7614299999996</v>
      </c>
      <c r="G641" s="1962">
        <v>0</v>
      </c>
      <c r="H641" s="1962">
        <v>0</v>
      </c>
      <c r="I641" s="1962">
        <v>0</v>
      </c>
    </row>
    <row r="642" spans="1:9" hidden="1" outlineLevel="2" x14ac:dyDescent="0.2">
      <c r="A642" s="1980" t="s">
        <v>3415</v>
      </c>
      <c r="B642" s="1980" t="s">
        <v>3416</v>
      </c>
      <c r="C642" s="1980" t="s">
        <v>4233</v>
      </c>
      <c r="D642" s="1980" t="s">
        <v>4234</v>
      </c>
      <c r="E642" s="1980" t="s">
        <v>936</v>
      </c>
      <c r="F642" s="1962">
        <v>4776.8338199999998</v>
      </c>
      <c r="G642" s="1962">
        <v>0</v>
      </c>
      <c r="H642" s="1962">
        <v>0</v>
      </c>
      <c r="I642" s="1962">
        <v>0</v>
      </c>
    </row>
    <row r="643" spans="1:9" hidden="1" outlineLevel="2" x14ac:dyDescent="0.2">
      <c r="A643" s="1980" t="s">
        <v>3415</v>
      </c>
      <c r="B643" s="1980" t="s">
        <v>3416</v>
      </c>
      <c r="C643" s="1980" t="s">
        <v>4235</v>
      </c>
      <c r="D643" s="1980" t="s">
        <v>4117</v>
      </c>
      <c r="E643" s="1980" t="s">
        <v>936</v>
      </c>
      <c r="F643" s="1962">
        <v>257.37293</v>
      </c>
      <c r="G643" s="1962">
        <v>0</v>
      </c>
      <c r="H643" s="1962">
        <v>0</v>
      </c>
      <c r="I643" s="1962">
        <v>0</v>
      </c>
    </row>
    <row r="644" spans="1:9" hidden="1" outlineLevel="2" x14ac:dyDescent="0.2">
      <c r="A644" s="1980" t="s">
        <v>3415</v>
      </c>
      <c r="B644" s="1980" t="s">
        <v>3416</v>
      </c>
      <c r="C644" s="1980" t="s">
        <v>4236</v>
      </c>
      <c r="D644" s="1980" t="s">
        <v>3981</v>
      </c>
      <c r="E644" s="1980" t="s">
        <v>936</v>
      </c>
      <c r="F644" s="1962">
        <v>6.16533</v>
      </c>
      <c r="G644" s="1962">
        <v>0</v>
      </c>
      <c r="H644" s="1962">
        <v>0</v>
      </c>
      <c r="I644" s="1962">
        <v>0</v>
      </c>
    </row>
    <row r="645" spans="1:9" hidden="1" outlineLevel="2" x14ac:dyDescent="0.2">
      <c r="A645" s="1980" t="s">
        <v>3415</v>
      </c>
      <c r="B645" s="1980" t="s">
        <v>3416</v>
      </c>
      <c r="C645" s="1980" t="s">
        <v>4237</v>
      </c>
      <c r="D645" s="1980" t="s">
        <v>4238</v>
      </c>
      <c r="E645" s="1980" t="s">
        <v>936</v>
      </c>
      <c r="F645" s="1962">
        <v>3896.1082500000002</v>
      </c>
      <c r="G645" s="1962">
        <v>0</v>
      </c>
      <c r="H645" s="1962">
        <v>0</v>
      </c>
      <c r="I645" s="1962">
        <v>0</v>
      </c>
    </row>
    <row r="646" spans="1:9" hidden="1" outlineLevel="2" x14ac:dyDescent="0.2">
      <c r="A646" s="1980" t="s">
        <v>3415</v>
      </c>
      <c r="B646" s="1980" t="s">
        <v>3416</v>
      </c>
      <c r="C646" s="1980" t="s">
        <v>4239</v>
      </c>
      <c r="D646" s="1980" t="s">
        <v>4240</v>
      </c>
      <c r="E646" s="1980" t="s">
        <v>936</v>
      </c>
      <c r="F646" s="1962">
        <v>261.57416000000001</v>
      </c>
      <c r="G646" s="1962">
        <v>0</v>
      </c>
      <c r="H646" s="1962">
        <v>0</v>
      </c>
      <c r="I646" s="1962">
        <v>0</v>
      </c>
    </row>
    <row r="647" spans="1:9" hidden="1" outlineLevel="2" x14ac:dyDescent="0.2">
      <c r="A647" s="1980" t="s">
        <v>3415</v>
      </c>
      <c r="B647" s="1980" t="s">
        <v>3416</v>
      </c>
      <c r="C647" s="1980" t="s">
        <v>4241</v>
      </c>
      <c r="D647" s="1980" t="s">
        <v>4242</v>
      </c>
      <c r="E647" s="1980" t="s">
        <v>936</v>
      </c>
      <c r="F647" s="1962">
        <v>0.11609</v>
      </c>
      <c r="G647" s="1962">
        <v>0</v>
      </c>
      <c r="H647" s="1962">
        <v>0</v>
      </c>
      <c r="I647" s="1962">
        <v>0</v>
      </c>
    </row>
    <row r="648" spans="1:9" hidden="1" outlineLevel="2" x14ac:dyDescent="0.2">
      <c r="A648" s="1980" t="s">
        <v>3415</v>
      </c>
      <c r="B648" s="1980" t="s">
        <v>3416</v>
      </c>
      <c r="C648" s="1980" t="s">
        <v>4243</v>
      </c>
      <c r="D648" s="1980" t="s">
        <v>4244</v>
      </c>
      <c r="E648" s="1980" t="s">
        <v>936</v>
      </c>
      <c r="F648" s="1962">
        <v>97.360370000000003</v>
      </c>
      <c r="G648" s="1962">
        <v>0</v>
      </c>
      <c r="H648" s="1962">
        <v>0</v>
      </c>
      <c r="I648" s="1962">
        <v>0</v>
      </c>
    </row>
    <row r="649" spans="1:9" hidden="1" outlineLevel="2" x14ac:dyDescent="0.2">
      <c r="A649" s="1980" t="s">
        <v>3415</v>
      </c>
      <c r="B649" s="1980" t="s">
        <v>3416</v>
      </c>
      <c r="C649" s="1980" t="s">
        <v>5725</v>
      </c>
      <c r="D649" s="1980" t="s">
        <v>4245</v>
      </c>
      <c r="E649" s="1980" t="s">
        <v>936</v>
      </c>
      <c r="F649" s="1962">
        <v>53.90484</v>
      </c>
      <c r="G649" s="1962">
        <v>0</v>
      </c>
      <c r="H649" s="1962">
        <v>0</v>
      </c>
      <c r="I649" s="1962">
        <v>0</v>
      </c>
    </row>
    <row r="650" spans="1:9" hidden="1" outlineLevel="2" x14ac:dyDescent="0.2">
      <c r="A650" s="1980" t="s">
        <v>3415</v>
      </c>
      <c r="B650" s="1980" t="s">
        <v>3416</v>
      </c>
      <c r="C650" s="1980" t="s">
        <v>4246</v>
      </c>
      <c r="D650" s="1980" t="s">
        <v>4247</v>
      </c>
      <c r="E650" s="1980" t="s">
        <v>936</v>
      </c>
      <c r="F650" s="1962">
        <v>4.5240000000000002E-2</v>
      </c>
      <c r="G650" s="1962">
        <v>0</v>
      </c>
      <c r="H650" s="1962">
        <v>0</v>
      </c>
      <c r="I650" s="1962">
        <v>0</v>
      </c>
    </row>
    <row r="651" spans="1:9" hidden="1" outlineLevel="2" x14ac:dyDescent="0.2">
      <c r="A651" s="1980" t="s">
        <v>3415</v>
      </c>
      <c r="B651" s="1980" t="s">
        <v>3416</v>
      </c>
      <c r="C651" s="1980" t="s">
        <v>4248</v>
      </c>
      <c r="D651" s="1980" t="s">
        <v>4249</v>
      </c>
      <c r="E651" s="1980" t="s">
        <v>936</v>
      </c>
      <c r="F651" s="1962">
        <v>42.907899999999998</v>
      </c>
      <c r="G651" s="1962">
        <v>0</v>
      </c>
      <c r="H651" s="1962">
        <v>0</v>
      </c>
      <c r="I651" s="1962">
        <v>0</v>
      </c>
    </row>
    <row r="652" spans="1:9" hidden="1" outlineLevel="2" x14ac:dyDescent="0.2">
      <c r="A652" s="1980" t="s">
        <v>3415</v>
      </c>
      <c r="B652" s="1980" t="s">
        <v>3416</v>
      </c>
      <c r="C652" s="1980" t="s">
        <v>4250</v>
      </c>
      <c r="D652" s="1980" t="s">
        <v>4251</v>
      </c>
      <c r="E652" s="1980" t="s">
        <v>936</v>
      </c>
      <c r="F652" s="1962">
        <v>1207.25532</v>
      </c>
      <c r="G652" s="1962">
        <v>0</v>
      </c>
      <c r="H652" s="1962">
        <v>0</v>
      </c>
      <c r="I652" s="1962">
        <v>0</v>
      </c>
    </row>
    <row r="653" spans="1:9" hidden="1" outlineLevel="2" x14ac:dyDescent="0.2">
      <c r="A653" s="1980" t="s">
        <v>3415</v>
      </c>
      <c r="B653" s="1980" t="s">
        <v>3416</v>
      </c>
      <c r="C653" s="1980" t="s">
        <v>4252</v>
      </c>
      <c r="D653" s="1980" t="s">
        <v>4253</v>
      </c>
      <c r="E653" s="1980" t="s">
        <v>936</v>
      </c>
      <c r="F653" s="1962">
        <v>1.9707300000000001</v>
      </c>
      <c r="G653" s="1962">
        <v>0</v>
      </c>
      <c r="H653" s="1962">
        <v>0</v>
      </c>
      <c r="I653" s="1962">
        <v>0</v>
      </c>
    </row>
    <row r="654" spans="1:9" hidden="1" outlineLevel="2" x14ac:dyDescent="0.2">
      <c r="A654" s="1980" t="s">
        <v>3415</v>
      </c>
      <c r="B654" s="1980" t="s">
        <v>3416</v>
      </c>
      <c r="C654" s="1980" t="s">
        <v>4254</v>
      </c>
      <c r="D654" s="1980" t="s">
        <v>4255</v>
      </c>
      <c r="E654" s="1980" t="s">
        <v>936</v>
      </c>
      <c r="F654" s="1962">
        <v>84.763649999999998</v>
      </c>
      <c r="G654" s="1962">
        <v>0</v>
      </c>
      <c r="H654" s="1962">
        <v>0</v>
      </c>
      <c r="I654" s="1962">
        <v>0</v>
      </c>
    </row>
    <row r="655" spans="1:9" hidden="1" outlineLevel="2" x14ac:dyDescent="0.2">
      <c r="A655" s="1980" t="s">
        <v>3415</v>
      </c>
      <c r="B655" s="1980" t="s">
        <v>3416</v>
      </c>
      <c r="C655" s="1980" t="s">
        <v>4256</v>
      </c>
      <c r="D655" s="1980" t="s">
        <v>4257</v>
      </c>
      <c r="E655" s="1980" t="s">
        <v>936</v>
      </c>
      <c r="F655" s="1962">
        <v>9.3697800000000004</v>
      </c>
      <c r="G655" s="1962">
        <v>0</v>
      </c>
      <c r="H655" s="1962">
        <v>0</v>
      </c>
      <c r="I655" s="1962">
        <v>0</v>
      </c>
    </row>
    <row r="656" spans="1:9" hidden="1" outlineLevel="2" x14ac:dyDescent="0.2">
      <c r="A656" s="1980" t="s">
        <v>3415</v>
      </c>
      <c r="B656" s="1980" t="s">
        <v>3416</v>
      </c>
      <c r="C656" s="1980" t="s">
        <v>4258</v>
      </c>
      <c r="D656" s="1980" t="s">
        <v>4259</v>
      </c>
      <c r="E656" s="1980" t="s">
        <v>936</v>
      </c>
      <c r="F656" s="1962">
        <v>3.1943199999999998</v>
      </c>
      <c r="G656" s="1962">
        <v>0</v>
      </c>
      <c r="H656" s="1962">
        <v>0</v>
      </c>
      <c r="I656" s="1962">
        <v>0</v>
      </c>
    </row>
    <row r="657" spans="1:9" hidden="1" outlineLevel="2" x14ac:dyDescent="0.2">
      <c r="A657" s="1980" t="s">
        <v>3415</v>
      </c>
      <c r="B657" s="1980" t="s">
        <v>3416</v>
      </c>
      <c r="C657" s="1980" t="s">
        <v>4260</v>
      </c>
      <c r="D657" s="1980" t="s">
        <v>4261</v>
      </c>
      <c r="E657" s="1980" t="s">
        <v>936</v>
      </c>
      <c r="F657" s="1962">
        <v>29.610939999999999</v>
      </c>
      <c r="G657" s="1962">
        <v>0</v>
      </c>
      <c r="H657" s="1962">
        <v>0</v>
      </c>
      <c r="I657" s="1962">
        <v>0</v>
      </c>
    </row>
    <row r="658" spans="1:9" hidden="1" outlineLevel="2" x14ac:dyDescent="0.2">
      <c r="A658" s="1980" t="s">
        <v>3415</v>
      </c>
      <c r="B658" s="1980" t="s">
        <v>3416</v>
      </c>
      <c r="C658" s="1980" t="s">
        <v>4262</v>
      </c>
      <c r="D658" s="1980" t="s">
        <v>3969</v>
      </c>
      <c r="E658" s="1980" t="s">
        <v>936</v>
      </c>
      <c r="F658" s="1962">
        <v>120.62633</v>
      </c>
      <c r="G658" s="1962">
        <v>0</v>
      </c>
      <c r="H658" s="1962">
        <v>0</v>
      </c>
      <c r="I658" s="1962">
        <v>0</v>
      </c>
    </row>
    <row r="659" spans="1:9" hidden="1" outlineLevel="2" x14ac:dyDescent="0.2">
      <c r="A659" s="1980" t="s">
        <v>3415</v>
      </c>
      <c r="B659" s="1980" t="s">
        <v>3416</v>
      </c>
      <c r="C659" s="1980" t="s">
        <v>4263</v>
      </c>
      <c r="D659" s="1980" t="s">
        <v>4264</v>
      </c>
      <c r="E659" s="1980" t="s">
        <v>936</v>
      </c>
      <c r="F659" s="1962">
        <v>70.861239999999995</v>
      </c>
      <c r="G659" s="1962">
        <v>0</v>
      </c>
      <c r="H659" s="1962">
        <v>0</v>
      </c>
      <c r="I659" s="1962">
        <v>0</v>
      </c>
    </row>
    <row r="660" spans="1:9" hidden="1" outlineLevel="2" x14ac:dyDescent="0.2">
      <c r="A660" s="1980" t="s">
        <v>3415</v>
      </c>
      <c r="B660" s="1980" t="s">
        <v>3416</v>
      </c>
      <c r="C660" s="1980" t="s">
        <v>4265</v>
      </c>
      <c r="D660" s="1980" t="s">
        <v>4266</v>
      </c>
      <c r="E660" s="1980" t="s">
        <v>936</v>
      </c>
      <c r="F660" s="1962">
        <v>29.47242</v>
      </c>
      <c r="G660" s="1962">
        <v>0</v>
      </c>
      <c r="H660" s="1962">
        <v>0</v>
      </c>
      <c r="I660" s="1962">
        <v>0</v>
      </c>
    </row>
    <row r="661" spans="1:9" hidden="1" outlineLevel="2" x14ac:dyDescent="0.2">
      <c r="A661" s="1980" t="s">
        <v>3415</v>
      </c>
      <c r="B661" s="1980" t="s">
        <v>3416</v>
      </c>
      <c r="C661" s="1980" t="s">
        <v>4267</v>
      </c>
      <c r="D661" s="1980" t="s">
        <v>4268</v>
      </c>
      <c r="E661" s="1980" t="s">
        <v>936</v>
      </c>
      <c r="F661" s="1962">
        <v>47.482419999999998</v>
      </c>
      <c r="G661" s="1962">
        <v>0</v>
      </c>
      <c r="H661" s="1962">
        <v>0</v>
      </c>
      <c r="I661" s="1962">
        <v>0</v>
      </c>
    </row>
    <row r="662" spans="1:9" hidden="1" outlineLevel="2" x14ac:dyDescent="0.2">
      <c r="A662" s="1980" t="s">
        <v>3415</v>
      </c>
      <c r="B662" s="1980" t="s">
        <v>3416</v>
      </c>
      <c r="C662" s="1980" t="s">
        <v>4269</v>
      </c>
      <c r="D662" s="1980" t="s">
        <v>4270</v>
      </c>
      <c r="E662" s="1980" t="s">
        <v>936</v>
      </c>
      <c r="F662" s="1962">
        <v>99.175210000000007</v>
      </c>
      <c r="G662" s="1962">
        <v>0</v>
      </c>
      <c r="H662" s="1962">
        <v>0</v>
      </c>
      <c r="I662" s="1962">
        <v>0</v>
      </c>
    </row>
    <row r="663" spans="1:9" hidden="1" outlineLevel="2" x14ac:dyDescent="0.2">
      <c r="A663" s="1980" t="s">
        <v>3415</v>
      </c>
      <c r="B663" s="1980" t="s">
        <v>3416</v>
      </c>
      <c r="C663" s="1980" t="s">
        <v>4271</v>
      </c>
      <c r="D663" s="1980" t="s">
        <v>4272</v>
      </c>
      <c r="E663" s="1980" t="s">
        <v>936</v>
      </c>
      <c r="F663" s="1962">
        <v>8.7150000000000005E-2</v>
      </c>
      <c r="G663" s="1962">
        <v>0</v>
      </c>
      <c r="H663" s="1962">
        <v>0</v>
      </c>
      <c r="I663" s="1962">
        <v>0</v>
      </c>
    </row>
    <row r="664" spans="1:9" hidden="1" outlineLevel="2" x14ac:dyDescent="0.2">
      <c r="A664" s="1980" t="s">
        <v>3415</v>
      </c>
      <c r="B664" s="1980" t="s">
        <v>3416</v>
      </c>
      <c r="C664" s="1980" t="s">
        <v>4273</v>
      </c>
      <c r="D664" s="1980" t="s">
        <v>4274</v>
      </c>
      <c r="E664" s="1980" t="s">
        <v>936</v>
      </c>
      <c r="F664" s="1962">
        <v>0.58338999999999996</v>
      </c>
      <c r="G664" s="1962">
        <v>0</v>
      </c>
      <c r="H664" s="1962">
        <v>0</v>
      </c>
      <c r="I664" s="1962">
        <v>0</v>
      </c>
    </row>
    <row r="665" spans="1:9" hidden="1" outlineLevel="2" x14ac:dyDescent="0.2">
      <c r="A665" s="1980" t="s">
        <v>3415</v>
      </c>
      <c r="B665" s="1980" t="s">
        <v>3416</v>
      </c>
      <c r="C665" s="1980" t="s">
        <v>4275</v>
      </c>
      <c r="D665" s="1980" t="s">
        <v>4169</v>
      </c>
      <c r="E665" s="1980" t="s">
        <v>936</v>
      </c>
      <c r="F665" s="1962">
        <v>639.16872999999998</v>
      </c>
      <c r="G665" s="1962">
        <v>0</v>
      </c>
      <c r="H665" s="1962">
        <v>0</v>
      </c>
      <c r="I665" s="1962">
        <v>0</v>
      </c>
    </row>
    <row r="666" spans="1:9" hidden="1" outlineLevel="2" x14ac:dyDescent="0.2">
      <c r="A666" s="1980" t="s">
        <v>3415</v>
      </c>
      <c r="B666" s="1980" t="s">
        <v>3416</v>
      </c>
      <c r="C666" s="1980" t="s">
        <v>4276</v>
      </c>
      <c r="D666" s="1980" t="s">
        <v>4171</v>
      </c>
      <c r="E666" s="1980" t="s">
        <v>936</v>
      </c>
      <c r="F666" s="1962">
        <v>1070.6802600000001</v>
      </c>
      <c r="G666" s="1962">
        <v>0</v>
      </c>
      <c r="H666" s="1962">
        <v>0</v>
      </c>
      <c r="I666" s="1962">
        <v>0</v>
      </c>
    </row>
    <row r="667" spans="1:9" hidden="1" outlineLevel="2" x14ac:dyDescent="0.2">
      <c r="A667" s="1980" t="s">
        <v>3415</v>
      </c>
      <c r="B667" s="1980" t="s">
        <v>3416</v>
      </c>
      <c r="C667" s="1980" t="s">
        <v>4277</v>
      </c>
      <c r="D667" s="1980" t="s">
        <v>4278</v>
      </c>
      <c r="E667" s="1980" t="s">
        <v>936</v>
      </c>
      <c r="F667" s="1962">
        <v>286.47379999999998</v>
      </c>
      <c r="G667" s="1962">
        <v>0</v>
      </c>
      <c r="H667" s="1962">
        <v>0</v>
      </c>
      <c r="I667" s="1962">
        <v>0</v>
      </c>
    </row>
    <row r="668" spans="1:9" hidden="1" outlineLevel="2" x14ac:dyDescent="0.2">
      <c r="A668" s="1980" t="s">
        <v>3415</v>
      </c>
      <c r="B668" s="1980" t="s">
        <v>3416</v>
      </c>
      <c r="C668" s="1980" t="s">
        <v>4279</v>
      </c>
      <c r="D668" s="1980" t="s">
        <v>4280</v>
      </c>
      <c r="E668" s="1980" t="s">
        <v>936</v>
      </c>
      <c r="F668" s="1962">
        <v>138.83637999999999</v>
      </c>
      <c r="G668" s="1962">
        <v>0</v>
      </c>
      <c r="H668" s="1962">
        <v>0</v>
      </c>
      <c r="I668" s="1962">
        <v>0</v>
      </c>
    </row>
    <row r="669" spans="1:9" hidden="1" outlineLevel="2" x14ac:dyDescent="0.2">
      <c r="A669" s="1980" t="s">
        <v>3415</v>
      </c>
      <c r="B669" s="1980" t="s">
        <v>3416</v>
      </c>
      <c r="C669" s="1980" t="s">
        <v>4281</v>
      </c>
      <c r="D669" s="1980" t="s">
        <v>4282</v>
      </c>
      <c r="E669" s="1980" t="s">
        <v>936</v>
      </c>
      <c r="F669" s="1962">
        <v>178.05016000000001</v>
      </c>
      <c r="G669" s="1962">
        <v>0</v>
      </c>
      <c r="H669" s="1962">
        <v>0</v>
      </c>
      <c r="I669" s="1962">
        <v>0</v>
      </c>
    </row>
    <row r="670" spans="1:9" hidden="1" outlineLevel="2" x14ac:dyDescent="0.2">
      <c r="A670" s="1980" t="s">
        <v>3415</v>
      </c>
      <c r="B670" s="1980" t="s">
        <v>3416</v>
      </c>
      <c r="C670" s="1980" t="s">
        <v>4283</v>
      </c>
      <c r="D670" s="1980" t="s">
        <v>4284</v>
      </c>
      <c r="E670" s="1980" t="s">
        <v>936</v>
      </c>
      <c r="F670" s="1962">
        <v>0.9415</v>
      </c>
      <c r="G670" s="1962">
        <v>0</v>
      </c>
      <c r="H670" s="1962">
        <v>0</v>
      </c>
      <c r="I670" s="1962">
        <v>0</v>
      </c>
    </row>
    <row r="671" spans="1:9" hidden="1" outlineLevel="2" x14ac:dyDescent="0.2">
      <c r="A671" s="1980" t="s">
        <v>3415</v>
      </c>
      <c r="B671" s="1980" t="s">
        <v>3416</v>
      </c>
      <c r="C671" s="1980" t="s">
        <v>4285</v>
      </c>
      <c r="D671" s="1980" t="s">
        <v>4286</v>
      </c>
      <c r="E671" s="1980" t="s">
        <v>936</v>
      </c>
      <c r="F671" s="1962">
        <v>0.70669999999999999</v>
      </c>
      <c r="G671" s="1962">
        <v>0</v>
      </c>
      <c r="H671" s="1962">
        <v>0</v>
      </c>
      <c r="I671" s="1962">
        <v>0</v>
      </c>
    </row>
    <row r="672" spans="1:9" hidden="1" outlineLevel="2" x14ac:dyDescent="0.2">
      <c r="A672" s="1980" t="s">
        <v>3415</v>
      </c>
      <c r="B672" s="1980" t="s">
        <v>3416</v>
      </c>
      <c r="C672" s="1980" t="s">
        <v>4287</v>
      </c>
      <c r="D672" s="1980" t="s">
        <v>4191</v>
      </c>
      <c r="E672" s="1980" t="s">
        <v>936</v>
      </c>
      <c r="F672" s="1962">
        <v>381.15552000000002</v>
      </c>
      <c r="G672" s="1962">
        <v>0</v>
      </c>
      <c r="H672" s="1962">
        <v>0</v>
      </c>
      <c r="I672" s="1962">
        <v>0</v>
      </c>
    </row>
    <row r="673" spans="1:9" hidden="1" outlineLevel="2" x14ac:dyDescent="0.2">
      <c r="A673" s="1980" t="s">
        <v>3415</v>
      </c>
      <c r="B673" s="1980" t="s">
        <v>3416</v>
      </c>
      <c r="C673" s="1980" t="s">
        <v>4288</v>
      </c>
      <c r="D673" s="1980" t="s">
        <v>4289</v>
      </c>
      <c r="E673" s="1980" t="s">
        <v>936</v>
      </c>
      <c r="F673" s="1962">
        <v>1486.6839600000001</v>
      </c>
      <c r="G673" s="1962">
        <v>0</v>
      </c>
      <c r="H673" s="1962">
        <v>0</v>
      </c>
      <c r="I673" s="1962">
        <v>0</v>
      </c>
    </row>
    <row r="674" spans="1:9" hidden="1" outlineLevel="2" x14ac:dyDescent="0.2">
      <c r="A674" s="1980" t="s">
        <v>3415</v>
      </c>
      <c r="B674" s="1980" t="s">
        <v>3416</v>
      </c>
      <c r="C674" s="1980" t="s">
        <v>4290</v>
      </c>
      <c r="D674" s="1980" t="s">
        <v>4291</v>
      </c>
      <c r="E674" s="1980" t="s">
        <v>936</v>
      </c>
      <c r="F674" s="1962">
        <v>17.503979999999999</v>
      </c>
      <c r="G674" s="1962">
        <v>0</v>
      </c>
      <c r="H674" s="1962">
        <v>0</v>
      </c>
      <c r="I674" s="1962">
        <v>0</v>
      </c>
    </row>
    <row r="675" spans="1:9" hidden="1" outlineLevel="2" x14ac:dyDescent="0.2">
      <c r="A675" s="1980" t="s">
        <v>3415</v>
      </c>
      <c r="B675" s="1980" t="s">
        <v>3416</v>
      </c>
      <c r="C675" s="1980" t="s">
        <v>4292</v>
      </c>
      <c r="D675" s="1980" t="s">
        <v>4293</v>
      </c>
      <c r="E675" s="1980" t="s">
        <v>936</v>
      </c>
      <c r="F675" s="1962">
        <v>7.1059999999999998E-2</v>
      </c>
      <c r="G675" s="1962">
        <v>0</v>
      </c>
      <c r="H675" s="1962">
        <v>0</v>
      </c>
      <c r="I675" s="1962">
        <v>0</v>
      </c>
    </row>
    <row r="676" spans="1:9" hidden="1" outlineLevel="2" x14ac:dyDescent="0.2">
      <c r="A676" s="1980" t="s">
        <v>3415</v>
      </c>
      <c r="B676" s="1980" t="s">
        <v>3416</v>
      </c>
      <c r="C676" s="1980" t="s">
        <v>4294</v>
      </c>
      <c r="D676" s="1980" t="s">
        <v>4295</v>
      </c>
      <c r="E676" s="1980" t="s">
        <v>936</v>
      </c>
      <c r="F676" s="1962">
        <v>3.12845</v>
      </c>
      <c r="G676" s="1962">
        <v>0</v>
      </c>
      <c r="H676" s="1962">
        <v>0</v>
      </c>
      <c r="I676" s="1962">
        <v>0</v>
      </c>
    </row>
    <row r="677" spans="1:9" hidden="1" outlineLevel="2" x14ac:dyDescent="0.2">
      <c r="A677" s="1980" t="s">
        <v>3415</v>
      </c>
      <c r="B677" s="1980" t="s">
        <v>3416</v>
      </c>
      <c r="C677" s="1980" t="s">
        <v>4296</v>
      </c>
      <c r="D677" s="1980" t="s">
        <v>4297</v>
      </c>
      <c r="E677" s="1980" t="s">
        <v>936</v>
      </c>
      <c r="F677" s="1962">
        <v>2.4565199999999998</v>
      </c>
      <c r="G677" s="1962">
        <v>0</v>
      </c>
      <c r="H677" s="1962">
        <v>0</v>
      </c>
      <c r="I677" s="1962">
        <v>0</v>
      </c>
    </row>
    <row r="678" spans="1:9" hidden="1" outlineLevel="2" x14ac:dyDescent="0.2">
      <c r="A678" s="1980" t="s">
        <v>3415</v>
      </c>
      <c r="B678" s="1980" t="s">
        <v>3416</v>
      </c>
      <c r="C678" s="1980" t="s">
        <v>4298</v>
      </c>
      <c r="D678" s="1980" t="s">
        <v>4299</v>
      </c>
      <c r="E678" s="1980" t="s">
        <v>936</v>
      </c>
      <c r="F678" s="1962">
        <v>41.308979999999998</v>
      </c>
      <c r="G678" s="1962">
        <v>0</v>
      </c>
      <c r="H678" s="1962">
        <v>0</v>
      </c>
      <c r="I678" s="1962">
        <v>0</v>
      </c>
    </row>
    <row r="679" spans="1:9" hidden="1" outlineLevel="2" x14ac:dyDescent="0.2">
      <c r="A679" s="1980" t="s">
        <v>3415</v>
      </c>
      <c r="B679" s="1980" t="s">
        <v>3416</v>
      </c>
      <c r="C679" s="1980" t="s">
        <v>4300</v>
      </c>
      <c r="D679" s="1980" t="s">
        <v>4301</v>
      </c>
      <c r="E679" s="1980" t="s">
        <v>936</v>
      </c>
      <c r="F679" s="1962">
        <v>1.0000000000000001E-5</v>
      </c>
      <c r="G679" s="1962">
        <v>0</v>
      </c>
      <c r="H679" s="1962">
        <v>0</v>
      </c>
      <c r="I679" s="1962">
        <v>0</v>
      </c>
    </row>
    <row r="680" spans="1:9" hidden="1" outlineLevel="2" x14ac:dyDescent="0.2">
      <c r="A680" s="1980" t="s">
        <v>3415</v>
      </c>
      <c r="B680" s="1980" t="s">
        <v>3416</v>
      </c>
      <c r="C680" s="1980" t="s">
        <v>4302</v>
      </c>
      <c r="D680" s="1980" t="s">
        <v>4303</v>
      </c>
      <c r="E680" s="1980" t="s">
        <v>936</v>
      </c>
      <c r="F680" s="1962">
        <v>94.087389999999999</v>
      </c>
      <c r="G680" s="1962">
        <v>0</v>
      </c>
      <c r="H680" s="1962">
        <v>0</v>
      </c>
      <c r="I680" s="1962">
        <v>0</v>
      </c>
    </row>
    <row r="681" spans="1:9" hidden="1" outlineLevel="2" x14ac:dyDescent="0.2">
      <c r="A681" s="1980" t="s">
        <v>3415</v>
      </c>
      <c r="B681" s="1980" t="s">
        <v>3416</v>
      </c>
      <c r="C681" s="1980" t="s">
        <v>4304</v>
      </c>
      <c r="D681" s="1980" t="s">
        <v>4305</v>
      </c>
      <c r="E681" s="1980" t="s">
        <v>936</v>
      </c>
      <c r="F681" s="1962">
        <v>98.463830000000002</v>
      </c>
      <c r="G681" s="1962">
        <v>0</v>
      </c>
      <c r="H681" s="1962">
        <v>0</v>
      </c>
      <c r="I681" s="1962">
        <v>0</v>
      </c>
    </row>
    <row r="682" spans="1:9" hidden="1" outlineLevel="2" x14ac:dyDescent="0.2">
      <c r="A682" s="1980" t="s">
        <v>3415</v>
      </c>
      <c r="B682" s="1980" t="s">
        <v>3416</v>
      </c>
      <c r="C682" s="1980" t="s">
        <v>4306</v>
      </c>
      <c r="D682" s="1980" t="s">
        <v>4307</v>
      </c>
      <c r="E682" s="1980" t="s">
        <v>936</v>
      </c>
      <c r="F682" s="1962">
        <v>5.7778499999999999</v>
      </c>
      <c r="G682" s="1962">
        <v>0</v>
      </c>
      <c r="H682" s="1962">
        <v>0</v>
      </c>
      <c r="I682" s="1962">
        <v>0</v>
      </c>
    </row>
    <row r="683" spans="1:9" hidden="1" outlineLevel="2" x14ac:dyDescent="0.2">
      <c r="A683" s="1980" t="s">
        <v>3415</v>
      </c>
      <c r="B683" s="1980" t="s">
        <v>3416</v>
      </c>
      <c r="C683" s="1980" t="s">
        <v>4308</v>
      </c>
      <c r="D683" s="1980" t="s">
        <v>4309</v>
      </c>
      <c r="E683" s="1980" t="s">
        <v>936</v>
      </c>
      <c r="F683" s="1962">
        <v>165.88249999999999</v>
      </c>
      <c r="G683" s="1962">
        <v>0</v>
      </c>
      <c r="H683" s="1962">
        <v>0</v>
      </c>
      <c r="I683" s="1962">
        <v>0</v>
      </c>
    </row>
    <row r="684" spans="1:9" hidden="1" outlineLevel="2" x14ac:dyDescent="0.2">
      <c r="A684" s="1980" t="s">
        <v>3415</v>
      </c>
      <c r="B684" s="1980" t="s">
        <v>3416</v>
      </c>
      <c r="C684" s="1980" t="s">
        <v>4310</v>
      </c>
      <c r="D684" s="1980" t="s">
        <v>4311</v>
      </c>
      <c r="E684" s="1980" t="s">
        <v>936</v>
      </c>
      <c r="F684" s="1962">
        <v>164.61161000000001</v>
      </c>
      <c r="G684" s="1962">
        <v>0</v>
      </c>
      <c r="H684" s="1962">
        <v>0</v>
      </c>
      <c r="I684" s="1962">
        <v>0</v>
      </c>
    </row>
    <row r="685" spans="1:9" hidden="1" outlineLevel="2" x14ac:dyDescent="0.2">
      <c r="A685" s="1980" t="s">
        <v>3415</v>
      </c>
      <c r="B685" s="1980" t="s">
        <v>3416</v>
      </c>
      <c r="C685" s="1980" t="s">
        <v>4312</v>
      </c>
      <c r="D685" s="1980" t="s">
        <v>4313</v>
      </c>
      <c r="E685" s="1980" t="s">
        <v>936</v>
      </c>
      <c r="F685" s="1962">
        <v>1392.49982</v>
      </c>
      <c r="G685" s="1962">
        <v>0</v>
      </c>
      <c r="H685" s="1962">
        <v>0</v>
      </c>
      <c r="I685" s="1962">
        <v>0</v>
      </c>
    </row>
    <row r="686" spans="1:9" hidden="1" outlineLevel="2" x14ac:dyDescent="0.2">
      <c r="A686" s="1980" t="s">
        <v>3415</v>
      </c>
      <c r="B686" s="1980" t="s">
        <v>3416</v>
      </c>
      <c r="C686" s="1980" t="s">
        <v>4314</v>
      </c>
      <c r="D686" s="1980" t="s">
        <v>4315</v>
      </c>
      <c r="E686" s="1980" t="s">
        <v>936</v>
      </c>
      <c r="F686" s="1962">
        <v>220.06164000000001</v>
      </c>
      <c r="G686" s="1962">
        <v>0</v>
      </c>
      <c r="H686" s="1962">
        <v>0</v>
      </c>
      <c r="I686" s="1962">
        <v>0</v>
      </c>
    </row>
    <row r="687" spans="1:9" hidden="1" outlineLevel="2" x14ac:dyDescent="0.2">
      <c r="A687" s="1980" t="s">
        <v>3415</v>
      </c>
      <c r="B687" s="1980" t="s">
        <v>3416</v>
      </c>
      <c r="C687" s="1980" t="s">
        <v>4316</v>
      </c>
      <c r="D687" s="1980" t="s">
        <v>4317</v>
      </c>
      <c r="E687" s="1980" t="s">
        <v>936</v>
      </c>
      <c r="F687" s="1962">
        <v>606.84477000000004</v>
      </c>
      <c r="G687" s="1962">
        <v>0</v>
      </c>
      <c r="H687" s="1962">
        <v>0</v>
      </c>
      <c r="I687" s="1962">
        <v>0</v>
      </c>
    </row>
    <row r="688" spans="1:9" hidden="1" outlineLevel="2" x14ac:dyDescent="0.2">
      <c r="A688" s="1980" t="s">
        <v>3415</v>
      </c>
      <c r="B688" s="1980" t="s">
        <v>3416</v>
      </c>
      <c r="C688" s="1980" t="s">
        <v>4318</v>
      </c>
      <c r="D688" s="1980" t="s">
        <v>4319</v>
      </c>
      <c r="E688" s="1980" t="s">
        <v>936</v>
      </c>
      <c r="F688" s="1962">
        <v>311.15789000000001</v>
      </c>
      <c r="G688" s="1962">
        <v>0</v>
      </c>
      <c r="H688" s="1962">
        <v>0</v>
      </c>
      <c r="I688" s="1962">
        <v>0</v>
      </c>
    </row>
    <row r="689" spans="1:9" hidden="1" outlineLevel="2" x14ac:dyDescent="0.2">
      <c r="A689" s="1980" t="s">
        <v>3415</v>
      </c>
      <c r="B689" s="1980" t="s">
        <v>3416</v>
      </c>
      <c r="C689" s="1980" t="s">
        <v>4320</v>
      </c>
      <c r="D689" s="1980" t="s">
        <v>3559</v>
      </c>
      <c r="E689" s="1980" t="s">
        <v>936</v>
      </c>
      <c r="F689" s="1962">
        <v>4956.9313000000002</v>
      </c>
      <c r="G689" s="1962">
        <v>0</v>
      </c>
      <c r="H689" s="1962">
        <v>0</v>
      </c>
      <c r="I689" s="1962">
        <v>0</v>
      </c>
    </row>
    <row r="690" spans="1:9" hidden="1" outlineLevel="2" x14ac:dyDescent="0.2">
      <c r="A690" s="1980" t="s">
        <v>3415</v>
      </c>
      <c r="B690" s="1980" t="s">
        <v>3416</v>
      </c>
      <c r="C690" s="1980" t="s">
        <v>4321</v>
      </c>
      <c r="D690" s="1980" t="s">
        <v>4322</v>
      </c>
      <c r="E690" s="1980" t="s">
        <v>936</v>
      </c>
      <c r="F690" s="1962">
        <v>12571.77735</v>
      </c>
      <c r="G690" s="1962">
        <v>0</v>
      </c>
      <c r="H690" s="1962">
        <v>0</v>
      </c>
      <c r="I690" s="1962">
        <v>0</v>
      </c>
    </row>
    <row r="691" spans="1:9" hidden="1" outlineLevel="2" x14ac:dyDescent="0.2">
      <c r="A691" s="1980" t="s">
        <v>3415</v>
      </c>
      <c r="B691" s="1980" t="s">
        <v>3416</v>
      </c>
      <c r="C691" s="1980" t="s">
        <v>4323</v>
      </c>
      <c r="D691" s="1980" t="s">
        <v>4324</v>
      </c>
      <c r="E691" s="1980" t="s">
        <v>936</v>
      </c>
      <c r="F691" s="1962">
        <v>2335.3649799999998</v>
      </c>
      <c r="G691" s="1962">
        <v>0</v>
      </c>
      <c r="H691" s="1962">
        <v>0</v>
      </c>
      <c r="I691" s="1962">
        <v>0</v>
      </c>
    </row>
    <row r="692" spans="1:9" hidden="1" outlineLevel="2" x14ac:dyDescent="0.2">
      <c r="A692" s="1980" t="s">
        <v>3415</v>
      </c>
      <c r="B692" s="1980" t="s">
        <v>3416</v>
      </c>
      <c r="C692" s="1980" t="s">
        <v>4325</v>
      </c>
      <c r="D692" s="1980" t="s">
        <v>4326</v>
      </c>
      <c r="E692" s="1980" t="s">
        <v>936</v>
      </c>
      <c r="F692" s="1962">
        <v>429.74952000000002</v>
      </c>
      <c r="G692" s="1962">
        <v>0</v>
      </c>
      <c r="H692" s="1962">
        <v>0</v>
      </c>
      <c r="I692" s="1962">
        <v>0</v>
      </c>
    </row>
    <row r="693" spans="1:9" hidden="1" outlineLevel="2" x14ac:dyDescent="0.2">
      <c r="A693" s="1980" t="s">
        <v>3415</v>
      </c>
      <c r="B693" s="1980" t="s">
        <v>3416</v>
      </c>
      <c r="C693" s="1980" t="s">
        <v>4327</v>
      </c>
      <c r="D693" s="1980" t="s">
        <v>4328</v>
      </c>
      <c r="E693" s="1980" t="s">
        <v>936</v>
      </c>
      <c r="F693" s="1962">
        <v>58.892429999999997</v>
      </c>
      <c r="G693" s="1962">
        <v>0</v>
      </c>
      <c r="H693" s="1962">
        <v>0</v>
      </c>
      <c r="I693" s="1962">
        <v>0</v>
      </c>
    </row>
    <row r="694" spans="1:9" hidden="1" outlineLevel="2" x14ac:dyDescent="0.2">
      <c r="A694" s="1980" t="s">
        <v>3415</v>
      </c>
      <c r="B694" s="1980" t="s">
        <v>3416</v>
      </c>
      <c r="C694" s="1980" t="s">
        <v>4329</v>
      </c>
      <c r="D694" s="1980" t="s">
        <v>4330</v>
      </c>
      <c r="E694" s="1980" t="s">
        <v>936</v>
      </c>
      <c r="F694" s="1962">
        <v>1312.53</v>
      </c>
      <c r="G694" s="1962">
        <v>0</v>
      </c>
      <c r="H694" s="1962">
        <v>0</v>
      </c>
      <c r="I694" s="1962">
        <v>0</v>
      </c>
    </row>
    <row r="695" spans="1:9" hidden="1" outlineLevel="2" x14ac:dyDescent="0.2">
      <c r="A695" s="1980" t="s">
        <v>3415</v>
      </c>
      <c r="B695" s="1980" t="s">
        <v>3416</v>
      </c>
      <c r="C695" s="1980" t="s">
        <v>4331</v>
      </c>
      <c r="D695" s="1980" t="s">
        <v>4332</v>
      </c>
      <c r="E695" s="1980" t="s">
        <v>936</v>
      </c>
      <c r="F695" s="1962">
        <v>164.42179999999999</v>
      </c>
      <c r="G695" s="1962">
        <v>0</v>
      </c>
      <c r="H695" s="1962">
        <v>0</v>
      </c>
      <c r="I695" s="1962">
        <v>0</v>
      </c>
    </row>
    <row r="696" spans="1:9" hidden="1" outlineLevel="2" x14ac:dyDescent="0.2">
      <c r="A696" s="1980" t="s">
        <v>3415</v>
      </c>
      <c r="B696" s="1980" t="s">
        <v>3416</v>
      </c>
      <c r="C696" s="1980" t="s">
        <v>4333</v>
      </c>
      <c r="D696" s="1980" t="s">
        <v>4334</v>
      </c>
      <c r="E696" s="1980" t="s">
        <v>936</v>
      </c>
      <c r="F696" s="1962">
        <v>182.22494</v>
      </c>
      <c r="G696" s="1962">
        <v>0</v>
      </c>
      <c r="H696" s="1962">
        <v>0</v>
      </c>
      <c r="I696" s="1962">
        <v>0</v>
      </c>
    </row>
    <row r="697" spans="1:9" hidden="1" outlineLevel="2" x14ac:dyDescent="0.2">
      <c r="A697" s="1980" t="s">
        <v>3415</v>
      </c>
      <c r="B697" s="1980" t="s">
        <v>3416</v>
      </c>
      <c r="C697" s="1980" t="s">
        <v>4335</v>
      </c>
      <c r="D697" s="1980" t="s">
        <v>3539</v>
      </c>
      <c r="E697" s="1980" t="s">
        <v>936</v>
      </c>
      <c r="F697" s="1962">
        <v>1565.4318000000001</v>
      </c>
      <c r="G697" s="1962">
        <v>0</v>
      </c>
      <c r="H697" s="1962">
        <v>0</v>
      </c>
      <c r="I697" s="1962">
        <v>0</v>
      </c>
    </row>
    <row r="698" spans="1:9" hidden="1" outlineLevel="2" x14ac:dyDescent="0.2">
      <c r="A698" s="1980" t="s">
        <v>3415</v>
      </c>
      <c r="B698" s="1980" t="s">
        <v>3416</v>
      </c>
      <c r="C698" s="1980" t="s">
        <v>4336</v>
      </c>
      <c r="D698" s="1980" t="s">
        <v>4111</v>
      </c>
      <c r="E698" s="1980" t="s">
        <v>936</v>
      </c>
      <c r="F698" s="1962">
        <v>20226.021410000001</v>
      </c>
      <c r="G698" s="1962">
        <v>0</v>
      </c>
      <c r="H698" s="1962">
        <v>0</v>
      </c>
      <c r="I698" s="1962">
        <v>0</v>
      </c>
    </row>
    <row r="699" spans="1:9" hidden="1" outlineLevel="2" x14ac:dyDescent="0.2">
      <c r="A699" s="1980" t="s">
        <v>3415</v>
      </c>
      <c r="B699" s="1980" t="s">
        <v>3416</v>
      </c>
      <c r="C699" s="1980" t="s">
        <v>4337</v>
      </c>
      <c r="D699" s="1980" t="s">
        <v>4338</v>
      </c>
      <c r="E699" s="1980" t="s">
        <v>936</v>
      </c>
      <c r="F699" s="1962">
        <v>10333.15</v>
      </c>
      <c r="G699" s="1962">
        <v>0</v>
      </c>
      <c r="H699" s="1962">
        <v>0</v>
      </c>
      <c r="I699" s="1962">
        <v>0</v>
      </c>
    </row>
    <row r="700" spans="1:9" hidden="1" outlineLevel="2" x14ac:dyDescent="0.2">
      <c r="A700" s="1980" t="s">
        <v>3415</v>
      </c>
      <c r="B700" s="1980" t="s">
        <v>3416</v>
      </c>
      <c r="C700" s="1980" t="s">
        <v>4339</v>
      </c>
      <c r="D700" s="1980" t="s">
        <v>4340</v>
      </c>
      <c r="E700" s="1980" t="s">
        <v>936</v>
      </c>
      <c r="F700" s="1962">
        <v>113.69498</v>
      </c>
      <c r="G700" s="1962">
        <v>0</v>
      </c>
      <c r="H700" s="1962">
        <v>0</v>
      </c>
      <c r="I700" s="1962">
        <v>0</v>
      </c>
    </row>
    <row r="701" spans="1:9" hidden="1" outlineLevel="2" x14ac:dyDescent="0.2">
      <c r="A701" s="1980" t="s">
        <v>3415</v>
      </c>
      <c r="B701" s="1980" t="s">
        <v>3416</v>
      </c>
      <c r="C701" s="1980" t="s">
        <v>4341</v>
      </c>
      <c r="D701" s="1980" t="s">
        <v>4342</v>
      </c>
      <c r="E701" s="1980" t="s">
        <v>936</v>
      </c>
      <c r="F701" s="1962">
        <v>5307.5627299999996</v>
      </c>
      <c r="G701" s="1962">
        <v>0</v>
      </c>
      <c r="H701" s="1962">
        <v>0</v>
      </c>
      <c r="I701" s="1962">
        <v>0</v>
      </c>
    </row>
    <row r="702" spans="1:9" hidden="1" outlineLevel="2" x14ac:dyDescent="0.2">
      <c r="A702" s="1980" t="s">
        <v>3415</v>
      </c>
      <c r="B702" s="1980" t="s">
        <v>3416</v>
      </c>
      <c r="C702" s="1980" t="s">
        <v>4343</v>
      </c>
      <c r="D702" s="1980" t="s">
        <v>4117</v>
      </c>
      <c r="E702" s="1980" t="s">
        <v>936</v>
      </c>
      <c r="F702" s="1962">
        <v>1098.96389</v>
      </c>
      <c r="G702" s="1962">
        <v>0</v>
      </c>
      <c r="H702" s="1962">
        <v>0</v>
      </c>
      <c r="I702" s="1962">
        <v>0</v>
      </c>
    </row>
    <row r="703" spans="1:9" hidden="1" outlineLevel="2" x14ac:dyDescent="0.2">
      <c r="A703" s="1980" t="s">
        <v>3415</v>
      </c>
      <c r="B703" s="1980" t="s">
        <v>3416</v>
      </c>
      <c r="C703" s="1980" t="s">
        <v>4344</v>
      </c>
      <c r="D703" s="1980" t="s">
        <v>3981</v>
      </c>
      <c r="E703" s="1980" t="s">
        <v>936</v>
      </c>
      <c r="F703" s="1962">
        <v>5.3305199999999999</v>
      </c>
      <c r="G703" s="1962">
        <v>0</v>
      </c>
      <c r="H703" s="1962">
        <v>0</v>
      </c>
      <c r="I703" s="1962">
        <v>0</v>
      </c>
    </row>
    <row r="704" spans="1:9" hidden="1" outlineLevel="2" x14ac:dyDescent="0.2">
      <c r="A704" s="1980" t="s">
        <v>3415</v>
      </c>
      <c r="B704" s="1980" t="s">
        <v>3416</v>
      </c>
      <c r="C704" s="1980" t="s">
        <v>4345</v>
      </c>
      <c r="D704" s="1980" t="s">
        <v>4346</v>
      </c>
      <c r="E704" s="1980" t="s">
        <v>936</v>
      </c>
      <c r="F704" s="1962">
        <v>93.839259999999996</v>
      </c>
      <c r="G704" s="1962">
        <v>0</v>
      </c>
      <c r="H704" s="1962">
        <v>0</v>
      </c>
      <c r="I704" s="1962">
        <v>0</v>
      </c>
    </row>
    <row r="705" spans="1:9" hidden="1" outlineLevel="2" x14ac:dyDescent="0.2">
      <c r="A705" s="1980" t="s">
        <v>3415</v>
      </c>
      <c r="B705" s="1980" t="s">
        <v>3416</v>
      </c>
      <c r="C705" s="1980" t="s">
        <v>4347</v>
      </c>
      <c r="D705" s="1980" t="s">
        <v>4348</v>
      </c>
      <c r="E705" s="1980" t="s">
        <v>936</v>
      </c>
      <c r="F705" s="1962">
        <v>659.04978000000006</v>
      </c>
      <c r="G705" s="1962">
        <v>0</v>
      </c>
      <c r="H705" s="1962">
        <v>0</v>
      </c>
      <c r="I705" s="1962">
        <v>0</v>
      </c>
    </row>
    <row r="706" spans="1:9" hidden="1" outlineLevel="2" x14ac:dyDescent="0.2">
      <c r="A706" s="1980" t="s">
        <v>3415</v>
      </c>
      <c r="B706" s="1980" t="s">
        <v>3416</v>
      </c>
      <c r="C706" s="1980" t="s">
        <v>4349</v>
      </c>
      <c r="D706" s="1980" t="s">
        <v>4350</v>
      </c>
      <c r="E706" s="1980" t="s">
        <v>936</v>
      </c>
      <c r="F706" s="1962">
        <v>14.43304</v>
      </c>
      <c r="G706" s="1962">
        <v>0</v>
      </c>
      <c r="H706" s="1962">
        <v>0</v>
      </c>
      <c r="I706" s="1962">
        <v>0</v>
      </c>
    </row>
    <row r="707" spans="1:9" hidden="1" outlineLevel="2" x14ac:dyDescent="0.2">
      <c r="A707" s="1980" t="s">
        <v>3415</v>
      </c>
      <c r="B707" s="1980" t="s">
        <v>3416</v>
      </c>
      <c r="C707" s="1980" t="s">
        <v>4351</v>
      </c>
      <c r="D707" s="1980" t="s">
        <v>3969</v>
      </c>
      <c r="E707" s="1980" t="s">
        <v>936</v>
      </c>
      <c r="F707" s="1962">
        <v>79.419359999999998</v>
      </c>
      <c r="G707" s="1962">
        <v>0</v>
      </c>
      <c r="H707" s="1962">
        <v>0</v>
      </c>
      <c r="I707" s="1962">
        <v>0</v>
      </c>
    </row>
    <row r="708" spans="1:9" hidden="1" outlineLevel="2" x14ac:dyDescent="0.2">
      <c r="A708" s="1980" t="s">
        <v>3415</v>
      </c>
      <c r="B708" s="1980" t="s">
        <v>3416</v>
      </c>
      <c r="C708" s="1980" t="s">
        <v>4352</v>
      </c>
      <c r="D708" s="1980" t="s">
        <v>4353</v>
      </c>
      <c r="E708" s="1980" t="s">
        <v>936</v>
      </c>
      <c r="F708" s="1962">
        <v>131.45639</v>
      </c>
      <c r="G708" s="1962">
        <v>0</v>
      </c>
      <c r="H708" s="1962">
        <v>0</v>
      </c>
      <c r="I708" s="1962">
        <v>0</v>
      </c>
    </row>
    <row r="709" spans="1:9" hidden="1" outlineLevel="2" x14ac:dyDescent="0.2">
      <c r="A709" s="1980" t="s">
        <v>3415</v>
      </c>
      <c r="B709" s="1980" t="s">
        <v>3416</v>
      </c>
      <c r="C709" s="1980" t="s">
        <v>4354</v>
      </c>
      <c r="D709" s="1980" t="s">
        <v>4355</v>
      </c>
      <c r="E709" s="1980" t="s">
        <v>936</v>
      </c>
      <c r="F709" s="1962">
        <v>37.161940000000001</v>
      </c>
      <c r="G709" s="1962">
        <v>0</v>
      </c>
      <c r="H709" s="1962">
        <v>0</v>
      </c>
      <c r="I709" s="1962">
        <v>0</v>
      </c>
    </row>
    <row r="710" spans="1:9" hidden="1" outlineLevel="2" x14ac:dyDescent="0.2">
      <c r="A710" s="1980" t="s">
        <v>3415</v>
      </c>
      <c r="B710" s="1980" t="s">
        <v>3416</v>
      </c>
      <c r="C710" s="1980" t="s">
        <v>4356</v>
      </c>
      <c r="D710" s="1980" t="s">
        <v>4357</v>
      </c>
      <c r="E710" s="1980" t="s">
        <v>936</v>
      </c>
      <c r="F710" s="1962">
        <v>44.546979999999998</v>
      </c>
      <c r="G710" s="1962">
        <v>0</v>
      </c>
      <c r="H710" s="1962">
        <v>0</v>
      </c>
      <c r="I710" s="1962">
        <v>0</v>
      </c>
    </row>
    <row r="711" spans="1:9" hidden="1" outlineLevel="2" x14ac:dyDescent="0.2">
      <c r="A711" s="1980" t="s">
        <v>3415</v>
      </c>
      <c r="B711" s="1980" t="s">
        <v>3416</v>
      </c>
      <c r="C711" s="1980" t="s">
        <v>4358</v>
      </c>
      <c r="D711" s="1980" t="s">
        <v>4359</v>
      </c>
      <c r="E711" s="1980" t="s">
        <v>936</v>
      </c>
      <c r="F711" s="1962">
        <v>15.974970000000001</v>
      </c>
      <c r="G711" s="1962">
        <v>0</v>
      </c>
      <c r="H711" s="1962">
        <v>0</v>
      </c>
      <c r="I711" s="1962">
        <v>0</v>
      </c>
    </row>
    <row r="712" spans="1:9" hidden="1" outlineLevel="2" x14ac:dyDescent="0.2">
      <c r="A712" s="1980" t="s">
        <v>3415</v>
      </c>
      <c r="B712" s="1980" t="s">
        <v>3416</v>
      </c>
      <c r="C712" s="1980" t="s">
        <v>4360</v>
      </c>
      <c r="D712" s="1980" t="s">
        <v>4361</v>
      </c>
      <c r="E712" s="1980" t="s">
        <v>936</v>
      </c>
      <c r="F712" s="1962">
        <v>1.1307199999999999</v>
      </c>
      <c r="G712" s="1962">
        <v>0</v>
      </c>
      <c r="H712" s="1962">
        <v>0</v>
      </c>
      <c r="I712" s="1962">
        <v>0</v>
      </c>
    </row>
    <row r="713" spans="1:9" hidden="1" outlineLevel="2" x14ac:dyDescent="0.2">
      <c r="A713" s="1980" t="s">
        <v>3415</v>
      </c>
      <c r="B713" s="1980" t="s">
        <v>3416</v>
      </c>
      <c r="C713" s="1980" t="s">
        <v>4362</v>
      </c>
      <c r="D713" s="1980" t="s">
        <v>4363</v>
      </c>
      <c r="E713" s="1980" t="s">
        <v>936</v>
      </c>
      <c r="F713" s="1962">
        <v>-0.70669999999999999</v>
      </c>
      <c r="G713" s="1962">
        <v>0</v>
      </c>
      <c r="H713" s="1962">
        <v>0</v>
      </c>
      <c r="I713" s="1962">
        <v>0</v>
      </c>
    </row>
    <row r="714" spans="1:9" hidden="1" outlineLevel="2" x14ac:dyDescent="0.2">
      <c r="A714" s="1980" t="s">
        <v>3415</v>
      </c>
      <c r="B714" s="1980" t="s">
        <v>3416</v>
      </c>
      <c r="C714" s="1980" t="s">
        <v>4364</v>
      </c>
      <c r="D714" s="1980" t="s">
        <v>4365</v>
      </c>
      <c r="E714" s="1980" t="s">
        <v>936</v>
      </c>
      <c r="F714" s="1962">
        <v>1448.56258</v>
      </c>
      <c r="G714" s="1962">
        <v>0</v>
      </c>
      <c r="H714" s="1962">
        <v>0</v>
      </c>
      <c r="I714" s="1962">
        <v>0</v>
      </c>
    </row>
    <row r="715" spans="1:9" hidden="1" outlineLevel="2" x14ac:dyDescent="0.2">
      <c r="A715" s="1980" t="s">
        <v>3415</v>
      </c>
      <c r="B715" s="1980" t="s">
        <v>3416</v>
      </c>
      <c r="C715" s="1980" t="s">
        <v>4366</v>
      </c>
      <c r="D715" s="1980" t="s">
        <v>4278</v>
      </c>
      <c r="E715" s="1980" t="s">
        <v>936</v>
      </c>
      <c r="F715" s="1962">
        <v>192.61528000000001</v>
      </c>
      <c r="G715" s="1962">
        <v>0</v>
      </c>
      <c r="H715" s="1962">
        <v>0</v>
      </c>
      <c r="I715" s="1962">
        <v>0</v>
      </c>
    </row>
    <row r="716" spans="1:9" hidden="1" outlineLevel="2" x14ac:dyDescent="0.2">
      <c r="A716" s="1980" t="s">
        <v>3415</v>
      </c>
      <c r="B716" s="1980" t="s">
        <v>3416</v>
      </c>
      <c r="C716" s="1980" t="s">
        <v>4367</v>
      </c>
      <c r="D716" s="1980" t="s">
        <v>4169</v>
      </c>
      <c r="E716" s="1980" t="s">
        <v>936</v>
      </c>
      <c r="F716" s="1962">
        <v>911.89212999999995</v>
      </c>
      <c r="G716" s="1962">
        <v>0</v>
      </c>
      <c r="H716" s="1962">
        <v>0</v>
      </c>
      <c r="I716" s="1962">
        <v>0</v>
      </c>
    </row>
    <row r="717" spans="1:9" hidden="1" outlineLevel="2" x14ac:dyDescent="0.2">
      <c r="A717" s="1980" t="s">
        <v>3415</v>
      </c>
      <c r="B717" s="1980" t="s">
        <v>3416</v>
      </c>
      <c r="C717" s="1980" t="s">
        <v>4368</v>
      </c>
      <c r="D717" s="1980" t="s">
        <v>4191</v>
      </c>
      <c r="E717" s="1980" t="s">
        <v>936</v>
      </c>
      <c r="F717" s="1962">
        <v>467.38661000000002</v>
      </c>
      <c r="G717" s="1962">
        <v>0</v>
      </c>
      <c r="H717" s="1962">
        <v>0</v>
      </c>
      <c r="I717" s="1962">
        <v>0</v>
      </c>
    </row>
    <row r="718" spans="1:9" hidden="1" outlineLevel="2" x14ac:dyDescent="0.2">
      <c r="A718" s="1980" t="s">
        <v>3415</v>
      </c>
      <c r="B718" s="1980" t="s">
        <v>3416</v>
      </c>
      <c r="C718" s="1980" t="s">
        <v>4369</v>
      </c>
      <c r="D718" s="1980" t="s">
        <v>4370</v>
      </c>
      <c r="E718" s="1980" t="s">
        <v>936</v>
      </c>
      <c r="F718" s="1962">
        <v>1238.6295700000001</v>
      </c>
      <c r="G718" s="1962">
        <v>0</v>
      </c>
      <c r="H718" s="1962">
        <v>0</v>
      </c>
      <c r="I718" s="1962">
        <v>0</v>
      </c>
    </row>
    <row r="719" spans="1:9" hidden="1" outlineLevel="2" x14ac:dyDescent="0.2">
      <c r="A719" s="1980" t="s">
        <v>3415</v>
      </c>
      <c r="B719" s="1980" t="s">
        <v>3416</v>
      </c>
      <c r="C719" s="1980" t="s">
        <v>4371</v>
      </c>
      <c r="D719" s="1980" t="s">
        <v>4291</v>
      </c>
      <c r="E719" s="1980" t="s">
        <v>936</v>
      </c>
      <c r="F719" s="1962">
        <v>4.3329500000000003</v>
      </c>
      <c r="G719" s="1962">
        <v>0</v>
      </c>
      <c r="H719" s="1962">
        <v>0</v>
      </c>
      <c r="I719" s="1962">
        <v>0</v>
      </c>
    </row>
    <row r="720" spans="1:9" hidden="1" outlineLevel="2" x14ac:dyDescent="0.2">
      <c r="A720" s="1980" t="s">
        <v>3415</v>
      </c>
      <c r="B720" s="1980" t="s">
        <v>3416</v>
      </c>
      <c r="C720" s="1980" t="s">
        <v>4372</v>
      </c>
      <c r="D720" s="1980" t="s">
        <v>4293</v>
      </c>
      <c r="E720" s="1980" t="s">
        <v>936</v>
      </c>
      <c r="F720" s="1962">
        <v>2.21347</v>
      </c>
      <c r="G720" s="1962">
        <v>0</v>
      </c>
      <c r="H720" s="1962">
        <v>0</v>
      </c>
      <c r="I720" s="1962">
        <v>0</v>
      </c>
    </row>
    <row r="721" spans="1:23" hidden="1" outlineLevel="2" x14ac:dyDescent="0.2">
      <c r="A721" s="1980" t="s">
        <v>3415</v>
      </c>
      <c r="B721" s="1980" t="s">
        <v>3416</v>
      </c>
      <c r="C721" s="1980" t="s">
        <v>4373</v>
      </c>
      <c r="D721" s="1980" t="s">
        <v>4374</v>
      </c>
      <c r="E721" s="1980" t="s">
        <v>936</v>
      </c>
      <c r="F721" s="1962">
        <v>602.48880999999994</v>
      </c>
      <c r="G721" s="1962">
        <v>0</v>
      </c>
      <c r="H721" s="1962">
        <v>0</v>
      </c>
      <c r="I721" s="1962">
        <v>0</v>
      </c>
    </row>
    <row r="722" spans="1:23" hidden="1" outlineLevel="2" x14ac:dyDescent="0.2">
      <c r="A722" s="1980" t="s">
        <v>3415</v>
      </c>
      <c r="B722" s="1980" t="s">
        <v>3416</v>
      </c>
      <c r="C722" s="1980" t="s">
        <v>4375</v>
      </c>
      <c r="D722" s="1980" t="s">
        <v>4376</v>
      </c>
      <c r="E722" s="1980" t="s">
        <v>936</v>
      </c>
      <c r="F722" s="1962">
        <v>44.464550000000003</v>
      </c>
      <c r="G722" s="1962">
        <v>0</v>
      </c>
      <c r="H722" s="1962">
        <v>0</v>
      </c>
      <c r="I722" s="1962">
        <v>0</v>
      </c>
    </row>
    <row r="723" spans="1:23" hidden="1" outlineLevel="2" x14ac:dyDescent="0.2">
      <c r="A723" s="1980" t="s">
        <v>3415</v>
      </c>
      <c r="B723" s="1980" t="s">
        <v>3416</v>
      </c>
      <c r="C723" s="1980" t="s">
        <v>4377</v>
      </c>
      <c r="D723" s="1980" t="s">
        <v>4378</v>
      </c>
      <c r="E723" s="1980" t="s">
        <v>936</v>
      </c>
      <c r="F723" s="1962">
        <v>42.077210000000001</v>
      </c>
      <c r="G723" s="1962">
        <v>0</v>
      </c>
      <c r="H723" s="1962">
        <v>0</v>
      </c>
      <c r="I723" s="1962">
        <v>0</v>
      </c>
    </row>
    <row r="724" spans="1:23" hidden="1" outlineLevel="2" x14ac:dyDescent="0.2">
      <c r="A724" s="1980" t="s">
        <v>3415</v>
      </c>
      <c r="B724" s="1980" t="s">
        <v>3416</v>
      </c>
      <c r="C724" s="1980" t="s">
        <v>4379</v>
      </c>
      <c r="D724" s="1980" t="s">
        <v>4380</v>
      </c>
      <c r="E724" s="1980" t="s">
        <v>936</v>
      </c>
      <c r="F724" s="1962">
        <v>-840.74851000000001</v>
      </c>
      <c r="G724" s="1962">
        <v>0</v>
      </c>
      <c r="H724" s="1962">
        <v>0</v>
      </c>
      <c r="I724" s="1962">
        <v>0</v>
      </c>
    </row>
    <row r="725" spans="1:23" hidden="1" outlineLevel="2" x14ac:dyDescent="0.2">
      <c r="A725" s="1980" t="s">
        <v>3415</v>
      </c>
      <c r="B725" s="1980" t="s">
        <v>3416</v>
      </c>
      <c r="C725" s="1980" t="s">
        <v>4381</v>
      </c>
      <c r="D725" s="1980" t="s">
        <v>4382</v>
      </c>
      <c r="E725" s="1980" t="s">
        <v>936</v>
      </c>
      <c r="F725" s="1962">
        <v>397.83625999999998</v>
      </c>
      <c r="G725" s="1962">
        <v>0</v>
      </c>
      <c r="H725" s="1962">
        <v>0</v>
      </c>
      <c r="I725" s="1962">
        <v>0</v>
      </c>
    </row>
    <row r="726" spans="1:23" hidden="1" outlineLevel="2" x14ac:dyDescent="0.2">
      <c r="A726" s="1980" t="s">
        <v>3415</v>
      </c>
      <c r="B726" s="1980" t="s">
        <v>3416</v>
      </c>
      <c r="C726" s="1980" t="s">
        <v>4383</v>
      </c>
      <c r="D726" s="1980" t="s">
        <v>4384</v>
      </c>
      <c r="E726" s="1980" t="s">
        <v>936</v>
      </c>
      <c r="F726" s="1962">
        <v>-1404.86526</v>
      </c>
      <c r="G726" s="1962">
        <v>0</v>
      </c>
      <c r="H726" s="1962">
        <v>0</v>
      </c>
      <c r="I726" s="1962">
        <v>0</v>
      </c>
    </row>
    <row r="727" spans="1:23" ht="13.5" outlineLevel="1" collapsed="1" thickBot="1" x14ac:dyDescent="0.25">
      <c r="A727" s="2274" t="s">
        <v>4385</v>
      </c>
      <c r="B727" s="2274"/>
      <c r="C727" s="2274"/>
      <c r="D727" s="2274"/>
      <c r="E727" s="2274"/>
      <c r="F727" s="2275">
        <f>SUBTOTAL(9,F209:F726)</f>
        <v>412347.36363000021</v>
      </c>
      <c r="G727" s="2275">
        <f t="shared" ref="G727:I727" si="12">SUBTOTAL(9,G209:G726)</f>
        <v>0</v>
      </c>
      <c r="H727" s="2275">
        <f t="shared" si="12"/>
        <v>0</v>
      </c>
      <c r="I727" s="2275">
        <f t="shared" si="12"/>
        <v>0</v>
      </c>
      <c r="J727" s="2278"/>
      <c r="K727" s="2278"/>
      <c r="L727" s="2289">
        <f>F727/$F$727</f>
        <v>1</v>
      </c>
      <c r="M727" s="2289">
        <f>G727/$F$727</f>
        <v>0</v>
      </c>
      <c r="N727" s="2289">
        <f>H727/$F$727</f>
        <v>0</v>
      </c>
      <c r="O727" s="2289">
        <f>I727/$F$727</f>
        <v>0</v>
      </c>
      <c r="P727" s="2289">
        <f t="shared" ref="P727" si="13">SUM(M727:O727)</f>
        <v>0</v>
      </c>
      <c r="Q727" s="2278"/>
      <c r="R727" s="2290" t="s">
        <v>394</v>
      </c>
      <c r="S727" s="2291">
        <f t="shared" ref="S727" si="14">IF(R727=0,0,F727)</f>
        <v>412347.36363000021</v>
      </c>
      <c r="T727" s="2291">
        <f>IF($R727="PTD",$S727*M$1016,IF($R727="PROD",$S727*M$1017,IF($R727="TRANS",$S727*M$1018,IF($R727="DIST",$S727*M$1019,IF($R727="LABOR",$S727*M$1020,IF($R727="TD",$S727*M$1021))))))</f>
        <v>412347.36363000021</v>
      </c>
      <c r="U727" s="2291">
        <f>IF($R727="PTD",$S727*N$1016,IF($R727="PROD",$S727*N$1017,IF($R727="TRANS",$S727*N$1018,IF($R727="DIST",$S727*N$1019,IF($R727="LABOR",$S727*N$1020,IF($R727="TD",$S727*N$1021))))))</f>
        <v>0</v>
      </c>
      <c r="V727" s="2291">
        <f>IF($R727="PTD",$S727*O$1016,IF($R727="PROD",$S727*O$1017,IF($R727="TRANS",$S727*O$1018,IF($R727="DIST",$S727*O$1019,IF($R727="LABOR",$S727*O$1020,IF($R727="TD",$S727*O$1021))))))</f>
        <v>0</v>
      </c>
      <c r="W727" s="2290" t="s">
        <v>90</v>
      </c>
    </row>
    <row r="728" spans="1:23" hidden="1" outlineLevel="2" x14ac:dyDescent="0.2">
      <c r="A728" s="1980" t="s">
        <v>4386</v>
      </c>
      <c r="B728" s="1980" t="s">
        <v>4387</v>
      </c>
      <c r="C728" s="1980" t="s">
        <v>4388</v>
      </c>
      <c r="D728" s="1980" t="s">
        <v>4389</v>
      </c>
      <c r="E728" s="1980" t="s">
        <v>936</v>
      </c>
      <c r="F728" s="1962">
        <v>0.154</v>
      </c>
      <c r="G728" s="1962">
        <v>0</v>
      </c>
      <c r="H728" s="1962">
        <v>0</v>
      </c>
      <c r="I728" s="1962">
        <v>0</v>
      </c>
    </row>
    <row r="729" spans="1:23" hidden="1" outlineLevel="2" x14ac:dyDescent="0.2">
      <c r="A729" s="1980" t="s">
        <v>4386</v>
      </c>
      <c r="B729" s="1980" t="s">
        <v>4387</v>
      </c>
      <c r="C729" s="1980" t="s">
        <v>4390</v>
      </c>
      <c r="D729" s="1980" t="s">
        <v>4391</v>
      </c>
      <c r="E729" s="1980" t="s">
        <v>936</v>
      </c>
      <c r="F729" s="1962">
        <v>2.52</v>
      </c>
      <c r="G729" s="1962">
        <v>0</v>
      </c>
      <c r="H729" s="1962">
        <v>0</v>
      </c>
      <c r="I729" s="1962">
        <v>0</v>
      </c>
    </row>
    <row r="730" spans="1:23" hidden="1" outlineLevel="2" x14ac:dyDescent="0.2">
      <c r="A730" s="1980" t="s">
        <v>4386</v>
      </c>
      <c r="B730" s="1980" t="s">
        <v>4387</v>
      </c>
      <c r="C730" s="1980" t="s">
        <v>4392</v>
      </c>
      <c r="D730" s="1980" t="s">
        <v>4393</v>
      </c>
      <c r="E730" s="1980" t="s">
        <v>936</v>
      </c>
      <c r="F730" s="1962">
        <v>144.26159999999999</v>
      </c>
      <c r="G730" s="1962">
        <v>0</v>
      </c>
      <c r="H730" s="1962">
        <v>0</v>
      </c>
      <c r="I730" s="1962">
        <v>0</v>
      </c>
    </row>
    <row r="731" spans="1:23" hidden="1" outlineLevel="2" x14ac:dyDescent="0.2">
      <c r="A731" s="1980" t="s">
        <v>4386</v>
      </c>
      <c r="B731" s="1980" t="s">
        <v>4387</v>
      </c>
      <c r="C731" s="1980" t="s">
        <v>4394</v>
      </c>
      <c r="D731" s="1980" t="s">
        <v>4395</v>
      </c>
      <c r="E731" s="1980" t="s">
        <v>936</v>
      </c>
      <c r="F731" s="1962">
        <v>359.13749000000001</v>
      </c>
      <c r="G731" s="1962">
        <v>0</v>
      </c>
      <c r="H731" s="1962">
        <v>0</v>
      </c>
      <c r="I731" s="1962">
        <v>0</v>
      </c>
    </row>
    <row r="732" spans="1:23" hidden="1" outlineLevel="2" x14ac:dyDescent="0.2">
      <c r="A732" s="1982" t="s">
        <v>4386</v>
      </c>
      <c r="B732" s="1982" t="s">
        <v>4387</v>
      </c>
      <c r="C732" s="1982" t="s">
        <v>4396</v>
      </c>
      <c r="D732" s="1982" t="s">
        <v>4397</v>
      </c>
      <c r="E732" s="1982" t="s">
        <v>936</v>
      </c>
      <c r="F732" s="1968">
        <v>361.23489999999998</v>
      </c>
      <c r="G732" s="1962">
        <v>0</v>
      </c>
      <c r="H732" s="1962">
        <v>0</v>
      </c>
      <c r="I732" s="1962">
        <v>0</v>
      </c>
    </row>
    <row r="733" spans="1:23" hidden="1" outlineLevel="2" x14ac:dyDescent="0.2">
      <c r="A733" s="1980" t="s">
        <v>4386</v>
      </c>
      <c r="B733" s="1980" t="s">
        <v>4387</v>
      </c>
      <c r="C733" s="1980" t="s">
        <v>4398</v>
      </c>
      <c r="D733" s="1980" t="s">
        <v>4399</v>
      </c>
      <c r="E733" s="1980" t="s">
        <v>936</v>
      </c>
      <c r="F733" s="1962">
        <v>1.60364</v>
      </c>
      <c r="G733" s="1962">
        <v>0</v>
      </c>
      <c r="H733" s="1962">
        <v>0</v>
      </c>
      <c r="I733" s="1962">
        <v>0</v>
      </c>
    </row>
    <row r="734" spans="1:23" hidden="1" outlineLevel="2" x14ac:dyDescent="0.2">
      <c r="A734" s="1980" t="s">
        <v>4386</v>
      </c>
      <c r="B734" s="1980" t="s">
        <v>4387</v>
      </c>
      <c r="C734" s="1980" t="s">
        <v>4400</v>
      </c>
      <c r="D734" s="1980" t="s">
        <v>4401</v>
      </c>
      <c r="E734" s="1980" t="s">
        <v>936</v>
      </c>
      <c r="F734" s="1962">
        <v>143.04400000000001</v>
      </c>
      <c r="G734" s="1962">
        <v>0</v>
      </c>
      <c r="H734" s="1962">
        <v>0</v>
      </c>
      <c r="I734" s="1962">
        <v>0</v>
      </c>
    </row>
    <row r="735" spans="1:23" hidden="1" outlineLevel="2" x14ac:dyDescent="0.2">
      <c r="A735" s="1980" t="s">
        <v>4386</v>
      </c>
      <c r="B735" s="1980" t="s">
        <v>4387</v>
      </c>
      <c r="C735" s="1980" t="s">
        <v>4402</v>
      </c>
      <c r="D735" s="1980" t="s">
        <v>4403</v>
      </c>
      <c r="E735" s="1980" t="s">
        <v>936</v>
      </c>
      <c r="F735" s="1962">
        <v>117.17189</v>
      </c>
      <c r="G735" s="1962">
        <v>0</v>
      </c>
      <c r="H735" s="1962">
        <v>0</v>
      </c>
      <c r="I735" s="1962">
        <v>0</v>
      </c>
    </row>
    <row r="736" spans="1:23" hidden="1" outlineLevel="2" x14ac:dyDescent="0.2">
      <c r="A736" s="1980" t="s">
        <v>4386</v>
      </c>
      <c r="B736" s="1980" t="s">
        <v>4387</v>
      </c>
      <c r="C736" s="1980" t="s">
        <v>4404</v>
      </c>
      <c r="D736" s="1980" t="s">
        <v>4405</v>
      </c>
      <c r="E736" s="1980" t="s">
        <v>936</v>
      </c>
      <c r="F736" s="1962">
        <v>46.617190000000001</v>
      </c>
      <c r="G736" s="1962">
        <v>0</v>
      </c>
      <c r="H736" s="1962">
        <v>0</v>
      </c>
      <c r="I736" s="1962">
        <v>0</v>
      </c>
    </row>
    <row r="737" spans="1:9" hidden="1" outlineLevel="2" x14ac:dyDescent="0.2">
      <c r="A737" s="1980" t="s">
        <v>4386</v>
      </c>
      <c r="B737" s="1980" t="s">
        <v>4387</v>
      </c>
      <c r="C737" s="1980" t="s">
        <v>4406</v>
      </c>
      <c r="D737" s="1980" t="s">
        <v>4407</v>
      </c>
      <c r="E737" s="1980" t="s">
        <v>936</v>
      </c>
      <c r="F737" s="1962">
        <v>245.85731999999999</v>
      </c>
      <c r="G737" s="1962">
        <v>0</v>
      </c>
      <c r="H737" s="1962">
        <v>0</v>
      </c>
      <c r="I737" s="1962">
        <v>0</v>
      </c>
    </row>
    <row r="738" spans="1:9" hidden="1" outlineLevel="2" x14ac:dyDescent="0.2">
      <c r="A738" s="1980" t="s">
        <v>4386</v>
      </c>
      <c r="B738" s="1980" t="s">
        <v>4387</v>
      </c>
      <c r="C738" s="1980" t="s">
        <v>4408</v>
      </c>
      <c r="D738" s="1980" t="s">
        <v>4409</v>
      </c>
      <c r="E738" s="1980" t="s">
        <v>936</v>
      </c>
      <c r="F738" s="1962">
        <v>102.69298999999999</v>
      </c>
      <c r="G738" s="1962">
        <v>0</v>
      </c>
      <c r="H738" s="1962">
        <v>0</v>
      </c>
      <c r="I738" s="1962">
        <v>0</v>
      </c>
    </row>
    <row r="739" spans="1:9" hidden="1" outlineLevel="2" x14ac:dyDescent="0.2">
      <c r="A739" s="1980" t="s">
        <v>4386</v>
      </c>
      <c r="B739" s="1980" t="s">
        <v>4387</v>
      </c>
      <c r="C739" s="1980" t="s">
        <v>4410</v>
      </c>
      <c r="D739" s="1980" t="s">
        <v>4411</v>
      </c>
      <c r="E739" s="1980" t="s">
        <v>936</v>
      </c>
      <c r="F739" s="1962">
        <v>3.0000000000000001E-3</v>
      </c>
      <c r="G739" s="1962">
        <v>0</v>
      </c>
      <c r="H739" s="1962">
        <v>0</v>
      </c>
      <c r="I739" s="1962">
        <v>0</v>
      </c>
    </row>
    <row r="740" spans="1:9" hidden="1" outlineLevel="2" x14ac:dyDescent="0.2">
      <c r="A740" s="1980" t="s">
        <v>4386</v>
      </c>
      <c r="B740" s="1980" t="s">
        <v>4387</v>
      </c>
      <c r="C740" s="1980" t="s">
        <v>4412</v>
      </c>
      <c r="D740" s="1980" t="s">
        <v>4413</v>
      </c>
      <c r="E740" s="1980" t="s">
        <v>936</v>
      </c>
      <c r="F740" s="1962">
        <v>3.8346100000000001</v>
      </c>
      <c r="G740" s="1962">
        <v>0</v>
      </c>
      <c r="H740" s="1962">
        <v>0</v>
      </c>
      <c r="I740" s="1962">
        <v>0</v>
      </c>
    </row>
    <row r="741" spans="1:9" hidden="1" outlineLevel="2" x14ac:dyDescent="0.2">
      <c r="A741" s="1980" t="s">
        <v>4386</v>
      </c>
      <c r="B741" s="1980" t="s">
        <v>4387</v>
      </c>
      <c r="C741" s="1980" t="s">
        <v>4414</v>
      </c>
      <c r="D741" s="1980" t="s">
        <v>4415</v>
      </c>
      <c r="E741" s="1980" t="s">
        <v>936</v>
      </c>
      <c r="F741" s="1962">
        <v>1.0999999999999999E-2</v>
      </c>
      <c r="G741" s="1962">
        <v>0</v>
      </c>
      <c r="H741" s="1962">
        <v>0</v>
      </c>
      <c r="I741" s="1962">
        <v>0</v>
      </c>
    </row>
    <row r="742" spans="1:9" hidden="1" outlineLevel="2" x14ac:dyDescent="0.2">
      <c r="A742" s="1980" t="s">
        <v>4386</v>
      </c>
      <c r="B742" s="1980" t="s">
        <v>4387</v>
      </c>
      <c r="C742" s="1980" t="s">
        <v>4416</v>
      </c>
      <c r="D742" s="1980" t="s">
        <v>4417</v>
      </c>
      <c r="E742" s="1980" t="s">
        <v>936</v>
      </c>
      <c r="F742" s="1962">
        <v>846.00710000000004</v>
      </c>
      <c r="G742" s="1962">
        <v>0</v>
      </c>
      <c r="H742" s="1962">
        <v>0</v>
      </c>
      <c r="I742" s="1962">
        <v>0</v>
      </c>
    </row>
    <row r="743" spans="1:9" hidden="1" outlineLevel="2" x14ac:dyDescent="0.2">
      <c r="A743" s="1980" t="s">
        <v>4386</v>
      </c>
      <c r="B743" s="1980" t="s">
        <v>4387</v>
      </c>
      <c r="C743" s="1980" t="s">
        <v>4418</v>
      </c>
      <c r="D743" s="1980" t="s">
        <v>4419</v>
      </c>
      <c r="E743" s="1980" t="s">
        <v>936</v>
      </c>
      <c r="F743" s="1962">
        <v>101.28661</v>
      </c>
      <c r="G743" s="1962">
        <v>0</v>
      </c>
      <c r="H743" s="1962">
        <v>0</v>
      </c>
      <c r="I743" s="1962">
        <v>0</v>
      </c>
    </row>
    <row r="744" spans="1:9" hidden="1" outlineLevel="2" x14ac:dyDescent="0.2">
      <c r="A744" s="1980" t="s">
        <v>4386</v>
      </c>
      <c r="B744" s="1980" t="s">
        <v>4387</v>
      </c>
      <c r="C744" s="1980" t="s">
        <v>4420</v>
      </c>
      <c r="D744" s="1980" t="s">
        <v>4421</v>
      </c>
      <c r="E744" s="1980" t="s">
        <v>936</v>
      </c>
      <c r="F744" s="1962">
        <v>360.53384999999997</v>
      </c>
      <c r="G744" s="1962">
        <v>0</v>
      </c>
      <c r="H744" s="1962">
        <v>0</v>
      </c>
      <c r="I744" s="1962">
        <v>0</v>
      </c>
    </row>
    <row r="745" spans="1:9" hidden="1" outlineLevel="2" x14ac:dyDescent="0.2">
      <c r="A745" s="1980" t="s">
        <v>4386</v>
      </c>
      <c r="B745" s="1980" t="s">
        <v>4387</v>
      </c>
      <c r="C745" s="1980" t="s">
        <v>4422</v>
      </c>
      <c r="D745" s="1980" t="s">
        <v>4423</v>
      </c>
      <c r="E745" s="1980" t="s">
        <v>936</v>
      </c>
      <c r="F745" s="1962">
        <v>123.29439000000001</v>
      </c>
      <c r="G745" s="1962">
        <v>0</v>
      </c>
      <c r="H745" s="1962">
        <v>0</v>
      </c>
      <c r="I745" s="1962">
        <v>0</v>
      </c>
    </row>
    <row r="746" spans="1:9" hidden="1" outlineLevel="2" x14ac:dyDescent="0.2">
      <c r="A746" s="1980" t="s">
        <v>4386</v>
      </c>
      <c r="B746" s="1980" t="s">
        <v>4387</v>
      </c>
      <c r="C746" s="1980" t="s">
        <v>4424</v>
      </c>
      <c r="D746" s="1980" t="s">
        <v>4425</v>
      </c>
      <c r="E746" s="1980" t="s">
        <v>936</v>
      </c>
      <c r="F746" s="1962">
        <v>61.336190000000002</v>
      </c>
      <c r="G746" s="1962">
        <v>0</v>
      </c>
      <c r="H746" s="1962">
        <v>0</v>
      </c>
      <c r="I746" s="1962">
        <v>0</v>
      </c>
    </row>
    <row r="747" spans="1:9" hidden="1" outlineLevel="2" x14ac:dyDescent="0.2">
      <c r="A747" s="1980" t="s">
        <v>4386</v>
      </c>
      <c r="B747" s="1980" t="s">
        <v>4387</v>
      </c>
      <c r="C747" s="1980" t="s">
        <v>4426</v>
      </c>
      <c r="D747" s="1980" t="s">
        <v>4427</v>
      </c>
      <c r="E747" s="1980" t="s">
        <v>936</v>
      </c>
      <c r="F747" s="1962">
        <v>120.21977</v>
      </c>
      <c r="G747" s="1962">
        <v>0</v>
      </c>
      <c r="H747" s="1962">
        <v>0</v>
      </c>
      <c r="I747" s="1962">
        <v>0</v>
      </c>
    </row>
    <row r="748" spans="1:9" hidden="1" outlineLevel="2" x14ac:dyDescent="0.2">
      <c r="A748" s="1980" t="s">
        <v>4386</v>
      </c>
      <c r="B748" s="1980" t="s">
        <v>4387</v>
      </c>
      <c r="C748" s="1980" t="s">
        <v>4428</v>
      </c>
      <c r="D748" s="1980" t="s">
        <v>4429</v>
      </c>
      <c r="E748" s="1980" t="s">
        <v>936</v>
      </c>
      <c r="F748" s="1962">
        <v>274.98216000000002</v>
      </c>
      <c r="G748" s="1962">
        <v>0</v>
      </c>
      <c r="H748" s="1962">
        <v>0</v>
      </c>
      <c r="I748" s="1962">
        <v>0</v>
      </c>
    </row>
    <row r="749" spans="1:9" hidden="1" outlineLevel="2" x14ac:dyDescent="0.2">
      <c r="A749" s="1980" t="s">
        <v>4386</v>
      </c>
      <c r="B749" s="1980" t="s">
        <v>4387</v>
      </c>
      <c r="C749" s="1980" t="s">
        <v>4430</v>
      </c>
      <c r="D749" s="1980" t="s">
        <v>4431</v>
      </c>
      <c r="E749" s="1980" t="s">
        <v>936</v>
      </c>
      <c r="F749" s="1962">
        <v>229.13469000000001</v>
      </c>
      <c r="G749" s="1962">
        <v>0</v>
      </c>
      <c r="H749" s="1962">
        <v>0</v>
      </c>
      <c r="I749" s="1962">
        <v>0</v>
      </c>
    </row>
    <row r="750" spans="1:9" hidden="1" outlineLevel="2" x14ac:dyDescent="0.2">
      <c r="A750" s="1980" t="s">
        <v>4386</v>
      </c>
      <c r="B750" s="1980" t="s">
        <v>4387</v>
      </c>
      <c r="C750" s="1980" t="s">
        <v>4432</v>
      </c>
      <c r="D750" s="1980" t="s">
        <v>4433</v>
      </c>
      <c r="E750" s="1980" t="s">
        <v>936</v>
      </c>
      <c r="F750" s="1962">
        <v>19.45187</v>
      </c>
      <c r="G750" s="1962">
        <v>0</v>
      </c>
      <c r="H750" s="1962">
        <v>0</v>
      </c>
      <c r="I750" s="1962">
        <v>0</v>
      </c>
    </row>
    <row r="751" spans="1:9" hidden="1" outlineLevel="2" x14ac:dyDescent="0.2">
      <c r="A751" s="1980" t="s">
        <v>4386</v>
      </c>
      <c r="B751" s="1980" t="s">
        <v>4387</v>
      </c>
      <c r="C751" s="1980" t="s">
        <v>4434</v>
      </c>
      <c r="D751" s="1980" t="s">
        <v>4435</v>
      </c>
      <c r="E751" s="1980" t="s">
        <v>936</v>
      </c>
      <c r="F751" s="1962">
        <v>101.73987</v>
      </c>
      <c r="G751" s="1962">
        <v>0</v>
      </c>
      <c r="H751" s="1962">
        <v>0</v>
      </c>
      <c r="I751" s="1962">
        <v>0</v>
      </c>
    </row>
    <row r="752" spans="1:9" hidden="1" outlineLevel="2" x14ac:dyDescent="0.2">
      <c r="A752" s="1980" t="s">
        <v>4386</v>
      </c>
      <c r="B752" s="1980" t="s">
        <v>4387</v>
      </c>
      <c r="C752" s="1980" t="s">
        <v>4436</v>
      </c>
      <c r="D752" s="1980" t="s">
        <v>4437</v>
      </c>
      <c r="E752" s="1980" t="s">
        <v>936</v>
      </c>
      <c r="F752" s="1962">
        <v>3126.6369</v>
      </c>
      <c r="G752" s="1962">
        <v>0</v>
      </c>
      <c r="H752" s="1962">
        <v>0</v>
      </c>
      <c r="I752" s="1962">
        <v>0</v>
      </c>
    </row>
    <row r="753" spans="1:9" hidden="1" outlineLevel="2" x14ac:dyDescent="0.2">
      <c r="A753" s="1980" t="s">
        <v>4386</v>
      </c>
      <c r="B753" s="1980" t="s">
        <v>4387</v>
      </c>
      <c r="C753" s="1980" t="s">
        <v>4438</v>
      </c>
      <c r="D753" s="1980" t="s">
        <v>4439</v>
      </c>
      <c r="E753" s="1980" t="s">
        <v>936</v>
      </c>
      <c r="F753" s="1962">
        <v>164.57782</v>
      </c>
      <c r="G753" s="1962">
        <v>0</v>
      </c>
      <c r="H753" s="1962">
        <v>0</v>
      </c>
      <c r="I753" s="1962">
        <v>0</v>
      </c>
    </row>
    <row r="754" spans="1:9" hidden="1" outlineLevel="2" x14ac:dyDescent="0.2">
      <c r="A754" s="1980" t="s">
        <v>4386</v>
      </c>
      <c r="B754" s="1980" t="s">
        <v>4387</v>
      </c>
      <c r="C754" s="1980" t="s">
        <v>4440</v>
      </c>
      <c r="D754" s="1980" t="s">
        <v>4441</v>
      </c>
      <c r="E754" s="1980" t="s">
        <v>936</v>
      </c>
      <c r="F754" s="1962">
        <v>317.33852000000002</v>
      </c>
      <c r="G754" s="1962">
        <v>0</v>
      </c>
      <c r="H754" s="1962">
        <v>0</v>
      </c>
      <c r="I754" s="1962">
        <v>0</v>
      </c>
    </row>
    <row r="755" spans="1:9" hidden="1" outlineLevel="2" x14ac:dyDescent="0.2">
      <c r="A755" s="1980" t="s">
        <v>4386</v>
      </c>
      <c r="B755" s="1980" t="s">
        <v>4387</v>
      </c>
      <c r="C755" s="1980" t="s">
        <v>4442</v>
      </c>
      <c r="D755" s="1980" t="s">
        <v>4443</v>
      </c>
      <c r="E755" s="1980" t="s">
        <v>936</v>
      </c>
      <c r="F755" s="1962">
        <v>113.29595</v>
      </c>
      <c r="G755" s="1962">
        <v>0</v>
      </c>
      <c r="H755" s="1962">
        <v>0</v>
      </c>
      <c r="I755" s="1962">
        <v>0</v>
      </c>
    </row>
    <row r="756" spans="1:9" hidden="1" outlineLevel="2" x14ac:dyDescent="0.2">
      <c r="A756" s="1980" t="s">
        <v>4386</v>
      </c>
      <c r="B756" s="1980" t="s">
        <v>4387</v>
      </c>
      <c r="C756" s="1980" t="s">
        <v>4444</v>
      </c>
      <c r="D756" s="1980" t="s">
        <v>4445</v>
      </c>
      <c r="E756" s="1980" t="s">
        <v>936</v>
      </c>
      <c r="F756" s="1962">
        <v>108.38252</v>
      </c>
      <c r="G756" s="1962">
        <v>0</v>
      </c>
      <c r="H756" s="1962">
        <v>0</v>
      </c>
      <c r="I756" s="1962">
        <v>0</v>
      </c>
    </row>
    <row r="757" spans="1:9" hidden="1" outlineLevel="2" x14ac:dyDescent="0.2">
      <c r="A757" s="1980" t="s">
        <v>4386</v>
      </c>
      <c r="B757" s="1980" t="s">
        <v>4387</v>
      </c>
      <c r="C757" s="1980" t="s">
        <v>4446</v>
      </c>
      <c r="D757" s="1980" t="s">
        <v>4447</v>
      </c>
      <c r="E757" s="1980" t="s">
        <v>936</v>
      </c>
      <c r="F757" s="1962">
        <v>58.373260000000002</v>
      </c>
      <c r="G757" s="1962">
        <v>0</v>
      </c>
      <c r="H757" s="1962">
        <v>0</v>
      </c>
      <c r="I757" s="1962">
        <v>0</v>
      </c>
    </row>
    <row r="758" spans="1:9" hidden="1" outlineLevel="2" x14ac:dyDescent="0.2">
      <c r="A758" s="1980" t="s">
        <v>4386</v>
      </c>
      <c r="B758" s="1980" t="s">
        <v>4387</v>
      </c>
      <c r="C758" s="1980" t="s">
        <v>4448</v>
      </c>
      <c r="D758" s="1980" t="s">
        <v>4449</v>
      </c>
      <c r="E758" s="1980" t="s">
        <v>936</v>
      </c>
      <c r="F758" s="1962">
        <v>268.05756000000002</v>
      </c>
      <c r="G758" s="1962">
        <v>0</v>
      </c>
      <c r="H758" s="1962">
        <v>0</v>
      </c>
      <c r="I758" s="1962">
        <v>0</v>
      </c>
    </row>
    <row r="759" spans="1:9" hidden="1" outlineLevel="2" x14ac:dyDescent="0.2">
      <c r="A759" s="1980" t="s">
        <v>4386</v>
      </c>
      <c r="B759" s="1980" t="s">
        <v>4387</v>
      </c>
      <c r="C759" s="1980" t="s">
        <v>4450</v>
      </c>
      <c r="D759" s="1980" t="s">
        <v>4451</v>
      </c>
      <c r="E759" s="1980" t="s">
        <v>936</v>
      </c>
      <c r="F759" s="1962">
        <v>490.10075000000001</v>
      </c>
      <c r="G759" s="1962">
        <v>0</v>
      </c>
      <c r="H759" s="1962">
        <v>0</v>
      </c>
      <c r="I759" s="1962">
        <v>0</v>
      </c>
    </row>
    <row r="760" spans="1:9" hidden="1" outlineLevel="2" x14ac:dyDescent="0.2">
      <c r="A760" s="1980" t="s">
        <v>4386</v>
      </c>
      <c r="B760" s="1980" t="s">
        <v>4387</v>
      </c>
      <c r="C760" s="1980" t="s">
        <v>4452</v>
      </c>
      <c r="D760" s="1980" t="s">
        <v>4453</v>
      </c>
      <c r="E760" s="1980" t="s">
        <v>936</v>
      </c>
      <c r="F760" s="1962">
        <v>17.336749999999999</v>
      </c>
      <c r="G760" s="1962">
        <v>0</v>
      </c>
      <c r="H760" s="1962">
        <v>0</v>
      </c>
      <c r="I760" s="1962">
        <v>0</v>
      </c>
    </row>
    <row r="761" spans="1:9" hidden="1" outlineLevel="2" x14ac:dyDescent="0.2">
      <c r="A761" s="1980" t="s">
        <v>4386</v>
      </c>
      <c r="B761" s="1980" t="s">
        <v>4387</v>
      </c>
      <c r="C761" s="1980" t="s">
        <v>4454</v>
      </c>
      <c r="D761" s="1980" t="s">
        <v>4455</v>
      </c>
      <c r="E761" s="1980" t="s">
        <v>936</v>
      </c>
      <c r="F761" s="1962">
        <v>9.3955800000000007</v>
      </c>
      <c r="G761" s="1962">
        <v>0</v>
      </c>
      <c r="H761" s="1962">
        <v>0</v>
      </c>
      <c r="I761" s="1962">
        <v>0</v>
      </c>
    </row>
    <row r="762" spans="1:9" hidden="1" outlineLevel="2" x14ac:dyDescent="0.2">
      <c r="A762" s="1980" t="s">
        <v>4386</v>
      </c>
      <c r="B762" s="1980" t="s">
        <v>4387</v>
      </c>
      <c r="C762" s="1980" t="s">
        <v>4456</v>
      </c>
      <c r="D762" s="1980" t="s">
        <v>4457</v>
      </c>
      <c r="E762" s="1980" t="s">
        <v>936</v>
      </c>
      <c r="F762" s="1962">
        <v>32.767299999999999</v>
      </c>
      <c r="G762" s="1962">
        <v>0</v>
      </c>
      <c r="H762" s="1962">
        <v>0</v>
      </c>
      <c r="I762" s="1962">
        <v>0</v>
      </c>
    </row>
    <row r="763" spans="1:9" hidden="1" outlineLevel="2" x14ac:dyDescent="0.2">
      <c r="A763" s="1980" t="s">
        <v>4386</v>
      </c>
      <c r="B763" s="1980" t="s">
        <v>4387</v>
      </c>
      <c r="C763" s="1980" t="s">
        <v>4458</v>
      </c>
      <c r="D763" s="1980" t="s">
        <v>4459</v>
      </c>
      <c r="E763" s="1980" t="s">
        <v>936</v>
      </c>
      <c r="F763" s="1962">
        <v>49.790480000000002</v>
      </c>
      <c r="G763" s="1962">
        <v>0</v>
      </c>
      <c r="H763" s="1962">
        <v>0</v>
      </c>
      <c r="I763" s="1962">
        <v>0</v>
      </c>
    </row>
    <row r="764" spans="1:9" hidden="1" outlineLevel="2" x14ac:dyDescent="0.2">
      <c r="A764" s="1980" t="s">
        <v>4386</v>
      </c>
      <c r="B764" s="1980" t="s">
        <v>4387</v>
      </c>
      <c r="C764" s="1980" t="s">
        <v>4460</v>
      </c>
      <c r="D764" s="1980" t="s">
        <v>4461</v>
      </c>
      <c r="E764" s="1980" t="s">
        <v>936</v>
      </c>
      <c r="F764" s="1962">
        <v>308.63628</v>
      </c>
      <c r="G764" s="1962">
        <v>0</v>
      </c>
      <c r="H764" s="1962">
        <v>0</v>
      </c>
      <c r="I764" s="1962">
        <v>0</v>
      </c>
    </row>
    <row r="765" spans="1:9" hidden="1" outlineLevel="2" x14ac:dyDescent="0.2">
      <c r="A765" s="1980" t="s">
        <v>4386</v>
      </c>
      <c r="B765" s="1980" t="s">
        <v>4387</v>
      </c>
      <c r="C765" s="1980" t="s">
        <v>4462</v>
      </c>
      <c r="D765" s="1980" t="s">
        <v>4463</v>
      </c>
      <c r="E765" s="1980" t="s">
        <v>936</v>
      </c>
      <c r="F765" s="1962">
        <v>3816.4172600000002</v>
      </c>
      <c r="G765" s="1962">
        <v>0</v>
      </c>
      <c r="H765" s="1962">
        <v>0</v>
      </c>
      <c r="I765" s="1962">
        <v>0</v>
      </c>
    </row>
    <row r="766" spans="1:9" hidden="1" outlineLevel="2" x14ac:dyDescent="0.2">
      <c r="A766" s="1980" t="s">
        <v>4386</v>
      </c>
      <c r="B766" s="1980" t="s">
        <v>4387</v>
      </c>
      <c r="C766" s="1980" t="s">
        <v>4464</v>
      </c>
      <c r="D766" s="1980" t="s">
        <v>4465</v>
      </c>
      <c r="E766" s="1980" t="s">
        <v>936</v>
      </c>
      <c r="F766" s="1962">
        <v>197.81917000000001</v>
      </c>
      <c r="G766" s="1962">
        <v>0</v>
      </c>
      <c r="H766" s="1962">
        <v>0</v>
      </c>
      <c r="I766" s="1962">
        <v>0</v>
      </c>
    </row>
    <row r="767" spans="1:9" hidden="1" outlineLevel="2" x14ac:dyDescent="0.2">
      <c r="A767" s="1980" t="s">
        <v>4386</v>
      </c>
      <c r="B767" s="1980" t="s">
        <v>4387</v>
      </c>
      <c r="C767" s="1980" t="s">
        <v>4466</v>
      </c>
      <c r="D767" s="1980" t="s">
        <v>4467</v>
      </c>
      <c r="E767" s="1980" t="s">
        <v>936</v>
      </c>
      <c r="F767" s="1962">
        <v>287.19031000000001</v>
      </c>
      <c r="G767" s="1962">
        <v>0</v>
      </c>
      <c r="H767" s="1962">
        <v>0</v>
      </c>
      <c r="I767" s="1962">
        <v>0</v>
      </c>
    </row>
    <row r="768" spans="1:9" hidden="1" outlineLevel="2" x14ac:dyDescent="0.2">
      <c r="A768" s="1980" t="s">
        <v>4386</v>
      </c>
      <c r="B768" s="1980" t="s">
        <v>4387</v>
      </c>
      <c r="C768" s="1980" t="s">
        <v>4468</v>
      </c>
      <c r="D768" s="1980" t="s">
        <v>4469</v>
      </c>
      <c r="E768" s="1980" t="s">
        <v>936</v>
      </c>
      <c r="F768" s="1962">
        <v>108.1255</v>
      </c>
      <c r="G768" s="1962">
        <v>0</v>
      </c>
      <c r="H768" s="1962">
        <v>0</v>
      </c>
      <c r="I768" s="1962">
        <v>0</v>
      </c>
    </row>
    <row r="769" spans="1:9" hidden="1" outlineLevel="2" x14ac:dyDescent="0.2">
      <c r="A769" s="1980" t="s">
        <v>4386</v>
      </c>
      <c r="B769" s="1980" t="s">
        <v>4387</v>
      </c>
      <c r="C769" s="1980" t="s">
        <v>4470</v>
      </c>
      <c r="D769" s="1980" t="s">
        <v>4471</v>
      </c>
      <c r="E769" s="1980" t="s">
        <v>936</v>
      </c>
      <c r="F769" s="1962">
        <v>189.9254</v>
      </c>
      <c r="G769" s="1962">
        <v>0</v>
      </c>
      <c r="H769" s="1962">
        <v>0</v>
      </c>
      <c r="I769" s="1962">
        <v>0</v>
      </c>
    </row>
    <row r="770" spans="1:9" hidden="1" outlineLevel="2" x14ac:dyDescent="0.2">
      <c r="A770" s="1980" t="s">
        <v>4386</v>
      </c>
      <c r="B770" s="1980" t="s">
        <v>4387</v>
      </c>
      <c r="C770" s="1980" t="s">
        <v>4472</v>
      </c>
      <c r="D770" s="1980" t="s">
        <v>4473</v>
      </c>
      <c r="E770" s="1980" t="s">
        <v>936</v>
      </c>
      <c r="F770" s="1962">
        <v>73.97869</v>
      </c>
      <c r="G770" s="1962">
        <v>0</v>
      </c>
      <c r="H770" s="1962">
        <v>0</v>
      </c>
      <c r="I770" s="1962">
        <v>0</v>
      </c>
    </row>
    <row r="771" spans="1:9" hidden="1" outlineLevel="2" x14ac:dyDescent="0.2">
      <c r="A771" s="1980" t="s">
        <v>4386</v>
      </c>
      <c r="B771" s="1980" t="s">
        <v>4387</v>
      </c>
      <c r="C771" s="1980" t="s">
        <v>4474</v>
      </c>
      <c r="D771" s="1980" t="s">
        <v>4475</v>
      </c>
      <c r="E771" s="1980" t="s">
        <v>936</v>
      </c>
      <c r="F771" s="1962">
        <v>807.23829999999998</v>
      </c>
      <c r="G771" s="1962">
        <v>0</v>
      </c>
      <c r="H771" s="1962">
        <v>0</v>
      </c>
      <c r="I771" s="1962">
        <v>0</v>
      </c>
    </row>
    <row r="772" spans="1:9" hidden="1" outlineLevel="2" x14ac:dyDescent="0.2">
      <c r="A772" s="1980" t="s">
        <v>4386</v>
      </c>
      <c r="B772" s="1980" t="s">
        <v>4387</v>
      </c>
      <c r="C772" s="1980" t="s">
        <v>4476</v>
      </c>
      <c r="D772" s="1980" t="s">
        <v>4431</v>
      </c>
      <c r="E772" s="1980" t="s">
        <v>936</v>
      </c>
      <c r="F772" s="1962">
        <v>593.56381999999996</v>
      </c>
      <c r="G772" s="1962">
        <v>0</v>
      </c>
      <c r="H772" s="1962">
        <v>0</v>
      </c>
      <c r="I772" s="1962">
        <v>0</v>
      </c>
    </row>
    <row r="773" spans="1:9" hidden="1" outlineLevel="2" x14ac:dyDescent="0.2">
      <c r="A773" s="1980" t="s">
        <v>4386</v>
      </c>
      <c r="B773" s="1980" t="s">
        <v>4387</v>
      </c>
      <c r="C773" s="1980" t="s">
        <v>4477</v>
      </c>
      <c r="D773" s="1980" t="s">
        <v>4478</v>
      </c>
      <c r="E773" s="1980" t="s">
        <v>936</v>
      </c>
      <c r="F773" s="1962">
        <v>47.20308</v>
      </c>
      <c r="G773" s="1962">
        <v>0</v>
      </c>
      <c r="H773" s="1962">
        <v>0</v>
      </c>
      <c r="I773" s="1962">
        <v>0</v>
      </c>
    </row>
    <row r="774" spans="1:9" hidden="1" outlineLevel="2" x14ac:dyDescent="0.2">
      <c r="A774" s="1980" t="s">
        <v>4386</v>
      </c>
      <c r="B774" s="1980" t="s">
        <v>4387</v>
      </c>
      <c r="C774" s="1980" t="s">
        <v>4479</v>
      </c>
      <c r="D774" s="1980" t="s">
        <v>4480</v>
      </c>
      <c r="E774" s="1980" t="s">
        <v>936</v>
      </c>
      <c r="F774" s="1962">
        <v>321.98257999999998</v>
      </c>
      <c r="G774" s="1962">
        <v>0</v>
      </c>
      <c r="H774" s="1962">
        <v>0</v>
      </c>
      <c r="I774" s="1962">
        <v>0</v>
      </c>
    </row>
    <row r="775" spans="1:9" hidden="1" outlineLevel="2" x14ac:dyDescent="0.2">
      <c r="A775" s="1980" t="s">
        <v>4386</v>
      </c>
      <c r="B775" s="1980" t="s">
        <v>4387</v>
      </c>
      <c r="C775" s="1980" t="s">
        <v>4481</v>
      </c>
      <c r="D775" s="1980" t="s">
        <v>4482</v>
      </c>
      <c r="E775" s="1980" t="s">
        <v>936</v>
      </c>
      <c r="F775" s="1962">
        <v>4283.3929399999997</v>
      </c>
      <c r="G775" s="1962">
        <v>0</v>
      </c>
      <c r="H775" s="1962">
        <v>0</v>
      </c>
      <c r="I775" s="1962">
        <v>0</v>
      </c>
    </row>
    <row r="776" spans="1:9" hidden="1" outlineLevel="2" x14ac:dyDescent="0.2">
      <c r="A776" s="1980" t="s">
        <v>4386</v>
      </c>
      <c r="B776" s="1980" t="s">
        <v>4387</v>
      </c>
      <c r="C776" s="1980" t="s">
        <v>4483</v>
      </c>
      <c r="D776" s="1980" t="s">
        <v>4484</v>
      </c>
      <c r="E776" s="1980" t="s">
        <v>936</v>
      </c>
      <c r="F776" s="1962">
        <v>133.67257000000001</v>
      </c>
      <c r="G776" s="1962">
        <v>0</v>
      </c>
      <c r="H776" s="1962">
        <v>0</v>
      </c>
      <c r="I776" s="1962">
        <v>0</v>
      </c>
    </row>
    <row r="777" spans="1:9" hidden="1" outlineLevel="2" x14ac:dyDescent="0.2">
      <c r="A777" s="1980" t="s">
        <v>4386</v>
      </c>
      <c r="B777" s="1980" t="s">
        <v>4387</v>
      </c>
      <c r="C777" s="1980" t="s">
        <v>4485</v>
      </c>
      <c r="D777" s="1980" t="s">
        <v>4486</v>
      </c>
      <c r="E777" s="1980" t="s">
        <v>936</v>
      </c>
      <c r="F777" s="1962">
        <v>0.46115</v>
      </c>
      <c r="G777" s="1962">
        <v>0</v>
      </c>
      <c r="H777" s="1962">
        <v>0</v>
      </c>
      <c r="I777" s="1962">
        <v>0</v>
      </c>
    </row>
    <row r="778" spans="1:9" hidden="1" outlineLevel="2" x14ac:dyDescent="0.2">
      <c r="A778" s="1980" t="s">
        <v>4386</v>
      </c>
      <c r="B778" s="1980" t="s">
        <v>4387</v>
      </c>
      <c r="C778" s="1980" t="s">
        <v>4487</v>
      </c>
      <c r="D778" s="1980" t="s">
        <v>4488</v>
      </c>
      <c r="E778" s="1980" t="s">
        <v>936</v>
      </c>
      <c r="F778" s="1962">
        <v>165.80113</v>
      </c>
      <c r="G778" s="1962">
        <v>0</v>
      </c>
      <c r="H778" s="1962">
        <v>0</v>
      </c>
      <c r="I778" s="1962">
        <v>0</v>
      </c>
    </row>
    <row r="779" spans="1:9" hidden="1" outlineLevel="2" x14ac:dyDescent="0.2">
      <c r="A779" s="1980" t="s">
        <v>4386</v>
      </c>
      <c r="B779" s="1980" t="s">
        <v>4387</v>
      </c>
      <c r="C779" s="1980" t="s">
        <v>4489</v>
      </c>
      <c r="D779" s="1980" t="s">
        <v>4490</v>
      </c>
      <c r="E779" s="1980" t="s">
        <v>936</v>
      </c>
      <c r="F779" s="1962">
        <v>513.47792000000004</v>
      </c>
      <c r="G779" s="1962">
        <v>0</v>
      </c>
      <c r="H779" s="1962">
        <v>0</v>
      </c>
      <c r="I779" s="1962">
        <v>0</v>
      </c>
    </row>
    <row r="780" spans="1:9" hidden="1" outlineLevel="2" x14ac:dyDescent="0.2">
      <c r="A780" s="1980" t="s">
        <v>4386</v>
      </c>
      <c r="B780" s="1980" t="s">
        <v>4387</v>
      </c>
      <c r="C780" s="1980" t="s">
        <v>4491</v>
      </c>
      <c r="D780" s="1980" t="s">
        <v>4492</v>
      </c>
      <c r="E780" s="1980" t="s">
        <v>936</v>
      </c>
      <c r="F780" s="1962">
        <v>107.01175000000001</v>
      </c>
      <c r="G780" s="1962">
        <v>0</v>
      </c>
      <c r="H780" s="1962">
        <v>0</v>
      </c>
      <c r="I780" s="1962">
        <v>0</v>
      </c>
    </row>
    <row r="781" spans="1:9" hidden="1" outlineLevel="2" x14ac:dyDescent="0.2">
      <c r="A781" s="1980" t="s">
        <v>4386</v>
      </c>
      <c r="B781" s="1980" t="s">
        <v>4387</v>
      </c>
      <c r="C781" s="1980" t="s">
        <v>4493</v>
      </c>
      <c r="D781" s="1980" t="s">
        <v>4494</v>
      </c>
      <c r="E781" s="1980" t="s">
        <v>936</v>
      </c>
      <c r="F781" s="1962">
        <v>637.00941999999998</v>
      </c>
      <c r="G781" s="1962">
        <v>0</v>
      </c>
      <c r="H781" s="1962">
        <v>0</v>
      </c>
      <c r="I781" s="1962">
        <v>0</v>
      </c>
    </row>
    <row r="782" spans="1:9" hidden="1" outlineLevel="2" x14ac:dyDescent="0.2">
      <c r="A782" s="1980" t="s">
        <v>4386</v>
      </c>
      <c r="B782" s="1980" t="s">
        <v>4387</v>
      </c>
      <c r="C782" s="1980" t="s">
        <v>4495</v>
      </c>
      <c r="D782" s="1980" t="s">
        <v>4431</v>
      </c>
      <c r="E782" s="1980" t="s">
        <v>936</v>
      </c>
      <c r="F782" s="1962">
        <v>1305.0138400000001</v>
      </c>
      <c r="G782" s="1962">
        <v>0</v>
      </c>
      <c r="H782" s="1962">
        <v>0</v>
      </c>
      <c r="I782" s="1962">
        <v>0</v>
      </c>
    </row>
    <row r="783" spans="1:9" hidden="1" outlineLevel="2" x14ac:dyDescent="0.2">
      <c r="A783" s="1980" t="s">
        <v>4386</v>
      </c>
      <c r="B783" s="1980" t="s">
        <v>4387</v>
      </c>
      <c r="C783" s="1980" t="s">
        <v>4496</v>
      </c>
      <c r="D783" s="1980" t="s">
        <v>4497</v>
      </c>
      <c r="E783" s="1980" t="s">
        <v>936</v>
      </c>
      <c r="F783" s="1962">
        <v>23.137599999999999</v>
      </c>
      <c r="G783" s="1962">
        <v>0</v>
      </c>
      <c r="H783" s="1962">
        <v>0</v>
      </c>
      <c r="I783" s="1962">
        <v>0</v>
      </c>
    </row>
    <row r="784" spans="1:9" hidden="1" outlineLevel="2" x14ac:dyDescent="0.2">
      <c r="A784" s="1980" t="s">
        <v>4386</v>
      </c>
      <c r="B784" s="1980" t="s">
        <v>4387</v>
      </c>
      <c r="C784" s="1980" t="s">
        <v>4498</v>
      </c>
      <c r="D784" s="1980" t="s">
        <v>4499</v>
      </c>
      <c r="E784" s="1980" t="s">
        <v>936</v>
      </c>
      <c r="F784" s="1962">
        <v>142.68645000000001</v>
      </c>
      <c r="G784" s="1962">
        <v>0</v>
      </c>
      <c r="H784" s="1962">
        <v>0</v>
      </c>
      <c r="I784" s="1962">
        <v>0</v>
      </c>
    </row>
    <row r="785" spans="1:9" hidden="1" outlineLevel="2" x14ac:dyDescent="0.2">
      <c r="A785" s="1980" t="s">
        <v>4386</v>
      </c>
      <c r="B785" s="1980" t="s">
        <v>4387</v>
      </c>
      <c r="C785" s="1980" t="s">
        <v>4500</v>
      </c>
      <c r="D785" s="1980" t="s">
        <v>4501</v>
      </c>
      <c r="E785" s="1980" t="s">
        <v>936</v>
      </c>
      <c r="F785" s="1962">
        <v>37.325920000000004</v>
      </c>
      <c r="G785" s="1962">
        <v>0</v>
      </c>
      <c r="H785" s="1962">
        <v>0</v>
      </c>
      <c r="I785" s="1962">
        <v>0</v>
      </c>
    </row>
    <row r="786" spans="1:9" hidden="1" outlineLevel="2" x14ac:dyDescent="0.2">
      <c r="A786" s="1980" t="s">
        <v>4386</v>
      </c>
      <c r="B786" s="1980" t="s">
        <v>4387</v>
      </c>
      <c r="C786" s="1980" t="s">
        <v>4502</v>
      </c>
      <c r="D786" s="1980" t="s">
        <v>4503</v>
      </c>
      <c r="E786" s="1980" t="s">
        <v>936</v>
      </c>
      <c r="F786" s="1962">
        <v>425.00497000000001</v>
      </c>
      <c r="G786" s="1962">
        <v>0</v>
      </c>
      <c r="H786" s="1962">
        <v>0</v>
      </c>
      <c r="I786" s="1962">
        <v>0</v>
      </c>
    </row>
    <row r="787" spans="1:9" hidden="1" outlineLevel="2" x14ac:dyDescent="0.2">
      <c r="A787" s="1980" t="s">
        <v>4386</v>
      </c>
      <c r="B787" s="1980" t="s">
        <v>4387</v>
      </c>
      <c r="C787" s="1980" t="s">
        <v>4504</v>
      </c>
      <c r="D787" s="1980" t="s">
        <v>4505</v>
      </c>
      <c r="E787" s="1980" t="s">
        <v>936</v>
      </c>
      <c r="F787" s="1962">
        <v>126.28608</v>
      </c>
      <c r="G787" s="1962">
        <v>0</v>
      </c>
      <c r="H787" s="1962">
        <v>0</v>
      </c>
      <c r="I787" s="1962">
        <v>0</v>
      </c>
    </row>
    <row r="788" spans="1:9" hidden="1" outlineLevel="2" x14ac:dyDescent="0.2">
      <c r="A788" s="1980" t="s">
        <v>4386</v>
      </c>
      <c r="B788" s="1980" t="s">
        <v>4387</v>
      </c>
      <c r="C788" s="1980" t="s">
        <v>4506</v>
      </c>
      <c r="D788" s="1980" t="s">
        <v>4507</v>
      </c>
      <c r="E788" s="1980" t="s">
        <v>936</v>
      </c>
      <c r="F788" s="1962">
        <v>631.68134999999995</v>
      </c>
      <c r="G788" s="1962">
        <v>0</v>
      </c>
      <c r="H788" s="1962">
        <v>0</v>
      </c>
      <c r="I788" s="1962">
        <v>0</v>
      </c>
    </row>
    <row r="789" spans="1:9" hidden="1" outlineLevel="2" x14ac:dyDescent="0.2">
      <c r="A789" s="1980" t="s">
        <v>4386</v>
      </c>
      <c r="B789" s="1980" t="s">
        <v>4387</v>
      </c>
      <c r="C789" s="1980" t="s">
        <v>4508</v>
      </c>
      <c r="D789" s="1980" t="s">
        <v>4509</v>
      </c>
      <c r="E789" s="1980" t="s">
        <v>936</v>
      </c>
      <c r="F789" s="1962">
        <v>77.214200000000005</v>
      </c>
      <c r="G789" s="1962">
        <v>0</v>
      </c>
      <c r="H789" s="1962">
        <v>0</v>
      </c>
      <c r="I789" s="1962">
        <v>0</v>
      </c>
    </row>
    <row r="790" spans="1:9" hidden="1" outlineLevel="2" x14ac:dyDescent="0.2">
      <c r="A790" s="1980" t="s">
        <v>4386</v>
      </c>
      <c r="B790" s="1980" t="s">
        <v>4387</v>
      </c>
      <c r="C790" s="1980" t="s">
        <v>4510</v>
      </c>
      <c r="D790" s="1980" t="s">
        <v>4511</v>
      </c>
      <c r="E790" s="1980" t="s">
        <v>936</v>
      </c>
      <c r="F790" s="1962">
        <v>507.57371999999998</v>
      </c>
      <c r="G790" s="1962">
        <v>0</v>
      </c>
      <c r="H790" s="1962">
        <v>0</v>
      </c>
      <c r="I790" s="1962">
        <v>0</v>
      </c>
    </row>
    <row r="791" spans="1:9" hidden="1" outlineLevel="2" x14ac:dyDescent="0.2">
      <c r="A791" s="1980" t="s">
        <v>4386</v>
      </c>
      <c r="B791" s="1980" t="s">
        <v>4387</v>
      </c>
      <c r="C791" s="1980" t="s">
        <v>4512</v>
      </c>
      <c r="D791" s="1980" t="s">
        <v>4431</v>
      </c>
      <c r="E791" s="1980" t="s">
        <v>936</v>
      </c>
      <c r="F791" s="1962">
        <v>699.07396000000006</v>
      </c>
      <c r="G791" s="1962">
        <v>0</v>
      </c>
      <c r="H791" s="1962">
        <v>0</v>
      </c>
      <c r="I791" s="1962">
        <v>0</v>
      </c>
    </row>
    <row r="792" spans="1:9" hidden="1" outlineLevel="2" x14ac:dyDescent="0.2">
      <c r="A792" s="1980" t="s">
        <v>4386</v>
      </c>
      <c r="B792" s="1980" t="s">
        <v>4387</v>
      </c>
      <c r="C792" s="1980" t="s">
        <v>4513</v>
      </c>
      <c r="D792" s="1980" t="s">
        <v>4514</v>
      </c>
      <c r="E792" s="1980" t="s">
        <v>936</v>
      </c>
      <c r="F792" s="1962">
        <v>35.377119999999998</v>
      </c>
      <c r="G792" s="1962">
        <v>0</v>
      </c>
      <c r="H792" s="1962">
        <v>0</v>
      </c>
      <c r="I792" s="1962">
        <v>0</v>
      </c>
    </row>
    <row r="793" spans="1:9" hidden="1" outlineLevel="2" x14ac:dyDescent="0.2">
      <c r="A793" s="1980" t="s">
        <v>4386</v>
      </c>
      <c r="B793" s="1980" t="s">
        <v>4387</v>
      </c>
      <c r="C793" s="1980" t="s">
        <v>4515</v>
      </c>
      <c r="D793" s="1980" t="s">
        <v>4516</v>
      </c>
      <c r="E793" s="1980" t="s">
        <v>936</v>
      </c>
      <c r="F793" s="1962">
        <v>303.18799000000001</v>
      </c>
      <c r="G793" s="1962">
        <v>0</v>
      </c>
      <c r="H793" s="1962">
        <v>0</v>
      </c>
      <c r="I793" s="1962">
        <v>0</v>
      </c>
    </row>
    <row r="794" spans="1:9" hidden="1" outlineLevel="2" x14ac:dyDescent="0.2">
      <c r="A794" s="1980" t="s">
        <v>4386</v>
      </c>
      <c r="B794" s="1980" t="s">
        <v>4387</v>
      </c>
      <c r="C794" s="1980" t="s">
        <v>4517</v>
      </c>
      <c r="D794" s="1980" t="s">
        <v>4518</v>
      </c>
      <c r="E794" s="1980" t="s">
        <v>936</v>
      </c>
      <c r="F794" s="1962">
        <v>44.237549999999999</v>
      </c>
      <c r="G794" s="1962">
        <v>0</v>
      </c>
      <c r="H794" s="1962">
        <v>0</v>
      </c>
      <c r="I794" s="1962">
        <v>0</v>
      </c>
    </row>
    <row r="795" spans="1:9" hidden="1" outlineLevel="2" x14ac:dyDescent="0.2">
      <c r="A795" s="1980" t="s">
        <v>4386</v>
      </c>
      <c r="B795" s="1980" t="s">
        <v>4387</v>
      </c>
      <c r="C795" s="1980" t="s">
        <v>4519</v>
      </c>
      <c r="D795" s="1980" t="s">
        <v>4520</v>
      </c>
      <c r="E795" s="1980" t="s">
        <v>936</v>
      </c>
      <c r="F795" s="1962">
        <v>295.92408</v>
      </c>
      <c r="G795" s="1962">
        <v>0</v>
      </c>
      <c r="H795" s="1962">
        <v>0</v>
      </c>
      <c r="I795" s="1962">
        <v>0</v>
      </c>
    </row>
    <row r="796" spans="1:9" hidden="1" outlineLevel="2" x14ac:dyDescent="0.2">
      <c r="A796" s="1980" t="s">
        <v>4386</v>
      </c>
      <c r="B796" s="1980" t="s">
        <v>4387</v>
      </c>
      <c r="C796" s="1980" t="s">
        <v>4521</v>
      </c>
      <c r="D796" s="1980" t="s">
        <v>4522</v>
      </c>
      <c r="E796" s="1980" t="s">
        <v>936</v>
      </c>
      <c r="F796" s="1962">
        <v>115.49608000000001</v>
      </c>
      <c r="G796" s="1962">
        <v>0</v>
      </c>
      <c r="H796" s="1962">
        <v>0</v>
      </c>
      <c r="I796" s="1962">
        <v>0</v>
      </c>
    </row>
    <row r="797" spans="1:9" hidden="1" outlineLevel="2" x14ac:dyDescent="0.2">
      <c r="A797" s="1980" t="s">
        <v>4386</v>
      </c>
      <c r="B797" s="1980" t="s">
        <v>4387</v>
      </c>
      <c r="C797" s="1980" t="s">
        <v>4523</v>
      </c>
      <c r="D797" s="1980" t="s">
        <v>4524</v>
      </c>
      <c r="E797" s="1980" t="s">
        <v>936</v>
      </c>
      <c r="F797" s="1962">
        <v>705.67894000000001</v>
      </c>
      <c r="G797" s="1962">
        <v>0</v>
      </c>
      <c r="H797" s="1962">
        <v>0</v>
      </c>
      <c r="I797" s="1962">
        <v>0</v>
      </c>
    </row>
    <row r="798" spans="1:9" hidden="1" outlineLevel="2" x14ac:dyDescent="0.2">
      <c r="A798" s="1980" t="s">
        <v>4386</v>
      </c>
      <c r="B798" s="1980" t="s">
        <v>4387</v>
      </c>
      <c r="C798" s="1980" t="s">
        <v>4525</v>
      </c>
      <c r="D798" s="1980" t="s">
        <v>4526</v>
      </c>
      <c r="E798" s="1980" t="s">
        <v>936</v>
      </c>
      <c r="F798" s="1962">
        <v>225.87345999999999</v>
      </c>
      <c r="G798" s="1962">
        <v>0</v>
      </c>
      <c r="H798" s="1962">
        <v>0</v>
      </c>
      <c r="I798" s="1962">
        <v>0</v>
      </c>
    </row>
    <row r="799" spans="1:9" hidden="1" outlineLevel="2" x14ac:dyDescent="0.2">
      <c r="A799" s="1980" t="s">
        <v>4386</v>
      </c>
      <c r="B799" s="1980" t="s">
        <v>4387</v>
      </c>
      <c r="C799" s="1980" t="s">
        <v>4527</v>
      </c>
      <c r="D799" s="1980" t="s">
        <v>4528</v>
      </c>
      <c r="E799" s="1980" t="s">
        <v>936</v>
      </c>
      <c r="F799" s="1962">
        <v>846.70905000000005</v>
      </c>
      <c r="G799" s="1962">
        <v>0</v>
      </c>
      <c r="H799" s="1962">
        <v>0</v>
      </c>
      <c r="I799" s="1962">
        <v>0</v>
      </c>
    </row>
    <row r="800" spans="1:9" hidden="1" outlineLevel="2" x14ac:dyDescent="0.2">
      <c r="A800" s="1980" t="s">
        <v>4386</v>
      </c>
      <c r="B800" s="1980" t="s">
        <v>4387</v>
      </c>
      <c r="C800" s="1980" t="s">
        <v>4529</v>
      </c>
      <c r="D800" s="1980" t="s">
        <v>4431</v>
      </c>
      <c r="E800" s="1980" t="s">
        <v>936</v>
      </c>
      <c r="F800" s="1962">
        <v>789.23712999999998</v>
      </c>
      <c r="G800" s="1962">
        <v>0</v>
      </c>
      <c r="H800" s="1962">
        <v>0</v>
      </c>
      <c r="I800" s="1962">
        <v>0</v>
      </c>
    </row>
    <row r="801" spans="1:9" hidden="1" outlineLevel="2" x14ac:dyDescent="0.2">
      <c r="A801" s="1980" t="s">
        <v>4386</v>
      </c>
      <c r="B801" s="1980" t="s">
        <v>4387</v>
      </c>
      <c r="C801" s="1980" t="s">
        <v>4530</v>
      </c>
      <c r="D801" s="1980" t="s">
        <v>4531</v>
      </c>
      <c r="E801" s="1980" t="s">
        <v>936</v>
      </c>
      <c r="F801" s="1962">
        <v>8.1750000000000003E-2</v>
      </c>
      <c r="G801" s="1962">
        <v>0</v>
      </c>
      <c r="H801" s="1962">
        <v>0</v>
      </c>
      <c r="I801" s="1962">
        <v>0</v>
      </c>
    </row>
    <row r="802" spans="1:9" hidden="1" outlineLevel="2" x14ac:dyDescent="0.2">
      <c r="A802" s="1980" t="s">
        <v>4386</v>
      </c>
      <c r="B802" s="1980" t="s">
        <v>4387</v>
      </c>
      <c r="C802" s="1980" t="s">
        <v>4532</v>
      </c>
      <c r="D802" s="1980" t="s">
        <v>4533</v>
      </c>
      <c r="E802" s="1980" t="s">
        <v>936</v>
      </c>
      <c r="F802" s="1962">
        <v>7.4726400000000002</v>
      </c>
      <c r="G802" s="1962">
        <v>0</v>
      </c>
      <c r="H802" s="1962">
        <v>0</v>
      </c>
      <c r="I802" s="1962">
        <v>0</v>
      </c>
    </row>
    <row r="803" spans="1:9" hidden="1" outlineLevel="2" x14ac:dyDescent="0.2">
      <c r="A803" s="1980" t="s">
        <v>4386</v>
      </c>
      <c r="B803" s="1980" t="s">
        <v>4387</v>
      </c>
      <c r="C803" s="1980" t="s">
        <v>4534</v>
      </c>
      <c r="D803" s="1980" t="s">
        <v>4535</v>
      </c>
      <c r="E803" s="1980" t="s">
        <v>936</v>
      </c>
      <c r="F803" s="1962">
        <v>5.9971500000000004</v>
      </c>
      <c r="G803" s="1962">
        <v>0</v>
      </c>
      <c r="H803" s="1962">
        <v>0</v>
      </c>
      <c r="I803" s="1962">
        <v>0</v>
      </c>
    </row>
    <row r="804" spans="1:9" hidden="1" outlineLevel="2" x14ac:dyDescent="0.2">
      <c r="A804" s="1980" t="s">
        <v>4386</v>
      </c>
      <c r="B804" s="1980" t="s">
        <v>4387</v>
      </c>
      <c r="C804" s="1980" t="s">
        <v>4536</v>
      </c>
      <c r="D804" s="1980" t="s">
        <v>4537</v>
      </c>
      <c r="E804" s="1980" t="s">
        <v>936</v>
      </c>
      <c r="F804" s="1962">
        <v>20.56673</v>
      </c>
      <c r="G804" s="1962">
        <v>0</v>
      </c>
      <c r="H804" s="1962">
        <v>0</v>
      </c>
      <c r="I804" s="1962">
        <v>0</v>
      </c>
    </row>
    <row r="805" spans="1:9" hidden="1" outlineLevel="2" x14ac:dyDescent="0.2">
      <c r="A805" s="1980" t="s">
        <v>4386</v>
      </c>
      <c r="B805" s="1980" t="s">
        <v>4387</v>
      </c>
      <c r="C805" s="1980" t="s">
        <v>4538</v>
      </c>
      <c r="D805" s="1980" t="s">
        <v>4539</v>
      </c>
      <c r="E805" s="1980" t="s">
        <v>936</v>
      </c>
      <c r="F805" s="1962">
        <v>77.020679999999999</v>
      </c>
      <c r="G805" s="1962">
        <v>0</v>
      </c>
      <c r="H805" s="1962">
        <v>0</v>
      </c>
      <c r="I805" s="1962">
        <v>0</v>
      </c>
    </row>
    <row r="806" spans="1:9" hidden="1" outlineLevel="2" x14ac:dyDescent="0.2">
      <c r="A806" s="1980" t="s">
        <v>4386</v>
      </c>
      <c r="B806" s="1980" t="s">
        <v>4387</v>
      </c>
      <c r="C806" s="1980" t="s">
        <v>4540</v>
      </c>
      <c r="D806" s="1980" t="s">
        <v>4541</v>
      </c>
      <c r="E806" s="1980" t="s">
        <v>936</v>
      </c>
      <c r="F806" s="1962">
        <v>294.46746000000002</v>
      </c>
      <c r="G806" s="1962">
        <v>0</v>
      </c>
      <c r="H806" s="1962">
        <v>0</v>
      </c>
      <c r="I806" s="1962">
        <v>0</v>
      </c>
    </row>
    <row r="807" spans="1:9" hidden="1" outlineLevel="2" x14ac:dyDescent="0.2">
      <c r="A807" s="1980" t="s">
        <v>4386</v>
      </c>
      <c r="B807" s="1980" t="s">
        <v>4387</v>
      </c>
      <c r="C807" s="1980" t="s">
        <v>4542</v>
      </c>
      <c r="D807" s="1980" t="s">
        <v>4543</v>
      </c>
      <c r="E807" s="1980" t="s">
        <v>936</v>
      </c>
      <c r="F807" s="1962">
        <v>226.28635</v>
      </c>
      <c r="G807" s="1962">
        <v>0</v>
      </c>
      <c r="H807" s="1962">
        <v>0</v>
      </c>
      <c r="I807" s="1962">
        <v>0</v>
      </c>
    </row>
    <row r="808" spans="1:9" hidden="1" outlineLevel="2" x14ac:dyDescent="0.2">
      <c r="A808" s="1980" t="s">
        <v>4386</v>
      </c>
      <c r="B808" s="1980" t="s">
        <v>4387</v>
      </c>
      <c r="C808" s="1980" t="s">
        <v>4544</v>
      </c>
      <c r="D808" s="1980" t="s">
        <v>4545</v>
      </c>
      <c r="E808" s="1980" t="s">
        <v>936</v>
      </c>
      <c r="F808" s="1962">
        <v>115.10593</v>
      </c>
      <c r="G808" s="1962">
        <v>0</v>
      </c>
      <c r="H808" s="1962">
        <v>0</v>
      </c>
      <c r="I808" s="1962">
        <v>0</v>
      </c>
    </row>
    <row r="809" spans="1:9" hidden="1" outlineLevel="2" x14ac:dyDescent="0.2">
      <c r="A809" s="1980" t="s">
        <v>4386</v>
      </c>
      <c r="B809" s="1980" t="s">
        <v>4387</v>
      </c>
      <c r="C809" s="1980" t="s">
        <v>4546</v>
      </c>
      <c r="D809" s="1980" t="s">
        <v>4547</v>
      </c>
      <c r="E809" s="1980" t="s">
        <v>936</v>
      </c>
      <c r="F809" s="1962">
        <v>615.11851000000001</v>
      </c>
      <c r="G809" s="1962">
        <v>0</v>
      </c>
      <c r="H809" s="1962">
        <v>0</v>
      </c>
      <c r="I809" s="1962">
        <v>0</v>
      </c>
    </row>
    <row r="810" spans="1:9" hidden="1" outlineLevel="2" x14ac:dyDescent="0.2">
      <c r="A810" s="1980" t="s">
        <v>4386</v>
      </c>
      <c r="B810" s="1980" t="s">
        <v>4387</v>
      </c>
      <c r="C810" s="1980" t="s">
        <v>4548</v>
      </c>
      <c r="D810" s="1980" t="s">
        <v>4549</v>
      </c>
      <c r="E810" s="1980" t="s">
        <v>936</v>
      </c>
      <c r="F810" s="1962">
        <v>363.38632999999999</v>
      </c>
      <c r="G810" s="1962">
        <v>0</v>
      </c>
      <c r="H810" s="1962">
        <v>0</v>
      </c>
      <c r="I810" s="1962">
        <v>0</v>
      </c>
    </row>
    <row r="811" spans="1:9" hidden="1" outlineLevel="2" x14ac:dyDescent="0.2">
      <c r="A811" s="1980" t="s">
        <v>4386</v>
      </c>
      <c r="B811" s="1980" t="s">
        <v>4387</v>
      </c>
      <c r="C811" s="1980" t="s">
        <v>4550</v>
      </c>
      <c r="D811" s="1980" t="s">
        <v>4551</v>
      </c>
      <c r="E811" s="1980" t="s">
        <v>936</v>
      </c>
      <c r="F811" s="1962">
        <v>1221.7800500000001</v>
      </c>
      <c r="G811" s="1962">
        <v>0</v>
      </c>
      <c r="H811" s="1962">
        <v>0</v>
      </c>
      <c r="I811" s="1962">
        <v>0</v>
      </c>
    </row>
    <row r="812" spans="1:9" hidden="1" outlineLevel="2" x14ac:dyDescent="0.2">
      <c r="A812" s="1980" t="s">
        <v>4386</v>
      </c>
      <c r="B812" s="1980" t="s">
        <v>4387</v>
      </c>
      <c r="C812" s="1980" t="s">
        <v>4552</v>
      </c>
      <c r="D812" s="1980" t="s">
        <v>4431</v>
      </c>
      <c r="E812" s="1980" t="s">
        <v>936</v>
      </c>
      <c r="F812" s="1962">
        <v>843.82664999999997</v>
      </c>
      <c r="G812" s="1962">
        <v>0</v>
      </c>
      <c r="H812" s="1962">
        <v>0</v>
      </c>
      <c r="I812" s="1962">
        <v>0</v>
      </c>
    </row>
    <row r="813" spans="1:9" hidden="1" outlineLevel="2" x14ac:dyDescent="0.2">
      <c r="A813" s="1980" t="s">
        <v>4386</v>
      </c>
      <c r="B813" s="1980" t="s">
        <v>4387</v>
      </c>
      <c r="C813" s="1980" t="s">
        <v>4553</v>
      </c>
      <c r="D813" s="1980" t="s">
        <v>4554</v>
      </c>
      <c r="E813" s="1980" t="s">
        <v>936</v>
      </c>
      <c r="F813" s="1962">
        <v>57.58267</v>
      </c>
      <c r="G813" s="1962">
        <v>0</v>
      </c>
      <c r="H813" s="1962">
        <v>0</v>
      </c>
      <c r="I813" s="1962">
        <v>0</v>
      </c>
    </row>
    <row r="814" spans="1:9" hidden="1" outlineLevel="2" x14ac:dyDescent="0.2">
      <c r="A814" s="1980" t="s">
        <v>4386</v>
      </c>
      <c r="B814" s="1980" t="s">
        <v>4387</v>
      </c>
      <c r="C814" s="1980" t="s">
        <v>4555</v>
      </c>
      <c r="D814" s="1980" t="s">
        <v>4556</v>
      </c>
      <c r="E814" s="1980" t="s">
        <v>936</v>
      </c>
      <c r="F814" s="1962">
        <v>121.60559000000001</v>
      </c>
      <c r="G814" s="1962">
        <v>0</v>
      </c>
      <c r="H814" s="1962">
        <v>0</v>
      </c>
      <c r="I814" s="1962">
        <v>0</v>
      </c>
    </row>
    <row r="815" spans="1:9" hidden="1" outlineLevel="2" x14ac:dyDescent="0.2">
      <c r="A815" s="1980" t="s">
        <v>4386</v>
      </c>
      <c r="B815" s="1980" t="s">
        <v>4387</v>
      </c>
      <c r="C815" s="1980" t="s">
        <v>4557</v>
      </c>
      <c r="D815" s="1980" t="s">
        <v>4558</v>
      </c>
      <c r="E815" s="1980" t="s">
        <v>936</v>
      </c>
      <c r="F815" s="1962">
        <v>682.87081000000001</v>
      </c>
      <c r="G815" s="1962">
        <v>0</v>
      </c>
      <c r="H815" s="1962">
        <v>0</v>
      </c>
      <c r="I815" s="1962">
        <v>0</v>
      </c>
    </row>
    <row r="816" spans="1:9" hidden="1" outlineLevel="2" x14ac:dyDescent="0.2">
      <c r="A816" s="1980" t="s">
        <v>4386</v>
      </c>
      <c r="B816" s="1980" t="s">
        <v>4387</v>
      </c>
      <c r="C816" s="1980" t="s">
        <v>4559</v>
      </c>
      <c r="D816" s="1980" t="s">
        <v>4560</v>
      </c>
      <c r="E816" s="1980" t="s">
        <v>936</v>
      </c>
      <c r="F816" s="1962">
        <v>153.74046999999999</v>
      </c>
      <c r="G816" s="1962">
        <v>0</v>
      </c>
      <c r="H816" s="1962">
        <v>0</v>
      </c>
      <c r="I816" s="1962">
        <v>0</v>
      </c>
    </row>
    <row r="817" spans="1:9" hidden="1" outlineLevel="2" x14ac:dyDescent="0.2">
      <c r="A817" s="1980" t="s">
        <v>4386</v>
      </c>
      <c r="B817" s="1980" t="s">
        <v>4387</v>
      </c>
      <c r="C817" s="1980" t="s">
        <v>4561</v>
      </c>
      <c r="D817" s="1980" t="s">
        <v>4431</v>
      </c>
      <c r="E817" s="1980" t="s">
        <v>936</v>
      </c>
      <c r="F817" s="1962">
        <v>854.31682999999998</v>
      </c>
      <c r="G817" s="1962">
        <v>0</v>
      </c>
      <c r="H817" s="1962">
        <v>0</v>
      </c>
      <c r="I817" s="1962">
        <v>0</v>
      </c>
    </row>
    <row r="818" spans="1:9" hidden="1" outlineLevel="2" x14ac:dyDescent="0.2">
      <c r="A818" s="1980" t="s">
        <v>4386</v>
      </c>
      <c r="B818" s="1980" t="s">
        <v>4387</v>
      </c>
      <c r="C818" s="1980" t="s">
        <v>4562</v>
      </c>
      <c r="D818" s="1980" t="s">
        <v>4563</v>
      </c>
      <c r="E818" s="1980" t="s">
        <v>936</v>
      </c>
      <c r="F818" s="1962">
        <v>104.98147</v>
      </c>
      <c r="G818" s="1962">
        <v>0</v>
      </c>
      <c r="H818" s="1962">
        <v>0</v>
      </c>
      <c r="I818" s="1962">
        <v>0</v>
      </c>
    </row>
    <row r="819" spans="1:9" hidden="1" outlineLevel="2" x14ac:dyDescent="0.2">
      <c r="A819" s="1980" t="s">
        <v>4386</v>
      </c>
      <c r="B819" s="1980" t="s">
        <v>4387</v>
      </c>
      <c r="C819" s="1980" t="s">
        <v>4564</v>
      </c>
      <c r="D819" s="1980" t="s">
        <v>4565</v>
      </c>
      <c r="E819" s="1980" t="s">
        <v>936</v>
      </c>
      <c r="F819" s="1962">
        <v>267.80570999999998</v>
      </c>
      <c r="G819" s="1962">
        <v>0</v>
      </c>
      <c r="H819" s="1962">
        <v>0</v>
      </c>
      <c r="I819" s="1962">
        <v>0</v>
      </c>
    </row>
    <row r="820" spans="1:9" hidden="1" outlineLevel="2" x14ac:dyDescent="0.2">
      <c r="A820" s="1980" t="s">
        <v>4386</v>
      </c>
      <c r="B820" s="1980" t="s">
        <v>4387</v>
      </c>
      <c r="C820" s="1980" t="s">
        <v>4566</v>
      </c>
      <c r="D820" s="1980" t="s">
        <v>4567</v>
      </c>
      <c r="E820" s="1980" t="s">
        <v>936</v>
      </c>
      <c r="F820" s="1962">
        <v>449.08541000000002</v>
      </c>
      <c r="G820" s="1962">
        <v>0</v>
      </c>
      <c r="H820" s="1962">
        <v>0</v>
      </c>
      <c r="I820" s="1962">
        <v>0</v>
      </c>
    </row>
    <row r="821" spans="1:9" hidden="1" outlineLevel="2" x14ac:dyDescent="0.2">
      <c r="A821" s="1980" t="s">
        <v>4386</v>
      </c>
      <c r="B821" s="1980" t="s">
        <v>4387</v>
      </c>
      <c r="C821" s="1980" t="s">
        <v>4568</v>
      </c>
      <c r="D821" s="1980" t="s">
        <v>4569</v>
      </c>
      <c r="E821" s="1980" t="s">
        <v>936</v>
      </c>
      <c r="F821" s="1962">
        <v>297.81939999999997</v>
      </c>
      <c r="G821" s="1962">
        <v>0</v>
      </c>
      <c r="H821" s="1962">
        <v>0</v>
      </c>
      <c r="I821" s="1962">
        <v>0</v>
      </c>
    </row>
    <row r="822" spans="1:9" hidden="1" outlineLevel="2" x14ac:dyDescent="0.2">
      <c r="A822" s="1980" t="s">
        <v>4386</v>
      </c>
      <c r="B822" s="1980" t="s">
        <v>4387</v>
      </c>
      <c r="C822" s="1980" t="s">
        <v>4570</v>
      </c>
      <c r="D822" s="1980" t="s">
        <v>4571</v>
      </c>
      <c r="E822" s="1980" t="s">
        <v>936</v>
      </c>
      <c r="F822" s="1962">
        <v>121.88800000000001</v>
      </c>
      <c r="G822" s="1962">
        <v>0</v>
      </c>
      <c r="H822" s="1962">
        <v>0</v>
      </c>
      <c r="I822" s="1962">
        <v>0</v>
      </c>
    </row>
    <row r="823" spans="1:9" hidden="1" outlineLevel="2" x14ac:dyDescent="0.2">
      <c r="A823" s="1980" t="s">
        <v>4386</v>
      </c>
      <c r="B823" s="1980" t="s">
        <v>4387</v>
      </c>
      <c r="C823" s="1980" t="s">
        <v>4572</v>
      </c>
      <c r="D823" s="1980" t="s">
        <v>4573</v>
      </c>
      <c r="E823" s="1980" t="s">
        <v>936</v>
      </c>
      <c r="F823" s="1962">
        <v>2.0491999999999999</v>
      </c>
      <c r="G823" s="1962">
        <v>0</v>
      </c>
      <c r="H823" s="1962">
        <v>0</v>
      </c>
      <c r="I823" s="1962">
        <v>0</v>
      </c>
    </row>
    <row r="824" spans="1:9" hidden="1" outlineLevel="2" x14ac:dyDescent="0.2">
      <c r="A824" s="1980" t="s">
        <v>4386</v>
      </c>
      <c r="B824" s="1980" t="s">
        <v>4387</v>
      </c>
      <c r="C824" s="1980" t="s">
        <v>4574</v>
      </c>
      <c r="D824" s="1980" t="s">
        <v>4575</v>
      </c>
      <c r="E824" s="1980" t="s">
        <v>936</v>
      </c>
      <c r="F824" s="1962">
        <v>157.44874999999999</v>
      </c>
      <c r="G824" s="1962">
        <v>0</v>
      </c>
      <c r="H824" s="1962">
        <v>0</v>
      </c>
      <c r="I824" s="1962">
        <v>0</v>
      </c>
    </row>
    <row r="825" spans="1:9" hidden="1" outlineLevel="2" x14ac:dyDescent="0.2">
      <c r="A825" s="1980" t="s">
        <v>4386</v>
      </c>
      <c r="B825" s="1980" t="s">
        <v>4387</v>
      </c>
      <c r="C825" s="1980" t="s">
        <v>4576</v>
      </c>
      <c r="D825" s="1980" t="s">
        <v>4577</v>
      </c>
      <c r="E825" s="1980" t="s">
        <v>936</v>
      </c>
      <c r="F825" s="1962">
        <v>5.7079300000000002</v>
      </c>
      <c r="G825" s="1962">
        <v>0</v>
      </c>
      <c r="H825" s="1962">
        <v>0</v>
      </c>
      <c r="I825" s="1962">
        <v>0</v>
      </c>
    </row>
    <row r="826" spans="1:9" hidden="1" outlineLevel="2" x14ac:dyDescent="0.2">
      <c r="A826" s="1980" t="s">
        <v>4386</v>
      </c>
      <c r="B826" s="1980" t="s">
        <v>4387</v>
      </c>
      <c r="C826" s="1980" t="s">
        <v>4578</v>
      </c>
      <c r="D826" s="1980" t="s">
        <v>4431</v>
      </c>
      <c r="E826" s="1980" t="s">
        <v>936</v>
      </c>
      <c r="F826" s="1962">
        <v>848.10026000000005</v>
      </c>
      <c r="G826" s="1962">
        <v>0</v>
      </c>
      <c r="H826" s="1962">
        <v>0</v>
      </c>
      <c r="I826" s="1962">
        <v>0</v>
      </c>
    </row>
    <row r="827" spans="1:9" hidden="1" outlineLevel="2" x14ac:dyDescent="0.2">
      <c r="A827" s="1980" t="s">
        <v>4386</v>
      </c>
      <c r="B827" s="1980" t="s">
        <v>4387</v>
      </c>
      <c r="C827" s="1980" t="s">
        <v>4579</v>
      </c>
      <c r="D827" s="1980" t="s">
        <v>4580</v>
      </c>
      <c r="E827" s="1980" t="s">
        <v>936</v>
      </c>
      <c r="F827" s="1962">
        <v>62.730440000000002</v>
      </c>
      <c r="G827" s="1962">
        <v>0</v>
      </c>
      <c r="H827" s="1962">
        <v>0</v>
      </c>
      <c r="I827" s="1962">
        <v>0</v>
      </c>
    </row>
    <row r="828" spans="1:9" hidden="1" outlineLevel="2" x14ac:dyDescent="0.2">
      <c r="A828" s="1980" t="s">
        <v>4386</v>
      </c>
      <c r="B828" s="1980" t="s">
        <v>4387</v>
      </c>
      <c r="C828" s="1980" t="s">
        <v>4581</v>
      </c>
      <c r="D828" s="1980" t="s">
        <v>4582</v>
      </c>
      <c r="E828" s="1980" t="s">
        <v>936</v>
      </c>
      <c r="F828" s="1962">
        <v>79.587940000000003</v>
      </c>
      <c r="G828" s="1962">
        <v>0</v>
      </c>
      <c r="H828" s="1962">
        <v>0</v>
      </c>
      <c r="I828" s="1962">
        <v>0</v>
      </c>
    </row>
    <row r="829" spans="1:9" hidden="1" outlineLevel="2" x14ac:dyDescent="0.2">
      <c r="A829" s="1980" t="s">
        <v>4386</v>
      </c>
      <c r="B829" s="1980" t="s">
        <v>4387</v>
      </c>
      <c r="C829" s="1980" t="s">
        <v>4583</v>
      </c>
      <c r="D829" s="1980" t="s">
        <v>4584</v>
      </c>
      <c r="E829" s="1980" t="s">
        <v>936</v>
      </c>
      <c r="F829" s="1962">
        <v>236.3903</v>
      </c>
      <c r="G829" s="1962">
        <v>0</v>
      </c>
      <c r="H829" s="1962">
        <v>0</v>
      </c>
      <c r="I829" s="1962">
        <v>0</v>
      </c>
    </row>
    <row r="830" spans="1:9" hidden="1" outlineLevel="2" x14ac:dyDescent="0.2">
      <c r="A830" s="1980" t="s">
        <v>4386</v>
      </c>
      <c r="B830" s="1980" t="s">
        <v>4387</v>
      </c>
      <c r="C830" s="1980" t="s">
        <v>4585</v>
      </c>
      <c r="D830" s="1980" t="s">
        <v>4586</v>
      </c>
      <c r="E830" s="1980" t="s">
        <v>936</v>
      </c>
      <c r="F830" s="1962">
        <v>296.08478000000002</v>
      </c>
      <c r="G830" s="1962">
        <v>0</v>
      </c>
      <c r="H830" s="1962">
        <v>0</v>
      </c>
      <c r="I830" s="1962">
        <v>0</v>
      </c>
    </row>
    <row r="831" spans="1:9" hidden="1" outlineLevel="2" x14ac:dyDescent="0.2">
      <c r="A831" s="1980" t="s">
        <v>4386</v>
      </c>
      <c r="B831" s="1980" t="s">
        <v>4387</v>
      </c>
      <c r="C831" s="1980" t="s">
        <v>4587</v>
      </c>
      <c r="D831" s="1980" t="s">
        <v>4588</v>
      </c>
      <c r="E831" s="1980" t="s">
        <v>936</v>
      </c>
      <c r="F831" s="1962">
        <v>105.98939</v>
      </c>
      <c r="G831" s="1962">
        <v>0</v>
      </c>
      <c r="H831" s="1962">
        <v>0</v>
      </c>
      <c r="I831" s="1962">
        <v>0</v>
      </c>
    </row>
    <row r="832" spans="1:9" hidden="1" outlineLevel="2" x14ac:dyDescent="0.2">
      <c r="A832" s="1980" t="s">
        <v>4386</v>
      </c>
      <c r="B832" s="1980" t="s">
        <v>4387</v>
      </c>
      <c r="C832" s="1980" t="s">
        <v>4589</v>
      </c>
      <c r="D832" s="1980" t="s">
        <v>4431</v>
      </c>
      <c r="E832" s="1980" t="s">
        <v>936</v>
      </c>
      <c r="F832" s="1962">
        <v>450.07639999999998</v>
      </c>
      <c r="G832" s="1962">
        <v>0</v>
      </c>
      <c r="H832" s="1962">
        <v>0</v>
      </c>
      <c r="I832" s="1962">
        <v>0</v>
      </c>
    </row>
    <row r="833" spans="1:24" hidden="1" outlineLevel="2" x14ac:dyDescent="0.2">
      <c r="A833" s="1980" t="s">
        <v>4386</v>
      </c>
      <c r="B833" s="1980" t="s">
        <v>4387</v>
      </c>
      <c r="C833" s="1980" t="s">
        <v>4590</v>
      </c>
      <c r="D833" s="1980" t="s">
        <v>4591</v>
      </c>
      <c r="E833" s="1980" t="s">
        <v>936</v>
      </c>
      <c r="F833" s="1962">
        <v>80.058080000000004</v>
      </c>
      <c r="G833" s="1962">
        <v>0</v>
      </c>
      <c r="H833" s="1962">
        <v>0</v>
      </c>
      <c r="I833" s="1962">
        <v>0</v>
      </c>
    </row>
    <row r="834" spans="1:24" hidden="1" outlineLevel="2" x14ac:dyDescent="0.2">
      <c r="A834" s="1980" t="s">
        <v>4386</v>
      </c>
      <c r="B834" s="1980" t="s">
        <v>4387</v>
      </c>
      <c r="C834" s="1980" t="s">
        <v>4592</v>
      </c>
      <c r="D834" s="1980" t="s">
        <v>4593</v>
      </c>
      <c r="E834" s="1980" t="s">
        <v>936</v>
      </c>
      <c r="F834" s="1962">
        <v>244.62808000000001</v>
      </c>
      <c r="G834" s="1962">
        <v>0</v>
      </c>
      <c r="H834" s="1962">
        <v>0</v>
      </c>
      <c r="I834" s="1962">
        <v>0</v>
      </c>
    </row>
    <row r="835" spans="1:24" hidden="1" outlineLevel="2" x14ac:dyDescent="0.2">
      <c r="A835" s="1980" t="s">
        <v>4386</v>
      </c>
      <c r="B835" s="1980" t="s">
        <v>4387</v>
      </c>
      <c r="C835" s="1980" t="s">
        <v>4594</v>
      </c>
      <c r="D835" s="1980" t="s">
        <v>4595</v>
      </c>
      <c r="E835" s="1980" t="s">
        <v>936</v>
      </c>
      <c r="F835" s="1962">
        <v>13.798170000000001</v>
      </c>
      <c r="G835" s="1962">
        <v>0</v>
      </c>
      <c r="H835" s="1962">
        <v>0</v>
      </c>
      <c r="I835" s="1962">
        <v>0</v>
      </c>
    </row>
    <row r="836" spans="1:24" ht="13.5" outlineLevel="1" collapsed="1" thickBot="1" x14ac:dyDescent="0.25">
      <c r="A836" s="2274" t="s">
        <v>4596</v>
      </c>
      <c r="B836" s="2274"/>
      <c r="C836" s="2274"/>
      <c r="D836" s="2274"/>
      <c r="E836" s="2274"/>
      <c r="F836" s="2275">
        <f>SUBTOTAL(9,F728:F835)</f>
        <v>37937.266590000007</v>
      </c>
      <c r="G836" s="2275">
        <f t="shared" ref="G836:I836" si="15">SUBTOTAL(9,G728:G835)</f>
        <v>0</v>
      </c>
      <c r="H836" s="2275">
        <f t="shared" si="15"/>
        <v>0</v>
      </c>
      <c r="I836" s="2275">
        <f t="shared" si="15"/>
        <v>0</v>
      </c>
      <c r="J836" s="2278"/>
      <c r="K836" s="2278"/>
      <c r="L836" s="2289">
        <f>F836/$F$836</f>
        <v>1</v>
      </c>
      <c r="M836" s="2289">
        <f>G836/$F$836</f>
        <v>0</v>
      </c>
      <c r="N836" s="2289">
        <f>H836/$F$836</f>
        <v>0</v>
      </c>
      <c r="O836" s="2289">
        <f>I836/$F$836</f>
        <v>0</v>
      </c>
      <c r="P836" s="2289">
        <f t="shared" ref="P836" si="16">SUM(M836:O836)</f>
        <v>0</v>
      </c>
      <c r="Q836" s="2278"/>
      <c r="R836" s="2290" t="s">
        <v>394</v>
      </c>
      <c r="S836" s="2291">
        <f t="shared" ref="S836" si="17">IF(R836=0,0,F836)</f>
        <v>37937.266590000007</v>
      </c>
      <c r="T836" s="2291">
        <f>IF($R836="PTD",$S836*M$1016,IF($R836="PROD",$S836*M$1017,IF($R836="TRANS",$S836*M$1018,IF($R836="DIST",$S836*M$1019,IF($R836="LABOR",$S836*M$1020,IF($R836="TD",$S836*M$1021))))))</f>
        <v>37937.266590000007</v>
      </c>
      <c r="U836" s="2291">
        <f>IF($R836="PTD",$S836*N$1016,IF($R836="PROD",$S836*N$1017,IF($R836="TRANS",$S836*N$1018,IF($R836="DIST",$S836*N$1019,IF($R836="LABOR",$S836*N$1020,IF($R836="TD",$S836*N$1021))))))</f>
        <v>0</v>
      </c>
      <c r="V836" s="2291">
        <f>IF($R836="PTD",$S836*O$1016,IF($R836="PROD",$S836*O$1017,IF($R836="TRANS",$S836*O$1018,IF($R836="DIST",$S836*O$1019,IF($R836="LABOR",$S836*O$1020,IF($R836="TD",$S836*O$1021))))))</f>
        <v>0</v>
      </c>
      <c r="W836" s="2290" t="s">
        <v>90</v>
      </c>
    </row>
    <row r="837" spans="1:24" hidden="1" outlineLevel="2" x14ac:dyDescent="0.2">
      <c r="A837" s="1980" t="s">
        <v>4597</v>
      </c>
      <c r="B837" s="1980" t="s">
        <v>4598</v>
      </c>
      <c r="C837" s="1980" t="s">
        <v>4599</v>
      </c>
      <c r="D837" s="1980" t="s">
        <v>4600</v>
      </c>
      <c r="E837" s="1980" t="s">
        <v>936</v>
      </c>
      <c r="F837" s="1962">
        <v>3457.2049999999999</v>
      </c>
      <c r="G837" s="1962">
        <v>0</v>
      </c>
      <c r="H837" s="1962">
        <v>0</v>
      </c>
      <c r="I837" s="1962">
        <v>0</v>
      </c>
    </row>
    <row r="838" spans="1:24" hidden="1" outlineLevel="2" x14ac:dyDescent="0.2">
      <c r="A838" s="1980" t="s">
        <v>4597</v>
      </c>
      <c r="B838" s="1980" t="s">
        <v>4598</v>
      </c>
      <c r="C838" s="1980" t="s">
        <v>4601</v>
      </c>
      <c r="D838" s="1980" t="s">
        <v>4602</v>
      </c>
      <c r="E838" s="1980" t="s">
        <v>936</v>
      </c>
      <c r="F838" s="1962">
        <v>-679.53083000000004</v>
      </c>
      <c r="G838" s="1962">
        <v>0</v>
      </c>
      <c r="H838" s="1962">
        <v>0</v>
      </c>
      <c r="I838" s="1962">
        <v>0</v>
      </c>
    </row>
    <row r="839" spans="1:24" hidden="1" outlineLevel="2" x14ac:dyDescent="0.2">
      <c r="A839" s="1980" t="s">
        <v>4597</v>
      </c>
      <c r="B839" s="1980" t="s">
        <v>4598</v>
      </c>
      <c r="C839" s="1980" t="s">
        <v>4603</v>
      </c>
      <c r="D839" s="1980" t="s">
        <v>4598</v>
      </c>
      <c r="E839" s="1980" t="s">
        <v>936</v>
      </c>
      <c r="F839" s="1962">
        <v>163.02600000000001</v>
      </c>
      <c r="G839" s="1962">
        <v>0</v>
      </c>
      <c r="H839" s="1962">
        <v>0</v>
      </c>
      <c r="I839" s="1962">
        <v>0</v>
      </c>
    </row>
    <row r="840" spans="1:24" hidden="1" outlineLevel="2" x14ac:dyDescent="0.2">
      <c r="A840" s="1980" t="s">
        <v>4597</v>
      </c>
      <c r="B840" s="1980" t="s">
        <v>4598</v>
      </c>
      <c r="C840" s="1980" t="s">
        <v>4604</v>
      </c>
      <c r="D840" s="1980" t="s">
        <v>4605</v>
      </c>
      <c r="E840" s="1980" t="s">
        <v>936</v>
      </c>
      <c r="F840" s="1962">
        <v>-101.753</v>
      </c>
      <c r="G840" s="1962">
        <v>0</v>
      </c>
      <c r="H840" s="1962">
        <v>0</v>
      </c>
      <c r="I840" s="1962">
        <v>0</v>
      </c>
    </row>
    <row r="841" spans="1:24" hidden="1" outlineLevel="2" x14ac:dyDescent="0.2">
      <c r="A841" s="1982" t="s">
        <v>4597</v>
      </c>
      <c r="B841" s="1982" t="s">
        <v>4598</v>
      </c>
      <c r="C841" s="1982" t="s">
        <v>4606</v>
      </c>
      <c r="D841" s="1982" t="s">
        <v>4607</v>
      </c>
      <c r="E841" s="1982" t="s">
        <v>936</v>
      </c>
      <c r="F841" s="1968">
        <v>-33.746000000000002</v>
      </c>
      <c r="G841" s="1962">
        <v>0</v>
      </c>
      <c r="H841" s="1962">
        <v>0</v>
      </c>
      <c r="I841" s="1962">
        <v>0</v>
      </c>
    </row>
    <row r="842" spans="1:24" hidden="1" outlineLevel="2" x14ac:dyDescent="0.2">
      <c r="A842" s="1980" t="s">
        <v>4597</v>
      </c>
      <c r="B842" s="1980" t="s">
        <v>4598</v>
      </c>
      <c r="C842" s="1980" t="s">
        <v>4608</v>
      </c>
      <c r="D842" s="1980" t="s">
        <v>4609</v>
      </c>
      <c r="E842" s="1980" t="s">
        <v>936</v>
      </c>
      <c r="F842" s="1962">
        <v>-86.477000000000004</v>
      </c>
      <c r="G842" s="1962">
        <v>0</v>
      </c>
      <c r="H842" s="1962">
        <v>0</v>
      </c>
      <c r="I842" s="1962">
        <v>0</v>
      </c>
    </row>
    <row r="843" spans="1:24" ht="13.5" outlineLevel="1" collapsed="1" thickBot="1" x14ac:dyDescent="0.25">
      <c r="A843" s="2274" t="s">
        <v>4610</v>
      </c>
      <c r="B843" s="2274"/>
      <c r="C843" s="2274"/>
      <c r="D843" s="2274"/>
      <c r="E843" s="2274"/>
      <c r="F843" s="2275">
        <f>SUBTOTAL(9,F837:F842)</f>
        <v>2718.7241699999995</v>
      </c>
      <c r="G843" s="2275">
        <f t="shared" ref="G843:I843" si="18">SUBTOTAL(9,G837:G842)</f>
        <v>0</v>
      </c>
      <c r="H843" s="2275">
        <f t="shared" si="18"/>
        <v>0</v>
      </c>
      <c r="I843" s="2275">
        <f t="shared" si="18"/>
        <v>0</v>
      </c>
      <c r="J843" s="2278"/>
      <c r="K843" s="2278"/>
      <c r="L843" s="2289">
        <f>F843/$F$843</f>
        <v>1</v>
      </c>
      <c r="M843" s="2289">
        <f>G843/$F$843</f>
        <v>0</v>
      </c>
      <c r="N843" s="2289">
        <f>H843/$F$843</f>
        <v>0</v>
      </c>
      <c r="O843" s="2289">
        <f>I843/$F$843</f>
        <v>0</v>
      </c>
      <c r="P843" s="2289">
        <f t="shared" ref="P843" si="19">SUM(M843:O843)</f>
        <v>0</v>
      </c>
      <c r="Q843" s="2278"/>
      <c r="R843" s="2290" t="s">
        <v>394</v>
      </c>
      <c r="S843" s="2291">
        <f t="shared" ref="S843" si="20">IF(R843=0,0,F843)</f>
        <v>2718.7241699999995</v>
      </c>
      <c r="T843" s="2291">
        <f>IF($R843="PTD",$S843*M$1016,IF($R843="PROD",$S843*M$1017,IF($R843="TRANS",$S843*M$1018,IF($R843="DIST",$S843*M$1019,IF($R843="LABOR",$S843*M$1020,IF($R843="TD",$S843*M$1021))))))</f>
        <v>2718.7241699999995</v>
      </c>
      <c r="U843" s="2291">
        <f>IF($R843="PTD",$S843*N$1016,IF($R843="PROD",$S843*N$1017,IF($R843="TRANS",$S843*N$1018,IF($R843="DIST",$S843*N$1019,IF($R843="LABOR",$S843*N$1020,IF($R843="TD",$S843*N$1021))))))</f>
        <v>0</v>
      </c>
      <c r="V843" s="2291">
        <f>IF($R843="PTD",$S843*O$1016,IF($R843="PROD",$S843*O$1017,IF($R843="TRANS",$S843*O$1018,IF($R843="DIST",$S843*O$1019,IF($R843="LABOR",$S843*O$1020,IF($R843="TD",$S843*O$1021))))))</f>
        <v>0</v>
      </c>
      <c r="W843" s="2290" t="s">
        <v>90</v>
      </c>
    </row>
    <row r="844" spans="1:24" outlineLevel="2" x14ac:dyDescent="0.2">
      <c r="A844" s="1980" t="s">
        <v>4611</v>
      </c>
      <c r="B844" s="1980" t="s">
        <v>4612</v>
      </c>
      <c r="C844" s="1980" t="s">
        <v>4613</v>
      </c>
      <c r="D844" s="1980" t="s">
        <v>4614</v>
      </c>
      <c r="E844" s="1980" t="s">
        <v>906</v>
      </c>
      <c r="F844" s="1962">
        <v>482.85601000000003</v>
      </c>
      <c r="G844" s="1962">
        <v>124.75648616731924</v>
      </c>
      <c r="H844" s="1962">
        <v>34.481279808460279</v>
      </c>
      <c r="I844" s="1962">
        <v>28.494463228288666</v>
      </c>
      <c r="J844" s="2069" t="s">
        <v>5694</v>
      </c>
    </row>
    <row r="845" spans="1:24" outlineLevel="2" x14ac:dyDescent="0.2">
      <c r="A845" s="1980" t="s">
        <v>4611</v>
      </c>
      <c r="B845" s="1980" t="s">
        <v>4612</v>
      </c>
      <c r="C845" s="1980" t="s">
        <v>4615</v>
      </c>
      <c r="D845" s="1980" t="s">
        <v>4616</v>
      </c>
      <c r="E845" s="1980" t="s">
        <v>936</v>
      </c>
      <c r="F845" s="1962">
        <v>572.65418999999997</v>
      </c>
      <c r="G845" s="1962">
        <v>0</v>
      </c>
      <c r="H845" s="1962">
        <v>0</v>
      </c>
      <c r="I845" s="1962">
        <v>0</v>
      </c>
      <c r="J845" s="2069" t="s">
        <v>5694</v>
      </c>
    </row>
    <row r="846" spans="1:24" outlineLevel="2" x14ac:dyDescent="0.2">
      <c r="A846" s="2276" t="s">
        <v>4611</v>
      </c>
      <c r="B846" s="2276" t="s">
        <v>4612</v>
      </c>
      <c r="C846" s="2276" t="s">
        <v>4617</v>
      </c>
      <c r="D846" s="2276" t="s">
        <v>4618</v>
      </c>
      <c r="E846" s="2276" t="s">
        <v>936</v>
      </c>
      <c r="F846" s="2277">
        <v>1021.97682</v>
      </c>
      <c r="G846" s="2277">
        <v>0</v>
      </c>
      <c r="H846" s="2277">
        <v>0</v>
      </c>
      <c r="I846" s="2277">
        <v>0</v>
      </c>
      <c r="J846" s="2278"/>
      <c r="K846" s="2278"/>
      <c r="L846" s="2289">
        <f>F846/$F$846</f>
        <v>1</v>
      </c>
      <c r="M846" s="2289">
        <f>G846/$F$846</f>
        <v>0</v>
      </c>
      <c r="N846" s="2289">
        <f>H846/$F$846</f>
        <v>0</v>
      </c>
      <c r="O846" s="2289">
        <f>I846/$F$846</f>
        <v>0</v>
      </c>
      <c r="P846" s="2289">
        <f t="shared" ref="P846" si="21">SUM(M846:O846)</f>
        <v>0</v>
      </c>
      <c r="Q846" s="2278"/>
      <c r="R846" s="2290" t="s">
        <v>392</v>
      </c>
      <c r="S846" s="2291">
        <f t="shared" ref="S846" si="22">IF(R846=0,0,F846)</f>
        <v>1021.97682</v>
      </c>
      <c r="T846" s="2291">
        <f>IF($R846="PTD",$S846*M$1016,IF($R846="PROD",$S846*M$1017,IF($R846="TRANS",$S846*M$1018,IF($R846="DIST",$S846*M$1019,IF($R846="LABOR",$S846*M$1020,IF($R846="TD",$S846*M$1021))))))</f>
        <v>0</v>
      </c>
      <c r="U846" s="2291">
        <f>IF($R846="PTD",$S846*N$1016,IF($R846="PROD",$S846*N$1017,IF($R846="TRANS",$S846*N$1018,IF($R846="DIST",$S846*N$1019,IF($R846="LABOR",$S846*N$1020,IF($R846="TD",$S846*N$1021))))))</f>
        <v>0</v>
      </c>
      <c r="V846" s="2291">
        <f>IF($R846="PTD",$S846*O$1016,IF($R846="PROD",$S846*O$1017,IF($R846="TRANS",$S846*O$1018,IF($R846="DIST",$S846*O$1019,IF($R846="LABOR",$S846*O$1020,IF($R846="TD",$S846*O$1021))))))</f>
        <v>1021.97682</v>
      </c>
      <c r="W846" s="2290" t="s">
        <v>90</v>
      </c>
      <c r="X846" s="2201" t="s">
        <v>5587</v>
      </c>
    </row>
    <row r="847" spans="1:24" outlineLevel="2" x14ac:dyDescent="0.2">
      <c r="A847" s="1980" t="s">
        <v>4611</v>
      </c>
      <c r="B847" s="1980" t="s">
        <v>4612</v>
      </c>
      <c r="C847" s="1980" t="s">
        <v>4619</v>
      </c>
      <c r="D847" s="1980" t="s">
        <v>4620</v>
      </c>
      <c r="E847" s="1980" t="s">
        <v>936</v>
      </c>
      <c r="F847" s="1962">
        <v>6256.6529</v>
      </c>
      <c r="G847" s="1962">
        <v>0</v>
      </c>
      <c r="H847" s="1962">
        <v>0</v>
      </c>
      <c r="I847" s="1962">
        <v>0</v>
      </c>
      <c r="J847" s="2069" t="s">
        <v>5694</v>
      </c>
    </row>
    <row r="848" spans="1:24" outlineLevel="2" x14ac:dyDescent="0.2">
      <c r="A848" s="1982" t="s">
        <v>4611</v>
      </c>
      <c r="B848" s="1982" t="s">
        <v>4612</v>
      </c>
      <c r="C848" s="1982" t="s">
        <v>4621</v>
      </c>
      <c r="D848" s="1982" t="s">
        <v>4622</v>
      </c>
      <c r="E848" s="1982" t="s">
        <v>936</v>
      </c>
      <c r="F848" s="1968">
        <v>532677.76292000001</v>
      </c>
      <c r="G848" s="1962">
        <v>0</v>
      </c>
      <c r="H848" s="1962">
        <v>0</v>
      </c>
      <c r="I848" s="1962">
        <v>0</v>
      </c>
      <c r="J848" s="2069" t="s">
        <v>5694</v>
      </c>
    </row>
    <row r="849" spans="1:23" outlineLevel="2" x14ac:dyDescent="0.2">
      <c r="A849" s="1980" t="s">
        <v>4611</v>
      </c>
      <c r="B849" s="1980" t="s">
        <v>4612</v>
      </c>
      <c r="C849" s="1980" t="s">
        <v>4623</v>
      </c>
      <c r="D849" s="1980" t="s">
        <v>4624</v>
      </c>
      <c r="E849" s="1980" t="s">
        <v>936</v>
      </c>
      <c r="F849" s="1962">
        <v>2074.4807599999999</v>
      </c>
      <c r="G849" s="1962">
        <v>0</v>
      </c>
      <c r="H849" s="1962">
        <v>0</v>
      </c>
      <c r="I849" s="1962">
        <v>0</v>
      </c>
      <c r="J849" s="2069" t="s">
        <v>5694</v>
      </c>
    </row>
    <row r="850" spans="1:23" outlineLevel="2" x14ac:dyDescent="0.2">
      <c r="A850" s="1980" t="s">
        <v>4611</v>
      </c>
      <c r="B850" s="1980" t="s">
        <v>4612</v>
      </c>
      <c r="C850" s="1980" t="s">
        <v>4625</v>
      </c>
      <c r="D850" s="1980" t="s">
        <v>4626</v>
      </c>
      <c r="E850" s="1980" t="s">
        <v>936</v>
      </c>
      <c r="F850" s="1962">
        <v>3446.4906700000001</v>
      </c>
      <c r="G850" s="1962">
        <v>0</v>
      </c>
      <c r="H850" s="1962">
        <v>0</v>
      </c>
      <c r="I850" s="1962">
        <v>0</v>
      </c>
      <c r="J850" s="2069" t="s">
        <v>5694</v>
      </c>
    </row>
    <row r="851" spans="1:23" outlineLevel="2" x14ac:dyDescent="0.2">
      <c r="A851" s="1980" t="s">
        <v>4611</v>
      </c>
      <c r="B851" s="1980" t="s">
        <v>4612</v>
      </c>
      <c r="C851" s="1980" t="s">
        <v>4627</v>
      </c>
      <c r="D851" s="1980" t="s">
        <v>4628</v>
      </c>
      <c r="E851" s="1980" t="s">
        <v>936</v>
      </c>
      <c r="F851" s="1962">
        <v>51756.559220000003</v>
      </c>
      <c r="G851" s="1962">
        <v>0</v>
      </c>
      <c r="H851" s="1962">
        <v>0</v>
      </c>
      <c r="I851" s="1962">
        <v>0</v>
      </c>
      <c r="J851" s="2069" t="s">
        <v>5694</v>
      </c>
    </row>
    <row r="852" spans="1:23" outlineLevel="2" x14ac:dyDescent="0.2">
      <c r="A852" s="1980" t="s">
        <v>4611</v>
      </c>
      <c r="B852" s="1980" t="s">
        <v>4612</v>
      </c>
      <c r="C852" s="1980" t="s">
        <v>4629</v>
      </c>
      <c r="D852" s="1980" t="s">
        <v>4630</v>
      </c>
      <c r="E852" s="1980" t="s">
        <v>936</v>
      </c>
      <c r="F852" s="1962">
        <v>6425.3163500000001</v>
      </c>
      <c r="G852" s="1962">
        <v>0</v>
      </c>
      <c r="H852" s="1962">
        <v>0</v>
      </c>
      <c r="I852" s="1962">
        <v>0</v>
      </c>
      <c r="J852" s="2069" t="s">
        <v>5694</v>
      </c>
    </row>
    <row r="853" spans="1:23" outlineLevel="2" x14ac:dyDescent="0.2">
      <c r="A853" s="1980" t="s">
        <v>4611</v>
      </c>
      <c r="B853" s="1980" t="s">
        <v>4612</v>
      </c>
      <c r="C853" s="1980" t="s">
        <v>4631</v>
      </c>
      <c r="D853" s="1980" t="s">
        <v>4632</v>
      </c>
      <c r="E853" s="1980" t="s">
        <v>936</v>
      </c>
      <c r="F853" s="1962">
        <v>25930.213049999998</v>
      </c>
      <c r="G853" s="1962">
        <v>0</v>
      </c>
      <c r="H853" s="1962">
        <v>0</v>
      </c>
      <c r="I853" s="1962">
        <v>0</v>
      </c>
      <c r="J853" s="2069" t="s">
        <v>5694</v>
      </c>
    </row>
    <row r="854" spans="1:23" outlineLevel="2" x14ac:dyDescent="0.2">
      <c r="A854" s="1980" t="s">
        <v>4611</v>
      </c>
      <c r="B854" s="1980" t="s">
        <v>4612</v>
      </c>
      <c r="C854" s="1980" t="s">
        <v>4633</v>
      </c>
      <c r="D854" s="1980" t="s">
        <v>4634</v>
      </c>
      <c r="E854" s="1980" t="s">
        <v>936</v>
      </c>
      <c r="F854" s="1962">
        <v>595.19925000000001</v>
      </c>
      <c r="G854" s="1962">
        <v>0</v>
      </c>
      <c r="H854" s="1962">
        <v>0</v>
      </c>
      <c r="I854" s="1962">
        <v>0</v>
      </c>
      <c r="J854" s="2069" t="s">
        <v>5694</v>
      </c>
    </row>
    <row r="855" spans="1:23" outlineLevel="2" x14ac:dyDescent="0.2">
      <c r="A855" s="1980" t="s">
        <v>4611</v>
      </c>
      <c r="B855" s="1980" t="s">
        <v>4612</v>
      </c>
      <c r="C855" s="1980" t="s">
        <v>4635</v>
      </c>
      <c r="D855" s="1980" t="s">
        <v>4636</v>
      </c>
      <c r="E855" s="1980" t="s">
        <v>936</v>
      </c>
      <c r="F855" s="1962">
        <v>616.72168999999997</v>
      </c>
      <c r="G855" s="1962">
        <v>0</v>
      </c>
      <c r="H855" s="1962">
        <v>0</v>
      </c>
      <c r="I855" s="1962">
        <v>0</v>
      </c>
      <c r="J855" s="2077" t="s">
        <v>918</v>
      </c>
    </row>
    <row r="856" spans="1:23" outlineLevel="2" x14ac:dyDescent="0.2">
      <c r="A856" s="1980" t="s">
        <v>4611</v>
      </c>
      <c r="B856" s="1980" t="s">
        <v>4612</v>
      </c>
      <c r="C856" s="1980" t="s">
        <v>4637</v>
      </c>
      <c r="D856" s="1980" t="s">
        <v>4638</v>
      </c>
      <c r="E856" s="1980" t="s">
        <v>936</v>
      </c>
      <c r="F856" s="1962">
        <v>419.13</v>
      </c>
      <c r="G856" s="1962">
        <v>0</v>
      </c>
      <c r="H856" s="1962">
        <v>0</v>
      </c>
      <c r="I856" s="1962">
        <v>0</v>
      </c>
      <c r="J856" s="2069" t="s">
        <v>5694</v>
      </c>
    </row>
    <row r="857" spans="1:23" outlineLevel="2" x14ac:dyDescent="0.2">
      <c r="A857" s="1980" t="s">
        <v>4611</v>
      </c>
      <c r="B857" s="1980" t="s">
        <v>4612</v>
      </c>
      <c r="C857" s="1980" t="s">
        <v>4639</v>
      </c>
      <c r="D857" s="1980" t="s">
        <v>4640</v>
      </c>
      <c r="E857" s="1980" t="s">
        <v>936</v>
      </c>
      <c r="F857" s="1962">
        <v>-551.34496000000001</v>
      </c>
      <c r="G857" s="1962">
        <v>0</v>
      </c>
      <c r="H857" s="1962">
        <v>0</v>
      </c>
      <c r="I857" s="1962">
        <v>0</v>
      </c>
      <c r="J857" s="2069" t="s">
        <v>5694</v>
      </c>
    </row>
    <row r="858" spans="1:23" outlineLevel="2" x14ac:dyDescent="0.2">
      <c r="A858" s="1980" t="s">
        <v>4611</v>
      </c>
      <c r="B858" s="1980" t="s">
        <v>4612</v>
      </c>
      <c r="C858" s="1980" t="s">
        <v>4641</v>
      </c>
      <c r="D858" s="1980" t="s">
        <v>4642</v>
      </c>
      <c r="E858" s="1980" t="s">
        <v>936</v>
      </c>
      <c r="F858" s="1962">
        <v>-21.309229999999999</v>
      </c>
      <c r="G858" s="1962">
        <v>0</v>
      </c>
      <c r="H858" s="1962">
        <v>0</v>
      </c>
      <c r="I858" s="1962">
        <v>0</v>
      </c>
      <c r="J858" s="2069" t="s">
        <v>5694</v>
      </c>
    </row>
    <row r="859" spans="1:23" outlineLevel="2" x14ac:dyDescent="0.2">
      <c r="A859" s="1980" t="s">
        <v>4611</v>
      </c>
      <c r="B859" s="1980" t="s">
        <v>4612</v>
      </c>
      <c r="C859" s="1980" t="s">
        <v>4643</v>
      </c>
      <c r="D859" s="1980" t="s">
        <v>4644</v>
      </c>
      <c r="E859" s="1980" t="s">
        <v>936</v>
      </c>
      <c r="F859" s="1962">
        <v>384.64317</v>
      </c>
      <c r="G859" s="1962">
        <v>0</v>
      </c>
      <c r="H859" s="1962">
        <v>0</v>
      </c>
      <c r="I859" s="1962">
        <v>0</v>
      </c>
      <c r="J859" s="2069" t="s">
        <v>5694</v>
      </c>
    </row>
    <row r="860" spans="1:23" outlineLevel="2" x14ac:dyDescent="0.2">
      <c r="A860" s="1980" t="s">
        <v>4611</v>
      </c>
      <c r="B860" s="1980" t="s">
        <v>4612</v>
      </c>
      <c r="C860" s="1980" t="s">
        <v>4645</v>
      </c>
      <c r="D860" s="1980" t="s">
        <v>4646</v>
      </c>
      <c r="E860" s="1980" t="s">
        <v>906</v>
      </c>
      <c r="F860" s="1962">
        <v>-309.20594999999997</v>
      </c>
      <c r="G860" s="1962">
        <v>-79.890168135274521</v>
      </c>
      <c r="H860" s="1962">
        <v>-22.080737651770715</v>
      </c>
      <c r="I860" s="1962">
        <v>-18.246966776375139</v>
      </c>
      <c r="J860" s="2069" t="s">
        <v>5694</v>
      </c>
    </row>
    <row r="861" spans="1:23" outlineLevel="2" x14ac:dyDescent="0.2">
      <c r="A861" s="1980" t="s">
        <v>4611</v>
      </c>
      <c r="B861" s="1980" t="s">
        <v>4612</v>
      </c>
      <c r="C861" s="1980" t="s">
        <v>4647</v>
      </c>
      <c r="D861" s="1980" t="s">
        <v>4648</v>
      </c>
      <c r="E861" s="1980" t="s">
        <v>936</v>
      </c>
      <c r="F861" s="1962">
        <v>2242.3076299999998</v>
      </c>
      <c r="G861" s="1962">
        <v>0</v>
      </c>
      <c r="H861" s="1962">
        <v>0</v>
      </c>
      <c r="I861" s="1962">
        <v>0</v>
      </c>
      <c r="J861" s="2077" t="s">
        <v>918</v>
      </c>
    </row>
    <row r="862" spans="1:23" outlineLevel="2" x14ac:dyDescent="0.2">
      <c r="A862" s="1980" t="s">
        <v>4611</v>
      </c>
      <c r="B862" s="1980" t="s">
        <v>4612</v>
      </c>
      <c r="C862" s="1980" t="s">
        <v>4649</v>
      </c>
      <c r="D862" s="1980" t="s">
        <v>4650</v>
      </c>
      <c r="E862" s="1980" t="s">
        <v>936</v>
      </c>
      <c r="F862" s="1962">
        <v>-6256.6529</v>
      </c>
      <c r="G862" s="1962">
        <v>0</v>
      </c>
      <c r="H862" s="1962">
        <v>0</v>
      </c>
      <c r="I862" s="1962">
        <v>0</v>
      </c>
      <c r="J862" s="2069" t="s">
        <v>5694</v>
      </c>
    </row>
    <row r="863" spans="1:23" outlineLevel="2" x14ac:dyDescent="0.2">
      <c r="A863" s="1980" t="s">
        <v>4611</v>
      </c>
      <c r="B863" s="1980" t="s">
        <v>4612</v>
      </c>
      <c r="C863" s="1980" t="s">
        <v>4651</v>
      </c>
      <c r="D863" s="1980" t="s">
        <v>4652</v>
      </c>
      <c r="E863" s="1980" t="s">
        <v>936</v>
      </c>
      <c r="F863" s="1962">
        <v>4014.3452699999998</v>
      </c>
      <c r="G863" s="1962">
        <v>0</v>
      </c>
      <c r="H863" s="1962">
        <v>0</v>
      </c>
      <c r="I863" s="1962">
        <v>0</v>
      </c>
      <c r="J863" s="2077" t="s">
        <v>918</v>
      </c>
    </row>
    <row r="864" spans="1:23" outlineLevel="2" x14ac:dyDescent="0.2">
      <c r="A864" s="2280" t="s">
        <v>4611</v>
      </c>
      <c r="B864" s="2280" t="s">
        <v>4612</v>
      </c>
      <c r="C864" s="2280" t="s">
        <v>4653</v>
      </c>
      <c r="D864" s="2280" t="s">
        <v>4654</v>
      </c>
      <c r="E864" s="2280" t="s">
        <v>936</v>
      </c>
      <c r="F864" s="2281">
        <v>-151.72058999999999</v>
      </c>
      <c r="G864" s="2281">
        <v>0</v>
      </c>
      <c r="H864" s="2281">
        <v>0</v>
      </c>
      <c r="I864" s="2281">
        <v>0</v>
      </c>
      <c r="J864" s="2282"/>
      <c r="K864" s="2282"/>
      <c r="L864" s="2326">
        <f>F864/$F$864</f>
        <v>1</v>
      </c>
      <c r="M864" s="2326">
        <f>G864/$F$864</f>
        <v>0</v>
      </c>
      <c r="N864" s="2326">
        <f>H864/$F$864</f>
        <v>0</v>
      </c>
      <c r="O864" s="2326">
        <f>I864/$F$864</f>
        <v>0</v>
      </c>
      <c r="P864" s="2326">
        <f t="shared" ref="P864:P866" si="23">SUM(M864:O864)</f>
        <v>0</v>
      </c>
      <c r="Q864" s="2327" t="s">
        <v>912</v>
      </c>
      <c r="R864" s="2327" t="s">
        <v>99</v>
      </c>
      <c r="S864" s="2328">
        <f t="shared" ref="S864:S866" si="24">IF(R864=0,0,F864)</f>
        <v>-151.72058999999999</v>
      </c>
      <c r="T864" s="2328">
        <f>IF($R864="PTD",$S864*M$1016,IF($R864="PROD",$S864*M$1017,IF($R864="TRANS",$S864*M$1018,IF($R864="DIST",$S864*M$1019,IF($R864="LABOR",$S864*M$1020,IF($R864="TD",$S864*M$1021))))))</f>
        <v>-66.786818652443756</v>
      </c>
      <c r="U864" s="2328">
        <f>IF($R864="PTD",$S864*N$1016,IF($R864="PROD",$S864*N$1017,IF($R864="TRANS",$S864*N$1018,IF($R864="DIST",$S864*N$1019,IF($R864="LABOR",$S864*N$1020,IF($R864="TD",$S864*N$1021))))))</f>
        <v>0</v>
      </c>
      <c r="V864" s="2328">
        <f>IF($R864="PTD",$S864*O$1016,IF($R864="PROD",$S864*O$1017,IF($R864="TRANS",$S864*O$1018,IF($R864="DIST",$S864*O$1019,IF($R864="LABOR",$S864*O$1020,IF($R864="TD",$S864*O$1021))))))</f>
        <v>-84.933771347556217</v>
      </c>
      <c r="W864" s="2327" t="s">
        <v>90</v>
      </c>
    </row>
    <row r="865" spans="1:23" outlineLevel="2" x14ac:dyDescent="0.2">
      <c r="A865" s="2280" t="s">
        <v>4611</v>
      </c>
      <c r="B865" s="2280" t="s">
        <v>4612</v>
      </c>
      <c r="C865" s="2280" t="s">
        <v>4655</v>
      </c>
      <c r="D865" s="2280" t="s">
        <v>4656</v>
      </c>
      <c r="E865" s="2280" t="s">
        <v>936</v>
      </c>
      <c r="F865" s="2281">
        <v>0.26530999999999999</v>
      </c>
      <c r="G865" s="2281">
        <v>0</v>
      </c>
      <c r="H865" s="2281">
        <v>0</v>
      </c>
      <c r="I865" s="2281">
        <v>0</v>
      </c>
      <c r="J865" s="2282"/>
      <c r="K865" s="2282"/>
      <c r="L865" s="2326">
        <f>F865/$F$865</f>
        <v>1</v>
      </c>
      <c r="M865" s="2326">
        <f>G865/$F$865</f>
        <v>0</v>
      </c>
      <c r="N865" s="2326">
        <f>H865/$F$865</f>
        <v>0</v>
      </c>
      <c r="O865" s="2326">
        <f>I865/$F$865</f>
        <v>0</v>
      </c>
      <c r="P865" s="2326">
        <f t="shared" si="23"/>
        <v>0</v>
      </c>
      <c r="Q865" s="2327" t="s">
        <v>912</v>
      </c>
      <c r="R865" s="2327" t="s">
        <v>99</v>
      </c>
      <c r="S865" s="2328">
        <f t="shared" si="24"/>
        <v>0.26530999999999999</v>
      </c>
      <c r="T865" s="2328">
        <f t="shared" ref="T865:T866" si="25">IF($R865="PTD",$S865*M$1016,IF($R865="PROD",$S865*M$1017,IF($R865="TRANS",$S865*M$1018,IF($R865="DIST",$S865*M$1019,IF($R865="LABOR",$S865*M$1020,IF($R865="TD",$S865*M$1021))))))</f>
        <v>0.11678843891049891</v>
      </c>
      <c r="U865" s="2328">
        <f t="shared" ref="U865:U866" si="26">IF($R865="PTD",$S865*N$1016,IF($R865="PROD",$S865*N$1017,IF($R865="TRANS",$S865*N$1018,IF($R865="DIST",$S865*N$1019,IF($R865="LABOR",$S865*N$1020,IF($R865="TD",$S865*N$1021))))))</f>
        <v>0</v>
      </c>
      <c r="V865" s="2328">
        <f t="shared" ref="V865:V866" si="27">IF($R865="PTD",$S865*O$1016,IF($R865="PROD",$S865*O$1017,IF($R865="TRANS",$S865*O$1018,IF($R865="DIST",$S865*O$1019,IF($R865="LABOR",$S865*O$1020,IF($R865="TD",$S865*O$1021))))))</f>
        <v>0.14852156108950104</v>
      </c>
      <c r="W865" s="2327" t="s">
        <v>90</v>
      </c>
    </row>
    <row r="866" spans="1:23" outlineLevel="2" x14ac:dyDescent="0.2">
      <c r="A866" s="2280" t="s">
        <v>4611</v>
      </c>
      <c r="B866" s="2280" t="s">
        <v>4612</v>
      </c>
      <c r="C866" s="2280" t="s">
        <v>4657</v>
      </c>
      <c r="D866" s="2280" t="s">
        <v>4658</v>
      </c>
      <c r="E866" s="2280" t="s">
        <v>936</v>
      </c>
      <c r="F866" s="2281">
        <v>151.721</v>
      </c>
      <c r="G866" s="2281">
        <v>0</v>
      </c>
      <c r="H866" s="2281">
        <v>0</v>
      </c>
      <c r="I866" s="2281">
        <v>0</v>
      </c>
      <c r="J866" s="2282"/>
      <c r="K866" s="2282"/>
      <c r="L866" s="2326">
        <f>F866/$F$866</f>
        <v>1</v>
      </c>
      <c r="M866" s="2326">
        <f>G866/$F$866</f>
        <v>0</v>
      </c>
      <c r="N866" s="2326">
        <f>H866/$F$866</f>
        <v>0</v>
      </c>
      <c r="O866" s="2326">
        <f>I866/$F$866</f>
        <v>0</v>
      </c>
      <c r="P866" s="2326">
        <f t="shared" si="23"/>
        <v>0</v>
      </c>
      <c r="Q866" s="2327" t="s">
        <v>912</v>
      </c>
      <c r="R866" s="2327" t="s">
        <v>99</v>
      </c>
      <c r="S866" s="2328">
        <f t="shared" si="24"/>
        <v>151.721</v>
      </c>
      <c r="T866" s="2328">
        <f t="shared" si="25"/>
        <v>66.786999132862718</v>
      </c>
      <c r="U866" s="2328">
        <f t="shared" si="26"/>
        <v>0</v>
      </c>
      <c r="V866" s="2328">
        <f t="shared" si="27"/>
        <v>84.934000867137271</v>
      </c>
      <c r="W866" s="2327" t="s">
        <v>90</v>
      </c>
    </row>
    <row r="867" spans="1:23" outlineLevel="2" x14ac:dyDescent="0.2">
      <c r="A867" s="1980" t="s">
        <v>4611</v>
      </c>
      <c r="B867" s="1980" t="s">
        <v>4612</v>
      </c>
      <c r="C867" s="1980" t="s">
        <v>4659</v>
      </c>
      <c r="D867" s="1980" t="s">
        <v>4660</v>
      </c>
      <c r="E867" s="1980" t="s">
        <v>936</v>
      </c>
      <c r="F867" s="1962">
        <v>-3446.4906700000001</v>
      </c>
      <c r="G867" s="1962">
        <v>0</v>
      </c>
      <c r="H867" s="1962">
        <v>0</v>
      </c>
      <c r="I867" s="1962">
        <v>0</v>
      </c>
      <c r="J867" s="2069" t="s">
        <v>5694</v>
      </c>
    </row>
    <row r="868" spans="1:23" outlineLevel="2" x14ac:dyDescent="0.2">
      <c r="A868" s="1980" t="s">
        <v>4611</v>
      </c>
      <c r="B868" s="1980" t="s">
        <v>4612</v>
      </c>
      <c r="C868" s="1980" t="s">
        <v>4661</v>
      </c>
      <c r="D868" s="1980" t="s">
        <v>4662</v>
      </c>
      <c r="E868" s="1980" t="s">
        <v>936</v>
      </c>
      <c r="F868" s="1962">
        <v>23131.488120000002</v>
      </c>
      <c r="G868" s="1962">
        <v>0</v>
      </c>
      <c r="H868" s="1962">
        <v>0</v>
      </c>
      <c r="I868" s="1962">
        <v>0</v>
      </c>
      <c r="J868" s="2077" t="s">
        <v>918</v>
      </c>
    </row>
    <row r="869" spans="1:23" outlineLevel="2" x14ac:dyDescent="0.2">
      <c r="A869" s="1980" t="s">
        <v>4611</v>
      </c>
      <c r="B869" s="1980" t="s">
        <v>4612</v>
      </c>
      <c r="C869" s="1980" t="s">
        <v>4663</v>
      </c>
      <c r="D869" s="1980" t="s">
        <v>4664</v>
      </c>
      <c r="E869" s="1980" t="s">
        <v>936</v>
      </c>
      <c r="F869" s="1962">
        <v>-2357.39984</v>
      </c>
      <c r="G869" s="1962">
        <v>0</v>
      </c>
      <c r="H869" s="1962">
        <v>0</v>
      </c>
      <c r="I869" s="1962">
        <v>0</v>
      </c>
      <c r="J869" s="2077" t="s">
        <v>918</v>
      </c>
    </row>
    <row r="870" spans="1:23" outlineLevel="2" x14ac:dyDescent="0.2">
      <c r="A870" s="2280" t="s">
        <v>4611</v>
      </c>
      <c r="B870" s="2280" t="s">
        <v>4612</v>
      </c>
      <c r="C870" s="2280" t="s">
        <v>4665</v>
      </c>
      <c r="D870" s="2280" t="s">
        <v>4666</v>
      </c>
      <c r="E870" s="2280" t="s">
        <v>936</v>
      </c>
      <c r="F870" s="2281">
        <v>7356.4749000000002</v>
      </c>
      <c r="G870" s="2281">
        <v>0</v>
      </c>
      <c r="H870" s="2281">
        <v>0</v>
      </c>
      <c r="I870" s="2281">
        <v>0</v>
      </c>
      <c r="J870" s="2282"/>
      <c r="K870" s="2282"/>
      <c r="L870" s="2326">
        <f>F870/$F$870</f>
        <v>1</v>
      </c>
      <c r="M870" s="2326">
        <f>G870/$F$870</f>
        <v>0</v>
      </c>
      <c r="N870" s="2326">
        <f>H870/$F$870</f>
        <v>0</v>
      </c>
      <c r="O870" s="2326">
        <f>I870/$F$870</f>
        <v>0</v>
      </c>
      <c r="P870" s="2326">
        <f t="shared" ref="P870:P871" si="28">SUM(M870:O870)</f>
        <v>0</v>
      </c>
      <c r="Q870" s="2327" t="s">
        <v>912</v>
      </c>
      <c r="R870" s="2327" t="s">
        <v>99</v>
      </c>
      <c r="S870" s="2328">
        <f t="shared" ref="S870:S871" si="29">IF(R870=0,0,F870)</f>
        <v>7356.4749000000002</v>
      </c>
      <c r="T870" s="2328">
        <f t="shared" ref="T870:T871" si="30">IF($R870="PTD",$S870*M$1016,IF($R870="PROD",$S870*M$1017,IF($R870="TRANS",$S870*M$1018,IF($R870="DIST",$S870*M$1019,IF($R870="LABOR",$S870*M$1020,IF($R870="TD",$S870*M$1021))))))</f>
        <v>3238.2918829115702</v>
      </c>
      <c r="U870" s="2328">
        <f t="shared" ref="U870:U871" si="31">IF($R870="PTD",$S870*N$1016,IF($R870="PROD",$S870*N$1017,IF($R870="TRANS",$S870*N$1018,IF($R870="DIST",$S870*N$1019,IF($R870="LABOR",$S870*N$1020,IF($R870="TD",$S870*N$1021))))))</f>
        <v>0</v>
      </c>
      <c r="V870" s="2328">
        <f t="shared" ref="V870:V871" si="32">IF($R870="PTD",$S870*O$1016,IF($R870="PROD",$S870*O$1017,IF($R870="TRANS",$S870*O$1018,IF($R870="DIST",$S870*O$1019,IF($R870="LABOR",$S870*O$1020,IF($R870="TD",$S870*O$1021))))))</f>
        <v>4118.1830170884296</v>
      </c>
      <c r="W870" s="2327" t="s">
        <v>90</v>
      </c>
    </row>
    <row r="871" spans="1:23" outlineLevel="2" x14ac:dyDescent="0.2">
      <c r="A871" s="2280" t="s">
        <v>4611</v>
      </c>
      <c r="B871" s="2280" t="s">
        <v>4612</v>
      </c>
      <c r="C871" s="2280" t="s">
        <v>4667</v>
      </c>
      <c r="D871" s="2280" t="s">
        <v>4668</v>
      </c>
      <c r="E871" s="2280" t="s">
        <v>936</v>
      </c>
      <c r="F871" s="2281">
        <v>106.47186000000001</v>
      </c>
      <c r="G871" s="2281">
        <v>0</v>
      </c>
      <c r="H871" s="2281">
        <v>0</v>
      </c>
      <c r="I871" s="2281">
        <v>0</v>
      </c>
      <c r="J871" s="2282"/>
      <c r="K871" s="2282"/>
      <c r="L871" s="2326">
        <f>F871/$F$871</f>
        <v>1</v>
      </c>
      <c r="M871" s="2326">
        <f>G871/$F$871</f>
        <v>0</v>
      </c>
      <c r="N871" s="2326">
        <f>H871/$F$871</f>
        <v>0</v>
      </c>
      <c r="O871" s="2326">
        <f>I871/$F$871</f>
        <v>0</v>
      </c>
      <c r="P871" s="2326">
        <f t="shared" si="28"/>
        <v>0</v>
      </c>
      <c r="Q871" s="2327" t="s">
        <v>912</v>
      </c>
      <c r="R871" s="2327" t="s">
        <v>99</v>
      </c>
      <c r="S871" s="2328">
        <f t="shared" si="29"/>
        <v>106.47186000000001</v>
      </c>
      <c r="T871" s="2328">
        <f t="shared" si="30"/>
        <v>46.868502194780426</v>
      </c>
      <c r="U871" s="2328">
        <f t="shared" si="31"/>
        <v>0</v>
      </c>
      <c r="V871" s="2328">
        <f t="shared" si="32"/>
        <v>59.603357805219574</v>
      </c>
      <c r="W871" s="2327" t="s">
        <v>90</v>
      </c>
    </row>
    <row r="872" spans="1:23" outlineLevel="2" x14ac:dyDescent="0.2">
      <c r="A872" s="1980" t="s">
        <v>4611</v>
      </c>
      <c r="B872" s="1980" t="s">
        <v>4612</v>
      </c>
      <c r="C872" s="1980" t="s">
        <v>4669</v>
      </c>
      <c r="D872" s="1980" t="s">
        <v>4670</v>
      </c>
      <c r="E872" s="1980" t="s">
        <v>936</v>
      </c>
      <c r="F872" s="1962">
        <v>-227.95553000000001</v>
      </c>
      <c r="G872" s="1962">
        <v>0</v>
      </c>
      <c r="H872" s="1962">
        <v>0</v>
      </c>
      <c r="I872" s="1962">
        <v>0</v>
      </c>
      <c r="J872" s="2077" t="s">
        <v>918</v>
      </c>
    </row>
    <row r="873" spans="1:23" outlineLevel="2" x14ac:dyDescent="0.2">
      <c r="A873" s="1980" t="s">
        <v>4611</v>
      </c>
      <c r="B873" s="1980" t="s">
        <v>4612</v>
      </c>
      <c r="C873" s="1980" t="s">
        <v>4671</v>
      </c>
      <c r="D873" s="1980" t="s">
        <v>4672</v>
      </c>
      <c r="E873" s="1980" t="s">
        <v>936</v>
      </c>
      <c r="F873" s="1962">
        <v>-936.37782000000004</v>
      </c>
      <c r="G873" s="1962">
        <v>0</v>
      </c>
      <c r="H873" s="1962">
        <v>0</v>
      </c>
      <c r="I873" s="1962">
        <v>0</v>
      </c>
      <c r="J873" s="1953" t="s">
        <v>5693</v>
      </c>
    </row>
    <row r="874" spans="1:23" outlineLevel="2" x14ac:dyDescent="0.2">
      <c r="A874" s="2280" t="s">
        <v>4611</v>
      </c>
      <c r="B874" s="2280" t="s">
        <v>4612</v>
      </c>
      <c r="C874" s="2280" t="s">
        <v>4673</v>
      </c>
      <c r="D874" s="2280" t="s">
        <v>4674</v>
      </c>
      <c r="E874" s="2280" t="s">
        <v>936</v>
      </c>
      <c r="F874" s="2281">
        <v>63.039839999999998</v>
      </c>
      <c r="G874" s="2281">
        <v>0</v>
      </c>
      <c r="H874" s="2281">
        <v>0</v>
      </c>
      <c r="I874" s="2281">
        <v>0</v>
      </c>
      <c r="J874" s="2282"/>
      <c r="K874" s="2282"/>
      <c r="L874" s="2326">
        <f>F874/$F$874</f>
        <v>1</v>
      </c>
      <c r="M874" s="2326">
        <f>G874/$F$874</f>
        <v>0</v>
      </c>
      <c r="N874" s="2326">
        <f>H874/$F$874</f>
        <v>0</v>
      </c>
      <c r="O874" s="2326">
        <f>I874/$F$874</f>
        <v>0</v>
      </c>
      <c r="P874" s="2326">
        <f t="shared" ref="P874" si="33">SUM(M874:O874)</f>
        <v>0</v>
      </c>
      <c r="Q874" s="2327" t="s">
        <v>912</v>
      </c>
      <c r="R874" s="2327" t="s">
        <v>99</v>
      </c>
      <c r="S874" s="2328">
        <f t="shared" ref="S874" si="34">IF(R874=0,0,F874)</f>
        <v>63.039839999999998</v>
      </c>
      <c r="T874" s="2328">
        <f t="shared" ref="T874" si="35">IF($R874="PTD",$S874*M$1016,IF($R874="PROD",$S874*M$1017,IF($R874="TRANS",$S874*M$1018,IF($R874="DIST",$S874*M$1019,IF($R874="LABOR",$S874*M$1020,IF($R874="TD",$S874*M$1021))))))</f>
        <v>27.749894473512594</v>
      </c>
      <c r="U874" s="2328">
        <f t="shared" ref="U874" si="36">IF($R874="PTD",$S874*N$1016,IF($R874="PROD",$S874*N$1017,IF($R874="TRANS",$S874*N$1018,IF($R874="DIST",$S874*N$1019,IF($R874="LABOR",$S874*N$1020,IF($R874="TD",$S874*N$1021))))))</f>
        <v>0</v>
      </c>
      <c r="V874" s="2328">
        <f t="shared" ref="V874" si="37">IF($R874="PTD",$S874*O$1016,IF($R874="PROD",$S874*O$1017,IF($R874="TRANS",$S874*O$1018,IF($R874="DIST",$S874*O$1019,IF($R874="LABOR",$S874*O$1020,IF($R874="TD",$S874*O$1021))))))</f>
        <v>35.289945526487401</v>
      </c>
      <c r="W874" s="2327" t="s">
        <v>90</v>
      </c>
    </row>
    <row r="875" spans="1:23" outlineLevel="2" x14ac:dyDescent="0.2">
      <c r="A875" s="2286" t="s">
        <v>4611</v>
      </c>
      <c r="B875" s="2286" t="s">
        <v>4612</v>
      </c>
      <c r="C875" s="2286" t="s">
        <v>4675</v>
      </c>
      <c r="D875" s="2286" t="s">
        <v>4676</v>
      </c>
      <c r="E875" s="2286" t="s">
        <v>919</v>
      </c>
      <c r="F875" s="2287">
        <v>6970.1515099999997</v>
      </c>
      <c r="G875" s="2287">
        <v>0</v>
      </c>
      <c r="H875" s="2287">
        <v>0</v>
      </c>
      <c r="I875" s="2287">
        <v>6970.1515099999997</v>
      </c>
      <c r="J875" s="2288"/>
      <c r="K875" s="2288"/>
      <c r="L875" s="2329">
        <f>F875/$F875</f>
        <v>1</v>
      </c>
      <c r="M875" s="2329">
        <f>G875/$F875</f>
        <v>0</v>
      </c>
      <c r="N875" s="2329">
        <f>H875/$F875</f>
        <v>0</v>
      </c>
      <c r="O875" s="2329">
        <f>I875/$F875</f>
        <v>1</v>
      </c>
      <c r="P875" s="2329">
        <f t="shared" ref="P875" si="38">SUM(M875:O875)</f>
        <v>1</v>
      </c>
      <c r="Q875" s="2330" t="s">
        <v>5462</v>
      </c>
      <c r="R875" s="2330" t="s">
        <v>99</v>
      </c>
      <c r="S875" s="2331">
        <f t="shared" ref="S875" si="39">IF(R875=0,0,F875)</f>
        <v>6970.1515099999997</v>
      </c>
      <c r="T875" s="2331">
        <f t="shared" ref="T875" si="40">IF($R875="PTD",$S875*M$1016,IF($R875="PROD",$S875*M$1017,IF($R875="TRANS",$S875*M$1018,IF($R875="DIST",$S875*M$1019,IF($R875="LABOR",$S875*M$1020,IF($R875="TD",$S875*M$1021))))))</f>
        <v>3068.2338163753975</v>
      </c>
      <c r="U875" s="2331">
        <f t="shared" ref="U875" si="41">IF($R875="PTD",$S875*N$1016,IF($R875="PROD",$S875*N$1017,IF($R875="TRANS",$S875*N$1018,IF($R875="DIST",$S875*N$1019,IF($R875="LABOR",$S875*N$1020,IF($R875="TD",$S875*N$1021))))))</f>
        <v>0</v>
      </c>
      <c r="V875" s="2331">
        <f t="shared" ref="V875" si="42">IF($R875="PTD",$S875*O$1016,IF($R875="PROD",$S875*O$1017,IF($R875="TRANS",$S875*O$1018,IF($R875="DIST",$S875*O$1019,IF($R875="LABOR",$S875*O$1020,IF($R875="TD",$S875*O$1021))))))</f>
        <v>3901.9176936246013</v>
      </c>
      <c r="W875" s="2330" t="s">
        <v>90</v>
      </c>
    </row>
    <row r="876" spans="1:23" outlineLevel="2" x14ac:dyDescent="0.2">
      <c r="A876" s="1980" t="s">
        <v>4611</v>
      </c>
      <c r="B876" s="1980" t="s">
        <v>4612</v>
      </c>
      <c r="C876" s="1980" t="s">
        <v>4677</v>
      </c>
      <c r="D876" s="1980" t="s">
        <v>4678</v>
      </c>
      <c r="E876" s="1980" t="s">
        <v>920</v>
      </c>
      <c r="F876" s="1962">
        <v>960.32412999999997</v>
      </c>
      <c r="G876" s="1962">
        <v>0</v>
      </c>
      <c r="H876" s="1962">
        <v>0</v>
      </c>
      <c r="I876" s="1962">
        <v>0</v>
      </c>
      <c r="J876" s="1953" t="s">
        <v>920</v>
      </c>
    </row>
    <row r="877" spans="1:23" outlineLevel="2" x14ac:dyDescent="0.2">
      <c r="A877" s="1980" t="s">
        <v>4611</v>
      </c>
      <c r="B877" s="1980" t="s">
        <v>4612</v>
      </c>
      <c r="C877" s="1980" t="s">
        <v>4679</v>
      </c>
      <c r="D877" s="1980" t="s">
        <v>4680</v>
      </c>
      <c r="E877" s="1980" t="s">
        <v>922</v>
      </c>
      <c r="F877" s="1962">
        <v>3316.43237</v>
      </c>
      <c r="G877" s="1962">
        <v>0</v>
      </c>
      <c r="H877" s="1962">
        <v>0</v>
      </c>
      <c r="I877" s="1962">
        <v>0</v>
      </c>
      <c r="J877" s="1953" t="s">
        <v>5693</v>
      </c>
    </row>
    <row r="878" spans="1:23" outlineLevel="2" x14ac:dyDescent="0.2">
      <c r="A878" s="1980" t="s">
        <v>4611</v>
      </c>
      <c r="B878" s="1980" t="s">
        <v>4612</v>
      </c>
      <c r="C878" s="1980" t="s">
        <v>4681</v>
      </c>
      <c r="D878" s="1980" t="s">
        <v>4682</v>
      </c>
      <c r="E878" s="1980" t="s">
        <v>920</v>
      </c>
      <c r="F878" s="1962">
        <v>14821.68087</v>
      </c>
      <c r="G878" s="1962">
        <v>0</v>
      </c>
      <c r="H878" s="1962">
        <v>0</v>
      </c>
      <c r="I878" s="1962">
        <v>0</v>
      </c>
      <c r="J878" s="1953" t="s">
        <v>920</v>
      </c>
    </row>
    <row r="879" spans="1:23" outlineLevel="2" x14ac:dyDescent="0.2">
      <c r="A879" s="1980" t="s">
        <v>4611</v>
      </c>
      <c r="B879" s="1980" t="s">
        <v>4612</v>
      </c>
      <c r="C879" s="1980" t="s">
        <v>4683</v>
      </c>
      <c r="D879" s="1980" t="s">
        <v>4684</v>
      </c>
      <c r="E879" s="1980" t="s">
        <v>918</v>
      </c>
      <c r="F879" s="1962">
        <v>-52.047510000000003</v>
      </c>
      <c r="G879" s="1962">
        <v>0</v>
      </c>
      <c r="H879" s="1962">
        <v>0</v>
      </c>
      <c r="I879" s="1962">
        <v>0</v>
      </c>
      <c r="J879" s="1953" t="s">
        <v>918</v>
      </c>
    </row>
    <row r="880" spans="1:23" outlineLevel="2" x14ac:dyDescent="0.2">
      <c r="A880" s="2286" t="s">
        <v>4611</v>
      </c>
      <c r="B880" s="2286" t="s">
        <v>4612</v>
      </c>
      <c r="C880" s="2286" t="s">
        <v>4683</v>
      </c>
      <c r="D880" s="2286" t="s">
        <v>4684</v>
      </c>
      <c r="E880" s="2286" t="s">
        <v>919</v>
      </c>
      <c r="F880" s="2287">
        <v>-131.55624</v>
      </c>
      <c r="G880" s="2287">
        <v>0</v>
      </c>
      <c r="H880" s="2287">
        <v>0</v>
      </c>
      <c r="I880" s="2287">
        <v>-131.55624</v>
      </c>
      <c r="J880" s="2288"/>
      <c r="K880" s="2288"/>
      <c r="L880" s="2329">
        <f>F880/$F$880</f>
        <v>1</v>
      </c>
      <c r="M880" s="2329">
        <f>G880/$F$880</f>
        <v>0</v>
      </c>
      <c r="N880" s="2329">
        <f>H880/$F$880</f>
        <v>0</v>
      </c>
      <c r="O880" s="2329">
        <f>I880/$F$880</f>
        <v>1</v>
      </c>
      <c r="P880" s="2329">
        <f t="shared" ref="P880:P882" si="43">SUM(M880:O880)</f>
        <v>1</v>
      </c>
      <c r="Q880" s="2330" t="s">
        <v>5462</v>
      </c>
      <c r="R880" s="2330" t="s">
        <v>394</v>
      </c>
      <c r="S880" s="2331">
        <f t="shared" ref="S880:S882" si="44">IF(R880=0,0,F880)</f>
        <v>-131.55624</v>
      </c>
      <c r="T880" s="2331">
        <f t="shared" ref="T880:T881" si="45">IF($R880="PTD",$S880*M$1016,IF($R880="PROD",$S880*M$1017,IF($R880="TRANS",$S880*M$1018,IF($R880="DIST",$S880*M$1019,IF($R880="LABOR",$S880*M$1020,IF($R880="TD",$S880*M$1021))))))</f>
        <v>-131.55624</v>
      </c>
      <c r="U880" s="2331">
        <f t="shared" ref="U880:U881" si="46">IF($R880="PTD",$S880*N$1016,IF($R880="PROD",$S880*N$1017,IF($R880="TRANS",$S880*N$1018,IF($R880="DIST",$S880*N$1019,IF($R880="LABOR",$S880*N$1020,IF($R880="TD",$S880*N$1021))))))</f>
        <v>0</v>
      </c>
      <c r="V880" s="2331">
        <f t="shared" ref="V880:V881" si="47">IF($R880="PTD",$S880*O$1016,IF($R880="PROD",$S880*O$1017,IF($R880="TRANS",$S880*O$1018,IF($R880="DIST",$S880*O$1019,IF($R880="LABOR",$S880*O$1020,IF($R880="TD",$S880*O$1021))))))</f>
        <v>0</v>
      </c>
      <c r="W880" s="2330" t="s">
        <v>90</v>
      </c>
    </row>
    <row r="881" spans="1:24" outlineLevel="2" x14ac:dyDescent="0.2">
      <c r="A881" s="2280" t="s">
        <v>4611</v>
      </c>
      <c r="B881" s="2280" t="s">
        <v>4612</v>
      </c>
      <c r="C881" s="2280" t="s">
        <v>4683</v>
      </c>
      <c r="D881" s="2280" t="s">
        <v>4684</v>
      </c>
      <c r="E881" s="2280" t="s">
        <v>912</v>
      </c>
      <c r="F881" s="2281">
        <v>-538.46100000000001</v>
      </c>
      <c r="G881" s="2281">
        <v>-538.46100000000001</v>
      </c>
      <c r="H881" s="2281">
        <v>0</v>
      </c>
      <c r="I881" s="2281">
        <v>0</v>
      </c>
      <c r="J881" s="2282"/>
      <c r="K881" s="2282"/>
      <c r="L881" s="2326">
        <f>F881/$F$881</f>
        <v>1</v>
      </c>
      <c r="M881" s="2326">
        <f>G881/$F$881</f>
        <v>1</v>
      </c>
      <c r="N881" s="2326">
        <f>H881/$F$881</f>
        <v>0</v>
      </c>
      <c r="O881" s="2326">
        <f>I881/$F$881</f>
        <v>0</v>
      </c>
      <c r="P881" s="2326">
        <f t="shared" si="43"/>
        <v>1</v>
      </c>
      <c r="Q881" s="2327" t="s">
        <v>912</v>
      </c>
      <c r="R881" s="2327" t="s">
        <v>394</v>
      </c>
      <c r="S881" s="2328">
        <f t="shared" si="44"/>
        <v>-538.46100000000001</v>
      </c>
      <c r="T881" s="2328">
        <f t="shared" si="45"/>
        <v>-538.46100000000001</v>
      </c>
      <c r="U881" s="2328">
        <f t="shared" si="46"/>
        <v>0</v>
      </c>
      <c r="V881" s="2328">
        <f t="shared" si="47"/>
        <v>0</v>
      </c>
      <c r="W881" s="2327" t="s">
        <v>90</v>
      </c>
    </row>
    <row r="882" spans="1:24" outlineLevel="2" x14ac:dyDescent="0.2">
      <c r="A882" s="2276" t="s">
        <v>4611</v>
      </c>
      <c r="B882" s="2276" t="s">
        <v>4612</v>
      </c>
      <c r="C882" s="2276" t="s">
        <v>4683</v>
      </c>
      <c r="D882" s="2276" t="s">
        <v>4684</v>
      </c>
      <c r="E882" s="2276" t="s">
        <v>1083</v>
      </c>
      <c r="F882" s="2277">
        <v>3446.3052600000001</v>
      </c>
      <c r="G882" s="2277">
        <v>933.73823807495501</v>
      </c>
      <c r="H882" s="2277">
        <v>262.53639499856962</v>
      </c>
      <c r="I882" s="2277">
        <v>186.57042690197113</v>
      </c>
      <c r="J882" s="2278"/>
      <c r="K882" s="2278"/>
      <c r="L882" s="2289">
        <f>F882/$F$882</f>
        <v>1</v>
      </c>
      <c r="M882" s="2289">
        <f>G882/$F$882</f>
        <v>0.27093892375481415</v>
      </c>
      <c r="N882" s="2289">
        <f>H882/$F$882</f>
        <v>7.6179088963979236E-2</v>
      </c>
      <c r="O882" s="2289">
        <f>I882/$F$882</f>
        <v>5.4136361357023585E-2</v>
      </c>
      <c r="P882" s="2289">
        <f t="shared" si="43"/>
        <v>0.40125437407581699</v>
      </c>
      <c r="Q882" s="2278"/>
      <c r="R882" s="2290" t="s">
        <v>394</v>
      </c>
      <c r="S882" s="2291">
        <f t="shared" si="44"/>
        <v>3446.3052600000001</v>
      </c>
      <c r="T882" s="2291">
        <f>IF($R882="PTD",$S882*M$1016,IF($R882="PROD",$S882*M$1017,IF($R882="TRANS",$S882*M$1018,IF($R882="DIST",$S882*M$1019,IF($R882="LABOR",$S882*M$1020,IF($R882="TD",$S882*M$1021))))))</f>
        <v>3446.3052600000001</v>
      </c>
      <c r="U882" s="2291">
        <f>IF($R882="PTD",$S882*N$1016,IF($R882="PROD",$S882*N$1017,IF($R882="TRANS",$S882*N$1018,IF($R882="DIST",$S882*N$1019,IF($R882="LABOR",$S882*N$1020,IF($R882="TD",$S882*N$1021))))))</f>
        <v>0</v>
      </c>
      <c r="V882" s="2291">
        <f>IF($R882="PTD",$S882*O$1016,IF($R882="PROD",$S882*O$1017,IF($R882="TRANS",$S882*O$1018,IF($R882="DIST",$S882*O$1019,IF($R882="LABOR",$S882*O$1020,IF($R882="TD",$S882*O$1021))))))</f>
        <v>0</v>
      </c>
      <c r="W882" s="2290" t="s">
        <v>90</v>
      </c>
    </row>
    <row r="883" spans="1:24" outlineLevel="2" x14ac:dyDescent="0.2">
      <c r="A883" s="1980" t="s">
        <v>4611</v>
      </c>
      <c r="B883" s="1980" t="s">
        <v>4612</v>
      </c>
      <c r="C883" s="1980" t="s">
        <v>4683</v>
      </c>
      <c r="D883" s="1980" t="s">
        <v>4684</v>
      </c>
      <c r="E883" s="1980" t="s">
        <v>920</v>
      </c>
      <c r="F883" s="1962">
        <v>-1517.31107</v>
      </c>
      <c r="G883" s="1962">
        <v>0</v>
      </c>
      <c r="H883" s="1962">
        <v>0</v>
      </c>
      <c r="I883" s="1962">
        <v>0</v>
      </c>
      <c r="J883" s="1953" t="s">
        <v>920</v>
      </c>
    </row>
    <row r="884" spans="1:24" outlineLevel="2" x14ac:dyDescent="0.2">
      <c r="A884" s="2283" t="s">
        <v>4611</v>
      </c>
      <c r="B884" s="2283" t="s">
        <v>4612</v>
      </c>
      <c r="C884" s="2283" t="s">
        <v>4683</v>
      </c>
      <c r="D884" s="2283" t="s">
        <v>4684</v>
      </c>
      <c r="E884" s="2283" t="s">
        <v>921</v>
      </c>
      <c r="F884" s="2284">
        <v>-277.79826000000003</v>
      </c>
      <c r="G884" s="2284">
        <v>0</v>
      </c>
      <c r="H884" s="2284">
        <v>-277.79826000000003</v>
      </c>
      <c r="I884" s="2284">
        <v>0</v>
      </c>
      <c r="J884" s="2285"/>
      <c r="K884" s="2285"/>
      <c r="L884" s="2332">
        <f>F884/$F$884</f>
        <v>1</v>
      </c>
      <c r="M884" s="2332">
        <f>G884/$F$884</f>
        <v>0</v>
      </c>
      <c r="N884" s="2332">
        <f>H884/$F$884</f>
        <v>1</v>
      </c>
      <c r="O884" s="2332">
        <f>I884/$F$884</f>
        <v>0</v>
      </c>
      <c r="P884" s="2332">
        <f t="shared" ref="P884" si="48">SUM(M884:O884)</f>
        <v>1</v>
      </c>
      <c r="Q884" s="2333" t="s">
        <v>921</v>
      </c>
      <c r="R884" s="2333" t="s">
        <v>394</v>
      </c>
      <c r="S884" s="2334">
        <f t="shared" ref="S884" si="49">IF(R884=0,0,F884)</f>
        <v>-277.79826000000003</v>
      </c>
      <c r="T884" s="2334">
        <f t="shared" ref="T884" si="50">IF($R884="PTD",$S884*M$1016,IF($R884="PROD",$S884*M$1017,IF($R884="TRANS",$S884*M$1018,IF($R884="DIST",$S884*M$1019,IF($R884="LABOR",$S884*M$1020,IF($R884="TD",$S884*M$1021))))))</f>
        <v>-277.79826000000003</v>
      </c>
      <c r="U884" s="2334">
        <f t="shared" ref="U884" si="51">IF($R884="PTD",$S884*N$1016,IF($R884="PROD",$S884*N$1017,IF($R884="TRANS",$S884*N$1018,IF($R884="DIST",$S884*N$1019,IF($R884="LABOR",$S884*N$1020,IF($R884="TD",$S884*N$1021))))))</f>
        <v>0</v>
      </c>
      <c r="V884" s="2334">
        <f t="shared" ref="V884" si="52">IF($R884="PTD",$S884*O$1016,IF($R884="PROD",$S884*O$1017,IF($R884="TRANS",$S884*O$1018,IF($R884="DIST",$S884*O$1019,IF($R884="LABOR",$S884*O$1020,IF($R884="TD",$S884*O$1021))))))</f>
        <v>0</v>
      </c>
      <c r="W884" s="2333" t="s">
        <v>90</v>
      </c>
      <c r="X884" s="2201" t="s">
        <v>5587</v>
      </c>
    </row>
    <row r="885" spans="1:24" outlineLevel="2" x14ac:dyDescent="0.2">
      <c r="A885" s="1980" t="s">
        <v>4611</v>
      </c>
      <c r="B885" s="1980" t="s">
        <v>4612</v>
      </c>
      <c r="C885" s="1980" t="s">
        <v>4683</v>
      </c>
      <c r="D885" s="1980" t="s">
        <v>4684</v>
      </c>
      <c r="E885" s="1980" t="s">
        <v>923</v>
      </c>
      <c r="F885" s="1962">
        <v>-504.37907999999999</v>
      </c>
      <c r="G885" s="1962">
        <v>0</v>
      </c>
      <c r="H885" s="1962">
        <v>0</v>
      </c>
      <c r="I885" s="1962">
        <v>0</v>
      </c>
      <c r="J885" s="1953" t="s">
        <v>5693</v>
      </c>
    </row>
    <row r="886" spans="1:24" outlineLevel="2" x14ac:dyDescent="0.2">
      <c r="A886" s="1980" t="s">
        <v>4611</v>
      </c>
      <c r="B886" s="1980" t="s">
        <v>4612</v>
      </c>
      <c r="C886" s="1980" t="s">
        <v>4685</v>
      </c>
      <c r="D886" s="1980" t="s">
        <v>4686</v>
      </c>
      <c r="E886" s="1980" t="s">
        <v>936</v>
      </c>
      <c r="F886" s="1962">
        <v>17.193999999999999</v>
      </c>
      <c r="G886" s="1962">
        <v>0</v>
      </c>
      <c r="H886" s="1962">
        <v>0</v>
      </c>
      <c r="I886" s="1962">
        <v>0</v>
      </c>
      <c r="J886" s="1953" t="s">
        <v>920</v>
      </c>
    </row>
    <row r="887" spans="1:24" outlineLevel="2" x14ac:dyDescent="0.2">
      <c r="A887" s="1980" t="s">
        <v>4611</v>
      </c>
      <c r="B887" s="1980" t="s">
        <v>4612</v>
      </c>
      <c r="C887" s="1980" t="s">
        <v>4687</v>
      </c>
      <c r="D887" s="1980" t="s">
        <v>4688</v>
      </c>
      <c r="E887" s="1980" t="s">
        <v>936</v>
      </c>
      <c r="F887" s="1962">
        <v>5.9251399999999999</v>
      </c>
      <c r="G887" s="1962">
        <v>0</v>
      </c>
      <c r="H887" s="1962">
        <v>0</v>
      </c>
      <c r="I887" s="1962">
        <v>0</v>
      </c>
      <c r="J887" s="1953" t="s">
        <v>5693</v>
      </c>
    </row>
    <row r="888" spans="1:24" outlineLevel="2" x14ac:dyDescent="0.2">
      <c r="A888" s="2283" t="s">
        <v>4611</v>
      </c>
      <c r="B888" s="2283" t="s">
        <v>4612</v>
      </c>
      <c r="C888" s="2283" t="s">
        <v>4689</v>
      </c>
      <c r="D888" s="2283" t="s">
        <v>4690</v>
      </c>
      <c r="E888" s="2283" t="s">
        <v>936</v>
      </c>
      <c r="F888" s="2284">
        <v>2.2195800000000001</v>
      </c>
      <c r="G888" s="2284">
        <v>0</v>
      </c>
      <c r="H888" s="2284">
        <v>0</v>
      </c>
      <c r="I888" s="2284">
        <v>0</v>
      </c>
      <c r="J888" s="2285"/>
      <c r="K888" s="2285"/>
      <c r="L888" s="2332">
        <f>F888/$F$888</f>
        <v>1</v>
      </c>
      <c r="M888" s="2332">
        <f>G888/$F$888</f>
        <v>0</v>
      </c>
      <c r="N888" s="2332">
        <f>H888/$F$888</f>
        <v>0</v>
      </c>
      <c r="O888" s="2332">
        <f>I888/$F$888</f>
        <v>0</v>
      </c>
      <c r="P888" s="2332">
        <f t="shared" ref="P888:P889" si="53">SUM(M888:O888)</f>
        <v>0</v>
      </c>
      <c r="Q888" s="2333" t="s">
        <v>921</v>
      </c>
      <c r="R888" s="2333" t="s">
        <v>99</v>
      </c>
      <c r="S888" s="2334">
        <f t="shared" ref="S888:S889" si="54">IF(R888=0,0,F888)</f>
        <v>2.2195800000000001</v>
      </c>
      <c r="T888" s="2334">
        <f t="shared" ref="T888:T889" si="55">IF($R888="PTD",$S888*M$1016,IF($R888="PROD",$S888*M$1017,IF($R888="TRANS",$S888*M$1018,IF($R888="DIST",$S888*M$1019,IF($R888="LABOR",$S888*M$1020,IF($R888="TD",$S888*M$1021))))))</f>
        <v>0.97705055684657649</v>
      </c>
      <c r="U888" s="2334">
        <f t="shared" ref="U888:U889" si="56">IF($R888="PTD",$S888*N$1016,IF($R888="PROD",$S888*N$1017,IF($R888="TRANS",$S888*N$1018,IF($R888="DIST",$S888*N$1019,IF($R888="LABOR",$S888*N$1020,IF($R888="TD",$S888*N$1021))))))</f>
        <v>0</v>
      </c>
      <c r="V888" s="2334">
        <f t="shared" ref="V888:V889" si="57">IF($R888="PTD",$S888*O$1016,IF($R888="PROD",$S888*O$1017,IF($R888="TRANS",$S888*O$1018,IF($R888="DIST",$S888*O$1019,IF($R888="LABOR",$S888*O$1020,IF($R888="TD",$S888*O$1021))))))</f>
        <v>1.2425294431534235</v>
      </c>
      <c r="W888" s="2333" t="s">
        <v>90</v>
      </c>
    </row>
    <row r="889" spans="1:24" outlineLevel="2" x14ac:dyDescent="0.2">
      <c r="A889" s="2286" t="s">
        <v>4611</v>
      </c>
      <c r="B889" s="2286" t="s">
        <v>4612</v>
      </c>
      <c r="C889" s="2286" t="s">
        <v>4691</v>
      </c>
      <c r="D889" s="2286" t="s">
        <v>4692</v>
      </c>
      <c r="E889" s="2286" t="s">
        <v>936</v>
      </c>
      <c r="F889" s="2287">
        <v>398.71265</v>
      </c>
      <c r="G889" s="2287">
        <v>0</v>
      </c>
      <c r="H889" s="2287">
        <v>0</v>
      </c>
      <c r="I889" s="2287">
        <v>0</v>
      </c>
      <c r="J889" s="2288"/>
      <c r="K889" s="2288"/>
      <c r="L889" s="2329">
        <f>F889/$F$889</f>
        <v>1</v>
      </c>
      <c r="M889" s="2329">
        <f>G889/$F$889</f>
        <v>0</v>
      </c>
      <c r="N889" s="2329">
        <f>H889/$F$889</f>
        <v>0</v>
      </c>
      <c r="O889" s="2329">
        <f>I889/$F$889</f>
        <v>0</v>
      </c>
      <c r="P889" s="2329">
        <f t="shared" si="53"/>
        <v>0</v>
      </c>
      <c r="Q889" s="2330" t="s">
        <v>5462</v>
      </c>
      <c r="R889" s="2330" t="s">
        <v>394</v>
      </c>
      <c r="S889" s="2331">
        <f t="shared" si="54"/>
        <v>398.71265</v>
      </c>
      <c r="T889" s="2331">
        <f t="shared" si="55"/>
        <v>398.71265</v>
      </c>
      <c r="U889" s="2331">
        <f t="shared" si="56"/>
        <v>0</v>
      </c>
      <c r="V889" s="2331">
        <f t="shared" si="57"/>
        <v>0</v>
      </c>
      <c r="W889" s="2330" t="s">
        <v>90</v>
      </c>
    </row>
    <row r="890" spans="1:24" outlineLevel="2" x14ac:dyDescent="0.2">
      <c r="A890" s="1980" t="s">
        <v>4611</v>
      </c>
      <c r="B890" s="1980" t="s">
        <v>4612</v>
      </c>
      <c r="C890" s="1980" t="s">
        <v>4693</v>
      </c>
      <c r="D890" s="1980" t="s">
        <v>4694</v>
      </c>
      <c r="E890" s="1980" t="s">
        <v>922</v>
      </c>
      <c r="F890" s="1962">
        <v>976.48368000000005</v>
      </c>
      <c r="G890" s="1962">
        <v>0</v>
      </c>
      <c r="H890" s="1962">
        <v>0</v>
      </c>
      <c r="I890" s="1962">
        <v>0</v>
      </c>
      <c r="J890" s="1953" t="s">
        <v>5693</v>
      </c>
    </row>
    <row r="891" spans="1:24" outlineLevel="2" x14ac:dyDescent="0.2">
      <c r="A891" s="2280" t="s">
        <v>4611</v>
      </c>
      <c r="B891" s="2280" t="s">
        <v>4612</v>
      </c>
      <c r="C891" s="2280" t="s">
        <v>4695</v>
      </c>
      <c r="D891" s="2280" t="s">
        <v>4696</v>
      </c>
      <c r="E891" s="2280" t="s">
        <v>936</v>
      </c>
      <c r="F891" s="2281">
        <v>2208.3236700000002</v>
      </c>
      <c r="G891" s="2281">
        <v>0</v>
      </c>
      <c r="H891" s="2281">
        <v>0</v>
      </c>
      <c r="I891" s="2281">
        <v>0</v>
      </c>
      <c r="J891" s="2282"/>
      <c r="K891" s="2282"/>
      <c r="L891" s="2326">
        <f>F891/$F$891</f>
        <v>1</v>
      </c>
      <c r="M891" s="2326">
        <f>G891/$F$891</f>
        <v>0</v>
      </c>
      <c r="N891" s="2326">
        <f>H891/$F$891</f>
        <v>0</v>
      </c>
      <c r="O891" s="2326">
        <f>I891/$F$891</f>
        <v>0</v>
      </c>
      <c r="P891" s="2326">
        <f t="shared" ref="P891:P892" si="58">SUM(M891:O891)</f>
        <v>0</v>
      </c>
      <c r="Q891" s="2327" t="s">
        <v>912</v>
      </c>
      <c r="R891" s="2327" t="s">
        <v>392</v>
      </c>
      <c r="S891" s="2328">
        <f t="shared" ref="S891:S892" si="59">IF(R891=0,0,F891)</f>
        <v>2208.3236700000002</v>
      </c>
      <c r="T891" s="2328">
        <f t="shared" ref="T891:T892" si="60">IF($R891="PTD",$S891*M$1016,IF($R891="PROD",$S891*M$1017,IF($R891="TRANS",$S891*M$1018,IF($R891="DIST",$S891*M$1019,IF($R891="LABOR",$S891*M$1020,IF($R891="TD",$S891*M$1021))))))</f>
        <v>0</v>
      </c>
      <c r="U891" s="2328">
        <f t="shared" ref="U891:U892" si="61">IF($R891="PTD",$S891*N$1016,IF($R891="PROD",$S891*N$1017,IF($R891="TRANS",$S891*N$1018,IF($R891="DIST",$S891*N$1019,IF($R891="LABOR",$S891*N$1020,IF($R891="TD",$S891*N$1021))))))</f>
        <v>0</v>
      </c>
      <c r="V891" s="2328">
        <f t="shared" ref="V891:V892" si="62">IF($R891="PTD",$S891*O$1016,IF($R891="PROD",$S891*O$1017,IF($R891="TRANS",$S891*O$1018,IF($R891="DIST",$S891*O$1019,IF($R891="LABOR",$S891*O$1020,IF($R891="TD",$S891*O$1021))))))</f>
        <v>2208.3236700000002</v>
      </c>
      <c r="W891" s="2327" t="s">
        <v>90</v>
      </c>
    </row>
    <row r="892" spans="1:24" outlineLevel="2" x14ac:dyDescent="0.2">
      <c r="A892" s="2280" t="s">
        <v>4611</v>
      </c>
      <c r="B892" s="2280" t="s">
        <v>4612</v>
      </c>
      <c r="C892" s="2280" t="s">
        <v>4697</v>
      </c>
      <c r="D892" s="2280" t="s">
        <v>4698</v>
      </c>
      <c r="E892" s="2280" t="s">
        <v>936</v>
      </c>
      <c r="F892" s="2281">
        <v>7796.3591999999999</v>
      </c>
      <c r="G892" s="2281">
        <v>0</v>
      </c>
      <c r="H892" s="2281">
        <v>0</v>
      </c>
      <c r="I892" s="2281">
        <v>0</v>
      </c>
      <c r="J892" s="2282"/>
      <c r="K892" s="2282"/>
      <c r="L892" s="2326">
        <f>F892/$F$892</f>
        <v>1</v>
      </c>
      <c r="M892" s="2326">
        <f>G892/$F$892</f>
        <v>0</v>
      </c>
      <c r="N892" s="2326">
        <f>H892/$F$892</f>
        <v>0</v>
      </c>
      <c r="O892" s="2326">
        <f>I892/$F$892</f>
        <v>0</v>
      </c>
      <c r="P892" s="2326">
        <f t="shared" si="58"/>
        <v>0</v>
      </c>
      <c r="Q892" s="2327" t="s">
        <v>912</v>
      </c>
      <c r="R892" s="2327" t="s">
        <v>392</v>
      </c>
      <c r="S892" s="2328">
        <f t="shared" si="59"/>
        <v>7796.3591999999999</v>
      </c>
      <c r="T892" s="2328">
        <f t="shared" si="60"/>
        <v>0</v>
      </c>
      <c r="U892" s="2328">
        <f t="shared" si="61"/>
        <v>0</v>
      </c>
      <c r="V892" s="2328">
        <f t="shared" si="62"/>
        <v>7796.3591999999999</v>
      </c>
      <c r="W892" s="2327" t="s">
        <v>90</v>
      </c>
    </row>
    <row r="893" spans="1:24" outlineLevel="2" x14ac:dyDescent="0.2">
      <c r="A893" s="1980" t="s">
        <v>4611</v>
      </c>
      <c r="B893" s="1980" t="s">
        <v>4612</v>
      </c>
      <c r="C893" s="1980" t="s">
        <v>4699</v>
      </c>
      <c r="D893" s="1980" t="s">
        <v>4700</v>
      </c>
      <c r="E893" s="1980" t="s">
        <v>936</v>
      </c>
      <c r="F893" s="1962">
        <v>189.42463000000001</v>
      </c>
      <c r="G893" s="1962">
        <v>0</v>
      </c>
      <c r="H893" s="1962">
        <v>0</v>
      </c>
      <c r="I893" s="1962">
        <v>0</v>
      </c>
      <c r="J893" s="1953" t="s">
        <v>918</v>
      </c>
    </row>
    <row r="894" spans="1:24" outlineLevel="2" x14ac:dyDescent="0.2">
      <c r="A894" s="2280" t="s">
        <v>4611</v>
      </c>
      <c r="B894" s="2280" t="s">
        <v>4612</v>
      </c>
      <c r="C894" s="2280" t="s">
        <v>4701</v>
      </c>
      <c r="D894" s="2280" t="s">
        <v>4702</v>
      </c>
      <c r="E894" s="2280" t="s">
        <v>936</v>
      </c>
      <c r="F894" s="2281">
        <v>9759.8902099999996</v>
      </c>
      <c r="G894" s="2281">
        <v>0</v>
      </c>
      <c r="H894" s="2281">
        <v>0</v>
      </c>
      <c r="I894" s="2281">
        <v>0</v>
      </c>
      <c r="J894" s="2282"/>
      <c r="K894" s="2282"/>
      <c r="L894" s="2326">
        <f>F894/$F$894</f>
        <v>1</v>
      </c>
      <c r="M894" s="2326">
        <f>G894/$F$894</f>
        <v>0</v>
      </c>
      <c r="N894" s="2326">
        <f>H894/$F$894</f>
        <v>0</v>
      </c>
      <c r="O894" s="2326">
        <f>I894/$F$894</f>
        <v>0</v>
      </c>
      <c r="P894" s="2326">
        <f t="shared" ref="P894:P896" si="63">SUM(M894:O894)</f>
        <v>0</v>
      </c>
      <c r="Q894" s="2327" t="s">
        <v>912</v>
      </c>
      <c r="R894" s="2327" t="s">
        <v>392</v>
      </c>
      <c r="S894" s="2328">
        <f t="shared" ref="S894:S896" si="64">IF(R894=0,0,F894)</f>
        <v>9759.8902099999996</v>
      </c>
      <c r="T894" s="2328">
        <f t="shared" ref="T894:T896" si="65">IF($R894="PTD",$S894*M$1016,IF($R894="PROD",$S894*M$1017,IF($R894="TRANS",$S894*M$1018,IF($R894="DIST",$S894*M$1019,IF($R894="LABOR",$S894*M$1020,IF($R894="TD",$S894*M$1021))))))</f>
        <v>0</v>
      </c>
      <c r="U894" s="2328">
        <f t="shared" ref="U894:U896" si="66">IF($R894="PTD",$S894*N$1016,IF($R894="PROD",$S894*N$1017,IF($R894="TRANS",$S894*N$1018,IF($R894="DIST",$S894*N$1019,IF($R894="LABOR",$S894*N$1020,IF($R894="TD",$S894*N$1021))))))</f>
        <v>0</v>
      </c>
      <c r="V894" s="2328">
        <f t="shared" ref="V894:V896" si="67">IF($R894="PTD",$S894*O$1016,IF($R894="PROD",$S894*O$1017,IF($R894="TRANS",$S894*O$1018,IF($R894="DIST",$S894*O$1019,IF($R894="LABOR",$S894*O$1020,IF($R894="TD",$S894*O$1021))))))</f>
        <v>9759.8902099999996</v>
      </c>
      <c r="W894" s="2327" t="s">
        <v>90</v>
      </c>
    </row>
    <row r="895" spans="1:24" outlineLevel="2" x14ac:dyDescent="0.2">
      <c r="A895" s="2283" t="s">
        <v>4611</v>
      </c>
      <c r="B895" s="2283" t="s">
        <v>4612</v>
      </c>
      <c r="C895" s="2283" t="s">
        <v>4703</v>
      </c>
      <c r="D895" s="2283" t="s">
        <v>4704</v>
      </c>
      <c r="E895" s="2283" t="s">
        <v>936</v>
      </c>
      <c r="F895" s="2284">
        <v>3101.3253</v>
      </c>
      <c r="G895" s="2284">
        <v>0</v>
      </c>
      <c r="H895" s="2284">
        <v>0</v>
      </c>
      <c r="I895" s="2284">
        <v>0</v>
      </c>
      <c r="J895" s="2285"/>
      <c r="K895" s="2285"/>
      <c r="L895" s="2332">
        <f>F895/$F$895</f>
        <v>1</v>
      </c>
      <c r="M895" s="2332">
        <f>G895/$F$895</f>
        <v>0</v>
      </c>
      <c r="N895" s="2332">
        <f>H895/$F$895</f>
        <v>0</v>
      </c>
      <c r="O895" s="2332">
        <f>I895/$F$895</f>
        <v>0</v>
      </c>
      <c r="P895" s="2332">
        <f t="shared" si="63"/>
        <v>0</v>
      </c>
      <c r="Q895" s="2333" t="s">
        <v>921</v>
      </c>
      <c r="R895" s="2333" t="s">
        <v>392</v>
      </c>
      <c r="S895" s="2334">
        <f t="shared" si="64"/>
        <v>3101.3253</v>
      </c>
      <c r="T895" s="2334">
        <f t="shared" si="65"/>
        <v>0</v>
      </c>
      <c r="U895" s="2334">
        <f t="shared" si="66"/>
        <v>0</v>
      </c>
      <c r="V895" s="2334">
        <f t="shared" si="67"/>
        <v>3101.3253</v>
      </c>
      <c r="W895" s="2333" t="s">
        <v>90</v>
      </c>
    </row>
    <row r="896" spans="1:24" outlineLevel="2" x14ac:dyDescent="0.2">
      <c r="A896" s="2283" t="s">
        <v>4611</v>
      </c>
      <c r="B896" s="2283" t="s">
        <v>4612</v>
      </c>
      <c r="C896" s="2283" t="s">
        <v>4705</v>
      </c>
      <c r="D896" s="2283" t="s">
        <v>4706</v>
      </c>
      <c r="E896" s="2283" t="s">
        <v>936</v>
      </c>
      <c r="F896" s="2284">
        <v>1262.5804700000001</v>
      </c>
      <c r="G896" s="2284">
        <v>0</v>
      </c>
      <c r="H896" s="2284">
        <v>0</v>
      </c>
      <c r="I896" s="2284">
        <v>0</v>
      </c>
      <c r="J896" s="2285"/>
      <c r="K896" s="2285"/>
      <c r="L896" s="2332">
        <f>F896/$F$896</f>
        <v>1</v>
      </c>
      <c r="M896" s="2332">
        <f>G896/$F$896</f>
        <v>0</v>
      </c>
      <c r="N896" s="2332">
        <f>H896/$F$896</f>
        <v>0</v>
      </c>
      <c r="O896" s="2332">
        <f>I896/$F$896</f>
        <v>0</v>
      </c>
      <c r="P896" s="2332">
        <f t="shared" si="63"/>
        <v>0</v>
      </c>
      <c r="Q896" s="2333" t="s">
        <v>921</v>
      </c>
      <c r="R896" s="2333" t="s">
        <v>99</v>
      </c>
      <c r="S896" s="2334">
        <f t="shared" si="64"/>
        <v>1262.5804700000001</v>
      </c>
      <c r="T896" s="2334">
        <f t="shared" si="65"/>
        <v>555.78305412605641</v>
      </c>
      <c r="U896" s="2334">
        <f t="shared" si="66"/>
        <v>0</v>
      </c>
      <c r="V896" s="2334">
        <f t="shared" si="67"/>
        <v>706.79741587394358</v>
      </c>
      <c r="W896" s="2333" t="s">
        <v>90</v>
      </c>
    </row>
    <row r="897" spans="1:24" outlineLevel="2" x14ac:dyDescent="0.2">
      <c r="A897" s="1980" t="s">
        <v>4611</v>
      </c>
      <c r="B897" s="1980" t="s">
        <v>4612</v>
      </c>
      <c r="C897" s="1980" t="s">
        <v>4707</v>
      </c>
      <c r="D897" s="1980" t="s">
        <v>4708</v>
      </c>
      <c r="E897" s="1980" t="s">
        <v>936</v>
      </c>
      <c r="F897" s="1962">
        <v>146.13706999999999</v>
      </c>
      <c r="G897" s="1962">
        <v>0</v>
      </c>
      <c r="H897" s="1962">
        <v>0</v>
      </c>
      <c r="I897" s="1962">
        <v>0</v>
      </c>
      <c r="J897" s="1953" t="s">
        <v>920</v>
      </c>
    </row>
    <row r="898" spans="1:24" outlineLevel="2" x14ac:dyDescent="0.2">
      <c r="A898" s="1980" t="s">
        <v>4611</v>
      </c>
      <c r="B898" s="1980" t="s">
        <v>4612</v>
      </c>
      <c r="C898" s="1980" t="s">
        <v>4709</v>
      </c>
      <c r="D898" s="1980" t="s">
        <v>4710</v>
      </c>
      <c r="E898" s="1980" t="s">
        <v>936</v>
      </c>
      <c r="F898" s="1962">
        <v>-5497.4108999999999</v>
      </c>
      <c r="G898" s="1962">
        <v>0</v>
      </c>
      <c r="H898" s="1962">
        <v>0</v>
      </c>
      <c r="I898" s="1962">
        <v>0</v>
      </c>
      <c r="J898" s="2069" t="s">
        <v>5694</v>
      </c>
    </row>
    <row r="899" spans="1:24" outlineLevel="2" x14ac:dyDescent="0.2">
      <c r="A899" s="1980" t="s">
        <v>4611</v>
      </c>
      <c r="B899" s="1980" t="s">
        <v>4612</v>
      </c>
      <c r="C899" s="1980" t="s">
        <v>4711</v>
      </c>
      <c r="D899" s="1980" t="s">
        <v>4712</v>
      </c>
      <c r="E899" s="1980" t="s">
        <v>936</v>
      </c>
      <c r="F899" s="1962">
        <v>-927.90544999999997</v>
      </c>
      <c r="G899" s="1962">
        <v>0</v>
      </c>
      <c r="H899" s="1962">
        <v>0</v>
      </c>
      <c r="I899" s="1962">
        <v>0</v>
      </c>
      <c r="J899" s="2069" t="s">
        <v>5694</v>
      </c>
    </row>
    <row r="900" spans="1:24" outlineLevel="2" x14ac:dyDescent="0.2">
      <c r="A900" s="1980" t="s">
        <v>4611</v>
      </c>
      <c r="B900" s="1980" t="s">
        <v>4612</v>
      </c>
      <c r="C900" s="1980" t="s">
        <v>4713</v>
      </c>
      <c r="D900" s="1980" t="s">
        <v>4714</v>
      </c>
      <c r="E900" s="1980" t="s">
        <v>936</v>
      </c>
      <c r="F900" s="1962">
        <v>639.90500999999995</v>
      </c>
      <c r="G900" s="1962">
        <v>0</v>
      </c>
      <c r="H900" s="1962">
        <v>0</v>
      </c>
      <c r="I900" s="1962">
        <v>0</v>
      </c>
      <c r="J900" s="1953" t="s">
        <v>920</v>
      </c>
    </row>
    <row r="901" spans="1:24" outlineLevel="2" x14ac:dyDescent="0.2">
      <c r="A901" s="1980" t="s">
        <v>4611</v>
      </c>
      <c r="B901" s="1980" t="s">
        <v>4612</v>
      </c>
      <c r="C901" s="1980" t="s">
        <v>4715</v>
      </c>
      <c r="D901" s="1980" t="s">
        <v>4716</v>
      </c>
      <c r="E901" s="1980" t="s">
        <v>936</v>
      </c>
      <c r="F901" s="1962">
        <v>-1.0000000000000001E-5</v>
      </c>
      <c r="G901" s="1962">
        <v>0</v>
      </c>
      <c r="H901" s="1962">
        <v>0</v>
      </c>
      <c r="I901" s="1962">
        <v>0</v>
      </c>
      <c r="J901" s="1953" t="s">
        <v>920</v>
      </c>
    </row>
    <row r="902" spans="1:24" outlineLevel="2" x14ac:dyDescent="0.2">
      <c r="A902" s="2280" t="s">
        <v>4611</v>
      </c>
      <c r="B902" s="2280" t="s">
        <v>4612</v>
      </c>
      <c r="C902" s="2280" t="s">
        <v>4717</v>
      </c>
      <c r="D902" s="2280" t="s">
        <v>4718</v>
      </c>
      <c r="E902" s="2280" t="s">
        <v>936</v>
      </c>
      <c r="F902" s="2281">
        <v>-633.16521</v>
      </c>
      <c r="G902" s="2281">
        <v>0</v>
      </c>
      <c r="H902" s="2281">
        <v>0</v>
      </c>
      <c r="I902" s="2281">
        <v>0</v>
      </c>
      <c r="J902" s="2282"/>
      <c r="K902" s="2282"/>
      <c r="L902" s="2326">
        <f>F902/$F$902</f>
        <v>1</v>
      </c>
      <c r="M902" s="2326">
        <f>G902/$F$902</f>
        <v>0</v>
      </c>
      <c r="N902" s="2326">
        <f>H902/$F$902</f>
        <v>0</v>
      </c>
      <c r="O902" s="2326">
        <f>I902/$F$902</f>
        <v>0</v>
      </c>
      <c r="P902" s="2326">
        <f t="shared" ref="P902:P904" si="68">SUM(M902:O902)</f>
        <v>0</v>
      </c>
      <c r="Q902" s="2327" t="s">
        <v>912</v>
      </c>
      <c r="R902" s="2327" t="s">
        <v>394</v>
      </c>
      <c r="S902" s="2328">
        <f t="shared" ref="S902:S904" si="69">IF(R902=0,0,F902)</f>
        <v>-633.16521</v>
      </c>
      <c r="T902" s="2328">
        <f t="shared" ref="T902:T904" si="70">IF($R902="PTD",$S902*M$1016,IF($R902="PROD",$S902*M$1017,IF($R902="TRANS",$S902*M$1018,IF($R902="DIST",$S902*M$1019,IF($R902="LABOR",$S902*M$1020,IF($R902="TD",$S902*M$1021))))))</f>
        <v>-633.16521</v>
      </c>
      <c r="U902" s="2328">
        <f t="shared" ref="U902:U904" si="71">IF($R902="PTD",$S902*N$1016,IF($R902="PROD",$S902*N$1017,IF($R902="TRANS",$S902*N$1018,IF($R902="DIST",$S902*N$1019,IF($R902="LABOR",$S902*N$1020,IF($R902="TD",$S902*N$1021))))))</f>
        <v>0</v>
      </c>
      <c r="V902" s="2328">
        <f t="shared" ref="V902:V904" si="72">IF($R902="PTD",$S902*O$1016,IF($R902="PROD",$S902*O$1017,IF($R902="TRANS",$S902*O$1018,IF($R902="DIST",$S902*O$1019,IF($R902="LABOR",$S902*O$1020,IF($R902="TD",$S902*O$1021))))))</f>
        <v>0</v>
      </c>
      <c r="W902" s="2327" t="s">
        <v>90</v>
      </c>
    </row>
    <row r="903" spans="1:24" outlineLevel="2" x14ac:dyDescent="0.2">
      <c r="A903" s="2280" t="s">
        <v>4611</v>
      </c>
      <c r="B903" s="2280" t="s">
        <v>4612</v>
      </c>
      <c r="C903" s="2280" t="s">
        <v>4719</v>
      </c>
      <c r="D903" s="2280" t="s">
        <v>4720</v>
      </c>
      <c r="E903" s="2280" t="s">
        <v>936</v>
      </c>
      <c r="F903" s="2281">
        <v>3245.8251500000001</v>
      </c>
      <c r="G903" s="2281">
        <v>0</v>
      </c>
      <c r="H903" s="2281">
        <v>0</v>
      </c>
      <c r="I903" s="2281">
        <v>0</v>
      </c>
      <c r="J903" s="2282"/>
      <c r="K903" s="2282"/>
      <c r="L903" s="2326">
        <f>F903/$F$903</f>
        <v>1</v>
      </c>
      <c r="M903" s="2326">
        <f>G903/$F$903</f>
        <v>0</v>
      </c>
      <c r="N903" s="2326">
        <f>H903/$F$903</f>
        <v>0</v>
      </c>
      <c r="O903" s="2326">
        <f>I903/$F$903</f>
        <v>0</v>
      </c>
      <c r="P903" s="2326">
        <f t="shared" si="68"/>
        <v>0</v>
      </c>
      <c r="Q903" s="2327" t="s">
        <v>912</v>
      </c>
      <c r="R903" s="2327" t="s">
        <v>394</v>
      </c>
      <c r="S903" s="2328">
        <f t="shared" si="69"/>
        <v>3245.8251500000001</v>
      </c>
      <c r="T903" s="2328">
        <f t="shared" si="70"/>
        <v>3245.8251500000001</v>
      </c>
      <c r="U903" s="2328">
        <f t="shared" si="71"/>
        <v>0</v>
      </c>
      <c r="V903" s="2328">
        <f t="shared" si="72"/>
        <v>0</v>
      </c>
      <c r="W903" s="2327" t="s">
        <v>90</v>
      </c>
    </row>
    <row r="904" spans="1:24" outlineLevel="2" x14ac:dyDescent="0.2">
      <c r="A904" s="2280" t="s">
        <v>4611</v>
      </c>
      <c r="B904" s="2280" t="s">
        <v>4612</v>
      </c>
      <c r="C904" s="2280" t="s">
        <v>4721</v>
      </c>
      <c r="D904" s="2280" t="s">
        <v>4722</v>
      </c>
      <c r="E904" s="2280" t="s">
        <v>936</v>
      </c>
      <c r="F904" s="2281">
        <v>618.29258000000004</v>
      </c>
      <c r="G904" s="2281">
        <v>0</v>
      </c>
      <c r="H904" s="2281">
        <v>0</v>
      </c>
      <c r="I904" s="2281">
        <v>0</v>
      </c>
      <c r="J904" s="2282"/>
      <c r="K904" s="2282"/>
      <c r="L904" s="2326">
        <f>F904/$F$904</f>
        <v>1</v>
      </c>
      <c r="M904" s="2326">
        <f>G904/$F$904</f>
        <v>0</v>
      </c>
      <c r="N904" s="2326">
        <f>H904/$F$904</f>
        <v>0</v>
      </c>
      <c r="O904" s="2326">
        <f>I904/$F$904</f>
        <v>0</v>
      </c>
      <c r="P904" s="2326">
        <f t="shared" si="68"/>
        <v>0</v>
      </c>
      <c r="Q904" s="2327" t="s">
        <v>912</v>
      </c>
      <c r="R904" s="2327" t="s">
        <v>394</v>
      </c>
      <c r="S904" s="2328">
        <f t="shared" si="69"/>
        <v>618.29258000000004</v>
      </c>
      <c r="T904" s="2328">
        <f t="shared" si="70"/>
        <v>618.29258000000004</v>
      </c>
      <c r="U904" s="2328">
        <f t="shared" si="71"/>
        <v>0</v>
      </c>
      <c r="V904" s="2328">
        <f t="shared" si="72"/>
        <v>0</v>
      </c>
      <c r="W904" s="2327" t="s">
        <v>90</v>
      </c>
      <c r="X904" s="2201" t="s">
        <v>5587</v>
      </c>
    </row>
    <row r="905" spans="1:24" outlineLevel="2" x14ac:dyDescent="0.2">
      <c r="A905" s="1980" t="s">
        <v>4611</v>
      </c>
      <c r="B905" s="1980" t="s">
        <v>4612</v>
      </c>
      <c r="C905" s="1980" t="s">
        <v>4723</v>
      </c>
      <c r="D905" s="1980" t="s">
        <v>4724</v>
      </c>
      <c r="E905" s="1980" t="s">
        <v>936</v>
      </c>
      <c r="F905" s="1962">
        <v>1844.22379</v>
      </c>
      <c r="G905" s="1962">
        <v>0</v>
      </c>
      <c r="H905" s="1962">
        <v>0</v>
      </c>
      <c r="I905" s="1962">
        <v>0</v>
      </c>
      <c r="J905" s="1953" t="s">
        <v>920</v>
      </c>
    </row>
    <row r="906" spans="1:24" outlineLevel="2" x14ac:dyDescent="0.2">
      <c r="A906" s="2280" t="s">
        <v>4611</v>
      </c>
      <c r="B906" s="2280" t="s">
        <v>4612</v>
      </c>
      <c r="C906" s="2280" t="s">
        <v>4725</v>
      </c>
      <c r="D906" s="2280" t="s">
        <v>4726</v>
      </c>
      <c r="E906" s="2280" t="s">
        <v>936</v>
      </c>
      <c r="F906" s="2281">
        <v>2884.7509599999998</v>
      </c>
      <c r="G906" s="2281">
        <v>0</v>
      </c>
      <c r="H906" s="2281">
        <v>0</v>
      </c>
      <c r="I906" s="2281">
        <v>0</v>
      </c>
      <c r="J906" s="2282"/>
      <c r="K906" s="2282"/>
      <c r="L906" s="2326">
        <f>F906/$F$906</f>
        <v>1</v>
      </c>
      <c r="M906" s="2326">
        <f>G906/$F$906</f>
        <v>0</v>
      </c>
      <c r="N906" s="2326">
        <f>H906/$F$906</f>
        <v>0</v>
      </c>
      <c r="O906" s="2326">
        <f>I906/$F$906</f>
        <v>0</v>
      </c>
      <c r="P906" s="2326">
        <f t="shared" ref="P906" si="73">SUM(M906:O906)</f>
        <v>0</v>
      </c>
      <c r="Q906" s="2327" t="s">
        <v>912</v>
      </c>
      <c r="R906" s="2327" t="s">
        <v>394</v>
      </c>
      <c r="S906" s="2328">
        <f t="shared" ref="S906" si="74">IF(R906=0,0,F906)</f>
        <v>2884.7509599999998</v>
      </c>
      <c r="T906" s="2328">
        <f t="shared" ref="T906" si="75">IF($R906="PTD",$S906*M$1016,IF($R906="PROD",$S906*M$1017,IF($R906="TRANS",$S906*M$1018,IF($R906="DIST",$S906*M$1019,IF($R906="LABOR",$S906*M$1020,IF($R906="TD",$S906*M$1021))))))</f>
        <v>2884.7509599999998</v>
      </c>
      <c r="U906" s="2328">
        <f t="shared" ref="U906" si="76">IF($R906="PTD",$S906*N$1016,IF($R906="PROD",$S906*N$1017,IF($R906="TRANS",$S906*N$1018,IF($R906="DIST",$S906*N$1019,IF($R906="LABOR",$S906*N$1020,IF($R906="TD",$S906*N$1021))))))</f>
        <v>0</v>
      </c>
      <c r="V906" s="2328">
        <f t="shared" ref="V906" si="77">IF($R906="PTD",$S906*O$1016,IF($R906="PROD",$S906*O$1017,IF($R906="TRANS",$S906*O$1018,IF($R906="DIST",$S906*O$1019,IF($R906="LABOR",$S906*O$1020,IF($R906="TD",$S906*O$1021))))))</f>
        <v>0</v>
      </c>
      <c r="W906" s="2327" t="s">
        <v>90</v>
      </c>
    </row>
    <row r="907" spans="1:24" outlineLevel="2" x14ac:dyDescent="0.2">
      <c r="A907" s="1980" t="s">
        <v>4611</v>
      </c>
      <c r="B907" s="1980" t="s">
        <v>4612</v>
      </c>
      <c r="C907" s="1980" t="s">
        <v>4727</v>
      </c>
      <c r="D907" s="1980" t="s">
        <v>4728</v>
      </c>
      <c r="E907" s="1980" t="s">
        <v>936</v>
      </c>
      <c r="F907" s="1962">
        <v>-25930.213049999998</v>
      </c>
      <c r="G907" s="1962">
        <v>0</v>
      </c>
      <c r="H907" s="1962">
        <v>0</v>
      </c>
      <c r="I907" s="1962">
        <v>0</v>
      </c>
      <c r="J907" s="2069" t="s">
        <v>5694</v>
      </c>
    </row>
    <row r="908" spans="1:24" outlineLevel="2" x14ac:dyDescent="0.2">
      <c r="A908" s="1980" t="s">
        <v>4611</v>
      </c>
      <c r="B908" s="1980" t="s">
        <v>4612</v>
      </c>
      <c r="C908" s="1980" t="s">
        <v>4729</v>
      </c>
      <c r="D908" s="1980" t="s">
        <v>4730</v>
      </c>
      <c r="E908" s="1980" t="s">
        <v>906</v>
      </c>
      <c r="F908" s="1962">
        <v>-173.65006</v>
      </c>
      <c r="G908" s="1962">
        <v>-44.866318032044695</v>
      </c>
      <c r="H908" s="1962">
        <v>-12.400542156689559</v>
      </c>
      <c r="I908" s="1962">
        <v>-10.247496451913522</v>
      </c>
      <c r="J908" s="2069" t="s">
        <v>5694</v>
      </c>
    </row>
    <row r="909" spans="1:24" outlineLevel="2" x14ac:dyDescent="0.2">
      <c r="A909" s="2280" t="s">
        <v>4611</v>
      </c>
      <c r="B909" s="2280" t="s">
        <v>4612</v>
      </c>
      <c r="C909" s="2280" t="s">
        <v>4731</v>
      </c>
      <c r="D909" s="2280" t="s">
        <v>4732</v>
      </c>
      <c r="E909" s="2280" t="s">
        <v>936</v>
      </c>
      <c r="F909" s="2281">
        <v>3577.8132500000002</v>
      </c>
      <c r="G909" s="2281">
        <v>0</v>
      </c>
      <c r="H909" s="2281">
        <v>0</v>
      </c>
      <c r="I909" s="2281">
        <v>0</v>
      </c>
      <c r="J909" s="2282"/>
      <c r="K909" s="2282"/>
      <c r="L909" s="2326">
        <f>F909/$F$909</f>
        <v>1</v>
      </c>
      <c r="M909" s="2326">
        <f>G909/$F$909</f>
        <v>0</v>
      </c>
      <c r="N909" s="2326">
        <f>H909/$F$909</f>
        <v>0</v>
      </c>
      <c r="O909" s="2326">
        <f>I909/$F$909</f>
        <v>0</v>
      </c>
      <c r="P909" s="2326">
        <f t="shared" ref="P909" si="78">SUM(M909:O909)</f>
        <v>0</v>
      </c>
      <c r="Q909" s="2327" t="s">
        <v>912</v>
      </c>
      <c r="R909" s="2327" t="s">
        <v>394</v>
      </c>
      <c r="S909" s="2328">
        <f t="shared" ref="S909" si="79">IF(R909=0,0,F909)</f>
        <v>3577.8132500000002</v>
      </c>
      <c r="T909" s="2328">
        <f t="shared" ref="T909" si="80">IF($R909="PTD",$S909*M$1016,IF($R909="PROD",$S909*M$1017,IF($R909="TRANS",$S909*M$1018,IF($R909="DIST",$S909*M$1019,IF($R909="LABOR",$S909*M$1020,IF($R909="TD",$S909*M$1021))))))</f>
        <v>3577.8132500000002</v>
      </c>
      <c r="U909" s="2328">
        <f t="shared" ref="U909" si="81">IF($R909="PTD",$S909*N$1016,IF($R909="PROD",$S909*N$1017,IF($R909="TRANS",$S909*N$1018,IF($R909="DIST",$S909*N$1019,IF($R909="LABOR",$S909*N$1020,IF($R909="TD",$S909*N$1021))))))</f>
        <v>0</v>
      </c>
      <c r="V909" s="2328">
        <f t="shared" ref="V909" si="82">IF($R909="PTD",$S909*O$1016,IF($R909="PROD",$S909*O$1017,IF($R909="TRANS",$S909*O$1018,IF($R909="DIST",$S909*O$1019,IF($R909="LABOR",$S909*O$1020,IF($R909="TD",$S909*O$1021))))))</f>
        <v>0</v>
      </c>
      <c r="W909" s="2327" t="s">
        <v>90</v>
      </c>
    </row>
    <row r="910" spans="1:24" outlineLevel="2" x14ac:dyDescent="0.2">
      <c r="A910" s="2280" t="s">
        <v>4611</v>
      </c>
      <c r="B910" s="2280" t="s">
        <v>4612</v>
      </c>
      <c r="C910" s="2280" t="s">
        <v>4733</v>
      </c>
      <c r="D910" s="2280" t="s">
        <v>4734</v>
      </c>
      <c r="E910" s="2280" t="s">
        <v>936</v>
      </c>
      <c r="F910" s="2281">
        <v>150.33663000000001</v>
      </c>
      <c r="G910" s="2281">
        <v>0</v>
      </c>
      <c r="H910" s="2281">
        <v>0</v>
      </c>
      <c r="I910" s="2281">
        <v>0</v>
      </c>
      <c r="J910" s="2282"/>
      <c r="K910" s="2282"/>
      <c r="L910" s="2326">
        <f>F924/$F$924</f>
        <v>1</v>
      </c>
      <c r="M910" s="2326">
        <f>G924/$F$924</f>
        <v>0</v>
      </c>
      <c r="N910" s="2326">
        <f>H924/$F$924</f>
        <v>0</v>
      </c>
      <c r="O910" s="2326">
        <f>I924/$F$924</f>
        <v>0</v>
      </c>
      <c r="P910" s="2326">
        <f>SUM(M924:O924)</f>
        <v>0</v>
      </c>
      <c r="Q910" s="2327" t="s">
        <v>912</v>
      </c>
      <c r="R910" s="2327" t="s">
        <v>394</v>
      </c>
      <c r="S910" s="2328">
        <f>IF(R924=0,0,F924)</f>
        <v>144.58080000000001</v>
      </c>
      <c r="T910" s="2328">
        <f>IF($R924="PTD",$S924*M$1016,IF($R924="PROD",$S924*M$1017,IF($R924="TRANS",$S924*M$1018,IF($R924="DIST",$S924*M$1019,IF($R924="LABOR",$S924*M$1020,IF($R924="TD",$S924*M$1021))))))</f>
        <v>144.58080000000001</v>
      </c>
      <c r="U910" s="2328">
        <f>IF($R924="PTD",$S924*N$1016,IF($R924="PROD",$S924*N$1017,IF($R924="TRANS",$S924*N$1018,IF($R924="DIST",$S924*N$1019,IF($R924="LABOR",$S924*N$1020,IF($R924="TD",$S924*N$1021))))))</f>
        <v>0</v>
      </c>
      <c r="V910" s="2328">
        <f>IF($R924="PTD",$S924*O$1016,IF($R924="PROD",$S924*O$1017,IF($R924="TRANS",$S924*O$1018,IF($R924="DIST",$S924*O$1019,IF($R924="LABOR",$S924*O$1020,IF($R924="TD",$S924*O$1021))))))</f>
        <v>0</v>
      </c>
      <c r="W910" s="2327" t="s">
        <v>90</v>
      </c>
    </row>
    <row r="911" spans="1:24" outlineLevel="2" x14ac:dyDescent="0.2">
      <c r="A911" s="1980" t="s">
        <v>4611</v>
      </c>
      <c r="B911" s="1980" t="s">
        <v>4612</v>
      </c>
      <c r="C911" s="1980" t="s">
        <v>4735</v>
      </c>
      <c r="D911" s="1980" t="s">
        <v>4736</v>
      </c>
      <c r="E911" s="1980" t="s">
        <v>918</v>
      </c>
      <c r="F911" s="1962">
        <v>16511.539150000001</v>
      </c>
      <c r="G911" s="1962">
        <v>0</v>
      </c>
      <c r="H911" s="1962">
        <v>0</v>
      </c>
      <c r="I911" s="1962">
        <v>0</v>
      </c>
      <c r="J911" s="1953" t="s">
        <v>918</v>
      </c>
    </row>
    <row r="912" spans="1:24" outlineLevel="2" x14ac:dyDescent="0.2">
      <c r="A912" s="2276" t="s">
        <v>4611</v>
      </c>
      <c r="B912" s="2276" t="s">
        <v>4612</v>
      </c>
      <c r="C912" s="2276" t="s">
        <v>4737</v>
      </c>
      <c r="D912" s="2276" t="s">
        <v>4738</v>
      </c>
      <c r="E912" s="2276" t="s">
        <v>936</v>
      </c>
      <c r="F912" s="2277">
        <v>2223.7719200000001</v>
      </c>
      <c r="G912" s="2277">
        <v>0</v>
      </c>
      <c r="H912" s="2277">
        <v>0</v>
      </c>
      <c r="I912" s="2277">
        <v>0</v>
      </c>
      <c r="J912" s="2278"/>
      <c r="K912" s="2278"/>
      <c r="L912" s="2289">
        <f>F912/$F912</f>
        <v>1</v>
      </c>
      <c r="M912" s="2289">
        <f>G912/$F912</f>
        <v>0</v>
      </c>
      <c r="N912" s="2289">
        <f>H912/$F912</f>
        <v>0</v>
      </c>
      <c r="O912" s="2289">
        <f>I912/$F912</f>
        <v>0</v>
      </c>
      <c r="P912" s="2289">
        <f t="shared" ref="P912:P913" si="83">SUM(M912:O912)</f>
        <v>0</v>
      </c>
      <c r="Q912" s="2278"/>
      <c r="R912" s="2290" t="s">
        <v>99</v>
      </c>
      <c r="S912" s="2291">
        <f t="shared" ref="S912:S913" si="84">IF(R912=0,0,F912)</f>
        <v>2223.7719200000001</v>
      </c>
      <c r="T912" s="2291">
        <f>IF($R912="PTD",$S912*M$1016,IF($R912="PROD",$S912*M$1017,IF($R912="TRANS",$S912*M$1018,IF($R912="DIST",$S912*M$1019,IF($R912="LABOR",$S912*M$1020,IF($R912="TD",$S912*M$1021))))))</f>
        <v>978.89582386567747</v>
      </c>
      <c r="U912" s="2291">
        <f>IF($R912="PTD",$S912*N$1016,IF($R912="PROD",$S912*N$1017,IF($R912="TRANS",$S912*N$1018,IF($R912="DIST",$S912*N$1019,IF($R912="LABOR",$S912*N$1020,IF($R912="TD",$S912*N$1021))))))</f>
        <v>0</v>
      </c>
      <c r="V912" s="2291">
        <f>IF($R912="PTD",$S912*O$1016,IF($R912="PROD",$S912*O$1017,IF($R912="TRANS",$S912*O$1018,IF($R912="DIST",$S912*O$1019,IF($R912="LABOR",$S912*O$1020,IF($R912="TD",$S912*O$1021))))))</f>
        <v>1244.8760961343223</v>
      </c>
      <c r="W912" s="2290" t="s">
        <v>90</v>
      </c>
      <c r="X912" s="2201" t="s">
        <v>5587</v>
      </c>
    </row>
    <row r="913" spans="1:23" outlineLevel="2" x14ac:dyDescent="0.2">
      <c r="A913" s="2283" t="s">
        <v>4611</v>
      </c>
      <c r="B913" s="2283" t="s">
        <v>4612</v>
      </c>
      <c r="C913" s="2283" t="s">
        <v>4739</v>
      </c>
      <c r="D913" s="2283" t="s">
        <v>4740</v>
      </c>
      <c r="E913" s="2283" t="s">
        <v>936</v>
      </c>
      <c r="F913" s="2284">
        <v>386.78746999999998</v>
      </c>
      <c r="G913" s="2284">
        <v>0</v>
      </c>
      <c r="H913" s="2284">
        <v>0</v>
      </c>
      <c r="I913" s="2284">
        <v>0</v>
      </c>
      <c r="J913" s="2285"/>
      <c r="K913" s="2285"/>
      <c r="L913" s="2332">
        <f>F913/$F$913</f>
        <v>1</v>
      </c>
      <c r="M913" s="2332">
        <f>G913/$F$913</f>
        <v>0</v>
      </c>
      <c r="N913" s="2332">
        <f>H913/$F$913</f>
        <v>0</v>
      </c>
      <c r="O913" s="2332">
        <f>I913/$F$913</f>
        <v>0</v>
      </c>
      <c r="P913" s="2332">
        <f t="shared" si="83"/>
        <v>0</v>
      </c>
      <c r="Q913" s="2333" t="s">
        <v>921</v>
      </c>
      <c r="R913" s="2333" t="s">
        <v>99</v>
      </c>
      <c r="S913" s="2334">
        <f t="shared" si="84"/>
        <v>386.78746999999998</v>
      </c>
      <c r="T913" s="2334">
        <f t="shared" ref="T913" si="85">IF($R913="PTD",$S913*M$1016,IF($R913="PROD",$S913*M$1017,IF($R913="TRANS",$S913*M$1018,IF($R913="DIST",$S913*M$1019,IF($R913="LABOR",$S913*M$1020,IF($R913="TD",$S913*M$1021))))))</f>
        <v>170.26235276258501</v>
      </c>
      <c r="U913" s="2334">
        <f t="shared" ref="U913" si="86">IF($R913="PTD",$S913*N$1016,IF($R913="PROD",$S913*N$1017,IF($R913="TRANS",$S913*N$1018,IF($R913="DIST",$S913*N$1019,IF($R913="LABOR",$S913*N$1020,IF($R913="TD",$S913*N$1021))))))</f>
        <v>0</v>
      </c>
      <c r="V913" s="2334">
        <f t="shared" ref="V913" si="87">IF($R913="PTD",$S913*O$1016,IF($R913="PROD",$S913*O$1017,IF($R913="TRANS",$S913*O$1018,IF($R913="DIST",$S913*O$1019,IF($R913="LABOR",$S913*O$1020,IF($R913="TD",$S913*O$1021))))))</f>
        <v>216.52511723741492</v>
      </c>
      <c r="W913" s="2333" t="s">
        <v>90</v>
      </c>
    </row>
    <row r="914" spans="1:23" outlineLevel="2" x14ac:dyDescent="0.2">
      <c r="A914" s="1980" t="s">
        <v>4611</v>
      </c>
      <c r="B914" s="1980" t="s">
        <v>4612</v>
      </c>
      <c r="C914" s="1980" t="s">
        <v>4741</v>
      </c>
      <c r="D914" s="1980" t="s">
        <v>4742</v>
      </c>
      <c r="E914" s="1980" t="s">
        <v>936</v>
      </c>
      <c r="F914" s="1962">
        <v>2595.5239000000001</v>
      </c>
      <c r="G914" s="1962">
        <v>0</v>
      </c>
      <c r="H914" s="1962">
        <v>0</v>
      </c>
      <c r="I914" s="1962">
        <v>0</v>
      </c>
      <c r="J914" s="1953" t="s">
        <v>918</v>
      </c>
    </row>
    <row r="915" spans="1:23" outlineLevel="2" x14ac:dyDescent="0.2">
      <c r="A915" s="2280" t="s">
        <v>4611</v>
      </c>
      <c r="B915" s="2280" t="s">
        <v>4612</v>
      </c>
      <c r="C915" s="2280" t="s">
        <v>4743</v>
      </c>
      <c r="D915" s="2280" t="s">
        <v>4744</v>
      </c>
      <c r="E915" s="2280" t="s">
        <v>936</v>
      </c>
      <c r="F915" s="2281">
        <v>2299.4478399999998</v>
      </c>
      <c r="G915" s="2281">
        <v>0</v>
      </c>
      <c r="H915" s="2281">
        <v>0</v>
      </c>
      <c r="I915" s="2281">
        <v>0</v>
      </c>
      <c r="J915" s="2282"/>
      <c r="K915" s="2282"/>
      <c r="L915" s="2326">
        <f>F915/$F$915</f>
        <v>1</v>
      </c>
      <c r="M915" s="2326">
        <f>G915/$F$915</f>
        <v>0</v>
      </c>
      <c r="N915" s="2326">
        <f>H915/$F$915</f>
        <v>0</v>
      </c>
      <c r="O915" s="2326">
        <f>I915/$F$915</f>
        <v>0</v>
      </c>
      <c r="P915" s="2326">
        <f t="shared" ref="P915" si="88">SUM(M915:O915)</f>
        <v>0</v>
      </c>
      <c r="Q915" s="2327" t="s">
        <v>912</v>
      </c>
      <c r="R915" s="2327" t="s">
        <v>392</v>
      </c>
      <c r="S915" s="2328">
        <f t="shared" ref="S915" si="89">IF(R915=0,0,F915)</f>
        <v>2299.4478399999998</v>
      </c>
      <c r="T915" s="2328">
        <f t="shared" ref="T915" si="90">IF($R915="PTD",$S915*M$1016,IF($R915="PROD",$S915*M$1017,IF($R915="TRANS",$S915*M$1018,IF($R915="DIST",$S915*M$1019,IF($R915="LABOR",$S915*M$1020,IF($R915="TD",$S915*M$1021))))))</f>
        <v>0</v>
      </c>
      <c r="U915" s="2328">
        <f t="shared" ref="U915" si="91">IF($R915="PTD",$S915*N$1016,IF($R915="PROD",$S915*N$1017,IF($R915="TRANS",$S915*N$1018,IF($R915="DIST",$S915*N$1019,IF($R915="LABOR",$S915*N$1020,IF($R915="TD",$S915*N$1021))))))</f>
        <v>0</v>
      </c>
      <c r="V915" s="2328">
        <f t="shared" ref="V915" si="92">IF($R915="PTD",$S915*O$1016,IF($R915="PROD",$S915*O$1017,IF($R915="TRANS",$S915*O$1018,IF($R915="DIST",$S915*O$1019,IF($R915="LABOR",$S915*O$1020,IF($R915="TD",$S915*O$1021))))))</f>
        <v>2299.4478399999998</v>
      </c>
      <c r="W915" s="2327" t="s">
        <v>90</v>
      </c>
    </row>
    <row r="916" spans="1:23" outlineLevel="2" x14ac:dyDescent="0.2">
      <c r="A916" s="1980" t="s">
        <v>4611</v>
      </c>
      <c r="B916" s="1980" t="s">
        <v>4612</v>
      </c>
      <c r="C916" s="1980" t="s">
        <v>4745</v>
      </c>
      <c r="D916" s="1980" t="s">
        <v>4746</v>
      </c>
      <c r="E916" s="1980" t="s">
        <v>936</v>
      </c>
      <c r="F916" s="1962">
        <v>-3879.7706699999999</v>
      </c>
      <c r="G916" s="1962">
        <v>0</v>
      </c>
      <c r="H916" s="1962">
        <v>0</v>
      </c>
      <c r="I916" s="1962">
        <v>0</v>
      </c>
      <c r="J916" s="1953" t="s">
        <v>920</v>
      </c>
    </row>
    <row r="917" spans="1:23" outlineLevel="2" x14ac:dyDescent="0.2">
      <c r="A917" s="1980" t="s">
        <v>4611</v>
      </c>
      <c r="B917" s="1980" t="s">
        <v>4612</v>
      </c>
      <c r="C917" s="1980" t="s">
        <v>4747</v>
      </c>
      <c r="D917" s="1980" t="s">
        <v>4748</v>
      </c>
      <c r="E917" s="1980" t="s">
        <v>936</v>
      </c>
      <c r="F917" s="1962">
        <v>-242.82920999999999</v>
      </c>
      <c r="G917" s="1962">
        <v>0</v>
      </c>
      <c r="H917" s="1962">
        <v>0</v>
      </c>
      <c r="I917" s="1962">
        <v>0</v>
      </c>
      <c r="J917" s="1953" t="s">
        <v>918</v>
      </c>
    </row>
    <row r="918" spans="1:23" outlineLevel="2" x14ac:dyDescent="0.2">
      <c r="A918" s="2283" t="s">
        <v>4611</v>
      </c>
      <c r="B918" s="2283" t="s">
        <v>4612</v>
      </c>
      <c r="C918" s="2283" t="s">
        <v>4749</v>
      </c>
      <c r="D918" s="2283" t="s">
        <v>4750</v>
      </c>
      <c r="E918" s="2283" t="s">
        <v>936</v>
      </c>
      <c r="F918" s="2284">
        <v>1008.19505</v>
      </c>
      <c r="G918" s="2284">
        <v>0</v>
      </c>
      <c r="H918" s="2284">
        <v>0</v>
      </c>
      <c r="I918" s="2284">
        <v>0</v>
      </c>
      <c r="J918" s="2285"/>
      <c r="K918" s="2285"/>
      <c r="L918" s="2332">
        <f>F918/$F918</f>
        <v>1</v>
      </c>
      <c r="M918" s="2332">
        <f>G918/$F918</f>
        <v>0</v>
      </c>
      <c r="N918" s="2332">
        <f>H918/$F918</f>
        <v>0</v>
      </c>
      <c r="O918" s="2332">
        <f>I918/$F918</f>
        <v>0</v>
      </c>
      <c r="P918" s="2332">
        <f t="shared" ref="P918:P919" si="93">SUM(M918:O918)</f>
        <v>0</v>
      </c>
      <c r="Q918" s="2333" t="s">
        <v>921</v>
      </c>
      <c r="R918" s="2333" t="s">
        <v>392</v>
      </c>
      <c r="S918" s="2334">
        <f t="shared" ref="S918:S919" si="94">IF(R918=0,0,F918)</f>
        <v>1008.19505</v>
      </c>
      <c r="T918" s="2334">
        <f t="shared" ref="T918:T919" si="95">IF($R918="PTD",$S918*M$1016,IF($R918="PROD",$S918*M$1017,IF($R918="TRANS",$S918*M$1018,IF($R918="DIST",$S918*M$1019,IF($R918="LABOR",$S918*M$1020,IF($R918="TD",$S918*M$1021))))))</f>
        <v>0</v>
      </c>
      <c r="U918" s="2334">
        <f t="shared" ref="U918:U919" si="96">IF($R918="PTD",$S918*N$1016,IF($R918="PROD",$S918*N$1017,IF($R918="TRANS",$S918*N$1018,IF($R918="DIST",$S918*N$1019,IF($R918="LABOR",$S918*N$1020,IF($R918="TD",$S918*N$1021))))))</f>
        <v>0</v>
      </c>
      <c r="V918" s="2334">
        <f t="shared" ref="V918:V919" si="97">IF($R918="PTD",$S918*O$1016,IF($R918="PROD",$S918*O$1017,IF($R918="TRANS",$S918*O$1018,IF($R918="DIST",$S918*O$1019,IF($R918="LABOR",$S918*O$1020,IF($R918="TD",$S918*O$1021))))))</f>
        <v>1008.19505</v>
      </c>
      <c r="W918" s="2333" t="s">
        <v>90</v>
      </c>
    </row>
    <row r="919" spans="1:23" outlineLevel="2" x14ac:dyDescent="0.2">
      <c r="A919" s="2280" t="s">
        <v>4611</v>
      </c>
      <c r="B919" s="2280" t="s">
        <v>4612</v>
      </c>
      <c r="C919" s="2280" t="s">
        <v>4751</v>
      </c>
      <c r="D919" s="2280" t="s">
        <v>4752</v>
      </c>
      <c r="E919" s="2280" t="s">
        <v>936</v>
      </c>
      <c r="F919" s="2281">
        <v>-3728.1340700000001</v>
      </c>
      <c r="G919" s="2281">
        <v>0</v>
      </c>
      <c r="H919" s="2281">
        <v>0</v>
      </c>
      <c r="I919" s="2281">
        <v>0</v>
      </c>
      <c r="J919" s="2282"/>
      <c r="K919" s="2282"/>
      <c r="L919" s="2326">
        <f>F919/$F$919</f>
        <v>1</v>
      </c>
      <c r="M919" s="2326">
        <f>G919/$F$919</f>
        <v>0</v>
      </c>
      <c r="N919" s="2326">
        <f>H919/$F$919</f>
        <v>0</v>
      </c>
      <c r="O919" s="2326">
        <f>I919/$F$919</f>
        <v>0</v>
      </c>
      <c r="P919" s="2326">
        <f t="shared" si="93"/>
        <v>0</v>
      </c>
      <c r="Q919" s="2327" t="s">
        <v>912</v>
      </c>
      <c r="R919" s="2327" t="s">
        <v>392</v>
      </c>
      <c r="S919" s="2328">
        <f t="shared" si="94"/>
        <v>-3728.1340700000001</v>
      </c>
      <c r="T919" s="2328">
        <f t="shared" si="95"/>
        <v>0</v>
      </c>
      <c r="U919" s="2328">
        <f t="shared" si="96"/>
        <v>0</v>
      </c>
      <c r="V919" s="2328">
        <f t="shared" si="97"/>
        <v>-3728.1340700000001</v>
      </c>
      <c r="W919" s="2327" t="s">
        <v>90</v>
      </c>
    </row>
    <row r="920" spans="1:23" outlineLevel="2" x14ac:dyDescent="0.2">
      <c r="A920" s="1980" t="s">
        <v>4611</v>
      </c>
      <c r="B920" s="1980" t="s">
        <v>4612</v>
      </c>
      <c r="C920" s="1980" t="s">
        <v>4753</v>
      </c>
      <c r="D920" s="1980" t="s">
        <v>4754</v>
      </c>
      <c r="E920" s="1980" t="s">
        <v>936</v>
      </c>
      <c r="F920" s="1962">
        <v>1484.1654599999999</v>
      </c>
      <c r="G920" s="1962">
        <v>0</v>
      </c>
      <c r="H920" s="1962">
        <v>0</v>
      </c>
      <c r="I920" s="1962">
        <v>0</v>
      </c>
      <c r="J920" s="1953" t="s">
        <v>920</v>
      </c>
    </row>
    <row r="921" spans="1:23" outlineLevel="2" x14ac:dyDescent="0.2">
      <c r="A921" s="1980" t="s">
        <v>4611</v>
      </c>
      <c r="B921" s="1980" t="s">
        <v>4612</v>
      </c>
      <c r="C921" s="1980" t="s">
        <v>4755</v>
      </c>
      <c r="D921" s="1980" t="s">
        <v>4756</v>
      </c>
      <c r="E921" s="1980" t="s">
        <v>936</v>
      </c>
      <c r="F921" s="1962">
        <v>-2122.9947200000001</v>
      </c>
      <c r="G921" s="1962">
        <v>0</v>
      </c>
      <c r="H921" s="1962">
        <v>0</v>
      </c>
      <c r="I921" s="1962">
        <v>0</v>
      </c>
      <c r="J921" s="1953" t="s">
        <v>920</v>
      </c>
    </row>
    <row r="922" spans="1:23" outlineLevel="2" x14ac:dyDescent="0.2">
      <c r="A922" s="1980" t="s">
        <v>4611</v>
      </c>
      <c r="B922" s="1980" t="s">
        <v>4612</v>
      </c>
      <c r="C922" s="1980" t="s">
        <v>4757</v>
      </c>
      <c r="D922" s="1980" t="s">
        <v>4758</v>
      </c>
      <c r="E922" s="1980" t="s">
        <v>936</v>
      </c>
      <c r="F922" s="1962">
        <v>-174.77874</v>
      </c>
      <c r="G922" s="1962">
        <v>0</v>
      </c>
      <c r="H922" s="1962">
        <v>0</v>
      </c>
      <c r="I922" s="1962">
        <v>0</v>
      </c>
      <c r="J922" s="1953" t="s">
        <v>5693</v>
      </c>
    </row>
    <row r="923" spans="1:23" outlineLevel="2" x14ac:dyDescent="0.2">
      <c r="A923" s="1980" t="s">
        <v>4611</v>
      </c>
      <c r="B923" s="1980" t="s">
        <v>4612</v>
      </c>
      <c r="C923" s="1980" t="s">
        <v>4759</v>
      </c>
      <c r="D923" s="1980" t="s">
        <v>4760</v>
      </c>
      <c r="E923" s="1980" t="s">
        <v>936</v>
      </c>
      <c r="F923" s="1962">
        <v>891.46900000000005</v>
      </c>
      <c r="G923" s="1962">
        <v>0</v>
      </c>
      <c r="H923" s="1962">
        <v>0</v>
      </c>
      <c r="I923" s="1962">
        <v>0</v>
      </c>
      <c r="J923" s="1953" t="s">
        <v>5693</v>
      </c>
    </row>
    <row r="924" spans="1:23" outlineLevel="2" x14ac:dyDescent="0.2">
      <c r="A924" s="2280" t="s">
        <v>4611</v>
      </c>
      <c r="B924" s="2280" t="s">
        <v>4612</v>
      </c>
      <c r="C924" s="2280" t="s">
        <v>4761</v>
      </c>
      <c r="D924" s="2280" t="s">
        <v>4762</v>
      </c>
      <c r="E924" s="2280" t="s">
        <v>936</v>
      </c>
      <c r="F924" s="2281">
        <v>144.58080000000001</v>
      </c>
      <c r="G924" s="2281">
        <v>0</v>
      </c>
      <c r="H924" s="2281">
        <v>0</v>
      </c>
      <c r="I924" s="2281">
        <v>0</v>
      </c>
      <c r="J924" s="2282"/>
      <c r="K924" s="2282"/>
      <c r="L924" s="2326">
        <f>F924/$F$924</f>
        <v>1</v>
      </c>
      <c r="M924" s="2326">
        <f>G924/$F$924</f>
        <v>0</v>
      </c>
      <c r="N924" s="2326">
        <f>H924/$F$924</f>
        <v>0</v>
      </c>
      <c r="O924" s="2326">
        <f>I924/$F$924</f>
        <v>0</v>
      </c>
      <c r="P924" s="2326">
        <f t="shared" ref="P924" si="98">SUM(M924:O924)</f>
        <v>0</v>
      </c>
      <c r="Q924" s="2327" t="s">
        <v>912</v>
      </c>
      <c r="R924" s="2327" t="s">
        <v>394</v>
      </c>
      <c r="S924" s="2328">
        <f t="shared" ref="S924" si="99">IF(R924=0,0,F924)</f>
        <v>144.58080000000001</v>
      </c>
      <c r="T924" s="2328">
        <f t="shared" ref="T924" si="100">IF($R924="PTD",$S924*M$1016,IF($R924="PROD",$S924*M$1017,IF($R924="TRANS",$S924*M$1018,IF($R924="DIST",$S924*M$1019,IF($R924="LABOR",$S924*M$1020,IF($R924="TD",$S924*M$1021))))))</f>
        <v>144.58080000000001</v>
      </c>
      <c r="U924" s="2328">
        <f t="shared" ref="U924" si="101">IF($R924="PTD",$S924*N$1016,IF($R924="PROD",$S924*N$1017,IF($R924="TRANS",$S924*N$1018,IF($R924="DIST",$S924*N$1019,IF($R924="LABOR",$S924*N$1020,IF($R924="TD",$S924*N$1021))))))</f>
        <v>0</v>
      </c>
      <c r="V924" s="2328">
        <f t="shared" ref="V924" si="102">IF($R924="PTD",$S924*O$1016,IF($R924="PROD",$S924*O$1017,IF($R924="TRANS",$S924*O$1018,IF($R924="DIST",$S924*O$1019,IF($R924="LABOR",$S924*O$1020,IF($R924="TD",$S924*O$1021))))))</f>
        <v>0</v>
      </c>
      <c r="W924" s="2327" t="s">
        <v>90</v>
      </c>
    </row>
    <row r="925" spans="1:23" outlineLevel="2" x14ac:dyDescent="0.2">
      <c r="A925" s="1980" t="s">
        <v>4611</v>
      </c>
      <c r="B925" s="1980" t="s">
        <v>4612</v>
      </c>
      <c r="C925" s="1980" t="s">
        <v>4763</v>
      </c>
      <c r="D925" s="1980" t="s">
        <v>4764</v>
      </c>
      <c r="E925" s="1980" t="s">
        <v>936</v>
      </c>
      <c r="F925" s="1962">
        <v>-144.58080000000001</v>
      </c>
      <c r="G925" s="1962">
        <v>0</v>
      </c>
      <c r="H925" s="1962">
        <v>0</v>
      </c>
      <c r="I925" s="1962">
        <v>0</v>
      </c>
      <c r="J925" s="2069" t="s">
        <v>5694</v>
      </c>
    </row>
    <row r="926" spans="1:23" outlineLevel="2" x14ac:dyDescent="0.2">
      <c r="A926" s="1980" t="s">
        <v>4611</v>
      </c>
      <c r="B926" s="1980" t="s">
        <v>4612</v>
      </c>
      <c r="C926" s="1980" t="s">
        <v>4765</v>
      </c>
      <c r="D926" s="1980" t="s">
        <v>4766</v>
      </c>
      <c r="E926" s="1980" t="s">
        <v>936</v>
      </c>
      <c r="F926" s="1962">
        <v>-1484.1654599999999</v>
      </c>
      <c r="G926" s="1962">
        <v>0</v>
      </c>
      <c r="H926" s="1962">
        <v>0</v>
      </c>
      <c r="I926" s="1962">
        <v>0</v>
      </c>
      <c r="J926" s="2069" t="s">
        <v>5694</v>
      </c>
    </row>
    <row r="927" spans="1:23" outlineLevel="2" x14ac:dyDescent="0.2">
      <c r="A927" s="1980" t="s">
        <v>4611</v>
      </c>
      <c r="B927" s="1980" t="s">
        <v>4612</v>
      </c>
      <c r="C927" s="1980" t="s">
        <v>4767</v>
      </c>
      <c r="D927" s="1980" t="s">
        <v>4768</v>
      </c>
      <c r="E927" s="1980" t="s">
        <v>936</v>
      </c>
      <c r="F927" s="1962">
        <v>2122.9947200000001</v>
      </c>
      <c r="G927" s="1962">
        <v>0</v>
      </c>
      <c r="H927" s="1962">
        <v>0</v>
      </c>
      <c r="I927" s="1962">
        <v>0</v>
      </c>
      <c r="J927" s="1953" t="s">
        <v>920</v>
      </c>
    </row>
    <row r="928" spans="1:23" outlineLevel="2" x14ac:dyDescent="0.2">
      <c r="A928" s="1980" t="s">
        <v>4611</v>
      </c>
      <c r="B928" s="1980" t="s">
        <v>4612</v>
      </c>
      <c r="C928" s="1980" t="s">
        <v>4769</v>
      </c>
      <c r="D928" s="1980" t="s">
        <v>4770</v>
      </c>
      <c r="E928" s="1980" t="s">
        <v>936</v>
      </c>
      <c r="F928" s="1962">
        <v>-445.73450000000003</v>
      </c>
      <c r="G928" s="1962">
        <v>0</v>
      </c>
      <c r="H928" s="1962">
        <v>0</v>
      </c>
      <c r="I928" s="1962">
        <v>0</v>
      </c>
      <c r="J928" s="2069" t="s">
        <v>5694</v>
      </c>
    </row>
    <row r="929" spans="1:24" outlineLevel="2" x14ac:dyDescent="0.2">
      <c r="A929" s="1980" t="s">
        <v>4611</v>
      </c>
      <c r="B929" s="1980" t="s">
        <v>4612</v>
      </c>
      <c r="C929" s="1980" t="s">
        <v>4771</v>
      </c>
      <c r="D929" s="1980" t="s">
        <v>4772</v>
      </c>
      <c r="E929" s="1980" t="s">
        <v>936</v>
      </c>
      <c r="F929" s="1962">
        <v>174.77874</v>
      </c>
      <c r="G929" s="1962">
        <v>0</v>
      </c>
      <c r="H929" s="1962">
        <v>0</v>
      </c>
      <c r="I929" s="1962">
        <v>0</v>
      </c>
      <c r="J929" s="1953" t="s">
        <v>5693</v>
      </c>
    </row>
    <row r="930" spans="1:24" outlineLevel="2" x14ac:dyDescent="0.2">
      <c r="A930" s="1980" t="s">
        <v>4611</v>
      </c>
      <c r="B930" s="1980" t="s">
        <v>4612</v>
      </c>
      <c r="C930" s="1980" t="s">
        <v>4773</v>
      </c>
      <c r="D930" s="1980" t="s">
        <v>4774</v>
      </c>
      <c r="E930" s="1980" t="s">
        <v>922</v>
      </c>
      <c r="F930" s="1962">
        <v>649.10776999999996</v>
      </c>
      <c r="G930" s="1962">
        <v>0</v>
      </c>
      <c r="H930" s="1962">
        <v>0</v>
      </c>
      <c r="I930" s="1962">
        <v>0</v>
      </c>
      <c r="J930" s="1953" t="s">
        <v>5693</v>
      </c>
    </row>
    <row r="931" spans="1:24" outlineLevel="2" x14ac:dyDescent="0.2">
      <c r="A931" s="1980" t="s">
        <v>4611</v>
      </c>
      <c r="B931" s="1980" t="s">
        <v>4612</v>
      </c>
      <c r="C931" s="1980" t="s">
        <v>4775</v>
      </c>
      <c r="D931" s="1980" t="s">
        <v>4776</v>
      </c>
      <c r="E931" s="1980" t="s">
        <v>922</v>
      </c>
      <c r="F931" s="1962">
        <v>212.50002000000001</v>
      </c>
      <c r="G931" s="1962">
        <v>0</v>
      </c>
      <c r="H931" s="1962">
        <v>0</v>
      </c>
      <c r="I931" s="1962">
        <v>0</v>
      </c>
      <c r="J931" s="1953" t="s">
        <v>5693</v>
      </c>
    </row>
    <row r="932" spans="1:24" outlineLevel="2" x14ac:dyDescent="0.2">
      <c r="A932" s="1980" t="s">
        <v>4611</v>
      </c>
      <c r="B932" s="1980" t="s">
        <v>4612</v>
      </c>
      <c r="C932" s="1980" t="s">
        <v>4777</v>
      </c>
      <c r="D932" s="1980" t="s">
        <v>4778</v>
      </c>
      <c r="E932" s="1980" t="s">
        <v>920</v>
      </c>
      <c r="F932" s="1962">
        <v>349.99959999999999</v>
      </c>
      <c r="G932" s="1962">
        <v>0</v>
      </c>
      <c r="H932" s="1962">
        <v>0</v>
      </c>
      <c r="I932" s="1962">
        <v>0</v>
      </c>
      <c r="J932" s="1953" t="s">
        <v>920</v>
      </c>
    </row>
    <row r="933" spans="1:24" outlineLevel="2" x14ac:dyDescent="0.2">
      <c r="A933" s="1980" t="s">
        <v>4611</v>
      </c>
      <c r="B933" s="1980" t="s">
        <v>4612</v>
      </c>
      <c r="C933" s="1980" t="s">
        <v>4779</v>
      </c>
      <c r="D933" s="1980" t="s">
        <v>4780</v>
      </c>
      <c r="E933" s="1980" t="s">
        <v>922</v>
      </c>
      <c r="F933" s="1962">
        <v>57.0764</v>
      </c>
      <c r="G933" s="1962">
        <v>0</v>
      </c>
      <c r="H933" s="1962">
        <v>0</v>
      </c>
      <c r="I933" s="1962">
        <v>0</v>
      </c>
      <c r="J933" s="1953" t="s">
        <v>5693</v>
      </c>
    </row>
    <row r="934" spans="1:24" outlineLevel="2" x14ac:dyDescent="0.2">
      <c r="A934" s="1980" t="s">
        <v>4611</v>
      </c>
      <c r="B934" s="1980" t="s">
        <v>4612</v>
      </c>
      <c r="C934" s="1980" t="s">
        <v>4781</v>
      </c>
      <c r="D934" s="1980" t="s">
        <v>4782</v>
      </c>
      <c r="E934" s="1980" t="s">
        <v>923</v>
      </c>
      <c r="F934" s="1962">
        <v>205.74358000000001</v>
      </c>
      <c r="G934" s="1962">
        <v>0</v>
      </c>
      <c r="H934" s="1962">
        <v>0</v>
      </c>
      <c r="I934" s="1962">
        <v>0</v>
      </c>
      <c r="J934" s="1953" t="s">
        <v>5693</v>
      </c>
    </row>
    <row r="935" spans="1:24" outlineLevel="2" x14ac:dyDescent="0.2">
      <c r="A935" s="1980" t="s">
        <v>4611</v>
      </c>
      <c r="B935" s="1980" t="s">
        <v>4612</v>
      </c>
      <c r="C935" s="1980" t="s">
        <v>4783</v>
      </c>
      <c r="D935" s="1980" t="s">
        <v>4784</v>
      </c>
      <c r="E935" s="1980" t="s">
        <v>936</v>
      </c>
      <c r="F935" s="1962">
        <v>0.40699999999999997</v>
      </c>
      <c r="G935" s="1962">
        <v>0</v>
      </c>
      <c r="H935" s="1962">
        <v>0</v>
      </c>
      <c r="I935" s="1962">
        <v>0</v>
      </c>
      <c r="J935" s="1953" t="s">
        <v>5695</v>
      </c>
    </row>
    <row r="936" spans="1:24" outlineLevel="2" x14ac:dyDescent="0.2">
      <c r="A936" s="1980" t="s">
        <v>4611</v>
      </c>
      <c r="B936" s="1980" t="s">
        <v>4612</v>
      </c>
      <c r="C936" s="1980" t="s">
        <v>4785</v>
      </c>
      <c r="D936" s="1980" t="s">
        <v>4786</v>
      </c>
      <c r="E936" s="1980" t="s">
        <v>936</v>
      </c>
      <c r="F936" s="1962">
        <v>420.58064999999999</v>
      </c>
      <c r="G936" s="1962">
        <v>0</v>
      </c>
      <c r="H936" s="1962">
        <v>0</v>
      </c>
      <c r="I936" s="1962">
        <v>0</v>
      </c>
      <c r="J936" s="1953" t="s">
        <v>918</v>
      </c>
    </row>
    <row r="937" spans="1:24" outlineLevel="2" x14ac:dyDescent="0.2">
      <c r="A937" s="2280" t="s">
        <v>4611</v>
      </c>
      <c r="B937" s="2280" t="s">
        <v>4612</v>
      </c>
      <c r="C937" s="2280" t="s">
        <v>4787</v>
      </c>
      <c r="D937" s="2280" t="s">
        <v>4788</v>
      </c>
      <c r="E937" s="2280" t="s">
        <v>936</v>
      </c>
      <c r="F937" s="2281">
        <v>126.83964</v>
      </c>
      <c r="G937" s="2281">
        <v>0</v>
      </c>
      <c r="H937" s="2281">
        <v>0</v>
      </c>
      <c r="I937" s="2281">
        <v>0</v>
      </c>
      <c r="J937" s="2282"/>
      <c r="K937" s="2282"/>
      <c r="L937" s="2326">
        <f>F874/$F874</f>
        <v>1</v>
      </c>
      <c r="M937" s="2326">
        <f>G874/$F874</f>
        <v>0</v>
      </c>
      <c r="N937" s="2326">
        <f>H874/$F874</f>
        <v>0</v>
      </c>
      <c r="O937" s="2326">
        <f>I874/$F874</f>
        <v>0</v>
      </c>
      <c r="P937" s="2326">
        <f t="shared" ref="P937:P941" si="103">SUM(M937:O937)</f>
        <v>0</v>
      </c>
      <c r="Q937" s="2327" t="s">
        <v>912</v>
      </c>
      <c r="R937" s="2327" t="s">
        <v>99</v>
      </c>
      <c r="S937" s="2328">
        <f t="shared" ref="S937:S941" si="104">IF(R937=0,0,F937)</f>
        <v>126.83964</v>
      </c>
      <c r="T937" s="2328">
        <f t="shared" ref="T937:T939" si="105">IF($R937="PTD",$S937*M$1016,IF($R937="PROD",$S937*M$1017,IF($R937="TRANS",$S937*M$1018,IF($R937="DIST",$S937*M$1019,IF($R937="LABOR",$S937*M$1020,IF($R937="TD",$S937*M$1021))))))</f>
        <v>55.834320408464343</v>
      </c>
      <c r="U937" s="2328">
        <f t="shared" ref="U937:U939" si="106">IF($R937="PTD",$S937*N$1016,IF($R937="PROD",$S937*N$1017,IF($R937="TRANS",$S937*N$1018,IF($R937="DIST",$S937*N$1019,IF($R937="LABOR",$S937*N$1020,IF($R937="TD",$S937*N$1021))))))</f>
        <v>0</v>
      </c>
      <c r="V937" s="2328">
        <f t="shared" ref="V937:V939" si="107">IF($R937="PTD",$S937*O$1016,IF($R937="PROD",$S937*O$1017,IF($R937="TRANS",$S937*O$1018,IF($R937="DIST",$S937*O$1019,IF($R937="LABOR",$S937*O$1020,IF($R937="TD",$S937*O$1021))))))</f>
        <v>71.005319591535638</v>
      </c>
      <c r="W937" s="2327" t="s">
        <v>90</v>
      </c>
    </row>
    <row r="938" spans="1:24" outlineLevel="2" x14ac:dyDescent="0.2">
      <c r="A938" s="2286" t="s">
        <v>4611</v>
      </c>
      <c r="B938" s="2286" t="s">
        <v>4612</v>
      </c>
      <c r="C938" s="2286" t="s">
        <v>4789</v>
      </c>
      <c r="D938" s="2286" t="s">
        <v>4790</v>
      </c>
      <c r="E938" s="2286" t="s">
        <v>919</v>
      </c>
      <c r="F938" s="2287">
        <v>40</v>
      </c>
      <c r="G938" s="2287">
        <v>0</v>
      </c>
      <c r="H938" s="2287">
        <v>0</v>
      </c>
      <c r="I938" s="2287">
        <v>40</v>
      </c>
      <c r="J938" s="2288"/>
      <c r="K938" s="2288"/>
      <c r="L938" s="2329">
        <f t="shared" ref="L938:O940" si="108">F938/$F938</f>
        <v>1</v>
      </c>
      <c r="M938" s="2329">
        <f t="shared" si="108"/>
        <v>0</v>
      </c>
      <c r="N938" s="2329">
        <f t="shared" si="108"/>
        <v>0</v>
      </c>
      <c r="O938" s="2329">
        <f t="shared" si="108"/>
        <v>1</v>
      </c>
      <c r="P938" s="2329">
        <f t="shared" si="103"/>
        <v>1</v>
      </c>
      <c r="Q938" s="2330" t="s">
        <v>5462</v>
      </c>
      <c r="R938" s="2330" t="s">
        <v>99</v>
      </c>
      <c r="S938" s="2331">
        <f t="shared" si="104"/>
        <v>40</v>
      </c>
      <c r="T938" s="2331">
        <f t="shared" si="105"/>
        <v>17.60784575183731</v>
      </c>
      <c r="U938" s="2331">
        <f t="shared" si="106"/>
        <v>0</v>
      </c>
      <c r="V938" s="2331">
        <f t="shared" si="107"/>
        <v>22.392154248162687</v>
      </c>
      <c r="W938" s="2330" t="s">
        <v>90</v>
      </c>
    </row>
    <row r="939" spans="1:24" outlineLevel="2" x14ac:dyDescent="0.2">
      <c r="A939" s="2283" t="s">
        <v>4611</v>
      </c>
      <c r="B939" s="2283" t="s">
        <v>4612</v>
      </c>
      <c r="C939" s="2283" t="s">
        <v>4791</v>
      </c>
      <c r="D939" s="2283" t="s">
        <v>4792</v>
      </c>
      <c r="E939" s="2283" t="s">
        <v>936</v>
      </c>
      <c r="F939" s="2284">
        <v>300</v>
      </c>
      <c r="G939" s="2284">
        <v>0</v>
      </c>
      <c r="H939" s="2284">
        <v>0</v>
      </c>
      <c r="I939" s="2284">
        <v>0</v>
      </c>
      <c r="J939" s="2285"/>
      <c r="K939" s="2285"/>
      <c r="L939" s="2332">
        <f t="shared" si="108"/>
        <v>1</v>
      </c>
      <c r="M939" s="2332">
        <f t="shared" si="108"/>
        <v>0</v>
      </c>
      <c r="N939" s="2332">
        <f t="shared" si="108"/>
        <v>0</v>
      </c>
      <c r="O939" s="2332">
        <f t="shared" si="108"/>
        <v>0</v>
      </c>
      <c r="P939" s="2332">
        <f t="shared" si="103"/>
        <v>0</v>
      </c>
      <c r="Q939" s="2333" t="s">
        <v>921</v>
      </c>
      <c r="R939" s="2333" t="s">
        <v>99</v>
      </c>
      <c r="S939" s="2334">
        <f t="shared" si="104"/>
        <v>300</v>
      </c>
      <c r="T939" s="2334">
        <f t="shared" si="105"/>
        <v>132.05884313877982</v>
      </c>
      <c r="U939" s="2334">
        <f t="shared" si="106"/>
        <v>0</v>
      </c>
      <c r="V939" s="2334">
        <f t="shared" si="107"/>
        <v>167.94115686122015</v>
      </c>
      <c r="W939" s="2333" t="s">
        <v>90</v>
      </c>
      <c r="X939" s="2201" t="s">
        <v>5587</v>
      </c>
    </row>
    <row r="940" spans="1:24" outlineLevel="2" x14ac:dyDescent="0.2">
      <c r="A940" s="2276" t="s">
        <v>4611</v>
      </c>
      <c r="B940" s="2276" t="s">
        <v>4612</v>
      </c>
      <c r="C940" s="2276" t="s">
        <v>4793</v>
      </c>
      <c r="D940" s="2276" t="s">
        <v>4794</v>
      </c>
      <c r="E940" s="2276" t="s">
        <v>936</v>
      </c>
      <c r="F940" s="2277">
        <v>72.599260000000001</v>
      </c>
      <c r="G940" s="2277">
        <v>0</v>
      </c>
      <c r="H940" s="2277">
        <v>0</v>
      </c>
      <c r="I940" s="2277">
        <v>0</v>
      </c>
      <c r="J940" s="2278"/>
      <c r="K940" s="2278"/>
      <c r="L940" s="2289">
        <f t="shared" si="108"/>
        <v>1</v>
      </c>
      <c r="M940" s="2289">
        <f t="shared" si="108"/>
        <v>0</v>
      </c>
      <c r="N940" s="2289">
        <f t="shared" si="108"/>
        <v>0</v>
      </c>
      <c r="O940" s="2289">
        <f t="shared" si="108"/>
        <v>0</v>
      </c>
      <c r="P940" s="2289">
        <f t="shared" si="103"/>
        <v>0</v>
      </c>
      <c r="Q940" s="2278"/>
      <c r="R940" s="2290" t="s">
        <v>99</v>
      </c>
      <c r="S940" s="2291">
        <f t="shared" si="104"/>
        <v>72.599260000000001</v>
      </c>
      <c r="T940" s="2291">
        <f>IF($R940="PTD",$S940*M$1016,IF($R940="PROD",$S940*M$1017,IF($R940="TRANS",$S940*M$1018,IF($R940="DIST",$S940*M$1019,IF($R940="LABOR",$S940*M$1020,IF($R940="TD",$S940*M$1021))))))</f>
        <v>31.957914294438307</v>
      </c>
      <c r="U940" s="2291">
        <f>IF($R940="PTD",$S940*N$1016,IF($R940="PROD",$S940*N$1017,IF($R940="TRANS",$S940*N$1018,IF($R940="DIST",$S940*N$1019,IF($R940="LABOR",$S940*N$1020,IF($R940="TD",$S940*N$1021))))))</f>
        <v>0</v>
      </c>
      <c r="V940" s="2291">
        <f>IF($R940="PTD",$S940*O$1016,IF($R940="PROD",$S940*O$1017,IF($R940="TRANS",$S940*O$1018,IF($R940="DIST",$S940*O$1019,IF($R940="LABOR",$S940*O$1020,IF($R940="TD",$S940*O$1021))))))</f>
        <v>40.641345705561683</v>
      </c>
      <c r="W940" s="2290" t="s">
        <v>90</v>
      </c>
      <c r="X940" s="2201" t="s">
        <v>5587</v>
      </c>
    </row>
    <row r="941" spans="1:24" outlineLevel="2" x14ac:dyDescent="0.2">
      <c r="A941" s="2280" t="s">
        <v>4611</v>
      </c>
      <c r="B941" s="2280" t="s">
        <v>4612</v>
      </c>
      <c r="C941" s="2280" t="s">
        <v>4795</v>
      </c>
      <c r="D941" s="2280" t="s">
        <v>4796</v>
      </c>
      <c r="E941" s="2280" t="s">
        <v>936</v>
      </c>
      <c r="F941" s="2281">
        <v>1849.4497200000001</v>
      </c>
      <c r="G941" s="2281">
        <v>0</v>
      </c>
      <c r="H941" s="2281">
        <v>0</v>
      </c>
      <c r="I941" s="2281">
        <v>0</v>
      </c>
      <c r="J941" s="2282"/>
      <c r="K941" s="2282"/>
      <c r="L941" s="2326">
        <f>F878/$F878</f>
        <v>1</v>
      </c>
      <c r="M941" s="2326">
        <f>G878/$F878</f>
        <v>0</v>
      </c>
      <c r="N941" s="2326">
        <f>H878/$F878</f>
        <v>0</v>
      </c>
      <c r="O941" s="2326">
        <f>I878/$F878</f>
        <v>0</v>
      </c>
      <c r="P941" s="2326">
        <f t="shared" si="103"/>
        <v>0</v>
      </c>
      <c r="Q941" s="2327" t="s">
        <v>912</v>
      </c>
      <c r="R941" s="2327" t="s">
        <v>99</v>
      </c>
      <c r="S941" s="2328">
        <f t="shared" si="104"/>
        <v>1849.4497200000001</v>
      </c>
      <c r="T941" s="2328">
        <f t="shared" ref="T941" si="109">IF($R941="PTD",$S941*M$1016,IF($R941="PROD",$S941*M$1017,IF($R941="TRANS",$S941*M$1018,IF($R941="DIST",$S941*M$1019,IF($R941="LABOR",$S941*M$1020,IF($R941="TD",$S941*M$1021))))))</f>
        <v>814.12063488846763</v>
      </c>
      <c r="U941" s="2328">
        <f t="shared" ref="U941" si="110">IF($R941="PTD",$S941*N$1016,IF($R941="PROD",$S941*N$1017,IF($R941="TRANS",$S941*N$1018,IF($R941="DIST",$S941*N$1019,IF($R941="LABOR",$S941*N$1020,IF($R941="TD",$S941*N$1021))))))</f>
        <v>0</v>
      </c>
      <c r="V941" s="2328">
        <f t="shared" ref="V941" si="111">IF($R941="PTD",$S941*O$1016,IF($R941="PROD",$S941*O$1017,IF($R941="TRANS",$S941*O$1018,IF($R941="DIST",$S941*O$1019,IF($R941="LABOR",$S941*O$1020,IF($R941="TD",$S941*O$1021))))))</f>
        <v>1035.3290851115323</v>
      </c>
      <c r="W941" s="2327" t="s">
        <v>90</v>
      </c>
    </row>
    <row r="942" spans="1:24" outlineLevel="2" x14ac:dyDescent="0.2">
      <c r="A942" s="2276" t="s">
        <v>4611</v>
      </c>
      <c r="B942" s="2276" t="s">
        <v>4612</v>
      </c>
      <c r="C942" s="2276" t="s">
        <v>4797</v>
      </c>
      <c r="D942" s="2276" t="s">
        <v>4798</v>
      </c>
      <c r="E942" s="2276" t="s">
        <v>936</v>
      </c>
      <c r="F942" s="2277">
        <v>28149.138869999999</v>
      </c>
      <c r="G942" s="2277">
        <v>0</v>
      </c>
      <c r="H942" s="2277">
        <v>0</v>
      </c>
      <c r="I942" s="2277">
        <v>0</v>
      </c>
      <c r="J942" s="2278"/>
      <c r="K942" s="2278"/>
      <c r="L942" s="2289">
        <f>F942/$F942</f>
        <v>1</v>
      </c>
      <c r="M942" s="2289">
        <f>G942/$F942</f>
        <v>0</v>
      </c>
      <c r="N942" s="2289">
        <f>H942/$F942</f>
        <v>0</v>
      </c>
      <c r="O942" s="2289">
        <f>I942/$F942</f>
        <v>0</v>
      </c>
      <c r="P942" s="2289">
        <f t="shared" ref="P942" si="112">SUM(M942:O942)</f>
        <v>0</v>
      </c>
      <c r="Q942" s="2278"/>
      <c r="R942" s="2290" t="s">
        <v>99</v>
      </c>
      <c r="S942" s="2291">
        <f t="shared" ref="S942" si="113">IF(R942=0,0,F942)</f>
        <v>28149.138869999999</v>
      </c>
      <c r="T942" s="2291">
        <f>IF($R942="PTD",$S942*M$1016,IF($R942="PROD",$S942*M$1017,IF($R942="TRANS",$S942*M$1018,IF($R942="DIST",$S942*M$1019,IF($R942="LABOR",$S942*M$1020,IF($R942="TD",$S942*M$1021))))))</f>
        <v>12391.1423817502</v>
      </c>
      <c r="U942" s="2291">
        <f>IF($R942="PTD",$S942*N$1016,IF($R942="PROD",$S942*N$1017,IF($R942="TRANS",$S942*N$1018,IF($R942="DIST",$S942*N$1019,IF($R942="LABOR",$S942*N$1020,IF($R942="TD",$S942*N$1021))))))</f>
        <v>0</v>
      </c>
      <c r="V942" s="2291">
        <f>IF($R942="PTD",$S942*O$1016,IF($R942="PROD",$S942*O$1017,IF($R942="TRANS",$S942*O$1018,IF($R942="DIST",$S942*O$1019,IF($R942="LABOR",$S942*O$1020,IF($R942="TD",$S942*O$1021))))))</f>
        <v>15757.996488249797</v>
      </c>
      <c r="W942" s="2290" t="s">
        <v>90</v>
      </c>
      <c r="X942" s="2201" t="s">
        <v>5587</v>
      </c>
    </row>
    <row r="943" spans="1:24" outlineLevel="2" x14ac:dyDescent="0.2">
      <c r="A943" s="1980" t="s">
        <v>4611</v>
      </c>
      <c r="B943" s="1980" t="s">
        <v>4612</v>
      </c>
      <c r="C943" s="1980" t="s">
        <v>4799</v>
      </c>
      <c r="D943" s="1980" t="s">
        <v>4800</v>
      </c>
      <c r="E943" s="1980" t="s">
        <v>936</v>
      </c>
      <c r="F943" s="1962">
        <v>3586.7857300000001</v>
      </c>
      <c r="G943" s="1962">
        <v>0</v>
      </c>
      <c r="H943" s="1962">
        <v>0</v>
      </c>
      <c r="I943" s="1962">
        <v>0</v>
      </c>
      <c r="J943" s="1953" t="s">
        <v>918</v>
      </c>
    </row>
    <row r="944" spans="1:24" outlineLevel="2" x14ac:dyDescent="0.2">
      <c r="A944" s="2280" t="s">
        <v>4611</v>
      </c>
      <c r="B944" s="2280" t="s">
        <v>4612</v>
      </c>
      <c r="C944" s="2280" t="s">
        <v>4801</v>
      </c>
      <c r="D944" s="2280" t="s">
        <v>4802</v>
      </c>
      <c r="E944" s="2280" t="s">
        <v>936</v>
      </c>
      <c r="F944" s="2281">
        <v>45633.662669999998</v>
      </c>
      <c r="G944" s="2281">
        <v>0</v>
      </c>
      <c r="H944" s="2281">
        <v>0</v>
      </c>
      <c r="I944" s="2281">
        <v>0</v>
      </c>
      <c r="J944" s="2282"/>
      <c r="K944" s="2282"/>
      <c r="L944" s="2326">
        <f>F881/$F881</f>
        <v>1</v>
      </c>
      <c r="M944" s="2326">
        <f>G881/$F881</f>
        <v>1</v>
      </c>
      <c r="N944" s="2326">
        <f>H881/$F881</f>
        <v>0</v>
      </c>
      <c r="O944" s="2326">
        <f>I881/$F881</f>
        <v>0</v>
      </c>
      <c r="P944" s="2326">
        <f t="shared" ref="P944" si="114">SUM(M944:O944)</f>
        <v>1</v>
      </c>
      <c r="Q944" s="2327" t="s">
        <v>912</v>
      </c>
      <c r="R944" s="2327" t="s">
        <v>394</v>
      </c>
      <c r="S944" s="2328">
        <f t="shared" ref="S944" si="115">IF(R944=0,0,F944)</f>
        <v>45633.662669999998</v>
      </c>
      <c r="T944" s="2328">
        <f t="shared" ref="T944" si="116">IF($R944="PTD",$S944*M$1016,IF($R944="PROD",$S944*M$1017,IF($R944="TRANS",$S944*M$1018,IF($R944="DIST",$S944*M$1019,IF($R944="LABOR",$S944*M$1020,IF($R944="TD",$S944*M$1021))))))</f>
        <v>45633.662669999998</v>
      </c>
      <c r="U944" s="2328">
        <f t="shared" ref="U944" si="117">IF($R944="PTD",$S944*N$1016,IF($R944="PROD",$S944*N$1017,IF($R944="TRANS",$S944*N$1018,IF($R944="DIST",$S944*N$1019,IF($R944="LABOR",$S944*N$1020,IF($R944="TD",$S944*N$1021))))))</f>
        <v>0</v>
      </c>
      <c r="V944" s="2328">
        <f t="shared" ref="V944" si="118">IF($R944="PTD",$S944*O$1016,IF($R944="PROD",$S944*O$1017,IF($R944="TRANS",$S944*O$1018,IF($R944="DIST",$S944*O$1019,IF($R944="LABOR",$S944*O$1020,IF($R944="TD",$S944*O$1021))))))</f>
        <v>0</v>
      </c>
      <c r="W944" s="2327" t="s">
        <v>90</v>
      </c>
    </row>
    <row r="945" spans="1:24" outlineLevel="2" x14ac:dyDescent="0.2">
      <c r="A945" s="1980" t="s">
        <v>4611</v>
      </c>
      <c r="B945" s="1980" t="s">
        <v>4612</v>
      </c>
      <c r="C945" s="1980" t="s">
        <v>4803</v>
      </c>
      <c r="D945" s="1980" t="s">
        <v>4804</v>
      </c>
      <c r="E945" s="1980" t="s">
        <v>936</v>
      </c>
      <c r="F945" s="1962">
        <v>404.64690999999999</v>
      </c>
      <c r="G945" s="1962">
        <v>0</v>
      </c>
      <c r="H945" s="1962">
        <v>0</v>
      </c>
      <c r="I945" s="1962">
        <v>0</v>
      </c>
      <c r="J945" s="1953" t="s">
        <v>918</v>
      </c>
    </row>
    <row r="946" spans="1:24" outlineLevel="2" x14ac:dyDescent="0.2">
      <c r="A946" s="1980" t="s">
        <v>4611</v>
      </c>
      <c r="B946" s="1980" t="s">
        <v>4612</v>
      </c>
      <c r="C946" s="1980" t="s">
        <v>4805</v>
      </c>
      <c r="D946" s="1980" t="s">
        <v>4806</v>
      </c>
      <c r="E946" s="1980" t="s">
        <v>936</v>
      </c>
      <c r="F946" s="1962">
        <v>37522.066189999998</v>
      </c>
      <c r="G946" s="1962">
        <v>0</v>
      </c>
      <c r="H946" s="1962">
        <v>0</v>
      </c>
      <c r="I946" s="1962">
        <v>0</v>
      </c>
      <c r="J946" s="1953" t="s">
        <v>918</v>
      </c>
    </row>
    <row r="947" spans="1:24" outlineLevel="2" x14ac:dyDescent="0.2">
      <c r="A947" s="1980" t="s">
        <v>4611</v>
      </c>
      <c r="B947" s="1980" t="s">
        <v>4612</v>
      </c>
      <c r="C947" s="1980" t="s">
        <v>4807</v>
      </c>
      <c r="D947" s="1980" t="s">
        <v>4808</v>
      </c>
      <c r="E947" s="1980" t="s">
        <v>936</v>
      </c>
      <c r="F947" s="1962">
        <v>-2033.0253700000001</v>
      </c>
      <c r="G947" s="1962">
        <v>0</v>
      </c>
      <c r="H947" s="1962">
        <v>0</v>
      </c>
      <c r="I947" s="1962">
        <v>0</v>
      </c>
      <c r="J947" s="1953" t="s">
        <v>918</v>
      </c>
    </row>
    <row r="948" spans="1:24" outlineLevel="2" x14ac:dyDescent="0.2">
      <c r="A948" s="1980" t="s">
        <v>4611</v>
      </c>
      <c r="B948" s="1980" t="s">
        <v>4612</v>
      </c>
      <c r="C948" s="1980" t="s">
        <v>4809</v>
      </c>
      <c r="D948" s="1980" t="s">
        <v>4810</v>
      </c>
      <c r="E948" s="1980" t="s">
        <v>936</v>
      </c>
      <c r="F948" s="1962">
        <v>3138.5786199999998</v>
      </c>
      <c r="G948" s="1962">
        <v>0</v>
      </c>
      <c r="H948" s="1962">
        <v>0</v>
      </c>
      <c r="I948" s="1962">
        <v>0</v>
      </c>
      <c r="J948" s="1953" t="s">
        <v>918</v>
      </c>
    </row>
    <row r="949" spans="1:24" outlineLevel="2" x14ac:dyDescent="0.2">
      <c r="A949" s="1980" t="s">
        <v>4611</v>
      </c>
      <c r="B949" s="1980" t="s">
        <v>4612</v>
      </c>
      <c r="C949" s="1980" t="s">
        <v>4811</v>
      </c>
      <c r="D949" s="1980" t="s">
        <v>4812</v>
      </c>
      <c r="E949" s="1980" t="s">
        <v>936</v>
      </c>
      <c r="F949" s="1962">
        <v>88.467420000000004</v>
      </c>
      <c r="G949" s="1962">
        <v>0</v>
      </c>
      <c r="H949" s="1962">
        <v>0</v>
      </c>
      <c r="I949" s="1962">
        <v>0</v>
      </c>
      <c r="J949" s="1953" t="s">
        <v>918</v>
      </c>
    </row>
    <row r="950" spans="1:24" outlineLevel="2" x14ac:dyDescent="0.2">
      <c r="A950" s="1980" t="s">
        <v>4611</v>
      </c>
      <c r="B950" s="1980" t="s">
        <v>4612</v>
      </c>
      <c r="C950" s="1980" t="s">
        <v>4813</v>
      </c>
      <c r="D950" s="1980" t="s">
        <v>4814</v>
      </c>
      <c r="E950" s="1980" t="s">
        <v>936</v>
      </c>
      <c r="F950" s="1962">
        <v>6.4466099999999997</v>
      </c>
      <c r="G950" s="1962">
        <v>0</v>
      </c>
      <c r="H950" s="1962">
        <v>0</v>
      </c>
      <c r="I950" s="1962">
        <v>0</v>
      </c>
      <c r="J950" s="1953" t="s">
        <v>918</v>
      </c>
    </row>
    <row r="951" spans="1:24" outlineLevel="2" x14ac:dyDescent="0.2">
      <c r="A951" s="1980" t="s">
        <v>4611</v>
      </c>
      <c r="B951" s="1980" t="s">
        <v>4612</v>
      </c>
      <c r="C951" s="1980" t="s">
        <v>4815</v>
      </c>
      <c r="D951" s="1980" t="s">
        <v>4816</v>
      </c>
      <c r="E951" s="1980" t="s">
        <v>936</v>
      </c>
      <c r="F951" s="1962">
        <v>21662.662660000002</v>
      </c>
      <c r="G951" s="1962">
        <v>0</v>
      </c>
      <c r="H951" s="1962">
        <v>0</v>
      </c>
      <c r="I951" s="1962">
        <v>0</v>
      </c>
      <c r="J951" s="1953" t="s">
        <v>920</v>
      </c>
    </row>
    <row r="952" spans="1:24" outlineLevel="2" x14ac:dyDescent="0.2">
      <c r="A952" s="1980" t="s">
        <v>4611</v>
      </c>
      <c r="B952" s="1980" t="s">
        <v>4612</v>
      </c>
      <c r="C952" s="1980" t="s">
        <v>4817</v>
      </c>
      <c r="D952" s="1980" t="s">
        <v>4818</v>
      </c>
      <c r="E952" s="1980" t="s">
        <v>936</v>
      </c>
      <c r="F952" s="1962">
        <v>-18333.84002</v>
      </c>
      <c r="G952" s="1962">
        <v>0</v>
      </c>
      <c r="H952" s="1962">
        <v>0</v>
      </c>
      <c r="I952" s="1962">
        <v>0</v>
      </c>
      <c r="J952" s="1953" t="s">
        <v>920</v>
      </c>
    </row>
    <row r="953" spans="1:24" outlineLevel="2" x14ac:dyDescent="0.2">
      <c r="A953" s="2280" t="s">
        <v>4611</v>
      </c>
      <c r="B953" s="2280" t="s">
        <v>4612</v>
      </c>
      <c r="C953" s="2280" t="s">
        <v>4819</v>
      </c>
      <c r="D953" s="2280" t="s">
        <v>4820</v>
      </c>
      <c r="E953" s="2280" t="s">
        <v>936</v>
      </c>
      <c r="F953" s="2281">
        <v>30979.135490000001</v>
      </c>
      <c r="G953" s="2281">
        <v>0</v>
      </c>
      <c r="H953" s="2281">
        <v>0</v>
      </c>
      <c r="I953" s="2281">
        <v>0</v>
      </c>
      <c r="J953" s="2282"/>
      <c r="K953" s="2282"/>
      <c r="L953" s="2326">
        <f t="shared" ref="L953:O953" si="119">F890/$F890</f>
        <v>1</v>
      </c>
      <c r="M953" s="2326">
        <f t="shared" si="119"/>
        <v>0</v>
      </c>
      <c r="N953" s="2326">
        <f t="shared" si="119"/>
        <v>0</v>
      </c>
      <c r="O953" s="2326">
        <f t="shared" si="119"/>
        <v>0</v>
      </c>
      <c r="P953" s="2326">
        <f t="shared" ref="P953:P957" si="120">SUM(M953:O953)</f>
        <v>0</v>
      </c>
      <c r="Q953" s="2327" t="s">
        <v>912</v>
      </c>
      <c r="R953" s="2327" t="s">
        <v>392</v>
      </c>
      <c r="S953" s="2328">
        <f t="shared" ref="S953:S957" si="121">IF(R953=0,0,F953)</f>
        <v>30979.135490000001</v>
      </c>
      <c r="T953" s="2328">
        <f t="shared" ref="T953:T957" si="122">IF($R953="PTD",$S953*M$1016,IF($R953="PROD",$S953*M$1017,IF($R953="TRANS",$S953*M$1018,IF($R953="DIST",$S953*M$1019,IF($R953="LABOR",$S953*M$1020,IF($R953="TD",$S953*M$1021))))))</f>
        <v>0</v>
      </c>
      <c r="U953" s="2328">
        <f t="shared" ref="U953:U957" si="123">IF($R953="PTD",$S953*N$1016,IF($R953="PROD",$S953*N$1017,IF($R953="TRANS",$S953*N$1018,IF($R953="DIST",$S953*N$1019,IF($R953="LABOR",$S953*N$1020,IF($R953="TD",$S953*N$1021))))))</f>
        <v>0</v>
      </c>
      <c r="V953" s="2328">
        <f t="shared" ref="V953:V957" si="124">IF($R953="PTD",$S953*O$1016,IF($R953="PROD",$S953*O$1017,IF($R953="TRANS",$S953*O$1018,IF($R953="DIST",$S953*O$1019,IF($R953="LABOR",$S953*O$1020,IF($R953="TD",$S953*O$1021))))))</f>
        <v>30979.135490000001</v>
      </c>
      <c r="W953" s="2327" t="s">
        <v>90</v>
      </c>
    </row>
    <row r="954" spans="1:24" outlineLevel="2" x14ac:dyDescent="0.2">
      <c r="A954" s="2280" t="s">
        <v>4611</v>
      </c>
      <c r="B954" s="2280" t="s">
        <v>4612</v>
      </c>
      <c r="C954" s="2280" t="s">
        <v>4821</v>
      </c>
      <c r="D954" s="2280" t="s">
        <v>4822</v>
      </c>
      <c r="E954" s="2280" t="s">
        <v>912</v>
      </c>
      <c r="F954" s="2281">
        <v>1743.7246500000001</v>
      </c>
      <c r="G954" s="2281">
        <v>1743.7246500000001</v>
      </c>
      <c r="H954" s="2281">
        <v>0</v>
      </c>
      <c r="I954" s="2281">
        <v>0</v>
      </c>
      <c r="J954" s="2282"/>
      <c r="K954" s="2282"/>
      <c r="L954" s="2326">
        <f t="shared" ref="L954:O954" si="125">F891/$F891</f>
        <v>1</v>
      </c>
      <c r="M954" s="2326">
        <f t="shared" si="125"/>
        <v>0</v>
      </c>
      <c r="N954" s="2326">
        <f t="shared" si="125"/>
        <v>0</v>
      </c>
      <c r="O954" s="2326">
        <f t="shared" si="125"/>
        <v>0</v>
      </c>
      <c r="P954" s="2326">
        <f t="shared" si="120"/>
        <v>0</v>
      </c>
      <c r="Q954" s="2327" t="s">
        <v>912</v>
      </c>
      <c r="R954" s="2327" t="s">
        <v>392</v>
      </c>
      <c r="S954" s="2328">
        <f t="shared" si="121"/>
        <v>1743.7246500000001</v>
      </c>
      <c r="T954" s="2328">
        <f t="shared" si="122"/>
        <v>0</v>
      </c>
      <c r="U954" s="2328">
        <f t="shared" si="123"/>
        <v>0</v>
      </c>
      <c r="V954" s="2328">
        <f t="shared" si="124"/>
        <v>1743.7246500000001</v>
      </c>
      <c r="W954" s="2327" t="s">
        <v>90</v>
      </c>
    </row>
    <row r="955" spans="1:24" outlineLevel="2" x14ac:dyDescent="0.2">
      <c r="A955" s="2280" t="s">
        <v>4611</v>
      </c>
      <c r="B955" s="2280" t="s">
        <v>4612</v>
      </c>
      <c r="C955" s="2280" t="s">
        <v>4823</v>
      </c>
      <c r="D955" s="2280" t="s">
        <v>4824</v>
      </c>
      <c r="E955" s="2280" t="s">
        <v>936</v>
      </c>
      <c r="F955" s="2281">
        <v>24637.272150000001</v>
      </c>
      <c r="G955" s="2281">
        <v>0</v>
      </c>
      <c r="H955" s="2281">
        <v>0</v>
      </c>
      <c r="I955" s="2281">
        <v>0</v>
      </c>
      <c r="J955" s="2282"/>
      <c r="K955" s="2282"/>
      <c r="L955" s="2326">
        <f t="shared" ref="L955:O955" si="126">F892/$F892</f>
        <v>1</v>
      </c>
      <c r="M955" s="2326">
        <f t="shared" si="126"/>
        <v>0</v>
      </c>
      <c r="N955" s="2326">
        <f t="shared" si="126"/>
        <v>0</v>
      </c>
      <c r="O955" s="2326">
        <f t="shared" si="126"/>
        <v>0</v>
      </c>
      <c r="P955" s="2326">
        <f t="shared" si="120"/>
        <v>0</v>
      </c>
      <c r="Q955" s="2327" t="s">
        <v>912</v>
      </c>
      <c r="R955" s="2327" t="s">
        <v>392</v>
      </c>
      <c r="S955" s="2328">
        <f t="shared" si="121"/>
        <v>24637.272150000001</v>
      </c>
      <c r="T955" s="2328">
        <f t="shared" si="122"/>
        <v>0</v>
      </c>
      <c r="U955" s="2328">
        <f t="shared" si="123"/>
        <v>0</v>
      </c>
      <c r="V955" s="2328">
        <f t="shared" si="124"/>
        <v>24637.272150000001</v>
      </c>
      <c r="W955" s="2327" t="s">
        <v>90</v>
      </c>
    </row>
    <row r="956" spans="1:24" outlineLevel="2" x14ac:dyDescent="0.2">
      <c r="A956" s="2280" t="s">
        <v>4611</v>
      </c>
      <c r="B956" s="2280" t="s">
        <v>4612</v>
      </c>
      <c r="C956" s="2280" t="s">
        <v>4825</v>
      </c>
      <c r="D956" s="2280" t="s">
        <v>4826</v>
      </c>
      <c r="E956" s="2280" t="s">
        <v>936</v>
      </c>
      <c r="F956" s="2281">
        <v>-1868.37646</v>
      </c>
      <c r="G956" s="2281">
        <v>0</v>
      </c>
      <c r="H956" s="2281">
        <v>0</v>
      </c>
      <c r="I956" s="2281">
        <v>0</v>
      </c>
      <c r="J956" s="2282"/>
      <c r="K956" s="2282"/>
      <c r="L956" s="2326">
        <f t="shared" ref="L956:O956" si="127">F893/$F893</f>
        <v>1</v>
      </c>
      <c r="M956" s="2326">
        <f t="shared" si="127"/>
        <v>0</v>
      </c>
      <c r="N956" s="2326">
        <f t="shared" si="127"/>
        <v>0</v>
      </c>
      <c r="O956" s="2326">
        <f t="shared" si="127"/>
        <v>0</v>
      </c>
      <c r="P956" s="2326">
        <f t="shared" si="120"/>
        <v>0</v>
      </c>
      <c r="Q956" s="2327" t="s">
        <v>912</v>
      </c>
      <c r="R956" s="2327" t="s">
        <v>392</v>
      </c>
      <c r="S956" s="2328">
        <f t="shared" si="121"/>
        <v>-1868.37646</v>
      </c>
      <c r="T956" s="2328">
        <f t="shared" si="122"/>
        <v>0</v>
      </c>
      <c r="U956" s="2328">
        <f t="shared" si="123"/>
        <v>0</v>
      </c>
      <c r="V956" s="2328">
        <f t="shared" si="124"/>
        <v>-1868.37646</v>
      </c>
      <c r="W956" s="2327" t="s">
        <v>90</v>
      </c>
    </row>
    <row r="957" spans="1:24" outlineLevel="2" x14ac:dyDescent="0.2">
      <c r="A957" s="2280" t="s">
        <v>4611</v>
      </c>
      <c r="B957" s="2280" t="s">
        <v>4612</v>
      </c>
      <c r="C957" s="2280" t="s">
        <v>4827</v>
      </c>
      <c r="D957" s="2280" t="s">
        <v>4828</v>
      </c>
      <c r="E957" s="2280" t="s">
        <v>936</v>
      </c>
      <c r="F957" s="2281">
        <v>16263.76355</v>
      </c>
      <c r="G957" s="2281">
        <v>0</v>
      </c>
      <c r="H957" s="2281">
        <v>0</v>
      </c>
      <c r="I957" s="2281">
        <v>0</v>
      </c>
      <c r="J957" s="2282"/>
      <c r="K957" s="2282"/>
      <c r="L957" s="2326">
        <f t="shared" ref="L957:O957" si="128">F894/$F894</f>
        <v>1</v>
      </c>
      <c r="M957" s="2326">
        <f t="shared" si="128"/>
        <v>0</v>
      </c>
      <c r="N957" s="2326">
        <f t="shared" si="128"/>
        <v>0</v>
      </c>
      <c r="O957" s="2326">
        <f t="shared" si="128"/>
        <v>0</v>
      </c>
      <c r="P957" s="2326">
        <f t="shared" si="120"/>
        <v>0</v>
      </c>
      <c r="Q957" s="2327" t="s">
        <v>912</v>
      </c>
      <c r="R957" s="2327" t="s">
        <v>392</v>
      </c>
      <c r="S957" s="2328">
        <f t="shared" si="121"/>
        <v>16263.76355</v>
      </c>
      <c r="T957" s="2328">
        <f t="shared" si="122"/>
        <v>0</v>
      </c>
      <c r="U957" s="2328">
        <f t="shared" si="123"/>
        <v>0</v>
      </c>
      <c r="V957" s="2328">
        <f t="shared" si="124"/>
        <v>16263.76355</v>
      </c>
      <c r="W957" s="2327" t="s">
        <v>90</v>
      </c>
      <c r="X957" s="2201" t="s">
        <v>5587</v>
      </c>
    </row>
    <row r="958" spans="1:24" outlineLevel="2" x14ac:dyDescent="0.2">
      <c r="A958" s="1980" t="s">
        <v>4611</v>
      </c>
      <c r="B958" s="1980" t="s">
        <v>4612</v>
      </c>
      <c r="C958" s="1980" t="s">
        <v>4829</v>
      </c>
      <c r="D958" s="1980" t="s">
        <v>4830</v>
      </c>
      <c r="E958" s="1980" t="s">
        <v>936</v>
      </c>
      <c r="F958" s="1962">
        <v>-51756.559220000003</v>
      </c>
      <c r="G958" s="1962">
        <v>0</v>
      </c>
      <c r="H958" s="1962">
        <v>0</v>
      </c>
      <c r="I958" s="1962">
        <v>0</v>
      </c>
      <c r="J958" s="2069" t="s">
        <v>5694</v>
      </c>
    </row>
    <row r="959" spans="1:24" outlineLevel="2" x14ac:dyDescent="0.2">
      <c r="A959" s="2276" t="s">
        <v>4611</v>
      </c>
      <c r="B959" s="2276" t="s">
        <v>4612</v>
      </c>
      <c r="C959" s="2276" t="s">
        <v>4831</v>
      </c>
      <c r="D959" s="2276" t="s">
        <v>4832</v>
      </c>
      <c r="E959" s="2276" t="s">
        <v>1083</v>
      </c>
      <c r="F959" s="2277">
        <v>4730.4951099999998</v>
      </c>
      <c r="G959" s="2277">
        <v>1281.6752539308111</v>
      </c>
      <c r="H959" s="2277">
        <v>360.36480782835872</v>
      </c>
      <c r="I959" s="2277">
        <v>256.09179267259304</v>
      </c>
      <c r="J959" s="2278"/>
      <c r="K959" s="2278"/>
      <c r="L959" s="2289">
        <f>F959/$F959</f>
        <v>1</v>
      </c>
      <c r="M959" s="2289">
        <f>G959/$F959</f>
        <v>0.27093892375481415</v>
      </c>
      <c r="N959" s="2289">
        <f>H959/$F959</f>
        <v>7.6179088963979236E-2</v>
      </c>
      <c r="O959" s="2289">
        <f>I959/$F959</f>
        <v>5.4136361357023592E-2</v>
      </c>
      <c r="P959" s="2289">
        <f t="shared" ref="P959" si="129">SUM(M959:O959)</f>
        <v>0.40125437407581699</v>
      </c>
      <c r="Q959" s="2278"/>
      <c r="R959" s="2290" t="s">
        <v>394</v>
      </c>
      <c r="S959" s="2291">
        <f t="shared" ref="S959" si="130">IF(R959=0,0,F959)</f>
        <v>4730.4951099999998</v>
      </c>
      <c r="T959" s="2291">
        <f>IF($R959="PTD",$S959*M$1016,IF($R959="PROD",$S959*M$1017,IF($R959="TRANS",$S959*M$1018,IF($R959="DIST",$S959*M$1019,IF($R959="LABOR",$S959*M$1020,IF($R959="TD",$S959*M$1021))))))</f>
        <v>4730.4951099999998</v>
      </c>
      <c r="U959" s="2291">
        <f>IF($R959="PTD",$S959*N$1016,IF($R959="PROD",$S959*N$1017,IF($R959="TRANS",$S959*N$1018,IF($R959="DIST",$S959*N$1019,IF($R959="LABOR",$S959*N$1020,IF($R959="TD",$S959*N$1021))))))</f>
        <v>0</v>
      </c>
      <c r="V959" s="2291">
        <f>IF($R959="PTD",$S959*O$1016,IF($R959="PROD",$S959*O$1017,IF($R959="TRANS",$S959*O$1018,IF($R959="DIST",$S959*O$1019,IF($R959="LABOR",$S959*O$1020,IF($R959="TD",$S959*O$1021))))))</f>
        <v>0</v>
      </c>
      <c r="W959" s="2290" t="s">
        <v>90</v>
      </c>
      <c r="X959" s="2201" t="s">
        <v>5587</v>
      </c>
    </row>
    <row r="960" spans="1:24" outlineLevel="2" x14ac:dyDescent="0.2">
      <c r="A960" s="1980" t="s">
        <v>4611</v>
      </c>
      <c r="B960" s="1980" t="s">
        <v>4612</v>
      </c>
      <c r="C960" s="1980" t="s">
        <v>4833</v>
      </c>
      <c r="D960" s="1980" t="s">
        <v>4834</v>
      </c>
      <c r="E960" s="1980" t="s">
        <v>936</v>
      </c>
      <c r="F960" s="1962">
        <v>16389.768059999999</v>
      </c>
      <c r="G960" s="1962">
        <v>0</v>
      </c>
      <c r="H960" s="1962">
        <v>0</v>
      </c>
      <c r="I960" s="1962">
        <v>0</v>
      </c>
      <c r="J960" s="1953" t="s">
        <v>918</v>
      </c>
    </row>
    <row r="961" spans="1:24" outlineLevel="2" x14ac:dyDescent="0.2">
      <c r="A961" s="1980" t="s">
        <v>4611</v>
      </c>
      <c r="B961" s="1980" t="s">
        <v>4612</v>
      </c>
      <c r="C961" s="1980" t="s">
        <v>4835</v>
      </c>
      <c r="D961" s="1980" t="s">
        <v>4836</v>
      </c>
      <c r="E961" s="1980" t="s">
        <v>936</v>
      </c>
      <c r="F961" s="1962">
        <v>-819.55560000000003</v>
      </c>
      <c r="G961" s="1962">
        <v>0</v>
      </c>
      <c r="H961" s="1962">
        <v>0</v>
      </c>
      <c r="I961" s="1962">
        <v>0</v>
      </c>
      <c r="J961" s="1953" t="s">
        <v>918</v>
      </c>
    </row>
    <row r="962" spans="1:24" outlineLevel="2" x14ac:dyDescent="0.2">
      <c r="A962" s="1980" t="s">
        <v>4611</v>
      </c>
      <c r="B962" s="1980" t="s">
        <v>4612</v>
      </c>
      <c r="C962" s="1980" t="s">
        <v>4837</v>
      </c>
      <c r="D962" s="1980" t="s">
        <v>4838</v>
      </c>
      <c r="E962" s="1980" t="s">
        <v>936</v>
      </c>
      <c r="F962" s="1962">
        <v>-16561.962780000002</v>
      </c>
      <c r="G962" s="1962">
        <v>0</v>
      </c>
      <c r="H962" s="1962">
        <v>0</v>
      </c>
      <c r="I962" s="1962">
        <v>0</v>
      </c>
      <c r="J962" s="2069" t="s">
        <v>5694</v>
      </c>
    </row>
    <row r="963" spans="1:24" outlineLevel="2" x14ac:dyDescent="0.2">
      <c r="A963" s="2286" t="s">
        <v>4611</v>
      </c>
      <c r="B963" s="2286" t="s">
        <v>4612</v>
      </c>
      <c r="C963" s="2286" t="s">
        <v>4839</v>
      </c>
      <c r="D963" s="2286" t="s">
        <v>4840</v>
      </c>
      <c r="E963" s="2286" t="s">
        <v>936</v>
      </c>
      <c r="F963" s="2287">
        <v>12776.030430000001</v>
      </c>
      <c r="G963" s="2287">
        <v>0</v>
      </c>
      <c r="H963" s="2287">
        <v>0</v>
      </c>
      <c r="I963" s="2287">
        <v>0</v>
      </c>
      <c r="J963" s="2288"/>
      <c r="K963" s="2288"/>
      <c r="L963" s="2329">
        <f t="shared" ref="L963:L966" si="131">F963/$F963</f>
        <v>1</v>
      </c>
      <c r="M963" s="2329">
        <f t="shared" ref="M963:M966" si="132">G963/$F963</f>
        <v>0</v>
      </c>
      <c r="N963" s="2329">
        <f t="shared" ref="N963:N966" si="133">H963/$F963</f>
        <v>0</v>
      </c>
      <c r="O963" s="2329">
        <f t="shared" ref="O963:O966" si="134">I963/$F963</f>
        <v>0</v>
      </c>
      <c r="P963" s="2329">
        <f t="shared" ref="P963:P966" si="135">SUM(M963:O963)</f>
        <v>0</v>
      </c>
      <c r="Q963" s="2330" t="s">
        <v>5462</v>
      </c>
      <c r="R963" s="2330" t="s">
        <v>394</v>
      </c>
      <c r="S963" s="2331">
        <f t="shared" ref="S963:S966" si="136">IF(R963=0,0,F963)</f>
        <v>12776.030430000001</v>
      </c>
      <c r="T963" s="2331">
        <f t="shared" ref="T963:T966" si="137">IF($R963="PTD",$S963*M$1016,IF($R963="PROD",$S963*M$1017,IF($R963="TRANS",$S963*M$1018,IF($R963="DIST",$S963*M$1019,IF($R963="LABOR",$S963*M$1020,IF($R963="TD",$S963*M$1021))))))</f>
        <v>12776.030430000001</v>
      </c>
      <c r="U963" s="2331">
        <f t="shared" ref="U963:U966" si="138">IF($R963="PTD",$S963*N$1016,IF($R963="PROD",$S963*N$1017,IF($R963="TRANS",$S963*N$1018,IF($R963="DIST",$S963*N$1019,IF($R963="LABOR",$S963*N$1020,IF($R963="TD",$S963*N$1021))))))</f>
        <v>0</v>
      </c>
      <c r="V963" s="2331">
        <f t="shared" ref="V963:V966" si="139">IF($R963="PTD",$S963*O$1016,IF($R963="PROD",$S963*O$1017,IF($R963="TRANS",$S963*O$1018,IF($R963="DIST",$S963*O$1019,IF($R963="LABOR",$S963*O$1020,IF($R963="TD",$S963*O$1021))))))</f>
        <v>0</v>
      </c>
      <c r="W963" s="2330" t="s">
        <v>90</v>
      </c>
    </row>
    <row r="964" spans="1:24" outlineLevel="2" x14ac:dyDescent="0.2">
      <c r="A964" s="2286" t="s">
        <v>4611</v>
      </c>
      <c r="B964" s="2286" t="s">
        <v>4612</v>
      </c>
      <c r="C964" s="2286" t="s">
        <v>4841</v>
      </c>
      <c r="D964" s="2286" t="s">
        <v>4842</v>
      </c>
      <c r="E964" s="2286" t="s">
        <v>936</v>
      </c>
      <c r="F964" s="2287">
        <v>62732.234880000004</v>
      </c>
      <c r="G964" s="2287">
        <v>0</v>
      </c>
      <c r="H964" s="2287">
        <v>0</v>
      </c>
      <c r="I964" s="2287">
        <v>0</v>
      </c>
      <c r="J964" s="2288"/>
      <c r="K964" s="2288"/>
      <c r="L964" s="2329">
        <f t="shared" si="131"/>
        <v>1</v>
      </c>
      <c r="M964" s="2329">
        <f t="shared" si="132"/>
        <v>0</v>
      </c>
      <c r="N964" s="2329">
        <f t="shared" si="133"/>
        <v>0</v>
      </c>
      <c r="O964" s="2329">
        <f t="shared" si="134"/>
        <v>0</v>
      </c>
      <c r="P964" s="2329">
        <f t="shared" si="135"/>
        <v>0</v>
      </c>
      <c r="Q964" s="2330" t="s">
        <v>5462</v>
      </c>
      <c r="R964" s="2330" t="s">
        <v>394</v>
      </c>
      <c r="S964" s="2331">
        <f t="shared" si="136"/>
        <v>62732.234880000004</v>
      </c>
      <c r="T964" s="2331">
        <f t="shared" si="137"/>
        <v>62732.234880000004</v>
      </c>
      <c r="U964" s="2331">
        <f t="shared" si="138"/>
        <v>0</v>
      </c>
      <c r="V964" s="2331">
        <f t="shared" si="139"/>
        <v>0</v>
      </c>
      <c r="W964" s="2330" t="s">
        <v>90</v>
      </c>
      <c r="X964" s="2201" t="s">
        <v>5587</v>
      </c>
    </row>
    <row r="965" spans="1:24" outlineLevel="2" x14ac:dyDescent="0.2">
      <c r="A965" s="2286" t="s">
        <v>4611</v>
      </c>
      <c r="B965" s="2286" t="s">
        <v>4612</v>
      </c>
      <c r="C965" s="2286" t="s">
        <v>4843</v>
      </c>
      <c r="D965" s="2286" t="s">
        <v>4844</v>
      </c>
      <c r="E965" s="2286" t="s">
        <v>936</v>
      </c>
      <c r="F965" s="2287">
        <v>-1632.8196600000001</v>
      </c>
      <c r="G965" s="2287">
        <v>0</v>
      </c>
      <c r="H965" s="2287">
        <v>0</v>
      </c>
      <c r="I965" s="2287">
        <v>0</v>
      </c>
      <c r="J965" s="2288"/>
      <c r="K965" s="2288"/>
      <c r="L965" s="2329">
        <f t="shared" si="131"/>
        <v>1</v>
      </c>
      <c r="M965" s="2329">
        <f t="shared" si="132"/>
        <v>0</v>
      </c>
      <c r="N965" s="2329">
        <f t="shared" si="133"/>
        <v>0</v>
      </c>
      <c r="O965" s="2329">
        <f t="shared" si="134"/>
        <v>0</v>
      </c>
      <c r="P965" s="2329">
        <f t="shared" si="135"/>
        <v>0</v>
      </c>
      <c r="Q965" s="2330" t="s">
        <v>5462</v>
      </c>
      <c r="R965" s="2330" t="s">
        <v>394</v>
      </c>
      <c r="S965" s="2331">
        <f t="shared" si="136"/>
        <v>-1632.8196600000001</v>
      </c>
      <c r="T965" s="2331">
        <f t="shared" si="137"/>
        <v>-1632.8196600000001</v>
      </c>
      <c r="U965" s="2331">
        <f t="shared" si="138"/>
        <v>0</v>
      </c>
      <c r="V965" s="2331">
        <f t="shared" si="139"/>
        <v>0</v>
      </c>
      <c r="W965" s="2330" t="s">
        <v>90</v>
      </c>
    </row>
    <row r="966" spans="1:24" outlineLevel="2" x14ac:dyDescent="0.2">
      <c r="A966" s="2286" t="s">
        <v>4611</v>
      </c>
      <c r="B966" s="2286" t="s">
        <v>4612</v>
      </c>
      <c r="C966" s="2286" t="s">
        <v>4845</v>
      </c>
      <c r="D966" s="2286" t="s">
        <v>4846</v>
      </c>
      <c r="E966" s="2286" t="s">
        <v>936</v>
      </c>
      <c r="F966" s="2287">
        <v>-3136.61175</v>
      </c>
      <c r="G966" s="2287">
        <v>0</v>
      </c>
      <c r="H966" s="2287">
        <v>0</v>
      </c>
      <c r="I966" s="2287">
        <v>0</v>
      </c>
      <c r="J966" s="2288"/>
      <c r="K966" s="2288"/>
      <c r="L966" s="2329">
        <f t="shared" si="131"/>
        <v>1</v>
      </c>
      <c r="M966" s="2329">
        <f t="shared" si="132"/>
        <v>0</v>
      </c>
      <c r="N966" s="2329">
        <f t="shared" si="133"/>
        <v>0</v>
      </c>
      <c r="O966" s="2329">
        <f t="shared" si="134"/>
        <v>0</v>
      </c>
      <c r="P966" s="2329">
        <f t="shared" si="135"/>
        <v>0</v>
      </c>
      <c r="Q966" s="2330" t="s">
        <v>5462</v>
      </c>
      <c r="R966" s="2330" t="s">
        <v>394</v>
      </c>
      <c r="S966" s="2331">
        <f t="shared" si="136"/>
        <v>-3136.61175</v>
      </c>
      <c r="T966" s="2331">
        <f t="shared" si="137"/>
        <v>-3136.61175</v>
      </c>
      <c r="U966" s="2331">
        <f t="shared" si="138"/>
        <v>0</v>
      </c>
      <c r="V966" s="2331">
        <f t="shared" si="139"/>
        <v>0</v>
      </c>
      <c r="W966" s="2330" t="s">
        <v>90</v>
      </c>
      <c r="X966" s="2201" t="s">
        <v>5587</v>
      </c>
    </row>
    <row r="967" spans="1:24" outlineLevel="2" x14ac:dyDescent="0.2">
      <c r="A967" s="1980" t="s">
        <v>4611</v>
      </c>
      <c r="B967" s="1980" t="s">
        <v>4612</v>
      </c>
      <c r="C967" s="1980" t="s">
        <v>4847</v>
      </c>
      <c r="D967" s="1980" t="s">
        <v>4848</v>
      </c>
      <c r="E967" s="1980" t="s">
        <v>936</v>
      </c>
      <c r="F967" s="1962">
        <v>-45907.324260000001</v>
      </c>
      <c r="G967" s="1962">
        <v>0</v>
      </c>
      <c r="H967" s="1962">
        <v>0</v>
      </c>
      <c r="I967" s="1962">
        <v>0</v>
      </c>
      <c r="J967" s="2069" t="s">
        <v>5694</v>
      </c>
    </row>
    <row r="968" spans="1:24" outlineLevel="2" x14ac:dyDescent="0.2">
      <c r="A968" s="2280" t="s">
        <v>4611</v>
      </c>
      <c r="B968" s="2280" t="s">
        <v>4612</v>
      </c>
      <c r="C968" s="2280" t="s">
        <v>4849</v>
      </c>
      <c r="D968" s="2280" t="s">
        <v>4850</v>
      </c>
      <c r="E968" s="2280" t="s">
        <v>936</v>
      </c>
      <c r="F968" s="2281">
        <v>131090.31098000001</v>
      </c>
      <c r="G968" s="2281">
        <v>0</v>
      </c>
      <c r="H968" s="2281">
        <v>0</v>
      </c>
      <c r="I968" s="2281">
        <v>0</v>
      </c>
      <c r="J968" s="2282"/>
      <c r="K968" s="2282"/>
      <c r="L968" s="2326">
        <f t="shared" ref="L968:L970" si="140">F905/$F905</f>
        <v>1</v>
      </c>
      <c r="M968" s="2326">
        <f t="shared" ref="M968:M970" si="141">G905/$F905</f>
        <v>0</v>
      </c>
      <c r="N968" s="2326">
        <f t="shared" ref="N968:N970" si="142">H905/$F905</f>
        <v>0</v>
      </c>
      <c r="O968" s="2326">
        <f t="shared" ref="O968:O970" si="143">I905/$F905</f>
        <v>0</v>
      </c>
      <c r="P968" s="2326">
        <f t="shared" ref="P968:P970" si="144">SUM(M968:O968)</f>
        <v>0</v>
      </c>
      <c r="Q968" s="2327" t="s">
        <v>912</v>
      </c>
      <c r="R968" s="2327" t="s">
        <v>394</v>
      </c>
      <c r="S968" s="2328">
        <f t="shared" ref="S968:S970" si="145">IF(R968=0,0,F968)</f>
        <v>131090.31098000001</v>
      </c>
      <c r="T968" s="2328">
        <f t="shared" ref="T968:T970" si="146">IF($R968="PTD",$S968*M$1016,IF($R968="PROD",$S968*M$1017,IF($R968="TRANS",$S968*M$1018,IF($R968="DIST",$S968*M$1019,IF($R968="LABOR",$S968*M$1020,IF($R968="TD",$S968*M$1021))))))</f>
        <v>131090.31098000001</v>
      </c>
      <c r="U968" s="2328">
        <f t="shared" ref="U968:U970" si="147">IF($R968="PTD",$S968*N$1016,IF($R968="PROD",$S968*N$1017,IF($R968="TRANS",$S968*N$1018,IF($R968="DIST",$S968*N$1019,IF($R968="LABOR",$S968*N$1020,IF($R968="TD",$S968*N$1021))))))</f>
        <v>0</v>
      </c>
      <c r="V968" s="2328">
        <f t="shared" ref="V968:V970" si="148">IF($R968="PTD",$S968*O$1016,IF($R968="PROD",$S968*O$1017,IF($R968="TRANS",$S968*O$1018,IF($R968="DIST",$S968*O$1019,IF($R968="LABOR",$S968*O$1020,IF($R968="TD",$S968*O$1021))))))</f>
        <v>0</v>
      </c>
      <c r="W968" s="2327" t="s">
        <v>90</v>
      </c>
    </row>
    <row r="969" spans="1:24" outlineLevel="2" x14ac:dyDescent="0.2">
      <c r="A969" s="2280" t="s">
        <v>4611</v>
      </c>
      <c r="B969" s="2280" t="s">
        <v>4612</v>
      </c>
      <c r="C969" s="2280" t="s">
        <v>4851</v>
      </c>
      <c r="D969" s="2280" t="s">
        <v>4852</v>
      </c>
      <c r="E969" s="2280" t="s">
        <v>936</v>
      </c>
      <c r="F969" s="2281">
        <v>122560.345</v>
      </c>
      <c r="G969" s="2281">
        <v>0</v>
      </c>
      <c r="H969" s="2281">
        <v>0</v>
      </c>
      <c r="I969" s="2281">
        <v>0</v>
      </c>
      <c r="J969" s="2282"/>
      <c r="K969" s="2282"/>
      <c r="L969" s="2326">
        <f t="shared" si="140"/>
        <v>1</v>
      </c>
      <c r="M969" s="2326">
        <f t="shared" si="141"/>
        <v>0</v>
      </c>
      <c r="N969" s="2326">
        <f t="shared" si="142"/>
        <v>0</v>
      </c>
      <c r="O969" s="2326">
        <f t="shared" si="143"/>
        <v>0</v>
      </c>
      <c r="P969" s="2326">
        <f t="shared" si="144"/>
        <v>0</v>
      </c>
      <c r="Q969" s="2327" t="s">
        <v>912</v>
      </c>
      <c r="R969" s="2327" t="s">
        <v>394</v>
      </c>
      <c r="S969" s="2328">
        <f t="shared" si="145"/>
        <v>122560.345</v>
      </c>
      <c r="T969" s="2328">
        <f t="shared" si="146"/>
        <v>122560.345</v>
      </c>
      <c r="U969" s="2328">
        <f t="shared" si="147"/>
        <v>0</v>
      </c>
      <c r="V969" s="2328">
        <f t="shared" si="148"/>
        <v>0</v>
      </c>
      <c r="W969" s="2327" t="s">
        <v>90</v>
      </c>
      <c r="X969" s="2201" t="s">
        <v>5587</v>
      </c>
    </row>
    <row r="970" spans="1:24" outlineLevel="2" x14ac:dyDescent="0.2">
      <c r="A970" s="2280" t="s">
        <v>4611</v>
      </c>
      <c r="B970" s="2280" t="s">
        <v>4612</v>
      </c>
      <c r="C970" s="2280" t="s">
        <v>4853</v>
      </c>
      <c r="D970" s="2280" t="s">
        <v>4854</v>
      </c>
      <c r="E970" s="2280" t="s">
        <v>936</v>
      </c>
      <c r="F970" s="2281">
        <v>-35560.345000000001</v>
      </c>
      <c r="G970" s="2281">
        <v>0</v>
      </c>
      <c r="H970" s="2281">
        <v>0</v>
      </c>
      <c r="I970" s="2281">
        <v>0</v>
      </c>
      <c r="J970" s="2282"/>
      <c r="K970" s="2282"/>
      <c r="L970" s="2326">
        <f t="shared" si="140"/>
        <v>1</v>
      </c>
      <c r="M970" s="2326">
        <f t="shared" si="141"/>
        <v>0</v>
      </c>
      <c r="N970" s="2326">
        <f t="shared" si="142"/>
        <v>0</v>
      </c>
      <c r="O970" s="2326">
        <f t="shared" si="143"/>
        <v>0</v>
      </c>
      <c r="P970" s="2326">
        <f t="shared" si="144"/>
        <v>0</v>
      </c>
      <c r="Q970" s="2327" t="s">
        <v>912</v>
      </c>
      <c r="R970" s="2327" t="s">
        <v>394</v>
      </c>
      <c r="S970" s="2328">
        <f t="shared" si="145"/>
        <v>-35560.345000000001</v>
      </c>
      <c r="T970" s="2328">
        <f t="shared" si="146"/>
        <v>-35560.345000000001</v>
      </c>
      <c r="U970" s="2328">
        <f t="shared" si="147"/>
        <v>0</v>
      </c>
      <c r="V970" s="2328">
        <f t="shared" si="148"/>
        <v>0</v>
      </c>
      <c r="W970" s="2327" t="s">
        <v>90</v>
      </c>
      <c r="X970" s="2201" t="s">
        <v>5587</v>
      </c>
    </row>
    <row r="971" spans="1:24" outlineLevel="2" x14ac:dyDescent="0.2">
      <c r="A971" s="1980" t="s">
        <v>4611</v>
      </c>
      <c r="B971" s="1980" t="s">
        <v>4612</v>
      </c>
      <c r="C971" s="1980" t="s">
        <v>4855</v>
      </c>
      <c r="D971" s="1980" t="s">
        <v>4856</v>
      </c>
      <c r="E971" s="1980" t="s">
        <v>936</v>
      </c>
      <c r="F971" s="1962">
        <v>-79586.282470000006</v>
      </c>
      <c r="G971" s="1962">
        <v>0</v>
      </c>
      <c r="H971" s="1962">
        <v>0</v>
      </c>
      <c r="I971" s="1962">
        <v>0</v>
      </c>
      <c r="J971" s="2069" t="s">
        <v>5694</v>
      </c>
    </row>
    <row r="972" spans="1:24" outlineLevel="2" x14ac:dyDescent="0.2">
      <c r="A972" s="1980" t="s">
        <v>4611</v>
      </c>
      <c r="B972" s="1980" t="s">
        <v>4612</v>
      </c>
      <c r="C972" s="1980" t="s">
        <v>4857</v>
      </c>
      <c r="D972" s="1980" t="s">
        <v>4858</v>
      </c>
      <c r="E972" s="1980" t="s">
        <v>936</v>
      </c>
      <c r="F972" s="1962">
        <v>84203.425130000003</v>
      </c>
      <c r="G972" s="1962">
        <v>0</v>
      </c>
      <c r="H972" s="1962">
        <v>0</v>
      </c>
      <c r="I972" s="1962">
        <v>0</v>
      </c>
      <c r="J972" s="1953" t="s">
        <v>920</v>
      </c>
    </row>
    <row r="973" spans="1:24" outlineLevel="2" x14ac:dyDescent="0.2">
      <c r="A973" s="1980" t="s">
        <v>4611</v>
      </c>
      <c r="B973" s="1980" t="s">
        <v>4612</v>
      </c>
      <c r="C973" s="1980" t="s">
        <v>4859</v>
      </c>
      <c r="D973" s="1980" t="s">
        <v>4860</v>
      </c>
      <c r="E973" s="1980" t="s">
        <v>936</v>
      </c>
      <c r="F973" s="1962">
        <v>414885.88973</v>
      </c>
      <c r="G973" s="1962">
        <v>0</v>
      </c>
      <c r="H973" s="1962">
        <v>0</v>
      </c>
      <c r="I973" s="1962">
        <v>0</v>
      </c>
      <c r="J973" s="1953" t="s">
        <v>920</v>
      </c>
    </row>
    <row r="974" spans="1:24" outlineLevel="2" x14ac:dyDescent="0.2">
      <c r="A974" s="1980" t="s">
        <v>4611</v>
      </c>
      <c r="B974" s="1980" t="s">
        <v>4612</v>
      </c>
      <c r="C974" s="1980" t="s">
        <v>4861</v>
      </c>
      <c r="D974" s="1980" t="s">
        <v>4862</v>
      </c>
      <c r="E974" s="1980" t="s">
        <v>936</v>
      </c>
      <c r="F974" s="1962">
        <v>-8885.15906</v>
      </c>
      <c r="G974" s="1962">
        <v>0</v>
      </c>
      <c r="H974" s="1962">
        <v>0</v>
      </c>
      <c r="I974" s="1962">
        <v>0</v>
      </c>
      <c r="J974" s="1953" t="s">
        <v>920</v>
      </c>
    </row>
    <row r="975" spans="1:24" outlineLevel="2" x14ac:dyDescent="0.2">
      <c r="A975" s="1980" t="s">
        <v>4611</v>
      </c>
      <c r="B975" s="1980" t="s">
        <v>4612</v>
      </c>
      <c r="C975" s="1980" t="s">
        <v>4863</v>
      </c>
      <c r="D975" s="1980" t="s">
        <v>4864</v>
      </c>
      <c r="E975" s="1980" t="s">
        <v>936</v>
      </c>
      <c r="F975" s="1962">
        <v>-29042.012279999999</v>
      </c>
      <c r="G975" s="1962">
        <v>0</v>
      </c>
      <c r="H975" s="1962">
        <v>0</v>
      </c>
      <c r="I975" s="1962">
        <v>0</v>
      </c>
      <c r="J975" s="1953" t="s">
        <v>920</v>
      </c>
    </row>
    <row r="976" spans="1:24" outlineLevel="2" x14ac:dyDescent="0.2">
      <c r="A976" s="1980" t="s">
        <v>4611</v>
      </c>
      <c r="B976" s="1980" t="s">
        <v>4612</v>
      </c>
      <c r="C976" s="1980" t="s">
        <v>4865</v>
      </c>
      <c r="D976" s="1980" t="s">
        <v>4866</v>
      </c>
      <c r="E976" s="1980" t="s">
        <v>936</v>
      </c>
      <c r="F976" s="1962">
        <v>-282761.21094000002</v>
      </c>
      <c r="G976" s="1962">
        <v>0</v>
      </c>
      <c r="H976" s="1962">
        <v>0</v>
      </c>
      <c r="I976" s="1962">
        <v>0</v>
      </c>
      <c r="J976" s="2069" t="s">
        <v>5694</v>
      </c>
    </row>
    <row r="977" spans="1:24" outlineLevel="2" x14ac:dyDescent="0.2">
      <c r="A977" s="2283" t="s">
        <v>4611</v>
      </c>
      <c r="B977" s="2283" t="s">
        <v>4612</v>
      </c>
      <c r="C977" s="2283" t="s">
        <v>4867</v>
      </c>
      <c r="D977" s="2283" t="s">
        <v>4868</v>
      </c>
      <c r="E977" s="2283" t="s">
        <v>921</v>
      </c>
      <c r="F977" s="2284">
        <v>258.90366999999998</v>
      </c>
      <c r="G977" s="2284">
        <v>0</v>
      </c>
      <c r="H977" s="2284">
        <v>258.90366999999998</v>
      </c>
      <c r="I977" s="2284">
        <v>0</v>
      </c>
      <c r="J977" s="2285"/>
      <c r="K977" s="2285"/>
      <c r="L977" s="2332">
        <f>F977/$F977</f>
        <v>1</v>
      </c>
      <c r="M977" s="2332">
        <f>G977/$F977</f>
        <v>0</v>
      </c>
      <c r="N977" s="2332">
        <f>H977/$F977</f>
        <v>1</v>
      </c>
      <c r="O977" s="2332">
        <f>I977/$F977</f>
        <v>0</v>
      </c>
      <c r="P977" s="2332">
        <f t="shared" ref="P977" si="149">SUM(M977:O977)</f>
        <v>1</v>
      </c>
      <c r="Q977" s="2333" t="s">
        <v>921</v>
      </c>
      <c r="R977" s="2333" t="s">
        <v>394</v>
      </c>
      <c r="S977" s="2334">
        <f t="shared" ref="S977" si="150">IF(R977=0,0,F977)</f>
        <v>258.90366999999998</v>
      </c>
      <c r="T977" s="2334">
        <f t="shared" ref="T977" si="151">IF($R977="PTD",$S977*M$1016,IF($R977="PROD",$S977*M$1017,IF($R977="TRANS",$S977*M$1018,IF($R977="DIST",$S977*M$1019,IF($R977="LABOR",$S977*M$1020,IF($R977="TD",$S977*M$1021))))))</f>
        <v>258.90366999999998</v>
      </c>
      <c r="U977" s="2334">
        <f t="shared" ref="U977" si="152">IF($R977="PTD",$S977*N$1016,IF($R977="PROD",$S977*N$1017,IF($R977="TRANS",$S977*N$1018,IF($R977="DIST",$S977*N$1019,IF($R977="LABOR",$S977*N$1020,IF($R977="TD",$S977*N$1021))))))</f>
        <v>0</v>
      </c>
      <c r="V977" s="2334">
        <f t="shared" ref="V977" si="153">IF($R977="PTD",$S977*O$1016,IF($R977="PROD",$S977*O$1017,IF($R977="TRANS",$S977*O$1018,IF($R977="DIST",$S977*O$1019,IF($R977="LABOR",$S977*O$1020,IF($R977="TD",$S977*O$1021))))))</f>
        <v>0</v>
      </c>
      <c r="W977" s="2333" t="s">
        <v>90</v>
      </c>
    </row>
    <row r="978" spans="1:24" outlineLevel="2" x14ac:dyDescent="0.2">
      <c r="A978" s="2283" t="s">
        <v>4611</v>
      </c>
      <c r="B978" s="2283" t="s">
        <v>4612</v>
      </c>
      <c r="C978" s="2283" t="s">
        <v>4869</v>
      </c>
      <c r="D978" s="2283" t="s">
        <v>4870</v>
      </c>
      <c r="E978" s="2283" t="s">
        <v>936</v>
      </c>
      <c r="F978" s="2284">
        <v>799.27769999999998</v>
      </c>
      <c r="G978" s="2284">
        <v>0</v>
      </c>
      <c r="H978" s="2284">
        <v>0</v>
      </c>
      <c r="I978" s="2284">
        <v>0</v>
      </c>
      <c r="J978" s="2285"/>
      <c r="K978" s="2285"/>
      <c r="L978" s="2332">
        <f t="shared" ref="L978:L980" si="154">F978/$F978</f>
        <v>1</v>
      </c>
      <c r="M978" s="2332">
        <f t="shared" ref="M978:M980" si="155">G978/$F978</f>
        <v>0</v>
      </c>
      <c r="N978" s="2332">
        <f t="shared" ref="N978:N980" si="156">H978/$F978</f>
        <v>0</v>
      </c>
      <c r="O978" s="2332">
        <f t="shared" ref="O978:O980" si="157">I978/$F978</f>
        <v>0</v>
      </c>
      <c r="P978" s="2332">
        <f t="shared" ref="P978:P980" si="158">SUM(M978:O978)</f>
        <v>0</v>
      </c>
      <c r="Q978" s="2333" t="s">
        <v>921</v>
      </c>
      <c r="R978" s="3594" t="s">
        <v>5736</v>
      </c>
      <c r="S978" s="2334">
        <f t="shared" ref="S978:S980" si="159">IF(R978=0,0,F978)</f>
        <v>799.27769999999998</v>
      </c>
      <c r="T978" s="2334">
        <f t="shared" ref="T978:T980" si="160">IF($R978="PTD",$S978*M$1016,IF($R978="PROD",$S978*M$1017,IF($R978="TRANS",$S978*M$1018,IF($R978="DIST",$S978*M$1019,IF($R978="LABOR",$S978*M$1020,IF($R978="TD",$S978*M$1021))))))</f>
        <v>0</v>
      </c>
      <c r="U978" s="2334">
        <f t="shared" ref="U978:U980" si="161">IF($R978="PTD",$S978*N$1016,IF($R978="PROD",$S978*N$1017,IF($R978="TRANS",$S978*N$1018,IF($R978="DIST",$S978*N$1019,IF($R978="LABOR",$S978*N$1020,IF($R978="TD",$S978*N$1021))))))</f>
        <v>0</v>
      </c>
      <c r="V978" s="2334">
        <f t="shared" ref="V978:V980" si="162">IF($R978="PTD",$S978*O$1016,IF($R978="PROD",$S978*O$1017,IF($R978="TRANS",$S978*O$1018,IF($R978="DIST",$S978*O$1019,IF($R978="LABOR",$S978*O$1020,IF($R978="TD",$S978*O$1021))))))</f>
        <v>799.27769999999998</v>
      </c>
      <c r="W978" s="2333" t="s">
        <v>90</v>
      </c>
      <c r="X978" s="2201" t="s">
        <v>5587</v>
      </c>
    </row>
    <row r="979" spans="1:24" outlineLevel="2" x14ac:dyDescent="0.2">
      <c r="A979" s="2283" t="s">
        <v>4611</v>
      </c>
      <c r="B979" s="2283" t="s">
        <v>4612</v>
      </c>
      <c r="C979" s="2283" t="s">
        <v>4871</v>
      </c>
      <c r="D979" s="2283" t="s">
        <v>4872</v>
      </c>
      <c r="E979" s="2283" t="s">
        <v>936</v>
      </c>
      <c r="F979" s="2284">
        <v>68073.895350000006</v>
      </c>
      <c r="G979" s="2284">
        <v>0</v>
      </c>
      <c r="H979" s="2284">
        <v>0</v>
      </c>
      <c r="I979" s="2284">
        <v>0</v>
      </c>
      <c r="J979" s="2285"/>
      <c r="K979" s="2285"/>
      <c r="L979" s="2332">
        <f t="shared" si="154"/>
        <v>1</v>
      </c>
      <c r="M979" s="2332">
        <f t="shared" si="155"/>
        <v>0</v>
      </c>
      <c r="N979" s="2332">
        <f t="shared" si="156"/>
        <v>0</v>
      </c>
      <c r="O979" s="2332">
        <f t="shared" si="157"/>
        <v>0</v>
      </c>
      <c r="P979" s="2332">
        <f t="shared" si="158"/>
        <v>0</v>
      </c>
      <c r="Q979" s="2333" t="s">
        <v>921</v>
      </c>
      <c r="R979" s="3594" t="s">
        <v>5736</v>
      </c>
      <c r="S979" s="2334">
        <f t="shared" si="159"/>
        <v>68073.895350000006</v>
      </c>
      <c r="T979" s="2334">
        <f t="shared" si="160"/>
        <v>0</v>
      </c>
      <c r="U979" s="2334">
        <f t="shared" si="161"/>
        <v>0</v>
      </c>
      <c r="V979" s="2334">
        <f t="shared" si="162"/>
        <v>68073.895350000006</v>
      </c>
      <c r="W979" s="2333" t="s">
        <v>90</v>
      </c>
      <c r="X979" s="2201" t="s">
        <v>5587</v>
      </c>
    </row>
    <row r="980" spans="1:24" outlineLevel="2" x14ac:dyDescent="0.2">
      <c r="A980" s="2283" t="s">
        <v>4611</v>
      </c>
      <c r="B980" s="2283" t="s">
        <v>4612</v>
      </c>
      <c r="C980" s="2283" t="s">
        <v>4873</v>
      </c>
      <c r="D980" s="2283" t="s">
        <v>4874</v>
      </c>
      <c r="E980" s="2283" t="s">
        <v>936</v>
      </c>
      <c r="F980" s="2284">
        <v>-3403.6947700000001</v>
      </c>
      <c r="G980" s="2284">
        <v>0</v>
      </c>
      <c r="H980" s="2284">
        <v>0</v>
      </c>
      <c r="I980" s="2284">
        <v>0</v>
      </c>
      <c r="J980" s="2285"/>
      <c r="K980" s="2285"/>
      <c r="L980" s="2332">
        <f t="shared" si="154"/>
        <v>1</v>
      </c>
      <c r="M980" s="2332">
        <f t="shared" si="155"/>
        <v>0</v>
      </c>
      <c r="N980" s="2332">
        <f t="shared" si="156"/>
        <v>0</v>
      </c>
      <c r="O980" s="2332">
        <f t="shared" si="157"/>
        <v>0</v>
      </c>
      <c r="P980" s="2332">
        <f t="shared" si="158"/>
        <v>0</v>
      </c>
      <c r="Q980" s="2333" t="s">
        <v>921</v>
      </c>
      <c r="R980" s="3594" t="s">
        <v>5736</v>
      </c>
      <c r="S980" s="2334">
        <f t="shared" si="159"/>
        <v>-3403.6947700000001</v>
      </c>
      <c r="T980" s="2334">
        <f t="shared" si="160"/>
        <v>0</v>
      </c>
      <c r="U980" s="2334">
        <f t="shared" si="161"/>
        <v>0</v>
      </c>
      <c r="V980" s="2334">
        <f t="shared" si="162"/>
        <v>-3403.6947700000001</v>
      </c>
      <c r="W980" s="2333" t="s">
        <v>90</v>
      </c>
      <c r="X980" s="2201" t="s">
        <v>5587</v>
      </c>
    </row>
    <row r="981" spans="1:24" outlineLevel="2" x14ac:dyDescent="0.2">
      <c r="A981" s="1980" t="s">
        <v>4611</v>
      </c>
      <c r="B981" s="1980" t="s">
        <v>4612</v>
      </c>
      <c r="C981" s="1980" t="s">
        <v>4875</v>
      </c>
      <c r="D981" s="1980" t="s">
        <v>4876</v>
      </c>
      <c r="E981" s="1980" t="s">
        <v>936</v>
      </c>
      <c r="F981" s="1962">
        <v>-17030.755580000001</v>
      </c>
      <c r="G981" s="1962">
        <v>0</v>
      </c>
      <c r="H981" s="1962">
        <v>0</v>
      </c>
      <c r="I981" s="1962">
        <v>0</v>
      </c>
      <c r="J981" s="2069" t="s">
        <v>5694</v>
      </c>
      <c r="R981" s="3595"/>
    </row>
    <row r="982" spans="1:24" outlineLevel="2" x14ac:dyDescent="0.2">
      <c r="A982" s="2283" t="s">
        <v>4611</v>
      </c>
      <c r="B982" s="2283" t="s">
        <v>4612</v>
      </c>
      <c r="C982" s="2283" t="s">
        <v>4877</v>
      </c>
      <c r="D982" s="2283" t="s">
        <v>4878</v>
      </c>
      <c r="E982" s="2283" t="s">
        <v>936</v>
      </c>
      <c r="F982" s="2284">
        <v>86134.164569999994</v>
      </c>
      <c r="G982" s="2284">
        <v>0</v>
      </c>
      <c r="H982" s="2284">
        <v>0</v>
      </c>
      <c r="I982" s="2284">
        <v>0</v>
      </c>
      <c r="J982" s="2285"/>
      <c r="K982" s="2285"/>
      <c r="L982" s="2332">
        <f>F982/$F982</f>
        <v>1</v>
      </c>
      <c r="M982" s="2332">
        <f>G982/$F982</f>
        <v>0</v>
      </c>
      <c r="N982" s="2332">
        <f>H982/$F982</f>
        <v>0</v>
      </c>
      <c r="O982" s="2332">
        <f>I982/$F982</f>
        <v>0</v>
      </c>
      <c r="P982" s="2332">
        <f t="shared" ref="P982" si="163">SUM(M982:O982)</f>
        <v>0</v>
      </c>
      <c r="Q982" s="2333" t="s">
        <v>921</v>
      </c>
      <c r="R982" s="3594" t="s">
        <v>5736</v>
      </c>
      <c r="S982" s="2334">
        <f t="shared" ref="S982" si="164">IF(R982=0,0,F982)</f>
        <v>86134.164569999994</v>
      </c>
      <c r="T982" s="2334">
        <f t="shared" ref="T982" si="165">IF($R982="PTD",$S982*M$1016,IF($R982="PROD",$S982*M$1017,IF($R982="TRANS",$S982*M$1018,IF($R982="DIST",$S982*M$1019,IF($R982="LABOR",$S982*M$1020,IF($R982="TD",$S982*M$1021))))))</f>
        <v>0</v>
      </c>
      <c r="U982" s="2334">
        <f t="shared" ref="U982" si="166">IF($R982="PTD",$S982*N$1016,IF($R982="PROD",$S982*N$1017,IF($R982="TRANS",$S982*N$1018,IF($R982="DIST",$S982*N$1019,IF($R982="LABOR",$S982*N$1020,IF($R982="TD",$S982*N$1021))))))</f>
        <v>0</v>
      </c>
      <c r="V982" s="2334">
        <f t="shared" ref="V982" si="167">IF($R982="PTD",$S982*O$1016,IF($R982="PROD",$S982*O$1017,IF($R982="TRANS",$S982*O$1018,IF($R982="DIST",$S982*O$1019,IF($R982="LABOR",$S982*O$1020,IF($R982="TD",$S982*O$1021))))))</f>
        <v>86134.164569999994</v>
      </c>
      <c r="W982" s="2333" t="s">
        <v>90</v>
      </c>
    </row>
    <row r="983" spans="1:24" outlineLevel="2" x14ac:dyDescent="0.2">
      <c r="A983" s="1980" t="s">
        <v>4611</v>
      </c>
      <c r="B983" s="1980" t="s">
        <v>4612</v>
      </c>
      <c r="C983" s="1980" t="s">
        <v>4879</v>
      </c>
      <c r="D983" s="1980" t="s">
        <v>4880</v>
      </c>
      <c r="E983" s="1980" t="s">
        <v>936</v>
      </c>
      <c r="F983" s="1962">
        <v>30819.587640000002</v>
      </c>
      <c r="G983" s="1962">
        <v>0</v>
      </c>
      <c r="H983" s="1962">
        <v>0</v>
      </c>
      <c r="I983" s="1962">
        <v>0</v>
      </c>
      <c r="J983" s="1953" t="s">
        <v>5693</v>
      </c>
    </row>
    <row r="984" spans="1:24" outlineLevel="2" x14ac:dyDescent="0.2">
      <c r="A984" s="1980" t="s">
        <v>4611</v>
      </c>
      <c r="B984" s="1980" t="s">
        <v>4612</v>
      </c>
      <c r="C984" s="1980" t="s">
        <v>4881</v>
      </c>
      <c r="D984" s="1980" t="s">
        <v>4882</v>
      </c>
      <c r="E984" s="1980" t="s">
        <v>936</v>
      </c>
      <c r="F984" s="1962">
        <v>133359.01280999999</v>
      </c>
      <c r="G984" s="1962">
        <v>0</v>
      </c>
      <c r="H984" s="1962">
        <v>0</v>
      </c>
      <c r="I984" s="1962">
        <v>0</v>
      </c>
      <c r="J984" s="1953" t="s">
        <v>5693</v>
      </c>
    </row>
    <row r="985" spans="1:24" outlineLevel="2" x14ac:dyDescent="0.2">
      <c r="A985" s="1980" t="s">
        <v>4611</v>
      </c>
      <c r="B985" s="1980" t="s">
        <v>4612</v>
      </c>
      <c r="C985" s="1980" t="s">
        <v>4883</v>
      </c>
      <c r="D985" s="1980" t="s">
        <v>4884</v>
      </c>
      <c r="E985" s="1980" t="s">
        <v>936</v>
      </c>
      <c r="F985" s="1962">
        <v>-13337.73431</v>
      </c>
      <c r="G985" s="1962">
        <v>0</v>
      </c>
      <c r="H985" s="1962">
        <v>0</v>
      </c>
      <c r="I985" s="1962">
        <v>0</v>
      </c>
      <c r="J985" s="1953" t="s">
        <v>5693</v>
      </c>
    </row>
    <row r="986" spans="1:24" outlineLevel="2" x14ac:dyDescent="0.2">
      <c r="A986" s="1980" t="s">
        <v>4611</v>
      </c>
      <c r="B986" s="1980" t="s">
        <v>4612</v>
      </c>
      <c r="C986" s="1980" t="s">
        <v>4885</v>
      </c>
      <c r="D986" s="1980" t="s">
        <v>4886</v>
      </c>
      <c r="E986" s="1980" t="s">
        <v>936</v>
      </c>
      <c r="F986" s="1962">
        <v>-90830.226890000005</v>
      </c>
      <c r="G986" s="1962">
        <v>0</v>
      </c>
      <c r="H986" s="1962">
        <v>0</v>
      </c>
      <c r="I986" s="1962">
        <v>0</v>
      </c>
      <c r="J986" s="2069" t="s">
        <v>5694</v>
      </c>
    </row>
    <row r="987" spans="1:24" ht="13.5" outlineLevel="1" thickBot="1" x14ac:dyDescent="0.25">
      <c r="A987" s="1981" t="s">
        <v>4887</v>
      </c>
      <c r="B987" s="1981"/>
      <c r="C987" s="1981"/>
      <c r="D987" s="1981"/>
      <c r="E987" s="1981"/>
      <c r="F987" s="1965">
        <f>SUBTOTAL(9,F844:F986)</f>
        <v>1389671.7983900006</v>
      </c>
      <c r="G987" s="1965">
        <f t="shared" ref="G987:I987" si="168">SUBTOTAL(9,G844:G986)</f>
        <v>3420.6771420057657</v>
      </c>
      <c r="H987" s="1965">
        <f t="shared" si="168"/>
        <v>604.00661282692829</v>
      </c>
      <c r="I987" s="1965">
        <f t="shared" si="168"/>
        <v>7321.2574895745647</v>
      </c>
    </row>
    <row r="988" spans="1:24" outlineLevel="2" x14ac:dyDescent="0.2">
      <c r="A988" s="1980" t="s">
        <v>4888</v>
      </c>
      <c r="B988" s="1980" t="s">
        <v>4889</v>
      </c>
      <c r="C988" s="1980" t="s">
        <v>4890</v>
      </c>
      <c r="D988" s="1980" t="s">
        <v>4891</v>
      </c>
      <c r="E988" s="1980" t="s">
        <v>936</v>
      </c>
      <c r="F988" s="1962">
        <v>385.67520999999999</v>
      </c>
      <c r="G988" s="1962">
        <v>0</v>
      </c>
      <c r="H988" s="1962">
        <v>0</v>
      </c>
      <c r="I988" s="1962">
        <v>0</v>
      </c>
      <c r="J988" s="2069" t="s">
        <v>5694</v>
      </c>
    </row>
    <row r="989" spans="1:24" outlineLevel="2" x14ac:dyDescent="0.2">
      <c r="A989" s="1980" t="s">
        <v>4888</v>
      </c>
      <c r="B989" s="1980" t="s">
        <v>4889</v>
      </c>
      <c r="C989" s="1980" t="s">
        <v>4892</v>
      </c>
      <c r="D989" s="1980" t="s">
        <v>4893</v>
      </c>
      <c r="E989" s="1980" t="s">
        <v>936</v>
      </c>
      <c r="F989" s="1962">
        <v>-804.80520999999999</v>
      </c>
      <c r="G989" s="1962">
        <v>0</v>
      </c>
      <c r="H989" s="1962">
        <v>0</v>
      </c>
      <c r="I989" s="1962">
        <v>0</v>
      </c>
      <c r="J989" s="2069" t="s">
        <v>5694</v>
      </c>
    </row>
    <row r="990" spans="1:24" outlineLevel="2" x14ac:dyDescent="0.2">
      <c r="A990" s="2286" t="s">
        <v>4888</v>
      </c>
      <c r="B990" s="2286" t="s">
        <v>4889</v>
      </c>
      <c r="C990" s="2286" t="s">
        <v>4894</v>
      </c>
      <c r="D990" s="2286" t="s">
        <v>4895</v>
      </c>
      <c r="E990" s="2286" t="s">
        <v>936</v>
      </c>
      <c r="F990" s="2287">
        <v>2906.3836099999999</v>
      </c>
      <c r="G990" s="2287">
        <v>0</v>
      </c>
      <c r="H990" s="2287">
        <v>0</v>
      </c>
      <c r="I990" s="2287">
        <v>0</v>
      </c>
      <c r="J990" s="2288"/>
      <c r="K990" s="2288"/>
      <c r="L990" s="2329">
        <f t="shared" ref="L990:L991" si="169">F990/$F990</f>
        <v>1</v>
      </c>
      <c r="M990" s="2329">
        <f t="shared" ref="M990:M991" si="170">G990/$F990</f>
        <v>0</v>
      </c>
      <c r="N990" s="2329">
        <f t="shared" ref="N990:N991" si="171">H990/$F990</f>
        <v>0</v>
      </c>
      <c r="O990" s="2329">
        <f t="shared" ref="O990:O991" si="172">I990/$F990</f>
        <v>0</v>
      </c>
      <c r="P990" s="2329">
        <f t="shared" ref="P990:P992" si="173">SUM(M990:O990)</f>
        <v>0</v>
      </c>
      <c r="Q990" s="2330" t="s">
        <v>5462</v>
      </c>
      <c r="R990" s="2330" t="s">
        <v>394</v>
      </c>
      <c r="S990" s="2331">
        <f t="shared" ref="S990:S992" si="174">IF(R990=0,0,F990)</f>
        <v>2906.3836099999999</v>
      </c>
      <c r="T990" s="2331">
        <f t="shared" ref="T990:T992" si="175">IF($R990="PTD",$S990*M$1016,IF($R990="PROD",$S990*M$1017,IF($R990="TRANS",$S990*M$1018,IF($R990="DIST",$S990*M$1019,IF($R990="LABOR",$S990*M$1020,IF($R990="TD",$S990*M$1021))))))</f>
        <v>2906.3836099999999</v>
      </c>
      <c r="U990" s="2331">
        <f t="shared" ref="U990:U992" si="176">IF($R990="PTD",$S990*N$1016,IF($R990="PROD",$S990*N$1017,IF($R990="TRANS",$S990*N$1018,IF($R990="DIST",$S990*N$1019,IF($R990="LABOR",$S990*N$1020,IF($R990="TD",$S990*N$1021))))))</f>
        <v>0</v>
      </c>
      <c r="V990" s="2331">
        <f t="shared" ref="V990:V992" si="177">IF($R990="PTD",$S990*O$1016,IF($R990="PROD",$S990*O$1017,IF($R990="TRANS",$S990*O$1018,IF($R990="DIST",$S990*O$1019,IF($R990="LABOR",$S990*O$1020,IF($R990="TD",$S990*O$1021))))))</f>
        <v>0</v>
      </c>
      <c r="W990" s="2330" t="s">
        <v>90</v>
      </c>
    </row>
    <row r="991" spans="1:24" outlineLevel="2" x14ac:dyDescent="0.2">
      <c r="A991" s="2286" t="s">
        <v>4888</v>
      </c>
      <c r="B991" s="2286" t="s">
        <v>4889</v>
      </c>
      <c r="C991" s="2286" t="s">
        <v>4896</v>
      </c>
      <c r="D991" s="2286" t="s">
        <v>4897</v>
      </c>
      <c r="E991" s="2286" t="s">
        <v>936</v>
      </c>
      <c r="F991" s="2287">
        <v>-2355.03865</v>
      </c>
      <c r="G991" s="2287">
        <v>0</v>
      </c>
      <c r="H991" s="2287">
        <v>0</v>
      </c>
      <c r="I991" s="2287">
        <v>0</v>
      </c>
      <c r="J991" s="2288"/>
      <c r="K991" s="2288"/>
      <c r="L991" s="2329">
        <f t="shared" si="169"/>
        <v>1</v>
      </c>
      <c r="M991" s="2329">
        <f t="shared" si="170"/>
        <v>0</v>
      </c>
      <c r="N991" s="2329">
        <f t="shared" si="171"/>
        <v>0</v>
      </c>
      <c r="O991" s="2329">
        <f t="shared" si="172"/>
        <v>0</v>
      </c>
      <c r="P991" s="2329">
        <f t="shared" si="173"/>
        <v>0</v>
      </c>
      <c r="Q991" s="2330" t="s">
        <v>5462</v>
      </c>
      <c r="R991" s="2330" t="s">
        <v>394</v>
      </c>
      <c r="S991" s="2331">
        <f t="shared" si="174"/>
        <v>-2355.03865</v>
      </c>
      <c r="T991" s="2331">
        <f t="shared" si="175"/>
        <v>-2355.03865</v>
      </c>
      <c r="U991" s="2331">
        <f t="shared" si="176"/>
        <v>0</v>
      </c>
      <c r="V991" s="2331">
        <f t="shared" si="177"/>
        <v>0</v>
      </c>
      <c r="W991" s="2330" t="s">
        <v>90</v>
      </c>
    </row>
    <row r="992" spans="1:24" outlineLevel="2" x14ac:dyDescent="0.2">
      <c r="A992" s="2280" t="s">
        <v>4888</v>
      </c>
      <c r="B992" s="2280" t="s">
        <v>4889</v>
      </c>
      <c r="C992" s="2280" t="s">
        <v>4898</v>
      </c>
      <c r="D992" s="2280" t="s">
        <v>4899</v>
      </c>
      <c r="E992" s="2280" t="s">
        <v>936</v>
      </c>
      <c r="F992" s="2281">
        <v>21.309229999999999</v>
      </c>
      <c r="G992" s="2281">
        <v>0</v>
      </c>
      <c r="H992" s="2281">
        <v>0</v>
      </c>
      <c r="I992" s="2281">
        <v>0</v>
      </c>
      <c r="J992" s="2282"/>
      <c r="K992" s="2282"/>
      <c r="L992" s="2326">
        <f t="shared" ref="L992" si="178">F929/$F929</f>
        <v>1</v>
      </c>
      <c r="M992" s="2326">
        <f t="shared" ref="M992" si="179">G929/$F929</f>
        <v>0</v>
      </c>
      <c r="N992" s="2326">
        <f t="shared" ref="N992" si="180">H929/$F929</f>
        <v>0</v>
      </c>
      <c r="O992" s="2326">
        <f t="shared" ref="O992" si="181">I929/$F929</f>
        <v>0</v>
      </c>
      <c r="P992" s="2326">
        <f t="shared" si="173"/>
        <v>0</v>
      </c>
      <c r="Q992" s="2327" t="s">
        <v>912</v>
      </c>
      <c r="R992" s="2327" t="s">
        <v>394</v>
      </c>
      <c r="S992" s="2328">
        <f t="shared" si="174"/>
        <v>21.309229999999999</v>
      </c>
      <c r="T992" s="2328">
        <f t="shared" si="175"/>
        <v>21.309229999999999</v>
      </c>
      <c r="U992" s="2328">
        <f t="shared" si="176"/>
        <v>0</v>
      </c>
      <c r="V992" s="2328">
        <f t="shared" si="177"/>
        <v>0</v>
      </c>
      <c r="W992" s="2327" t="s">
        <v>90</v>
      </c>
    </row>
    <row r="993" spans="1:23" outlineLevel="2" x14ac:dyDescent="0.2">
      <c r="A993" s="1980" t="s">
        <v>4888</v>
      </c>
      <c r="B993" s="1980" t="s">
        <v>4889</v>
      </c>
      <c r="C993" s="1980" t="s">
        <v>4900</v>
      </c>
      <c r="D993" s="1980" t="s">
        <v>4901</v>
      </c>
      <c r="E993" s="1980" t="s">
        <v>936</v>
      </c>
      <c r="F993" s="1962">
        <v>8860.7871400000004</v>
      </c>
      <c r="G993" s="1962">
        <v>0</v>
      </c>
      <c r="H993" s="1962">
        <v>0</v>
      </c>
      <c r="I993" s="1962">
        <v>0</v>
      </c>
      <c r="J993" s="1953" t="s">
        <v>920</v>
      </c>
    </row>
    <row r="994" spans="1:23" outlineLevel="2" x14ac:dyDescent="0.2">
      <c r="A994" s="1980" t="s">
        <v>4888</v>
      </c>
      <c r="B994" s="1980" t="s">
        <v>4889</v>
      </c>
      <c r="C994" s="1980" t="s">
        <v>4902</v>
      </c>
      <c r="D994" s="1980" t="s">
        <v>4903</v>
      </c>
      <c r="E994" s="1980" t="s">
        <v>936</v>
      </c>
      <c r="F994" s="1962">
        <v>-71816.114939999999</v>
      </c>
      <c r="G994" s="1962">
        <v>0</v>
      </c>
      <c r="H994" s="1962">
        <v>0</v>
      </c>
      <c r="I994" s="1962">
        <v>0</v>
      </c>
      <c r="J994" s="1953" t="s">
        <v>920</v>
      </c>
    </row>
    <row r="995" spans="1:23" outlineLevel="2" x14ac:dyDescent="0.2">
      <c r="A995" s="1980" t="s">
        <v>4888</v>
      </c>
      <c r="B995" s="1980" t="s">
        <v>4889</v>
      </c>
      <c r="C995" s="1980" t="s">
        <v>4904</v>
      </c>
      <c r="D995" s="1980" t="s">
        <v>4905</v>
      </c>
      <c r="E995" s="1980" t="s">
        <v>936</v>
      </c>
      <c r="F995" s="1962">
        <v>2098.6240699999998</v>
      </c>
      <c r="G995" s="1962">
        <v>0</v>
      </c>
      <c r="H995" s="1962">
        <v>0</v>
      </c>
      <c r="I995" s="1962">
        <v>0</v>
      </c>
      <c r="J995" s="2069" t="s">
        <v>5694</v>
      </c>
    </row>
    <row r="996" spans="1:23" outlineLevel="2" x14ac:dyDescent="0.2">
      <c r="A996" s="1980" t="s">
        <v>4888</v>
      </c>
      <c r="B996" s="1980" t="s">
        <v>4889</v>
      </c>
      <c r="C996" s="1980" t="s">
        <v>4906</v>
      </c>
      <c r="D996" s="1980" t="s">
        <v>4907</v>
      </c>
      <c r="E996" s="1980" t="s">
        <v>936</v>
      </c>
      <c r="F996" s="1962">
        <v>-3078.4664899999998</v>
      </c>
      <c r="G996" s="1962">
        <v>0</v>
      </c>
      <c r="H996" s="1962">
        <v>0</v>
      </c>
      <c r="I996" s="1962">
        <v>0</v>
      </c>
      <c r="J996" s="2069" t="s">
        <v>5694</v>
      </c>
    </row>
    <row r="997" spans="1:23" outlineLevel="2" x14ac:dyDescent="0.2">
      <c r="A997" s="1980" t="s">
        <v>4888</v>
      </c>
      <c r="B997" s="1980" t="s">
        <v>4889</v>
      </c>
      <c r="C997" s="1980" t="s">
        <v>4908</v>
      </c>
      <c r="D997" s="1980" t="s">
        <v>4909</v>
      </c>
      <c r="E997" s="1980" t="s">
        <v>936</v>
      </c>
      <c r="F997" s="1962">
        <v>340.62317999999999</v>
      </c>
      <c r="G997" s="1962">
        <v>0</v>
      </c>
      <c r="H997" s="1962">
        <v>0</v>
      </c>
      <c r="I997" s="1962">
        <v>0</v>
      </c>
      <c r="J997" s="1953" t="s">
        <v>5693</v>
      </c>
    </row>
    <row r="998" spans="1:23" outlineLevel="2" x14ac:dyDescent="0.2">
      <c r="A998" s="1980" t="s">
        <v>4888</v>
      </c>
      <c r="B998" s="1980" t="s">
        <v>4889</v>
      </c>
      <c r="C998" s="1980" t="s">
        <v>4910</v>
      </c>
      <c r="D998" s="1980" t="s">
        <v>4911</v>
      </c>
      <c r="E998" s="1980" t="s">
        <v>936</v>
      </c>
      <c r="F998" s="1962">
        <v>-284.29271</v>
      </c>
      <c r="G998" s="1962">
        <v>0</v>
      </c>
      <c r="H998" s="1962">
        <v>0</v>
      </c>
      <c r="I998" s="1962">
        <v>0</v>
      </c>
      <c r="J998" s="1953" t="s">
        <v>5693</v>
      </c>
    </row>
    <row r="999" spans="1:23" outlineLevel="2" x14ac:dyDescent="0.2">
      <c r="A999" s="1980" t="s">
        <v>4888</v>
      </c>
      <c r="B999" s="1980" t="s">
        <v>4889</v>
      </c>
      <c r="C999" s="1980" t="s">
        <v>4912</v>
      </c>
      <c r="D999" s="1980" t="s">
        <v>4913</v>
      </c>
      <c r="E999" s="1980" t="s">
        <v>936</v>
      </c>
      <c r="F999" s="1962">
        <v>143.20957000000001</v>
      </c>
      <c r="G999" s="1962">
        <v>0</v>
      </c>
      <c r="H999" s="1962">
        <v>0</v>
      </c>
      <c r="I999" s="1962">
        <v>0</v>
      </c>
      <c r="J999" s="1953" t="s">
        <v>5693</v>
      </c>
    </row>
    <row r="1000" spans="1:23" outlineLevel="2" x14ac:dyDescent="0.2">
      <c r="A1000" s="1980" t="s">
        <v>4888</v>
      </c>
      <c r="B1000" s="1980" t="s">
        <v>4889</v>
      </c>
      <c r="C1000" s="1980" t="s">
        <v>4914</v>
      </c>
      <c r="D1000" s="1980" t="s">
        <v>4915</v>
      </c>
      <c r="E1000" s="1980" t="s">
        <v>936</v>
      </c>
      <c r="F1000" s="1962">
        <v>2723.63112</v>
      </c>
      <c r="G1000" s="1962">
        <v>0</v>
      </c>
      <c r="H1000" s="1962">
        <v>0</v>
      </c>
      <c r="I1000" s="1962">
        <v>0</v>
      </c>
      <c r="J1000" s="1953" t="s">
        <v>5693</v>
      </c>
    </row>
    <row r="1001" spans="1:23" outlineLevel="2" x14ac:dyDescent="0.2">
      <c r="A1001" s="1980" t="s">
        <v>4888</v>
      </c>
      <c r="B1001" s="1980" t="s">
        <v>4889</v>
      </c>
      <c r="C1001" s="1980" t="s">
        <v>4916</v>
      </c>
      <c r="D1001" s="1980" t="s">
        <v>4917</v>
      </c>
      <c r="E1001" s="1980" t="s">
        <v>936</v>
      </c>
      <c r="F1001" s="1984">
        <v>110.10251</v>
      </c>
      <c r="G1001" s="1962">
        <v>0</v>
      </c>
      <c r="H1001" s="1962">
        <v>0</v>
      </c>
      <c r="I1001" s="1962">
        <v>0</v>
      </c>
      <c r="J1001" s="1953" t="s">
        <v>5693</v>
      </c>
    </row>
    <row r="1002" spans="1:23" outlineLevel="2" x14ac:dyDescent="0.2">
      <c r="A1002" s="1980" t="s">
        <v>4888</v>
      </c>
      <c r="B1002" s="1980" t="s">
        <v>4889</v>
      </c>
      <c r="C1002" s="1980" t="s">
        <v>4918</v>
      </c>
      <c r="D1002" s="1980" t="s">
        <v>4919</v>
      </c>
      <c r="E1002" s="1980" t="s">
        <v>936</v>
      </c>
      <c r="F1002" s="1962">
        <v>-1358.39462</v>
      </c>
      <c r="G1002" s="1962">
        <v>0</v>
      </c>
      <c r="H1002" s="1962">
        <v>0</v>
      </c>
      <c r="I1002" s="1962">
        <v>0</v>
      </c>
      <c r="J1002" s="1953" t="s">
        <v>5693</v>
      </c>
    </row>
    <row r="1003" spans="1:23" ht="13.5" thickBot="1" x14ac:dyDescent="0.25">
      <c r="A1003" s="1993" t="s">
        <v>4920</v>
      </c>
      <c r="B1003" s="1993"/>
      <c r="C1003" s="1993"/>
      <c r="D1003" s="1993"/>
      <c r="E1003" s="1994"/>
      <c r="F1003" s="1974">
        <f>SUBTOTAL(9,F988:F1002)</f>
        <v>-62106.766980000008</v>
      </c>
      <c r="G1003" s="1974">
        <f t="shared" ref="G1003:I1003" si="182">SUBTOTAL(9,G988:G1002)</f>
        <v>0</v>
      </c>
      <c r="H1003" s="1974">
        <f t="shared" si="182"/>
        <v>0</v>
      </c>
      <c r="I1003" s="1974">
        <f t="shared" si="182"/>
        <v>0</v>
      </c>
    </row>
    <row r="1004" spans="1:23" ht="16.5" thickBot="1" x14ac:dyDescent="0.3">
      <c r="A1004" s="1981" t="s">
        <v>1342</v>
      </c>
      <c r="B1004" s="1981"/>
      <c r="C1004" s="1981"/>
      <c r="D1004" s="1981"/>
      <c r="E1004" s="1981"/>
      <c r="F1004" s="1965">
        <f>SUBTOTAL(9,F37:F1003)</f>
        <v>2083109.7250899985</v>
      </c>
      <c r="G1004" s="1965">
        <f t="shared" ref="G1004:I1004" si="183">SUBTOTAL(9,G37:G1003)</f>
        <v>136028.52151459581</v>
      </c>
      <c r="H1004" s="1965">
        <f t="shared" si="183"/>
        <v>27781.962573934943</v>
      </c>
      <c r="I1004" s="1965">
        <f t="shared" si="183"/>
        <v>28901.398219155893</v>
      </c>
      <c r="J1004" s="2023" t="s">
        <v>5459</v>
      </c>
      <c r="K1004" s="2153" t="s">
        <v>5594</v>
      </c>
      <c r="L1004" s="2153"/>
      <c r="M1004" s="2153" t="s">
        <v>5595</v>
      </c>
      <c r="N1004" s="2153"/>
      <c r="O1004" s="2153"/>
      <c r="P1004" s="2153" t="s">
        <v>5459</v>
      </c>
      <c r="Q1004" s="2023"/>
      <c r="R1004" s="2292" t="s">
        <v>197</v>
      </c>
      <c r="S1004" s="2293">
        <f>SUM(S37:S1002)</f>
        <v>1094189.5981999999</v>
      </c>
      <c r="T1004" s="2294">
        <f t="shared" ref="T1004:V1004" si="184">SUM(T37:T1002)</f>
        <v>824156.40755448933</v>
      </c>
      <c r="U1004" s="2294">
        <f t="shared" si="184"/>
        <v>0</v>
      </c>
      <c r="V1004" s="2295">
        <f t="shared" si="184"/>
        <v>270033.19064551115</v>
      </c>
    </row>
    <row r="1006" spans="1:23" ht="15.75" x14ac:dyDescent="0.25">
      <c r="E1006" s="2023" t="s">
        <v>5459</v>
      </c>
      <c r="F1006" s="2023" t="s">
        <v>5459</v>
      </c>
      <c r="G1006" s="2023" t="s">
        <v>5459</v>
      </c>
      <c r="H1006" s="2023" t="s">
        <v>5459</v>
      </c>
      <c r="I1006" s="2023" t="s">
        <v>5459</v>
      </c>
      <c r="J1006" s="2023" t="s">
        <v>5459</v>
      </c>
      <c r="K1006" s="2022" t="s">
        <v>5459</v>
      </c>
      <c r="L1006" s="2154">
        <v>2</v>
      </c>
      <c r="M1006" s="2154">
        <v>3</v>
      </c>
      <c r="N1006" s="2154">
        <v>4</v>
      </c>
      <c r="O1006" s="2154">
        <v>5</v>
      </c>
      <c r="P1006" s="2154">
        <v>6</v>
      </c>
      <c r="Q1006" s="2023" t="s">
        <v>5459</v>
      </c>
      <c r="R1006" s="2211" t="s">
        <v>5696</v>
      </c>
      <c r="S1006" s="2211"/>
      <c r="T1006" s="2211"/>
      <c r="U1006" s="2211"/>
      <c r="V1006" s="2023" t="s">
        <v>5459</v>
      </c>
      <c r="W1006" s="2023" t="s">
        <v>5459</v>
      </c>
    </row>
    <row r="1007" spans="1:23" ht="15.75" x14ac:dyDescent="0.25">
      <c r="E1007" s="2023" t="s">
        <v>5459</v>
      </c>
      <c r="F1007" s="2022" t="s">
        <v>5459</v>
      </c>
      <c r="G1007" s="2022" t="s">
        <v>5459</v>
      </c>
      <c r="H1007" s="2022" t="s">
        <v>5459</v>
      </c>
      <c r="I1007" s="2022" t="s">
        <v>5459</v>
      </c>
      <c r="J1007" s="2023" t="s">
        <v>5459</v>
      </c>
      <c r="K1007" s="2022" t="s">
        <v>5459</v>
      </c>
      <c r="L1007" s="2157" t="s">
        <v>5459</v>
      </c>
      <c r="M1007" s="2157" t="s">
        <v>912</v>
      </c>
      <c r="N1007" s="2157" t="s">
        <v>921</v>
      </c>
      <c r="O1007" s="2157" t="s">
        <v>5462</v>
      </c>
      <c r="P1007" s="2157" t="s">
        <v>5463</v>
      </c>
      <c r="Q1007" s="2023" t="s">
        <v>5459</v>
      </c>
      <c r="R1007" s="2023" t="s">
        <v>5459</v>
      </c>
      <c r="S1007" s="2023" t="s">
        <v>5459</v>
      </c>
      <c r="T1007" s="2231" t="s">
        <v>394</v>
      </c>
      <c r="U1007" s="2231" t="s">
        <v>5586</v>
      </c>
      <c r="V1007" s="2231" t="s">
        <v>392</v>
      </c>
      <c r="W1007" s="2023" t="s">
        <v>5459</v>
      </c>
    </row>
    <row r="1008" spans="1:23" ht="15.75" x14ac:dyDescent="0.25">
      <c r="E1008" s="2296" t="s">
        <v>5697</v>
      </c>
      <c r="F1008" s="2099">
        <f>SUMIF($A$37:$A$1002,"124*Total",F$37:F$1002)</f>
        <v>505.53735999999992</v>
      </c>
      <c r="G1008" s="2099">
        <f>SUMIF($A$37:$A$1002,"124*Total",G$37:G$1002)</f>
        <v>0</v>
      </c>
      <c r="H1008" s="2099">
        <f>SUMIF($A$37:$A$1002,"124*Total",H$37:H$1002)</f>
        <v>3.31189</v>
      </c>
      <c r="I1008" s="2099">
        <f>SUMIF($A$37:$A$1002,"124*Total",I$37:I$1002)</f>
        <v>0</v>
      </c>
      <c r="J1008" s="2023" t="s">
        <v>5459</v>
      </c>
      <c r="K1008" s="2211">
        <v>124</v>
      </c>
      <c r="L1008" s="2233">
        <f>F1008/$F$1008</f>
        <v>1</v>
      </c>
      <c r="M1008" s="2233">
        <f>G1008/$F$1008</f>
        <v>0</v>
      </c>
      <c r="N1008" s="2233">
        <f>H1008/$F$1008</f>
        <v>6.5512269953698389E-3</v>
      </c>
      <c r="O1008" s="2233">
        <f>I1008/$F$1008</f>
        <v>0</v>
      </c>
      <c r="P1008" s="2233">
        <f>SUM(M1008:O1008)</f>
        <v>6.5512269953698389E-3</v>
      </c>
      <c r="Q1008" s="2023" t="s">
        <v>5459</v>
      </c>
      <c r="R1008" s="2211">
        <v>124</v>
      </c>
      <c r="S1008" s="2297">
        <f>SUMIFS(S:S,$A:$A,"124*",$W:$W,"DIRECT")</f>
        <v>0</v>
      </c>
      <c r="T1008" s="2297">
        <f>SUMIFS(T:T,$A:$A,"124*",$W:$W,"DIRECT")</f>
        <v>0</v>
      </c>
      <c r="U1008" s="2297">
        <f>SUMIFS(U:U,$A:$A,"124*",$W:$W,"DIRECT")</f>
        <v>0</v>
      </c>
      <c r="V1008" s="2297">
        <f>SUMIFS(V:V,$A:$A,"124*",$W:$W,"DIRECT")</f>
        <v>0</v>
      </c>
      <c r="W1008" s="2023" t="s">
        <v>5459</v>
      </c>
    </row>
    <row r="1009" spans="5:23" ht="15.75" x14ac:dyDescent="0.25">
      <c r="E1009" s="2298" t="s">
        <v>5698</v>
      </c>
      <c r="F1009" s="2106">
        <f>SUMIF($A$37:$A$1002,"1822*Total",F$37:F$1002)</f>
        <v>0</v>
      </c>
      <c r="G1009" s="2106">
        <f>SUMIF($A$37:$A$1002,"1822*Total",G$37:G$1002)</f>
        <v>0</v>
      </c>
      <c r="H1009" s="2106">
        <f>SUMIF($A$37:$A$1002,"1822*Total",H$37:H$1002)</f>
        <v>0</v>
      </c>
      <c r="I1009" s="2106">
        <f>SUMIF($A$37:$A$1002,"1822*Total",I$37:I$1002)</f>
        <v>0</v>
      </c>
      <c r="J1009" s="2023" t="s">
        <v>5459</v>
      </c>
      <c r="K1009" s="2211">
        <v>1822</v>
      </c>
      <c r="L1009" s="2233">
        <v>1</v>
      </c>
      <c r="M1009" s="2233">
        <v>0</v>
      </c>
      <c r="N1009" s="2233">
        <v>0</v>
      </c>
      <c r="O1009" s="2233">
        <v>0</v>
      </c>
      <c r="P1009" s="2233">
        <f>SUM(M1009:O1009)</f>
        <v>0</v>
      </c>
      <c r="Q1009" s="2023" t="s">
        <v>5459</v>
      </c>
      <c r="R1009" s="2211">
        <v>1822</v>
      </c>
      <c r="S1009" s="2297">
        <f>SUMIFS(S:S,$A:$A,"1822*",$W:$W,"DIRECT")</f>
        <v>0</v>
      </c>
      <c r="T1009" s="2297">
        <f>SUMIFS(T:T,$A:$A,"1822*",$W:$W,"DIRECT")</f>
        <v>0</v>
      </c>
      <c r="U1009" s="2297">
        <f>SUMIFS(U:U,$A:$A,"1822*",$W:$W,"DIRECT")</f>
        <v>0</v>
      </c>
      <c r="V1009" s="2297">
        <f>SUMIFS(V:V,$A:$A,"1822*",$W:$W,"DIRECT")</f>
        <v>0</v>
      </c>
      <c r="W1009" s="2023" t="s">
        <v>5459</v>
      </c>
    </row>
    <row r="1010" spans="5:23" ht="15.75" x14ac:dyDescent="0.25">
      <c r="E1010" s="2298" t="s">
        <v>5699</v>
      </c>
      <c r="F1010" s="2108">
        <f>SUMIF($A$37:$A$1003,"1823*Total",F$37:F$1003)</f>
        <v>2082604.1877300006</v>
      </c>
      <c r="G1010" s="2108">
        <f>SUMIF($A$37:$A$1003,"1823*Total",G$37:G$1003)</f>
        <v>136028.52151459584</v>
      </c>
      <c r="H1010" s="2108">
        <f>SUMIF($A$37:$A$1003,"1823*Total",H$37:H$1003)</f>
        <v>27778.650683934935</v>
      </c>
      <c r="I1010" s="2108">
        <f>SUMIF($A$37:$A$1003,"1823*Total",I$37:I$1003)</f>
        <v>28901.39821915589</v>
      </c>
      <c r="J1010" s="2023" t="s">
        <v>5459</v>
      </c>
      <c r="K1010" s="2211">
        <v>1823</v>
      </c>
      <c r="L1010" s="2233">
        <f>F1010/$F$1010</f>
        <v>1</v>
      </c>
      <c r="M1010" s="2233">
        <f>G1010/$F$1010</f>
        <v>6.5316550459290287E-2</v>
      </c>
      <c r="N1010" s="2233">
        <f>H1010/$F$1010</f>
        <v>1.3338420640656226E-2</v>
      </c>
      <c r="O1010" s="2233">
        <f>I1010/$F$1010</f>
        <v>1.387752813973637E-2</v>
      </c>
      <c r="P1010" s="2233">
        <f>SUM(M1010:O1010)</f>
        <v>9.2532499239682889E-2</v>
      </c>
      <c r="Q1010" s="2023" t="s">
        <v>5459</v>
      </c>
      <c r="R1010" s="2211">
        <v>1823</v>
      </c>
      <c r="S1010" s="2297">
        <f>SUMIFS(S:S,$A:$A,"1823*",$W:$W,"DIRECT")</f>
        <v>1094189.5981999999</v>
      </c>
      <c r="T1010" s="2297">
        <f>SUMIFS(T:T,$A:$A,"1823*",$W:$W,"DIRECT")</f>
        <v>824156.40755448933</v>
      </c>
      <c r="U1010" s="2297">
        <f>SUMIFS(U:U,$A:$A,"1823*",$W:$W,"DIRECT")</f>
        <v>0</v>
      </c>
      <c r="V1010" s="2297">
        <f>SUMIFS(V:V,$A:$A,"1823*",$W:$W,"DIRECT")</f>
        <v>270033.19064551115</v>
      </c>
      <c r="W1010" s="2023" t="s">
        <v>5459</v>
      </c>
    </row>
    <row r="1011" spans="5:23" x14ac:dyDescent="0.2">
      <c r="E1011" s="2298" t="s">
        <v>197</v>
      </c>
      <c r="F1011" s="2108">
        <f>SUM(F1008:F1010)</f>
        <v>2083109.7250900005</v>
      </c>
      <c r="G1011" s="2108">
        <f>SUM(G1008:G1010)</f>
        <v>136028.52151459584</v>
      </c>
      <c r="H1011" s="2108">
        <f>SUM(H1008:H1010)</f>
        <v>27781.962573934936</v>
      </c>
      <c r="I1011" s="2108">
        <f>SUM(I1008:I1010)</f>
        <v>28901.39821915589</v>
      </c>
      <c r="J1011" s="2023" t="s">
        <v>5459</v>
      </c>
      <c r="K1011" s="2023" t="s">
        <v>5459</v>
      </c>
      <c r="L1011" s="2023" t="s">
        <v>5459</v>
      </c>
      <c r="M1011" s="2023" t="s">
        <v>5459</v>
      </c>
      <c r="N1011" s="2023" t="s">
        <v>5459</v>
      </c>
      <c r="O1011" s="2023" t="s">
        <v>5459</v>
      </c>
      <c r="P1011" s="2023" t="s">
        <v>5459</v>
      </c>
      <c r="Q1011" s="2023" t="s">
        <v>5459</v>
      </c>
      <c r="R1011" s="850" t="s">
        <v>5461</v>
      </c>
      <c r="S1011" s="2299">
        <f>SUM(S1008:S1010)</f>
        <v>1094189.5981999999</v>
      </c>
      <c r="T1011" s="2300">
        <f>SUM(T1008:T1010)</f>
        <v>824156.40755448933</v>
      </c>
      <c r="U1011" s="2300">
        <f>SUM(U1008:U1010)</f>
        <v>0</v>
      </c>
      <c r="V1011" s="2300">
        <f>SUM(V1008:V1010)</f>
        <v>270033.19064551115</v>
      </c>
      <c r="W1011" s="2023" t="s">
        <v>5459</v>
      </c>
    </row>
    <row r="1012" spans="5:23" ht="15.75" x14ac:dyDescent="0.25">
      <c r="E1012" s="2077" t="s">
        <v>5582</v>
      </c>
      <c r="F1012" s="2190">
        <f>F1011-F1004</f>
        <v>2.0954757928848267E-9</v>
      </c>
      <c r="G1012" s="2022">
        <f>G1011-G1004</f>
        <v>0</v>
      </c>
      <c r="H1012" s="2022">
        <f>H1011-H1004</f>
        <v>0</v>
      </c>
      <c r="I1012" s="2022">
        <f>I1011-I1004</f>
        <v>0</v>
      </c>
      <c r="J1012" s="2023" t="s">
        <v>5459</v>
      </c>
      <c r="K1012" s="2023" t="s">
        <v>5459</v>
      </c>
      <c r="L1012" s="2023" t="s">
        <v>5459</v>
      </c>
      <c r="M1012" s="2023" t="s">
        <v>5459</v>
      </c>
      <c r="N1012" s="2023" t="s">
        <v>5459</v>
      </c>
      <c r="O1012" s="2023" t="s">
        <v>5459</v>
      </c>
      <c r="P1012" s="2023" t="s">
        <v>5459</v>
      </c>
      <c r="Q1012" s="2023" t="s">
        <v>5459</v>
      </c>
      <c r="R1012" s="2023" t="s">
        <v>5459</v>
      </c>
      <c r="S1012" s="2023" t="s">
        <v>5459</v>
      </c>
      <c r="T1012" s="2023" t="s">
        <v>5459</v>
      </c>
      <c r="U1012" s="2023" t="s">
        <v>5459</v>
      </c>
      <c r="V1012" s="2023" t="s">
        <v>5459</v>
      </c>
      <c r="W1012" s="2211" t="s">
        <v>5459</v>
      </c>
    </row>
    <row r="1013" spans="5:23" x14ac:dyDescent="0.2">
      <c r="J1013" s="2023" t="s">
        <v>5459</v>
      </c>
      <c r="K1013" s="2023" t="s">
        <v>5459</v>
      </c>
      <c r="L1013" s="2023" t="s">
        <v>5459</v>
      </c>
      <c r="M1013" s="2023" t="s">
        <v>5459</v>
      </c>
      <c r="N1013" s="2023" t="s">
        <v>5459</v>
      </c>
      <c r="O1013" s="2023" t="s">
        <v>5459</v>
      </c>
      <c r="P1013" s="2023" t="s">
        <v>5459</v>
      </c>
      <c r="Q1013" s="2023" t="s">
        <v>5459</v>
      </c>
      <c r="R1013" s="2023" t="s">
        <v>5459</v>
      </c>
      <c r="S1013" s="2023" t="s">
        <v>5459</v>
      </c>
      <c r="T1013" s="2023" t="s">
        <v>5459</v>
      </c>
      <c r="U1013" s="2023" t="s">
        <v>5459</v>
      </c>
      <c r="V1013" s="2023" t="s">
        <v>5459</v>
      </c>
      <c r="W1013" s="2211" t="s">
        <v>5459</v>
      </c>
    </row>
    <row r="1014" spans="5:23" x14ac:dyDescent="0.2">
      <c r="J1014" s="2023" t="s">
        <v>5459</v>
      </c>
      <c r="K1014" s="2023" t="s">
        <v>5459</v>
      </c>
      <c r="L1014" s="2023" t="s">
        <v>5459</v>
      </c>
      <c r="M1014" s="2023" t="s">
        <v>5459</v>
      </c>
      <c r="N1014" s="2023" t="s">
        <v>5459</v>
      </c>
      <c r="O1014" s="2023" t="s">
        <v>5459</v>
      </c>
      <c r="P1014" s="2023" t="s">
        <v>5459</v>
      </c>
      <c r="Q1014" s="2023" t="s">
        <v>5459</v>
      </c>
      <c r="R1014" s="2301" t="s">
        <v>5459</v>
      </c>
      <c r="S1014" s="2231" t="s">
        <v>104</v>
      </c>
      <c r="T1014" s="2231" t="s">
        <v>5700</v>
      </c>
      <c r="U1014" s="2231" t="s">
        <v>5701</v>
      </c>
      <c r="V1014" s="2231" t="s">
        <v>5702</v>
      </c>
      <c r="W1014" s="2211" t="s">
        <v>5459</v>
      </c>
    </row>
    <row r="1015" spans="5:23" x14ac:dyDescent="0.2">
      <c r="J1015" s="2023" t="s">
        <v>5459</v>
      </c>
      <c r="K1015" s="2302" t="s">
        <v>707</v>
      </c>
      <c r="L1015" s="2302" t="s">
        <v>104</v>
      </c>
      <c r="M1015" s="2302" t="s">
        <v>5700</v>
      </c>
      <c r="N1015" s="2302" t="s">
        <v>5701</v>
      </c>
      <c r="O1015" s="2302" t="s">
        <v>5702</v>
      </c>
      <c r="P1015" s="2023" t="s">
        <v>5459</v>
      </c>
      <c r="Q1015" s="2023" t="s">
        <v>5459</v>
      </c>
      <c r="R1015" s="2303" t="s">
        <v>5703</v>
      </c>
      <c r="S1015" s="2303"/>
      <c r="T1015" s="2301" t="s">
        <v>5459</v>
      </c>
      <c r="U1015" s="2301" t="s">
        <v>5459</v>
      </c>
      <c r="V1015" s="2301" t="s">
        <v>5459</v>
      </c>
      <c r="W1015" s="2211" t="s">
        <v>5459</v>
      </c>
    </row>
    <row r="1016" spans="5:23" ht="15.75" x14ac:dyDescent="0.25">
      <c r="J1016" s="2023"/>
      <c r="K1016" s="2304" t="s">
        <v>99</v>
      </c>
      <c r="L1016" s="2119">
        <f>SUM(M1016:O1016)</f>
        <v>0.99999999999999989</v>
      </c>
      <c r="M1016" s="2119">
        <f>VLOOKUP($K1016,Ratios!$D$78:$G$87,2,FALSE)</f>
        <v>0.44019614379593275</v>
      </c>
      <c r="N1016" s="2119">
        <f>VLOOKUP($K1016,Ratios!$D$78:$G$87,3,FALSE)</f>
        <v>0</v>
      </c>
      <c r="O1016" s="2119">
        <f>VLOOKUP($K1016,Ratios!$D$78:$G$87,4,FALSE)</f>
        <v>0.55980385620406714</v>
      </c>
      <c r="P1016" s="2023"/>
      <c r="Q1016" s="2023"/>
      <c r="R1016" s="2305" t="s">
        <v>90</v>
      </c>
      <c r="S1016" s="2306">
        <f>S1011</f>
        <v>1094189.5981999999</v>
      </c>
      <c r="T1016" s="2307">
        <f>T1011</f>
        <v>824156.40755448933</v>
      </c>
      <c r="U1016" s="2307">
        <f>U1011</f>
        <v>0</v>
      </c>
      <c r="V1016" s="2307">
        <f>V1011</f>
        <v>270033.19064551115</v>
      </c>
      <c r="W1016" s="2211" t="s">
        <v>5459</v>
      </c>
    </row>
    <row r="1017" spans="5:23" ht="15.75" x14ac:dyDescent="0.25">
      <c r="J1017" s="2023"/>
      <c r="K1017" s="2304" t="s">
        <v>394</v>
      </c>
      <c r="L1017" s="2119">
        <f t="shared" ref="L1017:L1021" si="185">SUM(M1017:O1017)</f>
        <v>1</v>
      </c>
      <c r="M1017" s="2119">
        <f>VLOOKUP($K1017,Ratios!$D$78:$G$87,2,FALSE)</f>
        <v>1</v>
      </c>
      <c r="N1017" s="2119">
        <f>VLOOKUP($K1017,Ratios!$D$78:$G$87,3,FALSE)</f>
        <v>0</v>
      </c>
      <c r="O1017" s="2119">
        <f>VLOOKUP($K1017,Ratios!$D$78:$G$87,4,FALSE)</f>
        <v>0</v>
      </c>
      <c r="P1017" s="2023" t="s">
        <v>5459</v>
      </c>
      <c r="Q1017" s="2023" t="s">
        <v>5459</v>
      </c>
      <c r="R1017" s="2305" t="s">
        <v>912</v>
      </c>
      <c r="S1017" s="2307">
        <f>SUMIFS(S:S,$Q:$Q,$R$1017)</f>
        <v>373298.92062000011</v>
      </c>
      <c r="T1017" s="2307">
        <f>SUMIFS(T:T,$Q:$Q,$R$1017)</f>
        <v>277599.39142052899</v>
      </c>
      <c r="U1017" s="2307">
        <f>SUMIFS(U:U,$Q:$Q,$R$1017)</f>
        <v>0</v>
      </c>
      <c r="V1017" s="2307">
        <f>SUMIFS(V:V,$Q:$Q,$R$1017)</f>
        <v>95699.529199471042</v>
      </c>
      <c r="W1017" s="2211" t="s">
        <v>5459</v>
      </c>
    </row>
    <row r="1018" spans="5:23" ht="15.75" x14ac:dyDescent="0.25">
      <c r="J1018" s="2023"/>
      <c r="K1018" s="2304" t="s">
        <v>393</v>
      </c>
      <c r="L1018" s="2119">
        <f t="shared" si="185"/>
        <v>1</v>
      </c>
      <c r="M1018" s="2119">
        <f>VLOOKUP($K1018,Ratios!$D$78:$G$87,2,FALSE)</f>
        <v>0</v>
      </c>
      <c r="N1018" s="2119">
        <f>VLOOKUP($K1018,Ratios!$D$78:$G$87,3,FALSE)</f>
        <v>0</v>
      </c>
      <c r="O1018" s="2119">
        <f>VLOOKUP($K1018,Ratios!$D$78:$G$87,4,FALSE)</f>
        <v>1</v>
      </c>
      <c r="P1018" s="2023" t="s">
        <v>5459</v>
      </c>
      <c r="Q1018" s="2023" t="s">
        <v>5459</v>
      </c>
      <c r="R1018" s="2305" t="s">
        <v>921</v>
      </c>
      <c r="S1018" s="2307">
        <f>SUMIFS(S:S,$Q:$Q,$R$1018)</f>
        <v>157645.85613</v>
      </c>
      <c r="T1018" s="2307">
        <f>SUMIFS(T:T,$Q:$Q,$R$1018)</f>
        <v>840.18671058426776</v>
      </c>
      <c r="U1018" s="2307">
        <f>SUMIFS(U:U,$Q:$Q,$R$1018)</f>
        <v>0</v>
      </c>
      <c r="V1018" s="2307">
        <f>SUMIFS(V:V,$Q:$Q,$R$1018)</f>
        <v>156805.66941941573</v>
      </c>
      <c r="W1018" s="2211" t="s">
        <v>5459</v>
      </c>
    </row>
    <row r="1019" spans="5:23" ht="15.75" x14ac:dyDescent="0.25">
      <c r="J1019" s="2023"/>
      <c r="K1019" s="2304" t="s">
        <v>392</v>
      </c>
      <c r="L1019" s="2119">
        <f t="shared" si="185"/>
        <v>1</v>
      </c>
      <c r="M1019" s="2119">
        <f>VLOOKUP($K1019,Ratios!$D$78:$G$87,2,FALSE)</f>
        <v>0</v>
      </c>
      <c r="N1019" s="2119">
        <f>VLOOKUP($K1019,Ratios!$D$78:$G$87,3,FALSE)</f>
        <v>0</v>
      </c>
      <c r="O1019" s="2119">
        <f>VLOOKUP($K1019,Ratios!$D$78:$G$87,4,FALSE)</f>
        <v>1</v>
      </c>
      <c r="P1019" s="2023" t="s">
        <v>5459</v>
      </c>
      <c r="Q1019" s="2023" t="s">
        <v>5459</v>
      </c>
      <c r="R1019" s="2305" t="s">
        <v>5462</v>
      </c>
      <c r="S1019" s="2307">
        <f>SUMIFS(S:S,$Q:$Q,$R$1019)</f>
        <v>78567.486780000021</v>
      </c>
      <c r="T1019" s="2307">
        <f>SUMIFS(T:T,$Q:$Q,$R$1019)</f>
        <v>74643.176932127259</v>
      </c>
      <c r="U1019" s="2307">
        <f>SUMIFS(U:U,$Q:$Q,$R$1019)</f>
        <v>0</v>
      </c>
      <c r="V1019" s="2307">
        <f>SUMIFS(V:V,$Q:$Q,$R$1019)</f>
        <v>3924.3098478727638</v>
      </c>
      <c r="W1019" s="2211" t="s">
        <v>5459</v>
      </c>
    </row>
    <row r="1020" spans="5:23" ht="15.75" x14ac:dyDescent="0.25">
      <c r="J1020" s="2023"/>
      <c r="K1020" s="2304" t="s">
        <v>95</v>
      </c>
      <c r="L1020" s="2119">
        <f t="shared" si="185"/>
        <v>1</v>
      </c>
      <c r="M1020" s="2119">
        <f>VLOOKUP($K1020,Ratios!$D$78:$G$87,2,FALSE)</f>
        <v>0.41685340178759894</v>
      </c>
      <c r="N1020" s="2119">
        <f>VLOOKUP($K1020,Ratios!$D$78:$G$87,3,FALSE)</f>
        <v>0</v>
      </c>
      <c r="O1020" s="2119">
        <f>VLOOKUP($K1020,Ratios!$D$78:$G$87,4,FALSE)</f>
        <v>0.58314659821240111</v>
      </c>
      <c r="P1020" s="2023" t="s">
        <v>5459</v>
      </c>
      <c r="Q1020" s="2023" t="s">
        <v>5459</v>
      </c>
      <c r="R1020" s="2303" t="s">
        <v>5704</v>
      </c>
      <c r="S1020" s="2303"/>
      <c r="T1020" s="2301" t="s">
        <v>5459</v>
      </c>
      <c r="U1020" s="2301" t="s">
        <v>5459</v>
      </c>
      <c r="V1020" s="2301" t="s">
        <v>5459</v>
      </c>
      <c r="W1020" s="2211" t="s">
        <v>5459</v>
      </c>
    </row>
    <row r="1021" spans="5:23" ht="15.75" x14ac:dyDescent="0.25">
      <c r="J1021" s="2023"/>
      <c r="K1021" s="2304" t="s">
        <v>109</v>
      </c>
      <c r="L1021" s="2119">
        <f t="shared" si="185"/>
        <v>1</v>
      </c>
      <c r="M1021" s="2119">
        <f>VLOOKUP($K1021,Ratios!$D$78:$G$87,2,FALSE)</f>
        <v>0</v>
      </c>
      <c r="N1021" s="2119">
        <f>VLOOKUP($K1021,Ratios!$D$78:$G$87,3,FALSE)</f>
        <v>0</v>
      </c>
      <c r="O1021" s="2119">
        <f>VLOOKUP($K1021,Ratios!$D$78:$G$87,4,FALSE)</f>
        <v>1</v>
      </c>
      <c r="P1021" s="2023" t="s">
        <v>5459</v>
      </c>
      <c r="Q1021" s="2023"/>
      <c r="R1021" s="2320" t="s">
        <v>5705</v>
      </c>
      <c r="S1021" s="2321">
        <f>S1016-SUM(S1017:S1019)</f>
        <v>484677.33466999978</v>
      </c>
      <c r="T1021" s="2322">
        <f>T1016-SUM(T1017:T1019)</f>
        <v>471073.65249124879</v>
      </c>
      <c r="U1021" s="2322">
        <f>U1016-SUM(U1017:U1019)</f>
        <v>0</v>
      </c>
      <c r="V1021" s="2322">
        <f>V1016-SUM(V1017:V1019)</f>
        <v>13603.682178751624</v>
      </c>
      <c r="W1021" s="2323" t="s">
        <v>5706</v>
      </c>
    </row>
    <row r="1022" spans="5:23" x14ac:dyDescent="0.2">
      <c r="J1022" s="2023" t="s">
        <v>5459</v>
      </c>
      <c r="K1022" s="2023" t="s">
        <v>5459</v>
      </c>
      <c r="L1022" s="2023" t="s">
        <v>5459</v>
      </c>
      <c r="M1022" s="2023" t="s">
        <v>5459</v>
      </c>
      <c r="N1022" s="2023" t="s">
        <v>5459</v>
      </c>
      <c r="O1022" s="2023" t="s">
        <v>5459</v>
      </c>
      <c r="P1022" s="2023" t="s">
        <v>5459</v>
      </c>
      <c r="Q1022" s="2023" t="s">
        <v>5459</v>
      </c>
      <c r="R1022" s="2320" t="s">
        <v>912</v>
      </c>
      <c r="S1022" s="2324">
        <f>S$1018*'RATE BASE DATA'!$L$7</f>
        <v>42712.398594268474</v>
      </c>
      <c r="T1022" s="2324">
        <f>T$1018*'RATE BASE DATA'!$L$7</f>
        <v>227.63928311879903</v>
      </c>
      <c r="U1022" s="2322">
        <f>U$1018*'RATE BASE DATA'!$L$7</f>
        <v>0</v>
      </c>
      <c r="V1022" s="2324">
        <f>V$1018*'RATE BASE DATA'!$L$7</f>
        <v>42484.759311149675</v>
      </c>
      <c r="W1022" s="2325">
        <f>SUM(S1022:V1022)/SUM($S$1018:$V$1018)-'RATE BASE DATA'!L10</f>
        <v>0.27093892375481415</v>
      </c>
    </row>
    <row r="1023" spans="5:23" x14ac:dyDescent="0.2">
      <c r="J1023" s="2023" t="s">
        <v>5459</v>
      </c>
      <c r="K1023" s="2023" t="s">
        <v>5459</v>
      </c>
      <c r="L1023" s="2023" t="s">
        <v>5459</v>
      </c>
      <c r="M1023" s="2023" t="s">
        <v>5459</v>
      </c>
      <c r="N1023" s="2023" t="s">
        <v>5459</v>
      </c>
      <c r="O1023" s="2023" t="s">
        <v>5459</v>
      </c>
      <c r="P1023" s="2023" t="s">
        <v>5459</v>
      </c>
      <c r="Q1023" s="2023" t="s">
        <v>5459</v>
      </c>
      <c r="R1023" s="2320" t="s">
        <v>921</v>
      </c>
      <c r="S1023" s="2324">
        <f>S$1018*'RATE BASE DATA'!$M$7</f>
        <v>12009.317698929941</v>
      </c>
      <c r="T1023" s="2324">
        <f>T$1018*'RATE BASE DATA'!$M$7</f>
        <v>64.004658171952002</v>
      </c>
      <c r="U1023" s="2322">
        <f>U$1018*'RATE BASE DATA'!$M$7</f>
        <v>0</v>
      </c>
      <c r="V1023" s="2324">
        <f>V$1018*'RATE BASE DATA'!$M$7</f>
        <v>11945.31304075799</v>
      </c>
      <c r="W1023" s="2325">
        <f>SUM(S1023:V1023)/SUM($S$1018:$V$1018)-'RATE BASE DATA'!M10</f>
        <v>7.617908896397925E-2</v>
      </c>
    </row>
    <row r="1024" spans="5:23" x14ac:dyDescent="0.2">
      <c r="J1024" s="2023" t="s">
        <v>5459</v>
      </c>
      <c r="K1024" s="2023" t="s">
        <v>5459</v>
      </c>
      <c r="L1024" s="2023" t="s">
        <v>5459</v>
      </c>
      <c r="M1024" s="2023" t="s">
        <v>5459</v>
      </c>
      <c r="N1024" s="2023" t="s">
        <v>5459</v>
      </c>
      <c r="O1024" s="2023" t="s">
        <v>5459</v>
      </c>
      <c r="P1024" s="2023" t="s">
        <v>5459</v>
      </c>
      <c r="Q1024" s="2023" t="s">
        <v>5459</v>
      </c>
      <c r="R1024" s="2320" t="s">
        <v>5462</v>
      </c>
      <c r="S1024" s="2324">
        <f>S$1018*'RATE BASE DATA'!$N$7</f>
        <v>8534.3730338910318</v>
      </c>
      <c r="T1024" s="2324">
        <f>T$1018*'RATE BASE DATA'!$N$7</f>
        <v>45.484651371558911</v>
      </c>
      <c r="U1024" s="2322">
        <f>U$1018*'RATE BASE DATA'!$N$7</f>
        <v>0</v>
      </c>
      <c r="V1024" s="2324">
        <f>V$1018*'RATE BASE DATA'!$N$7</f>
        <v>8488.8883825194735</v>
      </c>
      <c r="W1024" s="2325">
        <f>SUM(S1024:V1024)/SUM($S$1018:$V$1018)-'RATE BASE DATA'!N10</f>
        <v>5.4136361357023585E-2</v>
      </c>
    </row>
    <row r="1025" spans="10:23" x14ac:dyDescent="0.2">
      <c r="J1025" s="2023" t="s">
        <v>5459</v>
      </c>
      <c r="K1025" s="2023" t="s">
        <v>5459</v>
      </c>
      <c r="L1025" s="2023" t="s">
        <v>5459</v>
      </c>
      <c r="M1025" s="2023" t="s">
        <v>5459</v>
      </c>
      <c r="N1025" s="2023"/>
      <c r="O1025" s="2023"/>
      <c r="P1025" s="2023"/>
      <c r="Q1025" s="2023"/>
      <c r="R1025" s="2305" t="s">
        <v>5707</v>
      </c>
      <c r="S1025" s="2301" t="s">
        <v>5459</v>
      </c>
      <c r="T1025" s="2301" t="s">
        <v>5459</v>
      </c>
      <c r="U1025" s="2301" t="s">
        <v>5459</v>
      </c>
      <c r="V1025" s="2301" t="s">
        <v>5459</v>
      </c>
      <c r="W1025" s="2211" t="s">
        <v>5459</v>
      </c>
    </row>
    <row r="1026" spans="10:23" x14ac:dyDescent="0.2">
      <c r="J1026" s="2023" t="s">
        <v>5459</v>
      </c>
      <c r="K1026" s="2023" t="s">
        <v>5459</v>
      </c>
      <c r="L1026" s="2023" t="s">
        <v>5459</v>
      </c>
      <c r="M1026" s="2023" t="s">
        <v>5459</v>
      </c>
      <c r="N1026" s="2023" t="s">
        <v>5459</v>
      </c>
      <c r="O1026" s="2023" t="s">
        <v>5459</v>
      </c>
      <c r="P1026" s="2023" t="s">
        <v>5459</v>
      </c>
      <c r="Q1026" s="2023" t="s">
        <v>5459</v>
      </c>
      <c r="R1026" s="2308" t="s">
        <v>912</v>
      </c>
      <c r="S1026" s="2309">
        <f t="shared" ref="S1026:V1028" si="186">S1017+S1022</f>
        <v>416011.31921426859</v>
      </c>
      <c r="T1026" s="2309">
        <f t="shared" si="186"/>
        <v>277827.03070364782</v>
      </c>
      <c r="U1026" s="2309">
        <f t="shared" si="186"/>
        <v>0</v>
      </c>
      <c r="V1026" s="2310">
        <f t="shared" si="186"/>
        <v>138184.28851062071</v>
      </c>
      <c r="W1026" s="2301" t="s">
        <v>5708</v>
      </c>
    </row>
    <row r="1027" spans="10:23" x14ac:dyDescent="0.2">
      <c r="J1027" s="2023" t="s">
        <v>5459</v>
      </c>
      <c r="K1027" s="2023" t="s">
        <v>5459</v>
      </c>
      <c r="L1027" s="2023" t="s">
        <v>5459</v>
      </c>
      <c r="M1027" s="2023" t="s">
        <v>5459</v>
      </c>
      <c r="N1027" s="2023" t="s">
        <v>5459</v>
      </c>
      <c r="O1027" s="2023" t="s">
        <v>5459</v>
      </c>
      <c r="P1027" s="2023" t="s">
        <v>5459</v>
      </c>
      <c r="Q1027" s="2023" t="s">
        <v>5459</v>
      </c>
      <c r="R1027" s="2311" t="s">
        <v>921</v>
      </c>
      <c r="S1027" s="2307">
        <f t="shared" si="186"/>
        <v>169655.17382892995</v>
      </c>
      <c r="T1027" s="2307">
        <f t="shared" si="186"/>
        <v>904.19136875621973</v>
      </c>
      <c r="U1027" s="2307">
        <f t="shared" si="186"/>
        <v>0</v>
      </c>
      <c r="V1027" s="2312">
        <f t="shared" si="186"/>
        <v>168750.98246017372</v>
      </c>
      <c r="W1027" s="2301" t="s">
        <v>5708</v>
      </c>
    </row>
    <row r="1028" spans="10:23" x14ac:dyDescent="0.2">
      <c r="J1028" s="2023" t="s">
        <v>5459</v>
      </c>
      <c r="K1028" s="2023" t="s">
        <v>5459</v>
      </c>
      <c r="L1028" s="2023" t="s">
        <v>5459</v>
      </c>
      <c r="M1028" s="2023" t="s">
        <v>5459</v>
      </c>
      <c r="N1028" s="2023" t="s">
        <v>5459</v>
      </c>
      <c r="O1028" s="2023" t="s">
        <v>5459</v>
      </c>
      <c r="P1028" s="2023" t="s">
        <v>5459</v>
      </c>
      <c r="Q1028" s="2023" t="s">
        <v>5459</v>
      </c>
      <c r="R1028" s="2313" t="s">
        <v>5462</v>
      </c>
      <c r="S1028" s="2314">
        <f t="shared" si="186"/>
        <v>87101.85981389106</v>
      </c>
      <c r="T1028" s="2314">
        <f t="shared" si="186"/>
        <v>74688.661583498819</v>
      </c>
      <c r="U1028" s="2314">
        <f t="shared" si="186"/>
        <v>0</v>
      </c>
      <c r="V1028" s="2315">
        <f t="shared" si="186"/>
        <v>12413.198230392238</v>
      </c>
      <c r="W1028" s="2301" t="s">
        <v>5708</v>
      </c>
    </row>
    <row r="1029" spans="10:23" ht="13.5" thickBot="1" x14ac:dyDescent="0.25">
      <c r="J1029" s="2023" t="s">
        <v>5459</v>
      </c>
      <c r="K1029" s="2023" t="s">
        <v>5459</v>
      </c>
      <c r="L1029" s="2023" t="s">
        <v>5459</v>
      </c>
      <c r="M1029" s="2023" t="s">
        <v>5459</v>
      </c>
      <c r="N1029" s="2023" t="s">
        <v>5459</v>
      </c>
      <c r="O1029" s="2023" t="s">
        <v>5459</v>
      </c>
      <c r="P1029" s="2023" t="s">
        <v>5459</v>
      </c>
      <c r="Q1029" s="2023" t="s">
        <v>5459</v>
      </c>
      <c r="R1029" s="2301" t="s">
        <v>5459</v>
      </c>
      <c r="S1029" s="2301" t="s">
        <v>5459</v>
      </c>
      <c r="T1029" s="2301" t="s">
        <v>5459</v>
      </c>
      <c r="U1029" s="2301" t="s">
        <v>5459</v>
      </c>
      <c r="V1029" s="2301" t="s">
        <v>5459</v>
      </c>
      <c r="W1029" s="2301" t="s">
        <v>5459</v>
      </c>
    </row>
    <row r="1030" spans="10:23" ht="13.5" thickBot="1" x14ac:dyDescent="0.25">
      <c r="J1030" s="2023" t="s">
        <v>5459</v>
      </c>
      <c r="K1030" s="2023" t="s">
        <v>5459</v>
      </c>
      <c r="L1030" s="2023" t="s">
        <v>5459</v>
      </c>
      <c r="M1030" s="2023" t="s">
        <v>5459</v>
      </c>
      <c r="N1030" s="2023"/>
      <c r="O1030" s="2023"/>
      <c r="P1030" s="2023"/>
      <c r="Q1030" s="2023"/>
      <c r="R1030" s="2316" t="s">
        <v>5709</v>
      </c>
      <c r="S1030" s="2317">
        <f>SUM(S1026:S1028)</f>
        <v>672768.3528570896</v>
      </c>
      <c r="T1030" s="2318">
        <f>SUM(T1026:T1028)</f>
        <v>353419.88365590287</v>
      </c>
      <c r="U1030" s="2318">
        <f>SUM(U1026:U1028)</f>
        <v>0</v>
      </c>
      <c r="V1030" s="2319">
        <f>SUM(V1026:V1028)</f>
        <v>319348.46920118667</v>
      </c>
      <c r="W1030" s="2301" t="s">
        <v>5708</v>
      </c>
    </row>
  </sheetData>
  <autoFilter ref="A36:J1003" xr:uid="{64E25C56-7A47-45FC-84C2-E10505D3666D}"/>
  <mergeCells count="2">
    <mergeCell ref="L9:P9"/>
    <mergeCell ref="R9:V9"/>
  </mergeCells>
  <pageMargins left="0.7" right="0.7" top="0.75" bottom="0.75" header="0.3" footer="0.3"/>
  <pageSetup scale="72" fitToHeight="0" orientation="landscape" horizontalDpi="1200" verticalDpi="1200" r:id="rId1"/>
  <customProperties>
    <customPr name="_pios_id" r:id="rId2"/>
  </customProperties>
  <drawing r:id="rId3"/>
  <legacyDrawing r:id="rId4"/>
  <oleObjects>
    <mc:AlternateContent xmlns:mc="http://schemas.openxmlformats.org/markup-compatibility/2006">
      <mc:Choice Requires="x14">
        <oleObject progId="StaticMetafile" shapeId="141313" r:id="rId5">
          <objectPr defaultSize="0" autoPict="0" r:id="rId6">
            <anchor moveWithCells="1" sizeWithCells="1">
              <from>
                <xdr:col>0</xdr:col>
                <xdr:colOff>38100</xdr:colOff>
                <xdr:row>0</xdr:row>
                <xdr:rowOff>95250</xdr:rowOff>
              </from>
              <to>
                <xdr:col>2</xdr:col>
                <xdr:colOff>590550</xdr:colOff>
                <xdr:row>3</xdr:row>
                <xdr:rowOff>9525</xdr:rowOff>
              </to>
            </anchor>
          </objectPr>
        </oleObject>
      </mc:Choice>
      <mc:Fallback>
        <oleObject progId="StaticMetafile" shapeId="141313" r:id="rId5"/>
      </mc:Fallback>
    </mc:AlternateContent>
  </oleObjects>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6ADE9-9BDC-428E-A90F-8C700D681C49}">
  <sheetPr codeName="Sheet31">
    <tabColor rgb="FF00B0F0"/>
    <pageSetUpPr fitToPage="1"/>
  </sheetPr>
  <dimension ref="A1:EH455"/>
  <sheetViews>
    <sheetView zoomScaleNormal="100" zoomScaleSheetLayoutView="100" workbookViewId="0">
      <selection activeCell="W987" sqref="W987"/>
    </sheetView>
  </sheetViews>
  <sheetFormatPr defaultColWidth="7.625" defaultRowHeight="12.75" outlineLevelRow="2" x14ac:dyDescent="0.2"/>
  <cols>
    <col min="1" max="1" width="13.625" style="1953" bestFit="1" customWidth="1"/>
    <col min="2" max="2" width="28.25" style="1953" bestFit="1" customWidth="1"/>
    <col min="3" max="3" width="15.75" style="1953" bestFit="1" customWidth="1"/>
    <col min="4" max="4" width="35.375" style="1953" bestFit="1" customWidth="1"/>
    <col min="5" max="5" width="5.25" style="1953" bestFit="1" customWidth="1"/>
    <col min="6" max="6" width="12.125" style="1953" bestFit="1" customWidth="1"/>
    <col min="7" max="7" width="11.125" style="1953" bestFit="1" customWidth="1"/>
    <col min="8" max="9" width="9.625" style="1953" bestFit="1" customWidth="1"/>
    <col min="10" max="10" width="4.875" style="1953" customWidth="1"/>
    <col min="11" max="11" width="5.75" style="1953" bestFit="1" customWidth="1"/>
    <col min="12" max="13" width="8.125" style="1953" bestFit="1" customWidth="1"/>
    <col min="14" max="15" width="7.25" style="1953" bestFit="1" customWidth="1"/>
    <col min="16" max="16" width="8.125" style="1953" bestFit="1" customWidth="1"/>
    <col min="17" max="17" width="4.875" style="1953" customWidth="1"/>
    <col min="18" max="18" width="4" style="1953" customWidth="1"/>
    <col min="19" max="19" width="6.375" style="1953" customWidth="1"/>
    <col min="20" max="21" width="4.875" style="1953" customWidth="1"/>
    <col min="22" max="22" width="4" style="1953" customWidth="1"/>
    <col min="23" max="23" width="4.875" style="1953" customWidth="1"/>
    <col min="24" max="24" width="4" style="1953" customWidth="1"/>
    <col min="25" max="25" width="19.625" style="1953" customWidth="1"/>
    <col min="26" max="26" width="8.375" style="1953" customWidth="1"/>
    <col min="27" max="27" width="19.625" style="1953" customWidth="1"/>
    <col min="28" max="28" width="8.375" style="1953" customWidth="1"/>
    <col min="29" max="29" width="19.625" style="1953" customWidth="1"/>
    <col min="30" max="30" width="8.375" style="1953" customWidth="1"/>
    <col min="31" max="31" width="19.625" style="1953" customWidth="1"/>
    <col min="32" max="32" width="8.375" style="1953" customWidth="1"/>
    <col min="33" max="33" width="19.625" style="1953" customWidth="1"/>
    <col min="34" max="34" width="8.375" style="1953" customWidth="1"/>
    <col min="35" max="35" width="13.5" style="1953" customWidth="1"/>
    <col min="36" max="36" width="19.875" style="1953" customWidth="1"/>
    <col min="37" max="37" width="5.75" style="1953" customWidth="1"/>
    <col min="38" max="38" width="25.75" style="1953" customWidth="1"/>
    <col min="39" max="42" width="19.875" style="1953" customWidth="1"/>
    <col min="43" max="43" width="5.75" style="1953" customWidth="1"/>
    <col min="44" max="44" width="19.625" style="1953" customWidth="1"/>
    <col min="45" max="45" width="13" style="1953" customWidth="1"/>
    <col min="46" max="46" width="19.75" style="1953" customWidth="1"/>
    <col min="47" max="47" width="25.75" style="1953" customWidth="1"/>
    <col min="48" max="48" width="13" style="1953" customWidth="1"/>
    <col min="49" max="49" width="25.75" style="1953" customWidth="1"/>
    <col min="50" max="50" width="13" style="1953" customWidth="1"/>
    <col min="51" max="51" width="5.75" style="1953" customWidth="1"/>
    <col min="52" max="52" width="13" style="1953" customWidth="1"/>
    <col min="53" max="53" width="5.75" style="1953" customWidth="1"/>
    <col min="54" max="54" width="19.625" style="1953" customWidth="1"/>
    <col min="55" max="55" width="13" style="1953" customWidth="1"/>
    <col min="56" max="56" width="5.5" style="1953" customWidth="1"/>
    <col min="57" max="57" width="19.625" style="1953" customWidth="1"/>
    <col min="58" max="58" width="19.375" style="1953" customWidth="1"/>
    <col min="59" max="59" width="9.375" style="1953" customWidth="1"/>
    <col min="60" max="60" width="5.5" style="1953" customWidth="1"/>
    <col min="61" max="61" width="4.25" style="1953" customWidth="1"/>
    <col min="62" max="62" width="9.375" style="1953" customWidth="1"/>
    <col min="63" max="63" width="10.375" style="1953" customWidth="1"/>
    <col min="64" max="65" width="9.375" style="1953" customWidth="1"/>
    <col min="66" max="66" width="8.375" style="1953" customWidth="1"/>
    <col min="67" max="67" width="4.875" style="1953" customWidth="1"/>
    <col min="68" max="68" width="4" style="1953" customWidth="1"/>
    <col min="69" max="69" width="5.25" style="1953" customWidth="1"/>
    <col min="70" max="70" width="4.625" style="1953" customWidth="1"/>
    <col min="71" max="71" width="5.25" style="1953" customWidth="1"/>
    <col min="72" max="72" width="4.625" style="1953" customWidth="1"/>
    <col min="73" max="73" width="5.25" style="1953" customWidth="1"/>
    <col min="74" max="74" width="4.625" style="1953" customWidth="1"/>
    <col min="75" max="75" width="5.25" style="1953" customWidth="1"/>
    <col min="76" max="76" width="4.625" style="1953" customWidth="1"/>
    <col min="77" max="77" width="5.25" style="1953" customWidth="1"/>
    <col min="78" max="78" width="4.625" style="1953" customWidth="1"/>
    <col min="79" max="79" width="5.25" style="1953" customWidth="1"/>
    <col min="80" max="80" width="4.625" style="1953" customWidth="1"/>
    <col min="81" max="81" width="5.25" style="1953" customWidth="1"/>
    <col min="82" max="82" width="4.625" style="1953" customWidth="1"/>
    <col min="83" max="83" width="5.25" style="1953" customWidth="1"/>
    <col min="84" max="84" width="4.625" style="1953" customWidth="1"/>
    <col min="85" max="85" width="5.25" style="1953" customWidth="1"/>
    <col min="86" max="86" width="4.625" style="1953" customWidth="1"/>
    <col min="87" max="87" width="5.25" style="1953" customWidth="1"/>
    <col min="88" max="88" width="4.625" style="1953" customWidth="1"/>
    <col min="89" max="89" width="5.25" style="1953" customWidth="1"/>
    <col min="90" max="90" width="4.625" style="1953" customWidth="1"/>
    <col min="91" max="91" width="5.25" style="1953" customWidth="1"/>
    <col min="92" max="92" width="4.625" style="1953" customWidth="1"/>
    <col min="93" max="93" width="5.25" style="1953" customWidth="1"/>
    <col min="94" max="94" width="4.625" style="1953" customWidth="1"/>
    <col min="95" max="95" width="5.25" style="1953" customWidth="1"/>
    <col min="96" max="96" width="4.625" style="1953" customWidth="1"/>
    <col min="97" max="97" width="5.25" style="1953" customWidth="1"/>
    <col min="98" max="98" width="4.625" style="1953" customWidth="1"/>
    <col min="99" max="99" width="5.25" style="1953" customWidth="1"/>
    <col min="100" max="100" width="4.625" style="1953" customWidth="1"/>
    <col min="101" max="101" width="5.25" style="1953" customWidth="1"/>
    <col min="102" max="102" width="4.625" style="1953" customWidth="1"/>
    <col min="103" max="103" width="5.25" style="1953" customWidth="1"/>
    <col min="104" max="104" width="4.625" style="1953" customWidth="1"/>
    <col min="105" max="105" width="5.25" style="1953" customWidth="1"/>
    <col min="106" max="106" width="4.625" style="1953" customWidth="1"/>
    <col min="107" max="107" width="5.25" style="1953" customWidth="1"/>
    <col min="108" max="108" width="4.625" style="1953" customWidth="1"/>
    <col min="109" max="109" width="5.25" style="1953" customWidth="1"/>
    <col min="110" max="110" width="4.625" style="1953" customWidth="1"/>
    <col min="111" max="111" width="5.25" style="1953" customWidth="1"/>
    <col min="112" max="112" width="4.625" style="1953" customWidth="1"/>
    <col min="113" max="113" width="5.25" style="1953" customWidth="1"/>
    <col min="114" max="114" width="4.625" style="1953" customWidth="1"/>
    <col min="115" max="115" width="5.25" style="1953" customWidth="1"/>
    <col min="116" max="116" width="4.625" style="1953" customWidth="1"/>
    <col min="117" max="117" width="5.25" style="1953" customWidth="1"/>
    <col min="118" max="118" width="4.625" style="1953" customWidth="1"/>
    <col min="119" max="119" width="5.25" style="1953" customWidth="1"/>
    <col min="120" max="120" width="4.625" style="1953" customWidth="1"/>
    <col min="121" max="121" width="5.25" style="1953" customWidth="1"/>
    <col min="122" max="122" width="4.625" style="1953" customWidth="1"/>
    <col min="123" max="123" width="7.125" style="1953" customWidth="1"/>
    <col min="124" max="124" width="6" style="1953" customWidth="1"/>
    <col min="125" max="125" width="5.25" style="1953" customWidth="1"/>
    <col min="126" max="126" width="4.625" style="1953" customWidth="1"/>
    <col min="127" max="127" width="5.25" style="1953" customWidth="1"/>
    <col min="128" max="128" width="4.625" style="1953" customWidth="1"/>
    <col min="129" max="129" width="5.25" style="1953" customWidth="1"/>
    <col min="130" max="130" width="4.625" style="1953" customWidth="1"/>
    <col min="131" max="131" width="5.25" style="1953" customWidth="1"/>
    <col min="132" max="132" width="4.625" style="1953" customWidth="1"/>
    <col min="133" max="133" width="5.25" style="1953" customWidth="1"/>
    <col min="134" max="134" width="4.625" style="1953" customWidth="1"/>
    <col min="135" max="135" width="5.25" style="1953" customWidth="1"/>
    <col min="136" max="136" width="4.625" style="1953" customWidth="1"/>
    <col min="137" max="137" width="5.25" style="1953" customWidth="1"/>
    <col min="138" max="138" width="4.625" style="1953" customWidth="1"/>
    <col min="139" max="16384" width="7.625" style="1953"/>
  </cols>
  <sheetData>
    <row r="1" spans="1:137" ht="39.950000000000003" customHeight="1" x14ac:dyDescent="0.2">
      <c r="BB1" s="1951"/>
    </row>
    <row r="2" spans="1:137" ht="42" hidden="1" customHeight="1" x14ac:dyDescent="0.2"/>
    <row r="3" spans="1:137" ht="35.25" hidden="1" customHeight="1" x14ac:dyDescent="0.2">
      <c r="D3" s="1951"/>
      <c r="F3" s="1951"/>
      <c r="G3" s="1951"/>
      <c r="I3" s="1951"/>
      <c r="AL3" s="1951"/>
      <c r="AR3" s="1951"/>
      <c r="AU3" s="1951"/>
      <c r="AW3" s="1951"/>
      <c r="BB3" s="1952"/>
      <c r="BD3" s="1951"/>
      <c r="BF3" s="1951"/>
      <c r="BH3" s="1951"/>
      <c r="BJ3" s="1951"/>
      <c r="BL3" s="1951"/>
      <c r="BN3" s="1951"/>
      <c r="BP3" s="1951"/>
    </row>
    <row r="4" spans="1:137" ht="12" customHeight="1" x14ac:dyDescent="0.25">
      <c r="A4" s="1990"/>
      <c r="D4" s="1952"/>
      <c r="F4" s="1952"/>
      <c r="G4" s="1952"/>
      <c r="I4" s="1952"/>
      <c r="BB4" s="1952"/>
      <c r="BR4" s="1951"/>
    </row>
    <row r="5" spans="1:137" ht="12" customHeight="1" x14ac:dyDescent="0.2">
      <c r="A5" s="1950" t="s">
        <v>4921</v>
      </c>
      <c r="B5" s="1951"/>
      <c r="C5" s="1951"/>
      <c r="D5" s="1952"/>
      <c r="E5" s="1951"/>
      <c r="F5" s="1952"/>
      <c r="G5" s="1952"/>
      <c r="H5" s="1951"/>
      <c r="I5" s="1952"/>
      <c r="J5" s="1951"/>
      <c r="K5" s="1951"/>
      <c r="L5" s="1951"/>
      <c r="M5" s="1951"/>
      <c r="N5" s="1951"/>
      <c r="O5" s="1951"/>
      <c r="P5" s="1951"/>
      <c r="Q5" s="1951"/>
      <c r="R5" s="1951"/>
      <c r="S5" s="1951"/>
      <c r="T5" s="1951"/>
      <c r="U5" s="1951"/>
      <c r="V5" s="1951"/>
      <c r="W5" s="1951"/>
      <c r="X5" s="1951"/>
      <c r="Y5" s="1951"/>
      <c r="Z5" s="1951"/>
      <c r="AA5" s="1951"/>
      <c r="AB5" s="1951"/>
      <c r="AC5" s="1951"/>
      <c r="AD5" s="1951"/>
      <c r="AE5" s="1951"/>
      <c r="AF5" s="1951"/>
      <c r="AG5" s="1951"/>
      <c r="AH5" s="1951"/>
      <c r="AI5" s="1951"/>
      <c r="AJ5" s="1951"/>
      <c r="AK5" s="1951"/>
      <c r="AM5" s="1951"/>
      <c r="AN5" s="1951"/>
      <c r="AO5" s="1951"/>
      <c r="AP5" s="1951"/>
      <c r="AQ5" s="1951"/>
      <c r="AS5" s="1951"/>
      <c r="AT5" s="1951"/>
      <c r="AV5" s="1951"/>
      <c r="AX5" s="1951"/>
      <c r="AY5" s="1951"/>
      <c r="AZ5" s="1951"/>
      <c r="BA5" s="1951"/>
      <c r="BB5" s="1952"/>
      <c r="BC5" s="1951"/>
      <c r="BE5" s="1951"/>
      <c r="BG5" s="1951"/>
      <c r="BI5" s="1951"/>
      <c r="BK5" s="1951"/>
      <c r="BM5" s="1951"/>
      <c r="BO5" s="1951"/>
      <c r="BQ5" s="1951"/>
      <c r="BS5" s="1951"/>
      <c r="BT5" s="1951"/>
      <c r="BU5" s="1951"/>
      <c r="BV5" s="1951"/>
      <c r="BW5" s="1951"/>
      <c r="BX5" s="1951"/>
      <c r="BY5" s="1951"/>
      <c r="BZ5" s="1951"/>
      <c r="CA5" s="1951"/>
      <c r="CB5" s="1951"/>
      <c r="CC5" s="1951"/>
      <c r="CD5" s="1951"/>
      <c r="CE5" s="1951"/>
      <c r="CF5" s="1951"/>
      <c r="CG5" s="1951"/>
      <c r="CH5" s="1951"/>
    </row>
    <row r="6" spans="1:137" ht="12" customHeight="1" x14ac:dyDescent="0.2">
      <c r="A6" s="1952" t="s">
        <v>2260</v>
      </c>
      <c r="B6" s="1952"/>
      <c r="C6" s="1952"/>
      <c r="D6" s="1952"/>
      <c r="E6" s="1952"/>
      <c r="F6" s="1952"/>
      <c r="G6" s="1952"/>
      <c r="H6" s="1952"/>
      <c r="I6" s="1952"/>
      <c r="BB6" s="1952"/>
    </row>
    <row r="7" spans="1:137" ht="12" customHeight="1" x14ac:dyDescent="0.2">
      <c r="A7" s="1952" t="s">
        <v>875</v>
      </c>
      <c r="B7" s="1952"/>
      <c r="C7" s="1952"/>
      <c r="E7" s="1952"/>
      <c r="H7" s="1952"/>
      <c r="BB7" s="1952"/>
    </row>
    <row r="8" spans="1:137" ht="12" customHeight="1" x14ac:dyDescent="0.2">
      <c r="A8" s="1952" t="s">
        <v>876</v>
      </c>
      <c r="B8" s="1952"/>
      <c r="C8" s="1952"/>
      <c r="D8" s="1952"/>
      <c r="E8" s="1952"/>
      <c r="F8" s="1952"/>
      <c r="G8" s="1952"/>
      <c r="H8" s="1952"/>
      <c r="I8" s="1952"/>
      <c r="AL8" s="1952"/>
      <c r="AR8" s="1952"/>
      <c r="AU8" s="1952"/>
      <c r="AW8" s="1952"/>
      <c r="BB8" s="1952"/>
      <c r="BD8" s="1952"/>
      <c r="BF8" s="1952"/>
      <c r="BH8" s="1952"/>
      <c r="BJ8" s="1952"/>
      <c r="BL8" s="1952"/>
      <c r="BN8" s="1952"/>
      <c r="BP8" s="1952"/>
    </row>
    <row r="9" spans="1:137" ht="12" customHeight="1" x14ac:dyDescent="0.2">
      <c r="D9" s="1956"/>
      <c r="F9" s="1956"/>
      <c r="G9" s="1956"/>
      <c r="I9" s="1956"/>
      <c r="AL9" s="1956"/>
      <c r="AR9" s="1956"/>
      <c r="AU9" s="1956"/>
      <c r="AW9" s="1956"/>
      <c r="BB9" s="1952"/>
      <c r="BD9" s="1952"/>
      <c r="BF9" s="1952"/>
      <c r="BH9" s="1952"/>
      <c r="BJ9" s="1952"/>
      <c r="BL9" s="1952"/>
      <c r="BN9" s="1952"/>
      <c r="BP9" s="1952"/>
      <c r="BR9" s="1952"/>
    </row>
    <row r="10" spans="1:137" s="1946" customFormat="1" ht="12" hidden="1" customHeight="1" outlineLevel="1" x14ac:dyDescent="0.2">
      <c r="A10" s="1951" t="s">
        <v>877</v>
      </c>
      <c r="B10" s="1952" t="s">
        <v>2411</v>
      </c>
      <c r="AH10" s="1952"/>
      <c r="AI10" s="1952"/>
      <c r="AJ10" s="1952"/>
      <c r="AK10" s="1952"/>
      <c r="AL10" s="1952"/>
      <c r="AO10" s="1952"/>
      <c r="AP10" s="1952"/>
      <c r="AQ10" s="1952"/>
      <c r="CK10" s="1952"/>
      <c r="CL10" s="1952"/>
      <c r="CM10" s="1952"/>
      <c r="CN10" s="1952"/>
      <c r="CO10" s="1952"/>
      <c r="CP10" s="1952"/>
      <c r="CQ10" s="1952"/>
      <c r="CR10" s="1952"/>
      <c r="CS10" s="1952"/>
      <c r="CT10" s="1952"/>
      <c r="CU10" s="1952"/>
      <c r="CV10" s="1952"/>
      <c r="CW10" s="1952"/>
      <c r="CX10" s="1952"/>
      <c r="CY10" s="1952"/>
      <c r="CZ10" s="1952"/>
      <c r="DA10" s="1952"/>
      <c r="DB10" s="1952"/>
      <c r="DC10" s="1952"/>
      <c r="DD10" s="1952"/>
      <c r="DE10" s="1952"/>
      <c r="DF10" s="1952"/>
      <c r="DG10" s="1952"/>
      <c r="DH10" s="1952"/>
      <c r="DI10" s="1952"/>
      <c r="DJ10" s="1952"/>
      <c r="DK10" s="1952"/>
      <c r="DL10" s="1952"/>
      <c r="DM10" s="1952"/>
      <c r="DN10" s="1952"/>
      <c r="DO10" s="1952"/>
      <c r="DP10" s="1952"/>
      <c r="DQ10" s="1952"/>
      <c r="DR10" s="1952"/>
      <c r="DS10" s="1952"/>
      <c r="DT10" s="1952"/>
      <c r="DU10" s="1955"/>
      <c r="DV10" s="1955"/>
      <c r="DW10" s="1955"/>
      <c r="DX10" s="1955"/>
      <c r="DY10" s="1955"/>
      <c r="DZ10" s="1955"/>
      <c r="EA10" s="1955"/>
      <c r="EB10" s="1955"/>
      <c r="EC10" s="1955"/>
      <c r="ED10" s="1955"/>
      <c r="EE10" s="1955"/>
      <c r="EF10" s="1955"/>
      <c r="EG10" s="1955"/>
    </row>
    <row r="11" spans="1:137" s="1946" customFormat="1" ht="12" hidden="1" customHeight="1" outlineLevel="1" x14ac:dyDescent="0.2">
      <c r="A11" s="1951" t="s">
        <v>879</v>
      </c>
      <c r="B11" s="1956">
        <v>45394.607456979167</v>
      </c>
      <c r="AH11" s="1956"/>
      <c r="AI11" s="1956"/>
      <c r="AJ11" s="1956"/>
      <c r="AK11" s="1956"/>
      <c r="AL11" s="1956"/>
      <c r="AO11" s="1956"/>
      <c r="AP11" s="1956"/>
      <c r="AQ11" s="1956"/>
      <c r="CK11" s="1952"/>
      <c r="CL11" s="1952"/>
      <c r="CM11" s="1952"/>
      <c r="CN11" s="1952"/>
      <c r="CO11" s="1952"/>
      <c r="CP11" s="1952"/>
      <c r="CQ11" s="1952"/>
      <c r="CR11" s="1952"/>
      <c r="CS11" s="1952"/>
      <c r="CT11" s="1952"/>
      <c r="CU11" s="1952"/>
      <c r="CV11" s="1952"/>
      <c r="CW11" s="1952"/>
      <c r="CX11" s="1952"/>
      <c r="CY11" s="1952"/>
      <c r="CZ11" s="1952"/>
      <c r="DA11" s="1952"/>
      <c r="DB11" s="1952"/>
      <c r="DC11" s="1952"/>
      <c r="DD11" s="1952"/>
      <c r="DE11" s="1952"/>
      <c r="DF11" s="1952"/>
      <c r="DG11" s="1952"/>
      <c r="DH11" s="1952"/>
      <c r="DI11" s="1952"/>
      <c r="DJ11" s="1952"/>
      <c r="DK11" s="1952"/>
      <c r="DL11" s="1952"/>
      <c r="DM11" s="1952"/>
      <c r="DN11" s="1952"/>
      <c r="DO11" s="1952"/>
      <c r="DP11" s="1952"/>
      <c r="DQ11" s="1952"/>
      <c r="DR11" s="1952"/>
      <c r="DS11" s="1952"/>
      <c r="DT11" s="1952"/>
      <c r="DU11" s="1955"/>
      <c r="DV11" s="1955"/>
      <c r="DW11" s="1955"/>
      <c r="DX11" s="1955"/>
      <c r="DY11" s="1955"/>
      <c r="DZ11" s="1955"/>
      <c r="EA11" s="1955"/>
      <c r="EB11" s="1955"/>
      <c r="EC11" s="1955"/>
      <c r="ED11" s="1955"/>
      <c r="EE11" s="1955"/>
      <c r="EF11" s="1955"/>
      <c r="EG11" s="1955"/>
    </row>
    <row r="12" spans="1:137" s="1946" customFormat="1" ht="12" hidden="1" customHeight="1" outlineLevel="1" x14ac:dyDescent="0.2">
      <c r="BB12" s="1948"/>
      <c r="BD12" s="1948"/>
      <c r="BF12" s="1948"/>
      <c r="BH12" s="1948"/>
      <c r="BJ12" s="1948"/>
      <c r="BL12" s="1948"/>
      <c r="BN12" s="1948"/>
      <c r="BP12" s="1948"/>
      <c r="BR12" s="1948"/>
    </row>
    <row r="13" spans="1:137" s="1946" customFormat="1" ht="12" hidden="1" customHeight="1" outlineLevel="1" x14ac:dyDescent="0.2">
      <c r="A13" s="1953"/>
      <c r="B13" s="1953"/>
      <c r="AF13" s="1953"/>
      <c r="AG13" s="1953"/>
      <c r="AH13" s="1953"/>
      <c r="AI13" s="1953"/>
      <c r="AJ13" s="1953"/>
      <c r="AM13" s="1953"/>
      <c r="AN13" s="1953"/>
      <c r="AO13" s="1953"/>
      <c r="AP13" s="1953"/>
      <c r="AS13" s="1953"/>
      <c r="AX13" s="1953"/>
      <c r="AZ13" s="1953"/>
      <c r="BA13" s="1948"/>
      <c r="BB13" s="1947"/>
      <c r="BC13" s="1948"/>
      <c r="BD13" s="1948"/>
      <c r="BE13" s="1948"/>
      <c r="BF13" s="1948"/>
      <c r="BG13" s="1948"/>
      <c r="BH13" s="1948"/>
      <c r="BI13" s="1948"/>
      <c r="BJ13" s="1948"/>
      <c r="BK13" s="1948"/>
      <c r="BL13" s="1948"/>
      <c r="BM13" s="1948"/>
      <c r="BN13" s="1948"/>
      <c r="BO13" s="1948"/>
      <c r="BP13" s="1948"/>
      <c r="BQ13" s="1948"/>
      <c r="BR13" s="1948"/>
      <c r="BS13" s="1948"/>
      <c r="BT13" s="1948"/>
      <c r="BU13" s="1948"/>
      <c r="BV13" s="1948"/>
      <c r="BW13" s="1948"/>
      <c r="BX13" s="1948"/>
      <c r="BY13" s="1948"/>
      <c r="BZ13" s="1948"/>
      <c r="CA13" s="1948"/>
      <c r="CB13" s="1948"/>
      <c r="CC13" s="1948"/>
      <c r="CD13" s="1948"/>
      <c r="CE13" s="1948"/>
      <c r="CF13" s="1948"/>
      <c r="CG13" s="1948"/>
      <c r="CH13" s="1948"/>
    </row>
    <row r="14" spans="1:137" s="1946" customFormat="1" ht="12" hidden="1" customHeight="1" outlineLevel="1" x14ac:dyDescent="0.2">
      <c r="A14" s="1953"/>
      <c r="B14" s="1953"/>
      <c r="AF14" s="1953"/>
      <c r="AG14" s="1953"/>
      <c r="AH14" s="1953"/>
      <c r="AI14" s="1953"/>
      <c r="AJ14" s="1953"/>
      <c r="AM14" s="1953"/>
      <c r="AN14" s="1953"/>
      <c r="AO14" s="1953"/>
      <c r="AP14" s="1953"/>
      <c r="AS14" s="1953"/>
      <c r="AX14" s="1953"/>
      <c r="AZ14" s="1953"/>
      <c r="BA14" s="1948"/>
      <c r="BB14" s="1948"/>
      <c r="BC14" s="1948"/>
      <c r="BD14" s="1948"/>
      <c r="BE14" s="1948"/>
      <c r="BF14" s="1948"/>
      <c r="BG14" s="1948"/>
      <c r="BH14" s="1948"/>
      <c r="BI14" s="1948"/>
      <c r="BJ14" s="1948"/>
      <c r="BK14" s="1948"/>
      <c r="BL14" s="1948"/>
      <c r="BM14" s="1948"/>
      <c r="BN14" s="1948"/>
      <c r="BO14" s="1948"/>
      <c r="BP14" s="1948"/>
      <c r="BQ14" s="1948"/>
      <c r="BR14" s="1948"/>
      <c r="BS14" s="1948"/>
      <c r="BT14" s="1948"/>
      <c r="BU14" s="1948"/>
      <c r="BV14" s="1948"/>
      <c r="BW14" s="1948"/>
      <c r="BX14" s="1948"/>
      <c r="BY14" s="1948"/>
      <c r="BZ14" s="1948"/>
      <c r="CA14" s="1948"/>
      <c r="CB14" s="1948"/>
      <c r="CC14" s="1948"/>
      <c r="CD14" s="1948"/>
      <c r="CE14" s="1948"/>
      <c r="CF14" s="1948"/>
      <c r="CG14" s="1948"/>
      <c r="CH14" s="1948"/>
    </row>
    <row r="15" spans="1:137" ht="12" hidden="1" customHeight="1" outlineLevel="1" x14ac:dyDescent="0.2">
      <c r="C15" s="1946"/>
      <c r="D15" s="1946"/>
      <c r="E15" s="1946"/>
      <c r="F15" s="1946"/>
      <c r="G15" s="1946"/>
      <c r="H15" s="1946"/>
      <c r="I15" s="1946"/>
      <c r="J15" s="1946"/>
      <c r="K15" s="1946"/>
      <c r="L15" s="1946"/>
      <c r="M15" s="1946"/>
      <c r="N15" s="1946"/>
      <c r="O15" s="1946"/>
      <c r="P15" s="1946"/>
      <c r="Q15" s="1946"/>
      <c r="R15" s="1946"/>
      <c r="S15" s="1946"/>
      <c r="T15" s="1946"/>
      <c r="U15" s="1946"/>
      <c r="V15" s="1946"/>
      <c r="W15" s="1946"/>
      <c r="X15" s="1946"/>
      <c r="Y15" s="1946"/>
      <c r="Z15" s="1946"/>
      <c r="AA15" s="1946"/>
      <c r="AB15" s="1946"/>
      <c r="AC15" s="1946"/>
      <c r="AD15" s="1946"/>
      <c r="AE15" s="1946"/>
      <c r="AK15" s="1946"/>
      <c r="AL15" s="1946"/>
      <c r="AQ15" s="1946"/>
      <c r="AR15" s="1946"/>
      <c r="AT15" s="1946"/>
      <c r="AU15" s="1946"/>
      <c r="AV15" s="1946"/>
      <c r="AW15" s="1946"/>
      <c r="AY15" s="1946"/>
      <c r="BA15" s="1948"/>
      <c r="BB15" s="1948"/>
      <c r="BC15" s="1952"/>
      <c r="BD15" s="1952"/>
      <c r="BE15" s="1952"/>
      <c r="BF15" s="1952"/>
      <c r="BG15" s="1952"/>
      <c r="BH15" s="1952"/>
      <c r="BI15" s="1952"/>
      <c r="BJ15" s="1952"/>
      <c r="BK15" s="1952"/>
      <c r="BL15" s="1952"/>
      <c r="BM15" s="1952"/>
      <c r="BN15" s="1952"/>
      <c r="BO15" s="1952"/>
      <c r="BP15" s="1952"/>
    </row>
    <row r="16" spans="1:137" s="1946" customFormat="1" ht="12" hidden="1" customHeight="1" outlineLevel="1" x14ac:dyDescent="0.2">
      <c r="A16" s="1953"/>
      <c r="B16" s="1953"/>
      <c r="AF16" s="1953"/>
      <c r="AG16" s="1953"/>
      <c r="AH16" s="1953"/>
      <c r="AI16" s="1953"/>
      <c r="AJ16" s="1953"/>
      <c r="AM16" s="1953"/>
      <c r="AN16" s="1953"/>
      <c r="AO16" s="1953"/>
      <c r="AP16" s="1953"/>
      <c r="AS16" s="1953"/>
      <c r="AX16" s="1953"/>
      <c r="AZ16" s="1953"/>
      <c r="BA16" s="1948"/>
      <c r="BB16" s="1948"/>
      <c r="BC16" s="1948"/>
      <c r="BD16" s="1948"/>
      <c r="BE16" s="1948"/>
      <c r="BF16" s="1948"/>
      <c r="BG16" s="1948"/>
      <c r="BH16" s="1948"/>
      <c r="BI16" s="1948"/>
      <c r="BJ16" s="1948"/>
      <c r="BK16" s="1948"/>
      <c r="BL16" s="1948"/>
      <c r="BM16" s="1948"/>
      <c r="BN16" s="1948"/>
      <c r="BO16" s="1948"/>
      <c r="BP16" s="1948"/>
      <c r="BQ16" s="1948"/>
      <c r="BR16" s="1948"/>
      <c r="BS16" s="1948"/>
      <c r="BT16" s="1948"/>
      <c r="BU16" s="1948"/>
      <c r="BV16" s="1948"/>
      <c r="BW16" s="1948"/>
      <c r="BX16" s="1948"/>
      <c r="BY16" s="1948"/>
      <c r="BZ16" s="1948"/>
      <c r="CA16" s="1948"/>
      <c r="CB16" s="1948"/>
      <c r="CC16" s="1948"/>
      <c r="CD16" s="1948"/>
      <c r="CE16" s="1948"/>
      <c r="CF16" s="1948"/>
      <c r="CG16" s="1948"/>
      <c r="CH16" s="1948"/>
    </row>
    <row r="17" spans="1:138" s="1946" customFormat="1" ht="12" hidden="1" customHeight="1" outlineLevel="1" x14ac:dyDescent="0.2">
      <c r="A17" s="1953"/>
      <c r="B17" s="1953"/>
      <c r="AF17" s="1953"/>
      <c r="AG17" s="1953"/>
      <c r="AH17" s="1953"/>
      <c r="AI17" s="1953"/>
      <c r="AJ17" s="1953"/>
      <c r="AM17" s="1953"/>
      <c r="AN17" s="1953"/>
      <c r="AO17" s="1953"/>
      <c r="AP17" s="1953"/>
      <c r="AS17" s="1953"/>
      <c r="AX17" s="1953"/>
      <c r="AZ17" s="1953"/>
      <c r="BA17" s="1948"/>
      <c r="BB17" s="1948"/>
      <c r="BC17" s="1948"/>
      <c r="BD17" s="1948"/>
      <c r="BE17" s="1948"/>
      <c r="BF17" s="1948"/>
      <c r="BG17" s="1948"/>
      <c r="BH17" s="1948"/>
      <c r="BI17" s="1948"/>
      <c r="BJ17" s="1948"/>
      <c r="BK17" s="1948"/>
      <c r="BL17" s="1948"/>
      <c r="BM17" s="1948"/>
      <c r="BN17" s="1948"/>
      <c r="BO17" s="1948"/>
      <c r="BP17" s="1948"/>
      <c r="BQ17" s="1948"/>
      <c r="BR17" s="1948"/>
      <c r="BS17" s="1948"/>
      <c r="BT17" s="1948"/>
      <c r="BU17" s="1948"/>
      <c r="BV17" s="1948"/>
      <c r="BW17" s="1948"/>
      <c r="BX17" s="1948"/>
      <c r="BY17" s="1948"/>
      <c r="BZ17" s="1948"/>
      <c r="CA17" s="1948"/>
      <c r="CB17" s="1948"/>
      <c r="CC17" s="1948"/>
      <c r="CD17" s="1948"/>
      <c r="CE17" s="1948"/>
      <c r="CF17" s="1948"/>
      <c r="CG17" s="1948"/>
      <c r="CH17" s="1948"/>
    </row>
    <row r="18" spans="1:138" s="1946" customFormat="1" ht="12" hidden="1" customHeight="1" outlineLevel="1" x14ac:dyDescent="0.2">
      <c r="A18" s="1953"/>
      <c r="B18" s="1953"/>
      <c r="AF18" s="1953"/>
      <c r="AG18" s="1953"/>
      <c r="AH18" s="1953"/>
      <c r="AI18" s="1953"/>
      <c r="AJ18" s="1953"/>
      <c r="AM18" s="1953"/>
      <c r="AN18" s="1953"/>
      <c r="AO18" s="1953"/>
      <c r="AP18" s="1953"/>
      <c r="AS18" s="1953"/>
      <c r="AX18" s="1953"/>
      <c r="AZ18" s="1953"/>
      <c r="BA18" s="1948"/>
      <c r="BB18" s="1948"/>
      <c r="BC18" s="1948"/>
      <c r="BD18" s="1948"/>
      <c r="BE18" s="1948"/>
      <c r="BF18" s="1948"/>
      <c r="BG18" s="1948"/>
      <c r="BH18" s="1948"/>
      <c r="BI18" s="1948"/>
      <c r="BJ18" s="1948"/>
      <c r="BK18" s="1948"/>
      <c r="BL18" s="1948"/>
      <c r="BM18" s="1948"/>
      <c r="BN18" s="1948"/>
      <c r="BO18" s="1948"/>
      <c r="BP18" s="1948"/>
      <c r="BQ18" s="1948"/>
      <c r="BR18" s="1948"/>
      <c r="BS18" s="1948"/>
      <c r="BT18" s="1948"/>
      <c r="BU18" s="1948"/>
      <c r="BV18" s="1948"/>
      <c r="BW18" s="1948"/>
      <c r="BX18" s="1948"/>
      <c r="BY18" s="1948"/>
      <c r="BZ18" s="1948"/>
      <c r="CA18" s="1948"/>
      <c r="CB18" s="1948"/>
      <c r="CC18" s="1948"/>
      <c r="CD18" s="1948"/>
      <c r="CE18" s="1948"/>
      <c r="CF18" s="1948"/>
      <c r="CG18" s="1948"/>
      <c r="CH18" s="1948"/>
    </row>
    <row r="19" spans="1:138" s="1946" customFormat="1" ht="12" hidden="1" customHeight="1" outlineLevel="1" x14ac:dyDescent="0.2">
      <c r="A19" s="1953"/>
      <c r="B19" s="1953" t="s">
        <v>4922</v>
      </c>
      <c r="AF19" s="1953"/>
      <c r="AG19" s="1953"/>
      <c r="AH19" s="1953"/>
      <c r="AI19" s="1953"/>
      <c r="AJ19" s="1953"/>
      <c r="AM19" s="1953"/>
      <c r="AN19" s="1953"/>
      <c r="AO19" s="1953"/>
      <c r="AP19" s="1953"/>
      <c r="AS19" s="1953"/>
      <c r="AX19" s="1953"/>
      <c r="AZ19" s="1953"/>
      <c r="BA19" s="1948"/>
      <c r="BB19" s="1948"/>
      <c r="BC19" s="1948"/>
      <c r="BD19" s="1948"/>
      <c r="BE19" s="1948"/>
      <c r="BF19" s="1948"/>
      <c r="BG19" s="1948"/>
      <c r="BH19" s="1948"/>
      <c r="BI19" s="1948"/>
      <c r="BJ19" s="1948"/>
      <c r="BK19" s="1948"/>
      <c r="BL19" s="1948"/>
      <c r="BM19" s="1948"/>
      <c r="BN19" s="1948"/>
      <c r="BO19" s="1948"/>
      <c r="BP19" s="1948"/>
      <c r="BQ19" s="1948"/>
      <c r="BR19" s="1948"/>
      <c r="BS19" s="1948"/>
      <c r="BT19" s="1948"/>
      <c r="BU19" s="1948"/>
      <c r="BV19" s="1948"/>
      <c r="BW19" s="1948"/>
      <c r="BX19" s="1948"/>
      <c r="BY19" s="1948"/>
      <c r="BZ19" s="1948"/>
      <c r="CA19" s="1948"/>
      <c r="CB19" s="1948"/>
      <c r="CC19" s="1948"/>
      <c r="CD19" s="1948"/>
      <c r="CE19" s="1948"/>
      <c r="CF19" s="1948"/>
      <c r="CG19" s="1948"/>
      <c r="CH19" s="1948"/>
    </row>
    <row r="20" spans="1:138" s="1946" customFormat="1" ht="12" hidden="1" customHeight="1" outlineLevel="1" x14ac:dyDescent="0.2">
      <c r="A20" s="1953"/>
      <c r="B20" s="1953"/>
      <c r="AF20" s="1953"/>
      <c r="AG20" s="1953"/>
      <c r="AH20" s="1953"/>
      <c r="AI20" s="1953"/>
      <c r="AJ20" s="1953"/>
      <c r="AM20" s="1953"/>
      <c r="AN20" s="1953"/>
      <c r="AO20" s="1953"/>
      <c r="AP20" s="1953"/>
      <c r="AS20" s="1953"/>
      <c r="AX20" s="1953"/>
      <c r="AZ20" s="1953"/>
      <c r="BA20" s="1948"/>
      <c r="BB20" s="1948"/>
      <c r="BC20" s="1948"/>
      <c r="BD20" s="1948"/>
      <c r="BE20" s="1948"/>
      <c r="BF20" s="1948"/>
      <c r="BG20" s="1948"/>
      <c r="BH20" s="1948"/>
      <c r="BI20" s="1948"/>
      <c r="BJ20" s="1948"/>
      <c r="BK20" s="1948"/>
      <c r="BL20" s="1948"/>
      <c r="BM20" s="1948"/>
      <c r="BN20" s="1948"/>
      <c r="BO20" s="1948"/>
      <c r="BP20" s="1948"/>
      <c r="BQ20" s="1948"/>
      <c r="BR20" s="1948"/>
      <c r="BS20" s="1948"/>
      <c r="BT20" s="1948"/>
      <c r="BU20" s="1948"/>
      <c r="BV20" s="1948"/>
      <c r="BW20" s="1948"/>
      <c r="BX20" s="1948"/>
      <c r="BY20" s="1948"/>
      <c r="BZ20" s="1948"/>
      <c r="CA20" s="1948"/>
      <c r="CB20" s="1948"/>
      <c r="CC20" s="1948"/>
      <c r="CD20" s="1948"/>
      <c r="CE20" s="1948"/>
      <c r="CF20" s="1948"/>
      <c r="CG20" s="1948"/>
      <c r="CH20" s="1948"/>
    </row>
    <row r="21" spans="1:138" s="1946" customFormat="1" ht="12" hidden="1" customHeight="1" outlineLevel="1" x14ac:dyDescent="0.2">
      <c r="A21" s="1953"/>
      <c r="B21" s="1953"/>
      <c r="AF21" s="1953"/>
      <c r="AG21" s="1953"/>
      <c r="AH21" s="1953"/>
      <c r="AI21" s="1953"/>
      <c r="AJ21" s="1953"/>
      <c r="AM21" s="1953"/>
      <c r="AN21" s="1953"/>
      <c r="AO21" s="1953"/>
      <c r="AP21" s="1953"/>
      <c r="AS21" s="1953"/>
      <c r="AX21" s="1953"/>
      <c r="AZ21" s="1953"/>
      <c r="BA21" s="1948"/>
      <c r="BB21" s="1948"/>
      <c r="BC21" s="1948"/>
      <c r="BD21" s="1948"/>
      <c r="BE21" s="1948"/>
      <c r="BF21" s="1948"/>
      <c r="BG21" s="1948"/>
      <c r="BH21" s="1948"/>
      <c r="BI21" s="1948"/>
      <c r="BJ21" s="1948"/>
      <c r="BK21" s="1948"/>
      <c r="BL21" s="1948"/>
      <c r="BM21" s="1948"/>
      <c r="BN21" s="1948"/>
      <c r="BO21" s="1948"/>
      <c r="BP21" s="1948"/>
      <c r="BQ21" s="1948"/>
      <c r="BR21" s="1948"/>
      <c r="BS21" s="1948"/>
      <c r="BT21" s="1948"/>
      <c r="BU21" s="1948"/>
      <c r="BV21" s="1948"/>
      <c r="BW21" s="1948"/>
      <c r="BX21" s="1948"/>
      <c r="BY21" s="1948"/>
      <c r="BZ21" s="1948"/>
      <c r="CA21" s="1948"/>
      <c r="CB21" s="1948"/>
      <c r="CC21" s="1948"/>
      <c r="CD21" s="1948"/>
      <c r="CE21" s="1948"/>
      <c r="CF21" s="1948"/>
      <c r="CG21" s="1948"/>
      <c r="CH21" s="1948"/>
    </row>
    <row r="22" spans="1:138" s="1946" customFormat="1" ht="12" hidden="1" customHeight="1" outlineLevel="1" x14ac:dyDescent="0.2">
      <c r="A22" s="1953"/>
      <c r="B22" s="1953"/>
      <c r="AF22" s="1953"/>
      <c r="AG22" s="1953"/>
      <c r="AH22" s="1953"/>
      <c r="AI22" s="1953"/>
      <c r="AJ22" s="1953"/>
      <c r="AM22" s="1953"/>
      <c r="AN22" s="1953"/>
      <c r="AO22" s="1953"/>
      <c r="AP22" s="1953"/>
      <c r="AS22" s="1953"/>
      <c r="AX22" s="1953"/>
      <c r="AZ22" s="1953"/>
      <c r="BA22" s="1948"/>
      <c r="BB22" s="1948"/>
      <c r="BC22" s="1948"/>
      <c r="BD22" s="1948"/>
      <c r="BE22" s="1948"/>
      <c r="BF22" s="1948"/>
      <c r="BG22" s="1948"/>
      <c r="BH22" s="1948"/>
      <c r="BI22" s="1948"/>
      <c r="BJ22" s="1948"/>
      <c r="BK22" s="1948"/>
      <c r="BL22" s="1948"/>
      <c r="BM22" s="1948"/>
      <c r="BN22" s="1948"/>
      <c r="BO22" s="1948"/>
      <c r="BP22" s="1948"/>
      <c r="BQ22" s="1948"/>
      <c r="BR22" s="1948"/>
      <c r="BS22" s="1948"/>
      <c r="BT22" s="1948"/>
      <c r="BU22" s="1948"/>
      <c r="BV22" s="1948"/>
      <c r="BW22" s="1948"/>
      <c r="BX22" s="1948"/>
      <c r="BY22" s="1948"/>
      <c r="BZ22" s="1948"/>
      <c r="CA22" s="1948"/>
      <c r="CB22" s="1948"/>
      <c r="CC22" s="1948"/>
      <c r="CD22" s="1948"/>
      <c r="CE22" s="1948"/>
      <c r="CF22" s="1948"/>
      <c r="CG22" s="1948"/>
      <c r="CH22" s="1948"/>
    </row>
    <row r="23" spans="1:138" ht="12" hidden="1" customHeight="1" outlineLevel="1" x14ac:dyDescent="0.2">
      <c r="C23" s="1946"/>
      <c r="D23" s="1946"/>
      <c r="E23" s="1946"/>
      <c r="F23" s="1946"/>
      <c r="G23" s="1946"/>
      <c r="H23" s="1946"/>
      <c r="I23" s="1946"/>
      <c r="J23" s="1946"/>
      <c r="K23" s="1946"/>
      <c r="L23" s="1946"/>
      <c r="M23" s="1946"/>
      <c r="N23" s="1946"/>
      <c r="O23" s="1946"/>
      <c r="P23" s="1946"/>
      <c r="Q23" s="1946"/>
      <c r="R23" s="1946"/>
      <c r="S23" s="1946"/>
      <c r="T23" s="1946"/>
      <c r="U23" s="1946"/>
      <c r="V23" s="1946"/>
      <c r="W23" s="1946"/>
      <c r="X23" s="1946"/>
      <c r="Y23" s="1946"/>
      <c r="Z23" s="1946"/>
      <c r="AA23" s="1946"/>
      <c r="AB23" s="1946"/>
      <c r="AC23" s="1946"/>
      <c r="AD23" s="1946"/>
      <c r="AE23" s="1946"/>
      <c r="AK23" s="1946"/>
      <c r="AL23" s="1946"/>
      <c r="AQ23" s="1946"/>
      <c r="AR23" s="1946"/>
      <c r="AT23" s="1946"/>
      <c r="AU23" s="1946"/>
      <c r="AV23" s="1946"/>
      <c r="AW23" s="1946"/>
      <c r="AY23" s="1946"/>
      <c r="BA23" s="1947"/>
      <c r="BB23" s="1948"/>
      <c r="BC23" s="1951"/>
      <c r="BD23" s="1951"/>
      <c r="BE23" s="1951"/>
      <c r="BF23" s="1951"/>
      <c r="BG23" s="1951"/>
      <c r="BH23" s="1951"/>
      <c r="BI23" s="1951"/>
      <c r="BJ23" s="1951"/>
      <c r="BK23" s="1951"/>
      <c r="BL23" s="1951"/>
      <c r="BM23" s="1951"/>
      <c r="BN23" s="1951"/>
      <c r="BO23" s="1951"/>
      <c r="BP23" s="1951"/>
    </row>
    <row r="24" spans="1:138" ht="12" hidden="1" customHeight="1" outlineLevel="1" x14ac:dyDescent="0.2">
      <c r="C24" s="1946"/>
      <c r="D24" s="1946"/>
      <c r="E24" s="1946"/>
      <c r="F24" s="1946"/>
      <c r="G24" s="1946"/>
      <c r="H24" s="1946"/>
      <c r="I24" s="1946"/>
      <c r="J24" s="1946"/>
      <c r="K24" s="1946"/>
      <c r="L24" s="1946"/>
      <c r="M24" s="1946"/>
      <c r="N24" s="1946"/>
      <c r="O24" s="1946"/>
      <c r="P24" s="1946"/>
      <c r="Q24" s="1946"/>
      <c r="R24" s="1946"/>
      <c r="S24" s="1946"/>
      <c r="T24" s="1946"/>
      <c r="U24" s="1946"/>
      <c r="V24" s="1946"/>
      <c r="W24" s="1946"/>
      <c r="X24" s="1946"/>
      <c r="Y24" s="1946"/>
      <c r="Z24" s="1946"/>
      <c r="AA24" s="1946"/>
      <c r="AB24" s="1946"/>
      <c r="AC24" s="1946"/>
      <c r="AD24" s="1946"/>
      <c r="AE24" s="1946"/>
      <c r="AK24" s="1946"/>
      <c r="AL24" s="1946"/>
      <c r="AQ24" s="1946"/>
      <c r="AR24" s="1946"/>
      <c r="AT24" s="1946"/>
      <c r="AU24" s="1946"/>
      <c r="AV24" s="1946"/>
      <c r="AW24" s="1946"/>
      <c r="AY24" s="1946"/>
      <c r="BA24" s="1948"/>
      <c r="BB24" s="1948"/>
      <c r="BC24" s="1952"/>
      <c r="BD24" s="1952"/>
      <c r="BE24" s="1952"/>
      <c r="BF24" s="1952"/>
      <c r="BG24" s="1952"/>
      <c r="BH24" s="1952"/>
      <c r="BI24" s="1952"/>
      <c r="BJ24" s="1952"/>
      <c r="BK24" s="1952"/>
      <c r="BL24" s="1952"/>
      <c r="BM24" s="1952"/>
      <c r="BN24" s="1952"/>
      <c r="BO24" s="1952"/>
      <c r="BP24" s="1952"/>
      <c r="BQ24" s="1952"/>
      <c r="BR24" s="1952"/>
      <c r="BS24" s="1952"/>
      <c r="BT24" s="1952"/>
      <c r="BU24" s="1952"/>
      <c r="BV24" s="1952"/>
      <c r="BW24" s="1952"/>
      <c r="BX24" s="1952"/>
      <c r="BY24" s="1952"/>
      <c r="BZ24" s="1952"/>
      <c r="CA24" s="1952"/>
      <c r="CB24" s="1952"/>
      <c r="CC24" s="1952"/>
      <c r="CD24" s="1952"/>
      <c r="CE24" s="1952"/>
      <c r="CF24" s="1952"/>
      <c r="CG24" s="1952"/>
      <c r="CH24" s="1952"/>
      <c r="CI24" s="1952"/>
      <c r="CJ24" s="1952"/>
      <c r="CK24" s="1952"/>
      <c r="CL24" s="1952"/>
      <c r="CM24" s="1952"/>
      <c r="CN24" s="1952"/>
      <c r="CO24" s="1952"/>
      <c r="CP24" s="1952"/>
      <c r="CQ24" s="1952"/>
      <c r="CR24" s="1952"/>
      <c r="CS24" s="1952"/>
      <c r="CT24" s="1952"/>
      <c r="CU24" s="1952"/>
      <c r="CV24" s="1952"/>
      <c r="CW24" s="1952"/>
      <c r="CX24" s="1952"/>
      <c r="CY24" s="1952"/>
      <c r="CZ24" s="1952"/>
      <c r="DA24" s="1952"/>
      <c r="DB24" s="1952"/>
      <c r="DC24" s="1952"/>
      <c r="DD24" s="1952"/>
      <c r="DE24" s="1952"/>
      <c r="DF24" s="1952"/>
    </row>
    <row r="25" spans="1:138" s="1946" customFormat="1" ht="12" hidden="1" customHeight="1" outlineLevel="1" x14ac:dyDescent="0.2">
      <c r="A25" s="1953"/>
      <c r="B25" s="1953"/>
      <c r="D25" s="1948"/>
      <c r="F25" s="1948"/>
      <c r="G25" s="1948"/>
      <c r="I25" s="1948"/>
      <c r="AF25" s="1953"/>
      <c r="AG25" s="1953"/>
      <c r="AH25" s="1953"/>
      <c r="AI25" s="1953"/>
      <c r="AJ25" s="1953"/>
      <c r="AL25" s="1948"/>
      <c r="AM25" s="1953"/>
      <c r="AN25" s="1953"/>
      <c r="AO25" s="1953"/>
      <c r="AP25" s="1953"/>
      <c r="AR25" s="1948"/>
      <c r="AS25" s="1953"/>
      <c r="AU25" s="1948"/>
      <c r="AW25" s="1948"/>
      <c r="AX25" s="1953"/>
      <c r="AZ25" s="1953"/>
      <c r="BA25" s="1948"/>
      <c r="BC25" s="1948"/>
      <c r="BE25" s="1948"/>
      <c r="BG25" s="1948"/>
      <c r="BI25" s="1948"/>
      <c r="BK25" s="1948"/>
      <c r="BM25" s="1948"/>
      <c r="BO25" s="1948"/>
      <c r="BQ25" s="1948"/>
      <c r="BR25" s="1948"/>
      <c r="BS25" s="1948"/>
      <c r="BT25" s="1948"/>
      <c r="BU25" s="1948"/>
      <c r="BV25" s="1948"/>
      <c r="BW25" s="1948"/>
      <c r="BX25" s="1948"/>
      <c r="BY25" s="1948"/>
      <c r="BZ25" s="1948"/>
      <c r="CA25" s="1948"/>
      <c r="CB25" s="1948"/>
      <c r="CC25" s="1948"/>
      <c r="CD25" s="1948"/>
      <c r="CE25" s="1948"/>
      <c r="CF25" s="1948"/>
      <c r="CG25" s="1948"/>
      <c r="CH25" s="1948"/>
    </row>
    <row r="26" spans="1:138" s="1946" customFormat="1" ht="12" hidden="1" customHeight="1" outlineLevel="1" x14ac:dyDescent="0.2">
      <c r="D26" s="1948"/>
      <c r="F26" s="1948"/>
      <c r="G26" s="1948"/>
      <c r="I26" s="1948"/>
      <c r="AL26" s="1948"/>
      <c r="AR26" s="1948"/>
      <c r="AU26" s="1948"/>
      <c r="AW26" s="1948"/>
      <c r="BA26" s="1948"/>
      <c r="BB26" s="1948"/>
      <c r="BC26" s="1948"/>
      <c r="BD26" s="1948"/>
      <c r="BE26" s="1948"/>
      <c r="BF26" s="1948"/>
      <c r="BG26" s="1948"/>
      <c r="BH26" s="1948"/>
      <c r="BI26" s="1948"/>
      <c r="BJ26" s="1948"/>
      <c r="BK26" s="1948"/>
      <c r="BL26" s="1948"/>
      <c r="BM26" s="1948"/>
      <c r="BN26" s="1948"/>
      <c r="BO26" s="1948"/>
      <c r="BP26" s="1948"/>
      <c r="BQ26" s="1948"/>
      <c r="BS26" s="1948"/>
      <c r="BT26" s="1948"/>
      <c r="BU26" s="1948"/>
      <c r="BV26" s="1948"/>
      <c r="BW26" s="1948"/>
      <c r="BX26" s="1948"/>
      <c r="BY26" s="1948"/>
      <c r="BZ26" s="1948"/>
      <c r="CA26" s="1948"/>
      <c r="CB26" s="1948"/>
      <c r="CC26" s="1948"/>
      <c r="CD26" s="1948"/>
      <c r="CE26" s="1948"/>
      <c r="CF26" s="1948"/>
      <c r="CG26" s="1948"/>
      <c r="CH26" s="1948"/>
    </row>
    <row r="27" spans="1:138" s="1946" customFormat="1" ht="12" hidden="1" customHeight="1" outlineLevel="1" x14ac:dyDescent="0.2">
      <c r="A27" s="1951" t="s">
        <v>724</v>
      </c>
      <c r="B27" s="1952" t="s">
        <v>724</v>
      </c>
      <c r="C27" s="1948"/>
      <c r="D27" s="1948"/>
      <c r="E27" s="1948"/>
      <c r="F27" s="1948"/>
      <c r="G27" s="1948"/>
      <c r="H27" s="1948"/>
      <c r="I27" s="1948"/>
      <c r="J27" s="1948"/>
      <c r="K27" s="1948"/>
      <c r="L27" s="1948"/>
      <c r="M27" s="1948"/>
      <c r="N27" s="1948"/>
      <c r="O27" s="1948"/>
      <c r="P27" s="1948"/>
      <c r="Q27" s="1948"/>
      <c r="R27" s="1948"/>
      <c r="S27" s="1948"/>
      <c r="T27" s="1948"/>
      <c r="U27" s="1948"/>
      <c r="V27" s="1948"/>
      <c r="W27" s="1948"/>
      <c r="X27" s="1948"/>
      <c r="Y27" s="1948"/>
      <c r="Z27" s="1948"/>
      <c r="AA27" s="1948"/>
      <c r="AB27" s="1948"/>
      <c r="AC27" s="1948"/>
      <c r="AD27" s="1948"/>
      <c r="AE27" s="1948"/>
      <c r="AF27" s="1952"/>
      <c r="AG27" s="1952"/>
      <c r="AH27" s="1952"/>
      <c r="AI27" s="1952"/>
      <c r="AJ27" s="1952"/>
      <c r="AK27" s="1948"/>
      <c r="AL27" s="1948"/>
      <c r="AM27" s="1952"/>
      <c r="AN27" s="1952"/>
      <c r="AO27" s="1952"/>
      <c r="AP27" s="1952"/>
      <c r="AQ27" s="1948"/>
      <c r="AR27" s="1948"/>
      <c r="AS27" s="1952"/>
      <c r="AT27" s="1948"/>
      <c r="AU27" s="1948"/>
      <c r="AV27" s="1948"/>
      <c r="AW27" s="1948"/>
      <c r="AX27" s="1952"/>
      <c r="AY27" s="1948"/>
      <c r="AZ27" s="1952"/>
      <c r="BA27" s="1948"/>
      <c r="BB27" s="1948"/>
      <c r="BC27" s="1948"/>
      <c r="BD27" s="1948"/>
      <c r="BE27" s="1948"/>
      <c r="BF27" s="1948"/>
      <c r="BG27" s="1948"/>
      <c r="BH27" s="1948"/>
      <c r="BI27" s="1948"/>
      <c r="BJ27" s="1948"/>
      <c r="BK27" s="1948"/>
      <c r="BL27" s="1948"/>
      <c r="BM27" s="1948"/>
      <c r="BN27" s="1948"/>
      <c r="BO27" s="1948"/>
      <c r="BP27" s="1948"/>
      <c r="BQ27" s="1948"/>
      <c r="BR27" s="1948"/>
      <c r="BS27" s="1948"/>
      <c r="BT27" s="1948"/>
      <c r="BU27" s="1948"/>
      <c r="BV27" s="1948"/>
      <c r="BW27" s="1948"/>
      <c r="BX27" s="1948"/>
      <c r="BY27" s="1948"/>
      <c r="BZ27" s="1948"/>
      <c r="CA27" s="1948"/>
      <c r="CB27" s="1948"/>
      <c r="CC27" s="1948"/>
      <c r="CD27" s="1948"/>
      <c r="CE27" s="1948"/>
      <c r="CF27" s="1948"/>
      <c r="CG27" s="1948"/>
      <c r="CH27" s="1948"/>
      <c r="CI27" s="1947"/>
      <c r="CJ27" s="1947"/>
      <c r="CK27" s="1947"/>
      <c r="CL27" s="1947"/>
      <c r="CM27" s="1947"/>
      <c r="CN27" s="1947"/>
      <c r="CO27" s="1947"/>
      <c r="CP27" s="1947"/>
      <c r="CQ27" s="1947"/>
      <c r="CR27" s="1947"/>
      <c r="CS27" s="1947"/>
      <c r="CT27" s="1947"/>
      <c r="CU27" s="1947"/>
      <c r="CV27" s="1947"/>
      <c r="CW27" s="1947"/>
      <c r="CX27" s="1947"/>
      <c r="CY27" s="1947"/>
      <c r="CZ27" s="1947"/>
      <c r="DA27" s="1947"/>
      <c r="DB27" s="1947"/>
      <c r="DC27" s="1947"/>
      <c r="DD27" s="1947"/>
      <c r="DE27" s="1947"/>
      <c r="DF27" s="1947"/>
      <c r="DG27" s="1947"/>
      <c r="DH27" s="1947"/>
      <c r="DI27" s="1947"/>
      <c r="DJ27" s="1947"/>
      <c r="DK27" s="1947"/>
      <c r="DL27" s="1947"/>
      <c r="DM27" s="1947"/>
      <c r="DN27" s="1947"/>
      <c r="DO27" s="1947"/>
      <c r="DP27" s="1947"/>
      <c r="DQ27" s="1947"/>
      <c r="DR27" s="1947"/>
      <c r="DS27" s="1947"/>
      <c r="DT27" s="1947"/>
      <c r="DU27" s="1947"/>
      <c r="DV27" s="1947"/>
      <c r="DW27" s="1947"/>
      <c r="DX27" s="1947"/>
      <c r="DY27" s="1947"/>
      <c r="DZ27" s="1947"/>
      <c r="EA27" s="1947"/>
      <c r="EB27" s="1947"/>
      <c r="EC27" s="1947"/>
      <c r="ED27" s="1947"/>
      <c r="EE27" s="1947"/>
      <c r="EF27" s="1947"/>
      <c r="EG27" s="1947"/>
      <c r="EH27" s="1947"/>
    </row>
    <row r="28" spans="1:138" s="1946" customFormat="1" ht="12" hidden="1" customHeight="1" outlineLevel="1" x14ac:dyDescent="0.2">
      <c r="A28" s="1951" t="s">
        <v>883</v>
      </c>
      <c r="B28" s="1952" t="s">
        <v>884</v>
      </c>
      <c r="C28" s="1948"/>
      <c r="D28" s="1948"/>
      <c r="E28" s="1948"/>
      <c r="F28" s="1948"/>
      <c r="G28" s="1948"/>
      <c r="H28" s="1948"/>
      <c r="I28" s="1948"/>
      <c r="J28" s="1948"/>
      <c r="K28" s="1948"/>
      <c r="L28" s="1948"/>
      <c r="M28" s="1948"/>
      <c r="N28" s="1948"/>
      <c r="O28" s="1948"/>
      <c r="P28" s="1948"/>
      <c r="Q28" s="1948"/>
      <c r="R28" s="1948"/>
      <c r="S28" s="1948"/>
      <c r="T28" s="1948"/>
      <c r="U28" s="1948"/>
      <c r="V28" s="1948"/>
      <c r="W28" s="1948"/>
      <c r="X28" s="1948"/>
      <c r="Y28" s="1948"/>
      <c r="Z28" s="1948"/>
      <c r="AA28" s="1948"/>
      <c r="AB28" s="1948"/>
      <c r="AC28" s="1948"/>
      <c r="AD28" s="1948"/>
      <c r="AE28" s="1948"/>
      <c r="AF28" s="1952"/>
      <c r="AG28" s="1952"/>
      <c r="AH28" s="1952"/>
      <c r="AI28" s="1952"/>
      <c r="AJ28" s="1952"/>
      <c r="AK28" s="1948"/>
      <c r="AL28" s="1948"/>
      <c r="AM28" s="1952"/>
      <c r="AN28" s="1952"/>
      <c r="AO28" s="1952"/>
      <c r="AP28" s="1952"/>
      <c r="AQ28" s="1948"/>
      <c r="AR28" s="1948"/>
      <c r="AS28" s="1952"/>
      <c r="AT28" s="1948"/>
      <c r="AU28" s="1948"/>
      <c r="AV28" s="1948"/>
      <c r="AW28" s="1948"/>
      <c r="AX28" s="1952"/>
      <c r="AY28" s="1948"/>
      <c r="AZ28" s="1952"/>
      <c r="BA28" s="1948"/>
      <c r="BB28" s="1948"/>
      <c r="BC28" s="1948"/>
      <c r="BD28" s="1948"/>
      <c r="BE28" s="1948"/>
      <c r="BF28" s="1948"/>
      <c r="BG28" s="1948"/>
      <c r="BH28" s="1948"/>
      <c r="BI28" s="1948"/>
      <c r="BJ28" s="1948"/>
      <c r="BK28" s="1948"/>
      <c r="BL28" s="1948"/>
      <c r="BM28" s="1948"/>
      <c r="BN28" s="1948"/>
      <c r="BO28" s="1948"/>
      <c r="BP28" s="1948"/>
      <c r="BQ28" s="1948"/>
      <c r="BR28" s="1948"/>
      <c r="BS28" s="1948"/>
      <c r="BT28" s="1948"/>
      <c r="BU28" s="1948"/>
      <c r="BV28" s="1948"/>
      <c r="BW28" s="1948"/>
      <c r="BX28" s="1948"/>
      <c r="BY28" s="1948"/>
      <c r="BZ28" s="1948"/>
      <c r="CA28" s="1948"/>
      <c r="CB28" s="1948"/>
      <c r="CC28" s="1948"/>
      <c r="CD28" s="1948"/>
      <c r="CE28" s="1948"/>
      <c r="CF28" s="1948"/>
      <c r="CG28" s="1948"/>
      <c r="CH28" s="1948"/>
      <c r="CI28" s="1947"/>
      <c r="CJ28" s="1947"/>
      <c r="CK28" s="1947"/>
      <c r="CL28" s="1947"/>
      <c r="CM28" s="1947"/>
      <c r="CN28" s="1947"/>
      <c r="CO28" s="1947"/>
      <c r="CP28" s="1947"/>
      <c r="CQ28" s="1947"/>
      <c r="CR28" s="1947"/>
      <c r="CS28" s="1947"/>
      <c r="CT28" s="1947"/>
      <c r="CU28" s="1947"/>
      <c r="CV28" s="1947"/>
      <c r="CW28" s="1947"/>
      <c r="CX28" s="1947"/>
      <c r="CY28" s="1947"/>
      <c r="CZ28" s="1947"/>
      <c r="DA28" s="1947"/>
      <c r="DB28" s="1947"/>
      <c r="DC28" s="1947"/>
      <c r="DD28" s="1947"/>
      <c r="DE28" s="1947"/>
      <c r="DF28" s="1947"/>
      <c r="DG28" s="1947"/>
      <c r="DH28" s="1947"/>
      <c r="DI28" s="1947"/>
      <c r="DJ28" s="1947"/>
      <c r="DK28" s="1947"/>
      <c r="DL28" s="1947"/>
      <c r="DM28" s="1947"/>
      <c r="DN28" s="1947"/>
      <c r="DO28" s="1947"/>
      <c r="DP28" s="1947"/>
      <c r="DQ28" s="1947"/>
      <c r="DR28" s="1947"/>
      <c r="DS28" s="1947"/>
      <c r="DT28" s="1947"/>
      <c r="DU28" s="1947"/>
      <c r="DV28" s="1947"/>
      <c r="DW28" s="1947"/>
      <c r="DX28" s="1947"/>
      <c r="DY28" s="1947"/>
      <c r="DZ28" s="1947"/>
      <c r="EA28" s="1947"/>
      <c r="EB28" s="1947"/>
      <c r="EC28" s="1947"/>
      <c r="ED28" s="1947"/>
      <c r="EE28" s="1947"/>
      <c r="EF28" s="1947"/>
      <c r="EG28" s="1947"/>
      <c r="EH28" s="1947"/>
    </row>
    <row r="29" spans="1:138" s="1946" customFormat="1" ht="12" hidden="1" customHeight="1" outlineLevel="1" x14ac:dyDescent="0.2">
      <c r="A29" s="1951" t="s">
        <v>885</v>
      </c>
      <c r="B29" s="1952" t="s">
        <v>2264</v>
      </c>
      <c r="C29" s="1948"/>
      <c r="D29" s="1948"/>
      <c r="E29" s="1948"/>
      <c r="F29" s="1948"/>
      <c r="G29" s="1948"/>
      <c r="H29" s="1948"/>
      <c r="I29" s="1948"/>
      <c r="J29" s="1948"/>
      <c r="K29" s="1948"/>
      <c r="L29" s="1948"/>
      <c r="M29" s="1948"/>
      <c r="N29" s="1948"/>
      <c r="O29" s="1948"/>
      <c r="P29" s="1948"/>
      <c r="Q29" s="1948"/>
      <c r="R29" s="1948"/>
      <c r="S29" s="1948"/>
      <c r="T29" s="1948"/>
      <c r="U29" s="1948"/>
      <c r="V29" s="1948"/>
      <c r="W29" s="1948"/>
      <c r="X29" s="1948"/>
      <c r="Y29" s="1948"/>
      <c r="Z29" s="1948"/>
      <c r="AA29" s="1948"/>
      <c r="AB29" s="1948"/>
      <c r="AC29" s="1948"/>
      <c r="AD29" s="1948"/>
      <c r="AE29" s="1948"/>
      <c r="AF29" s="1952"/>
      <c r="AG29" s="1952"/>
      <c r="AH29" s="1952"/>
      <c r="AI29" s="1952"/>
      <c r="AJ29" s="1952"/>
      <c r="AK29" s="1948"/>
      <c r="AL29" s="1948"/>
      <c r="AM29" s="1952"/>
      <c r="AN29" s="1952"/>
      <c r="AO29" s="1952"/>
      <c r="AP29" s="1952"/>
      <c r="AQ29" s="1948"/>
      <c r="AR29" s="1948"/>
      <c r="AS29" s="1952"/>
      <c r="AT29" s="1948"/>
      <c r="AU29" s="1948"/>
      <c r="AV29" s="1948"/>
      <c r="AW29" s="1948"/>
      <c r="AX29" s="1952"/>
      <c r="AY29" s="1948"/>
      <c r="AZ29" s="1952"/>
      <c r="BA29" s="1948"/>
      <c r="BB29" s="1948"/>
      <c r="BC29" s="1948"/>
      <c r="BD29" s="1948"/>
      <c r="BE29" s="1948"/>
      <c r="BF29" s="1948"/>
      <c r="BG29" s="1948"/>
      <c r="BH29" s="1948"/>
      <c r="BI29" s="1948"/>
      <c r="BJ29" s="1948"/>
      <c r="BK29" s="1948"/>
      <c r="BL29" s="1948"/>
      <c r="BM29" s="1948"/>
      <c r="BN29" s="1948"/>
      <c r="BO29" s="1948"/>
      <c r="BP29" s="1948"/>
      <c r="BQ29" s="1948"/>
      <c r="BR29" s="1948"/>
      <c r="BS29" s="1948"/>
      <c r="BT29" s="1948"/>
      <c r="BU29" s="1948"/>
      <c r="BV29" s="1948"/>
      <c r="BW29" s="1948"/>
      <c r="BX29" s="1948"/>
      <c r="BY29" s="1948"/>
      <c r="BZ29" s="1948"/>
      <c r="CA29" s="1948"/>
      <c r="CB29" s="1948"/>
      <c r="CC29" s="1948"/>
      <c r="CD29" s="1948"/>
      <c r="CE29" s="1948"/>
      <c r="CF29" s="1948"/>
      <c r="CG29" s="1948"/>
      <c r="CH29" s="1948"/>
      <c r="CI29" s="1947"/>
      <c r="CJ29" s="1947"/>
      <c r="CK29" s="1947"/>
      <c r="CL29" s="1947"/>
      <c r="CM29" s="1947"/>
      <c r="CN29" s="1947"/>
      <c r="CO29" s="1947"/>
      <c r="CP29" s="1947"/>
      <c r="CQ29" s="1947"/>
      <c r="CR29" s="1947"/>
      <c r="CS29" s="1947"/>
      <c r="CT29" s="1947"/>
      <c r="CU29" s="1947"/>
      <c r="CV29" s="1947"/>
      <c r="CW29" s="1947"/>
      <c r="CX29" s="1947"/>
      <c r="CY29" s="1947"/>
      <c r="CZ29" s="1947"/>
      <c r="DA29" s="1947"/>
      <c r="DB29" s="1947"/>
      <c r="DC29" s="1947"/>
      <c r="DD29" s="1947"/>
      <c r="DE29" s="1947"/>
      <c r="DF29" s="1947"/>
      <c r="DG29" s="1947"/>
      <c r="DH29" s="1947"/>
      <c r="DI29" s="1947"/>
      <c r="DJ29" s="1947"/>
      <c r="DK29" s="1947"/>
      <c r="DL29" s="1947"/>
      <c r="DM29" s="1947"/>
      <c r="DN29" s="1947"/>
      <c r="DO29" s="1947"/>
      <c r="DP29" s="1947"/>
      <c r="DQ29" s="1947"/>
      <c r="DR29" s="1947"/>
      <c r="DS29" s="1947"/>
      <c r="DT29" s="1947"/>
      <c r="DU29" s="1947"/>
      <c r="DV29" s="1947"/>
      <c r="DW29" s="1947"/>
      <c r="DX29" s="1947"/>
      <c r="DY29" s="1947"/>
      <c r="DZ29" s="1947"/>
      <c r="EA29" s="1947"/>
      <c r="EB29" s="1947"/>
      <c r="EC29" s="1947"/>
      <c r="ED29" s="1947"/>
      <c r="EE29" s="1947"/>
      <c r="EF29" s="1947"/>
      <c r="EG29" s="1947"/>
      <c r="EH29" s="1947"/>
    </row>
    <row r="30" spans="1:138" s="1946" customFormat="1" ht="12" hidden="1" customHeight="1" outlineLevel="1" x14ac:dyDescent="0.2">
      <c r="A30" s="1951" t="s">
        <v>886</v>
      </c>
      <c r="B30" s="1952" t="s">
        <v>887</v>
      </c>
      <c r="C30" s="1948"/>
      <c r="D30" s="1948"/>
      <c r="E30" s="1948"/>
      <c r="F30" s="1948"/>
      <c r="G30" s="1948"/>
      <c r="H30" s="1948"/>
      <c r="I30" s="1948"/>
      <c r="J30" s="1948"/>
      <c r="K30" s="1948"/>
      <c r="L30" s="1948"/>
      <c r="M30" s="1948"/>
      <c r="N30" s="1948"/>
      <c r="O30" s="1948"/>
      <c r="P30" s="1948"/>
      <c r="Q30" s="1948"/>
      <c r="R30" s="1948"/>
      <c r="S30" s="1948"/>
      <c r="T30" s="1948"/>
      <c r="U30" s="1948"/>
      <c r="V30" s="1948"/>
      <c r="W30" s="1948"/>
      <c r="X30" s="1948"/>
      <c r="Y30" s="1948"/>
      <c r="Z30" s="1948"/>
      <c r="AA30" s="1948"/>
      <c r="AB30" s="1948"/>
      <c r="AC30" s="1948"/>
      <c r="AD30" s="1948"/>
      <c r="AE30" s="1948"/>
      <c r="AF30" s="1952"/>
      <c r="AG30" s="1952"/>
      <c r="AH30" s="1952"/>
      <c r="AI30" s="1952"/>
      <c r="AJ30" s="1952"/>
      <c r="AK30" s="1948"/>
      <c r="AL30" s="1948"/>
      <c r="AM30" s="1952"/>
      <c r="AN30" s="1952"/>
      <c r="AO30" s="1952"/>
      <c r="AP30" s="1952"/>
      <c r="AQ30" s="1948"/>
      <c r="AR30" s="1948"/>
      <c r="AS30" s="1952"/>
      <c r="AT30" s="1948"/>
      <c r="AU30" s="1948"/>
      <c r="AV30" s="1948"/>
      <c r="AW30" s="1948"/>
      <c r="AX30" s="1952"/>
      <c r="AY30" s="1948"/>
      <c r="AZ30" s="1952"/>
      <c r="BA30" s="1948"/>
      <c r="BB30" s="1948"/>
      <c r="BC30" s="1948"/>
      <c r="BD30" s="1948"/>
      <c r="BE30" s="1948"/>
      <c r="BF30" s="1948"/>
      <c r="BG30" s="1948"/>
      <c r="BH30" s="1948"/>
      <c r="BI30" s="1948"/>
      <c r="BJ30" s="1948"/>
      <c r="BK30" s="1948"/>
      <c r="BL30" s="1948"/>
      <c r="BM30" s="1948"/>
      <c r="BN30" s="1948"/>
      <c r="BO30" s="1948"/>
      <c r="BP30" s="1948"/>
      <c r="BQ30" s="1948"/>
      <c r="BR30" s="1948"/>
      <c r="BS30" s="1948"/>
      <c r="BT30" s="1948"/>
      <c r="BU30" s="1948"/>
      <c r="BV30" s="1948"/>
      <c r="BW30" s="1948"/>
      <c r="BX30" s="1948"/>
      <c r="BY30" s="1948"/>
      <c r="BZ30" s="1948"/>
      <c r="CA30" s="1948"/>
      <c r="CB30" s="1948"/>
      <c r="CC30" s="1948"/>
      <c r="CD30" s="1948"/>
      <c r="CE30" s="1948"/>
      <c r="CF30" s="1948"/>
      <c r="CG30" s="1948"/>
      <c r="CH30" s="1948"/>
      <c r="CI30" s="1947"/>
      <c r="CJ30" s="1947"/>
      <c r="CK30" s="1947"/>
      <c r="CL30" s="1947"/>
      <c r="CM30" s="1947"/>
      <c r="CN30" s="1947"/>
      <c r="CO30" s="1947"/>
      <c r="CP30" s="1947"/>
      <c r="CQ30" s="1947"/>
      <c r="CR30" s="1947"/>
      <c r="CS30" s="1947"/>
      <c r="CT30" s="1947"/>
      <c r="CU30" s="1947"/>
      <c r="CV30" s="1947"/>
      <c r="CW30" s="1947"/>
      <c r="CX30" s="1947"/>
      <c r="CY30" s="1947"/>
      <c r="CZ30" s="1947"/>
      <c r="DA30" s="1947"/>
      <c r="DB30" s="1947"/>
      <c r="DC30" s="1947"/>
      <c r="DD30" s="1947"/>
      <c r="DE30" s="1947"/>
      <c r="DF30" s="1947"/>
      <c r="DG30" s="1947"/>
      <c r="DH30" s="1947"/>
      <c r="DI30" s="1947"/>
      <c r="DJ30" s="1947"/>
      <c r="DK30" s="1947"/>
      <c r="DL30" s="1947"/>
      <c r="DM30" s="1947"/>
      <c r="DN30" s="1947"/>
      <c r="DO30" s="1947"/>
      <c r="DP30" s="1947"/>
      <c r="DQ30" s="1947"/>
      <c r="DR30" s="1947"/>
      <c r="DS30" s="1947"/>
      <c r="DT30" s="1947"/>
      <c r="DU30" s="1947"/>
      <c r="DV30" s="1947"/>
      <c r="DW30" s="1947"/>
      <c r="DX30" s="1947"/>
      <c r="DY30" s="1947"/>
      <c r="DZ30" s="1947"/>
      <c r="EA30" s="1947"/>
      <c r="EB30" s="1947"/>
      <c r="EC30" s="1947"/>
      <c r="ED30" s="1947"/>
      <c r="EE30" s="1947"/>
      <c r="EF30" s="1947"/>
      <c r="EG30" s="1947"/>
      <c r="EH30" s="1947"/>
    </row>
    <row r="31" spans="1:138" s="1946" customFormat="1" ht="12" hidden="1" customHeight="1" outlineLevel="1" x14ac:dyDescent="0.2">
      <c r="A31" s="1951" t="s">
        <v>888</v>
      </c>
      <c r="B31" s="1952" t="s">
        <v>889</v>
      </c>
      <c r="C31" s="1948"/>
      <c r="D31" s="1948"/>
      <c r="E31" s="1948"/>
      <c r="F31" s="1948"/>
      <c r="G31" s="1948"/>
      <c r="H31" s="1948"/>
      <c r="I31" s="1948"/>
      <c r="J31" s="1948"/>
      <c r="K31" s="1948"/>
      <c r="L31" s="1948"/>
      <c r="M31" s="1948"/>
      <c r="N31" s="1948"/>
      <c r="O31" s="1948"/>
      <c r="P31" s="1948"/>
      <c r="Q31" s="1948"/>
      <c r="R31" s="1948"/>
      <c r="S31" s="1948"/>
      <c r="T31" s="1948"/>
      <c r="U31" s="1948"/>
      <c r="V31" s="1948"/>
      <c r="W31" s="1948"/>
      <c r="X31" s="1948"/>
      <c r="Y31" s="1948"/>
      <c r="Z31" s="1948"/>
      <c r="AA31" s="1948"/>
      <c r="AB31" s="1948"/>
      <c r="AC31" s="1948"/>
      <c r="AD31" s="1948"/>
      <c r="AE31" s="1948"/>
      <c r="AF31" s="1952"/>
      <c r="AG31" s="1952"/>
      <c r="AH31" s="1952"/>
      <c r="AI31" s="1952"/>
      <c r="AJ31" s="1952"/>
      <c r="AK31" s="1948"/>
      <c r="AL31" s="1948"/>
      <c r="AM31" s="1952"/>
      <c r="AN31" s="1952"/>
      <c r="AO31" s="1952"/>
      <c r="AP31" s="1952"/>
      <c r="AQ31" s="1948"/>
      <c r="AR31" s="1948"/>
      <c r="AS31" s="1952"/>
      <c r="AT31" s="1948"/>
      <c r="AU31" s="1948"/>
      <c r="AV31" s="1948"/>
      <c r="AW31" s="1948"/>
      <c r="AX31" s="1952"/>
      <c r="AY31" s="1948"/>
      <c r="AZ31" s="1952"/>
      <c r="BA31" s="1948"/>
      <c r="BB31" s="1948"/>
      <c r="BC31" s="1948"/>
      <c r="BD31" s="1948"/>
      <c r="BE31" s="1948"/>
      <c r="BF31" s="1948"/>
      <c r="BG31" s="1948"/>
      <c r="BH31" s="1948"/>
      <c r="BI31" s="1948"/>
      <c r="BJ31" s="1948"/>
      <c r="BK31" s="1948"/>
      <c r="BL31" s="1948"/>
      <c r="BM31" s="1948"/>
      <c r="BN31" s="1948"/>
      <c r="BO31" s="1948"/>
      <c r="BP31" s="1948"/>
      <c r="BQ31" s="1948"/>
      <c r="BR31" s="1948"/>
      <c r="BS31" s="1948"/>
      <c r="BT31" s="1948"/>
      <c r="BU31" s="1948"/>
      <c r="BV31" s="1948"/>
      <c r="BW31" s="1948"/>
      <c r="BX31" s="1948"/>
      <c r="BY31" s="1948"/>
      <c r="BZ31" s="1948"/>
      <c r="CA31" s="1948"/>
      <c r="CB31" s="1948"/>
      <c r="CC31" s="1948"/>
      <c r="CD31" s="1948"/>
      <c r="CE31" s="1948"/>
      <c r="CF31" s="1948"/>
      <c r="CG31" s="1948"/>
      <c r="CH31" s="1948"/>
      <c r="CI31" s="1947"/>
      <c r="CJ31" s="1947"/>
      <c r="CK31" s="1947"/>
      <c r="CL31" s="1947"/>
      <c r="CM31" s="1947"/>
      <c r="CN31" s="1947"/>
      <c r="CO31" s="1947"/>
      <c r="CP31" s="1947"/>
      <c r="CQ31" s="1947"/>
      <c r="CR31" s="1947"/>
      <c r="CS31" s="1947"/>
      <c r="CT31" s="1947"/>
      <c r="CU31" s="1947"/>
      <c r="CV31" s="1947"/>
      <c r="CW31" s="1947"/>
      <c r="CX31" s="1947"/>
      <c r="CY31" s="1947"/>
      <c r="CZ31" s="1947"/>
      <c r="DA31" s="1947"/>
      <c r="DB31" s="1947"/>
      <c r="DC31" s="1947"/>
      <c r="DD31" s="1947"/>
      <c r="DE31" s="1947"/>
      <c r="DF31" s="1947"/>
      <c r="DG31" s="1947"/>
      <c r="DH31" s="1947"/>
      <c r="DI31" s="1947"/>
      <c r="DJ31" s="1947"/>
      <c r="DK31" s="1947"/>
      <c r="DL31" s="1947"/>
      <c r="DM31" s="1947"/>
      <c r="DN31" s="1947"/>
      <c r="DO31" s="1947"/>
      <c r="DP31" s="1947"/>
      <c r="DQ31" s="1947"/>
      <c r="DR31" s="1947"/>
      <c r="DS31" s="1947"/>
      <c r="DT31" s="1947"/>
      <c r="DU31" s="1947"/>
      <c r="DV31" s="1947"/>
      <c r="DW31" s="1947"/>
      <c r="DX31" s="1947"/>
      <c r="DY31" s="1947"/>
      <c r="DZ31" s="1947"/>
      <c r="EA31" s="1947"/>
      <c r="EB31" s="1947"/>
      <c r="EC31" s="1947"/>
      <c r="ED31" s="1947"/>
      <c r="EE31" s="1947"/>
      <c r="EF31" s="1947"/>
      <c r="EG31" s="1947"/>
      <c r="EH31" s="1947"/>
    </row>
    <row r="32" spans="1:138" s="1946" customFormat="1" ht="12" hidden="1" customHeight="1" outlineLevel="1" x14ac:dyDescent="0.2">
      <c r="A32" s="1951" t="s">
        <v>890</v>
      </c>
      <c r="B32" s="1952" t="s">
        <v>724</v>
      </c>
      <c r="C32" s="1948"/>
      <c r="D32" s="1948"/>
      <c r="E32" s="1948"/>
      <c r="F32" s="1948"/>
      <c r="G32" s="1948"/>
      <c r="H32" s="1948"/>
      <c r="I32" s="1948"/>
      <c r="J32" s="1948"/>
      <c r="K32" s="1948"/>
      <c r="L32" s="1948"/>
      <c r="M32" s="1948"/>
      <c r="N32" s="1948"/>
      <c r="O32" s="1948"/>
      <c r="P32" s="1948"/>
      <c r="Q32" s="1948"/>
      <c r="R32" s="1948"/>
      <c r="S32" s="1948"/>
      <c r="T32" s="1948"/>
      <c r="U32" s="1948"/>
      <c r="V32" s="1948"/>
      <c r="W32" s="1948"/>
      <c r="X32" s="1948"/>
      <c r="Y32" s="1948"/>
      <c r="Z32" s="1948"/>
      <c r="AA32" s="1948"/>
      <c r="AB32" s="1948"/>
      <c r="AC32" s="1948"/>
      <c r="AD32" s="1948"/>
      <c r="AE32" s="1948"/>
      <c r="AF32" s="1952"/>
      <c r="AG32" s="1952"/>
      <c r="AH32" s="1952"/>
      <c r="AI32" s="1952"/>
      <c r="AJ32" s="1952"/>
      <c r="AK32" s="1948"/>
      <c r="AL32" s="1948"/>
      <c r="AM32" s="1952"/>
      <c r="AN32" s="1952"/>
      <c r="AO32" s="1952"/>
      <c r="AP32" s="1952"/>
      <c r="AQ32" s="1948"/>
      <c r="AR32" s="1948"/>
      <c r="AS32" s="1952"/>
      <c r="AT32" s="1948"/>
      <c r="AU32" s="1948"/>
      <c r="AV32" s="1948"/>
      <c r="AW32" s="1948"/>
      <c r="AX32" s="1952"/>
      <c r="AY32" s="1948"/>
      <c r="AZ32" s="1952"/>
      <c r="BA32" s="1948"/>
      <c r="BB32" s="1948"/>
      <c r="BC32" s="1948"/>
      <c r="BD32" s="1948"/>
      <c r="BE32" s="1948"/>
      <c r="BF32" s="1948"/>
      <c r="BG32" s="1948"/>
      <c r="BH32" s="1948"/>
      <c r="BI32" s="1948"/>
      <c r="BJ32" s="1948"/>
      <c r="BK32" s="1948"/>
      <c r="BL32" s="1948"/>
      <c r="BM32" s="1948"/>
      <c r="BN32" s="1948"/>
      <c r="BO32" s="1948"/>
      <c r="BP32" s="1948"/>
      <c r="BQ32" s="1948"/>
      <c r="BR32" s="1948"/>
      <c r="BS32" s="1948"/>
      <c r="BT32" s="1948"/>
      <c r="BU32" s="1948"/>
      <c r="BV32" s="1948"/>
      <c r="BW32" s="1948"/>
      <c r="BX32" s="1948"/>
      <c r="BY32" s="1948"/>
      <c r="BZ32" s="1948"/>
      <c r="CA32" s="1948"/>
      <c r="CB32" s="1948"/>
      <c r="CC32" s="1948"/>
      <c r="CD32" s="1948"/>
      <c r="CE32" s="1948"/>
      <c r="CF32" s="1948"/>
      <c r="CG32" s="1948"/>
      <c r="CH32" s="1948"/>
      <c r="CI32" s="1947"/>
      <c r="CJ32" s="1947"/>
      <c r="CK32" s="1947"/>
      <c r="CL32" s="1947"/>
      <c r="CM32" s="1947"/>
      <c r="CN32" s="1947"/>
      <c r="CO32" s="1947"/>
      <c r="CP32" s="1947"/>
      <c r="CQ32" s="1947"/>
      <c r="CR32" s="1947"/>
      <c r="CS32" s="1947"/>
      <c r="CT32" s="1947"/>
      <c r="CU32" s="1947"/>
      <c r="CV32" s="1947"/>
      <c r="CW32" s="1947"/>
      <c r="CX32" s="1947"/>
      <c r="CY32" s="1947"/>
      <c r="CZ32" s="1947"/>
      <c r="DA32" s="1947"/>
      <c r="DB32" s="1947"/>
      <c r="DC32" s="1947"/>
      <c r="DD32" s="1947"/>
      <c r="DE32" s="1947"/>
      <c r="DF32" s="1947"/>
      <c r="DG32" s="1947"/>
      <c r="DH32" s="1947"/>
      <c r="DI32" s="1947"/>
      <c r="DJ32" s="1947"/>
      <c r="DK32" s="1947"/>
      <c r="DL32" s="1947"/>
      <c r="DM32" s="1947"/>
      <c r="DN32" s="1947"/>
      <c r="DO32" s="1947"/>
      <c r="DP32" s="1947"/>
      <c r="DQ32" s="1947"/>
      <c r="DR32" s="1947"/>
      <c r="DS32" s="1947"/>
      <c r="DT32" s="1947"/>
      <c r="DU32" s="1947"/>
      <c r="DV32" s="1947"/>
      <c r="DW32" s="1947"/>
      <c r="DX32" s="1947"/>
      <c r="DY32" s="1947"/>
      <c r="DZ32" s="1947"/>
      <c r="EA32" s="1947"/>
      <c r="EB32" s="1947"/>
      <c r="EC32" s="1947"/>
      <c r="ED32" s="1947"/>
      <c r="EE32" s="1947"/>
      <c r="EF32" s="1947"/>
      <c r="EG32" s="1947"/>
      <c r="EH32" s="1947"/>
    </row>
    <row r="33" spans="1:138" s="1946" customFormat="1" ht="12" hidden="1" customHeight="1" outlineLevel="1" x14ac:dyDescent="0.2">
      <c r="A33" s="1951" t="s">
        <v>891</v>
      </c>
      <c r="B33" s="1952" t="s">
        <v>4923</v>
      </c>
      <c r="C33" s="1948"/>
      <c r="D33" s="1952"/>
      <c r="E33" s="1948"/>
      <c r="F33" s="1952"/>
      <c r="G33" s="1952"/>
      <c r="H33" s="1948"/>
      <c r="I33" s="1952"/>
      <c r="J33" s="1948"/>
      <c r="K33" s="1948"/>
      <c r="L33" s="1948"/>
      <c r="M33" s="1948"/>
      <c r="N33" s="1948"/>
      <c r="O33" s="1948"/>
      <c r="P33" s="1948"/>
      <c r="Q33" s="1948"/>
      <c r="R33" s="1948"/>
      <c r="S33" s="1948"/>
      <c r="T33" s="1948"/>
      <c r="U33" s="1948"/>
      <c r="V33" s="1948"/>
      <c r="W33" s="1948"/>
      <c r="X33" s="1948"/>
      <c r="Y33" s="1948"/>
      <c r="Z33" s="1948"/>
      <c r="AA33" s="1948"/>
      <c r="AB33" s="1948"/>
      <c r="AC33" s="1948"/>
      <c r="AD33" s="1948"/>
      <c r="AE33" s="1948"/>
      <c r="AF33" s="1952"/>
      <c r="AG33" s="1952"/>
      <c r="AH33" s="1952"/>
      <c r="AI33" s="1952"/>
      <c r="AJ33" s="1952"/>
      <c r="AK33" s="1948"/>
      <c r="AL33" s="1952"/>
      <c r="AM33" s="1952"/>
      <c r="AN33" s="1952"/>
      <c r="AO33" s="1952"/>
      <c r="AP33" s="1952"/>
      <c r="AQ33" s="1948"/>
      <c r="AR33" s="1952"/>
      <c r="AS33" s="1952"/>
      <c r="AT33" s="1948"/>
      <c r="AU33" s="1952"/>
      <c r="AV33" s="1948"/>
      <c r="AW33" s="1952"/>
      <c r="AX33" s="1952"/>
      <c r="AY33" s="1948"/>
      <c r="AZ33" s="1952"/>
      <c r="BA33" s="1948"/>
      <c r="BB33" s="1952"/>
      <c r="BC33" s="1948"/>
      <c r="BD33" s="1952"/>
      <c r="BE33" s="1948"/>
      <c r="BF33" s="1952"/>
      <c r="BG33" s="1948"/>
      <c r="BH33" s="1952"/>
      <c r="BI33" s="1948"/>
      <c r="BJ33" s="1952"/>
      <c r="BK33" s="1948"/>
      <c r="BL33" s="1952"/>
      <c r="BM33" s="1948"/>
      <c r="BN33" s="1952"/>
      <c r="BO33" s="1948"/>
      <c r="BP33" s="1952"/>
      <c r="BQ33" s="1948"/>
      <c r="BR33" s="1948"/>
      <c r="BS33" s="1948"/>
      <c r="BT33" s="1948"/>
      <c r="BU33" s="1948"/>
      <c r="BV33" s="1948"/>
      <c r="BW33" s="1948"/>
      <c r="BX33" s="1948"/>
      <c r="BY33" s="1948"/>
      <c r="BZ33" s="1948"/>
      <c r="CA33" s="1948"/>
      <c r="CB33" s="1948"/>
      <c r="CC33" s="1948"/>
      <c r="CD33" s="1948"/>
      <c r="CE33" s="1948"/>
      <c r="CF33" s="1948"/>
      <c r="CG33" s="1948"/>
      <c r="CH33" s="1948"/>
      <c r="CI33" s="1947"/>
      <c r="CJ33" s="1947"/>
      <c r="CK33" s="1947"/>
      <c r="CL33" s="1947"/>
      <c r="CM33" s="1947"/>
      <c r="CN33" s="1947"/>
      <c r="CO33" s="1947"/>
      <c r="CP33" s="1947"/>
      <c r="CQ33" s="1947"/>
      <c r="CR33" s="1947"/>
      <c r="CS33" s="1947"/>
      <c r="CT33" s="1947"/>
      <c r="CU33" s="1947"/>
      <c r="CV33" s="1947"/>
      <c r="CW33" s="1947"/>
      <c r="CX33" s="1947"/>
      <c r="CY33" s="1947"/>
      <c r="CZ33" s="1947"/>
      <c r="DA33" s="1947"/>
      <c r="DB33" s="1947"/>
      <c r="DC33" s="1947"/>
      <c r="DD33" s="1947"/>
      <c r="DE33" s="1947"/>
      <c r="DF33" s="1947"/>
      <c r="DG33" s="1947"/>
      <c r="DH33" s="1947"/>
      <c r="DI33" s="1947"/>
      <c r="DJ33" s="1947"/>
      <c r="DK33" s="1947"/>
      <c r="DL33" s="1947"/>
      <c r="DM33" s="1947"/>
      <c r="DN33" s="1947"/>
      <c r="DO33" s="1947"/>
      <c r="DP33" s="1947"/>
      <c r="DQ33" s="1947"/>
      <c r="DR33" s="1947"/>
      <c r="DS33" s="1947"/>
      <c r="DT33" s="1947"/>
      <c r="DU33" s="1947"/>
      <c r="DV33" s="1947"/>
      <c r="DW33" s="1947"/>
      <c r="DX33" s="1947"/>
      <c r="DY33" s="1947"/>
      <c r="DZ33" s="1947"/>
      <c r="EA33" s="1947"/>
      <c r="EB33" s="1947"/>
      <c r="EC33" s="1947"/>
      <c r="ED33" s="1947"/>
      <c r="EE33" s="1947"/>
      <c r="EF33" s="1947"/>
      <c r="EG33" s="1947"/>
      <c r="EH33" s="1947"/>
    </row>
    <row r="34" spans="1:138" s="1946" customFormat="1" ht="12" hidden="1" customHeight="1" outlineLevel="1" x14ac:dyDescent="0.2">
      <c r="A34" s="1951" t="s">
        <v>893</v>
      </c>
      <c r="B34" s="1952" t="s">
        <v>724</v>
      </c>
      <c r="C34" s="1948"/>
      <c r="D34" s="1952"/>
      <c r="E34" s="1948"/>
      <c r="F34" s="1952"/>
      <c r="G34" s="1952"/>
      <c r="H34" s="1948"/>
      <c r="I34" s="1952"/>
      <c r="J34" s="1948"/>
      <c r="K34" s="1948"/>
      <c r="L34" s="1948"/>
      <c r="M34" s="1953"/>
      <c r="N34" s="1953"/>
      <c r="O34" s="1953"/>
      <c r="P34" s="1953"/>
      <c r="Q34" s="1953"/>
      <c r="R34" s="1953"/>
      <c r="S34" s="1953"/>
      <c r="T34" s="1953"/>
      <c r="U34" s="1953"/>
      <c r="V34" s="1953"/>
      <c r="W34" s="1953"/>
      <c r="X34" s="1953"/>
      <c r="Y34" s="1948"/>
      <c r="Z34" s="1948"/>
      <c r="AA34" s="1948"/>
      <c r="AB34" s="1948"/>
      <c r="AC34" s="1948"/>
      <c r="AD34" s="1948"/>
      <c r="AE34" s="1948"/>
      <c r="AF34" s="1952"/>
      <c r="AG34" s="1952"/>
      <c r="AH34" s="1952"/>
      <c r="AI34" s="1952"/>
      <c r="AJ34" s="1952"/>
      <c r="AK34" s="1948"/>
      <c r="AL34" s="1952"/>
      <c r="AM34" s="1952"/>
      <c r="AN34" s="1952"/>
      <c r="AO34" s="1952"/>
      <c r="AP34" s="1952"/>
      <c r="AQ34" s="1948"/>
      <c r="AR34" s="1952"/>
      <c r="AS34" s="1952"/>
      <c r="AT34" s="1948"/>
      <c r="AU34" s="1952"/>
      <c r="AV34" s="1948"/>
      <c r="AW34" s="1952"/>
      <c r="AX34" s="1952"/>
      <c r="AY34" s="1948"/>
      <c r="AZ34" s="1952"/>
      <c r="BA34" s="1948"/>
      <c r="BB34" s="1952"/>
      <c r="BC34" s="1948"/>
      <c r="BD34" s="1952"/>
      <c r="BE34" s="1948"/>
      <c r="BF34" s="1952"/>
      <c r="BG34" s="1948"/>
      <c r="BH34" s="1952"/>
      <c r="BI34" s="1953"/>
      <c r="BJ34" s="1952"/>
      <c r="BK34" s="1953"/>
      <c r="BL34" s="1952"/>
      <c r="BM34" s="1948"/>
      <c r="BN34" s="1952"/>
      <c r="BO34" s="1953"/>
      <c r="BP34" s="1952"/>
      <c r="BQ34" s="1953"/>
      <c r="BR34" s="1952"/>
      <c r="BS34" s="1948"/>
      <c r="BT34" s="1948"/>
      <c r="BU34" s="1948"/>
      <c r="BV34" s="1948"/>
      <c r="BW34" s="1948"/>
      <c r="BX34" s="1948"/>
      <c r="BY34" s="1948"/>
      <c r="BZ34" s="1948"/>
      <c r="CA34" s="1948"/>
      <c r="CB34" s="1948"/>
      <c r="CC34" s="1948"/>
      <c r="CD34" s="1948"/>
      <c r="CE34" s="1948"/>
      <c r="CF34" s="1948"/>
      <c r="CG34" s="1948"/>
      <c r="CH34" s="1948"/>
      <c r="CI34" s="1947"/>
      <c r="CJ34" s="1947"/>
      <c r="CK34" s="1947"/>
      <c r="CL34" s="1947"/>
      <c r="CM34" s="1953"/>
      <c r="CN34" s="1947"/>
      <c r="CO34" s="1953"/>
      <c r="CP34" s="1947"/>
      <c r="CQ34" s="1953"/>
      <c r="CR34" s="1947"/>
      <c r="CS34" s="1947"/>
      <c r="CT34" s="1947"/>
      <c r="CU34" s="1947"/>
      <c r="CV34" s="1947"/>
      <c r="CW34" s="1947"/>
      <c r="CX34" s="1947"/>
      <c r="CY34" s="1947"/>
      <c r="CZ34" s="1947"/>
      <c r="DA34" s="1947"/>
      <c r="DB34" s="1947"/>
      <c r="DC34" s="1947"/>
      <c r="DD34" s="1947"/>
      <c r="DE34" s="1947"/>
      <c r="DF34" s="1947"/>
      <c r="DG34" s="1947"/>
      <c r="DH34" s="1947"/>
      <c r="DI34" s="1947"/>
      <c r="DJ34" s="1947"/>
      <c r="DK34" s="1947"/>
      <c r="DL34" s="1947"/>
      <c r="DM34" s="1947"/>
      <c r="DN34" s="1947"/>
      <c r="DO34" s="1947"/>
      <c r="DP34" s="1947"/>
      <c r="DQ34" s="1947"/>
      <c r="DR34" s="1947"/>
      <c r="DS34" s="1947"/>
      <c r="DT34" s="1947"/>
      <c r="DU34" s="1947"/>
      <c r="DV34" s="1947"/>
      <c r="DW34" s="1947"/>
      <c r="DX34" s="1947"/>
      <c r="DY34" s="1947"/>
      <c r="DZ34" s="1947"/>
      <c r="EA34" s="1947"/>
      <c r="EB34" s="1947"/>
      <c r="EC34" s="1947"/>
      <c r="ED34" s="1947"/>
      <c r="EE34" s="1947"/>
      <c r="EF34" s="1947"/>
      <c r="EG34" s="1947"/>
      <c r="EH34" s="1947"/>
    </row>
    <row r="35" spans="1:138" ht="12" hidden="1" customHeight="1" outlineLevel="1" x14ac:dyDescent="0.2">
      <c r="A35" s="1951"/>
      <c r="B35" s="1951"/>
      <c r="C35" s="1951"/>
      <c r="D35" s="1951"/>
      <c r="J35" s="1951"/>
      <c r="K35" s="1951"/>
      <c r="L35" s="1951"/>
      <c r="M35" s="1951"/>
      <c r="N35" s="1951"/>
      <c r="O35" s="1951"/>
      <c r="P35" s="1951"/>
      <c r="Q35" s="1951"/>
      <c r="R35" s="1951"/>
      <c r="S35" s="1951"/>
      <c r="T35" s="1951"/>
      <c r="U35" s="1951"/>
      <c r="V35" s="1951"/>
      <c r="W35" s="1951"/>
      <c r="X35" s="1951"/>
      <c r="Y35" s="1951"/>
      <c r="Z35" s="1951"/>
      <c r="AA35" s="1951"/>
      <c r="AB35" s="1951"/>
      <c r="AC35" s="1951"/>
      <c r="AD35" s="1947"/>
      <c r="AE35" s="1947"/>
      <c r="AF35" s="1951"/>
      <c r="AG35" s="1951"/>
      <c r="AH35" s="1957"/>
      <c r="AI35" s="1951"/>
      <c r="AJ35" s="1951"/>
      <c r="AK35" s="1951"/>
      <c r="AL35" s="1951"/>
      <c r="AM35" s="1951"/>
      <c r="AN35" s="1951"/>
      <c r="AO35" s="1951"/>
      <c r="AP35" s="1951"/>
      <c r="AQ35" s="1951"/>
      <c r="AR35" s="1951"/>
      <c r="AS35" s="1951"/>
      <c r="AT35" s="1951"/>
      <c r="AU35" s="1951"/>
      <c r="AV35" s="1951"/>
      <c r="AW35" s="1951"/>
      <c r="AX35" s="1951"/>
      <c r="AY35" s="1951"/>
      <c r="AZ35" s="1951"/>
      <c r="BA35" s="1951"/>
      <c r="BB35" s="1951"/>
      <c r="BC35" s="1951"/>
      <c r="BD35" s="1951"/>
      <c r="BE35" s="1951"/>
      <c r="BF35" s="1951"/>
      <c r="BG35" s="1951"/>
      <c r="BH35" s="1951"/>
      <c r="BI35" s="1951"/>
      <c r="BJ35" s="1951"/>
      <c r="BK35" s="1951"/>
      <c r="BL35" s="1951"/>
      <c r="BM35" s="1951"/>
      <c r="BN35" s="1951"/>
      <c r="BO35" s="1951"/>
      <c r="BP35" s="1951"/>
    </row>
    <row r="36" spans="1:138" collapsed="1" x14ac:dyDescent="0.2">
      <c r="A36" s="1996" t="s">
        <v>894</v>
      </c>
      <c r="B36" s="1997"/>
      <c r="C36" s="1996" t="s">
        <v>895</v>
      </c>
      <c r="D36" s="1997"/>
      <c r="E36" s="1996" t="s">
        <v>896</v>
      </c>
      <c r="F36" s="1998" t="s">
        <v>104</v>
      </c>
      <c r="G36" s="1998" t="s">
        <v>898</v>
      </c>
      <c r="H36" s="1998" t="s">
        <v>899</v>
      </c>
      <c r="I36" s="1998" t="s">
        <v>900</v>
      </c>
    </row>
    <row r="37" spans="1:138" hidden="1" outlineLevel="2" x14ac:dyDescent="0.2">
      <c r="A37" s="1980" t="s">
        <v>4924</v>
      </c>
      <c r="B37" s="1980" t="s">
        <v>4925</v>
      </c>
      <c r="C37" s="1980" t="s">
        <v>1877</v>
      </c>
      <c r="D37" s="1980" t="s">
        <v>1878</v>
      </c>
      <c r="E37" s="1980" t="s">
        <v>1083</v>
      </c>
      <c r="F37" s="1985">
        <v>-30094.208279999999</v>
      </c>
      <c r="G37" s="1962">
        <v>-8153.6924026364168</v>
      </c>
      <c r="H37" s="1962">
        <v>-2292.5493698626406</v>
      </c>
      <c r="I37" s="1962">
        <v>-1629.1909341996111</v>
      </c>
    </row>
    <row r="38" spans="1:138" hidden="1" outlineLevel="2" x14ac:dyDescent="0.2">
      <c r="A38" s="1980" t="s">
        <v>4924</v>
      </c>
      <c r="B38" s="1980" t="s">
        <v>4925</v>
      </c>
      <c r="C38" s="1980" t="s">
        <v>2324</v>
      </c>
      <c r="D38" s="1980" t="s">
        <v>1893</v>
      </c>
      <c r="E38" s="1980" t="s">
        <v>1083</v>
      </c>
      <c r="F38" s="1985">
        <v>-14473.058929999999</v>
      </c>
      <c r="G38" s="1962">
        <v>-3921.315009934202</v>
      </c>
      <c r="H38" s="1962">
        <v>-1102.5444438093841</v>
      </c>
      <c r="I38" s="1962">
        <v>-783.51874817597707</v>
      </c>
    </row>
    <row r="39" spans="1:138" hidden="1" outlineLevel="2" x14ac:dyDescent="0.2">
      <c r="A39" s="1980" t="s">
        <v>4924</v>
      </c>
      <c r="B39" s="1980" t="s">
        <v>4925</v>
      </c>
      <c r="C39" s="1980" t="s">
        <v>1879</v>
      </c>
      <c r="D39" s="1980" t="s">
        <v>1880</v>
      </c>
      <c r="E39" s="1980" t="s">
        <v>1083</v>
      </c>
      <c r="F39" s="1985">
        <v>-665166.85094999999</v>
      </c>
      <c r="G39" s="1962">
        <v>-180219.59071377188</v>
      </c>
      <c r="H39" s="1962">
        <v>-50671.804714409969</v>
      </c>
      <c r="I39" s="1962">
        <v>-36009.713005742648</v>
      </c>
    </row>
    <row r="40" spans="1:138" hidden="1" outlineLevel="2" x14ac:dyDescent="0.2">
      <c r="A40" s="1980" t="s">
        <v>4924</v>
      </c>
      <c r="B40" s="1980" t="s">
        <v>4925</v>
      </c>
      <c r="C40" s="1980" t="s">
        <v>1881</v>
      </c>
      <c r="D40" s="1980" t="s">
        <v>1882</v>
      </c>
      <c r="E40" s="1980" t="s">
        <v>1083</v>
      </c>
      <c r="F40" s="1985">
        <v>-2540037.5201500002</v>
      </c>
      <c r="G40" s="1962">
        <v>-688195.03200628818</v>
      </c>
      <c r="H40" s="1962">
        <v>-193497.74421935205</v>
      </c>
      <c r="I40" s="1962">
        <v>-137508.38905123848</v>
      </c>
    </row>
    <row r="41" spans="1:138" hidden="1" outlineLevel="2" x14ac:dyDescent="0.2">
      <c r="A41" s="1980" t="s">
        <v>4924</v>
      </c>
      <c r="B41" s="1980" t="s">
        <v>4925</v>
      </c>
      <c r="C41" s="1980" t="s">
        <v>1883</v>
      </c>
      <c r="D41" s="1980" t="s">
        <v>1884</v>
      </c>
      <c r="E41" s="1980" t="s">
        <v>1083</v>
      </c>
      <c r="F41" s="1985">
        <v>-546872.76075999998</v>
      </c>
      <c r="G41" s="1962">
        <v>-148169.11723113834</v>
      </c>
      <c r="H41" s="1962">
        <v>-41660.268693912971</v>
      </c>
      <c r="I41" s="1962">
        <v>-29605.701392816467</v>
      </c>
    </row>
    <row r="42" spans="1:138" hidden="1" outlineLevel="2" x14ac:dyDescent="0.2">
      <c r="A42" s="1980" t="s">
        <v>4924</v>
      </c>
      <c r="B42" s="1980" t="s">
        <v>4925</v>
      </c>
      <c r="C42" s="1980" t="s">
        <v>1885</v>
      </c>
      <c r="D42" s="1980" t="s">
        <v>1886</v>
      </c>
      <c r="E42" s="1980" t="s">
        <v>1083</v>
      </c>
      <c r="F42" s="1985">
        <v>-284669.93712000002</v>
      </c>
      <c r="G42" s="1962">
        <v>-77128.166388643425</v>
      </c>
      <c r="H42" s="1962">
        <v>-21685.896465234855</v>
      </c>
      <c r="I42" s="1962">
        <v>-15410.994583409503</v>
      </c>
    </row>
    <row r="43" spans="1:138" hidden="1" outlineLevel="2" x14ac:dyDescent="0.2">
      <c r="A43" s="1980" t="s">
        <v>4924</v>
      </c>
      <c r="B43" s="1980" t="s">
        <v>4925</v>
      </c>
      <c r="C43" s="1980" t="s">
        <v>1887</v>
      </c>
      <c r="D43" s="1980" t="s">
        <v>1888</v>
      </c>
      <c r="E43" s="1980" t="s">
        <v>1083</v>
      </c>
      <c r="F43" s="1985">
        <v>-36.658850000000001</v>
      </c>
      <c r="G43" s="1962">
        <v>-9.9323093650891696</v>
      </c>
      <c r="H43" s="1962">
        <v>-2.7926377954671704</v>
      </c>
      <c r="I43" s="1962">
        <v>-1.9845767505329241</v>
      </c>
    </row>
    <row r="44" spans="1:138" hidden="1" outlineLevel="2" x14ac:dyDescent="0.2">
      <c r="A44" s="1980" t="s">
        <v>4924</v>
      </c>
      <c r="B44" s="1980" t="s">
        <v>4925</v>
      </c>
      <c r="C44" s="1980" t="s">
        <v>1889</v>
      </c>
      <c r="D44" s="1980" t="s">
        <v>1890</v>
      </c>
      <c r="E44" s="1980" t="s">
        <v>1083</v>
      </c>
      <c r="F44" s="1985">
        <v>-18058.30773</v>
      </c>
      <c r="G44" s="1962">
        <v>-4892.6984611994412</v>
      </c>
      <c r="H44" s="1962">
        <v>-1375.6654311025839</v>
      </c>
      <c r="I44" s="1962">
        <v>-977.61107276761231</v>
      </c>
    </row>
    <row r="45" spans="1:138" hidden="1" outlineLevel="2" x14ac:dyDescent="0.2">
      <c r="A45" s="1980" t="s">
        <v>4924</v>
      </c>
      <c r="B45" s="1980" t="s">
        <v>4925</v>
      </c>
      <c r="C45" s="1980" t="s">
        <v>1891</v>
      </c>
      <c r="D45" s="1980" t="s">
        <v>1878</v>
      </c>
      <c r="E45" s="1980" t="s">
        <v>1567</v>
      </c>
      <c r="F45" s="1985">
        <v>-4237.8255099999997</v>
      </c>
      <c r="G45" s="1962">
        <v>-1148.1918827400964</v>
      </c>
      <c r="H45" s="1962">
        <v>-322.83368654011065</v>
      </c>
      <c r="I45" s="1962">
        <v>-229.42045317737274</v>
      </c>
    </row>
    <row r="46" spans="1:138" hidden="1" outlineLevel="2" x14ac:dyDescent="0.2">
      <c r="A46" s="1980" t="s">
        <v>4924</v>
      </c>
      <c r="B46" s="1980" t="s">
        <v>4925</v>
      </c>
      <c r="C46" s="1980" t="s">
        <v>1891</v>
      </c>
      <c r="D46" s="1980" t="s">
        <v>1878</v>
      </c>
      <c r="E46" s="1980" t="s">
        <v>1568</v>
      </c>
      <c r="F46" s="1985">
        <v>-222.45322999999999</v>
      </c>
      <c r="G46" s="1962">
        <v>-60.271238721982137</v>
      </c>
      <c r="H46" s="1962">
        <v>-16.946284398494534</v>
      </c>
      <c r="I46" s="1962">
        <v>-12.04280844431708</v>
      </c>
    </row>
    <row r="47" spans="1:138" hidden="1" outlineLevel="2" x14ac:dyDescent="0.2">
      <c r="A47" s="1980" t="s">
        <v>4924</v>
      </c>
      <c r="B47" s="1980" t="s">
        <v>4925</v>
      </c>
      <c r="C47" s="1980" t="s">
        <v>1892</v>
      </c>
      <c r="D47" s="1980" t="s">
        <v>1893</v>
      </c>
      <c r="E47" s="1980" t="s">
        <v>1567</v>
      </c>
      <c r="F47" s="1985">
        <v>-0.90919000000000005</v>
      </c>
      <c r="G47" s="1962">
        <v>-0.2463349600886395</v>
      </c>
      <c r="H47" s="1962">
        <v>-6.9261265895160282E-2</v>
      </c>
      <c r="I47" s="1962">
        <v>-4.9220238382192277E-2</v>
      </c>
    </row>
    <row r="48" spans="1:138" hidden="1" outlineLevel="2" x14ac:dyDescent="0.2">
      <c r="A48" s="1980" t="s">
        <v>4924</v>
      </c>
      <c r="B48" s="1980" t="s">
        <v>4925</v>
      </c>
      <c r="C48" s="1980" t="s">
        <v>1892</v>
      </c>
      <c r="D48" s="1980" t="s">
        <v>1893</v>
      </c>
      <c r="E48" s="1980" t="s">
        <v>1568</v>
      </c>
      <c r="F48" s="1985">
        <v>-110.55642</v>
      </c>
      <c r="G48" s="1962">
        <v>-29.954037448985211</v>
      </c>
      <c r="H48" s="1962">
        <v>-8.4220873547190536</v>
      </c>
      <c r="I48" s="1962">
        <v>-5.9851223034588692</v>
      </c>
    </row>
    <row r="49" spans="1:9" hidden="1" outlineLevel="2" x14ac:dyDescent="0.2">
      <c r="A49" s="1980" t="s">
        <v>4924</v>
      </c>
      <c r="B49" s="1980" t="s">
        <v>4925</v>
      </c>
      <c r="C49" s="1980" t="s">
        <v>1894</v>
      </c>
      <c r="D49" s="1980" t="s">
        <v>1895</v>
      </c>
      <c r="E49" s="1980" t="s">
        <v>1567</v>
      </c>
      <c r="F49" s="1985">
        <v>-289.13166999999999</v>
      </c>
      <c r="G49" s="1962">
        <v>-78.337023493232081</v>
      </c>
      <c r="H49" s="1962">
        <v>-22.025787211233887</v>
      </c>
      <c r="I49" s="1962">
        <v>-15.652536566879695</v>
      </c>
    </row>
    <row r="50" spans="1:9" hidden="1" outlineLevel="2" x14ac:dyDescent="0.2">
      <c r="A50" s="1980" t="s">
        <v>4924</v>
      </c>
      <c r="B50" s="1980" t="s">
        <v>4925</v>
      </c>
      <c r="C50" s="1980" t="s">
        <v>1894</v>
      </c>
      <c r="D50" s="1980" t="s">
        <v>1895</v>
      </c>
      <c r="E50" s="1980" t="s">
        <v>1568</v>
      </c>
      <c r="F50" s="1985">
        <v>-87.474590000000006</v>
      </c>
      <c r="G50" s="1962">
        <v>-23.70027127049363</v>
      </c>
      <c r="H50" s="1962">
        <v>-6.6637345736976092</v>
      </c>
      <c r="I50" s="1962">
        <v>-4.7355560137974821</v>
      </c>
    </row>
    <row r="51" spans="1:9" hidden="1" outlineLevel="2" x14ac:dyDescent="0.2">
      <c r="A51" s="1980" t="s">
        <v>4924</v>
      </c>
      <c r="B51" s="1980" t="s">
        <v>4925</v>
      </c>
      <c r="C51" s="1980" t="s">
        <v>1896</v>
      </c>
      <c r="D51" s="1980" t="s">
        <v>1897</v>
      </c>
      <c r="E51" s="1980" t="s">
        <v>1567</v>
      </c>
      <c r="F51" s="1985">
        <v>-166.99907999999999</v>
      </c>
      <c r="G51" s="1962">
        <v>-45.246551003244107</v>
      </c>
      <c r="H51" s="1962">
        <v>-12.721837772222685</v>
      </c>
      <c r="I51" s="1962">
        <v>-9.0407225411704903</v>
      </c>
    </row>
    <row r="52" spans="1:9" hidden="1" outlineLevel="2" x14ac:dyDescent="0.2">
      <c r="A52" s="1980" t="s">
        <v>4924</v>
      </c>
      <c r="B52" s="1980" t="s">
        <v>4925</v>
      </c>
      <c r="C52" s="1980" t="s">
        <v>1898</v>
      </c>
      <c r="D52" s="1980" t="s">
        <v>1899</v>
      </c>
      <c r="E52" s="1980" t="s">
        <v>1567</v>
      </c>
      <c r="F52" s="1985">
        <v>-7.1758499999999996</v>
      </c>
      <c r="G52" s="1962">
        <v>-1.9442170760259831</v>
      </c>
      <c r="H52" s="1962">
        <v>-0.54664971554217034</v>
      </c>
      <c r="I52" s="1962">
        <v>-0.38847440864379768</v>
      </c>
    </row>
    <row r="53" spans="1:9" hidden="1" outlineLevel="2" x14ac:dyDescent="0.2">
      <c r="A53" s="1980" t="s">
        <v>4924</v>
      </c>
      <c r="B53" s="1980" t="s">
        <v>4925</v>
      </c>
      <c r="C53" s="1980" t="s">
        <v>1898</v>
      </c>
      <c r="D53" s="1980" t="s">
        <v>1899</v>
      </c>
      <c r="E53" s="1980" t="s">
        <v>1568</v>
      </c>
      <c r="F53" s="1985">
        <v>-6139.9717600000004</v>
      </c>
      <c r="G53" s="1962">
        <v>-1663.5573405393523</v>
      </c>
      <c r="H53" s="1962">
        <v>-467.73745494136017</v>
      </c>
      <c r="I53" s="1962">
        <v>-332.39572992128012</v>
      </c>
    </row>
    <row r="54" spans="1:9" hidden="1" outlineLevel="2" x14ac:dyDescent="0.2">
      <c r="A54" s="1980" t="s">
        <v>4924</v>
      </c>
      <c r="B54" s="1980" t="s">
        <v>4925</v>
      </c>
      <c r="C54" s="1980" t="s">
        <v>1900</v>
      </c>
      <c r="D54" s="1980" t="s">
        <v>1901</v>
      </c>
      <c r="E54" s="1980" t="s">
        <v>1567</v>
      </c>
      <c r="F54" s="1985">
        <v>-28034.172460000002</v>
      </c>
      <c r="G54" s="1962">
        <v>-7595.5485146692508</v>
      </c>
      <c r="H54" s="1962">
        <v>-2135.6177178618768</v>
      </c>
      <c r="I54" s="1962">
        <v>-1517.6680906396789</v>
      </c>
    </row>
    <row r="55" spans="1:9" hidden="1" outlineLevel="2" x14ac:dyDescent="0.2">
      <c r="A55" s="1980" t="s">
        <v>4924</v>
      </c>
      <c r="B55" s="1980" t="s">
        <v>4925</v>
      </c>
      <c r="C55" s="1980" t="s">
        <v>1900</v>
      </c>
      <c r="D55" s="1980" t="s">
        <v>1901</v>
      </c>
      <c r="E55" s="1980" t="s">
        <v>1568</v>
      </c>
      <c r="F55" s="1985">
        <v>-3169.5407599999999</v>
      </c>
      <c r="G55" s="1962">
        <v>-858.7519623114157</v>
      </c>
      <c r="H55" s="1962">
        <v>-241.45272753099835</v>
      </c>
      <c r="I55" s="1962">
        <v>-171.58740391917516</v>
      </c>
    </row>
    <row r="56" spans="1:9" hidden="1" outlineLevel="2" x14ac:dyDescent="0.2">
      <c r="A56" s="1980" t="s">
        <v>4924</v>
      </c>
      <c r="B56" s="1980" t="s">
        <v>4925</v>
      </c>
      <c r="C56" s="1980" t="s">
        <v>1902</v>
      </c>
      <c r="D56" s="1980" t="s">
        <v>1903</v>
      </c>
      <c r="E56" s="1980" t="s">
        <v>1567</v>
      </c>
      <c r="F56" s="1985">
        <v>-34859.903639999997</v>
      </c>
      <c r="G56" s="1962">
        <v>-9444.904774418128</v>
      </c>
      <c r="H56" s="1962">
        <v>-2655.5957006673034</v>
      </c>
      <c r="I56" s="1962">
        <v>-1887.1883403260617</v>
      </c>
    </row>
    <row r="57" spans="1:9" hidden="1" outlineLevel="2" x14ac:dyDescent="0.2">
      <c r="A57" s="1980" t="s">
        <v>4924</v>
      </c>
      <c r="B57" s="1980" t="s">
        <v>4925</v>
      </c>
      <c r="C57" s="1980" t="s">
        <v>1902</v>
      </c>
      <c r="D57" s="1980" t="s">
        <v>1903</v>
      </c>
      <c r="E57" s="1980" t="s">
        <v>1568</v>
      </c>
      <c r="F57" s="1985">
        <v>-309.78964000000002</v>
      </c>
      <c r="G57" s="1962">
        <v>-83.934071651991331</v>
      </c>
      <c r="H57" s="1962">
        <v>-23.599492545679102</v>
      </c>
      <c r="I57" s="1962">
        <v>-16.770883895702248</v>
      </c>
    </row>
    <row r="58" spans="1:9" hidden="1" outlineLevel="2" x14ac:dyDescent="0.2">
      <c r="A58" s="1980" t="s">
        <v>4924</v>
      </c>
      <c r="B58" s="1980" t="s">
        <v>4925</v>
      </c>
      <c r="C58" s="1980" t="s">
        <v>1904</v>
      </c>
      <c r="D58" s="1980" t="s">
        <v>1905</v>
      </c>
      <c r="E58" s="1980" t="s">
        <v>1567</v>
      </c>
      <c r="F58" s="1985">
        <v>-7727.9018699999997</v>
      </c>
      <c r="G58" s="1962">
        <v>-2093.7894155406157</v>
      </c>
      <c r="H58" s="1962">
        <v>-588.70452405963147</v>
      </c>
      <c r="I58" s="1962">
        <v>-418.36048816593831</v>
      </c>
    </row>
    <row r="59" spans="1:9" hidden="1" outlineLevel="2" x14ac:dyDescent="0.2">
      <c r="A59" s="1980" t="s">
        <v>4924</v>
      </c>
      <c r="B59" s="1980" t="s">
        <v>4925</v>
      </c>
      <c r="C59" s="1980" t="s">
        <v>1904</v>
      </c>
      <c r="D59" s="1980" t="s">
        <v>1905</v>
      </c>
      <c r="E59" s="1980" t="s">
        <v>1568</v>
      </c>
      <c r="F59" s="1985">
        <v>-1213.79765</v>
      </c>
      <c r="G59" s="1962">
        <v>-328.8650289471226</v>
      </c>
      <c r="H59" s="1962">
        <v>-92.465999163618932</v>
      </c>
      <c r="I59" s="1962">
        <v>-65.710588194706034</v>
      </c>
    </row>
    <row r="60" spans="1:9" hidden="1" outlineLevel="2" x14ac:dyDescent="0.2">
      <c r="A60" s="1980" t="s">
        <v>4924</v>
      </c>
      <c r="B60" s="1980" t="s">
        <v>4925</v>
      </c>
      <c r="C60" s="1980" t="s">
        <v>1906</v>
      </c>
      <c r="D60" s="1980" t="s">
        <v>1907</v>
      </c>
      <c r="E60" s="1980" t="s">
        <v>1567</v>
      </c>
      <c r="F60" s="1985">
        <v>-1953.32448</v>
      </c>
      <c r="G60" s="1962">
        <v>-529.23163235513198</v>
      </c>
      <c r="H60" s="1962">
        <v>-148.80247933743848</v>
      </c>
      <c r="I60" s="1962">
        <v>-105.74587989680019</v>
      </c>
    </row>
    <row r="61" spans="1:9" hidden="1" outlineLevel="2" x14ac:dyDescent="0.2">
      <c r="A61" s="1980" t="s">
        <v>4924</v>
      </c>
      <c r="B61" s="1980" t="s">
        <v>4925</v>
      </c>
      <c r="C61" s="1980" t="s">
        <v>1906</v>
      </c>
      <c r="D61" s="1980" t="s">
        <v>1907</v>
      </c>
      <c r="E61" s="1980" t="s">
        <v>1568</v>
      </c>
      <c r="F61" s="1985">
        <v>-20653.541710000001</v>
      </c>
      <c r="G61" s="1962">
        <v>-5595.8483626325642</v>
      </c>
      <c r="H61" s="1962">
        <v>-1573.3679913473459</v>
      </c>
      <c r="I61" s="1962">
        <v>-1118.1075973149188</v>
      </c>
    </row>
    <row r="62" spans="1:9" hidden="1" outlineLevel="2" x14ac:dyDescent="0.2">
      <c r="A62" s="1980" t="s">
        <v>4924</v>
      </c>
      <c r="B62" s="1980" t="s">
        <v>4925</v>
      </c>
      <c r="C62" s="1980" t="s">
        <v>1908</v>
      </c>
      <c r="D62" s="1980" t="s">
        <v>1909</v>
      </c>
      <c r="E62" s="1980" t="s">
        <v>1567</v>
      </c>
      <c r="F62" s="1985">
        <v>-190727.28533000001</v>
      </c>
      <c r="G62" s="1962">
        <v>-51675.445417987561</v>
      </c>
      <c r="H62" s="1962">
        <v>-14529.430837012324</v>
      </c>
      <c r="I62" s="1962">
        <v>-10325.281239269025</v>
      </c>
    </row>
    <row r="63" spans="1:9" hidden="1" outlineLevel="2" x14ac:dyDescent="0.2">
      <c r="A63" s="1980" t="s">
        <v>4924</v>
      </c>
      <c r="B63" s="1980" t="s">
        <v>4925</v>
      </c>
      <c r="C63" s="1980" t="s">
        <v>1908</v>
      </c>
      <c r="D63" s="1980" t="s">
        <v>1909</v>
      </c>
      <c r="E63" s="1980" t="s">
        <v>1568</v>
      </c>
      <c r="F63" s="1985">
        <v>-43703.749519999998</v>
      </c>
      <c r="G63" s="1962">
        <v>-11841.046858998776</v>
      </c>
      <c r="H63" s="1962">
        <v>-3329.3118227435448</v>
      </c>
      <c r="I63" s="1962">
        <v>-2365.9619766715659</v>
      </c>
    </row>
    <row r="64" spans="1:9" hidden="1" outlineLevel="2" x14ac:dyDescent="0.2">
      <c r="A64" s="1980" t="s">
        <v>4924</v>
      </c>
      <c r="B64" s="1980" t="s">
        <v>4925</v>
      </c>
      <c r="C64" s="1980" t="s">
        <v>1910</v>
      </c>
      <c r="D64" s="1980" t="s">
        <v>1911</v>
      </c>
      <c r="E64" s="1980" t="s">
        <v>1567</v>
      </c>
      <c r="F64" s="1985">
        <v>-6672.1905200000001</v>
      </c>
      <c r="G64" s="1962">
        <v>-1807.7561185758739</v>
      </c>
      <c r="H64" s="1962">
        <v>-508.28139520769889</v>
      </c>
      <c r="I64" s="1962">
        <v>-361.2081170336271</v>
      </c>
    </row>
    <row r="65" spans="1:9" hidden="1" outlineLevel="2" x14ac:dyDescent="0.2">
      <c r="A65" s="1980" t="s">
        <v>4924</v>
      </c>
      <c r="B65" s="1980" t="s">
        <v>4925</v>
      </c>
      <c r="C65" s="1980" t="s">
        <v>1910</v>
      </c>
      <c r="D65" s="1980" t="s">
        <v>1911</v>
      </c>
      <c r="E65" s="1980" t="s">
        <v>1568</v>
      </c>
      <c r="F65" s="1985">
        <v>-331.22743000000003</v>
      </c>
      <c r="G65" s="1962">
        <v>-89.742403402273055</v>
      </c>
      <c r="H65" s="1962">
        <v>-25.232603857280207</v>
      </c>
      <c r="I65" s="1962">
        <v>-17.931447841838235</v>
      </c>
    </row>
    <row r="66" spans="1:9" hidden="1" outlineLevel="2" x14ac:dyDescent="0.2">
      <c r="A66" s="1980" t="s">
        <v>4924</v>
      </c>
      <c r="B66" s="1980" t="s">
        <v>4925</v>
      </c>
      <c r="C66" s="1980" t="s">
        <v>1912</v>
      </c>
      <c r="D66" s="1980" t="s">
        <v>1913</v>
      </c>
      <c r="E66" s="1980" t="s">
        <v>1567</v>
      </c>
      <c r="F66" s="1985">
        <v>-84.694040000000001</v>
      </c>
      <c r="G66" s="1962">
        <v>-22.946912046047181</v>
      </c>
      <c r="H66" s="1962">
        <v>-6.4519148078788158</v>
      </c>
      <c r="I66" s="1962">
        <v>-4.5850271542262098</v>
      </c>
    </row>
    <row r="67" spans="1:9" hidden="1" outlineLevel="2" x14ac:dyDescent="0.2">
      <c r="A67" s="1980" t="s">
        <v>4924</v>
      </c>
      <c r="B67" s="1980" t="s">
        <v>4925</v>
      </c>
      <c r="C67" s="1980" t="s">
        <v>1912</v>
      </c>
      <c r="D67" s="1980" t="s">
        <v>1913</v>
      </c>
      <c r="E67" s="1980" t="s">
        <v>1568</v>
      </c>
      <c r="F67" s="1985">
        <v>-49.155520000000003</v>
      </c>
      <c r="G67" s="1962">
        <v>-13.318143685408243</v>
      </c>
      <c r="H67" s="1962">
        <v>-3.744622731150661</v>
      </c>
      <c r="I67" s="1962">
        <v>-2.6611009934124001</v>
      </c>
    </row>
    <row r="68" spans="1:9" hidden="1" outlineLevel="2" x14ac:dyDescent="0.2">
      <c r="A68" s="1980" t="s">
        <v>4924</v>
      </c>
      <c r="B68" s="1980" t="s">
        <v>4925</v>
      </c>
      <c r="C68" s="1980" t="s">
        <v>1914</v>
      </c>
      <c r="D68" s="1980" t="s">
        <v>1915</v>
      </c>
      <c r="E68" s="1980" t="s">
        <v>1567</v>
      </c>
      <c r="F68" s="1985">
        <v>-39678.520779999999</v>
      </c>
      <c r="G68" s="1962">
        <v>-10750.455716316228</v>
      </c>
      <c r="H68" s="1962">
        <v>-3022.6735644587188</v>
      </c>
      <c r="I68" s="1962">
        <v>-2148.0507390582493</v>
      </c>
    </row>
    <row r="69" spans="1:9" hidden="1" outlineLevel="2" x14ac:dyDescent="0.2">
      <c r="A69" s="1980" t="s">
        <v>4924</v>
      </c>
      <c r="B69" s="1980" t="s">
        <v>4925</v>
      </c>
      <c r="C69" s="1980" t="s">
        <v>1914</v>
      </c>
      <c r="D69" s="1980" t="s">
        <v>1915</v>
      </c>
      <c r="E69" s="1980" t="s">
        <v>1568</v>
      </c>
      <c r="F69" s="1985">
        <v>-26095.29795</v>
      </c>
      <c r="G69" s="1962">
        <v>-7070.2319416342079</v>
      </c>
      <c r="H69" s="1962">
        <v>-1987.916024074595</v>
      </c>
      <c r="I69" s="1962">
        <v>-1412.7044795403967</v>
      </c>
    </row>
    <row r="70" spans="1:9" hidden="1" outlineLevel="2" x14ac:dyDescent="0.2">
      <c r="A70" s="1980" t="s">
        <v>4924</v>
      </c>
      <c r="B70" s="1980" t="s">
        <v>4925</v>
      </c>
      <c r="C70" s="1980" t="s">
        <v>1916</v>
      </c>
      <c r="D70" s="1980" t="s">
        <v>1886</v>
      </c>
      <c r="E70" s="1980" t="s">
        <v>1567</v>
      </c>
      <c r="F70" s="1985">
        <v>-23832.69241</v>
      </c>
      <c r="G70" s="1962">
        <v>-6457.203652430434</v>
      </c>
      <c r="H70" s="1962">
        <v>-1815.5526887018179</v>
      </c>
      <c r="I70" s="1962">
        <v>-1290.2151726276472</v>
      </c>
    </row>
    <row r="71" spans="1:9" hidden="1" outlineLevel="2" x14ac:dyDescent="0.2">
      <c r="A71" s="1980" t="s">
        <v>4924</v>
      </c>
      <c r="B71" s="1980" t="s">
        <v>4925</v>
      </c>
      <c r="C71" s="1980" t="s">
        <v>1916</v>
      </c>
      <c r="D71" s="1980" t="s">
        <v>1886</v>
      </c>
      <c r="E71" s="1980" t="s">
        <v>1568</v>
      </c>
      <c r="F71" s="1985">
        <v>-8610.9402699999991</v>
      </c>
      <c r="G71" s="1962">
        <v>-2333.0388892707888</v>
      </c>
      <c r="H71" s="1962">
        <v>-655.97358489184137</v>
      </c>
      <c r="I71" s="1962">
        <v>-466.16497408046621</v>
      </c>
    </row>
    <row r="72" spans="1:9" hidden="1" outlineLevel="2" x14ac:dyDescent="0.2">
      <c r="A72" s="1980" t="s">
        <v>4924</v>
      </c>
      <c r="B72" s="1980" t="s">
        <v>4925</v>
      </c>
      <c r="C72" s="1980" t="s">
        <v>1917</v>
      </c>
      <c r="D72" s="1980" t="s">
        <v>1918</v>
      </c>
      <c r="E72" s="1980" t="s">
        <v>1567</v>
      </c>
      <c r="F72" s="1985">
        <v>-1438.71381</v>
      </c>
      <c r="G72" s="1962">
        <v>-389.80357127258816</v>
      </c>
      <c r="H72" s="1962">
        <v>-109.59990732569551</v>
      </c>
      <c r="I72" s="1962">
        <v>-77.886730707500178</v>
      </c>
    </row>
    <row r="73" spans="1:9" hidden="1" outlineLevel="2" x14ac:dyDescent="0.2">
      <c r="A73" s="1980" t="s">
        <v>4924</v>
      </c>
      <c r="B73" s="1980" t="s">
        <v>4925</v>
      </c>
      <c r="C73" s="1980" t="s">
        <v>1917</v>
      </c>
      <c r="D73" s="1980" t="s">
        <v>1918</v>
      </c>
      <c r="E73" s="1980" t="s">
        <v>1568</v>
      </c>
      <c r="F73" s="1985">
        <v>-22.97728</v>
      </c>
      <c r="G73" s="1962">
        <v>-6.2254395140130159</v>
      </c>
      <c r="H73" s="1962">
        <v>-1.7503882572702609</v>
      </c>
      <c r="I73" s="1962">
        <v>-1.243906333081511</v>
      </c>
    </row>
    <row r="74" spans="1:9" hidden="1" outlineLevel="2" x14ac:dyDescent="0.2">
      <c r="A74" s="1980" t="s">
        <v>4924</v>
      </c>
      <c r="B74" s="1980" t="s">
        <v>4925</v>
      </c>
      <c r="C74" s="1980" t="s">
        <v>1919</v>
      </c>
      <c r="D74" s="1980" t="s">
        <v>1920</v>
      </c>
      <c r="E74" s="1980" t="s">
        <v>1568</v>
      </c>
      <c r="F74" s="1985">
        <v>-137.23102</v>
      </c>
      <c r="G74" s="1962">
        <v>-37.181224864575377</v>
      </c>
      <c r="H74" s="1962">
        <v>-10.454134081197614</v>
      </c>
      <c r="I74" s="1962">
        <v>-7.4291880881129311</v>
      </c>
    </row>
    <row r="75" spans="1:9" hidden="1" outlineLevel="2" x14ac:dyDescent="0.2">
      <c r="A75" s="1980" t="s">
        <v>4924</v>
      </c>
      <c r="B75" s="1980" t="s">
        <v>4925</v>
      </c>
      <c r="C75" s="1980" t="s">
        <v>1921</v>
      </c>
      <c r="D75" s="1980" t="s">
        <v>1922</v>
      </c>
      <c r="E75" s="1980" t="s">
        <v>1567</v>
      </c>
      <c r="F75" s="1985">
        <v>-1360.3699899999999</v>
      </c>
      <c r="G75" s="1962">
        <v>-368.57718099894726</v>
      </c>
      <c r="H75" s="1962">
        <v>-103.63174649213754</v>
      </c>
      <c r="I75" s="1962">
        <v>-73.64548135789056</v>
      </c>
    </row>
    <row r="76" spans="1:9" hidden="1" outlineLevel="2" x14ac:dyDescent="0.2">
      <c r="A76" s="1980" t="s">
        <v>4924</v>
      </c>
      <c r="B76" s="1980" t="s">
        <v>4925</v>
      </c>
      <c r="C76" s="1980" t="s">
        <v>1923</v>
      </c>
      <c r="D76" s="1980" t="s">
        <v>1924</v>
      </c>
      <c r="E76" s="1980" t="s">
        <v>1567</v>
      </c>
      <c r="F76" s="1985">
        <v>-8911.5382599999994</v>
      </c>
      <c r="G76" s="1962">
        <v>-2414.482585164249</v>
      </c>
      <c r="H76" s="1962">
        <v>-678.87286591444467</v>
      </c>
      <c r="I76" s="1962">
        <v>-482.43825549030117</v>
      </c>
    </row>
    <row r="77" spans="1:9" hidden="1" outlineLevel="2" x14ac:dyDescent="0.2">
      <c r="A77" s="1980" t="s">
        <v>4924</v>
      </c>
      <c r="B77" s="1980" t="s">
        <v>4925</v>
      </c>
      <c r="C77" s="1980" t="s">
        <v>1923</v>
      </c>
      <c r="D77" s="1980" t="s">
        <v>1924</v>
      </c>
      <c r="E77" s="1980" t="s">
        <v>1568</v>
      </c>
      <c r="F77" s="1985">
        <v>-1555.7498900000001</v>
      </c>
      <c r="G77" s="1962">
        <v>-421.5132008282705</v>
      </c>
      <c r="H77" s="1962">
        <v>-118.51560927601092</v>
      </c>
      <c r="I77" s="1962">
        <v>-84.222638226189702</v>
      </c>
    </row>
    <row r="78" spans="1:9" hidden="1" outlineLevel="2" x14ac:dyDescent="0.2">
      <c r="A78" s="1980" t="s">
        <v>4924</v>
      </c>
      <c r="B78" s="1980" t="s">
        <v>4925</v>
      </c>
      <c r="C78" s="1980" t="s">
        <v>1925</v>
      </c>
      <c r="D78" s="1980" t="s">
        <v>1878</v>
      </c>
      <c r="E78" s="1980" t="s">
        <v>1083</v>
      </c>
      <c r="F78" s="1985">
        <v>479.79160999999999</v>
      </c>
      <c r="G78" s="1962">
        <v>129.99422243998953</v>
      </c>
      <c r="H78" s="1962">
        <v>36.55008774236083</v>
      </c>
      <c r="I78" s="1962">
        <v>25.974171975028131</v>
      </c>
    </row>
    <row r="79" spans="1:9" hidden="1" outlineLevel="2" x14ac:dyDescent="0.2">
      <c r="A79" s="1980" t="s">
        <v>4924</v>
      </c>
      <c r="B79" s="1980" t="s">
        <v>4925</v>
      </c>
      <c r="C79" s="1980" t="s">
        <v>2331</v>
      </c>
      <c r="D79" s="1980" t="s">
        <v>2332</v>
      </c>
      <c r="E79" s="1980" t="s">
        <v>1083</v>
      </c>
      <c r="F79" s="1985">
        <v>-0.35102</v>
      </c>
      <c r="G79" s="1962">
        <v>-9.5104981016414861E-2</v>
      </c>
      <c r="H79" s="1962">
        <v>-2.6740383808135992E-2</v>
      </c>
      <c r="I79" s="1962">
        <v>-1.9002945563542418E-2</v>
      </c>
    </row>
    <row r="80" spans="1:9" hidden="1" outlineLevel="2" x14ac:dyDescent="0.2">
      <c r="A80" s="1980" t="s">
        <v>4924</v>
      </c>
      <c r="B80" s="1980" t="s">
        <v>4925</v>
      </c>
      <c r="C80" s="1980" t="s">
        <v>1926</v>
      </c>
      <c r="D80" s="1980" t="s">
        <v>1927</v>
      </c>
      <c r="E80" s="1980" t="s">
        <v>912</v>
      </c>
      <c r="F80" s="1985">
        <v>-0.38868999999999998</v>
      </c>
      <c r="G80" s="1962">
        <v>-0.38868999999999998</v>
      </c>
      <c r="H80" s="1962">
        <v>0</v>
      </c>
      <c r="I80" s="1962">
        <v>0</v>
      </c>
    </row>
    <row r="81" spans="1:9" hidden="1" outlineLevel="2" x14ac:dyDescent="0.2">
      <c r="A81" s="1980" t="s">
        <v>4924</v>
      </c>
      <c r="B81" s="1980" t="s">
        <v>4925</v>
      </c>
      <c r="C81" s="1980" t="s">
        <v>1926</v>
      </c>
      <c r="D81" s="1980" t="s">
        <v>1927</v>
      </c>
      <c r="E81" s="1980" t="s">
        <v>1083</v>
      </c>
      <c r="F81" s="1985">
        <v>-42946.376369999998</v>
      </c>
      <c r="G81" s="1962">
        <v>-11635.844992856983</v>
      </c>
      <c r="H81" s="1962">
        <v>-3271.6158261707656</v>
      </c>
      <c r="I81" s="1962">
        <v>-2324.9605501410588</v>
      </c>
    </row>
    <row r="82" spans="1:9" hidden="1" outlineLevel="2" x14ac:dyDescent="0.2">
      <c r="A82" s="1980" t="s">
        <v>4924</v>
      </c>
      <c r="B82" s="1980" t="s">
        <v>4925</v>
      </c>
      <c r="C82" s="1980" t="s">
        <v>1926</v>
      </c>
      <c r="D82" s="1980" t="s">
        <v>1927</v>
      </c>
      <c r="E82" s="1980" t="s">
        <v>920</v>
      </c>
      <c r="F82" s="1985">
        <v>-8.7213799999999999</v>
      </c>
      <c r="G82" s="1962">
        <v>0</v>
      </c>
      <c r="H82" s="1962">
        <v>0</v>
      </c>
      <c r="I82" s="1962">
        <v>0</v>
      </c>
    </row>
    <row r="83" spans="1:9" hidden="1" outlineLevel="2" x14ac:dyDescent="0.2">
      <c r="A83" s="1980" t="s">
        <v>4924</v>
      </c>
      <c r="B83" s="1980" t="s">
        <v>4925</v>
      </c>
      <c r="C83" s="1980" t="s">
        <v>1928</v>
      </c>
      <c r="D83" s="1980" t="s">
        <v>1929</v>
      </c>
      <c r="E83" s="1980" t="s">
        <v>1083</v>
      </c>
      <c r="F83" s="1985">
        <v>-5169.7324500000004</v>
      </c>
      <c r="G83" s="1962">
        <v>-1400.6817461033386</v>
      </c>
      <c r="H83" s="1962">
        <v>-393.82550822852039</v>
      </c>
      <c r="I83" s="1962">
        <v>-279.87050403233087</v>
      </c>
    </row>
    <row r="84" spans="1:9" hidden="1" outlineLevel="2" x14ac:dyDescent="0.2">
      <c r="A84" s="1980" t="s">
        <v>4924</v>
      </c>
      <c r="B84" s="1980" t="s">
        <v>4925</v>
      </c>
      <c r="C84" s="1980" t="s">
        <v>1930</v>
      </c>
      <c r="D84" s="1980" t="s">
        <v>1931</v>
      </c>
      <c r="E84" s="1980" t="s">
        <v>1083</v>
      </c>
      <c r="F84" s="1985">
        <v>-358167.87208</v>
      </c>
      <c r="G84" s="1962">
        <v>-97041.617784907154</v>
      </c>
      <c r="H84" s="1962">
        <v>-27284.902191221456</v>
      </c>
      <c r="I84" s="1962">
        <v>-19389.90534939908</v>
      </c>
    </row>
    <row r="85" spans="1:9" hidden="1" outlineLevel="2" x14ac:dyDescent="0.2">
      <c r="A85" s="1980" t="s">
        <v>4924</v>
      </c>
      <c r="B85" s="1980" t="s">
        <v>4925</v>
      </c>
      <c r="C85" s="1980" t="s">
        <v>1932</v>
      </c>
      <c r="D85" s="1980" t="s">
        <v>1933</v>
      </c>
      <c r="E85" s="1980" t="s">
        <v>1083</v>
      </c>
      <c r="F85" s="1985">
        <v>-124999.39489</v>
      </c>
      <c r="G85" s="1962">
        <v>-33867.201521499614</v>
      </c>
      <c r="H85" s="1962">
        <v>-9522.340023768882</v>
      </c>
      <c r="I85" s="1962">
        <v>-6767.0124111743271</v>
      </c>
    </row>
    <row r="86" spans="1:9" hidden="1" outlineLevel="2" x14ac:dyDescent="0.2">
      <c r="A86" s="1980" t="s">
        <v>4924</v>
      </c>
      <c r="B86" s="1980" t="s">
        <v>4925</v>
      </c>
      <c r="C86" s="1980" t="s">
        <v>1932</v>
      </c>
      <c r="D86" s="1980" t="s">
        <v>1933</v>
      </c>
      <c r="E86" s="1980" t="s">
        <v>920</v>
      </c>
      <c r="F86" s="1985">
        <v>-35.75647</v>
      </c>
      <c r="G86" s="1962">
        <v>0</v>
      </c>
      <c r="H86" s="1962">
        <v>0</v>
      </c>
      <c r="I86" s="1962">
        <v>0</v>
      </c>
    </row>
    <row r="87" spans="1:9" hidden="1" outlineLevel="2" x14ac:dyDescent="0.2">
      <c r="A87" s="1980" t="s">
        <v>4924</v>
      </c>
      <c r="B87" s="1980" t="s">
        <v>4925</v>
      </c>
      <c r="C87" s="1980" t="s">
        <v>1934</v>
      </c>
      <c r="D87" s="1980" t="s">
        <v>1886</v>
      </c>
      <c r="E87" s="1980" t="s">
        <v>1083</v>
      </c>
      <c r="F87" s="1985">
        <v>-48771.15094</v>
      </c>
      <c r="G87" s="1962">
        <v>-13214.003145967192</v>
      </c>
      <c r="H87" s="1962">
        <v>-3715.3418463339194</v>
      </c>
      <c r="I87" s="1962">
        <v>-2640.2926510857806</v>
      </c>
    </row>
    <row r="88" spans="1:9" hidden="1" outlineLevel="2" x14ac:dyDescent="0.2">
      <c r="A88" s="1980" t="s">
        <v>4924</v>
      </c>
      <c r="B88" s="1980" t="s">
        <v>4925</v>
      </c>
      <c r="C88" s="1980" t="s">
        <v>1934</v>
      </c>
      <c r="D88" s="1980" t="s">
        <v>1886</v>
      </c>
      <c r="E88" s="1980" t="s">
        <v>920</v>
      </c>
      <c r="F88" s="1985">
        <v>-9.9071999999999996</v>
      </c>
      <c r="G88" s="1962">
        <v>0</v>
      </c>
      <c r="H88" s="1962">
        <v>0</v>
      </c>
      <c r="I88" s="1962">
        <v>0</v>
      </c>
    </row>
    <row r="89" spans="1:9" hidden="1" outlineLevel="2" x14ac:dyDescent="0.2">
      <c r="A89" s="1980" t="s">
        <v>4924</v>
      </c>
      <c r="B89" s="1980" t="s">
        <v>4925</v>
      </c>
      <c r="C89" s="1980" t="s">
        <v>1935</v>
      </c>
      <c r="D89" s="1980" t="s">
        <v>1936</v>
      </c>
      <c r="E89" s="1980" t="s">
        <v>1083</v>
      </c>
      <c r="F89" s="1985">
        <v>-3737.8416499999998</v>
      </c>
      <c r="G89" s="1962">
        <v>-1012.7267938169186</v>
      </c>
      <c r="H89" s="1962">
        <v>-284.74537158861693</v>
      </c>
      <c r="I89" s="1962">
        <v>-202.35314625973328</v>
      </c>
    </row>
    <row r="90" spans="1:9" hidden="1" outlineLevel="2" x14ac:dyDescent="0.2">
      <c r="A90" s="1980" t="s">
        <v>4924</v>
      </c>
      <c r="B90" s="1980" t="s">
        <v>4925</v>
      </c>
      <c r="C90" s="1980" t="s">
        <v>1937</v>
      </c>
      <c r="D90" s="1980" t="s">
        <v>1878</v>
      </c>
      <c r="E90" s="1980" t="s">
        <v>1083</v>
      </c>
      <c r="F90" s="1985">
        <v>-53024.779439999998</v>
      </c>
      <c r="G90" s="1962">
        <v>-14366.476673809997</v>
      </c>
      <c r="H90" s="1962">
        <v>-4039.379390255137</v>
      </c>
      <c r="I90" s="1962">
        <v>-2870.5686206403147</v>
      </c>
    </row>
    <row r="91" spans="1:9" hidden="1" outlineLevel="2" x14ac:dyDescent="0.2">
      <c r="A91" s="1980" t="s">
        <v>4924</v>
      </c>
      <c r="B91" s="1980" t="s">
        <v>4925</v>
      </c>
      <c r="C91" s="1980" t="s">
        <v>1938</v>
      </c>
      <c r="D91" s="1980" t="s">
        <v>1927</v>
      </c>
      <c r="E91" s="1980" t="s">
        <v>1083</v>
      </c>
      <c r="F91" s="1985">
        <v>-68250.494219999993</v>
      </c>
      <c r="G91" s="1962">
        <v>-18491.715449700961</v>
      </c>
      <c r="H91" s="1962">
        <v>-5199.2604710209298</v>
      </c>
      <c r="I91" s="1962">
        <v>-3694.8334178893692</v>
      </c>
    </row>
    <row r="92" spans="1:9" hidden="1" outlineLevel="2" x14ac:dyDescent="0.2">
      <c r="A92" s="1980" t="s">
        <v>4924</v>
      </c>
      <c r="B92" s="1980" t="s">
        <v>4925</v>
      </c>
      <c r="C92" s="1980" t="s">
        <v>1939</v>
      </c>
      <c r="D92" s="1980" t="s">
        <v>1940</v>
      </c>
      <c r="E92" s="1980" t="s">
        <v>1083</v>
      </c>
      <c r="F92" s="1985">
        <v>-593616.89801999996</v>
      </c>
      <c r="G92" s="1962">
        <v>-160833.92347221007</v>
      </c>
      <c r="H92" s="1962">
        <v>-45221.194484786967</v>
      </c>
      <c r="I92" s="1962">
        <v>-32136.258898846136</v>
      </c>
    </row>
    <row r="93" spans="1:9" hidden="1" outlineLevel="2" x14ac:dyDescent="0.2">
      <c r="A93" s="1980" t="s">
        <v>4924</v>
      </c>
      <c r="B93" s="1980" t="s">
        <v>4925</v>
      </c>
      <c r="C93" s="1980" t="s">
        <v>1941</v>
      </c>
      <c r="D93" s="1980" t="s">
        <v>1942</v>
      </c>
      <c r="E93" s="1980" t="s">
        <v>1083</v>
      </c>
      <c r="F93" s="1985">
        <v>-47635.082589999998</v>
      </c>
      <c r="G93" s="1962">
        <v>-12906.198009906284</v>
      </c>
      <c r="H93" s="1962">
        <v>-3628.7971944301084</v>
      </c>
      <c r="I93" s="1962">
        <v>-2578.7900443639028</v>
      </c>
    </row>
    <row r="94" spans="1:9" hidden="1" outlineLevel="2" x14ac:dyDescent="0.2">
      <c r="A94" s="1980" t="s">
        <v>4924</v>
      </c>
      <c r="B94" s="1980" t="s">
        <v>4925</v>
      </c>
      <c r="C94" s="1980" t="s">
        <v>1943</v>
      </c>
      <c r="D94" s="1980" t="s">
        <v>1944</v>
      </c>
      <c r="E94" s="1980" t="s">
        <v>1083</v>
      </c>
      <c r="F94" s="1985">
        <v>-6877.8339500000002</v>
      </c>
      <c r="G94" s="1962">
        <v>-1863.4729281773223</v>
      </c>
      <c r="H94" s="1962">
        <v>-523.94712435652673</v>
      </c>
      <c r="I94" s="1962">
        <v>-372.34090407080487</v>
      </c>
    </row>
    <row r="95" spans="1:9" hidden="1" outlineLevel="2" x14ac:dyDescent="0.2">
      <c r="A95" s="1980" t="s">
        <v>4924</v>
      </c>
      <c r="B95" s="1980" t="s">
        <v>4925</v>
      </c>
      <c r="C95" s="1980" t="s">
        <v>1945</v>
      </c>
      <c r="D95" s="1980" t="s">
        <v>1946</v>
      </c>
      <c r="E95" s="1980" t="s">
        <v>1083</v>
      </c>
      <c r="F95" s="1985">
        <v>-433259.53125</v>
      </c>
      <c r="G95" s="1962">
        <v>-117386.87110339027</v>
      </c>
      <c r="H95" s="1962">
        <v>-33005.316375585695</v>
      </c>
      <c r="I95" s="1962">
        <v>-23455.094545124652</v>
      </c>
    </row>
    <row r="96" spans="1:9" hidden="1" outlineLevel="2" x14ac:dyDescent="0.2">
      <c r="A96" s="1980" t="s">
        <v>4924</v>
      </c>
      <c r="B96" s="1980" t="s">
        <v>4925</v>
      </c>
      <c r="C96" s="1980" t="s">
        <v>1947</v>
      </c>
      <c r="D96" s="1980" t="s">
        <v>1948</v>
      </c>
      <c r="E96" s="1980" t="s">
        <v>1083</v>
      </c>
      <c r="F96" s="1985">
        <v>-470689.19546000002</v>
      </c>
      <c r="G96" s="1962">
        <v>-127528.02404095176</v>
      </c>
      <c r="H96" s="1962">
        <v>-35856.674095331153</v>
      </c>
      <c r="I96" s="1962">
        <v>-25481.400372269265</v>
      </c>
    </row>
    <row r="97" spans="1:9" hidden="1" outlineLevel="2" x14ac:dyDescent="0.2">
      <c r="A97" s="1980" t="s">
        <v>4924</v>
      </c>
      <c r="B97" s="1980" t="s">
        <v>4925</v>
      </c>
      <c r="C97" s="1980" t="s">
        <v>1949</v>
      </c>
      <c r="D97" s="1980" t="s">
        <v>1950</v>
      </c>
      <c r="E97" s="1980" t="s">
        <v>1083</v>
      </c>
      <c r="F97" s="1985">
        <v>-577666.76951000001</v>
      </c>
      <c r="G97" s="1962">
        <v>-156512.41281995969</v>
      </c>
      <c r="H97" s="1962">
        <v>-44006.128226036781</v>
      </c>
      <c r="I97" s="1962">
        <v>-31272.776978137816</v>
      </c>
    </row>
    <row r="98" spans="1:9" hidden="1" outlineLevel="2" x14ac:dyDescent="0.2">
      <c r="A98" s="1980" t="s">
        <v>4924</v>
      </c>
      <c r="B98" s="1980" t="s">
        <v>4925</v>
      </c>
      <c r="C98" s="1980" t="s">
        <v>1951</v>
      </c>
      <c r="D98" s="1980" t="s">
        <v>1952</v>
      </c>
      <c r="E98" s="1980" t="s">
        <v>1083</v>
      </c>
      <c r="F98" s="1985">
        <v>-1477.93562</v>
      </c>
      <c r="G98" s="1962">
        <v>-400.430286261704</v>
      </c>
      <c r="H98" s="1962">
        <v>-112.5877890790138</v>
      </c>
      <c r="I98" s="1962">
        <v>-80.010056786736698</v>
      </c>
    </row>
    <row r="99" spans="1:9" hidden="1" outlineLevel="2" x14ac:dyDescent="0.2">
      <c r="A99" s="1980" t="s">
        <v>4924</v>
      </c>
      <c r="B99" s="1980" t="s">
        <v>4925</v>
      </c>
      <c r="C99" s="1980" t="s">
        <v>1953</v>
      </c>
      <c r="D99" s="1980" t="s">
        <v>1954</v>
      </c>
      <c r="E99" s="1980" t="s">
        <v>1083</v>
      </c>
      <c r="F99" s="1985">
        <v>-3610.0976900000001</v>
      </c>
      <c r="G99" s="1962">
        <v>-978.11598277834071</v>
      </c>
      <c r="H99" s="1962">
        <v>-275.01395309516596</v>
      </c>
      <c r="I99" s="1962">
        <v>-195.43755307999612</v>
      </c>
    </row>
    <row r="100" spans="1:9" hidden="1" outlineLevel="2" x14ac:dyDescent="0.2">
      <c r="A100" s="1980" t="s">
        <v>4924</v>
      </c>
      <c r="B100" s="1980" t="s">
        <v>4925</v>
      </c>
      <c r="C100" s="1980" t="s">
        <v>1955</v>
      </c>
      <c r="D100" s="1980" t="s">
        <v>1956</v>
      </c>
      <c r="E100" s="1980" t="s">
        <v>1083</v>
      </c>
      <c r="F100" s="1985">
        <v>-5529.8206899999996</v>
      </c>
      <c r="G100" s="1962">
        <v>-1498.2436663057038</v>
      </c>
      <c r="H100" s="1962">
        <v>-421.256702298363</v>
      </c>
      <c r="I100" s="1962">
        <v>-299.36437111338546</v>
      </c>
    </row>
    <row r="101" spans="1:9" hidden="1" outlineLevel="2" x14ac:dyDescent="0.2">
      <c r="A101" s="1980" t="s">
        <v>4924</v>
      </c>
      <c r="B101" s="1980" t="s">
        <v>4925</v>
      </c>
      <c r="C101" s="1980" t="s">
        <v>1957</v>
      </c>
      <c r="D101" s="1980" t="s">
        <v>1878</v>
      </c>
      <c r="E101" s="1980" t="s">
        <v>918</v>
      </c>
      <c r="F101" s="1985">
        <v>-721.24122</v>
      </c>
      <c r="G101" s="1962">
        <v>0</v>
      </c>
      <c r="H101" s="1962">
        <v>0</v>
      </c>
      <c r="I101" s="1962">
        <v>0</v>
      </c>
    </row>
    <row r="102" spans="1:9" hidden="1" outlineLevel="2" x14ac:dyDescent="0.2">
      <c r="A102" s="1980" t="s">
        <v>4924</v>
      </c>
      <c r="B102" s="1980" t="s">
        <v>4925</v>
      </c>
      <c r="C102" s="1980" t="s">
        <v>1957</v>
      </c>
      <c r="D102" s="1980" t="s">
        <v>1878</v>
      </c>
      <c r="E102" s="1980" t="s">
        <v>919</v>
      </c>
      <c r="F102" s="1985">
        <v>-561.94842000000006</v>
      </c>
      <c r="G102" s="1962">
        <v>0</v>
      </c>
      <c r="H102" s="1962">
        <v>0</v>
      </c>
      <c r="I102" s="1962">
        <v>-561.94842000000006</v>
      </c>
    </row>
    <row r="103" spans="1:9" hidden="1" outlineLevel="2" x14ac:dyDescent="0.2">
      <c r="A103" s="1980" t="s">
        <v>4924</v>
      </c>
      <c r="B103" s="1980" t="s">
        <v>4925</v>
      </c>
      <c r="C103" s="1980" t="s">
        <v>1957</v>
      </c>
      <c r="D103" s="1980" t="s">
        <v>1878</v>
      </c>
      <c r="E103" s="1980" t="s">
        <v>912</v>
      </c>
      <c r="F103" s="1985">
        <v>-2544.1734999999999</v>
      </c>
      <c r="G103" s="1962">
        <v>-2544.1734999999999</v>
      </c>
      <c r="H103" s="1962">
        <v>0</v>
      </c>
      <c r="I103" s="1962">
        <v>0</v>
      </c>
    </row>
    <row r="104" spans="1:9" hidden="1" outlineLevel="2" x14ac:dyDescent="0.2">
      <c r="A104" s="1980" t="s">
        <v>4924</v>
      </c>
      <c r="B104" s="1980" t="s">
        <v>4925</v>
      </c>
      <c r="C104" s="1980" t="s">
        <v>1957</v>
      </c>
      <c r="D104" s="1980" t="s">
        <v>1878</v>
      </c>
      <c r="E104" s="1980" t="s">
        <v>920</v>
      </c>
      <c r="F104" s="1985">
        <v>-3506.7651700000001</v>
      </c>
      <c r="G104" s="1962">
        <v>0</v>
      </c>
      <c r="H104" s="1962">
        <v>0</v>
      </c>
      <c r="I104" s="1962">
        <v>0</v>
      </c>
    </row>
    <row r="105" spans="1:9" hidden="1" outlineLevel="2" x14ac:dyDescent="0.2">
      <c r="A105" s="1980" t="s">
        <v>4924</v>
      </c>
      <c r="B105" s="1980" t="s">
        <v>4925</v>
      </c>
      <c r="C105" s="1980" t="s">
        <v>1957</v>
      </c>
      <c r="D105" s="1980" t="s">
        <v>1878</v>
      </c>
      <c r="E105" s="1980" t="s">
        <v>921</v>
      </c>
      <c r="F105" s="1985">
        <v>-221.63164</v>
      </c>
      <c r="G105" s="1962">
        <v>0</v>
      </c>
      <c r="H105" s="1962">
        <v>-221.63164</v>
      </c>
      <c r="I105" s="1962">
        <v>0</v>
      </c>
    </row>
    <row r="106" spans="1:9" hidden="1" outlineLevel="2" x14ac:dyDescent="0.2">
      <c r="A106" s="1980" t="s">
        <v>4924</v>
      </c>
      <c r="B106" s="1980" t="s">
        <v>4925</v>
      </c>
      <c r="C106" s="1980" t="s">
        <v>1957</v>
      </c>
      <c r="D106" s="1980" t="s">
        <v>1878</v>
      </c>
      <c r="E106" s="1980" t="s">
        <v>922</v>
      </c>
      <c r="F106" s="1985">
        <v>-1686.34094</v>
      </c>
      <c r="G106" s="1962">
        <v>0</v>
      </c>
      <c r="H106" s="1962">
        <v>0</v>
      </c>
      <c r="I106" s="1962">
        <v>0</v>
      </c>
    </row>
    <row r="107" spans="1:9" hidden="1" outlineLevel="2" x14ac:dyDescent="0.2">
      <c r="A107" s="1980" t="s">
        <v>4924</v>
      </c>
      <c r="B107" s="1980" t="s">
        <v>4925</v>
      </c>
      <c r="C107" s="1980" t="s">
        <v>1957</v>
      </c>
      <c r="D107" s="1980" t="s">
        <v>1878</v>
      </c>
      <c r="E107" s="1980" t="s">
        <v>923</v>
      </c>
      <c r="F107" s="1985">
        <v>-1338.5776900000001</v>
      </c>
      <c r="G107" s="1962">
        <v>0</v>
      </c>
      <c r="H107" s="1962">
        <v>0</v>
      </c>
      <c r="I107" s="1962">
        <v>0</v>
      </c>
    </row>
    <row r="108" spans="1:9" hidden="1" outlineLevel="2" x14ac:dyDescent="0.2">
      <c r="A108" s="1980" t="s">
        <v>4924</v>
      </c>
      <c r="B108" s="1980" t="s">
        <v>4925</v>
      </c>
      <c r="C108" s="1980" t="s">
        <v>1958</v>
      </c>
      <c r="D108" s="1980" t="s">
        <v>1927</v>
      </c>
      <c r="E108" s="1980" t="s">
        <v>918</v>
      </c>
      <c r="F108" s="1985">
        <v>-1825.2496699999999</v>
      </c>
      <c r="G108" s="1962">
        <v>0</v>
      </c>
      <c r="H108" s="1962">
        <v>0</v>
      </c>
      <c r="I108" s="1962">
        <v>0</v>
      </c>
    </row>
    <row r="109" spans="1:9" hidden="1" outlineLevel="2" x14ac:dyDescent="0.2">
      <c r="A109" s="1980" t="s">
        <v>4924</v>
      </c>
      <c r="B109" s="1980" t="s">
        <v>4925</v>
      </c>
      <c r="C109" s="1980" t="s">
        <v>1958</v>
      </c>
      <c r="D109" s="1980" t="s">
        <v>1927</v>
      </c>
      <c r="E109" s="1980" t="s">
        <v>919</v>
      </c>
      <c r="F109" s="1985">
        <v>-1006.89865</v>
      </c>
      <c r="G109" s="1962">
        <v>0</v>
      </c>
      <c r="H109" s="1962">
        <v>0</v>
      </c>
      <c r="I109" s="1962">
        <v>-1006.89865</v>
      </c>
    </row>
    <row r="110" spans="1:9" hidden="1" outlineLevel="2" x14ac:dyDescent="0.2">
      <c r="A110" s="1980" t="s">
        <v>4924</v>
      </c>
      <c r="B110" s="1980" t="s">
        <v>4925</v>
      </c>
      <c r="C110" s="1980" t="s">
        <v>1958</v>
      </c>
      <c r="D110" s="1980" t="s">
        <v>1927</v>
      </c>
      <c r="E110" s="1980" t="s">
        <v>912</v>
      </c>
      <c r="F110" s="1985">
        <v>-10034.374680000001</v>
      </c>
      <c r="G110" s="1962">
        <v>-10034.374680000001</v>
      </c>
      <c r="H110" s="1962">
        <v>0</v>
      </c>
      <c r="I110" s="1962">
        <v>0</v>
      </c>
    </row>
    <row r="111" spans="1:9" hidden="1" outlineLevel="2" x14ac:dyDescent="0.2">
      <c r="A111" s="1980" t="s">
        <v>4924</v>
      </c>
      <c r="B111" s="1980" t="s">
        <v>4925</v>
      </c>
      <c r="C111" s="1980" t="s">
        <v>1958</v>
      </c>
      <c r="D111" s="1980" t="s">
        <v>1927</v>
      </c>
      <c r="E111" s="1980" t="s">
        <v>920</v>
      </c>
      <c r="F111" s="1985">
        <v>-17303.15497</v>
      </c>
      <c r="G111" s="1962">
        <v>0</v>
      </c>
      <c r="H111" s="1962">
        <v>0</v>
      </c>
      <c r="I111" s="1962">
        <v>0</v>
      </c>
    </row>
    <row r="112" spans="1:9" hidden="1" outlineLevel="2" x14ac:dyDescent="0.2">
      <c r="A112" s="1980" t="s">
        <v>4924</v>
      </c>
      <c r="B112" s="1980" t="s">
        <v>4925</v>
      </c>
      <c r="C112" s="1980" t="s">
        <v>1958</v>
      </c>
      <c r="D112" s="1980" t="s">
        <v>1927</v>
      </c>
      <c r="E112" s="1980" t="s">
        <v>921</v>
      </c>
      <c r="F112" s="1985">
        <v>-1672.2865099999999</v>
      </c>
      <c r="G112" s="1962">
        <v>0</v>
      </c>
      <c r="H112" s="1962">
        <v>-1672.2865099999999</v>
      </c>
      <c r="I112" s="1962">
        <v>0</v>
      </c>
    </row>
    <row r="113" spans="1:9" hidden="1" outlineLevel="2" x14ac:dyDescent="0.2">
      <c r="A113" s="1980" t="s">
        <v>4924</v>
      </c>
      <c r="B113" s="1980" t="s">
        <v>4925</v>
      </c>
      <c r="C113" s="1980" t="s">
        <v>1958</v>
      </c>
      <c r="D113" s="1980" t="s">
        <v>1927</v>
      </c>
      <c r="E113" s="1980" t="s">
        <v>922</v>
      </c>
      <c r="F113" s="1985">
        <v>-4917.6856500000004</v>
      </c>
      <c r="G113" s="1962">
        <v>0</v>
      </c>
      <c r="H113" s="1962">
        <v>0</v>
      </c>
      <c r="I113" s="1962">
        <v>0</v>
      </c>
    </row>
    <row r="114" spans="1:9" hidden="1" outlineLevel="2" x14ac:dyDescent="0.2">
      <c r="A114" s="1980" t="s">
        <v>4924</v>
      </c>
      <c r="B114" s="1980" t="s">
        <v>4925</v>
      </c>
      <c r="C114" s="1980" t="s">
        <v>1958</v>
      </c>
      <c r="D114" s="1980" t="s">
        <v>1927</v>
      </c>
      <c r="E114" s="1980" t="s">
        <v>923</v>
      </c>
      <c r="F114" s="1985">
        <v>-1007.60614</v>
      </c>
      <c r="G114" s="1962">
        <v>0</v>
      </c>
      <c r="H114" s="1962">
        <v>0</v>
      </c>
      <c r="I114" s="1962">
        <v>0</v>
      </c>
    </row>
    <row r="115" spans="1:9" hidden="1" outlineLevel="2" x14ac:dyDescent="0.2">
      <c r="A115" s="1980" t="s">
        <v>4924</v>
      </c>
      <c r="B115" s="1980" t="s">
        <v>4925</v>
      </c>
      <c r="C115" s="1980" t="s">
        <v>1959</v>
      </c>
      <c r="D115" s="1980" t="s">
        <v>1940</v>
      </c>
      <c r="E115" s="1980" t="s">
        <v>918</v>
      </c>
      <c r="F115" s="1985">
        <v>-10919.49742</v>
      </c>
      <c r="G115" s="1962">
        <v>0</v>
      </c>
      <c r="H115" s="1962">
        <v>0</v>
      </c>
      <c r="I115" s="1962">
        <v>0</v>
      </c>
    </row>
    <row r="116" spans="1:9" hidden="1" outlineLevel="2" x14ac:dyDescent="0.2">
      <c r="A116" s="1980" t="s">
        <v>4924</v>
      </c>
      <c r="B116" s="1980" t="s">
        <v>4925</v>
      </c>
      <c r="C116" s="1980" t="s">
        <v>1959</v>
      </c>
      <c r="D116" s="1980" t="s">
        <v>1940</v>
      </c>
      <c r="E116" s="1980" t="s">
        <v>919</v>
      </c>
      <c r="F116" s="1985">
        <v>-13193.256439999999</v>
      </c>
      <c r="G116" s="1962">
        <v>0</v>
      </c>
      <c r="H116" s="1962">
        <v>0</v>
      </c>
      <c r="I116" s="1962">
        <v>-13193.256439999999</v>
      </c>
    </row>
    <row r="117" spans="1:9" hidden="1" outlineLevel="2" x14ac:dyDescent="0.2">
      <c r="A117" s="1980" t="s">
        <v>4924</v>
      </c>
      <c r="B117" s="1980" t="s">
        <v>4925</v>
      </c>
      <c r="C117" s="1980" t="s">
        <v>1959</v>
      </c>
      <c r="D117" s="1980" t="s">
        <v>1940</v>
      </c>
      <c r="E117" s="1980" t="s">
        <v>912</v>
      </c>
      <c r="F117" s="1985">
        <v>-106796.59221</v>
      </c>
      <c r="G117" s="1962">
        <v>-106796.59221</v>
      </c>
      <c r="H117" s="1962">
        <v>0</v>
      </c>
      <c r="I117" s="1962">
        <v>0</v>
      </c>
    </row>
    <row r="118" spans="1:9" hidden="1" outlineLevel="2" x14ac:dyDescent="0.2">
      <c r="A118" s="1980" t="s">
        <v>4924</v>
      </c>
      <c r="B118" s="1980" t="s">
        <v>4925</v>
      </c>
      <c r="C118" s="1980" t="s">
        <v>1959</v>
      </c>
      <c r="D118" s="1980" t="s">
        <v>1940</v>
      </c>
      <c r="E118" s="1980" t="s">
        <v>920</v>
      </c>
      <c r="F118" s="1985">
        <v>-167496.80228999999</v>
      </c>
      <c r="G118" s="1962">
        <v>0</v>
      </c>
      <c r="H118" s="1962">
        <v>0</v>
      </c>
      <c r="I118" s="1962">
        <v>0</v>
      </c>
    </row>
    <row r="119" spans="1:9" hidden="1" outlineLevel="2" x14ac:dyDescent="0.2">
      <c r="A119" s="1980" t="s">
        <v>4924</v>
      </c>
      <c r="B119" s="1980" t="s">
        <v>4925</v>
      </c>
      <c r="C119" s="1980" t="s">
        <v>1959</v>
      </c>
      <c r="D119" s="1980" t="s">
        <v>1940</v>
      </c>
      <c r="E119" s="1980" t="s">
        <v>921</v>
      </c>
      <c r="F119" s="1985">
        <v>-29948.15451</v>
      </c>
      <c r="G119" s="1962">
        <v>0</v>
      </c>
      <c r="H119" s="1962">
        <v>-29948.15451</v>
      </c>
      <c r="I119" s="1962">
        <v>0</v>
      </c>
    </row>
    <row r="120" spans="1:9" hidden="1" outlineLevel="2" x14ac:dyDescent="0.2">
      <c r="A120" s="1980" t="s">
        <v>4924</v>
      </c>
      <c r="B120" s="1980" t="s">
        <v>4925</v>
      </c>
      <c r="C120" s="1980" t="s">
        <v>1959</v>
      </c>
      <c r="D120" s="1980" t="s">
        <v>1940</v>
      </c>
      <c r="E120" s="1980" t="s">
        <v>922</v>
      </c>
      <c r="F120" s="1985">
        <v>-47684.128120000001</v>
      </c>
      <c r="G120" s="1962">
        <v>0</v>
      </c>
      <c r="H120" s="1962">
        <v>0</v>
      </c>
      <c r="I120" s="1962">
        <v>0</v>
      </c>
    </row>
    <row r="121" spans="1:9" hidden="1" outlineLevel="2" x14ac:dyDescent="0.2">
      <c r="A121" s="1980" t="s">
        <v>4924</v>
      </c>
      <c r="B121" s="1980" t="s">
        <v>4925</v>
      </c>
      <c r="C121" s="1980" t="s">
        <v>1959</v>
      </c>
      <c r="D121" s="1980" t="s">
        <v>1940</v>
      </c>
      <c r="E121" s="1980" t="s">
        <v>923</v>
      </c>
      <c r="F121" s="1985">
        <v>-4648.7949099999996</v>
      </c>
      <c r="G121" s="1962">
        <v>0</v>
      </c>
      <c r="H121" s="1962">
        <v>0</v>
      </c>
      <c r="I121" s="1962">
        <v>0</v>
      </c>
    </row>
    <row r="122" spans="1:9" hidden="1" outlineLevel="2" x14ac:dyDescent="0.2">
      <c r="A122" s="1980" t="s">
        <v>4924</v>
      </c>
      <c r="B122" s="1980" t="s">
        <v>4925</v>
      </c>
      <c r="C122" s="1980" t="s">
        <v>1960</v>
      </c>
      <c r="D122" s="1980" t="s">
        <v>1944</v>
      </c>
      <c r="E122" s="1980" t="s">
        <v>918</v>
      </c>
      <c r="F122" s="1985">
        <v>-145.96690000000001</v>
      </c>
      <c r="G122" s="1962">
        <v>0</v>
      </c>
      <c r="H122" s="1962">
        <v>0</v>
      </c>
      <c r="I122" s="1962">
        <v>0</v>
      </c>
    </row>
    <row r="123" spans="1:9" hidden="1" outlineLevel="2" x14ac:dyDescent="0.2">
      <c r="A123" s="1980" t="s">
        <v>4924</v>
      </c>
      <c r="B123" s="1980" t="s">
        <v>4925</v>
      </c>
      <c r="C123" s="1980" t="s">
        <v>1960</v>
      </c>
      <c r="D123" s="1980" t="s">
        <v>1944</v>
      </c>
      <c r="E123" s="1980" t="s">
        <v>919</v>
      </c>
      <c r="F123" s="1985">
        <v>-178.08087</v>
      </c>
      <c r="G123" s="1962">
        <v>0</v>
      </c>
      <c r="H123" s="1962">
        <v>0</v>
      </c>
      <c r="I123" s="1962">
        <v>-178.08087</v>
      </c>
    </row>
    <row r="124" spans="1:9" hidden="1" outlineLevel="2" x14ac:dyDescent="0.2">
      <c r="A124" s="1980" t="s">
        <v>4924</v>
      </c>
      <c r="B124" s="1980" t="s">
        <v>4925</v>
      </c>
      <c r="C124" s="1980" t="s">
        <v>1960</v>
      </c>
      <c r="D124" s="1980" t="s">
        <v>1944</v>
      </c>
      <c r="E124" s="1980" t="s">
        <v>912</v>
      </c>
      <c r="F124" s="1985">
        <v>-1562.39462</v>
      </c>
      <c r="G124" s="1962">
        <v>-1562.39462</v>
      </c>
      <c r="H124" s="1962">
        <v>0</v>
      </c>
      <c r="I124" s="1962">
        <v>0</v>
      </c>
    </row>
    <row r="125" spans="1:9" hidden="1" outlineLevel="2" x14ac:dyDescent="0.2">
      <c r="A125" s="1980" t="s">
        <v>4924</v>
      </c>
      <c r="B125" s="1980" t="s">
        <v>4925</v>
      </c>
      <c r="C125" s="1980" t="s">
        <v>1960</v>
      </c>
      <c r="D125" s="1980" t="s">
        <v>1944</v>
      </c>
      <c r="E125" s="1980" t="s">
        <v>920</v>
      </c>
      <c r="F125" s="1985">
        <v>-2145.8466899999999</v>
      </c>
      <c r="G125" s="1962">
        <v>0</v>
      </c>
      <c r="H125" s="1962">
        <v>0</v>
      </c>
      <c r="I125" s="1962">
        <v>0</v>
      </c>
    </row>
    <row r="126" spans="1:9" hidden="1" outlineLevel="2" x14ac:dyDescent="0.2">
      <c r="A126" s="1980" t="s">
        <v>4924</v>
      </c>
      <c r="B126" s="1980" t="s">
        <v>4925</v>
      </c>
      <c r="C126" s="1980" t="s">
        <v>1960</v>
      </c>
      <c r="D126" s="1980" t="s">
        <v>1944</v>
      </c>
      <c r="E126" s="1980" t="s">
        <v>921</v>
      </c>
      <c r="F126" s="1985">
        <v>-513.32668999999999</v>
      </c>
      <c r="G126" s="1962">
        <v>0</v>
      </c>
      <c r="H126" s="1962">
        <v>-513.32668999999999</v>
      </c>
      <c r="I126" s="1962">
        <v>0</v>
      </c>
    </row>
    <row r="127" spans="1:9" hidden="1" outlineLevel="2" x14ac:dyDescent="0.2">
      <c r="A127" s="1980" t="s">
        <v>4924</v>
      </c>
      <c r="B127" s="1980" t="s">
        <v>4925</v>
      </c>
      <c r="C127" s="1980" t="s">
        <v>1960</v>
      </c>
      <c r="D127" s="1980" t="s">
        <v>1944</v>
      </c>
      <c r="E127" s="1980" t="s">
        <v>922</v>
      </c>
      <c r="F127" s="1985">
        <v>-875.79187000000002</v>
      </c>
      <c r="G127" s="1962">
        <v>0</v>
      </c>
      <c r="H127" s="1962">
        <v>0</v>
      </c>
      <c r="I127" s="1962">
        <v>0</v>
      </c>
    </row>
    <row r="128" spans="1:9" hidden="1" outlineLevel="2" x14ac:dyDescent="0.2">
      <c r="A128" s="1980" t="s">
        <v>4924</v>
      </c>
      <c r="B128" s="1980" t="s">
        <v>4925</v>
      </c>
      <c r="C128" s="1980" t="s">
        <v>1960</v>
      </c>
      <c r="D128" s="1980" t="s">
        <v>1944</v>
      </c>
      <c r="E128" s="1980" t="s">
        <v>923</v>
      </c>
      <c r="F128" s="1985">
        <v>-48.906889999999997</v>
      </c>
      <c r="G128" s="1962">
        <v>0</v>
      </c>
      <c r="H128" s="1962">
        <v>0</v>
      </c>
      <c r="I128" s="1962">
        <v>0</v>
      </c>
    </row>
    <row r="129" spans="1:9" hidden="1" outlineLevel="2" x14ac:dyDescent="0.2">
      <c r="A129" s="1980" t="s">
        <v>4924</v>
      </c>
      <c r="B129" s="1980" t="s">
        <v>4925</v>
      </c>
      <c r="C129" s="1980" t="s">
        <v>1961</v>
      </c>
      <c r="D129" s="1980" t="s">
        <v>1962</v>
      </c>
      <c r="E129" s="1980" t="s">
        <v>918</v>
      </c>
      <c r="F129" s="1985">
        <v>-47189.284500000002</v>
      </c>
      <c r="G129" s="1962">
        <v>0</v>
      </c>
      <c r="H129" s="1962">
        <v>0</v>
      </c>
      <c r="I129" s="1962">
        <v>0</v>
      </c>
    </row>
    <row r="130" spans="1:9" hidden="1" outlineLevel="2" x14ac:dyDescent="0.2">
      <c r="A130" s="1980" t="s">
        <v>4924</v>
      </c>
      <c r="B130" s="1980" t="s">
        <v>4925</v>
      </c>
      <c r="C130" s="1980" t="s">
        <v>1961</v>
      </c>
      <c r="D130" s="1980" t="s">
        <v>1962</v>
      </c>
      <c r="E130" s="1980" t="s">
        <v>919</v>
      </c>
      <c r="F130" s="1985">
        <v>-52357.809829999998</v>
      </c>
      <c r="G130" s="1962">
        <v>0</v>
      </c>
      <c r="H130" s="1962">
        <v>0</v>
      </c>
      <c r="I130" s="1962">
        <v>-52357.809829999998</v>
      </c>
    </row>
    <row r="131" spans="1:9" hidden="1" outlineLevel="2" x14ac:dyDescent="0.2">
      <c r="A131" s="1980" t="s">
        <v>4924</v>
      </c>
      <c r="B131" s="1980" t="s">
        <v>4925</v>
      </c>
      <c r="C131" s="1980" t="s">
        <v>1961</v>
      </c>
      <c r="D131" s="1980" t="s">
        <v>1962</v>
      </c>
      <c r="E131" s="1980" t="s">
        <v>912</v>
      </c>
      <c r="F131" s="1985">
        <v>-273411.40737999999</v>
      </c>
      <c r="G131" s="1962">
        <v>-273411.40737999999</v>
      </c>
      <c r="H131" s="1962">
        <v>0</v>
      </c>
      <c r="I131" s="1962">
        <v>0</v>
      </c>
    </row>
    <row r="132" spans="1:9" hidden="1" outlineLevel="2" x14ac:dyDescent="0.2">
      <c r="A132" s="1980" t="s">
        <v>4924</v>
      </c>
      <c r="B132" s="1980" t="s">
        <v>4925</v>
      </c>
      <c r="C132" s="1980" t="s">
        <v>1961</v>
      </c>
      <c r="D132" s="1980" t="s">
        <v>1962</v>
      </c>
      <c r="E132" s="1980" t="s">
        <v>920</v>
      </c>
      <c r="F132" s="1985">
        <v>-179969.00025000001</v>
      </c>
      <c r="G132" s="1962">
        <v>0</v>
      </c>
      <c r="H132" s="1962">
        <v>0</v>
      </c>
      <c r="I132" s="1962">
        <v>0</v>
      </c>
    </row>
    <row r="133" spans="1:9" hidden="1" outlineLevel="2" x14ac:dyDescent="0.2">
      <c r="A133" s="1980" t="s">
        <v>4924</v>
      </c>
      <c r="B133" s="1980" t="s">
        <v>4925</v>
      </c>
      <c r="C133" s="1980" t="s">
        <v>1961</v>
      </c>
      <c r="D133" s="1980" t="s">
        <v>1962</v>
      </c>
      <c r="E133" s="1980" t="s">
        <v>921</v>
      </c>
      <c r="F133" s="1985">
        <v>-81913.984580000004</v>
      </c>
      <c r="G133" s="1962">
        <v>0</v>
      </c>
      <c r="H133" s="1962">
        <v>-81913.984580000004</v>
      </c>
      <c r="I133" s="1962">
        <v>0</v>
      </c>
    </row>
    <row r="134" spans="1:9" hidden="1" outlineLevel="2" x14ac:dyDescent="0.2">
      <c r="A134" s="1980" t="s">
        <v>4924</v>
      </c>
      <c r="B134" s="1980" t="s">
        <v>4925</v>
      </c>
      <c r="C134" s="1980" t="s">
        <v>1961</v>
      </c>
      <c r="D134" s="1980" t="s">
        <v>1962</v>
      </c>
      <c r="E134" s="1980" t="s">
        <v>922</v>
      </c>
      <c r="F134" s="1985">
        <v>-79603.211070000005</v>
      </c>
      <c r="G134" s="1962">
        <v>0</v>
      </c>
      <c r="H134" s="1962">
        <v>0</v>
      </c>
      <c r="I134" s="1962">
        <v>0</v>
      </c>
    </row>
    <row r="135" spans="1:9" hidden="1" outlineLevel="2" x14ac:dyDescent="0.2">
      <c r="A135" s="1980" t="s">
        <v>4924</v>
      </c>
      <c r="B135" s="1980" t="s">
        <v>4925</v>
      </c>
      <c r="C135" s="1980" t="s">
        <v>1961</v>
      </c>
      <c r="D135" s="1980" t="s">
        <v>1962</v>
      </c>
      <c r="E135" s="1980" t="s">
        <v>923</v>
      </c>
      <c r="F135" s="1985">
        <v>-17414.256300000001</v>
      </c>
      <c r="G135" s="1962">
        <v>0</v>
      </c>
      <c r="H135" s="1962">
        <v>0</v>
      </c>
      <c r="I135" s="1962">
        <v>0</v>
      </c>
    </row>
    <row r="136" spans="1:9" hidden="1" outlineLevel="2" x14ac:dyDescent="0.2">
      <c r="A136" s="1980" t="s">
        <v>4924</v>
      </c>
      <c r="B136" s="1980" t="s">
        <v>4925</v>
      </c>
      <c r="C136" s="1980" t="s">
        <v>1963</v>
      </c>
      <c r="D136" s="1980" t="s">
        <v>1950</v>
      </c>
      <c r="E136" s="1980" t="s">
        <v>918</v>
      </c>
      <c r="F136" s="1985">
        <v>-20412.457539999999</v>
      </c>
      <c r="G136" s="1962">
        <v>0</v>
      </c>
      <c r="H136" s="1962">
        <v>0</v>
      </c>
      <c r="I136" s="1962">
        <v>0</v>
      </c>
    </row>
    <row r="137" spans="1:9" hidden="1" outlineLevel="2" x14ac:dyDescent="0.2">
      <c r="A137" s="1980" t="s">
        <v>4924</v>
      </c>
      <c r="B137" s="1980" t="s">
        <v>4925</v>
      </c>
      <c r="C137" s="1980" t="s">
        <v>1963</v>
      </c>
      <c r="D137" s="1980" t="s">
        <v>1950</v>
      </c>
      <c r="E137" s="1980" t="s">
        <v>919</v>
      </c>
      <c r="F137" s="1985">
        <v>-17727.482510000002</v>
      </c>
      <c r="G137" s="1962">
        <v>0</v>
      </c>
      <c r="H137" s="1962">
        <v>0</v>
      </c>
      <c r="I137" s="1962">
        <v>-17727.482510000002</v>
      </c>
    </row>
    <row r="138" spans="1:9" hidden="1" outlineLevel="2" x14ac:dyDescent="0.2">
      <c r="A138" s="1980" t="s">
        <v>4924</v>
      </c>
      <c r="B138" s="1980" t="s">
        <v>4925</v>
      </c>
      <c r="C138" s="1980" t="s">
        <v>1963</v>
      </c>
      <c r="D138" s="1980" t="s">
        <v>1950</v>
      </c>
      <c r="E138" s="1980" t="s">
        <v>912</v>
      </c>
      <c r="F138" s="1985">
        <v>-145497.57655999999</v>
      </c>
      <c r="G138" s="1962">
        <v>-145497.57655999999</v>
      </c>
      <c r="H138" s="1962">
        <v>0</v>
      </c>
      <c r="I138" s="1962">
        <v>0</v>
      </c>
    </row>
    <row r="139" spans="1:9" hidden="1" outlineLevel="2" x14ac:dyDescent="0.2">
      <c r="A139" s="1980" t="s">
        <v>4924</v>
      </c>
      <c r="B139" s="1980" t="s">
        <v>4925</v>
      </c>
      <c r="C139" s="1980" t="s">
        <v>1963</v>
      </c>
      <c r="D139" s="1980" t="s">
        <v>1950</v>
      </c>
      <c r="E139" s="1980" t="s">
        <v>920</v>
      </c>
      <c r="F139" s="1985">
        <v>-91452.075079999995</v>
      </c>
      <c r="G139" s="1962">
        <v>0</v>
      </c>
      <c r="H139" s="1962">
        <v>0</v>
      </c>
      <c r="I139" s="1962">
        <v>0</v>
      </c>
    </row>
    <row r="140" spans="1:9" hidden="1" outlineLevel="2" x14ac:dyDescent="0.2">
      <c r="A140" s="1980" t="s">
        <v>4924</v>
      </c>
      <c r="B140" s="1980" t="s">
        <v>4925</v>
      </c>
      <c r="C140" s="1980" t="s">
        <v>1963</v>
      </c>
      <c r="D140" s="1980" t="s">
        <v>1950</v>
      </c>
      <c r="E140" s="1980" t="s">
        <v>921</v>
      </c>
      <c r="F140" s="1985">
        <v>-40227.570899999999</v>
      </c>
      <c r="G140" s="1962">
        <v>0</v>
      </c>
      <c r="H140" s="1962">
        <v>-40227.570899999999</v>
      </c>
      <c r="I140" s="1962">
        <v>0</v>
      </c>
    </row>
    <row r="141" spans="1:9" hidden="1" outlineLevel="2" x14ac:dyDescent="0.2">
      <c r="A141" s="1980" t="s">
        <v>4924</v>
      </c>
      <c r="B141" s="1980" t="s">
        <v>4925</v>
      </c>
      <c r="C141" s="1980" t="s">
        <v>1963</v>
      </c>
      <c r="D141" s="1980" t="s">
        <v>1950</v>
      </c>
      <c r="E141" s="1980" t="s">
        <v>922</v>
      </c>
      <c r="F141" s="1985">
        <v>-47150.949209999999</v>
      </c>
      <c r="G141" s="1962">
        <v>0</v>
      </c>
      <c r="H141" s="1962">
        <v>0</v>
      </c>
      <c r="I141" s="1962">
        <v>0</v>
      </c>
    </row>
    <row r="142" spans="1:9" hidden="1" outlineLevel="2" x14ac:dyDescent="0.2">
      <c r="A142" s="1980" t="s">
        <v>4924</v>
      </c>
      <c r="B142" s="1980" t="s">
        <v>4925</v>
      </c>
      <c r="C142" s="1980" t="s">
        <v>1963</v>
      </c>
      <c r="D142" s="1980" t="s">
        <v>1950</v>
      </c>
      <c r="E142" s="1980" t="s">
        <v>923</v>
      </c>
      <c r="F142" s="1985">
        <v>-6298.1302999999998</v>
      </c>
      <c r="G142" s="1962">
        <v>0</v>
      </c>
      <c r="H142" s="1962">
        <v>0</v>
      </c>
      <c r="I142" s="1962">
        <v>0</v>
      </c>
    </row>
    <row r="143" spans="1:9" hidden="1" outlineLevel="2" x14ac:dyDescent="0.2">
      <c r="A143" s="1980" t="s">
        <v>4924</v>
      </c>
      <c r="B143" s="1980" t="s">
        <v>4925</v>
      </c>
      <c r="C143" s="1980" t="s">
        <v>1964</v>
      </c>
      <c r="D143" s="1980" t="s">
        <v>1952</v>
      </c>
      <c r="E143" s="1980" t="s">
        <v>918</v>
      </c>
      <c r="F143" s="1985">
        <v>-11886.215550000001</v>
      </c>
      <c r="G143" s="1962">
        <v>0</v>
      </c>
      <c r="H143" s="1962">
        <v>0</v>
      </c>
      <c r="I143" s="1962">
        <v>0</v>
      </c>
    </row>
    <row r="144" spans="1:9" hidden="1" outlineLevel="2" x14ac:dyDescent="0.2">
      <c r="A144" s="1980" t="s">
        <v>4924</v>
      </c>
      <c r="B144" s="1980" t="s">
        <v>4925</v>
      </c>
      <c r="C144" s="1980" t="s">
        <v>1964</v>
      </c>
      <c r="D144" s="1980" t="s">
        <v>1952</v>
      </c>
      <c r="E144" s="1980" t="s">
        <v>919</v>
      </c>
      <c r="F144" s="1985">
        <v>-5106.3238600000004</v>
      </c>
      <c r="G144" s="1962">
        <v>0</v>
      </c>
      <c r="H144" s="1962">
        <v>0</v>
      </c>
      <c r="I144" s="1962">
        <v>-5106.3238600000004</v>
      </c>
    </row>
    <row r="145" spans="1:9" hidden="1" outlineLevel="2" x14ac:dyDescent="0.2">
      <c r="A145" s="1980" t="s">
        <v>4924</v>
      </c>
      <c r="B145" s="1980" t="s">
        <v>4925</v>
      </c>
      <c r="C145" s="1980" t="s">
        <v>1964</v>
      </c>
      <c r="D145" s="1980" t="s">
        <v>1952</v>
      </c>
      <c r="E145" s="1980" t="s">
        <v>912</v>
      </c>
      <c r="F145" s="1985">
        <v>-52597.622609999999</v>
      </c>
      <c r="G145" s="1962">
        <v>-52597.622609999999</v>
      </c>
      <c r="H145" s="1962">
        <v>0</v>
      </c>
      <c r="I145" s="1962">
        <v>0</v>
      </c>
    </row>
    <row r="146" spans="1:9" hidden="1" outlineLevel="2" x14ac:dyDescent="0.2">
      <c r="A146" s="1980" t="s">
        <v>4924</v>
      </c>
      <c r="B146" s="1980" t="s">
        <v>4925</v>
      </c>
      <c r="C146" s="1980" t="s">
        <v>1964</v>
      </c>
      <c r="D146" s="1980" t="s">
        <v>1952</v>
      </c>
      <c r="E146" s="1980" t="s">
        <v>920</v>
      </c>
      <c r="F146" s="1985">
        <v>-95630.965280000004</v>
      </c>
      <c r="G146" s="1962">
        <v>0</v>
      </c>
      <c r="H146" s="1962">
        <v>0</v>
      </c>
      <c r="I146" s="1962">
        <v>0</v>
      </c>
    </row>
    <row r="147" spans="1:9" hidden="1" outlineLevel="2" x14ac:dyDescent="0.2">
      <c r="A147" s="1980" t="s">
        <v>4924</v>
      </c>
      <c r="B147" s="1980" t="s">
        <v>4925</v>
      </c>
      <c r="C147" s="1980" t="s">
        <v>1964</v>
      </c>
      <c r="D147" s="1980" t="s">
        <v>1952</v>
      </c>
      <c r="E147" s="1980" t="s">
        <v>921</v>
      </c>
      <c r="F147" s="1985">
        <v>-12228.307119999999</v>
      </c>
      <c r="G147" s="1962">
        <v>0</v>
      </c>
      <c r="H147" s="1962">
        <v>-12228.307119999999</v>
      </c>
      <c r="I147" s="1962">
        <v>0</v>
      </c>
    </row>
    <row r="148" spans="1:9" hidden="1" outlineLevel="2" x14ac:dyDescent="0.2">
      <c r="A148" s="1980" t="s">
        <v>4924</v>
      </c>
      <c r="B148" s="1980" t="s">
        <v>4925</v>
      </c>
      <c r="C148" s="1980" t="s">
        <v>1964</v>
      </c>
      <c r="D148" s="1980" t="s">
        <v>1952</v>
      </c>
      <c r="E148" s="1980" t="s">
        <v>922</v>
      </c>
      <c r="F148" s="1985">
        <v>-12744.97048</v>
      </c>
      <c r="G148" s="1962">
        <v>0</v>
      </c>
      <c r="H148" s="1962">
        <v>0</v>
      </c>
      <c r="I148" s="1962">
        <v>0</v>
      </c>
    </row>
    <row r="149" spans="1:9" hidden="1" outlineLevel="2" x14ac:dyDescent="0.2">
      <c r="A149" s="1980" t="s">
        <v>4924</v>
      </c>
      <c r="B149" s="1980" t="s">
        <v>4925</v>
      </c>
      <c r="C149" s="1980" t="s">
        <v>1964</v>
      </c>
      <c r="D149" s="1980" t="s">
        <v>1952</v>
      </c>
      <c r="E149" s="1980" t="s">
        <v>923</v>
      </c>
      <c r="F149" s="1985">
        <v>-3334.0160099999998</v>
      </c>
      <c r="G149" s="1962">
        <v>0</v>
      </c>
      <c r="H149" s="1962">
        <v>0</v>
      </c>
      <c r="I149" s="1962">
        <v>0</v>
      </c>
    </row>
    <row r="150" spans="1:9" hidden="1" outlineLevel="2" x14ac:dyDescent="0.2">
      <c r="A150" s="1980" t="s">
        <v>4924</v>
      </c>
      <c r="B150" s="1980" t="s">
        <v>4925</v>
      </c>
      <c r="C150" s="1980" t="s">
        <v>1965</v>
      </c>
      <c r="D150" s="1980" t="s">
        <v>1954</v>
      </c>
      <c r="E150" s="1980" t="s">
        <v>918</v>
      </c>
      <c r="F150" s="1985">
        <v>-12814.45253</v>
      </c>
      <c r="G150" s="1962">
        <v>0</v>
      </c>
      <c r="H150" s="1962">
        <v>0</v>
      </c>
      <c r="I150" s="1962">
        <v>0</v>
      </c>
    </row>
    <row r="151" spans="1:9" hidden="1" outlineLevel="2" x14ac:dyDescent="0.2">
      <c r="A151" s="1980" t="s">
        <v>4924</v>
      </c>
      <c r="B151" s="1980" t="s">
        <v>4925</v>
      </c>
      <c r="C151" s="1980" t="s">
        <v>1965</v>
      </c>
      <c r="D151" s="1980" t="s">
        <v>1954</v>
      </c>
      <c r="E151" s="1980" t="s">
        <v>919</v>
      </c>
      <c r="F151" s="1985">
        <v>-14079.432220000001</v>
      </c>
      <c r="G151" s="1962">
        <v>0</v>
      </c>
      <c r="H151" s="1962">
        <v>0</v>
      </c>
      <c r="I151" s="1962">
        <v>-14079.432220000001</v>
      </c>
    </row>
    <row r="152" spans="1:9" hidden="1" outlineLevel="2" x14ac:dyDescent="0.2">
      <c r="A152" s="1980" t="s">
        <v>4924</v>
      </c>
      <c r="B152" s="1980" t="s">
        <v>4925</v>
      </c>
      <c r="C152" s="1980" t="s">
        <v>1965</v>
      </c>
      <c r="D152" s="1980" t="s">
        <v>1954</v>
      </c>
      <c r="E152" s="1980" t="s">
        <v>912</v>
      </c>
      <c r="F152" s="1985">
        <v>-104223.99455</v>
      </c>
      <c r="G152" s="1962">
        <v>-104223.99455</v>
      </c>
      <c r="H152" s="1962">
        <v>0</v>
      </c>
      <c r="I152" s="1962">
        <v>0</v>
      </c>
    </row>
    <row r="153" spans="1:9" hidden="1" outlineLevel="2" x14ac:dyDescent="0.2">
      <c r="A153" s="1980" t="s">
        <v>4924</v>
      </c>
      <c r="B153" s="1980" t="s">
        <v>4925</v>
      </c>
      <c r="C153" s="1980" t="s">
        <v>1965</v>
      </c>
      <c r="D153" s="1980" t="s">
        <v>1954</v>
      </c>
      <c r="E153" s="1980" t="s">
        <v>920</v>
      </c>
      <c r="F153" s="1985">
        <v>-224501.74883999999</v>
      </c>
      <c r="G153" s="1962">
        <v>0</v>
      </c>
      <c r="H153" s="1962">
        <v>0</v>
      </c>
      <c r="I153" s="1962">
        <v>0</v>
      </c>
    </row>
    <row r="154" spans="1:9" hidden="1" outlineLevel="2" x14ac:dyDescent="0.2">
      <c r="A154" s="1980" t="s">
        <v>4924</v>
      </c>
      <c r="B154" s="1980" t="s">
        <v>4925</v>
      </c>
      <c r="C154" s="1980" t="s">
        <v>1965</v>
      </c>
      <c r="D154" s="1980" t="s">
        <v>1954</v>
      </c>
      <c r="E154" s="1980" t="s">
        <v>921</v>
      </c>
      <c r="F154" s="1985">
        <v>-15171.78002</v>
      </c>
      <c r="G154" s="1962">
        <v>0</v>
      </c>
      <c r="H154" s="1962">
        <v>-15171.78002</v>
      </c>
      <c r="I154" s="1962">
        <v>0</v>
      </c>
    </row>
    <row r="155" spans="1:9" hidden="1" outlineLevel="2" x14ac:dyDescent="0.2">
      <c r="A155" s="1980" t="s">
        <v>4924</v>
      </c>
      <c r="B155" s="1980" t="s">
        <v>4925</v>
      </c>
      <c r="C155" s="1980" t="s">
        <v>1965</v>
      </c>
      <c r="D155" s="1980" t="s">
        <v>1954</v>
      </c>
      <c r="E155" s="1980" t="s">
        <v>922</v>
      </c>
      <c r="F155" s="1985">
        <v>-27684.6849</v>
      </c>
      <c r="G155" s="1962">
        <v>0</v>
      </c>
      <c r="H155" s="1962">
        <v>0</v>
      </c>
      <c r="I155" s="1962">
        <v>0</v>
      </c>
    </row>
    <row r="156" spans="1:9" hidden="1" outlineLevel="2" x14ac:dyDescent="0.2">
      <c r="A156" s="1980" t="s">
        <v>4924</v>
      </c>
      <c r="B156" s="1980" t="s">
        <v>4925</v>
      </c>
      <c r="C156" s="1980" t="s">
        <v>1965</v>
      </c>
      <c r="D156" s="1980" t="s">
        <v>1954</v>
      </c>
      <c r="E156" s="1980" t="s">
        <v>923</v>
      </c>
      <c r="F156" s="1985">
        <v>-15115.4665</v>
      </c>
      <c r="G156" s="1962">
        <v>0</v>
      </c>
      <c r="H156" s="1962">
        <v>0</v>
      </c>
      <c r="I156" s="1962">
        <v>0</v>
      </c>
    </row>
    <row r="157" spans="1:9" hidden="1" outlineLevel="2" x14ac:dyDescent="0.2">
      <c r="A157" s="1980" t="s">
        <v>4924</v>
      </c>
      <c r="B157" s="1980" t="s">
        <v>4925</v>
      </c>
      <c r="C157" s="1980" t="s">
        <v>1966</v>
      </c>
      <c r="D157" s="1980" t="s">
        <v>1967</v>
      </c>
      <c r="E157" s="1980" t="s">
        <v>918</v>
      </c>
      <c r="F157" s="1985">
        <v>-30770.708159999998</v>
      </c>
      <c r="G157" s="1962">
        <v>0</v>
      </c>
      <c r="H157" s="1962">
        <v>0</v>
      </c>
      <c r="I157" s="1962">
        <v>0</v>
      </c>
    </row>
    <row r="158" spans="1:9" hidden="1" outlineLevel="2" x14ac:dyDescent="0.2">
      <c r="A158" s="1980" t="s">
        <v>4924</v>
      </c>
      <c r="B158" s="1980" t="s">
        <v>4925</v>
      </c>
      <c r="C158" s="1980" t="s">
        <v>1966</v>
      </c>
      <c r="D158" s="1980" t="s">
        <v>1967</v>
      </c>
      <c r="E158" s="1980" t="s">
        <v>919</v>
      </c>
      <c r="F158" s="1985">
        <v>-36360.074520000002</v>
      </c>
      <c r="G158" s="1962">
        <v>0</v>
      </c>
      <c r="H158" s="1962">
        <v>0</v>
      </c>
      <c r="I158" s="1962">
        <v>-36360.074520000002</v>
      </c>
    </row>
    <row r="159" spans="1:9" hidden="1" outlineLevel="2" x14ac:dyDescent="0.2">
      <c r="A159" s="1980" t="s">
        <v>4924</v>
      </c>
      <c r="B159" s="1980" t="s">
        <v>4925</v>
      </c>
      <c r="C159" s="1980" t="s">
        <v>1966</v>
      </c>
      <c r="D159" s="1980" t="s">
        <v>1967</v>
      </c>
      <c r="E159" s="1980" t="s">
        <v>912</v>
      </c>
      <c r="F159" s="1985">
        <v>-266822.90651</v>
      </c>
      <c r="G159" s="1962">
        <v>-266822.90651</v>
      </c>
      <c r="H159" s="1962">
        <v>0</v>
      </c>
      <c r="I159" s="1962">
        <v>0</v>
      </c>
    </row>
    <row r="160" spans="1:9" hidden="1" outlineLevel="2" x14ac:dyDescent="0.2">
      <c r="A160" s="1980" t="s">
        <v>4924</v>
      </c>
      <c r="B160" s="1980" t="s">
        <v>4925</v>
      </c>
      <c r="C160" s="1980" t="s">
        <v>1966</v>
      </c>
      <c r="D160" s="1980" t="s">
        <v>1967</v>
      </c>
      <c r="E160" s="1980" t="s">
        <v>920</v>
      </c>
      <c r="F160" s="1985">
        <v>-182964.00323</v>
      </c>
      <c r="G160" s="1962">
        <v>0</v>
      </c>
      <c r="H160" s="1962">
        <v>0</v>
      </c>
      <c r="I160" s="1962">
        <v>0</v>
      </c>
    </row>
    <row r="161" spans="1:9" hidden="1" outlineLevel="2" x14ac:dyDescent="0.2">
      <c r="A161" s="1980" t="s">
        <v>4924</v>
      </c>
      <c r="B161" s="1980" t="s">
        <v>4925</v>
      </c>
      <c r="C161" s="1980" t="s">
        <v>1966</v>
      </c>
      <c r="D161" s="1980" t="s">
        <v>1967</v>
      </c>
      <c r="E161" s="1980" t="s">
        <v>921</v>
      </c>
      <c r="F161" s="1985">
        <v>-69381.679569999993</v>
      </c>
      <c r="G161" s="1962">
        <v>0</v>
      </c>
      <c r="H161" s="1962">
        <v>-69381.679569999993</v>
      </c>
      <c r="I161" s="1962">
        <v>0</v>
      </c>
    </row>
    <row r="162" spans="1:9" hidden="1" outlineLevel="2" x14ac:dyDescent="0.2">
      <c r="A162" s="1980" t="s">
        <v>4924</v>
      </c>
      <c r="B162" s="1980" t="s">
        <v>4925</v>
      </c>
      <c r="C162" s="1980" t="s">
        <v>1966</v>
      </c>
      <c r="D162" s="1980" t="s">
        <v>1967</v>
      </c>
      <c r="E162" s="1980" t="s">
        <v>922</v>
      </c>
      <c r="F162" s="1985">
        <v>-52631.404869999998</v>
      </c>
      <c r="G162" s="1962">
        <v>0</v>
      </c>
      <c r="H162" s="1962">
        <v>0</v>
      </c>
      <c r="I162" s="1962">
        <v>0</v>
      </c>
    </row>
    <row r="163" spans="1:9" hidden="1" outlineLevel="2" x14ac:dyDescent="0.2">
      <c r="A163" s="1980" t="s">
        <v>4924</v>
      </c>
      <c r="B163" s="1980" t="s">
        <v>4925</v>
      </c>
      <c r="C163" s="1980" t="s">
        <v>1966</v>
      </c>
      <c r="D163" s="1980" t="s">
        <v>1967</v>
      </c>
      <c r="E163" s="1980" t="s">
        <v>923</v>
      </c>
      <c r="F163" s="1985">
        <v>-8298.5754799999995</v>
      </c>
      <c r="G163" s="1962">
        <v>0</v>
      </c>
      <c r="H163" s="1962">
        <v>0</v>
      </c>
      <c r="I163" s="1962">
        <v>0</v>
      </c>
    </row>
    <row r="164" spans="1:9" hidden="1" outlineLevel="2" x14ac:dyDescent="0.2">
      <c r="A164" s="1980" t="s">
        <v>4924</v>
      </c>
      <c r="B164" s="1980" t="s">
        <v>4925</v>
      </c>
      <c r="C164" s="1980" t="s">
        <v>5718</v>
      </c>
      <c r="D164" s="1980" t="s">
        <v>1968</v>
      </c>
      <c r="E164" s="1980" t="s">
        <v>918</v>
      </c>
      <c r="F164" s="1985">
        <v>-5363.7246599999999</v>
      </c>
      <c r="G164" s="1962">
        <v>0</v>
      </c>
      <c r="H164" s="1962">
        <v>0</v>
      </c>
      <c r="I164" s="1962">
        <v>0</v>
      </c>
    </row>
    <row r="165" spans="1:9" hidden="1" outlineLevel="2" x14ac:dyDescent="0.2">
      <c r="A165" s="1980" t="s">
        <v>4924</v>
      </c>
      <c r="B165" s="1980" t="s">
        <v>4925</v>
      </c>
      <c r="C165" s="1980" t="s">
        <v>5718</v>
      </c>
      <c r="D165" s="1980" t="s">
        <v>1968</v>
      </c>
      <c r="E165" s="1980" t="s">
        <v>919</v>
      </c>
      <c r="F165" s="1985">
        <v>-5227.73002</v>
      </c>
      <c r="G165" s="1962">
        <v>0</v>
      </c>
      <c r="H165" s="1962">
        <v>0</v>
      </c>
      <c r="I165" s="1962">
        <v>-5227.73002</v>
      </c>
    </row>
    <row r="166" spans="1:9" hidden="1" outlineLevel="2" x14ac:dyDescent="0.2">
      <c r="A166" s="1980" t="s">
        <v>4924</v>
      </c>
      <c r="B166" s="1980" t="s">
        <v>4925</v>
      </c>
      <c r="C166" s="1980" t="s">
        <v>5718</v>
      </c>
      <c r="D166" s="1980" t="s">
        <v>1968</v>
      </c>
      <c r="E166" s="1980" t="s">
        <v>912</v>
      </c>
      <c r="F166" s="1985">
        <v>-50050.974990000002</v>
      </c>
      <c r="G166" s="1962">
        <v>-50050.974990000002</v>
      </c>
      <c r="H166" s="1962">
        <v>0</v>
      </c>
      <c r="I166" s="1962">
        <v>0</v>
      </c>
    </row>
    <row r="167" spans="1:9" hidden="1" outlineLevel="2" x14ac:dyDescent="0.2">
      <c r="A167" s="1980" t="s">
        <v>4924</v>
      </c>
      <c r="B167" s="1980" t="s">
        <v>4925</v>
      </c>
      <c r="C167" s="1980" t="s">
        <v>5718</v>
      </c>
      <c r="D167" s="1980" t="s">
        <v>1968</v>
      </c>
      <c r="E167" s="1980" t="s">
        <v>920</v>
      </c>
      <c r="F167" s="1985">
        <v>-44288.322749999999</v>
      </c>
      <c r="G167" s="1962">
        <v>0</v>
      </c>
      <c r="H167" s="1962">
        <v>0</v>
      </c>
      <c r="I167" s="1962">
        <v>0</v>
      </c>
    </row>
    <row r="168" spans="1:9" hidden="1" outlineLevel="2" x14ac:dyDescent="0.2">
      <c r="A168" s="1980" t="s">
        <v>4924</v>
      </c>
      <c r="B168" s="1980" t="s">
        <v>4925</v>
      </c>
      <c r="C168" s="1980" t="s">
        <v>5718</v>
      </c>
      <c r="D168" s="1980" t="s">
        <v>1968</v>
      </c>
      <c r="E168" s="1980" t="s">
        <v>921</v>
      </c>
      <c r="F168" s="1985">
        <v>-10577.383110000001</v>
      </c>
      <c r="G168" s="1962">
        <v>0</v>
      </c>
      <c r="H168" s="1962">
        <v>-10577.383110000001</v>
      </c>
      <c r="I168" s="1962">
        <v>0</v>
      </c>
    </row>
    <row r="169" spans="1:9" hidden="1" outlineLevel="2" x14ac:dyDescent="0.2">
      <c r="A169" s="1980" t="s">
        <v>4924</v>
      </c>
      <c r="B169" s="1980" t="s">
        <v>4925</v>
      </c>
      <c r="C169" s="1980" t="s">
        <v>5718</v>
      </c>
      <c r="D169" s="1980" t="s">
        <v>1968</v>
      </c>
      <c r="E169" s="1980" t="s">
        <v>922</v>
      </c>
      <c r="F169" s="1985">
        <v>-8160.0869499999999</v>
      </c>
      <c r="G169" s="1962">
        <v>0</v>
      </c>
      <c r="H169" s="1962">
        <v>0</v>
      </c>
      <c r="I169" s="1962">
        <v>0</v>
      </c>
    </row>
    <row r="170" spans="1:9" hidden="1" outlineLevel="2" x14ac:dyDescent="0.2">
      <c r="A170" s="1980" t="s">
        <v>4924</v>
      </c>
      <c r="B170" s="1980" t="s">
        <v>4925</v>
      </c>
      <c r="C170" s="1980" t="s">
        <v>5718</v>
      </c>
      <c r="D170" s="1980" t="s">
        <v>1968</v>
      </c>
      <c r="E170" s="1980" t="s">
        <v>923</v>
      </c>
      <c r="F170" s="1985">
        <v>-1369.02989</v>
      </c>
      <c r="G170" s="1962">
        <v>0</v>
      </c>
      <c r="H170" s="1962">
        <v>0</v>
      </c>
      <c r="I170" s="1962">
        <v>0</v>
      </c>
    </row>
    <row r="171" spans="1:9" hidden="1" outlineLevel="2" x14ac:dyDescent="0.2">
      <c r="A171" s="1980" t="s">
        <v>4924</v>
      </c>
      <c r="B171" s="1980" t="s">
        <v>4925</v>
      </c>
      <c r="C171" s="1980" t="s">
        <v>1969</v>
      </c>
      <c r="D171" s="1980" t="s">
        <v>1970</v>
      </c>
      <c r="E171" s="1980" t="s">
        <v>918</v>
      </c>
      <c r="F171" s="1985">
        <v>-9771.6168099999995</v>
      </c>
      <c r="G171" s="1962">
        <v>0</v>
      </c>
      <c r="H171" s="1962">
        <v>0</v>
      </c>
      <c r="I171" s="1962">
        <v>0</v>
      </c>
    </row>
    <row r="172" spans="1:9" hidden="1" outlineLevel="2" x14ac:dyDescent="0.2">
      <c r="A172" s="1980" t="s">
        <v>4924</v>
      </c>
      <c r="B172" s="1980" t="s">
        <v>4925</v>
      </c>
      <c r="C172" s="1980" t="s">
        <v>1969</v>
      </c>
      <c r="D172" s="1980" t="s">
        <v>1970</v>
      </c>
      <c r="E172" s="1980" t="s">
        <v>919</v>
      </c>
      <c r="F172" s="1985">
        <v>-15766.956270000001</v>
      </c>
      <c r="G172" s="1962">
        <v>0</v>
      </c>
      <c r="H172" s="1962">
        <v>0</v>
      </c>
      <c r="I172" s="1962">
        <v>-15766.956270000001</v>
      </c>
    </row>
    <row r="173" spans="1:9" hidden="1" outlineLevel="2" x14ac:dyDescent="0.2">
      <c r="A173" s="1980" t="s">
        <v>4924</v>
      </c>
      <c r="B173" s="1980" t="s">
        <v>4925</v>
      </c>
      <c r="C173" s="1980" t="s">
        <v>1969</v>
      </c>
      <c r="D173" s="1980" t="s">
        <v>1970</v>
      </c>
      <c r="E173" s="1980" t="s">
        <v>912</v>
      </c>
      <c r="F173" s="1985">
        <v>-109536.91213</v>
      </c>
      <c r="G173" s="1962">
        <v>-109536.91213</v>
      </c>
      <c r="H173" s="1962">
        <v>0</v>
      </c>
      <c r="I173" s="1962">
        <v>0</v>
      </c>
    </row>
    <row r="174" spans="1:9" hidden="1" outlineLevel="2" x14ac:dyDescent="0.2">
      <c r="A174" s="1980" t="s">
        <v>4924</v>
      </c>
      <c r="B174" s="1980" t="s">
        <v>4925</v>
      </c>
      <c r="C174" s="1980" t="s">
        <v>1969</v>
      </c>
      <c r="D174" s="1980" t="s">
        <v>1970</v>
      </c>
      <c r="E174" s="1980" t="s">
        <v>920</v>
      </c>
      <c r="F174" s="1985">
        <v>-89234.003750000003</v>
      </c>
      <c r="G174" s="1962">
        <v>0</v>
      </c>
      <c r="H174" s="1962">
        <v>0</v>
      </c>
      <c r="I174" s="1962">
        <v>0</v>
      </c>
    </row>
    <row r="175" spans="1:9" hidden="1" outlineLevel="2" x14ac:dyDescent="0.2">
      <c r="A175" s="1980" t="s">
        <v>4924</v>
      </c>
      <c r="B175" s="1980" t="s">
        <v>4925</v>
      </c>
      <c r="C175" s="1980" t="s">
        <v>1969</v>
      </c>
      <c r="D175" s="1980" t="s">
        <v>1970</v>
      </c>
      <c r="E175" s="1980" t="s">
        <v>921</v>
      </c>
      <c r="F175" s="1985">
        <v>-26003.873820000001</v>
      </c>
      <c r="G175" s="1962">
        <v>0</v>
      </c>
      <c r="H175" s="1962">
        <v>-26003.873820000001</v>
      </c>
      <c r="I175" s="1962">
        <v>0</v>
      </c>
    </row>
    <row r="176" spans="1:9" hidden="1" outlineLevel="2" x14ac:dyDescent="0.2">
      <c r="A176" s="1980" t="s">
        <v>4924</v>
      </c>
      <c r="B176" s="1980" t="s">
        <v>4925</v>
      </c>
      <c r="C176" s="1980" t="s">
        <v>1969</v>
      </c>
      <c r="D176" s="1980" t="s">
        <v>1970</v>
      </c>
      <c r="E176" s="1980" t="s">
        <v>922</v>
      </c>
      <c r="F176" s="1985">
        <v>-23016.66171</v>
      </c>
      <c r="G176" s="1962">
        <v>0</v>
      </c>
      <c r="H176" s="1962">
        <v>0</v>
      </c>
      <c r="I176" s="1962">
        <v>0</v>
      </c>
    </row>
    <row r="177" spans="1:9" hidden="1" outlineLevel="2" x14ac:dyDescent="0.2">
      <c r="A177" s="1980" t="s">
        <v>4924</v>
      </c>
      <c r="B177" s="1980" t="s">
        <v>4925</v>
      </c>
      <c r="C177" s="1980" t="s">
        <v>1969</v>
      </c>
      <c r="D177" s="1980" t="s">
        <v>1970</v>
      </c>
      <c r="E177" s="1980" t="s">
        <v>923</v>
      </c>
      <c r="F177" s="1985">
        <v>-6737.0365400000001</v>
      </c>
      <c r="G177" s="1962">
        <v>0</v>
      </c>
      <c r="H177" s="1962">
        <v>0</v>
      </c>
      <c r="I177" s="1962">
        <v>0</v>
      </c>
    </row>
    <row r="178" spans="1:9" hidden="1" outlineLevel="2" x14ac:dyDescent="0.2">
      <c r="A178" s="1980" t="s">
        <v>4924</v>
      </c>
      <c r="B178" s="1980" t="s">
        <v>4925</v>
      </c>
      <c r="C178" s="1980" t="s">
        <v>1971</v>
      </c>
      <c r="D178" s="1980" t="s">
        <v>1972</v>
      </c>
      <c r="E178" s="1980" t="s">
        <v>918</v>
      </c>
      <c r="F178" s="1985">
        <v>-2404.7384999999999</v>
      </c>
      <c r="G178" s="1962">
        <v>0</v>
      </c>
      <c r="H178" s="1962">
        <v>0</v>
      </c>
      <c r="I178" s="1962">
        <v>0</v>
      </c>
    </row>
    <row r="179" spans="1:9" hidden="1" outlineLevel="2" x14ac:dyDescent="0.2">
      <c r="A179" s="1980" t="s">
        <v>4924</v>
      </c>
      <c r="B179" s="1980" t="s">
        <v>4925</v>
      </c>
      <c r="C179" s="1980" t="s">
        <v>1971</v>
      </c>
      <c r="D179" s="1980" t="s">
        <v>1972</v>
      </c>
      <c r="E179" s="1980" t="s">
        <v>919</v>
      </c>
      <c r="F179" s="1985">
        <v>-2545.4713000000002</v>
      </c>
      <c r="G179" s="1962">
        <v>0</v>
      </c>
      <c r="H179" s="1962">
        <v>0</v>
      </c>
      <c r="I179" s="1962">
        <v>-2545.4713000000002</v>
      </c>
    </row>
    <row r="180" spans="1:9" hidden="1" outlineLevel="2" x14ac:dyDescent="0.2">
      <c r="A180" s="1980" t="s">
        <v>4924</v>
      </c>
      <c r="B180" s="1980" t="s">
        <v>4925</v>
      </c>
      <c r="C180" s="1980" t="s">
        <v>1971</v>
      </c>
      <c r="D180" s="1980" t="s">
        <v>1972</v>
      </c>
      <c r="E180" s="1980" t="s">
        <v>912</v>
      </c>
      <c r="F180" s="1985">
        <v>-33237.548199999997</v>
      </c>
      <c r="G180" s="1962">
        <v>-33237.548199999997</v>
      </c>
      <c r="H180" s="1962">
        <v>0</v>
      </c>
      <c r="I180" s="1962">
        <v>0</v>
      </c>
    </row>
    <row r="181" spans="1:9" hidden="1" outlineLevel="2" x14ac:dyDescent="0.2">
      <c r="A181" s="1980" t="s">
        <v>4924</v>
      </c>
      <c r="B181" s="1980" t="s">
        <v>4925</v>
      </c>
      <c r="C181" s="1980" t="s">
        <v>1971</v>
      </c>
      <c r="D181" s="1980" t="s">
        <v>1972</v>
      </c>
      <c r="E181" s="1980" t="s">
        <v>920</v>
      </c>
      <c r="F181" s="1985">
        <v>-52808.408940000001</v>
      </c>
      <c r="G181" s="1962">
        <v>0</v>
      </c>
      <c r="H181" s="1962">
        <v>0</v>
      </c>
      <c r="I181" s="1962">
        <v>0</v>
      </c>
    </row>
    <row r="182" spans="1:9" hidden="1" outlineLevel="2" x14ac:dyDescent="0.2">
      <c r="A182" s="1980" t="s">
        <v>4924</v>
      </c>
      <c r="B182" s="1980" t="s">
        <v>4925</v>
      </c>
      <c r="C182" s="1980" t="s">
        <v>1971</v>
      </c>
      <c r="D182" s="1980" t="s">
        <v>1972</v>
      </c>
      <c r="E182" s="1980" t="s">
        <v>921</v>
      </c>
      <c r="F182" s="1985">
        <v>-9383.0703599999997</v>
      </c>
      <c r="G182" s="1962">
        <v>0</v>
      </c>
      <c r="H182" s="1962">
        <v>-9383.0703599999997</v>
      </c>
      <c r="I182" s="1962">
        <v>0</v>
      </c>
    </row>
    <row r="183" spans="1:9" hidden="1" outlineLevel="2" x14ac:dyDescent="0.2">
      <c r="A183" s="1980" t="s">
        <v>4924</v>
      </c>
      <c r="B183" s="1980" t="s">
        <v>4925</v>
      </c>
      <c r="C183" s="1980" t="s">
        <v>1971</v>
      </c>
      <c r="D183" s="1980" t="s">
        <v>1972</v>
      </c>
      <c r="E183" s="1980" t="s">
        <v>922</v>
      </c>
      <c r="F183" s="1985">
        <v>-9218.1806400000005</v>
      </c>
      <c r="G183" s="1962">
        <v>0</v>
      </c>
      <c r="H183" s="1962">
        <v>0</v>
      </c>
      <c r="I183" s="1962">
        <v>0</v>
      </c>
    </row>
    <row r="184" spans="1:9" hidden="1" outlineLevel="2" x14ac:dyDescent="0.2">
      <c r="A184" s="1980" t="s">
        <v>4924</v>
      </c>
      <c r="B184" s="1980" t="s">
        <v>4925</v>
      </c>
      <c r="C184" s="1980" t="s">
        <v>1971</v>
      </c>
      <c r="D184" s="1980" t="s">
        <v>1972</v>
      </c>
      <c r="E184" s="1980" t="s">
        <v>923</v>
      </c>
      <c r="F184" s="1985">
        <v>-1855.2171499999999</v>
      </c>
      <c r="G184" s="1962">
        <v>0</v>
      </c>
      <c r="H184" s="1962">
        <v>0</v>
      </c>
      <c r="I184" s="1962">
        <v>0</v>
      </c>
    </row>
    <row r="185" spans="1:9" hidden="1" outlineLevel="2" x14ac:dyDescent="0.2">
      <c r="A185" s="1980" t="s">
        <v>4924</v>
      </c>
      <c r="B185" s="1980" t="s">
        <v>4925</v>
      </c>
      <c r="C185" s="1980" t="s">
        <v>1973</v>
      </c>
      <c r="D185" s="1980" t="s">
        <v>1974</v>
      </c>
      <c r="E185" s="1980" t="s">
        <v>918</v>
      </c>
      <c r="F185" s="1985">
        <v>-236.85422</v>
      </c>
      <c r="G185" s="1962">
        <v>0</v>
      </c>
      <c r="H185" s="1962">
        <v>0</v>
      </c>
      <c r="I185" s="1962">
        <v>0</v>
      </c>
    </row>
    <row r="186" spans="1:9" hidden="1" outlineLevel="2" x14ac:dyDescent="0.2">
      <c r="A186" s="1980" t="s">
        <v>4924</v>
      </c>
      <c r="B186" s="1980" t="s">
        <v>4925</v>
      </c>
      <c r="C186" s="1980" t="s">
        <v>1973</v>
      </c>
      <c r="D186" s="1980" t="s">
        <v>1974</v>
      </c>
      <c r="E186" s="1980" t="s">
        <v>919</v>
      </c>
      <c r="F186" s="1985">
        <v>-129.71218999999999</v>
      </c>
      <c r="G186" s="1962">
        <v>0</v>
      </c>
      <c r="H186" s="1962">
        <v>0</v>
      </c>
      <c r="I186" s="1962">
        <v>-129.71218999999999</v>
      </c>
    </row>
    <row r="187" spans="1:9" hidden="1" outlineLevel="2" x14ac:dyDescent="0.2">
      <c r="A187" s="1980" t="s">
        <v>4924</v>
      </c>
      <c r="B187" s="1980" t="s">
        <v>4925</v>
      </c>
      <c r="C187" s="1980" t="s">
        <v>1973</v>
      </c>
      <c r="D187" s="1980" t="s">
        <v>1974</v>
      </c>
      <c r="E187" s="1980" t="s">
        <v>912</v>
      </c>
      <c r="F187" s="1985">
        <v>-2158.9316199999998</v>
      </c>
      <c r="G187" s="1962">
        <v>-2158.9316199999998</v>
      </c>
      <c r="H187" s="1962">
        <v>0</v>
      </c>
      <c r="I187" s="1962">
        <v>0</v>
      </c>
    </row>
    <row r="188" spans="1:9" hidden="1" outlineLevel="2" x14ac:dyDescent="0.2">
      <c r="A188" s="1980" t="s">
        <v>4924</v>
      </c>
      <c r="B188" s="1980" t="s">
        <v>4925</v>
      </c>
      <c r="C188" s="1980" t="s">
        <v>1973</v>
      </c>
      <c r="D188" s="1980" t="s">
        <v>1974</v>
      </c>
      <c r="E188" s="1980" t="s">
        <v>920</v>
      </c>
      <c r="F188" s="1985">
        <v>-3420.48065</v>
      </c>
      <c r="G188" s="1962">
        <v>0</v>
      </c>
      <c r="H188" s="1962">
        <v>0</v>
      </c>
      <c r="I188" s="1962">
        <v>0</v>
      </c>
    </row>
    <row r="189" spans="1:9" hidden="1" outlineLevel="2" x14ac:dyDescent="0.2">
      <c r="A189" s="1980" t="s">
        <v>4924</v>
      </c>
      <c r="B189" s="1980" t="s">
        <v>4925</v>
      </c>
      <c r="C189" s="1980" t="s">
        <v>1973</v>
      </c>
      <c r="D189" s="1980" t="s">
        <v>1974</v>
      </c>
      <c r="E189" s="1980" t="s">
        <v>921</v>
      </c>
      <c r="F189" s="1985">
        <v>-431.81677000000002</v>
      </c>
      <c r="G189" s="1962">
        <v>0</v>
      </c>
      <c r="H189" s="1962">
        <v>-431.81677000000002</v>
      </c>
      <c r="I189" s="1962">
        <v>0</v>
      </c>
    </row>
    <row r="190" spans="1:9" hidden="1" outlineLevel="2" x14ac:dyDescent="0.2">
      <c r="A190" s="1980" t="s">
        <v>4924</v>
      </c>
      <c r="B190" s="1980" t="s">
        <v>4925</v>
      </c>
      <c r="C190" s="1980" t="s">
        <v>1973</v>
      </c>
      <c r="D190" s="1980" t="s">
        <v>1974</v>
      </c>
      <c r="E190" s="1980" t="s">
        <v>922</v>
      </c>
      <c r="F190" s="1985">
        <v>-853.20690000000002</v>
      </c>
      <c r="G190" s="1962">
        <v>0</v>
      </c>
      <c r="H190" s="1962">
        <v>0</v>
      </c>
      <c r="I190" s="1962">
        <v>0</v>
      </c>
    </row>
    <row r="191" spans="1:9" hidden="1" outlineLevel="2" x14ac:dyDescent="0.2">
      <c r="A191" s="1980" t="s">
        <v>4924</v>
      </c>
      <c r="B191" s="1980" t="s">
        <v>4925</v>
      </c>
      <c r="C191" s="1980" t="s">
        <v>1973</v>
      </c>
      <c r="D191" s="1980" t="s">
        <v>1974</v>
      </c>
      <c r="E191" s="1980" t="s">
        <v>923</v>
      </c>
      <c r="F191" s="1985">
        <v>-145.24172999999999</v>
      </c>
      <c r="G191" s="1962">
        <v>0</v>
      </c>
      <c r="H191" s="1962">
        <v>0</v>
      </c>
      <c r="I191" s="1962">
        <v>0</v>
      </c>
    </row>
    <row r="192" spans="1:9" hidden="1" outlineLevel="2" x14ac:dyDescent="0.2">
      <c r="A192" s="1980" t="s">
        <v>4924</v>
      </c>
      <c r="B192" s="1980" t="s">
        <v>4925</v>
      </c>
      <c r="C192" s="1980" t="s">
        <v>1975</v>
      </c>
      <c r="D192" s="1980" t="s">
        <v>1976</v>
      </c>
      <c r="E192" s="1980" t="s">
        <v>918</v>
      </c>
      <c r="F192" s="1985">
        <v>-509.12454000000002</v>
      </c>
      <c r="G192" s="1962">
        <v>0</v>
      </c>
      <c r="H192" s="1962">
        <v>0</v>
      </c>
      <c r="I192" s="1962">
        <v>0</v>
      </c>
    </row>
    <row r="193" spans="1:9" hidden="1" outlineLevel="2" x14ac:dyDescent="0.2">
      <c r="A193" s="1980" t="s">
        <v>4924</v>
      </c>
      <c r="B193" s="1980" t="s">
        <v>4925</v>
      </c>
      <c r="C193" s="1980" t="s">
        <v>1975</v>
      </c>
      <c r="D193" s="1980" t="s">
        <v>1976</v>
      </c>
      <c r="E193" s="1980" t="s">
        <v>919</v>
      </c>
      <c r="F193" s="1985">
        <v>-456.66894000000002</v>
      </c>
      <c r="G193" s="1962">
        <v>0</v>
      </c>
      <c r="H193" s="1962">
        <v>0</v>
      </c>
      <c r="I193" s="1962">
        <v>-456.66894000000002</v>
      </c>
    </row>
    <row r="194" spans="1:9" hidden="1" outlineLevel="2" x14ac:dyDescent="0.2">
      <c r="A194" s="1980" t="s">
        <v>4924</v>
      </c>
      <c r="B194" s="1980" t="s">
        <v>4925</v>
      </c>
      <c r="C194" s="1980" t="s">
        <v>1975</v>
      </c>
      <c r="D194" s="1980" t="s">
        <v>1976</v>
      </c>
      <c r="E194" s="1980" t="s">
        <v>912</v>
      </c>
      <c r="F194" s="1985">
        <v>-12478.21962</v>
      </c>
      <c r="G194" s="1962">
        <v>-12478.21962</v>
      </c>
      <c r="H194" s="1962">
        <v>0</v>
      </c>
      <c r="I194" s="1962">
        <v>0</v>
      </c>
    </row>
    <row r="195" spans="1:9" hidden="1" outlineLevel="2" x14ac:dyDescent="0.2">
      <c r="A195" s="1980" t="s">
        <v>4924</v>
      </c>
      <c r="B195" s="1980" t="s">
        <v>4925</v>
      </c>
      <c r="C195" s="1980" t="s">
        <v>1975</v>
      </c>
      <c r="D195" s="1980" t="s">
        <v>1976</v>
      </c>
      <c r="E195" s="1980" t="s">
        <v>920</v>
      </c>
      <c r="F195" s="1985">
        <v>-13528.31647</v>
      </c>
      <c r="G195" s="1962">
        <v>0</v>
      </c>
      <c r="H195" s="1962">
        <v>0</v>
      </c>
      <c r="I195" s="1962">
        <v>0</v>
      </c>
    </row>
    <row r="196" spans="1:9" hidden="1" outlineLevel="2" x14ac:dyDescent="0.2">
      <c r="A196" s="1980" t="s">
        <v>4924</v>
      </c>
      <c r="B196" s="1980" t="s">
        <v>4925</v>
      </c>
      <c r="C196" s="1980" t="s">
        <v>1975</v>
      </c>
      <c r="D196" s="1980" t="s">
        <v>1976</v>
      </c>
      <c r="E196" s="1980" t="s">
        <v>921</v>
      </c>
      <c r="F196" s="1985">
        <v>-1657.6565599999999</v>
      </c>
      <c r="G196" s="1962">
        <v>0</v>
      </c>
      <c r="H196" s="1962">
        <v>-1657.6565599999999</v>
      </c>
      <c r="I196" s="1962">
        <v>0</v>
      </c>
    </row>
    <row r="197" spans="1:9" hidden="1" outlineLevel="2" x14ac:dyDescent="0.2">
      <c r="A197" s="1980" t="s">
        <v>4924</v>
      </c>
      <c r="B197" s="1980" t="s">
        <v>4925</v>
      </c>
      <c r="C197" s="1980" t="s">
        <v>1975</v>
      </c>
      <c r="D197" s="1980" t="s">
        <v>1976</v>
      </c>
      <c r="E197" s="1980" t="s">
        <v>922</v>
      </c>
      <c r="F197" s="1985">
        <v>-4232.9250400000001</v>
      </c>
      <c r="G197" s="1962">
        <v>0</v>
      </c>
      <c r="H197" s="1962">
        <v>0</v>
      </c>
      <c r="I197" s="1962">
        <v>0</v>
      </c>
    </row>
    <row r="198" spans="1:9" hidden="1" outlineLevel="2" x14ac:dyDescent="0.2">
      <c r="A198" s="1980" t="s">
        <v>4924</v>
      </c>
      <c r="B198" s="1980" t="s">
        <v>4925</v>
      </c>
      <c r="C198" s="1980" t="s">
        <v>1975</v>
      </c>
      <c r="D198" s="1980" t="s">
        <v>1976</v>
      </c>
      <c r="E198" s="1980" t="s">
        <v>923</v>
      </c>
      <c r="F198" s="1985">
        <v>-1293.3352500000001</v>
      </c>
      <c r="G198" s="1962">
        <v>0</v>
      </c>
      <c r="H198" s="1962">
        <v>0</v>
      </c>
      <c r="I198" s="1962">
        <v>0</v>
      </c>
    </row>
    <row r="199" spans="1:9" hidden="1" outlineLevel="2" x14ac:dyDescent="0.2">
      <c r="A199" s="1980" t="s">
        <v>4924</v>
      </c>
      <c r="B199" s="1980" t="s">
        <v>4925</v>
      </c>
      <c r="C199" s="1980" t="s">
        <v>1977</v>
      </c>
      <c r="D199" s="1980" t="s">
        <v>1878</v>
      </c>
      <c r="E199" s="1980" t="s">
        <v>919</v>
      </c>
      <c r="F199" s="1985">
        <v>-3.3892099999999998</v>
      </c>
      <c r="G199" s="1962">
        <v>0</v>
      </c>
      <c r="H199" s="1962">
        <v>0</v>
      </c>
      <c r="I199" s="1962">
        <v>-3.3892099999999998</v>
      </c>
    </row>
    <row r="200" spans="1:9" hidden="1" outlineLevel="2" x14ac:dyDescent="0.2">
      <c r="A200" s="1980" t="s">
        <v>4924</v>
      </c>
      <c r="B200" s="1980" t="s">
        <v>4925</v>
      </c>
      <c r="C200" s="1980" t="s">
        <v>1977</v>
      </c>
      <c r="D200" s="1980" t="s">
        <v>1878</v>
      </c>
      <c r="E200" s="1980" t="s">
        <v>912</v>
      </c>
      <c r="F200" s="1985">
        <v>-5.373E-2</v>
      </c>
      <c r="G200" s="1962">
        <v>-5.373E-2</v>
      </c>
      <c r="H200" s="1962">
        <v>0</v>
      </c>
      <c r="I200" s="1962">
        <v>0</v>
      </c>
    </row>
    <row r="201" spans="1:9" hidden="1" outlineLevel="2" x14ac:dyDescent="0.2">
      <c r="A201" s="1980" t="s">
        <v>4924</v>
      </c>
      <c r="B201" s="1980" t="s">
        <v>4925</v>
      </c>
      <c r="C201" s="1980" t="s">
        <v>1977</v>
      </c>
      <c r="D201" s="1980" t="s">
        <v>1878</v>
      </c>
      <c r="E201" s="1980" t="s">
        <v>1083</v>
      </c>
      <c r="F201" s="1985">
        <v>-0.48659999999999998</v>
      </c>
      <c r="G201" s="1962">
        <v>-0.13183888029909255</v>
      </c>
      <c r="H201" s="1962">
        <v>-3.7068744689872292E-2</v>
      </c>
      <c r="I201" s="1962">
        <v>-2.6342753436327675E-2</v>
      </c>
    </row>
    <row r="202" spans="1:9" hidden="1" outlineLevel="2" x14ac:dyDescent="0.2">
      <c r="A202" s="1980" t="s">
        <v>4924</v>
      </c>
      <c r="B202" s="1980" t="s">
        <v>4925</v>
      </c>
      <c r="C202" s="1980" t="s">
        <v>1977</v>
      </c>
      <c r="D202" s="1980" t="s">
        <v>1878</v>
      </c>
      <c r="E202" s="1980" t="s">
        <v>913</v>
      </c>
      <c r="F202" s="1985">
        <v>-9.44937</v>
      </c>
      <c r="G202" s="1962">
        <v>-2.6433468244611569</v>
      </c>
      <c r="H202" s="1962">
        <v>-0.70538867300604702</v>
      </c>
      <c r="I202" s="1962">
        <v>-0.50395839715017243</v>
      </c>
    </row>
    <row r="203" spans="1:9" hidden="1" outlineLevel="2" x14ac:dyDescent="0.2">
      <c r="A203" s="1980" t="s">
        <v>4924</v>
      </c>
      <c r="B203" s="1980" t="s">
        <v>4925</v>
      </c>
      <c r="C203" s="1980" t="s">
        <v>1977</v>
      </c>
      <c r="D203" s="1980" t="s">
        <v>1878</v>
      </c>
      <c r="E203" s="1980" t="s">
        <v>920</v>
      </c>
      <c r="F203" s="1985">
        <v>-25.560220000000001</v>
      </c>
      <c r="G203" s="1962">
        <v>0</v>
      </c>
      <c r="H203" s="1962">
        <v>0</v>
      </c>
      <c r="I203" s="1962">
        <v>0</v>
      </c>
    </row>
    <row r="204" spans="1:9" hidden="1" outlineLevel="2" x14ac:dyDescent="0.2">
      <c r="A204" s="1980" t="s">
        <v>4924</v>
      </c>
      <c r="B204" s="1980" t="s">
        <v>4925</v>
      </c>
      <c r="C204" s="1980" t="s">
        <v>1977</v>
      </c>
      <c r="D204" s="1980" t="s">
        <v>1878</v>
      </c>
      <c r="E204" s="1980" t="s">
        <v>922</v>
      </c>
      <c r="F204" s="1985">
        <v>-12.44774</v>
      </c>
      <c r="G204" s="1962">
        <v>0</v>
      </c>
      <c r="H204" s="1962">
        <v>0</v>
      </c>
      <c r="I204" s="1962">
        <v>0</v>
      </c>
    </row>
    <row r="205" spans="1:9" hidden="1" outlineLevel="2" x14ac:dyDescent="0.2">
      <c r="A205" s="1980" t="s">
        <v>4924</v>
      </c>
      <c r="B205" s="1980" t="s">
        <v>4925</v>
      </c>
      <c r="C205" s="1980" t="s">
        <v>1977</v>
      </c>
      <c r="D205" s="1980" t="s">
        <v>1878</v>
      </c>
      <c r="E205" s="1980" t="s">
        <v>923</v>
      </c>
      <c r="F205" s="1985">
        <v>-5.3858100000000002</v>
      </c>
      <c r="G205" s="1962">
        <v>0</v>
      </c>
      <c r="H205" s="1962">
        <v>0</v>
      </c>
      <c r="I205" s="1962">
        <v>0</v>
      </c>
    </row>
    <row r="206" spans="1:9" hidden="1" outlineLevel="2" x14ac:dyDescent="0.2">
      <c r="A206" s="1980" t="s">
        <v>4924</v>
      </c>
      <c r="B206" s="1980" t="s">
        <v>4925</v>
      </c>
      <c r="C206" s="1980" t="s">
        <v>1978</v>
      </c>
      <c r="D206" s="1980" t="s">
        <v>1880</v>
      </c>
      <c r="E206" s="1980" t="s">
        <v>918</v>
      </c>
      <c r="F206" s="1985">
        <v>-1021.13249</v>
      </c>
      <c r="G206" s="1962">
        <v>0</v>
      </c>
      <c r="H206" s="1962">
        <v>0</v>
      </c>
      <c r="I206" s="1962">
        <v>0</v>
      </c>
    </row>
    <row r="207" spans="1:9" hidden="1" outlineLevel="2" x14ac:dyDescent="0.2">
      <c r="A207" s="1980" t="s">
        <v>4924</v>
      </c>
      <c r="B207" s="1980" t="s">
        <v>4925</v>
      </c>
      <c r="C207" s="1980" t="s">
        <v>1978</v>
      </c>
      <c r="D207" s="1980" t="s">
        <v>1880</v>
      </c>
      <c r="E207" s="1980" t="s">
        <v>1754</v>
      </c>
      <c r="F207" s="1985">
        <v>-2944.65418</v>
      </c>
      <c r="G207" s="1962">
        <v>-897.60808576924296</v>
      </c>
      <c r="H207" s="1962">
        <v>-196.43751833576047</v>
      </c>
      <c r="I207" s="1962">
        <v>-125.74164797817994</v>
      </c>
    </row>
    <row r="208" spans="1:9" hidden="1" outlineLevel="2" x14ac:dyDescent="0.2">
      <c r="A208" s="1980" t="s">
        <v>4924</v>
      </c>
      <c r="B208" s="1980" t="s">
        <v>4925</v>
      </c>
      <c r="C208" s="1980" t="s">
        <v>1978</v>
      </c>
      <c r="D208" s="1980" t="s">
        <v>1880</v>
      </c>
      <c r="E208" s="1980" t="s">
        <v>919</v>
      </c>
      <c r="F208" s="1985">
        <v>-5672.1718099999998</v>
      </c>
      <c r="G208" s="1962">
        <v>0</v>
      </c>
      <c r="H208" s="1962">
        <v>0</v>
      </c>
      <c r="I208" s="1962">
        <v>-5672.1718099999998</v>
      </c>
    </row>
    <row r="209" spans="1:9" hidden="1" outlineLevel="2" x14ac:dyDescent="0.2">
      <c r="A209" s="1980" t="s">
        <v>4924</v>
      </c>
      <c r="B209" s="1980" t="s">
        <v>4925</v>
      </c>
      <c r="C209" s="1980" t="s">
        <v>1978</v>
      </c>
      <c r="D209" s="1980" t="s">
        <v>1880</v>
      </c>
      <c r="E209" s="1980" t="s">
        <v>912</v>
      </c>
      <c r="F209" s="1985">
        <v>-11931.69087</v>
      </c>
      <c r="G209" s="1962">
        <v>-11931.69087</v>
      </c>
      <c r="H209" s="1962">
        <v>0</v>
      </c>
      <c r="I209" s="1962">
        <v>0</v>
      </c>
    </row>
    <row r="210" spans="1:9" hidden="1" outlineLevel="2" x14ac:dyDescent="0.2">
      <c r="A210" s="1980" t="s">
        <v>4924</v>
      </c>
      <c r="B210" s="1980" t="s">
        <v>4925</v>
      </c>
      <c r="C210" s="1980" t="s">
        <v>1978</v>
      </c>
      <c r="D210" s="1980" t="s">
        <v>1880</v>
      </c>
      <c r="E210" s="1980" t="s">
        <v>906</v>
      </c>
      <c r="F210" s="1985">
        <v>-287.40665999999999</v>
      </c>
      <c r="G210" s="1962">
        <v>-74.257841385645008</v>
      </c>
      <c r="H210" s="1962">
        <v>-20.524026328832498</v>
      </c>
      <c r="I210" s="1962">
        <v>-16.960539654327306</v>
      </c>
    </row>
    <row r="211" spans="1:9" hidden="1" outlineLevel="2" x14ac:dyDescent="0.2">
      <c r="A211" s="1980" t="s">
        <v>4924</v>
      </c>
      <c r="B211" s="1980" t="s">
        <v>4925</v>
      </c>
      <c r="C211" s="1980" t="s">
        <v>1978</v>
      </c>
      <c r="D211" s="1980" t="s">
        <v>1880</v>
      </c>
      <c r="E211" s="1980" t="s">
        <v>1083</v>
      </c>
      <c r="F211" s="1985">
        <v>-3301.6569100000002</v>
      </c>
      <c r="G211" s="1962">
        <v>-894.54736980304529</v>
      </c>
      <c r="H211" s="1962">
        <v>-251.51721547542681</v>
      </c>
      <c r="I211" s="1962">
        <v>-178.7396915566739</v>
      </c>
    </row>
    <row r="212" spans="1:9" hidden="1" outlineLevel="2" x14ac:dyDescent="0.2">
      <c r="A212" s="1980" t="s">
        <v>4924</v>
      </c>
      <c r="B212" s="1980" t="s">
        <v>4925</v>
      </c>
      <c r="C212" s="1980" t="s">
        <v>1978</v>
      </c>
      <c r="D212" s="1980" t="s">
        <v>1880</v>
      </c>
      <c r="E212" s="1980" t="s">
        <v>913</v>
      </c>
      <c r="F212" s="1985">
        <v>-36057.300900000002</v>
      </c>
      <c r="G212" s="1962">
        <v>-10086.593268403651</v>
      </c>
      <c r="H212" s="1962">
        <v>-2691.6515740235322</v>
      </c>
      <c r="I212" s="1962">
        <v>-1923.0255103912189</v>
      </c>
    </row>
    <row r="213" spans="1:9" hidden="1" outlineLevel="2" x14ac:dyDescent="0.2">
      <c r="A213" s="1980" t="s">
        <v>4924</v>
      </c>
      <c r="B213" s="1980" t="s">
        <v>4925</v>
      </c>
      <c r="C213" s="1980" t="s">
        <v>1978</v>
      </c>
      <c r="D213" s="1980" t="s">
        <v>1880</v>
      </c>
      <c r="E213" s="1980" t="s">
        <v>920</v>
      </c>
      <c r="F213" s="1985">
        <v>-15806.201230000001</v>
      </c>
      <c r="G213" s="1962">
        <v>0</v>
      </c>
      <c r="H213" s="1962">
        <v>0</v>
      </c>
      <c r="I213" s="1962">
        <v>0</v>
      </c>
    </row>
    <row r="214" spans="1:9" hidden="1" outlineLevel="2" x14ac:dyDescent="0.2">
      <c r="A214" s="1980" t="s">
        <v>4924</v>
      </c>
      <c r="B214" s="1980" t="s">
        <v>4925</v>
      </c>
      <c r="C214" s="1980" t="s">
        <v>1978</v>
      </c>
      <c r="D214" s="1980" t="s">
        <v>1880</v>
      </c>
      <c r="E214" s="1980" t="s">
        <v>921</v>
      </c>
      <c r="F214" s="1985">
        <v>-8343.6266799999994</v>
      </c>
      <c r="G214" s="1962">
        <v>0</v>
      </c>
      <c r="H214" s="1962">
        <v>-8343.6266799999994</v>
      </c>
      <c r="I214" s="1962">
        <v>0</v>
      </c>
    </row>
    <row r="215" spans="1:9" hidden="1" outlineLevel="2" x14ac:dyDescent="0.2">
      <c r="A215" s="1980" t="s">
        <v>4924</v>
      </c>
      <c r="B215" s="1980" t="s">
        <v>4925</v>
      </c>
      <c r="C215" s="1980" t="s">
        <v>1978</v>
      </c>
      <c r="D215" s="1980" t="s">
        <v>1880</v>
      </c>
      <c r="E215" s="1980" t="s">
        <v>922</v>
      </c>
      <c r="F215" s="1985">
        <v>-2140.7794100000001</v>
      </c>
      <c r="G215" s="1962">
        <v>0</v>
      </c>
      <c r="H215" s="1962">
        <v>0</v>
      </c>
      <c r="I215" s="1962">
        <v>0</v>
      </c>
    </row>
    <row r="216" spans="1:9" hidden="1" outlineLevel="2" x14ac:dyDescent="0.2">
      <c r="A216" s="1980" t="s">
        <v>4924</v>
      </c>
      <c r="B216" s="1980" t="s">
        <v>4925</v>
      </c>
      <c r="C216" s="1980" t="s">
        <v>1978</v>
      </c>
      <c r="D216" s="1980" t="s">
        <v>1880</v>
      </c>
      <c r="E216" s="1980" t="s">
        <v>923</v>
      </c>
      <c r="F216" s="1985">
        <v>-1604.1869899999999</v>
      </c>
      <c r="G216" s="1962">
        <v>0</v>
      </c>
      <c r="H216" s="1962">
        <v>0</v>
      </c>
      <c r="I216" s="1962">
        <v>0</v>
      </c>
    </row>
    <row r="217" spans="1:9" hidden="1" outlineLevel="2" x14ac:dyDescent="0.2">
      <c r="A217" s="1980" t="s">
        <v>4924</v>
      </c>
      <c r="B217" s="1980" t="s">
        <v>4925</v>
      </c>
      <c r="C217" s="1980" t="s">
        <v>5719</v>
      </c>
      <c r="D217" s="1980" t="s">
        <v>1979</v>
      </c>
      <c r="E217" s="1980" t="s">
        <v>918</v>
      </c>
      <c r="F217" s="1985">
        <v>-103.33528</v>
      </c>
      <c r="G217" s="1962">
        <v>0</v>
      </c>
      <c r="H217" s="1962">
        <v>0</v>
      </c>
      <c r="I217" s="1962">
        <v>0</v>
      </c>
    </row>
    <row r="218" spans="1:9" hidden="1" outlineLevel="2" x14ac:dyDescent="0.2">
      <c r="A218" s="1980" t="s">
        <v>4924</v>
      </c>
      <c r="B218" s="1980" t="s">
        <v>4925</v>
      </c>
      <c r="C218" s="1980" t="s">
        <v>5719</v>
      </c>
      <c r="D218" s="1980" t="s">
        <v>1979</v>
      </c>
      <c r="E218" s="1980" t="s">
        <v>1754</v>
      </c>
      <c r="F218" s="1985">
        <v>-693.99535000000003</v>
      </c>
      <c r="G218" s="1962">
        <v>-211.54804590539695</v>
      </c>
      <c r="H218" s="1962">
        <v>-46.296344479594381</v>
      </c>
      <c r="I218" s="1962">
        <v>-29.634759691270023</v>
      </c>
    </row>
    <row r="219" spans="1:9" hidden="1" outlineLevel="2" x14ac:dyDescent="0.2">
      <c r="A219" s="1980" t="s">
        <v>4924</v>
      </c>
      <c r="B219" s="1980" t="s">
        <v>4925</v>
      </c>
      <c r="C219" s="1980" t="s">
        <v>5719</v>
      </c>
      <c r="D219" s="1980" t="s">
        <v>1979</v>
      </c>
      <c r="E219" s="1980" t="s">
        <v>919</v>
      </c>
      <c r="F219" s="1985">
        <v>-34.805259999999997</v>
      </c>
      <c r="G219" s="1962">
        <v>0</v>
      </c>
      <c r="H219" s="1962">
        <v>0</v>
      </c>
      <c r="I219" s="1962">
        <v>-34.805259999999997</v>
      </c>
    </row>
    <row r="220" spans="1:9" hidden="1" outlineLevel="2" x14ac:dyDescent="0.2">
      <c r="A220" s="1980" t="s">
        <v>4924</v>
      </c>
      <c r="B220" s="1980" t="s">
        <v>4925</v>
      </c>
      <c r="C220" s="1980" t="s">
        <v>5719</v>
      </c>
      <c r="D220" s="1980" t="s">
        <v>1979</v>
      </c>
      <c r="E220" s="1980" t="s">
        <v>912</v>
      </c>
      <c r="F220" s="1985">
        <v>-1025.9001800000001</v>
      </c>
      <c r="G220" s="1962">
        <v>-1025.9001800000001</v>
      </c>
      <c r="H220" s="1962">
        <v>0</v>
      </c>
      <c r="I220" s="1962">
        <v>0</v>
      </c>
    </row>
    <row r="221" spans="1:9" hidden="1" outlineLevel="2" x14ac:dyDescent="0.2">
      <c r="A221" s="1980" t="s">
        <v>4924</v>
      </c>
      <c r="B221" s="1980" t="s">
        <v>4925</v>
      </c>
      <c r="C221" s="1980" t="s">
        <v>5719</v>
      </c>
      <c r="D221" s="1980" t="s">
        <v>1979</v>
      </c>
      <c r="E221" s="1980" t="s">
        <v>906</v>
      </c>
      <c r="F221" s="1985">
        <v>-2.9494899999999999</v>
      </c>
      <c r="G221" s="1962">
        <v>-0.76206571061556505</v>
      </c>
      <c r="H221" s="1962">
        <v>-0.21062633140313505</v>
      </c>
      <c r="I221" s="1962">
        <v>-0.17405630789850815</v>
      </c>
    </row>
    <row r="222" spans="1:9" hidden="1" outlineLevel="2" x14ac:dyDescent="0.2">
      <c r="A222" s="1980" t="s">
        <v>4924</v>
      </c>
      <c r="B222" s="1980" t="s">
        <v>4925</v>
      </c>
      <c r="C222" s="1980" t="s">
        <v>5719</v>
      </c>
      <c r="D222" s="1980" t="s">
        <v>1979</v>
      </c>
      <c r="E222" s="1980" t="s">
        <v>1083</v>
      </c>
      <c r="F222" s="1985">
        <v>-995.90589</v>
      </c>
      <c r="G222" s="1962">
        <v>-269.82966999768036</v>
      </c>
      <c r="H222" s="1962">
        <v>-75.867203394060923</v>
      </c>
      <c r="I222" s="1962">
        <v>-53.914721138628181</v>
      </c>
    </row>
    <row r="223" spans="1:9" hidden="1" outlineLevel="2" x14ac:dyDescent="0.2">
      <c r="A223" s="1980" t="s">
        <v>4924</v>
      </c>
      <c r="B223" s="1980" t="s">
        <v>4925</v>
      </c>
      <c r="C223" s="1980" t="s">
        <v>5719</v>
      </c>
      <c r="D223" s="1980" t="s">
        <v>1979</v>
      </c>
      <c r="E223" s="1980" t="s">
        <v>913</v>
      </c>
      <c r="F223" s="1985">
        <v>-6882.1300199999996</v>
      </c>
      <c r="G223" s="1962">
        <v>-1925.19252964968</v>
      </c>
      <c r="H223" s="1962">
        <v>-513.74605526748121</v>
      </c>
      <c r="I223" s="1962">
        <v>-367.04110579417295</v>
      </c>
    </row>
    <row r="224" spans="1:9" hidden="1" outlineLevel="2" x14ac:dyDescent="0.2">
      <c r="A224" s="1980" t="s">
        <v>4924</v>
      </c>
      <c r="B224" s="1980" t="s">
        <v>4925</v>
      </c>
      <c r="C224" s="1980" t="s">
        <v>5719</v>
      </c>
      <c r="D224" s="1980" t="s">
        <v>1979</v>
      </c>
      <c r="E224" s="1980" t="s">
        <v>920</v>
      </c>
      <c r="F224" s="1985">
        <v>-459.13209999999998</v>
      </c>
      <c r="G224" s="1962">
        <v>0</v>
      </c>
      <c r="H224" s="1962">
        <v>0</v>
      </c>
      <c r="I224" s="1962">
        <v>0</v>
      </c>
    </row>
    <row r="225" spans="1:9" hidden="1" outlineLevel="2" x14ac:dyDescent="0.2">
      <c r="A225" s="1980" t="s">
        <v>4924</v>
      </c>
      <c r="B225" s="1980" t="s">
        <v>4925</v>
      </c>
      <c r="C225" s="1980" t="s">
        <v>5719</v>
      </c>
      <c r="D225" s="1980" t="s">
        <v>1979</v>
      </c>
      <c r="E225" s="1980" t="s">
        <v>921</v>
      </c>
      <c r="F225" s="1985">
        <v>-43.211179999999999</v>
      </c>
      <c r="G225" s="1962">
        <v>0</v>
      </c>
      <c r="H225" s="1962">
        <v>-43.211179999999999</v>
      </c>
      <c r="I225" s="1962">
        <v>0</v>
      </c>
    </row>
    <row r="226" spans="1:9" hidden="1" outlineLevel="2" x14ac:dyDescent="0.2">
      <c r="A226" s="1980" t="s">
        <v>4924</v>
      </c>
      <c r="B226" s="1980" t="s">
        <v>4925</v>
      </c>
      <c r="C226" s="1980" t="s">
        <v>5719</v>
      </c>
      <c r="D226" s="1980" t="s">
        <v>1979</v>
      </c>
      <c r="E226" s="1980" t="s">
        <v>922</v>
      </c>
      <c r="F226" s="1985">
        <v>-321.08972</v>
      </c>
      <c r="G226" s="1962">
        <v>0</v>
      </c>
      <c r="H226" s="1962">
        <v>0</v>
      </c>
      <c r="I226" s="1962">
        <v>0</v>
      </c>
    </row>
    <row r="227" spans="1:9" hidden="1" outlineLevel="2" x14ac:dyDescent="0.2">
      <c r="A227" s="1980" t="s">
        <v>4924</v>
      </c>
      <c r="B227" s="1980" t="s">
        <v>4925</v>
      </c>
      <c r="C227" s="1980" t="s">
        <v>5719</v>
      </c>
      <c r="D227" s="1980" t="s">
        <v>1979</v>
      </c>
      <c r="E227" s="1980" t="s">
        <v>923</v>
      </c>
      <c r="F227" s="1985">
        <v>-20.72626</v>
      </c>
      <c r="G227" s="1962">
        <v>0</v>
      </c>
      <c r="H227" s="1962">
        <v>0</v>
      </c>
      <c r="I227" s="1962">
        <v>0</v>
      </c>
    </row>
    <row r="228" spans="1:9" hidden="1" outlineLevel="2" x14ac:dyDescent="0.2">
      <c r="A228" s="1980" t="s">
        <v>4924</v>
      </c>
      <c r="B228" s="1980" t="s">
        <v>4925</v>
      </c>
      <c r="C228" s="1980" t="s">
        <v>1980</v>
      </c>
      <c r="D228" s="1980" t="s">
        <v>1981</v>
      </c>
      <c r="E228" s="1980" t="s">
        <v>918</v>
      </c>
      <c r="F228" s="1985">
        <v>-27.840879999999999</v>
      </c>
      <c r="G228" s="1962">
        <v>0</v>
      </c>
      <c r="H228" s="1962">
        <v>0</v>
      </c>
      <c r="I228" s="1962">
        <v>0</v>
      </c>
    </row>
    <row r="229" spans="1:9" hidden="1" outlineLevel="2" x14ac:dyDescent="0.2">
      <c r="A229" s="1980" t="s">
        <v>4924</v>
      </c>
      <c r="B229" s="1980" t="s">
        <v>4925</v>
      </c>
      <c r="C229" s="1980" t="s">
        <v>1980</v>
      </c>
      <c r="D229" s="1980" t="s">
        <v>1981</v>
      </c>
      <c r="E229" s="1980" t="s">
        <v>1754</v>
      </c>
      <c r="F229" s="1985">
        <v>-996.32015999999999</v>
      </c>
      <c r="G229" s="1962">
        <v>-303.70460399216279</v>
      </c>
      <c r="H229" s="1962">
        <v>-66.464395387266762</v>
      </c>
      <c r="I229" s="1962">
        <v>-42.544533644451221</v>
      </c>
    </row>
    <row r="230" spans="1:9" hidden="1" outlineLevel="2" x14ac:dyDescent="0.2">
      <c r="A230" s="1980" t="s">
        <v>4924</v>
      </c>
      <c r="B230" s="1980" t="s">
        <v>4925</v>
      </c>
      <c r="C230" s="1980" t="s">
        <v>1980</v>
      </c>
      <c r="D230" s="1980" t="s">
        <v>1981</v>
      </c>
      <c r="E230" s="1980" t="s">
        <v>919</v>
      </c>
      <c r="F230" s="1985">
        <v>-248.08493999999999</v>
      </c>
      <c r="G230" s="1962">
        <v>0</v>
      </c>
      <c r="H230" s="1962">
        <v>0</v>
      </c>
      <c r="I230" s="1962">
        <v>-248.08493999999999</v>
      </c>
    </row>
    <row r="231" spans="1:9" hidden="1" outlineLevel="2" x14ac:dyDescent="0.2">
      <c r="A231" s="1980" t="s">
        <v>4924</v>
      </c>
      <c r="B231" s="1980" t="s">
        <v>4925</v>
      </c>
      <c r="C231" s="1980" t="s">
        <v>1980</v>
      </c>
      <c r="D231" s="1980" t="s">
        <v>1981</v>
      </c>
      <c r="E231" s="1980" t="s">
        <v>912</v>
      </c>
      <c r="F231" s="1985">
        <v>-606.32443999999998</v>
      </c>
      <c r="G231" s="1962">
        <v>-606.32443999999998</v>
      </c>
      <c r="H231" s="1962">
        <v>0</v>
      </c>
      <c r="I231" s="1962">
        <v>0</v>
      </c>
    </row>
    <row r="232" spans="1:9" hidden="1" outlineLevel="2" x14ac:dyDescent="0.2">
      <c r="A232" s="1980" t="s">
        <v>4924</v>
      </c>
      <c r="B232" s="1980" t="s">
        <v>4925</v>
      </c>
      <c r="C232" s="1980" t="s">
        <v>1980</v>
      </c>
      <c r="D232" s="1980" t="s">
        <v>1981</v>
      </c>
      <c r="E232" s="1980" t="s">
        <v>906</v>
      </c>
      <c r="F232" s="1985">
        <v>-17.111940000000001</v>
      </c>
      <c r="G232" s="1962">
        <v>-4.4212466277596851</v>
      </c>
      <c r="H232" s="1962">
        <v>-1.2219824937160537</v>
      </c>
      <c r="I232" s="1962">
        <v>-1.0098156282546467</v>
      </c>
    </row>
    <row r="233" spans="1:9" hidden="1" outlineLevel="2" x14ac:dyDescent="0.2">
      <c r="A233" s="1980" t="s">
        <v>4924</v>
      </c>
      <c r="B233" s="1980" t="s">
        <v>4925</v>
      </c>
      <c r="C233" s="1980" t="s">
        <v>1980</v>
      </c>
      <c r="D233" s="1980" t="s">
        <v>1981</v>
      </c>
      <c r="E233" s="1980" t="s">
        <v>1083</v>
      </c>
      <c r="F233" s="1985">
        <v>-1021.45235</v>
      </c>
      <c r="G233" s="1962">
        <v>-276.75120037582576</v>
      </c>
      <c r="H233" s="1962">
        <v>-77.813309443115656</v>
      </c>
      <c r="I233" s="1962">
        <v>-55.297713528580928</v>
      </c>
    </row>
    <row r="234" spans="1:9" hidden="1" outlineLevel="2" x14ac:dyDescent="0.2">
      <c r="A234" s="1980" t="s">
        <v>4924</v>
      </c>
      <c r="B234" s="1980" t="s">
        <v>4925</v>
      </c>
      <c r="C234" s="1980" t="s">
        <v>1980</v>
      </c>
      <c r="D234" s="1980" t="s">
        <v>1981</v>
      </c>
      <c r="E234" s="1980" t="s">
        <v>913</v>
      </c>
      <c r="F234" s="1985">
        <v>-22935.92684</v>
      </c>
      <c r="G234" s="1962">
        <v>-6416.047776580599</v>
      </c>
      <c r="H234" s="1962">
        <v>-1712.1504394294409</v>
      </c>
      <c r="I234" s="1962">
        <v>-1223.2300065972672</v>
      </c>
    </row>
    <row r="235" spans="1:9" hidden="1" outlineLevel="2" x14ac:dyDescent="0.2">
      <c r="A235" s="1980" t="s">
        <v>4924</v>
      </c>
      <c r="B235" s="1980" t="s">
        <v>4925</v>
      </c>
      <c r="C235" s="1980" t="s">
        <v>1980</v>
      </c>
      <c r="D235" s="1980" t="s">
        <v>1981</v>
      </c>
      <c r="E235" s="1980" t="s">
        <v>920</v>
      </c>
      <c r="F235" s="1985">
        <v>-576.64842999999996</v>
      </c>
      <c r="G235" s="1962">
        <v>0</v>
      </c>
      <c r="H235" s="1962">
        <v>0</v>
      </c>
      <c r="I235" s="1962">
        <v>0</v>
      </c>
    </row>
    <row r="236" spans="1:9" hidden="1" outlineLevel="2" x14ac:dyDescent="0.2">
      <c r="A236" s="1980" t="s">
        <v>4924</v>
      </c>
      <c r="B236" s="1980" t="s">
        <v>4925</v>
      </c>
      <c r="C236" s="1980" t="s">
        <v>1980</v>
      </c>
      <c r="D236" s="1980" t="s">
        <v>1981</v>
      </c>
      <c r="E236" s="1980" t="s">
        <v>921</v>
      </c>
      <c r="F236" s="1985">
        <v>-181.94114999999999</v>
      </c>
      <c r="G236" s="1962">
        <v>0</v>
      </c>
      <c r="H236" s="1962">
        <v>-181.94114999999999</v>
      </c>
      <c r="I236" s="1962">
        <v>0</v>
      </c>
    </row>
    <row r="237" spans="1:9" hidden="1" outlineLevel="2" x14ac:dyDescent="0.2">
      <c r="A237" s="1980" t="s">
        <v>4924</v>
      </c>
      <c r="B237" s="1980" t="s">
        <v>4925</v>
      </c>
      <c r="C237" s="1980" t="s">
        <v>1980</v>
      </c>
      <c r="D237" s="1980" t="s">
        <v>1981</v>
      </c>
      <c r="E237" s="1980" t="s">
        <v>922</v>
      </c>
      <c r="F237" s="1985">
        <v>-673.71979999999996</v>
      </c>
      <c r="G237" s="1962">
        <v>0</v>
      </c>
      <c r="H237" s="1962">
        <v>0</v>
      </c>
      <c r="I237" s="1962">
        <v>0</v>
      </c>
    </row>
    <row r="238" spans="1:9" hidden="1" outlineLevel="2" x14ac:dyDescent="0.2">
      <c r="A238" s="1980" t="s">
        <v>4924</v>
      </c>
      <c r="B238" s="1980" t="s">
        <v>4925</v>
      </c>
      <c r="C238" s="1980" t="s">
        <v>1980</v>
      </c>
      <c r="D238" s="1980" t="s">
        <v>1981</v>
      </c>
      <c r="E238" s="1980" t="s">
        <v>923</v>
      </c>
      <c r="F238" s="1985">
        <v>-49.360250000000001</v>
      </c>
      <c r="G238" s="1962">
        <v>0</v>
      </c>
      <c r="H238" s="1962">
        <v>0</v>
      </c>
      <c r="I238" s="1962">
        <v>0</v>
      </c>
    </row>
    <row r="239" spans="1:9" hidden="1" outlineLevel="2" x14ac:dyDescent="0.2">
      <c r="A239" s="1980" t="s">
        <v>4924</v>
      </c>
      <c r="B239" s="1980" t="s">
        <v>4925</v>
      </c>
      <c r="C239" s="1980" t="s">
        <v>1982</v>
      </c>
      <c r="D239" s="1980" t="s">
        <v>1983</v>
      </c>
      <c r="E239" s="1980" t="s">
        <v>1754</v>
      </c>
      <c r="F239" s="1985">
        <v>-0.33278000000000002</v>
      </c>
      <c r="G239" s="1962">
        <v>-0.10144010145946655</v>
      </c>
      <c r="H239" s="1962">
        <v>-2.219971288845007E-2</v>
      </c>
      <c r="I239" s="1962">
        <v>-1.421026139449038E-2</v>
      </c>
    </row>
    <row r="240" spans="1:9" hidden="1" outlineLevel="2" x14ac:dyDescent="0.2">
      <c r="A240" s="1980" t="s">
        <v>4924</v>
      </c>
      <c r="B240" s="1980" t="s">
        <v>4925</v>
      </c>
      <c r="C240" s="1980" t="s">
        <v>1982</v>
      </c>
      <c r="D240" s="1980" t="s">
        <v>1983</v>
      </c>
      <c r="E240" s="1980" t="s">
        <v>912</v>
      </c>
      <c r="F240" s="1985">
        <v>-2.06812</v>
      </c>
      <c r="G240" s="1962">
        <v>-2.06812</v>
      </c>
      <c r="H240" s="1962">
        <v>0</v>
      </c>
      <c r="I240" s="1962">
        <v>0</v>
      </c>
    </row>
    <row r="241" spans="1:9" hidden="1" outlineLevel="2" x14ac:dyDescent="0.2">
      <c r="A241" s="1980" t="s">
        <v>4924</v>
      </c>
      <c r="B241" s="1980" t="s">
        <v>4925</v>
      </c>
      <c r="C241" s="1980" t="s">
        <v>1982</v>
      </c>
      <c r="D241" s="1980" t="s">
        <v>1983</v>
      </c>
      <c r="E241" s="1980" t="s">
        <v>1083</v>
      </c>
      <c r="F241" s="1985">
        <v>-15.425509999999999</v>
      </c>
      <c r="G241" s="1962">
        <v>-4.1793710777691233</v>
      </c>
      <c r="H241" s="1962">
        <v>-1.1751012986047513</v>
      </c>
      <c r="I241" s="1962">
        <v>-0.83508098347638082</v>
      </c>
    </row>
    <row r="242" spans="1:9" hidden="1" outlineLevel="2" x14ac:dyDescent="0.2">
      <c r="A242" s="1980" t="s">
        <v>4924</v>
      </c>
      <c r="B242" s="1980" t="s">
        <v>4925</v>
      </c>
      <c r="C242" s="1980" t="s">
        <v>1982</v>
      </c>
      <c r="D242" s="1980" t="s">
        <v>1983</v>
      </c>
      <c r="E242" s="1980" t="s">
        <v>913</v>
      </c>
      <c r="F242" s="1985">
        <v>-182.14850999999999</v>
      </c>
      <c r="G242" s="1962">
        <v>-50.953839831526466</v>
      </c>
      <c r="H242" s="1962">
        <v>-13.597255241241339</v>
      </c>
      <c r="I242" s="1962">
        <v>-9.7144329349884853</v>
      </c>
    </row>
    <row r="243" spans="1:9" hidden="1" outlineLevel="2" x14ac:dyDescent="0.2">
      <c r="A243" s="1980" t="s">
        <v>4924</v>
      </c>
      <c r="B243" s="1980" t="s">
        <v>4925</v>
      </c>
      <c r="C243" s="1980" t="s">
        <v>1982</v>
      </c>
      <c r="D243" s="1980" t="s">
        <v>1983</v>
      </c>
      <c r="E243" s="1980" t="s">
        <v>920</v>
      </c>
      <c r="F243" s="1985">
        <v>-7.38286</v>
      </c>
      <c r="G243" s="1962">
        <v>0</v>
      </c>
      <c r="H243" s="1962">
        <v>0</v>
      </c>
      <c r="I243" s="1962">
        <v>0</v>
      </c>
    </row>
    <row r="244" spans="1:9" hidden="1" outlineLevel="2" x14ac:dyDescent="0.2">
      <c r="A244" s="1980" t="s">
        <v>4924</v>
      </c>
      <c r="B244" s="1980" t="s">
        <v>4925</v>
      </c>
      <c r="C244" s="1980" t="s">
        <v>1982</v>
      </c>
      <c r="D244" s="1980" t="s">
        <v>1983</v>
      </c>
      <c r="E244" s="1980" t="s">
        <v>923</v>
      </c>
      <c r="F244" s="1985">
        <v>-6.3757700000000002</v>
      </c>
      <c r="G244" s="1962">
        <v>0</v>
      </c>
      <c r="H244" s="1962">
        <v>0</v>
      </c>
      <c r="I244" s="1962">
        <v>0</v>
      </c>
    </row>
    <row r="245" spans="1:9" hidden="1" outlineLevel="2" x14ac:dyDescent="0.2">
      <c r="A245" s="1980" t="s">
        <v>4924</v>
      </c>
      <c r="B245" s="1980" t="s">
        <v>4925</v>
      </c>
      <c r="C245" s="1980" t="s">
        <v>2338</v>
      </c>
      <c r="D245" s="1980" t="s">
        <v>2339</v>
      </c>
      <c r="E245" s="1980" t="s">
        <v>918</v>
      </c>
      <c r="F245" s="1985">
        <v>-41.473179999999999</v>
      </c>
      <c r="G245" s="1962">
        <v>0</v>
      </c>
      <c r="H245" s="1962">
        <v>0</v>
      </c>
      <c r="I245" s="1962">
        <v>0</v>
      </c>
    </row>
    <row r="246" spans="1:9" hidden="1" outlineLevel="2" x14ac:dyDescent="0.2">
      <c r="A246" s="1980" t="s">
        <v>4924</v>
      </c>
      <c r="B246" s="1980" t="s">
        <v>4925</v>
      </c>
      <c r="C246" s="1980" t="s">
        <v>2338</v>
      </c>
      <c r="D246" s="1980" t="s">
        <v>2339</v>
      </c>
      <c r="E246" s="1980" t="s">
        <v>919</v>
      </c>
      <c r="F246" s="1985">
        <v>-141.40893</v>
      </c>
      <c r="G246" s="1962">
        <v>0</v>
      </c>
      <c r="H246" s="1962">
        <v>0</v>
      </c>
      <c r="I246" s="1962">
        <v>-141.40893</v>
      </c>
    </row>
    <row r="247" spans="1:9" hidden="1" outlineLevel="2" x14ac:dyDescent="0.2">
      <c r="A247" s="1980" t="s">
        <v>4924</v>
      </c>
      <c r="B247" s="1980" t="s">
        <v>4925</v>
      </c>
      <c r="C247" s="1980" t="s">
        <v>2338</v>
      </c>
      <c r="D247" s="1980" t="s">
        <v>2339</v>
      </c>
      <c r="E247" s="1980" t="s">
        <v>912</v>
      </c>
      <c r="F247" s="1985">
        <v>-864.18128999999999</v>
      </c>
      <c r="G247" s="1962">
        <v>-864.18128999999999</v>
      </c>
      <c r="H247" s="1962">
        <v>0</v>
      </c>
      <c r="I247" s="1962">
        <v>0</v>
      </c>
    </row>
    <row r="248" spans="1:9" hidden="1" outlineLevel="2" x14ac:dyDescent="0.2">
      <c r="A248" s="1980" t="s">
        <v>4924</v>
      </c>
      <c r="B248" s="1980" t="s">
        <v>4925</v>
      </c>
      <c r="C248" s="1980" t="s">
        <v>2338</v>
      </c>
      <c r="D248" s="1980" t="s">
        <v>2339</v>
      </c>
      <c r="E248" s="1980" t="s">
        <v>906</v>
      </c>
      <c r="F248" s="1985">
        <v>-22.294640000000001</v>
      </c>
      <c r="G248" s="1962">
        <v>-5.7603113333214226</v>
      </c>
      <c r="H248" s="1962">
        <v>-1.5920848123416562</v>
      </c>
      <c r="I248" s="1962">
        <v>-1.3156588848670094</v>
      </c>
    </row>
    <row r="249" spans="1:9" hidden="1" outlineLevel="2" x14ac:dyDescent="0.2">
      <c r="A249" s="1980" t="s">
        <v>4924</v>
      </c>
      <c r="B249" s="1980" t="s">
        <v>4925</v>
      </c>
      <c r="C249" s="1980" t="s">
        <v>2338</v>
      </c>
      <c r="D249" s="1980" t="s">
        <v>2339</v>
      </c>
      <c r="E249" s="1980" t="s">
        <v>1083</v>
      </c>
      <c r="F249" s="1985">
        <v>-400.18347999999997</v>
      </c>
      <c r="G249" s="1962">
        <v>-108.42528137565618</v>
      </c>
      <c r="H249" s="1962">
        <v>-30.485612924834804</v>
      </c>
      <c r="I249" s="1962">
        <v>-21.66447748239122</v>
      </c>
    </row>
    <row r="250" spans="1:9" hidden="1" outlineLevel="2" x14ac:dyDescent="0.2">
      <c r="A250" s="1980" t="s">
        <v>4924</v>
      </c>
      <c r="B250" s="1980" t="s">
        <v>4925</v>
      </c>
      <c r="C250" s="1980" t="s">
        <v>2338</v>
      </c>
      <c r="D250" s="1980" t="s">
        <v>2339</v>
      </c>
      <c r="E250" s="1980" t="s">
        <v>913</v>
      </c>
      <c r="F250" s="1985">
        <v>-296.31599999999997</v>
      </c>
      <c r="G250" s="1962">
        <v>-82.890812576609022</v>
      </c>
      <c r="H250" s="1962">
        <v>-22.11977624227433</v>
      </c>
      <c r="I250" s="1962">
        <v>-15.803269044386079</v>
      </c>
    </row>
    <row r="251" spans="1:9" hidden="1" outlineLevel="2" x14ac:dyDescent="0.2">
      <c r="A251" s="1980" t="s">
        <v>4924</v>
      </c>
      <c r="B251" s="1980" t="s">
        <v>4925</v>
      </c>
      <c r="C251" s="1980" t="s">
        <v>2338</v>
      </c>
      <c r="D251" s="1980" t="s">
        <v>2339</v>
      </c>
      <c r="E251" s="1980" t="s">
        <v>920</v>
      </c>
      <c r="F251" s="1985">
        <v>-1723.6456800000001</v>
      </c>
      <c r="G251" s="1962">
        <v>0</v>
      </c>
      <c r="H251" s="1962">
        <v>0</v>
      </c>
      <c r="I251" s="1962">
        <v>0</v>
      </c>
    </row>
    <row r="252" spans="1:9" hidden="1" outlineLevel="2" x14ac:dyDescent="0.2">
      <c r="A252" s="1980" t="s">
        <v>4924</v>
      </c>
      <c r="B252" s="1980" t="s">
        <v>4925</v>
      </c>
      <c r="C252" s="1980" t="s">
        <v>2338</v>
      </c>
      <c r="D252" s="1980" t="s">
        <v>2339</v>
      </c>
      <c r="E252" s="1980" t="s">
        <v>921</v>
      </c>
      <c r="F252" s="1985">
        <v>-153.97131999999999</v>
      </c>
      <c r="G252" s="1962">
        <v>0</v>
      </c>
      <c r="H252" s="1962">
        <v>-153.97131999999999</v>
      </c>
      <c r="I252" s="1962">
        <v>0</v>
      </c>
    </row>
    <row r="253" spans="1:9" hidden="1" outlineLevel="2" x14ac:dyDescent="0.2">
      <c r="A253" s="1980" t="s">
        <v>4924</v>
      </c>
      <c r="B253" s="1980" t="s">
        <v>4925</v>
      </c>
      <c r="C253" s="1980" t="s">
        <v>2338</v>
      </c>
      <c r="D253" s="1980" t="s">
        <v>2339</v>
      </c>
      <c r="E253" s="1980" t="s">
        <v>922</v>
      </c>
      <c r="F253" s="1985">
        <v>-348.42617999999999</v>
      </c>
      <c r="G253" s="1962">
        <v>0</v>
      </c>
      <c r="H253" s="1962">
        <v>0</v>
      </c>
      <c r="I253" s="1962">
        <v>0</v>
      </c>
    </row>
    <row r="254" spans="1:9" hidden="1" outlineLevel="2" x14ac:dyDescent="0.2">
      <c r="A254" s="1980" t="s">
        <v>4924</v>
      </c>
      <c r="B254" s="1980" t="s">
        <v>4925</v>
      </c>
      <c r="C254" s="1980" t="s">
        <v>2340</v>
      </c>
      <c r="D254" s="1980" t="s">
        <v>2341</v>
      </c>
      <c r="E254" s="1980" t="s">
        <v>912</v>
      </c>
      <c r="F254" s="1985">
        <v>-110.09276</v>
      </c>
      <c r="G254" s="1962">
        <v>-110.09276</v>
      </c>
      <c r="H254" s="1962">
        <v>0</v>
      </c>
      <c r="I254" s="1962">
        <v>0</v>
      </c>
    </row>
    <row r="255" spans="1:9" hidden="1" outlineLevel="2" x14ac:dyDescent="0.2">
      <c r="A255" s="1980" t="s">
        <v>4924</v>
      </c>
      <c r="B255" s="1980" t="s">
        <v>4925</v>
      </c>
      <c r="C255" s="1980" t="s">
        <v>2340</v>
      </c>
      <c r="D255" s="1980" t="s">
        <v>2341</v>
      </c>
      <c r="E255" s="1980" t="s">
        <v>913</v>
      </c>
      <c r="F255" s="1985">
        <v>-86.442139999999995</v>
      </c>
      <c r="G255" s="1962">
        <v>-24.18114183999851</v>
      </c>
      <c r="H255" s="1962">
        <v>-6.4528435680265384</v>
      </c>
      <c r="I255" s="1962">
        <v>-4.6101742571865429</v>
      </c>
    </row>
    <row r="256" spans="1:9" hidden="1" outlineLevel="2" x14ac:dyDescent="0.2">
      <c r="A256" s="1980" t="s">
        <v>4924</v>
      </c>
      <c r="B256" s="1980" t="s">
        <v>4925</v>
      </c>
      <c r="C256" s="1980" t="s">
        <v>2340</v>
      </c>
      <c r="D256" s="1980" t="s">
        <v>2341</v>
      </c>
      <c r="E256" s="1980" t="s">
        <v>920</v>
      </c>
      <c r="F256" s="1985">
        <v>-281.66025000000002</v>
      </c>
      <c r="G256" s="1962">
        <v>0</v>
      </c>
      <c r="H256" s="1962">
        <v>0</v>
      </c>
      <c r="I256" s="1962">
        <v>0</v>
      </c>
    </row>
    <row r="257" spans="1:9" hidden="1" outlineLevel="2" x14ac:dyDescent="0.2">
      <c r="A257" s="1980" t="s">
        <v>4924</v>
      </c>
      <c r="B257" s="1980" t="s">
        <v>4925</v>
      </c>
      <c r="C257" s="1980" t="s">
        <v>2340</v>
      </c>
      <c r="D257" s="1980" t="s">
        <v>2341</v>
      </c>
      <c r="E257" s="1980" t="s">
        <v>922</v>
      </c>
      <c r="F257" s="1985">
        <v>-19.00656</v>
      </c>
      <c r="G257" s="1962">
        <v>0</v>
      </c>
      <c r="H257" s="1962">
        <v>0</v>
      </c>
      <c r="I257" s="1962">
        <v>0</v>
      </c>
    </row>
    <row r="258" spans="1:9" hidden="1" outlineLevel="2" x14ac:dyDescent="0.2">
      <c r="A258" s="1980" t="s">
        <v>4924</v>
      </c>
      <c r="B258" s="1980" t="s">
        <v>4925</v>
      </c>
      <c r="C258" s="1980" t="s">
        <v>2342</v>
      </c>
      <c r="D258" s="1980" t="s">
        <v>2343</v>
      </c>
      <c r="E258" s="1980" t="s">
        <v>918</v>
      </c>
      <c r="F258" s="1985">
        <v>-220.69259</v>
      </c>
      <c r="G258" s="1962">
        <v>0</v>
      </c>
      <c r="H258" s="1962">
        <v>0</v>
      </c>
      <c r="I258" s="1962">
        <v>0</v>
      </c>
    </row>
    <row r="259" spans="1:9" hidden="1" outlineLevel="2" x14ac:dyDescent="0.2">
      <c r="A259" s="1980" t="s">
        <v>4924</v>
      </c>
      <c r="B259" s="1980" t="s">
        <v>4925</v>
      </c>
      <c r="C259" s="1980" t="s">
        <v>2342</v>
      </c>
      <c r="D259" s="1980" t="s">
        <v>2343</v>
      </c>
      <c r="E259" s="1980" t="s">
        <v>919</v>
      </c>
      <c r="F259" s="1985">
        <v>-1129.3064400000001</v>
      </c>
      <c r="G259" s="1962">
        <v>0</v>
      </c>
      <c r="H259" s="1962">
        <v>0</v>
      </c>
      <c r="I259" s="1962">
        <v>-1129.3064400000001</v>
      </c>
    </row>
    <row r="260" spans="1:9" hidden="1" outlineLevel="2" x14ac:dyDescent="0.2">
      <c r="A260" s="1980" t="s">
        <v>4924</v>
      </c>
      <c r="B260" s="1980" t="s">
        <v>4925</v>
      </c>
      <c r="C260" s="1980" t="s">
        <v>2342</v>
      </c>
      <c r="D260" s="1980" t="s">
        <v>2343</v>
      </c>
      <c r="E260" s="1980" t="s">
        <v>912</v>
      </c>
      <c r="F260" s="1985">
        <v>-3345.9424600000002</v>
      </c>
      <c r="G260" s="1962">
        <v>-3345.9424600000002</v>
      </c>
      <c r="H260" s="1962">
        <v>0</v>
      </c>
      <c r="I260" s="1962">
        <v>0</v>
      </c>
    </row>
    <row r="261" spans="1:9" hidden="1" outlineLevel="2" x14ac:dyDescent="0.2">
      <c r="A261" s="1980" t="s">
        <v>4924</v>
      </c>
      <c r="B261" s="1980" t="s">
        <v>4925</v>
      </c>
      <c r="C261" s="1980" t="s">
        <v>2342</v>
      </c>
      <c r="D261" s="1980" t="s">
        <v>2343</v>
      </c>
      <c r="E261" s="1980" t="s">
        <v>906</v>
      </c>
      <c r="F261" s="1985">
        <v>-59.937890000000003</v>
      </c>
      <c r="G261" s="1962">
        <v>-15.486274147614528</v>
      </c>
      <c r="H261" s="1962">
        <v>-4.2802307798109691</v>
      </c>
      <c r="I261" s="1962">
        <v>-3.5370751677838923</v>
      </c>
    </row>
    <row r="262" spans="1:9" hidden="1" outlineLevel="2" x14ac:dyDescent="0.2">
      <c r="A262" s="1980" t="s">
        <v>4924</v>
      </c>
      <c r="B262" s="1980" t="s">
        <v>4925</v>
      </c>
      <c r="C262" s="1980" t="s">
        <v>2342</v>
      </c>
      <c r="D262" s="1980" t="s">
        <v>2343</v>
      </c>
      <c r="E262" s="1980" t="s">
        <v>1083</v>
      </c>
      <c r="F262" s="1985">
        <v>-5631.3634599999996</v>
      </c>
      <c r="G262" s="1962">
        <v>-1525.7555551245864</v>
      </c>
      <c r="H262" s="1962">
        <v>-428.9921380078419</v>
      </c>
      <c r="I262" s="1962">
        <v>-304.86152720329864</v>
      </c>
    </row>
    <row r="263" spans="1:9" hidden="1" outlineLevel="2" x14ac:dyDescent="0.2">
      <c r="A263" s="1980" t="s">
        <v>4924</v>
      </c>
      <c r="B263" s="1980" t="s">
        <v>4925</v>
      </c>
      <c r="C263" s="1980" t="s">
        <v>2342</v>
      </c>
      <c r="D263" s="1980" t="s">
        <v>2343</v>
      </c>
      <c r="E263" s="1980" t="s">
        <v>913</v>
      </c>
      <c r="F263" s="1985">
        <v>-676.82590000000005</v>
      </c>
      <c r="G263" s="1962">
        <v>-189.33384907968093</v>
      </c>
      <c r="H263" s="1962">
        <v>-50.524566553867977</v>
      </c>
      <c r="I263" s="1962">
        <v>-36.09680811670227</v>
      </c>
    </row>
    <row r="264" spans="1:9" hidden="1" outlineLevel="2" x14ac:dyDescent="0.2">
      <c r="A264" s="1980" t="s">
        <v>4924</v>
      </c>
      <c r="B264" s="1980" t="s">
        <v>4925</v>
      </c>
      <c r="C264" s="1980" t="s">
        <v>2342</v>
      </c>
      <c r="D264" s="1980" t="s">
        <v>2343</v>
      </c>
      <c r="E264" s="1980" t="s">
        <v>920</v>
      </c>
      <c r="F264" s="1985">
        <v>-5552.1428900000001</v>
      </c>
      <c r="G264" s="1962">
        <v>0</v>
      </c>
      <c r="H264" s="1962">
        <v>0</v>
      </c>
      <c r="I264" s="1962">
        <v>0</v>
      </c>
    </row>
    <row r="265" spans="1:9" hidden="1" outlineLevel="2" x14ac:dyDescent="0.2">
      <c r="A265" s="1980" t="s">
        <v>4924</v>
      </c>
      <c r="B265" s="1980" t="s">
        <v>4925</v>
      </c>
      <c r="C265" s="1980" t="s">
        <v>2342</v>
      </c>
      <c r="D265" s="1980" t="s">
        <v>2343</v>
      </c>
      <c r="E265" s="1980" t="s">
        <v>921</v>
      </c>
      <c r="F265" s="1985">
        <v>-1131.94139</v>
      </c>
      <c r="G265" s="1962">
        <v>0</v>
      </c>
      <c r="H265" s="1962">
        <v>-1131.94139</v>
      </c>
      <c r="I265" s="1962">
        <v>0</v>
      </c>
    </row>
    <row r="266" spans="1:9" hidden="1" outlineLevel="2" x14ac:dyDescent="0.2">
      <c r="A266" s="1980" t="s">
        <v>4924</v>
      </c>
      <c r="B266" s="1980" t="s">
        <v>4925</v>
      </c>
      <c r="C266" s="1980" t="s">
        <v>2342</v>
      </c>
      <c r="D266" s="1980" t="s">
        <v>2343</v>
      </c>
      <c r="E266" s="1980" t="s">
        <v>922</v>
      </c>
      <c r="F266" s="1985">
        <v>-1177.01476</v>
      </c>
      <c r="G266" s="1962">
        <v>0</v>
      </c>
      <c r="H266" s="1962">
        <v>0</v>
      </c>
      <c r="I266" s="1962">
        <v>0</v>
      </c>
    </row>
    <row r="267" spans="1:9" hidden="1" outlineLevel="2" x14ac:dyDescent="0.2">
      <c r="A267" s="1980" t="s">
        <v>4924</v>
      </c>
      <c r="B267" s="1980" t="s">
        <v>4925</v>
      </c>
      <c r="C267" s="1980" t="s">
        <v>2342</v>
      </c>
      <c r="D267" s="1980" t="s">
        <v>2343</v>
      </c>
      <c r="E267" s="1980" t="s">
        <v>923</v>
      </c>
      <c r="F267" s="1985">
        <v>-271.73903999999999</v>
      </c>
      <c r="G267" s="1962">
        <v>0</v>
      </c>
      <c r="H267" s="1962">
        <v>0</v>
      </c>
      <c r="I267" s="1962">
        <v>0</v>
      </c>
    </row>
    <row r="268" spans="1:9" hidden="1" outlineLevel="2" x14ac:dyDescent="0.2">
      <c r="A268" s="1980" t="s">
        <v>4924</v>
      </c>
      <c r="B268" s="1980" t="s">
        <v>4925</v>
      </c>
      <c r="C268" s="1980" t="s">
        <v>2344</v>
      </c>
      <c r="D268" s="1980" t="s">
        <v>2345</v>
      </c>
      <c r="E268" s="1980" t="s">
        <v>918</v>
      </c>
      <c r="F268" s="1985">
        <v>-422.31115</v>
      </c>
      <c r="G268" s="1962">
        <v>0</v>
      </c>
      <c r="H268" s="1962">
        <v>0</v>
      </c>
      <c r="I268" s="1962">
        <v>0</v>
      </c>
    </row>
    <row r="269" spans="1:9" hidden="1" outlineLevel="2" x14ac:dyDescent="0.2">
      <c r="A269" s="1980" t="s">
        <v>4924</v>
      </c>
      <c r="B269" s="1980" t="s">
        <v>4925</v>
      </c>
      <c r="C269" s="1980" t="s">
        <v>2344</v>
      </c>
      <c r="D269" s="1980" t="s">
        <v>2345</v>
      </c>
      <c r="E269" s="1980" t="s">
        <v>919</v>
      </c>
      <c r="F269" s="1985">
        <v>-1568.5201999999999</v>
      </c>
      <c r="G269" s="1962">
        <v>0</v>
      </c>
      <c r="H269" s="1962">
        <v>0</v>
      </c>
      <c r="I269" s="1962">
        <v>-1568.5201999999999</v>
      </c>
    </row>
    <row r="270" spans="1:9" hidden="1" outlineLevel="2" x14ac:dyDescent="0.2">
      <c r="A270" s="1980" t="s">
        <v>4924</v>
      </c>
      <c r="B270" s="1980" t="s">
        <v>4925</v>
      </c>
      <c r="C270" s="1980" t="s">
        <v>2344</v>
      </c>
      <c r="D270" s="1980" t="s">
        <v>2345</v>
      </c>
      <c r="E270" s="1980" t="s">
        <v>912</v>
      </c>
      <c r="F270" s="1985">
        <v>-9434.0593200000003</v>
      </c>
      <c r="G270" s="1962">
        <v>-9434.0593200000003</v>
      </c>
      <c r="H270" s="1962">
        <v>0</v>
      </c>
      <c r="I270" s="1962">
        <v>0</v>
      </c>
    </row>
    <row r="271" spans="1:9" hidden="1" outlineLevel="2" x14ac:dyDescent="0.2">
      <c r="A271" s="1980" t="s">
        <v>4924</v>
      </c>
      <c r="B271" s="1980" t="s">
        <v>4925</v>
      </c>
      <c r="C271" s="1980" t="s">
        <v>2344</v>
      </c>
      <c r="D271" s="1980" t="s">
        <v>2345</v>
      </c>
      <c r="E271" s="1980" t="s">
        <v>906</v>
      </c>
      <c r="F271" s="1985">
        <v>-125.15242000000001</v>
      </c>
      <c r="G271" s="1962">
        <v>-32.335884469029445</v>
      </c>
      <c r="H271" s="1962">
        <v>-8.9372722371746818</v>
      </c>
      <c r="I271" s="1962">
        <v>-7.3855372114377094</v>
      </c>
    </row>
    <row r="272" spans="1:9" hidden="1" outlineLevel="2" x14ac:dyDescent="0.2">
      <c r="A272" s="1980" t="s">
        <v>4924</v>
      </c>
      <c r="B272" s="1980" t="s">
        <v>4925</v>
      </c>
      <c r="C272" s="1980" t="s">
        <v>2344</v>
      </c>
      <c r="D272" s="1980" t="s">
        <v>2345</v>
      </c>
      <c r="E272" s="1980" t="s">
        <v>1083</v>
      </c>
      <c r="F272" s="1985">
        <v>-4537.68217</v>
      </c>
      <c r="G272" s="1962">
        <v>-1229.4347234812096</v>
      </c>
      <c r="H272" s="1962">
        <v>-345.67649371869237</v>
      </c>
      <c r="I272" s="1962">
        <v>-245.65360167844293</v>
      </c>
    </row>
    <row r="273" spans="1:9" hidden="1" outlineLevel="2" x14ac:dyDescent="0.2">
      <c r="A273" s="1980" t="s">
        <v>4924</v>
      </c>
      <c r="B273" s="1980" t="s">
        <v>4925</v>
      </c>
      <c r="C273" s="1980" t="s">
        <v>2344</v>
      </c>
      <c r="D273" s="1980" t="s">
        <v>2345</v>
      </c>
      <c r="E273" s="1980" t="s">
        <v>913</v>
      </c>
      <c r="F273" s="1985">
        <v>-318.67311000000001</v>
      </c>
      <c r="G273" s="1962">
        <v>-89.144943351743123</v>
      </c>
      <c r="H273" s="1962">
        <v>-23.788718420975158</v>
      </c>
      <c r="I273" s="1962">
        <v>-16.99562930972759</v>
      </c>
    </row>
    <row r="274" spans="1:9" hidden="1" outlineLevel="2" x14ac:dyDescent="0.2">
      <c r="A274" s="1980" t="s">
        <v>4924</v>
      </c>
      <c r="B274" s="1980" t="s">
        <v>4925</v>
      </c>
      <c r="C274" s="1980" t="s">
        <v>2344</v>
      </c>
      <c r="D274" s="1980" t="s">
        <v>2345</v>
      </c>
      <c r="E274" s="1980" t="s">
        <v>920</v>
      </c>
      <c r="F274" s="1985">
        <v>-11657.185369999999</v>
      </c>
      <c r="G274" s="1962">
        <v>0</v>
      </c>
      <c r="H274" s="1962">
        <v>0</v>
      </c>
      <c r="I274" s="1962">
        <v>0</v>
      </c>
    </row>
    <row r="275" spans="1:9" hidden="1" outlineLevel="2" x14ac:dyDescent="0.2">
      <c r="A275" s="1980" t="s">
        <v>4924</v>
      </c>
      <c r="B275" s="1980" t="s">
        <v>4925</v>
      </c>
      <c r="C275" s="1980" t="s">
        <v>2344</v>
      </c>
      <c r="D275" s="1980" t="s">
        <v>2345</v>
      </c>
      <c r="E275" s="1980" t="s">
        <v>921</v>
      </c>
      <c r="F275" s="1985">
        <v>-2139.25981</v>
      </c>
      <c r="G275" s="1962">
        <v>0</v>
      </c>
      <c r="H275" s="1962">
        <v>-2139.25981</v>
      </c>
      <c r="I275" s="1962">
        <v>0</v>
      </c>
    </row>
    <row r="276" spans="1:9" hidden="1" outlineLevel="2" x14ac:dyDescent="0.2">
      <c r="A276" s="1980" t="s">
        <v>4924</v>
      </c>
      <c r="B276" s="1980" t="s">
        <v>4925</v>
      </c>
      <c r="C276" s="1980" t="s">
        <v>2344</v>
      </c>
      <c r="D276" s="1980" t="s">
        <v>2345</v>
      </c>
      <c r="E276" s="1980" t="s">
        <v>922</v>
      </c>
      <c r="F276" s="1985">
        <v>-2476.3411099999998</v>
      </c>
      <c r="G276" s="1962">
        <v>0</v>
      </c>
      <c r="H276" s="1962">
        <v>0</v>
      </c>
      <c r="I276" s="1962">
        <v>0</v>
      </c>
    </row>
    <row r="277" spans="1:9" hidden="1" outlineLevel="2" x14ac:dyDescent="0.2">
      <c r="A277" s="1980" t="s">
        <v>4924</v>
      </c>
      <c r="B277" s="1980" t="s">
        <v>4925</v>
      </c>
      <c r="C277" s="1980" t="s">
        <v>2344</v>
      </c>
      <c r="D277" s="1980" t="s">
        <v>2345</v>
      </c>
      <c r="E277" s="1980" t="s">
        <v>923</v>
      </c>
      <c r="F277" s="1985">
        <v>-553.87765000000002</v>
      </c>
      <c r="G277" s="1962">
        <v>0</v>
      </c>
      <c r="H277" s="1962">
        <v>0</v>
      </c>
      <c r="I277" s="1962">
        <v>0</v>
      </c>
    </row>
    <row r="278" spans="1:9" hidden="1" outlineLevel="2" x14ac:dyDescent="0.2">
      <c r="A278" s="1980" t="s">
        <v>4924</v>
      </c>
      <c r="B278" s="1980" t="s">
        <v>4925</v>
      </c>
      <c r="C278" s="1980" t="s">
        <v>2346</v>
      </c>
      <c r="D278" s="1980" t="s">
        <v>2347</v>
      </c>
      <c r="E278" s="1980" t="s">
        <v>912</v>
      </c>
      <c r="F278" s="1985">
        <v>-261.50346999999999</v>
      </c>
      <c r="G278" s="1962">
        <v>-261.50346999999999</v>
      </c>
      <c r="H278" s="1962">
        <v>0</v>
      </c>
      <c r="I278" s="1962">
        <v>0</v>
      </c>
    </row>
    <row r="279" spans="1:9" hidden="1" outlineLevel="2" x14ac:dyDescent="0.2">
      <c r="A279" s="1980" t="s">
        <v>4924</v>
      </c>
      <c r="B279" s="1980" t="s">
        <v>4925</v>
      </c>
      <c r="C279" s="1980" t="s">
        <v>2346</v>
      </c>
      <c r="D279" s="1980" t="s">
        <v>2347</v>
      </c>
      <c r="E279" s="1980" t="s">
        <v>906</v>
      </c>
      <c r="F279" s="1985">
        <v>-3.9230499999999999</v>
      </c>
      <c r="G279" s="1962">
        <v>-1.0136063814525198</v>
      </c>
      <c r="H279" s="1962">
        <v>-0.28014932392076902</v>
      </c>
      <c r="I279" s="1962">
        <v>-0.23150836202233008</v>
      </c>
    </row>
    <row r="280" spans="1:9" hidden="1" outlineLevel="2" x14ac:dyDescent="0.2">
      <c r="A280" s="1980" t="s">
        <v>4924</v>
      </c>
      <c r="B280" s="1980" t="s">
        <v>4925</v>
      </c>
      <c r="C280" s="1980" t="s">
        <v>2346</v>
      </c>
      <c r="D280" s="1980" t="s">
        <v>2347</v>
      </c>
      <c r="E280" s="1980" t="s">
        <v>1083</v>
      </c>
      <c r="F280" s="1985">
        <v>-2702.1365900000001</v>
      </c>
      <c r="G280" s="1962">
        <v>-732.11397953310359</v>
      </c>
      <c r="H280" s="1962">
        <v>-205.8463036824335</v>
      </c>
      <c r="I280" s="1962">
        <v>-146.2838428722755</v>
      </c>
    </row>
    <row r="281" spans="1:9" hidden="1" outlineLevel="2" x14ac:dyDescent="0.2">
      <c r="A281" s="1980" t="s">
        <v>4924</v>
      </c>
      <c r="B281" s="1980" t="s">
        <v>4925</v>
      </c>
      <c r="C281" s="1980" t="s">
        <v>2346</v>
      </c>
      <c r="D281" s="1980" t="s">
        <v>2347</v>
      </c>
      <c r="E281" s="1980" t="s">
        <v>920</v>
      </c>
      <c r="F281" s="1985">
        <v>-73.407480000000007</v>
      </c>
      <c r="G281" s="1962">
        <v>0</v>
      </c>
      <c r="H281" s="1962">
        <v>0</v>
      </c>
      <c r="I281" s="1962">
        <v>0</v>
      </c>
    </row>
    <row r="282" spans="1:9" hidden="1" outlineLevel="2" x14ac:dyDescent="0.2">
      <c r="A282" s="1980" t="s">
        <v>4924</v>
      </c>
      <c r="B282" s="1980" t="s">
        <v>4925</v>
      </c>
      <c r="C282" s="1980" t="s">
        <v>2346</v>
      </c>
      <c r="D282" s="1980" t="s">
        <v>2347</v>
      </c>
      <c r="E282" s="1980" t="s">
        <v>921</v>
      </c>
      <c r="F282" s="1985">
        <v>-8.32057</v>
      </c>
      <c r="G282" s="1962">
        <v>0</v>
      </c>
      <c r="H282" s="1962">
        <v>-8.32057</v>
      </c>
      <c r="I282" s="1962">
        <v>0</v>
      </c>
    </row>
    <row r="283" spans="1:9" hidden="1" outlineLevel="2" x14ac:dyDescent="0.2">
      <c r="A283" s="1980" t="s">
        <v>4924</v>
      </c>
      <c r="B283" s="1980" t="s">
        <v>4925</v>
      </c>
      <c r="C283" s="1980" t="s">
        <v>2348</v>
      </c>
      <c r="D283" s="1980" t="s">
        <v>2349</v>
      </c>
      <c r="E283" s="1980" t="s">
        <v>918</v>
      </c>
      <c r="F283" s="1985">
        <v>-269.36408999999998</v>
      </c>
      <c r="G283" s="1962">
        <v>0</v>
      </c>
      <c r="H283" s="1962">
        <v>0</v>
      </c>
      <c r="I283" s="1962">
        <v>0</v>
      </c>
    </row>
    <row r="284" spans="1:9" hidden="1" outlineLevel="2" x14ac:dyDescent="0.2">
      <c r="A284" s="1980" t="s">
        <v>4924</v>
      </c>
      <c r="B284" s="1980" t="s">
        <v>4925</v>
      </c>
      <c r="C284" s="1980" t="s">
        <v>2348</v>
      </c>
      <c r="D284" s="1980" t="s">
        <v>2349</v>
      </c>
      <c r="E284" s="1980" t="s">
        <v>919</v>
      </c>
      <c r="F284" s="1985">
        <v>-569.85485000000006</v>
      </c>
      <c r="G284" s="1962">
        <v>0</v>
      </c>
      <c r="H284" s="1962">
        <v>0</v>
      </c>
      <c r="I284" s="1962">
        <v>-569.85485000000006</v>
      </c>
    </row>
    <row r="285" spans="1:9" hidden="1" outlineLevel="2" x14ac:dyDescent="0.2">
      <c r="A285" s="1980" t="s">
        <v>4924</v>
      </c>
      <c r="B285" s="1980" t="s">
        <v>4925</v>
      </c>
      <c r="C285" s="1980" t="s">
        <v>2348</v>
      </c>
      <c r="D285" s="1980" t="s">
        <v>2349</v>
      </c>
      <c r="E285" s="1980" t="s">
        <v>912</v>
      </c>
      <c r="F285" s="1985">
        <v>-1837.8903600000001</v>
      </c>
      <c r="G285" s="1962">
        <v>-1837.8903600000001</v>
      </c>
      <c r="H285" s="1962">
        <v>0</v>
      </c>
      <c r="I285" s="1962">
        <v>0</v>
      </c>
    </row>
    <row r="286" spans="1:9" hidden="1" outlineLevel="2" x14ac:dyDescent="0.2">
      <c r="A286" s="1980" t="s">
        <v>4924</v>
      </c>
      <c r="B286" s="1980" t="s">
        <v>4925</v>
      </c>
      <c r="C286" s="1980" t="s">
        <v>2348</v>
      </c>
      <c r="D286" s="1980" t="s">
        <v>2349</v>
      </c>
      <c r="E286" s="1980" t="s">
        <v>906</v>
      </c>
      <c r="F286" s="1985">
        <v>-36.409689999999998</v>
      </c>
      <c r="G286" s="1962">
        <v>-9.4072454163745025</v>
      </c>
      <c r="H286" s="1962">
        <v>-2.6000560884171202</v>
      </c>
      <c r="I286" s="1962">
        <v>-2.148621020287993</v>
      </c>
    </row>
    <row r="287" spans="1:9" hidden="1" outlineLevel="2" x14ac:dyDescent="0.2">
      <c r="A287" s="1980" t="s">
        <v>4924</v>
      </c>
      <c r="B287" s="1980" t="s">
        <v>4925</v>
      </c>
      <c r="C287" s="1980" t="s">
        <v>2348</v>
      </c>
      <c r="D287" s="1980" t="s">
        <v>2349</v>
      </c>
      <c r="E287" s="1980" t="s">
        <v>1083</v>
      </c>
      <c r="F287" s="1985">
        <v>-928.94577000000004</v>
      </c>
      <c r="G287" s="1962">
        <v>-251.68756715038714</v>
      </c>
      <c r="H287" s="1962">
        <v>-70.766242455542198</v>
      </c>
      <c r="I287" s="1962">
        <v>-50.289743885798522</v>
      </c>
    </row>
    <row r="288" spans="1:9" hidden="1" outlineLevel="2" x14ac:dyDescent="0.2">
      <c r="A288" s="1980" t="s">
        <v>4924</v>
      </c>
      <c r="B288" s="1980" t="s">
        <v>4925</v>
      </c>
      <c r="C288" s="1980" t="s">
        <v>2348</v>
      </c>
      <c r="D288" s="1980" t="s">
        <v>2349</v>
      </c>
      <c r="E288" s="1980" t="s">
        <v>913</v>
      </c>
      <c r="F288" s="1985">
        <v>-333.83758999999998</v>
      </c>
      <c r="G288" s="1962">
        <v>-93.387022988015659</v>
      </c>
      <c r="H288" s="1962">
        <v>-24.920735944262606</v>
      </c>
      <c r="I288" s="1962">
        <v>-17.804388733309885</v>
      </c>
    </row>
    <row r="289" spans="1:9" hidden="1" outlineLevel="2" x14ac:dyDescent="0.2">
      <c r="A289" s="1980" t="s">
        <v>4924</v>
      </c>
      <c r="B289" s="1980" t="s">
        <v>4925</v>
      </c>
      <c r="C289" s="1980" t="s">
        <v>2348</v>
      </c>
      <c r="D289" s="1980" t="s">
        <v>2349</v>
      </c>
      <c r="E289" s="1980" t="s">
        <v>920</v>
      </c>
      <c r="F289" s="1985">
        <v>-4366.2842000000001</v>
      </c>
      <c r="G289" s="1962">
        <v>0</v>
      </c>
      <c r="H289" s="1962">
        <v>0</v>
      </c>
      <c r="I289" s="1962">
        <v>0</v>
      </c>
    </row>
    <row r="290" spans="1:9" hidden="1" outlineLevel="2" x14ac:dyDescent="0.2">
      <c r="A290" s="1980" t="s">
        <v>4924</v>
      </c>
      <c r="B290" s="1980" t="s">
        <v>4925</v>
      </c>
      <c r="C290" s="1980" t="s">
        <v>2348</v>
      </c>
      <c r="D290" s="1980" t="s">
        <v>2349</v>
      </c>
      <c r="E290" s="1980" t="s">
        <v>921</v>
      </c>
      <c r="F290" s="1985">
        <v>-429.34314999999998</v>
      </c>
      <c r="G290" s="1962">
        <v>0</v>
      </c>
      <c r="H290" s="1962">
        <v>-429.34314999999998</v>
      </c>
      <c r="I290" s="1962">
        <v>0</v>
      </c>
    </row>
    <row r="291" spans="1:9" hidden="1" outlineLevel="2" x14ac:dyDescent="0.2">
      <c r="A291" s="1980" t="s">
        <v>4924</v>
      </c>
      <c r="B291" s="1980" t="s">
        <v>4925</v>
      </c>
      <c r="C291" s="1980" t="s">
        <v>2348</v>
      </c>
      <c r="D291" s="1980" t="s">
        <v>2349</v>
      </c>
      <c r="E291" s="1980" t="s">
        <v>922</v>
      </c>
      <c r="F291" s="1985">
        <v>-1717.6533999999999</v>
      </c>
      <c r="G291" s="1962">
        <v>0</v>
      </c>
      <c r="H291" s="1962">
        <v>0</v>
      </c>
      <c r="I291" s="1962">
        <v>0</v>
      </c>
    </row>
    <row r="292" spans="1:9" hidden="1" outlineLevel="2" x14ac:dyDescent="0.2">
      <c r="A292" s="1980" t="s">
        <v>4924</v>
      </c>
      <c r="B292" s="1980" t="s">
        <v>4925</v>
      </c>
      <c r="C292" s="1980" t="s">
        <v>2348</v>
      </c>
      <c r="D292" s="1980" t="s">
        <v>2349</v>
      </c>
      <c r="E292" s="1980" t="s">
        <v>923</v>
      </c>
      <c r="F292" s="1985">
        <v>-387.98487</v>
      </c>
      <c r="G292" s="1962">
        <v>0</v>
      </c>
      <c r="H292" s="1962">
        <v>0</v>
      </c>
      <c r="I292" s="1962">
        <v>0</v>
      </c>
    </row>
    <row r="293" spans="1:9" hidden="1" outlineLevel="2" x14ac:dyDescent="0.2">
      <c r="A293" s="1980" t="s">
        <v>4924</v>
      </c>
      <c r="B293" s="1980" t="s">
        <v>4925</v>
      </c>
      <c r="C293" s="1980" t="s">
        <v>2350</v>
      </c>
      <c r="D293" s="1980" t="s">
        <v>2351</v>
      </c>
      <c r="E293" s="1980" t="s">
        <v>918</v>
      </c>
      <c r="F293" s="1985">
        <v>-106.92637999999999</v>
      </c>
      <c r="G293" s="1962">
        <v>0</v>
      </c>
      <c r="H293" s="1962">
        <v>0</v>
      </c>
      <c r="I293" s="1962">
        <v>0</v>
      </c>
    </row>
    <row r="294" spans="1:9" hidden="1" outlineLevel="2" x14ac:dyDescent="0.2">
      <c r="A294" s="1980" t="s">
        <v>4924</v>
      </c>
      <c r="B294" s="1980" t="s">
        <v>4925</v>
      </c>
      <c r="C294" s="1980" t="s">
        <v>2350</v>
      </c>
      <c r="D294" s="1980" t="s">
        <v>2351</v>
      </c>
      <c r="E294" s="1980" t="s">
        <v>919</v>
      </c>
      <c r="F294" s="1985">
        <v>-59.447400000000002</v>
      </c>
      <c r="G294" s="1962">
        <v>0</v>
      </c>
      <c r="H294" s="1962">
        <v>0</v>
      </c>
      <c r="I294" s="1962">
        <v>-59.447400000000002</v>
      </c>
    </row>
    <row r="295" spans="1:9" hidden="1" outlineLevel="2" x14ac:dyDescent="0.2">
      <c r="A295" s="1980" t="s">
        <v>4924</v>
      </c>
      <c r="B295" s="1980" t="s">
        <v>4925</v>
      </c>
      <c r="C295" s="1980" t="s">
        <v>2350</v>
      </c>
      <c r="D295" s="1980" t="s">
        <v>2351</v>
      </c>
      <c r="E295" s="1980" t="s">
        <v>912</v>
      </c>
      <c r="F295" s="1985">
        <v>-323.45916</v>
      </c>
      <c r="G295" s="1962">
        <v>-323.45916</v>
      </c>
      <c r="H295" s="1962">
        <v>0</v>
      </c>
      <c r="I295" s="1962">
        <v>0</v>
      </c>
    </row>
    <row r="296" spans="1:9" hidden="1" outlineLevel="2" x14ac:dyDescent="0.2">
      <c r="A296" s="1980" t="s">
        <v>4924</v>
      </c>
      <c r="B296" s="1980" t="s">
        <v>4925</v>
      </c>
      <c r="C296" s="1980" t="s">
        <v>2350</v>
      </c>
      <c r="D296" s="1980" t="s">
        <v>2351</v>
      </c>
      <c r="E296" s="1980" t="s">
        <v>906</v>
      </c>
      <c r="F296" s="1985">
        <v>-5.3950500000000003</v>
      </c>
      <c r="G296" s="1962">
        <v>-1.3939300055455366</v>
      </c>
      <c r="H296" s="1962">
        <v>-0.3852664661471929</v>
      </c>
      <c r="I296" s="1962">
        <v>-0.3183745270971749</v>
      </c>
    </row>
    <row r="297" spans="1:9" hidden="1" outlineLevel="2" x14ac:dyDescent="0.2">
      <c r="A297" s="1980" t="s">
        <v>4924</v>
      </c>
      <c r="B297" s="1980" t="s">
        <v>4925</v>
      </c>
      <c r="C297" s="1980" t="s">
        <v>2350</v>
      </c>
      <c r="D297" s="1980" t="s">
        <v>2351</v>
      </c>
      <c r="E297" s="1980" t="s">
        <v>1083</v>
      </c>
      <c r="F297" s="1985">
        <v>-664.84576000000004</v>
      </c>
      <c r="G297" s="1962">
        <v>-180.13259467735148</v>
      </c>
      <c r="H297" s="1962">
        <v>-50.647344298364388</v>
      </c>
      <c r="I297" s="1962">
        <v>-35.992330310044977</v>
      </c>
    </row>
    <row r="298" spans="1:9" hidden="1" outlineLevel="2" x14ac:dyDescent="0.2">
      <c r="A298" s="1980" t="s">
        <v>4924</v>
      </c>
      <c r="B298" s="1980" t="s">
        <v>4925</v>
      </c>
      <c r="C298" s="1980" t="s">
        <v>2350</v>
      </c>
      <c r="D298" s="1980" t="s">
        <v>2351</v>
      </c>
      <c r="E298" s="1980" t="s">
        <v>913</v>
      </c>
      <c r="F298" s="1985">
        <v>-46.8215</v>
      </c>
      <c r="G298" s="1962">
        <v>-13.097747610846866</v>
      </c>
      <c r="H298" s="1962">
        <v>-3.4951912935097926</v>
      </c>
      <c r="I298" s="1962">
        <v>-2.4971070126544732</v>
      </c>
    </row>
    <row r="299" spans="1:9" hidden="1" outlineLevel="2" x14ac:dyDescent="0.2">
      <c r="A299" s="1980" t="s">
        <v>4924</v>
      </c>
      <c r="B299" s="1980" t="s">
        <v>4925</v>
      </c>
      <c r="C299" s="1980" t="s">
        <v>2350</v>
      </c>
      <c r="D299" s="1980" t="s">
        <v>2351</v>
      </c>
      <c r="E299" s="1980" t="s">
        <v>920</v>
      </c>
      <c r="F299" s="1985">
        <v>-241.3691</v>
      </c>
      <c r="G299" s="1962">
        <v>0</v>
      </c>
      <c r="H299" s="1962">
        <v>0</v>
      </c>
      <c r="I299" s="1962">
        <v>0</v>
      </c>
    </row>
    <row r="300" spans="1:9" hidden="1" outlineLevel="2" x14ac:dyDescent="0.2">
      <c r="A300" s="1980" t="s">
        <v>4924</v>
      </c>
      <c r="B300" s="1980" t="s">
        <v>4925</v>
      </c>
      <c r="C300" s="1980" t="s">
        <v>2350</v>
      </c>
      <c r="D300" s="1980" t="s">
        <v>2351</v>
      </c>
      <c r="E300" s="1980" t="s">
        <v>921</v>
      </c>
      <c r="F300" s="1985">
        <v>-76.514790000000005</v>
      </c>
      <c r="G300" s="1962">
        <v>0</v>
      </c>
      <c r="H300" s="1962">
        <v>-76.514790000000005</v>
      </c>
      <c r="I300" s="1962">
        <v>0</v>
      </c>
    </row>
    <row r="301" spans="1:9" hidden="1" outlineLevel="2" x14ac:dyDescent="0.2">
      <c r="A301" s="1980" t="s">
        <v>4924</v>
      </c>
      <c r="B301" s="1980" t="s">
        <v>4925</v>
      </c>
      <c r="C301" s="1980" t="s">
        <v>2350</v>
      </c>
      <c r="D301" s="1980" t="s">
        <v>2351</v>
      </c>
      <c r="E301" s="1980" t="s">
        <v>922</v>
      </c>
      <c r="F301" s="1985">
        <v>-191.9684</v>
      </c>
      <c r="G301" s="1962">
        <v>0</v>
      </c>
      <c r="H301" s="1962">
        <v>0</v>
      </c>
      <c r="I301" s="1962">
        <v>0</v>
      </c>
    </row>
    <row r="302" spans="1:9" hidden="1" outlineLevel="2" x14ac:dyDescent="0.2">
      <c r="A302" s="1980" t="s">
        <v>4924</v>
      </c>
      <c r="B302" s="1980" t="s">
        <v>4925</v>
      </c>
      <c r="C302" s="1980" t="s">
        <v>2350</v>
      </c>
      <c r="D302" s="1980" t="s">
        <v>2351</v>
      </c>
      <c r="E302" s="1980" t="s">
        <v>923</v>
      </c>
      <c r="F302" s="1985">
        <v>-38.374049999999997</v>
      </c>
      <c r="G302" s="1962">
        <v>0</v>
      </c>
      <c r="H302" s="1962">
        <v>0</v>
      </c>
      <c r="I302" s="1962">
        <v>0</v>
      </c>
    </row>
    <row r="303" spans="1:9" hidden="1" outlineLevel="2" x14ac:dyDescent="0.2">
      <c r="A303" s="1980" t="s">
        <v>4924</v>
      </c>
      <c r="B303" s="1980" t="s">
        <v>4925</v>
      </c>
      <c r="C303" s="1980" t="s">
        <v>2352</v>
      </c>
      <c r="D303" s="1980" t="s">
        <v>2353</v>
      </c>
      <c r="E303" s="1980" t="s">
        <v>912</v>
      </c>
      <c r="F303" s="1985">
        <v>-273.85527999999999</v>
      </c>
      <c r="G303" s="1962">
        <v>-273.85527999999999</v>
      </c>
      <c r="H303" s="1962">
        <v>0</v>
      </c>
      <c r="I303" s="1962">
        <v>0</v>
      </c>
    </row>
    <row r="304" spans="1:9" hidden="1" outlineLevel="2" x14ac:dyDescent="0.2">
      <c r="A304" s="1980" t="s">
        <v>4924</v>
      </c>
      <c r="B304" s="1980" t="s">
        <v>4925</v>
      </c>
      <c r="C304" s="1980" t="s">
        <v>2352</v>
      </c>
      <c r="D304" s="1980" t="s">
        <v>2353</v>
      </c>
      <c r="E304" s="1980" t="s">
        <v>1083</v>
      </c>
      <c r="F304" s="1985">
        <v>-363.75542000000002</v>
      </c>
      <c r="G304" s="1962">
        <v>-98.555502004780408</v>
      </c>
      <c r="H304" s="1962">
        <v>-27.710556501309632</v>
      </c>
      <c r="I304" s="1962">
        <v>-19.692394862695885</v>
      </c>
    </row>
    <row r="305" spans="1:9" hidden="1" outlineLevel="2" x14ac:dyDescent="0.2">
      <c r="A305" s="1980" t="s">
        <v>4924</v>
      </c>
      <c r="B305" s="1980" t="s">
        <v>4925</v>
      </c>
      <c r="C305" s="1980" t="s">
        <v>2352</v>
      </c>
      <c r="D305" s="1980" t="s">
        <v>2353</v>
      </c>
      <c r="E305" s="1980" t="s">
        <v>913</v>
      </c>
      <c r="F305" s="1985">
        <v>-172.42071000000001</v>
      </c>
      <c r="G305" s="1962">
        <v>-48.232605586387031</v>
      </c>
      <c r="H305" s="1962">
        <v>-12.871081969026555</v>
      </c>
      <c r="I305" s="1962">
        <v>-9.1956251736459382</v>
      </c>
    </row>
    <row r="306" spans="1:9" hidden="1" outlineLevel="2" x14ac:dyDescent="0.2">
      <c r="A306" s="1980" t="s">
        <v>4924</v>
      </c>
      <c r="B306" s="1980" t="s">
        <v>4925</v>
      </c>
      <c r="C306" s="1980" t="s">
        <v>2352</v>
      </c>
      <c r="D306" s="1980" t="s">
        <v>2353</v>
      </c>
      <c r="E306" s="1980" t="s">
        <v>920</v>
      </c>
      <c r="F306" s="1985">
        <v>-997.22304999999994</v>
      </c>
      <c r="G306" s="1962">
        <v>0</v>
      </c>
      <c r="H306" s="1962">
        <v>0</v>
      </c>
      <c r="I306" s="1962">
        <v>0</v>
      </c>
    </row>
    <row r="307" spans="1:9" hidden="1" outlineLevel="2" x14ac:dyDescent="0.2">
      <c r="A307" s="1980" t="s">
        <v>4924</v>
      </c>
      <c r="B307" s="1980" t="s">
        <v>4925</v>
      </c>
      <c r="C307" s="1980" t="s">
        <v>2352</v>
      </c>
      <c r="D307" s="1980" t="s">
        <v>2353</v>
      </c>
      <c r="E307" s="1980" t="s">
        <v>921</v>
      </c>
      <c r="F307" s="1985">
        <v>-171.96196</v>
      </c>
      <c r="G307" s="1962">
        <v>0</v>
      </c>
      <c r="H307" s="1962">
        <v>-171.96196</v>
      </c>
      <c r="I307" s="1962">
        <v>0</v>
      </c>
    </row>
    <row r="308" spans="1:9" hidden="1" outlineLevel="2" x14ac:dyDescent="0.2">
      <c r="A308" s="1980" t="s">
        <v>4924</v>
      </c>
      <c r="B308" s="1980" t="s">
        <v>4925</v>
      </c>
      <c r="C308" s="1980" t="s">
        <v>2352</v>
      </c>
      <c r="D308" s="1980" t="s">
        <v>2353</v>
      </c>
      <c r="E308" s="1980" t="s">
        <v>922</v>
      </c>
      <c r="F308" s="1985">
        <v>-70.528499999999994</v>
      </c>
      <c r="G308" s="1962">
        <v>0</v>
      </c>
      <c r="H308" s="1962">
        <v>0</v>
      </c>
      <c r="I308" s="1962">
        <v>0</v>
      </c>
    </row>
    <row r="309" spans="1:9" hidden="1" outlineLevel="2" x14ac:dyDescent="0.2">
      <c r="A309" s="1980" t="s">
        <v>4924</v>
      </c>
      <c r="B309" s="1980" t="s">
        <v>4925</v>
      </c>
      <c r="C309" s="1980" t="s">
        <v>2354</v>
      </c>
      <c r="D309" s="1980" t="s">
        <v>2355</v>
      </c>
      <c r="E309" s="1980" t="s">
        <v>913</v>
      </c>
      <c r="F309" s="1985">
        <v>-1551.20111</v>
      </c>
      <c r="G309" s="1962">
        <v>-433.9297252852964</v>
      </c>
      <c r="H309" s="1962">
        <v>-115.79604699026571</v>
      </c>
      <c r="I309" s="1962">
        <v>-82.729412125164785</v>
      </c>
    </row>
    <row r="310" spans="1:9" hidden="1" outlineLevel="2" x14ac:dyDescent="0.2">
      <c r="A310" s="1980" t="s">
        <v>4924</v>
      </c>
      <c r="B310" s="1980" t="s">
        <v>4925</v>
      </c>
      <c r="C310" s="1980" t="s">
        <v>1984</v>
      </c>
      <c r="D310" s="1980" t="s">
        <v>1985</v>
      </c>
      <c r="E310" s="1980" t="s">
        <v>918</v>
      </c>
      <c r="F310" s="1985">
        <v>-51.88317</v>
      </c>
      <c r="G310" s="1962">
        <v>0</v>
      </c>
      <c r="H310" s="1962">
        <v>0</v>
      </c>
      <c r="I310" s="1962">
        <v>0</v>
      </c>
    </row>
    <row r="311" spans="1:9" hidden="1" outlineLevel="2" x14ac:dyDescent="0.2">
      <c r="A311" s="1980" t="s">
        <v>4924</v>
      </c>
      <c r="B311" s="1980" t="s">
        <v>4925</v>
      </c>
      <c r="C311" s="1980" t="s">
        <v>1984</v>
      </c>
      <c r="D311" s="1980" t="s">
        <v>1985</v>
      </c>
      <c r="E311" s="1980" t="s">
        <v>919</v>
      </c>
      <c r="F311" s="1985">
        <v>-350.54138999999998</v>
      </c>
      <c r="G311" s="1962">
        <v>0</v>
      </c>
      <c r="H311" s="1962">
        <v>0</v>
      </c>
      <c r="I311" s="1962">
        <v>-350.54138999999998</v>
      </c>
    </row>
    <row r="312" spans="1:9" hidden="1" outlineLevel="2" x14ac:dyDescent="0.2">
      <c r="A312" s="1980" t="s">
        <v>4924</v>
      </c>
      <c r="B312" s="1980" t="s">
        <v>4925</v>
      </c>
      <c r="C312" s="1980" t="s">
        <v>1984</v>
      </c>
      <c r="D312" s="1980" t="s">
        <v>1985</v>
      </c>
      <c r="E312" s="1980" t="s">
        <v>912</v>
      </c>
      <c r="F312" s="1985">
        <v>-1378.87501</v>
      </c>
      <c r="G312" s="1962">
        <v>-1378.87501</v>
      </c>
      <c r="H312" s="1962">
        <v>0</v>
      </c>
      <c r="I312" s="1962">
        <v>0</v>
      </c>
    </row>
    <row r="313" spans="1:9" hidden="1" outlineLevel="2" x14ac:dyDescent="0.2">
      <c r="A313" s="1980" t="s">
        <v>4924</v>
      </c>
      <c r="B313" s="1980" t="s">
        <v>4925</v>
      </c>
      <c r="C313" s="1980" t="s">
        <v>1984</v>
      </c>
      <c r="D313" s="1980" t="s">
        <v>1985</v>
      </c>
      <c r="E313" s="1980" t="s">
        <v>1083</v>
      </c>
      <c r="F313" s="1985">
        <v>-3258.5857900000001</v>
      </c>
      <c r="G313" s="1962">
        <v>-882.87772690533086</v>
      </c>
      <c r="H313" s="1962">
        <v>-248.23609679316857</v>
      </c>
      <c r="I313" s="1962">
        <v>-176.40797784030218</v>
      </c>
    </row>
    <row r="314" spans="1:9" hidden="1" outlineLevel="2" x14ac:dyDescent="0.2">
      <c r="A314" s="1980" t="s">
        <v>4924</v>
      </c>
      <c r="B314" s="1980" t="s">
        <v>4925</v>
      </c>
      <c r="C314" s="1980" t="s">
        <v>1984</v>
      </c>
      <c r="D314" s="1980" t="s">
        <v>1985</v>
      </c>
      <c r="E314" s="1980" t="s">
        <v>913</v>
      </c>
      <c r="F314" s="1985">
        <v>-127.19552</v>
      </c>
      <c r="G314" s="1962">
        <v>-35.581406366528725</v>
      </c>
      <c r="H314" s="1962">
        <v>-9.4950540686960192</v>
      </c>
      <c r="I314" s="1962">
        <v>-6.7836533423797247</v>
      </c>
    </row>
    <row r="315" spans="1:9" hidden="1" outlineLevel="2" x14ac:dyDescent="0.2">
      <c r="A315" s="1980" t="s">
        <v>4924</v>
      </c>
      <c r="B315" s="1980" t="s">
        <v>4925</v>
      </c>
      <c r="C315" s="1980" t="s">
        <v>1984</v>
      </c>
      <c r="D315" s="1980" t="s">
        <v>1985</v>
      </c>
      <c r="E315" s="1980" t="s">
        <v>920</v>
      </c>
      <c r="F315" s="1985">
        <v>-1935.1628700000001</v>
      </c>
      <c r="G315" s="1962">
        <v>0</v>
      </c>
      <c r="H315" s="1962">
        <v>0</v>
      </c>
      <c r="I315" s="1962">
        <v>0</v>
      </c>
    </row>
    <row r="316" spans="1:9" hidden="1" outlineLevel="2" x14ac:dyDescent="0.2">
      <c r="A316" s="1980" t="s">
        <v>4924</v>
      </c>
      <c r="B316" s="1980" t="s">
        <v>4925</v>
      </c>
      <c r="C316" s="1980" t="s">
        <v>1984</v>
      </c>
      <c r="D316" s="1980" t="s">
        <v>1985</v>
      </c>
      <c r="E316" s="1980" t="s">
        <v>921</v>
      </c>
      <c r="F316" s="1985">
        <v>-413.9178</v>
      </c>
      <c r="G316" s="1962">
        <v>0</v>
      </c>
      <c r="H316" s="1962">
        <v>-413.9178</v>
      </c>
      <c r="I316" s="1962">
        <v>0</v>
      </c>
    </row>
    <row r="317" spans="1:9" hidden="1" outlineLevel="2" x14ac:dyDescent="0.2">
      <c r="A317" s="1980" t="s">
        <v>4924</v>
      </c>
      <c r="B317" s="1980" t="s">
        <v>4925</v>
      </c>
      <c r="C317" s="1980" t="s">
        <v>1984</v>
      </c>
      <c r="D317" s="1980" t="s">
        <v>1985</v>
      </c>
      <c r="E317" s="1980" t="s">
        <v>922</v>
      </c>
      <c r="F317" s="1985">
        <v>-618.55502999999999</v>
      </c>
      <c r="G317" s="1962">
        <v>0</v>
      </c>
      <c r="H317" s="1962">
        <v>0</v>
      </c>
      <c r="I317" s="1962">
        <v>0</v>
      </c>
    </row>
    <row r="318" spans="1:9" hidden="1" outlineLevel="2" x14ac:dyDescent="0.2">
      <c r="A318" s="1980" t="s">
        <v>4924</v>
      </c>
      <c r="B318" s="1980" t="s">
        <v>4925</v>
      </c>
      <c r="C318" s="1980" t="s">
        <v>1984</v>
      </c>
      <c r="D318" s="1980" t="s">
        <v>1985</v>
      </c>
      <c r="E318" s="1980" t="s">
        <v>923</v>
      </c>
      <c r="F318" s="1985">
        <v>-0.86248000000000002</v>
      </c>
      <c r="G318" s="1962">
        <v>0</v>
      </c>
      <c r="H318" s="1962">
        <v>0</v>
      </c>
      <c r="I318" s="1962">
        <v>0</v>
      </c>
    </row>
    <row r="319" spans="1:9" hidden="1" outlineLevel="2" x14ac:dyDescent="0.2">
      <c r="A319" s="1980" t="s">
        <v>4924</v>
      </c>
      <c r="B319" s="1980" t="s">
        <v>4925</v>
      </c>
      <c r="C319" s="1980" t="s">
        <v>1986</v>
      </c>
      <c r="D319" s="1980" t="s">
        <v>1987</v>
      </c>
      <c r="E319" s="1980" t="s">
        <v>918</v>
      </c>
      <c r="F319" s="1985">
        <v>-450.9307</v>
      </c>
      <c r="G319" s="1962">
        <v>0</v>
      </c>
      <c r="H319" s="1962">
        <v>0</v>
      </c>
      <c r="I319" s="1962">
        <v>0</v>
      </c>
    </row>
    <row r="320" spans="1:9" hidden="1" outlineLevel="2" x14ac:dyDescent="0.2">
      <c r="A320" s="1980" t="s">
        <v>4924</v>
      </c>
      <c r="B320" s="1980" t="s">
        <v>4925</v>
      </c>
      <c r="C320" s="1980" t="s">
        <v>1986</v>
      </c>
      <c r="D320" s="1980" t="s">
        <v>1987</v>
      </c>
      <c r="E320" s="1980" t="s">
        <v>919</v>
      </c>
      <c r="F320" s="1985">
        <v>-1229.15662</v>
      </c>
      <c r="G320" s="1962">
        <v>0</v>
      </c>
      <c r="H320" s="1962">
        <v>0</v>
      </c>
      <c r="I320" s="1962">
        <v>-1229.15662</v>
      </c>
    </row>
    <row r="321" spans="1:9" hidden="1" outlineLevel="2" x14ac:dyDescent="0.2">
      <c r="A321" s="1980" t="s">
        <v>4924</v>
      </c>
      <c r="B321" s="1980" t="s">
        <v>4925</v>
      </c>
      <c r="C321" s="1980" t="s">
        <v>1986</v>
      </c>
      <c r="D321" s="1980" t="s">
        <v>1987</v>
      </c>
      <c r="E321" s="1980" t="s">
        <v>912</v>
      </c>
      <c r="F321" s="1985">
        <v>-5538.3767399999997</v>
      </c>
      <c r="G321" s="1962">
        <v>-5538.3767399999997</v>
      </c>
      <c r="H321" s="1962">
        <v>0</v>
      </c>
      <c r="I321" s="1962">
        <v>0</v>
      </c>
    </row>
    <row r="322" spans="1:9" hidden="1" outlineLevel="2" x14ac:dyDescent="0.2">
      <c r="A322" s="1980" t="s">
        <v>4924</v>
      </c>
      <c r="B322" s="1980" t="s">
        <v>4925</v>
      </c>
      <c r="C322" s="1980" t="s">
        <v>1986</v>
      </c>
      <c r="D322" s="1980" t="s">
        <v>1987</v>
      </c>
      <c r="E322" s="1980" t="s">
        <v>906</v>
      </c>
      <c r="F322" s="1985">
        <v>-85.630009999999999</v>
      </c>
      <c r="G322" s="1962">
        <v>-22.124399276033465</v>
      </c>
      <c r="H322" s="1962">
        <v>-6.114933383165825</v>
      </c>
      <c r="I322" s="1962">
        <v>-5.0532272989270455</v>
      </c>
    </row>
    <row r="323" spans="1:9" hidden="1" outlineLevel="2" x14ac:dyDescent="0.2">
      <c r="A323" s="1980" t="s">
        <v>4924</v>
      </c>
      <c r="B323" s="1980" t="s">
        <v>4925</v>
      </c>
      <c r="C323" s="1980" t="s">
        <v>1986</v>
      </c>
      <c r="D323" s="1980" t="s">
        <v>1987</v>
      </c>
      <c r="E323" s="1980" t="s">
        <v>1083</v>
      </c>
      <c r="F323" s="1985">
        <v>-11695.82612</v>
      </c>
      <c r="G323" s="1962">
        <v>-3168.8545413762436</v>
      </c>
      <c r="H323" s="1962">
        <v>-890.9773785027121</v>
      </c>
      <c r="I323" s="1962">
        <v>-633.16946920123507</v>
      </c>
    </row>
    <row r="324" spans="1:9" hidden="1" outlineLevel="2" x14ac:dyDescent="0.2">
      <c r="A324" s="1980" t="s">
        <v>4924</v>
      </c>
      <c r="B324" s="1980" t="s">
        <v>4925</v>
      </c>
      <c r="C324" s="1980" t="s">
        <v>1986</v>
      </c>
      <c r="D324" s="1980" t="s">
        <v>1987</v>
      </c>
      <c r="E324" s="1980" t="s">
        <v>913</v>
      </c>
      <c r="F324" s="1985">
        <v>-1293.2810300000001</v>
      </c>
      <c r="G324" s="1962">
        <v>-361.77970634934968</v>
      </c>
      <c r="H324" s="1962">
        <v>-96.542498555522087</v>
      </c>
      <c r="I324" s="1962">
        <v>-68.973892962549257</v>
      </c>
    </row>
    <row r="325" spans="1:9" hidden="1" outlineLevel="2" x14ac:dyDescent="0.2">
      <c r="A325" s="1980" t="s">
        <v>4924</v>
      </c>
      <c r="B325" s="1980" t="s">
        <v>4925</v>
      </c>
      <c r="C325" s="1980" t="s">
        <v>1986</v>
      </c>
      <c r="D325" s="1980" t="s">
        <v>1987</v>
      </c>
      <c r="E325" s="1980" t="s">
        <v>920</v>
      </c>
      <c r="F325" s="1985">
        <v>-8093.1629999999996</v>
      </c>
      <c r="G325" s="1962">
        <v>0</v>
      </c>
      <c r="H325" s="1962">
        <v>0</v>
      </c>
      <c r="I325" s="1962">
        <v>0</v>
      </c>
    </row>
    <row r="326" spans="1:9" hidden="1" outlineLevel="2" x14ac:dyDescent="0.2">
      <c r="A326" s="1980" t="s">
        <v>4924</v>
      </c>
      <c r="B326" s="1980" t="s">
        <v>4925</v>
      </c>
      <c r="C326" s="1980" t="s">
        <v>1986</v>
      </c>
      <c r="D326" s="1980" t="s">
        <v>1987</v>
      </c>
      <c r="E326" s="1980" t="s">
        <v>921</v>
      </c>
      <c r="F326" s="1985">
        <v>-1454.3398299999999</v>
      </c>
      <c r="G326" s="1962">
        <v>0</v>
      </c>
      <c r="H326" s="1962">
        <v>-1454.3398299999999</v>
      </c>
      <c r="I326" s="1962">
        <v>0</v>
      </c>
    </row>
    <row r="327" spans="1:9" hidden="1" outlineLevel="2" x14ac:dyDescent="0.2">
      <c r="A327" s="1980" t="s">
        <v>4924</v>
      </c>
      <c r="B327" s="1980" t="s">
        <v>4925</v>
      </c>
      <c r="C327" s="1980" t="s">
        <v>1986</v>
      </c>
      <c r="D327" s="1980" t="s">
        <v>1987</v>
      </c>
      <c r="E327" s="1980" t="s">
        <v>922</v>
      </c>
      <c r="F327" s="1985">
        <v>-1974.7239099999999</v>
      </c>
      <c r="G327" s="1962">
        <v>0</v>
      </c>
      <c r="H327" s="1962">
        <v>0</v>
      </c>
      <c r="I327" s="1962">
        <v>0</v>
      </c>
    </row>
    <row r="328" spans="1:9" hidden="1" outlineLevel="2" x14ac:dyDescent="0.2">
      <c r="A328" s="1980" t="s">
        <v>4924</v>
      </c>
      <c r="B328" s="1980" t="s">
        <v>4925</v>
      </c>
      <c r="C328" s="1980" t="s">
        <v>1986</v>
      </c>
      <c r="D328" s="1980" t="s">
        <v>1987</v>
      </c>
      <c r="E328" s="1980" t="s">
        <v>923</v>
      </c>
      <c r="F328" s="1985">
        <v>-241.43666999999999</v>
      </c>
      <c r="G328" s="1962">
        <v>0</v>
      </c>
      <c r="H328" s="1962">
        <v>0</v>
      </c>
      <c r="I328" s="1962">
        <v>0</v>
      </c>
    </row>
    <row r="329" spans="1:9" hidden="1" outlineLevel="2" x14ac:dyDescent="0.2">
      <c r="A329" s="1980" t="s">
        <v>4924</v>
      </c>
      <c r="B329" s="1980" t="s">
        <v>4925</v>
      </c>
      <c r="C329" s="1980" t="s">
        <v>1988</v>
      </c>
      <c r="D329" s="1980" t="s">
        <v>1989</v>
      </c>
      <c r="E329" s="1980" t="s">
        <v>918</v>
      </c>
      <c r="F329" s="1985">
        <v>-247.99433999999999</v>
      </c>
      <c r="G329" s="1962">
        <v>0</v>
      </c>
      <c r="H329" s="1962">
        <v>0</v>
      </c>
      <c r="I329" s="1962">
        <v>0</v>
      </c>
    </row>
    <row r="330" spans="1:9" hidden="1" outlineLevel="2" x14ac:dyDescent="0.2">
      <c r="A330" s="1980" t="s">
        <v>4924</v>
      </c>
      <c r="B330" s="1980" t="s">
        <v>4925</v>
      </c>
      <c r="C330" s="1980" t="s">
        <v>1988</v>
      </c>
      <c r="D330" s="1980" t="s">
        <v>1989</v>
      </c>
      <c r="E330" s="1980" t="s">
        <v>919</v>
      </c>
      <c r="F330" s="1985">
        <v>-844.34145999999998</v>
      </c>
      <c r="G330" s="1962">
        <v>0</v>
      </c>
      <c r="H330" s="1962">
        <v>0</v>
      </c>
      <c r="I330" s="1962">
        <v>-844.34145999999998</v>
      </c>
    </row>
    <row r="331" spans="1:9" hidden="1" outlineLevel="2" x14ac:dyDescent="0.2">
      <c r="A331" s="1980" t="s">
        <v>4924</v>
      </c>
      <c r="B331" s="1980" t="s">
        <v>4925</v>
      </c>
      <c r="C331" s="1980" t="s">
        <v>1988</v>
      </c>
      <c r="D331" s="1980" t="s">
        <v>1989</v>
      </c>
      <c r="E331" s="1980" t="s">
        <v>912</v>
      </c>
      <c r="F331" s="1985">
        <v>-5030.9760900000001</v>
      </c>
      <c r="G331" s="1962">
        <v>-5030.9760900000001</v>
      </c>
      <c r="H331" s="1962">
        <v>0</v>
      </c>
      <c r="I331" s="1962">
        <v>0</v>
      </c>
    </row>
    <row r="332" spans="1:9" hidden="1" outlineLevel="2" x14ac:dyDescent="0.2">
      <c r="A332" s="1980" t="s">
        <v>4924</v>
      </c>
      <c r="B332" s="1980" t="s">
        <v>4925</v>
      </c>
      <c r="C332" s="1980" t="s">
        <v>1988</v>
      </c>
      <c r="D332" s="1980" t="s">
        <v>1989</v>
      </c>
      <c r="E332" s="1980" t="s">
        <v>906</v>
      </c>
      <c r="F332" s="1985">
        <v>-770.65576999999996</v>
      </c>
      <c r="G332" s="1962">
        <v>-199.11589359687113</v>
      </c>
      <c r="H332" s="1962">
        <v>-55.033377841510983</v>
      </c>
      <c r="I332" s="1962">
        <v>-45.478200633628823</v>
      </c>
    </row>
    <row r="333" spans="1:9" hidden="1" outlineLevel="2" x14ac:dyDescent="0.2">
      <c r="A333" s="1980" t="s">
        <v>4924</v>
      </c>
      <c r="B333" s="1980" t="s">
        <v>4925</v>
      </c>
      <c r="C333" s="1980" t="s">
        <v>1988</v>
      </c>
      <c r="D333" s="1980" t="s">
        <v>1989</v>
      </c>
      <c r="E333" s="1980" t="s">
        <v>1083</v>
      </c>
      <c r="F333" s="1985">
        <v>-3804.4171999999999</v>
      </c>
      <c r="G333" s="1962">
        <v>-1030.7647016823034</v>
      </c>
      <c r="H333" s="1962">
        <v>-289.81703633489275</v>
      </c>
      <c r="I333" s="1962">
        <v>-205.95730429207586</v>
      </c>
    </row>
    <row r="334" spans="1:9" hidden="1" outlineLevel="2" x14ac:dyDescent="0.2">
      <c r="A334" s="1980" t="s">
        <v>4924</v>
      </c>
      <c r="B334" s="1980" t="s">
        <v>4925</v>
      </c>
      <c r="C334" s="1980" t="s">
        <v>1988</v>
      </c>
      <c r="D334" s="1980" t="s">
        <v>1989</v>
      </c>
      <c r="E334" s="1980" t="s">
        <v>913</v>
      </c>
      <c r="F334" s="1985">
        <v>-2531.8288499999999</v>
      </c>
      <c r="G334" s="1962">
        <v>-708.24846002713855</v>
      </c>
      <c r="H334" s="1962">
        <v>-188.99920235739799</v>
      </c>
      <c r="I334" s="1962">
        <v>-135.02872774635392</v>
      </c>
    </row>
    <row r="335" spans="1:9" hidden="1" outlineLevel="2" x14ac:dyDescent="0.2">
      <c r="A335" s="1980" t="s">
        <v>4924</v>
      </c>
      <c r="B335" s="1980" t="s">
        <v>4925</v>
      </c>
      <c r="C335" s="1980" t="s">
        <v>1988</v>
      </c>
      <c r="D335" s="1980" t="s">
        <v>1989</v>
      </c>
      <c r="E335" s="1980" t="s">
        <v>920</v>
      </c>
      <c r="F335" s="1985">
        <v>-4623.9718400000002</v>
      </c>
      <c r="G335" s="1962">
        <v>0</v>
      </c>
      <c r="H335" s="1962">
        <v>0</v>
      </c>
      <c r="I335" s="1962">
        <v>0</v>
      </c>
    </row>
    <row r="336" spans="1:9" hidden="1" outlineLevel="2" x14ac:dyDescent="0.2">
      <c r="A336" s="1980" t="s">
        <v>4924</v>
      </c>
      <c r="B336" s="1980" t="s">
        <v>4925</v>
      </c>
      <c r="C336" s="1980" t="s">
        <v>1988</v>
      </c>
      <c r="D336" s="1980" t="s">
        <v>1989</v>
      </c>
      <c r="E336" s="1980" t="s">
        <v>921</v>
      </c>
      <c r="F336" s="1985">
        <v>-848.89496999999994</v>
      </c>
      <c r="G336" s="1962">
        <v>0</v>
      </c>
      <c r="H336" s="1962">
        <v>-848.89496999999994</v>
      </c>
      <c r="I336" s="1962">
        <v>0</v>
      </c>
    </row>
    <row r="337" spans="1:9" hidden="1" outlineLevel="2" x14ac:dyDescent="0.2">
      <c r="A337" s="1980" t="s">
        <v>4924</v>
      </c>
      <c r="B337" s="1980" t="s">
        <v>4925</v>
      </c>
      <c r="C337" s="1980" t="s">
        <v>1988</v>
      </c>
      <c r="D337" s="1980" t="s">
        <v>1989</v>
      </c>
      <c r="E337" s="1980" t="s">
        <v>922</v>
      </c>
      <c r="F337" s="1985">
        <v>-1564.48496</v>
      </c>
      <c r="G337" s="1962">
        <v>0</v>
      </c>
      <c r="H337" s="1962">
        <v>0</v>
      </c>
      <c r="I337" s="1962">
        <v>0</v>
      </c>
    </row>
    <row r="338" spans="1:9" hidden="1" outlineLevel="2" x14ac:dyDescent="0.2">
      <c r="A338" s="1980" t="s">
        <v>4924</v>
      </c>
      <c r="B338" s="1980" t="s">
        <v>4925</v>
      </c>
      <c r="C338" s="1980" t="s">
        <v>1988</v>
      </c>
      <c r="D338" s="1980" t="s">
        <v>1989</v>
      </c>
      <c r="E338" s="1980" t="s">
        <v>923</v>
      </c>
      <c r="F338" s="1985">
        <v>-50.609479999999998</v>
      </c>
      <c r="G338" s="1962">
        <v>0</v>
      </c>
      <c r="H338" s="1962">
        <v>0</v>
      </c>
      <c r="I338" s="1962">
        <v>0</v>
      </c>
    </row>
    <row r="339" spans="1:9" hidden="1" outlineLevel="2" x14ac:dyDescent="0.2">
      <c r="A339" s="1980" t="s">
        <v>4924</v>
      </c>
      <c r="B339" s="1980" t="s">
        <v>4925</v>
      </c>
      <c r="C339" s="1980" t="s">
        <v>2356</v>
      </c>
      <c r="D339" s="1980" t="s">
        <v>4926</v>
      </c>
      <c r="E339" s="1980" t="s">
        <v>918</v>
      </c>
      <c r="F339" s="1985">
        <v>-1300.4478899999999</v>
      </c>
      <c r="G339" s="1962">
        <v>0</v>
      </c>
      <c r="H339" s="1962">
        <v>0</v>
      </c>
      <c r="I339" s="1962">
        <v>0</v>
      </c>
    </row>
    <row r="340" spans="1:9" hidden="1" outlineLevel="2" x14ac:dyDescent="0.2">
      <c r="A340" s="1980" t="s">
        <v>4924</v>
      </c>
      <c r="B340" s="1980" t="s">
        <v>4925</v>
      </c>
      <c r="C340" s="1980" t="s">
        <v>2356</v>
      </c>
      <c r="D340" s="1980" t="s">
        <v>4926</v>
      </c>
      <c r="E340" s="1980" t="s">
        <v>919</v>
      </c>
      <c r="F340" s="1985">
        <v>-2277.2677199999998</v>
      </c>
      <c r="G340" s="1962">
        <v>0</v>
      </c>
      <c r="H340" s="1962">
        <v>0</v>
      </c>
      <c r="I340" s="1962">
        <v>-2277.2677199999998</v>
      </c>
    </row>
    <row r="341" spans="1:9" hidden="1" outlineLevel="2" x14ac:dyDescent="0.2">
      <c r="A341" s="1980" t="s">
        <v>4924</v>
      </c>
      <c r="B341" s="1980" t="s">
        <v>4925</v>
      </c>
      <c r="C341" s="1980" t="s">
        <v>2356</v>
      </c>
      <c r="D341" s="1980" t="s">
        <v>4926</v>
      </c>
      <c r="E341" s="1980" t="s">
        <v>912</v>
      </c>
      <c r="F341" s="1985">
        <v>-9903.6941000000006</v>
      </c>
      <c r="G341" s="1962">
        <v>-9903.6941000000006</v>
      </c>
      <c r="H341" s="1962">
        <v>0</v>
      </c>
      <c r="I341" s="1962">
        <v>0</v>
      </c>
    </row>
    <row r="342" spans="1:9" hidden="1" outlineLevel="2" x14ac:dyDescent="0.2">
      <c r="A342" s="1980" t="s">
        <v>4924</v>
      </c>
      <c r="B342" s="1980" t="s">
        <v>4925</v>
      </c>
      <c r="C342" s="1980" t="s">
        <v>2356</v>
      </c>
      <c r="D342" s="1980" t="s">
        <v>4926</v>
      </c>
      <c r="E342" s="1980" t="s">
        <v>1083</v>
      </c>
      <c r="F342" s="1985">
        <v>-273.77629000000002</v>
      </c>
      <c r="G342" s="1962">
        <v>-74.176653362185888</v>
      </c>
      <c r="H342" s="1962">
        <v>-20.856028352138178</v>
      </c>
      <c r="I342" s="1962">
        <v>-14.821252166425284</v>
      </c>
    </row>
    <row r="343" spans="1:9" hidden="1" outlineLevel="2" x14ac:dyDescent="0.2">
      <c r="A343" s="1980" t="s">
        <v>4924</v>
      </c>
      <c r="B343" s="1980" t="s">
        <v>4925</v>
      </c>
      <c r="C343" s="1980" t="s">
        <v>2356</v>
      </c>
      <c r="D343" s="1980" t="s">
        <v>4926</v>
      </c>
      <c r="E343" s="1980" t="s">
        <v>913</v>
      </c>
      <c r="F343" s="1985">
        <v>-980.50399000000004</v>
      </c>
      <c r="G343" s="1962">
        <v>-274.28411717796996</v>
      </c>
      <c r="H343" s="1962">
        <v>-73.193917518653024</v>
      </c>
      <c r="I343" s="1962">
        <v>-52.292715725995357</v>
      </c>
    </row>
    <row r="344" spans="1:9" hidden="1" outlineLevel="2" x14ac:dyDescent="0.2">
      <c r="A344" s="1980" t="s">
        <v>4924</v>
      </c>
      <c r="B344" s="1980" t="s">
        <v>4925</v>
      </c>
      <c r="C344" s="1980" t="s">
        <v>2356</v>
      </c>
      <c r="D344" s="1980" t="s">
        <v>4926</v>
      </c>
      <c r="E344" s="1980" t="s">
        <v>920</v>
      </c>
      <c r="F344" s="1985">
        <v>-9605.7976600000002</v>
      </c>
      <c r="G344" s="1962">
        <v>0</v>
      </c>
      <c r="H344" s="1962">
        <v>0</v>
      </c>
      <c r="I344" s="1962">
        <v>0</v>
      </c>
    </row>
    <row r="345" spans="1:9" hidden="1" outlineLevel="2" x14ac:dyDescent="0.2">
      <c r="A345" s="1980" t="s">
        <v>4924</v>
      </c>
      <c r="B345" s="1980" t="s">
        <v>4925</v>
      </c>
      <c r="C345" s="1980" t="s">
        <v>2356</v>
      </c>
      <c r="D345" s="1980" t="s">
        <v>4926</v>
      </c>
      <c r="E345" s="1980" t="s">
        <v>921</v>
      </c>
      <c r="F345" s="1985">
        <v>-2083.8257699999999</v>
      </c>
      <c r="G345" s="1962">
        <v>0</v>
      </c>
      <c r="H345" s="1962">
        <v>-2083.8257699999999</v>
      </c>
      <c r="I345" s="1962">
        <v>0</v>
      </c>
    </row>
    <row r="346" spans="1:9" hidden="1" outlineLevel="2" x14ac:dyDescent="0.2">
      <c r="A346" s="1980" t="s">
        <v>4924</v>
      </c>
      <c r="B346" s="1980" t="s">
        <v>4925</v>
      </c>
      <c r="C346" s="1980" t="s">
        <v>2356</v>
      </c>
      <c r="D346" s="1980" t="s">
        <v>4926</v>
      </c>
      <c r="E346" s="1980" t="s">
        <v>922</v>
      </c>
      <c r="F346" s="1985">
        <v>-4359.6705599999996</v>
      </c>
      <c r="G346" s="1962">
        <v>0</v>
      </c>
      <c r="H346" s="1962">
        <v>0</v>
      </c>
      <c r="I346" s="1962">
        <v>0</v>
      </c>
    </row>
    <row r="347" spans="1:9" hidden="1" outlineLevel="2" x14ac:dyDescent="0.2">
      <c r="A347" s="1980" t="s">
        <v>4924</v>
      </c>
      <c r="B347" s="1980" t="s">
        <v>4925</v>
      </c>
      <c r="C347" s="1980" t="s">
        <v>2356</v>
      </c>
      <c r="D347" s="1980" t="s">
        <v>4926</v>
      </c>
      <c r="E347" s="1980" t="s">
        <v>923</v>
      </c>
      <c r="F347" s="1985">
        <v>-622.73424999999997</v>
      </c>
      <c r="G347" s="1962">
        <v>0</v>
      </c>
      <c r="H347" s="1962">
        <v>0</v>
      </c>
      <c r="I347" s="1962">
        <v>0</v>
      </c>
    </row>
    <row r="348" spans="1:9" hidden="1" outlineLevel="2" x14ac:dyDescent="0.2">
      <c r="A348" s="1980" t="s">
        <v>4924</v>
      </c>
      <c r="B348" s="1980" t="s">
        <v>4925</v>
      </c>
      <c r="C348" s="1980" t="s">
        <v>2358</v>
      </c>
      <c r="D348" s="1980" t="s">
        <v>2359</v>
      </c>
      <c r="E348" s="1980" t="s">
        <v>919</v>
      </c>
      <c r="F348" s="1985">
        <v>-179.09576999999999</v>
      </c>
      <c r="G348" s="1962">
        <v>0</v>
      </c>
      <c r="H348" s="1962">
        <v>0</v>
      </c>
      <c r="I348" s="1962">
        <v>-179.09576999999999</v>
      </c>
    </row>
    <row r="349" spans="1:9" hidden="1" outlineLevel="2" x14ac:dyDescent="0.2">
      <c r="A349" s="1980" t="s">
        <v>4924</v>
      </c>
      <c r="B349" s="1980" t="s">
        <v>4925</v>
      </c>
      <c r="C349" s="1980" t="s">
        <v>2358</v>
      </c>
      <c r="D349" s="1980" t="s">
        <v>2359</v>
      </c>
      <c r="E349" s="1980" t="s">
        <v>912</v>
      </c>
      <c r="F349" s="1985">
        <v>-638.91780000000006</v>
      </c>
      <c r="G349" s="1962">
        <v>-638.91780000000006</v>
      </c>
      <c r="H349" s="1962">
        <v>0</v>
      </c>
      <c r="I349" s="1962">
        <v>0</v>
      </c>
    </row>
    <row r="350" spans="1:9" hidden="1" outlineLevel="2" x14ac:dyDescent="0.2">
      <c r="A350" s="1980" t="s">
        <v>4924</v>
      </c>
      <c r="B350" s="1980" t="s">
        <v>4925</v>
      </c>
      <c r="C350" s="1980" t="s">
        <v>2358</v>
      </c>
      <c r="D350" s="1980" t="s">
        <v>2359</v>
      </c>
      <c r="E350" s="1980" t="s">
        <v>1083</v>
      </c>
      <c r="F350" s="1985">
        <v>-94.84496</v>
      </c>
      <c r="G350" s="1962">
        <v>-25.697191385968399</v>
      </c>
      <c r="H350" s="1962">
        <v>-7.2252026456250524</v>
      </c>
      <c r="I350" s="1962">
        <v>-5.134561027452448</v>
      </c>
    </row>
    <row r="351" spans="1:9" hidden="1" outlineLevel="2" x14ac:dyDescent="0.2">
      <c r="A351" s="1980" t="s">
        <v>4924</v>
      </c>
      <c r="B351" s="1980" t="s">
        <v>4925</v>
      </c>
      <c r="C351" s="1980" t="s">
        <v>2358</v>
      </c>
      <c r="D351" s="1980" t="s">
        <v>2359</v>
      </c>
      <c r="E351" s="1980" t="s">
        <v>920</v>
      </c>
      <c r="F351" s="1985">
        <v>-377.59010000000001</v>
      </c>
      <c r="G351" s="1962">
        <v>0</v>
      </c>
      <c r="H351" s="1962">
        <v>0</v>
      </c>
      <c r="I351" s="1962">
        <v>0</v>
      </c>
    </row>
    <row r="352" spans="1:9" hidden="1" outlineLevel="2" x14ac:dyDescent="0.2">
      <c r="A352" s="1980" t="s">
        <v>4924</v>
      </c>
      <c r="B352" s="1980" t="s">
        <v>4925</v>
      </c>
      <c r="C352" s="1980" t="s">
        <v>2358</v>
      </c>
      <c r="D352" s="1980" t="s">
        <v>2359</v>
      </c>
      <c r="E352" s="1980" t="s">
        <v>923</v>
      </c>
      <c r="F352" s="1985">
        <v>-127.98859</v>
      </c>
      <c r="G352" s="1962">
        <v>0</v>
      </c>
      <c r="H352" s="1962">
        <v>0</v>
      </c>
      <c r="I352" s="1962">
        <v>0</v>
      </c>
    </row>
    <row r="353" spans="1:9" hidden="1" outlineLevel="2" x14ac:dyDescent="0.2">
      <c r="A353" s="1980" t="s">
        <v>4924</v>
      </c>
      <c r="B353" s="1980" t="s">
        <v>4925</v>
      </c>
      <c r="C353" s="1980" t="s">
        <v>2360</v>
      </c>
      <c r="D353" s="1980" t="s">
        <v>2361</v>
      </c>
      <c r="E353" s="1980" t="s">
        <v>918</v>
      </c>
      <c r="F353" s="1985">
        <v>-575.21047999999996</v>
      </c>
      <c r="G353" s="1962">
        <v>0</v>
      </c>
      <c r="H353" s="1962">
        <v>0</v>
      </c>
      <c r="I353" s="1962">
        <v>0</v>
      </c>
    </row>
    <row r="354" spans="1:9" hidden="1" outlineLevel="2" x14ac:dyDescent="0.2">
      <c r="A354" s="1980" t="s">
        <v>4924</v>
      </c>
      <c r="B354" s="1980" t="s">
        <v>4925</v>
      </c>
      <c r="C354" s="1980" t="s">
        <v>2360</v>
      </c>
      <c r="D354" s="1980" t="s">
        <v>2361</v>
      </c>
      <c r="E354" s="1980" t="s">
        <v>919</v>
      </c>
      <c r="F354" s="1985">
        <v>-1375.0619099999999</v>
      </c>
      <c r="G354" s="1962">
        <v>0</v>
      </c>
      <c r="H354" s="1962">
        <v>0</v>
      </c>
      <c r="I354" s="1962">
        <v>-1375.0619099999999</v>
      </c>
    </row>
    <row r="355" spans="1:9" hidden="1" outlineLevel="2" x14ac:dyDescent="0.2">
      <c r="A355" s="1980" t="s">
        <v>4924</v>
      </c>
      <c r="B355" s="1980" t="s">
        <v>4925</v>
      </c>
      <c r="C355" s="1980" t="s">
        <v>2360</v>
      </c>
      <c r="D355" s="1980" t="s">
        <v>2361</v>
      </c>
      <c r="E355" s="1980" t="s">
        <v>912</v>
      </c>
      <c r="F355" s="1985">
        <v>-5990.8396199999997</v>
      </c>
      <c r="G355" s="1962">
        <v>-5990.8396199999997</v>
      </c>
      <c r="H355" s="1962">
        <v>0</v>
      </c>
      <c r="I355" s="1962">
        <v>0</v>
      </c>
    </row>
    <row r="356" spans="1:9" hidden="1" outlineLevel="2" x14ac:dyDescent="0.2">
      <c r="A356" s="1980" t="s">
        <v>4924</v>
      </c>
      <c r="B356" s="1980" t="s">
        <v>4925</v>
      </c>
      <c r="C356" s="1980" t="s">
        <v>2360</v>
      </c>
      <c r="D356" s="1980" t="s">
        <v>2361</v>
      </c>
      <c r="E356" s="1980" t="s">
        <v>1083</v>
      </c>
      <c r="F356" s="1985">
        <v>-648.49978999999996</v>
      </c>
      <c r="G356" s="1962">
        <v>-175.70383515782299</v>
      </c>
      <c r="H356" s="1962">
        <v>-49.40212319553185</v>
      </c>
      <c r="I356" s="1962">
        <v>-35.107418971393905</v>
      </c>
    </row>
    <row r="357" spans="1:9" hidden="1" outlineLevel="2" x14ac:dyDescent="0.2">
      <c r="A357" s="1980" t="s">
        <v>4924</v>
      </c>
      <c r="B357" s="1980" t="s">
        <v>4925</v>
      </c>
      <c r="C357" s="1980" t="s">
        <v>2360</v>
      </c>
      <c r="D357" s="1980" t="s">
        <v>2361</v>
      </c>
      <c r="E357" s="1980" t="s">
        <v>913</v>
      </c>
      <c r="F357" s="1985">
        <v>-1085.1210799999999</v>
      </c>
      <c r="G357" s="1962">
        <v>-303.54948117957713</v>
      </c>
      <c r="H357" s="1962">
        <v>-81.00350802985686</v>
      </c>
      <c r="I357" s="1962">
        <v>-57.872205257140315</v>
      </c>
    </row>
    <row r="358" spans="1:9" hidden="1" outlineLevel="2" x14ac:dyDescent="0.2">
      <c r="A358" s="1980" t="s">
        <v>4924</v>
      </c>
      <c r="B358" s="1980" t="s">
        <v>4925</v>
      </c>
      <c r="C358" s="1980" t="s">
        <v>2360</v>
      </c>
      <c r="D358" s="1980" t="s">
        <v>2361</v>
      </c>
      <c r="E358" s="1980" t="s">
        <v>920</v>
      </c>
      <c r="F358" s="1985">
        <v>-6529.5906999999997</v>
      </c>
      <c r="G358" s="1962">
        <v>0</v>
      </c>
      <c r="H358" s="1962">
        <v>0</v>
      </c>
      <c r="I358" s="1962">
        <v>0</v>
      </c>
    </row>
    <row r="359" spans="1:9" hidden="1" outlineLevel="2" x14ac:dyDescent="0.2">
      <c r="A359" s="1980" t="s">
        <v>4924</v>
      </c>
      <c r="B359" s="1980" t="s">
        <v>4925</v>
      </c>
      <c r="C359" s="1980" t="s">
        <v>2360</v>
      </c>
      <c r="D359" s="1980" t="s">
        <v>2361</v>
      </c>
      <c r="E359" s="1980" t="s">
        <v>921</v>
      </c>
      <c r="F359" s="1985">
        <v>-1932.7724599999999</v>
      </c>
      <c r="G359" s="1962">
        <v>0</v>
      </c>
      <c r="H359" s="1962">
        <v>-1932.7724599999999</v>
      </c>
      <c r="I359" s="1962">
        <v>0</v>
      </c>
    </row>
    <row r="360" spans="1:9" hidden="1" outlineLevel="2" x14ac:dyDescent="0.2">
      <c r="A360" s="1980" t="s">
        <v>4924</v>
      </c>
      <c r="B360" s="1980" t="s">
        <v>4925</v>
      </c>
      <c r="C360" s="1980" t="s">
        <v>2360</v>
      </c>
      <c r="D360" s="1980" t="s">
        <v>2361</v>
      </c>
      <c r="E360" s="1980" t="s">
        <v>922</v>
      </c>
      <c r="F360" s="1985">
        <v>-1829.4790399999999</v>
      </c>
      <c r="G360" s="1962">
        <v>0</v>
      </c>
      <c r="H360" s="1962">
        <v>0</v>
      </c>
      <c r="I360" s="1962">
        <v>0</v>
      </c>
    </row>
    <row r="361" spans="1:9" hidden="1" outlineLevel="2" x14ac:dyDescent="0.2">
      <c r="A361" s="1980" t="s">
        <v>4924</v>
      </c>
      <c r="B361" s="1980" t="s">
        <v>4925</v>
      </c>
      <c r="C361" s="1980" t="s">
        <v>2360</v>
      </c>
      <c r="D361" s="1980" t="s">
        <v>2361</v>
      </c>
      <c r="E361" s="1980" t="s">
        <v>923</v>
      </c>
      <c r="F361" s="1985">
        <v>-399.88036</v>
      </c>
      <c r="G361" s="1962">
        <v>0</v>
      </c>
      <c r="H361" s="1962">
        <v>0</v>
      </c>
      <c r="I361" s="1962">
        <v>0</v>
      </c>
    </row>
    <row r="362" spans="1:9" hidden="1" outlineLevel="2" x14ac:dyDescent="0.2">
      <c r="A362" s="1980" t="s">
        <v>4924</v>
      </c>
      <c r="B362" s="1980" t="s">
        <v>4925</v>
      </c>
      <c r="C362" s="1980" t="s">
        <v>2362</v>
      </c>
      <c r="D362" s="1980" t="s">
        <v>2363</v>
      </c>
      <c r="E362" s="1980" t="s">
        <v>912</v>
      </c>
      <c r="F362" s="1985">
        <v>-250.79252</v>
      </c>
      <c r="G362" s="1962">
        <v>-250.79252</v>
      </c>
      <c r="H362" s="1962">
        <v>0</v>
      </c>
      <c r="I362" s="1962">
        <v>0</v>
      </c>
    </row>
    <row r="363" spans="1:9" hidden="1" outlineLevel="2" x14ac:dyDescent="0.2">
      <c r="A363" s="1980" t="s">
        <v>4924</v>
      </c>
      <c r="B363" s="1980" t="s">
        <v>4925</v>
      </c>
      <c r="C363" s="1980" t="s">
        <v>2362</v>
      </c>
      <c r="D363" s="1980" t="s">
        <v>2363</v>
      </c>
      <c r="E363" s="1980" t="s">
        <v>1083</v>
      </c>
      <c r="F363" s="1985">
        <v>-1584.29754</v>
      </c>
      <c r="G363" s="1962">
        <v>-429.24787039499961</v>
      </c>
      <c r="H363" s="1962">
        <v>-120.69034324507345</v>
      </c>
      <c r="I363" s="1962">
        <v>-85.768104122483535</v>
      </c>
    </row>
    <row r="364" spans="1:9" hidden="1" outlineLevel="2" x14ac:dyDescent="0.2">
      <c r="A364" s="1980" t="s">
        <v>4924</v>
      </c>
      <c r="B364" s="1980" t="s">
        <v>4925</v>
      </c>
      <c r="C364" s="1980" t="s">
        <v>2362</v>
      </c>
      <c r="D364" s="1980" t="s">
        <v>2363</v>
      </c>
      <c r="E364" s="1980" t="s">
        <v>920</v>
      </c>
      <c r="F364" s="1985">
        <v>-96.137119999999996</v>
      </c>
      <c r="G364" s="1962">
        <v>0</v>
      </c>
      <c r="H364" s="1962">
        <v>0</v>
      </c>
      <c r="I364" s="1962">
        <v>0</v>
      </c>
    </row>
    <row r="365" spans="1:9" hidden="1" outlineLevel="2" x14ac:dyDescent="0.2">
      <c r="A365" s="1980" t="s">
        <v>4924</v>
      </c>
      <c r="B365" s="1980" t="s">
        <v>4925</v>
      </c>
      <c r="C365" s="1980" t="s">
        <v>2362</v>
      </c>
      <c r="D365" s="1980" t="s">
        <v>2363</v>
      </c>
      <c r="E365" s="1980" t="s">
        <v>922</v>
      </c>
      <c r="F365" s="1985">
        <v>-42.168779999999998</v>
      </c>
      <c r="G365" s="1962">
        <v>0</v>
      </c>
      <c r="H365" s="1962">
        <v>0</v>
      </c>
      <c r="I365" s="1962">
        <v>0</v>
      </c>
    </row>
    <row r="366" spans="1:9" hidden="1" outlineLevel="2" x14ac:dyDescent="0.2">
      <c r="A366" s="1980" t="s">
        <v>4924</v>
      </c>
      <c r="B366" s="1980" t="s">
        <v>4925</v>
      </c>
      <c r="C366" s="1980" t="s">
        <v>2364</v>
      </c>
      <c r="D366" s="1980" t="s">
        <v>2365</v>
      </c>
      <c r="E366" s="1980" t="s">
        <v>912</v>
      </c>
      <c r="F366" s="1985">
        <v>-530.63496999999995</v>
      </c>
      <c r="G366" s="1962">
        <v>-530.63496999999995</v>
      </c>
      <c r="H366" s="1962">
        <v>0</v>
      </c>
      <c r="I366" s="1962">
        <v>0</v>
      </c>
    </row>
    <row r="367" spans="1:9" hidden="1" outlineLevel="2" x14ac:dyDescent="0.2">
      <c r="A367" s="1980" t="s">
        <v>4924</v>
      </c>
      <c r="B367" s="1980" t="s">
        <v>4925</v>
      </c>
      <c r="C367" s="1980" t="s">
        <v>2364</v>
      </c>
      <c r="D367" s="1980" t="s">
        <v>2365</v>
      </c>
      <c r="E367" s="1980" t="s">
        <v>1083</v>
      </c>
      <c r="F367" s="1985">
        <v>-11833.670899999999</v>
      </c>
      <c r="G367" s="1962">
        <v>-3206.2020577146627</v>
      </c>
      <c r="H367" s="1962">
        <v>-901.47826826155222</v>
      </c>
      <c r="I367" s="1962">
        <v>-640.63188402249443</v>
      </c>
    </row>
    <row r="368" spans="1:9" hidden="1" outlineLevel="2" x14ac:dyDescent="0.2">
      <c r="A368" s="1980" t="s">
        <v>4924</v>
      </c>
      <c r="B368" s="1980" t="s">
        <v>4925</v>
      </c>
      <c r="C368" s="1980" t="s">
        <v>2364</v>
      </c>
      <c r="D368" s="1980" t="s">
        <v>2365</v>
      </c>
      <c r="E368" s="1980" t="s">
        <v>913</v>
      </c>
      <c r="F368" s="1985">
        <v>-176.52015</v>
      </c>
      <c r="G368" s="1962">
        <v>-49.379374281661853</v>
      </c>
      <c r="H368" s="1962">
        <v>-13.1771022160555</v>
      </c>
      <c r="I368" s="1962">
        <v>-9.4142585017528173</v>
      </c>
    </row>
    <row r="369" spans="1:9" hidden="1" outlineLevel="2" x14ac:dyDescent="0.2">
      <c r="A369" s="1980" t="s">
        <v>4924</v>
      </c>
      <c r="B369" s="1980" t="s">
        <v>4925</v>
      </c>
      <c r="C369" s="1980" t="s">
        <v>2364</v>
      </c>
      <c r="D369" s="1980" t="s">
        <v>2365</v>
      </c>
      <c r="E369" s="1980" t="s">
        <v>920</v>
      </c>
      <c r="F369" s="1985">
        <v>-897.60014999999999</v>
      </c>
      <c r="G369" s="1962">
        <v>0</v>
      </c>
      <c r="H369" s="1962">
        <v>0</v>
      </c>
      <c r="I369" s="1962">
        <v>0</v>
      </c>
    </row>
    <row r="370" spans="1:9" hidden="1" outlineLevel="2" x14ac:dyDescent="0.2">
      <c r="A370" s="1980" t="s">
        <v>4924</v>
      </c>
      <c r="B370" s="1980" t="s">
        <v>4925</v>
      </c>
      <c r="C370" s="1980" t="s">
        <v>2364</v>
      </c>
      <c r="D370" s="1980" t="s">
        <v>2365</v>
      </c>
      <c r="E370" s="1980" t="s">
        <v>922</v>
      </c>
      <c r="F370" s="1985">
        <v>-261.18659000000002</v>
      </c>
      <c r="G370" s="1962">
        <v>0</v>
      </c>
      <c r="H370" s="1962">
        <v>0</v>
      </c>
      <c r="I370" s="1962">
        <v>0</v>
      </c>
    </row>
    <row r="371" spans="1:9" hidden="1" outlineLevel="2" x14ac:dyDescent="0.2">
      <c r="A371" s="1980" t="s">
        <v>4924</v>
      </c>
      <c r="B371" s="1980" t="s">
        <v>4925</v>
      </c>
      <c r="C371" s="1980" t="s">
        <v>2366</v>
      </c>
      <c r="D371" s="1980" t="s">
        <v>2367</v>
      </c>
      <c r="E371" s="1980" t="s">
        <v>918</v>
      </c>
      <c r="F371" s="1985">
        <v>-652.69821999999999</v>
      </c>
      <c r="G371" s="1962">
        <v>0</v>
      </c>
      <c r="H371" s="1962">
        <v>0</v>
      </c>
      <c r="I371" s="1962">
        <v>0</v>
      </c>
    </row>
    <row r="372" spans="1:9" hidden="1" outlineLevel="2" x14ac:dyDescent="0.2">
      <c r="A372" s="1980" t="s">
        <v>4924</v>
      </c>
      <c r="B372" s="1980" t="s">
        <v>4925</v>
      </c>
      <c r="C372" s="1980" t="s">
        <v>2366</v>
      </c>
      <c r="D372" s="1980" t="s">
        <v>2367</v>
      </c>
      <c r="E372" s="1980" t="s">
        <v>919</v>
      </c>
      <c r="F372" s="1985">
        <v>-1468.0838900000001</v>
      </c>
      <c r="G372" s="1962">
        <v>0</v>
      </c>
      <c r="H372" s="1962">
        <v>0</v>
      </c>
      <c r="I372" s="1962">
        <v>-1468.0838900000001</v>
      </c>
    </row>
    <row r="373" spans="1:9" hidden="1" outlineLevel="2" x14ac:dyDescent="0.2">
      <c r="A373" s="1980" t="s">
        <v>4924</v>
      </c>
      <c r="B373" s="1980" t="s">
        <v>4925</v>
      </c>
      <c r="C373" s="1980" t="s">
        <v>2366</v>
      </c>
      <c r="D373" s="1980" t="s">
        <v>2367</v>
      </c>
      <c r="E373" s="1980" t="s">
        <v>912</v>
      </c>
      <c r="F373" s="1985">
        <v>-5210.4935400000004</v>
      </c>
      <c r="G373" s="1962">
        <v>-5210.4935400000004</v>
      </c>
      <c r="H373" s="1962">
        <v>0</v>
      </c>
      <c r="I373" s="1962">
        <v>0</v>
      </c>
    </row>
    <row r="374" spans="1:9" hidden="1" outlineLevel="2" x14ac:dyDescent="0.2">
      <c r="A374" s="1980" t="s">
        <v>4924</v>
      </c>
      <c r="B374" s="1980" t="s">
        <v>4925</v>
      </c>
      <c r="C374" s="1980" t="s">
        <v>2366</v>
      </c>
      <c r="D374" s="1980" t="s">
        <v>2367</v>
      </c>
      <c r="E374" s="1980" t="s">
        <v>1083</v>
      </c>
      <c r="F374" s="1985">
        <v>-220.38892999999999</v>
      </c>
      <c r="G374" s="1962">
        <v>-59.711939501675069</v>
      </c>
      <c r="H374" s="1962">
        <v>-16.789027905146192</v>
      </c>
      <c r="I374" s="1962">
        <v>-11.931054753567775</v>
      </c>
    </row>
    <row r="375" spans="1:9" hidden="1" outlineLevel="2" x14ac:dyDescent="0.2">
      <c r="A375" s="1980" t="s">
        <v>4924</v>
      </c>
      <c r="B375" s="1980" t="s">
        <v>4925</v>
      </c>
      <c r="C375" s="1980" t="s">
        <v>2366</v>
      </c>
      <c r="D375" s="1980" t="s">
        <v>2367</v>
      </c>
      <c r="E375" s="1980" t="s">
        <v>913</v>
      </c>
      <c r="F375" s="1985">
        <v>-604.21109999999999</v>
      </c>
      <c r="G375" s="1962">
        <v>-169.02073815388565</v>
      </c>
      <c r="H375" s="1962">
        <v>-45.103923970013234</v>
      </c>
      <c r="I375" s="1962">
        <v>-32.224080282213791</v>
      </c>
    </row>
    <row r="376" spans="1:9" hidden="1" outlineLevel="2" x14ac:dyDescent="0.2">
      <c r="A376" s="1980" t="s">
        <v>4924</v>
      </c>
      <c r="B376" s="1980" t="s">
        <v>4925</v>
      </c>
      <c r="C376" s="1980" t="s">
        <v>2366</v>
      </c>
      <c r="D376" s="1980" t="s">
        <v>2367</v>
      </c>
      <c r="E376" s="1980" t="s">
        <v>920</v>
      </c>
      <c r="F376" s="1985">
        <v>-7442.01926</v>
      </c>
      <c r="G376" s="1962">
        <v>0</v>
      </c>
      <c r="H376" s="1962">
        <v>0</v>
      </c>
      <c r="I376" s="1962">
        <v>0</v>
      </c>
    </row>
    <row r="377" spans="1:9" hidden="1" outlineLevel="2" x14ac:dyDescent="0.2">
      <c r="A377" s="1980" t="s">
        <v>4924</v>
      </c>
      <c r="B377" s="1980" t="s">
        <v>4925</v>
      </c>
      <c r="C377" s="1980" t="s">
        <v>2366</v>
      </c>
      <c r="D377" s="1980" t="s">
        <v>2367</v>
      </c>
      <c r="E377" s="1980" t="s">
        <v>921</v>
      </c>
      <c r="F377" s="1985">
        <v>-1334.79403</v>
      </c>
      <c r="G377" s="1962">
        <v>0</v>
      </c>
      <c r="H377" s="1962">
        <v>-1334.79403</v>
      </c>
      <c r="I377" s="1962">
        <v>0</v>
      </c>
    </row>
    <row r="378" spans="1:9" hidden="1" outlineLevel="2" x14ac:dyDescent="0.2">
      <c r="A378" s="1980" t="s">
        <v>4924</v>
      </c>
      <c r="B378" s="1980" t="s">
        <v>4925</v>
      </c>
      <c r="C378" s="1980" t="s">
        <v>2366</v>
      </c>
      <c r="D378" s="1980" t="s">
        <v>2367</v>
      </c>
      <c r="E378" s="1980" t="s">
        <v>922</v>
      </c>
      <c r="F378" s="1985">
        <v>-1650.8782699999999</v>
      </c>
      <c r="G378" s="1962">
        <v>0</v>
      </c>
      <c r="H378" s="1962">
        <v>0</v>
      </c>
      <c r="I378" s="1962">
        <v>0</v>
      </c>
    </row>
    <row r="379" spans="1:9" hidden="1" outlineLevel="2" x14ac:dyDescent="0.2">
      <c r="A379" s="1980" t="s">
        <v>4924</v>
      </c>
      <c r="B379" s="1980" t="s">
        <v>4925</v>
      </c>
      <c r="C379" s="1980" t="s">
        <v>2366</v>
      </c>
      <c r="D379" s="1980" t="s">
        <v>2367</v>
      </c>
      <c r="E379" s="1980" t="s">
        <v>923</v>
      </c>
      <c r="F379" s="1985">
        <v>-204.33868000000001</v>
      </c>
      <c r="G379" s="1962">
        <v>0</v>
      </c>
      <c r="H379" s="1962">
        <v>0</v>
      </c>
      <c r="I379" s="1962">
        <v>0</v>
      </c>
    </row>
    <row r="380" spans="1:9" hidden="1" outlineLevel="2" x14ac:dyDescent="0.2">
      <c r="A380" s="1980" t="s">
        <v>4924</v>
      </c>
      <c r="B380" s="1980" t="s">
        <v>4925</v>
      </c>
      <c r="C380" s="1980" t="s">
        <v>2368</v>
      </c>
      <c r="D380" s="1980" t="s">
        <v>2369</v>
      </c>
      <c r="E380" s="1980" t="s">
        <v>918</v>
      </c>
      <c r="F380" s="1985">
        <v>-297.23889000000003</v>
      </c>
      <c r="G380" s="1962">
        <v>0</v>
      </c>
      <c r="H380" s="1962">
        <v>0</v>
      </c>
      <c r="I380" s="1962">
        <v>0</v>
      </c>
    </row>
    <row r="381" spans="1:9" hidden="1" outlineLevel="2" x14ac:dyDescent="0.2">
      <c r="A381" s="1980" t="s">
        <v>4924</v>
      </c>
      <c r="B381" s="1980" t="s">
        <v>4925</v>
      </c>
      <c r="C381" s="1980" t="s">
        <v>2368</v>
      </c>
      <c r="D381" s="1980" t="s">
        <v>2369</v>
      </c>
      <c r="E381" s="1980" t="s">
        <v>919</v>
      </c>
      <c r="F381" s="1985">
        <v>-776.48676</v>
      </c>
      <c r="G381" s="1962">
        <v>0</v>
      </c>
      <c r="H381" s="1962">
        <v>0</v>
      </c>
      <c r="I381" s="1962">
        <v>-776.48676</v>
      </c>
    </row>
    <row r="382" spans="1:9" hidden="1" outlineLevel="2" x14ac:dyDescent="0.2">
      <c r="A382" s="1980" t="s">
        <v>4924</v>
      </c>
      <c r="B382" s="1980" t="s">
        <v>4925</v>
      </c>
      <c r="C382" s="1980" t="s">
        <v>2368</v>
      </c>
      <c r="D382" s="1980" t="s">
        <v>2369</v>
      </c>
      <c r="E382" s="1980" t="s">
        <v>912</v>
      </c>
      <c r="F382" s="1985">
        <v>-1540.2552800000001</v>
      </c>
      <c r="G382" s="1962">
        <v>-1540.2552800000001</v>
      </c>
      <c r="H382" s="1962">
        <v>0</v>
      </c>
      <c r="I382" s="1962">
        <v>0</v>
      </c>
    </row>
    <row r="383" spans="1:9" hidden="1" outlineLevel="2" x14ac:dyDescent="0.2">
      <c r="A383" s="1980" t="s">
        <v>4924</v>
      </c>
      <c r="B383" s="1980" t="s">
        <v>4925</v>
      </c>
      <c r="C383" s="1980" t="s">
        <v>2368</v>
      </c>
      <c r="D383" s="1980" t="s">
        <v>2369</v>
      </c>
      <c r="E383" s="1980" t="s">
        <v>906</v>
      </c>
      <c r="F383" s="1985">
        <v>-59.839829999999999</v>
      </c>
      <c r="G383" s="1962">
        <v>-15.460938186623657</v>
      </c>
      <c r="H383" s="1962">
        <v>-4.273228207143358</v>
      </c>
      <c r="I383" s="1962">
        <v>-3.5312884176838657</v>
      </c>
    </row>
    <row r="384" spans="1:9" hidden="1" outlineLevel="2" x14ac:dyDescent="0.2">
      <c r="A384" s="1980" t="s">
        <v>4924</v>
      </c>
      <c r="B384" s="1980" t="s">
        <v>4925</v>
      </c>
      <c r="C384" s="1980" t="s">
        <v>2368</v>
      </c>
      <c r="D384" s="1980" t="s">
        <v>2369</v>
      </c>
      <c r="E384" s="1980" t="s">
        <v>1083</v>
      </c>
      <c r="F384" s="1985">
        <v>-3237.0349700000002</v>
      </c>
      <c r="G384" s="1962">
        <v>-877.03877092849712</v>
      </c>
      <c r="H384" s="1962">
        <v>-246.59437495914187</v>
      </c>
      <c r="I384" s="1962">
        <v>-175.24129486124201</v>
      </c>
    </row>
    <row r="385" spans="1:9" hidden="1" outlineLevel="2" x14ac:dyDescent="0.2">
      <c r="A385" s="1980" t="s">
        <v>4924</v>
      </c>
      <c r="B385" s="1980" t="s">
        <v>4925</v>
      </c>
      <c r="C385" s="1980" t="s">
        <v>2368</v>
      </c>
      <c r="D385" s="1980" t="s">
        <v>2369</v>
      </c>
      <c r="E385" s="1980" t="s">
        <v>913</v>
      </c>
      <c r="F385" s="1985">
        <v>-239.27233000000001</v>
      </c>
      <c r="G385" s="1962">
        <v>-66.933536700004552</v>
      </c>
      <c r="H385" s="1962">
        <v>-17.861507311679507</v>
      </c>
      <c r="I385" s="1962">
        <v>-12.760988289080343</v>
      </c>
    </row>
    <row r="386" spans="1:9" hidden="1" outlineLevel="2" x14ac:dyDescent="0.2">
      <c r="A386" s="1980" t="s">
        <v>4924</v>
      </c>
      <c r="B386" s="1980" t="s">
        <v>4925</v>
      </c>
      <c r="C386" s="1980" t="s">
        <v>2368</v>
      </c>
      <c r="D386" s="1980" t="s">
        <v>2369</v>
      </c>
      <c r="E386" s="1980" t="s">
        <v>920</v>
      </c>
      <c r="F386" s="1985">
        <v>-3057.36006</v>
      </c>
      <c r="G386" s="1962">
        <v>0</v>
      </c>
      <c r="H386" s="1962">
        <v>0</v>
      </c>
      <c r="I386" s="1962">
        <v>0</v>
      </c>
    </row>
    <row r="387" spans="1:9" hidden="1" outlineLevel="2" x14ac:dyDescent="0.2">
      <c r="A387" s="1980" t="s">
        <v>4924</v>
      </c>
      <c r="B387" s="1980" t="s">
        <v>4925</v>
      </c>
      <c r="C387" s="1980" t="s">
        <v>2368</v>
      </c>
      <c r="D387" s="1980" t="s">
        <v>2369</v>
      </c>
      <c r="E387" s="1980" t="s">
        <v>921</v>
      </c>
      <c r="F387" s="1985">
        <v>-489.53757999999999</v>
      </c>
      <c r="G387" s="1962">
        <v>0</v>
      </c>
      <c r="H387" s="1962">
        <v>-489.53757999999999</v>
      </c>
      <c r="I387" s="1962">
        <v>0</v>
      </c>
    </row>
    <row r="388" spans="1:9" hidden="1" outlineLevel="2" x14ac:dyDescent="0.2">
      <c r="A388" s="1980" t="s">
        <v>4924</v>
      </c>
      <c r="B388" s="1980" t="s">
        <v>4925</v>
      </c>
      <c r="C388" s="1980" t="s">
        <v>2368</v>
      </c>
      <c r="D388" s="1980" t="s">
        <v>2369</v>
      </c>
      <c r="E388" s="1980" t="s">
        <v>922</v>
      </c>
      <c r="F388" s="1985">
        <v>-917.21092999999996</v>
      </c>
      <c r="G388" s="1962">
        <v>0</v>
      </c>
      <c r="H388" s="1962">
        <v>0</v>
      </c>
      <c r="I388" s="1962">
        <v>0</v>
      </c>
    </row>
    <row r="389" spans="1:9" hidden="1" outlineLevel="2" x14ac:dyDescent="0.2">
      <c r="A389" s="1980" t="s">
        <v>4924</v>
      </c>
      <c r="B389" s="1980" t="s">
        <v>4925</v>
      </c>
      <c r="C389" s="1980" t="s">
        <v>2368</v>
      </c>
      <c r="D389" s="1980" t="s">
        <v>2369</v>
      </c>
      <c r="E389" s="1980" t="s">
        <v>923</v>
      </c>
      <c r="F389" s="1985">
        <v>-261.2199</v>
      </c>
      <c r="G389" s="1962">
        <v>0</v>
      </c>
      <c r="H389" s="1962">
        <v>0</v>
      </c>
      <c r="I389" s="1962">
        <v>0</v>
      </c>
    </row>
    <row r="390" spans="1:9" hidden="1" outlineLevel="2" x14ac:dyDescent="0.2">
      <c r="A390" s="1980" t="s">
        <v>4924</v>
      </c>
      <c r="B390" s="1980" t="s">
        <v>4925</v>
      </c>
      <c r="C390" s="1980" t="s">
        <v>1990</v>
      </c>
      <c r="D390" s="1980" t="s">
        <v>1991</v>
      </c>
      <c r="E390" s="1980" t="s">
        <v>918</v>
      </c>
      <c r="F390" s="1985">
        <v>-2320.0803799999999</v>
      </c>
      <c r="G390" s="1962">
        <v>0</v>
      </c>
      <c r="H390" s="1962">
        <v>0</v>
      </c>
      <c r="I390" s="1962">
        <v>0</v>
      </c>
    </row>
    <row r="391" spans="1:9" hidden="1" outlineLevel="2" x14ac:dyDescent="0.2">
      <c r="A391" s="1980" t="s">
        <v>4924</v>
      </c>
      <c r="B391" s="1980" t="s">
        <v>4925</v>
      </c>
      <c r="C391" s="1980" t="s">
        <v>1990</v>
      </c>
      <c r="D391" s="1980" t="s">
        <v>1991</v>
      </c>
      <c r="E391" s="1980" t="s">
        <v>1754</v>
      </c>
      <c r="F391" s="1985">
        <v>-1976.30889</v>
      </c>
      <c r="G391" s="1962">
        <v>-602.43095834138387</v>
      </c>
      <c r="H391" s="1962">
        <v>-131.83932308699877</v>
      </c>
      <c r="I391" s="1962">
        <v>-84.391687971498087</v>
      </c>
    </row>
    <row r="392" spans="1:9" hidden="1" outlineLevel="2" x14ac:dyDescent="0.2">
      <c r="A392" s="1980" t="s">
        <v>4924</v>
      </c>
      <c r="B392" s="1980" t="s">
        <v>4925</v>
      </c>
      <c r="C392" s="1980" t="s">
        <v>1990</v>
      </c>
      <c r="D392" s="1980" t="s">
        <v>1991</v>
      </c>
      <c r="E392" s="1980" t="s">
        <v>919</v>
      </c>
      <c r="F392" s="1985">
        <v>-4958.4781700000003</v>
      </c>
      <c r="G392" s="1962">
        <v>0</v>
      </c>
      <c r="H392" s="1962">
        <v>0</v>
      </c>
      <c r="I392" s="1962">
        <v>-4958.4781700000003</v>
      </c>
    </row>
    <row r="393" spans="1:9" hidden="1" outlineLevel="2" x14ac:dyDescent="0.2">
      <c r="A393" s="1980" t="s">
        <v>4924</v>
      </c>
      <c r="B393" s="1980" t="s">
        <v>4925</v>
      </c>
      <c r="C393" s="1980" t="s">
        <v>1990</v>
      </c>
      <c r="D393" s="1980" t="s">
        <v>1991</v>
      </c>
      <c r="E393" s="1980" t="s">
        <v>912</v>
      </c>
      <c r="F393" s="1985">
        <v>-24174.646649999999</v>
      </c>
      <c r="G393" s="1962">
        <v>-24174.646649999999</v>
      </c>
      <c r="H393" s="1962">
        <v>0</v>
      </c>
      <c r="I393" s="1962">
        <v>0</v>
      </c>
    </row>
    <row r="394" spans="1:9" hidden="1" outlineLevel="2" x14ac:dyDescent="0.2">
      <c r="A394" s="1980" t="s">
        <v>4924</v>
      </c>
      <c r="B394" s="1980" t="s">
        <v>4925</v>
      </c>
      <c r="C394" s="1980" t="s">
        <v>1990</v>
      </c>
      <c r="D394" s="1980" t="s">
        <v>1991</v>
      </c>
      <c r="E394" s="1980" t="s">
        <v>906</v>
      </c>
      <c r="F394" s="1985">
        <v>-164.78833</v>
      </c>
      <c r="G394" s="1962">
        <v>-42.576694887116837</v>
      </c>
      <c r="H394" s="1962">
        <v>-11.767716251266892</v>
      </c>
      <c r="I394" s="1962">
        <v>-9.7245450245842395</v>
      </c>
    </row>
    <row r="395" spans="1:9" hidden="1" outlineLevel="2" x14ac:dyDescent="0.2">
      <c r="A395" s="1980" t="s">
        <v>4924</v>
      </c>
      <c r="B395" s="1980" t="s">
        <v>4925</v>
      </c>
      <c r="C395" s="1980" t="s">
        <v>1990</v>
      </c>
      <c r="D395" s="1980" t="s">
        <v>1991</v>
      </c>
      <c r="E395" s="1980" t="s">
        <v>1083</v>
      </c>
      <c r="F395" s="1985">
        <v>-87831.013500000001</v>
      </c>
      <c r="G395" s="1962">
        <v>-23796.840269984554</v>
      </c>
      <c r="H395" s="1962">
        <v>-6690.8865912129613</v>
      </c>
      <c r="I395" s="1962">
        <v>-4754.8514851896171</v>
      </c>
    </row>
    <row r="396" spans="1:9" hidden="1" outlineLevel="2" x14ac:dyDescent="0.2">
      <c r="A396" s="1980" t="s">
        <v>4924</v>
      </c>
      <c r="B396" s="1980" t="s">
        <v>4925</v>
      </c>
      <c r="C396" s="1980" t="s">
        <v>1990</v>
      </c>
      <c r="D396" s="1980" t="s">
        <v>1991</v>
      </c>
      <c r="E396" s="1980" t="s">
        <v>913</v>
      </c>
      <c r="F396" s="1985">
        <v>-42122.828020000001</v>
      </c>
      <c r="G396" s="1962">
        <v>-11783.351025940399</v>
      </c>
      <c r="H396" s="1962">
        <v>-3144.4388102370563</v>
      </c>
      <c r="I396" s="1962">
        <v>-2246.5151531151359</v>
      </c>
    </row>
    <row r="397" spans="1:9" hidden="1" outlineLevel="2" x14ac:dyDescent="0.2">
      <c r="A397" s="1980" t="s">
        <v>4924</v>
      </c>
      <c r="B397" s="1980" t="s">
        <v>4925</v>
      </c>
      <c r="C397" s="1980" t="s">
        <v>1990</v>
      </c>
      <c r="D397" s="1980" t="s">
        <v>1991</v>
      </c>
      <c r="E397" s="1980" t="s">
        <v>920</v>
      </c>
      <c r="F397" s="1985">
        <v>-30363.73258</v>
      </c>
      <c r="G397" s="1962">
        <v>0</v>
      </c>
      <c r="H397" s="1962">
        <v>0</v>
      </c>
      <c r="I397" s="1962">
        <v>0</v>
      </c>
    </row>
    <row r="398" spans="1:9" hidden="1" outlineLevel="2" x14ac:dyDescent="0.2">
      <c r="A398" s="1980" t="s">
        <v>4924</v>
      </c>
      <c r="B398" s="1980" t="s">
        <v>4925</v>
      </c>
      <c r="C398" s="1980" t="s">
        <v>1990</v>
      </c>
      <c r="D398" s="1980" t="s">
        <v>1991</v>
      </c>
      <c r="E398" s="1980" t="s">
        <v>921</v>
      </c>
      <c r="F398" s="1985">
        <v>-5702.7042499999998</v>
      </c>
      <c r="G398" s="1962">
        <v>0</v>
      </c>
      <c r="H398" s="1962">
        <v>-5702.7042499999998</v>
      </c>
      <c r="I398" s="1962">
        <v>0</v>
      </c>
    </row>
    <row r="399" spans="1:9" hidden="1" outlineLevel="2" x14ac:dyDescent="0.2">
      <c r="A399" s="1980" t="s">
        <v>4924</v>
      </c>
      <c r="B399" s="1980" t="s">
        <v>4925</v>
      </c>
      <c r="C399" s="1980" t="s">
        <v>1990</v>
      </c>
      <c r="D399" s="1980" t="s">
        <v>1991</v>
      </c>
      <c r="E399" s="1980" t="s">
        <v>922</v>
      </c>
      <c r="F399" s="1985">
        <v>-11622.97105</v>
      </c>
      <c r="G399" s="1962">
        <v>0</v>
      </c>
      <c r="H399" s="1962">
        <v>0</v>
      </c>
      <c r="I399" s="1962">
        <v>0</v>
      </c>
    </row>
    <row r="400" spans="1:9" hidden="1" outlineLevel="2" x14ac:dyDescent="0.2">
      <c r="A400" s="1980" t="s">
        <v>4924</v>
      </c>
      <c r="B400" s="1980" t="s">
        <v>4925</v>
      </c>
      <c r="C400" s="1980" t="s">
        <v>1990</v>
      </c>
      <c r="D400" s="1980" t="s">
        <v>1991</v>
      </c>
      <c r="E400" s="1980" t="s">
        <v>923</v>
      </c>
      <c r="F400" s="1985">
        <v>-3196.9099700000002</v>
      </c>
      <c r="G400" s="1962">
        <v>0</v>
      </c>
      <c r="H400" s="1962">
        <v>0</v>
      </c>
      <c r="I400" s="1962">
        <v>0</v>
      </c>
    </row>
    <row r="401" spans="1:9" hidden="1" outlineLevel="2" x14ac:dyDescent="0.2">
      <c r="A401" s="1980" t="s">
        <v>4924</v>
      </c>
      <c r="B401" s="1980" t="s">
        <v>4925</v>
      </c>
      <c r="C401" s="1980" t="s">
        <v>1992</v>
      </c>
      <c r="D401" s="1980" t="s">
        <v>1993</v>
      </c>
      <c r="E401" s="1980" t="s">
        <v>918</v>
      </c>
      <c r="F401" s="1985">
        <v>-14.50939</v>
      </c>
      <c r="G401" s="1962">
        <v>0</v>
      </c>
      <c r="H401" s="1962">
        <v>0</v>
      </c>
      <c r="I401" s="1962">
        <v>0</v>
      </c>
    </row>
    <row r="402" spans="1:9" hidden="1" outlineLevel="2" x14ac:dyDescent="0.2">
      <c r="A402" s="1980" t="s">
        <v>4924</v>
      </c>
      <c r="B402" s="1980" t="s">
        <v>4925</v>
      </c>
      <c r="C402" s="1980" t="s">
        <v>1992</v>
      </c>
      <c r="D402" s="1980" t="s">
        <v>1993</v>
      </c>
      <c r="E402" s="1980" t="s">
        <v>919</v>
      </c>
      <c r="F402" s="1985">
        <v>-18.03585</v>
      </c>
      <c r="G402" s="1962">
        <v>0</v>
      </c>
      <c r="H402" s="1962">
        <v>0</v>
      </c>
      <c r="I402" s="1962">
        <v>-18.03585</v>
      </c>
    </row>
    <row r="403" spans="1:9" hidden="1" outlineLevel="2" x14ac:dyDescent="0.2">
      <c r="A403" s="1980" t="s">
        <v>4924</v>
      </c>
      <c r="B403" s="1980" t="s">
        <v>4925</v>
      </c>
      <c r="C403" s="1980" t="s">
        <v>1992</v>
      </c>
      <c r="D403" s="1980" t="s">
        <v>1993</v>
      </c>
      <c r="E403" s="1980" t="s">
        <v>912</v>
      </c>
      <c r="F403" s="1985">
        <v>-314.39278999999999</v>
      </c>
      <c r="G403" s="1962">
        <v>-314.39278999999999</v>
      </c>
      <c r="H403" s="1962">
        <v>0</v>
      </c>
      <c r="I403" s="1962">
        <v>0</v>
      </c>
    </row>
    <row r="404" spans="1:9" hidden="1" outlineLevel="2" x14ac:dyDescent="0.2">
      <c r="A404" s="1980" t="s">
        <v>4924</v>
      </c>
      <c r="B404" s="1980" t="s">
        <v>4925</v>
      </c>
      <c r="C404" s="1980" t="s">
        <v>1992</v>
      </c>
      <c r="D404" s="1980" t="s">
        <v>1993</v>
      </c>
      <c r="E404" s="1980" t="s">
        <v>1083</v>
      </c>
      <c r="F404" s="1985">
        <v>-261.92201</v>
      </c>
      <c r="G404" s="1962">
        <v>-70.964867497097671</v>
      </c>
      <c r="H404" s="1962">
        <v>-19.952980101414258</v>
      </c>
      <c r="I404" s="1962">
        <v>-14.179504580717945</v>
      </c>
    </row>
    <row r="405" spans="1:9" hidden="1" outlineLevel="2" x14ac:dyDescent="0.2">
      <c r="A405" s="1980" t="s">
        <v>4924</v>
      </c>
      <c r="B405" s="1980" t="s">
        <v>4925</v>
      </c>
      <c r="C405" s="1980" t="s">
        <v>1992</v>
      </c>
      <c r="D405" s="1980" t="s">
        <v>1993</v>
      </c>
      <c r="E405" s="1980" t="s">
        <v>913</v>
      </c>
      <c r="F405" s="1985">
        <v>-11.37964</v>
      </c>
      <c r="G405" s="1962">
        <v>-3.1833164811528341</v>
      </c>
      <c r="H405" s="1962">
        <v>-0.84948193994801058</v>
      </c>
      <c r="I405" s="1962">
        <v>-0.60690449570140537</v>
      </c>
    </row>
    <row r="406" spans="1:9" hidden="1" outlineLevel="2" x14ac:dyDescent="0.2">
      <c r="A406" s="1980" t="s">
        <v>4924</v>
      </c>
      <c r="B406" s="1980" t="s">
        <v>4925</v>
      </c>
      <c r="C406" s="1980" t="s">
        <v>1992</v>
      </c>
      <c r="D406" s="1980" t="s">
        <v>1993</v>
      </c>
      <c r="E406" s="1980" t="s">
        <v>920</v>
      </c>
      <c r="F406" s="1985">
        <v>-65.982389999999995</v>
      </c>
      <c r="G406" s="1962">
        <v>0</v>
      </c>
      <c r="H406" s="1962">
        <v>0</v>
      </c>
      <c r="I406" s="1962">
        <v>0</v>
      </c>
    </row>
    <row r="407" spans="1:9" hidden="1" outlineLevel="2" x14ac:dyDescent="0.2">
      <c r="A407" s="1980" t="s">
        <v>4924</v>
      </c>
      <c r="B407" s="1980" t="s">
        <v>4925</v>
      </c>
      <c r="C407" s="1980" t="s">
        <v>1992</v>
      </c>
      <c r="D407" s="1980" t="s">
        <v>1993</v>
      </c>
      <c r="E407" s="1980" t="s">
        <v>921</v>
      </c>
      <c r="F407" s="1985">
        <v>-0.42852000000000001</v>
      </c>
      <c r="G407" s="1962">
        <v>0</v>
      </c>
      <c r="H407" s="1962">
        <v>-0.42852000000000001</v>
      </c>
      <c r="I407" s="1962">
        <v>0</v>
      </c>
    </row>
    <row r="408" spans="1:9" hidden="1" outlineLevel="2" x14ac:dyDescent="0.2">
      <c r="A408" s="1980" t="s">
        <v>4924</v>
      </c>
      <c r="B408" s="1980" t="s">
        <v>4925</v>
      </c>
      <c r="C408" s="1980" t="s">
        <v>1992</v>
      </c>
      <c r="D408" s="1980" t="s">
        <v>1993</v>
      </c>
      <c r="E408" s="1980" t="s">
        <v>922</v>
      </c>
      <c r="F408" s="1985">
        <v>-23.38833</v>
      </c>
      <c r="G408" s="1962">
        <v>0</v>
      </c>
      <c r="H408" s="1962">
        <v>0</v>
      </c>
      <c r="I408" s="1962">
        <v>0</v>
      </c>
    </row>
    <row r="409" spans="1:9" hidden="1" outlineLevel="2" x14ac:dyDescent="0.2">
      <c r="A409" s="1980" t="s">
        <v>4924</v>
      </c>
      <c r="B409" s="1980" t="s">
        <v>4925</v>
      </c>
      <c r="C409" s="1980" t="s">
        <v>1992</v>
      </c>
      <c r="D409" s="1980" t="s">
        <v>1993</v>
      </c>
      <c r="E409" s="1980" t="s">
        <v>923</v>
      </c>
      <c r="F409" s="1985">
        <v>-4.9127299999999998</v>
      </c>
      <c r="G409" s="1962">
        <v>0</v>
      </c>
      <c r="H409" s="1962">
        <v>0</v>
      </c>
      <c r="I409" s="1962">
        <v>0</v>
      </c>
    </row>
    <row r="410" spans="1:9" hidden="1" outlineLevel="2" x14ac:dyDescent="0.2">
      <c r="A410" s="1980" t="s">
        <v>4924</v>
      </c>
      <c r="B410" s="1980" t="s">
        <v>4925</v>
      </c>
      <c r="C410" s="1980" t="s">
        <v>1994</v>
      </c>
      <c r="D410" s="1980" t="s">
        <v>1995</v>
      </c>
      <c r="E410" s="1980" t="s">
        <v>918</v>
      </c>
      <c r="F410" s="1985">
        <v>-36.059840000000001</v>
      </c>
      <c r="G410" s="1962">
        <v>0</v>
      </c>
      <c r="H410" s="1962">
        <v>0</v>
      </c>
      <c r="I410" s="1962">
        <v>0</v>
      </c>
    </row>
    <row r="411" spans="1:9" hidden="1" outlineLevel="2" x14ac:dyDescent="0.2">
      <c r="A411" s="1980" t="s">
        <v>4924</v>
      </c>
      <c r="B411" s="1980" t="s">
        <v>4925</v>
      </c>
      <c r="C411" s="1980" t="s">
        <v>1994</v>
      </c>
      <c r="D411" s="1980" t="s">
        <v>1995</v>
      </c>
      <c r="E411" s="1980" t="s">
        <v>1754</v>
      </c>
      <c r="F411" s="1985">
        <v>-47.62529</v>
      </c>
      <c r="G411" s="1962">
        <v>-14.517441702135097</v>
      </c>
      <c r="H411" s="1962">
        <v>-3.1770772409074231</v>
      </c>
      <c r="I411" s="1962">
        <v>-2.033679367415135</v>
      </c>
    </row>
    <row r="412" spans="1:9" hidden="1" outlineLevel="2" x14ac:dyDescent="0.2">
      <c r="A412" s="1980" t="s">
        <v>4924</v>
      </c>
      <c r="B412" s="1980" t="s">
        <v>4925</v>
      </c>
      <c r="C412" s="1980" t="s">
        <v>1994</v>
      </c>
      <c r="D412" s="1980" t="s">
        <v>1995</v>
      </c>
      <c r="E412" s="1980" t="s">
        <v>919</v>
      </c>
      <c r="F412" s="1985">
        <v>-44.385100000000001</v>
      </c>
      <c r="G412" s="1962">
        <v>0</v>
      </c>
      <c r="H412" s="1962">
        <v>0</v>
      </c>
      <c r="I412" s="1962">
        <v>-44.385100000000001</v>
      </c>
    </row>
    <row r="413" spans="1:9" hidden="1" outlineLevel="2" x14ac:dyDescent="0.2">
      <c r="A413" s="1980" t="s">
        <v>4924</v>
      </c>
      <c r="B413" s="1980" t="s">
        <v>4925</v>
      </c>
      <c r="C413" s="1980" t="s">
        <v>1994</v>
      </c>
      <c r="D413" s="1980" t="s">
        <v>1995</v>
      </c>
      <c r="E413" s="1980" t="s">
        <v>912</v>
      </c>
      <c r="F413" s="1985">
        <v>-718.62805000000003</v>
      </c>
      <c r="G413" s="1962">
        <v>-718.62805000000003</v>
      </c>
      <c r="H413" s="1962">
        <v>0</v>
      </c>
      <c r="I413" s="1962">
        <v>0</v>
      </c>
    </row>
    <row r="414" spans="1:9" hidden="1" outlineLevel="2" x14ac:dyDescent="0.2">
      <c r="A414" s="1980" t="s">
        <v>4924</v>
      </c>
      <c r="B414" s="1980" t="s">
        <v>4925</v>
      </c>
      <c r="C414" s="1980" t="s">
        <v>1994</v>
      </c>
      <c r="D414" s="1980" t="s">
        <v>1995</v>
      </c>
      <c r="E414" s="1980" t="s">
        <v>906</v>
      </c>
      <c r="F414" s="1985">
        <v>-3.3276300000000001</v>
      </c>
      <c r="G414" s="1962">
        <v>-0.85976650899500351</v>
      </c>
      <c r="H414" s="1962">
        <v>-0.2376297255345888</v>
      </c>
      <c r="I414" s="1962">
        <v>-0.19637123429891698</v>
      </c>
    </row>
    <row r="415" spans="1:9" hidden="1" outlineLevel="2" x14ac:dyDescent="0.2">
      <c r="A415" s="1980" t="s">
        <v>4924</v>
      </c>
      <c r="B415" s="1980" t="s">
        <v>4925</v>
      </c>
      <c r="C415" s="1980" t="s">
        <v>1994</v>
      </c>
      <c r="D415" s="1980" t="s">
        <v>1995</v>
      </c>
      <c r="E415" s="1980" t="s">
        <v>1083</v>
      </c>
      <c r="F415" s="1985">
        <v>-1668.69181</v>
      </c>
      <c r="G415" s="1962">
        <v>-452.11356307987285</v>
      </c>
      <c r="H415" s="1962">
        <v>-127.11942184745354</v>
      </c>
      <c r="I415" s="1962">
        <v>-90.336902819665738</v>
      </c>
    </row>
    <row r="416" spans="1:9" hidden="1" outlineLevel="2" x14ac:dyDescent="0.2">
      <c r="A416" s="1980" t="s">
        <v>4924</v>
      </c>
      <c r="B416" s="1980" t="s">
        <v>4925</v>
      </c>
      <c r="C416" s="1980" t="s">
        <v>1994</v>
      </c>
      <c r="D416" s="1980" t="s">
        <v>1995</v>
      </c>
      <c r="E416" s="1980" t="s">
        <v>913</v>
      </c>
      <c r="F416" s="1985">
        <v>-950.64300000000003</v>
      </c>
      <c r="G416" s="1962">
        <v>-265.9308668457503</v>
      </c>
      <c r="H416" s="1962">
        <v>-70.964816095939469</v>
      </c>
      <c r="I416" s="1962">
        <v>-50.700154882498133</v>
      </c>
    </row>
    <row r="417" spans="1:9" hidden="1" outlineLevel="2" x14ac:dyDescent="0.2">
      <c r="A417" s="1980" t="s">
        <v>4924</v>
      </c>
      <c r="B417" s="1980" t="s">
        <v>4925</v>
      </c>
      <c r="C417" s="1980" t="s">
        <v>1994</v>
      </c>
      <c r="D417" s="1980" t="s">
        <v>1995</v>
      </c>
      <c r="E417" s="1980" t="s">
        <v>920</v>
      </c>
      <c r="F417" s="1985">
        <v>-778.26274999999998</v>
      </c>
      <c r="G417" s="1962">
        <v>0</v>
      </c>
      <c r="H417" s="1962">
        <v>0</v>
      </c>
      <c r="I417" s="1962">
        <v>0</v>
      </c>
    </row>
    <row r="418" spans="1:9" hidden="1" outlineLevel="2" x14ac:dyDescent="0.2">
      <c r="A418" s="1980" t="s">
        <v>4924</v>
      </c>
      <c r="B418" s="1980" t="s">
        <v>4925</v>
      </c>
      <c r="C418" s="1980" t="s">
        <v>1994</v>
      </c>
      <c r="D418" s="1980" t="s">
        <v>1995</v>
      </c>
      <c r="E418" s="1980" t="s">
        <v>921</v>
      </c>
      <c r="F418" s="1985">
        <v>-112.78757</v>
      </c>
      <c r="G418" s="1962">
        <v>0</v>
      </c>
      <c r="H418" s="1962">
        <v>-112.78757</v>
      </c>
      <c r="I418" s="1962">
        <v>0</v>
      </c>
    </row>
    <row r="419" spans="1:9" hidden="1" outlineLevel="2" x14ac:dyDescent="0.2">
      <c r="A419" s="1980" t="s">
        <v>4924</v>
      </c>
      <c r="B419" s="1980" t="s">
        <v>4925</v>
      </c>
      <c r="C419" s="1980" t="s">
        <v>1994</v>
      </c>
      <c r="D419" s="1980" t="s">
        <v>1995</v>
      </c>
      <c r="E419" s="1980" t="s">
        <v>922</v>
      </c>
      <c r="F419" s="1985">
        <v>-96.714380000000006</v>
      </c>
      <c r="G419" s="1962">
        <v>0</v>
      </c>
      <c r="H419" s="1962">
        <v>0</v>
      </c>
      <c r="I419" s="1962">
        <v>0</v>
      </c>
    </row>
    <row r="420" spans="1:9" hidden="1" outlineLevel="2" x14ac:dyDescent="0.2">
      <c r="A420" s="1980" t="s">
        <v>4924</v>
      </c>
      <c r="B420" s="1980" t="s">
        <v>4925</v>
      </c>
      <c r="C420" s="1980" t="s">
        <v>1994</v>
      </c>
      <c r="D420" s="1980" t="s">
        <v>1995</v>
      </c>
      <c r="E420" s="1980" t="s">
        <v>923</v>
      </c>
      <c r="F420" s="1985">
        <v>-15.09779</v>
      </c>
      <c r="G420" s="1962">
        <v>0</v>
      </c>
      <c r="H420" s="1962">
        <v>0</v>
      </c>
      <c r="I420" s="1962">
        <v>0</v>
      </c>
    </row>
    <row r="421" spans="1:9" ht="13.5" outlineLevel="1" collapsed="1" thickBot="1" x14ac:dyDescent="0.25">
      <c r="A421" s="1981" t="s">
        <v>4927</v>
      </c>
      <c r="B421" s="1964"/>
      <c r="C421" s="1964"/>
      <c r="D421" s="1964"/>
      <c r="E421" s="1964"/>
      <c r="F421" s="1965">
        <f>SUBTOTAL(9,F37:F420)</f>
        <v>-11336544.151279997</v>
      </c>
      <c r="G421" s="1965">
        <f t="shared" ref="G421:I421" si="0">SUBTOTAL(9,G37:G420)</f>
        <v>-3344724.9561661999</v>
      </c>
      <c r="H421" s="1965">
        <f t="shared" si="0"/>
        <v>-911318.35766556358</v>
      </c>
      <c r="I421" s="1965">
        <f t="shared" si="0"/>
        <v>-603341.30384380801</v>
      </c>
    </row>
    <row r="422" spans="1:9" hidden="1" outlineLevel="2" x14ac:dyDescent="0.2">
      <c r="A422" s="1980" t="s">
        <v>4928</v>
      </c>
      <c r="B422" s="1980" t="s">
        <v>4929</v>
      </c>
      <c r="C422" s="1980" t="s">
        <v>4930</v>
      </c>
      <c r="D422" s="1980" t="s">
        <v>4931</v>
      </c>
      <c r="E422" s="1980" t="s">
        <v>919</v>
      </c>
      <c r="F422" s="1985">
        <v>-4336.9120000000003</v>
      </c>
      <c r="G422" s="1962">
        <v>0</v>
      </c>
      <c r="H422" s="1962">
        <v>0</v>
      </c>
      <c r="I422" s="1962">
        <v>-4336.9120000000003</v>
      </c>
    </row>
    <row r="423" spans="1:9" hidden="1" outlineLevel="2" x14ac:dyDescent="0.2">
      <c r="A423" s="1980" t="s">
        <v>4928</v>
      </c>
      <c r="B423" s="1980" t="s">
        <v>4929</v>
      </c>
      <c r="C423" s="1980" t="s">
        <v>4932</v>
      </c>
      <c r="D423" s="1980" t="s">
        <v>4933</v>
      </c>
      <c r="E423" s="1980" t="s">
        <v>920</v>
      </c>
      <c r="F423" s="1985">
        <v>-51160.887000000002</v>
      </c>
      <c r="G423" s="1962">
        <v>0</v>
      </c>
      <c r="H423" s="1962">
        <v>0</v>
      </c>
      <c r="I423" s="1962">
        <v>0</v>
      </c>
    </row>
    <row r="424" spans="1:9" hidden="1" outlineLevel="2" x14ac:dyDescent="0.2">
      <c r="A424" s="1980" t="s">
        <v>4928</v>
      </c>
      <c r="B424" s="1980" t="s">
        <v>4929</v>
      </c>
      <c r="C424" s="1980" t="s">
        <v>4934</v>
      </c>
      <c r="D424" s="1980" t="s">
        <v>4935</v>
      </c>
      <c r="E424" s="1980" t="s">
        <v>922</v>
      </c>
      <c r="F424" s="1985">
        <v>-14172.099899999999</v>
      </c>
      <c r="G424" s="1962">
        <v>0</v>
      </c>
      <c r="H424" s="1962">
        <v>0</v>
      </c>
      <c r="I424" s="1962">
        <v>0</v>
      </c>
    </row>
    <row r="425" spans="1:9" hidden="1" outlineLevel="2" x14ac:dyDescent="0.2">
      <c r="A425" s="1980" t="s">
        <v>4928</v>
      </c>
      <c r="B425" s="1980" t="s">
        <v>4929</v>
      </c>
      <c r="C425" s="1980" t="s">
        <v>4936</v>
      </c>
      <c r="D425" s="1980" t="s">
        <v>4937</v>
      </c>
      <c r="E425" s="1980" t="s">
        <v>918</v>
      </c>
      <c r="F425" s="1985">
        <v>-742.67196999999999</v>
      </c>
      <c r="G425" s="1962">
        <v>0</v>
      </c>
      <c r="H425" s="1962">
        <v>0</v>
      </c>
      <c r="I425" s="1962">
        <v>0</v>
      </c>
    </row>
    <row r="426" spans="1:9" hidden="1" outlineLevel="2" x14ac:dyDescent="0.2">
      <c r="A426" s="1980" t="s">
        <v>4928</v>
      </c>
      <c r="B426" s="1980" t="s">
        <v>4929</v>
      </c>
      <c r="C426" s="1980" t="s">
        <v>4938</v>
      </c>
      <c r="D426" s="1980" t="s">
        <v>4939</v>
      </c>
      <c r="E426" s="1980" t="s">
        <v>921</v>
      </c>
      <c r="F426" s="1985">
        <v>-10708.84764</v>
      </c>
      <c r="G426" s="1962">
        <v>0</v>
      </c>
      <c r="H426" s="1962">
        <v>-10708.84764</v>
      </c>
      <c r="I426" s="1962">
        <v>0</v>
      </c>
    </row>
    <row r="427" spans="1:9" ht="13.5" outlineLevel="1" collapsed="1" thickBot="1" x14ac:dyDescent="0.25">
      <c r="A427" s="1981" t="s">
        <v>4940</v>
      </c>
      <c r="B427" s="1964"/>
      <c r="C427" s="1964"/>
      <c r="D427" s="1964"/>
      <c r="E427" s="1964"/>
      <c r="F427" s="1965">
        <f>SUBTOTAL(9,F422:F426)</f>
        <v>-81121.418509999989</v>
      </c>
      <c r="G427" s="1965">
        <f t="shared" ref="G427:I427" si="1">SUBTOTAL(9,G422:G426)</f>
        <v>0</v>
      </c>
      <c r="H427" s="1965">
        <f t="shared" si="1"/>
        <v>-10708.84764</v>
      </c>
      <c r="I427" s="1965">
        <f t="shared" si="1"/>
        <v>-4336.9120000000003</v>
      </c>
    </row>
    <row r="428" spans="1:9" hidden="1" outlineLevel="2" x14ac:dyDescent="0.2">
      <c r="A428" s="1980" t="s">
        <v>4941</v>
      </c>
      <c r="B428" s="1980" t="s">
        <v>4942</v>
      </c>
      <c r="C428" s="1980" t="s">
        <v>4943</v>
      </c>
      <c r="D428" s="1980" t="s">
        <v>4944</v>
      </c>
      <c r="E428" s="1980" t="s">
        <v>913</v>
      </c>
      <c r="F428" s="1985">
        <v>2846.0430000000001</v>
      </c>
      <c r="G428" s="1962">
        <v>796.14606331743857</v>
      </c>
      <c r="H428" s="1962">
        <v>212.45506262196835</v>
      </c>
      <c r="I428" s="1962">
        <v>151.78654963245893</v>
      </c>
    </row>
    <row r="429" spans="1:9" hidden="1" outlineLevel="2" x14ac:dyDescent="0.2">
      <c r="A429" s="1980" t="s">
        <v>4941</v>
      </c>
      <c r="B429" s="1980" t="s">
        <v>4942</v>
      </c>
      <c r="C429" s="1980" t="s">
        <v>4945</v>
      </c>
      <c r="D429" s="1980" t="s">
        <v>4946</v>
      </c>
      <c r="E429" s="1980" t="s">
        <v>1567</v>
      </c>
      <c r="F429" s="1985">
        <v>-4135.7836799999995</v>
      </c>
      <c r="G429" s="1962">
        <v>-1120.5447791419247</v>
      </c>
      <c r="H429" s="1962">
        <v>-315.06023289449342</v>
      </c>
      <c r="I429" s="1962">
        <v>-223.89627979496078</v>
      </c>
    </row>
    <row r="430" spans="1:9" hidden="1" outlineLevel="2" x14ac:dyDescent="0.2">
      <c r="A430" s="1980" t="s">
        <v>4941</v>
      </c>
      <c r="B430" s="1980" t="s">
        <v>4942</v>
      </c>
      <c r="C430" s="1980" t="s">
        <v>4945</v>
      </c>
      <c r="D430" s="1980" t="s">
        <v>4946</v>
      </c>
      <c r="E430" s="1980" t="s">
        <v>1568</v>
      </c>
      <c r="F430" s="1985">
        <v>-990.15696000000003</v>
      </c>
      <c r="G430" s="1962">
        <v>-268.27206109073859</v>
      </c>
      <c r="H430" s="1962">
        <v>-75.429255144143227</v>
      </c>
      <c r="I430" s="1962">
        <v>-53.603494986731953</v>
      </c>
    </row>
    <row r="431" spans="1:9" hidden="1" outlineLevel="2" x14ac:dyDescent="0.2">
      <c r="A431" s="1980" t="s">
        <v>4941</v>
      </c>
      <c r="B431" s="1980" t="s">
        <v>4942</v>
      </c>
      <c r="C431" s="1980" t="s">
        <v>4947</v>
      </c>
      <c r="D431" s="1980" t="s">
        <v>4948</v>
      </c>
      <c r="E431" s="1980" t="s">
        <v>1083</v>
      </c>
      <c r="F431" s="1985">
        <v>84103.167379999999</v>
      </c>
      <c r="G431" s="1962">
        <v>22786.821654308191</v>
      </c>
      <c r="H431" s="1962">
        <v>6406.9026699934566</v>
      </c>
      <c r="I431" s="1962">
        <v>4553.0394605539186</v>
      </c>
    </row>
    <row r="432" spans="1:9" hidden="1" outlineLevel="2" x14ac:dyDescent="0.2">
      <c r="A432" s="1980" t="s">
        <v>4941</v>
      </c>
      <c r="B432" s="1980" t="s">
        <v>4942</v>
      </c>
      <c r="C432" s="1980" t="s">
        <v>4949</v>
      </c>
      <c r="D432" s="1980" t="s">
        <v>4950</v>
      </c>
      <c r="E432" s="1980" t="s">
        <v>1083</v>
      </c>
      <c r="F432" s="1985">
        <v>4046.24656</v>
      </c>
      <c r="G432" s="1962">
        <v>1096.2856882130191</v>
      </c>
      <c r="H432" s="1962">
        <v>308.23937666443493</v>
      </c>
      <c r="I432" s="1962">
        <v>219.04906591177362</v>
      </c>
    </row>
    <row r="433" spans="1:16" hidden="1" outlineLevel="2" x14ac:dyDescent="0.2">
      <c r="A433" s="1980" t="s">
        <v>4941</v>
      </c>
      <c r="B433" s="1980" t="s">
        <v>4942</v>
      </c>
      <c r="C433" s="1980" t="s">
        <v>4951</v>
      </c>
      <c r="D433" s="1980" t="s">
        <v>4952</v>
      </c>
      <c r="E433" s="1980" t="s">
        <v>918</v>
      </c>
      <c r="F433" s="1985">
        <v>1788.3879999999999</v>
      </c>
      <c r="G433" s="1962">
        <v>0</v>
      </c>
      <c r="H433" s="1962">
        <v>0</v>
      </c>
      <c r="I433" s="1962">
        <v>0</v>
      </c>
    </row>
    <row r="434" spans="1:16" hidden="1" outlineLevel="2" x14ac:dyDescent="0.2">
      <c r="A434" s="1980" t="s">
        <v>4941</v>
      </c>
      <c r="B434" s="1980" t="s">
        <v>4942</v>
      </c>
      <c r="C434" s="1980" t="s">
        <v>4951</v>
      </c>
      <c r="D434" s="1980" t="s">
        <v>4952</v>
      </c>
      <c r="E434" s="1980" t="s">
        <v>919</v>
      </c>
      <c r="F434" s="1985">
        <v>131.41499999999999</v>
      </c>
      <c r="G434" s="1962">
        <v>0</v>
      </c>
      <c r="H434" s="1962">
        <v>0</v>
      </c>
      <c r="I434" s="1962">
        <v>131.41499999999999</v>
      </c>
    </row>
    <row r="435" spans="1:16" hidden="1" outlineLevel="2" x14ac:dyDescent="0.2">
      <c r="A435" s="1980" t="s">
        <v>4941</v>
      </c>
      <c r="B435" s="1980" t="s">
        <v>4942</v>
      </c>
      <c r="C435" s="1980" t="s">
        <v>4951</v>
      </c>
      <c r="D435" s="1980" t="s">
        <v>4952</v>
      </c>
      <c r="E435" s="1980" t="s">
        <v>912</v>
      </c>
      <c r="F435" s="1985">
        <v>571.97639000000004</v>
      </c>
      <c r="G435" s="1962">
        <v>571.97639000000004</v>
      </c>
      <c r="H435" s="1962">
        <v>0</v>
      </c>
      <c r="I435" s="1962">
        <v>0</v>
      </c>
    </row>
    <row r="436" spans="1:16" hidden="1" outlineLevel="2" x14ac:dyDescent="0.2">
      <c r="A436" s="1980" t="s">
        <v>4941</v>
      </c>
      <c r="B436" s="1980" t="s">
        <v>4942</v>
      </c>
      <c r="C436" s="1980" t="s">
        <v>4951</v>
      </c>
      <c r="D436" s="1980" t="s">
        <v>4952</v>
      </c>
      <c r="E436" s="1980" t="s">
        <v>920</v>
      </c>
      <c r="F436" s="1985">
        <v>1589.2568200000001</v>
      </c>
      <c r="G436" s="1962">
        <v>0</v>
      </c>
      <c r="H436" s="1962">
        <v>0</v>
      </c>
      <c r="I436" s="1962">
        <v>0</v>
      </c>
    </row>
    <row r="437" spans="1:16" hidden="1" outlineLevel="2" x14ac:dyDescent="0.2">
      <c r="A437" s="1980" t="s">
        <v>4941</v>
      </c>
      <c r="B437" s="1980" t="s">
        <v>4942</v>
      </c>
      <c r="C437" s="1980" t="s">
        <v>4951</v>
      </c>
      <c r="D437" s="1980" t="s">
        <v>4952</v>
      </c>
      <c r="E437" s="1980" t="s">
        <v>921</v>
      </c>
      <c r="F437" s="1985">
        <v>631.98</v>
      </c>
      <c r="G437" s="1962">
        <v>0</v>
      </c>
      <c r="H437" s="1962">
        <v>631.98</v>
      </c>
      <c r="I437" s="1962">
        <v>0</v>
      </c>
    </row>
    <row r="438" spans="1:16" hidden="1" outlineLevel="2" x14ac:dyDescent="0.2">
      <c r="A438" s="1980" t="s">
        <v>4941</v>
      </c>
      <c r="B438" s="1980" t="s">
        <v>4942</v>
      </c>
      <c r="C438" s="1980" t="s">
        <v>4951</v>
      </c>
      <c r="D438" s="1980" t="s">
        <v>4952</v>
      </c>
      <c r="E438" s="1980" t="s">
        <v>923</v>
      </c>
      <c r="F438" s="1999">
        <v>427.93200000000002</v>
      </c>
      <c r="G438" s="1962">
        <v>0</v>
      </c>
      <c r="H438" s="1962">
        <v>0</v>
      </c>
      <c r="I438" s="1962">
        <v>0</v>
      </c>
    </row>
    <row r="439" spans="1:16" ht="13.5" outlineLevel="1" collapsed="1" thickBot="1" x14ac:dyDescent="0.25">
      <c r="A439" s="1981" t="s">
        <v>4953</v>
      </c>
      <c r="B439" s="1964"/>
      <c r="C439" s="1964"/>
      <c r="D439" s="1964"/>
      <c r="E439" s="1964"/>
      <c r="F439" s="1970">
        <f>SUBTOTAL(9,F428:F438)</f>
        <v>91010.464509999991</v>
      </c>
      <c r="G439" s="1965">
        <f t="shared" ref="G439:I439" si="2">SUBTOTAL(9,G428:G438)</f>
        <v>23862.412955605985</v>
      </c>
      <c r="H439" s="1965">
        <f t="shared" si="2"/>
        <v>7169.0876212412222</v>
      </c>
      <c r="I439" s="1965">
        <f t="shared" si="2"/>
        <v>4777.7903013164587</v>
      </c>
    </row>
    <row r="440" spans="1:16" ht="13.5" outlineLevel="1" thickBot="1" x14ac:dyDescent="0.25">
      <c r="A440" s="1981" t="s">
        <v>1342</v>
      </c>
      <c r="B440" s="1964"/>
      <c r="C440" s="1964"/>
      <c r="D440" s="1964"/>
      <c r="E440" s="1964"/>
      <c r="F440" s="1965">
        <f>SUBTOTAL(9,F37:F439)</f>
        <v>-11326655.105279997</v>
      </c>
      <c r="G440" s="1965">
        <f t="shared" ref="G440:I440" si="3">SUBTOTAL(9,G37:G439)</f>
        <v>-3320862.543210594</v>
      </c>
      <c r="H440" s="1965">
        <f t="shared" si="3"/>
        <v>-914858.11768432241</v>
      </c>
      <c r="I440" s="1965">
        <f t="shared" si="3"/>
        <v>-602900.4255424916</v>
      </c>
    </row>
    <row r="442" spans="1:16" ht="15.75" x14ac:dyDescent="0.25">
      <c r="D442" s="2023" t="s">
        <v>5459</v>
      </c>
      <c r="E442" s="2023" t="s">
        <v>5459</v>
      </c>
      <c r="F442" s="2023" t="s">
        <v>5459</v>
      </c>
      <c r="G442" s="2023" t="s">
        <v>5459</v>
      </c>
      <c r="H442" s="2023" t="s">
        <v>5459</v>
      </c>
      <c r="I442" s="2023" t="s">
        <v>5459</v>
      </c>
      <c r="J442" s="2023" t="s">
        <v>5459</v>
      </c>
      <c r="K442" s="2022" t="s">
        <v>5459</v>
      </c>
      <c r="L442" s="3845" t="s">
        <v>5731</v>
      </c>
      <c r="M442" s="3845"/>
      <c r="N442" s="3845"/>
      <c r="O442" s="3845"/>
      <c r="P442" s="3845"/>
    </row>
    <row r="443" spans="1:16" ht="15.75" x14ac:dyDescent="0.25">
      <c r="D443" s="2023" t="s">
        <v>5459</v>
      </c>
      <c r="E443" s="2023" t="s">
        <v>5459</v>
      </c>
      <c r="F443" s="2023" t="s">
        <v>5459</v>
      </c>
      <c r="G443" s="2023" t="s">
        <v>5459</v>
      </c>
      <c r="H443" s="2023" t="s">
        <v>5459</v>
      </c>
      <c r="I443" s="2023" t="s">
        <v>5459</v>
      </c>
      <c r="J443" s="2023" t="s">
        <v>5459</v>
      </c>
      <c r="K443" s="2022" t="s">
        <v>5459</v>
      </c>
      <c r="L443" s="3846" t="s">
        <v>5732</v>
      </c>
      <c r="M443" s="3847"/>
      <c r="N443" s="3847"/>
      <c r="O443" s="3847"/>
      <c r="P443" s="3848"/>
    </row>
    <row r="444" spans="1:16" ht="15.75" x14ac:dyDescent="0.25">
      <c r="D444" s="2023" t="s">
        <v>5459</v>
      </c>
      <c r="E444" s="2023" t="s">
        <v>5459</v>
      </c>
      <c r="F444" s="2023" t="s">
        <v>5459</v>
      </c>
      <c r="G444" s="2023" t="s">
        <v>5459</v>
      </c>
      <c r="H444" s="2023" t="s">
        <v>5459</v>
      </c>
      <c r="I444" s="2023" t="s">
        <v>5459</v>
      </c>
      <c r="J444" s="2023" t="s">
        <v>5459</v>
      </c>
      <c r="K444" s="2022" t="s">
        <v>5459</v>
      </c>
      <c r="L444" s="2335" t="s">
        <v>5461</v>
      </c>
      <c r="M444" s="2336" t="s">
        <v>912</v>
      </c>
      <c r="N444" s="2336" t="s">
        <v>921</v>
      </c>
      <c r="O444" s="2336" t="s">
        <v>5462</v>
      </c>
      <c r="P444" s="2336" t="s">
        <v>5463</v>
      </c>
    </row>
    <row r="445" spans="1:16" ht="15.75" x14ac:dyDescent="0.25">
      <c r="D445" s="2097" t="s">
        <v>5619</v>
      </c>
      <c r="E445" s="2098" t="s">
        <v>5459</v>
      </c>
      <c r="F445" s="2099">
        <f>SUMIF($C$37:$C$439,"31*",F$37:F$439)</f>
        <v>-4099409.30277</v>
      </c>
      <c r="G445" s="2099">
        <f>SUMIF($C$37:$C$439,"31*",G$37:G$439)</f>
        <v>-1110689.544522977</v>
      </c>
      <c r="H445" s="2099">
        <f>SUMIF($C$37:$C$439,"31*",H$37:H$439)</f>
        <v>-312289.26597547985</v>
      </c>
      <c r="I445" s="2099">
        <f>SUMIF($C$37:$C$439,"31*",I$37:I$439)</f>
        <v>-221927.10336510086</v>
      </c>
      <c r="J445" s="2337" t="s">
        <v>5459</v>
      </c>
      <c r="K445" s="2022" t="s">
        <v>669</v>
      </c>
      <c r="L445" s="2181">
        <f>SUM(F445:F447)/SUM($F445:$F447)</f>
        <v>1</v>
      </c>
      <c r="M445" s="2181">
        <f t="shared" ref="M445:O445" si="4">SUM(G445:G447)/SUM($F445:$F447)</f>
        <v>0.26568146930945286</v>
      </c>
      <c r="N445" s="2181">
        <f t="shared" si="4"/>
        <v>7.7262466215433978E-2</v>
      </c>
      <c r="O445" s="2181">
        <f t="shared" si="4"/>
        <v>5.4123275356728652E-2</v>
      </c>
      <c r="P445" s="2181">
        <f>SUM(M445:O445)</f>
        <v>0.39706721088161551</v>
      </c>
    </row>
    <row r="446" spans="1:16" ht="15.75" x14ac:dyDescent="0.25">
      <c r="D446" s="2105" t="s">
        <v>5733</v>
      </c>
      <c r="E446" s="2106" t="s">
        <v>5459</v>
      </c>
      <c r="F446" s="2108">
        <f>SUMIF($C$37:$C$439,"28835*",F$37:F$439)</f>
        <v>-69669.8989</v>
      </c>
      <c r="G446" s="2108">
        <f>SUMIF($C$37:$C$439,"28835*",G$37:G$439)</f>
        <v>0</v>
      </c>
      <c r="H446" s="2108">
        <f>SUMIF($C$37:$C$439,"28835*",H$37:H$439)</f>
        <v>0</v>
      </c>
      <c r="I446" s="2108">
        <f>SUMIF($C$37:$C$439,"28835*",I$37:I$439)</f>
        <v>-4336.9120000000003</v>
      </c>
      <c r="J446" s="2337" t="s">
        <v>5459</v>
      </c>
      <c r="K446" s="2022" t="s">
        <v>5459</v>
      </c>
      <c r="L446" s="2023" t="s">
        <v>5459</v>
      </c>
      <c r="M446" s="2023" t="s">
        <v>5459</v>
      </c>
      <c r="N446" s="2023" t="s">
        <v>5459</v>
      </c>
      <c r="O446" s="2023" t="s">
        <v>5459</v>
      </c>
      <c r="P446" s="2023" t="s">
        <v>5459</v>
      </c>
    </row>
    <row r="447" spans="1:16" ht="15.75" x14ac:dyDescent="0.25">
      <c r="D447" s="2105" t="s">
        <v>5734</v>
      </c>
      <c r="E447" s="2106"/>
      <c r="F447" s="2108">
        <f>SUMIF($C$37:$C$439,"28836*",F$37:F$439)</f>
        <v>-11451.519609999999</v>
      </c>
      <c r="G447" s="2108">
        <f>SUMIF($C$37:$C$439,"28836*",G$37:G$439)</f>
        <v>0</v>
      </c>
      <c r="H447" s="2108">
        <f>SUMIF($C$37:$C$439,"28836*",H$37:H$439)</f>
        <v>-10708.84764</v>
      </c>
      <c r="I447" s="2108">
        <f>SUMIF($C$37:$C$439,"28836*",I$37:I$439)</f>
        <v>0</v>
      </c>
      <c r="J447" s="2337"/>
      <c r="K447" s="2022"/>
      <c r="L447" s="2023"/>
      <c r="M447" s="2023"/>
      <c r="N447" s="2023"/>
      <c r="O447" s="2023"/>
      <c r="P447" s="2023"/>
    </row>
    <row r="448" spans="1:16" ht="15.75" x14ac:dyDescent="0.25">
      <c r="D448" s="2105" t="s">
        <v>5621</v>
      </c>
      <c r="E448" s="2106" t="s">
        <v>5459</v>
      </c>
      <c r="F448" s="2108">
        <f>SUMIF($C$37:$C$439,"33*",F$37:F$439)</f>
        <v>-462396.80352999998</v>
      </c>
      <c r="G448" s="2108">
        <f>SUMIF($C$37:$C$439,"33*",G$37:G$439)</f>
        <v>-125281.29191676993</v>
      </c>
      <c r="H448" s="2108">
        <f>SUMIF($C$37:$C$439,"33*",H$37:H$439)</f>
        <v>-35224.967126120777</v>
      </c>
      <c r="I448" s="2108">
        <f>SUMIF($C$37:$C$439,"33*",I$37:I$439)</f>
        <v>-25032.480370441819</v>
      </c>
      <c r="J448" s="2337" t="s">
        <v>5459</v>
      </c>
      <c r="K448" s="2022" t="s">
        <v>679</v>
      </c>
      <c r="L448" s="2181">
        <f>F448/$F448</f>
        <v>1</v>
      </c>
      <c r="M448" s="2181">
        <f t="shared" ref="M448:O452" si="5">G448/$F448</f>
        <v>0.27093892293449162</v>
      </c>
      <c r="N448" s="2181">
        <f t="shared" si="5"/>
        <v>7.6179088733331624E-2</v>
      </c>
      <c r="O448" s="2181">
        <f t="shared" si="5"/>
        <v>5.4136361193114803E-2</v>
      </c>
      <c r="P448" s="2181">
        <f>SUM(M448:O448)</f>
        <v>0.40125437286093807</v>
      </c>
    </row>
    <row r="449" spans="4:16" ht="15.75" x14ac:dyDescent="0.25">
      <c r="D449" s="2105" t="s">
        <v>5623</v>
      </c>
      <c r="E449" s="2106" t="s">
        <v>5459</v>
      </c>
      <c r="F449" s="2108">
        <f>SUMIF($C$37:$C$439,"34*",F$37:F$439)</f>
        <v>-583367.70152999996</v>
      </c>
      <c r="G449" s="2108">
        <f>SUMIF($C$37:$C$439,"34*",G$37:G$439)</f>
        <v>-158042.56555769223</v>
      </c>
      <c r="H449" s="2108">
        <f>SUMIF($C$37:$C$439,"34*",H$37:H$439)</f>
        <v>-44436.247419953608</v>
      </c>
      <c r="I449" s="2108">
        <f>SUMIF($C$37:$C$439,"34*",I$37:I$439)</f>
        <v>-31578.439443062845</v>
      </c>
      <c r="J449" s="2337" t="s">
        <v>5459</v>
      </c>
      <c r="K449" s="2022" t="s">
        <v>107</v>
      </c>
      <c r="L449" s="2181">
        <f>F449/$F449</f>
        <v>1</v>
      </c>
      <c r="M449" s="2181">
        <f t="shared" si="5"/>
        <v>0.27091415096035243</v>
      </c>
      <c r="N449" s="2181">
        <f t="shared" si="5"/>
        <v>7.6171936333483237E-2</v>
      </c>
      <c r="O449" s="2181">
        <f t="shared" si="5"/>
        <v>5.4131278369100637E-2</v>
      </c>
      <c r="P449" s="2181">
        <f>SUM(M449:O449)</f>
        <v>0.40121736566293631</v>
      </c>
    </row>
    <row r="450" spans="4:16" ht="15.75" x14ac:dyDescent="0.25">
      <c r="D450" s="2105" t="s">
        <v>5625</v>
      </c>
      <c r="E450" s="2106" t="s">
        <v>5459</v>
      </c>
      <c r="F450" s="2108">
        <f>SUMIF($C$37:$C$439,"35*",F$37:F$439)</f>
        <v>-2261638.4384400002</v>
      </c>
      <c r="G450" s="2108">
        <f>SUMIF($C$37:$C$439,"35*",G$37:G$439)</f>
        <v>-612765.88443345204</v>
      </c>
      <c r="H450" s="2108">
        <f>SUMIF($C$37:$C$439,"35*",H$37:H$439)</f>
        <v>-172289.55580627581</v>
      </c>
      <c r="I450" s="2108">
        <f>SUMIF($C$37:$C$439,"35*",I$37:I$439)</f>
        <v>-122436.87576232239</v>
      </c>
      <c r="J450" s="2337" t="s">
        <v>5459</v>
      </c>
      <c r="K450" s="2022" t="s">
        <v>5735</v>
      </c>
      <c r="L450" s="2181">
        <f>F450/$F450</f>
        <v>1</v>
      </c>
      <c r="M450" s="2181">
        <f t="shared" si="5"/>
        <v>0.2709389237548141</v>
      </c>
      <c r="N450" s="2181">
        <f t="shared" si="5"/>
        <v>7.6179088963979222E-2</v>
      </c>
      <c r="O450" s="2181">
        <f t="shared" si="5"/>
        <v>5.4136361357023585E-2</v>
      </c>
      <c r="P450" s="2181">
        <f>SUM(M450:O450)</f>
        <v>0.40125437407581693</v>
      </c>
    </row>
    <row r="451" spans="4:16" ht="15.75" x14ac:dyDescent="0.25">
      <c r="D451" s="2105" t="s">
        <v>5627</v>
      </c>
      <c r="E451" s="2106" t="s">
        <v>5459</v>
      </c>
      <c r="F451" s="2338">
        <f>SUMIF($C$37:$C$439,"36*",F$37:F$439)+SUMIF($C$37:$C$439,"37*",F$37:F$439)</f>
        <v>-3347569.4430899997</v>
      </c>
      <c r="G451" s="2338">
        <f>SUMIF($C$37:$C$439,"36*",G$37:G$439)+SUMIF($C$37:$C$439,"37*",G$37:G$439)</f>
        <v>-1170953.6291799997</v>
      </c>
      <c r="H451" s="2338">
        <f>SUMIF($C$37:$C$439,"36*",H$37:H$439)+SUMIF($C$37:$C$439,"37*",H$37:H$439)</f>
        <v>-299332.52215999999</v>
      </c>
      <c r="I451" s="2338">
        <f>SUMIF($C$37:$C$439,"36*",I$37:I$439)+SUMIF($C$37:$C$439,"37*",I$37:I$439)</f>
        <v>-164697.84604</v>
      </c>
      <c r="J451" s="2337" t="s">
        <v>5459</v>
      </c>
      <c r="K451" s="2022" t="s">
        <v>5736</v>
      </c>
      <c r="L451" s="2181">
        <f>F451/$F451</f>
        <v>1</v>
      </c>
      <c r="M451" s="2181">
        <f t="shared" si="5"/>
        <v>0.34979218477366131</v>
      </c>
      <c r="N451" s="2181">
        <f t="shared" si="5"/>
        <v>8.94178678736232E-2</v>
      </c>
      <c r="O451" s="2181">
        <f t="shared" si="5"/>
        <v>4.9199232111515029E-2</v>
      </c>
      <c r="P451" s="2181">
        <f>SUM(M451:O451)</f>
        <v>0.48840928475879952</v>
      </c>
    </row>
    <row r="452" spans="4:16" ht="15.75" x14ac:dyDescent="0.25">
      <c r="D452" s="2105" t="s">
        <v>5737</v>
      </c>
      <c r="E452" s="2106" t="s">
        <v>5459</v>
      </c>
      <c r="F452" s="2338">
        <f>SUMIF($C$37:$C$439,"38*",F$37:F$439)+SUMIF($C$37:$C$439,"39*",F$37:F$439)</f>
        <v>-582162.46192000003</v>
      </c>
      <c r="G452" s="2338">
        <f>SUMIF($C$37:$C$439,"38*",G$37:G$439)+SUMIF($C$37:$C$439,"39*",G$37:G$439)</f>
        <v>-166992.04055530965</v>
      </c>
      <c r="H452" s="2338">
        <f>SUMIF($C$37:$C$439,"38*",H$37:H$439)+SUMIF($C$37:$C$439,"39*",H$37:H$439)</f>
        <v>-47745.799177733272</v>
      </c>
      <c r="I452" s="2338">
        <f>SUMIF($C$37:$C$439,"38*",I$37:I$439)+SUMIF($C$37:$C$439,"39*",I$37:I$439)</f>
        <v>-37668.558862880098</v>
      </c>
      <c r="J452" s="2337" t="s">
        <v>5459</v>
      </c>
      <c r="K452" s="2022" t="s">
        <v>5738</v>
      </c>
      <c r="L452" s="2181">
        <f>F452/$F452</f>
        <v>1</v>
      </c>
      <c r="M452" s="2181">
        <f t="shared" si="5"/>
        <v>0.28684783282756121</v>
      </c>
      <c r="N452" s="2181">
        <f t="shared" si="5"/>
        <v>8.2014561743237985E-2</v>
      </c>
      <c r="O452" s="2181">
        <f t="shared" si="5"/>
        <v>6.4704547831282974E-2</v>
      </c>
      <c r="P452" s="2181">
        <f>SUM(M452:O452)</f>
        <v>0.43356694240208216</v>
      </c>
    </row>
    <row r="453" spans="4:16" x14ac:dyDescent="0.2">
      <c r="D453" s="2105" t="s">
        <v>5739</v>
      </c>
      <c r="E453" s="2106" t="s">
        <v>5459</v>
      </c>
      <c r="F453" s="2108">
        <f>SUMIF($C$37:$C$439,"145*",F$37:F$439)</f>
        <v>91010.464509999991</v>
      </c>
      <c r="G453" s="2108">
        <f>SUMIF($C$37:$C$439,"145*",G$37:G$439)</f>
        <v>23862.412955605985</v>
      </c>
      <c r="H453" s="2108">
        <f>SUMIF($C$37:$C$439,"145*",H$37:H$439)</f>
        <v>7169.0876212412222</v>
      </c>
      <c r="I453" s="2108">
        <f>SUMIF($C$37:$C$439,"145*",I$37:I$439)</f>
        <v>4777.7903013164587</v>
      </c>
      <c r="J453" s="2337" t="s">
        <v>5459</v>
      </c>
      <c r="K453" s="2023" t="s">
        <v>5459</v>
      </c>
      <c r="L453" s="2023" t="s">
        <v>5459</v>
      </c>
      <c r="M453" s="2023" t="s">
        <v>5459</v>
      </c>
      <c r="N453" s="2023" t="s">
        <v>5459</v>
      </c>
      <c r="O453" s="2023" t="s">
        <v>5459</v>
      </c>
      <c r="P453" s="2023" t="s">
        <v>5459</v>
      </c>
    </row>
    <row r="454" spans="4:16" x14ac:dyDescent="0.2">
      <c r="D454" s="2105" t="s">
        <v>5740</v>
      </c>
      <c r="E454" s="2106" t="s">
        <v>5459</v>
      </c>
      <c r="F454" s="2108">
        <f>SUM(F445:F453)</f>
        <v>-11326655.105280001</v>
      </c>
      <c r="G454" s="2108">
        <f>SUM(G445:G453)</f>
        <v>-3320862.5432105944</v>
      </c>
      <c r="H454" s="2108">
        <f>SUM(H445:H453)</f>
        <v>-914858.11768432206</v>
      </c>
      <c r="I454" s="2108">
        <f>SUM(I445:I453)</f>
        <v>-602900.4255424916</v>
      </c>
      <c r="J454" s="2337" t="s">
        <v>5459</v>
      </c>
      <c r="K454" s="2023" t="s">
        <v>5459</v>
      </c>
      <c r="L454" s="2023" t="s">
        <v>5459</v>
      </c>
      <c r="M454" s="2023" t="s">
        <v>5459</v>
      </c>
      <c r="N454" s="2023" t="s">
        <v>5459</v>
      </c>
      <c r="O454" s="2023" t="s">
        <v>5459</v>
      </c>
      <c r="P454" s="2023" t="s">
        <v>5459</v>
      </c>
    </row>
    <row r="455" spans="4:16" ht="15.75" x14ac:dyDescent="0.25">
      <c r="D455" s="2077" t="s">
        <v>5597</v>
      </c>
      <c r="E455" s="2023" t="s">
        <v>5459</v>
      </c>
      <c r="F455" s="2339">
        <f>F454-F440</f>
        <v>0</v>
      </c>
      <c r="G455" s="2339">
        <f>G454-G440</f>
        <v>0</v>
      </c>
      <c r="H455" s="2339">
        <f>H454-H440</f>
        <v>0</v>
      </c>
      <c r="I455" s="2339">
        <f>I454-I440</f>
        <v>0</v>
      </c>
      <c r="J455" s="2022" t="s">
        <v>5459</v>
      </c>
      <c r="K455" s="2023" t="s">
        <v>5459</v>
      </c>
      <c r="L455" s="2023" t="s">
        <v>5459</v>
      </c>
      <c r="M455" s="2023" t="s">
        <v>5459</v>
      </c>
      <c r="N455" s="2023" t="s">
        <v>5459</v>
      </c>
      <c r="O455" s="2023" t="s">
        <v>5459</v>
      </c>
      <c r="P455" s="2023" t="s">
        <v>5459</v>
      </c>
    </row>
  </sheetData>
  <mergeCells count="2">
    <mergeCell ref="L442:P442"/>
    <mergeCell ref="L443:P443"/>
  </mergeCells>
  <pageMargins left="0.7" right="0.7" top="0.75" bottom="0.75" header="0.3" footer="0.3"/>
  <pageSetup scale="82" fitToHeight="0" orientation="landscape" horizontalDpi="1200" verticalDpi="1200" r:id="rId1"/>
  <customProperties>
    <customPr name="_pios_id" r:id="rId2"/>
  </customProperties>
  <drawing r:id="rId3"/>
  <legacyDrawing r:id="rId4"/>
  <oleObjects>
    <mc:AlternateContent xmlns:mc="http://schemas.openxmlformats.org/markup-compatibility/2006">
      <mc:Choice Requires="x14">
        <oleObject progId="StaticMetafile" shapeId="142337" r:id="rId5">
          <objectPr defaultSize="0" autoPict="0" r:id="rId6">
            <anchor moveWithCells="1" sizeWithCells="1">
              <from>
                <xdr:col>0</xdr:col>
                <xdr:colOff>38100</xdr:colOff>
                <xdr:row>0</xdr:row>
                <xdr:rowOff>95250</xdr:rowOff>
              </from>
              <to>
                <xdr:col>1</xdr:col>
                <xdr:colOff>1857375</xdr:colOff>
                <xdr:row>3</xdr:row>
                <xdr:rowOff>9525</xdr:rowOff>
              </to>
            </anchor>
          </objectPr>
        </oleObject>
      </mc:Choice>
      <mc:Fallback>
        <oleObject progId="StaticMetafile" shapeId="142337" r:id="rId5"/>
      </mc:Fallback>
    </mc:AlternateContent>
  </oleObjects>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B408F2-F885-46D0-B37C-61FA90B38361}">
  <sheetPr codeName="Sheet32">
    <tabColor rgb="FF00B0F0"/>
    <pageSetUpPr fitToPage="1"/>
  </sheetPr>
  <dimension ref="A1:ED144"/>
  <sheetViews>
    <sheetView topLeftCell="A117" zoomScaleNormal="100" zoomScaleSheetLayoutView="100" workbookViewId="0">
      <selection activeCell="W987" sqref="W987"/>
    </sheetView>
  </sheetViews>
  <sheetFormatPr defaultColWidth="7.625" defaultRowHeight="12.75" outlineLevelRow="2" x14ac:dyDescent="0.2"/>
  <cols>
    <col min="1" max="1" width="12.75" style="1953" bestFit="1" customWidth="1"/>
    <col min="2" max="2" width="20.25" style="1953" customWidth="1"/>
    <col min="3" max="3" width="14.625" style="1953" customWidth="1"/>
    <col min="4" max="4" width="42.375" style="1953" bestFit="1" customWidth="1"/>
    <col min="5" max="5" width="5.75" style="1953" bestFit="1" customWidth="1"/>
    <col min="6" max="6" width="9.125" style="1953" bestFit="1" customWidth="1"/>
    <col min="7" max="7" width="8.125" style="1953" bestFit="1" customWidth="1"/>
    <col min="8" max="8" width="7.625" style="1953" bestFit="1" customWidth="1"/>
    <col min="9" max="9" width="7.25" style="1953" bestFit="1" customWidth="1"/>
    <col min="10" max="10" width="10.5" style="1953" bestFit="1" customWidth="1"/>
    <col min="11" max="11" width="4" style="1953" customWidth="1"/>
    <col min="12" max="12" width="3.875" style="1953" bestFit="1" customWidth="1"/>
    <col min="13" max="14" width="8" style="1953" bestFit="1" customWidth="1"/>
    <col min="15" max="16" width="7.375" style="1953" bestFit="1" customWidth="1"/>
    <col min="17" max="17" width="8" style="1953" bestFit="1" customWidth="1"/>
    <col min="18" max="18" width="10.5" style="1953" bestFit="1" customWidth="1"/>
    <col min="19" max="19" width="4.875" style="1953" customWidth="1"/>
    <col min="20" max="20" width="4" style="1953" customWidth="1"/>
    <col min="21" max="21" width="2.375" style="1953" customWidth="1"/>
    <col min="22" max="22" width="8.375" style="1953" customWidth="1"/>
    <col min="23" max="23" width="19.625" style="1953" customWidth="1"/>
    <col min="24" max="24" width="8.375" style="1953" customWidth="1"/>
    <col min="25" max="25" width="19.625" style="1953" customWidth="1"/>
    <col min="26" max="26" width="8.375" style="1953" customWidth="1"/>
    <col min="27" max="27" width="19.625" style="1953" customWidth="1"/>
    <col min="28" max="28" width="8.375" style="1953" customWidth="1"/>
    <col min="29" max="29" width="19.625" style="1953" customWidth="1"/>
    <col min="30" max="30" width="8.375" style="1953" customWidth="1"/>
    <col min="31" max="31" width="13.5" style="1953" customWidth="1"/>
    <col min="32" max="32" width="19.875" style="1953" customWidth="1"/>
    <col min="33" max="33" width="5.75" style="1953" customWidth="1"/>
    <col min="34" max="34" width="25.75" style="1953" customWidth="1"/>
    <col min="35" max="38" width="19.875" style="1953" customWidth="1"/>
    <col min="39" max="39" width="5.75" style="1953" customWidth="1"/>
    <col min="40" max="40" width="19.625" style="1953" customWidth="1"/>
    <col min="41" max="41" width="13" style="1953" customWidth="1"/>
    <col min="42" max="42" width="19.75" style="1953" customWidth="1"/>
    <col min="43" max="43" width="25.75" style="1953" customWidth="1"/>
    <col min="44" max="44" width="13" style="1953" customWidth="1"/>
    <col min="45" max="45" width="25.75" style="1953" customWidth="1"/>
    <col min="46" max="46" width="13" style="1953" customWidth="1"/>
    <col min="47" max="47" width="5.75" style="1953" customWidth="1"/>
    <col min="48" max="48" width="13" style="1953" customWidth="1"/>
    <col min="49" max="49" width="5.75" style="1953" customWidth="1"/>
    <col min="50" max="50" width="19.625" style="1953" customWidth="1"/>
    <col min="51" max="51" width="13" style="1953" customWidth="1"/>
    <col min="52" max="52" width="5.5" style="1953" customWidth="1"/>
    <col min="53" max="53" width="19.625" style="1953" customWidth="1"/>
    <col min="54" max="54" width="19.375" style="1953" customWidth="1"/>
    <col min="55" max="55" width="9.375" style="1953" customWidth="1"/>
    <col min="56" max="56" width="5.5" style="1953" customWidth="1"/>
    <col min="57" max="57" width="4.25" style="1953" customWidth="1"/>
    <col min="58" max="58" width="9.375" style="1953" customWidth="1"/>
    <col min="59" max="59" width="10.375" style="1953" customWidth="1"/>
    <col min="60" max="61" width="9.375" style="1953" customWidth="1"/>
    <col min="62" max="62" width="8.375" style="1953" customWidth="1"/>
    <col min="63" max="63" width="4.875" style="1953" customWidth="1"/>
    <col min="64" max="64" width="4" style="1953" customWidth="1"/>
    <col min="65" max="65" width="5.25" style="1953" customWidth="1"/>
    <col min="66" max="66" width="4.625" style="1953" customWidth="1"/>
    <col min="67" max="67" width="5.25" style="1953" customWidth="1"/>
    <col min="68" max="68" width="4.625" style="1953" customWidth="1"/>
    <col min="69" max="69" width="5.25" style="1953" customWidth="1"/>
    <col min="70" max="70" width="4.625" style="1953" customWidth="1"/>
    <col min="71" max="71" width="5.25" style="1953" customWidth="1"/>
    <col min="72" max="72" width="4.625" style="1953" customWidth="1"/>
    <col min="73" max="73" width="5.25" style="1953" customWidth="1"/>
    <col min="74" max="74" width="4.625" style="1953" customWidth="1"/>
    <col min="75" max="75" width="5.25" style="1953" customWidth="1"/>
    <col min="76" max="76" width="4.625" style="1953" customWidth="1"/>
    <col min="77" max="77" width="5.25" style="1953" customWidth="1"/>
    <col min="78" max="78" width="4.625" style="1953" customWidth="1"/>
    <col min="79" max="79" width="5.25" style="1953" customWidth="1"/>
    <col min="80" max="80" width="4.625" style="1953" customWidth="1"/>
    <col min="81" max="81" width="5.25" style="1953" customWidth="1"/>
    <col min="82" max="82" width="4.625" style="1953" customWidth="1"/>
    <col min="83" max="83" width="5.25" style="1953" customWidth="1"/>
    <col min="84" max="84" width="4.625" style="1953" customWidth="1"/>
    <col min="85" max="85" width="5.25" style="1953" customWidth="1"/>
    <col min="86" max="86" width="4.625" style="1953" customWidth="1"/>
    <col min="87" max="87" width="5.25" style="1953" customWidth="1"/>
    <col min="88" max="88" width="4.625" style="1953" customWidth="1"/>
    <col min="89" max="89" width="5.25" style="1953" customWidth="1"/>
    <col min="90" max="90" width="4.625" style="1953" customWidth="1"/>
    <col min="91" max="91" width="5.25" style="1953" customWidth="1"/>
    <col min="92" max="92" width="4.625" style="1953" customWidth="1"/>
    <col min="93" max="93" width="5.25" style="1953" customWidth="1"/>
    <col min="94" max="94" width="4.625" style="1953" customWidth="1"/>
    <col min="95" max="95" width="5.25" style="1953" customWidth="1"/>
    <col min="96" max="96" width="4.625" style="1953" customWidth="1"/>
    <col min="97" max="97" width="5.25" style="1953" customWidth="1"/>
    <col min="98" max="98" width="4.625" style="1953" customWidth="1"/>
    <col min="99" max="99" width="5.25" style="1953" customWidth="1"/>
    <col min="100" max="100" width="4.625" style="1953" customWidth="1"/>
    <col min="101" max="101" width="5.25" style="1953" customWidth="1"/>
    <col min="102" max="102" width="4.625" style="1953" customWidth="1"/>
    <col min="103" max="103" width="5.25" style="1953" customWidth="1"/>
    <col min="104" max="104" width="4.625" style="1953" customWidth="1"/>
    <col min="105" max="105" width="5.25" style="1953" customWidth="1"/>
    <col min="106" max="106" width="4.625" style="1953" customWidth="1"/>
    <col min="107" max="107" width="5.25" style="1953" customWidth="1"/>
    <col min="108" max="108" width="4.625" style="1953" customWidth="1"/>
    <col min="109" max="109" width="5.25" style="1953" customWidth="1"/>
    <col min="110" max="110" width="4.625" style="1953" customWidth="1"/>
    <col min="111" max="111" width="5.25" style="1953" customWidth="1"/>
    <col min="112" max="112" width="4.625" style="1953" customWidth="1"/>
    <col min="113" max="113" width="5.25" style="1953" customWidth="1"/>
    <col min="114" max="114" width="4.625" style="1953" customWidth="1"/>
    <col min="115" max="115" width="5.25" style="1953" customWidth="1"/>
    <col min="116" max="116" width="4.625" style="1953" customWidth="1"/>
    <col min="117" max="117" width="5.25" style="1953" customWidth="1"/>
    <col min="118" max="118" width="4.625" style="1953" customWidth="1"/>
    <col min="119" max="119" width="7.125" style="1953" customWidth="1"/>
    <col min="120" max="120" width="6" style="1953" customWidth="1"/>
    <col min="121" max="121" width="5.25" style="1953" customWidth="1"/>
    <col min="122" max="122" width="4.625" style="1953" customWidth="1"/>
    <col min="123" max="123" width="5.25" style="1953" customWidth="1"/>
    <col min="124" max="124" width="4.625" style="1953" customWidth="1"/>
    <col min="125" max="125" width="5.25" style="1953" customWidth="1"/>
    <col min="126" max="126" width="4.625" style="1953" customWidth="1"/>
    <col min="127" max="127" width="5.25" style="1953" customWidth="1"/>
    <col min="128" max="128" width="4.625" style="1953" customWidth="1"/>
    <col min="129" max="129" width="5.25" style="1953" customWidth="1"/>
    <col min="130" max="130" width="4.625" style="1953" customWidth="1"/>
    <col min="131" max="131" width="5.25" style="1953" customWidth="1"/>
    <col min="132" max="132" width="4.625" style="1953" customWidth="1"/>
    <col min="133" max="133" width="5.25" style="1953" customWidth="1"/>
    <col min="134" max="134" width="4.625" style="1953" customWidth="1"/>
    <col min="135" max="16384" width="7.625" style="1953"/>
  </cols>
  <sheetData>
    <row r="1" spans="1:133" ht="39.950000000000003" customHeight="1" x14ac:dyDescent="0.2">
      <c r="AX1" s="1951"/>
    </row>
    <row r="2" spans="1:133" ht="42" hidden="1" customHeight="1" x14ac:dyDescent="0.2"/>
    <row r="3" spans="1:133" ht="35.25" hidden="1" customHeight="1" x14ac:dyDescent="0.2">
      <c r="D3" s="1951"/>
      <c r="F3" s="1951"/>
      <c r="G3" s="1951"/>
      <c r="I3" s="1951"/>
      <c r="AH3" s="1951"/>
      <c r="AN3" s="1951"/>
      <c r="AQ3" s="1951"/>
      <c r="AS3" s="1951"/>
      <c r="AX3" s="1952"/>
      <c r="AZ3" s="1951"/>
      <c r="BB3" s="1951"/>
      <c r="BD3" s="1951"/>
      <c r="BF3" s="1951"/>
      <c r="BH3" s="1951"/>
      <c r="BJ3" s="1951"/>
      <c r="BL3" s="1951"/>
    </row>
    <row r="4" spans="1:133" ht="12" customHeight="1" x14ac:dyDescent="0.2">
      <c r="A4" s="1992"/>
      <c r="D4" s="1952"/>
      <c r="F4" s="1952"/>
      <c r="G4" s="1952"/>
      <c r="I4" s="1952"/>
      <c r="AX4" s="1952"/>
      <c r="BN4" s="1951"/>
    </row>
    <row r="5" spans="1:133" ht="12" customHeight="1" x14ac:dyDescent="0.2">
      <c r="A5" s="1950" t="s">
        <v>4954</v>
      </c>
      <c r="B5" s="1951"/>
      <c r="C5" s="1951"/>
      <c r="D5" s="1952"/>
      <c r="E5" s="1951"/>
      <c r="F5" s="1952"/>
      <c r="G5" s="1952"/>
      <c r="H5" s="1951"/>
      <c r="I5" s="1952"/>
      <c r="J5" s="1951"/>
      <c r="K5" s="1951"/>
      <c r="L5" s="1951"/>
      <c r="M5" s="1951"/>
      <c r="N5" s="1951"/>
      <c r="O5" s="1951"/>
      <c r="P5" s="1951"/>
      <c r="Q5" s="1951"/>
      <c r="R5" s="1951"/>
      <c r="S5" s="1951"/>
      <c r="T5" s="1951"/>
      <c r="U5" s="1951"/>
      <c r="V5" s="1951"/>
      <c r="W5" s="1951"/>
      <c r="X5" s="1951"/>
      <c r="Y5" s="1951"/>
      <c r="Z5" s="1951"/>
      <c r="AA5" s="1951"/>
      <c r="AB5" s="1951"/>
      <c r="AC5" s="1951"/>
      <c r="AD5" s="1951"/>
      <c r="AE5" s="1951"/>
      <c r="AF5" s="1951"/>
      <c r="AG5" s="1951"/>
      <c r="AI5" s="1951"/>
      <c r="AJ5" s="1951"/>
      <c r="AK5" s="1951"/>
      <c r="AL5" s="1951"/>
      <c r="AM5" s="1951"/>
      <c r="AO5" s="1951"/>
      <c r="AP5" s="1951"/>
      <c r="AR5" s="1951"/>
      <c r="AT5" s="1951"/>
      <c r="AU5" s="1951"/>
      <c r="AV5" s="1951"/>
      <c r="AW5" s="1951"/>
      <c r="AX5" s="1952"/>
      <c r="AY5" s="1951"/>
      <c r="BA5" s="1951"/>
      <c r="BC5" s="1951"/>
      <c r="BE5" s="1951"/>
      <c r="BG5" s="1951"/>
      <c r="BI5" s="1951"/>
      <c r="BK5" s="1951"/>
      <c r="BM5" s="1951"/>
      <c r="BO5" s="1951"/>
      <c r="BP5" s="1951"/>
      <c r="BQ5" s="1951"/>
      <c r="BR5" s="1951"/>
      <c r="BS5" s="1951"/>
      <c r="BT5" s="1951"/>
      <c r="BU5" s="1951"/>
      <c r="BV5" s="1951"/>
      <c r="BW5" s="1951"/>
      <c r="BX5" s="1951"/>
      <c r="BY5" s="1951"/>
      <c r="BZ5" s="1951"/>
      <c r="CA5" s="1951"/>
      <c r="CB5" s="1951"/>
      <c r="CC5" s="1951"/>
      <c r="CD5" s="1951"/>
    </row>
    <row r="6" spans="1:133" ht="12" customHeight="1" x14ac:dyDescent="0.2">
      <c r="A6" s="1952" t="s">
        <v>2260</v>
      </c>
      <c r="B6" s="1952"/>
      <c r="C6" s="1952"/>
      <c r="D6" s="1952"/>
      <c r="E6" s="1952"/>
      <c r="F6" s="1952"/>
      <c r="G6" s="1952"/>
      <c r="H6" s="1952"/>
      <c r="I6" s="1952"/>
      <c r="AX6" s="1952"/>
    </row>
    <row r="7" spans="1:133" ht="12" customHeight="1" x14ac:dyDescent="0.2">
      <c r="A7" s="1952" t="s">
        <v>875</v>
      </c>
      <c r="B7" s="1952"/>
      <c r="C7" s="1952"/>
      <c r="E7" s="1952"/>
      <c r="H7" s="1952"/>
      <c r="AX7" s="1952"/>
    </row>
    <row r="8" spans="1:133" ht="12" customHeight="1" x14ac:dyDescent="0.2">
      <c r="A8" s="1952" t="s">
        <v>876</v>
      </c>
      <c r="B8" s="1952"/>
      <c r="C8" s="1952"/>
      <c r="D8" s="1952"/>
      <c r="E8" s="1952"/>
      <c r="F8" s="1952"/>
      <c r="G8" s="1952"/>
      <c r="H8" s="1952"/>
      <c r="I8" s="1952"/>
      <c r="AH8" s="1952"/>
      <c r="AN8" s="1952"/>
      <c r="AQ8" s="1952"/>
      <c r="AS8" s="1952"/>
      <c r="AX8" s="1952"/>
      <c r="AZ8" s="1952"/>
      <c r="BB8" s="1952"/>
      <c r="BD8" s="1952"/>
      <c r="BF8" s="1952"/>
      <c r="BH8" s="1952"/>
      <c r="BJ8" s="1952"/>
      <c r="BL8" s="1952"/>
    </row>
    <row r="9" spans="1:133" ht="12" customHeight="1" x14ac:dyDescent="0.2">
      <c r="D9" s="1956"/>
      <c r="F9" s="1956"/>
      <c r="G9" s="1956"/>
      <c r="I9" s="1956"/>
      <c r="AH9" s="1956"/>
      <c r="AN9" s="1956"/>
      <c r="AQ9" s="1956"/>
      <c r="AS9" s="1956"/>
      <c r="AX9" s="1952"/>
      <c r="AZ9" s="1952"/>
      <c r="BB9" s="1952"/>
      <c r="BD9" s="1952"/>
      <c r="BF9" s="1952"/>
      <c r="BH9" s="1952"/>
      <c r="BJ9" s="1952"/>
      <c r="BL9" s="1952"/>
      <c r="BN9" s="1952"/>
    </row>
    <row r="10" spans="1:133" s="1946" customFormat="1" ht="12" hidden="1" customHeight="1" outlineLevel="1" x14ac:dyDescent="0.2">
      <c r="A10" s="1951" t="s">
        <v>877</v>
      </c>
      <c r="B10" s="1952" t="s">
        <v>2411</v>
      </c>
      <c r="AD10" s="1952"/>
      <c r="AE10" s="1952"/>
      <c r="AF10" s="1952"/>
      <c r="AG10" s="1952"/>
      <c r="AH10" s="1952"/>
      <c r="AK10" s="1952"/>
      <c r="AL10" s="1952"/>
      <c r="AM10" s="1952"/>
      <c r="CG10" s="1952"/>
      <c r="CH10" s="1952"/>
      <c r="CI10" s="1952"/>
      <c r="CJ10" s="1952"/>
      <c r="CK10" s="1952"/>
      <c r="CL10" s="1952"/>
      <c r="CM10" s="1952"/>
      <c r="CN10" s="1952"/>
      <c r="CO10" s="1952"/>
      <c r="CP10" s="1952"/>
      <c r="CQ10" s="1952"/>
      <c r="CR10" s="1952"/>
      <c r="CS10" s="1952"/>
      <c r="CT10" s="1952"/>
      <c r="CU10" s="1952"/>
      <c r="CV10" s="1952"/>
      <c r="CW10" s="1952"/>
      <c r="CX10" s="1952"/>
      <c r="CY10" s="1952"/>
      <c r="CZ10" s="1952"/>
      <c r="DA10" s="1952"/>
      <c r="DB10" s="1952"/>
      <c r="DC10" s="1952"/>
      <c r="DD10" s="1952"/>
      <c r="DE10" s="1952"/>
      <c r="DF10" s="1952"/>
      <c r="DG10" s="1952"/>
      <c r="DH10" s="1952"/>
      <c r="DI10" s="1952"/>
      <c r="DJ10" s="1952"/>
      <c r="DK10" s="1952"/>
      <c r="DL10" s="1952"/>
      <c r="DM10" s="1952"/>
      <c r="DN10" s="1952"/>
      <c r="DO10" s="1952"/>
      <c r="DP10" s="1952"/>
      <c r="DQ10" s="1955"/>
      <c r="DR10" s="1955"/>
      <c r="DS10" s="1955"/>
      <c r="DT10" s="1955"/>
      <c r="DU10" s="1955"/>
      <c r="DV10" s="1955"/>
      <c r="DW10" s="1955"/>
      <c r="DX10" s="1955"/>
      <c r="DY10" s="1955"/>
      <c r="DZ10" s="1955"/>
      <c r="EA10" s="1955"/>
      <c r="EB10" s="1955"/>
      <c r="EC10" s="1955"/>
    </row>
    <row r="11" spans="1:133" s="1946" customFormat="1" ht="12" hidden="1" customHeight="1" outlineLevel="1" x14ac:dyDescent="0.2">
      <c r="A11" s="1951" t="s">
        <v>879</v>
      </c>
      <c r="B11" s="1956">
        <v>45394.614454409719</v>
      </c>
      <c r="AD11" s="1956"/>
      <c r="AE11" s="1956"/>
      <c r="AF11" s="1956"/>
      <c r="AG11" s="1956"/>
      <c r="AH11" s="1956"/>
      <c r="AK11" s="1956"/>
      <c r="AL11" s="1956"/>
      <c r="AM11" s="1956"/>
      <c r="CG11" s="1952"/>
      <c r="CH11" s="1952"/>
      <c r="CI11" s="1952"/>
      <c r="CJ11" s="1952"/>
      <c r="CK11" s="1952"/>
      <c r="CL11" s="1952"/>
      <c r="CM11" s="1952"/>
      <c r="CN11" s="1952"/>
      <c r="CO11" s="1952"/>
      <c r="CP11" s="1952"/>
      <c r="CQ11" s="1952"/>
      <c r="CR11" s="1952"/>
      <c r="CS11" s="1952"/>
      <c r="CT11" s="1952"/>
      <c r="CU11" s="1952"/>
      <c r="CV11" s="1952"/>
      <c r="CW11" s="1952"/>
      <c r="CX11" s="1952"/>
      <c r="CY11" s="1952"/>
      <c r="CZ11" s="1952"/>
      <c r="DA11" s="1952"/>
      <c r="DB11" s="1952"/>
      <c r="DC11" s="1952"/>
      <c r="DD11" s="1952"/>
      <c r="DE11" s="1952"/>
      <c r="DF11" s="1952"/>
      <c r="DG11" s="1952"/>
      <c r="DH11" s="1952"/>
      <c r="DI11" s="1952"/>
      <c r="DJ11" s="1952"/>
      <c r="DK11" s="1952"/>
      <c r="DL11" s="1952"/>
      <c r="DM11" s="1952"/>
      <c r="DN11" s="1952"/>
      <c r="DO11" s="1952"/>
      <c r="DP11" s="1952"/>
      <c r="DQ11" s="1955"/>
      <c r="DR11" s="1955"/>
      <c r="DS11" s="1955"/>
      <c r="DT11" s="1955"/>
      <c r="DU11" s="1955"/>
      <c r="DV11" s="1955"/>
      <c r="DW11" s="1955"/>
      <c r="DX11" s="1955"/>
      <c r="DY11" s="1955"/>
      <c r="DZ11" s="1955"/>
      <c r="EA11" s="1955"/>
      <c r="EB11" s="1955"/>
      <c r="EC11" s="1955"/>
    </row>
    <row r="12" spans="1:133" s="1946" customFormat="1" ht="12" hidden="1" customHeight="1" outlineLevel="1" x14ac:dyDescent="0.2">
      <c r="AX12" s="1948"/>
      <c r="AZ12" s="1948"/>
      <c r="BB12" s="1948"/>
      <c r="BD12" s="1948"/>
      <c r="BF12" s="1948"/>
      <c r="BH12" s="1948"/>
      <c r="BJ12" s="1948"/>
      <c r="BL12" s="1948"/>
      <c r="BN12" s="1948"/>
    </row>
    <row r="13" spans="1:133" s="1946" customFormat="1" ht="12" hidden="1" customHeight="1" outlineLevel="1" x14ac:dyDescent="0.2">
      <c r="A13" s="1953"/>
      <c r="B13" s="1953"/>
      <c r="AB13" s="1953"/>
      <c r="AC13" s="1953"/>
      <c r="AD13" s="1953"/>
      <c r="AE13" s="1953"/>
      <c r="AF13" s="1953"/>
      <c r="AI13" s="1953"/>
      <c r="AJ13" s="1953"/>
      <c r="AK13" s="1953"/>
      <c r="AL13" s="1953"/>
      <c r="AO13" s="1953"/>
      <c r="AT13" s="1953"/>
      <c r="AV13" s="1953"/>
      <c r="AW13" s="1948"/>
      <c r="AX13" s="1947"/>
      <c r="AY13" s="1948"/>
      <c r="AZ13" s="1948"/>
      <c r="BA13" s="1948"/>
      <c r="BB13" s="1948"/>
      <c r="BC13" s="1948"/>
      <c r="BD13" s="1948"/>
      <c r="BE13" s="1948"/>
      <c r="BF13" s="1948"/>
      <c r="BG13" s="1948"/>
      <c r="BH13" s="1948"/>
      <c r="BI13" s="1948"/>
      <c r="BJ13" s="1948"/>
      <c r="BK13" s="1948"/>
      <c r="BL13" s="1948"/>
      <c r="BM13" s="1948"/>
      <c r="BN13" s="1948"/>
      <c r="BO13" s="1948"/>
      <c r="BP13" s="1948"/>
      <c r="BQ13" s="1948"/>
      <c r="BR13" s="1948"/>
      <c r="BS13" s="1948"/>
      <c r="BT13" s="1948"/>
      <c r="BU13" s="1948"/>
      <c r="BV13" s="1948"/>
      <c r="BW13" s="1948"/>
      <c r="BX13" s="1948"/>
      <c r="BY13" s="1948"/>
      <c r="BZ13" s="1948"/>
      <c r="CA13" s="1948"/>
      <c r="CB13" s="1948"/>
      <c r="CC13" s="1948"/>
      <c r="CD13" s="1948"/>
    </row>
    <row r="14" spans="1:133" s="1946" customFormat="1" ht="12" hidden="1" customHeight="1" outlineLevel="1" x14ac:dyDescent="0.2">
      <c r="A14" s="1953"/>
      <c r="B14" s="1953"/>
      <c r="AB14" s="1953"/>
      <c r="AC14" s="1953"/>
      <c r="AD14" s="1953"/>
      <c r="AE14" s="1953"/>
      <c r="AF14" s="1953"/>
      <c r="AI14" s="1953"/>
      <c r="AJ14" s="1953"/>
      <c r="AK14" s="1953"/>
      <c r="AL14" s="1953"/>
      <c r="AO14" s="1953"/>
      <c r="AT14" s="1953"/>
      <c r="AV14" s="1953"/>
      <c r="AW14" s="1948"/>
      <c r="AX14" s="1948"/>
      <c r="AY14" s="1948"/>
      <c r="AZ14" s="1948"/>
      <c r="BA14" s="1948"/>
      <c r="BB14" s="1948"/>
      <c r="BC14" s="1948"/>
      <c r="BD14" s="1948"/>
      <c r="BE14" s="1948"/>
      <c r="BF14" s="1948"/>
      <c r="BG14" s="1948"/>
      <c r="BH14" s="1948"/>
      <c r="BI14" s="1948"/>
      <c r="BJ14" s="1948"/>
      <c r="BK14" s="1948"/>
      <c r="BL14" s="1948"/>
      <c r="BM14" s="1948"/>
      <c r="BN14" s="1948"/>
      <c r="BO14" s="1948"/>
      <c r="BP14" s="1948"/>
      <c r="BQ14" s="1948"/>
      <c r="BR14" s="1948"/>
      <c r="BS14" s="1948"/>
      <c r="BT14" s="1948"/>
      <c r="BU14" s="1948"/>
      <c r="BV14" s="1948"/>
      <c r="BW14" s="1948"/>
      <c r="BX14" s="1948"/>
      <c r="BY14" s="1948"/>
      <c r="BZ14" s="1948"/>
      <c r="CA14" s="1948"/>
      <c r="CB14" s="1948"/>
      <c r="CC14" s="1948"/>
      <c r="CD14" s="1948"/>
    </row>
    <row r="15" spans="1:133" ht="12" hidden="1" customHeight="1" outlineLevel="1" x14ac:dyDescent="0.2">
      <c r="C15" s="1946"/>
      <c r="D15" s="1946"/>
      <c r="E15" s="1946"/>
      <c r="F15" s="1946"/>
      <c r="G15" s="1946"/>
      <c r="H15" s="1946"/>
      <c r="I15" s="1946"/>
      <c r="J15" s="1946"/>
      <c r="K15" s="1946"/>
      <c r="L15" s="1946"/>
      <c r="M15" s="1946"/>
      <c r="N15" s="1946"/>
      <c r="O15" s="1946"/>
      <c r="P15" s="1946"/>
      <c r="Q15" s="1946"/>
      <c r="R15" s="1946"/>
      <c r="S15" s="1946"/>
      <c r="T15" s="1946"/>
      <c r="U15" s="1946"/>
      <c r="V15" s="1946"/>
      <c r="W15" s="1946"/>
      <c r="X15" s="1946"/>
      <c r="Y15" s="1946"/>
      <c r="Z15" s="1946"/>
      <c r="AA15" s="1946"/>
      <c r="AG15" s="1946"/>
      <c r="AH15" s="1946"/>
      <c r="AM15" s="1946"/>
      <c r="AN15" s="1946"/>
      <c r="AP15" s="1946"/>
      <c r="AQ15" s="1946"/>
      <c r="AR15" s="1946"/>
      <c r="AS15" s="1946"/>
      <c r="AU15" s="1946"/>
      <c r="AW15" s="1948"/>
      <c r="AX15" s="1948"/>
      <c r="AY15" s="1952"/>
      <c r="AZ15" s="1952"/>
      <c r="BA15" s="1952"/>
      <c r="BB15" s="1952"/>
      <c r="BC15" s="1952"/>
      <c r="BD15" s="1952"/>
      <c r="BE15" s="1952"/>
      <c r="BF15" s="1952"/>
      <c r="BG15" s="1952"/>
      <c r="BH15" s="1952"/>
      <c r="BI15" s="1952"/>
      <c r="BJ15" s="1952"/>
      <c r="BK15" s="1952"/>
      <c r="BL15" s="1952"/>
    </row>
    <row r="16" spans="1:133" s="1946" customFormat="1" ht="12" hidden="1" customHeight="1" outlineLevel="1" x14ac:dyDescent="0.2">
      <c r="A16" s="1953"/>
      <c r="B16" s="1953"/>
      <c r="AB16" s="1953"/>
      <c r="AC16" s="1953"/>
      <c r="AD16" s="1953"/>
      <c r="AE16" s="1953"/>
      <c r="AF16" s="1953"/>
      <c r="AI16" s="1953"/>
      <c r="AJ16" s="1953"/>
      <c r="AK16" s="1953"/>
      <c r="AL16" s="1953"/>
      <c r="AO16" s="1953"/>
      <c r="AT16" s="1953"/>
      <c r="AV16" s="1953"/>
      <c r="AW16" s="1948"/>
      <c r="AX16" s="1948"/>
      <c r="AY16" s="1948"/>
      <c r="AZ16" s="1948"/>
      <c r="BA16" s="1948"/>
      <c r="BB16" s="1948"/>
      <c r="BC16" s="1948"/>
      <c r="BD16" s="1948"/>
      <c r="BE16" s="1948"/>
      <c r="BF16" s="1948"/>
      <c r="BG16" s="1948"/>
      <c r="BH16" s="1948"/>
      <c r="BI16" s="1948"/>
      <c r="BJ16" s="1948"/>
      <c r="BK16" s="1948"/>
      <c r="BL16" s="1948"/>
      <c r="BM16" s="1948"/>
      <c r="BN16" s="1948"/>
      <c r="BO16" s="1948"/>
      <c r="BP16" s="1948"/>
      <c r="BQ16" s="1948"/>
      <c r="BR16" s="1948"/>
      <c r="BS16" s="1948"/>
      <c r="BT16" s="1948"/>
      <c r="BU16" s="1948"/>
      <c r="BV16" s="1948"/>
      <c r="BW16" s="1948"/>
      <c r="BX16" s="1948"/>
      <c r="BY16" s="1948"/>
      <c r="BZ16" s="1948"/>
      <c r="CA16" s="1948"/>
      <c r="CB16" s="1948"/>
      <c r="CC16" s="1948"/>
      <c r="CD16" s="1948"/>
    </row>
    <row r="17" spans="1:134" s="1946" customFormat="1" ht="12" hidden="1" customHeight="1" outlineLevel="1" x14ac:dyDescent="0.2">
      <c r="A17" s="1953"/>
      <c r="B17" s="1953"/>
      <c r="AB17" s="1953"/>
      <c r="AC17" s="1953"/>
      <c r="AD17" s="1953"/>
      <c r="AE17" s="1953"/>
      <c r="AF17" s="1953"/>
      <c r="AI17" s="1953"/>
      <c r="AJ17" s="1953"/>
      <c r="AK17" s="1953"/>
      <c r="AL17" s="1953"/>
      <c r="AO17" s="1953"/>
      <c r="AT17" s="1953"/>
      <c r="AV17" s="1953"/>
      <c r="AW17" s="1948"/>
      <c r="AX17" s="1948"/>
      <c r="AY17" s="1948"/>
      <c r="AZ17" s="1948"/>
      <c r="BA17" s="1948"/>
      <c r="BB17" s="1948"/>
      <c r="BC17" s="1948"/>
      <c r="BD17" s="1948"/>
      <c r="BE17" s="1948"/>
      <c r="BF17" s="1948"/>
      <c r="BG17" s="1948"/>
      <c r="BH17" s="1948"/>
      <c r="BI17" s="1948"/>
      <c r="BJ17" s="1948"/>
      <c r="BK17" s="1948"/>
      <c r="BL17" s="1948"/>
      <c r="BM17" s="1948"/>
      <c r="BN17" s="1948"/>
      <c r="BO17" s="1948"/>
      <c r="BP17" s="1948"/>
      <c r="BQ17" s="1948"/>
      <c r="BR17" s="1948"/>
      <c r="BS17" s="1948"/>
      <c r="BT17" s="1948"/>
      <c r="BU17" s="1948"/>
      <c r="BV17" s="1948"/>
      <c r="BW17" s="1948"/>
      <c r="BX17" s="1948"/>
      <c r="BY17" s="1948"/>
      <c r="BZ17" s="1948"/>
      <c r="CA17" s="1948"/>
      <c r="CB17" s="1948"/>
      <c r="CC17" s="1948"/>
      <c r="CD17" s="1948"/>
    </row>
    <row r="18" spans="1:134" s="1946" customFormat="1" ht="12" hidden="1" customHeight="1" outlineLevel="1" x14ac:dyDescent="0.2">
      <c r="A18" s="1953"/>
      <c r="B18" s="1953"/>
      <c r="AB18" s="1953"/>
      <c r="AC18" s="1953"/>
      <c r="AD18" s="1953"/>
      <c r="AE18" s="1953"/>
      <c r="AF18" s="1953"/>
      <c r="AI18" s="1953"/>
      <c r="AJ18" s="1953"/>
      <c r="AK18" s="1953"/>
      <c r="AL18" s="1953"/>
      <c r="AO18" s="1953"/>
      <c r="AT18" s="1953"/>
      <c r="AV18" s="1953"/>
      <c r="AW18" s="1948"/>
      <c r="AX18" s="1948"/>
      <c r="AY18" s="1948"/>
      <c r="AZ18" s="1948"/>
      <c r="BA18" s="1948"/>
      <c r="BB18" s="1948"/>
      <c r="BC18" s="1948"/>
      <c r="BD18" s="1948"/>
      <c r="BE18" s="1948"/>
      <c r="BF18" s="1948"/>
      <c r="BG18" s="1948"/>
      <c r="BH18" s="1948"/>
      <c r="BI18" s="1948"/>
      <c r="BJ18" s="1948"/>
      <c r="BK18" s="1948"/>
      <c r="BL18" s="1948"/>
      <c r="BM18" s="1948"/>
      <c r="BN18" s="1948"/>
      <c r="BO18" s="1948"/>
      <c r="BP18" s="1948"/>
      <c r="BQ18" s="1948"/>
      <c r="BR18" s="1948"/>
      <c r="BS18" s="1948"/>
      <c r="BT18" s="1948"/>
      <c r="BU18" s="1948"/>
      <c r="BV18" s="1948"/>
      <c r="BW18" s="1948"/>
      <c r="BX18" s="1948"/>
      <c r="BY18" s="1948"/>
      <c r="BZ18" s="1948"/>
      <c r="CA18" s="1948"/>
      <c r="CB18" s="1948"/>
      <c r="CC18" s="1948"/>
      <c r="CD18" s="1948"/>
    </row>
    <row r="19" spans="1:134" s="1946" customFormat="1" ht="12" hidden="1" customHeight="1" outlineLevel="1" x14ac:dyDescent="0.2">
      <c r="A19" s="1953"/>
      <c r="B19" s="1953" t="s">
        <v>4955</v>
      </c>
      <c r="AB19" s="1953"/>
      <c r="AC19" s="1953"/>
      <c r="AD19" s="1953"/>
      <c r="AE19" s="1953"/>
      <c r="AF19" s="1953"/>
      <c r="AI19" s="1953"/>
      <c r="AJ19" s="1953"/>
      <c r="AK19" s="1953"/>
      <c r="AL19" s="1953"/>
      <c r="AO19" s="1953"/>
      <c r="AT19" s="1953"/>
      <c r="AV19" s="1953"/>
      <c r="AW19" s="1948"/>
      <c r="AX19" s="1948"/>
      <c r="AY19" s="1948"/>
      <c r="AZ19" s="1948"/>
      <c r="BA19" s="1948"/>
      <c r="BB19" s="1948"/>
      <c r="BC19" s="1948"/>
      <c r="BD19" s="1948"/>
      <c r="BE19" s="1948"/>
      <c r="BF19" s="1948"/>
      <c r="BG19" s="1948"/>
      <c r="BH19" s="1948"/>
      <c r="BI19" s="1948"/>
      <c r="BJ19" s="1948"/>
      <c r="BK19" s="1948"/>
      <c r="BL19" s="1948"/>
      <c r="BM19" s="1948"/>
      <c r="BN19" s="1948"/>
      <c r="BO19" s="1948"/>
      <c r="BP19" s="1948"/>
      <c r="BQ19" s="1948"/>
      <c r="BR19" s="1948"/>
      <c r="BS19" s="1948"/>
      <c r="BT19" s="1948"/>
      <c r="BU19" s="1948"/>
      <c r="BV19" s="1948"/>
      <c r="BW19" s="1948"/>
      <c r="BX19" s="1948"/>
      <c r="BY19" s="1948"/>
      <c r="BZ19" s="1948"/>
      <c r="CA19" s="1948"/>
      <c r="CB19" s="1948"/>
      <c r="CC19" s="1948"/>
      <c r="CD19" s="1948"/>
    </row>
    <row r="20" spans="1:134" s="1946" customFormat="1" ht="12" hidden="1" customHeight="1" outlineLevel="1" x14ac:dyDescent="0.2">
      <c r="A20" s="1953"/>
      <c r="B20" s="1953"/>
      <c r="AB20" s="1953"/>
      <c r="AC20" s="1953"/>
      <c r="AD20" s="1953"/>
      <c r="AE20" s="1953"/>
      <c r="AF20" s="1953"/>
      <c r="AI20" s="1953"/>
      <c r="AJ20" s="1953"/>
      <c r="AK20" s="1953"/>
      <c r="AL20" s="1953"/>
      <c r="AO20" s="1953"/>
      <c r="AT20" s="1953"/>
      <c r="AV20" s="1953"/>
      <c r="AW20" s="1948"/>
      <c r="AX20" s="1948"/>
      <c r="AY20" s="1948"/>
      <c r="AZ20" s="1948"/>
      <c r="BA20" s="1948"/>
      <c r="BB20" s="1948"/>
      <c r="BC20" s="1948"/>
      <c r="BD20" s="1948"/>
      <c r="BE20" s="1948"/>
      <c r="BF20" s="1948"/>
      <c r="BG20" s="1948"/>
      <c r="BH20" s="1948"/>
      <c r="BI20" s="1948"/>
      <c r="BJ20" s="1948"/>
      <c r="BK20" s="1948"/>
      <c r="BL20" s="1948"/>
      <c r="BM20" s="1948"/>
      <c r="BN20" s="1948"/>
      <c r="BO20" s="1948"/>
      <c r="BP20" s="1948"/>
      <c r="BQ20" s="1948"/>
      <c r="BR20" s="1948"/>
      <c r="BS20" s="1948"/>
      <c r="BT20" s="1948"/>
      <c r="BU20" s="1948"/>
      <c r="BV20" s="1948"/>
      <c r="BW20" s="1948"/>
      <c r="BX20" s="1948"/>
      <c r="BY20" s="1948"/>
      <c r="BZ20" s="1948"/>
      <c r="CA20" s="1948"/>
      <c r="CB20" s="1948"/>
      <c r="CC20" s="1948"/>
      <c r="CD20" s="1948"/>
    </row>
    <row r="21" spans="1:134" s="1946" customFormat="1" ht="12" hidden="1" customHeight="1" outlineLevel="1" x14ac:dyDescent="0.2">
      <c r="A21" s="1953"/>
      <c r="B21" s="1953"/>
      <c r="AB21" s="1953"/>
      <c r="AC21" s="1953"/>
      <c r="AD21" s="1953"/>
      <c r="AE21" s="1953"/>
      <c r="AF21" s="1953"/>
      <c r="AI21" s="1953"/>
      <c r="AJ21" s="1953"/>
      <c r="AK21" s="1953"/>
      <c r="AL21" s="1953"/>
      <c r="AO21" s="1953"/>
      <c r="AT21" s="1953"/>
      <c r="AV21" s="1953"/>
      <c r="AW21" s="1948"/>
      <c r="AX21" s="1948"/>
      <c r="AY21" s="1948"/>
      <c r="AZ21" s="1948"/>
      <c r="BA21" s="1948"/>
      <c r="BB21" s="1948"/>
      <c r="BC21" s="1948"/>
      <c r="BD21" s="1948"/>
      <c r="BE21" s="1948"/>
      <c r="BF21" s="1948"/>
      <c r="BG21" s="1948"/>
      <c r="BH21" s="1948"/>
      <c r="BI21" s="1948"/>
      <c r="BJ21" s="1948"/>
      <c r="BK21" s="1948"/>
      <c r="BL21" s="1948"/>
      <c r="BM21" s="1948"/>
      <c r="BN21" s="1948"/>
      <c r="BO21" s="1948"/>
      <c r="BP21" s="1948"/>
      <c r="BQ21" s="1948"/>
      <c r="BR21" s="1948"/>
      <c r="BS21" s="1948"/>
      <c r="BT21" s="1948"/>
      <c r="BU21" s="1948"/>
      <c r="BV21" s="1948"/>
      <c r="BW21" s="1948"/>
      <c r="BX21" s="1948"/>
      <c r="BY21" s="1948"/>
      <c r="BZ21" s="1948"/>
      <c r="CA21" s="1948"/>
      <c r="CB21" s="1948"/>
      <c r="CC21" s="1948"/>
      <c r="CD21" s="1948"/>
    </row>
    <row r="22" spans="1:134" s="1946" customFormat="1" ht="12" hidden="1" customHeight="1" outlineLevel="1" x14ac:dyDescent="0.2">
      <c r="A22" s="1953"/>
      <c r="B22" s="1953"/>
      <c r="AB22" s="1953"/>
      <c r="AC22" s="1953"/>
      <c r="AD22" s="1953"/>
      <c r="AE22" s="1953"/>
      <c r="AF22" s="1953"/>
      <c r="AI22" s="1953"/>
      <c r="AJ22" s="1953"/>
      <c r="AK22" s="1953"/>
      <c r="AL22" s="1953"/>
      <c r="AO22" s="1953"/>
      <c r="AT22" s="1953"/>
      <c r="AV22" s="1953"/>
      <c r="AW22" s="1948"/>
      <c r="AX22" s="1948"/>
      <c r="AY22" s="1948"/>
      <c r="AZ22" s="1948"/>
      <c r="BA22" s="1948"/>
      <c r="BB22" s="1948"/>
      <c r="BC22" s="1948"/>
      <c r="BD22" s="1948"/>
      <c r="BE22" s="1948"/>
      <c r="BF22" s="1948"/>
      <c r="BG22" s="1948"/>
      <c r="BH22" s="1948"/>
      <c r="BI22" s="1948"/>
      <c r="BJ22" s="1948"/>
      <c r="BK22" s="1948"/>
      <c r="BL22" s="1948"/>
      <c r="BM22" s="1948"/>
      <c r="BN22" s="1948"/>
      <c r="BO22" s="1948"/>
      <c r="BP22" s="1948"/>
      <c r="BQ22" s="1948"/>
      <c r="BR22" s="1948"/>
      <c r="BS22" s="1948"/>
      <c r="BT22" s="1948"/>
      <c r="BU22" s="1948"/>
      <c r="BV22" s="1948"/>
      <c r="BW22" s="1948"/>
      <c r="BX22" s="1948"/>
      <c r="BY22" s="1948"/>
      <c r="BZ22" s="1948"/>
      <c r="CA22" s="1948"/>
      <c r="CB22" s="1948"/>
      <c r="CC22" s="1948"/>
      <c r="CD22" s="1948"/>
    </row>
    <row r="23" spans="1:134" ht="12" hidden="1" customHeight="1" outlineLevel="1" x14ac:dyDescent="0.2">
      <c r="C23" s="1946"/>
      <c r="D23" s="1946"/>
      <c r="E23" s="1946"/>
      <c r="F23" s="1946"/>
      <c r="G23" s="1946"/>
      <c r="H23" s="1946"/>
      <c r="I23" s="1946"/>
      <c r="J23" s="1946"/>
      <c r="K23" s="1946"/>
      <c r="L23" s="1946"/>
      <c r="M23" s="1946"/>
      <c r="N23" s="1946"/>
      <c r="O23" s="1946"/>
      <c r="P23" s="1946"/>
      <c r="Q23" s="1946"/>
      <c r="R23" s="1946"/>
      <c r="S23" s="1946"/>
      <c r="T23" s="1946"/>
      <c r="U23" s="1946"/>
      <c r="V23" s="1946"/>
      <c r="W23" s="1946"/>
      <c r="X23" s="1946"/>
      <c r="Y23" s="1946"/>
      <c r="Z23" s="1946"/>
      <c r="AA23" s="1946"/>
      <c r="AG23" s="1946"/>
      <c r="AH23" s="1946"/>
      <c r="AM23" s="1946"/>
      <c r="AN23" s="1946"/>
      <c r="AP23" s="1946"/>
      <c r="AQ23" s="1946"/>
      <c r="AR23" s="1946"/>
      <c r="AS23" s="1946"/>
      <c r="AU23" s="1946"/>
      <c r="AW23" s="1947"/>
      <c r="AX23" s="1948"/>
      <c r="AY23" s="1951"/>
      <c r="AZ23" s="1951"/>
      <c r="BA23" s="1951"/>
      <c r="BB23" s="1951"/>
      <c r="BC23" s="1951"/>
      <c r="BD23" s="1951"/>
      <c r="BE23" s="1951"/>
      <c r="BF23" s="1951"/>
      <c r="BG23" s="1951"/>
      <c r="BH23" s="1951"/>
      <c r="BI23" s="1951"/>
      <c r="BJ23" s="1951"/>
      <c r="BK23" s="1951"/>
      <c r="BL23" s="1951"/>
    </row>
    <row r="24" spans="1:134" ht="12" hidden="1" customHeight="1" outlineLevel="1" x14ac:dyDescent="0.2">
      <c r="C24" s="1946"/>
      <c r="D24" s="1946"/>
      <c r="E24" s="1946"/>
      <c r="F24" s="1946"/>
      <c r="G24" s="1946"/>
      <c r="H24" s="1946"/>
      <c r="I24" s="1946"/>
      <c r="J24" s="1946"/>
      <c r="K24" s="1946"/>
      <c r="L24" s="1946"/>
      <c r="M24" s="1946"/>
      <c r="N24" s="1946"/>
      <c r="O24" s="1946"/>
      <c r="P24" s="1946"/>
      <c r="Q24" s="1946"/>
      <c r="R24" s="1946"/>
      <c r="S24" s="1946"/>
      <c r="T24" s="1946"/>
      <c r="U24" s="1946"/>
      <c r="V24" s="1946"/>
      <c r="W24" s="1946"/>
      <c r="X24" s="1946"/>
      <c r="Y24" s="1946"/>
      <c r="Z24" s="1946"/>
      <c r="AA24" s="1946"/>
      <c r="AG24" s="1946"/>
      <c r="AH24" s="1946"/>
      <c r="AM24" s="1946"/>
      <c r="AN24" s="1946"/>
      <c r="AP24" s="1946"/>
      <c r="AQ24" s="1946"/>
      <c r="AR24" s="1946"/>
      <c r="AS24" s="1946"/>
      <c r="AU24" s="1946"/>
      <c r="AW24" s="1948"/>
      <c r="AX24" s="1948"/>
      <c r="AY24" s="1952"/>
      <c r="AZ24" s="1952"/>
      <c r="BA24" s="1952"/>
      <c r="BB24" s="1952"/>
      <c r="BC24" s="1952"/>
      <c r="BD24" s="1952"/>
      <c r="BE24" s="1952"/>
      <c r="BF24" s="1952"/>
      <c r="BG24" s="1952"/>
      <c r="BH24" s="1952"/>
      <c r="BI24" s="1952"/>
      <c r="BJ24" s="1952"/>
      <c r="BK24" s="1952"/>
      <c r="BL24" s="1952"/>
      <c r="BM24" s="1952"/>
      <c r="BN24" s="1952"/>
      <c r="BO24" s="1952"/>
      <c r="BP24" s="1952"/>
      <c r="BQ24" s="1952"/>
      <c r="BR24" s="1952"/>
      <c r="BS24" s="1952"/>
      <c r="BT24" s="1952"/>
      <c r="BU24" s="1952"/>
      <c r="BV24" s="1952"/>
      <c r="BW24" s="1952"/>
      <c r="BX24" s="1952"/>
      <c r="BY24" s="1952"/>
      <c r="BZ24" s="1952"/>
      <c r="CA24" s="1952"/>
      <c r="CB24" s="1952"/>
      <c r="CC24" s="1952"/>
      <c r="CD24" s="1952"/>
      <c r="CE24" s="1952"/>
      <c r="CF24" s="1952"/>
      <c r="CG24" s="1952"/>
      <c r="CH24" s="1952"/>
      <c r="CI24" s="1952"/>
      <c r="CJ24" s="1952"/>
      <c r="CK24" s="1952"/>
      <c r="CL24" s="1952"/>
      <c r="CM24" s="1952"/>
      <c r="CN24" s="1952"/>
      <c r="CO24" s="1952"/>
      <c r="CP24" s="1952"/>
      <c r="CQ24" s="1952"/>
      <c r="CR24" s="1952"/>
      <c r="CS24" s="1952"/>
      <c r="CT24" s="1952"/>
      <c r="CU24" s="1952"/>
      <c r="CV24" s="1952"/>
      <c r="CW24" s="1952"/>
      <c r="CX24" s="1952"/>
      <c r="CY24" s="1952"/>
      <c r="CZ24" s="1952"/>
      <c r="DA24" s="1952"/>
      <c r="DB24" s="1952"/>
    </row>
    <row r="25" spans="1:134" s="1946" customFormat="1" ht="12" hidden="1" customHeight="1" outlineLevel="1" x14ac:dyDescent="0.2">
      <c r="A25" s="1953"/>
      <c r="B25" s="1953"/>
      <c r="D25" s="1948"/>
      <c r="F25" s="1948"/>
      <c r="G25" s="1948"/>
      <c r="I25" s="1948"/>
      <c r="AB25" s="1953"/>
      <c r="AC25" s="1953"/>
      <c r="AD25" s="1953"/>
      <c r="AE25" s="1953"/>
      <c r="AF25" s="1953"/>
      <c r="AH25" s="1948"/>
      <c r="AI25" s="1953"/>
      <c r="AJ25" s="1953"/>
      <c r="AK25" s="1953"/>
      <c r="AL25" s="1953"/>
      <c r="AN25" s="1948"/>
      <c r="AO25" s="1953"/>
      <c r="AQ25" s="1948"/>
      <c r="AS25" s="1948"/>
      <c r="AT25" s="1953"/>
      <c r="AV25" s="1953"/>
      <c r="AW25" s="1948"/>
      <c r="AY25" s="1948"/>
      <c r="BA25" s="1948"/>
      <c r="BC25" s="1948"/>
      <c r="BE25" s="1948"/>
      <c r="BG25" s="1948"/>
      <c r="BI25" s="1948"/>
      <c r="BK25" s="1948"/>
      <c r="BM25" s="1948"/>
      <c r="BN25" s="1948"/>
      <c r="BO25" s="1948"/>
      <c r="BP25" s="1948"/>
      <c r="BQ25" s="1948"/>
      <c r="BR25" s="1948"/>
      <c r="BS25" s="1948"/>
      <c r="BT25" s="1948"/>
      <c r="BU25" s="1948"/>
      <c r="BV25" s="1948"/>
      <c r="BW25" s="1948"/>
      <c r="BX25" s="1948"/>
      <c r="BY25" s="1948"/>
      <c r="BZ25" s="1948"/>
      <c r="CA25" s="1948"/>
      <c r="CB25" s="1948"/>
      <c r="CC25" s="1948"/>
      <c r="CD25" s="1948"/>
    </row>
    <row r="26" spans="1:134" s="1946" customFormat="1" ht="12" hidden="1" customHeight="1" outlineLevel="1" x14ac:dyDescent="0.2">
      <c r="D26" s="1948"/>
      <c r="F26" s="1948"/>
      <c r="G26" s="1948"/>
      <c r="I26" s="1948"/>
      <c r="AH26" s="1948"/>
      <c r="AN26" s="1948"/>
      <c r="AQ26" s="1948"/>
      <c r="AS26" s="1948"/>
      <c r="AW26" s="1948"/>
      <c r="AX26" s="1948"/>
      <c r="AY26" s="1948"/>
      <c r="AZ26" s="1948"/>
      <c r="BA26" s="1948"/>
      <c r="BB26" s="1948"/>
      <c r="BC26" s="1948"/>
      <c r="BD26" s="1948"/>
      <c r="BE26" s="1948"/>
      <c r="BF26" s="1948"/>
      <c r="BG26" s="1948"/>
      <c r="BH26" s="1948"/>
      <c r="BI26" s="1948"/>
      <c r="BJ26" s="1948"/>
      <c r="BK26" s="1948"/>
      <c r="BL26" s="1948"/>
      <c r="BM26" s="1948"/>
      <c r="BO26" s="1948"/>
      <c r="BP26" s="1948"/>
      <c r="BQ26" s="1948"/>
      <c r="BR26" s="1948"/>
      <c r="BS26" s="1948"/>
      <c r="BT26" s="1948"/>
      <c r="BU26" s="1948"/>
      <c r="BV26" s="1948"/>
      <c r="BW26" s="1948"/>
      <c r="BX26" s="1948"/>
      <c r="BY26" s="1948"/>
      <c r="BZ26" s="1948"/>
      <c r="CA26" s="1948"/>
      <c r="CB26" s="1948"/>
      <c r="CC26" s="1948"/>
      <c r="CD26" s="1948"/>
    </row>
    <row r="27" spans="1:134" s="1946" customFormat="1" ht="12" hidden="1" customHeight="1" outlineLevel="1" x14ac:dyDescent="0.2">
      <c r="A27" s="1951" t="s">
        <v>724</v>
      </c>
      <c r="B27" s="1952" t="s">
        <v>724</v>
      </c>
      <c r="C27" s="1948"/>
      <c r="D27" s="1948"/>
      <c r="E27" s="1948"/>
      <c r="F27" s="1948"/>
      <c r="G27" s="1948"/>
      <c r="H27" s="1948"/>
      <c r="I27" s="1948"/>
      <c r="J27" s="1948"/>
      <c r="K27" s="1948"/>
      <c r="L27" s="1948"/>
      <c r="M27" s="1948"/>
      <c r="N27" s="1948"/>
      <c r="O27" s="1948"/>
      <c r="P27" s="1948"/>
      <c r="Q27" s="1948"/>
      <c r="R27" s="1948"/>
      <c r="S27" s="1948"/>
      <c r="T27" s="1948"/>
      <c r="U27" s="1948"/>
      <c r="V27" s="1948"/>
      <c r="W27" s="1948"/>
      <c r="X27" s="1948"/>
      <c r="Y27" s="1948"/>
      <c r="Z27" s="1948"/>
      <c r="AA27" s="1948"/>
      <c r="AB27" s="1952"/>
      <c r="AC27" s="1952"/>
      <c r="AD27" s="1952"/>
      <c r="AE27" s="1952"/>
      <c r="AF27" s="1952"/>
      <c r="AG27" s="1948"/>
      <c r="AH27" s="1948"/>
      <c r="AI27" s="1952"/>
      <c r="AJ27" s="1952"/>
      <c r="AK27" s="1952"/>
      <c r="AL27" s="1952"/>
      <c r="AM27" s="1948"/>
      <c r="AN27" s="1948"/>
      <c r="AO27" s="1952"/>
      <c r="AP27" s="1948"/>
      <c r="AQ27" s="1948"/>
      <c r="AR27" s="1948"/>
      <c r="AS27" s="1948"/>
      <c r="AT27" s="1952"/>
      <c r="AU27" s="1948"/>
      <c r="AV27" s="1952"/>
      <c r="AW27" s="1948"/>
      <c r="AX27" s="1948"/>
      <c r="AY27" s="1948"/>
      <c r="AZ27" s="1948"/>
      <c r="BA27" s="1948"/>
      <c r="BB27" s="1948"/>
      <c r="BC27" s="1948"/>
      <c r="BD27" s="1948"/>
      <c r="BE27" s="1948"/>
      <c r="BF27" s="1948"/>
      <c r="BG27" s="1948"/>
      <c r="BH27" s="1948"/>
      <c r="BI27" s="1948"/>
      <c r="BJ27" s="1948"/>
      <c r="BK27" s="1948"/>
      <c r="BL27" s="1948"/>
      <c r="BM27" s="1948"/>
      <c r="BN27" s="1948"/>
      <c r="BO27" s="1948"/>
      <c r="BP27" s="1948"/>
      <c r="BQ27" s="1948"/>
      <c r="BR27" s="1948"/>
      <c r="BS27" s="1948"/>
      <c r="BT27" s="1948"/>
      <c r="BU27" s="1948"/>
      <c r="BV27" s="1948"/>
      <c r="BW27" s="1948"/>
      <c r="BX27" s="1948"/>
      <c r="BY27" s="1948"/>
      <c r="BZ27" s="1948"/>
      <c r="CA27" s="1948"/>
      <c r="CB27" s="1948"/>
      <c r="CC27" s="1948"/>
      <c r="CD27" s="1948"/>
      <c r="CE27" s="1947"/>
      <c r="CF27" s="1947"/>
      <c r="CG27" s="1947"/>
      <c r="CH27" s="1947"/>
      <c r="CI27" s="1947"/>
      <c r="CJ27" s="1947"/>
      <c r="CK27" s="1947"/>
      <c r="CL27" s="1947"/>
      <c r="CM27" s="1947"/>
      <c r="CN27" s="1947"/>
      <c r="CO27" s="1947"/>
      <c r="CP27" s="1947"/>
      <c r="CQ27" s="1947"/>
      <c r="CR27" s="1947"/>
      <c r="CS27" s="1947"/>
      <c r="CT27" s="1947"/>
      <c r="CU27" s="1947"/>
      <c r="CV27" s="1947"/>
      <c r="CW27" s="1947"/>
      <c r="CX27" s="1947"/>
      <c r="CY27" s="1947"/>
      <c r="CZ27" s="1947"/>
      <c r="DA27" s="1947"/>
      <c r="DB27" s="1947"/>
      <c r="DC27" s="1947"/>
      <c r="DD27" s="1947"/>
      <c r="DE27" s="1947"/>
      <c r="DF27" s="1947"/>
      <c r="DG27" s="1947"/>
      <c r="DH27" s="1947"/>
      <c r="DI27" s="1947"/>
      <c r="DJ27" s="1947"/>
      <c r="DK27" s="1947"/>
      <c r="DL27" s="1947"/>
      <c r="DM27" s="1947"/>
      <c r="DN27" s="1947"/>
      <c r="DO27" s="1947"/>
      <c r="DP27" s="1947"/>
      <c r="DQ27" s="1947"/>
      <c r="DR27" s="1947"/>
      <c r="DS27" s="1947"/>
      <c r="DT27" s="1947"/>
      <c r="DU27" s="1947"/>
      <c r="DV27" s="1947"/>
      <c r="DW27" s="1947"/>
      <c r="DX27" s="1947"/>
      <c r="DY27" s="1947"/>
      <c r="DZ27" s="1947"/>
      <c r="EA27" s="1947"/>
      <c r="EB27" s="1947"/>
      <c r="EC27" s="1947"/>
      <c r="ED27" s="1947"/>
    </row>
    <row r="28" spans="1:134" s="1946" customFormat="1" ht="12" hidden="1" customHeight="1" outlineLevel="1" x14ac:dyDescent="0.2">
      <c r="A28" s="1951" t="s">
        <v>883</v>
      </c>
      <c r="B28" s="1952" t="s">
        <v>884</v>
      </c>
      <c r="C28" s="1948"/>
      <c r="D28" s="1948"/>
      <c r="E28" s="1948"/>
      <c r="F28" s="1948"/>
      <c r="G28" s="1948"/>
      <c r="H28" s="1948"/>
      <c r="I28" s="1948"/>
      <c r="J28" s="1948"/>
      <c r="K28" s="1948"/>
      <c r="L28" s="1948"/>
      <c r="M28" s="1948"/>
      <c r="N28" s="1948"/>
      <c r="O28" s="1948"/>
      <c r="P28" s="1948"/>
      <c r="Q28" s="1948"/>
      <c r="R28" s="1948"/>
      <c r="S28" s="1948"/>
      <c r="T28" s="1948"/>
      <c r="U28" s="1948"/>
      <c r="V28" s="1948"/>
      <c r="W28" s="1948"/>
      <c r="X28" s="1948"/>
      <c r="Y28" s="1948"/>
      <c r="Z28" s="1948"/>
      <c r="AA28" s="1948"/>
      <c r="AB28" s="1952"/>
      <c r="AC28" s="1952"/>
      <c r="AD28" s="1952"/>
      <c r="AE28" s="1952"/>
      <c r="AF28" s="1952"/>
      <c r="AG28" s="1948"/>
      <c r="AH28" s="1948"/>
      <c r="AI28" s="1952"/>
      <c r="AJ28" s="1952"/>
      <c r="AK28" s="1952"/>
      <c r="AL28" s="1952"/>
      <c r="AM28" s="1948"/>
      <c r="AN28" s="1948"/>
      <c r="AO28" s="1952"/>
      <c r="AP28" s="1948"/>
      <c r="AQ28" s="1948"/>
      <c r="AR28" s="1948"/>
      <c r="AS28" s="1948"/>
      <c r="AT28" s="1952"/>
      <c r="AU28" s="1948"/>
      <c r="AV28" s="1952"/>
      <c r="AW28" s="1948"/>
      <c r="AX28" s="1948"/>
      <c r="AY28" s="1948"/>
      <c r="AZ28" s="1948"/>
      <c r="BA28" s="1948"/>
      <c r="BB28" s="1948"/>
      <c r="BC28" s="1948"/>
      <c r="BD28" s="1948"/>
      <c r="BE28" s="1948"/>
      <c r="BF28" s="1948"/>
      <c r="BG28" s="1948"/>
      <c r="BH28" s="1948"/>
      <c r="BI28" s="1948"/>
      <c r="BJ28" s="1948"/>
      <c r="BK28" s="1948"/>
      <c r="BL28" s="1948"/>
      <c r="BM28" s="1948"/>
      <c r="BN28" s="1948"/>
      <c r="BO28" s="1948"/>
      <c r="BP28" s="1948"/>
      <c r="BQ28" s="1948"/>
      <c r="BR28" s="1948"/>
      <c r="BS28" s="1948"/>
      <c r="BT28" s="1948"/>
      <c r="BU28" s="1948"/>
      <c r="BV28" s="1948"/>
      <c r="BW28" s="1948"/>
      <c r="BX28" s="1948"/>
      <c r="BY28" s="1948"/>
      <c r="BZ28" s="1948"/>
      <c r="CA28" s="1948"/>
      <c r="CB28" s="1948"/>
      <c r="CC28" s="1948"/>
      <c r="CD28" s="1948"/>
      <c r="CE28" s="1947"/>
      <c r="CF28" s="1947"/>
      <c r="CG28" s="1947"/>
      <c r="CH28" s="1947"/>
      <c r="CI28" s="1947"/>
      <c r="CJ28" s="1947"/>
      <c r="CK28" s="1947"/>
      <c r="CL28" s="1947"/>
      <c r="CM28" s="1947"/>
      <c r="CN28" s="1947"/>
      <c r="CO28" s="1947"/>
      <c r="CP28" s="1947"/>
      <c r="CQ28" s="1947"/>
      <c r="CR28" s="1947"/>
      <c r="CS28" s="1947"/>
      <c r="CT28" s="1947"/>
      <c r="CU28" s="1947"/>
      <c r="CV28" s="1947"/>
      <c r="CW28" s="1947"/>
      <c r="CX28" s="1947"/>
      <c r="CY28" s="1947"/>
      <c r="CZ28" s="1947"/>
      <c r="DA28" s="1947"/>
      <c r="DB28" s="1947"/>
      <c r="DC28" s="1947"/>
      <c r="DD28" s="1947"/>
      <c r="DE28" s="1947"/>
      <c r="DF28" s="1947"/>
      <c r="DG28" s="1947"/>
      <c r="DH28" s="1947"/>
      <c r="DI28" s="1947"/>
      <c r="DJ28" s="1947"/>
      <c r="DK28" s="1947"/>
      <c r="DL28" s="1947"/>
      <c r="DM28" s="1947"/>
      <c r="DN28" s="1947"/>
      <c r="DO28" s="1947"/>
      <c r="DP28" s="1947"/>
      <c r="DQ28" s="1947"/>
      <c r="DR28" s="1947"/>
      <c r="DS28" s="1947"/>
      <c r="DT28" s="1947"/>
      <c r="DU28" s="1947"/>
      <c r="DV28" s="1947"/>
      <c r="DW28" s="1947"/>
      <c r="DX28" s="1947"/>
      <c r="DY28" s="1947"/>
      <c r="DZ28" s="1947"/>
      <c r="EA28" s="1947"/>
      <c r="EB28" s="1947"/>
      <c r="EC28" s="1947"/>
      <c r="ED28" s="1947"/>
    </row>
    <row r="29" spans="1:134" s="1946" customFormat="1" ht="12" hidden="1" customHeight="1" outlineLevel="1" x14ac:dyDescent="0.2">
      <c r="A29" s="1951" t="s">
        <v>885</v>
      </c>
      <c r="B29" s="1952" t="s">
        <v>2264</v>
      </c>
      <c r="C29" s="1948"/>
      <c r="D29" s="1948"/>
      <c r="E29" s="1948"/>
      <c r="F29" s="1948"/>
      <c r="G29" s="1948"/>
      <c r="H29" s="1948"/>
      <c r="I29" s="1948"/>
      <c r="J29" s="1948"/>
      <c r="K29" s="1948"/>
      <c r="L29" s="1948"/>
      <c r="M29" s="1948"/>
      <c r="N29" s="1948"/>
      <c r="O29" s="1948"/>
      <c r="P29" s="1948"/>
      <c r="Q29" s="1948"/>
      <c r="R29" s="1948"/>
      <c r="S29" s="1948"/>
      <c r="T29" s="1948"/>
      <c r="U29" s="1948"/>
      <c r="V29" s="1948"/>
      <c r="W29" s="1948"/>
      <c r="X29" s="1948"/>
      <c r="Y29" s="1948"/>
      <c r="Z29" s="1948"/>
      <c r="AA29" s="1948"/>
      <c r="AB29" s="1952"/>
      <c r="AC29" s="1952"/>
      <c r="AD29" s="1952"/>
      <c r="AE29" s="1952"/>
      <c r="AF29" s="1952"/>
      <c r="AG29" s="1948"/>
      <c r="AH29" s="1948"/>
      <c r="AI29" s="1952"/>
      <c r="AJ29" s="1952"/>
      <c r="AK29" s="1952"/>
      <c r="AL29" s="1952"/>
      <c r="AM29" s="1948"/>
      <c r="AN29" s="1948"/>
      <c r="AO29" s="1952"/>
      <c r="AP29" s="1948"/>
      <c r="AQ29" s="1948"/>
      <c r="AR29" s="1948"/>
      <c r="AS29" s="1948"/>
      <c r="AT29" s="1952"/>
      <c r="AU29" s="1948"/>
      <c r="AV29" s="1952"/>
      <c r="AW29" s="1948"/>
      <c r="AX29" s="1948"/>
      <c r="AY29" s="1948"/>
      <c r="AZ29" s="1948"/>
      <c r="BA29" s="1948"/>
      <c r="BB29" s="1948"/>
      <c r="BC29" s="1948"/>
      <c r="BD29" s="1948"/>
      <c r="BE29" s="1948"/>
      <c r="BF29" s="1948"/>
      <c r="BG29" s="1948"/>
      <c r="BH29" s="1948"/>
      <c r="BI29" s="1948"/>
      <c r="BJ29" s="1948"/>
      <c r="BK29" s="1948"/>
      <c r="BL29" s="1948"/>
      <c r="BM29" s="1948"/>
      <c r="BN29" s="1948"/>
      <c r="BO29" s="1948"/>
      <c r="BP29" s="1948"/>
      <c r="BQ29" s="1948"/>
      <c r="BR29" s="1948"/>
      <c r="BS29" s="1948"/>
      <c r="BT29" s="1948"/>
      <c r="BU29" s="1948"/>
      <c r="BV29" s="1948"/>
      <c r="BW29" s="1948"/>
      <c r="BX29" s="1948"/>
      <c r="BY29" s="1948"/>
      <c r="BZ29" s="1948"/>
      <c r="CA29" s="1948"/>
      <c r="CB29" s="1948"/>
      <c r="CC29" s="1948"/>
      <c r="CD29" s="1948"/>
      <c r="CE29" s="1947"/>
      <c r="CF29" s="1947"/>
      <c r="CG29" s="1947"/>
      <c r="CH29" s="1947"/>
      <c r="CI29" s="1947"/>
      <c r="CJ29" s="1947"/>
      <c r="CK29" s="1947"/>
      <c r="CL29" s="1947"/>
      <c r="CM29" s="1947"/>
      <c r="CN29" s="1947"/>
      <c r="CO29" s="1947"/>
      <c r="CP29" s="1947"/>
      <c r="CQ29" s="1947"/>
      <c r="CR29" s="1947"/>
      <c r="CS29" s="1947"/>
      <c r="CT29" s="1947"/>
      <c r="CU29" s="1947"/>
      <c r="CV29" s="1947"/>
      <c r="CW29" s="1947"/>
      <c r="CX29" s="1947"/>
      <c r="CY29" s="1947"/>
      <c r="CZ29" s="1947"/>
      <c r="DA29" s="1947"/>
      <c r="DB29" s="1947"/>
      <c r="DC29" s="1947"/>
      <c r="DD29" s="1947"/>
      <c r="DE29" s="1947"/>
      <c r="DF29" s="1947"/>
      <c r="DG29" s="1947"/>
      <c r="DH29" s="1947"/>
      <c r="DI29" s="1947"/>
      <c r="DJ29" s="1947"/>
      <c r="DK29" s="1947"/>
      <c r="DL29" s="1947"/>
      <c r="DM29" s="1947"/>
      <c r="DN29" s="1947"/>
      <c r="DO29" s="1947"/>
      <c r="DP29" s="1947"/>
      <c r="DQ29" s="1947"/>
      <c r="DR29" s="1947"/>
      <c r="DS29" s="1947"/>
      <c r="DT29" s="1947"/>
      <c r="DU29" s="1947"/>
      <c r="DV29" s="1947"/>
      <c r="DW29" s="1947"/>
      <c r="DX29" s="1947"/>
      <c r="DY29" s="1947"/>
      <c r="DZ29" s="1947"/>
      <c r="EA29" s="1947"/>
      <c r="EB29" s="1947"/>
      <c r="EC29" s="1947"/>
      <c r="ED29" s="1947"/>
    </row>
    <row r="30" spans="1:134" s="1946" customFormat="1" ht="12" hidden="1" customHeight="1" outlineLevel="1" x14ac:dyDescent="0.2">
      <c r="A30" s="1951" t="s">
        <v>886</v>
      </c>
      <c r="B30" s="1952" t="s">
        <v>887</v>
      </c>
      <c r="C30" s="1948"/>
      <c r="D30" s="1948"/>
      <c r="E30" s="1948"/>
      <c r="F30" s="1948"/>
      <c r="G30" s="1948"/>
      <c r="H30" s="1948"/>
      <c r="I30" s="1948"/>
      <c r="J30" s="1948"/>
      <c r="K30" s="1948"/>
      <c r="L30" s="1948"/>
      <c r="M30" s="1948"/>
      <c r="N30" s="1948"/>
      <c r="O30" s="1948"/>
      <c r="P30" s="1948"/>
      <c r="Q30" s="1948"/>
      <c r="R30" s="1948"/>
      <c r="S30" s="1948"/>
      <c r="T30" s="1948"/>
      <c r="U30" s="1948"/>
      <c r="V30" s="1948"/>
      <c r="W30" s="1948"/>
      <c r="X30" s="1948"/>
      <c r="Y30" s="1948"/>
      <c r="Z30" s="1948"/>
      <c r="AA30" s="1948"/>
      <c r="AB30" s="1952"/>
      <c r="AC30" s="1952"/>
      <c r="AD30" s="1952"/>
      <c r="AE30" s="1952"/>
      <c r="AF30" s="1952"/>
      <c r="AG30" s="1948"/>
      <c r="AH30" s="1948"/>
      <c r="AI30" s="1952"/>
      <c r="AJ30" s="1952"/>
      <c r="AK30" s="1952"/>
      <c r="AL30" s="1952"/>
      <c r="AM30" s="1948"/>
      <c r="AN30" s="1948"/>
      <c r="AO30" s="1952"/>
      <c r="AP30" s="1948"/>
      <c r="AQ30" s="1948"/>
      <c r="AR30" s="1948"/>
      <c r="AS30" s="1948"/>
      <c r="AT30" s="1952"/>
      <c r="AU30" s="1948"/>
      <c r="AV30" s="1952"/>
      <c r="AW30" s="1948"/>
      <c r="AX30" s="1948"/>
      <c r="AY30" s="1948"/>
      <c r="AZ30" s="1948"/>
      <c r="BA30" s="1948"/>
      <c r="BB30" s="1948"/>
      <c r="BC30" s="1948"/>
      <c r="BD30" s="1948"/>
      <c r="BE30" s="1948"/>
      <c r="BF30" s="1948"/>
      <c r="BG30" s="1948"/>
      <c r="BH30" s="1948"/>
      <c r="BI30" s="1948"/>
      <c r="BJ30" s="1948"/>
      <c r="BK30" s="1948"/>
      <c r="BL30" s="1948"/>
      <c r="BM30" s="1948"/>
      <c r="BN30" s="1948"/>
      <c r="BO30" s="1948"/>
      <c r="BP30" s="1948"/>
      <c r="BQ30" s="1948"/>
      <c r="BR30" s="1948"/>
      <c r="BS30" s="1948"/>
      <c r="BT30" s="1948"/>
      <c r="BU30" s="1948"/>
      <c r="BV30" s="1948"/>
      <c r="BW30" s="1948"/>
      <c r="BX30" s="1948"/>
      <c r="BY30" s="1948"/>
      <c r="BZ30" s="1948"/>
      <c r="CA30" s="1948"/>
      <c r="CB30" s="1948"/>
      <c r="CC30" s="1948"/>
      <c r="CD30" s="1948"/>
      <c r="CE30" s="1947"/>
      <c r="CF30" s="1947"/>
      <c r="CG30" s="1947"/>
      <c r="CH30" s="1947"/>
      <c r="CI30" s="1947"/>
      <c r="CJ30" s="1947"/>
      <c r="CK30" s="1947"/>
      <c r="CL30" s="1947"/>
      <c r="CM30" s="1947"/>
      <c r="CN30" s="1947"/>
      <c r="CO30" s="1947"/>
      <c r="CP30" s="1947"/>
      <c r="CQ30" s="1947"/>
      <c r="CR30" s="1947"/>
      <c r="CS30" s="1947"/>
      <c r="CT30" s="1947"/>
      <c r="CU30" s="1947"/>
      <c r="CV30" s="1947"/>
      <c r="CW30" s="1947"/>
      <c r="CX30" s="1947"/>
      <c r="CY30" s="1947"/>
      <c r="CZ30" s="1947"/>
      <c r="DA30" s="1947"/>
      <c r="DB30" s="1947"/>
      <c r="DC30" s="1947"/>
      <c r="DD30" s="1947"/>
      <c r="DE30" s="1947"/>
      <c r="DF30" s="1947"/>
      <c r="DG30" s="1947"/>
      <c r="DH30" s="1947"/>
      <c r="DI30" s="1947"/>
      <c r="DJ30" s="1947"/>
      <c r="DK30" s="1947"/>
      <c r="DL30" s="1947"/>
      <c r="DM30" s="1947"/>
      <c r="DN30" s="1947"/>
      <c r="DO30" s="1947"/>
      <c r="DP30" s="1947"/>
      <c r="DQ30" s="1947"/>
      <c r="DR30" s="1947"/>
      <c r="DS30" s="1947"/>
      <c r="DT30" s="1947"/>
      <c r="DU30" s="1947"/>
      <c r="DV30" s="1947"/>
      <c r="DW30" s="1947"/>
      <c r="DX30" s="1947"/>
      <c r="DY30" s="1947"/>
      <c r="DZ30" s="1947"/>
      <c r="EA30" s="1947"/>
      <c r="EB30" s="1947"/>
      <c r="EC30" s="1947"/>
      <c r="ED30" s="1947"/>
    </row>
    <row r="31" spans="1:134" s="1946" customFormat="1" ht="12" hidden="1" customHeight="1" outlineLevel="1" x14ac:dyDescent="0.2">
      <c r="A31" s="1951" t="s">
        <v>888</v>
      </c>
      <c r="B31" s="1952" t="s">
        <v>889</v>
      </c>
      <c r="C31" s="1948"/>
      <c r="D31" s="1948"/>
      <c r="E31" s="1948"/>
      <c r="F31" s="1948"/>
      <c r="G31" s="1948"/>
      <c r="H31" s="1948"/>
      <c r="I31" s="1948"/>
      <c r="J31" s="1948"/>
      <c r="K31" s="1948"/>
      <c r="L31" s="1948"/>
      <c r="M31" s="1948"/>
      <c r="N31" s="1948"/>
      <c r="O31" s="1948"/>
      <c r="P31" s="1948"/>
      <c r="Q31" s="1948"/>
      <c r="R31" s="1948"/>
      <c r="S31" s="1948"/>
      <c r="T31" s="1948"/>
      <c r="U31" s="1948"/>
      <c r="V31" s="1948"/>
      <c r="W31" s="1948"/>
      <c r="X31" s="1948"/>
      <c r="Y31" s="1948"/>
      <c r="Z31" s="1948"/>
      <c r="AA31" s="1948"/>
      <c r="AB31" s="1952"/>
      <c r="AC31" s="1952"/>
      <c r="AD31" s="1952"/>
      <c r="AE31" s="1952"/>
      <c r="AF31" s="1952"/>
      <c r="AG31" s="1948"/>
      <c r="AH31" s="1948"/>
      <c r="AI31" s="1952"/>
      <c r="AJ31" s="1952"/>
      <c r="AK31" s="1952"/>
      <c r="AL31" s="1952"/>
      <c r="AM31" s="1948"/>
      <c r="AN31" s="1948"/>
      <c r="AO31" s="1952"/>
      <c r="AP31" s="1948"/>
      <c r="AQ31" s="1948"/>
      <c r="AR31" s="1948"/>
      <c r="AS31" s="1948"/>
      <c r="AT31" s="1952"/>
      <c r="AU31" s="1948"/>
      <c r="AV31" s="1952"/>
      <c r="AW31" s="1948"/>
      <c r="AX31" s="1948"/>
      <c r="AY31" s="1948"/>
      <c r="AZ31" s="1948"/>
      <c r="BA31" s="1948"/>
      <c r="BB31" s="1948"/>
      <c r="BC31" s="1948"/>
      <c r="BD31" s="1948"/>
      <c r="BE31" s="1948"/>
      <c r="BF31" s="1948"/>
      <c r="BG31" s="1948"/>
      <c r="BH31" s="1948"/>
      <c r="BI31" s="1948"/>
      <c r="BJ31" s="1948"/>
      <c r="BK31" s="1948"/>
      <c r="BL31" s="1948"/>
      <c r="BM31" s="1948"/>
      <c r="BN31" s="1948"/>
      <c r="BO31" s="1948"/>
      <c r="BP31" s="1948"/>
      <c r="BQ31" s="1948"/>
      <c r="BR31" s="1948"/>
      <c r="BS31" s="1948"/>
      <c r="BT31" s="1948"/>
      <c r="BU31" s="1948"/>
      <c r="BV31" s="1948"/>
      <c r="BW31" s="1948"/>
      <c r="BX31" s="1948"/>
      <c r="BY31" s="1948"/>
      <c r="BZ31" s="1948"/>
      <c r="CA31" s="1948"/>
      <c r="CB31" s="1948"/>
      <c r="CC31" s="1948"/>
      <c r="CD31" s="1948"/>
      <c r="CE31" s="1947"/>
      <c r="CF31" s="1947"/>
      <c r="CG31" s="1947"/>
      <c r="CH31" s="1947"/>
      <c r="CI31" s="1947"/>
      <c r="CJ31" s="1947"/>
      <c r="CK31" s="1947"/>
      <c r="CL31" s="1947"/>
      <c r="CM31" s="1947"/>
      <c r="CN31" s="1947"/>
      <c r="CO31" s="1947"/>
      <c r="CP31" s="1947"/>
      <c r="CQ31" s="1947"/>
      <c r="CR31" s="1947"/>
      <c r="CS31" s="1947"/>
      <c r="CT31" s="1947"/>
      <c r="CU31" s="1947"/>
      <c r="CV31" s="1947"/>
      <c r="CW31" s="1947"/>
      <c r="CX31" s="1947"/>
      <c r="CY31" s="1947"/>
      <c r="CZ31" s="1947"/>
      <c r="DA31" s="1947"/>
      <c r="DB31" s="1947"/>
      <c r="DC31" s="1947"/>
      <c r="DD31" s="1947"/>
      <c r="DE31" s="1947"/>
      <c r="DF31" s="1947"/>
      <c r="DG31" s="1947"/>
      <c r="DH31" s="1947"/>
      <c r="DI31" s="1947"/>
      <c r="DJ31" s="1947"/>
      <c r="DK31" s="1947"/>
      <c r="DL31" s="1947"/>
      <c r="DM31" s="1947"/>
      <c r="DN31" s="1947"/>
      <c r="DO31" s="1947"/>
      <c r="DP31" s="1947"/>
      <c r="DQ31" s="1947"/>
      <c r="DR31" s="1947"/>
      <c r="DS31" s="1947"/>
      <c r="DT31" s="1947"/>
      <c r="DU31" s="1947"/>
      <c r="DV31" s="1947"/>
      <c r="DW31" s="1947"/>
      <c r="DX31" s="1947"/>
      <c r="DY31" s="1947"/>
      <c r="DZ31" s="1947"/>
      <c r="EA31" s="1947"/>
      <c r="EB31" s="1947"/>
      <c r="EC31" s="1947"/>
      <c r="ED31" s="1947"/>
    </row>
    <row r="32" spans="1:134" s="1946" customFormat="1" ht="12" hidden="1" customHeight="1" outlineLevel="1" x14ac:dyDescent="0.2">
      <c r="A32" s="1951" t="s">
        <v>890</v>
      </c>
      <c r="B32" s="1952" t="s">
        <v>724</v>
      </c>
      <c r="C32" s="1948"/>
      <c r="D32" s="1948"/>
      <c r="E32" s="1948"/>
      <c r="F32" s="1948"/>
      <c r="G32" s="1948"/>
      <c r="H32" s="1948"/>
      <c r="I32" s="1948"/>
      <c r="J32" s="1948"/>
      <c r="K32" s="1948"/>
      <c r="L32" s="1948"/>
      <c r="M32" s="1948"/>
      <c r="N32" s="1948"/>
      <c r="O32" s="1948"/>
      <c r="P32" s="1948"/>
      <c r="Q32" s="1948"/>
      <c r="R32" s="1948"/>
      <c r="S32" s="1948"/>
      <c r="T32" s="1948"/>
      <c r="U32" s="1948"/>
      <c r="V32" s="1948"/>
      <c r="W32" s="1948"/>
      <c r="X32" s="1948"/>
      <c r="Y32" s="1948"/>
      <c r="Z32" s="1948"/>
      <c r="AA32" s="1948"/>
      <c r="AB32" s="1952"/>
      <c r="AC32" s="1952"/>
      <c r="AD32" s="1952"/>
      <c r="AE32" s="1952"/>
      <c r="AF32" s="1952"/>
      <c r="AG32" s="1948"/>
      <c r="AH32" s="1948"/>
      <c r="AI32" s="1952"/>
      <c r="AJ32" s="1952"/>
      <c r="AK32" s="1952"/>
      <c r="AL32" s="1952"/>
      <c r="AM32" s="1948"/>
      <c r="AN32" s="1948"/>
      <c r="AO32" s="1952"/>
      <c r="AP32" s="1948"/>
      <c r="AQ32" s="1948"/>
      <c r="AR32" s="1948"/>
      <c r="AS32" s="1948"/>
      <c r="AT32" s="1952"/>
      <c r="AU32" s="1948"/>
      <c r="AV32" s="1952"/>
      <c r="AW32" s="1948"/>
      <c r="AX32" s="1948"/>
      <c r="AY32" s="1948"/>
      <c r="AZ32" s="1948"/>
      <c r="BA32" s="1948"/>
      <c r="BB32" s="1948"/>
      <c r="BC32" s="1948"/>
      <c r="BD32" s="1948"/>
      <c r="BE32" s="1948"/>
      <c r="BF32" s="1948"/>
      <c r="BG32" s="1948"/>
      <c r="BH32" s="1948"/>
      <c r="BI32" s="1948"/>
      <c r="BJ32" s="1948"/>
      <c r="BK32" s="1948"/>
      <c r="BL32" s="1948"/>
      <c r="BM32" s="1948"/>
      <c r="BN32" s="1948"/>
      <c r="BO32" s="1948"/>
      <c r="BP32" s="1948"/>
      <c r="BQ32" s="1948"/>
      <c r="BR32" s="1948"/>
      <c r="BS32" s="1948"/>
      <c r="BT32" s="1948"/>
      <c r="BU32" s="1948"/>
      <c r="BV32" s="1948"/>
      <c r="BW32" s="1948"/>
      <c r="BX32" s="1948"/>
      <c r="BY32" s="1948"/>
      <c r="BZ32" s="1948"/>
      <c r="CA32" s="1948"/>
      <c r="CB32" s="1948"/>
      <c r="CC32" s="1948"/>
      <c r="CD32" s="1948"/>
      <c r="CE32" s="1947"/>
      <c r="CF32" s="1947"/>
      <c r="CG32" s="1947"/>
      <c r="CH32" s="1947"/>
      <c r="CI32" s="1947"/>
      <c r="CJ32" s="1947"/>
      <c r="CK32" s="1947"/>
      <c r="CL32" s="1947"/>
      <c r="CM32" s="1947"/>
      <c r="CN32" s="1947"/>
      <c r="CO32" s="1947"/>
      <c r="CP32" s="1947"/>
      <c r="CQ32" s="1947"/>
      <c r="CR32" s="1947"/>
      <c r="CS32" s="1947"/>
      <c r="CT32" s="1947"/>
      <c r="CU32" s="1947"/>
      <c r="CV32" s="1947"/>
      <c r="CW32" s="1947"/>
      <c r="CX32" s="1947"/>
      <c r="CY32" s="1947"/>
      <c r="CZ32" s="1947"/>
      <c r="DA32" s="1947"/>
      <c r="DB32" s="1947"/>
      <c r="DC32" s="1947"/>
      <c r="DD32" s="1947"/>
      <c r="DE32" s="1947"/>
      <c r="DF32" s="1947"/>
      <c r="DG32" s="1947"/>
      <c r="DH32" s="1947"/>
      <c r="DI32" s="1947"/>
      <c r="DJ32" s="1947"/>
      <c r="DK32" s="1947"/>
      <c r="DL32" s="1947"/>
      <c r="DM32" s="1947"/>
      <c r="DN32" s="1947"/>
      <c r="DO32" s="1947"/>
      <c r="DP32" s="1947"/>
      <c r="DQ32" s="1947"/>
      <c r="DR32" s="1947"/>
      <c r="DS32" s="1947"/>
      <c r="DT32" s="1947"/>
      <c r="DU32" s="1947"/>
      <c r="DV32" s="1947"/>
      <c r="DW32" s="1947"/>
      <c r="DX32" s="1947"/>
      <c r="DY32" s="1947"/>
      <c r="DZ32" s="1947"/>
      <c r="EA32" s="1947"/>
      <c r="EB32" s="1947"/>
      <c r="EC32" s="1947"/>
      <c r="ED32" s="1947"/>
    </row>
    <row r="33" spans="1:134" s="1946" customFormat="1" ht="12" hidden="1" customHeight="1" outlineLevel="1" x14ac:dyDescent="0.2">
      <c r="A33" s="1951" t="s">
        <v>891</v>
      </c>
      <c r="B33" s="1952" t="s">
        <v>4923</v>
      </c>
      <c r="C33" s="1948"/>
      <c r="D33" s="1952"/>
      <c r="E33" s="1948"/>
      <c r="F33" s="1952"/>
      <c r="G33" s="1952"/>
      <c r="H33" s="1948"/>
      <c r="I33" s="1952"/>
      <c r="J33" s="1948"/>
      <c r="K33" s="1948"/>
      <c r="L33" s="1948"/>
      <c r="M33" s="1948"/>
      <c r="N33" s="1948"/>
      <c r="O33" s="1948"/>
      <c r="P33" s="1948"/>
      <c r="Q33" s="1948"/>
      <c r="R33" s="1948"/>
      <c r="S33" s="1948"/>
      <c r="T33" s="1948"/>
      <c r="U33" s="1948"/>
      <c r="V33" s="1948"/>
      <c r="W33" s="1948"/>
      <c r="X33" s="1948"/>
      <c r="Y33" s="1948"/>
      <c r="Z33" s="1948"/>
      <c r="AA33" s="1948"/>
      <c r="AB33" s="1952"/>
      <c r="AC33" s="1952"/>
      <c r="AD33" s="1952"/>
      <c r="AE33" s="1952"/>
      <c r="AF33" s="1952"/>
      <c r="AG33" s="1948"/>
      <c r="AH33" s="1952"/>
      <c r="AI33" s="1952"/>
      <c r="AJ33" s="1952"/>
      <c r="AK33" s="1952"/>
      <c r="AL33" s="1952"/>
      <c r="AM33" s="1948"/>
      <c r="AN33" s="1952"/>
      <c r="AO33" s="1952"/>
      <c r="AP33" s="1948"/>
      <c r="AQ33" s="1952"/>
      <c r="AR33" s="1948"/>
      <c r="AS33" s="1952"/>
      <c r="AT33" s="1952"/>
      <c r="AU33" s="1948"/>
      <c r="AV33" s="1952"/>
      <c r="AW33" s="1948"/>
      <c r="AX33" s="1952"/>
      <c r="AY33" s="1948"/>
      <c r="AZ33" s="1952"/>
      <c r="BA33" s="1948"/>
      <c r="BB33" s="1952"/>
      <c r="BC33" s="1948"/>
      <c r="BD33" s="1952"/>
      <c r="BE33" s="1948"/>
      <c r="BF33" s="1952"/>
      <c r="BG33" s="1948"/>
      <c r="BH33" s="1952"/>
      <c r="BI33" s="1948"/>
      <c r="BJ33" s="1952"/>
      <c r="BK33" s="1948"/>
      <c r="BL33" s="1952"/>
      <c r="BM33" s="1948"/>
      <c r="BN33" s="1948"/>
      <c r="BO33" s="1948"/>
      <c r="BP33" s="1948"/>
      <c r="BQ33" s="1948"/>
      <c r="BR33" s="1948"/>
      <c r="BS33" s="1948"/>
      <c r="BT33" s="1948"/>
      <c r="BU33" s="1948"/>
      <c r="BV33" s="1948"/>
      <c r="BW33" s="1948"/>
      <c r="BX33" s="1948"/>
      <c r="BY33" s="1948"/>
      <c r="BZ33" s="1948"/>
      <c r="CA33" s="1948"/>
      <c r="CB33" s="1948"/>
      <c r="CC33" s="1948"/>
      <c r="CD33" s="1948"/>
      <c r="CE33" s="1947"/>
      <c r="CF33" s="1947"/>
      <c r="CG33" s="1947"/>
      <c r="CH33" s="1947"/>
      <c r="CI33" s="1947"/>
      <c r="CJ33" s="1947"/>
      <c r="CK33" s="1947"/>
      <c r="CL33" s="1947"/>
      <c r="CM33" s="1947"/>
      <c r="CN33" s="1947"/>
      <c r="CO33" s="1947"/>
      <c r="CP33" s="1947"/>
      <c r="CQ33" s="1947"/>
      <c r="CR33" s="1947"/>
      <c r="CS33" s="1947"/>
      <c r="CT33" s="1947"/>
      <c r="CU33" s="1947"/>
      <c r="CV33" s="1947"/>
      <c r="CW33" s="1947"/>
      <c r="CX33" s="1947"/>
      <c r="CY33" s="1947"/>
      <c r="CZ33" s="1947"/>
      <c r="DA33" s="1947"/>
      <c r="DB33" s="1947"/>
      <c r="DC33" s="1947"/>
      <c r="DD33" s="1947"/>
      <c r="DE33" s="1947"/>
      <c r="DF33" s="1947"/>
      <c r="DG33" s="1947"/>
      <c r="DH33" s="1947"/>
      <c r="DI33" s="1947"/>
      <c r="DJ33" s="1947"/>
      <c r="DK33" s="1947"/>
      <c r="DL33" s="1947"/>
      <c r="DM33" s="1947"/>
      <c r="DN33" s="1947"/>
      <c r="DO33" s="1947"/>
      <c r="DP33" s="1947"/>
      <c r="DQ33" s="1947"/>
      <c r="DR33" s="1947"/>
      <c r="DS33" s="1947"/>
      <c r="DT33" s="1947"/>
      <c r="DU33" s="1947"/>
      <c r="DV33" s="1947"/>
      <c r="DW33" s="1947"/>
      <c r="DX33" s="1947"/>
      <c r="DY33" s="1947"/>
      <c r="DZ33" s="1947"/>
      <c r="EA33" s="1947"/>
      <c r="EB33" s="1947"/>
      <c r="EC33" s="1947"/>
      <c r="ED33" s="1947"/>
    </row>
    <row r="34" spans="1:134" s="1946" customFormat="1" ht="12" hidden="1" customHeight="1" outlineLevel="1" x14ac:dyDescent="0.2">
      <c r="A34" s="1951" t="s">
        <v>893</v>
      </c>
      <c r="B34" s="1952" t="s">
        <v>724</v>
      </c>
      <c r="C34" s="1948"/>
      <c r="D34" s="1952"/>
      <c r="E34" s="1948"/>
      <c r="F34" s="1952"/>
      <c r="G34" s="1952"/>
      <c r="H34" s="1948"/>
      <c r="I34" s="1952"/>
      <c r="J34" s="1953"/>
      <c r="K34" s="1953"/>
      <c r="L34" s="1953"/>
      <c r="M34" s="1953"/>
      <c r="N34" s="1953"/>
      <c r="O34" s="1953"/>
      <c r="P34" s="1953"/>
      <c r="Q34" s="1953"/>
      <c r="R34" s="1953"/>
      <c r="S34" s="1953"/>
      <c r="T34" s="1953"/>
      <c r="U34" s="1948"/>
      <c r="V34" s="1948"/>
      <c r="W34" s="1948"/>
      <c r="X34" s="1948"/>
      <c r="Y34" s="1948"/>
      <c r="Z34" s="1948"/>
      <c r="AA34" s="1948"/>
      <c r="AB34" s="1952"/>
      <c r="AC34" s="1952"/>
      <c r="AD34" s="1952"/>
      <c r="AE34" s="1952"/>
      <c r="AF34" s="1952"/>
      <c r="AG34" s="1948"/>
      <c r="AH34" s="1952"/>
      <c r="AI34" s="1952"/>
      <c r="AJ34" s="1952"/>
      <c r="AK34" s="1952"/>
      <c r="AL34" s="1952"/>
      <c r="AM34" s="1948"/>
      <c r="AN34" s="1952"/>
      <c r="AO34" s="1952"/>
      <c r="AP34" s="1948"/>
      <c r="AQ34" s="1952"/>
      <c r="AR34" s="1948"/>
      <c r="AS34" s="1952"/>
      <c r="AT34" s="1952"/>
      <c r="AU34" s="1948"/>
      <c r="AV34" s="1952"/>
      <c r="AW34" s="1948"/>
      <c r="AX34" s="1952"/>
      <c r="AY34" s="1948"/>
      <c r="AZ34" s="1952"/>
      <c r="BA34" s="1948"/>
      <c r="BB34" s="1952"/>
      <c r="BC34" s="1948"/>
      <c r="BD34" s="1952"/>
      <c r="BE34" s="1953"/>
      <c r="BF34" s="1952"/>
      <c r="BG34" s="1953"/>
      <c r="BH34" s="1952"/>
      <c r="BI34" s="1948"/>
      <c r="BJ34" s="1952"/>
      <c r="BK34" s="1953"/>
      <c r="BL34" s="1952"/>
      <c r="BM34" s="1953"/>
      <c r="BN34" s="1952"/>
      <c r="BO34" s="1948"/>
      <c r="BP34" s="1948"/>
      <c r="BQ34" s="1948"/>
      <c r="BR34" s="1948"/>
      <c r="BS34" s="1948"/>
      <c r="BT34" s="1948"/>
      <c r="BU34" s="1948"/>
      <c r="BV34" s="1948"/>
      <c r="BW34" s="1948"/>
      <c r="BX34" s="1948"/>
      <c r="BY34" s="1948"/>
      <c r="BZ34" s="1948"/>
      <c r="CA34" s="1948"/>
      <c r="CB34" s="1948"/>
      <c r="CC34" s="1948"/>
      <c r="CD34" s="1948"/>
      <c r="CE34" s="1947"/>
      <c r="CF34" s="1947"/>
      <c r="CG34" s="1947"/>
      <c r="CH34" s="1947"/>
      <c r="CI34" s="1953"/>
      <c r="CJ34" s="1947"/>
      <c r="CK34" s="1953"/>
      <c r="CL34" s="1947"/>
      <c r="CM34" s="1953"/>
      <c r="CN34" s="1947"/>
      <c r="CO34" s="1947"/>
      <c r="CP34" s="1947"/>
      <c r="CQ34" s="1947"/>
      <c r="CR34" s="1947"/>
      <c r="CS34" s="1947"/>
      <c r="CT34" s="1947"/>
      <c r="CU34" s="1947"/>
      <c r="CV34" s="1947"/>
      <c r="CW34" s="1947"/>
      <c r="CX34" s="1947"/>
      <c r="CY34" s="1947"/>
      <c r="CZ34" s="1947"/>
      <c r="DA34" s="1947"/>
      <c r="DB34" s="1947"/>
      <c r="DC34" s="1947"/>
      <c r="DD34" s="1947"/>
      <c r="DE34" s="1947"/>
      <c r="DF34" s="1947"/>
      <c r="DG34" s="1947"/>
      <c r="DH34" s="1947"/>
      <c r="DI34" s="1947"/>
      <c r="DJ34" s="1947"/>
      <c r="DK34" s="1947"/>
      <c r="DL34" s="1947"/>
      <c r="DM34" s="1947"/>
      <c r="DN34" s="1947"/>
      <c r="DO34" s="1947"/>
      <c r="DP34" s="1947"/>
      <c r="DQ34" s="1947"/>
      <c r="DR34" s="1947"/>
      <c r="DS34" s="1947"/>
      <c r="DT34" s="1947"/>
      <c r="DU34" s="1947"/>
      <c r="DV34" s="1947"/>
      <c r="DW34" s="1947"/>
      <c r="DX34" s="1947"/>
      <c r="DY34" s="1947"/>
      <c r="DZ34" s="1947"/>
      <c r="EA34" s="1947"/>
      <c r="EB34" s="1947"/>
      <c r="EC34" s="1947"/>
      <c r="ED34" s="1947"/>
    </row>
    <row r="35" spans="1:134" ht="12" hidden="1" customHeight="1" outlineLevel="1" x14ac:dyDescent="0.2">
      <c r="A35" s="1951"/>
      <c r="B35" s="1951"/>
      <c r="C35" s="1951"/>
      <c r="D35" s="1951"/>
      <c r="I35" s="1951"/>
      <c r="J35" s="1951"/>
      <c r="K35" s="1951"/>
      <c r="L35" s="1951"/>
      <c r="M35" s="1951"/>
      <c r="N35" s="1951"/>
      <c r="O35" s="1951"/>
      <c r="P35" s="1951"/>
      <c r="Q35" s="1951"/>
      <c r="R35" s="1951"/>
      <c r="S35" s="1951"/>
      <c r="T35" s="1951"/>
      <c r="U35" s="1951"/>
      <c r="V35" s="1951"/>
      <c r="W35" s="1951"/>
      <c r="X35" s="1951"/>
      <c r="Y35" s="1951"/>
      <c r="Z35" s="1947"/>
      <c r="AA35" s="1947"/>
      <c r="AB35" s="1951"/>
      <c r="AC35" s="1951"/>
      <c r="AD35" s="1957"/>
      <c r="AE35" s="1951"/>
      <c r="AF35" s="1951"/>
      <c r="AG35" s="1951"/>
      <c r="AH35" s="1951"/>
      <c r="AI35" s="1951"/>
      <c r="AJ35" s="1951"/>
      <c r="AK35" s="1951"/>
      <c r="AL35" s="1951"/>
      <c r="AM35" s="1951"/>
      <c r="AN35" s="1951"/>
      <c r="AO35" s="1951"/>
      <c r="AP35" s="1951"/>
      <c r="AQ35" s="1951"/>
      <c r="AR35" s="1951"/>
      <c r="AS35" s="1951"/>
      <c r="AT35" s="1951"/>
      <c r="AU35" s="1951"/>
      <c r="AV35" s="1951"/>
      <c r="AW35" s="1951"/>
      <c r="AX35" s="1951"/>
      <c r="AY35" s="1951"/>
      <c r="AZ35" s="1951"/>
      <c r="BA35" s="1951"/>
      <c r="BB35" s="1951"/>
      <c r="BC35" s="1951"/>
      <c r="BD35" s="1951"/>
      <c r="BE35" s="1951"/>
      <c r="BF35" s="1951"/>
      <c r="BG35" s="1951"/>
      <c r="BH35" s="1951"/>
      <c r="BI35" s="1951"/>
      <c r="BJ35" s="1951"/>
      <c r="BK35" s="1951"/>
      <c r="BL35" s="1951"/>
    </row>
    <row r="36" spans="1:134" collapsed="1" x14ac:dyDescent="0.2">
      <c r="A36" s="2000" t="s">
        <v>894</v>
      </c>
      <c r="B36" s="2001"/>
      <c r="C36" s="2000" t="s">
        <v>895</v>
      </c>
      <c r="D36" s="2001"/>
      <c r="E36" s="2000" t="s">
        <v>896</v>
      </c>
      <c r="F36" s="2002" t="s">
        <v>104</v>
      </c>
      <c r="G36" s="2002" t="s">
        <v>898</v>
      </c>
      <c r="H36" s="2002" t="s">
        <v>899</v>
      </c>
      <c r="I36" s="2002" t="s">
        <v>900</v>
      </c>
    </row>
    <row r="37" spans="1:134" outlineLevel="2" x14ac:dyDescent="0.2">
      <c r="A37" s="2003" t="s">
        <v>4956</v>
      </c>
      <c r="B37" s="2003" t="s">
        <v>4957</v>
      </c>
      <c r="C37" s="2003" t="s">
        <v>2042</v>
      </c>
      <c r="D37" s="2003" t="s">
        <v>2043</v>
      </c>
      <c r="E37" s="2003" t="s">
        <v>919</v>
      </c>
      <c r="F37" s="2004">
        <v>-1000</v>
      </c>
      <c r="G37" s="1962">
        <v>0</v>
      </c>
      <c r="H37" s="1962">
        <v>0</v>
      </c>
      <c r="I37" s="1962">
        <v>-1000</v>
      </c>
    </row>
    <row r="38" spans="1:134" outlineLevel="2" x14ac:dyDescent="0.2">
      <c r="A38" s="2003" t="s">
        <v>4956</v>
      </c>
      <c r="B38" s="2003" t="s">
        <v>4957</v>
      </c>
      <c r="C38" s="2003" t="s">
        <v>2042</v>
      </c>
      <c r="D38" s="2003" t="s">
        <v>2043</v>
      </c>
      <c r="E38" s="2003" t="s">
        <v>1083</v>
      </c>
      <c r="F38" s="2004">
        <v>-6491.04493</v>
      </c>
      <c r="G38" s="1962">
        <v>-1758.676727378343</v>
      </c>
      <c r="H38" s="1962">
        <v>-494.48188919165636</v>
      </c>
      <c r="I38" s="1962">
        <v>-351.40155391515589</v>
      </c>
    </row>
    <row r="39" spans="1:134" outlineLevel="2" x14ac:dyDescent="0.2">
      <c r="A39" s="2003" t="s">
        <v>4956</v>
      </c>
      <c r="B39" s="2003" t="s">
        <v>4957</v>
      </c>
      <c r="C39" s="2003" t="s">
        <v>2042</v>
      </c>
      <c r="D39" s="2003" t="s">
        <v>2043</v>
      </c>
      <c r="E39" s="2003" t="s">
        <v>1567</v>
      </c>
      <c r="F39" s="2004">
        <v>-47023.242339999997</v>
      </c>
      <c r="G39" s="1962">
        <v>-12740.426671061408</v>
      </c>
      <c r="H39" s="1962">
        <v>-3582.1877615936151</v>
      </c>
      <c r="I39" s="1962">
        <v>-2545.667239497131</v>
      </c>
    </row>
    <row r="40" spans="1:134" outlineLevel="2" x14ac:dyDescent="0.2">
      <c r="A40" s="2003" t="s">
        <v>4956</v>
      </c>
      <c r="B40" s="2003" t="s">
        <v>4957</v>
      </c>
      <c r="C40" s="2003" t="s">
        <v>2042</v>
      </c>
      <c r="D40" s="2003" t="s">
        <v>2043</v>
      </c>
      <c r="E40" s="2003" t="s">
        <v>1568</v>
      </c>
      <c r="F40" s="2004">
        <v>-6979.8548199999996</v>
      </c>
      <c r="G40" s="1962">
        <v>-1891.114352895652</v>
      </c>
      <c r="H40" s="1962">
        <v>-531.71898128843929</v>
      </c>
      <c r="I40" s="1962">
        <v>-377.8639427550828</v>
      </c>
    </row>
    <row r="41" spans="1:134" outlineLevel="2" x14ac:dyDescent="0.2">
      <c r="A41" s="2003" t="s">
        <v>4956</v>
      </c>
      <c r="B41" s="2003" t="s">
        <v>4957</v>
      </c>
      <c r="C41" s="2003" t="s">
        <v>2044</v>
      </c>
      <c r="D41" s="2003" t="s">
        <v>2045</v>
      </c>
      <c r="E41" s="2003" t="s">
        <v>912</v>
      </c>
      <c r="F41" s="2004">
        <v>-143.84584000000001</v>
      </c>
      <c r="G41" s="1962">
        <v>-143.84584000000001</v>
      </c>
      <c r="H41" s="1962">
        <v>0</v>
      </c>
      <c r="I41" s="1962">
        <v>0</v>
      </c>
    </row>
    <row r="42" spans="1:134" outlineLevel="2" x14ac:dyDescent="0.2">
      <c r="A42" s="2003" t="s">
        <v>4956</v>
      </c>
      <c r="B42" s="2003" t="s">
        <v>4957</v>
      </c>
      <c r="C42" s="2003" t="s">
        <v>2044</v>
      </c>
      <c r="D42" s="2003" t="s">
        <v>2045</v>
      </c>
      <c r="E42" s="2003" t="s">
        <v>1083</v>
      </c>
      <c r="F42" s="2004">
        <v>-16120.132180000001</v>
      </c>
      <c r="G42" s="1962">
        <v>-4367.5712636345461</v>
      </c>
      <c r="H42" s="1962">
        <v>-1228.0169834513247</v>
      </c>
      <c r="I42" s="1962">
        <v>-872.68530081946437</v>
      </c>
    </row>
    <row r="43" spans="1:134" outlineLevel="2" x14ac:dyDescent="0.2">
      <c r="A43" s="2003" t="s">
        <v>4956</v>
      </c>
      <c r="B43" s="2003" t="s">
        <v>4957</v>
      </c>
      <c r="C43" s="2003" t="s">
        <v>2044</v>
      </c>
      <c r="D43" s="2003" t="s">
        <v>2045</v>
      </c>
      <c r="E43" s="2003" t="s">
        <v>920</v>
      </c>
      <c r="F43" s="2004">
        <v>-251.59180000000001</v>
      </c>
      <c r="G43" s="1962">
        <v>0</v>
      </c>
      <c r="H43" s="1962">
        <v>0</v>
      </c>
      <c r="I43" s="1962">
        <v>0</v>
      </c>
    </row>
    <row r="44" spans="1:134" outlineLevel="2" x14ac:dyDescent="0.2">
      <c r="A44" s="2003" t="s">
        <v>4956</v>
      </c>
      <c r="B44" s="2003" t="s">
        <v>4957</v>
      </c>
      <c r="C44" s="2003" t="s">
        <v>2044</v>
      </c>
      <c r="D44" s="2003" t="s">
        <v>2045</v>
      </c>
      <c r="E44" s="2003" t="s">
        <v>922</v>
      </c>
      <c r="F44" s="2004">
        <v>-319.90453000000002</v>
      </c>
      <c r="G44" s="1962">
        <v>0</v>
      </c>
      <c r="H44" s="1962">
        <v>0</v>
      </c>
      <c r="I44" s="1962">
        <v>0</v>
      </c>
    </row>
    <row r="45" spans="1:134" outlineLevel="2" x14ac:dyDescent="0.2">
      <c r="A45" s="2003" t="s">
        <v>4956</v>
      </c>
      <c r="B45" s="2003" t="s">
        <v>4957</v>
      </c>
      <c r="C45" s="2003" t="s">
        <v>2046</v>
      </c>
      <c r="D45" s="2003" t="s">
        <v>4958</v>
      </c>
      <c r="E45" s="2003" t="s">
        <v>913</v>
      </c>
      <c r="F45" s="2004">
        <v>-11249.26273</v>
      </c>
      <c r="G45" s="1962">
        <v>-3146.8450187551916</v>
      </c>
      <c r="H45" s="1962">
        <v>-839.74937053063661</v>
      </c>
      <c r="I45" s="1962">
        <v>-599.9511517203764</v>
      </c>
    </row>
    <row r="46" spans="1:134" outlineLevel="2" x14ac:dyDescent="0.2">
      <c r="A46" s="2003" t="s">
        <v>4956</v>
      </c>
      <c r="B46" s="2003" t="s">
        <v>4957</v>
      </c>
      <c r="C46" s="2003" t="s">
        <v>2271</v>
      </c>
      <c r="D46" s="2003" t="s">
        <v>4959</v>
      </c>
      <c r="E46" s="2003" t="s">
        <v>913</v>
      </c>
      <c r="F46" s="2004">
        <v>-3292.5410000000002</v>
      </c>
      <c r="G46" s="1962">
        <v>-921.04847167146193</v>
      </c>
      <c r="H46" s="1962">
        <v>-245.78581712939624</v>
      </c>
      <c r="I46" s="1962">
        <v>-175.5993981515409</v>
      </c>
    </row>
    <row r="47" spans="1:134" outlineLevel="2" x14ac:dyDescent="0.2">
      <c r="A47" s="2003" t="s">
        <v>4956</v>
      </c>
      <c r="B47" s="2003" t="s">
        <v>4957</v>
      </c>
      <c r="C47" s="2003" t="s">
        <v>2273</v>
      </c>
      <c r="D47" s="2003" t="s">
        <v>2274</v>
      </c>
      <c r="E47" s="2003" t="s">
        <v>913</v>
      </c>
      <c r="F47" s="2004">
        <v>-4409.6926000000003</v>
      </c>
      <c r="G47" s="1962">
        <v>-1233.5581029274822</v>
      </c>
      <c r="H47" s="1962">
        <v>-329.18038043579469</v>
      </c>
      <c r="I47" s="1962">
        <v>-235.17987068142921</v>
      </c>
    </row>
    <row r="48" spans="1:134" outlineLevel="2" x14ac:dyDescent="0.2">
      <c r="A48" s="2003" t="s">
        <v>4956</v>
      </c>
      <c r="B48" s="2003" t="s">
        <v>4957</v>
      </c>
      <c r="C48" s="2003" t="s">
        <v>2048</v>
      </c>
      <c r="D48" s="2003" t="s">
        <v>2049</v>
      </c>
      <c r="E48" s="2003" t="s">
        <v>913</v>
      </c>
      <c r="F48" s="2004">
        <v>-15908.95966</v>
      </c>
      <c r="G48" s="1962">
        <v>-4450.3388054168317</v>
      </c>
      <c r="H48" s="1962">
        <v>-1187.5923943579448</v>
      </c>
      <c r="I48" s="1962">
        <v>-848.46437493508586</v>
      </c>
    </row>
    <row r="49" spans="1:9" outlineLevel="2" x14ac:dyDescent="0.2">
      <c r="A49" s="2003" t="s">
        <v>4956</v>
      </c>
      <c r="B49" s="2003" t="s">
        <v>4957</v>
      </c>
      <c r="C49" s="2003" t="s">
        <v>2050</v>
      </c>
      <c r="D49" s="2003" t="s">
        <v>2051</v>
      </c>
      <c r="E49" s="2003" t="s">
        <v>1754</v>
      </c>
      <c r="F49" s="2004">
        <v>-141677.54509999999</v>
      </c>
      <c r="G49" s="1962">
        <v>-43187.044141691644</v>
      </c>
      <c r="H49" s="1962">
        <v>-9451.2916159638062</v>
      </c>
      <c r="I49" s="1962">
        <v>-6049.8676290663479</v>
      </c>
    </row>
    <row r="50" spans="1:9" outlineLevel="2" x14ac:dyDescent="0.2">
      <c r="A50" s="2003" t="s">
        <v>4956</v>
      </c>
      <c r="B50" s="2003" t="s">
        <v>4957</v>
      </c>
      <c r="C50" s="2003" t="s">
        <v>2052</v>
      </c>
      <c r="D50" s="2003" t="s">
        <v>2053</v>
      </c>
      <c r="E50" s="2003" t="s">
        <v>913</v>
      </c>
      <c r="F50" s="2004">
        <v>-172650.31943</v>
      </c>
      <c r="G50" s="1962">
        <v>-48296.836043830946</v>
      </c>
      <c r="H50" s="1962">
        <v>-12888.222147804334</v>
      </c>
      <c r="I50" s="1962">
        <v>-9207.8708154520427</v>
      </c>
    </row>
    <row r="51" spans="1:9" outlineLevel="2" x14ac:dyDescent="0.2">
      <c r="A51" s="2003" t="s">
        <v>4956</v>
      </c>
      <c r="B51" s="2003" t="s">
        <v>4957</v>
      </c>
      <c r="C51" s="2003" t="s">
        <v>2054</v>
      </c>
      <c r="D51" s="2003" t="s">
        <v>2055</v>
      </c>
      <c r="E51" s="2003" t="s">
        <v>1083</v>
      </c>
      <c r="F51" s="2004">
        <v>-1765.0384200000001</v>
      </c>
      <c r="G51" s="1962">
        <v>-478.21760990069765</v>
      </c>
      <c r="H51" s="1962">
        <v>-134.45901882202136</v>
      </c>
      <c r="I51" s="1962">
        <v>-95.552757714149976</v>
      </c>
    </row>
    <row r="52" spans="1:9" outlineLevel="2" x14ac:dyDescent="0.2">
      <c r="A52" s="2003" t="s">
        <v>4956</v>
      </c>
      <c r="B52" s="2003" t="s">
        <v>4957</v>
      </c>
      <c r="C52" s="2003" t="s">
        <v>2056</v>
      </c>
      <c r="D52" s="2003" t="s">
        <v>2057</v>
      </c>
      <c r="E52" s="2003" t="s">
        <v>913</v>
      </c>
      <c r="F52" s="2004">
        <v>-1747.0396800000001</v>
      </c>
      <c r="G52" s="1962">
        <v>-488.7131936135039</v>
      </c>
      <c r="H52" s="1962">
        <v>-130.41525536243253</v>
      </c>
      <c r="I52" s="1962">
        <v>-93.173969999116366</v>
      </c>
    </row>
    <row r="53" spans="1:9" outlineLevel="2" x14ac:dyDescent="0.2">
      <c r="A53" s="2003" t="s">
        <v>4956</v>
      </c>
      <c r="B53" s="2003" t="s">
        <v>4957</v>
      </c>
      <c r="C53" s="2003" t="s">
        <v>2058</v>
      </c>
      <c r="D53" s="2003" t="s">
        <v>2059</v>
      </c>
      <c r="E53" s="2003" t="s">
        <v>913</v>
      </c>
      <c r="F53" s="2004">
        <v>-2422.4614900000001</v>
      </c>
      <c r="G53" s="1962">
        <v>-677.65426551938833</v>
      </c>
      <c r="H53" s="1962">
        <v>-180.83500760784597</v>
      </c>
      <c r="I53" s="1962">
        <v>-129.19589450496898</v>
      </c>
    </row>
    <row r="54" spans="1:9" outlineLevel="2" x14ac:dyDescent="0.2">
      <c r="A54" s="2003" t="s">
        <v>4956</v>
      </c>
      <c r="B54" s="2003" t="s">
        <v>4957</v>
      </c>
      <c r="C54" s="2003" t="s">
        <v>2060</v>
      </c>
      <c r="D54" s="2003" t="s">
        <v>2061</v>
      </c>
      <c r="E54" s="2003" t="s">
        <v>913</v>
      </c>
      <c r="F54" s="2004">
        <v>-1448.0478900000001</v>
      </c>
      <c r="G54" s="1962">
        <v>-405.07386118854254</v>
      </c>
      <c r="H54" s="1962">
        <v>-108.09573332151311</v>
      </c>
      <c r="I54" s="1962">
        <v>-77.227994420907351</v>
      </c>
    </row>
    <row r="55" spans="1:9" outlineLevel="2" x14ac:dyDescent="0.2">
      <c r="A55" s="2003" t="s">
        <v>4956</v>
      </c>
      <c r="B55" s="2003" t="s">
        <v>4957</v>
      </c>
      <c r="C55" s="2003" t="s">
        <v>2062</v>
      </c>
      <c r="D55" s="2003" t="s">
        <v>2063</v>
      </c>
      <c r="E55" s="2003" t="s">
        <v>913</v>
      </c>
      <c r="F55" s="2004">
        <v>-654.83254999999997</v>
      </c>
      <c r="G55" s="1962">
        <v>-183.18147575936825</v>
      </c>
      <c r="H55" s="1962">
        <v>-48.882778797492939</v>
      </c>
      <c r="I55" s="1962">
        <v>-34.923848076618881</v>
      </c>
    </row>
    <row r="56" spans="1:9" outlineLevel="2" x14ac:dyDescent="0.2">
      <c r="A56" s="2003" t="s">
        <v>4956</v>
      </c>
      <c r="B56" s="2003" t="s">
        <v>4957</v>
      </c>
      <c r="C56" s="2003" t="s">
        <v>2064</v>
      </c>
      <c r="D56" s="2003" t="s">
        <v>2065</v>
      </c>
      <c r="E56" s="2003" t="s">
        <v>913</v>
      </c>
      <c r="F56" s="2004">
        <v>-557.4683</v>
      </c>
      <c r="G56" s="1962">
        <v>-155.94500591497206</v>
      </c>
      <c r="H56" s="1962">
        <v>-41.614607574889853</v>
      </c>
      <c r="I56" s="1962">
        <v>-29.731170536240139</v>
      </c>
    </row>
    <row r="57" spans="1:9" outlineLevel="2" x14ac:dyDescent="0.2">
      <c r="A57" s="2003" t="s">
        <v>4956</v>
      </c>
      <c r="B57" s="2003" t="s">
        <v>4957</v>
      </c>
      <c r="C57" s="2003" t="s">
        <v>2066</v>
      </c>
      <c r="D57" s="2003" t="s">
        <v>4960</v>
      </c>
      <c r="E57" s="2003" t="s">
        <v>913</v>
      </c>
      <c r="F57" s="2004">
        <v>-1687.3787299999999</v>
      </c>
      <c r="G57" s="1962">
        <v>-472.02376535248374</v>
      </c>
      <c r="H57" s="1962">
        <v>-125.96160836260287</v>
      </c>
      <c r="I57" s="1962">
        <v>-89.99210319376779</v>
      </c>
    </row>
    <row r="58" spans="1:9" outlineLevel="2" x14ac:dyDescent="0.2">
      <c r="A58" s="2003" t="s">
        <v>4956</v>
      </c>
      <c r="B58" s="2003" t="s">
        <v>4957</v>
      </c>
      <c r="C58" s="2003" t="s">
        <v>2068</v>
      </c>
      <c r="D58" s="2003" t="s">
        <v>2069</v>
      </c>
      <c r="E58" s="2003" t="s">
        <v>913</v>
      </c>
      <c r="F58" s="2004">
        <v>-1765.8244099999999</v>
      </c>
      <c r="G58" s="1962">
        <v>-493.96799434560137</v>
      </c>
      <c r="H58" s="1962">
        <v>-131.81752194395878</v>
      </c>
      <c r="I58" s="1962">
        <v>-94.175806356640592</v>
      </c>
    </row>
    <row r="59" spans="1:9" outlineLevel="2" x14ac:dyDescent="0.2">
      <c r="A59" s="2003" t="s">
        <v>4956</v>
      </c>
      <c r="B59" s="2003" t="s">
        <v>4957</v>
      </c>
      <c r="C59" s="2003" t="s">
        <v>2070</v>
      </c>
      <c r="D59" s="2003" t="s">
        <v>2071</v>
      </c>
      <c r="E59" s="2003" t="s">
        <v>913</v>
      </c>
      <c r="F59" s="2004">
        <v>-630.63693000000001</v>
      </c>
      <c r="G59" s="1962">
        <v>-176.41304407631756</v>
      </c>
      <c r="H59" s="1962">
        <v>-47.076593169841729</v>
      </c>
      <c r="I59" s="1962">
        <v>-33.633435501679529</v>
      </c>
    </row>
    <row r="60" spans="1:9" outlineLevel="2" x14ac:dyDescent="0.2">
      <c r="A60" s="2003" t="s">
        <v>4956</v>
      </c>
      <c r="B60" s="2003" t="s">
        <v>4957</v>
      </c>
      <c r="C60" s="2003" t="s">
        <v>2279</v>
      </c>
      <c r="D60" s="2003" t="s">
        <v>2280</v>
      </c>
      <c r="E60" s="2003" t="s">
        <v>913</v>
      </c>
      <c r="F60" s="2004">
        <v>-5876.8036400000001</v>
      </c>
      <c r="G60" s="1962">
        <v>-1643.9646494714216</v>
      </c>
      <c r="H60" s="1962">
        <v>-438.69916419154998</v>
      </c>
      <c r="I60" s="1962">
        <v>-313.42455029072829</v>
      </c>
    </row>
    <row r="61" spans="1:9" outlineLevel="2" x14ac:dyDescent="0.2">
      <c r="A61" s="2003" t="s">
        <v>4956</v>
      </c>
      <c r="B61" s="2003" t="s">
        <v>4957</v>
      </c>
      <c r="C61" s="2003" t="s">
        <v>2281</v>
      </c>
      <c r="D61" s="2003" t="s">
        <v>2282</v>
      </c>
      <c r="E61" s="2003" t="s">
        <v>913</v>
      </c>
      <c r="F61" s="2004">
        <v>-2907.75963</v>
      </c>
      <c r="G61" s="1962">
        <v>-813.41054316391967</v>
      </c>
      <c r="H61" s="1962">
        <v>-217.06216465502507</v>
      </c>
      <c r="I61" s="1962">
        <v>-155.07805096347994</v>
      </c>
    </row>
    <row r="62" spans="1:9" outlineLevel="2" x14ac:dyDescent="0.2">
      <c r="A62" s="2003" t="s">
        <v>4956</v>
      </c>
      <c r="B62" s="2003" t="s">
        <v>4957</v>
      </c>
      <c r="C62" s="2003" t="s">
        <v>2283</v>
      </c>
      <c r="D62" s="2003" t="s">
        <v>2284</v>
      </c>
      <c r="E62" s="2003" t="s">
        <v>913</v>
      </c>
      <c r="F62" s="2004">
        <v>-2020.2035599999999</v>
      </c>
      <c r="G62" s="1962">
        <v>-565.12748099514818</v>
      </c>
      <c r="H62" s="1962">
        <v>-150.80674250140399</v>
      </c>
      <c r="I62" s="1962">
        <v>-107.74247891813657</v>
      </c>
    </row>
    <row r="63" spans="1:9" outlineLevel="2" x14ac:dyDescent="0.2">
      <c r="A63" s="2003" t="s">
        <v>4956</v>
      </c>
      <c r="B63" s="2003" t="s">
        <v>4957</v>
      </c>
      <c r="C63" s="2003" t="s">
        <v>2285</v>
      </c>
      <c r="D63" s="2003" t="s">
        <v>2286</v>
      </c>
      <c r="E63" s="2003" t="s">
        <v>913</v>
      </c>
      <c r="F63" s="2004">
        <v>-8998.6676900000002</v>
      </c>
      <c r="G63" s="1962">
        <v>-2517.2683112993473</v>
      </c>
      <c r="H63" s="1962">
        <v>-671.74406978152933</v>
      </c>
      <c r="I63" s="1962">
        <v>-479.9213223251333</v>
      </c>
    </row>
    <row r="64" spans="1:9" outlineLevel="2" x14ac:dyDescent="0.2">
      <c r="A64" s="2003" t="s">
        <v>4956</v>
      </c>
      <c r="B64" s="2003" t="s">
        <v>4957</v>
      </c>
      <c r="C64" s="2003" t="s">
        <v>2072</v>
      </c>
      <c r="D64" s="2003" t="s">
        <v>2073</v>
      </c>
      <c r="E64" s="2003" t="s">
        <v>913</v>
      </c>
      <c r="F64" s="2004">
        <v>-10572.686229999999</v>
      </c>
      <c r="G64" s="1962">
        <v>-2957.5809363052454</v>
      </c>
      <c r="H64" s="1962">
        <v>-789.24342150736027</v>
      </c>
      <c r="I64" s="1962">
        <v>-563.86764472578591</v>
      </c>
    </row>
    <row r="65" spans="1:9" outlineLevel="2" x14ac:dyDescent="0.2">
      <c r="A65" s="2003" t="s">
        <v>4956</v>
      </c>
      <c r="B65" s="2003" t="s">
        <v>4957</v>
      </c>
      <c r="C65" s="2003" t="s">
        <v>2287</v>
      </c>
      <c r="D65" s="2003" t="s">
        <v>2288</v>
      </c>
      <c r="E65" s="2003" t="s">
        <v>913</v>
      </c>
      <c r="F65" s="2004">
        <v>-10386.432650000001</v>
      </c>
      <c r="G65" s="1962">
        <v>-2905.4787528541247</v>
      </c>
      <c r="H65" s="1962">
        <v>-775.33972574364009</v>
      </c>
      <c r="I65" s="1962">
        <v>-553.93427820079205</v>
      </c>
    </row>
    <row r="66" spans="1:9" outlineLevel="2" x14ac:dyDescent="0.2">
      <c r="A66" s="2003" t="s">
        <v>4956</v>
      </c>
      <c r="B66" s="2003" t="s">
        <v>4957</v>
      </c>
      <c r="C66" s="2003" t="s">
        <v>2074</v>
      </c>
      <c r="D66" s="2003" t="s">
        <v>2075</v>
      </c>
      <c r="E66" s="2003" t="s">
        <v>913</v>
      </c>
      <c r="F66" s="2004">
        <v>-1909.55025</v>
      </c>
      <c r="G66" s="1962">
        <v>-534.1735575479114</v>
      </c>
      <c r="H66" s="1962">
        <v>-142.54655250941229</v>
      </c>
      <c r="I66" s="1962">
        <v>-101.84106276584694</v>
      </c>
    </row>
    <row r="67" spans="1:9" outlineLevel="2" x14ac:dyDescent="0.2">
      <c r="A67" s="2003" t="s">
        <v>4956</v>
      </c>
      <c r="B67" s="2003" t="s">
        <v>4957</v>
      </c>
      <c r="C67" s="2003" t="s">
        <v>2289</v>
      </c>
      <c r="D67" s="2003" t="s">
        <v>2290</v>
      </c>
      <c r="E67" s="2003" t="s">
        <v>913</v>
      </c>
      <c r="F67" s="2004">
        <v>-2415.8410899999999</v>
      </c>
      <c r="G67" s="1962">
        <v>-675.80228879325068</v>
      </c>
      <c r="H67" s="1962">
        <v>-180.34079951029349</v>
      </c>
      <c r="I67" s="1962">
        <v>-128.84281211191069</v>
      </c>
    </row>
    <row r="68" spans="1:9" outlineLevel="2" x14ac:dyDescent="0.2">
      <c r="A68" s="2003" t="s">
        <v>4956</v>
      </c>
      <c r="B68" s="2003" t="s">
        <v>4957</v>
      </c>
      <c r="C68" s="2003" t="s">
        <v>2076</v>
      </c>
      <c r="D68" s="2003" t="s">
        <v>2077</v>
      </c>
      <c r="E68" s="2003" t="s">
        <v>913</v>
      </c>
      <c r="F68" s="2004">
        <v>-13478.370199999999</v>
      </c>
      <c r="G68" s="1962">
        <v>-3770.4108387206643</v>
      </c>
      <c r="H68" s="1962">
        <v>-1006.1506396365311</v>
      </c>
      <c r="I68" s="1962">
        <v>-718.83499558051483</v>
      </c>
    </row>
    <row r="69" spans="1:9" outlineLevel="2" x14ac:dyDescent="0.2">
      <c r="A69" s="2003" t="s">
        <v>4956</v>
      </c>
      <c r="B69" s="2003" t="s">
        <v>4957</v>
      </c>
      <c r="C69" s="2003" t="s">
        <v>2078</v>
      </c>
      <c r="D69" s="2003" t="s">
        <v>2079</v>
      </c>
      <c r="E69" s="2003" t="s">
        <v>913</v>
      </c>
      <c r="F69" s="2004">
        <v>-7223.6996399999998</v>
      </c>
      <c r="G69" s="1962">
        <v>-2020.7424943943565</v>
      </c>
      <c r="H69" s="1962">
        <v>-539.24398168913478</v>
      </c>
      <c r="I69" s="1962">
        <v>-385.257862912414</v>
      </c>
    </row>
    <row r="70" spans="1:9" outlineLevel="2" x14ac:dyDescent="0.2">
      <c r="A70" s="2003" t="s">
        <v>4956</v>
      </c>
      <c r="B70" s="2003" t="s">
        <v>4957</v>
      </c>
      <c r="C70" s="2003" t="s">
        <v>2291</v>
      </c>
      <c r="D70" s="2003" t="s">
        <v>2292</v>
      </c>
      <c r="E70" s="2003" t="s">
        <v>1083</v>
      </c>
      <c r="F70" s="2004">
        <v>-1599.6162899999999</v>
      </c>
      <c r="G70" s="1962">
        <v>-433.39831603326866</v>
      </c>
      <c r="H70" s="1962">
        <v>-121.8573116641404</v>
      </c>
      <c r="I70" s="1962">
        <v>-86.597405508021424</v>
      </c>
    </row>
    <row r="71" spans="1:9" outlineLevel="2" x14ac:dyDescent="0.2">
      <c r="A71" s="2003" t="s">
        <v>4956</v>
      </c>
      <c r="B71" s="2003" t="s">
        <v>4957</v>
      </c>
      <c r="C71" s="2003" t="s">
        <v>2080</v>
      </c>
      <c r="D71" s="2003" t="s">
        <v>2081</v>
      </c>
      <c r="E71" s="2003" t="s">
        <v>913</v>
      </c>
      <c r="F71" s="2004">
        <v>-4633.2999600000003</v>
      </c>
      <c r="G71" s="1962">
        <v>-1296.10955397471</v>
      </c>
      <c r="H71" s="1962">
        <v>-345.872509005719</v>
      </c>
      <c r="I71" s="1962">
        <v>-247.10540717080167</v>
      </c>
    </row>
    <row r="72" spans="1:9" outlineLevel="2" x14ac:dyDescent="0.2">
      <c r="A72" s="2003" t="s">
        <v>4956</v>
      </c>
      <c r="B72" s="2003" t="s">
        <v>4957</v>
      </c>
      <c r="C72" s="2003" t="s">
        <v>2082</v>
      </c>
      <c r="D72" s="2003" t="s">
        <v>2083</v>
      </c>
      <c r="E72" s="2003" t="s">
        <v>1083</v>
      </c>
      <c r="F72" s="2004">
        <v>-113.24043</v>
      </c>
      <c r="G72" s="1962">
        <v>-30.681240229732371</v>
      </c>
      <c r="H72" s="1962">
        <v>-8.6265527912892637</v>
      </c>
      <c r="I72" s="1962">
        <v>-6.1304248387047346</v>
      </c>
    </row>
    <row r="73" spans="1:9" outlineLevel="2" x14ac:dyDescent="0.2">
      <c r="A73" s="2003" t="s">
        <v>4956</v>
      </c>
      <c r="B73" s="2003" t="s">
        <v>4957</v>
      </c>
      <c r="C73" s="2003" t="s">
        <v>2084</v>
      </c>
      <c r="D73" s="2003" t="s">
        <v>2085</v>
      </c>
      <c r="E73" s="2003" t="s">
        <v>1083</v>
      </c>
      <c r="F73" s="2004">
        <v>-19.125</v>
      </c>
      <c r="G73" s="1962">
        <v>-5.1817069168108203</v>
      </c>
      <c r="H73" s="1962">
        <v>-1.4569250764361028</v>
      </c>
      <c r="I73" s="1962">
        <v>-1.03535792495308</v>
      </c>
    </row>
    <row r="74" spans="1:9" outlineLevel="2" x14ac:dyDescent="0.2">
      <c r="A74" s="2003" t="s">
        <v>4956</v>
      </c>
      <c r="B74" s="2003" t="s">
        <v>4957</v>
      </c>
      <c r="C74" s="2003" t="s">
        <v>2086</v>
      </c>
      <c r="D74" s="2003" t="s">
        <v>2087</v>
      </c>
      <c r="E74" s="2003" t="s">
        <v>1083</v>
      </c>
      <c r="F74" s="2004">
        <v>-8356.9172299999991</v>
      </c>
      <c r="G74" s="1962">
        <v>-2264.2141602042625</v>
      </c>
      <c r="H74" s="1962">
        <v>-636.62234112878082</v>
      </c>
      <c r="I74" s="1962">
        <v>-452.41309099401656</v>
      </c>
    </row>
    <row r="75" spans="1:9" outlineLevel="2" x14ac:dyDescent="0.2">
      <c r="A75" s="2003" t="s">
        <v>4956</v>
      </c>
      <c r="B75" s="2003" t="s">
        <v>4957</v>
      </c>
      <c r="C75" s="2003" t="s">
        <v>2088</v>
      </c>
      <c r="D75" s="2003" t="s">
        <v>2089</v>
      </c>
      <c r="E75" s="2003" t="s">
        <v>1083</v>
      </c>
      <c r="F75" s="2004">
        <v>-295.49317000000002</v>
      </c>
      <c r="G75" s="1962">
        <v>-80.060601456698336</v>
      </c>
      <c r="H75" s="1962">
        <v>-22.510400485678243</v>
      </c>
      <c r="I75" s="1962">
        <v>-15.996925029652402</v>
      </c>
    </row>
    <row r="76" spans="1:9" outlineLevel="2" x14ac:dyDescent="0.2">
      <c r="A76" s="2003" t="s">
        <v>4956</v>
      </c>
      <c r="B76" s="2003" t="s">
        <v>4957</v>
      </c>
      <c r="C76" s="2003" t="s">
        <v>2090</v>
      </c>
      <c r="D76" s="2003" t="s">
        <v>2091</v>
      </c>
      <c r="E76" s="2003" t="s">
        <v>1083</v>
      </c>
      <c r="F76" s="2004">
        <v>-75.416309999999996</v>
      </c>
      <c r="G76" s="1962">
        <v>-20.433213864959427</v>
      </c>
      <c r="H76" s="1962">
        <v>-5.7451457888250363</v>
      </c>
      <c r="I76" s="1962">
        <v>-4.0827646103733111</v>
      </c>
    </row>
    <row r="77" spans="1:9" outlineLevel="2" x14ac:dyDescent="0.2">
      <c r="A77" s="2003" t="s">
        <v>4956</v>
      </c>
      <c r="B77" s="2003" t="s">
        <v>4957</v>
      </c>
      <c r="C77" s="2003" t="s">
        <v>2090</v>
      </c>
      <c r="D77" s="2003" t="s">
        <v>2091</v>
      </c>
      <c r="E77" s="2003" t="s">
        <v>1568</v>
      </c>
      <c r="F77" s="2004">
        <v>-14.46275</v>
      </c>
      <c r="G77" s="1962">
        <v>-3.9185219195349386</v>
      </c>
      <c r="H77" s="1962">
        <v>-1.1017591189137907</v>
      </c>
      <c r="I77" s="1962">
        <v>-0.78296066021629285</v>
      </c>
    </row>
    <row r="78" spans="1:9" outlineLevel="2" x14ac:dyDescent="0.2">
      <c r="A78" s="2003" t="s">
        <v>4956</v>
      </c>
      <c r="B78" s="2003" t="s">
        <v>4957</v>
      </c>
      <c r="C78" s="2003" t="s">
        <v>2293</v>
      </c>
      <c r="D78" s="2003" t="s">
        <v>4961</v>
      </c>
      <c r="E78" s="2003" t="s">
        <v>913</v>
      </c>
      <c r="F78" s="2004">
        <v>-2629.15326</v>
      </c>
      <c r="G78" s="1962">
        <v>-735.47378511400211</v>
      </c>
      <c r="H78" s="1962">
        <v>-196.26439955266039</v>
      </c>
      <c r="I78" s="1962">
        <v>-140.21928052047392</v>
      </c>
    </row>
    <row r="79" spans="1:9" outlineLevel="2" x14ac:dyDescent="0.2">
      <c r="A79" s="2003" t="s">
        <v>4956</v>
      </c>
      <c r="B79" s="2003" t="s">
        <v>4957</v>
      </c>
      <c r="C79" s="2003" t="s">
        <v>2092</v>
      </c>
      <c r="D79" s="2003" t="s">
        <v>2093</v>
      </c>
      <c r="E79" s="2003" t="s">
        <v>913</v>
      </c>
      <c r="F79" s="2004">
        <v>-10993.77852</v>
      </c>
      <c r="G79" s="1962">
        <v>-3075.3764049530578</v>
      </c>
      <c r="H79" s="1962">
        <v>-820.67765803912675</v>
      </c>
      <c r="I79" s="1962">
        <v>-586.32554356144328</v>
      </c>
    </row>
    <row r="80" spans="1:9" outlineLevel="2" x14ac:dyDescent="0.2">
      <c r="A80" s="2003" t="s">
        <v>4956</v>
      </c>
      <c r="B80" s="2003" t="s">
        <v>4957</v>
      </c>
      <c r="C80" s="2003" t="s">
        <v>2094</v>
      </c>
      <c r="D80" s="2003" t="s">
        <v>2095</v>
      </c>
      <c r="E80" s="2003" t="s">
        <v>1083</v>
      </c>
      <c r="F80" s="2004">
        <v>-4406.4939899999999</v>
      </c>
      <c r="G80" s="1962">
        <v>-1193.8907391826567</v>
      </c>
      <c r="H80" s="1962">
        <v>-335.68269768344982</v>
      </c>
      <c r="I80" s="1962">
        <v>-238.55155096019266</v>
      </c>
    </row>
    <row r="81" spans="1:9" outlineLevel="2" x14ac:dyDescent="0.2">
      <c r="A81" s="2003" t="s">
        <v>4956</v>
      </c>
      <c r="B81" s="2003" t="s">
        <v>4957</v>
      </c>
      <c r="C81" s="2003" t="s">
        <v>2096</v>
      </c>
      <c r="D81" s="2003" t="s">
        <v>2097</v>
      </c>
      <c r="E81" s="2003" t="s">
        <v>913</v>
      </c>
      <c r="F81" s="2004">
        <v>-7014.6659499999996</v>
      </c>
      <c r="G81" s="1962">
        <v>-1962.2678510406834</v>
      </c>
      <c r="H81" s="1962">
        <v>-523.63976710100269</v>
      </c>
      <c r="I81" s="1962">
        <v>-374.1095764803253</v>
      </c>
    </row>
    <row r="82" spans="1:9" outlineLevel="2" x14ac:dyDescent="0.2">
      <c r="A82" s="2003" t="s">
        <v>4956</v>
      </c>
      <c r="B82" s="2003" t="s">
        <v>4957</v>
      </c>
      <c r="C82" s="2003" t="s">
        <v>2098</v>
      </c>
      <c r="D82" s="2003" t="s">
        <v>2099</v>
      </c>
      <c r="E82" s="2003" t="s">
        <v>1083</v>
      </c>
      <c r="F82" s="2004">
        <v>-37756.861989999998</v>
      </c>
      <c r="G82" s="1962">
        <v>-10229.80355192965</v>
      </c>
      <c r="H82" s="1962">
        <v>-2876.283348536896</v>
      </c>
      <c r="I82" s="1962">
        <v>-2044.0191243979084</v>
      </c>
    </row>
    <row r="83" spans="1:9" outlineLevel="2" x14ac:dyDescent="0.2">
      <c r="A83" s="2003" t="s">
        <v>4956</v>
      </c>
      <c r="B83" s="2003" t="s">
        <v>4957</v>
      </c>
      <c r="C83" s="2003" t="s">
        <v>2301</v>
      </c>
      <c r="D83" s="2003" t="s">
        <v>2302</v>
      </c>
      <c r="E83" s="2003" t="s">
        <v>1754</v>
      </c>
      <c r="F83" s="2004">
        <v>-5868.34458</v>
      </c>
      <c r="G83" s="1962">
        <v>-1788.8258597100505</v>
      </c>
      <c r="H83" s="1962">
        <v>-391.47654548498139</v>
      </c>
      <c r="I83" s="1962">
        <v>-250.58810756277677</v>
      </c>
    </row>
    <row r="84" spans="1:9" outlineLevel="2" x14ac:dyDescent="0.2">
      <c r="A84" s="2003" t="s">
        <v>4956</v>
      </c>
      <c r="B84" s="2003" t="s">
        <v>4957</v>
      </c>
      <c r="C84" s="2003" t="s">
        <v>2303</v>
      </c>
      <c r="D84" s="2003" t="s">
        <v>4962</v>
      </c>
      <c r="E84" s="2003" t="s">
        <v>913</v>
      </c>
      <c r="F84" s="2004">
        <v>-3978.4801299999999</v>
      </c>
      <c r="G84" s="1962">
        <v>-1112.9316364813008</v>
      </c>
      <c r="H84" s="1962">
        <v>-296.99067974707577</v>
      </c>
      <c r="I84" s="1962">
        <v>-212.18223748340998</v>
      </c>
    </row>
    <row r="85" spans="1:9" outlineLevel="2" x14ac:dyDescent="0.2">
      <c r="A85" s="2003" t="s">
        <v>4956</v>
      </c>
      <c r="B85" s="2003" t="s">
        <v>4957</v>
      </c>
      <c r="C85" s="2003" t="s">
        <v>2100</v>
      </c>
      <c r="D85" s="2003" t="s">
        <v>2101</v>
      </c>
      <c r="E85" s="2003" t="s">
        <v>913</v>
      </c>
      <c r="F85" s="2004">
        <v>-24740.68461</v>
      </c>
      <c r="G85" s="1962">
        <v>-6920.9069068983972</v>
      </c>
      <c r="H85" s="1962">
        <v>-1846.8743086903178</v>
      </c>
      <c r="I85" s="1962">
        <v>-1319.482225847177</v>
      </c>
    </row>
    <row r="86" spans="1:9" outlineLevel="2" x14ac:dyDescent="0.2">
      <c r="A86" s="2003" t="s">
        <v>4956</v>
      </c>
      <c r="B86" s="2003" t="s">
        <v>4957</v>
      </c>
      <c r="C86" s="2003" t="s">
        <v>2102</v>
      </c>
      <c r="D86" s="2003" t="s">
        <v>2103</v>
      </c>
      <c r="E86" s="2003" t="s">
        <v>1754</v>
      </c>
      <c r="F86" s="2004">
        <v>-4711.2733200000002</v>
      </c>
      <c r="G86" s="1962">
        <v>-1436.1200901018024</v>
      </c>
      <c r="H86" s="1962">
        <v>-314.28846397925042</v>
      </c>
      <c r="I86" s="1962">
        <v>-201.1792336621447</v>
      </c>
    </row>
    <row r="87" spans="1:9" outlineLevel="2" x14ac:dyDescent="0.2">
      <c r="A87" s="2003" t="s">
        <v>4956</v>
      </c>
      <c r="B87" s="2003" t="s">
        <v>4957</v>
      </c>
      <c r="C87" s="2003" t="s">
        <v>2104</v>
      </c>
      <c r="D87" s="2003" t="s">
        <v>2105</v>
      </c>
      <c r="E87" s="2003" t="s">
        <v>1754</v>
      </c>
      <c r="F87" s="2004">
        <v>-27413.230019999999</v>
      </c>
      <c r="G87" s="1962">
        <v>-8356.2739183860031</v>
      </c>
      <c r="H87" s="1962">
        <v>-1828.7332044865686</v>
      </c>
      <c r="I87" s="1962">
        <v>-1170.5906732721037</v>
      </c>
    </row>
    <row r="88" spans="1:9" outlineLevel="2" x14ac:dyDescent="0.2">
      <c r="A88" s="2003" t="s">
        <v>4956</v>
      </c>
      <c r="B88" s="2003" t="s">
        <v>4957</v>
      </c>
      <c r="C88" s="2003" t="s">
        <v>2106</v>
      </c>
      <c r="D88" s="2003" t="s">
        <v>2107</v>
      </c>
      <c r="E88" s="2003" t="s">
        <v>913</v>
      </c>
      <c r="F88" s="2004">
        <v>-5243.1829100000004</v>
      </c>
      <c r="G88" s="1962">
        <v>-1466.7169234792909</v>
      </c>
      <c r="H88" s="1962">
        <v>-391.39983249813309</v>
      </c>
      <c r="I88" s="1962">
        <v>-279.63198131608533</v>
      </c>
    </row>
    <row r="89" spans="1:9" outlineLevel="2" x14ac:dyDescent="0.2">
      <c r="A89" s="2003" t="s">
        <v>4956</v>
      </c>
      <c r="B89" s="2003" t="s">
        <v>4957</v>
      </c>
      <c r="C89" s="2003" t="s">
        <v>2108</v>
      </c>
      <c r="D89" s="2003" t="s">
        <v>2109</v>
      </c>
      <c r="E89" s="2003" t="s">
        <v>1754</v>
      </c>
      <c r="F89" s="2004">
        <v>-6346.6546900000003</v>
      </c>
      <c r="G89" s="1962">
        <v>-1934.6273684770695</v>
      </c>
      <c r="H89" s="1962">
        <v>-423.38455412024484</v>
      </c>
      <c r="I89" s="1962">
        <v>-271.01274753731684</v>
      </c>
    </row>
    <row r="90" spans="1:9" outlineLevel="2" x14ac:dyDescent="0.2">
      <c r="A90" s="2003" t="s">
        <v>4956</v>
      </c>
      <c r="B90" s="2003" t="s">
        <v>4957</v>
      </c>
      <c r="C90" s="2003" t="s">
        <v>2110</v>
      </c>
      <c r="D90" s="2003" t="s">
        <v>2111</v>
      </c>
      <c r="E90" s="2003" t="s">
        <v>913</v>
      </c>
      <c r="F90" s="2004">
        <v>-4214.6636500000004</v>
      </c>
      <c r="G90" s="1962">
        <v>-1179.0011159896765</v>
      </c>
      <c r="H90" s="1962">
        <v>-314.62160961422006</v>
      </c>
      <c r="I90" s="1962">
        <v>-224.77849185512849</v>
      </c>
    </row>
    <row r="91" spans="1:9" outlineLevel="2" x14ac:dyDescent="0.2">
      <c r="A91" s="2003" t="s">
        <v>4956</v>
      </c>
      <c r="B91" s="2003" t="s">
        <v>4957</v>
      </c>
      <c r="C91" s="2003" t="s">
        <v>2112</v>
      </c>
      <c r="D91" s="2003" t="s">
        <v>2113</v>
      </c>
      <c r="E91" s="2003" t="s">
        <v>1754</v>
      </c>
      <c r="F91" s="2004">
        <v>-2047.4642799999999</v>
      </c>
      <c r="G91" s="1962">
        <v>-624.12099374311435</v>
      </c>
      <c r="H91" s="1962">
        <v>-136.58609040614562</v>
      </c>
      <c r="I91" s="1962">
        <v>-87.430141879566193</v>
      </c>
    </row>
    <row r="92" spans="1:9" outlineLevel="2" x14ac:dyDescent="0.2">
      <c r="A92" s="2003" t="s">
        <v>4956</v>
      </c>
      <c r="B92" s="2003" t="s">
        <v>4957</v>
      </c>
      <c r="C92" s="2003" t="s">
        <v>2305</v>
      </c>
      <c r="D92" s="2003" t="s">
        <v>2306</v>
      </c>
      <c r="E92" s="2003" t="s">
        <v>1754</v>
      </c>
      <c r="F92" s="2004">
        <v>-1085.2564500000001</v>
      </c>
      <c r="G92" s="1962">
        <v>-330.81472563717921</v>
      </c>
      <c r="H92" s="1962">
        <v>-72.397324359452398</v>
      </c>
      <c r="I92" s="1962">
        <v>-46.342261658022352</v>
      </c>
    </row>
    <row r="93" spans="1:9" outlineLevel="2" x14ac:dyDescent="0.2">
      <c r="A93" s="2003" t="s">
        <v>4956</v>
      </c>
      <c r="B93" s="2003" t="s">
        <v>4957</v>
      </c>
      <c r="C93" s="2003" t="s">
        <v>2114</v>
      </c>
      <c r="D93" s="2003" t="s">
        <v>2115</v>
      </c>
      <c r="E93" s="2003" t="s">
        <v>913</v>
      </c>
      <c r="F93" s="2004">
        <v>-19288.605960000001</v>
      </c>
      <c r="G93" s="1962">
        <v>-5395.7539299073424</v>
      </c>
      <c r="H93" s="1962">
        <v>-1439.8805594723171</v>
      </c>
      <c r="I93" s="1962">
        <v>-1028.709315315504</v>
      </c>
    </row>
    <row r="94" spans="1:9" outlineLevel="2" x14ac:dyDescent="0.2">
      <c r="A94" s="2003" t="s">
        <v>4956</v>
      </c>
      <c r="B94" s="2003" t="s">
        <v>4957</v>
      </c>
      <c r="C94" s="2003" t="s">
        <v>2116</v>
      </c>
      <c r="D94" s="2003" t="s">
        <v>2117</v>
      </c>
      <c r="E94" s="2003" t="s">
        <v>1083</v>
      </c>
      <c r="F94" s="2004">
        <v>-10105.90688</v>
      </c>
      <c r="G94" s="1962">
        <v>-2738.0835336335717</v>
      </c>
      <c r="H94" s="1962">
        <v>-769.85877927320985</v>
      </c>
      <c r="I94" s="1962">
        <v>-547.09702669611079</v>
      </c>
    </row>
    <row r="95" spans="1:9" outlineLevel="2" x14ac:dyDescent="0.2">
      <c r="A95" s="2003" t="s">
        <v>4956</v>
      </c>
      <c r="B95" s="2003" t="s">
        <v>4957</v>
      </c>
      <c r="C95" s="2003" t="s">
        <v>2314</v>
      </c>
      <c r="D95" s="2003" t="s">
        <v>2315</v>
      </c>
      <c r="E95" s="2003" t="s">
        <v>1083</v>
      </c>
      <c r="F95" s="2004">
        <v>-916.17693999999995</v>
      </c>
      <c r="G95" s="1962">
        <v>-248.22799409257894</v>
      </c>
      <c r="H95" s="1962">
        <v>-69.793524619006263</v>
      </c>
      <c r="I95" s="1962">
        <v>-49.598485890812114</v>
      </c>
    </row>
    <row r="96" spans="1:9" outlineLevel="2" x14ac:dyDescent="0.2">
      <c r="A96" s="2003" t="s">
        <v>4956</v>
      </c>
      <c r="B96" s="2003" t="s">
        <v>4957</v>
      </c>
      <c r="C96" s="2003" t="s">
        <v>2316</v>
      </c>
      <c r="D96" s="2003" t="s">
        <v>2317</v>
      </c>
      <c r="E96" s="2003" t="s">
        <v>913</v>
      </c>
      <c r="F96" s="2004">
        <v>-923.24478999999997</v>
      </c>
      <c r="G96" s="1962">
        <v>-258.26654939396036</v>
      </c>
      <c r="H96" s="1962">
        <v>-68.919559428601744</v>
      </c>
      <c r="I96" s="1962">
        <v>-49.238940219892704</v>
      </c>
    </row>
    <row r="97" spans="1:9" outlineLevel="2" x14ac:dyDescent="0.2">
      <c r="A97" s="2003" t="s">
        <v>4956</v>
      </c>
      <c r="B97" s="2003" t="s">
        <v>4957</v>
      </c>
      <c r="C97" s="2003" t="s">
        <v>2118</v>
      </c>
      <c r="D97" s="2003" t="s">
        <v>2119</v>
      </c>
      <c r="E97" s="2003" t="s">
        <v>913</v>
      </c>
      <c r="F97" s="2004">
        <v>-1887.0107800000001</v>
      </c>
      <c r="G97" s="1962">
        <v>-527.86841377117946</v>
      </c>
      <c r="H97" s="1962">
        <v>-140.86399728789388</v>
      </c>
      <c r="I97" s="1962">
        <v>-100.63897678828289</v>
      </c>
    </row>
    <row r="98" spans="1:9" outlineLevel="2" x14ac:dyDescent="0.2">
      <c r="A98" s="2003" t="s">
        <v>4956</v>
      </c>
      <c r="B98" s="2003" t="s">
        <v>4957</v>
      </c>
      <c r="C98" s="2003" t="s">
        <v>2120</v>
      </c>
      <c r="D98" s="2003" t="s">
        <v>2121</v>
      </c>
      <c r="E98" s="2003" t="s">
        <v>913</v>
      </c>
      <c r="F98" s="2004">
        <v>-295.55700000000002</v>
      </c>
      <c r="G98" s="1962">
        <v>-82.678491518192871</v>
      </c>
      <c r="H98" s="1962">
        <v>-22.063117438268186</v>
      </c>
      <c r="I98" s="1962">
        <v>-15.762789687197509</v>
      </c>
    </row>
    <row r="99" spans="1:9" outlineLevel="2" x14ac:dyDescent="0.2">
      <c r="A99" s="2003" t="s">
        <v>4956</v>
      </c>
      <c r="B99" s="2003" t="s">
        <v>4957</v>
      </c>
      <c r="C99" s="2003" t="s">
        <v>2122</v>
      </c>
      <c r="D99" s="2003" t="s">
        <v>2123</v>
      </c>
      <c r="E99" s="2003" t="s">
        <v>913</v>
      </c>
      <c r="F99" s="2004">
        <v>-645.94917999999996</v>
      </c>
      <c r="G99" s="1962">
        <v>-180.69646058057711</v>
      </c>
      <c r="H99" s="1962">
        <v>-48.219641617329422</v>
      </c>
      <c r="I99" s="1962">
        <v>-34.450075866779287</v>
      </c>
    </row>
    <row r="100" spans="1:9" outlineLevel="2" x14ac:dyDescent="0.2">
      <c r="A100" s="2003" t="s">
        <v>4956</v>
      </c>
      <c r="B100" s="2003" t="s">
        <v>4957</v>
      </c>
      <c r="C100" s="2003" t="s">
        <v>2124</v>
      </c>
      <c r="D100" s="2003" t="s">
        <v>2125</v>
      </c>
      <c r="E100" s="2003" t="s">
        <v>913</v>
      </c>
      <c r="F100" s="2004">
        <v>-418.81468999999998</v>
      </c>
      <c r="G100" s="1962">
        <v>-117.15833762982969</v>
      </c>
      <c r="H100" s="1962">
        <v>-31.264215330179571</v>
      </c>
      <c r="I100" s="1962">
        <v>-22.336428764599795</v>
      </c>
    </row>
    <row r="101" spans="1:9" outlineLevel="2" x14ac:dyDescent="0.2">
      <c r="A101" s="2003" t="s">
        <v>4956</v>
      </c>
      <c r="B101" s="2003" t="s">
        <v>4957</v>
      </c>
      <c r="C101" s="2003" t="s">
        <v>2126</v>
      </c>
      <c r="D101" s="2003" t="s">
        <v>2127</v>
      </c>
      <c r="E101" s="2003" t="s">
        <v>913</v>
      </c>
      <c r="F101" s="2004">
        <v>-2852.1847299999999</v>
      </c>
      <c r="G101" s="1962">
        <v>-797.86413790782888</v>
      </c>
      <c r="H101" s="1962">
        <v>-212.91353834835658</v>
      </c>
      <c r="I101" s="1962">
        <v>-152.11410336424515</v>
      </c>
    </row>
    <row r="102" spans="1:9" outlineLevel="2" x14ac:dyDescent="0.2">
      <c r="A102" s="2003" t="s">
        <v>4956</v>
      </c>
      <c r="B102" s="2003" t="s">
        <v>4957</v>
      </c>
      <c r="C102" s="2003" t="s">
        <v>2128</v>
      </c>
      <c r="D102" s="2003" t="s">
        <v>2129</v>
      </c>
      <c r="E102" s="2003" t="s">
        <v>913</v>
      </c>
      <c r="F102" s="2004">
        <v>-523.57478000000003</v>
      </c>
      <c r="G102" s="1962">
        <v>-146.46370414968922</v>
      </c>
      <c r="H102" s="1962">
        <v>-39.084480688515001</v>
      </c>
      <c r="I102" s="1962">
        <v>-27.923544841302032</v>
      </c>
    </row>
    <row r="103" spans="1:9" outlineLevel="2" x14ac:dyDescent="0.2">
      <c r="A103" s="2003" t="s">
        <v>4956</v>
      </c>
      <c r="B103" s="2003" t="s">
        <v>4957</v>
      </c>
      <c r="C103" s="2003" t="s">
        <v>2130</v>
      </c>
      <c r="D103" s="2003" t="s">
        <v>2131</v>
      </c>
      <c r="E103" s="2003" t="s">
        <v>913</v>
      </c>
      <c r="F103" s="2004">
        <v>-847.06498999999997</v>
      </c>
      <c r="G103" s="1962">
        <v>-236.95617289075582</v>
      </c>
      <c r="H103" s="1962">
        <v>-63.232792159263575</v>
      </c>
      <c r="I103" s="1962">
        <v>-45.176082071336694</v>
      </c>
    </row>
    <row r="104" spans="1:9" outlineLevel="2" x14ac:dyDescent="0.2">
      <c r="A104" s="2003" t="s">
        <v>4956</v>
      </c>
      <c r="B104" s="2003" t="s">
        <v>4957</v>
      </c>
      <c r="C104" s="2003" t="s">
        <v>2132</v>
      </c>
      <c r="D104" s="2003" t="s">
        <v>2133</v>
      </c>
      <c r="E104" s="2003" t="s">
        <v>1754</v>
      </c>
      <c r="F104" s="2004">
        <v>-512.17435999999998</v>
      </c>
      <c r="G104" s="1962">
        <v>-156.12422334075768</v>
      </c>
      <c r="H104" s="1962">
        <v>-34.167088589535624</v>
      </c>
      <c r="I104" s="1962">
        <v>-21.870699967413355</v>
      </c>
    </row>
    <row r="105" spans="1:9" outlineLevel="2" x14ac:dyDescent="0.2">
      <c r="A105" s="2003" t="s">
        <v>4956</v>
      </c>
      <c r="B105" s="2003" t="s">
        <v>4957</v>
      </c>
      <c r="C105" s="2003" t="s">
        <v>2134</v>
      </c>
      <c r="D105" s="2003" t="s">
        <v>2135</v>
      </c>
      <c r="E105" s="2003" t="s">
        <v>913</v>
      </c>
      <c r="F105" s="2004">
        <v>-1442.65714</v>
      </c>
      <c r="G105" s="1962">
        <v>-403.56586415869145</v>
      </c>
      <c r="H105" s="1962">
        <v>-107.69331771190026</v>
      </c>
      <c r="I105" s="1962">
        <v>-76.940492319768609</v>
      </c>
    </row>
    <row r="106" spans="1:9" outlineLevel="2" x14ac:dyDescent="0.2">
      <c r="A106" s="2003" t="s">
        <v>4956</v>
      </c>
      <c r="B106" s="2003" t="s">
        <v>4957</v>
      </c>
      <c r="C106" s="2003" t="s">
        <v>2136</v>
      </c>
      <c r="D106" s="2003" t="s">
        <v>2137</v>
      </c>
      <c r="E106" s="2003" t="s">
        <v>913</v>
      </c>
      <c r="F106" s="2004">
        <v>-248.77365</v>
      </c>
      <c r="G106" s="1962">
        <v>-69.591415907844777</v>
      </c>
      <c r="H106" s="1962">
        <v>-18.570774014814827</v>
      </c>
      <c r="I106" s="1962">
        <v>-13.267717308899746</v>
      </c>
    </row>
    <row r="107" spans="1:9" outlineLevel="2" x14ac:dyDescent="0.2">
      <c r="A107" s="2003" t="s">
        <v>4956</v>
      </c>
      <c r="B107" s="2003" t="s">
        <v>4957</v>
      </c>
      <c r="C107" s="2003" t="s">
        <v>2138</v>
      </c>
      <c r="D107" s="2003" t="s">
        <v>2139</v>
      </c>
      <c r="E107" s="2003" t="s">
        <v>913</v>
      </c>
      <c r="F107" s="2004">
        <v>-67.699299999999994</v>
      </c>
      <c r="G107" s="1962">
        <v>-18.938059328107922</v>
      </c>
      <c r="H107" s="1962">
        <v>-5.0537040448663006</v>
      </c>
      <c r="I107" s="1962">
        <v>-3.6105719975182118</v>
      </c>
    </row>
    <row r="108" spans="1:9" outlineLevel="2" x14ac:dyDescent="0.2">
      <c r="A108" s="2003" t="s">
        <v>4956</v>
      </c>
      <c r="B108" s="2003" t="s">
        <v>4957</v>
      </c>
      <c r="C108" s="2003" t="s">
        <v>2140</v>
      </c>
      <c r="D108" s="2003" t="s">
        <v>4963</v>
      </c>
      <c r="E108" s="2003" t="s">
        <v>913</v>
      </c>
      <c r="F108" s="2004">
        <v>-26.47137</v>
      </c>
      <c r="G108" s="1962">
        <v>-7.4050451859368751</v>
      </c>
      <c r="H108" s="1962">
        <v>-1.976068728068864</v>
      </c>
      <c r="I108" s="1962">
        <v>-1.4117839808970503</v>
      </c>
    </row>
    <row r="109" spans="1:9" outlineLevel="2" x14ac:dyDescent="0.2">
      <c r="A109" s="2003" t="s">
        <v>4956</v>
      </c>
      <c r="B109" s="2003" t="s">
        <v>4957</v>
      </c>
      <c r="C109" s="2003" t="s">
        <v>2142</v>
      </c>
      <c r="D109" s="2003" t="s">
        <v>4964</v>
      </c>
      <c r="E109" s="2003" t="s">
        <v>913</v>
      </c>
      <c r="F109" s="2004">
        <v>-47.482320000000001</v>
      </c>
      <c r="G109" s="1962">
        <v>-13.282604003234974</v>
      </c>
      <c r="H109" s="1962">
        <v>-3.5445210311426565</v>
      </c>
      <c r="I109" s="1962">
        <v>-2.5323501863268745</v>
      </c>
    </row>
    <row r="110" spans="1:9" outlineLevel="2" x14ac:dyDescent="0.2">
      <c r="A110" s="2003" t="s">
        <v>4956</v>
      </c>
      <c r="B110" s="2003" t="s">
        <v>4957</v>
      </c>
      <c r="C110" s="2003" t="s">
        <v>2144</v>
      </c>
      <c r="D110" s="2003" t="s">
        <v>2145</v>
      </c>
      <c r="E110" s="2003" t="s">
        <v>912</v>
      </c>
      <c r="F110" s="2004">
        <v>-11.592790000000001</v>
      </c>
      <c r="G110" s="1962">
        <v>-11.592790000000001</v>
      </c>
      <c r="H110" s="1962">
        <v>0</v>
      </c>
      <c r="I110" s="1962">
        <v>0</v>
      </c>
    </row>
    <row r="111" spans="1:9" outlineLevel="2" x14ac:dyDescent="0.2">
      <c r="A111" s="2003" t="s">
        <v>4956</v>
      </c>
      <c r="B111" s="2003" t="s">
        <v>4957</v>
      </c>
      <c r="C111" s="2003" t="s">
        <v>2144</v>
      </c>
      <c r="D111" s="2003" t="s">
        <v>2145</v>
      </c>
      <c r="E111" s="2003" t="s">
        <v>906</v>
      </c>
      <c r="F111" s="2004">
        <v>-6.4503899999999996</v>
      </c>
      <c r="G111" s="1962">
        <v>-1.6666003407699415</v>
      </c>
      <c r="H111" s="1962">
        <v>-0.46062945859096599</v>
      </c>
      <c r="I111" s="1962">
        <v>-0.38065261041924464</v>
      </c>
    </row>
    <row r="112" spans="1:9" outlineLevel="2" x14ac:dyDescent="0.2">
      <c r="A112" s="2003" t="s">
        <v>4956</v>
      </c>
      <c r="B112" s="2003" t="s">
        <v>4957</v>
      </c>
      <c r="C112" s="2003" t="s">
        <v>2144</v>
      </c>
      <c r="D112" s="2003" t="s">
        <v>2145</v>
      </c>
      <c r="E112" s="2003" t="s">
        <v>1083</v>
      </c>
      <c r="F112" s="2004">
        <v>-19818.18534</v>
      </c>
      <c r="G112" s="1962">
        <v>-5369.5178067930356</v>
      </c>
      <c r="H112" s="1962">
        <v>-1509.7313041204891</v>
      </c>
      <c r="I112" s="1962">
        <v>-1072.8844430067072</v>
      </c>
    </row>
    <row r="113" spans="1:9" outlineLevel="2" x14ac:dyDescent="0.2">
      <c r="A113" s="2003" t="s">
        <v>4956</v>
      </c>
      <c r="B113" s="2003" t="s">
        <v>4957</v>
      </c>
      <c r="C113" s="2003" t="s">
        <v>2144</v>
      </c>
      <c r="D113" s="2003" t="s">
        <v>2145</v>
      </c>
      <c r="E113" s="2003" t="s">
        <v>913</v>
      </c>
      <c r="F113" s="2004">
        <v>-1391.1536000000001</v>
      </c>
      <c r="G113" s="1962">
        <v>-389.15837255792781</v>
      </c>
      <c r="H113" s="1962">
        <v>-103.84861550046037</v>
      </c>
      <c r="I113" s="1962">
        <v>-74.193680472422201</v>
      </c>
    </row>
    <row r="114" spans="1:9" outlineLevel="2" x14ac:dyDescent="0.2">
      <c r="A114" s="2003" t="s">
        <v>4956</v>
      </c>
      <c r="B114" s="2003" t="s">
        <v>4957</v>
      </c>
      <c r="C114" s="2003" t="s">
        <v>2144</v>
      </c>
      <c r="D114" s="2003" t="s">
        <v>2145</v>
      </c>
      <c r="E114" s="2003" t="s">
        <v>920</v>
      </c>
      <c r="F114" s="2004">
        <v>-0.60858999999999996</v>
      </c>
      <c r="G114" s="1962">
        <v>0</v>
      </c>
      <c r="H114" s="1962">
        <v>0</v>
      </c>
      <c r="I114" s="1962">
        <v>0</v>
      </c>
    </row>
    <row r="115" spans="1:9" outlineLevel="2" x14ac:dyDescent="0.2">
      <c r="A115" s="2003" t="s">
        <v>4956</v>
      </c>
      <c r="B115" s="2003" t="s">
        <v>4957</v>
      </c>
      <c r="C115" s="2003" t="s">
        <v>2144</v>
      </c>
      <c r="D115" s="2003" t="s">
        <v>2145</v>
      </c>
      <c r="E115" s="2003" t="s">
        <v>921</v>
      </c>
      <c r="F115" s="2004">
        <v>-0.42076000000000002</v>
      </c>
      <c r="G115" s="1962">
        <v>0</v>
      </c>
      <c r="H115" s="1962">
        <v>-0.42076000000000002</v>
      </c>
      <c r="I115" s="1962">
        <v>0</v>
      </c>
    </row>
    <row r="116" spans="1:9" outlineLevel="2" x14ac:dyDescent="0.2">
      <c r="A116" s="2003" t="s">
        <v>4956</v>
      </c>
      <c r="B116" s="2003" t="s">
        <v>4957</v>
      </c>
      <c r="C116" s="2003" t="s">
        <v>2144</v>
      </c>
      <c r="D116" s="2003" t="s">
        <v>2145</v>
      </c>
      <c r="E116" s="2003" t="s">
        <v>922</v>
      </c>
      <c r="F116" s="2004">
        <v>-25.11421</v>
      </c>
      <c r="G116" s="1962">
        <v>0</v>
      </c>
      <c r="H116" s="1962">
        <v>0</v>
      </c>
      <c r="I116" s="1962">
        <v>0</v>
      </c>
    </row>
    <row r="117" spans="1:9" outlineLevel="2" x14ac:dyDescent="0.2">
      <c r="A117" s="2003" t="s">
        <v>4956</v>
      </c>
      <c r="B117" s="2003" t="s">
        <v>4957</v>
      </c>
      <c r="C117" s="2003" t="s">
        <v>2146</v>
      </c>
      <c r="D117" s="2003" t="s">
        <v>2147</v>
      </c>
      <c r="E117" s="2003" t="s">
        <v>1083</v>
      </c>
      <c r="F117" s="2004">
        <v>-1068.8714199999999</v>
      </c>
      <c r="G117" s="1962">
        <v>-289.59887216707995</v>
      </c>
      <c r="H117" s="1962">
        <v>-81.425650995234804</v>
      </c>
      <c r="I117" s="1962">
        <v>-57.864809437314925</v>
      </c>
    </row>
    <row r="118" spans="1:9" outlineLevel="2" x14ac:dyDescent="0.2">
      <c r="A118" s="2003" t="s">
        <v>4956</v>
      </c>
      <c r="B118" s="2003" t="s">
        <v>4957</v>
      </c>
      <c r="C118" s="2003" t="s">
        <v>2146</v>
      </c>
      <c r="D118" s="2003" t="s">
        <v>2147</v>
      </c>
      <c r="E118" s="2003" t="s">
        <v>1567</v>
      </c>
      <c r="F118" s="2004">
        <v>-152.92509999999999</v>
      </c>
      <c r="G118" s="1962">
        <v>-41.433362009097323</v>
      </c>
      <c r="H118" s="1962">
        <v>-11.64969479772542</v>
      </c>
      <c r="I118" s="1962">
        <v>-8.278808474158966</v>
      </c>
    </row>
    <row r="119" spans="1:9" outlineLevel="2" x14ac:dyDescent="0.2">
      <c r="A119" s="2003" t="s">
        <v>4956</v>
      </c>
      <c r="B119" s="2003" t="s">
        <v>4957</v>
      </c>
      <c r="C119" s="2003" t="s">
        <v>2318</v>
      </c>
      <c r="D119" s="2003" t="s">
        <v>2319</v>
      </c>
      <c r="E119" s="2003" t="s">
        <v>1754</v>
      </c>
      <c r="F119" s="2004">
        <v>-4132.1965499999997</v>
      </c>
      <c r="G119" s="1962">
        <v>-1259.6022515850038</v>
      </c>
      <c r="H119" s="1962">
        <v>-275.65832384351194</v>
      </c>
      <c r="I119" s="1962">
        <v>-176.45168913069091</v>
      </c>
    </row>
    <row r="120" spans="1:9" outlineLevel="2" x14ac:dyDescent="0.2">
      <c r="A120" s="2003" t="s">
        <v>4956</v>
      </c>
      <c r="B120" s="2003" t="s">
        <v>4957</v>
      </c>
      <c r="C120" s="2003" t="s">
        <v>2148</v>
      </c>
      <c r="D120" s="2003" t="s">
        <v>2149</v>
      </c>
      <c r="E120" s="2003" t="s">
        <v>913</v>
      </c>
      <c r="F120" s="2004">
        <v>-1380.6069500000001</v>
      </c>
      <c r="G120" s="1962">
        <v>-386.20807494166314</v>
      </c>
      <c r="H120" s="1962">
        <v>-103.0613156647931</v>
      </c>
      <c r="I120" s="1962">
        <v>-73.631201404579173</v>
      </c>
    </row>
    <row r="121" spans="1:9" outlineLevel="2" x14ac:dyDescent="0.2">
      <c r="A121" s="2003" t="s">
        <v>4956</v>
      </c>
      <c r="B121" s="2003" t="s">
        <v>4957</v>
      </c>
      <c r="C121" s="2003" t="s">
        <v>2150</v>
      </c>
      <c r="D121" s="2003" t="s">
        <v>2151</v>
      </c>
      <c r="E121" s="2003" t="s">
        <v>1567</v>
      </c>
      <c r="F121" s="2004">
        <v>-3921.6873999999998</v>
      </c>
      <c r="G121" s="1962">
        <v>-1062.5377634588153</v>
      </c>
      <c r="H121" s="1962">
        <v>-298.7505733335164</v>
      </c>
      <c r="I121" s="1962">
        <v>-212.30588621568629</v>
      </c>
    </row>
    <row r="122" spans="1:9" outlineLevel="2" x14ac:dyDescent="0.2">
      <c r="A122" s="2003" t="s">
        <v>4956</v>
      </c>
      <c r="B122" s="2003" t="s">
        <v>4957</v>
      </c>
      <c r="C122" s="2003" t="s">
        <v>2152</v>
      </c>
      <c r="D122" s="2003" t="s">
        <v>2153</v>
      </c>
      <c r="E122" s="2003" t="s">
        <v>912</v>
      </c>
      <c r="F122" s="2004">
        <v>-132.43020999999999</v>
      </c>
      <c r="G122" s="1962">
        <v>-132.43020999999999</v>
      </c>
      <c r="H122" s="1962">
        <v>0</v>
      </c>
      <c r="I122" s="1962">
        <v>0</v>
      </c>
    </row>
    <row r="123" spans="1:9" outlineLevel="2" x14ac:dyDescent="0.2">
      <c r="A123" s="2003" t="s">
        <v>4956</v>
      </c>
      <c r="B123" s="2003" t="s">
        <v>4957</v>
      </c>
      <c r="C123" s="2003" t="s">
        <v>2154</v>
      </c>
      <c r="D123" s="2003" t="s">
        <v>2155</v>
      </c>
      <c r="E123" s="2003" t="s">
        <v>918</v>
      </c>
      <c r="F123" s="2004">
        <v>-507.14848000000001</v>
      </c>
      <c r="G123" s="1962">
        <v>0</v>
      </c>
      <c r="H123" s="1962">
        <v>0</v>
      </c>
      <c r="I123" s="1962">
        <v>0</v>
      </c>
    </row>
    <row r="124" spans="1:9" outlineLevel="2" x14ac:dyDescent="0.2">
      <c r="A124" s="2003" t="s">
        <v>4956</v>
      </c>
      <c r="B124" s="2003" t="s">
        <v>4957</v>
      </c>
      <c r="C124" s="2003" t="s">
        <v>2154</v>
      </c>
      <c r="D124" s="2003" t="s">
        <v>2155</v>
      </c>
      <c r="E124" s="2003" t="s">
        <v>919</v>
      </c>
      <c r="F124" s="2004">
        <v>-333.77069999999998</v>
      </c>
      <c r="G124" s="1962">
        <v>0</v>
      </c>
      <c r="H124" s="1962">
        <v>0</v>
      </c>
      <c r="I124" s="1962">
        <v>-333.77069999999998</v>
      </c>
    </row>
    <row r="125" spans="1:9" outlineLevel="2" x14ac:dyDescent="0.2">
      <c r="A125" s="2003" t="s">
        <v>4956</v>
      </c>
      <c r="B125" s="2003" t="s">
        <v>4957</v>
      </c>
      <c r="C125" s="2003" t="s">
        <v>2154</v>
      </c>
      <c r="D125" s="2003" t="s">
        <v>2155</v>
      </c>
      <c r="E125" s="2003" t="s">
        <v>912</v>
      </c>
      <c r="F125" s="2004">
        <v>-5139.4669899999999</v>
      </c>
      <c r="G125" s="1962">
        <v>-5139.4669899999999</v>
      </c>
      <c r="H125" s="1962">
        <v>0</v>
      </c>
      <c r="I125" s="1962">
        <v>0</v>
      </c>
    </row>
    <row r="126" spans="1:9" outlineLevel="2" x14ac:dyDescent="0.2">
      <c r="A126" s="2003" t="s">
        <v>4956</v>
      </c>
      <c r="B126" s="2003" t="s">
        <v>4957</v>
      </c>
      <c r="C126" s="2003" t="s">
        <v>2154</v>
      </c>
      <c r="D126" s="2003" t="s">
        <v>2155</v>
      </c>
      <c r="E126" s="2005" t="s">
        <v>913</v>
      </c>
      <c r="F126" s="2006">
        <v>-1581.9240600000001</v>
      </c>
      <c r="G126" s="1962">
        <v>-442.52018215861563</v>
      </c>
      <c r="H126" s="1962">
        <v>-118.08844801699119</v>
      </c>
      <c r="I126" s="1962">
        <v>-84.367196783842004</v>
      </c>
    </row>
    <row r="127" spans="1:9" outlineLevel="2" x14ac:dyDescent="0.2">
      <c r="A127" s="2003" t="s">
        <v>4956</v>
      </c>
      <c r="B127" s="2003" t="s">
        <v>4957</v>
      </c>
      <c r="C127" s="2003" t="s">
        <v>2154</v>
      </c>
      <c r="D127" s="2003" t="s">
        <v>2155</v>
      </c>
      <c r="E127" s="2003" t="s">
        <v>920</v>
      </c>
      <c r="F127" s="2004">
        <v>-33.126809999999999</v>
      </c>
      <c r="G127" s="1962">
        <v>0</v>
      </c>
      <c r="H127" s="1962">
        <v>0</v>
      </c>
      <c r="I127" s="1962">
        <v>0</v>
      </c>
    </row>
    <row r="128" spans="1:9" outlineLevel="2" x14ac:dyDescent="0.2">
      <c r="A128" s="2003" t="s">
        <v>4956</v>
      </c>
      <c r="B128" s="2003" t="s">
        <v>4957</v>
      </c>
      <c r="C128" s="2003" t="s">
        <v>2154</v>
      </c>
      <c r="D128" s="2003" t="s">
        <v>2155</v>
      </c>
      <c r="E128" s="2003" t="s">
        <v>921</v>
      </c>
      <c r="F128" s="2004">
        <v>-2102.9387999999999</v>
      </c>
      <c r="G128" s="1962">
        <v>0</v>
      </c>
      <c r="H128" s="1962">
        <v>-2102.9387999999999</v>
      </c>
      <c r="I128" s="1962">
        <v>0</v>
      </c>
    </row>
    <row r="129" spans="1:21" outlineLevel="2" x14ac:dyDescent="0.2">
      <c r="A129" s="2003" t="s">
        <v>4956</v>
      </c>
      <c r="B129" s="2003" t="s">
        <v>4957</v>
      </c>
      <c r="C129" s="2003" t="s">
        <v>2154</v>
      </c>
      <c r="D129" s="2003" t="s">
        <v>2155</v>
      </c>
      <c r="E129" s="2003" t="s">
        <v>922</v>
      </c>
      <c r="F129" s="2004">
        <v>-4730.6527699999997</v>
      </c>
      <c r="G129" s="1962">
        <v>0</v>
      </c>
      <c r="H129" s="1962">
        <v>0</v>
      </c>
      <c r="I129" s="1962">
        <v>0</v>
      </c>
    </row>
    <row r="130" spans="1:21" ht="13.5" outlineLevel="1" thickBot="1" x14ac:dyDescent="0.25">
      <c r="A130" s="2007" t="s">
        <v>4965</v>
      </c>
      <c r="B130" s="2007"/>
      <c r="C130" s="2007"/>
      <c r="D130" s="2007"/>
      <c r="E130" s="2008"/>
      <c r="F130" s="2009">
        <f>SUBTOTAL(9,F37:F129)</f>
        <v>-757065.06021000003</v>
      </c>
      <c r="G130" s="2009">
        <f t="shared" ref="G130:I130" si="0">SUBTOTAL(9,G37:G129)</f>
        <v>-216478.26290761563</v>
      </c>
      <c r="H130" s="2009">
        <f t="shared" si="0"/>
        <v>-56234.78995330933</v>
      </c>
      <c r="I130" s="2009">
        <f t="shared" si="0"/>
        <v>-38998.299283625987</v>
      </c>
    </row>
    <row r="131" spans="1:21" outlineLevel="2" x14ac:dyDescent="0.2">
      <c r="A131" s="2003" t="s">
        <v>4966</v>
      </c>
      <c r="B131" s="2003" t="s">
        <v>4967</v>
      </c>
      <c r="C131" s="2003" t="s">
        <v>4968</v>
      </c>
      <c r="D131" s="2003" t="s">
        <v>4969</v>
      </c>
      <c r="E131" s="2003" t="s">
        <v>913</v>
      </c>
      <c r="F131" s="2004">
        <v>10.098610000000001</v>
      </c>
      <c r="G131" s="1962">
        <v>2.8249638520844971</v>
      </c>
      <c r="H131" s="1962">
        <v>0.75385397196909387</v>
      </c>
      <c r="I131" s="1962">
        <v>0.53858398062989421</v>
      </c>
      <c r="J131" s="2201" t="s">
        <v>5587</v>
      </c>
      <c r="K131" s="2201" t="s">
        <v>12487</v>
      </c>
      <c r="L131" s="2201"/>
      <c r="M131" s="2201"/>
      <c r="N131" s="2201"/>
      <c r="O131" s="2201"/>
      <c r="P131" s="2201"/>
      <c r="Q131" s="2201"/>
      <c r="R131" s="2201"/>
      <c r="S131" s="2201"/>
      <c r="T131" s="2201"/>
      <c r="U131" s="2201"/>
    </row>
    <row r="132" spans="1:21" ht="13.5" outlineLevel="1" thickBot="1" x14ac:dyDescent="0.25">
      <c r="A132" s="2007" t="s">
        <v>4970</v>
      </c>
      <c r="B132" s="2007"/>
      <c r="C132" s="2007"/>
      <c r="D132" s="2007"/>
      <c r="E132" s="2008"/>
      <c r="F132" s="2009">
        <f>SUBTOTAL(9,F131)</f>
        <v>10.098610000000001</v>
      </c>
      <c r="G132" s="2009">
        <f t="shared" ref="G132:I132" si="1">SUBTOTAL(9,G131)</f>
        <v>2.8249638520844971</v>
      </c>
      <c r="H132" s="2009">
        <f t="shared" si="1"/>
        <v>0.75385397196909387</v>
      </c>
      <c r="I132" s="2009">
        <f t="shared" si="1"/>
        <v>0.53858398062989421</v>
      </c>
    </row>
    <row r="133" spans="1:21" ht="13.5" outlineLevel="1" thickBot="1" x14ac:dyDescent="0.25">
      <c r="A133" s="2007" t="s">
        <v>1342</v>
      </c>
      <c r="B133" s="2007"/>
      <c r="C133" s="2007"/>
      <c r="D133" s="2007"/>
      <c r="E133" s="2008"/>
      <c r="F133" s="2009">
        <f>SUBTOTAL(9,F37:F132)</f>
        <v>-757054.96160000004</v>
      </c>
      <c r="G133" s="2009">
        <f t="shared" ref="G133:I133" si="2">SUBTOTAL(9,G37:G132)</f>
        <v>-216475.43794376354</v>
      </c>
      <c r="H133" s="2009">
        <f t="shared" si="2"/>
        <v>-56234.036099337362</v>
      </c>
      <c r="I133" s="2009">
        <f t="shared" si="2"/>
        <v>-38997.760699645354</v>
      </c>
    </row>
    <row r="135" spans="1:21" ht="15.75" x14ac:dyDescent="0.25">
      <c r="C135" s="2023" t="s">
        <v>5459</v>
      </c>
      <c r="D135" s="2023" t="s">
        <v>5459</v>
      </c>
      <c r="E135" s="2023" t="s">
        <v>5459</v>
      </c>
      <c r="F135" s="2023" t="s">
        <v>5459</v>
      </c>
      <c r="G135" s="2023" t="s">
        <v>5459</v>
      </c>
      <c r="H135" s="2023" t="s">
        <v>5459</v>
      </c>
      <c r="I135" s="2023" t="s">
        <v>5459</v>
      </c>
      <c r="J135" s="2023" t="s">
        <v>5459</v>
      </c>
      <c r="K135" s="2023" t="s">
        <v>5459</v>
      </c>
      <c r="L135" s="2022" t="s">
        <v>5459</v>
      </c>
      <c r="M135" s="3846" t="s">
        <v>5732</v>
      </c>
      <c r="N135" s="3847"/>
      <c r="O135" s="3847"/>
      <c r="P135" s="3847"/>
      <c r="Q135" s="3848"/>
    </row>
    <row r="136" spans="1:21" ht="15.75" x14ac:dyDescent="0.25">
      <c r="C136" s="2023" t="s">
        <v>5459</v>
      </c>
      <c r="D136" s="2023" t="s">
        <v>5459</v>
      </c>
      <c r="E136" s="2023" t="s">
        <v>5459</v>
      </c>
      <c r="F136" s="2023" t="s">
        <v>5459</v>
      </c>
      <c r="G136" s="2023" t="s">
        <v>5459</v>
      </c>
      <c r="H136" s="2023" t="s">
        <v>5459</v>
      </c>
      <c r="I136" s="2023" t="s">
        <v>5459</v>
      </c>
      <c r="J136" s="2023" t="s">
        <v>5459</v>
      </c>
      <c r="K136" s="2023" t="s">
        <v>5459</v>
      </c>
      <c r="L136" s="2022" t="s">
        <v>5459</v>
      </c>
      <c r="M136" s="2340" t="s">
        <v>5461</v>
      </c>
      <c r="N136" s="2340" t="s">
        <v>912</v>
      </c>
      <c r="O136" s="2341" t="s">
        <v>921</v>
      </c>
      <c r="P136" s="2342" t="s">
        <v>5462</v>
      </c>
      <c r="Q136" s="2343" t="s">
        <v>5463</v>
      </c>
    </row>
    <row r="137" spans="1:21" ht="15.75" x14ac:dyDescent="0.25">
      <c r="C137" s="2097">
        <v>302</v>
      </c>
      <c r="D137" s="2098" t="s">
        <v>5741</v>
      </c>
      <c r="E137" s="2098" t="s">
        <v>5459</v>
      </c>
      <c r="F137" s="2099">
        <f>SUMIF($C$37:$C$133,"302*",F$37:F$133)</f>
        <v>-61494.142090000001</v>
      </c>
      <c r="G137" s="2099">
        <f>SUMIF($C$37:$C$133,"302*",G$37:G$133)</f>
        <v>-16390.217751335404</v>
      </c>
      <c r="H137" s="2099">
        <f>SUMIF($C$37:$C$133,"302*",H$37:H$133)</f>
        <v>-4608.3886320737101</v>
      </c>
      <c r="I137" s="2099">
        <f>SUMIF($C$37:$C$133,"302*",I$37:I$133)</f>
        <v>-4274.9327361673695</v>
      </c>
      <c r="J137" s="2023" t="s">
        <v>5459</v>
      </c>
      <c r="K137" s="2023" t="s">
        <v>5459</v>
      </c>
      <c r="L137" s="2022">
        <v>302</v>
      </c>
      <c r="M137" s="2344">
        <f t="shared" ref="M137:M141" si="3">F137/$F137</f>
        <v>1</v>
      </c>
      <c r="N137" s="2344">
        <f t="shared" ref="N137:P141" si="4">G137/$F137</f>
        <v>0.26653299313205203</v>
      </c>
      <c r="O137" s="2344">
        <f t="shared" si="4"/>
        <v>7.4940286593950439E-2</v>
      </c>
      <c r="P137" s="2344">
        <f t="shared" si="4"/>
        <v>6.9517723003774484E-2</v>
      </c>
      <c r="Q137" s="2344">
        <f t="shared" ref="Q137:Q141" si="5">SUM(N137:P137)</f>
        <v>0.41099100272977696</v>
      </c>
    </row>
    <row r="138" spans="1:21" ht="15.75" x14ac:dyDescent="0.25">
      <c r="C138" s="2105">
        <v>303</v>
      </c>
      <c r="D138" s="2106" t="s">
        <v>5742</v>
      </c>
      <c r="E138" s="2106" t="s">
        <v>5459</v>
      </c>
      <c r="F138" s="2099">
        <f>SUMIF($C$37:$C$133,"303*",F$37:F$133)</f>
        <v>-677087.77189999982</v>
      </c>
      <c r="G138" s="2099">
        <f>SUMIF($C$37:$C$133,"303*",G$37:G$133)</f>
        <v>-193311.0900106628</v>
      </c>
      <c r="H138" s="2099">
        <f>SUMIF($C$37:$C$133,"303*",H$37:H$133)</f>
        <v>-49106.623499885114</v>
      </c>
      <c r="I138" s="2099">
        <f>SUMIF($C$37:$C$133,"303*",I$37:I$133)</f>
        <v>-34092.922764459116</v>
      </c>
      <c r="J138" s="2023" t="s">
        <v>5459</v>
      </c>
      <c r="K138" s="2023" t="s">
        <v>5459</v>
      </c>
      <c r="L138" s="2022">
        <v>303</v>
      </c>
      <c r="M138" s="2344">
        <f t="shared" si="3"/>
        <v>1</v>
      </c>
      <c r="N138" s="2344">
        <f t="shared" si="4"/>
        <v>0.28550373826454695</v>
      </c>
      <c r="O138" s="2344">
        <f t="shared" si="4"/>
        <v>7.2526230036742939E-2</v>
      </c>
      <c r="P138" s="2344">
        <f t="shared" si="4"/>
        <v>5.0352294310071155E-2</v>
      </c>
      <c r="Q138" s="2344">
        <f t="shared" si="5"/>
        <v>0.40838226261136101</v>
      </c>
    </row>
    <row r="139" spans="1:21" ht="15.75" x14ac:dyDescent="0.25">
      <c r="C139" s="2298" t="s">
        <v>5743</v>
      </c>
      <c r="D139" s="2106" t="s">
        <v>5744</v>
      </c>
      <c r="E139" s="2106" t="s">
        <v>5459</v>
      </c>
      <c r="F139" s="2108">
        <f>SUM(F137:F138)</f>
        <v>-738581.9139899998</v>
      </c>
      <c r="G139" s="2108">
        <f>SUM(G137:G138)</f>
        <v>-209701.30776199821</v>
      </c>
      <c r="H139" s="2108">
        <f>SUM(H137:H138)</f>
        <v>-53715.012131958822</v>
      </c>
      <c r="I139" s="2108">
        <f>SUM(I137:I138)</f>
        <v>-38367.855500626487</v>
      </c>
      <c r="J139" s="2023" t="s">
        <v>5459</v>
      </c>
      <c r="K139" s="2023" t="s">
        <v>5459</v>
      </c>
      <c r="L139" s="2022" t="s">
        <v>5459</v>
      </c>
      <c r="M139" s="2344">
        <f t="shared" si="3"/>
        <v>1</v>
      </c>
      <c r="N139" s="2344">
        <f t="shared" si="4"/>
        <v>0.28392423885543117</v>
      </c>
      <c r="O139" s="2344">
        <f t="shared" si="4"/>
        <v>7.2727223770992735E-2</v>
      </c>
      <c r="P139" s="2344">
        <f t="shared" si="4"/>
        <v>5.1948003022919916E-2</v>
      </c>
      <c r="Q139" s="2344">
        <f t="shared" si="5"/>
        <v>0.4085994656493438</v>
      </c>
    </row>
    <row r="140" spans="1:21" ht="15.75" x14ac:dyDescent="0.25">
      <c r="C140" s="2298" t="s">
        <v>5745</v>
      </c>
      <c r="D140" s="2106" t="s">
        <v>5746</v>
      </c>
      <c r="E140" s="2106" t="s">
        <v>5459</v>
      </c>
      <c r="F140" s="2129">
        <f>SUMIF($C$37:$C$133,"33*",F$37:F$133)+SUMIF($C$37:$C$133,"34*",F$37:F$133)</f>
        <v>-4054.1176099999998</v>
      </c>
      <c r="G140" s="2129">
        <f>SUMIF($C$37:$C$133,"33*",G$37:G$133)+SUMIF($C$37:$C$133,"34*",G$37:G$133)</f>
        <v>-1194.9679734588153</v>
      </c>
      <c r="H140" s="2129">
        <f>SUMIF($C$37:$C$133,"33*",H$37:H$133)+SUMIF($C$37:$C$133,"34*",H$37:H$133)</f>
        <v>-298.7505733335164</v>
      </c>
      <c r="I140" s="2129">
        <f>SUMIF($C$37:$C$133,"33*",I$37:I$133)+SUMIF($C$37:$C$133,"34*",I$37:I$133)</f>
        <v>-212.30588621568629</v>
      </c>
      <c r="J140" s="2023" t="s">
        <v>5459</v>
      </c>
      <c r="K140" s="2023" t="s">
        <v>5459</v>
      </c>
      <c r="L140" s="2022" t="s">
        <v>5459</v>
      </c>
      <c r="M140" s="2344">
        <f t="shared" si="3"/>
        <v>1</v>
      </c>
      <c r="N140" s="2344">
        <f t="shared" si="4"/>
        <v>0.2947541458864622</v>
      </c>
      <c r="O140" s="2344">
        <f t="shared" si="4"/>
        <v>7.3690652830744205E-2</v>
      </c>
      <c r="P140" s="2344">
        <f t="shared" si="4"/>
        <v>5.2367964286977431E-2</v>
      </c>
      <c r="Q140" s="2344">
        <f t="shared" si="5"/>
        <v>0.42081276300418385</v>
      </c>
    </row>
    <row r="141" spans="1:21" ht="15.75" x14ac:dyDescent="0.25">
      <c r="C141" s="2105">
        <v>390</v>
      </c>
      <c r="D141" s="2106" t="s">
        <v>5747</v>
      </c>
      <c r="E141" s="2106" t="s">
        <v>5459</v>
      </c>
      <c r="F141" s="2099">
        <f>SUMIF($C$37:$C$133,"39*",F$37:F$133)</f>
        <v>-14429.028610000001</v>
      </c>
      <c r="G141" s="2099">
        <f>SUMIF($C$37:$C$133,"39*",G$37:G$133)</f>
        <v>-5581.9871721586151</v>
      </c>
      <c r="H141" s="2099">
        <f>SUMIF($C$37:$C$133,"39*",H$37:H$133)</f>
        <v>-2221.0272480169911</v>
      </c>
      <c r="I141" s="2099">
        <f>SUMIF($C$37:$C$133,"39*",I$37:I$133)</f>
        <v>-418.137896783842</v>
      </c>
      <c r="J141" s="2023" t="s">
        <v>5459</v>
      </c>
      <c r="K141" s="2023" t="s">
        <v>5459</v>
      </c>
      <c r="L141" s="2022">
        <v>390</v>
      </c>
      <c r="M141" s="2344">
        <f t="shared" si="3"/>
        <v>1</v>
      </c>
      <c r="N141" s="2344">
        <f t="shared" si="4"/>
        <v>0.38685814014465486</v>
      </c>
      <c r="O141" s="2344">
        <f t="shared" si="4"/>
        <v>0.15392770421688082</v>
      </c>
      <c r="P141" s="2344">
        <f t="shared" si="4"/>
        <v>2.8978936010567793E-2</v>
      </c>
      <c r="Q141" s="2344">
        <f t="shared" si="5"/>
        <v>0.56976478037210343</v>
      </c>
    </row>
    <row r="142" spans="1:21" ht="15.75" x14ac:dyDescent="0.25">
      <c r="C142" s="2105"/>
      <c r="D142" s="2106"/>
      <c r="E142" s="2106"/>
      <c r="F142" s="2129"/>
      <c r="G142" s="2129"/>
      <c r="H142" s="2129"/>
      <c r="I142" s="2129"/>
      <c r="K142" s="2023"/>
      <c r="L142" s="2022"/>
      <c r="M142" s="2344"/>
      <c r="N142" s="2344"/>
      <c r="O142" s="2344"/>
      <c r="P142" s="2344"/>
      <c r="Q142" s="2344"/>
    </row>
    <row r="143" spans="1:21" x14ac:dyDescent="0.2">
      <c r="C143" s="2105" t="s">
        <v>5459</v>
      </c>
      <c r="D143" s="2106" t="s">
        <v>197</v>
      </c>
      <c r="E143" s="2106" t="s">
        <v>5459</v>
      </c>
      <c r="F143" s="2108">
        <f>SUM(F139:F142)</f>
        <v>-757065.06020999979</v>
      </c>
      <c r="G143" s="2108">
        <f>SUM(G139:G142)</f>
        <v>-216478.26290761563</v>
      </c>
      <c r="H143" s="2108">
        <f>SUM(H139:H142)</f>
        <v>-56234.789953309322</v>
      </c>
      <c r="I143" s="2108">
        <f>SUM(I139:I142)</f>
        <v>-38998.299283626009</v>
      </c>
      <c r="J143" s="2023" t="s">
        <v>5459</v>
      </c>
      <c r="K143" s="2023" t="s">
        <v>5459</v>
      </c>
      <c r="L143" s="2023" t="s">
        <v>5459</v>
      </c>
      <c r="M143" s="2023" t="s">
        <v>5459</v>
      </c>
      <c r="N143" s="2023" t="s">
        <v>5459</v>
      </c>
      <c r="O143" s="2023" t="s">
        <v>5459</v>
      </c>
      <c r="P143" s="2023" t="s">
        <v>5459</v>
      </c>
      <c r="Q143" s="2023" t="s">
        <v>5459</v>
      </c>
    </row>
    <row r="144" spans="1:21" ht="15.75" x14ac:dyDescent="0.25">
      <c r="C144" s="2023" t="s">
        <v>5459</v>
      </c>
      <c r="D144" s="2023" t="s">
        <v>5748</v>
      </c>
      <c r="E144" s="2023" t="s">
        <v>5459</v>
      </c>
      <c r="F144" s="2190">
        <f>F143-F130</f>
        <v>0</v>
      </c>
      <c r="G144" s="2190">
        <f>G143-G130</f>
        <v>0</v>
      </c>
      <c r="H144" s="2190">
        <f>H143-H130</f>
        <v>0</v>
      </c>
      <c r="I144" s="2190">
        <f>I143-I130</f>
        <v>0</v>
      </c>
      <c r="J144" s="2023" t="s">
        <v>5459</v>
      </c>
      <c r="K144" s="2023" t="s">
        <v>5459</v>
      </c>
      <c r="L144" s="2023" t="s">
        <v>5459</v>
      </c>
      <c r="M144" s="2023" t="s">
        <v>5459</v>
      </c>
      <c r="N144" s="2023" t="s">
        <v>5459</v>
      </c>
      <c r="O144" s="2023" t="s">
        <v>5459</v>
      </c>
      <c r="P144" s="2023" t="s">
        <v>5459</v>
      </c>
      <c r="Q144" s="2023" t="s">
        <v>5459</v>
      </c>
    </row>
  </sheetData>
  <mergeCells count="1">
    <mergeCell ref="M135:Q135"/>
  </mergeCells>
  <pageMargins left="0.7" right="0.7" top="0.75" bottom="0.75" header="0.3" footer="0.3"/>
  <pageSetup scale="84" fitToHeight="0" orientation="landscape" horizontalDpi="1200" verticalDpi="1200" r:id="rId1"/>
  <customProperties>
    <customPr name="_pios_id" r:id="rId2"/>
  </customProperties>
  <drawing r:id="rId3"/>
  <legacyDrawing r:id="rId4"/>
  <oleObjects>
    <mc:AlternateContent xmlns:mc="http://schemas.openxmlformats.org/markup-compatibility/2006">
      <mc:Choice Requires="x14">
        <oleObject progId="StaticMetafile" shapeId="143361" r:id="rId5">
          <objectPr defaultSize="0" autoPict="0" r:id="rId6">
            <anchor moveWithCells="1" sizeWithCells="1">
              <from>
                <xdr:col>0</xdr:col>
                <xdr:colOff>38100</xdr:colOff>
                <xdr:row>0</xdr:row>
                <xdr:rowOff>95250</xdr:rowOff>
              </from>
              <to>
                <xdr:col>2</xdr:col>
                <xdr:colOff>381000</xdr:colOff>
                <xdr:row>3</xdr:row>
                <xdr:rowOff>9525</xdr:rowOff>
              </to>
            </anchor>
          </objectPr>
        </oleObject>
      </mc:Choice>
      <mc:Fallback>
        <oleObject progId="StaticMetafile" shapeId="143361" r:id="rId5"/>
      </mc:Fallback>
    </mc:AlternateContent>
  </oleObjects>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E284E3-3DD1-4BB3-AD4A-C07AE30DAC80}">
  <sheetPr codeName="Sheet33">
    <tabColor rgb="FF00B0F0"/>
    <pageSetUpPr fitToPage="1"/>
  </sheetPr>
  <dimension ref="A1:EA5450"/>
  <sheetViews>
    <sheetView topLeftCell="A3" zoomScaleNormal="100" zoomScaleSheetLayoutView="100" workbookViewId="0">
      <selection activeCell="W987" sqref="W987"/>
    </sheetView>
  </sheetViews>
  <sheetFormatPr defaultRowHeight="12" customHeight="1" outlineLevelRow="2" x14ac:dyDescent="0.2"/>
  <cols>
    <col min="1" max="1" width="12.75" style="1953" bestFit="1" customWidth="1"/>
    <col min="2" max="2" width="27.625" style="1953" bestFit="1" customWidth="1"/>
    <col min="3" max="3" width="14.625" style="1953" bestFit="1" customWidth="1"/>
    <col min="4" max="4" width="24.625" style="1953" bestFit="1" customWidth="1"/>
    <col min="5" max="5" width="4.5" style="1953" bestFit="1" customWidth="1"/>
    <col min="6" max="6" width="9" style="1953"/>
    <col min="7" max="7" width="8.75" style="1953" bestFit="1" customWidth="1"/>
    <col min="8" max="8" width="7.25" style="1953" bestFit="1" customWidth="1"/>
    <col min="9" max="9" width="9" style="1953"/>
    <col min="10" max="10" width="4.875" style="1953" customWidth="1"/>
    <col min="11" max="11" width="4" style="1953" customWidth="1"/>
    <col min="12" max="12" width="6.375" style="1953" customWidth="1"/>
    <col min="13" max="14" width="4.875" style="1953" customWidth="1"/>
    <col min="15" max="15" width="4" style="1953" customWidth="1"/>
    <col min="16" max="16" width="4.875" style="1953" customWidth="1"/>
    <col min="17" max="17" width="4" style="1953" customWidth="1"/>
    <col min="18" max="18" width="19.625" style="1953" customWidth="1"/>
    <col min="19" max="19" width="8.375" style="1953" customWidth="1"/>
    <col min="20" max="20" width="19.625" style="1953" customWidth="1"/>
    <col min="21" max="21" width="8.375" style="1953" customWidth="1"/>
    <col min="22" max="22" width="19.625" style="1953" customWidth="1"/>
    <col min="23" max="23" width="8.375" style="1953" customWidth="1"/>
    <col min="24" max="24" width="19.625" style="1953" customWidth="1"/>
    <col min="25" max="25" width="8.375" style="1953" customWidth="1"/>
    <col min="26" max="26" width="19.625" style="1953" customWidth="1"/>
    <col min="27" max="27" width="8.375" style="1953" customWidth="1"/>
    <col min="28" max="28" width="13.5" style="1953" customWidth="1"/>
    <col min="29" max="29" width="19.875" style="1953" customWidth="1"/>
    <col min="30" max="30" width="5.75" style="1953" customWidth="1"/>
    <col min="31" max="31" width="25.75" style="1953" customWidth="1"/>
    <col min="32" max="35" width="19.875" style="1953" customWidth="1"/>
    <col min="36" max="36" width="5.75" style="1953" customWidth="1"/>
    <col min="37" max="37" width="19.625" style="1953" customWidth="1"/>
    <col min="38" max="38" width="13" style="1953" customWidth="1"/>
    <col min="39" max="39" width="19.75" style="1953" customWidth="1"/>
    <col min="40" max="40" width="25.75" style="1953" customWidth="1"/>
    <col min="41" max="41" width="13" style="1953" customWidth="1"/>
    <col min="42" max="42" width="25.75" style="1953" customWidth="1"/>
    <col min="43" max="43" width="13" style="1953" customWidth="1"/>
    <col min="44" max="44" width="5.75" style="1953" customWidth="1"/>
    <col min="45" max="45" width="13" style="1953" customWidth="1"/>
    <col min="46" max="46" width="5.75" style="1953" customWidth="1"/>
    <col min="47" max="47" width="19.625" style="1953" customWidth="1"/>
    <col min="48" max="48" width="13" style="1953" customWidth="1"/>
    <col min="49" max="49" width="5.5" style="1953" customWidth="1"/>
    <col min="50" max="50" width="19.625" style="1953" customWidth="1"/>
    <col min="51" max="51" width="19.375" style="1953" customWidth="1"/>
    <col min="52" max="52" width="9.375" style="1953" customWidth="1"/>
    <col min="53" max="53" width="5.5" style="1953" customWidth="1"/>
    <col min="54" max="54" width="4.25" style="1953" customWidth="1"/>
    <col min="55" max="55" width="9.375" style="1953" customWidth="1"/>
    <col min="56" max="56" width="10.375" style="1953" customWidth="1"/>
    <col min="57" max="58" width="9.375" style="1953" customWidth="1"/>
    <col min="59" max="59" width="8.375" style="1953" customWidth="1"/>
    <col min="60" max="60" width="4.875" style="1953" customWidth="1"/>
    <col min="61" max="61" width="4" style="1953" customWidth="1"/>
    <col min="62" max="62" width="5.25" style="1953" customWidth="1"/>
    <col min="63" max="63" width="4.625" style="1953" customWidth="1"/>
    <col min="64" max="64" width="5.25" style="1953" customWidth="1"/>
    <col min="65" max="65" width="4.625" style="1953" customWidth="1"/>
    <col min="66" max="66" width="5.25" style="1953" customWidth="1"/>
    <col min="67" max="67" width="4.625" style="1953" customWidth="1"/>
    <col min="68" max="68" width="5.25" style="1953" customWidth="1"/>
    <col min="69" max="69" width="4.625" style="1953" customWidth="1"/>
    <col min="70" max="70" width="5.25" style="1953" customWidth="1"/>
    <col min="71" max="71" width="4.625" style="1953" customWidth="1"/>
    <col min="72" max="72" width="5.25" style="1953" customWidth="1"/>
    <col min="73" max="73" width="4.625" style="1953" customWidth="1"/>
    <col min="74" max="74" width="5.25" style="1953" customWidth="1"/>
    <col min="75" max="75" width="4.625" style="1953" customWidth="1"/>
    <col min="76" max="76" width="5.25" style="1953" customWidth="1"/>
    <col min="77" max="77" width="4.625" style="1953" customWidth="1"/>
    <col min="78" max="78" width="5.25" style="1953" customWidth="1"/>
    <col min="79" max="79" width="4.625" style="1953" customWidth="1"/>
    <col min="80" max="80" width="5.25" style="1953" customWidth="1"/>
    <col min="81" max="81" width="4.625" style="1953" customWidth="1"/>
    <col min="82" max="82" width="5.25" style="1953" customWidth="1"/>
    <col min="83" max="83" width="4.625" style="1953" customWidth="1"/>
    <col min="84" max="84" width="5.25" style="1953" customWidth="1"/>
    <col min="85" max="85" width="4.625" style="1953" customWidth="1"/>
    <col min="86" max="86" width="5.25" style="1953" customWidth="1"/>
    <col min="87" max="87" width="4.625" style="1953" customWidth="1"/>
    <col min="88" max="88" width="5.25" style="1953" customWidth="1"/>
    <col min="89" max="89" width="4.625" style="1953" customWidth="1"/>
    <col min="90" max="90" width="5.25" style="1953" customWidth="1"/>
    <col min="91" max="91" width="4.625" style="1953" customWidth="1"/>
    <col min="92" max="92" width="5.25" style="1953" customWidth="1"/>
    <col min="93" max="93" width="4.625" style="1953" customWidth="1"/>
    <col min="94" max="94" width="5.25" style="1953" customWidth="1"/>
    <col min="95" max="95" width="4.625" style="1953" customWidth="1"/>
    <col min="96" max="96" width="5.25" style="1953" customWidth="1"/>
    <col min="97" max="97" width="4.625" style="1953" customWidth="1"/>
    <col min="98" max="98" width="5.25" style="1953" customWidth="1"/>
    <col min="99" max="99" width="4.625" style="1953" customWidth="1"/>
    <col min="100" max="100" width="5.25" style="1953" customWidth="1"/>
    <col min="101" max="101" width="4.625" style="1953" customWidth="1"/>
    <col min="102" max="102" width="5.25" style="1953" customWidth="1"/>
    <col min="103" max="103" width="4.625" style="1953" customWidth="1"/>
    <col min="104" max="104" width="5.25" style="1953" customWidth="1"/>
    <col min="105" max="105" width="4.625" style="1953" customWidth="1"/>
    <col min="106" max="106" width="5.25" style="1953" customWidth="1"/>
    <col min="107" max="107" width="4.625" style="1953" customWidth="1"/>
    <col min="108" max="108" width="5.25" style="1953" customWidth="1"/>
    <col min="109" max="109" width="4.625" style="1953" customWidth="1"/>
    <col min="110" max="110" width="5.25" style="1953" customWidth="1"/>
    <col min="111" max="111" width="4.625" style="1953" customWidth="1"/>
    <col min="112" max="112" width="5.25" style="1953" customWidth="1"/>
    <col min="113" max="113" width="4.625" style="1953" customWidth="1"/>
    <col min="114" max="114" width="5.25" style="1953" customWidth="1"/>
    <col min="115" max="115" width="4.625" style="1953" customWidth="1"/>
    <col min="116" max="116" width="7.125" style="1953" customWidth="1"/>
    <col min="117" max="117" width="6" style="1953" customWidth="1"/>
    <col min="118" max="118" width="5.25" style="1953" customWidth="1"/>
    <col min="119" max="119" width="4.625" style="1953" customWidth="1"/>
    <col min="120" max="120" width="5.25" style="1953" customWidth="1"/>
    <col min="121" max="121" width="4.625" style="1953" customWidth="1"/>
    <col min="122" max="122" width="5.25" style="1953" customWidth="1"/>
    <col min="123" max="123" width="4.625" style="1953" customWidth="1"/>
    <col min="124" max="124" width="5.25" style="1953" customWidth="1"/>
    <col min="125" max="125" width="4.625" style="1953" customWidth="1"/>
    <col min="126" max="126" width="5.25" style="1953" customWidth="1"/>
    <col min="127" max="127" width="4.625" style="1953" customWidth="1"/>
    <col min="128" max="128" width="5.25" style="1953" customWidth="1"/>
    <col min="129" max="129" width="4.625" style="1953" customWidth="1"/>
    <col min="130" max="130" width="5.25" style="1953" customWidth="1"/>
    <col min="131" max="131" width="4.625" style="1953" customWidth="1"/>
    <col min="132" max="16384" width="9" style="1953"/>
  </cols>
  <sheetData>
    <row r="1" spans="1:130" s="1946" customFormat="1" ht="39.950000000000003" hidden="1" customHeight="1" x14ac:dyDescent="0.2">
      <c r="AU1" s="1947"/>
    </row>
    <row r="2" spans="1:130" s="1946" customFormat="1" ht="42" hidden="1" customHeight="1" x14ac:dyDescent="0.2"/>
    <row r="3" spans="1:130" ht="35.25" customHeight="1" x14ac:dyDescent="0.2">
      <c r="D3" s="1951"/>
      <c r="F3" s="1951"/>
      <c r="G3" s="1951"/>
      <c r="I3" s="1951"/>
      <c r="AE3" s="1951"/>
      <c r="AK3" s="1951"/>
      <c r="AN3" s="1951"/>
      <c r="AP3" s="1951"/>
      <c r="AU3" s="1952"/>
      <c r="AW3" s="1951"/>
      <c r="AY3" s="1951"/>
      <c r="BA3" s="1951"/>
      <c r="BC3" s="1951"/>
      <c r="BE3" s="1951"/>
      <c r="BG3" s="1951"/>
      <c r="BI3" s="1951"/>
    </row>
    <row r="4" spans="1:130" ht="12" customHeight="1" x14ac:dyDescent="0.25">
      <c r="A4" s="1990"/>
      <c r="D4" s="1952"/>
      <c r="F4" s="1952"/>
      <c r="G4" s="1952"/>
      <c r="I4" s="1952"/>
      <c r="AU4" s="1952"/>
      <c r="BK4" s="1951"/>
    </row>
    <row r="5" spans="1:130" ht="12" customHeight="1" x14ac:dyDescent="0.2">
      <c r="A5" s="1950" t="s">
        <v>4971</v>
      </c>
      <c r="B5" s="1951"/>
      <c r="C5" s="1951"/>
      <c r="D5" s="1952"/>
      <c r="E5" s="1951"/>
      <c r="F5" s="1952"/>
      <c r="G5" s="1952"/>
      <c r="H5" s="1951"/>
      <c r="I5" s="1952"/>
      <c r="J5" s="1951"/>
      <c r="K5" s="1951"/>
      <c r="L5" s="1951"/>
      <c r="M5" s="1951"/>
      <c r="N5" s="1951"/>
      <c r="O5" s="1951"/>
      <c r="P5" s="1951"/>
      <c r="Q5" s="1951"/>
      <c r="R5" s="1951"/>
      <c r="S5" s="1951"/>
      <c r="T5" s="1951"/>
      <c r="U5" s="1951"/>
      <c r="V5" s="1951"/>
      <c r="W5" s="1951"/>
      <c r="X5" s="1951"/>
      <c r="Y5" s="1951"/>
      <c r="Z5" s="1951"/>
      <c r="AA5" s="1951"/>
      <c r="AB5" s="1951"/>
      <c r="AC5" s="1951"/>
      <c r="AD5" s="1951"/>
      <c r="AF5" s="1951"/>
      <c r="AG5" s="1951"/>
      <c r="AH5" s="1951"/>
      <c r="AI5" s="1951"/>
      <c r="AJ5" s="1951"/>
      <c r="AL5" s="1951"/>
      <c r="AM5" s="1951"/>
      <c r="AO5" s="1951"/>
      <c r="AQ5" s="1951"/>
      <c r="AR5" s="1951"/>
      <c r="AS5" s="1951"/>
      <c r="AT5" s="1951"/>
      <c r="AU5" s="1952"/>
      <c r="AV5" s="1951"/>
      <c r="AX5" s="1951"/>
      <c r="AZ5" s="1951"/>
      <c r="BB5" s="1951"/>
      <c r="BD5" s="1951"/>
      <c r="BF5" s="1951"/>
      <c r="BH5" s="1951"/>
      <c r="BJ5" s="1951"/>
      <c r="BL5" s="1951"/>
      <c r="BM5" s="1951"/>
      <c r="BN5" s="1951"/>
      <c r="BO5" s="1951"/>
      <c r="BP5" s="1951"/>
      <c r="BQ5" s="1951"/>
      <c r="BR5" s="1951"/>
      <c r="BS5" s="1951"/>
      <c r="BT5" s="1951"/>
      <c r="BU5" s="1951"/>
      <c r="BV5" s="1951"/>
      <c r="BW5" s="1951"/>
      <c r="BX5" s="1951"/>
      <c r="BY5" s="1951"/>
      <c r="BZ5" s="1951"/>
      <c r="CA5" s="1951"/>
    </row>
    <row r="6" spans="1:130" ht="12" customHeight="1" x14ac:dyDescent="0.2">
      <c r="A6" s="1952" t="s">
        <v>2260</v>
      </c>
      <c r="B6" s="1952"/>
      <c r="C6" s="1952"/>
      <c r="D6" s="1952"/>
      <c r="E6" s="1952"/>
      <c r="F6" s="1952"/>
      <c r="G6" s="1952"/>
      <c r="H6" s="1952"/>
      <c r="I6" s="1952"/>
      <c r="AU6" s="1952"/>
    </row>
    <row r="7" spans="1:130" ht="12" customHeight="1" x14ac:dyDescent="0.2">
      <c r="A7" s="1952" t="s">
        <v>875</v>
      </c>
      <c r="B7" s="1952"/>
      <c r="C7" s="1952"/>
      <c r="E7" s="1952"/>
      <c r="H7" s="1952"/>
      <c r="AU7" s="1952"/>
    </row>
    <row r="8" spans="1:130" ht="12" customHeight="1" x14ac:dyDescent="0.2">
      <c r="A8" s="1952" t="s">
        <v>876</v>
      </c>
      <c r="B8" s="1952"/>
      <c r="C8" s="1952"/>
      <c r="D8" s="1952"/>
      <c r="E8" s="1952"/>
      <c r="F8" s="1952"/>
      <c r="G8" s="1952"/>
      <c r="H8" s="1952"/>
      <c r="I8" s="1952"/>
      <c r="AE8" s="1952"/>
      <c r="AK8" s="1952"/>
      <c r="AN8" s="1952"/>
      <c r="AP8" s="1952"/>
      <c r="AU8" s="1952"/>
      <c r="AW8" s="1952"/>
      <c r="AY8" s="1952"/>
      <c r="BA8" s="1952"/>
      <c r="BC8" s="1952"/>
      <c r="BE8" s="1952"/>
      <c r="BG8" s="1952"/>
      <c r="BI8" s="1952"/>
    </row>
    <row r="9" spans="1:130" ht="12" customHeight="1" x14ac:dyDescent="0.2">
      <c r="D9" s="1956"/>
      <c r="F9" s="1956"/>
      <c r="G9" s="1956"/>
      <c r="I9" s="1956"/>
      <c r="AE9" s="1956"/>
      <c r="AK9" s="1956"/>
      <c r="AN9" s="1956"/>
      <c r="AP9" s="1956"/>
      <c r="AU9" s="1952"/>
      <c r="AW9" s="1952"/>
      <c r="AY9" s="1952"/>
      <c r="BA9" s="1952"/>
      <c r="BC9" s="1952"/>
      <c r="BE9" s="1952"/>
      <c r="BG9" s="1952"/>
      <c r="BI9" s="1952"/>
      <c r="BK9" s="1952"/>
    </row>
    <row r="10" spans="1:130" s="1946" customFormat="1" ht="12" hidden="1" customHeight="1" outlineLevel="1" x14ac:dyDescent="0.2">
      <c r="A10" s="1951" t="s">
        <v>877</v>
      </c>
      <c r="B10" s="1952" t="s">
        <v>2411</v>
      </c>
      <c r="AA10" s="1952"/>
      <c r="AB10" s="1952"/>
      <c r="AC10" s="1952"/>
      <c r="AD10" s="1952"/>
      <c r="AE10" s="1952"/>
      <c r="AH10" s="1952"/>
      <c r="AI10" s="1952"/>
      <c r="AJ10" s="1952"/>
      <c r="CD10" s="1952"/>
      <c r="CE10" s="1952"/>
      <c r="CF10" s="1952"/>
      <c r="CG10" s="1952"/>
      <c r="CH10" s="1952"/>
      <c r="CI10" s="1952"/>
      <c r="CJ10" s="1952"/>
      <c r="CK10" s="1952"/>
      <c r="CL10" s="1952"/>
      <c r="CM10" s="1952"/>
      <c r="CN10" s="1952"/>
      <c r="CO10" s="1952"/>
      <c r="CP10" s="1952"/>
      <c r="CQ10" s="1952"/>
      <c r="CR10" s="1952"/>
      <c r="CS10" s="1952"/>
      <c r="CT10" s="1952"/>
      <c r="CU10" s="1952"/>
      <c r="CV10" s="1952"/>
      <c r="CW10" s="1952"/>
      <c r="CX10" s="1952"/>
      <c r="CY10" s="1952"/>
      <c r="CZ10" s="1952"/>
      <c r="DA10" s="1952"/>
      <c r="DB10" s="1952"/>
      <c r="DC10" s="1952"/>
      <c r="DD10" s="1952"/>
      <c r="DE10" s="1952"/>
      <c r="DF10" s="1952"/>
      <c r="DG10" s="1952"/>
      <c r="DH10" s="1952"/>
      <c r="DI10" s="1952"/>
      <c r="DJ10" s="1952"/>
      <c r="DK10" s="1952"/>
      <c r="DL10" s="1952"/>
      <c r="DM10" s="1952"/>
      <c r="DN10" s="1955"/>
      <c r="DO10" s="1955"/>
      <c r="DP10" s="1955"/>
      <c r="DQ10" s="1955"/>
      <c r="DR10" s="1955"/>
      <c r="DS10" s="1955"/>
      <c r="DT10" s="1955"/>
      <c r="DU10" s="1955"/>
      <c r="DV10" s="1955"/>
      <c r="DW10" s="1955"/>
      <c r="DX10" s="1955"/>
      <c r="DY10" s="1955"/>
      <c r="DZ10" s="1955"/>
    </row>
    <row r="11" spans="1:130" s="1946" customFormat="1" ht="12" hidden="1" customHeight="1" outlineLevel="1" x14ac:dyDescent="0.2">
      <c r="A11" s="1951" t="s">
        <v>879</v>
      </c>
      <c r="B11" s="1956">
        <v>45394.646224247685</v>
      </c>
      <c r="AA11" s="1956"/>
      <c r="AB11" s="1956"/>
      <c r="AC11" s="1956"/>
      <c r="AD11" s="1956"/>
      <c r="AE11" s="1956"/>
      <c r="AH11" s="1956"/>
      <c r="AI11" s="1956"/>
      <c r="AJ11" s="1956"/>
      <c r="CD11" s="1952"/>
      <c r="CE11" s="1952"/>
      <c r="CF11" s="1952"/>
      <c r="CG11" s="1952"/>
      <c r="CH11" s="1952"/>
      <c r="CI11" s="1952"/>
      <c r="CJ11" s="1952"/>
      <c r="CK11" s="1952"/>
      <c r="CL11" s="1952"/>
      <c r="CM11" s="1952"/>
      <c r="CN11" s="1952"/>
      <c r="CO11" s="1952"/>
      <c r="CP11" s="1952"/>
      <c r="CQ11" s="1952"/>
      <c r="CR11" s="1952"/>
      <c r="CS11" s="1952"/>
      <c r="CT11" s="1952"/>
      <c r="CU11" s="1952"/>
      <c r="CV11" s="1952"/>
      <c r="CW11" s="1952"/>
      <c r="CX11" s="1952"/>
      <c r="CY11" s="1952"/>
      <c r="CZ11" s="1952"/>
      <c r="DA11" s="1952"/>
      <c r="DB11" s="1952"/>
      <c r="DC11" s="1952"/>
      <c r="DD11" s="1952"/>
      <c r="DE11" s="1952"/>
      <c r="DF11" s="1952"/>
      <c r="DG11" s="1952"/>
      <c r="DH11" s="1952"/>
      <c r="DI11" s="1952"/>
      <c r="DJ11" s="1952"/>
      <c r="DK11" s="1952"/>
      <c r="DL11" s="1952"/>
      <c r="DM11" s="1952"/>
      <c r="DN11" s="1955"/>
      <c r="DO11" s="1955"/>
      <c r="DP11" s="1955"/>
      <c r="DQ11" s="1955"/>
      <c r="DR11" s="1955"/>
      <c r="DS11" s="1955"/>
      <c r="DT11" s="1955"/>
      <c r="DU11" s="1955"/>
      <c r="DV11" s="1955"/>
      <c r="DW11" s="1955"/>
      <c r="DX11" s="1955"/>
      <c r="DY11" s="1955"/>
      <c r="DZ11" s="1955"/>
    </row>
    <row r="12" spans="1:130" s="1946" customFormat="1" ht="12" hidden="1" customHeight="1" outlineLevel="1" x14ac:dyDescent="0.2">
      <c r="AU12" s="1948"/>
      <c r="AW12" s="1948"/>
      <c r="AY12" s="1948"/>
      <c r="BA12" s="1948"/>
      <c r="BC12" s="1948"/>
      <c r="BE12" s="1948"/>
      <c r="BG12" s="1948"/>
      <c r="BI12" s="1948"/>
      <c r="BK12" s="1948"/>
    </row>
    <row r="13" spans="1:130" s="1946" customFormat="1" ht="12" hidden="1" customHeight="1" outlineLevel="1" x14ac:dyDescent="0.2">
      <c r="A13" s="1953"/>
      <c r="B13" s="1953"/>
      <c r="Y13" s="1953"/>
      <c r="Z13" s="1953"/>
      <c r="AA13" s="1953"/>
      <c r="AB13" s="1953"/>
      <c r="AC13" s="1953"/>
      <c r="AF13" s="1953"/>
      <c r="AG13" s="1953"/>
      <c r="AH13" s="1953"/>
      <c r="AI13" s="1953"/>
      <c r="AL13" s="1953"/>
      <c r="AQ13" s="1953"/>
      <c r="AS13" s="1953"/>
      <c r="AT13" s="1948"/>
      <c r="AU13" s="1947"/>
      <c r="AV13" s="1948"/>
      <c r="AW13" s="1948"/>
      <c r="AX13" s="1948"/>
      <c r="AY13" s="1948"/>
      <c r="AZ13" s="1948"/>
      <c r="BA13" s="1948"/>
      <c r="BB13" s="1948"/>
      <c r="BC13" s="1948"/>
      <c r="BD13" s="1948"/>
      <c r="BE13" s="1948"/>
      <c r="BF13" s="1948"/>
      <c r="BG13" s="1948"/>
      <c r="BH13" s="1948"/>
      <c r="BI13" s="1948"/>
      <c r="BJ13" s="1948"/>
      <c r="BK13" s="1948"/>
      <c r="BL13" s="1948"/>
      <c r="BM13" s="1948"/>
      <c r="BN13" s="1948"/>
      <c r="BO13" s="1948"/>
      <c r="BP13" s="1948"/>
      <c r="BQ13" s="1948"/>
      <c r="BR13" s="1948"/>
      <c r="BS13" s="1948"/>
      <c r="BT13" s="1948"/>
      <c r="BU13" s="1948"/>
      <c r="BV13" s="1948"/>
      <c r="BW13" s="1948"/>
      <c r="BX13" s="1948"/>
      <c r="BY13" s="1948"/>
      <c r="BZ13" s="1948"/>
      <c r="CA13" s="1948"/>
    </row>
    <row r="14" spans="1:130" s="1946" customFormat="1" ht="12" hidden="1" customHeight="1" outlineLevel="1" x14ac:dyDescent="0.2">
      <c r="A14" s="1953"/>
      <c r="B14" s="1953"/>
      <c r="Y14" s="1953"/>
      <c r="Z14" s="1953"/>
      <c r="AA14" s="1953"/>
      <c r="AB14" s="1953"/>
      <c r="AC14" s="1953"/>
      <c r="AF14" s="1953"/>
      <c r="AG14" s="1953"/>
      <c r="AH14" s="1953"/>
      <c r="AI14" s="1953"/>
      <c r="AL14" s="1953"/>
      <c r="AQ14" s="1953"/>
      <c r="AS14" s="1953"/>
      <c r="AT14" s="1948"/>
      <c r="AU14" s="1948"/>
      <c r="AV14" s="1948"/>
      <c r="AW14" s="1948"/>
      <c r="AX14" s="1948"/>
      <c r="AY14" s="1948"/>
      <c r="AZ14" s="1948"/>
      <c r="BA14" s="1948"/>
      <c r="BB14" s="1948"/>
      <c r="BC14" s="1948"/>
      <c r="BD14" s="1948"/>
      <c r="BE14" s="1948"/>
      <c r="BF14" s="1948"/>
      <c r="BG14" s="1948"/>
      <c r="BH14" s="1948"/>
      <c r="BI14" s="1948"/>
      <c r="BJ14" s="1948"/>
      <c r="BK14" s="1948"/>
      <c r="BL14" s="1948"/>
      <c r="BM14" s="1948"/>
      <c r="BN14" s="1948"/>
      <c r="BO14" s="1948"/>
      <c r="BP14" s="1948"/>
      <c r="BQ14" s="1948"/>
      <c r="BR14" s="1948"/>
      <c r="BS14" s="1948"/>
      <c r="BT14" s="1948"/>
      <c r="BU14" s="1948"/>
      <c r="BV14" s="1948"/>
      <c r="BW14" s="1948"/>
      <c r="BX14" s="1948"/>
      <c r="BY14" s="1948"/>
      <c r="BZ14" s="1948"/>
      <c r="CA14" s="1948"/>
    </row>
    <row r="15" spans="1:130" ht="12" hidden="1" customHeight="1" outlineLevel="1" x14ac:dyDescent="0.2">
      <c r="C15" s="1946"/>
      <c r="D15" s="1946"/>
      <c r="E15" s="1946"/>
      <c r="F15" s="1946"/>
      <c r="G15" s="1946"/>
      <c r="H15" s="1946"/>
      <c r="I15" s="1946"/>
      <c r="J15" s="1946"/>
      <c r="K15" s="1946"/>
      <c r="L15" s="1946"/>
      <c r="M15" s="1946"/>
      <c r="N15" s="1946"/>
      <c r="O15" s="1946"/>
      <c r="P15" s="1946"/>
      <c r="Q15" s="1946"/>
      <c r="R15" s="1946"/>
      <c r="S15" s="1946"/>
      <c r="T15" s="1946"/>
      <c r="U15" s="1946"/>
      <c r="V15" s="1946"/>
      <c r="W15" s="1946"/>
      <c r="X15" s="1946"/>
      <c r="AD15" s="1946"/>
      <c r="AE15" s="1946"/>
      <c r="AJ15" s="1946"/>
      <c r="AK15" s="1946"/>
      <c r="AM15" s="1946"/>
      <c r="AN15" s="1946"/>
      <c r="AO15" s="1946"/>
      <c r="AP15" s="1946"/>
      <c r="AR15" s="1946"/>
      <c r="AT15" s="1948"/>
      <c r="AU15" s="1948"/>
      <c r="AV15" s="1952"/>
      <c r="AW15" s="1952"/>
      <c r="AX15" s="1952"/>
      <c r="AY15" s="1952"/>
      <c r="AZ15" s="1952"/>
      <c r="BA15" s="1952"/>
      <c r="BB15" s="1952"/>
      <c r="BC15" s="1952"/>
      <c r="BD15" s="1952"/>
      <c r="BE15" s="1952"/>
      <c r="BF15" s="1952"/>
      <c r="BG15" s="1952"/>
      <c r="BH15" s="1952"/>
      <c r="BI15" s="1952"/>
    </row>
    <row r="16" spans="1:130" s="1946" customFormat="1" ht="12" hidden="1" customHeight="1" outlineLevel="1" x14ac:dyDescent="0.2">
      <c r="A16" s="1953"/>
      <c r="B16" s="1953"/>
      <c r="Y16" s="1953"/>
      <c r="Z16" s="1953"/>
      <c r="AA16" s="1953"/>
      <c r="AB16" s="1953"/>
      <c r="AC16" s="1953"/>
      <c r="AF16" s="1953"/>
      <c r="AG16" s="1953"/>
      <c r="AH16" s="1953"/>
      <c r="AI16" s="1953"/>
      <c r="AL16" s="1953"/>
      <c r="AQ16" s="1953"/>
      <c r="AS16" s="1953"/>
      <c r="AT16" s="1948"/>
      <c r="AU16" s="1948"/>
      <c r="AV16" s="1948"/>
      <c r="AW16" s="1948"/>
      <c r="AX16" s="1948"/>
      <c r="AY16" s="1948"/>
      <c r="AZ16" s="1948"/>
      <c r="BA16" s="1948"/>
      <c r="BB16" s="1948"/>
      <c r="BC16" s="1948"/>
      <c r="BD16" s="1948"/>
      <c r="BE16" s="1948"/>
      <c r="BF16" s="1948"/>
      <c r="BG16" s="1948"/>
      <c r="BH16" s="1948"/>
      <c r="BI16" s="1948"/>
      <c r="BJ16" s="1948"/>
      <c r="BK16" s="1948"/>
      <c r="BL16" s="1948"/>
      <c r="BM16" s="1948"/>
      <c r="BN16" s="1948"/>
      <c r="BO16" s="1948"/>
      <c r="BP16" s="1948"/>
      <c r="BQ16" s="1948"/>
      <c r="BR16" s="1948"/>
      <c r="BS16" s="1948"/>
      <c r="BT16" s="1948"/>
      <c r="BU16" s="1948"/>
      <c r="BV16" s="1948"/>
      <c r="BW16" s="1948"/>
      <c r="BX16" s="1948"/>
      <c r="BY16" s="1948"/>
      <c r="BZ16" s="1948"/>
      <c r="CA16" s="1948"/>
    </row>
    <row r="17" spans="1:131" s="1946" customFormat="1" ht="12" hidden="1" customHeight="1" outlineLevel="1" x14ac:dyDescent="0.2">
      <c r="A17" s="1953"/>
      <c r="B17" s="1953"/>
      <c r="Y17" s="1953"/>
      <c r="Z17" s="1953"/>
      <c r="AA17" s="1953"/>
      <c r="AB17" s="1953"/>
      <c r="AC17" s="1953"/>
      <c r="AF17" s="1953"/>
      <c r="AG17" s="1953"/>
      <c r="AH17" s="1953"/>
      <c r="AI17" s="1953"/>
      <c r="AL17" s="1953"/>
      <c r="AQ17" s="1953"/>
      <c r="AS17" s="1953"/>
      <c r="AT17" s="1948"/>
      <c r="AU17" s="1948"/>
      <c r="AV17" s="1948"/>
      <c r="AW17" s="1948"/>
      <c r="AX17" s="1948"/>
      <c r="AY17" s="1948"/>
      <c r="AZ17" s="1948"/>
      <c r="BA17" s="1948"/>
      <c r="BB17" s="1948"/>
      <c r="BC17" s="1948"/>
      <c r="BD17" s="1948"/>
      <c r="BE17" s="1948"/>
      <c r="BF17" s="1948"/>
      <c r="BG17" s="1948"/>
      <c r="BH17" s="1948"/>
      <c r="BI17" s="1948"/>
      <c r="BJ17" s="1948"/>
      <c r="BK17" s="1948"/>
      <c r="BL17" s="1948"/>
      <c r="BM17" s="1948"/>
      <c r="BN17" s="1948"/>
      <c r="BO17" s="1948"/>
      <c r="BP17" s="1948"/>
      <c r="BQ17" s="1948"/>
      <c r="BR17" s="1948"/>
      <c r="BS17" s="1948"/>
      <c r="BT17" s="1948"/>
      <c r="BU17" s="1948"/>
      <c r="BV17" s="1948"/>
      <c r="BW17" s="1948"/>
      <c r="BX17" s="1948"/>
      <c r="BY17" s="1948"/>
      <c r="BZ17" s="1948"/>
      <c r="CA17" s="1948"/>
    </row>
    <row r="18" spans="1:131" s="1946" customFormat="1" ht="12" hidden="1" customHeight="1" outlineLevel="1" x14ac:dyDescent="0.2">
      <c r="A18" s="1953"/>
      <c r="B18" s="1953"/>
      <c r="Y18" s="1953"/>
      <c r="Z18" s="1953"/>
      <c r="AA18" s="1953"/>
      <c r="AB18" s="1953"/>
      <c r="AC18" s="1953"/>
      <c r="AF18" s="1953"/>
      <c r="AG18" s="1953"/>
      <c r="AH18" s="1953"/>
      <c r="AI18" s="1953"/>
      <c r="AL18" s="1953"/>
      <c r="AQ18" s="1953"/>
      <c r="AS18" s="1953"/>
      <c r="AT18" s="1948"/>
      <c r="AU18" s="1948"/>
      <c r="AV18" s="1948"/>
      <c r="AW18" s="1948"/>
      <c r="AX18" s="1948"/>
      <c r="AY18" s="1948"/>
      <c r="AZ18" s="1948"/>
      <c r="BA18" s="1948"/>
      <c r="BB18" s="1948"/>
      <c r="BC18" s="1948"/>
      <c r="BD18" s="1948"/>
      <c r="BE18" s="1948"/>
      <c r="BF18" s="1948"/>
      <c r="BG18" s="1948"/>
      <c r="BH18" s="1948"/>
      <c r="BI18" s="1948"/>
      <c r="BJ18" s="1948"/>
      <c r="BK18" s="1948"/>
      <c r="BL18" s="1948"/>
      <c r="BM18" s="1948"/>
      <c r="BN18" s="1948"/>
      <c r="BO18" s="1948"/>
      <c r="BP18" s="1948"/>
      <c r="BQ18" s="1948"/>
      <c r="BR18" s="1948"/>
      <c r="BS18" s="1948"/>
      <c r="BT18" s="1948"/>
      <c r="BU18" s="1948"/>
      <c r="BV18" s="1948"/>
      <c r="BW18" s="1948"/>
      <c r="BX18" s="1948"/>
      <c r="BY18" s="1948"/>
      <c r="BZ18" s="1948"/>
      <c r="CA18" s="1948"/>
    </row>
    <row r="19" spans="1:131" s="1946" customFormat="1" ht="12" hidden="1" customHeight="1" outlineLevel="1" x14ac:dyDescent="0.2">
      <c r="A19" s="1953"/>
      <c r="B19" s="1953" t="s">
        <v>4972</v>
      </c>
      <c r="Y19" s="1953"/>
      <c r="Z19" s="1953"/>
      <c r="AA19" s="1953"/>
      <c r="AB19" s="1953"/>
      <c r="AC19" s="1953"/>
      <c r="AF19" s="1953"/>
      <c r="AG19" s="1953"/>
      <c r="AH19" s="1953"/>
      <c r="AI19" s="1953"/>
      <c r="AL19" s="1953"/>
      <c r="AQ19" s="1953"/>
      <c r="AS19" s="1953"/>
      <c r="AT19" s="1948"/>
      <c r="AU19" s="1948"/>
      <c r="AV19" s="1948"/>
      <c r="AW19" s="1948"/>
      <c r="AX19" s="1948"/>
      <c r="AY19" s="1948"/>
      <c r="AZ19" s="1948"/>
      <c r="BA19" s="1948"/>
      <c r="BB19" s="1948"/>
      <c r="BC19" s="1948"/>
      <c r="BD19" s="1948"/>
      <c r="BE19" s="1948"/>
      <c r="BF19" s="1948"/>
      <c r="BG19" s="1948"/>
      <c r="BH19" s="1948"/>
      <c r="BI19" s="1948"/>
      <c r="BJ19" s="1948"/>
      <c r="BK19" s="1948"/>
      <c r="BL19" s="1948"/>
      <c r="BM19" s="1948"/>
      <c r="BN19" s="1948"/>
      <c r="BO19" s="1948"/>
      <c r="BP19" s="1948"/>
      <c r="BQ19" s="1948"/>
      <c r="BR19" s="1948"/>
      <c r="BS19" s="1948"/>
      <c r="BT19" s="1948"/>
      <c r="BU19" s="1948"/>
      <c r="BV19" s="1948"/>
      <c r="BW19" s="1948"/>
      <c r="BX19" s="1948"/>
      <c r="BY19" s="1948"/>
      <c r="BZ19" s="1948"/>
      <c r="CA19" s="1948"/>
    </row>
    <row r="20" spans="1:131" s="1946" customFormat="1" ht="12" hidden="1" customHeight="1" outlineLevel="1" x14ac:dyDescent="0.2">
      <c r="A20" s="1953"/>
      <c r="B20" s="1953"/>
      <c r="Y20" s="1953"/>
      <c r="Z20" s="1953"/>
      <c r="AA20" s="1953"/>
      <c r="AB20" s="1953"/>
      <c r="AC20" s="1953"/>
      <c r="AF20" s="1953"/>
      <c r="AG20" s="1953"/>
      <c r="AH20" s="1953"/>
      <c r="AI20" s="1953"/>
      <c r="AL20" s="1953"/>
      <c r="AQ20" s="1953"/>
      <c r="AS20" s="1953"/>
      <c r="AT20" s="1948"/>
      <c r="AU20" s="1948"/>
      <c r="AV20" s="1948"/>
      <c r="AW20" s="1948"/>
      <c r="AX20" s="1948"/>
      <c r="AY20" s="1948"/>
      <c r="AZ20" s="1948"/>
      <c r="BA20" s="1948"/>
      <c r="BB20" s="1948"/>
      <c r="BC20" s="1948"/>
      <c r="BD20" s="1948"/>
      <c r="BE20" s="1948"/>
      <c r="BF20" s="1948"/>
      <c r="BG20" s="1948"/>
      <c r="BH20" s="1948"/>
      <c r="BI20" s="1948"/>
      <c r="BJ20" s="1948"/>
      <c r="BK20" s="1948"/>
      <c r="BL20" s="1948"/>
      <c r="BM20" s="1948"/>
      <c r="BN20" s="1948"/>
      <c r="BO20" s="1948"/>
      <c r="BP20" s="1948"/>
      <c r="BQ20" s="1948"/>
      <c r="BR20" s="1948"/>
      <c r="BS20" s="1948"/>
      <c r="BT20" s="1948"/>
      <c r="BU20" s="1948"/>
      <c r="BV20" s="1948"/>
      <c r="BW20" s="1948"/>
      <c r="BX20" s="1948"/>
      <c r="BY20" s="1948"/>
      <c r="BZ20" s="1948"/>
      <c r="CA20" s="1948"/>
    </row>
    <row r="21" spans="1:131" s="1946" customFormat="1" ht="12" hidden="1" customHeight="1" outlineLevel="1" x14ac:dyDescent="0.2">
      <c r="A21" s="1953"/>
      <c r="B21" s="1953"/>
      <c r="Y21" s="1953"/>
      <c r="Z21" s="1953"/>
      <c r="AA21" s="1953"/>
      <c r="AB21" s="1953"/>
      <c r="AC21" s="1953"/>
      <c r="AF21" s="1953"/>
      <c r="AG21" s="1953"/>
      <c r="AH21" s="1953"/>
      <c r="AI21" s="1953"/>
      <c r="AL21" s="1953"/>
      <c r="AQ21" s="1953"/>
      <c r="AS21" s="1953"/>
      <c r="AT21" s="1948"/>
      <c r="AU21" s="1948"/>
      <c r="AV21" s="1948"/>
      <c r="AW21" s="1948"/>
      <c r="AX21" s="1948"/>
      <c r="AY21" s="1948"/>
      <c r="AZ21" s="1948"/>
      <c r="BA21" s="1948"/>
      <c r="BB21" s="1948"/>
      <c r="BC21" s="1948"/>
      <c r="BD21" s="1948"/>
      <c r="BE21" s="1948"/>
      <c r="BF21" s="1948"/>
      <c r="BG21" s="1948"/>
      <c r="BH21" s="1948"/>
      <c r="BI21" s="1948"/>
      <c r="BJ21" s="1948"/>
      <c r="BK21" s="1948"/>
      <c r="BL21" s="1948"/>
      <c r="BM21" s="1948"/>
      <c r="BN21" s="1948"/>
      <c r="BO21" s="1948"/>
      <c r="BP21" s="1948"/>
      <c r="BQ21" s="1948"/>
      <c r="BR21" s="1948"/>
      <c r="BS21" s="1948"/>
      <c r="BT21" s="1948"/>
      <c r="BU21" s="1948"/>
      <c r="BV21" s="1948"/>
      <c r="BW21" s="1948"/>
      <c r="BX21" s="1948"/>
      <c r="BY21" s="1948"/>
      <c r="BZ21" s="1948"/>
      <c r="CA21" s="1948"/>
    </row>
    <row r="22" spans="1:131" s="1946" customFormat="1" ht="12" hidden="1" customHeight="1" outlineLevel="1" x14ac:dyDescent="0.2">
      <c r="A22" s="1953"/>
      <c r="B22" s="1953"/>
      <c r="Y22" s="1953"/>
      <c r="Z22" s="1953"/>
      <c r="AA22" s="1953"/>
      <c r="AB22" s="1953"/>
      <c r="AC22" s="1953"/>
      <c r="AF22" s="1953"/>
      <c r="AG22" s="1953"/>
      <c r="AH22" s="1953"/>
      <c r="AI22" s="1953"/>
      <c r="AL22" s="1953"/>
      <c r="AQ22" s="1953"/>
      <c r="AS22" s="1953"/>
      <c r="AT22" s="1948"/>
      <c r="AU22" s="1948"/>
      <c r="AV22" s="1948"/>
      <c r="AW22" s="1948"/>
      <c r="AX22" s="1948"/>
      <c r="AY22" s="1948"/>
      <c r="AZ22" s="1948"/>
      <c r="BA22" s="1948"/>
      <c r="BB22" s="1948"/>
      <c r="BC22" s="1948"/>
      <c r="BD22" s="1948"/>
      <c r="BE22" s="1948"/>
      <c r="BF22" s="1948"/>
      <c r="BG22" s="1948"/>
      <c r="BH22" s="1948"/>
      <c r="BI22" s="1948"/>
      <c r="BJ22" s="1948"/>
      <c r="BK22" s="1948"/>
      <c r="BL22" s="1948"/>
      <c r="BM22" s="1948"/>
      <c r="BN22" s="1948"/>
      <c r="BO22" s="1948"/>
      <c r="BP22" s="1948"/>
      <c r="BQ22" s="1948"/>
      <c r="BR22" s="1948"/>
      <c r="BS22" s="1948"/>
      <c r="BT22" s="1948"/>
      <c r="BU22" s="1948"/>
      <c r="BV22" s="1948"/>
      <c r="BW22" s="1948"/>
      <c r="BX22" s="1948"/>
      <c r="BY22" s="1948"/>
      <c r="BZ22" s="1948"/>
      <c r="CA22" s="1948"/>
    </row>
    <row r="23" spans="1:131" ht="12" hidden="1" customHeight="1" outlineLevel="1" x14ac:dyDescent="0.2">
      <c r="C23" s="1946"/>
      <c r="D23" s="1946"/>
      <c r="E23" s="1946"/>
      <c r="F23" s="1946"/>
      <c r="G23" s="1946"/>
      <c r="H23" s="1946"/>
      <c r="I23" s="1946"/>
      <c r="J23" s="1946"/>
      <c r="K23" s="1946"/>
      <c r="L23" s="1946"/>
      <c r="M23" s="1946"/>
      <c r="N23" s="1946"/>
      <c r="O23" s="1946"/>
      <c r="P23" s="1946"/>
      <c r="Q23" s="1946"/>
      <c r="R23" s="1946"/>
      <c r="S23" s="1946"/>
      <c r="T23" s="1946"/>
      <c r="U23" s="1946"/>
      <c r="V23" s="1946"/>
      <c r="W23" s="1946"/>
      <c r="X23" s="1946"/>
      <c r="AD23" s="1946"/>
      <c r="AE23" s="1946"/>
      <c r="AJ23" s="1946"/>
      <c r="AK23" s="1946"/>
      <c r="AM23" s="1946"/>
      <c r="AN23" s="1946"/>
      <c r="AO23" s="1946"/>
      <c r="AP23" s="1946"/>
      <c r="AR23" s="1946"/>
      <c r="AT23" s="1947"/>
      <c r="AU23" s="1948"/>
      <c r="AV23" s="1951"/>
      <c r="AW23" s="1951"/>
      <c r="AX23" s="1951"/>
      <c r="AY23" s="1951"/>
      <c r="AZ23" s="1951"/>
      <c r="BA23" s="1951"/>
      <c r="BB23" s="1951"/>
      <c r="BC23" s="1951"/>
      <c r="BD23" s="1951"/>
      <c r="BE23" s="1951"/>
      <c r="BF23" s="1951"/>
      <c r="BG23" s="1951"/>
      <c r="BH23" s="1951"/>
      <c r="BI23" s="1951"/>
    </row>
    <row r="24" spans="1:131" ht="12" hidden="1" customHeight="1" outlineLevel="1" x14ac:dyDescent="0.2">
      <c r="C24" s="1946"/>
      <c r="D24" s="1946"/>
      <c r="E24" s="1946"/>
      <c r="F24" s="1946"/>
      <c r="G24" s="1946"/>
      <c r="H24" s="1946"/>
      <c r="I24" s="1946"/>
      <c r="J24" s="1946"/>
      <c r="K24" s="1946"/>
      <c r="L24" s="1946"/>
      <c r="M24" s="1946"/>
      <c r="N24" s="1946"/>
      <c r="O24" s="1946"/>
      <c r="P24" s="1946"/>
      <c r="Q24" s="1946"/>
      <c r="R24" s="1946"/>
      <c r="S24" s="1946"/>
      <c r="T24" s="1946"/>
      <c r="U24" s="1946"/>
      <c r="V24" s="1946"/>
      <c r="W24" s="1946"/>
      <c r="X24" s="1946"/>
      <c r="AD24" s="1946"/>
      <c r="AE24" s="1946"/>
      <c r="AJ24" s="1946"/>
      <c r="AK24" s="1946"/>
      <c r="AM24" s="1946"/>
      <c r="AN24" s="1946"/>
      <c r="AO24" s="1946"/>
      <c r="AP24" s="1946"/>
      <c r="AR24" s="1946"/>
      <c r="AT24" s="1948"/>
      <c r="AU24" s="1948"/>
      <c r="AV24" s="1952"/>
      <c r="AW24" s="1952"/>
      <c r="AX24" s="1952"/>
      <c r="AY24" s="1952"/>
      <c r="AZ24" s="1952"/>
      <c r="BA24" s="1952"/>
      <c r="BB24" s="1952"/>
      <c r="BC24" s="1952"/>
      <c r="BD24" s="1952"/>
      <c r="BE24" s="1952"/>
      <c r="BF24" s="1952"/>
      <c r="BG24" s="1952"/>
      <c r="BH24" s="1952"/>
      <c r="BI24" s="1952"/>
      <c r="BJ24" s="1952"/>
      <c r="BK24" s="1952"/>
      <c r="BL24" s="1952"/>
      <c r="BM24" s="1952"/>
      <c r="BN24" s="1952"/>
      <c r="BO24" s="1952"/>
      <c r="BP24" s="1952"/>
      <c r="BQ24" s="1952"/>
      <c r="BR24" s="1952"/>
      <c r="BS24" s="1952"/>
      <c r="BT24" s="1952"/>
      <c r="BU24" s="1952"/>
      <c r="BV24" s="1952"/>
      <c r="BW24" s="1952"/>
      <c r="BX24" s="1952"/>
      <c r="BY24" s="1952"/>
      <c r="BZ24" s="1952"/>
      <c r="CA24" s="1952"/>
      <c r="CB24" s="1952"/>
      <c r="CC24" s="1952"/>
      <c r="CD24" s="1952"/>
      <c r="CE24" s="1952"/>
      <c r="CF24" s="1952"/>
      <c r="CG24" s="1952"/>
      <c r="CH24" s="1952"/>
      <c r="CI24" s="1952"/>
      <c r="CJ24" s="1952"/>
      <c r="CK24" s="1952"/>
      <c r="CL24" s="1952"/>
      <c r="CM24" s="1952"/>
      <c r="CN24" s="1952"/>
      <c r="CO24" s="1952"/>
      <c r="CP24" s="1952"/>
      <c r="CQ24" s="1952"/>
      <c r="CR24" s="1952"/>
      <c r="CS24" s="1952"/>
      <c r="CT24" s="1952"/>
      <c r="CU24" s="1952"/>
      <c r="CV24" s="1952"/>
      <c r="CW24" s="1952"/>
      <c r="CX24" s="1952"/>
      <c r="CY24" s="1952"/>
    </row>
    <row r="25" spans="1:131" s="1946" customFormat="1" ht="12" hidden="1" customHeight="1" outlineLevel="1" x14ac:dyDescent="0.2">
      <c r="A25" s="1953"/>
      <c r="B25" s="1953"/>
      <c r="D25" s="1948"/>
      <c r="F25" s="1948"/>
      <c r="G25" s="1948"/>
      <c r="I25" s="1948"/>
      <c r="Y25" s="1953"/>
      <c r="Z25" s="1953"/>
      <c r="AA25" s="1953"/>
      <c r="AB25" s="1953"/>
      <c r="AC25" s="1953"/>
      <c r="AE25" s="1948"/>
      <c r="AF25" s="1953"/>
      <c r="AG25" s="1953"/>
      <c r="AH25" s="1953"/>
      <c r="AI25" s="1953"/>
      <c r="AK25" s="1948"/>
      <c r="AL25" s="1953"/>
      <c r="AN25" s="1948"/>
      <c r="AP25" s="1948"/>
      <c r="AQ25" s="1953"/>
      <c r="AS25" s="1953"/>
      <c r="AT25" s="1948"/>
      <c r="AV25" s="1948"/>
      <c r="AX25" s="1948"/>
      <c r="AZ25" s="1948"/>
      <c r="BB25" s="1948"/>
      <c r="BD25" s="1948"/>
      <c r="BF25" s="1948"/>
      <c r="BH25" s="1948"/>
      <c r="BJ25" s="1948"/>
      <c r="BK25" s="1948"/>
      <c r="BL25" s="1948"/>
      <c r="BM25" s="1948"/>
      <c r="BN25" s="1948"/>
      <c r="BO25" s="1948"/>
      <c r="BP25" s="1948"/>
      <c r="BQ25" s="1948"/>
      <c r="BR25" s="1948"/>
      <c r="BS25" s="1948"/>
      <c r="BT25" s="1948"/>
      <c r="BU25" s="1948"/>
      <c r="BV25" s="1948"/>
      <c r="BW25" s="1948"/>
      <c r="BX25" s="1948"/>
      <c r="BY25" s="1948"/>
      <c r="BZ25" s="1948"/>
      <c r="CA25" s="1948"/>
    </row>
    <row r="26" spans="1:131" s="1946" customFormat="1" ht="12" hidden="1" customHeight="1" outlineLevel="1" x14ac:dyDescent="0.2">
      <c r="D26" s="1948"/>
      <c r="F26" s="1948"/>
      <c r="G26" s="1948"/>
      <c r="I26" s="1948"/>
      <c r="AE26" s="1948"/>
      <c r="AK26" s="1948"/>
      <c r="AN26" s="1948"/>
      <c r="AP26" s="1948"/>
      <c r="AT26" s="1948"/>
      <c r="AU26" s="1948"/>
      <c r="AV26" s="1948"/>
      <c r="AW26" s="1948"/>
      <c r="AX26" s="1948"/>
      <c r="AY26" s="1948"/>
      <c r="AZ26" s="1948"/>
      <c r="BA26" s="1948"/>
      <c r="BB26" s="1948"/>
      <c r="BC26" s="1948"/>
      <c r="BD26" s="1948"/>
      <c r="BE26" s="1948"/>
      <c r="BF26" s="1948"/>
      <c r="BG26" s="1948"/>
      <c r="BH26" s="1948"/>
      <c r="BI26" s="1948"/>
      <c r="BJ26" s="1948"/>
      <c r="BL26" s="1948"/>
      <c r="BM26" s="1948"/>
      <c r="BN26" s="1948"/>
      <c r="BO26" s="1948"/>
      <c r="BP26" s="1948"/>
      <c r="BQ26" s="1948"/>
      <c r="BR26" s="1948"/>
      <c r="BS26" s="1948"/>
      <c r="BT26" s="1948"/>
      <c r="BU26" s="1948"/>
      <c r="BV26" s="1948"/>
      <c r="BW26" s="1948"/>
      <c r="BX26" s="1948"/>
      <c r="BY26" s="1948"/>
      <c r="BZ26" s="1948"/>
      <c r="CA26" s="1948"/>
    </row>
    <row r="27" spans="1:131" s="1946" customFormat="1" ht="12" hidden="1" customHeight="1" outlineLevel="1" x14ac:dyDescent="0.2">
      <c r="A27" s="1951" t="s">
        <v>724</v>
      </c>
      <c r="B27" s="1952" t="s">
        <v>724</v>
      </c>
      <c r="C27" s="1948"/>
      <c r="D27" s="1948"/>
      <c r="E27" s="1948"/>
      <c r="F27" s="1948"/>
      <c r="G27" s="1948"/>
      <c r="H27" s="1948"/>
      <c r="I27" s="1948"/>
      <c r="J27" s="1948"/>
      <c r="K27" s="1948"/>
      <c r="L27" s="1948"/>
      <c r="M27" s="1948"/>
      <c r="N27" s="1948"/>
      <c r="O27" s="1948"/>
      <c r="P27" s="1948"/>
      <c r="Q27" s="1948"/>
      <c r="R27" s="1948"/>
      <c r="S27" s="1948"/>
      <c r="T27" s="1948"/>
      <c r="U27" s="1948"/>
      <c r="V27" s="1948"/>
      <c r="W27" s="1948"/>
      <c r="X27" s="1948"/>
      <c r="Y27" s="1952"/>
      <c r="Z27" s="1952"/>
      <c r="AA27" s="1952"/>
      <c r="AB27" s="1952"/>
      <c r="AC27" s="1952"/>
      <c r="AD27" s="1948"/>
      <c r="AE27" s="1948"/>
      <c r="AF27" s="1952"/>
      <c r="AG27" s="1952"/>
      <c r="AH27" s="1952"/>
      <c r="AI27" s="1952"/>
      <c r="AJ27" s="1948"/>
      <c r="AK27" s="1948"/>
      <c r="AL27" s="1952"/>
      <c r="AM27" s="1948"/>
      <c r="AN27" s="1948"/>
      <c r="AO27" s="1948"/>
      <c r="AP27" s="1948"/>
      <c r="AQ27" s="1952"/>
      <c r="AR27" s="1948"/>
      <c r="AS27" s="1952"/>
      <c r="AT27" s="1948"/>
      <c r="AU27" s="1948"/>
      <c r="AV27" s="1948"/>
      <c r="AW27" s="1948"/>
      <c r="AX27" s="1948"/>
      <c r="AY27" s="1948"/>
      <c r="AZ27" s="1948"/>
      <c r="BA27" s="1948"/>
      <c r="BB27" s="1948"/>
      <c r="BC27" s="1948"/>
      <c r="BD27" s="1948"/>
      <c r="BE27" s="1948"/>
      <c r="BF27" s="1948"/>
      <c r="BG27" s="1948"/>
      <c r="BH27" s="1948"/>
      <c r="BI27" s="1948"/>
      <c r="BJ27" s="1948"/>
      <c r="BK27" s="1948"/>
      <c r="BL27" s="1948"/>
      <c r="BM27" s="1948"/>
      <c r="BN27" s="1948"/>
      <c r="BO27" s="1948"/>
      <c r="BP27" s="1948"/>
      <c r="BQ27" s="1948"/>
      <c r="BR27" s="1948"/>
      <c r="BS27" s="1948"/>
      <c r="BT27" s="1948"/>
      <c r="BU27" s="1948"/>
      <c r="BV27" s="1948"/>
      <c r="BW27" s="1948"/>
      <c r="BX27" s="1948"/>
      <c r="BY27" s="1948"/>
      <c r="BZ27" s="1948"/>
      <c r="CA27" s="1948"/>
      <c r="CB27" s="1947"/>
      <c r="CC27" s="1947"/>
      <c r="CD27" s="1947"/>
      <c r="CE27" s="1947"/>
      <c r="CF27" s="1947"/>
      <c r="CG27" s="1947"/>
      <c r="CH27" s="1947"/>
      <c r="CI27" s="1947"/>
      <c r="CJ27" s="1947"/>
      <c r="CK27" s="1947"/>
      <c r="CL27" s="1947"/>
      <c r="CM27" s="1947"/>
      <c r="CN27" s="1947"/>
      <c r="CO27" s="1947"/>
      <c r="CP27" s="1947"/>
      <c r="CQ27" s="1947"/>
      <c r="CR27" s="1947"/>
      <c r="CS27" s="1947"/>
      <c r="CT27" s="1947"/>
      <c r="CU27" s="1947"/>
      <c r="CV27" s="1947"/>
      <c r="CW27" s="1947"/>
      <c r="CX27" s="1947"/>
      <c r="CY27" s="1947"/>
      <c r="CZ27" s="1947"/>
      <c r="DA27" s="1947"/>
      <c r="DB27" s="1947"/>
      <c r="DC27" s="1947"/>
      <c r="DD27" s="1947"/>
      <c r="DE27" s="1947"/>
      <c r="DF27" s="1947"/>
      <c r="DG27" s="1947"/>
      <c r="DH27" s="1947"/>
      <c r="DI27" s="1947"/>
      <c r="DJ27" s="1947"/>
      <c r="DK27" s="1947"/>
      <c r="DL27" s="1947"/>
      <c r="DM27" s="1947"/>
      <c r="DN27" s="1947"/>
      <c r="DO27" s="1947"/>
      <c r="DP27" s="1947"/>
      <c r="DQ27" s="1947"/>
      <c r="DR27" s="1947"/>
      <c r="DS27" s="1947"/>
      <c r="DT27" s="1947"/>
      <c r="DU27" s="1947"/>
      <c r="DV27" s="1947"/>
      <c r="DW27" s="1947"/>
      <c r="DX27" s="1947"/>
      <c r="DY27" s="1947"/>
      <c r="DZ27" s="1947"/>
      <c r="EA27" s="1947"/>
    </row>
    <row r="28" spans="1:131" s="1946" customFormat="1" ht="12" hidden="1" customHeight="1" outlineLevel="1" x14ac:dyDescent="0.2">
      <c r="A28" s="1951" t="s">
        <v>883</v>
      </c>
      <c r="B28" s="1952" t="s">
        <v>884</v>
      </c>
      <c r="C28" s="1948"/>
      <c r="D28" s="1948"/>
      <c r="E28" s="1948"/>
      <c r="F28" s="1948"/>
      <c r="G28" s="1948"/>
      <c r="H28" s="1948"/>
      <c r="I28" s="1948"/>
      <c r="J28" s="1948"/>
      <c r="K28" s="1948"/>
      <c r="L28" s="1948"/>
      <c r="M28" s="1948"/>
      <c r="N28" s="1948"/>
      <c r="O28" s="1948"/>
      <c r="P28" s="1948"/>
      <c r="Q28" s="1948"/>
      <c r="R28" s="1948"/>
      <c r="S28" s="1948"/>
      <c r="T28" s="1948"/>
      <c r="U28" s="1948"/>
      <c r="V28" s="1948"/>
      <c r="W28" s="1948"/>
      <c r="X28" s="1948"/>
      <c r="Y28" s="1952"/>
      <c r="Z28" s="1952"/>
      <c r="AA28" s="1952"/>
      <c r="AB28" s="1952"/>
      <c r="AC28" s="1952"/>
      <c r="AD28" s="1948"/>
      <c r="AE28" s="1948"/>
      <c r="AF28" s="1952"/>
      <c r="AG28" s="1952"/>
      <c r="AH28" s="1952"/>
      <c r="AI28" s="1952"/>
      <c r="AJ28" s="1948"/>
      <c r="AK28" s="1948"/>
      <c r="AL28" s="1952"/>
      <c r="AM28" s="1948"/>
      <c r="AN28" s="1948"/>
      <c r="AO28" s="1948"/>
      <c r="AP28" s="1948"/>
      <c r="AQ28" s="1952"/>
      <c r="AR28" s="1948"/>
      <c r="AS28" s="1952"/>
      <c r="AT28" s="1948"/>
      <c r="AU28" s="1948"/>
      <c r="AV28" s="1948"/>
      <c r="AW28" s="1948"/>
      <c r="AX28" s="1948"/>
      <c r="AY28" s="1948"/>
      <c r="AZ28" s="1948"/>
      <c r="BA28" s="1948"/>
      <c r="BB28" s="1948"/>
      <c r="BC28" s="1948"/>
      <c r="BD28" s="1948"/>
      <c r="BE28" s="1948"/>
      <c r="BF28" s="1948"/>
      <c r="BG28" s="1948"/>
      <c r="BH28" s="1948"/>
      <c r="BI28" s="1948"/>
      <c r="BJ28" s="1948"/>
      <c r="BK28" s="1948"/>
      <c r="BL28" s="1948"/>
      <c r="BM28" s="1948"/>
      <c r="BN28" s="1948"/>
      <c r="BO28" s="1948"/>
      <c r="BP28" s="1948"/>
      <c r="BQ28" s="1948"/>
      <c r="BR28" s="1948"/>
      <c r="BS28" s="1948"/>
      <c r="BT28" s="1948"/>
      <c r="BU28" s="1948"/>
      <c r="BV28" s="1948"/>
      <c r="BW28" s="1948"/>
      <c r="BX28" s="1948"/>
      <c r="BY28" s="1948"/>
      <c r="BZ28" s="1948"/>
      <c r="CA28" s="1948"/>
      <c r="CB28" s="1947"/>
      <c r="CC28" s="1947"/>
      <c r="CD28" s="1947"/>
      <c r="CE28" s="1947"/>
      <c r="CF28" s="1947"/>
      <c r="CG28" s="1947"/>
      <c r="CH28" s="1947"/>
      <c r="CI28" s="1947"/>
      <c r="CJ28" s="1947"/>
      <c r="CK28" s="1947"/>
      <c r="CL28" s="1947"/>
      <c r="CM28" s="1947"/>
      <c r="CN28" s="1947"/>
      <c r="CO28" s="1947"/>
      <c r="CP28" s="1947"/>
      <c r="CQ28" s="1947"/>
      <c r="CR28" s="1947"/>
      <c r="CS28" s="1947"/>
      <c r="CT28" s="1947"/>
      <c r="CU28" s="1947"/>
      <c r="CV28" s="1947"/>
      <c r="CW28" s="1947"/>
      <c r="CX28" s="1947"/>
      <c r="CY28" s="1947"/>
      <c r="CZ28" s="1947"/>
      <c r="DA28" s="1947"/>
      <c r="DB28" s="1947"/>
      <c r="DC28" s="1947"/>
      <c r="DD28" s="1947"/>
      <c r="DE28" s="1947"/>
      <c r="DF28" s="1947"/>
      <c r="DG28" s="1947"/>
      <c r="DH28" s="1947"/>
      <c r="DI28" s="1947"/>
      <c r="DJ28" s="1947"/>
      <c r="DK28" s="1947"/>
      <c r="DL28" s="1947"/>
      <c r="DM28" s="1947"/>
      <c r="DN28" s="1947"/>
      <c r="DO28" s="1947"/>
      <c r="DP28" s="1947"/>
      <c r="DQ28" s="1947"/>
      <c r="DR28" s="1947"/>
      <c r="DS28" s="1947"/>
      <c r="DT28" s="1947"/>
      <c r="DU28" s="1947"/>
      <c r="DV28" s="1947"/>
      <c r="DW28" s="1947"/>
      <c r="DX28" s="1947"/>
      <c r="DY28" s="1947"/>
      <c r="DZ28" s="1947"/>
      <c r="EA28" s="1947"/>
    </row>
    <row r="29" spans="1:131" s="1946" customFormat="1" ht="12" hidden="1" customHeight="1" outlineLevel="1" x14ac:dyDescent="0.2">
      <c r="A29" s="1951" t="s">
        <v>885</v>
      </c>
      <c r="B29" s="1952" t="s">
        <v>2264</v>
      </c>
      <c r="C29" s="1948"/>
      <c r="D29" s="1948"/>
      <c r="E29" s="1948"/>
      <c r="F29" s="1948"/>
      <c r="G29" s="1948"/>
      <c r="H29" s="1948"/>
      <c r="I29" s="1948"/>
      <c r="J29" s="1948"/>
      <c r="K29" s="1948"/>
      <c r="L29" s="1948"/>
      <c r="M29" s="1948"/>
      <c r="N29" s="1948"/>
      <c r="O29" s="1948"/>
      <c r="P29" s="1948"/>
      <c r="Q29" s="1948"/>
      <c r="R29" s="1948"/>
      <c r="S29" s="1948"/>
      <c r="T29" s="1948"/>
      <c r="U29" s="1948"/>
      <c r="V29" s="1948"/>
      <c r="W29" s="1948"/>
      <c r="X29" s="1948"/>
      <c r="Y29" s="1952"/>
      <c r="Z29" s="1952"/>
      <c r="AA29" s="1952"/>
      <c r="AB29" s="1952"/>
      <c r="AC29" s="1952"/>
      <c r="AD29" s="1948"/>
      <c r="AE29" s="1948"/>
      <c r="AF29" s="1952"/>
      <c r="AG29" s="1952"/>
      <c r="AH29" s="1952"/>
      <c r="AI29" s="1952"/>
      <c r="AJ29" s="1948"/>
      <c r="AK29" s="1948"/>
      <c r="AL29" s="1952"/>
      <c r="AM29" s="1948"/>
      <c r="AN29" s="1948"/>
      <c r="AO29" s="1948"/>
      <c r="AP29" s="1948"/>
      <c r="AQ29" s="1952"/>
      <c r="AR29" s="1948"/>
      <c r="AS29" s="1952"/>
      <c r="AT29" s="1948"/>
      <c r="AU29" s="1948"/>
      <c r="AV29" s="1948"/>
      <c r="AW29" s="1948"/>
      <c r="AX29" s="1948"/>
      <c r="AY29" s="1948"/>
      <c r="AZ29" s="1948"/>
      <c r="BA29" s="1948"/>
      <c r="BB29" s="1948"/>
      <c r="BC29" s="1948"/>
      <c r="BD29" s="1948"/>
      <c r="BE29" s="1948"/>
      <c r="BF29" s="1948"/>
      <c r="BG29" s="1948"/>
      <c r="BH29" s="1948"/>
      <c r="BI29" s="1948"/>
      <c r="BJ29" s="1948"/>
      <c r="BK29" s="1948"/>
      <c r="BL29" s="1948"/>
      <c r="BM29" s="1948"/>
      <c r="BN29" s="1948"/>
      <c r="BO29" s="1948"/>
      <c r="BP29" s="1948"/>
      <c r="BQ29" s="1948"/>
      <c r="BR29" s="1948"/>
      <c r="BS29" s="1948"/>
      <c r="BT29" s="1948"/>
      <c r="BU29" s="1948"/>
      <c r="BV29" s="1948"/>
      <c r="BW29" s="1948"/>
      <c r="BX29" s="1948"/>
      <c r="BY29" s="1948"/>
      <c r="BZ29" s="1948"/>
      <c r="CA29" s="1948"/>
      <c r="CB29" s="1947"/>
      <c r="CC29" s="1947"/>
      <c r="CD29" s="1947"/>
      <c r="CE29" s="1947"/>
      <c r="CF29" s="1947"/>
      <c r="CG29" s="1947"/>
      <c r="CH29" s="1947"/>
      <c r="CI29" s="1947"/>
      <c r="CJ29" s="1947"/>
      <c r="CK29" s="1947"/>
      <c r="CL29" s="1947"/>
      <c r="CM29" s="1947"/>
      <c r="CN29" s="1947"/>
      <c r="CO29" s="1947"/>
      <c r="CP29" s="1947"/>
      <c r="CQ29" s="1947"/>
      <c r="CR29" s="1947"/>
      <c r="CS29" s="1947"/>
      <c r="CT29" s="1947"/>
      <c r="CU29" s="1947"/>
      <c r="CV29" s="1947"/>
      <c r="CW29" s="1947"/>
      <c r="CX29" s="1947"/>
      <c r="CY29" s="1947"/>
      <c r="CZ29" s="1947"/>
      <c r="DA29" s="1947"/>
      <c r="DB29" s="1947"/>
      <c r="DC29" s="1947"/>
      <c r="DD29" s="1947"/>
      <c r="DE29" s="1947"/>
      <c r="DF29" s="1947"/>
      <c r="DG29" s="1947"/>
      <c r="DH29" s="1947"/>
      <c r="DI29" s="1947"/>
      <c r="DJ29" s="1947"/>
      <c r="DK29" s="1947"/>
      <c r="DL29" s="1947"/>
      <c r="DM29" s="1947"/>
      <c r="DN29" s="1947"/>
      <c r="DO29" s="1947"/>
      <c r="DP29" s="1947"/>
      <c r="DQ29" s="1947"/>
      <c r="DR29" s="1947"/>
      <c r="DS29" s="1947"/>
      <c r="DT29" s="1947"/>
      <c r="DU29" s="1947"/>
      <c r="DV29" s="1947"/>
      <c r="DW29" s="1947"/>
      <c r="DX29" s="1947"/>
      <c r="DY29" s="1947"/>
      <c r="DZ29" s="1947"/>
      <c r="EA29" s="1947"/>
    </row>
    <row r="30" spans="1:131" s="1946" customFormat="1" ht="12" hidden="1" customHeight="1" outlineLevel="1" x14ac:dyDescent="0.2">
      <c r="A30" s="1951" t="s">
        <v>886</v>
      </c>
      <c r="B30" s="1952" t="s">
        <v>887</v>
      </c>
      <c r="C30" s="1948"/>
      <c r="D30" s="1948"/>
      <c r="E30" s="1948"/>
      <c r="F30" s="1948"/>
      <c r="G30" s="1948"/>
      <c r="H30" s="1948"/>
      <c r="I30" s="1948"/>
      <c r="J30" s="1948"/>
      <c r="K30" s="1948"/>
      <c r="L30" s="1948"/>
      <c r="M30" s="1948"/>
      <c r="N30" s="1948"/>
      <c r="O30" s="1948"/>
      <c r="P30" s="1948"/>
      <c r="Q30" s="1948"/>
      <c r="R30" s="1948"/>
      <c r="S30" s="1948"/>
      <c r="T30" s="1948"/>
      <c r="U30" s="1948"/>
      <c r="V30" s="1948"/>
      <c r="W30" s="1948"/>
      <c r="X30" s="1948"/>
      <c r="Y30" s="1952"/>
      <c r="Z30" s="1952"/>
      <c r="AA30" s="1952"/>
      <c r="AB30" s="1952"/>
      <c r="AC30" s="1952"/>
      <c r="AD30" s="1948"/>
      <c r="AE30" s="1948"/>
      <c r="AF30" s="1952"/>
      <c r="AG30" s="1952"/>
      <c r="AH30" s="1952"/>
      <c r="AI30" s="1952"/>
      <c r="AJ30" s="1948"/>
      <c r="AK30" s="1948"/>
      <c r="AL30" s="1952"/>
      <c r="AM30" s="1948"/>
      <c r="AN30" s="1948"/>
      <c r="AO30" s="1948"/>
      <c r="AP30" s="1948"/>
      <c r="AQ30" s="1952"/>
      <c r="AR30" s="1948"/>
      <c r="AS30" s="1952"/>
      <c r="AT30" s="1948"/>
      <c r="AU30" s="1948"/>
      <c r="AV30" s="1948"/>
      <c r="AW30" s="1948"/>
      <c r="AX30" s="1948"/>
      <c r="AY30" s="1948"/>
      <c r="AZ30" s="1948"/>
      <c r="BA30" s="1948"/>
      <c r="BB30" s="1948"/>
      <c r="BC30" s="1948"/>
      <c r="BD30" s="1948"/>
      <c r="BE30" s="1948"/>
      <c r="BF30" s="1948"/>
      <c r="BG30" s="1948"/>
      <c r="BH30" s="1948"/>
      <c r="BI30" s="1948"/>
      <c r="BJ30" s="1948"/>
      <c r="BK30" s="1948"/>
      <c r="BL30" s="1948"/>
      <c r="BM30" s="1948"/>
      <c r="BN30" s="1948"/>
      <c r="BO30" s="1948"/>
      <c r="BP30" s="1948"/>
      <c r="BQ30" s="1948"/>
      <c r="BR30" s="1948"/>
      <c r="BS30" s="1948"/>
      <c r="BT30" s="1948"/>
      <c r="BU30" s="1948"/>
      <c r="BV30" s="1948"/>
      <c r="BW30" s="1948"/>
      <c r="BX30" s="1948"/>
      <c r="BY30" s="1948"/>
      <c r="BZ30" s="1948"/>
      <c r="CA30" s="1948"/>
      <c r="CB30" s="1947"/>
      <c r="CC30" s="1947"/>
      <c r="CD30" s="1947"/>
      <c r="CE30" s="1947"/>
      <c r="CF30" s="1947"/>
      <c r="CG30" s="1947"/>
      <c r="CH30" s="1947"/>
      <c r="CI30" s="1947"/>
      <c r="CJ30" s="1947"/>
      <c r="CK30" s="1947"/>
      <c r="CL30" s="1947"/>
      <c r="CM30" s="1947"/>
      <c r="CN30" s="1947"/>
      <c r="CO30" s="1947"/>
      <c r="CP30" s="1947"/>
      <c r="CQ30" s="1947"/>
      <c r="CR30" s="1947"/>
      <c r="CS30" s="1947"/>
      <c r="CT30" s="1947"/>
      <c r="CU30" s="1947"/>
      <c r="CV30" s="1947"/>
      <c r="CW30" s="1947"/>
      <c r="CX30" s="1947"/>
      <c r="CY30" s="1947"/>
      <c r="CZ30" s="1947"/>
      <c r="DA30" s="1947"/>
      <c r="DB30" s="1947"/>
      <c r="DC30" s="1947"/>
      <c r="DD30" s="1947"/>
      <c r="DE30" s="1947"/>
      <c r="DF30" s="1947"/>
      <c r="DG30" s="1947"/>
      <c r="DH30" s="1947"/>
      <c r="DI30" s="1947"/>
      <c r="DJ30" s="1947"/>
      <c r="DK30" s="1947"/>
      <c r="DL30" s="1947"/>
      <c r="DM30" s="1947"/>
      <c r="DN30" s="1947"/>
      <c r="DO30" s="1947"/>
      <c r="DP30" s="1947"/>
      <c r="DQ30" s="1947"/>
      <c r="DR30" s="1947"/>
      <c r="DS30" s="1947"/>
      <c r="DT30" s="1947"/>
      <c r="DU30" s="1947"/>
      <c r="DV30" s="1947"/>
      <c r="DW30" s="1947"/>
      <c r="DX30" s="1947"/>
      <c r="DY30" s="1947"/>
      <c r="DZ30" s="1947"/>
      <c r="EA30" s="1947"/>
    </row>
    <row r="31" spans="1:131" s="1946" customFormat="1" ht="12" hidden="1" customHeight="1" outlineLevel="1" x14ac:dyDescent="0.2">
      <c r="A31" s="1951" t="s">
        <v>888</v>
      </c>
      <c r="B31" s="1952" t="s">
        <v>889</v>
      </c>
      <c r="C31" s="1948"/>
      <c r="D31" s="1948"/>
      <c r="E31" s="1948"/>
      <c r="F31" s="1948"/>
      <c r="G31" s="1948"/>
      <c r="H31" s="1948"/>
      <c r="I31" s="1948"/>
      <c r="J31" s="1948"/>
      <c r="K31" s="1948"/>
      <c r="L31" s="1948"/>
      <c r="M31" s="1948"/>
      <c r="N31" s="1948"/>
      <c r="O31" s="1948"/>
      <c r="P31" s="1948"/>
      <c r="Q31" s="1948"/>
      <c r="R31" s="1948"/>
      <c r="S31" s="1948"/>
      <c r="T31" s="1948"/>
      <c r="U31" s="1948"/>
      <c r="V31" s="1948"/>
      <c r="W31" s="1948"/>
      <c r="X31" s="1948"/>
      <c r="Y31" s="1952"/>
      <c r="Z31" s="1952"/>
      <c r="AA31" s="1952"/>
      <c r="AB31" s="1952"/>
      <c r="AC31" s="1952"/>
      <c r="AD31" s="1948"/>
      <c r="AE31" s="1948"/>
      <c r="AF31" s="1952"/>
      <c r="AG31" s="1952"/>
      <c r="AH31" s="1952"/>
      <c r="AI31" s="1952"/>
      <c r="AJ31" s="1948"/>
      <c r="AK31" s="1948"/>
      <c r="AL31" s="1952"/>
      <c r="AM31" s="1948"/>
      <c r="AN31" s="1948"/>
      <c r="AO31" s="1948"/>
      <c r="AP31" s="1948"/>
      <c r="AQ31" s="1952"/>
      <c r="AR31" s="1948"/>
      <c r="AS31" s="1952"/>
      <c r="AT31" s="1948"/>
      <c r="AU31" s="1948"/>
      <c r="AV31" s="1948"/>
      <c r="AW31" s="1948"/>
      <c r="AX31" s="1948"/>
      <c r="AY31" s="1948"/>
      <c r="AZ31" s="1948"/>
      <c r="BA31" s="1948"/>
      <c r="BB31" s="1948"/>
      <c r="BC31" s="1948"/>
      <c r="BD31" s="1948"/>
      <c r="BE31" s="1948"/>
      <c r="BF31" s="1948"/>
      <c r="BG31" s="1948"/>
      <c r="BH31" s="1948"/>
      <c r="BI31" s="1948"/>
      <c r="BJ31" s="1948"/>
      <c r="BK31" s="1948"/>
      <c r="BL31" s="1948"/>
      <c r="BM31" s="1948"/>
      <c r="BN31" s="1948"/>
      <c r="BO31" s="1948"/>
      <c r="BP31" s="1948"/>
      <c r="BQ31" s="1948"/>
      <c r="BR31" s="1948"/>
      <c r="BS31" s="1948"/>
      <c r="BT31" s="1948"/>
      <c r="BU31" s="1948"/>
      <c r="BV31" s="1948"/>
      <c r="BW31" s="1948"/>
      <c r="BX31" s="1948"/>
      <c r="BY31" s="1948"/>
      <c r="BZ31" s="1948"/>
      <c r="CA31" s="1948"/>
      <c r="CB31" s="1947"/>
      <c r="CC31" s="1947"/>
      <c r="CD31" s="1947"/>
      <c r="CE31" s="1947"/>
      <c r="CF31" s="1947"/>
      <c r="CG31" s="1947"/>
      <c r="CH31" s="1947"/>
      <c r="CI31" s="1947"/>
      <c r="CJ31" s="1947"/>
      <c r="CK31" s="1947"/>
      <c r="CL31" s="1947"/>
      <c r="CM31" s="1947"/>
      <c r="CN31" s="1947"/>
      <c r="CO31" s="1947"/>
      <c r="CP31" s="1947"/>
      <c r="CQ31" s="1947"/>
      <c r="CR31" s="1947"/>
      <c r="CS31" s="1947"/>
      <c r="CT31" s="1947"/>
      <c r="CU31" s="1947"/>
      <c r="CV31" s="1947"/>
      <c r="CW31" s="1947"/>
      <c r="CX31" s="1947"/>
      <c r="CY31" s="1947"/>
      <c r="CZ31" s="1947"/>
      <c r="DA31" s="1947"/>
      <c r="DB31" s="1947"/>
      <c r="DC31" s="1947"/>
      <c r="DD31" s="1947"/>
      <c r="DE31" s="1947"/>
      <c r="DF31" s="1947"/>
      <c r="DG31" s="1947"/>
      <c r="DH31" s="1947"/>
      <c r="DI31" s="1947"/>
      <c r="DJ31" s="1947"/>
      <c r="DK31" s="1947"/>
      <c r="DL31" s="1947"/>
      <c r="DM31" s="1947"/>
      <c r="DN31" s="1947"/>
      <c r="DO31" s="1947"/>
      <c r="DP31" s="1947"/>
      <c r="DQ31" s="1947"/>
      <c r="DR31" s="1947"/>
      <c r="DS31" s="1947"/>
      <c r="DT31" s="1947"/>
      <c r="DU31" s="1947"/>
      <c r="DV31" s="1947"/>
      <c r="DW31" s="1947"/>
      <c r="DX31" s="1947"/>
      <c r="DY31" s="1947"/>
      <c r="DZ31" s="1947"/>
      <c r="EA31" s="1947"/>
    </row>
    <row r="32" spans="1:131" s="1946" customFormat="1" ht="12" hidden="1" customHeight="1" outlineLevel="1" x14ac:dyDescent="0.2">
      <c r="A32" s="1951" t="s">
        <v>890</v>
      </c>
      <c r="B32" s="1952" t="s">
        <v>724</v>
      </c>
      <c r="C32" s="1948"/>
      <c r="D32" s="1948"/>
      <c r="E32" s="1948"/>
      <c r="F32" s="1948"/>
      <c r="G32" s="1948"/>
      <c r="H32" s="1948"/>
      <c r="I32" s="1948"/>
      <c r="J32" s="1948"/>
      <c r="K32" s="1948"/>
      <c r="L32" s="1948"/>
      <c r="M32" s="1948"/>
      <c r="N32" s="1948"/>
      <c r="O32" s="1948"/>
      <c r="P32" s="1948"/>
      <c r="Q32" s="1948"/>
      <c r="R32" s="1948"/>
      <c r="S32" s="1948"/>
      <c r="T32" s="1948"/>
      <c r="U32" s="1948"/>
      <c r="V32" s="1948"/>
      <c r="W32" s="1948"/>
      <c r="X32" s="1948"/>
      <c r="Y32" s="1952"/>
      <c r="Z32" s="1952"/>
      <c r="AA32" s="1952"/>
      <c r="AB32" s="1952"/>
      <c r="AC32" s="1952"/>
      <c r="AD32" s="1948"/>
      <c r="AE32" s="1948"/>
      <c r="AF32" s="1952"/>
      <c r="AG32" s="1952"/>
      <c r="AH32" s="1952"/>
      <c r="AI32" s="1952"/>
      <c r="AJ32" s="1948"/>
      <c r="AK32" s="1948"/>
      <c r="AL32" s="1952"/>
      <c r="AM32" s="1948"/>
      <c r="AN32" s="1948"/>
      <c r="AO32" s="1948"/>
      <c r="AP32" s="1948"/>
      <c r="AQ32" s="1952"/>
      <c r="AR32" s="1948"/>
      <c r="AS32" s="1952"/>
      <c r="AT32" s="1948"/>
      <c r="AU32" s="1948"/>
      <c r="AV32" s="1948"/>
      <c r="AW32" s="1948"/>
      <c r="AX32" s="1948"/>
      <c r="AY32" s="1948"/>
      <c r="AZ32" s="1948"/>
      <c r="BA32" s="1948"/>
      <c r="BB32" s="1948"/>
      <c r="BC32" s="1948"/>
      <c r="BD32" s="1948"/>
      <c r="BE32" s="1948"/>
      <c r="BF32" s="1948"/>
      <c r="BG32" s="1948"/>
      <c r="BH32" s="1948"/>
      <c r="BI32" s="1948"/>
      <c r="BJ32" s="1948"/>
      <c r="BK32" s="1948"/>
      <c r="BL32" s="1948"/>
      <c r="BM32" s="1948"/>
      <c r="BN32" s="1948"/>
      <c r="BO32" s="1948"/>
      <c r="BP32" s="1948"/>
      <c r="BQ32" s="1948"/>
      <c r="BR32" s="1948"/>
      <c r="BS32" s="1948"/>
      <c r="BT32" s="1948"/>
      <c r="BU32" s="1948"/>
      <c r="BV32" s="1948"/>
      <c r="BW32" s="1948"/>
      <c r="BX32" s="1948"/>
      <c r="BY32" s="1948"/>
      <c r="BZ32" s="1948"/>
      <c r="CA32" s="1948"/>
      <c r="CB32" s="1947"/>
      <c r="CC32" s="1947"/>
      <c r="CD32" s="1947"/>
      <c r="CE32" s="1947"/>
      <c r="CF32" s="1947"/>
      <c r="CG32" s="1947"/>
      <c r="CH32" s="1947"/>
      <c r="CI32" s="1947"/>
      <c r="CJ32" s="1947"/>
      <c r="CK32" s="1947"/>
      <c r="CL32" s="1947"/>
      <c r="CM32" s="1947"/>
      <c r="CN32" s="1947"/>
      <c r="CO32" s="1947"/>
      <c r="CP32" s="1947"/>
      <c r="CQ32" s="1947"/>
      <c r="CR32" s="1947"/>
      <c r="CS32" s="1947"/>
      <c r="CT32" s="1947"/>
      <c r="CU32" s="1947"/>
      <c r="CV32" s="1947"/>
      <c r="CW32" s="1947"/>
      <c r="CX32" s="1947"/>
      <c r="CY32" s="1947"/>
      <c r="CZ32" s="1947"/>
      <c r="DA32" s="1947"/>
      <c r="DB32" s="1947"/>
      <c r="DC32" s="1947"/>
      <c r="DD32" s="1947"/>
      <c r="DE32" s="1947"/>
      <c r="DF32" s="1947"/>
      <c r="DG32" s="1947"/>
      <c r="DH32" s="1947"/>
      <c r="DI32" s="1947"/>
      <c r="DJ32" s="1947"/>
      <c r="DK32" s="1947"/>
      <c r="DL32" s="1947"/>
      <c r="DM32" s="1947"/>
      <c r="DN32" s="1947"/>
      <c r="DO32" s="1947"/>
      <c r="DP32" s="1947"/>
      <c r="DQ32" s="1947"/>
      <c r="DR32" s="1947"/>
      <c r="DS32" s="1947"/>
      <c r="DT32" s="1947"/>
      <c r="DU32" s="1947"/>
      <c r="DV32" s="1947"/>
      <c r="DW32" s="1947"/>
      <c r="DX32" s="1947"/>
      <c r="DY32" s="1947"/>
      <c r="DZ32" s="1947"/>
      <c r="EA32" s="1947"/>
    </row>
    <row r="33" spans="1:131" s="1946" customFormat="1" ht="12" hidden="1" customHeight="1" outlineLevel="1" x14ac:dyDescent="0.2">
      <c r="A33" s="1951" t="s">
        <v>891</v>
      </c>
      <c r="B33" s="1952" t="s">
        <v>4923</v>
      </c>
      <c r="C33" s="1948"/>
      <c r="D33" s="1952"/>
      <c r="E33" s="1948"/>
      <c r="F33" s="1952"/>
      <c r="G33" s="1952"/>
      <c r="H33" s="1948"/>
      <c r="I33" s="1952"/>
      <c r="J33" s="1948"/>
      <c r="K33" s="1948"/>
      <c r="L33" s="1948"/>
      <c r="M33" s="1948"/>
      <c r="N33" s="1948"/>
      <c r="O33" s="1948"/>
      <c r="P33" s="1948"/>
      <c r="Q33" s="1948"/>
      <c r="R33" s="1948"/>
      <c r="S33" s="1948"/>
      <c r="T33" s="1948"/>
      <c r="U33" s="1948"/>
      <c r="V33" s="1948"/>
      <c r="W33" s="1948"/>
      <c r="X33" s="1948"/>
      <c r="Y33" s="1952"/>
      <c r="Z33" s="1952"/>
      <c r="AA33" s="1952"/>
      <c r="AB33" s="1952"/>
      <c r="AC33" s="1952"/>
      <c r="AD33" s="1948"/>
      <c r="AE33" s="1952"/>
      <c r="AF33" s="1952"/>
      <c r="AG33" s="1952"/>
      <c r="AH33" s="1952"/>
      <c r="AI33" s="1952"/>
      <c r="AJ33" s="1948"/>
      <c r="AK33" s="1952"/>
      <c r="AL33" s="1952"/>
      <c r="AM33" s="1948"/>
      <c r="AN33" s="1952"/>
      <c r="AO33" s="1948"/>
      <c r="AP33" s="1952"/>
      <c r="AQ33" s="1952"/>
      <c r="AR33" s="1948"/>
      <c r="AS33" s="1952"/>
      <c r="AT33" s="1948"/>
      <c r="AU33" s="1952"/>
      <c r="AV33" s="1948"/>
      <c r="AW33" s="1952"/>
      <c r="AX33" s="1948"/>
      <c r="AY33" s="1952"/>
      <c r="AZ33" s="1948"/>
      <c r="BA33" s="1952"/>
      <c r="BB33" s="1948"/>
      <c r="BC33" s="1952"/>
      <c r="BD33" s="1948"/>
      <c r="BE33" s="1952"/>
      <c r="BF33" s="1948"/>
      <c r="BG33" s="1952"/>
      <c r="BH33" s="1948"/>
      <c r="BI33" s="1952"/>
      <c r="BJ33" s="1948"/>
      <c r="BK33" s="1948"/>
      <c r="BL33" s="1948"/>
      <c r="BM33" s="1948"/>
      <c r="BN33" s="1948"/>
      <c r="BO33" s="1948"/>
      <c r="BP33" s="1948"/>
      <c r="BQ33" s="1948"/>
      <c r="BR33" s="1948"/>
      <c r="BS33" s="1948"/>
      <c r="BT33" s="1948"/>
      <c r="BU33" s="1948"/>
      <c r="BV33" s="1948"/>
      <c r="BW33" s="1948"/>
      <c r="BX33" s="1948"/>
      <c r="BY33" s="1948"/>
      <c r="BZ33" s="1948"/>
      <c r="CA33" s="1948"/>
      <c r="CB33" s="1947"/>
      <c r="CC33" s="1947"/>
      <c r="CD33" s="1947"/>
      <c r="CE33" s="1947"/>
      <c r="CF33" s="1947"/>
      <c r="CG33" s="1947"/>
      <c r="CH33" s="1947"/>
      <c r="CI33" s="1947"/>
      <c r="CJ33" s="1947"/>
      <c r="CK33" s="1947"/>
      <c r="CL33" s="1947"/>
      <c r="CM33" s="1947"/>
      <c r="CN33" s="1947"/>
      <c r="CO33" s="1947"/>
      <c r="CP33" s="1947"/>
      <c r="CQ33" s="1947"/>
      <c r="CR33" s="1947"/>
      <c r="CS33" s="1947"/>
      <c r="CT33" s="1947"/>
      <c r="CU33" s="1947"/>
      <c r="CV33" s="1947"/>
      <c r="CW33" s="1947"/>
      <c r="CX33" s="1947"/>
      <c r="CY33" s="1947"/>
      <c r="CZ33" s="1947"/>
      <c r="DA33" s="1947"/>
      <c r="DB33" s="1947"/>
      <c r="DC33" s="1947"/>
      <c r="DD33" s="1947"/>
      <c r="DE33" s="1947"/>
      <c r="DF33" s="1947"/>
      <c r="DG33" s="1947"/>
      <c r="DH33" s="1947"/>
      <c r="DI33" s="1947"/>
      <c r="DJ33" s="1947"/>
      <c r="DK33" s="1947"/>
      <c r="DL33" s="1947"/>
      <c r="DM33" s="1947"/>
      <c r="DN33" s="1947"/>
      <c r="DO33" s="1947"/>
      <c r="DP33" s="1947"/>
      <c r="DQ33" s="1947"/>
      <c r="DR33" s="1947"/>
      <c r="DS33" s="1947"/>
      <c r="DT33" s="1947"/>
      <c r="DU33" s="1947"/>
      <c r="DV33" s="1947"/>
      <c r="DW33" s="1947"/>
      <c r="DX33" s="1947"/>
      <c r="DY33" s="1947"/>
      <c r="DZ33" s="1947"/>
      <c r="EA33" s="1947"/>
    </row>
    <row r="34" spans="1:131" s="1946" customFormat="1" ht="12" hidden="1" customHeight="1" outlineLevel="1" x14ac:dyDescent="0.2">
      <c r="A34" s="1951" t="s">
        <v>893</v>
      </c>
      <c r="B34" s="1952" t="s">
        <v>724</v>
      </c>
      <c r="C34" s="1948"/>
      <c r="D34" s="1952"/>
      <c r="E34" s="1948"/>
      <c r="F34" s="1952"/>
      <c r="G34" s="1952"/>
      <c r="H34" s="1948"/>
      <c r="I34" s="1952"/>
      <c r="J34" s="1953"/>
      <c r="K34" s="1953"/>
      <c r="L34" s="1953"/>
      <c r="M34" s="1953"/>
      <c r="N34" s="1953"/>
      <c r="O34" s="1953"/>
      <c r="P34" s="1953"/>
      <c r="Q34" s="1953"/>
      <c r="R34" s="1948"/>
      <c r="S34" s="1948"/>
      <c r="T34" s="1948"/>
      <c r="U34" s="1948"/>
      <c r="V34" s="1948"/>
      <c r="W34" s="1948"/>
      <c r="X34" s="1948"/>
      <c r="Y34" s="1952"/>
      <c r="Z34" s="1952"/>
      <c r="AA34" s="1952"/>
      <c r="AB34" s="1952"/>
      <c r="AC34" s="1952"/>
      <c r="AD34" s="1948"/>
      <c r="AE34" s="1952"/>
      <c r="AF34" s="1952"/>
      <c r="AG34" s="1952"/>
      <c r="AH34" s="1952"/>
      <c r="AI34" s="1952"/>
      <c r="AJ34" s="1948"/>
      <c r="AK34" s="1952"/>
      <c r="AL34" s="1952"/>
      <c r="AM34" s="1948"/>
      <c r="AN34" s="1952"/>
      <c r="AO34" s="1948"/>
      <c r="AP34" s="1952"/>
      <c r="AQ34" s="1952"/>
      <c r="AR34" s="1948"/>
      <c r="AS34" s="1952"/>
      <c r="AT34" s="1948"/>
      <c r="AU34" s="1952"/>
      <c r="AV34" s="1948"/>
      <c r="AW34" s="1952"/>
      <c r="AX34" s="1948"/>
      <c r="AY34" s="1952"/>
      <c r="AZ34" s="1948"/>
      <c r="BA34" s="1952"/>
      <c r="BB34" s="1953"/>
      <c r="BC34" s="1952"/>
      <c r="BD34" s="1953"/>
      <c r="BE34" s="1952"/>
      <c r="BF34" s="1948"/>
      <c r="BG34" s="1952"/>
      <c r="BH34" s="1953"/>
      <c r="BI34" s="1952"/>
      <c r="BJ34" s="1953"/>
      <c r="BK34" s="1952"/>
      <c r="BL34" s="1948"/>
      <c r="BM34" s="1948"/>
      <c r="BN34" s="1948"/>
      <c r="BO34" s="1948"/>
      <c r="BP34" s="1948"/>
      <c r="BQ34" s="1948"/>
      <c r="BR34" s="1948"/>
      <c r="BS34" s="1948"/>
      <c r="BT34" s="1948"/>
      <c r="BU34" s="1948"/>
      <c r="BV34" s="1948"/>
      <c r="BW34" s="1948"/>
      <c r="BX34" s="1948"/>
      <c r="BY34" s="1948"/>
      <c r="BZ34" s="1948"/>
      <c r="CA34" s="1948"/>
      <c r="CB34" s="1947"/>
      <c r="CC34" s="1947"/>
      <c r="CD34" s="1947"/>
      <c r="CE34" s="1947"/>
      <c r="CF34" s="1953"/>
      <c r="CG34" s="1947"/>
      <c r="CH34" s="1953"/>
      <c r="CI34" s="1947"/>
      <c r="CJ34" s="1953"/>
      <c r="CK34" s="1947"/>
      <c r="CL34" s="1947"/>
      <c r="CM34" s="1947"/>
      <c r="CN34" s="1947"/>
      <c r="CO34" s="1947"/>
      <c r="CP34" s="1947"/>
      <c r="CQ34" s="1947"/>
      <c r="CR34" s="1947"/>
      <c r="CS34" s="1947"/>
      <c r="CT34" s="1947"/>
      <c r="CU34" s="1947"/>
      <c r="CV34" s="1947"/>
      <c r="CW34" s="1947"/>
      <c r="CX34" s="1947"/>
      <c r="CY34" s="1947"/>
      <c r="CZ34" s="1947"/>
      <c r="DA34" s="1947"/>
      <c r="DB34" s="1947"/>
      <c r="DC34" s="1947"/>
      <c r="DD34" s="1947"/>
      <c r="DE34" s="1947"/>
      <c r="DF34" s="1947"/>
      <c r="DG34" s="1947"/>
      <c r="DH34" s="1947"/>
      <c r="DI34" s="1947"/>
      <c r="DJ34" s="1947"/>
      <c r="DK34" s="1947"/>
      <c r="DL34" s="1947"/>
      <c r="DM34" s="1947"/>
      <c r="DN34" s="1947"/>
      <c r="DO34" s="1947"/>
      <c r="DP34" s="1947"/>
      <c r="DQ34" s="1947"/>
      <c r="DR34" s="1947"/>
      <c r="DS34" s="1947"/>
      <c r="DT34" s="1947"/>
      <c r="DU34" s="1947"/>
      <c r="DV34" s="1947"/>
      <c r="DW34" s="1947"/>
      <c r="DX34" s="1947"/>
      <c r="DY34" s="1947"/>
      <c r="DZ34" s="1947"/>
      <c r="EA34" s="1947"/>
    </row>
    <row r="35" spans="1:131" ht="12" hidden="1" customHeight="1" outlineLevel="1" x14ac:dyDescent="0.2">
      <c r="A35" s="1951"/>
      <c r="B35" s="1951"/>
      <c r="C35" s="1951"/>
      <c r="D35" s="1951"/>
      <c r="I35" s="1951"/>
      <c r="J35" s="1951"/>
      <c r="K35" s="1951"/>
      <c r="L35" s="1951"/>
      <c r="M35" s="1951"/>
      <c r="N35" s="1951"/>
      <c r="O35" s="1951"/>
      <c r="P35" s="1951"/>
      <c r="Q35" s="1951"/>
      <c r="R35" s="1951"/>
      <c r="S35" s="1951"/>
      <c r="T35" s="1951"/>
      <c r="U35" s="1951"/>
      <c r="V35" s="1951"/>
      <c r="W35" s="1947"/>
      <c r="X35" s="1947"/>
      <c r="Y35" s="1951"/>
      <c r="Z35" s="1951"/>
      <c r="AA35" s="1957"/>
      <c r="AB35" s="1951"/>
      <c r="AC35" s="1951"/>
      <c r="AD35" s="1951"/>
      <c r="AE35" s="1951"/>
      <c r="AF35" s="1951"/>
      <c r="AG35" s="1951"/>
      <c r="AH35" s="1951"/>
      <c r="AI35" s="1951"/>
      <c r="AJ35" s="1951"/>
      <c r="AK35" s="1951"/>
      <c r="AL35" s="1951"/>
      <c r="AM35" s="1951"/>
      <c r="AN35" s="1951"/>
      <c r="AO35" s="1951"/>
      <c r="AP35" s="1951"/>
      <c r="AQ35" s="1951"/>
      <c r="AR35" s="1951"/>
      <c r="AS35" s="1951"/>
      <c r="AT35" s="1951"/>
      <c r="AU35" s="1951"/>
      <c r="AV35" s="1951"/>
      <c r="AW35" s="1951"/>
      <c r="AX35" s="1951"/>
      <c r="AY35" s="1951"/>
      <c r="AZ35" s="1951"/>
      <c r="BA35" s="1951"/>
      <c r="BB35" s="1951"/>
      <c r="BC35" s="1951"/>
      <c r="BD35" s="1951"/>
      <c r="BE35" s="1951"/>
      <c r="BF35" s="1951"/>
      <c r="BG35" s="1951"/>
      <c r="BH35" s="1951"/>
      <c r="BI35" s="1951"/>
    </row>
    <row r="36" spans="1:131" ht="12.75" collapsed="1" x14ac:dyDescent="0.2">
      <c r="A36" s="1977" t="s">
        <v>894</v>
      </c>
      <c r="B36" s="1978"/>
      <c r="C36" s="1977" t="s">
        <v>895</v>
      </c>
      <c r="D36" s="1978"/>
      <c r="E36" s="1977" t="s">
        <v>896</v>
      </c>
      <c r="F36" s="1979" t="s">
        <v>104</v>
      </c>
      <c r="G36" s="1979" t="s">
        <v>898</v>
      </c>
      <c r="H36" s="1979" t="s">
        <v>899</v>
      </c>
      <c r="I36" s="1979" t="s">
        <v>900</v>
      </c>
    </row>
    <row r="37" spans="1:131" ht="12.75" outlineLevel="2" x14ac:dyDescent="0.2">
      <c r="A37" s="1980" t="s">
        <v>4973</v>
      </c>
      <c r="B37" s="1980" t="s">
        <v>4974</v>
      </c>
      <c r="C37" s="1980" t="s">
        <v>4975</v>
      </c>
      <c r="D37" s="1980" t="s">
        <v>4976</v>
      </c>
      <c r="E37" s="1980" t="s">
        <v>1083</v>
      </c>
      <c r="F37" s="1962">
        <v>-97.271000000000001</v>
      </c>
      <c r="G37" s="1962">
        <v>-26.354500052554528</v>
      </c>
      <c r="H37" s="1962">
        <v>-7.4100161626152241</v>
      </c>
      <c r="I37" s="1962">
        <v>-5.2658980055590412</v>
      </c>
    </row>
    <row r="38" spans="1:131" ht="12.75" outlineLevel="2" x14ac:dyDescent="0.2">
      <c r="A38" s="1980" t="s">
        <v>4973</v>
      </c>
      <c r="B38" s="1980" t="s">
        <v>4974</v>
      </c>
      <c r="C38" s="1980" t="s">
        <v>4977</v>
      </c>
      <c r="D38" s="1980" t="s">
        <v>4978</v>
      </c>
      <c r="E38" s="1980" t="s">
        <v>1083</v>
      </c>
      <c r="F38" s="1962">
        <v>-66.626239999999996</v>
      </c>
      <c r="G38" s="1962">
        <v>-18.051641759429948</v>
      </c>
      <c r="H38" s="1962">
        <v>-5.0755262642954317</v>
      </c>
      <c r="I38" s="1962">
        <v>-3.6069022044997787</v>
      </c>
    </row>
    <row r="39" spans="1:131" ht="12.75" outlineLevel="2" x14ac:dyDescent="0.2">
      <c r="A39" s="1980" t="s">
        <v>4973</v>
      </c>
      <c r="B39" s="1980" t="s">
        <v>4974</v>
      </c>
      <c r="C39" s="1980" t="s">
        <v>4979</v>
      </c>
      <c r="D39" s="1980" t="s">
        <v>4980</v>
      </c>
      <c r="E39" s="1980" t="s">
        <v>920</v>
      </c>
      <c r="F39" s="1962">
        <v>-1136.74766</v>
      </c>
      <c r="G39" s="1962">
        <v>0</v>
      </c>
      <c r="H39" s="1962">
        <v>0</v>
      </c>
      <c r="I39" s="1962">
        <v>0</v>
      </c>
    </row>
    <row r="40" spans="1:131" ht="12.75" outlineLevel="2" x14ac:dyDescent="0.2">
      <c r="A40" s="1980" t="s">
        <v>4973</v>
      </c>
      <c r="B40" s="1980" t="s">
        <v>4974</v>
      </c>
      <c r="C40" s="1980" t="s">
        <v>4981</v>
      </c>
      <c r="D40" s="1980" t="s">
        <v>4982</v>
      </c>
      <c r="E40" s="1980" t="s">
        <v>920</v>
      </c>
      <c r="F40" s="1962">
        <v>-864.21851000000004</v>
      </c>
      <c r="G40" s="1962">
        <v>0</v>
      </c>
      <c r="H40" s="1962">
        <v>0</v>
      </c>
      <c r="I40" s="1962">
        <v>0</v>
      </c>
    </row>
    <row r="41" spans="1:131" ht="13.5" outlineLevel="1" thickBot="1" x14ac:dyDescent="0.25">
      <c r="A41" s="1981" t="s">
        <v>4983</v>
      </c>
      <c r="B41" s="1981"/>
      <c r="C41" s="1981"/>
      <c r="D41" s="1981"/>
      <c r="E41" s="1981"/>
      <c r="F41" s="1965">
        <f>SUBTOTAL(9,F37:F40)</f>
        <v>-2164.8634099999999</v>
      </c>
      <c r="G41" s="1965">
        <f t="shared" ref="G41:I41" si="0">SUBTOTAL(9,G37:G40)</f>
        <v>-44.406141811984476</v>
      </c>
      <c r="H41" s="1965">
        <f t="shared" si="0"/>
        <v>-12.485542426910655</v>
      </c>
      <c r="I41" s="1965">
        <f t="shared" si="0"/>
        <v>-8.8728002100588199</v>
      </c>
    </row>
    <row r="42" spans="1:131" ht="12.75" outlineLevel="2" x14ac:dyDescent="0.2">
      <c r="A42" s="1982" t="s">
        <v>4984</v>
      </c>
      <c r="B42" s="1982" t="s">
        <v>4985</v>
      </c>
      <c r="C42" s="1982" t="s">
        <v>4986</v>
      </c>
      <c r="D42" s="1982" t="s">
        <v>4987</v>
      </c>
      <c r="E42" s="1982" t="s">
        <v>919</v>
      </c>
      <c r="F42" s="2010">
        <v>-16.629110000000001</v>
      </c>
      <c r="G42" s="1962">
        <v>0</v>
      </c>
      <c r="H42" s="1962">
        <v>0</v>
      </c>
      <c r="I42" s="1962">
        <v>-16.629110000000001</v>
      </c>
    </row>
    <row r="43" spans="1:131" ht="13.5" outlineLevel="1" thickBot="1" x14ac:dyDescent="0.25">
      <c r="A43" s="2011" t="s">
        <v>4988</v>
      </c>
      <c r="B43" s="1993"/>
      <c r="C43" s="1993"/>
      <c r="D43" s="1993"/>
      <c r="E43" s="2011"/>
      <c r="F43" s="1974">
        <f t="shared" ref="F43:I43" si="1">SUBTOTAL(9,F42:F42)</f>
        <v>-16.629110000000001</v>
      </c>
      <c r="G43" s="1965">
        <f t="shared" si="1"/>
        <v>0</v>
      </c>
      <c r="H43" s="1965">
        <f t="shared" si="1"/>
        <v>0</v>
      </c>
      <c r="I43" s="1965">
        <f t="shared" si="1"/>
        <v>-16.629110000000001</v>
      </c>
    </row>
    <row r="44" spans="1:131" ht="13.5" thickBot="1" x14ac:dyDescent="0.25">
      <c r="A44" s="1994" t="s">
        <v>1342</v>
      </c>
      <c r="B44" s="1993"/>
      <c r="C44" s="1993"/>
      <c r="D44" s="1993"/>
      <c r="E44" s="1994"/>
      <c r="F44" s="1974">
        <f t="shared" ref="F44:I44" si="2">SUBTOTAL(9,F37:F42)</f>
        <v>-2181.4925199999998</v>
      </c>
      <c r="G44" s="1970">
        <f t="shared" si="2"/>
        <v>-44.406141811984476</v>
      </c>
      <c r="H44" s="1970">
        <f t="shared" si="2"/>
        <v>-12.485542426910655</v>
      </c>
      <c r="I44" s="1970">
        <f t="shared" si="2"/>
        <v>-25.501910210058821</v>
      </c>
    </row>
    <row r="45" spans="1:131" ht="12.75" x14ac:dyDescent="0.2"/>
    <row r="46" spans="1:131" ht="12.75" x14ac:dyDescent="0.2">
      <c r="F46" s="1976"/>
      <c r="I46" s="1995"/>
    </row>
    <row r="47" spans="1:131" ht="12.75" x14ac:dyDescent="0.2"/>
    <row r="48" spans="1:131" ht="12.75" x14ac:dyDescent="0.2">
      <c r="F48" s="2077"/>
      <c r="G48" s="3849" t="s">
        <v>5595</v>
      </c>
      <c r="H48" s="3849"/>
      <c r="I48" s="3849"/>
    </row>
    <row r="49" spans="6:9" ht="12.75" x14ac:dyDescent="0.2">
      <c r="F49" s="2181">
        <f>F44/$F$44</f>
        <v>1</v>
      </c>
      <c r="G49" s="2181">
        <f>G44/$F$44</f>
        <v>2.0355853345756365E-2</v>
      </c>
      <c r="H49" s="2181">
        <f>H44/$F$44</f>
        <v>5.723394562412094E-3</v>
      </c>
      <c r="I49" s="2181">
        <f>I44/$F$44</f>
        <v>1.1690120399798035E-2</v>
      </c>
    </row>
    <row r="50" spans="6:9" ht="12.75" x14ac:dyDescent="0.2"/>
    <row r="51" spans="6:9" ht="12.75" x14ac:dyDescent="0.2"/>
    <row r="52" spans="6:9" ht="12.75" x14ac:dyDescent="0.2"/>
    <row r="53" spans="6:9" ht="12.75" x14ac:dyDescent="0.2"/>
    <row r="54" spans="6:9" ht="12.75" x14ac:dyDescent="0.2"/>
    <row r="55" spans="6:9" ht="12.75" x14ac:dyDescent="0.2"/>
    <row r="56" spans="6:9" ht="12.75" x14ac:dyDescent="0.2"/>
    <row r="57" spans="6:9" ht="12.75" x14ac:dyDescent="0.2"/>
    <row r="58" spans="6:9" ht="12.75" x14ac:dyDescent="0.2"/>
    <row r="59" spans="6:9" ht="12.75" x14ac:dyDescent="0.2"/>
    <row r="60" spans="6:9" ht="12.75" x14ac:dyDescent="0.2"/>
    <row r="61" spans="6:9" ht="12.75" x14ac:dyDescent="0.2"/>
    <row r="62" spans="6:9" ht="12.75" x14ac:dyDescent="0.2"/>
    <row r="63" spans="6:9" ht="12.75" x14ac:dyDescent="0.2"/>
    <row r="64" spans="6:9" ht="12.75" x14ac:dyDescent="0.2"/>
    <row r="65" ht="12.75" x14ac:dyDescent="0.2"/>
    <row r="66" ht="12.75" x14ac:dyDescent="0.2"/>
    <row r="67" ht="12.75" x14ac:dyDescent="0.2"/>
    <row r="68" ht="12.75" x14ac:dyDescent="0.2"/>
    <row r="69" ht="12.75" x14ac:dyDescent="0.2"/>
    <row r="70" ht="12.75" x14ac:dyDescent="0.2"/>
    <row r="71" ht="12.75" x14ac:dyDescent="0.2"/>
    <row r="72" ht="12.75" x14ac:dyDescent="0.2"/>
    <row r="73" ht="12.75" x14ac:dyDescent="0.2"/>
    <row r="74" ht="12.75" x14ac:dyDescent="0.2"/>
    <row r="75" ht="12.75" x14ac:dyDescent="0.2"/>
    <row r="76" ht="12.75" x14ac:dyDescent="0.2"/>
    <row r="77" ht="12.75" x14ac:dyDescent="0.2"/>
    <row r="78" ht="12.75" x14ac:dyDescent="0.2"/>
    <row r="79" ht="12.75" x14ac:dyDescent="0.2"/>
    <row r="80" ht="12.75" x14ac:dyDescent="0.2"/>
    <row r="81" ht="12.75" x14ac:dyDescent="0.2"/>
    <row r="82" ht="12.75" x14ac:dyDescent="0.2"/>
    <row r="83" ht="12.75" x14ac:dyDescent="0.2"/>
    <row r="84" ht="12.75" x14ac:dyDescent="0.2"/>
    <row r="85" ht="12.75" x14ac:dyDescent="0.2"/>
    <row r="86" ht="12.75" x14ac:dyDescent="0.2"/>
    <row r="87" ht="12.75" x14ac:dyDescent="0.2"/>
    <row r="88" ht="12.75" x14ac:dyDescent="0.2"/>
    <row r="89" ht="12.75" x14ac:dyDescent="0.2"/>
    <row r="90" ht="12.75" x14ac:dyDescent="0.2"/>
    <row r="91" ht="12.75" x14ac:dyDescent="0.2"/>
    <row r="92" ht="12.75" x14ac:dyDescent="0.2"/>
    <row r="93" ht="12.75" x14ac:dyDescent="0.2"/>
    <row r="94" ht="12.75" x14ac:dyDescent="0.2"/>
    <row r="95" ht="12.75" x14ac:dyDescent="0.2"/>
    <row r="96" ht="12.75" x14ac:dyDescent="0.2"/>
    <row r="97" ht="12.75" x14ac:dyDescent="0.2"/>
    <row r="98" ht="12.75" x14ac:dyDescent="0.2"/>
    <row r="99" ht="12.75" x14ac:dyDescent="0.2"/>
    <row r="100" ht="12.75" x14ac:dyDescent="0.2"/>
    <row r="101" ht="12.75" x14ac:dyDescent="0.2"/>
    <row r="102" ht="12.75" x14ac:dyDescent="0.2"/>
    <row r="103" ht="12.75" x14ac:dyDescent="0.2"/>
    <row r="104" ht="12.75" x14ac:dyDescent="0.2"/>
    <row r="105" ht="12.75" x14ac:dyDescent="0.2"/>
    <row r="106" ht="12.75" x14ac:dyDescent="0.2"/>
    <row r="107" ht="12.75" x14ac:dyDescent="0.2"/>
    <row r="108" ht="12.75" x14ac:dyDescent="0.2"/>
    <row r="109" ht="12.75" x14ac:dyDescent="0.2"/>
    <row r="110" ht="12.75" x14ac:dyDescent="0.2"/>
    <row r="111" ht="12.75" x14ac:dyDescent="0.2"/>
    <row r="112" ht="12.75" x14ac:dyDescent="0.2"/>
    <row r="113" ht="12.75" x14ac:dyDescent="0.2"/>
    <row r="114" ht="12.75" x14ac:dyDescent="0.2"/>
    <row r="115" ht="12.75" x14ac:dyDescent="0.2"/>
    <row r="116" ht="12.75" x14ac:dyDescent="0.2"/>
    <row r="117" ht="12.75" x14ac:dyDescent="0.2"/>
    <row r="118" ht="12.75" x14ac:dyDescent="0.2"/>
    <row r="119" ht="12.75" x14ac:dyDescent="0.2"/>
    <row r="120" ht="12.75" x14ac:dyDescent="0.2"/>
    <row r="121" ht="12.75" x14ac:dyDescent="0.2"/>
    <row r="122" ht="12.75" x14ac:dyDescent="0.2"/>
    <row r="123" ht="12.75" x14ac:dyDescent="0.2"/>
    <row r="124" ht="12.75" x14ac:dyDescent="0.2"/>
    <row r="125" ht="12.75" x14ac:dyDescent="0.2"/>
    <row r="126" ht="12.75" x14ac:dyDescent="0.2"/>
    <row r="127" ht="12.75" x14ac:dyDescent="0.2"/>
    <row r="128" ht="12.75" x14ac:dyDescent="0.2"/>
    <row r="129" ht="12.75" x14ac:dyDescent="0.2"/>
    <row r="130" ht="12.75" x14ac:dyDescent="0.2"/>
    <row r="131" ht="12.75" x14ac:dyDescent="0.2"/>
    <row r="132" ht="12.75" x14ac:dyDescent="0.2"/>
    <row r="133" ht="12.75" x14ac:dyDescent="0.2"/>
    <row r="134" ht="12.75" x14ac:dyDescent="0.2"/>
    <row r="135" ht="12.75" x14ac:dyDescent="0.2"/>
    <row r="136" ht="12.75" x14ac:dyDescent="0.2"/>
    <row r="137" ht="12.75" x14ac:dyDescent="0.2"/>
    <row r="138" ht="12.75" x14ac:dyDescent="0.2"/>
    <row r="139" ht="12.75" x14ac:dyDescent="0.2"/>
    <row r="140" ht="12.75" x14ac:dyDescent="0.2"/>
    <row r="141" ht="12.75" x14ac:dyDescent="0.2"/>
    <row r="142" ht="12.75" x14ac:dyDescent="0.2"/>
    <row r="143" ht="12.75" x14ac:dyDescent="0.2"/>
    <row r="144" ht="12.75" x14ac:dyDescent="0.2"/>
    <row r="145" ht="12.75" x14ac:dyDescent="0.2"/>
    <row r="146" ht="12.75" x14ac:dyDescent="0.2"/>
    <row r="147" ht="12.75" x14ac:dyDescent="0.2"/>
    <row r="148" ht="12.75" x14ac:dyDescent="0.2"/>
    <row r="149" ht="12.75" x14ac:dyDescent="0.2"/>
    <row r="150" ht="12.75" x14ac:dyDescent="0.2"/>
    <row r="151" ht="12.75" x14ac:dyDescent="0.2"/>
    <row r="152" ht="12.75" x14ac:dyDescent="0.2"/>
    <row r="153" ht="12.75" x14ac:dyDescent="0.2"/>
    <row r="154" ht="12.75" x14ac:dyDescent="0.2"/>
    <row r="155" ht="12.75" x14ac:dyDescent="0.2"/>
    <row r="156" ht="12.75" x14ac:dyDescent="0.2"/>
    <row r="157" ht="12.75" x14ac:dyDescent="0.2"/>
    <row r="158" ht="12.75" x14ac:dyDescent="0.2"/>
    <row r="159" ht="12.75" x14ac:dyDescent="0.2"/>
    <row r="160" ht="12.75" x14ac:dyDescent="0.2"/>
    <row r="161" ht="12.75" x14ac:dyDescent="0.2"/>
    <row r="162" ht="12.75" x14ac:dyDescent="0.2"/>
    <row r="163" ht="12.75" x14ac:dyDescent="0.2"/>
    <row r="164" ht="12.75" x14ac:dyDescent="0.2"/>
    <row r="165" ht="12.75" x14ac:dyDescent="0.2"/>
    <row r="166" ht="12.75" x14ac:dyDescent="0.2"/>
    <row r="167" ht="12.75" x14ac:dyDescent="0.2"/>
    <row r="168" ht="12.75" x14ac:dyDescent="0.2"/>
    <row r="169" ht="12.75" x14ac:dyDescent="0.2"/>
    <row r="170" ht="12.75" x14ac:dyDescent="0.2"/>
    <row r="171" ht="12.75" x14ac:dyDescent="0.2"/>
    <row r="172" ht="12.75" x14ac:dyDescent="0.2"/>
    <row r="173" ht="12.75" x14ac:dyDescent="0.2"/>
    <row r="174" ht="12.75" x14ac:dyDescent="0.2"/>
    <row r="175" ht="12.75" x14ac:dyDescent="0.2"/>
    <row r="176" ht="12.75" x14ac:dyDescent="0.2"/>
    <row r="177" ht="12.75" x14ac:dyDescent="0.2"/>
    <row r="178" ht="12.75" x14ac:dyDescent="0.2"/>
    <row r="179" ht="12.75" x14ac:dyDescent="0.2"/>
    <row r="180" ht="12.75" x14ac:dyDescent="0.2"/>
    <row r="181" ht="12.75" x14ac:dyDescent="0.2"/>
    <row r="182" ht="12.75" x14ac:dyDescent="0.2"/>
    <row r="183" ht="12.75" x14ac:dyDescent="0.2"/>
    <row r="184" ht="12.75" x14ac:dyDescent="0.2"/>
    <row r="185" ht="12.75" x14ac:dyDescent="0.2"/>
    <row r="186" ht="12.75" x14ac:dyDescent="0.2"/>
    <row r="187" ht="12.75" x14ac:dyDescent="0.2"/>
    <row r="188" ht="12.75" x14ac:dyDescent="0.2"/>
    <row r="189" ht="12.75" x14ac:dyDescent="0.2"/>
    <row r="190" ht="12.75" x14ac:dyDescent="0.2"/>
    <row r="191" ht="12.75" x14ac:dyDescent="0.2"/>
    <row r="192" ht="12.75" x14ac:dyDescent="0.2"/>
    <row r="193" ht="12.75" x14ac:dyDescent="0.2"/>
    <row r="194" ht="12.75" x14ac:dyDescent="0.2"/>
    <row r="195" ht="12.75" x14ac:dyDescent="0.2"/>
    <row r="196" ht="12.75" x14ac:dyDescent="0.2"/>
    <row r="197" ht="12.75" x14ac:dyDescent="0.2"/>
    <row r="198" ht="12.75" x14ac:dyDescent="0.2"/>
    <row r="199" ht="12.75" x14ac:dyDescent="0.2"/>
    <row r="200" ht="12.75" x14ac:dyDescent="0.2"/>
    <row r="201" ht="12.75" x14ac:dyDescent="0.2"/>
    <row r="202" ht="12.75" x14ac:dyDescent="0.2"/>
    <row r="203" ht="12.75" x14ac:dyDescent="0.2"/>
    <row r="204" ht="12.75" x14ac:dyDescent="0.2"/>
    <row r="205" ht="12.75" x14ac:dyDescent="0.2"/>
    <row r="206" ht="12.75" x14ac:dyDescent="0.2"/>
    <row r="207" ht="12.75" x14ac:dyDescent="0.2"/>
    <row r="208" ht="12.75" x14ac:dyDescent="0.2"/>
    <row r="209" ht="12.75" x14ac:dyDescent="0.2"/>
    <row r="210" ht="12.75" x14ac:dyDescent="0.2"/>
    <row r="211" ht="12.75" x14ac:dyDescent="0.2"/>
    <row r="212" ht="12.75" x14ac:dyDescent="0.2"/>
    <row r="213" ht="12.75" x14ac:dyDescent="0.2"/>
    <row r="214" ht="12.75" x14ac:dyDescent="0.2"/>
    <row r="215" ht="12.75" x14ac:dyDescent="0.2"/>
    <row r="216" ht="12.75" x14ac:dyDescent="0.2"/>
    <row r="217" ht="12.75" x14ac:dyDescent="0.2"/>
    <row r="218" ht="12.75" x14ac:dyDescent="0.2"/>
    <row r="219" ht="12.75" x14ac:dyDescent="0.2"/>
    <row r="220" ht="12.75" x14ac:dyDescent="0.2"/>
    <row r="221" ht="12.75" x14ac:dyDescent="0.2"/>
    <row r="222" ht="12.75" x14ac:dyDescent="0.2"/>
    <row r="223" ht="12.75" x14ac:dyDescent="0.2"/>
    <row r="224" ht="12.75" x14ac:dyDescent="0.2"/>
    <row r="225" ht="12.75" x14ac:dyDescent="0.2"/>
    <row r="226" ht="12.75" x14ac:dyDescent="0.2"/>
    <row r="227" ht="12.75" x14ac:dyDescent="0.2"/>
    <row r="228" ht="12.75" x14ac:dyDescent="0.2"/>
    <row r="229" ht="12.75" x14ac:dyDescent="0.2"/>
    <row r="230" ht="12.75" x14ac:dyDescent="0.2"/>
    <row r="231" ht="12.75" x14ac:dyDescent="0.2"/>
    <row r="232" ht="12.75" x14ac:dyDescent="0.2"/>
    <row r="233" ht="12.75" x14ac:dyDescent="0.2"/>
    <row r="234" ht="12.75" x14ac:dyDescent="0.2"/>
    <row r="235" ht="12.75" x14ac:dyDescent="0.2"/>
    <row r="236" ht="12.75" x14ac:dyDescent="0.2"/>
    <row r="237" ht="12.75" x14ac:dyDescent="0.2"/>
    <row r="238" ht="12.75" x14ac:dyDescent="0.2"/>
    <row r="239" ht="12.75" x14ac:dyDescent="0.2"/>
    <row r="240" ht="12.75" x14ac:dyDescent="0.2"/>
    <row r="241" ht="12.75" x14ac:dyDescent="0.2"/>
    <row r="242" ht="12.75" x14ac:dyDescent="0.2"/>
    <row r="243" ht="12.75" x14ac:dyDescent="0.2"/>
    <row r="244" ht="12.75" x14ac:dyDescent="0.2"/>
    <row r="245" ht="12.75" x14ac:dyDescent="0.2"/>
    <row r="246" ht="12.75" x14ac:dyDescent="0.2"/>
    <row r="247" ht="12.75" x14ac:dyDescent="0.2"/>
    <row r="248" ht="12.75" x14ac:dyDescent="0.2"/>
    <row r="249" ht="12.75" x14ac:dyDescent="0.2"/>
    <row r="250" ht="12.75" x14ac:dyDescent="0.2"/>
    <row r="251" ht="12.75" x14ac:dyDescent="0.2"/>
    <row r="252" ht="12.75" x14ac:dyDescent="0.2"/>
    <row r="253" ht="12.75" x14ac:dyDescent="0.2"/>
    <row r="254" ht="12.75" x14ac:dyDescent="0.2"/>
    <row r="255" ht="12.75" x14ac:dyDescent="0.2"/>
    <row r="256" ht="12.75" x14ac:dyDescent="0.2"/>
    <row r="257" ht="12.75" x14ac:dyDescent="0.2"/>
    <row r="258" ht="12.75" x14ac:dyDescent="0.2"/>
    <row r="259" ht="12.75" x14ac:dyDescent="0.2"/>
    <row r="260" ht="12.75" x14ac:dyDescent="0.2"/>
    <row r="261" ht="12.75" x14ac:dyDescent="0.2"/>
    <row r="262" ht="12.75" x14ac:dyDescent="0.2"/>
    <row r="263" ht="12.75" x14ac:dyDescent="0.2"/>
    <row r="264" ht="12.75" x14ac:dyDescent="0.2"/>
    <row r="265" ht="12.75" x14ac:dyDescent="0.2"/>
    <row r="266" ht="12.75" x14ac:dyDescent="0.2"/>
    <row r="267" ht="12.75" x14ac:dyDescent="0.2"/>
    <row r="268" ht="12.75" x14ac:dyDescent="0.2"/>
    <row r="269" ht="12.75" x14ac:dyDescent="0.2"/>
    <row r="270" ht="12.75" x14ac:dyDescent="0.2"/>
    <row r="271" ht="12.75" x14ac:dyDescent="0.2"/>
    <row r="272" ht="12.75" x14ac:dyDescent="0.2"/>
    <row r="273" ht="12.75" x14ac:dyDescent="0.2"/>
    <row r="274" ht="12.75" x14ac:dyDescent="0.2"/>
    <row r="275" ht="12.75" x14ac:dyDescent="0.2"/>
    <row r="276" ht="12.75" x14ac:dyDescent="0.2"/>
    <row r="277" ht="12.75" x14ac:dyDescent="0.2"/>
    <row r="278" ht="12.75" x14ac:dyDescent="0.2"/>
    <row r="279" ht="12.75" x14ac:dyDescent="0.2"/>
    <row r="280" ht="12.75" x14ac:dyDescent="0.2"/>
    <row r="281" ht="12.75" x14ac:dyDescent="0.2"/>
    <row r="282" ht="12.75" x14ac:dyDescent="0.2"/>
    <row r="283" ht="12.75" x14ac:dyDescent="0.2"/>
    <row r="284" ht="12.75" x14ac:dyDescent="0.2"/>
    <row r="285" ht="12.75" x14ac:dyDescent="0.2"/>
    <row r="286" ht="12.75" x14ac:dyDescent="0.2"/>
    <row r="287" ht="12.75" x14ac:dyDescent="0.2"/>
    <row r="288" ht="12.75" x14ac:dyDescent="0.2"/>
    <row r="289" ht="12.75" x14ac:dyDescent="0.2"/>
    <row r="290" ht="12.75" x14ac:dyDescent="0.2"/>
    <row r="291" ht="12.75" x14ac:dyDescent="0.2"/>
    <row r="292" ht="12.75" x14ac:dyDescent="0.2"/>
    <row r="293" ht="12.75" x14ac:dyDescent="0.2"/>
    <row r="294" ht="12.75" x14ac:dyDescent="0.2"/>
    <row r="295" ht="12.75" x14ac:dyDescent="0.2"/>
    <row r="296" ht="12.75" x14ac:dyDescent="0.2"/>
    <row r="297" ht="12.75" x14ac:dyDescent="0.2"/>
    <row r="298" ht="12.75" x14ac:dyDescent="0.2"/>
    <row r="299" ht="12.75" x14ac:dyDescent="0.2"/>
    <row r="300" ht="12.75" x14ac:dyDescent="0.2"/>
    <row r="301" ht="12.75" x14ac:dyDescent="0.2"/>
    <row r="302" ht="12.75" x14ac:dyDescent="0.2"/>
    <row r="303" ht="12.75" x14ac:dyDescent="0.2"/>
    <row r="304" ht="12.75" x14ac:dyDescent="0.2"/>
    <row r="305" ht="12.75" x14ac:dyDescent="0.2"/>
    <row r="306" ht="12.75" x14ac:dyDescent="0.2"/>
    <row r="307" ht="12.75" x14ac:dyDescent="0.2"/>
    <row r="308" ht="12.75" x14ac:dyDescent="0.2"/>
    <row r="309" ht="12.75" x14ac:dyDescent="0.2"/>
    <row r="310" ht="12.75" x14ac:dyDescent="0.2"/>
    <row r="311" ht="12.75" x14ac:dyDescent="0.2"/>
    <row r="312" ht="12.75" x14ac:dyDescent="0.2"/>
    <row r="313" ht="12.75" x14ac:dyDescent="0.2"/>
    <row r="314" ht="12.75" x14ac:dyDescent="0.2"/>
    <row r="315" ht="12.75" x14ac:dyDescent="0.2"/>
    <row r="316" ht="12.75" x14ac:dyDescent="0.2"/>
    <row r="317" ht="12.75" x14ac:dyDescent="0.2"/>
    <row r="318" ht="12.75" x14ac:dyDescent="0.2"/>
    <row r="319" ht="12.75" x14ac:dyDescent="0.2"/>
    <row r="320" ht="12.75" x14ac:dyDescent="0.2"/>
    <row r="321" ht="12.75" x14ac:dyDescent="0.2"/>
    <row r="322" ht="12.75" x14ac:dyDescent="0.2"/>
    <row r="323" ht="12.75" x14ac:dyDescent="0.2"/>
    <row r="324" ht="12.75" x14ac:dyDescent="0.2"/>
    <row r="325" ht="12.75" x14ac:dyDescent="0.2"/>
    <row r="326" ht="12.75" x14ac:dyDescent="0.2"/>
    <row r="327" ht="12.75" x14ac:dyDescent="0.2"/>
    <row r="328" ht="12.75" x14ac:dyDescent="0.2"/>
    <row r="329" ht="12.75" x14ac:dyDescent="0.2"/>
    <row r="330" ht="12.75" x14ac:dyDescent="0.2"/>
    <row r="331" ht="12.75" x14ac:dyDescent="0.2"/>
    <row r="332" ht="12.75" x14ac:dyDescent="0.2"/>
    <row r="333" ht="12.75" x14ac:dyDescent="0.2"/>
    <row r="334" ht="12.75" x14ac:dyDescent="0.2"/>
    <row r="335" ht="12.75" x14ac:dyDescent="0.2"/>
    <row r="336" ht="12.75" x14ac:dyDescent="0.2"/>
    <row r="337" ht="12.75" x14ac:dyDescent="0.2"/>
    <row r="338" ht="12.75" x14ac:dyDescent="0.2"/>
    <row r="339" ht="12.75" x14ac:dyDescent="0.2"/>
    <row r="340" ht="12.75" x14ac:dyDescent="0.2"/>
    <row r="341" ht="12.75" x14ac:dyDescent="0.2"/>
    <row r="342" ht="12.75" x14ac:dyDescent="0.2"/>
    <row r="343" ht="12.75" x14ac:dyDescent="0.2"/>
    <row r="344" ht="12.75" x14ac:dyDescent="0.2"/>
    <row r="345" ht="12.75" x14ac:dyDescent="0.2"/>
    <row r="346" ht="12.75" x14ac:dyDescent="0.2"/>
    <row r="347" ht="12.75" x14ac:dyDescent="0.2"/>
    <row r="348" ht="12.75" x14ac:dyDescent="0.2"/>
    <row r="349" ht="12.75" x14ac:dyDescent="0.2"/>
    <row r="350" ht="12.75" x14ac:dyDescent="0.2"/>
    <row r="351" ht="12.75" x14ac:dyDescent="0.2"/>
    <row r="352" ht="12.75" x14ac:dyDescent="0.2"/>
    <row r="353" ht="12.75" x14ac:dyDescent="0.2"/>
    <row r="354" ht="12.75" x14ac:dyDescent="0.2"/>
    <row r="355" ht="12.75" x14ac:dyDescent="0.2"/>
    <row r="356" ht="12.75" x14ac:dyDescent="0.2"/>
    <row r="357" ht="12.75" x14ac:dyDescent="0.2"/>
    <row r="358" ht="12.75" x14ac:dyDescent="0.2"/>
    <row r="359" ht="12.75" x14ac:dyDescent="0.2"/>
    <row r="360" ht="12.75" x14ac:dyDescent="0.2"/>
    <row r="361" ht="12.75" x14ac:dyDescent="0.2"/>
    <row r="362" ht="12.75" x14ac:dyDescent="0.2"/>
    <row r="363" ht="12.75" x14ac:dyDescent="0.2"/>
    <row r="364" ht="12.75" x14ac:dyDescent="0.2"/>
    <row r="365" ht="12.75" x14ac:dyDescent="0.2"/>
    <row r="366" ht="12.75" x14ac:dyDescent="0.2"/>
    <row r="367" ht="12.75" x14ac:dyDescent="0.2"/>
    <row r="368" ht="12.75" x14ac:dyDescent="0.2"/>
    <row r="369" ht="12.75" x14ac:dyDescent="0.2"/>
    <row r="370" ht="12.75" x14ac:dyDescent="0.2"/>
    <row r="371" ht="12.75" x14ac:dyDescent="0.2"/>
    <row r="372" ht="12.75" x14ac:dyDescent="0.2"/>
    <row r="373" ht="12.75" x14ac:dyDescent="0.2"/>
    <row r="374" ht="12.75" x14ac:dyDescent="0.2"/>
    <row r="375" ht="12.75" x14ac:dyDescent="0.2"/>
    <row r="376" ht="12.75" x14ac:dyDescent="0.2"/>
    <row r="377" ht="12.75" x14ac:dyDescent="0.2"/>
    <row r="378" ht="12.75" x14ac:dyDescent="0.2"/>
    <row r="379" ht="12.75" x14ac:dyDescent="0.2"/>
    <row r="380" ht="12.75" x14ac:dyDescent="0.2"/>
    <row r="381" ht="12.75" x14ac:dyDescent="0.2"/>
    <row r="382" ht="12.75" x14ac:dyDescent="0.2"/>
    <row r="383" ht="12.75" x14ac:dyDescent="0.2"/>
    <row r="384" ht="12.75" x14ac:dyDescent="0.2"/>
    <row r="385" ht="12.75" x14ac:dyDescent="0.2"/>
    <row r="386" ht="12.75" x14ac:dyDescent="0.2"/>
    <row r="387" ht="12.75" x14ac:dyDescent="0.2"/>
    <row r="388" ht="12.75" x14ac:dyDescent="0.2"/>
    <row r="389" ht="12.75" x14ac:dyDescent="0.2"/>
    <row r="390" ht="12.75" x14ac:dyDescent="0.2"/>
    <row r="391" ht="12.75" x14ac:dyDescent="0.2"/>
    <row r="392" ht="12.75" x14ac:dyDescent="0.2"/>
    <row r="393" ht="12.75" x14ac:dyDescent="0.2"/>
    <row r="394" ht="12.75" x14ac:dyDescent="0.2"/>
    <row r="395" ht="12.75" x14ac:dyDescent="0.2"/>
    <row r="396" ht="12.75" x14ac:dyDescent="0.2"/>
    <row r="397" ht="12.75" x14ac:dyDescent="0.2"/>
    <row r="398" ht="12.75" x14ac:dyDescent="0.2"/>
    <row r="399" ht="12.75" x14ac:dyDescent="0.2"/>
    <row r="400" ht="12.75" x14ac:dyDescent="0.2"/>
    <row r="401" ht="12.75" x14ac:dyDescent="0.2"/>
    <row r="402" ht="12.75" x14ac:dyDescent="0.2"/>
    <row r="403" ht="12.75" x14ac:dyDescent="0.2"/>
    <row r="404" ht="12.75" x14ac:dyDescent="0.2"/>
    <row r="405" ht="12.75" x14ac:dyDescent="0.2"/>
    <row r="406" ht="12.75" x14ac:dyDescent="0.2"/>
    <row r="407" ht="12.75" x14ac:dyDescent="0.2"/>
    <row r="408" ht="12.75" x14ac:dyDescent="0.2"/>
    <row r="409" ht="12.75" x14ac:dyDescent="0.2"/>
    <row r="410" ht="12.75" x14ac:dyDescent="0.2"/>
    <row r="411" ht="12.75" x14ac:dyDescent="0.2"/>
    <row r="412" ht="12.75" x14ac:dyDescent="0.2"/>
    <row r="413" ht="12.75" x14ac:dyDescent="0.2"/>
    <row r="414" ht="12.75" x14ac:dyDescent="0.2"/>
    <row r="415" ht="12.75" x14ac:dyDescent="0.2"/>
    <row r="416" ht="12.75" x14ac:dyDescent="0.2"/>
    <row r="417" ht="12.75" x14ac:dyDescent="0.2"/>
    <row r="418" ht="12.75" x14ac:dyDescent="0.2"/>
    <row r="419" ht="12.75" x14ac:dyDescent="0.2"/>
    <row r="420" ht="12.75" x14ac:dyDescent="0.2"/>
    <row r="421" ht="12.75" x14ac:dyDescent="0.2"/>
    <row r="422" ht="12.75" x14ac:dyDescent="0.2"/>
    <row r="423" ht="12.75" x14ac:dyDescent="0.2"/>
    <row r="424" ht="12.75" x14ac:dyDescent="0.2"/>
    <row r="425" ht="12.75" x14ac:dyDescent="0.2"/>
    <row r="426" ht="12.75" x14ac:dyDescent="0.2"/>
    <row r="427" ht="12.75" x14ac:dyDescent="0.2"/>
    <row r="428" ht="12.75" x14ac:dyDescent="0.2"/>
    <row r="429" ht="12.75" x14ac:dyDescent="0.2"/>
    <row r="430" ht="12.75" x14ac:dyDescent="0.2"/>
    <row r="431" ht="12.75" x14ac:dyDescent="0.2"/>
    <row r="432" ht="12.75" x14ac:dyDescent="0.2"/>
    <row r="433" ht="12.75" x14ac:dyDescent="0.2"/>
    <row r="434" ht="12.75" x14ac:dyDescent="0.2"/>
    <row r="435" ht="12.75" x14ac:dyDescent="0.2"/>
    <row r="436" ht="12.75" x14ac:dyDescent="0.2"/>
    <row r="437" ht="12.75" x14ac:dyDescent="0.2"/>
    <row r="438" ht="12.75" x14ac:dyDescent="0.2"/>
    <row r="439" ht="12.75" x14ac:dyDescent="0.2"/>
    <row r="440" ht="12.75" x14ac:dyDescent="0.2"/>
    <row r="441" ht="12.75" x14ac:dyDescent="0.2"/>
    <row r="442" ht="12.75" x14ac:dyDescent="0.2"/>
    <row r="443" ht="12.75" x14ac:dyDescent="0.2"/>
    <row r="444" ht="12.75" x14ac:dyDescent="0.2"/>
    <row r="445" ht="12.75" x14ac:dyDescent="0.2"/>
    <row r="446" ht="12.75" x14ac:dyDescent="0.2"/>
    <row r="447" ht="12.75" x14ac:dyDescent="0.2"/>
    <row r="448" ht="12.75" x14ac:dyDescent="0.2"/>
    <row r="449" ht="12.75" x14ac:dyDescent="0.2"/>
    <row r="450" ht="12.75" x14ac:dyDescent="0.2"/>
    <row r="451" ht="12.75" x14ac:dyDescent="0.2"/>
    <row r="452" ht="12.75" x14ac:dyDescent="0.2"/>
    <row r="453" ht="12.75" x14ac:dyDescent="0.2"/>
    <row r="454" ht="12.75" x14ac:dyDescent="0.2"/>
    <row r="455" ht="12.75" x14ac:dyDescent="0.2"/>
    <row r="456" ht="12.75" x14ac:dyDescent="0.2"/>
    <row r="457" ht="12.75" x14ac:dyDescent="0.2"/>
    <row r="458" ht="12.75" x14ac:dyDescent="0.2"/>
    <row r="459" ht="12.75" x14ac:dyDescent="0.2"/>
    <row r="460" ht="12.75" x14ac:dyDescent="0.2"/>
    <row r="461" ht="12.75" x14ac:dyDescent="0.2"/>
    <row r="462" ht="12.75" x14ac:dyDescent="0.2"/>
    <row r="463" ht="12.75" x14ac:dyDescent="0.2"/>
    <row r="464" ht="12.75" x14ac:dyDescent="0.2"/>
    <row r="465" ht="12.75" x14ac:dyDescent="0.2"/>
    <row r="466" ht="12.75" x14ac:dyDescent="0.2"/>
    <row r="467" ht="12.75" x14ac:dyDescent="0.2"/>
    <row r="468" ht="12.75" x14ac:dyDescent="0.2"/>
    <row r="469" ht="12.75" x14ac:dyDescent="0.2"/>
    <row r="470" ht="12.75" x14ac:dyDescent="0.2"/>
    <row r="471" ht="12.75" x14ac:dyDescent="0.2"/>
    <row r="472" ht="12.75" x14ac:dyDescent="0.2"/>
    <row r="473" ht="12.75" x14ac:dyDescent="0.2"/>
    <row r="474" ht="12.75" x14ac:dyDescent="0.2"/>
    <row r="475" ht="12.75" x14ac:dyDescent="0.2"/>
    <row r="476" ht="12.75" x14ac:dyDescent="0.2"/>
    <row r="477" ht="12.75" x14ac:dyDescent="0.2"/>
    <row r="478" ht="12.75" x14ac:dyDescent="0.2"/>
    <row r="479" ht="12.75" x14ac:dyDescent="0.2"/>
    <row r="480" ht="12.75" x14ac:dyDescent="0.2"/>
    <row r="481" ht="12.75" x14ac:dyDescent="0.2"/>
    <row r="482" ht="12.75" x14ac:dyDescent="0.2"/>
    <row r="483" ht="12.75" x14ac:dyDescent="0.2"/>
    <row r="484" ht="12.75" x14ac:dyDescent="0.2"/>
    <row r="485" ht="12.75" x14ac:dyDescent="0.2"/>
    <row r="486" ht="12.75" x14ac:dyDescent="0.2"/>
    <row r="487" ht="12.75" x14ac:dyDescent="0.2"/>
    <row r="488" ht="12.75" x14ac:dyDescent="0.2"/>
    <row r="489" ht="12.75" x14ac:dyDescent="0.2"/>
    <row r="490" ht="12.75" x14ac:dyDescent="0.2"/>
    <row r="491" ht="12.75" x14ac:dyDescent="0.2"/>
    <row r="492" ht="12.75" x14ac:dyDescent="0.2"/>
    <row r="493" ht="12.75" x14ac:dyDescent="0.2"/>
    <row r="494" ht="12.75" x14ac:dyDescent="0.2"/>
    <row r="495" ht="12.75" x14ac:dyDescent="0.2"/>
    <row r="496" ht="12.75" x14ac:dyDescent="0.2"/>
    <row r="497" ht="12.75" x14ac:dyDescent="0.2"/>
    <row r="498" ht="12.75" x14ac:dyDescent="0.2"/>
    <row r="499" ht="12.75" x14ac:dyDescent="0.2"/>
    <row r="500" ht="12.75" x14ac:dyDescent="0.2"/>
    <row r="501" ht="12.75" x14ac:dyDescent="0.2"/>
    <row r="502" ht="12.75" x14ac:dyDescent="0.2"/>
    <row r="503" ht="12.75" x14ac:dyDescent="0.2"/>
    <row r="504" ht="12.75" x14ac:dyDescent="0.2"/>
    <row r="505" ht="12.75" x14ac:dyDescent="0.2"/>
    <row r="506" ht="12.75" x14ac:dyDescent="0.2"/>
    <row r="507" ht="12.75" x14ac:dyDescent="0.2"/>
    <row r="508" ht="12.75" x14ac:dyDescent="0.2"/>
    <row r="509" ht="12.75" x14ac:dyDescent="0.2"/>
    <row r="510" ht="12.75" x14ac:dyDescent="0.2"/>
    <row r="511" ht="12.75" x14ac:dyDescent="0.2"/>
    <row r="512" ht="12.75" x14ac:dyDescent="0.2"/>
    <row r="513" ht="12.75" x14ac:dyDescent="0.2"/>
    <row r="514" ht="12.75" x14ac:dyDescent="0.2"/>
    <row r="515" ht="12.75" x14ac:dyDescent="0.2"/>
    <row r="516" ht="12.75" x14ac:dyDescent="0.2"/>
    <row r="517" ht="12.75" x14ac:dyDescent="0.2"/>
    <row r="518" ht="12.75" x14ac:dyDescent="0.2"/>
    <row r="519" ht="12.75" x14ac:dyDescent="0.2"/>
    <row r="520" ht="12.75" x14ac:dyDescent="0.2"/>
    <row r="521" ht="12.75" x14ac:dyDescent="0.2"/>
    <row r="522" ht="12.75" x14ac:dyDescent="0.2"/>
    <row r="523" ht="12.75" x14ac:dyDescent="0.2"/>
    <row r="524" ht="12.75" x14ac:dyDescent="0.2"/>
    <row r="525" ht="12.75" x14ac:dyDescent="0.2"/>
    <row r="526" ht="12.75" x14ac:dyDescent="0.2"/>
    <row r="527" ht="12.75" x14ac:dyDescent="0.2"/>
    <row r="528" ht="12.75" x14ac:dyDescent="0.2"/>
    <row r="529" ht="12.75" x14ac:dyDescent="0.2"/>
    <row r="530" ht="12.75" x14ac:dyDescent="0.2"/>
    <row r="531" ht="12.75" x14ac:dyDescent="0.2"/>
    <row r="532" ht="12.75" x14ac:dyDescent="0.2"/>
    <row r="533" ht="12.75" x14ac:dyDescent="0.2"/>
    <row r="534" ht="12.75" x14ac:dyDescent="0.2"/>
    <row r="535" ht="12.75" x14ac:dyDescent="0.2"/>
    <row r="536" ht="12.75" x14ac:dyDescent="0.2"/>
    <row r="537" ht="12.75" x14ac:dyDescent="0.2"/>
    <row r="538" ht="12.75" x14ac:dyDescent="0.2"/>
    <row r="539" ht="12.75" x14ac:dyDescent="0.2"/>
    <row r="540" ht="12.75" x14ac:dyDescent="0.2"/>
    <row r="541" ht="12.75" x14ac:dyDescent="0.2"/>
    <row r="542" ht="12.75" x14ac:dyDescent="0.2"/>
    <row r="543" ht="12.75" x14ac:dyDescent="0.2"/>
    <row r="544" ht="12.75" x14ac:dyDescent="0.2"/>
    <row r="545" ht="12.75" x14ac:dyDescent="0.2"/>
    <row r="546" ht="12.75" x14ac:dyDescent="0.2"/>
    <row r="547" ht="12.75" x14ac:dyDescent="0.2"/>
    <row r="548" ht="12.75" x14ac:dyDescent="0.2"/>
    <row r="549" ht="12.75" x14ac:dyDescent="0.2"/>
    <row r="550" ht="12.75" x14ac:dyDescent="0.2"/>
    <row r="551" ht="12.75" x14ac:dyDescent="0.2"/>
    <row r="552" ht="12.75" x14ac:dyDescent="0.2"/>
    <row r="553" ht="12.75" x14ac:dyDescent="0.2"/>
    <row r="554" ht="12.75" x14ac:dyDescent="0.2"/>
    <row r="555" ht="12.75" x14ac:dyDescent="0.2"/>
    <row r="556" ht="12.75" x14ac:dyDescent="0.2"/>
    <row r="557" ht="12.75" x14ac:dyDescent="0.2"/>
    <row r="558" ht="12.75" x14ac:dyDescent="0.2"/>
    <row r="559" ht="12.75" x14ac:dyDescent="0.2"/>
    <row r="560" ht="12.75" x14ac:dyDescent="0.2"/>
    <row r="561" ht="12.75" x14ac:dyDescent="0.2"/>
    <row r="562" ht="12.75" x14ac:dyDescent="0.2"/>
    <row r="563" ht="12.75" x14ac:dyDescent="0.2"/>
    <row r="564" ht="12.75" x14ac:dyDescent="0.2"/>
    <row r="565" ht="12.75" x14ac:dyDescent="0.2"/>
    <row r="566" ht="12.75" x14ac:dyDescent="0.2"/>
    <row r="567" ht="12.75" x14ac:dyDescent="0.2"/>
    <row r="568" ht="12.75" x14ac:dyDescent="0.2"/>
    <row r="569" ht="12.75" x14ac:dyDescent="0.2"/>
    <row r="570" ht="12.75" x14ac:dyDescent="0.2"/>
    <row r="571" ht="12.75" x14ac:dyDescent="0.2"/>
    <row r="572" ht="12.75" x14ac:dyDescent="0.2"/>
    <row r="573" ht="12.75" x14ac:dyDescent="0.2"/>
    <row r="574" ht="12.75" x14ac:dyDescent="0.2"/>
    <row r="575" ht="12.75" x14ac:dyDescent="0.2"/>
    <row r="576" ht="12.75" x14ac:dyDescent="0.2"/>
    <row r="577" ht="12.75" x14ac:dyDescent="0.2"/>
    <row r="578" ht="12.75" x14ac:dyDescent="0.2"/>
    <row r="579" ht="12.75" x14ac:dyDescent="0.2"/>
    <row r="580" ht="12.75" x14ac:dyDescent="0.2"/>
    <row r="581" ht="12.75" x14ac:dyDescent="0.2"/>
    <row r="582" ht="12.75" x14ac:dyDescent="0.2"/>
    <row r="583" ht="12.75" x14ac:dyDescent="0.2"/>
    <row r="584" ht="12.75" x14ac:dyDescent="0.2"/>
    <row r="585" ht="12.75" x14ac:dyDescent="0.2"/>
    <row r="586" ht="12.75" x14ac:dyDescent="0.2"/>
    <row r="587" ht="12.75" x14ac:dyDescent="0.2"/>
    <row r="588" ht="12.75" x14ac:dyDescent="0.2"/>
    <row r="589" ht="12.75" x14ac:dyDescent="0.2"/>
    <row r="590" ht="12.75" x14ac:dyDescent="0.2"/>
    <row r="591" ht="12.75" x14ac:dyDescent="0.2"/>
    <row r="592" ht="12.75" x14ac:dyDescent="0.2"/>
    <row r="593" ht="12.75" x14ac:dyDescent="0.2"/>
    <row r="594" ht="12.75" x14ac:dyDescent="0.2"/>
    <row r="595" ht="12.75" x14ac:dyDescent="0.2"/>
    <row r="596" ht="12.75" x14ac:dyDescent="0.2"/>
    <row r="597" ht="12.75" x14ac:dyDescent="0.2"/>
    <row r="598" ht="12.75" x14ac:dyDescent="0.2"/>
    <row r="599" ht="12.75" x14ac:dyDescent="0.2"/>
    <row r="600" ht="12.75" x14ac:dyDescent="0.2"/>
    <row r="601" ht="12.75" x14ac:dyDescent="0.2"/>
    <row r="602" ht="12.75" x14ac:dyDescent="0.2"/>
    <row r="603" ht="12.75" x14ac:dyDescent="0.2"/>
    <row r="604" ht="12.75" x14ac:dyDescent="0.2"/>
    <row r="605" ht="12.75" x14ac:dyDescent="0.2"/>
    <row r="606" ht="12.75" x14ac:dyDescent="0.2"/>
    <row r="607" ht="12.75" x14ac:dyDescent="0.2"/>
    <row r="608" ht="12.75" x14ac:dyDescent="0.2"/>
    <row r="609" ht="12.75" x14ac:dyDescent="0.2"/>
    <row r="610" ht="12.75" x14ac:dyDescent="0.2"/>
    <row r="611" ht="12.75" x14ac:dyDescent="0.2"/>
    <row r="612" ht="12.75" x14ac:dyDescent="0.2"/>
    <row r="613" ht="12.75" x14ac:dyDescent="0.2"/>
    <row r="614" ht="12.75" x14ac:dyDescent="0.2"/>
    <row r="615" ht="12.75" x14ac:dyDescent="0.2"/>
    <row r="616" ht="12.75" x14ac:dyDescent="0.2"/>
    <row r="617" ht="12.75" x14ac:dyDescent="0.2"/>
    <row r="618" ht="12.75" x14ac:dyDescent="0.2"/>
    <row r="619" ht="12.75" x14ac:dyDescent="0.2"/>
    <row r="620" ht="12.75" x14ac:dyDescent="0.2"/>
    <row r="621" ht="12.75" x14ac:dyDescent="0.2"/>
    <row r="622" ht="12.75" x14ac:dyDescent="0.2"/>
    <row r="623" ht="12.75" x14ac:dyDescent="0.2"/>
    <row r="624" ht="12.75" x14ac:dyDescent="0.2"/>
    <row r="625" ht="12.75" x14ac:dyDescent="0.2"/>
    <row r="626" ht="12.75" x14ac:dyDescent="0.2"/>
    <row r="627" ht="12.75" x14ac:dyDescent="0.2"/>
    <row r="628" ht="12.75" x14ac:dyDescent="0.2"/>
    <row r="629" ht="12.75" x14ac:dyDescent="0.2"/>
    <row r="630" ht="12.75" x14ac:dyDescent="0.2"/>
    <row r="631" ht="12.75" x14ac:dyDescent="0.2"/>
    <row r="632" ht="12.75" x14ac:dyDescent="0.2"/>
    <row r="633" ht="12.75" x14ac:dyDescent="0.2"/>
    <row r="634" ht="12.75" x14ac:dyDescent="0.2"/>
    <row r="635" ht="12.75" x14ac:dyDescent="0.2"/>
    <row r="636" ht="12.75" x14ac:dyDescent="0.2"/>
    <row r="637" ht="12.75" x14ac:dyDescent="0.2"/>
    <row r="638" ht="12.75" x14ac:dyDescent="0.2"/>
    <row r="639" ht="12.75" x14ac:dyDescent="0.2"/>
    <row r="640" ht="12.75" x14ac:dyDescent="0.2"/>
    <row r="641" ht="12.75" x14ac:dyDescent="0.2"/>
    <row r="642" ht="12.75" x14ac:dyDescent="0.2"/>
    <row r="643" ht="12.75" x14ac:dyDescent="0.2"/>
    <row r="644" ht="12.75" x14ac:dyDescent="0.2"/>
    <row r="645" ht="12.75" x14ac:dyDescent="0.2"/>
    <row r="646" ht="12.75" x14ac:dyDescent="0.2"/>
    <row r="647" ht="12.75" x14ac:dyDescent="0.2"/>
    <row r="648" ht="12.75" x14ac:dyDescent="0.2"/>
    <row r="649" ht="12.75" x14ac:dyDescent="0.2"/>
    <row r="650" ht="12.75" x14ac:dyDescent="0.2"/>
    <row r="651" ht="12.75" x14ac:dyDescent="0.2"/>
    <row r="652" ht="12.75" x14ac:dyDescent="0.2"/>
    <row r="653" ht="12.75" x14ac:dyDescent="0.2"/>
    <row r="654" ht="12.75" x14ac:dyDescent="0.2"/>
    <row r="655" ht="12.75" x14ac:dyDescent="0.2"/>
    <row r="656" ht="12.75" x14ac:dyDescent="0.2"/>
    <row r="657" ht="12.75" x14ac:dyDescent="0.2"/>
    <row r="658" ht="12.75" x14ac:dyDescent="0.2"/>
    <row r="659" ht="12.75" x14ac:dyDescent="0.2"/>
    <row r="660" ht="12.75" x14ac:dyDescent="0.2"/>
    <row r="661" ht="12.75" x14ac:dyDescent="0.2"/>
    <row r="662" ht="12.75" x14ac:dyDescent="0.2"/>
    <row r="663" ht="12.75" x14ac:dyDescent="0.2"/>
    <row r="664" ht="12.75" x14ac:dyDescent="0.2"/>
    <row r="665" ht="12.75" x14ac:dyDescent="0.2"/>
    <row r="666" ht="12.75" x14ac:dyDescent="0.2"/>
    <row r="667" ht="12.75" x14ac:dyDescent="0.2"/>
    <row r="668" ht="12.75" x14ac:dyDescent="0.2"/>
    <row r="669" ht="12.75" x14ac:dyDescent="0.2"/>
    <row r="670" ht="12.75" x14ac:dyDescent="0.2"/>
    <row r="671" ht="12.75" x14ac:dyDescent="0.2"/>
    <row r="672" ht="12.75" x14ac:dyDescent="0.2"/>
    <row r="673" ht="12.75" x14ac:dyDescent="0.2"/>
    <row r="674" ht="12.75" x14ac:dyDescent="0.2"/>
    <row r="675" ht="12.75" x14ac:dyDescent="0.2"/>
    <row r="676" ht="12.75" x14ac:dyDescent="0.2"/>
    <row r="677" ht="12.75" x14ac:dyDescent="0.2"/>
    <row r="678" ht="12.75" x14ac:dyDescent="0.2"/>
    <row r="679" ht="12.75" x14ac:dyDescent="0.2"/>
    <row r="680" ht="12.75" x14ac:dyDescent="0.2"/>
    <row r="681" ht="12.75" x14ac:dyDescent="0.2"/>
    <row r="682" ht="12.75" x14ac:dyDescent="0.2"/>
    <row r="683" ht="12.75" x14ac:dyDescent="0.2"/>
    <row r="684" ht="12.75" x14ac:dyDescent="0.2"/>
    <row r="685" ht="12.75" x14ac:dyDescent="0.2"/>
    <row r="686" ht="12.75" x14ac:dyDescent="0.2"/>
    <row r="687" ht="12.75" x14ac:dyDescent="0.2"/>
    <row r="688" ht="12.75" x14ac:dyDescent="0.2"/>
    <row r="689" ht="12.75" x14ac:dyDescent="0.2"/>
    <row r="690" ht="12.75" x14ac:dyDescent="0.2"/>
    <row r="691" ht="12.75" x14ac:dyDescent="0.2"/>
    <row r="692" ht="12.75" x14ac:dyDescent="0.2"/>
    <row r="693" ht="12.75" x14ac:dyDescent="0.2"/>
    <row r="694" ht="12.75" x14ac:dyDescent="0.2"/>
    <row r="695" ht="12.75" x14ac:dyDescent="0.2"/>
    <row r="696" ht="12.75" x14ac:dyDescent="0.2"/>
    <row r="697" ht="12.75" x14ac:dyDescent="0.2"/>
    <row r="698" ht="12.75" x14ac:dyDescent="0.2"/>
    <row r="699" ht="12.75" x14ac:dyDescent="0.2"/>
    <row r="700" ht="12.75" x14ac:dyDescent="0.2"/>
    <row r="701" ht="12.75" x14ac:dyDescent="0.2"/>
    <row r="702" ht="12.75" x14ac:dyDescent="0.2"/>
    <row r="703" ht="12.75" x14ac:dyDescent="0.2"/>
    <row r="704" ht="12.75" x14ac:dyDescent="0.2"/>
    <row r="705" ht="12.75" x14ac:dyDescent="0.2"/>
    <row r="706" ht="12.75" x14ac:dyDescent="0.2"/>
    <row r="707" ht="12.75" x14ac:dyDescent="0.2"/>
    <row r="708" ht="12.75" x14ac:dyDescent="0.2"/>
    <row r="709" ht="12.75" x14ac:dyDescent="0.2"/>
    <row r="710" ht="12.75" x14ac:dyDescent="0.2"/>
    <row r="711" ht="12.75" x14ac:dyDescent="0.2"/>
    <row r="712" ht="12.75" x14ac:dyDescent="0.2"/>
    <row r="713" ht="12.75" x14ac:dyDescent="0.2"/>
    <row r="714" ht="12.75" x14ac:dyDescent="0.2"/>
    <row r="715" ht="12.75" x14ac:dyDescent="0.2"/>
    <row r="716" ht="12.75" x14ac:dyDescent="0.2"/>
    <row r="717" ht="12.75" x14ac:dyDescent="0.2"/>
    <row r="718" ht="12.75" x14ac:dyDescent="0.2"/>
    <row r="719" ht="12.75" x14ac:dyDescent="0.2"/>
    <row r="720" ht="12.75" x14ac:dyDescent="0.2"/>
    <row r="721" ht="12.75" x14ac:dyDescent="0.2"/>
    <row r="722" ht="12.75" x14ac:dyDescent="0.2"/>
    <row r="723" ht="12.75" x14ac:dyDescent="0.2"/>
    <row r="724" ht="12.75" x14ac:dyDescent="0.2"/>
    <row r="725" ht="12.75" x14ac:dyDescent="0.2"/>
    <row r="726" ht="12.75" x14ac:dyDescent="0.2"/>
    <row r="727" ht="12.75" x14ac:dyDescent="0.2"/>
    <row r="728" ht="12.75" x14ac:dyDescent="0.2"/>
    <row r="729" ht="12.75" x14ac:dyDescent="0.2"/>
    <row r="730" ht="12.75" x14ac:dyDescent="0.2"/>
    <row r="731" ht="12.75" x14ac:dyDescent="0.2"/>
    <row r="732" ht="12.75" x14ac:dyDescent="0.2"/>
    <row r="733" ht="12.75" x14ac:dyDescent="0.2"/>
    <row r="734" ht="12.75" x14ac:dyDescent="0.2"/>
    <row r="735" ht="12.75" x14ac:dyDescent="0.2"/>
    <row r="736" ht="12.75" x14ac:dyDescent="0.2"/>
    <row r="737" ht="12.75" x14ac:dyDescent="0.2"/>
    <row r="738" ht="12.75" x14ac:dyDescent="0.2"/>
    <row r="739" ht="12.75" x14ac:dyDescent="0.2"/>
    <row r="740" ht="12.75" x14ac:dyDescent="0.2"/>
    <row r="741" ht="12.75" x14ac:dyDescent="0.2"/>
    <row r="742" ht="12.75" x14ac:dyDescent="0.2"/>
    <row r="743" ht="12.75" x14ac:dyDescent="0.2"/>
    <row r="744" ht="12.75" x14ac:dyDescent="0.2"/>
    <row r="745" ht="12.75" x14ac:dyDescent="0.2"/>
    <row r="746" ht="12.75" x14ac:dyDescent="0.2"/>
    <row r="747" ht="12.75" x14ac:dyDescent="0.2"/>
    <row r="748" ht="12.75" x14ac:dyDescent="0.2"/>
    <row r="749" ht="12.75" x14ac:dyDescent="0.2"/>
    <row r="750" ht="12.75" x14ac:dyDescent="0.2"/>
    <row r="751" ht="12.75" x14ac:dyDescent="0.2"/>
    <row r="752" ht="12.75" x14ac:dyDescent="0.2"/>
    <row r="753" ht="12.75" x14ac:dyDescent="0.2"/>
    <row r="754" ht="12.75" x14ac:dyDescent="0.2"/>
    <row r="755" ht="12.75" x14ac:dyDescent="0.2"/>
    <row r="756" ht="12.75" x14ac:dyDescent="0.2"/>
    <row r="757" ht="12.75" x14ac:dyDescent="0.2"/>
    <row r="758" ht="12.75" x14ac:dyDescent="0.2"/>
    <row r="759" ht="12.75" x14ac:dyDescent="0.2"/>
    <row r="760" ht="12.75" x14ac:dyDescent="0.2"/>
    <row r="761" ht="12.75" x14ac:dyDescent="0.2"/>
    <row r="762" ht="12.75" x14ac:dyDescent="0.2"/>
    <row r="763" ht="12.75" x14ac:dyDescent="0.2"/>
    <row r="764" ht="12.75" x14ac:dyDescent="0.2"/>
    <row r="765" ht="12.75" x14ac:dyDescent="0.2"/>
    <row r="766" ht="12.75" x14ac:dyDescent="0.2"/>
    <row r="767" ht="12.75" x14ac:dyDescent="0.2"/>
    <row r="768" ht="12.75" x14ac:dyDescent="0.2"/>
    <row r="769" ht="12.75" x14ac:dyDescent="0.2"/>
    <row r="770" ht="12.75" x14ac:dyDescent="0.2"/>
    <row r="771" ht="12.75" x14ac:dyDescent="0.2"/>
    <row r="772" ht="12.75" x14ac:dyDescent="0.2"/>
    <row r="773" ht="12.75" x14ac:dyDescent="0.2"/>
    <row r="774" ht="12.75" x14ac:dyDescent="0.2"/>
    <row r="775" ht="12.75" x14ac:dyDescent="0.2"/>
    <row r="776" ht="12.75" x14ac:dyDescent="0.2"/>
    <row r="777" ht="12.75" x14ac:dyDescent="0.2"/>
    <row r="778" ht="12.75" x14ac:dyDescent="0.2"/>
    <row r="779" ht="12.75" x14ac:dyDescent="0.2"/>
    <row r="780" ht="12.75" x14ac:dyDescent="0.2"/>
    <row r="781" ht="12.75" x14ac:dyDescent="0.2"/>
    <row r="782" ht="12.75" x14ac:dyDescent="0.2"/>
    <row r="783" ht="12.75" x14ac:dyDescent="0.2"/>
    <row r="784" ht="12.75" x14ac:dyDescent="0.2"/>
    <row r="785" ht="12.75" x14ac:dyDescent="0.2"/>
    <row r="786" ht="12.75" x14ac:dyDescent="0.2"/>
    <row r="787" ht="12.75" x14ac:dyDescent="0.2"/>
    <row r="788" ht="12.75" x14ac:dyDescent="0.2"/>
    <row r="789" ht="12.75" x14ac:dyDescent="0.2"/>
    <row r="790" ht="12.75" x14ac:dyDescent="0.2"/>
    <row r="791" ht="12.75" x14ac:dyDescent="0.2"/>
    <row r="792" ht="12.75" x14ac:dyDescent="0.2"/>
    <row r="793" ht="12.75" x14ac:dyDescent="0.2"/>
    <row r="794" ht="12.75" x14ac:dyDescent="0.2"/>
    <row r="795" ht="12.75" x14ac:dyDescent="0.2"/>
    <row r="796" ht="12.75" x14ac:dyDescent="0.2"/>
    <row r="797" ht="12.75" x14ac:dyDescent="0.2"/>
    <row r="798" ht="12.75" x14ac:dyDescent="0.2"/>
    <row r="799" ht="12.75" x14ac:dyDescent="0.2"/>
    <row r="800" ht="12.75" x14ac:dyDescent="0.2"/>
    <row r="801" ht="12.75" x14ac:dyDescent="0.2"/>
    <row r="802" ht="12.75" x14ac:dyDescent="0.2"/>
    <row r="803" ht="12.75" x14ac:dyDescent="0.2"/>
    <row r="804" ht="12.75" x14ac:dyDescent="0.2"/>
    <row r="805" ht="12.75" x14ac:dyDescent="0.2"/>
    <row r="806" ht="12.75" x14ac:dyDescent="0.2"/>
    <row r="807" ht="12.75" x14ac:dyDescent="0.2"/>
    <row r="808" ht="12.75" x14ac:dyDescent="0.2"/>
    <row r="809" ht="12.75" x14ac:dyDescent="0.2"/>
    <row r="810" ht="12.75" x14ac:dyDescent="0.2"/>
    <row r="811" ht="12.75" x14ac:dyDescent="0.2"/>
    <row r="812" ht="12.75" x14ac:dyDescent="0.2"/>
    <row r="813" ht="12.75" x14ac:dyDescent="0.2"/>
    <row r="814" ht="12.75" x14ac:dyDescent="0.2"/>
    <row r="815" ht="12.75" x14ac:dyDescent="0.2"/>
    <row r="816" ht="12.75" x14ac:dyDescent="0.2"/>
    <row r="817" ht="12.75" x14ac:dyDescent="0.2"/>
    <row r="818" ht="12.75" x14ac:dyDescent="0.2"/>
    <row r="819" ht="12.75" x14ac:dyDescent="0.2"/>
    <row r="820" ht="12.75" x14ac:dyDescent="0.2"/>
    <row r="821" ht="12.75" x14ac:dyDescent="0.2"/>
    <row r="822" ht="12.75" x14ac:dyDescent="0.2"/>
    <row r="823" ht="12.75" x14ac:dyDescent="0.2"/>
    <row r="824" ht="12.75" x14ac:dyDescent="0.2"/>
    <row r="825" ht="12.75" x14ac:dyDescent="0.2"/>
    <row r="826" ht="12.75" x14ac:dyDescent="0.2"/>
    <row r="827" ht="12.75" x14ac:dyDescent="0.2"/>
    <row r="828" ht="12.75" x14ac:dyDescent="0.2"/>
    <row r="829" ht="12.75" x14ac:dyDescent="0.2"/>
    <row r="830" ht="12.75" x14ac:dyDescent="0.2"/>
    <row r="831" ht="12.75" x14ac:dyDescent="0.2"/>
    <row r="832" ht="12.75" x14ac:dyDescent="0.2"/>
    <row r="833" ht="12.75" x14ac:dyDescent="0.2"/>
    <row r="834" ht="12.75" x14ac:dyDescent="0.2"/>
    <row r="835" ht="12.75" x14ac:dyDescent="0.2"/>
    <row r="836" ht="12.75" x14ac:dyDescent="0.2"/>
    <row r="837" ht="12.75" x14ac:dyDescent="0.2"/>
    <row r="838" ht="12.75" x14ac:dyDescent="0.2"/>
    <row r="839" ht="12.75" x14ac:dyDescent="0.2"/>
    <row r="840" ht="12.75" x14ac:dyDescent="0.2"/>
    <row r="841" ht="12.75" x14ac:dyDescent="0.2"/>
    <row r="842" ht="12.75" x14ac:dyDescent="0.2"/>
    <row r="843" ht="12.75" x14ac:dyDescent="0.2"/>
    <row r="844" ht="12.75" x14ac:dyDescent="0.2"/>
    <row r="845" ht="12.75" x14ac:dyDescent="0.2"/>
    <row r="846" ht="12.75" x14ac:dyDescent="0.2"/>
    <row r="847" ht="12.75" x14ac:dyDescent="0.2"/>
    <row r="848" ht="12.75" x14ac:dyDescent="0.2"/>
    <row r="849" ht="12.75" x14ac:dyDescent="0.2"/>
    <row r="850" ht="12.75" x14ac:dyDescent="0.2"/>
    <row r="851" ht="12.75" x14ac:dyDescent="0.2"/>
    <row r="852" ht="12.75" x14ac:dyDescent="0.2"/>
    <row r="853" ht="12.75" x14ac:dyDescent="0.2"/>
    <row r="854" ht="12.75" x14ac:dyDescent="0.2"/>
    <row r="855" ht="12.75" x14ac:dyDescent="0.2"/>
    <row r="856" ht="12.75" x14ac:dyDescent="0.2"/>
    <row r="857" ht="12.75" x14ac:dyDescent="0.2"/>
    <row r="858" ht="12.75" x14ac:dyDescent="0.2"/>
    <row r="859" ht="12.75" x14ac:dyDescent="0.2"/>
    <row r="860" ht="12.75" x14ac:dyDescent="0.2"/>
    <row r="861" ht="12.75" x14ac:dyDescent="0.2"/>
    <row r="862" ht="12.75" x14ac:dyDescent="0.2"/>
    <row r="863" ht="12.75" x14ac:dyDescent="0.2"/>
    <row r="864" ht="12.75" x14ac:dyDescent="0.2"/>
    <row r="865" ht="12.75" x14ac:dyDescent="0.2"/>
    <row r="866" ht="12.75" x14ac:dyDescent="0.2"/>
    <row r="867" ht="12.75" x14ac:dyDescent="0.2"/>
    <row r="868" ht="12.75" x14ac:dyDescent="0.2"/>
    <row r="869" ht="12.75" x14ac:dyDescent="0.2"/>
    <row r="870" ht="12.75" x14ac:dyDescent="0.2"/>
    <row r="871" ht="12.75" x14ac:dyDescent="0.2"/>
    <row r="872" ht="12.75" x14ac:dyDescent="0.2"/>
    <row r="873" ht="12.75" x14ac:dyDescent="0.2"/>
    <row r="874" ht="12.75" x14ac:dyDescent="0.2"/>
    <row r="875" ht="12.75" x14ac:dyDescent="0.2"/>
    <row r="876" ht="12.75" x14ac:dyDescent="0.2"/>
    <row r="877" ht="12.75" x14ac:dyDescent="0.2"/>
    <row r="878" ht="12.75" x14ac:dyDescent="0.2"/>
    <row r="879" ht="12.75" x14ac:dyDescent="0.2"/>
    <row r="880" ht="12.75" x14ac:dyDescent="0.2"/>
    <row r="881" ht="12.75" x14ac:dyDescent="0.2"/>
    <row r="882" ht="12.75" x14ac:dyDescent="0.2"/>
    <row r="883" ht="12.75" x14ac:dyDescent="0.2"/>
    <row r="884" ht="12.75" x14ac:dyDescent="0.2"/>
    <row r="885" ht="12.75" x14ac:dyDescent="0.2"/>
    <row r="886" ht="12.75" x14ac:dyDescent="0.2"/>
    <row r="887" ht="12.75" x14ac:dyDescent="0.2"/>
    <row r="888" ht="12.75" x14ac:dyDescent="0.2"/>
    <row r="889" ht="12.75" x14ac:dyDescent="0.2"/>
    <row r="890" ht="12.75" x14ac:dyDescent="0.2"/>
    <row r="891" ht="12.75" x14ac:dyDescent="0.2"/>
    <row r="892" ht="12.75" x14ac:dyDescent="0.2"/>
    <row r="893" ht="12.75" x14ac:dyDescent="0.2"/>
    <row r="894" ht="12.75" x14ac:dyDescent="0.2"/>
    <row r="895" ht="12.75" x14ac:dyDescent="0.2"/>
    <row r="896" ht="12.75" x14ac:dyDescent="0.2"/>
    <row r="897" ht="12.75" x14ac:dyDescent="0.2"/>
    <row r="898" ht="12.75" x14ac:dyDescent="0.2"/>
    <row r="899" ht="12.75" x14ac:dyDescent="0.2"/>
    <row r="900" ht="12.75" x14ac:dyDescent="0.2"/>
    <row r="901" ht="12.75" x14ac:dyDescent="0.2"/>
    <row r="902" ht="12.75" x14ac:dyDescent="0.2"/>
    <row r="903" ht="12.75" x14ac:dyDescent="0.2"/>
    <row r="904" ht="12.75" x14ac:dyDescent="0.2"/>
    <row r="905" ht="12.75" x14ac:dyDescent="0.2"/>
    <row r="906" ht="12.75" x14ac:dyDescent="0.2"/>
    <row r="907" ht="12.75" x14ac:dyDescent="0.2"/>
    <row r="908" ht="12.75" x14ac:dyDescent="0.2"/>
    <row r="909" ht="12.75" x14ac:dyDescent="0.2"/>
    <row r="910" ht="12.75" x14ac:dyDescent="0.2"/>
    <row r="911" ht="12.75" x14ac:dyDescent="0.2"/>
    <row r="912" ht="12.75" x14ac:dyDescent="0.2"/>
    <row r="913" ht="12.75" x14ac:dyDescent="0.2"/>
    <row r="914" ht="12.75" x14ac:dyDescent="0.2"/>
    <row r="915" ht="12.75" x14ac:dyDescent="0.2"/>
    <row r="916" ht="12.75" x14ac:dyDescent="0.2"/>
    <row r="917" ht="12.75" x14ac:dyDescent="0.2"/>
    <row r="918" ht="12.75" x14ac:dyDescent="0.2"/>
    <row r="919" ht="12.75" x14ac:dyDescent="0.2"/>
    <row r="920" ht="12.75" x14ac:dyDescent="0.2"/>
    <row r="921" ht="12.75" x14ac:dyDescent="0.2"/>
    <row r="922" ht="12.75" x14ac:dyDescent="0.2"/>
    <row r="923" ht="12.75" x14ac:dyDescent="0.2"/>
    <row r="924" ht="12.75" x14ac:dyDescent="0.2"/>
    <row r="925" ht="12.75" x14ac:dyDescent="0.2"/>
    <row r="926" ht="12.75" x14ac:dyDescent="0.2"/>
    <row r="927" ht="12.75" x14ac:dyDescent="0.2"/>
    <row r="928" ht="12.75" x14ac:dyDescent="0.2"/>
    <row r="929" ht="12.75" x14ac:dyDescent="0.2"/>
    <row r="930" ht="12.75" x14ac:dyDescent="0.2"/>
    <row r="931" ht="12.75" x14ac:dyDescent="0.2"/>
    <row r="932" ht="12.75" x14ac:dyDescent="0.2"/>
    <row r="933" ht="12.75" x14ac:dyDescent="0.2"/>
    <row r="934" ht="12.75" x14ac:dyDescent="0.2"/>
    <row r="935" ht="12.75" x14ac:dyDescent="0.2"/>
    <row r="936" ht="12.75" x14ac:dyDescent="0.2"/>
    <row r="937" ht="12.75" x14ac:dyDescent="0.2"/>
    <row r="938" ht="12.75" x14ac:dyDescent="0.2"/>
    <row r="939" ht="12.75" x14ac:dyDescent="0.2"/>
    <row r="940" ht="12.75" x14ac:dyDescent="0.2"/>
    <row r="941" ht="12.75" x14ac:dyDescent="0.2"/>
    <row r="942" ht="12.75" x14ac:dyDescent="0.2"/>
    <row r="943" ht="12.75" x14ac:dyDescent="0.2"/>
    <row r="944" ht="12.75" x14ac:dyDescent="0.2"/>
    <row r="945" ht="12.75" x14ac:dyDescent="0.2"/>
    <row r="946" ht="12.75" x14ac:dyDescent="0.2"/>
    <row r="947" ht="12.75" x14ac:dyDescent="0.2"/>
    <row r="948" ht="12.75" x14ac:dyDescent="0.2"/>
    <row r="949" ht="12.75" x14ac:dyDescent="0.2"/>
    <row r="950" ht="12.75" x14ac:dyDescent="0.2"/>
    <row r="951" ht="12.75" x14ac:dyDescent="0.2"/>
    <row r="952" ht="12.75" x14ac:dyDescent="0.2"/>
    <row r="953" ht="12.75" x14ac:dyDescent="0.2"/>
    <row r="954" ht="12.75" x14ac:dyDescent="0.2"/>
    <row r="955" ht="12.75" x14ac:dyDescent="0.2"/>
    <row r="956" ht="12.75" x14ac:dyDescent="0.2"/>
    <row r="957" ht="12.75" x14ac:dyDescent="0.2"/>
    <row r="958" ht="12.75" x14ac:dyDescent="0.2"/>
    <row r="959" ht="12.75" x14ac:dyDescent="0.2"/>
    <row r="960" ht="12.75" x14ac:dyDescent="0.2"/>
    <row r="961" ht="12.75" x14ac:dyDescent="0.2"/>
    <row r="962" ht="12.75" x14ac:dyDescent="0.2"/>
    <row r="963" ht="12.75" x14ac:dyDescent="0.2"/>
    <row r="964" ht="12.75" x14ac:dyDescent="0.2"/>
    <row r="965" ht="12.75" x14ac:dyDescent="0.2"/>
    <row r="966" ht="12.75" x14ac:dyDescent="0.2"/>
    <row r="967" ht="12.75" x14ac:dyDescent="0.2"/>
    <row r="968" ht="12.75" x14ac:dyDescent="0.2"/>
    <row r="969" ht="12.75" x14ac:dyDescent="0.2"/>
    <row r="970" ht="12.75" x14ac:dyDescent="0.2"/>
    <row r="971" ht="12.75" x14ac:dyDescent="0.2"/>
    <row r="972" ht="12.75" x14ac:dyDescent="0.2"/>
    <row r="973" ht="12.75" x14ac:dyDescent="0.2"/>
    <row r="974" ht="12.75" x14ac:dyDescent="0.2"/>
    <row r="975" ht="12.75" x14ac:dyDescent="0.2"/>
    <row r="976" ht="12.75" x14ac:dyDescent="0.2"/>
    <row r="977" ht="12.75" x14ac:dyDescent="0.2"/>
    <row r="978" ht="12.75" x14ac:dyDescent="0.2"/>
    <row r="979" ht="12.75" x14ac:dyDescent="0.2"/>
    <row r="980" ht="12.75" x14ac:dyDescent="0.2"/>
    <row r="981" ht="12.75" x14ac:dyDescent="0.2"/>
    <row r="982" ht="12.75" x14ac:dyDescent="0.2"/>
    <row r="983" ht="12.75" x14ac:dyDescent="0.2"/>
    <row r="984" ht="12.75" x14ac:dyDescent="0.2"/>
    <row r="985" ht="12.75" x14ac:dyDescent="0.2"/>
    <row r="986" ht="12.75" x14ac:dyDescent="0.2"/>
    <row r="987" ht="12.75" x14ac:dyDescent="0.2"/>
    <row r="988" ht="12.75" x14ac:dyDescent="0.2"/>
    <row r="989" ht="12.75" x14ac:dyDescent="0.2"/>
    <row r="990" ht="12.75" x14ac:dyDescent="0.2"/>
    <row r="991" ht="12.75" x14ac:dyDescent="0.2"/>
    <row r="992" ht="12.75" x14ac:dyDescent="0.2"/>
    <row r="993" ht="12.75" x14ac:dyDescent="0.2"/>
    <row r="994" ht="12.75" x14ac:dyDescent="0.2"/>
    <row r="995" ht="12.75" x14ac:dyDescent="0.2"/>
    <row r="996" ht="12.75" x14ac:dyDescent="0.2"/>
    <row r="997" ht="12.75" x14ac:dyDescent="0.2"/>
    <row r="998" ht="12.75" x14ac:dyDescent="0.2"/>
    <row r="999" ht="12.75" x14ac:dyDescent="0.2"/>
    <row r="1000" ht="12.75" x14ac:dyDescent="0.2"/>
    <row r="1001" ht="12.75" x14ac:dyDescent="0.2"/>
    <row r="1002" ht="12.75" x14ac:dyDescent="0.2"/>
    <row r="1003" ht="12.75" x14ac:dyDescent="0.2"/>
    <row r="1004" ht="12.75" x14ac:dyDescent="0.2"/>
    <row r="1005" ht="12.75" x14ac:dyDescent="0.2"/>
    <row r="1006" ht="12.75" x14ac:dyDescent="0.2"/>
    <row r="1007" ht="12.75" x14ac:dyDescent="0.2"/>
    <row r="1008" ht="12.75" x14ac:dyDescent="0.2"/>
    <row r="1009" ht="12.75" x14ac:dyDescent="0.2"/>
    <row r="1010" ht="12.75" x14ac:dyDescent="0.2"/>
    <row r="1011" ht="12.75" x14ac:dyDescent="0.2"/>
    <row r="1012" ht="12.75" x14ac:dyDescent="0.2"/>
    <row r="1013" ht="12.75" x14ac:dyDescent="0.2"/>
    <row r="1014" ht="12.75" x14ac:dyDescent="0.2"/>
    <row r="1015" ht="12.75" x14ac:dyDescent="0.2"/>
    <row r="1016" ht="12.75" x14ac:dyDescent="0.2"/>
    <row r="1017" ht="12.75" x14ac:dyDescent="0.2"/>
    <row r="1018" ht="12.75" x14ac:dyDescent="0.2"/>
    <row r="1019" ht="12.75" x14ac:dyDescent="0.2"/>
    <row r="1020" ht="12.75" x14ac:dyDescent="0.2"/>
    <row r="1021" ht="12.75" x14ac:dyDescent="0.2"/>
    <row r="1022" ht="12.75" x14ac:dyDescent="0.2"/>
    <row r="1023" ht="12.75" x14ac:dyDescent="0.2"/>
    <row r="1024" ht="12.75" x14ac:dyDescent="0.2"/>
    <row r="1025" ht="12.75" x14ac:dyDescent="0.2"/>
    <row r="1026" ht="12.75" x14ac:dyDescent="0.2"/>
    <row r="1027" ht="12.75" x14ac:dyDescent="0.2"/>
    <row r="1028" ht="12.75" x14ac:dyDescent="0.2"/>
    <row r="1029" ht="12.75" x14ac:dyDescent="0.2"/>
    <row r="1030" ht="12.75" x14ac:dyDescent="0.2"/>
    <row r="1031" ht="12.75" x14ac:dyDescent="0.2"/>
    <row r="1032" ht="12.75" x14ac:dyDescent="0.2"/>
    <row r="1033" ht="12.75" x14ac:dyDescent="0.2"/>
    <row r="1034" ht="12.75" x14ac:dyDescent="0.2"/>
    <row r="1035" ht="12.75" x14ac:dyDescent="0.2"/>
    <row r="1036" ht="12.75" x14ac:dyDescent="0.2"/>
    <row r="1037" ht="12.75" x14ac:dyDescent="0.2"/>
    <row r="1038" ht="12.75" x14ac:dyDescent="0.2"/>
    <row r="1039" ht="12.75" x14ac:dyDescent="0.2"/>
    <row r="1040" ht="12.75" x14ac:dyDescent="0.2"/>
    <row r="1041" ht="12.75" x14ac:dyDescent="0.2"/>
    <row r="1042" ht="12.75" x14ac:dyDescent="0.2"/>
    <row r="1043" ht="12.75" x14ac:dyDescent="0.2"/>
    <row r="1044" ht="12.75" x14ac:dyDescent="0.2"/>
    <row r="1045" ht="12.75" x14ac:dyDescent="0.2"/>
    <row r="1046" ht="12.75" x14ac:dyDescent="0.2"/>
    <row r="1047" ht="12.75" x14ac:dyDescent="0.2"/>
    <row r="1048" ht="12.75" x14ac:dyDescent="0.2"/>
    <row r="1049" ht="12.75" x14ac:dyDescent="0.2"/>
    <row r="1050" ht="12.75" x14ac:dyDescent="0.2"/>
    <row r="1051" ht="12.75" x14ac:dyDescent="0.2"/>
    <row r="1052" ht="12.75" x14ac:dyDescent="0.2"/>
    <row r="1053" ht="12.75" x14ac:dyDescent="0.2"/>
    <row r="1054" ht="12.75" x14ac:dyDescent="0.2"/>
    <row r="1055" ht="12.75" x14ac:dyDescent="0.2"/>
    <row r="1056" ht="12.75" x14ac:dyDescent="0.2"/>
    <row r="1057" ht="12.75" x14ac:dyDescent="0.2"/>
    <row r="1058" ht="12.75" x14ac:dyDescent="0.2"/>
    <row r="1059" ht="12.75" x14ac:dyDescent="0.2"/>
    <row r="1060" ht="12.75" x14ac:dyDescent="0.2"/>
    <row r="1061" ht="12.75" x14ac:dyDescent="0.2"/>
    <row r="1062" ht="12.75" x14ac:dyDescent="0.2"/>
    <row r="1063" ht="12.75" x14ac:dyDescent="0.2"/>
    <row r="1064" ht="12.75" x14ac:dyDescent="0.2"/>
    <row r="1065" ht="12.75" x14ac:dyDescent="0.2"/>
    <row r="1066" ht="12.75" x14ac:dyDescent="0.2"/>
    <row r="1067" ht="12.75" x14ac:dyDescent="0.2"/>
    <row r="1068" ht="12.75" x14ac:dyDescent="0.2"/>
    <row r="1069" ht="12.75" x14ac:dyDescent="0.2"/>
    <row r="1070" ht="12.75" x14ac:dyDescent="0.2"/>
    <row r="1071" ht="12.75" x14ac:dyDescent="0.2"/>
    <row r="1072" ht="12.75" x14ac:dyDescent="0.2"/>
    <row r="1073" ht="12.75" x14ac:dyDescent="0.2"/>
    <row r="1074" ht="12.75" x14ac:dyDescent="0.2"/>
    <row r="1075" ht="12.75" x14ac:dyDescent="0.2"/>
    <row r="1076" ht="12.75" x14ac:dyDescent="0.2"/>
    <row r="1077" ht="12.75" x14ac:dyDescent="0.2"/>
    <row r="1078" ht="12.75" x14ac:dyDescent="0.2"/>
    <row r="1079" ht="12.75" x14ac:dyDescent="0.2"/>
    <row r="1080" ht="12.75" x14ac:dyDescent="0.2"/>
    <row r="1081" ht="12.75" x14ac:dyDescent="0.2"/>
    <row r="1082" ht="12.75" x14ac:dyDescent="0.2"/>
    <row r="1083" ht="12.75" x14ac:dyDescent="0.2"/>
    <row r="1084" ht="12.75" x14ac:dyDescent="0.2"/>
    <row r="1085" ht="12.75" x14ac:dyDescent="0.2"/>
    <row r="1086" ht="12.75" x14ac:dyDescent="0.2"/>
    <row r="1087" ht="12.75" x14ac:dyDescent="0.2"/>
    <row r="1088" ht="12.75" x14ac:dyDescent="0.2"/>
    <row r="1089" ht="12.75" x14ac:dyDescent="0.2"/>
    <row r="1090" ht="12.75" x14ac:dyDescent="0.2"/>
    <row r="1091" ht="12.75" x14ac:dyDescent="0.2"/>
    <row r="1092" ht="12.75" x14ac:dyDescent="0.2"/>
    <row r="1093" ht="12.75" x14ac:dyDescent="0.2"/>
    <row r="1094" ht="12.75" x14ac:dyDescent="0.2"/>
    <row r="1095" ht="12.75" x14ac:dyDescent="0.2"/>
    <row r="1096" ht="12.75" x14ac:dyDescent="0.2"/>
    <row r="1097" ht="12.75" x14ac:dyDescent="0.2"/>
    <row r="1098" ht="12.75" x14ac:dyDescent="0.2"/>
    <row r="1099" ht="12.75" x14ac:dyDescent="0.2"/>
    <row r="1100" ht="12.75" x14ac:dyDescent="0.2"/>
    <row r="1101" ht="12.75" x14ac:dyDescent="0.2"/>
    <row r="1102" ht="12.75" x14ac:dyDescent="0.2"/>
    <row r="1103" ht="12.75" x14ac:dyDescent="0.2"/>
    <row r="1104" ht="12.75" x14ac:dyDescent="0.2"/>
    <row r="1105" ht="12.75" x14ac:dyDescent="0.2"/>
    <row r="1106" ht="12.75" x14ac:dyDescent="0.2"/>
    <row r="1107" ht="12.75" x14ac:dyDescent="0.2"/>
    <row r="1108" ht="12.75" x14ac:dyDescent="0.2"/>
    <row r="1109" ht="12.75" x14ac:dyDescent="0.2"/>
    <row r="1110" ht="12.75" x14ac:dyDescent="0.2"/>
    <row r="1111" ht="12.75" x14ac:dyDescent="0.2"/>
    <row r="1112" ht="12.75" x14ac:dyDescent="0.2"/>
    <row r="1113" ht="12.75" x14ac:dyDescent="0.2"/>
    <row r="1114" ht="12.75" x14ac:dyDescent="0.2"/>
    <row r="1115" ht="12.75" x14ac:dyDescent="0.2"/>
    <row r="1116" ht="12.75" x14ac:dyDescent="0.2"/>
    <row r="1117" ht="12.75" x14ac:dyDescent="0.2"/>
    <row r="1118" ht="12.75" x14ac:dyDescent="0.2"/>
    <row r="1119" ht="12.75" x14ac:dyDescent="0.2"/>
    <row r="1120" ht="12.75" x14ac:dyDescent="0.2"/>
    <row r="1121" ht="12.75" x14ac:dyDescent="0.2"/>
    <row r="1122" ht="12.75" x14ac:dyDescent="0.2"/>
    <row r="1123" ht="12.75" x14ac:dyDescent="0.2"/>
    <row r="1124" ht="12.75" x14ac:dyDescent="0.2"/>
    <row r="1125" ht="12.75" x14ac:dyDescent="0.2"/>
    <row r="1126" ht="12.75" x14ac:dyDescent="0.2"/>
    <row r="1127" ht="12.75" x14ac:dyDescent="0.2"/>
    <row r="1128" ht="12.75" x14ac:dyDescent="0.2"/>
    <row r="1129" ht="12.75" x14ac:dyDescent="0.2"/>
    <row r="1130" ht="12.75" x14ac:dyDescent="0.2"/>
    <row r="1131" ht="12.75" x14ac:dyDescent="0.2"/>
    <row r="1132" ht="12.75" x14ac:dyDescent="0.2"/>
    <row r="1133" ht="12.75" x14ac:dyDescent="0.2"/>
    <row r="1134" ht="12.75" x14ac:dyDescent="0.2"/>
    <row r="1135" ht="12.75" x14ac:dyDescent="0.2"/>
    <row r="1136" ht="12.75" x14ac:dyDescent="0.2"/>
    <row r="1137" ht="12.75" x14ac:dyDescent="0.2"/>
    <row r="1138" ht="12.75" x14ac:dyDescent="0.2"/>
    <row r="1139" ht="12.75" x14ac:dyDescent="0.2"/>
    <row r="1140" ht="12.75" x14ac:dyDescent="0.2"/>
    <row r="1141" ht="12.75" x14ac:dyDescent="0.2"/>
    <row r="1142" ht="12.75" x14ac:dyDescent="0.2"/>
    <row r="1143" ht="12.75" x14ac:dyDescent="0.2"/>
    <row r="1144" ht="12.75" x14ac:dyDescent="0.2"/>
    <row r="1145" ht="12.75" x14ac:dyDescent="0.2"/>
    <row r="1146" ht="12.75" x14ac:dyDescent="0.2"/>
    <row r="1147" ht="12.75" x14ac:dyDescent="0.2"/>
    <row r="1148" ht="12.75" x14ac:dyDescent="0.2"/>
    <row r="1149" ht="12.75" x14ac:dyDescent="0.2"/>
    <row r="1150" ht="12.75" x14ac:dyDescent="0.2"/>
    <row r="1151" ht="12.75" x14ac:dyDescent="0.2"/>
    <row r="1152" ht="12.75" x14ac:dyDescent="0.2"/>
    <row r="1153" ht="12.75" x14ac:dyDescent="0.2"/>
    <row r="1154" ht="12.75" x14ac:dyDescent="0.2"/>
    <row r="1155" ht="12.75" x14ac:dyDescent="0.2"/>
    <row r="1156" ht="12.75" x14ac:dyDescent="0.2"/>
    <row r="1157" ht="12.75" x14ac:dyDescent="0.2"/>
    <row r="1158" ht="12.75" x14ac:dyDescent="0.2"/>
    <row r="1159" ht="12.75" x14ac:dyDescent="0.2"/>
    <row r="1160" ht="12.75" x14ac:dyDescent="0.2"/>
    <row r="1161" ht="12.75" x14ac:dyDescent="0.2"/>
    <row r="1162" ht="12.75" x14ac:dyDescent="0.2"/>
    <row r="1163" ht="12.75" x14ac:dyDescent="0.2"/>
    <row r="1164" ht="12.75" x14ac:dyDescent="0.2"/>
    <row r="1165" ht="12.75" x14ac:dyDescent="0.2"/>
    <row r="1166" ht="12.75" x14ac:dyDescent="0.2"/>
    <row r="1167" ht="12.75" x14ac:dyDescent="0.2"/>
    <row r="1168" ht="12.75" x14ac:dyDescent="0.2"/>
    <row r="1169" ht="12.75" x14ac:dyDescent="0.2"/>
    <row r="1170" ht="12.75" x14ac:dyDescent="0.2"/>
    <row r="1171" ht="12.75" x14ac:dyDescent="0.2"/>
    <row r="1172" ht="12.75" x14ac:dyDescent="0.2"/>
    <row r="1173" ht="12.75" x14ac:dyDescent="0.2"/>
    <row r="1174" ht="12.75" x14ac:dyDescent="0.2"/>
    <row r="1175" ht="12.75" x14ac:dyDescent="0.2"/>
    <row r="1176" ht="12.75" x14ac:dyDescent="0.2"/>
    <row r="1177" ht="12.75" x14ac:dyDescent="0.2"/>
    <row r="1178" ht="12.75" x14ac:dyDescent="0.2"/>
    <row r="1179" ht="12.75" x14ac:dyDescent="0.2"/>
    <row r="1180" ht="12.75" x14ac:dyDescent="0.2"/>
    <row r="1181" ht="12.75" x14ac:dyDescent="0.2"/>
    <row r="1182" ht="12.75" x14ac:dyDescent="0.2"/>
    <row r="1183" ht="12.75" x14ac:dyDescent="0.2"/>
    <row r="1184" ht="12.75" x14ac:dyDescent="0.2"/>
    <row r="1185" ht="12.75" x14ac:dyDescent="0.2"/>
    <row r="1186" ht="12.75" x14ac:dyDescent="0.2"/>
    <row r="1187" ht="12.75" x14ac:dyDescent="0.2"/>
    <row r="1188" ht="12.75" x14ac:dyDescent="0.2"/>
    <row r="1189" ht="12.75" x14ac:dyDescent="0.2"/>
    <row r="1190" ht="12.75" x14ac:dyDescent="0.2"/>
    <row r="1191" ht="12.75" x14ac:dyDescent="0.2"/>
    <row r="1192" ht="12.75" x14ac:dyDescent="0.2"/>
    <row r="1193" ht="12.75" x14ac:dyDescent="0.2"/>
    <row r="1194" ht="12.75" x14ac:dyDescent="0.2"/>
    <row r="1195" ht="12.75" x14ac:dyDescent="0.2"/>
    <row r="1196" ht="12.75" x14ac:dyDescent="0.2"/>
    <row r="1197" ht="12.75" x14ac:dyDescent="0.2"/>
    <row r="1198" ht="12.75" x14ac:dyDescent="0.2"/>
    <row r="1199" ht="12.75" x14ac:dyDescent="0.2"/>
    <row r="1200" ht="12.75" x14ac:dyDescent="0.2"/>
    <row r="1201" ht="12.75" x14ac:dyDescent="0.2"/>
    <row r="1202" ht="12.75" x14ac:dyDescent="0.2"/>
    <row r="1203" ht="12.75" x14ac:dyDescent="0.2"/>
    <row r="1204" ht="12.75" x14ac:dyDescent="0.2"/>
    <row r="1205" ht="12.75" x14ac:dyDescent="0.2"/>
    <row r="1206" ht="12.75" x14ac:dyDescent="0.2"/>
    <row r="1207" ht="12.75" x14ac:dyDescent="0.2"/>
    <row r="1208" ht="12.75" x14ac:dyDescent="0.2"/>
    <row r="1209" ht="12.75" x14ac:dyDescent="0.2"/>
    <row r="1210" ht="12.75" x14ac:dyDescent="0.2"/>
    <row r="1211" ht="12.75" x14ac:dyDescent="0.2"/>
    <row r="1212" ht="12.75" x14ac:dyDescent="0.2"/>
    <row r="1213" ht="12.75" x14ac:dyDescent="0.2"/>
    <row r="1214" ht="12.75" x14ac:dyDescent="0.2"/>
    <row r="1215" ht="12.75" x14ac:dyDescent="0.2"/>
    <row r="1216" ht="12.75" x14ac:dyDescent="0.2"/>
    <row r="1217" ht="12.75" x14ac:dyDescent="0.2"/>
    <row r="1218" ht="12.75" x14ac:dyDescent="0.2"/>
    <row r="1219" ht="12.75" x14ac:dyDescent="0.2"/>
    <row r="1220" ht="12.75" x14ac:dyDescent="0.2"/>
    <row r="1221" ht="12.75" x14ac:dyDescent="0.2"/>
    <row r="1222" ht="12.75" x14ac:dyDescent="0.2"/>
    <row r="1223" ht="12.75" x14ac:dyDescent="0.2"/>
    <row r="1224" ht="12.75" x14ac:dyDescent="0.2"/>
    <row r="1225" ht="12.75" x14ac:dyDescent="0.2"/>
    <row r="1226" ht="12.75" x14ac:dyDescent="0.2"/>
    <row r="1227" ht="12.75" x14ac:dyDescent="0.2"/>
    <row r="1228" ht="12.75" x14ac:dyDescent="0.2"/>
    <row r="1229" ht="12.75" x14ac:dyDescent="0.2"/>
    <row r="1230" ht="12.75" x14ac:dyDescent="0.2"/>
    <row r="1231" ht="12.75" x14ac:dyDescent="0.2"/>
    <row r="1232" ht="12.75" x14ac:dyDescent="0.2"/>
    <row r="1233" ht="12.75" x14ac:dyDescent="0.2"/>
    <row r="1234" ht="12.75" x14ac:dyDescent="0.2"/>
    <row r="1235" ht="12.75" x14ac:dyDescent="0.2"/>
    <row r="1236" ht="12.75" x14ac:dyDescent="0.2"/>
    <row r="1237" ht="12.75" x14ac:dyDescent="0.2"/>
    <row r="1238" ht="12.75" x14ac:dyDescent="0.2"/>
    <row r="1239" ht="12.75" x14ac:dyDescent="0.2"/>
    <row r="1240" ht="12.75" x14ac:dyDescent="0.2"/>
    <row r="1241" ht="12.75" x14ac:dyDescent="0.2"/>
    <row r="1242" ht="12.75" x14ac:dyDescent="0.2"/>
    <row r="1243" ht="12.75" x14ac:dyDescent="0.2"/>
    <row r="1244" ht="12.75" x14ac:dyDescent="0.2"/>
    <row r="1245" ht="12.75" x14ac:dyDescent="0.2"/>
    <row r="1246" ht="12.75" x14ac:dyDescent="0.2"/>
    <row r="1247" ht="12.75" x14ac:dyDescent="0.2"/>
    <row r="1248" ht="12.75" x14ac:dyDescent="0.2"/>
    <row r="1249" ht="12.75" x14ac:dyDescent="0.2"/>
    <row r="1250" ht="12.75" x14ac:dyDescent="0.2"/>
    <row r="1251" ht="12.75" x14ac:dyDescent="0.2"/>
    <row r="1252" ht="12.75" x14ac:dyDescent="0.2"/>
    <row r="1253" ht="12.75" x14ac:dyDescent="0.2"/>
    <row r="1254" ht="12.75" x14ac:dyDescent="0.2"/>
    <row r="1255" ht="12.75" x14ac:dyDescent="0.2"/>
    <row r="1256" ht="12.75" x14ac:dyDescent="0.2"/>
    <row r="1257" ht="12.75" x14ac:dyDescent="0.2"/>
    <row r="1258" ht="12.75" x14ac:dyDescent="0.2"/>
    <row r="1259" ht="12.75" x14ac:dyDescent="0.2"/>
    <row r="1260" ht="12.75" x14ac:dyDescent="0.2"/>
    <row r="1261" ht="12.75" x14ac:dyDescent="0.2"/>
    <row r="1262" ht="12.75" x14ac:dyDescent="0.2"/>
    <row r="1263" ht="12.75" x14ac:dyDescent="0.2"/>
    <row r="1264" ht="12.75" x14ac:dyDescent="0.2"/>
    <row r="1265" ht="12.75" x14ac:dyDescent="0.2"/>
    <row r="1266" ht="12.75" x14ac:dyDescent="0.2"/>
    <row r="1267" ht="12.75" x14ac:dyDescent="0.2"/>
    <row r="1268" ht="12.75" x14ac:dyDescent="0.2"/>
    <row r="1269" ht="12.75" x14ac:dyDescent="0.2"/>
    <row r="1270" ht="12.75" x14ac:dyDescent="0.2"/>
    <row r="1271" ht="12.75" x14ac:dyDescent="0.2"/>
    <row r="1272" ht="12.75" x14ac:dyDescent="0.2"/>
    <row r="1273" ht="12.75" x14ac:dyDescent="0.2"/>
    <row r="1274" ht="12.75" x14ac:dyDescent="0.2"/>
    <row r="1275" ht="12.75" x14ac:dyDescent="0.2"/>
    <row r="1276" ht="12.75" x14ac:dyDescent="0.2"/>
    <row r="1277" ht="12.75" x14ac:dyDescent="0.2"/>
    <row r="1278" ht="12.75" x14ac:dyDescent="0.2"/>
    <row r="1279" ht="12.75" x14ac:dyDescent="0.2"/>
    <row r="1280" ht="12.75" x14ac:dyDescent="0.2"/>
    <row r="1281" ht="12.75" x14ac:dyDescent="0.2"/>
    <row r="1282" ht="12.75" x14ac:dyDescent="0.2"/>
    <row r="1283" ht="12.75" x14ac:dyDescent="0.2"/>
    <row r="1284" ht="12.75" x14ac:dyDescent="0.2"/>
    <row r="1285" ht="12.75" x14ac:dyDescent="0.2"/>
    <row r="1286" ht="12.75" x14ac:dyDescent="0.2"/>
    <row r="1287" ht="12.75" x14ac:dyDescent="0.2"/>
    <row r="1288" ht="12.75" x14ac:dyDescent="0.2"/>
    <row r="1289" ht="12.75" x14ac:dyDescent="0.2"/>
    <row r="1290" ht="12.75" x14ac:dyDescent="0.2"/>
    <row r="1291" ht="12.75" x14ac:dyDescent="0.2"/>
    <row r="1292" ht="12.75" x14ac:dyDescent="0.2"/>
    <row r="1293" ht="12.75" x14ac:dyDescent="0.2"/>
    <row r="1294" ht="12.75" x14ac:dyDescent="0.2"/>
    <row r="1295" ht="12.75" x14ac:dyDescent="0.2"/>
    <row r="1296" ht="12.75" x14ac:dyDescent="0.2"/>
    <row r="1297" ht="12.75" x14ac:dyDescent="0.2"/>
    <row r="1298" ht="12.75" x14ac:dyDescent="0.2"/>
    <row r="1299" ht="12.75" x14ac:dyDescent="0.2"/>
    <row r="1300" ht="12.75" x14ac:dyDescent="0.2"/>
    <row r="1301" ht="12.75" x14ac:dyDescent="0.2"/>
    <row r="1302" ht="12.75" x14ac:dyDescent="0.2"/>
    <row r="1303" ht="12.75" x14ac:dyDescent="0.2"/>
    <row r="1304" ht="12.75" x14ac:dyDescent="0.2"/>
    <row r="1305" ht="12.75" x14ac:dyDescent="0.2"/>
    <row r="1306" ht="12.75" x14ac:dyDescent="0.2"/>
    <row r="1307" ht="12.75" x14ac:dyDescent="0.2"/>
    <row r="1308" ht="12.75" x14ac:dyDescent="0.2"/>
    <row r="1309" ht="12.75" x14ac:dyDescent="0.2"/>
    <row r="1310" ht="12.75" x14ac:dyDescent="0.2"/>
    <row r="1311" ht="12.75" x14ac:dyDescent="0.2"/>
    <row r="1312" ht="12.75" x14ac:dyDescent="0.2"/>
    <row r="1313" ht="12.75" x14ac:dyDescent="0.2"/>
    <row r="1314" ht="12.75" x14ac:dyDescent="0.2"/>
    <row r="1315" ht="12.75" x14ac:dyDescent="0.2"/>
    <row r="1316" ht="12.75" x14ac:dyDescent="0.2"/>
    <row r="1317" ht="12.75" x14ac:dyDescent="0.2"/>
    <row r="1318" ht="12.75" x14ac:dyDescent="0.2"/>
    <row r="1319" ht="12.75" x14ac:dyDescent="0.2"/>
    <row r="1320" ht="12.75" x14ac:dyDescent="0.2"/>
    <row r="1321" ht="12.75" x14ac:dyDescent="0.2"/>
    <row r="1322" ht="12.75" x14ac:dyDescent="0.2"/>
    <row r="1323" ht="12.75" x14ac:dyDescent="0.2"/>
    <row r="1324" ht="12.75" x14ac:dyDescent="0.2"/>
    <row r="1325" ht="12.75" x14ac:dyDescent="0.2"/>
    <row r="1326" ht="12.75" x14ac:dyDescent="0.2"/>
    <row r="1327" ht="12.75" x14ac:dyDescent="0.2"/>
    <row r="1328" ht="12.75" x14ac:dyDescent="0.2"/>
    <row r="1329" ht="12.75" x14ac:dyDescent="0.2"/>
    <row r="1330" ht="12.75" x14ac:dyDescent="0.2"/>
    <row r="1331" ht="12.75" x14ac:dyDescent="0.2"/>
    <row r="1332" ht="12.75" x14ac:dyDescent="0.2"/>
    <row r="1333" ht="12.75" x14ac:dyDescent="0.2"/>
    <row r="1334" ht="12.75" x14ac:dyDescent="0.2"/>
    <row r="1335" ht="12.75" x14ac:dyDescent="0.2"/>
    <row r="1336" ht="12.75" x14ac:dyDescent="0.2"/>
    <row r="1337" ht="12.75" x14ac:dyDescent="0.2"/>
    <row r="1338" ht="12.75" x14ac:dyDescent="0.2"/>
    <row r="1339" ht="12.75" x14ac:dyDescent="0.2"/>
    <row r="1340" ht="12.75" x14ac:dyDescent="0.2"/>
    <row r="1341" ht="12.75" x14ac:dyDescent="0.2"/>
    <row r="1342" ht="12.75" x14ac:dyDescent="0.2"/>
    <row r="1343" ht="12.75" x14ac:dyDescent="0.2"/>
    <row r="1344" ht="12.75" x14ac:dyDescent="0.2"/>
    <row r="1345" ht="12.75" x14ac:dyDescent="0.2"/>
    <row r="1346" ht="12.75" x14ac:dyDescent="0.2"/>
    <row r="1347" ht="12.75" x14ac:dyDescent="0.2"/>
    <row r="1348" ht="12.75" x14ac:dyDescent="0.2"/>
    <row r="1349" ht="12.75" x14ac:dyDescent="0.2"/>
    <row r="1350" ht="12.75" x14ac:dyDescent="0.2"/>
    <row r="1351" ht="12.75" x14ac:dyDescent="0.2"/>
    <row r="1352" ht="12.75" x14ac:dyDescent="0.2"/>
    <row r="1353" ht="12.75" x14ac:dyDescent="0.2"/>
    <row r="1354" ht="12.75" x14ac:dyDescent="0.2"/>
    <row r="1355" ht="12.75" x14ac:dyDescent="0.2"/>
    <row r="1356" ht="12.75" x14ac:dyDescent="0.2"/>
    <row r="1357" ht="12.75" x14ac:dyDescent="0.2"/>
    <row r="1358" ht="12.75" x14ac:dyDescent="0.2"/>
    <row r="1359" ht="12.75" x14ac:dyDescent="0.2"/>
    <row r="1360" ht="12.75" x14ac:dyDescent="0.2"/>
    <row r="1361" ht="12.75" x14ac:dyDescent="0.2"/>
    <row r="1362" ht="12.75" x14ac:dyDescent="0.2"/>
    <row r="1363" ht="12.75" x14ac:dyDescent="0.2"/>
    <row r="1364" ht="12.75" x14ac:dyDescent="0.2"/>
    <row r="1365" ht="12.75" x14ac:dyDescent="0.2"/>
    <row r="1366" ht="12.75" x14ac:dyDescent="0.2"/>
    <row r="1367" ht="12.75" x14ac:dyDescent="0.2"/>
    <row r="1368" ht="12.75" x14ac:dyDescent="0.2"/>
    <row r="1369" ht="12.75" x14ac:dyDescent="0.2"/>
    <row r="1370" ht="12.75" x14ac:dyDescent="0.2"/>
    <row r="1371" ht="12.75" x14ac:dyDescent="0.2"/>
    <row r="1372" ht="12.75" x14ac:dyDescent="0.2"/>
    <row r="1373" ht="12.75" x14ac:dyDescent="0.2"/>
    <row r="1374" ht="12.75" x14ac:dyDescent="0.2"/>
    <row r="1375" ht="12.75" x14ac:dyDescent="0.2"/>
    <row r="1376" ht="12.75" x14ac:dyDescent="0.2"/>
    <row r="1377" ht="12.75" x14ac:dyDescent="0.2"/>
    <row r="1378" ht="12.75" x14ac:dyDescent="0.2"/>
    <row r="1379" ht="12.75" x14ac:dyDescent="0.2"/>
    <row r="1380" ht="12.75" x14ac:dyDescent="0.2"/>
    <row r="1381" ht="12.75" x14ac:dyDescent="0.2"/>
    <row r="1382" ht="12.75" x14ac:dyDescent="0.2"/>
    <row r="1383" ht="12.75" x14ac:dyDescent="0.2"/>
    <row r="1384" ht="12.75" x14ac:dyDescent="0.2"/>
    <row r="1385" ht="12.75" x14ac:dyDescent="0.2"/>
    <row r="1386" ht="12.75" x14ac:dyDescent="0.2"/>
    <row r="1387" ht="12.75" x14ac:dyDescent="0.2"/>
    <row r="1388" ht="12.75" x14ac:dyDescent="0.2"/>
    <row r="1389" ht="12.75" x14ac:dyDescent="0.2"/>
    <row r="1390" ht="12.75" x14ac:dyDescent="0.2"/>
    <row r="1391" ht="12.75" x14ac:dyDescent="0.2"/>
    <row r="1392" ht="12.75" x14ac:dyDescent="0.2"/>
    <row r="1393" ht="12.75" x14ac:dyDescent="0.2"/>
    <row r="1394" ht="12.75" x14ac:dyDescent="0.2"/>
    <row r="1395" ht="12.75" x14ac:dyDescent="0.2"/>
    <row r="1396" ht="12.75" x14ac:dyDescent="0.2"/>
    <row r="1397" ht="12.75" x14ac:dyDescent="0.2"/>
    <row r="1398" ht="12.75" x14ac:dyDescent="0.2"/>
    <row r="1399" ht="12.75" x14ac:dyDescent="0.2"/>
    <row r="1400" ht="12.75" x14ac:dyDescent="0.2"/>
    <row r="1401" ht="12.75" x14ac:dyDescent="0.2"/>
    <row r="1402" ht="12.75" x14ac:dyDescent="0.2"/>
    <row r="1403" ht="12.75" x14ac:dyDescent="0.2"/>
    <row r="1404" ht="12.75" x14ac:dyDescent="0.2"/>
    <row r="1405" ht="12.75" x14ac:dyDescent="0.2"/>
    <row r="1406" ht="12.75" x14ac:dyDescent="0.2"/>
    <row r="1407" ht="12.75" x14ac:dyDescent="0.2"/>
    <row r="1408" ht="12.75" x14ac:dyDescent="0.2"/>
    <row r="1409" ht="12.75" x14ac:dyDescent="0.2"/>
    <row r="1410" ht="12.75" x14ac:dyDescent="0.2"/>
    <row r="1411" ht="12.75" x14ac:dyDescent="0.2"/>
    <row r="1412" ht="12.75" x14ac:dyDescent="0.2"/>
    <row r="1413" ht="12.75" x14ac:dyDescent="0.2"/>
    <row r="1414" ht="12.75" x14ac:dyDescent="0.2"/>
    <row r="1415" ht="12.75" x14ac:dyDescent="0.2"/>
    <row r="1416" ht="12.75" x14ac:dyDescent="0.2"/>
    <row r="1417" ht="12.75" x14ac:dyDescent="0.2"/>
    <row r="1418" ht="12.75" x14ac:dyDescent="0.2"/>
    <row r="1419" ht="12.75" x14ac:dyDescent="0.2"/>
    <row r="1420" ht="12.75" x14ac:dyDescent="0.2"/>
    <row r="1421" ht="12.75" x14ac:dyDescent="0.2"/>
    <row r="1422" ht="12.75" x14ac:dyDescent="0.2"/>
    <row r="1423" ht="12.75" x14ac:dyDescent="0.2"/>
    <row r="1424" ht="12.75" x14ac:dyDescent="0.2"/>
    <row r="1425" ht="12.75" x14ac:dyDescent="0.2"/>
    <row r="1426" ht="12.75" x14ac:dyDescent="0.2"/>
    <row r="1427" ht="12.75" x14ac:dyDescent="0.2"/>
    <row r="1428" ht="12.75" x14ac:dyDescent="0.2"/>
    <row r="1429" ht="12.75" x14ac:dyDescent="0.2"/>
    <row r="1430" ht="12.75" x14ac:dyDescent="0.2"/>
    <row r="1431" ht="12.75" x14ac:dyDescent="0.2"/>
    <row r="1432" ht="12.75" x14ac:dyDescent="0.2"/>
    <row r="1433" ht="12.75" x14ac:dyDescent="0.2"/>
    <row r="1434" ht="12.75" x14ac:dyDescent="0.2"/>
    <row r="1435" ht="12.75" x14ac:dyDescent="0.2"/>
    <row r="1436" ht="12.75" x14ac:dyDescent="0.2"/>
    <row r="1437" ht="12.75" x14ac:dyDescent="0.2"/>
    <row r="1438" ht="12.75" x14ac:dyDescent="0.2"/>
    <row r="1439" ht="12.75" x14ac:dyDescent="0.2"/>
    <row r="1440" ht="12.75" x14ac:dyDescent="0.2"/>
    <row r="1441" ht="12.75" x14ac:dyDescent="0.2"/>
    <row r="1442" ht="12.75" x14ac:dyDescent="0.2"/>
    <row r="1443" ht="12.75" x14ac:dyDescent="0.2"/>
    <row r="1444" ht="12.75" x14ac:dyDescent="0.2"/>
    <row r="1445" ht="12.75" x14ac:dyDescent="0.2"/>
    <row r="1446" ht="12.75" x14ac:dyDescent="0.2"/>
    <row r="1447" ht="12.75" x14ac:dyDescent="0.2"/>
    <row r="1448" ht="12.75" x14ac:dyDescent="0.2"/>
    <row r="1449" ht="12.75" x14ac:dyDescent="0.2"/>
    <row r="1450" ht="12.75" x14ac:dyDescent="0.2"/>
    <row r="1451" ht="12.75" x14ac:dyDescent="0.2"/>
    <row r="1452" ht="12.75" x14ac:dyDescent="0.2"/>
    <row r="1453" ht="12.75" x14ac:dyDescent="0.2"/>
    <row r="1454" ht="12.75" x14ac:dyDescent="0.2"/>
    <row r="1455" ht="12.75" x14ac:dyDescent="0.2"/>
    <row r="1456" ht="12.75" x14ac:dyDescent="0.2"/>
    <row r="1457" ht="12.75" x14ac:dyDescent="0.2"/>
    <row r="1458" ht="12.75" x14ac:dyDescent="0.2"/>
    <row r="1459" ht="12.75" x14ac:dyDescent="0.2"/>
    <row r="1460" ht="12.75" x14ac:dyDescent="0.2"/>
    <row r="1461" ht="12.75" x14ac:dyDescent="0.2"/>
    <row r="1462" ht="12.75" x14ac:dyDescent="0.2"/>
    <row r="1463" ht="12.75" x14ac:dyDescent="0.2"/>
    <row r="1464" ht="12.75" x14ac:dyDescent="0.2"/>
    <row r="1465" ht="12.75" x14ac:dyDescent="0.2"/>
    <row r="1466" ht="12.75" x14ac:dyDescent="0.2"/>
    <row r="1467" ht="12.75" x14ac:dyDescent="0.2"/>
    <row r="1468" ht="12.75" x14ac:dyDescent="0.2"/>
    <row r="1469" ht="12.75" x14ac:dyDescent="0.2"/>
    <row r="1470" ht="12.75" x14ac:dyDescent="0.2"/>
    <row r="1471" ht="12.75" x14ac:dyDescent="0.2"/>
    <row r="1472" ht="12.75" x14ac:dyDescent="0.2"/>
    <row r="1473" ht="12.75" x14ac:dyDescent="0.2"/>
    <row r="1474" ht="12.75" x14ac:dyDescent="0.2"/>
    <row r="1475" ht="12.75" x14ac:dyDescent="0.2"/>
    <row r="1476" ht="12.75" x14ac:dyDescent="0.2"/>
    <row r="1477" ht="12.75" x14ac:dyDescent="0.2"/>
    <row r="1478" ht="12.75" x14ac:dyDescent="0.2"/>
    <row r="1479" ht="12.75" x14ac:dyDescent="0.2"/>
    <row r="1480" ht="12.75" x14ac:dyDescent="0.2"/>
    <row r="1481" ht="12.75" x14ac:dyDescent="0.2"/>
    <row r="1482" ht="12.75" x14ac:dyDescent="0.2"/>
    <row r="1483" ht="12.75" x14ac:dyDescent="0.2"/>
    <row r="1484" ht="12.75" x14ac:dyDescent="0.2"/>
    <row r="1485" ht="12.75" x14ac:dyDescent="0.2"/>
    <row r="1486" ht="12.75" x14ac:dyDescent="0.2"/>
    <row r="1487" ht="12.75" x14ac:dyDescent="0.2"/>
    <row r="1488" ht="12.75" x14ac:dyDescent="0.2"/>
    <row r="1489" ht="12.75" x14ac:dyDescent="0.2"/>
    <row r="1490" ht="12.75" x14ac:dyDescent="0.2"/>
    <row r="1491" ht="12.75" x14ac:dyDescent="0.2"/>
    <row r="1492" ht="12.75" x14ac:dyDescent="0.2"/>
    <row r="1493" ht="12.75" x14ac:dyDescent="0.2"/>
    <row r="1494" ht="12.75" x14ac:dyDescent="0.2"/>
    <row r="1495" ht="12.75" x14ac:dyDescent="0.2"/>
    <row r="1496" ht="12.75" x14ac:dyDescent="0.2"/>
    <row r="1497" ht="12.75" x14ac:dyDescent="0.2"/>
    <row r="1498" ht="12.75" x14ac:dyDescent="0.2"/>
    <row r="1499" ht="12.75" x14ac:dyDescent="0.2"/>
    <row r="1500" ht="12.75" x14ac:dyDescent="0.2"/>
    <row r="1501" ht="12.75" x14ac:dyDescent="0.2"/>
    <row r="1502" ht="12.75" x14ac:dyDescent="0.2"/>
    <row r="1503" ht="12.75" x14ac:dyDescent="0.2"/>
    <row r="1504" ht="12.75" x14ac:dyDescent="0.2"/>
    <row r="1505" ht="12.75" x14ac:dyDescent="0.2"/>
    <row r="1506" ht="12.75" x14ac:dyDescent="0.2"/>
    <row r="1507" ht="12.75" x14ac:dyDescent="0.2"/>
    <row r="1508" ht="12.75" x14ac:dyDescent="0.2"/>
    <row r="1509" ht="12.75" x14ac:dyDescent="0.2"/>
    <row r="1510" ht="12.75" x14ac:dyDescent="0.2"/>
    <row r="1511" ht="12.75" x14ac:dyDescent="0.2"/>
    <row r="1512" ht="12.75" x14ac:dyDescent="0.2"/>
    <row r="1513" ht="12.75" x14ac:dyDescent="0.2"/>
    <row r="1514" ht="12.75" x14ac:dyDescent="0.2"/>
    <row r="1515" ht="12.75" x14ac:dyDescent="0.2"/>
    <row r="1516" ht="12.75" x14ac:dyDescent="0.2"/>
    <row r="1517" ht="12.75" x14ac:dyDescent="0.2"/>
    <row r="1518" ht="12.75" x14ac:dyDescent="0.2"/>
    <row r="1519" ht="12.75" x14ac:dyDescent="0.2"/>
    <row r="1520" ht="12.75" x14ac:dyDescent="0.2"/>
    <row r="1521" ht="12.75" x14ac:dyDescent="0.2"/>
    <row r="1522" ht="12.75" x14ac:dyDescent="0.2"/>
    <row r="1523" ht="12.75" x14ac:dyDescent="0.2"/>
    <row r="1524" ht="12.75" x14ac:dyDescent="0.2"/>
    <row r="1525" ht="12.75" x14ac:dyDescent="0.2"/>
    <row r="1526" ht="12.75" x14ac:dyDescent="0.2"/>
    <row r="1527" ht="12.75" x14ac:dyDescent="0.2"/>
    <row r="1528" ht="12.75" x14ac:dyDescent="0.2"/>
    <row r="1529" ht="12.75" x14ac:dyDescent="0.2"/>
    <row r="1530" ht="12.75" x14ac:dyDescent="0.2"/>
    <row r="1531" ht="12.75" x14ac:dyDescent="0.2"/>
    <row r="1532" ht="12.75" x14ac:dyDescent="0.2"/>
    <row r="1533" ht="12.75" x14ac:dyDescent="0.2"/>
    <row r="1534" ht="12.75" x14ac:dyDescent="0.2"/>
    <row r="1535" ht="12.75" x14ac:dyDescent="0.2"/>
    <row r="1536" ht="12.75" x14ac:dyDescent="0.2"/>
    <row r="1537" ht="12.75" x14ac:dyDescent="0.2"/>
    <row r="1538" ht="12.75" x14ac:dyDescent="0.2"/>
    <row r="1539" ht="12.75" x14ac:dyDescent="0.2"/>
    <row r="1540" ht="12.75" x14ac:dyDescent="0.2"/>
    <row r="1541" ht="12.75" x14ac:dyDescent="0.2"/>
    <row r="1542" ht="12.75" x14ac:dyDescent="0.2"/>
    <row r="1543" ht="12.75" x14ac:dyDescent="0.2"/>
    <row r="1544" ht="12.75" x14ac:dyDescent="0.2"/>
    <row r="1545" ht="12.75" x14ac:dyDescent="0.2"/>
    <row r="1546" ht="12.75" x14ac:dyDescent="0.2"/>
    <row r="1547" ht="12.75" x14ac:dyDescent="0.2"/>
    <row r="1548" ht="12.75" x14ac:dyDescent="0.2"/>
    <row r="1549" ht="12.75" x14ac:dyDescent="0.2"/>
    <row r="1550" ht="12.75" x14ac:dyDescent="0.2"/>
    <row r="1551" ht="12.75" x14ac:dyDescent="0.2"/>
    <row r="1552" ht="12.75" x14ac:dyDescent="0.2"/>
    <row r="1553" ht="12.75" x14ac:dyDescent="0.2"/>
    <row r="1554" ht="12.75" x14ac:dyDescent="0.2"/>
    <row r="1555" ht="12.75" x14ac:dyDescent="0.2"/>
    <row r="1556" ht="12.75" x14ac:dyDescent="0.2"/>
    <row r="1557" ht="12.75" x14ac:dyDescent="0.2"/>
    <row r="1558" ht="12.75" x14ac:dyDescent="0.2"/>
    <row r="1559" ht="12.75" x14ac:dyDescent="0.2"/>
    <row r="1560" ht="12.75" x14ac:dyDescent="0.2"/>
    <row r="1561" ht="12.75" x14ac:dyDescent="0.2"/>
    <row r="1562" ht="12.75" x14ac:dyDescent="0.2"/>
    <row r="1563" ht="12.75" x14ac:dyDescent="0.2"/>
    <row r="1564" ht="12.75" x14ac:dyDescent="0.2"/>
    <row r="1565" ht="12.75" x14ac:dyDescent="0.2"/>
    <row r="1566" ht="12.75" x14ac:dyDescent="0.2"/>
    <row r="1567" ht="12.75" x14ac:dyDescent="0.2"/>
    <row r="1568" ht="12.75" x14ac:dyDescent="0.2"/>
    <row r="1569" ht="12.75" x14ac:dyDescent="0.2"/>
    <row r="1570" ht="12.75" x14ac:dyDescent="0.2"/>
    <row r="1571" ht="12.75" x14ac:dyDescent="0.2"/>
    <row r="1572" ht="12.75" x14ac:dyDescent="0.2"/>
    <row r="1573" ht="12.75" x14ac:dyDescent="0.2"/>
    <row r="1574" ht="12.75" x14ac:dyDescent="0.2"/>
    <row r="1575" ht="12.75" x14ac:dyDescent="0.2"/>
    <row r="1576" ht="12.75" x14ac:dyDescent="0.2"/>
    <row r="1577" ht="12.75" x14ac:dyDescent="0.2"/>
    <row r="1578" ht="12.75" x14ac:dyDescent="0.2"/>
    <row r="1579" ht="12.75" x14ac:dyDescent="0.2"/>
    <row r="1580" ht="12.75" x14ac:dyDescent="0.2"/>
    <row r="1581" ht="12.75" x14ac:dyDescent="0.2"/>
    <row r="1582" ht="12.75" x14ac:dyDescent="0.2"/>
    <row r="1583" ht="12.75" x14ac:dyDescent="0.2"/>
    <row r="1584" ht="12.75" x14ac:dyDescent="0.2"/>
    <row r="1585" ht="12.75" x14ac:dyDescent="0.2"/>
    <row r="1586" ht="12.75" x14ac:dyDescent="0.2"/>
    <row r="1587" ht="12.75" x14ac:dyDescent="0.2"/>
    <row r="1588" ht="12.75" x14ac:dyDescent="0.2"/>
    <row r="1589" ht="12.75" x14ac:dyDescent="0.2"/>
    <row r="1590" ht="12.75" x14ac:dyDescent="0.2"/>
    <row r="1591" ht="12.75" x14ac:dyDescent="0.2"/>
    <row r="1592" ht="12.75" x14ac:dyDescent="0.2"/>
    <row r="1593" ht="12.75" x14ac:dyDescent="0.2"/>
    <row r="1594" ht="12.75" x14ac:dyDescent="0.2"/>
    <row r="1595" ht="12.75" x14ac:dyDescent="0.2"/>
    <row r="1596" ht="12.75" x14ac:dyDescent="0.2"/>
    <row r="1597" ht="12.75" x14ac:dyDescent="0.2"/>
    <row r="1598" ht="12.75" x14ac:dyDescent="0.2"/>
    <row r="1599" ht="12.75" x14ac:dyDescent="0.2"/>
    <row r="1600" ht="12.75" x14ac:dyDescent="0.2"/>
    <row r="1601" ht="12.75" x14ac:dyDescent="0.2"/>
    <row r="1602" ht="12.75" x14ac:dyDescent="0.2"/>
    <row r="1603" ht="12.75" x14ac:dyDescent="0.2"/>
    <row r="1604" ht="12.75" x14ac:dyDescent="0.2"/>
    <row r="1605" ht="12.75" x14ac:dyDescent="0.2"/>
    <row r="1606" ht="12.75" x14ac:dyDescent="0.2"/>
    <row r="1607" ht="12.75" x14ac:dyDescent="0.2"/>
    <row r="1608" ht="12.75" x14ac:dyDescent="0.2"/>
    <row r="1609" ht="12.75" x14ac:dyDescent="0.2"/>
    <row r="1610" ht="12.75" x14ac:dyDescent="0.2"/>
    <row r="1611" ht="12.75" x14ac:dyDescent="0.2"/>
    <row r="1612" ht="12.75" x14ac:dyDescent="0.2"/>
    <row r="1613" ht="12.75" x14ac:dyDescent="0.2"/>
    <row r="1614" ht="12.75" x14ac:dyDescent="0.2"/>
    <row r="1615" ht="12.75" x14ac:dyDescent="0.2"/>
    <row r="1616" ht="12.75" x14ac:dyDescent="0.2"/>
    <row r="1617" ht="12.75" x14ac:dyDescent="0.2"/>
    <row r="1618" ht="12.75" x14ac:dyDescent="0.2"/>
    <row r="1619" ht="12.75" x14ac:dyDescent="0.2"/>
    <row r="1620" ht="12.75" x14ac:dyDescent="0.2"/>
    <row r="1621" ht="12.75" x14ac:dyDescent="0.2"/>
    <row r="1622" ht="12.75" x14ac:dyDescent="0.2"/>
    <row r="1623" ht="12.75" x14ac:dyDescent="0.2"/>
    <row r="1624" ht="12.75" x14ac:dyDescent="0.2"/>
    <row r="1625" ht="12.75" x14ac:dyDescent="0.2"/>
    <row r="1626" ht="12.75" x14ac:dyDescent="0.2"/>
    <row r="1627" ht="12.75" x14ac:dyDescent="0.2"/>
    <row r="1628" ht="12.75" x14ac:dyDescent="0.2"/>
    <row r="1629" ht="12.75" x14ac:dyDescent="0.2"/>
    <row r="1630" ht="12.75" x14ac:dyDescent="0.2"/>
    <row r="1631" ht="12.75" x14ac:dyDescent="0.2"/>
    <row r="1632" ht="12.75" x14ac:dyDescent="0.2"/>
    <row r="1633" ht="12.75" x14ac:dyDescent="0.2"/>
    <row r="1634" ht="12.75" x14ac:dyDescent="0.2"/>
    <row r="1635" ht="12.75" x14ac:dyDescent="0.2"/>
    <row r="1636" ht="12.75" x14ac:dyDescent="0.2"/>
    <row r="1637" ht="12.75" x14ac:dyDescent="0.2"/>
    <row r="1638" ht="12.75" x14ac:dyDescent="0.2"/>
    <row r="1639" ht="12.75" x14ac:dyDescent="0.2"/>
    <row r="1640" ht="12.75" x14ac:dyDescent="0.2"/>
    <row r="1641" ht="12.75" x14ac:dyDescent="0.2"/>
    <row r="1642" ht="12.75" x14ac:dyDescent="0.2"/>
    <row r="1643" ht="12.75" x14ac:dyDescent="0.2"/>
    <row r="1644" ht="12.75" x14ac:dyDescent="0.2"/>
    <row r="1645" ht="12.75" x14ac:dyDescent="0.2"/>
    <row r="1646" ht="12.75" x14ac:dyDescent="0.2"/>
    <row r="1647" ht="12.75" x14ac:dyDescent="0.2"/>
    <row r="1648" ht="12.75" x14ac:dyDescent="0.2"/>
    <row r="1649" ht="12.75" x14ac:dyDescent="0.2"/>
    <row r="1650" ht="12.75" x14ac:dyDescent="0.2"/>
    <row r="1651" ht="12.75" x14ac:dyDescent="0.2"/>
    <row r="1652" ht="12.75" x14ac:dyDescent="0.2"/>
    <row r="1653" ht="12.75" x14ac:dyDescent="0.2"/>
    <row r="1654" ht="12.75" x14ac:dyDescent="0.2"/>
    <row r="1655" ht="12.75" x14ac:dyDescent="0.2"/>
    <row r="1656" ht="12.75" x14ac:dyDescent="0.2"/>
    <row r="1657" ht="12.75" x14ac:dyDescent="0.2"/>
    <row r="1658" ht="12.75" x14ac:dyDescent="0.2"/>
    <row r="1659" ht="12.75" x14ac:dyDescent="0.2"/>
    <row r="1660" ht="12.75" x14ac:dyDescent="0.2"/>
    <row r="1661" ht="12.75" x14ac:dyDescent="0.2"/>
    <row r="1662" ht="12.75" x14ac:dyDescent="0.2"/>
    <row r="1663" ht="12.75" x14ac:dyDescent="0.2"/>
    <row r="1664" ht="12.75" x14ac:dyDescent="0.2"/>
    <row r="1665" ht="12.75" x14ac:dyDescent="0.2"/>
    <row r="1666" ht="12.75" x14ac:dyDescent="0.2"/>
    <row r="1667" ht="12.75" x14ac:dyDescent="0.2"/>
    <row r="1668" ht="12.75" x14ac:dyDescent="0.2"/>
    <row r="1669" ht="12.75" x14ac:dyDescent="0.2"/>
    <row r="1670" ht="12.75" x14ac:dyDescent="0.2"/>
    <row r="1671" ht="12.75" x14ac:dyDescent="0.2"/>
    <row r="1672" ht="12.75" x14ac:dyDescent="0.2"/>
    <row r="1673" ht="12.75" x14ac:dyDescent="0.2"/>
    <row r="1674" ht="12.75" x14ac:dyDescent="0.2"/>
    <row r="1675" ht="12.75" x14ac:dyDescent="0.2"/>
    <row r="1676" ht="12.75" x14ac:dyDescent="0.2"/>
    <row r="1677" ht="12.75" x14ac:dyDescent="0.2"/>
    <row r="1678" ht="12.75" x14ac:dyDescent="0.2"/>
    <row r="1679" ht="12.75" x14ac:dyDescent="0.2"/>
    <row r="1680" ht="12.75" x14ac:dyDescent="0.2"/>
    <row r="1681" ht="12.75" x14ac:dyDescent="0.2"/>
    <row r="1682" ht="12.75" x14ac:dyDescent="0.2"/>
    <row r="1683" ht="12.75" x14ac:dyDescent="0.2"/>
    <row r="1684" ht="12.75" x14ac:dyDescent="0.2"/>
    <row r="1685" ht="12.75" x14ac:dyDescent="0.2"/>
    <row r="1686" ht="12.75" x14ac:dyDescent="0.2"/>
    <row r="1687" ht="12.75" x14ac:dyDescent="0.2"/>
    <row r="1688" ht="12.75" x14ac:dyDescent="0.2"/>
    <row r="1689" ht="12.75" x14ac:dyDescent="0.2"/>
    <row r="1690" ht="12.75" x14ac:dyDescent="0.2"/>
    <row r="1691" ht="12.75" x14ac:dyDescent="0.2"/>
    <row r="1692" ht="12.75" x14ac:dyDescent="0.2"/>
    <row r="1693" ht="12.75" x14ac:dyDescent="0.2"/>
    <row r="1694" ht="12.75" x14ac:dyDescent="0.2"/>
    <row r="1695" ht="12.75" x14ac:dyDescent="0.2"/>
    <row r="1696" ht="12.75" x14ac:dyDescent="0.2"/>
    <row r="1697" ht="12.75" x14ac:dyDescent="0.2"/>
    <row r="1698" ht="12.75" x14ac:dyDescent="0.2"/>
    <row r="1699" ht="12.75" x14ac:dyDescent="0.2"/>
    <row r="1700" ht="12.75" x14ac:dyDescent="0.2"/>
    <row r="1701" ht="12.75" x14ac:dyDescent="0.2"/>
    <row r="1702" ht="12.75" x14ac:dyDescent="0.2"/>
    <row r="1703" ht="12.75" x14ac:dyDescent="0.2"/>
    <row r="1704" ht="12.75" x14ac:dyDescent="0.2"/>
    <row r="1705" ht="12.75" x14ac:dyDescent="0.2"/>
    <row r="1706" ht="12.75" x14ac:dyDescent="0.2"/>
    <row r="1707" ht="12.75" x14ac:dyDescent="0.2"/>
    <row r="1708" ht="12.75" x14ac:dyDescent="0.2"/>
    <row r="1709" ht="12.75" x14ac:dyDescent="0.2"/>
    <row r="1710" ht="12.75" x14ac:dyDescent="0.2"/>
    <row r="1711" ht="12.75" x14ac:dyDescent="0.2"/>
    <row r="1712" ht="12.75" x14ac:dyDescent="0.2"/>
    <row r="1713" ht="12.75" x14ac:dyDescent="0.2"/>
    <row r="1714" ht="12.75" x14ac:dyDescent="0.2"/>
    <row r="1715" ht="12.75" x14ac:dyDescent="0.2"/>
    <row r="1716" ht="12.75" x14ac:dyDescent="0.2"/>
    <row r="1717" ht="12.75" x14ac:dyDescent="0.2"/>
    <row r="1718" ht="12.75" x14ac:dyDescent="0.2"/>
    <row r="1719" ht="12.75" x14ac:dyDescent="0.2"/>
    <row r="1720" ht="12.75" x14ac:dyDescent="0.2"/>
    <row r="1721" ht="12.75" x14ac:dyDescent="0.2"/>
    <row r="1722" ht="12.75" x14ac:dyDescent="0.2"/>
    <row r="1723" ht="12.75" x14ac:dyDescent="0.2"/>
    <row r="1724" ht="12.75" x14ac:dyDescent="0.2"/>
    <row r="1725" ht="12.75" x14ac:dyDescent="0.2"/>
    <row r="1726" ht="12.75" x14ac:dyDescent="0.2"/>
    <row r="1727" ht="12.75" x14ac:dyDescent="0.2"/>
    <row r="1728" ht="12.75" x14ac:dyDescent="0.2"/>
    <row r="1729" ht="12.75" x14ac:dyDescent="0.2"/>
    <row r="1730" ht="12.75" x14ac:dyDescent="0.2"/>
    <row r="1731" ht="12.75" x14ac:dyDescent="0.2"/>
    <row r="1732" ht="12.75" x14ac:dyDescent="0.2"/>
    <row r="1733" ht="12.75" x14ac:dyDescent="0.2"/>
    <row r="1734" ht="12.75" x14ac:dyDescent="0.2"/>
    <row r="1735" ht="12.75" x14ac:dyDescent="0.2"/>
    <row r="1736" ht="12.75" x14ac:dyDescent="0.2"/>
    <row r="1737" ht="12.75" x14ac:dyDescent="0.2"/>
    <row r="1738" ht="12.75" x14ac:dyDescent="0.2"/>
    <row r="1739" ht="12.75" x14ac:dyDescent="0.2"/>
    <row r="1740" ht="12.75" x14ac:dyDescent="0.2"/>
    <row r="1741" ht="12.75" x14ac:dyDescent="0.2"/>
    <row r="1742" ht="12.75" x14ac:dyDescent="0.2"/>
    <row r="1743" ht="12.75" x14ac:dyDescent="0.2"/>
    <row r="1744" ht="12.75" x14ac:dyDescent="0.2"/>
    <row r="1745" ht="12.75" x14ac:dyDescent="0.2"/>
    <row r="1746" ht="12.75" x14ac:dyDescent="0.2"/>
    <row r="1747" ht="12.75" x14ac:dyDescent="0.2"/>
    <row r="1748" ht="12.75" x14ac:dyDescent="0.2"/>
    <row r="1749" ht="12.75" x14ac:dyDescent="0.2"/>
    <row r="1750" ht="12.75" x14ac:dyDescent="0.2"/>
    <row r="1751" ht="12.75" x14ac:dyDescent="0.2"/>
    <row r="1752" ht="12.75" x14ac:dyDescent="0.2"/>
    <row r="1753" ht="12.75" x14ac:dyDescent="0.2"/>
    <row r="1754" ht="12.75" x14ac:dyDescent="0.2"/>
    <row r="1755" ht="12.75" x14ac:dyDescent="0.2"/>
    <row r="1756" ht="12.75" x14ac:dyDescent="0.2"/>
    <row r="1757" ht="12.75" x14ac:dyDescent="0.2"/>
    <row r="1758" ht="12.75" x14ac:dyDescent="0.2"/>
    <row r="1759" ht="12.75" x14ac:dyDescent="0.2"/>
    <row r="1760" ht="12.75" x14ac:dyDescent="0.2"/>
    <row r="1761" ht="12.75" x14ac:dyDescent="0.2"/>
    <row r="1762" ht="12.75" x14ac:dyDescent="0.2"/>
    <row r="1763" ht="12.75" x14ac:dyDescent="0.2"/>
    <row r="1764" ht="12.75" x14ac:dyDescent="0.2"/>
    <row r="1765" ht="12.75" x14ac:dyDescent="0.2"/>
    <row r="1766" ht="12.75" x14ac:dyDescent="0.2"/>
    <row r="1767" ht="12.75" x14ac:dyDescent="0.2"/>
    <row r="1768" ht="12.75" x14ac:dyDescent="0.2"/>
    <row r="1769" ht="12.75" x14ac:dyDescent="0.2"/>
    <row r="1770" ht="12.75" x14ac:dyDescent="0.2"/>
    <row r="1771" ht="12.75" x14ac:dyDescent="0.2"/>
    <row r="1772" ht="12.75" x14ac:dyDescent="0.2"/>
    <row r="1773" ht="12.75" x14ac:dyDescent="0.2"/>
    <row r="1774" ht="12.75" x14ac:dyDescent="0.2"/>
    <row r="1775" ht="12.75" x14ac:dyDescent="0.2"/>
    <row r="1776" ht="12.75" x14ac:dyDescent="0.2"/>
    <row r="1777" ht="12.75" x14ac:dyDescent="0.2"/>
    <row r="1778" ht="12.75" x14ac:dyDescent="0.2"/>
    <row r="1779" ht="12.75" x14ac:dyDescent="0.2"/>
    <row r="1780" ht="12.75" x14ac:dyDescent="0.2"/>
    <row r="1781" ht="12.75" x14ac:dyDescent="0.2"/>
    <row r="1782" ht="12.75" x14ac:dyDescent="0.2"/>
    <row r="1783" ht="12.75" x14ac:dyDescent="0.2"/>
    <row r="1784" ht="12.75" x14ac:dyDescent="0.2"/>
    <row r="1785" ht="12.75" x14ac:dyDescent="0.2"/>
    <row r="1786" ht="12.75" x14ac:dyDescent="0.2"/>
    <row r="1787" ht="12.75" x14ac:dyDescent="0.2"/>
    <row r="1788" ht="12.75" x14ac:dyDescent="0.2"/>
    <row r="1789" ht="12.75" x14ac:dyDescent="0.2"/>
    <row r="1790" ht="12.75" x14ac:dyDescent="0.2"/>
    <row r="1791" ht="12.75" x14ac:dyDescent="0.2"/>
    <row r="1792" ht="12.75" x14ac:dyDescent="0.2"/>
    <row r="1793" ht="12.75" x14ac:dyDescent="0.2"/>
    <row r="1794" ht="12.75" x14ac:dyDescent="0.2"/>
    <row r="1795" ht="12.75" x14ac:dyDescent="0.2"/>
    <row r="1796" ht="12.75" x14ac:dyDescent="0.2"/>
    <row r="1797" ht="12.75" x14ac:dyDescent="0.2"/>
    <row r="1798" ht="12.75" x14ac:dyDescent="0.2"/>
    <row r="1799" ht="12.75" x14ac:dyDescent="0.2"/>
    <row r="1800" ht="12.75" x14ac:dyDescent="0.2"/>
    <row r="1801" ht="12.75" x14ac:dyDescent="0.2"/>
    <row r="1802" ht="12.75" x14ac:dyDescent="0.2"/>
    <row r="1803" ht="12.75" x14ac:dyDescent="0.2"/>
    <row r="1804" ht="12.75" x14ac:dyDescent="0.2"/>
    <row r="1805" ht="12.75" x14ac:dyDescent="0.2"/>
    <row r="1806" ht="12.75" x14ac:dyDescent="0.2"/>
    <row r="1807" ht="12.75" x14ac:dyDescent="0.2"/>
    <row r="1808" ht="12.75" x14ac:dyDescent="0.2"/>
    <row r="1809" ht="12.75" x14ac:dyDescent="0.2"/>
    <row r="1810" ht="12.75" x14ac:dyDescent="0.2"/>
    <row r="1811" ht="12.75" x14ac:dyDescent="0.2"/>
    <row r="1812" ht="12.75" x14ac:dyDescent="0.2"/>
    <row r="1813" ht="12.75" x14ac:dyDescent="0.2"/>
    <row r="1814" ht="12.75" x14ac:dyDescent="0.2"/>
    <row r="1815" ht="12.75" x14ac:dyDescent="0.2"/>
    <row r="1816" ht="12.75" x14ac:dyDescent="0.2"/>
    <row r="1817" ht="12.75" x14ac:dyDescent="0.2"/>
    <row r="1818" ht="12.75" x14ac:dyDescent="0.2"/>
    <row r="1819" ht="12.75" x14ac:dyDescent="0.2"/>
    <row r="1820" ht="12.75" x14ac:dyDescent="0.2"/>
    <row r="1821" ht="12.75" x14ac:dyDescent="0.2"/>
    <row r="1822" ht="12.75" x14ac:dyDescent="0.2"/>
    <row r="1823" ht="12.75" x14ac:dyDescent="0.2"/>
    <row r="1824" ht="12.75" x14ac:dyDescent="0.2"/>
    <row r="1825" ht="12.75" x14ac:dyDescent="0.2"/>
    <row r="1826" ht="12.75" x14ac:dyDescent="0.2"/>
    <row r="1827" ht="12.75" x14ac:dyDescent="0.2"/>
    <row r="1828" ht="12.75" x14ac:dyDescent="0.2"/>
    <row r="1829" ht="12.75" x14ac:dyDescent="0.2"/>
    <row r="1830" ht="12.75" x14ac:dyDescent="0.2"/>
    <row r="1831" ht="12.75" x14ac:dyDescent="0.2"/>
    <row r="1832" ht="12.75" x14ac:dyDescent="0.2"/>
    <row r="1833" ht="12.75" x14ac:dyDescent="0.2"/>
    <row r="1834" ht="12.75" x14ac:dyDescent="0.2"/>
    <row r="1835" ht="12.75" x14ac:dyDescent="0.2"/>
    <row r="1836" ht="12.75" x14ac:dyDescent="0.2"/>
    <row r="1837" ht="12.75" x14ac:dyDescent="0.2"/>
    <row r="1838" ht="12.75" x14ac:dyDescent="0.2"/>
    <row r="1839" ht="12.75" x14ac:dyDescent="0.2"/>
    <row r="1840" ht="12.75" x14ac:dyDescent="0.2"/>
    <row r="1841" ht="12.75" x14ac:dyDescent="0.2"/>
    <row r="1842" ht="12.75" x14ac:dyDescent="0.2"/>
    <row r="1843" ht="12.75" x14ac:dyDescent="0.2"/>
    <row r="1844" ht="12.75" x14ac:dyDescent="0.2"/>
    <row r="1845" ht="12.75" x14ac:dyDescent="0.2"/>
    <row r="1846" ht="12.75" x14ac:dyDescent="0.2"/>
    <row r="1847" ht="12.75" x14ac:dyDescent="0.2"/>
    <row r="1848" ht="12.75" x14ac:dyDescent="0.2"/>
    <row r="1849" ht="12.75" x14ac:dyDescent="0.2"/>
    <row r="1850" ht="12.75" x14ac:dyDescent="0.2"/>
    <row r="1851" ht="12.75" x14ac:dyDescent="0.2"/>
    <row r="1852" ht="12.75" x14ac:dyDescent="0.2"/>
    <row r="1853" ht="12.75" x14ac:dyDescent="0.2"/>
    <row r="1854" ht="12.75" x14ac:dyDescent="0.2"/>
    <row r="1855" ht="12.75" x14ac:dyDescent="0.2"/>
    <row r="1856" ht="12.75" x14ac:dyDescent="0.2"/>
    <row r="1857" ht="12.75" x14ac:dyDescent="0.2"/>
    <row r="1858" ht="12.75" x14ac:dyDescent="0.2"/>
    <row r="1859" ht="12.75" x14ac:dyDescent="0.2"/>
    <row r="1860" ht="12.75" x14ac:dyDescent="0.2"/>
    <row r="1861" ht="12.75" x14ac:dyDescent="0.2"/>
    <row r="1862" ht="12.75" x14ac:dyDescent="0.2"/>
    <row r="1863" ht="12.75" x14ac:dyDescent="0.2"/>
    <row r="1864" ht="12.75" x14ac:dyDescent="0.2"/>
    <row r="1865" ht="12.75" x14ac:dyDescent="0.2"/>
    <row r="1866" ht="12.75" x14ac:dyDescent="0.2"/>
    <row r="1867" ht="12.75" x14ac:dyDescent="0.2"/>
    <row r="1868" ht="12.75" x14ac:dyDescent="0.2"/>
    <row r="1869" ht="12.75" x14ac:dyDescent="0.2"/>
    <row r="1870" ht="12.75" x14ac:dyDescent="0.2"/>
    <row r="1871" ht="12.75" x14ac:dyDescent="0.2"/>
    <row r="1872" ht="12.75" x14ac:dyDescent="0.2"/>
    <row r="1873" ht="12.75" x14ac:dyDescent="0.2"/>
    <row r="1874" ht="12.75" x14ac:dyDescent="0.2"/>
    <row r="1875" ht="12.75" x14ac:dyDescent="0.2"/>
    <row r="1876" ht="12.75" x14ac:dyDescent="0.2"/>
    <row r="1877" ht="12.75" x14ac:dyDescent="0.2"/>
    <row r="1878" ht="12.75" x14ac:dyDescent="0.2"/>
    <row r="1879" ht="12.75" x14ac:dyDescent="0.2"/>
    <row r="1880" ht="12.75" x14ac:dyDescent="0.2"/>
    <row r="1881" ht="12.75" x14ac:dyDescent="0.2"/>
    <row r="1882" ht="12.75" x14ac:dyDescent="0.2"/>
    <row r="1883" ht="12.75" x14ac:dyDescent="0.2"/>
    <row r="1884" ht="12.75" x14ac:dyDescent="0.2"/>
    <row r="1885" ht="12.75" x14ac:dyDescent="0.2"/>
    <row r="1886" ht="12.75" x14ac:dyDescent="0.2"/>
    <row r="1887" ht="12.75" x14ac:dyDescent="0.2"/>
    <row r="1888" ht="12.75" x14ac:dyDescent="0.2"/>
    <row r="1889" ht="12.75" x14ac:dyDescent="0.2"/>
    <row r="1890" ht="12.75" x14ac:dyDescent="0.2"/>
    <row r="1891" ht="12.75" x14ac:dyDescent="0.2"/>
    <row r="1892" ht="12.75" x14ac:dyDescent="0.2"/>
    <row r="1893" ht="12.75" x14ac:dyDescent="0.2"/>
    <row r="1894" ht="12.75" x14ac:dyDescent="0.2"/>
    <row r="1895" ht="12.75" x14ac:dyDescent="0.2"/>
    <row r="1896" ht="12.75" x14ac:dyDescent="0.2"/>
    <row r="1897" ht="12.75" x14ac:dyDescent="0.2"/>
    <row r="1898" ht="12.75" x14ac:dyDescent="0.2"/>
    <row r="1899" ht="12.75" x14ac:dyDescent="0.2"/>
    <row r="1900" ht="12.75" x14ac:dyDescent="0.2"/>
    <row r="1901" ht="12.75" x14ac:dyDescent="0.2"/>
    <row r="1902" ht="12.75" x14ac:dyDescent="0.2"/>
    <row r="1903" ht="12.75" x14ac:dyDescent="0.2"/>
    <row r="1904" ht="12.75" x14ac:dyDescent="0.2"/>
    <row r="1905" ht="12.75" x14ac:dyDescent="0.2"/>
    <row r="1906" ht="12.75" x14ac:dyDescent="0.2"/>
    <row r="1907" ht="12.75" x14ac:dyDescent="0.2"/>
    <row r="1908" ht="12.75" x14ac:dyDescent="0.2"/>
    <row r="1909" ht="12.75" x14ac:dyDescent="0.2"/>
    <row r="1910" ht="12.75" x14ac:dyDescent="0.2"/>
    <row r="1911" ht="12.75" x14ac:dyDescent="0.2"/>
    <row r="1912" ht="12.75" x14ac:dyDescent="0.2"/>
    <row r="1913" ht="12.75" x14ac:dyDescent="0.2"/>
    <row r="1914" ht="12.75" x14ac:dyDescent="0.2"/>
    <row r="1915" ht="12.75" x14ac:dyDescent="0.2"/>
    <row r="1916" ht="12.75" x14ac:dyDescent="0.2"/>
    <row r="1917" ht="12.75" x14ac:dyDescent="0.2"/>
    <row r="1918" ht="12.75" x14ac:dyDescent="0.2"/>
    <row r="1919" ht="12.75" x14ac:dyDescent="0.2"/>
    <row r="1920" ht="12.75" x14ac:dyDescent="0.2"/>
    <row r="1921" ht="12.75" x14ac:dyDescent="0.2"/>
    <row r="1922" ht="12.75" x14ac:dyDescent="0.2"/>
    <row r="1923" ht="12.75" x14ac:dyDescent="0.2"/>
    <row r="1924" ht="12.75" x14ac:dyDescent="0.2"/>
    <row r="1925" ht="12.75" x14ac:dyDescent="0.2"/>
    <row r="1926" ht="12.75" x14ac:dyDescent="0.2"/>
    <row r="1927" ht="12.75" x14ac:dyDescent="0.2"/>
    <row r="1928" ht="12.75" x14ac:dyDescent="0.2"/>
    <row r="1929" ht="12.75" x14ac:dyDescent="0.2"/>
    <row r="1930" ht="12.75" x14ac:dyDescent="0.2"/>
    <row r="1931" ht="12.75" x14ac:dyDescent="0.2"/>
    <row r="1932" ht="12.75" x14ac:dyDescent="0.2"/>
    <row r="1933" ht="12.75" x14ac:dyDescent="0.2"/>
    <row r="1934" ht="12.75" x14ac:dyDescent="0.2"/>
    <row r="1935" ht="12.75" x14ac:dyDescent="0.2"/>
    <row r="1936" ht="12.75" x14ac:dyDescent="0.2"/>
    <row r="1937" ht="12.75" x14ac:dyDescent="0.2"/>
    <row r="1938" ht="12.75" x14ac:dyDescent="0.2"/>
    <row r="1939" ht="12.75" x14ac:dyDescent="0.2"/>
    <row r="1940" ht="12.75" x14ac:dyDescent="0.2"/>
    <row r="1941" ht="12.75" x14ac:dyDescent="0.2"/>
    <row r="1942" ht="12.75" x14ac:dyDescent="0.2"/>
    <row r="1943" ht="12.75" x14ac:dyDescent="0.2"/>
    <row r="1944" ht="12.75" x14ac:dyDescent="0.2"/>
    <row r="1945" ht="12.75" x14ac:dyDescent="0.2"/>
    <row r="1946" ht="12.75" x14ac:dyDescent="0.2"/>
    <row r="1947" ht="12.75" x14ac:dyDescent="0.2"/>
    <row r="1948" ht="12.75" x14ac:dyDescent="0.2"/>
    <row r="1949" ht="12.75" x14ac:dyDescent="0.2"/>
    <row r="1950" ht="12.75" x14ac:dyDescent="0.2"/>
    <row r="1951" ht="12.75" x14ac:dyDescent="0.2"/>
    <row r="1952" ht="12.75" x14ac:dyDescent="0.2"/>
    <row r="1953" ht="12.75" x14ac:dyDescent="0.2"/>
    <row r="1954" ht="12.75" x14ac:dyDescent="0.2"/>
    <row r="1955" ht="12.75" x14ac:dyDescent="0.2"/>
    <row r="1956" ht="12.75" x14ac:dyDescent="0.2"/>
    <row r="1957" ht="12.75" x14ac:dyDescent="0.2"/>
    <row r="1958" ht="12.75" x14ac:dyDescent="0.2"/>
    <row r="1959" ht="12.75" x14ac:dyDescent="0.2"/>
    <row r="1960" ht="12.75" x14ac:dyDescent="0.2"/>
    <row r="1961" ht="12.75" x14ac:dyDescent="0.2"/>
    <row r="1962" ht="12.75" x14ac:dyDescent="0.2"/>
    <row r="1963" ht="12.75" x14ac:dyDescent="0.2"/>
    <row r="1964" ht="12.75" x14ac:dyDescent="0.2"/>
    <row r="1965" ht="12.75" x14ac:dyDescent="0.2"/>
    <row r="1966" ht="12.75" x14ac:dyDescent="0.2"/>
    <row r="1967" ht="12.75" x14ac:dyDescent="0.2"/>
    <row r="1968" ht="12.75" x14ac:dyDescent="0.2"/>
    <row r="1969" ht="12.75" x14ac:dyDescent="0.2"/>
    <row r="1970" ht="12.75" x14ac:dyDescent="0.2"/>
    <row r="1971" ht="12.75" x14ac:dyDescent="0.2"/>
    <row r="1972" ht="12.75" x14ac:dyDescent="0.2"/>
    <row r="1973" ht="12.75" x14ac:dyDescent="0.2"/>
    <row r="1974" ht="12.75" x14ac:dyDescent="0.2"/>
    <row r="1975" ht="12.75" x14ac:dyDescent="0.2"/>
    <row r="1976" ht="12.75" x14ac:dyDescent="0.2"/>
    <row r="1977" ht="12.75" x14ac:dyDescent="0.2"/>
    <row r="1978" ht="12.75" x14ac:dyDescent="0.2"/>
    <row r="1979" ht="12.75" x14ac:dyDescent="0.2"/>
    <row r="1980" ht="12.75" x14ac:dyDescent="0.2"/>
    <row r="1981" ht="12.75" x14ac:dyDescent="0.2"/>
    <row r="1982" ht="12.75" x14ac:dyDescent="0.2"/>
    <row r="1983" ht="12.75" x14ac:dyDescent="0.2"/>
    <row r="1984" ht="12.75" x14ac:dyDescent="0.2"/>
    <row r="1985" ht="12.75" x14ac:dyDescent="0.2"/>
    <row r="1986" ht="12.75" x14ac:dyDescent="0.2"/>
    <row r="1987" ht="12.75" x14ac:dyDescent="0.2"/>
    <row r="1988" ht="12.75" x14ac:dyDescent="0.2"/>
    <row r="1989" ht="12.75" x14ac:dyDescent="0.2"/>
    <row r="1990" ht="12.75" x14ac:dyDescent="0.2"/>
    <row r="1991" ht="12.75" x14ac:dyDescent="0.2"/>
    <row r="1992" ht="12.75" x14ac:dyDescent="0.2"/>
    <row r="1993" ht="12.75" x14ac:dyDescent="0.2"/>
    <row r="1994" ht="12.75" x14ac:dyDescent="0.2"/>
    <row r="1995" ht="12.75" x14ac:dyDescent="0.2"/>
    <row r="1996" ht="12.75" x14ac:dyDescent="0.2"/>
    <row r="1997" ht="12.75" x14ac:dyDescent="0.2"/>
    <row r="1998" ht="12.75" x14ac:dyDescent="0.2"/>
    <row r="1999" ht="12.75" x14ac:dyDescent="0.2"/>
    <row r="2000" ht="12.75" x14ac:dyDescent="0.2"/>
    <row r="2001" ht="12.75" x14ac:dyDescent="0.2"/>
    <row r="2002" ht="12.75" x14ac:dyDescent="0.2"/>
    <row r="2003" ht="12.75" x14ac:dyDescent="0.2"/>
    <row r="2004" ht="12.75" x14ac:dyDescent="0.2"/>
    <row r="2005" ht="12.75" x14ac:dyDescent="0.2"/>
    <row r="2006" ht="12.75" x14ac:dyDescent="0.2"/>
    <row r="2007" ht="12.75" x14ac:dyDescent="0.2"/>
    <row r="2008" ht="12.75" x14ac:dyDescent="0.2"/>
    <row r="2009" ht="12.75" x14ac:dyDescent="0.2"/>
    <row r="2010" ht="12.75" x14ac:dyDescent="0.2"/>
    <row r="2011" ht="12.75" x14ac:dyDescent="0.2"/>
    <row r="2012" ht="12.75" x14ac:dyDescent="0.2"/>
    <row r="2013" ht="12.75" x14ac:dyDescent="0.2"/>
    <row r="2014" ht="12.75" x14ac:dyDescent="0.2"/>
    <row r="2015" ht="12.75" x14ac:dyDescent="0.2"/>
    <row r="2016" ht="12.75" x14ac:dyDescent="0.2"/>
    <row r="2017" ht="12.75" x14ac:dyDescent="0.2"/>
    <row r="2018" ht="12.75" x14ac:dyDescent="0.2"/>
    <row r="2019" ht="12.75" x14ac:dyDescent="0.2"/>
    <row r="2020" ht="12.75" x14ac:dyDescent="0.2"/>
    <row r="2021" ht="12.75" x14ac:dyDescent="0.2"/>
    <row r="2022" ht="12.75" x14ac:dyDescent="0.2"/>
    <row r="2023" ht="12.75" x14ac:dyDescent="0.2"/>
    <row r="2024" ht="12.75" x14ac:dyDescent="0.2"/>
    <row r="2025" ht="12.75" x14ac:dyDescent="0.2"/>
    <row r="2026" ht="12.75" x14ac:dyDescent="0.2"/>
    <row r="2027" ht="12.75" x14ac:dyDescent="0.2"/>
    <row r="2028" ht="12.75" x14ac:dyDescent="0.2"/>
    <row r="2029" ht="12.75" x14ac:dyDescent="0.2"/>
    <row r="2030" ht="12.75" x14ac:dyDescent="0.2"/>
    <row r="2031" ht="12.75" x14ac:dyDescent="0.2"/>
    <row r="2032" ht="12.75" x14ac:dyDescent="0.2"/>
    <row r="2033" ht="12.75" x14ac:dyDescent="0.2"/>
    <row r="2034" ht="12.75" x14ac:dyDescent="0.2"/>
    <row r="2035" ht="12.75" x14ac:dyDescent="0.2"/>
    <row r="2036" ht="12.75" x14ac:dyDescent="0.2"/>
    <row r="2037" ht="12.75" x14ac:dyDescent="0.2"/>
    <row r="2038" ht="12.75" x14ac:dyDescent="0.2"/>
    <row r="2039" ht="12.75" x14ac:dyDescent="0.2"/>
    <row r="2040" ht="12.75" x14ac:dyDescent="0.2"/>
    <row r="2041" ht="12.75" x14ac:dyDescent="0.2"/>
    <row r="2042" ht="12.75" x14ac:dyDescent="0.2"/>
    <row r="2043" ht="12.75" x14ac:dyDescent="0.2"/>
    <row r="2044" ht="12.75" x14ac:dyDescent="0.2"/>
    <row r="2045" ht="12.75" x14ac:dyDescent="0.2"/>
    <row r="2046" ht="12.75" x14ac:dyDescent="0.2"/>
    <row r="2047" ht="12.75" x14ac:dyDescent="0.2"/>
    <row r="2048" ht="12.75" x14ac:dyDescent="0.2"/>
    <row r="2049" ht="12.75" x14ac:dyDescent="0.2"/>
    <row r="2050" ht="12.75" x14ac:dyDescent="0.2"/>
    <row r="2051" ht="12.75" x14ac:dyDescent="0.2"/>
    <row r="2052" ht="12.75" x14ac:dyDescent="0.2"/>
    <row r="2053" ht="12.75" x14ac:dyDescent="0.2"/>
    <row r="2054" ht="12.75" x14ac:dyDescent="0.2"/>
    <row r="2055" ht="12.75" x14ac:dyDescent="0.2"/>
    <row r="2056" ht="12.75" x14ac:dyDescent="0.2"/>
    <row r="2057" ht="12.75" x14ac:dyDescent="0.2"/>
    <row r="2058" ht="12.75" x14ac:dyDescent="0.2"/>
    <row r="2059" ht="12.75" x14ac:dyDescent="0.2"/>
    <row r="2060" ht="12.75" x14ac:dyDescent="0.2"/>
    <row r="2061" ht="12.75" x14ac:dyDescent="0.2"/>
    <row r="2062" ht="12.75" x14ac:dyDescent="0.2"/>
    <row r="2063" ht="12.75" x14ac:dyDescent="0.2"/>
    <row r="2064" ht="12.75" x14ac:dyDescent="0.2"/>
    <row r="2065" ht="12.75" x14ac:dyDescent="0.2"/>
    <row r="2066" ht="12.75" x14ac:dyDescent="0.2"/>
    <row r="2067" ht="12.75" x14ac:dyDescent="0.2"/>
    <row r="2068" ht="12.75" x14ac:dyDescent="0.2"/>
    <row r="2069" ht="12.75" x14ac:dyDescent="0.2"/>
    <row r="2070" ht="12.75" x14ac:dyDescent="0.2"/>
    <row r="2071" ht="12.75" x14ac:dyDescent="0.2"/>
    <row r="2072" ht="12.75" x14ac:dyDescent="0.2"/>
    <row r="2073" ht="12.75" x14ac:dyDescent="0.2"/>
    <row r="2074" ht="12.75" x14ac:dyDescent="0.2"/>
    <row r="2075" ht="12.75" x14ac:dyDescent="0.2"/>
    <row r="2076" ht="12.75" x14ac:dyDescent="0.2"/>
    <row r="2077" ht="12.75" x14ac:dyDescent="0.2"/>
    <row r="2078" ht="12.75" x14ac:dyDescent="0.2"/>
    <row r="2079" ht="12.75" x14ac:dyDescent="0.2"/>
    <row r="2080" ht="12.75" x14ac:dyDescent="0.2"/>
    <row r="2081" ht="12.75" x14ac:dyDescent="0.2"/>
    <row r="2082" ht="12.75" x14ac:dyDescent="0.2"/>
    <row r="2083" ht="12.75" x14ac:dyDescent="0.2"/>
    <row r="2084" ht="12.75" x14ac:dyDescent="0.2"/>
    <row r="2085" ht="12.75" x14ac:dyDescent="0.2"/>
    <row r="2086" ht="12.75" x14ac:dyDescent="0.2"/>
    <row r="2087" ht="12.75" x14ac:dyDescent="0.2"/>
    <row r="2088" ht="12.75" x14ac:dyDescent="0.2"/>
    <row r="2089" ht="12.75" x14ac:dyDescent="0.2"/>
    <row r="2090" ht="12.75" x14ac:dyDescent="0.2"/>
    <row r="2091" ht="12.75" x14ac:dyDescent="0.2"/>
    <row r="2092" ht="12.75" x14ac:dyDescent="0.2"/>
    <row r="2093" ht="12.75" x14ac:dyDescent="0.2"/>
    <row r="2094" ht="12.75" x14ac:dyDescent="0.2"/>
    <row r="2095" ht="12.75" x14ac:dyDescent="0.2"/>
    <row r="2096" ht="12.75" x14ac:dyDescent="0.2"/>
    <row r="2097" ht="12.75" x14ac:dyDescent="0.2"/>
    <row r="2098" ht="12.75" x14ac:dyDescent="0.2"/>
    <row r="2099" ht="12.75" x14ac:dyDescent="0.2"/>
    <row r="2100" ht="12.75" x14ac:dyDescent="0.2"/>
    <row r="2101" ht="12.75" x14ac:dyDescent="0.2"/>
    <row r="2102" ht="12.75" x14ac:dyDescent="0.2"/>
    <row r="2103" ht="12.75" x14ac:dyDescent="0.2"/>
    <row r="2104" ht="12.75" x14ac:dyDescent="0.2"/>
    <row r="2105" ht="12.75" x14ac:dyDescent="0.2"/>
    <row r="2106" ht="12.75" x14ac:dyDescent="0.2"/>
    <row r="2107" ht="12.75" x14ac:dyDescent="0.2"/>
    <row r="2108" ht="12.75" x14ac:dyDescent="0.2"/>
    <row r="2109" ht="12.75" x14ac:dyDescent="0.2"/>
    <row r="2110" ht="12.75" x14ac:dyDescent="0.2"/>
    <row r="2111" ht="12.75" x14ac:dyDescent="0.2"/>
    <row r="2112" ht="12.75" x14ac:dyDescent="0.2"/>
    <row r="2113" ht="12.75" x14ac:dyDescent="0.2"/>
    <row r="2114" ht="12.75" x14ac:dyDescent="0.2"/>
    <row r="2115" ht="12.75" x14ac:dyDescent="0.2"/>
    <row r="2116" ht="12.75" x14ac:dyDescent="0.2"/>
    <row r="2117" ht="12.75" x14ac:dyDescent="0.2"/>
    <row r="2118" ht="12.75" x14ac:dyDescent="0.2"/>
    <row r="2119" ht="12.75" x14ac:dyDescent="0.2"/>
    <row r="2120" ht="12.75" x14ac:dyDescent="0.2"/>
    <row r="2121" ht="12.75" x14ac:dyDescent="0.2"/>
    <row r="2122" ht="12.75" x14ac:dyDescent="0.2"/>
    <row r="2123" ht="12.75" x14ac:dyDescent="0.2"/>
    <row r="2124" ht="12.75" x14ac:dyDescent="0.2"/>
    <row r="2125" ht="12.75" x14ac:dyDescent="0.2"/>
    <row r="2126" ht="12.75" x14ac:dyDescent="0.2"/>
    <row r="2127" ht="12.75" x14ac:dyDescent="0.2"/>
    <row r="2128" ht="12.75" x14ac:dyDescent="0.2"/>
    <row r="2129" ht="12.75" x14ac:dyDescent="0.2"/>
    <row r="2130" ht="12.75" x14ac:dyDescent="0.2"/>
    <row r="2131" ht="12.75" x14ac:dyDescent="0.2"/>
    <row r="2132" ht="12.75" x14ac:dyDescent="0.2"/>
    <row r="2133" ht="12.75" x14ac:dyDescent="0.2"/>
    <row r="2134" ht="12.75" x14ac:dyDescent="0.2"/>
    <row r="2135" ht="12.75" x14ac:dyDescent="0.2"/>
    <row r="2136" ht="12.75" x14ac:dyDescent="0.2"/>
    <row r="2137" ht="12.75" x14ac:dyDescent="0.2"/>
    <row r="2138" ht="12.75" x14ac:dyDescent="0.2"/>
    <row r="2139" ht="12.75" x14ac:dyDescent="0.2"/>
    <row r="2140" ht="12.75" x14ac:dyDescent="0.2"/>
    <row r="2141" ht="12.75" x14ac:dyDescent="0.2"/>
    <row r="2142" ht="12.75" x14ac:dyDescent="0.2"/>
    <row r="2143" ht="12.75" x14ac:dyDescent="0.2"/>
    <row r="2144" ht="12.75" x14ac:dyDescent="0.2"/>
    <row r="2145" ht="12.75" x14ac:dyDescent="0.2"/>
    <row r="2146" ht="12.75" x14ac:dyDescent="0.2"/>
    <row r="2147" ht="12.75" x14ac:dyDescent="0.2"/>
    <row r="2148" ht="12.75" x14ac:dyDescent="0.2"/>
    <row r="2149" ht="12.75" x14ac:dyDescent="0.2"/>
    <row r="2150" ht="12.75" x14ac:dyDescent="0.2"/>
    <row r="2151" ht="12.75" x14ac:dyDescent="0.2"/>
    <row r="2152" ht="12.75" x14ac:dyDescent="0.2"/>
    <row r="2153" ht="12.75" x14ac:dyDescent="0.2"/>
    <row r="2154" ht="12.75" x14ac:dyDescent="0.2"/>
    <row r="2155" ht="12.75" x14ac:dyDescent="0.2"/>
    <row r="2156" ht="12.75" x14ac:dyDescent="0.2"/>
    <row r="2157" ht="12.75" x14ac:dyDescent="0.2"/>
    <row r="2158" ht="12.75" x14ac:dyDescent="0.2"/>
    <row r="2159" ht="12.75" x14ac:dyDescent="0.2"/>
    <row r="2160" ht="12.75" x14ac:dyDescent="0.2"/>
    <row r="2161" ht="12.75" x14ac:dyDescent="0.2"/>
    <row r="2162" ht="12.75" x14ac:dyDescent="0.2"/>
    <row r="2163" ht="12.75" x14ac:dyDescent="0.2"/>
    <row r="2164" ht="12.75" x14ac:dyDescent="0.2"/>
    <row r="2165" ht="12.75" x14ac:dyDescent="0.2"/>
    <row r="2166" ht="12.75" x14ac:dyDescent="0.2"/>
    <row r="2167" ht="12.75" x14ac:dyDescent="0.2"/>
    <row r="2168" ht="12.75" x14ac:dyDescent="0.2"/>
    <row r="2169" ht="12.75" x14ac:dyDescent="0.2"/>
    <row r="2170" ht="12.75" x14ac:dyDescent="0.2"/>
    <row r="2171" ht="12.75" x14ac:dyDescent="0.2"/>
    <row r="2172" ht="12.75" x14ac:dyDescent="0.2"/>
    <row r="2173" ht="12.75" x14ac:dyDescent="0.2"/>
    <row r="2174" ht="12.75" x14ac:dyDescent="0.2"/>
    <row r="2175" ht="12.75" x14ac:dyDescent="0.2"/>
    <row r="2176" ht="12.75" x14ac:dyDescent="0.2"/>
    <row r="2177" ht="12.75" x14ac:dyDescent="0.2"/>
    <row r="2178" ht="12.75" x14ac:dyDescent="0.2"/>
    <row r="2179" ht="12.75" x14ac:dyDescent="0.2"/>
    <row r="2180" ht="12.75" x14ac:dyDescent="0.2"/>
    <row r="2181" ht="12.75" x14ac:dyDescent="0.2"/>
    <row r="2182" ht="12.75" x14ac:dyDescent="0.2"/>
    <row r="2183" ht="12.75" x14ac:dyDescent="0.2"/>
    <row r="2184" ht="12.75" x14ac:dyDescent="0.2"/>
    <row r="2185" ht="12.75" x14ac:dyDescent="0.2"/>
    <row r="2186" ht="12.75" x14ac:dyDescent="0.2"/>
    <row r="2187" ht="12.75" x14ac:dyDescent="0.2"/>
    <row r="2188" ht="12.75" x14ac:dyDescent="0.2"/>
    <row r="2189" ht="12.75" x14ac:dyDescent="0.2"/>
    <row r="2190" ht="12.75" x14ac:dyDescent="0.2"/>
    <row r="2191" ht="12.75" x14ac:dyDescent="0.2"/>
    <row r="2192" ht="12.75" x14ac:dyDescent="0.2"/>
    <row r="2193" ht="12.75" x14ac:dyDescent="0.2"/>
    <row r="2194" ht="12.75" x14ac:dyDescent="0.2"/>
    <row r="2195" ht="12.75" x14ac:dyDescent="0.2"/>
    <row r="2196" ht="12.75" x14ac:dyDescent="0.2"/>
    <row r="2197" ht="12.75" x14ac:dyDescent="0.2"/>
    <row r="2198" ht="12.75" x14ac:dyDescent="0.2"/>
    <row r="2199" ht="12.75" x14ac:dyDescent="0.2"/>
    <row r="2200" ht="12.75" x14ac:dyDescent="0.2"/>
    <row r="2201" ht="12.75" x14ac:dyDescent="0.2"/>
    <row r="2202" ht="12.75" x14ac:dyDescent="0.2"/>
    <row r="2203" ht="12.75" x14ac:dyDescent="0.2"/>
    <row r="2204" ht="12.75" x14ac:dyDescent="0.2"/>
    <row r="2205" ht="12.75" x14ac:dyDescent="0.2"/>
    <row r="2206" ht="12.75" x14ac:dyDescent="0.2"/>
    <row r="2207" ht="12.75" x14ac:dyDescent="0.2"/>
    <row r="2208" ht="12.75" x14ac:dyDescent="0.2"/>
    <row r="2209" ht="12.75" x14ac:dyDescent="0.2"/>
    <row r="2210" ht="12.75" x14ac:dyDescent="0.2"/>
    <row r="2211" ht="12.75" x14ac:dyDescent="0.2"/>
    <row r="2212" ht="12.75" x14ac:dyDescent="0.2"/>
    <row r="2213" ht="12.75" x14ac:dyDescent="0.2"/>
    <row r="2214" ht="12.75" x14ac:dyDescent="0.2"/>
    <row r="2215" ht="12.75" x14ac:dyDescent="0.2"/>
    <row r="2216" ht="12.75" x14ac:dyDescent="0.2"/>
    <row r="2217" ht="12.75" x14ac:dyDescent="0.2"/>
    <row r="2218" ht="12.75" x14ac:dyDescent="0.2"/>
    <row r="2219" ht="12.75" x14ac:dyDescent="0.2"/>
    <row r="2220" ht="12.75" x14ac:dyDescent="0.2"/>
    <row r="2221" ht="12.75" x14ac:dyDescent="0.2"/>
    <row r="2222" ht="12.75" x14ac:dyDescent="0.2"/>
    <row r="2223" ht="12.75" x14ac:dyDescent="0.2"/>
    <row r="2224" ht="12.75" x14ac:dyDescent="0.2"/>
    <row r="2225" ht="12.75" x14ac:dyDescent="0.2"/>
    <row r="2226" ht="12.75" x14ac:dyDescent="0.2"/>
    <row r="2227" ht="12.75" x14ac:dyDescent="0.2"/>
    <row r="2228" ht="12.75" x14ac:dyDescent="0.2"/>
    <row r="2229" ht="12.75" x14ac:dyDescent="0.2"/>
    <row r="2230" ht="12.75" x14ac:dyDescent="0.2"/>
    <row r="2231" ht="12.75" x14ac:dyDescent="0.2"/>
    <row r="2232" ht="12.75" x14ac:dyDescent="0.2"/>
    <row r="2233" ht="12.75" x14ac:dyDescent="0.2"/>
    <row r="2234" ht="12.75" x14ac:dyDescent="0.2"/>
    <row r="2235" ht="12.75" x14ac:dyDescent="0.2"/>
    <row r="2236" ht="12.75" x14ac:dyDescent="0.2"/>
    <row r="2237" ht="12.75" x14ac:dyDescent="0.2"/>
    <row r="2238" ht="12.75" x14ac:dyDescent="0.2"/>
    <row r="2239" ht="12.75" x14ac:dyDescent="0.2"/>
    <row r="2240" ht="12.75" x14ac:dyDescent="0.2"/>
    <row r="2241" ht="12.75" x14ac:dyDescent="0.2"/>
    <row r="2242" ht="12.75" x14ac:dyDescent="0.2"/>
    <row r="2243" ht="12.75" x14ac:dyDescent="0.2"/>
    <row r="2244" ht="12.75" x14ac:dyDescent="0.2"/>
    <row r="2245" ht="12.75" x14ac:dyDescent="0.2"/>
    <row r="2246" ht="12.75" x14ac:dyDescent="0.2"/>
    <row r="2247" ht="12.75" x14ac:dyDescent="0.2"/>
    <row r="2248" ht="12.75" x14ac:dyDescent="0.2"/>
    <row r="2249" ht="12.75" x14ac:dyDescent="0.2"/>
    <row r="2250" ht="12.75" x14ac:dyDescent="0.2"/>
    <row r="2251" ht="12.75" x14ac:dyDescent="0.2"/>
    <row r="2252" ht="12.75" x14ac:dyDescent="0.2"/>
    <row r="2253" ht="12.75" x14ac:dyDescent="0.2"/>
    <row r="2254" ht="12.75" x14ac:dyDescent="0.2"/>
    <row r="2255" ht="12.75" x14ac:dyDescent="0.2"/>
    <row r="2256" ht="12.75" x14ac:dyDescent="0.2"/>
    <row r="2257" ht="12.75" x14ac:dyDescent="0.2"/>
    <row r="2258" ht="12.75" x14ac:dyDescent="0.2"/>
    <row r="2259" ht="12.75" x14ac:dyDescent="0.2"/>
    <row r="2260" ht="12.75" x14ac:dyDescent="0.2"/>
    <row r="2261" ht="12.75" x14ac:dyDescent="0.2"/>
    <row r="2262" ht="12.75" x14ac:dyDescent="0.2"/>
    <row r="2263" ht="12.75" x14ac:dyDescent="0.2"/>
    <row r="2264" ht="12.75" x14ac:dyDescent="0.2"/>
    <row r="2265" ht="12.75" x14ac:dyDescent="0.2"/>
    <row r="2266" ht="12.75" x14ac:dyDescent="0.2"/>
    <row r="2267" ht="12.75" x14ac:dyDescent="0.2"/>
    <row r="2268" ht="12.75" x14ac:dyDescent="0.2"/>
    <row r="2269" ht="12.75" x14ac:dyDescent="0.2"/>
    <row r="2270" ht="12.75" x14ac:dyDescent="0.2"/>
    <row r="2271" ht="12.75" x14ac:dyDescent="0.2"/>
    <row r="2272" ht="12.75" x14ac:dyDescent="0.2"/>
    <row r="2273" ht="12.75" x14ac:dyDescent="0.2"/>
    <row r="2274" ht="12.75" x14ac:dyDescent="0.2"/>
    <row r="2275" ht="12.75" x14ac:dyDescent="0.2"/>
    <row r="2276" ht="12.75" x14ac:dyDescent="0.2"/>
    <row r="2277" ht="12.75" x14ac:dyDescent="0.2"/>
    <row r="2278" ht="12.75" x14ac:dyDescent="0.2"/>
    <row r="2279" ht="12.75" x14ac:dyDescent="0.2"/>
    <row r="2280" ht="12.75" x14ac:dyDescent="0.2"/>
    <row r="2281" ht="12.75" x14ac:dyDescent="0.2"/>
    <row r="2282" ht="12.75" x14ac:dyDescent="0.2"/>
    <row r="2283" ht="12.75" x14ac:dyDescent="0.2"/>
    <row r="2284" ht="12.75" x14ac:dyDescent="0.2"/>
    <row r="2285" ht="12.75" x14ac:dyDescent="0.2"/>
    <row r="2286" ht="12.75" x14ac:dyDescent="0.2"/>
    <row r="2287" ht="12.75" x14ac:dyDescent="0.2"/>
    <row r="2288" ht="12.75" x14ac:dyDescent="0.2"/>
    <row r="2289" ht="12.75" x14ac:dyDescent="0.2"/>
    <row r="2290" ht="12.75" x14ac:dyDescent="0.2"/>
    <row r="2291" ht="12.75" x14ac:dyDescent="0.2"/>
    <row r="2292" ht="12.75" x14ac:dyDescent="0.2"/>
    <row r="2293" ht="12.75" x14ac:dyDescent="0.2"/>
    <row r="2294" ht="12.75" x14ac:dyDescent="0.2"/>
    <row r="2295" ht="12.75" x14ac:dyDescent="0.2"/>
    <row r="2296" ht="12.75" x14ac:dyDescent="0.2"/>
    <row r="2297" ht="12.75" x14ac:dyDescent="0.2"/>
    <row r="2298" ht="12.75" x14ac:dyDescent="0.2"/>
    <row r="2299" ht="12.75" x14ac:dyDescent="0.2"/>
    <row r="2300" ht="12.75" x14ac:dyDescent="0.2"/>
    <row r="2301" ht="12.75" x14ac:dyDescent="0.2"/>
    <row r="2302" ht="12.75" x14ac:dyDescent="0.2"/>
    <row r="2303" ht="12.75" x14ac:dyDescent="0.2"/>
    <row r="2304" ht="12.75" x14ac:dyDescent="0.2"/>
    <row r="2305" ht="12.75" x14ac:dyDescent="0.2"/>
    <row r="2306" ht="12.75" x14ac:dyDescent="0.2"/>
    <row r="2307" ht="12.75" x14ac:dyDescent="0.2"/>
    <row r="2308" ht="12.75" x14ac:dyDescent="0.2"/>
    <row r="2309" ht="12.75" x14ac:dyDescent="0.2"/>
    <row r="2310" ht="12.75" x14ac:dyDescent="0.2"/>
    <row r="2311" ht="12.75" x14ac:dyDescent="0.2"/>
    <row r="2312" ht="12.75" x14ac:dyDescent="0.2"/>
    <row r="2313" ht="12.75" x14ac:dyDescent="0.2"/>
    <row r="2314" ht="12.75" x14ac:dyDescent="0.2"/>
    <row r="2315" ht="12.75" x14ac:dyDescent="0.2"/>
    <row r="2316" ht="12.75" x14ac:dyDescent="0.2"/>
    <row r="2317" ht="12.75" x14ac:dyDescent="0.2"/>
    <row r="2318" ht="12.75" x14ac:dyDescent="0.2"/>
    <row r="2319" ht="12.75" x14ac:dyDescent="0.2"/>
    <row r="2320" ht="12.75" x14ac:dyDescent="0.2"/>
    <row r="2321" ht="12.75" x14ac:dyDescent="0.2"/>
    <row r="2322" ht="12.75" x14ac:dyDescent="0.2"/>
    <row r="2323" ht="12.75" x14ac:dyDescent="0.2"/>
    <row r="2324" ht="12.75" x14ac:dyDescent="0.2"/>
    <row r="2325" ht="12.75" x14ac:dyDescent="0.2"/>
    <row r="2326" ht="12.75" x14ac:dyDescent="0.2"/>
    <row r="2327" ht="12.75" x14ac:dyDescent="0.2"/>
    <row r="2328" ht="12.75" x14ac:dyDescent="0.2"/>
    <row r="2329" ht="12.75" x14ac:dyDescent="0.2"/>
    <row r="2330" ht="12.75" x14ac:dyDescent="0.2"/>
    <row r="2331" ht="12.75" x14ac:dyDescent="0.2"/>
    <row r="2332" ht="12.75" x14ac:dyDescent="0.2"/>
    <row r="2333" ht="12.75" x14ac:dyDescent="0.2"/>
    <row r="2334" ht="12.75" x14ac:dyDescent="0.2"/>
    <row r="2335" ht="12.75" x14ac:dyDescent="0.2"/>
    <row r="2336" ht="12.75" x14ac:dyDescent="0.2"/>
    <row r="2337" ht="12.75" x14ac:dyDescent="0.2"/>
    <row r="2338" ht="12.75" x14ac:dyDescent="0.2"/>
    <row r="2339" ht="12.75" x14ac:dyDescent="0.2"/>
    <row r="2340" ht="12.75" x14ac:dyDescent="0.2"/>
    <row r="2341" ht="12.75" x14ac:dyDescent="0.2"/>
    <row r="2342" ht="12.75" x14ac:dyDescent="0.2"/>
    <row r="2343" ht="12.75" x14ac:dyDescent="0.2"/>
    <row r="2344" ht="12.75" x14ac:dyDescent="0.2"/>
    <row r="2345" ht="12.75" x14ac:dyDescent="0.2"/>
    <row r="2346" ht="12.75" x14ac:dyDescent="0.2"/>
    <row r="2347" ht="12.75" x14ac:dyDescent="0.2"/>
    <row r="2348" ht="12.75" x14ac:dyDescent="0.2"/>
    <row r="2349" ht="12.75" x14ac:dyDescent="0.2"/>
    <row r="2350" ht="12.75" x14ac:dyDescent="0.2"/>
    <row r="2351" ht="12.75" x14ac:dyDescent="0.2"/>
    <row r="2352" ht="12.75" x14ac:dyDescent="0.2"/>
    <row r="2353" ht="12.75" x14ac:dyDescent="0.2"/>
    <row r="2354" ht="12.75" x14ac:dyDescent="0.2"/>
    <row r="2355" ht="12.75" x14ac:dyDescent="0.2"/>
    <row r="2356" ht="12.75" x14ac:dyDescent="0.2"/>
    <row r="2357" ht="12.75" x14ac:dyDescent="0.2"/>
    <row r="2358" ht="12.75" x14ac:dyDescent="0.2"/>
    <row r="2359" ht="12.75" x14ac:dyDescent="0.2"/>
    <row r="2360" ht="12.75" x14ac:dyDescent="0.2"/>
    <row r="2361" ht="12.75" x14ac:dyDescent="0.2"/>
    <row r="2362" ht="12.75" x14ac:dyDescent="0.2"/>
    <row r="2363" ht="12.75" x14ac:dyDescent="0.2"/>
    <row r="2364" ht="12.75" x14ac:dyDescent="0.2"/>
    <row r="2365" ht="12.75" x14ac:dyDescent="0.2"/>
    <row r="2366" ht="12.75" x14ac:dyDescent="0.2"/>
    <row r="2367" ht="12.75" x14ac:dyDescent="0.2"/>
    <row r="2368" ht="12.75" x14ac:dyDescent="0.2"/>
    <row r="2369" ht="12.75" x14ac:dyDescent="0.2"/>
    <row r="2370" ht="12.75" x14ac:dyDescent="0.2"/>
    <row r="2371" ht="12.75" x14ac:dyDescent="0.2"/>
    <row r="2372" ht="12.75" x14ac:dyDescent="0.2"/>
    <row r="2373" ht="12.75" x14ac:dyDescent="0.2"/>
    <row r="2374" ht="12.75" x14ac:dyDescent="0.2"/>
    <row r="2375" ht="12.75" x14ac:dyDescent="0.2"/>
    <row r="2376" ht="12.75" x14ac:dyDescent="0.2"/>
    <row r="2377" ht="12.75" x14ac:dyDescent="0.2"/>
    <row r="2378" ht="12.75" x14ac:dyDescent="0.2"/>
    <row r="2379" ht="12.75" x14ac:dyDescent="0.2"/>
    <row r="2380" ht="12.75" x14ac:dyDescent="0.2"/>
    <row r="2381" ht="12.75" x14ac:dyDescent="0.2"/>
    <row r="2382" ht="12.75" x14ac:dyDescent="0.2"/>
    <row r="2383" ht="12.75" x14ac:dyDescent="0.2"/>
    <row r="2384" ht="12.75" x14ac:dyDescent="0.2"/>
    <row r="2385" ht="12.75" x14ac:dyDescent="0.2"/>
    <row r="2386" ht="12.75" x14ac:dyDescent="0.2"/>
    <row r="2387" ht="12.75" x14ac:dyDescent="0.2"/>
    <row r="2388" ht="12.75" x14ac:dyDescent="0.2"/>
    <row r="2389" ht="12.75" x14ac:dyDescent="0.2"/>
    <row r="2390" ht="12.75" x14ac:dyDescent="0.2"/>
    <row r="2391" ht="12.75" x14ac:dyDescent="0.2"/>
    <row r="2392" ht="12.75" x14ac:dyDescent="0.2"/>
    <row r="2393" ht="12.75" x14ac:dyDescent="0.2"/>
    <row r="2394" ht="12.75" x14ac:dyDescent="0.2"/>
    <row r="2395" ht="12.75" x14ac:dyDescent="0.2"/>
    <row r="2396" ht="12.75" x14ac:dyDescent="0.2"/>
    <row r="2397" ht="12.75" x14ac:dyDescent="0.2"/>
    <row r="2398" ht="12.75" x14ac:dyDescent="0.2"/>
    <row r="2399" ht="12.75" x14ac:dyDescent="0.2"/>
    <row r="2400" ht="12.75" x14ac:dyDescent="0.2"/>
    <row r="2401" ht="12.75" x14ac:dyDescent="0.2"/>
    <row r="2402" ht="12.75" x14ac:dyDescent="0.2"/>
    <row r="2403" ht="12.75" x14ac:dyDescent="0.2"/>
    <row r="2404" ht="12.75" x14ac:dyDescent="0.2"/>
    <row r="2405" ht="12.75" x14ac:dyDescent="0.2"/>
    <row r="2406" ht="12.75" x14ac:dyDescent="0.2"/>
    <row r="2407" ht="12.75" x14ac:dyDescent="0.2"/>
    <row r="2408" ht="12.75" x14ac:dyDescent="0.2"/>
    <row r="2409" ht="12.75" x14ac:dyDescent="0.2"/>
    <row r="2410" ht="12.75" x14ac:dyDescent="0.2"/>
    <row r="2411" ht="12.75" x14ac:dyDescent="0.2"/>
    <row r="2412" ht="12.75" x14ac:dyDescent="0.2"/>
    <row r="2413" ht="12.75" x14ac:dyDescent="0.2"/>
    <row r="2414" ht="12.75" x14ac:dyDescent="0.2"/>
    <row r="2415" ht="12.75" x14ac:dyDescent="0.2"/>
    <row r="2416" ht="12.75" x14ac:dyDescent="0.2"/>
    <row r="2417" ht="12.75" x14ac:dyDescent="0.2"/>
    <row r="2418" ht="12.75" x14ac:dyDescent="0.2"/>
    <row r="2419" ht="12.75" x14ac:dyDescent="0.2"/>
    <row r="2420" ht="12.75" x14ac:dyDescent="0.2"/>
    <row r="2421" ht="12.75" x14ac:dyDescent="0.2"/>
    <row r="2422" ht="12.75" x14ac:dyDescent="0.2"/>
    <row r="2423" ht="12.75" x14ac:dyDescent="0.2"/>
    <row r="2424" ht="12.75" x14ac:dyDescent="0.2"/>
    <row r="2425" ht="12.75" x14ac:dyDescent="0.2"/>
    <row r="2426" ht="12.75" x14ac:dyDescent="0.2"/>
    <row r="2427" ht="12.75" x14ac:dyDescent="0.2"/>
    <row r="2428" ht="12.75" x14ac:dyDescent="0.2"/>
    <row r="2429" ht="12.75" x14ac:dyDescent="0.2"/>
    <row r="2430" ht="12.75" x14ac:dyDescent="0.2"/>
    <row r="2431" ht="12.75" x14ac:dyDescent="0.2"/>
    <row r="2432" ht="12.75" x14ac:dyDescent="0.2"/>
    <row r="2433" ht="12.75" x14ac:dyDescent="0.2"/>
    <row r="2434" ht="12.75" x14ac:dyDescent="0.2"/>
    <row r="2435" ht="12.75" x14ac:dyDescent="0.2"/>
    <row r="2436" ht="12.75" x14ac:dyDescent="0.2"/>
    <row r="2437" ht="12.75" x14ac:dyDescent="0.2"/>
    <row r="2438" ht="12.75" x14ac:dyDescent="0.2"/>
    <row r="2439" ht="12.75" x14ac:dyDescent="0.2"/>
    <row r="2440" ht="12.75" x14ac:dyDescent="0.2"/>
    <row r="2441" ht="12.75" x14ac:dyDescent="0.2"/>
    <row r="2442" ht="12.75" x14ac:dyDescent="0.2"/>
    <row r="2443" ht="12.75" x14ac:dyDescent="0.2"/>
    <row r="2444" ht="12.75" x14ac:dyDescent="0.2"/>
    <row r="2445" ht="12.75" x14ac:dyDescent="0.2"/>
    <row r="2446" ht="12.75" x14ac:dyDescent="0.2"/>
    <row r="2447" ht="12.75" x14ac:dyDescent="0.2"/>
    <row r="2448" ht="12.75" x14ac:dyDescent="0.2"/>
    <row r="2449" ht="12.75" x14ac:dyDescent="0.2"/>
    <row r="2450" ht="12.75" x14ac:dyDescent="0.2"/>
    <row r="2451" ht="12.75" x14ac:dyDescent="0.2"/>
    <row r="2452" ht="12.75" x14ac:dyDescent="0.2"/>
    <row r="2453" ht="12.75" x14ac:dyDescent="0.2"/>
    <row r="2454" ht="12.75" x14ac:dyDescent="0.2"/>
    <row r="2455" ht="12.75" x14ac:dyDescent="0.2"/>
    <row r="2456" ht="12.75" x14ac:dyDescent="0.2"/>
    <row r="2457" ht="12.75" x14ac:dyDescent="0.2"/>
    <row r="2458" ht="12.75" x14ac:dyDescent="0.2"/>
    <row r="2459" ht="12.75" x14ac:dyDescent="0.2"/>
    <row r="2460" ht="12.75" x14ac:dyDescent="0.2"/>
    <row r="2461" ht="12.75" x14ac:dyDescent="0.2"/>
    <row r="2462" ht="12.75" x14ac:dyDescent="0.2"/>
    <row r="2463" ht="12.75" x14ac:dyDescent="0.2"/>
    <row r="2464" ht="12.75" x14ac:dyDescent="0.2"/>
    <row r="2465" ht="12.75" x14ac:dyDescent="0.2"/>
    <row r="2466" ht="12.75" x14ac:dyDescent="0.2"/>
    <row r="2467" ht="12.75" x14ac:dyDescent="0.2"/>
    <row r="2468" ht="12.75" x14ac:dyDescent="0.2"/>
    <row r="2469" ht="12.75" x14ac:dyDescent="0.2"/>
    <row r="2470" ht="12.75" x14ac:dyDescent="0.2"/>
    <row r="2471" ht="12.75" x14ac:dyDescent="0.2"/>
    <row r="2472" ht="12.75" x14ac:dyDescent="0.2"/>
    <row r="2473" ht="12.75" x14ac:dyDescent="0.2"/>
    <row r="2474" ht="12.75" x14ac:dyDescent="0.2"/>
    <row r="2475" ht="12.75" x14ac:dyDescent="0.2"/>
    <row r="2476" ht="12.75" x14ac:dyDescent="0.2"/>
    <row r="2477" ht="12.75" x14ac:dyDescent="0.2"/>
    <row r="2478" ht="12.75" x14ac:dyDescent="0.2"/>
    <row r="2479" ht="12.75" x14ac:dyDescent="0.2"/>
    <row r="2480" ht="12.75" x14ac:dyDescent="0.2"/>
    <row r="2481" ht="12.75" x14ac:dyDescent="0.2"/>
    <row r="2482" ht="12.75" x14ac:dyDescent="0.2"/>
    <row r="2483" ht="12.75" x14ac:dyDescent="0.2"/>
    <row r="2484" ht="12.75" x14ac:dyDescent="0.2"/>
    <row r="2485" ht="12.75" x14ac:dyDescent="0.2"/>
    <row r="2486" ht="12.75" x14ac:dyDescent="0.2"/>
    <row r="2487" ht="12.75" x14ac:dyDescent="0.2"/>
    <row r="2488" ht="12.75" x14ac:dyDescent="0.2"/>
    <row r="2489" ht="12.75" x14ac:dyDescent="0.2"/>
    <row r="2490" ht="12.75" x14ac:dyDescent="0.2"/>
    <row r="2491" ht="12.75" x14ac:dyDescent="0.2"/>
    <row r="2492" ht="12.75" x14ac:dyDescent="0.2"/>
    <row r="2493" ht="12.75" x14ac:dyDescent="0.2"/>
    <row r="2494" ht="12.75" x14ac:dyDescent="0.2"/>
    <row r="2495" ht="12.75" x14ac:dyDescent="0.2"/>
    <row r="2496" ht="12.75" x14ac:dyDescent="0.2"/>
    <row r="2497" ht="12.75" x14ac:dyDescent="0.2"/>
    <row r="2498" ht="12.75" x14ac:dyDescent="0.2"/>
    <row r="2499" ht="12.75" x14ac:dyDescent="0.2"/>
    <row r="2500" ht="12.75" x14ac:dyDescent="0.2"/>
    <row r="2501" ht="12.75" x14ac:dyDescent="0.2"/>
    <row r="2502" ht="12.75" x14ac:dyDescent="0.2"/>
    <row r="2503" ht="12.75" x14ac:dyDescent="0.2"/>
    <row r="2504" ht="12.75" x14ac:dyDescent="0.2"/>
    <row r="2505" ht="12.75" x14ac:dyDescent="0.2"/>
    <row r="2506" ht="12.75" x14ac:dyDescent="0.2"/>
    <row r="2507" ht="12.75" x14ac:dyDescent="0.2"/>
    <row r="2508" ht="12.75" x14ac:dyDescent="0.2"/>
    <row r="2509" ht="12.75" x14ac:dyDescent="0.2"/>
    <row r="2510" ht="12.75" x14ac:dyDescent="0.2"/>
    <row r="2511" ht="12.75" x14ac:dyDescent="0.2"/>
    <row r="2512" ht="12.75" x14ac:dyDescent="0.2"/>
    <row r="2513" ht="12.75" x14ac:dyDescent="0.2"/>
    <row r="2514" ht="12.75" x14ac:dyDescent="0.2"/>
    <row r="2515" ht="12.75" x14ac:dyDescent="0.2"/>
    <row r="2516" ht="12.75" x14ac:dyDescent="0.2"/>
    <row r="2517" ht="12.75" x14ac:dyDescent="0.2"/>
    <row r="2518" ht="12.75" x14ac:dyDescent="0.2"/>
    <row r="2519" ht="12.75" x14ac:dyDescent="0.2"/>
    <row r="2520" ht="12.75" x14ac:dyDescent="0.2"/>
    <row r="2521" ht="12.75" x14ac:dyDescent="0.2"/>
    <row r="2522" ht="12.75" x14ac:dyDescent="0.2"/>
    <row r="2523" ht="12.75" x14ac:dyDescent="0.2"/>
    <row r="2524" ht="12.75" x14ac:dyDescent="0.2"/>
    <row r="2525" ht="12.75" x14ac:dyDescent="0.2"/>
    <row r="2526" ht="12.75" x14ac:dyDescent="0.2"/>
    <row r="2527" ht="12.75" x14ac:dyDescent="0.2"/>
    <row r="2528" ht="12.75" x14ac:dyDescent="0.2"/>
    <row r="2529" ht="12.75" x14ac:dyDescent="0.2"/>
    <row r="2530" ht="12.75" x14ac:dyDescent="0.2"/>
    <row r="2531" ht="12.75" x14ac:dyDescent="0.2"/>
    <row r="2532" ht="12.75" x14ac:dyDescent="0.2"/>
    <row r="2533" ht="12.75" x14ac:dyDescent="0.2"/>
    <row r="2534" ht="12.75" x14ac:dyDescent="0.2"/>
    <row r="2535" ht="12.75" x14ac:dyDescent="0.2"/>
    <row r="2536" ht="12.75" x14ac:dyDescent="0.2"/>
    <row r="2537" ht="12.75" x14ac:dyDescent="0.2"/>
    <row r="2538" ht="12.75" x14ac:dyDescent="0.2"/>
    <row r="2539" ht="12.75" x14ac:dyDescent="0.2"/>
    <row r="2540" ht="12.75" x14ac:dyDescent="0.2"/>
    <row r="2541" ht="12.75" x14ac:dyDescent="0.2"/>
    <row r="2542" ht="12.75" x14ac:dyDescent="0.2"/>
    <row r="2543" ht="12.75" x14ac:dyDescent="0.2"/>
    <row r="2544" ht="12.75" x14ac:dyDescent="0.2"/>
    <row r="2545" ht="12.75" x14ac:dyDescent="0.2"/>
    <row r="2546" ht="12.75" x14ac:dyDescent="0.2"/>
    <row r="2547" ht="12.75" x14ac:dyDescent="0.2"/>
    <row r="2548" ht="12.75" x14ac:dyDescent="0.2"/>
    <row r="2549" ht="12.75" x14ac:dyDescent="0.2"/>
    <row r="2550" ht="12.75" x14ac:dyDescent="0.2"/>
    <row r="2551" ht="12.75" x14ac:dyDescent="0.2"/>
    <row r="2552" ht="12.75" x14ac:dyDescent="0.2"/>
    <row r="2553" ht="12.75" x14ac:dyDescent="0.2"/>
    <row r="2554" ht="12.75" x14ac:dyDescent="0.2"/>
    <row r="2555" ht="12.75" x14ac:dyDescent="0.2"/>
    <row r="2556" ht="12.75" x14ac:dyDescent="0.2"/>
    <row r="2557" ht="12.75" x14ac:dyDescent="0.2"/>
    <row r="2558" ht="12.75" x14ac:dyDescent="0.2"/>
    <row r="2559" ht="12.75" x14ac:dyDescent="0.2"/>
    <row r="2560" ht="12.75" x14ac:dyDescent="0.2"/>
    <row r="2561" ht="12.75" x14ac:dyDescent="0.2"/>
    <row r="2562" ht="12.75" x14ac:dyDescent="0.2"/>
    <row r="2563" ht="12.75" x14ac:dyDescent="0.2"/>
    <row r="2564" ht="12.75" x14ac:dyDescent="0.2"/>
    <row r="2565" ht="12.75" x14ac:dyDescent="0.2"/>
    <row r="2566" ht="12.75" x14ac:dyDescent="0.2"/>
    <row r="2567" ht="12.75" x14ac:dyDescent="0.2"/>
    <row r="2568" ht="12.75" x14ac:dyDescent="0.2"/>
    <row r="2569" ht="12.75" x14ac:dyDescent="0.2"/>
    <row r="2570" ht="12.75" x14ac:dyDescent="0.2"/>
    <row r="2571" ht="12.75" x14ac:dyDescent="0.2"/>
    <row r="2572" ht="12.75" x14ac:dyDescent="0.2"/>
    <row r="2573" ht="12.75" x14ac:dyDescent="0.2"/>
    <row r="2574" ht="12.75" x14ac:dyDescent="0.2"/>
    <row r="2575" ht="12.75" x14ac:dyDescent="0.2"/>
    <row r="2576" ht="12.75" x14ac:dyDescent="0.2"/>
    <row r="2577" ht="12.75" x14ac:dyDescent="0.2"/>
    <row r="2578" ht="12.75" x14ac:dyDescent="0.2"/>
    <row r="2579" ht="12.75" x14ac:dyDescent="0.2"/>
    <row r="2580" ht="12.75" x14ac:dyDescent="0.2"/>
    <row r="2581" ht="12.75" x14ac:dyDescent="0.2"/>
    <row r="2582" ht="12.75" x14ac:dyDescent="0.2"/>
    <row r="2583" ht="12.75" x14ac:dyDescent="0.2"/>
    <row r="2584" ht="12.75" x14ac:dyDescent="0.2"/>
    <row r="2585" ht="12.75" x14ac:dyDescent="0.2"/>
    <row r="2586" ht="12.75" x14ac:dyDescent="0.2"/>
    <row r="2587" ht="12.75" x14ac:dyDescent="0.2"/>
    <row r="2588" ht="12.75" x14ac:dyDescent="0.2"/>
    <row r="2589" ht="12.75" x14ac:dyDescent="0.2"/>
    <row r="2590" ht="12.75" x14ac:dyDescent="0.2"/>
    <row r="2591" ht="12.75" x14ac:dyDescent="0.2"/>
    <row r="2592" ht="12.75" x14ac:dyDescent="0.2"/>
    <row r="2593" ht="12.75" x14ac:dyDescent="0.2"/>
    <row r="2594" ht="12.75" x14ac:dyDescent="0.2"/>
    <row r="2595" ht="12.75" x14ac:dyDescent="0.2"/>
    <row r="2596" ht="12.75" x14ac:dyDescent="0.2"/>
    <row r="2597" ht="12.75" x14ac:dyDescent="0.2"/>
    <row r="2598" ht="12.75" x14ac:dyDescent="0.2"/>
    <row r="2599" ht="12.75" x14ac:dyDescent="0.2"/>
    <row r="2600" ht="12.75" x14ac:dyDescent="0.2"/>
    <row r="2601" ht="12.75" x14ac:dyDescent="0.2"/>
    <row r="2602" ht="12.75" x14ac:dyDescent="0.2"/>
    <row r="2603" ht="12.75" x14ac:dyDescent="0.2"/>
    <row r="2604" ht="12.75" x14ac:dyDescent="0.2"/>
    <row r="2605" ht="12.75" x14ac:dyDescent="0.2"/>
    <row r="2606" ht="12.75" x14ac:dyDescent="0.2"/>
    <row r="2607" ht="12.75" x14ac:dyDescent="0.2"/>
    <row r="2608" ht="12.75" x14ac:dyDescent="0.2"/>
    <row r="2609" ht="12.75" x14ac:dyDescent="0.2"/>
    <row r="2610" ht="12.75" x14ac:dyDescent="0.2"/>
    <row r="2611" ht="12.75" x14ac:dyDescent="0.2"/>
    <row r="2612" ht="12.75" x14ac:dyDescent="0.2"/>
    <row r="2613" ht="12.75" x14ac:dyDescent="0.2"/>
    <row r="2614" ht="12.75" x14ac:dyDescent="0.2"/>
    <row r="2615" ht="12.75" x14ac:dyDescent="0.2"/>
    <row r="2616" ht="12.75" x14ac:dyDescent="0.2"/>
    <row r="2617" ht="12.75" x14ac:dyDescent="0.2"/>
    <row r="2618" ht="12.75" x14ac:dyDescent="0.2"/>
    <row r="2619" ht="12.75" x14ac:dyDescent="0.2"/>
    <row r="2620" ht="12.75" x14ac:dyDescent="0.2"/>
    <row r="2621" ht="12.75" x14ac:dyDescent="0.2"/>
    <row r="2622" ht="12.75" x14ac:dyDescent="0.2"/>
    <row r="2623" ht="12.75" x14ac:dyDescent="0.2"/>
    <row r="2624" ht="12.75" x14ac:dyDescent="0.2"/>
    <row r="2625" ht="12.75" x14ac:dyDescent="0.2"/>
    <row r="2626" ht="12.75" x14ac:dyDescent="0.2"/>
    <row r="2627" ht="12.75" x14ac:dyDescent="0.2"/>
    <row r="2628" ht="12.75" x14ac:dyDescent="0.2"/>
    <row r="2629" ht="12.75" x14ac:dyDescent="0.2"/>
    <row r="2630" ht="12.75" x14ac:dyDescent="0.2"/>
    <row r="2631" ht="12.75" x14ac:dyDescent="0.2"/>
    <row r="2632" ht="12.75" x14ac:dyDescent="0.2"/>
    <row r="2633" ht="12.75" x14ac:dyDescent="0.2"/>
    <row r="2634" ht="12.75" x14ac:dyDescent="0.2"/>
    <row r="2635" ht="12.75" x14ac:dyDescent="0.2"/>
    <row r="2636" ht="12.75" x14ac:dyDescent="0.2"/>
    <row r="2637" ht="12.75" x14ac:dyDescent="0.2"/>
    <row r="2638" ht="12.75" x14ac:dyDescent="0.2"/>
    <row r="2639" ht="12.75" x14ac:dyDescent="0.2"/>
    <row r="2640" ht="12.75" x14ac:dyDescent="0.2"/>
    <row r="2641" ht="12.75" x14ac:dyDescent="0.2"/>
    <row r="2642" ht="12.75" x14ac:dyDescent="0.2"/>
    <row r="2643" ht="12.75" x14ac:dyDescent="0.2"/>
    <row r="2644" ht="12.75" x14ac:dyDescent="0.2"/>
    <row r="2645" ht="12.75" x14ac:dyDescent="0.2"/>
    <row r="2646" ht="12.75" x14ac:dyDescent="0.2"/>
    <row r="2647" ht="12.75" x14ac:dyDescent="0.2"/>
    <row r="2648" ht="12.75" x14ac:dyDescent="0.2"/>
    <row r="2649" ht="12.75" x14ac:dyDescent="0.2"/>
    <row r="2650" ht="12.75" x14ac:dyDescent="0.2"/>
    <row r="2651" ht="12.75" x14ac:dyDescent="0.2"/>
    <row r="2652" ht="12.75" x14ac:dyDescent="0.2"/>
    <row r="2653" ht="12.75" x14ac:dyDescent="0.2"/>
    <row r="2654" ht="12.75" x14ac:dyDescent="0.2"/>
    <row r="2655" ht="12.75" x14ac:dyDescent="0.2"/>
    <row r="2656" ht="12.75" x14ac:dyDescent="0.2"/>
    <row r="2657" ht="12.75" x14ac:dyDescent="0.2"/>
    <row r="2658" ht="12.75" x14ac:dyDescent="0.2"/>
    <row r="2659" ht="12.75" x14ac:dyDescent="0.2"/>
    <row r="2660" ht="12.75" x14ac:dyDescent="0.2"/>
    <row r="2661" ht="12.75" x14ac:dyDescent="0.2"/>
    <row r="2662" ht="12.75" x14ac:dyDescent="0.2"/>
    <row r="2663" ht="12.75" x14ac:dyDescent="0.2"/>
    <row r="2664" ht="12.75" x14ac:dyDescent="0.2"/>
    <row r="2665" ht="12.75" x14ac:dyDescent="0.2"/>
    <row r="2666" ht="12.75" x14ac:dyDescent="0.2"/>
    <row r="2667" ht="12.75" x14ac:dyDescent="0.2"/>
    <row r="2668" ht="12.75" x14ac:dyDescent="0.2"/>
    <row r="2669" ht="12.75" x14ac:dyDescent="0.2"/>
    <row r="2670" ht="12.75" x14ac:dyDescent="0.2"/>
    <row r="2671" ht="12.75" x14ac:dyDescent="0.2"/>
    <row r="2672" ht="12.75" x14ac:dyDescent="0.2"/>
    <row r="2673" ht="12.75" x14ac:dyDescent="0.2"/>
    <row r="2674" ht="12.75" x14ac:dyDescent="0.2"/>
    <row r="2675" ht="12.75" x14ac:dyDescent="0.2"/>
    <row r="2676" ht="12.75" x14ac:dyDescent="0.2"/>
    <row r="2677" ht="12.75" x14ac:dyDescent="0.2"/>
    <row r="2678" ht="12.75" x14ac:dyDescent="0.2"/>
    <row r="2679" ht="12.75" x14ac:dyDescent="0.2"/>
    <row r="2680" ht="12.75" x14ac:dyDescent="0.2"/>
    <row r="2681" ht="12.75" x14ac:dyDescent="0.2"/>
    <row r="2682" ht="12.75" x14ac:dyDescent="0.2"/>
    <row r="2683" ht="12.75" x14ac:dyDescent="0.2"/>
    <row r="2684" ht="12.75" x14ac:dyDescent="0.2"/>
    <row r="2685" ht="12.75" x14ac:dyDescent="0.2"/>
    <row r="2686" ht="12.75" x14ac:dyDescent="0.2"/>
    <row r="2687" ht="12.75" x14ac:dyDescent="0.2"/>
    <row r="2688" ht="12.75" x14ac:dyDescent="0.2"/>
    <row r="2689" ht="12.75" x14ac:dyDescent="0.2"/>
    <row r="2690" ht="12.75" x14ac:dyDescent="0.2"/>
    <row r="2691" ht="12.75" x14ac:dyDescent="0.2"/>
    <row r="2692" ht="12.75" x14ac:dyDescent="0.2"/>
    <row r="2693" ht="12.75" x14ac:dyDescent="0.2"/>
    <row r="2694" ht="12.75" x14ac:dyDescent="0.2"/>
    <row r="2695" ht="12.75" x14ac:dyDescent="0.2"/>
    <row r="2696" ht="12.75" x14ac:dyDescent="0.2"/>
    <row r="2697" ht="12.75" x14ac:dyDescent="0.2"/>
    <row r="2698" ht="12.75" x14ac:dyDescent="0.2"/>
    <row r="2699" ht="12.75" x14ac:dyDescent="0.2"/>
    <row r="2700" ht="12.75" x14ac:dyDescent="0.2"/>
    <row r="2701" ht="12.75" x14ac:dyDescent="0.2"/>
    <row r="2702" ht="12.75" x14ac:dyDescent="0.2"/>
    <row r="2703" ht="12.75" x14ac:dyDescent="0.2"/>
    <row r="2704" ht="12.75" x14ac:dyDescent="0.2"/>
    <row r="2705" ht="12.75" x14ac:dyDescent="0.2"/>
    <row r="2706" ht="12.75" x14ac:dyDescent="0.2"/>
    <row r="2707" ht="12.75" x14ac:dyDescent="0.2"/>
    <row r="2708" ht="12.75" x14ac:dyDescent="0.2"/>
    <row r="2709" ht="12.75" x14ac:dyDescent="0.2"/>
    <row r="2710" ht="12.75" x14ac:dyDescent="0.2"/>
    <row r="2711" ht="12.75" x14ac:dyDescent="0.2"/>
    <row r="2712" ht="12.75" x14ac:dyDescent="0.2"/>
    <row r="2713" ht="12.75" x14ac:dyDescent="0.2"/>
    <row r="2714" ht="12.75" x14ac:dyDescent="0.2"/>
    <row r="2715" ht="12.75" x14ac:dyDescent="0.2"/>
    <row r="2716" ht="12.75" x14ac:dyDescent="0.2"/>
    <row r="2717" ht="12.75" x14ac:dyDescent="0.2"/>
    <row r="2718" ht="12.75" x14ac:dyDescent="0.2"/>
    <row r="2719" ht="12.75" x14ac:dyDescent="0.2"/>
    <row r="2720" ht="12.75" x14ac:dyDescent="0.2"/>
    <row r="2721" ht="12.75" x14ac:dyDescent="0.2"/>
    <row r="2722" ht="12.75" x14ac:dyDescent="0.2"/>
    <row r="2723" ht="12.75" x14ac:dyDescent="0.2"/>
    <row r="2724" ht="12.75" x14ac:dyDescent="0.2"/>
    <row r="2725" ht="12.75" x14ac:dyDescent="0.2"/>
    <row r="2726" ht="12.75" x14ac:dyDescent="0.2"/>
    <row r="2727" ht="12.75" x14ac:dyDescent="0.2"/>
    <row r="2728" ht="12.75" x14ac:dyDescent="0.2"/>
    <row r="2729" ht="12.75" x14ac:dyDescent="0.2"/>
    <row r="2730" ht="12.75" x14ac:dyDescent="0.2"/>
    <row r="2731" ht="12.75" x14ac:dyDescent="0.2"/>
    <row r="2732" ht="12.75" x14ac:dyDescent="0.2"/>
    <row r="2733" ht="12.75" x14ac:dyDescent="0.2"/>
    <row r="2734" ht="12.75" x14ac:dyDescent="0.2"/>
    <row r="2735" ht="12.75" x14ac:dyDescent="0.2"/>
    <row r="2736" ht="12.75" x14ac:dyDescent="0.2"/>
    <row r="2737" ht="12.75" x14ac:dyDescent="0.2"/>
    <row r="2738" ht="12.75" x14ac:dyDescent="0.2"/>
    <row r="2739" ht="12.75" x14ac:dyDescent="0.2"/>
    <row r="2740" ht="12.75" x14ac:dyDescent="0.2"/>
    <row r="2741" ht="12.75" x14ac:dyDescent="0.2"/>
    <row r="2742" ht="12.75" x14ac:dyDescent="0.2"/>
    <row r="2743" ht="12.75" x14ac:dyDescent="0.2"/>
    <row r="2744" ht="12.75" x14ac:dyDescent="0.2"/>
    <row r="2745" ht="12.75" x14ac:dyDescent="0.2"/>
    <row r="2746" ht="12.75" x14ac:dyDescent="0.2"/>
    <row r="2747" ht="12.75" x14ac:dyDescent="0.2"/>
    <row r="2748" ht="12.75" x14ac:dyDescent="0.2"/>
    <row r="2749" ht="12.75" x14ac:dyDescent="0.2"/>
    <row r="2750" ht="12.75" x14ac:dyDescent="0.2"/>
    <row r="2751" ht="12.75" x14ac:dyDescent="0.2"/>
    <row r="2752" ht="12.75" x14ac:dyDescent="0.2"/>
    <row r="2753" ht="12.75" x14ac:dyDescent="0.2"/>
    <row r="2754" ht="12.75" x14ac:dyDescent="0.2"/>
    <row r="2755" ht="12.75" x14ac:dyDescent="0.2"/>
    <row r="2756" ht="12.75" x14ac:dyDescent="0.2"/>
    <row r="2757" ht="12.75" x14ac:dyDescent="0.2"/>
    <row r="2758" ht="12.75" x14ac:dyDescent="0.2"/>
    <row r="2759" ht="12.75" x14ac:dyDescent="0.2"/>
    <row r="2760" ht="12.75" x14ac:dyDescent="0.2"/>
    <row r="2761" ht="12.75" x14ac:dyDescent="0.2"/>
    <row r="2762" ht="12.75" x14ac:dyDescent="0.2"/>
    <row r="2763" ht="12.75" x14ac:dyDescent="0.2"/>
    <row r="2764" ht="12.75" x14ac:dyDescent="0.2"/>
    <row r="2765" ht="12.75" x14ac:dyDescent="0.2"/>
    <row r="2766" ht="12.75" x14ac:dyDescent="0.2"/>
    <row r="2767" ht="12.75" x14ac:dyDescent="0.2"/>
    <row r="2768" ht="12.75" x14ac:dyDescent="0.2"/>
    <row r="2769" ht="12.75" x14ac:dyDescent="0.2"/>
    <row r="2770" ht="12.75" x14ac:dyDescent="0.2"/>
    <row r="2771" ht="12.75" x14ac:dyDescent="0.2"/>
    <row r="2772" ht="12.75" x14ac:dyDescent="0.2"/>
    <row r="2773" ht="12.75" x14ac:dyDescent="0.2"/>
    <row r="2774" ht="12.75" x14ac:dyDescent="0.2"/>
    <row r="2775" ht="12.75" x14ac:dyDescent="0.2"/>
    <row r="2776" ht="12.75" x14ac:dyDescent="0.2"/>
    <row r="2777" ht="12.75" x14ac:dyDescent="0.2"/>
    <row r="2778" ht="12.75" x14ac:dyDescent="0.2"/>
    <row r="2779" ht="12.75" x14ac:dyDescent="0.2"/>
    <row r="2780" ht="12.75" x14ac:dyDescent="0.2"/>
    <row r="2781" ht="12.75" x14ac:dyDescent="0.2"/>
    <row r="2782" ht="12.75" x14ac:dyDescent="0.2"/>
    <row r="2783" ht="12.75" x14ac:dyDescent="0.2"/>
    <row r="2784" ht="12.75" x14ac:dyDescent="0.2"/>
    <row r="2785" ht="12.75" x14ac:dyDescent="0.2"/>
    <row r="2786" ht="12.75" x14ac:dyDescent="0.2"/>
    <row r="2787" ht="12.75" x14ac:dyDescent="0.2"/>
    <row r="2788" ht="12.75" x14ac:dyDescent="0.2"/>
    <row r="2789" ht="12.75" x14ac:dyDescent="0.2"/>
    <row r="2790" ht="12.75" x14ac:dyDescent="0.2"/>
    <row r="2791" ht="12.75" x14ac:dyDescent="0.2"/>
    <row r="2792" ht="12.75" x14ac:dyDescent="0.2"/>
    <row r="2793" ht="12.75" x14ac:dyDescent="0.2"/>
    <row r="2794" ht="12.75" x14ac:dyDescent="0.2"/>
    <row r="2795" ht="12.75" x14ac:dyDescent="0.2"/>
    <row r="2796" ht="12.75" x14ac:dyDescent="0.2"/>
    <row r="2797" ht="12.75" x14ac:dyDescent="0.2"/>
    <row r="2798" ht="12.75" x14ac:dyDescent="0.2"/>
    <row r="2799" ht="12.75" x14ac:dyDescent="0.2"/>
    <row r="2800" ht="12.75" x14ac:dyDescent="0.2"/>
    <row r="2801" ht="12.75" x14ac:dyDescent="0.2"/>
    <row r="2802" ht="12.75" x14ac:dyDescent="0.2"/>
    <row r="2803" ht="12.75" x14ac:dyDescent="0.2"/>
    <row r="2804" ht="12.75" x14ac:dyDescent="0.2"/>
    <row r="2805" ht="12.75" x14ac:dyDescent="0.2"/>
    <row r="2806" ht="12.75" x14ac:dyDescent="0.2"/>
    <row r="2807" ht="12.75" x14ac:dyDescent="0.2"/>
    <row r="2808" ht="12.75" x14ac:dyDescent="0.2"/>
    <row r="2809" ht="12.75" x14ac:dyDescent="0.2"/>
    <row r="2810" ht="12.75" x14ac:dyDescent="0.2"/>
    <row r="2811" ht="12.75" x14ac:dyDescent="0.2"/>
    <row r="2812" ht="12.75" x14ac:dyDescent="0.2"/>
    <row r="2813" ht="12.75" x14ac:dyDescent="0.2"/>
    <row r="2814" ht="12.75" x14ac:dyDescent="0.2"/>
    <row r="2815" ht="12.75" x14ac:dyDescent="0.2"/>
    <row r="2816" ht="12.75" x14ac:dyDescent="0.2"/>
    <row r="2817" ht="12.75" x14ac:dyDescent="0.2"/>
    <row r="2818" ht="12.75" x14ac:dyDescent="0.2"/>
    <row r="2819" ht="12.75" x14ac:dyDescent="0.2"/>
    <row r="2820" ht="12.75" x14ac:dyDescent="0.2"/>
    <row r="2821" ht="12.75" x14ac:dyDescent="0.2"/>
    <row r="2822" ht="12.75" x14ac:dyDescent="0.2"/>
    <row r="2823" ht="12.75" x14ac:dyDescent="0.2"/>
    <row r="2824" ht="12.75" x14ac:dyDescent="0.2"/>
    <row r="2825" ht="12.75" x14ac:dyDescent="0.2"/>
    <row r="2826" ht="12.75" x14ac:dyDescent="0.2"/>
    <row r="2827" ht="12.75" x14ac:dyDescent="0.2"/>
    <row r="2828" ht="12.75" x14ac:dyDescent="0.2"/>
    <row r="2829" ht="12.75" x14ac:dyDescent="0.2"/>
    <row r="2830" ht="12.75" x14ac:dyDescent="0.2"/>
    <row r="2831" ht="12.75" x14ac:dyDescent="0.2"/>
    <row r="2832" ht="12.75" x14ac:dyDescent="0.2"/>
    <row r="2833" ht="12.75" x14ac:dyDescent="0.2"/>
    <row r="2834" ht="12.75" x14ac:dyDescent="0.2"/>
    <row r="2835" ht="12.75" x14ac:dyDescent="0.2"/>
    <row r="2836" ht="12.75" x14ac:dyDescent="0.2"/>
    <row r="2837" ht="12.75" x14ac:dyDescent="0.2"/>
    <row r="2838" ht="12.75" x14ac:dyDescent="0.2"/>
    <row r="2839" ht="12.75" x14ac:dyDescent="0.2"/>
    <row r="2840" ht="12.75" x14ac:dyDescent="0.2"/>
    <row r="2841" ht="12.75" x14ac:dyDescent="0.2"/>
    <row r="2842" ht="12.75" x14ac:dyDescent="0.2"/>
    <row r="2843" ht="12.75" x14ac:dyDescent="0.2"/>
    <row r="2844" ht="12.75" x14ac:dyDescent="0.2"/>
    <row r="2845" ht="12.75" x14ac:dyDescent="0.2"/>
    <row r="2846" ht="12.75" x14ac:dyDescent="0.2"/>
    <row r="2847" ht="12.75" x14ac:dyDescent="0.2"/>
    <row r="2848" ht="12.75" x14ac:dyDescent="0.2"/>
    <row r="2849" ht="12.75" x14ac:dyDescent="0.2"/>
    <row r="2850" ht="12.75" x14ac:dyDescent="0.2"/>
    <row r="2851" ht="12.75" x14ac:dyDescent="0.2"/>
    <row r="2852" ht="12.75" x14ac:dyDescent="0.2"/>
    <row r="2853" ht="12.75" x14ac:dyDescent="0.2"/>
    <row r="2854" ht="12.75" x14ac:dyDescent="0.2"/>
    <row r="2855" ht="12.75" x14ac:dyDescent="0.2"/>
    <row r="2856" ht="12.75" x14ac:dyDescent="0.2"/>
    <row r="2857" ht="12.75" x14ac:dyDescent="0.2"/>
    <row r="2858" ht="12.75" x14ac:dyDescent="0.2"/>
    <row r="2859" ht="12.75" x14ac:dyDescent="0.2"/>
    <row r="2860" ht="12.75" x14ac:dyDescent="0.2"/>
    <row r="2861" ht="12.75" x14ac:dyDescent="0.2"/>
    <row r="2862" ht="12.75" x14ac:dyDescent="0.2"/>
    <row r="2863" ht="12.75" x14ac:dyDescent="0.2"/>
    <row r="2864" ht="12.75" x14ac:dyDescent="0.2"/>
    <row r="2865" ht="12.75" x14ac:dyDescent="0.2"/>
    <row r="2866" ht="12.75" x14ac:dyDescent="0.2"/>
    <row r="2867" ht="12.75" x14ac:dyDescent="0.2"/>
    <row r="2868" ht="12.75" x14ac:dyDescent="0.2"/>
    <row r="2869" ht="12.75" x14ac:dyDescent="0.2"/>
    <row r="2870" ht="12.75" x14ac:dyDescent="0.2"/>
    <row r="2871" ht="12.75" x14ac:dyDescent="0.2"/>
    <row r="2872" ht="12.75" x14ac:dyDescent="0.2"/>
    <row r="2873" ht="12.75" x14ac:dyDescent="0.2"/>
    <row r="2874" ht="12.75" x14ac:dyDescent="0.2"/>
    <row r="2875" ht="12.75" x14ac:dyDescent="0.2"/>
    <row r="2876" ht="12.75" x14ac:dyDescent="0.2"/>
    <row r="2877" ht="12.75" x14ac:dyDescent="0.2"/>
    <row r="2878" ht="12.75" x14ac:dyDescent="0.2"/>
    <row r="2879" ht="12.75" x14ac:dyDescent="0.2"/>
    <row r="2880" ht="12.75" x14ac:dyDescent="0.2"/>
    <row r="2881" ht="12.75" x14ac:dyDescent="0.2"/>
    <row r="2882" ht="12.75" x14ac:dyDescent="0.2"/>
    <row r="2883" ht="12.75" x14ac:dyDescent="0.2"/>
    <row r="2884" ht="12.75" x14ac:dyDescent="0.2"/>
    <row r="2885" ht="12.75" x14ac:dyDescent="0.2"/>
    <row r="2886" ht="12.75" x14ac:dyDescent="0.2"/>
    <row r="2887" ht="12.75" x14ac:dyDescent="0.2"/>
    <row r="2888" ht="12.75" x14ac:dyDescent="0.2"/>
    <row r="2889" ht="12.75" x14ac:dyDescent="0.2"/>
    <row r="2890" ht="12.75" x14ac:dyDescent="0.2"/>
    <row r="2891" ht="12.75" x14ac:dyDescent="0.2"/>
    <row r="2892" ht="12.75" x14ac:dyDescent="0.2"/>
    <row r="2893" ht="12.75" x14ac:dyDescent="0.2"/>
    <row r="2894" ht="12.75" x14ac:dyDescent="0.2"/>
    <row r="2895" ht="12.75" x14ac:dyDescent="0.2"/>
    <row r="2896" ht="12.75" x14ac:dyDescent="0.2"/>
    <row r="2897" ht="12.75" x14ac:dyDescent="0.2"/>
    <row r="2898" ht="12.75" x14ac:dyDescent="0.2"/>
    <row r="2899" ht="12.75" x14ac:dyDescent="0.2"/>
    <row r="2900" ht="12.75" x14ac:dyDescent="0.2"/>
    <row r="2901" ht="12.75" x14ac:dyDescent="0.2"/>
    <row r="2902" ht="12.75" x14ac:dyDescent="0.2"/>
    <row r="2903" ht="12.75" x14ac:dyDescent="0.2"/>
    <row r="2904" ht="12.75" x14ac:dyDescent="0.2"/>
    <row r="2905" ht="12.75" x14ac:dyDescent="0.2"/>
    <row r="2906" ht="12.75" x14ac:dyDescent="0.2"/>
    <row r="2907" ht="12.75" x14ac:dyDescent="0.2"/>
    <row r="2908" ht="12.75" x14ac:dyDescent="0.2"/>
    <row r="2909" ht="12.75" x14ac:dyDescent="0.2"/>
    <row r="2910" ht="12.75" x14ac:dyDescent="0.2"/>
    <row r="2911" ht="12.75" x14ac:dyDescent="0.2"/>
    <row r="2912" ht="12.75" x14ac:dyDescent="0.2"/>
    <row r="2913" ht="12.75" x14ac:dyDescent="0.2"/>
    <row r="2914" ht="12.75" x14ac:dyDescent="0.2"/>
    <row r="2915" ht="12.75" x14ac:dyDescent="0.2"/>
    <row r="2916" ht="12.75" x14ac:dyDescent="0.2"/>
    <row r="2917" ht="12.75" x14ac:dyDescent="0.2"/>
    <row r="2918" ht="12.75" x14ac:dyDescent="0.2"/>
    <row r="2919" ht="12.75" x14ac:dyDescent="0.2"/>
    <row r="2920" ht="12.75" x14ac:dyDescent="0.2"/>
    <row r="2921" ht="12.75" x14ac:dyDescent="0.2"/>
    <row r="2922" ht="12.75" x14ac:dyDescent="0.2"/>
    <row r="2923" ht="12.75" x14ac:dyDescent="0.2"/>
    <row r="2924" ht="12.75" x14ac:dyDescent="0.2"/>
    <row r="2925" ht="12.75" x14ac:dyDescent="0.2"/>
    <row r="2926" ht="12.75" x14ac:dyDescent="0.2"/>
    <row r="2927" ht="12.75" x14ac:dyDescent="0.2"/>
    <row r="2928" ht="12.75" x14ac:dyDescent="0.2"/>
    <row r="2929" ht="12.75" x14ac:dyDescent="0.2"/>
    <row r="2930" ht="12.75" x14ac:dyDescent="0.2"/>
    <row r="2931" ht="12.75" x14ac:dyDescent="0.2"/>
    <row r="2932" ht="12.75" x14ac:dyDescent="0.2"/>
    <row r="2933" ht="12.75" x14ac:dyDescent="0.2"/>
    <row r="2934" ht="12.75" x14ac:dyDescent="0.2"/>
    <row r="2935" ht="12.75" x14ac:dyDescent="0.2"/>
    <row r="2936" ht="12.75" x14ac:dyDescent="0.2"/>
    <row r="2937" ht="12.75" x14ac:dyDescent="0.2"/>
    <row r="2938" ht="12.75" x14ac:dyDescent="0.2"/>
    <row r="2939" ht="12.75" x14ac:dyDescent="0.2"/>
    <row r="2940" ht="12.75" x14ac:dyDescent="0.2"/>
    <row r="2941" ht="12.75" x14ac:dyDescent="0.2"/>
    <row r="2942" ht="12.75" x14ac:dyDescent="0.2"/>
    <row r="2943" ht="12.75" x14ac:dyDescent="0.2"/>
    <row r="2944" ht="12.75" x14ac:dyDescent="0.2"/>
    <row r="2945" ht="12.75" x14ac:dyDescent="0.2"/>
    <row r="2946" ht="12.75" x14ac:dyDescent="0.2"/>
    <row r="2947" ht="12.75" x14ac:dyDescent="0.2"/>
    <row r="2948" ht="12.75" x14ac:dyDescent="0.2"/>
    <row r="2949" ht="12.75" x14ac:dyDescent="0.2"/>
    <row r="2950" ht="12.75" x14ac:dyDescent="0.2"/>
    <row r="2951" ht="12.75" x14ac:dyDescent="0.2"/>
    <row r="2952" ht="12.75" x14ac:dyDescent="0.2"/>
    <row r="2953" ht="12.75" x14ac:dyDescent="0.2"/>
    <row r="2954" ht="12.75" x14ac:dyDescent="0.2"/>
    <row r="2955" ht="12.75" x14ac:dyDescent="0.2"/>
    <row r="2956" ht="12.75" x14ac:dyDescent="0.2"/>
    <row r="2957" ht="12.75" x14ac:dyDescent="0.2"/>
    <row r="2958" ht="12.75" x14ac:dyDescent="0.2"/>
    <row r="2959" ht="12.75" x14ac:dyDescent="0.2"/>
    <row r="2960" ht="12.75" x14ac:dyDescent="0.2"/>
    <row r="2961" ht="12.75" x14ac:dyDescent="0.2"/>
    <row r="2962" ht="12.75" x14ac:dyDescent="0.2"/>
    <row r="2963" ht="12.75" x14ac:dyDescent="0.2"/>
    <row r="2964" ht="12.75" x14ac:dyDescent="0.2"/>
    <row r="2965" ht="12.75" x14ac:dyDescent="0.2"/>
    <row r="2966" ht="12.75" x14ac:dyDescent="0.2"/>
    <row r="2967" ht="12.75" x14ac:dyDescent="0.2"/>
    <row r="2968" ht="12.75" x14ac:dyDescent="0.2"/>
    <row r="2969" ht="12.75" x14ac:dyDescent="0.2"/>
    <row r="2970" ht="12.75" x14ac:dyDescent="0.2"/>
    <row r="2971" ht="12.75" x14ac:dyDescent="0.2"/>
    <row r="2972" ht="12.75" x14ac:dyDescent="0.2"/>
    <row r="2973" ht="12.75" x14ac:dyDescent="0.2"/>
    <row r="2974" ht="12.75" x14ac:dyDescent="0.2"/>
    <row r="2975" ht="12.75" x14ac:dyDescent="0.2"/>
    <row r="2976" ht="12.75" x14ac:dyDescent="0.2"/>
    <row r="2977" ht="12.75" x14ac:dyDescent="0.2"/>
    <row r="2978" ht="12.75" x14ac:dyDescent="0.2"/>
    <row r="2979" ht="12.75" x14ac:dyDescent="0.2"/>
    <row r="2980" ht="12.75" x14ac:dyDescent="0.2"/>
    <row r="2981" ht="12.75" x14ac:dyDescent="0.2"/>
    <row r="2982" ht="12.75" x14ac:dyDescent="0.2"/>
    <row r="2983" ht="12.75" x14ac:dyDescent="0.2"/>
    <row r="2984" ht="12.75" x14ac:dyDescent="0.2"/>
    <row r="2985" ht="12.75" x14ac:dyDescent="0.2"/>
    <row r="2986" ht="12.75" x14ac:dyDescent="0.2"/>
    <row r="2987" ht="12.75" x14ac:dyDescent="0.2"/>
    <row r="2988" ht="12.75" x14ac:dyDescent="0.2"/>
    <row r="2989" ht="12.75" x14ac:dyDescent="0.2"/>
    <row r="2990" ht="12.75" x14ac:dyDescent="0.2"/>
    <row r="2991" ht="12.75" x14ac:dyDescent="0.2"/>
    <row r="2992" ht="12.75" x14ac:dyDescent="0.2"/>
    <row r="2993" ht="12.75" x14ac:dyDescent="0.2"/>
    <row r="2994" ht="12.75" x14ac:dyDescent="0.2"/>
    <row r="2995" ht="12.75" x14ac:dyDescent="0.2"/>
    <row r="2996" ht="12.75" x14ac:dyDescent="0.2"/>
    <row r="2997" ht="12.75" x14ac:dyDescent="0.2"/>
    <row r="2998" ht="12.75" x14ac:dyDescent="0.2"/>
    <row r="2999" ht="12.75" x14ac:dyDescent="0.2"/>
    <row r="3000" ht="12.75" x14ac:dyDescent="0.2"/>
    <row r="3001" ht="12.75" x14ac:dyDescent="0.2"/>
    <row r="3002" ht="12.75" x14ac:dyDescent="0.2"/>
    <row r="3003" ht="12.75" x14ac:dyDescent="0.2"/>
    <row r="3004" ht="12.75" x14ac:dyDescent="0.2"/>
    <row r="3005" ht="12.75" x14ac:dyDescent="0.2"/>
    <row r="3006" ht="12.75" x14ac:dyDescent="0.2"/>
    <row r="3007" ht="12.75" x14ac:dyDescent="0.2"/>
    <row r="3008" ht="12.75" x14ac:dyDescent="0.2"/>
    <row r="3009" ht="12.75" x14ac:dyDescent="0.2"/>
    <row r="3010" ht="12.75" x14ac:dyDescent="0.2"/>
    <row r="3011" ht="12.75" x14ac:dyDescent="0.2"/>
    <row r="3012" ht="12.75" x14ac:dyDescent="0.2"/>
    <row r="3013" ht="12.75" x14ac:dyDescent="0.2"/>
    <row r="3014" ht="12.75" x14ac:dyDescent="0.2"/>
    <row r="3015" ht="12.75" x14ac:dyDescent="0.2"/>
    <row r="3016" ht="12.75" x14ac:dyDescent="0.2"/>
    <row r="3017" ht="12.75" x14ac:dyDescent="0.2"/>
    <row r="3018" ht="12.75" x14ac:dyDescent="0.2"/>
    <row r="3019" ht="12.75" x14ac:dyDescent="0.2"/>
    <row r="3020" ht="12.75" x14ac:dyDescent="0.2"/>
    <row r="3021" ht="12.75" x14ac:dyDescent="0.2"/>
    <row r="3022" ht="12.75" x14ac:dyDescent="0.2"/>
    <row r="3023" ht="12.75" x14ac:dyDescent="0.2"/>
    <row r="3024" ht="12.75" x14ac:dyDescent="0.2"/>
    <row r="3025" ht="12.75" x14ac:dyDescent="0.2"/>
    <row r="3026" ht="12.75" x14ac:dyDescent="0.2"/>
    <row r="3027" ht="12.75" x14ac:dyDescent="0.2"/>
    <row r="3028" ht="12.75" x14ac:dyDescent="0.2"/>
    <row r="3029" ht="12.75" x14ac:dyDescent="0.2"/>
    <row r="3030" ht="12.75" x14ac:dyDescent="0.2"/>
    <row r="3031" ht="12.75" x14ac:dyDescent="0.2"/>
    <row r="3032" ht="12.75" x14ac:dyDescent="0.2"/>
    <row r="3033" ht="12.75" x14ac:dyDescent="0.2"/>
    <row r="3034" ht="12.75" x14ac:dyDescent="0.2"/>
    <row r="3035" ht="12.75" x14ac:dyDescent="0.2"/>
    <row r="3036" ht="12.75" x14ac:dyDescent="0.2"/>
    <row r="3037" ht="12.75" x14ac:dyDescent="0.2"/>
    <row r="3038" ht="12.75" x14ac:dyDescent="0.2"/>
    <row r="3039" ht="12.75" x14ac:dyDescent="0.2"/>
    <row r="3040" ht="12.75" x14ac:dyDescent="0.2"/>
    <row r="3041" ht="12.75" x14ac:dyDescent="0.2"/>
    <row r="3042" ht="12.75" x14ac:dyDescent="0.2"/>
    <row r="3043" ht="12.75" x14ac:dyDescent="0.2"/>
    <row r="3044" ht="12.75" x14ac:dyDescent="0.2"/>
    <row r="3045" ht="12.75" x14ac:dyDescent="0.2"/>
    <row r="3046" ht="12.75" x14ac:dyDescent="0.2"/>
    <row r="3047" ht="12.75" x14ac:dyDescent="0.2"/>
    <row r="3048" ht="12.75" x14ac:dyDescent="0.2"/>
    <row r="3049" ht="12.75" x14ac:dyDescent="0.2"/>
    <row r="3050" ht="12.75" x14ac:dyDescent="0.2"/>
    <row r="3051" ht="12.75" x14ac:dyDescent="0.2"/>
    <row r="3052" ht="12.75" x14ac:dyDescent="0.2"/>
    <row r="3053" ht="12.75" x14ac:dyDescent="0.2"/>
    <row r="3054" ht="12.75" x14ac:dyDescent="0.2"/>
    <row r="3055" ht="12.75" x14ac:dyDescent="0.2"/>
    <row r="3056" ht="12.75" x14ac:dyDescent="0.2"/>
    <row r="3057" ht="12.75" x14ac:dyDescent="0.2"/>
    <row r="3058" ht="12.75" x14ac:dyDescent="0.2"/>
    <row r="3059" ht="12.75" x14ac:dyDescent="0.2"/>
    <row r="3060" ht="12.75" x14ac:dyDescent="0.2"/>
    <row r="3061" ht="12.75" x14ac:dyDescent="0.2"/>
    <row r="3062" ht="12.75" x14ac:dyDescent="0.2"/>
    <row r="3063" ht="12.75" x14ac:dyDescent="0.2"/>
    <row r="3064" ht="12.75" x14ac:dyDescent="0.2"/>
    <row r="3065" ht="12.75" x14ac:dyDescent="0.2"/>
    <row r="3066" ht="12.75" x14ac:dyDescent="0.2"/>
    <row r="3067" ht="12.75" x14ac:dyDescent="0.2"/>
    <row r="3068" ht="12.75" x14ac:dyDescent="0.2"/>
    <row r="3069" ht="12.75" x14ac:dyDescent="0.2"/>
    <row r="3070" ht="12.75" x14ac:dyDescent="0.2"/>
    <row r="3071" ht="12.75" x14ac:dyDescent="0.2"/>
    <row r="3072" ht="12.75" x14ac:dyDescent="0.2"/>
    <row r="3073" ht="12.75" x14ac:dyDescent="0.2"/>
    <row r="3074" ht="12.75" x14ac:dyDescent="0.2"/>
    <row r="3075" ht="12.75" x14ac:dyDescent="0.2"/>
    <row r="3076" ht="12.75" x14ac:dyDescent="0.2"/>
    <row r="3077" ht="12.75" x14ac:dyDescent="0.2"/>
    <row r="3078" ht="12.75" x14ac:dyDescent="0.2"/>
    <row r="3079" ht="12.75" x14ac:dyDescent="0.2"/>
    <row r="3080" ht="12.75" x14ac:dyDescent="0.2"/>
    <row r="3081" ht="12.75" x14ac:dyDescent="0.2"/>
    <row r="3082" ht="12.75" x14ac:dyDescent="0.2"/>
    <row r="3083" ht="12.75" x14ac:dyDescent="0.2"/>
    <row r="3084" ht="12.75" x14ac:dyDescent="0.2"/>
    <row r="3085" ht="12.75" x14ac:dyDescent="0.2"/>
    <row r="3086" ht="12.75" x14ac:dyDescent="0.2"/>
    <row r="3087" ht="12.75" x14ac:dyDescent="0.2"/>
    <row r="3088" ht="12.75" x14ac:dyDescent="0.2"/>
    <row r="3089" ht="12.75" x14ac:dyDescent="0.2"/>
    <row r="3090" ht="12.75" x14ac:dyDescent="0.2"/>
    <row r="3091" ht="12.75" x14ac:dyDescent="0.2"/>
    <row r="3092" ht="12.75" x14ac:dyDescent="0.2"/>
    <row r="3093" ht="12.75" x14ac:dyDescent="0.2"/>
    <row r="3094" ht="12.75" x14ac:dyDescent="0.2"/>
    <row r="3095" ht="12.75" x14ac:dyDescent="0.2"/>
    <row r="3096" ht="12.75" x14ac:dyDescent="0.2"/>
    <row r="3097" ht="12.75" x14ac:dyDescent="0.2"/>
    <row r="3098" ht="12.75" x14ac:dyDescent="0.2"/>
    <row r="3099" ht="12.75" x14ac:dyDescent="0.2"/>
    <row r="3100" ht="12.75" x14ac:dyDescent="0.2"/>
    <row r="3101" ht="12.75" x14ac:dyDescent="0.2"/>
    <row r="3102" ht="12.75" x14ac:dyDescent="0.2"/>
    <row r="3103" ht="12.75" x14ac:dyDescent="0.2"/>
    <row r="3104" ht="12.75" x14ac:dyDescent="0.2"/>
    <row r="3105" ht="12.75" x14ac:dyDescent="0.2"/>
    <row r="3106" ht="12.75" x14ac:dyDescent="0.2"/>
    <row r="3107" ht="12.75" x14ac:dyDescent="0.2"/>
    <row r="3108" ht="12.75" x14ac:dyDescent="0.2"/>
    <row r="3109" ht="12.75" x14ac:dyDescent="0.2"/>
    <row r="3110" ht="12.75" x14ac:dyDescent="0.2"/>
    <row r="3111" ht="12.75" x14ac:dyDescent="0.2"/>
    <row r="3112" ht="12.75" x14ac:dyDescent="0.2"/>
    <row r="3113" ht="12.75" x14ac:dyDescent="0.2"/>
    <row r="3114" ht="12.75" x14ac:dyDescent="0.2"/>
    <row r="3115" ht="12.75" x14ac:dyDescent="0.2"/>
    <row r="3116" ht="12.75" x14ac:dyDescent="0.2"/>
    <row r="3117" ht="12.75" x14ac:dyDescent="0.2"/>
    <row r="3118" ht="12.75" x14ac:dyDescent="0.2"/>
    <row r="3119" ht="12.75" x14ac:dyDescent="0.2"/>
    <row r="3120" ht="12.75" x14ac:dyDescent="0.2"/>
    <row r="3121" ht="12.75" x14ac:dyDescent="0.2"/>
    <row r="3122" ht="12.75" x14ac:dyDescent="0.2"/>
    <row r="3123" ht="12.75" x14ac:dyDescent="0.2"/>
    <row r="3124" ht="12.75" x14ac:dyDescent="0.2"/>
    <row r="3125" ht="12.75" x14ac:dyDescent="0.2"/>
    <row r="3126" ht="12.75" x14ac:dyDescent="0.2"/>
    <row r="3127" ht="12.75" x14ac:dyDescent="0.2"/>
    <row r="3128" ht="12.75" x14ac:dyDescent="0.2"/>
    <row r="3129" ht="12.75" x14ac:dyDescent="0.2"/>
    <row r="3130" ht="12.75" x14ac:dyDescent="0.2"/>
    <row r="3131" ht="12.75" x14ac:dyDescent="0.2"/>
    <row r="3132" ht="12.75" x14ac:dyDescent="0.2"/>
    <row r="3133" ht="12.75" x14ac:dyDescent="0.2"/>
    <row r="3134" ht="12.75" x14ac:dyDescent="0.2"/>
    <row r="3135" ht="12.75" x14ac:dyDescent="0.2"/>
    <row r="3136" ht="12.75" x14ac:dyDescent="0.2"/>
    <row r="3137" ht="12.75" x14ac:dyDescent="0.2"/>
    <row r="3138" ht="12.75" x14ac:dyDescent="0.2"/>
    <row r="3139" ht="12.75" x14ac:dyDescent="0.2"/>
    <row r="3140" ht="12.75" x14ac:dyDescent="0.2"/>
    <row r="3141" ht="12.75" x14ac:dyDescent="0.2"/>
    <row r="3142" ht="12.75" x14ac:dyDescent="0.2"/>
    <row r="3143" ht="12.75" x14ac:dyDescent="0.2"/>
    <row r="3144" ht="12.75" x14ac:dyDescent="0.2"/>
    <row r="3145" ht="12.75" x14ac:dyDescent="0.2"/>
    <row r="3146" ht="12.75" x14ac:dyDescent="0.2"/>
    <row r="3147" ht="12.75" x14ac:dyDescent="0.2"/>
    <row r="3148" ht="12.75" x14ac:dyDescent="0.2"/>
    <row r="3149" ht="12.75" x14ac:dyDescent="0.2"/>
    <row r="3150" ht="12.75" x14ac:dyDescent="0.2"/>
    <row r="3151" ht="12.75" x14ac:dyDescent="0.2"/>
    <row r="3152" ht="12.75" x14ac:dyDescent="0.2"/>
    <row r="3153" ht="12.75" x14ac:dyDescent="0.2"/>
    <row r="3154" ht="12.75" x14ac:dyDescent="0.2"/>
    <row r="3155" ht="12.75" x14ac:dyDescent="0.2"/>
    <row r="3156" ht="12.75" x14ac:dyDescent="0.2"/>
    <row r="3157" ht="12.75" x14ac:dyDescent="0.2"/>
    <row r="3158" ht="12.75" x14ac:dyDescent="0.2"/>
    <row r="3159" ht="12.75" x14ac:dyDescent="0.2"/>
    <row r="3160" ht="12.75" x14ac:dyDescent="0.2"/>
    <row r="3161" ht="12.75" x14ac:dyDescent="0.2"/>
    <row r="3162" ht="12.75" x14ac:dyDescent="0.2"/>
    <row r="3163" ht="12.75" x14ac:dyDescent="0.2"/>
    <row r="3164" ht="12.75" x14ac:dyDescent="0.2"/>
    <row r="3165" ht="12.75" x14ac:dyDescent="0.2"/>
    <row r="3166" ht="12.75" x14ac:dyDescent="0.2"/>
    <row r="3167" ht="12.75" x14ac:dyDescent="0.2"/>
    <row r="3168" ht="12.75" x14ac:dyDescent="0.2"/>
    <row r="3169" ht="12.75" x14ac:dyDescent="0.2"/>
    <row r="3170" ht="12.75" x14ac:dyDescent="0.2"/>
    <row r="3171" ht="12.75" x14ac:dyDescent="0.2"/>
    <row r="3172" ht="12.75" x14ac:dyDescent="0.2"/>
    <row r="3173" ht="12.75" x14ac:dyDescent="0.2"/>
    <row r="3174" ht="12.75" x14ac:dyDescent="0.2"/>
    <row r="3175" ht="12.75" x14ac:dyDescent="0.2"/>
    <row r="3176" ht="12.75" x14ac:dyDescent="0.2"/>
    <row r="3177" ht="12.75" x14ac:dyDescent="0.2"/>
    <row r="3178" ht="12.75" x14ac:dyDescent="0.2"/>
    <row r="3179" ht="12.75" x14ac:dyDescent="0.2"/>
    <row r="3180" ht="12.75" x14ac:dyDescent="0.2"/>
    <row r="3181" ht="12.75" x14ac:dyDescent="0.2"/>
    <row r="3182" ht="12.75" x14ac:dyDescent="0.2"/>
    <row r="3183" ht="12.75" x14ac:dyDescent="0.2"/>
    <row r="3184" ht="12.75" x14ac:dyDescent="0.2"/>
    <row r="3185" ht="12.75" x14ac:dyDescent="0.2"/>
    <row r="3186" ht="12.75" x14ac:dyDescent="0.2"/>
    <row r="3187" ht="12.75" x14ac:dyDescent="0.2"/>
    <row r="3188" ht="12.75" x14ac:dyDescent="0.2"/>
    <row r="3189" ht="12.75" x14ac:dyDescent="0.2"/>
    <row r="3190" ht="12.75" x14ac:dyDescent="0.2"/>
    <row r="3191" ht="12.75" x14ac:dyDescent="0.2"/>
    <row r="3192" ht="12.75" x14ac:dyDescent="0.2"/>
    <row r="3193" ht="12.75" x14ac:dyDescent="0.2"/>
    <row r="3194" ht="12.75" x14ac:dyDescent="0.2"/>
    <row r="3195" ht="12.75" x14ac:dyDescent="0.2"/>
    <row r="3196" ht="12.75" x14ac:dyDescent="0.2"/>
    <row r="3197" ht="12.75" x14ac:dyDescent="0.2"/>
    <row r="3198" ht="12.75" x14ac:dyDescent="0.2"/>
    <row r="3199" ht="12.75" x14ac:dyDescent="0.2"/>
    <row r="3200" ht="12.75" x14ac:dyDescent="0.2"/>
    <row r="3201" ht="12.75" x14ac:dyDescent="0.2"/>
    <row r="3202" ht="12.75" x14ac:dyDescent="0.2"/>
    <row r="3203" ht="12.75" x14ac:dyDescent="0.2"/>
    <row r="3204" ht="12.75" x14ac:dyDescent="0.2"/>
    <row r="3205" ht="12.75" x14ac:dyDescent="0.2"/>
    <row r="3206" ht="12.75" x14ac:dyDescent="0.2"/>
    <row r="3207" ht="12.75" x14ac:dyDescent="0.2"/>
    <row r="3208" ht="12.75" x14ac:dyDescent="0.2"/>
    <row r="3209" ht="12.75" x14ac:dyDescent="0.2"/>
    <row r="3210" ht="12.75" x14ac:dyDescent="0.2"/>
    <row r="3211" ht="12.75" x14ac:dyDescent="0.2"/>
    <row r="3212" ht="12.75" x14ac:dyDescent="0.2"/>
    <row r="3213" ht="12.75" x14ac:dyDescent="0.2"/>
    <row r="3214" ht="12.75" x14ac:dyDescent="0.2"/>
    <row r="3215" ht="12.75" x14ac:dyDescent="0.2"/>
    <row r="3216" ht="12.75" x14ac:dyDescent="0.2"/>
    <row r="3217" ht="12.75" x14ac:dyDescent="0.2"/>
    <row r="3218" ht="12.75" x14ac:dyDescent="0.2"/>
    <row r="3219" ht="12.75" x14ac:dyDescent="0.2"/>
    <row r="3220" ht="12.75" x14ac:dyDescent="0.2"/>
    <row r="3221" ht="12.75" x14ac:dyDescent="0.2"/>
    <row r="3222" ht="12.75" x14ac:dyDescent="0.2"/>
    <row r="3223" ht="12.75" x14ac:dyDescent="0.2"/>
    <row r="3224" ht="12.75" x14ac:dyDescent="0.2"/>
    <row r="3225" ht="12.75" x14ac:dyDescent="0.2"/>
    <row r="3226" ht="12.75" x14ac:dyDescent="0.2"/>
    <row r="3227" ht="12.75" x14ac:dyDescent="0.2"/>
    <row r="3228" ht="12.75" x14ac:dyDescent="0.2"/>
    <row r="3229" ht="12.75" x14ac:dyDescent="0.2"/>
    <row r="3230" ht="12.75" x14ac:dyDescent="0.2"/>
    <row r="3231" ht="12.75" x14ac:dyDescent="0.2"/>
    <row r="3232" ht="12.75" x14ac:dyDescent="0.2"/>
    <row r="3233" ht="12.75" x14ac:dyDescent="0.2"/>
    <row r="3234" ht="12.75" x14ac:dyDescent="0.2"/>
    <row r="3235" ht="12.75" x14ac:dyDescent="0.2"/>
    <row r="3236" ht="12.75" x14ac:dyDescent="0.2"/>
    <row r="3237" ht="12.75" x14ac:dyDescent="0.2"/>
    <row r="3238" ht="12.75" x14ac:dyDescent="0.2"/>
    <row r="3239" ht="12.75" x14ac:dyDescent="0.2"/>
    <row r="3240" ht="12.75" x14ac:dyDescent="0.2"/>
    <row r="3241" ht="12.75" x14ac:dyDescent="0.2"/>
    <row r="3242" ht="12.75" x14ac:dyDescent="0.2"/>
    <row r="3243" ht="12.75" x14ac:dyDescent="0.2"/>
    <row r="3244" ht="12.75" x14ac:dyDescent="0.2"/>
    <row r="3245" ht="12.75" x14ac:dyDescent="0.2"/>
    <row r="3246" ht="12.75" x14ac:dyDescent="0.2"/>
    <row r="3247" ht="12.75" x14ac:dyDescent="0.2"/>
    <row r="3248" ht="12.75" x14ac:dyDescent="0.2"/>
    <row r="3249" ht="12.75" x14ac:dyDescent="0.2"/>
    <row r="3250" ht="12.75" x14ac:dyDescent="0.2"/>
    <row r="3251" ht="12.75" x14ac:dyDescent="0.2"/>
    <row r="3252" ht="12.75" x14ac:dyDescent="0.2"/>
    <row r="3253" ht="12.75" x14ac:dyDescent="0.2"/>
    <row r="3254" ht="12.75" x14ac:dyDescent="0.2"/>
    <row r="3255" ht="12.75" x14ac:dyDescent="0.2"/>
    <row r="3256" ht="12.75" x14ac:dyDescent="0.2"/>
    <row r="3257" ht="12.75" x14ac:dyDescent="0.2"/>
    <row r="3258" ht="12.75" x14ac:dyDescent="0.2"/>
    <row r="3259" ht="12.75" x14ac:dyDescent="0.2"/>
    <row r="3260" ht="12.75" x14ac:dyDescent="0.2"/>
    <row r="3261" ht="12.75" x14ac:dyDescent="0.2"/>
    <row r="3262" ht="12.75" x14ac:dyDescent="0.2"/>
    <row r="3263" ht="12.75" x14ac:dyDescent="0.2"/>
    <row r="3264" ht="12.75" x14ac:dyDescent="0.2"/>
    <row r="3265" ht="12.75" x14ac:dyDescent="0.2"/>
    <row r="3266" ht="12.75" x14ac:dyDescent="0.2"/>
    <row r="3267" ht="12.75" x14ac:dyDescent="0.2"/>
    <row r="3268" ht="12.75" x14ac:dyDescent="0.2"/>
    <row r="3269" ht="12.75" x14ac:dyDescent="0.2"/>
    <row r="3270" ht="12.75" x14ac:dyDescent="0.2"/>
    <row r="3271" ht="12.75" x14ac:dyDescent="0.2"/>
    <row r="3272" ht="12.75" x14ac:dyDescent="0.2"/>
    <row r="3273" ht="12.75" x14ac:dyDescent="0.2"/>
    <row r="3274" ht="12.75" x14ac:dyDescent="0.2"/>
    <row r="3275" ht="12.75" x14ac:dyDescent="0.2"/>
    <row r="3276" ht="12.75" x14ac:dyDescent="0.2"/>
    <row r="3277" ht="12.75" x14ac:dyDescent="0.2"/>
    <row r="3278" ht="12.75" x14ac:dyDescent="0.2"/>
    <row r="3279" ht="12.75" x14ac:dyDescent="0.2"/>
    <row r="3280" ht="12.75" x14ac:dyDescent="0.2"/>
    <row r="3281" ht="12.75" x14ac:dyDescent="0.2"/>
    <row r="3282" ht="12.75" x14ac:dyDescent="0.2"/>
    <row r="3283" ht="12.75" x14ac:dyDescent="0.2"/>
    <row r="3284" ht="12.75" x14ac:dyDescent="0.2"/>
    <row r="3285" ht="12.75" x14ac:dyDescent="0.2"/>
    <row r="3286" ht="12.75" x14ac:dyDescent="0.2"/>
    <row r="3287" ht="12.75" x14ac:dyDescent="0.2"/>
    <row r="3288" ht="12.75" x14ac:dyDescent="0.2"/>
    <row r="3289" ht="12.75" x14ac:dyDescent="0.2"/>
    <row r="3290" ht="12.75" x14ac:dyDescent="0.2"/>
    <row r="3291" ht="12.75" x14ac:dyDescent="0.2"/>
    <row r="3292" ht="12.75" x14ac:dyDescent="0.2"/>
    <row r="3293" ht="12.75" x14ac:dyDescent="0.2"/>
    <row r="3294" ht="12.75" x14ac:dyDescent="0.2"/>
    <row r="3295" ht="12.75" x14ac:dyDescent="0.2"/>
    <row r="3296" ht="12.75" x14ac:dyDescent="0.2"/>
    <row r="3297" ht="12.75" x14ac:dyDescent="0.2"/>
    <row r="3298" ht="12.75" x14ac:dyDescent="0.2"/>
    <row r="3299" ht="12.75" x14ac:dyDescent="0.2"/>
    <row r="3300" ht="12.75" x14ac:dyDescent="0.2"/>
    <row r="3301" ht="12.75" x14ac:dyDescent="0.2"/>
    <row r="3302" ht="12.75" x14ac:dyDescent="0.2"/>
    <row r="3303" ht="12.75" x14ac:dyDescent="0.2"/>
    <row r="3304" ht="12.75" x14ac:dyDescent="0.2"/>
    <row r="3305" ht="12.75" x14ac:dyDescent="0.2"/>
    <row r="3306" ht="12.75" x14ac:dyDescent="0.2"/>
    <row r="3307" ht="12.75" x14ac:dyDescent="0.2"/>
    <row r="3308" ht="12.75" x14ac:dyDescent="0.2"/>
    <row r="3309" ht="12.75" x14ac:dyDescent="0.2"/>
    <row r="3310" ht="12.75" x14ac:dyDescent="0.2"/>
    <row r="3311" ht="12.75" x14ac:dyDescent="0.2"/>
    <row r="3312" ht="12.75" x14ac:dyDescent="0.2"/>
    <row r="3313" ht="12.75" x14ac:dyDescent="0.2"/>
    <row r="3314" ht="12.75" x14ac:dyDescent="0.2"/>
    <row r="3315" ht="12.75" x14ac:dyDescent="0.2"/>
    <row r="3316" ht="12.75" x14ac:dyDescent="0.2"/>
    <row r="3317" ht="12.75" x14ac:dyDescent="0.2"/>
    <row r="3318" ht="12.75" x14ac:dyDescent="0.2"/>
    <row r="3319" ht="12.75" x14ac:dyDescent="0.2"/>
    <row r="3320" ht="12.75" x14ac:dyDescent="0.2"/>
    <row r="3321" ht="12.75" x14ac:dyDescent="0.2"/>
    <row r="3322" ht="12.75" x14ac:dyDescent="0.2"/>
    <row r="3323" ht="12.75" x14ac:dyDescent="0.2"/>
    <row r="3324" ht="12.75" x14ac:dyDescent="0.2"/>
    <row r="3325" ht="12.75" x14ac:dyDescent="0.2"/>
    <row r="3326" ht="12.75" x14ac:dyDescent="0.2"/>
    <row r="3327" ht="12.75" x14ac:dyDescent="0.2"/>
    <row r="3328" ht="12.75" x14ac:dyDescent="0.2"/>
    <row r="3329" ht="12.75" x14ac:dyDescent="0.2"/>
    <row r="3330" ht="12.75" x14ac:dyDescent="0.2"/>
    <row r="3331" ht="12.75" x14ac:dyDescent="0.2"/>
    <row r="3332" ht="12.75" x14ac:dyDescent="0.2"/>
    <row r="3333" ht="12.75" x14ac:dyDescent="0.2"/>
    <row r="3334" ht="12.75" x14ac:dyDescent="0.2"/>
    <row r="3335" ht="12.75" x14ac:dyDescent="0.2"/>
    <row r="3336" ht="12.75" x14ac:dyDescent="0.2"/>
    <row r="3337" ht="12.75" x14ac:dyDescent="0.2"/>
    <row r="3338" ht="12.75" x14ac:dyDescent="0.2"/>
    <row r="3339" ht="12.75" x14ac:dyDescent="0.2"/>
    <row r="3340" ht="12.75" x14ac:dyDescent="0.2"/>
    <row r="3341" ht="12.75" x14ac:dyDescent="0.2"/>
    <row r="3342" ht="12.75" x14ac:dyDescent="0.2"/>
    <row r="3343" ht="12.75" x14ac:dyDescent="0.2"/>
    <row r="3344" ht="12.75" x14ac:dyDescent="0.2"/>
    <row r="3345" ht="12.75" x14ac:dyDescent="0.2"/>
    <row r="3346" ht="12.75" x14ac:dyDescent="0.2"/>
    <row r="3347" ht="12.75" x14ac:dyDescent="0.2"/>
    <row r="3348" ht="12.75" x14ac:dyDescent="0.2"/>
    <row r="3349" ht="12.75" x14ac:dyDescent="0.2"/>
    <row r="3350" ht="12.75" x14ac:dyDescent="0.2"/>
    <row r="3351" ht="12.75" x14ac:dyDescent="0.2"/>
    <row r="3352" ht="12.75" x14ac:dyDescent="0.2"/>
    <row r="3353" ht="12.75" x14ac:dyDescent="0.2"/>
    <row r="3354" ht="12.75" x14ac:dyDescent="0.2"/>
    <row r="3355" ht="12.75" x14ac:dyDescent="0.2"/>
    <row r="3356" ht="12.75" x14ac:dyDescent="0.2"/>
    <row r="3357" ht="12.75" x14ac:dyDescent="0.2"/>
    <row r="3358" ht="12.75" x14ac:dyDescent="0.2"/>
    <row r="3359" ht="12.75" x14ac:dyDescent="0.2"/>
    <row r="3360" ht="12.75" x14ac:dyDescent="0.2"/>
    <row r="3361" ht="12.75" x14ac:dyDescent="0.2"/>
    <row r="3362" ht="12.75" x14ac:dyDescent="0.2"/>
    <row r="3363" ht="12.75" x14ac:dyDescent="0.2"/>
    <row r="3364" ht="12.75" x14ac:dyDescent="0.2"/>
    <row r="3365" ht="12.75" x14ac:dyDescent="0.2"/>
    <row r="3366" ht="12.75" x14ac:dyDescent="0.2"/>
    <row r="3367" ht="12.75" x14ac:dyDescent="0.2"/>
    <row r="3368" ht="12.75" x14ac:dyDescent="0.2"/>
    <row r="3369" ht="12.75" x14ac:dyDescent="0.2"/>
    <row r="3370" ht="12.75" x14ac:dyDescent="0.2"/>
    <row r="3371" ht="12.75" x14ac:dyDescent="0.2"/>
    <row r="3372" ht="12.75" x14ac:dyDescent="0.2"/>
    <row r="3373" ht="12.75" x14ac:dyDescent="0.2"/>
    <row r="3374" ht="12.75" x14ac:dyDescent="0.2"/>
    <row r="3375" ht="12.75" x14ac:dyDescent="0.2"/>
    <row r="3376" ht="12.75" x14ac:dyDescent="0.2"/>
    <row r="3377" ht="12.75" x14ac:dyDescent="0.2"/>
    <row r="3378" ht="12.75" x14ac:dyDescent="0.2"/>
    <row r="3379" ht="12.75" x14ac:dyDescent="0.2"/>
    <row r="3380" ht="12.75" x14ac:dyDescent="0.2"/>
    <row r="3381" ht="12.75" x14ac:dyDescent="0.2"/>
    <row r="3382" ht="12.75" x14ac:dyDescent="0.2"/>
    <row r="3383" ht="12.75" x14ac:dyDescent="0.2"/>
    <row r="3384" ht="12.75" x14ac:dyDescent="0.2"/>
    <row r="3385" ht="12.75" x14ac:dyDescent="0.2"/>
    <row r="3386" ht="12.75" x14ac:dyDescent="0.2"/>
    <row r="3387" ht="12.75" x14ac:dyDescent="0.2"/>
    <row r="3388" ht="12.75" x14ac:dyDescent="0.2"/>
    <row r="3389" ht="12.75" x14ac:dyDescent="0.2"/>
    <row r="3390" ht="12.75" x14ac:dyDescent="0.2"/>
    <row r="3391" ht="12.75" x14ac:dyDescent="0.2"/>
    <row r="3392" ht="12.75" x14ac:dyDescent="0.2"/>
    <row r="3393" ht="12.75" x14ac:dyDescent="0.2"/>
    <row r="3394" ht="12.75" x14ac:dyDescent="0.2"/>
    <row r="3395" ht="12.75" x14ac:dyDescent="0.2"/>
    <row r="3396" ht="12.75" x14ac:dyDescent="0.2"/>
    <row r="3397" ht="12.75" x14ac:dyDescent="0.2"/>
    <row r="3398" ht="12.75" x14ac:dyDescent="0.2"/>
    <row r="3399" ht="12.75" x14ac:dyDescent="0.2"/>
    <row r="3400" ht="12.75" x14ac:dyDescent="0.2"/>
    <row r="3401" ht="12.75" x14ac:dyDescent="0.2"/>
    <row r="3402" ht="12.75" x14ac:dyDescent="0.2"/>
    <row r="3403" ht="12.75" x14ac:dyDescent="0.2"/>
    <row r="3404" ht="12.75" x14ac:dyDescent="0.2"/>
    <row r="3405" ht="12.75" x14ac:dyDescent="0.2"/>
    <row r="3406" ht="12.75" x14ac:dyDescent="0.2"/>
    <row r="3407" ht="12.75" x14ac:dyDescent="0.2"/>
    <row r="3408" ht="12.75" x14ac:dyDescent="0.2"/>
    <row r="3409" ht="12.75" x14ac:dyDescent="0.2"/>
    <row r="3410" ht="12.75" x14ac:dyDescent="0.2"/>
    <row r="3411" ht="12.75" x14ac:dyDescent="0.2"/>
    <row r="3412" ht="12.75" x14ac:dyDescent="0.2"/>
    <row r="3413" ht="12.75" x14ac:dyDescent="0.2"/>
    <row r="3414" ht="12.75" x14ac:dyDescent="0.2"/>
    <row r="3415" ht="12.75" x14ac:dyDescent="0.2"/>
    <row r="3416" ht="12.75" x14ac:dyDescent="0.2"/>
    <row r="3417" ht="12.75" x14ac:dyDescent="0.2"/>
    <row r="3418" ht="12.75" x14ac:dyDescent="0.2"/>
    <row r="3419" ht="12.75" x14ac:dyDescent="0.2"/>
    <row r="3420" ht="12.75" x14ac:dyDescent="0.2"/>
    <row r="3421" ht="12.75" x14ac:dyDescent="0.2"/>
    <row r="3422" ht="12.75" x14ac:dyDescent="0.2"/>
    <row r="3423" ht="12.75" x14ac:dyDescent="0.2"/>
    <row r="3424" ht="12.75" x14ac:dyDescent="0.2"/>
    <row r="3425" ht="12.75" x14ac:dyDescent="0.2"/>
    <row r="3426" ht="12.75" x14ac:dyDescent="0.2"/>
    <row r="3427" ht="12.75" x14ac:dyDescent="0.2"/>
    <row r="3428" ht="12.75" x14ac:dyDescent="0.2"/>
    <row r="3429" ht="12.75" x14ac:dyDescent="0.2"/>
    <row r="3430" ht="12.75" x14ac:dyDescent="0.2"/>
    <row r="3431" ht="12.75" x14ac:dyDescent="0.2"/>
    <row r="3432" ht="12.75" x14ac:dyDescent="0.2"/>
    <row r="3433" ht="12.75" x14ac:dyDescent="0.2"/>
    <row r="3434" ht="12.75" x14ac:dyDescent="0.2"/>
    <row r="3435" ht="12.75" x14ac:dyDescent="0.2"/>
    <row r="3436" ht="12.75" x14ac:dyDescent="0.2"/>
    <row r="3437" ht="12.75" x14ac:dyDescent="0.2"/>
    <row r="3438" ht="12.75" x14ac:dyDescent="0.2"/>
    <row r="3439" ht="12.75" x14ac:dyDescent="0.2"/>
    <row r="3440" ht="12.75" x14ac:dyDescent="0.2"/>
    <row r="3441" ht="12.75" x14ac:dyDescent="0.2"/>
    <row r="3442" ht="12.75" x14ac:dyDescent="0.2"/>
    <row r="3443" ht="12.75" x14ac:dyDescent="0.2"/>
    <row r="3444" ht="12.75" x14ac:dyDescent="0.2"/>
    <row r="3445" ht="12.75" x14ac:dyDescent="0.2"/>
    <row r="3446" ht="12.75" x14ac:dyDescent="0.2"/>
    <row r="3447" ht="12.75" x14ac:dyDescent="0.2"/>
    <row r="3448" ht="12.75" x14ac:dyDescent="0.2"/>
    <row r="3449" ht="12.75" x14ac:dyDescent="0.2"/>
    <row r="3450" ht="12.75" x14ac:dyDescent="0.2"/>
    <row r="3451" ht="12.75" x14ac:dyDescent="0.2"/>
    <row r="3452" ht="12.75" x14ac:dyDescent="0.2"/>
    <row r="3453" ht="12.75" x14ac:dyDescent="0.2"/>
    <row r="3454" ht="12.75" x14ac:dyDescent="0.2"/>
    <row r="3455" ht="12.75" x14ac:dyDescent="0.2"/>
    <row r="3456" ht="12.75" x14ac:dyDescent="0.2"/>
    <row r="3457" ht="12.75" x14ac:dyDescent="0.2"/>
    <row r="3458" ht="12.75" x14ac:dyDescent="0.2"/>
    <row r="3459" ht="12.75" x14ac:dyDescent="0.2"/>
    <row r="3460" ht="12.75" x14ac:dyDescent="0.2"/>
    <row r="3461" ht="12.75" x14ac:dyDescent="0.2"/>
    <row r="3462" ht="12.75" x14ac:dyDescent="0.2"/>
    <row r="3463" ht="12.75" x14ac:dyDescent="0.2"/>
    <row r="3464" ht="12.75" x14ac:dyDescent="0.2"/>
    <row r="3465" ht="12.75" x14ac:dyDescent="0.2"/>
    <row r="3466" ht="12.75" x14ac:dyDescent="0.2"/>
    <row r="3467" ht="12.75" x14ac:dyDescent="0.2"/>
    <row r="3468" ht="12.75" x14ac:dyDescent="0.2"/>
    <row r="3469" ht="12.75" x14ac:dyDescent="0.2"/>
    <row r="3470" ht="12.75" x14ac:dyDescent="0.2"/>
    <row r="3471" ht="12.75" x14ac:dyDescent="0.2"/>
    <row r="3472" ht="12.75" x14ac:dyDescent="0.2"/>
    <row r="3473" ht="12.75" x14ac:dyDescent="0.2"/>
    <row r="3474" ht="12.75" x14ac:dyDescent="0.2"/>
    <row r="3475" ht="12.75" x14ac:dyDescent="0.2"/>
    <row r="3476" ht="12.75" x14ac:dyDescent="0.2"/>
    <row r="3477" ht="12.75" x14ac:dyDescent="0.2"/>
    <row r="3478" ht="12.75" x14ac:dyDescent="0.2"/>
    <row r="3479" ht="12.75" x14ac:dyDescent="0.2"/>
    <row r="3480" ht="12.75" x14ac:dyDescent="0.2"/>
    <row r="3481" ht="12.75" x14ac:dyDescent="0.2"/>
    <row r="3482" ht="12.75" x14ac:dyDescent="0.2"/>
    <row r="3483" ht="12.75" x14ac:dyDescent="0.2"/>
    <row r="3484" ht="12.75" x14ac:dyDescent="0.2"/>
    <row r="3485" ht="12.75" x14ac:dyDescent="0.2"/>
    <row r="3486" ht="12.75" x14ac:dyDescent="0.2"/>
    <row r="3487" ht="12.75" x14ac:dyDescent="0.2"/>
    <row r="3488" ht="12.75" x14ac:dyDescent="0.2"/>
    <row r="3489" ht="12.75" x14ac:dyDescent="0.2"/>
    <row r="3490" ht="12.75" x14ac:dyDescent="0.2"/>
    <row r="3491" ht="12.75" x14ac:dyDescent="0.2"/>
    <row r="3492" ht="12.75" x14ac:dyDescent="0.2"/>
    <row r="3493" ht="12.75" x14ac:dyDescent="0.2"/>
    <row r="3494" ht="12.75" x14ac:dyDescent="0.2"/>
    <row r="3495" ht="12.75" x14ac:dyDescent="0.2"/>
    <row r="3496" ht="12.75" x14ac:dyDescent="0.2"/>
    <row r="3497" ht="12.75" x14ac:dyDescent="0.2"/>
    <row r="3498" ht="12.75" x14ac:dyDescent="0.2"/>
    <row r="3499" ht="12.75" x14ac:dyDescent="0.2"/>
    <row r="3500" ht="12.75" x14ac:dyDescent="0.2"/>
    <row r="3501" ht="12.75" x14ac:dyDescent="0.2"/>
    <row r="3502" ht="12.75" x14ac:dyDescent="0.2"/>
    <row r="3503" ht="12.75" x14ac:dyDescent="0.2"/>
    <row r="3504" ht="12.75" x14ac:dyDescent="0.2"/>
    <row r="3505" ht="12.75" x14ac:dyDescent="0.2"/>
    <row r="3506" ht="12.75" x14ac:dyDescent="0.2"/>
    <row r="3507" ht="12.75" x14ac:dyDescent="0.2"/>
    <row r="3508" ht="12.75" x14ac:dyDescent="0.2"/>
    <row r="3509" ht="12.75" x14ac:dyDescent="0.2"/>
    <row r="3510" ht="12.75" x14ac:dyDescent="0.2"/>
    <row r="3511" ht="12.75" x14ac:dyDescent="0.2"/>
    <row r="3512" ht="12.75" x14ac:dyDescent="0.2"/>
    <row r="3513" ht="12.75" x14ac:dyDescent="0.2"/>
    <row r="3514" ht="12.75" x14ac:dyDescent="0.2"/>
    <row r="3515" ht="12.75" x14ac:dyDescent="0.2"/>
    <row r="3516" ht="12.75" x14ac:dyDescent="0.2"/>
    <row r="3517" ht="12.75" x14ac:dyDescent="0.2"/>
    <row r="3518" ht="12.75" x14ac:dyDescent="0.2"/>
    <row r="3519" ht="12.75" x14ac:dyDescent="0.2"/>
    <row r="3520" ht="12.75" x14ac:dyDescent="0.2"/>
    <row r="3521" ht="12.75" x14ac:dyDescent="0.2"/>
    <row r="3522" ht="12.75" x14ac:dyDescent="0.2"/>
    <row r="3523" ht="12.75" x14ac:dyDescent="0.2"/>
    <row r="3524" ht="12.75" x14ac:dyDescent="0.2"/>
    <row r="3525" ht="12.75" x14ac:dyDescent="0.2"/>
    <row r="3526" ht="12.75" x14ac:dyDescent="0.2"/>
    <row r="3527" ht="12.75" x14ac:dyDescent="0.2"/>
    <row r="3528" ht="12.75" x14ac:dyDescent="0.2"/>
    <row r="3529" ht="12.75" x14ac:dyDescent="0.2"/>
    <row r="3530" ht="12.75" x14ac:dyDescent="0.2"/>
    <row r="3531" ht="12.75" x14ac:dyDescent="0.2"/>
    <row r="3532" ht="12.75" x14ac:dyDescent="0.2"/>
    <row r="3533" ht="12.75" x14ac:dyDescent="0.2"/>
    <row r="3534" ht="12.75" x14ac:dyDescent="0.2"/>
    <row r="3535" ht="12.75" x14ac:dyDescent="0.2"/>
    <row r="3536" ht="12.75" x14ac:dyDescent="0.2"/>
    <row r="3537" ht="12.75" x14ac:dyDescent="0.2"/>
    <row r="3538" ht="12.75" x14ac:dyDescent="0.2"/>
    <row r="3539" ht="12.75" x14ac:dyDescent="0.2"/>
    <row r="3540" ht="12.75" x14ac:dyDescent="0.2"/>
    <row r="3541" ht="12.75" x14ac:dyDescent="0.2"/>
    <row r="3542" ht="12.75" x14ac:dyDescent="0.2"/>
    <row r="3543" ht="12.75" x14ac:dyDescent="0.2"/>
    <row r="3544" ht="12.75" x14ac:dyDescent="0.2"/>
    <row r="3545" ht="12.75" x14ac:dyDescent="0.2"/>
    <row r="3546" ht="12.75" x14ac:dyDescent="0.2"/>
    <row r="3547" ht="12.75" x14ac:dyDescent="0.2"/>
    <row r="3548" ht="12.75" x14ac:dyDescent="0.2"/>
    <row r="3549" ht="12.75" x14ac:dyDescent="0.2"/>
    <row r="3550" ht="12.75" x14ac:dyDescent="0.2"/>
    <row r="3551" ht="12.75" x14ac:dyDescent="0.2"/>
    <row r="3552" ht="12.75" x14ac:dyDescent="0.2"/>
    <row r="3553" ht="12.75" x14ac:dyDescent="0.2"/>
    <row r="3554" ht="12.75" x14ac:dyDescent="0.2"/>
    <row r="3555" ht="12.75" x14ac:dyDescent="0.2"/>
    <row r="3556" ht="12.75" x14ac:dyDescent="0.2"/>
    <row r="3557" ht="12.75" x14ac:dyDescent="0.2"/>
    <row r="3558" ht="12.75" x14ac:dyDescent="0.2"/>
    <row r="3559" ht="12.75" x14ac:dyDescent="0.2"/>
    <row r="3560" ht="12.75" x14ac:dyDescent="0.2"/>
    <row r="3561" ht="12.75" x14ac:dyDescent="0.2"/>
    <row r="3562" ht="12.75" x14ac:dyDescent="0.2"/>
    <row r="3563" ht="12.75" x14ac:dyDescent="0.2"/>
    <row r="3564" ht="12.75" x14ac:dyDescent="0.2"/>
    <row r="3565" ht="12.75" x14ac:dyDescent="0.2"/>
    <row r="3566" ht="12.75" x14ac:dyDescent="0.2"/>
    <row r="3567" ht="12.75" x14ac:dyDescent="0.2"/>
    <row r="3568" ht="12.75" x14ac:dyDescent="0.2"/>
    <row r="3569" ht="12.75" x14ac:dyDescent="0.2"/>
    <row r="3570" ht="12.75" x14ac:dyDescent="0.2"/>
    <row r="3571" ht="12.75" x14ac:dyDescent="0.2"/>
    <row r="3572" ht="12.75" x14ac:dyDescent="0.2"/>
    <row r="3573" ht="12.75" x14ac:dyDescent="0.2"/>
    <row r="3574" ht="12.75" x14ac:dyDescent="0.2"/>
    <row r="3575" ht="12.75" x14ac:dyDescent="0.2"/>
    <row r="3576" ht="12.75" x14ac:dyDescent="0.2"/>
    <row r="3577" ht="12.75" x14ac:dyDescent="0.2"/>
    <row r="3578" ht="12.75" x14ac:dyDescent="0.2"/>
    <row r="3579" ht="12.75" x14ac:dyDescent="0.2"/>
    <row r="3580" ht="12.75" x14ac:dyDescent="0.2"/>
    <row r="3581" ht="12.75" x14ac:dyDescent="0.2"/>
    <row r="3582" ht="12.75" x14ac:dyDescent="0.2"/>
    <row r="3583" ht="12.75" x14ac:dyDescent="0.2"/>
    <row r="3584" ht="12.75" x14ac:dyDescent="0.2"/>
    <row r="3585" ht="12.75" x14ac:dyDescent="0.2"/>
    <row r="3586" ht="12.75" x14ac:dyDescent="0.2"/>
    <row r="3587" ht="12.75" x14ac:dyDescent="0.2"/>
    <row r="3588" ht="12.75" x14ac:dyDescent="0.2"/>
    <row r="3589" ht="12.75" x14ac:dyDescent="0.2"/>
    <row r="3590" ht="12.75" x14ac:dyDescent="0.2"/>
    <row r="3591" ht="12.75" x14ac:dyDescent="0.2"/>
    <row r="3592" ht="12.75" x14ac:dyDescent="0.2"/>
    <row r="3593" ht="12.75" x14ac:dyDescent="0.2"/>
    <row r="3594" ht="12.75" x14ac:dyDescent="0.2"/>
    <row r="3595" ht="12.75" x14ac:dyDescent="0.2"/>
    <row r="3596" ht="12.75" x14ac:dyDescent="0.2"/>
    <row r="3597" ht="12.75" x14ac:dyDescent="0.2"/>
    <row r="3598" ht="12.75" x14ac:dyDescent="0.2"/>
    <row r="3599" ht="12.75" x14ac:dyDescent="0.2"/>
    <row r="3600" ht="12.75" x14ac:dyDescent="0.2"/>
    <row r="3601" ht="12.75" x14ac:dyDescent="0.2"/>
    <row r="3602" ht="12.75" x14ac:dyDescent="0.2"/>
    <row r="3603" ht="12.75" x14ac:dyDescent="0.2"/>
    <row r="3604" ht="12.75" x14ac:dyDescent="0.2"/>
    <row r="3605" ht="12.75" x14ac:dyDescent="0.2"/>
    <row r="3606" ht="12.75" x14ac:dyDescent="0.2"/>
    <row r="3607" ht="12.75" x14ac:dyDescent="0.2"/>
    <row r="3608" ht="12.75" x14ac:dyDescent="0.2"/>
    <row r="3609" ht="12.75" x14ac:dyDescent="0.2"/>
    <row r="3610" ht="12.75" x14ac:dyDescent="0.2"/>
    <row r="3611" ht="12.75" x14ac:dyDescent="0.2"/>
    <row r="3612" ht="12.75" x14ac:dyDescent="0.2"/>
    <row r="3613" ht="12.75" x14ac:dyDescent="0.2"/>
    <row r="3614" ht="12.75" x14ac:dyDescent="0.2"/>
    <row r="3615" ht="12.75" x14ac:dyDescent="0.2"/>
    <row r="3616" ht="12.75" x14ac:dyDescent="0.2"/>
    <row r="3617" ht="12.75" x14ac:dyDescent="0.2"/>
    <row r="3618" ht="12.75" x14ac:dyDescent="0.2"/>
    <row r="3619" ht="12.75" x14ac:dyDescent="0.2"/>
    <row r="3620" ht="12.75" x14ac:dyDescent="0.2"/>
    <row r="3621" ht="12.75" x14ac:dyDescent="0.2"/>
    <row r="3622" ht="12.75" x14ac:dyDescent="0.2"/>
    <row r="3623" ht="12.75" x14ac:dyDescent="0.2"/>
    <row r="3624" ht="12.75" x14ac:dyDescent="0.2"/>
    <row r="3625" ht="12.75" x14ac:dyDescent="0.2"/>
    <row r="3626" ht="12.75" x14ac:dyDescent="0.2"/>
    <row r="3627" ht="12.75" x14ac:dyDescent="0.2"/>
    <row r="3628" ht="12.75" x14ac:dyDescent="0.2"/>
    <row r="3629" ht="12.75" x14ac:dyDescent="0.2"/>
    <row r="3630" ht="12.75" x14ac:dyDescent="0.2"/>
    <row r="3631" ht="12.75" x14ac:dyDescent="0.2"/>
    <row r="3632" ht="12.75" x14ac:dyDescent="0.2"/>
    <row r="3633" ht="12.75" x14ac:dyDescent="0.2"/>
    <row r="3634" ht="12.75" x14ac:dyDescent="0.2"/>
    <row r="3635" ht="12.75" x14ac:dyDescent="0.2"/>
    <row r="3636" ht="12.75" x14ac:dyDescent="0.2"/>
    <row r="3637" ht="12.75" x14ac:dyDescent="0.2"/>
    <row r="3638" ht="12.75" x14ac:dyDescent="0.2"/>
    <row r="3639" ht="12.75" x14ac:dyDescent="0.2"/>
    <row r="3640" ht="12.75" x14ac:dyDescent="0.2"/>
    <row r="3641" ht="12.75" x14ac:dyDescent="0.2"/>
    <row r="3642" ht="12.75" x14ac:dyDescent="0.2"/>
    <row r="3643" ht="12.75" x14ac:dyDescent="0.2"/>
    <row r="3644" ht="12.75" x14ac:dyDescent="0.2"/>
    <row r="3645" ht="12.75" x14ac:dyDescent="0.2"/>
    <row r="3646" ht="12.75" x14ac:dyDescent="0.2"/>
    <row r="3647" ht="12.75" x14ac:dyDescent="0.2"/>
    <row r="3648" ht="12.75" x14ac:dyDescent="0.2"/>
    <row r="3649" ht="12.75" x14ac:dyDescent="0.2"/>
    <row r="3650" ht="12.75" x14ac:dyDescent="0.2"/>
    <row r="3651" ht="12.75" x14ac:dyDescent="0.2"/>
    <row r="3652" ht="12.75" x14ac:dyDescent="0.2"/>
    <row r="3653" ht="12.75" x14ac:dyDescent="0.2"/>
    <row r="3654" ht="12.75" x14ac:dyDescent="0.2"/>
    <row r="3655" ht="12.75" x14ac:dyDescent="0.2"/>
    <row r="3656" ht="12.75" x14ac:dyDescent="0.2"/>
    <row r="3657" ht="12.75" x14ac:dyDescent="0.2"/>
    <row r="3658" ht="12.75" x14ac:dyDescent="0.2"/>
    <row r="3659" ht="12.75" x14ac:dyDescent="0.2"/>
    <row r="3660" ht="12.75" x14ac:dyDescent="0.2"/>
    <row r="3661" ht="12.75" x14ac:dyDescent="0.2"/>
    <row r="3662" ht="12.75" x14ac:dyDescent="0.2"/>
    <row r="3663" ht="12.75" x14ac:dyDescent="0.2"/>
    <row r="3664" ht="12.75" x14ac:dyDescent="0.2"/>
    <row r="3665" ht="12.75" x14ac:dyDescent="0.2"/>
    <row r="3666" ht="12.75" x14ac:dyDescent="0.2"/>
    <row r="3667" ht="12.75" x14ac:dyDescent="0.2"/>
    <row r="3668" ht="12.75" x14ac:dyDescent="0.2"/>
    <row r="3669" ht="12.75" x14ac:dyDescent="0.2"/>
    <row r="3670" ht="12.75" x14ac:dyDescent="0.2"/>
    <row r="3671" ht="12.75" x14ac:dyDescent="0.2"/>
    <row r="3672" ht="12.75" x14ac:dyDescent="0.2"/>
    <row r="3673" ht="12.75" x14ac:dyDescent="0.2"/>
    <row r="3674" ht="12.75" x14ac:dyDescent="0.2"/>
    <row r="3675" ht="12.75" x14ac:dyDescent="0.2"/>
    <row r="3676" ht="12.75" x14ac:dyDescent="0.2"/>
    <row r="3677" ht="12.75" x14ac:dyDescent="0.2"/>
    <row r="3678" ht="12.75" x14ac:dyDescent="0.2"/>
    <row r="3679" ht="12.75" x14ac:dyDescent="0.2"/>
    <row r="3680" ht="12.75" x14ac:dyDescent="0.2"/>
    <row r="3681" ht="12.75" x14ac:dyDescent="0.2"/>
    <row r="3682" ht="12.75" x14ac:dyDescent="0.2"/>
    <row r="3683" ht="12.75" x14ac:dyDescent="0.2"/>
    <row r="3684" ht="12.75" x14ac:dyDescent="0.2"/>
    <row r="3685" ht="12.75" x14ac:dyDescent="0.2"/>
    <row r="3686" ht="12.75" x14ac:dyDescent="0.2"/>
    <row r="3687" ht="12.75" x14ac:dyDescent="0.2"/>
    <row r="3688" ht="12.75" x14ac:dyDescent="0.2"/>
    <row r="3689" ht="12.75" x14ac:dyDescent="0.2"/>
    <row r="3690" ht="12.75" x14ac:dyDescent="0.2"/>
    <row r="3691" ht="12.75" x14ac:dyDescent="0.2"/>
    <row r="3692" ht="12.75" x14ac:dyDescent="0.2"/>
    <row r="3693" ht="12.75" x14ac:dyDescent="0.2"/>
    <row r="3694" ht="12.75" x14ac:dyDescent="0.2"/>
    <row r="3695" ht="12.75" x14ac:dyDescent="0.2"/>
    <row r="3696" ht="12.75" x14ac:dyDescent="0.2"/>
    <row r="3697" ht="12.75" x14ac:dyDescent="0.2"/>
    <row r="3698" ht="12.75" x14ac:dyDescent="0.2"/>
    <row r="3699" ht="12.75" x14ac:dyDescent="0.2"/>
    <row r="3700" ht="12.75" x14ac:dyDescent="0.2"/>
    <row r="3701" ht="12.75" x14ac:dyDescent="0.2"/>
    <row r="3702" ht="12.75" x14ac:dyDescent="0.2"/>
    <row r="3703" ht="12.75" x14ac:dyDescent="0.2"/>
    <row r="3704" ht="12.75" x14ac:dyDescent="0.2"/>
    <row r="3705" ht="12.75" x14ac:dyDescent="0.2"/>
    <row r="3706" ht="12.75" x14ac:dyDescent="0.2"/>
    <row r="3707" ht="12.75" x14ac:dyDescent="0.2"/>
    <row r="3708" ht="12.75" x14ac:dyDescent="0.2"/>
    <row r="3709" ht="12.75" x14ac:dyDescent="0.2"/>
    <row r="3710" ht="12.75" x14ac:dyDescent="0.2"/>
    <row r="3711" ht="12.75" x14ac:dyDescent="0.2"/>
    <row r="3712" ht="12.75" x14ac:dyDescent="0.2"/>
    <row r="3713" ht="12.75" x14ac:dyDescent="0.2"/>
    <row r="3714" ht="12.75" x14ac:dyDescent="0.2"/>
    <row r="3715" ht="12.75" x14ac:dyDescent="0.2"/>
    <row r="3716" ht="12.75" x14ac:dyDescent="0.2"/>
    <row r="3717" ht="12.75" x14ac:dyDescent="0.2"/>
    <row r="3718" ht="12.75" x14ac:dyDescent="0.2"/>
    <row r="3719" ht="12.75" x14ac:dyDescent="0.2"/>
    <row r="3720" ht="12.75" x14ac:dyDescent="0.2"/>
    <row r="3721" ht="12.75" x14ac:dyDescent="0.2"/>
    <row r="3722" ht="12.75" x14ac:dyDescent="0.2"/>
    <row r="3723" ht="12.75" x14ac:dyDescent="0.2"/>
    <row r="3724" ht="12.75" x14ac:dyDescent="0.2"/>
    <row r="3725" ht="12.75" x14ac:dyDescent="0.2"/>
    <row r="3726" ht="12.75" x14ac:dyDescent="0.2"/>
    <row r="3727" ht="12.75" x14ac:dyDescent="0.2"/>
    <row r="3728" ht="12.75" x14ac:dyDescent="0.2"/>
    <row r="3729" ht="12.75" x14ac:dyDescent="0.2"/>
    <row r="3730" ht="12.75" x14ac:dyDescent="0.2"/>
    <row r="3731" ht="12.75" x14ac:dyDescent="0.2"/>
    <row r="3732" ht="12.75" x14ac:dyDescent="0.2"/>
    <row r="3733" ht="12.75" x14ac:dyDescent="0.2"/>
    <row r="3734" ht="12.75" x14ac:dyDescent="0.2"/>
    <row r="3735" ht="12.75" x14ac:dyDescent="0.2"/>
    <row r="3736" ht="12.75" x14ac:dyDescent="0.2"/>
    <row r="3737" ht="12.75" x14ac:dyDescent="0.2"/>
    <row r="3738" ht="12.75" x14ac:dyDescent="0.2"/>
    <row r="3739" ht="12.75" x14ac:dyDescent="0.2"/>
    <row r="3740" ht="12.75" x14ac:dyDescent="0.2"/>
    <row r="3741" ht="12.75" x14ac:dyDescent="0.2"/>
    <row r="3742" ht="12.75" x14ac:dyDescent="0.2"/>
    <row r="3743" ht="12.75" x14ac:dyDescent="0.2"/>
    <row r="3744" ht="12.75" x14ac:dyDescent="0.2"/>
    <row r="3745" ht="12.75" x14ac:dyDescent="0.2"/>
    <row r="3746" ht="12.75" x14ac:dyDescent="0.2"/>
    <row r="3747" ht="12.75" x14ac:dyDescent="0.2"/>
    <row r="3748" ht="12.75" x14ac:dyDescent="0.2"/>
    <row r="3749" ht="12.75" x14ac:dyDescent="0.2"/>
    <row r="3750" ht="12.75" x14ac:dyDescent="0.2"/>
    <row r="3751" ht="12.75" x14ac:dyDescent="0.2"/>
    <row r="3752" ht="12.75" x14ac:dyDescent="0.2"/>
    <row r="3753" ht="12.75" x14ac:dyDescent="0.2"/>
    <row r="3754" ht="12.75" x14ac:dyDescent="0.2"/>
    <row r="3755" ht="12.75" x14ac:dyDescent="0.2"/>
    <row r="3756" ht="12.75" x14ac:dyDescent="0.2"/>
    <row r="3757" ht="12.75" x14ac:dyDescent="0.2"/>
    <row r="3758" ht="12.75" x14ac:dyDescent="0.2"/>
    <row r="3759" ht="12.75" x14ac:dyDescent="0.2"/>
    <row r="3760" ht="12.75" x14ac:dyDescent="0.2"/>
    <row r="3761" ht="12.75" x14ac:dyDescent="0.2"/>
    <row r="3762" ht="12.75" x14ac:dyDescent="0.2"/>
    <row r="3763" ht="12.75" x14ac:dyDescent="0.2"/>
    <row r="3764" ht="12.75" x14ac:dyDescent="0.2"/>
    <row r="3765" ht="12.75" x14ac:dyDescent="0.2"/>
    <row r="3766" ht="12.75" x14ac:dyDescent="0.2"/>
    <row r="3767" ht="12.75" x14ac:dyDescent="0.2"/>
    <row r="3768" ht="12.75" x14ac:dyDescent="0.2"/>
    <row r="3769" ht="12.75" x14ac:dyDescent="0.2"/>
    <row r="3770" ht="12.75" x14ac:dyDescent="0.2"/>
    <row r="3771" ht="12.75" x14ac:dyDescent="0.2"/>
    <row r="3772" ht="12.75" x14ac:dyDescent="0.2"/>
    <row r="3773" ht="12.75" x14ac:dyDescent="0.2"/>
    <row r="3774" ht="12.75" x14ac:dyDescent="0.2"/>
    <row r="3775" ht="12.75" x14ac:dyDescent="0.2"/>
    <row r="3776" ht="12.75" x14ac:dyDescent="0.2"/>
    <row r="3777" ht="12.75" x14ac:dyDescent="0.2"/>
    <row r="3778" ht="12.75" x14ac:dyDescent="0.2"/>
    <row r="3779" ht="12.75" x14ac:dyDescent="0.2"/>
    <row r="3780" ht="12.75" x14ac:dyDescent="0.2"/>
    <row r="3781" ht="12.75" x14ac:dyDescent="0.2"/>
    <row r="3782" ht="12.75" x14ac:dyDescent="0.2"/>
    <row r="3783" ht="12.75" x14ac:dyDescent="0.2"/>
    <row r="3784" ht="12.75" x14ac:dyDescent="0.2"/>
    <row r="3785" ht="12.75" x14ac:dyDescent="0.2"/>
    <row r="3786" ht="12.75" x14ac:dyDescent="0.2"/>
    <row r="3787" ht="12.75" x14ac:dyDescent="0.2"/>
    <row r="3788" ht="12.75" x14ac:dyDescent="0.2"/>
    <row r="3789" ht="12.75" x14ac:dyDescent="0.2"/>
    <row r="3790" ht="12.75" x14ac:dyDescent="0.2"/>
    <row r="3791" ht="12.75" x14ac:dyDescent="0.2"/>
    <row r="3792" ht="12.75" x14ac:dyDescent="0.2"/>
    <row r="3793" ht="12.75" x14ac:dyDescent="0.2"/>
    <row r="3794" ht="12.75" x14ac:dyDescent="0.2"/>
    <row r="3795" ht="12.75" x14ac:dyDescent="0.2"/>
    <row r="3796" ht="12.75" x14ac:dyDescent="0.2"/>
    <row r="3797" ht="12.75" x14ac:dyDescent="0.2"/>
    <row r="3798" ht="12.75" x14ac:dyDescent="0.2"/>
    <row r="3799" ht="12.75" x14ac:dyDescent="0.2"/>
    <row r="3800" ht="12.75" x14ac:dyDescent="0.2"/>
    <row r="3801" ht="12.75" x14ac:dyDescent="0.2"/>
    <row r="3802" ht="12.75" x14ac:dyDescent="0.2"/>
    <row r="3803" ht="12.75" x14ac:dyDescent="0.2"/>
    <row r="3804" ht="12.75" x14ac:dyDescent="0.2"/>
    <row r="3805" ht="12.75" x14ac:dyDescent="0.2"/>
    <row r="3806" ht="12.75" x14ac:dyDescent="0.2"/>
    <row r="3807" ht="12.75" x14ac:dyDescent="0.2"/>
    <row r="3808" ht="12.75" x14ac:dyDescent="0.2"/>
    <row r="3809" ht="12.75" x14ac:dyDescent="0.2"/>
    <row r="3810" ht="12.75" x14ac:dyDescent="0.2"/>
    <row r="3811" ht="12.75" x14ac:dyDescent="0.2"/>
    <row r="3812" ht="12.75" x14ac:dyDescent="0.2"/>
    <row r="3813" ht="12.75" x14ac:dyDescent="0.2"/>
    <row r="3814" ht="12.75" x14ac:dyDescent="0.2"/>
    <row r="3815" ht="12.75" x14ac:dyDescent="0.2"/>
    <row r="3816" ht="12.75" x14ac:dyDescent="0.2"/>
    <row r="3817" ht="12.75" x14ac:dyDescent="0.2"/>
    <row r="3818" ht="12.75" x14ac:dyDescent="0.2"/>
    <row r="3819" ht="12.75" x14ac:dyDescent="0.2"/>
    <row r="3820" ht="12.75" x14ac:dyDescent="0.2"/>
    <row r="3821" ht="12.75" x14ac:dyDescent="0.2"/>
    <row r="3822" ht="12.75" x14ac:dyDescent="0.2"/>
    <row r="3823" ht="12.75" x14ac:dyDescent="0.2"/>
    <row r="3824" ht="12.75" x14ac:dyDescent="0.2"/>
    <row r="3825" ht="12.75" x14ac:dyDescent="0.2"/>
    <row r="3826" ht="12.75" x14ac:dyDescent="0.2"/>
    <row r="3827" ht="12.75" x14ac:dyDescent="0.2"/>
    <row r="3828" ht="12.75" x14ac:dyDescent="0.2"/>
    <row r="3829" ht="12.75" x14ac:dyDescent="0.2"/>
    <row r="3830" ht="12.75" x14ac:dyDescent="0.2"/>
    <row r="3831" ht="12.75" x14ac:dyDescent="0.2"/>
    <row r="3832" ht="12.75" x14ac:dyDescent="0.2"/>
    <row r="3833" ht="12.75" x14ac:dyDescent="0.2"/>
    <row r="3834" ht="12.75" x14ac:dyDescent="0.2"/>
    <row r="3835" ht="12.75" x14ac:dyDescent="0.2"/>
    <row r="3836" ht="12.75" x14ac:dyDescent="0.2"/>
    <row r="3837" ht="12.75" x14ac:dyDescent="0.2"/>
    <row r="3838" ht="12.75" x14ac:dyDescent="0.2"/>
    <row r="3839" ht="12.75" x14ac:dyDescent="0.2"/>
    <row r="3840" ht="12.75" x14ac:dyDescent="0.2"/>
    <row r="3841" ht="12.75" x14ac:dyDescent="0.2"/>
    <row r="3842" ht="12.75" x14ac:dyDescent="0.2"/>
    <row r="3843" ht="12.75" x14ac:dyDescent="0.2"/>
    <row r="3844" ht="12.75" x14ac:dyDescent="0.2"/>
    <row r="3845" ht="12.75" x14ac:dyDescent="0.2"/>
    <row r="3846" ht="12.75" x14ac:dyDescent="0.2"/>
    <row r="3847" ht="12.75" x14ac:dyDescent="0.2"/>
    <row r="3848" ht="12.75" x14ac:dyDescent="0.2"/>
    <row r="3849" ht="12.75" x14ac:dyDescent="0.2"/>
    <row r="3850" ht="12.75" x14ac:dyDescent="0.2"/>
    <row r="3851" ht="12.75" x14ac:dyDescent="0.2"/>
    <row r="3852" ht="12.75" x14ac:dyDescent="0.2"/>
    <row r="3853" ht="12.75" x14ac:dyDescent="0.2"/>
    <row r="3854" ht="12.75" x14ac:dyDescent="0.2"/>
    <row r="3855" ht="12.75" x14ac:dyDescent="0.2"/>
    <row r="3856" ht="12.75" x14ac:dyDescent="0.2"/>
    <row r="3857" ht="12.75" x14ac:dyDescent="0.2"/>
    <row r="3858" ht="12.75" x14ac:dyDescent="0.2"/>
    <row r="3859" ht="12.75" x14ac:dyDescent="0.2"/>
    <row r="3860" ht="12.75" x14ac:dyDescent="0.2"/>
    <row r="3861" ht="12.75" x14ac:dyDescent="0.2"/>
    <row r="3862" ht="12.75" x14ac:dyDescent="0.2"/>
    <row r="3863" ht="12.75" x14ac:dyDescent="0.2"/>
    <row r="3864" ht="12.75" x14ac:dyDescent="0.2"/>
    <row r="3865" ht="12.75" x14ac:dyDescent="0.2"/>
    <row r="3866" ht="12.75" x14ac:dyDescent="0.2"/>
    <row r="3867" ht="12.75" x14ac:dyDescent="0.2"/>
    <row r="3868" ht="12.75" x14ac:dyDescent="0.2"/>
    <row r="3869" ht="12.75" x14ac:dyDescent="0.2"/>
    <row r="3870" ht="12.75" x14ac:dyDescent="0.2"/>
    <row r="3871" ht="12.75" x14ac:dyDescent="0.2"/>
    <row r="3872" ht="12.75" x14ac:dyDescent="0.2"/>
    <row r="3873" ht="12.75" x14ac:dyDescent="0.2"/>
    <row r="3874" ht="12.75" x14ac:dyDescent="0.2"/>
    <row r="3875" ht="12.75" x14ac:dyDescent="0.2"/>
    <row r="3876" ht="12.75" x14ac:dyDescent="0.2"/>
    <row r="3877" ht="12.75" x14ac:dyDescent="0.2"/>
    <row r="3878" ht="12.75" x14ac:dyDescent="0.2"/>
    <row r="3879" ht="12.75" x14ac:dyDescent="0.2"/>
    <row r="3880" ht="12.75" x14ac:dyDescent="0.2"/>
    <row r="3881" ht="12.75" x14ac:dyDescent="0.2"/>
    <row r="3882" ht="12.75" x14ac:dyDescent="0.2"/>
    <row r="3883" ht="12.75" x14ac:dyDescent="0.2"/>
    <row r="3884" ht="12.75" x14ac:dyDescent="0.2"/>
    <row r="3885" ht="12.75" x14ac:dyDescent="0.2"/>
    <row r="3886" ht="12.75" x14ac:dyDescent="0.2"/>
    <row r="3887" ht="12.75" x14ac:dyDescent="0.2"/>
    <row r="3888" ht="12.75" x14ac:dyDescent="0.2"/>
    <row r="3889" ht="12.75" x14ac:dyDescent="0.2"/>
    <row r="3890" ht="12.75" x14ac:dyDescent="0.2"/>
    <row r="3891" ht="12.75" x14ac:dyDescent="0.2"/>
    <row r="3892" ht="12.75" x14ac:dyDescent="0.2"/>
    <row r="3893" ht="12.75" x14ac:dyDescent="0.2"/>
    <row r="3894" ht="12.75" x14ac:dyDescent="0.2"/>
    <row r="3895" ht="12.75" x14ac:dyDescent="0.2"/>
    <row r="3896" ht="12.75" x14ac:dyDescent="0.2"/>
    <row r="3897" ht="12.75" x14ac:dyDescent="0.2"/>
    <row r="3898" ht="12.75" x14ac:dyDescent="0.2"/>
    <row r="3899" ht="12.75" x14ac:dyDescent="0.2"/>
    <row r="3900" ht="12.75" x14ac:dyDescent="0.2"/>
    <row r="3901" ht="12.75" x14ac:dyDescent="0.2"/>
    <row r="3902" ht="12.75" x14ac:dyDescent="0.2"/>
    <row r="3903" ht="12.75" x14ac:dyDescent="0.2"/>
    <row r="3904" ht="12.75" x14ac:dyDescent="0.2"/>
    <row r="3905" ht="12.75" x14ac:dyDescent="0.2"/>
    <row r="3906" ht="12.75" x14ac:dyDescent="0.2"/>
    <row r="3907" ht="12.75" x14ac:dyDescent="0.2"/>
    <row r="3908" ht="12.75" x14ac:dyDescent="0.2"/>
    <row r="3909" ht="12.75" x14ac:dyDescent="0.2"/>
    <row r="3910" ht="12.75" x14ac:dyDescent="0.2"/>
    <row r="3911" ht="12.75" x14ac:dyDescent="0.2"/>
    <row r="3912" ht="12.75" x14ac:dyDescent="0.2"/>
    <row r="3913" ht="12.75" x14ac:dyDescent="0.2"/>
    <row r="3914" ht="12.75" x14ac:dyDescent="0.2"/>
    <row r="3915" ht="12.75" x14ac:dyDescent="0.2"/>
    <row r="3916" ht="12.75" x14ac:dyDescent="0.2"/>
    <row r="3917" ht="12.75" x14ac:dyDescent="0.2"/>
    <row r="3918" ht="12.75" x14ac:dyDescent="0.2"/>
    <row r="3919" ht="12.75" x14ac:dyDescent="0.2"/>
    <row r="3920" ht="12.75" x14ac:dyDescent="0.2"/>
    <row r="3921" ht="12.75" x14ac:dyDescent="0.2"/>
    <row r="3922" ht="12.75" x14ac:dyDescent="0.2"/>
    <row r="3923" ht="12.75" x14ac:dyDescent="0.2"/>
    <row r="3924" ht="12.75" x14ac:dyDescent="0.2"/>
    <row r="3925" ht="12.75" x14ac:dyDescent="0.2"/>
    <row r="3926" ht="12.75" x14ac:dyDescent="0.2"/>
    <row r="3927" ht="12.75" x14ac:dyDescent="0.2"/>
    <row r="3928" ht="12.75" x14ac:dyDescent="0.2"/>
    <row r="3929" ht="12.75" x14ac:dyDescent="0.2"/>
    <row r="3930" ht="12.75" x14ac:dyDescent="0.2"/>
    <row r="3931" ht="12.75" x14ac:dyDescent="0.2"/>
    <row r="3932" ht="12.75" x14ac:dyDescent="0.2"/>
    <row r="3933" ht="12.75" x14ac:dyDescent="0.2"/>
    <row r="3934" ht="12.75" x14ac:dyDescent="0.2"/>
    <row r="3935" ht="12.75" x14ac:dyDescent="0.2"/>
    <row r="3936" ht="12.75" x14ac:dyDescent="0.2"/>
    <row r="3937" ht="12.75" x14ac:dyDescent="0.2"/>
    <row r="3938" ht="12.75" x14ac:dyDescent="0.2"/>
    <row r="3939" ht="12.75" x14ac:dyDescent="0.2"/>
    <row r="3940" ht="12.75" x14ac:dyDescent="0.2"/>
    <row r="3941" ht="12.75" x14ac:dyDescent="0.2"/>
    <row r="3942" ht="12.75" x14ac:dyDescent="0.2"/>
    <row r="3943" ht="12.75" x14ac:dyDescent="0.2"/>
    <row r="3944" ht="12.75" x14ac:dyDescent="0.2"/>
    <row r="3945" ht="12.75" x14ac:dyDescent="0.2"/>
    <row r="3946" ht="12.75" x14ac:dyDescent="0.2"/>
    <row r="3947" ht="12.75" x14ac:dyDescent="0.2"/>
    <row r="3948" ht="12.75" x14ac:dyDescent="0.2"/>
    <row r="3949" ht="12.75" x14ac:dyDescent="0.2"/>
    <row r="3950" ht="12.75" x14ac:dyDescent="0.2"/>
    <row r="3951" ht="12.75" x14ac:dyDescent="0.2"/>
    <row r="3952" ht="12.75" x14ac:dyDescent="0.2"/>
    <row r="3953" ht="12.75" x14ac:dyDescent="0.2"/>
    <row r="3954" ht="12.75" x14ac:dyDescent="0.2"/>
    <row r="3955" ht="12.75" x14ac:dyDescent="0.2"/>
    <row r="3956" ht="12.75" x14ac:dyDescent="0.2"/>
    <row r="3957" ht="12.75" x14ac:dyDescent="0.2"/>
    <row r="3958" ht="12.75" x14ac:dyDescent="0.2"/>
    <row r="3959" ht="12.75" x14ac:dyDescent="0.2"/>
    <row r="3960" ht="12.75" x14ac:dyDescent="0.2"/>
    <row r="3961" ht="12.75" x14ac:dyDescent="0.2"/>
    <row r="3962" ht="12.75" x14ac:dyDescent="0.2"/>
    <row r="3963" ht="12.75" x14ac:dyDescent="0.2"/>
    <row r="3964" ht="12.75" x14ac:dyDescent="0.2"/>
    <row r="3965" ht="12.75" x14ac:dyDescent="0.2"/>
    <row r="3966" ht="12.75" x14ac:dyDescent="0.2"/>
    <row r="3967" ht="12.75" x14ac:dyDescent="0.2"/>
    <row r="3968" ht="12.75" x14ac:dyDescent="0.2"/>
    <row r="3969" ht="12.75" x14ac:dyDescent="0.2"/>
    <row r="3970" ht="12.75" x14ac:dyDescent="0.2"/>
    <row r="3971" ht="12.75" x14ac:dyDescent="0.2"/>
    <row r="3972" ht="12.75" x14ac:dyDescent="0.2"/>
    <row r="3973" ht="12.75" x14ac:dyDescent="0.2"/>
    <row r="3974" ht="12.75" x14ac:dyDescent="0.2"/>
    <row r="3975" ht="12.75" x14ac:dyDescent="0.2"/>
    <row r="3976" ht="12.75" x14ac:dyDescent="0.2"/>
    <row r="3977" ht="12.75" x14ac:dyDescent="0.2"/>
    <row r="3978" ht="12.75" x14ac:dyDescent="0.2"/>
    <row r="3979" ht="12.75" x14ac:dyDescent="0.2"/>
    <row r="3980" ht="12.75" x14ac:dyDescent="0.2"/>
    <row r="3981" ht="12.75" x14ac:dyDescent="0.2"/>
    <row r="3982" ht="12.75" x14ac:dyDescent="0.2"/>
    <row r="3983" ht="12.75" x14ac:dyDescent="0.2"/>
    <row r="3984" ht="12.75" x14ac:dyDescent="0.2"/>
    <row r="3985" ht="12.75" x14ac:dyDescent="0.2"/>
    <row r="3986" ht="12.75" x14ac:dyDescent="0.2"/>
    <row r="3987" ht="12.75" x14ac:dyDescent="0.2"/>
    <row r="3988" ht="12.75" x14ac:dyDescent="0.2"/>
    <row r="3989" ht="12.75" x14ac:dyDescent="0.2"/>
    <row r="3990" ht="12.75" x14ac:dyDescent="0.2"/>
    <row r="3991" ht="12.75" x14ac:dyDescent="0.2"/>
    <row r="3992" ht="12.75" x14ac:dyDescent="0.2"/>
    <row r="3993" ht="12.75" x14ac:dyDescent="0.2"/>
    <row r="3994" ht="12.75" x14ac:dyDescent="0.2"/>
    <row r="3995" ht="12.75" x14ac:dyDescent="0.2"/>
    <row r="3996" ht="12.75" x14ac:dyDescent="0.2"/>
    <row r="3997" ht="12.75" x14ac:dyDescent="0.2"/>
    <row r="3998" ht="12.75" x14ac:dyDescent="0.2"/>
    <row r="3999" ht="12.75" x14ac:dyDescent="0.2"/>
    <row r="4000" ht="12.75" x14ac:dyDescent="0.2"/>
    <row r="4001" ht="12.75" x14ac:dyDescent="0.2"/>
    <row r="4002" ht="12.75" x14ac:dyDescent="0.2"/>
    <row r="4003" ht="12.75" x14ac:dyDescent="0.2"/>
    <row r="4004" ht="12.75" x14ac:dyDescent="0.2"/>
    <row r="4005" ht="12.75" x14ac:dyDescent="0.2"/>
    <row r="4006" ht="12.75" x14ac:dyDescent="0.2"/>
    <row r="4007" ht="12.75" x14ac:dyDescent="0.2"/>
    <row r="4008" ht="12.75" x14ac:dyDescent="0.2"/>
    <row r="4009" ht="12.75" x14ac:dyDescent="0.2"/>
    <row r="4010" ht="12.75" x14ac:dyDescent="0.2"/>
    <row r="4011" ht="12.75" x14ac:dyDescent="0.2"/>
    <row r="4012" ht="12.75" x14ac:dyDescent="0.2"/>
    <row r="4013" ht="12.75" x14ac:dyDescent="0.2"/>
    <row r="4014" ht="12.75" x14ac:dyDescent="0.2"/>
    <row r="4015" ht="12.75" x14ac:dyDescent="0.2"/>
    <row r="4016" ht="12.75" x14ac:dyDescent="0.2"/>
    <row r="4017" ht="12.75" x14ac:dyDescent="0.2"/>
    <row r="4018" ht="12.75" x14ac:dyDescent="0.2"/>
    <row r="4019" ht="12.75" x14ac:dyDescent="0.2"/>
    <row r="4020" ht="12.75" x14ac:dyDescent="0.2"/>
    <row r="4021" ht="12.75" x14ac:dyDescent="0.2"/>
    <row r="4022" ht="12.75" x14ac:dyDescent="0.2"/>
    <row r="4023" ht="12.75" x14ac:dyDescent="0.2"/>
    <row r="4024" ht="12.75" x14ac:dyDescent="0.2"/>
    <row r="4025" ht="12.75" x14ac:dyDescent="0.2"/>
    <row r="4026" ht="12.75" x14ac:dyDescent="0.2"/>
    <row r="4027" ht="12.75" x14ac:dyDescent="0.2"/>
    <row r="4028" ht="12.75" x14ac:dyDescent="0.2"/>
    <row r="4029" ht="12.75" x14ac:dyDescent="0.2"/>
    <row r="4030" ht="12.75" x14ac:dyDescent="0.2"/>
    <row r="4031" ht="12.75" x14ac:dyDescent="0.2"/>
    <row r="4032" ht="12.75" x14ac:dyDescent="0.2"/>
    <row r="4033" ht="12.75" x14ac:dyDescent="0.2"/>
    <row r="4034" ht="12.75" x14ac:dyDescent="0.2"/>
    <row r="4035" ht="12.75" x14ac:dyDescent="0.2"/>
    <row r="4036" ht="12.75" x14ac:dyDescent="0.2"/>
    <row r="4037" ht="12.75" x14ac:dyDescent="0.2"/>
    <row r="4038" ht="12.75" x14ac:dyDescent="0.2"/>
    <row r="4039" ht="12.75" x14ac:dyDescent="0.2"/>
    <row r="4040" ht="12.75" x14ac:dyDescent="0.2"/>
    <row r="4041" ht="12.75" x14ac:dyDescent="0.2"/>
    <row r="4042" ht="12.75" x14ac:dyDescent="0.2"/>
    <row r="4043" ht="12.75" x14ac:dyDescent="0.2"/>
    <row r="4044" ht="12.75" x14ac:dyDescent="0.2"/>
    <row r="4045" ht="12.75" x14ac:dyDescent="0.2"/>
    <row r="4046" ht="12.75" x14ac:dyDescent="0.2"/>
    <row r="4047" ht="12.75" x14ac:dyDescent="0.2"/>
    <row r="4048" ht="12.75" x14ac:dyDescent="0.2"/>
    <row r="4049" ht="12.75" x14ac:dyDescent="0.2"/>
    <row r="4050" ht="12.75" x14ac:dyDescent="0.2"/>
    <row r="4051" ht="12.75" x14ac:dyDescent="0.2"/>
    <row r="4052" ht="12.75" x14ac:dyDescent="0.2"/>
    <row r="4053" ht="12.75" x14ac:dyDescent="0.2"/>
    <row r="4054" ht="12.75" x14ac:dyDescent="0.2"/>
    <row r="4055" ht="12.75" x14ac:dyDescent="0.2"/>
    <row r="4056" ht="12.75" x14ac:dyDescent="0.2"/>
    <row r="4057" ht="12.75" x14ac:dyDescent="0.2"/>
    <row r="4058" ht="12.75" x14ac:dyDescent="0.2"/>
    <row r="4059" ht="12.75" x14ac:dyDescent="0.2"/>
    <row r="4060" ht="12.75" x14ac:dyDescent="0.2"/>
    <row r="4061" ht="12.75" x14ac:dyDescent="0.2"/>
    <row r="4062" ht="12.75" x14ac:dyDescent="0.2"/>
    <row r="4063" ht="12.75" x14ac:dyDescent="0.2"/>
    <row r="4064" ht="12.75" x14ac:dyDescent="0.2"/>
    <row r="4065" ht="12.75" x14ac:dyDescent="0.2"/>
    <row r="4066" ht="12.75" x14ac:dyDescent="0.2"/>
    <row r="4067" ht="12.75" x14ac:dyDescent="0.2"/>
    <row r="4068" ht="12.75" x14ac:dyDescent="0.2"/>
    <row r="4069" ht="12.75" x14ac:dyDescent="0.2"/>
    <row r="4070" ht="12.75" x14ac:dyDescent="0.2"/>
    <row r="4071" ht="12.75" x14ac:dyDescent="0.2"/>
    <row r="4072" ht="12.75" x14ac:dyDescent="0.2"/>
    <row r="4073" ht="12.75" x14ac:dyDescent="0.2"/>
    <row r="4074" ht="12.75" x14ac:dyDescent="0.2"/>
    <row r="4075" ht="12.75" x14ac:dyDescent="0.2"/>
    <row r="4076" ht="12.75" x14ac:dyDescent="0.2"/>
    <row r="4077" ht="12.75" x14ac:dyDescent="0.2"/>
    <row r="4078" ht="12.75" x14ac:dyDescent="0.2"/>
    <row r="4079" ht="12.75" x14ac:dyDescent="0.2"/>
    <row r="4080" ht="12.75" x14ac:dyDescent="0.2"/>
    <row r="4081" ht="12.75" x14ac:dyDescent="0.2"/>
    <row r="4082" ht="12.75" x14ac:dyDescent="0.2"/>
    <row r="4083" ht="12.75" x14ac:dyDescent="0.2"/>
    <row r="4084" ht="12.75" x14ac:dyDescent="0.2"/>
    <row r="4085" ht="12.75" x14ac:dyDescent="0.2"/>
    <row r="4086" ht="12.75" x14ac:dyDescent="0.2"/>
    <row r="4087" ht="12.75" x14ac:dyDescent="0.2"/>
    <row r="4088" ht="12.75" x14ac:dyDescent="0.2"/>
    <row r="4089" ht="12.75" x14ac:dyDescent="0.2"/>
    <row r="4090" ht="12.75" x14ac:dyDescent="0.2"/>
    <row r="4091" ht="12.75" x14ac:dyDescent="0.2"/>
    <row r="4092" ht="12.75" x14ac:dyDescent="0.2"/>
    <row r="4093" ht="12.75" x14ac:dyDescent="0.2"/>
    <row r="4094" ht="12.75" x14ac:dyDescent="0.2"/>
    <row r="4095" ht="12.75" x14ac:dyDescent="0.2"/>
    <row r="4096" ht="12.75" x14ac:dyDescent="0.2"/>
    <row r="4097" ht="12.75" x14ac:dyDescent="0.2"/>
    <row r="4098" ht="12.75" x14ac:dyDescent="0.2"/>
    <row r="4099" ht="12.75" x14ac:dyDescent="0.2"/>
    <row r="4100" ht="12.75" x14ac:dyDescent="0.2"/>
    <row r="4101" ht="12.75" x14ac:dyDescent="0.2"/>
    <row r="4102" ht="12.75" x14ac:dyDescent="0.2"/>
    <row r="4103" ht="12.75" x14ac:dyDescent="0.2"/>
    <row r="4104" ht="12.75" x14ac:dyDescent="0.2"/>
    <row r="4105" ht="12.75" x14ac:dyDescent="0.2"/>
    <row r="4106" ht="12.75" x14ac:dyDescent="0.2"/>
    <row r="4107" ht="12.75" x14ac:dyDescent="0.2"/>
    <row r="4108" ht="12.75" x14ac:dyDescent="0.2"/>
    <row r="4109" ht="12.75" x14ac:dyDescent="0.2"/>
    <row r="4110" ht="12.75" x14ac:dyDescent="0.2"/>
    <row r="4111" ht="12.75" x14ac:dyDescent="0.2"/>
    <row r="4112" ht="12.75" x14ac:dyDescent="0.2"/>
    <row r="4113" ht="12.75" x14ac:dyDescent="0.2"/>
    <row r="4114" ht="12.75" x14ac:dyDescent="0.2"/>
    <row r="4115" ht="12.75" x14ac:dyDescent="0.2"/>
    <row r="4116" ht="12.75" x14ac:dyDescent="0.2"/>
    <row r="4117" ht="12.75" x14ac:dyDescent="0.2"/>
    <row r="4118" ht="12.75" x14ac:dyDescent="0.2"/>
    <row r="4119" ht="12.75" x14ac:dyDescent="0.2"/>
    <row r="4120" ht="12.75" x14ac:dyDescent="0.2"/>
    <row r="4121" ht="12.75" x14ac:dyDescent="0.2"/>
    <row r="4122" ht="12.75" x14ac:dyDescent="0.2"/>
    <row r="4123" ht="12.75" x14ac:dyDescent="0.2"/>
    <row r="4124" ht="12.75" x14ac:dyDescent="0.2"/>
    <row r="4125" ht="12.75" x14ac:dyDescent="0.2"/>
    <row r="4126" ht="12.75" x14ac:dyDescent="0.2"/>
    <row r="4127" ht="12.75" x14ac:dyDescent="0.2"/>
    <row r="4128" ht="12.75" x14ac:dyDescent="0.2"/>
    <row r="4129" ht="12.75" x14ac:dyDescent="0.2"/>
    <row r="4130" ht="12.75" x14ac:dyDescent="0.2"/>
    <row r="4131" ht="12.75" x14ac:dyDescent="0.2"/>
    <row r="4132" ht="12.75" x14ac:dyDescent="0.2"/>
    <row r="4133" ht="12.75" x14ac:dyDescent="0.2"/>
    <row r="4134" ht="12.75" x14ac:dyDescent="0.2"/>
    <row r="4135" ht="12.75" x14ac:dyDescent="0.2"/>
    <row r="4136" ht="12.75" x14ac:dyDescent="0.2"/>
    <row r="4137" ht="12.75" x14ac:dyDescent="0.2"/>
    <row r="4138" ht="12.75" x14ac:dyDescent="0.2"/>
    <row r="4139" ht="12.75" x14ac:dyDescent="0.2"/>
    <row r="4140" ht="12.75" x14ac:dyDescent="0.2"/>
    <row r="4141" ht="12.75" x14ac:dyDescent="0.2"/>
    <row r="4142" ht="12.75" x14ac:dyDescent="0.2"/>
    <row r="4143" ht="12.75" x14ac:dyDescent="0.2"/>
    <row r="4144" ht="12.75" x14ac:dyDescent="0.2"/>
    <row r="4145" ht="12.75" x14ac:dyDescent="0.2"/>
    <row r="4146" ht="12.75" x14ac:dyDescent="0.2"/>
    <row r="4147" ht="12.75" x14ac:dyDescent="0.2"/>
    <row r="4148" ht="12.75" x14ac:dyDescent="0.2"/>
    <row r="4149" ht="12.75" x14ac:dyDescent="0.2"/>
    <row r="4150" ht="12.75" x14ac:dyDescent="0.2"/>
    <row r="4151" ht="12.75" x14ac:dyDescent="0.2"/>
    <row r="4152" ht="12.75" x14ac:dyDescent="0.2"/>
    <row r="4153" ht="12.75" x14ac:dyDescent="0.2"/>
    <row r="4154" ht="12.75" x14ac:dyDescent="0.2"/>
    <row r="4155" ht="12.75" x14ac:dyDescent="0.2"/>
    <row r="4156" ht="12.75" x14ac:dyDescent="0.2"/>
    <row r="4157" ht="12.75" x14ac:dyDescent="0.2"/>
    <row r="4158" ht="12.75" x14ac:dyDescent="0.2"/>
    <row r="4159" ht="12.75" x14ac:dyDescent="0.2"/>
    <row r="4160" ht="12.75" x14ac:dyDescent="0.2"/>
    <row r="4161" ht="12.75" x14ac:dyDescent="0.2"/>
    <row r="4162" ht="12.75" x14ac:dyDescent="0.2"/>
    <row r="4163" ht="12.75" x14ac:dyDescent="0.2"/>
    <row r="4164" ht="12.75" x14ac:dyDescent="0.2"/>
    <row r="4165" ht="12.75" x14ac:dyDescent="0.2"/>
    <row r="4166" ht="12.75" x14ac:dyDescent="0.2"/>
    <row r="4167" ht="12.75" x14ac:dyDescent="0.2"/>
    <row r="4168" ht="12.75" x14ac:dyDescent="0.2"/>
    <row r="4169" ht="12.75" x14ac:dyDescent="0.2"/>
    <row r="4170" ht="12.75" x14ac:dyDescent="0.2"/>
    <row r="4171" ht="12.75" x14ac:dyDescent="0.2"/>
    <row r="4172" ht="12.75" x14ac:dyDescent="0.2"/>
    <row r="4173" ht="12.75" x14ac:dyDescent="0.2"/>
    <row r="4174" ht="12.75" x14ac:dyDescent="0.2"/>
    <row r="4175" ht="12.75" x14ac:dyDescent="0.2"/>
    <row r="4176" ht="12.75" x14ac:dyDescent="0.2"/>
    <row r="4177" ht="12.75" x14ac:dyDescent="0.2"/>
    <row r="4178" ht="12.75" x14ac:dyDescent="0.2"/>
    <row r="4179" ht="12.75" x14ac:dyDescent="0.2"/>
    <row r="4180" ht="12.75" x14ac:dyDescent="0.2"/>
    <row r="4181" ht="12.75" x14ac:dyDescent="0.2"/>
    <row r="4182" ht="12.75" x14ac:dyDescent="0.2"/>
    <row r="4183" ht="12.75" x14ac:dyDescent="0.2"/>
    <row r="4184" ht="12.75" x14ac:dyDescent="0.2"/>
    <row r="4185" ht="12.75" x14ac:dyDescent="0.2"/>
    <row r="4186" ht="12.75" x14ac:dyDescent="0.2"/>
    <row r="4187" ht="12.75" x14ac:dyDescent="0.2"/>
    <row r="4188" ht="12.75" x14ac:dyDescent="0.2"/>
    <row r="4189" ht="12.75" x14ac:dyDescent="0.2"/>
    <row r="4190" ht="12.75" x14ac:dyDescent="0.2"/>
    <row r="4191" ht="12.75" x14ac:dyDescent="0.2"/>
    <row r="4192" ht="12.75" x14ac:dyDescent="0.2"/>
    <row r="4193" ht="12.75" x14ac:dyDescent="0.2"/>
    <row r="4194" ht="12.75" x14ac:dyDescent="0.2"/>
    <row r="4195" ht="12.75" x14ac:dyDescent="0.2"/>
    <row r="4196" ht="12.75" x14ac:dyDescent="0.2"/>
    <row r="4197" ht="12.75" x14ac:dyDescent="0.2"/>
    <row r="4198" ht="12.75" x14ac:dyDescent="0.2"/>
    <row r="4199" ht="12.75" x14ac:dyDescent="0.2"/>
    <row r="4200" ht="12.75" x14ac:dyDescent="0.2"/>
    <row r="4201" ht="12.75" x14ac:dyDescent="0.2"/>
    <row r="4202" ht="12.75" x14ac:dyDescent="0.2"/>
    <row r="4203" ht="12.75" x14ac:dyDescent="0.2"/>
    <row r="4204" ht="12.75" x14ac:dyDescent="0.2"/>
    <row r="4205" ht="12.75" x14ac:dyDescent="0.2"/>
    <row r="4206" ht="12.75" x14ac:dyDescent="0.2"/>
    <row r="4207" ht="12.75" x14ac:dyDescent="0.2"/>
    <row r="4208" ht="12.75" x14ac:dyDescent="0.2"/>
    <row r="4209" ht="12.75" x14ac:dyDescent="0.2"/>
    <row r="4210" ht="12.75" x14ac:dyDescent="0.2"/>
    <row r="4211" ht="12.75" x14ac:dyDescent="0.2"/>
    <row r="4212" ht="12.75" x14ac:dyDescent="0.2"/>
    <row r="4213" ht="12.75" x14ac:dyDescent="0.2"/>
    <row r="4214" ht="12.75" x14ac:dyDescent="0.2"/>
    <row r="4215" ht="12.75" x14ac:dyDescent="0.2"/>
    <row r="4216" ht="12.75" x14ac:dyDescent="0.2"/>
    <row r="4217" ht="12.75" x14ac:dyDescent="0.2"/>
    <row r="4218" ht="12.75" x14ac:dyDescent="0.2"/>
    <row r="4219" ht="12.75" x14ac:dyDescent="0.2"/>
    <row r="4220" ht="12.75" x14ac:dyDescent="0.2"/>
    <row r="4221" ht="12.75" x14ac:dyDescent="0.2"/>
    <row r="4222" ht="12.75" x14ac:dyDescent="0.2"/>
    <row r="4223" ht="12.75" x14ac:dyDescent="0.2"/>
    <row r="4224" ht="12.75" x14ac:dyDescent="0.2"/>
    <row r="4225" ht="12.75" x14ac:dyDescent="0.2"/>
    <row r="4226" ht="12.75" x14ac:dyDescent="0.2"/>
    <row r="4227" ht="12.75" x14ac:dyDescent="0.2"/>
    <row r="4228" ht="12.75" x14ac:dyDescent="0.2"/>
    <row r="4229" ht="12.75" x14ac:dyDescent="0.2"/>
    <row r="4230" ht="12.75" x14ac:dyDescent="0.2"/>
    <row r="4231" ht="12.75" x14ac:dyDescent="0.2"/>
    <row r="4232" ht="12.75" x14ac:dyDescent="0.2"/>
    <row r="4233" ht="12.75" x14ac:dyDescent="0.2"/>
    <row r="4234" ht="12.75" x14ac:dyDescent="0.2"/>
    <row r="4235" ht="12.75" x14ac:dyDescent="0.2"/>
    <row r="4236" ht="12.75" x14ac:dyDescent="0.2"/>
    <row r="4237" ht="12.75" x14ac:dyDescent="0.2"/>
    <row r="4238" ht="12.75" x14ac:dyDescent="0.2"/>
    <row r="4239" ht="12.75" x14ac:dyDescent="0.2"/>
    <row r="4240" ht="12.75" x14ac:dyDescent="0.2"/>
    <row r="4241" ht="12.75" x14ac:dyDescent="0.2"/>
    <row r="4242" ht="12.75" x14ac:dyDescent="0.2"/>
    <row r="4243" ht="12.75" x14ac:dyDescent="0.2"/>
    <row r="4244" ht="12.75" x14ac:dyDescent="0.2"/>
    <row r="4245" ht="12.75" x14ac:dyDescent="0.2"/>
    <row r="4246" ht="12.75" x14ac:dyDescent="0.2"/>
    <row r="4247" ht="12.75" x14ac:dyDescent="0.2"/>
    <row r="4248" ht="12.75" x14ac:dyDescent="0.2"/>
    <row r="4249" ht="12.75" x14ac:dyDescent="0.2"/>
    <row r="4250" ht="12.75" x14ac:dyDescent="0.2"/>
    <row r="4251" ht="12.75" x14ac:dyDescent="0.2"/>
    <row r="4252" ht="12.75" x14ac:dyDescent="0.2"/>
    <row r="4253" ht="12.75" x14ac:dyDescent="0.2"/>
    <row r="4254" ht="12.75" x14ac:dyDescent="0.2"/>
    <row r="4255" ht="12.75" x14ac:dyDescent="0.2"/>
    <row r="4256" ht="12.75" x14ac:dyDescent="0.2"/>
    <row r="4257" ht="12.75" x14ac:dyDescent="0.2"/>
    <row r="4258" ht="12.75" x14ac:dyDescent="0.2"/>
    <row r="4259" ht="12.75" x14ac:dyDescent="0.2"/>
    <row r="4260" ht="12.75" x14ac:dyDescent="0.2"/>
    <row r="4261" ht="12.75" x14ac:dyDescent="0.2"/>
    <row r="4262" ht="12.75" x14ac:dyDescent="0.2"/>
    <row r="4263" ht="12.75" x14ac:dyDescent="0.2"/>
    <row r="4264" ht="12.75" x14ac:dyDescent="0.2"/>
    <row r="4265" ht="12.75" x14ac:dyDescent="0.2"/>
    <row r="4266" ht="12.75" x14ac:dyDescent="0.2"/>
    <row r="4267" ht="12.75" x14ac:dyDescent="0.2"/>
    <row r="4268" ht="12.75" x14ac:dyDescent="0.2"/>
    <row r="4269" ht="12.75" x14ac:dyDescent="0.2"/>
    <row r="4270" ht="12.75" x14ac:dyDescent="0.2"/>
    <row r="4271" ht="12.75" x14ac:dyDescent="0.2"/>
    <row r="4272" ht="12.75" x14ac:dyDescent="0.2"/>
    <row r="4273" ht="12.75" x14ac:dyDescent="0.2"/>
    <row r="4274" ht="12.75" x14ac:dyDescent="0.2"/>
    <row r="4275" ht="12.75" x14ac:dyDescent="0.2"/>
    <row r="4276" ht="12.75" x14ac:dyDescent="0.2"/>
    <row r="4277" ht="12.75" x14ac:dyDescent="0.2"/>
    <row r="4278" ht="12.75" x14ac:dyDescent="0.2"/>
    <row r="4279" ht="12.75" x14ac:dyDescent="0.2"/>
    <row r="4280" ht="12.75" x14ac:dyDescent="0.2"/>
    <row r="4281" ht="12.75" x14ac:dyDescent="0.2"/>
    <row r="4282" ht="12.75" x14ac:dyDescent="0.2"/>
    <row r="4283" ht="12.75" x14ac:dyDescent="0.2"/>
    <row r="4284" ht="12.75" x14ac:dyDescent="0.2"/>
    <row r="4285" ht="12.75" x14ac:dyDescent="0.2"/>
    <row r="4286" ht="12.75" x14ac:dyDescent="0.2"/>
    <row r="4287" ht="12.75" x14ac:dyDescent="0.2"/>
    <row r="4288" ht="12.75" x14ac:dyDescent="0.2"/>
    <row r="4289" ht="12.75" x14ac:dyDescent="0.2"/>
    <row r="4290" ht="12.75" x14ac:dyDescent="0.2"/>
    <row r="4291" ht="12.75" x14ac:dyDescent="0.2"/>
    <row r="4292" ht="12.75" x14ac:dyDescent="0.2"/>
    <row r="4293" ht="12.75" x14ac:dyDescent="0.2"/>
    <row r="4294" ht="12.75" x14ac:dyDescent="0.2"/>
    <row r="4295" ht="12.75" x14ac:dyDescent="0.2"/>
    <row r="4296" ht="12.75" x14ac:dyDescent="0.2"/>
    <row r="4297" ht="12.75" x14ac:dyDescent="0.2"/>
    <row r="4298" ht="12.75" x14ac:dyDescent="0.2"/>
    <row r="4299" ht="12.75" x14ac:dyDescent="0.2"/>
    <row r="4300" ht="12.75" x14ac:dyDescent="0.2"/>
    <row r="4301" ht="12.75" x14ac:dyDescent="0.2"/>
    <row r="4302" ht="12.75" x14ac:dyDescent="0.2"/>
    <row r="4303" ht="12.75" x14ac:dyDescent="0.2"/>
    <row r="4304" ht="12.75" x14ac:dyDescent="0.2"/>
    <row r="4305" ht="12.75" x14ac:dyDescent="0.2"/>
    <row r="4306" ht="12.75" x14ac:dyDescent="0.2"/>
    <row r="4307" ht="12.75" x14ac:dyDescent="0.2"/>
    <row r="4308" ht="12.75" x14ac:dyDescent="0.2"/>
    <row r="4309" ht="12.75" x14ac:dyDescent="0.2"/>
    <row r="4310" ht="12.75" x14ac:dyDescent="0.2"/>
    <row r="4311" ht="12.75" x14ac:dyDescent="0.2"/>
    <row r="4312" ht="12.75" x14ac:dyDescent="0.2"/>
    <row r="4313" ht="12.75" x14ac:dyDescent="0.2"/>
    <row r="4314" ht="12.75" x14ac:dyDescent="0.2"/>
    <row r="4315" ht="12.75" x14ac:dyDescent="0.2"/>
    <row r="4316" ht="12.75" x14ac:dyDescent="0.2"/>
    <row r="4317" ht="12.75" x14ac:dyDescent="0.2"/>
    <row r="4318" ht="12.75" x14ac:dyDescent="0.2"/>
    <row r="4319" ht="12.75" x14ac:dyDescent="0.2"/>
    <row r="4320" ht="12.75" x14ac:dyDescent="0.2"/>
    <row r="4321" ht="12.75" x14ac:dyDescent="0.2"/>
    <row r="4322" ht="12.75" x14ac:dyDescent="0.2"/>
    <row r="4323" ht="12.75" x14ac:dyDescent="0.2"/>
    <row r="4324" ht="12.75" x14ac:dyDescent="0.2"/>
    <row r="4325" ht="12.75" x14ac:dyDescent="0.2"/>
    <row r="4326" ht="12.75" x14ac:dyDescent="0.2"/>
    <row r="4327" ht="12.75" x14ac:dyDescent="0.2"/>
    <row r="4328" ht="12.75" x14ac:dyDescent="0.2"/>
    <row r="4329" ht="12.75" x14ac:dyDescent="0.2"/>
    <row r="4330" ht="12.75" x14ac:dyDescent="0.2"/>
    <row r="4331" ht="12.75" x14ac:dyDescent="0.2"/>
    <row r="4332" ht="12.75" x14ac:dyDescent="0.2"/>
    <row r="4333" ht="12.75" x14ac:dyDescent="0.2"/>
    <row r="4334" ht="12.75" x14ac:dyDescent="0.2"/>
    <row r="4335" ht="12.75" x14ac:dyDescent="0.2"/>
    <row r="4336" ht="12.75" x14ac:dyDescent="0.2"/>
    <row r="4337" ht="12.75" x14ac:dyDescent="0.2"/>
    <row r="4338" ht="12.75" x14ac:dyDescent="0.2"/>
    <row r="4339" ht="12.75" x14ac:dyDescent="0.2"/>
    <row r="4340" ht="12.75" x14ac:dyDescent="0.2"/>
    <row r="4341" ht="12.75" x14ac:dyDescent="0.2"/>
    <row r="4342" ht="12.75" x14ac:dyDescent="0.2"/>
    <row r="4343" ht="12.75" x14ac:dyDescent="0.2"/>
    <row r="4344" ht="12.75" x14ac:dyDescent="0.2"/>
    <row r="4345" ht="12.75" x14ac:dyDescent="0.2"/>
    <row r="4346" ht="12.75" x14ac:dyDescent="0.2"/>
    <row r="4347" ht="12.75" x14ac:dyDescent="0.2"/>
    <row r="4348" ht="12.75" x14ac:dyDescent="0.2"/>
    <row r="4349" ht="12.75" x14ac:dyDescent="0.2"/>
    <row r="4350" ht="12.75" x14ac:dyDescent="0.2"/>
    <row r="4351" ht="12.75" x14ac:dyDescent="0.2"/>
    <row r="4352" ht="12.75" x14ac:dyDescent="0.2"/>
    <row r="4353" ht="12.75" x14ac:dyDescent="0.2"/>
    <row r="4354" ht="12.75" x14ac:dyDescent="0.2"/>
    <row r="4355" ht="12.75" x14ac:dyDescent="0.2"/>
    <row r="4356" ht="12.75" x14ac:dyDescent="0.2"/>
    <row r="4357" ht="12.75" x14ac:dyDescent="0.2"/>
    <row r="4358" ht="12.75" x14ac:dyDescent="0.2"/>
    <row r="4359" ht="12.75" x14ac:dyDescent="0.2"/>
    <row r="4360" ht="12.75" x14ac:dyDescent="0.2"/>
    <row r="4361" ht="12.75" x14ac:dyDescent="0.2"/>
    <row r="4362" ht="12.75" x14ac:dyDescent="0.2"/>
    <row r="4363" ht="12.75" x14ac:dyDescent="0.2"/>
    <row r="4364" ht="12.75" x14ac:dyDescent="0.2"/>
    <row r="4365" ht="12.75" x14ac:dyDescent="0.2"/>
    <row r="4366" ht="12.75" x14ac:dyDescent="0.2"/>
    <row r="4367" ht="12.75" x14ac:dyDescent="0.2"/>
    <row r="4368" ht="12.75" x14ac:dyDescent="0.2"/>
    <row r="4369" ht="12.75" x14ac:dyDescent="0.2"/>
    <row r="4370" ht="12.75" x14ac:dyDescent="0.2"/>
    <row r="4371" ht="12.75" x14ac:dyDescent="0.2"/>
    <row r="4372" ht="12.75" x14ac:dyDescent="0.2"/>
    <row r="4373" ht="12.75" x14ac:dyDescent="0.2"/>
    <row r="4374" ht="12.75" x14ac:dyDescent="0.2"/>
    <row r="4375" ht="12.75" x14ac:dyDescent="0.2"/>
    <row r="4376" ht="12.75" x14ac:dyDescent="0.2"/>
    <row r="4377" ht="12.75" x14ac:dyDescent="0.2"/>
    <row r="4378" ht="12.75" x14ac:dyDescent="0.2"/>
    <row r="4379" ht="12.75" x14ac:dyDescent="0.2"/>
    <row r="4380" ht="12.75" x14ac:dyDescent="0.2"/>
    <row r="4381" ht="12.75" x14ac:dyDescent="0.2"/>
    <row r="4382" ht="12.75" x14ac:dyDescent="0.2"/>
    <row r="4383" ht="12.75" x14ac:dyDescent="0.2"/>
    <row r="4384" ht="12.75" x14ac:dyDescent="0.2"/>
    <row r="4385" ht="12.75" x14ac:dyDescent="0.2"/>
    <row r="4386" ht="12.75" x14ac:dyDescent="0.2"/>
    <row r="4387" ht="12.75" x14ac:dyDescent="0.2"/>
    <row r="4388" ht="12.75" x14ac:dyDescent="0.2"/>
    <row r="4389" ht="12.75" x14ac:dyDescent="0.2"/>
    <row r="4390" ht="12.75" x14ac:dyDescent="0.2"/>
    <row r="4391" ht="12.75" x14ac:dyDescent="0.2"/>
    <row r="4392" ht="12.75" x14ac:dyDescent="0.2"/>
    <row r="4393" ht="12.75" x14ac:dyDescent="0.2"/>
    <row r="4394" ht="12.75" x14ac:dyDescent="0.2"/>
    <row r="4395" ht="12.75" x14ac:dyDescent="0.2"/>
    <row r="4396" ht="12.75" x14ac:dyDescent="0.2"/>
    <row r="4397" ht="12.75" x14ac:dyDescent="0.2"/>
    <row r="4398" ht="12.75" x14ac:dyDescent="0.2"/>
    <row r="4399" ht="12.75" x14ac:dyDescent="0.2"/>
    <row r="4400" ht="12.75" x14ac:dyDescent="0.2"/>
    <row r="4401" ht="12.75" x14ac:dyDescent="0.2"/>
    <row r="4402" ht="12.75" x14ac:dyDescent="0.2"/>
    <row r="4403" ht="12.75" x14ac:dyDescent="0.2"/>
    <row r="4404" ht="12.75" x14ac:dyDescent="0.2"/>
    <row r="4405" ht="12.75" x14ac:dyDescent="0.2"/>
    <row r="4406" ht="12.75" x14ac:dyDescent="0.2"/>
    <row r="4407" ht="12.75" x14ac:dyDescent="0.2"/>
    <row r="4408" ht="12.75" x14ac:dyDescent="0.2"/>
    <row r="4409" ht="12.75" x14ac:dyDescent="0.2"/>
    <row r="4410" ht="12.75" x14ac:dyDescent="0.2"/>
    <row r="4411" ht="12.75" x14ac:dyDescent="0.2"/>
    <row r="4412" ht="12.75" x14ac:dyDescent="0.2"/>
    <row r="4413" ht="12.75" x14ac:dyDescent="0.2"/>
    <row r="4414" ht="12.75" x14ac:dyDescent="0.2"/>
    <row r="4415" ht="12.75" x14ac:dyDescent="0.2"/>
    <row r="4416" ht="12.75" x14ac:dyDescent="0.2"/>
    <row r="4417" ht="12.75" x14ac:dyDescent="0.2"/>
    <row r="4418" ht="12.75" x14ac:dyDescent="0.2"/>
    <row r="4419" ht="12.75" x14ac:dyDescent="0.2"/>
    <row r="4420" ht="12.75" x14ac:dyDescent="0.2"/>
    <row r="4421" ht="12.75" x14ac:dyDescent="0.2"/>
    <row r="4422" ht="12.75" x14ac:dyDescent="0.2"/>
    <row r="4423" ht="12.75" x14ac:dyDescent="0.2"/>
    <row r="4424" ht="12.75" x14ac:dyDescent="0.2"/>
    <row r="4425" ht="12.75" x14ac:dyDescent="0.2"/>
    <row r="4426" ht="12.75" x14ac:dyDescent="0.2"/>
    <row r="4427" ht="12.75" x14ac:dyDescent="0.2"/>
    <row r="4428" ht="12.75" x14ac:dyDescent="0.2"/>
    <row r="4429" ht="12.75" x14ac:dyDescent="0.2"/>
    <row r="4430" ht="12.75" x14ac:dyDescent="0.2"/>
    <row r="4431" ht="12.75" x14ac:dyDescent="0.2"/>
    <row r="4432" ht="12.75" x14ac:dyDescent="0.2"/>
    <row r="4433" ht="12.75" x14ac:dyDescent="0.2"/>
    <row r="4434" ht="12.75" x14ac:dyDescent="0.2"/>
    <row r="4435" ht="12.75" x14ac:dyDescent="0.2"/>
    <row r="4436" ht="12.75" x14ac:dyDescent="0.2"/>
    <row r="4437" ht="12.75" x14ac:dyDescent="0.2"/>
    <row r="4438" ht="12.75" x14ac:dyDescent="0.2"/>
    <row r="4439" ht="12.75" x14ac:dyDescent="0.2"/>
    <row r="4440" ht="12.75" x14ac:dyDescent="0.2"/>
    <row r="4441" ht="12.75" x14ac:dyDescent="0.2"/>
    <row r="4442" ht="12.75" x14ac:dyDescent="0.2"/>
    <row r="4443" ht="12.75" x14ac:dyDescent="0.2"/>
    <row r="4444" ht="12.75" x14ac:dyDescent="0.2"/>
    <row r="4445" ht="12.75" x14ac:dyDescent="0.2"/>
    <row r="4446" ht="12.75" x14ac:dyDescent="0.2"/>
    <row r="4447" ht="12.75" x14ac:dyDescent="0.2"/>
    <row r="4448" ht="12.75" x14ac:dyDescent="0.2"/>
    <row r="4449" ht="12.75" x14ac:dyDescent="0.2"/>
    <row r="4450" ht="12.75" x14ac:dyDescent="0.2"/>
    <row r="4451" ht="12.75" x14ac:dyDescent="0.2"/>
    <row r="4452" ht="12.75" x14ac:dyDescent="0.2"/>
    <row r="4453" ht="12.75" x14ac:dyDescent="0.2"/>
    <row r="4454" ht="12.75" x14ac:dyDescent="0.2"/>
    <row r="4455" ht="12.75" x14ac:dyDescent="0.2"/>
    <row r="4456" ht="12.75" x14ac:dyDescent="0.2"/>
    <row r="4457" ht="12.75" x14ac:dyDescent="0.2"/>
    <row r="4458" ht="12.75" x14ac:dyDescent="0.2"/>
    <row r="4459" ht="12.75" x14ac:dyDescent="0.2"/>
    <row r="4460" ht="12.75" x14ac:dyDescent="0.2"/>
    <row r="4461" ht="12.75" x14ac:dyDescent="0.2"/>
    <row r="4462" ht="12.75" x14ac:dyDescent="0.2"/>
    <row r="4463" ht="12.75" x14ac:dyDescent="0.2"/>
    <row r="4464" ht="12.75" x14ac:dyDescent="0.2"/>
    <row r="4465" ht="12.75" x14ac:dyDescent="0.2"/>
    <row r="4466" ht="12.75" x14ac:dyDescent="0.2"/>
    <row r="4467" ht="12.75" x14ac:dyDescent="0.2"/>
    <row r="4468" ht="12.75" x14ac:dyDescent="0.2"/>
    <row r="4469" ht="12.75" x14ac:dyDescent="0.2"/>
    <row r="4470" ht="12.75" x14ac:dyDescent="0.2"/>
    <row r="4471" ht="12.75" x14ac:dyDescent="0.2"/>
    <row r="4472" ht="12.75" x14ac:dyDescent="0.2"/>
    <row r="4473" ht="12.75" x14ac:dyDescent="0.2"/>
    <row r="4474" ht="12.75" x14ac:dyDescent="0.2"/>
    <row r="4475" ht="12.75" x14ac:dyDescent="0.2"/>
    <row r="4476" ht="12.75" x14ac:dyDescent="0.2"/>
    <row r="4477" ht="12.75" x14ac:dyDescent="0.2"/>
    <row r="4478" ht="12.75" x14ac:dyDescent="0.2"/>
    <row r="4479" ht="12.75" x14ac:dyDescent="0.2"/>
    <row r="4480" ht="12.75" x14ac:dyDescent="0.2"/>
    <row r="4481" ht="12.75" x14ac:dyDescent="0.2"/>
    <row r="4482" ht="12.75" x14ac:dyDescent="0.2"/>
    <row r="4483" ht="12.75" x14ac:dyDescent="0.2"/>
    <row r="4484" ht="12.75" x14ac:dyDescent="0.2"/>
    <row r="4485" ht="12.75" x14ac:dyDescent="0.2"/>
    <row r="4486" ht="12.75" x14ac:dyDescent="0.2"/>
    <row r="4487" ht="12.75" x14ac:dyDescent="0.2"/>
    <row r="4488" ht="12.75" x14ac:dyDescent="0.2"/>
    <row r="4489" ht="12.75" x14ac:dyDescent="0.2"/>
    <row r="4490" ht="12.75" x14ac:dyDescent="0.2"/>
    <row r="4491" ht="12.75" x14ac:dyDescent="0.2"/>
    <row r="4492" ht="12.75" x14ac:dyDescent="0.2"/>
    <row r="4493" ht="12.75" x14ac:dyDescent="0.2"/>
    <row r="4494" ht="12.75" x14ac:dyDescent="0.2"/>
    <row r="4495" ht="12.75" x14ac:dyDescent="0.2"/>
    <row r="4496" ht="12.75" x14ac:dyDescent="0.2"/>
    <row r="4497" ht="12.75" x14ac:dyDescent="0.2"/>
    <row r="4498" ht="12.75" x14ac:dyDescent="0.2"/>
    <row r="4499" ht="12.75" x14ac:dyDescent="0.2"/>
    <row r="4500" ht="12.75" x14ac:dyDescent="0.2"/>
    <row r="4501" ht="12.75" x14ac:dyDescent="0.2"/>
    <row r="4502" ht="12.75" x14ac:dyDescent="0.2"/>
    <row r="4503" ht="12.75" x14ac:dyDescent="0.2"/>
    <row r="4504" ht="12.75" x14ac:dyDescent="0.2"/>
    <row r="4505" ht="12.75" x14ac:dyDescent="0.2"/>
    <row r="4506" ht="12.75" x14ac:dyDescent="0.2"/>
    <row r="4507" ht="12.75" x14ac:dyDescent="0.2"/>
    <row r="4508" ht="12.75" x14ac:dyDescent="0.2"/>
    <row r="4509" ht="12.75" x14ac:dyDescent="0.2"/>
    <row r="4510" ht="12.75" x14ac:dyDescent="0.2"/>
    <row r="4511" ht="12.75" x14ac:dyDescent="0.2"/>
    <row r="4512" ht="12.75" x14ac:dyDescent="0.2"/>
    <row r="4513" ht="12.75" x14ac:dyDescent="0.2"/>
    <row r="4514" ht="12.75" x14ac:dyDescent="0.2"/>
    <row r="4515" ht="12.75" x14ac:dyDescent="0.2"/>
    <row r="4516" ht="12.75" x14ac:dyDescent="0.2"/>
    <row r="4517" ht="12.75" x14ac:dyDescent="0.2"/>
    <row r="4518" ht="12.75" x14ac:dyDescent="0.2"/>
    <row r="4519" ht="12.75" x14ac:dyDescent="0.2"/>
    <row r="4520" ht="12.75" x14ac:dyDescent="0.2"/>
    <row r="4521" ht="12.75" x14ac:dyDescent="0.2"/>
    <row r="4522" ht="12.75" x14ac:dyDescent="0.2"/>
    <row r="4523" ht="12.75" x14ac:dyDescent="0.2"/>
    <row r="4524" ht="12.75" x14ac:dyDescent="0.2"/>
    <row r="4525" ht="12.75" x14ac:dyDescent="0.2"/>
    <row r="4526" ht="12.75" x14ac:dyDescent="0.2"/>
    <row r="4527" ht="12.75" x14ac:dyDescent="0.2"/>
    <row r="4528" ht="12.75" x14ac:dyDescent="0.2"/>
    <row r="4529" ht="12.75" x14ac:dyDescent="0.2"/>
    <row r="4530" ht="12.75" x14ac:dyDescent="0.2"/>
    <row r="4531" ht="12.75" x14ac:dyDescent="0.2"/>
    <row r="4532" ht="12.75" x14ac:dyDescent="0.2"/>
    <row r="4533" ht="12.75" x14ac:dyDescent="0.2"/>
    <row r="4534" ht="12.75" x14ac:dyDescent="0.2"/>
    <row r="4535" ht="12.75" x14ac:dyDescent="0.2"/>
    <row r="4536" ht="12.75" x14ac:dyDescent="0.2"/>
    <row r="4537" ht="12.75" x14ac:dyDescent="0.2"/>
    <row r="4538" ht="12.75" x14ac:dyDescent="0.2"/>
    <row r="4539" ht="12.75" x14ac:dyDescent="0.2"/>
    <row r="4540" ht="12.75" x14ac:dyDescent="0.2"/>
    <row r="4541" ht="12.75" x14ac:dyDescent="0.2"/>
    <row r="4542" ht="12.75" x14ac:dyDescent="0.2"/>
    <row r="4543" ht="12.75" x14ac:dyDescent="0.2"/>
    <row r="4544" ht="12.75" x14ac:dyDescent="0.2"/>
    <row r="4545" ht="12.75" x14ac:dyDescent="0.2"/>
    <row r="4546" ht="12.75" x14ac:dyDescent="0.2"/>
    <row r="4547" ht="12.75" x14ac:dyDescent="0.2"/>
    <row r="4548" ht="12.75" x14ac:dyDescent="0.2"/>
    <row r="4549" ht="12.75" x14ac:dyDescent="0.2"/>
    <row r="4550" ht="12.75" x14ac:dyDescent="0.2"/>
    <row r="4551" ht="12.75" x14ac:dyDescent="0.2"/>
    <row r="4552" ht="12.75" x14ac:dyDescent="0.2"/>
    <row r="4553" ht="12.75" x14ac:dyDescent="0.2"/>
    <row r="4554" ht="12.75" x14ac:dyDescent="0.2"/>
    <row r="4555" ht="12.75" x14ac:dyDescent="0.2"/>
    <row r="4556" ht="12.75" x14ac:dyDescent="0.2"/>
    <row r="4557" ht="12.75" x14ac:dyDescent="0.2"/>
    <row r="4558" ht="12.75" x14ac:dyDescent="0.2"/>
    <row r="4559" ht="12.75" x14ac:dyDescent="0.2"/>
    <row r="4560" ht="12.75" x14ac:dyDescent="0.2"/>
    <row r="4561" ht="12.75" x14ac:dyDescent="0.2"/>
    <row r="4562" ht="12.75" x14ac:dyDescent="0.2"/>
    <row r="4563" ht="12.75" x14ac:dyDescent="0.2"/>
    <row r="4564" ht="12.75" x14ac:dyDescent="0.2"/>
    <row r="4565" ht="12.75" x14ac:dyDescent="0.2"/>
    <row r="4566" ht="12.75" x14ac:dyDescent="0.2"/>
    <row r="4567" ht="12.75" x14ac:dyDescent="0.2"/>
    <row r="4568" ht="12.75" x14ac:dyDescent="0.2"/>
    <row r="4569" ht="12.75" x14ac:dyDescent="0.2"/>
    <row r="4570" ht="12.75" x14ac:dyDescent="0.2"/>
    <row r="4571" ht="12.75" x14ac:dyDescent="0.2"/>
    <row r="4572" ht="12.75" x14ac:dyDescent="0.2"/>
    <row r="4573" ht="12.75" x14ac:dyDescent="0.2"/>
    <row r="4574" ht="12.75" x14ac:dyDescent="0.2"/>
    <row r="4575" ht="12.75" x14ac:dyDescent="0.2"/>
    <row r="4576" ht="12.75" x14ac:dyDescent="0.2"/>
    <row r="4577" ht="12.75" x14ac:dyDescent="0.2"/>
    <row r="4578" ht="12.75" x14ac:dyDescent="0.2"/>
    <row r="4579" ht="12.75" x14ac:dyDescent="0.2"/>
    <row r="4580" ht="12.75" x14ac:dyDescent="0.2"/>
    <row r="4581" ht="12.75" x14ac:dyDescent="0.2"/>
    <row r="4582" ht="12.75" x14ac:dyDescent="0.2"/>
    <row r="4583" ht="12.75" x14ac:dyDescent="0.2"/>
    <row r="4584" ht="12.75" x14ac:dyDescent="0.2"/>
    <row r="4585" ht="12.75" x14ac:dyDescent="0.2"/>
    <row r="4586" ht="12.75" x14ac:dyDescent="0.2"/>
    <row r="4587" ht="12.75" x14ac:dyDescent="0.2"/>
    <row r="4588" ht="12.75" x14ac:dyDescent="0.2"/>
    <row r="4589" ht="12.75" x14ac:dyDescent="0.2"/>
    <row r="4590" ht="12.75" x14ac:dyDescent="0.2"/>
    <row r="4591" ht="12.75" x14ac:dyDescent="0.2"/>
    <row r="4592" ht="12.75" x14ac:dyDescent="0.2"/>
    <row r="4593" ht="12.75" x14ac:dyDescent="0.2"/>
    <row r="4594" ht="12.75" x14ac:dyDescent="0.2"/>
    <row r="4595" ht="12.75" x14ac:dyDescent="0.2"/>
    <row r="4596" ht="12.75" x14ac:dyDescent="0.2"/>
    <row r="4597" ht="12.75" x14ac:dyDescent="0.2"/>
    <row r="4598" ht="12.75" x14ac:dyDescent="0.2"/>
    <row r="4599" ht="12.75" x14ac:dyDescent="0.2"/>
    <row r="4600" ht="12.75" x14ac:dyDescent="0.2"/>
    <row r="4601" ht="12.75" x14ac:dyDescent="0.2"/>
    <row r="4602" ht="12.75" x14ac:dyDescent="0.2"/>
    <row r="4603" ht="12.75" x14ac:dyDescent="0.2"/>
    <row r="4604" ht="12.75" x14ac:dyDescent="0.2"/>
    <row r="4605" ht="12.75" x14ac:dyDescent="0.2"/>
    <row r="4606" ht="12.75" x14ac:dyDescent="0.2"/>
    <row r="4607" ht="12.75" x14ac:dyDescent="0.2"/>
    <row r="4608" ht="12.75" x14ac:dyDescent="0.2"/>
    <row r="4609" ht="12.75" x14ac:dyDescent="0.2"/>
    <row r="4610" ht="12.75" x14ac:dyDescent="0.2"/>
    <row r="4611" ht="12.75" x14ac:dyDescent="0.2"/>
    <row r="4612" ht="12.75" x14ac:dyDescent="0.2"/>
    <row r="4613" ht="12.75" x14ac:dyDescent="0.2"/>
    <row r="4614" ht="12.75" x14ac:dyDescent="0.2"/>
    <row r="4615" ht="12.75" x14ac:dyDescent="0.2"/>
    <row r="4616" ht="12.75" x14ac:dyDescent="0.2"/>
    <row r="4617" ht="12.75" x14ac:dyDescent="0.2"/>
    <row r="4618" ht="12.75" x14ac:dyDescent="0.2"/>
    <row r="4619" ht="12.75" x14ac:dyDescent="0.2"/>
    <row r="4620" ht="12.75" x14ac:dyDescent="0.2"/>
    <row r="4621" ht="12.75" x14ac:dyDescent="0.2"/>
    <row r="4622" ht="12.75" x14ac:dyDescent="0.2"/>
    <row r="4623" ht="12.75" x14ac:dyDescent="0.2"/>
    <row r="4624" ht="12.75" x14ac:dyDescent="0.2"/>
    <row r="4625" ht="12.75" x14ac:dyDescent="0.2"/>
    <row r="4626" ht="12.75" x14ac:dyDescent="0.2"/>
    <row r="4627" ht="12.75" x14ac:dyDescent="0.2"/>
    <row r="4628" ht="12.75" x14ac:dyDescent="0.2"/>
    <row r="4629" ht="12.75" x14ac:dyDescent="0.2"/>
    <row r="4630" ht="12.75" x14ac:dyDescent="0.2"/>
    <row r="4631" ht="12.75" x14ac:dyDescent="0.2"/>
    <row r="4632" ht="12.75" x14ac:dyDescent="0.2"/>
    <row r="4633" ht="12.75" x14ac:dyDescent="0.2"/>
    <row r="4634" ht="12.75" x14ac:dyDescent="0.2"/>
    <row r="4635" ht="12.75" x14ac:dyDescent="0.2"/>
    <row r="4636" ht="12.75" x14ac:dyDescent="0.2"/>
    <row r="4637" ht="12.75" x14ac:dyDescent="0.2"/>
    <row r="4638" ht="12.75" x14ac:dyDescent="0.2"/>
    <row r="4639" ht="12.75" x14ac:dyDescent="0.2"/>
    <row r="4640" ht="12.75" x14ac:dyDescent="0.2"/>
    <row r="4641" ht="12.75" x14ac:dyDescent="0.2"/>
    <row r="4642" ht="12.75" x14ac:dyDescent="0.2"/>
    <row r="4643" ht="12.75" x14ac:dyDescent="0.2"/>
    <row r="4644" ht="12.75" x14ac:dyDescent="0.2"/>
    <row r="4645" ht="12.75" x14ac:dyDescent="0.2"/>
    <row r="4646" ht="12.75" x14ac:dyDescent="0.2"/>
    <row r="4647" ht="12.75" x14ac:dyDescent="0.2"/>
    <row r="4648" ht="12.75" x14ac:dyDescent="0.2"/>
    <row r="4649" ht="12.75" x14ac:dyDescent="0.2"/>
    <row r="4650" ht="12.75" x14ac:dyDescent="0.2"/>
    <row r="4651" ht="12.75" x14ac:dyDescent="0.2"/>
    <row r="4652" ht="12.75" x14ac:dyDescent="0.2"/>
    <row r="4653" ht="12.75" x14ac:dyDescent="0.2"/>
    <row r="4654" ht="12.75" x14ac:dyDescent="0.2"/>
    <row r="4655" ht="12.75" x14ac:dyDescent="0.2"/>
    <row r="4656" ht="12.75" x14ac:dyDescent="0.2"/>
    <row r="4657" ht="12.75" x14ac:dyDescent="0.2"/>
    <row r="4658" ht="12.75" x14ac:dyDescent="0.2"/>
    <row r="4659" ht="12.75" x14ac:dyDescent="0.2"/>
    <row r="4660" ht="12.75" x14ac:dyDescent="0.2"/>
    <row r="4661" ht="12.75" x14ac:dyDescent="0.2"/>
    <row r="4662" ht="12.75" x14ac:dyDescent="0.2"/>
    <row r="4663" ht="12.75" x14ac:dyDescent="0.2"/>
    <row r="4664" ht="12.75" x14ac:dyDescent="0.2"/>
    <row r="4665" ht="12.75" x14ac:dyDescent="0.2"/>
    <row r="4666" ht="12.75" x14ac:dyDescent="0.2"/>
    <row r="4667" ht="12.75" x14ac:dyDescent="0.2"/>
    <row r="4668" ht="12.75" x14ac:dyDescent="0.2"/>
    <row r="4669" ht="12.75" x14ac:dyDescent="0.2"/>
    <row r="4670" ht="12.75" x14ac:dyDescent="0.2"/>
    <row r="4671" ht="12.75" x14ac:dyDescent="0.2"/>
    <row r="4672" ht="12.75" x14ac:dyDescent="0.2"/>
    <row r="4673" ht="12.75" x14ac:dyDescent="0.2"/>
    <row r="4674" ht="12.75" x14ac:dyDescent="0.2"/>
    <row r="4675" ht="12.75" x14ac:dyDescent="0.2"/>
    <row r="4676" ht="12.75" x14ac:dyDescent="0.2"/>
    <row r="4677" ht="12.75" x14ac:dyDescent="0.2"/>
    <row r="4678" ht="12.75" x14ac:dyDescent="0.2"/>
    <row r="4679" ht="12.75" x14ac:dyDescent="0.2"/>
    <row r="4680" ht="12.75" x14ac:dyDescent="0.2"/>
    <row r="4681" ht="12.75" x14ac:dyDescent="0.2"/>
    <row r="4682" ht="12.75" x14ac:dyDescent="0.2"/>
    <row r="4683" ht="12.75" x14ac:dyDescent="0.2"/>
    <row r="4684" ht="12.75" x14ac:dyDescent="0.2"/>
    <row r="4685" ht="12.75" x14ac:dyDescent="0.2"/>
    <row r="4686" ht="12.75" x14ac:dyDescent="0.2"/>
    <row r="4687" ht="12.75" x14ac:dyDescent="0.2"/>
    <row r="4688" ht="12.75" x14ac:dyDescent="0.2"/>
    <row r="4689" ht="12.75" x14ac:dyDescent="0.2"/>
    <row r="4690" ht="12.75" x14ac:dyDescent="0.2"/>
    <row r="4691" ht="12.75" x14ac:dyDescent="0.2"/>
    <row r="4692" ht="12.75" x14ac:dyDescent="0.2"/>
    <row r="4693" ht="12.75" x14ac:dyDescent="0.2"/>
    <row r="4694" ht="12.75" x14ac:dyDescent="0.2"/>
    <row r="4695" ht="12.75" x14ac:dyDescent="0.2"/>
    <row r="4696" ht="12.75" x14ac:dyDescent="0.2"/>
    <row r="4697" ht="12.75" x14ac:dyDescent="0.2"/>
    <row r="4698" ht="12.75" x14ac:dyDescent="0.2"/>
    <row r="4699" ht="12.75" x14ac:dyDescent="0.2"/>
    <row r="4700" ht="12.75" x14ac:dyDescent="0.2"/>
    <row r="4701" ht="12.75" x14ac:dyDescent="0.2"/>
    <row r="4702" ht="12.75" x14ac:dyDescent="0.2"/>
    <row r="4703" ht="12.75" x14ac:dyDescent="0.2"/>
    <row r="4704" ht="12.75" x14ac:dyDescent="0.2"/>
    <row r="4705" ht="12.75" x14ac:dyDescent="0.2"/>
    <row r="4706" ht="12.75" x14ac:dyDescent="0.2"/>
    <row r="4707" ht="12.75" x14ac:dyDescent="0.2"/>
    <row r="4708" ht="12.75" x14ac:dyDescent="0.2"/>
    <row r="4709" ht="12.75" x14ac:dyDescent="0.2"/>
    <row r="4710" ht="12.75" x14ac:dyDescent="0.2"/>
    <row r="4711" ht="12.75" x14ac:dyDescent="0.2"/>
    <row r="4712" ht="12.75" x14ac:dyDescent="0.2"/>
    <row r="4713" ht="12.75" x14ac:dyDescent="0.2"/>
    <row r="4714" ht="12.75" x14ac:dyDescent="0.2"/>
    <row r="4715" ht="12.75" x14ac:dyDescent="0.2"/>
    <row r="4716" ht="12.75" x14ac:dyDescent="0.2"/>
    <row r="4717" ht="12.75" x14ac:dyDescent="0.2"/>
    <row r="4718" ht="12.75" x14ac:dyDescent="0.2"/>
    <row r="4719" ht="12.75" x14ac:dyDescent="0.2"/>
    <row r="4720" ht="12.75" x14ac:dyDescent="0.2"/>
    <row r="4721" ht="12.75" x14ac:dyDescent="0.2"/>
    <row r="4722" ht="12.75" x14ac:dyDescent="0.2"/>
    <row r="4723" ht="12.75" x14ac:dyDescent="0.2"/>
    <row r="4724" ht="12.75" x14ac:dyDescent="0.2"/>
    <row r="4725" ht="12.75" x14ac:dyDescent="0.2"/>
    <row r="4726" ht="12.75" x14ac:dyDescent="0.2"/>
    <row r="4727" ht="12.75" x14ac:dyDescent="0.2"/>
    <row r="4728" ht="12.75" x14ac:dyDescent="0.2"/>
    <row r="4729" ht="12.75" x14ac:dyDescent="0.2"/>
    <row r="4730" ht="12.75" x14ac:dyDescent="0.2"/>
    <row r="4731" ht="12.75" x14ac:dyDescent="0.2"/>
    <row r="4732" ht="12.75" x14ac:dyDescent="0.2"/>
    <row r="4733" ht="12.75" x14ac:dyDescent="0.2"/>
    <row r="4734" ht="12.75" x14ac:dyDescent="0.2"/>
    <row r="4735" ht="12.75" x14ac:dyDescent="0.2"/>
    <row r="4736" ht="12.75" x14ac:dyDescent="0.2"/>
    <row r="4737" ht="12.75" x14ac:dyDescent="0.2"/>
    <row r="4738" ht="12.75" x14ac:dyDescent="0.2"/>
    <row r="4739" ht="12.75" x14ac:dyDescent="0.2"/>
    <row r="4740" ht="12.75" x14ac:dyDescent="0.2"/>
    <row r="4741" ht="12.75" x14ac:dyDescent="0.2"/>
    <row r="4742" ht="12.75" x14ac:dyDescent="0.2"/>
    <row r="4743" ht="12.75" x14ac:dyDescent="0.2"/>
    <row r="4744" ht="12.75" x14ac:dyDescent="0.2"/>
    <row r="4745" ht="12.75" x14ac:dyDescent="0.2"/>
    <row r="4746" ht="12.75" x14ac:dyDescent="0.2"/>
    <row r="4747" ht="12.75" x14ac:dyDescent="0.2"/>
    <row r="4748" ht="12.75" x14ac:dyDescent="0.2"/>
    <row r="4749" ht="12.75" x14ac:dyDescent="0.2"/>
    <row r="4750" ht="12.75" x14ac:dyDescent="0.2"/>
    <row r="4751" ht="12.75" x14ac:dyDescent="0.2"/>
    <row r="4752" ht="12.75" x14ac:dyDescent="0.2"/>
    <row r="4753" ht="12.75" x14ac:dyDescent="0.2"/>
    <row r="4754" ht="12.75" x14ac:dyDescent="0.2"/>
    <row r="4755" ht="12.75" x14ac:dyDescent="0.2"/>
    <row r="4756" ht="12.75" x14ac:dyDescent="0.2"/>
    <row r="4757" ht="12.75" x14ac:dyDescent="0.2"/>
    <row r="4758" ht="12.75" x14ac:dyDescent="0.2"/>
    <row r="4759" ht="12.75" x14ac:dyDescent="0.2"/>
    <row r="4760" ht="12.75" x14ac:dyDescent="0.2"/>
    <row r="4761" ht="12.75" x14ac:dyDescent="0.2"/>
    <row r="4762" ht="12.75" x14ac:dyDescent="0.2"/>
    <row r="4763" ht="12.75" x14ac:dyDescent="0.2"/>
    <row r="4764" ht="12.75" x14ac:dyDescent="0.2"/>
    <row r="4765" ht="12.75" x14ac:dyDescent="0.2"/>
    <row r="4766" ht="12.75" x14ac:dyDescent="0.2"/>
    <row r="4767" ht="12.75" x14ac:dyDescent="0.2"/>
    <row r="4768" ht="12.75" x14ac:dyDescent="0.2"/>
    <row r="4769" ht="12.75" x14ac:dyDescent="0.2"/>
    <row r="4770" ht="12.75" x14ac:dyDescent="0.2"/>
    <row r="4771" ht="12.75" x14ac:dyDescent="0.2"/>
    <row r="4772" ht="12.75" x14ac:dyDescent="0.2"/>
    <row r="4773" ht="12.75" x14ac:dyDescent="0.2"/>
    <row r="4774" ht="12.75" x14ac:dyDescent="0.2"/>
    <row r="4775" ht="12.75" x14ac:dyDescent="0.2"/>
    <row r="4776" ht="12.75" x14ac:dyDescent="0.2"/>
    <row r="4777" ht="12.75" x14ac:dyDescent="0.2"/>
    <row r="4778" ht="12.75" x14ac:dyDescent="0.2"/>
    <row r="4779" ht="12.75" x14ac:dyDescent="0.2"/>
    <row r="4780" ht="12.75" x14ac:dyDescent="0.2"/>
    <row r="4781" ht="12.75" x14ac:dyDescent="0.2"/>
    <row r="4782" ht="12.75" x14ac:dyDescent="0.2"/>
    <row r="4783" ht="12.75" x14ac:dyDescent="0.2"/>
    <row r="4784" ht="12.75" x14ac:dyDescent="0.2"/>
    <row r="4785" ht="12.75" x14ac:dyDescent="0.2"/>
    <row r="4786" ht="12.75" x14ac:dyDescent="0.2"/>
    <row r="4787" ht="12.75" x14ac:dyDescent="0.2"/>
    <row r="4788" ht="12.75" x14ac:dyDescent="0.2"/>
    <row r="4789" ht="12.75" x14ac:dyDescent="0.2"/>
    <row r="4790" ht="12.75" x14ac:dyDescent="0.2"/>
    <row r="4791" ht="12.75" x14ac:dyDescent="0.2"/>
    <row r="4792" ht="12.75" x14ac:dyDescent="0.2"/>
    <row r="4793" ht="12.75" x14ac:dyDescent="0.2"/>
    <row r="4794" ht="12.75" x14ac:dyDescent="0.2"/>
    <row r="4795" ht="12.75" x14ac:dyDescent="0.2"/>
    <row r="4796" ht="12.75" x14ac:dyDescent="0.2"/>
    <row r="4797" ht="12.75" x14ac:dyDescent="0.2"/>
    <row r="4798" ht="12.75" x14ac:dyDescent="0.2"/>
    <row r="4799" ht="12.75" x14ac:dyDescent="0.2"/>
    <row r="4800" ht="12.75" x14ac:dyDescent="0.2"/>
    <row r="4801" ht="12.75" x14ac:dyDescent="0.2"/>
    <row r="4802" ht="12.75" x14ac:dyDescent="0.2"/>
    <row r="4803" ht="12.75" x14ac:dyDescent="0.2"/>
    <row r="4804" ht="12.75" x14ac:dyDescent="0.2"/>
    <row r="4805" ht="12.75" x14ac:dyDescent="0.2"/>
    <row r="4806" ht="12.75" x14ac:dyDescent="0.2"/>
    <row r="4807" ht="12.75" x14ac:dyDescent="0.2"/>
    <row r="4808" ht="12.75" x14ac:dyDescent="0.2"/>
    <row r="4809" ht="12.75" x14ac:dyDescent="0.2"/>
    <row r="4810" ht="12.75" x14ac:dyDescent="0.2"/>
    <row r="4811" ht="12.75" x14ac:dyDescent="0.2"/>
    <row r="4812" ht="12.75" x14ac:dyDescent="0.2"/>
    <row r="4813" ht="12.75" x14ac:dyDescent="0.2"/>
    <row r="4814" ht="12.75" x14ac:dyDescent="0.2"/>
    <row r="4815" ht="12.75" x14ac:dyDescent="0.2"/>
    <row r="4816" ht="12.75" x14ac:dyDescent="0.2"/>
    <row r="4817" ht="12.75" x14ac:dyDescent="0.2"/>
    <row r="4818" ht="12.75" x14ac:dyDescent="0.2"/>
    <row r="4819" ht="12.75" x14ac:dyDescent="0.2"/>
    <row r="4820" ht="12.75" x14ac:dyDescent="0.2"/>
    <row r="4821" ht="12.75" x14ac:dyDescent="0.2"/>
    <row r="4822" ht="12.75" x14ac:dyDescent="0.2"/>
    <row r="4823" ht="12.75" x14ac:dyDescent="0.2"/>
    <row r="4824" ht="12.75" x14ac:dyDescent="0.2"/>
    <row r="4825" ht="12.75" x14ac:dyDescent="0.2"/>
    <row r="4826" ht="12.75" x14ac:dyDescent="0.2"/>
    <row r="4827" ht="12.75" x14ac:dyDescent="0.2"/>
    <row r="4828" ht="12.75" x14ac:dyDescent="0.2"/>
    <row r="4829" ht="12.75" x14ac:dyDescent="0.2"/>
    <row r="4830" ht="12.75" x14ac:dyDescent="0.2"/>
    <row r="4831" ht="12.75" x14ac:dyDescent="0.2"/>
    <row r="4832" ht="12.75" x14ac:dyDescent="0.2"/>
    <row r="4833" ht="12.75" x14ac:dyDescent="0.2"/>
    <row r="4834" ht="12.75" x14ac:dyDescent="0.2"/>
    <row r="4835" ht="12.75" x14ac:dyDescent="0.2"/>
    <row r="4836" ht="12.75" x14ac:dyDescent="0.2"/>
    <row r="4837" ht="12.75" x14ac:dyDescent="0.2"/>
    <row r="4838" ht="12.75" x14ac:dyDescent="0.2"/>
    <row r="4839" ht="12.75" x14ac:dyDescent="0.2"/>
    <row r="4840" ht="12.75" x14ac:dyDescent="0.2"/>
    <row r="4841" ht="12.75" x14ac:dyDescent="0.2"/>
    <row r="4842" ht="12.75" x14ac:dyDescent="0.2"/>
    <row r="4843" ht="12.75" x14ac:dyDescent="0.2"/>
    <row r="4844" ht="12.75" x14ac:dyDescent="0.2"/>
    <row r="4845" ht="12.75" x14ac:dyDescent="0.2"/>
    <row r="4846" ht="12.75" x14ac:dyDescent="0.2"/>
    <row r="4847" ht="12.75" x14ac:dyDescent="0.2"/>
    <row r="4848" ht="12.75" x14ac:dyDescent="0.2"/>
    <row r="4849" ht="12.75" x14ac:dyDescent="0.2"/>
    <row r="4850" ht="12.75" x14ac:dyDescent="0.2"/>
    <row r="4851" ht="12.75" x14ac:dyDescent="0.2"/>
    <row r="4852" ht="12.75" x14ac:dyDescent="0.2"/>
    <row r="4853" ht="12.75" x14ac:dyDescent="0.2"/>
    <row r="4854" ht="12.75" x14ac:dyDescent="0.2"/>
    <row r="4855" ht="12.75" x14ac:dyDescent="0.2"/>
    <row r="4856" ht="12.75" x14ac:dyDescent="0.2"/>
    <row r="4857" ht="12.75" x14ac:dyDescent="0.2"/>
    <row r="4858" ht="12.75" x14ac:dyDescent="0.2"/>
    <row r="4859" ht="12.75" x14ac:dyDescent="0.2"/>
    <row r="4860" ht="12.75" x14ac:dyDescent="0.2"/>
    <row r="4861" ht="12.75" x14ac:dyDescent="0.2"/>
    <row r="4862" ht="12.75" x14ac:dyDescent="0.2"/>
    <row r="4863" ht="12.75" x14ac:dyDescent="0.2"/>
    <row r="4864" ht="12.75" x14ac:dyDescent="0.2"/>
    <row r="4865" ht="12.75" x14ac:dyDescent="0.2"/>
    <row r="4866" ht="12.75" x14ac:dyDescent="0.2"/>
    <row r="4867" ht="12.75" x14ac:dyDescent="0.2"/>
    <row r="4868" ht="12.75" x14ac:dyDescent="0.2"/>
    <row r="4869" ht="12.75" x14ac:dyDescent="0.2"/>
    <row r="4870" ht="12.75" x14ac:dyDescent="0.2"/>
    <row r="4871" ht="12.75" x14ac:dyDescent="0.2"/>
    <row r="4872" ht="12.75" x14ac:dyDescent="0.2"/>
    <row r="4873" ht="12.75" x14ac:dyDescent="0.2"/>
    <row r="4874" ht="12.75" x14ac:dyDescent="0.2"/>
    <row r="4875" ht="12.75" x14ac:dyDescent="0.2"/>
    <row r="4876" ht="12.75" x14ac:dyDescent="0.2"/>
    <row r="4877" ht="12.75" x14ac:dyDescent="0.2"/>
    <row r="4878" ht="12.75" x14ac:dyDescent="0.2"/>
    <row r="4879" ht="12.75" x14ac:dyDescent="0.2"/>
    <row r="4880" ht="12.75" x14ac:dyDescent="0.2"/>
    <row r="4881" ht="12.75" x14ac:dyDescent="0.2"/>
    <row r="4882" ht="12.75" x14ac:dyDescent="0.2"/>
    <row r="4883" ht="12.75" x14ac:dyDescent="0.2"/>
    <row r="4884" ht="12.75" x14ac:dyDescent="0.2"/>
    <row r="4885" ht="12.75" x14ac:dyDescent="0.2"/>
    <row r="4886" ht="12.75" x14ac:dyDescent="0.2"/>
    <row r="4887" ht="12.75" x14ac:dyDescent="0.2"/>
    <row r="4888" ht="12.75" x14ac:dyDescent="0.2"/>
    <row r="4889" ht="12.75" x14ac:dyDescent="0.2"/>
    <row r="4890" ht="12.75" x14ac:dyDescent="0.2"/>
    <row r="4891" ht="12.75" x14ac:dyDescent="0.2"/>
    <row r="4892" ht="12.75" x14ac:dyDescent="0.2"/>
    <row r="4893" ht="12.75" x14ac:dyDescent="0.2"/>
    <row r="4894" ht="12.75" x14ac:dyDescent="0.2"/>
    <row r="4895" ht="12.75" x14ac:dyDescent="0.2"/>
    <row r="4896" ht="12.75" x14ac:dyDescent="0.2"/>
    <row r="4897" ht="12.75" x14ac:dyDescent="0.2"/>
    <row r="4898" ht="12.75" x14ac:dyDescent="0.2"/>
    <row r="4899" ht="12.75" x14ac:dyDescent="0.2"/>
    <row r="4900" ht="12.75" x14ac:dyDescent="0.2"/>
    <row r="4901" ht="12.75" x14ac:dyDescent="0.2"/>
    <row r="4902" ht="12.75" x14ac:dyDescent="0.2"/>
    <row r="4903" ht="12.75" x14ac:dyDescent="0.2"/>
    <row r="4904" ht="12.75" x14ac:dyDescent="0.2"/>
    <row r="4905" ht="12.75" x14ac:dyDescent="0.2"/>
    <row r="4906" ht="12.75" x14ac:dyDescent="0.2"/>
    <row r="4907" ht="12.75" x14ac:dyDescent="0.2"/>
    <row r="4908" ht="12.75" x14ac:dyDescent="0.2"/>
    <row r="4909" ht="12.75" x14ac:dyDescent="0.2"/>
    <row r="4910" ht="12.75" x14ac:dyDescent="0.2"/>
    <row r="4911" ht="12.75" x14ac:dyDescent="0.2"/>
    <row r="4912" ht="12.75" x14ac:dyDescent="0.2"/>
    <row r="4913" ht="12.75" x14ac:dyDescent="0.2"/>
    <row r="4914" ht="12.75" x14ac:dyDescent="0.2"/>
    <row r="4915" ht="12.75" x14ac:dyDescent="0.2"/>
    <row r="4916" ht="12.75" x14ac:dyDescent="0.2"/>
    <row r="4917" ht="12.75" x14ac:dyDescent="0.2"/>
    <row r="4918" ht="12.75" x14ac:dyDescent="0.2"/>
    <row r="4919" ht="12.75" x14ac:dyDescent="0.2"/>
    <row r="4920" ht="12.75" x14ac:dyDescent="0.2"/>
    <row r="4921" ht="12.75" x14ac:dyDescent="0.2"/>
    <row r="4922" ht="12.75" x14ac:dyDescent="0.2"/>
    <row r="4923" ht="12.75" x14ac:dyDescent="0.2"/>
    <row r="4924" ht="12.75" x14ac:dyDescent="0.2"/>
    <row r="4925" ht="12.75" x14ac:dyDescent="0.2"/>
    <row r="4926" ht="12.75" x14ac:dyDescent="0.2"/>
    <row r="4927" ht="12.75" x14ac:dyDescent="0.2"/>
    <row r="4928" ht="12.75" x14ac:dyDescent="0.2"/>
    <row r="4929" ht="12.75" x14ac:dyDescent="0.2"/>
    <row r="4930" ht="12.75" x14ac:dyDescent="0.2"/>
    <row r="4931" ht="12.75" x14ac:dyDescent="0.2"/>
    <row r="4932" ht="12.75" x14ac:dyDescent="0.2"/>
    <row r="4933" ht="12.75" x14ac:dyDescent="0.2"/>
    <row r="4934" ht="12.75" x14ac:dyDescent="0.2"/>
    <row r="4935" ht="12.75" x14ac:dyDescent="0.2"/>
    <row r="4936" ht="12.75" x14ac:dyDescent="0.2"/>
    <row r="4937" ht="12.75" x14ac:dyDescent="0.2"/>
    <row r="4938" ht="12.75" x14ac:dyDescent="0.2"/>
    <row r="4939" ht="12.75" x14ac:dyDescent="0.2"/>
    <row r="4940" ht="12.75" x14ac:dyDescent="0.2"/>
    <row r="4941" ht="12.75" x14ac:dyDescent="0.2"/>
    <row r="4942" ht="12.75" x14ac:dyDescent="0.2"/>
    <row r="4943" ht="12.75" x14ac:dyDescent="0.2"/>
    <row r="4944" ht="12.75" x14ac:dyDescent="0.2"/>
    <row r="4945" ht="12.75" x14ac:dyDescent="0.2"/>
    <row r="4946" ht="12.75" x14ac:dyDescent="0.2"/>
    <row r="4947" ht="12.75" x14ac:dyDescent="0.2"/>
    <row r="4948" ht="12.75" x14ac:dyDescent="0.2"/>
    <row r="4949" ht="12.75" x14ac:dyDescent="0.2"/>
    <row r="4950" ht="12.75" x14ac:dyDescent="0.2"/>
    <row r="4951" ht="12.75" x14ac:dyDescent="0.2"/>
    <row r="4952" ht="12.75" x14ac:dyDescent="0.2"/>
    <row r="4953" ht="12.75" x14ac:dyDescent="0.2"/>
    <row r="4954" ht="12.75" x14ac:dyDescent="0.2"/>
    <row r="4955" ht="12.75" x14ac:dyDescent="0.2"/>
    <row r="4956" ht="12.75" x14ac:dyDescent="0.2"/>
    <row r="4957" ht="12.75" x14ac:dyDescent="0.2"/>
    <row r="4958" ht="12.75" x14ac:dyDescent="0.2"/>
    <row r="4959" ht="12.75" x14ac:dyDescent="0.2"/>
    <row r="4960" ht="12.75" x14ac:dyDescent="0.2"/>
    <row r="4961" ht="12.75" x14ac:dyDescent="0.2"/>
    <row r="4962" ht="12.75" x14ac:dyDescent="0.2"/>
    <row r="4963" ht="12.75" x14ac:dyDescent="0.2"/>
    <row r="4964" ht="12.75" x14ac:dyDescent="0.2"/>
    <row r="4965" ht="12.75" x14ac:dyDescent="0.2"/>
    <row r="4966" ht="12.75" x14ac:dyDescent="0.2"/>
    <row r="4967" ht="12.75" x14ac:dyDescent="0.2"/>
    <row r="4968" ht="12.75" x14ac:dyDescent="0.2"/>
    <row r="4969" ht="12.75" x14ac:dyDescent="0.2"/>
    <row r="4970" ht="12.75" x14ac:dyDescent="0.2"/>
    <row r="4971" ht="12.75" x14ac:dyDescent="0.2"/>
    <row r="4972" ht="12.75" x14ac:dyDescent="0.2"/>
    <row r="4973" ht="12.75" x14ac:dyDescent="0.2"/>
    <row r="4974" ht="12.75" x14ac:dyDescent="0.2"/>
    <row r="4975" ht="12.75" x14ac:dyDescent="0.2"/>
    <row r="4976" ht="12.75" x14ac:dyDescent="0.2"/>
    <row r="4977" ht="12.75" x14ac:dyDescent="0.2"/>
    <row r="4978" ht="12.75" x14ac:dyDescent="0.2"/>
    <row r="4979" ht="12.75" x14ac:dyDescent="0.2"/>
    <row r="4980" ht="12.75" x14ac:dyDescent="0.2"/>
    <row r="4981" ht="12.75" x14ac:dyDescent="0.2"/>
    <row r="4982" ht="12.75" x14ac:dyDescent="0.2"/>
    <row r="4983" ht="12.75" x14ac:dyDescent="0.2"/>
    <row r="4984" ht="12.75" x14ac:dyDescent="0.2"/>
    <row r="4985" ht="12.75" x14ac:dyDescent="0.2"/>
    <row r="4986" ht="12.75" x14ac:dyDescent="0.2"/>
    <row r="4987" ht="12.75" x14ac:dyDescent="0.2"/>
    <row r="4988" ht="12.75" x14ac:dyDescent="0.2"/>
    <row r="4989" ht="12.75" x14ac:dyDescent="0.2"/>
    <row r="4990" ht="12.75" x14ac:dyDescent="0.2"/>
    <row r="4991" ht="12.75" x14ac:dyDescent="0.2"/>
    <row r="4992" ht="12.75" x14ac:dyDescent="0.2"/>
    <row r="4993" ht="12.75" x14ac:dyDescent="0.2"/>
    <row r="4994" ht="12.75" x14ac:dyDescent="0.2"/>
    <row r="4995" ht="12.75" x14ac:dyDescent="0.2"/>
    <row r="4996" ht="12.75" x14ac:dyDescent="0.2"/>
    <row r="4997" ht="12.75" x14ac:dyDescent="0.2"/>
    <row r="4998" ht="12.75" x14ac:dyDescent="0.2"/>
    <row r="4999" ht="12.75" x14ac:dyDescent="0.2"/>
    <row r="5000" ht="12.75" x14ac:dyDescent="0.2"/>
    <row r="5001" ht="12.75" x14ac:dyDescent="0.2"/>
    <row r="5002" ht="12.75" x14ac:dyDescent="0.2"/>
    <row r="5003" ht="12.75" x14ac:dyDescent="0.2"/>
    <row r="5004" ht="12.75" x14ac:dyDescent="0.2"/>
    <row r="5005" ht="12.75" x14ac:dyDescent="0.2"/>
    <row r="5006" ht="12.75" x14ac:dyDescent="0.2"/>
    <row r="5007" ht="12.75" x14ac:dyDescent="0.2"/>
    <row r="5008" ht="12.75" x14ac:dyDescent="0.2"/>
    <row r="5009" ht="12.75" x14ac:dyDescent="0.2"/>
    <row r="5010" ht="12.75" x14ac:dyDescent="0.2"/>
    <row r="5011" ht="12.75" x14ac:dyDescent="0.2"/>
    <row r="5012" ht="12.75" x14ac:dyDescent="0.2"/>
    <row r="5013" ht="12.75" x14ac:dyDescent="0.2"/>
    <row r="5014" ht="12.75" x14ac:dyDescent="0.2"/>
    <row r="5015" ht="12.75" x14ac:dyDescent="0.2"/>
    <row r="5016" ht="12.75" x14ac:dyDescent="0.2"/>
    <row r="5017" ht="12.75" x14ac:dyDescent="0.2"/>
    <row r="5018" ht="12.75" x14ac:dyDescent="0.2"/>
    <row r="5019" ht="12.75" x14ac:dyDescent="0.2"/>
    <row r="5020" ht="12.75" x14ac:dyDescent="0.2"/>
    <row r="5021" ht="12.75" x14ac:dyDescent="0.2"/>
    <row r="5022" ht="12.75" x14ac:dyDescent="0.2"/>
    <row r="5023" ht="12.75" x14ac:dyDescent="0.2"/>
    <row r="5024" ht="12.75" x14ac:dyDescent="0.2"/>
    <row r="5025" ht="12.75" x14ac:dyDescent="0.2"/>
    <row r="5026" ht="12.75" x14ac:dyDescent="0.2"/>
    <row r="5027" ht="12.75" x14ac:dyDescent="0.2"/>
    <row r="5028" ht="12.75" x14ac:dyDescent="0.2"/>
    <row r="5029" ht="12.75" x14ac:dyDescent="0.2"/>
    <row r="5030" ht="12.75" x14ac:dyDescent="0.2"/>
    <row r="5031" ht="12.75" x14ac:dyDescent="0.2"/>
    <row r="5032" ht="12.75" x14ac:dyDescent="0.2"/>
    <row r="5033" ht="12.75" x14ac:dyDescent="0.2"/>
    <row r="5034" ht="12.75" x14ac:dyDescent="0.2"/>
    <row r="5035" ht="12.75" x14ac:dyDescent="0.2"/>
    <row r="5036" ht="12.75" x14ac:dyDescent="0.2"/>
    <row r="5037" ht="12.75" x14ac:dyDescent="0.2"/>
    <row r="5038" ht="12.75" x14ac:dyDescent="0.2"/>
    <row r="5039" ht="12.75" x14ac:dyDescent="0.2"/>
    <row r="5040" ht="12.75" x14ac:dyDescent="0.2"/>
    <row r="5041" ht="12.75" x14ac:dyDescent="0.2"/>
    <row r="5042" ht="12.75" x14ac:dyDescent="0.2"/>
    <row r="5043" ht="12.75" x14ac:dyDescent="0.2"/>
    <row r="5044" ht="12.75" x14ac:dyDescent="0.2"/>
    <row r="5045" ht="12.75" x14ac:dyDescent="0.2"/>
    <row r="5046" ht="12.75" x14ac:dyDescent="0.2"/>
    <row r="5047" ht="12.75" x14ac:dyDescent="0.2"/>
    <row r="5048" ht="12.75" x14ac:dyDescent="0.2"/>
    <row r="5049" ht="12.75" x14ac:dyDescent="0.2"/>
    <row r="5050" ht="12.75" x14ac:dyDescent="0.2"/>
    <row r="5051" ht="12.75" x14ac:dyDescent="0.2"/>
    <row r="5052" ht="12.75" x14ac:dyDescent="0.2"/>
    <row r="5053" ht="12.75" x14ac:dyDescent="0.2"/>
    <row r="5054" ht="12.75" x14ac:dyDescent="0.2"/>
    <row r="5055" ht="12.75" x14ac:dyDescent="0.2"/>
    <row r="5056" ht="12.75" x14ac:dyDescent="0.2"/>
    <row r="5057" ht="12.75" x14ac:dyDescent="0.2"/>
    <row r="5058" ht="12.75" x14ac:dyDescent="0.2"/>
    <row r="5059" ht="12.75" x14ac:dyDescent="0.2"/>
    <row r="5060" ht="12.75" x14ac:dyDescent="0.2"/>
    <row r="5061" ht="12.75" x14ac:dyDescent="0.2"/>
    <row r="5062" ht="12.75" x14ac:dyDescent="0.2"/>
    <row r="5063" ht="12.75" x14ac:dyDescent="0.2"/>
    <row r="5064" ht="12.75" x14ac:dyDescent="0.2"/>
    <row r="5065" ht="12.75" x14ac:dyDescent="0.2"/>
    <row r="5066" ht="12.75" x14ac:dyDescent="0.2"/>
    <row r="5067" ht="12.75" x14ac:dyDescent="0.2"/>
    <row r="5068" ht="12.75" x14ac:dyDescent="0.2"/>
    <row r="5069" ht="12.75" x14ac:dyDescent="0.2"/>
    <row r="5070" ht="12.75" x14ac:dyDescent="0.2"/>
    <row r="5071" ht="12.75" x14ac:dyDescent="0.2"/>
    <row r="5072" ht="12.75" x14ac:dyDescent="0.2"/>
    <row r="5073" ht="12.75" x14ac:dyDescent="0.2"/>
    <row r="5074" ht="12.75" x14ac:dyDescent="0.2"/>
    <row r="5075" ht="12.75" x14ac:dyDescent="0.2"/>
    <row r="5076" ht="12.75" x14ac:dyDescent="0.2"/>
    <row r="5077" ht="12.75" x14ac:dyDescent="0.2"/>
    <row r="5078" ht="12.75" x14ac:dyDescent="0.2"/>
    <row r="5079" ht="12.75" x14ac:dyDescent="0.2"/>
    <row r="5080" ht="12.75" x14ac:dyDescent="0.2"/>
    <row r="5081" ht="12.75" x14ac:dyDescent="0.2"/>
    <row r="5082" ht="12.75" x14ac:dyDescent="0.2"/>
    <row r="5083" ht="12.75" x14ac:dyDescent="0.2"/>
    <row r="5084" ht="12.75" x14ac:dyDescent="0.2"/>
    <row r="5085" ht="12.75" x14ac:dyDescent="0.2"/>
    <row r="5086" ht="12.75" x14ac:dyDescent="0.2"/>
    <row r="5087" ht="12.75" x14ac:dyDescent="0.2"/>
    <row r="5088" ht="12.75" x14ac:dyDescent="0.2"/>
    <row r="5089" ht="12.75" x14ac:dyDescent="0.2"/>
    <row r="5090" ht="12.75" x14ac:dyDescent="0.2"/>
    <row r="5091" ht="12.75" x14ac:dyDescent="0.2"/>
    <row r="5092" ht="12.75" x14ac:dyDescent="0.2"/>
    <row r="5093" ht="12.75" x14ac:dyDescent="0.2"/>
    <row r="5094" ht="12.75" x14ac:dyDescent="0.2"/>
    <row r="5095" ht="12.75" x14ac:dyDescent="0.2"/>
    <row r="5096" ht="12.75" x14ac:dyDescent="0.2"/>
    <row r="5097" ht="12.75" x14ac:dyDescent="0.2"/>
    <row r="5098" ht="12.75" x14ac:dyDescent="0.2"/>
    <row r="5099" ht="12.75" x14ac:dyDescent="0.2"/>
    <row r="5100" ht="12.75" x14ac:dyDescent="0.2"/>
    <row r="5101" ht="12.75" x14ac:dyDescent="0.2"/>
    <row r="5102" ht="12.75" x14ac:dyDescent="0.2"/>
    <row r="5103" ht="12.75" x14ac:dyDescent="0.2"/>
    <row r="5104" ht="12.75" x14ac:dyDescent="0.2"/>
    <row r="5105" ht="12.75" x14ac:dyDescent="0.2"/>
    <row r="5106" ht="12.75" x14ac:dyDescent="0.2"/>
    <row r="5107" ht="12.75" x14ac:dyDescent="0.2"/>
    <row r="5108" ht="12.75" x14ac:dyDescent="0.2"/>
    <row r="5109" ht="12.75" x14ac:dyDescent="0.2"/>
    <row r="5110" ht="12.75" x14ac:dyDescent="0.2"/>
    <row r="5111" ht="12.75" x14ac:dyDescent="0.2"/>
    <row r="5112" ht="12.75" x14ac:dyDescent="0.2"/>
    <row r="5113" ht="12.75" x14ac:dyDescent="0.2"/>
    <row r="5114" ht="12.75" x14ac:dyDescent="0.2"/>
    <row r="5115" ht="12.75" x14ac:dyDescent="0.2"/>
    <row r="5116" ht="12.75" x14ac:dyDescent="0.2"/>
    <row r="5117" ht="12.75" x14ac:dyDescent="0.2"/>
    <row r="5118" ht="12.75" x14ac:dyDescent="0.2"/>
    <row r="5119" ht="12.75" x14ac:dyDescent="0.2"/>
    <row r="5120" ht="12.75" x14ac:dyDescent="0.2"/>
    <row r="5121" ht="12.75" x14ac:dyDescent="0.2"/>
    <row r="5122" ht="12.75" x14ac:dyDescent="0.2"/>
    <row r="5123" ht="12.75" x14ac:dyDescent="0.2"/>
    <row r="5124" ht="12.75" x14ac:dyDescent="0.2"/>
    <row r="5125" ht="12.75" x14ac:dyDescent="0.2"/>
    <row r="5126" ht="12.75" x14ac:dyDescent="0.2"/>
    <row r="5127" ht="12.75" x14ac:dyDescent="0.2"/>
    <row r="5128" ht="12.75" x14ac:dyDescent="0.2"/>
    <row r="5129" ht="12.75" x14ac:dyDescent="0.2"/>
    <row r="5130" ht="12.75" x14ac:dyDescent="0.2"/>
    <row r="5131" ht="12.75" x14ac:dyDescent="0.2"/>
    <row r="5132" ht="12.75" x14ac:dyDescent="0.2"/>
    <row r="5133" ht="12.75" x14ac:dyDescent="0.2"/>
    <row r="5134" ht="12.75" x14ac:dyDescent="0.2"/>
    <row r="5135" ht="12.75" x14ac:dyDescent="0.2"/>
    <row r="5136" ht="12.75" x14ac:dyDescent="0.2"/>
    <row r="5137" ht="12.75" x14ac:dyDescent="0.2"/>
    <row r="5138" ht="12.75" x14ac:dyDescent="0.2"/>
    <row r="5139" ht="12.75" x14ac:dyDescent="0.2"/>
    <row r="5140" ht="12.75" x14ac:dyDescent="0.2"/>
    <row r="5141" ht="12.75" x14ac:dyDescent="0.2"/>
    <row r="5142" ht="12.75" x14ac:dyDescent="0.2"/>
    <row r="5143" ht="12.75" x14ac:dyDescent="0.2"/>
    <row r="5144" ht="12.75" x14ac:dyDescent="0.2"/>
    <row r="5145" ht="12.75" x14ac:dyDescent="0.2"/>
    <row r="5146" ht="12.75" x14ac:dyDescent="0.2"/>
    <row r="5147" ht="12.75" x14ac:dyDescent="0.2"/>
    <row r="5148" ht="12.75" x14ac:dyDescent="0.2"/>
    <row r="5149" ht="12.75" x14ac:dyDescent="0.2"/>
    <row r="5150" ht="12.75" x14ac:dyDescent="0.2"/>
    <row r="5151" ht="12.75" x14ac:dyDescent="0.2"/>
    <row r="5152" ht="12.75" x14ac:dyDescent="0.2"/>
    <row r="5153" ht="12.75" x14ac:dyDescent="0.2"/>
    <row r="5154" ht="12.75" x14ac:dyDescent="0.2"/>
    <row r="5155" ht="12.75" x14ac:dyDescent="0.2"/>
    <row r="5156" ht="12.75" x14ac:dyDescent="0.2"/>
    <row r="5157" ht="12.75" x14ac:dyDescent="0.2"/>
    <row r="5158" ht="12.75" x14ac:dyDescent="0.2"/>
    <row r="5159" ht="12.75" x14ac:dyDescent="0.2"/>
    <row r="5160" ht="12.75" x14ac:dyDescent="0.2"/>
    <row r="5161" ht="12.75" x14ac:dyDescent="0.2"/>
    <row r="5162" ht="12.75" x14ac:dyDescent="0.2"/>
    <row r="5163" ht="12.75" x14ac:dyDescent="0.2"/>
    <row r="5164" ht="12.75" x14ac:dyDescent="0.2"/>
    <row r="5165" ht="12.75" x14ac:dyDescent="0.2"/>
    <row r="5166" ht="12.75" x14ac:dyDescent="0.2"/>
    <row r="5167" ht="12.75" x14ac:dyDescent="0.2"/>
    <row r="5168" ht="12.75" x14ac:dyDescent="0.2"/>
    <row r="5169" ht="12.75" x14ac:dyDescent="0.2"/>
    <row r="5170" ht="12.75" x14ac:dyDescent="0.2"/>
    <row r="5171" ht="12.75" x14ac:dyDescent="0.2"/>
    <row r="5172" ht="12.75" x14ac:dyDescent="0.2"/>
    <row r="5173" ht="12.75" x14ac:dyDescent="0.2"/>
    <row r="5174" ht="12.75" x14ac:dyDescent="0.2"/>
    <row r="5175" ht="12.75" x14ac:dyDescent="0.2"/>
    <row r="5176" ht="12.75" x14ac:dyDescent="0.2"/>
    <row r="5177" ht="12.75" x14ac:dyDescent="0.2"/>
    <row r="5178" ht="12.75" x14ac:dyDescent="0.2"/>
    <row r="5179" ht="12.75" x14ac:dyDescent="0.2"/>
    <row r="5180" ht="12.75" x14ac:dyDescent="0.2"/>
    <row r="5181" ht="12.75" x14ac:dyDescent="0.2"/>
    <row r="5182" ht="12.75" x14ac:dyDescent="0.2"/>
    <row r="5183" ht="12.75" x14ac:dyDescent="0.2"/>
    <row r="5184" ht="12.75" x14ac:dyDescent="0.2"/>
    <row r="5185" ht="12.75" x14ac:dyDescent="0.2"/>
    <row r="5186" ht="12.75" x14ac:dyDescent="0.2"/>
    <row r="5187" ht="12.75" x14ac:dyDescent="0.2"/>
    <row r="5188" ht="12.75" x14ac:dyDescent="0.2"/>
    <row r="5189" ht="12.75" x14ac:dyDescent="0.2"/>
    <row r="5190" ht="12.75" x14ac:dyDescent="0.2"/>
    <row r="5191" ht="12.75" x14ac:dyDescent="0.2"/>
    <row r="5192" ht="12.75" x14ac:dyDescent="0.2"/>
    <row r="5193" ht="12.75" x14ac:dyDescent="0.2"/>
    <row r="5194" ht="12.75" x14ac:dyDescent="0.2"/>
    <row r="5195" ht="12.75" x14ac:dyDescent="0.2"/>
    <row r="5196" ht="12.75" x14ac:dyDescent="0.2"/>
    <row r="5197" ht="12.75" x14ac:dyDescent="0.2"/>
    <row r="5198" ht="12.75" x14ac:dyDescent="0.2"/>
    <row r="5199" ht="12.75" x14ac:dyDescent="0.2"/>
    <row r="5200" ht="12.75" x14ac:dyDescent="0.2"/>
    <row r="5201" ht="12.75" x14ac:dyDescent="0.2"/>
    <row r="5202" ht="12.75" x14ac:dyDescent="0.2"/>
    <row r="5203" ht="12.75" x14ac:dyDescent="0.2"/>
    <row r="5204" ht="12.75" x14ac:dyDescent="0.2"/>
    <row r="5205" ht="12.75" x14ac:dyDescent="0.2"/>
    <row r="5206" ht="12.75" x14ac:dyDescent="0.2"/>
    <row r="5207" ht="12.75" x14ac:dyDescent="0.2"/>
    <row r="5208" ht="12.75" x14ac:dyDescent="0.2"/>
    <row r="5209" ht="12.75" x14ac:dyDescent="0.2"/>
    <row r="5210" ht="12.75" x14ac:dyDescent="0.2"/>
    <row r="5211" ht="12.75" x14ac:dyDescent="0.2"/>
    <row r="5212" ht="12.75" x14ac:dyDescent="0.2"/>
    <row r="5213" ht="12.75" x14ac:dyDescent="0.2"/>
    <row r="5214" ht="12.75" x14ac:dyDescent="0.2"/>
    <row r="5215" ht="12.75" x14ac:dyDescent="0.2"/>
    <row r="5216" ht="12.75" x14ac:dyDescent="0.2"/>
    <row r="5217" ht="12.75" x14ac:dyDescent="0.2"/>
    <row r="5218" ht="12.75" x14ac:dyDescent="0.2"/>
    <row r="5219" ht="12.75" x14ac:dyDescent="0.2"/>
    <row r="5220" ht="12.75" x14ac:dyDescent="0.2"/>
    <row r="5221" ht="12.75" x14ac:dyDescent="0.2"/>
    <row r="5222" ht="12.75" x14ac:dyDescent="0.2"/>
    <row r="5223" ht="12.75" x14ac:dyDescent="0.2"/>
    <row r="5224" ht="12.75" x14ac:dyDescent="0.2"/>
    <row r="5225" ht="12.75" x14ac:dyDescent="0.2"/>
    <row r="5226" ht="12.75" x14ac:dyDescent="0.2"/>
    <row r="5227" ht="12.75" x14ac:dyDescent="0.2"/>
    <row r="5228" ht="12.75" x14ac:dyDescent="0.2"/>
    <row r="5229" ht="12.75" x14ac:dyDescent="0.2"/>
    <row r="5230" ht="12.75" x14ac:dyDescent="0.2"/>
    <row r="5231" ht="12.75" x14ac:dyDescent="0.2"/>
    <row r="5232" ht="12.75" x14ac:dyDescent="0.2"/>
    <row r="5233" ht="12.75" x14ac:dyDescent="0.2"/>
    <row r="5234" ht="12.75" x14ac:dyDescent="0.2"/>
    <row r="5235" ht="12.75" x14ac:dyDescent="0.2"/>
    <row r="5236" ht="12.75" x14ac:dyDescent="0.2"/>
    <row r="5237" ht="12.75" x14ac:dyDescent="0.2"/>
    <row r="5238" ht="12.75" x14ac:dyDescent="0.2"/>
    <row r="5239" ht="12.75" x14ac:dyDescent="0.2"/>
    <row r="5240" ht="12.75" x14ac:dyDescent="0.2"/>
    <row r="5241" ht="12.75" x14ac:dyDescent="0.2"/>
    <row r="5242" ht="12.75" x14ac:dyDescent="0.2"/>
    <row r="5243" ht="12.75" x14ac:dyDescent="0.2"/>
    <row r="5244" ht="12.75" x14ac:dyDescent="0.2"/>
    <row r="5245" ht="12.75" x14ac:dyDescent="0.2"/>
    <row r="5246" ht="12.75" x14ac:dyDescent="0.2"/>
    <row r="5247" ht="12.75" x14ac:dyDescent="0.2"/>
    <row r="5248" ht="12.75" x14ac:dyDescent="0.2"/>
    <row r="5249" ht="12.75" x14ac:dyDescent="0.2"/>
    <row r="5250" ht="12.75" x14ac:dyDescent="0.2"/>
    <row r="5251" ht="12.75" x14ac:dyDescent="0.2"/>
    <row r="5252" ht="12.75" x14ac:dyDescent="0.2"/>
    <row r="5253" ht="12.75" x14ac:dyDescent="0.2"/>
    <row r="5254" ht="12.75" x14ac:dyDescent="0.2"/>
    <row r="5255" ht="12.75" x14ac:dyDescent="0.2"/>
    <row r="5256" ht="12.75" x14ac:dyDescent="0.2"/>
    <row r="5257" ht="12.75" x14ac:dyDescent="0.2"/>
    <row r="5258" ht="12.75" x14ac:dyDescent="0.2"/>
    <row r="5259" ht="12.75" x14ac:dyDescent="0.2"/>
    <row r="5260" ht="12.75" x14ac:dyDescent="0.2"/>
    <row r="5261" ht="12.75" x14ac:dyDescent="0.2"/>
    <row r="5262" ht="12.75" x14ac:dyDescent="0.2"/>
    <row r="5263" ht="12.75" x14ac:dyDescent="0.2"/>
    <row r="5264" ht="12.75" x14ac:dyDescent="0.2"/>
    <row r="5265" ht="12.75" x14ac:dyDescent="0.2"/>
    <row r="5266" ht="12.75" x14ac:dyDescent="0.2"/>
    <row r="5267" ht="12.75" x14ac:dyDescent="0.2"/>
    <row r="5268" ht="12.75" x14ac:dyDescent="0.2"/>
    <row r="5269" ht="12.75" x14ac:dyDescent="0.2"/>
    <row r="5270" ht="12.75" x14ac:dyDescent="0.2"/>
    <row r="5271" ht="12.75" x14ac:dyDescent="0.2"/>
    <row r="5272" ht="12.75" x14ac:dyDescent="0.2"/>
    <row r="5273" ht="12.75" x14ac:dyDescent="0.2"/>
    <row r="5274" ht="12.75" x14ac:dyDescent="0.2"/>
    <row r="5275" ht="12.75" x14ac:dyDescent="0.2"/>
    <row r="5276" ht="12.75" x14ac:dyDescent="0.2"/>
    <row r="5277" ht="12.75" x14ac:dyDescent="0.2"/>
    <row r="5278" ht="12.75" x14ac:dyDescent="0.2"/>
    <row r="5279" ht="12.75" x14ac:dyDescent="0.2"/>
    <row r="5280" ht="12.75" x14ac:dyDescent="0.2"/>
    <row r="5281" ht="12.75" x14ac:dyDescent="0.2"/>
    <row r="5282" ht="12.75" x14ac:dyDescent="0.2"/>
    <row r="5283" ht="12.75" x14ac:dyDescent="0.2"/>
    <row r="5284" ht="12.75" x14ac:dyDescent="0.2"/>
    <row r="5285" ht="12.75" x14ac:dyDescent="0.2"/>
    <row r="5286" ht="12.75" x14ac:dyDescent="0.2"/>
    <row r="5287" ht="12.75" x14ac:dyDescent="0.2"/>
    <row r="5288" ht="12.75" x14ac:dyDescent="0.2"/>
    <row r="5289" ht="12.75" x14ac:dyDescent="0.2"/>
    <row r="5290" ht="12.75" x14ac:dyDescent="0.2"/>
    <row r="5291" ht="12.75" x14ac:dyDescent="0.2"/>
    <row r="5292" ht="12.75" x14ac:dyDescent="0.2"/>
    <row r="5293" ht="12.75" x14ac:dyDescent="0.2"/>
    <row r="5294" ht="12.75" x14ac:dyDescent="0.2"/>
    <row r="5295" ht="12.75" x14ac:dyDescent="0.2"/>
    <row r="5296" ht="12.75" x14ac:dyDescent="0.2"/>
    <row r="5297" ht="12.75" x14ac:dyDescent="0.2"/>
    <row r="5298" ht="12.75" x14ac:dyDescent="0.2"/>
    <row r="5299" ht="12.75" x14ac:dyDescent="0.2"/>
    <row r="5300" ht="12.75" x14ac:dyDescent="0.2"/>
    <row r="5301" ht="12.75" x14ac:dyDescent="0.2"/>
    <row r="5302" ht="12.75" x14ac:dyDescent="0.2"/>
    <row r="5303" ht="12.75" x14ac:dyDescent="0.2"/>
    <row r="5304" ht="12.75" x14ac:dyDescent="0.2"/>
    <row r="5305" ht="12.75" x14ac:dyDescent="0.2"/>
    <row r="5306" ht="12.75" x14ac:dyDescent="0.2"/>
    <row r="5307" ht="12.75" x14ac:dyDescent="0.2"/>
    <row r="5308" ht="12.75" x14ac:dyDescent="0.2"/>
    <row r="5309" ht="12.75" x14ac:dyDescent="0.2"/>
    <row r="5310" ht="12.75" x14ac:dyDescent="0.2"/>
    <row r="5311" ht="12.75" x14ac:dyDescent="0.2"/>
    <row r="5312" ht="12.75" x14ac:dyDescent="0.2"/>
    <row r="5313" ht="12.75" x14ac:dyDescent="0.2"/>
    <row r="5314" ht="12.75" x14ac:dyDescent="0.2"/>
    <row r="5315" ht="12.75" x14ac:dyDescent="0.2"/>
    <row r="5316" ht="12.75" x14ac:dyDescent="0.2"/>
    <row r="5317" ht="12.75" x14ac:dyDescent="0.2"/>
    <row r="5318" ht="12.75" x14ac:dyDescent="0.2"/>
    <row r="5319" ht="12.75" x14ac:dyDescent="0.2"/>
    <row r="5320" ht="12.75" x14ac:dyDescent="0.2"/>
    <row r="5321" ht="12.75" x14ac:dyDescent="0.2"/>
    <row r="5322" ht="12.75" x14ac:dyDescent="0.2"/>
    <row r="5323" ht="12.75" x14ac:dyDescent="0.2"/>
    <row r="5324" ht="12.75" x14ac:dyDescent="0.2"/>
    <row r="5325" ht="12.75" x14ac:dyDescent="0.2"/>
    <row r="5326" ht="12.75" x14ac:dyDescent="0.2"/>
    <row r="5327" ht="12.75" x14ac:dyDescent="0.2"/>
    <row r="5328" ht="12.75" x14ac:dyDescent="0.2"/>
    <row r="5329" ht="12.75" x14ac:dyDescent="0.2"/>
    <row r="5330" ht="12.75" x14ac:dyDescent="0.2"/>
    <row r="5331" ht="12.75" x14ac:dyDescent="0.2"/>
    <row r="5332" ht="12.75" x14ac:dyDescent="0.2"/>
    <row r="5333" ht="12.75" x14ac:dyDescent="0.2"/>
    <row r="5334" ht="12.75" x14ac:dyDescent="0.2"/>
    <row r="5335" ht="12.75" x14ac:dyDescent="0.2"/>
    <row r="5336" ht="12.75" x14ac:dyDescent="0.2"/>
    <row r="5337" ht="12.75" x14ac:dyDescent="0.2"/>
    <row r="5338" ht="12.75" x14ac:dyDescent="0.2"/>
    <row r="5339" ht="12.75" x14ac:dyDescent="0.2"/>
    <row r="5340" ht="12.75" x14ac:dyDescent="0.2"/>
    <row r="5341" ht="12.75" x14ac:dyDescent="0.2"/>
    <row r="5342" ht="12.75" x14ac:dyDescent="0.2"/>
    <row r="5343" ht="12.75" x14ac:dyDescent="0.2"/>
    <row r="5344" ht="12.75" x14ac:dyDescent="0.2"/>
    <row r="5345" ht="12.75" x14ac:dyDescent="0.2"/>
    <row r="5346" ht="12.75" x14ac:dyDescent="0.2"/>
    <row r="5347" ht="12.75" x14ac:dyDescent="0.2"/>
    <row r="5348" ht="12.75" x14ac:dyDescent="0.2"/>
    <row r="5349" ht="12.75" x14ac:dyDescent="0.2"/>
    <row r="5350" ht="12.75" x14ac:dyDescent="0.2"/>
    <row r="5351" ht="12.75" x14ac:dyDescent="0.2"/>
    <row r="5352" ht="12.75" x14ac:dyDescent="0.2"/>
    <row r="5353" ht="12.75" x14ac:dyDescent="0.2"/>
    <row r="5354" ht="12.75" x14ac:dyDescent="0.2"/>
    <row r="5355" ht="12.75" x14ac:dyDescent="0.2"/>
    <row r="5356" ht="12.75" x14ac:dyDescent="0.2"/>
    <row r="5357" ht="12.75" x14ac:dyDescent="0.2"/>
    <row r="5358" ht="12.75" x14ac:dyDescent="0.2"/>
    <row r="5359" ht="12.75" x14ac:dyDescent="0.2"/>
    <row r="5360" ht="12.75" x14ac:dyDescent="0.2"/>
    <row r="5361" ht="12.75" x14ac:dyDescent="0.2"/>
    <row r="5362" ht="12.75" x14ac:dyDescent="0.2"/>
    <row r="5363" ht="12.75" x14ac:dyDescent="0.2"/>
    <row r="5364" ht="12.75" x14ac:dyDescent="0.2"/>
    <row r="5365" ht="12.75" x14ac:dyDescent="0.2"/>
    <row r="5366" ht="12.75" x14ac:dyDescent="0.2"/>
    <row r="5367" ht="12.75" x14ac:dyDescent="0.2"/>
    <row r="5368" ht="12.75" x14ac:dyDescent="0.2"/>
    <row r="5369" ht="12.75" x14ac:dyDescent="0.2"/>
    <row r="5370" ht="12.75" x14ac:dyDescent="0.2"/>
    <row r="5371" ht="12.75" x14ac:dyDescent="0.2"/>
    <row r="5372" ht="12.75" x14ac:dyDescent="0.2"/>
    <row r="5373" ht="12.75" x14ac:dyDescent="0.2"/>
    <row r="5374" ht="12.75" x14ac:dyDescent="0.2"/>
    <row r="5375" ht="12.75" x14ac:dyDescent="0.2"/>
    <row r="5376" ht="12.75" x14ac:dyDescent="0.2"/>
    <row r="5377" ht="12.75" x14ac:dyDescent="0.2"/>
    <row r="5378" ht="12.75" x14ac:dyDescent="0.2"/>
    <row r="5379" ht="12.75" x14ac:dyDescent="0.2"/>
    <row r="5380" ht="12.75" x14ac:dyDescent="0.2"/>
    <row r="5381" ht="12.75" x14ac:dyDescent="0.2"/>
    <row r="5382" ht="12.75" x14ac:dyDescent="0.2"/>
    <row r="5383" ht="12.75" x14ac:dyDescent="0.2"/>
    <row r="5384" ht="12.75" x14ac:dyDescent="0.2"/>
    <row r="5385" ht="12.75" x14ac:dyDescent="0.2"/>
    <row r="5386" ht="12.75" x14ac:dyDescent="0.2"/>
    <row r="5387" ht="12.75" x14ac:dyDescent="0.2"/>
    <row r="5388" ht="12.75" x14ac:dyDescent="0.2"/>
    <row r="5389" ht="12.75" x14ac:dyDescent="0.2"/>
    <row r="5390" ht="12.75" x14ac:dyDescent="0.2"/>
    <row r="5391" ht="12.75" x14ac:dyDescent="0.2"/>
    <row r="5392" ht="12.75" x14ac:dyDescent="0.2"/>
    <row r="5393" ht="12.75" x14ac:dyDescent="0.2"/>
    <row r="5394" ht="12.75" x14ac:dyDescent="0.2"/>
    <row r="5395" ht="12.75" x14ac:dyDescent="0.2"/>
    <row r="5396" ht="12.75" x14ac:dyDescent="0.2"/>
    <row r="5397" ht="12.75" x14ac:dyDescent="0.2"/>
    <row r="5398" ht="12.75" x14ac:dyDescent="0.2"/>
    <row r="5399" ht="12.75" x14ac:dyDescent="0.2"/>
    <row r="5400" ht="12.75" x14ac:dyDescent="0.2"/>
    <row r="5401" ht="12.75" x14ac:dyDescent="0.2"/>
    <row r="5402" ht="12.75" x14ac:dyDescent="0.2"/>
    <row r="5403" ht="12.75" x14ac:dyDescent="0.2"/>
    <row r="5404" ht="12.75" x14ac:dyDescent="0.2"/>
    <row r="5405" ht="12.75" x14ac:dyDescent="0.2"/>
    <row r="5406" ht="12.75" x14ac:dyDescent="0.2"/>
    <row r="5407" ht="12.75" x14ac:dyDescent="0.2"/>
    <row r="5408" ht="12.75" x14ac:dyDescent="0.2"/>
    <row r="5409" ht="12.75" x14ac:dyDescent="0.2"/>
    <row r="5410" ht="12.75" x14ac:dyDescent="0.2"/>
    <row r="5411" ht="12.75" x14ac:dyDescent="0.2"/>
    <row r="5412" ht="12.75" x14ac:dyDescent="0.2"/>
    <row r="5413" ht="12.75" x14ac:dyDescent="0.2"/>
    <row r="5414" ht="12.75" x14ac:dyDescent="0.2"/>
    <row r="5415" ht="12.75" x14ac:dyDescent="0.2"/>
    <row r="5416" ht="12.75" x14ac:dyDescent="0.2"/>
    <row r="5417" ht="12.75" x14ac:dyDescent="0.2"/>
    <row r="5418" ht="12.75" x14ac:dyDescent="0.2"/>
    <row r="5419" ht="12.75" x14ac:dyDescent="0.2"/>
    <row r="5420" ht="12.75" x14ac:dyDescent="0.2"/>
    <row r="5421" ht="12.75" x14ac:dyDescent="0.2"/>
    <row r="5422" ht="12.75" x14ac:dyDescent="0.2"/>
    <row r="5423" ht="12.75" x14ac:dyDescent="0.2"/>
    <row r="5424" ht="12.75" x14ac:dyDescent="0.2"/>
    <row r="5425" ht="12.75" x14ac:dyDescent="0.2"/>
    <row r="5426" ht="12.75" x14ac:dyDescent="0.2"/>
    <row r="5427" ht="12.75" x14ac:dyDescent="0.2"/>
    <row r="5428" ht="12.75" x14ac:dyDescent="0.2"/>
    <row r="5429" ht="12.75" x14ac:dyDescent="0.2"/>
    <row r="5430" ht="12.75" x14ac:dyDescent="0.2"/>
    <row r="5431" ht="12.75" x14ac:dyDescent="0.2"/>
    <row r="5432" ht="12.75" x14ac:dyDescent="0.2"/>
    <row r="5433" ht="12.75" x14ac:dyDescent="0.2"/>
    <row r="5434" ht="12.75" x14ac:dyDescent="0.2"/>
    <row r="5435" ht="12.75" x14ac:dyDescent="0.2"/>
    <row r="5436" ht="12.75" x14ac:dyDescent="0.2"/>
    <row r="5437" ht="12.75" x14ac:dyDescent="0.2"/>
    <row r="5438" ht="12.75" x14ac:dyDescent="0.2"/>
    <row r="5439" ht="12.75" x14ac:dyDescent="0.2"/>
    <row r="5440" ht="12.75" x14ac:dyDescent="0.2"/>
    <row r="5441" ht="12.75" x14ac:dyDescent="0.2"/>
    <row r="5442" ht="12.75" x14ac:dyDescent="0.2"/>
    <row r="5443" ht="12.75" x14ac:dyDescent="0.2"/>
    <row r="5444" ht="12.75" x14ac:dyDescent="0.2"/>
    <row r="5445" ht="12.75" x14ac:dyDescent="0.2"/>
    <row r="5446" ht="12.75" x14ac:dyDescent="0.2"/>
    <row r="5447" ht="12.75" x14ac:dyDescent="0.2"/>
    <row r="5448" ht="12.75" x14ac:dyDescent="0.2"/>
    <row r="5449" ht="12.75" x14ac:dyDescent="0.2"/>
    <row r="5450" ht="12.75" x14ac:dyDescent="0.2"/>
  </sheetData>
  <mergeCells count="1">
    <mergeCell ref="G48:I48"/>
  </mergeCells>
  <pageMargins left="0.7" right="0.7" top="0.75" bottom="0.75" header="0.3" footer="0.3"/>
  <pageSetup scale="97" fitToHeight="0" orientation="landscape" horizontalDpi="1200" verticalDpi="1200" r:id="rId1"/>
  <customProperties>
    <customPr name="_pios_id" r:id="rId2"/>
  </customProperties>
  <drawing r:id="rId3"/>
  <legacyDrawing r:id="rId4"/>
  <oleObjects>
    <mc:AlternateContent xmlns:mc="http://schemas.openxmlformats.org/markup-compatibility/2006">
      <mc:Choice Requires="x14">
        <oleObject progId="StaticMetafile" shapeId="144385" r:id="rId5">
          <objectPr defaultSize="0" autoPict="0" r:id="rId6">
            <anchor moveWithCells="1" sizeWithCells="1">
              <from>
                <xdr:col>0</xdr:col>
                <xdr:colOff>38100</xdr:colOff>
                <xdr:row>2</xdr:row>
                <xdr:rowOff>95250</xdr:rowOff>
              </from>
              <to>
                <xdr:col>1</xdr:col>
                <xdr:colOff>1924050</xdr:colOff>
                <xdr:row>3</xdr:row>
                <xdr:rowOff>66675</xdr:rowOff>
              </to>
            </anchor>
          </objectPr>
        </oleObject>
      </mc:Choice>
      <mc:Fallback>
        <oleObject progId="StaticMetafile" shapeId="144385" r:id="rId5"/>
      </mc:Fallback>
    </mc:AlternateContent>
  </oleObjects>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E2C5D7-4A4A-4CF4-B401-5E2C0FB82174}">
  <sheetPr codeName="Sheet34">
    <tabColor rgb="FF00B0F0"/>
    <pageSetUpPr fitToPage="1"/>
  </sheetPr>
  <dimension ref="A1:ED273"/>
  <sheetViews>
    <sheetView zoomScaleNormal="100" zoomScaleSheetLayoutView="70" workbookViewId="0">
      <selection activeCell="W987" sqref="W987"/>
    </sheetView>
  </sheetViews>
  <sheetFormatPr defaultColWidth="7.625" defaultRowHeight="12.75" outlineLevelRow="2" x14ac:dyDescent="0.2"/>
  <cols>
    <col min="1" max="1" width="12.25" style="1953" bestFit="1" customWidth="1"/>
    <col min="2" max="2" width="27.5" style="1953" bestFit="1" customWidth="1"/>
    <col min="3" max="3" width="14.125" style="1953" bestFit="1" customWidth="1"/>
    <col min="4" max="4" width="42.125" style="1953" bestFit="1" customWidth="1"/>
    <col min="5" max="5" width="6.875" style="1953" bestFit="1" customWidth="1"/>
    <col min="6" max="6" width="9.5" style="1953" bestFit="1" customWidth="1"/>
    <col min="7" max="9" width="8.5" style="1953" bestFit="1" customWidth="1"/>
    <col min="10" max="11" width="4" style="1953" customWidth="1"/>
    <col min="12" max="12" width="11.625" style="1953" bestFit="1" customWidth="1"/>
    <col min="13" max="13" width="8" style="1953" bestFit="1" customWidth="1"/>
    <col min="14" max="14" width="7" style="1953" bestFit="1" customWidth="1"/>
    <col min="15" max="16" width="6" style="1953" bestFit="1" customWidth="1"/>
    <col min="17" max="17" width="7" style="1953" bestFit="1" customWidth="1"/>
    <col min="18" max="18" width="4" style="1953" customWidth="1"/>
    <col min="19" max="19" width="4.875" style="1953" customWidth="1"/>
    <col min="20" max="20" width="4" style="1953" customWidth="1"/>
    <col min="21" max="21" width="19.625" style="1953" customWidth="1"/>
    <col min="22" max="22" width="8.375" style="1953" customWidth="1"/>
    <col min="23" max="23" width="19.625" style="1953" customWidth="1"/>
    <col min="24" max="24" width="8.375" style="1953" customWidth="1"/>
    <col min="25" max="25" width="19.625" style="1953" customWidth="1"/>
    <col min="26" max="26" width="8.375" style="1953" customWidth="1"/>
    <col min="27" max="27" width="19.625" style="1953" customWidth="1"/>
    <col min="28" max="28" width="8.375" style="1953" customWidth="1"/>
    <col min="29" max="29" width="19.625" style="1953" customWidth="1"/>
    <col min="30" max="30" width="8.375" style="1953" customWidth="1"/>
    <col min="31" max="31" width="13.5" style="1953" customWidth="1"/>
    <col min="32" max="32" width="19.875" style="1953" customWidth="1"/>
    <col min="33" max="33" width="5.75" style="1953" customWidth="1"/>
    <col min="34" max="34" width="25.75" style="1953" customWidth="1"/>
    <col min="35" max="38" width="19.875" style="1953" customWidth="1"/>
    <col min="39" max="39" width="5.75" style="1953" customWidth="1"/>
    <col min="40" max="40" width="19.625" style="1953" customWidth="1"/>
    <col min="41" max="41" width="13" style="1953" customWidth="1"/>
    <col min="42" max="42" width="19.75" style="1953" customWidth="1"/>
    <col min="43" max="43" width="25.75" style="1953" customWidth="1"/>
    <col min="44" max="44" width="13" style="1953" customWidth="1"/>
    <col min="45" max="45" width="25.75" style="1953" customWidth="1"/>
    <col min="46" max="46" width="13" style="1953" customWidth="1"/>
    <col min="47" max="47" width="5.75" style="1953" customWidth="1"/>
    <col min="48" max="48" width="13" style="1953" customWidth="1"/>
    <col min="49" max="49" width="5.75" style="1953" customWidth="1"/>
    <col min="50" max="50" width="19.625" style="1953" customWidth="1"/>
    <col min="51" max="51" width="13" style="1953" customWidth="1"/>
    <col min="52" max="52" width="5.5" style="1953" customWidth="1"/>
    <col min="53" max="53" width="19.625" style="1953" customWidth="1"/>
    <col min="54" max="54" width="19.375" style="1953" customWidth="1"/>
    <col min="55" max="55" width="9.375" style="1953" customWidth="1"/>
    <col min="56" max="56" width="5.5" style="1953" customWidth="1"/>
    <col min="57" max="57" width="4.25" style="1953" customWidth="1"/>
    <col min="58" max="58" width="9.375" style="1953" customWidth="1"/>
    <col min="59" max="59" width="10.375" style="1953" customWidth="1"/>
    <col min="60" max="61" width="9.375" style="1953" customWidth="1"/>
    <col min="62" max="62" width="8.375" style="1953" customWidth="1"/>
    <col min="63" max="63" width="4.875" style="1953" customWidth="1"/>
    <col min="64" max="64" width="4" style="1953" customWidth="1"/>
    <col min="65" max="65" width="5.25" style="1953" customWidth="1"/>
    <col min="66" max="66" width="4.625" style="1953" customWidth="1"/>
    <col min="67" max="67" width="5.25" style="1953" customWidth="1"/>
    <col min="68" max="68" width="4.625" style="1953" customWidth="1"/>
    <col min="69" max="69" width="5.25" style="1953" customWidth="1"/>
    <col min="70" max="70" width="4.625" style="1953" customWidth="1"/>
    <col min="71" max="71" width="5.25" style="1953" customWidth="1"/>
    <col min="72" max="72" width="4.625" style="1953" customWidth="1"/>
    <col min="73" max="73" width="5.25" style="1953" customWidth="1"/>
    <col min="74" max="74" width="4.625" style="1953" customWidth="1"/>
    <col min="75" max="75" width="5.25" style="1953" customWidth="1"/>
    <col min="76" max="76" width="4.625" style="1953" customWidth="1"/>
    <col min="77" max="77" width="5.25" style="1953" customWidth="1"/>
    <col min="78" max="78" width="4.625" style="1953" customWidth="1"/>
    <col min="79" max="79" width="5.25" style="1953" customWidth="1"/>
    <col min="80" max="80" width="4.625" style="1953" customWidth="1"/>
    <col min="81" max="81" width="5.25" style="1953" customWidth="1"/>
    <col min="82" max="82" width="4.625" style="1953" customWidth="1"/>
    <col min="83" max="83" width="5.25" style="1953" customWidth="1"/>
    <col min="84" max="84" width="4.625" style="1953" customWidth="1"/>
    <col min="85" max="85" width="5.25" style="1953" customWidth="1"/>
    <col min="86" max="86" width="4.625" style="1953" customWidth="1"/>
    <col min="87" max="87" width="5.25" style="1953" customWidth="1"/>
    <col min="88" max="88" width="4.625" style="1953" customWidth="1"/>
    <col min="89" max="89" width="5.25" style="1953" customWidth="1"/>
    <col min="90" max="90" width="4.625" style="1953" customWidth="1"/>
    <col min="91" max="91" width="5.25" style="1953" customWidth="1"/>
    <col min="92" max="92" width="4.625" style="1953" customWidth="1"/>
    <col min="93" max="93" width="5.25" style="1953" customWidth="1"/>
    <col min="94" max="94" width="4.625" style="1953" customWidth="1"/>
    <col min="95" max="95" width="5.25" style="1953" customWidth="1"/>
    <col min="96" max="96" width="4.625" style="1953" customWidth="1"/>
    <col min="97" max="97" width="5.25" style="1953" customWidth="1"/>
    <col min="98" max="98" width="4.625" style="1953" customWidth="1"/>
    <col min="99" max="99" width="5.25" style="1953" customWidth="1"/>
    <col min="100" max="100" width="4.625" style="1953" customWidth="1"/>
    <col min="101" max="101" width="5.25" style="1953" customWidth="1"/>
    <col min="102" max="102" width="4.625" style="1953" customWidth="1"/>
    <col min="103" max="103" width="5.25" style="1953" customWidth="1"/>
    <col min="104" max="104" width="4.625" style="1953" customWidth="1"/>
    <col min="105" max="105" width="5.25" style="1953" customWidth="1"/>
    <col min="106" max="106" width="4.625" style="1953" customWidth="1"/>
    <col min="107" max="107" width="5.25" style="1953" customWidth="1"/>
    <col min="108" max="108" width="4.625" style="1953" customWidth="1"/>
    <col min="109" max="109" width="5.25" style="1953" customWidth="1"/>
    <col min="110" max="110" width="4.625" style="1953" customWidth="1"/>
    <col min="111" max="111" width="5.25" style="1953" customWidth="1"/>
    <col min="112" max="112" width="4.625" style="1953" customWidth="1"/>
    <col min="113" max="113" width="5.25" style="1953" customWidth="1"/>
    <col min="114" max="114" width="4.625" style="1953" customWidth="1"/>
    <col min="115" max="115" width="5.25" style="1953" customWidth="1"/>
    <col min="116" max="116" width="4.625" style="1953" customWidth="1"/>
    <col min="117" max="117" width="5.25" style="1953" customWidth="1"/>
    <col min="118" max="118" width="4.625" style="1953" customWidth="1"/>
    <col min="119" max="119" width="7.125" style="1953" customWidth="1"/>
    <col min="120" max="120" width="6" style="1953" customWidth="1"/>
    <col min="121" max="121" width="5.25" style="1953" customWidth="1"/>
    <col min="122" max="122" width="4.625" style="1953" customWidth="1"/>
    <col min="123" max="123" width="5.25" style="1953" customWidth="1"/>
    <col min="124" max="124" width="4.625" style="1953" customWidth="1"/>
    <col min="125" max="125" width="5.25" style="1953" customWidth="1"/>
    <col min="126" max="126" width="4.625" style="1953" customWidth="1"/>
    <col min="127" max="127" width="5.25" style="1953" customWidth="1"/>
    <col min="128" max="128" width="4.625" style="1953" customWidth="1"/>
    <col min="129" max="129" width="5.25" style="1953" customWidth="1"/>
    <col min="130" max="130" width="4.625" style="1953" customWidth="1"/>
    <col min="131" max="131" width="5.25" style="1953" customWidth="1"/>
    <col min="132" max="132" width="4.625" style="1953" customWidth="1"/>
    <col min="133" max="133" width="5.25" style="1953" customWidth="1"/>
    <col min="134" max="134" width="4.625" style="1953" customWidth="1"/>
    <col min="135" max="16384" width="7.625" style="1953"/>
  </cols>
  <sheetData>
    <row r="1" spans="1:133" ht="39.950000000000003" customHeight="1" x14ac:dyDescent="0.2">
      <c r="AX1" s="1951"/>
    </row>
    <row r="2" spans="1:133" ht="42" hidden="1" customHeight="1" x14ac:dyDescent="0.2"/>
    <row r="3" spans="1:133" ht="35.25" hidden="1" customHeight="1" x14ac:dyDescent="0.2">
      <c r="D3" s="1951"/>
      <c r="F3" s="1951"/>
      <c r="G3" s="1951"/>
      <c r="I3" s="1951"/>
      <c r="AH3" s="1951"/>
      <c r="AN3" s="1951"/>
      <c r="AQ3" s="1951"/>
      <c r="AS3" s="1951"/>
      <c r="AX3" s="1952"/>
      <c r="AZ3" s="1951"/>
      <c r="BB3" s="1951"/>
      <c r="BD3" s="1951"/>
      <c r="BF3" s="1951"/>
      <c r="BH3" s="1951"/>
      <c r="BJ3" s="1951"/>
      <c r="BL3" s="1951"/>
    </row>
    <row r="4" spans="1:133" ht="12" customHeight="1" x14ac:dyDescent="0.2">
      <c r="A4" s="1992"/>
      <c r="D4" s="1952"/>
      <c r="F4" s="1952"/>
      <c r="G4" s="1952"/>
      <c r="I4" s="1952"/>
      <c r="AX4" s="1952"/>
      <c r="BN4" s="1951"/>
    </row>
    <row r="5" spans="1:133" ht="12" customHeight="1" x14ac:dyDescent="0.2">
      <c r="A5" s="1950" t="s">
        <v>4989</v>
      </c>
      <c r="B5" s="1951"/>
      <c r="C5" s="1951"/>
      <c r="D5" s="1952"/>
      <c r="E5" s="1951"/>
      <c r="F5" s="1952"/>
      <c r="G5" s="1952"/>
      <c r="H5" s="1951"/>
      <c r="I5" s="1952"/>
      <c r="J5" s="1951"/>
      <c r="K5" s="1951"/>
      <c r="L5" s="1951"/>
      <c r="M5" s="1951"/>
      <c r="N5" s="1951"/>
      <c r="O5" s="1951"/>
      <c r="P5" s="1951"/>
      <c r="Q5" s="1951"/>
      <c r="R5" s="1951"/>
      <c r="S5" s="1951"/>
      <c r="T5" s="1951"/>
      <c r="U5" s="1951"/>
      <c r="V5" s="1951"/>
      <c r="W5" s="1951"/>
      <c r="X5" s="1951"/>
      <c r="Y5" s="1951"/>
      <c r="Z5" s="1951"/>
      <c r="AA5" s="1951"/>
      <c r="AB5" s="1951"/>
      <c r="AC5" s="1951"/>
      <c r="AD5" s="1951"/>
      <c r="AE5" s="1951"/>
      <c r="AF5" s="1951"/>
      <c r="AG5" s="1951"/>
      <c r="AI5" s="1951"/>
      <c r="AJ5" s="1951"/>
      <c r="AK5" s="1951"/>
      <c r="AL5" s="1951"/>
      <c r="AM5" s="1951"/>
      <c r="AO5" s="1951"/>
      <c r="AP5" s="1951"/>
      <c r="AR5" s="1951"/>
      <c r="AT5" s="1951"/>
      <c r="AU5" s="1951"/>
      <c r="AV5" s="1951"/>
      <c r="AW5" s="1951"/>
      <c r="AX5" s="1952"/>
      <c r="AY5" s="1951"/>
      <c r="BA5" s="1951"/>
      <c r="BC5" s="1951"/>
      <c r="BE5" s="1951"/>
      <c r="BG5" s="1951"/>
      <c r="BI5" s="1951"/>
      <c r="BK5" s="1951"/>
      <c r="BM5" s="1951"/>
      <c r="BO5" s="1951"/>
      <c r="BP5" s="1951"/>
      <c r="BQ5" s="1951"/>
      <c r="BR5" s="1951"/>
      <c r="BS5" s="1951"/>
      <c r="BT5" s="1951"/>
      <c r="BU5" s="1951"/>
      <c r="BV5" s="1951"/>
      <c r="BW5" s="1951"/>
      <c r="BX5" s="1951"/>
      <c r="BY5" s="1951"/>
      <c r="BZ5" s="1951"/>
      <c r="CA5" s="1951"/>
      <c r="CB5" s="1951"/>
      <c r="CC5" s="1951"/>
      <c r="CD5" s="1951"/>
    </row>
    <row r="6" spans="1:133" ht="12" customHeight="1" x14ac:dyDescent="0.2">
      <c r="A6" s="1952" t="s">
        <v>2260</v>
      </c>
      <c r="B6" s="1952"/>
      <c r="C6" s="1952"/>
      <c r="D6" s="1952"/>
      <c r="E6" s="1952"/>
      <c r="F6" s="1952"/>
      <c r="G6" s="1952"/>
      <c r="H6" s="1952"/>
      <c r="I6" s="1952"/>
      <c r="AX6" s="1952"/>
    </row>
    <row r="7" spans="1:133" ht="12" customHeight="1" x14ac:dyDescent="0.2">
      <c r="A7" s="1952" t="s">
        <v>875</v>
      </c>
      <c r="B7" s="1952"/>
      <c r="C7" s="1952"/>
      <c r="E7" s="1952"/>
      <c r="H7" s="1952"/>
      <c r="AX7" s="1952"/>
    </row>
    <row r="8" spans="1:133" ht="12" customHeight="1" x14ac:dyDescent="0.2">
      <c r="A8" s="1952" t="s">
        <v>876</v>
      </c>
      <c r="B8" s="1952"/>
      <c r="C8" s="1952"/>
      <c r="D8" s="1952"/>
      <c r="E8" s="1952"/>
      <c r="F8" s="1952"/>
      <c r="G8" s="1952"/>
      <c r="H8" s="1952"/>
      <c r="I8" s="1952"/>
      <c r="AH8" s="1952"/>
      <c r="AN8" s="1952"/>
      <c r="AQ8" s="1952"/>
      <c r="AS8" s="1952"/>
      <c r="AX8" s="1952"/>
      <c r="AZ8" s="1952"/>
      <c r="BB8" s="1952"/>
      <c r="BD8" s="1952"/>
      <c r="BF8" s="1952"/>
      <c r="BH8" s="1952"/>
      <c r="BJ8" s="1952"/>
      <c r="BL8" s="1952"/>
    </row>
    <row r="9" spans="1:133" ht="12" customHeight="1" x14ac:dyDescent="0.2">
      <c r="D9" s="1956"/>
      <c r="F9" s="1956"/>
      <c r="G9" s="1956"/>
      <c r="I9" s="1956"/>
      <c r="AH9" s="1956"/>
      <c r="AN9" s="1956"/>
      <c r="AQ9" s="1956"/>
      <c r="AS9" s="1956"/>
      <c r="AX9" s="1952"/>
      <c r="AZ9" s="1952"/>
      <c r="BB9" s="1952"/>
      <c r="BD9" s="1952"/>
      <c r="BF9" s="1952"/>
      <c r="BH9" s="1952"/>
      <c r="BJ9" s="1952"/>
      <c r="BL9" s="1952"/>
      <c r="BN9" s="1952"/>
    </row>
    <row r="10" spans="1:133" s="1946" customFormat="1" ht="12" hidden="1" customHeight="1" outlineLevel="1" x14ac:dyDescent="0.2">
      <c r="A10" s="1951" t="s">
        <v>877</v>
      </c>
      <c r="B10" s="1952" t="s">
        <v>2411</v>
      </c>
      <c r="AD10" s="1952"/>
      <c r="AE10" s="1952"/>
      <c r="AF10" s="1952"/>
      <c r="AG10" s="1952"/>
      <c r="AH10" s="1952"/>
      <c r="AK10" s="1952"/>
      <c r="AL10" s="1952"/>
      <c r="AM10" s="1952"/>
      <c r="CG10" s="1952"/>
      <c r="CH10" s="1952"/>
      <c r="CI10" s="1952"/>
      <c r="CJ10" s="1952"/>
      <c r="CK10" s="1952"/>
      <c r="CL10" s="1952"/>
      <c r="CM10" s="1952"/>
      <c r="CN10" s="1952"/>
      <c r="CO10" s="1952"/>
      <c r="CP10" s="1952"/>
      <c r="CQ10" s="1952"/>
      <c r="CR10" s="1952"/>
      <c r="CS10" s="1952"/>
      <c r="CT10" s="1952"/>
      <c r="CU10" s="1952"/>
      <c r="CV10" s="1952"/>
      <c r="CW10" s="1952"/>
      <c r="CX10" s="1952"/>
      <c r="CY10" s="1952"/>
      <c r="CZ10" s="1952"/>
      <c r="DA10" s="1952"/>
      <c r="DB10" s="1952"/>
      <c r="DC10" s="1952"/>
      <c r="DD10" s="1952"/>
      <c r="DE10" s="1952"/>
      <c r="DF10" s="1952"/>
      <c r="DG10" s="1952"/>
      <c r="DH10" s="1952"/>
      <c r="DI10" s="1952"/>
      <c r="DJ10" s="1952"/>
      <c r="DK10" s="1952"/>
      <c r="DL10" s="1952"/>
      <c r="DM10" s="1952"/>
      <c r="DN10" s="1952"/>
      <c r="DO10" s="1952"/>
      <c r="DP10" s="1952"/>
      <c r="DQ10" s="1955"/>
      <c r="DR10" s="1955"/>
      <c r="DS10" s="1955"/>
      <c r="DT10" s="1955"/>
      <c r="DU10" s="1955"/>
      <c r="DV10" s="1955"/>
      <c r="DW10" s="1955"/>
      <c r="DX10" s="1955"/>
      <c r="DY10" s="1955"/>
      <c r="DZ10" s="1955"/>
      <c r="EA10" s="1955"/>
      <c r="EB10" s="1955"/>
      <c r="EC10" s="1955"/>
    </row>
    <row r="11" spans="1:133" s="1946" customFormat="1" ht="12" hidden="1" customHeight="1" outlineLevel="1" x14ac:dyDescent="0.2">
      <c r="A11" s="1951" t="s">
        <v>879</v>
      </c>
      <c r="B11" s="1956">
        <v>45394.622171782408</v>
      </c>
      <c r="AD11" s="1956"/>
      <c r="AE11" s="1956"/>
      <c r="AF11" s="1956"/>
      <c r="AG11" s="1956"/>
      <c r="AH11" s="1956"/>
      <c r="AK11" s="1956"/>
      <c r="AL11" s="1956"/>
      <c r="AM11" s="1956"/>
      <c r="CG11" s="1952"/>
      <c r="CH11" s="1952"/>
      <c r="CI11" s="1952"/>
      <c r="CJ11" s="1952"/>
      <c r="CK11" s="1952"/>
      <c r="CL11" s="1952"/>
      <c r="CM11" s="1952"/>
      <c r="CN11" s="1952"/>
      <c r="CO11" s="1952"/>
      <c r="CP11" s="1952"/>
      <c r="CQ11" s="1952"/>
      <c r="CR11" s="1952"/>
      <c r="CS11" s="1952"/>
      <c r="CT11" s="1952"/>
      <c r="CU11" s="1952"/>
      <c r="CV11" s="1952"/>
      <c r="CW11" s="1952"/>
      <c r="CX11" s="1952"/>
      <c r="CY11" s="1952"/>
      <c r="CZ11" s="1952"/>
      <c r="DA11" s="1952"/>
      <c r="DB11" s="1952"/>
      <c r="DC11" s="1952"/>
      <c r="DD11" s="1952"/>
      <c r="DE11" s="1952"/>
      <c r="DF11" s="1952"/>
      <c r="DG11" s="1952"/>
      <c r="DH11" s="1952"/>
      <c r="DI11" s="1952"/>
      <c r="DJ11" s="1952"/>
      <c r="DK11" s="1952"/>
      <c r="DL11" s="1952"/>
      <c r="DM11" s="1952"/>
      <c r="DN11" s="1952"/>
      <c r="DO11" s="1952"/>
      <c r="DP11" s="1952"/>
      <c r="DQ11" s="1955"/>
      <c r="DR11" s="1955"/>
      <c r="DS11" s="1955"/>
      <c r="DT11" s="1955"/>
      <c r="DU11" s="1955"/>
      <c r="DV11" s="1955"/>
      <c r="DW11" s="1955"/>
      <c r="DX11" s="1955"/>
      <c r="DY11" s="1955"/>
      <c r="DZ11" s="1955"/>
      <c r="EA11" s="1955"/>
      <c r="EB11" s="1955"/>
      <c r="EC11" s="1955"/>
    </row>
    <row r="12" spans="1:133" s="1946" customFormat="1" ht="12" hidden="1" customHeight="1" outlineLevel="1" x14ac:dyDescent="0.2">
      <c r="AX12" s="1948"/>
      <c r="AZ12" s="1948"/>
      <c r="BB12" s="1948"/>
      <c r="BD12" s="1948"/>
      <c r="BF12" s="1948"/>
      <c r="BH12" s="1948"/>
      <c r="BJ12" s="1948"/>
      <c r="BL12" s="1948"/>
      <c r="BN12" s="1948"/>
    </row>
    <row r="13" spans="1:133" s="1946" customFormat="1" ht="12" hidden="1" customHeight="1" outlineLevel="1" x14ac:dyDescent="0.2">
      <c r="A13" s="1953"/>
      <c r="B13" s="1953"/>
      <c r="AB13" s="1953"/>
      <c r="AC13" s="1953"/>
      <c r="AD13" s="1953"/>
      <c r="AE13" s="1953"/>
      <c r="AF13" s="1953"/>
      <c r="AI13" s="1953"/>
      <c r="AJ13" s="1953"/>
      <c r="AK13" s="1953"/>
      <c r="AL13" s="1953"/>
      <c r="AO13" s="1953"/>
      <c r="AT13" s="1953"/>
      <c r="AV13" s="1953"/>
      <c r="AW13" s="1948"/>
      <c r="AX13" s="1947"/>
      <c r="AY13" s="1948"/>
      <c r="AZ13" s="1948"/>
      <c r="BA13" s="1948"/>
      <c r="BB13" s="1948"/>
      <c r="BC13" s="1948"/>
      <c r="BD13" s="1948"/>
      <c r="BE13" s="1948"/>
      <c r="BF13" s="1948"/>
      <c r="BG13" s="1948"/>
      <c r="BH13" s="1948"/>
      <c r="BI13" s="1948"/>
      <c r="BJ13" s="1948"/>
      <c r="BK13" s="1948"/>
      <c r="BL13" s="1948"/>
      <c r="BM13" s="1948"/>
      <c r="BN13" s="1948"/>
      <c r="BO13" s="1948"/>
      <c r="BP13" s="1948"/>
      <c r="BQ13" s="1948"/>
      <c r="BR13" s="1948"/>
      <c r="BS13" s="1948"/>
      <c r="BT13" s="1948"/>
      <c r="BU13" s="1948"/>
      <c r="BV13" s="1948"/>
      <c r="BW13" s="1948"/>
      <c r="BX13" s="1948"/>
      <c r="BY13" s="1948"/>
      <c r="BZ13" s="1948"/>
      <c r="CA13" s="1948"/>
      <c r="CB13" s="1948"/>
      <c r="CC13" s="1948"/>
      <c r="CD13" s="1948"/>
    </row>
    <row r="14" spans="1:133" s="1946" customFormat="1" ht="12" hidden="1" customHeight="1" outlineLevel="1" x14ac:dyDescent="0.2">
      <c r="A14" s="1953"/>
      <c r="B14" s="1953"/>
      <c r="AB14" s="1953"/>
      <c r="AC14" s="1953"/>
      <c r="AD14" s="1953"/>
      <c r="AE14" s="1953"/>
      <c r="AF14" s="1953"/>
      <c r="AI14" s="1953"/>
      <c r="AJ14" s="1953"/>
      <c r="AK14" s="1953"/>
      <c r="AL14" s="1953"/>
      <c r="AO14" s="1953"/>
      <c r="AT14" s="1953"/>
      <c r="AV14" s="1953"/>
      <c r="AW14" s="1948"/>
      <c r="AX14" s="1948"/>
      <c r="AY14" s="1948"/>
      <c r="AZ14" s="1948"/>
      <c r="BA14" s="1948"/>
      <c r="BB14" s="1948"/>
      <c r="BC14" s="1948"/>
      <c r="BD14" s="1948"/>
      <c r="BE14" s="1948"/>
      <c r="BF14" s="1948"/>
      <c r="BG14" s="1948"/>
      <c r="BH14" s="1948"/>
      <c r="BI14" s="1948"/>
      <c r="BJ14" s="1948"/>
      <c r="BK14" s="1948"/>
      <c r="BL14" s="1948"/>
      <c r="BM14" s="1948"/>
      <c r="BN14" s="1948"/>
      <c r="BO14" s="1948"/>
      <c r="BP14" s="1948"/>
      <c r="BQ14" s="1948"/>
      <c r="BR14" s="1948"/>
      <c r="BS14" s="1948"/>
      <c r="BT14" s="1948"/>
      <c r="BU14" s="1948"/>
      <c r="BV14" s="1948"/>
      <c r="BW14" s="1948"/>
      <c r="BX14" s="1948"/>
      <c r="BY14" s="1948"/>
      <c r="BZ14" s="1948"/>
      <c r="CA14" s="1948"/>
      <c r="CB14" s="1948"/>
      <c r="CC14" s="1948"/>
      <c r="CD14" s="1948"/>
    </row>
    <row r="15" spans="1:133" ht="12" hidden="1" customHeight="1" outlineLevel="1" x14ac:dyDescent="0.2">
      <c r="C15" s="1946"/>
      <c r="D15" s="1946"/>
      <c r="E15" s="1946"/>
      <c r="F15" s="1946"/>
      <c r="G15" s="1946"/>
      <c r="H15" s="1946"/>
      <c r="I15" s="1946"/>
      <c r="J15" s="1946"/>
      <c r="K15" s="1946"/>
      <c r="L15" s="1946"/>
      <c r="M15" s="1946"/>
      <c r="N15" s="1946"/>
      <c r="O15" s="1946"/>
      <c r="P15" s="1946"/>
      <c r="Q15" s="1946"/>
      <c r="R15" s="1946"/>
      <c r="S15" s="1946"/>
      <c r="T15" s="1946"/>
      <c r="U15" s="1946"/>
      <c r="V15" s="1946"/>
      <c r="W15" s="1946"/>
      <c r="X15" s="1946"/>
      <c r="Y15" s="1946"/>
      <c r="Z15" s="1946"/>
      <c r="AA15" s="1946"/>
      <c r="AG15" s="1946"/>
      <c r="AH15" s="1946"/>
      <c r="AM15" s="1946"/>
      <c r="AN15" s="1946"/>
      <c r="AP15" s="1946"/>
      <c r="AQ15" s="1946"/>
      <c r="AR15" s="1946"/>
      <c r="AS15" s="1946"/>
      <c r="AU15" s="1946"/>
      <c r="AW15" s="1948"/>
      <c r="AX15" s="1948"/>
      <c r="AY15" s="1952"/>
      <c r="AZ15" s="1952"/>
      <c r="BA15" s="1952"/>
      <c r="BB15" s="1952"/>
      <c r="BC15" s="1952"/>
      <c r="BD15" s="1952"/>
      <c r="BE15" s="1952"/>
      <c r="BF15" s="1952"/>
      <c r="BG15" s="1952"/>
      <c r="BH15" s="1952"/>
      <c r="BI15" s="1952"/>
      <c r="BJ15" s="1952"/>
      <c r="BK15" s="1952"/>
      <c r="BL15" s="1952"/>
    </row>
    <row r="16" spans="1:133" s="1946" customFormat="1" ht="12" hidden="1" customHeight="1" outlineLevel="1" x14ac:dyDescent="0.2">
      <c r="A16" s="1953"/>
      <c r="B16" s="1953"/>
      <c r="AB16" s="1953"/>
      <c r="AC16" s="1953"/>
      <c r="AD16" s="1953"/>
      <c r="AE16" s="1953"/>
      <c r="AF16" s="1953"/>
      <c r="AI16" s="1953"/>
      <c r="AJ16" s="1953"/>
      <c r="AK16" s="1953"/>
      <c r="AL16" s="1953"/>
      <c r="AO16" s="1953"/>
      <c r="AT16" s="1953"/>
      <c r="AV16" s="1953"/>
      <c r="AW16" s="1948"/>
      <c r="AX16" s="1948"/>
      <c r="AY16" s="1948"/>
      <c r="AZ16" s="1948"/>
      <c r="BA16" s="1948"/>
      <c r="BB16" s="1948"/>
      <c r="BC16" s="1948"/>
      <c r="BD16" s="1948"/>
      <c r="BE16" s="1948"/>
      <c r="BF16" s="1948"/>
      <c r="BG16" s="1948"/>
      <c r="BH16" s="1948"/>
      <c r="BI16" s="1948"/>
      <c r="BJ16" s="1948"/>
      <c r="BK16" s="1948"/>
      <c r="BL16" s="1948"/>
      <c r="BM16" s="1948"/>
      <c r="BN16" s="1948"/>
      <c r="BO16" s="1948"/>
      <c r="BP16" s="1948"/>
      <c r="BQ16" s="1948"/>
      <c r="BR16" s="1948"/>
      <c r="BS16" s="1948"/>
      <c r="BT16" s="1948"/>
      <c r="BU16" s="1948"/>
      <c r="BV16" s="1948"/>
      <c r="BW16" s="1948"/>
      <c r="BX16" s="1948"/>
      <c r="BY16" s="1948"/>
      <c r="BZ16" s="1948"/>
      <c r="CA16" s="1948"/>
      <c r="CB16" s="1948"/>
      <c r="CC16" s="1948"/>
      <c r="CD16" s="1948"/>
    </row>
    <row r="17" spans="1:134" s="1946" customFormat="1" ht="12" hidden="1" customHeight="1" outlineLevel="1" x14ac:dyDescent="0.2">
      <c r="A17" s="1953"/>
      <c r="B17" s="1953"/>
      <c r="AB17" s="1953"/>
      <c r="AC17" s="1953"/>
      <c r="AD17" s="1953"/>
      <c r="AE17" s="1953"/>
      <c r="AF17" s="1953"/>
      <c r="AI17" s="1953"/>
      <c r="AJ17" s="1953"/>
      <c r="AK17" s="1953"/>
      <c r="AL17" s="1953"/>
      <c r="AO17" s="1953"/>
      <c r="AT17" s="1953"/>
      <c r="AV17" s="1953"/>
      <c r="AW17" s="1948"/>
      <c r="AX17" s="1948"/>
      <c r="AY17" s="1948"/>
      <c r="AZ17" s="1948"/>
      <c r="BA17" s="1948"/>
      <c r="BB17" s="1948"/>
      <c r="BC17" s="1948"/>
      <c r="BD17" s="1948"/>
      <c r="BE17" s="1948"/>
      <c r="BF17" s="1948"/>
      <c r="BG17" s="1948"/>
      <c r="BH17" s="1948"/>
      <c r="BI17" s="1948"/>
      <c r="BJ17" s="1948"/>
      <c r="BK17" s="1948"/>
      <c r="BL17" s="1948"/>
      <c r="BM17" s="1948"/>
      <c r="BN17" s="1948"/>
      <c r="BO17" s="1948"/>
      <c r="BP17" s="1948"/>
      <c r="BQ17" s="1948"/>
      <c r="BR17" s="1948"/>
      <c r="BS17" s="1948"/>
      <c r="BT17" s="1948"/>
      <c r="BU17" s="1948"/>
      <c r="BV17" s="1948"/>
      <c r="BW17" s="1948"/>
      <c r="BX17" s="1948"/>
      <c r="BY17" s="1948"/>
      <c r="BZ17" s="1948"/>
      <c r="CA17" s="1948"/>
      <c r="CB17" s="1948"/>
      <c r="CC17" s="1948"/>
      <c r="CD17" s="1948"/>
    </row>
    <row r="18" spans="1:134" s="1946" customFormat="1" ht="12" hidden="1" customHeight="1" outlineLevel="1" x14ac:dyDescent="0.2">
      <c r="A18" s="1953"/>
      <c r="B18" s="1953"/>
      <c r="AB18" s="1953"/>
      <c r="AC18" s="1953"/>
      <c r="AD18" s="1953"/>
      <c r="AE18" s="1953"/>
      <c r="AF18" s="1953"/>
      <c r="AI18" s="1953"/>
      <c r="AJ18" s="1953"/>
      <c r="AK18" s="1953"/>
      <c r="AL18" s="1953"/>
      <c r="AO18" s="1953"/>
      <c r="AT18" s="1953"/>
      <c r="AV18" s="1953"/>
      <c r="AW18" s="1948"/>
      <c r="AX18" s="1948"/>
      <c r="AY18" s="1948"/>
      <c r="AZ18" s="1948"/>
      <c r="BA18" s="1948"/>
      <c r="BB18" s="1948"/>
      <c r="BC18" s="1948"/>
      <c r="BD18" s="1948"/>
      <c r="BE18" s="1948"/>
      <c r="BF18" s="1948"/>
      <c r="BG18" s="1948"/>
      <c r="BH18" s="1948"/>
      <c r="BI18" s="1948"/>
      <c r="BJ18" s="1948"/>
      <c r="BK18" s="1948"/>
      <c r="BL18" s="1948"/>
      <c r="BM18" s="1948"/>
      <c r="BN18" s="1948"/>
      <c r="BO18" s="1948"/>
      <c r="BP18" s="1948"/>
      <c r="BQ18" s="1948"/>
      <c r="BR18" s="1948"/>
      <c r="BS18" s="1948"/>
      <c r="BT18" s="1948"/>
      <c r="BU18" s="1948"/>
      <c r="BV18" s="1948"/>
      <c r="BW18" s="1948"/>
      <c r="BX18" s="1948"/>
      <c r="BY18" s="1948"/>
      <c r="BZ18" s="1948"/>
      <c r="CA18" s="1948"/>
      <c r="CB18" s="1948"/>
      <c r="CC18" s="1948"/>
      <c r="CD18" s="1948"/>
    </row>
    <row r="19" spans="1:134" s="1946" customFormat="1" ht="12" hidden="1" customHeight="1" outlineLevel="1" x14ac:dyDescent="0.2">
      <c r="A19" s="1953"/>
      <c r="B19" s="1953" t="s">
        <v>4990</v>
      </c>
      <c r="AB19" s="1953"/>
      <c r="AC19" s="1953"/>
      <c r="AD19" s="1953"/>
      <c r="AE19" s="1953"/>
      <c r="AF19" s="1953"/>
      <c r="AI19" s="1953"/>
      <c r="AJ19" s="1953"/>
      <c r="AK19" s="1953"/>
      <c r="AL19" s="1953"/>
      <c r="AO19" s="1953"/>
      <c r="AT19" s="1953"/>
      <c r="AV19" s="1953"/>
      <c r="AW19" s="1948"/>
      <c r="AX19" s="1948"/>
      <c r="AY19" s="1948"/>
      <c r="AZ19" s="1948"/>
      <c r="BA19" s="1948"/>
      <c r="BB19" s="1948"/>
      <c r="BC19" s="1948"/>
      <c r="BD19" s="1948"/>
      <c r="BE19" s="1948"/>
      <c r="BF19" s="1948"/>
      <c r="BG19" s="1948"/>
      <c r="BH19" s="1948"/>
      <c r="BI19" s="1948"/>
      <c r="BJ19" s="1948"/>
      <c r="BK19" s="1948"/>
      <c r="BL19" s="1948"/>
      <c r="BM19" s="1948"/>
      <c r="BN19" s="1948"/>
      <c r="BO19" s="1948"/>
      <c r="BP19" s="1948"/>
      <c r="BQ19" s="1948"/>
      <c r="BR19" s="1948"/>
      <c r="BS19" s="1948"/>
      <c r="BT19" s="1948"/>
      <c r="BU19" s="1948"/>
      <c r="BV19" s="1948"/>
      <c r="BW19" s="1948"/>
      <c r="BX19" s="1948"/>
      <c r="BY19" s="1948"/>
      <c r="BZ19" s="1948"/>
      <c r="CA19" s="1948"/>
      <c r="CB19" s="1948"/>
      <c r="CC19" s="1948"/>
      <c r="CD19" s="1948"/>
    </row>
    <row r="20" spans="1:134" s="1946" customFormat="1" ht="12" hidden="1" customHeight="1" outlineLevel="1" x14ac:dyDescent="0.2">
      <c r="A20" s="1953"/>
      <c r="B20" s="1953"/>
      <c r="AB20" s="1953"/>
      <c r="AC20" s="1953"/>
      <c r="AD20" s="1953"/>
      <c r="AE20" s="1953"/>
      <c r="AF20" s="1953"/>
      <c r="AI20" s="1953"/>
      <c r="AJ20" s="1953"/>
      <c r="AK20" s="1953"/>
      <c r="AL20" s="1953"/>
      <c r="AO20" s="1953"/>
      <c r="AT20" s="1953"/>
      <c r="AV20" s="1953"/>
      <c r="AW20" s="1948"/>
      <c r="AX20" s="1948"/>
      <c r="AY20" s="1948"/>
      <c r="AZ20" s="1948"/>
      <c r="BA20" s="1948"/>
      <c r="BB20" s="1948"/>
      <c r="BC20" s="1948"/>
      <c r="BD20" s="1948"/>
      <c r="BE20" s="1948"/>
      <c r="BF20" s="1948"/>
      <c r="BG20" s="1948"/>
      <c r="BH20" s="1948"/>
      <c r="BI20" s="1948"/>
      <c r="BJ20" s="1948"/>
      <c r="BK20" s="1948"/>
      <c r="BL20" s="1948"/>
      <c r="BM20" s="1948"/>
      <c r="BN20" s="1948"/>
      <c r="BO20" s="1948"/>
      <c r="BP20" s="1948"/>
      <c r="BQ20" s="1948"/>
      <c r="BR20" s="1948"/>
      <c r="BS20" s="1948"/>
      <c r="BT20" s="1948"/>
      <c r="BU20" s="1948"/>
      <c r="BV20" s="1948"/>
      <c r="BW20" s="1948"/>
      <c r="BX20" s="1948"/>
      <c r="BY20" s="1948"/>
      <c r="BZ20" s="1948"/>
      <c r="CA20" s="1948"/>
      <c r="CB20" s="1948"/>
      <c r="CC20" s="1948"/>
      <c r="CD20" s="1948"/>
    </row>
    <row r="21" spans="1:134" s="1946" customFormat="1" ht="12" hidden="1" customHeight="1" outlineLevel="1" x14ac:dyDescent="0.2">
      <c r="A21" s="1953"/>
      <c r="B21" s="1953"/>
      <c r="AB21" s="1953"/>
      <c r="AC21" s="1953"/>
      <c r="AD21" s="1953"/>
      <c r="AE21" s="1953"/>
      <c r="AF21" s="1953"/>
      <c r="AI21" s="1953"/>
      <c r="AJ21" s="1953"/>
      <c r="AK21" s="1953"/>
      <c r="AL21" s="1953"/>
      <c r="AO21" s="1953"/>
      <c r="AT21" s="1953"/>
      <c r="AV21" s="1953"/>
      <c r="AW21" s="1948"/>
      <c r="AX21" s="1948"/>
      <c r="AY21" s="1948"/>
      <c r="AZ21" s="1948"/>
      <c r="BA21" s="1948"/>
      <c r="BB21" s="1948"/>
      <c r="BC21" s="1948"/>
      <c r="BD21" s="1948"/>
      <c r="BE21" s="1948"/>
      <c r="BF21" s="1948"/>
      <c r="BG21" s="1948"/>
      <c r="BH21" s="1948"/>
      <c r="BI21" s="1948"/>
      <c r="BJ21" s="1948"/>
      <c r="BK21" s="1948"/>
      <c r="BL21" s="1948"/>
      <c r="BM21" s="1948"/>
      <c r="BN21" s="1948"/>
      <c r="BO21" s="1948"/>
      <c r="BP21" s="1948"/>
      <c r="BQ21" s="1948"/>
      <c r="BR21" s="1948"/>
      <c r="BS21" s="1948"/>
      <c r="BT21" s="1948"/>
      <c r="BU21" s="1948"/>
      <c r="BV21" s="1948"/>
      <c r="BW21" s="1948"/>
      <c r="BX21" s="1948"/>
      <c r="BY21" s="1948"/>
      <c r="BZ21" s="1948"/>
      <c r="CA21" s="1948"/>
      <c r="CB21" s="1948"/>
      <c r="CC21" s="1948"/>
      <c r="CD21" s="1948"/>
    </row>
    <row r="22" spans="1:134" s="1946" customFormat="1" ht="12" hidden="1" customHeight="1" outlineLevel="1" x14ac:dyDescent="0.2">
      <c r="A22" s="1953"/>
      <c r="B22" s="1953"/>
      <c r="AB22" s="1953"/>
      <c r="AC22" s="1953"/>
      <c r="AD22" s="1953"/>
      <c r="AE22" s="1953"/>
      <c r="AF22" s="1953"/>
      <c r="AI22" s="1953"/>
      <c r="AJ22" s="1953"/>
      <c r="AK22" s="1953"/>
      <c r="AL22" s="1953"/>
      <c r="AO22" s="1953"/>
      <c r="AT22" s="1953"/>
      <c r="AV22" s="1953"/>
      <c r="AW22" s="1948"/>
      <c r="AX22" s="1948"/>
      <c r="AY22" s="1948"/>
      <c r="AZ22" s="1948"/>
      <c r="BA22" s="1948"/>
      <c r="BB22" s="1948"/>
      <c r="BC22" s="1948"/>
      <c r="BD22" s="1948"/>
      <c r="BE22" s="1948"/>
      <c r="BF22" s="1948"/>
      <c r="BG22" s="1948"/>
      <c r="BH22" s="1948"/>
      <c r="BI22" s="1948"/>
      <c r="BJ22" s="1948"/>
      <c r="BK22" s="1948"/>
      <c r="BL22" s="1948"/>
      <c r="BM22" s="1948"/>
      <c r="BN22" s="1948"/>
      <c r="BO22" s="1948"/>
      <c r="BP22" s="1948"/>
      <c r="BQ22" s="1948"/>
      <c r="BR22" s="1948"/>
      <c r="BS22" s="1948"/>
      <c r="BT22" s="1948"/>
      <c r="BU22" s="1948"/>
      <c r="BV22" s="1948"/>
      <c r="BW22" s="1948"/>
      <c r="BX22" s="1948"/>
      <c r="BY22" s="1948"/>
      <c r="BZ22" s="1948"/>
      <c r="CA22" s="1948"/>
      <c r="CB22" s="1948"/>
      <c r="CC22" s="1948"/>
      <c r="CD22" s="1948"/>
    </row>
    <row r="23" spans="1:134" ht="12" hidden="1" customHeight="1" outlineLevel="1" x14ac:dyDescent="0.2">
      <c r="C23" s="1946"/>
      <c r="D23" s="1946"/>
      <c r="E23" s="1946"/>
      <c r="F23" s="1946"/>
      <c r="G23" s="1946"/>
      <c r="H23" s="1946"/>
      <c r="I23" s="1946"/>
      <c r="J23" s="1946"/>
      <c r="K23" s="1946"/>
      <c r="L23" s="1946"/>
      <c r="M23" s="1946"/>
      <c r="N23" s="1946"/>
      <c r="O23" s="1946"/>
      <c r="P23" s="1946"/>
      <c r="Q23" s="1946"/>
      <c r="R23" s="1946"/>
      <c r="S23" s="1946"/>
      <c r="T23" s="1946"/>
      <c r="U23" s="1946"/>
      <c r="V23" s="1946"/>
      <c r="W23" s="1946"/>
      <c r="X23" s="1946"/>
      <c r="Y23" s="1946"/>
      <c r="Z23" s="1946"/>
      <c r="AA23" s="1946"/>
      <c r="AG23" s="1946"/>
      <c r="AH23" s="1946"/>
      <c r="AM23" s="1946"/>
      <c r="AN23" s="1946"/>
      <c r="AP23" s="1946"/>
      <c r="AQ23" s="1946"/>
      <c r="AR23" s="1946"/>
      <c r="AS23" s="1946"/>
      <c r="AU23" s="1946"/>
      <c r="AW23" s="1947"/>
      <c r="AX23" s="1948"/>
      <c r="AY23" s="1951"/>
      <c r="AZ23" s="1951"/>
      <c r="BA23" s="1951"/>
      <c r="BB23" s="1951"/>
      <c r="BC23" s="1951"/>
      <c r="BD23" s="1951"/>
      <c r="BE23" s="1951"/>
      <c r="BF23" s="1951"/>
      <c r="BG23" s="1951"/>
      <c r="BH23" s="1951"/>
      <c r="BI23" s="1951"/>
      <c r="BJ23" s="1951"/>
      <c r="BK23" s="1951"/>
      <c r="BL23" s="1951"/>
    </row>
    <row r="24" spans="1:134" ht="12" hidden="1" customHeight="1" outlineLevel="1" x14ac:dyDescent="0.2">
      <c r="C24" s="1946"/>
      <c r="D24" s="1946"/>
      <c r="E24" s="1946"/>
      <c r="F24" s="1946"/>
      <c r="G24" s="1946"/>
      <c r="H24" s="1946"/>
      <c r="I24" s="1946"/>
      <c r="J24" s="1946"/>
      <c r="K24" s="1946"/>
      <c r="L24" s="1946"/>
      <c r="M24" s="1946"/>
      <c r="N24" s="1946"/>
      <c r="O24" s="1946"/>
      <c r="P24" s="1946"/>
      <c r="Q24" s="1946"/>
      <c r="R24" s="1946"/>
      <c r="S24" s="1946"/>
      <c r="T24" s="1946"/>
      <c r="U24" s="1946"/>
      <c r="V24" s="1946"/>
      <c r="W24" s="1946"/>
      <c r="X24" s="1946"/>
      <c r="Y24" s="1946"/>
      <c r="Z24" s="1946"/>
      <c r="AA24" s="1946"/>
      <c r="AG24" s="1946"/>
      <c r="AH24" s="1946"/>
      <c r="AM24" s="1946"/>
      <c r="AN24" s="1946"/>
      <c r="AP24" s="1946"/>
      <c r="AQ24" s="1946"/>
      <c r="AR24" s="1946"/>
      <c r="AS24" s="1946"/>
      <c r="AU24" s="1946"/>
      <c r="AW24" s="1948"/>
      <c r="AX24" s="1948"/>
      <c r="AY24" s="1952"/>
      <c r="AZ24" s="1952"/>
      <c r="BA24" s="1952"/>
      <c r="BB24" s="1952"/>
      <c r="BC24" s="1952"/>
      <c r="BD24" s="1952"/>
      <c r="BE24" s="1952"/>
      <c r="BF24" s="1952"/>
      <c r="BG24" s="1952"/>
      <c r="BH24" s="1952"/>
      <c r="BI24" s="1952"/>
      <c r="BJ24" s="1952"/>
      <c r="BK24" s="1952"/>
      <c r="BL24" s="1952"/>
      <c r="BM24" s="1952"/>
      <c r="BN24" s="1952"/>
      <c r="BO24" s="1952"/>
      <c r="BP24" s="1952"/>
      <c r="BQ24" s="1952"/>
      <c r="BR24" s="1952"/>
      <c r="BS24" s="1952"/>
      <c r="BT24" s="1952"/>
      <c r="BU24" s="1952"/>
      <c r="BV24" s="1952"/>
      <c r="BW24" s="1952"/>
      <c r="BX24" s="1952"/>
      <c r="BY24" s="1952"/>
      <c r="BZ24" s="1952"/>
      <c r="CA24" s="1952"/>
      <c r="CB24" s="1952"/>
      <c r="CC24" s="1952"/>
      <c r="CD24" s="1952"/>
      <c r="CE24" s="1952"/>
      <c r="CF24" s="1952"/>
      <c r="CG24" s="1952"/>
      <c r="CH24" s="1952"/>
      <c r="CI24" s="1952"/>
      <c r="CJ24" s="1952"/>
      <c r="CK24" s="1952"/>
      <c r="CL24" s="1952"/>
      <c r="CM24" s="1952"/>
      <c r="CN24" s="1952"/>
      <c r="CO24" s="1952"/>
      <c r="CP24" s="1952"/>
      <c r="CQ24" s="1952"/>
      <c r="CR24" s="1952"/>
      <c r="CS24" s="1952"/>
      <c r="CT24" s="1952"/>
      <c r="CU24" s="1952"/>
      <c r="CV24" s="1952"/>
      <c r="CW24" s="1952"/>
      <c r="CX24" s="1952"/>
      <c r="CY24" s="1952"/>
      <c r="CZ24" s="1952"/>
      <c r="DA24" s="1952"/>
      <c r="DB24" s="1952"/>
    </row>
    <row r="25" spans="1:134" s="1946" customFormat="1" ht="12" hidden="1" customHeight="1" outlineLevel="1" x14ac:dyDescent="0.2">
      <c r="A25" s="1953"/>
      <c r="B25" s="1953"/>
      <c r="D25" s="1948"/>
      <c r="F25" s="1948"/>
      <c r="G25" s="1948"/>
      <c r="I25" s="1948"/>
      <c r="AB25" s="1953"/>
      <c r="AC25" s="1953"/>
      <c r="AD25" s="1953"/>
      <c r="AE25" s="1953"/>
      <c r="AF25" s="1953"/>
      <c r="AH25" s="1948"/>
      <c r="AI25" s="1953"/>
      <c r="AJ25" s="1953"/>
      <c r="AK25" s="1953"/>
      <c r="AL25" s="1953"/>
      <c r="AN25" s="1948"/>
      <c r="AO25" s="1953"/>
      <c r="AQ25" s="1948"/>
      <c r="AS25" s="1948"/>
      <c r="AT25" s="1953"/>
      <c r="AV25" s="1953"/>
      <c r="AW25" s="1948"/>
      <c r="AY25" s="1948"/>
      <c r="BA25" s="1948"/>
      <c r="BC25" s="1948"/>
      <c r="BE25" s="1948"/>
      <c r="BG25" s="1948"/>
      <c r="BI25" s="1948"/>
      <c r="BK25" s="1948"/>
      <c r="BM25" s="1948"/>
      <c r="BN25" s="1948"/>
      <c r="BO25" s="1948"/>
      <c r="BP25" s="1948"/>
      <c r="BQ25" s="1948"/>
      <c r="BR25" s="1948"/>
      <c r="BS25" s="1948"/>
      <c r="BT25" s="1948"/>
      <c r="BU25" s="1948"/>
      <c r="BV25" s="1948"/>
      <c r="BW25" s="1948"/>
      <c r="BX25" s="1948"/>
      <c r="BY25" s="1948"/>
      <c r="BZ25" s="1948"/>
      <c r="CA25" s="1948"/>
      <c r="CB25" s="1948"/>
      <c r="CC25" s="1948"/>
      <c r="CD25" s="1948"/>
    </row>
    <row r="26" spans="1:134" s="1946" customFormat="1" ht="12" hidden="1" customHeight="1" outlineLevel="1" x14ac:dyDescent="0.2">
      <c r="D26" s="1948"/>
      <c r="F26" s="1948"/>
      <c r="G26" s="1948"/>
      <c r="I26" s="1948"/>
      <c r="AH26" s="1948"/>
      <c r="AN26" s="1948"/>
      <c r="AQ26" s="1948"/>
      <c r="AS26" s="1948"/>
      <c r="AW26" s="1948"/>
      <c r="AX26" s="1948"/>
      <c r="AY26" s="1948"/>
      <c r="AZ26" s="1948"/>
      <c r="BA26" s="1948"/>
      <c r="BB26" s="1948"/>
      <c r="BC26" s="1948"/>
      <c r="BD26" s="1948"/>
      <c r="BE26" s="1948"/>
      <c r="BF26" s="1948"/>
      <c r="BG26" s="1948"/>
      <c r="BH26" s="1948"/>
      <c r="BI26" s="1948"/>
      <c r="BJ26" s="1948"/>
      <c r="BK26" s="1948"/>
      <c r="BL26" s="1948"/>
      <c r="BM26" s="1948"/>
      <c r="BO26" s="1948"/>
      <c r="BP26" s="1948"/>
      <c r="BQ26" s="1948"/>
      <c r="BR26" s="1948"/>
      <c r="BS26" s="1948"/>
      <c r="BT26" s="1948"/>
      <c r="BU26" s="1948"/>
      <c r="BV26" s="1948"/>
      <c r="BW26" s="1948"/>
      <c r="BX26" s="1948"/>
      <c r="BY26" s="1948"/>
      <c r="BZ26" s="1948"/>
      <c r="CA26" s="1948"/>
      <c r="CB26" s="1948"/>
      <c r="CC26" s="1948"/>
      <c r="CD26" s="1948"/>
    </row>
    <row r="27" spans="1:134" s="1946" customFormat="1" ht="12" hidden="1" customHeight="1" outlineLevel="1" x14ac:dyDescent="0.2">
      <c r="A27" s="1951" t="s">
        <v>724</v>
      </c>
      <c r="B27" s="1952" t="s">
        <v>724</v>
      </c>
      <c r="C27" s="1948"/>
      <c r="D27" s="1948"/>
      <c r="E27" s="1948"/>
      <c r="F27" s="1948"/>
      <c r="G27" s="1948"/>
      <c r="H27" s="1948"/>
      <c r="I27" s="1948"/>
      <c r="J27" s="1948"/>
      <c r="K27" s="1948"/>
      <c r="L27" s="1948"/>
      <c r="M27" s="1948"/>
      <c r="N27" s="1948"/>
      <c r="O27" s="1948"/>
      <c r="P27" s="1948"/>
      <c r="Q27" s="1948"/>
      <c r="R27" s="1948"/>
      <c r="S27" s="1948"/>
      <c r="T27" s="1948"/>
      <c r="U27" s="1948"/>
      <c r="V27" s="1948"/>
      <c r="W27" s="1948"/>
      <c r="X27" s="1948"/>
      <c r="Y27" s="1948"/>
      <c r="Z27" s="1948"/>
      <c r="AA27" s="1948"/>
      <c r="AB27" s="1952"/>
      <c r="AC27" s="1952"/>
      <c r="AD27" s="1952"/>
      <c r="AE27" s="1952"/>
      <c r="AF27" s="1952"/>
      <c r="AG27" s="1948"/>
      <c r="AH27" s="1948"/>
      <c r="AI27" s="1952"/>
      <c r="AJ27" s="1952"/>
      <c r="AK27" s="1952"/>
      <c r="AL27" s="1952"/>
      <c r="AM27" s="1948"/>
      <c r="AN27" s="1948"/>
      <c r="AO27" s="1952"/>
      <c r="AP27" s="1948"/>
      <c r="AQ27" s="1948"/>
      <c r="AR27" s="1948"/>
      <c r="AS27" s="1948"/>
      <c r="AT27" s="1952"/>
      <c r="AU27" s="1948"/>
      <c r="AV27" s="1952"/>
      <c r="AW27" s="1948"/>
      <c r="AX27" s="1948"/>
      <c r="AY27" s="1948"/>
      <c r="AZ27" s="1948"/>
      <c r="BA27" s="1948"/>
      <c r="BB27" s="1948"/>
      <c r="BC27" s="1948"/>
      <c r="BD27" s="1948"/>
      <c r="BE27" s="1948"/>
      <c r="BF27" s="1948"/>
      <c r="BG27" s="1948"/>
      <c r="BH27" s="1948"/>
      <c r="BI27" s="1948"/>
      <c r="BJ27" s="1948"/>
      <c r="BK27" s="1948"/>
      <c r="BL27" s="1948"/>
      <c r="BM27" s="1948"/>
      <c r="BN27" s="1948"/>
      <c r="BO27" s="1948"/>
      <c r="BP27" s="1948"/>
      <c r="BQ27" s="1948"/>
      <c r="BR27" s="1948"/>
      <c r="BS27" s="1948"/>
      <c r="BT27" s="1948"/>
      <c r="BU27" s="1948"/>
      <c r="BV27" s="1948"/>
      <c r="BW27" s="1948"/>
      <c r="BX27" s="1948"/>
      <c r="BY27" s="1948"/>
      <c r="BZ27" s="1948"/>
      <c r="CA27" s="1948"/>
      <c r="CB27" s="1948"/>
      <c r="CC27" s="1948"/>
      <c r="CD27" s="1948"/>
      <c r="CE27" s="1947"/>
      <c r="CF27" s="1947"/>
      <c r="CG27" s="1947"/>
      <c r="CH27" s="1947"/>
      <c r="CI27" s="1947"/>
      <c r="CJ27" s="1947"/>
      <c r="CK27" s="1947"/>
      <c r="CL27" s="1947"/>
      <c r="CM27" s="1947"/>
      <c r="CN27" s="1947"/>
      <c r="CO27" s="1947"/>
      <c r="CP27" s="1947"/>
      <c r="CQ27" s="1947"/>
      <c r="CR27" s="1947"/>
      <c r="CS27" s="1947"/>
      <c r="CT27" s="1947"/>
      <c r="CU27" s="1947"/>
      <c r="CV27" s="1947"/>
      <c r="CW27" s="1947"/>
      <c r="CX27" s="1947"/>
      <c r="CY27" s="1947"/>
      <c r="CZ27" s="1947"/>
      <c r="DA27" s="1947"/>
      <c r="DB27" s="1947"/>
      <c r="DC27" s="1947"/>
      <c r="DD27" s="1947"/>
      <c r="DE27" s="1947"/>
      <c r="DF27" s="1947"/>
      <c r="DG27" s="1947"/>
      <c r="DH27" s="1947"/>
      <c r="DI27" s="1947"/>
      <c r="DJ27" s="1947"/>
      <c r="DK27" s="1947"/>
      <c r="DL27" s="1947"/>
      <c r="DM27" s="1947"/>
      <c r="DN27" s="1947"/>
      <c r="DO27" s="1947"/>
      <c r="DP27" s="1947"/>
      <c r="DQ27" s="1947"/>
      <c r="DR27" s="1947"/>
      <c r="DS27" s="1947"/>
      <c r="DT27" s="1947"/>
      <c r="DU27" s="1947"/>
      <c r="DV27" s="1947"/>
      <c r="DW27" s="1947"/>
      <c r="DX27" s="1947"/>
      <c r="DY27" s="1947"/>
      <c r="DZ27" s="1947"/>
      <c r="EA27" s="1947"/>
      <c r="EB27" s="1947"/>
      <c r="EC27" s="1947"/>
      <c r="ED27" s="1947"/>
    </row>
    <row r="28" spans="1:134" s="1946" customFormat="1" ht="12" hidden="1" customHeight="1" outlineLevel="1" x14ac:dyDescent="0.2">
      <c r="A28" s="1951" t="s">
        <v>883</v>
      </c>
      <c r="B28" s="1952" t="s">
        <v>884</v>
      </c>
      <c r="C28" s="1948"/>
      <c r="D28" s="1948"/>
      <c r="E28" s="1948"/>
      <c r="F28" s="1948"/>
      <c r="G28" s="1948"/>
      <c r="H28" s="1948"/>
      <c r="I28" s="1948"/>
      <c r="J28" s="1948"/>
      <c r="K28" s="1948"/>
      <c r="L28" s="1948"/>
      <c r="M28" s="1948"/>
      <c r="N28" s="1948"/>
      <c r="O28" s="1948"/>
      <c r="P28" s="1948"/>
      <c r="Q28" s="1948"/>
      <c r="R28" s="1948"/>
      <c r="S28" s="1948"/>
      <c r="T28" s="1948"/>
      <c r="U28" s="1948"/>
      <c r="V28" s="1948"/>
      <c r="W28" s="1948"/>
      <c r="X28" s="1948"/>
      <c r="Y28" s="1948"/>
      <c r="Z28" s="1948"/>
      <c r="AA28" s="1948"/>
      <c r="AB28" s="1952"/>
      <c r="AC28" s="1952"/>
      <c r="AD28" s="1952"/>
      <c r="AE28" s="1952"/>
      <c r="AF28" s="1952"/>
      <c r="AG28" s="1948"/>
      <c r="AH28" s="1948"/>
      <c r="AI28" s="1952"/>
      <c r="AJ28" s="1952"/>
      <c r="AK28" s="1952"/>
      <c r="AL28" s="1952"/>
      <c r="AM28" s="1948"/>
      <c r="AN28" s="1948"/>
      <c r="AO28" s="1952"/>
      <c r="AP28" s="1948"/>
      <c r="AQ28" s="1948"/>
      <c r="AR28" s="1948"/>
      <c r="AS28" s="1948"/>
      <c r="AT28" s="1952"/>
      <c r="AU28" s="1948"/>
      <c r="AV28" s="1952"/>
      <c r="AW28" s="1948"/>
      <c r="AX28" s="1948"/>
      <c r="AY28" s="1948"/>
      <c r="AZ28" s="1948"/>
      <c r="BA28" s="1948"/>
      <c r="BB28" s="1948"/>
      <c r="BC28" s="1948"/>
      <c r="BD28" s="1948"/>
      <c r="BE28" s="1948"/>
      <c r="BF28" s="1948"/>
      <c r="BG28" s="1948"/>
      <c r="BH28" s="1948"/>
      <c r="BI28" s="1948"/>
      <c r="BJ28" s="1948"/>
      <c r="BK28" s="1948"/>
      <c r="BL28" s="1948"/>
      <c r="BM28" s="1948"/>
      <c r="BN28" s="1948"/>
      <c r="BO28" s="1948"/>
      <c r="BP28" s="1948"/>
      <c r="BQ28" s="1948"/>
      <c r="BR28" s="1948"/>
      <c r="BS28" s="1948"/>
      <c r="BT28" s="1948"/>
      <c r="BU28" s="1948"/>
      <c r="BV28" s="1948"/>
      <c r="BW28" s="1948"/>
      <c r="BX28" s="1948"/>
      <c r="BY28" s="1948"/>
      <c r="BZ28" s="1948"/>
      <c r="CA28" s="1948"/>
      <c r="CB28" s="1948"/>
      <c r="CC28" s="1948"/>
      <c r="CD28" s="1948"/>
      <c r="CE28" s="1947"/>
      <c r="CF28" s="1947"/>
      <c r="CG28" s="1947"/>
      <c r="CH28" s="1947"/>
      <c r="CI28" s="1947"/>
      <c r="CJ28" s="1947"/>
      <c r="CK28" s="1947"/>
      <c r="CL28" s="1947"/>
      <c r="CM28" s="1947"/>
      <c r="CN28" s="1947"/>
      <c r="CO28" s="1947"/>
      <c r="CP28" s="1947"/>
      <c r="CQ28" s="1947"/>
      <c r="CR28" s="1947"/>
      <c r="CS28" s="1947"/>
      <c r="CT28" s="1947"/>
      <c r="CU28" s="1947"/>
      <c r="CV28" s="1947"/>
      <c r="CW28" s="1947"/>
      <c r="CX28" s="1947"/>
      <c r="CY28" s="1947"/>
      <c r="CZ28" s="1947"/>
      <c r="DA28" s="1947"/>
      <c r="DB28" s="1947"/>
      <c r="DC28" s="1947"/>
      <c r="DD28" s="1947"/>
      <c r="DE28" s="1947"/>
      <c r="DF28" s="1947"/>
      <c r="DG28" s="1947"/>
      <c r="DH28" s="1947"/>
      <c r="DI28" s="1947"/>
      <c r="DJ28" s="1947"/>
      <c r="DK28" s="1947"/>
      <c r="DL28" s="1947"/>
      <c r="DM28" s="1947"/>
      <c r="DN28" s="1947"/>
      <c r="DO28" s="1947"/>
      <c r="DP28" s="1947"/>
      <c r="DQ28" s="1947"/>
      <c r="DR28" s="1947"/>
      <c r="DS28" s="1947"/>
      <c r="DT28" s="1947"/>
      <c r="DU28" s="1947"/>
      <c r="DV28" s="1947"/>
      <c r="DW28" s="1947"/>
      <c r="DX28" s="1947"/>
      <c r="DY28" s="1947"/>
      <c r="DZ28" s="1947"/>
      <c r="EA28" s="1947"/>
      <c r="EB28" s="1947"/>
      <c r="EC28" s="1947"/>
      <c r="ED28" s="1947"/>
    </row>
    <row r="29" spans="1:134" s="1946" customFormat="1" ht="12" hidden="1" customHeight="1" outlineLevel="1" x14ac:dyDescent="0.2">
      <c r="A29" s="1951" t="s">
        <v>885</v>
      </c>
      <c r="B29" s="1952" t="s">
        <v>2264</v>
      </c>
      <c r="C29" s="1948"/>
      <c r="D29" s="1948"/>
      <c r="E29" s="1948"/>
      <c r="F29" s="1948"/>
      <c r="G29" s="1948"/>
      <c r="H29" s="1948"/>
      <c r="I29" s="1948"/>
      <c r="J29" s="1948"/>
      <c r="K29" s="1948"/>
      <c r="L29" s="1948"/>
      <c r="M29" s="1948"/>
      <c r="N29" s="1948"/>
      <c r="O29" s="1948"/>
      <c r="P29" s="1948"/>
      <c r="Q29" s="1948"/>
      <c r="R29" s="1948"/>
      <c r="S29" s="1948"/>
      <c r="T29" s="1948"/>
      <c r="U29" s="1948"/>
      <c r="V29" s="1948"/>
      <c r="W29" s="1948"/>
      <c r="X29" s="1948"/>
      <c r="Y29" s="1948"/>
      <c r="Z29" s="1948"/>
      <c r="AA29" s="1948"/>
      <c r="AB29" s="1952"/>
      <c r="AC29" s="1952"/>
      <c r="AD29" s="1952"/>
      <c r="AE29" s="1952"/>
      <c r="AF29" s="1952"/>
      <c r="AG29" s="1948"/>
      <c r="AH29" s="1948"/>
      <c r="AI29" s="1952"/>
      <c r="AJ29" s="1952"/>
      <c r="AK29" s="1952"/>
      <c r="AL29" s="1952"/>
      <c r="AM29" s="1948"/>
      <c r="AN29" s="1948"/>
      <c r="AO29" s="1952"/>
      <c r="AP29" s="1948"/>
      <c r="AQ29" s="1948"/>
      <c r="AR29" s="1948"/>
      <c r="AS29" s="1948"/>
      <c r="AT29" s="1952"/>
      <c r="AU29" s="1948"/>
      <c r="AV29" s="1952"/>
      <c r="AW29" s="1948"/>
      <c r="AX29" s="1948"/>
      <c r="AY29" s="1948"/>
      <c r="AZ29" s="1948"/>
      <c r="BA29" s="1948"/>
      <c r="BB29" s="1948"/>
      <c r="BC29" s="1948"/>
      <c r="BD29" s="1948"/>
      <c r="BE29" s="1948"/>
      <c r="BF29" s="1948"/>
      <c r="BG29" s="1948"/>
      <c r="BH29" s="1948"/>
      <c r="BI29" s="1948"/>
      <c r="BJ29" s="1948"/>
      <c r="BK29" s="1948"/>
      <c r="BL29" s="1948"/>
      <c r="BM29" s="1948"/>
      <c r="BN29" s="1948"/>
      <c r="BO29" s="1948"/>
      <c r="BP29" s="1948"/>
      <c r="BQ29" s="1948"/>
      <c r="BR29" s="1948"/>
      <c r="BS29" s="1948"/>
      <c r="BT29" s="1948"/>
      <c r="BU29" s="1948"/>
      <c r="BV29" s="1948"/>
      <c r="BW29" s="1948"/>
      <c r="BX29" s="1948"/>
      <c r="BY29" s="1948"/>
      <c r="BZ29" s="1948"/>
      <c r="CA29" s="1948"/>
      <c r="CB29" s="1948"/>
      <c r="CC29" s="1948"/>
      <c r="CD29" s="1948"/>
      <c r="CE29" s="1947"/>
      <c r="CF29" s="1947"/>
      <c r="CG29" s="1947"/>
      <c r="CH29" s="1947"/>
      <c r="CI29" s="1947"/>
      <c r="CJ29" s="1947"/>
      <c r="CK29" s="1947"/>
      <c r="CL29" s="1947"/>
      <c r="CM29" s="1947"/>
      <c r="CN29" s="1947"/>
      <c r="CO29" s="1947"/>
      <c r="CP29" s="1947"/>
      <c r="CQ29" s="1947"/>
      <c r="CR29" s="1947"/>
      <c r="CS29" s="1947"/>
      <c r="CT29" s="1947"/>
      <c r="CU29" s="1947"/>
      <c r="CV29" s="1947"/>
      <c r="CW29" s="1947"/>
      <c r="CX29" s="1947"/>
      <c r="CY29" s="1947"/>
      <c r="CZ29" s="1947"/>
      <c r="DA29" s="1947"/>
      <c r="DB29" s="1947"/>
      <c r="DC29" s="1947"/>
      <c r="DD29" s="1947"/>
      <c r="DE29" s="1947"/>
      <c r="DF29" s="1947"/>
      <c r="DG29" s="1947"/>
      <c r="DH29" s="1947"/>
      <c r="DI29" s="1947"/>
      <c r="DJ29" s="1947"/>
      <c r="DK29" s="1947"/>
      <c r="DL29" s="1947"/>
      <c r="DM29" s="1947"/>
      <c r="DN29" s="1947"/>
      <c r="DO29" s="1947"/>
      <c r="DP29" s="1947"/>
      <c r="DQ29" s="1947"/>
      <c r="DR29" s="1947"/>
      <c r="DS29" s="1947"/>
      <c r="DT29" s="1947"/>
      <c r="DU29" s="1947"/>
      <c r="DV29" s="1947"/>
      <c r="DW29" s="1947"/>
      <c r="DX29" s="1947"/>
      <c r="DY29" s="1947"/>
      <c r="DZ29" s="1947"/>
      <c r="EA29" s="1947"/>
      <c r="EB29" s="1947"/>
      <c r="EC29" s="1947"/>
      <c r="ED29" s="1947"/>
    </row>
    <row r="30" spans="1:134" s="1946" customFormat="1" ht="12" hidden="1" customHeight="1" outlineLevel="1" x14ac:dyDescent="0.2">
      <c r="A30" s="1951" t="s">
        <v>886</v>
      </c>
      <c r="B30" s="1952" t="s">
        <v>887</v>
      </c>
      <c r="C30" s="1948"/>
      <c r="D30" s="1948"/>
      <c r="E30" s="1948"/>
      <c r="F30" s="1948"/>
      <c r="G30" s="1948"/>
      <c r="H30" s="1948"/>
      <c r="I30" s="1948"/>
      <c r="J30" s="1948"/>
      <c r="K30" s="1948"/>
      <c r="L30" s="1948"/>
      <c r="M30" s="1948"/>
      <c r="N30" s="1948"/>
      <c r="O30" s="1948"/>
      <c r="P30" s="1948"/>
      <c r="Q30" s="1948"/>
      <c r="R30" s="1948"/>
      <c r="S30" s="1948"/>
      <c r="T30" s="1948"/>
      <c r="U30" s="1948"/>
      <c r="V30" s="1948"/>
      <c r="W30" s="1948"/>
      <c r="X30" s="1948"/>
      <c r="Y30" s="1948"/>
      <c r="Z30" s="1948"/>
      <c r="AA30" s="1948"/>
      <c r="AB30" s="1952"/>
      <c r="AC30" s="1952"/>
      <c r="AD30" s="1952"/>
      <c r="AE30" s="1952"/>
      <c r="AF30" s="1952"/>
      <c r="AG30" s="1948"/>
      <c r="AH30" s="1948"/>
      <c r="AI30" s="1952"/>
      <c r="AJ30" s="1952"/>
      <c r="AK30" s="1952"/>
      <c r="AL30" s="1952"/>
      <c r="AM30" s="1948"/>
      <c r="AN30" s="1948"/>
      <c r="AO30" s="1952"/>
      <c r="AP30" s="1948"/>
      <c r="AQ30" s="1948"/>
      <c r="AR30" s="1948"/>
      <c r="AS30" s="1948"/>
      <c r="AT30" s="1952"/>
      <c r="AU30" s="1948"/>
      <c r="AV30" s="1952"/>
      <c r="AW30" s="1948"/>
      <c r="AX30" s="1948"/>
      <c r="AY30" s="1948"/>
      <c r="AZ30" s="1948"/>
      <c r="BA30" s="1948"/>
      <c r="BB30" s="1948"/>
      <c r="BC30" s="1948"/>
      <c r="BD30" s="1948"/>
      <c r="BE30" s="1948"/>
      <c r="BF30" s="1948"/>
      <c r="BG30" s="1948"/>
      <c r="BH30" s="1948"/>
      <c r="BI30" s="1948"/>
      <c r="BJ30" s="1948"/>
      <c r="BK30" s="1948"/>
      <c r="BL30" s="1948"/>
      <c r="BM30" s="1948"/>
      <c r="BN30" s="1948"/>
      <c r="BO30" s="1948"/>
      <c r="BP30" s="1948"/>
      <c r="BQ30" s="1948"/>
      <c r="BR30" s="1948"/>
      <c r="BS30" s="1948"/>
      <c r="BT30" s="1948"/>
      <c r="BU30" s="1948"/>
      <c r="BV30" s="1948"/>
      <c r="BW30" s="1948"/>
      <c r="BX30" s="1948"/>
      <c r="BY30" s="1948"/>
      <c r="BZ30" s="1948"/>
      <c r="CA30" s="1948"/>
      <c r="CB30" s="1948"/>
      <c r="CC30" s="1948"/>
      <c r="CD30" s="1948"/>
      <c r="CE30" s="1947"/>
      <c r="CF30" s="1947"/>
      <c r="CG30" s="1947"/>
      <c r="CH30" s="1947"/>
      <c r="CI30" s="1947"/>
      <c r="CJ30" s="1947"/>
      <c r="CK30" s="1947"/>
      <c r="CL30" s="1947"/>
      <c r="CM30" s="1947"/>
      <c r="CN30" s="1947"/>
      <c r="CO30" s="1947"/>
      <c r="CP30" s="1947"/>
      <c r="CQ30" s="1947"/>
      <c r="CR30" s="1947"/>
      <c r="CS30" s="1947"/>
      <c r="CT30" s="1947"/>
      <c r="CU30" s="1947"/>
      <c r="CV30" s="1947"/>
      <c r="CW30" s="1947"/>
      <c r="CX30" s="1947"/>
      <c r="CY30" s="1947"/>
      <c r="CZ30" s="1947"/>
      <c r="DA30" s="1947"/>
      <c r="DB30" s="1947"/>
      <c r="DC30" s="1947"/>
      <c r="DD30" s="1947"/>
      <c r="DE30" s="1947"/>
      <c r="DF30" s="1947"/>
      <c r="DG30" s="1947"/>
      <c r="DH30" s="1947"/>
      <c r="DI30" s="1947"/>
      <c r="DJ30" s="1947"/>
      <c r="DK30" s="1947"/>
      <c r="DL30" s="1947"/>
      <c r="DM30" s="1947"/>
      <c r="DN30" s="1947"/>
      <c r="DO30" s="1947"/>
      <c r="DP30" s="1947"/>
      <c r="DQ30" s="1947"/>
      <c r="DR30" s="1947"/>
      <c r="DS30" s="1947"/>
      <c r="DT30" s="1947"/>
      <c r="DU30" s="1947"/>
      <c r="DV30" s="1947"/>
      <c r="DW30" s="1947"/>
      <c r="DX30" s="1947"/>
      <c r="DY30" s="1947"/>
      <c r="DZ30" s="1947"/>
      <c r="EA30" s="1947"/>
      <c r="EB30" s="1947"/>
      <c r="EC30" s="1947"/>
      <c r="ED30" s="1947"/>
    </row>
    <row r="31" spans="1:134" s="1946" customFormat="1" ht="12" hidden="1" customHeight="1" outlineLevel="1" x14ac:dyDescent="0.2">
      <c r="A31" s="1951" t="s">
        <v>888</v>
      </c>
      <c r="B31" s="1952" t="s">
        <v>889</v>
      </c>
      <c r="C31" s="1948"/>
      <c r="D31" s="1948"/>
      <c r="E31" s="1948"/>
      <c r="F31" s="1948"/>
      <c r="G31" s="1948"/>
      <c r="H31" s="1948"/>
      <c r="I31" s="1948"/>
      <c r="J31" s="1948"/>
      <c r="K31" s="1948"/>
      <c r="L31" s="1948"/>
      <c r="M31" s="1948"/>
      <c r="N31" s="1948"/>
      <c r="O31" s="1948"/>
      <c r="P31" s="1948"/>
      <c r="Q31" s="1948"/>
      <c r="R31" s="1948"/>
      <c r="S31" s="1948"/>
      <c r="T31" s="1948"/>
      <c r="U31" s="1948"/>
      <c r="V31" s="1948"/>
      <c r="W31" s="1948"/>
      <c r="X31" s="1948"/>
      <c r="Y31" s="1948"/>
      <c r="Z31" s="1948"/>
      <c r="AA31" s="1948"/>
      <c r="AB31" s="1952"/>
      <c r="AC31" s="1952"/>
      <c r="AD31" s="1952"/>
      <c r="AE31" s="1952"/>
      <c r="AF31" s="1952"/>
      <c r="AG31" s="1948"/>
      <c r="AH31" s="1948"/>
      <c r="AI31" s="1952"/>
      <c r="AJ31" s="1952"/>
      <c r="AK31" s="1952"/>
      <c r="AL31" s="1952"/>
      <c r="AM31" s="1948"/>
      <c r="AN31" s="1948"/>
      <c r="AO31" s="1952"/>
      <c r="AP31" s="1948"/>
      <c r="AQ31" s="1948"/>
      <c r="AR31" s="1948"/>
      <c r="AS31" s="1948"/>
      <c r="AT31" s="1952"/>
      <c r="AU31" s="1948"/>
      <c r="AV31" s="1952"/>
      <c r="AW31" s="1948"/>
      <c r="AX31" s="1948"/>
      <c r="AY31" s="1948"/>
      <c r="AZ31" s="1948"/>
      <c r="BA31" s="1948"/>
      <c r="BB31" s="1948"/>
      <c r="BC31" s="1948"/>
      <c r="BD31" s="1948"/>
      <c r="BE31" s="1948"/>
      <c r="BF31" s="1948"/>
      <c r="BG31" s="1948"/>
      <c r="BH31" s="1948"/>
      <c r="BI31" s="1948"/>
      <c r="BJ31" s="1948"/>
      <c r="BK31" s="1948"/>
      <c r="BL31" s="1948"/>
      <c r="BM31" s="1948"/>
      <c r="BN31" s="1948"/>
      <c r="BO31" s="1948"/>
      <c r="BP31" s="1948"/>
      <c r="BQ31" s="1948"/>
      <c r="BR31" s="1948"/>
      <c r="BS31" s="1948"/>
      <c r="BT31" s="1948"/>
      <c r="BU31" s="1948"/>
      <c r="BV31" s="1948"/>
      <c r="BW31" s="1948"/>
      <c r="BX31" s="1948"/>
      <c r="BY31" s="1948"/>
      <c r="BZ31" s="1948"/>
      <c r="CA31" s="1948"/>
      <c r="CB31" s="1948"/>
      <c r="CC31" s="1948"/>
      <c r="CD31" s="1948"/>
      <c r="CE31" s="1947"/>
      <c r="CF31" s="1947"/>
      <c r="CG31" s="1947"/>
      <c r="CH31" s="1947"/>
      <c r="CI31" s="1947"/>
      <c r="CJ31" s="1947"/>
      <c r="CK31" s="1947"/>
      <c r="CL31" s="1947"/>
      <c r="CM31" s="1947"/>
      <c r="CN31" s="1947"/>
      <c r="CO31" s="1947"/>
      <c r="CP31" s="1947"/>
      <c r="CQ31" s="1947"/>
      <c r="CR31" s="1947"/>
      <c r="CS31" s="1947"/>
      <c r="CT31" s="1947"/>
      <c r="CU31" s="1947"/>
      <c r="CV31" s="1947"/>
      <c r="CW31" s="1947"/>
      <c r="CX31" s="1947"/>
      <c r="CY31" s="1947"/>
      <c r="CZ31" s="1947"/>
      <c r="DA31" s="1947"/>
      <c r="DB31" s="1947"/>
      <c r="DC31" s="1947"/>
      <c r="DD31" s="1947"/>
      <c r="DE31" s="1947"/>
      <c r="DF31" s="1947"/>
      <c r="DG31" s="1947"/>
      <c r="DH31" s="1947"/>
      <c r="DI31" s="1947"/>
      <c r="DJ31" s="1947"/>
      <c r="DK31" s="1947"/>
      <c r="DL31" s="1947"/>
      <c r="DM31" s="1947"/>
      <c r="DN31" s="1947"/>
      <c r="DO31" s="1947"/>
      <c r="DP31" s="1947"/>
      <c r="DQ31" s="1947"/>
      <c r="DR31" s="1947"/>
      <c r="DS31" s="1947"/>
      <c r="DT31" s="1947"/>
      <c r="DU31" s="1947"/>
      <c r="DV31" s="1947"/>
      <c r="DW31" s="1947"/>
      <c r="DX31" s="1947"/>
      <c r="DY31" s="1947"/>
      <c r="DZ31" s="1947"/>
      <c r="EA31" s="1947"/>
      <c r="EB31" s="1947"/>
      <c r="EC31" s="1947"/>
      <c r="ED31" s="1947"/>
    </row>
    <row r="32" spans="1:134" s="1946" customFormat="1" ht="12" hidden="1" customHeight="1" outlineLevel="1" x14ac:dyDescent="0.2">
      <c r="A32" s="1951" t="s">
        <v>890</v>
      </c>
      <c r="B32" s="1952" t="s">
        <v>724</v>
      </c>
      <c r="C32" s="1948"/>
      <c r="D32" s="1948"/>
      <c r="E32" s="1948"/>
      <c r="F32" s="1948"/>
      <c r="G32" s="1948"/>
      <c r="H32" s="1948"/>
      <c r="I32" s="1948"/>
      <c r="J32" s="1948"/>
      <c r="K32" s="1948"/>
      <c r="L32" s="1948"/>
      <c r="M32" s="1948"/>
      <c r="N32" s="1948"/>
      <c r="O32" s="1948"/>
      <c r="P32" s="1948"/>
      <c r="Q32" s="1948"/>
      <c r="R32" s="1948"/>
      <c r="S32" s="1948"/>
      <c r="T32" s="1948"/>
      <c r="U32" s="1948"/>
      <c r="V32" s="1948"/>
      <c r="W32" s="1948"/>
      <c r="X32" s="1948"/>
      <c r="Y32" s="1948"/>
      <c r="Z32" s="1948"/>
      <c r="AA32" s="1948"/>
      <c r="AB32" s="1952"/>
      <c r="AC32" s="1952"/>
      <c r="AD32" s="1952"/>
      <c r="AE32" s="1952"/>
      <c r="AF32" s="1952"/>
      <c r="AG32" s="1948"/>
      <c r="AH32" s="1948"/>
      <c r="AI32" s="1952"/>
      <c r="AJ32" s="1952"/>
      <c r="AK32" s="1952"/>
      <c r="AL32" s="1952"/>
      <c r="AM32" s="1948"/>
      <c r="AN32" s="1948"/>
      <c r="AO32" s="1952"/>
      <c r="AP32" s="1948"/>
      <c r="AQ32" s="1948"/>
      <c r="AR32" s="1948"/>
      <c r="AS32" s="1948"/>
      <c r="AT32" s="1952"/>
      <c r="AU32" s="1948"/>
      <c r="AV32" s="1952"/>
      <c r="AW32" s="1948"/>
      <c r="AX32" s="1948"/>
      <c r="AY32" s="1948"/>
      <c r="AZ32" s="1948"/>
      <c r="BA32" s="1948"/>
      <c r="BB32" s="1948"/>
      <c r="BC32" s="1948"/>
      <c r="BD32" s="1948"/>
      <c r="BE32" s="1948"/>
      <c r="BF32" s="1948"/>
      <c r="BG32" s="1948"/>
      <c r="BH32" s="1948"/>
      <c r="BI32" s="1948"/>
      <c r="BJ32" s="1948"/>
      <c r="BK32" s="1948"/>
      <c r="BL32" s="1948"/>
      <c r="BM32" s="1948"/>
      <c r="BN32" s="1948"/>
      <c r="BO32" s="1948"/>
      <c r="BP32" s="1948"/>
      <c r="BQ32" s="1948"/>
      <c r="BR32" s="1948"/>
      <c r="BS32" s="1948"/>
      <c r="BT32" s="1948"/>
      <c r="BU32" s="1948"/>
      <c r="BV32" s="1948"/>
      <c r="BW32" s="1948"/>
      <c r="BX32" s="1948"/>
      <c r="BY32" s="1948"/>
      <c r="BZ32" s="1948"/>
      <c r="CA32" s="1948"/>
      <c r="CB32" s="1948"/>
      <c r="CC32" s="1948"/>
      <c r="CD32" s="1948"/>
      <c r="CE32" s="1947"/>
      <c r="CF32" s="1947"/>
      <c r="CG32" s="1947"/>
      <c r="CH32" s="1947"/>
      <c r="CI32" s="1947"/>
      <c r="CJ32" s="1947"/>
      <c r="CK32" s="1947"/>
      <c r="CL32" s="1947"/>
      <c r="CM32" s="1947"/>
      <c r="CN32" s="1947"/>
      <c r="CO32" s="1947"/>
      <c r="CP32" s="1947"/>
      <c r="CQ32" s="1947"/>
      <c r="CR32" s="1947"/>
      <c r="CS32" s="1947"/>
      <c r="CT32" s="1947"/>
      <c r="CU32" s="1947"/>
      <c r="CV32" s="1947"/>
      <c r="CW32" s="1947"/>
      <c r="CX32" s="1947"/>
      <c r="CY32" s="1947"/>
      <c r="CZ32" s="1947"/>
      <c r="DA32" s="1947"/>
      <c r="DB32" s="1947"/>
      <c r="DC32" s="1947"/>
      <c r="DD32" s="1947"/>
      <c r="DE32" s="1947"/>
      <c r="DF32" s="1947"/>
      <c r="DG32" s="1947"/>
      <c r="DH32" s="1947"/>
      <c r="DI32" s="1947"/>
      <c r="DJ32" s="1947"/>
      <c r="DK32" s="1947"/>
      <c r="DL32" s="1947"/>
      <c r="DM32" s="1947"/>
      <c r="DN32" s="1947"/>
      <c r="DO32" s="1947"/>
      <c r="DP32" s="1947"/>
      <c r="DQ32" s="1947"/>
      <c r="DR32" s="1947"/>
      <c r="DS32" s="1947"/>
      <c r="DT32" s="1947"/>
      <c r="DU32" s="1947"/>
      <c r="DV32" s="1947"/>
      <c r="DW32" s="1947"/>
      <c r="DX32" s="1947"/>
      <c r="DY32" s="1947"/>
      <c r="DZ32" s="1947"/>
      <c r="EA32" s="1947"/>
      <c r="EB32" s="1947"/>
      <c r="EC32" s="1947"/>
      <c r="ED32" s="1947"/>
    </row>
    <row r="33" spans="1:134" s="1946" customFormat="1" ht="12" hidden="1" customHeight="1" outlineLevel="1" x14ac:dyDescent="0.2">
      <c r="A33" s="1951" t="s">
        <v>891</v>
      </c>
      <c r="B33" s="1952" t="s">
        <v>4923</v>
      </c>
      <c r="C33" s="1948"/>
      <c r="D33" s="1952"/>
      <c r="E33" s="1948"/>
      <c r="F33" s="1952"/>
      <c r="G33" s="1952"/>
      <c r="H33" s="1948"/>
      <c r="I33" s="1952"/>
      <c r="J33" s="1948"/>
      <c r="K33" s="1948"/>
      <c r="L33" s="1948"/>
      <c r="M33" s="1948"/>
      <c r="N33" s="1948"/>
      <c r="O33" s="1948"/>
      <c r="P33" s="1948"/>
      <c r="Q33" s="1948"/>
      <c r="R33" s="1948"/>
      <c r="S33" s="1948"/>
      <c r="T33" s="1948"/>
      <c r="U33" s="1948"/>
      <c r="V33" s="1948"/>
      <c r="W33" s="1948"/>
      <c r="X33" s="1948"/>
      <c r="Y33" s="1948"/>
      <c r="Z33" s="1948"/>
      <c r="AA33" s="1948"/>
      <c r="AB33" s="1952"/>
      <c r="AC33" s="1952"/>
      <c r="AD33" s="1952"/>
      <c r="AE33" s="1952"/>
      <c r="AF33" s="1952"/>
      <c r="AG33" s="1948"/>
      <c r="AH33" s="1952"/>
      <c r="AI33" s="1952"/>
      <c r="AJ33" s="1952"/>
      <c r="AK33" s="1952"/>
      <c r="AL33" s="1952"/>
      <c r="AM33" s="1948"/>
      <c r="AN33" s="1952"/>
      <c r="AO33" s="1952"/>
      <c r="AP33" s="1948"/>
      <c r="AQ33" s="1952"/>
      <c r="AR33" s="1948"/>
      <c r="AS33" s="1952"/>
      <c r="AT33" s="1952"/>
      <c r="AU33" s="1948"/>
      <c r="AV33" s="1952"/>
      <c r="AW33" s="1948"/>
      <c r="AX33" s="1952"/>
      <c r="AY33" s="1948"/>
      <c r="AZ33" s="1952"/>
      <c r="BA33" s="1948"/>
      <c r="BB33" s="1952"/>
      <c r="BC33" s="1948"/>
      <c r="BD33" s="1952"/>
      <c r="BE33" s="1948"/>
      <c r="BF33" s="1952"/>
      <c r="BG33" s="1948"/>
      <c r="BH33" s="1952"/>
      <c r="BI33" s="1948"/>
      <c r="BJ33" s="1952"/>
      <c r="BK33" s="1948"/>
      <c r="BL33" s="1952"/>
      <c r="BM33" s="1948"/>
      <c r="BN33" s="1948"/>
      <c r="BO33" s="1948"/>
      <c r="BP33" s="1948"/>
      <c r="BQ33" s="1948"/>
      <c r="BR33" s="1948"/>
      <c r="BS33" s="1948"/>
      <c r="BT33" s="1948"/>
      <c r="BU33" s="1948"/>
      <c r="BV33" s="1948"/>
      <c r="BW33" s="1948"/>
      <c r="BX33" s="1948"/>
      <c r="BY33" s="1948"/>
      <c r="BZ33" s="1948"/>
      <c r="CA33" s="1948"/>
      <c r="CB33" s="1948"/>
      <c r="CC33" s="1948"/>
      <c r="CD33" s="1948"/>
      <c r="CE33" s="1947"/>
      <c r="CF33" s="1947"/>
      <c r="CG33" s="1947"/>
      <c r="CH33" s="1947"/>
      <c r="CI33" s="1947"/>
      <c r="CJ33" s="1947"/>
      <c r="CK33" s="1947"/>
      <c r="CL33" s="1947"/>
      <c r="CM33" s="1947"/>
      <c r="CN33" s="1947"/>
      <c r="CO33" s="1947"/>
      <c r="CP33" s="1947"/>
      <c r="CQ33" s="1947"/>
      <c r="CR33" s="1947"/>
      <c r="CS33" s="1947"/>
      <c r="CT33" s="1947"/>
      <c r="CU33" s="1947"/>
      <c r="CV33" s="1947"/>
      <c r="CW33" s="1947"/>
      <c r="CX33" s="1947"/>
      <c r="CY33" s="1947"/>
      <c r="CZ33" s="1947"/>
      <c r="DA33" s="1947"/>
      <c r="DB33" s="1947"/>
      <c r="DC33" s="1947"/>
      <c r="DD33" s="1947"/>
      <c r="DE33" s="1947"/>
      <c r="DF33" s="1947"/>
      <c r="DG33" s="1947"/>
      <c r="DH33" s="1947"/>
      <c r="DI33" s="1947"/>
      <c r="DJ33" s="1947"/>
      <c r="DK33" s="1947"/>
      <c r="DL33" s="1947"/>
      <c r="DM33" s="1947"/>
      <c r="DN33" s="1947"/>
      <c r="DO33" s="1947"/>
      <c r="DP33" s="1947"/>
      <c r="DQ33" s="1947"/>
      <c r="DR33" s="1947"/>
      <c r="DS33" s="1947"/>
      <c r="DT33" s="1947"/>
      <c r="DU33" s="1947"/>
      <c r="DV33" s="1947"/>
      <c r="DW33" s="1947"/>
      <c r="DX33" s="1947"/>
      <c r="DY33" s="1947"/>
      <c r="DZ33" s="1947"/>
      <c r="EA33" s="1947"/>
      <c r="EB33" s="1947"/>
      <c r="EC33" s="1947"/>
      <c r="ED33" s="1947"/>
    </row>
    <row r="34" spans="1:134" s="1946" customFormat="1" ht="12" hidden="1" customHeight="1" outlineLevel="1" x14ac:dyDescent="0.2">
      <c r="A34" s="1951" t="s">
        <v>893</v>
      </c>
      <c r="B34" s="1952" t="s">
        <v>724</v>
      </c>
      <c r="C34" s="1948"/>
      <c r="D34" s="1952"/>
      <c r="E34" s="1948"/>
      <c r="F34" s="1952"/>
      <c r="G34" s="1952"/>
      <c r="H34" s="1948"/>
      <c r="I34" s="1952"/>
      <c r="J34" s="1953"/>
      <c r="K34" s="1953"/>
      <c r="L34" s="1953"/>
      <c r="M34" s="1953"/>
      <c r="N34" s="1953"/>
      <c r="O34" s="1953"/>
      <c r="P34" s="1953"/>
      <c r="Q34" s="1953"/>
      <c r="R34" s="1953"/>
      <c r="S34" s="1953"/>
      <c r="T34" s="1953"/>
      <c r="U34" s="1948"/>
      <c r="V34" s="1948"/>
      <c r="W34" s="1948"/>
      <c r="X34" s="1948"/>
      <c r="Y34" s="1948"/>
      <c r="Z34" s="1948"/>
      <c r="AA34" s="1948"/>
      <c r="AB34" s="1952"/>
      <c r="AC34" s="1952"/>
      <c r="AD34" s="1952"/>
      <c r="AE34" s="1952"/>
      <c r="AF34" s="1952"/>
      <c r="AG34" s="1948"/>
      <c r="AH34" s="1952"/>
      <c r="AI34" s="1952"/>
      <c r="AJ34" s="1952"/>
      <c r="AK34" s="1952"/>
      <c r="AL34" s="1952"/>
      <c r="AM34" s="1948"/>
      <c r="AN34" s="1952"/>
      <c r="AO34" s="1952"/>
      <c r="AP34" s="1948"/>
      <c r="AQ34" s="1952"/>
      <c r="AR34" s="1948"/>
      <c r="AS34" s="1952"/>
      <c r="AT34" s="1952"/>
      <c r="AU34" s="1948"/>
      <c r="AV34" s="1952"/>
      <c r="AW34" s="1948"/>
      <c r="AX34" s="1952"/>
      <c r="AY34" s="1948"/>
      <c r="AZ34" s="1952"/>
      <c r="BA34" s="1948"/>
      <c r="BB34" s="1952"/>
      <c r="BC34" s="1948"/>
      <c r="BD34" s="1952"/>
      <c r="BE34" s="1953"/>
      <c r="BF34" s="1952"/>
      <c r="BG34" s="1953"/>
      <c r="BH34" s="1952"/>
      <c r="BI34" s="1948"/>
      <c r="BJ34" s="1952"/>
      <c r="BK34" s="1953"/>
      <c r="BL34" s="1952"/>
      <c r="BM34" s="1953"/>
      <c r="BN34" s="1952"/>
      <c r="BO34" s="1948"/>
      <c r="BP34" s="1948"/>
      <c r="BQ34" s="1948"/>
      <c r="BR34" s="1948"/>
      <c r="BS34" s="1948"/>
      <c r="BT34" s="1948"/>
      <c r="BU34" s="1948"/>
      <c r="BV34" s="1948"/>
      <c r="BW34" s="1948"/>
      <c r="BX34" s="1948"/>
      <c r="BY34" s="1948"/>
      <c r="BZ34" s="1948"/>
      <c r="CA34" s="1948"/>
      <c r="CB34" s="1948"/>
      <c r="CC34" s="1948"/>
      <c r="CD34" s="1948"/>
      <c r="CE34" s="1947"/>
      <c r="CF34" s="1947"/>
      <c r="CG34" s="1947"/>
      <c r="CH34" s="1947"/>
      <c r="CI34" s="1953"/>
      <c r="CJ34" s="1947"/>
      <c r="CK34" s="1953"/>
      <c r="CL34" s="1947"/>
      <c r="CM34" s="1953"/>
      <c r="CN34" s="1947"/>
      <c r="CO34" s="1947"/>
      <c r="CP34" s="1947"/>
      <c r="CQ34" s="1947"/>
      <c r="CR34" s="1947"/>
      <c r="CS34" s="1947"/>
      <c r="CT34" s="1947"/>
      <c r="CU34" s="1947"/>
      <c r="CV34" s="1947"/>
      <c r="CW34" s="1947"/>
      <c r="CX34" s="1947"/>
      <c r="CY34" s="1947"/>
      <c r="CZ34" s="1947"/>
      <c r="DA34" s="1947"/>
      <c r="DB34" s="1947"/>
      <c r="DC34" s="1947"/>
      <c r="DD34" s="1947"/>
      <c r="DE34" s="1947"/>
      <c r="DF34" s="1947"/>
      <c r="DG34" s="1947"/>
      <c r="DH34" s="1947"/>
      <c r="DI34" s="1947"/>
      <c r="DJ34" s="1947"/>
      <c r="DK34" s="1947"/>
      <c r="DL34" s="1947"/>
      <c r="DM34" s="1947"/>
      <c r="DN34" s="1947"/>
      <c r="DO34" s="1947"/>
      <c r="DP34" s="1947"/>
      <c r="DQ34" s="1947"/>
      <c r="DR34" s="1947"/>
      <c r="DS34" s="1947"/>
      <c r="DT34" s="1947"/>
      <c r="DU34" s="1947"/>
      <c r="DV34" s="1947"/>
      <c r="DW34" s="1947"/>
      <c r="DX34" s="1947"/>
      <c r="DY34" s="1947"/>
      <c r="DZ34" s="1947"/>
      <c r="EA34" s="1947"/>
      <c r="EB34" s="1947"/>
      <c r="EC34" s="1947"/>
      <c r="ED34" s="1947"/>
    </row>
    <row r="35" spans="1:134" ht="12" hidden="1" customHeight="1" outlineLevel="1" x14ac:dyDescent="0.2">
      <c r="A35" s="1951"/>
      <c r="B35" s="1951"/>
      <c r="C35" s="1951"/>
      <c r="D35" s="1951"/>
      <c r="I35" s="1951"/>
      <c r="J35" s="1951"/>
      <c r="K35" s="1951"/>
      <c r="L35" s="1951"/>
      <c r="M35" s="1951"/>
      <c r="N35" s="1951"/>
      <c r="O35" s="1951"/>
      <c r="P35" s="1951"/>
      <c r="Q35" s="1951"/>
      <c r="R35" s="1951"/>
      <c r="S35" s="1951"/>
      <c r="T35" s="1951"/>
      <c r="U35" s="1951"/>
      <c r="V35" s="1951"/>
      <c r="W35" s="1951"/>
      <c r="X35" s="1951"/>
      <c r="Y35" s="1951"/>
      <c r="Z35" s="1947"/>
      <c r="AA35" s="1947"/>
      <c r="AB35" s="1951"/>
      <c r="AC35" s="1951"/>
      <c r="AD35" s="1957"/>
      <c r="AE35" s="1951"/>
      <c r="AF35" s="1951"/>
      <c r="AG35" s="1951"/>
      <c r="AH35" s="1951"/>
      <c r="AI35" s="1951"/>
      <c r="AJ35" s="1951"/>
      <c r="AK35" s="1951"/>
      <c r="AL35" s="1951"/>
      <c r="AM35" s="1951"/>
      <c r="AN35" s="1951"/>
      <c r="AO35" s="1951"/>
      <c r="AP35" s="1951"/>
      <c r="AQ35" s="1951"/>
      <c r="AR35" s="1951"/>
      <c r="AS35" s="1951"/>
      <c r="AT35" s="1951"/>
      <c r="AU35" s="1951"/>
      <c r="AV35" s="1951"/>
      <c r="AW35" s="1951"/>
      <c r="AX35" s="1951"/>
      <c r="AY35" s="1951"/>
      <c r="AZ35" s="1951"/>
      <c r="BA35" s="1951"/>
      <c r="BB35" s="1951"/>
      <c r="BC35" s="1951"/>
      <c r="BD35" s="1951"/>
      <c r="BE35" s="1951"/>
      <c r="BF35" s="1951"/>
      <c r="BG35" s="1951"/>
      <c r="BH35" s="1951"/>
      <c r="BI35" s="1951"/>
      <c r="BJ35" s="1951"/>
      <c r="BK35" s="1951"/>
      <c r="BL35" s="1951"/>
    </row>
    <row r="36" spans="1:134" collapsed="1" x14ac:dyDescent="0.2">
      <c r="A36" s="1996" t="s">
        <v>894</v>
      </c>
      <c r="B36" s="1997"/>
      <c r="C36" s="1996" t="s">
        <v>895</v>
      </c>
      <c r="D36" s="1997"/>
      <c r="E36" s="1996" t="s">
        <v>896</v>
      </c>
      <c r="F36" s="1998" t="s">
        <v>104</v>
      </c>
      <c r="G36" s="1998" t="s">
        <v>898</v>
      </c>
      <c r="H36" s="1998" t="s">
        <v>899</v>
      </c>
      <c r="I36" s="1998" t="s">
        <v>900</v>
      </c>
    </row>
    <row r="37" spans="1:134" hidden="1" outlineLevel="2" x14ac:dyDescent="0.2">
      <c r="A37" s="2012" t="s">
        <v>4991</v>
      </c>
      <c r="B37" s="2012" t="s">
        <v>4992</v>
      </c>
      <c r="C37" s="2012" t="s">
        <v>4993</v>
      </c>
      <c r="D37" s="2012" t="s">
        <v>4994</v>
      </c>
      <c r="E37" s="2012" t="s">
        <v>918</v>
      </c>
      <c r="F37" s="2004">
        <v>173.29212999999999</v>
      </c>
      <c r="G37" s="1962">
        <v>0</v>
      </c>
      <c r="H37" s="1962">
        <v>0</v>
      </c>
      <c r="I37" s="1962">
        <v>0</v>
      </c>
    </row>
    <row r="38" spans="1:134" hidden="1" outlineLevel="2" x14ac:dyDescent="0.2">
      <c r="A38" s="2012" t="s">
        <v>4991</v>
      </c>
      <c r="B38" s="2012" t="s">
        <v>4992</v>
      </c>
      <c r="C38" s="2012" t="s">
        <v>4995</v>
      </c>
      <c r="D38" s="2012" t="s">
        <v>4996</v>
      </c>
      <c r="E38" s="2012" t="s">
        <v>919</v>
      </c>
      <c r="F38" s="2004">
        <v>1E-4</v>
      </c>
      <c r="G38" s="1962">
        <v>0</v>
      </c>
      <c r="H38" s="1962">
        <v>0</v>
      </c>
      <c r="I38" s="1962">
        <v>1E-4</v>
      </c>
    </row>
    <row r="39" spans="1:134" hidden="1" outlineLevel="2" x14ac:dyDescent="0.2">
      <c r="A39" s="2012" t="s">
        <v>4991</v>
      </c>
      <c r="B39" s="2012" t="s">
        <v>4992</v>
      </c>
      <c r="C39" s="2012" t="s">
        <v>4997</v>
      </c>
      <c r="D39" s="2012" t="s">
        <v>4998</v>
      </c>
      <c r="E39" s="2012" t="s">
        <v>912</v>
      </c>
      <c r="F39" s="2004">
        <v>0.43887999999999999</v>
      </c>
      <c r="G39" s="1962">
        <v>0.43887999999999999</v>
      </c>
      <c r="H39" s="1962">
        <v>0</v>
      </c>
      <c r="I39" s="1962">
        <v>0</v>
      </c>
    </row>
    <row r="40" spans="1:134" hidden="1" outlineLevel="2" x14ac:dyDescent="0.2">
      <c r="A40" s="2012" t="s">
        <v>4991</v>
      </c>
      <c r="B40" s="2012" t="s">
        <v>4992</v>
      </c>
      <c r="C40" s="2012" t="s">
        <v>4999</v>
      </c>
      <c r="D40" s="2012" t="s">
        <v>5000</v>
      </c>
      <c r="E40" s="2012" t="s">
        <v>921</v>
      </c>
      <c r="F40" s="2004">
        <v>1570.0675900000001</v>
      </c>
      <c r="G40" s="1962">
        <v>0</v>
      </c>
      <c r="H40" s="1962">
        <v>1570.0675900000001</v>
      </c>
      <c r="I40" s="1962">
        <v>0</v>
      </c>
    </row>
    <row r="41" spans="1:134" hidden="1" outlineLevel="2" x14ac:dyDescent="0.2">
      <c r="A41" s="2012" t="s">
        <v>4991</v>
      </c>
      <c r="B41" s="2012" t="s">
        <v>4992</v>
      </c>
      <c r="C41" s="2012" t="s">
        <v>5001</v>
      </c>
      <c r="D41" s="2012" t="s">
        <v>5002</v>
      </c>
      <c r="E41" s="2012" t="s">
        <v>923</v>
      </c>
      <c r="F41" s="2004">
        <v>1693.8713700000001</v>
      </c>
      <c r="G41" s="1962">
        <v>0</v>
      </c>
      <c r="H41" s="1962">
        <v>0</v>
      </c>
      <c r="I41" s="1962">
        <v>0</v>
      </c>
    </row>
    <row r="42" spans="1:134" ht="13.5" outlineLevel="1" collapsed="1" thickBot="1" x14ac:dyDescent="0.25">
      <c r="A42" s="2013" t="s">
        <v>5003</v>
      </c>
      <c r="B42" s="2013"/>
      <c r="C42" s="2013"/>
      <c r="D42" s="2013"/>
      <c r="E42" s="2013"/>
      <c r="F42" s="2014">
        <f>SUBTOTAL(9,F37:F41)</f>
        <v>3437.6700700000001</v>
      </c>
      <c r="G42" s="2014">
        <f t="shared" ref="G42:I42" si="0">SUBTOTAL(9,G37:G41)</f>
        <v>0.43887999999999999</v>
      </c>
      <c r="H42" s="2014">
        <f t="shared" si="0"/>
        <v>1570.0675900000001</v>
      </c>
      <c r="I42" s="2014">
        <f t="shared" si="0"/>
        <v>1E-4</v>
      </c>
    </row>
    <row r="43" spans="1:134" hidden="1" outlineLevel="2" x14ac:dyDescent="0.2">
      <c r="A43" s="2012" t="s">
        <v>5004</v>
      </c>
      <c r="B43" s="2012" t="s">
        <v>5005</v>
      </c>
      <c r="C43" s="2012" t="s">
        <v>5006</v>
      </c>
      <c r="D43" s="2012" t="s">
        <v>5007</v>
      </c>
      <c r="E43" s="2012" t="s">
        <v>936</v>
      </c>
      <c r="F43" s="2004">
        <v>158.88740000000001</v>
      </c>
      <c r="G43" s="1962">
        <v>0</v>
      </c>
      <c r="H43" s="1962">
        <v>0</v>
      </c>
      <c r="I43" s="1962">
        <v>0</v>
      </c>
    </row>
    <row r="44" spans="1:134" hidden="1" outlineLevel="2" x14ac:dyDescent="0.2">
      <c r="A44" s="2015" t="s">
        <v>5004</v>
      </c>
      <c r="B44" s="2015" t="s">
        <v>5005</v>
      </c>
      <c r="C44" s="2015" t="s">
        <v>5008</v>
      </c>
      <c r="D44" s="2015" t="s">
        <v>5009</v>
      </c>
      <c r="E44" s="2015" t="s">
        <v>936</v>
      </c>
      <c r="F44" s="2016">
        <v>835.94439999999997</v>
      </c>
      <c r="G44" s="1962">
        <v>0</v>
      </c>
      <c r="H44" s="1962">
        <v>0</v>
      </c>
      <c r="I44" s="1962">
        <v>0</v>
      </c>
    </row>
    <row r="45" spans="1:134" hidden="1" outlineLevel="2" x14ac:dyDescent="0.2">
      <c r="A45" s="2012" t="s">
        <v>5004</v>
      </c>
      <c r="B45" s="2012" t="s">
        <v>5005</v>
      </c>
      <c r="C45" s="2012" t="s">
        <v>5010</v>
      </c>
      <c r="D45" s="2012" t="s">
        <v>5011</v>
      </c>
      <c r="E45" s="2012" t="s">
        <v>921</v>
      </c>
      <c r="F45" s="2004">
        <v>999.98802000000001</v>
      </c>
      <c r="G45" s="1962">
        <v>0</v>
      </c>
      <c r="H45" s="1962">
        <v>999.98802000000001</v>
      </c>
      <c r="I45" s="1962">
        <v>0</v>
      </c>
    </row>
    <row r="46" spans="1:134" hidden="1" outlineLevel="2" x14ac:dyDescent="0.2">
      <c r="A46" s="2012" t="s">
        <v>5004</v>
      </c>
      <c r="B46" s="2012" t="s">
        <v>5005</v>
      </c>
      <c r="C46" s="2012" t="s">
        <v>5012</v>
      </c>
      <c r="D46" s="2012" t="s">
        <v>5013</v>
      </c>
      <c r="E46" s="2012" t="s">
        <v>912</v>
      </c>
      <c r="F46" s="2004">
        <v>2683.25378</v>
      </c>
      <c r="G46" s="1962">
        <v>2683.25378</v>
      </c>
      <c r="H46" s="1962">
        <v>0</v>
      </c>
      <c r="I46" s="1962">
        <v>0</v>
      </c>
    </row>
    <row r="47" spans="1:134" hidden="1" outlineLevel="2" x14ac:dyDescent="0.2">
      <c r="A47" s="2012" t="s">
        <v>5004</v>
      </c>
      <c r="B47" s="2012" t="s">
        <v>5005</v>
      </c>
      <c r="C47" s="2012" t="s">
        <v>5014</v>
      </c>
      <c r="D47" s="2012" t="s">
        <v>5015</v>
      </c>
      <c r="E47" s="2012" t="s">
        <v>921</v>
      </c>
      <c r="F47" s="2004">
        <v>1880.4381900000001</v>
      </c>
      <c r="G47" s="1962">
        <v>0</v>
      </c>
      <c r="H47" s="1962">
        <v>1880.4381900000001</v>
      </c>
      <c r="I47" s="1962">
        <v>0</v>
      </c>
    </row>
    <row r="48" spans="1:134" hidden="1" outlineLevel="2" x14ac:dyDescent="0.2">
      <c r="A48" s="2012" t="s">
        <v>5004</v>
      </c>
      <c r="B48" s="2012" t="s">
        <v>5005</v>
      </c>
      <c r="C48" s="2012" t="s">
        <v>5016</v>
      </c>
      <c r="D48" s="2012" t="s">
        <v>5017</v>
      </c>
      <c r="E48" s="2012" t="s">
        <v>918</v>
      </c>
      <c r="F48" s="2004">
        <v>64.362129999999993</v>
      </c>
      <c r="G48" s="1962">
        <v>0</v>
      </c>
      <c r="H48" s="1962">
        <v>0</v>
      </c>
      <c r="I48" s="1962">
        <v>0</v>
      </c>
    </row>
    <row r="49" spans="1:9" hidden="1" outlineLevel="2" x14ac:dyDescent="0.2">
      <c r="A49" s="2012" t="s">
        <v>5004</v>
      </c>
      <c r="B49" s="2012" t="s">
        <v>5005</v>
      </c>
      <c r="C49" s="2012" t="s">
        <v>5018</v>
      </c>
      <c r="D49" s="2012" t="s">
        <v>5019</v>
      </c>
      <c r="E49" s="2012" t="s">
        <v>936</v>
      </c>
      <c r="F49" s="2004">
        <v>1445.8460399999999</v>
      </c>
      <c r="G49" s="1962">
        <v>0</v>
      </c>
      <c r="H49" s="1962">
        <v>0</v>
      </c>
      <c r="I49" s="1962">
        <v>0</v>
      </c>
    </row>
    <row r="50" spans="1:9" hidden="1" outlineLevel="2" x14ac:dyDescent="0.2">
      <c r="A50" s="2012" t="s">
        <v>5004</v>
      </c>
      <c r="B50" s="2012" t="s">
        <v>5005</v>
      </c>
      <c r="C50" s="2012" t="s">
        <v>5020</v>
      </c>
      <c r="D50" s="2012" t="s">
        <v>5021</v>
      </c>
      <c r="E50" s="2012" t="s">
        <v>936</v>
      </c>
      <c r="F50" s="2004">
        <v>207.55095</v>
      </c>
      <c r="G50" s="1962">
        <v>0</v>
      </c>
      <c r="H50" s="1962">
        <v>0</v>
      </c>
      <c r="I50" s="1962">
        <v>0</v>
      </c>
    </row>
    <row r="51" spans="1:9" hidden="1" outlineLevel="2" x14ac:dyDescent="0.2">
      <c r="A51" s="2012" t="s">
        <v>5004</v>
      </c>
      <c r="B51" s="2012" t="s">
        <v>5005</v>
      </c>
      <c r="C51" s="2012" t="s">
        <v>5022</v>
      </c>
      <c r="D51" s="2012" t="s">
        <v>5726</v>
      </c>
      <c r="E51" s="2012" t="s">
        <v>906</v>
      </c>
      <c r="F51" s="2004">
        <v>3302.4593399999999</v>
      </c>
      <c r="G51" s="1962">
        <v>853.26311454390759</v>
      </c>
      <c r="H51" s="1962">
        <v>235.83226096451207</v>
      </c>
      <c r="I51" s="1962">
        <v>194.88585474280094</v>
      </c>
    </row>
    <row r="52" spans="1:9" hidden="1" outlineLevel="2" x14ac:dyDescent="0.2">
      <c r="A52" s="2012" t="s">
        <v>5004</v>
      </c>
      <c r="B52" s="2012" t="s">
        <v>5005</v>
      </c>
      <c r="C52" s="2012" t="s">
        <v>5023</v>
      </c>
      <c r="D52" s="2012" t="s">
        <v>5024</v>
      </c>
      <c r="E52" s="2012" t="s">
        <v>918</v>
      </c>
      <c r="F52" s="2004">
        <v>7305.0376200000001</v>
      </c>
      <c r="G52" s="1962">
        <v>0</v>
      </c>
      <c r="H52" s="1962">
        <v>0</v>
      </c>
      <c r="I52" s="1962">
        <v>0</v>
      </c>
    </row>
    <row r="53" spans="1:9" hidden="1" outlineLevel="2" x14ac:dyDescent="0.2">
      <c r="A53" s="2012" t="s">
        <v>5004</v>
      </c>
      <c r="B53" s="2012" t="s">
        <v>5005</v>
      </c>
      <c r="C53" s="2012" t="s">
        <v>5025</v>
      </c>
      <c r="D53" s="2012" t="s">
        <v>5026</v>
      </c>
      <c r="E53" s="2012" t="s">
        <v>919</v>
      </c>
      <c r="F53" s="2004">
        <v>18672.57447</v>
      </c>
      <c r="G53" s="1962">
        <v>0</v>
      </c>
      <c r="H53" s="1962">
        <v>0</v>
      </c>
      <c r="I53" s="1962">
        <v>18672.57447</v>
      </c>
    </row>
    <row r="54" spans="1:9" hidden="1" outlineLevel="2" x14ac:dyDescent="0.2">
      <c r="A54" s="2012" t="s">
        <v>5004</v>
      </c>
      <c r="B54" s="2012" t="s">
        <v>5005</v>
      </c>
      <c r="C54" s="2012" t="s">
        <v>5027</v>
      </c>
      <c r="D54" s="2012" t="s">
        <v>5028</v>
      </c>
      <c r="E54" s="2012" t="s">
        <v>912</v>
      </c>
      <c r="F54" s="2004">
        <v>81175.414300000004</v>
      </c>
      <c r="G54" s="1962">
        <v>81175.414300000004</v>
      </c>
      <c r="H54" s="1962">
        <v>0</v>
      </c>
      <c r="I54" s="1962">
        <v>0</v>
      </c>
    </row>
    <row r="55" spans="1:9" hidden="1" outlineLevel="2" x14ac:dyDescent="0.2">
      <c r="A55" s="2012" t="s">
        <v>5004</v>
      </c>
      <c r="B55" s="2012" t="s">
        <v>5005</v>
      </c>
      <c r="C55" s="2012" t="s">
        <v>5029</v>
      </c>
      <c r="D55" s="2012" t="s">
        <v>5030</v>
      </c>
      <c r="E55" s="2012" t="s">
        <v>921</v>
      </c>
      <c r="F55" s="2004">
        <v>16859.840359999998</v>
      </c>
      <c r="G55" s="1962">
        <v>0</v>
      </c>
      <c r="H55" s="1962">
        <v>16859.840359999998</v>
      </c>
      <c r="I55" s="1962">
        <v>0</v>
      </c>
    </row>
    <row r="56" spans="1:9" hidden="1" outlineLevel="2" x14ac:dyDescent="0.2">
      <c r="A56" s="2012" t="s">
        <v>5004</v>
      </c>
      <c r="B56" s="2012" t="s">
        <v>5005</v>
      </c>
      <c r="C56" s="2012" t="s">
        <v>5031</v>
      </c>
      <c r="D56" s="2012" t="s">
        <v>5032</v>
      </c>
      <c r="E56" s="2012" t="s">
        <v>922</v>
      </c>
      <c r="F56" s="2004">
        <v>46079.390149999999</v>
      </c>
      <c r="G56" s="1962">
        <v>0</v>
      </c>
      <c r="H56" s="1962">
        <v>0</v>
      </c>
      <c r="I56" s="1962">
        <v>0</v>
      </c>
    </row>
    <row r="57" spans="1:9" hidden="1" outlineLevel="2" x14ac:dyDescent="0.2">
      <c r="A57" s="2012" t="s">
        <v>5004</v>
      </c>
      <c r="B57" s="2012" t="s">
        <v>5005</v>
      </c>
      <c r="C57" s="2012" t="s">
        <v>5033</v>
      </c>
      <c r="D57" s="2012" t="s">
        <v>5034</v>
      </c>
      <c r="E57" s="2012" t="s">
        <v>920</v>
      </c>
      <c r="F57" s="2004">
        <v>144796.66132000001</v>
      </c>
      <c r="G57" s="1962">
        <v>0</v>
      </c>
      <c r="H57" s="1962">
        <v>0</v>
      </c>
      <c r="I57" s="1962">
        <v>0</v>
      </c>
    </row>
    <row r="58" spans="1:9" hidden="1" outlineLevel="2" x14ac:dyDescent="0.2">
      <c r="A58" s="2012" t="s">
        <v>5004</v>
      </c>
      <c r="B58" s="2012" t="s">
        <v>5005</v>
      </c>
      <c r="C58" s="2012" t="s">
        <v>5035</v>
      </c>
      <c r="D58" s="2012" t="s">
        <v>5036</v>
      </c>
      <c r="E58" s="2012" t="s">
        <v>918</v>
      </c>
      <c r="F58" s="2004">
        <v>-7.6000000000000004E-4</v>
      </c>
      <c r="G58" s="1962">
        <v>0</v>
      </c>
      <c r="H58" s="1962">
        <v>0</v>
      </c>
      <c r="I58" s="1962">
        <v>0</v>
      </c>
    </row>
    <row r="59" spans="1:9" hidden="1" outlineLevel="2" x14ac:dyDescent="0.2">
      <c r="A59" s="2012" t="s">
        <v>5004</v>
      </c>
      <c r="B59" s="2012" t="s">
        <v>5005</v>
      </c>
      <c r="C59" s="2012" t="s">
        <v>5037</v>
      </c>
      <c r="D59" s="2012" t="s">
        <v>5038</v>
      </c>
      <c r="E59" s="2012" t="s">
        <v>921</v>
      </c>
      <c r="F59" s="2004">
        <v>2577.71308</v>
      </c>
      <c r="G59" s="1962">
        <v>0</v>
      </c>
      <c r="H59" s="1962">
        <v>2577.71308</v>
      </c>
      <c r="I59" s="1962">
        <v>0</v>
      </c>
    </row>
    <row r="60" spans="1:9" hidden="1" outlineLevel="2" x14ac:dyDescent="0.2">
      <c r="A60" s="2012" t="s">
        <v>5004</v>
      </c>
      <c r="B60" s="2012" t="s">
        <v>5005</v>
      </c>
      <c r="C60" s="2012" t="s">
        <v>5039</v>
      </c>
      <c r="D60" s="2012" t="s">
        <v>5040</v>
      </c>
      <c r="E60" s="2012" t="s">
        <v>922</v>
      </c>
      <c r="F60" s="2004">
        <v>1978.5751700000001</v>
      </c>
      <c r="G60" s="1962">
        <v>0</v>
      </c>
      <c r="H60" s="1962">
        <v>0</v>
      </c>
      <c r="I60" s="1962">
        <v>0</v>
      </c>
    </row>
    <row r="61" spans="1:9" hidden="1" outlineLevel="2" x14ac:dyDescent="0.2">
      <c r="A61" s="2012" t="s">
        <v>5004</v>
      </c>
      <c r="B61" s="2012" t="s">
        <v>5005</v>
      </c>
      <c r="C61" s="2012" t="s">
        <v>5041</v>
      </c>
      <c r="D61" s="2012" t="s">
        <v>5042</v>
      </c>
      <c r="E61" s="2012" t="s">
        <v>918</v>
      </c>
      <c r="F61" s="2004">
        <v>182.59778</v>
      </c>
      <c r="G61" s="1962">
        <v>0</v>
      </c>
      <c r="H61" s="1962">
        <v>0</v>
      </c>
      <c r="I61" s="1962">
        <v>0</v>
      </c>
    </row>
    <row r="62" spans="1:9" hidden="1" outlineLevel="2" x14ac:dyDescent="0.2">
      <c r="A62" s="2012" t="s">
        <v>5004</v>
      </c>
      <c r="B62" s="2012" t="s">
        <v>5005</v>
      </c>
      <c r="C62" s="2012" t="s">
        <v>5043</v>
      </c>
      <c r="D62" s="2012" t="s">
        <v>5044</v>
      </c>
      <c r="E62" s="2012" t="s">
        <v>921</v>
      </c>
      <c r="F62" s="2004">
        <v>2632.9415399999998</v>
      </c>
      <c r="G62" s="1962">
        <v>0</v>
      </c>
      <c r="H62" s="1962">
        <v>2632.9415399999998</v>
      </c>
      <c r="I62" s="1962">
        <v>0</v>
      </c>
    </row>
    <row r="63" spans="1:9" hidden="1" outlineLevel="2" x14ac:dyDescent="0.2">
      <c r="A63" s="2012" t="s">
        <v>5004</v>
      </c>
      <c r="B63" s="2012" t="s">
        <v>5005</v>
      </c>
      <c r="C63" s="2012" t="s">
        <v>5045</v>
      </c>
      <c r="D63" s="2012" t="s">
        <v>5046</v>
      </c>
      <c r="E63" s="2012" t="s">
        <v>918</v>
      </c>
      <c r="F63" s="2004">
        <v>-4.3978200000000003</v>
      </c>
      <c r="G63" s="1962">
        <v>0</v>
      </c>
      <c r="H63" s="1962">
        <v>0</v>
      </c>
      <c r="I63" s="1962">
        <v>0</v>
      </c>
    </row>
    <row r="64" spans="1:9" hidden="1" outlineLevel="2" x14ac:dyDescent="0.2">
      <c r="A64" s="2012" t="s">
        <v>5004</v>
      </c>
      <c r="B64" s="2012" t="s">
        <v>5005</v>
      </c>
      <c r="C64" s="2012" t="s">
        <v>5047</v>
      </c>
      <c r="D64" s="2012" t="s">
        <v>5048</v>
      </c>
      <c r="E64" s="2012" t="s">
        <v>919</v>
      </c>
      <c r="F64" s="2004">
        <v>535.02937999999995</v>
      </c>
      <c r="G64" s="1962">
        <v>0</v>
      </c>
      <c r="H64" s="1962">
        <v>0</v>
      </c>
      <c r="I64" s="1962">
        <v>535.02937999999995</v>
      </c>
    </row>
    <row r="65" spans="1:9" hidden="1" outlineLevel="2" x14ac:dyDescent="0.2">
      <c r="A65" s="2012" t="s">
        <v>5004</v>
      </c>
      <c r="B65" s="2012" t="s">
        <v>5005</v>
      </c>
      <c r="C65" s="2012" t="s">
        <v>5049</v>
      </c>
      <c r="D65" s="2012" t="s">
        <v>5050</v>
      </c>
      <c r="E65" s="2012" t="s">
        <v>912</v>
      </c>
      <c r="F65" s="2004">
        <v>1684.4919600000001</v>
      </c>
      <c r="G65" s="1962">
        <v>1684.4919600000001</v>
      </c>
      <c r="H65" s="1962">
        <v>0</v>
      </c>
      <c r="I65" s="1962">
        <v>0</v>
      </c>
    </row>
    <row r="66" spans="1:9" hidden="1" outlineLevel="2" x14ac:dyDescent="0.2">
      <c r="A66" s="2012" t="s">
        <v>5004</v>
      </c>
      <c r="B66" s="2012" t="s">
        <v>5005</v>
      </c>
      <c r="C66" s="2012" t="s">
        <v>5051</v>
      </c>
      <c r="D66" s="2012" t="s">
        <v>5052</v>
      </c>
      <c r="E66" s="2012" t="s">
        <v>920</v>
      </c>
      <c r="F66" s="2004">
        <v>4056.9779199999998</v>
      </c>
      <c r="G66" s="1962">
        <v>0</v>
      </c>
      <c r="H66" s="1962">
        <v>0</v>
      </c>
      <c r="I66" s="1962">
        <v>0</v>
      </c>
    </row>
    <row r="67" spans="1:9" hidden="1" outlineLevel="2" x14ac:dyDescent="0.2">
      <c r="A67" s="2012" t="s">
        <v>5004</v>
      </c>
      <c r="B67" s="2012" t="s">
        <v>5005</v>
      </c>
      <c r="C67" s="2012" t="s">
        <v>5053</v>
      </c>
      <c r="D67" s="2012" t="s">
        <v>5054</v>
      </c>
      <c r="E67" s="2012" t="s">
        <v>922</v>
      </c>
      <c r="F67" s="2004">
        <v>57.330249999999999</v>
      </c>
      <c r="G67" s="1962">
        <v>0</v>
      </c>
      <c r="H67" s="1962">
        <v>0</v>
      </c>
      <c r="I67" s="1962">
        <v>0</v>
      </c>
    </row>
    <row r="68" spans="1:9" hidden="1" outlineLevel="2" x14ac:dyDescent="0.2">
      <c r="A68" s="2012" t="s">
        <v>5004</v>
      </c>
      <c r="B68" s="2012" t="s">
        <v>5005</v>
      </c>
      <c r="C68" s="2012" t="s">
        <v>5055</v>
      </c>
      <c r="D68" s="2012" t="s">
        <v>5056</v>
      </c>
      <c r="E68" s="2012" t="s">
        <v>918</v>
      </c>
      <c r="F68" s="2004">
        <v>3.0000000000000001E-5</v>
      </c>
      <c r="G68" s="1962">
        <v>0</v>
      </c>
      <c r="H68" s="1962">
        <v>0</v>
      </c>
      <c r="I68" s="1962">
        <v>0</v>
      </c>
    </row>
    <row r="69" spans="1:9" hidden="1" outlineLevel="2" x14ac:dyDescent="0.2">
      <c r="A69" s="2012" t="s">
        <v>5004</v>
      </c>
      <c r="B69" s="2012" t="s">
        <v>5005</v>
      </c>
      <c r="C69" s="2012" t="s">
        <v>5057</v>
      </c>
      <c r="D69" s="2012" t="s">
        <v>5058</v>
      </c>
      <c r="E69" s="2012" t="s">
        <v>921</v>
      </c>
      <c r="F69" s="2004">
        <v>130.47667999999999</v>
      </c>
      <c r="G69" s="1962">
        <v>0</v>
      </c>
      <c r="H69" s="1962">
        <v>130.47667999999999</v>
      </c>
      <c r="I69" s="1962">
        <v>0</v>
      </c>
    </row>
    <row r="70" spans="1:9" hidden="1" outlineLevel="2" x14ac:dyDescent="0.2">
      <c r="A70" s="2012" t="s">
        <v>5004</v>
      </c>
      <c r="B70" s="2012" t="s">
        <v>5005</v>
      </c>
      <c r="C70" s="2012" t="s">
        <v>5059</v>
      </c>
      <c r="D70" s="2012" t="s">
        <v>5060</v>
      </c>
      <c r="E70" s="2012" t="s">
        <v>913</v>
      </c>
      <c r="F70" s="2004">
        <v>10191.00008</v>
      </c>
      <c r="G70" s="1962">
        <v>2850.8088581092065</v>
      </c>
      <c r="H70" s="1962">
        <v>760.75082497941332</v>
      </c>
      <c r="I70" s="1962">
        <v>543.51137331632469</v>
      </c>
    </row>
    <row r="71" spans="1:9" hidden="1" outlineLevel="2" x14ac:dyDescent="0.2">
      <c r="A71" s="2012" t="s">
        <v>5004</v>
      </c>
      <c r="B71" s="2012" t="s">
        <v>5005</v>
      </c>
      <c r="C71" s="2012" t="s">
        <v>5061</v>
      </c>
      <c r="D71" s="2012" t="s">
        <v>5062</v>
      </c>
      <c r="E71" s="2012" t="s">
        <v>5063</v>
      </c>
      <c r="F71" s="2004">
        <v>-40.7631700407632</v>
      </c>
      <c r="G71" s="1962">
        <v>-18.267665083991705</v>
      </c>
      <c r="H71" s="1962">
        <v>-7.411420040862458</v>
      </c>
      <c r="I71" s="1962">
        <v>-0.60142564287592859</v>
      </c>
    </row>
    <row r="72" spans="1:9" hidden="1" outlineLevel="2" x14ac:dyDescent="0.2">
      <c r="A72" s="2012" t="s">
        <v>5004</v>
      </c>
      <c r="B72" s="2012" t="s">
        <v>5005</v>
      </c>
      <c r="C72" s="2012" t="s">
        <v>5064</v>
      </c>
      <c r="D72" s="2012" t="s">
        <v>5065</v>
      </c>
      <c r="E72" s="2012" t="s">
        <v>936</v>
      </c>
      <c r="F72" s="2004">
        <v>2054.3557999999998</v>
      </c>
      <c r="G72" s="1962">
        <v>0</v>
      </c>
      <c r="H72" s="1962">
        <v>0</v>
      </c>
      <c r="I72" s="1962">
        <v>0</v>
      </c>
    </row>
    <row r="73" spans="1:9" hidden="1" outlineLevel="2" x14ac:dyDescent="0.2">
      <c r="A73" s="2012" t="s">
        <v>5004</v>
      </c>
      <c r="B73" s="2012" t="s">
        <v>5005</v>
      </c>
      <c r="C73" s="2012" t="s">
        <v>5066</v>
      </c>
      <c r="D73" s="2012" t="s">
        <v>5067</v>
      </c>
      <c r="E73" s="2012" t="s">
        <v>936</v>
      </c>
      <c r="F73" s="2004">
        <v>86.430070000000001</v>
      </c>
      <c r="G73" s="1962">
        <v>0</v>
      </c>
      <c r="H73" s="1962">
        <v>0</v>
      </c>
      <c r="I73" s="1962">
        <v>0</v>
      </c>
    </row>
    <row r="74" spans="1:9" hidden="1" outlineLevel="2" x14ac:dyDescent="0.2">
      <c r="A74" s="2012" t="s">
        <v>5004</v>
      </c>
      <c r="B74" s="2012" t="s">
        <v>5005</v>
      </c>
      <c r="C74" s="2012" t="s">
        <v>5068</v>
      </c>
      <c r="D74" s="2012" t="s">
        <v>5069</v>
      </c>
      <c r="E74" s="2012" t="s">
        <v>936</v>
      </c>
      <c r="F74" s="2004">
        <v>348.24599000000001</v>
      </c>
      <c r="G74" s="1962">
        <v>0</v>
      </c>
      <c r="H74" s="1962">
        <v>0</v>
      </c>
      <c r="I74" s="1962">
        <v>0</v>
      </c>
    </row>
    <row r="75" spans="1:9" hidden="1" outlineLevel="2" x14ac:dyDescent="0.2">
      <c r="A75" s="2012" t="s">
        <v>5004</v>
      </c>
      <c r="B75" s="2012" t="s">
        <v>5005</v>
      </c>
      <c r="C75" s="2012" t="s">
        <v>5070</v>
      </c>
      <c r="D75" s="2012" t="s">
        <v>5071</v>
      </c>
      <c r="E75" s="2012" t="s">
        <v>936</v>
      </c>
      <c r="F75" s="2004">
        <v>879.34163000000001</v>
      </c>
      <c r="G75" s="1962">
        <v>0</v>
      </c>
      <c r="H75" s="1962">
        <v>0</v>
      </c>
      <c r="I75" s="1962">
        <v>0</v>
      </c>
    </row>
    <row r="76" spans="1:9" hidden="1" outlineLevel="2" x14ac:dyDescent="0.2">
      <c r="A76" s="2012" t="s">
        <v>5004</v>
      </c>
      <c r="B76" s="2012" t="s">
        <v>5005</v>
      </c>
      <c r="C76" s="2012" t="s">
        <v>5072</v>
      </c>
      <c r="D76" s="2012" t="s">
        <v>5727</v>
      </c>
      <c r="E76" s="2012" t="s">
        <v>913</v>
      </c>
      <c r="F76" s="2004">
        <v>11.38795</v>
      </c>
      <c r="G76" s="1962">
        <v>3.1856411030177068</v>
      </c>
      <c r="H76" s="1962">
        <v>0.85010227547013317</v>
      </c>
      <c r="I76" s="1962">
        <v>0.60734768866350941</v>
      </c>
    </row>
    <row r="77" spans="1:9" hidden="1" outlineLevel="2" x14ac:dyDescent="0.2">
      <c r="A77" s="2012" t="s">
        <v>5004</v>
      </c>
      <c r="B77" s="2012" t="s">
        <v>5005</v>
      </c>
      <c r="C77" s="2012" t="s">
        <v>5073</v>
      </c>
      <c r="D77" s="2012" t="s">
        <v>5074</v>
      </c>
      <c r="E77" s="2012" t="s">
        <v>906</v>
      </c>
      <c r="F77" s="2004">
        <v>2457.8891100000001</v>
      </c>
      <c r="G77" s="1962">
        <v>635.04979207470069</v>
      </c>
      <c r="H77" s="1962">
        <v>175.52057007652738</v>
      </c>
      <c r="I77" s="1962">
        <v>145.04578883486641</v>
      </c>
    </row>
    <row r="78" spans="1:9" hidden="1" outlineLevel="2" x14ac:dyDescent="0.2">
      <c r="A78" s="2012" t="s">
        <v>5004</v>
      </c>
      <c r="B78" s="2012" t="s">
        <v>5005</v>
      </c>
      <c r="C78" s="2012" t="s">
        <v>5075</v>
      </c>
      <c r="D78" s="2012" t="s">
        <v>5076</v>
      </c>
      <c r="E78" s="2012" t="s">
        <v>1083</v>
      </c>
      <c r="F78" s="2004">
        <v>57.751069999999999</v>
      </c>
      <c r="G78" s="1962">
        <v>15.647012751488935</v>
      </c>
      <c r="H78" s="1962">
        <v>4.3994238992949919</v>
      </c>
      <c r="I78" s="1962">
        <v>3.1264327942747641</v>
      </c>
    </row>
    <row r="79" spans="1:9" hidden="1" outlineLevel="2" x14ac:dyDescent="0.2">
      <c r="A79" s="2012" t="s">
        <v>5004</v>
      </c>
      <c r="B79" s="2012" t="s">
        <v>5005</v>
      </c>
      <c r="C79" s="2012" t="s">
        <v>5077</v>
      </c>
      <c r="D79" s="2012" t="s">
        <v>5078</v>
      </c>
      <c r="E79" s="2012" t="s">
        <v>906</v>
      </c>
      <c r="F79" s="2004">
        <v>28303.872469999998</v>
      </c>
      <c r="G79" s="1962">
        <v>7312.9289087343504</v>
      </c>
      <c r="H79" s="1962">
        <v>2021.2107255350215</v>
      </c>
      <c r="I79" s="1962">
        <v>1670.2777569540592</v>
      </c>
    </row>
    <row r="80" spans="1:9" hidden="1" outlineLevel="2" x14ac:dyDescent="0.2">
      <c r="A80" s="2012" t="s">
        <v>5004</v>
      </c>
      <c r="B80" s="2012" t="s">
        <v>5005</v>
      </c>
      <c r="C80" s="2012" t="s">
        <v>5079</v>
      </c>
      <c r="D80" s="2012" t="s">
        <v>5080</v>
      </c>
      <c r="E80" s="2012" t="s">
        <v>921</v>
      </c>
      <c r="F80" s="2004">
        <v>48.049520000000001</v>
      </c>
      <c r="G80" s="1962">
        <v>0</v>
      </c>
      <c r="H80" s="1962">
        <v>48.049520000000001</v>
      </c>
      <c r="I80" s="1962">
        <v>0</v>
      </c>
    </row>
    <row r="81" spans="1:9" hidden="1" outlineLevel="2" x14ac:dyDescent="0.2">
      <c r="A81" s="2012" t="s">
        <v>5004</v>
      </c>
      <c r="B81" s="2012" t="s">
        <v>5005</v>
      </c>
      <c r="C81" s="2012" t="s">
        <v>5081</v>
      </c>
      <c r="D81" s="2012" t="s">
        <v>5082</v>
      </c>
      <c r="E81" s="2012" t="s">
        <v>936</v>
      </c>
      <c r="F81" s="2004">
        <v>-1.0000000000000001E-5</v>
      </c>
      <c r="G81" s="1962">
        <v>0</v>
      </c>
      <c r="H81" s="1962">
        <v>0</v>
      </c>
      <c r="I81" s="1962">
        <v>0</v>
      </c>
    </row>
    <row r="82" spans="1:9" hidden="1" outlineLevel="2" x14ac:dyDescent="0.2">
      <c r="A82" s="2012" t="s">
        <v>5004</v>
      </c>
      <c r="B82" s="2012" t="s">
        <v>5005</v>
      </c>
      <c r="C82" s="2012" t="s">
        <v>5083</v>
      </c>
      <c r="D82" s="2012" t="s">
        <v>5084</v>
      </c>
      <c r="E82" s="2012" t="s">
        <v>936</v>
      </c>
      <c r="F82" s="2004">
        <v>17.849689999999999</v>
      </c>
      <c r="G82" s="1962">
        <v>0</v>
      </c>
      <c r="H82" s="1962">
        <v>0</v>
      </c>
      <c r="I82" s="1962">
        <v>0</v>
      </c>
    </row>
    <row r="83" spans="1:9" hidden="1" outlineLevel="2" x14ac:dyDescent="0.2">
      <c r="A83" s="2012" t="s">
        <v>5004</v>
      </c>
      <c r="B83" s="2012" t="s">
        <v>5005</v>
      </c>
      <c r="C83" s="2012" t="s">
        <v>5085</v>
      </c>
      <c r="D83" s="2012" t="s">
        <v>5086</v>
      </c>
      <c r="E83" s="2012" t="s">
        <v>936</v>
      </c>
      <c r="F83" s="2004">
        <v>2461.4564999999998</v>
      </c>
      <c r="G83" s="1962">
        <v>0</v>
      </c>
      <c r="H83" s="1962">
        <v>0</v>
      </c>
      <c r="I83" s="1962">
        <v>0</v>
      </c>
    </row>
    <row r="84" spans="1:9" hidden="1" outlineLevel="2" x14ac:dyDescent="0.2">
      <c r="A84" s="2012" t="s">
        <v>5004</v>
      </c>
      <c r="B84" s="2012" t="s">
        <v>5005</v>
      </c>
      <c r="C84" s="2012" t="s">
        <v>5087</v>
      </c>
      <c r="D84" s="2012" t="s">
        <v>5088</v>
      </c>
      <c r="E84" s="2012" t="s">
        <v>936</v>
      </c>
      <c r="F84" s="2004">
        <v>47.180959999999999</v>
      </c>
      <c r="G84" s="1962">
        <v>0</v>
      </c>
      <c r="H84" s="1962">
        <v>0</v>
      </c>
      <c r="I84" s="1962">
        <v>0</v>
      </c>
    </row>
    <row r="85" spans="1:9" hidden="1" outlineLevel="2" x14ac:dyDescent="0.2">
      <c r="A85" s="2012" t="s">
        <v>5004</v>
      </c>
      <c r="B85" s="2012" t="s">
        <v>5005</v>
      </c>
      <c r="C85" s="2012" t="s">
        <v>5089</v>
      </c>
      <c r="D85" s="2012" t="s">
        <v>5090</v>
      </c>
      <c r="E85" s="2012" t="s">
        <v>912</v>
      </c>
      <c r="F85" s="2004">
        <v>640.24190999999996</v>
      </c>
      <c r="G85" s="1962">
        <v>640.24190999999996</v>
      </c>
      <c r="H85" s="1962">
        <v>0</v>
      </c>
      <c r="I85" s="1962">
        <v>0</v>
      </c>
    </row>
    <row r="86" spans="1:9" hidden="1" outlineLevel="2" x14ac:dyDescent="0.2">
      <c r="A86" s="2012" t="s">
        <v>5004</v>
      </c>
      <c r="B86" s="2012" t="s">
        <v>5005</v>
      </c>
      <c r="C86" s="2012" t="s">
        <v>5091</v>
      </c>
      <c r="D86" s="2012" t="s">
        <v>5092</v>
      </c>
      <c r="E86" s="2012" t="s">
        <v>918</v>
      </c>
      <c r="F86" s="2004">
        <v>-638.15107999999998</v>
      </c>
      <c r="G86" s="1962">
        <v>0</v>
      </c>
      <c r="H86" s="1962">
        <v>0</v>
      </c>
      <c r="I86" s="1962">
        <v>0</v>
      </c>
    </row>
    <row r="87" spans="1:9" hidden="1" outlineLevel="2" x14ac:dyDescent="0.2">
      <c r="A87" s="2012" t="s">
        <v>5004</v>
      </c>
      <c r="B87" s="2012" t="s">
        <v>5005</v>
      </c>
      <c r="C87" s="2012" t="s">
        <v>5093</v>
      </c>
      <c r="D87" s="2012" t="s">
        <v>5094</v>
      </c>
      <c r="E87" s="2012" t="s">
        <v>921</v>
      </c>
      <c r="F87" s="2004">
        <v>-95.09787</v>
      </c>
      <c r="G87" s="1962">
        <v>0</v>
      </c>
      <c r="H87" s="1962">
        <v>-95.09787</v>
      </c>
      <c r="I87" s="1962">
        <v>0</v>
      </c>
    </row>
    <row r="88" spans="1:9" hidden="1" outlineLevel="2" x14ac:dyDescent="0.2">
      <c r="A88" s="2012" t="s">
        <v>5004</v>
      </c>
      <c r="B88" s="2012" t="s">
        <v>5005</v>
      </c>
      <c r="C88" s="2012" t="s">
        <v>5095</v>
      </c>
      <c r="D88" s="2012" t="s">
        <v>5096</v>
      </c>
      <c r="E88" s="2012" t="s">
        <v>919</v>
      </c>
      <c r="F88" s="2004">
        <v>219.95148</v>
      </c>
      <c r="G88" s="1962">
        <v>0</v>
      </c>
      <c r="H88" s="1962">
        <v>0</v>
      </c>
      <c r="I88" s="1962">
        <v>219.95148</v>
      </c>
    </row>
    <row r="89" spans="1:9" hidden="1" outlineLevel="2" x14ac:dyDescent="0.2">
      <c r="A89" s="2012" t="s">
        <v>5004</v>
      </c>
      <c r="B89" s="2012" t="s">
        <v>5005</v>
      </c>
      <c r="C89" s="2012" t="s">
        <v>5097</v>
      </c>
      <c r="D89" s="2012" t="s">
        <v>5098</v>
      </c>
      <c r="E89" s="2012" t="s">
        <v>920</v>
      </c>
      <c r="F89" s="2004">
        <v>-545.08928000000003</v>
      </c>
      <c r="G89" s="1962">
        <v>0</v>
      </c>
      <c r="H89" s="1962">
        <v>0</v>
      </c>
      <c r="I89" s="1962">
        <v>0</v>
      </c>
    </row>
    <row r="90" spans="1:9" hidden="1" outlineLevel="2" x14ac:dyDescent="0.2">
      <c r="A90" s="2012" t="s">
        <v>5004</v>
      </c>
      <c r="B90" s="2012" t="s">
        <v>5005</v>
      </c>
      <c r="C90" s="2012" t="s">
        <v>5099</v>
      </c>
      <c r="D90" s="2012" t="s">
        <v>5100</v>
      </c>
      <c r="E90" s="2012" t="s">
        <v>922</v>
      </c>
      <c r="F90" s="2004">
        <v>-1.6611100000000001</v>
      </c>
      <c r="G90" s="1962">
        <v>0</v>
      </c>
      <c r="H90" s="1962">
        <v>0</v>
      </c>
      <c r="I90" s="1962">
        <v>0</v>
      </c>
    </row>
    <row r="91" spans="1:9" hidden="1" outlineLevel="2" x14ac:dyDescent="0.2">
      <c r="A91" s="2012" t="s">
        <v>5004</v>
      </c>
      <c r="B91" s="2012" t="s">
        <v>5005</v>
      </c>
      <c r="C91" s="2012" t="s">
        <v>5101</v>
      </c>
      <c r="D91" s="2012" t="s">
        <v>5102</v>
      </c>
      <c r="E91" s="2012" t="s">
        <v>913</v>
      </c>
      <c r="F91" s="2004">
        <v>-12759.617050000001</v>
      </c>
      <c r="G91" s="1962">
        <v>-3569.3483491976644</v>
      </c>
      <c r="H91" s="1962">
        <v>-952.49623403092824</v>
      </c>
      <c r="I91" s="1962">
        <v>-680.50210297279204</v>
      </c>
    </row>
    <row r="92" spans="1:9" hidden="1" outlineLevel="2" x14ac:dyDescent="0.2">
      <c r="A92" s="2012" t="s">
        <v>5004</v>
      </c>
      <c r="B92" s="2012" t="s">
        <v>5005</v>
      </c>
      <c r="C92" s="2012" t="s">
        <v>5103</v>
      </c>
      <c r="D92" s="2012" t="s">
        <v>5104</v>
      </c>
      <c r="E92" s="2012" t="s">
        <v>936</v>
      </c>
      <c r="F92" s="2004">
        <v>521.97220000000004</v>
      </c>
      <c r="G92" s="1962">
        <v>0</v>
      </c>
      <c r="H92" s="1962">
        <v>0</v>
      </c>
      <c r="I92" s="1962">
        <v>0</v>
      </c>
    </row>
    <row r="93" spans="1:9" hidden="1" outlineLevel="2" x14ac:dyDescent="0.2">
      <c r="A93" s="2012" t="s">
        <v>5004</v>
      </c>
      <c r="B93" s="2012" t="s">
        <v>5005</v>
      </c>
      <c r="C93" s="2012" t="s">
        <v>5105</v>
      </c>
      <c r="D93" s="2012" t="s">
        <v>5106</v>
      </c>
      <c r="E93" s="2012" t="s">
        <v>936</v>
      </c>
      <c r="F93" s="2004">
        <v>42.972149999999999</v>
      </c>
      <c r="G93" s="1962">
        <v>0</v>
      </c>
      <c r="H93" s="1962">
        <v>0</v>
      </c>
      <c r="I93" s="1962">
        <v>0</v>
      </c>
    </row>
    <row r="94" spans="1:9" hidden="1" outlineLevel="2" x14ac:dyDescent="0.2">
      <c r="A94" s="2012" t="s">
        <v>5004</v>
      </c>
      <c r="B94" s="2012" t="s">
        <v>5005</v>
      </c>
      <c r="C94" s="2012" t="s">
        <v>5107</v>
      </c>
      <c r="D94" s="2012" t="s">
        <v>5108</v>
      </c>
      <c r="E94" s="2012" t="s">
        <v>936</v>
      </c>
      <c r="F94" s="2004">
        <v>72.369569999999996</v>
      </c>
      <c r="G94" s="1962">
        <v>0</v>
      </c>
      <c r="H94" s="1962">
        <v>0</v>
      </c>
      <c r="I94" s="1962">
        <v>0</v>
      </c>
    </row>
    <row r="95" spans="1:9" hidden="1" outlineLevel="2" x14ac:dyDescent="0.2">
      <c r="A95" s="2012" t="s">
        <v>5004</v>
      </c>
      <c r="B95" s="2012" t="s">
        <v>5005</v>
      </c>
      <c r="C95" s="2012" t="s">
        <v>5109</v>
      </c>
      <c r="D95" s="2012" t="s">
        <v>5110</v>
      </c>
      <c r="E95" s="2012" t="s">
        <v>936</v>
      </c>
      <c r="F95" s="2004">
        <v>275.3861</v>
      </c>
      <c r="G95" s="1962">
        <v>0</v>
      </c>
      <c r="H95" s="1962">
        <v>0</v>
      </c>
      <c r="I95" s="1962">
        <v>0</v>
      </c>
    </row>
    <row r="96" spans="1:9" hidden="1" outlineLevel="2" x14ac:dyDescent="0.2">
      <c r="A96" s="2012" t="s">
        <v>5004</v>
      </c>
      <c r="B96" s="2012" t="s">
        <v>5005</v>
      </c>
      <c r="C96" s="2012" t="s">
        <v>5111</v>
      </c>
      <c r="D96" s="2012" t="s">
        <v>5112</v>
      </c>
      <c r="E96" s="2012" t="s">
        <v>906</v>
      </c>
      <c r="F96" s="2004">
        <v>501.56662999999998</v>
      </c>
      <c r="G96" s="1962">
        <v>129.59078698758233</v>
      </c>
      <c r="H96" s="1962">
        <v>35.817425802811208</v>
      </c>
      <c r="I96" s="1962">
        <v>29.598620704900544</v>
      </c>
    </row>
    <row r="97" spans="1:9" hidden="1" outlineLevel="2" x14ac:dyDescent="0.2">
      <c r="A97" s="2012" t="s">
        <v>5004</v>
      </c>
      <c r="B97" s="2012" t="s">
        <v>5005</v>
      </c>
      <c r="C97" s="2012" t="s">
        <v>5113</v>
      </c>
      <c r="D97" s="2012" t="s">
        <v>5114</v>
      </c>
      <c r="E97" s="2012" t="s">
        <v>936</v>
      </c>
      <c r="F97" s="2004">
        <v>1461.4979699999999</v>
      </c>
      <c r="G97" s="1962">
        <v>0</v>
      </c>
      <c r="H97" s="1962">
        <v>0</v>
      </c>
      <c r="I97" s="1962">
        <v>0</v>
      </c>
    </row>
    <row r="98" spans="1:9" hidden="1" outlineLevel="2" x14ac:dyDescent="0.2">
      <c r="A98" s="2012" t="s">
        <v>5004</v>
      </c>
      <c r="B98" s="2012" t="s">
        <v>5005</v>
      </c>
      <c r="C98" s="2012" t="s">
        <v>5115</v>
      </c>
      <c r="D98" s="2012" t="s">
        <v>5116</v>
      </c>
      <c r="E98" s="2012" t="s">
        <v>906</v>
      </c>
      <c r="F98" s="2004">
        <v>470.05691000000002</v>
      </c>
      <c r="G98" s="1962">
        <v>121.44955675350882</v>
      </c>
      <c r="H98" s="1962">
        <v>33.567281972135397</v>
      </c>
      <c r="I98" s="1962">
        <v>27.739158382222463</v>
      </c>
    </row>
    <row r="99" spans="1:9" hidden="1" outlineLevel="2" x14ac:dyDescent="0.2">
      <c r="A99" s="2012" t="s">
        <v>5004</v>
      </c>
      <c r="B99" s="2012" t="s">
        <v>5005</v>
      </c>
      <c r="C99" s="2012" t="s">
        <v>5117</v>
      </c>
      <c r="D99" s="2012" t="s">
        <v>5118</v>
      </c>
      <c r="E99" s="2012" t="s">
        <v>912</v>
      </c>
      <c r="F99" s="2004">
        <v>-118.18666</v>
      </c>
      <c r="G99" s="1962">
        <v>-118.18666</v>
      </c>
      <c r="H99" s="1962">
        <v>0</v>
      </c>
      <c r="I99" s="1962">
        <v>0</v>
      </c>
    </row>
    <row r="100" spans="1:9" hidden="1" outlineLevel="2" x14ac:dyDescent="0.2">
      <c r="A100" s="2012" t="s">
        <v>5004</v>
      </c>
      <c r="B100" s="2012" t="s">
        <v>5005</v>
      </c>
      <c r="C100" s="2012" t="s">
        <v>5119</v>
      </c>
      <c r="D100" s="2012" t="s">
        <v>5120</v>
      </c>
      <c r="E100" s="2012" t="s">
        <v>913</v>
      </c>
      <c r="F100" s="2004">
        <v>1667.8453199999999</v>
      </c>
      <c r="G100" s="1962">
        <v>466.55953045699357</v>
      </c>
      <c r="H100" s="1962">
        <v>124.50345335764666</v>
      </c>
      <c r="I100" s="1962">
        <v>88.950337870314783</v>
      </c>
    </row>
    <row r="101" spans="1:9" hidden="1" outlineLevel="2" x14ac:dyDescent="0.2">
      <c r="A101" s="2012" t="s">
        <v>5004</v>
      </c>
      <c r="B101" s="2012" t="s">
        <v>5005</v>
      </c>
      <c r="C101" s="2012" t="s">
        <v>5121</v>
      </c>
      <c r="D101" s="2012" t="s">
        <v>5122</v>
      </c>
      <c r="E101" s="2012" t="s">
        <v>913</v>
      </c>
      <c r="F101" s="2004">
        <v>617.51310000000001</v>
      </c>
      <c r="G101" s="1962">
        <v>172.74181156502124</v>
      </c>
      <c r="H101" s="1962">
        <v>46.096908701093341</v>
      </c>
      <c r="I101" s="1962">
        <v>32.933509016498896</v>
      </c>
    </row>
    <row r="102" spans="1:9" hidden="1" outlineLevel="2" x14ac:dyDescent="0.2">
      <c r="A102" s="2012" t="s">
        <v>5004</v>
      </c>
      <c r="B102" s="2012" t="s">
        <v>5005</v>
      </c>
      <c r="C102" s="2012" t="s">
        <v>5123</v>
      </c>
      <c r="D102" s="2012" t="s">
        <v>5124</v>
      </c>
      <c r="E102" s="2012" t="s">
        <v>913</v>
      </c>
      <c r="F102" s="2004">
        <v>245.91235</v>
      </c>
      <c r="G102" s="1962">
        <v>68.792401883541501</v>
      </c>
      <c r="H102" s="1962">
        <v>18.357180028118126</v>
      </c>
      <c r="I102" s="1962">
        <v>13.115117065522062</v>
      </c>
    </row>
    <row r="103" spans="1:9" hidden="1" outlineLevel="2" x14ac:dyDescent="0.2">
      <c r="A103" s="2012" t="s">
        <v>5004</v>
      </c>
      <c r="B103" s="2012" t="s">
        <v>5005</v>
      </c>
      <c r="C103" s="2012" t="s">
        <v>5125</v>
      </c>
      <c r="D103" s="2012" t="s">
        <v>5126</v>
      </c>
      <c r="E103" s="2012" t="s">
        <v>913</v>
      </c>
      <c r="F103" s="2004">
        <v>7857.4226500000004</v>
      </c>
      <c r="G103" s="1962">
        <v>2198.018831977864</v>
      </c>
      <c r="H103" s="1962">
        <v>586.55094851097556</v>
      </c>
      <c r="I103" s="1962">
        <v>419.05588673376752</v>
      </c>
    </row>
    <row r="104" spans="1:9" hidden="1" outlineLevel="2" x14ac:dyDescent="0.2">
      <c r="A104" s="2012" t="s">
        <v>5004</v>
      </c>
      <c r="B104" s="2012" t="s">
        <v>5005</v>
      </c>
      <c r="C104" s="2012" t="s">
        <v>5127</v>
      </c>
      <c r="D104" s="2012" t="s">
        <v>5128</v>
      </c>
      <c r="E104" s="2012" t="s">
        <v>1083</v>
      </c>
      <c r="F104" s="2004">
        <v>31.596720000000001</v>
      </c>
      <c r="G104" s="1962">
        <v>8.5607813109822111</v>
      </c>
      <c r="H104" s="1962">
        <v>2.4070093438499423</v>
      </c>
      <c r="I104" s="1962">
        <v>1.7105314516166943</v>
      </c>
    </row>
    <row r="105" spans="1:9" hidden="1" outlineLevel="2" x14ac:dyDescent="0.2">
      <c r="A105" s="2012" t="s">
        <v>5004</v>
      </c>
      <c r="B105" s="2012" t="s">
        <v>5005</v>
      </c>
      <c r="C105" s="2012" t="s">
        <v>5129</v>
      </c>
      <c r="D105" s="2012" t="s">
        <v>5130</v>
      </c>
      <c r="E105" s="2012" t="s">
        <v>1083</v>
      </c>
      <c r="F105" s="2004">
        <v>1070.56107</v>
      </c>
      <c r="G105" s="1962">
        <v>290.05666411960226</v>
      </c>
      <c r="H105" s="1962">
        <v>81.5543669929028</v>
      </c>
      <c r="I105" s="1962">
        <v>57.956280940281822</v>
      </c>
    </row>
    <row r="106" spans="1:9" hidden="1" outlineLevel="2" x14ac:dyDescent="0.2">
      <c r="A106" s="2012" t="s">
        <v>5004</v>
      </c>
      <c r="B106" s="2012" t="s">
        <v>5005</v>
      </c>
      <c r="C106" s="2012" t="s">
        <v>5131</v>
      </c>
      <c r="D106" s="2012" t="s">
        <v>5132</v>
      </c>
      <c r="E106" s="2012" t="s">
        <v>5063</v>
      </c>
      <c r="F106" s="2004">
        <v>7674.45471767446</v>
      </c>
      <c r="G106" s="1962">
        <v>3439.241068458186</v>
      </c>
      <c r="H106" s="1962">
        <v>1395.3430864279026</v>
      </c>
      <c r="I106" s="1962">
        <v>113.23000290909533</v>
      </c>
    </row>
    <row r="107" spans="1:9" hidden="1" outlineLevel="2" x14ac:dyDescent="0.2">
      <c r="A107" s="2012" t="s">
        <v>5004</v>
      </c>
      <c r="B107" s="2012" t="s">
        <v>5005</v>
      </c>
      <c r="C107" s="2012" t="s">
        <v>5133</v>
      </c>
      <c r="D107" s="2012" t="s">
        <v>5728</v>
      </c>
      <c r="E107" s="2012" t="s">
        <v>913</v>
      </c>
      <c r="F107" s="2004">
        <v>429299.30851</v>
      </c>
      <c r="G107" s="1962">
        <v>120091.28268797591</v>
      </c>
      <c r="H107" s="1962">
        <v>32046.88455974128</v>
      </c>
      <c r="I107" s="1962">
        <v>22895.599538845127</v>
      </c>
    </row>
    <row r="108" spans="1:9" hidden="1" outlineLevel="2" x14ac:dyDescent="0.2">
      <c r="A108" s="2012" t="s">
        <v>5004</v>
      </c>
      <c r="B108" s="2012" t="s">
        <v>5005</v>
      </c>
      <c r="C108" s="2012" t="s">
        <v>5134</v>
      </c>
      <c r="D108" s="2012" t="s">
        <v>5135</v>
      </c>
      <c r="E108" s="2012" t="s">
        <v>1714</v>
      </c>
      <c r="F108" s="2004">
        <v>1083.3522399999999</v>
      </c>
      <c r="G108" s="1962">
        <v>293.05429414718435</v>
      </c>
      <c r="H108" s="1962">
        <v>66.295462444299446</v>
      </c>
      <c r="I108" s="1962">
        <v>53.848913174873765</v>
      </c>
    </row>
    <row r="109" spans="1:9" hidden="1" outlineLevel="2" x14ac:dyDescent="0.2">
      <c r="A109" s="2012" t="s">
        <v>5004</v>
      </c>
      <c r="B109" s="2012" t="s">
        <v>5005</v>
      </c>
      <c r="C109" s="2012" t="s">
        <v>5136</v>
      </c>
      <c r="D109" s="2012" t="s">
        <v>5137</v>
      </c>
      <c r="E109" s="2012" t="s">
        <v>1083</v>
      </c>
      <c r="F109" s="2004">
        <v>1.0000000000000001E-5</v>
      </c>
      <c r="G109" s="1962">
        <v>2.7093892375481418E-6</v>
      </c>
      <c r="H109" s="1962">
        <v>7.617908896397924E-7</v>
      </c>
      <c r="I109" s="1962">
        <v>5.4136361357023587E-7</v>
      </c>
    </row>
    <row r="110" spans="1:9" hidden="1" outlineLevel="2" x14ac:dyDescent="0.2">
      <c r="A110" s="2012" t="s">
        <v>5004</v>
      </c>
      <c r="B110" s="2012" t="s">
        <v>5005</v>
      </c>
      <c r="C110" s="2012" t="s">
        <v>5138</v>
      </c>
      <c r="D110" s="2012" t="s">
        <v>5139</v>
      </c>
      <c r="E110" s="2012" t="s">
        <v>936</v>
      </c>
      <c r="F110" s="2004">
        <v>197.62051</v>
      </c>
      <c r="G110" s="1962">
        <v>0</v>
      </c>
      <c r="H110" s="1962">
        <v>0</v>
      </c>
      <c r="I110" s="1962">
        <v>0</v>
      </c>
    </row>
    <row r="111" spans="1:9" hidden="1" outlineLevel="2" x14ac:dyDescent="0.2">
      <c r="A111" s="2012" t="s">
        <v>5004</v>
      </c>
      <c r="B111" s="2012" t="s">
        <v>5005</v>
      </c>
      <c r="C111" s="2012" t="s">
        <v>5140</v>
      </c>
      <c r="D111" s="2012" t="s">
        <v>5141</v>
      </c>
      <c r="E111" s="2012" t="s">
        <v>1714</v>
      </c>
      <c r="F111" s="2004">
        <v>386.86646000000002</v>
      </c>
      <c r="G111" s="1962">
        <v>104.65006041296407</v>
      </c>
      <c r="H111" s="1962">
        <v>23.67419378750634</v>
      </c>
      <c r="I111" s="1962">
        <v>19.229515245023887</v>
      </c>
    </row>
    <row r="112" spans="1:9" hidden="1" outlineLevel="2" x14ac:dyDescent="0.2">
      <c r="A112" s="2012" t="s">
        <v>5004</v>
      </c>
      <c r="B112" s="2012" t="s">
        <v>5005</v>
      </c>
      <c r="C112" s="2012" t="s">
        <v>5142</v>
      </c>
      <c r="D112" s="2012" t="s">
        <v>5143</v>
      </c>
      <c r="E112" s="2012" t="s">
        <v>936</v>
      </c>
      <c r="F112" s="2004">
        <v>457.47735</v>
      </c>
      <c r="G112" s="1962">
        <v>0</v>
      </c>
      <c r="H112" s="1962">
        <v>0</v>
      </c>
      <c r="I112" s="1962">
        <v>0</v>
      </c>
    </row>
    <row r="113" spans="1:9" hidden="1" outlineLevel="2" x14ac:dyDescent="0.2">
      <c r="A113" s="2012" t="s">
        <v>5004</v>
      </c>
      <c r="B113" s="2012" t="s">
        <v>5005</v>
      </c>
      <c r="C113" s="2012" t="s">
        <v>5144</v>
      </c>
      <c r="D113" s="2012" t="s">
        <v>5145</v>
      </c>
      <c r="E113" s="2012" t="s">
        <v>906</v>
      </c>
      <c r="F113" s="2004">
        <v>3969.73774</v>
      </c>
      <c r="G113" s="1962">
        <v>1025.6691874834387</v>
      </c>
      <c r="H113" s="1962">
        <v>283.48334688667273</v>
      </c>
      <c r="I113" s="1962">
        <v>234.26351482790852</v>
      </c>
    </row>
    <row r="114" spans="1:9" hidden="1" outlineLevel="2" x14ac:dyDescent="0.2">
      <c r="A114" s="2012" t="s">
        <v>5004</v>
      </c>
      <c r="B114" s="2012" t="s">
        <v>5005</v>
      </c>
      <c r="C114" s="2012" t="s">
        <v>5146</v>
      </c>
      <c r="D114" s="2012" t="s">
        <v>5147</v>
      </c>
      <c r="E114" s="2012" t="s">
        <v>913</v>
      </c>
      <c r="F114" s="2004">
        <v>81489.520260000005</v>
      </c>
      <c r="G114" s="1962">
        <v>22795.706444570813</v>
      </c>
      <c r="H114" s="1962">
        <v>6083.1340671495327</v>
      </c>
      <c r="I114" s="1962">
        <v>4346.0387321870248</v>
      </c>
    </row>
    <row r="115" spans="1:9" hidden="1" outlineLevel="2" x14ac:dyDescent="0.2">
      <c r="A115" s="2012" t="s">
        <v>5004</v>
      </c>
      <c r="B115" s="2012" t="s">
        <v>5005</v>
      </c>
      <c r="C115" s="2012" t="s">
        <v>5148</v>
      </c>
      <c r="D115" s="2012" t="s">
        <v>5149</v>
      </c>
      <c r="E115" s="2012" t="s">
        <v>2929</v>
      </c>
      <c r="F115" s="2004">
        <v>1123.6465900000001</v>
      </c>
      <c r="G115" s="1962">
        <v>301.9156885272385</v>
      </c>
      <c r="H115" s="1962">
        <v>84.640781011980934</v>
      </c>
      <c r="I115" s="1962">
        <v>61.809419281181484</v>
      </c>
    </row>
    <row r="116" spans="1:9" hidden="1" outlineLevel="2" x14ac:dyDescent="0.2">
      <c r="A116" s="2012" t="s">
        <v>5004</v>
      </c>
      <c r="B116" s="2012" t="s">
        <v>5005</v>
      </c>
      <c r="C116" s="2012" t="s">
        <v>5150</v>
      </c>
      <c r="D116" s="2012" t="s">
        <v>5151</v>
      </c>
      <c r="E116" s="2012" t="s">
        <v>913</v>
      </c>
      <c r="F116" s="2004">
        <v>-17139.600470000001</v>
      </c>
      <c r="G116" s="1962">
        <v>-4794.5956688019887</v>
      </c>
      <c r="H116" s="1962">
        <v>-1279.4588455513035</v>
      </c>
      <c r="I116" s="1962">
        <v>-914.09750921548664</v>
      </c>
    </row>
    <row r="117" spans="1:9" hidden="1" outlineLevel="2" x14ac:dyDescent="0.2">
      <c r="A117" s="2012" t="s">
        <v>5004</v>
      </c>
      <c r="B117" s="2012" t="s">
        <v>5005</v>
      </c>
      <c r="C117" s="2012" t="s">
        <v>5152</v>
      </c>
      <c r="D117" s="2012" t="s">
        <v>5153</v>
      </c>
      <c r="E117" s="2012" t="s">
        <v>936</v>
      </c>
      <c r="F117" s="2004">
        <v>425.83206999999999</v>
      </c>
      <c r="G117" s="1962">
        <v>0</v>
      </c>
      <c r="H117" s="1962">
        <v>0</v>
      </c>
      <c r="I117" s="1962">
        <v>0</v>
      </c>
    </row>
    <row r="118" spans="1:9" hidden="1" outlineLevel="2" x14ac:dyDescent="0.2">
      <c r="A118" s="2012" t="s">
        <v>5004</v>
      </c>
      <c r="B118" s="2012" t="s">
        <v>5005</v>
      </c>
      <c r="C118" s="2012" t="s">
        <v>5154</v>
      </c>
      <c r="D118" s="2012" t="s">
        <v>5155</v>
      </c>
      <c r="E118" s="2012" t="s">
        <v>936</v>
      </c>
      <c r="F118" s="2004">
        <v>132.48316</v>
      </c>
      <c r="G118" s="1962">
        <v>0</v>
      </c>
      <c r="H118" s="1962">
        <v>0</v>
      </c>
      <c r="I118" s="1962">
        <v>0</v>
      </c>
    </row>
    <row r="119" spans="1:9" hidden="1" outlineLevel="2" x14ac:dyDescent="0.2">
      <c r="A119" s="2012" t="s">
        <v>5004</v>
      </c>
      <c r="B119" s="2012" t="s">
        <v>5005</v>
      </c>
      <c r="C119" s="2012" t="s">
        <v>5156</v>
      </c>
      <c r="D119" s="2012" t="s">
        <v>5157</v>
      </c>
      <c r="E119" s="2012" t="s">
        <v>936</v>
      </c>
      <c r="F119" s="2004">
        <v>46.275730000000003</v>
      </c>
      <c r="G119" s="1962">
        <v>0</v>
      </c>
      <c r="H119" s="1962">
        <v>0</v>
      </c>
      <c r="I119" s="1962">
        <v>0</v>
      </c>
    </row>
    <row r="120" spans="1:9" hidden="1" outlineLevel="2" x14ac:dyDescent="0.2">
      <c r="A120" s="2012" t="s">
        <v>5004</v>
      </c>
      <c r="B120" s="2012" t="s">
        <v>5005</v>
      </c>
      <c r="C120" s="2012" t="s">
        <v>5158</v>
      </c>
      <c r="D120" s="2012" t="s">
        <v>5159</v>
      </c>
      <c r="E120" s="2012" t="s">
        <v>936</v>
      </c>
      <c r="F120" s="2004">
        <v>1575.4680699999999</v>
      </c>
      <c r="G120" s="1962">
        <v>0</v>
      </c>
      <c r="H120" s="1962">
        <v>0</v>
      </c>
      <c r="I120" s="1962">
        <v>0</v>
      </c>
    </row>
    <row r="121" spans="1:9" hidden="1" outlineLevel="2" x14ac:dyDescent="0.2">
      <c r="A121" s="2012" t="s">
        <v>5004</v>
      </c>
      <c r="B121" s="2012" t="s">
        <v>5005</v>
      </c>
      <c r="C121" s="2012" t="s">
        <v>5160</v>
      </c>
      <c r="D121" s="2012" t="s">
        <v>5161</v>
      </c>
      <c r="E121" s="2012" t="s">
        <v>936</v>
      </c>
      <c r="F121" s="2004">
        <v>51.818359999999998</v>
      </c>
      <c r="G121" s="1962">
        <v>0</v>
      </c>
      <c r="H121" s="1962">
        <v>0</v>
      </c>
      <c r="I121" s="1962">
        <v>0</v>
      </c>
    </row>
    <row r="122" spans="1:9" hidden="1" outlineLevel="2" x14ac:dyDescent="0.2">
      <c r="A122" s="2012" t="s">
        <v>5004</v>
      </c>
      <c r="B122" s="2012" t="s">
        <v>5005</v>
      </c>
      <c r="C122" s="2012" t="s">
        <v>5162</v>
      </c>
      <c r="D122" s="2012" t="s">
        <v>5163</v>
      </c>
      <c r="E122" s="2012" t="s">
        <v>936</v>
      </c>
      <c r="F122" s="2004">
        <v>150.58465000000001</v>
      </c>
      <c r="G122" s="1962">
        <v>0</v>
      </c>
      <c r="H122" s="1962">
        <v>0</v>
      </c>
      <c r="I122" s="1962">
        <v>0</v>
      </c>
    </row>
    <row r="123" spans="1:9" hidden="1" outlineLevel="2" x14ac:dyDescent="0.2">
      <c r="A123" s="2012" t="s">
        <v>5004</v>
      </c>
      <c r="B123" s="2012" t="s">
        <v>5005</v>
      </c>
      <c r="C123" s="2012" t="s">
        <v>5164</v>
      </c>
      <c r="D123" s="2012" t="s">
        <v>5165</v>
      </c>
      <c r="E123" s="2012" t="s">
        <v>906</v>
      </c>
      <c r="F123" s="2004">
        <v>1744.87817</v>
      </c>
      <c r="G123" s="1962">
        <v>450.82771006466771</v>
      </c>
      <c r="H123" s="1962">
        <v>124.60367307314682</v>
      </c>
      <c r="I123" s="1962">
        <v>102.96934453173445</v>
      </c>
    </row>
    <row r="124" spans="1:9" hidden="1" outlineLevel="2" x14ac:dyDescent="0.2">
      <c r="A124" s="2012" t="s">
        <v>5004</v>
      </c>
      <c r="B124" s="2012" t="s">
        <v>5005</v>
      </c>
      <c r="C124" s="2012" t="s">
        <v>5166</v>
      </c>
      <c r="D124" s="2012" t="s">
        <v>5167</v>
      </c>
      <c r="E124" s="2012" t="s">
        <v>936</v>
      </c>
      <c r="F124" s="2004">
        <v>-2.0000000000000002E-5</v>
      </c>
      <c r="G124" s="1962">
        <v>0</v>
      </c>
      <c r="H124" s="1962">
        <v>0</v>
      </c>
      <c r="I124" s="1962">
        <v>0</v>
      </c>
    </row>
    <row r="125" spans="1:9" hidden="1" outlineLevel="2" x14ac:dyDescent="0.2">
      <c r="A125" s="2012" t="s">
        <v>5004</v>
      </c>
      <c r="B125" s="2012" t="s">
        <v>5005</v>
      </c>
      <c r="C125" s="2012" t="s">
        <v>5168</v>
      </c>
      <c r="D125" s="2012" t="s">
        <v>5169</v>
      </c>
      <c r="E125" s="2012" t="s">
        <v>906</v>
      </c>
      <c r="F125" s="2004">
        <v>782.35731999999996</v>
      </c>
      <c r="G125" s="1962">
        <v>202.13924679218746</v>
      </c>
      <c r="H125" s="1962">
        <v>55.868998422774304</v>
      </c>
      <c r="I125" s="1962">
        <v>46.168736485484494</v>
      </c>
    </row>
    <row r="126" spans="1:9" hidden="1" outlineLevel="2" x14ac:dyDescent="0.2">
      <c r="A126" s="2012" t="s">
        <v>5004</v>
      </c>
      <c r="B126" s="2012" t="s">
        <v>5005</v>
      </c>
      <c r="C126" s="2012" t="s">
        <v>5170</v>
      </c>
      <c r="D126" s="2012" t="s">
        <v>5171</v>
      </c>
      <c r="E126" s="2012" t="s">
        <v>906</v>
      </c>
      <c r="F126" s="2004">
        <v>-505.70121999999998</v>
      </c>
      <c r="G126" s="1962">
        <v>-130.65904938767659</v>
      </c>
      <c r="H126" s="1962">
        <v>-36.112681431260903</v>
      </c>
      <c r="I126" s="1962">
        <v>-29.842612537411959</v>
      </c>
    </row>
    <row r="127" spans="1:9" hidden="1" outlineLevel="2" x14ac:dyDescent="0.2">
      <c r="A127" s="2012" t="s">
        <v>5004</v>
      </c>
      <c r="B127" s="2012" t="s">
        <v>5005</v>
      </c>
      <c r="C127" s="2012" t="s">
        <v>5172</v>
      </c>
      <c r="D127" s="2012" t="s">
        <v>5173</v>
      </c>
      <c r="E127" s="2012" t="s">
        <v>906</v>
      </c>
      <c r="F127" s="2004">
        <v>71.981819999999999</v>
      </c>
      <c r="G127" s="1962">
        <v>18.598088757616299</v>
      </c>
      <c r="H127" s="1962">
        <v>5.1403010941962224</v>
      </c>
      <c r="I127" s="1962">
        <v>4.2478156647471232</v>
      </c>
    </row>
    <row r="128" spans="1:9" hidden="1" outlineLevel="2" x14ac:dyDescent="0.2">
      <c r="A128" s="2012" t="s">
        <v>5004</v>
      </c>
      <c r="B128" s="2012" t="s">
        <v>5005</v>
      </c>
      <c r="C128" s="2012" t="s">
        <v>5174</v>
      </c>
      <c r="D128" s="2012" t="s">
        <v>5175</v>
      </c>
      <c r="E128" s="2012" t="s">
        <v>906</v>
      </c>
      <c r="F128" s="2004">
        <v>99.17877</v>
      </c>
      <c r="G128" s="1962">
        <v>25.625019863782445</v>
      </c>
      <c r="H128" s="1962">
        <v>7.0824652662580005</v>
      </c>
      <c r="I128" s="1962">
        <v>5.852771336100588</v>
      </c>
    </row>
    <row r="129" spans="1:9" hidden="1" outlineLevel="2" x14ac:dyDescent="0.2">
      <c r="A129" s="2012" t="s">
        <v>5004</v>
      </c>
      <c r="B129" s="2012" t="s">
        <v>5005</v>
      </c>
      <c r="C129" s="2012" t="s">
        <v>5176</v>
      </c>
      <c r="D129" s="2012" t="s">
        <v>5177</v>
      </c>
      <c r="E129" s="2012" t="s">
        <v>906</v>
      </c>
      <c r="F129" s="2004">
        <v>331.77656000000002</v>
      </c>
      <c r="G129" s="1962">
        <v>85.721782396952591</v>
      </c>
      <c r="H129" s="1962">
        <v>23.692529785946768</v>
      </c>
      <c r="I129" s="1962">
        <v>19.578911296823474</v>
      </c>
    </row>
    <row r="130" spans="1:9" hidden="1" outlineLevel="2" x14ac:dyDescent="0.2">
      <c r="A130" s="2012" t="s">
        <v>5004</v>
      </c>
      <c r="B130" s="2012" t="s">
        <v>5005</v>
      </c>
      <c r="C130" s="2012" t="s">
        <v>5178</v>
      </c>
      <c r="D130" s="2012" t="s">
        <v>5179</v>
      </c>
      <c r="E130" s="2012" t="s">
        <v>906</v>
      </c>
      <c r="F130" s="2004">
        <v>-6692.6092799999997</v>
      </c>
      <c r="G130" s="1962">
        <v>-1729.1830271794531</v>
      </c>
      <c r="H130" s="1962">
        <v>-477.92660431497552</v>
      </c>
      <c r="I130" s="1962">
        <v>-394.94653702304225</v>
      </c>
    </row>
    <row r="131" spans="1:9" hidden="1" outlineLevel="2" x14ac:dyDescent="0.2">
      <c r="A131" s="2012" t="s">
        <v>5004</v>
      </c>
      <c r="B131" s="2012" t="s">
        <v>5005</v>
      </c>
      <c r="C131" s="2012" t="s">
        <v>5180</v>
      </c>
      <c r="D131" s="2012" t="s">
        <v>5729</v>
      </c>
      <c r="E131" s="2012" t="s">
        <v>906</v>
      </c>
      <c r="F131" s="2004">
        <v>-142.26310000000001</v>
      </c>
      <c r="G131" s="1962">
        <v>-36.756805548034812</v>
      </c>
      <c r="H131" s="1962">
        <v>-10.159164752902145</v>
      </c>
      <c r="I131" s="1962">
        <v>-8.3952784841434465</v>
      </c>
    </row>
    <row r="132" spans="1:9" hidden="1" outlineLevel="2" x14ac:dyDescent="0.2">
      <c r="A132" s="2012" t="s">
        <v>5004</v>
      </c>
      <c r="B132" s="2012" t="s">
        <v>5005</v>
      </c>
      <c r="C132" s="2012" t="s">
        <v>5181</v>
      </c>
      <c r="D132" s="2012" t="s">
        <v>5182</v>
      </c>
      <c r="E132" s="2012" t="s">
        <v>906</v>
      </c>
      <c r="F132" s="2004">
        <v>-8669.7613099999999</v>
      </c>
      <c r="G132" s="1962">
        <v>-2240.023805326508</v>
      </c>
      <c r="H132" s="1962">
        <v>-619.11720970952217</v>
      </c>
      <c r="I132" s="1962">
        <v>-511.6229056480725</v>
      </c>
    </row>
    <row r="133" spans="1:9" hidden="1" outlineLevel="2" x14ac:dyDescent="0.2">
      <c r="A133" s="2012" t="s">
        <v>5004</v>
      </c>
      <c r="B133" s="2012" t="s">
        <v>5005</v>
      </c>
      <c r="C133" s="2012" t="s">
        <v>5183</v>
      </c>
      <c r="D133" s="2012" t="s">
        <v>5184</v>
      </c>
      <c r="E133" s="2012" t="s">
        <v>906</v>
      </c>
      <c r="F133" s="2004">
        <v>3.3553299999999999</v>
      </c>
      <c r="G133" s="1962">
        <v>0.86692341414947127</v>
      </c>
      <c r="H133" s="1962">
        <v>0.23960781306153986</v>
      </c>
      <c r="I133" s="1962">
        <v>0.19800587612811074</v>
      </c>
    </row>
    <row r="134" spans="1:9" hidden="1" outlineLevel="2" x14ac:dyDescent="0.2">
      <c r="A134" s="2012" t="s">
        <v>5004</v>
      </c>
      <c r="B134" s="2012" t="s">
        <v>5005</v>
      </c>
      <c r="C134" s="2012" t="s">
        <v>5185</v>
      </c>
      <c r="D134" s="2012" t="s">
        <v>5186</v>
      </c>
      <c r="E134" s="2012" t="s">
        <v>906</v>
      </c>
      <c r="F134" s="2004">
        <v>2.4000000000000001E-4</v>
      </c>
      <c r="G134" s="1962">
        <v>6.2009286536904903E-5</v>
      </c>
      <c r="H134" s="1962">
        <v>1.7138664493438668E-5</v>
      </c>
      <c r="I134" s="1962">
        <v>1.4162961696985567E-5</v>
      </c>
    </row>
    <row r="135" spans="1:9" hidden="1" outlineLevel="2" x14ac:dyDescent="0.2">
      <c r="A135" s="2012" t="s">
        <v>5004</v>
      </c>
      <c r="B135" s="2012" t="s">
        <v>5005</v>
      </c>
      <c r="C135" s="2012" t="s">
        <v>5187</v>
      </c>
      <c r="D135" s="2012" t="s">
        <v>5188</v>
      </c>
      <c r="E135" s="2012" t="s">
        <v>913</v>
      </c>
      <c r="F135" s="2004">
        <v>-91277.752519999995</v>
      </c>
      <c r="G135" s="1962">
        <v>-25533.845882603109</v>
      </c>
      <c r="H135" s="1962">
        <v>-6813.8185641007976</v>
      </c>
      <c r="I135" s="1962">
        <v>-4868.0694962150183</v>
      </c>
    </row>
    <row r="136" spans="1:9" ht="13.5" outlineLevel="1" collapsed="1" thickBot="1" x14ac:dyDescent="0.25">
      <c r="A136" s="2013" t="s">
        <v>5189</v>
      </c>
      <c r="B136" s="2013"/>
      <c r="C136" s="2013"/>
      <c r="D136" s="2013"/>
      <c r="E136" s="2013"/>
      <c r="F136" s="2014">
        <f>SUBTOTAL(9,F43:F135)</f>
        <v>795432.78113763384</v>
      </c>
      <c r="G136" s="2014">
        <f t="shared" ref="G136:I136" si="1">SUBTOTAL(9,G43:G135)</f>
        <v>211974.48699682712</v>
      </c>
      <c r="H136" s="2014">
        <f t="shared" si="1"/>
        <v>59165.35036931224</v>
      </c>
      <c r="I136" s="2014">
        <f t="shared" si="1"/>
        <v>43151.026695122855</v>
      </c>
    </row>
    <row r="137" spans="1:9" hidden="1" outlineLevel="2" x14ac:dyDescent="0.2">
      <c r="A137" s="2012" t="s">
        <v>5190</v>
      </c>
      <c r="B137" s="2012" t="s">
        <v>5191</v>
      </c>
      <c r="C137" s="2012" t="s">
        <v>5192</v>
      </c>
      <c r="D137" s="2012" t="s">
        <v>5193</v>
      </c>
      <c r="E137" s="2012" t="s">
        <v>1083</v>
      </c>
      <c r="F137" s="2004">
        <v>-122977.93954000001</v>
      </c>
      <c r="G137" s="1962">
        <v>-33319.510584552205</v>
      </c>
      <c r="H137" s="1962">
        <v>-9368.3473968245198</v>
      </c>
      <c r="I137" s="1962">
        <v>-6657.5781738796395</v>
      </c>
    </row>
    <row r="138" spans="1:9" ht="13.5" outlineLevel="1" collapsed="1" thickBot="1" x14ac:dyDescent="0.25">
      <c r="A138" s="2013" t="s">
        <v>5194</v>
      </c>
      <c r="B138" s="2013"/>
      <c r="C138" s="2013"/>
      <c r="D138" s="2013"/>
      <c r="E138" s="2013"/>
      <c r="F138" s="2014">
        <f>SUBTOTAL(9,F137)</f>
        <v>-122977.93954000001</v>
      </c>
      <c r="G138" s="2014">
        <f t="shared" ref="G138:I138" si="2">SUBTOTAL(9,G137)</f>
        <v>-33319.510584552205</v>
      </c>
      <c r="H138" s="2014">
        <f t="shared" si="2"/>
        <v>-9368.3473968245198</v>
      </c>
      <c r="I138" s="2014">
        <f t="shared" si="2"/>
        <v>-6657.5781738796395</v>
      </c>
    </row>
    <row r="139" spans="1:9" hidden="1" outlineLevel="2" x14ac:dyDescent="0.2">
      <c r="A139" s="2012" t="s">
        <v>5195</v>
      </c>
      <c r="B139" s="2012" t="s">
        <v>5196</v>
      </c>
      <c r="C139" s="2012" t="s">
        <v>5197</v>
      </c>
      <c r="D139" s="2012" t="s">
        <v>5198</v>
      </c>
      <c r="E139" s="2012" t="s">
        <v>1343</v>
      </c>
      <c r="F139" s="2004">
        <v>-302.95244000000002</v>
      </c>
      <c r="G139" s="1962">
        <v>-82.531093009711768</v>
      </c>
      <c r="H139" s="1962">
        <v>-21.64013847871546</v>
      </c>
      <c r="I139" s="1962">
        <v>-16.193195494939072</v>
      </c>
    </row>
    <row r="140" spans="1:9" ht="13.5" outlineLevel="1" collapsed="1" thickBot="1" x14ac:dyDescent="0.25">
      <c r="A140" s="2013" t="s">
        <v>5199</v>
      </c>
      <c r="B140" s="2013"/>
      <c r="C140" s="2013"/>
      <c r="D140" s="2013"/>
      <c r="E140" s="2013"/>
      <c r="F140" s="2014">
        <f>SUBTOTAL(9,F139)</f>
        <v>-302.95244000000002</v>
      </c>
      <c r="G140" s="2014">
        <f t="shared" ref="G140:I140" si="3">SUBTOTAL(9,G139)</f>
        <v>-82.531093009711768</v>
      </c>
      <c r="H140" s="2014">
        <f t="shared" si="3"/>
        <v>-21.64013847871546</v>
      </c>
      <c r="I140" s="2014">
        <f t="shared" si="3"/>
        <v>-16.193195494939072</v>
      </c>
    </row>
    <row r="141" spans="1:9" hidden="1" outlineLevel="2" x14ac:dyDescent="0.2">
      <c r="A141" s="2012" t="s">
        <v>5200</v>
      </c>
      <c r="B141" s="2012" t="s">
        <v>5201</v>
      </c>
      <c r="C141" s="2012" t="s">
        <v>5202</v>
      </c>
      <c r="D141" s="2012" t="s">
        <v>5203</v>
      </c>
      <c r="E141" s="2012" t="s">
        <v>5204</v>
      </c>
      <c r="F141" s="2004">
        <v>-383.91572000000002</v>
      </c>
      <c r="G141" s="1962">
        <v>-95.210928167472474</v>
      </c>
      <c r="H141" s="1962">
        <v>-27.904167077379956</v>
      </c>
      <c r="I141" s="1962">
        <v>-21.336764329099555</v>
      </c>
    </row>
    <row r="142" spans="1:9" hidden="1" outlineLevel="2" x14ac:dyDescent="0.2">
      <c r="A142" s="2012" t="s">
        <v>5200</v>
      </c>
      <c r="B142" s="2012" t="s">
        <v>5201</v>
      </c>
      <c r="C142" s="2012" t="s">
        <v>5205</v>
      </c>
      <c r="D142" s="2012" t="s">
        <v>5206</v>
      </c>
      <c r="E142" s="2012" t="s">
        <v>918</v>
      </c>
      <c r="F142" s="2004">
        <v>-3899.81801</v>
      </c>
      <c r="G142" s="1962">
        <v>0</v>
      </c>
      <c r="H142" s="1962">
        <v>0</v>
      </c>
      <c r="I142" s="1962">
        <v>0</v>
      </c>
    </row>
    <row r="143" spans="1:9" hidden="1" outlineLevel="2" x14ac:dyDescent="0.2">
      <c r="A143" s="2012" t="s">
        <v>5200</v>
      </c>
      <c r="B143" s="2012" t="s">
        <v>5201</v>
      </c>
      <c r="C143" s="2012" t="s">
        <v>5207</v>
      </c>
      <c r="D143" s="2012" t="s">
        <v>5208</v>
      </c>
      <c r="E143" s="2012" t="s">
        <v>919</v>
      </c>
      <c r="F143" s="2004">
        <v>-1698.8911900000001</v>
      </c>
      <c r="G143" s="1962">
        <v>0</v>
      </c>
      <c r="H143" s="1962">
        <v>0</v>
      </c>
      <c r="I143" s="1962">
        <v>-1698.8911900000001</v>
      </c>
    </row>
    <row r="144" spans="1:9" hidden="1" outlineLevel="2" x14ac:dyDescent="0.2">
      <c r="A144" s="2012" t="s">
        <v>5200</v>
      </c>
      <c r="B144" s="2012" t="s">
        <v>5201</v>
      </c>
      <c r="C144" s="2012" t="s">
        <v>5209</v>
      </c>
      <c r="D144" s="2012" t="s">
        <v>5210</v>
      </c>
      <c r="E144" s="2012" t="s">
        <v>912</v>
      </c>
      <c r="F144" s="2004">
        <v>12933.32171</v>
      </c>
      <c r="G144" s="1962">
        <v>12933.32171</v>
      </c>
      <c r="H144" s="1962">
        <v>0</v>
      </c>
      <c r="I144" s="1962">
        <v>0</v>
      </c>
    </row>
    <row r="145" spans="1:9" hidden="1" outlineLevel="2" x14ac:dyDescent="0.2">
      <c r="A145" s="2012" t="s">
        <v>5200</v>
      </c>
      <c r="B145" s="2012" t="s">
        <v>5201</v>
      </c>
      <c r="C145" s="2012" t="s">
        <v>5211</v>
      </c>
      <c r="D145" s="2012" t="s">
        <v>5212</v>
      </c>
      <c r="E145" s="2012" t="s">
        <v>920</v>
      </c>
      <c r="F145" s="2004">
        <v>54679.76728</v>
      </c>
      <c r="G145" s="1962">
        <v>0</v>
      </c>
      <c r="H145" s="1962">
        <v>0</v>
      </c>
      <c r="I145" s="1962">
        <v>0</v>
      </c>
    </row>
    <row r="146" spans="1:9" hidden="1" outlineLevel="2" x14ac:dyDescent="0.2">
      <c r="A146" s="2012" t="s">
        <v>5200</v>
      </c>
      <c r="B146" s="2012" t="s">
        <v>5201</v>
      </c>
      <c r="C146" s="2012" t="s">
        <v>5213</v>
      </c>
      <c r="D146" s="2012" t="s">
        <v>5214</v>
      </c>
      <c r="E146" s="2012" t="s">
        <v>921</v>
      </c>
      <c r="F146" s="2004">
        <v>-926.85464000000002</v>
      </c>
      <c r="G146" s="1962">
        <v>0</v>
      </c>
      <c r="H146" s="1962">
        <v>-926.85464000000002</v>
      </c>
      <c r="I146" s="1962">
        <v>0</v>
      </c>
    </row>
    <row r="147" spans="1:9" hidden="1" outlineLevel="2" x14ac:dyDescent="0.2">
      <c r="A147" s="2012" t="s">
        <v>5200</v>
      </c>
      <c r="B147" s="2012" t="s">
        <v>5201</v>
      </c>
      <c r="C147" s="2012" t="s">
        <v>5215</v>
      </c>
      <c r="D147" s="2012" t="s">
        <v>5216</v>
      </c>
      <c r="E147" s="2012" t="s">
        <v>922</v>
      </c>
      <c r="F147" s="2004">
        <v>-17626.373589999999</v>
      </c>
      <c r="G147" s="1962">
        <v>0</v>
      </c>
      <c r="H147" s="1962">
        <v>0</v>
      </c>
      <c r="I147" s="1962">
        <v>0</v>
      </c>
    </row>
    <row r="148" spans="1:9" hidden="1" outlineLevel="2" x14ac:dyDescent="0.2">
      <c r="A148" s="2012" t="s">
        <v>5200</v>
      </c>
      <c r="B148" s="2012" t="s">
        <v>5201</v>
      </c>
      <c r="C148" s="2012" t="s">
        <v>5217</v>
      </c>
      <c r="D148" s="2012" t="s">
        <v>5218</v>
      </c>
      <c r="E148" s="2012" t="s">
        <v>919</v>
      </c>
      <c r="F148" s="2004">
        <v>1066.2991999999999</v>
      </c>
      <c r="G148" s="1962">
        <v>0</v>
      </c>
      <c r="H148" s="1962">
        <v>0</v>
      </c>
      <c r="I148" s="1962">
        <v>1066.2991999999999</v>
      </c>
    </row>
    <row r="149" spans="1:9" hidden="1" outlineLevel="2" x14ac:dyDescent="0.2">
      <c r="A149" s="2012" t="s">
        <v>5200</v>
      </c>
      <c r="B149" s="2012" t="s">
        <v>5201</v>
      </c>
      <c r="C149" s="2012" t="s">
        <v>5219</v>
      </c>
      <c r="D149" s="2012" t="s">
        <v>5220</v>
      </c>
      <c r="E149" s="2012" t="s">
        <v>920</v>
      </c>
      <c r="F149" s="2004">
        <v>12578.72265</v>
      </c>
      <c r="G149" s="1962">
        <v>0</v>
      </c>
      <c r="H149" s="1962">
        <v>0</v>
      </c>
      <c r="I149" s="1962">
        <v>0</v>
      </c>
    </row>
    <row r="150" spans="1:9" hidden="1" outlineLevel="2" x14ac:dyDescent="0.2">
      <c r="A150" s="2012" t="s">
        <v>5200</v>
      </c>
      <c r="B150" s="2012" t="s">
        <v>5201</v>
      </c>
      <c r="C150" s="2012" t="s">
        <v>5221</v>
      </c>
      <c r="D150" s="2012" t="s">
        <v>5222</v>
      </c>
      <c r="E150" s="2012" t="s">
        <v>922</v>
      </c>
      <c r="F150" s="2004">
        <v>3484.4375300000002</v>
      </c>
      <c r="G150" s="1962">
        <v>0</v>
      </c>
      <c r="H150" s="1962">
        <v>0</v>
      </c>
      <c r="I150" s="1962">
        <v>0</v>
      </c>
    </row>
    <row r="151" spans="1:9" hidden="1" outlineLevel="2" x14ac:dyDescent="0.2">
      <c r="A151" s="2012" t="s">
        <v>5200</v>
      </c>
      <c r="B151" s="2012" t="s">
        <v>5201</v>
      </c>
      <c r="C151" s="2012" t="s">
        <v>5223</v>
      </c>
      <c r="D151" s="2012" t="s">
        <v>5224</v>
      </c>
      <c r="E151" s="2012" t="s">
        <v>5204</v>
      </c>
      <c r="F151" s="2004">
        <v>-3042194.05492</v>
      </c>
      <c r="G151" s="1962">
        <v>-754462.77540940477</v>
      </c>
      <c r="H151" s="1962">
        <v>-221115.9553203492</v>
      </c>
      <c r="I151" s="1962">
        <v>-169075.07093800636</v>
      </c>
    </row>
    <row r="152" spans="1:9" hidden="1" outlineLevel="2" x14ac:dyDescent="0.2">
      <c r="A152" s="2012" t="s">
        <v>5200</v>
      </c>
      <c r="B152" s="2012" t="s">
        <v>5201</v>
      </c>
      <c r="C152" s="2012" t="s">
        <v>5225</v>
      </c>
      <c r="D152" s="2012" t="s">
        <v>5179</v>
      </c>
      <c r="E152" s="2012" t="s">
        <v>906</v>
      </c>
      <c r="F152" s="2004">
        <v>-1355.1774499999999</v>
      </c>
      <c r="G152" s="1962">
        <v>-350.13994502250875</v>
      </c>
      <c r="H152" s="1962">
        <v>-96.774715185932308</v>
      </c>
      <c r="I152" s="1962">
        <v>-79.972192987369041</v>
      </c>
    </row>
    <row r="153" spans="1:9" hidden="1" outlineLevel="2" x14ac:dyDescent="0.2">
      <c r="A153" s="2012" t="s">
        <v>5200</v>
      </c>
      <c r="B153" s="2012" t="s">
        <v>5201</v>
      </c>
      <c r="C153" s="2012" t="s">
        <v>5226</v>
      </c>
      <c r="D153" s="2012" t="s">
        <v>5227</v>
      </c>
      <c r="E153" s="2012" t="s">
        <v>913</v>
      </c>
      <c r="F153" s="2004">
        <v>-1.39E-3</v>
      </c>
      <c r="G153" s="1962">
        <v>-3.8883566692816642E-4</v>
      </c>
      <c r="H153" s="1962">
        <v>-1.0376250009031345E-4</v>
      </c>
      <c r="I153" s="1962">
        <v>-7.4132156116094472E-5</v>
      </c>
    </row>
    <row r="154" spans="1:9" hidden="1" outlineLevel="2" x14ac:dyDescent="0.2">
      <c r="A154" s="2012" t="s">
        <v>5200</v>
      </c>
      <c r="B154" s="2012" t="s">
        <v>5201</v>
      </c>
      <c r="C154" s="2012" t="s">
        <v>5228</v>
      </c>
      <c r="D154" s="2012" t="s">
        <v>5229</v>
      </c>
      <c r="E154" s="2012" t="s">
        <v>906</v>
      </c>
      <c r="F154" s="2004">
        <v>53.099119999999999</v>
      </c>
      <c r="G154" s="1962">
        <v>13.719327278906238</v>
      </c>
      <c r="H154" s="1962">
        <v>3.7918666774034961</v>
      </c>
      <c r="I154" s="1962">
        <v>3.1335033445985006</v>
      </c>
    </row>
    <row r="155" spans="1:9" hidden="1" outlineLevel="2" x14ac:dyDescent="0.2">
      <c r="A155" s="2012" t="s">
        <v>5200</v>
      </c>
      <c r="B155" s="2012" t="s">
        <v>5201</v>
      </c>
      <c r="C155" s="2012" t="s">
        <v>5230</v>
      </c>
      <c r="D155" s="2012" t="s">
        <v>5231</v>
      </c>
      <c r="E155" s="2012" t="s">
        <v>936</v>
      </c>
      <c r="F155" s="2004">
        <v>-2370.2388099999998</v>
      </c>
      <c r="G155" s="1962">
        <v>0</v>
      </c>
      <c r="H155" s="1962">
        <v>0</v>
      </c>
      <c r="I155" s="1962">
        <v>0</v>
      </c>
    </row>
    <row r="156" spans="1:9" ht="13.5" outlineLevel="1" collapsed="1" thickBot="1" x14ac:dyDescent="0.25">
      <c r="A156" s="2013" t="s">
        <v>5232</v>
      </c>
      <c r="B156" s="2013"/>
      <c r="C156" s="2013"/>
      <c r="D156" s="2013"/>
      <c r="E156" s="2013"/>
      <c r="F156" s="2014">
        <f>SUBTOTAL(9,F141:F155)</f>
        <v>-2985659.6782299997</v>
      </c>
      <c r="G156" s="2014">
        <f t="shared" ref="G156:I156" si="4">SUBTOTAL(9,G141:G155)</f>
        <v>-741961.08563415159</v>
      </c>
      <c r="H156" s="2014">
        <f t="shared" si="4"/>
        <v>-222163.69707969759</v>
      </c>
      <c r="I156" s="2014">
        <f t="shared" si="4"/>
        <v>-169805.83845611036</v>
      </c>
    </row>
    <row r="157" spans="1:9" hidden="1" outlineLevel="2" x14ac:dyDescent="0.2">
      <c r="A157" s="2012" t="s">
        <v>5233</v>
      </c>
      <c r="B157" s="2012" t="s">
        <v>5234</v>
      </c>
      <c r="C157" s="2012" t="s">
        <v>5235</v>
      </c>
      <c r="D157" s="2012" t="s">
        <v>5236</v>
      </c>
      <c r="E157" s="2012" t="s">
        <v>936</v>
      </c>
      <c r="F157" s="2004">
        <v>-2571.7566900000002</v>
      </c>
      <c r="G157" s="1962">
        <v>0</v>
      </c>
      <c r="H157" s="1962">
        <v>0</v>
      </c>
      <c r="I157" s="1962">
        <v>0</v>
      </c>
    </row>
    <row r="158" spans="1:9" hidden="1" outlineLevel="2" x14ac:dyDescent="0.2">
      <c r="A158" s="2015" t="s">
        <v>5233</v>
      </c>
      <c r="B158" s="2015" t="s">
        <v>5234</v>
      </c>
      <c r="C158" s="2015" t="s">
        <v>5237</v>
      </c>
      <c r="D158" s="2015" t="s">
        <v>5238</v>
      </c>
      <c r="E158" s="2015" t="s">
        <v>936</v>
      </c>
      <c r="F158" s="2016">
        <v>-495.12813999999997</v>
      </c>
      <c r="G158" s="1962">
        <v>0</v>
      </c>
      <c r="H158" s="1962">
        <v>0</v>
      </c>
      <c r="I158" s="1962">
        <v>0</v>
      </c>
    </row>
    <row r="159" spans="1:9" hidden="1" outlineLevel="2" x14ac:dyDescent="0.2">
      <c r="A159" s="2012" t="s">
        <v>5233</v>
      </c>
      <c r="B159" s="2012" t="s">
        <v>5234</v>
      </c>
      <c r="C159" s="2012" t="s">
        <v>5239</v>
      </c>
      <c r="D159" s="2012" t="s">
        <v>5240</v>
      </c>
      <c r="E159" s="2012" t="s">
        <v>923</v>
      </c>
      <c r="F159" s="2004">
        <v>-1187.6184499999999</v>
      </c>
      <c r="G159" s="1962">
        <v>0</v>
      </c>
      <c r="H159" s="1962">
        <v>0</v>
      </c>
      <c r="I159" s="1962">
        <v>0</v>
      </c>
    </row>
    <row r="160" spans="1:9" hidden="1" outlineLevel="2" x14ac:dyDescent="0.2">
      <c r="A160" s="2012" t="s">
        <v>5233</v>
      </c>
      <c r="B160" s="2012" t="s">
        <v>5234</v>
      </c>
      <c r="C160" s="2012" t="s">
        <v>5241</v>
      </c>
      <c r="D160" s="2012" t="s">
        <v>5242</v>
      </c>
      <c r="E160" s="2012" t="s">
        <v>936</v>
      </c>
      <c r="F160" s="2004">
        <v>-310.42561000000001</v>
      </c>
      <c r="G160" s="1962">
        <v>0</v>
      </c>
      <c r="H160" s="1962">
        <v>0</v>
      </c>
      <c r="I160" s="1962">
        <v>0</v>
      </c>
    </row>
    <row r="161" spans="1:9" hidden="1" outlineLevel="2" x14ac:dyDescent="0.2">
      <c r="A161" s="2012" t="s">
        <v>5233</v>
      </c>
      <c r="B161" s="2012" t="s">
        <v>5234</v>
      </c>
      <c r="C161" s="2012" t="s">
        <v>5243</v>
      </c>
      <c r="D161" s="2012" t="s">
        <v>5244</v>
      </c>
      <c r="E161" s="2012" t="s">
        <v>936</v>
      </c>
      <c r="F161" s="2004">
        <v>-2399.62518</v>
      </c>
      <c r="G161" s="1962">
        <v>0</v>
      </c>
      <c r="H161" s="1962">
        <v>0</v>
      </c>
      <c r="I161" s="1962">
        <v>0</v>
      </c>
    </row>
    <row r="162" spans="1:9" hidden="1" outlineLevel="2" x14ac:dyDescent="0.2">
      <c r="A162" s="2012" t="s">
        <v>5233</v>
      </c>
      <c r="B162" s="2012" t="s">
        <v>5234</v>
      </c>
      <c r="C162" s="2012" t="s">
        <v>5245</v>
      </c>
      <c r="D162" s="2012" t="s">
        <v>5246</v>
      </c>
      <c r="E162" s="2012" t="s">
        <v>936</v>
      </c>
      <c r="F162" s="2004">
        <v>-762.51043000000004</v>
      </c>
      <c r="G162" s="1962">
        <v>0</v>
      </c>
      <c r="H162" s="1962">
        <v>0</v>
      </c>
      <c r="I162" s="1962">
        <v>0</v>
      </c>
    </row>
    <row r="163" spans="1:9" hidden="1" outlineLevel="2" x14ac:dyDescent="0.2">
      <c r="A163" s="2012" t="s">
        <v>5233</v>
      </c>
      <c r="B163" s="2012" t="s">
        <v>5234</v>
      </c>
      <c r="C163" s="2012" t="s">
        <v>5247</v>
      </c>
      <c r="D163" s="2012" t="s">
        <v>5248</v>
      </c>
      <c r="E163" s="2012" t="s">
        <v>921</v>
      </c>
      <c r="F163" s="2004">
        <v>-63.6556</v>
      </c>
      <c r="G163" s="1962">
        <v>0</v>
      </c>
      <c r="H163" s="1962">
        <v>-63.6556</v>
      </c>
      <c r="I163" s="1962">
        <v>0</v>
      </c>
    </row>
    <row r="164" spans="1:9" hidden="1" outlineLevel="2" x14ac:dyDescent="0.2">
      <c r="A164" s="2012" t="s">
        <v>5233</v>
      </c>
      <c r="B164" s="2012" t="s">
        <v>5234</v>
      </c>
      <c r="C164" s="2012" t="s">
        <v>5249</v>
      </c>
      <c r="D164" s="2012" t="s">
        <v>5250</v>
      </c>
      <c r="E164" s="2012" t="s">
        <v>936</v>
      </c>
      <c r="F164" s="2004">
        <v>-818.44429000000002</v>
      </c>
      <c r="G164" s="1962">
        <v>0</v>
      </c>
      <c r="H164" s="1962">
        <v>0</v>
      </c>
      <c r="I164" s="1962">
        <v>0</v>
      </c>
    </row>
    <row r="165" spans="1:9" hidden="1" outlineLevel="2" x14ac:dyDescent="0.2">
      <c r="A165" s="2012" t="s">
        <v>5233</v>
      </c>
      <c r="B165" s="2012" t="s">
        <v>5234</v>
      </c>
      <c r="C165" s="2012" t="s">
        <v>5251</v>
      </c>
      <c r="D165" s="2012" t="s">
        <v>5252</v>
      </c>
      <c r="E165" s="2012" t="s">
        <v>936</v>
      </c>
      <c r="F165" s="2004">
        <v>-17213.519919999999</v>
      </c>
      <c r="G165" s="1962">
        <v>0</v>
      </c>
      <c r="H165" s="1962">
        <v>0</v>
      </c>
      <c r="I165" s="1962">
        <v>0</v>
      </c>
    </row>
    <row r="166" spans="1:9" hidden="1" outlineLevel="2" x14ac:dyDescent="0.2">
      <c r="A166" s="2012" t="s">
        <v>5233</v>
      </c>
      <c r="B166" s="2012" t="s">
        <v>5234</v>
      </c>
      <c r="C166" s="2012" t="s">
        <v>5253</v>
      </c>
      <c r="D166" s="2012" t="s">
        <v>5254</v>
      </c>
      <c r="E166" s="2012" t="s">
        <v>918</v>
      </c>
      <c r="F166" s="2004">
        <v>-829.04768000000001</v>
      </c>
      <c r="G166" s="1962">
        <v>0</v>
      </c>
      <c r="H166" s="1962">
        <v>0</v>
      </c>
      <c r="I166" s="1962">
        <v>0</v>
      </c>
    </row>
    <row r="167" spans="1:9" hidden="1" outlineLevel="2" x14ac:dyDescent="0.2">
      <c r="A167" s="2012" t="s">
        <v>5233</v>
      </c>
      <c r="B167" s="2012" t="s">
        <v>5234</v>
      </c>
      <c r="C167" s="2012" t="s">
        <v>5255</v>
      </c>
      <c r="D167" s="2012" t="s">
        <v>5256</v>
      </c>
      <c r="E167" s="2012" t="s">
        <v>922</v>
      </c>
      <c r="F167" s="2004">
        <v>-7962.0983500000002</v>
      </c>
      <c r="G167" s="1962">
        <v>0</v>
      </c>
      <c r="H167" s="1962">
        <v>0</v>
      </c>
      <c r="I167" s="1962">
        <v>0</v>
      </c>
    </row>
    <row r="168" spans="1:9" hidden="1" outlineLevel="2" x14ac:dyDescent="0.2">
      <c r="A168" s="2012" t="s">
        <v>5233</v>
      </c>
      <c r="B168" s="2012" t="s">
        <v>5234</v>
      </c>
      <c r="C168" s="2012" t="s">
        <v>5257</v>
      </c>
      <c r="D168" s="2012" t="s">
        <v>5258</v>
      </c>
      <c r="E168" s="2012" t="s">
        <v>918</v>
      </c>
      <c r="F168" s="2004">
        <v>1.0000000000000001E-5</v>
      </c>
      <c r="G168" s="1962">
        <v>0</v>
      </c>
      <c r="H168" s="1962">
        <v>0</v>
      </c>
      <c r="I168" s="1962">
        <v>0</v>
      </c>
    </row>
    <row r="169" spans="1:9" hidden="1" outlineLevel="2" x14ac:dyDescent="0.2">
      <c r="A169" s="2012" t="s">
        <v>5233</v>
      </c>
      <c r="B169" s="2012" t="s">
        <v>5234</v>
      </c>
      <c r="C169" s="2012" t="s">
        <v>5259</v>
      </c>
      <c r="D169" s="2012" t="s">
        <v>5260</v>
      </c>
      <c r="E169" s="2012" t="s">
        <v>2225</v>
      </c>
      <c r="F169" s="2004">
        <v>-3391.7943500000001</v>
      </c>
      <c r="G169" s="1962">
        <v>-948.81339436362373</v>
      </c>
      <c r="H169" s="1962">
        <v>-253.19500830805734</v>
      </c>
      <c r="I169" s="1962">
        <v>-180.89282609200524</v>
      </c>
    </row>
    <row r="170" spans="1:9" hidden="1" outlineLevel="2" x14ac:dyDescent="0.2">
      <c r="A170" s="2012" t="s">
        <v>5233</v>
      </c>
      <c r="B170" s="2012" t="s">
        <v>5234</v>
      </c>
      <c r="C170" s="2012" t="s">
        <v>5261</v>
      </c>
      <c r="D170" s="2012" t="s">
        <v>5262</v>
      </c>
      <c r="E170" s="2012" t="s">
        <v>913</v>
      </c>
      <c r="F170" s="2004">
        <v>-12862.57602</v>
      </c>
      <c r="G170" s="1962">
        <v>-3598.1498742093095</v>
      </c>
      <c r="H170" s="1962">
        <v>-960.18204707691643</v>
      </c>
      <c r="I170" s="1962">
        <v>-685.99316084156351</v>
      </c>
    </row>
    <row r="171" spans="1:9" hidden="1" outlineLevel="2" x14ac:dyDescent="0.2">
      <c r="A171" s="2012" t="s">
        <v>5233</v>
      </c>
      <c r="B171" s="2012" t="s">
        <v>5234</v>
      </c>
      <c r="C171" s="2012" t="s">
        <v>5730</v>
      </c>
      <c r="D171" s="2012" t="s">
        <v>5263</v>
      </c>
      <c r="E171" s="2012" t="s">
        <v>936</v>
      </c>
      <c r="F171" s="2004">
        <v>351.26537999999999</v>
      </c>
      <c r="G171" s="1962">
        <v>0</v>
      </c>
      <c r="H171" s="1962">
        <v>0</v>
      </c>
      <c r="I171" s="1962">
        <v>0</v>
      </c>
    </row>
    <row r="172" spans="1:9" hidden="1" outlineLevel="2" x14ac:dyDescent="0.2">
      <c r="A172" s="2012" t="s">
        <v>5233</v>
      </c>
      <c r="B172" s="2012" t="s">
        <v>5234</v>
      </c>
      <c r="C172" s="2012" t="s">
        <v>5264</v>
      </c>
      <c r="D172" s="2012" t="s">
        <v>5265</v>
      </c>
      <c r="E172" s="2012" t="s">
        <v>936</v>
      </c>
      <c r="F172" s="2004">
        <v>59.703440000000001</v>
      </c>
      <c r="G172" s="1962">
        <v>0</v>
      </c>
      <c r="H172" s="1962">
        <v>0</v>
      </c>
      <c r="I172" s="1962">
        <v>0</v>
      </c>
    </row>
    <row r="173" spans="1:9" hidden="1" outlineLevel="2" x14ac:dyDescent="0.2">
      <c r="A173" s="2012" t="s">
        <v>5233</v>
      </c>
      <c r="B173" s="2012" t="s">
        <v>5234</v>
      </c>
      <c r="C173" s="2012" t="s">
        <v>5266</v>
      </c>
      <c r="D173" s="2012" t="s">
        <v>5267</v>
      </c>
      <c r="E173" s="2012" t="s">
        <v>936</v>
      </c>
      <c r="F173" s="2004">
        <v>-247.8809</v>
      </c>
      <c r="G173" s="1962">
        <v>0</v>
      </c>
      <c r="H173" s="1962">
        <v>0</v>
      </c>
      <c r="I173" s="1962">
        <v>0</v>
      </c>
    </row>
    <row r="174" spans="1:9" hidden="1" outlineLevel="2" x14ac:dyDescent="0.2">
      <c r="A174" s="2012" t="s">
        <v>5233</v>
      </c>
      <c r="B174" s="2012" t="s">
        <v>5234</v>
      </c>
      <c r="C174" s="2012" t="s">
        <v>5268</v>
      </c>
      <c r="D174" s="2012" t="s">
        <v>5269</v>
      </c>
      <c r="E174" s="2012" t="s">
        <v>936</v>
      </c>
      <c r="F174" s="2004">
        <v>-709.26217999999994</v>
      </c>
      <c r="G174" s="1962">
        <v>0</v>
      </c>
      <c r="H174" s="1962">
        <v>0</v>
      </c>
      <c r="I174" s="1962">
        <v>0</v>
      </c>
    </row>
    <row r="175" spans="1:9" hidden="1" outlineLevel="2" x14ac:dyDescent="0.2">
      <c r="A175" s="2012" t="s">
        <v>5233</v>
      </c>
      <c r="B175" s="2012" t="s">
        <v>5234</v>
      </c>
      <c r="C175" s="2012" t="s">
        <v>5270</v>
      </c>
      <c r="D175" s="2012" t="s">
        <v>5271</v>
      </c>
      <c r="E175" s="2012" t="s">
        <v>936</v>
      </c>
      <c r="F175" s="2004">
        <v>-9620.0433200000007</v>
      </c>
      <c r="G175" s="1962">
        <v>0</v>
      </c>
      <c r="H175" s="1962">
        <v>0</v>
      </c>
      <c r="I175" s="1962">
        <v>0</v>
      </c>
    </row>
    <row r="176" spans="1:9" hidden="1" outlineLevel="2" x14ac:dyDescent="0.2">
      <c r="A176" s="2012" t="s">
        <v>5233</v>
      </c>
      <c r="B176" s="2012" t="s">
        <v>5234</v>
      </c>
      <c r="C176" s="2012" t="s">
        <v>5272</v>
      </c>
      <c r="D176" s="2012" t="s">
        <v>5273</v>
      </c>
      <c r="E176" s="2012" t="s">
        <v>1083</v>
      </c>
      <c r="F176" s="2004">
        <v>-272.86804999999998</v>
      </c>
      <c r="G176" s="1962">
        <v>-73.930575794074812</v>
      </c>
      <c r="H176" s="1962">
        <v>-20.786839456377532</v>
      </c>
      <c r="I176" s="1962">
        <v>-14.772083357586379</v>
      </c>
    </row>
    <row r="177" spans="1:9" hidden="1" outlineLevel="2" x14ac:dyDescent="0.2">
      <c r="A177" s="2012" t="s">
        <v>5233</v>
      </c>
      <c r="B177" s="2012" t="s">
        <v>5234</v>
      </c>
      <c r="C177" s="2012" t="s">
        <v>5274</v>
      </c>
      <c r="D177" s="2012" t="s">
        <v>5275</v>
      </c>
      <c r="E177" s="2012" t="s">
        <v>1083</v>
      </c>
      <c r="F177" s="2004">
        <v>-69.425139999999999</v>
      </c>
      <c r="G177" s="1962">
        <v>-18.809972713127298</v>
      </c>
      <c r="H177" s="1962">
        <v>-5.2887439163967134</v>
      </c>
      <c r="I177" s="1962">
        <v>-3.7584244663019524</v>
      </c>
    </row>
    <row r="178" spans="1:9" hidden="1" outlineLevel="2" x14ac:dyDescent="0.2">
      <c r="A178" s="2012" t="s">
        <v>5233</v>
      </c>
      <c r="B178" s="2012" t="s">
        <v>5234</v>
      </c>
      <c r="C178" s="2012" t="s">
        <v>5276</v>
      </c>
      <c r="D178" s="2012" t="s">
        <v>5277</v>
      </c>
      <c r="E178" s="2012" t="s">
        <v>936</v>
      </c>
      <c r="F178" s="2004">
        <v>-126.73719</v>
      </c>
      <c r="G178" s="1962">
        <v>0</v>
      </c>
      <c r="H178" s="1962">
        <v>0</v>
      </c>
      <c r="I178" s="1962">
        <v>0</v>
      </c>
    </row>
    <row r="179" spans="1:9" hidden="1" outlineLevel="2" x14ac:dyDescent="0.2">
      <c r="A179" s="2012" t="s">
        <v>5233</v>
      </c>
      <c r="B179" s="2012" t="s">
        <v>5234</v>
      </c>
      <c r="C179" s="2012" t="s">
        <v>5278</v>
      </c>
      <c r="D179" s="2012" t="s">
        <v>5279</v>
      </c>
      <c r="E179" s="2012" t="s">
        <v>920</v>
      </c>
      <c r="F179" s="2004">
        <v>265.40721000000002</v>
      </c>
      <c r="G179" s="1962">
        <v>0</v>
      </c>
      <c r="H179" s="1962">
        <v>0</v>
      </c>
      <c r="I179" s="1962">
        <v>0</v>
      </c>
    </row>
    <row r="180" spans="1:9" hidden="1" outlineLevel="2" x14ac:dyDescent="0.2">
      <c r="A180" s="2012" t="s">
        <v>5233</v>
      </c>
      <c r="B180" s="2012" t="s">
        <v>5234</v>
      </c>
      <c r="C180" s="2012" t="s">
        <v>5280</v>
      </c>
      <c r="D180" s="2012" t="s">
        <v>5281</v>
      </c>
      <c r="E180" s="2012" t="s">
        <v>936</v>
      </c>
      <c r="F180" s="2004">
        <v>-318.52706000000001</v>
      </c>
      <c r="G180" s="1962">
        <v>0</v>
      </c>
      <c r="H180" s="1962">
        <v>0</v>
      </c>
      <c r="I180" s="1962">
        <v>0</v>
      </c>
    </row>
    <row r="181" spans="1:9" hidden="1" outlineLevel="2" x14ac:dyDescent="0.2">
      <c r="A181" s="2012" t="s">
        <v>5233</v>
      </c>
      <c r="B181" s="2012" t="s">
        <v>5234</v>
      </c>
      <c r="C181" s="2012" t="s">
        <v>5282</v>
      </c>
      <c r="D181" s="2012" t="s">
        <v>5283</v>
      </c>
      <c r="E181" s="2012" t="s">
        <v>936</v>
      </c>
      <c r="F181" s="2004">
        <v>56.046509999999998</v>
      </c>
      <c r="G181" s="1962">
        <v>0</v>
      </c>
      <c r="H181" s="1962">
        <v>0</v>
      </c>
      <c r="I181" s="1962">
        <v>0</v>
      </c>
    </row>
    <row r="182" spans="1:9" hidden="1" outlineLevel="2" x14ac:dyDescent="0.2">
      <c r="A182" s="2012" t="s">
        <v>5233</v>
      </c>
      <c r="B182" s="2012" t="s">
        <v>5234</v>
      </c>
      <c r="C182" s="2012" t="s">
        <v>5284</v>
      </c>
      <c r="D182" s="2012" t="s">
        <v>5285</v>
      </c>
      <c r="E182" s="2012" t="s">
        <v>936</v>
      </c>
      <c r="F182" s="2004">
        <v>-1916.8596600000001</v>
      </c>
      <c r="G182" s="1962">
        <v>0</v>
      </c>
      <c r="H182" s="1962">
        <v>0</v>
      </c>
      <c r="I182" s="1962">
        <v>0</v>
      </c>
    </row>
    <row r="183" spans="1:9" hidden="1" outlineLevel="2" x14ac:dyDescent="0.2">
      <c r="A183" s="2012" t="s">
        <v>5233</v>
      </c>
      <c r="B183" s="2012" t="s">
        <v>5234</v>
      </c>
      <c r="C183" s="2012" t="s">
        <v>5286</v>
      </c>
      <c r="D183" s="2012" t="s">
        <v>5287</v>
      </c>
      <c r="E183" s="2012" t="s">
        <v>936</v>
      </c>
      <c r="F183" s="2004">
        <v>37.302930000000003</v>
      </c>
      <c r="G183" s="1962">
        <v>0</v>
      </c>
      <c r="H183" s="1962">
        <v>0</v>
      </c>
      <c r="I183" s="1962">
        <v>0</v>
      </c>
    </row>
    <row r="184" spans="1:9" hidden="1" outlineLevel="2" x14ac:dyDescent="0.2">
      <c r="A184" s="2012" t="s">
        <v>5233</v>
      </c>
      <c r="B184" s="2012" t="s">
        <v>5234</v>
      </c>
      <c r="C184" s="2012" t="s">
        <v>5288</v>
      </c>
      <c r="D184" s="2012" t="s">
        <v>5289</v>
      </c>
      <c r="E184" s="2012" t="s">
        <v>936</v>
      </c>
      <c r="F184" s="2004">
        <v>230.22345000000001</v>
      </c>
      <c r="G184" s="1962">
        <v>0</v>
      </c>
      <c r="H184" s="1962">
        <v>0</v>
      </c>
      <c r="I184" s="1962">
        <v>0</v>
      </c>
    </row>
    <row r="185" spans="1:9" hidden="1" outlineLevel="2" x14ac:dyDescent="0.2">
      <c r="A185" s="2012" t="s">
        <v>5233</v>
      </c>
      <c r="B185" s="2012" t="s">
        <v>5234</v>
      </c>
      <c r="C185" s="2012" t="s">
        <v>5290</v>
      </c>
      <c r="D185" s="2012" t="s">
        <v>5291</v>
      </c>
      <c r="E185" s="2012" t="s">
        <v>923</v>
      </c>
      <c r="F185" s="2004">
        <v>-50.585360000000001</v>
      </c>
      <c r="G185" s="1962">
        <v>0</v>
      </c>
      <c r="H185" s="1962">
        <v>0</v>
      </c>
      <c r="I185" s="1962">
        <v>0</v>
      </c>
    </row>
    <row r="186" spans="1:9" hidden="1" outlineLevel="2" x14ac:dyDescent="0.2">
      <c r="A186" s="2012" t="s">
        <v>5233</v>
      </c>
      <c r="B186" s="2012" t="s">
        <v>5234</v>
      </c>
      <c r="C186" s="2012" t="s">
        <v>5292</v>
      </c>
      <c r="D186" s="2012" t="s">
        <v>5293</v>
      </c>
      <c r="E186" s="2012" t="s">
        <v>936</v>
      </c>
      <c r="F186" s="2004">
        <v>953.90371000000005</v>
      </c>
      <c r="G186" s="1962">
        <v>0</v>
      </c>
      <c r="H186" s="1962">
        <v>0</v>
      </c>
      <c r="I186" s="1962">
        <v>0</v>
      </c>
    </row>
    <row r="187" spans="1:9" hidden="1" outlineLevel="2" x14ac:dyDescent="0.2">
      <c r="A187" s="2012" t="s">
        <v>5233</v>
      </c>
      <c r="B187" s="2012" t="s">
        <v>5234</v>
      </c>
      <c r="C187" s="2012" t="s">
        <v>5294</v>
      </c>
      <c r="D187" s="2012" t="s">
        <v>5295</v>
      </c>
      <c r="E187" s="2012" t="s">
        <v>936</v>
      </c>
      <c r="F187" s="2004">
        <v>-6.5299999999999997E-2</v>
      </c>
      <c r="G187" s="1962">
        <v>0</v>
      </c>
      <c r="H187" s="1962">
        <v>0</v>
      </c>
      <c r="I187" s="1962">
        <v>0</v>
      </c>
    </row>
    <row r="188" spans="1:9" hidden="1" outlineLevel="2" x14ac:dyDescent="0.2">
      <c r="A188" s="2012" t="s">
        <v>5233</v>
      </c>
      <c r="B188" s="2012" t="s">
        <v>5234</v>
      </c>
      <c r="C188" s="2012" t="s">
        <v>5296</v>
      </c>
      <c r="D188" s="2012" t="s">
        <v>5297</v>
      </c>
      <c r="E188" s="2012" t="s">
        <v>936</v>
      </c>
      <c r="F188" s="2004">
        <v>-1834.8848700000001</v>
      </c>
      <c r="G188" s="1962">
        <v>0</v>
      </c>
      <c r="H188" s="1962">
        <v>0</v>
      </c>
      <c r="I188" s="1962">
        <v>0</v>
      </c>
    </row>
    <row r="189" spans="1:9" hidden="1" outlineLevel="2" x14ac:dyDescent="0.2">
      <c r="A189" s="2012" t="s">
        <v>5233</v>
      </c>
      <c r="B189" s="2012" t="s">
        <v>5234</v>
      </c>
      <c r="C189" s="2012" t="s">
        <v>5298</v>
      </c>
      <c r="D189" s="2012" t="s">
        <v>5299</v>
      </c>
      <c r="E189" s="2012" t="s">
        <v>936</v>
      </c>
      <c r="F189" s="2004">
        <v>-15.49938</v>
      </c>
      <c r="G189" s="1962">
        <v>0</v>
      </c>
      <c r="H189" s="1962">
        <v>0</v>
      </c>
      <c r="I189" s="1962">
        <v>0</v>
      </c>
    </row>
    <row r="190" spans="1:9" hidden="1" outlineLevel="2" x14ac:dyDescent="0.2">
      <c r="A190" s="2012" t="s">
        <v>5233</v>
      </c>
      <c r="B190" s="2012" t="s">
        <v>5234</v>
      </c>
      <c r="C190" s="2012" t="s">
        <v>5300</v>
      </c>
      <c r="D190" s="2012" t="s">
        <v>5301</v>
      </c>
      <c r="E190" s="2012" t="s">
        <v>912</v>
      </c>
      <c r="F190" s="2004">
        <v>-428.17655000000002</v>
      </c>
      <c r="G190" s="1962">
        <v>-428.17655000000002</v>
      </c>
      <c r="H190" s="1962">
        <v>0</v>
      </c>
      <c r="I190" s="1962">
        <v>0</v>
      </c>
    </row>
    <row r="191" spans="1:9" hidden="1" outlineLevel="2" x14ac:dyDescent="0.2">
      <c r="A191" s="2012" t="s">
        <v>5233</v>
      </c>
      <c r="B191" s="2012" t="s">
        <v>5234</v>
      </c>
      <c r="C191" s="2012" t="s">
        <v>5302</v>
      </c>
      <c r="D191" s="2012" t="s">
        <v>5303</v>
      </c>
      <c r="E191" s="2012" t="s">
        <v>936</v>
      </c>
      <c r="F191" s="2004">
        <v>-542.95169999999996</v>
      </c>
      <c r="G191" s="1962">
        <v>0</v>
      </c>
      <c r="H191" s="1962">
        <v>0</v>
      </c>
      <c r="I191" s="1962">
        <v>0</v>
      </c>
    </row>
    <row r="192" spans="1:9" hidden="1" outlineLevel="2" x14ac:dyDescent="0.2">
      <c r="A192" s="2012" t="s">
        <v>5233</v>
      </c>
      <c r="B192" s="2012" t="s">
        <v>5234</v>
      </c>
      <c r="C192" s="2012" t="s">
        <v>5304</v>
      </c>
      <c r="D192" s="2012" t="s">
        <v>5305</v>
      </c>
      <c r="E192" s="2012" t="s">
        <v>936</v>
      </c>
      <c r="F192" s="2004">
        <v>-879.66263000000004</v>
      </c>
      <c r="G192" s="1962">
        <v>0</v>
      </c>
      <c r="H192" s="1962">
        <v>0</v>
      </c>
      <c r="I192" s="1962">
        <v>0</v>
      </c>
    </row>
    <row r="193" spans="1:9" hidden="1" outlineLevel="2" x14ac:dyDescent="0.2">
      <c r="A193" s="2012" t="s">
        <v>5233</v>
      </c>
      <c r="B193" s="2012" t="s">
        <v>5234</v>
      </c>
      <c r="C193" s="2012" t="s">
        <v>5306</v>
      </c>
      <c r="D193" s="2012" t="s">
        <v>5307</v>
      </c>
      <c r="E193" s="2012" t="s">
        <v>936</v>
      </c>
      <c r="F193" s="2004">
        <v>-73.759799999999998</v>
      </c>
      <c r="G193" s="1962">
        <v>0</v>
      </c>
      <c r="H193" s="1962">
        <v>0</v>
      </c>
      <c r="I193" s="1962">
        <v>0</v>
      </c>
    </row>
    <row r="194" spans="1:9" hidden="1" outlineLevel="2" x14ac:dyDescent="0.2">
      <c r="A194" s="2012" t="s">
        <v>5233</v>
      </c>
      <c r="B194" s="2012" t="s">
        <v>5234</v>
      </c>
      <c r="C194" s="2012" t="s">
        <v>5308</v>
      </c>
      <c r="D194" s="2012" t="s">
        <v>5309</v>
      </c>
      <c r="E194" s="2012" t="s">
        <v>936</v>
      </c>
      <c r="F194" s="2004">
        <v>-36.962679999999999</v>
      </c>
      <c r="G194" s="1962">
        <v>0</v>
      </c>
      <c r="H194" s="1962">
        <v>0</v>
      </c>
      <c r="I194" s="1962">
        <v>0</v>
      </c>
    </row>
    <row r="195" spans="1:9" hidden="1" outlineLevel="2" x14ac:dyDescent="0.2">
      <c r="A195" s="2012" t="s">
        <v>5233</v>
      </c>
      <c r="B195" s="2012" t="s">
        <v>5234</v>
      </c>
      <c r="C195" s="2012" t="s">
        <v>5310</v>
      </c>
      <c r="D195" s="2012" t="s">
        <v>5311</v>
      </c>
      <c r="E195" s="2012" t="s">
        <v>918</v>
      </c>
      <c r="F195" s="2004">
        <v>-4059.62608</v>
      </c>
      <c r="G195" s="1962">
        <v>0</v>
      </c>
      <c r="H195" s="1962">
        <v>0</v>
      </c>
      <c r="I195" s="1962">
        <v>0</v>
      </c>
    </row>
    <row r="196" spans="1:9" hidden="1" outlineLevel="2" x14ac:dyDescent="0.2">
      <c r="A196" s="2012" t="s">
        <v>5233</v>
      </c>
      <c r="B196" s="2012" t="s">
        <v>5234</v>
      </c>
      <c r="C196" s="2012" t="s">
        <v>5312</v>
      </c>
      <c r="D196" s="2012" t="s">
        <v>5313</v>
      </c>
      <c r="E196" s="2012" t="s">
        <v>1083</v>
      </c>
      <c r="F196" s="2004">
        <v>-1163.06792</v>
      </c>
      <c r="G196" s="1962">
        <v>-315.1203704985503</v>
      </c>
      <c r="H196" s="1962">
        <v>-88.601454548830276</v>
      </c>
      <c r="I196" s="1962">
        <v>-62.964265199881794</v>
      </c>
    </row>
    <row r="197" spans="1:9" hidden="1" outlineLevel="2" x14ac:dyDescent="0.2">
      <c r="A197" s="2012" t="s">
        <v>5233</v>
      </c>
      <c r="B197" s="2012" t="s">
        <v>5234</v>
      </c>
      <c r="C197" s="2012" t="s">
        <v>5314</v>
      </c>
      <c r="D197" s="2012" t="s">
        <v>5315</v>
      </c>
      <c r="E197" s="2012" t="s">
        <v>913</v>
      </c>
      <c r="F197" s="2004">
        <v>-15972.56841</v>
      </c>
      <c r="G197" s="1962">
        <v>-4468.1325829195057</v>
      </c>
      <c r="H197" s="1962">
        <v>-1192.3407417878871</v>
      </c>
      <c r="I197" s="1962">
        <v>-851.85678773030145</v>
      </c>
    </row>
    <row r="198" spans="1:9" hidden="1" outlineLevel="2" x14ac:dyDescent="0.2">
      <c r="A198" s="2012" t="s">
        <v>5233</v>
      </c>
      <c r="B198" s="2012" t="s">
        <v>5234</v>
      </c>
      <c r="C198" s="2012" t="s">
        <v>5316</v>
      </c>
      <c r="D198" s="2012" t="s">
        <v>5317</v>
      </c>
      <c r="E198" s="2012" t="s">
        <v>936</v>
      </c>
      <c r="F198" s="2004">
        <v>-103.40598</v>
      </c>
      <c r="G198" s="1962">
        <v>0</v>
      </c>
      <c r="H198" s="1962">
        <v>0</v>
      </c>
      <c r="I198" s="1962">
        <v>0</v>
      </c>
    </row>
    <row r="199" spans="1:9" hidden="1" outlineLevel="2" x14ac:dyDescent="0.2">
      <c r="A199" s="2012" t="s">
        <v>5233</v>
      </c>
      <c r="B199" s="2012" t="s">
        <v>5234</v>
      </c>
      <c r="C199" s="2012" t="s">
        <v>5318</v>
      </c>
      <c r="D199" s="2012" t="s">
        <v>5319</v>
      </c>
      <c r="E199" s="2012" t="s">
        <v>923</v>
      </c>
      <c r="F199" s="2004">
        <v>-159.59321</v>
      </c>
      <c r="G199" s="1962">
        <v>0</v>
      </c>
      <c r="H199" s="1962">
        <v>0</v>
      </c>
      <c r="I199" s="1962">
        <v>0</v>
      </c>
    </row>
    <row r="200" spans="1:9" hidden="1" outlineLevel="2" x14ac:dyDescent="0.2">
      <c r="A200" s="2012" t="s">
        <v>5233</v>
      </c>
      <c r="B200" s="2012" t="s">
        <v>5234</v>
      </c>
      <c r="C200" s="2012" t="s">
        <v>5320</v>
      </c>
      <c r="D200" s="2012" t="s">
        <v>5321</v>
      </c>
      <c r="E200" s="2012" t="s">
        <v>936</v>
      </c>
      <c r="F200" s="2004">
        <v>-197.62051</v>
      </c>
      <c r="G200" s="1962">
        <v>0</v>
      </c>
      <c r="H200" s="1962">
        <v>0</v>
      </c>
      <c r="I200" s="1962">
        <v>0</v>
      </c>
    </row>
    <row r="201" spans="1:9" hidden="1" outlineLevel="2" x14ac:dyDescent="0.2">
      <c r="A201" s="2012" t="s">
        <v>5233</v>
      </c>
      <c r="B201" s="2012" t="s">
        <v>5234</v>
      </c>
      <c r="C201" s="2012" t="s">
        <v>5322</v>
      </c>
      <c r="D201" s="2012" t="s">
        <v>5323</v>
      </c>
      <c r="E201" s="2012" t="s">
        <v>936</v>
      </c>
      <c r="F201" s="2004">
        <v>-31.185549999999999</v>
      </c>
      <c r="G201" s="1962">
        <v>0</v>
      </c>
      <c r="H201" s="1962">
        <v>0</v>
      </c>
      <c r="I201" s="1962">
        <v>0</v>
      </c>
    </row>
    <row r="202" spans="1:9" hidden="1" outlineLevel="2" x14ac:dyDescent="0.2">
      <c r="A202" s="2012" t="s">
        <v>5233</v>
      </c>
      <c r="B202" s="2012" t="s">
        <v>5234</v>
      </c>
      <c r="C202" s="2012" t="s">
        <v>5324</v>
      </c>
      <c r="D202" s="2012" t="s">
        <v>5325</v>
      </c>
      <c r="E202" s="2012" t="s">
        <v>921</v>
      </c>
      <c r="F202" s="2004">
        <v>1033.33177</v>
      </c>
      <c r="G202" s="1962">
        <v>0</v>
      </c>
      <c r="H202" s="1962">
        <v>1033.33177</v>
      </c>
      <c r="I202" s="1962">
        <v>0</v>
      </c>
    </row>
    <row r="203" spans="1:9" hidden="1" outlineLevel="2" x14ac:dyDescent="0.2">
      <c r="A203" s="2012" t="s">
        <v>5233</v>
      </c>
      <c r="B203" s="2012" t="s">
        <v>5234</v>
      </c>
      <c r="C203" s="2012" t="s">
        <v>5326</v>
      </c>
      <c r="D203" s="2012" t="s">
        <v>5327</v>
      </c>
      <c r="E203" s="2012" t="s">
        <v>936</v>
      </c>
      <c r="F203" s="2004">
        <v>-37086.64039</v>
      </c>
      <c r="G203" s="1962">
        <v>0</v>
      </c>
      <c r="H203" s="1962">
        <v>0</v>
      </c>
      <c r="I203" s="1962">
        <v>0</v>
      </c>
    </row>
    <row r="204" spans="1:9" hidden="1" outlineLevel="2" x14ac:dyDescent="0.2">
      <c r="A204" s="2012" t="s">
        <v>5233</v>
      </c>
      <c r="B204" s="2012" t="s">
        <v>5234</v>
      </c>
      <c r="C204" s="2012" t="s">
        <v>5328</v>
      </c>
      <c r="D204" s="2012" t="s">
        <v>5329</v>
      </c>
      <c r="E204" s="2012" t="s">
        <v>936</v>
      </c>
      <c r="F204" s="2004">
        <v>-17392.274000000001</v>
      </c>
      <c r="G204" s="1962">
        <v>0</v>
      </c>
      <c r="H204" s="1962">
        <v>0</v>
      </c>
      <c r="I204" s="1962">
        <v>0</v>
      </c>
    </row>
    <row r="205" spans="1:9" hidden="1" outlineLevel="2" x14ac:dyDescent="0.2">
      <c r="A205" s="2012" t="s">
        <v>5233</v>
      </c>
      <c r="B205" s="2012" t="s">
        <v>5234</v>
      </c>
      <c r="C205" s="2012" t="s">
        <v>5330</v>
      </c>
      <c r="D205" s="2012" t="s">
        <v>5331</v>
      </c>
      <c r="E205" s="2012" t="s">
        <v>922</v>
      </c>
      <c r="F205" s="2004">
        <v>-52.246229999999997</v>
      </c>
      <c r="G205" s="1962">
        <v>0</v>
      </c>
      <c r="H205" s="1962">
        <v>0</v>
      </c>
      <c r="I205" s="1962">
        <v>0</v>
      </c>
    </row>
    <row r="206" spans="1:9" hidden="1" outlineLevel="2" x14ac:dyDescent="0.2">
      <c r="A206" s="2012" t="s">
        <v>5233</v>
      </c>
      <c r="B206" s="2012" t="s">
        <v>5234</v>
      </c>
      <c r="C206" s="2012" t="s">
        <v>5332</v>
      </c>
      <c r="D206" s="2012" t="s">
        <v>5333</v>
      </c>
      <c r="E206" s="2012" t="s">
        <v>936</v>
      </c>
      <c r="F206" s="2004">
        <v>-0.54568000000000005</v>
      </c>
      <c r="G206" s="1962">
        <v>0</v>
      </c>
      <c r="H206" s="1962">
        <v>0</v>
      </c>
      <c r="I206" s="1962">
        <v>0</v>
      </c>
    </row>
    <row r="207" spans="1:9" hidden="1" outlineLevel="2" x14ac:dyDescent="0.2">
      <c r="A207" s="2012" t="s">
        <v>5233</v>
      </c>
      <c r="B207" s="2012" t="s">
        <v>5234</v>
      </c>
      <c r="C207" s="2012" t="s">
        <v>5334</v>
      </c>
      <c r="D207" s="2012" t="s">
        <v>5335</v>
      </c>
      <c r="E207" s="2012" t="s">
        <v>936</v>
      </c>
      <c r="F207" s="2004">
        <v>-60105.382409999998</v>
      </c>
      <c r="G207" s="1962">
        <v>0</v>
      </c>
      <c r="H207" s="1962">
        <v>0</v>
      </c>
      <c r="I207" s="1962">
        <v>0</v>
      </c>
    </row>
    <row r="208" spans="1:9" hidden="1" outlineLevel="2" x14ac:dyDescent="0.2">
      <c r="A208" s="2012" t="s">
        <v>5233</v>
      </c>
      <c r="B208" s="2012" t="s">
        <v>5234</v>
      </c>
      <c r="C208" s="2012" t="s">
        <v>5336</v>
      </c>
      <c r="D208" s="2012" t="s">
        <v>5337</v>
      </c>
      <c r="E208" s="2012" t="s">
        <v>913</v>
      </c>
      <c r="F208" s="2004">
        <v>-35269.669439999998</v>
      </c>
      <c r="G208" s="1962">
        <v>-9866.2629057829981</v>
      </c>
      <c r="H208" s="1962">
        <v>-2632.8554521246947</v>
      </c>
      <c r="I208" s="1962">
        <v>-1881.0191662511702</v>
      </c>
    </row>
    <row r="209" spans="1:9" hidden="1" outlineLevel="2" x14ac:dyDescent="0.2">
      <c r="A209" s="2012" t="s">
        <v>5233</v>
      </c>
      <c r="B209" s="2012" t="s">
        <v>5234</v>
      </c>
      <c r="C209" s="2012" t="s">
        <v>5338</v>
      </c>
      <c r="D209" s="2012" t="s">
        <v>5339</v>
      </c>
      <c r="E209" s="2012" t="s">
        <v>936</v>
      </c>
      <c r="F209" s="2004">
        <v>-660.96987000000001</v>
      </c>
      <c r="G209" s="1962">
        <v>0</v>
      </c>
      <c r="H209" s="1962">
        <v>0</v>
      </c>
      <c r="I209" s="1962">
        <v>0</v>
      </c>
    </row>
    <row r="210" spans="1:9" hidden="1" outlineLevel="2" x14ac:dyDescent="0.2">
      <c r="A210" s="2012" t="s">
        <v>5233</v>
      </c>
      <c r="B210" s="2012" t="s">
        <v>5234</v>
      </c>
      <c r="C210" s="2012" t="s">
        <v>5340</v>
      </c>
      <c r="D210" s="2012" t="s">
        <v>5341</v>
      </c>
      <c r="E210" s="2012" t="s">
        <v>919</v>
      </c>
      <c r="F210" s="2004">
        <v>-9.8346300000000006</v>
      </c>
      <c r="G210" s="1962">
        <v>0</v>
      </c>
      <c r="H210" s="1962">
        <v>0</v>
      </c>
      <c r="I210" s="1962">
        <v>-9.8346300000000006</v>
      </c>
    </row>
    <row r="211" spans="1:9" hidden="1" outlineLevel="2" x14ac:dyDescent="0.2">
      <c r="A211" s="2012" t="s">
        <v>5233</v>
      </c>
      <c r="B211" s="2012" t="s">
        <v>5234</v>
      </c>
      <c r="C211" s="2012" t="s">
        <v>5342</v>
      </c>
      <c r="D211" s="2012" t="s">
        <v>5343</v>
      </c>
      <c r="E211" s="2012" t="s">
        <v>1083</v>
      </c>
      <c r="F211" s="2004">
        <v>-531.18728999999996</v>
      </c>
      <c r="G211" s="1962">
        <v>-143.91931266483635</v>
      </c>
      <c r="H211" s="1962">
        <v>-40.465363821445038</v>
      </c>
      <c r="I211" s="1962">
        <v>-28.756547079698077</v>
      </c>
    </row>
    <row r="212" spans="1:9" hidden="1" outlineLevel="2" x14ac:dyDescent="0.2">
      <c r="A212" s="2012" t="s">
        <v>5233</v>
      </c>
      <c r="B212" s="2012" t="s">
        <v>5234</v>
      </c>
      <c r="C212" s="2012" t="s">
        <v>5344</v>
      </c>
      <c r="D212" s="2012" t="s">
        <v>5345</v>
      </c>
      <c r="E212" s="2012" t="s">
        <v>912</v>
      </c>
      <c r="F212" s="2004">
        <v>-372.88188000000002</v>
      </c>
      <c r="G212" s="1962">
        <v>-372.88188000000002</v>
      </c>
      <c r="H212" s="1962">
        <v>0</v>
      </c>
      <c r="I212" s="1962">
        <v>0</v>
      </c>
    </row>
    <row r="213" spans="1:9" hidden="1" outlineLevel="2" x14ac:dyDescent="0.2">
      <c r="A213" s="2012" t="s">
        <v>5233</v>
      </c>
      <c r="B213" s="2012" t="s">
        <v>5234</v>
      </c>
      <c r="C213" s="2012" t="s">
        <v>5346</v>
      </c>
      <c r="D213" s="2012" t="s">
        <v>5347</v>
      </c>
      <c r="E213" s="2012" t="s">
        <v>920</v>
      </c>
      <c r="F213" s="2004">
        <v>-849.25229000000002</v>
      </c>
      <c r="G213" s="1962">
        <v>0</v>
      </c>
      <c r="H213" s="1962">
        <v>0</v>
      </c>
      <c r="I213" s="1962">
        <v>0</v>
      </c>
    </row>
    <row r="214" spans="1:9" hidden="1" outlineLevel="2" x14ac:dyDescent="0.2">
      <c r="A214" s="2012" t="s">
        <v>5233</v>
      </c>
      <c r="B214" s="2012" t="s">
        <v>5234</v>
      </c>
      <c r="C214" s="2012" t="s">
        <v>5348</v>
      </c>
      <c r="D214" s="2012" t="s">
        <v>5349</v>
      </c>
      <c r="E214" s="2012" t="s">
        <v>919</v>
      </c>
      <c r="F214" s="2004">
        <v>-76.830100000000002</v>
      </c>
      <c r="G214" s="1962">
        <v>0</v>
      </c>
      <c r="H214" s="1962">
        <v>0</v>
      </c>
      <c r="I214" s="1962">
        <v>-76.830100000000002</v>
      </c>
    </row>
    <row r="215" spans="1:9" hidden="1" outlineLevel="2" x14ac:dyDescent="0.2">
      <c r="A215" s="2012" t="s">
        <v>5233</v>
      </c>
      <c r="B215" s="2012" t="s">
        <v>5234</v>
      </c>
      <c r="C215" s="2012" t="s">
        <v>5350</v>
      </c>
      <c r="D215" s="2012" t="s">
        <v>5351</v>
      </c>
      <c r="E215" s="2012" t="s">
        <v>913</v>
      </c>
      <c r="F215" s="2004">
        <v>-545.00385000000006</v>
      </c>
      <c r="G215" s="1962">
        <v>-152.45822697350243</v>
      </c>
      <c r="H215" s="1962">
        <v>-40.684145348810205</v>
      </c>
      <c r="I215" s="1962">
        <v>-29.066410425951471</v>
      </c>
    </row>
    <row r="216" spans="1:9" hidden="1" outlineLevel="2" x14ac:dyDescent="0.2">
      <c r="A216" s="2012" t="s">
        <v>5233</v>
      </c>
      <c r="B216" s="2012" t="s">
        <v>5234</v>
      </c>
      <c r="C216" s="2012" t="s">
        <v>5352</v>
      </c>
      <c r="D216" s="2012" t="s">
        <v>5353</v>
      </c>
      <c r="E216" s="2012" t="s">
        <v>1343</v>
      </c>
      <c r="F216" s="2004">
        <v>-491.19400999999999</v>
      </c>
      <c r="G216" s="1962">
        <v>-133.81235194911548</v>
      </c>
      <c r="H216" s="1962">
        <v>-35.086386484675764</v>
      </c>
      <c r="I216" s="1962">
        <v>-26.25494823502018</v>
      </c>
    </row>
    <row r="217" spans="1:9" hidden="1" outlineLevel="2" x14ac:dyDescent="0.2">
      <c r="A217" s="2012" t="s">
        <v>5233</v>
      </c>
      <c r="B217" s="2012" t="s">
        <v>5234</v>
      </c>
      <c r="C217" s="2012" t="s">
        <v>5354</v>
      </c>
      <c r="D217" s="2012" t="s">
        <v>5355</v>
      </c>
      <c r="E217" s="2012" t="s">
        <v>936</v>
      </c>
      <c r="F217" s="2004">
        <v>-329.84706</v>
      </c>
      <c r="G217" s="1962">
        <v>0</v>
      </c>
      <c r="H217" s="1962">
        <v>0</v>
      </c>
      <c r="I217" s="1962">
        <v>0</v>
      </c>
    </row>
    <row r="218" spans="1:9" hidden="1" outlineLevel="2" x14ac:dyDescent="0.2">
      <c r="A218" s="2012" t="s">
        <v>5233</v>
      </c>
      <c r="B218" s="2012" t="s">
        <v>5234</v>
      </c>
      <c r="C218" s="2012" t="s">
        <v>5356</v>
      </c>
      <c r="D218" s="2012" t="s">
        <v>5357</v>
      </c>
      <c r="E218" s="2012" t="s">
        <v>2225</v>
      </c>
      <c r="F218" s="2004">
        <v>-6470.2336800000003</v>
      </c>
      <c r="G218" s="1962">
        <v>-1809.969516650277</v>
      </c>
      <c r="H218" s="1962">
        <v>-482.998289788021</v>
      </c>
      <c r="I218" s="1962">
        <v>-345.07364983695874</v>
      </c>
    </row>
    <row r="219" spans="1:9" hidden="1" outlineLevel="2" x14ac:dyDescent="0.2">
      <c r="A219" s="2012" t="s">
        <v>5233</v>
      </c>
      <c r="B219" s="2012" t="s">
        <v>5234</v>
      </c>
      <c r="C219" s="2012" t="s">
        <v>5358</v>
      </c>
      <c r="D219" s="2012" t="s">
        <v>5359</v>
      </c>
      <c r="E219" s="2012" t="s">
        <v>913</v>
      </c>
      <c r="F219" s="2004">
        <v>-62951.760179999997</v>
      </c>
      <c r="G219" s="1962">
        <v>-17609.992556757043</v>
      </c>
      <c r="H219" s="1962">
        <v>-4699.3036124911087</v>
      </c>
      <c r="I219" s="1962">
        <v>-3357.3738945659711</v>
      </c>
    </row>
    <row r="220" spans="1:9" hidden="1" outlineLevel="2" x14ac:dyDescent="0.2">
      <c r="A220" s="2012" t="s">
        <v>5233</v>
      </c>
      <c r="B220" s="2012" t="s">
        <v>5234</v>
      </c>
      <c r="C220" s="2012" t="s">
        <v>5360</v>
      </c>
      <c r="D220" s="2012" t="s">
        <v>5361</v>
      </c>
      <c r="E220" s="2012" t="s">
        <v>936</v>
      </c>
      <c r="F220" s="2004">
        <v>-151.6309</v>
      </c>
      <c r="G220" s="1962">
        <v>0</v>
      </c>
      <c r="H220" s="1962">
        <v>0</v>
      </c>
      <c r="I220" s="1962">
        <v>0</v>
      </c>
    </row>
    <row r="221" spans="1:9" hidden="1" outlineLevel="2" x14ac:dyDescent="0.2">
      <c r="A221" s="2012" t="s">
        <v>5233</v>
      </c>
      <c r="B221" s="2012" t="s">
        <v>5234</v>
      </c>
      <c r="C221" s="2012" t="s">
        <v>5362</v>
      </c>
      <c r="D221" s="2012" t="s">
        <v>5363</v>
      </c>
      <c r="E221" s="2012" t="s">
        <v>936</v>
      </c>
      <c r="F221" s="2004">
        <v>-919.10779000000002</v>
      </c>
      <c r="G221" s="1962">
        <v>0</v>
      </c>
      <c r="H221" s="1962">
        <v>0</v>
      </c>
      <c r="I221" s="1962">
        <v>0</v>
      </c>
    </row>
    <row r="222" spans="1:9" hidden="1" outlineLevel="2" x14ac:dyDescent="0.2">
      <c r="A222" s="2012" t="s">
        <v>5233</v>
      </c>
      <c r="B222" s="2012" t="s">
        <v>5234</v>
      </c>
      <c r="C222" s="2012" t="s">
        <v>5364</v>
      </c>
      <c r="D222" s="2012" t="s">
        <v>5365</v>
      </c>
      <c r="E222" s="2012" t="s">
        <v>936</v>
      </c>
      <c r="F222" s="2004">
        <v>-4710.0543100000004</v>
      </c>
      <c r="G222" s="1962">
        <v>0</v>
      </c>
      <c r="H222" s="1962">
        <v>0</v>
      </c>
      <c r="I222" s="1962">
        <v>0</v>
      </c>
    </row>
    <row r="223" spans="1:9" hidden="1" outlineLevel="2" x14ac:dyDescent="0.2">
      <c r="A223" s="2012" t="s">
        <v>5233</v>
      </c>
      <c r="B223" s="2012" t="s">
        <v>5234</v>
      </c>
      <c r="C223" s="2012" t="s">
        <v>5181</v>
      </c>
      <c r="D223" s="2012" t="s">
        <v>5182</v>
      </c>
      <c r="E223" s="2012" t="s">
        <v>906</v>
      </c>
      <c r="F223" s="2004">
        <v>-39417.36116</v>
      </c>
      <c r="G223" s="1962">
        <v>-10184.343511246274</v>
      </c>
      <c r="H223" s="1962">
        <v>-2814.8372005747519</v>
      </c>
      <c r="I223" s="1962">
        <v>-2326.1107346055273</v>
      </c>
    </row>
    <row r="224" spans="1:9" hidden="1" outlineLevel="2" x14ac:dyDescent="0.2">
      <c r="A224" s="2012" t="s">
        <v>5233</v>
      </c>
      <c r="B224" s="2012" t="s">
        <v>5234</v>
      </c>
      <c r="C224" s="2012" t="s">
        <v>5366</v>
      </c>
      <c r="D224" s="2012" t="s">
        <v>5367</v>
      </c>
      <c r="E224" s="2012" t="s">
        <v>918</v>
      </c>
      <c r="F224" s="2004">
        <v>315.62583000000001</v>
      </c>
      <c r="G224" s="1962">
        <v>0</v>
      </c>
      <c r="H224" s="1962">
        <v>0</v>
      </c>
      <c r="I224" s="1962">
        <v>0</v>
      </c>
    </row>
    <row r="225" spans="1:9" hidden="1" outlineLevel="2" x14ac:dyDescent="0.2">
      <c r="A225" s="2012" t="s">
        <v>5233</v>
      </c>
      <c r="B225" s="2012" t="s">
        <v>5234</v>
      </c>
      <c r="C225" s="2012" t="s">
        <v>5368</v>
      </c>
      <c r="D225" s="2012" t="s">
        <v>5369</v>
      </c>
      <c r="E225" s="2012" t="s">
        <v>919</v>
      </c>
      <c r="F225" s="2004">
        <v>234.69282999999999</v>
      </c>
      <c r="G225" s="1962">
        <v>0</v>
      </c>
      <c r="H225" s="1962">
        <v>0</v>
      </c>
      <c r="I225" s="1962">
        <v>234.69282999999999</v>
      </c>
    </row>
    <row r="226" spans="1:9" hidden="1" outlineLevel="2" x14ac:dyDescent="0.2">
      <c r="A226" s="2012" t="s">
        <v>5233</v>
      </c>
      <c r="B226" s="2012" t="s">
        <v>5234</v>
      </c>
      <c r="C226" s="2012" t="s">
        <v>5370</v>
      </c>
      <c r="D226" s="2012" t="s">
        <v>5371</v>
      </c>
      <c r="E226" s="2012" t="s">
        <v>912</v>
      </c>
      <c r="F226" s="2004">
        <v>150.54244</v>
      </c>
      <c r="G226" s="1962">
        <v>150.54244</v>
      </c>
      <c r="H226" s="1962">
        <v>0</v>
      </c>
      <c r="I226" s="1962">
        <v>0</v>
      </c>
    </row>
    <row r="227" spans="1:9" hidden="1" outlineLevel="2" x14ac:dyDescent="0.2">
      <c r="A227" s="2012" t="s">
        <v>5233</v>
      </c>
      <c r="B227" s="2012" t="s">
        <v>5234</v>
      </c>
      <c r="C227" s="2012" t="s">
        <v>5372</v>
      </c>
      <c r="D227" s="2012" t="s">
        <v>5373</v>
      </c>
      <c r="E227" s="2012" t="s">
        <v>921</v>
      </c>
      <c r="F227" s="2004">
        <v>1053.11301</v>
      </c>
      <c r="G227" s="1962">
        <v>0</v>
      </c>
      <c r="H227" s="1962">
        <v>1053.11301</v>
      </c>
      <c r="I227" s="1962">
        <v>0</v>
      </c>
    </row>
    <row r="228" spans="1:9" hidden="1" outlineLevel="2" x14ac:dyDescent="0.2">
      <c r="A228" s="2012" t="s">
        <v>5233</v>
      </c>
      <c r="B228" s="2012" t="s">
        <v>5234</v>
      </c>
      <c r="C228" s="2012" t="s">
        <v>5374</v>
      </c>
      <c r="D228" s="2012" t="s">
        <v>5375</v>
      </c>
      <c r="E228" s="2012" t="s">
        <v>923</v>
      </c>
      <c r="F228" s="2004">
        <v>890.83087999999998</v>
      </c>
      <c r="G228" s="1962">
        <v>0</v>
      </c>
      <c r="H228" s="1962">
        <v>0</v>
      </c>
      <c r="I228" s="1962">
        <v>0</v>
      </c>
    </row>
    <row r="229" spans="1:9" hidden="1" outlineLevel="2" x14ac:dyDescent="0.2">
      <c r="A229" s="2012" t="s">
        <v>5233</v>
      </c>
      <c r="B229" s="2012" t="s">
        <v>5234</v>
      </c>
      <c r="C229" s="2012" t="s">
        <v>5376</v>
      </c>
      <c r="D229" s="2012" t="s">
        <v>5377</v>
      </c>
      <c r="E229" s="2012" t="s">
        <v>913</v>
      </c>
      <c r="F229" s="2004">
        <v>-42.694650000000003</v>
      </c>
      <c r="G229" s="1962">
        <v>-11.943311300010533</v>
      </c>
      <c r="H229" s="1962">
        <v>-3.1871249096984906</v>
      </c>
      <c r="I229" s="1962">
        <v>-2.2770118410949736</v>
      </c>
    </row>
    <row r="230" spans="1:9" hidden="1" outlineLevel="2" x14ac:dyDescent="0.2">
      <c r="A230" s="2012" t="s">
        <v>5233</v>
      </c>
      <c r="B230" s="2012" t="s">
        <v>5234</v>
      </c>
      <c r="C230" s="2012" t="s">
        <v>5378</v>
      </c>
      <c r="D230" s="2012" t="s">
        <v>5379</v>
      </c>
      <c r="E230" s="2012" t="s">
        <v>906</v>
      </c>
      <c r="F230" s="2004">
        <v>14149.12428</v>
      </c>
      <c r="G230" s="1962">
        <v>3655.7379238533258</v>
      </c>
      <c r="H230" s="1962">
        <v>1010.404557962029</v>
      </c>
      <c r="I230" s="1962">
        <v>834.97293843136856</v>
      </c>
    </row>
    <row r="231" spans="1:9" hidden="1" outlineLevel="2" x14ac:dyDescent="0.2">
      <c r="A231" s="2012" t="s">
        <v>5233</v>
      </c>
      <c r="B231" s="2012" t="s">
        <v>5234</v>
      </c>
      <c r="C231" s="2012" t="s">
        <v>5380</v>
      </c>
      <c r="D231" s="2012" t="s">
        <v>5381</v>
      </c>
      <c r="E231" s="2012" t="s">
        <v>936</v>
      </c>
      <c r="F231" s="2004">
        <v>1168.4926</v>
      </c>
      <c r="G231" s="1962">
        <v>0</v>
      </c>
      <c r="H231" s="1962">
        <v>0</v>
      </c>
      <c r="I231" s="1962">
        <v>0</v>
      </c>
    </row>
    <row r="232" spans="1:9" hidden="1" outlineLevel="2" x14ac:dyDescent="0.2">
      <c r="A232" s="2012" t="s">
        <v>5233</v>
      </c>
      <c r="B232" s="2012" t="s">
        <v>5234</v>
      </c>
      <c r="C232" s="2012" t="s">
        <v>5382</v>
      </c>
      <c r="D232" s="2012" t="s">
        <v>5383</v>
      </c>
      <c r="E232" s="2012" t="s">
        <v>936</v>
      </c>
      <c r="F232" s="2004">
        <v>1990.70579</v>
      </c>
      <c r="G232" s="1962">
        <v>0</v>
      </c>
      <c r="H232" s="1962">
        <v>0</v>
      </c>
      <c r="I232" s="1962">
        <v>0</v>
      </c>
    </row>
    <row r="233" spans="1:9" hidden="1" outlineLevel="2" x14ac:dyDescent="0.2">
      <c r="A233" s="2012" t="s">
        <v>5233</v>
      </c>
      <c r="B233" s="2012" t="s">
        <v>5234</v>
      </c>
      <c r="C233" s="2012" t="s">
        <v>5384</v>
      </c>
      <c r="D233" s="2012" t="s">
        <v>5385</v>
      </c>
      <c r="E233" s="2012" t="s">
        <v>936</v>
      </c>
      <c r="F233" s="2004">
        <v>-1.45678</v>
      </c>
      <c r="G233" s="1962">
        <v>0</v>
      </c>
      <c r="H233" s="1962">
        <v>0</v>
      </c>
      <c r="I233" s="1962">
        <v>0</v>
      </c>
    </row>
    <row r="234" spans="1:9" hidden="1" outlineLevel="2" x14ac:dyDescent="0.2">
      <c r="A234" s="2012" t="s">
        <v>5233</v>
      </c>
      <c r="B234" s="2012" t="s">
        <v>5234</v>
      </c>
      <c r="C234" s="2012" t="s">
        <v>5386</v>
      </c>
      <c r="D234" s="2012" t="s">
        <v>5387</v>
      </c>
      <c r="E234" s="2012" t="s">
        <v>936</v>
      </c>
      <c r="F234" s="2004">
        <v>-5107.6419800000003</v>
      </c>
      <c r="G234" s="1962">
        <v>0</v>
      </c>
      <c r="H234" s="1962">
        <v>0</v>
      </c>
      <c r="I234" s="1962">
        <v>0</v>
      </c>
    </row>
    <row r="235" spans="1:9" hidden="1" outlineLevel="2" x14ac:dyDescent="0.2">
      <c r="A235" s="2012" t="s">
        <v>5233</v>
      </c>
      <c r="B235" s="2012" t="s">
        <v>5234</v>
      </c>
      <c r="C235" s="2012" t="s">
        <v>5388</v>
      </c>
      <c r="D235" s="2012" t="s">
        <v>5389</v>
      </c>
      <c r="E235" s="2012" t="s">
        <v>936</v>
      </c>
      <c r="F235" s="2004">
        <v>-98.029420000000002</v>
      </c>
      <c r="G235" s="1962">
        <v>0</v>
      </c>
      <c r="H235" s="1962">
        <v>0</v>
      </c>
      <c r="I235" s="1962">
        <v>0</v>
      </c>
    </row>
    <row r="236" spans="1:9" hidden="1" outlineLevel="2" x14ac:dyDescent="0.2">
      <c r="A236" s="2012" t="s">
        <v>5233</v>
      </c>
      <c r="B236" s="2012" t="s">
        <v>5234</v>
      </c>
      <c r="C236" s="2012" t="s">
        <v>5390</v>
      </c>
      <c r="D236" s="2012" t="s">
        <v>5391</v>
      </c>
      <c r="E236" s="2012" t="s">
        <v>922</v>
      </c>
      <c r="F236" s="2004">
        <v>-240.08426</v>
      </c>
      <c r="G236" s="1962">
        <v>0</v>
      </c>
      <c r="H236" s="1962">
        <v>0</v>
      </c>
      <c r="I236" s="1962">
        <v>0</v>
      </c>
    </row>
    <row r="237" spans="1:9" hidden="1" outlineLevel="2" x14ac:dyDescent="0.2">
      <c r="A237" s="2012" t="s">
        <v>5233</v>
      </c>
      <c r="B237" s="2012" t="s">
        <v>5234</v>
      </c>
      <c r="C237" s="2012" t="s">
        <v>5392</v>
      </c>
      <c r="D237" s="2012" t="s">
        <v>5393</v>
      </c>
      <c r="E237" s="2012" t="s">
        <v>936</v>
      </c>
      <c r="F237" s="2004">
        <v>-794.38139999999999</v>
      </c>
      <c r="G237" s="1962">
        <v>0</v>
      </c>
      <c r="H237" s="1962">
        <v>0</v>
      </c>
      <c r="I237" s="1962">
        <v>0</v>
      </c>
    </row>
    <row r="238" spans="1:9" hidden="1" outlineLevel="2" x14ac:dyDescent="0.2">
      <c r="A238" s="2012" t="s">
        <v>5233</v>
      </c>
      <c r="B238" s="2012" t="s">
        <v>5234</v>
      </c>
      <c r="C238" s="2012" t="s">
        <v>5394</v>
      </c>
      <c r="D238" s="2012" t="s">
        <v>5395</v>
      </c>
      <c r="E238" s="2012" t="s">
        <v>936</v>
      </c>
      <c r="F238" s="2004">
        <v>-64840.75851</v>
      </c>
      <c r="G238" s="1962">
        <v>0</v>
      </c>
      <c r="H238" s="1962">
        <v>0</v>
      </c>
      <c r="I238" s="1962">
        <v>0</v>
      </c>
    </row>
    <row r="239" spans="1:9" hidden="1" outlineLevel="2" x14ac:dyDescent="0.2">
      <c r="A239" s="2012" t="s">
        <v>5233</v>
      </c>
      <c r="B239" s="2012" t="s">
        <v>5234</v>
      </c>
      <c r="C239" s="2012" t="s">
        <v>5396</v>
      </c>
      <c r="D239" s="2012" t="s">
        <v>5397</v>
      </c>
      <c r="E239" s="2012" t="s">
        <v>936</v>
      </c>
      <c r="F239" s="2004">
        <v>-364.90582999999998</v>
      </c>
      <c r="G239" s="1962">
        <v>0</v>
      </c>
      <c r="H239" s="1962">
        <v>0</v>
      </c>
      <c r="I239" s="1962">
        <v>0</v>
      </c>
    </row>
    <row r="240" spans="1:9" hidden="1" outlineLevel="2" x14ac:dyDescent="0.2">
      <c r="A240" s="2012" t="s">
        <v>5233</v>
      </c>
      <c r="B240" s="2012" t="s">
        <v>5234</v>
      </c>
      <c r="C240" s="2012" t="s">
        <v>5398</v>
      </c>
      <c r="D240" s="2012" t="s">
        <v>5399</v>
      </c>
      <c r="E240" s="2012" t="s">
        <v>936</v>
      </c>
      <c r="F240" s="2004">
        <v>3.0000000000000001E-5</v>
      </c>
      <c r="G240" s="1962">
        <v>0</v>
      </c>
      <c r="H240" s="1962">
        <v>0</v>
      </c>
      <c r="I240" s="1962">
        <v>0</v>
      </c>
    </row>
    <row r="241" spans="1:9" hidden="1" outlineLevel="2" x14ac:dyDescent="0.2">
      <c r="A241" s="2012" t="s">
        <v>5233</v>
      </c>
      <c r="B241" s="2012" t="s">
        <v>5234</v>
      </c>
      <c r="C241" s="2012" t="s">
        <v>5400</v>
      </c>
      <c r="D241" s="2012" t="s">
        <v>5401</v>
      </c>
      <c r="E241" s="2012" t="s">
        <v>936</v>
      </c>
      <c r="F241" s="2004">
        <v>-219.18191999999999</v>
      </c>
      <c r="G241" s="1962">
        <v>0</v>
      </c>
      <c r="H241" s="1962">
        <v>0</v>
      </c>
      <c r="I241" s="1962">
        <v>0</v>
      </c>
    </row>
    <row r="242" spans="1:9" hidden="1" outlineLevel="2" x14ac:dyDescent="0.2">
      <c r="A242" s="2012" t="s">
        <v>5233</v>
      </c>
      <c r="B242" s="2012" t="s">
        <v>5234</v>
      </c>
      <c r="C242" s="2012" t="s">
        <v>5402</v>
      </c>
      <c r="D242" s="2012" t="s">
        <v>5403</v>
      </c>
      <c r="E242" s="2012" t="s">
        <v>936</v>
      </c>
      <c r="F242" s="2004">
        <v>-113384.09163</v>
      </c>
      <c r="G242" s="1962">
        <v>0</v>
      </c>
      <c r="H242" s="1962">
        <v>0</v>
      </c>
      <c r="I242" s="1962">
        <v>0</v>
      </c>
    </row>
    <row r="243" spans="1:9" hidden="1" outlineLevel="2" x14ac:dyDescent="0.2">
      <c r="A243" s="2012" t="s">
        <v>5233</v>
      </c>
      <c r="B243" s="2012" t="s">
        <v>5234</v>
      </c>
      <c r="C243" s="2012" t="s">
        <v>5404</v>
      </c>
      <c r="D243" s="2012" t="s">
        <v>5405</v>
      </c>
      <c r="E243" s="2012" t="s">
        <v>920</v>
      </c>
      <c r="F243" s="2004">
        <v>-86.052980000000005</v>
      </c>
      <c r="G243" s="1962">
        <v>0</v>
      </c>
      <c r="H243" s="1962">
        <v>0</v>
      </c>
      <c r="I243" s="1962">
        <v>0</v>
      </c>
    </row>
    <row r="244" spans="1:9" hidden="1" outlineLevel="2" x14ac:dyDescent="0.2">
      <c r="A244" s="2012" t="s">
        <v>5233</v>
      </c>
      <c r="B244" s="2012" t="s">
        <v>5234</v>
      </c>
      <c r="C244" s="2012" t="s">
        <v>5406</v>
      </c>
      <c r="D244" s="2012" t="s">
        <v>5407</v>
      </c>
      <c r="E244" s="2012" t="s">
        <v>922</v>
      </c>
      <c r="F244" s="2004">
        <v>-14.03307</v>
      </c>
      <c r="G244" s="1962">
        <v>0</v>
      </c>
      <c r="H244" s="1962">
        <v>0</v>
      </c>
      <c r="I244" s="1962">
        <v>0</v>
      </c>
    </row>
    <row r="245" spans="1:9" hidden="1" outlineLevel="2" x14ac:dyDescent="0.2">
      <c r="A245" s="2012" t="s">
        <v>5233</v>
      </c>
      <c r="B245" s="2012" t="s">
        <v>5234</v>
      </c>
      <c r="C245" s="2012" t="s">
        <v>5408</v>
      </c>
      <c r="D245" s="2012" t="s">
        <v>5409</v>
      </c>
      <c r="E245" s="2012" t="s">
        <v>920</v>
      </c>
      <c r="F245" s="2004">
        <v>-453.43194</v>
      </c>
      <c r="G245" s="1962">
        <v>0</v>
      </c>
      <c r="H245" s="1962">
        <v>0</v>
      </c>
      <c r="I245" s="1962">
        <v>0</v>
      </c>
    </row>
    <row r="246" spans="1:9" hidden="1" outlineLevel="2" x14ac:dyDescent="0.2">
      <c r="A246" s="2012" t="s">
        <v>5233</v>
      </c>
      <c r="B246" s="2012" t="s">
        <v>5234</v>
      </c>
      <c r="C246" s="2012" t="s">
        <v>5410</v>
      </c>
      <c r="D246" s="2012" t="s">
        <v>5411</v>
      </c>
      <c r="E246" s="2012" t="s">
        <v>1083</v>
      </c>
      <c r="F246" s="2004">
        <v>-41.133090000000003</v>
      </c>
      <c r="G246" s="1962">
        <v>-11.144555135309909</v>
      </c>
      <c r="H246" s="1962">
        <v>-3.1334813224733651</v>
      </c>
      <c r="I246" s="1962">
        <v>-2.2267958239709733</v>
      </c>
    </row>
    <row r="247" spans="1:9" hidden="1" outlineLevel="2" x14ac:dyDescent="0.2">
      <c r="A247" s="2012" t="s">
        <v>5233</v>
      </c>
      <c r="B247" s="2012" t="s">
        <v>5234</v>
      </c>
      <c r="C247" s="2012" t="s">
        <v>5412</v>
      </c>
      <c r="D247" s="2012" t="s">
        <v>5413</v>
      </c>
      <c r="E247" s="2012" t="s">
        <v>1083</v>
      </c>
      <c r="F247" s="2004">
        <v>-137.09336999999999</v>
      </c>
      <c r="G247" s="1962">
        <v>-37.143930121720523</v>
      </c>
      <c r="H247" s="1962">
        <v>-10.443648029601722</v>
      </c>
      <c r="I247" s="1962">
        <v>-7.4217362179721365</v>
      </c>
    </row>
    <row r="248" spans="1:9" hidden="1" outlineLevel="2" x14ac:dyDescent="0.2">
      <c r="A248" s="2012" t="s">
        <v>5233</v>
      </c>
      <c r="B248" s="2012" t="s">
        <v>5234</v>
      </c>
      <c r="C248" s="2012" t="s">
        <v>5414</v>
      </c>
      <c r="D248" s="2012" t="s">
        <v>5415</v>
      </c>
      <c r="E248" s="2012" t="s">
        <v>912</v>
      </c>
      <c r="F248" s="2004">
        <v>-6920.9165899999998</v>
      </c>
      <c r="G248" s="1962">
        <v>-6920.9165899999998</v>
      </c>
      <c r="H248" s="1962">
        <v>0</v>
      </c>
      <c r="I248" s="1962">
        <v>0</v>
      </c>
    </row>
    <row r="249" spans="1:9" hidden="1" outlineLevel="2" x14ac:dyDescent="0.2">
      <c r="A249" s="2012" t="s">
        <v>5233</v>
      </c>
      <c r="B249" s="2012" t="s">
        <v>5234</v>
      </c>
      <c r="C249" s="2012" t="s">
        <v>5416</v>
      </c>
      <c r="D249" s="2012" t="s">
        <v>5417</v>
      </c>
      <c r="E249" s="2012" t="s">
        <v>936</v>
      </c>
      <c r="F249" s="2004">
        <v>-454.71681000000001</v>
      </c>
      <c r="G249" s="1962">
        <v>0</v>
      </c>
      <c r="H249" s="1962">
        <v>0</v>
      </c>
      <c r="I249" s="1962">
        <v>0</v>
      </c>
    </row>
    <row r="250" spans="1:9" hidden="1" outlineLevel="2" x14ac:dyDescent="0.2">
      <c r="A250" s="2012" t="s">
        <v>5233</v>
      </c>
      <c r="B250" s="2012" t="s">
        <v>5234</v>
      </c>
      <c r="C250" s="2012" t="s">
        <v>5418</v>
      </c>
      <c r="D250" s="2012" t="s">
        <v>5419</v>
      </c>
      <c r="E250" s="2012" t="s">
        <v>1083</v>
      </c>
      <c r="F250" s="2004">
        <v>-104.43212</v>
      </c>
      <c r="G250" s="1962">
        <v>-28.294726198233601</v>
      </c>
      <c r="H250" s="1962">
        <v>-7.9555437601769547</v>
      </c>
      <c r="I250" s="1962">
        <v>-5.6535749856000495</v>
      </c>
    </row>
    <row r="251" spans="1:9" hidden="1" outlineLevel="2" x14ac:dyDescent="0.2">
      <c r="A251" s="2012" t="s">
        <v>5233</v>
      </c>
      <c r="B251" s="2012" t="s">
        <v>5234</v>
      </c>
      <c r="C251" s="2012" t="s">
        <v>5420</v>
      </c>
      <c r="D251" s="2012" t="s">
        <v>5421</v>
      </c>
      <c r="E251" s="2012" t="s">
        <v>936</v>
      </c>
      <c r="F251" s="2004">
        <v>-157.33087</v>
      </c>
      <c r="G251" s="1962">
        <v>0</v>
      </c>
      <c r="H251" s="1962">
        <v>0</v>
      </c>
      <c r="I251" s="1962">
        <v>0</v>
      </c>
    </row>
    <row r="252" spans="1:9" hidden="1" outlineLevel="2" x14ac:dyDescent="0.2">
      <c r="A252" s="2012" t="s">
        <v>5233</v>
      </c>
      <c r="B252" s="2012" t="s">
        <v>5234</v>
      </c>
      <c r="C252" s="2012" t="s">
        <v>5422</v>
      </c>
      <c r="D252" s="2012" t="s">
        <v>5423</v>
      </c>
      <c r="E252" s="2012" t="s">
        <v>936</v>
      </c>
      <c r="F252" s="2004">
        <v>-6308.64221</v>
      </c>
      <c r="G252" s="1962">
        <v>0</v>
      </c>
      <c r="H252" s="1962">
        <v>0</v>
      </c>
      <c r="I252" s="1962">
        <v>0</v>
      </c>
    </row>
    <row r="253" spans="1:9" hidden="1" outlineLevel="2" x14ac:dyDescent="0.2">
      <c r="A253" s="2012" t="s">
        <v>5233</v>
      </c>
      <c r="B253" s="2012" t="s">
        <v>5234</v>
      </c>
      <c r="C253" s="2012" t="s">
        <v>5424</v>
      </c>
      <c r="D253" s="2012" t="s">
        <v>5425</v>
      </c>
      <c r="E253" s="2012" t="s">
        <v>936</v>
      </c>
      <c r="F253" s="2004">
        <v>-35.930169999999997</v>
      </c>
      <c r="G253" s="1962">
        <v>0</v>
      </c>
      <c r="H253" s="1962">
        <v>0</v>
      </c>
      <c r="I253" s="1962">
        <v>0</v>
      </c>
    </row>
    <row r="254" spans="1:9" hidden="1" outlineLevel="2" x14ac:dyDescent="0.2">
      <c r="A254" s="2012" t="s">
        <v>5233</v>
      </c>
      <c r="B254" s="2012" t="s">
        <v>5234</v>
      </c>
      <c r="C254" s="2012" t="s">
        <v>5426</v>
      </c>
      <c r="D254" s="2012" t="s">
        <v>5427</v>
      </c>
      <c r="E254" s="2012" t="s">
        <v>936</v>
      </c>
      <c r="F254" s="2004">
        <v>-1538.29819</v>
      </c>
      <c r="G254" s="1962">
        <v>0</v>
      </c>
      <c r="H254" s="1962">
        <v>0</v>
      </c>
      <c r="I254" s="1962">
        <v>0</v>
      </c>
    </row>
    <row r="255" spans="1:9" hidden="1" outlineLevel="2" x14ac:dyDescent="0.2">
      <c r="A255" s="2012" t="s">
        <v>5233</v>
      </c>
      <c r="B255" s="2012" t="s">
        <v>5234</v>
      </c>
      <c r="C255" s="2012" t="s">
        <v>5428</v>
      </c>
      <c r="D255" s="2012" t="s">
        <v>5429</v>
      </c>
      <c r="E255" s="2012" t="s">
        <v>936</v>
      </c>
      <c r="F255" s="2004">
        <v>-17.849689999999999</v>
      </c>
      <c r="G255" s="1962">
        <v>0</v>
      </c>
      <c r="H255" s="1962">
        <v>0</v>
      </c>
      <c r="I255" s="1962">
        <v>0</v>
      </c>
    </row>
    <row r="256" spans="1:9" hidden="1" outlineLevel="2" x14ac:dyDescent="0.2">
      <c r="A256" s="2012" t="s">
        <v>5233</v>
      </c>
      <c r="B256" s="2012" t="s">
        <v>5234</v>
      </c>
      <c r="C256" s="2012" t="s">
        <v>5430</v>
      </c>
      <c r="D256" s="2012" t="s">
        <v>5431</v>
      </c>
      <c r="E256" s="2012" t="s">
        <v>936</v>
      </c>
      <c r="F256" s="2004">
        <v>-35.547519999999999</v>
      </c>
      <c r="G256" s="1962">
        <v>0</v>
      </c>
      <c r="H256" s="1962">
        <v>0</v>
      </c>
      <c r="I256" s="1962">
        <v>0</v>
      </c>
    </row>
    <row r="257" spans="1:17" hidden="1" outlineLevel="2" x14ac:dyDescent="0.2">
      <c r="A257" s="2012" t="s">
        <v>5233</v>
      </c>
      <c r="B257" s="2012" t="s">
        <v>5234</v>
      </c>
      <c r="C257" s="2012" t="s">
        <v>5432</v>
      </c>
      <c r="D257" s="2012" t="s">
        <v>5433</v>
      </c>
      <c r="E257" s="2012" t="s">
        <v>919</v>
      </c>
      <c r="F257" s="2004">
        <v>-1713.72336</v>
      </c>
      <c r="G257" s="1962">
        <v>0</v>
      </c>
      <c r="H257" s="1962">
        <v>0</v>
      </c>
      <c r="I257" s="1962">
        <v>-1713.72336</v>
      </c>
    </row>
    <row r="258" spans="1:17" hidden="1" outlineLevel="2" x14ac:dyDescent="0.2">
      <c r="A258" s="2012" t="s">
        <v>5233</v>
      </c>
      <c r="B258" s="2012" t="s">
        <v>5234</v>
      </c>
      <c r="C258" s="2012" t="s">
        <v>5434</v>
      </c>
      <c r="D258" s="2012" t="s">
        <v>5435</v>
      </c>
      <c r="E258" s="2012" t="s">
        <v>920</v>
      </c>
      <c r="F258" s="2004">
        <v>-236.11109999999999</v>
      </c>
      <c r="G258" s="1962">
        <v>0</v>
      </c>
      <c r="H258" s="1962">
        <v>0</v>
      </c>
      <c r="I258" s="1962">
        <v>0</v>
      </c>
    </row>
    <row r="259" spans="1:17" hidden="1" outlineLevel="2" x14ac:dyDescent="0.2">
      <c r="A259" s="2012" t="s">
        <v>5233</v>
      </c>
      <c r="B259" s="2012" t="s">
        <v>5234</v>
      </c>
      <c r="C259" s="2012" t="s">
        <v>5436</v>
      </c>
      <c r="D259" s="2012" t="s">
        <v>5437</v>
      </c>
      <c r="E259" s="2012" t="s">
        <v>922</v>
      </c>
      <c r="F259" s="2004">
        <v>-815.39790000000005</v>
      </c>
      <c r="G259" s="1962">
        <v>0</v>
      </c>
      <c r="H259" s="1962">
        <v>0</v>
      </c>
      <c r="I259" s="1962">
        <v>0</v>
      </c>
    </row>
    <row r="260" spans="1:17" hidden="1" outlineLevel="2" x14ac:dyDescent="0.2">
      <c r="A260" s="2012" t="s">
        <v>5233</v>
      </c>
      <c r="B260" s="2012" t="s">
        <v>5234</v>
      </c>
      <c r="C260" s="2012" t="s">
        <v>5438</v>
      </c>
      <c r="D260" s="2012" t="s">
        <v>5439</v>
      </c>
      <c r="E260" s="2012" t="s">
        <v>920</v>
      </c>
      <c r="F260" s="2004">
        <v>-3644.1473799999999</v>
      </c>
      <c r="G260" s="1962">
        <v>0</v>
      </c>
      <c r="H260" s="1962">
        <v>0</v>
      </c>
      <c r="I260" s="1962">
        <v>0</v>
      </c>
    </row>
    <row r="261" spans="1:17" hidden="1" outlineLevel="2" x14ac:dyDescent="0.2">
      <c r="A261" s="2012" t="s">
        <v>5233</v>
      </c>
      <c r="B261" s="2012" t="s">
        <v>5234</v>
      </c>
      <c r="C261" s="2012" t="s">
        <v>5440</v>
      </c>
      <c r="D261" s="2012" t="s">
        <v>5441</v>
      </c>
      <c r="E261" s="2012" t="s">
        <v>936</v>
      </c>
      <c r="F261" s="2004">
        <v>-4.2273899999999998</v>
      </c>
      <c r="G261" s="1962">
        <v>0</v>
      </c>
      <c r="H261" s="1962">
        <v>0</v>
      </c>
      <c r="I261" s="1962">
        <v>0</v>
      </c>
    </row>
    <row r="262" spans="1:17" hidden="1" outlineLevel="2" x14ac:dyDescent="0.2">
      <c r="A262" s="2012" t="s">
        <v>5233</v>
      </c>
      <c r="B262" s="2012" t="s">
        <v>5234</v>
      </c>
      <c r="C262" s="2012" t="s">
        <v>5442</v>
      </c>
      <c r="D262" s="2012" t="s">
        <v>5443</v>
      </c>
      <c r="E262" s="2012" t="s">
        <v>936</v>
      </c>
      <c r="F262" s="2017">
        <v>-46.573090000000001</v>
      </c>
      <c r="G262" s="1962">
        <v>0</v>
      </c>
      <c r="H262" s="1962">
        <v>0</v>
      </c>
      <c r="I262" s="1962">
        <v>0</v>
      </c>
    </row>
    <row r="263" spans="1:17" ht="13.5" outlineLevel="1" collapsed="1" thickBot="1" x14ac:dyDescent="0.25">
      <c r="A263" s="2018" t="s">
        <v>5444</v>
      </c>
      <c r="B263" s="2018"/>
      <c r="C263" s="2018"/>
      <c r="D263" s="2018"/>
      <c r="E263" s="2019"/>
      <c r="F263" s="2014">
        <f>SUBTOTAL(9,F157:F262)</f>
        <v>-543011.8304099997</v>
      </c>
      <c r="G263" s="2014">
        <f t="shared" ref="G263:I263" si="5">SUBTOTAL(9,G157:G262)</f>
        <v>-53327.9363314242</v>
      </c>
      <c r="H263" s="2014">
        <f t="shared" si="5"/>
        <v>-10258.151345787895</v>
      </c>
      <c r="I263" s="2014">
        <f t="shared" si="5"/>
        <v>-10542.194339125206</v>
      </c>
    </row>
    <row r="264" spans="1:17" ht="13.5" thickBot="1" x14ac:dyDescent="0.25">
      <c r="A264" s="2018" t="s">
        <v>1342</v>
      </c>
      <c r="B264" s="2018"/>
      <c r="C264" s="2018"/>
      <c r="D264" s="2018"/>
      <c r="E264" s="2020"/>
      <c r="F264" s="2021">
        <f>SUBTOTAL(9,F37:F263)</f>
        <v>-2853081.9494123678</v>
      </c>
      <c r="G264" s="2021">
        <f t="shared" ref="G264:I264" si="6">SUBTOTAL(9,G37:G263)</f>
        <v>-616716.13776631071</v>
      </c>
      <c r="H264" s="2021">
        <f t="shared" si="6"/>
        <v>-181076.41800147653</v>
      </c>
      <c r="I264" s="2021">
        <f t="shared" si="6"/>
        <v>-143870.7773694873</v>
      </c>
    </row>
    <row r="266" spans="1:17" ht="15.75" x14ac:dyDescent="0.25">
      <c r="E266" s="2023" t="s">
        <v>5459</v>
      </c>
      <c r="F266" s="2023" t="s">
        <v>5459</v>
      </c>
      <c r="G266" s="2023" t="s">
        <v>5459</v>
      </c>
      <c r="H266" s="2023" t="s">
        <v>5459</v>
      </c>
      <c r="I266" s="2023" t="s">
        <v>5459</v>
      </c>
      <c r="J266" s="2023" t="s">
        <v>5459</v>
      </c>
      <c r="K266" s="2023" t="s">
        <v>5459</v>
      </c>
      <c r="L266" s="2153" t="s">
        <v>5594</v>
      </c>
      <c r="M266" s="2022" t="s">
        <v>5459</v>
      </c>
      <c r="N266" s="3828" t="s">
        <v>5595</v>
      </c>
      <c r="O266" s="3828"/>
      <c r="P266" s="3828"/>
      <c r="Q266" s="3828"/>
    </row>
    <row r="267" spans="1:17" ht="15.75" x14ac:dyDescent="0.25">
      <c r="E267" s="2023" t="s">
        <v>5459</v>
      </c>
      <c r="F267" s="2023" t="s">
        <v>5459</v>
      </c>
      <c r="G267" s="2023" t="s">
        <v>5459</v>
      </c>
      <c r="H267" s="2023" t="s">
        <v>5459</v>
      </c>
      <c r="I267" s="2023" t="s">
        <v>5459</v>
      </c>
      <c r="J267" s="2023" t="s">
        <v>5459</v>
      </c>
      <c r="K267" s="2023" t="s">
        <v>5459</v>
      </c>
      <c r="L267" s="2022" t="s">
        <v>5459</v>
      </c>
      <c r="M267" s="2154">
        <v>2</v>
      </c>
      <c r="N267" s="2154">
        <v>3</v>
      </c>
      <c r="O267" s="2154">
        <v>4</v>
      </c>
      <c r="P267" s="2154">
        <v>5</v>
      </c>
      <c r="Q267" s="2154">
        <v>6</v>
      </c>
    </row>
    <row r="268" spans="1:17" ht="16.5" thickBot="1" x14ac:dyDescent="0.3">
      <c r="E268" s="2023" t="s">
        <v>5459</v>
      </c>
      <c r="F268" s="2023" t="s">
        <v>5459</v>
      </c>
      <c r="G268" s="2023" t="s">
        <v>5459</v>
      </c>
      <c r="H268" s="2023" t="s">
        <v>5459</v>
      </c>
      <c r="I268" s="2023" t="s">
        <v>5459</v>
      </c>
      <c r="J268" s="2023" t="s">
        <v>5459</v>
      </c>
      <c r="K268" s="2023" t="s">
        <v>5459</v>
      </c>
      <c r="L268" s="2022" t="s">
        <v>5459</v>
      </c>
      <c r="M268" s="2157" t="s">
        <v>5459</v>
      </c>
      <c r="N268" s="2157" t="s">
        <v>912</v>
      </c>
      <c r="O268" s="2157" t="s">
        <v>921</v>
      </c>
      <c r="P268" s="2157" t="s">
        <v>5462</v>
      </c>
      <c r="Q268" s="2157" t="s">
        <v>5463</v>
      </c>
    </row>
    <row r="269" spans="1:17" ht="15.75" x14ac:dyDescent="0.25">
      <c r="E269" s="2345">
        <v>190</v>
      </c>
      <c r="F269" s="2346">
        <f>SUMIF($A$37:$A$263,"190*Total",F$37:F$263)</f>
        <v>798870.45120763383</v>
      </c>
      <c r="G269" s="2346">
        <f>SUMIF($A$37:$A$263,"190*Total",G$37:G$263)</f>
        <v>211974.92587682712</v>
      </c>
      <c r="H269" s="2346">
        <f>SUMIF($A$37:$A$263,"190*Total",H$37:H$263)</f>
        <v>60735.417959312239</v>
      </c>
      <c r="I269" s="2347">
        <f>SUMIF($A$37:$A$263,"190*Total",I$37:I$263)</f>
        <v>43151.026795122852</v>
      </c>
      <c r="J269" s="2023" t="s">
        <v>5459</v>
      </c>
      <c r="K269" s="2023" t="s">
        <v>5459</v>
      </c>
      <c r="L269" s="2022">
        <v>190</v>
      </c>
      <c r="M269" s="2233">
        <f>F269/$F$269</f>
        <v>1</v>
      </c>
      <c r="N269" s="2233">
        <f>G269/$F$269</f>
        <v>0.26534330510834336</v>
      </c>
      <c r="O269" s="2233">
        <f>H269/$F$269</f>
        <v>7.6026617166149932E-2</v>
      </c>
      <c r="P269" s="2233">
        <f>I269/$F$269</f>
        <v>5.4015049286016838E-2</v>
      </c>
      <c r="Q269" s="2233">
        <f>SUM(N269:P269)</f>
        <v>0.39538497156051017</v>
      </c>
    </row>
    <row r="270" spans="1:17" ht="15.75" x14ac:dyDescent="0.25">
      <c r="E270" s="2348">
        <v>281</v>
      </c>
      <c r="F270" s="2221">
        <f>SUMIF($A$37:$A$263,"281*Total",F$37:F$263)</f>
        <v>-122977.93954000001</v>
      </c>
      <c r="G270" s="2221">
        <f>SUMIF($A$37:$A$263,"281*Total",G$37:G$263)</f>
        <v>-33319.510584552205</v>
      </c>
      <c r="H270" s="2221">
        <f>SUMIF($A$37:$A$263,"281*Total",H$37:H$263)</f>
        <v>-9368.3473968245198</v>
      </c>
      <c r="I270" s="2349">
        <f>SUMIF($A$37:$A$263,"281*Total",I$37:I$263)</f>
        <v>-6657.5781738796395</v>
      </c>
      <c r="J270" s="2023" t="s">
        <v>5459</v>
      </c>
      <c r="K270" s="2023" t="s">
        <v>5459</v>
      </c>
      <c r="L270" s="2022">
        <v>281</v>
      </c>
      <c r="M270" s="2233">
        <f>F270/$F$270</f>
        <v>1</v>
      </c>
      <c r="N270" s="2233">
        <f>G270/$F$270</f>
        <v>0.27093892375481415</v>
      </c>
      <c r="O270" s="2233">
        <f>H270/$F$270</f>
        <v>7.6179088963979236E-2</v>
      </c>
      <c r="P270" s="2233">
        <f>I270/$F$270</f>
        <v>5.4136361357023585E-2</v>
      </c>
      <c r="Q270" s="2233">
        <f>SUM(N270:P270)</f>
        <v>0.40125437407581699</v>
      </c>
    </row>
    <row r="271" spans="1:17" ht="15.75" x14ac:dyDescent="0.25">
      <c r="E271" s="2348">
        <v>282</v>
      </c>
      <c r="F271" s="2221">
        <f>SUMIF($A$37:$A$263,"282*Total",F$37:F$263)</f>
        <v>-2985962.6306699999</v>
      </c>
      <c r="G271" s="2221">
        <f>SUMIF($A$37:$A$263,"282*Total",G$37:G$263)</f>
        <v>-742043.61672716134</v>
      </c>
      <c r="H271" s="2221">
        <f>SUMIF($A$37:$A$263,"282*Total",H$37:H$263)</f>
        <v>-222185.33721817631</v>
      </c>
      <c r="I271" s="2349">
        <f>SUMIF($A$37:$A$263,"282*Total",I$37:I$263)</f>
        <v>-169822.0316516053</v>
      </c>
      <c r="J271" s="2023" t="s">
        <v>5459</v>
      </c>
      <c r="K271" s="2023" t="s">
        <v>5459</v>
      </c>
      <c r="L271" s="2022">
        <v>282</v>
      </c>
      <c r="M271" s="2233">
        <f>F271/$F$271</f>
        <v>1</v>
      </c>
      <c r="N271" s="2233">
        <f>G271/$F$271</f>
        <v>0.24851068432851056</v>
      </c>
      <c r="O271" s="2233">
        <f>H271/$F$271</f>
        <v>7.4409952400617166E-2</v>
      </c>
      <c r="P271" s="2233">
        <f>I271/$F$271</f>
        <v>5.6873461813385151E-2</v>
      </c>
      <c r="Q271" s="2233">
        <f>SUM(N271:P271)</f>
        <v>0.37979409854251289</v>
      </c>
    </row>
    <row r="272" spans="1:17" ht="16.5" thickBot="1" x14ac:dyDescent="0.3">
      <c r="E272" s="2350">
        <v>283</v>
      </c>
      <c r="F272" s="2351">
        <f>SUMIF($A$37:$A$263,"283*Total",F$37:F$263)</f>
        <v>-543011.8304099997</v>
      </c>
      <c r="G272" s="2351">
        <f>SUMIF($A$37:$A$263,"283*Total",G$37:G$263)</f>
        <v>-53327.9363314242</v>
      </c>
      <c r="H272" s="2351">
        <f>SUMIF($A$37:$A$263,"283*Total",H$37:H$263)</f>
        <v>-10258.151345787895</v>
      </c>
      <c r="I272" s="2352">
        <f>SUMIF($A$37:$A$263,"283*Total",I$37:I$263)</f>
        <v>-10542.194339125206</v>
      </c>
      <c r="J272" s="2023" t="s">
        <v>5459</v>
      </c>
      <c r="K272" s="2023" t="s">
        <v>5459</v>
      </c>
      <c r="L272" s="2022">
        <v>283</v>
      </c>
      <c r="M272" s="2233">
        <f>F272/$F$272</f>
        <v>1</v>
      </c>
      <c r="N272" s="2233">
        <f>G272/$F$272</f>
        <v>9.820768783464455E-2</v>
      </c>
      <c r="O272" s="2233">
        <f>H272/$F$272</f>
        <v>1.8891211519355858E-2</v>
      </c>
      <c r="P272" s="2233">
        <f>I272/$F$272</f>
        <v>1.9414299558013954E-2</v>
      </c>
      <c r="Q272" s="2233">
        <f>SUM(N272:P272)</f>
        <v>0.13651319891201436</v>
      </c>
    </row>
    <row r="273" spans="5:17" x14ac:dyDescent="0.2">
      <c r="E273" s="2353" t="s">
        <v>5459</v>
      </c>
      <c r="F273" s="2354">
        <f>SUM(F269:F272)</f>
        <v>-2853081.9494123654</v>
      </c>
      <c r="G273" s="2354">
        <f>SUM(G269:G272)</f>
        <v>-616716.1377663106</v>
      </c>
      <c r="H273" s="2354">
        <f>SUM(H269:H272)</f>
        <v>-181076.41800147647</v>
      </c>
      <c r="I273" s="2355">
        <f>SUM(I269:I272)</f>
        <v>-143870.7773694873</v>
      </c>
      <c r="J273" s="2023" t="s">
        <v>5459</v>
      </c>
      <c r="K273" s="2023" t="s">
        <v>5459</v>
      </c>
      <c r="L273" s="2023" t="s">
        <v>5459</v>
      </c>
      <c r="M273" s="2023" t="s">
        <v>5459</v>
      </c>
      <c r="N273" s="2023" t="s">
        <v>5459</v>
      </c>
      <c r="O273" s="2023" t="s">
        <v>5459</v>
      </c>
      <c r="P273" s="2023" t="s">
        <v>5459</v>
      </c>
      <c r="Q273" s="2023" t="s">
        <v>5459</v>
      </c>
    </row>
  </sheetData>
  <mergeCells count="1">
    <mergeCell ref="N266:Q266"/>
  </mergeCells>
  <pageMargins left="0.7" right="0.7" top="0.75" bottom="0.75" header="0.3" footer="0.3"/>
  <pageSetup scale="78" fitToHeight="0" orientation="landscape" horizontalDpi="1200" verticalDpi="1200" r:id="rId1"/>
  <customProperties>
    <customPr name="_pios_id" r:id="rId2"/>
  </customProperties>
  <drawing r:id="rId3"/>
  <legacyDrawing r:id="rId4"/>
  <oleObjects>
    <mc:AlternateContent xmlns:mc="http://schemas.openxmlformats.org/markup-compatibility/2006">
      <mc:Choice Requires="x14">
        <oleObject progId="StaticMetafile" shapeId="145409" r:id="rId5">
          <objectPr defaultSize="0" autoPict="0" r:id="rId6">
            <anchor moveWithCells="1" sizeWithCells="1">
              <from>
                <xdr:col>0</xdr:col>
                <xdr:colOff>38100</xdr:colOff>
                <xdr:row>0</xdr:row>
                <xdr:rowOff>95250</xdr:rowOff>
              </from>
              <to>
                <xdr:col>1</xdr:col>
                <xdr:colOff>1962150</xdr:colOff>
                <xdr:row>3</xdr:row>
                <xdr:rowOff>9525</xdr:rowOff>
              </to>
            </anchor>
          </objectPr>
        </oleObject>
      </mc:Choice>
      <mc:Fallback>
        <oleObject progId="StaticMetafile" shapeId="145409" r:id="rId5"/>
      </mc:Fallback>
    </mc:AlternateContent>
  </oleObjects>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CA99E-C3C8-4FC9-BE4B-1598220EDC93}">
  <sheetPr codeName="Sheet35">
    <tabColor rgb="FF00B0F0"/>
    <pageSetUpPr fitToPage="1"/>
  </sheetPr>
  <dimension ref="A1:ED5448"/>
  <sheetViews>
    <sheetView topLeftCell="A3" zoomScaleNormal="100" zoomScaleSheetLayoutView="70" workbookViewId="0">
      <selection activeCell="W987" sqref="W987"/>
    </sheetView>
  </sheetViews>
  <sheetFormatPr defaultColWidth="7.625" defaultRowHeight="12" customHeight="1" outlineLevelRow="2" x14ac:dyDescent="0.2"/>
  <cols>
    <col min="1" max="1" width="12.75" style="1953" bestFit="1" customWidth="1"/>
    <col min="2" max="2" width="29.25" style="1953" bestFit="1" customWidth="1"/>
    <col min="3" max="3" width="14.625" style="1953" bestFit="1" customWidth="1"/>
    <col min="4" max="4" width="31.125" style="1953" bestFit="1" customWidth="1"/>
    <col min="5" max="5" width="4.5" style="1953" bestFit="1" customWidth="1"/>
    <col min="6" max="7" width="8.125" style="1953" bestFit="1" customWidth="1"/>
    <col min="8" max="8" width="7.25" style="1953" bestFit="1" customWidth="1"/>
    <col min="9" max="9" width="6.75" style="1953" bestFit="1" customWidth="1"/>
    <col min="10" max="12" width="4" style="1953" customWidth="1"/>
    <col min="13" max="13" width="4.875" style="1953" customWidth="1"/>
    <col min="14" max="14" width="4" style="1953" customWidth="1"/>
    <col min="15" max="15" width="6.375" style="1953" customWidth="1"/>
    <col min="16" max="17" width="4.875" style="1953" customWidth="1"/>
    <col min="18" max="18" width="4" style="1953" customWidth="1"/>
    <col min="19" max="19" width="4.875" style="1953" customWidth="1"/>
    <col min="20" max="20" width="4" style="1953" customWidth="1"/>
    <col min="21" max="21" width="19.625" style="1953" customWidth="1"/>
    <col min="22" max="22" width="8.375" style="1953" customWidth="1"/>
    <col min="23" max="23" width="19.625" style="1953" customWidth="1"/>
    <col min="24" max="24" width="8.375" style="1953" customWidth="1"/>
    <col min="25" max="25" width="19.625" style="1953" customWidth="1"/>
    <col min="26" max="26" width="8.375" style="1953" customWidth="1"/>
    <col min="27" max="27" width="19.625" style="1953" customWidth="1"/>
    <col min="28" max="28" width="8.375" style="1953" customWidth="1"/>
    <col min="29" max="29" width="19.625" style="1953" customWidth="1"/>
    <col min="30" max="30" width="8.375" style="1953" customWidth="1"/>
    <col min="31" max="31" width="13.5" style="1953" customWidth="1"/>
    <col min="32" max="32" width="19.875" style="1953" customWidth="1"/>
    <col min="33" max="33" width="5.75" style="1953" customWidth="1"/>
    <col min="34" max="34" width="25.75" style="1953" customWidth="1"/>
    <col min="35" max="38" width="19.875" style="1953" customWidth="1"/>
    <col min="39" max="39" width="5.75" style="1953" customWidth="1"/>
    <col min="40" max="40" width="19.625" style="1953" customWidth="1"/>
    <col min="41" max="41" width="13" style="1953" customWidth="1"/>
    <col min="42" max="42" width="19.75" style="1953" customWidth="1"/>
    <col min="43" max="43" width="25.75" style="1953" customWidth="1"/>
    <col min="44" max="44" width="13" style="1953" customWidth="1"/>
    <col min="45" max="45" width="25.75" style="1953" customWidth="1"/>
    <col min="46" max="46" width="13" style="1953" customWidth="1"/>
    <col min="47" max="47" width="5.75" style="1953" customWidth="1"/>
    <col min="48" max="48" width="13" style="1953" customWidth="1"/>
    <col min="49" max="49" width="5.75" style="1953" customWidth="1"/>
    <col min="50" max="50" width="19.625" style="1953" customWidth="1"/>
    <col min="51" max="51" width="13" style="1953" customWidth="1"/>
    <col min="52" max="52" width="5.5" style="1953" customWidth="1"/>
    <col min="53" max="53" width="19.625" style="1953" customWidth="1"/>
    <col min="54" max="54" width="19.375" style="1953" customWidth="1"/>
    <col min="55" max="55" width="9.375" style="1953" customWidth="1"/>
    <col min="56" max="56" width="5.5" style="1953" customWidth="1"/>
    <col min="57" max="57" width="4.25" style="1953" customWidth="1"/>
    <col min="58" max="58" width="9.375" style="1953" customWidth="1"/>
    <col min="59" max="59" width="10.375" style="1953" customWidth="1"/>
    <col min="60" max="61" width="9.375" style="1953" customWidth="1"/>
    <col min="62" max="62" width="8.375" style="1953" customWidth="1"/>
    <col min="63" max="63" width="4.875" style="1953" customWidth="1"/>
    <col min="64" max="64" width="4" style="1953" customWidth="1"/>
    <col min="65" max="65" width="5.25" style="1953" customWidth="1"/>
    <col min="66" max="66" width="4.625" style="1953" customWidth="1"/>
    <col min="67" max="67" width="5.25" style="1953" customWidth="1"/>
    <col min="68" max="68" width="4.625" style="1953" customWidth="1"/>
    <col min="69" max="69" width="5.25" style="1953" customWidth="1"/>
    <col min="70" max="70" width="4.625" style="1953" customWidth="1"/>
    <col min="71" max="71" width="5.25" style="1953" customWidth="1"/>
    <col min="72" max="72" width="4.625" style="1953" customWidth="1"/>
    <col min="73" max="73" width="5.25" style="1953" customWidth="1"/>
    <col min="74" max="74" width="4.625" style="1953" customWidth="1"/>
    <col min="75" max="75" width="5.25" style="1953" customWidth="1"/>
    <col min="76" max="76" width="4.625" style="1953" customWidth="1"/>
    <col min="77" max="77" width="5.25" style="1953" customWidth="1"/>
    <col min="78" max="78" width="4.625" style="1953" customWidth="1"/>
    <col min="79" max="79" width="5.25" style="1953" customWidth="1"/>
    <col min="80" max="80" width="4.625" style="1953" customWidth="1"/>
    <col min="81" max="81" width="5.25" style="1953" customWidth="1"/>
    <col min="82" max="82" width="4.625" style="1953" customWidth="1"/>
    <col min="83" max="83" width="5.25" style="1953" customWidth="1"/>
    <col min="84" max="84" width="4.625" style="1953" customWidth="1"/>
    <col min="85" max="85" width="5.25" style="1953" customWidth="1"/>
    <col min="86" max="86" width="4.625" style="1953" customWidth="1"/>
    <col min="87" max="87" width="5.25" style="1953" customWidth="1"/>
    <col min="88" max="88" width="4.625" style="1953" customWidth="1"/>
    <col min="89" max="89" width="5.25" style="1953" customWidth="1"/>
    <col min="90" max="90" width="4.625" style="1953" customWidth="1"/>
    <col min="91" max="91" width="5.25" style="1953" customWidth="1"/>
    <col min="92" max="92" width="4.625" style="1953" customWidth="1"/>
    <col min="93" max="93" width="5.25" style="1953" customWidth="1"/>
    <col min="94" max="94" width="4.625" style="1953" customWidth="1"/>
    <col min="95" max="95" width="5.25" style="1953" customWidth="1"/>
    <col min="96" max="96" width="4.625" style="1953" customWidth="1"/>
    <col min="97" max="97" width="5.25" style="1953" customWidth="1"/>
    <col min="98" max="98" width="4.625" style="1953" customWidth="1"/>
    <col min="99" max="99" width="5.25" style="1953" customWidth="1"/>
    <col min="100" max="100" width="4.625" style="1953" customWidth="1"/>
    <col min="101" max="101" width="5.25" style="1953" customWidth="1"/>
    <col min="102" max="102" width="4.625" style="1953" customWidth="1"/>
    <col min="103" max="103" width="5.25" style="1953" customWidth="1"/>
    <col min="104" max="104" width="4.625" style="1953" customWidth="1"/>
    <col min="105" max="105" width="5.25" style="1953" customWidth="1"/>
    <col min="106" max="106" width="4.625" style="1953" customWidth="1"/>
    <col min="107" max="107" width="5.25" style="1953" customWidth="1"/>
    <col min="108" max="108" width="4.625" style="1953" customWidth="1"/>
    <col min="109" max="109" width="5.25" style="1953" customWidth="1"/>
    <col min="110" max="110" width="4.625" style="1953" customWidth="1"/>
    <col min="111" max="111" width="5.25" style="1953" customWidth="1"/>
    <col min="112" max="112" width="4.625" style="1953" customWidth="1"/>
    <col min="113" max="113" width="5.25" style="1953" customWidth="1"/>
    <col min="114" max="114" width="4.625" style="1953" customWidth="1"/>
    <col min="115" max="115" width="5.25" style="1953" customWidth="1"/>
    <col min="116" max="116" width="4.625" style="1953" customWidth="1"/>
    <col min="117" max="117" width="5.25" style="1953" customWidth="1"/>
    <col min="118" max="118" width="4.625" style="1953" customWidth="1"/>
    <col min="119" max="119" width="7.125" style="1953" customWidth="1"/>
    <col min="120" max="120" width="6" style="1953" customWidth="1"/>
    <col min="121" max="121" width="5.25" style="1953" customWidth="1"/>
    <col min="122" max="122" width="4.625" style="1953" customWidth="1"/>
    <col min="123" max="123" width="5.25" style="1953" customWidth="1"/>
    <col min="124" max="124" width="4.625" style="1953" customWidth="1"/>
    <col min="125" max="125" width="5.25" style="1953" customWidth="1"/>
    <col min="126" max="126" width="4.625" style="1953" customWidth="1"/>
    <col min="127" max="127" width="5.25" style="1953" customWidth="1"/>
    <col min="128" max="128" width="4.625" style="1953" customWidth="1"/>
    <col min="129" max="129" width="5.25" style="1953" customWidth="1"/>
    <col min="130" max="130" width="4.625" style="1953" customWidth="1"/>
    <col min="131" max="131" width="5.25" style="1953" customWidth="1"/>
    <col min="132" max="132" width="4.625" style="1953" customWidth="1"/>
    <col min="133" max="133" width="5.25" style="1953" customWidth="1"/>
    <col min="134" max="134" width="4.625" style="1953" customWidth="1"/>
    <col min="135" max="16384" width="7.625" style="1953"/>
  </cols>
  <sheetData>
    <row r="1" spans="1:133" s="1946" customFormat="1" ht="39.950000000000003" hidden="1" customHeight="1" x14ac:dyDescent="0.2">
      <c r="AX1" s="1947"/>
    </row>
    <row r="2" spans="1:133" s="1946" customFormat="1" ht="42" hidden="1" customHeight="1" x14ac:dyDescent="0.2"/>
    <row r="3" spans="1:133" ht="35.25" customHeight="1" x14ac:dyDescent="0.2">
      <c r="D3" s="1951"/>
      <c r="F3" s="1951"/>
      <c r="G3" s="1951"/>
      <c r="I3" s="1951"/>
      <c r="AH3" s="1951"/>
      <c r="AN3" s="1951"/>
      <c r="AQ3" s="1951"/>
      <c r="AS3" s="1951"/>
      <c r="AX3" s="1952"/>
      <c r="AZ3" s="1951"/>
      <c r="BB3" s="1951"/>
      <c r="BD3" s="1951"/>
      <c r="BF3" s="1951"/>
      <c r="BH3" s="1951"/>
      <c r="BJ3" s="1951"/>
      <c r="BL3" s="1951"/>
    </row>
    <row r="4" spans="1:133" ht="12" customHeight="1" x14ac:dyDescent="0.2">
      <c r="A4" s="1992"/>
      <c r="D4" s="1952"/>
      <c r="F4" s="1952"/>
      <c r="G4" s="1952"/>
      <c r="I4" s="1952"/>
      <c r="AX4" s="1952"/>
      <c r="BN4" s="1951"/>
    </row>
    <row r="5" spans="1:133" ht="12" customHeight="1" x14ac:dyDescent="0.2">
      <c r="A5" s="1950" t="s">
        <v>5445</v>
      </c>
      <c r="B5" s="1951"/>
      <c r="C5" s="1951"/>
      <c r="D5" s="1952"/>
      <c r="E5" s="1951"/>
      <c r="F5" s="1952"/>
      <c r="G5" s="1952"/>
      <c r="H5" s="1951"/>
      <c r="I5" s="1952"/>
      <c r="J5" s="1951"/>
      <c r="K5" s="1951"/>
      <c r="L5" s="1951"/>
      <c r="M5" s="1951"/>
      <c r="N5" s="1951"/>
      <c r="O5" s="1951"/>
      <c r="P5" s="1951"/>
      <c r="Q5" s="1951"/>
      <c r="R5" s="1951"/>
      <c r="S5" s="1951"/>
      <c r="T5" s="1951"/>
      <c r="U5" s="1951"/>
      <c r="V5" s="1951"/>
      <c r="W5" s="1951"/>
      <c r="X5" s="1951"/>
      <c r="Y5" s="1951"/>
      <c r="Z5" s="1951"/>
      <c r="AA5" s="1951"/>
      <c r="AB5" s="1951"/>
      <c r="AC5" s="1951"/>
      <c r="AD5" s="1951"/>
      <c r="AE5" s="1951"/>
      <c r="AF5" s="1951"/>
      <c r="AG5" s="1951"/>
      <c r="AI5" s="1951"/>
      <c r="AJ5" s="1951"/>
      <c r="AK5" s="1951"/>
      <c r="AL5" s="1951"/>
      <c r="AM5" s="1951"/>
      <c r="AO5" s="1951"/>
      <c r="AP5" s="1951"/>
      <c r="AR5" s="1951"/>
      <c r="AT5" s="1951"/>
      <c r="AU5" s="1951"/>
      <c r="AV5" s="1951"/>
      <c r="AW5" s="1951"/>
      <c r="AX5" s="1952"/>
      <c r="AY5" s="1951"/>
      <c r="BA5" s="1951"/>
      <c r="BC5" s="1951"/>
      <c r="BE5" s="1951"/>
      <c r="BG5" s="1951"/>
      <c r="BI5" s="1951"/>
      <c r="BK5" s="1951"/>
      <c r="BM5" s="1951"/>
      <c r="BO5" s="1951"/>
      <c r="BP5" s="1951"/>
      <c r="BQ5" s="1951"/>
      <c r="BR5" s="1951"/>
      <c r="BS5" s="1951"/>
      <c r="BT5" s="1951"/>
      <c r="BU5" s="1951"/>
      <c r="BV5" s="1951"/>
      <c r="BW5" s="1951"/>
      <c r="BX5" s="1951"/>
      <c r="BY5" s="1951"/>
      <c r="BZ5" s="1951"/>
      <c r="CA5" s="1951"/>
      <c r="CB5" s="1951"/>
      <c r="CC5" s="1951"/>
      <c r="CD5" s="1951"/>
    </row>
    <row r="6" spans="1:133" ht="12" customHeight="1" x14ac:dyDescent="0.2">
      <c r="A6" s="1952" t="s">
        <v>2260</v>
      </c>
      <c r="B6" s="1952"/>
      <c r="C6" s="1952"/>
      <c r="D6" s="1952"/>
      <c r="E6" s="1952"/>
      <c r="F6" s="1952"/>
      <c r="G6" s="1952"/>
      <c r="H6" s="1952"/>
      <c r="I6" s="1952"/>
      <c r="AX6" s="1952"/>
    </row>
    <row r="7" spans="1:133" ht="12" customHeight="1" x14ac:dyDescent="0.2">
      <c r="A7" s="1952" t="s">
        <v>875</v>
      </c>
      <c r="B7" s="1952"/>
      <c r="C7" s="1952"/>
      <c r="E7" s="1952"/>
      <c r="H7" s="1952"/>
      <c r="AX7" s="1952"/>
    </row>
    <row r="8" spans="1:133" ht="12" customHeight="1" x14ac:dyDescent="0.2">
      <c r="A8" s="1952" t="s">
        <v>876</v>
      </c>
      <c r="B8" s="1952"/>
      <c r="C8" s="1952"/>
      <c r="D8" s="1952"/>
      <c r="E8" s="1952"/>
      <c r="F8" s="1952"/>
      <c r="G8" s="1952"/>
      <c r="H8" s="1952"/>
      <c r="I8" s="1952"/>
      <c r="AH8" s="1952"/>
      <c r="AN8" s="1952"/>
      <c r="AQ8" s="1952"/>
      <c r="AS8" s="1952"/>
      <c r="AX8" s="1952"/>
      <c r="AZ8" s="1952"/>
      <c r="BB8" s="1952"/>
      <c r="BD8" s="1952"/>
      <c r="BF8" s="1952"/>
      <c r="BH8" s="1952"/>
      <c r="BJ8" s="1952"/>
      <c r="BL8" s="1952"/>
    </row>
    <row r="9" spans="1:133" ht="12" customHeight="1" x14ac:dyDescent="0.2">
      <c r="D9" s="1956"/>
      <c r="F9" s="1956"/>
      <c r="G9" s="1956"/>
      <c r="I9" s="1956"/>
      <c r="AH9" s="1956"/>
      <c r="AN9" s="1956"/>
      <c r="AQ9" s="1956"/>
      <c r="AS9" s="1956"/>
      <c r="AX9" s="1952"/>
      <c r="AZ9" s="1952"/>
      <c r="BB9" s="1952"/>
      <c r="BD9" s="1952"/>
      <c r="BF9" s="1952"/>
      <c r="BH9" s="1952"/>
      <c r="BJ9" s="1952"/>
      <c r="BL9" s="1952"/>
      <c r="BN9" s="1952"/>
    </row>
    <row r="10" spans="1:133" s="1946" customFormat="1" ht="12" hidden="1" customHeight="1" outlineLevel="1" x14ac:dyDescent="0.2">
      <c r="A10" s="1951" t="s">
        <v>877</v>
      </c>
      <c r="B10" s="1952" t="s">
        <v>2411</v>
      </c>
      <c r="AD10" s="1952"/>
      <c r="AE10" s="1952"/>
      <c r="AF10" s="1952"/>
      <c r="AG10" s="1952"/>
      <c r="AH10" s="1952"/>
      <c r="AK10" s="1952"/>
      <c r="AL10" s="1952"/>
      <c r="AM10" s="1952"/>
      <c r="CG10" s="1952"/>
      <c r="CH10" s="1952"/>
      <c r="CI10" s="1952"/>
      <c r="CJ10" s="1952"/>
      <c r="CK10" s="1952"/>
      <c r="CL10" s="1952"/>
      <c r="CM10" s="1952"/>
      <c r="CN10" s="1952"/>
      <c r="CO10" s="1952"/>
      <c r="CP10" s="1952"/>
      <c r="CQ10" s="1952"/>
      <c r="CR10" s="1952"/>
      <c r="CS10" s="1952"/>
      <c r="CT10" s="1952"/>
      <c r="CU10" s="1952"/>
      <c r="CV10" s="1952"/>
      <c r="CW10" s="1952"/>
      <c r="CX10" s="1952"/>
      <c r="CY10" s="1952"/>
      <c r="CZ10" s="1952"/>
      <c r="DA10" s="1952"/>
      <c r="DB10" s="1952"/>
      <c r="DC10" s="1952"/>
      <c r="DD10" s="1952"/>
      <c r="DE10" s="1952"/>
      <c r="DF10" s="1952"/>
      <c r="DG10" s="1952"/>
      <c r="DH10" s="1952"/>
      <c r="DI10" s="1952"/>
      <c r="DJ10" s="1952"/>
      <c r="DK10" s="1952"/>
      <c r="DL10" s="1952"/>
      <c r="DM10" s="1952"/>
      <c r="DN10" s="1952"/>
      <c r="DO10" s="1952"/>
      <c r="DP10" s="1952"/>
      <c r="DQ10" s="1955"/>
      <c r="DR10" s="1955"/>
      <c r="DS10" s="1955"/>
      <c r="DT10" s="1955"/>
      <c r="DU10" s="1955"/>
      <c r="DV10" s="1955"/>
      <c r="DW10" s="1955"/>
      <c r="DX10" s="1955"/>
      <c r="DY10" s="1955"/>
      <c r="DZ10" s="1955"/>
      <c r="EA10" s="1955"/>
      <c r="EB10" s="1955"/>
      <c r="EC10" s="1955"/>
    </row>
    <row r="11" spans="1:133" s="1946" customFormat="1" ht="12" hidden="1" customHeight="1" outlineLevel="1" x14ac:dyDescent="0.2">
      <c r="A11" s="1951" t="s">
        <v>879</v>
      </c>
      <c r="B11" s="1956">
        <v>45394.653171226855</v>
      </c>
      <c r="AD11" s="1956"/>
      <c r="AE11" s="1956"/>
      <c r="AF11" s="1956"/>
      <c r="AG11" s="1956"/>
      <c r="AH11" s="1956"/>
      <c r="AK11" s="1956"/>
      <c r="AL11" s="1956"/>
      <c r="AM11" s="1956"/>
      <c r="CG11" s="1952"/>
      <c r="CH11" s="1952"/>
      <c r="CI11" s="1952"/>
      <c r="CJ11" s="1952"/>
      <c r="CK11" s="1952"/>
      <c r="CL11" s="1952"/>
      <c r="CM11" s="1952"/>
      <c r="CN11" s="1952"/>
      <c r="CO11" s="1952"/>
      <c r="CP11" s="1952"/>
      <c r="CQ11" s="1952"/>
      <c r="CR11" s="1952"/>
      <c r="CS11" s="1952"/>
      <c r="CT11" s="1952"/>
      <c r="CU11" s="1952"/>
      <c r="CV11" s="1952"/>
      <c r="CW11" s="1952"/>
      <c r="CX11" s="1952"/>
      <c r="CY11" s="1952"/>
      <c r="CZ11" s="1952"/>
      <c r="DA11" s="1952"/>
      <c r="DB11" s="1952"/>
      <c r="DC11" s="1952"/>
      <c r="DD11" s="1952"/>
      <c r="DE11" s="1952"/>
      <c r="DF11" s="1952"/>
      <c r="DG11" s="1952"/>
      <c r="DH11" s="1952"/>
      <c r="DI11" s="1952"/>
      <c r="DJ11" s="1952"/>
      <c r="DK11" s="1952"/>
      <c r="DL11" s="1952"/>
      <c r="DM11" s="1952"/>
      <c r="DN11" s="1952"/>
      <c r="DO11" s="1952"/>
      <c r="DP11" s="1952"/>
      <c r="DQ11" s="1955"/>
      <c r="DR11" s="1955"/>
      <c r="DS11" s="1955"/>
      <c r="DT11" s="1955"/>
      <c r="DU11" s="1955"/>
      <c r="DV11" s="1955"/>
      <c r="DW11" s="1955"/>
      <c r="DX11" s="1955"/>
      <c r="DY11" s="1955"/>
      <c r="DZ11" s="1955"/>
      <c r="EA11" s="1955"/>
      <c r="EB11" s="1955"/>
      <c r="EC11" s="1955"/>
    </row>
    <row r="12" spans="1:133" s="1946" customFormat="1" ht="12" hidden="1" customHeight="1" outlineLevel="1" x14ac:dyDescent="0.2">
      <c r="AX12" s="1948"/>
      <c r="AZ12" s="1948"/>
      <c r="BB12" s="1948"/>
      <c r="BD12" s="1948"/>
      <c r="BF12" s="1948"/>
      <c r="BH12" s="1948"/>
      <c r="BJ12" s="1948"/>
      <c r="BL12" s="1948"/>
      <c r="BN12" s="1948"/>
    </row>
    <row r="13" spans="1:133" s="1946" customFormat="1" ht="12" hidden="1" customHeight="1" outlineLevel="1" x14ac:dyDescent="0.2">
      <c r="A13" s="1953"/>
      <c r="B13" s="1953"/>
      <c r="AB13" s="1953"/>
      <c r="AC13" s="1953"/>
      <c r="AD13" s="1953"/>
      <c r="AE13" s="1953"/>
      <c r="AF13" s="1953"/>
      <c r="AI13" s="1953"/>
      <c r="AJ13" s="1953"/>
      <c r="AK13" s="1953"/>
      <c r="AL13" s="1953"/>
      <c r="AO13" s="1953"/>
      <c r="AT13" s="1953"/>
      <c r="AV13" s="1953"/>
      <c r="AW13" s="1948"/>
      <c r="AX13" s="1947"/>
      <c r="AY13" s="1948"/>
      <c r="AZ13" s="1948"/>
      <c r="BA13" s="1948"/>
      <c r="BB13" s="1948"/>
      <c r="BC13" s="1948"/>
      <c r="BD13" s="1948"/>
      <c r="BE13" s="1948"/>
      <c r="BF13" s="1948"/>
      <c r="BG13" s="1948"/>
      <c r="BH13" s="1948"/>
      <c r="BI13" s="1948"/>
      <c r="BJ13" s="1948"/>
      <c r="BK13" s="1948"/>
      <c r="BL13" s="1948"/>
      <c r="BM13" s="1948"/>
      <c r="BN13" s="1948"/>
      <c r="BO13" s="1948"/>
      <c r="BP13" s="1948"/>
      <c r="BQ13" s="1948"/>
      <c r="BR13" s="1948"/>
      <c r="BS13" s="1948"/>
      <c r="BT13" s="1948"/>
      <c r="BU13" s="1948"/>
      <c r="BV13" s="1948"/>
      <c r="BW13" s="1948"/>
      <c r="BX13" s="1948"/>
      <c r="BY13" s="1948"/>
      <c r="BZ13" s="1948"/>
      <c r="CA13" s="1948"/>
      <c r="CB13" s="1948"/>
      <c r="CC13" s="1948"/>
      <c r="CD13" s="1948"/>
    </row>
    <row r="14" spans="1:133" s="1946" customFormat="1" ht="12" hidden="1" customHeight="1" outlineLevel="1" x14ac:dyDescent="0.2">
      <c r="A14" s="1953"/>
      <c r="B14" s="1953"/>
      <c r="AB14" s="1953"/>
      <c r="AC14" s="1953"/>
      <c r="AD14" s="1953"/>
      <c r="AE14" s="1953"/>
      <c r="AF14" s="1953"/>
      <c r="AI14" s="1953"/>
      <c r="AJ14" s="1953"/>
      <c r="AK14" s="1953"/>
      <c r="AL14" s="1953"/>
      <c r="AO14" s="1953"/>
      <c r="AT14" s="1953"/>
      <c r="AV14" s="1953"/>
      <c r="AW14" s="1948"/>
      <c r="AX14" s="1948"/>
      <c r="AY14" s="1948"/>
      <c r="AZ14" s="1948"/>
      <c r="BA14" s="1948"/>
      <c r="BB14" s="1948"/>
      <c r="BC14" s="1948"/>
      <c r="BD14" s="1948"/>
      <c r="BE14" s="1948"/>
      <c r="BF14" s="1948"/>
      <c r="BG14" s="1948"/>
      <c r="BH14" s="1948"/>
      <c r="BI14" s="1948"/>
      <c r="BJ14" s="1948"/>
      <c r="BK14" s="1948"/>
      <c r="BL14" s="1948"/>
      <c r="BM14" s="1948"/>
      <c r="BN14" s="1948"/>
      <c r="BO14" s="1948"/>
      <c r="BP14" s="1948"/>
      <c r="BQ14" s="1948"/>
      <c r="BR14" s="1948"/>
      <c r="BS14" s="1948"/>
      <c r="BT14" s="1948"/>
      <c r="BU14" s="1948"/>
      <c r="BV14" s="1948"/>
      <c r="BW14" s="1948"/>
      <c r="BX14" s="1948"/>
      <c r="BY14" s="1948"/>
      <c r="BZ14" s="1948"/>
      <c r="CA14" s="1948"/>
      <c r="CB14" s="1948"/>
      <c r="CC14" s="1948"/>
      <c r="CD14" s="1948"/>
    </row>
    <row r="15" spans="1:133" ht="12" hidden="1" customHeight="1" outlineLevel="1" x14ac:dyDescent="0.2">
      <c r="C15" s="1946"/>
      <c r="D15" s="1946"/>
      <c r="E15" s="1946"/>
      <c r="F15" s="1946"/>
      <c r="G15" s="1946"/>
      <c r="H15" s="1946"/>
      <c r="I15" s="1946"/>
      <c r="J15" s="1946"/>
      <c r="K15" s="1946"/>
      <c r="L15" s="1946"/>
      <c r="M15" s="1946"/>
      <c r="N15" s="1946"/>
      <c r="O15" s="1946"/>
      <c r="P15" s="1946"/>
      <c r="Q15" s="1946"/>
      <c r="R15" s="1946"/>
      <c r="S15" s="1946"/>
      <c r="T15" s="1946"/>
      <c r="U15" s="1946"/>
      <c r="V15" s="1946"/>
      <c r="W15" s="1946"/>
      <c r="X15" s="1946"/>
      <c r="Y15" s="1946"/>
      <c r="Z15" s="1946"/>
      <c r="AA15" s="1946"/>
      <c r="AG15" s="1946"/>
      <c r="AH15" s="1946"/>
      <c r="AM15" s="1946"/>
      <c r="AN15" s="1946"/>
      <c r="AP15" s="1946"/>
      <c r="AQ15" s="1946"/>
      <c r="AR15" s="1946"/>
      <c r="AS15" s="1946"/>
      <c r="AU15" s="1946"/>
      <c r="AW15" s="1948"/>
      <c r="AX15" s="1948"/>
      <c r="AY15" s="1952"/>
      <c r="AZ15" s="1952"/>
      <c r="BA15" s="1952"/>
      <c r="BB15" s="1952"/>
      <c r="BC15" s="1952"/>
      <c r="BD15" s="1952"/>
      <c r="BE15" s="1952"/>
      <c r="BF15" s="1952"/>
      <c r="BG15" s="1952"/>
      <c r="BH15" s="1952"/>
      <c r="BI15" s="1952"/>
      <c r="BJ15" s="1952"/>
      <c r="BK15" s="1952"/>
      <c r="BL15" s="1952"/>
    </row>
    <row r="16" spans="1:133" s="1946" customFormat="1" ht="12" hidden="1" customHeight="1" outlineLevel="1" x14ac:dyDescent="0.2">
      <c r="A16" s="1953"/>
      <c r="B16" s="1953"/>
      <c r="AB16" s="1953"/>
      <c r="AC16" s="1953"/>
      <c r="AD16" s="1953"/>
      <c r="AE16" s="1953"/>
      <c r="AF16" s="1953"/>
      <c r="AI16" s="1953"/>
      <c r="AJ16" s="1953"/>
      <c r="AK16" s="1953"/>
      <c r="AL16" s="1953"/>
      <c r="AO16" s="1953"/>
      <c r="AT16" s="1953"/>
      <c r="AV16" s="1953"/>
      <c r="AW16" s="1948"/>
      <c r="AX16" s="1948"/>
      <c r="AY16" s="1948"/>
      <c r="AZ16" s="1948"/>
      <c r="BA16" s="1948"/>
      <c r="BB16" s="1948"/>
      <c r="BC16" s="1948"/>
      <c r="BD16" s="1948"/>
      <c r="BE16" s="1948"/>
      <c r="BF16" s="1948"/>
      <c r="BG16" s="1948"/>
      <c r="BH16" s="1948"/>
      <c r="BI16" s="1948"/>
      <c r="BJ16" s="1948"/>
      <c r="BK16" s="1948"/>
      <c r="BL16" s="1948"/>
      <c r="BM16" s="1948"/>
      <c r="BN16" s="1948"/>
      <c r="BO16" s="1948"/>
      <c r="BP16" s="1948"/>
      <c r="BQ16" s="1948"/>
      <c r="BR16" s="1948"/>
      <c r="BS16" s="1948"/>
      <c r="BT16" s="1948"/>
      <c r="BU16" s="1948"/>
      <c r="BV16" s="1948"/>
      <c r="BW16" s="1948"/>
      <c r="BX16" s="1948"/>
      <c r="BY16" s="1948"/>
      <c r="BZ16" s="1948"/>
      <c r="CA16" s="1948"/>
      <c r="CB16" s="1948"/>
      <c r="CC16" s="1948"/>
      <c r="CD16" s="1948"/>
    </row>
    <row r="17" spans="1:134" s="1946" customFormat="1" ht="12" hidden="1" customHeight="1" outlineLevel="1" x14ac:dyDescent="0.2">
      <c r="A17" s="1953"/>
      <c r="B17" s="1953"/>
      <c r="AB17" s="1953"/>
      <c r="AC17" s="1953"/>
      <c r="AD17" s="1953"/>
      <c r="AE17" s="1953"/>
      <c r="AF17" s="1953"/>
      <c r="AI17" s="1953"/>
      <c r="AJ17" s="1953"/>
      <c r="AK17" s="1953"/>
      <c r="AL17" s="1953"/>
      <c r="AO17" s="1953"/>
      <c r="AT17" s="1953"/>
      <c r="AV17" s="1953"/>
      <c r="AW17" s="1948"/>
      <c r="AX17" s="1948"/>
      <c r="AY17" s="1948"/>
      <c r="AZ17" s="1948"/>
      <c r="BA17" s="1948"/>
      <c r="BB17" s="1948"/>
      <c r="BC17" s="1948"/>
      <c r="BD17" s="1948"/>
      <c r="BE17" s="1948"/>
      <c r="BF17" s="1948"/>
      <c r="BG17" s="1948"/>
      <c r="BH17" s="1948"/>
      <c r="BI17" s="1948"/>
      <c r="BJ17" s="1948"/>
      <c r="BK17" s="1948"/>
      <c r="BL17" s="1948"/>
      <c r="BM17" s="1948"/>
      <c r="BN17" s="1948"/>
      <c r="BO17" s="1948"/>
      <c r="BP17" s="1948"/>
      <c r="BQ17" s="1948"/>
      <c r="BR17" s="1948"/>
      <c r="BS17" s="1948"/>
      <c r="BT17" s="1948"/>
      <c r="BU17" s="1948"/>
      <c r="BV17" s="1948"/>
      <c r="BW17" s="1948"/>
      <c r="BX17" s="1948"/>
      <c r="BY17" s="1948"/>
      <c r="BZ17" s="1948"/>
      <c r="CA17" s="1948"/>
      <c r="CB17" s="1948"/>
      <c r="CC17" s="1948"/>
      <c r="CD17" s="1948"/>
    </row>
    <row r="18" spans="1:134" s="1946" customFormat="1" ht="12" hidden="1" customHeight="1" outlineLevel="1" x14ac:dyDescent="0.2">
      <c r="A18" s="1953"/>
      <c r="B18" s="1953"/>
      <c r="AB18" s="1953"/>
      <c r="AC18" s="1953"/>
      <c r="AD18" s="1953"/>
      <c r="AE18" s="1953"/>
      <c r="AF18" s="1953"/>
      <c r="AI18" s="1953"/>
      <c r="AJ18" s="1953"/>
      <c r="AK18" s="1953"/>
      <c r="AL18" s="1953"/>
      <c r="AO18" s="1953"/>
      <c r="AT18" s="1953"/>
      <c r="AV18" s="1953"/>
      <c r="AW18" s="1948"/>
      <c r="AX18" s="1948"/>
      <c r="AY18" s="1948"/>
      <c r="AZ18" s="1948"/>
      <c r="BA18" s="1948"/>
      <c r="BB18" s="1948"/>
      <c r="BC18" s="1948"/>
      <c r="BD18" s="1948"/>
      <c r="BE18" s="1948"/>
      <c r="BF18" s="1948"/>
      <c r="BG18" s="1948"/>
      <c r="BH18" s="1948"/>
      <c r="BI18" s="1948"/>
      <c r="BJ18" s="1948"/>
      <c r="BK18" s="1948"/>
      <c r="BL18" s="1948"/>
      <c r="BM18" s="1948"/>
      <c r="BN18" s="1948"/>
      <c r="BO18" s="1948"/>
      <c r="BP18" s="1948"/>
      <c r="BQ18" s="1948"/>
      <c r="BR18" s="1948"/>
      <c r="BS18" s="1948"/>
      <c r="BT18" s="1948"/>
      <c r="BU18" s="1948"/>
      <c r="BV18" s="1948"/>
      <c r="BW18" s="1948"/>
      <c r="BX18" s="1948"/>
      <c r="BY18" s="1948"/>
      <c r="BZ18" s="1948"/>
      <c r="CA18" s="1948"/>
      <c r="CB18" s="1948"/>
      <c r="CC18" s="1948"/>
      <c r="CD18" s="1948"/>
    </row>
    <row r="19" spans="1:134" s="1946" customFormat="1" ht="12" hidden="1" customHeight="1" outlineLevel="1" x14ac:dyDescent="0.2">
      <c r="A19" s="1953"/>
      <c r="B19" s="1953" t="s">
        <v>5446</v>
      </c>
      <c r="AB19" s="1953"/>
      <c r="AC19" s="1953"/>
      <c r="AD19" s="1953"/>
      <c r="AE19" s="1953"/>
      <c r="AF19" s="1953"/>
      <c r="AI19" s="1953"/>
      <c r="AJ19" s="1953"/>
      <c r="AK19" s="1953"/>
      <c r="AL19" s="1953"/>
      <c r="AO19" s="1953"/>
      <c r="AT19" s="1953"/>
      <c r="AV19" s="1953"/>
      <c r="AW19" s="1948"/>
      <c r="AX19" s="1948"/>
      <c r="AY19" s="1948"/>
      <c r="AZ19" s="1948"/>
      <c r="BA19" s="1948"/>
      <c r="BB19" s="1948"/>
      <c r="BC19" s="1948"/>
      <c r="BD19" s="1948"/>
      <c r="BE19" s="1948"/>
      <c r="BF19" s="1948"/>
      <c r="BG19" s="1948"/>
      <c r="BH19" s="1948"/>
      <c r="BI19" s="1948"/>
      <c r="BJ19" s="1948"/>
      <c r="BK19" s="1948"/>
      <c r="BL19" s="1948"/>
      <c r="BM19" s="1948"/>
      <c r="BN19" s="1948"/>
      <c r="BO19" s="1948"/>
      <c r="BP19" s="1948"/>
      <c r="BQ19" s="1948"/>
      <c r="BR19" s="1948"/>
      <c r="BS19" s="1948"/>
      <c r="BT19" s="1948"/>
      <c r="BU19" s="1948"/>
      <c r="BV19" s="1948"/>
      <c r="BW19" s="1948"/>
      <c r="BX19" s="1948"/>
      <c r="BY19" s="1948"/>
      <c r="BZ19" s="1948"/>
      <c r="CA19" s="1948"/>
      <c r="CB19" s="1948"/>
      <c r="CC19" s="1948"/>
      <c r="CD19" s="1948"/>
    </row>
    <row r="20" spans="1:134" s="1946" customFormat="1" ht="12" hidden="1" customHeight="1" outlineLevel="1" x14ac:dyDescent="0.2">
      <c r="A20" s="1953"/>
      <c r="B20" s="1953"/>
      <c r="AB20" s="1953"/>
      <c r="AC20" s="1953"/>
      <c r="AD20" s="1953"/>
      <c r="AE20" s="1953"/>
      <c r="AF20" s="1953"/>
      <c r="AI20" s="1953"/>
      <c r="AJ20" s="1953"/>
      <c r="AK20" s="1953"/>
      <c r="AL20" s="1953"/>
      <c r="AO20" s="1953"/>
      <c r="AT20" s="1953"/>
      <c r="AV20" s="1953"/>
      <c r="AW20" s="1948"/>
      <c r="AX20" s="1948"/>
      <c r="AY20" s="1948"/>
      <c r="AZ20" s="1948"/>
      <c r="BA20" s="1948"/>
      <c r="BB20" s="1948"/>
      <c r="BC20" s="1948"/>
      <c r="BD20" s="1948"/>
      <c r="BE20" s="1948"/>
      <c r="BF20" s="1948"/>
      <c r="BG20" s="1948"/>
      <c r="BH20" s="1948"/>
      <c r="BI20" s="1948"/>
      <c r="BJ20" s="1948"/>
      <c r="BK20" s="1948"/>
      <c r="BL20" s="1948"/>
      <c r="BM20" s="1948"/>
      <c r="BN20" s="1948"/>
      <c r="BO20" s="1948"/>
      <c r="BP20" s="1948"/>
      <c r="BQ20" s="1948"/>
      <c r="BR20" s="1948"/>
      <c r="BS20" s="1948"/>
      <c r="BT20" s="1948"/>
      <c r="BU20" s="1948"/>
      <c r="BV20" s="1948"/>
      <c r="BW20" s="1948"/>
      <c r="BX20" s="1948"/>
      <c r="BY20" s="1948"/>
      <c r="BZ20" s="1948"/>
      <c r="CA20" s="1948"/>
      <c r="CB20" s="1948"/>
      <c r="CC20" s="1948"/>
      <c r="CD20" s="1948"/>
    </row>
    <row r="21" spans="1:134" s="1946" customFormat="1" ht="12" hidden="1" customHeight="1" outlineLevel="1" x14ac:dyDescent="0.2">
      <c r="A21" s="1953"/>
      <c r="B21" s="1953"/>
      <c r="AB21" s="1953"/>
      <c r="AC21" s="1953"/>
      <c r="AD21" s="1953"/>
      <c r="AE21" s="1953"/>
      <c r="AF21" s="1953"/>
      <c r="AI21" s="1953"/>
      <c r="AJ21" s="1953"/>
      <c r="AK21" s="1953"/>
      <c r="AL21" s="1953"/>
      <c r="AO21" s="1953"/>
      <c r="AT21" s="1953"/>
      <c r="AV21" s="1953"/>
      <c r="AW21" s="1948"/>
      <c r="AX21" s="1948"/>
      <c r="AY21" s="1948"/>
      <c r="AZ21" s="1948"/>
      <c r="BA21" s="1948"/>
      <c r="BB21" s="1948"/>
      <c r="BC21" s="1948"/>
      <c r="BD21" s="1948"/>
      <c r="BE21" s="1948"/>
      <c r="BF21" s="1948"/>
      <c r="BG21" s="1948"/>
      <c r="BH21" s="1948"/>
      <c r="BI21" s="1948"/>
      <c r="BJ21" s="1948"/>
      <c r="BK21" s="1948"/>
      <c r="BL21" s="1948"/>
      <c r="BM21" s="1948"/>
      <c r="BN21" s="1948"/>
      <c r="BO21" s="1948"/>
      <c r="BP21" s="1948"/>
      <c r="BQ21" s="1948"/>
      <c r="BR21" s="1948"/>
      <c r="BS21" s="1948"/>
      <c r="BT21" s="1948"/>
      <c r="BU21" s="1948"/>
      <c r="BV21" s="1948"/>
      <c r="BW21" s="1948"/>
      <c r="BX21" s="1948"/>
      <c r="BY21" s="1948"/>
      <c r="BZ21" s="1948"/>
      <c r="CA21" s="1948"/>
      <c r="CB21" s="1948"/>
      <c r="CC21" s="1948"/>
      <c r="CD21" s="1948"/>
    </row>
    <row r="22" spans="1:134" s="1946" customFormat="1" ht="12" hidden="1" customHeight="1" outlineLevel="1" x14ac:dyDescent="0.2">
      <c r="A22" s="1953"/>
      <c r="B22" s="1953"/>
      <c r="AB22" s="1953"/>
      <c r="AC22" s="1953"/>
      <c r="AD22" s="1953"/>
      <c r="AE22" s="1953"/>
      <c r="AF22" s="1953"/>
      <c r="AI22" s="1953"/>
      <c r="AJ22" s="1953"/>
      <c r="AK22" s="1953"/>
      <c r="AL22" s="1953"/>
      <c r="AO22" s="1953"/>
      <c r="AT22" s="1953"/>
      <c r="AV22" s="1953"/>
      <c r="AW22" s="1948"/>
      <c r="AX22" s="1948"/>
      <c r="AY22" s="1948"/>
      <c r="AZ22" s="1948"/>
      <c r="BA22" s="1948"/>
      <c r="BB22" s="1948"/>
      <c r="BC22" s="1948"/>
      <c r="BD22" s="1948"/>
      <c r="BE22" s="1948"/>
      <c r="BF22" s="1948"/>
      <c r="BG22" s="1948"/>
      <c r="BH22" s="1948"/>
      <c r="BI22" s="1948"/>
      <c r="BJ22" s="1948"/>
      <c r="BK22" s="1948"/>
      <c r="BL22" s="1948"/>
      <c r="BM22" s="1948"/>
      <c r="BN22" s="1948"/>
      <c r="BO22" s="1948"/>
      <c r="BP22" s="1948"/>
      <c r="BQ22" s="1948"/>
      <c r="BR22" s="1948"/>
      <c r="BS22" s="1948"/>
      <c r="BT22" s="1948"/>
      <c r="BU22" s="1948"/>
      <c r="BV22" s="1948"/>
      <c r="BW22" s="1948"/>
      <c r="BX22" s="1948"/>
      <c r="BY22" s="1948"/>
      <c r="BZ22" s="1948"/>
      <c r="CA22" s="1948"/>
      <c r="CB22" s="1948"/>
      <c r="CC22" s="1948"/>
      <c r="CD22" s="1948"/>
    </row>
    <row r="23" spans="1:134" ht="12" hidden="1" customHeight="1" outlineLevel="1" x14ac:dyDescent="0.2">
      <c r="C23" s="1946"/>
      <c r="D23" s="1946"/>
      <c r="E23" s="1946"/>
      <c r="F23" s="1946"/>
      <c r="G23" s="1946"/>
      <c r="H23" s="1946"/>
      <c r="I23" s="1946"/>
      <c r="J23" s="1946"/>
      <c r="K23" s="1946"/>
      <c r="L23" s="1946"/>
      <c r="M23" s="1946"/>
      <c r="N23" s="1946"/>
      <c r="O23" s="1946"/>
      <c r="P23" s="1946"/>
      <c r="Q23" s="1946"/>
      <c r="R23" s="1946"/>
      <c r="S23" s="1946"/>
      <c r="T23" s="1946"/>
      <c r="U23" s="1946"/>
      <c r="V23" s="1946"/>
      <c r="W23" s="1946"/>
      <c r="X23" s="1946"/>
      <c r="Y23" s="1946"/>
      <c r="Z23" s="1946"/>
      <c r="AA23" s="1946"/>
      <c r="AG23" s="1946"/>
      <c r="AH23" s="1946"/>
      <c r="AM23" s="1946"/>
      <c r="AN23" s="1946"/>
      <c r="AP23" s="1946"/>
      <c r="AQ23" s="1946"/>
      <c r="AR23" s="1946"/>
      <c r="AS23" s="1946"/>
      <c r="AU23" s="1946"/>
      <c r="AW23" s="1947"/>
      <c r="AX23" s="1948"/>
      <c r="AY23" s="1951"/>
      <c r="AZ23" s="1951"/>
      <c r="BA23" s="1951"/>
      <c r="BB23" s="1951"/>
      <c r="BC23" s="1951"/>
      <c r="BD23" s="1951"/>
      <c r="BE23" s="1951"/>
      <c r="BF23" s="1951"/>
      <c r="BG23" s="1951"/>
      <c r="BH23" s="1951"/>
      <c r="BI23" s="1951"/>
      <c r="BJ23" s="1951"/>
      <c r="BK23" s="1951"/>
      <c r="BL23" s="1951"/>
    </row>
    <row r="24" spans="1:134" ht="12" hidden="1" customHeight="1" outlineLevel="1" x14ac:dyDescent="0.2">
      <c r="C24" s="1946"/>
      <c r="D24" s="1946"/>
      <c r="E24" s="1946"/>
      <c r="F24" s="1946"/>
      <c r="G24" s="1946"/>
      <c r="H24" s="1946"/>
      <c r="I24" s="1946"/>
      <c r="J24" s="1946"/>
      <c r="K24" s="1946"/>
      <c r="L24" s="1946"/>
      <c r="M24" s="1946"/>
      <c r="N24" s="1946"/>
      <c r="O24" s="1946"/>
      <c r="P24" s="1946"/>
      <c r="Q24" s="1946"/>
      <c r="R24" s="1946"/>
      <c r="S24" s="1946"/>
      <c r="T24" s="1946"/>
      <c r="U24" s="1946"/>
      <c r="V24" s="1946"/>
      <c r="W24" s="1946"/>
      <c r="X24" s="1946"/>
      <c r="Y24" s="1946"/>
      <c r="Z24" s="1946"/>
      <c r="AA24" s="1946"/>
      <c r="AG24" s="1946"/>
      <c r="AH24" s="1946"/>
      <c r="AM24" s="1946"/>
      <c r="AN24" s="1946"/>
      <c r="AP24" s="1946"/>
      <c r="AQ24" s="1946"/>
      <c r="AR24" s="1946"/>
      <c r="AS24" s="1946"/>
      <c r="AU24" s="1946"/>
      <c r="AW24" s="1948"/>
      <c r="AX24" s="1948"/>
      <c r="AY24" s="1952"/>
      <c r="AZ24" s="1952"/>
      <c r="BA24" s="1952"/>
      <c r="BB24" s="1952"/>
      <c r="BC24" s="1952"/>
      <c r="BD24" s="1952"/>
      <c r="BE24" s="1952"/>
      <c r="BF24" s="1952"/>
      <c r="BG24" s="1952"/>
      <c r="BH24" s="1952"/>
      <c r="BI24" s="1952"/>
      <c r="BJ24" s="1952"/>
      <c r="BK24" s="1952"/>
      <c r="BL24" s="1952"/>
      <c r="BM24" s="1952"/>
      <c r="BN24" s="1952"/>
      <c r="BO24" s="1952"/>
      <c r="BP24" s="1952"/>
      <c r="BQ24" s="1952"/>
      <c r="BR24" s="1952"/>
      <c r="BS24" s="1952"/>
      <c r="BT24" s="1952"/>
      <c r="BU24" s="1952"/>
      <c r="BV24" s="1952"/>
      <c r="BW24" s="1952"/>
      <c r="BX24" s="1952"/>
      <c r="BY24" s="1952"/>
      <c r="BZ24" s="1952"/>
      <c r="CA24" s="1952"/>
      <c r="CB24" s="1952"/>
      <c r="CC24" s="1952"/>
      <c r="CD24" s="1952"/>
      <c r="CE24" s="1952"/>
      <c r="CF24" s="1952"/>
      <c r="CG24" s="1952"/>
      <c r="CH24" s="1952"/>
      <c r="CI24" s="1952"/>
      <c r="CJ24" s="1952"/>
      <c r="CK24" s="1952"/>
      <c r="CL24" s="1952"/>
      <c r="CM24" s="1952"/>
      <c r="CN24" s="1952"/>
      <c r="CO24" s="1952"/>
      <c r="CP24" s="1952"/>
      <c r="CQ24" s="1952"/>
      <c r="CR24" s="1952"/>
      <c r="CS24" s="1952"/>
      <c r="CT24" s="1952"/>
      <c r="CU24" s="1952"/>
      <c r="CV24" s="1952"/>
      <c r="CW24" s="1952"/>
      <c r="CX24" s="1952"/>
      <c r="CY24" s="1952"/>
      <c r="CZ24" s="1952"/>
      <c r="DA24" s="1952"/>
      <c r="DB24" s="1952"/>
    </row>
    <row r="25" spans="1:134" s="1946" customFormat="1" ht="12" hidden="1" customHeight="1" outlineLevel="1" x14ac:dyDescent="0.2">
      <c r="A25" s="1953"/>
      <c r="B25" s="1953"/>
      <c r="D25" s="1948"/>
      <c r="F25" s="1948"/>
      <c r="G25" s="1948"/>
      <c r="I25" s="1948"/>
      <c r="AB25" s="1953"/>
      <c r="AC25" s="1953"/>
      <c r="AD25" s="1953"/>
      <c r="AE25" s="1953"/>
      <c r="AF25" s="1953"/>
      <c r="AH25" s="1948"/>
      <c r="AI25" s="1953"/>
      <c r="AJ25" s="1953"/>
      <c r="AK25" s="1953"/>
      <c r="AL25" s="1953"/>
      <c r="AN25" s="1948"/>
      <c r="AO25" s="1953"/>
      <c r="AQ25" s="1948"/>
      <c r="AS25" s="1948"/>
      <c r="AT25" s="1953"/>
      <c r="AV25" s="1953"/>
      <c r="AW25" s="1948"/>
      <c r="AY25" s="1948"/>
      <c r="BA25" s="1948"/>
      <c r="BC25" s="1948"/>
      <c r="BE25" s="1948"/>
      <c r="BG25" s="1948"/>
      <c r="BI25" s="1948"/>
      <c r="BK25" s="1948"/>
      <c r="BM25" s="1948"/>
      <c r="BN25" s="1948"/>
      <c r="BO25" s="1948"/>
      <c r="BP25" s="1948"/>
      <c r="BQ25" s="1948"/>
      <c r="BR25" s="1948"/>
      <c r="BS25" s="1948"/>
      <c r="BT25" s="1948"/>
      <c r="BU25" s="1948"/>
      <c r="BV25" s="1948"/>
      <c r="BW25" s="1948"/>
      <c r="BX25" s="1948"/>
      <c r="BY25" s="1948"/>
      <c r="BZ25" s="1948"/>
      <c r="CA25" s="1948"/>
      <c r="CB25" s="1948"/>
      <c r="CC25" s="1948"/>
      <c r="CD25" s="1948"/>
    </row>
    <row r="26" spans="1:134" s="1946" customFormat="1" ht="12" hidden="1" customHeight="1" outlineLevel="1" x14ac:dyDescent="0.2">
      <c r="D26" s="1948"/>
      <c r="F26" s="1948"/>
      <c r="G26" s="1948"/>
      <c r="I26" s="1948"/>
      <c r="AH26" s="1948"/>
      <c r="AN26" s="1948"/>
      <c r="AQ26" s="1948"/>
      <c r="AS26" s="1948"/>
      <c r="AW26" s="1948"/>
      <c r="AX26" s="1948"/>
      <c r="AY26" s="1948"/>
      <c r="AZ26" s="1948"/>
      <c r="BA26" s="1948"/>
      <c r="BB26" s="1948"/>
      <c r="BC26" s="1948"/>
      <c r="BD26" s="1948"/>
      <c r="BE26" s="1948"/>
      <c r="BF26" s="1948"/>
      <c r="BG26" s="1948"/>
      <c r="BH26" s="1948"/>
      <c r="BI26" s="1948"/>
      <c r="BJ26" s="1948"/>
      <c r="BK26" s="1948"/>
      <c r="BL26" s="1948"/>
      <c r="BM26" s="1948"/>
      <c r="BO26" s="1948"/>
      <c r="BP26" s="1948"/>
      <c r="BQ26" s="1948"/>
      <c r="BR26" s="1948"/>
      <c r="BS26" s="1948"/>
      <c r="BT26" s="1948"/>
      <c r="BU26" s="1948"/>
      <c r="BV26" s="1948"/>
      <c r="BW26" s="1948"/>
      <c r="BX26" s="1948"/>
      <c r="BY26" s="1948"/>
      <c r="BZ26" s="1948"/>
      <c r="CA26" s="1948"/>
      <c r="CB26" s="1948"/>
      <c r="CC26" s="1948"/>
      <c r="CD26" s="1948"/>
    </row>
    <row r="27" spans="1:134" s="1946" customFormat="1" ht="12" hidden="1" customHeight="1" outlineLevel="1" x14ac:dyDescent="0.2">
      <c r="A27" s="1951" t="s">
        <v>724</v>
      </c>
      <c r="B27" s="1952" t="s">
        <v>724</v>
      </c>
      <c r="C27" s="1948"/>
      <c r="D27" s="1948"/>
      <c r="E27" s="1948"/>
      <c r="F27" s="1948"/>
      <c r="G27" s="1948"/>
      <c r="H27" s="1948"/>
      <c r="I27" s="1948"/>
      <c r="J27" s="1948"/>
      <c r="K27" s="1948"/>
      <c r="L27" s="1948"/>
      <c r="M27" s="1948"/>
      <c r="N27" s="1948"/>
      <c r="O27" s="1948"/>
      <c r="P27" s="1948"/>
      <c r="Q27" s="1948"/>
      <c r="R27" s="1948"/>
      <c r="S27" s="1948"/>
      <c r="T27" s="1948"/>
      <c r="U27" s="1948"/>
      <c r="V27" s="1948"/>
      <c r="W27" s="1948"/>
      <c r="X27" s="1948"/>
      <c r="Y27" s="1948"/>
      <c r="Z27" s="1948"/>
      <c r="AA27" s="1948"/>
      <c r="AB27" s="1952"/>
      <c r="AC27" s="1952"/>
      <c r="AD27" s="1952"/>
      <c r="AE27" s="1952"/>
      <c r="AF27" s="1952"/>
      <c r="AG27" s="1948"/>
      <c r="AH27" s="1948"/>
      <c r="AI27" s="1952"/>
      <c r="AJ27" s="1952"/>
      <c r="AK27" s="1952"/>
      <c r="AL27" s="1952"/>
      <c r="AM27" s="1948"/>
      <c r="AN27" s="1948"/>
      <c r="AO27" s="1952"/>
      <c r="AP27" s="1948"/>
      <c r="AQ27" s="1948"/>
      <c r="AR27" s="1948"/>
      <c r="AS27" s="1948"/>
      <c r="AT27" s="1952"/>
      <c r="AU27" s="1948"/>
      <c r="AV27" s="1952"/>
      <c r="AW27" s="1948"/>
      <c r="AX27" s="1948"/>
      <c r="AY27" s="1948"/>
      <c r="AZ27" s="1948"/>
      <c r="BA27" s="1948"/>
      <c r="BB27" s="1948"/>
      <c r="BC27" s="1948"/>
      <c r="BD27" s="1948"/>
      <c r="BE27" s="1948"/>
      <c r="BF27" s="1948"/>
      <c r="BG27" s="1948"/>
      <c r="BH27" s="1948"/>
      <c r="BI27" s="1948"/>
      <c r="BJ27" s="1948"/>
      <c r="BK27" s="1948"/>
      <c r="BL27" s="1948"/>
      <c r="BM27" s="1948"/>
      <c r="BN27" s="1948"/>
      <c r="BO27" s="1948"/>
      <c r="BP27" s="1948"/>
      <c r="BQ27" s="1948"/>
      <c r="BR27" s="1948"/>
      <c r="BS27" s="1948"/>
      <c r="BT27" s="1948"/>
      <c r="BU27" s="1948"/>
      <c r="BV27" s="1948"/>
      <c r="BW27" s="1948"/>
      <c r="BX27" s="1948"/>
      <c r="BY27" s="1948"/>
      <c r="BZ27" s="1948"/>
      <c r="CA27" s="1948"/>
      <c r="CB27" s="1948"/>
      <c r="CC27" s="1948"/>
      <c r="CD27" s="1948"/>
      <c r="CE27" s="1947"/>
      <c r="CF27" s="1947"/>
      <c r="CG27" s="1947"/>
      <c r="CH27" s="1947"/>
      <c r="CI27" s="1947"/>
      <c r="CJ27" s="1947"/>
      <c r="CK27" s="1947"/>
      <c r="CL27" s="1947"/>
      <c r="CM27" s="1947"/>
      <c r="CN27" s="1947"/>
      <c r="CO27" s="1947"/>
      <c r="CP27" s="1947"/>
      <c r="CQ27" s="1947"/>
      <c r="CR27" s="1947"/>
      <c r="CS27" s="1947"/>
      <c r="CT27" s="1947"/>
      <c r="CU27" s="1947"/>
      <c r="CV27" s="1947"/>
      <c r="CW27" s="1947"/>
      <c r="CX27" s="1947"/>
      <c r="CY27" s="1947"/>
      <c r="CZ27" s="1947"/>
      <c r="DA27" s="1947"/>
      <c r="DB27" s="1947"/>
      <c r="DC27" s="1947"/>
      <c r="DD27" s="1947"/>
      <c r="DE27" s="1947"/>
      <c r="DF27" s="1947"/>
      <c r="DG27" s="1947"/>
      <c r="DH27" s="1947"/>
      <c r="DI27" s="1947"/>
      <c r="DJ27" s="1947"/>
      <c r="DK27" s="1947"/>
      <c r="DL27" s="1947"/>
      <c r="DM27" s="1947"/>
      <c r="DN27" s="1947"/>
      <c r="DO27" s="1947"/>
      <c r="DP27" s="1947"/>
      <c r="DQ27" s="1947"/>
      <c r="DR27" s="1947"/>
      <c r="DS27" s="1947"/>
      <c r="DT27" s="1947"/>
      <c r="DU27" s="1947"/>
      <c r="DV27" s="1947"/>
      <c r="DW27" s="1947"/>
      <c r="DX27" s="1947"/>
      <c r="DY27" s="1947"/>
      <c r="DZ27" s="1947"/>
      <c r="EA27" s="1947"/>
      <c r="EB27" s="1947"/>
      <c r="EC27" s="1947"/>
      <c r="ED27" s="1947"/>
    </row>
    <row r="28" spans="1:134" s="1946" customFormat="1" ht="12" hidden="1" customHeight="1" outlineLevel="1" x14ac:dyDescent="0.2">
      <c r="A28" s="1951" t="s">
        <v>883</v>
      </c>
      <c r="B28" s="1952" t="s">
        <v>884</v>
      </c>
      <c r="C28" s="1948"/>
      <c r="D28" s="1948"/>
      <c r="E28" s="1948"/>
      <c r="F28" s="1948"/>
      <c r="G28" s="1948"/>
      <c r="H28" s="1948"/>
      <c r="I28" s="1948"/>
      <c r="J28" s="1948"/>
      <c r="K28" s="1948"/>
      <c r="L28" s="1948"/>
      <c r="M28" s="1948"/>
      <c r="N28" s="1948"/>
      <c r="O28" s="1948"/>
      <c r="P28" s="1948"/>
      <c r="Q28" s="1948"/>
      <c r="R28" s="1948"/>
      <c r="S28" s="1948"/>
      <c r="T28" s="1948"/>
      <c r="U28" s="1948"/>
      <c r="V28" s="1948"/>
      <c r="W28" s="1948"/>
      <c r="X28" s="1948"/>
      <c r="Y28" s="1948"/>
      <c r="Z28" s="1948"/>
      <c r="AA28" s="1948"/>
      <c r="AB28" s="1952"/>
      <c r="AC28" s="1952"/>
      <c r="AD28" s="1952"/>
      <c r="AE28" s="1952"/>
      <c r="AF28" s="1952"/>
      <c r="AG28" s="1948"/>
      <c r="AH28" s="1948"/>
      <c r="AI28" s="1952"/>
      <c r="AJ28" s="1952"/>
      <c r="AK28" s="1952"/>
      <c r="AL28" s="1952"/>
      <c r="AM28" s="1948"/>
      <c r="AN28" s="1948"/>
      <c r="AO28" s="1952"/>
      <c r="AP28" s="1948"/>
      <c r="AQ28" s="1948"/>
      <c r="AR28" s="1948"/>
      <c r="AS28" s="1948"/>
      <c r="AT28" s="1952"/>
      <c r="AU28" s="1948"/>
      <c r="AV28" s="1952"/>
      <c r="AW28" s="1948"/>
      <c r="AX28" s="1948"/>
      <c r="AY28" s="1948"/>
      <c r="AZ28" s="1948"/>
      <c r="BA28" s="1948"/>
      <c r="BB28" s="1948"/>
      <c r="BC28" s="1948"/>
      <c r="BD28" s="1948"/>
      <c r="BE28" s="1948"/>
      <c r="BF28" s="1948"/>
      <c r="BG28" s="1948"/>
      <c r="BH28" s="1948"/>
      <c r="BI28" s="1948"/>
      <c r="BJ28" s="1948"/>
      <c r="BK28" s="1948"/>
      <c r="BL28" s="1948"/>
      <c r="BM28" s="1948"/>
      <c r="BN28" s="1948"/>
      <c r="BO28" s="1948"/>
      <c r="BP28" s="1948"/>
      <c r="BQ28" s="1948"/>
      <c r="BR28" s="1948"/>
      <c r="BS28" s="1948"/>
      <c r="BT28" s="1948"/>
      <c r="BU28" s="1948"/>
      <c r="BV28" s="1948"/>
      <c r="BW28" s="1948"/>
      <c r="BX28" s="1948"/>
      <c r="BY28" s="1948"/>
      <c r="BZ28" s="1948"/>
      <c r="CA28" s="1948"/>
      <c r="CB28" s="1948"/>
      <c r="CC28" s="1948"/>
      <c r="CD28" s="1948"/>
      <c r="CE28" s="1947"/>
      <c r="CF28" s="1947"/>
      <c r="CG28" s="1947"/>
      <c r="CH28" s="1947"/>
      <c r="CI28" s="1947"/>
      <c r="CJ28" s="1947"/>
      <c r="CK28" s="1947"/>
      <c r="CL28" s="1947"/>
      <c r="CM28" s="1947"/>
      <c r="CN28" s="1947"/>
      <c r="CO28" s="1947"/>
      <c r="CP28" s="1947"/>
      <c r="CQ28" s="1947"/>
      <c r="CR28" s="1947"/>
      <c r="CS28" s="1947"/>
      <c r="CT28" s="1947"/>
      <c r="CU28" s="1947"/>
      <c r="CV28" s="1947"/>
      <c r="CW28" s="1947"/>
      <c r="CX28" s="1947"/>
      <c r="CY28" s="1947"/>
      <c r="CZ28" s="1947"/>
      <c r="DA28" s="1947"/>
      <c r="DB28" s="1947"/>
      <c r="DC28" s="1947"/>
      <c r="DD28" s="1947"/>
      <c r="DE28" s="1947"/>
      <c r="DF28" s="1947"/>
      <c r="DG28" s="1947"/>
      <c r="DH28" s="1947"/>
      <c r="DI28" s="1947"/>
      <c r="DJ28" s="1947"/>
      <c r="DK28" s="1947"/>
      <c r="DL28" s="1947"/>
      <c r="DM28" s="1947"/>
      <c r="DN28" s="1947"/>
      <c r="DO28" s="1947"/>
      <c r="DP28" s="1947"/>
      <c r="DQ28" s="1947"/>
      <c r="DR28" s="1947"/>
      <c r="DS28" s="1947"/>
      <c r="DT28" s="1947"/>
      <c r="DU28" s="1947"/>
      <c r="DV28" s="1947"/>
      <c r="DW28" s="1947"/>
      <c r="DX28" s="1947"/>
      <c r="DY28" s="1947"/>
      <c r="DZ28" s="1947"/>
      <c r="EA28" s="1947"/>
      <c r="EB28" s="1947"/>
      <c r="EC28" s="1947"/>
      <c r="ED28" s="1947"/>
    </row>
    <row r="29" spans="1:134" s="1946" customFormat="1" ht="12" hidden="1" customHeight="1" outlineLevel="1" x14ac:dyDescent="0.2">
      <c r="A29" s="1951" t="s">
        <v>885</v>
      </c>
      <c r="B29" s="1952" t="s">
        <v>2264</v>
      </c>
      <c r="C29" s="1948"/>
      <c r="D29" s="1948"/>
      <c r="E29" s="1948"/>
      <c r="F29" s="1948"/>
      <c r="G29" s="1948"/>
      <c r="H29" s="1948"/>
      <c r="I29" s="1948"/>
      <c r="J29" s="1948"/>
      <c r="K29" s="1948"/>
      <c r="L29" s="1948"/>
      <c r="M29" s="1948"/>
      <c r="N29" s="1948"/>
      <c r="O29" s="1948"/>
      <c r="P29" s="1948"/>
      <c r="Q29" s="1948"/>
      <c r="R29" s="1948"/>
      <c r="S29" s="1948"/>
      <c r="T29" s="1948"/>
      <c r="U29" s="1948"/>
      <c r="V29" s="1948"/>
      <c r="W29" s="1948"/>
      <c r="X29" s="1948"/>
      <c r="Y29" s="1948"/>
      <c r="Z29" s="1948"/>
      <c r="AA29" s="1948"/>
      <c r="AB29" s="1952"/>
      <c r="AC29" s="1952"/>
      <c r="AD29" s="1952"/>
      <c r="AE29" s="1952"/>
      <c r="AF29" s="1952"/>
      <c r="AG29" s="1948"/>
      <c r="AH29" s="1948"/>
      <c r="AI29" s="1952"/>
      <c r="AJ29" s="1952"/>
      <c r="AK29" s="1952"/>
      <c r="AL29" s="1952"/>
      <c r="AM29" s="1948"/>
      <c r="AN29" s="1948"/>
      <c r="AO29" s="1952"/>
      <c r="AP29" s="1948"/>
      <c r="AQ29" s="1948"/>
      <c r="AR29" s="1948"/>
      <c r="AS29" s="1948"/>
      <c r="AT29" s="1952"/>
      <c r="AU29" s="1948"/>
      <c r="AV29" s="1952"/>
      <c r="AW29" s="1948"/>
      <c r="AX29" s="1948"/>
      <c r="AY29" s="1948"/>
      <c r="AZ29" s="1948"/>
      <c r="BA29" s="1948"/>
      <c r="BB29" s="1948"/>
      <c r="BC29" s="1948"/>
      <c r="BD29" s="1948"/>
      <c r="BE29" s="1948"/>
      <c r="BF29" s="1948"/>
      <c r="BG29" s="1948"/>
      <c r="BH29" s="1948"/>
      <c r="BI29" s="1948"/>
      <c r="BJ29" s="1948"/>
      <c r="BK29" s="1948"/>
      <c r="BL29" s="1948"/>
      <c r="BM29" s="1948"/>
      <c r="BN29" s="1948"/>
      <c r="BO29" s="1948"/>
      <c r="BP29" s="1948"/>
      <c r="BQ29" s="1948"/>
      <c r="BR29" s="1948"/>
      <c r="BS29" s="1948"/>
      <c r="BT29" s="1948"/>
      <c r="BU29" s="1948"/>
      <c r="BV29" s="1948"/>
      <c r="BW29" s="1948"/>
      <c r="BX29" s="1948"/>
      <c r="BY29" s="1948"/>
      <c r="BZ29" s="1948"/>
      <c r="CA29" s="1948"/>
      <c r="CB29" s="1948"/>
      <c r="CC29" s="1948"/>
      <c r="CD29" s="1948"/>
      <c r="CE29" s="1947"/>
      <c r="CF29" s="1947"/>
      <c r="CG29" s="1947"/>
      <c r="CH29" s="1947"/>
      <c r="CI29" s="1947"/>
      <c r="CJ29" s="1947"/>
      <c r="CK29" s="1947"/>
      <c r="CL29" s="1947"/>
      <c r="CM29" s="1947"/>
      <c r="CN29" s="1947"/>
      <c r="CO29" s="1947"/>
      <c r="CP29" s="1947"/>
      <c r="CQ29" s="1947"/>
      <c r="CR29" s="1947"/>
      <c r="CS29" s="1947"/>
      <c r="CT29" s="1947"/>
      <c r="CU29" s="1947"/>
      <c r="CV29" s="1947"/>
      <c r="CW29" s="1947"/>
      <c r="CX29" s="1947"/>
      <c r="CY29" s="1947"/>
      <c r="CZ29" s="1947"/>
      <c r="DA29" s="1947"/>
      <c r="DB29" s="1947"/>
      <c r="DC29" s="1947"/>
      <c r="DD29" s="1947"/>
      <c r="DE29" s="1947"/>
      <c r="DF29" s="1947"/>
      <c r="DG29" s="1947"/>
      <c r="DH29" s="1947"/>
      <c r="DI29" s="1947"/>
      <c r="DJ29" s="1947"/>
      <c r="DK29" s="1947"/>
      <c r="DL29" s="1947"/>
      <c r="DM29" s="1947"/>
      <c r="DN29" s="1947"/>
      <c r="DO29" s="1947"/>
      <c r="DP29" s="1947"/>
      <c r="DQ29" s="1947"/>
      <c r="DR29" s="1947"/>
      <c r="DS29" s="1947"/>
      <c r="DT29" s="1947"/>
      <c r="DU29" s="1947"/>
      <c r="DV29" s="1947"/>
      <c r="DW29" s="1947"/>
      <c r="DX29" s="1947"/>
      <c r="DY29" s="1947"/>
      <c r="DZ29" s="1947"/>
      <c r="EA29" s="1947"/>
      <c r="EB29" s="1947"/>
      <c r="EC29" s="1947"/>
      <c r="ED29" s="1947"/>
    </row>
    <row r="30" spans="1:134" s="1946" customFormat="1" ht="12" hidden="1" customHeight="1" outlineLevel="1" x14ac:dyDescent="0.2">
      <c r="A30" s="1951" t="s">
        <v>886</v>
      </c>
      <c r="B30" s="1952" t="s">
        <v>887</v>
      </c>
      <c r="C30" s="1948"/>
      <c r="D30" s="1948"/>
      <c r="E30" s="1948"/>
      <c r="F30" s="1948"/>
      <c r="G30" s="1948"/>
      <c r="H30" s="1948"/>
      <c r="I30" s="1948"/>
      <c r="J30" s="1948"/>
      <c r="K30" s="1948"/>
      <c r="L30" s="1948"/>
      <c r="M30" s="1948"/>
      <c r="N30" s="1948"/>
      <c r="O30" s="1948"/>
      <c r="P30" s="1948"/>
      <c r="Q30" s="1948"/>
      <c r="R30" s="1948"/>
      <c r="S30" s="1948"/>
      <c r="T30" s="1948"/>
      <c r="U30" s="1948"/>
      <c r="V30" s="1948"/>
      <c r="W30" s="1948"/>
      <c r="X30" s="1948"/>
      <c r="Y30" s="1948"/>
      <c r="Z30" s="1948"/>
      <c r="AA30" s="1948"/>
      <c r="AB30" s="1952"/>
      <c r="AC30" s="1952"/>
      <c r="AD30" s="1952"/>
      <c r="AE30" s="1952"/>
      <c r="AF30" s="1952"/>
      <c r="AG30" s="1948"/>
      <c r="AH30" s="1948"/>
      <c r="AI30" s="1952"/>
      <c r="AJ30" s="1952"/>
      <c r="AK30" s="1952"/>
      <c r="AL30" s="1952"/>
      <c r="AM30" s="1948"/>
      <c r="AN30" s="1948"/>
      <c r="AO30" s="1952"/>
      <c r="AP30" s="1948"/>
      <c r="AQ30" s="1948"/>
      <c r="AR30" s="1948"/>
      <c r="AS30" s="1948"/>
      <c r="AT30" s="1952"/>
      <c r="AU30" s="1948"/>
      <c r="AV30" s="1952"/>
      <c r="AW30" s="1948"/>
      <c r="AX30" s="1948"/>
      <c r="AY30" s="1948"/>
      <c r="AZ30" s="1948"/>
      <c r="BA30" s="1948"/>
      <c r="BB30" s="1948"/>
      <c r="BC30" s="1948"/>
      <c r="BD30" s="1948"/>
      <c r="BE30" s="1948"/>
      <c r="BF30" s="1948"/>
      <c r="BG30" s="1948"/>
      <c r="BH30" s="1948"/>
      <c r="BI30" s="1948"/>
      <c r="BJ30" s="1948"/>
      <c r="BK30" s="1948"/>
      <c r="BL30" s="1948"/>
      <c r="BM30" s="1948"/>
      <c r="BN30" s="1948"/>
      <c r="BO30" s="1948"/>
      <c r="BP30" s="1948"/>
      <c r="BQ30" s="1948"/>
      <c r="BR30" s="1948"/>
      <c r="BS30" s="1948"/>
      <c r="BT30" s="1948"/>
      <c r="BU30" s="1948"/>
      <c r="BV30" s="1948"/>
      <c r="BW30" s="1948"/>
      <c r="BX30" s="1948"/>
      <c r="BY30" s="1948"/>
      <c r="BZ30" s="1948"/>
      <c r="CA30" s="1948"/>
      <c r="CB30" s="1948"/>
      <c r="CC30" s="1948"/>
      <c r="CD30" s="1948"/>
      <c r="CE30" s="1947"/>
      <c r="CF30" s="1947"/>
      <c r="CG30" s="1947"/>
      <c r="CH30" s="1947"/>
      <c r="CI30" s="1947"/>
      <c r="CJ30" s="1947"/>
      <c r="CK30" s="1947"/>
      <c r="CL30" s="1947"/>
      <c r="CM30" s="1947"/>
      <c r="CN30" s="1947"/>
      <c r="CO30" s="1947"/>
      <c r="CP30" s="1947"/>
      <c r="CQ30" s="1947"/>
      <c r="CR30" s="1947"/>
      <c r="CS30" s="1947"/>
      <c r="CT30" s="1947"/>
      <c r="CU30" s="1947"/>
      <c r="CV30" s="1947"/>
      <c r="CW30" s="1947"/>
      <c r="CX30" s="1947"/>
      <c r="CY30" s="1947"/>
      <c r="CZ30" s="1947"/>
      <c r="DA30" s="1947"/>
      <c r="DB30" s="1947"/>
      <c r="DC30" s="1947"/>
      <c r="DD30" s="1947"/>
      <c r="DE30" s="1947"/>
      <c r="DF30" s="1947"/>
      <c r="DG30" s="1947"/>
      <c r="DH30" s="1947"/>
      <c r="DI30" s="1947"/>
      <c r="DJ30" s="1947"/>
      <c r="DK30" s="1947"/>
      <c r="DL30" s="1947"/>
      <c r="DM30" s="1947"/>
      <c r="DN30" s="1947"/>
      <c r="DO30" s="1947"/>
      <c r="DP30" s="1947"/>
      <c r="DQ30" s="1947"/>
      <c r="DR30" s="1947"/>
      <c r="DS30" s="1947"/>
      <c r="DT30" s="1947"/>
      <c r="DU30" s="1947"/>
      <c r="DV30" s="1947"/>
      <c r="DW30" s="1947"/>
      <c r="DX30" s="1947"/>
      <c r="DY30" s="1947"/>
      <c r="DZ30" s="1947"/>
      <c r="EA30" s="1947"/>
      <c r="EB30" s="1947"/>
      <c r="EC30" s="1947"/>
      <c r="ED30" s="1947"/>
    </row>
    <row r="31" spans="1:134" s="1946" customFormat="1" ht="12" hidden="1" customHeight="1" outlineLevel="1" x14ac:dyDescent="0.2">
      <c r="A31" s="1951" t="s">
        <v>888</v>
      </c>
      <c r="B31" s="1952" t="s">
        <v>889</v>
      </c>
      <c r="C31" s="1948"/>
      <c r="D31" s="1948"/>
      <c r="E31" s="1948"/>
      <c r="F31" s="1948"/>
      <c r="G31" s="1948"/>
      <c r="H31" s="1948"/>
      <c r="I31" s="1948"/>
      <c r="J31" s="1948"/>
      <c r="K31" s="1948"/>
      <c r="L31" s="1948"/>
      <c r="M31" s="1948"/>
      <c r="N31" s="1948"/>
      <c r="O31" s="1948"/>
      <c r="P31" s="1948"/>
      <c r="Q31" s="1948"/>
      <c r="R31" s="1948"/>
      <c r="S31" s="1948"/>
      <c r="T31" s="1948"/>
      <c r="U31" s="1948"/>
      <c r="V31" s="1948"/>
      <c r="W31" s="1948"/>
      <c r="X31" s="1948"/>
      <c r="Y31" s="1948"/>
      <c r="Z31" s="1948"/>
      <c r="AA31" s="1948"/>
      <c r="AB31" s="1952"/>
      <c r="AC31" s="1952"/>
      <c r="AD31" s="1952"/>
      <c r="AE31" s="1952"/>
      <c r="AF31" s="1952"/>
      <c r="AG31" s="1948"/>
      <c r="AH31" s="1948"/>
      <c r="AI31" s="1952"/>
      <c r="AJ31" s="1952"/>
      <c r="AK31" s="1952"/>
      <c r="AL31" s="1952"/>
      <c r="AM31" s="1948"/>
      <c r="AN31" s="1948"/>
      <c r="AO31" s="1952"/>
      <c r="AP31" s="1948"/>
      <c r="AQ31" s="1948"/>
      <c r="AR31" s="1948"/>
      <c r="AS31" s="1948"/>
      <c r="AT31" s="1952"/>
      <c r="AU31" s="1948"/>
      <c r="AV31" s="1952"/>
      <c r="AW31" s="1948"/>
      <c r="AX31" s="1948"/>
      <c r="AY31" s="1948"/>
      <c r="AZ31" s="1948"/>
      <c r="BA31" s="1948"/>
      <c r="BB31" s="1948"/>
      <c r="BC31" s="1948"/>
      <c r="BD31" s="1948"/>
      <c r="BE31" s="1948"/>
      <c r="BF31" s="1948"/>
      <c r="BG31" s="1948"/>
      <c r="BH31" s="1948"/>
      <c r="BI31" s="1948"/>
      <c r="BJ31" s="1948"/>
      <c r="BK31" s="1948"/>
      <c r="BL31" s="1948"/>
      <c r="BM31" s="1948"/>
      <c r="BN31" s="1948"/>
      <c r="BO31" s="1948"/>
      <c r="BP31" s="1948"/>
      <c r="BQ31" s="1948"/>
      <c r="BR31" s="1948"/>
      <c r="BS31" s="1948"/>
      <c r="BT31" s="1948"/>
      <c r="BU31" s="1948"/>
      <c r="BV31" s="1948"/>
      <c r="BW31" s="1948"/>
      <c r="BX31" s="1948"/>
      <c r="BY31" s="1948"/>
      <c r="BZ31" s="1948"/>
      <c r="CA31" s="1948"/>
      <c r="CB31" s="1948"/>
      <c r="CC31" s="1948"/>
      <c r="CD31" s="1948"/>
      <c r="CE31" s="1947"/>
      <c r="CF31" s="1947"/>
      <c r="CG31" s="1947"/>
      <c r="CH31" s="1947"/>
      <c r="CI31" s="1947"/>
      <c r="CJ31" s="1947"/>
      <c r="CK31" s="1947"/>
      <c r="CL31" s="1947"/>
      <c r="CM31" s="1947"/>
      <c r="CN31" s="1947"/>
      <c r="CO31" s="1947"/>
      <c r="CP31" s="1947"/>
      <c r="CQ31" s="1947"/>
      <c r="CR31" s="1947"/>
      <c r="CS31" s="1947"/>
      <c r="CT31" s="1947"/>
      <c r="CU31" s="1947"/>
      <c r="CV31" s="1947"/>
      <c r="CW31" s="1947"/>
      <c r="CX31" s="1947"/>
      <c r="CY31" s="1947"/>
      <c r="CZ31" s="1947"/>
      <c r="DA31" s="1947"/>
      <c r="DB31" s="1947"/>
      <c r="DC31" s="1947"/>
      <c r="DD31" s="1947"/>
      <c r="DE31" s="1947"/>
      <c r="DF31" s="1947"/>
      <c r="DG31" s="1947"/>
      <c r="DH31" s="1947"/>
      <c r="DI31" s="1947"/>
      <c r="DJ31" s="1947"/>
      <c r="DK31" s="1947"/>
      <c r="DL31" s="1947"/>
      <c r="DM31" s="1947"/>
      <c r="DN31" s="1947"/>
      <c r="DO31" s="1947"/>
      <c r="DP31" s="1947"/>
      <c r="DQ31" s="1947"/>
      <c r="DR31" s="1947"/>
      <c r="DS31" s="1947"/>
      <c r="DT31" s="1947"/>
      <c r="DU31" s="1947"/>
      <c r="DV31" s="1947"/>
      <c r="DW31" s="1947"/>
      <c r="DX31" s="1947"/>
      <c r="DY31" s="1947"/>
      <c r="DZ31" s="1947"/>
      <c r="EA31" s="1947"/>
      <c r="EB31" s="1947"/>
      <c r="EC31" s="1947"/>
      <c r="ED31" s="1947"/>
    </row>
    <row r="32" spans="1:134" s="1946" customFormat="1" ht="12" hidden="1" customHeight="1" outlineLevel="1" x14ac:dyDescent="0.2">
      <c r="A32" s="1951" t="s">
        <v>890</v>
      </c>
      <c r="B32" s="1952" t="s">
        <v>724</v>
      </c>
      <c r="C32" s="1948"/>
      <c r="D32" s="1948"/>
      <c r="E32" s="1948"/>
      <c r="F32" s="1948"/>
      <c r="G32" s="1948"/>
      <c r="H32" s="1948"/>
      <c r="I32" s="1948"/>
      <c r="J32" s="1948"/>
      <c r="K32" s="1948"/>
      <c r="L32" s="1948"/>
      <c r="M32" s="1948"/>
      <c r="N32" s="1948"/>
      <c r="O32" s="1948"/>
      <c r="P32" s="1948"/>
      <c r="Q32" s="1948"/>
      <c r="R32" s="1948"/>
      <c r="S32" s="1948"/>
      <c r="T32" s="1948"/>
      <c r="U32" s="1948"/>
      <c r="V32" s="1948"/>
      <c r="W32" s="1948"/>
      <c r="X32" s="1948"/>
      <c r="Y32" s="1948"/>
      <c r="Z32" s="1948"/>
      <c r="AA32" s="1948"/>
      <c r="AB32" s="1952"/>
      <c r="AC32" s="1952"/>
      <c r="AD32" s="1952"/>
      <c r="AE32" s="1952"/>
      <c r="AF32" s="1952"/>
      <c r="AG32" s="1948"/>
      <c r="AH32" s="1948"/>
      <c r="AI32" s="1952"/>
      <c r="AJ32" s="1952"/>
      <c r="AK32" s="1952"/>
      <c r="AL32" s="1952"/>
      <c r="AM32" s="1948"/>
      <c r="AN32" s="1948"/>
      <c r="AO32" s="1952"/>
      <c r="AP32" s="1948"/>
      <c r="AQ32" s="1948"/>
      <c r="AR32" s="1948"/>
      <c r="AS32" s="1948"/>
      <c r="AT32" s="1952"/>
      <c r="AU32" s="1948"/>
      <c r="AV32" s="1952"/>
      <c r="AW32" s="1948"/>
      <c r="AX32" s="1948"/>
      <c r="AY32" s="1948"/>
      <c r="AZ32" s="1948"/>
      <c r="BA32" s="1948"/>
      <c r="BB32" s="1948"/>
      <c r="BC32" s="1948"/>
      <c r="BD32" s="1948"/>
      <c r="BE32" s="1948"/>
      <c r="BF32" s="1948"/>
      <c r="BG32" s="1948"/>
      <c r="BH32" s="1948"/>
      <c r="BI32" s="1948"/>
      <c r="BJ32" s="1948"/>
      <c r="BK32" s="1948"/>
      <c r="BL32" s="1948"/>
      <c r="BM32" s="1948"/>
      <c r="BN32" s="1948"/>
      <c r="BO32" s="1948"/>
      <c r="BP32" s="1948"/>
      <c r="BQ32" s="1948"/>
      <c r="BR32" s="1948"/>
      <c r="BS32" s="1948"/>
      <c r="BT32" s="1948"/>
      <c r="BU32" s="1948"/>
      <c r="BV32" s="1948"/>
      <c r="BW32" s="1948"/>
      <c r="BX32" s="1948"/>
      <c r="BY32" s="1948"/>
      <c r="BZ32" s="1948"/>
      <c r="CA32" s="1948"/>
      <c r="CB32" s="1948"/>
      <c r="CC32" s="1948"/>
      <c r="CD32" s="1948"/>
      <c r="CE32" s="1947"/>
      <c r="CF32" s="1947"/>
      <c r="CG32" s="1947"/>
      <c r="CH32" s="1947"/>
      <c r="CI32" s="1947"/>
      <c r="CJ32" s="1947"/>
      <c r="CK32" s="1947"/>
      <c r="CL32" s="1947"/>
      <c r="CM32" s="1947"/>
      <c r="CN32" s="1947"/>
      <c r="CO32" s="1947"/>
      <c r="CP32" s="1947"/>
      <c r="CQ32" s="1947"/>
      <c r="CR32" s="1947"/>
      <c r="CS32" s="1947"/>
      <c r="CT32" s="1947"/>
      <c r="CU32" s="1947"/>
      <c r="CV32" s="1947"/>
      <c r="CW32" s="1947"/>
      <c r="CX32" s="1947"/>
      <c r="CY32" s="1947"/>
      <c r="CZ32" s="1947"/>
      <c r="DA32" s="1947"/>
      <c r="DB32" s="1947"/>
      <c r="DC32" s="1947"/>
      <c r="DD32" s="1947"/>
      <c r="DE32" s="1947"/>
      <c r="DF32" s="1947"/>
      <c r="DG32" s="1947"/>
      <c r="DH32" s="1947"/>
      <c r="DI32" s="1947"/>
      <c r="DJ32" s="1947"/>
      <c r="DK32" s="1947"/>
      <c r="DL32" s="1947"/>
      <c r="DM32" s="1947"/>
      <c r="DN32" s="1947"/>
      <c r="DO32" s="1947"/>
      <c r="DP32" s="1947"/>
      <c r="DQ32" s="1947"/>
      <c r="DR32" s="1947"/>
      <c r="DS32" s="1947"/>
      <c r="DT32" s="1947"/>
      <c r="DU32" s="1947"/>
      <c r="DV32" s="1947"/>
      <c r="DW32" s="1947"/>
      <c r="DX32" s="1947"/>
      <c r="DY32" s="1947"/>
      <c r="DZ32" s="1947"/>
      <c r="EA32" s="1947"/>
      <c r="EB32" s="1947"/>
      <c r="EC32" s="1947"/>
      <c r="ED32" s="1947"/>
    </row>
    <row r="33" spans="1:134" s="1946" customFormat="1" ht="12" hidden="1" customHeight="1" outlineLevel="1" x14ac:dyDescent="0.2">
      <c r="A33" s="1951" t="s">
        <v>891</v>
      </c>
      <c r="B33" s="1952" t="s">
        <v>5447</v>
      </c>
      <c r="C33" s="1948"/>
      <c r="D33" s="1952"/>
      <c r="E33" s="1948"/>
      <c r="F33" s="1952"/>
      <c r="G33" s="1952"/>
      <c r="H33" s="1948"/>
      <c r="I33" s="1952"/>
      <c r="J33" s="1948"/>
      <c r="K33" s="1948"/>
      <c r="L33" s="1948"/>
      <c r="M33" s="1948"/>
      <c r="N33" s="1948"/>
      <c r="O33" s="1948"/>
      <c r="P33" s="1948"/>
      <c r="Q33" s="1948"/>
      <c r="R33" s="1948"/>
      <c r="S33" s="1948"/>
      <c r="T33" s="1948"/>
      <c r="U33" s="1948"/>
      <c r="V33" s="1948"/>
      <c r="W33" s="1948"/>
      <c r="X33" s="1948"/>
      <c r="Y33" s="1948"/>
      <c r="Z33" s="1948"/>
      <c r="AA33" s="1948"/>
      <c r="AB33" s="1952"/>
      <c r="AC33" s="1952"/>
      <c r="AD33" s="1952"/>
      <c r="AE33" s="1952"/>
      <c r="AF33" s="1952"/>
      <c r="AG33" s="1948"/>
      <c r="AH33" s="1952"/>
      <c r="AI33" s="1952"/>
      <c r="AJ33" s="1952"/>
      <c r="AK33" s="1952"/>
      <c r="AL33" s="1952"/>
      <c r="AM33" s="1948"/>
      <c r="AN33" s="1952"/>
      <c r="AO33" s="1952"/>
      <c r="AP33" s="1948"/>
      <c r="AQ33" s="1952"/>
      <c r="AR33" s="1948"/>
      <c r="AS33" s="1952"/>
      <c r="AT33" s="1952"/>
      <c r="AU33" s="1948"/>
      <c r="AV33" s="1952"/>
      <c r="AW33" s="1948"/>
      <c r="AX33" s="1952"/>
      <c r="AY33" s="1948"/>
      <c r="AZ33" s="1952"/>
      <c r="BA33" s="1948"/>
      <c r="BB33" s="1952"/>
      <c r="BC33" s="1948"/>
      <c r="BD33" s="1952"/>
      <c r="BE33" s="1948"/>
      <c r="BF33" s="1952"/>
      <c r="BG33" s="1948"/>
      <c r="BH33" s="1952"/>
      <c r="BI33" s="1948"/>
      <c r="BJ33" s="1952"/>
      <c r="BK33" s="1948"/>
      <c r="BL33" s="1952"/>
      <c r="BM33" s="1948"/>
      <c r="BN33" s="1948"/>
      <c r="BO33" s="1948"/>
      <c r="BP33" s="1948"/>
      <c r="BQ33" s="1948"/>
      <c r="BR33" s="1948"/>
      <c r="BS33" s="1948"/>
      <c r="BT33" s="1948"/>
      <c r="BU33" s="1948"/>
      <c r="BV33" s="1948"/>
      <c r="BW33" s="1948"/>
      <c r="BX33" s="1948"/>
      <c r="BY33" s="1948"/>
      <c r="BZ33" s="1948"/>
      <c r="CA33" s="1948"/>
      <c r="CB33" s="1948"/>
      <c r="CC33" s="1948"/>
      <c r="CD33" s="1948"/>
      <c r="CE33" s="1947"/>
      <c r="CF33" s="1947"/>
      <c r="CG33" s="1947"/>
      <c r="CH33" s="1947"/>
      <c r="CI33" s="1947"/>
      <c r="CJ33" s="1947"/>
      <c r="CK33" s="1947"/>
      <c r="CL33" s="1947"/>
      <c r="CM33" s="1947"/>
      <c r="CN33" s="1947"/>
      <c r="CO33" s="1947"/>
      <c r="CP33" s="1947"/>
      <c r="CQ33" s="1947"/>
      <c r="CR33" s="1947"/>
      <c r="CS33" s="1947"/>
      <c r="CT33" s="1947"/>
      <c r="CU33" s="1947"/>
      <c r="CV33" s="1947"/>
      <c r="CW33" s="1947"/>
      <c r="CX33" s="1947"/>
      <c r="CY33" s="1947"/>
      <c r="CZ33" s="1947"/>
      <c r="DA33" s="1947"/>
      <c r="DB33" s="1947"/>
      <c r="DC33" s="1947"/>
      <c r="DD33" s="1947"/>
      <c r="DE33" s="1947"/>
      <c r="DF33" s="1947"/>
      <c r="DG33" s="1947"/>
      <c r="DH33" s="1947"/>
      <c r="DI33" s="1947"/>
      <c r="DJ33" s="1947"/>
      <c r="DK33" s="1947"/>
      <c r="DL33" s="1947"/>
      <c r="DM33" s="1947"/>
      <c r="DN33" s="1947"/>
      <c r="DO33" s="1947"/>
      <c r="DP33" s="1947"/>
      <c r="DQ33" s="1947"/>
      <c r="DR33" s="1947"/>
      <c r="DS33" s="1947"/>
      <c r="DT33" s="1947"/>
      <c r="DU33" s="1947"/>
      <c r="DV33" s="1947"/>
      <c r="DW33" s="1947"/>
      <c r="DX33" s="1947"/>
      <c r="DY33" s="1947"/>
      <c r="DZ33" s="1947"/>
      <c r="EA33" s="1947"/>
      <c r="EB33" s="1947"/>
      <c r="EC33" s="1947"/>
      <c r="ED33" s="1947"/>
    </row>
    <row r="34" spans="1:134" s="1946" customFormat="1" ht="12" hidden="1" customHeight="1" outlineLevel="1" x14ac:dyDescent="0.2">
      <c r="A34" s="1951" t="s">
        <v>893</v>
      </c>
      <c r="B34" s="1952" t="s">
        <v>724</v>
      </c>
      <c r="C34" s="1948"/>
      <c r="D34" s="1952"/>
      <c r="E34" s="1948"/>
      <c r="F34" s="1952"/>
      <c r="G34" s="1952"/>
      <c r="H34" s="1948"/>
      <c r="I34" s="1952"/>
      <c r="J34" s="1953"/>
      <c r="K34" s="1953"/>
      <c r="L34" s="1953"/>
      <c r="M34" s="1953"/>
      <c r="N34" s="1953"/>
      <c r="O34" s="1953"/>
      <c r="P34" s="1953"/>
      <c r="Q34" s="1953"/>
      <c r="R34" s="1953"/>
      <c r="S34" s="1953"/>
      <c r="T34" s="1953"/>
      <c r="U34" s="1948"/>
      <c r="V34" s="1948"/>
      <c r="W34" s="1948"/>
      <c r="X34" s="1948"/>
      <c r="Y34" s="1948"/>
      <c r="Z34" s="1948"/>
      <c r="AA34" s="1948"/>
      <c r="AB34" s="1952"/>
      <c r="AC34" s="1952"/>
      <c r="AD34" s="1952"/>
      <c r="AE34" s="1952"/>
      <c r="AF34" s="1952"/>
      <c r="AG34" s="1948"/>
      <c r="AH34" s="1952"/>
      <c r="AI34" s="1952"/>
      <c r="AJ34" s="1952"/>
      <c r="AK34" s="1952"/>
      <c r="AL34" s="1952"/>
      <c r="AM34" s="1948"/>
      <c r="AN34" s="1952"/>
      <c r="AO34" s="1952"/>
      <c r="AP34" s="1948"/>
      <c r="AQ34" s="1952"/>
      <c r="AR34" s="1948"/>
      <c r="AS34" s="1952"/>
      <c r="AT34" s="1952"/>
      <c r="AU34" s="1948"/>
      <c r="AV34" s="1952"/>
      <c r="AW34" s="1948"/>
      <c r="AX34" s="1952"/>
      <c r="AY34" s="1948"/>
      <c r="AZ34" s="1952"/>
      <c r="BA34" s="1948"/>
      <c r="BB34" s="1952"/>
      <c r="BC34" s="1948"/>
      <c r="BD34" s="1952"/>
      <c r="BE34" s="1953"/>
      <c r="BF34" s="1952"/>
      <c r="BG34" s="1953"/>
      <c r="BH34" s="1952"/>
      <c r="BI34" s="1948"/>
      <c r="BJ34" s="1952"/>
      <c r="BK34" s="1953"/>
      <c r="BL34" s="1952"/>
      <c r="BM34" s="1953"/>
      <c r="BN34" s="1952"/>
      <c r="BO34" s="1948"/>
      <c r="BP34" s="1948"/>
      <c r="BQ34" s="1948"/>
      <c r="BR34" s="1948"/>
      <c r="BS34" s="1948"/>
      <c r="BT34" s="1948"/>
      <c r="BU34" s="1948"/>
      <c r="BV34" s="1948"/>
      <c r="BW34" s="1948"/>
      <c r="BX34" s="1948"/>
      <c r="BY34" s="1948"/>
      <c r="BZ34" s="1948"/>
      <c r="CA34" s="1948"/>
      <c r="CB34" s="1948"/>
      <c r="CC34" s="1948"/>
      <c r="CD34" s="1948"/>
      <c r="CE34" s="1947"/>
      <c r="CF34" s="1947"/>
      <c r="CG34" s="1947"/>
      <c r="CH34" s="1947"/>
      <c r="CI34" s="1953"/>
      <c r="CJ34" s="1947"/>
      <c r="CK34" s="1953"/>
      <c r="CL34" s="1947"/>
      <c r="CM34" s="1953"/>
      <c r="CN34" s="1947"/>
      <c r="CO34" s="1947"/>
      <c r="CP34" s="1947"/>
      <c r="CQ34" s="1947"/>
      <c r="CR34" s="1947"/>
      <c r="CS34" s="1947"/>
      <c r="CT34" s="1947"/>
      <c r="CU34" s="1947"/>
      <c r="CV34" s="1947"/>
      <c r="CW34" s="1947"/>
      <c r="CX34" s="1947"/>
      <c r="CY34" s="1947"/>
      <c r="CZ34" s="1947"/>
      <c r="DA34" s="1947"/>
      <c r="DB34" s="1947"/>
      <c r="DC34" s="1947"/>
      <c r="DD34" s="1947"/>
      <c r="DE34" s="1947"/>
      <c r="DF34" s="1947"/>
      <c r="DG34" s="1947"/>
      <c r="DH34" s="1947"/>
      <c r="DI34" s="1947"/>
      <c r="DJ34" s="1947"/>
      <c r="DK34" s="1947"/>
      <c r="DL34" s="1947"/>
      <c r="DM34" s="1947"/>
      <c r="DN34" s="1947"/>
      <c r="DO34" s="1947"/>
      <c r="DP34" s="1947"/>
      <c r="DQ34" s="1947"/>
      <c r="DR34" s="1947"/>
      <c r="DS34" s="1947"/>
      <c r="DT34" s="1947"/>
      <c r="DU34" s="1947"/>
      <c r="DV34" s="1947"/>
      <c r="DW34" s="1947"/>
      <c r="DX34" s="1947"/>
      <c r="DY34" s="1947"/>
      <c r="DZ34" s="1947"/>
      <c r="EA34" s="1947"/>
      <c r="EB34" s="1947"/>
      <c r="EC34" s="1947"/>
      <c r="ED34" s="1947"/>
    </row>
    <row r="35" spans="1:134" ht="12" hidden="1" customHeight="1" outlineLevel="1" x14ac:dyDescent="0.2">
      <c r="A35" s="1951"/>
      <c r="B35" s="1951"/>
      <c r="C35" s="1951"/>
      <c r="D35" s="1951"/>
      <c r="I35" s="1951"/>
      <c r="J35" s="1951"/>
      <c r="K35" s="1951"/>
      <c r="L35" s="1951"/>
      <c r="M35" s="1951"/>
      <c r="N35" s="1951"/>
      <c r="O35" s="1951"/>
      <c r="P35" s="1951"/>
      <c r="Q35" s="1951"/>
      <c r="R35" s="1951"/>
      <c r="S35" s="1951"/>
      <c r="T35" s="1951"/>
      <c r="U35" s="1951"/>
      <c r="V35" s="1951"/>
      <c r="W35" s="1951"/>
      <c r="X35" s="1951"/>
      <c r="Y35" s="1951"/>
      <c r="Z35" s="1947"/>
      <c r="AA35" s="1947"/>
      <c r="AB35" s="1951"/>
      <c r="AC35" s="1951"/>
      <c r="AD35" s="1957"/>
      <c r="AE35" s="1951"/>
      <c r="AF35" s="1951"/>
      <c r="AG35" s="1951"/>
      <c r="AH35" s="1951"/>
      <c r="AI35" s="1951"/>
      <c r="AJ35" s="1951"/>
      <c r="AK35" s="1951"/>
      <c r="AL35" s="1951"/>
      <c r="AM35" s="1951"/>
      <c r="AN35" s="1951"/>
      <c r="AO35" s="1951"/>
      <c r="AP35" s="1951"/>
      <c r="AQ35" s="1951"/>
      <c r="AR35" s="1951"/>
      <c r="AS35" s="1951"/>
      <c r="AT35" s="1951"/>
      <c r="AU35" s="1951"/>
      <c r="AV35" s="1951"/>
      <c r="AW35" s="1951"/>
      <c r="AX35" s="1951"/>
      <c r="AY35" s="1951"/>
      <c r="AZ35" s="1951"/>
      <c r="BA35" s="1951"/>
      <c r="BB35" s="1951"/>
      <c r="BC35" s="1951"/>
      <c r="BD35" s="1951"/>
      <c r="BE35" s="1951"/>
      <c r="BF35" s="1951"/>
      <c r="BG35" s="1951"/>
      <c r="BH35" s="1951"/>
      <c r="BI35" s="1951"/>
      <c r="BJ35" s="1951"/>
      <c r="BK35" s="1951"/>
      <c r="BL35" s="1951"/>
    </row>
    <row r="36" spans="1:134" ht="12.75" collapsed="1" x14ac:dyDescent="0.2">
      <c r="A36" s="1996" t="s">
        <v>894</v>
      </c>
      <c r="B36" s="1997"/>
      <c r="C36" s="1996" t="s">
        <v>895</v>
      </c>
      <c r="D36" s="1997"/>
      <c r="E36" s="1996" t="s">
        <v>896</v>
      </c>
      <c r="F36" s="1998" t="s">
        <v>104</v>
      </c>
      <c r="G36" s="1998" t="s">
        <v>898</v>
      </c>
      <c r="H36" s="1998" t="s">
        <v>899</v>
      </c>
      <c r="I36" s="1998" t="s">
        <v>900</v>
      </c>
    </row>
    <row r="37" spans="1:134" ht="12.75" outlineLevel="2" x14ac:dyDescent="0.2">
      <c r="A37" s="2012" t="s">
        <v>5448</v>
      </c>
      <c r="B37" s="2012" t="s">
        <v>5449</v>
      </c>
      <c r="C37" s="2012" t="s">
        <v>5450</v>
      </c>
      <c r="D37" s="2012" t="s">
        <v>5451</v>
      </c>
      <c r="E37" s="2012" t="s">
        <v>912</v>
      </c>
      <c r="F37" s="2004">
        <v>-68444.259539999999</v>
      </c>
      <c r="G37" s="1962">
        <v>-68444.259539999999</v>
      </c>
      <c r="H37" s="1962">
        <v>0</v>
      </c>
      <c r="I37" s="1962">
        <v>0</v>
      </c>
    </row>
    <row r="38" spans="1:134" ht="12.75" outlineLevel="2" x14ac:dyDescent="0.2">
      <c r="A38" s="2012" t="s">
        <v>5448</v>
      </c>
      <c r="B38" s="2012" t="s">
        <v>5449</v>
      </c>
      <c r="C38" s="2012" t="s">
        <v>5450</v>
      </c>
      <c r="D38" s="2012" t="s">
        <v>5451</v>
      </c>
      <c r="E38" s="2012" t="s">
        <v>1083</v>
      </c>
      <c r="F38" s="2004">
        <v>-62762.870199999998</v>
      </c>
      <c r="G38" s="1962">
        <v>-17004.904503751095</v>
      </c>
      <c r="H38" s="1962">
        <v>-4781.2182726004812</v>
      </c>
      <c r="I38" s="1962">
        <v>-3397.7534209511668</v>
      </c>
    </row>
    <row r="39" spans="1:134" ht="12.75" outlineLevel="2" x14ac:dyDescent="0.2">
      <c r="A39" s="2012" t="s">
        <v>5448</v>
      </c>
      <c r="B39" s="2012" t="s">
        <v>5449</v>
      </c>
      <c r="C39" s="2012" t="s">
        <v>5450</v>
      </c>
      <c r="D39" s="2012" t="s">
        <v>5451</v>
      </c>
      <c r="E39" s="2012" t="s">
        <v>920</v>
      </c>
      <c r="F39" s="2004">
        <v>-248.97873999999999</v>
      </c>
      <c r="G39" s="1962">
        <v>0</v>
      </c>
      <c r="H39" s="1962">
        <v>0</v>
      </c>
      <c r="I39" s="1962">
        <v>0</v>
      </c>
    </row>
    <row r="40" spans="1:134" ht="12.75" outlineLevel="2" x14ac:dyDescent="0.2">
      <c r="A40" s="2012" t="s">
        <v>5448</v>
      </c>
      <c r="B40" s="2012" t="s">
        <v>5449</v>
      </c>
      <c r="C40" s="2012" t="s">
        <v>5452</v>
      </c>
      <c r="D40" s="2012" t="s">
        <v>5453</v>
      </c>
      <c r="E40" s="2012" t="s">
        <v>1083</v>
      </c>
      <c r="F40" s="2004">
        <v>-7479.8117400000001</v>
      </c>
      <c r="G40" s="1962">
        <v>-2026.5721427242238</v>
      </c>
      <c r="H40" s="1962">
        <v>-569.80524397527631</v>
      </c>
      <c r="I40" s="1962">
        <v>-404.92979123914733</v>
      </c>
    </row>
    <row r="41" spans="1:134" ht="12.75" outlineLevel="2" x14ac:dyDescent="0.2">
      <c r="A41" s="2012" t="s">
        <v>5448</v>
      </c>
      <c r="B41" s="2012" t="s">
        <v>5449</v>
      </c>
      <c r="C41" s="2012" t="s">
        <v>5454</v>
      </c>
      <c r="D41" s="2012" t="s">
        <v>5455</v>
      </c>
      <c r="E41" s="2012" t="s">
        <v>920</v>
      </c>
      <c r="F41" s="2004">
        <v>-20.68543</v>
      </c>
      <c r="G41" s="1962">
        <v>0</v>
      </c>
      <c r="H41" s="1962">
        <v>0</v>
      </c>
      <c r="I41" s="1962">
        <v>0</v>
      </c>
    </row>
    <row r="42" spans="1:134" ht="12.75" outlineLevel="2" x14ac:dyDescent="0.2">
      <c r="A42" s="2012" t="s">
        <v>5448</v>
      </c>
      <c r="B42" s="2012" t="s">
        <v>5449</v>
      </c>
      <c r="C42" s="2012" t="s">
        <v>5454</v>
      </c>
      <c r="D42" s="2012" t="s">
        <v>5455</v>
      </c>
      <c r="E42" s="2012" t="s">
        <v>921</v>
      </c>
      <c r="F42" s="2004">
        <v>-6.75</v>
      </c>
      <c r="G42" s="1962">
        <v>0</v>
      </c>
      <c r="H42" s="1962">
        <v>-6.75</v>
      </c>
      <c r="I42" s="1962">
        <v>0</v>
      </c>
    </row>
    <row r="43" spans="1:134" ht="12.75" outlineLevel="2" x14ac:dyDescent="0.2">
      <c r="A43" s="2012" t="s">
        <v>5448</v>
      </c>
      <c r="B43" s="2012" t="s">
        <v>5449</v>
      </c>
      <c r="C43" s="2012" t="s">
        <v>5456</v>
      </c>
      <c r="D43" s="2012" t="s">
        <v>5457</v>
      </c>
      <c r="E43" s="2012" t="s">
        <v>1083</v>
      </c>
      <c r="F43" s="2004">
        <v>-106447.23579999999</v>
      </c>
      <c r="G43" s="1962">
        <v>-28840.699504326923</v>
      </c>
      <c r="H43" s="1962">
        <v>-8109.0534459778746</v>
      </c>
      <c r="I43" s="1962">
        <v>-5762.6660227250977</v>
      </c>
    </row>
    <row r="44" spans="1:134" ht="13.5" outlineLevel="1" thickBot="1" x14ac:dyDescent="0.25">
      <c r="A44" s="2018" t="s">
        <v>5458</v>
      </c>
      <c r="B44" s="2018"/>
      <c r="C44" s="2018"/>
      <c r="D44" s="2018"/>
      <c r="E44" s="2019"/>
      <c r="F44" s="2021">
        <f t="shared" ref="F44:I44" si="0">SUBTOTAL(9,F37:F43)</f>
        <v>-245410.59145000001</v>
      </c>
      <c r="G44" s="2014">
        <f t="shared" si="0"/>
        <v>-116316.43569080225</v>
      </c>
      <c r="H44" s="2014">
        <f t="shared" si="0"/>
        <v>-13466.826962553632</v>
      </c>
      <c r="I44" s="2014">
        <f t="shared" si="0"/>
        <v>-9565.3492349154112</v>
      </c>
    </row>
    <row r="45" spans="1:134" ht="13.5" outlineLevel="1" thickBot="1" x14ac:dyDescent="0.25">
      <c r="A45" s="2018" t="s">
        <v>1342</v>
      </c>
      <c r="B45" s="2018"/>
      <c r="C45" s="2018"/>
      <c r="D45" s="2018"/>
      <c r="E45" s="2019"/>
      <c r="F45" s="2021">
        <f t="shared" ref="F45:I45" si="1">SUBTOTAL(9,F37:F43)</f>
        <v>-245410.59145000001</v>
      </c>
      <c r="G45" s="2014">
        <f t="shared" si="1"/>
        <v>-116316.43569080225</v>
      </c>
      <c r="H45" s="2014">
        <f t="shared" si="1"/>
        <v>-13466.826962553632</v>
      </c>
      <c r="I45" s="2014">
        <f t="shared" si="1"/>
        <v>-9565.3492349154112</v>
      </c>
    </row>
    <row r="46" spans="1:134" ht="12.75" x14ac:dyDescent="0.2"/>
    <row r="47" spans="1:134" ht="12.75" x14ac:dyDescent="0.2">
      <c r="F47" s="2077"/>
      <c r="G47" s="3849" t="s">
        <v>5595</v>
      </c>
      <c r="H47" s="3849"/>
      <c r="I47" s="3849"/>
    </row>
    <row r="48" spans="1:134" ht="12.75" x14ac:dyDescent="0.2">
      <c r="F48" s="2181">
        <f>F45/$F$45</f>
        <v>1</v>
      </c>
      <c r="G48" s="2181">
        <f>G45/$F$45</f>
        <v>0.47396664913095476</v>
      </c>
      <c r="H48" s="2181">
        <f>H45/$F$45</f>
        <v>5.4874677099245595E-2</v>
      </c>
      <c r="I48" s="2181">
        <f>I45/$F$45</f>
        <v>3.897692099757747E-2</v>
      </c>
    </row>
    <row r="49" ht="12.75" x14ac:dyDescent="0.2"/>
    <row r="50" ht="12.75" x14ac:dyDescent="0.2"/>
    <row r="51" ht="12.75" x14ac:dyDescent="0.2"/>
    <row r="52" ht="12.75" x14ac:dyDescent="0.2"/>
    <row r="53" ht="12.75" x14ac:dyDescent="0.2"/>
    <row r="54" ht="12.75" x14ac:dyDescent="0.2"/>
    <row r="55" ht="12.75" x14ac:dyDescent="0.2"/>
    <row r="56" ht="12.75" x14ac:dyDescent="0.2"/>
    <row r="57" ht="12.75" x14ac:dyDescent="0.2"/>
    <row r="58" ht="12.75" x14ac:dyDescent="0.2"/>
    <row r="59" ht="12.75" x14ac:dyDescent="0.2"/>
    <row r="60" ht="12.75" x14ac:dyDescent="0.2"/>
    <row r="61" ht="12.75" x14ac:dyDescent="0.2"/>
    <row r="62" ht="12.75" x14ac:dyDescent="0.2"/>
    <row r="63" ht="12.75" x14ac:dyDescent="0.2"/>
    <row r="64" ht="12.75" x14ac:dyDescent="0.2"/>
    <row r="65" ht="12.75" x14ac:dyDescent="0.2"/>
    <row r="66" ht="12.75" x14ac:dyDescent="0.2"/>
    <row r="67" ht="12.75" x14ac:dyDescent="0.2"/>
    <row r="68" ht="12.75" x14ac:dyDescent="0.2"/>
    <row r="69" ht="12.75" x14ac:dyDescent="0.2"/>
    <row r="70" ht="12.75" x14ac:dyDescent="0.2"/>
    <row r="71" ht="12.75" x14ac:dyDescent="0.2"/>
    <row r="72" ht="12.75" x14ac:dyDescent="0.2"/>
    <row r="73" ht="12.75" x14ac:dyDescent="0.2"/>
    <row r="74" ht="12.75" x14ac:dyDescent="0.2"/>
    <row r="75" ht="12.75" x14ac:dyDescent="0.2"/>
    <row r="76" ht="12.75" x14ac:dyDescent="0.2"/>
    <row r="77" ht="12.75" x14ac:dyDescent="0.2"/>
    <row r="78" ht="12.75" x14ac:dyDescent="0.2"/>
    <row r="79" ht="12.75" x14ac:dyDescent="0.2"/>
    <row r="80" ht="12.75" x14ac:dyDescent="0.2"/>
    <row r="81" ht="12.75" x14ac:dyDescent="0.2"/>
    <row r="82" ht="12.75" x14ac:dyDescent="0.2"/>
    <row r="83" ht="12.75" x14ac:dyDescent="0.2"/>
    <row r="84" ht="12.75" x14ac:dyDescent="0.2"/>
    <row r="85" ht="12.75" x14ac:dyDescent="0.2"/>
    <row r="86" ht="12.75" x14ac:dyDescent="0.2"/>
    <row r="87" ht="12.75" x14ac:dyDescent="0.2"/>
    <row r="88" ht="12.75" x14ac:dyDescent="0.2"/>
    <row r="89" ht="12.75" x14ac:dyDescent="0.2"/>
    <row r="90" ht="12.75" x14ac:dyDescent="0.2"/>
    <row r="91" ht="12.75" x14ac:dyDescent="0.2"/>
    <row r="92" ht="12.75" x14ac:dyDescent="0.2"/>
    <row r="93" ht="12.75" x14ac:dyDescent="0.2"/>
    <row r="94" ht="12.75" x14ac:dyDescent="0.2"/>
    <row r="95" ht="12.75" x14ac:dyDescent="0.2"/>
    <row r="96" ht="12.75" x14ac:dyDescent="0.2"/>
    <row r="97" ht="12.75" x14ac:dyDescent="0.2"/>
    <row r="98" ht="12.75" x14ac:dyDescent="0.2"/>
    <row r="99" ht="12.75" x14ac:dyDescent="0.2"/>
    <row r="100" ht="12.75" x14ac:dyDescent="0.2"/>
    <row r="101" ht="12.75" x14ac:dyDescent="0.2"/>
    <row r="102" ht="12.75" x14ac:dyDescent="0.2"/>
    <row r="103" ht="12.75" x14ac:dyDescent="0.2"/>
    <row r="104" ht="12.75" x14ac:dyDescent="0.2"/>
    <row r="105" ht="12.75" x14ac:dyDescent="0.2"/>
    <row r="106" ht="12.75" x14ac:dyDescent="0.2"/>
    <row r="107" ht="12.75" x14ac:dyDescent="0.2"/>
    <row r="108" ht="12.75" x14ac:dyDescent="0.2"/>
    <row r="109" ht="12.75" x14ac:dyDescent="0.2"/>
    <row r="110" ht="12.75" x14ac:dyDescent="0.2"/>
    <row r="111" ht="12.75" x14ac:dyDescent="0.2"/>
    <row r="112" ht="12.75" x14ac:dyDescent="0.2"/>
    <row r="113" ht="12.75" x14ac:dyDescent="0.2"/>
    <row r="114" ht="12.75" x14ac:dyDescent="0.2"/>
    <row r="115" ht="12.75" x14ac:dyDescent="0.2"/>
    <row r="116" ht="12.75" x14ac:dyDescent="0.2"/>
    <row r="117" ht="12.75" x14ac:dyDescent="0.2"/>
    <row r="118" ht="12.75" x14ac:dyDescent="0.2"/>
    <row r="119" ht="12.75" x14ac:dyDescent="0.2"/>
    <row r="120" ht="12.75" x14ac:dyDescent="0.2"/>
    <row r="121" ht="12.75" x14ac:dyDescent="0.2"/>
    <row r="122" ht="12.75" x14ac:dyDescent="0.2"/>
    <row r="123" ht="12.75" x14ac:dyDescent="0.2"/>
    <row r="124" ht="12.75" x14ac:dyDescent="0.2"/>
    <row r="125" ht="12.75" x14ac:dyDescent="0.2"/>
    <row r="126" ht="12.75" x14ac:dyDescent="0.2"/>
    <row r="127" ht="12.75" x14ac:dyDescent="0.2"/>
    <row r="128" ht="12.75" x14ac:dyDescent="0.2"/>
    <row r="129" ht="12.75" x14ac:dyDescent="0.2"/>
    <row r="130" ht="12.75" x14ac:dyDescent="0.2"/>
    <row r="131" ht="12.75" x14ac:dyDescent="0.2"/>
    <row r="132" ht="12.75" x14ac:dyDescent="0.2"/>
    <row r="133" ht="12.75" x14ac:dyDescent="0.2"/>
    <row r="134" ht="12.75" x14ac:dyDescent="0.2"/>
    <row r="135" ht="12.75" x14ac:dyDescent="0.2"/>
    <row r="136" ht="12.75" x14ac:dyDescent="0.2"/>
    <row r="137" ht="12.75" x14ac:dyDescent="0.2"/>
    <row r="138" ht="12.75" x14ac:dyDescent="0.2"/>
    <row r="139" ht="12.75" x14ac:dyDescent="0.2"/>
    <row r="140" ht="12.75" x14ac:dyDescent="0.2"/>
    <row r="141" ht="12.75" x14ac:dyDescent="0.2"/>
    <row r="142" ht="12.75" x14ac:dyDescent="0.2"/>
    <row r="143" ht="12.75" x14ac:dyDescent="0.2"/>
    <row r="144" ht="12.75" x14ac:dyDescent="0.2"/>
    <row r="145" ht="12.75" x14ac:dyDescent="0.2"/>
    <row r="146" ht="12.75" x14ac:dyDescent="0.2"/>
    <row r="147" ht="12.75" x14ac:dyDescent="0.2"/>
    <row r="148" ht="12.75" x14ac:dyDescent="0.2"/>
    <row r="149" ht="12.75" x14ac:dyDescent="0.2"/>
    <row r="150" ht="12.75" x14ac:dyDescent="0.2"/>
    <row r="151" ht="12.75" x14ac:dyDescent="0.2"/>
    <row r="152" ht="12.75" x14ac:dyDescent="0.2"/>
    <row r="153" ht="12.75" x14ac:dyDescent="0.2"/>
    <row r="154" ht="12.75" x14ac:dyDescent="0.2"/>
    <row r="155" ht="12.75" x14ac:dyDescent="0.2"/>
    <row r="156" ht="12.75" x14ac:dyDescent="0.2"/>
    <row r="157" ht="12.75" x14ac:dyDescent="0.2"/>
    <row r="158" ht="12.75" x14ac:dyDescent="0.2"/>
    <row r="159" ht="12.75" x14ac:dyDescent="0.2"/>
    <row r="160" ht="12.75" x14ac:dyDescent="0.2"/>
    <row r="161" ht="12.75" x14ac:dyDescent="0.2"/>
    <row r="162" ht="12.75" x14ac:dyDescent="0.2"/>
    <row r="163" ht="12.75" x14ac:dyDescent="0.2"/>
    <row r="164" ht="12.75" x14ac:dyDescent="0.2"/>
    <row r="165" ht="12.75" x14ac:dyDescent="0.2"/>
    <row r="166" ht="12.75" x14ac:dyDescent="0.2"/>
    <row r="167" ht="12.75" x14ac:dyDescent="0.2"/>
    <row r="168" ht="12.75" x14ac:dyDescent="0.2"/>
    <row r="169" ht="12.75" x14ac:dyDescent="0.2"/>
    <row r="170" ht="12.75" x14ac:dyDescent="0.2"/>
    <row r="171" ht="12.75" x14ac:dyDescent="0.2"/>
    <row r="172" ht="12.75" x14ac:dyDescent="0.2"/>
    <row r="173" ht="12.75" x14ac:dyDescent="0.2"/>
    <row r="174" ht="12.75" x14ac:dyDescent="0.2"/>
    <row r="175" ht="12.75" x14ac:dyDescent="0.2"/>
    <row r="176" ht="12.75" x14ac:dyDescent="0.2"/>
    <row r="177" ht="12.75" x14ac:dyDescent="0.2"/>
    <row r="178" ht="12.75" x14ac:dyDescent="0.2"/>
    <row r="179" ht="12.75" x14ac:dyDescent="0.2"/>
    <row r="180" ht="12.75" x14ac:dyDescent="0.2"/>
    <row r="181" ht="12.75" x14ac:dyDescent="0.2"/>
    <row r="182" ht="12.75" x14ac:dyDescent="0.2"/>
    <row r="183" ht="12.75" x14ac:dyDescent="0.2"/>
    <row r="184" ht="12.75" x14ac:dyDescent="0.2"/>
    <row r="185" ht="12.75" x14ac:dyDescent="0.2"/>
    <row r="186" ht="12.75" x14ac:dyDescent="0.2"/>
    <row r="187" ht="12.75" x14ac:dyDescent="0.2"/>
    <row r="188" ht="12.75" x14ac:dyDescent="0.2"/>
    <row r="189" ht="12.75" x14ac:dyDescent="0.2"/>
    <row r="190" ht="12.75" x14ac:dyDescent="0.2"/>
    <row r="191" ht="12.75" x14ac:dyDescent="0.2"/>
    <row r="192" ht="12.75" x14ac:dyDescent="0.2"/>
    <row r="193" ht="12.75" x14ac:dyDescent="0.2"/>
    <row r="194" ht="12.75" x14ac:dyDescent="0.2"/>
    <row r="195" ht="12.75" x14ac:dyDescent="0.2"/>
    <row r="196" ht="12.75" x14ac:dyDescent="0.2"/>
    <row r="197" ht="12.75" x14ac:dyDescent="0.2"/>
    <row r="198" ht="12.75" x14ac:dyDescent="0.2"/>
    <row r="199" ht="12.75" x14ac:dyDescent="0.2"/>
    <row r="200" ht="12.75" x14ac:dyDescent="0.2"/>
    <row r="201" ht="12.75" x14ac:dyDescent="0.2"/>
    <row r="202" ht="12.75" x14ac:dyDescent="0.2"/>
    <row r="203" ht="12.75" x14ac:dyDescent="0.2"/>
    <row r="204" ht="12.75" x14ac:dyDescent="0.2"/>
    <row r="205" ht="12.75" x14ac:dyDescent="0.2"/>
    <row r="206" ht="12.75" x14ac:dyDescent="0.2"/>
    <row r="207" ht="12.75" x14ac:dyDescent="0.2"/>
    <row r="208" ht="12.75" x14ac:dyDescent="0.2"/>
    <row r="209" ht="12.75" x14ac:dyDescent="0.2"/>
    <row r="210" ht="12.75" x14ac:dyDescent="0.2"/>
    <row r="211" ht="12.75" x14ac:dyDescent="0.2"/>
    <row r="212" ht="12.75" x14ac:dyDescent="0.2"/>
    <row r="213" ht="12.75" x14ac:dyDescent="0.2"/>
    <row r="214" ht="12.75" x14ac:dyDescent="0.2"/>
    <row r="215" ht="12.75" x14ac:dyDescent="0.2"/>
    <row r="216" ht="12.75" x14ac:dyDescent="0.2"/>
    <row r="217" ht="12.75" x14ac:dyDescent="0.2"/>
    <row r="218" ht="12.75" x14ac:dyDescent="0.2"/>
    <row r="219" ht="12.75" x14ac:dyDescent="0.2"/>
    <row r="220" ht="12.75" x14ac:dyDescent="0.2"/>
    <row r="221" ht="12.75" x14ac:dyDescent="0.2"/>
    <row r="222" ht="12.75" x14ac:dyDescent="0.2"/>
    <row r="223" ht="12.75" x14ac:dyDescent="0.2"/>
    <row r="224" ht="12.75" x14ac:dyDescent="0.2"/>
    <row r="225" ht="12.75" x14ac:dyDescent="0.2"/>
    <row r="226" ht="12.75" x14ac:dyDescent="0.2"/>
    <row r="227" ht="12.75" x14ac:dyDescent="0.2"/>
    <row r="228" ht="12.75" x14ac:dyDescent="0.2"/>
    <row r="229" ht="12.75" x14ac:dyDescent="0.2"/>
    <row r="230" ht="12.75" x14ac:dyDescent="0.2"/>
    <row r="231" ht="12.75" x14ac:dyDescent="0.2"/>
    <row r="232" ht="12.75" x14ac:dyDescent="0.2"/>
    <row r="233" ht="12.75" x14ac:dyDescent="0.2"/>
    <row r="234" ht="12.75" x14ac:dyDescent="0.2"/>
    <row r="235" ht="12.75" x14ac:dyDescent="0.2"/>
    <row r="236" ht="12.75" x14ac:dyDescent="0.2"/>
    <row r="237" ht="12.75" x14ac:dyDescent="0.2"/>
    <row r="238" ht="12.75" x14ac:dyDescent="0.2"/>
    <row r="239" ht="12.75" x14ac:dyDescent="0.2"/>
    <row r="240" ht="12.75" x14ac:dyDescent="0.2"/>
    <row r="241" ht="12.75" x14ac:dyDescent="0.2"/>
    <row r="242" ht="12.75" x14ac:dyDescent="0.2"/>
    <row r="243" ht="12.75" x14ac:dyDescent="0.2"/>
    <row r="244" ht="12.75" x14ac:dyDescent="0.2"/>
    <row r="245" ht="12.75" x14ac:dyDescent="0.2"/>
    <row r="246" ht="12.75" x14ac:dyDescent="0.2"/>
    <row r="247" ht="12.75" x14ac:dyDescent="0.2"/>
    <row r="248" ht="12.75" x14ac:dyDescent="0.2"/>
    <row r="249" ht="12.75" x14ac:dyDescent="0.2"/>
    <row r="250" ht="12.75" x14ac:dyDescent="0.2"/>
    <row r="251" ht="12.75" x14ac:dyDescent="0.2"/>
    <row r="252" ht="12.75" x14ac:dyDescent="0.2"/>
    <row r="253" ht="12.75" x14ac:dyDescent="0.2"/>
    <row r="254" ht="12.75" x14ac:dyDescent="0.2"/>
    <row r="255" ht="12.75" x14ac:dyDescent="0.2"/>
    <row r="256" ht="12.75" x14ac:dyDescent="0.2"/>
    <row r="257" ht="12.75" x14ac:dyDescent="0.2"/>
    <row r="258" ht="12.75" x14ac:dyDescent="0.2"/>
    <row r="259" ht="12.75" x14ac:dyDescent="0.2"/>
    <row r="260" ht="12.75" x14ac:dyDescent="0.2"/>
    <row r="261" ht="12.75" x14ac:dyDescent="0.2"/>
    <row r="262" ht="12.75" x14ac:dyDescent="0.2"/>
    <row r="263" ht="12.75" x14ac:dyDescent="0.2"/>
    <row r="264" ht="12.75" x14ac:dyDescent="0.2"/>
    <row r="265" ht="12.75" x14ac:dyDescent="0.2"/>
    <row r="266" ht="12.75" x14ac:dyDescent="0.2"/>
    <row r="267" ht="12.75" x14ac:dyDescent="0.2"/>
    <row r="268" ht="12.75" x14ac:dyDescent="0.2"/>
    <row r="269" ht="12.75" x14ac:dyDescent="0.2"/>
    <row r="270" ht="12.75" x14ac:dyDescent="0.2"/>
    <row r="271" ht="12.75" x14ac:dyDescent="0.2"/>
    <row r="272" ht="12.75" x14ac:dyDescent="0.2"/>
    <row r="273" ht="12.75" x14ac:dyDescent="0.2"/>
    <row r="274" ht="12.75" x14ac:dyDescent="0.2"/>
    <row r="275" ht="12.75" x14ac:dyDescent="0.2"/>
    <row r="276" ht="12.75" x14ac:dyDescent="0.2"/>
    <row r="277" ht="12.75" x14ac:dyDescent="0.2"/>
    <row r="278" ht="12.75" x14ac:dyDescent="0.2"/>
    <row r="279" ht="12.75" x14ac:dyDescent="0.2"/>
    <row r="280" ht="12.75" x14ac:dyDescent="0.2"/>
    <row r="281" ht="12.75" x14ac:dyDescent="0.2"/>
    <row r="282" ht="12.75" x14ac:dyDescent="0.2"/>
    <row r="283" ht="12.75" x14ac:dyDescent="0.2"/>
    <row r="284" ht="12.75" x14ac:dyDescent="0.2"/>
    <row r="285" ht="12.75" x14ac:dyDescent="0.2"/>
    <row r="286" ht="12.75" x14ac:dyDescent="0.2"/>
    <row r="287" ht="12.75" x14ac:dyDescent="0.2"/>
    <row r="288" ht="12.75" x14ac:dyDescent="0.2"/>
    <row r="289" ht="12.75" x14ac:dyDescent="0.2"/>
    <row r="290" ht="12.75" x14ac:dyDescent="0.2"/>
    <row r="291" ht="12.75" x14ac:dyDescent="0.2"/>
    <row r="292" ht="12.75" x14ac:dyDescent="0.2"/>
    <row r="293" ht="12.75" x14ac:dyDescent="0.2"/>
    <row r="294" ht="12.75" x14ac:dyDescent="0.2"/>
    <row r="295" ht="12.75" x14ac:dyDescent="0.2"/>
    <row r="296" ht="12.75" x14ac:dyDescent="0.2"/>
    <row r="297" ht="12.75" x14ac:dyDescent="0.2"/>
    <row r="298" ht="12.75" x14ac:dyDescent="0.2"/>
    <row r="299" ht="12.75" x14ac:dyDescent="0.2"/>
    <row r="300" ht="12.75" x14ac:dyDescent="0.2"/>
    <row r="301" ht="12.75" x14ac:dyDescent="0.2"/>
    <row r="302" ht="12.75" x14ac:dyDescent="0.2"/>
    <row r="303" ht="12.75" x14ac:dyDescent="0.2"/>
    <row r="304" ht="12.75" x14ac:dyDescent="0.2"/>
    <row r="305" ht="12.75" x14ac:dyDescent="0.2"/>
    <row r="306" ht="12.75" x14ac:dyDescent="0.2"/>
    <row r="307" ht="12.75" x14ac:dyDescent="0.2"/>
    <row r="308" ht="12.75" x14ac:dyDescent="0.2"/>
    <row r="309" ht="12.75" x14ac:dyDescent="0.2"/>
    <row r="310" ht="12.75" x14ac:dyDescent="0.2"/>
    <row r="311" ht="12.75" x14ac:dyDescent="0.2"/>
    <row r="312" ht="12.75" x14ac:dyDescent="0.2"/>
    <row r="313" ht="12.75" x14ac:dyDescent="0.2"/>
    <row r="314" ht="12.75" x14ac:dyDescent="0.2"/>
    <row r="315" ht="12.75" x14ac:dyDescent="0.2"/>
    <row r="316" ht="12.75" x14ac:dyDescent="0.2"/>
    <row r="317" ht="12.75" x14ac:dyDescent="0.2"/>
    <row r="318" ht="12.75" x14ac:dyDescent="0.2"/>
    <row r="319" ht="12.75" x14ac:dyDescent="0.2"/>
    <row r="320" ht="12.75" x14ac:dyDescent="0.2"/>
    <row r="321" ht="12.75" x14ac:dyDescent="0.2"/>
    <row r="322" ht="12.75" x14ac:dyDescent="0.2"/>
    <row r="323" ht="12.75" x14ac:dyDescent="0.2"/>
    <row r="324" ht="12.75" x14ac:dyDescent="0.2"/>
    <row r="325" ht="12.75" x14ac:dyDescent="0.2"/>
    <row r="326" ht="12.75" x14ac:dyDescent="0.2"/>
    <row r="327" ht="12.75" x14ac:dyDescent="0.2"/>
    <row r="328" ht="12.75" x14ac:dyDescent="0.2"/>
    <row r="329" ht="12.75" x14ac:dyDescent="0.2"/>
    <row r="330" ht="12.75" x14ac:dyDescent="0.2"/>
    <row r="331" ht="12.75" x14ac:dyDescent="0.2"/>
    <row r="332" ht="12.75" x14ac:dyDescent="0.2"/>
    <row r="333" ht="12.75" x14ac:dyDescent="0.2"/>
    <row r="334" ht="12.75" x14ac:dyDescent="0.2"/>
    <row r="335" ht="12.75" x14ac:dyDescent="0.2"/>
    <row r="336" ht="12.75" x14ac:dyDescent="0.2"/>
    <row r="337" ht="12.75" x14ac:dyDescent="0.2"/>
    <row r="338" ht="12.75" x14ac:dyDescent="0.2"/>
    <row r="339" ht="12.75" x14ac:dyDescent="0.2"/>
    <row r="340" ht="12.75" x14ac:dyDescent="0.2"/>
    <row r="341" ht="12.75" x14ac:dyDescent="0.2"/>
    <row r="342" ht="12.75" x14ac:dyDescent="0.2"/>
    <row r="343" ht="12.75" x14ac:dyDescent="0.2"/>
    <row r="344" ht="12.75" x14ac:dyDescent="0.2"/>
    <row r="345" ht="12.75" x14ac:dyDescent="0.2"/>
    <row r="346" ht="12.75" x14ac:dyDescent="0.2"/>
    <row r="347" ht="12.75" x14ac:dyDescent="0.2"/>
    <row r="348" ht="12.75" x14ac:dyDescent="0.2"/>
    <row r="349" ht="12.75" x14ac:dyDescent="0.2"/>
    <row r="350" ht="12.75" x14ac:dyDescent="0.2"/>
    <row r="351" ht="12.75" x14ac:dyDescent="0.2"/>
    <row r="352" ht="12.75" x14ac:dyDescent="0.2"/>
    <row r="353" ht="12.75" x14ac:dyDescent="0.2"/>
    <row r="354" ht="12.75" x14ac:dyDescent="0.2"/>
    <row r="355" ht="12.75" x14ac:dyDescent="0.2"/>
    <row r="356" ht="12.75" x14ac:dyDescent="0.2"/>
    <row r="357" ht="12.75" x14ac:dyDescent="0.2"/>
    <row r="358" ht="12.75" x14ac:dyDescent="0.2"/>
    <row r="359" ht="12.75" x14ac:dyDescent="0.2"/>
    <row r="360" ht="12.75" x14ac:dyDescent="0.2"/>
    <row r="361" ht="12.75" x14ac:dyDescent="0.2"/>
    <row r="362" ht="12.75" x14ac:dyDescent="0.2"/>
    <row r="363" ht="12.75" x14ac:dyDescent="0.2"/>
    <row r="364" ht="12.75" x14ac:dyDescent="0.2"/>
    <row r="365" ht="12.75" x14ac:dyDescent="0.2"/>
    <row r="366" ht="12.75" x14ac:dyDescent="0.2"/>
    <row r="367" ht="12.75" x14ac:dyDescent="0.2"/>
    <row r="368" ht="12.75" x14ac:dyDescent="0.2"/>
    <row r="369" ht="12.75" x14ac:dyDescent="0.2"/>
    <row r="370" ht="12.75" x14ac:dyDescent="0.2"/>
    <row r="371" ht="12.75" x14ac:dyDescent="0.2"/>
    <row r="372" ht="12.75" x14ac:dyDescent="0.2"/>
    <row r="373" ht="12.75" x14ac:dyDescent="0.2"/>
    <row r="374" ht="12.75" x14ac:dyDescent="0.2"/>
    <row r="375" ht="12.75" x14ac:dyDescent="0.2"/>
    <row r="376" ht="12.75" x14ac:dyDescent="0.2"/>
    <row r="377" ht="12.75" x14ac:dyDescent="0.2"/>
    <row r="378" ht="12.75" x14ac:dyDescent="0.2"/>
    <row r="379" ht="12.75" x14ac:dyDescent="0.2"/>
    <row r="380" ht="12.75" x14ac:dyDescent="0.2"/>
    <row r="381" ht="12.75" x14ac:dyDescent="0.2"/>
    <row r="382" ht="12.75" x14ac:dyDescent="0.2"/>
    <row r="383" ht="12.75" x14ac:dyDescent="0.2"/>
    <row r="384" ht="12.75" x14ac:dyDescent="0.2"/>
    <row r="385" ht="12.75" x14ac:dyDescent="0.2"/>
    <row r="386" ht="12.75" x14ac:dyDescent="0.2"/>
    <row r="387" ht="12.75" x14ac:dyDescent="0.2"/>
    <row r="388" ht="12.75" x14ac:dyDescent="0.2"/>
    <row r="389" ht="12.75" x14ac:dyDescent="0.2"/>
    <row r="390" ht="12.75" x14ac:dyDescent="0.2"/>
    <row r="391" ht="12.75" x14ac:dyDescent="0.2"/>
    <row r="392" ht="12.75" x14ac:dyDescent="0.2"/>
    <row r="393" ht="12.75" x14ac:dyDescent="0.2"/>
    <row r="394" ht="12.75" x14ac:dyDescent="0.2"/>
    <row r="395" ht="12.75" x14ac:dyDescent="0.2"/>
    <row r="396" ht="12.75" x14ac:dyDescent="0.2"/>
    <row r="397" ht="12.75" x14ac:dyDescent="0.2"/>
    <row r="398" ht="12.75" x14ac:dyDescent="0.2"/>
    <row r="399" ht="12.75" x14ac:dyDescent="0.2"/>
    <row r="400" ht="12.75" x14ac:dyDescent="0.2"/>
    <row r="401" ht="12.75" x14ac:dyDescent="0.2"/>
    <row r="402" ht="12.75" x14ac:dyDescent="0.2"/>
    <row r="403" ht="12.75" x14ac:dyDescent="0.2"/>
    <row r="404" ht="12.75" x14ac:dyDescent="0.2"/>
    <row r="405" ht="12.75" x14ac:dyDescent="0.2"/>
    <row r="406" ht="12.75" x14ac:dyDescent="0.2"/>
    <row r="407" ht="12.75" x14ac:dyDescent="0.2"/>
    <row r="408" ht="12.75" x14ac:dyDescent="0.2"/>
    <row r="409" ht="12.75" x14ac:dyDescent="0.2"/>
    <row r="410" ht="12.75" x14ac:dyDescent="0.2"/>
    <row r="411" ht="12.75" x14ac:dyDescent="0.2"/>
    <row r="412" ht="12.75" x14ac:dyDescent="0.2"/>
    <row r="413" ht="12.75" x14ac:dyDescent="0.2"/>
    <row r="414" ht="12.75" x14ac:dyDescent="0.2"/>
    <row r="415" ht="12.75" x14ac:dyDescent="0.2"/>
    <row r="416" ht="12.75" x14ac:dyDescent="0.2"/>
    <row r="417" ht="12.75" x14ac:dyDescent="0.2"/>
    <row r="418" ht="12.75" x14ac:dyDescent="0.2"/>
    <row r="419" ht="12.75" x14ac:dyDescent="0.2"/>
    <row r="420" ht="12.75" x14ac:dyDescent="0.2"/>
    <row r="421" ht="12.75" x14ac:dyDescent="0.2"/>
    <row r="422" ht="12.75" x14ac:dyDescent="0.2"/>
    <row r="423" ht="12.75" x14ac:dyDescent="0.2"/>
    <row r="424" ht="12.75" x14ac:dyDescent="0.2"/>
    <row r="425" ht="12.75" x14ac:dyDescent="0.2"/>
    <row r="426" ht="12.75" x14ac:dyDescent="0.2"/>
    <row r="427" ht="12.75" x14ac:dyDescent="0.2"/>
    <row r="428" ht="12.75" x14ac:dyDescent="0.2"/>
    <row r="429" ht="12.75" x14ac:dyDescent="0.2"/>
    <row r="430" ht="12.75" x14ac:dyDescent="0.2"/>
    <row r="431" ht="12.75" x14ac:dyDescent="0.2"/>
    <row r="432" ht="12.75" x14ac:dyDescent="0.2"/>
    <row r="433" ht="12.75" x14ac:dyDescent="0.2"/>
    <row r="434" ht="12.75" x14ac:dyDescent="0.2"/>
    <row r="435" ht="12.75" x14ac:dyDescent="0.2"/>
    <row r="436" ht="12.75" x14ac:dyDescent="0.2"/>
    <row r="437" ht="12.75" x14ac:dyDescent="0.2"/>
    <row r="438" ht="12.75" x14ac:dyDescent="0.2"/>
    <row r="439" ht="12.75" x14ac:dyDescent="0.2"/>
    <row r="440" ht="12.75" x14ac:dyDescent="0.2"/>
    <row r="441" ht="12.75" x14ac:dyDescent="0.2"/>
    <row r="442" ht="12.75" x14ac:dyDescent="0.2"/>
    <row r="443" ht="12.75" x14ac:dyDescent="0.2"/>
    <row r="444" ht="12.75" x14ac:dyDescent="0.2"/>
    <row r="445" ht="12.75" x14ac:dyDescent="0.2"/>
    <row r="446" ht="12.75" x14ac:dyDescent="0.2"/>
    <row r="447" ht="12.75" x14ac:dyDescent="0.2"/>
    <row r="448" ht="12.75" x14ac:dyDescent="0.2"/>
    <row r="449" ht="12.75" x14ac:dyDescent="0.2"/>
    <row r="450" ht="12.75" x14ac:dyDescent="0.2"/>
    <row r="451" ht="12.75" x14ac:dyDescent="0.2"/>
    <row r="452" ht="12.75" x14ac:dyDescent="0.2"/>
    <row r="453" ht="12.75" x14ac:dyDescent="0.2"/>
    <row r="454" ht="12.75" x14ac:dyDescent="0.2"/>
    <row r="455" ht="12.75" x14ac:dyDescent="0.2"/>
    <row r="456" ht="12.75" x14ac:dyDescent="0.2"/>
    <row r="457" ht="12.75" x14ac:dyDescent="0.2"/>
    <row r="458" ht="12.75" x14ac:dyDescent="0.2"/>
    <row r="459" ht="12.75" x14ac:dyDescent="0.2"/>
    <row r="460" ht="12.75" x14ac:dyDescent="0.2"/>
    <row r="461" ht="12.75" x14ac:dyDescent="0.2"/>
    <row r="462" ht="12.75" x14ac:dyDescent="0.2"/>
    <row r="463" ht="12.75" x14ac:dyDescent="0.2"/>
    <row r="464" ht="12.75" x14ac:dyDescent="0.2"/>
    <row r="465" ht="12.75" x14ac:dyDescent="0.2"/>
    <row r="466" ht="12.75" x14ac:dyDescent="0.2"/>
    <row r="467" ht="12.75" x14ac:dyDescent="0.2"/>
    <row r="468" ht="12.75" x14ac:dyDescent="0.2"/>
    <row r="469" ht="12.75" x14ac:dyDescent="0.2"/>
    <row r="470" ht="12.75" x14ac:dyDescent="0.2"/>
    <row r="471" ht="12.75" x14ac:dyDescent="0.2"/>
    <row r="472" ht="12.75" x14ac:dyDescent="0.2"/>
    <row r="473" ht="12.75" x14ac:dyDescent="0.2"/>
    <row r="474" ht="12.75" x14ac:dyDescent="0.2"/>
    <row r="475" ht="12.75" x14ac:dyDescent="0.2"/>
    <row r="476" ht="12.75" x14ac:dyDescent="0.2"/>
    <row r="477" ht="12.75" x14ac:dyDescent="0.2"/>
    <row r="478" ht="12.75" x14ac:dyDescent="0.2"/>
    <row r="479" ht="12.75" x14ac:dyDescent="0.2"/>
    <row r="480" ht="12.75" x14ac:dyDescent="0.2"/>
    <row r="481" ht="12.75" x14ac:dyDescent="0.2"/>
    <row r="482" ht="12.75" x14ac:dyDescent="0.2"/>
    <row r="483" ht="12.75" x14ac:dyDescent="0.2"/>
    <row r="484" ht="12.75" x14ac:dyDescent="0.2"/>
    <row r="485" ht="12.75" x14ac:dyDescent="0.2"/>
    <row r="486" ht="12.75" x14ac:dyDescent="0.2"/>
    <row r="487" ht="12.75" x14ac:dyDescent="0.2"/>
    <row r="488" ht="12.75" x14ac:dyDescent="0.2"/>
    <row r="489" ht="12.75" x14ac:dyDescent="0.2"/>
    <row r="490" ht="12.75" x14ac:dyDescent="0.2"/>
    <row r="491" ht="12.75" x14ac:dyDescent="0.2"/>
    <row r="492" ht="12.75" x14ac:dyDescent="0.2"/>
    <row r="493" ht="12.75" x14ac:dyDescent="0.2"/>
    <row r="494" ht="12.75" x14ac:dyDescent="0.2"/>
    <row r="495" ht="12.75" x14ac:dyDescent="0.2"/>
    <row r="496" ht="12.75" x14ac:dyDescent="0.2"/>
    <row r="497" ht="12.75" x14ac:dyDescent="0.2"/>
    <row r="498" ht="12.75" x14ac:dyDescent="0.2"/>
    <row r="499" ht="12.75" x14ac:dyDescent="0.2"/>
    <row r="500" ht="12.75" x14ac:dyDescent="0.2"/>
    <row r="501" ht="12.75" x14ac:dyDescent="0.2"/>
    <row r="502" ht="12.75" x14ac:dyDescent="0.2"/>
    <row r="503" ht="12.75" x14ac:dyDescent="0.2"/>
    <row r="504" ht="12.75" x14ac:dyDescent="0.2"/>
    <row r="505" ht="12.75" x14ac:dyDescent="0.2"/>
    <row r="506" ht="12.75" x14ac:dyDescent="0.2"/>
    <row r="507" ht="12.75" x14ac:dyDescent="0.2"/>
    <row r="508" ht="12.75" x14ac:dyDescent="0.2"/>
    <row r="509" ht="12.75" x14ac:dyDescent="0.2"/>
    <row r="510" ht="12.75" x14ac:dyDescent="0.2"/>
    <row r="511" ht="12.75" x14ac:dyDescent="0.2"/>
    <row r="512" ht="12.75" x14ac:dyDescent="0.2"/>
    <row r="513" ht="12.75" x14ac:dyDescent="0.2"/>
    <row r="514" ht="12.75" x14ac:dyDescent="0.2"/>
    <row r="515" ht="12.75" x14ac:dyDescent="0.2"/>
    <row r="516" ht="12.75" x14ac:dyDescent="0.2"/>
    <row r="517" ht="12.75" x14ac:dyDescent="0.2"/>
    <row r="518" ht="12.75" x14ac:dyDescent="0.2"/>
    <row r="519" ht="12.75" x14ac:dyDescent="0.2"/>
    <row r="520" ht="12.75" x14ac:dyDescent="0.2"/>
    <row r="521" ht="12.75" x14ac:dyDescent="0.2"/>
    <row r="522" ht="12.75" x14ac:dyDescent="0.2"/>
    <row r="523" ht="12.75" x14ac:dyDescent="0.2"/>
    <row r="524" ht="12.75" x14ac:dyDescent="0.2"/>
    <row r="525" ht="12.75" x14ac:dyDescent="0.2"/>
    <row r="526" ht="12.75" x14ac:dyDescent="0.2"/>
    <row r="527" ht="12.75" x14ac:dyDescent="0.2"/>
    <row r="528" ht="12.75" x14ac:dyDescent="0.2"/>
    <row r="529" ht="12.75" x14ac:dyDescent="0.2"/>
    <row r="530" ht="12.75" x14ac:dyDescent="0.2"/>
    <row r="531" ht="12.75" x14ac:dyDescent="0.2"/>
    <row r="532" ht="12.75" x14ac:dyDescent="0.2"/>
    <row r="533" ht="12.75" x14ac:dyDescent="0.2"/>
    <row r="534" ht="12.75" x14ac:dyDescent="0.2"/>
    <row r="535" ht="12.75" x14ac:dyDescent="0.2"/>
    <row r="536" ht="12.75" x14ac:dyDescent="0.2"/>
    <row r="537" ht="12.75" x14ac:dyDescent="0.2"/>
    <row r="538" ht="12.75" x14ac:dyDescent="0.2"/>
    <row r="539" ht="12.75" x14ac:dyDescent="0.2"/>
    <row r="540" ht="12.75" x14ac:dyDescent="0.2"/>
    <row r="541" ht="12.75" x14ac:dyDescent="0.2"/>
    <row r="542" ht="12.75" x14ac:dyDescent="0.2"/>
    <row r="543" ht="12.75" x14ac:dyDescent="0.2"/>
    <row r="544" ht="12.75" x14ac:dyDescent="0.2"/>
    <row r="545" ht="12.75" x14ac:dyDescent="0.2"/>
    <row r="546" ht="12.75" x14ac:dyDescent="0.2"/>
    <row r="547" ht="12.75" x14ac:dyDescent="0.2"/>
    <row r="548" ht="12.75" x14ac:dyDescent="0.2"/>
    <row r="549" ht="12.75" x14ac:dyDescent="0.2"/>
    <row r="550" ht="12.75" x14ac:dyDescent="0.2"/>
    <row r="551" ht="12.75" x14ac:dyDescent="0.2"/>
    <row r="552" ht="12.75" x14ac:dyDescent="0.2"/>
    <row r="553" ht="12.75" x14ac:dyDescent="0.2"/>
    <row r="554" ht="12.75" x14ac:dyDescent="0.2"/>
    <row r="555" ht="12.75" x14ac:dyDescent="0.2"/>
    <row r="556" ht="12.75" x14ac:dyDescent="0.2"/>
    <row r="557" ht="12.75" x14ac:dyDescent="0.2"/>
    <row r="558" ht="12.75" x14ac:dyDescent="0.2"/>
    <row r="559" ht="12.75" x14ac:dyDescent="0.2"/>
    <row r="560" ht="12.75" x14ac:dyDescent="0.2"/>
    <row r="561" ht="12.75" x14ac:dyDescent="0.2"/>
    <row r="562" ht="12.75" x14ac:dyDescent="0.2"/>
    <row r="563" ht="12.75" x14ac:dyDescent="0.2"/>
    <row r="564" ht="12.75" x14ac:dyDescent="0.2"/>
    <row r="565" ht="12.75" x14ac:dyDescent="0.2"/>
    <row r="566" ht="12.75" x14ac:dyDescent="0.2"/>
    <row r="567" ht="12.75" x14ac:dyDescent="0.2"/>
    <row r="568" ht="12.75" x14ac:dyDescent="0.2"/>
    <row r="569" ht="12.75" x14ac:dyDescent="0.2"/>
    <row r="570" ht="12.75" x14ac:dyDescent="0.2"/>
    <row r="571" ht="12.75" x14ac:dyDescent="0.2"/>
    <row r="572" ht="12.75" x14ac:dyDescent="0.2"/>
    <row r="573" ht="12.75" x14ac:dyDescent="0.2"/>
    <row r="574" ht="12.75" x14ac:dyDescent="0.2"/>
    <row r="575" ht="12.75" x14ac:dyDescent="0.2"/>
    <row r="576" ht="12.75" x14ac:dyDescent="0.2"/>
    <row r="577" ht="12.75" x14ac:dyDescent="0.2"/>
    <row r="578" ht="12.75" x14ac:dyDescent="0.2"/>
    <row r="579" ht="12.75" x14ac:dyDescent="0.2"/>
    <row r="580" ht="12.75" x14ac:dyDescent="0.2"/>
    <row r="581" ht="12.75" x14ac:dyDescent="0.2"/>
    <row r="582" ht="12.75" x14ac:dyDescent="0.2"/>
    <row r="583" ht="12.75" x14ac:dyDescent="0.2"/>
    <row r="584" ht="12.75" x14ac:dyDescent="0.2"/>
    <row r="585" ht="12.75" x14ac:dyDescent="0.2"/>
    <row r="586" ht="12.75" x14ac:dyDescent="0.2"/>
    <row r="587" ht="12.75" x14ac:dyDescent="0.2"/>
    <row r="588" ht="12.75" x14ac:dyDescent="0.2"/>
    <row r="589" ht="12.75" x14ac:dyDescent="0.2"/>
    <row r="590" ht="12.75" x14ac:dyDescent="0.2"/>
    <row r="591" ht="12.75" x14ac:dyDescent="0.2"/>
    <row r="592" ht="12.75" x14ac:dyDescent="0.2"/>
    <row r="593" ht="12.75" x14ac:dyDescent="0.2"/>
    <row r="594" ht="12.75" x14ac:dyDescent="0.2"/>
    <row r="595" ht="12.75" x14ac:dyDescent="0.2"/>
    <row r="596" ht="12.75" x14ac:dyDescent="0.2"/>
    <row r="597" ht="12.75" x14ac:dyDescent="0.2"/>
    <row r="598" ht="12.75" x14ac:dyDescent="0.2"/>
    <row r="599" ht="12.75" x14ac:dyDescent="0.2"/>
    <row r="600" ht="12.75" x14ac:dyDescent="0.2"/>
    <row r="601" ht="12.75" x14ac:dyDescent="0.2"/>
    <row r="602" ht="12.75" x14ac:dyDescent="0.2"/>
    <row r="603" ht="12.75" x14ac:dyDescent="0.2"/>
    <row r="604" ht="12.75" x14ac:dyDescent="0.2"/>
    <row r="605" ht="12.75" x14ac:dyDescent="0.2"/>
    <row r="606" ht="12.75" x14ac:dyDescent="0.2"/>
    <row r="607" ht="12.75" x14ac:dyDescent="0.2"/>
    <row r="608" ht="12.75" x14ac:dyDescent="0.2"/>
    <row r="609" ht="12.75" x14ac:dyDescent="0.2"/>
    <row r="610" ht="12.75" x14ac:dyDescent="0.2"/>
    <row r="611" ht="12.75" x14ac:dyDescent="0.2"/>
    <row r="612" ht="12.75" x14ac:dyDescent="0.2"/>
    <row r="613" ht="12.75" x14ac:dyDescent="0.2"/>
    <row r="614" ht="12.75" x14ac:dyDescent="0.2"/>
    <row r="615" ht="12.75" x14ac:dyDescent="0.2"/>
    <row r="616" ht="12.75" x14ac:dyDescent="0.2"/>
    <row r="617" ht="12.75" x14ac:dyDescent="0.2"/>
    <row r="618" ht="12.75" x14ac:dyDescent="0.2"/>
    <row r="619" ht="12.75" x14ac:dyDescent="0.2"/>
    <row r="620" ht="12.75" x14ac:dyDescent="0.2"/>
    <row r="621" ht="12.75" x14ac:dyDescent="0.2"/>
    <row r="622" ht="12.75" x14ac:dyDescent="0.2"/>
    <row r="623" ht="12.75" x14ac:dyDescent="0.2"/>
    <row r="624" ht="12.75" x14ac:dyDescent="0.2"/>
    <row r="625" ht="12.75" x14ac:dyDescent="0.2"/>
    <row r="626" ht="12.75" x14ac:dyDescent="0.2"/>
    <row r="627" ht="12.75" x14ac:dyDescent="0.2"/>
    <row r="628" ht="12.75" x14ac:dyDescent="0.2"/>
    <row r="629" ht="12.75" x14ac:dyDescent="0.2"/>
    <row r="630" ht="12.75" x14ac:dyDescent="0.2"/>
    <row r="631" ht="12.75" x14ac:dyDescent="0.2"/>
    <row r="632" ht="12.75" x14ac:dyDescent="0.2"/>
    <row r="633" ht="12.75" x14ac:dyDescent="0.2"/>
    <row r="634" ht="12.75" x14ac:dyDescent="0.2"/>
    <row r="635" ht="12.75" x14ac:dyDescent="0.2"/>
    <row r="636" ht="12.75" x14ac:dyDescent="0.2"/>
    <row r="637" ht="12.75" x14ac:dyDescent="0.2"/>
    <row r="638" ht="12.75" x14ac:dyDescent="0.2"/>
    <row r="639" ht="12.75" x14ac:dyDescent="0.2"/>
    <row r="640" ht="12.75" x14ac:dyDescent="0.2"/>
    <row r="641" ht="12.75" x14ac:dyDescent="0.2"/>
    <row r="642" ht="12.75" x14ac:dyDescent="0.2"/>
    <row r="643" ht="12.75" x14ac:dyDescent="0.2"/>
    <row r="644" ht="12.75" x14ac:dyDescent="0.2"/>
    <row r="645" ht="12.75" x14ac:dyDescent="0.2"/>
    <row r="646" ht="12.75" x14ac:dyDescent="0.2"/>
    <row r="647" ht="12.75" x14ac:dyDescent="0.2"/>
    <row r="648" ht="12.75" x14ac:dyDescent="0.2"/>
    <row r="649" ht="12.75" x14ac:dyDescent="0.2"/>
    <row r="650" ht="12.75" x14ac:dyDescent="0.2"/>
    <row r="651" ht="12.75" x14ac:dyDescent="0.2"/>
    <row r="652" ht="12.75" x14ac:dyDescent="0.2"/>
    <row r="653" ht="12.75" x14ac:dyDescent="0.2"/>
    <row r="654" ht="12.75" x14ac:dyDescent="0.2"/>
    <row r="655" ht="12.75" x14ac:dyDescent="0.2"/>
    <row r="656" ht="12.75" x14ac:dyDescent="0.2"/>
    <row r="657" ht="12.75" x14ac:dyDescent="0.2"/>
    <row r="658" ht="12.75" x14ac:dyDescent="0.2"/>
    <row r="659" ht="12.75" x14ac:dyDescent="0.2"/>
    <row r="660" ht="12.75" x14ac:dyDescent="0.2"/>
    <row r="661" ht="12.75" x14ac:dyDescent="0.2"/>
    <row r="662" ht="12.75" x14ac:dyDescent="0.2"/>
    <row r="663" ht="12.75" x14ac:dyDescent="0.2"/>
    <row r="664" ht="12.75" x14ac:dyDescent="0.2"/>
    <row r="665" ht="12.75" x14ac:dyDescent="0.2"/>
    <row r="666" ht="12.75" x14ac:dyDescent="0.2"/>
    <row r="667" ht="12.75" x14ac:dyDescent="0.2"/>
    <row r="668" ht="12.75" x14ac:dyDescent="0.2"/>
    <row r="669" ht="12.75" x14ac:dyDescent="0.2"/>
    <row r="670" ht="12.75" x14ac:dyDescent="0.2"/>
    <row r="671" ht="12.75" x14ac:dyDescent="0.2"/>
    <row r="672" ht="12.75" x14ac:dyDescent="0.2"/>
    <row r="673" ht="12.75" x14ac:dyDescent="0.2"/>
    <row r="674" ht="12.75" x14ac:dyDescent="0.2"/>
    <row r="675" ht="12.75" x14ac:dyDescent="0.2"/>
    <row r="676" ht="12.75" x14ac:dyDescent="0.2"/>
    <row r="677" ht="12.75" x14ac:dyDescent="0.2"/>
    <row r="678" ht="12.75" x14ac:dyDescent="0.2"/>
    <row r="679" ht="12.75" x14ac:dyDescent="0.2"/>
    <row r="680" ht="12.75" x14ac:dyDescent="0.2"/>
    <row r="681" ht="12.75" x14ac:dyDescent="0.2"/>
    <row r="682" ht="12.75" x14ac:dyDescent="0.2"/>
    <row r="683" ht="12.75" x14ac:dyDescent="0.2"/>
    <row r="684" ht="12.75" x14ac:dyDescent="0.2"/>
    <row r="685" ht="12.75" x14ac:dyDescent="0.2"/>
    <row r="686" ht="12.75" x14ac:dyDescent="0.2"/>
    <row r="687" ht="12.75" x14ac:dyDescent="0.2"/>
    <row r="688" ht="12.75" x14ac:dyDescent="0.2"/>
    <row r="689" ht="12.75" x14ac:dyDescent="0.2"/>
    <row r="690" ht="12.75" x14ac:dyDescent="0.2"/>
    <row r="691" ht="12.75" x14ac:dyDescent="0.2"/>
    <row r="692" ht="12.75" x14ac:dyDescent="0.2"/>
    <row r="693" ht="12.75" x14ac:dyDescent="0.2"/>
    <row r="694" ht="12.75" x14ac:dyDescent="0.2"/>
    <row r="695" ht="12.75" x14ac:dyDescent="0.2"/>
    <row r="696" ht="12.75" x14ac:dyDescent="0.2"/>
    <row r="697" ht="12.75" x14ac:dyDescent="0.2"/>
    <row r="698" ht="12.75" x14ac:dyDescent="0.2"/>
    <row r="699" ht="12.75" x14ac:dyDescent="0.2"/>
    <row r="700" ht="12.75" x14ac:dyDescent="0.2"/>
    <row r="701" ht="12.75" x14ac:dyDescent="0.2"/>
    <row r="702" ht="12.75" x14ac:dyDescent="0.2"/>
    <row r="703" ht="12.75" x14ac:dyDescent="0.2"/>
    <row r="704" ht="12.75" x14ac:dyDescent="0.2"/>
    <row r="705" ht="12.75" x14ac:dyDescent="0.2"/>
    <row r="706" ht="12.75" x14ac:dyDescent="0.2"/>
    <row r="707" ht="12.75" x14ac:dyDescent="0.2"/>
    <row r="708" ht="12.75" x14ac:dyDescent="0.2"/>
    <row r="709" ht="12.75" x14ac:dyDescent="0.2"/>
    <row r="710" ht="12.75" x14ac:dyDescent="0.2"/>
    <row r="711" ht="12.75" x14ac:dyDescent="0.2"/>
    <row r="712" ht="12.75" x14ac:dyDescent="0.2"/>
    <row r="713" ht="12.75" x14ac:dyDescent="0.2"/>
    <row r="714" ht="12.75" x14ac:dyDescent="0.2"/>
    <row r="715" ht="12.75" x14ac:dyDescent="0.2"/>
    <row r="716" ht="12.75" x14ac:dyDescent="0.2"/>
    <row r="717" ht="12.75" x14ac:dyDescent="0.2"/>
    <row r="718" ht="12.75" x14ac:dyDescent="0.2"/>
    <row r="719" ht="12.75" x14ac:dyDescent="0.2"/>
    <row r="720" ht="12.75" x14ac:dyDescent="0.2"/>
    <row r="721" ht="12.75" x14ac:dyDescent="0.2"/>
    <row r="722" ht="12.75" x14ac:dyDescent="0.2"/>
    <row r="723" ht="12.75" x14ac:dyDescent="0.2"/>
    <row r="724" ht="12.75" x14ac:dyDescent="0.2"/>
    <row r="725" ht="12.75" x14ac:dyDescent="0.2"/>
    <row r="726" ht="12.75" x14ac:dyDescent="0.2"/>
    <row r="727" ht="12.75" x14ac:dyDescent="0.2"/>
    <row r="728" ht="12.75" x14ac:dyDescent="0.2"/>
    <row r="729" ht="12.75" x14ac:dyDescent="0.2"/>
    <row r="730" ht="12.75" x14ac:dyDescent="0.2"/>
    <row r="731" ht="12.75" x14ac:dyDescent="0.2"/>
    <row r="732" ht="12.75" x14ac:dyDescent="0.2"/>
    <row r="733" ht="12.75" x14ac:dyDescent="0.2"/>
    <row r="734" ht="12.75" x14ac:dyDescent="0.2"/>
    <row r="735" ht="12.75" x14ac:dyDescent="0.2"/>
    <row r="736" ht="12.75" x14ac:dyDescent="0.2"/>
    <row r="737" ht="12.75" x14ac:dyDescent="0.2"/>
    <row r="738" ht="12.75" x14ac:dyDescent="0.2"/>
    <row r="739" ht="12.75" x14ac:dyDescent="0.2"/>
    <row r="740" ht="12.75" x14ac:dyDescent="0.2"/>
    <row r="741" ht="12.75" x14ac:dyDescent="0.2"/>
    <row r="742" ht="12.75" x14ac:dyDescent="0.2"/>
    <row r="743" ht="12.75" x14ac:dyDescent="0.2"/>
    <row r="744" ht="12.75" x14ac:dyDescent="0.2"/>
    <row r="745" ht="12.75" x14ac:dyDescent="0.2"/>
    <row r="746" ht="12.75" x14ac:dyDescent="0.2"/>
    <row r="747" ht="12.75" x14ac:dyDescent="0.2"/>
    <row r="748" ht="12.75" x14ac:dyDescent="0.2"/>
    <row r="749" ht="12.75" x14ac:dyDescent="0.2"/>
    <row r="750" ht="12.75" x14ac:dyDescent="0.2"/>
    <row r="751" ht="12.75" x14ac:dyDescent="0.2"/>
    <row r="752" ht="12.75" x14ac:dyDescent="0.2"/>
    <row r="753" ht="12.75" x14ac:dyDescent="0.2"/>
    <row r="754" ht="12.75" x14ac:dyDescent="0.2"/>
    <row r="755" ht="12.75" x14ac:dyDescent="0.2"/>
    <row r="756" ht="12.75" x14ac:dyDescent="0.2"/>
    <row r="757" ht="12.75" x14ac:dyDescent="0.2"/>
    <row r="758" ht="12.75" x14ac:dyDescent="0.2"/>
    <row r="759" ht="12.75" x14ac:dyDescent="0.2"/>
    <row r="760" ht="12.75" x14ac:dyDescent="0.2"/>
    <row r="761" ht="12.75" x14ac:dyDescent="0.2"/>
    <row r="762" ht="12.75" x14ac:dyDescent="0.2"/>
    <row r="763" ht="12.75" x14ac:dyDescent="0.2"/>
    <row r="764" ht="12.75" x14ac:dyDescent="0.2"/>
    <row r="765" ht="12.75" x14ac:dyDescent="0.2"/>
    <row r="766" ht="12.75" x14ac:dyDescent="0.2"/>
    <row r="767" ht="12.75" x14ac:dyDescent="0.2"/>
    <row r="768" ht="12.75" x14ac:dyDescent="0.2"/>
    <row r="769" ht="12.75" x14ac:dyDescent="0.2"/>
    <row r="770" ht="12.75" x14ac:dyDescent="0.2"/>
    <row r="771" ht="12.75" x14ac:dyDescent="0.2"/>
    <row r="772" ht="12.75" x14ac:dyDescent="0.2"/>
    <row r="773" ht="12.75" x14ac:dyDescent="0.2"/>
    <row r="774" ht="12.75" x14ac:dyDescent="0.2"/>
    <row r="775" ht="12.75" x14ac:dyDescent="0.2"/>
    <row r="776" ht="12.75" x14ac:dyDescent="0.2"/>
    <row r="777" ht="12.75" x14ac:dyDescent="0.2"/>
    <row r="778" ht="12.75" x14ac:dyDescent="0.2"/>
    <row r="779" ht="12.75" x14ac:dyDescent="0.2"/>
    <row r="780" ht="12.75" x14ac:dyDescent="0.2"/>
    <row r="781" ht="12.75" x14ac:dyDescent="0.2"/>
    <row r="782" ht="12.75" x14ac:dyDescent="0.2"/>
    <row r="783" ht="12.75" x14ac:dyDescent="0.2"/>
    <row r="784" ht="12.75" x14ac:dyDescent="0.2"/>
    <row r="785" ht="12.75" x14ac:dyDescent="0.2"/>
    <row r="786" ht="12.75" x14ac:dyDescent="0.2"/>
    <row r="787" ht="12.75" x14ac:dyDescent="0.2"/>
    <row r="788" ht="12.75" x14ac:dyDescent="0.2"/>
    <row r="789" ht="12.75" x14ac:dyDescent="0.2"/>
    <row r="790" ht="12.75" x14ac:dyDescent="0.2"/>
    <row r="791" ht="12.75" x14ac:dyDescent="0.2"/>
    <row r="792" ht="12.75" x14ac:dyDescent="0.2"/>
    <row r="793" ht="12.75" x14ac:dyDescent="0.2"/>
    <row r="794" ht="12.75" x14ac:dyDescent="0.2"/>
    <row r="795" ht="12.75" x14ac:dyDescent="0.2"/>
    <row r="796" ht="12.75" x14ac:dyDescent="0.2"/>
    <row r="797" ht="12.75" x14ac:dyDescent="0.2"/>
    <row r="798" ht="12.75" x14ac:dyDescent="0.2"/>
    <row r="799" ht="12.75" x14ac:dyDescent="0.2"/>
    <row r="800" ht="12.75" x14ac:dyDescent="0.2"/>
    <row r="801" ht="12.75" x14ac:dyDescent="0.2"/>
    <row r="802" ht="12.75" x14ac:dyDescent="0.2"/>
    <row r="803" ht="12.75" x14ac:dyDescent="0.2"/>
    <row r="804" ht="12.75" x14ac:dyDescent="0.2"/>
    <row r="805" ht="12.75" x14ac:dyDescent="0.2"/>
    <row r="806" ht="12.75" x14ac:dyDescent="0.2"/>
    <row r="807" ht="12.75" x14ac:dyDescent="0.2"/>
    <row r="808" ht="12.75" x14ac:dyDescent="0.2"/>
    <row r="809" ht="12.75" x14ac:dyDescent="0.2"/>
    <row r="810" ht="12.75" x14ac:dyDescent="0.2"/>
    <row r="811" ht="12.75" x14ac:dyDescent="0.2"/>
    <row r="812" ht="12.75" x14ac:dyDescent="0.2"/>
    <row r="813" ht="12.75" x14ac:dyDescent="0.2"/>
    <row r="814" ht="12.75" x14ac:dyDescent="0.2"/>
    <row r="815" ht="12.75" x14ac:dyDescent="0.2"/>
    <row r="816" ht="12.75" x14ac:dyDescent="0.2"/>
    <row r="817" ht="12.75" x14ac:dyDescent="0.2"/>
    <row r="818" ht="12.75" x14ac:dyDescent="0.2"/>
    <row r="819" ht="12.75" x14ac:dyDescent="0.2"/>
    <row r="820" ht="12.75" x14ac:dyDescent="0.2"/>
    <row r="821" ht="12.75" x14ac:dyDescent="0.2"/>
    <row r="822" ht="12.75" x14ac:dyDescent="0.2"/>
    <row r="823" ht="12.75" x14ac:dyDescent="0.2"/>
    <row r="824" ht="12.75" x14ac:dyDescent="0.2"/>
    <row r="825" ht="12.75" x14ac:dyDescent="0.2"/>
    <row r="826" ht="12.75" x14ac:dyDescent="0.2"/>
    <row r="827" ht="12.75" x14ac:dyDescent="0.2"/>
    <row r="828" ht="12.75" x14ac:dyDescent="0.2"/>
    <row r="829" ht="12.75" x14ac:dyDescent="0.2"/>
    <row r="830" ht="12.75" x14ac:dyDescent="0.2"/>
    <row r="831" ht="12.75" x14ac:dyDescent="0.2"/>
    <row r="832" ht="12.75" x14ac:dyDescent="0.2"/>
    <row r="833" ht="12.75" x14ac:dyDescent="0.2"/>
    <row r="834" ht="12.75" x14ac:dyDescent="0.2"/>
    <row r="835" ht="12.75" x14ac:dyDescent="0.2"/>
    <row r="836" ht="12.75" x14ac:dyDescent="0.2"/>
    <row r="837" ht="12.75" x14ac:dyDescent="0.2"/>
    <row r="838" ht="12.75" x14ac:dyDescent="0.2"/>
    <row r="839" ht="12.75" x14ac:dyDescent="0.2"/>
    <row r="840" ht="12.75" x14ac:dyDescent="0.2"/>
    <row r="841" ht="12.75" x14ac:dyDescent="0.2"/>
    <row r="842" ht="12.75" x14ac:dyDescent="0.2"/>
    <row r="843" ht="12.75" x14ac:dyDescent="0.2"/>
    <row r="844" ht="12.75" x14ac:dyDescent="0.2"/>
    <row r="845" ht="12.75" x14ac:dyDescent="0.2"/>
    <row r="846" ht="12.75" x14ac:dyDescent="0.2"/>
    <row r="847" ht="12.75" x14ac:dyDescent="0.2"/>
    <row r="848" ht="12.75" x14ac:dyDescent="0.2"/>
    <row r="849" ht="12.75" x14ac:dyDescent="0.2"/>
    <row r="850" ht="12.75" x14ac:dyDescent="0.2"/>
    <row r="851" ht="12.75" x14ac:dyDescent="0.2"/>
    <row r="852" ht="12.75" x14ac:dyDescent="0.2"/>
    <row r="853" ht="12.75" x14ac:dyDescent="0.2"/>
    <row r="854" ht="12.75" x14ac:dyDescent="0.2"/>
    <row r="855" ht="12.75" x14ac:dyDescent="0.2"/>
    <row r="856" ht="12.75" x14ac:dyDescent="0.2"/>
    <row r="857" ht="12.75" x14ac:dyDescent="0.2"/>
    <row r="858" ht="12.75" x14ac:dyDescent="0.2"/>
    <row r="859" ht="12.75" x14ac:dyDescent="0.2"/>
    <row r="860" ht="12.75" x14ac:dyDescent="0.2"/>
    <row r="861" ht="12.75" x14ac:dyDescent="0.2"/>
    <row r="862" ht="12.75" x14ac:dyDescent="0.2"/>
    <row r="863" ht="12.75" x14ac:dyDescent="0.2"/>
    <row r="864" ht="12.75" x14ac:dyDescent="0.2"/>
    <row r="865" ht="12.75" x14ac:dyDescent="0.2"/>
    <row r="866" ht="12.75" x14ac:dyDescent="0.2"/>
    <row r="867" ht="12.75" x14ac:dyDescent="0.2"/>
    <row r="868" ht="12.75" x14ac:dyDescent="0.2"/>
    <row r="869" ht="12.75" x14ac:dyDescent="0.2"/>
    <row r="870" ht="12.75" x14ac:dyDescent="0.2"/>
    <row r="871" ht="12.75" x14ac:dyDescent="0.2"/>
    <row r="872" ht="12.75" x14ac:dyDescent="0.2"/>
    <row r="873" ht="12.75" x14ac:dyDescent="0.2"/>
    <row r="874" ht="12.75" x14ac:dyDescent="0.2"/>
    <row r="875" ht="12.75" x14ac:dyDescent="0.2"/>
    <row r="876" ht="12.75" x14ac:dyDescent="0.2"/>
    <row r="877" ht="12.75" x14ac:dyDescent="0.2"/>
    <row r="878" ht="12.75" x14ac:dyDescent="0.2"/>
    <row r="879" ht="12.75" x14ac:dyDescent="0.2"/>
    <row r="880" ht="12.75" x14ac:dyDescent="0.2"/>
    <row r="881" ht="12.75" x14ac:dyDescent="0.2"/>
    <row r="882" ht="12.75" x14ac:dyDescent="0.2"/>
    <row r="883" ht="12.75" x14ac:dyDescent="0.2"/>
    <row r="884" ht="12.75" x14ac:dyDescent="0.2"/>
    <row r="885" ht="12.75" x14ac:dyDescent="0.2"/>
    <row r="886" ht="12.75" x14ac:dyDescent="0.2"/>
    <row r="887" ht="12.75" x14ac:dyDescent="0.2"/>
    <row r="888" ht="12.75" x14ac:dyDescent="0.2"/>
    <row r="889" ht="12.75" x14ac:dyDescent="0.2"/>
    <row r="890" ht="12.75" x14ac:dyDescent="0.2"/>
    <row r="891" ht="12.75" x14ac:dyDescent="0.2"/>
    <row r="892" ht="12.75" x14ac:dyDescent="0.2"/>
    <row r="893" ht="12.75" x14ac:dyDescent="0.2"/>
    <row r="894" ht="12.75" x14ac:dyDescent="0.2"/>
    <row r="895" ht="12.75" x14ac:dyDescent="0.2"/>
    <row r="896" ht="12.75" x14ac:dyDescent="0.2"/>
    <row r="897" ht="12.75" x14ac:dyDescent="0.2"/>
    <row r="898" ht="12.75" x14ac:dyDescent="0.2"/>
    <row r="899" ht="12.75" x14ac:dyDescent="0.2"/>
    <row r="900" ht="12.75" x14ac:dyDescent="0.2"/>
    <row r="901" ht="12.75" x14ac:dyDescent="0.2"/>
    <row r="902" ht="12.75" x14ac:dyDescent="0.2"/>
    <row r="903" ht="12.75" x14ac:dyDescent="0.2"/>
    <row r="904" ht="12.75" x14ac:dyDescent="0.2"/>
    <row r="905" ht="12.75" x14ac:dyDescent="0.2"/>
    <row r="906" ht="12.75" x14ac:dyDescent="0.2"/>
    <row r="907" ht="12.75" x14ac:dyDescent="0.2"/>
    <row r="908" ht="12.75" x14ac:dyDescent="0.2"/>
    <row r="909" ht="12.75" x14ac:dyDescent="0.2"/>
    <row r="910" ht="12.75" x14ac:dyDescent="0.2"/>
    <row r="911" ht="12.75" x14ac:dyDescent="0.2"/>
    <row r="912" ht="12.75" x14ac:dyDescent="0.2"/>
    <row r="913" ht="12.75" x14ac:dyDescent="0.2"/>
    <row r="914" ht="12.75" x14ac:dyDescent="0.2"/>
    <row r="915" ht="12.75" x14ac:dyDescent="0.2"/>
    <row r="916" ht="12.75" x14ac:dyDescent="0.2"/>
    <row r="917" ht="12.75" x14ac:dyDescent="0.2"/>
    <row r="918" ht="12.75" x14ac:dyDescent="0.2"/>
    <row r="919" ht="12.75" x14ac:dyDescent="0.2"/>
    <row r="920" ht="12.75" x14ac:dyDescent="0.2"/>
    <row r="921" ht="12.75" x14ac:dyDescent="0.2"/>
    <row r="922" ht="12.75" x14ac:dyDescent="0.2"/>
    <row r="923" ht="12.75" x14ac:dyDescent="0.2"/>
    <row r="924" ht="12.75" x14ac:dyDescent="0.2"/>
    <row r="925" ht="12.75" x14ac:dyDescent="0.2"/>
    <row r="926" ht="12.75" x14ac:dyDescent="0.2"/>
    <row r="927" ht="12.75" x14ac:dyDescent="0.2"/>
    <row r="928" ht="12.75" x14ac:dyDescent="0.2"/>
    <row r="929" ht="12.75" x14ac:dyDescent="0.2"/>
    <row r="930" ht="12.75" x14ac:dyDescent="0.2"/>
    <row r="931" ht="12.75" x14ac:dyDescent="0.2"/>
    <row r="932" ht="12.75" x14ac:dyDescent="0.2"/>
    <row r="933" ht="12.75" x14ac:dyDescent="0.2"/>
    <row r="934" ht="12.75" x14ac:dyDescent="0.2"/>
    <row r="935" ht="12.75" x14ac:dyDescent="0.2"/>
    <row r="936" ht="12.75" x14ac:dyDescent="0.2"/>
    <row r="937" ht="12.75" x14ac:dyDescent="0.2"/>
    <row r="938" ht="12.75" x14ac:dyDescent="0.2"/>
    <row r="939" ht="12.75" x14ac:dyDescent="0.2"/>
    <row r="940" ht="12.75" x14ac:dyDescent="0.2"/>
    <row r="941" ht="12.75" x14ac:dyDescent="0.2"/>
    <row r="942" ht="12.75" x14ac:dyDescent="0.2"/>
    <row r="943" ht="12.75" x14ac:dyDescent="0.2"/>
    <row r="944" ht="12.75" x14ac:dyDescent="0.2"/>
    <row r="945" ht="12.75" x14ac:dyDescent="0.2"/>
    <row r="946" ht="12.75" x14ac:dyDescent="0.2"/>
    <row r="947" ht="12.75" x14ac:dyDescent="0.2"/>
    <row r="948" ht="12.75" x14ac:dyDescent="0.2"/>
    <row r="949" ht="12.75" x14ac:dyDescent="0.2"/>
    <row r="950" ht="12.75" x14ac:dyDescent="0.2"/>
    <row r="951" ht="12.75" x14ac:dyDescent="0.2"/>
    <row r="952" ht="12.75" x14ac:dyDescent="0.2"/>
    <row r="953" ht="12.75" x14ac:dyDescent="0.2"/>
    <row r="954" ht="12.75" x14ac:dyDescent="0.2"/>
    <row r="955" ht="12.75" x14ac:dyDescent="0.2"/>
    <row r="956" ht="12.75" x14ac:dyDescent="0.2"/>
    <row r="957" ht="12.75" x14ac:dyDescent="0.2"/>
    <row r="958" ht="12.75" x14ac:dyDescent="0.2"/>
    <row r="959" ht="12.75" x14ac:dyDescent="0.2"/>
    <row r="960" ht="12.75" x14ac:dyDescent="0.2"/>
    <row r="961" ht="12.75" x14ac:dyDescent="0.2"/>
    <row r="962" ht="12.75" x14ac:dyDescent="0.2"/>
    <row r="963" ht="12.75" x14ac:dyDescent="0.2"/>
    <row r="964" ht="12.75" x14ac:dyDescent="0.2"/>
    <row r="965" ht="12.75" x14ac:dyDescent="0.2"/>
    <row r="966" ht="12.75" x14ac:dyDescent="0.2"/>
    <row r="967" ht="12.75" x14ac:dyDescent="0.2"/>
    <row r="968" ht="12.75" x14ac:dyDescent="0.2"/>
    <row r="969" ht="12.75" x14ac:dyDescent="0.2"/>
    <row r="970" ht="12.75" x14ac:dyDescent="0.2"/>
    <row r="971" ht="12.75" x14ac:dyDescent="0.2"/>
    <row r="972" ht="12.75" x14ac:dyDescent="0.2"/>
    <row r="973" ht="12.75" x14ac:dyDescent="0.2"/>
    <row r="974" ht="12.75" x14ac:dyDescent="0.2"/>
    <row r="975" ht="12.75" x14ac:dyDescent="0.2"/>
    <row r="976" ht="12.75" x14ac:dyDescent="0.2"/>
    <row r="977" ht="12.75" x14ac:dyDescent="0.2"/>
    <row r="978" ht="12.75" x14ac:dyDescent="0.2"/>
    <row r="979" ht="12.75" x14ac:dyDescent="0.2"/>
    <row r="980" ht="12.75" x14ac:dyDescent="0.2"/>
    <row r="981" ht="12.75" x14ac:dyDescent="0.2"/>
    <row r="982" ht="12.75" x14ac:dyDescent="0.2"/>
    <row r="983" ht="12.75" x14ac:dyDescent="0.2"/>
    <row r="984" ht="12.75" x14ac:dyDescent="0.2"/>
    <row r="985" ht="12.75" x14ac:dyDescent="0.2"/>
    <row r="986" ht="12.75" x14ac:dyDescent="0.2"/>
    <row r="987" ht="12.75" x14ac:dyDescent="0.2"/>
    <row r="988" ht="12.75" x14ac:dyDescent="0.2"/>
    <row r="989" ht="12.75" x14ac:dyDescent="0.2"/>
    <row r="990" ht="12.75" x14ac:dyDescent="0.2"/>
    <row r="991" ht="12.75" x14ac:dyDescent="0.2"/>
    <row r="992" ht="12.75" x14ac:dyDescent="0.2"/>
    <row r="993" ht="12.75" x14ac:dyDescent="0.2"/>
    <row r="994" ht="12.75" x14ac:dyDescent="0.2"/>
    <row r="995" ht="12.75" x14ac:dyDescent="0.2"/>
    <row r="996" ht="12.75" x14ac:dyDescent="0.2"/>
    <row r="997" ht="12.75" x14ac:dyDescent="0.2"/>
    <row r="998" ht="12.75" x14ac:dyDescent="0.2"/>
    <row r="999" ht="12.75" x14ac:dyDescent="0.2"/>
    <row r="1000" ht="12.75" x14ac:dyDescent="0.2"/>
    <row r="1001" ht="12.75" x14ac:dyDescent="0.2"/>
    <row r="1002" ht="12.75" x14ac:dyDescent="0.2"/>
    <row r="1003" ht="12.75" x14ac:dyDescent="0.2"/>
    <row r="1004" ht="12.75" x14ac:dyDescent="0.2"/>
    <row r="1005" ht="12.75" x14ac:dyDescent="0.2"/>
    <row r="1006" ht="12.75" x14ac:dyDescent="0.2"/>
    <row r="1007" ht="12.75" x14ac:dyDescent="0.2"/>
    <row r="1008" ht="12.75" x14ac:dyDescent="0.2"/>
    <row r="1009" ht="12.75" x14ac:dyDescent="0.2"/>
    <row r="1010" ht="12.75" x14ac:dyDescent="0.2"/>
    <row r="1011" ht="12.75" x14ac:dyDescent="0.2"/>
    <row r="1012" ht="12.75" x14ac:dyDescent="0.2"/>
    <row r="1013" ht="12.75" x14ac:dyDescent="0.2"/>
    <row r="1014" ht="12.75" x14ac:dyDescent="0.2"/>
    <row r="1015" ht="12.75" x14ac:dyDescent="0.2"/>
    <row r="1016" ht="12.75" x14ac:dyDescent="0.2"/>
    <row r="1017" ht="12.75" x14ac:dyDescent="0.2"/>
    <row r="1018" ht="12.75" x14ac:dyDescent="0.2"/>
    <row r="1019" ht="12.75" x14ac:dyDescent="0.2"/>
    <row r="1020" ht="12.75" x14ac:dyDescent="0.2"/>
    <row r="1021" ht="12.75" x14ac:dyDescent="0.2"/>
    <row r="1022" ht="12.75" x14ac:dyDescent="0.2"/>
    <row r="1023" ht="12.75" x14ac:dyDescent="0.2"/>
    <row r="1024" ht="12.75" x14ac:dyDescent="0.2"/>
    <row r="1025" ht="12.75" x14ac:dyDescent="0.2"/>
    <row r="1026" ht="12.75" x14ac:dyDescent="0.2"/>
    <row r="1027" ht="12.75" x14ac:dyDescent="0.2"/>
    <row r="1028" ht="12.75" x14ac:dyDescent="0.2"/>
    <row r="1029" ht="12.75" x14ac:dyDescent="0.2"/>
    <row r="1030" ht="12.75" x14ac:dyDescent="0.2"/>
    <row r="1031" ht="12.75" x14ac:dyDescent="0.2"/>
    <row r="1032" ht="12.75" x14ac:dyDescent="0.2"/>
    <row r="1033" ht="12.75" x14ac:dyDescent="0.2"/>
    <row r="1034" ht="12.75" x14ac:dyDescent="0.2"/>
    <row r="1035" ht="12.75" x14ac:dyDescent="0.2"/>
    <row r="1036" ht="12.75" x14ac:dyDescent="0.2"/>
    <row r="1037" ht="12.75" x14ac:dyDescent="0.2"/>
    <row r="1038" ht="12.75" x14ac:dyDescent="0.2"/>
    <row r="1039" ht="12.75" x14ac:dyDescent="0.2"/>
    <row r="1040" ht="12.75" x14ac:dyDescent="0.2"/>
    <row r="1041" ht="12.75" x14ac:dyDescent="0.2"/>
    <row r="1042" ht="12.75" x14ac:dyDescent="0.2"/>
    <row r="1043" ht="12.75" x14ac:dyDescent="0.2"/>
    <row r="1044" ht="12.75" x14ac:dyDescent="0.2"/>
    <row r="1045" ht="12.75" x14ac:dyDescent="0.2"/>
    <row r="1046" ht="12.75" x14ac:dyDescent="0.2"/>
    <row r="1047" ht="12.75" x14ac:dyDescent="0.2"/>
    <row r="1048" ht="12.75" x14ac:dyDescent="0.2"/>
    <row r="1049" ht="12.75" x14ac:dyDescent="0.2"/>
    <row r="1050" ht="12.75" x14ac:dyDescent="0.2"/>
    <row r="1051" ht="12.75" x14ac:dyDescent="0.2"/>
    <row r="1052" ht="12.75" x14ac:dyDescent="0.2"/>
    <row r="1053" ht="12.75" x14ac:dyDescent="0.2"/>
    <row r="1054" ht="12.75" x14ac:dyDescent="0.2"/>
    <row r="1055" ht="12.75" x14ac:dyDescent="0.2"/>
    <row r="1056" ht="12.75" x14ac:dyDescent="0.2"/>
    <row r="1057" ht="12.75" x14ac:dyDescent="0.2"/>
    <row r="1058" ht="12.75" x14ac:dyDescent="0.2"/>
    <row r="1059" ht="12.75" x14ac:dyDescent="0.2"/>
    <row r="1060" ht="12.75" x14ac:dyDescent="0.2"/>
    <row r="1061" ht="12.75" x14ac:dyDescent="0.2"/>
    <row r="1062" ht="12.75" x14ac:dyDescent="0.2"/>
    <row r="1063" ht="12.75" x14ac:dyDescent="0.2"/>
    <row r="1064" ht="12.75" x14ac:dyDescent="0.2"/>
    <row r="1065" ht="12.75" x14ac:dyDescent="0.2"/>
    <row r="1066" ht="12.75" x14ac:dyDescent="0.2"/>
    <row r="1067" ht="12.75" x14ac:dyDescent="0.2"/>
    <row r="1068" ht="12.75" x14ac:dyDescent="0.2"/>
    <row r="1069" ht="12.75" x14ac:dyDescent="0.2"/>
    <row r="1070" ht="12.75" x14ac:dyDescent="0.2"/>
    <row r="1071" ht="12.75" x14ac:dyDescent="0.2"/>
    <row r="1072" ht="12.75" x14ac:dyDescent="0.2"/>
    <row r="1073" ht="12.75" x14ac:dyDescent="0.2"/>
    <row r="1074" ht="12.75" x14ac:dyDescent="0.2"/>
    <row r="1075" ht="12.75" x14ac:dyDescent="0.2"/>
    <row r="1076" ht="12.75" x14ac:dyDescent="0.2"/>
    <row r="1077" ht="12.75" x14ac:dyDescent="0.2"/>
    <row r="1078" ht="12.75" x14ac:dyDescent="0.2"/>
    <row r="1079" ht="12.75" x14ac:dyDescent="0.2"/>
    <row r="1080" ht="12.75" x14ac:dyDescent="0.2"/>
    <row r="1081" ht="12.75" x14ac:dyDescent="0.2"/>
    <row r="1082" ht="12.75" x14ac:dyDescent="0.2"/>
    <row r="1083" ht="12.75" x14ac:dyDescent="0.2"/>
    <row r="1084" ht="12.75" x14ac:dyDescent="0.2"/>
    <row r="1085" ht="12.75" x14ac:dyDescent="0.2"/>
    <row r="1086" ht="12.75" x14ac:dyDescent="0.2"/>
    <row r="1087" ht="12.75" x14ac:dyDescent="0.2"/>
    <row r="1088" ht="12.75" x14ac:dyDescent="0.2"/>
    <row r="1089" ht="12.75" x14ac:dyDescent="0.2"/>
    <row r="1090" ht="12.75" x14ac:dyDescent="0.2"/>
    <row r="1091" ht="12.75" x14ac:dyDescent="0.2"/>
    <row r="1092" ht="12.75" x14ac:dyDescent="0.2"/>
    <row r="1093" ht="12.75" x14ac:dyDescent="0.2"/>
    <row r="1094" ht="12.75" x14ac:dyDescent="0.2"/>
    <row r="1095" ht="12.75" x14ac:dyDescent="0.2"/>
    <row r="1096" ht="12.75" x14ac:dyDescent="0.2"/>
    <row r="1097" ht="12.75" x14ac:dyDescent="0.2"/>
    <row r="1098" ht="12.75" x14ac:dyDescent="0.2"/>
    <row r="1099" ht="12.75" x14ac:dyDescent="0.2"/>
    <row r="1100" ht="12.75" x14ac:dyDescent="0.2"/>
    <row r="1101" ht="12.75" x14ac:dyDescent="0.2"/>
    <row r="1102" ht="12.75" x14ac:dyDescent="0.2"/>
    <row r="1103" ht="12.75" x14ac:dyDescent="0.2"/>
    <row r="1104" ht="12.75" x14ac:dyDescent="0.2"/>
    <row r="1105" ht="12.75" x14ac:dyDescent="0.2"/>
    <row r="1106" ht="12.75" x14ac:dyDescent="0.2"/>
    <row r="1107" ht="12.75" x14ac:dyDescent="0.2"/>
    <row r="1108" ht="12.75" x14ac:dyDescent="0.2"/>
    <row r="1109" ht="12.75" x14ac:dyDescent="0.2"/>
    <row r="1110" ht="12.75" x14ac:dyDescent="0.2"/>
    <row r="1111" ht="12.75" x14ac:dyDescent="0.2"/>
    <row r="1112" ht="12.75" x14ac:dyDescent="0.2"/>
    <row r="1113" ht="12.75" x14ac:dyDescent="0.2"/>
    <row r="1114" ht="12.75" x14ac:dyDescent="0.2"/>
    <row r="1115" ht="12.75" x14ac:dyDescent="0.2"/>
    <row r="1116" ht="12.75" x14ac:dyDescent="0.2"/>
    <row r="1117" ht="12.75" x14ac:dyDescent="0.2"/>
    <row r="1118" ht="12.75" x14ac:dyDescent="0.2"/>
    <row r="1119" ht="12.75" x14ac:dyDescent="0.2"/>
    <row r="1120" ht="12.75" x14ac:dyDescent="0.2"/>
    <row r="1121" ht="12.75" x14ac:dyDescent="0.2"/>
    <row r="1122" ht="12.75" x14ac:dyDescent="0.2"/>
    <row r="1123" ht="12.75" x14ac:dyDescent="0.2"/>
    <row r="1124" ht="12.75" x14ac:dyDescent="0.2"/>
    <row r="1125" ht="12.75" x14ac:dyDescent="0.2"/>
    <row r="1126" ht="12.75" x14ac:dyDescent="0.2"/>
    <row r="1127" ht="12.75" x14ac:dyDescent="0.2"/>
    <row r="1128" ht="12.75" x14ac:dyDescent="0.2"/>
    <row r="1129" ht="12.75" x14ac:dyDescent="0.2"/>
    <row r="1130" ht="12.75" x14ac:dyDescent="0.2"/>
    <row r="1131" ht="12.75" x14ac:dyDescent="0.2"/>
    <row r="1132" ht="12.75" x14ac:dyDescent="0.2"/>
    <row r="1133" ht="12.75" x14ac:dyDescent="0.2"/>
    <row r="1134" ht="12.75" x14ac:dyDescent="0.2"/>
    <row r="1135" ht="12.75" x14ac:dyDescent="0.2"/>
    <row r="1136" ht="12.75" x14ac:dyDescent="0.2"/>
    <row r="1137" ht="12.75" x14ac:dyDescent="0.2"/>
    <row r="1138" ht="12.75" x14ac:dyDescent="0.2"/>
    <row r="1139" ht="12.75" x14ac:dyDescent="0.2"/>
    <row r="1140" ht="12.75" x14ac:dyDescent="0.2"/>
    <row r="1141" ht="12.75" x14ac:dyDescent="0.2"/>
    <row r="1142" ht="12.75" x14ac:dyDescent="0.2"/>
    <row r="1143" ht="12.75" x14ac:dyDescent="0.2"/>
    <row r="1144" ht="12.75" x14ac:dyDescent="0.2"/>
    <row r="1145" ht="12.75" x14ac:dyDescent="0.2"/>
    <row r="1146" ht="12.75" x14ac:dyDescent="0.2"/>
    <row r="1147" ht="12.75" x14ac:dyDescent="0.2"/>
    <row r="1148" ht="12.75" x14ac:dyDescent="0.2"/>
    <row r="1149" ht="12.75" x14ac:dyDescent="0.2"/>
    <row r="1150" ht="12.75" x14ac:dyDescent="0.2"/>
    <row r="1151" ht="12.75" x14ac:dyDescent="0.2"/>
    <row r="1152" ht="12.75" x14ac:dyDescent="0.2"/>
    <row r="1153" ht="12.75" x14ac:dyDescent="0.2"/>
    <row r="1154" ht="12.75" x14ac:dyDescent="0.2"/>
    <row r="1155" ht="12.75" x14ac:dyDescent="0.2"/>
    <row r="1156" ht="12.75" x14ac:dyDescent="0.2"/>
    <row r="1157" ht="12.75" x14ac:dyDescent="0.2"/>
    <row r="1158" ht="12.75" x14ac:dyDescent="0.2"/>
    <row r="1159" ht="12.75" x14ac:dyDescent="0.2"/>
    <row r="1160" ht="12.75" x14ac:dyDescent="0.2"/>
    <row r="1161" ht="12.75" x14ac:dyDescent="0.2"/>
    <row r="1162" ht="12.75" x14ac:dyDescent="0.2"/>
    <row r="1163" ht="12.75" x14ac:dyDescent="0.2"/>
    <row r="1164" ht="12.75" x14ac:dyDescent="0.2"/>
    <row r="1165" ht="12.75" x14ac:dyDescent="0.2"/>
    <row r="1166" ht="12.75" x14ac:dyDescent="0.2"/>
    <row r="1167" ht="12.75" x14ac:dyDescent="0.2"/>
    <row r="1168" ht="12.75" x14ac:dyDescent="0.2"/>
    <row r="1169" ht="12.75" x14ac:dyDescent="0.2"/>
    <row r="1170" ht="12.75" x14ac:dyDescent="0.2"/>
    <row r="1171" ht="12.75" x14ac:dyDescent="0.2"/>
    <row r="1172" ht="12.75" x14ac:dyDescent="0.2"/>
    <row r="1173" ht="12.75" x14ac:dyDescent="0.2"/>
    <row r="1174" ht="12.75" x14ac:dyDescent="0.2"/>
    <row r="1175" ht="12.75" x14ac:dyDescent="0.2"/>
    <row r="1176" ht="12.75" x14ac:dyDescent="0.2"/>
    <row r="1177" ht="12.75" x14ac:dyDescent="0.2"/>
    <row r="1178" ht="12.75" x14ac:dyDescent="0.2"/>
    <row r="1179" ht="12.75" x14ac:dyDescent="0.2"/>
    <row r="1180" ht="12.75" x14ac:dyDescent="0.2"/>
    <row r="1181" ht="12.75" x14ac:dyDescent="0.2"/>
    <row r="1182" ht="12.75" x14ac:dyDescent="0.2"/>
    <row r="1183" ht="12.75" x14ac:dyDescent="0.2"/>
    <row r="1184" ht="12.75" x14ac:dyDescent="0.2"/>
    <row r="1185" ht="12.75" x14ac:dyDescent="0.2"/>
    <row r="1186" ht="12.75" x14ac:dyDescent="0.2"/>
    <row r="1187" ht="12.75" x14ac:dyDescent="0.2"/>
    <row r="1188" ht="12.75" x14ac:dyDescent="0.2"/>
    <row r="1189" ht="12.75" x14ac:dyDescent="0.2"/>
    <row r="1190" ht="12.75" x14ac:dyDescent="0.2"/>
    <row r="1191" ht="12.75" x14ac:dyDescent="0.2"/>
    <row r="1192" ht="12.75" x14ac:dyDescent="0.2"/>
    <row r="1193" ht="12.75" x14ac:dyDescent="0.2"/>
    <row r="1194" ht="12.75" x14ac:dyDescent="0.2"/>
    <row r="1195" ht="12.75" x14ac:dyDescent="0.2"/>
    <row r="1196" ht="12.75" x14ac:dyDescent="0.2"/>
    <row r="1197" ht="12.75" x14ac:dyDescent="0.2"/>
    <row r="1198" ht="12.75" x14ac:dyDescent="0.2"/>
    <row r="1199" ht="12.75" x14ac:dyDescent="0.2"/>
    <row r="1200" ht="12.75" x14ac:dyDescent="0.2"/>
    <row r="1201" ht="12.75" x14ac:dyDescent="0.2"/>
    <row r="1202" ht="12.75" x14ac:dyDescent="0.2"/>
    <row r="1203" ht="12.75" x14ac:dyDescent="0.2"/>
    <row r="1204" ht="12.75" x14ac:dyDescent="0.2"/>
    <row r="1205" ht="12.75" x14ac:dyDescent="0.2"/>
    <row r="1206" ht="12.75" x14ac:dyDescent="0.2"/>
    <row r="1207" ht="12.75" x14ac:dyDescent="0.2"/>
    <row r="1208" ht="12.75" x14ac:dyDescent="0.2"/>
    <row r="1209" ht="12.75" x14ac:dyDescent="0.2"/>
    <row r="1210" ht="12.75" x14ac:dyDescent="0.2"/>
    <row r="1211" ht="12.75" x14ac:dyDescent="0.2"/>
    <row r="1212" ht="12.75" x14ac:dyDescent="0.2"/>
    <row r="1213" ht="12.75" x14ac:dyDescent="0.2"/>
    <row r="1214" ht="12.75" x14ac:dyDescent="0.2"/>
    <row r="1215" ht="12.75" x14ac:dyDescent="0.2"/>
    <row r="1216" ht="12.75" x14ac:dyDescent="0.2"/>
    <row r="1217" ht="12.75" x14ac:dyDescent="0.2"/>
    <row r="1218" ht="12.75" x14ac:dyDescent="0.2"/>
    <row r="1219" ht="12.75" x14ac:dyDescent="0.2"/>
    <row r="1220" ht="12.75" x14ac:dyDescent="0.2"/>
    <row r="1221" ht="12.75" x14ac:dyDescent="0.2"/>
    <row r="1222" ht="12.75" x14ac:dyDescent="0.2"/>
    <row r="1223" ht="12.75" x14ac:dyDescent="0.2"/>
    <row r="1224" ht="12.75" x14ac:dyDescent="0.2"/>
    <row r="1225" ht="12.75" x14ac:dyDescent="0.2"/>
    <row r="1226" ht="12.75" x14ac:dyDescent="0.2"/>
    <row r="1227" ht="12.75" x14ac:dyDescent="0.2"/>
    <row r="1228" ht="12.75" x14ac:dyDescent="0.2"/>
    <row r="1229" ht="12.75" x14ac:dyDescent="0.2"/>
    <row r="1230" ht="12.75" x14ac:dyDescent="0.2"/>
    <row r="1231" ht="12.75" x14ac:dyDescent="0.2"/>
    <row r="1232" ht="12.75" x14ac:dyDescent="0.2"/>
    <row r="1233" ht="12.75" x14ac:dyDescent="0.2"/>
    <row r="1234" ht="12.75" x14ac:dyDescent="0.2"/>
    <row r="1235" ht="12.75" x14ac:dyDescent="0.2"/>
    <row r="1236" ht="12.75" x14ac:dyDescent="0.2"/>
    <row r="1237" ht="12.75" x14ac:dyDescent="0.2"/>
    <row r="1238" ht="12.75" x14ac:dyDescent="0.2"/>
    <row r="1239" ht="12.75" x14ac:dyDescent="0.2"/>
    <row r="1240" ht="12.75" x14ac:dyDescent="0.2"/>
    <row r="1241" ht="12.75" x14ac:dyDescent="0.2"/>
    <row r="1242" ht="12.75" x14ac:dyDescent="0.2"/>
    <row r="1243" ht="12.75" x14ac:dyDescent="0.2"/>
    <row r="1244" ht="12.75" x14ac:dyDescent="0.2"/>
    <row r="1245" ht="12.75" x14ac:dyDescent="0.2"/>
    <row r="1246" ht="12.75" x14ac:dyDescent="0.2"/>
    <row r="1247" ht="12.75" x14ac:dyDescent="0.2"/>
    <row r="1248" ht="12.75" x14ac:dyDescent="0.2"/>
    <row r="1249" ht="12.75" x14ac:dyDescent="0.2"/>
    <row r="1250" ht="12.75" x14ac:dyDescent="0.2"/>
    <row r="1251" ht="12.75" x14ac:dyDescent="0.2"/>
    <row r="1252" ht="12.75" x14ac:dyDescent="0.2"/>
    <row r="1253" ht="12.75" x14ac:dyDescent="0.2"/>
    <row r="1254" ht="12.75" x14ac:dyDescent="0.2"/>
    <row r="1255" ht="12.75" x14ac:dyDescent="0.2"/>
    <row r="1256" ht="12.75" x14ac:dyDescent="0.2"/>
    <row r="1257" ht="12.75" x14ac:dyDescent="0.2"/>
    <row r="1258" ht="12.75" x14ac:dyDescent="0.2"/>
    <row r="1259" ht="12.75" x14ac:dyDescent="0.2"/>
    <row r="1260" ht="12.75" x14ac:dyDescent="0.2"/>
    <row r="1261" ht="12.75" x14ac:dyDescent="0.2"/>
    <row r="1262" ht="12.75" x14ac:dyDescent="0.2"/>
    <row r="1263" ht="12.75" x14ac:dyDescent="0.2"/>
    <row r="1264" ht="12.75" x14ac:dyDescent="0.2"/>
    <row r="1265" ht="12.75" x14ac:dyDescent="0.2"/>
    <row r="1266" ht="12.75" x14ac:dyDescent="0.2"/>
    <row r="1267" ht="12.75" x14ac:dyDescent="0.2"/>
    <row r="1268" ht="12.75" x14ac:dyDescent="0.2"/>
    <row r="1269" ht="12.75" x14ac:dyDescent="0.2"/>
    <row r="1270" ht="12.75" x14ac:dyDescent="0.2"/>
    <row r="1271" ht="12.75" x14ac:dyDescent="0.2"/>
    <row r="1272" ht="12.75" x14ac:dyDescent="0.2"/>
    <row r="1273" ht="12.75" x14ac:dyDescent="0.2"/>
    <row r="1274" ht="12.75" x14ac:dyDescent="0.2"/>
    <row r="1275" ht="12.75" x14ac:dyDescent="0.2"/>
    <row r="1276" ht="12.75" x14ac:dyDescent="0.2"/>
    <row r="1277" ht="12.75" x14ac:dyDescent="0.2"/>
    <row r="1278" ht="12.75" x14ac:dyDescent="0.2"/>
    <row r="1279" ht="12.75" x14ac:dyDescent="0.2"/>
    <row r="1280" ht="12.75" x14ac:dyDescent="0.2"/>
    <row r="1281" ht="12.75" x14ac:dyDescent="0.2"/>
    <row r="1282" ht="12.75" x14ac:dyDescent="0.2"/>
    <row r="1283" ht="12.75" x14ac:dyDescent="0.2"/>
    <row r="1284" ht="12.75" x14ac:dyDescent="0.2"/>
    <row r="1285" ht="12.75" x14ac:dyDescent="0.2"/>
    <row r="1286" ht="12.75" x14ac:dyDescent="0.2"/>
    <row r="1287" ht="12.75" x14ac:dyDescent="0.2"/>
    <row r="1288" ht="12.75" x14ac:dyDescent="0.2"/>
    <row r="1289" ht="12.75" x14ac:dyDescent="0.2"/>
    <row r="1290" ht="12.75" x14ac:dyDescent="0.2"/>
    <row r="1291" ht="12.75" x14ac:dyDescent="0.2"/>
    <row r="1292" ht="12.75" x14ac:dyDescent="0.2"/>
    <row r="1293" ht="12.75" x14ac:dyDescent="0.2"/>
    <row r="1294" ht="12.75" x14ac:dyDescent="0.2"/>
    <row r="1295" ht="12.75" x14ac:dyDescent="0.2"/>
    <row r="1296" ht="12.75" x14ac:dyDescent="0.2"/>
    <row r="1297" ht="12.75" x14ac:dyDescent="0.2"/>
    <row r="1298" ht="12.75" x14ac:dyDescent="0.2"/>
    <row r="1299" ht="12.75" x14ac:dyDescent="0.2"/>
    <row r="1300" ht="12.75" x14ac:dyDescent="0.2"/>
    <row r="1301" ht="12.75" x14ac:dyDescent="0.2"/>
    <row r="1302" ht="12.75" x14ac:dyDescent="0.2"/>
    <row r="1303" ht="12.75" x14ac:dyDescent="0.2"/>
    <row r="1304" ht="12.75" x14ac:dyDescent="0.2"/>
    <row r="1305" ht="12.75" x14ac:dyDescent="0.2"/>
    <row r="1306" ht="12.75" x14ac:dyDescent="0.2"/>
    <row r="1307" ht="12.75" x14ac:dyDescent="0.2"/>
    <row r="1308" ht="12.75" x14ac:dyDescent="0.2"/>
    <row r="1309" ht="12.75" x14ac:dyDescent="0.2"/>
    <row r="1310" ht="12.75" x14ac:dyDescent="0.2"/>
    <row r="1311" ht="12.75" x14ac:dyDescent="0.2"/>
    <row r="1312" ht="12.75" x14ac:dyDescent="0.2"/>
    <row r="1313" ht="12.75" x14ac:dyDescent="0.2"/>
    <row r="1314" ht="12.75" x14ac:dyDescent="0.2"/>
    <row r="1315" ht="12.75" x14ac:dyDescent="0.2"/>
    <row r="1316" ht="12.75" x14ac:dyDescent="0.2"/>
    <row r="1317" ht="12.75" x14ac:dyDescent="0.2"/>
    <row r="1318" ht="12.75" x14ac:dyDescent="0.2"/>
    <row r="1319" ht="12.75" x14ac:dyDescent="0.2"/>
    <row r="1320" ht="12.75" x14ac:dyDescent="0.2"/>
    <row r="1321" ht="12.75" x14ac:dyDescent="0.2"/>
    <row r="1322" ht="12.75" x14ac:dyDescent="0.2"/>
    <row r="1323" ht="12.75" x14ac:dyDescent="0.2"/>
    <row r="1324" ht="12.75" x14ac:dyDescent="0.2"/>
    <row r="1325" ht="12.75" x14ac:dyDescent="0.2"/>
    <row r="1326" ht="12.75" x14ac:dyDescent="0.2"/>
    <row r="1327" ht="12.75" x14ac:dyDescent="0.2"/>
    <row r="1328" ht="12.75" x14ac:dyDescent="0.2"/>
    <row r="1329" ht="12.75" x14ac:dyDescent="0.2"/>
    <row r="1330" ht="12.75" x14ac:dyDescent="0.2"/>
    <row r="1331" ht="12.75" x14ac:dyDescent="0.2"/>
    <row r="1332" ht="12.75" x14ac:dyDescent="0.2"/>
    <row r="1333" ht="12.75" x14ac:dyDescent="0.2"/>
    <row r="1334" ht="12.75" x14ac:dyDescent="0.2"/>
    <row r="1335" ht="12.75" x14ac:dyDescent="0.2"/>
    <row r="1336" ht="12.75" x14ac:dyDescent="0.2"/>
    <row r="1337" ht="12.75" x14ac:dyDescent="0.2"/>
    <row r="1338" ht="12.75" x14ac:dyDescent="0.2"/>
    <row r="1339" ht="12.75" x14ac:dyDescent="0.2"/>
    <row r="1340" ht="12.75" x14ac:dyDescent="0.2"/>
    <row r="1341" ht="12.75" x14ac:dyDescent="0.2"/>
    <row r="1342" ht="12.75" x14ac:dyDescent="0.2"/>
    <row r="1343" ht="12.75" x14ac:dyDescent="0.2"/>
    <row r="1344" ht="12.75" x14ac:dyDescent="0.2"/>
    <row r="1345" ht="12.75" x14ac:dyDescent="0.2"/>
    <row r="1346" ht="12.75" x14ac:dyDescent="0.2"/>
    <row r="1347" ht="12.75" x14ac:dyDescent="0.2"/>
    <row r="1348" ht="12.75" x14ac:dyDescent="0.2"/>
    <row r="1349" ht="12.75" x14ac:dyDescent="0.2"/>
    <row r="1350" ht="12.75" x14ac:dyDescent="0.2"/>
    <row r="1351" ht="12.75" x14ac:dyDescent="0.2"/>
    <row r="1352" ht="12.75" x14ac:dyDescent="0.2"/>
    <row r="1353" ht="12.75" x14ac:dyDescent="0.2"/>
    <row r="1354" ht="12.75" x14ac:dyDescent="0.2"/>
    <row r="1355" ht="12.75" x14ac:dyDescent="0.2"/>
    <row r="1356" ht="12.75" x14ac:dyDescent="0.2"/>
    <row r="1357" ht="12.75" x14ac:dyDescent="0.2"/>
    <row r="1358" ht="12.75" x14ac:dyDescent="0.2"/>
    <row r="1359" ht="12.75" x14ac:dyDescent="0.2"/>
    <row r="1360" ht="12.75" x14ac:dyDescent="0.2"/>
    <row r="1361" ht="12.75" x14ac:dyDescent="0.2"/>
    <row r="1362" ht="12.75" x14ac:dyDescent="0.2"/>
    <row r="1363" ht="12.75" x14ac:dyDescent="0.2"/>
    <row r="1364" ht="12.75" x14ac:dyDescent="0.2"/>
    <row r="1365" ht="12.75" x14ac:dyDescent="0.2"/>
    <row r="1366" ht="12.75" x14ac:dyDescent="0.2"/>
    <row r="1367" ht="12.75" x14ac:dyDescent="0.2"/>
    <row r="1368" ht="12.75" x14ac:dyDescent="0.2"/>
    <row r="1369" ht="12.75" x14ac:dyDescent="0.2"/>
    <row r="1370" ht="12.75" x14ac:dyDescent="0.2"/>
    <row r="1371" ht="12.75" x14ac:dyDescent="0.2"/>
    <row r="1372" ht="12.75" x14ac:dyDescent="0.2"/>
    <row r="1373" ht="12.75" x14ac:dyDescent="0.2"/>
    <row r="1374" ht="12.75" x14ac:dyDescent="0.2"/>
    <row r="1375" ht="12.75" x14ac:dyDescent="0.2"/>
    <row r="1376" ht="12.75" x14ac:dyDescent="0.2"/>
    <row r="1377" ht="12.75" x14ac:dyDescent="0.2"/>
    <row r="1378" ht="12.75" x14ac:dyDescent="0.2"/>
    <row r="1379" ht="12.75" x14ac:dyDescent="0.2"/>
    <row r="1380" ht="12.75" x14ac:dyDescent="0.2"/>
    <row r="1381" ht="12.75" x14ac:dyDescent="0.2"/>
    <row r="1382" ht="12.75" x14ac:dyDescent="0.2"/>
    <row r="1383" ht="12.75" x14ac:dyDescent="0.2"/>
    <row r="1384" ht="12.75" x14ac:dyDescent="0.2"/>
    <row r="1385" ht="12.75" x14ac:dyDescent="0.2"/>
    <row r="1386" ht="12.75" x14ac:dyDescent="0.2"/>
    <row r="1387" ht="12.75" x14ac:dyDescent="0.2"/>
    <row r="1388" ht="12.75" x14ac:dyDescent="0.2"/>
    <row r="1389" ht="12.75" x14ac:dyDescent="0.2"/>
    <row r="1390" ht="12.75" x14ac:dyDescent="0.2"/>
    <row r="1391" ht="12.75" x14ac:dyDescent="0.2"/>
    <row r="1392" ht="12.75" x14ac:dyDescent="0.2"/>
    <row r="1393" ht="12.75" x14ac:dyDescent="0.2"/>
    <row r="1394" ht="12.75" x14ac:dyDescent="0.2"/>
    <row r="1395" ht="12.75" x14ac:dyDescent="0.2"/>
    <row r="1396" ht="12.75" x14ac:dyDescent="0.2"/>
    <row r="1397" ht="12.75" x14ac:dyDescent="0.2"/>
    <row r="1398" ht="12.75" x14ac:dyDescent="0.2"/>
    <row r="1399" ht="12.75" x14ac:dyDescent="0.2"/>
    <row r="1400" ht="12.75" x14ac:dyDescent="0.2"/>
    <row r="1401" ht="12.75" x14ac:dyDescent="0.2"/>
    <row r="1402" ht="12.75" x14ac:dyDescent="0.2"/>
    <row r="1403" ht="12.75" x14ac:dyDescent="0.2"/>
    <row r="1404" ht="12.75" x14ac:dyDescent="0.2"/>
    <row r="1405" ht="12.75" x14ac:dyDescent="0.2"/>
    <row r="1406" ht="12.75" x14ac:dyDescent="0.2"/>
    <row r="1407" ht="12.75" x14ac:dyDescent="0.2"/>
    <row r="1408" ht="12.75" x14ac:dyDescent="0.2"/>
    <row r="1409" ht="12.75" x14ac:dyDescent="0.2"/>
    <row r="1410" ht="12.75" x14ac:dyDescent="0.2"/>
    <row r="1411" ht="12.75" x14ac:dyDescent="0.2"/>
    <row r="1412" ht="12.75" x14ac:dyDescent="0.2"/>
    <row r="1413" ht="12.75" x14ac:dyDescent="0.2"/>
    <row r="1414" ht="12.75" x14ac:dyDescent="0.2"/>
    <row r="1415" ht="12.75" x14ac:dyDescent="0.2"/>
    <row r="1416" ht="12.75" x14ac:dyDescent="0.2"/>
    <row r="1417" ht="12.75" x14ac:dyDescent="0.2"/>
    <row r="1418" ht="12.75" x14ac:dyDescent="0.2"/>
    <row r="1419" ht="12.75" x14ac:dyDescent="0.2"/>
    <row r="1420" ht="12.75" x14ac:dyDescent="0.2"/>
    <row r="1421" ht="12.75" x14ac:dyDescent="0.2"/>
    <row r="1422" ht="12.75" x14ac:dyDescent="0.2"/>
    <row r="1423" ht="12.75" x14ac:dyDescent="0.2"/>
    <row r="1424" ht="12.75" x14ac:dyDescent="0.2"/>
    <row r="1425" ht="12.75" x14ac:dyDescent="0.2"/>
    <row r="1426" ht="12.75" x14ac:dyDescent="0.2"/>
    <row r="1427" ht="12.75" x14ac:dyDescent="0.2"/>
    <row r="1428" ht="12.75" x14ac:dyDescent="0.2"/>
    <row r="1429" ht="12.75" x14ac:dyDescent="0.2"/>
    <row r="1430" ht="12.75" x14ac:dyDescent="0.2"/>
    <row r="1431" ht="12.75" x14ac:dyDescent="0.2"/>
    <row r="1432" ht="12.75" x14ac:dyDescent="0.2"/>
    <row r="1433" ht="12.75" x14ac:dyDescent="0.2"/>
    <row r="1434" ht="12.75" x14ac:dyDescent="0.2"/>
    <row r="1435" ht="12.75" x14ac:dyDescent="0.2"/>
    <row r="1436" ht="12.75" x14ac:dyDescent="0.2"/>
    <row r="1437" ht="12.75" x14ac:dyDescent="0.2"/>
    <row r="1438" ht="12.75" x14ac:dyDescent="0.2"/>
    <row r="1439" ht="12.75" x14ac:dyDescent="0.2"/>
    <row r="1440" ht="12.75" x14ac:dyDescent="0.2"/>
    <row r="1441" ht="12.75" x14ac:dyDescent="0.2"/>
    <row r="1442" ht="12.75" x14ac:dyDescent="0.2"/>
    <row r="1443" ht="12.75" x14ac:dyDescent="0.2"/>
    <row r="1444" ht="12.75" x14ac:dyDescent="0.2"/>
    <row r="1445" ht="12.75" x14ac:dyDescent="0.2"/>
    <row r="1446" ht="12.75" x14ac:dyDescent="0.2"/>
    <row r="1447" ht="12.75" x14ac:dyDescent="0.2"/>
    <row r="1448" ht="12.75" x14ac:dyDescent="0.2"/>
    <row r="1449" ht="12.75" x14ac:dyDescent="0.2"/>
    <row r="1450" ht="12.75" x14ac:dyDescent="0.2"/>
    <row r="1451" ht="12.75" x14ac:dyDescent="0.2"/>
    <row r="1452" ht="12.75" x14ac:dyDescent="0.2"/>
    <row r="1453" ht="12.75" x14ac:dyDescent="0.2"/>
    <row r="1454" ht="12.75" x14ac:dyDescent="0.2"/>
    <row r="1455" ht="12.75" x14ac:dyDescent="0.2"/>
    <row r="1456" ht="12.75" x14ac:dyDescent="0.2"/>
    <row r="1457" ht="12.75" x14ac:dyDescent="0.2"/>
    <row r="1458" ht="12.75" x14ac:dyDescent="0.2"/>
    <row r="1459" ht="12.75" x14ac:dyDescent="0.2"/>
    <row r="1460" ht="12.75" x14ac:dyDescent="0.2"/>
    <row r="1461" ht="12.75" x14ac:dyDescent="0.2"/>
    <row r="1462" ht="12.75" x14ac:dyDescent="0.2"/>
    <row r="1463" ht="12.75" x14ac:dyDescent="0.2"/>
    <row r="1464" ht="12.75" x14ac:dyDescent="0.2"/>
    <row r="1465" ht="12.75" x14ac:dyDescent="0.2"/>
    <row r="1466" ht="12.75" x14ac:dyDescent="0.2"/>
    <row r="1467" ht="12.75" x14ac:dyDescent="0.2"/>
    <row r="1468" ht="12.75" x14ac:dyDescent="0.2"/>
    <row r="1469" ht="12.75" x14ac:dyDescent="0.2"/>
    <row r="1470" ht="12.75" x14ac:dyDescent="0.2"/>
    <row r="1471" ht="12.75" x14ac:dyDescent="0.2"/>
    <row r="1472" ht="12.75" x14ac:dyDescent="0.2"/>
    <row r="1473" ht="12.75" x14ac:dyDescent="0.2"/>
    <row r="1474" ht="12.75" x14ac:dyDescent="0.2"/>
    <row r="1475" ht="12.75" x14ac:dyDescent="0.2"/>
    <row r="1476" ht="12.75" x14ac:dyDescent="0.2"/>
    <row r="1477" ht="12.75" x14ac:dyDescent="0.2"/>
    <row r="1478" ht="12.75" x14ac:dyDescent="0.2"/>
    <row r="1479" ht="12.75" x14ac:dyDescent="0.2"/>
    <row r="1480" ht="12.75" x14ac:dyDescent="0.2"/>
    <row r="1481" ht="12.75" x14ac:dyDescent="0.2"/>
    <row r="1482" ht="12.75" x14ac:dyDescent="0.2"/>
    <row r="1483" ht="12.75" x14ac:dyDescent="0.2"/>
    <row r="1484" ht="12.75" x14ac:dyDescent="0.2"/>
    <row r="1485" ht="12.75" x14ac:dyDescent="0.2"/>
    <row r="1486" ht="12.75" x14ac:dyDescent="0.2"/>
    <row r="1487" ht="12.75" x14ac:dyDescent="0.2"/>
    <row r="1488" ht="12.75" x14ac:dyDescent="0.2"/>
    <row r="1489" ht="12.75" x14ac:dyDescent="0.2"/>
    <row r="1490" ht="12.75" x14ac:dyDescent="0.2"/>
    <row r="1491" ht="12.75" x14ac:dyDescent="0.2"/>
    <row r="1492" ht="12.75" x14ac:dyDescent="0.2"/>
    <row r="1493" ht="12.75" x14ac:dyDescent="0.2"/>
    <row r="1494" ht="12.75" x14ac:dyDescent="0.2"/>
    <row r="1495" ht="12.75" x14ac:dyDescent="0.2"/>
    <row r="1496" ht="12.75" x14ac:dyDescent="0.2"/>
    <row r="1497" ht="12.75" x14ac:dyDescent="0.2"/>
    <row r="1498" ht="12.75" x14ac:dyDescent="0.2"/>
    <row r="1499" ht="12.75" x14ac:dyDescent="0.2"/>
    <row r="1500" ht="12.75" x14ac:dyDescent="0.2"/>
    <row r="1501" ht="12.75" x14ac:dyDescent="0.2"/>
    <row r="1502" ht="12.75" x14ac:dyDescent="0.2"/>
    <row r="1503" ht="12.75" x14ac:dyDescent="0.2"/>
    <row r="1504" ht="12.75" x14ac:dyDescent="0.2"/>
    <row r="1505" ht="12.75" x14ac:dyDescent="0.2"/>
    <row r="1506" ht="12.75" x14ac:dyDescent="0.2"/>
    <row r="1507" ht="12.75" x14ac:dyDescent="0.2"/>
    <row r="1508" ht="12.75" x14ac:dyDescent="0.2"/>
    <row r="1509" ht="12.75" x14ac:dyDescent="0.2"/>
    <row r="1510" ht="12.75" x14ac:dyDescent="0.2"/>
    <row r="1511" ht="12.75" x14ac:dyDescent="0.2"/>
    <row r="1512" ht="12.75" x14ac:dyDescent="0.2"/>
    <row r="1513" ht="12.75" x14ac:dyDescent="0.2"/>
    <row r="1514" ht="12.75" x14ac:dyDescent="0.2"/>
    <row r="1515" ht="12.75" x14ac:dyDescent="0.2"/>
    <row r="1516" ht="12.75" x14ac:dyDescent="0.2"/>
    <row r="1517" ht="12.75" x14ac:dyDescent="0.2"/>
    <row r="1518" ht="12.75" x14ac:dyDescent="0.2"/>
    <row r="1519" ht="12.75" x14ac:dyDescent="0.2"/>
    <row r="1520" ht="12.75" x14ac:dyDescent="0.2"/>
    <row r="1521" ht="12.75" x14ac:dyDescent="0.2"/>
    <row r="1522" ht="12.75" x14ac:dyDescent="0.2"/>
    <row r="1523" ht="12.75" x14ac:dyDescent="0.2"/>
    <row r="1524" ht="12.75" x14ac:dyDescent="0.2"/>
    <row r="1525" ht="12.75" x14ac:dyDescent="0.2"/>
    <row r="1526" ht="12.75" x14ac:dyDescent="0.2"/>
    <row r="1527" ht="12.75" x14ac:dyDescent="0.2"/>
    <row r="1528" ht="12.75" x14ac:dyDescent="0.2"/>
    <row r="1529" ht="12.75" x14ac:dyDescent="0.2"/>
    <row r="1530" ht="12.75" x14ac:dyDescent="0.2"/>
    <row r="1531" ht="12.75" x14ac:dyDescent="0.2"/>
    <row r="1532" ht="12.75" x14ac:dyDescent="0.2"/>
    <row r="1533" ht="12.75" x14ac:dyDescent="0.2"/>
    <row r="1534" ht="12.75" x14ac:dyDescent="0.2"/>
    <row r="1535" ht="12.75" x14ac:dyDescent="0.2"/>
    <row r="1536" ht="12.75" x14ac:dyDescent="0.2"/>
    <row r="1537" ht="12.75" x14ac:dyDescent="0.2"/>
    <row r="1538" ht="12.75" x14ac:dyDescent="0.2"/>
    <row r="1539" ht="12.75" x14ac:dyDescent="0.2"/>
    <row r="1540" ht="12.75" x14ac:dyDescent="0.2"/>
    <row r="1541" ht="12.75" x14ac:dyDescent="0.2"/>
    <row r="1542" ht="12.75" x14ac:dyDescent="0.2"/>
    <row r="1543" ht="12.75" x14ac:dyDescent="0.2"/>
    <row r="1544" ht="12.75" x14ac:dyDescent="0.2"/>
    <row r="1545" ht="12.75" x14ac:dyDescent="0.2"/>
    <row r="1546" ht="12.75" x14ac:dyDescent="0.2"/>
    <row r="1547" ht="12.75" x14ac:dyDescent="0.2"/>
    <row r="1548" ht="12.75" x14ac:dyDescent="0.2"/>
    <row r="1549" ht="12.75" x14ac:dyDescent="0.2"/>
    <row r="1550" ht="12.75" x14ac:dyDescent="0.2"/>
    <row r="1551" ht="12.75" x14ac:dyDescent="0.2"/>
    <row r="1552" ht="12.75" x14ac:dyDescent="0.2"/>
    <row r="1553" ht="12.75" x14ac:dyDescent="0.2"/>
    <row r="1554" ht="12.75" x14ac:dyDescent="0.2"/>
    <row r="1555" ht="12.75" x14ac:dyDescent="0.2"/>
    <row r="1556" ht="12.75" x14ac:dyDescent="0.2"/>
    <row r="1557" ht="12.75" x14ac:dyDescent="0.2"/>
    <row r="1558" ht="12.75" x14ac:dyDescent="0.2"/>
    <row r="1559" ht="12.75" x14ac:dyDescent="0.2"/>
    <row r="1560" ht="12.75" x14ac:dyDescent="0.2"/>
    <row r="1561" ht="12.75" x14ac:dyDescent="0.2"/>
    <row r="1562" ht="12.75" x14ac:dyDescent="0.2"/>
    <row r="1563" ht="12.75" x14ac:dyDescent="0.2"/>
    <row r="1564" ht="12.75" x14ac:dyDescent="0.2"/>
    <row r="1565" ht="12.75" x14ac:dyDescent="0.2"/>
    <row r="1566" ht="12.75" x14ac:dyDescent="0.2"/>
    <row r="1567" ht="12.75" x14ac:dyDescent="0.2"/>
    <row r="1568" ht="12.75" x14ac:dyDescent="0.2"/>
    <row r="1569" ht="12.75" x14ac:dyDescent="0.2"/>
    <row r="1570" ht="12.75" x14ac:dyDescent="0.2"/>
    <row r="1571" ht="12.75" x14ac:dyDescent="0.2"/>
    <row r="1572" ht="12.75" x14ac:dyDescent="0.2"/>
    <row r="1573" ht="12.75" x14ac:dyDescent="0.2"/>
    <row r="1574" ht="12.75" x14ac:dyDescent="0.2"/>
    <row r="1575" ht="12.75" x14ac:dyDescent="0.2"/>
    <row r="1576" ht="12.75" x14ac:dyDescent="0.2"/>
    <row r="1577" ht="12.75" x14ac:dyDescent="0.2"/>
    <row r="1578" ht="12.75" x14ac:dyDescent="0.2"/>
    <row r="1579" ht="12.75" x14ac:dyDescent="0.2"/>
    <row r="1580" ht="12.75" x14ac:dyDescent="0.2"/>
    <row r="1581" ht="12.75" x14ac:dyDescent="0.2"/>
    <row r="1582" ht="12.75" x14ac:dyDescent="0.2"/>
    <row r="1583" ht="12.75" x14ac:dyDescent="0.2"/>
    <row r="1584" ht="12.75" x14ac:dyDescent="0.2"/>
    <row r="1585" ht="12.75" x14ac:dyDescent="0.2"/>
    <row r="1586" ht="12.75" x14ac:dyDescent="0.2"/>
    <row r="1587" ht="12.75" x14ac:dyDescent="0.2"/>
    <row r="1588" ht="12.75" x14ac:dyDescent="0.2"/>
    <row r="1589" ht="12.75" x14ac:dyDescent="0.2"/>
    <row r="1590" ht="12.75" x14ac:dyDescent="0.2"/>
    <row r="1591" ht="12.75" x14ac:dyDescent="0.2"/>
    <row r="1592" ht="12.75" x14ac:dyDescent="0.2"/>
    <row r="1593" ht="12.75" x14ac:dyDescent="0.2"/>
    <row r="1594" ht="12.75" x14ac:dyDescent="0.2"/>
    <row r="1595" ht="12.75" x14ac:dyDescent="0.2"/>
    <row r="1596" ht="12.75" x14ac:dyDescent="0.2"/>
    <row r="1597" ht="12.75" x14ac:dyDescent="0.2"/>
    <row r="1598" ht="12.75" x14ac:dyDescent="0.2"/>
    <row r="1599" ht="12.75" x14ac:dyDescent="0.2"/>
    <row r="1600" ht="12.75" x14ac:dyDescent="0.2"/>
    <row r="1601" ht="12.75" x14ac:dyDescent="0.2"/>
    <row r="1602" ht="12.75" x14ac:dyDescent="0.2"/>
    <row r="1603" ht="12.75" x14ac:dyDescent="0.2"/>
    <row r="1604" ht="12.75" x14ac:dyDescent="0.2"/>
    <row r="1605" ht="12.75" x14ac:dyDescent="0.2"/>
    <row r="1606" ht="12.75" x14ac:dyDescent="0.2"/>
    <row r="1607" ht="12.75" x14ac:dyDescent="0.2"/>
    <row r="1608" ht="12.75" x14ac:dyDescent="0.2"/>
    <row r="1609" ht="12.75" x14ac:dyDescent="0.2"/>
    <row r="1610" ht="12.75" x14ac:dyDescent="0.2"/>
    <row r="1611" ht="12.75" x14ac:dyDescent="0.2"/>
    <row r="1612" ht="12.75" x14ac:dyDescent="0.2"/>
    <row r="1613" ht="12.75" x14ac:dyDescent="0.2"/>
    <row r="1614" ht="12.75" x14ac:dyDescent="0.2"/>
    <row r="1615" ht="12.75" x14ac:dyDescent="0.2"/>
    <row r="1616" ht="12.75" x14ac:dyDescent="0.2"/>
    <row r="1617" ht="12.75" x14ac:dyDescent="0.2"/>
    <row r="1618" ht="12.75" x14ac:dyDescent="0.2"/>
    <row r="1619" ht="12.75" x14ac:dyDescent="0.2"/>
    <row r="1620" ht="12.75" x14ac:dyDescent="0.2"/>
    <row r="1621" ht="12.75" x14ac:dyDescent="0.2"/>
    <row r="1622" ht="12.75" x14ac:dyDescent="0.2"/>
    <row r="1623" ht="12.75" x14ac:dyDescent="0.2"/>
    <row r="1624" ht="12.75" x14ac:dyDescent="0.2"/>
    <row r="1625" ht="12.75" x14ac:dyDescent="0.2"/>
    <row r="1626" ht="12.75" x14ac:dyDescent="0.2"/>
    <row r="1627" ht="12.75" x14ac:dyDescent="0.2"/>
    <row r="1628" ht="12.75" x14ac:dyDescent="0.2"/>
    <row r="1629" ht="12.75" x14ac:dyDescent="0.2"/>
    <row r="1630" ht="12.75" x14ac:dyDescent="0.2"/>
    <row r="1631" ht="12.75" x14ac:dyDescent="0.2"/>
    <row r="1632" ht="12.75" x14ac:dyDescent="0.2"/>
    <row r="1633" ht="12.75" x14ac:dyDescent="0.2"/>
    <row r="1634" ht="12.75" x14ac:dyDescent="0.2"/>
    <row r="1635" ht="12.75" x14ac:dyDescent="0.2"/>
    <row r="1636" ht="12.75" x14ac:dyDescent="0.2"/>
    <row r="1637" ht="12.75" x14ac:dyDescent="0.2"/>
    <row r="1638" ht="12.75" x14ac:dyDescent="0.2"/>
    <row r="1639" ht="12.75" x14ac:dyDescent="0.2"/>
    <row r="1640" ht="12.75" x14ac:dyDescent="0.2"/>
    <row r="1641" ht="12.75" x14ac:dyDescent="0.2"/>
    <row r="1642" ht="12.75" x14ac:dyDescent="0.2"/>
    <row r="1643" ht="12.75" x14ac:dyDescent="0.2"/>
    <row r="1644" ht="12.75" x14ac:dyDescent="0.2"/>
    <row r="1645" ht="12.75" x14ac:dyDescent="0.2"/>
    <row r="1646" ht="12.75" x14ac:dyDescent="0.2"/>
    <row r="1647" ht="12.75" x14ac:dyDescent="0.2"/>
    <row r="1648" ht="12.75" x14ac:dyDescent="0.2"/>
    <row r="1649" ht="12.75" x14ac:dyDescent="0.2"/>
    <row r="1650" ht="12.75" x14ac:dyDescent="0.2"/>
    <row r="1651" ht="12.75" x14ac:dyDescent="0.2"/>
    <row r="1652" ht="12.75" x14ac:dyDescent="0.2"/>
    <row r="1653" ht="12.75" x14ac:dyDescent="0.2"/>
    <row r="1654" ht="12.75" x14ac:dyDescent="0.2"/>
    <row r="1655" ht="12.75" x14ac:dyDescent="0.2"/>
    <row r="1656" ht="12.75" x14ac:dyDescent="0.2"/>
    <row r="1657" ht="12.75" x14ac:dyDescent="0.2"/>
    <row r="1658" ht="12.75" x14ac:dyDescent="0.2"/>
    <row r="1659" ht="12.75" x14ac:dyDescent="0.2"/>
    <row r="1660" ht="12.75" x14ac:dyDescent="0.2"/>
    <row r="1661" ht="12.75" x14ac:dyDescent="0.2"/>
    <row r="1662" ht="12.75" x14ac:dyDescent="0.2"/>
    <row r="1663" ht="12.75" x14ac:dyDescent="0.2"/>
    <row r="1664" ht="12.75" x14ac:dyDescent="0.2"/>
    <row r="1665" ht="12.75" x14ac:dyDescent="0.2"/>
    <row r="1666" ht="12.75" x14ac:dyDescent="0.2"/>
    <row r="1667" ht="12.75" x14ac:dyDescent="0.2"/>
    <row r="1668" ht="12.75" x14ac:dyDescent="0.2"/>
    <row r="1669" ht="12.75" x14ac:dyDescent="0.2"/>
    <row r="1670" ht="12.75" x14ac:dyDescent="0.2"/>
    <row r="1671" ht="12.75" x14ac:dyDescent="0.2"/>
    <row r="1672" ht="12.75" x14ac:dyDescent="0.2"/>
    <row r="1673" ht="12.75" x14ac:dyDescent="0.2"/>
    <row r="1674" ht="12.75" x14ac:dyDescent="0.2"/>
    <row r="1675" ht="12.75" x14ac:dyDescent="0.2"/>
    <row r="1676" ht="12.75" x14ac:dyDescent="0.2"/>
    <row r="1677" ht="12.75" x14ac:dyDescent="0.2"/>
    <row r="1678" ht="12.75" x14ac:dyDescent="0.2"/>
    <row r="1679" ht="12.75" x14ac:dyDescent="0.2"/>
    <row r="1680" ht="12.75" x14ac:dyDescent="0.2"/>
    <row r="1681" ht="12.75" x14ac:dyDescent="0.2"/>
    <row r="1682" ht="12.75" x14ac:dyDescent="0.2"/>
    <row r="1683" ht="12.75" x14ac:dyDescent="0.2"/>
    <row r="1684" ht="12.75" x14ac:dyDescent="0.2"/>
    <row r="1685" ht="12.75" x14ac:dyDescent="0.2"/>
    <row r="1686" ht="12.75" x14ac:dyDescent="0.2"/>
    <row r="1687" ht="12.75" x14ac:dyDescent="0.2"/>
    <row r="1688" ht="12.75" x14ac:dyDescent="0.2"/>
    <row r="1689" ht="12.75" x14ac:dyDescent="0.2"/>
    <row r="1690" ht="12.75" x14ac:dyDescent="0.2"/>
    <row r="1691" ht="12.75" x14ac:dyDescent="0.2"/>
    <row r="1692" ht="12.75" x14ac:dyDescent="0.2"/>
    <row r="1693" ht="12.75" x14ac:dyDescent="0.2"/>
    <row r="1694" ht="12.75" x14ac:dyDescent="0.2"/>
    <row r="1695" ht="12.75" x14ac:dyDescent="0.2"/>
    <row r="1696" ht="12.75" x14ac:dyDescent="0.2"/>
    <row r="1697" ht="12.75" x14ac:dyDescent="0.2"/>
    <row r="1698" ht="12.75" x14ac:dyDescent="0.2"/>
    <row r="1699" ht="12.75" x14ac:dyDescent="0.2"/>
    <row r="1700" ht="12.75" x14ac:dyDescent="0.2"/>
    <row r="1701" ht="12.75" x14ac:dyDescent="0.2"/>
    <row r="1702" ht="12.75" x14ac:dyDescent="0.2"/>
    <row r="1703" ht="12.75" x14ac:dyDescent="0.2"/>
    <row r="1704" ht="12.75" x14ac:dyDescent="0.2"/>
    <row r="1705" ht="12.75" x14ac:dyDescent="0.2"/>
    <row r="1706" ht="12.75" x14ac:dyDescent="0.2"/>
    <row r="1707" ht="12.75" x14ac:dyDescent="0.2"/>
    <row r="1708" ht="12.75" x14ac:dyDescent="0.2"/>
    <row r="1709" ht="12.75" x14ac:dyDescent="0.2"/>
    <row r="1710" ht="12.75" x14ac:dyDescent="0.2"/>
    <row r="1711" ht="12.75" x14ac:dyDescent="0.2"/>
    <row r="1712" ht="12.75" x14ac:dyDescent="0.2"/>
    <row r="1713" ht="12.75" x14ac:dyDescent="0.2"/>
    <row r="1714" ht="12.75" x14ac:dyDescent="0.2"/>
    <row r="1715" ht="12.75" x14ac:dyDescent="0.2"/>
    <row r="1716" ht="12.75" x14ac:dyDescent="0.2"/>
    <row r="1717" ht="12.75" x14ac:dyDescent="0.2"/>
    <row r="1718" ht="12.75" x14ac:dyDescent="0.2"/>
    <row r="1719" ht="12.75" x14ac:dyDescent="0.2"/>
    <row r="1720" ht="12.75" x14ac:dyDescent="0.2"/>
    <row r="1721" ht="12.75" x14ac:dyDescent="0.2"/>
    <row r="1722" ht="12.75" x14ac:dyDescent="0.2"/>
    <row r="1723" ht="12.75" x14ac:dyDescent="0.2"/>
    <row r="1724" ht="12.75" x14ac:dyDescent="0.2"/>
    <row r="1725" ht="12.75" x14ac:dyDescent="0.2"/>
    <row r="1726" ht="12.75" x14ac:dyDescent="0.2"/>
    <row r="1727" ht="12.75" x14ac:dyDescent="0.2"/>
    <row r="1728" ht="12.75" x14ac:dyDescent="0.2"/>
    <row r="1729" ht="12.75" x14ac:dyDescent="0.2"/>
    <row r="1730" ht="12.75" x14ac:dyDescent="0.2"/>
    <row r="1731" ht="12.75" x14ac:dyDescent="0.2"/>
    <row r="1732" ht="12.75" x14ac:dyDescent="0.2"/>
    <row r="1733" ht="12.75" x14ac:dyDescent="0.2"/>
    <row r="1734" ht="12.75" x14ac:dyDescent="0.2"/>
    <row r="1735" ht="12.75" x14ac:dyDescent="0.2"/>
    <row r="1736" ht="12.75" x14ac:dyDescent="0.2"/>
    <row r="1737" ht="12.75" x14ac:dyDescent="0.2"/>
    <row r="1738" ht="12.75" x14ac:dyDescent="0.2"/>
    <row r="1739" ht="12.75" x14ac:dyDescent="0.2"/>
    <row r="1740" ht="12.75" x14ac:dyDescent="0.2"/>
    <row r="1741" ht="12.75" x14ac:dyDescent="0.2"/>
    <row r="1742" ht="12.75" x14ac:dyDescent="0.2"/>
    <row r="1743" ht="12.75" x14ac:dyDescent="0.2"/>
    <row r="1744" ht="12.75" x14ac:dyDescent="0.2"/>
    <row r="1745" ht="12.75" x14ac:dyDescent="0.2"/>
    <row r="1746" ht="12.75" x14ac:dyDescent="0.2"/>
    <row r="1747" ht="12.75" x14ac:dyDescent="0.2"/>
    <row r="1748" ht="12.75" x14ac:dyDescent="0.2"/>
    <row r="1749" ht="12.75" x14ac:dyDescent="0.2"/>
    <row r="1750" ht="12.75" x14ac:dyDescent="0.2"/>
    <row r="1751" ht="12.75" x14ac:dyDescent="0.2"/>
    <row r="1752" ht="12.75" x14ac:dyDescent="0.2"/>
    <row r="1753" ht="12.75" x14ac:dyDescent="0.2"/>
    <row r="1754" ht="12.75" x14ac:dyDescent="0.2"/>
    <row r="1755" ht="12.75" x14ac:dyDescent="0.2"/>
    <row r="1756" ht="12.75" x14ac:dyDescent="0.2"/>
    <row r="1757" ht="12.75" x14ac:dyDescent="0.2"/>
    <row r="1758" ht="12.75" x14ac:dyDescent="0.2"/>
    <row r="1759" ht="12.75" x14ac:dyDescent="0.2"/>
    <row r="1760" ht="12.75" x14ac:dyDescent="0.2"/>
    <row r="1761" ht="12.75" x14ac:dyDescent="0.2"/>
    <row r="1762" ht="12.75" x14ac:dyDescent="0.2"/>
    <row r="1763" ht="12.75" x14ac:dyDescent="0.2"/>
    <row r="1764" ht="12.75" x14ac:dyDescent="0.2"/>
    <row r="1765" ht="12.75" x14ac:dyDescent="0.2"/>
    <row r="1766" ht="12.75" x14ac:dyDescent="0.2"/>
    <row r="1767" ht="12.75" x14ac:dyDescent="0.2"/>
    <row r="1768" ht="12.75" x14ac:dyDescent="0.2"/>
    <row r="1769" ht="12.75" x14ac:dyDescent="0.2"/>
    <row r="1770" ht="12.75" x14ac:dyDescent="0.2"/>
    <row r="1771" ht="12.75" x14ac:dyDescent="0.2"/>
    <row r="1772" ht="12.75" x14ac:dyDescent="0.2"/>
    <row r="1773" ht="12.75" x14ac:dyDescent="0.2"/>
    <row r="1774" ht="12.75" x14ac:dyDescent="0.2"/>
    <row r="1775" ht="12.75" x14ac:dyDescent="0.2"/>
    <row r="1776" ht="12.75" x14ac:dyDescent="0.2"/>
    <row r="1777" ht="12.75" x14ac:dyDescent="0.2"/>
    <row r="1778" ht="12.75" x14ac:dyDescent="0.2"/>
    <row r="1779" ht="12.75" x14ac:dyDescent="0.2"/>
    <row r="1780" ht="12.75" x14ac:dyDescent="0.2"/>
    <row r="1781" ht="12.75" x14ac:dyDescent="0.2"/>
    <row r="1782" ht="12.75" x14ac:dyDescent="0.2"/>
    <row r="1783" ht="12.75" x14ac:dyDescent="0.2"/>
    <row r="1784" ht="12.75" x14ac:dyDescent="0.2"/>
    <row r="1785" ht="12.75" x14ac:dyDescent="0.2"/>
    <row r="1786" ht="12.75" x14ac:dyDescent="0.2"/>
    <row r="1787" ht="12.75" x14ac:dyDescent="0.2"/>
    <row r="1788" ht="12.75" x14ac:dyDescent="0.2"/>
    <row r="1789" ht="12.75" x14ac:dyDescent="0.2"/>
    <row r="1790" ht="12.75" x14ac:dyDescent="0.2"/>
    <row r="1791" ht="12.75" x14ac:dyDescent="0.2"/>
    <row r="1792" ht="12.75" x14ac:dyDescent="0.2"/>
    <row r="1793" ht="12.75" x14ac:dyDescent="0.2"/>
    <row r="1794" ht="12.75" x14ac:dyDescent="0.2"/>
    <row r="1795" ht="12.75" x14ac:dyDescent="0.2"/>
    <row r="1796" ht="12.75" x14ac:dyDescent="0.2"/>
    <row r="1797" ht="12.75" x14ac:dyDescent="0.2"/>
    <row r="1798" ht="12.75" x14ac:dyDescent="0.2"/>
    <row r="1799" ht="12.75" x14ac:dyDescent="0.2"/>
    <row r="1800" ht="12.75" x14ac:dyDescent="0.2"/>
    <row r="1801" ht="12.75" x14ac:dyDescent="0.2"/>
    <row r="1802" ht="12.75" x14ac:dyDescent="0.2"/>
    <row r="1803" ht="12.75" x14ac:dyDescent="0.2"/>
    <row r="1804" ht="12.75" x14ac:dyDescent="0.2"/>
    <row r="1805" ht="12.75" x14ac:dyDescent="0.2"/>
    <row r="1806" ht="12.75" x14ac:dyDescent="0.2"/>
    <row r="1807" ht="12.75" x14ac:dyDescent="0.2"/>
    <row r="1808" ht="12.75" x14ac:dyDescent="0.2"/>
    <row r="1809" ht="12.75" x14ac:dyDescent="0.2"/>
    <row r="1810" ht="12.75" x14ac:dyDescent="0.2"/>
    <row r="1811" ht="12.75" x14ac:dyDescent="0.2"/>
    <row r="1812" ht="12.75" x14ac:dyDescent="0.2"/>
    <row r="1813" ht="12.75" x14ac:dyDescent="0.2"/>
    <row r="1814" ht="12.75" x14ac:dyDescent="0.2"/>
    <row r="1815" ht="12.75" x14ac:dyDescent="0.2"/>
    <row r="1816" ht="12.75" x14ac:dyDescent="0.2"/>
    <row r="1817" ht="12.75" x14ac:dyDescent="0.2"/>
    <row r="1818" ht="12.75" x14ac:dyDescent="0.2"/>
    <row r="1819" ht="12.75" x14ac:dyDescent="0.2"/>
    <row r="1820" ht="12.75" x14ac:dyDescent="0.2"/>
    <row r="1821" ht="12.75" x14ac:dyDescent="0.2"/>
    <row r="1822" ht="12.75" x14ac:dyDescent="0.2"/>
    <row r="1823" ht="12.75" x14ac:dyDescent="0.2"/>
    <row r="1824" ht="12.75" x14ac:dyDescent="0.2"/>
    <row r="1825" ht="12.75" x14ac:dyDescent="0.2"/>
    <row r="1826" ht="12.75" x14ac:dyDescent="0.2"/>
    <row r="1827" ht="12.75" x14ac:dyDescent="0.2"/>
    <row r="1828" ht="12.75" x14ac:dyDescent="0.2"/>
    <row r="1829" ht="12.75" x14ac:dyDescent="0.2"/>
    <row r="1830" ht="12.75" x14ac:dyDescent="0.2"/>
    <row r="1831" ht="12.75" x14ac:dyDescent="0.2"/>
    <row r="1832" ht="12.75" x14ac:dyDescent="0.2"/>
    <row r="1833" ht="12.75" x14ac:dyDescent="0.2"/>
    <row r="1834" ht="12.75" x14ac:dyDescent="0.2"/>
    <row r="1835" ht="12.75" x14ac:dyDescent="0.2"/>
    <row r="1836" ht="12.75" x14ac:dyDescent="0.2"/>
    <row r="1837" ht="12.75" x14ac:dyDescent="0.2"/>
    <row r="1838" ht="12.75" x14ac:dyDescent="0.2"/>
    <row r="1839" ht="12.75" x14ac:dyDescent="0.2"/>
    <row r="1840" ht="12.75" x14ac:dyDescent="0.2"/>
    <row r="1841" ht="12.75" x14ac:dyDescent="0.2"/>
    <row r="1842" ht="12.75" x14ac:dyDescent="0.2"/>
    <row r="1843" ht="12.75" x14ac:dyDescent="0.2"/>
    <row r="1844" ht="12.75" x14ac:dyDescent="0.2"/>
    <row r="1845" ht="12.75" x14ac:dyDescent="0.2"/>
    <row r="1846" ht="12.75" x14ac:dyDescent="0.2"/>
    <row r="1847" ht="12.75" x14ac:dyDescent="0.2"/>
    <row r="1848" ht="12.75" x14ac:dyDescent="0.2"/>
    <row r="1849" ht="12.75" x14ac:dyDescent="0.2"/>
    <row r="1850" ht="12.75" x14ac:dyDescent="0.2"/>
    <row r="1851" ht="12.75" x14ac:dyDescent="0.2"/>
    <row r="1852" ht="12.75" x14ac:dyDescent="0.2"/>
    <row r="1853" ht="12.75" x14ac:dyDescent="0.2"/>
    <row r="1854" ht="12.75" x14ac:dyDescent="0.2"/>
    <row r="1855" ht="12.75" x14ac:dyDescent="0.2"/>
    <row r="1856" ht="12.75" x14ac:dyDescent="0.2"/>
    <row r="1857" ht="12.75" x14ac:dyDescent="0.2"/>
    <row r="1858" ht="12.75" x14ac:dyDescent="0.2"/>
    <row r="1859" ht="12.75" x14ac:dyDescent="0.2"/>
    <row r="1860" ht="12.75" x14ac:dyDescent="0.2"/>
    <row r="1861" ht="12.75" x14ac:dyDescent="0.2"/>
    <row r="1862" ht="12.75" x14ac:dyDescent="0.2"/>
    <row r="1863" ht="12.75" x14ac:dyDescent="0.2"/>
    <row r="1864" ht="12.75" x14ac:dyDescent="0.2"/>
    <row r="1865" ht="12.75" x14ac:dyDescent="0.2"/>
    <row r="1866" ht="12.75" x14ac:dyDescent="0.2"/>
    <row r="1867" ht="12.75" x14ac:dyDescent="0.2"/>
    <row r="1868" ht="12.75" x14ac:dyDescent="0.2"/>
    <row r="1869" ht="12.75" x14ac:dyDescent="0.2"/>
    <row r="1870" ht="12.75" x14ac:dyDescent="0.2"/>
    <row r="1871" ht="12.75" x14ac:dyDescent="0.2"/>
    <row r="1872" ht="12.75" x14ac:dyDescent="0.2"/>
    <row r="1873" ht="12.75" x14ac:dyDescent="0.2"/>
    <row r="1874" ht="12.75" x14ac:dyDescent="0.2"/>
    <row r="1875" ht="12.75" x14ac:dyDescent="0.2"/>
    <row r="1876" ht="12.75" x14ac:dyDescent="0.2"/>
    <row r="1877" ht="12.75" x14ac:dyDescent="0.2"/>
    <row r="1878" ht="12.75" x14ac:dyDescent="0.2"/>
    <row r="1879" ht="12.75" x14ac:dyDescent="0.2"/>
    <row r="1880" ht="12.75" x14ac:dyDescent="0.2"/>
    <row r="1881" ht="12.75" x14ac:dyDescent="0.2"/>
    <row r="1882" ht="12.75" x14ac:dyDescent="0.2"/>
    <row r="1883" ht="12.75" x14ac:dyDescent="0.2"/>
    <row r="1884" ht="12.75" x14ac:dyDescent="0.2"/>
    <row r="1885" ht="12.75" x14ac:dyDescent="0.2"/>
    <row r="1886" ht="12.75" x14ac:dyDescent="0.2"/>
    <row r="1887" ht="12.75" x14ac:dyDescent="0.2"/>
    <row r="1888" ht="12.75" x14ac:dyDescent="0.2"/>
    <row r="1889" ht="12.75" x14ac:dyDescent="0.2"/>
    <row r="1890" ht="12.75" x14ac:dyDescent="0.2"/>
    <row r="1891" ht="12.75" x14ac:dyDescent="0.2"/>
    <row r="1892" ht="12.75" x14ac:dyDescent="0.2"/>
    <row r="1893" ht="12.75" x14ac:dyDescent="0.2"/>
    <row r="1894" ht="12.75" x14ac:dyDescent="0.2"/>
    <row r="1895" ht="12.75" x14ac:dyDescent="0.2"/>
    <row r="1896" ht="12.75" x14ac:dyDescent="0.2"/>
    <row r="1897" ht="12.75" x14ac:dyDescent="0.2"/>
    <row r="1898" ht="12.75" x14ac:dyDescent="0.2"/>
    <row r="1899" ht="12.75" x14ac:dyDescent="0.2"/>
    <row r="1900" ht="12.75" x14ac:dyDescent="0.2"/>
    <row r="1901" ht="12.75" x14ac:dyDescent="0.2"/>
    <row r="1902" ht="12.75" x14ac:dyDescent="0.2"/>
    <row r="1903" ht="12.75" x14ac:dyDescent="0.2"/>
    <row r="1904" ht="12.75" x14ac:dyDescent="0.2"/>
    <row r="1905" ht="12.75" x14ac:dyDescent="0.2"/>
    <row r="1906" ht="12.75" x14ac:dyDescent="0.2"/>
    <row r="1907" ht="12.75" x14ac:dyDescent="0.2"/>
    <row r="1908" ht="12.75" x14ac:dyDescent="0.2"/>
    <row r="1909" ht="12.75" x14ac:dyDescent="0.2"/>
    <row r="1910" ht="12.75" x14ac:dyDescent="0.2"/>
    <row r="1911" ht="12.75" x14ac:dyDescent="0.2"/>
    <row r="1912" ht="12.75" x14ac:dyDescent="0.2"/>
    <row r="1913" ht="12.75" x14ac:dyDescent="0.2"/>
    <row r="1914" ht="12.75" x14ac:dyDescent="0.2"/>
    <row r="1915" ht="12.75" x14ac:dyDescent="0.2"/>
    <row r="1916" ht="12.75" x14ac:dyDescent="0.2"/>
    <row r="1917" ht="12.75" x14ac:dyDescent="0.2"/>
    <row r="1918" ht="12.75" x14ac:dyDescent="0.2"/>
    <row r="1919" ht="12.75" x14ac:dyDescent="0.2"/>
    <row r="1920" ht="12.75" x14ac:dyDescent="0.2"/>
    <row r="1921" ht="12.75" x14ac:dyDescent="0.2"/>
    <row r="1922" ht="12.75" x14ac:dyDescent="0.2"/>
    <row r="1923" ht="12.75" x14ac:dyDescent="0.2"/>
    <row r="1924" ht="12.75" x14ac:dyDescent="0.2"/>
    <row r="1925" ht="12.75" x14ac:dyDescent="0.2"/>
    <row r="1926" ht="12.75" x14ac:dyDescent="0.2"/>
    <row r="1927" ht="12.75" x14ac:dyDescent="0.2"/>
    <row r="1928" ht="12.75" x14ac:dyDescent="0.2"/>
    <row r="1929" ht="12.75" x14ac:dyDescent="0.2"/>
    <row r="1930" ht="12.75" x14ac:dyDescent="0.2"/>
    <row r="1931" ht="12.75" x14ac:dyDescent="0.2"/>
    <row r="1932" ht="12.75" x14ac:dyDescent="0.2"/>
    <row r="1933" ht="12.75" x14ac:dyDescent="0.2"/>
    <row r="1934" ht="12.75" x14ac:dyDescent="0.2"/>
    <row r="1935" ht="12.75" x14ac:dyDescent="0.2"/>
    <row r="1936" ht="12.75" x14ac:dyDescent="0.2"/>
    <row r="1937" ht="12.75" x14ac:dyDescent="0.2"/>
    <row r="1938" ht="12.75" x14ac:dyDescent="0.2"/>
    <row r="1939" ht="12.75" x14ac:dyDescent="0.2"/>
    <row r="1940" ht="12.75" x14ac:dyDescent="0.2"/>
    <row r="1941" ht="12.75" x14ac:dyDescent="0.2"/>
    <row r="1942" ht="12.75" x14ac:dyDescent="0.2"/>
    <row r="1943" ht="12.75" x14ac:dyDescent="0.2"/>
    <row r="1944" ht="12.75" x14ac:dyDescent="0.2"/>
    <row r="1945" ht="12.75" x14ac:dyDescent="0.2"/>
    <row r="1946" ht="12.75" x14ac:dyDescent="0.2"/>
    <row r="1947" ht="12.75" x14ac:dyDescent="0.2"/>
    <row r="1948" ht="12.75" x14ac:dyDescent="0.2"/>
    <row r="1949" ht="12.75" x14ac:dyDescent="0.2"/>
    <row r="1950" ht="12.75" x14ac:dyDescent="0.2"/>
    <row r="1951" ht="12.75" x14ac:dyDescent="0.2"/>
    <row r="1952" ht="12.75" x14ac:dyDescent="0.2"/>
    <row r="1953" ht="12.75" x14ac:dyDescent="0.2"/>
    <row r="1954" ht="12.75" x14ac:dyDescent="0.2"/>
    <row r="1955" ht="12.75" x14ac:dyDescent="0.2"/>
    <row r="1956" ht="12.75" x14ac:dyDescent="0.2"/>
    <row r="1957" ht="12.75" x14ac:dyDescent="0.2"/>
    <row r="1958" ht="12.75" x14ac:dyDescent="0.2"/>
    <row r="1959" ht="12.75" x14ac:dyDescent="0.2"/>
    <row r="1960" ht="12.75" x14ac:dyDescent="0.2"/>
    <row r="1961" ht="12.75" x14ac:dyDescent="0.2"/>
    <row r="1962" ht="12.75" x14ac:dyDescent="0.2"/>
    <row r="1963" ht="12.75" x14ac:dyDescent="0.2"/>
    <row r="1964" ht="12.75" x14ac:dyDescent="0.2"/>
    <row r="1965" ht="12.75" x14ac:dyDescent="0.2"/>
    <row r="1966" ht="12.75" x14ac:dyDescent="0.2"/>
    <row r="1967" ht="12.75" x14ac:dyDescent="0.2"/>
    <row r="1968" ht="12.75" x14ac:dyDescent="0.2"/>
    <row r="1969" ht="12.75" x14ac:dyDescent="0.2"/>
    <row r="1970" ht="12.75" x14ac:dyDescent="0.2"/>
    <row r="1971" ht="12.75" x14ac:dyDescent="0.2"/>
    <row r="1972" ht="12.75" x14ac:dyDescent="0.2"/>
    <row r="1973" ht="12.75" x14ac:dyDescent="0.2"/>
    <row r="1974" ht="12.75" x14ac:dyDescent="0.2"/>
    <row r="1975" ht="12.75" x14ac:dyDescent="0.2"/>
    <row r="1976" ht="12.75" x14ac:dyDescent="0.2"/>
    <row r="1977" ht="12.75" x14ac:dyDescent="0.2"/>
    <row r="1978" ht="12.75" x14ac:dyDescent="0.2"/>
    <row r="1979" ht="12.75" x14ac:dyDescent="0.2"/>
    <row r="1980" ht="12.75" x14ac:dyDescent="0.2"/>
    <row r="1981" ht="12.75" x14ac:dyDescent="0.2"/>
    <row r="1982" ht="12.75" x14ac:dyDescent="0.2"/>
    <row r="1983" ht="12.75" x14ac:dyDescent="0.2"/>
    <row r="1984" ht="12.75" x14ac:dyDescent="0.2"/>
    <row r="1985" ht="12.75" x14ac:dyDescent="0.2"/>
    <row r="1986" ht="12.75" x14ac:dyDescent="0.2"/>
    <row r="1987" ht="12.75" x14ac:dyDescent="0.2"/>
    <row r="1988" ht="12.75" x14ac:dyDescent="0.2"/>
    <row r="1989" ht="12.75" x14ac:dyDescent="0.2"/>
    <row r="1990" ht="12.75" x14ac:dyDescent="0.2"/>
    <row r="1991" ht="12.75" x14ac:dyDescent="0.2"/>
    <row r="1992" ht="12.75" x14ac:dyDescent="0.2"/>
    <row r="1993" ht="12.75" x14ac:dyDescent="0.2"/>
    <row r="1994" ht="12.75" x14ac:dyDescent="0.2"/>
    <row r="1995" ht="12.75" x14ac:dyDescent="0.2"/>
    <row r="1996" ht="12.75" x14ac:dyDescent="0.2"/>
    <row r="1997" ht="12.75" x14ac:dyDescent="0.2"/>
    <row r="1998" ht="12.75" x14ac:dyDescent="0.2"/>
    <row r="1999" ht="12.75" x14ac:dyDescent="0.2"/>
    <row r="2000" ht="12.75" x14ac:dyDescent="0.2"/>
    <row r="2001" ht="12.75" x14ac:dyDescent="0.2"/>
    <row r="2002" ht="12.75" x14ac:dyDescent="0.2"/>
    <row r="2003" ht="12.75" x14ac:dyDescent="0.2"/>
    <row r="2004" ht="12.75" x14ac:dyDescent="0.2"/>
    <row r="2005" ht="12.75" x14ac:dyDescent="0.2"/>
    <row r="2006" ht="12.75" x14ac:dyDescent="0.2"/>
    <row r="2007" ht="12.75" x14ac:dyDescent="0.2"/>
    <row r="2008" ht="12.75" x14ac:dyDescent="0.2"/>
    <row r="2009" ht="12.75" x14ac:dyDescent="0.2"/>
    <row r="2010" ht="12.75" x14ac:dyDescent="0.2"/>
    <row r="2011" ht="12.75" x14ac:dyDescent="0.2"/>
    <row r="2012" ht="12.75" x14ac:dyDescent="0.2"/>
    <row r="2013" ht="12.75" x14ac:dyDescent="0.2"/>
    <row r="2014" ht="12.75" x14ac:dyDescent="0.2"/>
    <row r="2015" ht="12.75" x14ac:dyDescent="0.2"/>
    <row r="2016" ht="12.75" x14ac:dyDescent="0.2"/>
    <row r="2017" ht="12.75" x14ac:dyDescent="0.2"/>
    <row r="2018" ht="12.75" x14ac:dyDescent="0.2"/>
    <row r="2019" ht="12.75" x14ac:dyDescent="0.2"/>
    <row r="2020" ht="12.75" x14ac:dyDescent="0.2"/>
    <row r="2021" ht="12.75" x14ac:dyDescent="0.2"/>
    <row r="2022" ht="12.75" x14ac:dyDescent="0.2"/>
    <row r="2023" ht="12.75" x14ac:dyDescent="0.2"/>
    <row r="2024" ht="12.75" x14ac:dyDescent="0.2"/>
    <row r="2025" ht="12.75" x14ac:dyDescent="0.2"/>
    <row r="2026" ht="12.75" x14ac:dyDescent="0.2"/>
    <row r="2027" ht="12.75" x14ac:dyDescent="0.2"/>
    <row r="2028" ht="12.75" x14ac:dyDescent="0.2"/>
    <row r="2029" ht="12.75" x14ac:dyDescent="0.2"/>
    <row r="2030" ht="12.75" x14ac:dyDescent="0.2"/>
    <row r="2031" ht="12.75" x14ac:dyDescent="0.2"/>
    <row r="2032" ht="12.75" x14ac:dyDescent="0.2"/>
    <row r="2033" ht="12.75" x14ac:dyDescent="0.2"/>
    <row r="2034" ht="12.75" x14ac:dyDescent="0.2"/>
    <row r="2035" ht="12.75" x14ac:dyDescent="0.2"/>
    <row r="2036" ht="12.75" x14ac:dyDescent="0.2"/>
    <row r="2037" ht="12.75" x14ac:dyDescent="0.2"/>
    <row r="2038" ht="12.75" x14ac:dyDescent="0.2"/>
    <row r="2039" ht="12.75" x14ac:dyDescent="0.2"/>
    <row r="2040" ht="12.75" x14ac:dyDescent="0.2"/>
    <row r="2041" ht="12.75" x14ac:dyDescent="0.2"/>
    <row r="2042" ht="12.75" x14ac:dyDescent="0.2"/>
    <row r="2043" ht="12.75" x14ac:dyDescent="0.2"/>
    <row r="2044" ht="12.75" x14ac:dyDescent="0.2"/>
    <row r="2045" ht="12.75" x14ac:dyDescent="0.2"/>
    <row r="2046" ht="12.75" x14ac:dyDescent="0.2"/>
    <row r="2047" ht="12.75" x14ac:dyDescent="0.2"/>
    <row r="2048" ht="12.75" x14ac:dyDescent="0.2"/>
    <row r="2049" ht="12.75" x14ac:dyDescent="0.2"/>
    <row r="2050" ht="12.75" x14ac:dyDescent="0.2"/>
    <row r="2051" ht="12.75" x14ac:dyDescent="0.2"/>
    <row r="2052" ht="12.75" x14ac:dyDescent="0.2"/>
    <row r="2053" ht="12.75" x14ac:dyDescent="0.2"/>
    <row r="2054" ht="12.75" x14ac:dyDescent="0.2"/>
    <row r="2055" ht="12.75" x14ac:dyDescent="0.2"/>
    <row r="2056" ht="12.75" x14ac:dyDescent="0.2"/>
    <row r="2057" ht="12.75" x14ac:dyDescent="0.2"/>
    <row r="2058" ht="12.75" x14ac:dyDescent="0.2"/>
    <row r="2059" ht="12.75" x14ac:dyDescent="0.2"/>
    <row r="2060" ht="12.75" x14ac:dyDescent="0.2"/>
    <row r="2061" ht="12.75" x14ac:dyDescent="0.2"/>
    <row r="2062" ht="12.75" x14ac:dyDescent="0.2"/>
    <row r="2063" ht="12.75" x14ac:dyDescent="0.2"/>
    <row r="2064" ht="12.75" x14ac:dyDescent="0.2"/>
    <row r="2065" ht="12.75" x14ac:dyDescent="0.2"/>
    <row r="2066" ht="12.75" x14ac:dyDescent="0.2"/>
    <row r="2067" ht="12.75" x14ac:dyDescent="0.2"/>
    <row r="2068" ht="12.75" x14ac:dyDescent="0.2"/>
    <row r="2069" ht="12.75" x14ac:dyDescent="0.2"/>
    <row r="2070" ht="12.75" x14ac:dyDescent="0.2"/>
    <row r="2071" ht="12.75" x14ac:dyDescent="0.2"/>
    <row r="2072" ht="12.75" x14ac:dyDescent="0.2"/>
    <row r="2073" ht="12.75" x14ac:dyDescent="0.2"/>
    <row r="2074" ht="12.75" x14ac:dyDescent="0.2"/>
    <row r="2075" ht="12.75" x14ac:dyDescent="0.2"/>
    <row r="2076" ht="12.75" x14ac:dyDescent="0.2"/>
    <row r="2077" ht="12.75" x14ac:dyDescent="0.2"/>
    <row r="2078" ht="12.75" x14ac:dyDescent="0.2"/>
    <row r="2079" ht="12.75" x14ac:dyDescent="0.2"/>
    <row r="2080" ht="12.75" x14ac:dyDescent="0.2"/>
    <row r="2081" ht="12.75" x14ac:dyDescent="0.2"/>
    <row r="2082" ht="12.75" x14ac:dyDescent="0.2"/>
    <row r="2083" ht="12.75" x14ac:dyDescent="0.2"/>
    <row r="2084" ht="12.75" x14ac:dyDescent="0.2"/>
    <row r="2085" ht="12.75" x14ac:dyDescent="0.2"/>
    <row r="2086" ht="12.75" x14ac:dyDescent="0.2"/>
    <row r="2087" ht="12.75" x14ac:dyDescent="0.2"/>
    <row r="2088" ht="12.75" x14ac:dyDescent="0.2"/>
    <row r="2089" ht="12.75" x14ac:dyDescent="0.2"/>
    <row r="2090" ht="12.75" x14ac:dyDescent="0.2"/>
    <row r="2091" ht="12.75" x14ac:dyDescent="0.2"/>
    <row r="2092" ht="12.75" x14ac:dyDescent="0.2"/>
    <row r="2093" ht="12.75" x14ac:dyDescent="0.2"/>
    <row r="2094" ht="12.75" x14ac:dyDescent="0.2"/>
    <row r="2095" ht="12.75" x14ac:dyDescent="0.2"/>
    <row r="2096" ht="12.75" x14ac:dyDescent="0.2"/>
    <row r="2097" ht="12.75" x14ac:dyDescent="0.2"/>
    <row r="2098" ht="12.75" x14ac:dyDescent="0.2"/>
    <row r="2099" ht="12.75" x14ac:dyDescent="0.2"/>
    <row r="2100" ht="12.75" x14ac:dyDescent="0.2"/>
    <row r="2101" ht="12.75" x14ac:dyDescent="0.2"/>
    <row r="2102" ht="12.75" x14ac:dyDescent="0.2"/>
    <row r="2103" ht="12.75" x14ac:dyDescent="0.2"/>
    <row r="2104" ht="12.75" x14ac:dyDescent="0.2"/>
    <row r="2105" ht="12.75" x14ac:dyDescent="0.2"/>
    <row r="2106" ht="12.75" x14ac:dyDescent="0.2"/>
    <row r="2107" ht="12.75" x14ac:dyDescent="0.2"/>
    <row r="2108" ht="12.75" x14ac:dyDescent="0.2"/>
    <row r="2109" ht="12.75" x14ac:dyDescent="0.2"/>
    <row r="2110" ht="12.75" x14ac:dyDescent="0.2"/>
    <row r="2111" ht="12.75" x14ac:dyDescent="0.2"/>
    <row r="2112" ht="12.75" x14ac:dyDescent="0.2"/>
    <row r="2113" ht="12.75" x14ac:dyDescent="0.2"/>
    <row r="2114" ht="12.75" x14ac:dyDescent="0.2"/>
    <row r="2115" ht="12.75" x14ac:dyDescent="0.2"/>
    <row r="2116" ht="12.75" x14ac:dyDescent="0.2"/>
    <row r="2117" ht="12.75" x14ac:dyDescent="0.2"/>
    <row r="2118" ht="12.75" x14ac:dyDescent="0.2"/>
    <row r="2119" ht="12.75" x14ac:dyDescent="0.2"/>
    <row r="2120" ht="12.75" x14ac:dyDescent="0.2"/>
    <row r="2121" ht="12.75" x14ac:dyDescent="0.2"/>
    <row r="2122" ht="12.75" x14ac:dyDescent="0.2"/>
    <row r="2123" ht="12.75" x14ac:dyDescent="0.2"/>
    <row r="2124" ht="12.75" x14ac:dyDescent="0.2"/>
    <row r="2125" ht="12.75" x14ac:dyDescent="0.2"/>
    <row r="2126" ht="12.75" x14ac:dyDescent="0.2"/>
    <row r="2127" ht="12.75" x14ac:dyDescent="0.2"/>
    <row r="2128" ht="12.75" x14ac:dyDescent="0.2"/>
    <row r="2129" ht="12.75" x14ac:dyDescent="0.2"/>
    <row r="2130" ht="12.75" x14ac:dyDescent="0.2"/>
    <row r="2131" ht="12.75" x14ac:dyDescent="0.2"/>
    <row r="2132" ht="12.75" x14ac:dyDescent="0.2"/>
    <row r="2133" ht="12.75" x14ac:dyDescent="0.2"/>
    <row r="2134" ht="12.75" x14ac:dyDescent="0.2"/>
    <row r="2135" ht="12.75" x14ac:dyDescent="0.2"/>
    <row r="2136" ht="12.75" x14ac:dyDescent="0.2"/>
    <row r="2137" ht="12.75" x14ac:dyDescent="0.2"/>
    <row r="2138" ht="12.75" x14ac:dyDescent="0.2"/>
    <row r="2139" ht="12.75" x14ac:dyDescent="0.2"/>
    <row r="2140" ht="12.75" x14ac:dyDescent="0.2"/>
    <row r="2141" ht="12.75" x14ac:dyDescent="0.2"/>
    <row r="2142" ht="12.75" x14ac:dyDescent="0.2"/>
    <row r="2143" ht="12.75" x14ac:dyDescent="0.2"/>
    <row r="2144" ht="12.75" x14ac:dyDescent="0.2"/>
    <row r="2145" ht="12.75" x14ac:dyDescent="0.2"/>
    <row r="2146" ht="12.75" x14ac:dyDescent="0.2"/>
    <row r="2147" ht="12.75" x14ac:dyDescent="0.2"/>
    <row r="2148" ht="12.75" x14ac:dyDescent="0.2"/>
    <row r="2149" ht="12.75" x14ac:dyDescent="0.2"/>
    <row r="2150" ht="12.75" x14ac:dyDescent="0.2"/>
    <row r="2151" ht="12.75" x14ac:dyDescent="0.2"/>
    <row r="2152" ht="12.75" x14ac:dyDescent="0.2"/>
    <row r="2153" ht="12.75" x14ac:dyDescent="0.2"/>
    <row r="2154" ht="12.75" x14ac:dyDescent="0.2"/>
    <row r="2155" ht="12.75" x14ac:dyDescent="0.2"/>
    <row r="2156" ht="12.75" x14ac:dyDescent="0.2"/>
    <row r="2157" ht="12.75" x14ac:dyDescent="0.2"/>
    <row r="2158" ht="12.75" x14ac:dyDescent="0.2"/>
    <row r="2159" ht="12.75" x14ac:dyDescent="0.2"/>
    <row r="2160" ht="12.75" x14ac:dyDescent="0.2"/>
    <row r="2161" ht="12.75" x14ac:dyDescent="0.2"/>
    <row r="2162" ht="12.75" x14ac:dyDescent="0.2"/>
    <row r="2163" ht="12.75" x14ac:dyDescent="0.2"/>
    <row r="2164" ht="12.75" x14ac:dyDescent="0.2"/>
    <row r="2165" ht="12.75" x14ac:dyDescent="0.2"/>
    <row r="2166" ht="12.75" x14ac:dyDescent="0.2"/>
    <row r="2167" ht="12.75" x14ac:dyDescent="0.2"/>
    <row r="2168" ht="12.75" x14ac:dyDescent="0.2"/>
    <row r="2169" ht="12.75" x14ac:dyDescent="0.2"/>
    <row r="2170" ht="12.75" x14ac:dyDescent="0.2"/>
    <row r="2171" ht="12.75" x14ac:dyDescent="0.2"/>
    <row r="2172" ht="12.75" x14ac:dyDescent="0.2"/>
    <row r="2173" ht="12.75" x14ac:dyDescent="0.2"/>
    <row r="2174" ht="12.75" x14ac:dyDescent="0.2"/>
    <row r="2175" ht="12.75" x14ac:dyDescent="0.2"/>
    <row r="2176" ht="12.75" x14ac:dyDescent="0.2"/>
    <row r="2177" ht="12.75" x14ac:dyDescent="0.2"/>
    <row r="2178" ht="12.75" x14ac:dyDescent="0.2"/>
    <row r="2179" ht="12.75" x14ac:dyDescent="0.2"/>
    <row r="2180" ht="12.75" x14ac:dyDescent="0.2"/>
    <row r="2181" ht="12.75" x14ac:dyDescent="0.2"/>
    <row r="2182" ht="12.75" x14ac:dyDescent="0.2"/>
    <row r="2183" ht="12.75" x14ac:dyDescent="0.2"/>
    <row r="2184" ht="12.75" x14ac:dyDescent="0.2"/>
    <row r="2185" ht="12.75" x14ac:dyDescent="0.2"/>
    <row r="2186" ht="12.75" x14ac:dyDescent="0.2"/>
    <row r="2187" ht="12.75" x14ac:dyDescent="0.2"/>
    <row r="2188" ht="12.75" x14ac:dyDescent="0.2"/>
    <row r="2189" ht="12.75" x14ac:dyDescent="0.2"/>
    <row r="2190" ht="12.75" x14ac:dyDescent="0.2"/>
    <row r="2191" ht="12.75" x14ac:dyDescent="0.2"/>
    <row r="2192" ht="12.75" x14ac:dyDescent="0.2"/>
    <row r="2193" ht="12.75" x14ac:dyDescent="0.2"/>
    <row r="2194" ht="12.75" x14ac:dyDescent="0.2"/>
    <row r="2195" ht="12.75" x14ac:dyDescent="0.2"/>
    <row r="2196" ht="12.75" x14ac:dyDescent="0.2"/>
    <row r="2197" ht="12.75" x14ac:dyDescent="0.2"/>
    <row r="2198" ht="12.75" x14ac:dyDescent="0.2"/>
    <row r="2199" ht="12.75" x14ac:dyDescent="0.2"/>
    <row r="2200" ht="12.75" x14ac:dyDescent="0.2"/>
    <row r="2201" ht="12.75" x14ac:dyDescent="0.2"/>
    <row r="2202" ht="12.75" x14ac:dyDescent="0.2"/>
    <row r="2203" ht="12.75" x14ac:dyDescent="0.2"/>
    <row r="2204" ht="12.75" x14ac:dyDescent="0.2"/>
    <row r="2205" ht="12.75" x14ac:dyDescent="0.2"/>
    <row r="2206" ht="12.75" x14ac:dyDescent="0.2"/>
    <row r="2207" ht="12.75" x14ac:dyDescent="0.2"/>
    <row r="2208" ht="12.75" x14ac:dyDescent="0.2"/>
    <row r="2209" ht="12.75" x14ac:dyDescent="0.2"/>
    <row r="2210" ht="12.75" x14ac:dyDescent="0.2"/>
    <row r="2211" ht="12.75" x14ac:dyDescent="0.2"/>
    <row r="2212" ht="12.75" x14ac:dyDescent="0.2"/>
    <row r="2213" ht="12.75" x14ac:dyDescent="0.2"/>
    <row r="2214" ht="12.75" x14ac:dyDescent="0.2"/>
    <row r="2215" ht="12.75" x14ac:dyDescent="0.2"/>
    <row r="2216" ht="12.75" x14ac:dyDescent="0.2"/>
    <row r="2217" ht="12.75" x14ac:dyDescent="0.2"/>
    <row r="2218" ht="12.75" x14ac:dyDescent="0.2"/>
    <row r="2219" ht="12.75" x14ac:dyDescent="0.2"/>
    <row r="2220" ht="12.75" x14ac:dyDescent="0.2"/>
    <row r="2221" ht="12.75" x14ac:dyDescent="0.2"/>
    <row r="2222" ht="12.75" x14ac:dyDescent="0.2"/>
    <row r="2223" ht="12.75" x14ac:dyDescent="0.2"/>
    <row r="2224" ht="12.75" x14ac:dyDescent="0.2"/>
    <row r="2225" ht="12.75" x14ac:dyDescent="0.2"/>
    <row r="2226" ht="12.75" x14ac:dyDescent="0.2"/>
    <row r="2227" ht="12.75" x14ac:dyDescent="0.2"/>
    <row r="2228" ht="12.75" x14ac:dyDescent="0.2"/>
    <row r="2229" ht="12.75" x14ac:dyDescent="0.2"/>
    <row r="2230" ht="12.75" x14ac:dyDescent="0.2"/>
    <row r="2231" ht="12.75" x14ac:dyDescent="0.2"/>
    <row r="2232" ht="12.75" x14ac:dyDescent="0.2"/>
    <row r="2233" ht="12.75" x14ac:dyDescent="0.2"/>
    <row r="2234" ht="12.75" x14ac:dyDescent="0.2"/>
    <row r="2235" ht="12.75" x14ac:dyDescent="0.2"/>
    <row r="2236" ht="12.75" x14ac:dyDescent="0.2"/>
    <row r="2237" ht="12.75" x14ac:dyDescent="0.2"/>
    <row r="2238" ht="12.75" x14ac:dyDescent="0.2"/>
    <row r="2239" ht="12.75" x14ac:dyDescent="0.2"/>
    <row r="2240" ht="12.75" x14ac:dyDescent="0.2"/>
    <row r="2241" ht="12.75" x14ac:dyDescent="0.2"/>
    <row r="2242" ht="12.75" x14ac:dyDescent="0.2"/>
    <row r="2243" ht="12.75" x14ac:dyDescent="0.2"/>
    <row r="2244" ht="12.75" x14ac:dyDescent="0.2"/>
    <row r="2245" ht="12.75" x14ac:dyDescent="0.2"/>
    <row r="2246" ht="12.75" x14ac:dyDescent="0.2"/>
    <row r="2247" ht="12.75" x14ac:dyDescent="0.2"/>
    <row r="2248" ht="12.75" x14ac:dyDescent="0.2"/>
    <row r="2249" ht="12.75" x14ac:dyDescent="0.2"/>
    <row r="2250" ht="12.75" x14ac:dyDescent="0.2"/>
    <row r="2251" ht="12.75" x14ac:dyDescent="0.2"/>
    <row r="2252" ht="12.75" x14ac:dyDescent="0.2"/>
    <row r="2253" ht="12.75" x14ac:dyDescent="0.2"/>
    <row r="2254" ht="12.75" x14ac:dyDescent="0.2"/>
    <row r="2255" ht="12.75" x14ac:dyDescent="0.2"/>
    <row r="2256" ht="12.75" x14ac:dyDescent="0.2"/>
    <row r="2257" ht="12.75" x14ac:dyDescent="0.2"/>
    <row r="2258" ht="12.75" x14ac:dyDescent="0.2"/>
    <row r="2259" ht="12.75" x14ac:dyDescent="0.2"/>
    <row r="2260" ht="12.75" x14ac:dyDescent="0.2"/>
    <row r="2261" ht="12.75" x14ac:dyDescent="0.2"/>
    <row r="2262" ht="12.75" x14ac:dyDescent="0.2"/>
    <row r="2263" ht="12.75" x14ac:dyDescent="0.2"/>
    <row r="2264" ht="12.75" x14ac:dyDescent="0.2"/>
    <row r="2265" ht="12.75" x14ac:dyDescent="0.2"/>
    <row r="2266" ht="12.75" x14ac:dyDescent="0.2"/>
    <row r="2267" ht="12.75" x14ac:dyDescent="0.2"/>
    <row r="2268" ht="12.75" x14ac:dyDescent="0.2"/>
    <row r="2269" ht="12.75" x14ac:dyDescent="0.2"/>
    <row r="2270" ht="12.75" x14ac:dyDescent="0.2"/>
    <row r="2271" ht="12.75" x14ac:dyDescent="0.2"/>
    <row r="2272" ht="12.75" x14ac:dyDescent="0.2"/>
    <row r="2273" ht="12.75" x14ac:dyDescent="0.2"/>
    <row r="2274" ht="12.75" x14ac:dyDescent="0.2"/>
    <row r="2275" ht="12.75" x14ac:dyDescent="0.2"/>
    <row r="2276" ht="12.75" x14ac:dyDescent="0.2"/>
    <row r="2277" ht="12.75" x14ac:dyDescent="0.2"/>
    <row r="2278" ht="12.75" x14ac:dyDescent="0.2"/>
    <row r="2279" ht="12.75" x14ac:dyDescent="0.2"/>
    <row r="2280" ht="12.75" x14ac:dyDescent="0.2"/>
    <row r="2281" ht="12.75" x14ac:dyDescent="0.2"/>
    <row r="2282" ht="12.75" x14ac:dyDescent="0.2"/>
    <row r="2283" ht="12.75" x14ac:dyDescent="0.2"/>
    <row r="2284" ht="12.75" x14ac:dyDescent="0.2"/>
    <row r="2285" ht="12.75" x14ac:dyDescent="0.2"/>
    <row r="2286" ht="12.75" x14ac:dyDescent="0.2"/>
    <row r="2287" ht="12.75" x14ac:dyDescent="0.2"/>
    <row r="2288" ht="12.75" x14ac:dyDescent="0.2"/>
    <row r="2289" ht="12.75" x14ac:dyDescent="0.2"/>
    <row r="2290" ht="12.75" x14ac:dyDescent="0.2"/>
    <row r="2291" ht="12.75" x14ac:dyDescent="0.2"/>
    <row r="2292" ht="12.75" x14ac:dyDescent="0.2"/>
    <row r="2293" ht="12.75" x14ac:dyDescent="0.2"/>
    <row r="2294" ht="12.75" x14ac:dyDescent="0.2"/>
    <row r="2295" ht="12.75" x14ac:dyDescent="0.2"/>
    <row r="2296" ht="12.75" x14ac:dyDescent="0.2"/>
    <row r="2297" ht="12.75" x14ac:dyDescent="0.2"/>
    <row r="2298" ht="12.75" x14ac:dyDescent="0.2"/>
    <row r="2299" ht="12.75" x14ac:dyDescent="0.2"/>
    <row r="2300" ht="12.75" x14ac:dyDescent="0.2"/>
    <row r="2301" ht="12.75" x14ac:dyDescent="0.2"/>
    <row r="2302" ht="12.75" x14ac:dyDescent="0.2"/>
    <row r="2303" ht="12.75" x14ac:dyDescent="0.2"/>
    <row r="2304" ht="12.75" x14ac:dyDescent="0.2"/>
    <row r="2305" ht="12.75" x14ac:dyDescent="0.2"/>
    <row r="2306" ht="12.75" x14ac:dyDescent="0.2"/>
    <row r="2307" ht="12.75" x14ac:dyDescent="0.2"/>
    <row r="2308" ht="12.75" x14ac:dyDescent="0.2"/>
    <row r="2309" ht="12.75" x14ac:dyDescent="0.2"/>
    <row r="2310" ht="12.75" x14ac:dyDescent="0.2"/>
    <row r="2311" ht="12.75" x14ac:dyDescent="0.2"/>
    <row r="2312" ht="12.75" x14ac:dyDescent="0.2"/>
    <row r="2313" ht="12.75" x14ac:dyDescent="0.2"/>
    <row r="2314" ht="12.75" x14ac:dyDescent="0.2"/>
    <row r="2315" ht="12.75" x14ac:dyDescent="0.2"/>
    <row r="2316" ht="12.75" x14ac:dyDescent="0.2"/>
    <row r="2317" ht="12.75" x14ac:dyDescent="0.2"/>
    <row r="2318" ht="12.75" x14ac:dyDescent="0.2"/>
    <row r="2319" ht="12.75" x14ac:dyDescent="0.2"/>
    <row r="2320" ht="12.75" x14ac:dyDescent="0.2"/>
    <row r="2321" ht="12.75" x14ac:dyDescent="0.2"/>
    <row r="2322" ht="12.75" x14ac:dyDescent="0.2"/>
    <row r="2323" ht="12.75" x14ac:dyDescent="0.2"/>
    <row r="2324" ht="12.75" x14ac:dyDescent="0.2"/>
    <row r="2325" ht="12.75" x14ac:dyDescent="0.2"/>
    <row r="2326" ht="12.75" x14ac:dyDescent="0.2"/>
    <row r="2327" ht="12.75" x14ac:dyDescent="0.2"/>
    <row r="2328" ht="12.75" x14ac:dyDescent="0.2"/>
    <row r="2329" ht="12.75" x14ac:dyDescent="0.2"/>
    <row r="2330" ht="12.75" x14ac:dyDescent="0.2"/>
    <row r="2331" ht="12.75" x14ac:dyDescent="0.2"/>
    <row r="2332" ht="12.75" x14ac:dyDescent="0.2"/>
    <row r="2333" ht="12.75" x14ac:dyDescent="0.2"/>
    <row r="2334" ht="12.75" x14ac:dyDescent="0.2"/>
    <row r="2335" ht="12.75" x14ac:dyDescent="0.2"/>
    <row r="2336" ht="12.75" x14ac:dyDescent="0.2"/>
    <row r="2337" ht="12.75" x14ac:dyDescent="0.2"/>
    <row r="2338" ht="12.75" x14ac:dyDescent="0.2"/>
    <row r="2339" ht="12.75" x14ac:dyDescent="0.2"/>
    <row r="2340" ht="12.75" x14ac:dyDescent="0.2"/>
    <row r="2341" ht="12.75" x14ac:dyDescent="0.2"/>
    <row r="2342" ht="12.75" x14ac:dyDescent="0.2"/>
    <row r="2343" ht="12.75" x14ac:dyDescent="0.2"/>
    <row r="2344" ht="12.75" x14ac:dyDescent="0.2"/>
    <row r="2345" ht="12.75" x14ac:dyDescent="0.2"/>
    <row r="2346" ht="12.75" x14ac:dyDescent="0.2"/>
    <row r="2347" ht="12.75" x14ac:dyDescent="0.2"/>
    <row r="2348" ht="12.75" x14ac:dyDescent="0.2"/>
    <row r="2349" ht="12.75" x14ac:dyDescent="0.2"/>
    <row r="2350" ht="12.75" x14ac:dyDescent="0.2"/>
    <row r="2351" ht="12.75" x14ac:dyDescent="0.2"/>
    <row r="2352" ht="12.75" x14ac:dyDescent="0.2"/>
    <row r="2353" ht="12.75" x14ac:dyDescent="0.2"/>
    <row r="2354" ht="12.75" x14ac:dyDescent="0.2"/>
    <row r="2355" ht="12.75" x14ac:dyDescent="0.2"/>
    <row r="2356" ht="12.75" x14ac:dyDescent="0.2"/>
    <row r="2357" ht="12.75" x14ac:dyDescent="0.2"/>
    <row r="2358" ht="12.75" x14ac:dyDescent="0.2"/>
    <row r="2359" ht="12.75" x14ac:dyDescent="0.2"/>
    <row r="2360" ht="12.75" x14ac:dyDescent="0.2"/>
    <row r="2361" ht="12.75" x14ac:dyDescent="0.2"/>
    <row r="2362" ht="12.75" x14ac:dyDescent="0.2"/>
    <row r="2363" ht="12.75" x14ac:dyDescent="0.2"/>
    <row r="2364" ht="12.75" x14ac:dyDescent="0.2"/>
    <row r="2365" ht="12.75" x14ac:dyDescent="0.2"/>
    <row r="2366" ht="12.75" x14ac:dyDescent="0.2"/>
    <row r="2367" ht="12.75" x14ac:dyDescent="0.2"/>
    <row r="2368" ht="12.75" x14ac:dyDescent="0.2"/>
    <row r="2369" ht="12.75" x14ac:dyDescent="0.2"/>
    <row r="2370" ht="12.75" x14ac:dyDescent="0.2"/>
    <row r="2371" ht="12.75" x14ac:dyDescent="0.2"/>
    <row r="2372" ht="12.75" x14ac:dyDescent="0.2"/>
    <row r="2373" ht="12.75" x14ac:dyDescent="0.2"/>
    <row r="2374" ht="12.75" x14ac:dyDescent="0.2"/>
    <row r="2375" ht="12.75" x14ac:dyDescent="0.2"/>
    <row r="2376" ht="12.75" x14ac:dyDescent="0.2"/>
    <row r="2377" ht="12.75" x14ac:dyDescent="0.2"/>
    <row r="2378" ht="12.75" x14ac:dyDescent="0.2"/>
    <row r="2379" ht="12.75" x14ac:dyDescent="0.2"/>
    <row r="2380" ht="12.75" x14ac:dyDescent="0.2"/>
    <row r="2381" ht="12.75" x14ac:dyDescent="0.2"/>
    <row r="2382" ht="12.75" x14ac:dyDescent="0.2"/>
    <row r="2383" ht="12.75" x14ac:dyDescent="0.2"/>
    <row r="2384" ht="12.75" x14ac:dyDescent="0.2"/>
    <row r="2385" ht="12.75" x14ac:dyDescent="0.2"/>
    <row r="2386" ht="12.75" x14ac:dyDescent="0.2"/>
    <row r="2387" ht="12.75" x14ac:dyDescent="0.2"/>
    <row r="2388" ht="12.75" x14ac:dyDescent="0.2"/>
    <row r="2389" ht="12.75" x14ac:dyDescent="0.2"/>
    <row r="2390" ht="12.75" x14ac:dyDescent="0.2"/>
    <row r="2391" ht="12.75" x14ac:dyDescent="0.2"/>
    <row r="2392" ht="12.75" x14ac:dyDescent="0.2"/>
    <row r="2393" ht="12.75" x14ac:dyDescent="0.2"/>
    <row r="2394" ht="12.75" x14ac:dyDescent="0.2"/>
    <row r="2395" ht="12.75" x14ac:dyDescent="0.2"/>
    <row r="2396" ht="12.75" x14ac:dyDescent="0.2"/>
    <row r="2397" ht="12.75" x14ac:dyDescent="0.2"/>
    <row r="2398" ht="12.75" x14ac:dyDescent="0.2"/>
    <row r="2399" ht="12.75" x14ac:dyDescent="0.2"/>
    <row r="2400" ht="12.75" x14ac:dyDescent="0.2"/>
    <row r="2401" ht="12.75" x14ac:dyDescent="0.2"/>
    <row r="2402" ht="12.75" x14ac:dyDescent="0.2"/>
    <row r="2403" ht="12.75" x14ac:dyDescent="0.2"/>
    <row r="2404" ht="12.75" x14ac:dyDescent="0.2"/>
    <row r="2405" ht="12.75" x14ac:dyDescent="0.2"/>
    <row r="2406" ht="12.75" x14ac:dyDescent="0.2"/>
    <row r="2407" ht="12.75" x14ac:dyDescent="0.2"/>
    <row r="2408" ht="12.75" x14ac:dyDescent="0.2"/>
    <row r="2409" ht="12.75" x14ac:dyDescent="0.2"/>
    <row r="2410" ht="12.75" x14ac:dyDescent="0.2"/>
    <row r="2411" ht="12.75" x14ac:dyDescent="0.2"/>
    <row r="2412" ht="12.75" x14ac:dyDescent="0.2"/>
    <row r="2413" ht="12.75" x14ac:dyDescent="0.2"/>
    <row r="2414" ht="12.75" x14ac:dyDescent="0.2"/>
    <row r="2415" ht="12.75" x14ac:dyDescent="0.2"/>
    <row r="2416" ht="12.75" x14ac:dyDescent="0.2"/>
    <row r="2417" ht="12.75" x14ac:dyDescent="0.2"/>
    <row r="2418" ht="12.75" x14ac:dyDescent="0.2"/>
    <row r="2419" ht="12.75" x14ac:dyDescent="0.2"/>
    <row r="2420" ht="12.75" x14ac:dyDescent="0.2"/>
    <row r="2421" ht="12.75" x14ac:dyDescent="0.2"/>
    <row r="2422" ht="12.75" x14ac:dyDescent="0.2"/>
    <row r="2423" ht="12.75" x14ac:dyDescent="0.2"/>
    <row r="2424" ht="12.75" x14ac:dyDescent="0.2"/>
    <row r="2425" ht="12.75" x14ac:dyDescent="0.2"/>
    <row r="2426" ht="12.75" x14ac:dyDescent="0.2"/>
    <row r="2427" ht="12.75" x14ac:dyDescent="0.2"/>
    <row r="2428" ht="12.75" x14ac:dyDescent="0.2"/>
    <row r="2429" ht="12.75" x14ac:dyDescent="0.2"/>
    <row r="2430" ht="12.75" x14ac:dyDescent="0.2"/>
    <row r="2431" ht="12.75" x14ac:dyDescent="0.2"/>
    <row r="2432" ht="12.75" x14ac:dyDescent="0.2"/>
    <row r="2433" ht="12.75" x14ac:dyDescent="0.2"/>
    <row r="2434" ht="12.75" x14ac:dyDescent="0.2"/>
    <row r="2435" ht="12.75" x14ac:dyDescent="0.2"/>
    <row r="2436" ht="12.75" x14ac:dyDescent="0.2"/>
    <row r="2437" ht="12.75" x14ac:dyDescent="0.2"/>
    <row r="2438" ht="12.75" x14ac:dyDescent="0.2"/>
    <row r="2439" ht="12.75" x14ac:dyDescent="0.2"/>
    <row r="2440" ht="12.75" x14ac:dyDescent="0.2"/>
    <row r="2441" ht="12.75" x14ac:dyDescent="0.2"/>
    <row r="2442" ht="12.75" x14ac:dyDescent="0.2"/>
    <row r="2443" ht="12.75" x14ac:dyDescent="0.2"/>
    <row r="2444" ht="12.75" x14ac:dyDescent="0.2"/>
    <row r="2445" ht="12.75" x14ac:dyDescent="0.2"/>
    <row r="2446" ht="12.75" x14ac:dyDescent="0.2"/>
    <row r="2447" ht="12.75" x14ac:dyDescent="0.2"/>
    <row r="2448" ht="12.75" x14ac:dyDescent="0.2"/>
    <row r="2449" ht="12.75" x14ac:dyDescent="0.2"/>
    <row r="2450" ht="12.75" x14ac:dyDescent="0.2"/>
    <row r="2451" ht="12.75" x14ac:dyDescent="0.2"/>
    <row r="2452" ht="12.75" x14ac:dyDescent="0.2"/>
    <row r="2453" ht="12.75" x14ac:dyDescent="0.2"/>
    <row r="2454" ht="12.75" x14ac:dyDescent="0.2"/>
    <row r="2455" ht="12.75" x14ac:dyDescent="0.2"/>
    <row r="2456" ht="12.75" x14ac:dyDescent="0.2"/>
    <row r="2457" ht="12.75" x14ac:dyDescent="0.2"/>
    <row r="2458" ht="12.75" x14ac:dyDescent="0.2"/>
    <row r="2459" ht="12.75" x14ac:dyDescent="0.2"/>
    <row r="2460" ht="12.75" x14ac:dyDescent="0.2"/>
    <row r="2461" ht="12.75" x14ac:dyDescent="0.2"/>
    <row r="2462" ht="12.75" x14ac:dyDescent="0.2"/>
    <row r="2463" ht="12.75" x14ac:dyDescent="0.2"/>
    <row r="2464" ht="12.75" x14ac:dyDescent="0.2"/>
    <row r="2465" ht="12.75" x14ac:dyDescent="0.2"/>
    <row r="2466" ht="12.75" x14ac:dyDescent="0.2"/>
    <row r="2467" ht="12.75" x14ac:dyDescent="0.2"/>
    <row r="2468" ht="12.75" x14ac:dyDescent="0.2"/>
    <row r="2469" ht="12.75" x14ac:dyDescent="0.2"/>
    <row r="2470" ht="12.75" x14ac:dyDescent="0.2"/>
    <row r="2471" ht="12.75" x14ac:dyDescent="0.2"/>
    <row r="2472" ht="12.75" x14ac:dyDescent="0.2"/>
    <row r="2473" ht="12.75" x14ac:dyDescent="0.2"/>
    <row r="2474" ht="12.75" x14ac:dyDescent="0.2"/>
    <row r="2475" ht="12.75" x14ac:dyDescent="0.2"/>
    <row r="2476" ht="12.75" x14ac:dyDescent="0.2"/>
    <row r="2477" ht="12.75" x14ac:dyDescent="0.2"/>
    <row r="2478" ht="12.75" x14ac:dyDescent="0.2"/>
    <row r="2479" ht="12.75" x14ac:dyDescent="0.2"/>
    <row r="2480" ht="12.75" x14ac:dyDescent="0.2"/>
    <row r="2481" ht="12.75" x14ac:dyDescent="0.2"/>
    <row r="2482" ht="12.75" x14ac:dyDescent="0.2"/>
    <row r="2483" ht="12.75" x14ac:dyDescent="0.2"/>
    <row r="2484" ht="12.75" x14ac:dyDescent="0.2"/>
    <row r="2485" ht="12.75" x14ac:dyDescent="0.2"/>
    <row r="2486" ht="12.75" x14ac:dyDescent="0.2"/>
    <row r="2487" ht="12.75" x14ac:dyDescent="0.2"/>
    <row r="2488" ht="12.75" x14ac:dyDescent="0.2"/>
    <row r="2489" ht="12.75" x14ac:dyDescent="0.2"/>
    <row r="2490" ht="12.75" x14ac:dyDescent="0.2"/>
    <row r="2491" ht="12.75" x14ac:dyDescent="0.2"/>
    <row r="2492" ht="12.75" x14ac:dyDescent="0.2"/>
    <row r="2493" ht="12.75" x14ac:dyDescent="0.2"/>
    <row r="2494" ht="12.75" x14ac:dyDescent="0.2"/>
    <row r="2495" ht="12.75" x14ac:dyDescent="0.2"/>
    <row r="2496" ht="12.75" x14ac:dyDescent="0.2"/>
    <row r="2497" ht="12.75" x14ac:dyDescent="0.2"/>
    <row r="2498" ht="12.75" x14ac:dyDescent="0.2"/>
    <row r="2499" ht="12.75" x14ac:dyDescent="0.2"/>
    <row r="2500" ht="12.75" x14ac:dyDescent="0.2"/>
    <row r="2501" ht="12.75" x14ac:dyDescent="0.2"/>
    <row r="2502" ht="12.75" x14ac:dyDescent="0.2"/>
    <row r="2503" ht="12.75" x14ac:dyDescent="0.2"/>
    <row r="2504" ht="12.75" x14ac:dyDescent="0.2"/>
    <row r="2505" ht="12.75" x14ac:dyDescent="0.2"/>
    <row r="2506" ht="12.75" x14ac:dyDescent="0.2"/>
    <row r="2507" ht="12.75" x14ac:dyDescent="0.2"/>
    <row r="2508" ht="12.75" x14ac:dyDescent="0.2"/>
    <row r="2509" ht="12.75" x14ac:dyDescent="0.2"/>
    <row r="2510" ht="12.75" x14ac:dyDescent="0.2"/>
    <row r="2511" ht="12.75" x14ac:dyDescent="0.2"/>
    <row r="2512" ht="12.75" x14ac:dyDescent="0.2"/>
    <row r="2513" ht="12.75" x14ac:dyDescent="0.2"/>
    <row r="2514" ht="12.75" x14ac:dyDescent="0.2"/>
    <row r="2515" ht="12.75" x14ac:dyDescent="0.2"/>
    <row r="2516" ht="12.75" x14ac:dyDescent="0.2"/>
    <row r="2517" ht="12.75" x14ac:dyDescent="0.2"/>
    <row r="2518" ht="12.75" x14ac:dyDescent="0.2"/>
    <row r="2519" ht="12.75" x14ac:dyDescent="0.2"/>
    <row r="2520" ht="12.75" x14ac:dyDescent="0.2"/>
    <row r="2521" ht="12.75" x14ac:dyDescent="0.2"/>
    <row r="2522" ht="12.75" x14ac:dyDescent="0.2"/>
    <row r="2523" ht="12.75" x14ac:dyDescent="0.2"/>
    <row r="2524" ht="12.75" x14ac:dyDescent="0.2"/>
    <row r="2525" ht="12.75" x14ac:dyDescent="0.2"/>
    <row r="2526" ht="12.75" x14ac:dyDescent="0.2"/>
    <row r="2527" ht="12.75" x14ac:dyDescent="0.2"/>
    <row r="2528" ht="12.75" x14ac:dyDescent="0.2"/>
    <row r="2529" ht="12.75" x14ac:dyDescent="0.2"/>
    <row r="2530" ht="12.75" x14ac:dyDescent="0.2"/>
    <row r="2531" ht="12.75" x14ac:dyDescent="0.2"/>
    <row r="2532" ht="12.75" x14ac:dyDescent="0.2"/>
    <row r="2533" ht="12.75" x14ac:dyDescent="0.2"/>
    <row r="2534" ht="12.75" x14ac:dyDescent="0.2"/>
    <row r="2535" ht="12.75" x14ac:dyDescent="0.2"/>
    <row r="2536" ht="12.75" x14ac:dyDescent="0.2"/>
    <row r="2537" ht="12.75" x14ac:dyDescent="0.2"/>
    <row r="2538" ht="12.75" x14ac:dyDescent="0.2"/>
    <row r="2539" ht="12.75" x14ac:dyDescent="0.2"/>
    <row r="2540" ht="12.75" x14ac:dyDescent="0.2"/>
    <row r="2541" ht="12.75" x14ac:dyDescent="0.2"/>
    <row r="2542" ht="12.75" x14ac:dyDescent="0.2"/>
    <row r="2543" ht="12.75" x14ac:dyDescent="0.2"/>
    <row r="2544" ht="12.75" x14ac:dyDescent="0.2"/>
    <row r="2545" ht="12.75" x14ac:dyDescent="0.2"/>
    <row r="2546" ht="12.75" x14ac:dyDescent="0.2"/>
    <row r="2547" ht="12.75" x14ac:dyDescent="0.2"/>
    <row r="2548" ht="12.75" x14ac:dyDescent="0.2"/>
    <row r="2549" ht="12.75" x14ac:dyDescent="0.2"/>
    <row r="2550" ht="12.75" x14ac:dyDescent="0.2"/>
    <row r="2551" ht="12.75" x14ac:dyDescent="0.2"/>
    <row r="2552" ht="12.75" x14ac:dyDescent="0.2"/>
    <row r="2553" ht="12.75" x14ac:dyDescent="0.2"/>
    <row r="2554" ht="12.75" x14ac:dyDescent="0.2"/>
    <row r="2555" ht="12.75" x14ac:dyDescent="0.2"/>
    <row r="2556" ht="12.75" x14ac:dyDescent="0.2"/>
    <row r="2557" ht="12.75" x14ac:dyDescent="0.2"/>
    <row r="2558" ht="12.75" x14ac:dyDescent="0.2"/>
    <row r="2559" ht="12.75" x14ac:dyDescent="0.2"/>
    <row r="2560" ht="12.75" x14ac:dyDescent="0.2"/>
    <row r="2561" ht="12.75" x14ac:dyDescent="0.2"/>
    <row r="2562" ht="12.75" x14ac:dyDescent="0.2"/>
    <row r="2563" ht="12.75" x14ac:dyDescent="0.2"/>
    <row r="2564" ht="12.75" x14ac:dyDescent="0.2"/>
    <row r="2565" ht="12.75" x14ac:dyDescent="0.2"/>
    <row r="2566" ht="12.75" x14ac:dyDescent="0.2"/>
    <row r="2567" ht="12.75" x14ac:dyDescent="0.2"/>
    <row r="2568" ht="12.75" x14ac:dyDescent="0.2"/>
    <row r="2569" ht="12.75" x14ac:dyDescent="0.2"/>
    <row r="2570" ht="12.75" x14ac:dyDescent="0.2"/>
    <row r="2571" ht="12.75" x14ac:dyDescent="0.2"/>
    <row r="2572" ht="12.75" x14ac:dyDescent="0.2"/>
    <row r="2573" ht="12.75" x14ac:dyDescent="0.2"/>
    <row r="2574" ht="12.75" x14ac:dyDescent="0.2"/>
    <row r="2575" ht="12.75" x14ac:dyDescent="0.2"/>
    <row r="2576" ht="12.75" x14ac:dyDescent="0.2"/>
    <row r="2577" ht="12.75" x14ac:dyDescent="0.2"/>
    <row r="2578" ht="12.75" x14ac:dyDescent="0.2"/>
    <row r="2579" ht="12.75" x14ac:dyDescent="0.2"/>
    <row r="2580" ht="12.75" x14ac:dyDescent="0.2"/>
    <row r="2581" ht="12.75" x14ac:dyDescent="0.2"/>
    <row r="2582" ht="12.75" x14ac:dyDescent="0.2"/>
    <row r="2583" ht="12.75" x14ac:dyDescent="0.2"/>
    <row r="2584" ht="12.75" x14ac:dyDescent="0.2"/>
    <row r="2585" ht="12.75" x14ac:dyDescent="0.2"/>
    <row r="2586" ht="12.75" x14ac:dyDescent="0.2"/>
    <row r="2587" ht="12.75" x14ac:dyDescent="0.2"/>
    <row r="2588" ht="12.75" x14ac:dyDescent="0.2"/>
    <row r="2589" ht="12.75" x14ac:dyDescent="0.2"/>
    <row r="2590" ht="12.75" x14ac:dyDescent="0.2"/>
    <row r="2591" ht="12.75" x14ac:dyDescent="0.2"/>
    <row r="2592" ht="12.75" x14ac:dyDescent="0.2"/>
    <row r="2593" ht="12.75" x14ac:dyDescent="0.2"/>
    <row r="2594" ht="12.75" x14ac:dyDescent="0.2"/>
    <row r="2595" ht="12.75" x14ac:dyDescent="0.2"/>
    <row r="2596" ht="12.75" x14ac:dyDescent="0.2"/>
    <row r="2597" ht="12.75" x14ac:dyDescent="0.2"/>
    <row r="2598" ht="12.75" x14ac:dyDescent="0.2"/>
    <row r="2599" ht="12.75" x14ac:dyDescent="0.2"/>
    <row r="2600" ht="12.75" x14ac:dyDescent="0.2"/>
    <row r="2601" ht="12.75" x14ac:dyDescent="0.2"/>
    <row r="2602" ht="12.75" x14ac:dyDescent="0.2"/>
    <row r="2603" ht="12.75" x14ac:dyDescent="0.2"/>
    <row r="2604" ht="12.75" x14ac:dyDescent="0.2"/>
    <row r="2605" ht="12.75" x14ac:dyDescent="0.2"/>
    <row r="2606" ht="12.75" x14ac:dyDescent="0.2"/>
    <row r="2607" ht="12.75" x14ac:dyDescent="0.2"/>
    <row r="2608" ht="12.75" x14ac:dyDescent="0.2"/>
    <row r="2609" ht="12.75" x14ac:dyDescent="0.2"/>
    <row r="2610" ht="12.75" x14ac:dyDescent="0.2"/>
    <row r="2611" ht="12.75" x14ac:dyDescent="0.2"/>
    <row r="2612" ht="12.75" x14ac:dyDescent="0.2"/>
    <row r="2613" ht="12.75" x14ac:dyDescent="0.2"/>
    <row r="2614" ht="12.75" x14ac:dyDescent="0.2"/>
    <row r="2615" ht="12.75" x14ac:dyDescent="0.2"/>
    <row r="2616" ht="12.75" x14ac:dyDescent="0.2"/>
    <row r="2617" ht="12.75" x14ac:dyDescent="0.2"/>
    <row r="2618" ht="12.75" x14ac:dyDescent="0.2"/>
    <row r="2619" ht="12.75" x14ac:dyDescent="0.2"/>
    <row r="2620" ht="12.75" x14ac:dyDescent="0.2"/>
    <row r="2621" ht="12.75" x14ac:dyDescent="0.2"/>
    <row r="2622" ht="12.75" x14ac:dyDescent="0.2"/>
    <row r="2623" ht="12.75" x14ac:dyDescent="0.2"/>
    <row r="2624" ht="12.75" x14ac:dyDescent="0.2"/>
    <row r="2625" ht="12.75" x14ac:dyDescent="0.2"/>
    <row r="2626" ht="12.75" x14ac:dyDescent="0.2"/>
    <row r="2627" ht="12.75" x14ac:dyDescent="0.2"/>
    <row r="2628" ht="12.75" x14ac:dyDescent="0.2"/>
    <row r="2629" ht="12.75" x14ac:dyDescent="0.2"/>
    <row r="2630" ht="12.75" x14ac:dyDescent="0.2"/>
    <row r="2631" ht="12.75" x14ac:dyDescent="0.2"/>
    <row r="2632" ht="12.75" x14ac:dyDescent="0.2"/>
    <row r="2633" ht="12.75" x14ac:dyDescent="0.2"/>
    <row r="2634" ht="12.75" x14ac:dyDescent="0.2"/>
    <row r="2635" ht="12.75" x14ac:dyDescent="0.2"/>
    <row r="2636" ht="12.75" x14ac:dyDescent="0.2"/>
    <row r="2637" ht="12.75" x14ac:dyDescent="0.2"/>
    <row r="2638" ht="12.75" x14ac:dyDescent="0.2"/>
    <row r="2639" ht="12.75" x14ac:dyDescent="0.2"/>
    <row r="2640" ht="12.75" x14ac:dyDescent="0.2"/>
    <row r="2641" ht="12.75" x14ac:dyDescent="0.2"/>
    <row r="2642" ht="12.75" x14ac:dyDescent="0.2"/>
    <row r="2643" ht="12.75" x14ac:dyDescent="0.2"/>
    <row r="2644" ht="12.75" x14ac:dyDescent="0.2"/>
    <row r="2645" ht="12.75" x14ac:dyDescent="0.2"/>
    <row r="2646" ht="12.75" x14ac:dyDescent="0.2"/>
    <row r="2647" ht="12.75" x14ac:dyDescent="0.2"/>
    <row r="2648" ht="12.75" x14ac:dyDescent="0.2"/>
    <row r="2649" ht="12.75" x14ac:dyDescent="0.2"/>
    <row r="2650" ht="12.75" x14ac:dyDescent="0.2"/>
    <row r="2651" ht="12.75" x14ac:dyDescent="0.2"/>
    <row r="2652" ht="12.75" x14ac:dyDescent="0.2"/>
    <row r="2653" ht="12.75" x14ac:dyDescent="0.2"/>
    <row r="2654" ht="12.75" x14ac:dyDescent="0.2"/>
    <row r="2655" ht="12.75" x14ac:dyDescent="0.2"/>
    <row r="2656" ht="12.75" x14ac:dyDescent="0.2"/>
    <row r="2657" ht="12.75" x14ac:dyDescent="0.2"/>
    <row r="2658" ht="12.75" x14ac:dyDescent="0.2"/>
    <row r="2659" ht="12.75" x14ac:dyDescent="0.2"/>
    <row r="2660" ht="12.75" x14ac:dyDescent="0.2"/>
    <row r="2661" ht="12.75" x14ac:dyDescent="0.2"/>
    <row r="2662" ht="12.75" x14ac:dyDescent="0.2"/>
    <row r="2663" ht="12.75" x14ac:dyDescent="0.2"/>
    <row r="2664" ht="12.75" x14ac:dyDescent="0.2"/>
    <row r="2665" ht="12.75" x14ac:dyDescent="0.2"/>
    <row r="2666" ht="12.75" x14ac:dyDescent="0.2"/>
    <row r="2667" ht="12.75" x14ac:dyDescent="0.2"/>
    <row r="2668" ht="12.75" x14ac:dyDescent="0.2"/>
    <row r="2669" ht="12.75" x14ac:dyDescent="0.2"/>
    <row r="2670" ht="12.75" x14ac:dyDescent="0.2"/>
    <row r="2671" ht="12.75" x14ac:dyDescent="0.2"/>
    <row r="2672" ht="12.75" x14ac:dyDescent="0.2"/>
    <row r="2673" ht="12.75" x14ac:dyDescent="0.2"/>
    <row r="2674" ht="12.75" x14ac:dyDescent="0.2"/>
    <row r="2675" ht="12.75" x14ac:dyDescent="0.2"/>
    <row r="2676" ht="12.75" x14ac:dyDescent="0.2"/>
    <row r="2677" ht="12.75" x14ac:dyDescent="0.2"/>
    <row r="2678" ht="12.75" x14ac:dyDescent="0.2"/>
    <row r="2679" ht="12.75" x14ac:dyDescent="0.2"/>
    <row r="2680" ht="12.75" x14ac:dyDescent="0.2"/>
    <row r="2681" ht="12.75" x14ac:dyDescent="0.2"/>
    <row r="2682" ht="12.75" x14ac:dyDescent="0.2"/>
    <row r="2683" ht="12.75" x14ac:dyDescent="0.2"/>
    <row r="2684" ht="12.75" x14ac:dyDescent="0.2"/>
    <row r="2685" ht="12.75" x14ac:dyDescent="0.2"/>
    <row r="2686" ht="12.75" x14ac:dyDescent="0.2"/>
    <row r="2687" ht="12.75" x14ac:dyDescent="0.2"/>
    <row r="2688" ht="12.75" x14ac:dyDescent="0.2"/>
    <row r="2689" ht="12.75" x14ac:dyDescent="0.2"/>
    <row r="2690" ht="12.75" x14ac:dyDescent="0.2"/>
    <row r="2691" ht="12.75" x14ac:dyDescent="0.2"/>
    <row r="2692" ht="12.75" x14ac:dyDescent="0.2"/>
    <row r="2693" ht="12.75" x14ac:dyDescent="0.2"/>
    <row r="2694" ht="12.75" x14ac:dyDescent="0.2"/>
    <row r="2695" ht="12.75" x14ac:dyDescent="0.2"/>
    <row r="2696" ht="12.75" x14ac:dyDescent="0.2"/>
    <row r="2697" ht="12.75" x14ac:dyDescent="0.2"/>
    <row r="2698" ht="12.75" x14ac:dyDescent="0.2"/>
    <row r="2699" ht="12.75" x14ac:dyDescent="0.2"/>
    <row r="2700" ht="12.75" x14ac:dyDescent="0.2"/>
    <row r="2701" ht="12.75" x14ac:dyDescent="0.2"/>
    <row r="2702" ht="12.75" x14ac:dyDescent="0.2"/>
    <row r="2703" ht="12.75" x14ac:dyDescent="0.2"/>
    <row r="2704" ht="12.75" x14ac:dyDescent="0.2"/>
    <row r="2705" ht="12.75" x14ac:dyDescent="0.2"/>
    <row r="2706" ht="12.75" x14ac:dyDescent="0.2"/>
    <row r="2707" ht="12.75" x14ac:dyDescent="0.2"/>
    <row r="2708" ht="12.75" x14ac:dyDescent="0.2"/>
    <row r="2709" ht="12.75" x14ac:dyDescent="0.2"/>
    <row r="2710" ht="12.75" x14ac:dyDescent="0.2"/>
    <row r="2711" ht="12.75" x14ac:dyDescent="0.2"/>
    <row r="2712" ht="12.75" x14ac:dyDescent="0.2"/>
    <row r="2713" ht="12.75" x14ac:dyDescent="0.2"/>
    <row r="2714" ht="12.75" x14ac:dyDescent="0.2"/>
    <row r="2715" ht="12.75" x14ac:dyDescent="0.2"/>
    <row r="2716" ht="12.75" x14ac:dyDescent="0.2"/>
    <row r="2717" ht="12.75" x14ac:dyDescent="0.2"/>
    <row r="2718" ht="12.75" x14ac:dyDescent="0.2"/>
    <row r="2719" ht="12.75" x14ac:dyDescent="0.2"/>
    <row r="2720" ht="12.75" x14ac:dyDescent="0.2"/>
    <row r="2721" ht="12.75" x14ac:dyDescent="0.2"/>
    <row r="2722" ht="12.75" x14ac:dyDescent="0.2"/>
    <row r="2723" ht="12.75" x14ac:dyDescent="0.2"/>
    <row r="2724" ht="12.75" x14ac:dyDescent="0.2"/>
    <row r="2725" ht="12.75" x14ac:dyDescent="0.2"/>
    <row r="2726" ht="12.75" x14ac:dyDescent="0.2"/>
    <row r="2727" ht="12.75" x14ac:dyDescent="0.2"/>
    <row r="2728" ht="12.75" x14ac:dyDescent="0.2"/>
    <row r="2729" ht="12.75" x14ac:dyDescent="0.2"/>
    <row r="2730" ht="12.75" x14ac:dyDescent="0.2"/>
    <row r="2731" ht="12.75" x14ac:dyDescent="0.2"/>
    <row r="2732" ht="12.75" x14ac:dyDescent="0.2"/>
    <row r="2733" ht="12.75" x14ac:dyDescent="0.2"/>
    <row r="2734" ht="12.75" x14ac:dyDescent="0.2"/>
    <row r="2735" ht="12.75" x14ac:dyDescent="0.2"/>
    <row r="2736" ht="12.75" x14ac:dyDescent="0.2"/>
    <row r="2737" ht="12.75" x14ac:dyDescent="0.2"/>
    <row r="2738" ht="12.75" x14ac:dyDescent="0.2"/>
    <row r="2739" ht="12.75" x14ac:dyDescent="0.2"/>
    <row r="2740" ht="12.75" x14ac:dyDescent="0.2"/>
    <row r="2741" ht="12.75" x14ac:dyDescent="0.2"/>
    <row r="2742" ht="12.75" x14ac:dyDescent="0.2"/>
    <row r="2743" ht="12.75" x14ac:dyDescent="0.2"/>
    <row r="2744" ht="12.75" x14ac:dyDescent="0.2"/>
    <row r="2745" ht="12.75" x14ac:dyDescent="0.2"/>
    <row r="2746" ht="12.75" x14ac:dyDescent="0.2"/>
    <row r="2747" ht="12.75" x14ac:dyDescent="0.2"/>
    <row r="2748" ht="12.75" x14ac:dyDescent="0.2"/>
    <row r="2749" ht="12.75" x14ac:dyDescent="0.2"/>
    <row r="2750" ht="12.75" x14ac:dyDescent="0.2"/>
    <row r="2751" ht="12.75" x14ac:dyDescent="0.2"/>
    <row r="2752" ht="12.75" x14ac:dyDescent="0.2"/>
    <row r="2753" ht="12.75" x14ac:dyDescent="0.2"/>
    <row r="2754" ht="12.75" x14ac:dyDescent="0.2"/>
    <row r="2755" ht="12.75" x14ac:dyDescent="0.2"/>
    <row r="2756" ht="12.75" x14ac:dyDescent="0.2"/>
    <row r="2757" ht="12.75" x14ac:dyDescent="0.2"/>
    <row r="2758" ht="12.75" x14ac:dyDescent="0.2"/>
    <row r="2759" ht="12.75" x14ac:dyDescent="0.2"/>
    <row r="2760" ht="12.75" x14ac:dyDescent="0.2"/>
    <row r="2761" ht="12.75" x14ac:dyDescent="0.2"/>
    <row r="2762" ht="12.75" x14ac:dyDescent="0.2"/>
    <row r="2763" ht="12.75" x14ac:dyDescent="0.2"/>
    <row r="2764" ht="12.75" x14ac:dyDescent="0.2"/>
    <row r="2765" ht="12.75" x14ac:dyDescent="0.2"/>
    <row r="2766" ht="12.75" x14ac:dyDescent="0.2"/>
    <row r="2767" ht="12.75" x14ac:dyDescent="0.2"/>
    <row r="2768" ht="12.75" x14ac:dyDescent="0.2"/>
    <row r="2769" ht="12.75" x14ac:dyDescent="0.2"/>
    <row r="2770" ht="12.75" x14ac:dyDescent="0.2"/>
    <row r="2771" ht="12.75" x14ac:dyDescent="0.2"/>
    <row r="2772" ht="12.75" x14ac:dyDescent="0.2"/>
    <row r="2773" ht="12.75" x14ac:dyDescent="0.2"/>
    <row r="2774" ht="12.75" x14ac:dyDescent="0.2"/>
    <row r="2775" ht="12.75" x14ac:dyDescent="0.2"/>
    <row r="2776" ht="12.75" x14ac:dyDescent="0.2"/>
    <row r="2777" ht="12.75" x14ac:dyDescent="0.2"/>
    <row r="2778" ht="12.75" x14ac:dyDescent="0.2"/>
    <row r="2779" ht="12.75" x14ac:dyDescent="0.2"/>
    <row r="2780" ht="12.75" x14ac:dyDescent="0.2"/>
    <row r="2781" ht="12.75" x14ac:dyDescent="0.2"/>
    <row r="2782" ht="12.75" x14ac:dyDescent="0.2"/>
    <row r="2783" ht="12.75" x14ac:dyDescent="0.2"/>
    <row r="2784" ht="12.75" x14ac:dyDescent="0.2"/>
    <row r="2785" ht="12.75" x14ac:dyDescent="0.2"/>
    <row r="2786" ht="12.75" x14ac:dyDescent="0.2"/>
    <row r="2787" ht="12.75" x14ac:dyDescent="0.2"/>
    <row r="2788" ht="12.75" x14ac:dyDescent="0.2"/>
    <row r="2789" ht="12.75" x14ac:dyDescent="0.2"/>
    <row r="2790" ht="12.75" x14ac:dyDescent="0.2"/>
    <row r="2791" ht="12.75" x14ac:dyDescent="0.2"/>
    <row r="2792" ht="12.75" x14ac:dyDescent="0.2"/>
    <row r="2793" ht="12.75" x14ac:dyDescent="0.2"/>
    <row r="2794" ht="12.75" x14ac:dyDescent="0.2"/>
    <row r="2795" ht="12.75" x14ac:dyDescent="0.2"/>
    <row r="2796" ht="12.75" x14ac:dyDescent="0.2"/>
    <row r="2797" ht="12.75" x14ac:dyDescent="0.2"/>
    <row r="2798" ht="12.75" x14ac:dyDescent="0.2"/>
    <row r="2799" ht="12.75" x14ac:dyDescent="0.2"/>
    <row r="2800" ht="12.75" x14ac:dyDescent="0.2"/>
    <row r="2801" ht="12.75" x14ac:dyDescent="0.2"/>
    <row r="2802" ht="12.75" x14ac:dyDescent="0.2"/>
    <row r="2803" ht="12.75" x14ac:dyDescent="0.2"/>
    <row r="2804" ht="12.75" x14ac:dyDescent="0.2"/>
    <row r="2805" ht="12.75" x14ac:dyDescent="0.2"/>
    <row r="2806" ht="12.75" x14ac:dyDescent="0.2"/>
    <row r="2807" ht="12.75" x14ac:dyDescent="0.2"/>
    <row r="2808" ht="12.75" x14ac:dyDescent="0.2"/>
    <row r="2809" ht="12.75" x14ac:dyDescent="0.2"/>
    <row r="2810" ht="12.75" x14ac:dyDescent="0.2"/>
    <row r="2811" ht="12.75" x14ac:dyDescent="0.2"/>
    <row r="2812" ht="12.75" x14ac:dyDescent="0.2"/>
    <row r="2813" ht="12.75" x14ac:dyDescent="0.2"/>
    <row r="2814" ht="12.75" x14ac:dyDescent="0.2"/>
    <row r="2815" ht="12.75" x14ac:dyDescent="0.2"/>
    <row r="2816" ht="12.75" x14ac:dyDescent="0.2"/>
    <row r="2817" ht="12.75" x14ac:dyDescent="0.2"/>
    <row r="2818" ht="12.75" x14ac:dyDescent="0.2"/>
    <row r="2819" ht="12.75" x14ac:dyDescent="0.2"/>
    <row r="2820" ht="12.75" x14ac:dyDescent="0.2"/>
    <row r="2821" ht="12.75" x14ac:dyDescent="0.2"/>
    <row r="2822" ht="12.75" x14ac:dyDescent="0.2"/>
    <row r="2823" ht="12.75" x14ac:dyDescent="0.2"/>
    <row r="2824" ht="12.75" x14ac:dyDescent="0.2"/>
    <row r="2825" ht="12.75" x14ac:dyDescent="0.2"/>
    <row r="2826" ht="12.75" x14ac:dyDescent="0.2"/>
    <row r="2827" ht="12.75" x14ac:dyDescent="0.2"/>
    <row r="2828" ht="12.75" x14ac:dyDescent="0.2"/>
    <row r="2829" ht="12.75" x14ac:dyDescent="0.2"/>
    <row r="2830" ht="12.75" x14ac:dyDescent="0.2"/>
    <row r="2831" ht="12.75" x14ac:dyDescent="0.2"/>
    <row r="2832" ht="12.75" x14ac:dyDescent="0.2"/>
    <row r="2833" ht="12.75" x14ac:dyDescent="0.2"/>
    <row r="2834" ht="12.75" x14ac:dyDescent="0.2"/>
    <row r="2835" ht="12.75" x14ac:dyDescent="0.2"/>
    <row r="2836" ht="12.75" x14ac:dyDescent="0.2"/>
    <row r="2837" ht="12.75" x14ac:dyDescent="0.2"/>
    <row r="2838" ht="12.75" x14ac:dyDescent="0.2"/>
    <row r="2839" ht="12.75" x14ac:dyDescent="0.2"/>
    <row r="2840" ht="12.75" x14ac:dyDescent="0.2"/>
    <row r="2841" ht="12.75" x14ac:dyDescent="0.2"/>
    <row r="2842" ht="12.75" x14ac:dyDescent="0.2"/>
    <row r="2843" ht="12.75" x14ac:dyDescent="0.2"/>
    <row r="2844" ht="12.75" x14ac:dyDescent="0.2"/>
    <row r="2845" ht="12.75" x14ac:dyDescent="0.2"/>
    <row r="2846" ht="12.75" x14ac:dyDescent="0.2"/>
    <row r="2847" ht="12.75" x14ac:dyDescent="0.2"/>
    <row r="2848" ht="12.75" x14ac:dyDescent="0.2"/>
    <row r="2849" ht="12.75" x14ac:dyDescent="0.2"/>
    <row r="2850" ht="12.75" x14ac:dyDescent="0.2"/>
    <row r="2851" ht="12.75" x14ac:dyDescent="0.2"/>
    <row r="2852" ht="12.75" x14ac:dyDescent="0.2"/>
    <row r="2853" ht="12.75" x14ac:dyDescent="0.2"/>
    <row r="2854" ht="12.75" x14ac:dyDescent="0.2"/>
    <row r="2855" ht="12.75" x14ac:dyDescent="0.2"/>
    <row r="2856" ht="12.75" x14ac:dyDescent="0.2"/>
    <row r="2857" ht="12.75" x14ac:dyDescent="0.2"/>
    <row r="2858" ht="12.75" x14ac:dyDescent="0.2"/>
    <row r="2859" ht="12.75" x14ac:dyDescent="0.2"/>
    <row r="2860" ht="12.75" x14ac:dyDescent="0.2"/>
    <row r="2861" ht="12.75" x14ac:dyDescent="0.2"/>
    <row r="2862" ht="12.75" x14ac:dyDescent="0.2"/>
    <row r="2863" ht="12.75" x14ac:dyDescent="0.2"/>
    <row r="2864" ht="12.75" x14ac:dyDescent="0.2"/>
    <row r="2865" ht="12.75" x14ac:dyDescent="0.2"/>
    <row r="2866" ht="12.75" x14ac:dyDescent="0.2"/>
    <row r="2867" ht="12.75" x14ac:dyDescent="0.2"/>
    <row r="2868" ht="12.75" x14ac:dyDescent="0.2"/>
    <row r="2869" ht="12.75" x14ac:dyDescent="0.2"/>
    <row r="2870" ht="12.75" x14ac:dyDescent="0.2"/>
    <row r="2871" ht="12.75" x14ac:dyDescent="0.2"/>
    <row r="2872" ht="12.75" x14ac:dyDescent="0.2"/>
    <row r="2873" ht="12.75" x14ac:dyDescent="0.2"/>
    <row r="2874" ht="12.75" x14ac:dyDescent="0.2"/>
    <row r="2875" ht="12.75" x14ac:dyDescent="0.2"/>
    <row r="2876" ht="12.75" x14ac:dyDescent="0.2"/>
    <row r="2877" ht="12.75" x14ac:dyDescent="0.2"/>
    <row r="2878" ht="12.75" x14ac:dyDescent="0.2"/>
    <row r="2879" ht="12.75" x14ac:dyDescent="0.2"/>
    <row r="2880" ht="12.75" x14ac:dyDescent="0.2"/>
    <row r="2881" ht="12.75" x14ac:dyDescent="0.2"/>
    <row r="2882" ht="12.75" x14ac:dyDescent="0.2"/>
    <row r="2883" ht="12.75" x14ac:dyDescent="0.2"/>
    <row r="2884" ht="12.75" x14ac:dyDescent="0.2"/>
    <row r="2885" ht="12.75" x14ac:dyDescent="0.2"/>
    <row r="2886" ht="12.75" x14ac:dyDescent="0.2"/>
    <row r="2887" ht="12.75" x14ac:dyDescent="0.2"/>
    <row r="2888" ht="12.75" x14ac:dyDescent="0.2"/>
    <row r="2889" ht="12.75" x14ac:dyDescent="0.2"/>
    <row r="2890" ht="12.75" x14ac:dyDescent="0.2"/>
    <row r="2891" ht="12.75" x14ac:dyDescent="0.2"/>
    <row r="2892" ht="12.75" x14ac:dyDescent="0.2"/>
    <row r="2893" ht="12.75" x14ac:dyDescent="0.2"/>
    <row r="2894" ht="12.75" x14ac:dyDescent="0.2"/>
    <row r="2895" ht="12.75" x14ac:dyDescent="0.2"/>
    <row r="2896" ht="12.75" x14ac:dyDescent="0.2"/>
    <row r="2897" ht="12.75" x14ac:dyDescent="0.2"/>
    <row r="2898" ht="12.75" x14ac:dyDescent="0.2"/>
    <row r="2899" ht="12.75" x14ac:dyDescent="0.2"/>
    <row r="2900" ht="12.75" x14ac:dyDescent="0.2"/>
    <row r="2901" ht="12.75" x14ac:dyDescent="0.2"/>
    <row r="2902" ht="12.75" x14ac:dyDescent="0.2"/>
    <row r="2903" ht="12.75" x14ac:dyDescent="0.2"/>
    <row r="2904" ht="12.75" x14ac:dyDescent="0.2"/>
    <row r="2905" ht="12.75" x14ac:dyDescent="0.2"/>
    <row r="2906" ht="12.75" x14ac:dyDescent="0.2"/>
    <row r="2907" ht="12.75" x14ac:dyDescent="0.2"/>
    <row r="2908" ht="12.75" x14ac:dyDescent="0.2"/>
    <row r="2909" ht="12.75" x14ac:dyDescent="0.2"/>
    <row r="2910" ht="12.75" x14ac:dyDescent="0.2"/>
    <row r="2911" ht="12.75" x14ac:dyDescent="0.2"/>
    <row r="2912" ht="12.75" x14ac:dyDescent="0.2"/>
    <row r="2913" ht="12.75" x14ac:dyDescent="0.2"/>
    <row r="2914" ht="12.75" x14ac:dyDescent="0.2"/>
    <row r="2915" ht="12.75" x14ac:dyDescent="0.2"/>
    <row r="2916" ht="12.75" x14ac:dyDescent="0.2"/>
    <row r="2917" ht="12.75" x14ac:dyDescent="0.2"/>
    <row r="2918" ht="12.75" x14ac:dyDescent="0.2"/>
    <row r="2919" ht="12.75" x14ac:dyDescent="0.2"/>
    <row r="2920" ht="12.75" x14ac:dyDescent="0.2"/>
    <row r="2921" ht="12.75" x14ac:dyDescent="0.2"/>
    <row r="2922" ht="12.75" x14ac:dyDescent="0.2"/>
    <row r="2923" ht="12.75" x14ac:dyDescent="0.2"/>
    <row r="2924" ht="12.75" x14ac:dyDescent="0.2"/>
    <row r="2925" ht="12.75" x14ac:dyDescent="0.2"/>
    <row r="2926" ht="12.75" x14ac:dyDescent="0.2"/>
    <row r="2927" ht="12.75" x14ac:dyDescent="0.2"/>
    <row r="2928" ht="12.75" x14ac:dyDescent="0.2"/>
    <row r="2929" ht="12.75" x14ac:dyDescent="0.2"/>
    <row r="2930" ht="12.75" x14ac:dyDescent="0.2"/>
    <row r="2931" ht="12.75" x14ac:dyDescent="0.2"/>
    <row r="2932" ht="12.75" x14ac:dyDescent="0.2"/>
    <row r="2933" ht="12.75" x14ac:dyDescent="0.2"/>
    <row r="2934" ht="12.75" x14ac:dyDescent="0.2"/>
    <row r="2935" ht="12.75" x14ac:dyDescent="0.2"/>
    <row r="2936" ht="12.75" x14ac:dyDescent="0.2"/>
    <row r="2937" ht="12.75" x14ac:dyDescent="0.2"/>
    <row r="2938" ht="12.75" x14ac:dyDescent="0.2"/>
    <row r="2939" ht="12.75" x14ac:dyDescent="0.2"/>
    <row r="2940" ht="12.75" x14ac:dyDescent="0.2"/>
    <row r="2941" ht="12.75" x14ac:dyDescent="0.2"/>
    <row r="2942" ht="12.75" x14ac:dyDescent="0.2"/>
    <row r="2943" ht="12.75" x14ac:dyDescent="0.2"/>
    <row r="2944" ht="12.75" x14ac:dyDescent="0.2"/>
    <row r="2945" ht="12.75" x14ac:dyDescent="0.2"/>
    <row r="2946" ht="12.75" x14ac:dyDescent="0.2"/>
    <row r="2947" ht="12.75" x14ac:dyDescent="0.2"/>
    <row r="2948" ht="12.75" x14ac:dyDescent="0.2"/>
    <row r="2949" ht="12.75" x14ac:dyDescent="0.2"/>
    <row r="2950" ht="12.75" x14ac:dyDescent="0.2"/>
    <row r="2951" ht="12.75" x14ac:dyDescent="0.2"/>
    <row r="2952" ht="12.75" x14ac:dyDescent="0.2"/>
    <row r="2953" ht="12.75" x14ac:dyDescent="0.2"/>
    <row r="2954" ht="12.75" x14ac:dyDescent="0.2"/>
    <row r="2955" ht="12.75" x14ac:dyDescent="0.2"/>
    <row r="2956" ht="12.75" x14ac:dyDescent="0.2"/>
    <row r="2957" ht="12.75" x14ac:dyDescent="0.2"/>
    <row r="2958" ht="12.75" x14ac:dyDescent="0.2"/>
    <row r="2959" ht="12.75" x14ac:dyDescent="0.2"/>
    <row r="2960" ht="12.75" x14ac:dyDescent="0.2"/>
    <row r="2961" ht="12.75" x14ac:dyDescent="0.2"/>
    <row r="2962" ht="12.75" x14ac:dyDescent="0.2"/>
    <row r="2963" ht="12.75" x14ac:dyDescent="0.2"/>
    <row r="2964" ht="12.75" x14ac:dyDescent="0.2"/>
    <row r="2965" ht="12.75" x14ac:dyDescent="0.2"/>
    <row r="2966" ht="12.75" x14ac:dyDescent="0.2"/>
    <row r="2967" ht="12.75" x14ac:dyDescent="0.2"/>
    <row r="2968" ht="12.75" x14ac:dyDescent="0.2"/>
    <row r="2969" ht="12.75" x14ac:dyDescent="0.2"/>
    <row r="2970" ht="12.75" x14ac:dyDescent="0.2"/>
    <row r="2971" ht="12.75" x14ac:dyDescent="0.2"/>
    <row r="2972" ht="12.75" x14ac:dyDescent="0.2"/>
    <row r="2973" ht="12.75" x14ac:dyDescent="0.2"/>
    <row r="2974" ht="12.75" x14ac:dyDescent="0.2"/>
    <row r="2975" ht="12.75" x14ac:dyDescent="0.2"/>
    <row r="2976" ht="12.75" x14ac:dyDescent="0.2"/>
    <row r="2977" ht="12.75" x14ac:dyDescent="0.2"/>
    <row r="2978" ht="12.75" x14ac:dyDescent="0.2"/>
    <row r="2979" ht="12.75" x14ac:dyDescent="0.2"/>
    <row r="2980" ht="12.75" x14ac:dyDescent="0.2"/>
    <row r="2981" ht="12.75" x14ac:dyDescent="0.2"/>
    <row r="2982" ht="12.75" x14ac:dyDescent="0.2"/>
    <row r="2983" ht="12.75" x14ac:dyDescent="0.2"/>
    <row r="2984" ht="12.75" x14ac:dyDescent="0.2"/>
    <row r="2985" ht="12.75" x14ac:dyDescent="0.2"/>
    <row r="2986" ht="12.75" x14ac:dyDescent="0.2"/>
    <row r="2987" ht="12.75" x14ac:dyDescent="0.2"/>
    <row r="2988" ht="12.75" x14ac:dyDescent="0.2"/>
    <row r="2989" ht="12.75" x14ac:dyDescent="0.2"/>
    <row r="2990" ht="12.75" x14ac:dyDescent="0.2"/>
    <row r="2991" ht="12.75" x14ac:dyDescent="0.2"/>
    <row r="2992" ht="12.75" x14ac:dyDescent="0.2"/>
    <row r="2993" ht="12.75" x14ac:dyDescent="0.2"/>
    <row r="2994" ht="12.75" x14ac:dyDescent="0.2"/>
    <row r="2995" ht="12.75" x14ac:dyDescent="0.2"/>
    <row r="2996" ht="12.75" x14ac:dyDescent="0.2"/>
    <row r="2997" ht="12.75" x14ac:dyDescent="0.2"/>
    <row r="2998" ht="12.75" x14ac:dyDescent="0.2"/>
    <row r="2999" ht="12.75" x14ac:dyDescent="0.2"/>
    <row r="3000" ht="12.75" x14ac:dyDescent="0.2"/>
    <row r="3001" ht="12.75" x14ac:dyDescent="0.2"/>
    <row r="3002" ht="12.75" x14ac:dyDescent="0.2"/>
    <row r="3003" ht="12.75" x14ac:dyDescent="0.2"/>
    <row r="3004" ht="12.75" x14ac:dyDescent="0.2"/>
    <row r="3005" ht="12.75" x14ac:dyDescent="0.2"/>
    <row r="3006" ht="12.75" x14ac:dyDescent="0.2"/>
    <row r="3007" ht="12.75" x14ac:dyDescent="0.2"/>
    <row r="3008" ht="12.75" x14ac:dyDescent="0.2"/>
    <row r="3009" ht="12.75" x14ac:dyDescent="0.2"/>
    <row r="3010" ht="12.75" x14ac:dyDescent="0.2"/>
    <row r="3011" ht="12.75" x14ac:dyDescent="0.2"/>
    <row r="3012" ht="12.75" x14ac:dyDescent="0.2"/>
    <row r="3013" ht="12.75" x14ac:dyDescent="0.2"/>
    <row r="3014" ht="12.75" x14ac:dyDescent="0.2"/>
    <row r="3015" ht="12.75" x14ac:dyDescent="0.2"/>
    <row r="3016" ht="12.75" x14ac:dyDescent="0.2"/>
    <row r="3017" ht="12.75" x14ac:dyDescent="0.2"/>
    <row r="3018" ht="12.75" x14ac:dyDescent="0.2"/>
    <row r="3019" ht="12.75" x14ac:dyDescent="0.2"/>
    <row r="3020" ht="12.75" x14ac:dyDescent="0.2"/>
    <row r="3021" ht="12.75" x14ac:dyDescent="0.2"/>
    <row r="3022" ht="12.75" x14ac:dyDescent="0.2"/>
    <row r="3023" ht="12.75" x14ac:dyDescent="0.2"/>
    <row r="3024" ht="12.75" x14ac:dyDescent="0.2"/>
    <row r="3025" ht="12.75" x14ac:dyDescent="0.2"/>
    <row r="3026" ht="12.75" x14ac:dyDescent="0.2"/>
    <row r="3027" ht="12.75" x14ac:dyDescent="0.2"/>
    <row r="3028" ht="12.75" x14ac:dyDescent="0.2"/>
    <row r="3029" ht="12.75" x14ac:dyDescent="0.2"/>
    <row r="3030" ht="12.75" x14ac:dyDescent="0.2"/>
    <row r="3031" ht="12.75" x14ac:dyDescent="0.2"/>
    <row r="3032" ht="12.75" x14ac:dyDescent="0.2"/>
    <row r="3033" ht="12.75" x14ac:dyDescent="0.2"/>
    <row r="3034" ht="12.75" x14ac:dyDescent="0.2"/>
    <row r="3035" ht="12.75" x14ac:dyDescent="0.2"/>
    <row r="3036" ht="12.75" x14ac:dyDescent="0.2"/>
    <row r="3037" ht="12.75" x14ac:dyDescent="0.2"/>
    <row r="3038" ht="12.75" x14ac:dyDescent="0.2"/>
    <row r="3039" ht="12.75" x14ac:dyDescent="0.2"/>
    <row r="3040" ht="12.75" x14ac:dyDescent="0.2"/>
    <row r="3041" ht="12.75" x14ac:dyDescent="0.2"/>
    <row r="3042" ht="12.75" x14ac:dyDescent="0.2"/>
    <row r="3043" ht="12.75" x14ac:dyDescent="0.2"/>
    <row r="3044" ht="12.75" x14ac:dyDescent="0.2"/>
    <row r="3045" ht="12.75" x14ac:dyDescent="0.2"/>
    <row r="3046" ht="12.75" x14ac:dyDescent="0.2"/>
    <row r="3047" ht="12.75" x14ac:dyDescent="0.2"/>
    <row r="3048" ht="12.75" x14ac:dyDescent="0.2"/>
    <row r="3049" ht="12.75" x14ac:dyDescent="0.2"/>
    <row r="3050" ht="12.75" x14ac:dyDescent="0.2"/>
    <row r="3051" ht="12.75" x14ac:dyDescent="0.2"/>
    <row r="3052" ht="12.75" x14ac:dyDescent="0.2"/>
    <row r="3053" ht="12.75" x14ac:dyDescent="0.2"/>
    <row r="3054" ht="12.75" x14ac:dyDescent="0.2"/>
    <row r="3055" ht="12.75" x14ac:dyDescent="0.2"/>
    <row r="3056" ht="12.75" x14ac:dyDescent="0.2"/>
    <row r="3057" ht="12.75" x14ac:dyDescent="0.2"/>
    <row r="3058" ht="12.75" x14ac:dyDescent="0.2"/>
    <row r="3059" ht="12.75" x14ac:dyDescent="0.2"/>
    <row r="3060" ht="12.75" x14ac:dyDescent="0.2"/>
    <row r="3061" ht="12.75" x14ac:dyDescent="0.2"/>
    <row r="3062" ht="12.75" x14ac:dyDescent="0.2"/>
    <row r="3063" ht="12.75" x14ac:dyDescent="0.2"/>
    <row r="3064" ht="12.75" x14ac:dyDescent="0.2"/>
    <row r="3065" ht="12.75" x14ac:dyDescent="0.2"/>
    <row r="3066" ht="12.75" x14ac:dyDescent="0.2"/>
    <row r="3067" ht="12.75" x14ac:dyDescent="0.2"/>
    <row r="3068" ht="12.75" x14ac:dyDescent="0.2"/>
    <row r="3069" ht="12.75" x14ac:dyDescent="0.2"/>
    <row r="3070" ht="12.75" x14ac:dyDescent="0.2"/>
    <row r="3071" ht="12.75" x14ac:dyDescent="0.2"/>
    <row r="3072" ht="12.75" x14ac:dyDescent="0.2"/>
    <row r="3073" ht="12.75" x14ac:dyDescent="0.2"/>
    <row r="3074" ht="12.75" x14ac:dyDescent="0.2"/>
    <row r="3075" ht="12.75" x14ac:dyDescent="0.2"/>
    <row r="3076" ht="12.75" x14ac:dyDescent="0.2"/>
    <row r="3077" ht="12.75" x14ac:dyDescent="0.2"/>
    <row r="3078" ht="12.75" x14ac:dyDescent="0.2"/>
    <row r="3079" ht="12.75" x14ac:dyDescent="0.2"/>
    <row r="3080" ht="12.75" x14ac:dyDescent="0.2"/>
    <row r="3081" ht="12.75" x14ac:dyDescent="0.2"/>
    <row r="3082" ht="12.75" x14ac:dyDescent="0.2"/>
    <row r="3083" ht="12.75" x14ac:dyDescent="0.2"/>
    <row r="3084" ht="12.75" x14ac:dyDescent="0.2"/>
    <row r="3085" ht="12.75" x14ac:dyDescent="0.2"/>
    <row r="3086" ht="12.75" x14ac:dyDescent="0.2"/>
    <row r="3087" ht="12.75" x14ac:dyDescent="0.2"/>
    <row r="3088" ht="12.75" x14ac:dyDescent="0.2"/>
    <row r="3089" ht="12.75" x14ac:dyDescent="0.2"/>
    <row r="3090" ht="12.75" x14ac:dyDescent="0.2"/>
    <row r="3091" ht="12.75" x14ac:dyDescent="0.2"/>
    <row r="3092" ht="12.75" x14ac:dyDescent="0.2"/>
    <row r="3093" ht="12.75" x14ac:dyDescent="0.2"/>
    <row r="3094" ht="12.75" x14ac:dyDescent="0.2"/>
    <row r="3095" ht="12.75" x14ac:dyDescent="0.2"/>
    <row r="3096" ht="12.75" x14ac:dyDescent="0.2"/>
    <row r="3097" ht="12.75" x14ac:dyDescent="0.2"/>
    <row r="3098" ht="12.75" x14ac:dyDescent="0.2"/>
    <row r="3099" ht="12.75" x14ac:dyDescent="0.2"/>
    <row r="3100" ht="12.75" x14ac:dyDescent="0.2"/>
    <row r="3101" ht="12.75" x14ac:dyDescent="0.2"/>
    <row r="3102" ht="12.75" x14ac:dyDescent="0.2"/>
    <row r="3103" ht="12.75" x14ac:dyDescent="0.2"/>
    <row r="3104" ht="12.75" x14ac:dyDescent="0.2"/>
    <row r="3105" ht="12.75" x14ac:dyDescent="0.2"/>
    <row r="3106" ht="12.75" x14ac:dyDescent="0.2"/>
    <row r="3107" ht="12.75" x14ac:dyDescent="0.2"/>
    <row r="3108" ht="12.75" x14ac:dyDescent="0.2"/>
    <row r="3109" ht="12.75" x14ac:dyDescent="0.2"/>
    <row r="3110" ht="12.75" x14ac:dyDescent="0.2"/>
    <row r="3111" ht="12.75" x14ac:dyDescent="0.2"/>
    <row r="3112" ht="12.75" x14ac:dyDescent="0.2"/>
    <row r="3113" ht="12.75" x14ac:dyDescent="0.2"/>
    <row r="3114" ht="12.75" x14ac:dyDescent="0.2"/>
    <row r="3115" ht="12.75" x14ac:dyDescent="0.2"/>
    <row r="3116" ht="12.75" x14ac:dyDescent="0.2"/>
    <row r="3117" ht="12.75" x14ac:dyDescent="0.2"/>
    <row r="3118" ht="12.75" x14ac:dyDescent="0.2"/>
    <row r="3119" ht="12.75" x14ac:dyDescent="0.2"/>
    <row r="3120" ht="12.75" x14ac:dyDescent="0.2"/>
    <row r="3121" ht="12.75" x14ac:dyDescent="0.2"/>
    <row r="3122" ht="12.75" x14ac:dyDescent="0.2"/>
    <row r="3123" ht="12.75" x14ac:dyDescent="0.2"/>
    <row r="3124" ht="12.75" x14ac:dyDescent="0.2"/>
    <row r="3125" ht="12.75" x14ac:dyDescent="0.2"/>
    <row r="3126" ht="12.75" x14ac:dyDescent="0.2"/>
    <row r="3127" ht="12.75" x14ac:dyDescent="0.2"/>
    <row r="3128" ht="12.75" x14ac:dyDescent="0.2"/>
    <row r="3129" ht="12.75" x14ac:dyDescent="0.2"/>
    <row r="3130" ht="12.75" x14ac:dyDescent="0.2"/>
    <row r="3131" ht="12.75" x14ac:dyDescent="0.2"/>
    <row r="3132" ht="12.75" x14ac:dyDescent="0.2"/>
    <row r="3133" ht="12.75" x14ac:dyDescent="0.2"/>
    <row r="3134" ht="12.75" x14ac:dyDescent="0.2"/>
    <row r="3135" ht="12.75" x14ac:dyDescent="0.2"/>
    <row r="3136" ht="12.75" x14ac:dyDescent="0.2"/>
    <row r="3137" ht="12.75" x14ac:dyDescent="0.2"/>
    <row r="3138" ht="12.75" x14ac:dyDescent="0.2"/>
    <row r="3139" ht="12.75" x14ac:dyDescent="0.2"/>
    <row r="3140" ht="12.75" x14ac:dyDescent="0.2"/>
    <row r="3141" ht="12.75" x14ac:dyDescent="0.2"/>
    <row r="3142" ht="12.75" x14ac:dyDescent="0.2"/>
    <row r="3143" ht="12.75" x14ac:dyDescent="0.2"/>
    <row r="3144" ht="12.75" x14ac:dyDescent="0.2"/>
    <row r="3145" ht="12.75" x14ac:dyDescent="0.2"/>
    <row r="3146" ht="12.75" x14ac:dyDescent="0.2"/>
    <row r="3147" ht="12.75" x14ac:dyDescent="0.2"/>
    <row r="3148" ht="12.75" x14ac:dyDescent="0.2"/>
    <row r="3149" ht="12.75" x14ac:dyDescent="0.2"/>
    <row r="3150" ht="12.75" x14ac:dyDescent="0.2"/>
    <row r="3151" ht="12.75" x14ac:dyDescent="0.2"/>
    <row r="3152" ht="12.75" x14ac:dyDescent="0.2"/>
    <row r="3153" ht="12.75" x14ac:dyDescent="0.2"/>
    <row r="3154" ht="12.75" x14ac:dyDescent="0.2"/>
    <row r="3155" ht="12.75" x14ac:dyDescent="0.2"/>
    <row r="3156" ht="12.75" x14ac:dyDescent="0.2"/>
    <row r="3157" ht="12.75" x14ac:dyDescent="0.2"/>
    <row r="3158" ht="12.75" x14ac:dyDescent="0.2"/>
    <row r="3159" ht="12.75" x14ac:dyDescent="0.2"/>
    <row r="3160" ht="12.75" x14ac:dyDescent="0.2"/>
    <row r="3161" ht="12.75" x14ac:dyDescent="0.2"/>
    <row r="3162" ht="12.75" x14ac:dyDescent="0.2"/>
    <row r="3163" ht="12.75" x14ac:dyDescent="0.2"/>
    <row r="3164" ht="12.75" x14ac:dyDescent="0.2"/>
    <row r="3165" ht="12.75" x14ac:dyDescent="0.2"/>
    <row r="3166" ht="12.75" x14ac:dyDescent="0.2"/>
    <row r="3167" ht="12.75" x14ac:dyDescent="0.2"/>
    <row r="3168" ht="12.75" x14ac:dyDescent="0.2"/>
    <row r="3169" ht="12.75" x14ac:dyDescent="0.2"/>
    <row r="3170" ht="12.75" x14ac:dyDescent="0.2"/>
    <row r="3171" ht="12.75" x14ac:dyDescent="0.2"/>
    <row r="3172" ht="12.75" x14ac:dyDescent="0.2"/>
    <row r="3173" ht="12.75" x14ac:dyDescent="0.2"/>
    <row r="3174" ht="12.75" x14ac:dyDescent="0.2"/>
    <row r="3175" ht="12.75" x14ac:dyDescent="0.2"/>
    <row r="3176" ht="12.75" x14ac:dyDescent="0.2"/>
    <row r="3177" ht="12.75" x14ac:dyDescent="0.2"/>
    <row r="3178" ht="12.75" x14ac:dyDescent="0.2"/>
    <row r="3179" ht="12.75" x14ac:dyDescent="0.2"/>
    <row r="3180" ht="12.75" x14ac:dyDescent="0.2"/>
    <row r="3181" ht="12.75" x14ac:dyDescent="0.2"/>
    <row r="3182" ht="12.75" x14ac:dyDescent="0.2"/>
    <row r="3183" ht="12.75" x14ac:dyDescent="0.2"/>
    <row r="3184" ht="12.75" x14ac:dyDescent="0.2"/>
    <row r="3185" ht="12.75" x14ac:dyDescent="0.2"/>
    <row r="3186" ht="12.75" x14ac:dyDescent="0.2"/>
    <row r="3187" ht="12.75" x14ac:dyDescent="0.2"/>
    <row r="3188" ht="12.75" x14ac:dyDescent="0.2"/>
    <row r="3189" ht="12.75" x14ac:dyDescent="0.2"/>
    <row r="3190" ht="12.75" x14ac:dyDescent="0.2"/>
    <row r="3191" ht="12.75" x14ac:dyDescent="0.2"/>
    <row r="3192" ht="12.75" x14ac:dyDescent="0.2"/>
    <row r="3193" ht="12.75" x14ac:dyDescent="0.2"/>
    <row r="3194" ht="12.75" x14ac:dyDescent="0.2"/>
    <row r="3195" ht="12.75" x14ac:dyDescent="0.2"/>
    <row r="3196" ht="12.75" x14ac:dyDescent="0.2"/>
    <row r="3197" ht="12.75" x14ac:dyDescent="0.2"/>
    <row r="3198" ht="12.75" x14ac:dyDescent="0.2"/>
    <row r="3199" ht="12.75" x14ac:dyDescent="0.2"/>
    <row r="3200" ht="12.75" x14ac:dyDescent="0.2"/>
    <row r="3201" ht="12.75" x14ac:dyDescent="0.2"/>
    <row r="3202" ht="12.75" x14ac:dyDescent="0.2"/>
    <row r="3203" ht="12.75" x14ac:dyDescent="0.2"/>
    <row r="3204" ht="12.75" x14ac:dyDescent="0.2"/>
    <row r="3205" ht="12.75" x14ac:dyDescent="0.2"/>
    <row r="3206" ht="12.75" x14ac:dyDescent="0.2"/>
    <row r="3207" ht="12.75" x14ac:dyDescent="0.2"/>
    <row r="3208" ht="12.75" x14ac:dyDescent="0.2"/>
    <row r="3209" ht="12.75" x14ac:dyDescent="0.2"/>
    <row r="3210" ht="12.75" x14ac:dyDescent="0.2"/>
    <row r="3211" ht="12.75" x14ac:dyDescent="0.2"/>
    <row r="3212" ht="12.75" x14ac:dyDescent="0.2"/>
    <row r="3213" ht="12.75" x14ac:dyDescent="0.2"/>
    <row r="3214" ht="12.75" x14ac:dyDescent="0.2"/>
    <row r="3215" ht="12.75" x14ac:dyDescent="0.2"/>
    <row r="3216" ht="12.75" x14ac:dyDescent="0.2"/>
    <row r="3217" ht="12.75" x14ac:dyDescent="0.2"/>
    <row r="3218" ht="12.75" x14ac:dyDescent="0.2"/>
    <row r="3219" ht="12.75" x14ac:dyDescent="0.2"/>
    <row r="3220" ht="12.75" x14ac:dyDescent="0.2"/>
    <row r="3221" ht="12.75" x14ac:dyDescent="0.2"/>
    <row r="3222" ht="12.75" x14ac:dyDescent="0.2"/>
    <row r="3223" ht="12.75" x14ac:dyDescent="0.2"/>
    <row r="3224" ht="12.75" x14ac:dyDescent="0.2"/>
    <row r="3225" ht="12.75" x14ac:dyDescent="0.2"/>
    <row r="3226" ht="12.75" x14ac:dyDescent="0.2"/>
    <row r="3227" ht="12.75" x14ac:dyDescent="0.2"/>
    <row r="3228" ht="12.75" x14ac:dyDescent="0.2"/>
    <row r="3229" ht="12.75" x14ac:dyDescent="0.2"/>
    <row r="3230" ht="12.75" x14ac:dyDescent="0.2"/>
    <row r="3231" ht="12.75" x14ac:dyDescent="0.2"/>
    <row r="3232" ht="12.75" x14ac:dyDescent="0.2"/>
    <row r="3233" ht="12.75" x14ac:dyDescent="0.2"/>
    <row r="3234" ht="12.75" x14ac:dyDescent="0.2"/>
    <row r="3235" ht="12.75" x14ac:dyDescent="0.2"/>
    <row r="3236" ht="12.75" x14ac:dyDescent="0.2"/>
    <row r="3237" ht="12.75" x14ac:dyDescent="0.2"/>
    <row r="3238" ht="12.75" x14ac:dyDescent="0.2"/>
    <row r="3239" ht="12.75" x14ac:dyDescent="0.2"/>
    <row r="3240" ht="12.75" x14ac:dyDescent="0.2"/>
    <row r="3241" ht="12.75" x14ac:dyDescent="0.2"/>
    <row r="3242" ht="12.75" x14ac:dyDescent="0.2"/>
    <row r="3243" ht="12.75" x14ac:dyDescent="0.2"/>
    <row r="3244" ht="12.75" x14ac:dyDescent="0.2"/>
    <row r="3245" ht="12.75" x14ac:dyDescent="0.2"/>
    <row r="3246" ht="12.75" x14ac:dyDescent="0.2"/>
    <row r="3247" ht="12.75" x14ac:dyDescent="0.2"/>
    <row r="3248" ht="12.75" x14ac:dyDescent="0.2"/>
    <row r="3249" ht="12.75" x14ac:dyDescent="0.2"/>
    <row r="3250" ht="12.75" x14ac:dyDescent="0.2"/>
    <row r="3251" ht="12.75" x14ac:dyDescent="0.2"/>
    <row r="3252" ht="12.75" x14ac:dyDescent="0.2"/>
    <row r="3253" ht="12.75" x14ac:dyDescent="0.2"/>
    <row r="3254" ht="12.75" x14ac:dyDescent="0.2"/>
    <row r="3255" ht="12.75" x14ac:dyDescent="0.2"/>
    <row r="3256" ht="12.75" x14ac:dyDescent="0.2"/>
    <row r="3257" ht="12.75" x14ac:dyDescent="0.2"/>
    <row r="3258" ht="12.75" x14ac:dyDescent="0.2"/>
    <row r="3259" ht="12.75" x14ac:dyDescent="0.2"/>
    <row r="3260" ht="12.75" x14ac:dyDescent="0.2"/>
    <row r="3261" ht="12.75" x14ac:dyDescent="0.2"/>
    <row r="3262" ht="12.75" x14ac:dyDescent="0.2"/>
    <row r="3263" ht="12.75" x14ac:dyDescent="0.2"/>
    <row r="3264" ht="12.75" x14ac:dyDescent="0.2"/>
    <row r="3265" ht="12.75" x14ac:dyDescent="0.2"/>
    <row r="3266" ht="12.75" x14ac:dyDescent="0.2"/>
    <row r="3267" ht="12.75" x14ac:dyDescent="0.2"/>
    <row r="3268" ht="12.75" x14ac:dyDescent="0.2"/>
    <row r="3269" ht="12.75" x14ac:dyDescent="0.2"/>
    <row r="3270" ht="12.75" x14ac:dyDescent="0.2"/>
    <row r="3271" ht="12.75" x14ac:dyDescent="0.2"/>
    <row r="3272" ht="12.75" x14ac:dyDescent="0.2"/>
    <row r="3273" ht="12.75" x14ac:dyDescent="0.2"/>
    <row r="3274" ht="12.75" x14ac:dyDescent="0.2"/>
    <row r="3275" ht="12.75" x14ac:dyDescent="0.2"/>
    <row r="3276" ht="12.75" x14ac:dyDescent="0.2"/>
    <row r="3277" ht="12.75" x14ac:dyDescent="0.2"/>
    <row r="3278" ht="12.75" x14ac:dyDescent="0.2"/>
    <row r="3279" ht="12.75" x14ac:dyDescent="0.2"/>
    <row r="3280" ht="12.75" x14ac:dyDescent="0.2"/>
    <row r="3281" ht="12.75" x14ac:dyDescent="0.2"/>
    <row r="3282" ht="12.75" x14ac:dyDescent="0.2"/>
    <row r="3283" ht="12.75" x14ac:dyDescent="0.2"/>
    <row r="3284" ht="12.75" x14ac:dyDescent="0.2"/>
    <row r="3285" ht="12.75" x14ac:dyDescent="0.2"/>
    <row r="3286" ht="12.75" x14ac:dyDescent="0.2"/>
    <row r="3287" ht="12.75" x14ac:dyDescent="0.2"/>
    <row r="3288" ht="12.75" x14ac:dyDescent="0.2"/>
    <row r="3289" ht="12.75" x14ac:dyDescent="0.2"/>
    <row r="3290" ht="12.75" x14ac:dyDescent="0.2"/>
    <row r="3291" ht="12.75" x14ac:dyDescent="0.2"/>
    <row r="3292" ht="12.75" x14ac:dyDescent="0.2"/>
    <row r="3293" ht="12.75" x14ac:dyDescent="0.2"/>
    <row r="3294" ht="12.75" x14ac:dyDescent="0.2"/>
    <row r="3295" ht="12.75" x14ac:dyDescent="0.2"/>
    <row r="3296" ht="12.75" x14ac:dyDescent="0.2"/>
    <row r="3297" ht="12.75" x14ac:dyDescent="0.2"/>
    <row r="3298" ht="12.75" x14ac:dyDescent="0.2"/>
    <row r="3299" ht="12.75" x14ac:dyDescent="0.2"/>
    <row r="3300" ht="12.75" x14ac:dyDescent="0.2"/>
    <row r="3301" ht="12.75" x14ac:dyDescent="0.2"/>
    <row r="3302" ht="12.75" x14ac:dyDescent="0.2"/>
    <row r="3303" ht="12.75" x14ac:dyDescent="0.2"/>
    <row r="3304" ht="12.75" x14ac:dyDescent="0.2"/>
    <row r="3305" ht="12.75" x14ac:dyDescent="0.2"/>
    <row r="3306" ht="12.75" x14ac:dyDescent="0.2"/>
    <row r="3307" ht="12.75" x14ac:dyDescent="0.2"/>
    <row r="3308" ht="12.75" x14ac:dyDescent="0.2"/>
    <row r="3309" ht="12.75" x14ac:dyDescent="0.2"/>
    <row r="3310" ht="12.75" x14ac:dyDescent="0.2"/>
    <row r="3311" ht="12.75" x14ac:dyDescent="0.2"/>
    <row r="3312" ht="12.75" x14ac:dyDescent="0.2"/>
    <row r="3313" ht="12.75" x14ac:dyDescent="0.2"/>
    <row r="3314" ht="12.75" x14ac:dyDescent="0.2"/>
    <row r="3315" ht="12.75" x14ac:dyDescent="0.2"/>
    <row r="3316" ht="12.75" x14ac:dyDescent="0.2"/>
    <row r="3317" ht="12.75" x14ac:dyDescent="0.2"/>
    <row r="3318" ht="12.75" x14ac:dyDescent="0.2"/>
    <row r="3319" ht="12.75" x14ac:dyDescent="0.2"/>
    <row r="3320" ht="12.75" x14ac:dyDescent="0.2"/>
    <row r="3321" ht="12.75" x14ac:dyDescent="0.2"/>
    <row r="3322" ht="12.75" x14ac:dyDescent="0.2"/>
    <row r="3323" ht="12.75" x14ac:dyDescent="0.2"/>
    <row r="3324" ht="12.75" x14ac:dyDescent="0.2"/>
    <row r="3325" ht="12.75" x14ac:dyDescent="0.2"/>
    <row r="3326" ht="12.75" x14ac:dyDescent="0.2"/>
    <row r="3327" ht="12.75" x14ac:dyDescent="0.2"/>
    <row r="3328" ht="12.75" x14ac:dyDescent="0.2"/>
    <row r="3329" ht="12.75" x14ac:dyDescent="0.2"/>
    <row r="3330" ht="12.75" x14ac:dyDescent="0.2"/>
    <row r="3331" ht="12.75" x14ac:dyDescent="0.2"/>
    <row r="3332" ht="12.75" x14ac:dyDescent="0.2"/>
    <row r="3333" ht="12.75" x14ac:dyDescent="0.2"/>
    <row r="3334" ht="12.75" x14ac:dyDescent="0.2"/>
    <row r="3335" ht="12.75" x14ac:dyDescent="0.2"/>
    <row r="3336" ht="12.75" x14ac:dyDescent="0.2"/>
    <row r="3337" ht="12.75" x14ac:dyDescent="0.2"/>
    <row r="3338" ht="12.75" x14ac:dyDescent="0.2"/>
    <row r="3339" ht="12.75" x14ac:dyDescent="0.2"/>
    <row r="3340" ht="12.75" x14ac:dyDescent="0.2"/>
    <row r="3341" ht="12.75" x14ac:dyDescent="0.2"/>
    <row r="3342" ht="12.75" x14ac:dyDescent="0.2"/>
    <row r="3343" ht="12.75" x14ac:dyDescent="0.2"/>
    <row r="3344" ht="12.75" x14ac:dyDescent="0.2"/>
    <row r="3345" ht="12.75" x14ac:dyDescent="0.2"/>
    <row r="3346" ht="12.75" x14ac:dyDescent="0.2"/>
    <row r="3347" ht="12.75" x14ac:dyDescent="0.2"/>
    <row r="3348" ht="12.75" x14ac:dyDescent="0.2"/>
    <row r="3349" ht="12.75" x14ac:dyDescent="0.2"/>
    <row r="3350" ht="12.75" x14ac:dyDescent="0.2"/>
    <row r="3351" ht="12.75" x14ac:dyDescent="0.2"/>
    <row r="3352" ht="12.75" x14ac:dyDescent="0.2"/>
    <row r="3353" ht="12.75" x14ac:dyDescent="0.2"/>
    <row r="3354" ht="12.75" x14ac:dyDescent="0.2"/>
    <row r="3355" ht="12.75" x14ac:dyDescent="0.2"/>
    <row r="3356" ht="12.75" x14ac:dyDescent="0.2"/>
    <row r="3357" ht="12.75" x14ac:dyDescent="0.2"/>
    <row r="3358" ht="12.75" x14ac:dyDescent="0.2"/>
    <row r="3359" ht="12.75" x14ac:dyDescent="0.2"/>
    <row r="3360" ht="12.75" x14ac:dyDescent="0.2"/>
    <row r="3361" ht="12.75" x14ac:dyDescent="0.2"/>
    <row r="3362" ht="12.75" x14ac:dyDescent="0.2"/>
    <row r="3363" ht="12.75" x14ac:dyDescent="0.2"/>
    <row r="3364" ht="12.75" x14ac:dyDescent="0.2"/>
    <row r="3365" ht="12.75" x14ac:dyDescent="0.2"/>
    <row r="3366" ht="12.75" x14ac:dyDescent="0.2"/>
    <row r="3367" ht="12.75" x14ac:dyDescent="0.2"/>
    <row r="3368" ht="12.75" x14ac:dyDescent="0.2"/>
    <row r="3369" ht="12.75" x14ac:dyDescent="0.2"/>
    <row r="3370" ht="12.75" x14ac:dyDescent="0.2"/>
    <row r="3371" ht="12.75" x14ac:dyDescent="0.2"/>
    <row r="3372" ht="12.75" x14ac:dyDescent="0.2"/>
    <row r="3373" ht="12.75" x14ac:dyDescent="0.2"/>
    <row r="3374" ht="12.75" x14ac:dyDescent="0.2"/>
    <row r="3375" ht="12.75" x14ac:dyDescent="0.2"/>
    <row r="3376" ht="12.75" x14ac:dyDescent="0.2"/>
    <row r="3377" ht="12.75" x14ac:dyDescent="0.2"/>
    <row r="3378" ht="12.75" x14ac:dyDescent="0.2"/>
    <row r="3379" ht="12.75" x14ac:dyDescent="0.2"/>
    <row r="3380" ht="12.75" x14ac:dyDescent="0.2"/>
    <row r="3381" ht="12.75" x14ac:dyDescent="0.2"/>
    <row r="3382" ht="12.75" x14ac:dyDescent="0.2"/>
    <row r="3383" ht="12.75" x14ac:dyDescent="0.2"/>
    <row r="3384" ht="12.75" x14ac:dyDescent="0.2"/>
    <row r="3385" ht="12.75" x14ac:dyDescent="0.2"/>
    <row r="3386" ht="12.75" x14ac:dyDescent="0.2"/>
    <row r="3387" ht="12.75" x14ac:dyDescent="0.2"/>
    <row r="3388" ht="12.75" x14ac:dyDescent="0.2"/>
    <row r="3389" ht="12.75" x14ac:dyDescent="0.2"/>
    <row r="3390" ht="12.75" x14ac:dyDescent="0.2"/>
    <row r="3391" ht="12.75" x14ac:dyDescent="0.2"/>
    <row r="3392" ht="12.75" x14ac:dyDescent="0.2"/>
    <row r="3393" ht="12.75" x14ac:dyDescent="0.2"/>
    <row r="3394" ht="12.75" x14ac:dyDescent="0.2"/>
    <row r="3395" ht="12.75" x14ac:dyDescent="0.2"/>
    <row r="3396" ht="12.75" x14ac:dyDescent="0.2"/>
    <row r="3397" ht="12.75" x14ac:dyDescent="0.2"/>
    <row r="3398" ht="12.75" x14ac:dyDescent="0.2"/>
    <row r="3399" ht="12.75" x14ac:dyDescent="0.2"/>
    <row r="3400" ht="12.75" x14ac:dyDescent="0.2"/>
    <row r="3401" ht="12.75" x14ac:dyDescent="0.2"/>
    <row r="3402" ht="12.75" x14ac:dyDescent="0.2"/>
    <row r="3403" ht="12.75" x14ac:dyDescent="0.2"/>
    <row r="3404" ht="12.75" x14ac:dyDescent="0.2"/>
    <row r="3405" ht="12.75" x14ac:dyDescent="0.2"/>
    <row r="3406" ht="12.75" x14ac:dyDescent="0.2"/>
    <row r="3407" ht="12.75" x14ac:dyDescent="0.2"/>
    <row r="3408" ht="12.75" x14ac:dyDescent="0.2"/>
    <row r="3409" ht="12.75" x14ac:dyDescent="0.2"/>
    <row r="3410" ht="12.75" x14ac:dyDescent="0.2"/>
    <row r="3411" ht="12.75" x14ac:dyDescent="0.2"/>
    <row r="3412" ht="12.75" x14ac:dyDescent="0.2"/>
    <row r="3413" ht="12.75" x14ac:dyDescent="0.2"/>
    <row r="3414" ht="12.75" x14ac:dyDescent="0.2"/>
    <row r="3415" ht="12.75" x14ac:dyDescent="0.2"/>
    <row r="3416" ht="12.75" x14ac:dyDescent="0.2"/>
    <row r="3417" ht="12.75" x14ac:dyDescent="0.2"/>
    <row r="3418" ht="12.75" x14ac:dyDescent="0.2"/>
    <row r="3419" ht="12.75" x14ac:dyDescent="0.2"/>
    <row r="3420" ht="12.75" x14ac:dyDescent="0.2"/>
    <row r="3421" ht="12.75" x14ac:dyDescent="0.2"/>
    <row r="3422" ht="12.75" x14ac:dyDescent="0.2"/>
    <row r="3423" ht="12.75" x14ac:dyDescent="0.2"/>
    <row r="3424" ht="12.75" x14ac:dyDescent="0.2"/>
    <row r="3425" ht="12.75" x14ac:dyDescent="0.2"/>
    <row r="3426" ht="12.75" x14ac:dyDescent="0.2"/>
    <row r="3427" ht="12.75" x14ac:dyDescent="0.2"/>
    <row r="3428" ht="12.75" x14ac:dyDescent="0.2"/>
    <row r="3429" ht="12.75" x14ac:dyDescent="0.2"/>
    <row r="3430" ht="12.75" x14ac:dyDescent="0.2"/>
    <row r="3431" ht="12.75" x14ac:dyDescent="0.2"/>
    <row r="3432" ht="12.75" x14ac:dyDescent="0.2"/>
    <row r="3433" ht="12.75" x14ac:dyDescent="0.2"/>
    <row r="3434" ht="12.75" x14ac:dyDescent="0.2"/>
    <row r="3435" ht="12.75" x14ac:dyDescent="0.2"/>
    <row r="3436" ht="12.75" x14ac:dyDescent="0.2"/>
    <row r="3437" ht="12.75" x14ac:dyDescent="0.2"/>
    <row r="3438" ht="12.75" x14ac:dyDescent="0.2"/>
    <row r="3439" ht="12.75" x14ac:dyDescent="0.2"/>
    <row r="3440" ht="12.75" x14ac:dyDescent="0.2"/>
    <row r="3441" ht="12.75" x14ac:dyDescent="0.2"/>
    <row r="3442" ht="12.75" x14ac:dyDescent="0.2"/>
    <row r="3443" ht="12.75" x14ac:dyDescent="0.2"/>
    <row r="3444" ht="12.75" x14ac:dyDescent="0.2"/>
    <row r="3445" ht="12.75" x14ac:dyDescent="0.2"/>
    <row r="3446" ht="12.75" x14ac:dyDescent="0.2"/>
    <row r="3447" ht="12.75" x14ac:dyDescent="0.2"/>
    <row r="3448" ht="12.75" x14ac:dyDescent="0.2"/>
    <row r="3449" ht="12.75" x14ac:dyDescent="0.2"/>
    <row r="3450" ht="12.75" x14ac:dyDescent="0.2"/>
    <row r="3451" ht="12.75" x14ac:dyDescent="0.2"/>
    <row r="3452" ht="12.75" x14ac:dyDescent="0.2"/>
    <row r="3453" ht="12.75" x14ac:dyDescent="0.2"/>
    <row r="3454" ht="12.75" x14ac:dyDescent="0.2"/>
    <row r="3455" ht="12.75" x14ac:dyDescent="0.2"/>
    <row r="3456" ht="12.75" x14ac:dyDescent="0.2"/>
    <row r="3457" ht="12.75" x14ac:dyDescent="0.2"/>
    <row r="3458" ht="12.75" x14ac:dyDescent="0.2"/>
    <row r="3459" ht="12.75" x14ac:dyDescent="0.2"/>
    <row r="3460" ht="12.75" x14ac:dyDescent="0.2"/>
    <row r="3461" ht="12.75" x14ac:dyDescent="0.2"/>
    <row r="3462" ht="12.75" x14ac:dyDescent="0.2"/>
    <row r="3463" ht="12.75" x14ac:dyDescent="0.2"/>
    <row r="3464" ht="12.75" x14ac:dyDescent="0.2"/>
    <row r="3465" ht="12.75" x14ac:dyDescent="0.2"/>
    <row r="3466" ht="12.75" x14ac:dyDescent="0.2"/>
    <row r="3467" ht="12.75" x14ac:dyDescent="0.2"/>
    <row r="3468" ht="12.75" x14ac:dyDescent="0.2"/>
    <row r="3469" ht="12.75" x14ac:dyDescent="0.2"/>
    <row r="3470" ht="12.75" x14ac:dyDescent="0.2"/>
    <row r="3471" ht="12.75" x14ac:dyDescent="0.2"/>
    <row r="3472" ht="12.75" x14ac:dyDescent="0.2"/>
    <row r="3473" ht="12.75" x14ac:dyDescent="0.2"/>
    <row r="3474" ht="12.75" x14ac:dyDescent="0.2"/>
    <row r="3475" ht="12.75" x14ac:dyDescent="0.2"/>
    <row r="3476" ht="12.75" x14ac:dyDescent="0.2"/>
    <row r="3477" ht="12.75" x14ac:dyDescent="0.2"/>
    <row r="3478" ht="12.75" x14ac:dyDescent="0.2"/>
    <row r="3479" ht="12.75" x14ac:dyDescent="0.2"/>
    <row r="3480" ht="12.75" x14ac:dyDescent="0.2"/>
    <row r="3481" ht="12.75" x14ac:dyDescent="0.2"/>
    <row r="3482" ht="12.75" x14ac:dyDescent="0.2"/>
    <row r="3483" ht="12.75" x14ac:dyDescent="0.2"/>
    <row r="3484" ht="12.75" x14ac:dyDescent="0.2"/>
    <row r="3485" ht="12.75" x14ac:dyDescent="0.2"/>
    <row r="3486" ht="12.75" x14ac:dyDescent="0.2"/>
    <row r="3487" ht="12.75" x14ac:dyDescent="0.2"/>
    <row r="3488" ht="12.75" x14ac:dyDescent="0.2"/>
    <row r="3489" ht="12.75" x14ac:dyDescent="0.2"/>
    <row r="3490" ht="12.75" x14ac:dyDescent="0.2"/>
    <row r="3491" ht="12.75" x14ac:dyDescent="0.2"/>
    <row r="3492" ht="12.75" x14ac:dyDescent="0.2"/>
    <row r="3493" ht="12.75" x14ac:dyDescent="0.2"/>
    <row r="3494" ht="12.75" x14ac:dyDescent="0.2"/>
    <row r="3495" ht="12.75" x14ac:dyDescent="0.2"/>
    <row r="3496" ht="12.75" x14ac:dyDescent="0.2"/>
    <row r="3497" ht="12.75" x14ac:dyDescent="0.2"/>
    <row r="3498" ht="12.75" x14ac:dyDescent="0.2"/>
    <row r="3499" ht="12.75" x14ac:dyDescent="0.2"/>
    <row r="3500" ht="12.75" x14ac:dyDescent="0.2"/>
    <row r="3501" ht="12.75" x14ac:dyDescent="0.2"/>
    <row r="3502" ht="12.75" x14ac:dyDescent="0.2"/>
    <row r="3503" ht="12.75" x14ac:dyDescent="0.2"/>
    <row r="3504" ht="12.75" x14ac:dyDescent="0.2"/>
    <row r="3505" ht="12.75" x14ac:dyDescent="0.2"/>
    <row r="3506" ht="12.75" x14ac:dyDescent="0.2"/>
    <row r="3507" ht="12.75" x14ac:dyDescent="0.2"/>
    <row r="3508" ht="12.75" x14ac:dyDescent="0.2"/>
    <row r="3509" ht="12.75" x14ac:dyDescent="0.2"/>
    <row r="3510" ht="12.75" x14ac:dyDescent="0.2"/>
    <row r="3511" ht="12.75" x14ac:dyDescent="0.2"/>
    <row r="3512" ht="12.75" x14ac:dyDescent="0.2"/>
    <row r="3513" ht="12.75" x14ac:dyDescent="0.2"/>
    <row r="3514" ht="12.75" x14ac:dyDescent="0.2"/>
    <row r="3515" ht="12.75" x14ac:dyDescent="0.2"/>
    <row r="3516" ht="12.75" x14ac:dyDescent="0.2"/>
    <row r="3517" ht="12.75" x14ac:dyDescent="0.2"/>
    <row r="3518" ht="12.75" x14ac:dyDescent="0.2"/>
    <row r="3519" ht="12.75" x14ac:dyDescent="0.2"/>
    <row r="3520" ht="12.75" x14ac:dyDescent="0.2"/>
    <row r="3521" ht="12.75" x14ac:dyDescent="0.2"/>
    <row r="3522" ht="12.75" x14ac:dyDescent="0.2"/>
    <row r="3523" ht="12.75" x14ac:dyDescent="0.2"/>
    <row r="3524" ht="12.75" x14ac:dyDescent="0.2"/>
    <row r="3525" ht="12.75" x14ac:dyDescent="0.2"/>
    <row r="3526" ht="12.75" x14ac:dyDescent="0.2"/>
    <row r="3527" ht="12.75" x14ac:dyDescent="0.2"/>
    <row r="3528" ht="12.75" x14ac:dyDescent="0.2"/>
    <row r="3529" ht="12.75" x14ac:dyDescent="0.2"/>
    <row r="3530" ht="12.75" x14ac:dyDescent="0.2"/>
    <row r="3531" ht="12.75" x14ac:dyDescent="0.2"/>
    <row r="3532" ht="12.75" x14ac:dyDescent="0.2"/>
    <row r="3533" ht="12.75" x14ac:dyDescent="0.2"/>
    <row r="3534" ht="12.75" x14ac:dyDescent="0.2"/>
    <row r="3535" ht="12.75" x14ac:dyDescent="0.2"/>
    <row r="3536" ht="12.75" x14ac:dyDescent="0.2"/>
    <row r="3537" ht="12.75" x14ac:dyDescent="0.2"/>
    <row r="3538" ht="12.75" x14ac:dyDescent="0.2"/>
    <row r="3539" ht="12.75" x14ac:dyDescent="0.2"/>
    <row r="3540" ht="12.75" x14ac:dyDescent="0.2"/>
    <row r="3541" ht="12.75" x14ac:dyDescent="0.2"/>
    <row r="3542" ht="12.75" x14ac:dyDescent="0.2"/>
    <row r="3543" ht="12.75" x14ac:dyDescent="0.2"/>
    <row r="3544" ht="12.75" x14ac:dyDescent="0.2"/>
    <row r="3545" ht="12.75" x14ac:dyDescent="0.2"/>
    <row r="3546" ht="12.75" x14ac:dyDescent="0.2"/>
    <row r="3547" ht="12.75" x14ac:dyDescent="0.2"/>
    <row r="3548" ht="12.75" x14ac:dyDescent="0.2"/>
    <row r="3549" ht="12.75" x14ac:dyDescent="0.2"/>
    <row r="3550" ht="12.75" x14ac:dyDescent="0.2"/>
    <row r="3551" ht="12.75" x14ac:dyDescent="0.2"/>
    <row r="3552" ht="12.75" x14ac:dyDescent="0.2"/>
    <row r="3553" ht="12.75" x14ac:dyDescent="0.2"/>
    <row r="3554" ht="12.75" x14ac:dyDescent="0.2"/>
    <row r="3555" ht="12.75" x14ac:dyDescent="0.2"/>
    <row r="3556" ht="12.75" x14ac:dyDescent="0.2"/>
    <row r="3557" ht="12.75" x14ac:dyDescent="0.2"/>
    <row r="3558" ht="12.75" x14ac:dyDescent="0.2"/>
    <row r="3559" ht="12.75" x14ac:dyDescent="0.2"/>
    <row r="3560" ht="12.75" x14ac:dyDescent="0.2"/>
    <row r="3561" ht="12.75" x14ac:dyDescent="0.2"/>
    <row r="3562" ht="12.75" x14ac:dyDescent="0.2"/>
    <row r="3563" ht="12.75" x14ac:dyDescent="0.2"/>
    <row r="3564" ht="12.75" x14ac:dyDescent="0.2"/>
    <row r="3565" ht="12.75" x14ac:dyDescent="0.2"/>
    <row r="3566" ht="12.75" x14ac:dyDescent="0.2"/>
    <row r="3567" ht="12.75" x14ac:dyDescent="0.2"/>
    <row r="3568" ht="12.75" x14ac:dyDescent="0.2"/>
    <row r="3569" ht="12.75" x14ac:dyDescent="0.2"/>
    <row r="3570" ht="12.75" x14ac:dyDescent="0.2"/>
    <row r="3571" ht="12.75" x14ac:dyDescent="0.2"/>
    <row r="3572" ht="12.75" x14ac:dyDescent="0.2"/>
    <row r="3573" ht="12.75" x14ac:dyDescent="0.2"/>
    <row r="3574" ht="12.75" x14ac:dyDescent="0.2"/>
    <row r="3575" ht="12.75" x14ac:dyDescent="0.2"/>
    <row r="3576" ht="12.75" x14ac:dyDescent="0.2"/>
    <row r="3577" ht="12.75" x14ac:dyDescent="0.2"/>
    <row r="3578" ht="12.75" x14ac:dyDescent="0.2"/>
    <row r="3579" ht="12.75" x14ac:dyDescent="0.2"/>
    <row r="3580" ht="12.75" x14ac:dyDescent="0.2"/>
    <row r="3581" ht="12.75" x14ac:dyDescent="0.2"/>
    <row r="3582" ht="12.75" x14ac:dyDescent="0.2"/>
    <row r="3583" ht="12.75" x14ac:dyDescent="0.2"/>
    <row r="3584" ht="12.75" x14ac:dyDescent="0.2"/>
    <row r="3585" ht="12.75" x14ac:dyDescent="0.2"/>
    <row r="3586" ht="12.75" x14ac:dyDescent="0.2"/>
    <row r="3587" ht="12.75" x14ac:dyDescent="0.2"/>
    <row r="3588" ht="12.75" x14ac:dyDescent="0.2"/>
    <row r="3589" ht="12.75" x14ac:dyDescent="0.2"/>
    <row r="3590" ht="12.75" x14ac:dyDescent="0.2"/>
    <row r="3591" ht="12.75" x14ac:dyDescent="0.2"/>
    <row r="3592" ht="12.75" x14ac:dyDescent="0.2"/>
    <row r="3593" ht="12.75" x14ac:dyDescent="0.2"/>
    <row r="3594" ht="12.75" x14ac:dyDescent="0.2"/>
    <row r="3595" ht="12.75" x14ac:dyDescent="0.2"/>
    <row r="3596" ht="12.75" x14ac:dyDescent="0.2"/>
    <row r="3597" ht="12.75" x14ac:dyDescent="0.2"/>
    <row r="3598" ht="12.75" x14ac:dyDescent="0.2"/>
    <row r="3599" ht="12.75" x14ac:dyDescent="0.2"/>
    <row r="3600" ht="12.75" x14ac:dyDescent="0.2"/>
    <row r="3601" ht="12.75" x14ac:dyDescent="0.2"/>
    <row r="3602" ht="12.75" x14ac:dyDescent="0.2"/>
    <row r="3603" ht="12.75" x14ac:dyDescent="0.2"/>
    <row r="3604" ht="12.75" x14ac:dyDescent="0.2"/>
    <row r="3605" ht="12.75" x14ac:dyDescent="0.2"/>
    <row r="3606" ht="12.75" x14ac:dyDescent="0.2"/>
    <row r="3607" ht="12.75" x14ac:dyDescent="0.2"/>
    <row r="3608" ht="12.75" x14ac:dyDescent="0.2"/>
    <row r="3609" ht="12.75" x14ac:dyDescent="0.2"/>
    <row r="3610" ht="12.75" x14ac:dyDescent="0.2"/>
    <row r="3611" ht="12.75" x14ac:dyDescent="0.2"/>
    <row r="3612" ht="12.75" x14ac:dyDescent="0.2"/>
    <row r="3613" ht="12.75" x14ac:dyDescent="0.2"/>
    <row r="3614" ht="12.75" x14ac:dyDescent="0.2"/>
    <row r="3615" ht="12.75" x14ac:dyDescent="0.2"/>
    <row r="3616" ht="12.75" x14ac:dyDescent="0.2"/>
    <row r="3617" ht="12.75" x14ac:dyDescent="0.2"/>
    <row r="3618" ht="12.75" x14ac:dyDescent="0.2"/>
    <row r="3619" ht="12.75" x14ac:dyDescent="0.2"/>
    <row r="3620" ht="12.75" x14ac:dyDescent="0.2"/>
    <row r="3621" ht="12.75" x14ac:dyDescent="0.2"/>
    <row r="3622" ht="12.75" x14ac:dyDescent="0.2"/>
    <row r="3623" ht="12.75" x14ac:dyDescent="0.2"/>
    <row r="3624" ht="12.75" x14ac:dyDescent="0.2"/>
    <row r="3625" ht="12.75" x14ac:dyDescent="0.2"/>
    <row r="3626" ht="12.75" x14ac:dyDescent="0.2"/>
    <row r="3627" ht="12.75" x14ac:dyDescent="0.2"/>
    <row r="3628" ht="12.75" x14ac:dyDescent="0.2"/>
    <row r="3629" ht="12.75" x14ac:dyDescent="0.2"/>
    <row r="3630" ht="12.75" x14ac:dyDescent="0.2"/>
    <row r="3631" ht="12.75" x14ac:dyDescent="0.2"/>
    <row r="3632" ht="12.75" x14ac:dyDescent="0.2"/>
    <row r="3633" ht="12.75" x14ac:dyDescent="0.2"/>
    <row r="3634" ht="12.75" x14ac:dyDescent="0.2"/>
    <row r="3635" ht="12.75" x14ac:dyDescent="0.2"/>
    <row r="3636" ht="12.75" x14ac:dyDescent="0.2"/>
    <row r="3637" ht="12.75" x14ac:dyDescent="0.2"/>
    <row r="3638" ht="12.75" x14ac:dyDescent="0.2"/>
    <row r="3639" ht="12.75" x14ac:dyDescent="0.2"/>
    <row r="3640" ht="12.75" x14ac:dyDescent="0.2"/>
    <row r="3641" ht="12.75" x14ac:dyDescent="0.2"/>
    <row r="3642" ht="12.75" x14ac:dyDescent="0.2"/>
    <row r="3643" ht="12.75" x14ac:dyDescent="0.2"/>
    <row r="3644" ht="12.75" x14ac:dyDescent="0.2"/>
    <row r="3645" ht="12.75" x14ac:dyDescent="0.2"/>
    <row r="3646" ht="12.75" x14ac:dyDescent="0.2"/>
    <row r="3647" ht="12.75" x14ac:dyDescent="0.2"/>
    <row r="3648" ht="12.75" x14ac:dyDescent="0.2"/>
    <row r="3649" ht="12.75" x14ac:dyDescent="0.2"/>
    <row r="3650" ht="12.75" x14ac:dyDescent="0.2"/>
    <row r="3651" ht="12.75" x14ac:dyDescent="0.2"/>
    <row r="3652" ht="12.75" x14ac:dyDescent="0.2"/>
    <row r="3653" ht="12.75" x14ac:dyDescent="0.2"/>
    <row r="3654" ht="12.75" x14ac:dyDescent="0.2"/>
    <row r="3655" ht="12.75" x14ac:dyDescent="0.2"/>
    <row r="3656" ht="12.75" x14ac:dyDescent="0.2"/>
    <row r="3657" ht="12.75" x14ac:dyDescent="0.2"/>
    <row r="3658" ht="12.75" x14ac:dyDescent="0.2"/>
    <row r="3659" ht="12.75" x14ac:dyDescent="0.2"/>
    <row r="3660" ht="12.75" x14ac:dyDescent="0.2"/>
    <row r="3661" ht="12.75" x14ac:dyDescent="0.2"/>
    <row r="3662" ht="12.75" x14ac:dyDescent="0.2"/>
    <row r="3663" ht="12.75" x14ac:dyDescent="0.2"/>
    <row r="3664" ht="12.75" x14ac:dyDescent="0.2"/>
    <row r="3665" ht="12.75" x14ac:dyDescent="0.2"/>
    <row r="3666" ht="12.75" x14ac:dyDescent="0.2"/>
    <row r="3667" ht="12.75" x14ac:dyDescent="0.2"/>
    <row r="3668" ht="12.75" x14ac:dyDescent="0.2"/>
    <row r="3669" ht="12.75" x14ac:dyDescent="0.2"/>
    <row r="3670" ht="12.75" x14ac:dyDescent="0.2"/>
    <row r="3671" ht="12.75" x14ac:dyDescent="0.2"/>
    <row r="3672" ht="12.75" x14ac:dyDescent="0.2"/>
    <row r="3673" ht="12.75" x14ac:dyDescent="0.2"/>
    <row r="3674" ht="12.75" x14ac:dyDescent="0.2"/>
    <row r="3675" ht="12.75" x14ac:dyDescent="0.2"/>
    <row r="3676" ht="12.75" x14ac:dyDescent="0.2"/>
    <row r="3677" ht="12.75" x14ac:dyDescent="0.2"/>
    <row r="3678" ht="12.75" x14ac:dyDescent="0.2"/>
    <row r="3679" ht="12.75" x14ac:dyDescent="0.2"/>
    <row r="3680" ht="12.75" x14ac:dyDescent="0.2"/>
    <row r="3681" ht="12.75" x14ac:dyDescent="0.2"/>
    <row r="3682" ht="12.75" x14ac:dyDescent="0.2"/>
    <row r="3683" ht="12.75" x14ac:dyDescent="0.2"/>
    <row r="3684" ht="12.75" x14ac:dyDescent="0.2"/>
    <row r="3685" ht="12.75" x14ac:dyDescent="0.2"/>
    <row r="3686" ht="12.75" x14ac:dyDescent="0.2"/>
    <row r="3687" ht="12.75" x14ac:dyDescent="0.2"/>
    <row r="3688" ht="12.75" x14ac:dyDescent="0.2"/>
    <row r="3689" ht="12.75" x14ac:dyDescent="0.2"/>
    <row r="3690" ht="12.75" x14ac:dyDescent="0.2"/>
    <row r="3691" ht="12.75" x14ac:dyDescent="0.2"/>
    <row r="3692" ht="12.75" x14ac:dyDescent="0.2"/>
    <row r="3693" ht="12.75" x14ac:dyDescent="0.2"/>
    <row r="3694" ht="12.75" x14ac:dyDescent="0.2"/>
    <row r="3695" ht="12.75" x14ac:dyDescent="0.2"/>
    <row r="3696" ht="12.75" x14ac:dyDescent="0.2"/>
    <row r="3697" ht="12.75" x14ac:dyDescent="0.2"/>
    <row r="3698" ht="12.75" x14ac:dyDescent="0.2"/>
    <row r="3699" ht="12.75" x14ac:dyDescent="0.2"/>
    <row r="3700" ht="12.75" x14ac:dyDescent="0.2"/>
    <row r="3701" ht="12.75" x14ac:dyDescent="0.2"/>
    <row r="3702" ht="12.75" x14ac:dyDescent="0.2"/>
    <row r="3703" ht="12.75" x14ac:dyDescent="0.2"/>
    <row r="3704" ht="12.75" x14ac:dyDescent="0.2"/>
    <row r="3705" ht="12.75" x14ac:dyDescent="0.2"/>
    <row r="3706" ht="12.75" x14ac:dyDescent="0.2"/>
    <row r="3707" ht="12.75" x14ac:dyDescent="0.2"/>
    <row r="3708" ht="12.75" x14ac:dyDescent="0.2"/>
    <row r="3709" ht="12.75" x14ac:dyDescent="0.2"/>
    <row r="3710" ht="12.75" x14ac:dyDescent="0.2"/>
    <row r="3711" ht="12.75" x14ac:dyDescent="0.2"/>
    <row r="3712" ht="12.75" x14ac:dyDescent="0.2"/>
    <row r="3713" ht="12.75" x14ac:dyDescent="0.2"/>
    <row r="3714" ht="12.75" x14ac:dyDescent="0.2"/>
    <row r="3715" ht="12.75" x14ac:dyDescent="0.2"/>
    <row r="3716" ht="12.75" x14ac:dyDescent="0.2"/>
    <row r="3717" ht="12.75" x14ac:dyDescent="0.2"/>
    <row r="3718" ht="12.75" x14ac:dyDescent="0.2"/>
    <row r="3719" ht="12.75" x14ac:dyDescent="0.2"/>
    <row r="3720" ht="12.75" x14ac:dyDescent="0.2"/>
    <row r="3721" ht="12.75" x14ac:dyDescent="0.2"/>
    <row r="3722" ht="12.75" x14ac:dyDescent="0.2"/>
    <row r="3723" ht="12.75" x14ac:dyDescent="0.2"/>
    <row r="3724" ht="12.75" x14ac:dyDescent="0.2"/>
    <row r="3725" ht="12.75" x14ac:dyDescent="0.2"/>
    <row r="3726" ht="12.75" x14ac:dyDescent="0.2"/>
    <row r="3727" ht="12.75" x14ac:dyDescent="0.2"/>
    <row r="3728" ht="12.75" x14ac:dyDescent="0.2"/>
    <row r="3729" ht="12.75" x14ac:dyDescent="0.2"/>
    <row r="3730" ht="12.75" x14ac:dyDescent="0.2"/>
    <row r="3731" ht="12.75" x14ac:dyDescent="0.2"/>
    <row r="3732" ht="12.75" x14ac:dyDescent="0.2"/>
    <row r="3733" ht="12.75" x14ac:dyDescent="0.2"/>
    <row r="3734" ht="12.75" x14ac:dyDescent="0.2"/>
    <row r="3735" ht="12.75" x14ac:dyDescent="0.2"/>
    <row r="3736" ht="12.75" x14ac:dyDescent="0.2"/>
    <row r="3737" ht="12.75" x14ac:dyDescent="0.2"/>
    <row r="3738" ht="12.75" x14ac:dyDescent="0.2"/>
    <row r="3739" ht="12.75" x14ac:dyDescent="0.2"/>
    <row r="3740" ht="12.75" x14ac:dyDescent="0.2"/>
    <row r="3741" ht="12.75" x14ac:dyDescent="0.2"/>
    <row r="3742" ht="12.75" x14ac:dyDescent="0.2"/>
    <row r="3743" ht="12.75" x14ac:dyDescent="0.2"/>
    <row r="3744" ht="12.75" x14ac:dyDescent="0.2"/>
    <row r="3745" ht="12.75" x14ac:dyDescent="0.2"/>
    <row r="3746" ht="12.75" x14ac:dyDescent="0.2"/>
    <row r="3747" ht="12.75" x14ac:dyDescent="0.2"/>
    <row r="3748" ht="12.75" x14ac:dyDescent="0.2"/>
    <row r="3749" ht="12.75" x14ac:dyDescent="0.2"/>
    <row r="3750" ht="12.75" x14ac:dyDescent="0.2"/>
    <row r="3751" ht="12.75" x14ac:dyDescent="0.2"/>
    <row r="3752" ht="12.75" x14ac:dyDescent="0.2"/>
    <row r="3753" ht="12.75" x14ac:dyDescent="0.2"/>
    <row r="3754" ht="12.75" x14ac:dyDescent="0.2"/>
    <row r="3755" ht="12.75" x14ac:dyDescent="0.2"/>
    <row r="3756" ht="12.75" x14ac:dyDescent="0.2"/>
    <row r="3757" ht="12.75" x14ac:dyDescent="0.2"/>
    <row r="3758" ht="12.75" x14ac:dyDescent="0.2"/>
    <row r="3759" ht="12.75" x14ac:dyDescent="0.2"/>
    <row r="3760" ht="12.75" x14ac:dyDescent="0.2"/>
    <row r="3761" ht="12.75" x14ac:dyDescent="0.2"/>
    <row r="3762" ht="12.75" x14ac:dyDescent="0.2"/>
    <row r="3763" ht="12.75" x14ac:dyDescent="0.2"/>
    <row r="3764" ht="12.75" x14ac:dyDescent="0.2"/>
    <row r="3765" ht="12.75" x14ac:dyDescent="0.2"/>
    <row r="3766" ht="12.75" x14ac:dyDescent="0.2"/>
    <row r="3767" ht="12.75" x14ac:dyDescent="0.2"/>
    <row r="3768" ht="12.75" x14ac:dyDescent="0.2"/>
    <row r="3769" ht="12.75" x14ac:dyDescent="0.2"/>
    <row r="3770" ht="12.75" x14ac:dyDescent="0.2"/>
    <row r="3771" ht="12.75" x14ac:dyDescent="0.2"/>
    <row r="3772" ht="12.75" x14ac:dyDescent="0.2"/>
    <row r="3773" ht="12.75" x14ac:dyDescent="0.2"/>
    <row r="3774" ht="12.75" x14ac:dyDescent="0.2"/>
    <row r="3775" ht="12.75" x14ac:dyDescent="0.2"/>
    <row r="3776" ht="12.75" x14ac:dyDescent="0.2"/>
    <row r="3777" ht="12.75" x14ac:dyDescent="0.2"/>
    <row r="3778" ht="12.75" x14ac:dyDescent="0.2"/>
    <row r="3779" ht="12.75" x14ac:dyDescent="0.2"/>
    <row r="3780" ht="12.75" x14ac:dyDescent="0.2"/>
    <row r="3781" ht="12.75" x14ac:dyDescent="0.2"/>
    <row r="3782" ht="12.75" x14ac:dyDescent="0.2"/>
    <row r="3783" ht="12.75" x14ac:dyDescent="0.2"/>
    <row r="3784" ht="12.75" x14ac:dyDescent="0.2"/>
    <row r="3785" ht="12.75" x14ac:dyDescent="0.2"/>
    <row r="3786" ht="12.75" x14ac:dyDescent="0.2"/>
    <row r="3787" ht="12.75" x14ac:dyDescent="0.2"/>
    <row r="3788" ht="12.75" x14ac:dyDescent="0.2"/>
    <row r="3789" ht="12.75" x14ac:dyDescent="0.2"/>
    <row r="3790" ht="12.75" x14ac:dyDescent="0.2"/>
    <row r="3791" ht="12.75" x14ac:dyDescent="0.2"/>
    <row r="3792" ht="12.75" x14ac:dyDescent="0.2"/>
    <row r="3793" ht="12.75" x14ac:dyDescent="0.2"/>
    <row r="3794" ht="12.75" x14ac:dyDescent="0.2"/>
    <row r="3795" ht="12.75" x14ac:dyDescent="0.2"/>
    <row r="3796" ht="12.75" x14ac:dyDescent="0.2"/>
    <row r="3797" ht="12.75" x14ac:dyDescent="0.2"/>
    <row r="3798" ht="12.75" x14ac:dyDescent="0.2"/>
    <row r="3799" ht="12.75" x14ac:dyDescent="0.2"/>
    <row r="3800" ht="12.75" x14ac:dyDescent="0.2"/>
    <row r="3801" ht="12.75" x14ac:dyDescent="0.2"/>
    <row r="3802" ht="12.75" x14ac:dyDescent="0.2"/>
    <row r="3803" ht="12.75" x14ac:dyDescent="0.2"/>
    <row r="3804" ht="12.75" x14ac:dyDescent="0.2"/>
    <row r="3805" ht="12.75" x14ac:dyDescent="0.2"/>
    <row r="3806" ht="12.75" x14ac:dyDescent="0.2"/>
    <row r="3807" ht="12.75" x14ac:dyDescent="0.2"/>
    <row r="3808" ht="12.75" x14ac:dyDescent="0.2"/>
    <row r="3809" ht="12.75" x14ac:dyDescent="0.2"/>
    <row r="3810" ht="12.75" x14ac:dyDescent="0.2"/>
    <row r="3811" ht="12.75" x14ac:dyDescent="0.2"/>
    <row r="3812" ht="12.75" x14ac:dyDescent="0.2"/>
    <row r="3813" ht="12.75" x14ac:dyDescent="0.2"/>
    <row r="3814" ht="12.75" x14ac:dyDescent="0.2"/>
    <row r="3815" ht="12.75" x14ac:dyDescent="0.2"/>
    <row r="3816" ht="12.75" x14ac:dyDescent="0.2"/>
    <row r="3817" ht="12.75" x14ac:dyDescent="0.2"/>
    <row r="3818" ht="12.75" x14ac:dyDescent="0.2"/>
    <row r="3819" ht="12.75" x14ac:dyDescent="0.2"/>
    <row r="3820" ht="12.75" x14ac:dyDescent="0.2"/>
    <row r="3821" ht="12.75" x14ac:dyDescent="0.2"/>
    <row r="3822" ht="12.75" x14ac:dyDescent="0.2"/>
    <row r="3823" ht="12.75" x14ac:dyDescent="0.2"/>
    <row r="3824" ht="12.75" x14ac:dyDescent="0.2"/>
    <row r="3825" ht="12.75" x14ac:dyDescent="0.2"/>
    <row r="3826" ht="12.75" x14ac:dyDescent="0.2"/>
    <row r="3827" ht="12.75" x14ac:dyDescent="0.2"/>
    <row r="3828" ht="12.75" x14ac:dyDescent="0.2"/>
    <row r="3829" ht="12.75" x14ac:dyDescent="0.2"/>
    <row r="3830" ht="12.75" x14ac:dyDescent="0.2"/>
    <row r="3831" ht="12.75" x14ac:dyDescent="0.2"/>
    <row r="3832" ht="12.75" x14ac:dyDescent="0.2"/>
    <row r="3833" ht="12.75" x14ac:dyDescent="0.2"/>
    <row r="3834" ht="12.75" x14ac:dyDescent="0.2"/>
    <row r="3835" ht="12.75" x14ac:dyDescent="0.2"/>
    <row r="3836" ht="12.75" x14ac:dyDescent="0.2"/>
    <row r="3837" ht="12.75" x14ac:dyDescent="0.2"/>
    <row r="3838" ht="12.75" x14ac:dyDescent="0.2"/>
    <row r="3839" ht="12.75" x14ac:dyDescent="0.2"/>
    <row r="3840" ht="12.75" x14ac:dyDescent="0.2"/>
    <row r="3841" ht="12.75" x14ac:dyDescent="0.2"/>
    <row r="3842" ht="12.75" x14ac:dyDescent="0.2"/>
    <row r="3843" ht="12.75" x14ac:dyDescent="0.2"/>
    <row r="3844" ht="12.75" x14ac:dyDescent="0.2"/>
    <row r="3845" ht="12.75" x14ac:dyDescent="0.2"/>
    <row r="3846" ht="12.75" x14ac:dyDescent="0.2"/>
    <row r="3847" ht="12.75" x14ac:dyDescent="0.2"/>
    <row r="3848" ht="12.75" x14ac:dyDescent="0.2"/>
    <row r="3849" ht="12.75" x14ac:dyDescent="0.2"/>
    <row r="3850" ht="12.75" x14ac:dyDescent="0.2"/>
    <row r="3851" ht="12.75" x14ac:dyDescent="0.2"/>
    <row r="3852" ht="12.75" x14ac:dyDescent="0.2"/>
    <row r="3853" ht="12.75" x14ac:dyDescent="0.2"/>
    <row r="3854" ht="12.75" x14ac:dyDescent="0.2"/>
    <row r="3855" ht="12.75" x14ac:dyDescent="0.2"/>
    <row r="3856" ht="12.75" x14ac:dyDescent="0.2"/>
    <row r="3857" ht="12.75" x14ac:dyDescent="0.2"/>
    <row r="3858" ht="12.75" x14ac:dyDescent="0.2"/>
    <row r="3859" ht="12.75" x14ac:dyDescent="0.2"/>
    <row r="3860" ht="12.75" x14ac:dyDescent="0.2"/>
    <row r="3861" ht="12.75" x14ac:dyDescent="0.2"/>
    <row r="3862" ht="12.75" x14ac:dyDescent="0.2"/>
    <row r="3863" ht="12.75" x14ac:dyDescent="0.2"/>
    <row r="3864" ht="12.75" x14ac:dyDescent="0.2"/>
    <row r="3865" ht="12.75" x14ac:dyDescent="0.2"/>
    <row r="3866" ht="12.75" x14ac:dyDescent="0.2"/>
    <row r="3867" ht="12.75" x14ac:dyDescent="0.2"/>
    <row r="3868" ht="12.75" x14ac:dyDescent="0.2"/>
    <row r="3869" ht="12.75" x14ac:dyDescent="0.2"/>
    <row r="3870" ht="12.75" x14ac:dyDescent="0.2"/>
    <row r="3871" ht="12.75" x14ac:dyDescent="0.2"/>
    <row r="3872" ht="12.75" x14ac:dyDescent="0.2"/>
    <row r="3873" ht="12.75" x14ac:dyDescent="0.2"/>
    <row r="3874" ht="12.75" x14ac:dyDescent="0.2"/>
    <row r="3875" ht="12.75" x14ac:dyDescent="0.2"/>
    <row r="3876" ht="12.75" x14ac:dyDescent="0.2"/>
    <row r="3877" ht="12.75" x14ac:dyDescent="0.2"/>
    <row r="3878" ht="12.75" x14ac:dyDescent="0.2"/>
    <row r="3879" ht="12.75" x14ac:dyDescent="0.2"/>
    <row r="3880" ht="12.75" x14ac:dyDescent="0.2"/>
    <row r="3881" ht="12.75" x14ac:dyDescent="0.2"/>
    <row r="3882" ht="12.75" x14ac:dyDescent="0.2"/>
    <row r="3883" ht="12.75" x14ac:dyDescent="0.2"/>
    <row r="3884" ht="12.75" x14ac:dyDescent="0.2"/>
    <row r="3885" ht="12.75" x14ac:dyDescent="0.2"/>
    <row r="3886" ht="12.75" x14ac:dyDescent="0.2"/>
    <row r="3887" ht="12.75" x14ac:dyDescent="0.2"/>
    <row r="3888" ht="12.75" x14ac:dyDescent="0.2"/>
    <row r="3889" ht="12.75" x14ac:dyDescent="0.2"/>
    <row r="3890" ht="12.75" x14ac:dyDescent="0.2"/>
    <row r="3891" ht="12.75" x14ac:dyDescent="0.2"/>
    <row r="3892" ht="12.75" x14ac:dyDescent="0.2"/>
    <row r="3893" ht="12.75" x14ac:dyDescent="0.2"/>
    <row r="3894" ht="12.75" x14ac:dyDescent="0.2"/>
    <row r="3895" ht="12.75" x14ac:dyDescent="0.2"/>
    <row r="3896" ht="12.75" x14ac:dyDescent="0.2"/>
    <row r="3897" ht="12.75" x14ac:dyDescent="0.2"/>
    <row r="3898" ht="12.75" x14ac:dyDescent="0.2"/>
    <row r="3899" ht="12.75" x14ac:dyDescent="0.2"/>
    <row r="3900" ht="12.75" x14ac:dyDescent="0.2"/>
    <row r="3901" ht="12.75" x14ac:dyDescent="0.2"/>
    <row r="3902" ht="12.75" x14ac:dyDescent="0.2"/>
    <row r="3903" ht="12.75" x14ac:dyDescent="0.2"/>
    <row r="3904" ht="12.75" x14ac:dyDescent="0.2"/>
    <row r="3905" ht="12.75" x14ac:dyDescent="0.2"/>
    <row r="3906" ht="12.75" x14ac:dyDescent="0.2"/>
    <row r="3907" ht="12.75" x14ac:dyDescent="0.2"/>
    <row r="3908" ht="12.75" x14ac:dyDescent="0.2"/>
    <row r="3909" ht="12.75" x14ac:dyDescent="0.2"/>
    <row r="3910" ht="12.75" x14ac:dyDescent="0.2"/>
    <row r="3911" ht="12.75" x14ac:dyDescent="0.2"/>
    <row r="3912" ht="12.75" x14ac:dyDescent="0.2"/>
    <row r="3913" ht="12.75" x14ac:dyDescent="0.2"/>
    <row r="3914" ht="12.75" x14ac:dyDescent="0.2"/>
    <row r="3915" ht="12.75" x14ac:dyDescent="0.2"/>
    <row r="3916" ht="12.75" x14ac:dyDescent="0.2"/>
    <row r="3917" ht="12.75" x14ac:dyDescent="0.2"/>
    <row r="3918" ht="12.75" x14ac:dyDescent="0.2"/>
    <row r="3919" ht="12.75" x14ac:dyDescent="0.2"/>
    <row r="3920" ht="12.75" x14ac:dyDescent="0.2"/>
    <row r="3921" ht="12.75" x14ac:dyDescent="0.2"/>
    <row r="3922" ht="12.75" x14ac:dyDescent="0.2"/>
    <row r="3923" ht="12.75" x14ac:dyDescent="0.2"/>
    <row r="3924" ht="12.75" x14ac:dyDescent="0.2"/>
    <row r="3925" ht="12.75" x14ac:dyDescent="0.2"/>
    <row r="3926" ht="12.75" x14ac:dyDescent="0.2"/>
    <row r="3927" ht="12.75" x14ac:dyDescent="0.2"/>
    <row r="3928" ht="12.75" x14ac:dyDescent="0.2"/>
    <row r="3929" ht="12.75" x14ac:dyDescent="0.2"/>
    <row r="3930" ht="12.75" x14ac:dyDescent="0.2"/>
    <row r="3931" ht="12.75" x14ac:dyDescent="0.2"/>
    <row r="3932" ht="12.75" x14ac:dyDescent="0.2"/>
    <row r="3933" ht="12.75" x14ac:dyDescent="0.2"/>
    <row r="3934" ht="12.75" x14ac:dyDescent="0.2"/>
    <row r="3935" ht="12.75" x14ac:dyDescent="0.2"/>
    <row r="3936" ht="12.75" x14ac:dyDescent="0.2"/>
    <row r="3937" ht="12.75" x14ac:dyDescent="0.2"/>
    <row r="3938" ht="12.75" x14ac:dyDescent="0.2"/>
    <row r="3939" ht="12.75" x14ac:dyDescent="0.2"/>
    <row r="3940" ht="12.75" x14ac:dyDescent="0.2"/>
    <row r="3941" ht="12.75" x14ac:dyDescent="0.2"/>
    <row r="3942" ht="12.75" x14ac:dyDescent="0.2"/>
    <row r="3943" ht="12.75" x14ac:dyDescent="0.2"/>
    <row r="3944" ht="12.75" x14ac:dyDescent="0.2"/>
    <row r="3945" ht="12.75" x14ac:dyDescent="0.2"/>
    <row r="3946" ht="12.75" x14ac:dyDescent="0.2"/>
    <row r="3947" ht="12.75" x14ac:dyDescent="0.2"/>
    <row r="3948" ht="12.75" x14ac:dyDescent="0.2"/>
    <row r="3949" ht="12.75" x14ac:dyDescent="0.2"/>
    <row r="3950" ht="12.75" x14ac:dyDescent="0.2"/>
    <row r="3951" ht="12.75" x14ac:dyDescent="0.2"/>
    <row r="3952" ht="12.75" x14ac:dyDescent="0.2"/>
    <row r="3953" ht="12.75" x14ac:dyDescent="0.2"/>
    <row r="3954" ht="12.75" x14ac:dyDescent="0.2"/>
    <row r="3955" ht="12.75" x14ac:dyDescent="0.2"/>
    <row r="3956" ht="12.75" x14ac:dyDescent="0.2"/>
    <row r="3957" ht="12.75" x14ac:dyDescent="0.2"/>
    <row r="3958" ht="12.75" x14ac:dyDescent="0.2"/>
    <row r="3959" ht="12.75" x14ac:dyDescent="0.2"/>
    <row r="3960" ht="12.75" x14ac:dyDescent="0.2"/>
    <row r="3961" ht="12.75" x14ac:dyDescent="0.2"/>
    <row r="3962" ht="12.75" x14ac:dyDescent="0.2"/>
    <row r="3963" ht="12.75" x14ac:dyDescent="0.2"/>
    <row r="3964" ht="12.75" x14ac:dyDescent="0.2"/>
    <row r="3965" ht="12.75" x14ac:dyDescent="0.2"/>
    <row r="3966" ht="12.75" x14ac:dyDescent="0.2"/>
    <row r="3967" ht="12.75" x14ac:dyDescent="0.2"/>
    <row r="3968" ht="12.75" x14ac:dyDescent="0.2"/>
    <row r="3969" ht="12.75" x14ac:dyDescent="0.2"/>
    <row r="3970" ht="12.75" x14ac:dyDescent="0.2"/>
    <row r="3971" ht="12.75" x14ac:dyDescent="0.2"/>
    <row r="3972" ht="12.75" x14ac:dyDescent="0.2"/>
    <row r="3973" ht="12.75" x14ac:dyDescent="0.2"/>
    <row r="3974" ht="12.75" x14ac:dyDescent="0.2"/>
    <row r="3975" ht="12.75" x14ac:dyDescent="0.2"/>
    <row r="3976" ht="12.75" x14ac:dyDescent="0.2"/>
    <row r="3977" ht="12.75" x14ac:dyDescent="0.2"/>
    <row r="3978" ht="12.75" x14ac:dyDescent="0.2"/>
    <row r="3979" ht="12.75" x14ac:dyDescent="0.2"/>
    <row r="3980" ht="12.75" x14ac:dyDescent="0.2"/>
    <row r="3981" ht="12.75" x14ac:dyDescent="0.2"/>
    <row r="3982" ht="12.75" x14ac:dyDescent="0.2"/>
    <row r="3983" ht="12.75" x14ac:dyDescent="0.2"/>
    <row r="3984" ht="12.75" x14ac:dyDescent="0.2"/>
    <row r="3985" ht="12.75" x14ac:dyDescent="0.2"/>
    <row r="3986" ht="12.75" x14ac:dyDescent="0.2"/>
    <row r="3987" ht="12.75" x14ac:dyDescent="0.2"/>
    <row r="3988" ht="12.75" x14ac:dyDescent="0.2"/>
    <row r="3989" ht="12.75" x14ac:dyDescent="0.2"/>
    <row r="3990" ht="12.75" x14ac:dyDescent="0.2"/>
    <row r="3991" ht="12.75" x14ac:dyDescent="0.2"/>
    <row r="3992" ht="12.75" x14ac:dyDescent="0.2"/>
    <row r="3993" ht="12.75" x14ac:dyDescent="0.2"/>
    <row r="3994" ht="12.75" x14ac:dyDescent="0.2"/>
    <row r="3995" ht="12.75" x14ac:dyDescent="0.2"/>
    <row r="3996" ht="12.75" x14ac:dyDescent="0.2"/>
    <row r="3997" ht="12.75" x14ac:dyDescent="0.2"/>
    <row r="3998" ht="12.75" x14ac:dyDescent="0.2"/>
    <row r="3999" ht="12.75" x14ac:dyDescent="0.2"/>
    <row r="4000" ht="12.75" x14ac:dyDescent="0.2"/>
    <row r="4001" ht="12.75" x14ac:dyDescent="0.2"/>
    <row r="4002" ht="12.75" x14ac:dyDescent="0.2"/>
    <row r="4003" ht="12.75" x14ac:dyDescent="0.2"/>
    <row r="4004" ht="12.75" x14ac:dyDescent="0.2"/>
    <row r="4005" ht="12.75" x14ac:dyDescent="0.2"/>
    <row r="4006" ht="12.75" x14ac:dyDescent="0.2"/>
    <row r="4007" ht="12.75" x14ac:dyDescent="0.2"/>
    <row r="4008" ht="12.75" x14ac:dyDescent="0.2"/>
    <row r="4009" ht="12.75" x14ac:dyDescent="0.2"/>
    <row r="4010" ht="12.75" x14ac:dyDescent="0.2"/>
    <row r="4011" ht="12.75" x14ac:dyDescent="0.2"/>
    <row r="4012" ht="12.75" x14ac:dyDescent="0.2"/>
    <row r="4013" ht="12.75" x14ac:dyDescent="0.2"/>
    <row r="4014" ht="12.75" x14ac:dyDescent="0.2"/>
    <row r="4015" ht="12.75" x14ac:dyDescent="0.2"/>
    <row r="4016" ht="12.75" x14ac:dyDescent="0.2"/>
    <row r="4017" ht="12.75" x14ac:dyDescent="0.2"/>
    <row r="4018" ht="12.75" x14ac:dyDescent="0.2"/>
    <row r="4019" ht="12.75" x14ac:dyDescent="0.2"/>
    <row r="4020" ht="12.75" x14ac:dyDescent="0.2"/>
    <row r="4021" ht="12.75" x14ac:dyDescent="0.2"/>
    <row r="4022" ht="12.75" x14ac:dyDescent="0.2"/>
    <row r="4023" ht="12.75" x14ac:dyDescent="0.2"/>
    <row r="4024" ht="12.75" x14ac:dyDescent="0.2"/>
    <row r="4025" ht="12.75" x14ac:dyDescent="0.2"/>
    <row r="4026" ht="12.75" x14ac:dyDescent="0.2"/>
    <row r="4027" ht="12.75" x14ac:dyDescent="0.2"/>
    <row r="4028" ht="12.75" x14ac:dyDescent="0.2"/>
    <row r="4029" ht="12.75" x14ac:dyDescent="0.2"/>
    <row r="4030" ht="12.75" x14ac:dyDescent="0.2"/>
    <row r="4031" ht="12.75" x14ac:dyDescent="0.2"/>
    <row r="4032" ht="12.75" x14ac:dyDescent="0.2"/>
    <row r="4033" ht="12.75" x14ac:dyDescent="0.2"/>
    <row r="4034" ht="12.75" x14ac:dyDescent="0.2"/>
    <row r="4035" ht="12.75" x14ac:dyDescent="0.2"/>
    <row r="4036" ht="12.75" x14ac:dyDescent="0.2"/>
    <row r="4037" ht="12.75" x14ac:dyDescent="0.2"/>
    <row r="4038" ht="12.75" x14ac:dyDescent="0.2"/>
    <row r="4039" ht="12.75" x14ac:dyDescent="0.2"/>
    <row r="4040" ht="12.75" x14ac:dyDescent="0.2"/>
    <row r="4041" ht="12.75" x14ac:dyDescent="0.2"/>
    <row r="4042" ht="12.75" x14ac:dyDescent="0.2"/>
    <row r="4043" ht="12.75" x14ac:dyDescent="0.2"/>
    <row r="4044" ht="12.75" x14ac:dyDescent="0.2"/>
    <row r="4045" ht="12.75" x14ac:dyDescent="0.2"/>
    <row r="4046" ht="12.75" x14ac:dyDescent="0.2"/>
    <row r="4047" ht="12.75" x14ac:dyDescent="0.2"/>
    <row r="4048" ht="12.75" x14ac:dyDescent="0.2"/>
    <row r="4049" ht="12.75" x14ac:dyDescent="0.2"/>
    <row r="4050" ht="12.75" x14ac:dyDescent="0.2"/>
    <row r="4051" ht="12.75" x14ac:dyDescent="0.2"/>
    <row r="4052" ht="12.75" x14ac:dyDescent="0.2"/>
    <row r="4053" ht="12.75" x14ac:dyDescent="0.2"/>
    <row r="4054" ht="12.75" x14ac:dyDescent="0.2"/>
    <row r="4055" ht="12.75" x14ac:dyDescent="0.2"/>
    <row r="4056" ht="12.75" x14ac:dyDescent="0.2"/>
    <row r="4057" ht="12.75" x14ac:dyDescent="0.2"/>
    <row r="4058" ht="12.75" x14ac:dyDescent="0.2"/>
    <row r="4059" ht="12.75" x14ac:dyDescent="0.2"/>
    <row r="4060" ht="12.75" x14ac:dyDescent="0.2"/>
    <row r="4061" ht="12.75" x14ac:dyDescent="0.2"/>
    <row r="4062" ht="12.75" x14ac:dyDescent="0.2"/>
    <row r="4063" ht="12.75" x14ac:dyDescent="0.2"/>
    <row r="4064" ht="12.75" x14ac:dyDescent="0.2"/>
    <row r="4065" ht="12.75" x14ac:dyDescent="0.2"/>
    <row r="4066" ht="12.75" x14ac:dyDescent="0.2"/>
    <row r="4067" ht="12.75" x14ac:dyDescent="0.2"/>
    <row r="4068" ht="12.75" x14ac:dyDescent="0.2"/>
    <row r="4069" ht="12.75" x14ac:dyDescent="0.2"/>
    <row r="4070" ht="12.75" x14ac:dyDescent="0.2"/>
    <row r="4071" ht="12.75" x14ac:dyDescent="0.2"/>
    <row r="4072" ht="12.75" x14ac:dyDescent="0.2"/>
    <row r="4073" ht="12.75" x14ac:dyDescent="0.2"/>
    <row r="4074" ht="12.75" x14ac:dyDescent="0.2"/>
    <row r="4075" ht="12.75" x14ac:dyDescent="0.2"/>
    <row r="4076" ht="12.75" x14ac:dyDescent="0.2"/>
    <row r="4077" ht="12.75" x14ac:dyDescent="0.2"/>
    <row r="4078" ht="12.75" x14ac:dyDescent="0.2"/>
    <row r="4079" ht="12.75" x14ac:dyDescent="0.2"/>
    <row r="4080" ht="12.75" x14ac:dyDescent="0.2"/>
    <row r="4081" ht="12.75" x14ac:dyDescent="0.2"/>
    <row r="4082" ht="12.75" x14ac:dyDescent="0.2"/>
    <row r="4083" ht="12.75" x14ac:dyDescent="0.2"/>
    <row r="4084" ht="12.75" x14ac:dyDescent="0.2"/>
    <row r="4085" ht="12.75" x14ac:dyDescent="0.2"/>
    <row r="4086" ht="12.75" x14ac:dyDescent="0.2"/>
    <row r="4087" ht="12.75" x14ac:dyDescent="0.2"/>
    <row r="4088" ht="12.75" x14ac:dyDescent="0.2"/>
    <row r="4089" ht="12.75" x14ac:dyDescent="0.2"/>
    <row r="4090" ht="12.75" x14ac:dyDescent="0.2"/>
    <row r="4091" ht="12.75" x14ac:dyDescent="0.2"/>
    <row r="4092" ht="12.75" x14ac:dyDescent="0.2"/>
    <row r="4093" ht="12.75" x14ac:dyDescent="0.2"/>
    <row r="4094" ht="12.75" x14ac:dyDescent="0.2"/>
    <row r="4095" ht="12.75" x14ac:dyDescent="0.2"/>
    <row r="4096" ht="12.75" x14ac:dyDescent="0.2"/>
    <row r="4097" ht="12.75" x14ac:dyDescent="0.2"/>
    <row r="4098" ht="12.75" x14ac:dyDescent="0.2"/>
    <row r="4099" ht="12.75" x14ac:dyDescent="0.2"/>
    <row r="4100" ht="12.75" x14ac:dyDescent="0.2"/>
    <row r="4101" ht="12.75" x14ac:dyDescent="0.2"/>
    <row r="4102" ht="12.75" x14ac:dyDescent="0.2"/>
    <row r="4103" ht="12.75" x14ac:dyDescent="0.2"/>
    <row r="4104" ht="12.75" x14ac:dyDescent="0.2"/>
    <row r="4105" ht="12.75" x14ac:dyDescent="0.2"/>
    <row r="4106" ht="12.75" x14ac:dyDescent="0.2"/>
    <row r="4107" ht="12.75" x14ac:dyDescent="0.2"/>
    <row r="4108" ht="12.75" x14ac:dyDescent="0.2"/>
    <row r="4109" ht="12.75" x14ac:dyDescent="0.2"/>
    <row r="4110" ht="12.75" x14ac:dyDescent="0.2"/>
    <row r="4111" ht="12.75" x14ac:dyDescent="0.2"/>
    <row r="4112" ht="12.75" x14ac:dyDescent="0.2"/>
    <row r="4113" ht="12.75" x14ac:dyDescent="0.2"/>
    <row r="4114" ht="12.75" x14ac:dyDescent="0.2"/>
    <row r="4115" ht="12.75" x14ac:dyDescent="0.2"/>
    <row r="4116" ht="12.75" x14ac:dyDescent="0.2"/>
    <row r="4117" ht="12.75" x14ac:dyDescent="0.2"/>
    <row r="4118" ht="12.75" x14ac:dyDescent="0.2"/>
    <row r="4119" ht="12.75" x14ac:dyDescent="0.2"/>
    <row r="4120" ht="12.75" x14ac:dyDescent="0.2"/>
    <row r="4121" ht="12.75" x14ac:dyDescent="0.2"/>
    <row r="4122" ht="12.75" x14ac:dyDescent="0.2"/>
    <row r="4123" ht="12.75" x14ac:dyDescent="0.2"/>
    <row r="4124" ht="12.75" x14ac:dyDescent="0.2"/>
    <row r="4125" ht="12.75" x14ac:dyDescent="0.2"/>
    <row r="4126" ht="12.75" x14ac:dyDescent="0.2"/>
    <row r="4127" ht="12.75" x14ac:dyDescent="0.2"/>
    <row r="4128" ht="12.75" x14ac:dyDescent="0.2"/>
    <row r="4129" ht="12.75" x14ac:dyDescent="0.2"/>
    <row r="4130" ht="12.75" x14ac:dyDescent="0.2"/>
    <row r="4131" ht="12.75" x14ac:dyDescent="0.2"/>
    <row r="4132" ht="12.75" x14ac:dyDescent="0.2"/>
    <row r="4133" ht="12.75" x14ac:dyDescent="0.2"/>
    <row r="4134" ht="12.75" x14ac:dyDescent="0.2"/>
    <row r="4135" ht="12.75" x14ac:dyDescent="0.2"/>
    <row r="4136" ht="12.75" x14ac:dyDescent="0.2"/>
    <row r="4137" ht="12.75" x14ac:dyDescent="0.2"/>
    <row r="4138" ht="12.75" x14ac:dyDescent="0.2"/>
    <row r="4139" ht="12.75" x14ac:dyDescent="0.2"/>
    <row r="4140" ht="12.75" x14ac:dyDescent="0.2"/>
    <row r="4141" ht="12.75" x14ac:dyDescent="0.2"/>
    <row r="4142" ht="12.75" x14ac:dyDescent="0.2"/>
    <row r="4143" ht="12.75" x14ac:dyDescent="0.2"/>
    <row r="4144" ht="12.75" x14ac:dyDescent="0.2"/>
    <row r="4145" ht="12.75" x14ac:dyDescent="0.2"/>
    <row r="4146" ht="12.75" x14ac:dyDescent="0.2"/>
    <row r="4147" ht="12.75" x14ac:dyDescent="0.2"/>
    <row r="4148" ht="12.75" x14ac:dyDescent="0.2"/>
    <row r="4149" ht="12.75" x14ac:dyDescent="0.2"/>
    <row r="4150" ht="12.75" x14ac:dyDescent="0.2"/>
    <row r="4151" ht="12.75" x14ac:dyDescent="0.2"/>
    <row r="4152" ht="12.75" x14ac:dyDescent="0.2"/>
    <row r="4153" ht="12.75" x14ac:dyDescent="0.2"/>
    <row r="4154" ht="12.75" x14ac:dyDescent="0.2"/>
    <row r="4155" ht="12.75" x14ac:dyDescent="0.2"/>
    <row r="4156" ht="12.75" x14ac:dyDescent="0.2"/>
    <row r="4157" ht="12.75" x14ac:dyDescent="0.2"/>
    <row r="4158" ht="12.75" x14ac:dyDescent="0.2"/>
    <row r="4159" ht="12.75" x14ac:dyDescent="0.2"/>
    <row r="4160" ht="12.75" x14ac:dyDescent="0.2"/>
    <row r="4161" ht="12.75" x14ac:dyDescent="0.2"/>
    <row r="4162" ht="12.75" x14ac:dyDescent="0.2"/>
    <row r="4163" ht="12.75" x14ac:dyDescent="0.2"/>
    <row r="4164" ht="12.75" x14ac:dyDescent="0.2"/>
    <row r="4165" ht="12.75" x14ac:dyDescent="0.2"/>
    <row r="4166" ht="12.75" x14ac:dyDescent="0.2"/>
    <row r="4167" ht="12.75" x14ac:dyDescent="0.2"/>
    <row r="4168" ht="12.75" x14ac:dyDescent="0.2"/>
    <row r="4169" ht="12.75" x14ac:dyDescent="0.2"/>
    <row r="4170" ht="12.75" x14ac:dyDescent="0.2"/>
    <row r="4171" ht="12.75" x14ac:dyDescent="0.2"/>
    <row r="4172" ht="12.75" x14ac:dyDescent="0.2"/>
    <row r="4173" ht="12.75" x14ac:dyDescent="0.2"/>
    <row r="4174" ht="12.75" x14ac:dyDescent="0.2"/>
    <row r="4175" ht="12.75" x14ac:dyDescent="0.2"/>
    <row r="4176" ht="12.75" x14ac:dyDescent="0.2"/>
    <row r="4177" ht="12.75" x14ac:dyDescent="0.2"/>
    <row r="4178" ht="12.75" x14ac:dyDescent="0.2"/>
    <row r="4179" ht="12.75" x14ac:dyDescent="0.2"/>
    <row r="4180" ht="12.75" x14ac:dyDescent="0.2"/>
    <row r="4181" ht="12.75" x14ac:dyDescent="0.2"/>
    <row r="4182" ht="12.75" x14ac:dyDescent="0.2"/>
    <row r="4183" ht="12.75" x14ac:dyDescent="0.2"/>
    <row r="4184" ht="12.75" x14ac:dyDescent="0.2"/>
    <row r="4185" ht="12.75" x14ac:dyDescent="0.2"/>
    <row r="4186" ht="12.75" x14ac:dyDescent="0.2"/>
    <row r="4187" ht="12.75" x14ac:dyDescent="0.2"/>
    <row r="4188" ht="12.75" x14ac:dyDescent="0.2"/>
    <row r="4189" ht="12.75" x14ac:dyDescent="0.2"/>
    <row r="4190" ht="12.75" x14ac:dyDescent="0.2"/>
    <row r="4191" ht="12.75" x14ac:dyDescent="0.2"/>
    <row r="4192" ht="12.75" x14ac:dyDescent="0.2"/>
    <row r="4193" ht="12.75" x14ac:dyDescent="0.2"/>
    <row r="4194" ht="12.75" x14ac:dyDescent="0.2"/>
    <row r="4195" ht="12.75" x14ac:dyDescent="0.2"/>
    <row r="4196" ht="12.75" x14ac:dyDescent="0.2"/>
    <row r="4197" ht="12.75" x14ac:dyDescent="0.2"/>
    <row r="4198" ht="12.75" x14ac:dyDescent="0.2"/>
    <row r="4199" ht="12.75" x14ac:dyDescent="0.2"/>
    <row r="4200" ht="12.75" x14ac:dyDescent="0.2"/>
    <row r="4201" ht="12.75" x14ac:dyDescent="0.2"/>
    <row r="4202" ht="12.75" x14ac:dyDescent="0.2"/>
    <row r="4203" ht="12.75" x14ac:dyDescent="0.2"/>
    <row r="4204" ht="12.75" x14ac:dyDescent="0.2"/>
    <row r="4205" ht="12.75" x14ac:dyDescent="0.2"/>
    <row r="4206" ht="12.75" x14ac:dyDescent="0.2"/>
    <row r="4207" ht="12.75" x14ac:dyDescent="0.2"/>
    <row r="4208" ht="12.75" x14ac:dyDescent="0.2"/>
    <row r="4209" ht="12.75" x14ac:dyDescent="0.2"/>
    <row r="4210" ht="12.75" x14ac:dyDescent="0.2"/>
    <row r="4211" ht="12.75" x14ac:dyDescent="0.2"/>
    <row r="4212" ht="12.75" x14ac:dyDescent="0.2"/>
    <row r="4213" ht="12.75" x14ac:dyDescent="0.2"/>
    <row r="4214" ht="12.75" x14ac:dyDescent="0.2"/>
    <row r="4215" ht="12.75" x14ac:dyDescent="0.2"/>
    <row r="4216" ht="12.75" x14ac:dyDescent="0.2"/>
    <row r="4217" ht="12.75" x14ac:dyDescent="0.2"/>
    <row r="4218" ht="12.75" x14ac:dyDescent="0.2"/>
    <row r="4219" ht="12.75" x14ac:dyDescent="0.2"/>
    <row r="4220" ht="12.75" x14ac:dyDescent="0.2"/>
    <row r="4221" ht="12.75" x14ac:dyDescent="0.2"/>
    <row r="4222" ht="12.75" x14ac:dyDescent="0.2"/>
    <row r="4223" ht="12.75" x14ac:dyDescent="0.2"/>
    <row r="4224" ht="12.75" x14ac:dyDescent="0.2"/>
    <row r="4225" ht="12.75" x14ac:dyDescent="0.2"/>
    <row r="4226" ht="12.75" x14ac:dyDescent="0.2"/>
    <row r="4227" ht="12.75" x14ac:dyDescent="0.2"/>
    <row r="4228" ht="12.75" x14ac:dyDescent="0.2"/>
    <row r="4229" ht="12.75" x14ac:dyDescent="0.2"/>
    <row r="4230" ht="12.75" x14ac:dyDescent="0.2"/>
    <row r="4231" ht="12.75" x14ac:dyDescent="0.2"/>
    <row r="4232" ht="12.75" x14ac:dyDescent="0.2"/>
    <row r="4233" ht="12.75" x14ac:dyDescent="0.2"/>
    <row r="4234" ht="12.75" x14ac:dyDescent="0.2"/>
    <row r="4235" ht="12.75" x14ac:dyDescent="0.2"/>
    <row r="4236" ht="12.75" x14ac:dyDescent="0.2"/>
    <row r="4237" ht="12.75" x14ac:dyDescent="0.2"/>
    <row r="4238" ht="12.75" x14ac:dyDescent="0.2"/>
    <row r="4239" ht="12.75" x14ac:dyDescent="0.2"/>
    <row r="4240" ht="12.75" x14ac:dyDescent="0.2"/>
    <row r="4241" ht="12.75" x14ac:dyDescent="0.2"/>
    <row r="4242" ht="12.75" x14ac:dyDescent="0.2"/>
    <row r="4243" ht="12.75" x14ac:dyDescent="0.2"/>
    <row r="4244" ht="12.75" x14ac:dyDescent="0.2"/>
    <row r="4245" ht="12.75" x14ac:dyDescent="0.2"/>
    <row r="4246" ht="12.75" x14ac:dyDescent="0.2"/>
    <row r="4247" ht="12.75" x14ac:dyDescent="0.2"/>
    <row r="4248" ht="12.75" x14ac:dyDescent="0.2"/>
    <row r="4249" ht="12.75" x14ac:dyDescent="0.2"/>
    <row r="4250" ht="12.75" x14ac:dyDescent="0.2"/>
    <row r="4251" ht="12.75" x14ac:dyDescent="0.2"/>
    <row r="4252" ht="12.75" x14ac:dyDescent="0.2"/>
    <row r="4253" ht="12.75" x14ac:dyDescent="0.2"/>
    <row r="4254" ht="12.75" x14ac:dyDescent="0.2"/>
    <row r="4255" ht="12.75" x14ac:dyDescent="0.2"/>
    <row r="4256" ht="12.75" x14ac:dyDescent="0.2"/>
    <row r="4257" ht="12.75" x14ac:dyDescent="0.2"/>
    <row r="4258" ht="12.75" x14ac:dyDescent="0.2"/>
    <row r="4259" ht="12.75" x14ac:dyDescent="0.2"/>
    <row r="4260" ht="12.75" x14ac:dyDescent="0.2"/>
    <row r="4261" ht="12.75" x14ac:dyDescent="0.2"/>
    <row r="4262" ht="12.75" x14ac:dyDescent="0.2"/>
    <row r="4263" ht="12.75" x14ac:dyDescent="0.2"/>
    <row r="4264" ht="12.75" x14ac:dyDescent="0.2"/>
    <row r="4265" ht="12.75" x14ac:dyDescent="0.2"/>
    <row r="4266" ht="12.75" x14ac:dyDescent="0.2"/>
    <row r="4267" ht="12.75" x14ac:dyDescent="0.2"/>
    <row r="4268" ht="12.75" x14ac:dyDescent="0.2"/>
    <row r="4269" ht="12.75" x14ac:dyDescent="0.2"/>
    <row r="4270" ht="12.75" x14ac:dyDescent="0.2"/>
    <row r="4271" ht="12.75" x14ac:dyDescent="0.2"/>
    <row r="4272" ht="12.75" x14ac:dyDescent="0.2"/>
    <row r="4273" ht="12.75" x14ac:dyDescent="0.2"/>
    <row r="4274" ht="12.75" x14ac:dyDescent="0.2"/>
    <row r="4275" ht="12.75" x14ac:dyDescent="0.2"/>
    <row r="4276" ht="12.75" x14ac:dyDescent="0.2"/>
    <row r="4277" ht="12.75" x14ac:dyDescent="0.2"/>
    <row r="4278" ht="12.75" x14ac:dyDescent="0.2"/>
    <row r="4279" ht="12.75" x14ac:dyDescent="0.2"/>
    <row r="4280" ht="12.75" x14ac:dyDescent="0.2"/>
    <row r="4281" ht="12.75" x14ac:dyDescent="0.2"/>
    <row r="4282" ht="12.75" x14ac:dyDescent="0.2"/>
    <row r="4283" ht="12.75" x14ac:dyDescent="0.2"/>
    <row r="4284" ht="12.75" x14ac:dyDescent="0.2"/>
    <row r="4285" ht="12.75" x14ac:dyDescent="0.2"/>
    <row r="4286" ht="12.75" x14ac:dyDescent="0.2"/>
    <row r="4287" ht="12.75" x14ac:dyDescent="0.2"/>
    <row r="4288" ht="12.75" x14ac:dyDescent="0.2"/>
    <row r="4289" ht="12.75" x14ac:dyDescent="0.2"/>
    <row r="4290" ht="12.75" x14ac:dyDescent="0.2"/>
    <row r="4291" ht="12.75" x14ac:dyDescent="0.2"/>
    <row r="4292" ht="12.75" x14ac:dyDescent="0.2"/>
    <row r="4293" ht="12.75" x14ac:dyDescent="0.2"/>
    <row r="4294" ht="12.75" x14ac:dyDescent="0.2"/>
    <row r="4295" ht="12.75" x14ac:dyDescent="0.2"/>
    <row r="4296" ht="12.75" x14ac:dyDescent="0.2"/>
    <row r="4297" ht="12.75" x14ac:dyDescent="0.2"/>
    <row r="4298" ht="12.75" x14ac:dyDescent="0.2"/>
    <row r="4299" ht="12.75" x14ac:dyDescent="0.2"/>
    <row r="4300" ht="12.75" x14ac:dyDescent="0.2"/>
    <row r="4301" ht="12.75" x14ac:dyDescent="0.2"/>
    <row r="4302" ht="12.75" x14ac:dyDescent="0.2"/>
    <row r="4303" ht="12.75" x14ac:dyDescent="0.2"/>
    <row r="4304" ht="12.75" x14ac:dyDescent="0.2"/>
    <row r="4305" ht="12.75" x14ac:dyDescent="0.2"/>
    <row r="4306" ht="12.75" x14ac:dyDescent="0.2"/>
    <row r="4307" ht="12.75" x14ac:dyDescent="0.2"/>
    <row r="4308" ht="12.75" x14ac:dyDescent="0.2"/>
    <row r="4309" ht="12.75" x14ac:dyDescent="0.2"/>
    <row r="4310" ht="12.75" x14ac:dyDescent="0.2"/>
    <row r="4311" ht="12.75" x14ac:dyDescent="0.2"/>
    <row r="4312" ht="12.75" x14ac:dyDescent="0.2"/>
    <row r="4313" ht="12.75" x14ac:dyDescent="0.2"/>
    <row r="4314" ht="12.75" x14ac:dyDescent="0.2"/>
    <row r="4315" ht="12.75" x14ac:dyDescent="0.2"/>
    <row r="4316" ht="12.75" x14ac:dyDescent="0.2"/>
    <row r="4317" ht="12.75" x14ac:dyDescent="0.2"/>
    <row r="4318" ht="12.75" x14ac:dyDescent="0.2"/>
    <row r="4319" ht="12.75" x14ac:dyDescent="0.2"/>
    <row r="4320" ht="12.75" x14ac:dyDescent="0.2"/>
    <row r="4321" ht="12.75" x14ac:dyDescent="0.2"/>
    <row r="4322" ht="12.75" x14ac:dyDescent="0.2"/>
    <row r="4323" ht="12.75" x14ac:dyDescent="0.2"/>
    <row r="4324" ht="12.75" x14ac:dyDescent="0.2"/>
    <row r="4325" ht="12.75" x14ac:dyDescent="0.2"/>
    <row r="4326" ht="12.75" x14ac:dyDescent="0.2"/>
    <row r="4327" ht="12.75" x14ac:dyDescent="0.2"/>
    <row r="4328" ht="12.75" x14ac:dyDescent="0.2"/>
    <row r="4329" ht="12.75" x14ac:dyDescent="0.2"/>
    <row r="4330" ht="12.75" x14ac:dyDescent="0.2"/>
    <row r="4331" ht="12.75" x14ac:dyDescent="0.2"/>
    <row r="4332" ht="12.75" x14ac:dyDescent="0.2"/>
    <row r="4333" ht="12.75" x14ac:dyDescent="0.2"/>
    <row r="4334" ht="12.75" x14ac:dyDescent="0.2"/>
    <row r="4335" ht="12.75" x14ac:dyDescent="0.2"/>
    <row r="4336" ht="12.75" x14ac:dyDescent="0.2"/>
    <row r="4337" ht="12.75" x14ac:dyDescent="0.2"/>
    <row r="4338" ht="12.75" x14ac:dyDescent="0.2"/>
    <row r="4339" ht="12.75" x14ac:dyDescent="0.2"/>
    <row r="4340" ht="12.75" x14ac:dyDescent="0.2"/>
    <row r="4341" ht="12.75" x14ac:dyDescent="0.2"/>
    <row r="4342" ht="12.75" x14ac:dyDescent="0.2"/>
    <row r="4343" ht="12.75" x14ac:dyDescent="0.2"/>
    <row r="4344" ht="12.75" x14ac:dyDescent="0.2"/>
    <row r="4345" ht="12.75" x14ac:dyDescent="0.2"/>
    <row r="4346" ht="12.75" x14ac:dyDescent="0.2"/>
    <row r="4347" ht="12.75" x14ac:dyDescent="0.2"/>
    <row r="4348" ht="12.75" x14ac:dyDescent="0.2"/>
    <row r="4349" ht="12.75" x14ac:dyDescent="0.2"/>
    <row r="4350" ht="12.75" x14ac:dyDescent="0.2"/>
    <row r="4351" ht="12.75" x14ac:dyDescent="0.2"/>
    <row r="4352" ht="12.75" x14ac:dyDescent="0.2"/>
    <row r="4353" ht="12.75" x14ac:dyDescent="0.2"/>
    <row r="4354" ht="12.75" x14ac:dyDescent="0.2"/>
    <row r="4355" ht="12.75" x14ac:dyDescent="0.2"/>
    <row r="4356" ht="12.75" x14ac:dyDescent="0.2"/>
    <row r="4357" ht="12.75" x14ac:dyDescent="0.2"/>
    <row r="4358" ht="12.75" x14ac:dyDescent="0.2"/>
    <row r="4359" ht="12.75" x14ac:dyDescent="0.2"/>
    <row r="4360" ht="12.75" x14ac:dyDescent="0.2"/>
    <row r="4361" ht="12.75" x14ac:dyDescent="0.2"/>
    <row r="4362" ht="12.75" x14ac:dyDescent="0.2"/>
    <row r="4363" ht="12.75" x14ac:dyDescent="0.2"/>
    <row r="4364" ht="12.75" x14ac:dyDescent="0.2"/>
    <row r="4365" ht="12.75" x14ac:dyDescent="0.2"/>
    <row r="4366" ht="12.75" x14ac:dyDescent="0.2"/>
    <row r="4367" ht="12.75" x14ac:dyDescent="0.2"/>
    <row r="4368" ht="12.75" x14ac:dyDescent="0.2"/>
    <row r="4369" ht="12.75" x14ac:dyDescent="0.2"/>
    <row r="4370" ht="12.75" x14ac:dyDescent="0.2"/>
    <row r="4371" ht="12.75" x14ac:dyDescent="0.2"/>
    <row r="4372" ht="12.75" x14ac:dyDescent="0.2"/>
    <row r="4373" ht="12.75" x14ac:dyDescent="0.2"/>
    <row r="4374" ht="12.75" x14ac:dyDescent="0.2"/>
    <row r="4375" ht="12.75" x14ac:dyDescent="0.2"/>
    <row r="4376" ht="12.75" x14ac:dyDescent="0.2"/>
    <row r="4377" ht="12.75" x14ac:dyDescent="0.2"/>
    <row r="4378" ht="12.75" x14ac:dyDescent="0.2"/>
    <row r="4379" ht="12.75" x14ac:dyDescent="0.2"/>
    <row r="4380" ht="12.75" x14ac:dyDescent="0.2"/>
    <row r="4381" ht="12.75" x14ac:dyDescent="0.2"/>
    <row r="4382" ht="12.75" x14ac:dyDescent="0.2"/>
    <row r="4383" ht="12.75" x14ac:dyDescent="0.2"/>
    <row r="4384" ht="12.75" x14ac:dyDescent="0.2"/>
    <row r="4385" ht="12.75" x14ac:dyDescent="0.2"/>
    <row r="4386" ht="12.75" x14ac:dyDescent="0.2"/>
    <row r="4387" ht="12.75" x14ac:dyDescent="0.2"/>
    <row r="4388" ht="12.75" x14ac:dyDescent="0.2"/>
    <row r="4389" ht="12.75" x14ac:dyDescent="0.2"/>
    <row r="4390" ht="12.75" x14ac:dyDescent="0.2"/>
    <row r="4391" ht="12.75" x14ac:dyDescent="0.2"/>
    <row r="4392" ht="12.75" x14ac:dyDescent="0.2"/>
    <row r="4393" ht="12.75" x14ac:dyDescent="0.2"/>
    <row r="4394" ht="12.75" x14ac:dyDescent="0.2"/>
    <row r="4395" ht="12.75" x14ac:dyDescent="0.2"/>
    <row r="4396" ht="12.75" x14ac:dyDescent="0.2"/>
    <row r="4397" ht="12.75" x14ac:dyDescent="0.2"/>
    <row r="4398" ht="12.75" x14ac:dyDescent="0.2"/>
    <row r="4399" ht="12.75" x14ac:dyDescent="0.2"/>
    <row r="4400" ht="12.75" x14ac:dyDescent="0.2"/>
    <row r="4401" ht="12.75" x14ac:dyDescent="0.2"/>
    <row r="4402" ht="12.75" x14ac:dyDescent="0.2"/>
    <row r="4403" ht="12.75" x14ac:dyDescent="0.2"/>
    <row r="4404" ht="12.75" x14ac:dyDescent="0.2"/>
    <row r="4405" ht="12.75" x14ac:dyDescent="0.2"/>
    <row r="4406" ht="12.75" x14ac:dyDescent="0.2"/>
    <row r="4407" ht="12.75" x14ac:dyDescent="0.2"/>
    <row r="4408" ht="12.75" x14ac:dyDescent="0.2"/>
    <row r="4409" ht="12.75" x14ac:dyDescent="0.2"/>
    <row r="4410" ht="12.75" x14ac:dyDescent="0.2"/>
    <row r="4411" ht="12.75" x14ac:dyDescent="0.2"/>
    <row r="4412" ht="12.75" x14ac:dyDescent="0.2"/>
    <row r="4413" ht="12.75" x14ac:dyDescent="0.2"/>
    <row r="4414" ht="12.75" x14ac:dyDescent="0.2"/>
    <row r="4415" ht="12.75" x14ac:dyDescent="0.2"/>
    <row r="4416" ht="12.75" x14ac:dyDescent="0.2"/>
    <row r="4417" ht="12.75" x14ac:dyDescent="0.2"/>
    <row r="4418" ht="12.75" x14ac:dyDescent="0.2"/>
    <row r="4419" ht="12.75" x14ac:dyDescent="0.2"/>
    <row r="4420" ht="12.75" x14ac:dyDescent="0.2"/>
    <row r="4421" ht="12.75" x14ac:dyDescent="0.2"/>
    <row r="4422" ht="12.75" x14ac:dyDescent="0.2"/>
    <row r="4423" ht="12.75" x14ac:dyDescent="0.2"/>
    <row r="4424" ht="12.75" x14ac:dyDescent="0.2"/>
    <row r="4425" ht="12.75" x14ac:dyDescent="0.2"/>
    <row r="4426" ht="12.75" x14ac:dyDescent="0.2"/>
    <row r="4427" ht="12.75" x14ac:dyDescent="0.2"/>
    <row r="4428" ht="12.75" x14ac:dyDescent="0.2"/>
    <row r="4429" ht="12.75" x14ac:dyDescent="0.2"/>
    <row r="4430" ht="12.75" x14ac:dyDescent="0.2"/>
    <row r="4431" ht="12.75" x14ac:dyDescent="0.2"/>
    <row r="4432" ht="12.75" x14ac:dyDescent="0.2"/>
    <row r="4433" ht="12.75" x14ac:dyDescent="0.2"/>
    <row r="4434" ht="12.75" x14ac:dyDescent="0.2"/>
    <row r="4435" ht="12.75" x14ac:dyDescent="0.2"/>
    <row r="4436" ht="12.75" x14ac:dyDescent="0.2"/>
    <row r="4437" ht="12.75" x14ac:dyDescent="0.2"/>
    <row r="4438" ht="12.75" x14ac:dyDescent="0.2"/>
    <row r="4439" ht="12.75" x14ac:dyDescent="0.2"/>
    <row r="4440" ht="12.75" x14ac:dyDescent="0.2"/>
    <row r="4441" ht="12.75" x14ac:dyDescent="0.2"/>
    <row r="4442" ht="12.75" x14ac:dyDescent="0.2"/>
    <row r="4443" ht="12.75" x14ac:dyDescent="0.2"/>
    <row r="4444" ht="12.75" x14ac:dyDescent="0.2"/>
    <row r="4445" ht="12.75" x14ac:dyDescent="0.2"/>
    <row r="4446" ht="12.75" x14ac:dyDescent="0.2"/>
    <row r="4447" ht="12.75" x14ac:dyDescent="0.2"/>
    <row r="4448" ht="12.75" x14ac:dyDescent="0.2"/>
    <row r="4449" ht="12.75" x14ac:dyDescent="0.2"/>
    <row r="4450" ht="12.75" x14ac:dyDescent="0.2"/>
    <row r="4451" ht="12.75" x14ac:dyDescent="0.2"/>
    <row r="4452" ht="12.75" x14ac:dyDescent="0.2"/>
    <row r="4453" ht="12.75" x14ac:dyDescent="0.2"/>
    <row r="4454" ht="12.75" x14ac:dyDescent="0.2"/>
    <row r="4455" ht="12.75" x14ac:dyDescent="0.2"/>
    <row r="4456" ht="12.75" x14ac:dyDescent="0.2"/>
    <row r="4457" ht="12.75" x14ac:dyDescent="0.2"/>
    <row r="4458" ht="12.75" x14ac:dyDescent="0.2"/>
    <row r="4459" ht="12.75" x14ac:dyDescent="0.2"/>
    <row r="4460" ht="12.75" x14ac:dyDescent="0.2"/>
    <row r="4461" ht="12.75" x14ac:dyDescent="0.2"/>
    <row r="4462" ht="12.75" x14ac:dyDescent="0.2"/>
    <row r="4463" ht="12.75" x14ac:dyDescent="0.2"/>
    <row r="4464" ht="12.75" x14ac:dyDescent="0.2"/>
    <row r="4465" ht="12.75" x14ac:dyDescent="0.2"/>
    <row r="4466" ht="12.75" x14ac:dyDescent="0.2"/>
    <row r="4467" ht="12.75" x14ac:dyDescent="0.2"/>
    <row r="4468" ht="12.75" x14ac:dyDescent="0.2"/>
    <row r="4469" ht="12.75" x14ac:dyDescent="0.2"/>
    <row r="4470" ht="12.75" x14ac:dyDescent="0.2"/>
    <row r="4471" ht="12.75" x14ac:dyDescent="0.2"/>
    <row r="4472" ht="12.75" x14ac:dyDescent="0.2"/>
    <row r="4473" ht="12.75" x14ac:dyDescent="0.2"/>
    <row r="4474" ht="12.75" x14ac:dyDescent="0.2"/>
    <row r="4475" ht="12.75" x14ac:dyDescent="0.2"/>
    <row r="4476" ht="12.75" x14ac:dyDescent="0.2"/>
    <row r="4477" ht="12.75" x14ac:dyDescent="0.2"/>
    <row r="4478" ht="12.75" x14ac:dyDescent="0.2"/>
    <row r="4479" ht="12.75" x14ac:dyDescent="0.2"/>
    <row r="4480" ht="12.75" x14ac:dyDescent="0.2"/>
    <row r="4481" ht="12.75" x14ac:dyDescent="0.2"/>
    <row r="4482" ht="12.75" x14ac:dyDescent="0.2"/>
    <row r="4483" ht="12.75" x14ac:dyDescent="0.2"/>
    <row r="4484" ht="12.75" x14ac:dyDescent="0.2"/>
    <row r="4485" ht="12.75" x14ac:dyDescent="0.2"/>
    <row r="4486" ht="12.75" x14ac:dyDescent="0.2"/>
    <row r="4487" ht="12.75" x14ac:dyDescent="0.2"/>
    <row r="4488" ht="12.75" x14ac:dyDescent="0.2"/>
    <row r="4489" ht="12.75" x14ac:dyDescent="0.2"/>
    <row r="4490" ht="12.75" x14ac:dyDescent="0.2"/>
    <row r="4491" ht="12.75" x14ac:dyDescent="0.2"/>
    <row r="4492" ht="12.75" x14ac:dyDescent="0.2"/>
    <row r="4493" ht="12.75" x14ac:dyDescent="0.2"/>
    <row r="4494" ht="12.75" x14ac:dyDescent="0.2"/>
    <row r="4495" ht="12.75" x14ac:dyDescent="0.2"/>
    <row r="4496" ht="12.75" x14ac:dyDescent="0.2"/>
    <row r="4497" ht="12.75" x14ac:dyDescent="0.2"/>
    <row r="4498" ht="12.75" x14ac:dyDescent="0.2"/>
    <row r="4499" ht="12.75" x14ac:dyDescent="0.2"/>
    <row r="4500" ht="12.75" x14ac:dyDescent="0.2"/>
    <row r="4501" ht="12.75" x14ac:dyDescent="0.2"/>
    <row r="4502" ht="12.75" x14ac:dyDescent="0.2"/>
    <row r="4503" ht="12.75" x14ac:dyDescent="0.2"/>
    <row r="4504" ht="12.75" x14ac:dyDescent="0.2"/>
    <row r="4505" ht="12.75" x14ac:dyDescent="0.2"/>
    <row r="4506" ht="12.75" x14ac:dyDescent="0.2"/>
    <row r="4507" ht="12.75" x14ac:dyDescent="0.2"/>
    <row r="4508" ht="12.75" x14ac:dyDescent="0.2"/>
    <row r="4509" ht="12.75" x14ac:dyDescent="0.2"/>
    <row r="4510" ht="12.75" x14ac:dyDescent="0.2"/>
    <row r="4511" ht="12.75" x14ac:dyDescent="0.2"/>
    <row r="4512" ht="12.75" x14ac:dyDescent="0.2"/>
    <row r="4513" ht="12.75" x14ac:dyDescent="0.2"/>
    <row r="4514" ht="12.75" x14ac:dyDescent="0.2"/>
    <row r="4515" ht="12.75" x14ac:dyDescent="0.2"/>
    <row r="4516" ht="12.75" x14ac:dyDescent="0.2"/>
    <row r="4517" ht="12.75" x14ac:dyDescent="0.2"/>
    <row r="4518" ht="12.75" x14ac:dyDescent="0.2"/>
    <row r="4519" ht="12.75" x14ac:dyDescent="0.2"/>
    <row r="4520" ht="12.75" x14ac:dyDescent="0.2"/>
    <row r="4521" ht="12.75" x14ac:dyDescent="0.2"/>
    <row r="4522" ht="12.75" x14ac:dyDescent="0.2"/>
    <row r="4523" ht="12.75" x14ac:dyDescent="0.2"/>
    <row r="4524" ht="12.75" x14ac:dyDescent="0.2"/>
    <row r="4525" ht="12.75" x14ac:dyDescent="0.2"/>
    <row r="4526" ht="12.75" x14ac:dyDescent="0.2"/>
    <row r="4527" ht="12.75" x14ac:dyDescent="0.2"/>
    <row r="4528" ht="12.75" x14ac:dyDescent="0.2"/>
    <row r="4529" ht="12.75" x14ac:dyDescent="0.2"/>
    <row r="4530" ht="12.75" x14ac:dyDescent="0.2"/>
    <row r="4531" ht="12.75" x14ac:dyDescent="0.2"/>
    <row r="4532" ht="12.75" x14ac:dyDescent="0.2"/>
    <row r="4533" ht="12.75" x14ac:dyDescent="0.2"/>
    <row r="4534" ht="12.75" x14ac:dyDescent="0.2"/>
    <row r="4535" ht="12.75" x14ac:dyDescent="0.2"/>
    <row r="4536" ht="12.75" x14ac:dyDescent="0.2"/>
    <row r="4537" ht="12.75" x14ac:dyDescent="0.2"/>
    <row r="4538" ht="12.75" x14ac:dyDescent="0.2"/>
    <row r="4539" ht="12.75" x14ac:dyDescent="0.2"/>
    <row r="4540" ht="12.75" x14ac:dyDescent="0.2"/>
    <row r="4541" ht="12.75" x14ac:dyDescent="0.2"/>
    <row r="4542" ht="12.75" x14ac:dyDescent="0.2"/>
    <row r="4543" ht="12.75" x14ac:dyDescent="0.2"/>
    <row r="4544" ht="12.75" x14ac:dyDescent="0.2"/>
    <row r="4545" ht="12.75" x14ac:dyDescent="0.2"/>
    <row r="4546" ht="12.75" x14ac:dyDescent="0.2"/>
    <row r="4547" ht="12.75" x14ac:dyDescent="0.2"/>
    <row r="4548" ht="12.75" x14ac:dyDescent="0.2"/>
    <row r="4549" ht="12.75" x14ac:dyDescent="0.2"/>
    <row r="4550" ht="12.75" x14ac:dyDescent="0.2"/>
    <row r="4551" ht="12.75" x14ac:dyDescent="0.2"/>
    <row r="4552" ht="12.75" x14ac:dyDescent="0.2"/>
    <row r="4553" ht="12.75" x14ac:dyDescent="0.2"/>
    <row r="4554" ht="12.75" x14ac:dyDescent="0.2"/>
    <row r="4555" ht="12.75" x14ac:dyDescent="0.2"/>
    <row r="4556" ht="12.75" x14ac:dyDescent="0.2"/>
    <row r="4557" ht="12.75" x14ac:dyDescent="0.2"/>
    <row r="4558" ht="12.75" x14ac:dyDescent="0.2"/>
    <row r="4559" ht="12.75" x14ac:dyDescent="0.2"/>
    <row r="4560" ht="12.75" x14ac:dyDescent="0.2"/>
    <row r="4561" ht="12.75" x14ac:dyDescent="0.2"/>
    <row r="4562" ht="12.75" x14ac:dyDescent="0.2"/>
    <row r="4563" ht="12.75" x14ac:dyDescent="0.2"/>
    <row r="4564" ht="12.75" x14ac:dyDescent="0.2"/>
    <row r="4565" ht="12.75" x14ac:dyDescent="0.2"/>
    <row r="4566" ht="12.75" x14ac:dyDescent="0.2"/>
    <row r="4567" ht="12.75" x14ac:dyDescent="0.2"/>
    <row r="4568" ht="12.75" x14ac:dyDescent="0.2"/>
    <row r="4569" ht="12.75" x14ac:dyDescent="0.2"/>
    <row r="4570" ht="12.75" x14ac:dyDescent="0.2"/>
    <row r="4571" ht="12.75" x14ac:dyDescent="0.2"/>
    <row r="4572" ht="12.75" x14ac:dyDescent="0.2"/>
    <row r="4573" ht="12.75" x14ac:dyDescent="0.2"/>
    <row r="4574" ht="12.75" x14ac:dyDescent="0.2"/>
    <row r="4575" ht="12.75" x14ac:dyDescent="0.2"/>
    <row r="4576" ht="12.75" x14ac:dyDescent="0.2"/>
    <row r="4577" ht="12.75" x14ac:dyDescent="0.2"/>
    <row r="4578" ht="12.75" x14ac:dyDescent="0.2"/>
    <row r="4579" ht="12.75" x14ac:dyDescent="0.2"/>
    <row r="4580" ht="12.75" x14ac:dyDescent="0.2"/>
    <row r="4581" ht="12.75" x14ac:dyDescent="0.2"/>
    <row r="4582" ht="12.75" x14ac:dyDescent="0.2"/>
    <row r="4583" ht="12.75" x14ac:dyDescent="0.2"/>
    <row r="4584" ht="12.75" x14ac:dyDescent="0.2"/>
    <row r="4585" ht="12.75" x14ac:dyDescent="0.2"/>
    <row r="4586" ht="12.75" x14ac:dyDescent="0.2"/>
    <row r="4587" ht="12.75" x14ac:dyDescent="0.2"/>
    <row r="4588" ht="12.75" x14ac:dyDescent="0.2"/>
    <row r="4589" ht="12.75" x14ac:dyDescent="0.2"/>
    <row r="4590" ht="12.75" x14ac:dyDescent="0.2"/>
    <row r="4591" ht="12.75" x14ac:dyDescent="0.2"/>
    <row r="4592" ht="12.75" x14ac:dyDescent="0.2"/>
    <row r="4593" ht="12.75" x14ac:dyDescent="0.2"/>
    <row r="4594" ht="12.75" x14ac:dyDescent="0.2"/>
    <row r="4595" ht="12.75" x14ac:dyDescent="0.2"/>
    <row r="4596" ht="12.75" x14ac:dyDescent="0.2"/>
    <row r="4597" ht="12.75" x14ac:dyDescent="0.2"/>
    <row r="4598" ht="12.75" x14ac:dyDescent="0.2"/>
    <row r="4599" ht="12.75" x14ac:dyDescent="0.2"/>
    <row r="4600" ht="12.75" x14ac:dyDescent="0.2"/>
    <row r="4601" ht="12.75" x14ac:dyDescent="0.2"/>
    <row r="4602" ht="12.75" x14ac:dyDescent="0.2"/>
    <row r="4603" ht="12.75" x14ac:dyDescent="0.2"/>
    <row r="4604" ht="12.75" x14ac:dyDescent="0.2"/>
    <row r="4605" ht="12.75" x14ac:dyDescent="0.2"/>
    <row r="4606" ht="12.75" x14ac:dyDescent="0.2"/>
    <row r="4607" ht="12.75" x14ac:dyDescent="0.2"/>
    <row r="4608" ht="12.75" x14ac:dyDescent="0.2"/>
    <row r="4609" ht="12.75" x14ac:dyDescent="0.2"/>
    <row r="4610" ht="12.75" x14ac:dyDescent="0.2"/>
    <row r="4611" ht="12.75" x14ac:dyDescent="0.2"/>
    <row r="4612" ht="12.75" x14ac:dyDescent="0.2"/>
    <row r="4613" ht="12.75" x14ac:dyDescent="0.2"/>
    <row r="4614" ht="12.75" x14ac:dyDescent="0.2"/>
    <row r="4615" ht="12.75" x14ac:dyDescent="0.2"/>
    <row r="4616" ht="12.75" x14ac:dyDescent="0.2"/>
    <row r="4617" ht="12.75" x14ac:dyDescent="0.2"/>
    <row r="4618" ht="12.75" x14ac:dyDescent="0.2"/>
    <row r="4619" ht="12.75" x14ac:dyDescent="0.2"/>
    <row r="4620" ht="12.75" x14ac:dyDescent="0.2"/>
    <row r="4621" ht="12.75" x14ac:dyDescent="0.2"/>
    <row r="4622" ht="12.75" x14ac:dyDescent="0.2"/>
    <row r="4623" ht="12.75" x14ac:dyDescent="0.2"/>
    <row r="4624" ht="12.75" x14ac:dyDescent="0.2"/>
    <row r="4625" ht="12.75" x14ac:dyDescent="0.2"/>
    <row r="4626" ht="12.75" x14ac:dyDescent="0.2"/>
    <row r="4627" ht="12.75" x14ac:dyDescent="0.2"/>
    <row r="4628" ht="12.75" x14ac:dyDescent="0.2"/>
    <row r="4629" ht="12.75" x14ac:dyDescent="0.2"/>
    <row r="4630" ht="12.75" x14ac:dyDescent="0.2"/>
    <row r="4631" ht="12.75" x14ac:dyDescent="0.2"/>
    <row r="4632" ht="12.75" x14ac:dyDescent="0.2"/>
    <row r="4633" ht="12.75" x14ac:dyDescent="0.2"/>
    <row r="4634" ht="12.75" x14ac:dyDescent="0.2"/>
    <row r="4635" ht="12.75" x14ac:dyDescent="0.2"/>
    <row r="4636" ht="12.75" x14ac:dyDescent="0.2"/>
    <row r="4637" ht="12.75" x14ac:dyDescent="0.2"/>
    <row r="4638" ht="12.75" x14ac:dyDescent="0.2"/>
    <row r="4639" ht="12.75" x14ac:dyDescent="0.2"/>
    <row r="4640" ht="12.75" x14ac:dyDescent="0.2"/>
    <row r="4641" ht="12.75" x14ac:dyDescent="0.2"/>
    <row r="4642" ht="12.75" x14ac:dyDescent="0.2"/>
    <row r="4643" ht="12.75" x14ac:dyDescent="0.2"/>
    <row r="4644" ht="12.75" x14ac:dyDescent="0.2"/>
    <row r="4645" ht="12.75" x14ac:dyDescent="0.2"/>
    <row r="4646" ht="12.75" x14ac:dyDescent="0.2"/>
    <row r="4647" ht="12.75" x14ac:dyDescent="0.2"/>
    <row r="4648" ht="12.75" x14ac:dyDescent="0.2"/>
    <row r="4649" ht="12.75" x14ac:dyDescent="0.2"/>
    <row r="4650" ht="12.75" x14ac:dyDescent="0.2"/>
    <row r="4651" ht="12.75" x14ac:dyDescent="0.2"/>
    <row r="4652" ht="12.75" x14ac:dyDescent="0.2"/>
    <row r="4653" ht="12.75" x14ac:dyDescent="0.2"/>
    <row r="4654" ht="12.75" x14ac:dyDescent="0.2"/>
    <row r="4655" ht="12.75" x14ac:dyDescent="0.2"/>
    <row r="4656" ht="12.75" x14ac:dyDescent="0.2"/>
    <row r="4657" ht="12.75" x14ac:dyDescent="0.2"/>
    <row r="4658" ht="12.75" x14ac:dyDescent="0.2"/>
    <row r="4659" ht="12.75" x14ac:dyDescent="0.2"/>
    <row r="4660" ht="12.75" x14ac:dyDescent="0.2"/>
    <row r="4661" ht="12.75" x14ac:dyDescent="0.2"/>
    <row r="4662" ht="12.75" x14ac:dyDescent="0.2"/>
    <row r="4663" ht="12.75" x14ac:dyDescent="0.2"/>
    <row r="4664" ht="12.75" x14ac:dyDescent="0.2"/>
    <row r="4665" ht="12.75" x14ac:dyDescent="0.2"/>
    <row r="4666" ht="12.75" x14ac:dyDescent="0.2"/>
    <row r="4667" ht="12.75" x14ac:dyDescent="0.2"/>
    <row r="4668" ht="12.75" x14ac:dyDescent="0.2"/>
    <row r="4669" ht="12.75" x14ac:dyDescent="0.2"/>
    <row r="4670" ht="12.75" x14ac:dyDescent="0.2"/>
    <row r="4671" ht="12.75" x14ac:dyDescent="0.2"/>
    <row r="4672" ht="12.75" x14ac:dyDescent="0.2"/>
    <row r="4673" ht="12.75" x14ac:dyDescent="0.2"/>
    <row r="4674" ht="12.75" x14ac:dyDescent="0.2"/>
    <row r="4675" ht="12.75" x14ac:dyDescent="0.2"/>
    <row r="4676" ht="12.75" x14ac:dyDescent="0.2"/>
    <row r="4677" ht="12.75" x14ac:dyDescent="0.2"/>
    <row r="4678" ht="12.75" x14ac:dyDescent="0.2"/>
    <row r="4679" ht="12.75" x14ac:dyDescent="0.2"/>
    <row r="4680" ht="12.75" x14ac:dyDescent="0.2"/>
    <row r="4681" ht="12.75" x14ac:dyDescent="0.2"/>
    <row r="4682" ht="12.75" x14ac:dyDescent="0.2"/>
    <row r="4683" ht="12.75" x14ac:dyDescent="0.2"/>
    <row r="4684" ht="12.75" x14ac:dyDescent="0.2"/>
    <row r="4685" ht="12.75" x14ac:dyDescent="0.2"/>
    <row r="4686" ht="12.75" x14ac:dyDescent="0.2"/>
    <row r="4687" ht="12.75" x14ac:dyDescent="0.2"/>
    <row r="4688" ht="12.75" x14ac:dyDescent="0.2"/>
    <row r="4689" ht="12.75" x14ac:dyDescent="0.2"/>
    <row r="4690" ht="12.75" x14ac:dyDescent="0.2"/>
    <row r="4691" ht="12.75" x14ac:dyDescent="0.2"/>
    <row r="4692" ht="12.75" x14ac:dyDescent="0.2"/>
    <row r="4693" ht="12.75" x14ac:dyDescent="0.2"/>
    <row r="4694" ht="12.75" x14ac:dyDescent="0.2"/>
    <row r="4695" ht="12.75" x14ac:dyDescent="0.2"/>
    <row r="4696" ht="12.75" x14ac:dyDescent="0.2"/>
    <row r="4697" ht="12.75" x14ac:dyDescent="0.2"/>
    <row r="4698" ht="12.75" x14ac:dyDescent="0.2"/>
    <row r="4699" ht="12.75" x14ac:dyDescent="0.2"/>
    <row r="4700" ht="12.75" x14ac:dyDescent="0.2"/>
    <row r="4701" ht="12.75" x14ac:dyDescent="0.2"/>
    <row r="4702" ht="12.75" x14ac:dyDescent="0.2"/>
    <row r="4703" ht="12.75" x14ac:dyDescent="0.2"/>
    <row r="4704" ht="12.75" x14ac:dyDescent="0.2"/>
    <row r="4705" ht="12.75" x14ac:dyDescent="0.2"/>
    <row r="4706" ht="12.75" x14ac:dyDescent="0.2"/>
    <row r="4707" ht="12.75" x14ac:dyDescent="0.2"/>
    <row r="4708" ht="12.75" x14ac:dyDescent="0.2"/>
    <row r="4709" ht="12.75" x14ac:dyDescent="0.2"/>
    <row r="4710" ht="12.75" x14ac:dyDescent="0.2"/>
    <row r="4711" ht="12.75" x14ac:dyDescent="0.2"/>
    <row r="4712" ht="12.75" x14ac:dyDescent="0.2"/>
    <row r="4713" ht="12.75" x14ac:dyDescent="0.2"/>
    <row r="4714" ht="12.75" x14ac:dyDescent="0.2"/>
    <row r="4715" ht="12.75" x14ac:dyDescent="0.2"/>
    <row r="4716" ht="12.75" x14ac:dyDescent="0.2"/>
    <row r="4717" ht="12.75" x14ac:dyDescent="0.2"/>
    <row r="4718" ht="12.75" x14ac:dyDescent="0.2"/>
    <row r="4719" ht="12.75" x14ac:dyDescent="0.2"/>
    <row r="4720" ht="12.75" x14ac:dyDescent="0.2"/>
    <row r="4721" ht="12.75" x14ac:dyDescent="0.2"/>
    <row r="4722" ht="12.75" x14ac:dyDescent="0.2"/>
    <row r="4723" ht="12.75" x14ac:dyDescent="0.2"/>
    <row r="4724" ht="12.75" x14ac:dyDescent="0.2"/>
    <row r="4725" ht="12.75" x14ac:dyDescent="0.2"/>
    <row r="4726" ht="12.75" x14ac:dyDescent="0.2"/>
    <row r="4727" ht="12.75" x14ac:dyDescent="0.2"/>
    <row r="4728" ht="12.75" x14ac:dyDescent="0.2"/>
    <row r="4729" ht="12.75" x14ac:dyDescent="0.2"/>
    <row r="4730" ht="12.75" x14ac:dyDescent="0.2"/>
    <row r="4731" ht="12.75" x14ac:dyDescent="0.2"/>
    <row r="4732" ht="12.75" x14ac:dyDescent="0.2"/>
    <row r="4733" ht="12.75" x14ac:dyDescent="0.2"/>
    <row r="4734" ht="12.75" x14ac:dyDescent="0.2"/>
    <row r="4735" ht="12.75" x14ac:dyDescent="0.2"/>
    <row r="4736" ht="12.75" x14ac:dyDescent="0.2"/>
    <row r="4737" ht="12.75" x14ac:dyDescent="0.2"/>
    <row r="4738" ht="12.75" x14ac:dyDescent="0.2"/>
    <row r="4739" ht="12.75" x14ac:dyDescent="0.2"/>
    <row r="4740" ht="12.75" x14ac:dyDescent="0.2"/>
    <row r="4741" ht="12.75" x14ac:dyDescent="0.2"/>
    <row r="4742" ht="12.75" x14ac:dyDescent="0.2"/>
    <row r="4743" ht="12.75" x14ac:dyDescent="0.2"/>
    <row r="4744" ht="12.75" x14ac:dyDescent="0.2"/>
    <row r="4745" ht="12.75" x14ac:dyDescent="0.2"/>
    <row r="4746" ht="12.75" x14ac:dyDescent="0.2"/>
    <row r="4747" ht="12.75" x14ac:dyDescent="0.2"/>
    <row r="4748" ht="12.75" x14ac:dyDescent="0.2"/>
    <row r="4749" ht="12.75" x14ac:dyDescent="0.2"/>
    <row r="4750" ht="12.75" x14ac:dyDescent="0.2"/>
    <row r="4751" ht="12.75" x14ac:dyDescent="0.2"/>
    <row r="4752" ht="12.75" x14ac:dyDescent="0.2"/>
    <row r="4753" ht="12.75" x14ac:dyDescent="0.2"/>
    <row r="4754" ht="12.75" x14ac:dyDescent="0.2"/>
    <row r="4755" ht="12.75" x14ac:dyDescent="0.2"/>
    <row r="4756" ht="12.75" x14ac:dyDescent="0.2"/>
    <row r="4757" ht="12.75" x14ac:dyDescent="0.2"/>
    <row r="4758" ht="12.75" x14ac:dyDescent="0.2"/>
    <row r="4759" ht="12.75" x14ac:dyDescent="0.2"/>
    <row r="4760" ht="12.75" x14ac:dyDescent="0.2"/>
    <row r="4761" ht="12.75" x14ac:dyDescent="0.2"/>
    <row r="4762" ht="12.75" x14ac:dyDescent="0.2"/>
    <row r="4763" ht="12.75" x14ac:dyDescent="0.2"/>
    <row r="4764" ht="12.75" x14ac:dyDescent="0.2"/>
    <row r="4765" ht="12.75" x14ac:dyDescent="0.2"/>
    <row r="4766" ht="12.75" x14ac:dyDescent="0.2"/>
    <row r="4767" ht="12.75" x14ac:dyDescent="0.2"/>
    <row r="4768" ht="12.75" x14ac:dyDescent="0.2"/>
    <row r="4769" ht="12.75" x14ac:dyDescent="0.2"/>
    <row r="4770" ht="12.75" x14ac:dyDescent="0.2"/>
    <row r="4771" ht="12.75" x14ac:dyDescent="0.2"/>
    <row r="4772" ht="12.75" x14ac:dyDescent="0.2"/>
    <row r="4773" ht="12.75" x14ac:dyDescent="0.2"/>
    <row r="4774" ht="12.75" x14ac:dyDescent="0.2"/>
    <row r="4775" ht="12.75" x14ac:dyDescent="0.2"/>
    <row r="4776" ht="12.75" x14ac:dyDescent="0.2"/>
    <row r="4777" ht="12.75" x14ac:dyDescent="0.2"/>
    <row r="4778" ht="12.75" x14ac:dyDescent="0.2"/>
    <row r="4779" ht="12.75" x14ac:dyDescent="0.2"/>
    <row r="4780" ht="12.75" x14ac:dyDescent="0.2"/>
    <row r="4781" ht="12.75" x14ac:dyDescent="0.2"/>
    <row r="4782" ht="12.75" x14ac:dyDescent="0.2"/>
    <row r="4783" ht="12.75" x14ac:dyDescent="0.2"/>
    <row r="4784" ht="12.75" x14ac:dyDescent="0.2"/>
    <row r="4785" ht="12.75" x14ac:dyDescent="0.2"/>
    <row r="4786" ht="12.75" x14ac:dyDescent="0.2"/>
    <row r="4787" ht="12.75" x14ac:dyDescent="0.2"/>
    <row r="4788" ht="12.75" x14ac:dyDescent="0.2"/>
    <row r="4789" ht="12.75" x14ac:dyDescent="0.2"/>
    <row r="4790" ht="12.75" x14ac:dyDescent="0.2"/>
    <row r="4791" ht="12.75" x14ac:dyDescent="0.2"/>
    <row r="4792" ht="12.75" x14ac:dyDescent="0.2"/>
    <row r="4793" ht="12.75" x14ac:dyDescent="0.2"/>
    <row r="4794" ht="12.75" x14ac:dyDescent="0.2"/>
    <row r="4795" ht="12.75" x14ac:dyDescent="0.2"/>
    <row r="4796" ht="12.75" x14ac:dyDescent="0.2"/>
    <row r="4797" ht="12.75" x14ac:dyDescent="0.2"/>
    <row r="4798" ht="12.75" x14ac:dyDescent="0.2"/>
    <row r="4799" ht="12.75" x14ac:dyDescent="0.2"/>
    <row r="4800" ht="12.75" x14ac:dyDescent="0.2"/>
    <row r="4801" ht="12.75" x14ac:dyDescent="0.2"/>
    <row r="4802" ht="12.75" x14ac:dyDescent="0.2"/>
    <row r="4803" ht="12.75" x14ac:dyDescent="0.2"/>
    <row r="4804" ht="12.75" x14ac:dyDescent="0.2"/>
    <row r="4805" ht="12.75" x14ac:dyDescent="0.2"/>
    <row r="4806" ht="12.75" x14ac:dyDescent="0.2"/>
    <row r="4807" ht="12.75" x14ac:dyDescent="0.2"/>
    <row r="4808" ht="12.75" x14ac:dyDescent="0.2"/>
    <row r="4809" ht="12.75" x14ac:dyDescent="0.2"/>
    <row r="4810" ht="12.75" x14ac:dyDescent="0.2"/>
    <row r="4811" ht="12.75" x14ac:dyDescent="0.2"/>
    <row r="4812" ht="12.75" x14ac:dyDescent="0.2"/>
    <row r="4813" ht="12.75" x14ac:dyDescent="0.2"/>
    <row r="4814" ht="12.75" x14ac:dyDescent="0.2"/>
    <row r="4815" ht="12.75" x14ac:dyDescent="0.2"/>
    <row r="4816" ht="12.75" x14ac:dyDescent="0.2"/>
    <row r="4817" ht="12.75" x14ac:dyDescent="0.2"/>
    <row r="4818" ht="12.75" x14ac:dyDescent="0.2"/>
    <row r="4819" ht="12.75" x14ac:dyDescent="0.2"/>
    <row r="4820" ht="12.75" x14ac:dyDescent="0.2"/>
    <row r="4821" ht="12.75" x14ac:dyDescent="0.2"/>
    <row r="4822" ht="12.75" x14ac:dyDescent="0.2"/>
    <row r="4823" ht="12.75" x14ac:dyDescent="0.2"/>
    <row r="4824" ht="12.75" x14ac:dyDescent="0.2"/>
    <row r="4825" ht="12.75" x14ac:dyDescent="0.2"/>
    <row r="4826" ht="12.75" x14ac:dyDescent="0.2"/>
    <row r="4827" ht="12.75" x14ac:dyDescent="0.2"/>
    <row r="4828" ht="12.75" x14ac:dyDescent="0.2"/>
    <row r="4829" ht="12.75" x14ac:dyDescent="0.2"/>
    <row r="4830" ht="12.75" x14ac:dyDescent="0.2"/>
    <row r="4831" ht="12.75" x14ac:dyDescent="0.2"/>
    <row r="4832" ht="12.75" x14ac:dyDescent="0.2"/>
    <row r="4833" ht="12.75" x14ac:dyDescent="0.2"/>
    <row r="4834" ht="12.75" x14ac:dyDescent="0.2"/>
    <row r="4835" ht="12.75" x14ac:dyDescent="0.2"/>
    <row r="4836" ht="12.75" x14ac:dyDescent="0.2"/>
    <row r="4837" ht="12.75" x14ac:dyDescent="0.2"/>
    <row r="4838" ht="12.75" x14ac:dyDescent="0.2"/>
    <row r="4839" ht="12.75" x14ac:dyDescent="0.2"/>
    <row r="4840" ht="12.75" x14ac:dyDescent="0.2"/>
    <row r="4841" ht="12.75" x14ac:dyDescent="0.2"/>
    <row r="4842" ht="12.75" x14ac:dyDescent="0.2"/>
    <row r="4843" ht="12.75" x14ac:dyDescent="0.2"/>
    <row r="4844" ht="12.75" x14ac:dyDescent="0.2"/>
    <row r="4845" ht="12.75" x14ac:dyDescent="0.2"/>
    <row r="4846" ht="12.75" x14ac:dyDescent="0.2"/>
    <row r="4847" ht="12.75" x14ac:dyDescent="0.2"/>
    <row r="4848" ht="12.75" x14ac:dyDescent="0.2"/>
    <row r="4849" ht="12.75" x14ac:dyDescent="0.2"/>
    <row r="4850" ht="12.75" x14ac:dyDescent="0.2"/>
    <row r="4851" ht="12.75" x14ac:dyDescent="0.2"/>
    <row r="4852" ht="12.75" x14ac:dyDescent="0.2"/>
    <row r="4853" ht="12.75" x14ac:dyDescent="0.2"/>
    <row r="4854" ht="12.75" x14ac:dyDescent="0.2"/>
    <row r="4855" ht="12.75" x14ac:dyDescent="0.2"/>
    <row r="4856" ht="12.75" x14ac:dyDescent="0.2"/>
    <row r="4857" ht="12.75" x14ac:dyDescent="0.2"/>
    <row r="4858" ht="12.75" x14ac:dyDescent="0.2"/>
    <row r="4859" ht="12.75" x14ac:dyDescent="0.2"/>
    <row r="4860" ht="12.75" x14ac:dyDescent="0.2"/>
    <row r="4861" ht="12.75" x14ac:dyDescent="0.2"/>
    <row r="4862" ht="12.75" x14ac:dyDescent="0.2"/>
    <row r="4863" ht="12.75" x14ac:dyDescent="0.2"/>
    <row r="4864" ht="12.75" x14ac:dyDescent="0.2"/>
    <row r="4865" ht="12.75" x14ac:dyDescent="0.2"/>
    <row r="4866" ht="12.75" x14ac:dyDescent="0.2"/>
    <row r="4867" ht="12.75" x14ac:dyDescent="0.2"/>
    <row r="4868" ht="12.75" x14ac:dyDescent="0.2"/>
    <row r="4869" ht="12.75" x14ac:dyDescent="0.2"/>
    <row r="4870" ht="12.75" x14ac:dyDescent="0.2"/>
    <row r="4871" ht="12.75" x14ac:dyDescent="0.2"/>
    <row r="4872" ht="12.75" x14ac:dyDescent="0.2"/>
    <row r="4873" ht="12.75" x14ac:dyDescent="0.2"/>
    <row r="4874" ht="12.75" x14ac:dyDescent="0.2"/>
    <row r="4875" ht="12.75" x14ac:dyDescent="0.2"/>
    <row r="4876" ht="12.75" x14ac:dyDescent="0.2"/>
    <row r="4877" ht="12.75" x14ac:dyDescent="0.2"/>
    <row r="4878" ht="12.75" x14ac:dyDescent="0.2"/>
    <row r="4879" ht="12.75" x14ac:dyDescent="0.2"/>
    <row r="4880" ht="12.75" x14ac:dyDescent="0.2"/>
    <row r="4881" ht="12.75" x14ac:dyDescent="0.2"/>
    <row r="4882" ht="12.75" x14ac:dyDescent="0.2"/>
    <row r="4883" ht="12.75" x14ac:dyDescent="0.2"/>
    <row r="4884" ht="12.75" x14ac:dyDescent="0.2"/>
    <row r="4885" ht="12.75" x14ac:dyDescent="0.2"/>
    <row r="4886" ht="12.75" x14ac:dyDescent="0.2"/>
    <row r="4887" ht="12.75" x14ac:dyDescent="0.2"/>
    <row r="4888" ht="12.75" x14ac:dyDescent="0.2"/>
    <row r="4889" ht="12.75" x14ac:dyDescent="0.2"/>
    <row r="4890" ht="12.75" x14ac:dyDescent="0.2"/>
    <row r="4891" ht="12.75" x14ac:dyDescent="0.2"/>
    <row r="4892" ht="12.75" x14ac:dyDescent="0.2"/>
    <row r="4893" ht="12.75" x14ac:dyDescent="0.2"/>
    <row r="4894" ht="12.75" x14ac:dyDescent="0.2"/>
    <row r="4895" ht="12.75" x14ac:dyDescent="0.2"/>
    <row r="4896" ht="12.75" x14ac:dyDescent="0.2"/>
    <row r="4897" ht="12.75" x14ac:dyDescent="0.2"/>
    <row r="4898" ht="12.75" x14ac:dyDescent="0.2"/>
    <row r="4899" ht="12.75" x14ac:dyDescent="0.2"/>
    <row r="4900" ht="12.75" x14ac:dyDescent="0.2"/>
    <row r="4901" ht="12.75" x14ac:dyDescent="0.2"/>
    <row r="4902" ht="12.75" x14ac:dyDescent="0.2"/>
    <row r="4903" ht="12.75" x14ac:dyDescent="0.2"/>
    <row r="4904" ht="12.75" x14ac:dyDescent="0.2"/>
    <row r="4905" ht="12.75" x14ac:dyDescent="0.2"/>
    <row r="4906" ht="12.75" x14ac:dyDescent="0.2"/>
    <row r="4907" ht="12.75" x14ac:dyDescent="0.2"/>
    <row r="4908" ht="12.75" x14ac:dyDescent="0.2"/>
    <row r="4909" ht="12.75" x14ac:dyDescent="0.2"/>
    <row r="4910" ht="12.75" x14ac:dyDescent="0.2"/>
    <row r="4911" ht="12.75" x14ac:dyDescent="0.2"/>
    <row r="4912" ht="12.75" x14ac:dyDescent="0.2"/>
    <row r="4913" ht="12.75" x14ac:dyDescent="0.2"/>
    <row r="4914" ht="12.75" x14ac:dyDescent="0.2"/>
    <row r="4915" ht="12.75" x14ac:dyDescent="0.2"/>
    <row r="4916" ht="12.75" x14ac:dyDescent="0.2"/>
    <row r="4917" ht="12.75" x14ac:dyDescent="0.2"/>
    <row r="4918" ht="12.75" x14ac:dyDescent="0.2"/>
    <row r="4919" ht="12.75" x14ac:dyDescent="0.2"/>
    <row r="4920" ht="12.75" x14ac:dyDescent="0.2"/>
    <row r="4921" ht="12.75" x14ac:dyDescent="0.2"/>
    <row r="4922" ht="12.75" x14ac:dyDescent="0.2"/>
    <row r="4923" ht="12.75" x14ac:dyDescent="0.2"/>
    <row r="4924" ht="12.75" x14ac:dyDescent="0.2"/>
    <row r="4925" ht="12.75" x14ac:dyDescent="0.2"/>
    <row r="4926" ht="12.75" x14ac:dyDescent="0.2"/>
    <row r="4927" ht="12.75" x14ac:dyDescent="0.2"/>
    <row r="4928" ht="12.75" x14ac:dyDescent="0.2"/>
    <row r="4929" ht="12.75" x14ac:dyDescent="0.2"/>
    <row r="4930" ht="12.75" x14ac:dyDescent="0.2"/>
    <row r="4931" ht="12.75" x14ac:dyDescent="0.2"/>
    <row r="4932" ht="12.75" x14ac:dyDescent="0.2"/>
    <row r="4933" ht="12.75" x14ac:dyDescent="0.2"/>
    <row r="4934" ht="12.75" x14ac:dyDescent="0.2"/>
    <row r="4935" ht="12.75" x14ac:dyDescent="0.2"/>
    <row r="4936" ht="12.75" x14ac:dyDescent="0.2"/>
    <row r="4937" ht="12.75" x14ac:dyDescent="0.2"/>
    <row r="4938" ht="12.75" x14ac:dyDescent="0.2"/>
    <row r="4939" ht="12.75" x14ac:dyDescent="0.2"/>
    <row r="4940" ht="12.75" x14ac:dyDescent="0.2"/>
    <row r="4941" ht="12.75" x14ac:dyDescent="0.2"/>
    <row r="4942" ht="12.75" x14ac:dyDescent="0.2"/>
    <row r="4943" ht="12.75" x14ac:dyDescent="0.2"/>
    <row r="4944" ht="12.75" x14ac:dyDescent="0.2"/>
    <row r="4945" ht="12.75" x14ac:dyDescent="0.2"/>
    <row r="4946" ht="12.75" x14ac:dyDescent="0.2"/>
    <row r="4947" ht="12.75" x14ac:dyDescent="0.2"/>
    <row r="4948" ht="12.75" x14ac:dyDescent="0.2"/>
    <row r="4949" ht="12.75" x14ac:dyDescent="0.2"/>
    <row r="4950" ht="12.75" x14ac:dyDescent="0.2"/>
    <row r="4951" ht="12.75" x14ac:dyDescent="0.2"/>
    <row r="4952" ht="12.75" x14ac:dyDescent="0.2"/>
    <row r="4953" ht="12.75" x14ac:dyDescent="0.2"/>
    <row r="4954" ht="12.75" x14ac:dyDescent="0.2"/>
    <row r="4955" ht="12.75" x14ac:dyDescent="0.2"/>
    <row r="4956" ht="12.75" x14ac:dyDescent="0.2"/>
    <row r="4957" ht="12.75" x14ac:dyDescent="0.2"/>
    <row r="4958" ht="12.75" x14ac:dyDescent="0.2"/>
    <row r="4959" ht="12.75" x14ac:dyDescent="0.2"/>
    <row r="4960" ht="12.75" x14ac:dyDescent="0.2"/>
    <row r="4961" ht="12.75" x14ac:dyDescent="0.2"/>
    <row r="4962" ht="12.75" x14ac:dyDescent="0.2"/>
    <row r="4963" ht="12.75" x14ac:dyDescent="0.2"/>
    <row r="4964" ht="12.75" x14ac:dyDescent="0.2"/>
    <row r="4965" ht="12.75" x14ac:dyDescent="0.2"/>
    <row r="4966" ht="12.75" x14ac:dyDescent="0.2"/>
    <row r="4967" ht="12.75" x14ac:dyDescent="0.2"/>
    <row r="4968" ht="12.75" x14ac:dyDescent="0.2"/>
    <row r="4969" ht="12.75" x14ac:dyDescent="0.2"/>
    <row r="4970" ht="12.75" x14ac:dyDescent="0.2"/>
    <row r="4971" ht="12.75" x14ac:dyDescent="0.2"/>
    <row r="4972" ht="12.75" x14ac:dyDescent="0.2"/>
    <row r="4973" ht="12.75" x14ac:dyDescent="0.2"/>
    <row r="4974" ht="12.75" x14ac:dyDescent="0.2"/>
    <row r="4975" ht="12.75" x14ac:dyDescent="0.2"/>
    <row r="4976" ht="12.75" x14ac:dyDescent="0.2"/>
    <row r="4977" ht="12.75" x14ac:dyDescent="0.2"/>
    <row r="4978" ht="12.75" x14ac:dyDescent="0.2"/>
    <row r="4979" ht="12.75" x14ac:dyDescent="0.2"/>
    <row r="4980" ht="12.75" x14ac:dyDescent="0.2"/>
    <row r="4981" ht="12.75" x14ac:dyDescent="0.2"/>
    <row r="4982" ht="12.75" x14ac:dyDescent="0.2"/>
    <row r="4983" ht="12.75" x14ac:dyDescent="0.2"/>
    <row r="4984" ht="12.75" x14ac:dyDescent="0.2"/>
    <row r="4985" ht="12.75" x14ac:dyDescent="0.2"/>
    <row r="4986" ht="12.75" x14ac:dyDescent="0.2"/>
    <row r="4987" ht="12.75" x14ac:dyDescent="0.2"/>
    <row r="4988" ht="12.75" x14ac:dyDescent="0.2"/>
    <row r="4989" ht="12.75" x14ac:dyDescent="0.2"/>
    <row r="4990" ht="12.75" x14ac:dyDescent="0.2"/>
    <row r="4991" ht="12.75" x14ac:dyDescent="0.2"/>
    <row r="4992" ht="12.75" x14ac:dyDescent="0.2"/>
    <row r="4993" ht="12.75" x14ac:dyDescent="0.2"/>
    <row r="4994" ht="12.75" x14ac:dyDescent="0.2"/>
    <row r="4995" ht="12.75" x14ac:dyDescent="0.2"/>
    <row r="4996" ht="12.75" x14ac:dyDescent="0.2"/>
    <row r="4997" ht="12.75" x14ac:dyDescent="0.2"/>
    <row r="4998" ht="12.75" x14ac:dyDescent="0.2"/>
    <row r="4999" ht="12.75" x14ac:dyDescent="0.2"/>
    <row r="5000" ht="12.75" x14ac:dyDescent="0.2"/>
    <row r="5001" ht="12.75" x14ac:dyDescent="0.2"/>
    <row r="5002" ht="12.75" x14ac:dyDescent="0.2"/>
    <row r="5003" ht="12.75" x14ac:dyDescent="0.2"/>
    <row r="5004" ht="12.75" x14ac:dyDescent="0.2"/>
    <row r="5005" ht="12.75" x14ac:dyDescent="0.2"/>
    <row r="5006" ht="12.75" x14ac:dyDescent="0.2"/>
    <row r="5007" ht="12.75" x14ac:dyDescent="0.2"/>
    <row r="5008" ht="12.75" x14ac:dyDescent="0.2"/>
    <row r="5009" ht="12.75" x14ac:dyDescent="0.2"/>
    <row r="5010" ht="12.75" x14ac:dyDescent="0.2"/>
    <row r="5011" ht="12.75" x14ac:dyDescent="0.2"/>
    <row r="5012" ht="12.75" x14ac:dyDescent="0.2"/>
    <row r="5013" ht="12.75" x14ac:dyDescent="0.2"/>
    <row r="5014" ht="12.75" x14ac:dyDescent="0.2"/>
    <row r="5015" ht="12.75" x14ac:dyDescent="0.2"/>
    <row r="5016" ht="12.75" x14ac:dyDescent="0.2"/>
    <row r="5017" ht="12.75" x14ac:dyDescent="0.2"/>
    <row r="5018" ht="12.75" x14ac:dyDescent="0.2"/>
    <row r="5019" ht="12.75" x14ac:dyDescent="0.2"/>
    <row r="5020" ht="12.75" x14ac:dyDescent="0.2"/>
    <row r="5021" ht="12.75" x14ac:dyDescent="0.2"/>
    <row r="5022" ht="12.75" x14ac:dyDescent="0.2"/>
    <row r="5023" ht="12.75" x14ac:dyDescent="0.2"/>
    <row r="5024" ht="12.75" x14ac:dyDescent="0.2"/>
    <row r="5025" ht="12.75" x14ac:dyDescent="0.2"/>
    <row r="5026" ht="12.75" x14ac:dyDescent="0.2"/>
    <row r="5027" ht="12.75" x14ac:dyDescent="0.2"/>
    <row r="5028" ht="12.75" x14ac:dyDescent="0.2"/>
    <row r="5029" ht="12.75" x14ac:dyDescent="0.2"/>
    <row r="5030" ht="12.75" x14ac:dyDescent="0.2"/>
    <row r="5031" ht="12.75" x14ac:dyDescent="0.2"/>
    <row r="5032" ht="12.75" x14ac:dyDescent="0.2"/>
    <row r="5033" ht="12.75" x14ac:dyDescent="0.2"/>
    <row r="5034" ht="12.75" x14ac:dyDescent="0.2"/>
    <row r="5035" ht="12.75" x14ac:dyDescent="0.2"/>
    <row r="5036" ht="12.75" x14ac:dyDescent="0.2"/>
    <row r="5037" ht="12.75" x14ac:dyDescent="0.2"/>
    <row r="5038" ht="12.75" x14ac:dyDescent="0.2"/>
    <row r="5039" ht="12.75" x14ac:dyDescent="0.2"/>
    <row r="5040" ht="12.75" x14ac:dyDescent="0.2"/>
    <row r="5041" ht="12.75" x14ac:dyDescent="0.2"/>
    <row r="5042" ht="12.75" x14ac:dyDescent="0.2"/>
    <row r="5043" ht="12.75" x14ac:dyDescent="0.2"/>
    <row r="5044" ht="12.75" x14ac:dyDescent="0.2"/>
    <row r="5045" ht="12.75" x14ac:dyDescent="0.2"/>
    <row r="5046" ht="12.75" x14ac:dyDescent="0.2"/>
    <row r="5047" ht="12.75" x14ac:dyDescent="0.2"/>
    <row r="5048" ht="12.75" x14ac:dyDescent="0.2"/>
    <row r="5049" ht="12.75" x14ac:dyDescent="0.2"/>
    <row r="5050" ht="12.75" x14ac:dyDescent="0.2"/>
    <row r="5051" ht="12.75" x14ac:dyDescent="0.2"/>
    <row r="5052" ht="12.75" x14ac:dyDescent="0.2"/>
    <row r="5053" ht="12.75" x14ac:dyDescent="0.2"/>
    <row r="5054" ht="12.75" x14ac:dyDescent="0.2"/>
    <row r="5055" ht="12.75" x14ac:dyDescent="0.2"/>
    <row r="5056" ht="12.75" x14ac:dyDescent="0.2"/>
    <row r="5057" ht="12.75" x14ac:dyDescent="0.2"/>
    <row r="5058" ht="12.75" x14ac:dyDescent="0.2"/>
    <row r="5059" ht="12.75" x14ac:dyDescent="0.2"/>
    <row r="5060" ht="12.75" x14ac:dyDescent="0.2"/>
    <row r="5061" ht="12.75" x14ac:dyDescent="0.2"/>
    <row r="5062" ht="12.75" x14ac:dyDescent="0.2"/>
    <row r="5063" ht="12.75" x14ac:dyDescent="0.2"/>
    <row r="5064" ht="12.75" x14ac:dyDescent="0.2"/>
    <row r="5065" ht="12.75" x14ac:dyDescent="0.2"/>
    <row r="5066" ht="12.75" x14ac:dyDescent="0.2"/>
    <row r="5067" ht="12.75" x14ac:dyDescent="0.2"/>
    <row r="5068" ht="12.75" x14ac:dyDescent="0.2"/>
    <row r="5069" ht="12.75" x14ac:dyDescent="0.2"/>
    <row r="5070" ht="12.75" x14ac:dyDescent="0.2"/>
    <row r="5071" ht="12.75" x14ac:dyDescent="0.2"/>
    <row r="5072" ht="12.75" x14ac:dyDescent="0.2"/>
    <row r="5073" ht="12.75" x14ac:dyDescent="0.2"/>
    <row r="5074" ht="12.75" x14ac:dyDescent="0.2"/>
    <row r="5075" ht="12.75" x14ac:dyDescent="0.2"/>
    <row r="5076" ht="12.75" x14ac:dyDescent="0.2"/>
    <row r="5077" ht="12.75" x14ac:dyDescent="0.2"/>
    <row r="5078" ht="12.75" x14ac:dyDescent="0.2"/>
    <row r="5079" ht="12.75" x14ac:dyDescent="0.2"/>
    <row r="5080" ht="12.75" x14ac:dyDescent="0.2"/>
    <row r="5081" ht="12.75" x14ac:dyDescent="0.2"/>
    <row r="5082" ht="12.75" x14ac:dyDescent="0.2"/>
    <row r="5083" ht="12.75" x14ac:dyDescent="0.2"/>
    <row r="5084" ht="12.75" x14ac:dyDescent="0.2"/>
    <row r="5085" ht="12.75" x14ac:dyDescent="0.2"/>
    <row r="5086" ht="12.75" x14ac:dyDescent="0.2"/>
    <row r="5087" ht="12.75" x14ac:dyDescent="0.2"/>
    <row r="5088" ht="12.75" x14ac:dyDescent="0.2"/>
    <row r="5089" ht="12.75" x14ac:dyDescent="0.2"/>
    <row r="5090" ht="12.75" x14ac:dyDescent="0.2"/>
    <row r="5091" ht="12.75" x14ac:dyDescent="0.2"/>
    <row r="5092" ht="12.75" x14ac:dyDescent="0.2"/>
    <row r="5093" ht="12.75" x14ac:dyDescent="0.2"/>
    <row r="5094" ht="12.75" x14ac:dyDescent="0.2"/>
    <row r="5095" ht="12.75" x14ac:dyDescent="0.2"/>
    <row r="5096" ht="12.75" x14ac:dyDescent="0.2"/>
    <row r="5097" ht="12.75" x14ac:dyDescent="0.2"/>
    <row r="5098" ht="12.75" x14ac:dyDescent="0.2"/>
    <row r="5099" ht="12.75" x14ac:dyDescent="0.2"/>
    <row r="5100" ht="12.75" x14ac:dyDescent="0.2"/>
    <row r="5101" ht="12.75" x14ac:dyDescent="0.2"/>
    <row r="5102" ht="12.75" x14ac:dyDescent="0.2"/>
    <row r="5103" ht="12.75" x14ac:dyDescent="0.2"/>
    <row r="5104" ht="12.75" x14ac:dyDescent="0.2"/>
    <row r="5105" ht="12.75" x14ac:dyDescent="0.2"/>
    <row r="5106" ht="12.75" x14ac:dyDescent="0.2"/>
    <row r="5107" ht="12.75" x14ac:dyDescent="0.2"/>
    <row r="5108" ht="12.75" x14ac:dyDescent="0.2"/>
    <row r="5109" ht="12.75" x14ac:dyDescent="0.2"/>
    <row r="5110" ht="12.75" x14ac:dyDescent="0.2"/>
    <row r="5111" ht="12.75" x14ac:dyDescent="0.2"/>
    <row r="5112" ht="12.75" x14ac:dyDescent="0.2"/>
    <row r="5113" ht="12.75" x14ac:dyDescent="0.2"/>
    <row r="5114" ht="12.75" x14ac:dyDescent="0.2"/>
    <row r="5115" ht="12.75" x14ac:dyDescent="0.2"/>
    <row r="5116" ht="12.75" x14ac:dyDescent="0.2"/>
    <row r="5117" ht="12.75" x14ac:dyDescent="0.2"/>
    <row r="5118" ht="12.75" x14ac:dyDescent="0.2"/>
    <row r="5119" ht="12.75" x14ac:dyDescent="0.2"/>
    <row r="5120" ht="12.75" x14ac:dyDescent="0.2"/>
    <row r="5121" ht="12.75" x14ac:dyDescent="0.2"/>
    <row r="5122" ht="12.75" x14ac:dyDescent="0.2"/>
    <row r="5123" ht="12.75" x14ac:dyDescent="0.2"/>
    <row r="5124" ht="12.75" x14ac:dyDescent="0.2"/>
    <row r="5125" ht="12.75" x14ac:dyDescent="0.2"/>
    <row r="5126" ht="12.75" x14ac:dyDescent="0.2"/>
    <row r="5127" ht="12.75" x14ac:dyDescent="0.2"/>
    <row r="5128" ht="12.75" x14ac:dyDescent="0.2"/>
    <row r="5129" ht="12.75" x14ac:dyDescent="0.2"/>
    <row r="5130" ht="12.75" x14ac:dyDescent="0.2"/>
    <row r="5131" ht="12.75" x14ac:dyDescent="0.2"/>
    <row r="5132" ht="12.75" x14ac:dyDescent="0.2"/>
    <row r="5133" ht="12.75" x14ac:dyDescent="0.2"/>
    <row r="5134" ht="12.75" x14ac:dyDescent="0.2"/>
    <row r="5135" ht="12.75" x14ac:dyDescent="0.2"/>
    <row r="5136" ht="12.75" x14ac:dyDescent="0.2"/>
    <row r="5137" ht="12.75" x14ac:dyDescent="0.2"/>
    <row r="5138" ht="12.75" x14ac:dyDescent="0.2"/>
    <row r="5139" ht="12.75" x14ac:dyDescent="0.2"/>
    <row r="5140" ht="12.75" x14ac:dyDescent="0.2"/>
    <row r="5141" ht="12.75" x14ac:dyDescent="0.2"/>
    <row r="5142" ht="12.75" x14ac:dyDescent="0.2"/>
    <row r="5143" ht="12.75" x14ac:dyDescent="0.2"/>
    <row r="5144" ht="12.75" x14ac:dyDescent="0.2"/>
    <row r="5145" ht="12.75" x14ac:dyDescent="0.2"/>
    <row r="5146" ht="12.75" x14ac:dyDescent="0.2"/>
    <row r="5147" ht="12.75" x14ac:dyDescent="0.2"/>
    <row r="5148" ht="12.75" x14ac:dyDescent="0.2"/>
    <row r="5149" ht="12.75" x14ac:dyDescent="0.2"/>
    <row r="5150" ht="12.75" x14ac:dyDescent="0.2"/>
    <row r="5151" ht="12.75" x14ac:dyDescent="0.2"/>
    <row r="5152" ht="12.75" x14ac:dyDescent="0.2"/>
    <row r="5153" ht="12.75" x14ac:dyDescent="0.2"/>
    <row r="5154" ht="12.75" x14ac:dyDescent="0.2"/>
    <row r="5155" ht="12.75" x14ac:dyDescent="0.2"/>
    <row r="5156" ht="12.75" x14ac:dyDescent="0.2"/>
    <row r="5157" ht="12.75" x14ac:dyDescent="0.2"/>
    <row r="5158" ht="12.75" x14ac:dyDescent="0.2"/>
    <row r="5159" ht="12.75" x14ac:dyDescent="0.2"/>
    <row r="5160" ht="12.75" x14ac:dyDescent="0.2"/>
    <row r="5161" ht="12.75" x14ac:dyDescent="0.2"/>
    <row r="5162" ht="12.75" x14ac:dyDescent="0.2"/>
    <row r="5163" ht="12.75" x14ac:dyDescent="0.2"/>
    <row r="5164" ht="12.75" x14ac:dyDescent="0.2"/>
    <row r="5165" ht="12.75" x14ac:dyDescent="0.2"/>
    <row r="5166" ht="12.75" x14ac:dyDescent="0.2"/>
    <row r="5167" ht="12.75" x14ac:dyDescent="0.2"/>
    <row r="5168" ht="12.75" x14ac:dyDescent="0.2"/>
    <row r="5169" ht="12.75" x14ac:dyDescent="0.2"/>
    <row r="5170" ht="12.75" x14ac:dyDescent="0.2"/>
    <row r="5171" ht="12.75" x14ac:dyDescent="0.2"/>
    <row r="5172" ht="12.75" x14ac:dyDescent="0.2"/>
    <row r="5173" ht="12.75" x14ac:dyDescent="0.2"/>
    <row r="5174" ht="12.75" x14ac:dyDescent="0.2"/>
    <row r="5175" ht="12.75" x14ac:dyDescent="0.2"/>
    <row r="5176" ht="12.75" x14ac:dyDescent="0.2"/>
    <row r="5177" ht="12.75" x14ac:dyDescent="0.2"/>
    <row r="5178" ht="12.75" x14ac:dyDescent="0.2"/>
    <row r="5179" ht="12.75" x14ac:dyDescent="0.2"/>
    <row r="5180" ht="12.75" x14ac:dyDescent="0.2"/>
    <row r="5181" ht="12.75" x14ac:dyDescent="0.2"/>
    <row r="5182" ht="12.75" x14ac:dyDescent="0.2"/>
    <row r="5183" ht="12.75" x14ac:dyDescent="0.2"/>
    <row r="5184" ht="12.75" x14ac:dyDescent="0.2"/>
    <row r="5185" ht="12.75" x14ac:dyDescent="0.2"/>
    <row r="5186" ht="12.75" x14ac:dyDescent="0.2"/>
    <row r="5187" ht="12.75" x14ac:dyDescent="0.2"/>
    <row r="5188" ht="12.75" x14ac:dyDescent="0.2"/>
    <row r="5189" ht="12.75" x14ac:dyDescent="0.2"/>
    <row r="5190" ht="12.75" x14ac:dyDescent="0.2"/>
    <row r="5191" ht="12.75" x14ac:dyDescent="0.2"/>
    <row r="5192" ht="12.75" x14ac:dyDescent="0.2"/>
    <row r="5193" ht="12.75" x14ac:dyDescent="0.2"/>
    <row r="5194" ht="12.75" x14ac:dyDescent="0.2"/>
    <row r="5195" ht="12.75" x14ac:dyDescent="0.2"/>
    <row r="5196" ht="12.75" x14ac:dyDescent="0.2"/>
    <row r="5197" ht="12.75" x14ac:dyDescent="0.2"/>
    <row r="5198" ht="12.75" x14ac:dyDescent="0.2"/>
    <row r="5199" ht="12.75" x14ac:dyDescent="0.2"/>
    <row r="5200" ht="12.75" x14ac:dyDescent="0.2"/>
    <row r="5201" ht="12.75" x14ac:dyDescent="0.2"/>
    <row r="5202" ht="12.75" x14ac:dyDescent="0.2"/>
    <row r="5203" ht="12.75" x14ac:dyDescent="0.2"/>
    <row r="5204" ht="12.75" x14ac:dyDescent="0.2"/>
    <row r="5205" ht="12.75" x14ac:dyDescent="0.2"/>
    <row r="5206" ht="12.75" x14ac:dyDescent="0.2"/>
    <row r="5207" ht="12.75" x14ac:dyDescent="0.2"/>
    <row r="5208" ht="12.75" x14ac:dyDescent="0.2"/>
    <row r="5209" ht="12.75" x14ac:dyDescent="0.2"/>
    <row r="5210" ht="12.75" x14ac:dyDescent="0.2"/>
    <row r="5211" ht="12.75" x14ac:dyDescent="0.2"/>
    <row r="5212" ht="12.75" x14ac:dyDescent="0.2"/>
    <row r="5213" ht="12.75" x14ac:dyDescent="0.2"/>
    <row r="5214" ht="12.75" x14ac:dyDescent="0.2"/>
    <row r="5215" ht="12.75" x14ac:dyDescent="0.2"/>
    <row r="5216" ht="12.75" x14ac:dyDescent="0.2"/>
    <row r="5217" ht="12.75" x14ac:dyDescent="0.2"/>
    <row r="5218" ht="12.75" x14ac:dyDescent="0.2"/>
    <row r="5219" ht="12.75" x14ac:dyDescent="0.2"/>
    <row r="5220" ht="12.75" x14ac:dyDescent="0.2"/>
    <row r="5221" ht="12.75" x14ac:dyDescent="0.2"/>
    <row r="5222" ht="12.75" x14ac:dyDescent="0.2"/>
    <row r="5223" ht="12.75" x14ac:dyDescent="0.2"/>
    <row r="5224" ht="12.75" x14ac:dyDescent="0.2"/>
    <row r="5225" ht="12.75" x14ac:dyDescent="0.2"/>
    <row r="5226" ht="12.75" x14ac:dyDescent="0.2"/>
    <row r="5227" ht="12.75" x14ac:dyDescent="0.2"/>
    <row r="5228" ht="12.75" x14ac:dyDescent="0.2"/>
    <row r="5229" ht="12.75" x14ac:dyDescent="0.2"/>
    <row r="5230" ht="12.75" x14ac:dyDescent="0.2"/>
    <row r="5231" ht="12.75" x14ac:dyDescent="0.2"/>
    <row r="5232" ht="12.75" x14ac:dyDescent="0.2"/>
    <row r="5233" ht="12.75" x14ac:dyDescent="0.2"/>
    <row r="5234" ht="12.75" x14ac:dyDescent="0.2"/>
    <row r="5235" ht="12.75" x14ac:dyDescent="0.2"/>
    <row r="5236" ht="12.75" x14ac:dyDescent="0.2"/>
    <row r="5237" ht="12.75" x14ac:dyDescent="0.2"/>
    <row r="5238" ht="12.75" x14ac:dyDescent="0.2"/>
    <row r="5239" ht="12.75" x14ac:dyDescent="0.2"/>
    <row r="5240" ht="12.75" x14ac:dyDescent="0.2"/>
    <row r="5241" ht="12.75" x14ac:dyDescent="0.2"/>
    <row r="5242" ht="12.75" x14ac:dyDescent="0.2"/>
    <row r="5243" ht="12.75" x14ac:dyDescent="0.2"/>
    <row r="5244" ht="12.75" x14ac:dyDescent="0.2"/>
    <row r="5245" ht="12.75" x14ac:dyDescent="0.2"/>
    <row r="5246" ht="12.75" x14ac:dyDescent="0.2"/>
    <row r="5247" ht="12.75" x14ac:dyDescent="0.2"/>
    <row r="5248" ht="12.75" x14ac:dyDescent="0.2"/>
    <row r="5249" ht="12.75" x14ac:dyDescent="0.2"/>
    <row r="5250" ht="12.75" x14ac:dyDescent="0.2"/>
    <row r="5251" ht="12.75" x14ac:dyDescent="0.2"/>
    <row r="5252" ht="12.75" x14ac:dyDescent="0.2"/>
    <row r="5253" ht="12.75" x14ac:dyDescent="0.2"/>
    <row r="5254" ht="12.75" x14ac:dyDescent="0.2"/>
    <row r="5255" ht="12.75" x14ac:dyDescent="0.2"/>
    <row r="5256" ht="12.75" x14ac:dyDescent="0.2"/>
    <row r="5257" ht="12.75" x14ac:dyDescent="0.2"/>
    <row r="5258" ht="12.75" x14ac:dyDescent="0.2"/>
    <row r="5259" ht="12.75" x14ac:dyDescent="0.2"/>
    <row r="5260" ht="12.75" x14ac:dyDescent="0.2"/>
    <row r="5261" ht="12.75" x14ac:dyDescent="0.2"/>
    <row r="5262" ht="12.75" x14ac:dyDescent="0.2"/>
    <row r="5263" ht="12.75" x14ac:dyDescent="0.2"/>
    <row r="5264" ht="12.75" x14ac:dyDescent="0.2"/>
    <row r="5265" ht="12.75" x14ac:dyDescent="0.2"/>
    <row r="5266" ht="12.75" x14ac:dyDescent="0.2"/>
    <row r="5267" ht="12.75" x14ac:dyDescent="0.2"/>
    <row r="5268" ht="12.75" x14ac:dyDescent="0.2"/>
    <row r="5269" ht="12.75" x14ac:dyDescent="0.2"/>
    <row r="5270" ht="12.75" x14ac:dyDescent="0.2"/>
    <row r="5271" ht="12.75" x14ac:dyDescent="0.2"/>
    <row r="5272" ht="12.75" x14ac:dyDescent="0.2"/>
    <row r="5273" ht="12.75" x14ac:dyDescent="0.2"/>
    <row r="5274" ht="12.75" x14ac:dyDescent="0.2"/>
    <row r="5275" ht="12.75" x14ac:dyDescent="0.2"/>
    <row r="5276" ht="12.75" x14ac:dyDescent="0.2"/>
    <row r="5277" ht="12.75" x14ac:dyDescent="0.2"/>
    <row r="5278" ht="12.75" x14ac:dyDescent="0.2"/>
    <row r="5279" ht="12.75" x14ac:dyDescent="0.2"/>
    <row r="5280" ht="12.75" x14ac:dyDescent="0.2"/>
    <row r="5281" ht="12.75" x14ac:dyDescent="0.2"/>
    <row r="5282" ht="12.75" x14ac:dyDescent="0.2"/>
    <row r="5283" ht="12.75" x14ac:dyDescent="0.2"/>
    <row r="5284" ht="12.75" x14ac:dyDescent="0.2"/>
    <row r="5285" ht="12.75" x14ac:dyDescent="0.2"/>
    <row r="5286" ht="12.75" x14ac:dyDescent="0.2"/>
    <row r="5287" ht="12.75" x14ac:dyDescent="0.2"/>
    <row r="5288" ht="12.75" x14ac:dyDescent="0.2"/>
    <row r="5289" ht="12.75" x14ac:dyDescent="0.2"/>
    <row r="5290" ht="12.75" x14ac:dyDescent="0.2"/>
    <row r="5291" ht="12.75" x14ac:dyDescent="0.2"/>
    <row r="5292" ht="12.75" x14ac:dyDescent="0.2"/>
    <row r="5293" ht="12.75" x14ac:dyDescent="0.2"/>
    <row r="5294" ht="12.75" x14ac:dyDescent="0.2"/>
    <row r="5295" ht="12.75" x14ac:dyDescent="0.2"/>
    <row r="5296" ht="12.75" x14ac:dyDescent="0.2"/>
    <row r="5297" ht="12.75" x14ac:dyDescent="0.2"/>
    <row r="5298" ht="12.75" x14ac:dyDescent="0.2"/>
    <row r="5299" ht="12.75" x14ac:dyDescent="0.2"/>
    <row r="5300" ht="12.75" x14ac:dyDescent="0.2"/>
    <row r="5301" ht="12.75" x14ac:dyDescent="0.2"/>
    <row r="5302" ht="12.75" x14ac:dyDescent="0.2"/>
    <row r="5303" ht="12.75" x14ac:dyDescent="0.2"/>
    <row r="5304" ht="12.75" x14ac:dyDescent="0.2"/>
    <row r="5305" ht="12.75" x14ac:dyDescent="0.2"/>
    <row r="5306" ht="12.75" x14ac:dyDescent="0.2"/>
    <row r="5307" ht="12.75" x14ac:dyDescent="0.2"/>
    <row r="5308" ht="12.75" x14ac:dyDescent="0.2"/>
    <row r="5309" ht="12.75" x14ac:dyDescent="0.2"/>
    <row r="5310" ht="12.75" x14ac:dyDescent="0.2"/>
    <row r="5311" ht="12.75" x14ac:dyDescent="0.2"/>
    <row r="5312" ht="12.75" x14ac:dyDescent="0.2"/>
    <row r="5313" ht="12.75" x14ac:dyDescent="0.2"/>
    <row r="5314" ht="12.75" x14ac:dyDescent="0.2"/>
    <row r="5315" ht="12.75" x14ac:dyDescent="0.2"/>
    <row r="5316" ht="12.75" x14ac:dyDescent="0.2"/>
    <row r="5317" ht="12.75" x14ac:dyDescent="0.2"/>
    <row r="5318" ht="12.75" x14ac:dyDescent="0.2"/>
    <row r="5319" ht="12.75" x14ac:dyDescent="0.2"/>
    <row r="5320" ht="12.75" x14ac:dyDescent="0.2"/>
    <row r="5321" ht="12.75" x14ac:dyDescent="0.2"/>
    <row r="5322" ht="12.75" x14ac:dyDescent="0.2"/>
    <row r="5323" ht="12.75" x14ac:dyDescent="0.2"/>
    <row r="5324" ht="12.75" x14ac:dyDescent="0.2"/>
    <row r="5325" ht="12.75" x14ac:dyDescent="0.2"/>
    <row r="5326" ht="12.75" x14ac:dyDescent="0.2"/>
    <row r="5327" ht="12.75" x14ac:dyDescent="0.2"/>
    <row r="5328" ht="12.75" x14ac:dyDescent="0.2"/>
    <row r="5329" ht="12.75" x14ac:dyDescent="0.2"/>
    <row r="5330" ht="12.75" x14ac:dyDescent="0.2"/>
    <row r="5331" ht="12.75" x14ac:dyDescent="0.2"/>
    <row r="5332" ht="12.75" x14ac:dyDescent="0.2"/>
    <row r="5333" ht="12.75" x14ac:dyDescent="0.2"/>
    <row r="5334" ht="12.75" x14ac:dyDescent="0.2"/>
    <row r="5335" ht="12.75" x14ac:dyDescent="0.2"/>
    <row r="5336" ht="12.75" x14ac:dyDescent="0.2"/>
    <row r="5337" ht="12.75" x14ac:dyDescent="0.2"/>
    <row r="5338" ht="12.75" x14ac:dyDescent="0.2"/>
    <row r="5339" ht="12.75" x14ac:dyDescent="0.2"/>
    <row r="5340" ht="12.75" x14ac:dyDescent="0.2"/>
    <row r="5341" ht="12.75" x14ac:dyDescent="0.2"/>
    <row r="5342" ht="12.75" x14ac:dyDescent="0.2"/>
    <row r="5343" ht="12.75" x14ac:dyDescent="0.2"/>
    <row r="5344" ht="12.75" x14ac:dyDescent="0.2"/>
    <row r="5345" ht="12.75" x14ac:dyDescent="0.2"/>
    <row r="5346" ht="12.75" x14ac:dyDescent="0.2"/>
    <row r="5347" ht="12.75" x14ac:dyDescent="0.2"/>
    <row r="5348" ht="12.75" x14ac:dyDescent="0.2"/>
    <row r="5349" ht="12.75" x14ac:dyDescent="0.2"/>
    <row r="5350" ht="12.75" x14ac:dyDescent="0.2"/>
    <row r="5351" ht="12.75" x14ac:dyDescent="0.2"/>
    <row r="5352" ht="12.75" x14ac:dyDescent="0.2"/>
    <row r="5353" ht="12.75" x14ac:dyDescent="0.2"/>
    <row r="5354" ht="12.75" x14ac:dyDescent="0.2"/>
    <row r="5355" ht="12.75" x14ac:dyDescent="0.2"/>
    <row r="5356" ht="12.75" x14ac:dyDescent="0.2"/>
    <row r="5357" ht="12.75" x14ac:dyDescent="0.2"/>
    <row r="5358" ht="12.75" x14ac:dyDescent="0.2"/>
    <row r="5359" ht="12.75" x14ac:dyDescent="0.2"/>
    <row r="5360" ht="12.75" x14ac:dyDescent="0.2"/>
    <row r="5361" ht="12.75" x14ac:dyDescent="0.2"/>
    <row r="5362" ht="12.75" x14ac:dyDescent="0.2"/>
    <row r="5363" ht="12.75" x14ac:dyDescent="0.2"/>
    <row r="5364" ht="12.75" x14ac:dyDescent="0.2"/>
    <row r="5365" ht="12.75" x14ac:dyDescent="0.2"/>
    <row r="5366" ht="12.75" x14ac:dyDescent="0.2"/>
    <row r="5367" ht="12.75" x14ac:dyDescent="0.2"/>
    <row r="5368" ht="12.75" x14ac:dyDescent="0.2"/>
    <row r="5369" ht="12.75" x14ac:dyDescent="0.2"/>
    <row r="5370" ht="12.75" x14ac:dyDescent="0.2"/>
    <row r="5371" ht="12.75" x14ac:dyDescent="0.2"/>
    <row r="5372" ht="12.75" x14ac:dyDescent="0.2"/>
    <row r="5373" ht="12.75" x14ac:dyDescent="0.2"/>
    <row r="5374" ht="12.75" x14ac:dyDescent="0.2"/>
    <row r="5375" ht="12.75" x14ac:dyDescent="0.2"/>
    <row r="5376" ht="12.75" x14ac:dyDescent="0.2"/>
    <row r="5377" ht="12.75" x14ac:dyDescent="0.2"/>
    <row r="5378" ht="12.75" x14ac:dyDescent="0.2"/>
    <row r="5379" ht="12.75" x14ac:dyDescent="0.2"/>
    <row r="5380" ht="12.75" x14ac:dyDescent="0.2"/>
    <row r="5381" ht="12.75" x14ac:dyDescent="0.2"/>
    <row r="5382" ht="12.75" x14ac:dyDescent="0.2"/>
    <row r="5383" ht="12.75" x14ac:dyDescent="0.2"/>
    <row r="5384" ht="12.75" x14ac:dyDescent="0.2"/>
    <row r="5385" ht="12.75" x14ac:dyDescent="0.2"/>
    <row r="5386" ht="12.75" x14ac:dyDescent="0.2"/>
    <row r="5387" ht="12.75" x14ac:dyDescent="0.2"/>
    <row r="5388" ht="12.75" x14ac:dyDescent="0.2"/>
    <row r="5389" ht="12.75" x14ac:dyDescent="0.2"/>
    <row r="5390" ht="12.75" x14ac:dyDescent="0.2"/>
    <row r="5391" ht="12.75" x14ac:dyDescent="0.2"/>
    <row r="5392" ht="12.75" x14ac:dyDescent="0.2"/>
    <row r="5393" ht="12.75" x14ac:dyDescent="0.2"/>
    <row r="5394" ht="12.75" x14ac:dyDescent="0.2"/>
    <row r="5395" ht="12.75" x14ac:dyDescent="0.2"/>
    <row r="5396" ht="12.75" x14ac:dyDescent="0.2"/>
    <row r="5397" ht="12.75" x14ac:dyDescent="0.2"/>
    <row r="5398" ht="12.75" x14ac:dyDescent="0.2"/>
    <row r="5399" ht="12.75" x14ac:dyDescent="0.2"/>
    <row r="5400" ht="12.75" x14ac:dyDescent="0.2"/>
    <row r="5401" ht="12.75" x14ac:dyDescent="0.2"/>
    <row r="5402" ht="12.75" x14ac:dyDescent="0.2"/>
    <row r="5403" ht="12.75" x14ac:dyDescent="0.2"/>
    <row r="5404" ht="12.75" x14ac:dyDescent="0.2"/>
    <row r="5405" ht="12.75" x14ac:dyDescent="0.2"/>
    <row r="5406" ht="12.75" x14ac:dyDescent="0.2"/>
    <row r="5407" ht="12.75" x14ac:dyDescent="0.2"/>
    <row r="5408" ht="12.75" x14ac:dyDescent="0.2"/>
    <row r="5409" ht="12.75" x14ac:dyDescent="0.2"/>
    <row r="5410" ht="12.75" x14ac:dyDescent="0.2"/>
    <row r="5411" ht="12.75" x14ac:dyDescent="0.2"/>
    <row r="5412" ht="12.75" x14ac:dyDescent="0.2"/>
    <row r="5413" ht="12.75" x14ac:dyDescent="0.2"/>
    <row r="5414" ht="12.75" x14ac:dyDescent="0.2"/>
    <row r="5415" ht="12.75" x14ac:dyDescent="0.2"/>
    <row r="5416" ht="12.75" x14ac:dyDescent="0.2"/>
    <row r="5417" ht="12.75" x14ac:dyDescent="0.2"/>
    <row r="5418" ht="12.75" x14ac:dyDescent="0.2"/>
    <row r="5419" ht="12.75" x14ac:dyDescent="0.2"/>
    <row r="5420" ht="12.75" x14ac:dyDescent="0.2"/>
    <row r="5421" ht="12.75" x14ac:dyDescent="0.2"/>
    <row r="5422" ht="12.75" x14ac:dyDescent="0.2"/>
    <row r="5423" ht="12.75" x14ac:dyDescent="0.2"/>
    <row r="5424" ht="12.75" x14ac:dyDescent="0.2"/>
    <row r="5425" ht="12.75" x14ac:dyDescent="0.2"/>
    <row r="5426" ht="12.75" x14ac:dyDescent="0.2"/>
    <row r="5427" ht="12.75" x14ac:dyDescent="0.2"/>
    <row r="5428" ht="12.75" x14ac:dyDescent="0.2"/>
    <row r="5429" ht="12.75" x14ac:dyDescent="0.2"/>
    <row r="5430" ht="12.75" x14ac:dyDescent="0.2"/>
    <row r="5431" ht="12.75" x14ac:dyDescent="0.2"/>
    <row r="5432" ht="12.75" x14ac:dyDescent="0.2"/>
    <row r="5433" ht="12.75" x14ac:dyDescent="0.2"/>
    <row r="5434" ht="12.75" x14ac:dyDescent="0.2"/>
    <row r="5435" ht="12.75" x14ac:dyDescent="0.2"/>
    <row r="5436" ht="12.75" x14ac:dyDescent="0.2"/>
    <row r="5437" ht="12.75" x14ac:dyDescent="0.2"/>
    <row r="5438" ht="12.75" x14ac:dyDescent="0.2"/>
    <row r="5439" ht="12.75" x14ac:dyDescent="0.2"/>
    <row r="5440" ht="12.75" x14ac:dyDescent="0.2"/>
    <row r="5441" ht="12.75" x14ac:dyDescent="0.2"/>
    <row r="5442" ht="12.75" x14ac:dyDescent="0.2"/>
    <row r="5443" ht="12.75" x14ac:dyDescent="0.2"/>
    <row r="5444" ht="12.75" x14ac:dyDescent="0.2"/>
    <row r="5445" ht="12.75" x14ac:dyDescent="0.2"/>
    <row r="5446" ht="12.75" x14ac:dyDescent="0.2"/>
    <row r="5447" ht="12.75" x14ac:dyDescent="0.2"/>
    <row r="5448" ht="12.75" x14ac:dyDescent="0.2"/>
  </sheetData>
  <mergeCells count="1">
    <mergeCell ref="G47:I47"/>
  </mergeCells>
  <pageMargins left="0.7" right="0.7" top="0.75" bottom="0.75" header="0.3" footer="0.3"/>
  <pageSetup scale="88" fitToHeight="0" orientation="landscape" horizontalDpi="1200" verticalDpi="1200" r:id="rId1"/>
  <customProperties>
    <customPr name="_pios_id" r:id="rId2"/>
  </customProperties>
  <drawing r:id="rId3"/>
  <legacyDrawing r:id="rId4"/>
  <oleObjects>
    <mc:AlternateContent xmlns:mc="http://schemas.openxmlformats.org/markup-compatibility/2006">
      <mc:Choice Requires="x14">
        <oleObject progId="StaticMetafile" shapeId="146433" r:id="rId5">
          <objectPr defaultSize="0" autoPict="0" r:id="rId6">
            <anchor moveWithCells="1" sizeWithCells="1">
              <from>
                <xdr:col>0</xdr:col>
                <xdr:colOff>38100</xdr:colOff>
                <xdr:row>2</xdr:row>
                <xdr:rowOff>95250</xdr:rowOff>
              </from>
              <to>
                <xdr:col>1</xdr:col>
                <xdr:colOff>1924050</xdr:colOff>
                <xdr:row>3</xdr:row>
                <xdr:rowOff>66675</xdr:rowOff>
              </to>
            </anchor>
          </objectPr>
        </oleObject>
      </mc:Choice>
      <mc:Fallback>
        <oleObject progId="StaticMetafile" shapeId="146433" r:id="rId5"/>
      </mc:Fallback>
    </mc:AlternateContent>
  </oleObjects>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7682D8-648E-4615-964A-D1A0263DE148}">
  <sheetPr codeName="Sheet36">
    <pageSetUpPr fitToPage="1"/>
  </sheetPr>
  <dimension ref="A1:AD379"/>
  <sheetViews>
    <sheetView zoomScale="90" zoomScaleNormal="90" workbookViewId="0">
      <pane xSplit="2" ySplit="6" topLeftCell="C7" activePane="bottomRight" state="frozen"/>
      <selection activeCell="A34" sqref="A34"/>
      <selection pane="topRight" activeCell="A34" sqref="A34"/>
      <selection pane="bottomLeft" activeCell="A34" sqref="A34"/>
      <selection pane="bottomRight" activeCell="A34" sqref="A34"/>
    </sheetView>
  </sheetViews>
  <sheetFormatPr defaultRowHeight="12.75" x14ac:dyDescent="0.2"/>
  <cols>
    <col min="1" max="1" width="6.125" style="1953" customWidth="1"/>
    <col min="2" max="2" width="5.875" style="1953" customWidth="1"/>
    <col min="3" max="3" width="17.25" style="1953" customWidth="1"/>
    <col min="4" max="4" width="4.125" style="1953" customWidth="1"/>
    <col min="5" max="5" width="20.25" style="1953" customWidth="1"/>
    <col min="6" max="6" width="9" style="1953"/>
    <col min="7" max="7" width="4.125" style="1953" customWidth="1"/>
    <col min="8" max="8" width="15.5" style="1953" customWidth="1"/>
    <col min="9" max="9" width="4" style="1953" customWidth="1"/>
    <col min="10" max="10" width="20.125" style="1953" customWidth="1"/>
    <col min="11" max="11" width="20.5" style="1953" customWidth="1"/>
    <col min="12" max="12" width="13" style="1953" customWidth="1"/>
    <col min="13" max="13" width="13.625" style="1953" customWidth="1"/>
    <col min="14" max="14" width="4" style="1953" customWidth="1"/>
    <col min="15" max="15" width="19.75" style="1953" customWidth="1"/>
    <col min="16" max="16" width="19.625" style="1953" customWidth="1"/>
    <col min="17" max="17" width="19.875" style="1953" customWidth="1"/>
    <col min="18" max="18" width="20.25" style="1953" customWidth="1"/>
    <col min="19" max="19" width="20.5" style="1953" customWidth="1"/>
    <col min="20" max="20" width="4.125" style="1953" customWidth="1"/>
    <col min="21" max="21" width="15.125" style="1953" customWidth="1"/>
    <col min="22" max="22" width="16" style="1953" customWidth="1"/>
    <col min="23" max="23" width="15.5" style="1953" customWidth="1"/>
    <col min="24" max="24" width="14.125" style="1953" customWidth="1"/>
    <col min="25" max="25" width="15.5" style="1953" customWidth="1"/>
    <col min="26" max="27" width="19.375" style="1953" customWidth="1"/>
    <col min="28" max="28" width="18.625" style="1953" customWidth="1"/>
    <col min="29" max="29" width="9" style="1953"/>
    <col min="30" max="30" width="16.875" style="1953" bestFit="1" customWidth="1"/>
    <col min="31" max="16384" width="9" style="1953"/>
  </cols>
  <sheetData>
    <row r="1" spans="1:30" ht="15.75" x14ac:dyDescent="0.25">
      <c r="A1" s="2356" t="s">
        <v>5749</v>
      </c>
      <c r="E1" s="2357"/>
      <c r="H1" s="2358"/>
      <c r="I1" s="2358"/>
      <c r="J1" s="2359"/>
      <c r="K1" s="2359"/>
      <c r="L1" s="2359"/>
      <c r="M1" s="2359"/>
      <c r="N1" s="2359"/>
      <c r="O1" s="1953" t="str">
        <f ca="1">CELL("filename")</f>
        <v xml:space="preserve">Y:\ASC Forecast Modeling\Scenario Analysis\2025.10 565 Tx Only 925 In\AP1\w565 and 925 in redaction\[PacifiCorp Appendix 1 Redacted.xlsx]Sch 1- Rate Base </v>
      </c>
    </row>
    <row r="2" spans="1:30" ht="15.75" x14ac:dyDescent="0.25">
      <c r="A2" s="2356" t="s">
        <v>5750</v>
      </c>
      <c r="E2" s="2360"/>
      <c r="H2" s="2361"/>
      <c r="I2" s="2361"/>
      <c r="J2" s="2362" t="s">
        <v>5751</v>
      </c>
      <c r="K2" s="2361"/>
      <c r="L2" s="2361"/>
      <c r="M2" s="2361"/>
      <c r="N2" s="2361"/>
    </row>
    <row r="3" spans="1:30" ht="15.75" x14ac:dyDescent="0.25">
      <c r="A3" s="2356" t="s">
        <v>5752</v>
      </c>
      <c r="E3" s="2360"/>
      <c r="H3" s="2361"/>
      <c r="I3" s="2361"/>
      <c r="J3" s="2362" t="s">
        <v>5753</v>
      </c>
      <c r="K3" s="2361"/>
      <c r="L3" s="2361"/>
      <c r="M3" s="2361"/>
      <c r="N3" s="2361"/>
    </row>
    <row r="4" spans="1:30" ht="15.75" x14ac:dyDescent="0.25">
      <c r="A4" s="2356"/>
      <c r="E4" s="2360"/>
      <c r="H4" s="2361"/>
      <c r="I4" s="2361"/>
      <c r="J4" s="2362"/>
      <c r="K4" s="2361"/>
      <c r="L4" s="2361"/>
      <c r="M4" s="2361"/>
      <c r="N4" s="2361"/>
    </row>
    <row r="5" spans="1:30" ht="68.25" customHeight="1" x14ac:dyDescent="0.35">
      <c r="C5" s="2363" t="s">
        <v>5754</v>
      </c>
      <c r="E5" s="2364" t="s">
        <v>5755</v>
      </c>
      <c r="F5" s="2365" t="s">
        <v>5756</v>
      </c>
      <c r="H5" s="2364" t="s">
        <v>5757</v>
      </c>
      <c r="I5" s="2366"/>
      <c r="J5" s="2364" t="s">
        <v>5758</v>
      </c>
      <c r="K5" s="2364" t="s">
        <v>5759</v>
      </c>
      <c r="L5" s="2364" t="s">
        <v>5760</v>
      </c>
      <c r="M5" s="2367" t="s">
        <v>5761</v>
      </c>
      <c r="N5" s="2366"/>
      <c r="O5" s="2364" t="s">
        <v>5762</v>
      </c>
      <c r="P5" s="2364" t="s">
        <v>5763</v>
      </c>
      <c r="Q5" s="2364" t="s">
        <v>5764</v>
      </c>
      <c r="R5" s="2364" t="s">
        <v>5765</v>
      </c>
      <c r="S5" s="2364" t="s">
        <v>5766</v>
      </c>
      <c r="T5" s="2366"/>
      <c r="U5" s="2364" t="s">
        <v>5767</v>
      </c>
      <c r="V5" s="2364" t="s">
        <v>5768</v>
      </c>
      <c r="W5" s="2364" t="s">
        <v>5769</v>
      </c>
      <c r="X5" s="2364" t="s">
        <v>5770</v>
      </c>
      <c r="Y5" s="2364" t="s">
        <v>5771</v>
      </c>
      <c r="Z5" s="2364" t="s">
        <v>5772</v>
      </c>
      <c r="AA5" s="2364" t="s">
        <v>5773</v>
      </c>
      <c r="AB5" s="2364" t="s">
        <v>5774</v>
      </c>
    </row>
    <row r="6" spans="1:30" ht="24.75" customHeight="1" x14ac:dyDescent="0.35">
      <c r="C6" s="2368" t="s">
        <v>5775</v>
      </c>
      <c r="E6" s="2369" t="s">
        <v>5776</v>
      </c>
      <c r="F6" s="2370" t="s">
        <v>5777</v>
      </c>
      <c r="H6" s="2369" t="s">
        <v>5778</v>
      </c>
      <c r="I6" s="2361"/>
      <c r="J6" s="2368" t="s">
        <v>5779</v>
      </c>
      <c r="K6" s="2368" t="s">
        <v>5780</v>
      </c>
      <c r="L6" s="2368" t="s">
        <v>5781</v>
      </c>
      <c r="M6" s="2371" t="s">
        <v>5782</v>
      </c>
      <c r="N6" s="2366"/>
      <c r="O6" s="2372" t="s">
        <v>5783</v>
      </c>
      <c r="P6" s="2373" t="s">
        <v>5784</v>
      </c>
      <c r="Q6" s="2373" t="s">
        <v>5785</v>
      </c>
      <c r="R6" s="2373" t="s">
        <v>5786</v>
      </c>
      <c r="S6" s="2373" t="s">
        <v>5787</v>
      </c>
      <c r="T6" s="2373"/>
      <c r="U6" s="2373" t="s">
        <v>5788</v>
      </c>
      <c r="V6" s="2373" t="s">
        <v>5789</v>
      </c>
      <c r="W6" s="2373" t="s">
        <v>5790</v>
      </c>
      <c r="X6" s="2373" t="s">
        <v>5791</v>
      </c>
      <c r="Y6" s="2373" t="s">
        <v>5792</v>
      </c>
      <c r="Z6" s="2373"/>
      <c r="AA6" s="2373"/>
    </row>
    <row r="7" spans="1:30" ht="15.75" customHeight="1" x14ac:dyDescent="0.35">
      <c r="C7" s="2368"/>
      <c r="E7" s="2369"/>
      <c r="F7" s="2370"/>
      <c r="H7" s="2369"/>
      <c r="I7" s="2361"/>
      <c r="J7" s="2368"/>
      <c r="K7" s="2368"/>
      <c r="L7" s="2368"/>
      <c r="M7" s="2366"/>
      <c r="N7" s="2366"/>
      <c r="O7" s="2361"/>
      <c r="P7" s="2373"/>
      <c r="Q7" s="2373"/>
      <c r="R7" s="2373"/>
      <c r="S7" s="2373"/>
      <c r="T7" s="2373"/>
      <c r="U7" s="2373"/>
      <c r="V7" s="2373"/>
      <c r="W7" s="2373"/>
      <c r="X7" s="2373"/>
      <c r="Y7" s="2373"/>
      <c r="Z7" s="2373"/>
      <c r="AA7" s="2373"/>
    </row>
    <row r="8" spans="1:30" ht="15.75" customHeight="1" x14ac:dyDescent="0.35">
      <c r="C8" s="2368"/>
      <c r="E8" s="2369"/>
      <c r="F8" s="2370"/>
      <c r="H8" s="2369"/>
      <c r="I8" s="2361"/>
      <c r="J8" s="2368"/>
      <c r="K8" s="2368"/>
      <c r="L8" s="2368"/>
      <c r="M8" s="2366"/>
      <c r="N8" s="2366"/>
      <c r="O8" s="2361"/>
      <c r="P8" s="2373"/>
      <c r="Q8" s="2373"/>
      <c r="R8" s="2373"/>
      <c r="S8" s="2373"/>
      <c r="T8" s="2373"/>
      <c r="U8" s="2373"/>
      <c r="V8" s="2373"/>
      <c r="W8" s="2373"/>
      <c r="X8" s="2373"/>
      <c r="Y8" s="2373"/>
      <c r="Z8" s="2373"/>
      <c r="AA8" s="2373"/>
      <c r="AD8" s="2374"/>
    </row>
    <row r="9" spans="1:30" ht="16.5" customHeight="1" x14ac:dyDescent="0.35">
      <c r="E9" s="2361" t="s">
        <v>5793</v>
      </c>
      <c r="F9" s="2370"/>
      <c r="H9" s="2361"/>
      <c r="I9" s="2361"/>
      <c r="J9" s="2361" t="s">
        <v>5793</v>
      </c>
      <c r="K9" s="2361" t="s">
        <v>5793</v>
      </c>
      <c r="L9" s="2361"/>
      <c r="M9" s="2366"/>
      <c r="N9" s="2366"/>
      <c r="O9" s="2361" t="s">
        <v>5794</v>
      </c>
      <c r="P9" s="2361" t="s">
        <v>5795</v>
      </c>
      <c r="Q9" s="2361" t="s">
        <v>5796</v>
      </c>
      <c r="R9" s="2361" t="s">
        <v>5797</v>
      </c>
      <c r="S9" s="2361" t="s">
        <v>5798</v>
      </c>
      <c r="T9" s="2373"/>
      <c r="U9" s="2361" t="s">
        <v>5794</v>
      </c>
      <c r="V9" s="2361" t="s">
        <v>5795</v>
      </c>
      <c r="W9" s="2361" t="s">
        <v>5797</v>
      </c>
      <c r="Y9" s="2361" t="s">
        <v>5795</v>
      </c>
      <c r="Z9" s="2361"/>
      <c r="AA9" s="2361"/>
      <c r="AB9" s="2361" t="s">
        <v>5794</v>
      </c>
      <c r="AD9" s="2374"/>
    </row>
    <row r="10" spans="1:30" ht="16.5" customHeight="1" x14ac:dyDescent="0.35">
      <c r="E10" s="2361" t="s">
        <v>5799</v>
      </c>
      <c r="F10" s="2370"/>
      <c r="H10" s="2361"/>
      <c r="I10" s="2361"/>
      <c r="J10" s="2361" t="s">
        <v>5799</v>
      </c>
      <c r="K10" s="2361" t="s">
        <v>5799</v>
      </c>
      <c r="L10" s="2361"/>
      <c r="M10" s="2366"/>
      <c r="N10" s="2366"/>
      <c r="O10" s="2361" t="s">
        <v>5799</v>
      </c>
      <c r="P10" s="2361" t="s">
        <v>5799</v>
      </c>
      <c r="Q10" s="2361" t="s">
        <v>5799</v>
      </c>
      <c r="R10" s="2361" t="s">
        <v>5799</v>
      </c>
      <c r="S10" s="2361" t="s">
        <v>5799</v>
      </c>
      <c r="T10" s="2373"/>
      <c r="U10" s="2361" t="s">
        <v>5799</v>
      </c>
      <c r="V10" s="2361" t="s">
        <v>5799</v>
      </c>
      <c r="W10" s="2361" t="s">
        <v>5799</v>
      </c>
      <c r="Y10" s="2361" t="s">
        <v>5799</v>
      </c>
      <c r="Z10" s="2361"/>
      <c r="AA10" s="2361"/>
      <c r="AB10" s="2361" t="s">
        <v>5799</v>
      </c>
      <c r="AD10" s="2374"/>
    </row>
    <row r="11" spans="1:30" ht="15.75" hidden="1" x14ac:dyDescent="0.25">
      <c r="A11" s="1953">
        <v>2002</v>
      </c>
      <c r="B11" s="1953" t="s">
        <v>419</v>
      </c>
      <c r="C11" s="2375"/>
      <c r="D11" s="2360"/>
      <c r="E11" s="2376">
        <v>0</v>
      </c>
      <c r="F11" s="2377"/>
      <c r="H11" s="2376">
        <v>0</v>
      </c>
      <c r="I11" s="2376"/>
      <c r="J11" s="2376"/>
      <c r="K11" s="2376"/>
      <c r="L11" s="2376"/>
      <c r="M11" s="2376"/>
      <c r="N11" s="2376"/>
      <c r="O11" s="2378">
        <v>0</v>
      </c>
      <c r="P11" s="2378">
        <v>0</v>
      </c>
      <c r="Q11" s="2378">
        <v>0</v>
      </c>
      <c r="R11" s="2378">
        <v>0</v>
      </c>
      <c r="S11" s="2378">
        <v>0</v>
      </c>
      <c r="T11" s="2378"/>
      <c r="U11" s="2360">
        <v>0</v>
      </c>
      <c r="V11" s="2360">
        <v>0</v>
      </c>
      <c r="W11" s="2360">
        <v>0</v>
      </c>
      <c r="X11" s="2360"/>
      <c r="Y11" s="2360"/>
      <c r="Z11" s="2360"/>
      <c r="AA11" s="2360"/>
      <c r="AD11" s="2379"/>
    </row>
    <row r="12" spans="1:30" ht="15.75" hidden="1" x14ac:dyDescent="0.25">
      <c r="B12" s="1953" t="s">
        <v>420</v>
      </c>
      <c r="C12" s="1975"/>
      <c r="D12" s="2360"/>
      <c r="E12" s="2361">
        <v>0</v>
      </c>
      <c r="F12" s="2377"/>
      <c r="H12" s="2361">
        <v>0</v>
      </c>
      <c r="I12" s="2361"/>
      <c r="J12" s="2361"/>
      <c r="K12" s="2361"/>
      <c r="L12" s="2361"/>
      <c r="M12" s="2361"/>
      <c r="N12" s="2361"/>
      <c r="O12" s="2360">
        <v>0</v>
      </c>
      <c r="P12" s="2360">
        <v>0</v>
      </c>
      <c r="Q12" s="2360">
        <v>0</v>
      </c>
      <c r="R12" s="2360">
        <v>0</v>
      </c>
      <c r="S12" s="2360">
        <v>0</v>
      </c>
      <c r="T12" s="2360"/>
      <c r="U12" s="2360">
        <v>0</v>
      </c>
      <c r="V12" s="2360">
        <v>0</v>
      </c>
      <c r="W12" s="2360">
        <v>0</v>
      </c>
      <c r="X12" s="2360"/>
      <c r="Y12" s="2360"/>
      <c r="Z12" s="2360"/>
      <c r="AA12" s="2360"/>
    </row>
    <row r="13" spans="1:30" ht="15.75" hidden="1" x14ac:dyDescent="0.25">
      <c r="B13" s="1953" t="s">
        <v>421</v>
      </c>
      <c r="C13" s="1975"/>
      <c r="D13" s="2360"/>
      <c r="E13" s="2361">
        <v>865456.44</v>
      </c>
      <c r="F13" s="2377"/>
      <c r="H13" s="2361">
        <v>638682.9</v>
      </c>
      <c r="I13" s="2361"/>
      <c r="J13" s="2361"/>
      <c r="K13" s="2361"/>
      <c r="L13" s="2361"/>
      <c r="M13" s="2361"/>
      <c r="N13" s="2361"/>
      <c r="O13" s="2360">
        <v>86545.64</v>
      </c>
      <c r="P13" s="2360">
        <f>490713.8+0.004</f>
        <v>490713.804</v>
      </c>
      <c r="Q13" s="2360">
        <f>147993.05+0.004</f>
        <v>147993.05399999997</v>
      </c>
      <c r="R13" s="2360">
        <v>101258.4</v>
      </c>
      <c r="S13" s="2360">
        <v>38945.54</v>
      </c>
      <c r="T13" s="2360"/>
      <c r="U13" s="2360">
        <v>0</v>
      </c>
      <c r="V13" s="2360">
        <v>23.95</v>
      </c>
      <c r="W13" s="2360">
        <v>0</v>
      </c>
      <c r="X13" s="2360"/>
      <c r="Y13" s="2360"/>
      <c r="Z13" s="2360"/>
      <c r="AA13" s="2360"/>
    </row>
    <row r="14" spans="1:30" ht="15.75" hidden="1" x14ac:dyDescent="0.25">
      <c r="B14" s="1953" t="s">
        <v>422</v>
      </c>
      <c r="C14" s="1975"/>
      <c r="D14" s="2360"/>
      <c r="E14" s="2361">
        <v>1962811.73</v>
      </c>
      <c r="F14" s="2377"/>
      <c r="H14" s="2361">
        <v>1448531.11</v>
      </c>
      <c r="I14" s="2361"/>
      <c r="J14" s="2361"/>
      <c r="K14" s="2361"/>
      <c r="L14" s="2361"/>
      <c r="M14" s="2361"/>
      <c r="N14" s="2361"/>
      <c r="O14" s="2360">
        <v>196281.17</v>
      </c>
      <c r="P14" s="2360">
        <v>1112914.25</v>
      </c>
      <c r="Q14" s="2360">
        <v>335640.81</v>
      </c>
      <c r="R14" s="2360">
        <v>229648.97</v>
      </c>
      <c r="S14" s="2360">
        <v>88326.53</v>
      </c>
      <c r="T14" s="2360"/>
      <c r="U14" s="2360">
        <v>163.5</v>
      </c>
      <c r="V14" s="2360">
        <v>23.95</v>
      </c>
      <c r="W14" s="2360">
        <v>10.9</v>
      </c>
      <c r="X14" s="2360"/>
      <c r="Y14" s="2360"/>
      <c r="Z14" s="2360"/>
      <c r="AA14" s="2360"/>
    </row>
    <row r="15" spans="1:30" ht="15.75" hidden="1" x14ac:dyDescent="0.25">
      <c r="B15" s="1953" t="s">
        <v>285</v>
      </c>
      <c r="C15" s="1975"/>
      <c r="D15" s="2360"/>
      <c r="E15" s="2361">
        <v>1842882.35</v>
      </c>
      <c r="F15" s="2377"/>
      <c r="H15" s="2361">
        <v>1357685.62</v>
      </c>
      <c r="I15" s="2361"/>
      <c r="J15" s="2361"/>
      <c r="K15" s="2361"/>
      <c r="L15" s="2361"/>
      <c r="M15" s="2361"/>
      <c r="N15" s="2361"/>
      <c r="O15" s="2360">
        <f>183606.88+1573.57</f>
        <v>185180.45</v>
      </c>
      <c r="P15" s="2360">
        <f>1041051-0.005</f>
        <v>1041050.995</v>
      </c>
      <c r="Q15" s="2360">
        <f>313967.76+2690.81-0.004</f>
        <v>316658.56599999999</v>
      </c>
      <c r="R15" s="2360">
        <f>214820.05+1841.08</f>
        <v>216661.12999999998</v>
      </c>
      <c r="S15" s="2360">
        <f>82623.1+708.11</f>
        <v>83331.210000000006</v>
      </c>
      <c r="T15" s="2360"/>
      <c r="U15" s="2360">
        <v>163.5</v>
      </c>
      <c r="V15" s="2360">
        <v>23.95</v>
      </c>
      <c r="W15" s="2360">
        <v>10.9</v>
      </c>
      <c r="X15" s="2360"/>
      <c r="Y15" s="2360"/>
      <c r="Z15" s="2360"/>
      <c r="AA15" s="2360"/>
    </row>
    <row r="16" spans="1:30" ht="15.75" hidden="1" x14ac:dyDescent="0.25">
      <c r="B16" s="1953" t="s">
        <v>423</v>
      </c>
      <c r="C16" s="1975"/>
      <c r="D16" s="2360"/>
      <c r="E16" s="2361">
        <v>1817870.49</v>
      </c>
      <c r="F16" s="2377"/>
      <c r="H16" s="2361">
        <v>1337207.97</v>
      </c>
      <c r="I16" s="2361"/>
      <c r="J16" s="2361"/>
      <c r="K16" s="2361"/>
      <c r="L16" s="2361"/>
      <c r="M16" s="2361"/>
      <c r="N16" s="2361"/>
      <c r="O16" s="2380">
        <f>180517.23+2932.61</f>
        <v>183449.84</v>
      </c>
      <c r="P16" s="2380">
        <f>1023532.69</f>
        <v>1023532.69</v>
      </c>
      <c r="Q16" s="2380">
        <f>308684.46+5014.77</f>
        <v>313699.23000000004</v>
      </c>
      <c r="R16" s="2380">
        <f>211205.16+3431.15</f>
        <v>214636.31</v>
      </c>
      <c r="S16" s="2380">
        <f>81232.75+1319.67</f>
        <v>82552.42</v>
      </c>
      <c r="T16" s="2380"/>
      <c r="U16" s="2360">
        <v>163.5</v>
      </c>
      <c r="V16" s="2360">
        <v>23.95</v>
      </c>
      <c r="W16" s="2360">
        <v>10.9</v>
      </c>
      <c r="X16" s="2360"/>
      <c r="Y16" s="2360"/>
      <c r="Z16" s="2360"/>
      <c r="AA16" s="2360"/>
    </row>
    <row r="17" spans="1:28" ht="15.75" hidden="1" x14ac:dyDescent="0.25">
      <c r="B17" s="1953" t="s">
        <v>424</v>
      </c>
      <c r="C17" s="1975"/>
      <c r="D17" s="2360"/>
      <c r="E17" s="2361">
        <v>1898110.78</v>
      </c>
      <c r="F17" s="2377"/>
      <c r="H17" s="2361">
        <v>1400411.87</v>
      </c>
      <c r="I17" s="2361"/>
      <c r="J17" s="2361"/>
      <c r="K17" s="2361"/>
      <c r="L17" s="2361"/>
      <c r="M17" s="2361"/>
      <c r="N17" s="2361"/>
      <c r="O17" s="2360">
        <f>189703.25+249.03</f>
        <v>189952.28</v>
      </c>
      <c r="P17" s="2360">
        <f>1075617.42</f>
        <v>1075617.42</v>
      </c>
      <c r="Q17" s="2360">
        <f>324392.56+425.84</f>
        <v>324818.40000000002</v>
      </c>
      <c r="R17" s="2360">
        <f>221952.8+291.36</f>
        <v>222244.15999999997</v>
      </c>
      <c r="S17" s="2360">
        <f>85366.46+112.06</f>
        <v>85478.52</v>
      </c>
      <c r="T17" s="2360"/>
      <c r="U17" s="2360">
        <v>163.5</v>
      </c>
      <c r="V17" s="2360">
        <v>23.95</v>
      </c>
      <c r="W17" s="2360">
        <v>10.9</v>
      </c>
      <c r="X17" s="2360"/>
      <c r="Y17" s="2360"/>
      <c r="Z17" s="2360"/>
      <c r="AA17" s="2360"/>
    </row>
    <row r="18" spans="1:28" ht="15.75" hidden="1" x14ac:dyDescent="0.25">
      <c r="B18" s="1953" t="s">
        <v>425</v>
      </c>
      <c r="C18" s="1975"/>
      <c r="D18" s="2360"/>
      <c r="E18" s="2361">
        <v>1976242.93</v>
      </c>
      <c r="F18" s="2377"/>
      <c r="H18" s="2361">
        <v>1449844.77</v>
      </c>
      <c r="I18" s="2361"/>
      <c r="J18" s="2361"/>
      <c r="K18" s="2361"/>
      <c r="L18" s="2361"/>
      <c r="M18" s="2361"/>
      <c r="N18" s="2361"/>
      <c r="O18" s="2360">
        <f>195118.02+5788.17-0.005</f>
        <v>200906.185</v>
      </c>
      <c r="P18" s="2360">
        <f>1106319.15-0.005</f>
        <v>1106319.145</v>
      </c>
      <c r="Q18" s="2360">
        <f>333651.81+9897.77-0.005</f>
        <v>343549.57500000001</v>
      </c>
      <c r="R18" s="2360">
        <f>228288.08+6772.17-0.005</f>
        <v>235060.245</v>
      </c>
      <c r="S18" s="2360">
        <f>87803.11+2604.67</f>
        <v>90407.78</v>
      </c>
      <c r="T18" s="2360"/>
      <c r="U18" s="2360">
        <v>163.5</v>
      </c>
      <c r="V18" s="2360">
        <v>23.95</v>
      </c>
      <c r="W18" s="2360">
        <v>10.9</v>
      </c>
      <c r="X18" s="2360"/>
      <c r="Y18" s="2360"/>
      <c r="Z18" s="2360"/>
      <c r="AA18" s="2360"/>
    </row>
    <row r="19" spans="1:28" ht="15.75" hidden="1" x14ac:dyDescent="0.25">
      <c r="B19" s="1953" t="s">
        <v>426</v>
      </c>
      <c r="C19" s="1975"/>
      <c r="D19" s="2360"/>
      <c r="E19" s="2361">
        <v>1935318.93</v>
      </c>
      <c r="F19" s="2377"/>
      <c r="H19" s="2361">
        <v>1421674.54</v>
      </c>
      <c r="I19" s="2361"/>
      <c r="J19" s="2361"/>
      <c r="K19" s="2361">
        <v>285.7</v>
      </c>
      <c r="L19" s="2361"/>
      <c r="M19" s="2361"/>
      <c r="N19" s="2361"/>
      <c r="O19" s="2360">
        <f>191119.81+4918.53</f>
        <v>196038.34</v>
      </c>
      <c r="P19" s="2360">
        <f>1083649.33+4042.89</f>
        <v>1087692.22</v>
      </c>
      <c r="Q19" s="2360">
        <f>326814.88+7191.39</f>
        <v>334006.27</v>
      </c>
      <c r="R19" s="2360">
        <f>223610.18+5754.68</f>
        <v>229364.86</v>
      </c>
      <c r="S19" s="2360">
        <f>86003.91+2213.33</f>
        <v>88217.24</v>
      </c>
      <c r="T19" s="2360"/>
      <c r="U19" s="2360">
        <v>163.5</v>
      </c>
      <c r="V19" s="2360">
        <v>23.95</v>
      </c>
      <c r="W19" s="2360">
        <v>10.9</v>
      </c>
      <c r="X19" s="2360"/>
      <c r="Y19" s="2360"/>
      <c r="Z19" s="2360"/>
      <c r="AA19" s="2360"/>
    </row>
    <row r="20" spans="1:28" ht="15.75" hidden="1" x14ac:dyDescent="0.25">
      <c r="B20" s="1953" t="s">
        <v>416</v>
      </c>
      <c r="C20" s="1975"/>
      <c r="D20" s="2360"/>
      <c r="E20" s="2361">
        <v>1856215.84</v>
      </c>
      <c r="F20" s="2377"/>
      <c r="H20" s="2361">
        <v>1366339.16</v>
      </c>
      <c r="I20" s="2361"/>
      <c r="J20" s="2361"/>
      <c r="K20" s="2361">
        <v>114.29</v>
      </c>
      <c r="L20" s="2361"/>
      <c r="M20" s="2361"/>
      <c r="N20" s="2361"/>
      <c r="O20" s="2360">
        <f>184102.55+2864.14</f>
        <v>186966.69</v>
      </c>
      <c r="P20" s="2360">
        <f>1043861.46+3992.8</f>
        <v>1047854.26</v>
      </c>
      <c r="Q20" s="2360">
        <f>314815.36+3693.49</f>
        <v>318508.84999999998</v>
      </c>
      <c r="R20" s="2360">
        <f>215399.98+3351.04</f>
        <v>218751.02000000002</v>
      </c>
      <c r="S20" s="2360">
        <f>82846.15+1288.87</f>
        <v>84135.01999999999</v>
      </c>
      <c r="T20" s="2360"/>
      <c r="U20" s="2360">
        <v>163.5</v>
      </c>
      <c r="V20" s="2360">
        <v>23.95</v>
      </c>
      <c r="W20" s="2360">
        <v>10.9</v>
      </c>
      <c r="X20" s="2360"/>
      <c r="Y20" s="2360"/>
      <c r="Z20" s="2360"/>
      <c r="AA20" s="2360"/>
    </row>
    <row r="21" spans="1:28" ht="15.75" hidden="1" x14ac:dyDescent="0.25">
      <c r="B21" s="1953" t="s">
        <v>417</v>
      </c>
      <c r="C21" s="1975"/>
      <c r="D21" s="2360"/>
      <c r="E21" s="2361">
        <v>2077088.12</v>
      </c>
      <c r="F21" s="2377"/>
      <c r="H21" s="2361">
        <v>1514943.83</v>
      </c>
      <c r="I21" s="2361"/>
      <c r="J21" s="2361">
        <v>1417</v>
      </c>
      <c r="K21" s="2361">
        <v>342.84</v>
      </c>
      <c r="L21" s="2361"/>
      <c r="M21" s="2361"/>
      <c r="N21" s="2361"/>
      <c r="O21" s="2360">
        <f>204963.07+5663.01</f>
        <v>210626.08000000002</v>
      </c>
      <c r="P21" s="2360">
        <f>1162140.61+4204.63+0.004</f>
        <v>1166345.2439999999</v>
      </c>
      <c r="Q21" s="2360">
        <f>350486.85+8415.69+0.004</f>
        <v>358902.54399999999</v>
      </c>
      <c r="R21" s="2360">
        <f>239806.79+6625.73</f>
        <v>246432.52000000002</v>
      </c>
      <c r="S21" s="2360">
        <f>92233.38+2548.35</f>
        <v>94781.73000000001</v>
      </c>
      <c r="T21" s="2360"/>
      <c r="U21" s="2360">
        <v>163.5</v>
      </c>
      <c r="V21" s="2360">
        <v>23.95</v>
      </c>
      <c r="W21" s="2360">
        <v>10.9</v>
      </c>
      <c r="X21" s="2360"/>
      <c r="Y21" s="2360">
        <v>10280</v>
      </c>
      <c r="Z21" s="2360"/>
      <c r="AA21" s="2360"/>
    </row>
    <row r="22" spans="1:28" ht="15.75" hidden="1" x14ac:dyDescent="0.25">
      <c r="B22" s="1953" t="s">
        <v>418</v>
      </c>
      <c r="C22" s="1975"/>
      <c r="D22" s="2360"/>
      <c r="E22" s="2361">
        <v>2339696.6400000001</v>
      </c>
      <c r="F22" s="2377"/>
      <c r="H22" s="2361">
        <v>1722834.33</v>
      </c>
      <c r="I22" s="2361"/>
      <c r="J22" s="2361"/>
      <c r="K22" s="2361">
        <v>342.84</v>
      </c>
      <c r="L22" s="2361"/>
      <c r="M22" s="2361"/>
      <c r="N22" s="2361"/>
      <c r="O22" s="2360">
        <f>231590.44+3844.05</f>
        <v>235434.49</v>
      </c>
      <c r="P22" s="2360">
        <f>1313117.78+8360.02-0.004</f>
        <v>1321477.7960000001</v>
      </c>
      <c r="Q22" s="2360">
        <f>396019.65+5360.83-0.005</f>
        <v>401380.47500000003</v>
      </c>
      <c r="R22" s="2360">
        <f>270960.81+4497.55</f>
        <v>275458.36</v>
      </c>
      <c r="S22" s="2360">
        <f>104215.7+1729.82</f>
        <v>105945.52</v>
      </c>
      <c r="T22" s="2360"/>
      <c r="U22" s="2360">
        <v>163.5</v>
      </c>
      <c r="V22" s="2360">
        <v>23.95</v>
      </c>
      <c r="W22" s="2360">
        <v>10.9</v>
      </c>
      <c r="X22" s="2360"/>
      <c r="Y22" s="2360"/>
      <c r="Z22" s="2360"/>
      <c r="AA22" s="2360"/>
    </row>
    <row r="23" spans="1:28" ht="15.75" hidden="1" x14ac:dyDescent="0.25">
      <c r="C23" s="1975"/>
      <c r="D23" s="2360"/>
      <c r="E23" s="2361"/>
      <c r="F23" s="2377"/>
      <c r="H23" s="2361"/>
      <c r="I23" s="2361"/>
      <c r="J23" s="2361"/>
      <c r="K23" s="2361"/>
      <c r="L23" s="2361"/>
      <c r="M23" s="2361"/>
      <c r="N23" s="2361"/>
      <c r="O23" s="2360"/>
      <c r="P23" s="2360"/>
      <c r="Q23" s="2360"/>
      <c r="R23" s="2360"/>
      <c r="S23" s="2360"/>
      <c r="T23" s="2360"/>
      <c r="U23" s="2360"/>
      <c r="V23" s="2360"/>
      <c r="W23" s="2360"/>
      <c r="X23" s="2360"/>
      <c r="Y23" s="2360"/>
      <c r="Z23" s="2360"/>
      <c r="AA23" s="2360"/>
      <c r="AB23" s="2360"/>
    </row>
    <row r="24" spans="1:28" ht="16.5" hidden="1" thickBot="1" x14ac:dyDescent="0.3">
      <c r="B24" s="1953" t="s">
        <v>5800</v>
      </c>
      <c r="C24" s="2381">
        <f>SUM(C11:C22)</f>
        <v>0</v>
      </c>
      <c r="D24" s="2360"/>
      <c r="E24" s="2382">
        <f>SUM(E11:E22)</f>
        <v>18571694.25</v>
      </c>
      <c r="F24" s="2383"/>
      <c r="H24" s="2382">
        <f>SUM(H11:H22)</f>
        <v>13658156.100000001</v>
      </c>
      <c r="I24" s="2384"/>
      <c r="J24" s="2382">
        <f>SUM(J11:J22)</f>
        <v>1417</v>
      </c>
      <c r="K24" s="2382">
        <f>SUM(K11:K22)</f>
        <v>1085.6699999999998</v>
      </c>
      <c r="L24" s="2382"/>
      <c r="M24" s="2385">
        <f>+K24/(E24+K24+J24)</f>
        <v>5.8450440935671945E-5</v>
      </c>
      <c r="N24" s="2385"/>
      <c r="O24" s="2382">
        <f>SUM(O11:O22)</f>
        <v>1871381.165</v>
      </c>
      <c r="P24" s="2382">
        <f>SUM(P11:P22)</f>
        <v>10473517.823999999</v>
      </c>
      <c r="Q24" s="2382">
        <f>SUM(Q11:Q22)</f>
        <v>3195157.7740000007</v>
      </c>
      <c r="R24" s="2382">
        <f>SUM(R11:R22)</f>
        <v>2189515.9749999996</v>
      </c>
      <c r="S24" s="2382">
        <f>SUM(S11:S22)</f>
        <v>842121.51</v>
      </c>
      <c r="T24" s="2382"/>
      <c r="U24" s="2382">
        <f>SUM(U11:U22)</f>
        <v>1471.5</v>
      </c>
      <c r="V24" s="2382">
        <f>SUM(V11:V22)</f>
        <v>239.49999999999994</v>
      </c>
      <c r="W24" s="2382">
        <f>SUM(W11:W22)</f>
        <v>98.100000000000023</v>
      </c>
      <c r="X24" s="2386">
        <f>SUM(U24:W24)/(E24+J24+K24)</f>
        <v>9.7398558214488866E-5</v>
      </c>
      <c r="Y24" s="2382">
        <f>SUM(Y11:Y22)</f>
        <v>10280</v>
      </c>
      <c r="Z24" s="2382">
        <f t="shared" ref="Z24:AA24" si="0">SUM(Z11:Z22)</f>
        <v>0</v>
      </c>
      <c r="AA24" s="2382">
        <f t="shared" si="0"/>
        <v>0</v>
      </c>
      <c r="AB24" s="2382">
        <f>SUM(AB11:AB22)</f>
        <v>0</v>
      </c>
    </row>
    <row r="25" spans="1:28" ht="16.5" hidden="1" customHeight="1" thickTop="1" x14ac:dyDescent="0.35">
      <c r="E25" s="2361"/>
      <c r="F25" s="2370"/>
      <c r="H25" s="2361"/>
      <c r="I25" s="2361"/>
      <c r="J25" s="2361"/>
      <c r="K25" s="2361"/>
      <c r="L25" s="2361"/>
      <c r="M25" s="2366"/>
      <c r="N25" s="2366"/>
      <c r="O25" s="2361"/>
      <c r="P25" s="2361"/>
      <c r="Q25" s="2361"/>
      <c r="R25" s="2361"/>
      <c r="S25" s="2361"/>
      <c r="T25" s="2373"/>
      <c r="U25" s="2361"/>
      <c r="V25" s="2361"/>
      <c r="W25" s="2361"/>
      <c r="Y25" s="2361"/>
      <c r="Z25" s="2361"/>
      <c r="AA25" s="2361"/>
    </row>
    <row r="26" spans="1:28" ht="15.75" hidden="1" x14ac:dyDescent="0.25">
      <c r="A26" s="1953">
        <v>2003</v>
      </c>
      <c r="B26" s="1953" t="s">
        <v>419</v>
      </c>
      <c r="C26" s="2375">
        <v>75437842.030000001</v>
      </c>
      <c r="D26" s="2360"/>
      <c r="E26" s="2376">
        <f>2356867.87+23033.04</f>
        <v>2379900.91</v>
      </c>
      <c r="F26" s="2377">
        <f t="shared" ref="F26:F37" si="1">+E26/C26</f>
        <v>3.1547839200564157E-2</v>
      </c>
      <c r="H26" s="2376">
        <v>1755631.07</v>
      </c>
      <c r="I26" s="2376"/>
      <c r="J26" s="2376"/>
      <c r="K26" s="2376">
        <v>342.84</v>
      </c>
      <c r="L26" s="2376"/>
      <c r="M26" s="2376"/>
      <c r="N26" s="2376"/>
      <c r="O26" s="2378">
        <v>238261.79700000002</v>
      </c>
      <c r="P26" s="2378">
        <v>1349591.4722899999</v>
      </c>
      <c r="Q26" s="2378">
        <v>406063.54577000008</v>
      </c>
      <c r="R26" s="2378">
        <v>278766.29079000006</v>
      </c>
      <c r="S26" s="2378">
        <v>107217.80415</v>
      </c>
      <c r="T26" s="2378"/>
      <c r="U26" s="2360">
        <v>163.5</v>
      </c>
      <c r="V26" s="2360">
        <v>23.95</v>
      </c>
      <c r="W26" s="2360">
        <v>10.9</v>
      </c>
      <c r="X26" s="2360"/>
      <c r="Y26" s="2360"/>
      <c r="Z26" s="2360"/>
      <c r="AA26" s="2360"/>
    </row>
    <row r="27" spans="1:28" ht="15.75" hidden="1" x14ac:dyDescent="0.25">
      <c r="B27" s="1953" t="s">
        <v>420</v>
      </c>
      <c r="C27" s="1975">
        <v>66676016.850000001</v>
      </c>
      <c r="D27" s="2360"/>
      <c r="E27" s="2361">
        <f>2037710.09+13439.83</f>
        <v>2051149.9200000002</v>
      </c>
      <c r="F27" s="2377">
        <f t="shared" si="1"/>
        <v>3.0762934213878435E-2</v>
      </c>
      <c r="H27" s="2361">
        <v>1506467.6</v>
      </c>
      <c r="I27" s="2361"/>
      <c r="J27" s="2361">
        <v>359</v>
      </c>
      <c r="K27" s="2361">
        <v>342.84</v>
      </c>
      <c r="L27" s="2361"/>
      <c r="M27" s="2361"/>
      <c r="N27" s="2361"/>
      <c r="O27" s="2360">
        <v>206271.899</v>
      </c>
      <c r="P27" s="2360">
        <v>1159120.0810299998</v>
      </c>
      <c r="Q27" s="2360">
        <v>351597.46538999997</v>
      </c>
      <c r="R27" s="2360">
        <v>241338.12053000001</v>
      </c>
      <c r="S27" s="2360">
        <v>92822.35404999998</v>
      </c>
      <c r="T27" s="2360"/>
      <c r="U27" s="2360">
        <v>163.5</v>
      </c>
      <c r="V27" s="2360">
        <v>23.95</v>
      </c>
      <c r="W27" s="2360">
        <v>10.9</v>
      </c>
      <c r="X27" s="2360"/>
      <c r="Y27" s="2360">
        <v>4226</v>
      </c>
      <c r="Z27" s="2360"/>
      <c r="AA27" s="2360"/>
    </row>
    <row r="28" spans="1:28" ht="15.75" hidden="1" x14ac:dyDescent="0.25">
      <c r="B28" s="1953" t="s">
        <v>421</v>
      </c>
      <c r="C28" s="1975">
        <v>67392715.260000005</v>
      </c>
      <c r="D28" s="2360"/>
      <c r="E28" s="2361">
        <f>2039572.26+21928.28</f>
        <v>2061500.54</v>
      </c>
      <c r="F28" s="2377">
        <f t="shared" si="1"/>
        <v>3.0589367590351038E-2</v>
      </c>
      <c r="H28" s="2361">
        <v>1509656.79</v>
      </c>
      <c r="I28" s="2361"/>
      <c r="J28" s="2361"/>
      <c r="K28" s="2361">
        <v>342.84</v>
      </c>
      <c r="L28" s="2361"/>
      <c r="M28" s="2361"/>
      <c r="N28" s="2361"/>
      <c r="O28" s="2360">
        <v>210618.24600000001</v>
      </c>
      <c r="P28" s="2360">
        <v>1160913.8814199998</v>
      </c>
      <c r="Q28" s="2360">
        <v>348766.85646000004</v>
      </c>
      <c r="R28" s="2360">
        <v>246423.34442000004</v>
      </c>
      <c r="S28" s="2360">
        <v>94778.2117</v>
      </c>
      <c r="T28" s="2360"/>
      <c r="U28" s="2360">
        <v>163.5</v>
      </c>
      <c r="V28" s="2360">
        <v>23.95</v>
      </c>
      <c r="W28" s="2360">
        <v>10.9</v>
      </c>
      <c r="X28" s="2360"/>
      <c r="Y28" s="2360"/>
      <c r="Z28" s="2360"/>
      <c r="AA28" s="2360"/>
    </row>
    <row r="29" spans="1:28" ht="15.75" hidden="1" x14ac:dyDescent="0.25">
      <c r="B29" s="1953" t="s">
        <v>422</v>
      </c>
      <c r="C29" s="1975">
        <v>61959480.130000003</v>
      </c>
      <c r="D29" s="2360"/>
      <c r="E29" s="2361">
        <f>1899152.53+83653.12</f>
        <v>1982805.65</v>
      </c>
      <c r="F29" s="2377">
        <f t="shared" si="1"/>
        <v>3.2001650850520133E-2</v>
      </c>
      <c r="H29" s="2361">
        <v>1435889.31</v>
      </c>
      <c r="I29" s="2361"/>
      <c r="J29" s="2361"/>
      <c r="K29" s="2361">
        <v>390</v>
      </c>
      <c r="L29" s="2361"/>
      <c r="M29" s="2361"/>
      <c r="N29" s="2361"/>
      <c r="O29" s="2360">
        <v>208737.56300000002</v>
      </c>
      <c r="P29" s="2360">
        <v>1099451.5745099999</v>
      </c>
      <c r="Q29" s="2360">
        <v>336461.68263</v>
      </c>
      <c r="R29" s="2360">
        <v>244222.93601</v>
      </c>
      <c r="S29" s="2360">
        <v>93931.893849999993</v>
      </c>
      <c r="T29" s="2360"/>
      <c r="U29" s="2360">
        <v>163.5</v>
      </c>
      <c r="V29" s="2360">
        <v>23.95</v>
      </c>
      <c r="W29" s="2360">
        <v>10.9</v>
      </c>
      <c r="X29" s="2360"/>
      <c r="Y29" s="2360"/>
      <c r="Z29" s="2360"/>
      <c r="AA29" s="2360"/>
    </row>
    <row r="30" spans="1:28" ht="15.75" hidden="1" x14ac:dyDescent="0.25">
      <c r="B30" s="1953" t="s">
        <v>285</v>
      </c>
      <c r="C30" s="1975">
        <v>61534212.219999999</v>
      </c>
      <c r="D30" s="2360"/>
      <c r="E30" s="2361">
        <f>1861083.54+19656.1</f>
        <v>1880739.6400000001</v>
      </c>
      <c r="F30" s="2377">
        <f t="shared" si="1"/>
        <v>3.0564129646705993E-2</v>
      </c>
      <c r="H30" s="2361">
        <v>1377213.75</v>
      </c>
      <c r="I30" s="2361"/>
      <c r="J30" s="2361">
        <v>171</v>
      </c>
      <c r="K30" s="2361">
        <v>390</v>
      </c>
      <c r="L30" s="2361"/>
      <c r="M30" s="2361"/>
      <c r="N30" s="2361"/>
      <c r="O30" s="2360">
        <v>190000.36400000003</v>
      </c>
      <c r="P30" s="2360">
        <v>1059248.7471799997</v>
      </c>
      <c r="Q30" s="2360">
        <v>323689.94533999998</v>
      </c>
      <c r="R30" s="2360">
        <v>222300.41418000002</v>
      </c>
      <c r="S30" s="2360">
        <v>85500.169300000009</v>
      </c>
      <c r="T30" s="2360"/>
      <c r="U30" s="2360">
        <v>163.5</v>
      </c>
      <c r="V30" s="2360">
        <v>23.95</v>
      </c>
      <c r="W30" s="2360">
        <v>10.9</v>
      </c>
      <c r="X30" s="2360"/>
      <c r="Y30" s="2360">
        <v>5701</v>
      </c>
      <c r="Z30" s="2360"/>
      <c r="AA30" s="2360"/>
    </row>
    <row r="31" spans="1:28" ht="15.75" hidden="1" x14ac:dyDescent="0.25">
      <c r="B31" s="1953" t="s">
        <v>423</v>
      </c>
      <c r="C31" s="1975">
        <v>58599944.170000002</v>
      </c>
      <c r="D31" s="2360"/>
      <c r="E31" s="2361">
        <f>1795586.62+18469.87</f>
        <v>1814056.4900000002</v>
      </c>
      <c r="F31" s="2377">
        <f t="shared" si="1"/>
        <v>3.0956624885808321E-2</v>
      </c>
      <c r="H31" s="2361">
        <v>1333966.95</v>
      </c>
      <c r="I31" s="2361"/>
      <c r="J31" s="2361"/>
      <c r="K31" s="2361">
        <v>390</v>
      </c>
      <c r="L31" s="2361"/>
      <c r="M31" s="2361"/>
      <c r="N31" s="2361"/>
      <c r="O31" s="2380">
        <v>183231.14200000002</v>
      </c>
      <c r="P31" s="2380">
        <v>1021774.5635399998</v>
      </c>
      <c r="Q31" s="2380">
        <v>312216.33202000003</v>
      </c>
      <c r="R31" s="2380">
        <v>214380.44454</v>
      </c>
      <c r="S31" s="2380">
        <v>82454.007899999997</v>
      </c>
      <c r="T31" s="2380"/>
      <c r="U31" s="2360">
        <v>163.5</v>
      </c>
      <c r="V31" s="2360">
        <v>23.95</v>
      </c>
      <c r="W31" s="2360">
        <v>10.9</v>
      </c>
      <c r="X31" s="2360"/>
      <c r="Y31" s="2360"/>
      <c r="Z31" s="2360"/>
      <c r="AA31" s="2360"/>
    </row>
    <row r="32" spans="1:28" ht="15.75" hidden="1" x14ac:dyDescent="0.25">
      <c r="B32" s="1953" t="s">
        <v>424</v>
      </c>
      <c r="C32" s="1975">
        <v>63504227.140000001</v>
      </c>
      <c r="D32" s="2360"/>
      <c r="E32" s="2361">
        <f>1898175.89+46334.35</f>
        <v>1944510.24</v>
      </c>
      <c r="F32" s="2377">
        <f t="shared" si="1"/>
        <v>3.0620170145731814E-2</v>
      </c>
      <c r="H32" s="2361">
        <v>1407757.86</v>
      </c>
      <c r="I32" s="2361"/>
      <c r="J32" s="2361"/>
      <c r="K32" s="2361">
        <v>390</v>
      </c>
      <c r="L32" s="2361"/>
      <c r="M32" s="2361"/>
      <c r="N32" s="2361"/>
      <c r="O32" s="2360">
        <v>204858.18900000004</v>
      </c>
      <c r="P32" s="2360">
        <v>1077726.0796300001</v>
      </c>
      <c r="Q32" s="2360">
        <v>330055.73719000001</v>
      </c>
      <c r="R32" s="2360">
        <v>239684.06913000002</v>
      </c>
      <c r="S32" s="2360">
        <v>92186.165049999996</v>
      </c>
      <c r="T32" s="2360"/>
      <c r="U32" s="2360">
        <v>163.5</v>
      </c>
      <c r="V32" s="2360">
        <v>23.95</v>
      </c>
      <c r="W32" s="2360">
        <v>10.9</v>
      </c>
      <c r="X32" s="2360"/>
      <c r="Y32" s="2360"/>
      <c r="Z32" s="2360"/>
      <c r="AA32" s="2360"/>
    </row>
    <row r="33" spans="1:28" ht="15.75" hidden="1" x14ac:dyDescent="0.25">
      <c r="B33" s="1953" t="s">
        <v>425</v>
      </c>
      <c r="C33" s="1975">
        <v>65152366.460000001</v>
      </c>
      <c r="D33" s="2360"/>
      <c r="E33" s="2361">
        <f>1944551.69+3321.48</f>
        <v>1947873.17</v>
      </c>
      <c r="F33" s="2377">
        <f t="shared" si="1"/>
        <v>2.9897197536115406E-2</v>
      </c>
      <c r="H33" s="2361">
        <v>1431468.23</v>
      </c>
      <c r="I33" s="2361"/>
      <c r="J33" s="2361">
        <v>229</v>
      </c>
      <c r="K33" s="2361">
        <v>390</v>
      </c>
      <c r="L33" s="2361"/>
      <c r="M33" s="2361"/>
      <c r="N33" s="2361"/>
      <c r="O33" s="2360">
        <v>195411.05900000004</v>
      </c>
      <c r="P33" s="2360">
        <v>1102560.8082300001</v>
      </c>
      <c r="Q33" s="2360">
        <v>333335.37899000006</v>
      </c>
      <c r="R33" s="2360">
        <v>228630.94773000001</v>
      </c>
      <c r="S33" s="2360">
        <v>87934.976049999997</v>
      </c>
      <c r="T33" s="2360"/>
      <c r="U33" s="2360">
        <v>163.5</v>
      </c>
      <c r="V33" s="2360">
        <v>23.95</v>
      </c>
      <c r="W33" s="2360">
        <v>10.9</v>
      </c>
      <c r="X33" s="2360"/>
      <c r="Y33" s="2360">
        <v>4404</v>
      </c>
      <c r="Z33" s="2360"/>
      <c r="AA33" s="2360"/>
    </row>
    <row r="34" spans="1:28" ht="15.75" hidden="1" x14ac:dyDescent="0.25">
      <c r="B34" s="1953" t="s">
        <v>426</v>
      </c>
      <c r="C34" s="1975">
        <v>61758395.619999997</v>
      </c>
      <c r="D34" s="2360"/>
      <c r="E34" s="2361">
        <f>1871097.77+68085.08</f>
        <v>1939182.85</v>
      </c>
      <c r="F34" s="2377">
        <f t="shared" si="1"/>
        <v>3.139950172818301E-2</v>
      </c>
      <c r="H34" s="2361">
        <v>1404386.67</v>
      </c>
      <c r="I34" s="2361"/>
      <c r="J34" s="2361"/>
      <c r="K34" s="2361">
        <v>390</v>
      </c>
      <c r="L34" s="2361"/>
      <c r="M34" s="2361"/>
      <c r="N34" s="2361"/>
      <c r="O34" s="2360">
        <v>204111.53700000001</v>
      </c>
      <c r="P34" s="2360">
        <v>1061503.28559</v>
      </c>
      <c r="Q34" s="2360">
        <v>342907.33866999997</v>
      </c>
      <c r="R34" s="2360">
        <v>238810.48908999999</v>
      </c>
      <c r="S34" s="2360">
        <v>91850.199649999995</v>
      </c>
      <c r="T34" s="2360"/>
      <c r="U34" s="2360">
        <v>163.5</v>
      </c>
      <c r="V34" s="2360">
        <v>23.95</v>
      </c>
      <c r="W34" s="2360">
        <v>10.9</v>
      </c>
      <c r="X34" s="2360"/>
      <c r="Y34" s="2360"/>
      <c r="Z34" s="2360"/>
      <c r="AA34" s="2360"/>
    </row>
    <row r="35" spans="1:28" ht="15.75" hidden="1" x14ac:dyDescent="0.25">
      <c r="B35" s="1953" t="s">
        <v>416</v>
      </c>
      <c r="C35" s="1975">
        <v>56407532.710000001</v>
      </c>
      <c r="D35" s="2360"/>
      <c r="E35" s="2361">
        <f>1667396.07+50132.62</f>
        <v>1717528.6900000002</v>
      </c>
      <c r="F35" s="2377">
        <f t="shared" si="1"/>
        <v>3.0448569676501992E-2</v>
      </c>
      <c r="H35" s="2361">
        <v>1252547.3700000001</v>
      </c>
      <c r="I35" s="2361"/>
      <c r="J35" s="2361"/>
      <c r="K35" s="2361">
        <v>390</v>
      </c>
      <c r="L35" s="2361"/>
      <c r="M35" s="2361"/>
      <c r="N35" s="2361"/>
      <c r="O35" s="2360">
        <v>177464.66700000002</v>
      </c>
      <c r="P35" s="2360">
        <v>950701.5816899999</v>
      </c>
      <c r="Q35" s="2360">
        <v>301869.73797000002</v>
      </c>
      <c r="R35" s="2360">
        <v>207633.62019000002</v>
      </c>
      <c r="S35" s="2360">
        <v>79859.083149999991</v>
      </c>
      <c r="T35" s="2360"/>
      <c r="U35" s="2360">
        <v>163.5</v>
      </c>
      <c r="V35" s="2360">
        <v>23.95</v>
      </c>
      <c r="W35" s="2360">
        <v>10.9</v>
      </c>
      <c r="X35" s="2360"/>
      <c r="Y35" s="2360"/>
      <c r="Z35" s="2360"/>
      <c r="AA35" s="2360"/>
    </row>
    <row r="36" spans="1:28" ht="15.75" hidden="1" x14ac:dyDescent="0.25">
      <c r="B36" s="1953" t="s">
        <v>417</v>
      </c>
      <c r="C36" s="1975">
        <v>65824061.93</v>
      </c>
      <c r="D36" s="2360"/>
      <c r="E36" s="2361">
        <f>1931113.4+12865.38</f>
        <v>1943978.7799999998</v>
      </c>
      <c r="F36" s="2377">
        <f t="shared" si="1"/>
        <v>2.9532950763009831E-2</v>
      </c>
      <c r="H36" s="2361">
        <v>1427368.96</v>
      </c>
      <c r="I36" s="2361"/>
      <c r="J36" s="2361">
        <v>215</v>
      </c>
      <c r="K36" s="2361">
        <v>390</v>
      </c>
      <c r="L36" s="2361"/>
      <c r="M36" s="2361"/>
      <c r="N36" s="2361"/>
      <c r="O36" s="2360">
        <v>195996.14</v>
      </c>
      <c r="P36" s="2360">
        <v>1095477.0978000001</v>
      </c>
      <c r="Q36" s="2360">
        <v>334991.81140000001</v>
      </c>
      <c r="R36" s="2360">
        <v>229315.47780000002</v>
      </c>
      <c r="S36" s="2360">
        <v>88198.252999999997</v>
      </c>
      <c r="T36" s="2360"/>
      <c r="U36" s="2360">
        <v>163.5</v>
      </c>
      <c r="V36" s="2360">
        <v>23.95</v>
      </c>
      <c r="W36" s="2360">
        <v>10.9</v>
      </c>
      <c r="X36" s="2360"/>
      <c r="Y36" s="2360">
        <v>3076</v>
      </c>
      <c r="Z36" s="2360"/>
      <c r="AA36" s="2360"/>
    </row>
    <row r="37" spans="1:28" ht="15.75" hidden="1" x14ac:dyDescent="0.25">
      <c r="B37" s="1953" t="s">
        <v>418</v>
      </c>
      <c r="C37" s="1975">
        <v>75246682.319999993</v>
      </c>
      <c r="D37" s="2360"/>
      <c r="E37" s="2361">
        <f>2240804.59+33033.31</f>
        <v>2273837.9</v>
      </c>
      <c r="F37" s="2377">
        <f t="shared" si="1"/>
        <v>3.0218447244359518E-2</v>
      </c>
      <c r="H37" s="2361">
        <v>1666896.09</v>
      </c>
      <c r="I37" s="2361"/>
      <c r="J37" s="2361"/>
      <c r="K37" s="2361">
        <v>390</v>
      </c>
      <c r="L37" s="2361"/>
      <c r="M37" s="2361"/>
      <c r="N37" s="2361"/>
      <c r="O37" s="2360">
        <v>231648.03899999999</v>
      </c>
      <c r="P37" s="2360">
        <v>1272706.5925299998</v>
      </c>
      <c r="Q37" s="2360">
        <v>394213.45488999999</v>
      </c>
      <c r="R37" s="2360">
        <v>271028.19702999998</v>
      </c>
      <c r="S37" s="2360">
        <v>104241.61654999999</v>
      </c>
      <c r="T37" s="2360"/>
      <c r="U37" s="2360">
        <v>163.5</v>
      </c>
      <c r="V37" s="2360">
        <v>23.95</v>
      </c>
      <c r="W37" s="2360">
        <v>10.9</v>
      </c>
      <c r="X37" s="2360"/>
      <c r="Y37" s="2360"/>
      <c r="Z37" s="2360"/>
      <c r="AA37" s="2360"/>
    </row>
    <row r="38" spans="1:28" ht="15.75" hidden="1" x14ac:dyDescent="0.25">
      <c r="C38" s="1975"/>
      <c r="D38" s="2360"/>
      <c r="E38" s="2361"/>
      <c r="F38" s="2377"/>
      <c r="H38" s="2361"/>
      <c r="I38" s="2361"/>
      <c r="J38" s="2361"/>
      <c r="K38" s="2361"/>
      <c r="L38" s="2361"/>
      <c r="M38" s="2361"/>
      <c r="N38" s="2361"/>
      <c r="O38" s="2360"/>
      <c r="P38" s="2360"/>
      <c r="Q38" s="2360"/>
      <c r="R38" s="2360"/>
      <c r="S38" s="2360"/>
      <c r="T38" s="2360"/>
      <c r="U38" s="2360"/>
      <c r="V38" s="2360"/>
      <c r="W38" s="2360"/>
      <c r="X38" s="2360"/>
      <c r="Y38" s="2360"/>
      <c r="Z38" s="2360"/>
      <c r="AA38" s="2360"/>
      <c r="AB38" s="2360"/>
    </row>
    <row r="39" spans="1:28" ht="16.5" hidden="1" thickBot="1" x14ac:dyDescent="0.3">
      <c r="B39" s="1953" t="s">
        <v>5801</v>
      </c>
      <c r="C39" s="2381">
        <f>SUM(C26:C37)</f>
        <v>779493476.83999991</v>
      </c>
      <c r="D39" s="2360"/>
      <c r="E39" s="2382">
        <f>SUM(E26:E37)</f>
        <v>23937064.780000001</v>
      </c>
      <c r="F39" s="2383">
        <f>+E39/C39</f>
        <v>3.0708486332738563E-2</v>
      </c>
      <c r="H39" s="2382">
        <f>SUM(H26:H37)</f>
        <v>17509250.649999999</v>
      </c>
      <c r="I39" s="2384"/>
      <c r="J39" s="2382">
        <f>SUM(J26:J37)</f>
        <v>974</v>
      </c>
      <c r="K39" s="2382">
        <f>SUM(K26:K37)</f>
        <v>4538.5200000000004</v>
      </c>
      <c r="L39" s="2382"/>
      <c r="M39" s="2385">
        <f>+K39/(E39+K39+J39)</f>
        <v>1.8955854013260302E-4</v>
      </c>
      <c r="N39" s="2385"/>
      <c r="O39" s="2382">
        <f>SUM(O26:O37)</f>
        <v>2446610.6420000005</v>
      </c>
      <c r="P39" s="2382">
        <f>SUM(P26:P37)</f>
        <v>13410775.765439998</v>
      </c>
      <c r="Q39" s="2382">
        <f>SUM(Q26:Q37)</f>
        <v>4116169.2867200002</v>
      </c>
      <c r="R39" s="2382">
        <f>SUM(R26:R37)</f>
        <v>2862534.3514400003</v>
      </c>
      <c r="S39" s="2382">
        <f>SUM(S26:S37)</f>
        <v>1100974.7343999997</v>
      </c>
      <c r="T39" s="2382"/>
      <c r="U39" s="2382">
        <f>SUM(U26:U37)</f>
        <v>1962</v>
      </c>
      <c r="V39" s="2382">
        <f>SUM(V26:V37)</f>
        <v>287.39999999999992</v>
      </c>
      <c r="W39" s="2382">
        <f>SUM(W26:W37)</f>
        <v>130.80000000000004</v>
      </c>
      <c r="X39" s="2386">
        <f>SUM(U39:W39)/(E39+J39+K39)</f>
        <v>9.9412856442986208E-5</v>
      </c>
      <c r="Y39" s="2382">
        <f>SUM(Y26:Y37)</f>
        <v>17407</v>
      </c>
      <c r="Z39" s="2382">
        <f t="shared" ref="Z39:AA39" si="2">SUM(Z26:Z37)</f>
        <v>0</v>
      </c>
      <c r="AA39" s="2382">
        <f t="shared" si="2"/>
        <v>0</v>
      </c>
      <c r="AB39" s="2382">
        <f>SUM(AB26:AB37)</f>
        <v>0</v>
      </c>
    </row>
    <row r="40" spans="1:28" ht="15.75" hidden="1" x14ac:dyDescent="0.25">
      <c r="E40" s="2361"/>
      <c r="F40" s="2370"/>
      <c r="H40" s="2361"/>
      <c r="I40" s="2361"/>
      <c r="J40" s="2361"/>
      <c r="K40" s="2361"/>
      <c r="L40" s="2361"/>
      <c r="M40" s="2361"/>
      <c r="N40" s="2361"/>
      <c r="U40" s="2360"/>
      <c r="V40" s="2360"/>
      <c r="W40" s="2360"/>
      <c r="X40" s="2360"/>
      <c r="Y40" s="2360"/>
      <c r="Z40" s="2360"/>
      <c r="AA40" s="2360"/>
    </row>
    <row r="41" spans="1:28" ht="15.75" hidden="1" x14ac:dyDescent="0.25">
      <c r="A41" s="1953">
        <v>2004</v>
      </c>
      <c r="B41" s="1953" t="s">
        <v>419</v>
      </c>
      <c r="C41" s="2375">
        <v>82869255.420000002</v>
      </c>
      <c r="D41" s="2360"/>
      <c r="E41" s="2376">
        <f>2491334.87+26447.21</f>
        <v>2517782.08</v>
      </c>
      <c r="F41" s="2377">
        <f t="shared" ref="F41:F52" si="3">+E41/C41</f>
        <v>3.0382583591940279E-2</v>
      </c>
      <c r="H41" s="2376">
        <v>1849521.15</v>
      </c>
      <c r="I41" s="2376"/>
      <c r="J41" s="2376"/>
      <c r="K41" s="2376">
        <v>195</v>
      </c>
      <c r="L41" s="2376"/>
      <c r="M41" s="2376"/>
      <c r="N41" s="2376"/>
      <c r="O41" s="2387">
        <v>255052.29700000002</v>
      </c>
      <c r="P41" s="2387">
        <v>1415831.3112899999</v>
      </c>
      <c r="Q41" s="2387">
        <v>433713.79277000006</v>
      </c>
      <c r="R41" s="2387">
        <v>298411.16979000001</v>
      </c>
      <c r="S41" s="2387">
        <v>114773.50915</v>
      </c>
      <c r="U41" s="2360">
        <v>163.5</v>
      </c>
      <c r="V41" s="2360">
        <v>23.95</v>
      </c>
      <c r="W41" s="2360">
        <v>10.9</v>
      </c>
      <c r="X41" s="2360"/>
      <c r="Y41" s="2360"/>
      <c r="Z41" s="2360"/>
      <c r="AA41" s="2360"/>
    </row>
    <row r="42" spans="1:28" ht="15.75" hidden="1" x14ac:dyDescent="0.25">
      <c r="B42" s="1953" t="s">
        <v>420</v>
      </c>
      <c r="C42" s="1975">
        <v>69450390.530000001</v>
      </c>
      <c r="D42" s="2360"/>
      <c r="E42" s="2361">
        <f>2097947.48+25223.44</f>
        <v>2123170.92</v>
      </c>
      <c r="F42" s="2377">
        <f t="shared" si="3"/>
        <v>3.057104364420915E-2</v>
      </c>
      <c r="H42" s="2361">
        <v>1557858.5</v>
      </c>
      <c r="I42" s="2361"/>
      <c r="J42" s="2361"/>
      <c r="K42" s="2361">
        <v>390</v>
      </c>
      <c r="L42" s="2361"/>
      <c r="M42" s="2361"/>
      <c r="N42" s="2361"/>
      <c r="O42" s="2360">
        <v>215758.95800000001</v>
      </c>
      <c r="P42" s="2360">
        <v>1190805.1511599999</v>
      </c>
      <c r="Q42" s="2360">
        <v>367077.29908000003</v>
      </c>
      <c r="R42" s="2360">
        <v>252437.98516000001</v>
      </c>
      <c r="S42" s="2360">
        <v>97091.526599999997</v>
      </c>
      <c r="U42" s="2360">
        <v>163.5</v>
      </c>
      <c r="V42" s="2360">
        <v>23.95</v>
      </c>
      <c r="W42" s="2360">
        <v>10.9</v>
      </c>
      <c r="X42" s="2360"/>
      <c r="Y42" s="2360"/>
      <c r="Z42" s="2360"/>
      <c r="AA42" s="2360"/>
    </row>
    <row r="43" spans="1:28" ht="15.75" hidden="1" x14ac:dyDescent="0.25">
      <c r="B43" s="1953" t="s">
        <v>421</v>
      </c>
      <c r="C43" s="1975">
        <v>63844186.07</v>
      </c>
      <c r="D43" s="2360"/>
      <c r="E43" s="2361">
        <f>1942556.13+49304.97</f>
        <v>1991861.0999999999</v>
      </c>
      <c r="F43" s="2377">
        <f t="shared" si="3"/>
        <v>3.1198786022835108E-2</v>
      </c>
      <c r="H43" s="2361">
        <v>1448897.55</v>
      </c>
      <c r="I43" s="2361"/>
      <c r="J43" s="2361">
        <v>118</v>
      </c>
      <c r="K43" s="2361">
        <v>390</v>
      </c>
      <c r="L43" s="2361"/>
      <c r="M43" s="2361"/>
      <c r="N43" s="2361"/>
      <c r="O43" s="2360">
        <v>206051.37300000002</v>
      </c>
      <c r="P43" s="2360">
        <v>1107765.36571</v>
      </c>
      <c r="Q43" s="2360">
        <v>344241.12823000009</v>
      </c>
      <c r="R43" s="2360">
        <v>241080.10721000005</v>
      </c>
      <c r="S43" s="2360">
        <v>92723.125850000011</v>
      </c>
      <c r="U43" s="2360">
        <v>163.5</v>
      </c>
      <c r="V43" s="2360">
        <v>23.95</v>
      </c>
      <c r="W43" s="2360">
        <v>10.9</v>
      </c>
      <c r="X43" s="2360"/>
      <c r="Y43" s="2360">
        <v>3085</v>
      </c>
      <c r="Z43" s="2360"/>
      <c r="AA43" s="2360"/>
    </row>
    <row r="44" spans="1:28" ht="15.75" hidden="1" x14ac:dyDescent="0.25">
      <c r="B44" s="1953" t="s">
        <v>422</v>
      </c>
      <c r="C44" s="1975">
        <v>61916757.369999997</v>
      </c>
      <c r="D44" s="2360"/>
      <c r="E44" s="2361">
        <f>1832653.21+19475.88</f>
        <v>1852129.0899999999</v>
      </c>
      <c r="F44" s="2377">
        <f t="shared" si="3"/>
        <v>2.9913212007084147E-2</v>
      </c>
      <c r="H44" s="2361">
        <v>1362824.3</v>
      </c>
      <c r="I44" s="2361"/>
      <c r="J44" s="2361"/>
      <c r="K44" s="2361">
        <v>929.28</v>
      </c>
      <c r="L44" s="2361"/>
      <c r="M44" s="2361"/>
      <c r="N44" s="2361"/>
      <c r="O44" s="2360">
        <v>186748.421</v>
      </c>
      <c r="P44" s="2360">
        <v>1045681.9900699998</v>
      </c>
      <c r="Q44" s="2360">
        <v>317166.25891000003</v>
      </c>
      <c r="R44" s="2360">
        <v>218495.63557000001</v>
      </c>
      <c r="S44" s="2360">
        <v>84036.784449999992</v>
      </c>
      <c r="U44" s="2360">
        <v>163.5</v>
      </c>
      <c r="V44" s="2360">
        <v>23.95</v>
      </c>
      <c r="W44" s="2360">
        <v>10.9</v>
      </c>
      <c r="X44" s="2360"/>
      <c r="Y44" s="2360"/>
      <c r="Z44" s="2360"/>
      <c r="AA44" s="2360"/>
    </row>
    <row r="45" spans="1:28" ht="15.75" hidden="1" x14ac:dyDescent="0.25">
      <c r="B45" s="1953" t="s">
        <v>285</v>
      </c>
      <c r="C45" s="1975">
        <v>56707247.140000001</v>
      </c>
      <c r="D45" s="2360"/>
      <c r="E45" s="2361">
        <f>1695607.63+205951.7</f>
        <v>1901559.3299999998</v>
      </c>
      <c r="F45" s="2377">
        <f t="shared" si="3"/>
        <v>3.3532915560252674E-2</v>
      </c>
      <c r="H45" s="2361">
        <v>1341951.3500000001</v>
      </c>
      <c r="I45" s="2361"/>
      <c r="J45" s="2361"/>
      <c r="K45" s="2361">
        <v>1494.68</v>
      </c>
      <c r="L45" s="2361"/>
      <c r="M45" s="2361"/>
      <c r="N45" s="2361"/>
      <c r="O45" s="2360">
        <v>213581.70300000001</v>
      </c>
      <c r="P45" s="2360">
        <v>980682.92620999983</v>
      </c>
      <c r="Q45" s="2360">
        <v>361292.37473000004</v>
      </c>
      <c r="R45" s="2360">
        <v>249890.56271</v>
      </c>
      <c r="S45" s="2360">
        <v>96111.763349999994</v>
      </c>
      <c r="U45" s="2360">
        <v>163.5</v>
      </c>
      <c r="V45" s="2360">
        <v>23.95</v>
      </c>
      <c r="W45" s="2360">
        <v>10.9</v>
      </c>
      <c r="X45" s="2360"/>
      <c r="Y45" s="2360"/>
      <c r="Z45" s="2360"/>
      <c r="AA45" s="2360"/>
    </row>
    <row r="46" spans="1:28" ht="15.75" hidden="1" x14ac:dyDescent="0.25">
      <c r="B46" s="1953" t="s">
        <v>423</v>
      </c>
      <c r="C46" s="1975">
        <v>59134833.789999999</v>
      </c>
      <c r="D46" s="2360"/>
      <c r="E46" s="2361">
        <f>1786610.2+29335.21</f>
        <v>1815945.41</v>
      </c>
      <c r="F46" s="2377">
        <f t="shared" si="3"/>
        <v>3.0708556930231629E-2</v>
      </c>
      <c r="H46" s="2361">
        <v>1329725.43</v>
      </c>
      <c r="I46" s="2361"/>
      <c r="J46" s="2361">
        <v>94</v>
      </c>
      <c r="K46" s="2361">
        <v>550</v>
      </c>
      <c r="L46" s="2361"/>
      <c r="M46" s="2361"/>
      <c r="N46" s="2361"/>
      <c r="O46" s="2360">
        <v>184632.07</v>
      </c>
      <c r="P46" s="2360">
        <v>1025274.3434</v>
      </c>
      <c r="Q46" s="2360">
        <v>306935.04420000006</v>
      </c>
      <c r="R46" s="2360">
        <v>216019.52340000003</v>
      </c>
      <c r="S46" s="2360">
        <v>83084.429000000004</v>
      </c>
      <c r="U46" s="2360">
        <v>163.5</v>
      </c>
      <c r="V46" s="2360">
        <v>23.95</v>
      </c>
      <c r="W46" s="2360">
        <v>10.9</v>
      </c>
      <c r="X46" s="2360"/>
      <c r="Y46" s="2360">
        <v>2460</v>
      </c>
      <c r="Z46" s="2360"/>
      <c r="AA46" s="2360"/>
    </row>
    <row r="47" spans="1:28" ht="15.75" hidden="1" x14ac:dyDescent="0.25">
      <c r="B47" s="1953" t="s">
        <v>424</v>
      </c>
      <c r="C47" s="1975">
        <v>60402630.390000001</v>
      </c>
      <c r="D47" s="2360"/>
      <c r="E47" s="2361">
        <f>1832245.32+13947.9</f>
        <v>1846193.22</v>
      </c>
      <c r="F47" s="2377">
        <f t="shared" si="3"/>
        <v>3.0564781832839647E-2</v>
      </c>
      <c r="H47" s="2361">
        <v>1359003.5</v>
      </c>
      <c r="I47" s="2361"/>
      <c r="J47" s="2361">
        <v>122</v>
      </c>
      <c r="K47" s="2361">
        <v>300</v>
      </c>
      <c r="L47" s="2361"/>
      <c r="M47" s="2361"/>
      <c r="N47" s="2361"/>
      <c r="O47" s="2360">
        <v>185412.89199999999</v>
      </c>
      <c r="P47" s="2360">
        <v>1045522.1564399998</v>
      </c>
      <c r="Q47" s="2360">
        <v>314889.28972</v>
      </c>
      <c r="R47" s="2360">
        <v>216933.08244</v>
      </c>
      <c r="S47" s="2360">
        <v>83435.799399999989</v>
      </c>
      <c r="U47" s="2360">
        <v>163.5</v>
      </c>
      <c r="V47" s="2360">
        <v>23.95</v>
      </c>
      <c r="W47" s="2360">
        <v>10.9</v>
      </c>
      <c r="X47" s="2360"/>
      <c r="Y47" s="2360">
        <v>1384</v>
      </c>
      <c r="Z47" s="2360"/>
      <c r="AA47" s="2360"/>
    </row>
    <row r="48" spans="1:28" ht="15.75" hidden="1" x14ac:dyDescent="0.25">
      <c r="B48" s="1953" t="s">
        <v>425</v>
      </c>
      <c r="C48" s="1975">
        <v>64294410.100000001</v>
      </c>
      <c r="D48" s="2360"/>
      <c r="E48" s="2361">
        <f>1957852.05+6793.94</f>
        <v>1964645.99</v>
      </c>
      <c r="F48" s="2377">
        <f t="shared" si="3"/>
        <v>3.0557026449800181E-2</v>
      </c>
      <c r="H48" s="2361">
        <v>1448109.45</v>
      </c>
      <c r="I48" s="2361"/>
      <c r="J48" s="2361"/>
      <c r="K48" s="2361">
        <v>302.99</v>
      </c>
      <c r="L48" s="2361"/>
      <c r="M48" s="2361"/>
      <c r="N48" s="2361"/>
      <c r="O48" s="2360">
        <v>197142.20500000002</v>
      </c>
      <c r="P48" s="2360">
        <v>1111652.9223499999</v>
      </c>
      <c r="Q48" s="2360">
        <v>336480.48055000004</v>
      </c>
      <c r="R48" s="2360">
        <v>230656.38985000004</v>
      </c>
      <c r="S48" s="2360">
        <v>88713.992249999996</v>
      </c>
      <c r="U48" s="2360">
        <v>163.5</v>
      </c>
      <c r="V48" s="2360">
        <v>23.95</v>
      </c>
      <c r="W48" s="2360">
        <v>10.9</v>
      </c>
      <c r="X48" s="2360"/>
      <c r="Y48" s="2360"/>
      <c r="Z48" s="2360"/>
      <c r="AA48" s="2360"/>
    </row>
    <row r="49" spans="1:28" ht="15.75" hidden="1" x14ac:dyDescent="0.25">
      <c r="B49" s="1953" t="s">
        <v>426</v>
      </c>
      <c r="C49" s="1975">
        <v>59573446.840000004</v>
      </c>
      <c r="D49" s="2360"/>
      <c r="E49" s="2361">
        <f>1822331.32+21038.9</f>
        <v>1843370.22</v>
      </c>
      <c r="F49" s="2377">
        <f t="shared" si="3"/>
        <v>3.0942816267637667E-2</v>
      </c>
      <c r="H49" s="2361">
        <v>1353189.39</v>
      </c>
      <c r="I49" s="2361"/>
      <c r="J49" s="2361"/>
      <c r="K49" s="2361">
        <v>363.08</v>
      </c>
      <c r="L49" s="2361"/>
      <c r="M49" s="2361"/>
      <c r="N49" s="2361"/>
      <c r="O49" s="2360">
        <v>187082.78200000001</v>
      </c>
      <c r="P49" s="2360">
        <v>1040570.78844</v>
      </c>
      <c r="Q49" s="2360">
        <v>312642.54572000005</v>
      </c>
      <c r="R49" s="2360">
        <v>218886.85444000002</v>
      </c>
      <c r="S49" s="2360">
        <v>84187.249400000001</v>
      </c>
      <c r="U49" s="2360">
        <v>163.5</v>
      </c>
      <c r="V49" s="2360">
        <v>23.95</v>
      </c>
      <c r="W49" s="2360">
        <v>10.9</v>
      </c>
      <c r="X49" s="2360"/>
      <c r="Y49" s="2360"/>
      <c r="Z49" s="2360"/>
      <c r="AA49" s="2360"/>
    </row>
    <row r="50" spans="1:28" ht="15.75" hidden="1" x14ac:dyDescent="0.25">
      <c r="B50" s="1953" t="s">
        <v>416</v>
      </c>
      <c r="C50" s="1975">
        <v>56599218.340000004</v>
      </c>
      <c r="D50" s="2360"/>
      <c r="E50" s="2361">
        <f>1717296.79+22045.34</f>
        <v>1739342.1300000001</v>
      </c>
      <c r="F50" s="2377">
        <f t="shared" si="3"/>
        <v>3.0730850725738133E-2</v>
      </c>
      <c r="H50" s="2361">
        <v>1273313.1100000001</v>
      </c>
      <c r="I50" s="2361"/>
      <c r="J50" s="2361"/>
      <c r="K50" s="2361">
        <v>307.57</v>
      </c>
      <c r="L50" s="2361"/>
      <c r="M50" s="2361"/>
      <c r="N50" s="2361"/>
      <c r="O50" s="2360">
        <v>177864.519</v>
      </c>
      <c r="P50" s="2360">
        <v>975231.72992999991</v>
      </c>
      <c r="Q50" s="2360">
        <v>298105.33109000005</v>
      </c>
      <c r="R50" s="2360">
        <v>208101.49442999999</v>
      </c>
      <c r="S50" s="2360">
        <v>80039.05554999999</v>
      </c>
      <c r="U50" s="2360">
        <v>163.5</v>
      </c>
      <c r="V50" s="2360">
        <v>23.95</v>
      </c>
      <c r="W50" s="2360">
        <v>10.9</v>
      </c>
      <c r="X50" s="2360"/>
      <c r="Y50" s="2360"/>
      <c r="Z50" s="2360"/>
      <c r="AA50" s="2360"/>
    </row>
    <row r="51" spans="1:28" ht="15.75" hidden="1" x14ac:dyDescent="0.25">
      <c r="B51" s="1953" t="s">
        <v>417</v>
      </c>
      <c r="C51" s="1975">
        <v>66539569.969999999</v>
      </c>
      <c r="D51" s="2360"/>
      <c r="E51" s="2361">
        <f>1999689.92+41814</f>
        <v>2041503.92</v>
      </c>
      <c r="F51" s="2377">
        <f t="shared" si="3"/>
        <v>3.0681050702919051E-2</v>
      </c>
      <c r="H51" s="2361">
        <v>1492669.72</v>
      </c>
      <c r="I51" s="2361"/>
      <c r="J51" s="2361">
        <v>283</v>
      </c>
      <c r="K51" s="2361">
        <v>303.63</v>
      </c>
      <c r="L51" s="2361"/>
      <c r="M51" s="2361"/>
      <c r="N51" s="2361"/>
      <c r="O51" s="2360">
        <v>208397.42200000002</v>
      </c>
      <c r="P51" s="2360">
        <v>1145071.0746399998</v>
      </c>
      <c r="Q51" s="2360">
        <v>350431.59632000007</v>
      </c>
      <c r="R51" s="2360">
        <v>243824.99064000003</v>
      </c>
      <c r="S51" s="2360">
        <v>93778.8364</v>
      </c>
      <c r="U51" s="2360">
        <v>163.5</v>
      </c>
      <c r="V51" s="2360">
        <v>23.95</v>
      </c>
      <c r="W51" s="2360">
        <v>10.9</v>
      </c>
      <c r="X51" s="2360"/>
      <c r="Y51" s="2360">
        <v>2809</v>
      </c>
      <c r="Z51" s="2360"/>
      <c r="AA51" s="2360"/>
    </row>
    <row r="52" spans="1:28" ht="15.75" hidden="1" x14ac:dyDescent="0.25">
      <c r="B52" s="1953" t="s">
        <v>418</v>
      </c>
      <c r="C52" s="1975">
        <v>76538413.099999994</v>
      </c>
      <c r="D52" s="2360"/>
      <c r="E52" s="2361">
        <f>2347698.31+65404.67</f>
        <v>2413102.98</v>
      </c>
      <c r="F52" s="2377">
        <f t="shared" si="3"/>
        <v>3.1527998586111265E-2</v>
      </c>
      <c r="H52" s="2361">
        <v>1761390.05</v>
      </c>
      <c r="I52" s="2361"/>
      <c r="J52" s="2361"/>
      <c r="K52" s="2361">
        <v>300</v>
      </c>
      <c r="L52" s="2361"/>
      <c r="M52" s="2361"/>
      <c r="N52" s="2361"/>
      <c r="O52" s="2360">
        <v>248736.25100000002</v>
      </c>
      <c r="P52" s="2360">
        <v>1338482.52177</v>
      </c>
      <c r="Q52" s="2360">
        <v>422931.48101000005</v>
      </c>
      <c r="R52" s="2360">
        <v>291021.41227000003</v>
      </c>
      <c r="S52" s="2360">
        <v>111931.31395</v>
      </c>
      <c r="U52" s="2388">
        <v>163.5</v>
      </c>
      <c r="V52" s="2388">
        <v>23.95</v>
      </c>
      <c r="W52" s="2388">
        <v>10.9</v>
      </c>
      <c r="X52" s="2388"/>
      <c r="Y52" s="2388"/>
      <c r="Z52" s="2388"/>
      <c r="AA52" s="2388"/>
    </row>
    <row r="53" spans="1:28" ht="15.75" hidden="1" x14ac:dyDescent="0.25">
      <c r="D53" s="2360"/>
      <c r="E53" s="2361"/>
      <c r="F53" s="2370"/>
      <c r="H53" s="2361"/>
      <c r="I53" s="2361"/>
      <c r="J53" s="2361"/>
      <c r="K53" s="2361"/>
      <c r="L53" s="2361"/>
      <c r="M53" s="2361"/>
      <c r="N53" s="2361"/>
    </row>
    <row r="54" spans="1:28" ht="16.5" hidden="1" thickBot="1" x14ac:dyDescent="0.3">
      <c r="B54" s="1953">
        <v>2004</v>
      </c>
      <c r="C54" s="2381">
        <f>SUM(C41:C53)</f>
        <v>777870359.06000006</v>
      </c>
      <c r="D54" s="2360"/>
      <c r="E54" s="2382">
        <f>SUM(E41:E53)</f>
        <v>24050606.389999997</v>
      </c>
      <c r="F54" s="2383">
        <f>+E54/C54</f>
        <v>3.0918527888199019E-2</v>
      </c>
      <c r="H54" s="2382">
        <f>SUM(H41:H53)</f>
        <v>17578453.5</v>
      </c>
      <c r="I54" s="2384"/>
      <c r="J54" s="2382">
        <f>SUM(J41:J53)</f>
        <v>617</v>
      </c>
      <c r="K54" s="2382">
        <f t="shared" ref="K54:S54" si="4">SUM(K41:K53)</f>
        <v>5826.23</v>
      </c>
      <c r="L54" s="2382"/>
      <c r="M54" s="2385">
        <f>+K54/(E54+K54+J54)</f>
        <v>2.4218389586544821E-4</v>
      </c>
      <c r="N54" s="2385"/>
      <c r="O54" s="2382">
        <f t="shared" si="4"/>
        <v>2466460.8930000006</v>
      </c>
      <c r="P54" s="2382">
        <f t="shared" si="4"/>
        <v>13422572.281410001</v>
      </c>
      <c r="Q54" s="2382">
        <f t="shared" si="4"/>
        <v>4165906.6223300006</v>
      </c>
      <c r="R54" s="2382">
        <f t="shared" si="4"/>
        <v>2885759.2079100003</v>
      </c>
      <c r="S54" s="2382">
        <f t="shared" si="4"/>
        <v>1109907.3853499999</v>
      </c>
      <c r="T54" s="2382"/>
      <c r="U54" s="2382">
        <f>SUM(U41:U53)</f>
        <v>1962</v>
      </c>
      <c r="V54" s="2382">
        <f>SUM(V41:V53)</f>
        <v>287.39999999999992</v>
      </c>
      <c r="W54" s="2382">
        <f>SUM(W41:W53)</f>
        <v>130.80000000000004</v>
      </c>
      <c r="X54" s="2386">
        <f>SUM(U54:W54)/(E54+J54+K54)</f>
        <v>9.8939813385146125E-5</v>
      </c>
      <c r="Y54" s="2382">
        <f>SUM(Y41:Y53)</f>
        <v>9738</v>
      </c>
      <c r="Z54" s="2382">
        <f t="shared" ref="Z54:AA54" si="5">SUM(Z41:Z53)</f>
        <v>0</v>
      </c>
      <c r="AA54" s="2382">
        <f t="shared" si="5"/>
        <v>0</v>
      </c>
      <c r="AB54" s="2382">
        <f>SUM(AB41:AB53)</f>
        <v>0</v>
      </c>
    </row>
    <row r="55" spans="1:28" ht="15.75" hidden="1" x14ac:dyDescent="0.25">
      <c r="C55" s="2388"/>
      <c r="D55" s="2360"/>
      <c r="E55" s="2361"/>
      <c r="F55" s="2370"/>
      <c r="H55" s="2361"/>
      <c r="I55" s="2361"/>
      <c r="J55" s="2361"/>
      <c r="K55" s="2361"/>
      <c r="L55" s="2361"/>
      <c r="M55" s="2361"/>
      <c r="N55" s="2361"/>
      <c r="U55" s="2360"/>
      <c r="V55" s="2360"/>
      <c r="W55" s="2360"/>
      <c r="X55" s="2360"/>
      <c r="Y55" s="2360"/>
      <c r="Z55" s="2360"/>
      <c r="AA55" s="2360"/>
    </row>
    <row r="56" spans="1:28" ht="15.75" hidden="1" x14ac:dyDescent="0.25">
      <c r="A56" s="1953">
        <v>2005</v>
      </c>
      <c r="B56" s="1953" t="s">
        <v>419</v>
      </c>
      <c r="C56" s="2375">
        <v>77498699.459999993</v>
      </c>
      <c r="D56" s="2360"/>
      <c r="E56" s="2376">
        <f>2402132.74+10468.99</f>
        <v>2412601.7300000004</v>
      </c>
      <c r="F56" s="2377">
        <f t="shared" ref="F56:F67" si="6">+E56/C56</f>
        <v>3.113086731533134E-2</v>
      </c>
      <c r="H56" s="2361">
        <v>1778287.24</v>
      </c>
      <c r="I56" s="2361"/>
      <c r="J56" s="2376">
        <v>791</v>
      </c>
      <c r="K56" s="2376">
        <v>1944.47</v>
      </c>
      <c r="L56" s="2376">
        <v>1886.56</v>
      </c>
      <c r="M56" s="2361"/>
      <c r="N56" s="2361"/>
      <c r="O56" s="2387">
        <v>241484.94399999999</v>
      </c>
      <c r="P56" s="2387">
        <v>1369114.9335799997</v>
      </c>
      <c r="Q56" s="2387">
        <v>410796.25854000001</v>
      </c>
      <c r="R56" s="2387">
        <v>282537.37057999999</v>
      </c>
      <c r="S56" s="2387">
        <v>108668.22329999998</v>
      </c>
      <c r="U56" s="2360">
        <v>163.5</v>
      </c>
      <c r="V56" s="2360">
        <v>23.95</v>
      </c>
      <c r="W56" s="2360">
        <v>10.9</v>
      </c>
      <c r="X56" s="2360"/>
      <c r="Y56" s="2360">
        <v>1600</v>
      </c>
      <c r="Z56" s="2360"/>
      <c r="AA56" s="2360"/>
    </row>
    <row r="57" spans="1:28" ht="15.75" hidden="1" x14ac:dyDescent="0.25">
      <c r="B57" s="1953" t="s">
        <v>420</v>
      </c>
      <c r="C57" s="1975">
        <v>71180916.780000001</v>
      </c>
      <c r="D57" s="2360"/>
      <c r="E57" s="2361">
        <v>2159576.4300000002</v>
      </c>
      <c r="F57" s="2377">
        <f t="shared" si="6"/>
        <v>3.0339261247149113E-2</v>
      </c>
      <c r="H57" s="2361">
        <v>1593743.46</v>
      </c>
      <c r="I57" s="2361"/>
      <c r="J57" s="2361"/>
      <c r="K57" s="2361">
        <v>546.44000000000005</v>
      </c>
      <c r="L57" s="2361">
        <v>29787.86</v>
      </c>
      <c r="M57" s="2361"/>
      <c r="N57" s="2361"/>
      <c r="O57" s="2360">
        <v>215957.64300000004</v>
      </c>
      <c r="P57" s="2360">
        <v>1224479.8358100001</v>
      </c>
      <c r="Q57" s="2360">
        <v>369287.56953000004</v>
      </c>
      <c r="R57" s="2360">
        <v>252670.44231000004</v>
      </c>
      <c r="S57" s="2360">
        <v>97180.939350000001</v>
      </c>
      <c r="U57" s="2360">
        <v>163.5</v>
      </c>
      <c r="V57" s="2360">
        <v>23.95</v>
      </c>
      <c r="W57" s="2360">
        <v>10.9</v>
      </c>
      <c r="X57" s="2360"/>
      <c r="Y57" s="2360"/>
      <c r="Z57" s="2360"/>
      <c r="AA57" s="2360"/>
    </row>
    <row r="58" spans="1:28" ht="15.75" hidden="1" x14ac:dyDescent="0.25">
      <c r="B58" s="1953" t="s">
        <v>421</v>
      </c>
      <c r="C58" s="1975">
        <v>63905477.799999997</v>
      </c>
      <c r="D58" s="2360"/>
      <c r="E58" s="2361">
        <v>1937078.75</v>
      </c>
      <c r="F58" s="2377">
        <f t="shared" si="6"/>
        <v>3.0311622988913794E-2</v>
      </c>
      <c r="H58" s="2361">
        <v>1429540.17</v>
      </c>
      <c r="I58" s="2361"/>
      <c r="J58" s="2361"/>
      <c r="K58" s="2361">
        <v>662.04</v>
      </c>
      <c r="L58" s="2361">
        <v>14207.29</v>
      </c>
      <c r="M58" s="2361"/>
      <c r="N58" s="2361"/>
      <c r="O58" s="2360">
        <v>193707.875</v>
      </c>
      <c r="P58" s="2360">
        <v>1098323.6512499999</v>
      </c>
      <c r="Q58" s="2360">
        <v>331240.46625</v>
      </c>
      <c r="R58" s="2360">
        <v>226638.21375000002</v>
      </c>
      <c r="S58" s="2360">
        <v>87168.543749999997</v>
      </c>
      <c r="U58" s="2360">
        <v>163.5</v>
      </c>
      <c r="V58" s="2360">
        <v>23.95</v>
      </c>
      <c r="W58" s="2360">
        <v>10.9</v>
      </c>
      <c r="X58" s="2360"/>
      <c r="Y58" s="2360"/>
      <c r="Z58" s="2360"/>
      <c r="AA58" s="2360"/>
    </row>
    <row r="59" spans="1:28" ht="15.75" hidden="1" x14ac:dyDescent="0.25">
      <c r="B59" s="1953" t="s">
        <v>422</v>
      </c>
      <c r="C59" s="1975">
        <v>62076572.079999998</v>
      </c>
      <c r="D59" s="2360"/>
      <c r="E59" s="2361">
        <v>1872019.75</v>
      </c>
      <c r="F59" s="2377">
        <f t="shared" si="6"/>
        <v>3.0156622494996507E-2</v>
      </c>
      <c r="H59" s="2361">
        <v>1381526.62</v>
      </c>
      <c r="I59" s="2361"/>
      <c r="K59" s="2361">
        <v>711.39</v>
      </c>
      <c r="L59" s="2361">
        <v>13839.58</v>
      </c>
      <c r="M59" s="2361"/>
      <c r="N59" s="2361"/>
      <c r="O59" s="2360">
        <v>187201.97500000003</v>
      </c>
      <c r="P59" s="2360">
        <v>1061435.1982500001</v>
      </c>
      <c r="Q59" s="2360">
        <v>320115.37725000008</v>
      </c>
      <c r="R59" s="2360">
        <v>219026.31075000003</v>
      </c>
      <c r="S59" s="2360">
        <v>84240.888750000013</v>
      </c>
      <c r="U59" s="2360">
        <v>163.5</v>
      </c>
      <c r="V59" s="2360">
        <v>23.95</v>
      </c>
      <c r="W59" s="2360">
        <v>10.9</v>
      </c>
      <c r="X59" s="2360"/>
      <c r="Y59" s="2360"/>
      <c r="Z59" s="2360"/>
      <c r="AA59" s="2360"/>
    </row>
    <row r="60" spans="1:28" ht="15.75" hidden="1" x14ac:dyDescent="0.25">
      <c r="B60" s="1953" t="s">
        <v>285</v>
      </c>
      <c r="C60" s="1975">
        <v>57214873.490000002</v>
      </c>
      <c r="D60" s="2360"/>
      <c r="E60" s="2361">
        <v>1740545.28</v>
      </c>
      <c r="F60" s="2377">
        <f t="shared" si="6"/>
        <v>3.0421202981497669E-2</v>
      </c>
      <c r="H60" s="2361">
        <v>1284498.46</v>
      </c>
      <c r="I60" s="2361"/>
      <c r="K60" s="2361">
        <v>492.65</v>
      </c>
      <c r="L60" s="2361">
        <v>13390.65</v>
      </c>
      <c r="M60" s="2361"/>
      <c r="N60" s="2361"/>
      <c r="O60" s="2360">
        <v>174054.52800000002</v>
      </c>
      <c r="P60" s="2360">
        <v>986889.17375999992</v>
      </c>
      <c r="Q60" s="2360">
        <v>297633.24288000003</v>
      </c>
      <c r="R60" s="2360">
        <v>203643.79776000002</v>
      </c>
      <c r="S60" s="2360">
        <v>78324.537599999996</v>
      </c>
      <c r="U60" s="2360">
        <v>163.5</v>
      </c>
      <c r="V60" s="2360">
        <v>23.95</v>
      </c>
      <c r="W60" s="2360">
        <v>10.9</v>
      </c>
      <c r="X60" s="2360"/>
      <c r="Y60" s="2360"/>
      <c r="Z60" s="2360"/>
      <c r="AA60" s="2360"/>
    </row>
    <row r="61" spans="1:28" ht="15.75" hidden="1" x14ac:dyDescent="0.25">
      <c r="B61" s="1953" t="s">
        <v>423</v>
      </c>
      <c r="C61" s="1975">
        <v>58997486.619999997</v>
      </c>
      <c r="D61" s="2360"/>
      <c r="E61" s="2361">
        <v>1786787.85</v>
      </c>
      <c r="F61" s="2377">
        <f t="shared" si="6"/>
        <v>3.0285829996599949E-2</v>
      </c>
      <c r="H61" s="2361">
        <v>1317705.48</v>
      </c>
      <c r="I61" s="2361"/>
      <c r="J61" s="2360">
        <v>42</v>
      </c>
      <c r="K61" s="2361">
        <v>518.48</v>
      </c>
      <c r="L61" s="2361">
        <v>11124.45</v>
      </c>
      <c r="M61" s="2361"/>
      <c r="N61" s="2361"/>
      <c r="O61" s="2360">
        <v>178678.78500000003</v>
      </c>
      <c r="P61" s="2360">
        <v>1013108.71095</v>
      </c>
      <c r="Q61" s="2360">
        <v>305540.72235000005</v>
      </c>
      <c r="R61" s="2360">
        <v>209054.17845000004</v>
      </c>
      <c r="S61" s="2360">
        <v>80405.453250000006</v>
      </c>
      <c r="U61" s="2360">
        <v>163.5</v>
      </c>
      <c r="V61" s="2360">
        <v>23.95</v>
      </c>
      <c r="W61" s="2360">
        <v>10.9</v>
      </c>
      <c r="X61" s="2360"/>
      <c r="Y61" s="2360">
        <v>920</v>
      </c>
      <c r="Z61" s="2360"/>
      <c r="AA61" s="2360"/>
    </row>
    <row r="62" spans="1:28" ht="15.75" hidden="1" x14ac:dyDescent="0.25">
      <c r="B62" s="1953" t="s">
        <v>424</v>
      </c>
      <c r="C62" s="1975">
        <v>60923442.25</v>
      </c>
      <c r="D62" s="2360"/>
      <c r="E62" s="2361">
        <v>1841009.38</v>
      </c>
      <c r="F62" s="2377">
        <f t="shared" si="6"/>
        <v>3.0218407102563214E-2</v>
      </c>
      <c r="H62" s="2361">
        <v>1358640.97</v>
      </c>
      <c r="I62" s="2361"/>
      <c r="K62" s="2361">
        <v>505.92</v>
      </c>
      <c r="L62" s="2361">
        <v>14599.56</v>
      </c>
      <c r="M62" s="2361"/>
      <c r="N62" s="2361"/>
      <c r="O62" s="2360">
        <v>184100.93799999999</v>
      </c>
      <c r="P62" s="2360">
        <v>1043852.3184599999</v>
      </c>
      <c r="Q62" s="2360">
        <v>314812.60398000001</v>
      </c>
      <c r="R62" s="2360">
        <v>215398.09745999999</v>
      </c>
      <c r="S62" s="2360">
        <v>82845.422099999996</v>
      </c>
      <c r="U62" s="2360">
        <v>163.5</v>
      </c>
      <c r="V62" s="2360">
        <v>23.95</v>
      </c>
      <c r="W62" s="2360">
        <v>10.9</v>
      </c>
      <c r="X62" s="2360"/>
      <c r="Y62" s="2360"/>
      <c r="Z62" s="2360"/>
      <c r="AA62" s="2360"/>
    </row>
    <row r="63" spans="1:28" ht="15.75" hidden="1" x14ac:dyDescent="0.25">
      <c r="B63" s="1953" t="s">
        <v>425</v>
      </c>
      <c r="C63" s="1975">
        <v>66990182.759999998</v>
      </c>
      <c r="D63" s="2360"/>
      <c r="E63" s="2361">
        <v>1982342.65</v>
      </c>
      <c r="F63" s="2377">
        <f t="shared" si="6"/>
        <v>2.9591539660400235E-2</v>
      </c>
      <c r="H63" s="2361">
        <v>1462944.92</v>
      </c>
      <c r="I63" s="2361"/>
      <c r="K63" s="2361">
        <v>309.89999999999998</v>
      </c>
      <c r="L63" s="2361">
        <v>16285.29</v>
      </c>
      <c r="M63" s="2361"/>
      <c r="N63" s="2361"/>
      <c r="O63" s="2360">
        <v>198234.26500000001</v>
      </c>
      <c r="P63" s="2360">
        <v>1123988.2825499999</v>
      </c>
      <c r="Q63" s="2360">
        <v>338980.59315000003</v>
      </c>
      <c r="R63" s="2360">
        <v>231934.09005000003</v>
      </c>
      <c r="S63" s="2360">
        <v>89205.419250000006</v>
      </c>
      <c r="U63" s="2360">
        <v>163.5</v>
      </c>
      <c r="V63" s="2360">
        <v>23.95</v>
      </c>
      <c r="W63" s="2360">
        <v>10.9</v>
      </c>
      <c r="X63" s="2360"/>
      <c r="Y63" s="2360"/>
      <c r="Z63" s="2360"/>
      <c r="AA63" s="2360"/>
    </row>
    <row r="64" spans="1:28" ht="15.75" hidden="1" x14ac:dyDescent="0.25">
      <c r="B64" s="1953" t="s">
        <v>426</v>
      </c>
      <c r="C64" s="1975">
        <v>58847381.880000003</v>
      </c>
      <c r="D64" s="2360"/>
      <c r="E64" s="2361">
        <v>2157293.1</v>
      </c>
      <c r="F64" s="2377">
        <f t="shared" si="6"/>
        <v>3.6659117722502833E-2</v>
      </c>
      <c r="H64" s="2361">
        <v>1592058.36</v>
      </c>
      <c r="I64" s="2361"/>
      <c r="J64" s="2361"/>
      <c r="K64" s="2361">
        <v>333.9</v>
      </c>
      <c r="L64" s="2361">
        <v>9254.7900000000009</v>
      </c>
      <c r="M64" s="2361"/>
      <c r="N64" s="2361"/>
      <c r="O64" s="2360">
        <v>215729.31</v>
      </c>
      <c r="P64" s="2360">
        <v>1223185.1876999999</v>
      </c>
      <c r="Q64" s="2360">
        <v>368897.12010000006</v>
      </c>
      <c r="R64" s="2360">
        <v>252403.29270000002</v>
      </c>
      <c r="S64" s="2360">
        <v>97078.189500000008</v>
      </c>
      <c r="U64" s="2360">
        <v>163.5</v>
      </c>
      <c r="V64" s="2360">
        <v>23.95</v>
      </c>
      <c r="W64" s="2360">
        <v>10.9</v>
      </c>
      <c r="X64" s="2360"/>
      <c r="Y64" s="2360"/>
      <c r="Z64" s="2360"/>
      <c r="AA64" s="2360"/>
    </row>
    <row r="65" spans="1:28" ht="15.75" hidden="1" x14ac:dyDescent="0.25">
      <c r="B65" s="1953" t="s">
        <v>416</v>
      </c>
      <c r="C65" s="1975">
        <v>57125572.710000001</v>
      </c>
      <c r="D65" s="2360"/>
      <c r="E65" s="2361">
        <v>1700939.47</v>
      </c>
      <c r="F65" s="2377">
        <f t="shared" si="6"/>
        <v>2.9775447130042435E-2</v>
      </c>
      <c r="H65" s="2361">
        <v>1255269.3700000001</v>
      </c>
      <c r="I65" s="2361"/>
      <c r="J65" s="2361"/>
      <c r="K65" s="2361">
        <v>333.9</v>
      </c>
      <c r="L65" s="2361">
        <v>12892.07</v>
      </c>
      <c r="M65" s="2361"/>
      <c r="N65" s="2361"/>
      <c r="O65" s="2360">
        <v>170093.94700000004</v>
      </c>
      <c r="P65" s="2360">
        <v>964432.67949000001</v>
      </c>
      <c r="Q65" s="2360">
        <v>290860.64937000006</v>
      </c>
      <c r="R65" s="2360">
        <v>199009.91799000005</v>
      </c>
      <c r="S65" s="2360">
        <v>76542.276150000005</v>
      </c>
      <c r="U65" s="2360">
        <v>163.5</v>
      </c>
      <c r="V65" s="2360">
        <v>23.95</v>
      </c>
      <c r="W65" s="2360">
        <v>10.9</v>
      </c>
      <c r="X65" s="2360"/>
      <c r="Y65" s="2360"/>
      <c r="Z65" s="2360"/>
      <c r="AA65" s="2360"/>
    </row>
    <row r="66" spans="1:28" ht="15.75" hidden="1" x14ac:dyDescent="0.25">
      <c r="B66" s="1953" t="s">
        <v>417</v>
      </c>
      <c r="C66" s="1975">
        <v>67872646.510000005</v>
      </c>
      <c r="D66" s="2360"/>
      <c r="E66" s="2361">
        <v>2010064.84</v>
      </c>
      <c r="F66" s="2377">
        <f t="shared" si="6"/>
        <v>2.9615241829473195E-2</v>
      </c>
      <c r="H66" s="2361">
        <v>1483403.9</v>
      </c>
      <c r="I66" s="2361"/>
      <c r="J66" s="2361"/>
      <c r="K66" s="2361">
        <v>571.26</v>
      </c>
      <c r="L66" s="2361">
        <v>12387.31</v>
      </c>
      <c r="M66" s="2361"/>
      <c r="N66" s="2361"/>
      <c r="O66" s="2360">
        <v>201006.48400000003</v>
      </c>
      <c r="P66" s="2360">
        <v>1139706.76428</v>
      </c>
      <c r="Q66" s="2360">
        <v>343721.08764000004</v>
      </c>
      <c r="R66" s="2360">
        <v>235177.58628000002</v>
      </c>
      <c r="S66" s="2360">
        <v>90452.917799999996</v>
      </c>
      <c r="U66" s="2360">
        <v>163.5</v>
      </c>
      <c r="V66" s="2360">
        <v>23.95</v>
      </c>
      <c r="W66" s="2360">
        <v>10.9</v>
      </c>
      <c r="X66" s="2360"/>
      <c r="Y66" s="2360"/>
      <c r="Z66" s="2360"/>
      <c r="AA66" s="2360"/>
    </row>
    <row r="67" spans="1:28" ht="15.75" hidden="1" x14ac:dyDescent="0.25">
      <c r="B67" s="1953" t="s">
        <v>418</v>
      </c>
      <c r="C67" s="1975">
        <v>84056032.370000005</v>
      </c>
      <c r="D67" s="2360"/>
      <c r="E67" s="2361">
        <v>2495701.48</v>
      </c>
      <c r="F67" s="2377">
        <f t="shared" si="6"/>
        <v>2.9690926512143199E-2</v>
      </c>
      <c r="H67" s="2361">
        <v>1837752.74</v>
      </c>
      <c r="I67" s="2361"/>
      <c r="J67" s="2361">
        <v>161</v>
      </c>
      <c r="K67" s="2361">
        <v>832.62</v>
      </c>
      <c r="L67" s="2389">
        <v>19958.150000000001</v>
      </c>
      <c r="M67" s="2361"/>
      <c r="N67" s="2361"/>
      <c r="O67" s="2360">
        <v>249570.14799999996</v>
      </c>
      <c r="P67" s="2360">
        <v>1415062.7391599996</v>
      </c>
      <c r="Q67" s="2360">
        <v>426764.95307999995</v>
      </c>
      <c r="R67" s="2360">
        <v>291997.07315999997</v>
      </c>
      <c r="S67" s="2360">
        <v>112306.56659999998</v>
      </c>
      <c r="U67" s="2388">
        <v>163.5</v>
      </c>
      <c r="V67" s="2388">
        <v>23.95</v>
      </c>
      <c r="W67" s="2388">
        <v>10.9</v>
      </c>
      <c r="X67" s="2388"/>
      <c r="Y67" s="2360">
        <v>4051</v>
      </c>
      <c r="Z67" s="2360"/>
      <c r="AA67" s="2360"/>
    </row>
    <row r="68" spans="1:28" ht="15.75" hidden="1" x14ac:dyDescent="0.25">
      <c r="D68" s="2360"/>
      <c r="E68" s="2361"/>
      <c r="F68" s="2370"/>
      <c r="H68" s="2361"/>
      <c r="I68" s="2361"/>
      <c r="J68" s="2361"/>
      <c r="K68" s="2361"/>
      <c r="L68" s="2361"/>
      <c r="M68" s="2361"/>
      <c r="N68" s="2361"/>
      <c r="Y68" s="2360"/>
      <c r="Z68" s="2360"/>
      <c r="AA68" s="2360"/>
      <c r="AB68" s="2360"/>
    </row>
    <row r="69" spans="1:28" ht="16.5" hidden="1" thickBot="1" x14ac:dyDescent="0.3">
      <c r="B69" s="1953">
        <v>2005</v>
      </c>
      <c r="C69" s="2381">
        <f>SUM(C56:C68)</f>
        <v>786689284.71000004</v>
      </c>
      <c r="E69" s="2382">
        <f>SUM(E56:E68)</f>
        <v>24095960.709999997</v>
      </c>
      <c r="F69" s="2383">
        <f>+E69/C69</f>
        <v>3.0629577875695323E-2</v>
      </c>
      <c r="H69" s="2382">
        <f>SUM(H56:H68)</f>
        <v>17775371.690000001</v>
      </c>
      <c r="I69" s="2384"/>
      <c r="J69" s="2382">
        <f>SUM(J56:J68)</f>
        <v>994</v>
      </c>
      <c r="K69" s="2382">
        <f>SUM(K56:K68)</f>
        <v>7762.9699999999984</v>
      </c>
      <c r="L69" s="2382">
        <f>SUM(L56:L67)</f>
        <v>169613.56</v>
      </c>
      <c r="M69" s="2385">
        <f>+K69/(E69+K69+J69)</f>
        <v>3.2205189469781834E-4</v>
      </c>
      <c r="N69" s="2385"/>
      <c r="O69" s="2382">
        <f>SUM(O56:O68)</f>
        <v>2409820.8420000006</v>
      </c>
      <c r="P69" s="2382">
        <f>SUM(P56:P68)</f>
        <v>13663579.47524</v>
      </c>
      <c r="Q69" s="2382">
        <f>SUM(Q56:Q68)</f>
        <v>4118650.6441200008</v>
      </c>
      <c r="R69" s="2382">
        <f>SUM(R56:R68)</f>
        <v>2819490.3712400007</v>
      </c>
      <c r="S69" s="2382">
        <f>SUM(S56:S68)</f>
        <v>1084419.3773999999</v>
      </c>
      <c r="U69" s="2382">
        <f>SUM(U56:U68)</f>
        <v>1962</v>
      </c>
      <c r="V69" s="2382">
        <f>SUM(V56:V68)</f>
        <v>287.39999999999992</v>
      </c>
      <c r="W69" s="2382">
        <f>SUM(W56:W68)</f>
        <v>130.80000000000004</v>
      </c>
      <c r="X69" s="2386">
        <f>SUM(U69:W69)/(E69+J69+K69)</f>
        <v>9.8744155878452116E-5</v>
      </c>
      <c r="Y69" s="2382">
        <f>SUM(Y56:Y68)</f>
        <v>6571</v>
      </c>
      <c r="Z69" s="2382">
        <f t="shared" ref="Z69:AA69" si="7">SUM(Z56:Z68)</f>
        <v>0</v>
      </c>
      <c r="AA69" s="2382">
        <f t="shared" si="7"/>
        <v>0</v>
      </c>
      <c r="AB69" s="2382">
        <f>SUM(AB56:AB68)</f>
        <v>0</v>
      </c>
    </row>
    <row r="70" spans="1:28" ht="15.75" hidden="1" x14ac:dyDescent="0.25">
      <c r="C70" s="2388"/>
      <c r="E70" s="2361"/>
      <c r="F70" s="2370"/>
      <c r="H70" s="2361"/>
      <c r="I70" s="2361"/>
      <c r="J70" s="2361"/>
      <c r="K70" s="2361"/>
      <c r="L70" s="2361"/>
      <c r="M70" s="2361"/>
      <c r="N70" s="2361"/>
      <c r="U70" s="2360"/>
      <c r="V70" s="2360"/>
      <c r="W70" s="2360"/>
      <c r="X70" s="2360"/>
      <c r="Y70" s="2360"/>
      <c r="Z70" s="2360"/>
      <c r="AA70" s="2360"/>
    </row>
    <row r="71" spans="1:28" ht="15.75" hidden="1" x14ac:dyDescent="0.25">
      <c r="A71" s="1953">
        <v>2006</v>
      </c>
      <c r="B71" s="1953" t="s">
        <v>419</v>
      </c>
      <c r="C71" s="2375">
        <v>87648981.590000004</v>
      </c>
      <c r="D71" s="2360"/>
      <c r="E71" s="2376">
        <v>2610836.87</v>
      </c>
      <c r="F71" s="2377">
        <f t="shared" ref="F71:F82" si="8">+E71/C71</f>
        <v>2.9787418206555342E-2</v>
      </c>
      <c r="H71" s="2361">
        <v>1926773.66</v>
      </c>
      <c r="I71" s="2361"/>
      <c r="J71" s="2376"/>
      <c r="K71" s="2376">
        <v>557.57000000000005</v>
      </c>
      <c r="L71" s="2384">
        <v>20224.68</v>
      </c>
      <c r="M71" s="2361"/>
      <c r="N71" s="2361"/>
      <c r="O71" s="2387">
        <v>261083.69</v>
      </c>
      <c r="P71" s="2387">
        <v>1480344.51</v>
      </c>
      <c r="Q71" s="2387">
        <v>446453.1</v>
      </c>
      <c r="R71" s="2387">
        <v>305467.90999999997</v>
      </c>
      <c r="S71" s="2387">
        <v>117487.66</v>
      </c>
      <c r="U71" s="2360">
        <v>163.5</v>
      </c>
      <c r="V71" s="2360">
        <v>23.95</v>
      </c>
      <c r="W71" s="2360">
        <v>10.9</v>
      </c>
      <c r="X71" s="2360"/>
      <c r="Y71" s="2360"/>
      <c r="Z71" s="2360"/>
      <c r="AA71" s="2360"/>
    </row>
    <row r="72" spans="1:28" ht="15.75" hidden="1" x14ac:dyDescent="0.25">
      <c r="B72" s="1953" t="s">
        <v>420</v>
      </c>
      <c r="C72" s="1975">
        <v>79013317.859999999</v>
      </c>
      <c r="D72" s="2360"/>
      <c r="E72" s="2361">
        <v>2321217.69</v>
      </c>
      <c r="F72" s="2377">
        <f t="shared" si="8"/>
        <v>2.9377549922822592E-2</v>
      </c>
      <c r="H72" s="2361">
        <v>1713034.7</v>
      </c>
      <c r="I72" s="2361"/>
      <c r="J72" s="2361"/>
      <c r="K72" s="2361">
        <v>206.6</v>
      </c>
      <c r="L72" s="2389">
        <v>19570.52</v>
      </c>
      <c r="M72" s="2361"/>
      <c r="N72" s="2361"/>
      <c r="O72" s="2360">
        <v>232121.77</v>
      </c>
      <c r="P72" s="2360">
        <v>1316130.43</v>
      </c>
      <c r="Q72" s="2360">
        <v>396928.22</v>
      </c>
      <c r="R72" s="2360">
        <v>271582.46999999997</v>
      </c>
      <c r="S72" s="2360">
        <v>104454.8</v>
      </c>
      <c r="U72" s="2360">
        <v>163.5</v>
      </c>
      <c r="V72" s="2360">
        <v>23.95</v>
      </c>
      <c r="W72" s="2360">
        <v>10.9</v>
      </c>
      <c r="X72" s="2360"/>
      <c r="Y72" s="2360"/>
      <c r="Z72" s="2360"/>
      <c r="AA72" s="2360"/>
    </row>
    <row r="73" spans="1:28" ht="15.75" hidden="1" x14ac:dyDescent="0.25">
      <c r="B73" s="1953" t="s">
        <v>421</v>
      </c>
      <c r="C73" s="1975">
        <v>78158388.959999993</v>
      </c>
      <c r="D73" s="2360"/>
      <c r="E73" s="2361">
        <v>2283009.14</v>
      </c>
      <c r="F73" s="2377">
        <f t="shared" si="8"/>
        <v>2.9210033246314757E-2</v>
      </c>
      <c r="H73" s="2361">
        <v>1682726.8</v>
      </c>
      <c r="I73" s="2361"/>
      <c r="J73" s="2361">
        <v>71</v>
      </c>
      <c r="K73" s="2361">
        <v>612.59</v>
      </c>
      <c r="L73" s="2389">
        <v>25586.67</v>
      </c>
      <c r="M73" s="2361"/>
      <c r="N73" s="2361"/>
      <c r="O73" s="2360">
        <v>228300.91</v>
      </c>
      <c r="P73" s="2360">
        <v>1294466.18</v>
      </c>
      <c r="Q73" s="2360">
        <v>390394.56</v>
      </c>
      <c r="R73" s="2360">
        <v>267112.07</v>
      </c>
      <c r="S73" s="2360">
        <v>102735.1</v>
      </c>
      <c r="U73" s="2360">
        <v>163.5</v>
      </c>
      <c r="V73" s="2360">
        <v>23.95</v>
      </c>
      <c r="W73" s="2360">
        <v>10.9</v>
      </c>
      <c r="X73" s="2360"/>
      <c r="Y73" s="2360">
        <v>2110</v>
      </c>
      <c r="Z73" s="2360"/>
      <c r="AA73" s="2360"/>
    </row>
    <row r="74" spans="1:28" ht="15.75" hidden="1" x14ac:dyDescent="0.25">
      <c r="B74" s="1953" t="s">
        <v>422</v>
      </c>
      <c r="C74" s="1975">
        <v>70293073</v>
      </c>
      <c r="D74" s="2360"/>
      <c r="E74" s="2361">
        <v>2082923.19</v>
      </c>
      <c r="F74" s="2377">
        <f t="shared" si="8"/>
        <v>2.9631983652215629E-2</v>
      </c>
      <c r="H74" s="2361">
        <v>1537173.37</v>
      </c>
      <c r="I74" s="2361"/>
      <c r="J74" s="2361"/>
      <c r="K74" s="2361">
        <v>156</v>
      </c>
      <c r="L74" s="2389">
        <v>24437.200000000001</v>
      </c>
      <c r="M74" s="2361"/>
      <c r="N74" s="2361"/>
      <c r="O74" s="2360">
        <v>208292.32</v>
      </c>
      <c r="P74" s="2360">
        <v>1181017.45</v>
      </c>
      <c r="Q74" s="2360">
        <v>356179.87</v>
      </c>
      <c r="R74" s="2360">
        <v>243702.01</v>
      </c>
      <c r="S74" s="2360">
        <v>93731.54</v>
      </c>
      <c r="U74" s="2360">
        <v>163.5</v>
      </c>
      <c r="V74" s="2360">
        <v>23.95</v>
      </c>
      <c r="W74" s="2360">
        <v>10.9</v>
      </c>
      <c r="X74" s="2360"/>
      <c r="Y74" s="2360"/>
      <c r="Z74" s="2360"/>
      <c r="AA74" s="2360"/>
    </row>
    <row r="75" spans="1:28" ht="15.75" hidden="1" x14ac:dyDescent="0.25">
      <c r="B75" s="1953" t="s">
        <v>285</v>
      </c>
      <c r="C75" s="1975">
        <v>63933422.670000002</v>
      </c>
      <c r="D75" s="2360"/>
      <c r="E75" s="2361">
        <v>1895506.89</v>
      </c>
      <c r="F75" s="2377">
        <f t="shared" si="8"/>
        <v>2.9648137247146693E-2</v>
      </c>
      <c r="H75" s="2361">
        <v>1398124.14</v>
      </c>
      <c r="I75" s="2361"/>
      <c r="J75" s="2361">
        <v>736</v>
      </c>
      <c r="K75" s="2361">
        <v>827.04</v>
      </c>
      <c r="L75" s="2389">
        <v>24972.23</v>
      </c>
      <c r="M75" s="2361"/>
      <c r="N75" s="2361"/>
      <c r="O75" s="2360">
        <v>189550.69</v>
      </c>
      <c r="P75" s="2360">
        <v>1074752.4099999999</v>
      </c>
      <c r="Q75" s="2360">
        <v>324131.68</v>
      </c>
      <c r="R75" s="2360">
        <v>221774.31</v>
      </c>
      <c r="S75" s="2360">
        <v>85297.81</v>
      </c>
      <c r="U75" s="2360">
        <v>163.5</v>
      </c>
      <c r="V75" s="2360">
        <v>23.95</v>
      </c>
      <c r="W75" s="2360">
        <v>10.9</v>
      </c>
      <c r="X75" s="2360"/>
      <c r="Y75" s="2360">
        <v>736</v>
      </c>
      <c r="Z75" s="2360"/>
      <c r="AA75" s="2360"/>
    </row>
    <row r="76" spans="1:28" ht="15.75" hidden="1" x14ac:dyDescent="0.25">
      <c r="B76" s="1953" t="s">
        <v>423</v>
      </c>
      <c r="C76" s="1975">
        <v>63392413.460000001</v>
      </c>
      <c r="D76" s="2360"/>
      <c r="E76" s="2361">
        <v>1875345.01</v>
      </c>
      <c r="F76" s="2377">
        <f t="shared" si="8"/>
        <v>2.9583114250466652E-2</v>
      </c>
      <c r="H76" s="2361">
        <v>1383980.67</v>
      </c>
      <c r="I76" s="2361"/>
      <c r="J76" s="2361"/>
      <c r="K76" s="2361">
        <v>603.36</v>
      </c>
      <c r="L76" s="2389">
        <v>25160.69</v>
      </c>
      <c r="M76" s="2361"/>
      <c r="N76" s="2361"/>
      <c r="O76" s="2360">
        <v>187534.5</v>
      </c>
      <c r="P76" s="2360">
        <v>1063320.6200000001</v>
      </c>
      <c r="Q76" s="2360">
        <v>320684</v>
      </c>
      <c r="R76" s="2360">
        <v>219415.37</v>
      </c>
      <c r="S76" s="2360">
        <v>84390.53</v>
      </c>
      <c r="U76" s="2360">
        <v>163.5</v>
      </c>
      <c r="V76" s="2360">
        <v>23.95</v>
      </c>
      <c r="W76" s="2360">
        <v>10.9</v>
      </c>
      <c r="X76" s="2360"/>
      <c r="Y76" s="2360"/>
      <c r="Z76" s="2360"/>
      <c r="AA76" s="2360"/>
    </row>
    <row r="77" spans="1:28" ht="15.75" hidden="1" x14ac:dyDescent="0.25">
      <c r="B77" s="1953" t="s">
        <v>424</v>
      </c>
      <c r="C77" s="1975">
        <v>68258772.769999996</v>
      </c>
      <c r="D77" s="2360"/>
      <c r="E77" s="2361">
        <v>2021671.87</v>
      </c>
      <c r="F77" s="2377">
        <f t="shared" si="8"/>
        <v>2.9617758830972316E-2</v>
      </c>
      <c r="H77" s="2361">
        <v>1491969.89</v>
      </c>
      <c r="I77" s="2361"/>
      <c r="J77" s="2361"/>
      <c r="K77" s="2361">
        <v>515.04</v>
      </c>
      <c r="L77" s="2389">
        <v>26860.03</v>
      </c>
      <c r="M77" s="2361"/>
      <c r="N77" s="2361"/>
      <c r="O77" s="2360">
        <v>202167.19</v>
      </c>
      <c r="P77" s="2360">
        <v>1146287.95</v>
      </c>
      <c r="Q77" s="2360">
        <v>345705.89</v>
      </c>
      <c r="R77" s="2360">
        <v>236535.61</v>
      </c>
      <c r="S77" s="2360">
        <v>90975.23</v>
      </c>
      <c r="U77" s="2360">
        <v>163.5</v>
      </c>
      <c r="V77" s="2360">
        <v>23.95</v>
      </c>
      <c r="W77" s="2360">
        <v>10.9</v>
      </c>
      <c r="X77" s="2360"/>
      <c r="Y77" s="2360"/>
      <c r="Z77" s="2360"/>
      <c r="AA77" s="2360"/>
    </row>
    <row r="78" spans="1:28" ht="15.75" hidden="1" x14ac:dyDescent="0.25">
      <c r="B78" s="1953" t="s">
        <v>425</v>
      </c>
      <c r="C78" s="1975">
        <v>72445721.730000004</v>
      </c>
      <c r="D78" s="2360"/>
      <c r="E78" s="2361">
        <v>2138602.4300000002</v>
      </c>
      <c r="F78" s="2377">
        <f t="shared" si="8"/>
        <v>2.9520065214760614E-2</v>
      </c>
      <c r="H78" s="2361">
        <v>1578264.64</v>
      </c>
      <c r="I78" s="2361"/>
      <c r="J78" s="2361"/>
      <c r="K78" s="2361">
        <v>515.04</v>
      </c>
      <c r="L78" s="2389">
        <v>45824.02</v>
      </c>
      <c r="M78" s="2361"/>
      <c r="N78" s="2361"/>
      <c r="O78" s="2360">
        <v>213860.24</v>
      </c>
      <c r="P78" s="2360">
        <v>1212587.58</v>
      </c>
      <c r="Q78" s="2360">
        <v>365701.02</v>
      </c>
      <c r="R78" s="2360">
        <v>250216.48</v>
      </c>
      <c r="S78" s="2360">
        <v>96237.11</v>
      </c>
      <c r="U78" s="2360">
        <v>163.5</v>
      </c>
      <c r="V78" s="2360">
        <v>23.95</v>
      </c>
      <c r="W78" s="2360">
        <v>10.9</v>
      </c>
      <c r="X78" s="2360"/>
      <c r="Y78" s="2360"/>
      <c r="Z78" s="2360"/>
      <c r="AA78" s="2360"/>
    </row>
    <row r="79" spans="1:28" ht="15.75" hidden="1" x14ac:dyDescent="0.25">
      <c r="B79" s="1953" t="s">
        <v>426</v>
      </c>
      <c r="C79" s="1975">
        <v>67448700.829999998</v>
      </c>
      <c r="D79" s="2360"/>
      <c r="E79" s="2361">
        <v>1944771.97</v>
      </c>
      <c r="F79" s="2377">
        <f t="shared" si="8"/>
        <v>2.883334958373282E-2</v>
      </c>
      <c r="H79" s="2361">
        <v>1435217.76</v>
      </c>
      <c r="I79" s="2361"/>
      <c r="J79" s="2361"/>
      <c r="K79" s="2361">
        <v>371.36</v>
      </c>
      <c r="L79" s="2389">
        <v>49934.76</v>
      </c>
      <c r="M79" s="2361"/>
      <c r="N79" s="2361"/>
      <c r="O79" s="2360">
        <v>194477.2</v>
      </c>
      <c r="P79" s="2360">
        <v>1102685.71</v>
      </c>
      <c r="Q79" s="2360">
        <v>332556.01</v>
      </c>
      <c r="R79" s="2360">
        <v>227538.32</v>
      </c>
      <c r="S79" s="2360">
        <v>87514.74</v>
      </c>
      <c r="U79" s="2360">
        <v>163.5</v>
      </c>
      <c r="V79" s="2360">
        <v>23.95</v>
      </c>
      <c r="W79" s="2360">
        <v>10.9</v>
      </c>
      <c r="X79" s="2360"/>
      <c r="Y79" s="2360"/>
      <c r="Z79" s="2360"/>
      <c r="AA79" s="2360"/>
    </row>
    <row r="80" spans="1:28" ht="15.75" hidden="1" x14ac:dyDescent="0.25">
      <c r="B80" s="1953" t="s">
        <v>416</v>
      </c>
      <c r="C80" s="1975">
        <v>63387325.840000004</v>
      </c>
      <c r="D80" s="2360"/>
      <c r="E80" s="2361">
        <v>1896664.87</v>
      </c>
      <c r="F80" s="2377">
        <f t="shared" si="8"/>
        <v>2.9921831294594962E-2</v>
      </c>
      <c r="H80" s="2361">
        <v>1399714.72</v>
      </c>
      <c r="I80" s="2361"/>
      <c r="J80" s="2361"/>
      <c r="K80" s="2361">
        <v>607.36</v>
      </c>
      <c r="L80" s="2389">
        <v>52265.52</v>
      </c>
      <c r="M80" s="2361"/>
      <c r="N80" s="2361"/>
      <c r="O80" s="2360">
        <v>189666.49</v>
      </c>
      <c r="P80" s="2360">
        <v>1075408.98</v>
      </c>
      <c r="Q80" s="2360">
        <v>324329.69</v>
      </c>
      <c r="R80" s="2360">
        <v>221909.79</v>
      </c>
      <c r="S80" s="2360">
        <v>85349.92</v>
      </c>
      <c r="U80" s="2360">
        <v>163.5</v>
      </c>
      <c r="V80" s="2360">
        <v>23.95</v>
      </c>
      <c r="W80" s="2360">
        <v>10.9</v>
      </c>
      <c r="X80" s="2360"/>
      <c r="Y80" s="2360"/>
      <c r="Z80" s="2360"/>
      <c r="AA80" s="2360"/>
    </row>
    <row r="81" spans="1:28" ht="15.75" hidden="1" x14ac:dyDescent="0.25">
      <c r="B81" s="1953" t="s">
        <v>417</v>
      </c>
      <c r="C81" s="1975">
        <v>73499576.319999993</v>
      </c>
      <c r="D81" s="2360"/>
      <c r="E81" s="2361">
        <v>2127776.3199999998</v>
      </c>
      <c r="F81" s="2377">
        <f t="shared" si="8"/>
        <v>2.8949504562259767E-2</v>
      </c>
      <c r="H81" s="2361">
        <v>1570274.97</v>
      </c>
      <c r="I81" s="2361"/>
      <c r="J81" s="2361"/>
      <c r="K81" s="2361">
        <v>607.36</v>
      </c>
      <c r="L81" s="2389">
        <v>46694.7</v>
      </c>
      <c r="M81" s="2361"/>
      <c r="N81" s="2361"/>
      <c r="O81" s="2360">
        <v>212777.63</v>
      </c>
      <c r="P81" s="2360">
        <v>1206449.17</v>
      </c>
      <c r="Q81" s="2360">
        <v>363849.75</v>
      </c>
      <c r="R81" s="2360">
        <v>248949.83</v>
      </c>
      <c r="S81" s="2360">
        <v>95749.93</v>
      </c>
      <c r="U81" s="2360">
        <v>163.5</v>
      </c>
      <c r="V81" s="2360">
        <v>23.95</v>
      </c>
      <c r="W81" s="2360">
        <v>10.9</v>
      </c>
      <c r="X81" s="2360"/>
      <c r="Y81" s="2360"/>
      <c r="Z81" s="2360"/>
      <c r="AA81" s="2360"/>
    </row>
    <row r="82" spans="1:28" ht="15.75" hidden="1" x14ac:dyDescent="0.25">
      <c r="B82" s="1953" t="s">
        <v>418</v>
      </c>
      <c r="C82" s="1975">
        <v>90482258.680000007</v>
      </c>
      <c r="D82" s="2360"/>
      <c r="E82" s="2361">
        <v>2534027.7400000002</v>
      </c>
      <c r="F82" s="2377">
        <f t="shared" si="8"/>
        <v>2.8005796682881834E-2</v>
      </c>
      <c r="H82" s="2361">
        <v>1870088.52</v>
      </c>
      <c r="I82" s="2361"/>
      <c r="J82" s="2361"/>
      <c r="K82" s="2361">
        <v>675.04</v>
      </c>
      <c r="L82" s="2389">
        <v>40267.4</v>
      </c>
      <c r="M82" s="2361"/>
      <c r="N82" s="2361"/>
      <c r="O82" s="2360">
        <v>253402.77</v>
      </c>
      <c r="P82" s="2360">
        <v>1436793.73</v>
      </c>
      <c r="Q82" s="2360">
        <v>433318.74</v>
      </c>
      <c r="R82" s="2360">
        <v>296481.25</v>
      </c>
      <c r="S82" s="2360">
        <v>114031.25</v>
      </c>
      <c r="U82" s="2360">
        <v>163.5</v>
      </c>
      <c r="V82" s="2360">
        <v>23.95</v>
      </c>
      <c r="W82" s="2360">
        <v>10.9</v>
      </c>
      <c r="X82" s="2360"/>
      <c r="Y82" s="2360"/>
      <c r="Z82" s="2360"/>
      <c r="AA82" s="2360"/>
    </row>
    <row r="83" spans="1:28" ht="15.75" hidden="1" x14ac:dyDescent="0.25">
      <c r="D83" s="2360"/>
      <c r="E83" s="2361"/>
      <c r="F83" s="2370"/>
      <c r="H83" s="2361"/>
      <c r="I83" s="2361"/>
      <c r="J83" s="2361"/>
      <c r="K83" s="2361"/>
      <c r="L83" s="2361"/>
      <c r="M83" s="2361"/>
      <c r="N83" s="2361"/>
      <c r="U83" s="2360"/>
      <c r="V83" s="2360"/>
      <c r="W83" s="2360"/>
      <c r="X83" s="2360"/>
      <c r="Y83" s="2360"/>
      <c r="Z83" s="2360"/>
      <c r="AA83" s="2360"/>
      <c r="AB83" s="2360"/>
    </row>
    <row r="84" spans="1:28" ht="16.5" hidden="1" thickBot="1" x14ac:dyDescent="0.3">
      <c r="B84" s="1953">
        <v>2006</v>
      </c>
      <c r="C84" s="2381">
        <f>SUM(C71:C83)</f>
        <v>877961953.71000004</v>
      </c>
      <c r="E84" s="2382">
        <f>SUM(E71:E83)</f>
        <v>25732353.990000002</v>
      </c>
      <c r="F84" s="2383">
        <f>+E84/C84</f>
        <v>2.9309190314298818E-2</v>
      </c>
      <c r="H84" s="2382">
        <f>SUM(H71:H83)</f>
        <v>18987343.84</v>
      </c>
      <c r="I84" s="2384"/>
      <c r="J84" s="2382">
        <f>SUM(J71:J83)</f>
        <v>807</v>
      </c>
      <c r="K84" s="2382">
        <f>SUM(K71:K83)</f>
        <v>6254.36</v>
      </c>
      <c r="L84" s="2382">
        <f>SUM(L71:L82)</f>
        <v>401798.42000000004</v>
      </c>
      <c r="M84" s="2385">
        <f>+K84/(E84+K84+J84)</f>
        <v>2.4298764812464939E-4</v>
      </c>
      <c r="N84" s="2385"/>
      <c r="O84" s="2382">
        <f t="shared" ref="O84:AA84" si="9">SUM(O71:O83)</f>
        <v>2573235.4</v>
      </c>
      <c r="P84" s="2382">
        <f t="shared" si="9"/>
        <v>14590244.720000001</v>
      </c>
      <c r="Q84" s="2382">
        <f t="shared" si="9"/>
        <v>4400232.5299999993</v>
      </c>
      <c r="R84" s="2382">
        <f t="shared" si="9"/>
        <v>3010685.42</v>
      </c>
      <c r="S84" s="2382">
        <f t="shared" si="9"/>
        <v>1157955.6200000001</v>
      </c>
      <c r="U84" s="2382">
        <f t="shared" si="9"/>
        <v>1962</v>
      </c>
      <c r="V84" s="2382">
        <f t="shared" si="9"/>
        <v>287.39999999999992</v>
      </c>
      <c r="W84" s="2382">
        <f t="shared" si="9"/>
        <v>130.80000000000004</v>
      </c>
      <c r="X84" s="2386">
        <f>SUM(U84:W84)/(E84+J84+K84)</f>
        <v>9.247296287170719E-5</v>
      </c>
      <c r="Y84" s="2382">
        <f t="shared" si="9"/>
        <v>2846</v>
      </c>
      <c r="Z84" s="2382">
        <f t="shared" si="9"/>
        <v>0</v>
      </c>
      <c r="AA84" s="2382">
        <f t="shared" si="9"/>
        <v>0</v>
      </c>
      <c r="AB84" s="2382">
        <f t="shared" ref="AB84" si="10">SUM(AB71:AB83)</f>
        <v>0</v>
      </c>
    </row>
    <row r="85" spans="1:28" ht="15.75" hidden="1" x14ac:dyDescent="0.25">
      <c r="C85" s="2390"/>
      <c r="E85" s="2384"/>
      <c r="F85" s="2391"/>
      <c r="H85" s="2384"/>
      <c r="I85" s="2384"/>
      <c r="J85" s="2384"/>
      <c r="K85" s="2384"/>
      <c r="L85" s="2384"/>
      <c r="M85" s="2385"/>
      <c r="N85" s="2385"/>
      <c r="O85" s="2384"/>
      <c r="P85" s="2384"/>
      <c r="Q85" s="2384"/>
      <c r="R85" s="2384"/>
      <c r="S85" s="2384"/>
      <c r="U85" s="2384"/>
      <c r="V85" s="2384"/>
      <c r="W85" s="2384"/>
      <c r="X85" s="2385"/>
      <c r="Y85" s="2384"/>
      <c r="Z85" s="2384"/>
      <c r="AA85" s="2384"/>
    </row>
    <row r="86" spans="1:28" ht="15.75" hidden="1" x14ac:dyDescent="0.25">
      <c r="A86" s="1953">
        <v>2007</v>
      </c>
      <c r="B86" s="1953" t="s">
        <v>419</v>
      </c>
      <c r="C86" s="2375">
        <v>95693539.049999997</v>
      </c>
      <c r="E86" s="2384">
        <v>2874539</v>
      </c>
      <c r="F86" s="2377">
        <f t="shared" ref="F86:F97" si="11">+E86/C86</f>
        <v>3.00390081560057E-2</v>
      </c>
      <c r="H86" s="2384">
        <v>2114438.83</v>
      </c>
      <c r="I86" s="2384"/>
      <c r="J86" s="2392">
        <v>6947</v>
      </c>
      <c r="K86" s="2376">
        <v>655.04</v>
      </c>
      <c r="L86" s="2376">
        <v>36909.74</v>
      </c>
      <c r="M86" s="2385"/>
      <c r="N86" s="2385"/>
      <c r="O86" s="2387">
        <v>287453.90000000002</v>
      </c>
      <c r="P86" s="2393">
        <v>1629863.61</v>
      </c>
      <c r="Q86" s="2393">
        <v>491546.17</v>
      </c>
      <c r="R86" s="2393">
        <v>336321.06</v>
      </c>
      <c r="S86" s="2393">
        <v>129354.26</v>
      </c>
      <c r="U86" s="2360">
        <v>163.5</v>
      </c>
      <c r="V86" s="2360">
        <v>23.95</v>
      </c>
      <c r="W86" s="2360">
        <v>10.9</v>
      </c>
      <c r="X86" s="2360"/>
      <c r="Y86" s="2360">
        <f>6947</f>
        <v>6947</v>
      </c>
      <c r="Z86" s="2360"/>
      <c r="AA86" s="2360"/>
    </row>
    <row r="87" spans="1:28" ht="15.75" hidden="1" x14ac:dyDescent="0.25">
      <c r="B87" s="1953" t="s">
        <v>420</v>
      </c>
      <c r="C87" s="1975">
        <v>87291392.109999999</v>
      </c>
      <c r="E87" s="2361">
        <v>2568381.61</v>
      </c>
      <c r="F87" s="2377">
        <f t="shared" si="11"/>
        <v>2.9423079961463566E-2</v>
      </c>
      <c r="H87" s="2361">
        <v>1895441.68</v>
      </c>
      <c r="I87" s="2384"/>
      <c r="J87" s="2361"/>
      <c r="K87" s="2361">
        <v>361.12</v>
      </c>
      <c r="L87" s="2361">
        <v>37133.120000000003</v>
      </c>
      <c r="M87" s="2385"/>
      <c r="N87" s="2385"/>
      <c r="O87" s="2360">
        <v>256838.16</v>
      </c>
      <c r="P87" s="2360">
        <v>1456272.37</v>
      </c>
      <c r="Q87" s="2360">
        <v>439193.26</v>
      </c>
      <c r="R87" s="2360">
        <v>300500.65000000002</v>
      </c>
      <c r="S87" s="2360">
        <v>115577.17</v>
      </c>
      <c r="U87" s="2360">
        <v>163.5</v>
      </c>
      <c r="V87" s="2360">
        <v>23.95</v>
      </c>
      <c r="W87" s="2360">
        <v>10.9</v>
      </c>
      <c r="X87" s="2360"/>
      <c r="Y87" s="2360"/>
      <c r="Z87" s="2360"/>
      <c r="AA87" s="2360"/>
    </row>
    <row r="88" spans="1:28" ht="15.75" hidden="1" x14ac:dyDescent="0.25">
      <c r="B88" s="1953" t="s">
        <v>421</v>
      </c>
      <c r="C88" s="1975">
        <v>81289972.459999993</v>
      </c>
      <c r="E88" s="2361">
        <v>2408146.58</v>
      </c>
      <c r="F88" s="2377">
        <f t="shared" si="11"/>
        <v>2.9624152981291344E-2</v>
      </c>
      <c r="H88" s="2361">
        <v>1777188.22</v>
      </c>
      <c r="I88" s="2384"/>
      <c r="J88" s="2361"/>
      <c r="K88" s="2361">
        <v>292.60000000000002</v>
      </c>
      <c r="L88" s="2361">
        <v>40032.379999999997</v>
      </c>
      <c r="M88" s="2385"/>
      <c r="N88" s="2385"/>
      <c r="O88" s="2360">
        <v>240814.66</v>
      </c>
      <c r="P88" s="2360">
        <v>1365419.11</v>
      </c>
      <c r="Q88" s="2360">
        <v>411793.06</v>
      </c>
      <c r="R88" s="2360">
        <v>281753.15000000002</v>
      </c>
      <c r="S88" s="2360">
        <v>108366.6</v>
      </c>
      <c r="U88" s="2360">
        <v>163.5</v>
      </c>
      <c r="V88" s="2360">
        <v>23.95</v>
      </c>
      <c r="W88" s="2360">
        <v>10.9</v>
      </c>
      <c r="X88" s="2360"/>
      <c r="Y88" s="2360"/>
      <c r="Z88" s="2360"/>
      <c r="AA88" s="2360"/>
    </row>
    <row r="89" spans="1:28" ht="15.75" hidden="1" x14ac:dyDescent="0.25">
      <c r="B89" s="1953" t="s">
        <v>422</v>
      </c>
      <c r="C89" s="1975">
        <v>72739056.219999999</v>
      </c>
      <c r="E89" s="2361">
        <v>2137999.7999999998</v>
      </c>
      <c r="F89" s="2377">
        <f t="shared" si="11"/>
        <v>2.9392734950170349E-2</v>
      </c>
      <c r="H89" s="2361">
        <v>1577819.9</v>
      </c>
      <c r="I89" s="2384"/>
      <c r="J89" s="2361"/>
      <c r="K89" s="2361">
        <v>632.6</v>
      </c>
      <c r="L89" s="2361">
        <v>37655.79</v>
      </c>
      <c r="M89" s="2385"/>
      <c r="N89" s="2385"/>
      <c r="O89" s="2360">
        <v>213799.98</v>
      </c>
      <c r="P89" s="2360">
        <v>1212245.8899999999</v>
      </c>
      <c r="Q89" s="2360">
        <v>365597.96</v>
      </c>
      <c r="R89" s="2360">
        <v>250145.98</v>
      </c>
      <c r="S89" s="2360">
        <v>96209.99</v>
      </c>
      <c r="U89" s="2360">
        <v>163.5</v>
      </c>
      <c r="V89" s="2360">
        <v>23.95</v>
      </c>
      <c r="W89" s="2360">
        <v>10.9</v>
      </c>
      <c r="X89" s="2360"/>
      <c r="Y89" s="2360"/>
      <c r="Z89" s="2360"/>
      <c r="AA89" s="2360"/>
    </row>
    <row r="90" spans="1:28" ht="15.75" hidden="1" x14ac:dyDescent="0.25">
      <c r="B90" s="1953" t="s">
        <v>285</v>
      </c>
      <c r="C90" s="1975">
        <v>69169293.409999996</v>
      </c>
      <c r="E90" s="2361">
        <v>2050393.68</v>
      </c>
      <c r="F90" s="2377">
        <f t="shared" si="11"/>
        <v>2.9643120218769921E-2</v>
      </c>
      <c r="H90" s="2361">
        <v>1514872.58</v>
      </c>
      <c r="I90" s="2384"/>
      <c r="J90" s="2361">
        <v>3478</v>
      </c>
      <c r="K90" s="2361">
        <v>699.6</v>
      </c>
      <c r="L90" s="2361">
        <v>38964.14</v>
      </c>
      <c r="M90" s="2385"/>
      <c r="N90" s="2385"/>
      <c r="O90" s="2360">
        <v>205039.37</v>
      </c>
      <c r="P90" s="2360">
        <v>1162573.22</v>
      </c>
      <c r="Q90" s="2360">
        <v>350617.31</v>
      </c>
      <c r="R90" s="2360">
        <v>239896.06</v>
      </c>
      <c r="S90" s="2360">
        <v>92267.72</v>
      </c>
      <c r="U90" s="2360">
        <v>163.5</v>
      </c>
      <c r="V90" s="2360">
        <v>23.95</v>
      </c>
      <c r="W90" s="2360">
        <v>10.96</v>
      </c>
      <c r="X90" s="2360"/>
      <c r="Y90" s="2360">
        <v>-1706</v>
      </c>
      <c r="Z90" s="2360"/>
      <c r="AA90" s="2360"/>
    </row>
    <row r="91" spans="1:28" ht="15.75" hidden="1" x14ac:dyDescent="0.25">
      <c r="B91" s="1953" t="s">
        <v>423</v>
      </c>
      <c r="C91" s="1975">
        <v>70504216.900000006</v>
      </c>
      <c r="E91" s="2361">
        <v>2081716.99</v>
      </c>
      <c r="F91" s="2377">
        <f t="shared" si="11"/>
        <v>2.9526134485723221E-2</v>
      </c>
      <c r="H91" s="2361">
        <v>1536283.19</v>
      </c>
      <c r="I91" s="2384"/>
      <c r="J91" s="2361"/>
      <c r="K91" s="2361">
        <v>699.6</v>
      </c>
      <c r="L91" s="2361">
        <v>38472.21</v>
      </c>
      <c r="M91" s="2385"/>
      <c r="N91" s="2385"/>
      <c r="O91" s="2360">
        <v>208171.7</v>
      </c>
      <c r="P91" s="2360">
        <v>1180333.53</v>
      </c>
      <c r="Q91" s="2360">
        <v>355973.61</v>
      </c>
      <c r="R91" s="2360">
        <v>243560.89</v>
      </c>
      <c r="S91" s="2360">
        <v>93677.26</v>
      </c>
      <c r="U91" s="2360">
        <v>163.5</v>
      </c>
      <c r="V91" s="2360">
        <v>23.95</v>
      </c>
      <c r="W91" s="2360">
        <v>10.96</v>
      </c>
      <c r="X91" s="2360"/>
      <c r="Y91" s="2360"/>
      <c r="Z91" s="2360"/>
      <c r="AA91" s="2360"/>
    </row>
    <row r="92" spans="1:28" ht="15.75" hidden="1" x14ac:dyDescent="0.25">
      <c r="B92" s="1953" t="s">
        <v>424</v>
      </c>
      <c r="C92" s="1975">
        <v>72870457.230000004</v>
      </c>
      <c r="E92" s="2361">
        <v>2141416.21</v>
      </c>
      <c r="F92" s="2377">
        <f t="shared" si="11"/>
        <v>2.9386616900743165E-2</v>
      </c>
      <c r="H92" s="2361">
        <v>1580341.21</v>
      </c>
      <c r="I92" s="2384"/>
      <c r="J92" s="2361"/>
      <c r="K92" s="2361">
        <v>632.4</v>
      </c>
      <c r="L92" s="2361">
        <v>47928.45</v>
      </c>
      <c r="M92" s="2385"/>
      <c r="N92" s="2385"/>
      <c r="O92" s="2360">
        <v>214141.62</v>
      </c>
      <c r="P92" s="2360">
        <v>1214182.99</v>
      </c>
      <c r="Q92" s="2360">
        <v>366182.17</v>
      </c>
      <c r="R92" s="2360">
        <v>250545.7</v>
      </c>
      <c r="S92" s="2360">
        <v>96363.73</v>
      </c>
      <c r="U92" s="2360">
        <v>163.5</v>
      </c>
      <c r="V92" s="2360">
        <v>23.95</v>
      </c>
      <c r="W92" s="2360">
        <v>10.96</v>
      </c>
      <c r="X92" s="2360"/>
      <c r="Y92" s="2360"/>
      <c r="Z92" s="2360"/>
      <c r="AA92" s="2360"/>
    </row>
    <row r="93" spans="1:28" ht="15.75" hidden="1" x14ac:dyDescent="0.25">
      <c r="B93" s="1953" t="s">
        <v>425</v>
      </c>
      <c r="C93" s="1975">
        <v>75965317.209999993</v>
      </c>
      <c r="E93" s="2361">
        <v>2216917.7400000002</v>
      </c>
      <c r="F93" s="2377">
        <f t="shared" si="11"/>
        <v>2.9183288129654088E-2</v>
      </c>
      <c r="H93" s="2361">
        <v>1634347.34</v>
      </c>
      <c r="I93" s="2384"/>
      <c r="J93" s="2361">
        <v>1659</v>
      </c>
      <c r="K93" s="2361">
        <v>565.4</v>
      </c>
      <c r="L93" s="2361">
        <v>48398.63</v>
      </c>
      <c r="M93" s="2385"/>
      <c r="N93" s="2385"/>
      <c r="O93" s="2360">
        <v>221691.77</v>
      </c>
      <c r="P93" s="2360">
        <v>1256992.3600000001</v>
      </c>
      <c r="Q93" s="2360">
        <v>379092.93</v>
      </c>
      <c r="R93" s="2360">
        <v>259379.38</v>
      </c>
      <c r="S93" s="2360">
        <v>99761.3</v>
      </c>
      <c r="U93" s="2360">
        <v>163.5</v>
      </c>
      <c r="V93" s="2360">
        <v>23.95</v>
      </c>
      <c r="W93" s="2360">
        <v>10.96</v>
      </c>
      <c r="X93" s="2360"/>
      <c r="Y93" s="2360">
        <v>1714</v>
      </c>
      <c r="Z93" s="2360"/>
      <c r="AA93" s="2360"/>
    </row>
    <row r="94" spans="1:28" ht="15.75" hidden="1" x14ac:dyDescent="0.25">
      <c r="B94" s="1953" t="s">
        <v>426</v>
      </c>
      <c r="C94" s="1975">
        <v>70772317.939999998</v>
      </c>
      <c r="E94" s="2361">
        <v>2042756.09</v>
      </c>
      <c r="F94" s="2377">
        <f t="shared" si="11"/>
        <v>2.8863772580288053E-2</v>
      </c>
      <c r="H94" s="2361">
        <v>1507530.05</v>
      </c>
      <c r="I94" s="2384"/>
      <c r="J94" s="2361"/>
      <c r="K94" s="2361">
        <v>632.6</v>
      </c>
      <c r="L94" s="2361">
        <v>51833.43</v>
      </c>
      <c r="M94" s="2385"/>
      <c r="N94" s="2385"/>
      <c r="O94" s="2360">
        <v>204275.61</v>
      </c>
      <c r="P94" s="2360">
        <v>1158242.71</v>
      </c>
      <c r="Q94" s="2360">
        <v>349311.29</v>
      </c>
      <c r="R94" s="2360">
        <v>239002.46</v>
      </c>
      <c r="S94" s="2360">
        <v>91924.02</v>
      </c>
      <c r="U94" s="2360">
        <v>163.5</v>
      </c>
      <c r="V94" s="2360">
        <v>23.95</v>
      </c>
      <c r="W94" s="2360">
        <v>10.96</v>
      </c>
      <c r="X94" s="2360"/>
      <c r="Y94" s="2360"/>
      <c r="Z94" s="2360"/>
      <c r="AA94" s="2360"/>
    </row>
    <row r="95" spans="1:28" ht="15.75" hidden="1" x14ac:dyDescent="0.25">
      <c r="B95" s="1953" t="s">
        <v>416</v>
      </c>
      <c r="C95" s="1975">
        <v>70287657.310000002</v>
      </c>
      <c r="E95" s="2361">
        <v>2052970.87</v>
      </c>
      <c r="F95" s="2377">
        <f t="shared" si="11"/>
        <v>2.920812769367857E-2</v>
      </c>
      <c r="H95" s="2361">
        <v>1515068.55</v>
      </c>
      <c r="I95" s="2384"/>
      <c r="J95" s="2361"/>
      <c r="K95" s="2361">
        <v>723.6</v>
      </c>
      <c r="L95" s="2361">
        <v>50810.11</v>
      </c>
      <c r="M95" s="2385"/>
      <c r="N95" s="2385"/>
      <c r="O95" s="2360">
        <v>205297.09</v>
      </c>
      <c r="P95" s="2360">
        <v>1164034.48</v>
      </c>
      <c r="Q95" s="2360">
        <v>351058.02</v>
      </c>
      <c r="R95" s="2360">
        <v>240197.59</v>
      </c>
      <c r="S95" s="2360">
        <v>92383.69</v>
      </c>
      <c r="U95" s="2360">
        <v>163.5</v>
      </c>
      <c r="V95" s="2360">
        <v>23.95</v>
      </c>
      <c r="W95" s="2360">
        <v>10.96</v>
      </c>
      <c r="X95" s="2360"/>
      <c r="Y95" s="2360"/>
      <c r="Z95" s="2360"/>
      <c r="AA95" s="2360"/>
    </row>
    <row r="96" spans="1:28" ht="15.75" hidden="1" x14ac:dyDescent="0.25">
      <c r="B96" s="1953" t="s">
        <v>417</v>
      </c>
      <c r="C96" s="1975">
        <v>77451581.680000007</v>
      </c>
      <c r="E96" s="2361">
        <v>2266467.4300000002</v>
      </c>
      <c r="F96" s="2377">
        <f t="shared" si="11"/>
        <v>2.9263023179619072E-2</v>
      </c>
      <c r="H96" s="2361">
        <v>1672629.02</v>
      </c>
      <c r="I96" s="2384"/>
      <c r="J96" s="2361"/>
      <c r="K96" s="2361">
        <v>656.4</v>
      </c>
      <c r="L96" s="2389">
        <v>49856.959999999999</v>
      </c>
      <c r="M96" s="2385"/>
      <c r="N96" s="2385"/>
      <c r="O96" s="2360">
        <v>226646.74</v>
      </c>
      <c r="P96" s="2360">
        <v>1285087.04</v>
      </c>
      <c r="Q96" s="2360">
        <v>387565.93</v>
      </c>
      <c r="R96" s="2360">
        <v>265176.69</v>
      </c>
      <c r="S96" s="2360">
        <v>101991.03</v>
      </c>
      <c r="U96" s="2360">
        <v>163.5</v>
      </c>
      <c r="V96" s="2360">
        <v>23.95</v>
      </c>
      <c r="W96" s="2360">
        <v>10.96</v>
      </c>
      <c r="X96" s="2360"/>
      <c r="Y96" s="2360"/>
      <c r="Z96" s="2360"/>
      <c r="AA96" s="2360"/>
    </row>
    <row r="97" spans="1:28" ht="15.75" hidden="1" x14ac:dyDescent="0.25">
      <c r="B97" s="1953" t="s">
        <v>418</v>
      </c>
      <c r="C97" s="1975">
        <v>92779806.189999998</v>
      </c>
      <c r="E97" s="2361">
        <v>2671907.7400000002</v>
      </c>
      <c r="F97" s="2377">
        <f t="shared" si="11"/>
        <v>2.8798375958323397E-2</v>
      </c>
      <c r="H97" s="2361">
        <v>1971843.96</v>
      </c>
      <c r="I97" s="2384"/>
      <c r="J97" s="2361"/>
      <c r="K97" s="2361">
        <v>699.6</v>
      </c>
      <c r="L97" s="2389">
        <v>61106.74</v>
      </c>
      <c r="M97" s="2385"/>
      <c r="N97" s="2385"/>
      <c r="O97" s="2360">
        <v>267190.77</v>
      </c>
      <c r="P97" s="2360">
        <v>1514971.69</v>
      </c>
      <c r="Q97" s="2360">
        <v>456896.22</v>
      </c>
      <c r="R97" s="2360">
        <v>312613.21000000002</v>
      </c>
      <c r="S97" s="2360">
        <v>120235.85</v>
      </c>
      <c r="U97" s="2360">
        <v>163.5</v>
      </c>
      <c r="V97" s="2360">
        <v>23.95</v>
      </c>
      <c r="W97" s="2360">
        <v>10.96</v>
      </c>
      <c r="X97" s="2360"/>
      <c r="Y97" s="2360"/>
      <c r="Z97" s="2360"/>
      <c r="AA97" s="2360"/>
    </row>
    <row r="98" spans="1:28" hidden="1" x14ac:dyDescent="0.2">
      <c r="E98" s="2384"/>
      <c r="F98" s="2391"/>
      <c r="H98" s="2384"/>
      <c r="I98" s="2384"/>
      <c r="J98" s="2384"/>
      <c r="K98" s="2384"/>
      <c r="L98" s="2384"/>
      <c r="M98" s="2385"/>
      <c r="N98" s="2385"/>
      <c r="O98" s="2384"/>
      <c r="P98" s="2393"/>
      <c r="Q98" s="2393"/>
      <c r="R98" s="2393"/>
      <c r="S98" s="2393"/>
      <c r="U98" s="2384"/>
      <c r="V98" s="2384"/>
      <c r="W98" s="2384"/>
      <c r="X98" s="2385"/>
      <c r="Y98" s="2384"/>
      <c r="Z98" s="2384"/>
      <c r="AA98" s="2384"/>
      <c r="AB98" s="2384"/>
    </row>
    <row r="99" spans="1:28" ht="16.5" hidden="1" thickBot="1" x14ac:dyDescent="0.3">
      <c r="B99" s="1953">
        <v>2007</v>
      </c>
      <c r="C99" s="2381">
        <f>SUM(C86:C98)</f>
        <v>936814607.71000004</v>
      </c>
      <c r="E99" s="2382">
        <f>SUM(E86:E98)</f>
        <v>27513613.740000002</v>
      </c>
      <c r="F99" s="2383">
        <f>+E99/C99</f>
        <v>2.9369326133006995E-2</v>
      </c>
      <c r="H99" s="2382">
        <f>SUM(H86:H98)</f>
        <v>20297804.530000001</v>
      </c>
      <c r="I99" s="2384"/>
      <c r="J99" s="2382">
        <f>SUM(J86:J98)</f>
        <v>12084</v>
      </c>
      <c r="K99" s="2382">
        <f>SUM(K86:K98)</f>
        <v>7250.56</v>
      </c>
      <c r="L99" s="2382">
        <f>SUM(L86:L97)</f>
        <v>539101.69999999995</v>
      </c>
      <c r="M99" s="2385">
        <f>+K99/(E99+K99+J99)</f>
        <v>2.6334121289872908E-4</v>
      </c>
      <c r="N99" s="2385"/>
      <c r="O99" s="2382">
        <f>SUM(O86:O98)</f>
        <v>2751361.3699999996</v>
      </c>
      <c r="P99" s="2382">
        <f>SUM(P86:P98)</f>
        <v>15600218.999999998</v>
      </c>
      <c r="Q99" s="2382">
        <f>SUM(Q86:Q98)</f>
        <v>4704827.93</v>
      </c>
      <c r="R99" s="2382">
        <f>SUM(R86:R98)</f>
        <v>3219092.82</v>
      </c>
      <c r="S99" s="2382">
        <f>SUM(S86:S98)</f>
        <v>1238112.6200000001</v>
      </c>
      <c r="U99" s="2382">
        <f>SUM(U86:U98)</f>
        <v>1962</v>
      </c>
      <c r="V99" s="2382">
        <f>SUM(V86:V98)</f>
        <v>287.39999999999992</v>
      </c>
      <c r="W99" s="2382">
        <f>SUM(W86:W98)</f>
        <v>131.28000000000006</v>
      </c>
      <c r="X99" s="2386">
        <f>SUM(U99:W99)/(E99+J99+K99)</f>
        <v>8.6466584473991851E-5</v>
      </c>
      <c r="Y99" s="2382">
        <f>SUM(Y86:Y98)</f>
        <v>6955</v>
      </c>
      <c r="Z99" s="2382">
        <f t="shared" ref="Z99:AA99" si="12">SUM(Z86:Z98)</f>
        <v>0</v>
      </c>
      <c r="AA99" s="2382">
        <f t="shared" si="12"/>
        <v>0</v>
      </c>
      <c r="AB99" s="2382">
        <f>SUM(AB86:AB98)</f>
        <v>0</v>
      </c>
    </row>
    <row r="100" spans="1:28" ht="15.75" hidden="1" x14ac:dyDescent="0.25">
      <c r="C100" s="2390"/>
      <c r="E100" s="2384"/>
      <c r="F100" s="2391"/>
      <c r="H100" s="2384"/>
      <c r="I100" s="2384"/>
      <c r="J100" s="2384"/>
      <c r="K100" s="2384"/>
      <c r="L100" s="2384"/>
      <c r="M100" s="2385"/>
      <c r="N100" s="2385"/>
      <c r="O100" s="2384"/>
      <c r="P100" s="2384"/>
      <c r="Q100" s="2384"/>
      <c r="R100" s="2384"/>
      <c r="S100" s="2384"/>
      <c r="U100" s="2384"/>
      <c r="V100" s="2384"/>
      <c r="W100" s="2384"/>
      <c r="X100" s="2385"/>
      <c r="Y100" s="2384"/>
      <c r="Z100" s="2384"/>
      <c r="AA100" s="2384"/>
    </row>
    <row r="101" spans="1:28" ht="15.75" hidden="1" x14ac:dyDescent="0.25">
      <c r="A101" s="1953">
        <v>2008</v>
      </c>
      <c r="B101" s="1953" t="s">
        <v>419</v>
      </c>
      <c r="C101" s="2375">
        <v>97398707.569999993</v>
      </c>
      <c r="E101" s="2384">
        <v>2850844.9</v>
      </c>
      <c r="F101" s="2377">
        <f t="shared" ref="F101:F112" si="13">+E101/C101</f>
        <v>2.9269843215846688E-2</v>
      </c>
      <c r="H101" s="2384">
        <v>2103899.59</v>
      </c>
      <c r="I101" s="2384"/>
      <c r="J101" s="2376"/>
      <c r="K101" s="2376">
        <v>636.17999999999995</v>
      </c>
      <c r="L101" s="2384">
        <v>59572.51</v>
      </c>
      <c r="M101" s="2385"/>
      <c r="N101" s="2385"/>
      <c r="O101" s="2393">
        <v>285084.49</v>
      </c>
      <c r="P101" s="2393">
        <v>1616429.0582999995</v>
      </c>
      <c r="Q101" s="2393">
        <v>487494.47789999994</v>
      </c>
      <c r="R101" s="2393">
        <v>333548.85329999996</v>
      </c>
      <c r="S101" s="2393">
        <v>128288.02049999997</v>
      </c>
      <c r="U101" s="2393">
        <v>163.5</v>
      </c>
      <c r="V101" s="2393">
        <v>23.95</v>
      </c>
      <c r="W101" s="2393">
        <v>10.9</v>
      </c>
      <c r="X101" s="2360"/>
      <c r="Y101" s="2393"/>
      <c r="Z101" s="2393"/>
      <c r="AA101" s="2393"/>
    </row>
    <row r="102" spans="1:28" ht="15.75" hidden="1" x14ac:dyDescent="0.25">
      <c r="B102" s="1953" t="s">
        <v>420</v>
      </c>
      <c r="C102" s="2360">
        <v>95472502.040000007</v>
      </c>
      <c r="E102" s="2361">
        <v>2796006.03</v>
      </c>
      <c r="F102" s="2377">
        <f t="shared" si="13"/>
        <v>2.9285982563110793E-2</v>
      </c>
      <c r="H102" s="2361">
        <v>2059961.5</v>
      </c>
      <c r="I102" s="2384"/>
      <c r="J102" s="2361">
        <v>1496</v>
      </c>
      <c r="K102" s="2361">
        <v>627.96</v>
      </c>
      <c r="L102" s="2389">
        <v>57089.79</v>
      </c>
      <c r="M102" s="2385"/>
      <c r="N102" s="2385"/>
      <c r="O102" s="2380">
        <v>279600.603</v>
      </c>
      <c r="P102" s="2380">
        <v>1585335.4190099998</v>
      </c>
      <c r="Q102" s="2380">
        <v>478117.03113000002</v>
      </c>
      <c r="R102" s="2380">
        <v>327132.70551</v>
      </c>
      <c r="S102" s="2380">
        <v>125820.27134999998</v>
      </c>
      <c r="U102" s="2360">
        <v>163.5</v>
      </c>
      <c r="V102" s="2360">
        <v>23.95</v>
      </c>
      <c r="W102" s="2360">
        <v>10.9</v>
      </c>
      <c r="X102" s="2360"/>
      <c r="Y102" s="2360">
        <f>1790+1677</f>
        <v>3467</v>
      </c>
      <c r="Z102" s="2360"/>
      <c r="AA102" s="2360"/>
    </row>
    <row r="103" spans="1:28" ht="15.75" hidden="1" x14ac:dyDescent="0.25">
      <c r="B103" s="1953" t="s">
        <v>421</v>
      </c>
      <c r="C103" s="2360">
        <v>82834160.590000004</v>
      </c>
      <c r="E103" s="2361">
        <v>2374167.33</v>
      </c>
      <c r="F103" s="2377">
        <f t="shared" si="13"/>
        <v>2.8661693594642604E-2</v>
      </c>
      <c r="H103" s="2361">
        <v>1752111.54</v>
      </c>
      <c r="I103" s="2384"/>
      <c r="J103" s="2361"/>
      <c r="K103" s="2361">
        <v>692.42</v>
      </c>
      <c r="L103" s="2389">
        <v>59873.760000000002</v>
      </c>
      <c r="M103" s="2385"/>
      <c r="N103" s="2385"/>
      <c r="O103" s="2380">
        <v>237416.73300000001</v>
      </c>
      <c r="P103" s="2380">
        <v>1346152.8761099998</v>
      </c>
      <c r="Q103" s="2380">
        <v>405982.61343000003</v>
      </c>
      <c r="R103" s="2380">
        <v>277777.57761000004</v>
      </c>
      <c r="S103" s="2380">
        <v>106837.52985000001</v>
      </c>
      <c r="U103" s="2360">
        <v>163.5</v>
      </c>
      <c r="V103" s="2360">
        <v>23.95</v>
      </c>
      <c r="W103" s="2360">
        <v>10.9</v>
      </c>
      <c r="X103" s="2360"/>
      <c r="Y103" s="2360"/>
      <c r="Z103" s="2360"/>
      <c r="AA103" s="2360"/>
    </row>
    <row r="104" spans="1:28" ht="15.75" hidden="1" x14ac:dyDescent="0.25">
      <c r="B104" s="1953" t="s">
        <v>422</v>
      </c>
      <c r="C104" s="2360">
        <v>81339311.569999993</v>
      </c>
      <c r="E104" s="2361">
        <v>2355698.14</v>
      </c>
      <c r="F104" s="2377">
        <f t="shared" si="13"/>
        <v>2.8961372976124888E-2</v>
      </c>
      <c r="H104" s="2361">
        <v>1738481.28</v>
      </c>
      <c r="I104" s="2384"/>
      <c r="J104" s="2361"/>
      <c r="K104" s="2361">
        <v>627.96</v>
      </c>
      <c r="L104" s="2389">
        <v>59431.54</v>
      </c>
      <c r="M104" s="2385"/>
      <c r="N104" s="2385"/>
      <c r="O104" s="2380">
        <v>235569.81400000001</v>
      </c>
      <c r="P104" s="2380">
        <v>1335680.8453799998</v>
      </c>
      <c r="Q104" s="2380">
        <v>402824.38194000005</v>
      </c>
      <c r="R104" s="2380">
        <v>275616.68238000001</v>
      </c>
      <c r="S104" s="2380">
        <v>106006.4163</v>
      </c>
      <c r="U104" s="2360">
        <v>163.5</v>
      </c>
      <c r="V104" s="2360">
        <v>23.95</v>
      </c>
      <c r="W104" s="2360">
        <v>10.9</v>
      </c>
      <c r="X104" s="2360"/>
      <c r="Y104" s="2360"/>
      <c r="Z104" s="2360"/>
      <c r="AA104" s="2360"/>
    </row>
    <row r="105" spans="1:28" ht="15.75" hidden="1" x14ac:dyDescent="0.25">
      <c r="B105" s="1953" t="s">
        <v>285</v>
      </c>
      <c r="C105" s="2360">
        <v>74856898.450000003</v>
      </c>
      <c r="E105" s="2361">
        <v>2166022.21</v>
      </c>
      <c r="F105" s="2377">
        <f t="shared" si="13"/>
        <v>2.8935505676163903E-2</v>
      </c>
      <c r="H105" s="2361">
        <v>1598500.44</v>
      </c>
      <c r="I105" s="2384"/>
      <c r="J105" s="2361"/>
      <c r="K105" s="2361">
        <v>627.96</v>
      </c>
      <c r="L105" s="2389">
        <v>60484.94</v>
      </c>
      <c r="M105" s="2385"/>
      <c r="N105" s="2385"/>
      <c r="O105" s="2380">
        <v>216602.22100000002</v>
      </c>
      <c r="P105" s="2380">
        <v>1228134.5930699999</v>
      </c>
      <c r="Q105" s="2380">
        <v>370389.79791000002</v>
      </c>
      <c r="R105" s="2380">
        <v>253424.59857</v>
      </c>
      <c r="S105" s="2380">
        <v>97470.999449999988</v>
      </c>
      <c r="U105" s="2360">
        <v>163.5</v>
      </c>
      <c r="V105" s="2360">
        <v>23.95</v>
      </c>
      <c r="W105" s="2360">
        <v>10.9</v>
      </c>
      <c r="X105" s="2360"/>
      <c r="Y105" s="2360"/>
      <c r="Z105" s="2360"/>
      <c r="AA105" s="2360"/>
    </row>
    <row r="106" spans="1:28" ht="15.75" hidden="1" x14ac:dyDescent="0.25">
      <c r="B106" s="1953" t="s">
        <v>423</v>
      </c>
      <c r="C106" s="2360">
        <f>98521939.06</f>
        <v>98521939.060000002</v>
      </c>
      <c r="E106" s="2361">
        <f>2098935.08</f>
        <v>2098935.08</v>
      </c>
      <c r="F106" s="2377">
        <f t="shared" si="13"/>
        <v>2.1304240456754973E-2</v>
      </c>
      <c r="H106" s="2361">
        <v>1548990.14</v>
      </c>
      <c r="I106" s="2384"/>
      <c r="J106" s="2361"/>
      <c r="K106" s="2361">
        <v>527.65</v>
      </c>
      <c r="L106" s="2389">
        <v>50410.81</v>
      </c>
      <c r="M106" s="2385"/>
      <c r="N106" s="2385"/>
      <c r="O106" s="2380">
        <v>209893.50800000003</v>
      </c>
      <c r="P106" s="2380">
        <v>1190096.1903599999</v>
      </c>
      <c r="Q106" s="2380">
        <v>358917.89868000004</v>
      </c>
      <c r="R106" s="2380">
        <v>245575.40436000002</v>
      </c>
      <c r="S106" s="2380">
        <v>94452.078599999993</v>
      </c>
      <c r="U106" s="2360">
        <v>163.5</v>
      </c>
      <c r="V106" s="2360">
        <v>23.95</v>
      </c>
      <c r="W106" s="2360">
        <v>10.9</v>
      </c>
      <c r="X106" s="2360"/>
      <c r="Y106" s="2360"/>
      <c r="Z106" s="2360"/>
      <c r="AA106" s="2360"/>
    </row>
    <row r="107" spans="1:28" ht="15.75" hidden="1" x14ac:dyDescent="0.25">
      <c r="B107" s="1953" t="s">
        <v>424</v>
      </c>
      <c r="C107" s="2360">
        <v>76015952.629999995</v>
      </c>
      <c r="E107" s="2361">
        <v>2272869.98</v>
      </c>
      <c r="F107" s="2377">
        <f t="shared" si="13"/>
        <v>2.9899907866220741E-2</v>
      </c>
      <c r="H107" s="2361">
        <v>1677354.09</v>
      </c>
      <c r="I107" s="2384"/>
      <c r="J107" s="2361"/>
      <c r="K107" s="2361">
        <v>692.42</v>
      </c>
      <c r="L107" s="2389">
        <v>54052.25</v>
      </c>
      <c r="M107" s="2385"/>
      <c r="N107" s="2385"/>
      <c r="O107" s="2380">
        <v>227286.99800000002</v>
      </c>
      <c r="P107" s="2380">
        <v>1288717.2746599999</v>
      </c>
      <c r="Q107" s="2380">
        <v>388660.76658000005</v>
      </c>
      <c r="R107" s="2380">
        <v>265925.78766000003</v>
      </c>
      <c r="S107" s="2380">
        <v>102279.1491</v>
      </c>
      <c r="U107" s="2360">
        <v>163.5</v>
      </c>
      <c r="V107" s="2360">
        <v>23.95</v>
      </c>
      <c r="W107" s="2360">
        <v>10.9</v>
      </c>
      <c r="X107" s="2360"/>
      <c r="Y107" s="2360"/>
      <c r="Z107" s="2360"/>
      <c r="AA107" s="2360"/>
    </row>
    <row r="108" spans="1:28" ht="15.75" hidden="1" x14ac:dyDescent="0.25">
      <c r="B108" s="1953" t="s">
        <v>425</v>
      </c>
      <c r="C108" s="2360">
        <v>77006674.689999998</v>
      </c>
      <c r="E108" s="2361">
        <v>2261976.19</v>
      </c>
      <c r="F108" s="2377">
        <f t="shared" si="13"/>
        <v>2.9373767911753987E-2</v>
      </c>
      <c r="H108" s="2361">
        <v>1667071.48</v>
      </c>
      <c r="I108" s="2384"/>
      <c r="J108" s="2361">
        <f>1726+642</f>
        <v>2368</v>
      </c>
      <c r="K108" s="2361">
        <v>627.96</v>
      </c>
      <c r="L108" s="2389">
        <v>58127.34</v>
      </c>
      <c r="M108" s="2385"/>
      <c r="N108" s="2385"/>
      <c r="O108" s="2380">
        <v>226197.62</v>
      </c>
      <c r="P108" s="2380">
        <v>1282540.5</v>
      </c>
      <c r="Q108" s="2380">
        <v>386797.93</v>
      </c>
      <c r="R108" s="2380">
        <v>264651.21000000002</v>
      </c>
      <c r="S108" s="2380">
        <v>101788.93</v>
      </c>
      <c r="U108" s="2360">
        <v>163.5</v>
      </c>
      <c r="V108" s="2360">
        <v>23.95</v>
      </c>
      <c r="W108" s="2360">
        <v>10.9</v>
      </c>
      <c r="X108" s="2360"/>
      <c r="Y108" s="2360">
        <f>1494+749</f>
        <v>2243</v>
      </c>
      <c r="Z108" s="2360"/>
      <c r="AA108" s="2360"/>
    </row>
    <row r="109" spans="1:28" ht="15.75" hidden="1" x14ac:dyDescent="0.25">
      <c r="B109" s="1953" t="s">
        <v>426</v>
      </c>
      <c r="C109" s="2360">
        <v>75433585.909999996</v>
      </c>
      <c r="E109" s="2361">
        <v>2198051.23</v>
      </c>
      <c r="F109" s="2377">
        <f t="shared" si="13"/>
        <v>2.9138893550977419E-2</v>
      </c>
      <c r="H109" s="2361">
        <v>1622137.86</v>
      </c>
      <c r="I109" s="2384"/>
      <c r="J109" s="2361"/>
      <c r="K109" s="2361">
        <v>627.96</v>
      </c>
      <c r="L109" s="2389">
        <v>62561.599999999999</v>
      </c>
      <c r="M109" s="2385"/>
      <c r="N109" s="2385"/>
      <c r="O109" s="2380">
        <v>219805.12</v>
      </c>
      <c r="P109" s="2380">
        <v>1246295.05</v>
      </c>
      <c r="Q109" s="2380">
        <v>375866.76</v>
      </c>
      <c r="R109" s="2380">
        <v>257171.99</v>
      </c>
      <c r="S109" s="2380">
        <v>98912.31</v>
      </c>
      <c r="U109" s="2360">
        <v>163.5</v>
      </c>
      <c r="V109" s="2360">
        <v>23.95</v>
      </c>
      <c r="W109" s="2360">
        <v>10.9</v>
      </c>
      <c r="X109" s="2360"/>
      <c r="Y109" s="2360"/>
      <c r="Z109" s="2360"/>
      <c r="AA109" s="2360"/>
    </row>
    <row r="110" spans="1:28" ht="15.75" hidden="1" x14ac:dyDescent="0.25">
      <c r="B110" s="1953" t="s">
        <v>416</v>
      </c>
      <c r="C110" s="2360">
        <v>70793577.530000001</v>
      </c>
      <c r="E110" s="2361">
        <v>2083393.67</v>
      </c>
      <c r="F110" s="2377">
        <f t="shared" si="13"/>
        <v>2.9429133866234206E-2</v>
      </c>
      <c r="H110" s="2361">
        <v>1537520.57</v>
      </c>
      <c r="I110" s="2384"/>
      <c r="J110" s="2361"/>
      <c r="K110" s="2361">
        <v>692.42</v>
      </c>
      <c r="L110" s="2389">
        <v>62115.14</v>
      </c>
      <c r="M110" s="2385"/>
      <c r="N110" s="2385"/>
      <c r="O110" s="2380">
        <v>208339.37</v>
      </c>
      <c r="P110" s="2380">
        <v>1181284.2</v>
      </c>
      <c r="Q110" s="2380">
        <v>356260.32</v>
      </c>
      <c r="R110" s="2380">
        <v>243757.06</v>
      </c>
      <c r="S110" s="2380">
        <v>93752.72</v>
      </c>
      <c r="U110" s="2360">
        <v>163.5</v>
      </c>
      <c r="V110" s="2360">
        <v>23.95</v>
      </c>
      <c r="W110" s="2360">
        <v>10.9</v>
      </c>
      <c r="X110" s="2360"/>
      <c r="Y110" s="2360"/>
      <c r="Z110" s="2360"/>
      <c r="AA110" s="2360"/>
    </row>
    <row r="111" spans="1:28" ht="15.75" hidden="1" x14ac:dyDescent="0.25">
      <c r="B111" s="1953" t="s">
        <v>417</v>
      </c>
      <c r="C111" s="2360">
        <v>75278897.769999996</v>
      </c>
      <c r="E111" s="2361">
        <v>2219612.86</v>
      </c>
      <c r="F111" s="2377">
        <f t="shared" si="13"/>
        <v>2.9485193404154168E-2</v>
      </c>
      <c r="H111" s="2361">
        <v>1638050.34</v>
      </c>
      <c r="I111" s="2384"/>
      <c r="J111" s="2361"/>
      <c r="K111" s="2361">
        <v>627.96</v>
      </c>
      <c r="L111" s="2389">
        <v>62320.11</v>
      </c>
      <c r="M111" s="2385"/>
      <c r="N111" s="2385"/>
      <c r="O111" s="2380">
        <v>221961.29</v>
      </c>
      <c r="P111" s="2380">
        <v>1258520.49</v>
      </c>
      <c r="Q111" s="2380">
        <v>379553.8</v>
      </c>
      <c r="R111" s="2380">
        <v>259694.7</v>
      </c>
      <c r="S111" s="2380">
        <v>99882.58</v>
      </c>
      <c r="U111" s="2360">
        <v>163.5</v>
      </c>
      <c r="V111" s="2360">
        <v>23.95</v>
      </c>
      <c r="W111" s="2360">
        <v>10.9</v>
      </c>
      <c r="X111" s="2360"/>
      <c r="Y111" s="2360"/>
      <c r="Z111" s="2360"/>
      <c r="AA111" s="2360"/>
    </row>
    <row r="112" spans="1:28" ht="15.75" hidden="1" x14ac:dyDescent="0.25">
      <c r="B112" s="1953" t="s">
        <v>418</v>
      </c>
      <c r="C112" s="2360">
        <v>89048869.590000004</v>
      </c>
      <c r="E112" s="2361">
        <v>2650248.29</v>
      </c>
      <c r="F112" s="2377">
        <f t="shared" si="13"/>
        <v>2.9761728612640551E-2</v>
      </c>
      <c r="H112" s="2361">
        <v>1954758.29</v>
      </c>
      <c r="I112" s="2384"/>
      <c r="J112" s="2361">
        <v>2002</v>
      </c>
      <c r="K112" s="2361">
        <v>627.96</v>
      </c>
      <c r="L112" s="2389">
        <v>58060.28</v>
      </c>
      <c r="M112" s="2385"/>
      <c r="N112" s="2385"/>
      <c r="O112" s="2380">
        <v>265024.83</v>
      </c>
      <c r="P112" s="2380">
        <v>1502690.78</v>
      </c>
      <c r="Q112" s="2380">
        <v>453192.46</v>
      </c>
      <c r="R112" s="2380">
        <v>310079.05</v>
      </c>
      <c r="S112" s="2380">
        <v>119261.17</v>
      </c>
      <c r="U112" s="2360">
        <v>163.5</v>
      </c>
      <c r="V112" s="2360">
        <v>23.95</v>
      </c>
      <c r="W112" s="2360">
        <v>10.9</v>
      </c>
      <c r="X112" s="2360"/>
      <c r="Y112" s="2360">
        <v>1101</v>
      </c>
      <c r="Z112" s="2360"/>
      <c r="AA112" s="2360"/>
    </row>
    <row r="113" spans="1:28" ht="15.75" hidden="1" x14ac:dyDescent="0.25">
      <c r="C113" s="2390"/>
      <c r="E113" s="2384"/>
      <c r="F113" s="2391"/>
      <c r="H113" s="2384"/>
      <c r="I113" s="2384"/>
      <c r="J113" s="2384"/>
      <c r="K113" s="2384"/>
      <c r="L113" s="2384"/>
      <c r="M113" s="2385"/>
      <c r="N113" s="2385"/>
      <c r="O113" s="2384"/>
      <c r="P113" s="2384"/>
      <c r="Q113" s="2384"/>
      <c r="R113" s="2384"/>
      <c r="S113" s="2384"/>
      <c r="U113" s="2384"/>
      <c r="V113" s="2384"/>
      <c r="W113" s="2384"/>
      <c r="X113" s="2385"/>
      <c r="Y113" s="2384"/>
      <c r="Z113" s="2384"/>
      <c r="AA113" s="2384"/>
      <c r="AB113" s="2384"/>
    </row>
    <row r="114" spans="1:28" ht="16.5" hidden="1" thickBot="1" x14ac:dyDescent="0.3">
      <c r="B114" s="1953">
        <v>2008</v>
      </c>
      <c r="C114" s="2381">
        <f>SUM(C101:C113)</f>
        <v>994001077.4000001</v>
      </c>
      <c r="E114" s="2382">
        <f>SUM(E101:E113)</f>
        <v>28327825.909999996</v>
      </c>
      <c r="F114" s="2383">
        <f>+E114/C114</f>
        <v>2.8498787933003897E-2</v>
      </c>
      <c r="H114" s="2382">
        <f>SUM(H101:H113)</f>
        <v>20898837.119999997</v>
      </c>
      <c r="I114" s="2384"/>
      <c r="J114" s="2382">
        <f>SUM(J101:J113)</f>
        <v>5866</v>
      </c>
      <c r="K114" s="2382">
        <f>SUM(K101:K113)</f>
        <v>7636.81</v>
      </c>
      <c r="L114" s="2382">
        <f>SUM(L101:L112)</f>
        <v>704100.07000000007</v>
      </c>
      <c r="M114" s="2385">
        <f>+K114/(E114+K114+J114)</f>
        <v>2.6945843208158528E-4</v>
      </c>
      <c r="N114" s="2385"/>
      <c r="O114" s="2382">
        <f>SUM(O101:O113)</f>
        <v>2832782.5970000005</v>
      </c>
      <c r="P114" s="2382">
        <f>SUM(P101:P113)</f>
        <v>16061877.276889998</v>
      </c>
      <c r="Q114" s="2382">
        <f>SUM(Q101:Q113)</f>
        <v>4844058.2375700008</v>
      </c>
      <c r="R114" s="2382">
        <f>SUM(R101:R113)</f>
        <v>3314355.6193900001</v>
      </c>
      <c r="S114" s="2382">
        <f>SUM(S101:S113)</f>
        <v>1274752.17515</v>
      </c>
      <c r="U114" s="2382">
        <f>SUM(U101:U113)</f>
        <v>1962</v>
      </c>
      <c r="V114" s="2382">
        <f>SUM(V101:V113)</f>
        <v>287.39999999999992</v>
      </c>
      <c r="W114" s="2382">
        <f>SUM(W101:W113)</f>
        <v>130.80000000000004</v>
      </c>
      <c r="X114" s="2386">
        <f>SUM(U114:W114)/(E114+J114+K114)</f>
        <v>8.3983359549417785E-5</v>
      </c>
      <c r="Y114" s="2382">
        <f>SUM(Y101:Y113)</f>
        <v>6811</v>
      </c>
      <c r="Z114" s="2382">
        <f t="shared" ref="Z114:AA114" si="14">SUM(Z101:Z113)</f>
        <v>0</v>
      </c>
      <c r="AA114" s="2382">
        <f t="shared" si="14"/>
        <v>0</v>
      </c>
      <c r="AB114" s="2382">
        <f>SUM(AB101:AB113)</f>
        <v>0</v>
      </c>
    </row>
    <row r="115" spans="1:28" ht="15.75" hidden="1" x14ac:dyDescent="0.25">
      <c r="C115" s="2390"/>
      <c r="E115" s="2384"/>
      <c r="F115" s="2391"/>
      <c r="H115" s="2384"/>
      <c r="I115" s="2384"/>
      <c r="J115" s="2384"/>
      <c r="K115" s="2384"/>
      <c r="L115" s="2384"/>
      <c r="M115" s="2385"/>
      <c r="N115" s="2385"/>
      <c r="O115" s="2384"/>
      <c r="P115" s="2384"/>
      <c r="Q115" s="2384"/>
      <c r="R115" s="2384"/>
      <c r="S115" s="2384"/>
      <c r="U115" s="2384"/>
      <c r="V115" s="2384"/>
      <c r="W115" s="2384"/>
      <c r="X115" s="2385"/>
      <c r="Y115" s="2384"/>
      <c r="Z115" s="2384"/>
      <c r="AA115" s="2384"/>
    </row>
    <row r="116" spans="1:28" ht="15.75" hidden="1" x14ac:dyDescent="0.25">
      <c r="A116" s="1953">
        <v>2009</v>
      </c>
      <c r="B116" s="1953" t="s">
        <v>419</v>
      </c>
      <c r="C116" s="2375">
        <v>99357624.510000005</v>
      </c>
      <c r="E116" s="2384">
        <v>3025933.06</v>
      </c>
      <c r="F116" s="2377">
        <f t="shared" ref="F116:F127" si="15">+E116/C116</f>
        <v>3.0454965836018456E-2</v>
      </c>
      <c r="H116" s="2384">
        <v>2233114.64</v>
      </c>
      <c r="I116" s="2384"/>
      <c r="J116" s="2376"/>
      <c r="K116" s="2376">
        <v>622.27</v>
      </c>
      <c r="L116" s="2384">
        <v>53981.06</v>
      </c>
      <c r="M116" s="2385"/>
      <c r="N116" s="2385"/>
      <c r="O116" s="2393">
        <v>302593.31</v>
      </c>
      <c r="P116" s="2393">
        <v>1715704.04</v>
      </c>
      <c r="Q116" s="2393">
        <v>517434.55</v>
      </c>
      <c r="R116" s="2393">
        <v>354034.17</v>
      </c>
      <c r="S116" s="2393">
        <v>136166.99</v>
      </c>
      <c r="U116" s="2393">
        <v>163.5</v>
      </c>
      <c r="V116" s="2393">
        <v>23.95</v>
      </c>
      <c r="W116" s="2393">
        <v>10.9</v>
      </c>
      <c r="X116" s="2360"/>
      <c r="Y116" s="2393"/>
      <c r="Z116" s="2393"/>
      <c r="AA116" s="2393"/>
    </row>
    <row r="117" spans="1:28" ht="15.75" hidden="1" x14ac:dyDescent="0.25">
      <c r="B117" s="1953" t="s">
        <v>420</v>
      </c>
      <c r="C117" s="2360">
        <v>90109906.209999993</v>
      </c>
      <c r="E117" s="2361">
        <v>2705046.32</v>
      </c>
      <c r="F117" s="2377">
        <f t="shared" si="15"/>
        <v>3.0019411114422023E-2</v>
      </c>
      <c r="H117" s="2361">
        <v>1994854.24</v>
      </c>
      <c r="I117" s="2384"/>
      <c r="J117" s="2361">
        <v>955</v>
      </c>
      <c r="K117" s="2361">
        <v>622.27</v>
      </c>
      <c r="L117" s="2389">
        <v>58975.34</v>
      </c>
      <c r="M117" s="2385"/>
      <c r="N117" s="2385"/>
      <c r="O117" s="2380">
        <v>270504.63</v>
      </c>
      <c r="P117" s="2380">
        <v>1533761.27</v>
      </c>
      <c r="Q117" s="2380">
        <v>462562.92</v>
      </c>
      <c r="R117" s="2380">
        <v>316490.42</v>
      </c>
      <c r="S117" s="2380">
        <v>121727.08</v>
      </c>
      <c r="U117" s="2360">
        <v>163.5</v>
      </c>
      <c r="V117" s="2360">
        <v>23.95</v>
      </c>
      <c r="W117" s="2360">
        <v>10.9</v>
      </c>
      <c r="X117" s="2360"/>
      <c r="Y117" s="2360">
        <v>1446</v>
      </c>
      <c r="Z117" s="2360"/>
      <c r="AA117" s="2360"/>
    </row>
    <row r="118" spans="1:28" ht="15.75" hidden="1" x14ac:dyDescent="0.25">
      <c r="B118" s="1953" t="s">
        <v>421</v>
      </c>
      <c r="C118" s="2360">
        <v>84391949.510000005</v>
      </c>
      <c r="E118" s="2361">
        <v>2579195.9500000002</v>
      </c>
      <c r="F118" s="2377">
        <f t="shared" si="15"/>
        <v>3.0562108885686768E-2</v>
      </c>
      <c r="H118" s="2361">
        <v>1903422.65</v>
      </c>
      <c r="I118" s="2384"/>
      <c r="J118" s="2361"/>
      <c r="K118" s="2361">
        <v>622.27</v>
      </c>
      <c r="L118" s="2389">
        <v>61472.41</v>
      </c>
      <c r="M118" s="2385"/>
      <c r="N118" s="2385"/>
      <c r="O118" s="2380">
        <v>257919.6</v>
      </c>
      <c r="P118" s="2380">
        <v>1462404.09</v>
      </c>
      <c r="Q118" s="2380">
        <v>441042.51</v>
      </c>
      <c r="R118" s="2380">
        <v>301765.93</v>
      </c>
      <c r="S118" s="2380">
        <v>116063.82</v>
      </c>
      <c r="U118" s="2360">
        <v>163.5</v>
      </c>
      <c r="V118" s="2360">
        <v>23.95</v>
      </c>
      <c r="W118" s="2360">
        <v>10.9</v>
      </c>
      <c r="X118" s="2360"/>
      <c r="Y118" s="2360"/>
      <c r="Z118" s="2360"/>
      <c r="AA118" s="2360"/>
    </row>
    <row r="119" spans="1:28" ht="15.75" hidden="1" x14ac:dyDescent="0.25">
      <c r="B119" s="1953" t="s">
        <v>422</v>
      </c>
      <c r="C119" s="2360">
        <v>88884388.909999996</v>
      </c>
      <c r="E119" s="2361">
        <v>2330461.6800000002</v>
      </c>
      <c r="F119" s="2377">
        <f t="shared" si="15"/>
        <v>2.6219021231722841E-2</v>
      </c>
      <c r="H119" s="2361">
        <v>1719856.76</v>
      </c>
      <c r="I119" s="2384"/>
      <c r="J119" s="2361"/>
      <c r="K119" s="2361">
        <v>622.27</v>
      </c>
      <c r="L119" s="2389">
        <v>54949.85</v>
      </c>
      <c r="M119" s="2385"/>
      <c r="N119" s="2385"/>
      <c r="O119" s="2380">
        <v>233046.17</v>
      </c>
      <c r="P119" s="2380">
        <v>1321371.76</v>
      </c>
      <c r="Q119" s="2380">
        <v>398508.95</v>
      </c>
      <c r="R119" s="2380">
        <v>272664.02</v>
      </c>
      <c r="S119" s="2380">
        <v>104870.78</v>
      </c>
      <c r="U119" s="2360">
        <v>163.5</v>
      </c>
      <c r="V119" s="2360">
        <v>23.95</v>
      </c>
      <c r="W119" s="2360">
        <v>10.9</v>
      </c>
      <c r="X119" s="2360"/>
      <c r="Y119" s="2360"/>
      <c r="Z119" s="2360"/>
      <c r="AA119" s="2360"/>
    </row>
    <row r="120" spans="1:28" ht="15.75" hidden="1" x14ac:dyDescent="0.25">
      <c r="B120" s="1953" t="s">
        <v>285</v>
      </c>
      <c r="C120" s="2360">
        <v>72258899</v>
      </c>
      <c r="E120" s="2361">
        <v>2179522.2000000002</v>
      </c>
      <c r="F120" s="2377">
        <f t="shared" si="15"/>
        <v>3.0162682107846679E-2</v>
      </c>
      <c r="H120" s="2361">
        <v>1608463.43</v>
      </c>
      <c r="I120" s="2384"/>
      <c r="J120" s="2361"/>
      <c r="K120" s="2361">
        <v>622.27</v>
      </c>
      <c r="L120" s="2389">
        <v>58074.01</v>
      </c>
      <c r="M120" s="2385"/>
      <c r="N120" s="2385"/>
      <c r="O120" s="2380">
        <v>217952.22</v>
      </c>
      <c r="P120" s="2380">
        <v>1235789.08</v>
      </c>
      <c r="Q120" s="2380">
        <v>372698.3</v>
      </c>
      <c r="R120" s="2380">
        <v>255004.1</v>
      </c>
      <c r="S120" s="2380">
        <v>98078.5</v>
      </c>
      <c r="U120" s="2360">
        <v>163.5</v>
      </c>
      <c r="V120" s="2360">
        <v>23.95</v>
      </c>
      <c r="W120" s="2360">
        <v>10.9</v>
      </c>
      <c r="X120" s="2360"/>
      <c r="Y120" s="2360"/>
      <c r="Z120" s="2360"/>
      <c r="AA120" s="2360"/>
    </row>
    <row r="121" spans="1:28" ht="15.75" hidden="1" x14ac:dyDescent="0.25">
      <c r="B121" s="1953" t="s">
        <v>423</v>
      </c>
      <c r="C121" s="2360">
        <v>70668915.079999998</v>
      </c>
      <c r="E121" s="2361">
        <v>2135185.15</v>
      </c>
      <c r="F121" s="2377">
        <f t="shared" si="15"/>
        <v>3.0213922876598374E-2</v>
      </c>
      <c r="H121" s="2361">
        <v>1575742.69</v>
      </c>
      <c r="I121" s="2384"/>
      <c r="J121" s="2361"/>
      <c r="K121" s="2361">
        <v>567.48</v>
      </c>
      <c r="L121" s="2389">
        <v>50660.99</v>
      </c>
      <c r="M121" s="2385"/>
      <c r="N121" s="2385"/>
      <c r="O121" s="2380">
        <v>213518.52</v>
      </c>
      <c r="P121" s="2380">
        <v>1210649.98</v>
      </c>
      <c r="Q121" s="2380">
        <v>365116.66</v>
      </c>
      <c r="R121" s="2380">
        <v>249816.66</v>
      </c>
      <c r="S121" s="2380">
        <v>96083.33</v>
      </c>
      <c r="U121" s="2360">
        <v>163.5</v>
      </c>
      <c r="V121" s="2360">
        <v>23.95</v>
      </c>
      <c r="W121" s="2360">
        <v>10.9</v>
      </c>
      <c r="X121" s="2360"/>
      <c r="Y121" s="2360"/>
      <c r="Z121" s="2360"/>
      <c r="AA121" s="2360"/>
    </row>
    <row r="122" spans="1:28" ht="15.75" hidden="1" x14ac:dyDescent="0.25">
      <c r="B122" s="1953" t="s">
        <v>424</v>
      </c>
      <c r="C122" s="2360">
        <v>74105458.370000005</v>
      </c>
      <c r="E122" s="2361">
        <v>2221790.2999999998</v>
      </c>
      <c r="F122" s="2377">
        <f t="shared" si="15"/>
        <v>2.9981466262672004E-2</v>
      </c>
      <c r="H122" s="2361">
        <v>1639657.29</v>
      </c>
      <c r="I122" s="2384"/>
      <c r="J122" s="2361"/>
      <c r="K122" s="2361">
        <v>622.27</v>
      </c>
      <c r="L122" s="2389">
        <v>50673.01</v>
      </c>
      <c r="M122" s="2385"/>
      <c r="N122" s="2385"/>
      <c r="O122" s="2380">
        <v>222179.03</v>
      </c>
      <c r="P122" s="2380">
        <v>1259755.1000000001</v>
      </c>
      <c r="Q122" s="2380">
        <v>379926.14</v>
      </c>
      <c r="R122" s="2380">
        <v>259949.47</v>
      </c>
      <c r="S122" s="2380">
        <v>99980.56</v>
      </c>
      <c r="U122" s="2360">
        <v>163.5</v>
      </c>
      <c r="V122" s="2360">
        <v>23.95</v>
      </c>
      <c r="W122" s="2360">
        <v>10.9</v>
      </c>
      <c r="X122" s="2360"/>
      <c r="Y122" s="2360"/>
      <c r="Z122" s="2360"/>
      <c r="AA122" s="2360"/>
    </row>
    <row r="123" spans="1:28" ht="15.75" hidden="1" x14ac:dyDescent="0.25">
      <c r="B123" s="1953" t="s">
        <v>425</v>
      </c>
      <c r="C123" s="2360">
        <v>81082289.340000004</v>
      </c>
      <c r="E123" s="2361">
        <v>2427298.62</v>
      </c>
      <c r="F123" s="2377">
        <f t="shared" si="15"/>
        <v>2.993623687438917E-2</v>
      </c>
      <c r="H123" s="2361">
        <v>1791322.43</v>
      </c>
      <c r="I123" s="2384"/>
      <c r="J123" s="2361"/>
      <c r="K123" s="2361">
        <v>622.27</v>
      </c>
      <c r="L123" s="2389">
        <v>54598.303</v>
      </c>
      <c r="M123" s="2385"/>
      <c r="N123" s="2385"/>
      <c r="O123" s="2380">
        <v>242729.86</v>
      </c>
      <c r="P123" s="2380">
        <v>1376278.32</v>
      </c>
      <c r="Q123" s="2380">
        <v>415068.06</v>
      </c>
      <c r="R123" s="2380">
        <v>283993.94</v>
      </c>
      <c r="S123" s="2380">
        <v>109228.44</v>
      </c>
      <c r="U123" s="2360">
        <v>163.5</v>
      </c>
      <c r="V123" s="2360">
        <v>23.95</v>
      </c>
      <c r="W123" s="2360">
        <v>10.9</v>
      </c>
      <c r="X123" s="2360"/>
      <c r="Y123" s="2360"/>
      <c r="Z123" s="2360"/>
      <c r="AA123" s="2360"/>
    </row>
    <row r="124" spans="1:28" ht="15.75" hidden="1" x14ac:dyDescent="0.25">
      <c r="B124" s="1953" t="s">
        <v>426</v>
      </c>
      <c r="C124" s="2360">
        <v>73524924.109999999</v>
      </c>
      <c r="E124" s="2361">
        <v>2193940.98</v>
      </c>
      <c r="F124" s="2377">
        <f t="shared" si="15"/>
        <v>2.9839418490492611E-2</v>
      </c>
      <c r="H124" s="2361">
        <v>1619104.5</v>
      </c>
      <c r="I124" s="2384"/>
      <c r="J124" s="2361"/>
      <c r="K124" s="2361">
        <v>567.48</v>
      </c>
      <c r="L124" s="2389">
        <v>57274.95</v>
      </c>
      <c r="M124" s="2385"/>
      <c r="N124" s="2385"/>
      <c r="O124" s="2380">
        <v>219394.1</v>
      </c>
      <c r="P124" s="2380">
        <v>1243964.54</v>
      </c>
      <c r="Q124" s="2380">
        <v>375163.91</v>
      </c>
      <c r="R124" s="2380">
        <v>256691.09</v>
      </c>
      <c r="S124" s="2380">
        <v>98727.34</v>
      </c>
      <c r="U124" s="2360">
        <v>163.5</v>
      </c>
      <c r="V124" s="2360">
        <v>23.95</v>
      </c>
      <c r="W124" s="2360">
        <v>10.9</v>
      </c>
      <c r="X124" s="2360"/>
      <c r="Y124" s="2360"/>
      <c r="Z124" s="2360"/>
      <c r="AA124" s="2360"/>
    </row>
    <row r="125" spans="1:28" ht="15.75" hidden="1" x14ac:dyDescent="0.25">
      <c r="B125" s="1953" t="s">
        <v>416</v>
      </c>
      <c r="C125" s="2360">
        <v>71241726.980000004</v>
      </c>
      <c r="E125" s="2361">
        <v>2128181.94</v>
      </c>
      <c r="F125" s="2377">
        <f t="shared" si="15"/>
        <v>2.9872688804939464E-2</v>
      </c>
      <c r="H125" s="2361">
        <v>1570574.32</v>
      </c>
      <c r="I125" s="2384"/>
      <c r="J125" s="2361"/>
      <c r="K125" s="2361">
        <v>622.27</v>
      </c>
      <c r="L125" s="2389">
        <v>55605.120000000003</v>
      </c>
      <c r="M125" s="2385"/>
      <c r="N125" s="2385"/>
      <c r="O125" s="2380">
        <v>212818.19</v>
      </c>
      <c r="P125" s="2380">
        <v>1206679.1599999999</v>
      </c>
      <c r="Q125" s="2380">
        <v>363919.11</v>
      </c>
      <c r="R125" s="2380">
        <v>248997.29</v>
      </c>
      <c r="S125" s="2380">
        <v>95768.19</v>
      </c>
      <c r="U125" s="2360">
        <v>163.5</v>
      </c>
      <c r="V125" s="2360">
        <v>23.95</v>
      </c>
      <c r="W125" s="2360">
        <v>10.9</v>
      </c>
      <c r="X125" s="2360"/>
      <c r="Y125" s="2360"/>
      <c r="Z125" s="2360"/>
      <c r="AA125" s="2360"/>
    </row>
    <row r="126" spans="1:28" ht="15.75" hidden="1" x14ac:dyDescent="0.25">
      <c r="B126" s="1953" t="s">
        <v>417</v>
      </c>
      <c r="C126" s="2360">
        <v>78500619.680000007</v>
      </c>
      <c r="E126" s="2361">
        <v>2336996.7200000002</v>
      </c>
      <c r="F126" s="2377">
        <f t="shared" si="15"/>
        <v>2.9770423845398106E-2</v>
      </c>
      <c r="H126" s="2361">
        <v>1724679.63</v>
      </c>
      <c r="I126" s="2384"/>
      <c r="J126" s="2361"/>
      <c r="K126" s="2361">
        <v>622.27</v>
      </c>
      <c r="L126" s="2389">
        <v>59121.56</v>
      </c>
      <c r="M126" s="2385"/>
      <c r="N126" s="2385"/>
      <c r="O126" s="2380">
        <v>233699.67</v>
      </c>
      <c r="P126" s="2380">
        <v>1325077.1399999999</v>
      </c>
      <c r="Q126" s="2380">
        <v>399626.44</v>
      </c>
      <c r="R126" s="2380">
        <v>273428.62</v>
      </c>
      <c r="S126" s="2380">
        <v>105164.85</v>
      </c>
      <c r="U126" s="2360">
        <v>163.5</v>
      </c>
      <c r="V126" s="2360">
        <v>23.95</v>
      </c>
      <c r="W126" s="2360">
        <v>10.9</v>
      </c>
      <c r="X126" s="2360"/>
      <c r="Y126" s="2360"/>
      <c r="Z126" s="2360"/>
      <c r="AA126" s="2360"/>
    </row>
    <row r="127" spans="1:28" ht="15.75" hidden="1" x14ac:dyDescent="0.25">
      <c r="B127" s="1953" t="s">
        <v>418</v>
      </c>
      <c r="C127" s="2360">
        <v>99977113.799999997</v>
      </c>
      <c r="E127" s="2361">
        <v>2918593.49</v>
      </c>
      <c r="F127" s="2377">
        <f t="shared" si="15"/>
        <v>2.9192615980478526E-2</v>
      </c>
      <c r="H127" s="2361">
        <v>2149250.04</v>
      </c>
      <c r="I127" s="2384"/>
      <c r="J127" s="2361">
        <f>949+28</f>
        <v>977</v>
      </c>
      <c r="K127" s="2361">
        <v>622.27</v>
      </c>
      <c r="L127" s="2389">
        <v>52652.03</v>
      </c>
      <c r="M127" s="2385"/>
      <c r="N127" s="2385"/>
      <c r="O127" s="2380">
        <v>291859.34999999998</v>
      </c>
      <c r="P127" s="2380">
        <v>1654842.5</v>
      </c>
      <c r="Q127" s="2380">
        <v>499079.49</v>
      </c>
      <c r="R127" s="2380">
        <v>341475.44</v>
      </c>
      <c r="S127" s="2380">
        <v>131336.71</v>
      </c>
      <c r="U127" s="2360">
        <v>163.5</v>
      </c>
      <c r="V127" s="2360">
        <v>23.95</v>
      </c>
      <c r="W127" s="2360">
        <v>10.9</v>
      </c>
      <c r="X127" s="2360"/>
      <c r="Y127" s="2360">
        <f>768+1441+2439</f>
        <v>4648</v>
      </c>
      <c r="Z127" s="2360"/>
      <c r="AA127" s="2360"/>
    </row>
    <row r="128" spans="1:28" ht="15.75" hidden="1" x14ac:dyDescent="0.25">
      <c r="C128" s="2390"/>
      <c r="E128" s="2384"/>
      <c r="F128" s="2391"/>
      <c r="H128" s="2384"/>
      <c r="I128" s="2384"/>
      <c r="J128" s="2384"/>
      <c r="K128" s="2384"/>
      <c r="L128" s="2384"/>
      <c r="M128" s="2385"/>
      <c r="N128" s="2385"/>
      <c r="O128" s="2384"/>
      <c r="P128" s="2384"/>
      <c r="Q128" s="2384"/>
      <c r="R128" s="2384"/>
      <c r="S128" s="2384"/>
      <c r="U128" s="2384"/>
      <c r="V128" s="2384"/>
      <c r="W128" s="2384"/>
      <c r="X128" s="2385"/>
      <c r="Y128" s="2384"/>
      <c r="Z128" s="2384"/>
      <c r="AA128" s="2384"/>
      <c r="AB128" s="2384"/>
    </row>
    <row r="129" spans="1:28" ht="16.5" hidden="1" thickBot="1" x14ac:dyDescent="0.3">
      <c r="B129" s="1953">
        <v>2009</v>
      </c>
      <c r="C129" s="2381">
        <f>SUM(C116:C128)</f>
        <v>984103815.5</v>
      </c>
      <c r="E129" s="2382">
        <f>SUM(E116:E128)</f>
        <v>29182146.410000004</v>
      </c>
      <c r="F129" s="2383">
        <f>+E129/C129</f>
        <v>2.9653524303402116E-2</v>
      </c>
      <c r="H129" s="2382">
        <f>SUM(H116:H128)</f>
        <v>21530042.619999997</v>
      </c>
      <c r="I129" s="2384"/>
      <c r="J129" s="2382">
        <f>SUM(J116:J128)</f>
        <v>1932</v>
      </c>
      <c r="K129" s="2382">
        <f>SUM(K116:K128)</f>
        <v>7357.6600000000017</v>
      </c>
      <c r="L129" s="2382">
        <f>SUM(L116:L127)</f>
        <v>668038.63300000015</v>
      </c>
      <c r="M129" s="2385">
        <f>+K129/(E129+K129+J129)</f>
        <v>2.5204857967098981E-4</v>
      </c>
      <c r="N129" s="2385"/>
      <c r="O129" s="2382">
        <f>SUM(O116:O128)</f>
        <v>2918214.65</v>
      </c>
      <c r="P129" s="2382">
        <f>SUM(P116:P128)</f>
        <v>16546276.98</v>
      </c>
      <c r="Q129" s="2382">
        <f>SUM(Q116:Q128)</f>
        <v>4990147.040000001</v>
      </c>
      <c r="R129" s="2382">
        <f>SUM(R116:R128)</f>
        <v>3414311.15</v>
      </c>
      <c r="S129" s="2382">
        <f>SUM(S116:S128)</f>
        <v>1313196.5900000001</v>
      </c>
      <c r="U129" s="2382">
        <f>SUM(U116:U128)</f>
        <v>1962</v>
      </c>
      <c r="V129" s="2382">
        <f>SUM(V116:V128)</f>
        <v>287.39999999999992</v>
      </c>
      <c r="W129" s="2382">
        <f>SUM(W116:W128)</f>
        <v>130.80000000000004</v>
      </c>
      <c r="X129" s="2386">
        <f>SUM(U129:W129)/(E129+J129+K129)</f>
        <v>8.1537612411132049E-5</v>
      </c>
      <c r="Y129" s="2382">
        <f>SUM(Y116:Y128)</f>
        <v>6094</v>
      </c>
      <c r="Z129" s="2382">
        <f t="shared" ref="Z129:AA129" si="16">SUM(Z116:Z128)</f>
        <v>0</v>
      </c>
      <c r="AA129" s="2382">
        <f t="shared" si="16"/>
        <v>0</v>
      </c>
      <c r="AB129" s="2382">
        <f>SUM(AB116:AB128)</f>
        <v>0</v>
      </c>
    </row>
    <row r="130" spans="1:28" ht="15.75" hidden="1" x14ac:dyDescent="0.25">
      <c r="C130" s="2390"/>
      <c r="E130" s="2384"/>
      <c r="F130" s="2391"/>
      <c r="H130" s="2384"/>
      <c r="I130" s="2384"/>
      <c r="J130" s="2384"/>
      <c r="K130" s="2384"/>
      <c r="L130" s="2384"/>
      <c r="M130" s="2385"/>
      <c r="N130" s="2385"/>
      <c r="O130" s="2384"/>
      <c r="P130" s="2384"/>
      <c r="Q130" s="2384"/>
      <c r="R130" s="2384"/>
      <c r="S130" s="2384"/>
      <c r="U130" s="2384"/>
      <c r="V130" s="2384"/>
      <c r="W130" s="2384"/>
      <c r="X130" s="2385"/>
      <c r="Y130" s="2384"/>
      <c r="Z130" s="2384"/>
      <c r="AA130" s="2384"/>
    </row>
    <row r="131" spans="1:28" ht="15.75" hidden="1" x14ac:dyDescent="0.25">
      <c r="A131" s="1953">
        <v>2010</v>
      </c>
      <c r="B131" s="1953" t="s">
        <v>419</v>
      </c>
      <c r="C131" s="2375">
        <v>98598523.810000002</v>
      </c>
      <c r="E131" s="2384">
        <v>2966629.85</v>
      </c>
      <c r="F131" s="2377">
        <f t="shared" ref="F131:F142" si="17">+E131/C131</f>
        <v>3.0087974295809086E-2</v>
      </c>
      <c r="H131" s="2384">
        <v>2189348.88</v>
      </c>
      <c r="I131" s="2384"/>
      <c r="J131" s="2376"/>
      <c r="K131" s="2376">
        <v>424.67</v>
      </c>
      <c r="L131" s="2384">
        <v>49250.64</v>
      </c>
      <c r="M131" s="2385"/>
      <c r="N131" s="2385"/>
      <c r="O131" s="2393">
        <v>296662.99</v>
      </c>
      <c r="P131" s="2393">
        <v>1682079.13</v>
      </c>
      <c r="Q131" s="2393">
        <v>507293.7</v>
      </c>
      <c r="R131" s="2393">
        <v>347095.69</v>
      </c>
      <c r="S131" s="2393">
        <v>133498.34</v>
      </c>
      <c r="U131" s="2393">
        <v>163.5</v>
      </c>
      <c r="V131" s="2393">
        <v>23.95</v>
      </c>
      <c r="W131" s="2393">
        <v>10.9</v>
      </c>
      <c r="X131" s="2360"/>
      <c r="Y131" s="2393"/>
      <c r="Z131" s="2393"/>
      <c r="AA131" s="2393"/>
    </row>
    <row r="132" spans="1:28" ht="15.75" hidden="1" x14ac:dyDescent="0.25">
      <c r="B132" s="1953" t="s">
        <v>420</v>
      </c>
      <c r="C132" s="2360">
        <v>82215838.209999993</v>
      </c>
      <c r="E132" s="2361">
        <v>2484794.96</v>
      </c>
      <c r="F132" s="2377">
        <f t="shared" si="17"/>
        <v>3.0222825845954482E-2</v>
      </c>
      <c r="H132" s="2361">
        <v>1830415.73</v>
      </c>
      <c r="I132" s="2384"/>
      <c r="J132" s="2361">
        <v>102</v>
      </c>
      <c r="K132" s="2361">
        <v>615.52</v>
      </c>
      <c r="L132" s="2389">
        <v>39932.44</v>
      </c>
      <c r="M132" s="2385"/>
      <c r="N132" s="2385"/>
      <c r="O132" s="2380">
        <v>248479.5</v>
      </c>
      <c r="P132" s="2380">
        <v>1408878.74</v>
      </c>
      <c r="Q132" s="2380">
        <v>424899.94</v>
      </c>
      <c r="R132" s="2380">
        <v>290721.01</v>
      </c>
      <c r="S132" s="2380">
        <v>111815.77</v>
      </c>
      <c r="U132" s="2360">
        <v>163.5</v>
      </c>
      <c r="V132" s="2360">
        <v>23.95</v>
      </c>
      <c r="W132" s="2360">
        <v>10.9</v>
      </c>
      <c r="X132" s="2360"/>
      <c r="Y132" s="2360">
        <v>3339</v>
      </c>
      <c r="Z132" s="2360"/>
      <c r="AA132" s="2360"/>
    </row>
    <row r="133" spans="1:28" ht="15.75" hidden="1" x14ac:dyDescent="0.25">
      <c r="B133" s="1953" t="s">
        <v>421</v>
      </c>
      <c r="C133" s="2360">
        <v>82207627.799999997</v>
      </c>
      <c r="E133" s="2361">
        <v>2471823.13</v>
      </c>
      <c r="F133" s="2377">
        <f t="shared" si="17"/>
        <v>3.006805081413625E-2</v>
      </c>
      <c r="H133" s="2361">
        <v>1824181.52</v>
      </c>
      <c r="I133" s="2384"/>
      <c r="J133" s="2361"/>
      <c r="K133" s="2361">
        <v>541.98</v>
      </c>
      <c r="L133" s="2389">
        <v>32795.68</v>
      </c>
      <c r="M133" s="2385"/>
      <c r="N133" s="2385"/>
      <c r="O133" s="2380">
        <v>247182.31</v>
      </c>
      <c r="P133" s="2380">
        <f>1401523.72-0.005</f>
        <v>1401523.7150000001</v>
      </c>
      <c r="Q133" s="2380">
        <f>422681.76-0.005</f>
        <v>422681.755</v>
      </c>
      <c r="R133" s="2380">
        <v>289203.31</v>
      </c>
      <c r="S133" s="2380">
        <v>111232.04</v>
      </c>
      <c r="U133" s="2360">
        <v>163.5</v>
      </c>
      <c r="V133" s="2360">
        <v>23.95</v>
      </c>
      <c r="W133" s="2360">
        <v>10.9</v>
      </c>
      <c r="X133" s="2360"/>
      <c r="Y133" s="2360"/>
      <c r="Z133" s="2360"/>
      <c r="AA133" s="2360"/>
    </row>
    <row r="134" spans="1:28" ht="15.75" hidden="1" x14ac:dyDescent="0.25">
      <c r="B134" s="1953" t="s">
        <v>422</v>
      </c>
      <c r="C134" s="2360">
        <v>83687195.659999996</v>
      </c>
      <c r="E134" s="2361">
        <v>2446173.16</v>
      </c>
      <c r="F134" s="2377">
        <f t="shared" si="17"/>
        <v>2.9229957351399199E-2</v>
      </c>
      <c r="H134" s="2361">
        <v>1805251.84</v>
      </c>
      <c r="I134" s="2384"/>
      <c r="J134" s="2361"/>
      <c r="K134" s="2361">
        <v>615.52</v>
      </c>
      <c r="L134" s="2389">
        <v>35330.080000000002</v>
      </c>
      <c r="M134" s="2385"/>
      <c r="N134" s="2385"/>
      <c r="O134" s="2380">
        <v>244617.32</v>
      </c>
      <c r="P134" s="2380">
        <v>1386980.18</v>
      </c>
      <c r="Q134" s="2380">
        <v>418295.61</v>
      </c>
      <c r="R134" s="2380">
        <v>286202.26</v>
      </c>
      <c r="S134" s="2380">
        <v>110077.79</v>
      </c>
      <c r="U134" s="2360">
        <v>163.5</v>
      </c>
      <c r="V134" s="2360">
        <v>23.95</v>
      </c>
      <c r="W134" s="2360">
        <v>10.9</v>
      </c>
      <c r="X134" s="2360"/>
      <c r="Y134" s="2360"/>
      <c r="Z134" s="2360"/>
      <c r="AA134" s="2360"/>
    </row>
    <row r="135" spans="1:28" ht="15.75" hidden="1" x14ac:dyDescent="0.25">
      <c r="B135" s="1953" t="s">
        <v>285</v>
      </c>
      <c r="C135" s="2360">
        <v>75697982.269999996</v>
      </c>
      <c r="E135" s="2361">
        <v>2264392.2999999998</v>
      </c>
      <c r="F135" s="2377">
        <f t="shared" si="17"/>
        <v>2.9913509344586656E-2</v>
      </c>
      <c r="H135" s="2361">
        <v>1671097.57</v>
      </c>
      <c r="I135" s="2384"/>
      <c r="J135" s="2361"/>
      <c r="K135" s="2361">
        <v>488.42</v>
      </c>
      <c r="L135" s="2389">
        <v>37076.51</v>
      </c>
      <c r="M135" s="2385"/>
      <c r="N135" s="2385"/>
      <c r="O135" s="2380">
        <v>226439.23</v>
      </c>
      <c r="P135" s="2380">
        <v>1283910.44</v>
      </c>
      <c r="Q135" s="2380">
        <v>387211.08</v>
      </c>
      <c r="R135" s="2380">
        <v>264933.90000000002</v>
      </c>
      <c r="S135" s="2380">
        <v>101897.65</v>
      </c>
      <c r="U135" s="2360">
        <v>163.5</v>
      </c>
      <c r="V135" s="2360">
        <v>23.95</v>
      </c>
      <c r="W135" s="2360">
        <v>10.9</v>
      </c>
      <c r="X135" s="2360"/>
      <c r="Y135" s="2360"/>
      <c r="Z135" s="2360"/>
      <c r="AA135" s="2360"/>
    </row>
    <row r="136" spans="1:28" ht="15.75" hidden="1" x14ac:dyDescent="0.25">
      <c r="B136" s="1953" t="s">
        <v>423</v>
      </c>
      <c r="C136" s="2360">
        <v>73831052.870000005</v>
      </c>
      <c r="E136" s="2361">
        <v>2208168.31</v>
      </c>
      <c r="F136" s="2377">
        <f t="shared" si="17"/>
        <v>2.9908395237002665E-2</v>
      </c>
      <c r="H136" s="2361">
        <v>1629604.27</v>
      </c>
      <c r="I136" s="2384"/>
      <c r="J136" s="2361"/>
      <c r="K136" s="2361">
        <v>541.98</v>
      </c>
      <c r="L136" s="2389">
        <v>35510.93</v>
      </c>
      <c r="M136" s="2385"/>
      <c r="N136" s="2385"/>
      <c r="O136" s="2380">
        <v>220816.83</v>
      </c>
      <c r="P136" s="2380">
        <v>1252031.44</v>
      </c>
      <c r="Q136" s="2380">
        <v>377596.78</v>
      </c>
      <c r="R136" s="2380">
        <v>258355.69</v>
      </c>
      <c r="S136" s="2380">
        <v>99367.57</v>
      </c>
      <c r="U136" s="2360">
        <v>163.5</v>
      </c>
      <c r="V136" s="2360">
        <v>23.95</v>
      </c>
      <c r="W136" s="2360">
        <v>10.9</v>
      </c>
      <c r="X136" s="2360"/>
      <c r="Y136" s="2360"/>
      <c r="Z136" s="2360"/>
      <c r="AA136" s="2360"/>
    </row>
    <row r="137" spans="1:28" ht="15.75" hidden="1" x14ac:dyDescent="0.25">
      <c r="B137" s="1953" t="s">
        <v>424</v>
      </c>
      <c r="C137" s="2360">
        <v>77623767.260000005</v>
      </c>
      <c r="E137" s="2361">
        <v>2291100.86</v>
      </c>
      <c r="F137" s="2377">
        <f t="shared" si="17"/>
        <v>2.9515455650664071E-2</v>
      </c>
      <c r="H137" s="2361">
        <v>1690808.48</v>
      </c>
      <c r="I137" s="2384"/>
      <c r="J137" s="2361"/>
      <c r="K137" s="2361">
        <v>541.98</v>
      </c>
      <c r="L137" s="2389">
        <v>34610.879999999997</v>
      </c>
      <c r="M137" s="2385"/>
      <c r="N137" s="2385"/>
      <c r="O137" s="2380">
        <v>229110.09</v>
      </c>
      <c r="P137" s="2380">
        <v>1299054.18</v>
      </c>
      <c r="Q137" s="2380">
        <v>391778.25</v>
      </c>
      <c r="R137" s="2380">
        <v>268058.8</v>
      </c>
      <c r="S137" s="2380">
        <v>103099.54</v>
      </c>
      <c r="U137" s="2360">
        <v>163.5</v>
      </c>
      <c r="V137" s="2360">
        <v>23.95</v>
      </c>
      <c r="W137" s="2360">
        <v>10.9</v>
      </c>
      <c r="X137" s="2360"/>
      <c r="Y137" s="2360"/>
      <c r="Z137" s="2360"/>
      <c r="AA137" s="2360"/>
    </row>
    <row r="138" spans="1:28" ht="15.75" hidden="1" x14ac:dyDescent="0.25">
      <c r="B138" s="1953" t="s">
        <v>425</v>
      </c>
      <c r="C138" s="2360">
        <v>81456193.989999995</v>
      </c>
      <c r="E138" s="2361">
        <v>2398723.7000000002</v>
      </c>
      <c r="F138" s="2377">
        <f t="shared" si="17"/>
        <v>2.9448020862532329E-2</v>
      </c>
      <c r="H138" s="2361">
        <v>1767941.14</v>
      </c>
      <c r="I138" s="2384"/>
      <c r="J138" s="2361">
        <v>271</v>
      </c>
      <c r="K138" s="2361">
        <v>541.98</v>
      </c>
      <c r="L138" s="2389">
        <v>32609.95</v>
      </c>
      <c r="M138" s="2385"/>
      <c r="N138" s="2385"/>
      <c r="O138" s="2380">
        <v>239872.37</v>
      </c>
      <c r="P138" s="2380">
        <v>1360076.34</v>
      </c>
      <c r="Q138" s="2380">
        <v>410181.75</v>
      </c>
      <c r="R138" s="2380">
        <v>280650.67</v>
      </c>
      <c r="S138" s="2380">
        <v>107942.57</v>
      </c>
      <c r="U138" s="2360">
        <v>163.5</v>
      </c>
      <c r="V138" s="2360">
        <v>23.95</v>
      </c>
      <c r="W138" s="2360">
        <v>10.9</v>
      </c>
      <c r="X138" s="2360"/>
      <c r="Y138" s="2360">
        <v>2293</v>
      </c>
      <c r="Z138" s="2360"/>
      <c r="AA138" s="2360"/>
    </row>
    <row r="139" spans="1:28" ht="15.75" hidden="1" x14ac:dyDescent="0.25">
      <c r="B139" s="1953" t="s">
        <v>426</v>
      </c>
      <c r="C139" s="2360">
        <v>77268288.700000003</v>
      </c>
      <c r="E139" s="2361">
        <v>2264408.9300000002</v>
      </c>
      <c r="F139" s="2377">
        <f t="shared" si="17"/>
        <v>2.930579890013793E-2</v>
      </c>
      <c r="H139" s="2361">
        <v>1671109.85</v>
      </c>
      <c r="I139" s="2384"/>
      <c r="J139" s="2361"/>
      <c r="K139" s="2361">
        <v>615.52</v>
      </c>
      <c r="L139" s="2389">
        <v>46109.78</v>
      </c>
      <c r="M139" s="2385"/>
      <c r="N139" s="2385"/>
      <c r="O139" s="2380">
        <v>226440.89</v>
      </c>
      <c r="P139" s="2380">
        <v>1283919.8700000001</v>
      </c>
      <c r="Q139" s="2380">
        <v>387213.93</v>
      </c>
      <c r="R139" s="2380">
        <v>264935.84000000003</v>
      </c>
      <c r="S139" s="2380">
        <v>101898.4</v>
      </c>
      <c r="U139" s="2360">
        <v>163.5</v>
      </c>
      <c r="V139" s="2360">
        <v>23.95</v>
      </c>
      <c r="W139" s="2360">
        <v>10.9</v>
      </c>
      <c r="X139" s="2360"/>
      <c r="Y139" s="2360"/>
      <c r="Z139" s="2360"/>
      <c r="AA139" s="2360"/>
    </row>
    <row r="140" spans="1:28" ht="15.75" hidden="1" x14ac:dyDescent="0.25">
      <c r="B140" s="1953" t="s">
        <v>416</v>
      </c>
      <c r="C140" s="2360">
        <v>71743940.319999993</v>
      </c>
      <c r="E140" s="2361">
        <v>2108800.96</v>
      </c>
      <c r="F140" s="2377">
        <f t="shared" si="17"/>
        <v>2.9393436582854253E-2</v>
      </c>
      <c r="H140" s="2361">
        <v>1556271.16</v>
      </c>
      <c r="I140" s="2384"/>
      <c r="J140" s="2361"/>
      <c r="K140" s="2361">
        <v>762.6</v>
      </c>
      <c r="L140" s="2389">
        <v>48415.76</v>
      </c>
      <c r="M140" s="2385"/>
      <c r="N140" s="2385"/>
      <c r="O140" s="2380">
        <v>210880.1</v>
      </c>
      <c r="P140" s="2380">
        <v>1195690.1499999999</v>
      </c>
      <c r="Q140" s="2380">
        <v>360604.96</v>
      </c>
      <c r="R140" s="2380">
        <v>246729.71</v>
      </c>
      <c r="S140" s="2380">
        <v>94896.04</v>
      </c>
      <c r="U140" s="2360">
        <v>163.5</v>
      </c>
      <c r="V140" s="2360">
        <v>23.95</v>
      </c>
      <c r="W140" s="2360">
        <v>10.9</v>
      </c>
      <c r="X140" s="2360"/>
      <c r="Y140" s="2360"/>
      <c r="Z140" s="2360"/>
      <c r="AA140" s="2360"/>
    </row>
    <row r="141" spans="1:28" ht="15.75" hidden="1" x14ac:dyDescent="0.25">
      <c r="B141" s="1953" t="s">
        <v>417</v>
      </c>
      <c r="C141" s="2360">
        <v>78380286.659999996</v>
      </c>
      <c r="E141" s="2361">
        <v>2363476.08</v>
      </c>
      <c r="F141" s="2377">
        <f t="shared" si="17"/>
        <v>3.0153960654065313E-2</v>
      </c>
      <c r="H141" s="2361">
        <v>1744221.4</v>
      </c>
      <c r="I141" s="2384"/>
      <c r="J141" s="2361"/>
      <c r="K141" s="2361">
        <v>541.98</v>
      </c>
      <c r="L141" s="2389">
        <v>42760.69</v>
      </c>
      <c r="M141" s="2385"/>
      <c r="N141" s="2385"/>
      <c r="O141" s="2380">
        <v>236347.61</v>
      </c>
      <c r="P141" s="2380">
        <v>1340090.94</v>
      </c>
      <c r="Q141" s="2380">
        <v>404154.41</v>
      </c>
      <c r="R141" s="2380">
        <v>276526.7</v>
      </c>
      <c r="S141" s="2380">
        <v>106356.42</v>
      </c>
      <c r="U141" s="2360">
        <v>163.5</v>
      </c>
      <c r="V141" s="2360">
        <v>23.95</v>
      </c>
      <c r="W141" s="2360">
        <v>10.9</v>
      </c>
      <c r="X141" s="2360"/>
      <c r="Y141" s="2360"/>
      <c r="Z141" s="2360"/>
      <c r="AA141" s="2360"/>
    </row>
    <row r="142" spans="1:28" ht="15.75" hidden="1" x14ac:dyDescent="0.25">
      <c r="B142" s="1953" t="s">
        <v>418</v>
      </c>
      <c r="C142" s="2360">
        <v>98495285.859999999</v>
      </c>
      <c r="E142" s="2361">
        <v>2889367.64</v>
      </c>
      <c r="F142" s="2377">
        <f t="shared" si="17"/>
        <v>2.9335085580714109E-2</v>
      </c>
      <c r="H142" s="2361">
        <v>2132329.38</v>
      </c>
      <c r="I142" s="2384"/>
      <c r="J142" s="2361"/>
      <c r="K142" s="2361">
        <v>615.52</v>
      </c>
      <c r="L142" s="2389">
        <v>50005.77</v>
      </c>
      <c r="M142" s="2385"/>
      <c r="N142" s="2385"/>
      <c r="O142" s="2380">
        <v>288936.76</v>
      </c>
      <c r="P142" s="2380">
        <v>1638271.46</v>
      </c>
      <c r="Q142" s="2380">
        <v>494081.87</v>
      </c>
      <c r="R142" s="2380">
        <v>338056.01</v>
      </c>
      <c r="S142" s="2380">
        <v>130021.54</v>
      </c>
      <c r="U142" s="2360">
        <v>163.5</v>
      </c>
      <c r="V142" s="2360">
        <v>23.95</v>
      </c>
      <c r="W142" s="2360">
        <v>10.9</v>
      </c>
      <c r="X142" s="2360"/>
      <c r="Y142" s="2360"/>
      <c r="Z142" s="2360"/>
      <c r="AA142" s="2360"/>
    </row>
    <row r="143" spans="1:28" ht="15.75" hidden="1" x14ac:dyDescent="0.25">
      <c r="C143" s="2390"/>
      <c r="E143" s="2384"/>
      <c r="F143" s="2391"/>
      <c r="H143" s="2384"/>
      <c r="I143" s="2384"/>
      <c r="J143" s="2384"/>
      <c r="K143" s="2384"/>
      <c r="L143" s="2384"/>
      <c r="M143" s="2385"/>
      <c r="N143" s="2385"/>
      <c r="O143" s="2384"/>
      <c r="P143" s="2384"/>
      <c r="Q143" s="2384"/>
      <c r="R143" s="2384"/>
      <c r="S143" s="2384"/>
      <c r="U143" s="2384"/>
      <c r="V143" s="2384"/>
      <c r="W143" s="2384"/>
      <c r="X143" s="2385"/>
      <c r="Y143" s="2384"/>
      <c r="Z143" s="2384"/>
      <c r="AA143" s="2384"/>
      <c r="AB143" s="2384"/>
    </row>
    <row r="144" spans="1:28" ht="16.5" hidden="1" thickBot="1" x14ac:dyDescent="0.3">
      <c r="B144" s="1953">
        <v>2010</v>
      </c>
      <c r="C144" s="2381">
        <f>SUM(C131:C143)</f>
        <v>981205983.41000009</v>
      </c>
      <c r="E144" s="2382">
        <f>SUM(E131:E143)</f>
        <v>29157859.880000003</v>
      </c>
      <c r="F144" s="2383">
        <f>+E144/C144</f>
        <v>2.9716349444453293E-2</v>
      </c>
      <c r="H144" s="2382">
        <f>SUM(H131:H143)</f>
        <v>21512581.219999995</v>
      </c>
      <c r="I144" s="2384"/>
      <c r="J144" s="2382">
        <f>SUM(J131:J143)</f>
        <v>373</v>
      </c>
      <c r="K144" s="2382">
        <f>SUM(K131:K143)</f>
        <v>6847.67</v>
      </c>
      <c r="L144" s="2382">
        <f>SUM(L131:L142)</f>
        <v>484409.11000000004</v>
      </c>
      <c r="M144" s="2385">
        <f>+K144/(E144+K144+J144+L144)</f>
        <v>2.3095405953101991E-4</v>
      </c>
      <c r="N144" s="2385"/>
      <c r="O144" s="2382">
        <f>SUM(O131:O143)</f>
        <v>2915786</v>
      </c>
      <c r="P144" s="2382">
        <f>SUM(P131:P143)</f>
        <v>16532506.585000001</v>
      </c>
      <c r="Q144" s="2382">
        <f>SUM(Q131:Q143)</f>
        <v>4985994.0350000001</v>
      </c>
      <c r="R144" s="2382">
        <f>SUM(R131:R143)</f>
        <v>3411469.59</v>
      </c>
      <c r="S144" s="2382">
        <f>SUM(S131:S143)</f>
        <v>1312103.67</v>
      </c>
      <c r="U144" s="2382">
        <f>SUM(U131:U143)</f>
        <v>1962</v>
      </c>
      <c r="V144" s="2382">
        <f>SUM(V131:V143)</f>
        <v>287.39999999999992</v>
      </c>
      <c r="W144" s="2382">
        <f>SUM(W131:W143)</f>
        <v>130.80000000000004</v>
      </c>
      <c r="X144" s="2386">
        <f>SUM(U144:W144)/(E144+J144+K144)</f>
        <v>8.1611295258363347E-5</v>
      </c>
      <c r="Y144" s="2382">
        <f>SUM(Y131:Y143)</f>
        <v>5632</v>
      </c>
      <c r="Z144" s="2382">
        <f t="shared" ref="Z144:AA144" si="18">SUM(Z131:Z143)</f>
        <v>0</v>
      </c>
      <c r="AA144" s="2382">
        <f t="shared" si="18"/>
        <v>0</v>
      </c>
      <c r="AB144" s="2382">
        <f>SUM(AB131:AB143)</f>
        <v>0</v>
      </c>
    </row>
    <row r="145" spans="1:28" ht="15.75" hidden="1" x14ac:dyDescent="0.25">
      <c r="C145" s="2390"/>
      <c r="E145" s="2384"/>
      <c r="F145" s="2391"/>
      <c r="H145" s="2384"/>
      <c r="I145" s="2384"/>
      <c r="J145" s="2384"/>
      <c r="K145" s="2384"/>
      <c r="L145" s="2384"/>
      <c r="M145" s="2385"/>
      <c r="N145" s="2385"/>
      <c r="O145" s="2384"/>
      <c r="P145" s="2384"/>
      <c r="Q145" s="2384"/>
      <c r="R145" s="2384"/>
      <c r="S145" s="2384"/>
      <c r="U145" s="2384"/>
      <c r="V145" s="2384"/>
      <c r="W145" s="2384"/>
      <c r="X145" s="2385"/>
      <c r="Y145" s="2384"/>
      <c r="Z145" s="2384"/>
      <c r="AA145" s="2384"/>
    </row>
    <row r="146" spans="1:28" ht="15.75" hidden="1" x14ac:dyDescent="0.25">
      <c r="A146" s="1953">
        <v>2011</v>
      </c>
      <c r="B146" s="1953" t="s">
        <v>419</v>
      </c>
      <c r="C146" s="2375">
        <v>107570597.27</v>
      </c>
      <c r="E146" s="2384">
        <v>3191663.06</v>
      </c>
      <c r="F146" s="2377">
        <f>+E146/C146</f>
        <v>2.9670403818517353E-2</v>
      </c>
      <c r="H146" s="2384">
        <v>2353204.38</v>
      </c>
      <c r="I146" s="2384"/>
      <c r="J146" s="2376"/>
      <c r="K146" s="2376">
        <v>718.98</v>
      </c>
      <c r="L146" s="2384">
        <v>44306.5</v>
      </c>
      <c r="M146" s="2385"/>
      <c r="N146" s="2385"/>
      <c r="O146" s="2393">
        <v>319166.31</v>
      </c>
      <c r="P146" s="2393">
        <v>1809672.95</v>
      </c>
      <c r="Q146" s="2393">
        <v>545774.38</v>
      </c>
      <c r="R146" s="2393">
        <v>373424.58</v>
      </c>
      <c r="S146" s="2393">
        <v>143624.84</v>
      </c>
      <c r="U146" s="2393">
        <v>163.5</v>
      </c>
      <c r="V146" s="2393">
        <v>23.95</v>
      </c>
      <c r="W146" s="2393">
        <v>10.9</v>
      </c>
      <c r="X146" s="2360"/>
      <c r="Y146" s="2393">
        <v>2219</v>
      </c>
      <c r="Z146" s="2393"/>
      <c r="AA146" s="2393"/>
    </row>
    <row r="147" spans="1:28" ht="15.75" hidden="1" x14ac:dyDescent="0.25">
      <c r="B147" s="1953" t="s">
        <v>420</v>
      </c>
      <c r="C147" s="2360">
        <v>99827725.590000004</v>
      </c>
      <c r="E147" s="2361">
        <v>2948912.4</v>
      </c>
      <c r="F147" s="2377">
        <f>+E147/C147</f>
        <v>2.9540013884633669E-2</v>
      </c>
      <c r="H147" s="2361">
        <v>2176273.4</v>
      </c>
      <c r="I147" s="2384"/>
      <c r="J147" s="2361"/>
      <c r="K147" s="2361">
        <v>597.24</v>
      </c>
      <c r="L147" s="2389">
        <v>43452.75</v>
      </c>
      <c r="M147" s="2385"/>
      <c r="N147" s="2385"/>
      <c r="O147" s="2380">
        <v>294891.24</v>
      </c>
      <c r="P147" s="2380">
        <v>1672033.33</v>
      </c>
      <c r="Q147" s="2380">
        <v>504264.02</v>
      </c>
      <c r="R147" s="2380">
        <v>345022.75</v>
      </c>
      <c r="S147" s="2380">
        <v>132701.06</v>
      </c>
      <c r="U147" s="2360">
        <v>163.5</v>
      </c>
      <c r="V147" s="2360">
        <v>23.95</v>
      </c>
      <c r="W147" s="2360">
        <v>10.9</v>
      </c>
      <c r="X147" s="2360"/>
      <c r="Y147" s="2360"/>
      <c r="Z147" s="2360"/>
      <c r="AA147" s="2360"/>
    </row>
    <row r="148" spans="1:28" ht="15.75" hidden="1" x14ac:dyDescent="0.25">
      <c r="B148" s="1953" t="s">
        <v>421</v>
      </c>
      <c r="C148" s="2360">
        <v>102741014.52</v>
      </c>
      <c r="E148" s="2361">
        <v>3093216.21</v>
      </c>
      <c r="F148" s="2377">
        <f>+E148/C148</f>
        <v>3.0106926863155137E-2</v>
      </c>
      <c r="H148" s="2361">
        <v>2235474.85</v>
      </c>
      <c r="I148" s="2384"/>
      <c r="J148" s="2361"/>
      <c r="K148" s="2361">
        <v>901.59</v>
      </c>
      <c r="L148" s="2389">
        <v>47294.76</v>
      </c>
      <c r="M148" s="2385"/>
      <c r="N148" s="2385"/>
      <c r="O148" s="2380">
        <v>309321.62</v>
      </c>
      <c r="P148" s="2380">
        <f>1753853.59-18636.69</f>
        <v>1735216.9000000001</v>
      </c>
      <c r="Q148" s="2380">
        <f>528939.97-28658.07</f>
        <v>500281.89999999997</v>
      </c>
      <c r="R148" s="2380">
        <v>361906.3</v>
      </c>
      <c r="S148" s="2380">
        <v>139194.73000000001</v>
      </c>
      <c r="U148" s="2360">
        <v>163.5</v>
      </c>
      <c r="V148" s="2360">
        <v>23.95</v>
      </c>
      <c r="W148" s="2360">
        <v>10.9</v>
      </c>
      <c r="X148" s="2360"/>
      <c r="Y148" s="2360"/>
      <c r="Z148" s="2360"/>
      <c r="AA148" s="2360"/>
    </row>
    <row r="149" spans="1:28" ht="64.5" hidden="1" x14ac:dyDescent="0.25">
      <c r="A149" s="2394"/>
      <c r="B149" s="2395" t="s">
        <v>5802</v>
      </c>
      <c r="C149" s="2360"/>
      <c r="E149" s="2361"/>
      <c r="F149" s="2377"/>
      <c r="H149" s="2396">
        <v>-800363.04</v>
      </c>
      <c r="I149" s="2384" t="s">
        <v>5803</v>
      </c>
      <c r="J149" s="2361"/>
      <c r="K149" s="2361"/>
      <c r="L149" s="2389"/>
      <c r="M149" s="2385"/>
      <c r="N149" s="2385"/>
      <c r="O149" s="2380">
        <v>305482.07</v>
      </c>
      <c r="P149" s="2380"/>
      <c r="Q149" s="2380"/>
      <c r="R149" s="2380">
        <v>357414.04</v>
      </c>
      <c r="S149" s="2380">
        <v>137466.93</v>
      </c>
      <c r="U149" s="2360"/>
      <c r="V149" s="2360"/>
      <c r="W149" s="2360"/>
      <c r="X149" s="2360"/>
      <c r="Y149" s="2360"/>
      <c r="Z149" s="2360"/>
      <c r="AA149" s="2360"/>
    </row>
    <row r="150" spans="1:28" ht="15.75" hidden="1" x14ac:dyDescent="0.25">
      <c r="A150" s="2397" t="s">
        <v>5804</v>
      </c>
      <c r="B150" s="1953" t="s">
        <v>422</v>
      </c>
      <c r="C150" s="2360">
        <v>105498986.41</v>
      </c>
      <c r="E150" s="2361">
        <v>2757049.85</v>
      </c>
      <c r="F150" s="2377">
        <f t="shared" ref="F150:F158" si="19">+E150/C150</f>
        <v>2.6133425010220437E-2</v>
      </c>
      <c r="H150" s="2361">
        <v>1997981.79</v>
      </c>
      <c r="I150" s="2384"/>
      <c r="J150" s="2361"/>
      <c r="K150" s="2361">
        <v>658.11</v>
      </c>
      <c r="L150" s="2389">
        <v>36697.050000000003</v>
      </c>
      <c r="M150" s="2385"/>
      <c r="N150" s="2385"/>
      <c r="O150" s="2380">
        <v>275704.99</v>
      </c>
      <c r="P150" s="2380">
        <f>1563247.27-9231.26</f>
        <v>1554016.01</v>
      </c>
      <c r="Q150" s="2380">
        <f>471455.52-27465.79</f>
        <v>443989.73000000004</v>
      </c>
      <c r="R150" s="2380">
        <v>322574.83</v>
      </c>
      <c r="S150" s="2380">
        <v>124067.24</v>
      </c>
      <c r="U150" s="2360">
        <v>163.5</v>
      </c>
      <c r="V150" s="2360">
        <v>23.95</v>
      </c>
      <c r="W150" s="2360">
        <v>10.9</v>
      </c>
      <c r="X150" s="2360"/>
      <c r="Y150" s="2360"/>
      <c r="Z150" s="2360"/>
      <c r="AA150" s="2360"/>
    </row>
    <row r="151" spans="1:28" ht="15.75" hidden="1" x14ac:dyDescent="0.25">
      <c r="B151" s="1953" t="s">
        <v>285</v>
      </c>
      <c r="C151" s="2360">
        <v>88401794.420000002</v>
      </c>
      <c r="E151" s="2361">
        <v>2645550.88</v>
      </c>
      <c r="F151" s="2377">
        <f t="shared" si="19"/>
        <v>2.9926438680994365E-2</v>
      </c>
      <c r="H151" s="2361">
        <v>1911657.79</v>
      </c>
      <c r="I151" s="2384"/>
      <c r="J151" s="2361"/>
      <c r="K151" s="2361">
        <v>768.39</v>
      </c>
      <c r="L151" s="2389">
        <v>40734.81</v>
      </c>
      <c r="M151" s="2385"/>
      <c r="N151" s="2385"/>
      <c r="O151" s="2380">
        <v>264555.09000000003</v>
      </c>
      <c r="P151" s="2380">
        <f>1500027.35-10255.71</f>
        <v>1489771.6400000001</v>
      </c>
      <c r="Q151" s="2380">
        <f>452389.2-30479.1</f>
        <v>421910.10000000003</v>
      </c>
      <c r="R151" s="2380">
        <v>309529.45</v>
      </c>
      <c r="S151" s="2380">
        <v>119049.79</v>
      </c>
      <c r="U151" s="2360">
        <v>163.5</v>
      </c>
      <c r="V151" s="2360">
        <v>23.95</v>
      </c>
      <c r="W151" s="2360">
        <v>10.9</v>
      </c>
      <c r="X151" s="2360"/>
      <c r="Y151" s="2360"/>
      <c r="Z151" s="2360"/>
      <c r="AA151" s="2360"/>
    </row>
    <row r="152" spans="1:28" ht="15.75" hidden="1" x14ac:dyDescent="0.25">
      <c r="B152" s="1953" t="s">
        <v>423</v>
      </c>
      <c r="C152" s="2360">
        <v>84582063.010000005</v>
      </c>
      <c r="E152" s="2361">
        <v>2540373.5</v>
      </c>
      <c r="F152" s="2377">
        <f t="shared" si="19"/>
        <v>3.0034423488815302E-2</v>
      </c>
      <c r="H152" s="2361">
        <v>1831709.54</v>
      </c>
      <c r="I152" s="2384"/>
      <c r="J152" s="2361">
        <v>131</v>
      </c>
      <c r="K152" s="2361">
        <v>691.05</v>
      </c>
      <c r="L152" s="2398">
        <v>41882.15</v>
      </c>
      <c r="M152" s="2385"/>
      <c r="N152" s="2385"/>
      <c r="O152" s="2380">
        <v>254037.35</v>
      </c>
      <c r="P152" s="2380">
        <f>1440391.77-10572.17</f>
        <v>1429819.6</v>
      </c>
      <c r="Q152" s="2380">
        <f>434403.87-31309.98</f>
        <v>403093.89</v>
      </c>
      <c r="R152" s="2380">
        <v>297223.7</v>
      </c>
      <c r="S152" s="2380">
        <v>114316.81</v>
      </c>
      <c r="U152" s="2360">
        <v>163.5</v>
      </c>
      <c r="V152" s="2360">
        <v>23.95</v>
      </c>
      <c r="W152" s="2360">
        <v>10.9</v>
      </c>
      <c r="X152" s="2360"/>
      <c r="Y152" s="2360">
        <v>1180</v>
      </c>
      <c r="Z152" s="2360"/>
      <c r="AA152" s="2360"/>
    </row>
    <row r="153" spans="1:28" ht="15.75" hidden="1" x14ac:dyDescent="0.25">
      <c r="B153" s="1953" t="s">
        <v>424</v>
      </c>
      <c r="C153" s="2360">
        <v>82744942.670000002</v>
      </c>
      <c r="E153" s="2361">
        <v>2553195.56</v>
      </c>
      <c r="F153" s="2377">
        <f t="shared" si="19"/>
        <v>3.0856212810280746E-2</v>
      </c>
      <c r="H153" s="2361">
        <v>1839838.71</v>
      </c>
      <c r="I153" s="2384"/>
      <c r="J153" s="2361"/>
      <c r="K153" s="2361">
        <v>674.58</v>
      </c>
      <c r="L153" s="2398">
        <v>44395.66</v>
      </c>
      <c r="M153" s="2385"/>
      <c r="N153" s="2385"/>
      <c r="O153" s="2380">
        <v>255319.56</v>
      </c>
      <c r="P153" s="2380">
        <f>1447661.88-9614.85</f>
        <v>1438047.0299999998</v>
      </c>
      <c r="Q153" s="2380">
        <f>436596.44-34780.81</f>
        <v>401815.63</v>
      </c>
      <c r="R153" s="2380">
        <v>298723.88</v>
      </c>
      <c r="S153" s="2380">
        <v>114893.8</v>
      </c>
      <c r="U153" s="2360">
        <v>163.5</v>
      </c>
      <c r="V153" s="2360">
        <v>23.95</v>
      </c>
      <c r="W153" s="2360">
        <v>10.9</v>
      </c>
      <c r="X153" s="2360"/>
      <c r="Y153" s="2360"/>
      <c r="Z153" s="2360"/>
      <c r="AA153" s="2360"/>
    </row>
    <row r="154" spans="1:28" ht="15.75" hidden="1" x14ac:dyDescent="0.25">
      <c r="B154" s="1953" t="s">
        <v>425</v>
      </c>
      <c r="C154" s="2360">
        <v>89016139.950000003</v>
      </c>
      <c r="E154" s="2361">
        <v>2668148.4</v>
      </c>
      <c r="F154" s="2377">
        <f t="shared" si="19"/>
        <v>2.9973759831629272E-2</v>
      </c>
      <c r="H154" s="2361">
        <v>1918091.17</v>
      </c>
      <c r="I154" s="2384"/>
      <c r="J154" s="2361"/>
      <c r="K154" s="2361">
        <v>857.2</v>
      </c>
      <c r="L154" s="2398">
        <v>50978.400000000001</v>
      </c>
      <c r="M154" s="2385"/>
      <c r="N154" s="2385"/>
      <c r="O154" s="2380">
        <v>266814.84000000003</v>
      </c>
      <c r="P154" s="2380">
        <f>1512840.14-13151.55</f>
        <v>1499688.5899999999</v>
      </c>
      <c r="Q154" s="2380">
        <f>456253.38-37826.85</f>
        <v>418426.53</v>
      </c>
      <c r="R154" s="2380">
        <v>312173.36</v>
      </c>
      <c r="S154" s="2380">
        <v>120066.68</v>
      </c>
      <c r="U154" s="2360">
        <v>-163.5</v>
      </c>
      <c r="V154" s="2360">
        <v>23.95</v>
      </c>
      <c r="W154" s="2360">
        <v>10.9</v>
      </c>
      <c r="X154" s="2360"/>
      <c r="Y154" s="2360"/>
      <c r="Z154" s="2360"/>
      <c r="AA154" s="2360"/>
    </row>
    <row r="155" spans="1:28" ht="15.75" hidden="1" x14ac:dyDescent="0.25">
      <c r="B155" s="1953" t="s">
        <v>426</v>
      </c>
      <c r="C155" s="2360">
        <v>90913796.349999994</v>
      </c>
      <c r="E155" s="2361">
        <v>2733058.25</v>
      </c>
      <c r="F155" s="2377">
        <f t="shared" si="19"/>
        <v>3.0062084741003119E-2</v>
      </c>
      <c r="H155" s="2361">
        <v>1951975.26</v>
      </c>
      <c r="I155" s="2384"/>
      <c r="J155" s="2361"/>
      <c r="K155" s="2361">
        <v>674.58</v>
      </c>
      <c r="L155" s="2389">
        <v>61776.77</v>
      </c>
      <c r="M155" s="2385"/>
      <c r="N155" s="2385"/>
      <c r="O155" s="2380">
        <v>273305.83</v>
      </c>
      <c r="P155" s="2380">
        <f>1549644.02-14096.61</f>
        <v>1535547.41</v>
      </c>
      <c r="Q155" s="2380">
        <f>467352.96-47680.16</f>
        <v>419672.80000000005</v>
      </c>
      <c r="R155" s="2380">
        <v>319767.82</v>
      </c>
      <c r="S155" s="2380">
        <v>122987.62</v>
      </c>
      <c r="U155" s="2360">
        <v>0</v>
      </c>
      <c r="V155" s="2360">
        <v>23.95</v>
      </c>
      <c r="W155" s="2360">
        <v>10.9</v>
      </c>
      <c r="X155" s="2360"/>
      <c r="Y155" s="2360">
        <v>3221</v>
      </c>
      <c r="Z155" s="2360"/>
      <c r="AA155" s="2360"/>
    </row>
    <row r="156" spans="1:28" ht="15.75" hidden="1" x14ac:dyDescent="0.25">
      <c r="B156" s="1953" t="s">
        <v>416</v>
      </c>
      <c r="C156" s="2360">
        <v>82875046.219999999</v>
      </c>
      <c r="E156" s="2361">
        <v>2492435.92</v>
      </c>
      <c r="F156" s="2377">
        <f t="shared" si="19"/>
        <v>3.0074624795786931E-2</v>
      </c>
      <c r="H156" s="2361">
        <v>1776297.23</v>
      </c>
      <c r="I156" s="2384"/>
      <c r="J156" s="2361"/>
      <c r="K156" s="2361">
        <v>751.92</v>
      </c>
      <c r="L156" s="2389">
        <v>63096.53</v>
      </c>
      <c r="M156" s="2385"/>
      <c r="N156" s="2385"/>
      <c r="O156" s="2380">
        <f>249243.59</f>
        <v>249243.59</v>
      </c>
      <c r="P156" s="2380">
        <f>1413211.17-15594.59</f>
        <v>1397616.5799999998</v>
      </c>
      <c r="Q156" s="2380">
        <f>426206.54-47501.94</f>
        <v>378704.6</v>
      </c>
      <c r="R156" s="2380">
        <v>291615</v>
      </c>
      <c r="S156" s="2380">
        <v>112159.62</v>
      </c>
      <c r="U156" s="2360">
        <v>172.42</v>
      </c>
      <c r="V156" s="2360">
        <v>23.95</v>
      </c>
      <c r="W156" s="2360">
        <v>10.9</v>
      </c>
      <c r="X156" s="2360"/>
      <c r="Y156" s="2360"/>
      <c r="Z156" s="2360"/>
      <c r="AA156" s="2360"/>
      <c r="AB156" s="2360">
        <f>10935+10935+10935</f>
        <v>32805</v>
      </c>
    </row>
    <row r="157" spans="1:28" ht="15.75" hidden="1" x14ac:dyDescent="0.25">
      <c r="B157" s="1953" t="s">
        <v>417</v>
      </c>
      <c r="C157" s="2360">
        <v>90792602.019999996</v>
      </c>
      <c r="E157" s="2361">
        <v>2787115.52</v>
      </c>
      <c r="F157" s="2377">
        <f t="shared" si="19"/>
        <v>3.0697605950163739E-2</v>
      </c>
      <c r="H157" s="2361">
        <v>1997329.73</v>
      </c>
      <c r="I157" s="2384"/>
      <c r="J157" s="2361"/>
      <c r="K157" s="2361">
        <v>552.84</v>
      </c>
      <c r="L157" s="2389">
        <v>59537.57</v>
      </c>
      <c r="M157" s="2385"/>
      <c r="N157" s="2385"/>
      <c r="O157" s="2380">
        <v>278711.55</v>
      </c>
      <c r="P157" s="2380">
        <f>1580294.5-14510.55</f>
        <v>1565783.95</v>
      </c>
      <c r="Q157" s="2380">
        <f>476596.75-45027.02</f>
        <v>431569.73</v>
      </c>
      <c r="R157" s="2380">
        <v>326092.52</v>
      </c>
      <c r="S157" s="2380">
        <v>125420.2</v>
      </c>
      <c r="U157" s="2360">
        <v>172.42</v>
      </c>
      <c r="V157" s="2360">
        <v>23.95</v>
      </c>
      <c r="W157" s="2360">
        <v>10.9</v>
      </c>
      <c r="X157" s="2360"/>
      <c r="Y157" s="2360"/>
      <c r="Z157" s="2360"/>
      <c r="AA157" s="2360"/>
      <c r="AB157" s="2360"/>
    </row>
    <row r="158" spans="1:28" ht="15.75" hidden="1" x14ac:dyDescent="0.25">
      <c r="B158" s="1953" t="s">
        <v>418</v>
      </c>
      <c r="C158" s="2360">
        <v>111828809.08</v>
      </c>
      <c r="E158" s="2361">
        <v>3379097.66</v>
      </c>
      <c r="F158" s="2377">
        <f t="shared" si="19"/>
        <v>3.0216700757160566E-2</v>
      </c>
      <c r="H158" s="2361">
        <v>2437528.41</v>
      </c>
      <c r="I158" s="2384"/>
      <c r="J158" s="2361"/>
      <c r="K158" s="2361">
        <v>751.92</v>
      </c>
      <c r="L158" s="2389">
        <v>56221.71</v>
      </c>
      <c r="M158" s="2385"/>
      <c r="N158" s="2385"/>
      <c r="O158" s="2380">
        <v>337909.77</v>
      </c>
      <c r="P158" s="2380">
        <f>1915948.37-14000.33</f>
        <v>1901948.04</v>
      </c>
      <c r="Q158" s="2380">
        <f>577825.7-42221.38</f>
        <v>535604.31999999995</v>
      </c>
      <c r="R158" s="2380">
        <v>395354.43</v>
      </c>
      <c r="S158" s="2380">
        <v>152059.39000000001</v>
      </c>
      <c r="U158" s="2360">
        <v>172.42</v>
      </c>
      <c r="V158" s="2360">
        <v>23.95</v>
      </c>
      <c r="W158" s="2360">
        <v>10.9</v>
      </c>
      <c r="X158" s="2360"/>
      <c r="Y158" s="2360"/>
      <c r="Z158" s="2360"/>
      <c r="AA158" s="2360"/>
      <c r="AB158" s="2360">
        <f>10935+10935+10935</f>
        <v>32805</v>
      </c>
    </row>
    <row r="159" spans="1:28" ht="15.75" hidden="1" x14ac:dyDescent="0.25">
      <c r="C159" s="2390"/>
      <c r="E159" s="2384"/>
      <c r="F159" s="2391"/>
      <c r="H159" s="2384"/>
      <c r="I159" s="2384"/>
      <c r="J159" s="2384"/>
      <c r="K159" s="2384"/>
      <c r="L159" s="2384"/>
      <c r="M159" s="2385"/>
      <c r="N159" s="2385"/>
      <c r="O159" s="2384"/>
      <c r="P159" s="2384"/>
      <c r="Q159" s="2384"/>
      <c r="R159" s="2384"/>
      <c r="S159" s="2384"/>
      <c r="U159" s="2384"/>
      <c r="V159" s="2384"/>
      <c r="W159" s="2384"/>
      <c r="X159" s="2385"/>
      <c r="Y159" s="2384"/>
      <c r="Z159" s="2384"/>
      <c r="AA159" s="2384"/>
      <c r="AB159" s="2384"/>
    </row>
    <row r="160" spans="1:28" ht="16.5" hidden="1" thickBot="1" x14ac:dyDescent="0.3">
      <c r="B160" s="1953">
        <v>2011</v>
      </c>
      <c r="C160" s="2381">
        <f>SUM(C146:C159)</f>
        <v>1136793517.51</v>
      </c>
      <c r="E160" s="2382">
        <f>SUM(E146:E159)</f>
        <v>33789817.209999993</v>
      </c>
      <c r="F160" s="2383">
        <f>+E160/C160</f>
        <v>2.9723794769706501E-2</v>
      </c>
      <c r="H160" s="2382">
        <f>SUM(H146:H159)</f>
        <v>23626999.219999999</v>
      </c>
      <c r="I160" s="2384"/>
      <c r="J160" s="2382">
        <f>SUM(J146:J159)</f>
        <v>131</v>
      </c>
      <c r="K160" s="2382">
        <f>SUM(K146:K159)</f>
        <v>8598.4</v>
      </c>
      <c r="L160" s="2382">
        <f>SUM(L146:L159)</f>
        <v>590374.65999999992</v>
      </c>
      <c r="M160" s="2385">
        <f>+K160/(E160+K160+J160+L160)</f>
        <v>2.5003401335246366E-4</v>
      </c>
      <c r="N160" s="2385"/>
      <c r="O160" s="2382">
        <f>SUM(O146:O159)</f>
        <v>3684463.8099999996</v>
      </c>
      <c r="P160" s="2382">
        <f>SUM(P146:P159)</f>
        <v>19029162.029999997</v>
      </c>
      <c r="Q160" s="2382">
        <f>SUM(Q146:Q159)</f>
        <v>5405107.629999999</v>
      </c>
      <c r="R160" s="2382">
        <f>SUM(R146:R159)</f>
        <v>4310822.66</v>
      </c>
      <c r="S160" s="2382">
        <f>SUM(S146:S159)</f>
        <v>1658008.71</v>
      </c>
      <c r="U160" s="2382">
        <f>SUM(U146:U159)</f>
        <v>1498.2600000000002</v>
      </c>
      <c r="V160" s="2382">
        <f>SUM(V146:V159)</f>
        <v>287.39999999999992</v>
      </c>
      <c r="W160" s="2382">
        <f>SUM(W146:W159)</f>
        <v>130.80000000000004</v>
      </c>
      <c r="X160" s="2386">
        <f>SUM(U160:W160)/(E160+J160+K160)</f>
        <v>5.6702438188066229E-5</v>
      </c>
      <c r="Y160" s="2382">
        <f>SUM(Y146:Y159)</f>
        <v>6620</v>
      </c>
      <c r="Z160" s="2382">
        <f t="shared" ref="Z160:AA160" si="20">SUM(Z146:Z159)</f>
        <v>0</v>
      </c>
      <c r="AA160" s="2382">
        <f t="shared" si="20"/>
        <v>0</v>
      </c>
      <c r="AB160" s="2382">
        <f>SUM(AB146:AB159)</f>
        <v>65610</v>
      </c>
    </row>
    <row r="161" spans="1:28" ht="15.75" hidden="1" x14ac:dyDescent="0.25">
      <c r="C161" s="2390"/>
      <c r="E161" s="2384"/>
      <c r="F161" s="2391"/>
      <c r="H161" s="2384"/>
      <c r="I161" s="2384"/>
      <c r="J161" s="2384"/>
      <c r="K161" s="2384"/>
      <c r="L161" s="2384"/>
      <c r="M161" s="2385"/>
      <c r="N161" s="2385"/>
      <c r="O161" s="2384"/>
      <c r="P161" s="2384"/>
      <c r="Q161" s="2384"/>
      <c r="R161" s="2384"/>
      <c r="S161" s="2384"/>
      <c r="U161" s="2384"/>
      <c r="V161" s="2384"/>
      <c r="W161" s="2384"/>
      <c r="X161" s="2385"/>
      <c r="Y161" s="2384"/>
      <c r="Z161" s="2384"/>
      <c r="AA161" s="2384"/>
      <c r="AB161" s="2360"/>
    </row>
    <row r="162" spans="1:28" ht="15.75" hidden="1" x14ac:dyDescent="0.25">
      <c r="A162" s="1953">
        <v>2012</v>
      </c>
      <c r="B162" s="1953" t="s">
        <v>419</v>
      </c>
      <c r="C162" s="2375">
        <v>120401385.3</v>
      </c>
      <c r="E162" s="2384">
        <v>3518562.2</v>
      </c>
      <c r="F162" s="2377">
        <f t="shared" ref="F162:F173" si="21">+E162/C162</f>
        <v>2.9223602296874904E-2</v>
      </c>
      <c r="H162" s="2384">
        <v>2545665.94</v>
      </c>
      <c r="I162" s="2384"/>
      <c r="J162" s="2376"/>
      <c r="K162" s="2376">
        <v>668.52</v>
      </c>
      <c r="L162" s="2384">
        <v>51009.01</v>
      </c>
      <c r="M162" s="2385"/>
      <c r="N162" s="2385"/>
      <c r="O162" s="2393">
        <v>351856.22</v>
      </c>
      <c r="P162" s="2393">
        <f>1995024.76-11392.84</f>
        <v>1983631.92</v>
      </c>
      <c r="Q162" s="2393">
        <f>601674.14-39616.17</f>
        <v>562057.97</v>
      </c>
      <c r="R162" s="2393">
        <v>411671.78</v>
      </c>
      <c r="S162" s="2393">
        <v>158335.29999999999</v>
      </c>
      <c r="U162" s="2393">
        <v>172.42</v>
      </c>
      <c r="V162" s="2393">
        <v>23.95</v>
      </c>
      <c r="W162" s="2393">
        <v>10.9</v>
      </c>
      <c r="X162" s="2360"/>
      <c r="Y162" s="2393"/>
      <c r="Z162" s="2393"/>
      <c r="AA162" s="2393"/>
      <c r="AB162" s="2360">
        <v>10935</v>
      </c>
    </row>
    <row r="163" spans="1:28" ht="15.75" hidden="1" x14ac:dyDescent="0.25">
      <c r="B163" s="1953" t="s">
        <v>420</v>
      </c>
      <c r="C163" s="2360">
        <v>107033525.8</v>
      </c>
      <c r="E163" s="2361">
        <v>3163805.87</v>
      </c>
      <c r="F163" s="2377">
        <f t="shared" si="21"/>
        <v>2.95590175727912E-2</v>
      </c>
      <c r="H163" s="2361">
        <v>2276684.19</v>
      </c>
      <c r="I163" s="2384"/>
      <c r="J163" s="2361"/>
      <c r="K163" s="2361">
        <v>941.42</v>
      </c>
      <c r="L163" s="2389">
        <v>50081.59</v>
      </c>
      <c r="M163" s="2385"/>
      <c r="N163" s="2385"/>
      <c r="O163" s="2380">
        <v>316380.59000000003</v>
      </c>
      <c r="P163" s="2380">
        <f>1793877.93-11587.5</f>
        <v>1782290.43</v>
      </c>
      <c r="Q163" s="2380">
        <f>541010.8-38494.09</f>
        <v>502516.71000000008</v>
      </c>
      <c r="R163" s="2380">
        <v>370165.29</v>
      </c>
      <c r="S163" s="2380">
        <v>142371.26</v>
      </c>
      <c r="U163" s="2360">
        <v>172.42</v>
      </c>
      <c r="V163" s="2360">
        <v>23.95</v>
      </c>
      <c r="W163" s="2360">
        <v>10.9</v>
      </c>
      <c r="X163" s="2360"/>
      <c r="Y163" s="2360">
        <f>4131+3968</f>
        <v>8099</v>
      </c>
      <c r="Z163" s="2360"/>
      <c r="AA163" s="2360"/>
      <c r="AB163" s="2360">
        <v>10935</v>
      </c>
    </row>
    <row r="164" spans="1:28" ht="15.75" hidden="1" x14ac:dyDescent="0.25">
      <c r="B164" s="1953" t="s">
        <v>421</v>
      </c>
      <c r="C164" s="2360">
        <v>105596823.51000001</v>
      </c>
      <c r="E164" s="2361">
        <v>3075620.81</v>
      </c>
      <c r="F164" s="2377">
        <f t="shared" si="21"/>
        <v>2.9126073188259674E-2</v>
      </c>
      <c r="H164" s="2361">
        <v>2219527.21</v>
      </c>
      <c r="I164" s="2384"/>
      <c r="J164" s="2361"/>
      <c r="K164" s="2361">
        <v>1459.76</v>
      </c>
      <c r="L164" s="2389">
        <v>50257</v>
      </c>
      <c r="M164" s="2385"/>
      <c r="N164" s="2385"/>
      <c r="O164" s="2380">
        <v>307562.08</v>
      </c>
      <c r="P164" s="2380">
        <f>1743877-10277.07</f>
        <v>1733599.93</v>
      </c>
      <c r="Q164" s="2380">
        <f>525931.16-39979.93</f>
        <v>485951.23000000004</v>
      </c>
      <c r="R164" s="2380">
        <v>359847.63</v>
      </c>
      <c r="S164" s="2380">
        <v>138402.94</v>
      </c>
      <c r="U164" s="2360">
        <v>172.42</v>
      </c>
      <c r="V164" s="2360">
        <v>23.95</v>
      </c>
      <c r="W164" s="2360">
        <v>10.9</v>
      </c>
      <c r="X164" s="2360"/>
      <c r="Y164" s="2360"/>
      <c r="Z164" s="2360"/>
      <c r="AA164" s="2360"/>
      <c r="AB164" s="2360">
        <v>10935</v>
      </c>
    </row>
    <row r="165" spans="1:28" ht="15.75" hidden="1" x14ac:dyDescent="0.25">
      <c r="A165" s="2397"/>
      <c r="B165" s="1953" t="s">
        <v>422</v>
      </c>
      <c r="C165" s="2360">
        <v>98943126.510000005</v>
      </c>
      <c r="E165" s="2361">
        <v>2925201.45</v>
      </c>
      <c r="F165" s="2377">
        <f t="shared" si="21"/>
        <v>2.9564473583764864E-2</v>
      </c>
      <c r="H165" s="2361">
        <v>2110335.88</v>
      </c>
      <c r="I165" s="2384"/>
      <c r="J165" s="2361"/>
      <c r="K165" s="2361">
        <v>620.89</v>
      </c>
      <c r="L165" s="2389">
        <v>48438.83</v>
      </c>
      <c r="M165" s="2385"/>
      <c r="N165" s="2385"/>
      <c r="O165" s="2380">
        <v>292520.15000000002</v>
      </c>
      <c r="P165" s="2380">
        <f>1658589.21-10035.58</f>
        <v>1648553.63</v>
      </c>
      <c r="Q165" s="2380">
        <f>500209.45-38403.25</f>
        <v>461806.2</v>
      </c>
      <c r="R165" s="2380">
        <v>342248.57</v>
      </c>
      <c r="S165" s="2380">
        <v>131634.07</v>
      </c>
      <c r="U165" s="2360">
        <v>172.42</v>
      </c>
      <c r="V165" s="2360">
        <v>23.95</v>
      </c>
      <c r="W165" s="2360">
        <v>10.9</v>
      </c>
      <c r="X165" s="2360"/>
      <c r="Y165" s="2360"/>
      <c r="Z165" s="2360"/>
      <c r="AA165" s="2360"/>
      <c r="AB165" s="2360">
        <v>10935</v>
      </c>
    </row>
    <row r="166" spans="1:28" ht="15.75" hidden="1" x14ac:dyDescent="0.25">
      <c r="B166" s="1953" t="s">
        <v>285</v>
      </c>
      <c r="C166" s="2360">
        <v>87828370.109999999</v>
      </c>
      <c r="E166" s="2361">
        <v>2582979.5890000002</v>
      </c>
      <c r="F166" s="2377">
        <f t="shared" si="21"/>
        <v>2.9409399101508617E-2</v>
      </c>
      <c r="H166" s="2361">
        <v>1854753.3</v>
      </c>
      <c r="I166" s="2384"/>
      <c r="J166" s="2361"/>
      <c r="K166" s="2361">
        <v>743.61</v>
      </c>
      <c r="L166" s="2389">
        <v>51461.69</v>
      </c>
      <c r="M166" s="2385"/>
      <c r="N166" s="2385"/>
      <c r="O166" s="2380">
        <v>258297.96</v>
      </c>
      <c r="P166" s="2380">
        <f>1464549.43-10034.54</f>
        <v>1454514.89</v>
      </c>
      <c r="Q166" s="2380">
        <f>441689.51-41427.15</f>
        <v>400262.36</v>
      </c>
      <c r="R166" s="2380">
        <v>302208.61</v>
      </c>
      <c r="S166" s="2380">
        <v>116234.08</v>
      </c>
      <c r="U166" s="2360">
        <v>172.42</v>
      </c>
      <c r="V166" s="2360">
        <v>23.95</v>
      </c>
      <c r="W166" s="2360">
        <v>10.9</v>
      </c>
      <c r="X166" s="2360"/>
      <c r="Y166" s="2360"/>
      <c r="Z166" s="2360"/>
      <c r="AA166" s="2360"/>
      <c r="AB166" s="2360">
        <v>10935</v>
      </c>
    </row>
    <row r="167" spans="1:28" ht="15.75" hidden="1" x14ac:dyDescent="0.25">
      <c r="B167" s="1953" t="s">
        <v>423</v>
      </c>
      <c r="C167" s="2360">
        <v>89364818.120000005</v>
      </c>
      <c r="E167" s="2361">
        <v>2612801.88</v>
      </c>
      <c r="F167" s="2377">
        <f t="shared" si="21"/>
        <v>2.9237477734151515E-2</v>
      </c>
      <c r="H167" s="2361">
        <v>1878276.93</v>
      </c>
      <c r="I167" s="2384"/>
      <c r="J167" s="2361"/>
      <c r="K167" s="2361">
        <v>743.61</v>
      </c>
      <c r="L167" s="2398">
        <v>49946.91</v>
      </c>
      <c r="M167" s="2385"/>
      <c r="N167" s="2385"/>
      <c r="O167" s="2380">
        <v>261280.19</v>
      </c>
      <c r="P167" s="2380">
        <f>1481458.67-10939.81</f>
        <v>1470518.8599999999</v>
      </c>
      <c r="Q167" s="2380">
        <f>446789.12-39007.1</f>
        <v>407782.02</v>
      </c>
      <c r="R167" s="2380">
        <v>305697.82</v>
      </c>
      <c r="S167" s="2380">
        <v>117576.08</v>
      </c>
      <c r="U167" s="2360">
        <v>172.42</v>
      </c>
      <c r="V167" s="2360">
        <v>23.95</v>
      </c>
      <c r="W167" s="2360">
        <v>10.9</v>
      </c>
      <c r="X167" s="2360"/>
      <c r="Y167" s="2360"/>
      <c r="Z167" s="2360"/>
      <c r="AA167" s="2360"/>
      <c r="AB167" s="2360">
        <v>10935</v>
      </c>
    </row>
    <row r="168" spans="1:28" ht="15.75" hidden="1" x14ac:dyDescent="0.25">
      <c r="B168" s="1953" t="s">
        <v>424</v>
      </c>
      <c r="C168" s="2360">
        <v>91843227.5</v>
      </c>
      <c r="E168" s="2361">
        <v>2658596.2999999998</v>
      </c>
      <c r="F168" s="2377">
        <f t="shared" si="21"/>
        <v>2.894711316629198E-2</v>
      </c>
      <c r="H168" s="2361">
        <v>1918689.11</v>
      </c>
      <c r="I168" s="2384"/>
      <c r="J168" s="2361"/>
      <c r="K168" s="2361">
        <v>743.61</v>
      </c>
      <c r="L168" s="2398">
        <v>43331.01</v>
      </c>
      <c r="M168" s="2385"/>
      <c r="N168" s="2385"/>
      <c r="O168" s="2380">
        <v>265859.63</v>
      </c>
      <c r="P168" s="2380">
        <f>1507424.1-10981.4</f>
        <v>1496442.7000000002</v>
      </c>
      <c r="Q168" s="2380">
        <f>454619.97-32349.61</f>
        <v>422270.36</v>
      </c>
      <c r="R168" s="2380">
        <v>311055.77</v>
      </c>
      <c r="S168" s="2380">
        <v>119636.83</v>
      </c>
      <c r="U168" s="2360">
        <v>172.42</v>
      </c>
      <c r="V168" s="2360">
        <v>23.95</v>
      </c>
      <c r="W168" s="2360">
        <v>10.9</v>
      </c>
      <c r="X168" s="2360"/>
      <c r="Y168" s="2360"/>
      <c r="Z168" s="2360"/>
      <c r="AA168" s="2360"/>
      <c r="AB168" s="2360">
        <v>10935</v>
      </c>
    </row>
    <row r="169" spans="1:28" ht="15.75" hidden="1" x14ac:dyDescent="0.25">
      <c r="B169" s="1953" t="s">
        <v>425</v>
      </c>
      <c r="C169" s="2360">
        <v>98618676.489999995</v>
      </c>
      <c r="E169" s="2361">
        <v>2856841.78</v>
      </c>
      <c r="F169" s="2377">
        <f t="shared" si="21"/>
        <v>2.8968567432454701E-2</v>
      </c>
      <c r="H169" s="2361">
        <v>2058494.85</v>
      </c>
      <c r="I169" s="2384"/>
      <c r="J169" s="2361"/>
      <c r="K169" s="2361">
        <v>706.07</v>
      </c>
      <c r="L169" s="2398">
        <f>11593.83+28571.6</f>
        <v>40165.43</v>
      </c>
      <c r="M169" s="2385"/>
      <c r="N169" s="2385"/>
      <c r="O169" s="2380">
        <v>285684.18</v>
      </c>
      <c r="P169" s="2380">
        <f>1619829.29-11593.83</f>
        <v>1608235.46</v>
      </c>
      <c r="Q169" s="2380">
        <f>488519.94-28571.6</f>
        <v>459948.34</v>
      </c>
      <c r="R169" s="2380">
        <v>334250.49</v>
      </c>
      <c r="S169" s="2380">
        <v>128557.88</v>
      </c>
      <c r="U169" s="2360">
        <v>172.42</v>
      </c>
      <c r="V169" s="2360">
        <v>23.95</v>
      </c>
      <c r="W169" s="2360">
        <v>10.9</v>
      </c>
      <c r="X169" s="2360"/>
      <c r="Y169" s="2360">
        <f>5157+4508</f>
        <v>9665</v>
      </c>
      <c r="Z169" s="2360"/>
      <c r="AA169" s="2360"/>
      <c r="AB169" s="2360">
        <v>10935</v>
      </c>
    </row>
    <row r="170" spans="1:28" ht="15.75" hidden="1" x14ac:dyDescent="0.25">
      <c r="B170" s="1953" t="s">
        <v>426</v>
      </c>
      <c r="C170" s="2360">
        <v>95708157.359999999</v>
      </c>
      <c r="E170" s="2361">
        <v>2775823.22</v>
      </c>
      <c r="F170" s="2377">
        <f t="shared" si="21"/>
        <v>2.9002995111053302E-2</v>
      </c>
      <c r="H170" s="2361">
        <v>1999400.16</v>
      </c>
      <c r="I170" s="2384"/>
      <c r="J170" s="2361"/>
      <c r="K170" s="2361">
        <v>953.9</v>
      </c>
      <c r="L170" s="2389">
        <f>13899.15+35234.28</f>
        <v>49133.43</v>
      </c>
      <c r="M170" s="2385"/>
      <c r="N170" s="2385"/>
      <c r="O170" s="2380">
        <v>277582.32</v>
      </c>
      <c r="P170" s="2380">
        <f>1573891.77-13899.15</f>
        <v>1559992.62</v>
      </c>
      <c r="Q170" s="2380">
        <f>474665.77-35234.28</f>
        <v>439431.49</v>
      </c>
      <c r="R170" s="2380">
        <v>324771.32</v>
      </c>
      <c r="S170" s="2380">
        <v>124912.04</v>
      </c>
      <c r="U170" s="2360">
        <v>172.42</v>
      </c>
      <c r="V170" s="2360">
        <v>23.95</v>
      </c>
      <c r="W170" s="2360">
        <v>10.9</v>
      </c>
      <c r="X170" s="2360"/>
      <c r="Y170" s="2360"/>
      <c r="Z170" s="2360"/>
      <c r="AA170" s="2360"/>
      <c r="AB170" s="2360">
        <v>10935</v>
      </c>
    </row>
    <row r="171" spans="1:28" ht="15.75" hidden="1" x14ac:dyDescent="0.25">
      <c r="B171" s="1953" t="s">
        <v>416</v>
      </c>
      <c r="C171" s="2360">
        <v>88339190.109999999</v>
      </c>
      <c r="E171" s="2361">
        <v>2564321.54</v>
      </c>
      <c r="F171" s="2377">
        <f t="shared" si="21"/>
        <v>2.9028130513839959E-2</v>
      </c>
      <c r="H171" s="2361">
        <v>1846953.09</v>
      </c>
      <c r="I171" s="2384"/>
      <c r="J171" s="2361"/>
      <c r="K171" s="2361">
        <v>1071.18</v>
      </c>
      <c r="L171" s="2389">
        <f>15435.84+30056.42</f>
        <v>45492.259999999995</v>
      </c>
      <c r="M171" s="2385"/>
      <c r="N171" s="2385"/>
      <c r="O171" s="2380">
        <v>256432.15</v>
      </c>
      <c r="P171" s="2380">
        <f>1453970.32-15435.84</f>
        <v>1438534.48</v>
      </c>
      <c r="Q171" s="2380">
        <f>438498.98-30056.42</f>
        <v>408442.56</v>
      </c>
      <c r="R171" s="2380">
        <v>300025.62</v>
      </c>
      <c r="S171" s="2380">
        <v>115394.47</v>
      </c>
      <c r="U171" s="2360">
        <v>172.42</v>
      </c>
      <c r="V171" s="2360">
        <v>23.95</v>
      </c>
      <c r="W171" s="2360">
        <v>10.9</v>
      </c>
      <c r="X171" s="2360"/>
      <c r="Y171" s="2360"/>
      <c r="Z171" s="2360"/>
      <c r="AA171" s="2360"/>
      <c r="AB171" s="2360">
        <v>10935</v>
      </c>
    </row>
    <row r="172" spans="1:28" ht="15.75" hidden="1" x14ac:dyDescent="0.25">
      <c r="B172" s="1953" t="s">
        <v>417</v>
      </c>
      <c r="C172" s="2360">
        <v>95146287.329999998</v>
      </c>
      <c r="E172" s="2361">
        <v>2806551.73</v>
      </c>
      <c r="F172" s="2377">
        <f t="shared" si="21"/>
        <v>2.9497227992364167E-2</v>
      </c>
      <c r="H172" s="2361">
        <v>2021730.07</v>
      </c>
      <c r="I172" s="2384"/>
      <c r="J172" s="2361"/>
      <c r="K172" s="2361">
        <v>1367.49</v>
      </c>
      <c r="L172" s="2389">
        <f>14107.48+35373.68</f>
        <v>49481.16</v>
      </c>
      <c r="M172" s="2385"/>
      <c r="N172" s="2385"/>
      <c r="O172" s="2380">
        <v>280655.17</v>
      </c>
      <c r="P172" s="2380">
        <f>1591314.83-14107.48</f>
        <v>1577207.35</v>
      </c>
      <c r="Q172" s="2380">
        <f>479920.35-35373.68</f>
        <v>444546.67</v>
      </c>
      <c r="R172" s="2380">
        <v>328366.55</v>
      </c>
      <c r="S172" s="2380">
        <v>126294.83</v>
      </c>
      <c r="U172" s="2360">
        <v>172.42</v>
      </c>
      <c r="V172" s="2360">
        <v>23.95</v>
      </c>
      <c r="W172" s="2360">
        <v>10.9</v>
      </c>
      <c r="X172" s="2360"/>
      <c r="Y172" s="2360"/>
      <c r="Z172" s="2360"/>
      <c r="AA172" s="2360"/>
      <c r="AB172" s="2360">
        <v>10935</v>
      </c>
    </row>
    <row r="173" spans="1:28" ht="15.75" hidden="1" x14ac:dyDescent="0.25">
      <c r="B173" s="1953" t="s">
        <v>418</v>
      </c>
      <c r="C173" s="2360">
        <v>91846135.049999997</v>
      </c>
      <c r="E173" s="2361">
        <v>3177273.79</v>
      </c>
      <c r="F173" s="2377">
        <f t="shared" si="21"/>
        <v>3.4593440303942326E-2</v>
      </c>
      <c r="H173" s="2361">
        <v>2296513.92</v>
      </c>
      <c r="I173" s="2384"/>
      <c r="J173" s="2361"/>
      <c r="K173" s="2361">
        <v>1020.03</v>
      </c>
      <c r="L173" s="2389">
        <f>13977.52+34312.67</f>
        <v>48290.19</v>
      </c>
      <c r="M173" s="2385"/>
      <c r="N173" s="2385"/>
      <c r="O173" s="2380">
        <v>317727.38</v>
      </c>
      <c r="P173" s="2380">
        <f>1801514.24-13977.52</f>
        <v>1787536.72</v>
      </c>
      <c r="Q173" s="2380">
        <f>543313.82-34312.67</f>
        <v>509001.14999999997</v>
      </c>
      <c r="R173" s="2380">
        <v>371741.03</v>
      </c>
      <c r="S173" s="2380">
        <v>142977.32</v>
      </c>
      <c r="U173" s="2360">
        <v>172.42</v>
      </c>
      <c r="V173" s="2360">
        <v>23.95</v>
      </c>
      <c r="W173" s="2360">
        <v>10.9</v>
      </c>
      <c r="X173" s="2360"/>
      <c r="Y173" s="2360"/>
      <c r="Z173" s="2360"/>
      <c r="AA173" s="2360"/>
      <c r="AB173" s="2360">
        <v>10935</v>
      </c>
    </row>
    <row r="174" spans="1:28" ht="15.75" hidden="1" x14ac:dyDescent="0.25">
      <c r="C174" s="2390"/>
      <c r="E174" s="2384"/>
      <c r="F174" s="2391"/>
      <c r="H174" s="2384"/>
      <c r="I174" s="2384"/>
      <c r="J174" s="2384"/>
      <c r="K174" s="2384"/>
      <c r="L174" s="2384"/>
      <c r="M174" s="2385"/>
      <c r="N174" s="2385"/>
      <c r="O174" s="2384"/>
      <c r="P174" s="2384"/>
      <c r="Q174" s="2384"/>
      <c r="R174" s="2384"/>
      <c r="S174" s="2384"/>
      <c r="U174" s="2384"/>
      <c r="V174" s="2384"/>
      <c r="W174" s="2384"/>
      <c r="X174" s="2385"/>
      <c r="Y174" s="2384"/>
      <c r="Z174" s="2384"/>
      <c r="AA174" s="2384"/>
      <c r="AB174" s="2384"/>
    </row>
    <row r="175" spans="1:28" ht="16.5" hidden="1" thickBot="1" x14ac:dyDescent="0.3">
      <c r="B175" s="1953">
        <v>2012</v>
      </c>
      <c r="C175" s="2381">
        <f>SUM(C162:C174)</f>
        <v>1170669723.1900001</v>
      </c>
      <c r="E175" s="2382">
        <f>SUM(E162:E174)</f>
        <v>34718380.159000002</v>
      </c>
      <c r="F175" s="2383">
        <f>+E175/C175</f>
        <v>2.9656853227906704E-2</v>
      </c>
      <c r="H175" s="2382">
        <f>SUM(H162:H174)</f>
        <v>25027024.649999999</v>
      </c>
      <c r="I175" s="2384"/>
      <c r="J175" s="2382">
        <f>SUM(J162:J174)</f>
        <v>0</v>
      </c>
      <c r="K175" s="2382">
        <f>SUM(K162:K174)</f>
        <v>11040.089999999998</v>
      </c>
      <c r="L175" s="2382">
        <f>SUM(L162:L174)</f>
        <v>577088.51</v>
      </c>
      <c r="M175" s="2385">
        <f>+K175/(E175+K175+J175+L175)</f>
        <v>3.1269276935193323E-4</v>
      </c>
      <c r="N175" s="2385"/>
      <c r="O175" s="2382">
        <f>SUM(O162:O174)</f>
        <v>3471838.0199999996</v>
      </c>
      <c r="P175" s="2382">
        <f>SUM(P162:P174)</f>
        <v>19541058.990000002</v>
      </c>
      <c r="Q175" s="2382">
        <f>SUM(Q162:Q174)</f>
        <v>5504017.0599999996</v>
      </c>
      <c r="R175" s="2382">
        <f>SUM(R162:R174)</f>
        <v>4062050.4800000004</v>
      </c>
      <c r="S175" s="2382">
        <f>SUM(S162:S174)</f>
        <v>1562327.1</v>
      </c>
      <c r="U175" s="2382">
        <f>SUM(U162:U174)</f>
        <v>2069.0400000000004</v>
      </c>
      <c r="V175" s="2382">
        <f>SUM(V162:V174)</f>
        <v>287.39999999999992</v>
      </c>
      <c r="W175" s="2382">
        <f>SUM(W162:W174)</f>
        <v>130.80000000000004</v>
      </c>
      <c r="X175" s="2386">
        <f>SUM(U175:W175)/(E175+J175+K175)</f>
        <v>7.1617665430842253E-5</v>
      </c>
      <c r="Y175" s="2382">
        <f>SUM(Y162:Y174)</f>
        <v>17764</v>
      </c>
      <c r="Z175" s="2382">
        <f t="shared" ref="Z175:AA175" si="22">SUM(Z162:Z174)</f>
        <v>0</v>
      </c>
      <c r="AA175" s="2382">
        <f t="shared" si="22"/>
        <v>0</v>
      </c>
      <c r="AB175" s="2382">
        <f>SUM(AB162:AB174)</f>
        <v>131220</v>
      </c>
    </row>
    <row r="176" spans="1:28" ht="15.75" hidden="1" x14ac:dyDescent="0.25">
      <c r="C176" s="2390"/>
      <c r="E176" s="2384"/>
      <c r="F176" s="2391"/>
      <c r="H176" s="2384"/>
      <c r="I176" s="2384"/>
      <c r="J176" s="2384"/>
      <c r="K176" s="2384"/>
      <c r="L176" s="2384"/>
      <c r="M176" s="2385"/>
      <c r="N176" s="2385"/>
      <c r="O176" s="2384"/>
      <c r="P176" s="2384"/>
      <c r="Q176" s="2384"/>
      <c r="R176" s="2384"/>
      <c r="S176" s="2384"/>
      <c r="U176" s="2384"/>
      <c r="V176" s="2384"/>
      <c r="W176" s="2384"/>
      <c r="X176" s="2385"/>
      <c r="Y176" s="2384"/>
      <c r="Z176" s="2384"/>
      <c r="AA176" s="2384"/>
    </row>
    <row r="177" spans="1:28" ht="15.75" hidden="1" x14ac:dyDescent="0.25">
      <c r="A177" s="1953">
        <v>2013</v>
      </c>
      <c r="B177" s="1953" t="s">
        <v>419</v>
      </c>
      <c r="C177" s="2375">
        <v>127093940.20999999</v>
      </c>
      <c r="E177" s="2384">
        <v>3711410.57</v>
      </c>
      <c r="F177" s="2377">
        <f t="shared" ref="F177:F188" si="23">+E177/C177</f>
        <v>2.9202104867215212E-2</v>
      </c>
      <c r="H177" s="2384">
        <v>2698318</v>
      </c>
      <c r="I177" s="2384"/>
      <c r="J177" s="2376"/>
      <c r="K177" s="2376">
        <v>955.93</v>
      </c>
      <c r="L177" s="2384">
        <f>10944.36+29734.68</f>
        <v>40679.040000000001</v>
      </c>
      <c r="M177" s="2385"/>
      <c r="N177" s="2385"/>
      <c r="O177" s="2393">
        <v>371141.06</v>
      </c>
      <c r="P177" s="2393">
        <f>2104369.78-10944.36</f>
        <v>2093425.4199999997</v>
      </c>
      <c r="Q177" s="2393">
        <f>634651.21-29734.68</f>
        <v>604916.52999999991</v>
      </c>
      <c r="R177" s="2393">
        <v>434235.04</v>
      </c>
      <c r="S177" s="2393">
        <v>167013.48000000001</v>
      </c>
      <c r="U177" s="2393">
        <v>172.42</v>
      </c>
      <c r="V177" s="2393">
        <v>23.95</v>
      </c>
      <c r="W177" s="2393">
        <v>10.9</v>
      </c>
      <c r="X177" s="2360"/>
      <c r="Y177" s="2393"/>
      <c r="Z177" s="2393"/>
      <c r="AA177" s="2393"/>
      <c r="AB177" s="2360">
        <v>10850</v>
      </c>
    </row>
    <row r="178" spans="1:28" ht="15.75" hidden="1" x14ac:dyDescent="0.25">
      <c r="B178" s="1953" t="s">
        <v>420</v>
      </c>
      <c r="C178" s="2360">
        <v>111655799.94</v>
      </c>
      <c r="E178" s="2361">
        <v>3215642</v>
      </c>
      <c r="F178" s="2377">
        <f t="shared" si="23"/>
        <v>2.8799596632937796E-2</v>
      </c>
      <c r="H178" s="2361">
        <v>2333036.87</v>
      </c>
      <c r="I178" s="2384"/>
      <c r="J178" s="2361"/>
      <c r="K178" s="2361">
        <v>1240.0899999999999</v>
      </c>
      <c r="L178" s="2389">
        <f>10416.72+29666.26</f>
        <v>40082.979999999996</v>
      </c>
      <c r="M178" s="2385"/>
      <c r="N178" s="2385"/>
      <c r="O178" s="2380">
        <v>321564.2</v>
      </c>
      <c r="P178" s="2380">
        <f>1823269.02-10416.72</f>
        <v>1812852.3</v>
      </c>
      <c r="Q178" s="2380">
        <f>549874.78-29666.26</f>
        <v>520208.52</v>
      </c>
      <c r="R178" s="2380">
        <v>376230.11</v>
      </c>
      <c r="S178" s="2380">
        <v>144703.89000000001</v>
      </c>
      <c r="U178" s="2360">
        <v>172.42</v>
      </c>
      <c r="V178" s="2360">
        <v>23.95</v>
      </c>
      <c r="W178" s="2360">
        <v>10.9</v>
      </c>
      <c r="X178" s="2360"/>
      <c r="Y178" s="2360"/>
      <c r="Z178" s="2360"/>
      <c r="AA178" s="2360"/>
      <c r="AB178" s="2360">
        <v>10850</v>
      </c>
    </row>
    <row r="179" spans="1:28" ht="15.75" hidden="1" x14ac:dyDescent="0.25">
      <c r="B179" s="1953" t="s">
        <v>421</v>
      </c>
      <c r="C179" s="2360">
        <v>103832019.18000001</v>
      </c>
      <c r="E179" s="2361">
        <v>2991957.19</v>
      </c>
      <c r="F179" s="2377">
        <f t="shared" si="23"/>
        <v>2.8815361712394658E-2</v>
      </c>
      <c r="H179" s="2361">
        <v>2159199.81</v>
      </c>
      <c r="I179" s="2384"/>
      <c r="J179" s="2361"/>
      <c r="K179" s="2361">
        <v>948.21</v>
      </c>
      <c r="L179" s="2389">
        <f>10059.66+28407.99</f>
        <v>38467.65</v>
      </c>
      <c r="M179" s="2385"/>
      <c r="N179" s="2385"/>
      <c r="O179" s="2380">
        <v>299195.71999999997</v>
      </c>
      <c r="P179" s="2380">
        <f>1696439.73-10059.66</f>
        <v>1686380.07</v>
      </c>
      <c r="Q179" s="2380">
        <f>511624.68-28407.99</f>
        <v>483216.69</v>
      </c>
      <c r="R179" s="2380">
        <v>350058.99</v>
      </c>
      <c r="S179" s="2380">
        <v>134638.07</v>
      </c>
      <c r="U179" s="2360">
        <v>172.42</v>
      </c>
      <c r="V179" s="2360">
        <v>23.95</v>
      </c>
      <c r="W179" s="2360">
        <v>10.9</v>
      </c>
      <c r="X179" s="2360"/>
      <c r="Y179" s="2360">
        <f>5004+5369</f>
        <v>10373</v>
      </c>
      <c r="Z179" s="2360"/>
      <c r="AA179" s="2360"/>
      <c r="AB179" s="2360">
        <v>10850</v>
      </c>
    </row>
    <row r="180" spans="1:28" ht="15.75" hidden="1" x14ac:dyDescent="0.25">
      <c r="A180" s="2397"/>
      <c r="B180" s="1953" t="s">
        <v>422</v>
      </c>
      <c r="C180" s="2360">
        <v>95999791.480000004</v>
      </c>
      <c r="E180" s="2361">
        <v>2764239.85</v>
      </c>
      <c r="F180" s="2377">
        <f t="shared" si="23"/>
        <v>2.8794227647628637E-2</v>
      </c>
      <c r="H180" s="2361">
        <v>2003068.41</v>
      </c>
      <c r="I180" s="2384"/>
      <c r="J180" s="2361"/>
      <c r="K180" s="2361">
        <v>813.85</v>
      </c>
      <c r="L180" s="2389">
        <v>36916.65</v>
      </c>
      <c r="M180" s="2385"/>
      <c r="N180" s="2385"/>
      <c r="O180" s="2380">
        <v>276423.99</v>
      </c>
      <c r="P180" s="2380">
        <f>1567323.99-9395.76</f>
        <v>1557928.23</v>
      </c>
      <c r="Q180" s="2380">
        <f>472685.01-27520.89</f>
        <v>445164.12</v>
      </c>
      <c r="R180" s="2380">
        <v>323416.06</v>
      </c>
      <c r="S180" s="2380">
        <v>124390.79</v>
      </c>
      <c r="U180" s="2360">
        <v>172.42</v>
      </c>
      <c r="V180" s="2360">
        <v>23.95</v>
      </c>
      <c r="W180" s="2360">
        <v>10.9</v>
      </c>
      <c r="X180" s="2360"/>
      <c r="Y180" s="2360"/>
      <c r="Z180" s="2360"/>
      <c r="AA180" s="2360"/>
      <c r="AB180" s="2360">
        <v>10850</v>
      </c>
    </row>
    <row r="181" spans="1:28" ht="15.75" hidden="1" x14ac:dyDescent="0.25">
      <c r="B181" s="1953" t="s">
        <v>285</v>
      </c>
      <c r="C181" s="2360">
        <v>90786345.579999998</v>
      </c>
      <c r="E181" s="2361">
        <v>2620517.87</v>
      </c>
      <c r="F181" s="2377">
        <f t="shared" si="23"/>
        <v>2.8864669607070223E-2</v>
      </c>
      <c r="H181" s="2361">
        <v>1889366.41</v>
      </c>
      <c r="I181" s="2384"/>
      <c r="J181" s="2361"/>
      <c r="K181" s="2361">
        <v>1595.29</v>
      </c>
      <c r="L181" s="2389">
        <v>39311.83</v>
      </c>
      <c r="M181" s="2385"/>
      <c r="N181" s="2385"/>
      <c r="O181" s="2380">
        <v>262051.79</v>
      </c>
      <c r="P181" s="2380">
        <f>1485833.63-9806.76</f>
        <v>1476026.8699999999</v>
      </c>
      <c r="Q181" s="2380">
        <f>448108.56-29505.07</f>
        <v>418603.49</v>
      </c>
      <c r="R181" s="2380">
        <v>306600.59000000003</v>
      </c>
      <c r="S181" s="2380">
        <v>117923.3</v>
      </c>
      <c r="U181" s="2360">
        <v>172.42</v>
      </c>
      <c r="V181" s="2360">
        <v>23.95</v>
      </c>
      <c r="W181" s="2360">
        <v>10.9</v>
      </c>
      <c r="X181" s="2360"/>
      <c r="Y181" s="2360">
        <v>5240</v>
      </c>
      <c r="Z181" s="2360"/>
      <c r="AA181" s="2360"/>
      <c r="AB181" s="2360">
        <v>10850</v>
      </c>
    </row>
    <row r="182" spans="1:28" ht="15.75" hidden="1" x14ac:dyDescent="0.25">
      <c r="B182" s="1953" t="s">
        <v>423</v>
      </c>
      <c r="C182" s="2360">
        <v>94915294.859999999</v>
      </c>
      <c r="E182" s="2361">
        <v>2816836.67</v>
      </c>
      <c r="F182" s="2377">
        <f t="shared" si="23"/>
        <v>2.9677373643044909E-2</v>
      </c>
      <c r="H182" s="2361">
        <v>2041912.01</v>
      </c>
      <c r="I182" s="2384"/>
      <c r="J182" s="2361"/>
      <c r="K182" s="2361">
        <v>1026.97</v>
      </c>
      <c r="L182" s="2398">
        <v>36889.5</v>
      </c>
      <c r="M182" s="2385"/>
      <c r="N182" s="2385"/>
      <c r="O182" s="2380">
        <v>281683.67</v>
      </c>
      <c r="P182" s="2380">
        <f>1597146.39-9273.22</f>
        <v>1587873.17</v>
      </c>
      <c r="Q182" s="2380">
        <f>481679.07-27616.28</f>
        <v>454062.79000000004</v>
      </c>
      <c r="R182" s="2380">
        <v>329569.89</v>
      </c>
      <c r="S182" s="2380">
        <v>126757.65</v>
      </c>
      <c r="U182" s="2360">
        <v>172.42</v>
      </c>
      <c r="V182" s="2360">
        <v>23.95</v>
      </c>
      <c r="W182" s="2360">
        <v>10.9</v>
      </c>
      <c r="X182" s="2360"/>
      <c r="Y182" s="2360"/>
      <c r="Z182" s="2360"/>
      <c r="AA182" s="2360"/>
      <c r="AB182" s="2360">
        <v>10850</v>
      </c>
    </row>
    <row r="183" spans="1:28" ht="15.75" hidden="1" x14ac:dyDescent="0.25">
      <c r="B183" s="1953" t="s">
        <v>424</v>
      </c>
      <c r="C183" s="2360">
        <v>102379645.06</v>
      </c>
      <c r="E183" s="2361">
        <v>2937413.87</v>
      </c>
      <c r="F183" s="2377">
        <f t="shared" si="23"/>
        <v>2.8691385560855549E-2</v>
      </c>
      <c r="H183" s="2361">
        <v>2130506.1800000002</v>
      </c>
      <c r="I183" s="2384"/>
      <c r="J183" s="2361"/>
      <c r="K183" s="2361">
        <v>1765.19</v>
      </c>
      <c r="L183" s="2398">
        <v>37281.31</v>
      </c>
      <c r="M183" s="2385"/>
      <c r="N183" s="2385"/>
      <c r="O183" s="2380">
        <v>293741.36</v>
      </c>
      <c r="P183" s="2380">
        <f>1665513.67-9212.99</f>
        <v>1656300.68</v>
      </c>
      <c r="Q183" s="2380">
        <f>502297.77-28068.32</f>
        <v>474229.45</v>
      </c>
      <c r="R183" s="2380">
        <v>343677.42</v>
      </c>
      <c r="S183" s="2380">
        <v>132183.62</v>
      </c>
      <c r="U183" s="2360">
        <v>172.42</v>
      </c>
      <c r="V183" s="2360">
        <v>23.95</v>
      </c>
      <c r="W183" s="2360">
        <v>10.9</v>
      </c>
      <c r="X183" s="2360"/>
      <c r="Y183" s="2360"/>
      <c r="Z183" s="2360"/>
      <c r="AA183" s="2360"/>
      <c r="AB183" s="2360">
        <v>10564</v>
      </c>
    </row>
    <row r="184" spans="1:28" ht="15.75" hidden="1" x14ac:dyDescent="0.25">
      <c r="B184" s="1953" t="s">
        <v>425</v>
      </c>
      <c r="C184" s="2360">
        <v>105710889.48999999</v>
      </c>
      <c r="E184" s="2361">
        <v>2942024.53</v>
      </c>
      <c r="F184" s="2377">
        <f t="shared" si="23"/>
        <v>2.7830855876757224E-2</v>
      </c>
      <c r="H184" s="2361">
        <v>2126157.1800000002</v>
      </c>
      <c r="I184" s="2384"/>
      <c r="J184" s="2361"/>
      <c r="K184" s="2361">
        <v>2127.2399999999998</v>
      </c>
      <c r="L184" s="2398">
        <v>41765.97</v>
      </c>
      <c r="M184" s="2385"/>
      <c r="N184" s="2385"/>
      <c r="O184" s="2380">
        <v>294202.45</v>
      </c>
      <c r="P184" s="2380">
        <f>1668127.91-11712.61</f>
        <v>1656415.2999999998</v>
      </c>
      <c r="Q184" s="2380">
        <f>503086.19-30053.36</f>
        <v>473032.83</v>
      </c>
      <c r="R184" s="2380">
        <v>344216.87</v>
      </c>
      <c r="S184" s="2380">
        <v>132391.10999999999</v>
      </c>
      <c r="U184" s="2360">
        <v>172.42</v>
      </c>
      <c r="V184" s="2360">
        <v>23.95</v>
      </c>
      <c r="W184" s="2360">
        <v>10.9</v>
      </c>
      <c r="X184" s="2360"/>
      <c r="Y184" s="2360">
        <v>3267</v>
      </c>
      <c r="Z184" s="2360"/>
      <c r="AA184" s="2360"/>
      <c r="AB184" s="2360">
        <v>10564</v>
      </c>
    </row>
    <row r="185" spans="1:28" ht="15.75" hidden="1" x14ac:dyDescent="0.25">
      <c r="B185" s="1953" t="s">
        <v>426</v>
      </c>
      <c r="C185" s="2360">
        <v>99568221.780000001</v>
      </c>
      <c r="E185" s="2361">
        <v>2847452.77</v>
      </c>
      <c r="F185" s="2377">
        <f t="shared" si="23"/>
        <v>2.8598007668466367E-2</v>
      </c>
      <c r="H185" s="2361">
        <v>2054278.39</v>
      </c>
      <c r="I185" s="2384"/>
      <c r="J185" s="2361"/>
      <c r="K185" s="2361">
        <v>1524.25</v>
      </c>
      <c r="L185" s="2389">
        <v>47117.81</v>
      </c>
      <c r="M185" s="2385"/>
      <c r="N185" s="2385"/>
      <c r="O185" s="2380">
        <v>284745.28000000003</v>
      </c>
      <c r="P185" s="2380">
        <f>1614505.73-14252.78</f>
        <v>1600252.95</v>
      </c>
      <c r="Q185" s="2380">
        <f>486914.42-32865.03</f>
        <v>454049.39</v>
      </c>
      <c r="R185" s="2380">
        <v>333151.96999999997</v>
      </c>
      <c r="S185" s="2380">
        <v>128135.37</v>
      </c>
      <c r="U185" s="2360">
        <v>172.42</v>
      </c>
      <c r="V185" s="2360">
        <v>23.95</v>
      </c>
      <c r="W185" s="2360">
        <v>10.9</v>
      </c>
      <c r="X185" s="2360"/>
      <c r="Y185" s="2360"/>
      <c r="Z185" s="2360"/>
      <c r="AA185" s="2360"/>
      <c r="AB185" s="2360">
        <v>10564</v>
      </c>
    </row>
    <row r="186" spans="1:28" ht="15.75" hidden="1" x14ac:dyDescent="0.25">
      <c r="B186" s="1953" t="s">
        <v>416</v>
      </c>
      <c r="C186" s="2360">
        <v>93620377.760000005</v>
      </c>
      <c r="E186" s="2361">
        <v>2700592.65</v>
      </c>
      <c r="F186" s="2377">
        <f t="shared" si="23"/>
        <v>2.884620543748594E-2</v>
      </c>
      <c r="H186" s="2361">
        <v>1942159.6</v>
      </c>
      <c r="I186" s="2384"/>
      <c r="J186" s="2361"/>
      <c r="K186" s="2361">
        <v>1666.33</v>
      </c>
      <c r="L186" s="2389">
        <v>50853.82</v>
      </c>
      <c r="M186" s="2385"/>
      <c r="N186" s="2385"/>
      <c r="O186" s="2380">
        <v>270059.27</v>
      </c>
      <c r="P186" s="2380">
        <f>1531236.03-14409.79</f>
        <v>1516826.24</v>
      </c>
      <c r="Q186" s="2380">
        <f>461801.34-36444.03</f>
        <v>425357.31000000006</v>
      </c>
      <c r="R186" s="2380">
        <v>315969.34000000003</v>
      </c>
      <c r="S186" s="2380">
        <v>121526.67</v>
      </c>
      <c r="U186" s="2360">
        <v>172.42</v>
      </c>
      <c r="V186" s="2360">
        <v>23.95</v>
      </c>
      <c r="W186" s="2360">
        <v>10.9</v>
      </c>
      <c r="X186" s="2360"/>
      <c r="Y186" s="2360"/>
      <c r="Z186" s="2360"/>
      <c r="AA186" s="2360"/>
      <c r="AB186" s="2360">
        <v>10564</v>
      </c>
    </row>
    <row r="187" spans="1:28" ht="15.75" hidden="1" x14ac:dyDescent="0.25">
      <c r="B187" s="1953" t="s">
        <v>417</v>
      </c>
      <c r="C187" s="2360">
        <v>98351620.469999999</v>
      </c>
      <c r="E187" s="2361">
        <v>2953310.11</v>
      </c>
      <c r="F187" s="2377">
        <f t="shared" si="23"/>
        <v>3.0028077787501654E-2</v>
      </c>
      <c r="H187" s="2361">
        <v>2135176.9300000002</v>
      </c>
      <c r="I187" s="2384"/>
      <c r="J187" s="2361"/>
      <c r="K187" s="2361">
        <v>1524.25</v>
      </c>
      <c r="L187" s="2389">
        <v>39944.99</v>
      </c>
      <c r="M187" s="2385"/>
      <c r="N187" s="2385"/>
      <c r="O187" s="2380">
        <v>295331.01</v>
      </c>
      <c r="P187" s="2380">
        <f>1674526.84-13221.82</f>
        <v>1661305.02</v>
      </c>
      <c r="Q187" s="2380">
        <f>505016.03-26723.17</f>
        <v>478292.86000000004</v>
      </c>
      <c r="R187" s="2380">
        <v>345537.28000000003</v>
      </c>
      <c r="S187" s="2380">
        <v>132898.95000000001</v>
      </c>
      <c r="U187" s="2360">
        <v>172.42</v>
      </c>
      <c r="V187" s="2360">
        <v>23.95</v>
      </c>
      <c r="W187" s="2360">
        <v>10.9</v>
      </c>
      <c r="X187" s="2360"/>
      <c r="Y187" s="2360">
        <v>4397</v>
      </c>
      <c r="Z187" s="2360"/>
      <c r="AA187" s="2360"/>
      <c r="AB187" s="2360">
        <v>10564</v>
      </c>
    </row>
    <row r="188" spans="1:28" ht="15.75" hidden="1" x14ac:dyDescent="0.25">
      <c r="B188" s="1953" t="s">
        <v>418</v>
      </c>
      <c r="C188" s="2360">
        <v>128616669.84</v>
      </c>
      <c r="E188" s="2361">
        <v>3751511.81</v>
      </c>
      <c r="F188" s="2377">
        <f t="shared" si="23"/>
        <v>2.9168161597302324E-2</v>
      </c>
      <c r="H188" s="2361">
        <v>2733812.94</v>
      </c>
      <c r="I188" s="2384"/>
      <c r="J188" s="2361"/>
      <c r="K188" s="2361">
        <v>767.3</v>
      </c>
      <c r="L188" s="2389">
        <v>34778.83</v>
      </c>
      <c r="M188" s="2385"/>
      <c r="N188" s="2385"/>
      <c r="O188" s="2380">
        <v>375151.18</v>
      </c>
      <c r="P188" s="2380">
        <f>2127107.2-3716.21</f>
        <v>2123390.9900000002</v>
      </c>
      <c r="Q188" s="2380">
        <f>641508.52-31062.62</f>
        <v>610445.9</v>
      </c>
      <c r="R188" s="2380">
        <v>438926.88</v>
      </c>
      <c r="S188" s="2380">
        <v>168818.03</v>
      </c>
      <c r="U188" s="2360">
        <v>172.42</v>
      </c>
      <c r="V188" s="2360">
        <v>23.95</v>
      </c>
      <c r="W188" s="2360">
        <v>10.9</v>
      </c>
      <c r="X188" s="2360"/>
      <c r="Y188" s="2360"/>
      <c r="Z188" s="2360"/>
      <c r="AA188" s="2360"/>
      <c r="AB188" s="2360">
        <v>10564</v>
      </c>
    </row>
    <row r="189" spans="1:28" ht="15.75" hidden="1" x14ac:dyDescent="0.25">
      <c r="C189" s="2390"/>
      <c r="E189" s="2384"/>
      <c r="F189" s="2391"/>
      <c r="H189" s="2384"/>
      <c r="I189" s="2384"/>
      <c r="J189" s="2384"/>
      <c r="K189" s="2384"/>
      <c r="L189" s="2384"/>
      <c r="M189" s="2385"/>
      <c r="N189" s="2385"/>
      <c r="O189" s="2384"/>
      <c r="P189" s="2384"/>
      <c r="Q189" s="2384"/>
      <c r="R189" s="2384"/>
      <c r="S189" s="2384"/>
      <c r="U189" s="2384"/>
      <c r="V189" s="2384"/>
      <c r="W189" s="2384"/>
      <c r="X189" s="2385"/>
      <c r="Y189" s="2384"/>
      <c r="Z189" s="2384"/>
      <c r="AA189" s="2384"/>
      <c r="AB189" s="2384"/>
    </row>
    <row r="190" spans="1:28" ht="16.5" hidden="1" thickBot="1" x14ac:dyDescent="0.3">
      <c r="B190" s="1953">
        <v>2013</v>
      </c>
      <c r="C190" s="2381">
        <f>SUM(C177:C189)</f>
        <v>1252530615.6499999</v>
      </c>
      <c r="E190" s="2382">
        <f>SUM(E177:E189)</f>
        <v>36252909.890000001</v>
      </c>
      <c r="F190" s="2383">
        <f>+E190/C190</f>
        <v>2.8943731543988313E-2</v>
      </c>
      <c r="H190" s="2382">
        <f>SUM(H177:H189)</f>
        <v>26246992.730000004</v>
      </c>
      <c r="I190" s="2384"/>
      <c r="J190" s="2382">
        <f>SUM(J177:J189)</f>
        <v>0</v>
      </c>
      <c r="K190" s="2382">
        <f>SUM(K177:K189)</f>
        <v>15954.9</v>
      </c>
      <c r="L190" s="2382">
        <f>SUM(L177:L189)</f>
        <v>484090.37999999995</v>
      </c>
      <c r="M190" s="2385">
        <f>+K190/(E190+K190+J190+L190)</f>
        <v>4.3411203061633966E-4</v>
      </c>
      <c r="N190" s="2385"/>
      <c r="O190" s="2382">
        <f>SUM(O177:O189)</f>
        <v>3625290.9800000009</v>
      </c>
      <c r="P190" s="2382">
        <f>SUM(P177:P189)</f>
        <v>20428977.240000002</v>
      </c>
      <c r="Q190" s="2382">
        <f>SUM(Q177:Q189)</f>
        <v>5841579.8799999999</v>
      </c>
      <c r="R190" s="2382">
        <f>SUM(R177:R189)</f>
        <v>4241590.4400000004</v>
      </c>
      <c r="S190" s="2382">
        <f>SUM(S177:S189)</f>
        <v>1631380.9300000002</v>
      </c>
      <c r="U190" s="2382">
        <f>SUM(U177:U189)</f>
        <v>2069.0400000000004</v>
      </c>
      <c r="V190" s="2382">
        <f>SUM(V177:V189)</f>
        <v>287.39999999999992</v>
      </c>
      <c r="W190" s="2382">
        <f>SUM(W177:W189)</f>
        <v>130.80000000000004</v>
      </c>
      <c r="X190" s="2386">
        <f>SUM(U190:W190)/(E190+J190+K190)</f>
        <v>6.8577828790654044E-5</v>
      </c>
      <c r="Y190" s="2382">
        <f>SUM(Y177:Y189)</f>
        <v>23277</v>
      </c>
      <c r="Z190" s="2382">
        <f t="shared" ref="Z190:AA190" si="24">SUM(Z177:Z189)</f>
        <v>0</v>
      </c>
      <c r="AA190" s="2382">
        <f t="shared" si="24"/>
        <v>0</v>
      </c>
      <c r="AB190" s="2382">
        <f>SUM(AB177:AB189)</f>
        <v>128484</v>
      </c>
    </row>
    <row r="191" spans="1:28" ht="15.75" hidden="1" x14ac:dyDescent="0.25">
      <c r="C191" s="2390"/>
      <c r="E191" s="2384"/>
      <c r="F191" s="2391"/>
      <c r="H191" s="2384"/>
      <c r="I191" s="2384"/>
      <c r="J191" s="2384"/>
      <c r="K191" s="2384"/>
      <c r="L191" s="2384"/>
      <c r="M191" s="2385"/>
      <c r="N191" s="2385"/>
      <c r="O191" s="2384"/>
      <c r="P191" s="2384"/>
      <c r="Q191" s="2384"/>
      <c r="R191" s="2384"/>
      <c r="S191" s="2384"/>
      <c r="U191" s="2384"/>
      <c r="V191" s="2384"/>
      <c r="W191" s="2384"/>
      <c r="X191" s="2385"/>
      <c r="Y191" s="2384"/>
      <c r="Z191" s="2384"/>
      <c r="AA191" s="2384"/>
    </row>
    <row r="192" spans="1:28" ht="15.75" hidden="1" x14ac:dyDescent="0.25">
      <c r="A192" s="1953">
        <v>2014</v>
      </c>
      <c r="B192" s="1953" t="s">
        <v>419</v>
      </c>
      <c r="C192" s="2375">
        <v>130181859.5</v>
      </c>
      <c r="E192" s="2384">
        <v>3796865.26</v>
      </c>
      <c r="F192" s="2377">
        <f t="shared" ref="F192:F203" si="25">+E192/C192</f>
        <v>2.9165855170474039E-2</v>
      </c>
      <c r="H192" s="2384">
        <v>2770812.68</v>
      </c>
      <c r="I192" s="2384"/>
      <c r="J192" s="2376"/>
      <c r="K192" s="2376">
        <v>779.09</v>
      </c>
      <c r="L192" s="2384">
        <v>31249.919999999998</v>
      </c>
      <c r="M192" s="2385"/>
      <c r="N192" s="2385"/>
      <c r="O192" s="2393">
        <v>379686.53</v>
      </c>
      <c r="P192" s="2393">
        <f>2152822.59-1827.02</f>
        <v>2150995.5699999998</v>
      </c>
      <c r="Q192" s="2393">
        <f>649263.96-29422.9</f>
        <v>619841.05999999994</v>
      </c>
      <c r="R192" s="2393">
        <v>444233.24</v>
      </c>
      <c r="S192" s="2393">
        <v>170858.94</v>
      </c>
      <c r="U192" s="2393">
        <v>172.42</v>
      </c>
      <c r="V192" s="2393">
        <v>23.95</v>
      </c>
      <c r="W192" s="2393">
        <v>10.9</v>
      </c>
      <c r="X192" s="2360"/>
      <c r="Y192" s="2393"/>
      <c r="Z192" s="2393"/>
      <c r="AA192" s="2393"/>
      <c r="AB192" s="2360">
        <v>10564</v>
      </c>
    </row>
    <row r="193" spans="1:28" ht="15.75" hidden="1" x14ac:dyDescent="0.25">
      <c r="B193" s="1953" t="s">
        <v>420</v>
      </c>
      <c r="C193" s="2360">
        <v>116900729.20999999</v>
      </c>
      <c r="E193" s="2361">
        <v>3434046.22</v>
      </c>
      <c r="F193" s="2377">
        <f t="shared" si="25"/>
        <v>2.9375746782820265E-2</v>
      </c>
      <c r="H193" s="2361">
        <v>2508212.2599999998</v>
      </c>
      <c r="I193" s="2384"/>
      <c r="J193" s="2361"/>
      <c r="K193" s="2361">
        <v>891.19</v>
      </c>
      <c r="L193" s="2389">
        <v>26089.9</v>
      </c>
      <c r="M193" s="2385"/>
      <c r="N193" s="2385"/>
      <c r="O193" s="2380">
        <v>343404.62</v>
      </c>
      <c r="P193" s="2380">
        <f>1947104.21-1446.75</f>
        <v>1945657.46</v>
      </c>
      <c r="Q193" s="2380">
        <f>587221.9-24643.15</f>
        <v>562578.75</v>
      </c>
      <c r="R193" s="2380">
        <v>401783.41</v>
      </c>
      <c r="S193" s="2380">
        <v>154532.07999999999</v>
      </c>
      <c r="U193" s="2360">
        <v>172.42</v>
      </c>
      <c r="V193" s="2360">
        <v>23.95</v>
      </c>
      <c r="W193" s="2360">
        <v>10.9</v>
      </c>
      <c r="X193" s="2360"/>
      <c r="Y193" s="2360"/>
      <c r="Z193" s="2360"/>
      <c r="AA193" s="2360"/>
      <c r="AB193" s="2360">
        <v>10538</v>
      </c>
    </row>
    <row r="194" spans="1:28" ht="15.75" hidden="1" x14ac:dyDescent="0.25">
      <c r="B194" s="1953" t="s">
        <v>421</v>
      </c>
      <c r="C194" s="2360">
        <v>104077362.45</v>
      </c>
      <c r="E194" s="2361">
        <v>3073304.86</v>
      </c>
      <c r="F194" s="2377">
        <f t="shared" si="25"/>
        <v>2.9529042508897665E-2</v>
      </c>
      <c r="H194" s="2361">
        <v>2237266.33</v>
      </c>
      <c r="I194" s="2384"/>
      <c r="J194" s="2361"/>
      <c r="K194" s="2361">
        <v>853.82</v>
      </c>
      <c r="L194" s="2389">
        <v>30808.7</v>
      </c>
      <c r="M194" s="2385"/>
      <c r="N194" s="2385"/>
      <c r="O194" s="2380">
        <v>307330.49</v>
      </c>
      <c r="P194" s="2380">
        <f>1742563.85-1655.86</f>
        <v>1740907.99</v>
      </c>
      <c r="Q194" s="2380">
        <f>525535.13-29152.84</f>
        <v>496382.29</v>
      </c>
      <c r="R194" s="2380">
        <v>359576.67</v>
      </c>
      <c r="S194" s="2380">
        <v>138298.72</v>
      </c>
      <c r="U194" s="2360">
        <v>172.42</v>
      </c>
      <c r="V194" s="2360">
        <v>23.95</v>
      </c>
      <c r="W194" s="2360">
        <v>10.9</v>
      </c>
      <c r="X194" s="2360"/>
      <c r="Y194" s="2360"/>
      <c r="Z194" s="2360"/>
      <c r="AA194" s="2360"/>
      <c r="AB194" s="2360">
        <v>10538</v>
      </c>
    </row>
    <row r="195" spans="1:28" ht="15.75" hidden="1" x14ac:dyDescent="0.25">
      <c r="A195" s="2397"/>
      <c r="B195" s="1953" t="s">
        <v>422</v>
      </c>
      <c r="C195" s="2360">
        <v>96864268.920000002</v>
      </c>
      <c r="E195" s="2361">
        <v>2840703.27</v>
      </c>
      <c r="F195" s="2377">
        <f t="shared" si="25"/>
        <v>2.93266371766676E-2</v>
      </c>
      <c r="H195" s="2361">
        <v>2066142</v>
      </c>
      <c r="I195" s="2384"/>
      <c r="J195" s="2361"/>
      <c r="K195" s="2361">
        <v>853.82</v>
      </c>
      <c r="L195" s="2389">
        <v>30273.06</v>
      </c>
      <c r="M195" s="2385"/>
      <c r="N195" s="2385"/>
      <c r="O195" s="2380">
        <v>284070.33</v>
      </c>
      <c r="P195" s="2380">
        <f>1610678.75-1437.79</f>
        <v>1609240.96</v>
      </c>
      <c r="Q195" s="2380">
        <f>485760.26-28835.27</f>
        <v>456924.99</v>
      </c>
      <c r="R195" s="2380">
        <v>332362.28000000003</v>
      </c>
      <c r="S195" s="2380">
        <v>127831.65</v>
      </c>
      <c r="U195" s="2360">
        <v>172.42</v>
      </c>
      <c r="V195" s="2360">
        <v>23.95</v>
      </c>
      <c r="W195" s="2360">
        <v>10.9</v>
      </c>
      <c r="X195" s="2360"/>
      <c r="Y195" s="2360"/>
      <c r="Z195" s="2360"/>
      <c r="AA195" s="2360"/>
      <c r="AB195" s="2360">
        <v>10538</v>
      </c>
    </row>
    <row r="196" spans="1:28" ht="15.75" hidden="1" x14ac:dyDescent="0.25">
      <c r="B196" s="1953" t="s">
        <v>285</v>
      </c>
      <c r="C196" s="2360">
        <v>93295178.920000002</v>
      </c>
      <c r="E196" s="2361">
        <v>2743181.88</v>
      </c>
      <c r="F196" s="2377">
        <f t="shared" si="25"/>
        <v>2.9403254399160972E-2</v>
      </c>
      <c r="H196" s="2361">
        <v>1967674.16</v>
      </c>
      <c r="I196" s="2384"/>
      <c r="J196" s="2361"/>
      <c r="K196" s="2361">
        <v>836.95</v>
      </c>
      <c r="L196" s="2389">
        <v>44995.82</v>
      </c>
      <c r="M196" s="2385"/>
      <c r="N196" s="2385"/>
      <c r="O196" s="2380">
        <f>274318.19-1023.61</f>
        <v>273294.58</v>
      </c>
      <c r="P196" s="2380">
        <f>1555384.13-1357.33-5803.92</f>
        <v>1548222.88</v>
      </c>
      <c r="Q196" s="2380">
        <f>469084.1-43638.49-1750.38</f>
        <v>423695.23</v>
      </c>
      <c r="R196" s="2380">
        <f>320952.28-1197.63</f>
        <v>319754.65000000002</v>
      </c>
      <c r="S196" s="2380">
        <f>123443.18-460.63</f>
        <v>122982.54999999999</v>
      </c>
      <c r="U196" s="2360">
        <v>172.42</v>
      </c>
      <c r="V196" s="2360">
        <v>23.95</v>
      </c>
      <c r="W196" s="2360">
        <v>10.9</v>
      </c>
      <c r="X196" s="2360"/>
      <c r="Y196" s="2360">
        <v>4220</v>
      </c>
      <c r="Z196" s="2360"/>
      <c r="AA196" s="2360"/>
      <c r="AB196" s="2360">
        <v>10538</v>
      </c>
    </row>
    <row r="197" spans="1:28" ht="15.75" hidden="1" x14ac:dyDescent="0.25">
      <c r="B197" s="1953" t="s">
        <v>423</v>
      </c>
      <c r="C197" s="2360">
        <v>94978706</v>
      </c>
      <c r="E197" s="2361">
        <v>2821316.32</v>
      </c>
      <c r="F197" s="2377">
        <f t="shared" si="25"/>
        <v>2.9704724762200908E-2</v>
      </c>
      <c r="H197" s="2361">
        <v>2037858.21</v>
      </c>
      <c r="I197" s="2384"/>
      <c r="J197" s="2361"/>
      <c r="K197" s="2361">
        <v>1068.08</v>
      </c>
      <c r="L197" s="2398">
        <v>44249.29</v>
      </c>
      <c r="M197" s="2385"/>
      <c r="N197" s="2385"/>
      <c r="O197" s="2380">
        <v>282131.63</v>
      </c>
      <c r="P197" s="2380">
        <f>1599686.36-1632.99</f>
        <v>1598053.37</v>
      </c>
      <c r="Q197" s="2380">
        <f>482445.09-42616.3</f>
        <v>439828.79000000004</v>
      </c>
      <c r="R197" s="2380">
        <v>330094.01</v>
      </c>
      <c r="S197" s="2380">
        <v>126959.23</v>
      </c>
      <c r="U197" s="2360">
        <v>172.42</v>
      </c>
      <c r="V197" s="2360">
        <v>23.95</v>
      </c>
      <c r="W197" s="2360">
        <v>10.9</v>
      </c>
      <c r="X197" s="2360"/>
      <c r="Y197" s="2360"/>
      <c r="Z197" s="2360">
        <v>314.52</v>
      </c>
      <c r="AA197" s="2380" t="s">
        <v>97</v>
      </c>
      <c r="AB197" s="2360">
        <v>10538</v>
      </c>
    </row>
    <row r="198" spans="1:28" ht="15.75" hidden="1" x14ac:dyDescent="0.25">
      <c r="B198" s="1953" t="s">
        <v>424</v>
      </c>
      <c r="C198" s="2360">
        <v>107019124.20999999</v>
      </c>
      <c r="E198" s="2361">
        <v>3149907.84</v>
      </c>
      <c r="F198" s="2377">
        <f t="shared" si="25"/>
        <v>2.9433130417130332E-2</v>
      </c>
      <c r="H198" s="2361">
        <v>2276538.19</v>
      </c>
      <c r="I198" s="2384"/>
      <c r="J198" s="2361"/>
      <c r="K198" s="2361">
        <v>857.91</v>
      </c>
      <c r="L198" s="2398">
        <v>48069.85</v>
      </c>
      <c r="M198" s="2385"/>
      <c r="N198" s="2385"/>
      <c r="O198" s="2380">
        <v>314990.78000000003</v>
      </c>
      <c r="P198" s="2380">
        <f>1785997.75-1974.11</f>
        <v>1784023.64</v>
      </c>
      <c r="Q198" s="2380">
        <f>538634.24-46095.74</f>
        <v>492538.5</v>
      </c>
      <c r="R198" s="2380">
        <v>368539.22</v>
      </c>
      <c r="S198" s="2380">
        <v>141745.85</v>
      </c>
      <c r="U198" s="2360">
        <v>172.42</v>
      </c>
      <c r="V198" s="2360">
        <v>23.95</v>
      </c>
      <c r="W198" s="2360">
        <v>10.9</v>
      </c>
      <c r="X198" s="2360"/>
      <c r="Y198" s="2360"/>
      <c r="Z198" s="2360"/>
      <c r="AA198" s="2360"/>
      <c r="AB198" s="2360">
        <v>10538</v>
      </c>
    </row>
    <row r="199" spans="1:28" ht="15.75" hidden="1" x14ac:dyDescent="0.25">
      <c r="B199" s="1953" t="s">
        <v>425</v>
      </c>
      <c r="C199" s="2360">
        <v>110150737.04000001</v>
      </c>
      <c r="E199" s="2361">
        <v>3228681.24</v>
      </c>
      <c r="F199" s="2377">
        <f t="shared" si="25"/>
        <v>2.9311481037367373E-2</v>
      </c>
      <c r="H199" s="2361">
        <v>2330726.42</v>
      </c>
      <c r="I199" s="2384"/>
      <c r="J199" s="2361"/>
      <c r="K199" s="2361">
        <v>1108.45</v>
      </c>
      <c r="L199" s="2398">
        <v>52016.38</v>
      </c>
      <c r="M199" s="2385"/>
      <c r="N199" s="2385"/>
      <c r="O199" s="2380">
        <v>322868.12</v>
      </c>
      <c r="P199" s="2380">
        <f>1830662.26-2490.97</f>
        <v>1828171.29</v>
      </c>
      <c r="Q199" s="2380">
        <f>552104.49-49525.41</f>
        <v>502579.07999999996</v>
      </c>
      <c r="R199" s="2380">
        <v>377755.71</v>
      </c>
      <c r="S199" s="2380">
        <v>145290.66</v>
      </c>
      <c r="U199" s="2360">
        <v>172.42</v>
      </c>
      <c r="V199" s="2360">
        <v>23.95</v>
      </c>
      <c r="W199" s="2360">
        <v>10.9</v>
      </c>
      <c r="X199" s="2360"/>
      <c r="Y199" s="2360"/>
      <c r="Z199" s="2360"/>
      <c r="AA199" s="2360"/>
      <c r="AB199" s="2360">
        <v>10538</v>
      </c>
    </row>
    <row r="200" spans="1:28" ht="15.75" hidden="1" x14ac:dyDescent="0.25">
      <c r="B200" s="1953" t="s">
        <v>426</v>
      </c>
      <c r="C200" s="2360">
        <v>104327898.28</v>
      </c>
      <c r="E200" s="2361">
        <v>3049380.44</v>
      </c>
      <c r="F200" s="2377">
        <f t="shared" si="25"/>
        <v>2.9228811183523825E-2</v>
      </c>
      <c r="H200" s="2361">
        <v>2188667.64</v>
      </c>
      <c r="I200" s="2384"/>
      <c r="J200" s="2361"/>
      <c r="K200" s="2361">
        <v>2245.4699999999998</v>
      </c>
      <c r="L200" s="2389">
        <v>56014.18</v>
      </c>
      <c r="M200" s="2385"/>
      <c r="N200" s="2385"/>
      <c r="O200" s="2380">
        <v>304938.03999999998</v>
      </c>
      <c r="P200" s="2380">
        <f>1728998.71-4880.81</f>
        <v>1724117.9</v>
      </c>
      <c r="Q200" s="2380">
        <f>521444.06-51133.37</f>
        <v>470310.69</v>
      </c>
      <c r="R200" s="2380">
        <v>356777.51</v>
      </c>
      <c r="S200" s="2380">
        <v>137222.12</v>
      </c>
      <c r="U200" s="2360">
        <v>172.42</v>
      </c>
      <c r="V200" s="2360">
        <v>23.95</v>
      </c>
      <c r="W200" s="2360">
        <v>10.9</v>
      </c>
      <c r="X200" s="2360"/>
      <c r="Y200" s="2360">
        <v>5737</v>
      </c>
      <c r="Z200" s="2360"/>
      <c r="AA200" s="2360"/>
      <c r="AB200" s="2360">
        <v>10538</v>
      </c>
    </row>
    <row r="201" spans="1:28" ht="15.75" hidden="1" x14ac:dyDescent="0.25">
      <c r="B201" s="1953" t="s">
        <v>416</v>
      </c>
      <c r="C201" s="2360">
        <v>94102925.5</v>
      </c>
      <c r="E201" s="2361">
        <v>2756721.32</v>
      </c>
      <c r="F201" s="2377">
        <f t="shared" si="25"/>
        <v>2.9294746208501241E-2</v>
      </c>
      <c r="H201" s="2361">
        <v>1971917.22</v>
      </c>
      <c r="I201" s="2384"/>
      <c r="J201" s="2361"/>
      <c r="K201" s="2361">
        <v>965.92</v>
      </c>
      <c r="L201" s="2389">
        <v>62519.17</v>
      </c>
      <c r="M201" s="2385"/>
      <c r="N201" s="2385"/>
      <c r="O201" s="2380">
        <v>275672.13</v>
      </c>
      <c r="P201" s="2380">
        <f>1563060.99-6047.94</f>
        <v>1557013.05</v>
      </c>
      <c r="Q201" s="2380">
        <f>471399.35-56471.23</f>
        <v>414928.12</v>
      </c>
      <c r="R201" s="2380">
        <v>322536.39</v>
      </c>
      <c r="S201" s="2380">
        <v>124052.46</v>
      </c>
      <c r="U201" s="2360">
        <v>172.42</v>
      </c>
      <c r="V201" s="2360">
        <v>23.95</v>
      </c>
      <c r="W201" s="2360">
        <v>10.9</v>
      </c>
      <c r="X201" s="2360"/>
      <c r="Y201" s="2360"/>
      <c r="Z201" s="2360">
        <v>314.52</v>
      </c>
      <c r="AA201" s="2380" t="s">
        <v>97</v>
      </c>
      <c r="AB201" s="2360">
        <v>10538</v>
      </c>
    </row>
    <row r="202" spans="1:28" ht="15.75" hidden="1" x14ac:dyDescent="0.25">
      <c r="B202" s="1953" t="s">
        <v>417</v>
      </c>
      <c r="C202" s="2360">
        <v>98927062.989999995</v>
      </c>
      <c r="E202" s="2361">
        <v>3023875.35</v>
      </c>
      <c r="F202" s="2377">
        <f t="shared" si="25"/>
        <v>3.0566715099038848E-2</v>
      </c>
      <c r="H202" s="2361">
        <v>2168083.46</v>
      </c>
      <c r="I202" s="2384"/>
      <c r="J202" s="2361"/>
      <c r="K202" s="2361">
        <v>1955.3</v>
      </c>
      <c r="L202" s="2389">
        <v>58266.59</v>
      </c>
      <c r="M202" s="2385"/>
      <c r="N202" s="2385"/>
      <c r="O202" s="2380">
        <v>302387.53999999998</v>
      </c>
      <c r="P202" s="2380">
        <f>1714537.32-5644.43</f>
        <v>1708892.8900000001</v>
      </c>
      <c r="Q202" s="2380">
        <f>517082.68-52622.16</f>
        <v>464460.52</v>
      </c>
      <c r="R202" s="2380">
        <v>353793.42</v>
      </c>
      <c r="S202" s="2380">
        <v>136074.39000000001</v>
      </c>
      <c r="U202" s="2360">
        <v>172.42</v>
      </c>
      <c r="V202" s="2360">
        <v>23.95</v>
      </c>
      <c r="W202" s="2360">
        <v>10.9</v>
      </c>
      <c r="X202" s="2360"/>
      <c r="Y202" s="2360">
        <v>5246</v>
      </c>
      <c r="Z202" s="2360"/>
      <c r="AA202" s="2360"/>
      <c r="AB202" s="2360">
        <v>10538</v>
      </c>
    </row>
    <row r="203" spans="1:28" ht="15.75" hidden="1" x14ac:dyDescent="0.25">
      <c r="B203" s="1953" t="s">
        <v>418</v>
      </c>
      <c r="C203" s="2360">
        <v>121062342.23999999</v>
      </c>
      <c r="E203" s="2361">
        <v>3557626.95</v>
      </c>
      <c r="F203" s="2377">
        <f t="shared" si="25"/>
        <v>2.9386734835735989E-2</v>
      </c>
      <c r="H203" s="2361">
        <v>2578145.62</v>
      </c>
      <c r="I203" s="2384"/>
      <c r="J203" s="2361"/>
      <c r="K203" s="2361">
        <v>869.34</v>
      </c>
      <c r="L203" s="2399">
        <v>47359.12</v>
      </c>
      <c r="M203" s="2385"/>
      <c r="N203" s="2385"/>
      <c r="O203" s="2380">
        <v>355762.7</v>
      </c>
      <c r="P203" s="2380">
        <f>2017174.48-3451.62</f>
        <v>2013722.8599999999</v>
      </c>
      <c r="Q203" s="2380">
        <f>608354.21-43907.5</f>
        <v>564446.71</v>
      </c>
      <c r="R203" s="2380">
        <v>416242.35</v>
      </c>
      <c r="S203" s="2380">
        <v>160093.21</v>
      </c>
      <c r="U203" s="2360">
        <v>172.42</v>
      </c>
      <c r="V203" s="2360">
        <v>23.95</v>
      </c>
      <c r="W203" s="2360">
        <v>10.9</v>
      </c>
      <c r="X203" s="2360"/>
      <c r="Y203" s="2360"/>
      <c r="Z203" s="2360"/>
      <c r="AA203" s="2360"/>
      <c r="AB203" s="2360">
        <v>10538</v>
      </c>
    </row>
    <row r="204" spans="1:28" ht="15.75" hidden="1" x14ac:dyDescent="0.25">
      <c r="C204" s="2390"/>
      <c r="E204" s="2384"/>
      <c r="F204" s="2391"/>
      <c r="H204" s="2384"/>
      <c r="I204" s="2384"/>
      <c r="J204" s="2384"/>
      <c r="K204" s="2384"/>
      <c r="L204" s="2384"/>
      <c r="M204" s="2385"/>
      <c r="N204" s="2385"/>
      <c r="O204" s="2384"/>
      <c r="P204" s="2384"/>
      <c r="Q204" s="2384"/>
      <c r="R204" s="2384"/>
      <c r="S204" s="2384"/>
      <c r="U204" s="2384"/>
      <c r="V204" s="2384"/>
      <c r="W204" s="2384"/>
      <c r="X204" s="2385"/>
      <c r="Y204" s="2384"/>
      <c r="Z204" s="2384"/>
      <c r="AA204" s="2384"/>
      <c r="AB204" s="2384"/>
    </row>
    <row r="205" spans="1:28" ht="16.5" hidden="1" thickBot="1" x14ac:dyDescent="0.3">
      <c r="B205" s="1953">
        <v>2014</v>
      </c>
      <c r="C205" s="2381">
        <f>SUM(C192:C204)</f>
        <v>1271888195.26</v>
      </c>
      <c r="E205" s="2382">
        <f>SUM(E192:E204)</f>
        <v>37475610.950000003</v>
      </c>
      <c r="F205" s="2383">
        <f>+E205/C205</f>
        <v>2.9464548133760468E-2</v>
      </c>
      <c r="H205" s="2382">
        <f>SUM(H192:H204)</f>
        <v>27102044.190000001</v>
      </c>
      <c r="I205" s="2384"/>
      <c r="J205" s="2382">
        <f>SUM(J192:J204)</f>
        <v>0</v>
      </c>
      <c r="K205" s="2382">
        <f>SUM(K192:K204)</f>
        <v>13285.34</v>
      </c>
      <c r="L205" s="2382">
        <f>SUM(L192:L204)</f>
        <v>531911.98</v>
      </c>
      <c r="M205" s="2385">
        <f>+K205/(E205+K205+J205+L205)</f>
        <v>3.4942287143544724E-4</v>
      </c>
      <c r="N205" s="2385"/>
      <c r="O205" s="2382">
        <f>SUM(O192:O204)</f>
        <v>3746537.49</v>
      </c>
      <c r="P205" s="2382">
        <f>SUM(P192:P204)</f>
        <v>21209019.859999999</v>
      </c>
      <c r="Q205" s="2382">
        <f>SUM(Q192:Q204)</f>
        <v>5908514.7299999995</v>
      </c>
      <c r="R205" s="2382">
        <f>SUM(R192:R204)</f>
        <v>4383448.8599999994</v>
      </c>
      <c r="S205" s="2382">
        <f>SUM(S192:S204)</f>
        <v>1685941.8599999999</v>
      </c>
      <c r="U205" s="2382">
        <f>SUM(U192:U204)</f>
        <v>2069.0400000000004</v>
      </c>
      <c r="V205" s="2382">
        <f>SUM(V192:V204)</f>
        <v>287.39999999999992</v>
      </c>
      <c r="W205" s="2382">
        <f>SUM(W192:W204)</f>
        <v>130.80000000000004</v>
      </c>
      <c r="X205" s="2386">
        <f>SUM(U205:W205)/(E205+J205+K205)</f>
        <v>6.6346044993153359E-5</v>
      </c>
      <c r="Y205" s="2382">
        <f>SUM(Y192:Y204)</f>
        <v>15203</v>
      </c>
      <c r="Z205" s="2382">
        <f t="shared" ref="Z205:AA205" si="26">SUM(Z192:Z204)</f>
        <v>629.04</v>
      </c>
      <c r="AA205" s="2382">
        <f t="shared" si="26"/>
        <v>0</v>
      </c>
      <c r="AB205" s="2382">
        <f>SUM(AB192:AB204)</f>
        <v>126482</v>
      </c>
    </row>
    <row r="206" spans="1:28" ht="15.75" hidden="1" x14ac:dyDescent="0.25">
      <c r="C206" s="2390"/>
      <c r="E206" s="2384"/>
      <c r="F206" s="2391"/>
      <c r="H206" s="2384"/>
      <c r="I206" s="2384"/>
      <c r="J206" s="2384"/>
      <c r="K206" s="2384"/>
      <c r="L206" s="2384"/>
      <c r="M206" s="2385"/>
      <c r="N206" s="2385"/>
      <c r="O206" s="2384"/>
      <c r="P206" s="2384"/>
      <c r="Q206" s="2384"/>
      <c r="R206" s="2384"/>
      <c r="S206" s="2384"/>
      <c r="U206" s="2384"/>
      <c r="V206" s="2384"/>
      <c r="W206" s="2384"/>
      <c r="X206" s="2385"/>
      <c r="Y206" s="2384"/>
      <c r="Z206" s="2384"/>
      <c r="AA206" s="2384"/>
    </row>
    <row r="207" spans="1:28" ht="15.75" hidden="1" x14ac:dyDescent="0.25">
      <c r="A207" s="1953">
        <v>2015</v>
      </c>
      <c r="B207" s="1953" t="s">
        <v>419</v>
      </c>
      <c r="C207" s="2375">
        <v>121066160.3</v>
      </c>
      <c r="E207" s="2384">
        <v>3606268.64</v>
      </c>
      <c r="F207" s="2377">
        <f t="shared" ref="F207:F218" si="27">+E207/C207</f>
        <v>2.9787585821370106E-2</v>
      </c>
      <c r="H207" s="2384">
        <v>2619383.86</v>
      </c>
      <c r="I207" s="2384"/>
      <c r="J207" s="2376"/>
      <c r="K207" s="2376">
        <v>646.41999999999996</v>
      </c>
      <c r="L207" s="2384">
        <v>42018.45</v>
      </c>
      <c r="M207" s="2385"/>
      <c r="N207" s="2385"/>
      <c r="O207" s="2393">
        <v>360626.86</v>
      </c>
      <c r="P207" s="2393">
        <f>2044754.32-2070.37</f>
        <v>2042683.95</v>
      </c>
      <c r="Q207" s="2393">
        <f>616671.94-39948.08</f>
        <v>576723.86</v>
      </c>
      <c r="R207" s="2393">
        <v>421933.43</v>
      </c>
      <c r="S207" s="2393">
        <v>162282.09</v>
      </c>
      <c r="U207" s="2393">
        <v>172.42</v>
      </c>
      <c r="V207" s="2393">
        <v>23.95</v>
      </c>
      <c r="W207" s="2393">
        <v>10.9</v>
      </c>
      <c r="X207" s="2360"/>
      <c r="Y207" s="2393"/>
      <c r="Z207" s="2393"/>
      <c r="AA207" s="2393"/>
      <c r="AB207" s="2360">
        <v>10538</v>
      </c>
    </row>
    <row r="208" spans="1:28" ht="15.75" hidden="1" x14ac:dyDescent="0.25">
      <c r="B208" s="1953" t="s">
        <v>420</v>
      </c>
      <c r="C208" s="2360">
        <v>110075296.47</v>
      </c>
      <c r="E208" s="2361">
        <v>3208425.95</v>
      </c>
      <c r="F208" s="2377">
        <f t="shared" si="27"/>
        <v>2.9147556744254847E-2</v>
      </c>
      <c r="H208" s="2361">
        <v>2326940.5</v>
      </c>
      <c r="I208" s="2384"/>
      <c r="J208" s="2361"/>
      <c r="K208" s="2361">
        <v>858.49</v>
      </c>
      <c r="L208" s="2389">
        <v>40853.89</v>
      </c>
      <c r="M208" s="2385"/>
      <c r="N208" s="2385"/>
      <c r="O208" s="2380">
        <v>320842.59999999998</v>
      </c>
      <c r="P208" s="2380">
        <f>1819177.5-1583.53</f>
        <v>1817593.97</v>
      </c>
      <c r="Q208" s="2380">
        <f>548640.84-39270.36</f>
        <v>509370.48</v>
      </c>
      <c r="R208" s="2380">
        <v>375385.84</v>
      </c>
      <c r="S208" s="2380">
        <v>144379.17000000001</v>
      </c>
      <c r="U208" s="2360">
        <v>172.42</v>
      </c>
      <c r="V208" s="2360">
        <v>23.95</v>
      </c>
      <c r="W208" s="2360">
        <v>10.9</v>
      </c>
      <c r="X208" s="2360"/>
      <c r="Y208" s="2360"/>
      <c r="Z208" s="2360"/>
      <c r="AA208" s="2360"/>
      <c r="AB208" s="2360">
        <v>10538</v>
      </c>
    </row>
    <row r="209" spans="1:28" ht="15.75" hidden="1" x14ac:dyDescent="0.25">
      <c r="B209" s="1953" t="s">
        <v>421</v>
      </c>
      <c r="C209" s="2360">
        <v>100418564.45999999</v>
      </c>
      <c r="E209" s="2361">
        <v>2983199.53</v>
      </c>
      <c r="F209" s="2377">
        <f t="shared" si="27"/>
        <v>2.9707649636719374E-2</v>
      </c>
      <c r="H209" s="2361">
        <v>2154831.16</v>
      </c>
      <c r="I209" s="2384"/>
      <c r="J209" s="2361"/>
      <c r="K209" s="2361">
        <v>1777.46</v>
      </c>
      <c r="L209" s="2389">
        <v>41208.14</v>
      </c>
      <c r="M209" s="2385"/>
      <c r="N209" s="2385"/>
      <c r="O209" s="2380">
        <v>298319.95</v>
      </c>
      <c r="P209" s="2380">
        <f>1691474.13-1741.31</f>
        <v>1689732.8199999998</v>
      </c>
      <c r="Q209" s="2380">
        <f>510127.12-39466.83</f>
        <v>470660.29</v>
      </c>
      <c r="R209" s="2380">
        <v>349034.35</v>
      </c>
      <c r="S209" s="2380">
        <v>134243.98000000001</v>
      </c>
      <c r="U209" s="2360">
        <v>172.42</v>
      </c>
      <c r="V209" s="2360">
        <v>23.95</v>
      </c>
      <c r="W209" s="2360">
        <v>10.9</v>
      </c>
      <c r="X209" s="2360"/>
      <c r="Y209" s="2360">
        <v>5538</v>
      </c>
      <c r="Z209" s="2360"/>
      <c r="AA209" s="2360"/>
      <c r="AB209" s="2360">
        <v>10538</v>
      </c>
    </row>
    <row r="210" spans="1:28" ht="15.75" hidden="1" x14ac:dyDescent="0.25">
      <c r="A210" s="2397"/>
      <c r="B210" s="1953" t="s">
        <v>422</v>
      </c>
      <c r="C210" s="2360">
        <v>96088733.959999993</v>
      </c>
      <c r="E210" s="2361">
        <v>2854476.99</v>
      </c>
      <c r="F210" s="2377">
        <f t="shared" si="27"/>
        <v>2.970667707192674E-2</v>
      </c>
      <c r="H210" s="2361">
        <v>2073599.87</v>
      </c>
      <c r="I210" s="2384"/>
      <c r="J210" s="2361"/>
      <c r="K210" s="2361">
        <v>646.41999999999996</v>
      </c>
      <c r="L210" s="2389">
        <v>32980.199999999997</v>
      </c>
      <c r="M210" s="2385"/>
      <c r="N210" s="2385"/>
      <c r="O210" s="2380">
        <v>285477.7</v>
      </c>
      <c r="P210" s="2380">
        <f>1618488.45-1731.06</f>
        <v>1616757.39</v>
      </c>
      <c r="Q210" s="2380">
        <f>488115.57-31249.14</f>
        <v>456866.43</v>
      </c>
      <c r="R210" s="2380">
        <v>333973.81</v>
      </c>
      <c r="S210" s="2380">
        <v>128451.46</v>
      </c>
      <c r="U210" s="2360">
        <v>172.42</v>
      </c>
      <c r="V210" s="2360">
        <v>23.95</v>
      </c>
      <c r="W210" s="2360">
        <v>10.9</v>
      </c>
      <c r="X210" s="2360"/>
      <c r="Y210" s="2360"/>
      <c r="Z210" s="2360"/>
      <c r="AA210" s="2360"/>
      <c r="AB210" s="2360">
        <v>10538</v>
      </c>
    </row>
    <row r="211" spans="1:28" ht="15.75" hidden="1" x14ac:dyDescent="0.25">
      <c r="B211" s="1953" t="s">
        <v>285</v>
      </c>
      <c r="C211" s="2360">
        <v>94627928.5</v>
      </c>
      <c r="E211" s="2361">
        <v>2806663.65</v>
      </c>
      <c r="F211" s="2377">
        <f t="shared" si="27"/>
        <v>2.9659992504221414E-2</v>
      </c>
      <c r="H211" s="2361">
        <v>2038784.77</v>
      </c>
      <c r="I211" s="2384"/>
      <c r="J211" s="2361"/>
      <c r="K211" s="2361">
        <v>724.04</v>
      </c>
      <c r="L211" s="2389">
        <v>32509.05</v>
      </c>
      <c r="M211" s="2385"/>
      <c r="N211" s="2385"/>
      <c r="O211" s="2380">
        <v>280666.37</v>
      </c>
      <c r="P211" s="2380">
        <f>1591378.29-1354.13</f>
        <v>1590024.1600000001</v>
      </c>
      <c r="Q211" s="2380">
        <f>479939.48-31154.92</f>
        <v>448784.56</v>
      </c>
      <c r="R211" s="2380">
        <v>328379.65000000002</v>
      </c>
      <c r="S211" s="2380">
        <v>126299.86</v>
      </c>
      <c r="U211" s="2360">
        <v>172.42</v>
      </c>
      <c r="V211" s="2360">
        <v>23.95</v>
      </c>
      <c r="W211" s="2360">
        <v>10.9</v>
      </c>
      <c r="X211" s="2360"/>
      <c r="Y211" s="2360"/>
      <c r="Z211" s="2360"/>
      <c r="AA211" s="2360"/>
      <c r="AB211" s="2360">
        <v>10538</v>
      </c>
    </row>
    <row r="212" spans="1:28" ht="15.75" hidden="1" x14ac:dyDescent="0.25">
      <c r="B212" s="1953" t="s">
        <v>423</v>
      </c>
      <c r="C212" s="2360">
        <v>98731985.299999997</v>
      </c>
      <c r="E212" s="2361">
        <v>2933618.51</v>
      </c>
      <c r="F212" s="2377">
        <f t="shared" si="27"/>
        <v>2.9712949669614311E-2</v>
      </c>
      <c r="H212" s="2361">
        <v>2121669.71</v>
      </c>
      <c r="I212" s="2384"/>
      <c r="J212" s="2361"/>
      <c r="K212" s="2361">
        <v>2824.24</v>
      </c>
      <c r="L212" s="2398">
        <v>33072.800000000003</v>
      </c>
      <c r="M212" s="2385"/>
      <c r="N212" s="2385"/>
      <c r="O212" s="2380">
        <v>293361.84999999998</v>
      </c>
      <c r="P212" s="2380">
        <f>1663361.69-1556.65</f>
        <v>1661805.04</v>
      </c>
      <c r="Q212" s="2380">
        <f>501648.77-31516.15</f>
        <v>470132.62</v>
      </c>
      <c r="R212" s="2380">
        <v>343233.37</v>
      </c>
      <c r="S212" s="2380">
        <v>132012.82999999999</v>
      </c>
      <c r="U212" s="2360">
        <v>172.42</v>
      </c>
      <c r="V212" s="2360">
        <v>23.95</v>
      </c>
      <c r="W212" s="2360">
        <v>10.9</v>
      </c>
      <c r="X212" s="2360"/>
      <c r="Y212" s="2360">
        <v>10244</v>
      </c>
      <c r="Z212" s="2360"/>
      <c r="AA212" s="2360"/>
      <c r="AB212" s="2360">
        <v>10538</v>
      </c>
    </row>
    <row r="213" spans="1:28" ht="15.75" hidden="1" x14ac:dyDescent="0.25">
      <c r="B213" s="1953" t="s">
        <v>424</v>
      </c>
      <c r="C213" s="2360">
        <v>112995008.95</v>
      </c>
      <c r="E213" s="2361">
        <v>3347650.45</v>
      </c>
      <c r="F213" s="2377">
        <f t="shared" si="27"/>
        <v>2.9626533783287071E-2</v>
      </c>
      <c r="H213" s="2361">
        <v>2425234.59</v>
      </c>
      <c r="I213" s="2384"/>
      <c r="J213" s="2361"/>
      <c r="K213" s="2361">
        <v>1242.1300000000001</v>
      </c>
      <c r="L213" s="2398">
        <v>45307.49</v>
      </c>
      <c r="M213" s="2385"/>
      <c r="N213" s="2385"/>
      <c r="O213" s="2380">
        <v>334765.05</v>
      </c>
      <c r="P213" s="2380">
        <f>1898117.8-1700.29</f>
        <v>1896417.51</v>
      </c>
      <c r="Q213" s="2380">
        <f>572448.23-43607.2</f>
        <v>528841.03</v>
      </c>
      <c r="R213" s="2380">
        <v>391675.1</v>
      </c>
      <c r="S213" s="2380">
        <v>150644.26999999999</v>
      </c>
      <c r="U213" s="2360">
        <v>172.42</v>
      </c>
      <c r="V213" s="2360">
        <v>23.95</v>
      </c>
      <c r="W213" s="2360">
        <v>10.9</v>
      </c>
      <c r="X213" s="2360"/>
      <c r="Y213" s="2360"/>
      <c r="Z213" s="2360"/>
      <c r="AA213" s="2360"/>
      <c r="AB213" s="2360">
        <v>10538</v>
      </c>
    </row>
    <row r="214" spans="1:28" ht="15.75" hidden="1" x14ac:dyDescent="0.25">
      <c r="B214" s="1953" t="s">
        <v>425</v>
      </c>
      <c r="C214" s="2360">
        <v>110786376.59</v>
      </c>
      <c r="E214" s="2361">
        <v>3277494.61</v>
      </c>
      <c r="F214" s="2377">
        <f t="shared" si="27"/>
        <v>2.9583913752585341E-2</v>
      </c>
      <c r="H214" s="2361">
        <v>2365998.33</v>
      </c>
      <c r="I214" s="2384"/>
      <c r="J214" s="2361"/>
      <c r="K214" s="2361">
        <v>961.79</v>
      </c>
      <c r="L214" s="2398">
        <v>47121.74</v>
      </c>
      <c r="M214" s="2385"/>
      <c r="N214" s="2385"/>
      <c r="O214" s="2380">
        <v>327749.46000000002</v>
      </c>
      <c r="P214" s="2380">
        <f>1858339.44-1962.26</f>
        <v>1856377.18</v>
      </c>
      <c r="Q214" s="2380">
        <f>560451.58-45159.48</f>
        <v>515292.1</v>
      </c>
      <c r="R214" s="2380">
        <v>383466.87</v>
      </c>
      <c r="S214" s="2380">
        <v>147487.26</v>
      </c>
      <c r="U214" s="2360">
        <v>172.42</v>
      </c>
      <c r="V214" s="2360">
        <v>23.95</v>
      </c>
      <c r="W214" s="2360">
        <v>10.9</v>
      </c>
      <c r="X214" s="2360"/>
      <c r="Y214" s="2360">
        <v>5647</v>
      </c>
      <c r="Z214" s="2360"/>
      <c r="AA214" s="2360"/>
      <c r="AB214" s="2360">
        <v>10538</v>
      </c>
    </row>
    <row r="215" spans="1:28" ht="15.75" hidden="1" x14ac:dyDescent="0.25">
      <c r="B215" s="1953" t="s">
        <v>426</v>
      </c>
      <c r="C215" s="2360">
        <v>102632759.87</v>
      </c>
      <c r="E215" s="2361">
        <v>3043255.94</v>
      </c>
      <c r="F215" s="2377">
        <f t="shared" si="27"/>
        <v>2.965189617676409E-2</v>
      </c>
      <c r="H215" s="2361">
        <v>2193911.7999999998</v>
      </c>
      <c r="I215" s="2384"/>
      <c r="J215" s="2361"/>
      <c r="K215" s="2361">
        <v>888.68</v>
      </c>
      <c r="L215" s="2389">
        <v>51987.14</v>
      </c>
      <c r="M215" s="2385"/>
      <c r="N215" s="2385"/>
      <c r="O215" s="2380">
        <v>304325.59000000003</v>
      </c>
      <c r="P215" s="2380">
        <f>1725526.12-5297.87</f>
        <v>1720228.25</v>
      </c>
      <c r="Q215" s="2380">
        <f>520396.77-46689.27</f>
        <v>473707.5</v>
      </c>
      <c r="R215" s="2380">
        <v>356060.94</v>
      </c>
      <c r="S215" s="2380">
        <v>136946.51999999999</v>
      </c>
      <c r="U215" s="2360">
        <v>172.42</v>
      </c>
      <c r="V215" s="2360">
        <v>23.95</v>
      </c>
      <c r="W215" s="2360">
        <v>10.9</v>
      </c>
      <c r="X215" s="2360"/>
      <c r="Y215" s="2360"/>
      <c r="Z215" s="2360"/>
      <c r="AA215" s="2360"/>
      <c r="AB215" s="2360">
        <v>10538</v>
      </c>
    </row>
    <row r="216" spans="1:28" ht="15.75" hidden="1" x14ac:dyDescent="0.25">
      <c r="B216" s="1953" t="s">
        <v>416</v>
      </c>
      <c r="C216" s="2360">
        <v>94655066.090000004</v>
      </c>
      <c r="E216" s="2361">
        <v>2819476.69</v>
      </c>
      <c r="F216" s="2377">
        <f t="shared" si="27"/>
        <v>2.9786854591799482E-2</v>
      </c>
      <c r="H216" s="2361">
        <v>2031237.39</v>
      </c>
      <c r="I216" s="2384"/>
      <c r="J216" s="2361"/>
      <c r="K216" s="2361">
        <v>2223.5100000000002</v>
      </c>
      <c r="L216" s="2389">
        <v>49512.46</v>
      </c>
      <c r="M216" s="2385"/>
      <c r="N216" s="2385"/>
      <c r="O216" s="2380">
        <v>281947.67</v>
      </c>
      <c r="P216" s="2380">
        <f>1598643.29-5523.06</f>
        <v>1593120.23</v>
      </c>
      <c r="Q216" s="2380">
        <f>482130.51-43989.4</f>
        <v>438141.11</v>
      </c>
      <c r="R216" s="2380">
        <v>329878.77</v>
      </c>
      <c r="S216" s="2380">
        <v>126876.45</v>
      </c>
      <c r="U216" s="2360">
        <v>172.42</v>
      </c>
      <c r="V216" s="2360">
        <v>23.95</v>
      </c>
      <c r="W216" s="2360">
        <v>10.9</v>
      </c>
      <c r="X216" s="2360"/>
      <c r="Y216" s="2360"/>
      <c r="Z216" s="2360"/>
      <c r="AA216" s="2360"/>
      <c r="AB216" s="2380">
        <f>13015+2477+2477+2477</f>
        <v>20446</v>
      </c>
    </row>
    <row r="217" spans="1:28" ht="15.75" hidden="1" x14ac:dyDescent="0.25">
      <c r="B217" s="1953" t="s">
        <v>417</v>
      </c>
      <c r="C217" s="2360">
        <v>97433748.829999998</v>
      </c>
      <c r="E217" s="2361">
        <v>2984994.95</v>
      </c>
      <c r="F217" s="2377">
        <f t="shared" si="27"/>
        <v>3.063615005934079E-2</v>
      </c>
      <c r="H217" s="2361">
        <v>2159530.84</v>
      </c>
      <c r="I217" s="2384"/>
      <c r="J217" s="2361"/>
      <c r="K217" s="2361">
        <v>1621.97</v>
      </c>
      <c r="L217" s="2389">
        <v>43371.48</v>
      </c>
      <c r="M217" s="2385"/>
      <c r="N217" s="2385"/>
      <c r="O217" s="2380">
        <v>298499.5</v>
      </c>
      <c r="P217" s="2380">
        <f>1692492.13-5062.89</f>
        <v>1687429.24</v>
      </c>
      <c r="Q217" s="2380">
        <f>510434.14-38308.59</f>
        <v>472125.55000000005</v>
      </c>
      <c r="R217" s="2380">
        <v>349244.41</v>
      </c>
      <c r="S217" s="2380">
        <v>134324.76999999999</v>
      </c>
      <c r="U217" s="2360">
        <v>172.42</v>
      </c>
      <c r="V217" s="2360">
        <v>23.95</v>
      </c>
      <c r="W217" s="2360">
        <v>10.9</v>
      </c>
      <c r="X217" s="2360"/>
      <c r="Y217" s="2360"/>
      <c r="Z217" s="2360"/>
      <c r="AA217" s="2360"/>
      <c r="AB217" s="2360">
        <v>13015</v>
      </c>
    </row>
    <row r="218" spans="1:28" ht="15.75" hidden="1" x14ac:dyDescent="0.25">
      <c r="B218" s="1953" t="s">
        <v>418</v>
      </c>
      <c r="C218" s="2400">
        <v>130464935.04000001</v>
      </c>
      <c r="E218" s="2401">
        <v>3734113.95</v>
      </c>
      <c r="F218" s="2402">
        <f t="shared" si="27"/>
        <v>2.8621590535841193E-2</v>
      </c>
      <c r="H218" s="2401">
        <v>2716639.94</v>
      </c>
      <c r="I218" s="2403"/>
      <c r="J218" s="2401"/>
      <c r="K218" s="2401">
        <v>1342.48</v>
      </c>
      <c r="L218" s="2398">
        <v>35551.199999999997</v>
      </c>
      <c r="M218" s="2404"/>
      <c r="N218" s="2404"/>
      <c r="O218" s="2405">
        <v>373411.4</v>
      </c>
      <c r="P218" s="2405">
        <f>2117242.6-2885.61</f>
        <v>2114356.9900000002</v>
      </c>
      <c r="Q218" s="2405">
        <f>638533.49-32665.59</f>
        <v>605867.9</v>
      </c>
      <c r="R218" s="2405">
        <v>436891.33</v>
      </c>
      <c r="S218" s="2405">
        <v>168035.13</v>
      </c>
      <c r="U218" s="2400">
        <v>172.42</v>
      </c>
      <c r="V218" s="2400">
        <v>23.95</v>
      </c>
      <c r="W218" s="2400">
        <v>10.9</v>
      </c>
      <c r="X218" s="2400"/>
      <c r="Y218" s="2400">
        <v>3561</v>
      </c>
      <c r="Z218" s="2400"/>
      <c r="AA218" s="2400"/>
      <c r="AB218" s="2400">
        <v>13015</v>
      </c>
    </row>
    <row r="219" spans="1:28" ht="15.75" hidden="1" x14ac:dyDescent="0.25">
      <c r="C219" s="2390"/>
      <c r="E219" s="2384"/>
      <c r="F219" s="2391"/>
      <c r="H219" s="2384"/>
      <c r="I219" s="2384"/>
      <c r="J219" s="2384"/>
      <c r="K219" s="2384"/>
      <c r="L219" s="2384"/>
      <c r="M219" s="2385"/>
      <c r="N219" s="2385"/>
      <c r="O219" s="2384"/>
      <c r="P219" s="2384"/>
      <c r="Q219" s="2384"/>
      <c r="R219" s="2384"/>
      <c r="S219" s="2384"/>
      <c r="U219" s="2384"/>
      <c r="V219" s="2384"/>
      <c r="W219" s="2384"/>
      <c r="X219" s="2385"/>
      <c r="Y219" s="2384"/>
      <c r="Z219" s="2384"/>
      <c r="AA219" s="2384"/>
      <c r="AB219" s="2384"/>
    </row>
    <row r="220" spans="1:28" ht="16.5" hidden="1" thickBot="1" x14ac:dyDescent="0.3">
      <c r="B220" s="1953">
        <v>2015</v>
      </c>
      <c r="C220" s="2381">
        <f>SUM(C207:C219)</f>
        <v>1269976564.3599999</v>
      </c>
      <c r="E220" s="2382">
        <f>SUM(E207:E219)</f>
        <v>37599639.860000007</v>
      </c>
      <c r="F220" s="2383">
        <f>+E220/C220</f>
        <v>2.960656197537646E-2</v>
      </c>
      <c r="H220" s="2382">
        <f>SUM(H207:H219)</f>
        <v>27227762.760000002</v>
      </c>
      <c r="I220" s="2384"/>
      <c r="J220" s="2382">
        <f>SUM(J207:J219)</f>
        <v>0</v>
      </c>
      <c r="K220" s="2382">
        <f>SUM(K207:K219)</f>
        <v>15757.630000000001</v>
      </c>
      <c r="L220" s="2382">
        <f>SUM(L207:L219)</f>
        <v>495494.04</v>
      </c>
      <c r="M220" s="2385">
        <f>+K220/(E220+K220+J220+L220)</f>
        <v>4.1346789244213722E-4</v>
      </c>
      <c r="N220" s="2385"/>
      <c r="O220" s="2382">
        <f>SUM(O207:O219)</f>
        <v>3759993.9999999995</v>
      </c>
      <c r="P220" s="2382">
        <f>SUM(P207:P219)</f>
        <v>21286526.729999997</v>
      </c>
      <c r="Q220" s="2382">
        <f>SUM(Q207:Q219)</f>
        <v>5966513.4299999997</v>
      </c>
      <c r="R220" s="2382">
        <f>SUM(R207:R219)</f>
        <v>4399157.87</v>
      </c>
      <c r="S220" s="2382">
        <f>SUM(S207:S219)</f>
        <v>1691983.79</v>
      </c>
      <c r="U220" s="2382">
        <f>SUM(U207:U219)</f>
        <v>2069.0400000000004</v>
      </c>
      <c r="V220" s="2382">
        <f>SUM(V207:V219)</f>
        <v>287.39999999999992</v>
      </c>
      <c r="W220" s="2382">
        <f>SUM(W207:W219)</f>
        <v>130.80000000000004</v>
      </c>
      <c r="X220" s="2386">
        <f>SUM(U220:W220)/(E220+J220+K220)</f>
        <v>6.612292215338756E-5</v>
      </c>
      <c r="Y220" s="2382">
        <f>SUM(Y207:Y219)</f>
        <v>24990</v>
      </c>
      <c r="Z220" s="2382">
        <f t="shared" ref="Z220:AA220" si="28">SUM(Z207:Z219)</f>
        <v>0</v>
      </c>
      <c r="AA220" s="2382">
        <f t="shared" si="28"/>
        <v>0</v>
      </c>
      <c r="AB220" s="2382">
        <f>SUM(AB207:AB219)</f>
        <v>141318</v>
      </c>
    </row>
    <row r="221" spans="1:28" ht="15.75" hidden="1" x14ac:dyDescent="0.25">
      <c r="C221" s="2390"/>
      <c r="E221" s="2384"/>
      <c r="F221" s="2391"/>
      <c r="H221" s="2384"/>
      <c r="I221" s="2384"/>
      <c r="J221" s="2384"/>
      <c r="K221" s="2384"/>
      <c r="L221" s="2384"/>
      <c r="M221" s="2385"/>
      <c r="N221" s="2385"/>
      <c r="O221" s="2384"/>
      <c r="P221" s="2384"/>
      <c r="Q221" s="2384"/>
      <c r="R221" s="2384"/>
      <c r="S221" s="2384"/>
      <c r="U221" s="2384"/>
      <c r="V221" s="2384"/>
      <c r="W221" s="2384"/>
      <c r="X221" s="2385"/>
      <c r="Y221" s="2384"/>
      <c r="Z221" s="2384"/>
      <c r="AA221" s="2384"/>
    </row>
    <row r="222" spans="1:28" ht="15.75" hidden="1" x14ac:dyDescent="0.25">
      <c r="A222" s="1953">
        <v>2016</v>
      </c>
      <c r="B222" s="1953" t="s">
        <v>419</v>
      </c>
      <c r="C222" s="2406">
        <v>132836375.09999999</v>
      </c>
      <c r="E222" s="2403">
        <v>3895611.77</v>
      </c>
      <c r="F222" s="2402">
        <f>+E222/C222</f>
        <v>2.9326393219232014E-2</v>
      </c>
      <c r="H222" s="2403">
        <v>2837479.14</v>
      </c>
      <c r="I222" s="2403"/>
      <c r="J222" s="2392"/>
      <c r="K222" s="2392">
        <v>935.09</v>
      </c>
      <c r="L222" s="2403">
        <v>32422.39</v>
      </c>
      <c r="M222" s="2404"/>
      <c r="N222" s="2404"/>
      <c r="O222" s="2407">
        <v>389561.18</v>
      </c>
      <c r="P222" s="2407">
        <f>2208811.87-2038.68</f>
        <v>2206773.19</v>
      </c>
      <c r="Q222" s="2407">
        <f>666149.61-30383.71</f>
        <v>635765.9</v>
      </c>
      <c r="R222" s="2407">
        <v>455786.58</v>
      </c>
      <c r="S222" s="2407">
        <v>175302.53</v>
      </c>
      <c r="U222" s="2407">
        <v>172.42</v>
      </c>
      <c r="V222" s="2407">
        <v>23.95</v>
      </c>
      <c r="W222" s="2407">
        <v>10.9</v>
      </c>
      <c r="X222" s="2400"/>
      <c r="Y222" s="2407">
        <v>5036</v>
      </c>
      <c r="Z222" s="2407"/>
      <c r="AA222" s="2407"/>
      <c r="AB222" s="2400">
        <v>13015</v>
      </c>
    </row>
    <row r="223" spans="1:28" ht="15.75" hidden="1" x14ac:dyDescent="0.25">
      <c r="B223" s="1953" t="s">
        <v>420</v>
      </c>
      <c r="C223" s="2400">
        <v>112902781.43000001</v>
      </c>
      <c r="E223" s="2401">
        <v>3345189.9</v>
      </c>
      <c r="F223" s="2402">
        <f t="shared" ref="F223:F233" si="29">+E223/C223</f>
        <v>2.9628941445291369E-2</v>
      </c>
      <c r="H223" s="2401">
        <v>2441006.7999999998</v>
      </c>
      <c r="I223" s="2403"/>
      <c r="J223" s="2401"/>
      <c r="K223" s="2401">
        <v>1826.24</v>
      </c>
      <c r="L223" s="2398">
        <v>27719.39</v>
      </c>
      <c r="M223" s="2404"/>
      <c r="N223" s="2404"/>
      <c r="O223" s="2405">
        <v>334518.99</v>
      </c>
      <c r="P223" s="2405">
        <f>1896722.67-1384.1</f>
        <v>1895338.5699999998</v>
      </c>
      <c r="Q223" s="2405">
        <f>572027.47-26335.29</f>
        <v>545692.17999999993</v>
      </c>
      <c r="R223" s="2405">
        <v>391387.22</v>
      </c>
      <c r="S223" s="2405">
        <v>150533.54999999999</v>
      </c>
      <c r="U223" s="2400">
        <v>172.42</v>
      </c>
      <c r="V223" s="2400">
        <v>23.95</v>
      </c>
      <c r="W223" s="2400">
        <v>10.9</v>
      </c>
      <c r="X223" s="2400"/>
      <c r="Y223" s="2400"/>
      <c r="Z223" s="2400"/>
      <c r="AA223" s="2400"/>
      <c r="AB223" s="2400">
        <v>13015</v>
      </c>
    </row>
    <row r="224" spans="1:28" ht="15.75" hidden="1" x14ac:dyDescent="0.25">
      <c r="B224" s="1953" t="s">
        <v>421</v>
      </c>
      <c r="C224" s="2400">
        <v>103592870.3</v>
      </c>
      <c r="E224" s="2401">
        <v>3066047.36</v>
      </c>
      <c r="F224" s="2402">
        <f t="shared" si="29"/>
        <v>2.9597088594233111E-2</v>
      </c>
      <c r="H224" s="2401">
        <v>2231194.58</v>
      </c>
      <c r="I224" s="2403"/>
      <c r="J224" s="2401"/>
      <c r="K224" s="2401">
        <v>1212.28</v>
      </c>
      <c r="L224" s="2398">
        <v>31524.42</v>
      </c>
      <c r="M224" s="2404"/>
      <c r="N224" s="2404"/>
      <c r="O224" s="2405">
        <v>306604.74</v>
      </c>
      <c r="P224" s="2405">
        <f>1738448.85-1090.22</f>
        <v>1737358.6300000001</v>
      </c>
      <c r="Q224" s="2405">
        <f>524294.1-30434.2</f>
        <v>493859.89999999997</v>
      </c>
      <c r="R224" s="2405">
        <v>358727.54</v>
      </c>
      <c r="S224" s="2405">
        <v>137972.13</v>
      </c>
      <c r="U224" s="2400">
        <v>172.42</v>
      </c>
      <c r="V224" s="2400">
        <v>23.95</v>
      </c>
      <c r="W224" s="2400">
        <v>10.9</v>
      </c>
      <c r="X224" s="2400"/>
      <c r="Y224" s="2400"/>
      <c r="Z224" s="2400"/>
      <c r="AA224" s="2400"/>
      <c r="AB224" s="2400">
        <v>13015</v>
      </c>
    </row>
    <row r="225" spans="1:28" ht="15.75" hidden="1" x14ac:dyDescent="0.25">
      <c r="A225" s="2397"/>
      <c r="B225" s="1953" t="s">
        <v>422</v>
      </c>
      <c r="C225" s="2400">
        <v>97912726.409999996</v>
      </c>
      <c r="E225" s="2401">
        <v>2908065.76</v>
      </c>
      <c r="F225" s="2402">
        <f t="shared" si="29"/>
        <v>2.9700590174792579E-2</v>
      </c>
      <c r="H225" s="2401">
        <v>2114050.2400000002</v>
      </c>
      <c r="I225" s="2403"/>
      <c r="J225" s="2401"/>
      <c r="K225" s="2401">
        <v>824.73</v>
      </c>
      <c r="L225" s="2398">
        <v>32078.34</v>
      </c>
      <c r="M225" s="2404"/>
      <c r="N225" s="2404"/>
      <c r="O225" s="2405">
        <v>290806.58</v>
      </c>
      <c r="P225" s="2405">
        <f>1648873.29-1601.82</f>
        <v>1647271.47</v>
      </c>
      <c r="Q225" s="2405">
        <f>497279.24-30476.52</f>
        <v>466802.72</v>
      </c>
      <c r="R225" s="2405">
        <v>340243.69</v>
      </c>
      <c r="S225" s="2405">
        <v>130862.96</v>
      </c>
      <c r="U225" s="2400">
        <v>172.42</v>
      </c>
      <c r="V225" s="2400">
        <v>23.95</v>
      </c>
      <c r="W225" s="2400">
        <v>10.9</v>
      </c>
      <c r="X225" s="2400"/>
      <c r="Y225" s="2400"/>
      <c r="Z225" s="2400"/>
      <c r="AA225" s="2400"/>
      <c r="AB225" s="2400">
        <v>13015</v>
      </c>
    </row>
    <row r="226" spans="1:28" ht="15.75" hidden="1" x14ac:dyDescent="0.25">
      <c r="B226" s="1953" t="s">
        <v>285</v>
      </c>
      <c r="C226" s="2400">
        <v>94210781.390000001</v>
      </c>
      <c r="E226" s="2401">
        <v>2789133.7</v>
      </c>
      <c r="F226" s="2402">
        <f t="shared" si="29"/>
        <v>2.9605249620571056E-2</v>
      </c>
      <c r="H226" s="2401">
        <v>2011362.4</v>
      </c>
      <c r="I226" s="2403"/>
      <c r="J226" s="2401"/>
      <c r="K226" s="2401">
        <v>1201.25</v>
      </c>
      <c r="L226" s="2398">
        <v>41559.32</v>
      </c>
      <c r="M226" s="2404"/>
      <c r="N226" s="2404"/>
      <c r="O226" s="2405">
        <v>278913.37</v>
      </c>
      <c r="P226" s="2405">
        <f>1581438.81-1233.7</f>
        <v>1580205.11</v>
      </c>
      <c r="Q226" s="2405">
        <f>476941.86-40325.62</f>
        <v>436616.24</v>
      </c>
      <c r="R226" s="2405">
        <v>326328.64</v>
      </c>
      <c r="S226" s="2405">
        <v>125511.02</v>
      </c>
      <c r="U226" s="2400">
        <v>172.42</v>
      </c>
      <c r="V226" s="2400">
        <v>23.95</v>
      </c>
      <c r="W226" s="2400">
        <v>10.9</v>
      </c>
      <c r="X226" s="2400"/>
      <c r="Y226" s="2400">
        <v>5435</v>
      </c>
      <c r="Z226" s="2400"/>
      <c r="AA226" s="2400"/>
      <c r="AB226" s="2400">
        <v>13015</v>
      </c>
    </row>
    <row r="227" spans="1:28" ht="15.75" hidden="1" x14ac:dyDescent="0.25">
      <c r="B227" s="1953" t="s">
        <v>423</v>
      </c>
      <c r="C227" s="2400">
        <v>100577364.48999999</v>
      </c>
      <c r="E227" s="2401">
        <v>2976166.51</v>
      </c>
      <c r="F227" s="2402">
        <f t="shared" si="29"/>
        <v>2.9590818223278342E-2</v>
      </c>
      <c r="H227" s="2401">
        <v>2154805.02</v>
      </c>
      <c r="I227" s="2403"/>
      <c r="J227" s="2401"/>
      <c r="K227" s="2401">
        <v>824.73</v>
      </c>
      <c r="L227" s="2398">
        <v>41581.919999999998</v>
      </c>
      <c r="M227" s="2404"/>
      <c r="N227" s="2404"/>
      <c r="O227" s="2405">
        <v>297616.65000000002</v>
      </c>
      <c r="P227" s="2405">
        <f>1687486.42-1081.71</f>
        <v>1686404.71</v>
      </c>
      <c r="Q227" s="2405">
        <f>508924.47-40500.21</f>
        <v>468424.25999999995</v>
      </c>
      <c r="R227" s="2405">
        <v>348211.48</v>
      </c>
      <c r="S227" s="2405">
        <v>133927.49</v>
      </c>
      <c r="U227" s="2400">
        <v>172.42</v>
      </c>
      <c r="V227" s="2400">
        <v>23.95</v>
      </c>
      <c r="W227" s="2400">
        <v>10.9</v>
      </c>
      <c r="X227" s="2400"/>
      <c r="Y227" s="2400"/>
      <c r="Z227" s="2400"/>
      <c r="AA227" s="2400"/>
      <c r="AB227" s="2400">
        <v>13015</v>
      </c>
    </row>
    <row r="228" spans="1:28" ht="15.75" hidden="1" x14ac:dyDescent="0.25">
      <c r="B228" s="1953" t="s">
        <v>424</v>
      </c>
      <c r="C228" s="2400">
        <v>105061683.91</v>
      </c>
      <c r="E228" s="2401">
        <v>3092791.98</v>
      </c>
      <c r="F228" s="2402">
        <f t="shared" si="29"/>
        <v>2.9437867973346098E-2</v>
      </c>
      <c r="H228" s="2401">
        <v>2235689.14</v>
      </c>
      <c r="I228" s="2403"/>
      <c r="J228" s="2401"/>
      <c r="K228" s="2401">
        <v>783.18</v>
      </c>
      <c r="L228" s="2398">
        <v>46767.39</v>
      </c>
      <c r="M228" s="2404"/>
      <c r="N228" s="2404"/>
      <c r="O228" s="2405">
        <v>309279.2</v>
      </c>
      <c r="P228" s="2405">
        <f>1753613.05-1669.84</f>
        <v>1751943.21</v>
      </c>
      <c r="Q228" s="2405">
        <f>528867.43-45097.55</f>
        <v>483769.88000000006</v>
      </c>
      <c r="R228" s="2405">
        <v>361856.66</v>
      </c>
      <c r="S228" s="2405">
        <v>139175.64000000001</v>
      </c>
      <c r="U228" s="2400">
        <v>172.42</v>
      </c>
      <c r="V228" s="2400">
        <v>23.95</v>
      </c>
      <c r="W228" s="2400">
        <v>10.9</v>
      </c>
      <c r="X228" s="2400"/>
      <c r="Y228" s="2400"/>
      <c r="Z228" s="2400"/>
      <c r="AA228" s="2400"/>
      <c r="AB228" s="2400">
        <v>13015</v>
      </c>
    </row>
    <row r="229" spans="1:28" ht="15.75" hidden="1" x14ac:dyDescent="0.25">
      <c r="B229" s="1953" t="s">
        <v>425</v>
      </c>
      <c r="C229" s="2400">
        <v>109072837.48999999</v>
      </c>
      <c r="E229" s="2401">
        <v>3207792.32</v>
      </c>
      <c r="F229" s="2402">
        <f t="shared" si="29"/>
        <v>2.9409634825848335E-2</v>
      </c>
      <c r="H229" s="2401">
        <v>2318918.88</v>
      </c>
      <c r="I229" s="2403"/>
      <c r="J229" s="2401"/>
      <c r="K229" s="2401">
        <v>1065.57</v>
      </c>
      <c r="L229" s="2398">
        <v>48407.91</v>
      </c>
      <c r="M229" s="2404"/>
      <c r="N229" s="2404"/>
      <c r="O229" s="2405">
        <v>320779.23</v>
      </c>
      <c r="P229" s="2405">
        <f>1818818.25-1996.27</f>
        <v>1816821.98</v>
      </c>
      <c r="Q229" s="2405">
        <f>548532.49-46411.64</f>
        <v>502120.85</v>
      </c>
      <c r="R229" s="2405">
        <v>375311.7</v>
      </c>
      <c r="S229" s="2405">
        <v>144350.65</v>
      </c>
      <c r="U229" s="2400">
        <v>172.42</v>
      </c>
      <c r="V229" s="2400">
        <v>23.95</v>
      </c>
      <c r="W229" s="2400">
        <v>10.9</v>
      </c>
      <c r="X229" s="2400"/>
      <c r="Y229" s="2400"/>
      <c r="Z229" s="2400"/>
      <c r="AA229" s="2400"/>
      <c r="AB229" s="2400">
        <v>13015</v>
      </c>
    </row>
    <row r="230" spans="1:28" ht="15.75" hidden="1" x14ac:dyDescent="0.25">
      <c r="B230" s="1953" t="s">
        <v>426</v>
      </c>
      <c r="C230" s="2400">
        <v>107595850.61</v>
      </c>
      <c r="E230" s="2401">
        <v>3126431.51</v>
      </c>
      <c r="F230" s="2402">
        <f t="shared" si="29"/>
        <v>2.9057175460532381E-2</v>
      </c>
      <c r="H230" s="2401">
        <v>2246967.4300000002</v>
      </c>
      <c r="I230" s="2403"/>
      <c r="J230" s="2401"/>
      <c r="K230" s="2401">
        <v>756.89</v>
      </c>
      <c r="L230" s="2398">
        <v>50494.07</v>
      </c>
      <c r="M230" s="2404"/>
      <c r="N230" s="2404"/>
      <c r="O230" s="2405">
        <v>312643.15000000002</v>
      </c>
      <c r="P230" s="2405">
        <f>1772686.67-3345.65</f>
        <v>1769341.02</v>
      </c>
      <c r="Q230" s="2405">
        <f>534619.79-47148.42</f>
        <v>487471.37000000005</v>
      </c>
      <c r="R230" s="2405">
        <v>365792.49</v>
      </c>
      <c r="S230" s="2405">
        <v>140689.42000000001</v>
      </c>
      <c r="U230" s="2400">
        <v>172.42</v>
      </c>
      <c r="V230" s="2400">
        <v>23.95</v>
      </c>
      <c r="W230" s="2400">
        <v>10.9</v>
      </c>
      <c r="X230" s="2400"/>
      <c r="Y230" s="2400">
        <v>9821</v>
      </c>
      <c r="Z230" s="2400"/>
      <c r="AA230" s="2400"/>
      <c r="AB230" s="2400">
        <v>13015</v>
      </c>
    </row>
    <row r="231" spans="1:28" ht="15.75" hidden="1" x14ac:dyDescent="0.25">
      <c r="B231" s="1953" t="s">
        <v>416</v>
      </c>
      <c r="C231" s="2400">
        <v>98542804.969999999</v>
      </c>
      <c r="E231" s="2401">
        <v>2860445.42</v>
      </c>
      <c r="F231" s="2402">
        <f t="shared" si="29"/>
        <v>2.9027440622081166E-2</v>
      </c>
      <c r="H231" s="2401">
        <v>2050633.88</v>
      </c>
      <c r="I231" s="2403"/>
      <c r="J231" s="2401"/>
      <c r="K231" s="2401">
        <v>1007.81</v>
      </c>
      <c r="L231" s="2398">
        <v>53593.99</v>
      </c>
      <c r="M231" s="2404"/>
      <c r="N231" s="2404"/>
      <c r="O231" s="2405">
        <v>286044.53999999998</v>
      </c>
      <c r="P231" s="2405">
        <f>1621872.56-5615.53</f>
        <v>1616257.03</v>
      </c>
      <c r="Q231" s="2405">
        <f>489136.17-47978.46</f>
        <v>441157.70999999996</v>
      </c>
      <c r="R231" s="2405">
        <v>334672.11</v>
      </c>
      <c r="S231" s="2405">
        <v>128720.04</v>
      </c>
      <c r="U231" s="2400">
        <v>172.42</v>
      </c>
      <c r="V231" s="2400">
        <v>23.95</v>
      </c>
      <c r="W231" s="2400">
        <v>10.9</v>
      </c>
      <c r="X231" s="2400"/>
      <c r="Y231" s="2400">
        <v>6756.91</v>
      </c>
      <c r="Z231" s="2400"/>
      <c r="AA231" s="2400"/>
      <c r="AB231" s="2405">
        <v>13015</v>
      </c>
    </row>
    <row r="232" spans="1:28" ht="15.75" hidden="1" x14ac:dyDescent="0.25">
      <c r="B232" s="1953" t="s">
        <v>417</v>
      </c>
      <c r="C232" s="2400">
        <v>101892862.88</v>
      </c>
      <c r="E232" s="2401">
        <v>3097349.93</v>
      </c>
      <c r="F232" s="2402">
        <f t="shared" si="29"/>
        <v>3.0398104856939518E-2</v>
      </c>
      <c r="H232" s="2401">
        <v>2235053.6800000002</v>
      </c>
      <c r="I232" s="2403"/>
      <c r="J232" s="2401"/>
      <c r="K232" s="2401">
        <v>1661.8</v>
      </c>
      <c r="L232" s="2398">
        <v>50766.62</v>
      </c>
      <c r="M232" s="2404"/>
      <c r="N232" s="2404"/>
      <c r="O232" s="2405">
        <v>309734.99</v>
      </c>
      <c r="P232" s="2405">
        <f>1756197.41-5795.99</f>
        <v>1750401.42</v>
      </c>
      <c r="Q232" s="2405">
        <f>529646.84-44970.63</f>
        <v>484676.20999999996</v>
      </c>
      <c r="R232" s="2405">
        <v>362389.94</v>
      </c>
      <c r="S232" s="2405">
        <v>139380.75</v>
      </c>
      <c r="U232" s="2400">
        <v>172.42</v>
      </c>
      <c r="V232" s="2400">
        <v>23.95</v>
      </c>
      <c r="W232" s="2400">
        <v>10.9</v>
      </c>
      <c r="X232" s="2400"/>
      <c r="Y232" s="2400"/>
      <c r="Z232" s="2400"/>
      <c r="AA232" s="2400"/>
      <c r="AB232" s="2400">
        <v>13015</v>
      </c>
    </row>
    <row r="233" spans="1:28" ht="15.75" hidden="1" x14ac:dyDescent="0.25">
      <c r="B233" s="1953" t="s">
        <v>418</v>
      </c>
      <c r="C233" s="2400">
        <v>124300239.63</v>
      </c>
      <c r="E233" s="2401">
        <v>3672631.36</v>
      </c>
      <c r="F233" s="2402">
        <f t="shared" si="29"/>
        <v>2.9546454382808819E-2</v>
      </c>
      <c r="H233" s="2401">
        <v>2661647.73</v>
      </c>
      <c r="I233" s="2403"/>
      <c r="J233" s="2401"/>
      <c r="K233" s="2401">
        <v>726.17</v>
      </c>
      <c r="L233" s="2398">
        <v>48730.26</v>
      </c>
      <c r="M233" s="2404"/>
      <c r="N233" s="2404"/>
      <c r="O233" s="2405">
        <v>367263.14</v>
      </c>
      <c r="P233" s="2405">
        <f>2082381.98-4665.55</f>
        <v>2077716.43</v>
      </c>
      <c r="Q233" s="2405">
        <f>628019.96-44064.71</f>
        <v>583955.25</v>
      </c>
      <c r="R233" s="2405">
        <v>429697.87</v>
      </c>
      <c r="S233" s="2405">
        <v>165268.41</v>
      </c>
      <c r="U233" s="2400">
        <v>172.42</v>
      </c>
      <c r="V233" s="2400">
        <v>23.95</v>
      </c>
      <c r="W233" s="2400">
        <v>10.9</v>
      </c>
      <c r="X233" s="2400"/>
      <c r="Y233" s="2400"/>
      <c r="Z233" s="2400"/>
      <c r="AA233" s="2400"/>
      <c r="AB233" s="2400">
        <v>13015</v>
      </c>
    </row>
    <row r="234" spans="1:28" ht="15.75" hidden="1" x14ac:dyDescent="0.25">
      <c r="C234" s="2390"/>
      <c r="E234" s="2384"/>
      <c r="F234" s="2391"/>
      <c r="H234" s="2384"/>
      <c r="I234" s="2384"/>
      <c r="J234" s="2384"/>
      <c r="K234" s="2384"/>
      <c r="L234" s="2384"/>
      <c r="M234" s="2385"/>
      <c r="N234" s="2385"/>
      <c r="O234" s="2384"/>
      <c r="P234" s="2384"/>
      <c r="Q234" s="2384"/>
      <c r="R234" s="2384"/>
      <c r="S234" s="2384"/>
      <c r="U234" s="2384"/>
      <c r="V234" s="2384"/>
      <c r="W234" s="2384"/>
      <c r="X234" s="2385"/>
      <c r="Y234" s="2384"/>
      <c r="Z234" s="2384"/>
      <c r="AA234" s="2384"/>
      <c r="AB234" s="2384"/>
    </row>
    <row r="235" spans="1:28" ht="16.5" hidden="1" thickBot="1" x14ac:dyDescent="0.3">
      <c r="B235" s="1953">
        <v>2016</v>
      </c>
      <c r="C235" s="2381">
        <f>SUM(C222:C234)</f>
        <v>1288499178.6100001</v>
      </c>
      <c r="E235" s="2382">
        <f>SUM(E222:E234)</f>
        <v>38037657.520000003</v>
      </c>
      <c r="F235" s="2383">
        <f>+E235/C235</f>
        <v>2.9520901643906403E-2</v>
      </c>
      <c r="H235" s="2382">
        <f>SUM(H222:H234)</f>
        <v>27538808.919999998</v>
      </c>
      <c r="I235" s="2384"/>
      <c r="J235" s="2382">
        <f>SUM(J222:J234)</f>
        <v>0</v>
      </c>
      <c r="K235" s="2382">
        <f>SUM(K222:K234)</f>
        <v>12825.739999999998</v>
      </c>
      <c r="L235" s="2382">
        <f>SUM(L222:L234)</f>
        <v>505646.01999999996</v>
      </c>
      <c r="M235" s="2385">
        <f>+K235/(E235+K235+J235+L235)</f>
        <v>3.3265113068943404E-4</v>
      </c>
      <c r="N235" s="2385"/>
      <c r="O235" s="2382">
        <f>SUM(O222:O234)</f>
        <v>3803765.7600000002</v>
      </c>
      <c r="P235" s="2382">
        <f>SUM(P222:P234)</f>
        <v>21535832.770000003</v>
      </c>
      <c r="Q235" s="2382">
        <f>SUM(Q222:Q234)</f>
        <v>6030312.4699999997</v>
      </c>
      <c r="R235" s="2382">
        <f>SUM(R222:R234)</f>
        <v>4450405.92</v>
      </c>
      <c r="S235" s="2382">
        <f>SUM(S222:S234)</f>
        <v>1711694.5899999999</v>
      </c>
      <c r="U235" s="2382">
        <f>SUM(U222:U234)</f>
        <v>2069.0400000000004</v>
      </c>
      <c r="V235" s="2382">
        <f>SUM(V222:V234)</f>
        <v>287.39999999999992</v>
      </c>
      <c r="W235" s="2382">
        <f>SUM(W222:W234)</f>
        <v>130.80000000000004</v>
      </c>
      <c r="X235" s="2386">
        <f>SUM(U235:W235)/(E235+J235+K235)</f>
        <v>6.5366843911143546E-5</v>
      </c>
      <c r="Y235" s="2382">
        <f>SUM(Y222:Y234)</f>
        <v>27048.91</v>
      </c>
      <c r="Z235" s="2382">
        <f t="shared" ref="Z235:AA235" si="30">SUM(Z222:Z234)</f>
        <v>0</v>
      </c>
      <c r="AA235" s="2382">
        <f t="shared" si="30"/>
        <v>0</v>
      </c>
      <c r="AB235" s="2382">
        <f>SUM(AB222:AB234)</f>
        <v>156180</v>
      </c>
    </row>
    <row r="236" spans="1:28" ht="15.75" hidden="1" x14ac:dyDescent="0.25">
      <c r="C236" s="2390"/>
      <c r="E236" s="2384"/>
      <c r="F236" s="2391"/>
      <c r="H236" s="2384"/>
      <c r="I236" s="2384"/>
      <c r="J236" s="2384"/>
      <c r="K236" s="2384"/>
      <c r="L236" s="2384"/>
      <c r="M236" s="2385"/>
      <c r="N236" s="2385"/>
      <c r="O236" s="2384"/>
      <c r="P236" s="2384"/>
      <c r="Q236" s="2384"/>
      <c r="R236" s="2384"/>
      <c r="S236" s="2384"/>
      <c r="U236" s="2384"/>
      <c r="V236" s="2384"/>
      <c r="W236" s="2384"/>
      <c r="X236" s="2385"/>
      <c r="Y236" s="2384"/>
      <c r="Z236" s="2384"/>
      <c r="AA236" s="2384"/>
    </row>
    <row r="237" spans="1:28" ht="15.75" hidden="1" x14ac:dyDescent="0.25">
      <c r="A237" s="1953">
        <v>2017</v>
      </c>
      <c r="B237" s="1953" t="s">
        <v>419</v>
      </c>
      <c r="C237" s="2406">
        <v>151909276.56</v>
      </c>
      <c r="E237" s="2403">
        <v>4482543.57</v>
      </c>
      <c r="F237" s="2402">
        <f>+E237/C237</f>
        <v>2.9508030526559176E-2</v>
      </c>
      <c r="H237" s="2403">
        <v>3265590.67</v>
      </c>
      <c r="I237" s="2403"/>
      <c r="J237" s="2392"/>
      <c r="K237" s="2392">
        <v>874.88</v>
      </c>
      <c r="L237" s="2403">
        <v>42502.53</v>
      </c>
      <c r="M237" s="2404"/>
      <c r="N237" s="2404"/>
      <c r="O237" s="2407">
        <v>448254.36</v>
      </c>
      <c r="P237" s="2407">
        <f>2541602.2-1520.57</f>
        <v>2540081.6300000004</v>
      </c>
      <c r="Q237" s="2407">
        <f>766514.95-40981.96</f>
        <v>725532.99</v>
      </c>
      <c r="R237" s="2407">
        <v>524457.6</v>
      </c>
      <c r="S237" s="2407">
        <v>201714.46</v>
      </c>
      <c r="U237" s="2407">
        <v>172.42</v>
      </c>
      <c r="V237" s="2407">
        <v>23.95</v>
      </c>
      <c r="W237" s="2407">
        <v>10.9</v>
      </c>
      <c r="X237" s="2400"/>
      <c r="Y237" s="2407"/>
      <c r="Z237" s="2407"/>
      <c r="AA237" s="2407"/>
      <c r="AB237" s="2400">
        <v>12980</v>
      </c>
    </row>
    <row r="238" spans="1:28" ht="15.75" hidden="1" x14ac:dyDescent="0.25">
      <c r="B238" s="1953" t="s">
        <v>420</v>
      </c>
      <c r="C238" s="2400">
        <v>125710878.26000001</v>
      </c>
      <c r="E238" s="2401">
        <v>3708858.24</v>
      </c>
      <c r="F238" s="2402">
        <f t="shared" ref="F238:F248" si="31">+E238/C238</f>
        <v>2.9503081128183666E-2</v>
      </c>
      <c r="H238" s="2401">
        <v>2692416.4</v>
      </c>
      <c r="I238" s="2403"/>
      <c r="J238" s="2401"/>
      <c r="K238" s="2401">
        <v>1651.17</v>
      </c>
      <c r="L238" s="2398">
        <v>44697.04</v>
      </c>
      <c r="M238" s="2404"/>
      <c r="N238" s="2404"/>
      <c r="O238" s="2405">
        <v>370885.82</v>
      </c>
      <c r="P238" s="2405">
        <f>2102922.63-3289.55</f>
        <v>2099633.08</v>
      </c>
      <c r="Q238" s="2405">
        <f>634214.76-41407.49</f>
        <v>592807.27</v>
      </c>
      <c r="R238" s="2405">
        <v>433936.41</v>
      </c>
      <c r="S238" s="2405">
        <v>166898.62</v>
      </c>
      <c r="U238" s="2400">
        <v>172.42</v>
      </c>
      <c r="V238" s="2400">
        <v>23.95</v>
      </c>
      <c r="W238" s="2400">
        <v>10.9</v>
      </c>
      <c r="X238" s="2400"/>
      <c r="Y238" s="2400"/>
      <c r="Z238" s="2400"/>
      <c r="AA238" s="2400"/>
      <c r="AB238" s="2400">
        <v>12980</v>
      </c>
    </row>
    <row r="239" spans="1:28" ht="15.75" hidden="1" x14ac:dyDescent="0.25">
      <c r="B239" s="1953" t="s">
        <v>421</v>
      </c>
      <c r="C239" s="2400">
        <v>114238409.5</v>
      </c>
      <c r="E239" s="2401">
        <v>3321028.47</v>
      </c>
      <c r="F239" s="2402">
        <f t="shared" si="31"/>
        <v>2.9071032103261209E-2</v>
      </c>
      <c r="H239" s="2401">
        <v>2402409.2799999998</v>
      </c>
      <c r="I239" s="2403"/>
      <c r="J239" s="2401"/>
      <c r="K239" s="2401">
        <v>946.89</v>
      </c>
      <c r="L239" s="2398">
        <v>41456.120000000003</v>
      </c>
      <c r="M239" s="2404"/>
      <c r="N239" s="2404"/>
      <c r="O239" s="2405">
        <v>332102.84999999998</v>
      </c>
      <c r="P239" s="2405">
        <f>1883023.14-1654.96</f>
        <v>1881368.18</v>
      </c>
      <c r="Q239" s="2405">
        <f>567895.87-39801.16</f>
        <v>528094.71</v>
      </c>
      <c r="R239" s="2405">
        <v>388560.33</v>
      </c>
      <c r="S239" s="2405">
        <v>149446.28</v>
      </c>
      <c r="U239" s="2400">
        <v>172.42</v>
      </c>
      <c r="V239" s="2400">
        <v>23.95</v>
      </c>
      <c r="W239" s="2400">
        <v>10.9</v>
      </c>
      <c r="X239" s="2400"/>
      <c r="Y239" s="2400">
        <v>7029.66</v>
      </c>
      <c r="Z239" s="2400"/>
      <c r="AA239" s="2400"/>
      <c r="AB239" s="2400">
        <v>12980</v>
      </c>
    </row>
    <row r="240" spans="1:28" ht="15.75" hidden="1" x14ac:dyDescent="0.25">
      <c r="A240" s="2397"/>
      <c r="B240" s="1953" t="s">
        <v>422</v>
      </c>
      <c r="C240" s="2400">
        <v>106755173.90000001</v>
      </c>
      <c r="E240" s="2401">
        <v>3132952.33</v>
      </c>
      <c r="F240" s="2402">
        <f t="shared" si="31"/>
        <v>2.9347077200536507E-2</v>
      </c>
      <c r="H240" s="2401">
        <v>2273286.92</v>
      </c>
      <c r="I240" s="2403"/>
      <c r="J240" s="2401"/>
      <c r="K240" s="2401">
        <v>1065.21</v>
      </c>
      <c r="L240" s="2398">
        <v>38807.96</v>
      </c>
      <c r="M240" s="2404"/>
      <c r="N240" s="2404"/>
      <c r="O240" s="2405">
        <v>313295.23</v>
      </c>
      <c r="P240" s="2405">
        <f>1776383.98-1549.17</f>
        <v>1774834.81</v>
      </c>
      <c r="Q240" s="2405">
        <f>535734.85-37258.79</f>
        <v>498476.06</v>
      </c>
      <c r="R240" s="2405">
        <v>366555.42</v>
      </c>
      <c r="S240" s="2405">
        <v>140982.85</v>
      </c>
      <c r="U240" s="2400">
        <v>163.1</v>
      </c>
      <c r="V240" s="2400">
        <v>23.95</v>
      </c>
      <c r="W240" s="2400">
        <v>10.9</v>
      </c>
      <c r="X240" s="2400"/>
      <c r="Y240" s="2400"/>
      <c r="Z240" s="2400"/>
      <c r="AA240" s="2400"/>
      <c r="AB240" s="2400">
        <v>12980</v>
      </c>
    </row>
    <row r="241" spans="1:28" ht="15.75" hidden="1" x14ac:dyDescent="0.25">
      <c r="B241" s="1953" t="s">
        <v>285</v>
      </c>
      <c r="C241" s="2400">
        <v>99815163.799999997</v>
      </c>
      <c r="E241" s="2401">
        <v>2926272.59</v>
      </c>
      <c r="F241" s="2402">
        <f t="shared" si="31"/>
        <v>2.9316914170109291E-2</v>
      </c>
      <c r="H241" s="2401">
        <v>2113253.1</v>
      </c>
      <c r="I241" s="2403"/>
      <c r="J241" s="2401"/>
      <c r="K241" s="2401">
        <v>1540.46</v>
      </c>
      <c r="L241" s="2398">
        <v>39068.910000000003</v>
      </c>
      <c r="M241" s="2404"/>
      <c r="N241" s="2404"/>
      <c r="O241" s="2405">
        <v>292627.26</v>
      </c>
      <c r="P241" s="2405">
        <f>1659196.56-1108.41</f>
        <v>1658088.1500000001</v>
      </c>
      <c r="Q241" s="2405">
        <f>500392.61-37960.5</f>
        <v>462432.11</v>
      </c>
      <c r="R241" s="2405">
        <v>342373.89</v>
      </c>
      <c r="S241" s="2405">
        <v>131682.26999999999</v>
      </c>
      <c r="U241" s="2400">
        <v>170.09</v>
      </c>
      <c r="V241" s="2400">
        <v>23.95</v>
      </c>
      <c r="W241" s="2400">
        <v>10.9</v>
      </c>
      <c r="X241" s="2400"/>
      <c r="Y241" s="2400">
        <v>7243.21</v>
      </c>
      <c r="Z241" s="2400"/>
      <c r="AA241" s="2400"/>
      <c r="AB241" s="2400">
        <v>12980</v>
      </c>
    </row>
    <row r="242" spans="1:28" ht="15.75" hidden="1" x14ac:dyDescent="0.25">
      <c r="B242" s="1953" t="s">
        <v>423</v>
      </c>
      <c r="C242" s="2400">
        <v>101726619.22</v>
      </c>
      <c r="E242" s="2401">
        <v>2962791.38</v>
      </c>
      <c r="F242" s="2402">
        <f t="shared" si="31"/>
        <v>2.9125035341954028E-2</v>
      </c>
      <c r="H242" s="2401">
        <v>2154685.23</v>
      </c>
      <c r="I242" s="2403"/>
      <c r="J242" s="2401"/>
      <c r="K242" s="2401">
        <v>979.2</v>
      </c>
      <c r="L242" s="2398">
        <v>31830.86</v>
      </c>
      <c r="M242" s="2404"/>
      <c r="N242" s="2404"/>
      <c r="O242" s="2405">
        <v>296279.14</v>
      </c>
      <c r="P242" s="2405">
        <f>1679902.71-1318.53</f>
        <v>1678584.18</v>
      </c>
      <c r="Q242" s="2405">
        <f>506637.33-30512.33</f>
        <v>476125</v>
      </c>
      <c r="R242" s="2405">
        <v>346646.59</v>
      </c>
      <c r="S242" s="2405">
        <v>133325.60999999999</v>
      </c>
      <c r="U242" s="2400">
        <v>170.09</v>
      </c>
      <c r="V242" s="2400">
        <v>23.95</v>
      </c>
      <c r="W242" s="2400">
        <v>10.9</v>
      </c>
      <c r="X242" s="2400"/>
      <c r="Y242" s="2400"/>
      <c r="Z242" s="2400"/>
      <c r="AA242" s="2400"/>
      <c r="AB242" s="2400">
        <v>12980</v>
      </c>
    </row>
    <row r="243" spans="1:28" ht="15.75" hidden="1" x14ac:dyDescent="0.25">
      <c r="B243" s="1953" t="s">
        <v>424</v>
      </c>
      <c r="C243" s="2400">
        <v>111302113.25</v>
      </c>
      <c r="E243" s="2401">
        <v>3244172.63</v>
      </c>
      <c r="F243" s="2402">
        <f t="shared" si="31"/>
        <v>2.9147448644691386E-2</v>
      </c>
      <c r="H243" s="2401">
        <v>2358936.89</v>
      </c>
      <c r="I243" s="2403"/>
      <c r="J243" s="2401"/>
      <c r="K243" s="2401">
        <v>1204.1099999999999</v>
      </c>
      <c r="L243" s="2398">
        <v>35238.559999999998</v>
      </c>
      <c r="M243" s="2404"/>
      <c r="N243" s="2404"/>
      <c r="O243" s="2405">
        <v>324417.26</v>
      </c>
      <c r="P243" s="2405">
        <f>1839445.88-1449.88</f>
        <v>1837996</v>
      </c>
      <c r="Q243" s="2405">
        <f>554753.52-33788.68</f>
        <v>520964.84</v>
      </c>
      <c r="R243" s="2405">
        <v>379568.2</v>
      </c>
      <c r="S243" s="2405">
        <v>145987.76999999999</v>
      </c>
      <c r="U243" s="2400">
        <v>170.09</v>
      </c>
      <c r="V243" s="2400">
        <v>23.95</v>
      </c>
      <c r="W243" s="2400">
        <v>10.9</v>
      </c>
      <c r="X243" s="2400"/>
      <c r="Y243" s="2400"/>
      <c r="Z243" s="2400"/>
      <c r="AA243" s="2400"/>
      <c r="AB243" s="2400">
        <v>12980</v>
      </c>
    </row>
    <row r="244" spans="1:28" ht="15.75" hidden="1" x14ac:dyDescent="0.25">
      <c r="B244" s="1953" t="s">
        <v>425</v>
      </c>
      <c r="C244" s="2400">
        <v>118611942</v>
      </c>
      <c r="E244" s="2401">
        <v>3463452.21</v>
      </c>
      <c r="F244" s="2402">
        <f t="shared" si="31"/>
        <v>2.9199860921255299E-2</v>
      </c>
      <c r="H244" s="2401">
        <v>2511016.5099999998</v>
      </c>
      <c r="I244" s="2403"/>
      <c r="J244" s="2401"/>
      <c r="K244" s="2401">
        <v>829.78</v>
      </c>
      <c r="L244" s="2398">
        <v>37744.47</v>
      </c>
      <c r="M244" s="2404"/>
      <c r="N244" s="2404"/>
      <c r="O244" s="2405">
        <v>346345.22</v>
      </c>
      <c r="P244" s="2405">
        <f>1963777.4-1529.61</f>
        <v>1962247.7899999998</v>
      </c>
      <c r="Q244" s="2405">
        <f>592250.33-36214.86</f>
        <v>556035.47</v>
      </c>
      <c r="R244" s="2405">
        <v>405223.91</v>
      </c>
      <c r="S244" s="2405">
        <v>155855.35</v>
      </c>
      <c r="U244" s="2400">
        <v>170.09</v>
      </c>
      <c r="V244" s="2400">
        <v>23.95</v>
      </c>
      <c r="W244" s="2400">
        <v>10.9</v>
      </c>
      <c r="X244" s="2400"/>
      <c r="Y244" s="2400">
        <v>7242.8</v>
      </c>
      <c r="Z244" s="2400"/>
      <c r="AA244" s="2400"/>
      <c r="AB244" s="2400">
        <v>12980</v>
      </c>
    </row>
    <row r="245" spans="1:28" ht="15.75" hidden="1" x14ac:dyDescent="0.25">
      <c r="B245" s="1953" t="s">
        <v>426</v>
      </c>
      <c r="C245" s="2400">
        <v>110852118.42</v>
      </c>
      <c r="E245" s="2401">
        <v>3163634.14</v>
      </c>
      <c r="F245" s="2402">
        <f t="shared" si="31"/>
        <v>2.8539230328585363E-2</v>
      </c>
      <c r="H245" s="2401">
        <v>2287484.23</v>
      </c>
      <c r="I245" s="2403"/>
      <c r="J245" s="2401"/>
      <c r="K245" s="2401">
        <v>1173.82</v>
      </c>
      <c r="L245" s="2398">
        <v>40011.019999999997</v>
      </c>
      <c r="M245" s="2404"/>
      <c r="N245" s="2404"/>
      <c r="O245" s="2405">
        <v>316363.40999999997</v>
      </c>
      <c r="P245" s="2405">
        <f>1793780.56-2555.83</f>
        <v>1791224.73</v>
      </c>
      <c r="Q245" s="2405">
        <f>540981.44-37455.19</f>
        <v>503526.24999999994</v>
      </c>
      <c r="R245" s="2405">
        <v>370145.19</v>
      </c>
      <c r="S245" s="2405">
        <v>142363.54</v>
      </c>
      <c r="U245" s="2400">
        <v>170.09</v>
      </c>
      <c r="V245" s="2400">
        <v>23.95</v>
      </c>
      <c r="W245" s="2400">
        <v>10.9</v>
      </c>
      <c r="X245" s="2400"/>
      <c r="Y245" s="2408"/>
      <c r="Z245" s="2400"/>
      <c r="AA245" s="2400"/>
      <c r="AB245" s="2400">
        <v>12980</v>
      </c>
    </row>
    <row r="246" spans="1:28" ht="15.75" hidden="1" x14ac:dyDescent="0.25">
      <c r="B246" s="1953" t="s">
        <v>416</v>
      </c>
      <c r="C246" s="2400">
        <v>97033057.239999995</v>
      </c>
      <c r="E246" s="2401">
        <v>2842344.57</v>
      </c>
      <c r="F246" s="2402">
        <f t="shared" si="31"/>
        <v>2.9292538551782314E-2</v>
      </c>
      <c r="H246" s="2401">
        <v>2062972.11</v>
      </c>
      <c r="I246" s="2403"/>
      <c r="J246" s="2401"/>
      <c r="K246" s="2401">
        <v>1087.81</v>
      </c>
      <c r="L246" s="2398">
        <v>34654.230000000003</v>
      </c>
      <c r="M246" s="2404"/>
      <c r="N246" s="2404"/>
      <c r="O246" s="2405">
        <v>284234.46000000002</v>
      </c>
      <c r="P246" s="2405">
        <f>1611609.37-4911.87</f>
        <v>1606697.5</v>
      </c>
      <c r="Q246" s="2405">
        <f>486040.92-29742.36</f>
        <v>456298.56</v>
      </c>
      <c r="R246" s="2405">
        <v>332554.31</v>
      </c>
      <c r="S246" s="2405">
        <v>127905.51</v>
      </c>
      <c r="U246" s="2400">
        <v>170.09</v>
      </c>
      <c r="V246" s="2400">
        <v>23.95</v>
      </c>
      <c r="W246" s="2400">
        <v>10.9</v>
      </c>
      <c r="X246" s="2400"/>
      <c r="Y246" s="2400"/>
      <c r="Z246" s="2400"/>
      <c r="AA246" s="2400"/>
      <c r="AB246" s="2405">
        <v>12980</v>
      </c>
    </row>
    <row r="247" spans="1:28" ht="15.75" hidden="1" x14ac:dyDescent="0.25">
      <c r="B247" s="1953" t="s">
        <v>417</v>
      </c>
      <c r="C247" s="2400">
        <v>107103564.41</v>
      </c>
      <c r="E247" s="2401">
        <v>3238953.95</v>
      </c>
      <c r="F247" s="2402">
        <f t="shared" si="31"/>
        <v>3.0241327334364486E-2</v>
      </c>
      <c r="H247" s="2401">
        <v>2347229.44</v>
      </c>
      <c r="I247" s="2403"/>
      <c r="J247" s="2401"/>
      <c r="K247" s="2401">
        <v>829.78</v>
      </c>
      <c r="L247" s="2398">
        <v>35657.01</v>
      </c>
      <c r="M247" s="2404"/>
      <c r="N247" s="2404"/>
      <c r="O247" s="2405">
        <v>323895.40000000002</v>
      </c>
      <c r="P247" s="2405">
        <f>1836486.88-6875.39</f>
        <v>1829611.49</v>
      </c>
      <c r="Q247" s="2405">
        <f>553861.13-28781.62</f>
        <v>525079.51</v>
      </c>
      <c r="R247" s="2405">
        <v>378957.61</v>
      </c>
      <c r="S247" s="2405">
        <v>145752.93</v>
      </c>
      <c r="U247" s="2400">
        <v>170.09</v>
      </c>
      <c r="V247" s="2400">
        <v>23.95</v>
      </c>
      <c r="W247" s="2400">
        <v>10.9</v>
      </c>
      <c r="X247" s="2400"/>
      <c r="Y247" s="2400">
        <v>7437.61</v>
      </c>
      <c r="Z247" s="2400"/>
      <c r="AA247" s="2400"/>
      <c r="AB247" s="2400">
        <v>20591</v>
      </c>
    </row>
    <row r="248" spans="1:28" ht="15.75" hidden="1" x14ac:dyDescent="0.25">
      <c r="B248" s="1953" t="s">
        <v>418</v>
      </c>
      <c r="C248" s="2400">
        <v>130157547.23</v>
      </c>
      <c r="E248" s="2401">
        <v>3794561.99</v>
      </c>
      <c r="F248" s="2402">
        <f t="shared" si="31"/>
        <v>2.9153607076619771E-2</v>
      </c>
      <c r="H248" s="2401">
        <v>2768100.07</v>
      </c>
      <c r="I248" s="2403"/>
      <c r="J248" s="2401"/>
      <c r="K248" s="2401">
        <v>1271.52</v>
      </c>
      <c r="L248" s="2398">
        <v>32262.73</v>
      </c>
      <c r="M248" s="2404"/>
      <c r="N248" s="2404"/>
      <c r="O248" s="2405">
        <v>379456.2</v>
      </c>
      <c r="P248" s="2405">
        <f>2151516.65-4698.6</f>
        <v>2146818.0499999998</v>
      </c>
      <c r="Q248" s="2405">
        <f>648870.1-27564.13</f>
        <v>621305.97</v>
      </c>
      <c r="R248" s="2405">
        <v>443963.75</v>
      </c>
      <c r="S248" s="2405">
        <v>170755.29</v>
      </c>
      <c r="U248" s="2400">
        <v>170.09</v>
      </c>
      <c r="V248" s="2400">
        <v>23.95</v>
      </c>
      <c r="W248" s="2400">
        <v>10.9</v>
      </c>
      <c r="X248" s="2400"/>
      <c r="Y248" s="2400"/>
      <c r="Z248" s="2400"/>
      <c r="AA248" s="2400"/>
      <c r="AB248" s="2400">
        <v>15517</v>
      </c>
    </row>
    <row r="249" spans="1:28" ht="15.75" hidden="1" x14ac:dyDescent="0.25">
      <c r="C249" s="2390"/>
      <c r="E249" s="2384"/>
      <c r="F249" s="2391"/>
      <c r="H249" s="2384"/>
      <c r="I249" s="2384"/>
      <c r="J249" s="2384"/>
      <c r="K249" s="2384"/>
      <c r="L249" s="2384"/>
      <c r="M249" s="2385"/>
      <c r="N249" s="2385"/>
      <c r="O249" s="2384"/>
      <c r="P249" s="2384"/>
      <c r="Q249" s="2384"/>
      <c r="R249" s="2384"/>
      <c r="S249" s="2384"/>
      <c r="U249" s="2384"/>
      <c r="V249" s="2384"/>
      <c r="W249" s="2384"/>
      <c r="X249" s="2385"/>
      <c r="Y249" s="2384"/>
      <c r="Z249" s="2384"/>
      <c r="AA249" s="2384"/>
      <c r="AB249" s="2384"/>
    </row>
    <row r="250" spans="1:28" ht="16.5" hidden="1" thickBot="1" x14ac:dyDescent="0.3">
      <c r="B250" s="1953">
        <v>2017</v>
      </c>
      <c r="C250" s="2381">
        <f>SUM(C237:C249)</f>
        <v>1375215863.79</v>
      </c>
      <c r="E250" s="2382">
        <f>SUM(E237:E249)</f>
        <v>40281566.070000008</v>
      </c>
      <c r="F250" s="2383">
        <f>+E250/C250</f>
        <v>2.92910859528531E-2</v>
      </c>
      <c r="H250" s="2382">
        <f>SUM(H237:H249)</f>
        <v>29237380.850000001</v>
      </c>
      <c r="I250" s="2384"/>
      <c r="J250" s="2382">
        <f>SUM(J237:J249)</f>
        <v>0</v>
      </c>
      <c r="K250" s="2382">
        <f>SUM(K237:K249)</f>
        <v>13454.630000000001</v>
      </c>
      <c r="L250" s="2382">
        <f>SUM(L237:L249)</f>
        <v>453931.43999999994</v>
      </c>
      <c r="M250" s="2385">
        <f>+K250/(E250+K250+J250+L250)</f>
        <v>3.3018345978012674E-4</v>
      </c>
      <c r="N250" s="2385"/>
      <c r="O250" s="2382">
        <f>SUM(O237:O249)</f>
        <v>4028156.61</v>
      </c>
      <c r="P250" s="2382">
        <f>SUM(P237:P249)</f>
        <v>22807185.59</v>
      </c>
      <c r="Q250" s="2382">
        <f>SUM(Q237:Q249)</f>
        <v>6466678.7399999984</v>
      </c>
      <c r="R250" s="2382">
        <f>SUM(R237:R249)</f>
        <v>4712943.21</v>
      </c>
      <c r="S250" s="2382">
        <f>SUM(S237:S249)</f>
        <v>1812670.48</v>
      </c>
      <c r="U250" s="2382">
        <f>SUM(U237:U249)</f>
        <v>2041.0799999999997</v>
      </c>
      <c r="V250" s="2382">
        <f>SUM(V237:V249)</f>
        <v>287.39999999999992</v>
      </c>
      <c r="W250" s="2382">
        <f>SUM(W237:W249)</f>
        <v>130.80000000000004</v>
      </c>
      <c r="X250" s="2386">
        <f>SUM(U250:W250)/(E250+J250+K250)</f>
        <v>6.1031858459871669E-5</v>
      </c>
      <c r="Y250" s="2382">
        <f>SUM(Y237:Y249)</f>
        <v>28953.279999999999</v>
      </c>
      <c r="Z250" s="2382">
        <f t="shared" ref="Z250:AA250" si="32">SUM(Z237:Z249)</f>
        <v>0</v>
      </c>
      <c r="AA250" s="2382">
        <f t="shared" si="32"/>
        <v>0</v>
      </c>
      <c r="AB250" s="2382">
        <f>SUM(AB237:AB249)</f>
        <v>165908</v>
      </c>
    </row>
    <row r="251" spans="1:28" ht="15.75" hidden="1" x14ac:dyDescent="0.25">
      <c r="C251" s="2390"/>
      <c r="E251" s="2384"/>
      <c r="F251" s="2391"/>
      <c r="H251" s="2384"/>
      <c r="I251" s="2384"/>
      <c r="J251" s="2384"/>
      <c r="K251" s="2384"/>
      <c r="L251" s="2384"/>
      <c r="M251" s="2385"/>
      <c r="N251" s="2385"/>
      <c r="O251" s="2384"/>
      <c r="P251" s="2384"/>
      <c r="Q251" s="2384"/>
      <c r="R251" s="2384"/>
      <c r="S251" s="2384"/>
      <c r="U251" s="2384"/>
      <c r="V251" s="2384"/>
      <c r="W251" s="2384"/>
      <c r="X251" s="2385"/>
      <c r="Y251" s="2384"/>
      <c r="Z251" s="2384"/>
      <c r="AA251" s="2384"/>
    </row>
    <row r="252" spans="1:28" ht="15.75" hidden="1" x14ac:dyDescent="0.25">
      <c r="A252" s="1953">
        <v>2018</v>
      </c>
      <c r="B252" s="1953" t="s">
        <v>419</v>
      </c>
      <c r="C252" s="2406">
        <v>126404984.03</v>
      </c>
      <c r="E252" s="2403">
        <v>3842112.35</v>
      </c>
      <c r="F252" s="2402">
        <f>+E252/C252</f>
        <v>3.0395259961333031E-2</v>
      </c>
      <c r="H252" s="2403">
        <v>2809568.39</v>
      </c>
      <c r="I252" s="2403"/>
      <c r="J252" s="2392"/>
      <c r="K252" s="2392">
        <v>697.14</v>
      </c>
      <c r="L252" s="2403">
        <f>2583.47+30545.9</f>
        <v>33129.370000000003</v>
      </c>
      <c r="M252" s="2404"/>
      <c r="N252" s="2404"/>
      <c r="O252" s="2407">
        <v>384211.24</v>
      </c>
      <c r="P252" s="2409">
        <f>2178477.7-2583.47</f>
        <v>2175894.23</v>
      </c>
      <c r="Q252" s="2409">
        <f>657001.21-30545.9</f>
        <v>626455.30999999994</v>
      </c>
      <c r="R252" s="2407">
        <v>449527.14</v>
      </c>
      <c r="S252" s="2407">
        <v>172895.06</v>
      </c>
      <c r="U252" s="2407">
        <v>170.09</v>
      </c>
      <c r="V252" s="2407">
        <v>23.95</v>
      </c>
      <c r="W252" s="2407">
        <v>10.9</v>
      </c>
      <c r="X252" s="2400"/>
      <c r="Y252" s="2407">
        <v>-7242.8</v>
      </c>
      <c r="Z252" s="2407"/>
      <c r="AA252" s="2407"/>
      <c r="AB252" s="2400">
        <v>15475</v>
      </c>
    </row>
    <row r="253" spans="1:28" ht="15.75" hidden="1" x14ac:dyDescent="0.25">
      <c r="B253" s="1953" t="s">
        <v>420</v>
      </c>
      <c r="C253" s="2400">
        <v>110753223.52</v>
      </c>
      <c r="E253" s="2401">
        <v>3373968.99</v>
      </c>
      <c r="F253" s="2402">
        <f t="shared" ref="F253:F263" si="33">+E253/C253</f>
        <v>3.0463844597631268E-2</v>
      </c>
      <c r="H253" s="2401">
        <v>2462922.81</v>
      </c>
      <c r="I253" s="2403"/>
      <c r="J253" s="2401"/>
      <c r="K253" s="2401">
        <v>1260.7</v>
      </c>
      <c r="L253" s="2398">
        <f>1704.07+25338.29</f>
        <v>27042.36</v>
      </c>
      <c r="M253" s="2404"/>
      <c r="N253" s="2404"/>
      <c r="O253" s="2405">
        <v>337396.9</v>
      </c>
      <c r="P253" s="2405">
        <f>1913040.42-1704.07</f>
        <v>1911336.3499999999</v>
      </c>
      <c r="Q253" s="2405">
        <f>576948.7-25338.29</f>
        <v>551610.40999999992</v>
      </c>
      <c r="R253" s="2405">
        <v>394754.37</v>
      </c>
      <c r="S253" s="2405">
        <v>151828.6</v>
      </c>
      <c r="U253" s="2400">
        <v>170.09</v>
      </c>
      <c r="V253" s="2400">
        <v>23.95</v>
      </c>
      <c r="W253" s="2400">
        <v>10.9</v>
      </c>
      <c r="X253" s="2400"/>
      <c r="Y253" s="2400">
        <v>0</v>
      </c>
      <c r="Z253" s="2400"/>
      <c r="AA253" s="2400"/>
      <c r="AB253" s="2400">
        <v>15475</v>
      </c>
    </row>
    <row r="254" spans="1:28" ht="15.75" hidden="1" x14ac:dyDescent="0.25">
      <c r="B254" s="1953" t="s">
        <v>421</v>
      </c>
      <c r="C254" s="2400">
        <v>111991824.04000001</v>
      </c>
      <c r="E254" s="2401">
        <v>3431093.05</v>
      </c>
      <c r="F254" s="2402">
        <f t="shared" si="33"/>
        <v>3.063699586475634E-2</v>
      </c>
      <c r="H254" s="2401">
        <v>2499355.83</v>
      </c>
      <c r="I254" s="2403"/>
      <c r="J254" s="2401"/>
      <c r="K254" s="2401">
        <v>559</v>
      </c>
      <c r="L254" s="2398">
        <f>1621.04+23243.3</f>
        <v>24864.34</v>
      </c>
      <c r="M254" s="2404"/>
      <c r="N254" s="2404"/>
      <c r="O254" s="2405">
        <v>343109.31</v>
      </c>
      <c r="P254" s="2405">
        <f>1945429.75-1621.04</f>
        <v>1943808.71</v>
      </c>
      <c r="Q254" s="2405">
        <f>586716.91-23243.3</f>
        <v>563473.61</v>
      </c>
      <c r="R254" s="2405">
        <v>401437.89</v>
      </c>
      <c r="S254" s="2405">
        <v>154399.19</v>
      </c>
      <c r="U254" s="2400">
        <v>170.09</v>
      </c>
      <c r="V254" s="2400">
        <v>23.95</v>
      </c>
      <c r="W254" s="2400">
        <v>10.9</v>
      </c>
      <c r="X254" s="2400"/>
      <c r="Y254" s="2400">
        <v>7902.54</v>
      </c>
      <c r="Z254" s="2400"/>
      <c r="AA254" s="2400"/>
      <c r="AB254" s="2400">
        <v>15475</v>
      </c>
    </row>
    <row r="255" spans="1:28" ht="15.75" hidden="1" x14ac:dyDescent="0.25">
      <c r="A255" s="2397"/>
      <c r="B255" s="1953" t="s">
        <v>422</v>
      </c>
      <c r="C255" s="2400">
        <v>104091789.19</v>
      </c>
      <c r="E255" s="2401">
        <v>3186065.99</v>
      </c>
      <c r="F255" s="2402">
        <f t="shared" si="33"/>
        <v>3.0608235431369476E-2</v>
      </c>
      <c r="H255" s="2401">
        <v>2320362.5699999998</v>
      </c>
      <c r="I255" s="2403"/>
      <c r="J255" s="2401"/>
      <c r="K255" s="2401">
        <v>1038.1600000000001</v>
      </c>
      <c r="L255" s="2398">
        <f>1435.33+29494.85</f>
        <v>30930.18</v>
      </c>
      <c r="M255" s="2404"/>
      <c r="N255" s="2404"/>
      <c r="O255" s="2405">
        <v>318606.59999999998</v>
      </c>
      <c r="P255" s="2405">
        <f>1806499.42-1435.33</f>
        <v>1805064.0899999999</v>
      </c>
      <c r="Q255" s="2405">
        <f>544817.28-29494.85</f>
        <v>515322.43000000005</v>
      </c>
      <c r="R255" s="2405">
        <v>372769.72</v>
      </c>
      <c r="S255" s="2405">
        <v>143372.97</v>
      </c>
      <c r="U255" s="2400">
        <v>170.09</v>
      </c>
      <c r="V255" s="2400">
        <v>23.95</v>
      </c>
      <c r="W255" s="2400">
        <v>10.9</v>
      </c>
      <c r="X255" s="2400"/>
      <c r="Y255" s="2400">
        <v>0</v>
      </c>
      <c r="Z255" s="2400"/>
      <c r="AA255" s="2400"/>
      <c r="AB255" s="2400">
        <v>15475</v>
      </c>
    </row>
    <row r="256" spans="1:28" ht="15.75" hidden="1" x14ac:dyDescent="0.25">
      <c r="B256" s="1953" t="s">
        <v>285</v>
      </c>
      <c r="C256" s="2400">
        <v>91797210.700000003</v>
      </c>
      <c r="E256" s="2401">
        <v>2816298.14</v>
      </c>
      <c r="F256" s="2402">
        <f t="shared" si="33"/>
        <v>3.0679561160130108E-2</v>
      </c>
      <c r="H256" s="2401">
        <v>2039006.15</v>
      </c>
      <c r="I256" s="2403"/>
      <c r="J256" s="2401"/>
      <c r="K256" s="2401">
        <v>1005.86</v>
      </c>
      <c r="L256" s="2398">
        <f>1147.01+30033.86</f>
        <v>31180.87</v>
      </c>
      <c r="M256" s="2404"/>
      <c r="N256" s="2404"/>
      <c r="O256" s="2405">
        <v>281629.81</v>
      </c>
      <c r="P256" s="2405">
        <f>1596841.05-1147.01</f>
        <v>1595694.04</v>
      </c>
      <c r="Q256" s="2405">
        <f>481586.98-30033.86</f>
        <v>451553.12</v>
      </c>
      <c r="R256" s="2405">
        <v>329506.88</v>
      </c>
      <c r="S256" s="2405">
        <v>126733.42</v>
      </c>
      <c r="U256" s="2400">
        <v>170.09</v>
      </c>
      <c r="V256" s="2400">
        <v>23.95</v>
      </c>
      <c r="W256" s="2400">
        <v>10.9</v>
      </c>
      <c r="X256" s="2400"/>
      <c r="Y256" s="2400">
        <v>8217.06</v>
      </c>
      <c r="Z256" s="2400"/>
      <c r="AA256" s="2400"/>
      <c r="AB256" s="2400">
        <v>15475</v>
      </c>
    </row>
    <row r="257" spans="1:28" ht="15.75" hidden="1" x14ac:dyDescent="0.25">
      <c r="B257" s="1953" t="s">
        <v>423</v>
      </c>
      <c r="C257" s="2400">
        <v>94278037.560000002</v>
      </c>
      <c r="E257" s="2401">
        <v>2889170.56</v>
      </c>
      <c r="F257" s="2402">
        <f t="shared" si="33"/>
        <v>3.0645213188291994E-2</v>
      </c>
      <c r="H257" s="2401">
        <v>2100323.41</v>
      </c>
      <c r="I257" s="2403"/>
      <c r="J257" s="2401"/>
      <c r="K257" s="2401">
        <v>926.22</v>
      </c>
      <c r="L257" s="2398">
        <f>1104.75+30755.75</f>
        <v>31860.5</v>
      </c>
      <c r="M257" s="2404"/>
      <c r="N257" s="2404"/>
      <c r="O257" s="2405">
        <v>288917.06</v>
      </c>
      <c r="P257" s="2405">
        <f>1638159.69-1104.75</f>
        <v>1637054.94</v>
      </c>
      <c r="Q257" s="2405">
        <f>494048.17-30755.75</f>
        <v>463292.42</v>
      </c>
      <c r="R257" s="2405">
        <v>338032.96</v>
      </c>
      <c r="S257" s="2405">
        <v>130012.68</v>
      </c>
      <c r="U257" s="2400">
        <v>170.09</v>
      </c>
      <c r="V257" s="2400">
        <v>23.95</v>
      </c>
      <c r="W257" s="2400">
        <v>10.9</v>
      </c>
      <c r="X257" s="2400"/>
      <c r="Y257" s="2400">
        <v>0</v>
      </c>
      <c r="Z257" s="2400"/>
      <c r="AA257" s="2400"/>
      <c r="AB257" s="2400">
        <v>15475</v>
      </c>
    </row>
    <row r="258" spans="1:28" ht="15.75" hidden="1" x14ac:dyDescent="0.25">
      <c r="B258" s="1953" t="s">
        <v>424</v>
      </c>
      <c r="C258" s="2400">
        <v>102137988.34999999</v>
      </c>
      <c r="E258" s="2401">
        <v>3118459.62</v>
      </c>
      <c r="F258" s="2402">
        <f t="shared" si="33"/>
        <v>3.0531829247643492E-2</v>
      </c>
      <c r="H258" s="2401">
        <v>2258220.84</v>
      </c>
      <c r="I258" s="2403"/>
      <c r="J258" s="2401"/>
      <c r="K258" s="2401">
        <v>824.44</v>
      </c>
      <c r="L258" s="2398">
        <f>1411.23+33573.85</f>
        <v>34985.08</v>
      </c>
      <c r="M258" s="2404"/>
      <c r="N258" s="2404"/>
      <c r="O258" s="2405">
        <v>311845.96000000002</v>
      </c>
      <c r="P258" s="2405">
        <f>1768166.6-1411.23</f>
        <v>1766755.37</v>
      </c>
      <c r="Q258" s="2405">
        <f>533256.6-33573.85</f>
        <v>499682.75</v>
      </c>
      <c r="R258" s="2405">
        <v>364859.78</v>
      </c>
      <c r="S258" s="2405">
        <v>140330.68</v>
      </c>
      <c r="U258" s="2400">
        <v>170.09</v>
      </c>
      <c r="V258" s="2400">
        <v>23.95</v>
      </c>
      <c r="W258" s="2400">
        <v>10.9</v>
      </c>
      <c r="X258" s="2400"/>
      <c r="Y258" s="2400">
        <v>8193.33</v>
      </c>
      <c r="Z258" s="2400"/>
      <c r="AA258" s="2400"/>
      <c r="AB258" s="2400">
        <v>15475</v>
      </c>
    </row>
    <row r="259" spans="1:28" ht="15.75" hidden="1" x14ac:dyDescent="0.25">
      <c r="B259" s="1953" t="s">
        <v>425</v>
      </c>
      <c r="C259" s="2400">
        <v>115143277.95</v>
      </c>
      <c r="E259" s="2401">
        <v>3482090.69</v>
      </c>
      <c r="F259" s="2402">
        <f t="shared" si="33"/>
        <v>3.0241371897646238E-2</v>
      </c>
      <c r="H259" s="2401">
        <v>2534892.04</v>
      </c>
      <c r="I259" s="2403"/>
      <c r="J259" s="2401"/>
      <c r="K259" s="2401">
        <v>963.75</v>
      </c>
      <c r="L259" s="2398">
        <f>1740.48+33126.46</f>
        <v>34866.94</v>
      </c>
      <c r="M259" s="2404"/>
      <c r="N259" s="2404"/>
      <c r="O259" s="2405">
        <v>348209.07</v>
      </c>
      <c r="P259" s="2405">
        <f>1974345.42-1740.48</f>
        <v>1972604.94</v>
      </c>
      <c r="Q259" s="2405">
        <f>595437.51-33126.46</f>
        <v>562311.05000000005</v>
      </c>
      <c r="R259" s="2405">
        <v>407404.61</v>
      </c>
      <c r="S259" s="2405">
        <v>156694.07999999999</v>
      </c>
      <c r="U259" s="2400">
        <v>170.09</v>
      </c>
      <c r="V259" s="2400">
        <v>23.95</v>
      </c>
      <c r="W259" s="2400">
        <v>10.9</v>
      </c>
      <c r="X259" s="2400"/>
      <c r="Y259" s="2400">
        <v>0</v>
      </c>
      <c r="Z259" s="2400"/>
      <c r="AA259" s="2400"/>
      <c r="AB259" s="2400">
        <v>15475</v>
      </c>
    </row>
    <row r="260" spans="1:28" ht="15.75" hidden="1" x14ac:dyDescent="0.25">
      <c r="B260" s="1953" t="s">
        <v>426</v>
      </c>
      <c r="C260" s="2400">
        <v>105040693.66</v>
      </c>
      <c r="E260" s="2401">
        <v>3152464.24</v>
      </c>
      <c r="F260" s="2402">
        <f t="shared" si="33"/>
        <v>3.0011837604614695E-2</v>
      </c>
      <c r="H260" s="2401">
        <v>2290549.4300000002</v>
      </c>
      <c r="I260" s="2403"/>
      <c r="J260" s="2401"/>
      <c r="K260" s="2401">
        <v>554.69000000000005</v>
      </c>
      <c r="L260" s="2398">
        <f>3387.28+32557.95</f>
        <v>35945.230000000003</v>
      </c>
      <c r="M260" s="2404"/>
      <c r="N260" s="2404"/>
      <c r="O260" s="2405">
        <v>315246.42</v>
      </c>
      <c r="P260" s="2405">
        <f>1787447.22-3387.28</f>
        <v>1784059.94</v>
      </c>
      <c r="Q260" s="2405">
        <f>539071.39-32557.95</f>
        <v>506513.44</v>
      </c>
      <c r="R260" s="2405">
        <v>368838.32</v>
      </c>
      <c r="S260" s="2405">
        <v>141860.89000000001</v>
      </c>
      <c r="U260" s="2400">
        <v>170.09</v>
      </c>
      <c r="V260" s="2400">
        <v>23.95</v>
      </c>
      <c r="W260" s="2400">
        <v>10.9</v>
      </c>
      <c r="X260" s="2400"/>
      <c r="Y260" s="2410">
        <v>5426.11</v>
      </c>
      <c r="Z260" s="2400"/>
      <c r="AA260" s="2400"/>
      <c r="AB260" s="2400">
        <v>15475</v>
      </c>
    </row>
    <row r="261" spans="1:28" ht="15.75" hidden="1" x14ac:dyDescent="0.25">
      <c r="B261" s="1953" t="s">
        <v>416</v>
      </c>
      <c r="C261" s="2400">
        <v>90543351.450000003</v>
      </c>
      <c r="E261" s="2401">
        <v>2799627.4</v>
      </c>
      <c r="F261" s="2402">
        <f t="shared" si="33"/>
        <v>3.0920297903331034E-2</v>
      </c>
      <c r="H261" s="2401">
        <v>2020741.94</v>
      </c>
      <c r="I261" s="2403"/>
      <c r="J261" s="2401"/>
      <c r="K261" s="2401">
        <v>888.15</v>
      </c>
      <c r="L261" s="2398">
        <f>8215.66+31717.36</f>
        <v>39933.020000000004</v>
      </c>
      <c r="M261" s="2404"/>
      <c r="N261" s="2404"/>
      <c r="O261" s="2405">
        <v>279962.74</v>
      </c>
      <c r="P261" s="2405">
        <f>1587388.73-8215.66</f>
        <v>1579173.07</v>
      </c>
      <c r="Q261" s="2405">
        <f>478736.29-31717.36</f>
        <v>447018.93</v>
      </c>
      <c r="R261" s="2405">
        <v>327556.40999999997</v>
      </c>
      <c r="S261" s="2405">
        <v>125983.23</v>
      </c>
      <c r="U261" s="2400">
        <v>170.09</v>
      </c>
      <c r="V261" s="2400">
        <v>23.95</v>
      </c>
      <c r="W261" s="2400">
        <v>10.9</v>
      </c>
      <c r="X261" s="2400"/>
      <c r="Y261" s="2400">
        <v>0</v>
      </c>
      <c r="Z261" s="2400"/>
      <c r="AA261" s="2400"/>
      <c r="AB261" s="2400">
        <v>15475</v>
      </c>
    </row>
    <row r="262" spans="1:28" ht="15.75" hidden="1" x14ac:dyDescent="0.25">
      <c r="B262" s="1953" t="s">
        <v>417</v>
      </c>
      <c r="C262" s="2400">
        <v>98744216.129999995</v>
      </c>
      <c r="E262" s="2401">
        <v>3133637.91</v>
      </c>
      <c r="F262" s="2402">
        <f t="shared" si="33"/>
        <v>3.1734900866238716E-2</v>
      </c>
      <c r="H262" s="2401">
        <v>2271329.2400000002</v>
      </c>
      <c r="I262" s="2403"/>
      <c r="J262" s="2401"/>
      <c r="K262" s="2401">
        <v>984.16</v>
      </c>
      <c r="L262" s="2398">
        <f>7443.17+33828.41</f>
        <v>41271.58</v>
      </c>
      <c r="M262" s="2404"/>
      <c r="N262" s="2404"/>
      <c r="O262" s="2405">
        <v>313363.78999999998</v>
      </c>
      <c r="P262" s="2405">
        <f>1776772.69-7443.17</f>
        <v>1769329.52</v>
      </c>
      <c r="Q262" s="2405">
        <f>535852.08-33828.41</f>
        <v>502023.66999999993</v>
      </c>
      <c r="R262" s="2405">
        <v>366635.64</v>
      </c>
      <c r="S262" s="2405">
        <v>141013.71</v>
      </c>
      <c r="U262" s="2400">
        <v>170.09</v>
      </c>
      <c r="V262" s="2400">
        <v>23.95</v>
      </c>
      <c r="W262" s="2400">
        <v>10.9</v>
      </c>
      <c r="X262" s="2400"/>
      <c r="Y262" s="2400">
        <v>0</v>
      </c>
      <c r="Z262" s="2400"/>
      <c r="AA262" s="2400"/>
      <c r="AB262" s="2400">
        <v>15475</v>
      </c>
    </row>
    <row r="263" spans="1:28" ht="15.75" hidden="1" x14ac:dyDescent="0.25">
      <c r="B263" s="1953" t="s">
        <v>418</v>
      </c>
      <c r="C263" s="2400">
        <v>134547153.50999999</v>
      </c>
      <c r="E263" s="2401">
        <v>4159823.42</v>
      </c>
      <c r="F263" s="2402">
        <f t="shared" si="33"/>
        <v>3.0917216094733867E-2</v>
      </c>
      <c r="H263" s="2401">
        <v>3034265.19</v>
      </c>
      <c r="I263" s="2403"/>
      <c r="J263" s="2401"/>
      <c r="K263" s="2401">
        <v>824.44</v>
      </c>
      <c r="L263" s="2398">
        <f>3955.23+31705.32</f>
        <v>35660.550000000003</v>
      </c>
      <c r="M263" s="2404"/>
      <c r="N263" s="2404"/>
      <c r="O263" s="2405">
        <v>415982.34</v>
      </c>
      <c r="P263" s="2405">
        <f>2358619.89-3955.23</f>
        <v>2354664.66</v>
      </c>
      <c r="Q263" s="2405">
        <f>711329.8-31705.32</f>
        <v>679624.4800000001</v>
      </c>
      <c r="R263" s="2405">
        <v>486699.34</v>
      </c>
      <c r="S263" s="2405">
        <v>187192.05</v>
      </c>
      <c r="U263" s="2400">
        <v>170.09</v>
      </c>
      <c r="V263" s="2400">
        <v>23.95</v>
      </c>
      <c r="W263" s="2400">
        <v>10.9</v>
      </c>
      <c r="X263" s="2400"/>
      <c r="Y263" s="2400">
        <v>0</v>
      </c>
      <c r="Z263" s="2400"/>
      <c r="AA263" s="2400"/>
      <c r="AB263" s="2400">
        <v>15475</v>
      </c>
    </row>
    <row r="264" spans="1:28" ht="15.75" hidden="1" x14ac:dyDescent="0.25">
      <c r="C264" s="2390"/>
      <c r="E264" s="2384"/>
      <c r="F264" s="2391"/>
      <c r="H264" s="2384"/>
      <c r="I264" s="2384"/>
      <c r="J264" s="2384"/>
      <c r="K264" s="2384"/>
      <c r="L264" s="2384"/>
      <c r="M264" s="2385"/>
      <c r="N264" s="2385"/>
      <c r="O264" s="2384"/>
      <c r="P264" s="2384"/>
      <c r="Q264" s="2384"/>
      <c r="R264" s="2384"/>
      <c r="S264" s="2384"/>
      <c r="U264" s="2384"/>
      <c r="V264" s="2384"/>
      <c r="W264" s="2384"/>
      <c r="X264" s="2385"/>
      <c r="Y264" s="2384"/>
      <c r="Z264" s="2384"/>
      <c r="AA264" s="2384"/>
      <c r="AB264" s="2384"/>
    </row>
    <row r="265" spans="1:28" ht="16.5" hidden="1" thickBot="1" x14ac:dyDescent="0.3">
      <c r="B265" s="1953">
        <v>2018</v>
      </c>
      <c r="C265" s="2381">
        <f>SUM(C252:C264)</f>
        <v>1285473750.0899999</v>
      </c>
      <c r="E265" s="2382">
        <f>SUM(E252:E264)</f>
        <v>39384812.359999999</v>
      </c>
      <c r="F265" s="2383">
        <f>+E265/C265</f>
        <v>3.0638363760631091E-2</v>
      </c>
      <c r="H265" s="2382">
        <f>SUM(H252:H264)</f>
        <v>28641537.84</v>
      </c>
      <c r="I265" s="2384"/>
      <c r="J265" s="2382">
        <f>SUM(J252:J264)</f>
        <v>0</v>
      </c>
      <c r="K265" s="2382">
        <f>SUM(K252:K264)</f>
        <v>10526.710000000001</v>
      </c>
      <c r="L265" s="2382">
        <f>SUM(L252:L264)</f>
        <v>401670.02</v>
      </c>
      <c r="M265" s="2385">
        <f>+K265/(E265+K265+J265+L265)</f>
        <v>2.6451007853866838E-4</v>
      </c>
      <c r="N265" s="2385"/>
      <c r="O265" s="2382">
        <f>SUM(O252:O264)</f>
        <v>3938481.2399999993</v>
      </c>
      <c r="P265" s="2382">
        <f>SUM(P252:P264)</f>
        <v>22295439.859999999</v>
      </c>
      <c r="Q265" s="2382">
        <f>SUM(Q252:Q264)</f>
        <v>6368881.6200000001</v>
      </c>
      <c r="R265" s="2382">
        <f>SUM(R252:R264)</f>
        <v>4608023.0600000005</v>
      </c>
      <c r="S265" s="2382">
        <f>SUM(S252:S264)</f>
        <v>1772316.5600000003</v>
      </c>
      <c r="U265" s="2382">
        <f>SUM(U252:U264)</f>
        <v>2041.0799999999997</v>
      </c>
      <c r="V265" s="2382">
        <f>SUM(V252:V264)</f>
        <v>287.39999999999992</v>
      </c>
      <c r="W265" s="2382">
        <f>SUM(W252:W264)</f>
        <v>130.80000000000004</v>
      </c>
      <c r="X265" s="2386">
        <f>SUM(U265:W265)/(E265+J265+K265)</f>
        <v>6.2425658924529211E-5</v>
      </c>
      <c r="Y265" s="2382">
        <f>SUM(Y252:Y264)</f>
        <v>22496.239999999998</v>
      </c>
      <c r="Z265" s="2382">
        <f t="shared" ref="Z265:AA265" si="34">SUM(Z252:Z264)</f>
        <v>0</v>
      </c>
      <c r="AA265" s="2382">
        <f t="shared" si="34"/>
        <v>0</v>
      </c>
      <c r="AB265" s="2382">
        <f>SUM(AB252:AB264)</f>
        <v>185700</v>
      </c>
    </row>
    <row r="266" spans="1:28" ht="15.75" hidden="1" x14ac:dyDescent="0.25">
      <c r="C266" s="2390"/>
      <c r="E266" s="2384"/>
      <c r="F266" s="2391"/>
      <c r="H266" s="2384"/>
      <c r="I266" s="2384"/>
      <c r="J266" s="2384"/>
      <c r="K266" s="2384"/>
      <c r="L266" s="2384"/>
      <c r="M266" s="2385"/>
      <c r="N266" s="2385"/>
      <c r="O266" s="2384"/>
      <c r="P266" s="2384"/>
      <c r="Q266" s="2384"/>
      <c r="R266" s="2384"/>
      <c r="S266" s="2384"/>
      <c r="U266" s="2384"/>
      <c r="V266" s="2384"/>
      <c r="W266" s="2384"/>
      <c r="X266" s="2385"/>
      <c r="Y266" s="2384"/>
      <c r="Z266" s="2384"/>
      <c r="AA266" s="2384"/>
    </row>
    <row r="267" spans="1:28" ht="15.75" hidden="1" x14ac:dyDescent="0.25">
      <c r="A267" s="1953">
        <v>2019</v>
      </c>
      <c r="B267" s="1953" t="s">
        <v>419</v>
      </c>
      <c r="C267" s="2406">
        <v>126462343.65000001</v>
      </c>
      <c r="E267" s="2403">
        <v>3433374.09</v>
      </c>
      <c r="F267" s="2402">
        <f>+E267/C267</f>
        <v>2.7149378944789148E-2</v>
      </c>
      <c r="H267" s="2403">
        <f>P267+Q267-V267-Y267</f>
        <v>2498461.11</v>
      </c>
      <c r="I267" s="2403"/>
      <c r="J267" s="2392"/>
      <c r="K267" s="2392">
        <v>896.26</v>
      </c>
      <c r="L267" s="2403">
        <f>32051.62+3293.4</f>
        <v>35345.019999999997</v>
      </c>
      <c r="M267" s="2404"/>
      <c r="N267" s="2404"/>
      <c r="O267" s="2407">
        <v>343337.41</v>
      </c>
      <c r="P267" s="2409">
        <f>1946723.11-3293.4</f>
        <v>1943429.7100000002</v>
      </c>
      <c r="Q267" s="2409">
        <f>587106.97-32051.62</f>
        <v>555055.35</v>
      </c>
      <c r="R267" s="2407">
        <v>401704.77</v>
      </c>
      <c r="S267" s="2407">
        <v>154501.82999999999</v>
      </c>
      <c r="U267" s="2407">
        <v>170.09</v>
      </c>
      <c r="V267" s="2407">
        <v>23.95</v>
      </c>
      <c r="W267" s="2407">
        <v>10.9</v>
      </c>
      <c r="X267" s="2400"/>
      <c r="Y267" s="2407">
        <v>0</v>
      </c>
      <c r="Z267" s="2407"/>
      <c r="AA267" s="2407"/>
      <c r="AB267" s="2400">
        <v>15475</v>
      </c>
    </row>
    <row r="268" spans="1:28" ht="15.75" hidden="1" x14ac:dyDescent="0.25">
      <c r="B268" s="1953" t="s">
        <v>420</v>
      </c>
      <c r="C268" s="2400">
        <v>120891446.94</v>
      </c>
      <c r="E268" s="2401">
        <v>3560222.07</v>
      </c>
      <c r="F268" s="2402">
        <f t="shared" ref="F268:F278" si="35">+E268/C268</f>
        <v>2.9449743221015335E-2</v>
      </c>
      <c r="H268" s="2403">
        <f t="shared" ref="H268:H278" si="36">P268+Q268-V268-Y268</f>
        <v>2588633.2199999997</v>
      </c>
      <c r="I268" s="2403"/>
      <c r="J268" s="2401"/>
      <c r="K268" s="2401">
        <v>738.86</v>
      </c>
      <c r="L268" s="2398">
        <f>3458.04+29738.92</f>
        <v>33196.959999999999</v>
      </c>
      <c r="M268" s="2404"/>
      <c r="N268" s="2404"/>
      <c r="O268" s="2405">
        <v>356022.21</v>
      </c>
      <c r="P268" s="2405">
        <f>2018645.91-3458.04</f>
        <v>2015187.8699999999</v>
      </c>
      <c r="Q268" s="2405">
        <f>608797.97-29738.92</f>
        <v>579059.04999999993</v>
      </c>
      <c r="R268" s="2405">
        <v>416545.98</v>
      </c>
      <c r="S268" s="2405">
        <v>160210</v>
      </c>
      <c r="U268" s="2400">
        <v>167.76</v>
      </c>
      <c r="V268" s="2400">
        <v>23.95</v>
      </c>
      <c r="W268" s="2400">
        <v>10.9</v>
      </c>
      <c r="X268" s="2400"/>
      <c r="Y268" s="2400">
        <v>5589.75</v>
      </c>
      <c r="Z268" s="2400"/>
      <c r="AA268" s="2400"/>
      <c r="AB268" s="2400">
        <v>15475</v>
      </c>
    </row>
    <row r="269" spans="1:28" ht="15.75" hidden="1" x14ac:dyDescent="0.25">
      <c r="B269" s="1953" t="s">
        <v>421</v>
      </c>
      <c r="C269" s="2400">
        <v>119403450.8</v>
      </c>
      <c r="E269" s="2401">
        <v>3518486.29</v>
      </c>
      <c r="F269" s="2402">
        <f t="shared" si="35"/>
        <v>2.9467207743379558E-2</v>
      </c>
      <c r="H269" s="2403">
        <f t="shared" si="36"/>
        <v>2565342.2399999998</v>
      </c>
      <c r="I269" s="2403"/>
      <c r="J269" s="2401"/>
      <c r="K269" s="2401">
        <v>499.18</v>
      </c>
      <c r="L269" s="2398">
        <f>1970.84+29305.86</f>
        <v>31276.7</v>
      </c>
      <c r="M269" s="2404"/>
      <c r="N269" s="2404"/>
      <c r="O269" s="2405">
        <v>351848.63</v>
      </c>
      <c r="P269" s="2405">
        <f>1994981.73-1970.84</f>
        <v>1993010.89</v>
      </c>
      <c r="Q269" s="2405">
        <f>601661.16-29305.86</f>
        <v>572355.30000000005</v>
      </c>
      <c r="R269" s="2405">
        <v>411662.9</v>
      </c>
      <c r="S269" s="2405">
        <v>158331.87</v>
      </c>
      <c r="U269" s="2400">
        <v>167.76</v>
      </c>
      <c r="V269" s="2400">
        <v>23.95</v>
      </c>
      <c r="W269" s="2400">
        <v>10.9</v>
      </c>
      <c r="X269" s="2400"/>
      <c r="Y269" s="2400">
        <v>0</v>
      </c>
      <c r="Z269" s="2400"/>
      <c r="AA269" s="2400"/>
      <c r="AB269" s="2400">
        <v>15475</v>
      </c>
    </row>
    <row r="270" spans="1:28" ht="15.75" hidden="1" x14ac:dyDescent="0.25">
      <c r="A270" s="2397"/>
      <c r="B270" s="1953" t="s">
        <v>422</v>
      </c>
      <c r="C270" s="2400">
        <v>101528461.79000001</v>
      </c>
      <c r="E270" s="2401">
        <v>2965132</v>
      </c>
      <c r="F270" s="2402">
        <f t="shared" si="35"/>
        <v>2.920493374688406E-2</v>
      </c>
      <c r="H270" s="2403">
        <f>P270+Q270-V270-Y270-7055.92</f>
        <v>2150341.4700000002</v>
      </c>
      <c r="I270" s="2403"/>
      <c r="J270" s="2401"/>
      <c r="K270" s="2401">
        <v>1053.6600000000001</v>
      </c>
      <c r="L270" s="2398">
        <f>957.43+29888.65</f>
        <v>30846.080000000002</v>
      </c>
      <c r="M270" s="2404"/>
      <c r="N270" s="2404"/>
      <c r="O270" s="2405">
        <f>296513.2-956.09</f>
        <v>295557.11</v>
      </c>
      <c r="P270" s="2405">
        <f>1681229.84-957.43</f>
        <v>1680272.4100000001</v>
      </c>
      <c r="Q270" s="2405">
        <f>507037.58-29888.65</f>
        <v>477148.93</v>
      </c>
      <c r="R270" s="2405">
        <f>346920.44</f>
        <v>346920.44</v>
      </c>
      <c r="S270" s="2405">
        <v>133430.94</v>
      </c>
      <c r="U270" s="2400">
        <v>167.76</v>
      </c>
      <c r="V270" s="2400">
        <v>23.95</v>
      </c>
      <c r="W270" s="2400">
        <v>10.9</v>
      </c>
      <c r="X270" s="2400"/>
      <c r="Y270" s="2400">
        <v>0</v>
      </c>
      <c r="Z270" s="2400"/>
      <c r="AA270" s="2400">
        <f>956.09+7055.92+1548.86</f>
        <v>9560.8700000000008</v>
      </c>
      <c r="AB270" s="2400">
        <v>15475</v>
      </c>
    </row>
    <row r="271" spans="1:28" ht="15.75" hidden="1" x14ac:dyDescent="0.25">
      <c r="B271" s="1953" t="s">
        <v>285</v>
      </c>
      <c r="C271" s="2400">
        <v>92120707.640000001</v>
      </c>
      <c r="E271" s="2401">
        <v>2719324.04</v>
      </c>
      <c r="F271" s="2402">
        <f t="shared" si="35"/>
        <v>2.9519139720755188E-2</v>
      </c>
      <c r="H271" s="2403">
        <f t="shared" si="36"/>
        <v>1975785.34</v>
      </c>
      <c r="I271" s="2403"/>
      <c r="J271" s="2401"/>
      <c r="K271" s="2401">
        <v>738.86</v>
      </c>
      <c r="L271" s="2398">
        <f>883.04+30168.82</f>
        <v>31051.86</v>
      </c>
      <c r="M271" s="2404"/>
      <c r="N271" s="2404"/>
      <c r="O271" s="2405">
        <v>271932.40000000002</v>
      </c>
      <c r="P271" s="2405">
        <f>1541856.73-883.04</f>
        <v>1540973.69</v>
      </c>
      <c r="Q271" s="2405">
        <f>465004.42-30168.82</f>
        <v>434835.6</v>
      </c>
      <c r="R271" s="2405">
        <v>318160.90999999997</v>
      </c>
      <c r="S271" s="2405">
        <v>122369.58</v>
      </c>
      <c r="U271" s="2400">
        <v>167.76</v>
      </c>
      <c r="V271" s="2400">
        <v>23.95</v>
      </c>
      <c r="W271" s="2400">
        <v>10.9</v>
      </c>
      <c r="X271" s="2400"/>
      <c r="Y271" s="2400">
        <v>0</v>
      </c>
      <c r="Z271" s="2400"/>
      <c r="AA271" s="2400"/>
      <c r="AB271" s="2400">
        <v>15475</v>
      </c>
    </row>
    <row r="272" spans="1:28" ht="15.75" hidden="1" x14ac:dyDescent="0.25">
      <c r="B272" s="1953" t="s">
        <v>423</v>
      </c>
      <c r="C272" s="2400">
        <v>96254007.209999993</v>
      </c>
      <c r="E272" s="2401">
        <v>2808514.72</v>
      </c>
      <c r="F272" s="2402">
        <f t="shared" si="35"/>
        <v>2.9178158929763692E-2</v>
      </c>
      <c r="H272" s="2403">
        <f t="shared" si="36"/>
        <v>2039835</v>
      </c>
      <c r="I272" s="2403"/>
      <c r="J272" s="2401"/>
      <c r="K272" s="2401">
        <v>896.26</v>
      </c>
      <c r="L272" s="2398">
        <f>1511.08+31313.84</f>
        <v>32824.92</v>
      </c>
      <c r="M272" s="2404"/>
      <c r="N272" s="2404"/>
      <c r="O272" s="2405">
        <v>280851.46999999997</v>
      </c>
      <c r="P272" s="2405">
        <f>1592427.85-1511.08</f>
        <v>1590916.77</v>
      </c>
      <c r="Q272" s="2405">
        <f>480256.02-31313.84</f>
        <v>448942.18</v>
      </c>
      <c r="R272" s="2405">
        <v>328596.21999999997</v>
      </c>
      <c r="S272" s="2405">
        <v>126383.16</v>
      </c>
      <c r="U272" s="2400">
        <v>167.76</v>
      </c>
      <c r="V272" s="2400">
        <v>23.95</v>
      </c>
      <c r="W272" s="2400">
        <v>10.9</v>
      </c>
      <c r="X272" s="2400"/>
      <c r="Y272" s="2400">
        <v>0</v>
      </c>
      <c r="Z272" s="2400"/>
      <c r="AA272" s="2400"/>
      <c r="AB272" s="2400">
        <v>15475</v>
      </c>
    </row>
    <row r="273" spans="1:28" ht="15.75" hidden="1" x14ac:dyDescent="0.25">
      <c r="B273" s="1953" t="s">
        <v>424</v>
      </c>
      <c r="C273" s="2400">
        <v>102353132.76000001</v>
      </c>
      <c r="E273" s="2401">
        <v>2959307.35</v>
      </c>
      <c r="F273" s="2402">
        <f t="shared" si="35"/>
        <v>2.8912718841142385E-2</v>
      </c>
      <c r="H273" s="2403">
        <f t="shared" si="36"/>
        <v>2148687.73</v>
      </c>
      <c r="I273" s="2403"/>
      <c r="J273" s="2401"/>
      <c r="K273" s="2401">
        <v>763.9</v>
      </c>
      <c r="L273" s="2398">
        <f>1439.03+33818.11</f>
        <v>35257.14</v>
      </c>
      <c r="M273" s="2404"/>
      <c r="N273" s="2404"/>
      <c r="O273" s="2405">
        <v>295930.74</v>
      </c>
      <c r="P273" s="2405">
        <f>1677927.27-1439.03</f>
        <v>1676488.24</v>
      </c>
      <c r="Q273" s="2405">
        <f>506041.55-33818.11</f>
        <v>472223.44</v>
      </c>
      <c r="R273" s="2405">
        <v>346238.96</v>
      </c>
      <c r="S273" s="2405">
        <v>133168.82999999999</v>
      </c>
      <c r="U273" s="2400">
        <v>167.76</v>
      </c>
      <c r="V273" s="2400">
        <v>23.95</v>
      </c>
      <c r="W273" s="2400">
        <v>10.9</v>
      </c>
      <c r="X273" s="2400"/>
      <c r="Y273" s="2400">
        <v>0</v>
      </c>
      <c r="Z273" s="2400"/>
      <c r="AA273" s="2400"/>
      <c r="AB273" s="2400">
        <v>15475</v>
      </c>
    </row>
    <row r="274" spans="1:28" ht="15.75" hidden="1" x14ac:dyDescent="0.25">
      <c r="B274" s="1953" t="s">
        <v>425</v>
      </c>
      <c r="C274" s="2400">
        <v>108926688.68000001</v>
      </c>
      <c r="E274" s="2401">
        <v>3165038.95</v>
      </c>
      <c r="F274" s="2402">
        <f t="shared" si="35"/>
        <v>2.9056597500160049E-2</v>
      </c>
      <c r="H274" s="2403">
        <f t="shared" si="36"/>
        <v>2298517.83</v>
      </c>
      <c r="I274" s="2403"/>
      <c r="J274" s="2401"/>
      <c r="K274" s="2401">
        <v>615.37</v>
      </c>
      <c r="L274" s="2398">
        <f>4016.67+33240.29</f>
        <v>37256.959999999999</v>
      </c>
      <c r="M274" s="2404"/>
      <c r="N274" s="2404"/>
      <c r="O274" s="2405">
        <v>316503.90000000002</v>
      </c>
      <c r="P274" s="2405">
        <f>1794577.08-4016.67</f>
        <v>1790560.4100000001</v>
      </c>
      <c r="Q274" s="2405">
        <f>541221.66-33240.29</f>
        <v>507981.37000000005</v>
      </c>
      <c r="R274" s="2405">
        <v>370309.56</v>
      </c>
      <c r="S274" s="2405">
        <v>142426.75</v>
      </c>
      <c r="U274" s="2400">
        <v>167.76</v>
      </c>
      <c r="V274" s="2400">
        <v>23.95</v>
      </c>
      <c r="W274" s="2400">
        <v>10.9</v>
      </c>
      <c r="X274" s="2400"/>
      <c r="Y274" s="2400">
        <v>0</v>
      </c>
      <c r="Z274" s="2400"/>
      <c r="AA274" s="2400"/>
      <c r="AB274" s="2400">
        <v>15475</v>
      </c>
    </row>
    <row r="275" spans="1:28" ht="15.75" hidden="1" x14ac:dyDescent="0.25">
      <c r="B275" s="1953" t="s">
        <v>426</v>
      </c>
      <c r="C275" s="2400">
        <v>104835586.48999999</v>
      </c>
      <c r="E275" s="2401">
        <v>3057788.15</v>
      </c>
      <c r="F275" s="2402">
        <f t="shared" si="35"/>
        <v>2.9167463572035004E-2</v>
      </c>
      <c r="H275" s="2403">
        <f t="shared" si="36"/>
        <v>2215629.3599999994</v>
      </c>
      <c r="I275" s="2403"/>
      <c r="J275" s="2401"/>
      <c r="K275" s="2401">
        <v>920.26</v>
      </c>
      <c r="L275" s="2398">
        <f>5119.37+35874.97</f>
        <v>40994.340000000004</v>
      </c>
      <c r="M275" s="2404"/>
      <c r="N275" s="2404"/>
      <c r="O275" s="2405">
        <v>305778.82</v>
      </c>
      <c r="P275" s="2405">
        <f>1733765.88-5119.37</f>
        <v>1728646.5099999998</v>
      </c>
      <c r="Q275" s="2405">
        <f>522881.77-35874.97</f>
        <v>487006.80000000005</v>
      </c>
      <c r="R275" s="2405">
        <v>357761.21</v>
      </c>
      <c r="S275" s="2405">
        <v>137600.47</v>
      </c>
      <c r="U275" s="2400">
        <v>167.76</v>
      </c>
      <c r="V275" s="2400">
        <v>23.95</v>
      </c>
      <c r="W275" s="2400">
        <v>10.9</v>
      </c>
      <c r="X275" s="2400"/>
      <c r="Y275" s="2410">
        <v>0</v>
      </c>
      <c r="Z275" s="2400"/>
      <c r="AA275" s="2400"/>
      <c r="AB275" s="2400">
        <v>15475</v>
      </c>
    </row>
    <row r="276" spans="1:28" ht="15.75" hidden="1" x14ac:dyDescent="0.25">
      <c r="B276" s="1953" t="s">
        <v>416</v>
      </c>
      <c r="C276" s="2400">
        <v>96123781.879999995</v>
      </c>
      <c r="E276" s="2401">
        <v>2803978.01</v>
      </c>
      <c r="F276" s="2402">
        <f t="shared" si="35"/>
        <v>2.9170491996459928E-2</v>
      </c>
      <c r="H276" s="2403">
        <f t="shared" si="36"/>
        <v>2005773.8000000003</v>
      </c>
      <c r="I276" s="2403"/>
      <c r="J276" s="2401"/>
      <c r="K276" s="2401">
        <v>753.99</v>
      </c>
      <c r="L276" s="2398">
        <f>4631.23+37983.88</f>
        <v>42615.11</v>
      </c>
      <c r="M276" s="2404"/>
      <c r="N276" s="2404"/>
      <c r="O276" s="2405">
        <v>280397.8</v>
      </c>
      <c r="P276" s="2405">
        <f>1589855.53-4631.23</f>
        <v>1585224.3</v>
      </c>
      <c r="Q276" s="2405">
        <f>479480.24-37983.88</f>
        <v>441496.36</v>
      </c>
      <c r="R276" s="2405">
        <v>328065.43</v>
      </c>
      <c r="S276" s="2405">
        <v>126179.01</v>
      </c>
      <c r="U276" s="2400">
        <v>167.76</v>
      </c>
      <c r="V276" s="2400">
        <v>23.95</v>
      </c>
      <c r="W276" s="2400">
        <v>10.9</v>
      </c>
      <c r="X276" s="2400"/>
      <c r="Y276" s="2400">
        <f>7354.02+6850.52+6718.37</f>
        <v>20922.91</v>
      </c>
      <c r="Z276" s="2400"/>
      <c r="AA276" s="2400"/>
      <c r="AB276" s="2400">
        <v>15475</v>
      </c>
    </row>
    <row r="277" spans="1:28" ht="15.75" hidden="1" x14ac:dyDescent="0.25">
      <c r="B277" s="1953" t="s">
        <v>417</v>
      </c>
      <c r="C277" s="2400">
        <v>105267564.51000001</v>
      </c>
      <c r="E277" s="2401">
        <v>3189177.01</v>
      </c>
      <c r="F277" s="2402">
        <f t="shared" si="35"/>
        <v>3.0295913321876471E-2</v>
      </c>
      <c r="H277" s="2403">
        <f t="shared" si="36"/>
        <v>2319880.9300000002</v>
      </c>
      <c r="I277" s="2403"/>
      <c r="J277" s="2401"/>
      <c r="K277" s="2401">
        <v>889.64</v>
      </c>
      <c r="L277" s="2398">
        <f>2962.88+30744.87</f>
        <v>33707.75</v>
      </c>
      <c r="M277" s="2404"/>
      <c r="N277" s="2404"/>
      <c r="O277" s="2405">
        <v>318917.7</v>
      </c>
      <c r="P277" s="2405">
        <f>1808263.36-2962.88</f>
        <v>1805300.4800000002</v>
      </c>
      <c r="Q277" s="2405">
        <f>545349.27-30744.87</f>
        <v>514604.4</v>
      </c>
      <c r="R277" s="2405">
        <v>373133.71</v>
      </c>
      <c r="S277" s="2405">
        <v>143512.97</v>
      </c>
      <c r="U277" s="2400">
        <v>167.76</v>
      </c>
      <c r="V277" s="2400">
        <v>23.95</v>
      </c>
      <c r="W277" s="2400">
        <v>10.9</v>
      </c>
      <c r="X277" s="2400"/>
      <c r="Y277" s="2400">
        <v>0</v>
      </c>
      <c r="Z277" s="2400"/>
      <c r="AA277" s="2400"/>
      <c r="AB277" s="2400">
        <v>15089</v>
      </c>
    </row>
    <row r="278" spans="1:28" ht="15.75" hidden="1" x14ac:dyDescent="0.25">
      <c r="B278" s="1953" t="s">
        <v>418</v>
      </c>
      <c r="C278" s="2400">
        <v>126931841.89</v>
      </c>
      <c r="E278" s="2401">
        <v>3729813.76</v>
      </c>
      <c r="F278" s="2402">
        <f t="shared" si="35"/>
        <v>2.9384382235879646E-2</v>
      </c>
      <c r="H278" s="2403">
        <f t="shared" si="36"/>
        <v>2718851.92</v>
      </c>
      <c r="I278" s="2403"/>
      <c r="J278" s="2401"/>
      <c r="K278" s="2401">
        <v>507.71</v>
      </c>
      <c r="L278" s="2398">
        <f>972.02+32754.66</f>
        <v>33726.68</v>
      </c>
      <c r="M278" s="2404"/>
      <c r="N278" s="2404"/>
      <c r="O278" s="2405">
        <v>372981.38</v>
      </c>
      <c r="P278" s="2405">
        <f>2114804.4-972.02</f>
        <v>2113832.38</v>
      </c>
      <c r="Q278" s="2405">
        <f>637798.15-32754.66</f>
        <v>605043.49</v>
      </c>
      <c r="R278" s="2405">
        <v>436388.21</v>
      </c>
      <c r="S278" s="2405">
        <v>167841.62</v>
      </c>
      <c r="U278" s="2400">
        <v>167.76</v>
      </c>
      <c r="V278" s="2400">
        <v>23.95</v>
      </c>
      <c r="W278" s="2400">
        <v>10.9</v>
      </c>
      <c r="X278" s="2400"/>
      <c r="Y278" s="2400">
        <v>0</v>
      </c>
      <c r="Z278" s="2400"/>
      <c r="AA278" s="2400"/>
      <c r="AB278" s="2400">
        <v>15089</v>
      </c>
    </row>
    <row r="279" spans="1:28" ht="15.75" hidden="1" x14ac:dyDescent="0.25">
      <c r="C279" s="2390"/>
      <c r="E279" s="2384"/>
      <c r="F279" s="2391"/>
      <c r="H279" s="2384"/>
      <c r="I279" s="2384"/>
      <c r="J279" s="2384"/>
      <c r="K279" s="2384"/>
      <c r="L279" s="2384"/>
      <c r="M279" s="2385"/>
      <c r="N279" s="2385"/>
      <c r="O279" s="2384"/>
      <c r="P279" s="2384"/>
      <c r="Q279" s="2384"/>
      <c r="R279" s="2384"/>
      <c r="S279" s="2384"/>
      <c r="U279" s="2384"/>
      <c r="V279" s="2384"/>
      <c r="W279" s="2384"/>
      <c r="X279" s="2385"/>
      <c r="Y279" s="2384"/>
      <c r="Z279" s="2384"/>
      <c r="AA279" s="2384"/>
      <c r="AB279" s="2384"/>
    </row>
    <row r="280" spans="1:28" ht="16.5" hidden="1" thickBot="1" x14ac:dyDescent="0.3">
      <c r="B280" s="1953">
        <v>2019</v>
      </c>
      <c r="C280" s="2381">
        <f>SUM(C267:C279)</f>
        <v>1301099014.2400002</v>
      </c>
      <c r="E280" s="2382">
        <f>SUM(E267:E279)</f>
        <v>37910156.43999999</v>
      </c>
      <c r="F280" s="2383">
        <f>+E280/C280</f>
        <v>2.9137026486907396E-2</v>
      </c>
      <c r="H280" s="2382">
        <f>SUM(H267:H279)</f>
        <v>27525739.950000003</v>
      </c>
      <c r="I280" s="2384"/>
      <c r="J280" s="2382">
        <f>SUM(J267:J279)</f>
        <v>0</v>
      </c>
      <c r="K280" s="2382">
        <f>SUM(K267:K279)</f>
        <v>9273.9499999999989</v>
      </c>
      <c r="L280" s="2382">
        <f>SUM(L267:L279)</f>
        <v>418099.52</v>
      </c>
      <c r="M280" s="2385">
        <f>+K280/(E280+K280+J280+L280)</f>
        <v>2.4190264792153376E-4</v>
      </c>
      <c r="N280" s="2385"/>
      <c r="O280" s="2382">
        <f>SUM(O267:O279)</f>
        <v>3790059.5699999994</v>
      </c>
      <c r="P280" s="2382">
        <f>SUM(P267:P279)</f>
        <v>21463843.66</v>
      </c>
      <c r="Q280" s="2382">
        <f>SUM(Q267:Q279)</f>
        <v>6095752.2700000014</v>
      </c>
      <c r="R280" s="2382">
        <f>SUM(R267:R279)</f>
        <v>4435488.3</v>
      </c>
      <c r="S280" s="2382">
        <f>SUM(S267:S279)</f>
        <v>1705957.0299999998</v>
      </c>
      <c r="U280" s="2382">
        <f>SUM(U267:U279)</f>
        <v>2015.45</v>
      </c>
      <c r="V280" s="2382">
        <f>SUM(V267:V279)</f>
        <v>287.39999999999992</v>
      </c>
      <c r="W280" s="2382">
        <f>SUM(W267:W279)</f>
        <v>130.80000000000004</v>
      </c>
      <c r="X280" s="2386">
        <f>SUM(U280:W280)/(E280+J280+K280)</f>
        <v>6.4179497818664367E-5</v>
      </c>
      <c r="Y280" s="2382">
        <f>SUM(Y267:Y279)</f>
        <v>26512.66</v>
      </c>
      <c r="Z280" s="2382">
        <f t="shared" ref="Z280:AA280" si="37">SUM(Z267:Z279)</f>
        <v>0</v>
      </c>
      <c r="AA280" s="2382">
        <f t="shared" si="37"/>
        <v>9560.8700000000008</v>
      </c>
      <c r="AB280" s="2382">
        <f>SUM(AB267:AB279)</f>
        <v>184928</v>
      </c>
    </row>
    <row r="281" spans="1:28" ht="15.75" hidden="1" x14ac:dyDescent="0.25">
      <c r="C281" s="2390"/>
      <c r="E281" s="2384"/>
      <c r="F281" s="2391"/>
      <c r="H281" s="2384"/>
      <c r="I281" s="2384"/>
      <c r="J281" s="2384"/>
      <c r="K281" s="2384"/>
      <c r="L281" s="2384"/>
      <c r="M281" s="2385"/>
      <c r="N281" s="2385"/>
      <c r="O281" s="2384"/>
      <c r="P281" s="2384"/>
      <c r="Q281" s="2384"/>
      <c r="R281" s="2384"/>
      <c r="S281" s="2384"/>
      <c r="U281" s="2384"/>
      <c r="V281" s="2384"/>
      <c r="W281" s="2384"/>
      <c r="X281" s="2385"/>
      <c r="Y281" s="2384"/>
      <c r="Z281" s="2384"/>
      <c r="AA281" s="2384"/>
    </row>
    <row r="282" spans="1:28" ht="15.75" hidden="1" x14ac:dyDescent="0.25">
      <c r="A282" s="1953">
        <v>2020</v>
      </c>
      <c r="B282" s="1953" t="s">
        <v>419</v>
      </c>
      <c r="C282" s="2406">
        <v>121706813.86</v>
      </c>
      <c r="E282" s="2403">
        <v>3561972.77</v>
      </c>
      <c r="F282" s="2402">
        <f>+E282/C282</f>
        <v>2.9266831141412972E-2</v>
      </c>
      <c r="H282" s="2403">
        <f>P282+Q282-V282-Y282</f>
        <v>2594713.7199999997</v>
      </c>
      <c r="I282" s="2403"/>
      <c r="J282" s="2392">
        <v>0</v>
      </c>
      <c r="K282" s="2392">
        <v>1238.95</v>
      </c>
      <c r="L282" s="2403">
        <f>703.36+25982.05</f>
        <v>26685.41</v>
      </c>
      <c r="M282" s="2404"/>
      <c r="N282" s="2404"/>
      <c r="O282" s="2407">
        <v>356197.28</v>
      </c>
      <c r="P282" s="2409">
        <f>2019638.56-703.36</f>
        <v>2018935.2</v>
      </c>
      <c r="Q282" s="2409">
        <f>609097.34-25982.05</f>
        <v>583115.28999999992</v>
      </c>
      <c r="R282" s="2407">
        <v>416750.81</v>
      </c>
      <c r="S282" s="2407">
        <v>160288.78</v>
      </c>
      <c r="U282" s="2407">
        <v>167.76</v>
      </c>
      <c r="V282" s="2407">
        <v>23.95</v>
      </c>
      <c r="W282" s="2407">
        <v>10.9</v>
      </c>
      <c r="X282" s="2400"/>
      <c r="Y282" s="2407">
        <v>7312.82</v>
      </c>
      <c r="Z282" s="2407"/>
      <c r="AA282" s="2407"/>
      <c r="AB282" s="2400">
        <v>15089</v>
      </c>
    </row>
    <row r="283" spans="1:28" ht="15.75" hidden="1" x14ac:dyDescent="0.25">
      <c r="B283" s="1953" t="s">
        <v>420</v>
      </c>
      <c r="C283" s="2400">
        <v>116621206.64</v>
      </c>
      <c r="E283" s="2401">
        <v>3427972.92</v>
      </c>
      <c r="F283" s="2402">
        <f t="shared" ref="F283:F293" si="38">+E283/C283</f>
        <v>2.9394078647992969E-2</v>
      </c>
      <c r="H283" s="2403">
        <f t="shared" ref="H283:H284" si="39">P283+Q283-V283-Y283</f>
        <v>2505021</v>
      </c>
      <c r="I283" s="2403"/>
      <c r="J283" s="2401"/>
      <c r="K283" s="2401">
        <v>666.69</v>
      </c>
      <c r="L283" s="2398">
        <f>432.22+24366.85</f>
        <v>24799.07</v>
      </c>
      <c r="M283" s="2404"/>
      <c r="N283" s="2404"/>
      <c r="O283" s="2405">
        <v>342797.29</v>
      </c>
      <c r="P283" s="2405">
        <f>1943660.65-432.22</f>
        <v>1943228.43</v>
      </c>
      <c r="Q283" s="2405">
        <f>586183.37-24366.85</f>
        <v>561816.52</v>
      </c>
      <c r="R283" s="2405">
        <v>401072.83</v>
      </c>
      <c r="S283" s="2405">
        <v>154258.78</v>
      </c>
      <c r="U283" s="2400">
        <v>170.09</v>
      </c>
      <c r="V283" s="2400">
        <v>23.95</v>
      </c>
      <c r="W283" s="2400">
        <v>10.9</v>
      </c>
      <c r="X283" s="2400"/>
      <c r="Y283" s="2400">
        <v>0</v>
      </c>
      <c r="Z283" s="2400"/>
      <c r="AA283" s="2400"/>
      <c r="AB283" s="2400">
        <v>15089</v>
      </c>
    </row>
    <row r="284" spans="1:28" ht="15.75" hidden="1" x14ac:dyDescent="0.25">
      <c r="B284" s="1953" t="s">
        <v>421</v>
      </c>
      <c r="C284" s="2400">
        <v>108596588.76000001</v>
      </c>
      <c r="E284" s="2401">
        <v>3178290.8</v>
      </c>
      <c r="F284" s="2402">
        <f t="shared" si="38"/>
        <v>2.9266948771513139E-2</v>
      </c>
      <c r="H284" s="2403">
        <f t="shared" si="39"/>
        <v>2327210.8599999994</v>
      </c>
      <c r="I284" s="2403"/>
      <c r="J284" s="2401"/>
      <c r="K284" s="2401">
        <v>1719.69</v>
      </c>
      <c r="L284" s="2398">
        <f>435.3+17908.5</f>
        <v>18343.8</v>
      </c>
      <c r="M284" s="2404"/>
      <c r="N284" s="2404"/>
      <c r="O284" s="2405">
        <v>317829.08</v>
      </c>
      <c r="P284" s="2405">
        <f>1802090.88-435.3</f>
        <v>1801655.5799999998</v>
      </c>
      <c r="Q284" s="2405">
        <f>543487.73-17908.5</f>
        <v>525579.23</v>
      </c>
      <c r="R284" s="2405">
        <v>371860.02</v>
      </c>
      <c r="S284" s="2405">
        <v>143023.09</v>
      </c>
      <c r="U284" s="2400">
        <v>170.09</v>
      </c>
      <c r="V284" s="2400">
        <v>23.95</v>
      </c>
      <c r="W284" s="2400">
        <v>10.9</v>
      </c>
      <c r="X284" s="2400"/>
      <c r="Y284" s="2400">
        <v>0</v>
      </c>
      <c r="Z284" s="2400"/>
      <c r="AA284" s="2400"/>
      <c r="AB284" s="2400">
        <v>15089</v>
      </c>
    </row>
    <row r="285" spans="1:28" ht="15.75" hidden="1" x14ac:dyDescent="0.25">
      <c r="A285" s="2397"/>
      <c r="B285" s="1953" t="s">
        <v>422</v>
      </c>
      <c r="C285" s="2400">
        <v>103789348.3</v>
      </c>
      <c r="E285" s="2401">
        <v>3034699.62</v>
      </c>
      <c r="F285" s="2402">
        <f t="shared" si="38"/>
        <v>2.9239027604531169E-2</v>
      </c>
      <c r="H285" s="2403">
        <f>P285+Q285-V285-Y285</f>
        <v>2219552.4099999997</v>
      </c>
      <c r="I285" s="2403"/>
      <c r="J285" s="2401"/>
      <c r="K285" s="2401">
        <v>1127.97</v>
      </c>
      <c r="L285" s="2398">
        <f>131.23+19900.73</f>
        <v>20031.96</v>
      </c>
      <c r="M285" s="2404"/>
      <c r="N285" s="2404"/>
      <c r="O285" s="2405">
        <v>303469.96000000002</v>
      </c>
      <c r="P285" s="2405">
        <f>1720674.68-131.23</f>
        <v>1720543.45</v>
      </c>
      <c r="Q285" s="2405">
        <f>518933.64-19900.73</f>
        <v>499032.91000000003</v>
      </c>
      <c r="R285" s="2405">
        <v>355059.86</v>
      </c>
      <c r="S285" s="2405">
        <v>136561.48000000001</v>
      </c>
      <c r="U285" s="2400">
        <v>170.09</v>
      </c>
      <c r="V285" s="2400">
        <v>23.95</v>
      </c>
      <c r="W285" s="2400">
        <v>10.9</v>
      </c>
      <c r="X285" s="2400"/>
      <c r="Y285" s="2400">
        <v>0</v>
      </c>
      <c r="Z285" s="2400"/>
      <c r="AA285" s="2400"/>
      <c r="AB285" s="2400">
        <v>14966</v>
      </c>
    </row>
    <row r="286" spans="1:28" ht="15.75" hidden="1" x14ac:dyDescent="0.25">
      <c r="B286" s="1953" t="s">
        <v>285</v>
      </c>
      <c r="C286" s="2400">
        <v>93730644.629999995</v>
      </c>
      <c r="E286" s="2401">
        <v>2731657.27</v>
      </c>
      <c r="F286" s="2402">
        <f t="shared" si="38"/>
        <v>2.9143694474557037E-2</v>
      </c>
      <c r="H286" s="2403">
        <f t="shared" ref="H286:H293" si="40">P286+Q286-V286-Y286</f>
        <v>1982105.18</v>
      </c>
      <c r="I286" s="2403"/>
      <c r="J286" s="2401"/>
      <c r="K286" s="2401">
        <v>1176.28</v>
      </c>
      <c r="L286" s="2398">
        <v>26530.58</v>
      </c>
      <c r="M286" s="2404"/>
      <c r="N286" s="2404"/>
      <c r="O286" s="2405">
        <v>273165.73</v>
      </c>
      <c r="P286" s="2405">
        <v>1548849.67</v>
      </c>
      <c r="Q286" s="2405">
        <f>467113.39-26530.58</f>
        <v>440582.81</v>
      </c>
      <c r="R286" s="2405">
        <v>319603.90000000002</v>
      </c>
      <c r="S286" s="2405">
        <v>122924.58</v>
      </c>
      <c r="U286" s="2400">
        <v>170.09</v>
      </c>
      <c r="V286" s="2400">
        <v>23.95</v>
      </c>
      <c r="W286" s="2400">
        <v>10.9</v>
      </c>
      <c r="X286" s="2400"/>
      <c r="Y286" s="2400">
        <v>7303.35</v>
      </c>
      <c r="Z286" s="2400"/>
      <c r="AA286" s="2400"/>
      <c r="AB286" s="2400">
        <v>15048</v>
      </c>
    </row>
    <row r="287" spans="1:28" ht="15.75" hidden="1" x14ac:dyDescent="0.25">
      <c r="B287" s="1953" t="s">
        <v>423</v>
      </c>
      <c r="C287" s="2400">
        <v>92239274.590000004</v>
      </c>
      <c r="E287" s="2401">
        <v>2695184.09</v>
      </c>
      <c r="F287" s="2402">
        <f t="shared" si="38"/>
        <v>2.92194848884056E-2</v>
      </c>
      <c r="H287" s="2403">
        <f t="shared" si="40"/>
        <v>1967990.5699999998</v>
      </c>
      <c r="I287" s="2403"/>
      <c r="J287" s="2401"/>
      <c r="K287" s="2401">
        <v>666.69</v>
      </c>
      <c r="L287" s="2398">
        <v>21031.34</v>
      </c>
      <c r="M287" s="2404"/>
      <c r="N287" s="2404"/>
      <c r="O287" s="2405">
        <v>269518.40999999997</v>
      </c>
      <c r="P287" s="2405">
        <f>1528169.38</f>
        <v>1528169.38</v>
      </c>
      <c r="Q287" s="2405">
        <f>460876.48-21031.34</f>
        <v>439845.13999999996</v>
      </c>
      <c r="R287" s="2405">
        <v>315336.53999999998</v>
      </c>
      <c r="S287" s="2405">
        <v>121283.28</v>
      </c>
      <c r="U287" s="2400">
        <v>170.09</v>
      </c>
      <c r="V287" s="2400">
        <v>23.95</v>
      </c>
      <c r="W287" s="2400">
        <v>10.9</v>
      </c>
      <c r="X287" s="2400"/>
      <c r="Y287" s="2400">
        <v>0</v>
      </c>
      <c r="Z287" s="2400"/>
      <c r="AA287" s="2400"/>
      <c r="AB287" s="2400">
        <v>15048</v>
      </c>
    </row>
    <row r="288" spans="1:28" ht="15.75" hidden="1" x14ac:dyDescent="0.25">
      <c r="B288" s="1953" t="s">
        <v>424</v>
      </c>
      <c r="C288" s="2400">
        <v>102565188.18000001</v>
      </c>
      <c r="E288" s="2401">
        <v>2980305.33</v>
      </c>
      <c r="F288" s="2402">
        <f t="shared" si="38"/>
        <v>2.9057669399188538E-2</v>
      </c>
      <c r="H288" s="2403">
        <f t="shared" si="40"/>
        <v>2172986.0099999998</v>
      </c>
      <c r="I288" s="2403"/>
      <c r="J288" s="2401"/>
      <c r="K288" s="2401">
        <v>618.38</v>
      </c>
      <c r="L288" s="2398">
        <v>26455.38</v>
      </c>
      <c r="M288" s="2404"/>
      <c r="N288" s="2404"/>
      <c r="O288" s="2405">
        <v>298030.53000000003</v>
      </c>
      <c r="P288" s="2405">
        <v>1689833.12</v>
      </c>
      <c r="Q288" s="2405">
        <f>509632.22-26455.38</f>
        <v>483176.83999999997</v>
      </c>
      <c r="R288" s="2405">
        <v>348695.72</v>
      </c>
      <c r="S288" s="2405">
        <v>134113.74</v>
      </c>
      <c r="U288" s="2400">
        <v>170.09</v>
      </c>
      <c r="V288" s="2400">
        <v>23.95</v>
      </c>
      <c r="W288" s="2400">
        <v>10.9</v>
      </c>
      <c r="X288" s="2400"/>
      <c r="Y288" s="2400">
        <v>0</v>
      </c>
      <c r="Z288" s="2400"/>
      <c r="AA288" s="2400"/>
      <c r="AB288" s="2400">
        <v>15048</v>
      </c>
    </row>
    <row r="289" spans="1:28" ht="15.75" hidden="1" x14ac:dyDescent="0.25">
      <c r="B289" s="1953" t="s">
        <v>425</v>
      </c>
      <c r="C289" s="2400">
        <v>114761025.22</v>
      </c>
      <c r="E289" s="2401">
        <v>3325152.95</v>
      </c>
      <c r="F289" s="2402">
        <f t="shared" si="38"/>
        <v>2.8974583867873188E-2</v>
      </c>
      <c r="H289" s="2403">
        <f t="shared" si="40"/>
        <v>2430505.15</v>
      </c>
      <c r="I289" s="2403"/>
      <c r="J289" s="2401"/>
      <c r="K289" s="2401">
        <v>1246.06</v>
      </c>
      <c r="L289" s="2398">
        <v>23433.77</v>
      </c>
      <c r="M289" s="2404"/>
      <c r="N289" s="2404"/>
      <c r="O289" s="2405">
        <v>332515.3</v>
      </c>
      <c r="P289" s="2405">
        <v>1885361.72</v>
      </c>
      <c r="Q289" s="2405">
        <f>568601.15-23433.77</f>
        <v>545167.38</v>
      </c>
      <c r="R289" s="2405">
        <v>389042.9</v>
      </c>
      <c r="S289" s="2405">
        <v>149631.88</v>
      </c>
      <c r="U289" s="2400">
        <v>170.09</v>
      </c>
      <c r="V289" s="2400">
        <v>23.95</v>
      </c>
      <c r="W289" s="2400">
        <v>10.9</v>
      </c>
      <c r="X289" s="2400"/>
      <c r="Y289" s="2400">
        <v>0</v>
      </c>
      <c r="Z289" s="2400"/>
      <c r="AA289" s="2400"/>
      <c r="AB289" s="2400">
        <v>15048</v>
      </c>
    </row>
    <row r="290" spans="1:28" ht="15.75" hidden="1" x14ac:dyDescent="0.25">
      <c r="B290" s="1953" t="s">
        <v>426</v>
      </c>
      <c r="C290" s="2400">
        <v>108115185.2</v>
      </c>
      <c r="E290" s="2401">
        <v>3129192.39</v>
      </c>
      <c r="F290" s="2402">
        <f t="shared" si="38"/>
        <v>2.8943134900165719E-2</v>
      </c>
      <c r="H290" s="2403">
        <f t="shared" si="40"/>
        <v>2284810.54</v>
      </c>
      <c r="I290" s="2403"/>
      <c r="J290" s="2401"/>
      <c r="K290" s="2401">
        <v>1200.24</v>
      </c>
      <c r="L290" s="2398">
        <v>24509.49</v>
      </c>
      <c r="M290" s="2404"/>
      <c r="N290" s="2404"/>
      <c r="O290" s="2405">
        <v>312919.24</v>
      </c>
      <c r="P290" s="2405">
        <v>1774252.09</v>
      </c>
      <c r="Q290" s="2405">
        <f>535091.89-24509.49</f>
        <v>510582.4</v>
      </c>
      <c r="R290" s="2405">
        <v>366115.51</v>
      </c>
      <c r="S290" s="2405">
        <v>140813.66</v>
      </c>
      <c r="U290" s="2400">
        <v>170.09</v>
      </c>
      <c r="V290" s="2400">
        <v>23.95</v>
      </c>
      <c r="W290" s="2400">
        <v>10.9</v>
      </c>
      <c r="X290" s="2400"/>
      <c r="Y290" s="2410">
        <v>0</v>
      </c>
      <c r="Z290" s="2400"/>
      <c r="AA290" s="2400"/>
      <c r="AB290" s="2400">
        <v>15048</v>
      </c>
    </row>
    <row r="291" spans="1:28" ht="15.75" hidden="1" x14ac:dyDescent="0.25">
      <c r="B291" s="1953" t="s">
        <v>416</v>
      </c>
      <c r="C291" s="2400">
        <v>95289888.430000007</v>
      </c>
      <c r="E291" s="2401">
        <v>2791149</v>
      </c>
      <c r="F291" s="2402">
        <f t="shared" si="38"/>
        <v>2.9291135145471173E-2</v>
      </c>
      <c r="H291" s="2403">
        <f t="shared" si="40"/>
        <v>2038975.26</v>
      </c>
      <c r="I291" s="2403"/>
      <c r="J291" s="2401"/>
      <c r="K291" s="2401">
        <v>593.67999999999995</v>
      </c>
      <c r="L291" s="2398">
        <v>20868.75</v>
      </c>
      <c r="M291" s="2404"/>
      <c r="N291" s="2404"/>
      <c r="O291" s="2405">
        <v>279114.90000000002</v>
      </c>
      <c r="P291" s="2405">
        <f>1582581.48</f>
        <v>1582581.48</v>
      </c>
      <c r="Q291" s="2405">
        <f>477286.48-20868.75</f>
        <v>456417.73</v>
      </c>
      <c r="R291" s="2405">
        <v>326564.43</v>
      </c>
      <c r="S291" s="2405">
        <v>125601.71</v>
      </c>
      <c r="U291" s="2400">
        <v>170.09</v>
      </c>
      <c r="V291" s="2400">
        <v>23.95</v>
      </c>
      <c r="W291" s="2400">
        <v>10.9</v>
      </c>
      <c r="X291" s="2400"/>
      <c r="Y291" s="2400">
        <v>0</v>
      </c>
      <c r="Z291" s="2400"/>
      <c r="AA291" s="2400"/>
      <c r="AB291" s="2400">
        <v>15048</v>
      </c>
    </row>
    <row r="292" spans="1:28" ht="15.75" hidden="1" x14ac:dyDescent="0.25">
      <c r="B292" s="1953" t="s">
        <v>417</v>
      </c>
      <c r="C292" s="2400">
        <v>105446394.89</v>
      </c>
      <c r="E292" s="2401">
        <v>3181192.02</v>
      </c>
      <c r="F292" s="2402">
        <f t="shared" si="38"/>
        <v>3.0168807793937089E-2</v>
      </c>
      <c r="H292" s="2403">
        <f t="shared" si="40"/>
        <v>2315696.4099999997</v>
      </c>
      <c r="I292" s="2403"/>
      <c r="J292" s="2401"/>
      <c r="K292" s="2401">
        <v>738.61</v>
      </c>
      <c r="L292" s="2398">
        <v>24354.67</v>
      </c>
      <c r="M292" s="2404"/>
      <c r="N292" s="2404"/>
      <c r="O292" s="2405">
        <v>318119.2</v>
      </c>
      <c r="P292" s="2405">
        <v>1803735.88</v>
      </c>
      <c r="Q292" s="2405">
        <f>543983.83-24354.67</f>
        <v>519629.16</v>
      </c>
      <c r="R292" s="2405">
        <v>372199.47</v>
      </c>
      <c r="S292" s="2405">
        <v>143153.64000000001</v>
      </c>
      <c r="U292" s="2400">
        <v>170.09</v>
      </c>
      <c r="V292" s="2400">
        <v>23.95</v>
      </c>
      <c r="W292" s="2400">
        <v>10.9</v>
      </c>
      <c r="X292" s="2400"/>
      <c r="Y292" s="2400">
        <v>7644.68</v>
      </c>
      <c r="Z292" s="2400"/>
      <c r="AA292" s="2400"/>
      <c r="AB292" s="2400">
        <v>15048</v>
      </c>
    </row>
    <row r="293" spans="1:28" ht="15.75" hidden="1" x14ac:dyDescent="0.25">
      <c r="B293" s="1953" t="s">
        <v>418</v>
      </c>
      <c r="C293" s="2400">
        <v>167435069.34</v>
      </c>
      <c r="E293" s="2401">
        <v>3773655.47</v>
      </c>
      <c r="F293" s="2402">
        <f t="shared" si="38"/>
        <v>2.2538023156529245E-2</v>
      </c>
      <c r="H293" s="2403">
        <f t="shared" si="40"/>
        <v>2759413.55</v>
      </c>
      <c r="I293" s="2403"/>
      <c r="J293" s="2401"/>
      <c r="K293" s="2401">
        <v>738.61</v>
      </c>
      <c r="L293" s="2398">
        <v>25520.23</v>
      </c>
      <c r="M293" s="2404"/>
      <c r="N293" s="2404"/>
      <c r="O293" s="2405">
        <v>377365.55</v>
      </c>
      <c r="P293" s="2405">
        <v>2139662.65</v>
      </c>
      <c r="Q293" s="2405">
        <f>645295.08-25520.23</f>
        <v>619774.85</v>
      </c>
      <c r="R293" s="2405">
        <v>441517.69</v>
      </c>
      <c r="S293" s="2405">
        <v>169814.5</v>
      </c>
      <c r="U293" s="2400">
        <v>170.09</v>
      </c>
      <c r="V293" s="2400">
        <v>23.95</v>
      </c>
      <c r="W293" s="2400">
        <v>10.9</v>
      </c>
      <c r="X293" s="2400"/>
      <c r="Y293" s="2400">
        <v>0</v>
      </c>
      <c r="Z293" s="2400"/>
      <c r="AA293" s="2400"/>
      <c r="AB293" s="2400">
        <v>15048</v>
      </c>
    </row>
    <row r="294" spans="1:28" ht="15.75" hidden="1" x14ac:dyDescent="0.25">
      <c r="C294" s="2390"/>
      <c r="E294" s="2384"/>
      <c r="F294" s="2391"/>
      <c r="H294" s="2384"/>
      <c r="I294" s="2384"/>
      <c r="J294" s="2384"/>
      <c r="K294" s="2384"/>
      <c r="L294" s="2384"/>
      <c r="M294" s="2385"/>
      <c r="N294" s="2385"/>
      <c r="O294" s="2384"/>
      <c r="P294" s="2384"/>
      <c r="Q294" s="2384"/>
      <c r="R294" s="2384"/>
      <c r="S294" s="2384"/>
      <c r="U294" s="2384"/>
      <c r="V294" s="2384"/>
      <c r="W294" s="2384"/>
      <c r="X294" s="2385"/>
      <c r="Y294" s="2384"/>
      <c r="Z294" s="2384"/>
      <c r="AA294" s="2384"/>
      <c r="AB294" s="2384"/>
    </row>
    <row r="295" spans="1:28" ht="16.5" hidden="1" thickBot="1" x14ac:dyDescent="0.3">
      <c r="B295" s="1953">
        <v>2020</v>
      </c>
      <c r="C295" s="2381">
        <f>SUM(C282:C294)</f>
        <v>1330296628.0400002</v>
      </c>
      <c r="E295" s="2382">
        <f>SUM(E282:E294)</f>
        <v>37810424.629999995</v>
      </c>
      <c r="F295" s="2383">
        <f>+E295/C295</f>
        <v>2.8422551657300815E-2</v>
      </c>
      <c r="H295" s="2382">
        <f>SUM(H282:H294)</f>
        <v>27598980.66</v>
      </c>
      <c r="I295" s="2384"/>
      <c r="J295" s="2382">
        <f>SUM(J282:J294)</f>
        <v>0</v>
      </c>
      <c r="K295" s="2382">
        <f>SUM(K282:K294)</f>
        <v>11731.850000000002</v>
      </c>
      <c r="L295" s="2382">
        <f>SUM(L282:L294)</f>
        <v>282564.44999999995</v>
      </c>
      <c r="M295" s="2385">
        <f>+K295/(E295+K295+J295+L295)</f>
        <v>3.0788442255099866E-4</v>
      </c>
      <c r="N295" s="2385"/>
      <c r="O295" s="2382">
        <f>SUM(O282:O294)</f>
        <v>3781042.47</v>
      </c>
      <c r="P295" s="2382">
        <f>SUM(P282:P294)</f>
        <v>21436808.649999999</v>
      </c>
      <c r="Q295" s="2382">
        <f>SUM(Q282:Q294)</f>
        <v>6184720.2599999998</v>
      </c>
      <c r="R295" s="2382">
        <f>SUM(R282:R294)</f>
        <v>4423819.6800000006</v>
      </c>
      <c r="S295" s="2382">
        <f>SUM(S282:S294)</f>
        <v>1701469.1199999996</v>
      </c>
      <c r="U295" s="2382">
        <f>SUM(U282:U294)</f>
        <v>2038.7499999999998</v>
      </c>
      <c r="V295" s="2382">
        <f>SUM(V282:V294)</f>
        <v>287.39999999999992</v>
      </c>
      <c r="W295" s="2382">
        <f>SUM(W282:W294)</f>
        <v>130.80000000000004</v>
      </c>
      <c r="X295" s="2386">
        <f>SUM(U295:W295)/(E295+J295+K295)</f>
        <v>6.4960600575464592E-5</v>
      </c>
      <c r="Y295" s="2382">
        <f>SUM(Y282:Y294)</f>
        <v>22260.85</v>
      </c>
      <c r="Z295" s="2382">
        <f t="shared" ref="Z295:AA295" si="41">SUM(Z282:Z294)</f>
        <v>0</v>
      </c>
      <c r="AA295" s="2382">
        <f t="shared" si="41"/>
        <v>0</v>
      </c>
      <c r="AB295" s="2382">
        <f>SUM(AB282:AB294)</f>
        <v>180617</v>
      </c>
    </row>
    <row r="296" spans="1:28" ht="15.75" x14ac:dyDescent="0.25">
      <c r="C296" s="2390"/>
      <c r="E296" s="2384"/>
      <c r="F296" s="2391"/>
      <c r="H296" s="2384"/>
      <c r="I296" s="2384"/>
      <c r="J296" s="2384"/>
      <c r="K296" s="2384"/>
      <c r="L296" s="2384"/>
      <c r="M296" s="2385"/>
      <c r="N296" s="2385"/>
      <c r="O296" s="2384"/>
      <c r="P296" s="2384"/>
      <c r="Q296" s="2384"/>
      <c r="R296" s="2384"/>
      <c r="S296" s="2384"/>
      <c r="U296" s="2384"/>
      <c r="V296" s="2384"/>
      <c r="W296" s="2384"/>
      <c r="X296" s="2385"/>
      <c r="Y296" s="2384"/>
      <c r="Z296" s="2384"/>
      <c r="AA296" s="2384"/>
    </row>
    <row r="297" spans="1:28" ht="15.75" x14ac:dyDescent="0.25">
      <c r="A297" s="1953">
        <v>2021</v>
      </c>
      <c r="B297" s="1953" t="s">
        <v>419</v>
      </c>
      <c r="C297" s="2406">
        <v>125248475.72</v>
      </c>
      <c r="E297" s="2403">
        <v>3638464.55</v>
      </c>
      <c r="F297" s="2402">
        <f>+E297/C297</f>
        <v>2.9049970700912892E-2</v>
      </c>
      <c r="H297" s="2403">
        <f>P297+Q297-V297-Y297</f>
        <v>2658043.9699999997</v>
      </c>
      <c r="I297" s="2403"/>
      <c r="J297" s="2392">
        <v>0</v>
      </c>
      <c r="K297" s="2392">
        <v>695.43</v>
      </c>
      <c r="L297" s="2403">
        <v>27118.92</v>
      </c>
      <c r="M297" s="2404"/>
      <c r="N297" s="2404"/>
      <c r="O297" s="2407">
        <v>363846.46</v>
      </c>
      <c r="P297" s="2409">
        <v>2063009.4</v>
      </c>
      <c r="Q297" s="2409">
        <f>622177.44-27118.92</f>
        <v>595058.5199999999</v>
      </c>
      <c r="R297" s="2407">
        <v>425700.35</v>
      </c>
      <c r="S297" s="2407">
        <v>163730.9</v>
      </c>
      <c r="U297" s="2407">
        <v>170.09</v>
      </c>
      <c r="V297" s="2407">
        <v>23.95</v>
      </c>
      <c r="W297" s="2407">
        <v>10.9</v>
      </c>
      <c r="X297" s="2400"/>
      <c r="Y297" s="2407">
        <v>0</v>
      </c>
      <c r="Z297" s="2407"/>
      <c r="AA297" s="2407"/>
      <c r="AB297" s="2400">
        <v>15171</v>
      </c>
    </row>
    <row r="298" spans="1:28" ht="15.75" x14ac:dyDescent="0.25">
      <c r="B298" s="1953" t="s">
        <v>420</v>
      </c>
      <c r="C298" s="2400">
        <v>115096981.13</v>
      </c>
      <c r="E298" s="2401">
        <v>3328996.93</v>
      </c>
      <c r="F298" s="2402">
        <f t="shared" ref="F298:F308" si="42">+E298/C298</f>
        <v>2.8923407871488456E-2</v>
      </c>
      <c r="H298" s="2403">
        <f t="shared" ref="H298:H299" si="43">P298+Q298-V298-Y298</f>
        <v>2420803.34</v>
      </c>
      <c r="I298" s="2403"/>
      <c r="J298" s="2401"/>
      <c r="K298" s="2401">
        <v>744.73</v>
      </c>
      <c r="L298" s="2398">
        <v>27763.39</v>
      </c>
      <c r="M298" s="2404"/>
      <c r="N298" s="2404"/>
      <c r="O298" s="2405">
        <v>332899.69</v>
      </c>
      <c r="P298" s="2405">
        <v>1887541.26</v>
      </c>
      <c r="Q298" s="2405">
        <f>569258.48-27763.39</f>
        <v>541495.09</v>
      </c>
      <c r="R298" s="2405">
        <v>389492.64</v>
      </c>
      <c r="S298" s="2405">
        <v>149804.85999999999</v>
      </c>
      <c r="U298" s="2400">
        <v>170.09</v>
      </c>
      <c r="V298" s="2400">
        <v>23.95</v>
      </c>
      <c r="W298" s="2400">
        <v>10.9</v>
      </c>
      <c r="X298" s="2400"/>
      <c r="Y298" s="2400">
        <v>8209.06</v>
      </c>
      <c r="Z298" s="2400"/>
      <c r="AA298" s="2400"/>
      <c r="AB298" s="2400">
        <v>15171</v>
      </c>
    </row>
    <row r="299" spans="1:28" ht="15.75" x14ac:dyDescent="0.25">
      <c r="B299" s="1953" t="s">
        <v>421</v>
      </c>
      <c r="C299" s="2400">
        <v>111386281.15000001</v>
      </c>
      <c r="E299" s="2401">
        <v>3219855.93</v>
      </c>
      <c r="F299" s="2402">
        <f t="shared" si="42"/>
        <v>2.8907114024786705E-2</v>
      </c>
      <c r="H299" s="2403">
        <f t="shared" si="43"/>
        <v>2353599.36</v>
      </c>
      <c r="I299" s="2403"/>
      <c r="J299" s="2401"/>
      <c r="K299" s="2401">
        <v>744.73</v>
      </c>
      <c r="L299" s="2398">
        <v>22630.37</v>
      </c>
      <c r="M299" s="2404"/>
      <c r="N299" s="2404"/>
      <c r="O299" s="2405">
        <v>321985.59000000003</v>
      </c>
      <c r="P299" s="2405">
        <v>1825658.31</v>
      </c>
      <c r="Q299" s="2405">
        <f>550595.37-22630.37</f>
        <v>527965</v>
      </c>
      <c r="R299" s="2405">
        <v>376723.14</v>
      </c>
      <c r="S299" s="2405">
        <v>144893.51999999999</v>
      </c>
      <c r="U299" s="2400">
        <v>170.09</v>
      </c>
      <c r="V299" s="2400">
        <v>23.95</v>
      </c>
      <c r="W299" s="2400">
        <v>10.9</v>
      </c>
      <c r="X299" s="2400"/>
      <c r="Y299" s="2400">
        <v>0</v>
      </c>
      <c r="Z299" s="2400"/>
      <c r="AA299" s="2400"/>
      <c r="AB299" s="2400">
        <v>15171</v>
      </c>
    </row>
    <row r="300" spans="1:28" ht="15.75" x14ac:dyDescent="0.25">
      <c r="A300" s="2397"/>
      <c r="B300" s="1953" t="s">
        <v>422</v>
      </c>
      <c r="C300" s="2400">
        <v>102469832.13</v>
      </c>
      <c r="E300" s="2401">
        <v>2945963.21</v>
      </c>
      <c r="F300" s="2402">
        <f t="shared" si="42"/>
        <v>2.8749566079727316E-2</v>
      </c>
      <c r="H300" s="2403">
        <f>P300+Q300-V300-Y300</f>
        <v>2149031.5599999996</v>
      </c>
      <c r="I300" s="2403"/>
      <c r="J300" s="2401"/>
      <c r="K300" s="2401">
        <v>744.73</v>
      </c>
      <c r="L300" s="2398">
        <v>25065.34</v>
      </c>
      <c r="M300" s="2404"/>
      <c r="N300" s="2404"/>
      <c r="O300" s="2405">
        <v>294596.32</v>
      </c>
      <c r="P300" s="2405">
        <v>1670361.14</v>
      </c>
      <c r="Q300" s="2405">
        <f>503759.71-25065.34</f>
        <v>478694.37</v>
      </c>
      <c r="R300" s="2405">
        <v>344677.7</v>
      </c>
      <c r="S300" s="2405">
        <v>132568.34</v>
      </c>
      <c r="U300" s="2400">
        <v>170.09</v>
      </c>
      <c r="V300" s="2400">
        <v>23.95</v>
      </c>
      <c r="W300" s="2400">
        <v>10.9</v>
      </c>
      <c r="X300" s="2400"/>
      <c r="Y300" s="2400">
        <v>0</v>
      </c>
      <c r="Z300" s="2400"/>
      <c r="AA300" s="2400"/>
      <c r="AB300" s="2400">
        <v>15171</v>
      </c>
    </row>
    <row r="301" spans="1:28" ht="15.75" x14ac:dyDescent="0.25">
      <c r="B301" s="1953" t="s">
        <v>285</v>
      </c>
      <c r="C301" s="2400">
        <v>95390491.579999998</v>
      </c>
      <c r="E301" s="2401">
        <v>2752670.24</v>
      </c>
      <c r="F301" s="2402">
        <f t="shared" si="42"/>
        <v>2.8856861878014867E-2</v>
      </c>
      <c r="H301" s="2403">
        <f t="shared" ref="H301:H308" si="44">P301+Q301-V301-Y301</f>
        <v>2005121.06</v>
      </c>
      <c r="I301" s="2403"/>
      <c r="J301" s="2401"/>
      <c r="K301" s="2401">
        <v>1041.3900000000001</v>
      </c>
      <c r="L301" s="2398">
        <v>26325.63</v>
      </c>
      <c r="M301" s="2404"/>
      <c r="N301" s="2404"/>
      <c r="O301" s="2405">
        <v>275267.02</v>
      </c>
      <c r="P301" s="2405">
        <v>1560764.03</v>
      </c>
      <c r="Q301" s="2405">
        <f>470706.61-26325.63</f>
        <v>444380.98</v>
      </c>
      <c r="R301" s="2405">
        <v>322062.42</v>
      </c>
      <c r="S301" s="2405">
        <v>123870.16</v>
      </c>
      <c r="U301" s="2400">
        <v>170.09</v>
      </c>
      <c r="V301" s="2400">
        <v>23.95</v>
      </c>
      <c r="W301" s="2400">
        <v>10.9</v>
      </c>
      <c r="X301" s="2400"/>
      <c r="Y301" s="2400">
        <v>0</v>
      </c>
      <c r="Z301" s="2400"/>
      <c r="AA301" s="2400"/>
      <c r="AB301" s="2400">
        <v>15171</v>
      </c>
    </row>
    <row r="302" spans="1:28" ht="15.75" x14ac:dyDescent="0.25">
      <c r="B302" s="1953" t="s">
        <v>423</v>
      </c>
      <c r="C302" s="2400">
        <v>100729904.3</v>
      </c>
      <c r="E302" s="2401">
        <v>2899444.75</v>
      </c>
      <c r="F302" s="2402">
        <f t="shared" si="42"/>
        <v>2.8784349296755961E-2</v>
      </c>
      <c r="H302" s="2403">
        <f>P302+Q302-V302-Y302-5162.31</f>
        <v>2107658.4299999997</v>
      </c>
      <c r="I302" s="2403"/>
      <c r="J302" s="2401"/>
      <c r="K302" s="2401">
        <v>1041.3900000000001</v>
      </c>
      <c r="L302" s="2398">
        <v>26945.53</v>
      </c>
      <c r="M302" s="2404"/>
      <c r="N302" s="2404"/>
      <c r="O302" s="2405">
        <v>289944.48</v>
      </c>
      <c r="P302" s="2405">
        <v>1643985.17</v>
      </c>
      <c r="Q302" s="2405">
        <f>495805.05-26945.53</f>
        <v>468859.52</v>
      </c>
      <c r="R302" s="2405">
        <v>339235.04</v>
      </c>
      <c r="S302" s="2405">
        <v>130475.01</v>
      </c>
      <c r="U302" s="2400">
        <v>170.09</v>
      </c>
      <c r="V302" s="2400">
        <v>23.95</v>
      </c>
      <c r="W302" s="2400">
        <v>10.9</v>
      </c>
      <c r="X302" s="2400"/>
      <c r="Y302" s="2400">
        <v>0</v>
      </c>
      <c r="Z302" s="2400"/>
      <c r="AA302" s="2400">
        <f>699.5+5162.31+1133.19</f>
        <v>6995</v>
      </c>
      <c r="AB302" s="2400">
        <v>15171</v>
      </c>
    </row>
    <row r="303" spans="1:28" ht="15.75" x14ac:dyDescent="0.25">
      <c r="B303" s="1953" t="s">
        <v>424</v>
      </c>
      <c r="C303" s="2400">
        <v>116223180.26000001</v>
      </c>
      <c r="E303" s="2401">
        <v>3358773.34</v>
      </c>
      <c r="F303" s="2402">
        <f t="shared" si="42"/>
        <v>2.8899341185520573E-2</v>
      </c>
      <c r="H303" s="2403">
        <f>P303+Q303-V303-Y303-6599.28</f>
        <v>2443461.4499999997</v>
      </c>
      <c r="I303" s="2403"/>
      <c r="J303" s="2401">
        <f>894.21+6599.28+1448.62</f>
        <v>8942.11</v>
      </c>
      <c r="K303" s="2401">
        <v>1017.81</v>
      </c>
      <c r="L303" s="2398">
        <v>28690.05</v>
      </c>
      <c r="M303" s="2404"/>
      <c r="N303" s="2404"/>
      <c r="O303" s="2405">
        <v>335877.33</v>
      </c>
      <c r="P303" s="2405">
        <v>1904424.48</v>
      </c>
      <c r="Q303" s="2405">
        <f>574350.25-28690.05</f>
        <v>545660.19999999995</v>
      </c>
      <c r="R303" s="2405">
        <v>392976.48</v>
      </c>
      <c r="S303" s="2405">
        <v>151144.79999999999</v>
      </c>
      <c r="U303" s="2400">
        <v>170.09</v>
      </c>
      <c r="V303" s="2400">
        <v>23.95</v>
      </c>
      <c r="W303" s="2400">
        <v>10.9</v>
      </c>
      <c r="X303" s="2400"/>
      <c r="Y303" s="2400">
        <v>0</v>
      </c>
      <c r="Z303" s="2400"/>
      <c r="AA303" s="2400"/>
      <c r="AB303" s="2400">
        <v>15171</v>
      </c>
    </row>
    <row r="304" spans="1:28" ht="15.75" x14ac:dyDescent="0.25">
      <c r="B304" s="1953" t="s">
        <v>425</v>
      </c>
      <c r="C304" s="2400">
        <v>116108883.26000001</v>
      </c>
      <c r="E304" s="2401">
        <v>3337458.73</v>
      </c>
      <c r="F304" s="2402">
        <f t="shared" si="42"/>
        <v>2.8744215225345884E-2</v>
      </c>
      <c r="H304" s="2403">
        <f>P304+Q304-V304-Y304-6562.83</f>
        <v>2426270.9</v>
      </c>
      <c r="I304" s="2403"/>
      <c r="J304" s="2401">
        <f>889.27+6562.83+1440.63</f>
        <v>8892.73</v>
      </c>
      <c r="K304" s="2401">
        <v>1667.29</v>
      </c>
      <c r="L304" s="2398">
        <v>30186.87</v>
      </c>
      <c r="M304" s="2404"/>
      <c r="N304" s="2404"/>
      <c r="O304" s="2405">
        <v>333745.87</v>
      </c>
      <c r="P304" s="2405">
        <v>1892339.1</v>
      </c>
      <c r="Q304" s="2405">
        <f>570705.45-30186.87</f>
        <v>540518.57999999996</v>
      </c>
      <c r="R304" s="2405">
        <v>390482.67</v>
      </c>
      <c r="S304" s="2405">
        <v>150185.64000000001</v>
      </c>
      <c r="U304" s="2400">
        <v>170.09</v>
      </c>
      <c r="V304" s="2400">
        <v>23.95</v>
      </c>
      <c r="W304" s="2400">
        <v>10.9</v>
      </c>
      <c r="X304" s="2400"/>
      <c r="Y304" s="2400">
        <v>0</v>
      </c>
      <c r="Z304" s="2400"/>
      <c r="AA304" s="2400"/>
      <c r="AB304" s="2400">
        <v>15171</v>
      </c>
    </row>
    <row r="305" spans="1:28" ht="15.75" x14ac:dyDescent="0.25">
      <c r="B305" s="1953" t="s">
        <v>426</v>
      </c>
      <c r="C305" s="2400">
        <v>104253936.09</v>
      </c>
      <c r="E305" s="2401">
        <v>2992438.24</v>
      </c>
      <c r="F305" s="2402">
        <f t="shared" si="42"/>
        <v>2.8703359817673434E-2</v>
      </c>
      <c r="H305" s="2403">
        <f t="shared" si="44"/>
        <v>2179295.84</v>
      </c>
      <c r="I305" s="2403"/>
      <c r="J305" s="2401"/>
      <c r="K305" s="2401">
        <v>745.43</v>
      </c>
      <c r="L305" s="2398">
        <v>29099.64</v>
      </c>
      <c r="M305" s="2404"/>
      <c r="N305" s="2404"/>
      <c r="O305" s="2405">
        <v>299243.82</v>
      </c>
      <c r="P305" s="2405">
        <v>1696712.48</v>
      </c>
      <c r="Q305" s="2405">
        <f>511706.95-29099.64</f>
        <v>482607.31</v>
      </c>
      <c r="R305" s="2405">
        <v>350115.27</v>
      </c>
      <c r="S305" s="2405">
        <v>134659.72</v>
      </c>
      <c r="U305" s="2400">
        <v>170.09</v>
      </c>
      <c r="V305" s="2400">
        <v>23.95</v>
      </c>
      <c r="W305" s="2400">
        <v>10.9</v>
      </c>
      <c r="X305" s="2400"/>
      <c r="Y305" s="2410">
        <v>0</v>
      </c>
      <c r="Z305" s="2400"/>
      <c r="AA305" s="2400"/>
      <c r="AB305" s="2400">
        <v>15171</v>
      </c>
    </row>
    <row r="306" spans="1:28" ht="15.75" x14ac:dyDescent="0.25">
      <c r="B306" s="1953" t="s">
        <v>416</v>
      </c>
      <c r="C306" s="2400">
        <v>94647287.540000007</v>
      </c>
      <c r="E306" s="2401">
        <v>2722465.78</v>
      </c>
      <c r="F306" s="2402">
        <f t="shared" si="42"/>
        <v>2.8764329657618836E-2</v>
      </c>
      <c r="H306" s="2403">
        <f t="shared" si="44"/>
        <v>1982046.4900000002</v>
      </c>
      <c r="I306" s="2403"/>
      <c r="J306" s="2401"/>
      <c r="K306" s="2401">
        <v>645.42999999999995</v>
      </c>
      <c r="L306" s="2398">
        <v>27109.3</v>
      </c>
      <c r="M306" s="2404"/>
      <c r="N306" s="2404"/>
      <c r="O306" s="2405">
        <v>272246.58</v>
      </c>
      <c r="P306" s="2405">
        <v>1543638.1</v>
      </c>
      <c r="Q306" s="2405">
        <f>465541.64-27109.3</f>
        <v>438432.34</v>
      </c>
      <c r="R306" s="2405">
        <v>318528.5</v>
      </c>
      <c r="S306" s="2405">
        <v>122510.96</v>
      </c>
      <c r="U306" s="2400">
        <v>170.09</v>
      </c>
      <c r="V306" s="2400">
        <v>23.95</v>
      </c>
      <c r="W306" s="2400">
        <v>10.9</v>
      </c>
      <c r="X306" s="2400"/>
      <c r="Y306" s="2400">
        <v>0</v>
      </c>
      <c r="Z306" s="2400"/>
      <c r="AA306" s="2400"/>
      <c r="AB306" s="2400">
        <v>15171</v>
      </c>
    </row>
    <row r="307" spans="1:28" ht="15.75" x14ac:dyDescent="0.25">
      <c r="B307" s="1953" t="s">
        <v>417</v>
      </c>
      <c r="C307" s="2400">
        <v>102026488.64</v>
      </c>
      <c r="E307" s="2401">
        <v>3057760.77</v>
      </c>
      <c r="F307" s="2402">
        <f t="shared" si="42"/>
        <v>2.9970263710528106E-2</v>
      </c>
      <c r="H307" s="2403">
        <f>P307+Q307-V307-Y307-6672.31</f>
        <v>2224855.0499999998</v>
      </c>
      <c r="I307" s="2403"/>
      <c r="J307" s="2401">
        <f>904.11+6672.31+1464.65</f>
        <v>9041.07</v>
      </c>
      <c r="K307" s="2401">
        <v>695.43</v>
      </c>
      <c r="L307" s="2398">
        <v>25076.14</v>
      </c>
      <c r="M307" s="2404"/>
      <c r="N307" s="2404"/>
      <c r="O307" s="2405">
        <v>305776.08</v>
      </c>
      <c r="P307" s="2405">
        <v>1733750.36</v>
      </c>
      <c r="Q307" s="2405">
        <f>522877.09-25076.14</f>
        <v>497800.95</v>
      </c>
      <c r="R307" s="2405">
        <v>357758.01</v>
      </c>
      <c r="S307" s="2405">
        <v>137599.23000000001</v>
      </c>
      <c r="U307" s="2400">
        <v>170.09</v>
      </c>
      <c r="V307" s="2400">
        <v>23.95</v>
      </c>
      <c r="W307" s="2400">
        <v>10.9</v>
      </c>
      <c r="X307" s="2400"/>
      <c r="Y307" s="2400">
        <v>0</v>
      </c>
      <c r="Z307" s="2400"/>
      <c r="AA307" s="2400"/>
      <c r="AB307" s="2400">
        <v>15171</v>
      </c>
    </row>
    <row r="308" spans="1:28" ht="15.75" x14ac:dyDescent="0.25">
      <c r="B308" s="1953" t="s">
        <v>418</v>
      </c>
      <c r="C308" s="2400">
        <v>120497659.38</v>
      </c>
      <c r="E308" s="2401">
        <v>3492184.53</v>
      </c>
      <c r="F308" s="2402">
        <f t="shared" si="42"/>
        <v>2.8981347421754376E-2</v>
      </c>
      <c r="H308" s="2403">
        <f t="shared" si="44"/>
        <v>2552078.5299999998</v>
      </c>
      <c r="I308" s="2403"/>
      <c r="J308" s="2401"/>
      <c r="K308" s="2401">
        <v>695.43</v>
      </c>
      <c r="L308" s="2398">
        <v>25129.71</v>
      </c>
      <c r="M308" s="2404"/>
      <c r="N308" s="2404"/>
      <c r="O308" s="2405">
        <v>349218.45</v>
      </c>
      <c r="P308" s="2405">
        <v>1980068.63</v>
      </c>
      <c r="Q308" s="2405">
        <f>597163.56-25129.71</f>
        <v>572033.85000000009</v>
      </c>
      <c r="R308" s="2405">
        <v>408585.59</v>
      </c>
      <c r="S308" s="2405">
        <v>157148.29999999999</v>
      </c>
      <c r="U308" s="2400">
        <v>170.09</v>
      </c>
      <c r="V308" s="2400">
        <v>23.95</v>
      </c>
      <c r="W308" s="2400">
        <v>10.9</v>
      </c>
      <c r="X308" s="2400"/>
      <c r="Y308" s="2400">
        <v>0</v>
      </c>
      <c r="Z308" s="2400"/>
      <c r="AA308" s="2400"/>
      <c r="AB308" s="2400">
        <v>15171</v>
      </c>
    </row>
    <row r="309" spans="1:28" ht="15.75" x14ac:dyDescent="0.25">
      <c r="C309" s="2390"/>
      <c r="E309" s="2384"/>
      <c r="F309" s="2391"/>
      <c r="H309" s="2384"/>
      <c r="I309" s="2384"/>
      <c r="J309" s="2384"/>
      <c r="K309" s="2384"/>
      <c r="L309" s="2384"/>
      <c r="M309" s="2385"/>
      <c r="N309" s="2385"/>
      <c r="O309" s="2384"/>
      <c r="P309" s="2384"/>
      <c r="Q309" s="2384"/>
      <c r="R309" s="2384"/>
      <c r="S309" s="2384"/>
      <c r="U309" s="2384"/>
      <c r="V309" s="2384"/>
      <c r="W309" s="2384"/>
      <c r="X309" s="2385"/>
      <c r="Y309" s="2384"/>
      <c r="Z309" s="2384"/>
      <c r="AA309" s="2384"/>
      <c r="AB309" s="2384"/>
    </row>
    <row r="310" spans="1:28" ht="16.5" thickBot="1" x14ac:dyDescent="0.3">
      <c r="B310" s="1953">
        <v>2021</v>
      </c>
      <c r="C310" s="2381">
        <f>SUM(C297:C309)</f>
        <v>1304079401.1800003</v>
      </c>
      <c r="E310" s="2382">
        <f>SUM(E297:E309)</f>
        <v>37746477.000000007</v>
      </c>
      <c r="F310" s="2383">
        <f>+E310/C310</f>
        <v>2.8944922345867125E-2</v>
      </c>
      <c r="H310" s="2382">
        <f>SUM(H297:H309)</f>
        <v>27502265.98</v>
      </c>
      <c r="I310" s="2384"/>
      <c r="J310" s="2382">
        <f>SUM(J297:J309)</f>
        <v>26875.91</v>
      </c>
      <c r="K310" s="2382">
        <f>SUM(K297:K309)</f>
        <v>10479.220000000001</v>
      </c>
      <c r="L310" s="2382">
        <f>SUM(L297:L309)</f>
        <v>321140.89</v>
      </c>
      <c r="M310" s="2385">
        <f>+K310/(E310+K310+J310+L310)</f>
        <v>2.7500924864845897E-4</v>
      </c>
      <c r="N310" s="2385"/>
      <c r="O310" s="2382">
        <f>SUM(O297:O309)</f>
        <v>3774647.6900000004</v>
      </c>
      <c r="P310" s="2382">
        <f>SUM(P297:P309)</f>
        <v>21402252.460000001</v>
      </c>
      <c r="Q310" s="2382">
        <f>SUM(Q297:Q309)</f>
        <v>6133506.709999999</v>
      </c>
      <c r="R310" s="2382">
        <f>SUM(R297:R309)</f>
        <v>4416337.8099999996</v>
      </c>
      <c r="S310" s="2382">
        <f>SUM(S297:S309)</f>
        <v>1698591.44</v>
      </c>
      <c r="U310" s="2382">
        <f>SUM(U297:U309)</f>
        <v>2041.0799999999997</v>
      </c>
      <c r="V310" s="2382">
        <f>SUM(V297:V309)</f>
        <v>287.39999999999992</v>
      </c>
      <c r="W310" s="2382">
        <f>SUM(W297:W309)</f>
        <v>130.80000000000004</v>
      </c>
      <c r="X310" s="2386">
        <f>SUM(U310:W310)/(E310+J310+K310)</f>
        <v>6.5088157059838169E-5</v>
      </c>
      <c r="Y310" s="2382">
        <f>SUM(Y297:Y309)</f>
        <v>8209.06</v>
      </c>
      <c r="Z310" s="2382">
        <f t="shared" ref="Z310:AA310" si="45">SUM(Z297:Z309)</f>
        <v>0</v>
      </c>
      <c r="AA310" s="2382">
        <f t="shared" si="45"/>
        <v>6995</v>
      </c>
      <c r="AB310" s="2382">
        <f>SUM(AB297:AB309)</f>
        <v>182052</v>
      </c>
    </row>
    <row r="311" spans="1:28" ht="16.5" thickTop="1" x14ac:dyDescent="0.25">
      <c r="C311" s="2390"/>
      <c r="E311" s="2384"/>
      <c r="F311" s="2391"/>
      <c r="H311" s="2384"/>
      <c r="I311" s="2384"/>
      <c r="J311" s="2384"/>
      <c r="K311" s="2384"/>
      <c r="L311" s="2384"/>
      <c r="M311" s="2385"/>
      <c r="N311" s="2385"/>
      <c r="O311" s="2384"/>
      <c r="P311" s="2384"/>
      <c r="Q311" s="2384"/>
      <c r="R311" s="2384"/>
      <c r="S311" s="2384"/>
      <c r="U311" s="2384"/>
      <c r="V311" s="2384"/>
      <c r="W311" s="2384"/>
      <c r="X311" s="2385"/>
      <c r="Y311" s="2384"/>
      <c r="Z311" s="2384"/>
      <c r="AA311" s="2384"/>
    </row>
    <row r="312" spans="1:28" ht="15.75" x14ac:dyDescent="0.25">
      <c r="A312" s="1953">
        <v>2022</v>
      </c>
      <c r="B312" s="1953" t="s">
        <v>419</v>
      </c>
      <c r="C312" s="2406">
        <v>127624877.14</v>
      </c>
      <c r="E312" s="2403">
        <v>2978125.19</v>
      </c>
      <c r="F312" s="2402">
        <f>+E312/C312</f>
        <v>2.3334989672374778E-2</v>
      </c>
      <c r="H312" s="2403">
        <f>P312+Q312-V312-Y312</f>
        <v>987041.14000000013</v>
      </c>
      <c r="I312" s="2403"/>
      <c r="J312" s="2392">
        <v>0</v>
      </c>
      <c r="K312" s="2392">
        <v>862.35</v>
      </c>
      <c r="L312" s="2403">
        <v>25497.47</v>
      </c>
      <c r="M312" s="2404"/>
      <c r="N312" s="2404"/>
      <c r="O312" s="2407">
        <v>595625.04</v>
      </c>
      <c r="P312" s="2411">
        <v>0</v>
      </c>
      <c r="Q312" s="2409">
        <f>1012562.56-25497.47</f>
        <v>987065.09000000008</v>
      </c>
      <c r="R312" s="2407">
        <v>1091980.23</v>
      </c>
      <c r="S312" s="2407">
        <v>277957.36</v>
      </c>
      <c r="U312" s="2407">
        <v>170.09</v>
      </c>
      <c r="V312" s="2407">
        <v>23.95</v>
      </c>
      <c r="W312" s="2407">
        <v>10.9</v>
      </c>
      <c r="X312" s="2400"/>
      <c r="Y312" s="2407">
        <v>0</v>
      </c>
      <c r="Z312" s="2407"/>
      <c r="AA312" s="2407"/>
      <c r="AB312" s="2400">
        <v>15092</v>
      </c>
    </row>
    <row r="313" spans="1:28" ht="15.75" x14ac:dyDescent="0.25">
      <c r="B313" s="1953" t="s">
        <v>420</v>
      </c>
      <c r="C313" s="2400">
        <v>119718001.12</v>
      </c>
      <c r="E313" s="2401">
        <v>1796880.22</v>
      </c>
      <c r="F313" s="2402">
        <f t="shared" ref="F313:F324" si="46">+E313/C313</f>
        <v>1.5009273485938735E-2</v>
      </c>
      <c r="H313" s="2403">
        <f>P312+Q313-V313-Y313</f>
        <v>590799.99000000011</v>
      </c>
      <c r="I313" s="2403"/>
      <c r="J313" s="2401">
        <f>9112-3098.08</f>
        <v>6013.92</v>
      </c>
      <c r="K313" s="2401">
        <v>709.73</v>
      </c>
      <c r="L313" s="2398">
        <v>17017.259999999998</v>
      </c>
      <c r="M313" s="2404"/>
      <c r="N313" s="2404"/>
      <c r="O313" s="2405">
        <v>359376.04</v>
      </c>
      <c r="P313" s="2411">
        <v>0</v>
      </c>
      <c r="Q313" s="2405">
        <f>610939.28-17017.26</f>
        <v>593922.02</v>
      </c>
      <c r="R313" s="2405">
        <v>658856.68000000005</v>
      </c>
      <c r="S313" s="2405">
        <v>167708.22</v>
      </c>
      <c r="U313" s="2400">
        <v>170.09</v>
      </c>
      <c r="V313" s="2400">
        <v>23.95</v>
      </c>
      <c r="W313" s="2400">
        <v>10.9</v>
      </c>
      <c r="X313" s="2400"/>
      <c r="Y313" s="2400">
        <v>3098.08</v>
      </c>
      <c r="Z313" s="2400"/>
      <c r="AA313" s="2400"/>
      <c r="AB313" s="2400">
        <v>15011</v>
      </c>
    </row>
    <row r="314" spans="1:28" ht="15.75" x14ac:dyDescent="0.25">
      <c r="B314" s="1953" t="s">
        <v>421</v>
      </c>
      <c r="C314" s="2400">
        <v>110453836.34999999</v>
      </c>
      <c r="E314" s="2401">
        <v>1632200.79</v>
      </c>
      <c r="F314" s="2402">
        <f t="shared" si="46"/>
        <v>1.4777221361763956E-2</v>
      </c>
      <c r="H314" s="2403">
        <f t="shared" ref="H314:H324" si="47">P314+Q314-V314-Y314</f>
        <v>537892.94000000006</v>
      </c>
      <c r="I314" s="2403"/>
      <c r="J314" s="2401"/>
      <c r="K314" s="2401">
        <v>538.66999999999996</v>
      </c>
      <c r="L314" s="2398">
        <v>17031.37</v>
      </c>
      <c r="M314" s="2404"/>
      <c r="N314" s="2404"/>
      <c r="O314" s="2405">
        <v>326440.15999999997</v>
      </c>
      <c r="P314" s="2411">
        <v>0</v>
      </c>
      <c r="Q314" s="2405">
        <f>554948.26-17031.37</f>
        <v>537916.89</v>
      </c>
      <c r="R314" s="2405">
        <v>598474.17000000004</v>
      </c>
      <c r="S314" s="2405">
        <v>152338.20000000001</v>
      </c>
      <c r="U314" s="2400">
        <v>170.09</v>
      </c>
      <c r="V314" s="2400">
        <v>23.95</v>
      </c>
      <c r="W314" s="2400">
        <v>10.9</v>
      </c>
      <c r="X314" s="2400"/>
      <c r="Y314" s="2400">
        <v>0</v>
      </c>
      <c r="Z314" s="2400"/>
      <c r="AA314" s="2400"/>
      <c r="AB314" s="2400">
        <v>15011</v>
      </c>
    </row>
    <row r="315" spans="1:28" ht="15.75" x14ac:dyDescent="0.25">
      <c r="A315" s="2397"/>
      <c r="B315" s="1953" t="s">
        <v>422</v>
      </c>
      <c r="C315" s="2400">
        <v>103393436.09999999</v>
      </c>
      <c r="E315" s="2401">
        <v>1506710.57</v>
      </c>
      <c r="F315" s="2402">
        <f t="shared" si="46"/>
        <v>1.4572594033365336E-2</v>
      </c>
      <c r="H315" s="2403">
        <f t="shared" si="47"/>
        <v>492447.83999999997</v>
      </c>
      <c r="I315" s="2403"/>
      <c r="J315" s="2401">
        <f>9254.1-3146.39</f>
        <v>6107.7100000000009</v>
      </c>
      <c r="K315" s="2401">
        <v>709.73</v>
      </c>
      <c r="L315" s="2398">
        <v>16663.419999999998</v>
      </c>
      <c r="M315" s="2404"/>
      <c r="N315" s="2404"/>
      <c r="O315" s="2405">
        <v>301342.11</v>
      </c>
      <c r="P315" s="2411">
        <v>0</v>
      </c>
      <c r="Q315" s="2405">
        <f>512281.6-16663.42</f>
        <v>495618.18</v>
      </c>
      <c r="R315" s="2405">
        <v>552461.04</v>
      </c>
      <c r="S315" s="2405">
        <v>140625.82</v>
      </c>
      <c r="U315" s="2400">
        <v>170.09</v>
      </c>
      <c r="V315" s="2400">
        <v>23.95</v>
      </c>
      <c r="W315" s="2400">
        <v>10.9</v>
      </c>
      <c r="X315" s="2400"/>
      <c r="Y315" s="2400">
        <v>3146.39</v>
      </c>
      <c r="Z315" s="2400"/>
      <c r="AA315" s="2400"/>
      <c r="AB315" s="2400">
        <v>15011</v>
      </c>
    </row>
    <row r="316" spans="1:28" ht="15.75" x14ac:dyDescent="0.25">
      <c r="A316" s="2397"/>
      <c r="B316" s="1953" t="s">
        <v>422</v>
      </c>
      <c r="C316" s="2400">
        <v>0</v>
      </c>
      <c r="E316" s="2401">
        <v>2000959.06</v>
      </c>
      <c r="F316" s="2402" t="e">
        <f t="shared" si="46"/>
        <v>#DIV/0!</v>
      </c>
      <c r="H316" s="2403">
        <f t="shared" si="47"/>
        <v>1476683.83</v>
      </c>
      <c r="I316" s="2403"/>
      <c r="J316" s="2401">
        <v>0</v>
      </c>
      <c r="K316" s="2401">
        <v>0</v>
      </c>
      <c r="L316" s="2398">
        <v>0</v>
      </c>
      <c r="M316" s="2404"/>
      <c r="N316" s="2404"/>
      <c r="O316" s="2405">
        <v>200095.91</v>
      </c>
      <c r="P316" s="2411">
        <v>1134543.79</v>
      </c>
      <c r="Q316" s="2405">
        <v>342163.99</v>
      </c>
      <c r="R316" s="2405">
        <v>234112.21</v>
      </c>
      <c r="S316" s="2405">
        <v>90043.16</v>
      </c>
      <c r="U316" s="2400">
        <v>170.09</v>
      </c>
      <c r="V316" s="2400">
        <v>23.95</v>
      </c>
      <c r="W316" s="2400">
        <v>10.9</v>
      </c>
      <c r="X316" s="2400"/>
      <c r="Y316" s="2400">
        <v>0</v>
      </c>
      <c r="Z316" s="2400"/>
      <c r="AA316" s="2400"/>
      <c r="AB316" s="2400">
        <v>0</v>
      </c>
    </row>
    <row r="317" spans="1:28" ht="15.75" x14ac:dyDescent="0.25">
      <c r="B317" s="1953" t="s">
        <v>285</v>
      </c>
      <c r="C317" s="2400">
        <v>100494809.64</v>
      </c>
      <c r="E317" s="2401">
        <v>1454330.62</v>
      </c>
      <c r="F317" s="2402">
        <f t="shared" si="46"/>
        <v>1.4471698839072502E-2</v>
      </c>
      <c r="H317" s="2403">
        <f t="shared" si="47"/>
        <v>476964.75999999995</v>
      </c>
      <c r="I317" s="2403"/>
      <c r="J317" s="2401"/>
      <c r="K317" s="2401">
        <v>709.73</v>
      </c>
      <c r="L317" s="2398">
        <v>17483.7</v>
      </c>
      <c r="M317" s="2404"/>
      <c r="N317" s="2404"/>
      <c r="O317" s="2405">
        <v>290866.12</v>
      </c>
      <c r="P317" s="2411">
        <v>0</v>
      </c>
      <c r="Q317" s="2405">
        <f>494472.41-17483.7</f>
        <v>476988.70999999996</v>
      </c>
      <c r="R317" s="2405">
        <v>533255.05000000005</v>
      </c>
      <c r="S317" s="2405">
        <v>135737.04</v>
      </c>
      <c r="U317" s="2400">
        <v>170.09</v>
      </c>
      <c r="V317" s="2400">
        <v>23.95</v>
      </c>
      <c r="W317" s="2400">
        <v>10.9</v>
      </c>
      <c r="X317" s="2400"/>
      <c r="Y317" s="2400">
        <v>0</v>
      </c>
      <c r="Z317" s="2400"/>
      <c r="AA317" s="2400"/>
      <c r="AB317" s="2400">
        <v>15011</v>
      </c>
    </row>
    <row r="318" spans="1:28" ht="15.75" x14ac:dyDescent="0.25">
      <c r="B318" s="1953" t="s">
        <v>423</v>
      </c>
      <c r="C318" s="2400">
        <v>96468192.700000003</v>
      </c>
      <c r="E318" s="2401">
        <v>1406940.21</v>
      </c>
      <c r="F318" s="2402">
        <f t="shared" si="46"/>
        <v>1.4584498482057702E-2</v>
      </c>
      <c r="H318" s="2403">
        <f t="shared" si="47"/>
        <v>465388.74</v>
      </c>
      <c r="I318" s="2403"/>
      <c r="J318" s="2401"/>
      <c r="K318" s="2401">
        <v>709.73</v>
      </c>
      <c r="L318" s="2398">
        <v>17494.849999999999</v>
      </c>
      <c r="M318" s="2404"/>
      <c r="N318" s="2404"/>
      <c r="O318" s="2405">
        <v>281388.03999999998</v>
      </c>
      <c r="P318" s="2411">
        <v>4547.87</v>
      </c>
      <c r="Q318" s="2405">
        <f>478359.67-17494.85</f>
        <v>460864.82</v>
      </c>
      <c r="R318" s="2405">
        <v>515878.55</v>
      </c>
      <c r="S318" s="2405">
        <v>131313.95000000001</v>
      </c>
      <c r="U318" s="2400">
        <v>170.09</v>
      </c>
      <c r="V318" s="2400">
        <v>23.95</v>
      </c>
      <c r="W318" s="2400">
        <v>10.9</v>
      </c>
      <c r="X318" s="2400"/>
      <c r="Y318" s="2400">
        <v>0</v>
      </c>
      <c r="Z318" s="2400"/>
      <c r="AA318" s="2400"/>
      <c r="AB318" s="2400">
        <v>15011</v>
      </c>
    </row>
    <row r="319" spans="1:28" ht="15.75" x14ac:dyDescent="0.25">
      <c r="B319" s="1953" t="s">
        <v>424</v>
      </c>
      <c r="C319" s="2400">
        <v>102463906.52</v>
      </c>
      <c r="E319" s="2401">
        <v>1507548.23</v>
      </c>
      <c r="F319" s="2402">
        <f t="shared" si="46"/>
        <v>1.4712968509606265E-2</v>
      </c>
      <c r="H319" s="2403">
        <f t="shared" si="47"/>
        <v>495663.09</v>
      </c>
      <c r="I319" s="2403"/>
      <c r="J319" s="2401" t="s">
        <v>97</v>
      </c>
      <c r="K319" s="2401">
        <v>1051.8499999999999</v>
      </c>
      <c r="L319" s="2398">
        <v>16879.349999999999</v>
      </c>
      <c r="M319" s="2404"/>
      <c r="N319" s="2404"/>
      <c r="O319" s="2405">
        <v>301509.65000000002</v>
      </c>
      <c r="P319" s="2411">
        <v>0</v>
      </c>
      <c r="Q319" s="2405">
        <f>512566.39-16879.35</f>
        <v>495687.04000000004</v>
      </c>
      <c r="R319" s="2405">
        <v>552768.18999999994</v>
      </c>
      <c r="S319" s="2405">
        <v>140704</v>
      </c>
      <c r="U319" s="2400">
        <v>170.09</v>
      </c>
      <c r="V319" s="2400">
        <v>23.95</v>
      </c>
      <c r="W319" s="2400">
        <v>10.9</v>
      </c>
      <c r="X319" s="2400"/>
      <c r="Y319" s="2400">
        <v>0</v>
      </c>
      <c r="Z319" s="2400"/>
      <c r="AA319" s="2400"/>
      <c r="AB319" s="2400">
        <v>15011</v>
      </c>
    </row>
    <row r="320" spans="1:28" ht="15.75" x14ac:dyDescent="0.25">
      <c r="B320" s="1953" t="s">
        <v>425</v>
      </c>
      <c r="C320" s="2400">
        <v>119044914.66</v>
      </c>
      <c r="E320" s="2401">
        <v>1757409.79</v>
      </c>
      <c r="F320" s="2402">
        <f t="shared" si="46"/>
        <v>1.4762577595349423E-2</v>
      </c>
      <c r="H320" s="2403">
        <f t="shared" si="47"/>
        <v>578412.29999999993</v>
      </c>
      <c r="I320" s="2403"/>
      <c r="J320" s="2401">
        <f>9254.18-3146.42</f>
        <v>6107.76</v>
      </c>
      <c r="K320" s="2401">
        <v>538.66999999999996</v>
      </c>
      <c r="L320" s="2398">
        <v>15936.65</v>
      </c>
      <c r="M320" s="2404"/>
      <c r="N320" s="2404"/>
      <c r="O320" s="2405">
        <v>351481.96</v>
      </c>
      <c r="P320" s="2411">
        <v>0</v>
      </c>
      <c r="Q320" s="2405">
        <f>597519.32-15936.65</f>
        <v>581582.66999999993</v>
      </c>
      <c r="R320" s="2405">
        <v>644384.18000000005</v>
      </c>
      <c r="S320" s="2405">
        <v>164024.32999999999</v>
      </c>
      <c r="U320" s="2400">
        <v>170.09</v>
      </c>
      <c r="V320" s="2400">
        <v>23.95</v>
      </c>
      <c r="W320" s="2400">
        <v>10.9</v>
      </c>
      <c r="X320" s="2400"/>
      <c r="Y320" s="2400">
        <v>3146.42</v>
      </c>
      <c r="Z320" s="2400"/>
      <c r="AA320" s="2400"/>
      <c r="AB320" s="2400">
        <v>15011</v>
      </c>
    </row>
    <row r="321" spans="1:28" ht="15.75" x14ac:dyDescent="0.25">
      <c r="B321" s="1953" t="s">
        <v>426</v>
      </c>
      <c r="C321" s="2400">
        <v>110329006.98999999</v>
      </c>
      <c r="E321" s="2401">
        <v>1616366.76</v>
      </c>
      <c r="F321" s="2402">
        <f t="shared" si="46"/>
        <v>1.4650424254670436E-2</v>
      </c>
      <c r="H321" s="2403">
        <f t="shared" si="47"/>
        <v>528790.93000000005</v>
      </c>
      <c r="I321" s="2403"/>
      <c r="J321" s="2401"/>
      <c r="K321" s="2401">
        <v>439.82</v>
      </c>
      <c r="L321" s="2398">
        <v>20749.82</v>
      </c>
      <c r="M321" s="2404"/>
      <c r="N321" s="2404"/>
      <c r="O321" s="2405">
        <v>323273.34999999998</v>
      </c>
      <c r="P321" s="2411">
        <v>0</v>
      </c>
      <c r="Q321" s="2405">
        <f>549564.7-20749.82</f>
        <v>528814.88</v>
      </c>
      <c r="R321" s="2405">
        <v>592668.35</v>
      </c>
      <c r="S321" s="2405">
        <v>150860.35999999999</v>
      </c>
      <c r="U321" s="2400">
        <v>170.09</v>
      </c>
      <c r="V321" s="2400">
        <v>23.95</v>
      </c>
      <c r="W321" s="2400">
        <v>10.9</v>
      </c>
      <c r="X321" s="2400"/>
      <c r="Y321" s="2410">
        <v>0</v>
      </c>
      <c r="Z321" s="2400"/>
      <c r="AA321" s="2400"/>
      <c r="AB321" s="2400">
        <v>15011</v>
      </c>
    </row>
    <row r="322" spans="1:28" ht="15.75" x14ac:dyDescent="0.25">
      <c r="B322" s="1953" t="s">
        <v>416</v>
      </c>
      <c r="C322" s="2400">
        <v>95977583.299999997</v>
      </c>
      <c r="E322" s="2401">
        <v>1409138.04</v>
      </c>
      <c r="F322" s="2402">
        <f t="shared" si="46"/>
        <v>1.4681949592285682E-2</v>
      </c>
      <c r="H322" s="2403">
        <f t="shared" si="47"/>
        <v>460430.27999999997</v>
      </c>
      <c r="I322" s="2403"/>
      <c r="J322" s="2401"/>
      <c r="K322" s="2401">
        <v>979.64</v>
      </c>
      <c r="L322" s="2398">
        <v>18652.7</v>
      </c>
      <c r="M322" s="2404"/>
      <c r="N322" s="2404"/>
      <c r="O322" s="2405">
        <v>281827.61</v>
      </c>
      <c r="P322" s="2411">
        <v>0</v>
      </c>
      <c r="Q322" s="2405">
        <f>479106.93-18652.7</f>
        <v>460454.23</v>
      </c>
      <c r="R322" s="2405">
        <v>516684.42</v>
      </c>
      <c r="S322" s="2405">
        <v>131519.07999999999</v>
      </c>
      <c r="U322" s="2400">
        <v>170.09</v>
      </c>
      <c r="V322" s="2400">
        <v>23.95</v>
      </c>
      <c r="W322" s="2400">
        <v>10.9</v>
      </c>
      <c r="X322" s="2400"/>
      <c r="Y322" s="2400">
        <v>0</v>
      </c>
      <c r="Z322" s="2400"/>
      <c r="AA322" s="2400"/>
      <c r="AB322" s="2400">
        <v>15011</v>
      </c>
    </row>
    <row r="323" spans="1:28" ht="15.75" x14ac:dyDescent="0.25">
      <c r="B323" s="1953" t="s">
        <v>417</v>
      </c>
      <c r="C323" s="2400">
        <v>110856549.39</v>
      </c>
      <c r="E323" s="2401">
        <v>1671508.12</v>
      </c>
      <c r="F323" s="2402">
        <f t="shared" si="46"/>
        <v>1.5078117884758744E-2</v>
      </c>
      <c r="H323" s="2403">
        <f t="shared" si="47"/>
        <v>548324.80000000005</v>
      </c>
      <c r="I323" s="2403"/>
      <c r="J323" s="2401">
        <f>9415.29-3201.2</f>
        <v>6214.0900000000011</v>
      </c>
      <c r="K323" s="2401">
        <v>781.94</v>
      </c>
      <c r="L323" s="2398">
        <v>16762.810000000001</v>
      </c>
      <c r="M323" s="2404"/>
      <c r="N323" s="2404"/>
      <c r="O323" s="2405">
        <v>334301.62</v>
      </c>
      <c r="P323" s="2411">
        <v>0</v>
      </c>
      <c r="Q323" s="2405">
        <f>568312.76-16762.81</f>
        <v>551549.94999999995</v>
      </c>
      <c r="R323" s="2405">
        <v>612886.87</v>
      </c>
      <c r="S323" s="2405">
        <v>156006.87</v>
      </c>
      <c r="U323" s="2400">
        <v>170.09</v>
      </c>
      <c r="V323" s="2400">
        <v>23.95</v>
      </c>
      <c r="W323" s="2400">
        <v>10.9</v>
      </c>
      <c r="X323" s="2400"/>
      <c r="Y323" s="2400">
        <v>3201.2</v>
      </c>
      <c r="Z323" s="2400"/>
      <c r="AA323" s="2400"/>
      <c r="AB323" s="2400">
        <v>15011</v>
      </c>
    </row>
    <row r="324" spans="1:28" ht="15.75" x14ac:dyDescent="0.25">
      <c r="B324" s="1953" t="s">
        <v>418</v>
      </c>
      <c r="C324" s="2400">
        <v>139969156.15000001</v>
      </c>
      <c r="E324" s="2401">
        <v>2003240.97</v>
      </c>
      <c r="F324" s="2402">
        <f t="shared" si="46"/>
        <v>1.4312017197940362E-2</v>
      </c>
      <c r="H324" s="2403">
        <f t="shared" si="47"/>
        <v>665407.00000000012</v>
      </c>
      <c r="I324" s="2403"/>
      <c r="J324" s="2401"/>
      <c r="K324" s="2401">
        <v>466.46</v>
      </c>
      <c r="L324" s="2398">
        <v>15670.98</v>
      </c>
      <c r="M324" s="2404"/>
      <c r="N324" s="2404"/>
      <c r="O324" s="2405">
        <v>400648.19</v>
      </c>
      <c r="P324" s="2411">
        <v>0</v>
      </c>
      <c r="Q324" s="2405">
        <f>681101.93-15670.98</f>
        <v>665430.95000000007</v>
      </c>
      <c r="R324" s="2405">
        <v>734522.36</v>
      </c>
      <c r="S324" s="2405">
        <v>186968.49</v>
      </c>
      <c r="U324" s="2400">
        <v>170.09</v>
      </c>
      <c r="V324" s="2400">
        <v>23.95</v>
      </c>
      <c r="W324" s="2400">
        <v>10.9</v>
      </c>
      <c r="X324" s="2400"/>
      <c r="Y324" s="2400">
        <v>0</v>
      </c>
      <c r="Z324" s="2400"/>
      <c r="AA324" s="2400"/>
      <c r="AB324" s="2400">
        <v>15011</v>
      </c>
    </row>
    <row r="325" spans="1:28" ht="15.75" x14ac:dyDescent="0.25">
      <c r="C325" s="2390"/>
      <c r="E325" s="2384"/>
      <c r="F325" s="2391"/>
      <c r="H325" s="2384"/>
      <c r="I325" s="2384"/>
      <c r="J325" s="2384"/>
      <c r="K325" s="2384"/>
      <c r="L325" s="2384"/>
      <c r="M325" s="2385"/>
      <c r="N325" s="2385"/>
      <c r="O325" s="2384"/>
      <c r="P325" s="2412"/>
      <c r="Q325" s="2384"/>
      <c r="R325" s="2384">
        <v>0</v>
      </c>
      <c r="S325" s="2384"/>
      <c r="U325" s="2384"/>
      <c r="V325" s="2384"/>
      <c r="W325" s="2384"/>
      <c r="X325" s="2385"/>
      <c r="Y325" s="2384"/>
      <c r="Z325" s="2384"/>
      <c r="AA325" s="2384"/>
      <c r="AB325" s="2384"/>
    </row>
    <row r="326" spans="1:28" ht="16.5" thickBot="1" x14ac:dyDescent="0.3">
      <c r="B326" s="2368">
        <v>2022</v>
      </c>
      <c r="C326" s="2381">
        <f>SUM(C312:C325)</f>
        <v>1336794270.0600002</v>
      </c>
      <c r="E326" s="2382">
        <f>SUM(E312:E325)</f>
        <v>22741358.57</v>
      </c>
      <c r="F326" s="2383">
        <f>+E326/C326</f>
        <v>1.7011861196098099E-2</v>
      </c>
      <c r="H326" s="2382">
        <f>SUM(H312:H325)</f>
        <v>8304247.6399999997</v>
      </c>
      <c r="I326" s="2384"/>
      <c r="J326" s="2382">
        <f>SUM(J312:J325)</f>
        <v>24443.48</v>
      </c>
      <c r="K326" s="2382">
        <f>SUM(K312:K325)</f>
        <v>8498.32</v>
      </c>
      <c r="L326" s="2382">
        <f>SUM(L312:L325)</f>
        <v>215840.38</v>
      </c>
      <c r="M326" s="2385">
        <f>+K326/(E326+K326+J326+L326)</f>
        <v>3.6965062947689868E-4</v>
      </c>
      <c r="N326" s="2385"/>
      <c r="O326" s="2382">
        <f>SUM(O312:O325)</f>
        <v>4348175.8</v>
      </c>
      <c r="P326" s="2413">
        <f>SUM(P312:P325)</f>
        <v>1139091.6600000001</v>
      </c>
      <c r="Q326" s="2382">
        <f>SUM(Q312:Q325)</f>
        <v>7178059.4199999999</v>
      </c>
      <c r="R326" s="2382">
        <f>SUM(R312:R325)</f>
        <v>7838932.2999999989</v>
      </c>
      <c r="S326" s="2382">
        <f>SUM(S312:S325)</f>
        <v>2025806.8800000006</v>
      </c>
      <c r="U326" s="2382">
        <f>SUM(U312:U325)</f>
        <v>2211.1699999999996</v>
      </c>
      <c r="V326" s="2382">
        <f>SUM(V312:V325)</f>
        <v>311.34999999999991</v>
      </c>
      <c r="W326" s="2382">
        <f>SUM(W312:W325)</f>
        <v>141.70000000000005</v>
      </c>
      <c r="X326" s="2386">
        <f>SUM(U326:W326)/(E326+J326+K326)</f>
        <v>1.1698361559811109E-4</v>
      </c>
      <c r="Y326" s="2382">
        <f>SUM(Y312:Y325)</f>
        <v>12592.09</v>
      </c>
      <c r="Z326" s="2382">
        <f t="shared" ref="Z326:AA326" si="48">SUM(Z312:Z325)</f>
        <v>0</v>
      </c>
      <c r="AA326" s="2382">
        <f t="shared" si="48"/>
        <v>0</v>
      </c>
      <c r="AB326" s="2382">
        <f>SUM(AB312:AB325)</f>
        <v>180213</v>
      </c>
    </row>
    <row r="327" spans="1:28" ht="16.5" thickTop="1" x14ac:dyDescent="0.25">
      <c r="C327" s="2390"/>
      <c r="E327" s="2384"/>
      <c r="F327" s="2391"/>
      <c r="H327" s="2384"/>
      <c r="I327" s="2384"/>
      <c r="J327" s="2384"/>
      <c r="K327" s="2384"/>
      <c r="L327" s="2384"/>
      <c r="M327" s="2385"/>
      <c r="N327" s="2385"/>
      <c r="O327" s="2384"/>
      <c r="P327" s="2384"/>
      <c r="Q327" s="2384"/>
      <c r="R327" s="2384"/>
      <c r="S327" s="2384"/>
      <c r="U327" s="2384"/>
      <c r="V327" s="2384"/>
      <c r="W327" s="2384"/>
      <c r="X327" s="2385"/>
      <c r="Y327" s="2384"/>
      <c r="Z327" s="2384"/>
      <c r="AA327" s="2384"/>
    </row>
    <row r="328" spans="1:28" ht="15.75" x14ac:dyDescent="0.25">
      <c r="A328" s="2201">
        <v>2023</v>
      </c>
      <c r="B328" s="2201" t="s">
        <v>419</v>
      </c>
      <c r="C328" s="2406">
        <v>139391582.13</v>
      </c>
      <c r="E328" s="2403">
        <v>2074143.71</v>
      </c>
      <c r="F328" s="2402">
        <f>+E328/C328</f>
        <v>1.4879978247650586E-2</v>
      </c>
      <c r="H328" s="2403">
        <f>P328+Q328-V328-Y328</f>
        <v>687658.66</v>
      </c>
      <c r="I328" s="2403"/>
      <c r="J328" s="2392">
        <v>0</v>
      </c>
      <c r="K328" s="2392">
        <f>263.28+781.94</f>
        <v>1045.22</v>
      </c>
      <c r="L328" s="2403">
        <v>17526.259999999998</v>
      </c>
      <c r="M328" s="2404"/>
      <c r="N328" s="2404"/>
      <c r="O328" s="2407">
        <v>414828.74</v>
      </c>
      <c r="P328" s="2411">
        <v>0</v>
      </c>
      <c r="Q328" s="2409">
        <v>687682.61</v>
      </c>
      <c r="R328" s="2407">
        <v>760520.05</v>
      </c>
      <c r="S328" s="2407">
        <v>193586.05</v>
      </c>
      <c r="U328" s="2407">
        <v>170.09</v>
      </c>
      <c r="V328" s="2407">
        <v>23.95</v>
      </c>
      <c r="W328" s="2407">
        <v>10.9</v>
      </c>
      <c r="X328" s="2400"/>
      <c r="Y328" s="2407">
        <v>0</v>
      </c>
      <c r="Z328" s="2407"/>
      <c r="AA328" s="2407"/>
      <c r="AB328" s="2400">
        <v>15092</v>
      </c>
    </row>
    <row r="329" spans="1:28" ht="15.75" x14ac:dyDescent="0.25">
      <c r="A329" s="2201"/>
      <c r="B329" s="2201" t="s">
        <v>420</v>
      </c>
      <c r="C329" s="2400">
        <v>142321706.28999999</v>
      </c>
      <c r="E329" s="2401">
        <v>2041301.6</v>
      </c>
      <c r="F329" s="2402">
        <f t="shared" ref="F329:F339" si="49">+E329/C329</f>
        <v>1.4342869076067485E-2</v>
      </c>
      <c r="H329" s="2403">
        <v>676713.61</v>
      </c>
      <c r="I329" s="2403"/>
      <c r="J329" s="2401">
        <v>0</v>
      </c>
      <c r="K329" s="2401">
        <f>341.36+453.34</f>
        <v>794.7</v>
      </c>
      <c r="L329" s="2398">
        <v>17328.939999999999</v>
      </c>
      <c r="M329" s="2404"/>
      <c r="N329" s="2404"/>
      <c r="O329" s="2405">
        <v>408260.32</v>
      </c>
      <c r="P329" s="2411">
        <v>0</v>
      </c>
      <c r="Q329" s="2405">
        <v>676713.61</v>
      </c>
      <c r="R329" s="2405">
        <v>748477.93</v>
      </c>
      <c r="S329" s="2405">
        <v>190520.8</v>
      </c>
      <c r="U329" s="2400">
        <v>170.09</v>
      </c>
      <c r="V329" s="2400">
        <v>23.95</v>
      </c>
      <c r="W329" s="2400">
        <v>10.9</v>
      </c>
      <c r="X329" s="2400"/>
      <c r="Y329" s="2400">
        <v>0</v>
      </c>
      <c r="Z329" s="2400"/>
      <c r="AA329" s="2400"/>
      <c r="AB329" s="2400">
        <v>15092</v>
      </c>
    </row>
    <row r="330" spans="1:28" ht="15.75" x14ac:dyDescent="0.25">
      <c r="A330" s="2201"/>
      <c r="B330" s="2201" t="s">
        <v>421</v>
      </c>
      <c r="C330" s="2400">
        <v>140348402.13</v>
      </c>
      <c r="E330" s="2401">
        <v>2218680.1800000002</v>
      </c>
      <c r="F330" s="2402">
        <f t="shared" si="49"/>
        <v>1.5808375060407966E-2</v>
      </c>
      <c r="H330" s="2403">
        <f t="shared" ref="H330:H339" si="50">P330+Q330-V330-Y330</f>
        <v>731719.15000000014</v>
      </c>
      <c r="I330" s="2403"/>
      <c r="J330" s="2401">
        <f>1905.64+4382.97</f>
        <v>6288.6100000000006</v>
      </c>
      <c r="K330" s="2401">
        <f>859.91+628.52</f>
        <v>1488.4299999999998</v>
      </c>
      <c r="L330" s="2398">
        <v>19368.57</v>
      </c>
      <c r="M330" s="2404"/>
      <c r="N330" s="2404"/>
      <c r="O330" s="2405">
        <v>443736.04</v>
      </c>
      <c r="P330" s="2411">
        <v>0</v>
      </c>
      <c r="Q330" s="2405">
        <v>734982.68</v>
      </c>
      <c r="R330" s="2405">
        <v>813516.81</v>
      </c>
      <c r="S330" s="2405">
        <v>207076.08</v>
      </c>
      <c r="U330" s="2400">
        <v>170.09</v>
      </c>
      <c r="V330" s="2400">
        <v>23.95</v>
      </c>
      <c r="W330" s="2400">
        <v>10.9</v>
      </c>
      <c r="X330" s="2400"/>
      <c r="Y330" s="2400">
        <v>3239.58</v>
      </c>
      <c r="Z330" s="2400"/>
      <c r="AA330" s="2400"/>
      <c r="AB330" s="2400">
        <v>15092</v>
      </c>
    </row>
    <row r="331" spans="1:28" ht="15.75" x14ac:dyDescent="0.25">
      <c r="A331" s="2414"/>
      <c r="B331" s="2201" t="s">
        <v>422</v>
      </c>
      <c r="C331" s="2400">
        <v>130978058.75</v>
      </c>
      <c r="E331" s="2401">
        <v>1925958.8</v>
      </c>
      <c r="F331" s="2402">
        <f t="shared" si="49"/>
        <v>1.4704438425645854E-2</v>
      </c>
      <c r="H331" s="2403">
        <f t="shared" si="50"/>
        <v>635762.88</v>
      </c>
      <c r="I331" s="2403"/>
      <c r="J331" s="2401">
        <v>0</v>
      </c>
      <c r="K331" s="2401">
        <f>1720.74+628.52</f>
        <v>2349.2600000000002</v>
      </c>
      <c r="L331" s="2398">
        <v>19039.16</v>
      </c>
      <c r="M331" s="2404"/>
      <c r="N331" s="2404"/>
      <c r="O331" s="2405">
        <v>385191.76</v>
      </c>
      <c r="P331" s="2411">
        <v>0</v>
      </c>
      <c r="Q331" s="2405">
        <v>635786.82999999996</v>
      </c>
      <c r="R331" s="2405">
        <v>706185.54</v>
      </c>
      <c r="S331" s="2405">
        <v>179755.51</v>
      </c>
      <c r="U331" s="2400">
        <v>170.09</v>
      </c>
      <c r="V331" s="2400">
        <v>23.95</v>
      </c>
      <c r="W331" s="2400">
        <v>10.9</v>
      </c>
      <c r="X331" s="2400"/>
      <c r="Y331" s="2400">
        <v>0</v>
      </c>
      <c r="Z331" s="2400"/>
      <c r="AA331" s="2400"/>
      <c r="AB331" s="2400">
        <v>15092</v>
      </c>
    </row>
    <row r="332" spans="1:28" ht="15.75" x14ac:dyDescent="0.25">
      <c r="A332" s="2201"/>
      <c r="B332" s="2201" t="s">
        <v>285</v>
      </c>
      <c r="C332" s="2400">
        <v>117125614.66</v>
      </c>
      <c r="E332" s="2401">
        <v>1726317.41</v>
      </c>
      <c r="F332" s="2402">
        <f t="shared" si="49"/>
        <v>1.4739025404573275E-2</v>
      </c>
      <c r="H332" s="2403">
        <f t="shared" si="50"/>
        <v>565240.57000000007</v>
      </c>
      <c r="I332" s="2403"/>
      <c r="J332" s="2401">
        <f>1690.17+3887.38</f>
        <v>5577.55</v>
      </c>
      <c r="K332" s="2401">
        <f>874.37+453.34</f>
        <v>1327.71</v>
      </c>
      <c r="L332" s="2398">
        <v>18810.11</v>
      </c>
      <c r="M332" s="2404"/>
      <c r="N332" s="2404"/>
      <c r="O332" s="2405">
        <v>345263.48</v>
      </c>
      <c r="P332" s="2411">
        <v>0</v>
      </c>
      <c r="Q332" s="2405">
        <v>568137.81000000006</v>
      </c>
      <c r="R332" s="2405">
        <v>632983.63</v>
      </c>
      <c r="S332" s="2405">
        <v>161122.38</v>
      </c>
      <c r="U332" s="2400">
        <v>170.09</v>
      </c>
      <c r="V332" s="2400">
        <v>23.95</v>
      </c>
      <c r="W332" s="2400">
        <v>10.9</v>
      </c>
      <c r="X332" s="2400"/>
      <c r="Y332" s="2400">
        <v>2873.29</v>
      </c>
      <c r="Z332" s="2400"/>
      <c r="AA332" s="2400"/>
      <c r="AB332" s="2400">
        <v>15092</v>
      </c>
    </row>
    <row r="333" spans="1:28" ht="15.75" x14ac:dyDescent="0.25">
      <c r="A333" s="2201"/>
      <c r="B333" s="2201" t="s">
        <v>423</v>
      </c>
      <c r="C333" s="2400">
        <v>118512802.7</v>
      </c>
      <c r="E333" s="2401">
        <v>1782974.43</v>
      </c>
      <c r="F333" s="2402">
        <f t="shared" si="49"/>
        <v>1.5044572311004843E-2</v>
      </c>
      <c r="H333" s="2403">
        <f t="shared" si="50"/>
        <v>587918.4800000001</v>
      </c>
      <c r="I333" s="2403"/>
      <c r="J333" s="2401"/>
      <c r="K333" s="2401">
        <f>234.88+803.7</f>
        <v>1038.58</v>
      </c>
      <c r="L333" s="2398">
        <v>18268.87</v>
      </c>
      <c r="M333" s="2404"/>
      <c r="N333" s="2404"/>
      <c r="O333" s="2405">
        <v>356594.89</v>
      </c>
      <c r="P333" s="2411">
        <v>0</v>
      </c>
      <c r="Q333" s="2405">
        <v>587942.43000000005</v>
      </c>
      <c r="R333" s="2405">
        <v>653757.89</v>
      </c>
      <c r="S333" s="2405">
        <v>166410.35</v>
      </c>
      <c r="U333" s="2400">
        <v>170.09</v>
      </c>
      <c r="V333" s="2400">
        <v>23.95</v>
      </c>
      <c r="W333" s="2400">
        <v>10.9</v>
      </c>
      <c r="X333" s="2400"/>
      <c r="Y333" s="2400">
        <v>0</v>
      </c>
      <c r="Z333" s="2400"/>
      <c r="AA333" s="2400"/>
      <c r="AB333" s="2400">
        <v>15092</v>
      </c>
    </row>
    <row r="334" spans="1:28" ht="15.75" x14ac:dyDescent="0.25">
      <c r="A334" s="2201"/>
      <c r="B334" s="2201" t="s">
        <v>424</v>
      </c>
      <c r="C334" s="2400">
        <v>128573986.27</v>
      </c>
      <c r="E334" s="2401">
        <v>1925993.81</v>
      </c>
      <c r="F334" s="2402">
        <f t="shared" si="49"/>
        <v>1.4979653862138906E-2</v>
      </c>
      <c r="H334" s="2403">
        <f t="shared" si="50"/>
        <v>635748.05000000005</v>
      </c>
      <c r="I334" s="2403"/>
      <c r="J334" s="2401" t="s">
        <v>97</v>
      </c>
      <c r="K334" s="2401">
        <f>994.77+628.52</f>
        <v>1623.29</v>
      </c>
      <c r="L334" s="2398">
        <v>19065.900000000001</v>
      </c>
      <c r="M334" s="2404"/>
      <c r="N334" s="2404"/>
      <c r="O334" s="2405">
        <v>385198.76</v>
      </c>
      <c r="P334" s="2411">
        <v>0</v>
      </c>
      <c r="Q334" s="2405">
        <v>635772</v>
      </c>
      <c r="R334" s="2405">
        <v>706198.37</v>
      </c>
      <c r="S334" s="2405">
        <v>179758.78</v>
      </c>
      <c r="U334" s="2400">
        <v>170.09</v>
      </c>
      <c r="V334" s="2400">
        <v>23.95</v>
      </c>
      <c r="W334" s="2400">
        <v>10.9</v>
      </c>
      <c r="X334" s="2400"/>
      <c r="Y334" s="2400">
        <v>0</v>
      </c>
      <c r="Z334" s="2400"/>
      <c r="AA334" s="2400"/>
      <c r="AB334" s="2400">
        <v>15092</v>
      </c>
    </row>
    <row r="335" spans="1:28" ht="15.75" x14ac:dyDescent="0.25">
      <c r="A335" s="2201"/>
      <c r="B335" s="2201" t="s">
        <v>425</v>
      </c>
      <c r="C335" s="2400">
        <v>141257503.28999999</v>
      </c>
      <c r="E335" s="2401">
        <v>2075286.42</v>
      </c>
      <c r="F335" s="2402">
        <f t="shared" si="49"/>
        <v>1.4691512816416282E-2</v>
      </c>
      <c r="H335" s="2403">
        <f t="shared" si="50"/>
        <v>684512.9</v>
      </c>
      <c r="I335" s="2403"/>
      <c r="J335" s="2401">
        <f>1359.5+3126.86</f>
        <v>4486.3600000000006</v>
      </c>
      <c r="K335" s="2401">
        <f>830.96+803.7</f>
        <v>1634.66</v>
      </c>
      <c r="L335" s="2398">
        <v>18749.38</v>
      </c>
      <c r="M335" s="2404"/>
      <c r="N335" s="2404"/>
      <c r="O335" s="2405">
        <v>415057.28</v>
      </c>
      <c r="P335" s="2411">
        <v>0</v>
      </c>
      <c r="Q335" s="2405">
        <v>686848</v>
      </c>
      <c r="R335" s="2405">
        <v>760939.05</v>
      </c>
      <c r="S335" s="2405">
        <v>193692.71</v>
      </c>
      <c r="U335" s="2400">
        <v>170.09</v>
      </c>
      <c r="V335" s="2400">
        <v>23.95</v>
      </c>
      <c r="W335" s="2400">
        <v>10.9</v>
      </c>
      <c r="X335" s="2400"/>
      <c r="Y335" s="2400">
        <v>2311.15</v>
      </c>
      <c r="Z335" s="2400"/>
      <c r="AA335" s="2400"/>
      <c r="AB335" s="2400">
        <v>15092</v>
      </c>
    </row>
    <row r="336" spans="1:28" ht="15.75" x14ac:dyDescent="0.25">
      <c r="A336" s="2201"/>
      <c r="B336" s="2201" t="s">
        <v>426</v>
      </c>
      <c r="C336" s="2400">
        <v>127366409.45999999</v>
      </c>
      <c r="E336" s="2401">
        <v>1865008.48</v>
      </c>
      <c r="F336" s="2402">
        <f t="shared" si="49"/>
        <v>1.4642859823929594E-2</v>
      </c>
      <c r="H336" s="2403">
        <f t="shared" si="50"/>
        <v>614568.56000000006</v>
      </c>
      <c r="I336" s="2403"/>
      <c r="J336" s="2401"/>
      <c r="K336" s="2401">
        <f>2685.41+453.34</f>
        <v>3138.75</v>
      </c>
      <c r="L336" s="2398">
        <v>19510.37</v>
      </c>
      <c r="M336" s="2404"/>
      <c r="N336" s="2404"/>
      <c r="O336" s="2405">
        <v>373001.7</v>
      </c>
      <c r="P336" s="2411">
        <v>0</v>
      </c>
      <c r="Q336" s="2405">
        <v>614592.51</v>
      </c>
      <c r="R336" s="2405">
        <v>683837.06</v>
      </c>
      <c r="S336" s="2405">
        <v>174066.84</v>
      </c>
      <c r="U336" s="2400">
        <v>170.09</v>
      </c>
      <c r="V336" s="2400">
        <v>23.95</v>
      </c>
      <c r="W336" s="2400">
        <v>10.9</v>
      </c>
      <c r="X336" s="2400"/>
      <c r="Y336" s="2410">
        <v>0</v>
      </c>
      <c r="Z336" s="2400"/>
      <c r="AA336" s="2400"/>
      <c r="AB336" s="2400">
        <v>15092</v>
      </c>
    </row>
    <row r="337" spans="1:28" ht="15.75" x14ac:dyDescent="0.25">
      <c r="A337" s="2201"/>
      <c r="B337" s="2201" t="s">
        <v>416</v>
      </c>
      <c r="C337" s="2400">
        <v>114644859.11</v>
      </c>
      <c r="E337" s="2401">
        <v>2437542.21</v>
      </c>
      <c r="F337" s="2402">
        <f t="shared" si="49"/>
        <v>2.1261679144820748E-2</v>
      </c>
      <c r="H337" s="2403">
        <f t="shared" si="50"/>
        <v>807948.15</v>
      </c>
      <c r="I337" s="2403"/>
      <c r="J337" s="2401">
        <f>1304.04+2999.3</f>
        <v>4303.34</v>
      </c>
      <c r="K337" s="2401">
        <f>669.34+628.52</f>
        <v>1297.8600000000001</v>
      </c>
      <c r="L337" s="2398">
        <v>18575.38</v>
      </c>
      <c r="M337" s="2404"/>
      <c r="N337" s="2404"/>
      <c r="O337" s="2405">
        <v>487508.44</v>
      </c>
      <c r="P337" s="2411">
        <v>0</v>
      </c>
      <c r="Q337" s="2405">
        <v>810188.97</v>
      </c>
      <c r="R337" s="2405">
        <v>896766.29</v>
      </c>
      <c r="S337" s="2405">
        <v>227503.13</v>
      </c>
      <c r="U337" s="2400">
        <v>170.09</v>
      </c>
      <c r="V337" s="2400">
        <v>23.95</v>
      </c>
      <c r="W337" s="2400">
        <v>10.9</v>
      </c>
      <c r="X337" s="2400"/>
      <c r="Y337" s="2400">
        <v>2216.87</v>
      </c>
      <c r="Z337" s="2400"/>
      <c r="AA337" s="2400"/>
      <c r="AB337" s="2400">
        <v>15092</v>
      </c>
    </row>
    <row r="338" spans="1:28" ht="15.75" x14ac:dyDescent="0.25">
      <c r="A338" s="2201"/>
      <c r="B338" s="2201" t="s">
        <v>417</v>
      </c>
      <c r="C338" s="2400">
        <v>126549479.19</v>
      </c>
      <c r="E338" s="2401">
        <v>1954455.08</v>
      </c>
      <c r="F338" s="2402">
        <f t="shared" si="49"/>
        <v>1.5444196945809651E-2</v>
      </c>
      <c r="H338" s="2403">
        <f t="shared" si="50"/>
        <v>647023.9800000001</v>
      </c>
      <c r="I338" s="2403"/>
      <c r="J338" s="2401">
        <v>0</v>
      </c>
      <c r="K338" s="2401">
        <f>517.11+628.52</f>
        <v>1145.6300000000001</v>
      </c>
      <c r="L338" s="2398">
        <v>17466.8</v>
      </c>
      <c r="M338" s="2404"/>
      <c r="N338" s="2404"/>
      <c r="O338" s="2405">
        <v>390891.02</v>
      </c>
      <c r="P338" s="2411">
        <v>0</v>
      </c>
      <c r="Q338" s="2405">
        <v>647047.93000000005</v>
      </c>
      <c r="R338" s="2405">
        <v>716634.18</v>
      </c>
      <c r="S338" s="2405">
        <v>182415.15</v>
      </c>
      <c r="U338" s="2400">
        <v>170.09</v>
      </c>
      <c r="V338" s="2400">
        <v>23.95</v>
      </c>
      <c r="W338" s="2400">
        <v>10.9</v>
      </c>
      <c r="X338" s="2400"/>
      <c r="Y338" s="2400">
        <v>0</v>
      </c>
      <c r="Z338" s="2400"/>
      <c r="AA338" s="2400"/>
      <c r="AB338" s="2400">
        <v>15092</v>
      </c>
    </row>
    <row r="339" spans="1:28" ht="15.75" x14ac:dyDescent="0.25">
      <c r="A339" s="2201"/>
      <c r="B339" s="2201" t="s">
        <v>418</v>
      </c>
      <c r="C339" s="2400">
        <v>151228342.41999999</v>
      </c>
      <c r="E339" s="2401">
        <v>2232198.4900000002</v>
      </c>
      <c r="F339" s="2402">
        <f t="shared" si="49"/>
        <v>1.4760450681927143E-2</v>
      </c>
      <c r="H339" s="2403">
        <f t="shared" si="50"/>
        <v>741664.33000000007</v>
      </c>
      <c r="I339" s="2403"/>
      <c r="J339" s="2401"/>
      <c r="K339" s="2401">
        <f>879.01+628.52</f>
        <v>1507.53</v>
      </c>
      <c r="L339" s="2398">
        <v>17259.21</v>
      </c>
      <c r="M339" s="2404"/>
      <c r="N339" s="2404"/>
      <c r="O339" s="2405">
        <v>446439.7</v>
      </c>
      <c r="P339" s="2411">
        <v>0</v>
      </c>
      <c r="Q339" s="2405">
        <v>741688.28</v>
      </c>
      <c r="R339" s="2405">
        <v>818473.52</v>
      </c>
      <c r="S339" s="2405">
        <v>208337.78</v>
      </c>
      <c r="U339" s="2400">
        <v>170.09</v>
      </c>
      <c r="V339" s="2400">
        <v>23.95</v>
      </c>
      <c r="W339" s="2400">
        <v>10.9</v>
      </c>
      <c r="X339" s="2400"/>
      <c r="Y339" s="2400">
        <v>0</v>
      </c>
      <c r="Z339" s="2400"/>
      <c r="AA339" s="2400"/>
      <c r="AB339" s="2400">
        <v>15092</v>
      </c>
    </row>
    <row r="340" spans="1:28" ht="15.75" x14ac:dyDescent="0.25">
      <c r="A340" s="2201"/>
      <c r="B340" s="2201"/>
      <c r="C340" s="2390"/>
      <c r="E340" s="2384"/>
      <c r="F340" s="2391"/>
      <c r="H340" s="2384"/>
      <c r="I340" s="2384"/>
      <c r="J340" s="2384"/>
      <c r="K340" s="2384"/>
      <c r="L340" s="2384"/>
      <c r="M340" s="2385"/>
      <c r="N340" s="2385"/>
      <c r="O340" s="2384"/>
      <c r="P340" s="2412"/>
      <c r="Q340" s="2384"/>
      <c r="R340" s="2384">
        <v>0</v>
      </c>
      <c r="S340" s="2384"/>
      <c r="U340" s="2384"/>
      <c r="V340" s="2384"/>
      <c r="W340" s="2384"/>
      <c r="X340" s="2385"/>
      <c r="Y340" s="2384"/>
      <c r="Z340" s="2384"/>
      <c r="AA340" s="2384"/>
      <c r="AB340" s="2384"/>
    </row>
    <row r="341" spans="1:28" ht="16.5" thickBot="1" x14ac:dyDescent="0.3">
      <c r="A341" s="2201"/>
      <c r="B341" s="2415">
        <v>2023</v>
      </c>
      <c r="C341" s="2381">
        <f>SUM(C328:C340)</f>
        <v>1578298746.3999999</v>
      </c>
      <c r="E341" s="2382">
        <f>SUM(E328:E340)</f>
        <v>24259860.620000005</v>
      </c>
      <c r="F341" s="2383">
        <f>+E341/C341</f>
        <v>1.5370892662327218E-2</v>
      </c>
      <c r="H341" s="2382">
        <f>SUM(H328:H340)</f>
        <v>8016479.3200000022</v>
      </c>
      <c r="I341" s="2384"/>
      <c r="J341" s="2382">
        <f>SUM(J328:J340)</f>
        <v>20655.86</v>
      </c>
      <c r="K341" s="2382">
        <f>SUM(K328:K340)</f>
        <v>18391.62</v>
      </c>
      <c r="L341" s="2382">
        <f>SUM(L328:L340)</f>
        <v>220968.94999999998</v>
      </c>
      <c r="M341" s="2385">
        <f>+K341/(E341+K341+J341+L341)</f>
        <v>7.5006982957118845E-4</v>
      </c>
      <c r="N341" s="2385"/>
      <c r="O341" s="2382">
        <f>SUM(O328:O340)</f>
        <v>4851972.1300000008</v>
      </c>
      <c r="P341" s="2413">
        <f>SUM(P328:P340)</f>
        <v>0</v>
      </c>
      <c r="Q341" s="2382">
        <f>SUM(Q328:Q340)</f>
        <v>8027383.6600000001</v>
      </c>
      <c r="R341" s="2382">
        <f>SUM(R328:R340)</f>
        <v>8898290.3200000003</v>
      </c>
      <c r="S341" s="2382">
        <f>SUM(S328:S340)</f>
        <v>2264245.5599999996</v>
      </c>
      <c r="U341" s="2382">
        <f>SUM(U328:U340)</f>
        <v>2041.0799999999997</v>
      </c>
      <c r="V341" s="2382">
        <f>SUM(V328:V340)</f>
        <v>287.39999999999992</v>
      </c>
      <c r="W341" s="2382">
        <f>SUM(W328:W340)</f>
        <v>130.80000000000004</v>
      </c>
      <c r="X341" s="2386">
        <f>SUM(U341:W341)/(E341+J341+K341)</f>
        <v>1.0120948603447738E-4</v>
      </c>
      <c r="Y341" s="2382">
        <f>SUM(Y328:Y340)</f>
        <v>10640.89</v>
      </c>
      <c r="Z341" s="2382">
        <f>SUM(Z328:Z340)</f>
        <v>0</v>
      </c>
      <c r="AA341" s="2382">
        <f>SUM(AA328:AA340)</f>
        <v>0</v>
      </c>
      <c r="AB341" s="2382">
        <f>SUM(AB328:AB340)</f>
        <v>181104</v>
      </c>
    </row>
    <row r="342" spans="1:28" ht="16.5" thickTop="1" x14ac:dyDescent="0.25">
      <c r="C342" s="2390"/>
      <c r="E342" s="2384"/>
      <c r="F342" s="2391"/>
      <c r="H342" s="2384"/>
      <c r="I342" s="2384"/>
      <c r="J342" s="2384"/>
      <c r="K342" s="2384"/>
      <c r="L342" s="2384"/>
      <c r="M342" s="2385"/>
      <c r="N342" s="2385"/>
      <c r="O342" s="2384"/>
      <c r="P342" s="2384"/>
      <c r="Q342" s="2384"/>
      <c r="R342" s="2384"/>
      <c r="S342" s="2384"/>
      <c r="U342" s="2384"/>
      <c r="V342" s="2384"/>
      <c r="W342" s="2384"/>
      <c r="X342" s="2385"/>
      <c r="Y342" s="2384"/>
      <c r="Z342" s="2384"/>
      <c r="AA342" s="2384"/>
    </row>
    <row r="343" spans="1:28" ht="15.75" x14ac:dyDescent="0.25">
      <c r="C343" s="2390"/>
      <c r="E343" s="2384"/>
      <c r="F343" s="2391"/>
      <c r="H343" s="2384"/>
      <c r="I343" s="2384"/>
      <c r="J343" s="2384"/>
      <c r="K343" s="2384"/>
      <c r="L343" s="2384"/>
      <c r="M343" s="2385"/>
      <c r="N343" s="2385"/>
      <c r="O343" s="2384"/>
      <c r="P343" s="2384"/>
      <c r="Q343" s="2384"/>
      <c r="R343" s="2384"/>
      <c r="S343" s="2384"/>
      <c r="U343" s="2384"/>
      <c r="V343" s="2384"/>
      <c r="W343" s="2384"/>
      <c r="X343" s="2385"/>
      <c r="Y343" s="2384"/>
      <c r="Z343" s="2384"/>
      <c r="AA343" s="2384"/>
    </row>
    <row r="344" spans="1:28" ht="15.75" x14ac:dyDescent="0.25">
      <c r="C344" s="2390"/>
      <c r="E344" s="2384"/>
      <c r="F344" s="2391"/>
      <c r="H344" s="2384"/>
      <c r="I344" s="2384"/>
      <c r="J344" s="2384"/>
      <c r="K344" s="2384"/>
      <c r="L344" s="2384"/>
      <c r="M344" s="2385"/>
      <c r="N344" s="2385"/>
      <c r="O344" s="2384"/>
      <c r="P344" s="2384"/>
      <c r="Q344" s="2384"/>
      <c r="R344" s="2384"/>
      <c r="S344" s="2384"/>
      <c r="U344" s="2384"/>
      <c r="V344" s="2384"/>
      <c r="W344" s="2384"/>
      <c r="X344" s="2385"/>
      <c r="Y344" s="2384"/>
      <c r="Z344" s="2384"/>
      <c r="AA344" s="2384"/>
    </row>
    <row r="345" spans="1:28" ht="15.75" x14ac:dyDescent="0.25">
      <c r="C345" s="2388"/>
      <c r="E345" s="2360"/>
      <c r="H345" s="2361"/>
      <c r="I345" s="2361"/>
      <c r="J345" s="2361"/>
      <c r="K345" s="2361"/>
      <c r="L345" s="2361"/>
      <c r="M345" s="2361"/>
      <c r="N345" s="2361"/>
      <c r="U345" s="2360"/>
      <c r="V345" s="2360"/>
      <c r="W345" s="2360"/>
      <c r="X345" s="2360"/>
      <c r="Y345" s="2360"/>
      <c r="Z345" s="2360"/>
      <c r="AA345" s="2360"/>
    </row>
    <row r="346" spans="1:28" ht="15.75" x14ac:dyDescent="0.25">
      <c r="A346" s="2416" t="s">
        <v>5805</v>
      </c>
      <c r="B346" s="2416"/>
      <c r="C346" s="2417"/>
      <c r="D346" s="2416"/>
      <c r="E346" s="2418"/>
      <c r="F346" s="2416"/>
      <c r="G346" s="2416"/>
      <c r="H346" s="2419"/>
      <c r="I346" s="2419"/>
      <c r="J346" s="2419"/>
      <c r="K346" s="2419"/>
      <c r="L346" s="2419"/>
      <c r="M346" s="2361"/>
      <c r="N346" s="2361"/>
      <c r="P346" s="2378"/>
      <c r="U346" s="2360"/>
      <c r="V346" s="2360"/>
      <c r="W346" s="2360"/>
      <c r="X346" s="2360"/>
      <c r="Y346" s="2360"/>
      <c r="Z346" s="2360"/>
      <c r="AA346" s="2360"/>
    </row>
    <row r="347" spans="1:28" ht="15.75" x14ac:dyDescent="0.25">
      <c r="A347" s="2416"/>
      <c r="B347" s="2416" t="s">
        <v>5806</v>
      </c>
      <c r="C347" s="2417"/>
      <c r="D347" s="2416"/>
      <c r="E347" s="2418"/>
      <c r="F347" s="2416"/>
      <c r="G347" s="2416"/>
      <c r="H347" s="2419"/>
      <c r="I347" s="2419"/>
      <c r="J347" s="2419"/>
      <c r="K347" s="2419"/>
      <c r="L347" s="2419"/>
      <c r="M347" s="2361"/>
      <c r="N347" s="2361"/>
      <c r="P347" s="2378"/>
      <c r="U347" s="2360"/>
      <c r="V347" s="2360"/>
      <c r="W347" s="2360"/>
      <c r="X347" s="2360"/>
      <c r="Y347" s="2360"/>
      <c r="Z347" s="2360"/>
      <c r="AA347" s="2360"/>
    </row>
    <row r="348" spans="1:28" ht="15.75" x14ac:dyDescent="0.25">
      <c r="A348" s="2416"/>
      <c r="B348" s="2416" t="s">
        <v>5807</v>
      </c>
      <c r="C348" s="2417"/>
      <c r="D348" s="2416"/>
      <c r="E348" s="2418"/>
      <c r="F348" s="2416"/>
      <c r="G348" s="2416"/>
      <c r="H348" s="2419"/>
      <c r="I348" s="2419"/>
      <c r="J348" s="2419"/>
      <c r="K348" s="2419"/>
      <c r="L348" s="2419"/>
      <c r="M348" s="2361"/>
      <c r="N348" s="2361"/>
      <c r="P348" s="2378"/>
      <c r="U348" s="2360"/>
      <c r="V348" s="2360"/>
      <c r="W348" s="2360"/>
      <c r="X348" s="2360"/>
      <c r="Y348" s="2360"/>
      <c r="Z348" s="2360"/>
      <c r="AA348" s="2360"/>
    </row>
    <row r="349" spans="1:28" ht="15.75" x14ac:dyDescent="0.25">
      <c r="C349" s="2388"/>
      <c r="E349" s="2360"/>
      <c r="H349" s="2361"/>
      <c r="I349" s="2361"/>
      <c r="J349" s="2361"/>
      <c r="K349" s="2361"/>
      <c r="L349" s="2361"/>
      <c r="M349" s="2361"/>
      <c r="N349" s="2361"/>
      <c r="P349" s="2378"/>
      <c r="U349" s="2360"/>
      <c r="V349" s="2360"/>
      <c r="W349" s="2360"/>
      <c r="X349" s="2360"/>
      <c r="Y349" s="2360"/>
      <c r="Z349" s="2360"/>
      <c r="AA349" s="2360"/>
    </row>
    <row r="350" spans="1:28" s="2416" customFormat="1" ht="15.75" x14ac:dyDescent="0.25">
      <c r="A350" s="2416" t="s">
        <v>5808</v>
      </c>
      <c r="C350" s="2417"/>
      <c r="E350" s="2418"/>
      <c r="H350" s="2419"/>
      <c r="I350" s="2419"/>
      <c r="J350" s="2419"/>
      <c r="K350" s="2419"/>
      <c r="L350" s="2419"/>
      <c r="M350" s="2419"/>
      <c r="N350" s="2419"/>
      <c r="U350" s="2418"/>
      <c r="V350" s="2418"/>
      <c r="W350" s="2418"/>
      <c r="X350" s="2418"/>
      <c r="Y350" s="2418"/>
      <c r="Z350" s="2418"/>
      <c r="AA350" s="2418"/>
    </row>
    <row r="351" spans="1:28" ht="15.75" x14ac:dyDescent="0.25">
      <c r="C351" s="2388"/>
      <c r="E351" s="2360"/>
      <c r="H351" s="2361"/>
      <c r="I351" s="2361"/>
      <c r="J351" s="2361"/>
      <c r="K351" s="2361"/>
      <c r="L351" s="2361"/>
      <c r="M351" s="2361"/>
      <c r="N351" s="2361"/>
      <c r="U351" s="2360"/>
      <c r="V351" s="2360"/>
      <c r="W351" s="2360"/>
      <c r="X351" s="2360"/>
      <c r="Y351" s="2360"/>
      <c r="Z351" s="2360"/>
      <c r="AA351" s="2360"/>
    </row>
    <row r="352" spans="1:28" ht="15.75" x14ac:dyDescent="0.25">
      <c r="A352" s="2416" t="s">
        <v>5809</v>
      </c>
      <c r="C352" s="2388"/>
      <c r="E352" s="2360"/>
      <c r="H352" s="2361"/>
      <c r="I352" s="2361"/>
      <c r="J352" s="2361"/>
      <c r="K352" s="2361"/>
      <c r="L352" s="2361"/>
      <c r="M352" s="2361"/>
      <c r="N352" s="2361"/>
      <c r="U352" s="2360"/>
      <c r="V352" s="2360"/>
      <c r="W352" s="2360"/>
      <c r="X352" s="2360"/>
      <c r="Y352" s="2360"/>
      <c r="Z352" s="2360"/>
      <c r="AA352" s="2360"/>
    </row>
    <row r="353" spans="1:27" ht="15.75" x14ac:dyDescent="0.25">
      <c r="A353" s="2420"/>
      <c r="C353" s="2388"/>
      <c r="E353" s="2360"/>
      <c r="H353" s="2361"/>
      <c r="I353" s="2361"/>
      <c r="J353" s="2361"/>
      <c r="K353" s="2361"/>
      <c r="L353" s="2361"/>
      <c r="M353" s="2361"/>
      <c r="N353" s="2361"/>
      <c r="U353" s="2360"/>
      <c r="V353" s="2360"/>
      <c r="W353" s="2360"/>
      <c r="X353" s="2360"/>
      <c r="Y353" s="2360"/>
      <c r="Z353" s="2360"/>
      <c r="AA353" s="2360"/>
    </row>
    <row r="354" spans="1:27" ht="15.75" x14ac:dyDescent="0.25">
      <c r="A354" s="2416" t="s">
        <v>5810</v>
      </c>
      <c r="C354" s="2388"/>
      <c r="E354" s="2360"/>
      <c r="H354" s="2361"/>
      <c r="I354" s="2361"/>
      <c r="J354" s="2361"/>
      <c r="K354" s="2361"/>
      <c r="L354" s="2361"/>
      <c r="M354" s="2361"/>
      <c r="N354" s="2361"/>
      <c r="U354" s="2360"/>
      <c r="V354" s="2360"/>
      <c r="W354" s="2360"/>
      <c r="X354" s="2360"/>
      <c r="Y354" s="2360"/>
      <c r="Z354" s="2360"/>
      <c r="AA354" s="2360"/>
    </row>
    <row r="355" spans="1:27" ht="15.75" x14ac:dyDescent="0.25">
      <c r="C355" s="2388"/>
      <c r="E355" s="2360"/>
      <c r="H355" s="2361"/>
      <c r="I355" s="2361"/>
      <c r="J355" s="2361"/>
      <c r="K355" s="2361"/>
      <c r="L355" s="2361"/>
      <c r="M355" s="2361"/>
      <c r="N355" s="2361"/>
      <c r="U355" s="2360"/>
      <c r="V355" s="2360"/>
      <c r="W355" s="2360"/>
      <c r="X355" s="2360"/>
      <c r="Y355" s="2360"/>
      <c r="Z355" s="2360"/>
      <c r="AA355" s="2360"/>
    </row>
    <row r="356" spans="1:27" ht="15.75" x14ac:dyDescent="0.25">
      <c r="A356" s="2416" t="s">
        <v>5811</v>
      </c>
      <c r="U356" s="2360"/>
      <c r="V356" s="2360"/>
      <c r="W356" s="2360"/>
      <c r="X356" s="2360"/>
      <c r="Y356" s="2360"/>
      <c r="Z356" s="2360"/>
      <c r="AA356" s="2360"/>
    </row>
    <row r="357" spans="1:27" ht="15.75" x14ac:dyDescent="0.25">
      <c r="B357" s="2416" t="s">
        <v>5812</v>
      </c>
      <c r="C357" s="2416" t="s">
        <v>5813</v>
      </c>
      <c r="E357" s="2416" t="s">
        <v>5814</v>
      </c>
      <c r="U357" s="2360"/>
      <c r="V357" s="2360"/>
      <c r="W357" s="2360"/>
      <c r="X357" s="2360"/>
      <c r="Y357" s="2360"/>
      <c r="Z357" s="2360"/>
      <c r="AA357" s="2360"/>
    </row>
    <row r="358" spans="1:27" ht="15.75" x14ac:dyDescent="0.25">
      <c r="B358" s="2416" t="s">
        <v>5815</v>
      </c>
      <c r="C358" s="2416" t="s">
        <v>5816</v>
      </c>
      <c r="U358" s="2360"/>
      <c r="V358" s="2360"/>
      <c r="W358" s="2360"/>
      <c r="X358" s="2360"/>
      <c r="Y358" s="2360"/>
      <c r="Z358" s="2360"/>
      <c r="AA358" s="2360"/>
    </row>
    <row r="359" spans="1:27" ht="15.75" x14ac:dyDescent="0.25">
      <c r="B359" s="2416" t="s">
        <v>5817</v>
      </c>
      <c r="C359" s="2416" t="s">
        <v>5818</v>
      </c>
      <c r="U359" s="2360"/>
      <c r="V359" s="2360"/>
      <c r="W359" s="2360"/>
      <c r="X359" s="2360"/>
      <c r="Y359" s="2360"/>
      <c r="Z359" s="2360"/>
      <c r="AA359" s="2360"/>
    </row>
    <row r="360" spans="1:27" ht="15.75" x14ac:dyDescent="0.25">
      <c r="B360" s="2416" t="s">
        <v>5819</v>
      </c>
      <c r="C360" s="2416" t="s">
        <v>5820</v>
      </c>
      <c r="U360" s="2360"/>
      <c r="V360" s="2360"/>
      <c r="W360" s="2360"/>
      <c r="X360" s="2360"/>
      <c r="Y360" s="2360"/>
      <c r="Z360" s="2360"/>
      <c r="AA360" s="2360"/>
    </row>
    <row r="361" spans="1:27" ht="15.75" x14ac:dyDescent="0.25">
      <c r="B361" s="2416" t="s">
        <v>5821</v>
      </c>
      <c r="C361" s="2416" t="s">
        <v>5822</v>
      </c>
      <c r="U361" s="2360"/>
      <c r="V361" s="2360"/>
      <c r="W361" s="2360"/>
      <c r="X361" s="2360"/>
      <c r="Y361" s="2360"/>
      <c r="Z361" s="2360"/>
      <c r="AA361" s="2360"/>
    </row>
    <row r="362" spans="1:27" ht="15.75" x14ac:dyDescent="0.25">
      <c r="U362" s="2360"/>
      <c r="V362" s="2360"/>
      <c r="W362" s="2360"/>
      <c r="X362" s="2360"/>
      <c r="Y362" s="2360"/>
      <c r="Z362" s="2360"/>
      <c r="AA362" s="2360"/>
    </row>
    <row r="363" spans="1:27" ht="15.75" x14ac:dyDescent="0.25">
      <c r="A363" s="2416" t="s">
        <v>5823</v>
      </c>
      <c r="U363" s="2360"/>
      <c r="V363" s="2360"/>
      <c r="W363" s="2360"/>
      <c r="X363" s="2360"/>
      <c r="Y363" s="2360"/>
      <c r="Z363" s="2360"/>
      <c r="AA363" s="2360"/>
    </row>
    <row r="364" spans="1:27" ht="15.75" x14ac:dyDescent="0.25">
      <c r="A364" s="2416"/>
      <c r="B364" s="2416" t="s">
        <v>5824</v>
      </c>
      <c r="U364" s="2360"/>
      <c r="V364" s="2360"/>
      <c r="W364" s="2360"/>
      <c r="X364" s="2360"/>
      <c r="Y364" s="2360"/>
      <c r="Z364" s="2360"/>
      <c r="AA364" s="2360"/>
    </row>
    <row r="365" spans="1:27" ht="15.75" x14ac:dyDescent="0.25">
      <c r="A365" s="2416" t="s">
        <v>5825</v>
      </c>
      <c r="U365" s="2360"/>
      <c r="V365" s="2360"/>
      <c r="W365" s="2360"/>
      <c r="X365" s="2360"/>
      <c r="Y365" s="2360"/>
      <c r="Z365" s="2360"/>
      <c r="AA365" s="2360"/>
    </row>
    <row r="366" spans="1:27" ht="15.75" x14ac:dyDescent="0.25">
      <c r="B366" s="2416" t="s">
        <v>5826</v>
      </c>
      <c r="U366" s="2360"/>
      <c r="V366" s="2360"/>
      <c r="W366" s="2360"/>
      <c r="X366" s="2360"/>
      <c r="Y366" s="2360"/>
      <c r="Z366" s="2360"/>
      <c r="AA366" s="2360"/>
    </row>
    <row r="367" spans="1:27" ht="15.75" x14ac:dyDescent="0.25">
      <c r="B367" s="2416" t="s">
        <v>5827</v>
      </c>
      <c r="U367" s="2360"/>
      <c r="V367" s="2360"/>
      <c r="W367" s="2360"/>
      <c r="X367" s="2360"/>
      <c r="Y367" s="2360"/>
      <c r="Z367" s="2360"/>
      <c r="AA367" s="2360"/>
    </row>
    <row r="368" spans="1:27" ht="15.75" x14ac:dyDescent="0.25">
      <c r="B368" s="2416" t="s">
        <v>5828</v>
      </c>
      <c r="U368" s="2360"/>
      <c r="V368" s="2360"/>
      <c r="W368" s="2360"/>
      <c r="X368" s="2360"/>
      <c r="Y368" s="2360"/>
      <c r="Z368" s="2360"/>
      <c r="AA368" s="2360"/>
    </row>
    <row r="369" spans="2:27" ht="15.75" x14ac:dyDescent="0.25">
      <c r="B369" s="2416" t="s">
        <v>5829</v>
      </c>
      <c r="U369" s="2360"/>
      <c r="V369" s="2360"/>
      <c r="W369" s="2360"/>
      <c r="X369" s="2360"/>
      <c r="Y369" s="2360"/>
      <c r="Z369" s="2360"/>
      <c r="AA369" s="2360"/>
    </row>
    <row r="370" spans="2:27" ht="15.75" x14ac:dyDescent="0.25">
      <c r="B370" s="2416" t="s">
        <v>5830</v>
      </c>
      <c r="U370" s="2360"/>
      <c r="V370" s="2360"/>
      <c r="W370" s="2360"/>
      <c r="X370" s="2360"/>
      <c r="Y370" s="2360"/>
      <c r="Z370" s="2360"/>
      <c r="AA370" s="2360"/>
    </row>
    <row r="371" spans="2:27" ht="15.75" x14ac:dyDescent="0.25">
      <c r="U371" s="2360"/>
      <c r="V371" s="2360"/>
      <c r="W371" s="2360"/>
      <c r="X371" s="2360"/>
      <c r="Y371" s="2360"/>
      <c r="Z371" s="2360"/>
      <c r="AA371" s="2360"/>
    </row>
    <row r="372" spans="2:27" ht="15.75" x14ac:dyDescent="0.25">
      <c r="C372" s="2421" t="s">
        <v>5831</v>
      </c>
      <c r="U372" s="2360"/>
      <c r="V372" s="2360"/>
      <c r="W372" s="2360"/>
      <c r="X372" s="2360"/>
      <c r="Y372" s="2360"/>
      <c r="Z372" s="2360"/>
      <c r="AA372" s="2360"/>
    </row>
    <row r="373" spans="2:27" ht="15.75" x14ac:dyDescent="0.25">
      <c r="U373" s="2360"/>
      <c r="V373" s="2360"/>
      <c r="W373" s="2360"/>
      <c r="X373" s="2360"/>
      <c r="Y373" s="2360"/>
      <c r="Z373" s="2360"/>
      <c r="AA373" s="2360"/>
    </row>
    <row r="374" spans="2:27" ht="15.75" x14ac:dyDescent="0.25">
      <c r="U374" s="2360"/>
      <c r="V374" s="2360"/>
      <c r="W374" s="2360"/>
      <c r="X374" s="2360"/>
      <c r="Y374" s="2360"/>
      <c r="Z374" s="2360"/>
      <c r="AA374" s="2360"/>
    </row>
    <row r="375" spans="2:27" ht="15.75" x14ac:dyDescent="0.25">
      <c r="U375" s="2360"/>
      <c r="V375" s="2360"/>
      <c r="W375" s="2360"/>
      <c r="X375" s="2360"/>
      <c r="Y375" s="2360"/>
      <c r="Z375" s="2360"/>
      <c r="AA375" s="2360"/>
    </row>
    <row r="376" spans="2:27" ht="15.75" x14ac:dyDescent="0.25">
      <c r="U376" s="2360"/>
      <c r="V376" s="2360"/>
      <c r="W376" s="2360"/>
      <c r="X376" s="2360"/>
      <c r="Y376" s="2360"/>
      <c r="Z376" s="2360"/>
      <c r="AA376" s="2360"/>
    </row>
    <row r="377" spans="2:27" ht="15.75" x14ac:dyDescent="0.25">
      <c r="U377" s="2360"/>
      <c r="V377" s="2360"/>
      <c r="W377" s="2360"/>
      <c r="X377" s="2360"/>
      <c r="Y377" s="2360"/>
      <c r="Z377" s="2360"/>
      <c r="AA377" s="2360"/>
    </row>
    <row r="378" spans="2:27" ht="15.75" x14ac:dyDescent="0.25">
      <c r="U378" s="2360"/>
      <c r="V378" s="2360"/>
      <c r="W378" s="2360"/>
      <c r="X378" s="2360"/>
      <c r="Y378" s="2360"/>
      <c r="Z378" s="2360"/>
      <c r="AA378" s="2360"/>
    </row>
    <row r="379" spans="2:27" ht="15.75" x14ac:dyDescent="0.25">
      <c r="U379" s="2360"/>
      <c r="V379" s="2360"/>
      <c r="W379" s="2360"/>
      <c r="X379" s="2360"/>
      <c r="Y379" s="2360"/>
      <c r="Z379" s="2360"/>
      <c r="AA379" s="2360"/>
    </row>
  </sheetData>
  <hyperlinks>
    <hyperlink ref="C372" r:id="rId1" xr:uid="{3DAE83E6-D1B4-4A06-A78C-F72AAA236E25}"/>
  </hyperlinks>
  <printOptions horizontalCentered="1"/>
  <pageMargins left="0.1075" right="0.1075" top="0.6" bottom="0.75" header="0.05" footer="0.10249999999999999"/>
  <pageSetup paperSize="3" scale="51" fitToHeight="0" orientation="landscape" r:id="rId2"/>
  <headerFooter alignWithMargins="0">
    <oddFooter>&amp;L&amp;F&amp;RPage &amp;P of &amp;N</oddFooter>
  </headerFooter>
  <customProperties>
    <customPr name="_pios_id" r:id="rId3"/>
  </customProperties>
  <legacyDrawing r:id="rId4"/>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55FB80-07AB-4584-B41D-5529F3C24E57}">
  <sheetPr codeName="Sheet37">
    <tabColor rgb="FF92D050"/>
    <pageSetUpPr fitToPage="1"/>
  </sheetPr>
  <dimension ref="A1:O18"/>
  <sheetViews>
    <sheetView view="pageBreakPreview" zoomScaleNormal="100" zoomScaleSheetLayoutView="100" workbookViewId="0">
      <selection activeCell="A34" sqref="A34"/>
    </sheetView>
  </sheetViews>
  <sheetFormatPr defaultColWidth="8.75" defaultRowHeight="15.6" customHeight="1" x14ac:dyDescent="0.25"/>
  <cols>
    <col min="1" max="1" width="29.625" style="2424" customWidth="1"/>
    <col min="2" max="2" width="12.875" style="2424" customWidth="1"/>
    <col min="3" max="3" width="9.75" style="2424" hidden="1" customWidth="1"/>
    <col min="4" max="15" width="9.75" style="2424" customWidth="1"/>
    <col min="16" max="16384" width="8.75" style="2424"/>
  </cols>
  <sheetData>
    <row r="1" spans="1:15" ht="15.75" x14ac:dyDescent="0.25">
      <c r="A1" s="2422" t="s">
        <v>5832</v>
      </c>
      <c r="B1" s="2422"/>
      <c r="C1" s="2423"/>
      <c r="D1" s="2423"/>
      <c r="E1" s="2423"/>
      <c r="F1" s="2423"/>
      <c r="G1" s="2423"/>
      <c r="H1" s="2423"/>
      <c r="I1" s="2423"/>
      <c r="J1" s="2423"/>
      <c r="K1" s="2423"/>
      <c r="L1" s="2423"/>
      <c r="M1" s="2423"/>
      <c r="N1" s="2423"/>
      <c r="O1" s="2423"/>
    </row>
    <row r="2" spans="1:15" ht="15.75" x14ac:dyDescent="0.25">
      <c r="A2" s="2422" t="s">
        <v>5860</v>
      </c>
      <c r="B2" s="2422"/>
      <c r="C2" s="2423"/>
      <c r="D2" s="2423"/>
      <c r="E2" s="2423"/>
      <c r="F2" s="2423"/>
      <c r="G2" s="2423"/>
      <c r="H2" s="2423"/>
      <c r="I2" s="2423"/>
      <c r="J2" s="2423"/>
      <c r="K2" s="2423"/>
      <c r="L2" s="2423"/>
      <c r="M2" s="2423"/>
      <c r="N2" s="2423"/>
      <c r="O2" s="2423"/>
    </row>
    <row r="3" spans="1:15" ht="15.75" x14ac:dyDescent="0.25">
      <c r="A3" s="2422" t="s">
        <v>5861</v>
      </c>
      <c r="B3" s="2422"/>
      <c r="C3" s="2423"/>
      <c r="D3" s="2423"/>
      <c r="E3" s="2423"/>
      <c r="F3" s="2423"/>
      <c r="G3" s="2423"/>
      <c r="H3" s="2423"/>
      <c r="I3" s="2423"/>
      <c r="J3" s="2423"/>
      <c r="K3" s="2423"/>
      <c r="L3" s="2423"/>
      <c r="M3" s="2423"/>
      <c r="N3" s="2423"/>
      <c r="O3" s="2423"/>
    </row>
    <row r="4" spans="1:15" ht="15.75" x14ac:dyDescent="0.25">
      <c r="A4" s="2422" t="s">
        <v>5833</v>
      </c>
      <c r="B4" s="2422"/>
      <c r="C4" s="2423"/>
      <c r="D4" s="2423"/>
      <c r="E4" s="2423"/>
      <c r="F4" s="2423"/>
      <c r="G4" s="2423"/>
      <c r="H4" s="2423"/>
      <c r="I4" s="2423"/>
      <c r="J4" s="2423"/>
      <c r="K4" s="2423"/>
      <c r="L4" s="2423"/>
      <c r="M4" s="2423"/>
      <c r="N4" s="2423"/>
      <c r="O4" s="2423"/>
    </row>
    <row r="5" spans="1:15" ht="15.75" x14ac:dyDescent="0.25">
      <c r="A5" s="2422"/>
      <c r="B5" s="2422"/>
      <c r="C5" s="2423"/>
      <c r="D5" s="2423"/>
      <c r="E5" s="2423"/>
      <c r="F5" s="2423"/>
      <c r="G5" s="2423"/>
      <c r="H5" s="2423"/>
      <c r="I5" s="2423"/>
      <c r="J5" s="2423"/>
      <c r="K5" s="2423"/>
      <c r="L5" s="2423"/>
      <c r="M5" s="2423"/>
      <c r="N5" s="2423"/>
      <c r="O5" s="2423"/>
    </row>
    <row r="6" spans="1:15" ht="16.5" thickBot="1" x14ac:dyDescent="0.3">
      <c r="A6" s="2425" t="s">
        <v>5834</v>
      </c>
      <c r="B6" s="2426" t="s">
        <v>5835</v>
      </c>
      <c r="C6" s="2427" t="s">
        <v>5836</v>
      </c>
      <c r="D6" s="2427" t="s">
        <v>5836</v>
      </c>
      <c r="E6" s="2427" t="s">
        <v>5836</v>
      </c>
      <c r="F6" s="2427" t="s">
        <v>5836</v>
      </c>
      <c r="G6" s="2427" t="s">
        <v>5836</v>
      </c>
      <c r="H6" s="2427" t="s">
        <v>5836</v>
      </c>
      <c r="I6" s="2427" t="s">
        <v>5836</v>
      </c>
      <c r="J6" s="2427" t="s">
        <v>5836</v>
      </c>
      <c r="K6" s="2427" t="s">
        <v>5836</v>
      </c>
      <c r="L6" s="2427" t="s">
        <v>5836</v>
      </c>
      <c r="M6" s="2427" t="s">
        <v>5836</v>
      </c>
      <c r="N6" s="2427" t="s">
        <v>5836</v>
      </c>
      <c r="O6" s="2427" t="s">
        <v>5836</v>
      </c>
    </row>
    <row r="7" spans="1:15" ht="16.5" thickBot="1" x14ac:dyDescent="0.3">
      <c r="A7" s="2428" t="s">
        <v>231</v>
      </c>
      <c r="B7" s="2429" t="s">
        <v>5837</v>
      </c>
      <c r="C7" s="2430">
        <f t="shared" ref="C7" si="0">DATE(YEAR(D7),MONTH(D7)-1,DAY(D7))</f>
        <v>45284</v>
      </c>
      <c r="D7" s="2430" t="s">
        <v>5838</v>
      </c>
      <c r="E7" s="2430" t="s">
        <v>5839</v>
      </c>
      <c r="F7" s="2430" t="s">
        <v>5840</v>
      </c>
      <c r="G7" s="2430" t="s">
        <v>5841</v>
      </c>
      <c r="H7" s="2430" t="s">
        <v>5842</v>
      </c>
      <c r="I7" s="2430" t="s">
        <v>5843</v>
      </c>
      <c r="J7" s="2430" t="s">
        <v>5844</v>
      </c>
      <c r="K7" s="2430" t="s">
        <v>5845</v>
      </c>
      <c r="L7" s="2430" t="s">
        <v>5846</v>
      </c>
      <c r="M7" s="2430" t="s">
        <v>5847</v>
      </c>
      <c r="N7" s="2430" t="s">
        <v>5848</v>
      </c>
      <c r="O7" s="2431" t="s">
        <v>5849</v>
      </c>
    </row>
    <row r="8" spans="1:15" ht="15.75" x14ac:dyDescent="0.25">
      <c r="A8" s="2432" t="s">
        <v>5850</v>
      </c>
      <c r="B8" s="2433">
        <v>243611.27356999996</v>
      </c>
      <c r="C8" s="2433" t="e">
        <v>#N/A</v>
      </c>
      <c r="D8" s="2433">
        <v>243631.27356999996</v>
      </c>
      <c r="E8" s="2433">
        <v>243652.27356999996</v>
      </c>
      <c r="F8" s="2433">
        <v>243673.27356999996</v>
      </c>
      <c r="G8" s="2433">
        <v>244046.37356999997</v>
      </c>
      <c r="H8" s="2433">
        <v>244187.17356999996</v>
      </c>
      <c r="I8" s="2433">
        <v>244238.67356999996</v>
      </c>
      <c r="J8" s="2433">
        <v>248322.17356999996</v>
      </c>
      <c r="K8" s="2433">
        <v>248343.17356999996</v>
      </c>
      <c r="L8" s="2433">
        <v>249513.27356999996</v>
      </c>
      <c r="M8" s="2433">
        <v>250069.87356999997</v>
      </c>
      <c r="N8" s="2433">
        <v>250090.87356999997</v>
      </c>
      <c r="O8" s="2433">
        <v>251491.07356999998</v>
      </c>
    </row>
    <row r="9" spans="1:15" ht="15.75" x14ac:dyDescent="0.25">
      <c r="A9" s="2434" t="s">
        <v>5851</v>
      </c>
      <c r="B9" s="2435">
        <v>10943.230043873195</v>
      </c>
      <c r="C9" s="2435" t="e">
        <v>#N/A</v>
      </c>
      <c r="D9" s="2435">
        <v>10969.250898456528</v>
      </c>
      <c r="E9" s="2435">
        <v>10995.271753039862</v>
      </c>
      <c r="F9" s="2435">
        <v>11021.2926076232</v>
      </c>
      <c r="G9" s="2435">
        <v>11047.313462206534</v>
      </c>
      <c r="H9" s="2435">
        <v>11073.334316789867</v>
      </c>
      <c r="I9" s="2435">
        <v>11099.355171373203</v>
      </c>
      <c r="J9" s="2435">
        <v>11125.376025956537</v>
      </c>
      <c r="K9" s="2435">
        <v>11151.396880539873</v>
      </c>
      <c r="L9" s="2435">
        <v>11177.417735123208</v>
      </c>
      <c r="M9" s="2435">
        <v>11203.438589706542</v>
      </c>
      <c r="N9" s="2435">
        <v>11229.459444289876</v>
      </c>
      <c r="O9" s="2435">
        <v>11255.480298873212</v>
      </c>
    </row>
    <row r="10" spans="1:15" ht="15.75" x14ac:dyDescent="0.25">
      <c r="A10" s="2434" t="s">
        <v>5852</v>
      </c>
      <c r="B10" s="2435">
        <v>1899.7056359632998</v>
      </c>
      <c r="C10" s="2435" t="e">
        <v>#N/A</v>
      </c>
      <c r="D10" s="2435">
        <v>1431.8183013971707</v>
      </c>
      <c r="E10" s="2435">
        <v>1280.9427755485603</v>
      </c>
      <c r="F10" s="2435">
        <v>942.6757050987693</v>
      </c>
      <c r="G10" s="2435">
        <v>437.64245691442756</v>
      </c>
      <c r="H10" s="2435">
        <v>2495.5868418890127</v>
      </c>
      <c r="I10" s="2435">
        <v>3295.9949362735065</v>
      </c>
      <c r="J10" s="2435">
        <v>2756.088510775106</v>
      </c>
      <c r="K10" s="2435">
        <v>2297.384450965963</v>
      </c>
      <c r="L10" s="2435">
        <v>358.65570423445183</v>
      </c>
      <c r="M10" s="2435">
        <v>451.41972001289565</v>
      </c>
      <c r="N10" s="2435">
        <v>1100.1721203381837</v>
      </c>
      <c r="O10" s="2435">
        <v>2535.3737551107529</v>
      </c>
    </row>
    <row r="11" spans="1:15" ht="15.75" x14ac:dyDescent="0.25">
      <c r="A11" s="2434" t="s">
        <v>5853</v>
      </c>
      <c r="B11" s="2435">
        <v>0</v>
      </c>
      <c r="C11" s="2435" t="e">
        <v>#N/A</v>
      </c>
      <c r="D11" s="2435">
        <v>0</v>
      </c>
      <c r="E11" s="2435">
        <v>0</v>
      </c>
      <c r="F11" s="2435">
        <v>0</v>
      </c>
      <c r="G11" s="2435">
        <v>0</v>
      </c>
      <c r="H11" s="2435">
        <v>0</v>
      </c>
      <c r="I11" s="2435">
        <v>0</v>
      </c>
      <c r="J11" s="2435">
        <v>0</v>
      </c>
      <c r="K11" s="2435">
        <v>0</v>
      </c>
      <c r="L11" s="2435">
        <v>0</v>
      </c>
      <c r="M11" s="2435">
        <v>0</v>
      </c>
      <c r="N11" s="2435">
        <v>0</v>
      </c>
      <c r="O11" s="2435">
        <v>0</v>
      </c>
    </row>
    <row r="12" spans="1:15" ht="15.75" x14ac:dyDescent="0.25">
      <c r="A12" s="2434" t="s">
        <v>5854</v>
      </c>
      <c r="B12" s="2435">
        <v>0</v>
      </c>
      <c r="C12" s="2435" t="e">
        <v>#N/A</v>
      </c>
      <c r="D12" s="2435">
        <v>0</v>
      </c>
      <c r="E12" s="2435">
        <v>0</v>
      </c>
      <c r="F12" s="2435">
        <v>0</v>
      </c>
      <c r="G12" s="2435">
        <v>0</v>
      </c>
      <c r="H12" s="2435">
        <v>0</v>
      </c>
      <c r="I12" s="2435">
        <v>0</v>
      </c>
      <c r="J12" s="2435">
        <v>0</v>
      </c>
      <c r="K12" s="2435">
        <v>0</v>
      </c>
      <c r="L12" s="2435">
        <v>0</v>
      </c>
      <c r="M12" s="2435">
        <v>0</v>
      </c>
      <c r="N12" s="2435">
        <v>0</v>
      </c>
      <c r="O12" s="2435">
        <v>0</v>
      </c>
    </row>
    <row r="13" spans="1:15" ht="15.75" x14ac:dyDescent="0.25">
      <c r="A13" s="2434" t="s">
        <v>5855</v>
      </c>
      <c r="B13" s="2435">
        <v>-198295.79724999983</v>
      </c>
      <c r="C13" s="2435" t="e">
        <v>#N/A</v>
      </c>
      <c r="D13" s="2435">
        <v>-199193.33308597573</v>
      </c>
      <c r="E13" s="2435">
        <v>-200074.2782701159</v>
      </c>
      <c r="F13" s="2435">
        <v>-200955.43495321553</v>
      </c>
      <c r="G13" s="2435">
        <v>-201845.00333331031</v>
      </c>
      <c r="H13" s="2435">
        <v>-202751.4419921787</v>
      </c>
      <c r="I13" s="2435">
        <v>-203642.29527676149</v>
      </c>
      <c r="J13" s="2435">
        <v>-204613.56635016561</v>
      </c>
      <c r="K13" s="2435">
        <v>-205584.31024882867</v>
      </c>
      <c r="L13" s="2435">
        <v>-206567.59731055424</v>
      </c>
      <c r="M13" s="2435">
        <v>-207554.4350400877</v>
      </c>
      <c r="N13" s="2435">
        <v>-208533.5011267165</v>
      </c>
      <c r="O13" s="2435">
        <v>-209531.61392354913</v>
      </c>
    </row>
    <row r="14" spans="1:15" ht="15.75" x14ac:dyDescent="0.25">
      <c r="A14" s="2434" t="s">
        <v>5856</v>
      </c>
      <c r="B14" s="2435">
        <v>0</v>
      </c>
      <c r="C14" s="2435" t="e">
        <v>#N/A</v>
      </c>
      <c r="D14" s="2435">
        <v>0</v>
      </c>
      <c r="E14" s="2435">
        <v>0</v>
      </c>
      <c r="F14" s="2435">
        <v>0</v>
      </c>
      <c r="G14" s="2435">
        <v>0</v>
      </c>
      <c r="H14" s="2435">
        <v>0</v>
      </c>
      <c r="I14" s="2435">
        <v>0</v>
      </c>
      <c r="J14" s="2435">
        <v>0</v>
      </c>
      <c r="K14" s="2435">
        <v>0</v>
      </c>
      <c r="L14" s="2435">
        <v>0</v>
      </c>
      <c r="M14" s="2435">
        <v>0</v>
      </c>
      <c r="N14" s="2435">
        <v>0</v>
      </c>
      <c r="O14" s="2435">
        <v>0</v>
      </c>
    </row>
    <row r="15" spans="1:15" ht="16.5" thickBot="1" x14ac:dyDescent="0.3">
      <c r="A15" s="2436" t="s">
        <v>5857</v>
      </c>
      <c r="B15" s="2437">
        <f>SUM(B8:B14)</f>
        <v>58158.411999836622</v>
      </c>
      <c r="C15" s="2437" t="e">
        <f>SUM(C8:C14)</f>
        <v>#N/A</v>
      </c>
      <c r="D15" s="2437">
        <f>SUM(D8:D14)</f>
        <v>56839.009683877928</v>
      </c>
      <c r="E15" s="2437">
        <f t="shared" ref="E15:N15" si="1">SUM(E8:E14)</f>
        <v>55854.209828472463</v>
      </c>
      <c r="F15" s="2437">
        <f t="shared" si="1"/>
        <v>54681.80692950642</v>
      </c>
      <c r="G15" s="2437">
        <f t="shared" si="1"/>
        <v>53686.326155810617</v>
      </c>
      <c r="H15" s="2437">
        <f t="shared" si="1"/>
        <v>55004.652736500138</v>
      </c>
      <c r="I15" s="2437">
        <f t="shared" si="1"/>
        <v>54991.728400885186</v>
      </c>
      <c r="J15" s="2437">
        <f t="shared" si="1"/>
        <v>57590.071756565972</v>
      </c>
      <c r="K15" s="2437">
        <f t="shared" si="1"/>
        <v>56207.644652677118</v>
      </c>
      <c r="L15" s="2437">
        <f>SUM(L8:L14)</f>
        <v>54481.749698803411</v>
      </c>
      <c r="M15" s="2438">
        <f>SUM(M8:M14)</f>
        <v>54170.296839631716</v>
      </c>
      <c r="N15" s="2438">
        <f t="shared" si="1"/>
        <v>53887.004007911542</v>
      </c>
      <c r="O15" s="2439">
        <f>SUM(O8:O14)</f>
        <v>55750.31370043481</v>
      </c>
    </row>
    <row r="16" spans="1:15" ht="16.5" thickTop="1" x14ac:dyDescent="0.25">
      <c r="A16" s="2440"/>
      <c r="B16" s="2441"/>
      <c r="C16" s="2441"/>
      <c r="D16" s="2442"/>
      <c r="E16" s="2442"/>
      <c r="F16" s="2442"/>
      <c r="G16" s="2442"/>
      <c r="H16" s="2442"/>
      <c r="I16" s="2442"/>
      <c r="J16" s="2442"/>
      <c r="K16" s="2442"/>
      <c r="L16" s="2442"/>
      <c r="M16" s="2442"/>
      <c r="N16" s="2442"/>
      <c r="O16" s="2443"/>
    </row>
    <row r="17" spans="1:15" ht="16.5" thickBot="1" x14ac:dyDescent="0.3">
      <c r="A17" s="2444" t="s">
        <v>5858</v>
      </c>
      <c r="B17" s="2445">
        <f>B15*2/3</f>
        <v>38772.274666557751</v>
      </c>
      <c r="C17" s="2445" t="e">
        <f>C15*2/3</f>
        <v>#N/A</v>
      </c>
      <c r="D17" s="2445">
        <f t="shared" ref="D17:O17" si="2">D15*2/3</f>
        <v>37892.673122585285</v>
      </c>
      <c r="E17" s="2445">
        <f t="shared" si="2"/>
        <v>37236.139885648307</v>
      </c>
      <c r="F17" s="2445">
        <f t="shared" si="2"/>
        <v>36454.537953004277</v>
      </c>
      <c r="G17" s="2445">
        <f t="shared" si="2"/>
        <v>35790.884103873745</v>
      </c>
      <c r="H17" s="2445">
        <f t="shared" si="2"/>
        <v>36669.76849100009</v>
      </c>
      <c r="I17" s="2445">
        <f t="shared" si="2"/>
        <v>36661.152267256788</v>
      </c>
      <c r="J17" s="2445">
        <f t="shared" si="2"/>
        <v>38393.381171043984</v>
      </c>
      <c r="K17" s="2445">
        <f t="shared" si="2"/>
        <v>37471.763101784745</v>
      </c>
      <c r="L17" s="2445">
        <f t="shared" si="2"/>
        <v>36321.166465868941</v>
      </c>
      <c r="M17" s="2445">
        <f t="shared" si="2"/>
        <v>36113.531226421146</v>
      </c>
      <c r="N17" s="2445">
        <f t="shared" si="2"/>
        <v>35924.669338607695</v>
      </c>
      <c r="O17" s="2446">
        <f t="shared" si="2"/>
        <v>37166.875800289876</v>
      </c>
    </row>
    <row r="18" spans="1:15" ht="15.75" x14ac:dyDescent="0.25">
      <c r="A18" s="2447"/>
      <c r="B18" s="2447" t="s">
        <v>5859</v>
      </c>
      <c r="C18" s="2448"/>
      <c r="D18" s="2449"/>
      <c r="E18" s="2449"/>
      <c r="F18" s="2449"/>
      <c r="G18" s="2449"/>
      <c r="H18" s="2449"/>
      <c r="I18" s="2449"/>
      <c r="J18" s="2449"/>
      <c r="K18" s="2449"/>
      <c r="L18" s="2449"/>
      <c r="M18" s="2449"/>
      <c r="N18" s="2449"/>
      <c r="O18" s="2448" t="s">
        <v>5859</v>
      </c>
    </row>
  </sheetData>
  <printOptions horizontalCentered="1"/>
  <pageMargins left="0.5" right="0.5" top="1" bottom="0.5" header="0.5" footer="0.41"/>
  <pageSetup scale="74" orientation="landscape" r:id="rId1"/>
  <headerFooter alignWithMargins="0">
    <oddFooter xml:space="preserve">&amp;C&amp;"Arial,Regular"&amp;10Page 8.3.1&amp;12
</oddFooter>
  </headerFooter>
  <customProperties>
    <customPr name="_pios_id" r:id="rId2"/>
  </customPropertie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83948A-A7C0-4232-863C-5DA132385345}">
  <sheetPr codeName="Sheet38">
    <tabColor rgb="FF0070C0"/>
    <pageSetUpPr fitToPage="1"/>
  </sheetPr>
  <dimension ref="A1:N63"/>
  <sheetViews>
    <sheetView zoomScale="80" zoomScaleNormal="80" workbookViewId="0">
      <selection activeCell="A34" sqref="A34"/>
    </sheetView>
  </sheetViews>
  <sheetFormatPr defaultColWidth="9" defaultRowHeight="12.75" x14ac:dyDescent="0.2"/>
  <cols>
    <col min="1" max="1" width="40.125" style="2451" bestFit="1" customWidth="1"/>
    <col min="2" max="2" width="13" style="2451" customWidth="1"/>
    <col min="3" max="3" width="12.875" style="2451" bestFit="1" customWidth="1"/>
    <col min="4" max="4" width="13.5" style="2451" bestFit="1" customWidth="1"/>
    <col min="5" max="5" width="13.125" style="2451" bestFit="1" customWidth="1"/>
    <col min="6" max="6" width="13.5" style="2451" bestFit="1" customWidth="1"/>
    <col min="7" max="7" width="12.875" style="2451" bestFit="1" customWidth="1"/>
    <col min="8" max="9" width="13" style="2451" bestFit="1" customWidth="1"/>
    <col min="10" max="10" width="13.5" style="2451" bestFit="1" customWidth="1"/>
    <col min="11" max="12" width="12.625" style="2451" bestFit="1" customWidth="1"/>
    <col min="13" max="14" width="13" style="2451" bestFit="1" customWidth="1"/>
    <col min="15" max="16384" width="9" style="2451"/>
  </cols>
  <sheetData>
    <row r="1" spans="1:14" x14ac:dyDescent="0.2">
      <c r="A1" s="2450" t="s">
        <v>5832</v>
      </c>
    </row>
    <row r="2" spans="1:14" x14ac:dyDescent="0.2">
      <c r="A2" s="2452" t="s">
        <v>5880</v>
      </c>
    </row>
    <row r="3" spans="1:14" x14ac:dyDescent="0.2">
      <c r="A3" s="2450" t="s">
        <v>5862</v>
      </c>
      <c r="H3" s="2453" t="s">
        <v>97</v>
      </c>
    </row>
    <row r="4" spans="1:14" x14ac:dyDescent="0.2">
      <c r="H4" s="2453"/>
    </row>
    <row r="5" spans="1:14" x14ac:dyDescent="0.2">
      <c r="A5" s="3850" t="s">
        <v>5863</v>
      </c>
      <c r="B5" s="2454">
        <v>45261</v>
      </c>
      <c r="C5" s="2454">
        <f t="shared" ref="C5:N5" si="0">DATE(YEAR(B5),MONTH(B5)+1,DAY(B5))</f>
        <v>45292</v>
      </c>
      <c r="D5" s="2454">
        <f t="shared" si="0"/>
        <v>45323</v>
      </c>
      <c r="E5" s="2454">
        <f t="shared" si="0"/>
        <v>45352</v>
      </c>
      <c r="F5" s="2454">
        <f t="shared" si="0"/>
        <v>45383</v>
      </c>
      <c r="G5" s="2454">
        <f t="shared" si="0"/>
        <v>45413</v>
      </c>
      <c r="H5" s="2454">
        <f t="shared" si="0"/>
        <v>45444</v>
      </c>
      <c r="I5" s="2454">
        <f t="shared" si="0"/>
        <v>45474</v>
      </c>
      <c r="J5" s="2454">
        <f t="shared" si="0"/>
        <v>45505</v>
      </c>
      <c r="K5" s="2454">
        <f t="shared" si="0"/>
        <v>45536</v>
      </c>
      <c r="L5" s="2454">
        <f t="shared" si="0"/>
        <v>45566</v>
      </c>
      <c r="M5" s="2454">
        <f t="shared" si="0"/>
        <v>45597</v>
      </c>
      <c r="N5" s="2454">
        <f t="shared" si="0"/>
        <v>45627</v>
      </c>
    </row>
    <row r="6" spans="1:14" x14ac:dyDescent="0.2">
      <c r="A6" s="3851"/>
      <c r="B6" s="2455" t="s">
        <v>5835</v>
      </c>
      <c r="C6" s="2455" t="s">
        <v>5864</v>
      </c>
      <c r="D6" s="2455" t="s">
        <v>5864</v>
      </c>
      <c r="E6" s="2455" t="str">
        <f>D6</f>
        <v>Forecast</v>
      </c>
      <c r="F6" s="2455" t="str">
        <f t="shared" ref="F6:N6" si="1">E6</f>
        <v>Forecast</v>
      </c>
      <c r="G6" s="2455" t="str">
        <f t="shared" si="1"/>
        <v>Forecast</v>
      </c>
      <c r="H6" s="2455" t="str">
        <f t="shared" si="1"/>
        <v>Forecast</v>
      </c>
      <c r="I6" s="2455" t="str">
        <f t="shared" si="1"/>
        <v>Forecast</v>
      </c>
      <c r="J6" s="2455" t="str">
        <f t="shared" si="1"/>
        <v>Forecast</v>
      </c>
      <c r="K6" s="2455" t="str">
        <f t="shared" si="1"/>
        <v>Forecast</v>
      </c>
      <c r="L6" s="2455" t="str">
        <f t="shared" si="1"/>
        <v>Forecast</v>
      </c>
      <c r="M6" s="2455" t="str">
        <f t="shared" si="1"/>
        <v>Forecast</v>
      </c>
      <c r="N6" s="2455" t="str">
        <f t="shared" si="1"/>
        <v>Forecast</v>
      </c>
    </row>
    <row r="7" spans="1:14" x14ac:dyDescent="0.2">
      <c r="A7" s="2456"/>
    </row>
    <row r="8" spans="1:14" x14ac:dyDescent="0.2">
      <c r="A8" s="2450" t="s">
        <v>5865</v>
      </c>
    </row>
    <row r="9" spans="1:14" x14ac:dyDescent="0.2">
      <c r="A9" s="2451" t="s">
        <v>5866</v>
      </c>
      <c r="B9" s="2457">
        <v>17748984</v>
      </c>
      <c r="C9" s="2457">
        <v>17748984</v>
      </c>
      <c r="D9" s="2457">
        <v>17748984</v>
      </c>
      <c r="E9" s="2457">
        <v>17748984</v>
      </c>
      <c r="F9" s="2457">
        <v>17748984</v>
      </c>
      <c r="G9" s="2457">
        <v>17748984</v>
      </c>
      <c r="H9" s="2457">
        <v>17748984</v>
      </c>
      <c r="I9" s="2457">
        <v>17748984</v>
      </c>
      <c r="J9" s="2457">
        <v>17748984</v>
      </c>
      <c r="K9" s="2457">
        <v>17748984</v>
      </c>
      <c r="L9" s="2457">
        <v>17748984</v>
      </c>
      <c r="M9" s="2457">
        <v>17748984</v>
      </c>
      <c r="N9" s="2457">
        <v>17748984</v>
      </c>
    </row>
    <row r="10" spans="1:14" x14ac:dyDescent="0.2">
      <c r="A10" s="2451" t="s">
        <v>5867</v>
      </c>
      <c r="B10" s="2457">
        <v>2834815</v>
      </c>
      <c r="C10" s="2457">
        <v>2834815</v>
      </c>
      <c r="D10" s="2457">
        <v>2834815</v>
      </c>
      <c r="E10" s="2457">
        <v>2834815</v>
      </c>
      <c r="F10" s="2457">
        <v>2834815</v>
      </c>
      <c r="G10" s="2457">
        <v>2834815</v>
      </c>
      <c r="H10" s="2457">
        <v>2834815</v>
      </c>
      <c r="I10" s="2457">
        <v>2834815</v>
      </c>
      <c r="J10" s="2457">
        <v>2834815</v>
      </c>
      <c r="K10" s="2457">
        <v>2834815</v>
      </c>
      <c r="L10" s="2457">
        <v>2834815</v>
      </c>
      <c r="M10" s="2457">
        <v>2834815</v>
      </c>
      <c r="N10" s="2457">
        <v>2834815</v>
      </c>
    </row>
    <row r="11" spans="1:14" x14ac:dyDescent="0.2">
      <c r="A11" s="2451" t="s">
        <v>5868</v>
      </c>
      <c r="B11" s="2457">
        <v>120208622</v>
      </c>
      <c r="C11" s="2457">
        <v>127680133.4676</v>
      </c>
      <c r="D11" s="2457">
        <v>128111478.0552</v>
      </c>
      <c r="E11" s="2457">
        <v>128053310.211</v>
      </c>
      <c r="F11" s="2457">
        <v>128096066.088</v>
      </c>
      <c r="G11" s="2457">
        <v>129279586.2606</v>
      </c>
      <c r="H11" s="2457">
        <v>129397232.34720001</v>
      </c>
      <c r="I11" s="2457">
        <v>129398211.8874</v>
      </c>
      <c r="J11" s="2457">
        <v>129093067</v>
      </c>
      <c r="K11" s="2457">
        <v>129230409</v>
      </c>
      <c r="L11" s="2457">
        <v>129233680.56999999</v>
      </c>
      <c r="M11" s="2457">
        <v>120293113</v>
      </c>
      <c r="N11" s="2457">
        <v>120208622</v>
      </c>
    </row>
    <row r="12" spans="1:14" x14ac:dyDescent="0.2">
      <c r="A12" s="2451" t="s">
        <v>5869</v>
      </c>
      <c r="B12" s="2457">
        <v>140792421</v>
      </c>
      <c r="C12" s="2457">
        <v>148263932.46759999</v>
      </c>
      <c r="D12" s="2457">
        <v>148695277.05519998</v>
      </c>
      <c r="E12" s="2457">
        <v>148637109.211</v>
      </c>
      <c r="F12" s="2457">
        <v>148679865.088</v>
      </c>
      <c r="G12" s="2457">
        <v>149863385.2606</v>
      </c>
      <c r="H12" s="2457">
        <v>149981031.34720001</v>
      </c>
      <c r="I12" s="2457">
        <v>149982010.8874</v>
      </c>
      <c r="J12" s="2457">
        <v>149676866</v>
      </c>
      <c r="K12" s="2457">
        <v>149814208</v>
      </c>
      <c r="L12" s="2457">
        <v>149817479.56999999</v>
      </c>
      <c r="M12" s="2457">
        <v>140876912</v>
      </c>
      <c r="N12" s="2457">
        <v>140792421</v>
      </c>
    </row>
    <row r="13" spans="1:14" x14ac:dyDescent="0.2">
      <c r="A13" s="2451" t="s">
        <v>801</v>
      </c>
      <c r="B13" s="2457">
        <v>-125969383.39</v>
      </c>
      <c r="C13" s="2457">
        <v>-126025272.33916667</v>
      </c>
      <c r="D13" s="2457">
        <v>-126081161.28833334</v>
      </c>
      <c r="E13" s="2457">
        <v>-126137050.23750001</v>
      </c>
      <c r="F13" s="2457">
        <v>-126192939.18666668</v>
      </c>
      <c r="G13" s="2457">
        <v>-126248828.13583335</v>
      </c>
      <c r="H13" s="2457">
        <v>-126304717.08500002</v>
      </c>
      <c r="I13" s="2457">
        <v>-126360606.03416669</v>
      </c>
      <c r="J13" s="2457">
        <v>-126416494.98333336</v>
      </c>
      <c r="K13" s="2457">
        <v>-126472383.93250003</v>
      </c>
      <c r="L13" s="2457">
        <v>-126528272.88166671</v>
      </c>
      <c r="M13" s="2457">
        <v>-126584161.83083338</v>
      </c>
      <c r="N13" s="2457">
        <v>-128356929.89</v>
      </c>
    </row>
    <row r="14" spans="1:14" x14ac:dyDescent="0.2">
      <c r="A14" s="2450" t="s">
        <v>5869</v>
      </c>
      <c r="B14" s="2458">
        <f t="shared" ref="B14:N14" si="2">B12+B13</f>
        <v>14823037.609999999</v>
      </c>
      <c r="C14" s="2458">
        <f t="shared" si="2"/>
        <v>22238660.128433317</v>
      </c>
      <c r="D14" s="2458">
        <f t="shared" si="2"/>
        <v>22614115.766866639</v>
      </c>
      <c r="E14" s="2458">
        <f t="shared" si="2"/>
        <v>22500058.973499984</v>
      </c>
      <c r="F14" s="2458">
        <f t="shared" si="2"/>
        <v>22486925.901333317</v>
      </c>
      <c r="G14" s="2458">
        <f t="shared" si="2"/>
        <v>23614557.124766648</v>
      </c>
      <c r="H14" s="2458">
        <f t="shared" si="2"/>
        <v>23676314.262199983</v>
      </c>
      <c r="I14" s="2458">
        <f t="shared" si="2"/>
        <v>23621404.853233308</v>
      </c>
      <c r="J14" s="2458">
        <f t="shared" si="2"/>
        <v>23260371.016666636</v>
      </c>
      <c r="K14" s="2458">
        <f t="shared" si="2"/>
        <v>23341824.067499965</v>
      </c>
      <c r="L14" s="2458">
        <f t="shared" si="2"/>
        <v>23289206.688333288</v>
      </c>
      <c r="M14" s="2458">
        <f t="shared" si="2"/>
        <v>14292750.169166625</v>
      </c>
      <c r="N14" s="2458">
        <f t="shared" si="2"/>
        <v>12435491.109999999</v>
      </c>
    </row>
    <row r="15" spans="1:14" x14ac:dyDescent="0.2">
      <c r="B15" s="2453"/>
      <c r="C15" s="2453"/>
      <c r="D15" s="2453"/>
      <c r="E15" s="2453"/>
      <c r="F15" s="2453"/>
      <c r="G15" s="2453"/>
      <c r="H15" s="2453"/>
      <c r="I15" s="2453"/>
      <c r="J15" s="2453"/>
      <c r="K15" s="2453"/>
      <c r="L15" s="2453"/>
      <c r="M15" s="2453"/>
      <c r="N15" s="2453"/>
    </row>
    <row r="16" spans="1:14" x14ac:dyDescent="0.2">
      <c r="A16" s="2450" t="s">
        <v>107</v>
      </c>
    </row>
    <row r="17" spans="1:14" x14ac:dyDescent="0.2">
      <c r="A17" s="2456" t="s">
        <v>5870</v>
      </c>
      <c r="B17" s="2457">
        <v>7645955</v>
      </c>
      <c r="C17" s="2457">
        <v>6331270.5750000002</v>
      </c>
      <c r="D17" s="2457">
        <v>6507651.1849999996</v>
      </c>
      <c r="E17" s="2457">
        <v>6390531.3499999996</v>
      </c>
      <c r="F17" s="2457">
        <v>7167304.7599999998</v>
      </c>
      <c r="G17" s="2457">
        <v>7021274.6799999997</v>
      </c>
      <c r="H17" s="2457">
        <v>7282099.2300000004</v>
      </c>
      <c r="I17" s="2457">
        <v>9608103.6799999997</v>
      </c>
      <c r="J17" s="2457">
        <v>9174003.4049999993</v>
      </c>
      <c r="K17" s="2457">
        <v>7339622.3250000002</v>
      </c>
      <c r="L17" s="2457">
        <v>6314698.6699999999</v>
      </c>
      <c r="M17" s="2457">
        <v>6392259.8949999996</v>
      </c>
      <c r="N17" s="2457">
        <v>7760644.3250000002</v>
      </c>
    </row>
    <row r="18" spans="1:14" x14ac:dyDescent="0.2">
      <c r="A18" s="2451" t="s">
        <v>5871</v>
      </c>
      <c r="B18" s="2457">
        <v>997190.92</v>
      </c>
      <c r="C18" s="2457">
        <v>997190.92</v>
      </c>
      <c r="D18" s="2457">
        <v>997190.92</v>
      </c>
      <c r="E18" s="2457">
        <v>997190.92</v>
      </c>
      <c r="F18" s="2457">
        <v>997190.92</v>
      </c>
      <c r="G18" s="2457">
        <v>997190.92</v>
      </c>
      <c r="H18" s="2457">
        <v>997190.92</v>
      </c>
      <c r="I18" s="2457">
        <v>997190.92</v>
      </c>
      <c r="J18" s="2457">
        <v>997190.92</v>
      </c>
      <c r="K18" s="2457">
        <v>997190.92</v>
      </c>
      <c r="L18" s="2457">
        <v>997190.92</v>
      </c>
      <c r="M18" s="2457">
        <v>997190.92</v>
      </c>
      <c r="N18" s="2457">
        <v>997190.92</v>
      </c>
    </row>
    <row r="19" spans="1:14" x14ac:dyDescent="0.2">
      <c r="A19" s="2451" t="s">
        <v>5872</v>
      </c>
      <c r="B19" s="2457">
        <v>657793</v>
      </c>
      <c r="C19" s="2457">
        <v>657793</v>
      </c>
      <c r="D19" s="2457">
        <v>657793</v>
      </c>
      <c r="E19" s="2457">
        <v>657793</v>
      </c>
      <c r="F19" s="2457">
        <v>657793</v>
      </c>
      <c r="G19" s="2457">
        <v>657793</v>
      </c>
      <c r="H19" s="2457">
        <v>657793</v>
      </c>
      <c r="I19" s="2457">
        <v>657793</v>
      </c>
      <c r="J19" s="2457">
        <v>657793</v>
      </c>
      <c r="K19" s="2457">
        <v>657793</v>
      </c>
      <c r="L19" s="2457">
        <v>657793</v>
      </c>
      <c r="M19" s="2457">
        <v>657793</v>
      </c>
      <c r="N19" s="2457">
        <v>657793</v>
      </c>
    </row>
    <row r="20" spans="1:14" x14ac:dyDescent="0.2">
      <c r="A20" s="2451" t="s">
        <v>5873</v>
      </c>
      <c r="B20" s="2457">
        <v>7369447.7599999998</v>
      </c>
      <c r="C20" s="2457">
        <v>186326.70500000002</v>
      </c>
      <c r="D20" s="2457">
        <v>186326.70500000002</v>
      </c>
      <c r="E20" s="2457">
        <v>186326.70500000002</v>
      </c>
      <c r="F20" s="2457">
        <v>186326.70500000002</v>
      </c>
      <c r="G20" s="2457">
        <v>186326.70500000002</v>
      </c>
      <c r="H20" s="2457">
        <v>186326.70500000002</v>
      </c>
      <c r="I20" s="2457">
        <v>186326.70500000002</v>
      </c>
      <c r="J20" s="2457">
        <v>186326.70500000002</v>
      </c>
      <c r="K20" s="2457">
        <v>186326.70500000002</v>
      </c>
      <c r="L20" s="2457">
        <v>186326.70500000002</v>
      </c>
      <c r="M20" s="2457">
        <v>186326.70500000002</v>
      </c>
      <c r="N20" s="2457">
        <v>186326.70500000002</v>
      </c>
    </row>
    <row r="21" spans="1:14" x14ac:dyDescent="0.2">
      <c r="A21" s="2451" t="s">
        <v>5874</v>
      </c>
      <c r="B21" s="2457">
        <v>0</v>
      </c>
      <c r="C21" s="2457">
        <v>0</v>
      </c>
      <c r="D21" s="2457">
        <v>0</v>
      </c>
      <c r="E21" s="2457">
        <v>0</v>
      </c>
      <c r="F21" s="2457">
        <v>0</v>
      </c>
      <c r="G21" s="2457">
        <v>0</v>
      </c>
      <c r="H21" s="2457">
        <v>0</v>
      </c>
      <c r="I21" s="2457">
        <v>0</v>
      </c>
      <c r="J21" s="2457">
        <v>0</v>
      </c>
      <c r="K21" s="2457">
        <v>0</v>
      </c>
      <c r="L21" s="2457">
        <v>0</v>
      </c>
      <c r="M21" s="2457">
        <v>0</v>
      </c>
      <c r="N21" s="2457">
        <v>0</v>
      </c>
    </row>
    <row r="22" spans="1:14" x14ac:dyDescent="0.2">
      <c r="A22" s="2451" t="s">
        <v>5875</v>
      </c>
      <c r="B22" s="2457">
        <v>0</v>
      </c>
      <c r="C22" s="2457">
        <v>0</v>
      </c>
      <c r="D22" s="2457">
        <v>0</v>
      </c>
      <c r="E22" s="2457">
        <v>0</v>
      </c>
      <c r="F22" s="2457">
        <v>0</v>
      </c>
      <c r="G22" s="2457">
        <v>0</v>
      </c>
      <c r="H22" s="2457">
        <v>0</v>
      </c>
      <c r="I22" s="2457">
        <v>0</v>
      </c>
      <c r="J22" s="2457">
        <v>0</v>
      </c>
      <c r="K22" s="2457">
        <v>0</v>
      </c>
      <c r="L22" s="2457">
        <v>0</v>
      </c>
      <c r="M22" s="2457">
        <v>0</v>
      </c>
      <c r="N22" s="2457">
        <v>0</v>
      </c>
    </row>
    <row r="23" spans="1:14" x14ac:dyDescent="0.2">
      <c r="A23" s="2450" t="s">
        <v>5876</v>
      </c>
      <c r="B23" s="2459">
        <f t="shared" ref="B23:N23" si="3">SUM(B17:B22)</f>
        <v>16670386.68</v>
      </c>
      <c r="C23" s="2459">
        <f t="shared" si="3"/>
        <v>8172581.2000000002</v>
      </c>
      <c r="D23" s="2459">
        <f t="shared" si="3"/>
        <v>8348961.8099999996</v>
      </c>
      <c r="E23" s="2459">
        <f t="shared" si="3"/>
        <v>8231841.9749999996</v>
      </c>
      <c r="F23" s="2459">
        <f t="shared" si="3"/>
        <v>9008615.3849999998</v>
      </c>
      <c r="G23" s="2459">
        <f t="shared" si="3"/>
        <v>8862585.3049999997</v>
      </c>
      <c r="H23" s="2459">
        <f t="shared" si="3"/>
        <v>9123409.8550000004</v>
      </c>
      <c r="I23" s="2459">
        <f t="shared" si="3"/>
        <v>11449414.305</v>
      </c>
      <c r="J23" s="2459">
        <f t="shared" si="3"/>
        <v>11015314.029999999</v>
      </c>
      <c r="K23" s="2459">
        <f t="shared" si="3"/>
        <v>9180932.9500000011</v>
      </c>
      <c r="L23" s="2459">
        <f t="shared" si="3"/>
        <v>8156009.2949999999</v>
      </c>
      <c r="M23" s="2459">
        <f t="shared" si="3"/>
        <v>8233570.5199999996</v>
      </c>
      <c r="N23" s="2459">
        <f t="shared" si="3"/>
        <v>9601954.9500000011</v>
      </c>
    </row>
    <row r="24" spans="1:14" x14ac:dyDescent="0.2">
      <c r="B24" s="2453"/>
      <c r="C24" s="2453"/>
      <c r="D24" s="2453"/>
      <c r="E24" s="2453"/>
      <c r="F24" s="2453"/>
      <c r="G24" s="2453"/>
      <c r="H24" s="2453"/>
      <c r="I24" s="2453"/>
      <c r="J24" s="2453"/>
      <c r="K24" s="2453"/>
      <c r="L24" s="2453"/>
      <c r="M24" s="2453"/>
      <c r="N24" s="2453"/>
    </row>
    <row r="25" spans="1:14" x14ac:dyDescent="0.2">
      <c r="A25" s="2451" t="s">
        <v>478</v>
      </c>
      <c r="B25" s="2453">
        <f>B14+B23</f>
        <v>31493424.289999999</v>
      </c>
      <c r="C25" s="2453">
        <f t="shared" ref="C25:M25" si="4">C14+C23</f>
        <v>30411241.328433316</v>
      </c>
      <c r="D25" s="2453">
        <f t="shared" si="4"/>
        <v>30963077.576866638</v>
      </c>
      <c r="E25" s="2453">
        <f t="shared" si="4"/>
        <v>30731900.948499985</v>
      </c>
      <c r="F25" s="2453">
        <f t="shared" si="4"/>
        <v>31495541.286333315</v>
      </c>
      <c r="G25" s="2453">
        <f t="shared" si="4"/>
        <v>32477142.429766648</v>
      </c>
      <c r="H25" s="2453">
        <f t="shared" si="4"/>
        <v>32799724.117199983</v>
      </c>
      <c r="I25" s="2453">
        <f t="shared" si="4"/>
        <v>35070819.158233307</v>
      </c>
      <c r="J25" s="2453">
        <f t="shared" si="4"/>
        <v>34275685.046666637</v>
      </c>
      <c r="K25" s="2453">
        <f t="shared" si="4"/>
        <v>32522757.017499968</v>
      </c>
      <c r="L25" s="2453">
        <f t="shared" si="4"/>
        <v>31445215.98333329</v>
      </c>
      <c r="M25" s="2453">
        <f t="shared" si="4"/>
        <v>22526320.689166624</v>
      </c>
      <c r="N25" s="2453">
        <f>N14+N23</f>
        <v>22037446.060000002</v>
      </c>
    </row>
    <row r="26" spans="1:14" s="2450" customFormat="1" ht="13.5" thickBot="1" x14ac:dyDescent="0.25">
      <c r="A26" s="2450" t="s">
        <v>5877</v>
      </c>
      <c r="B26" s="2460">
        <f>B25*0.2914</f>
        <v>9177183.8381059989</v>
      </c>
      <c r="C26" s="2460">
        <f t="shared" ref="C26:N26" si="5">C25*0.2914</f>
        <v>8861835.7231054679</v>
      </c>
      <c r="D26" s="2460">
        <f t="shared" si="5"/>
        <v>9022640.8058989383</v>
      </c>
      <c r="E26" s="2460">
        <f t="shared" si="5"/>
        <v>8955275.9363928959</v>
      </c>
      <c r="F26" s="2460">
        <f t="shared" si="5"/>
        <v>9177800.7308375277</v>
      </c>
      <c r="G26" s="2460">
        <f t="shared" si="5"/>
        <v>9463839.3040340003</v>
      </c>
      <c r="H26" s="2460">
        <f t="shared" si="5"/>
        <v>9557839.6077520754</v>
      </c>
      <c r="I26" s="2460">
        <f t="shared" si="5"/>
        <v>10219636.702709185</v>
      </c>
      <c r="J26" s="2460">
        <f t="shared" si="5"/>
        <v>9987934.6225986574</v>
      </c>
      <c r="K26" s="2460">
        <f t="shared" si="5"/>
        <v>9477131.3948994912</v>
      </c>
      <c r="L26" s="2460">
        <f t="shared" si="5"/>
        <v>9163135.9375433195</v>
      </c>
      <c r="M26" s="2460">
        <f t="shared" si="5"/>
        <v>6564169.8488231543</v>
      </c>
      <c r="N26" s="2460">
        <f t="shared" si="5"/>
        <v>6421711.7818840006</v>
      </c>
    </row>
    <row r="27" spans="1:14" ht="13.5" thickTop="1" x14ac:dyDescent="0.2">
      <c r="B27" s="2461" t="s">
        <v>5878</v>
      </c>
      <c r="N27" s="2461" t="s">
        <v>5878</v>
      </c>
    </row>
    <row r="28" spans="1:14" hidden="1" x14ac:dyDescent="0.2">
      <c r="A28" s="2451" t="s">
        <v>5879</v>
      </c>
      <c r="B28" s="2453">
        <v>-5365712.2200000007</v>
      </c>
      <c r="C28" s="2453">
        <v>-5382098.6900000004</v>
      </c>
      <c r="D28" s="2453">
        <v>-5402974.9267040007</v>
      </c>
      <c r="E28" s="2453">
        <v>-5422875.6579440003</v>
      </c>
      <c r="F28" s="2453">
        <v>-5444598.7703840006</v>
      </c>
      <c r="G28" s="2453">
        <v>-5462757.0764960004</v>
      </c>
      <c r="H28" s="2453">
        <v>-5481735.4598720009</v>
      </c>
      <c r="I28" s="2453">
        <v>-5499271.9196862634</v>
      </c>
      <c r="J28" s="2453">
        <v>-5514745.2716894606</v>
      </c>
      <c r="K28" s="2453">
        <v>-5532281.7315037232</v>
      </c>
      <c r="L28" s="2453">
        <v>-5550849.7539075594</v>
      </c>
      <c r="M28" s="2453">
        <v>-5567354.6511322483</v>
      </c>
      <c r="N28" s="2453">
        <v>-5584891.1109465109</v>
      </c>
    </row>
    <row r="29" spans="1:14" hidden="1" x14ac:dyDescent="0.2"/>
    <row r="30" spans="1:14" ht="13.5" hidden="1" thickBot="1" x14ac:dyDescent="0.25">
      <c r="A30" s="2462" t="s">
        <v>5857</v>
      </c>
      <c r="B30" s="2463">
        <f t="shared" ref="B30:N30" si="6">B26+B28</f>
        <v>3811471.6181059983</v>
      </c>
      <c r="C30" s="2463">
        <f t="shared" si="6"/>
        <v>3479737.0331054674</v>
      </c>
      <c r="D30" s="2463">
        <f t="shared" si="6"/>
        <v>3619665.8791949376</v>
      </c>
      <c r="E30" s="2463">
        <f t="shared" si="6"/>
        <v>3532400.2784488956</v>
      </c>
      <c r="F30" s="2463">
        <f t="shared" si="6"/>
        <v>3733201.960453527</v>
      </c>
      <c r="G30" s="2463">
        <f t="shared" si="6"/>
        <v>4001082.2275379999</v>
      </c>
      <c r="H30" s="2463">
        <f t="shared" si="6"/>
        <v>4076104.1478800746</v>
      </c>
      <c r="I30" s="2463">
        <f t="shared" si="6"/>
        <v>4720364.7830229215</v>
      </c>
      <c r="J30" s="2463">
        <f t="shared" si="6"/>
        <v>4473189.3509091968</v>
      </c>
      <c r="K30" s="2463">
        <f t="shared" si="6"/>
        <v>3944849.663395768</v>
      </c>
      <c r="L30" s="2463">
        <f t="shared" si="6"/>
        <v>3612286.1836357601</v>
      </c>
      <c r="M30" s="2463">
        <f t="shared" si="6"/>
        <v>996815.197690906</v>
      </c>
      <c r="N30" s="2463">
        <f t="shared" si="6"/>
        <v>836820.67093748972</v>
      </c>
    </row>
    <row r="32" spans="1:14" x14ac:dyDescent="0.2">
      <c r="I32" s="2464"/>
    </row>
    <row r="33" spans="1:14" x14ac:dyDescent="0.2">
      <c r="B33" s="2451" t="s">
        <v>5605</v>
      </c>
      <c r="I33" s="2465"/>
      <c r="J33" s="2453"/>
      <c r="N33" s="2451" t="s">
        <v>5605</v>
      </c>
    </row>
    <row r="34" spans="1:14" x14ac:dyDescent="0.2">
      <c r="B34" s="2453">
        <v>0</v>
      </c>
      <c r="N34" s="2453">
        <v>0</v>
      </c>
    </row>
    <row r="35" spans="1:14" x14ac:dyDescent="0.2">
      <c r="A35" s="2466"/>
    </row>
    <row r="36" spans="1:14" x14ac:dyDescent="0.2">
      <c r="A36" s="2467"/>
    </row>
    <row r="37" spans="1:14" x14ac:dyDescent="0.2">
      <c r="A37" s="2467"/>
    </row>
    <row r="38" spans="1:14" x14ac:dyDescent="0.2">
      <c r="A38" s="2467"/>
    </row>
    <row r="39" spans="1:14" x14ac:dyDescent="0.2">
      <c r="A39" s="2467"/>
    </row>
    <row r="40" spans="1:14" x14ac:dyDescent="0.2">
      <c r="A40" s="2468"/>
    </row>
    <row r="41" spans="1:14" x14ac:dyDescent="0.2">
      <c r="A41" s="2469"/>
    </row>
    <row r="42" spans="1:14" x14ac:dyDescent="0.2">
      <c r="A42" s="2469"/>
    </row>
    <row r="43" spans="1:14" x14ac:dyDescent="0.2">
      <c r="A43" s="2469"/>
    </row>
    <row r="44" spans="1:14" x14ac:dyDescent="0.2">
      <c r="A44" s="2469"/>
    </row>
    <row r="45" spans="1:14" x14ac:dyDescent="0.2">
      <c r="A45" s="2469"/>
    </row>
    <row r="46" spans="1:14" x14ac:dyDescent="0.2">
      <c r="A46" s="2469"/>
    </row>
    <row r="47" spans="1:14" x14ac:dyDescent="0.2">
      <c r="A47" s="2469"/>
    </row>
    <row r="48" spans="1:14" x14ac:dyDescent="0.2">
      <c r="A48" s="2469"/>
    </row>
    <row r="49" spans="1:1" x14ac:dyDescent="0.2">
      <c r="A49" s="2469"/>
    </row>
    <row r="50" spans="1:1" x14ac:dyDescent="0.2">
      <c r="A50" s="2469"/>
    </row>
    <row r="51" spans="1:1" x14ac:dyDescent="0.2">
      <c r="A51" s="2466"/>
    </row>
    <row r="52" spans="1:1" x14ac:dyDescent="0.2">
      <c r="A52" s="2467"/>
    </row>
    <row r="53" spans="1:1" x14ac:dyDescent="0.2">
      <c r="A53" s="2466"/>
    </row>
    <row r="54" spans="1:1" x14ac:dyDescent="0.2">
      <c r="A54" s="2467"/>
    </row>
    <row r="55" spans="1:1" x14ac:dyDescent="0.2">
      <c r="A55" s="2468"/>
    </row>
    <row r="56" spans="1:1" x14ac:dyDescent="0.2">
      <c r="A56" s="2469"/>
    </row>
    <row r="57" spans="1:1" x14ac:dyDescent="0.2">
      <c r="A57" s="2469"/>
    </row>
    <row r="58" spans="1:1" x14ac:dyDescent="0.2">
      <c r="A58" s="2469"/>
    </row>
    <row r="59" spans="1:1" x14ac:dyDescent="0.2">
      <c r="A59" s="2469"/>
    </row>
    <row r="60" spans="1:1" x14ac:dyDescent="0.2">
      <c r="A60" s="2469"/>
    </row>
    <row r="61" spans="1:1" x14ac:dyDescent="0.2">
      <c r="A61" s="2469"/>
    </row>
    <row r="62" spans="1:1" x14ac:dyDescent="0.2">
      <c r="A62" s="2469"/>
    </row>
    <row r="63" spans="1:1" x14ac:dyDescent="0.2">
      <c r="A63" s="2469"/>
    </row>
  </sheetData>
  <mergeCells count="1">
    <mergeCell ref="A5:A6"/>
  </mergeCells>
  <pageMargins left="0.75" right="0.75" top="1" bottom="1" header="0.5" footer="0.5"/>
  <pageSetup scale="54" orientation="landscape" r:id="rId1"/>
  <headerFooter alignWithMargins="0">
    <oddFooter>&amp;C&amp;"Arial,Regular"&amp;10Page 8.2.1</oddFooter>
  </headerFooter>
  <customProperties>
    <customPr name="_pios_id" r:id="rId2"/>
  </customProperties>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01C87D-6339-4E4F-9FC2-7E6EFE3967EB}">
  <sheetPr codeName="Sheet39">
    <tabColor rgb="FF60497A"/>
  </sheetPr>
  <dimension ref="A1:D31"/>
  <sheetViews>
    <sheetView zoomScale="85" zoomScaleNormal="85" workbookViewId="0">
      <selection activeCell="A2" sqref="A2"/>
    </sheetView>
  </sheetViews>
  <sheetFormatPr defaultColWidth="9" defaultRowHeight="15.75" x14ac:dyDescent="0.25"/>
  <cols>
    <col min="1" max="1" width="5" style="2472" customWidth="1"/>
    <col min="2" max="2" width="23.375" style="2472" bestFit="1" customWidth="1"/>
    <col min="3" max="3" width="6.125" style="2472" customWidth="1"/>
    <col min="4" max="4" width="23.25" style="2472" bestFit="1" customWidth="1"/>
    <col min="5" max="16384" width="9" style="2472"/>
  </cols>
  <sheetData>
    <row r="1" spans="1:4" ht="16.5" thickBot="1" x14ac:dyDescent="0.3">
      <c r="A1" s="2470" t="s">
        <v>5881</v>
      </c>
      <c r="B1" s="2471"/>
    </row>
    <row r="2" spans="1:4" ht="16.5" thickBot="1" x14ac:dyDescent="0.3">
      <c r="A2" s="2473"/>
      <c r="B2" s="2471"/>
      <c r="C2" s="2474" t="s">
        <v>695</v>
      </c>
    </row>
    <row r="3" spans="1:4" ht="16.5" thickBot="1" x14ac:dyDescent="0.3">
      <c r="A3" s="2473"/>
      <c r="B3" s="2471"/>
      <c r="C3" s="2475" t="s">
        <v>5882</v>
      </c>
    </row>
    <row r="4" spans="1:4" x14ac:dyDescent="0.25">
      <c r="A4" s="2471"/>
      <c r="B4" s="2471"/>
      <c r="C4" s="2471"/>
      <c r="D4" s="2471"/>
    </row>
    <row r="5" spans="1:4" x14ac:dyDescent="0.25">
      <c r="A5" s="2476">
        <v>1</v>
      </c>
      <c r="B5" s="2477" t="s">
        <v>5883</v>
      </c>
      <c r="C5" s="2476">
        <v>28</v>
      </c>
      <c r="D5" s="2477" t="s">
        <v>5884</v>
      </c>
    </row>
    <row r="6" spans="1:4" x14ac:dyDescent="0.25">
      <c r="A6" s="2476">
        <v>2</v>
      </c>
      <c r="B6" s="2477" t="s">
        <v>5885</v>
      </c>
      <c r="C6" s="2476">
        <v>29</v>
      </c>
      <c r="D6" s="2477" t="s">
        <v>5886</v>
      </c>
    </row>
    <row r="7" spans="1:4" x14ac:dyDescent="0.25">
      <c r="A7" s="2476">
        <v>3</v>
      </c>
      <c r="B7" s="2477" t="s">
        <v>5887</v>
      </c>
      <c r="C7" s="2476">
        <v>30</v>
      </c>
      <c r="D7" s="2477" t="s">
        <v>5888</v>
      </c>
    </row>
    <row r="8" spans="1:4" x14ac:dyDescent="0.25">
      <c r="A8" s="2476">
        <v>4</v>
      </c>
      <c r="B8" s="2477" t="s">
        <v>5889</v>
      </c>
      <c r="C8" s="2476">
        <v>31</v>
      </c>
      <c r="D8" s="2477" t="s">
        <v>5890</v>
      </c>
    </row>
    <row r="9" spans="1:4" x14ac:dyDescent="0.25">
      <c r="A9" s="2476">
        <v>5</v>
      </c>
      <c r="B9" s="2477" t="s">
        <v>5891</v>
      </c>
      <c r="C9" s="2476">
        <v>32</v>
      </c>
      <c r="D9" s="2477" t="s">
        <v>5892</v>
      </c>
    </row>
    <row r="10" spans="1:4" x14ac:dyDescent="0.25">
      <c r="A10" s="2476">
        <v>6</v>
      </c>
      <c r="B10" s="2477" t="s">
        <v>5893</v>
      </c>
      <c r="C10" s="2476">
        <v>33</v>
      </c>
      <c r="D10" s="2477" t="s">
        <v>5894</v>
      </c>
    </row>
    <row r="11" spans="1:4" x14ac:dyDescent="0.25">
      <c r="A11" s="2476">
        <v>7</v>
      </c>
      <c r="B11" s="2477" t="s">
        <v>5895</v>
      </c>
      <c r="C11" s="2476">
        <v>34</v>
      </c>
      <c r="D11" s="2477" t="s">
        <v>5896</v>
      </c>
    </row>
    <row r="12" spans="1:4" x14ac:dyDescent="0.25">
      <c r="A12" s="2476">
        <v>8</v>
      </c>
      <c r="B12" s="2477" t="s">
        <v>5897</v>
      </c>
      <c r="C12" s="2476">
        <v>35</v>
      </c>
      <c r="D12" s="2477" t="s">
        <v>5898</v>
      </c>
    </row>
    <row r="13" spans="1:4" x14ac:dyDescent="0.25">
      <c r="A13" s="2476">
        <v>9</v>
      </c>
      <c r="B13" s="2477" t="s">
        <v>5899</v>
      </c>
      <c r="C13" s="2476">
        <v>36</v>
      </c>
      <c r="D13" s="2477" t="s">
        <v>5900</v>
      </c>
    </row>
    <row r="14" spans="1:4" x14ac:dyDescent="0.25">
      <c r="A14" s="2476">
        <v>10</v>
      </c>
      <c r="B14" s="2477" t="s">
        <v>5901</v>
      </c>
      <c r="C14" s="2476">
        <v>37</v>
      </c>
      <c r="D14" s="2477" t="s">
        <v>5902</v>
      </c>
    </row>
    <row r="15" spans="1:4" x14ac:dyDescent="0.25">
      <c r="A15" s="2476">
        <v>11</v>
      </c>
      <c r="B15" s="2477" t="s">
        <v>5903</v>
      </c>
      <c r="C15" s="2476">
        <v>38</v>
      </c>
      <c r="D15" s="2477" t="s">
        <v>5904</v>
      </c>
    </row>
    <row r="16" spans="1:4" x14ac:dyDescent="0.25">
      <c r="A16" s="2476">
        <v>12</v>
      </c>
      <c r="B16" s="2477" t="s">
        <v>5905</v>
      </c>
      <c r="C16" s="2476">
        <v>39</v>
      </c>
      <c r="D16" s="2477" t="s">
        <v>5906</v>
      </c>
    </row>
    <row r="17" spans="1:4" x14ac:dyDescent="0.25">
      <c r="A17" s="2476">
        <v>13</v>
      </c>
      <c r="B17" s="2477" t="s">
        <v>5907</v>
      </c>
      <c r="C17" s="2476">
        <v>40</v>
      </c>
      <c r="D17" s="2477" t="s">
        <v>5908</v>
      </c>
    </row>
    <row r="18" spans="1:4" x14ac:dyDescent="0.25">
      <c r="A18" s="2476">
        <v>14</v>
      </c>
      <c r="B18" s="2477" t="s">
        <v>5909</v>
      </c>
      <c r="C18" s="2476">
        <v>41</v>
      </c>
      <c r="D18" s="2477" t="s">
        <v>5910</v>
      </c>
    </row>
    <row r="19" spans="1:4" x14ac:dyDescent="0.25">
      <c r="A19" s="2476">
        <v>15</v>
      </c>
      <c r="B19" s="2477" t="s">
        <v>5911</v>
      </c>
      <c r="C19" s="2476">
        <v>42</v>
      </c>
      <c r="D19" s="2477" t="s">
        <v>5912</v>
      </c>
    </row>
    <row r="20" spans="1:4" x14ac:dyDescent="0.25">
      <c r="A20" s="2476">
        <v>16</v>
      </c>
      <c r="B20" s="2477" t="s">
        <v>5913</v>
      </c>
      <c r="C20" s="2476">
        <v>43</v>
      </c>
      <c r="D20" s="2477" t="s">
        <v>5914</v>
      </c>
    </row>
    <row r="21" spans="1:4" x14ac:dyDescent="0.25">
      <c r="A21" s="2476">
        <v>17</v>
      </c>
      <c r="B21" s="2477" t="s">
        <v>5915</v>
      </c>
      <c r="C21" s="2476">
        <v>44</v>
      </c>
      <c r="D21" s="2477" t="s">
        <v>5916</v>
      </c>
    </row>
    <row r="22" spans="1:4" x14ac:dyDescent="0.25">
      <c r="A22" s="2476">
        <v>18</v>
      </c>
      <c r="B22" s="2477" t="s">
        <v>5917</v>
      </c>
      <c r="C22" s="2476">
        <v>45</v>
      </c>
      <c r="D22" s="2477" t="s">
        <v>5918</v>
      </c>
    </row>
    <row r="23" spans="1:4" x14ac:dyDescent="0.25">
      <c r="A23" s="2476">
        <v>19</v>
      </c>
      <c r="B23" s="2477" t="s">
        <v>5919</v>
      </c>
      <c r="C23" s="2476">
        <v>46</v>
      </c>
      <c r="D23" s="2477" t="s">
        <v>5920</v>
      </c>
    </row>
    <row r="24" spans="1:4" x14ac:dyDescent="0.25">
      <c r="A24" s="2476">
        <v>20</v>
      </c>
      <c r="B24" s="2477" t="s">
        <v>5921</v>
      </c>
      <c r="C24" s="2476">
        <v>47</v>
      </c>
      <c r="D24" s="2477" t="s">
        <v>5922</v>
      </c>
    </row>
    <row r="25" spans="1:4" x14ac:dyDescent="0.25">
      <c r="A25" s="2476">
        <v>21</v>
      </c>
      <c r="B25" s="2477" t="s">
        <v>5923</v>
      </c>
      <c r="C25" s="2476">
        <v>48</v>
      </c>
      <c r="D25" s="2477" t="s">
        <v>5924</v>
      </c>
    </row>
    <row r="26" spans="1:4" x14ac:dyDescent="0.25">
      <c r="A26" s="2476">
        <v>22</v>
      </c>
      <c r="B26" s="2477" t="s">
        <v>5925</v>
      </c>
      <c r="C26" s="2476">
        <v>49</v>
      </c>
      <c r="D26" s="2477" t="s">
        <v>5926</v>
      </c>
    </row>
    <row r="27" spans="1:4" x14ac:dyDescent="0.25">
      <c r="A27" s="2476">
        <v>23</v>
      </c>
      <c r="B27" s="2477" t="s">
        <v>5927</v>
      </c>
      <c r="C27" s="2476">
        <v>50</v>
      </c>
      <c r="D27" s="2477" t="s">
        <v>5928</v>
      </c>
    </row>
    <row r="28" spans="1:4" x14ac:dyDescent="0.25">
      <c r="A28" s="2476">
        <v>24</v>
      </c>
      <c r="B28" s="2477" t="s">
        <v>5929</v>
      </c>
      <c r="C28" s="2476">
        <v>51</v>
      </c>
      <c r="D28" s="2477" t="s">
        <v>5930</v>
      </c>
    </row>
    <row r="29" spans="1:4" x14ac:dyDescent="0.25">
      <c r="A29" s="2476">
        <v>25</v>
      </c>
      <c r="B29" s="2477" t="s">
        <v>5931</v>
      </c>
      <c r="C29" s="2476">
        <v>52</v>
      </c>
      <c r="D29" s="2477" t="s">
        <v>5932</v>
      </c>
    </row>
    <row r="30" spans="1:4" x14ac:dyDescent="0.25">
      <c r="A30" s="2476">
        <v>26</v>
      </c>
      <c r="B30" s="2477" t="s">
        <v>5933</v>
      </c>
      <c r="C30" s="2476">
        <v>53</v>
      </c>
      <c r="D30" s="2477" t="s">
        <v>5934</v>
      </c>
    </row>
    <row r="31" spans="1:4" x14ac:dyDescent="0.25">
      <c r="A31" s="2476">
        <v>27</v>
      </c>
      <c r="B31" s="2477" t="s">
        <v>5935</v>
      </c>
      <c r="C31" s="2476">
        <v>54</v>
      </c>
      <c r="D31" s="2477" t="s">
        <v>5936</v>
      </c>
    </row>
  </sheetData>
  <hyperlinks>
    <hyperlink ref="C2" location="TOC!A1" display="TOC" xr:uid="{737DD198-4C91-4099-BBAE-310389CDE573}"/>
    <hyperlink ref="C3" location="'B TABS DATA -&gt;'!A1" display="BTABS" xr:uid="{3ABAB0BD-9160-4EE1-A1C3-0C00BFA351EC}"/>
    <hyperlink ref="B5" location="'Pg 110 - Balance Sheet (Assets)'!A1" display="Pg 110 - Balance Sheet (Assets)" xr:uid="{CA75D673-27C9-4271-B5C5-FE657BF6E15B}"/>
    <hyperlink ref="B6" location="'Pg 112 - Balance Sheet (Liab &amp; '!Print_Area" display="Pg 112 - Balance Sheet (Liab &amp;" xr:uid="{3B51E340-599B-47FF-9238-23FBC5AAC47A}"/>
    <hyperlink ref="B7" location="'Pg 114 - Income Statement'!Print_Area" display="'Pg 114 - Income Statement'!Print_Area" xr:uid="{AF6C7588-FFF1-4853-9430-48212AAB75E3}"/>
    <hyperlink ref="B8" location="'Pg 118 - Retained Earnings'!Print_Area" display="'Pg 118 - Retained Earnings'!Print_Area" xr:uid="{79EF3701-ED8F-4841-8317-F0D5CB6F2803}"/>
    <hyperlink ref="B9" location="'Pg 120 - Statement of Cash Flow'!Print_Area" display="'Pg 120 - Statement of Cash Flow'!Print_Area" xr:uid="{C90E53BF-B2EE-4959-8425-A38341B13CE6}"/>
    <hyperlink ref="B10" location="'Pg 122ab - Statement of AOCI'!Print_Area" display="'Pg 122ab - Statement of AOCI'!Print_Area" xr:uid="{8743995F-F8B9-46BD-8D71-2A56ED84611D}"/>
    <hyperlink ref="B11" location="'Pg 200 - Utility Plant'!Print_Area" display="'Pg 200 - Utility Plant'!Print_Area" xr:uid="{3E8AB4C1-1232-47EF-9D47-2364577FD792}"/>
    <hyperlink ref="B12" location="'Pg 204 - Plant in Service (Form'!A1" display="'Pg 204 - Plant in Service (Form'!A1" xr:uid="{B21ADFB4-DB22-411D-9784-10FA6C9F185E}"/>
    <hyperlink ref="B13" location="'Pg 214 - Electric Plant Held fo'!A1" display="'Pg 214 - Electric Plant Held fo'!A1" xr:uid="{373E7184-1E4A-4198-B943-B4D60E83F236}"/>
    <hyperlink ref="B14" location="'Pg 216 - Construction Work in P'!A1" display="'Pg 216 - Construction Work in P'!A1" xr:uid="{C27D83B6-A5E2-4435-A8D1-DBB2816B5BC9}"/>
    <hyperlink ref="B15" location="'Pg 219 - Accumulated Provision '!A1" display="'Pg 219 - Accumulated Provision '!A1" xr:uid="{C39395BF-8B73-42E7-AB71-F324582C076A}"/>
    <hyperlink ref="B16" location="'Pg 224 - Investments in Subsidi'!A1" display="'Pg 224 - Investments in Subsidi'!A1" xr:uid="{CD2C5E0E-336E-423F-9789-7114FFDC4BFD}"/>
    <hyperlink ref="B17" location="'Pg 227 - Materials and Supplies'!A1" display="'Pg 227 - Materials and Supplies'!A1" xr:uid="{E375B1E8-F73B-434C-B910-4BCCF38DFC6F}"/>
    <hyperlink ref="B18" location="'Pg 228a  - Allowances SO2'!A1" display="'Pg 228a  - Allowances SO2'!A1" xr:uid="{5BAACCB0-C9F5-4B7A-B22A-9E3FB69597D8}"/>
    <hyperlink ref="B19" location="'Pg 231 - Interconnection Study '!A1" display="'Pg 231 - Interconnection Study '!A1" xr:uid="{5C754CEA-3536-47F6-889B-EBBA3484BFE0}"/>
    <hyperlink ref="B20" location="'Pg 232 Regulatory Assets'!A1" display="'Pg 232 Regulatory Assets'!A1" xr:uid="{CAB2F4B3-B894-4B0C-824F-5A8E0AD72FF8}"/>
    <hyperlink ref="B21" location="'Pg 233 - Miscellaneous Deferred'!A1" display="'Pg 233 - Miscellaneous Deferred'!A1" xr:uid="{4EC17BCC-419D-4197-AF45-26E16080D74F}"/>
    <hyperlink ref="B22" location="'Pg 234 - Accumulated Deferred I'!A1" display="'Pg 234 - Accumulated Deferred I'!A1" xr:uid="{47AF509A-54A6-4BDF-8D59-9610310CD735}"/>
    <hyperlink ref="B23" location="'Pg 250 - Capital Stocks'!A1" display="'Pg 250 - Capital Stocks'!A1" xr:uid="{1FB88176-829F-4389-B845-B7C74299C68D}"/>
    <hyperlink ref="B24" location="'Pg 253 - Other Paid-In Capital'!A1" display="'Pg 253 - Other Paid-In Capital'!A1" xr:uid="{E9A5EB51-92BE-4BCF-8313-A3977B1AB2EA}"/>
    <hyperlink ref="B25" location="'Pg 254b - Capital Stock Expense'!A1" display="'Pg 254b - Capital Stock Expense'!A1" xr:uid="{88A1025B-DAD2-451B-BEEE-365F5E2EFC76}"/>
    <hyperlink ref="B26" location="'Pg 256 - Long-Term Debt'!A1" display="'Pg 256 - Long-Term Debt'!A1" xr:uid="{CCDAF8D6-1FC4-4483-9258-5EE1870F7730}"/>
    <hyperlink ref="B27" location="'Pg 261 - Recon of Net Income wi'!A1" display="'Pg 261 - Recon of Net Income wi'!A1" xr:uid="{4FD0B361-AC98-4D5E-AAA9-0EE8E5856CFA}"/>
    <hyperlink ref="B28" location="'Pg 262 - Taxes Accrued Prepaid '!A1" display="'Pg 262 - Taxes Accrued Prepaid '!A1" xr:uid="{6D248DD2-B136-4F21-9E6C-3CADD3A343C7}"/>
    <hyperlink ref="B29" location="'Pg 266 - Accumulated Deferred I'!A1" display="'Pg 266 - Accumulated Deferred I'!A1" xr:uid="{0D59D906-FE9E-4CA0-841E-E9044152DD99}"/>
    <hyperlink ref="B30" location="'Pg 269 - Other Deferred Credits'!A1" display="'Pg 269 - Other Deferred Credits'!A1" xr:uid="{1674F863-7516-427E-ACEE-206A4CD12D04}"/>
    <hyperlink ref="B31" location="'Pg 272 - ADIT - Accelerated Amo'!A1" display="'Pg 272 - ADIT - Accelerated Amo'!A1" xr:uid="{328E707F-105A-4BD1-847D-7C50D8D5680D}"/>
    <hyperlink ref="D5" location="'Pg 274 - ADIT - Other Property'!A1" display="'Pg 274 - ADIT - Other Property'!A1" xr:uid="{96733149-49B6-4E4F-A941-66F355B76B14}"/>
    <hyperlink ref="D6" location="'Pg 276 - ADIT - Other'!A1" display="'Pg 276 - ADIT - Other'!A1" xr:uid="{7F04D264-D5A7-4558-A871-71DBAC6D651A}"/>
    <hyperlink ref="D7" location="'Pg 278 Regulatory Liabilities'!A1" display="'Pg 278 Regulatory Liabilities'!A1" xr:uid="{A83D694D-4882-4BDF-BE70-5CFB1698F9AE}"/>
    <hyperlink ref="D8" location="'Pg 300 - Electric Operating Rev'!A1" display="'Pg 300 - Electric Operating Rev'!A1" xr:uid="{FC6D9B9D-A1B5-4585-AD5A-D936B0AC1E43}"/>
    <hyperlink ref="D9" location="'pg 304 Summary'!A1" display="'pg 304 Summary'!A1" xr:uid="{992B3DA9-7517-48D6-A40C-F20AEF664F1B}"/>
    <hyperlink ref="D10" location="'Pg 310 - Sales for Resale (21)'!A1" display="'Pg 310 - Sales for Resale (21)'!A1" xr:uid="{9B1F8F52-05F6-498F-B314-962DD16BEC75}"/>
    <hyperlink ref="D11" location="'Pgs 320-323 - O&amp;M Expenses (For'!A1" display="'Pgs 320-323 - O&amp;M Expenses (For'!A1" xr:uid="{0618567C-E37A-4063-B37A-E9A3C493EC9C}"/>
    <hyperlink ref="D12" location="'Pg 326 - Purchased Power (21)'!A1" display="'Pg 326 - Purchased Power (21)'!A1" xr:uid="{CB855DCA-FCF0-4B91-BC57-6E62CDC7AE3A}"/>
    <hyperlink ref="D13" location="'Pg 328 - Transmission Revenue'!A1" display="'Pg 328 - Transmission Revenue'!A1" xr:uid="{718515D3-76A0-4800-8605-EAE3CFA81424}"/>
    <hyperlink ref="D14" location="'Pg 332 - Transmission Expense'!A1" display="'Pg 332 - Transmission Expense'!A1" xr:uid="{D939A853-0D3B-41A5-88A2-F0881DE262C9}"/>
    <hyperlink ref="D15" location="'Pg 335 - Miscellaneous General '!A1" display="'Pg 335 - Miscellaneous General '!A1" xr:uid="{61C101BC-0B07-42ED-979A-4FDDA163E8DA}"/>
    <hyperlink ref="D16" location="'Pg 336 - Depreciation and Amort'!A1" display="'Pg 336 - Depreciation and Amort" xr:uid="{6FAD4996-F379-4FB9-941B-A209BE4B67ED}"/>
    <hyperlink ref="D17" location="'Pg 337 - Depreciation and Amort'!A1" display="'Pg 337 - Depreciation and Amort" xr:uid="{0A65E874-C736-4C7C-9234-7CCE80309784}"/>
    <hyperlink ref="D18" location="'Pg 350 - Regulatory Commission '!A1" display="'Pg 350 - Regulatory Commission '!A1" xr:uid="{43CA8B47-4A88-4AD3-BC11-BD6C3FDEA76B}"/>
    <hyperlink ref="D19" location="'Pg 352 - Research Development a'!A1" display="'Pg 352 - Research Development a'!A1" xr:uid="{FAC3F5E8-16BA-4CEB-9BA8-71C39AC9EA15}"/>
    <hyperlink ref="D20" location="'Pg 354 - Distribution of Salari'!A1" display="'Pg 354 - Distribution of Salari'!A1" xr:uid="{6B368E72-C839-4A0A-8F73-E9A8CD6BCC39}"/>
    <hyperlink ref="D21" location="'Pg 397 - Included in ISORTO Set'!A1" display="'Pg 397 - Included in ISORTO Set" xr:uid="{91652606-16AA-4660-BC0A-CCA4A1C98870}"/>
    <hyperlink ref="D22" location="'Pg 398 - PurchaseSale of Ancill'!A1" display="'Pg 398 - PurchaseSale of Ancill" xr:uid="{A396975C-8897-48A3-9819-BC52EF0C94F0}"/>
    <hyperlink ref="D23" location="'Pg 401a - Electric Energy Accou'!A1" display="'Pg 401a - Electric Energy Accou'!A1" xr:uid="{312CD6EC-235A-4D03-84E5-6ACA3F63B5AF}"/>
    <hyperlink ref="D24" location="'Pg 401b - Monthly Peaks and Out'!A1" display="'Pg 401b - Monthly Peaks and Out" xr:uid="{32E64654-31BD-466D-AA2F-8EEA5AB0EC2A}"/>
    <hyperlink ref="D25" location="'Pg 402 - Steam Plant Stats - Co'!A1" display="'Pg 402 - Steam Plant Stats - Co" xr:uid="{C5424271-D37A-4F02-A4F1-8DE089C016D1}"/>
    <hyperlink ref="D26" location="'Pg. 406 - Large Hydro Plant Sta'!A1" display="'Pg. 406 - Large Hydro Plant Sta" xr:uid="{31E26D24-691E-44C3-8068-8001BD09B075}"/>
    <hyperlink ref="D27" location="'Pg 410 - Generating Plant Stati'!A1" display="'Pg 410 - Generating Plant Stati'!A1" xr:uid="{B5F62D80-043A-45A9-8376-8C5A3BD7A000}"/>
    <hyperlink ref="D28" location="'Pg 422 - Transmission Line Stat'!A1" display="'Pg 422 - Transmission Line Stat" xr:uid="{3CE0317F-81D4-4F03-AB67-6469CEFF39BC}"/>
    <hyperlink ref="D29" location="'Pg 424 - Transmission Lines Add'!A1" display="'Pg 424 - Transmission Lines Add" xr:uid="{325DAEB1-26E3-411E-AE61-B52A0887F6DF}"/>
    <hyperlink ref="D30" location="'Pg 426 - Substations - CA'!A1" display="'Pg 426 - Substations - CA" xr:uid="{A1475C83-5FDA-450B-BC39-B78FAEFA61C8}"/>
    <hyperlink ref="D31" location="'Pg 429 - Transactions with Asso'!A1" display="'Pg 429 - Transactions with Asso" xr:uid="{9DA32297-8ACC-4083-838A-AA0FE611F917}"/>
  </hyperlinks>
  <pageMargins left="0.7" right="0.7" top="0.75" bottom="0.75" header="0.3" footer="0.3"/>
  <pageSetup orientation="portrait" horizontalDpi="1200" verticalDpi="1200" r:id="rId1"/>
  <customProperties>
    <customPr name="_pios_id" r:id="rId2"/>
  </customProperties>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37EECA-15DD-4CC3-B8F4-363FBC62E11A}">
  <sheetPr codeName="Sheet40"/>
  <dimension ref="A1:S99"/>
  <sheetViews>
    <sheetView workbookViewId="0">
      <pane ySplit="8" topLeftCell="A9" activePane="bottomLeft" state="frozen"/>
      <selection activeCell="A2" sqref="A2"/>
      <selection pane="bottomLeft" activeCell="A2" sqref="A2"/>
    </sheetView>
  </sheetViews>
  <sheetFormatPr defaultColWidth="11.5" defaultRowHeight="12.75" x14ac:dyDescent="0.2"/>
  <cols>
    <col min="1" max="1" width="9.625" style="1953" customWidth="1"/>
    <col min="2" max="2" width="46.875" style="1953" customWidth="1"/>
    <col min="3" max="3" width="8.5" style="1953" customWidth="1"/>
    <col min="4" max="5" width="15.125" style="1953" customWidth="1"/>
    <col min="6" max="6" width="11.25" style="1953" customWidth="1"/>
    <col min="7" max="7" width="0" style="1953" hidden="1" customWidth="1"/>
    <col min="8" max="8" width="3" style="1953" hidden="1" customWidth="1"/>
    <col min="9" max="9" width="3.375" style="1953" hidden="1" customWidth="1"/>
    <col min="10" max="11" width="14.125" style="1953" hidden="1" customWidth="1"/>
    <col min="12" max="12" width="13.5" style="1953" hidden="1" customWidth="1"/>
    <col min="13" max="19" width="0" style="1953" hidden="1" customWidth="1"/>
    <col min="20" max="16384" width="11.5" style="1953"/>
  </cols>
  <sheetData>
    <row r="1" spans="1:19" ht="15.75" customHeight="1" x14ac:dyDescent="0.2">
      <c r="B1" s="2478" t="s">
        <v>5937</v>
      </c>
      <c r="C1" s="2479"/>
      <c r="H1" s="2480"/>
      <c r="I1" s="2481"/>
      <c r="J1" s="2482"/>
      <c r="K1" s="2482"/>
      <c r="L1" s="2482"/>
      <c r="M1" s="2482"/>
      <c r="N1" s="2482"/>
      <c r="O1" s="2482"/>
      <c r="P1" s="2482"/>
      <c r="Q1" s="2482"/>
      <c r="R1" s="2482"/>
      <c r="S1" s="2482"/>
    </row>
    <row r="2" spans="1:19" ht="15.75" customHeight="1" x14ac:dyDescent="0.2">
      <c r="B2" s="2483"/>
      <c r="H2" s="2484"/>
      <c r="I2" s="3852" t="s">
        <v>5938</v>
      </c>
      <c r="J2" s="3853"/>
      <c r="K2" s="3853"/>
      <c r="L2" s="2482"/>
      <c r="M2" s="2482"/>
      <c r="N2" s="2482"/>
      <c r="O2" s="2482"/>
      <c r="P2" s="2482"/>
      <c r="Q2" s="2482"/>
      <c r="R2" s="2482"/>
      <c r="S2" s="2482"/>
    </row>
    <row r="3" spans="1:19" ht="16.7" customHeight="1" x14ac:dyDescent="0.2">
      <c r="A3" s="3854" t="s">
        <v>5939</v>
      </c>
      <c r="B3" s="3854"/>
      <c r="C3" s="3854"/>
      <c r="D3" s="3854"/>
      <c r="E3" s="3854"/>
      <c r="F3" s="2486"/>
      <c r="H3" s="2484"/>
      <c r="I3" s="2481"/>
      <c r="J3" s="2482"/>
      <c r="K3" s="2482"/>
      <c r="L3" s="2482"/>
      <c r="M3" s="2482"/>
      <c r="N3" s="2482"/>
      <c r="O3" s="2482"/>
      <c r="P3" s="2482"/>
      <c r="Q3" s="2482"/>
      <c r="R3" s="2482"/>
      <c r="S3" s="2482"/>
    </row>
    <row r="4" spans="1:19" ht="16.7" customHeight="1" x14ac:dyDescent="0.2">
      <c r="A4" s="3855" t="s">
        <v>5940</v>
      </c>
      <c r="B4" s="3856"/>
      <c r="C4" s="3856"/>
      <c r="D4" s="3856"/>
      <c r="E4" s="3856"/>
      <c r="F4" s="2486"/>
      <c r="H4" s="2484"/>
      <c r="I4" s="2481"/>
      <c r="J4" s="2482"/>
      <c r="K4" s="2482"/>
      <c r="L4" s="2482"/>
      <c r="M4" s="2482"/>
      <c r="N4" s="2482"/>
      <c r="O4" s="2482"/>
      <c r="P4" s="2482"/>
      <c r="Q4" s="2482"/>
      <c r="R4" s="2482"/>
      <c r="S4" s="2482"/>
    </row>
    <row r="5" spans="1:19" ht="32.450000000000003" customHeight="1" x14ac:dyDescent="0.2">
      <c r="A5" s="2489" t="s">
        <v>5941</v>
      </c>
      <c r="B5" s="2488"/>
      <c r="C5" s="2489" t="s">
        <v>5942</v>
      </c>
      <c r="D5" s="2489" t="s">
        <v>5943</v>
      </c>
      <c r="E5" s="2489" t="s">
        <v>5944</v>
      </c>
      <c r="F5" s="2486"/>
      <c r="H5" s="2484"/>
      <c r="I5" s="2490" t="s">
        <v>5945</v>
      </c>
      <c r="J5" s="2491">
        <v>44926</v>
      </c>
      <c r="K5" s="2491">
        <v>44561</v>
      </c>
      <c r="L5" s="2491">
        <v>44196</v>
      </c>
      <c r="M5" s="2482"/>
      <c r="N5" s="2482"/>
      <c r="O5" s="2482"/>
      <c r="P5" s="2482"/>
      <c r="Q5" s="2482"/>
      <c r="R5" s="2482"/>
      <c r="S5" s="2482"/>
    </row>
    <row r="6" spans="1:19" ht="16.7" customHeight="1" x14ac:dyDescent="0.2">
      <c r="A6" s="2487" t="s">
        <v>5946</v>
      </c>
      <c r="B6" s="2492" t="s">
        <v>5947</v>
      </c>
      <c r="C6" s="2492" t="s">
        <v>5948</v>
      </c>
      <c r="D6" s="2493">
        <v>45291</v>
      </c>
      <c r="E6" s="2493">
        <v>44926</v>
      </c>
      <c r="F6" s="2486"/>
      <c r="H6" s="2494"/>
      <c r="I6" s="2482"/>
      <c r="J6" s="2482"/>
      <c r="K6" s="2482"/>
      <c r="L6" s="2482"/>
      <c r="M6" s="2495"/>
      <c r="N6" s="2496"/>
      <c r="O6" s="2496"/>
      <c r="P6" s="2496"/>
      <c r="Q6" s="2496"/>
      <c r="R6" s="2496"/>
      <c r="S6" s="2496"/>
    </row>
    <row r="7" spans="1:19" ht="16.7" customHeight="1" x14ac:dyDescent="0.2">
      <c r="A7" s="2489"/>
      <c r="B7" s="2492" t="s">
        <v>5949</v>
      </c>
      <c r="C7" s="2492" t="s">
        <v>5950</v>
      </c>
      <c r="D7" s="2492" t="s">
        <v>5951</v>
      </c>
      <c r="E7" s="2492" t="s">
        <v>5952</v>
      </c>
      <c r="F7" s="2479"/>
      <c r="H7" s="2494"/>
      <c r="I7" s="2482"/>
      <c r="J7" s="2482"/>
      <c r="K7" s="2482"/>
      <c r="L7" s="2482"/>
      <c r="M7" s="2482"/>
      <c r="N7" s="2482"/>
      <c r="O7" s="2482"/>
      <c r="P7" s="2482"/>
      <c r="Q7" s="2482"/>
      <c r="R7" s="2482"/>
      <c r="S7" s="2482"/>
    </row>
    <row r="8" spans="1:19" ht="15.75" customHeight="1" x14ac:dyDescent="0.2">
      <c r="A8" s="2497">
        <v>1</v>
      </c>
      <c r="B8" s="2498" t="s">
        <v>5953</v>
      </c>
      <c r="C8" s="2488"/>
      <c r="D8" s="2499" t="s">
        <v>5954</v>
      </c>
      <c r="E8" s="2499" t="s">
        <v>5955</v>
      </c>
      <c r="F8" s="2479"/>
      <c r="H8" s="2484"/>
      <c r="I8" s="2500">
        <v>1</v>
      </c>
      <c r="J8" s="2482"/>
      <c r="K8" s="2482"/>
      <c r="L8" s="2482"/>
      <c r="M8" s="2501"/>
      <c r="N8" s="2501"/>
      <c r="O8" s="2501"/>
      <c r="P8" s="2501"/>
      <c r="Q8" s="2501"/>
      <c r="R8" s="2501"/>
      <c r="S8" s="2501"/>
    </row>
    <row r="9" spans="1:19" ht="15.75" customHeight="1" x14ac:dyDescent="0.2">
      <c r="A9" s="2497">
        <v>2</v>
      </c>
      <c r="B9" s="2502" t="s">
        <v>5956</v>
      </c>
      <c r="C9" s="2503" t="s">
        <v>69</v>
      </c>
      <c r="D9" s="2504">
        <v>34043912436</v>
      </c>
      <c r="E9" s="2505">
        <f>SUMIF($I:$I,A9,$J:$J)</f>
        <v>33039040567</v>
      </c>
      <c r="F9" s="2479"/>
      <c r="H9" s="2484"/>
      <c r="I9" s="2506" t="s">
        <v>5957</v>
      </c>
      <c r="J9" s="2507">
        <v>33039040567</v>
      </c>
      <c r="K9" s="2507">
        <v>32293100959</v>
      </c>
      <c r="L9" s="2507">
        <v>30752136973</v>
      </c>
      <c r="M9" s="2501"/>
      <c r="N9" s="2501"/>
      <c r="O9" s="2501"/>
      <c r="P9" s="2501"/>
      <c r="Q9" s="2501"/>
      <c r="R9" s="2501"/>
      <c r="S9" s="2501"/>
    </row>
    <row r="10" spans="1:19" ht="15.75" customHeight="1" x14ac:dyDescent="0.2">
      <c r="A10" s="2497">
        <v>3</v>
      </c>
      <c r="B10" s="2502" t="s">
        <v>5958</v>
      </c>
      <c r="C10" s="2503" t="s">
        <v>69</v>
      </c>
      <c r="D10" s="2504">
        <v>4719845635</v>
      </c>
      <c r="E10" s="2505">
        <f>SUMIF($I:$I,A10,$J:$J)</f>
        <v>2476435222</v>
      </c>
      <c r="F10" s="2479"/>
      <c r="H10" s="2484"/>
      <c r="I10" s="2506" t="s">
        <v>5959</v>
      </c>
      <c r="J10" s="2507">
        <v>2476435222</v>
      </c>
      <c r="K10" s="2507">
        <v>1131734692</v>
      </c>
      <c r="L10" s="2508">
        <v>1539838861</v>
      </c>
      <c r="M10" s="2501"/>
      <c r="N10" s="2501"/>
      <c r="O10" s="2501"/>
      <c r="P10" s="2501"/>
      <c r="Q10" s="2501"/>
      <c r="R10" s="2501"/>
      <c r="S10" s="2501"/>
    </row>
    <row r="11" spans="1:19" ht="15.75" customHeight="1" x14ac:dyDescent="0.2">
      <c r="A11" s="2497">
        <v>4</v>
      </c>
      <c r="B11" s="2502" t="s">
        <v>5960</v>
      </c>
      <c r="C11" s="2509"/>
      <c r="D11" s="2505">
        <f>SUM(D9:D10)</f>
        <v>38763758071</v>
      </c>
      <c r="E11" s="2505">
        <f>SUM(E9:E10)</f>
        <v>35515475789</v>
      </c>
      <c r="F11" s="2479"/>
      <c r="H11" s="2484"/>
      <c r="I11" s="2506" t="s">
        <v>5961</v>
      </c>
      <c r="J11" s="2507">
        <f>SUM(J9:J10)</f>
        <v>35515475789</v>
      </c>
      <c r="K11" s="2507">
        <f>SUM(K9:K10)</f>
        <v>33424835651</v>
      </c>
      <c r="L11" s="2508">
        <v>32291975834</v>
      </c>
      <c r="M11" s="2501"/>
      <c r="N11" s="2501"/>
      <c r="O11" s="2501"/>
      <c r="P11" s="2501"/>
      <c r="Q11" s="2501"/>
      <c r="R11" s="2501"/>
      <c r="S11" s="2501"/>
    </row>
    <row r="12" spans="1:19" ht="15.75" customHeight="1" x14ac:dyDescent="0.2">
      <c r="A12" s="2497">
        <v>5</v>
      </c>
      <c r="B12" s="2502" t="s">
        <v>5962</v>
      </c>
      <c r="C12" s="2503" t="s">
        <v>69</v>
      </c>
      <c r="D12" s="2505">
        <v>13094069120</v>
      </c>
      <c r="E12" s="2505">
        <f>SUMIF($I:$I,A12,$J:$J)</f>
        <v>12334383396</v>
      </c>
      <c r="F12" s="2479"/>
      <c r="H12" s="2484"/>
      <c r="I12" s="2506" t="s">
        <v>5963</v>
      </c>
      <c r="J12" s="2507">
        <v>12334383396</v>
      </c>
      <c r="K12" s="2507">
        <v>11632340710</v>
      </c>
      <c r="L12" s="2508">
        <v>10874594134</v>
      </c>
      <c r="M12" s="2501"/>
      <c r="N12" s="2501"/>
      <c r="O12" s="2501"/>
      <c r="P12" s="2501"/>
      <c r="Q12" s="2501"/>
      <c r="R12" s="2501"/>
      <c r="S12" s="2501"/>
    </row>
    <row r="13" spans="1:19" ht="15.75" customHeight="1" x14ac:dyDescent="0.2">
      <c r="A13" s="2497">
        <v>6</v>
      </c>
      <c r="B13" s="2502" t="s">
        <v>5964</v>
      </c>
      <c r="C13" s="2509"/>
      <c r="D13" s="2505">
        <f>D11-D12</f>
        <v>25669688951</v>
      </c>
      <c r="E13" s="2505">
        <f>E11-E12</f>
        <v>23181092393</v>
      </c>
      <c r="F13" s="2479"/>
      <c r="H13" s="2484"/>
      <c r="I13" s="2506" t="s">
        <v>5965</v>
      </c>
      <c r="J13" s="2507">
        <f>J11-J12</f>
        <v>23181092393</v>
      </c>
      <c r="K13" s="2507">
        <f>K11-K12</f>
        <v>21792494941</v>
      </c>
      <c r="L13" s="2508">
        <v>21417381700</v>
      </c>
      <c r="M13" s="2501"/>
      <c r="N13" s="2501"/>
      <c r="O13" s="2501"/>
      <c r="P13" s="2501"/>
      <c r="Q13" s="2501"/>
      <c r="R13" s="2501"/>
      <c r="S13" s="2501"/>
    </row>
    <row r="14" spans="1:19" ht="15.75" customHeight="1" x14ac:dyDescent="0.2">
      <c r="A14" s="2497">
        <v>7</v>
      </c>
      <c r="B14" s="2502" t="s">
        <v>5966</v>
      </c>
      <c r="C14" s="2503" t="s">
        <v>5967</v>
      </c>
      <c r="D14" s="2505">
        <v>0</v>
      </c>
      <c r="E14" s="2505">
        <f t="shared" ref="E14:E19" si="0">SUMIF($I:$I,A14,$K:$K)</f>
        <v>0</v>
      </c>
      <c r="F14" s="2479"/>
      <c r="H14" s="2484"/>
      <c r="I14" s="2506" t="s">
        <v>5968</v>
      </c>
      <c r="J14" s="2507">
        <v>0</v>
      </c>
      <c r="K14" s="2507">
        <v>0</v>
      </c>
      <c r="L14" s="2508">
        <v>0</v>
      </c>
      <c r="M14" s="2501"/>
      <c r="N14" s="2501"/>
      <c r="O14" s="2501"/>
      <c r="P14" s="2501"/>
      <c r="Q14" s="2501"/>
      <c r="R14" s="2501"/>
      <c r="S14" s="2501"/>
    </row>
    <row r="15" spans="1:19" ht="15.75" customHeight="1" x14ac:dyDescent="0.2">
      <c r="A15" s="2497">
        <v>8</v>
      </c>
      <c r="B15" s="2502" t="s">
        <v>5969</v>
      </c>
      <c r="C15" s="2509"/>
      <c r="D15" s="2505">
        <v>0</v>
      </c>
      <c r="E15" s="2505">
        <f t="shared" si="0"/>
        <v>0</v>
      </c>
      <c r="F15" s="2479"/>
      <c r="H15" s="2484"/>
      <c r="I15" s="2506" t="s">
        <v>5970</v>
      </c>
      <c r="J15" s="2507">
        <v>0</v>
      </c>
      <c r="K15" s="2507">
        <v>0</v>
      </c>
      <c r="L15" s="2508">
        <v>0</v>
      </c>
      <c r="M15" s="2501"/>
      <c r="N15" s="2501"/>
      <c r="O15" s="2501"/>
      <c r="P15" s="2501"/>
      <c r="Q15" s="2501"/>
      <c r="R15" s="2501"/>
      <c r="S15" s="2501"/>
    </row>
    <row r="16" spans="1:19" ht="15.75" customHeight="1" x14ac:dyDescent="0.2">
      <c r="A16" s="2497">
        <v>9</v>
      </c>
      <c r="B16" s="2502" t="s">
        <v>5971</v>
      </c>
      <c r="C16" s="2509"/>
      <c r="D16" s="2505">
        <v>0</v>
      </c>
      <c r="E16" s="2505">
        <f t="shared" si="0"/>
        <v>0</v>
      </c>
      <c r="F16" s="2479"/>
      <c r="H16" s="2484"/>
      <c r="I16" s="2506" t="s">
        <v>5972</v>
      </c>
      <c r="J16" s="2507">
        <v>0</v>
      </c>
      <c r="K16" s="2507">
        <v>0</v>
      </c>
      <c r="L16" s="2508">
        <v>0</v>
      </c>
      <c r="M16" s="2501"/>
      <c r="N16" s="2501"/>
      <c r="O16" s="2501"/>
      <c r="P16" s="2501"/>
      <c r="Q16" s="2501"/>
      <c r="R16" s="2501"/>
      <c r="S16" s="2501"/>
    </row>
    <row r="17" spans="1:19" ht="15.75" customHeight="1" x14ac:dyDescent="0.2">
      <c r="A17" s="2497">
        <v>10</v>
      </c>
      <c r="B17" s="2502" t="s">
        <v>5973</v>
      </c>
      <c r="C17" s="2509"/>
      <c r="D17" s="2505">
        <v>0</v>
      </c>
      <c r="E17" s="2505">
        <f t="shared" si="0"/>
        <v>0</v>
      </c>
      <c r="F17" s="2479"/>
      <c r="H17" s="2484"/>
      <c r="I17" s="2506" t="s">
        <v>5974</v>
      </c>
      <c r="J17" s="2507">
        <v>0</v>
      </c>
      <c r="K17" s="2507">
        <v>0</v>
      </c>
      <c r="L17" s="2508">
        <v>0</v>
      </c>
      <c r="M17" s="2501"/>
      <c r="N17" s="2501"/>
      <c r="O17" s="2501"/>
      <c r="P17" s="2501"/>
      <c r="Q17" s="2501"/>
      <c r="R17" s="2501"/>
      <c r="S17" s="2501"/>
    </row>
    <row r="18" spans="1:19" ht="15.75" customHeight="1" x14ac:dyDescent="0.2">
      <c r="A18" s="2497">
        <v>11</v>
      </c>
      <c r="B18" s="2502" t="s">
        <v>5975</v>
      </c>
      <c r="C18" s="2509"/>
      <c r="D18" s="2505">
        <v>0</v>
      </c>
      <c r="E18" s="2505">
        <f t="shared" si="0"/>
        <v>0</v>
      </c>
      <c r="F18" s="2479"/>
      <c r="H18" s="2484"/>
      <c r="I18" s="2506" t="s">
        <v>5976</v>
      </c>
      <c r="J18" s="2507">
        <v>0</v>
      </c>
      <c r="K18" s="2507">
        <v>0</v>
      </c>
      <c r="L18" s="2508">
        <v>0</v>
      </c>
      <c r="M18" s="2501"/>
      <c r="N18" s="2501"/>
      <c r="O18" s="2501"/>
      <c r="P18" s="2501"/>
      <c r="Q18" s="2501"/>
      <c r="R18" s="2501"/>
      <c r="S18" s="2501"/>
    </row>
    <row r="19" spans="1:19" ht="15.75" customHeight="1" x14ac:dyDescent="0.2">
      <c r="A19" s="2497">
        <v>12</v>
      </c>
      <c r="B19" s="2502" t="s">
        <v>5977</v>
      </c>
      <c r="C19" s="2503" t="s">
        <v>5967</v>
      </c>
      <c r="D19" s="2505">
        <v>0</v>
      </c>
      <c r="E19" s="2505">
        <f t="shared" si="0"/>
        <v>0</v>
      </c>
      <c r="F19" s="2479"/>
      <c r="H19" s="2484"/>
      <c r="I19" s="2506" t="s">
        <v>5978</v>
      </c>
      <c r="J19" s="2507">
        <v>0</v>
      </c>
      <c r="K19" s="2507">
        <v>0</v>
      </c>
      <c r="L19" s="2508">
        <v>0</v>
      </c>
      <c r="M19" s="2501"/>
      <c r="N19" s="2501"/>
      <c r="O19" s="2501"/>
      <c r="P19" s="2501"/>
      <c r="Q19" s="2501"/>
      <c r="R19" s="2501"/>
      <c r="S19" s="2501"/>
    </row>
    <row r="20" spans="1:19" ht="15.75" customHeight="1" x14ac:dyDescent="0.2">
      <c r="A20" s="2497">
        <v>13</v>
      </c>
      <c r="B20" s="2502" t="s">
        <v>5979</v>
      </c>
      <c r="C20" s="2509"/>
      <c r="D20" s="2505">
        <f>SUM(D14:D18)-D19</f>
        <v>0</v>
      </c>
      <c r="E20" s="2505">
        <f>SUM(E14:E18)-E19</f>
        <v>0</v>
      </c>
      <c r="F20" s="2479"/>
      <c r="H20" s="2484"/>
      <c r="I20" s="2506" t="s">
        <v>5980</v>
      </c>
      <c r="J20" s="2507">
        <f>SUM(J14:J18)-J19</f>
        <v>0</v>
      </c>
      <c r="K20" s="2507">
        <f>SUM(K14:K18)-K19</f>
        <v>0</v>
      </c>
      <c r="L20" s="2508">
        <v>0</v>
      </c>
      <c r="M20" s="2501"/>
      <c r="N20" s="2501"/>
      <c r="O20" s="2501"/>
      <c r="P20" s="2501"/>
      <c r="Q20" s="2501"/>
      <c r="R20" s="2501"/>
      <c r="S20" s="2501"/>
    </row>
    <row r="21" spans="1:19" ht="15.75" customHeight="1" x14ac:dyDescent="0.2">
      <c r="A21" s="2497">
        <v>14</v>
      </c>
      <c r="B21" s="2502" t="s">
        <v>5981</v>
      </c>
      <c r="C21" s="2509"/>
      <c r="D21" s="2505">
        <f>D13+D20</f>
        <v>25669688951</v>
      </c>
      <c r="E21" s="2505">
        <f>E13+E20</f>
        <v>23181092393</v>
      </c>
      <c r="F21" s="2479"/>
      <c r="H21" s="2484"/>
      <c r="I21" s="2506" t="s">
        <v>5982</v>
      </c>
      <c r="J21" s="2507">
        <f>J13+J20</f>
        <v>23181092393</v>
      </c>
      <c r="K21" s="2507">
        <f>K13+K20</f>
        <v>21792494941</v>
      </c>
      <c r="L21" s="2508">
        <v>21417381700</v>
      </c>
      <c r="M21" s="2501"/>
      <c r="N21" s="2501"/>
      <c r="O21" s="2501"/>
      <c r="P21" s="2501"/>
      <c r="Q21" s="2501"/>
      <c r="R21" s="2501"/>
      <c r="S21" s="2501"/>
    </row>
    <row r="22" spans="1:19" ht="15.75" customHeight="1" x14ac:dyDescent="0.2">
      <c r="A22" s="2497">
        <v>15</v>
      </c>
      <c r="B22" s="2502" t="s">
        <v>5983</v>
      </c>
      <c r="C22" s="2503"/>
      <c r="D22" s="2505">
        <v>0</v>
      </c>
      <c r="E22" s="2505">
        <f>SUMIF($I:$I,A22,$K:$K)</f>
        <v>0</v>
      </c>
      <c r="F22" s="2479"/>
      <c r="H22" s="2484"/>
      <c r="I22" s="2506" t="s">
        <v>5984</v>
      </c>
      <c r="J22" s="2507">
        <v>0</v>
      </c>
      <c r="K22" s="2507">
        <v>0</v>
      </c>
      <c r="L22" s="2508">
        <v>0</v>
      </c>
      <c r="M22" s="2501"/>
      <c r="N22" s="2501"/>
      <c r="O22" s="2501"/>
      <c r="P22" s="2501"/>
      <c r="Q22" s="2501"/>
      <c r="R22" s="2501"/>
      <c r="S22" s="2501"/>
    </row>
    <row r="23" spans="1:19" ht="15.75" customHeight="1" x14ac:dyDescent="0.2">
      <c r="A23" s="2497">
        <v>16</v>
      </c>
      <c r="B23" s="2502" t="s">
        <v>5985</v>
      </c>
      <c r="C23" s="2509"/>
      <c r="D23" s="2505">
        <v>0</v>
      </c>
      <c r="E23" s="2505">
        <f>SUMIF($I:$I,A23,$K:$K)</f>
        <v>0</v>
      </c>
      <c r="F23" s="2479"/>
      <c r="H23" s="2484"/>
      <c r="I23" s="2506" t="s">
        <v>5986</v>
      </c>
      <c r="J23" s="2507">
        <v>0</v>
      </c>
      <c r="K23" s="2507">
        <v>0</v>
      </c>
      <c r="L23" s="2508">
        <v>0</v>
      </c>
      <c r="M23" s="2501"/>
      <c r="N23" s="2501"/>
      <c r="O23" s="2501"/>
      <c r="P23" s="2501"/>
      <c r="Q23" s="2501"/>
      <c r="R23" s="2501"/>
      <c r="S23" s="2501"/>
    </row>
    <row r="24" spans="1:19" ht="15.75" customHeight="1" x14ac:dyDescent="0.2">
      <c r="A24" s="2497">
        <v>17</v>
      </c>
      <c r="B24" s="2498" t="s">
        <v>5987</v>
      </c>
      <c r="C24" s="2488"/>
      <c r="D24" s="2510"/>
      <c r="E24" s="2510"/>
      <c r="F24" s="2479"/>
      <c r="H24" s="2484"/>
      <c r="I24" s="2506" t="s">
        <v>5988</v>
      </c>
      <c r="J24" s="2511"/>
      <c r="K24" s="2511"/>
      <c r="L24" s="2508">
        <v>0</v>
      </c>
      <c r="M24" s="2501"/>
      <c r="N24" s="2501"/>
      <c r="O24" s="2501"/>
      <c r="P24" s="2501"/>
      <c r="Q24" s="2501"/>
      <c r="R24" s="2501"/>
      <c r="S24" s="2501"/>
    </row>
    <row r="25" spans="1:19" ht="15.75" customHeight="1" x14ac:dyDescent="0.2">
      <c r="A25" s="2497">
        <v>18</v>
      </c>
      <c r="B25" s="2512" t="s">
        <v>5989</v>
      </c>
      <c r="C25" s="2488"/>
      <c r="D25" s="2513">
        <v>21155095</v>
      </c>
      <c r="E25" s="2505">
        <f>SUMIF($I:$I,A25,$J:$J)</f>
        <v>21206842</v>
      </c>
      <c r="F25" s="2479"/>
      <c r="H25" s="2484"/>
      <c r="I25" s="2506" t="s">
        <v>5990</v>
      </c>
      <c r="J25" s="2507">
        <v>21206842</v>
      </c>
      <c r="K25" s="2507">
        <v>21197450</v>
      </c>
      <c r="L25" s="2508">
        <v>12333949</v>
      </c>
      <c r="M25" s="2501"/>
      <c r="N25" s="2501"/>
      <c r="O25" s="2501"/>
      <c r="P25" s="2501"/>
      <c r="Q25" s="2501"/>
      <c r="R25" s="2501"/>
      <c r="S25" s="2501"/>
    </row>
    <row r="26" spans="1:19" ht="15.75" customHeight="1" x14ac:dyDescent="0.2">
      <c r="A26" s="2497">
        <v>19</v>
      </c>
      <c r="B26" s="2512" t="s">
        <v>5991</v>
      </c>
      <c r="C26" s="2488"/>
      <c r="D26" s="2513">
        <v>3283929</v>
      </c>
      <c r="E26" s="2505">
        <f>SUMIF($I:$I,A26,$J:$J)</f>
        <v>3254224</v>
      </c>
      <c r="F26" s="2479"/>
      <c r="H26" s="2484"/>
      <c r="I26" s="2506" t="s">
        <v>5992</v>
      </c>
      <c r="J26" s="2507">
        <v>3254224</v>
      </c>
      <c r="K26" s="2507">
        <v>3221891</v>
      </c>
      <c r="L26" s="2508">
        <v>3224650</v>
      </c>
      <c r="M26" s="2501"/>
      <c r="N26" s="2501"/>
      <c r="O26" s="2501"/>
      <c r="P26" s="2501"/>
      <c r="Q26" s="2501"/>
      <c r="R26" s="2501"/>
      <c r="S26" s="2501"/>
    </row>
    <row r="27" spans="1:19" ht="15.75" customHeight="1" x14ac:dyDescent="0.2">
      <c r="A27" s="2497">
        <v>20</v>
      </c>
      <c r="B27" s="2512" t="s">
        <v>5993</v>
      </c>
      <c r="C27" s="2488"/>
      <c r="D27" s="2513">
        <v>69928</v>
      </c>
      <c r="E27" s="2505">
        <f>SUMIF($I:$I,A27,$J:$J)</f>
        <v>69928</v>
      </c>
      <c r="F27" s="2479"/>
      <c r="H27" s="2484"/>
      <c r="I27" s="2506" t="s">
        <v>5994</v>
      </c>
      <c r="J27" s="2507">
        <v>69928</v>
      </c>
      <c r="K27" s="2507">
        <v>69928</v>
      </c>
      <c r="L27" s="2508">
        <v>69928</v>
      </c>
      <c r="M27" s="2501"/>
      <c r="N27" s="2501"/>
      <c r="O27" s="2501"/>
      <c r="P27" s="2501"/>
      <c r="Q27" s="2501"/>
      <c r="R27" s="2501"/>
      <c r="S27" s="2501"/>
    </row>
    <row r="28" spans="1:19" ht="15.75" customHeight="1" x14ac:dyDescent="0.2">
      <c r="A28" s="2497">
        <v>21</v>
      </c>
      <c r="B28" s="2512" t="s">
        <v>5995</v>
      </c>
      <c r="C28" s="2489" t="s">
        <v>5996</v>
      </c>
      <c r="D28" s="2513">
        <v>156585163</v>
      </c>
      <c r="E28" s="2505">
        <f>SUMIF($I:$I,A28,$J:$J)</f>
        <v>136476068</v>
      </c>
      <c r="F28" s="2479"/>
      <c r="H28" s="2484"/>
      <c r="I28" s="2506" t="s">
        <v>5997</v>
      </c>
      <c r="J28" s="2507">
        <v>136476068</v>
      </c>
      <c r="K28" s="2507">
        <v>115816829</v>
      </c>
      <c r="L28" s="2508">
        <v>137091815</v>
      </c>
      <c r="M28" s="2501"/>
      <c r="N28" s="2501"/>
      <c r="O28" s="2501"/>
      <c r="P28" s="2501"/>
      <c r="Q28" s="2501"/>
      <c r="R28" s="2501"/>
      <c r="S28" s="2501"/>
    </row>
    <row r="29" spans="1:19" ht="15.75" customHeight="1" x14ac:dyDescent="0.2">
      <c r="A29" s="2497">
        <v>22</v>
      </c>
      <c r="B29" s="2512" t="s">
        <v>5998</v>
      </c>
      <c r="C29" s="2488"/>
      <c r="D29" s="2510"/>
      <c r="E29" s="2510"/>
      <c r="F29" s="2479"/>
      <c r="H29" s="2484"/>
      <c r="I29" s="2506" t="s">
        <v>5999</v>
      </c>
      <c r="J29" s="2511"/>
      <c r="K29" s="2511"/>
      <c r="L29" s="2508">
        <v>0</v>
      </c>
      <c r="M29" s="2501"/>
      <c r="N29" s="2501"/>
      <c r="O29" s="2501"/>
      <c r="P29" s="2501"/>
      <c r="Q29" s="2501"/>
      <c r="R29" s="2501"/>
      <c r="S29" s="2501"/>
    </row>
    <row r="30" spans="1:19" ht="15.75" customHeight="1" x14ac:dyDescent="0.2">
      <c r="A30" s="2497">
        <v>23</v>
      </c>
      <c r="B30" s="2502" t="s">
        <v>6000</v>
      </c>
      <c r="C30" s="2503" t="s">
        <v>6001</v>
      </c>
      <c r="D30" s="2505">
        <v>0</v>
      </c>
      <c r="E30" s="2505">
        <f t="shared" ref="E30:E38" si="1">SUMIF($I:$I,A30,$J:$J)</f>
        <v>0</v>
      </c>
      <c r="F30" s="2479"/>
      <c r="H30" s="2484"/>
      <c r="I30" s="2506" t="s">
        <v>6002</v>
      </c>
      <c r="J30" s="2507">
        <v>0</v>
      </c>
      <c r="K30" s="2507">
        <v>0</v>
      </c>
      <c r="L30" s="2508">
        <v>0</v>
      </c>
      <c r="M30" s="2501"/>
      <c r="N30" s="2501"/>
      <c r="O30" s="2501"/>
      <c r="P30" s="2501"/>
      <c r="Q30" s="2501"/>
      <c r="R30" s="2501"/>
      <c r="S30" s="2501"/>
    </row>
    <row r="31" spans="1:19" ht="15.75" customHeight="1" x14ac:dyDescent="0.2">
      <c r="A31" s="2497">
        <v>24</v>
      </c>
      <c r="B31" s="2502" t="s">
        <v>6003</v>
      </c>
      <c r="C31" s="2509"/>
      <c r="D31" s="2505">
        <v>111023868</v>
      </c>
      <c r="E31" s="2505">
        <f t="shared" si="1"/>
        <v>100689729</v>
      </c>
      <c r="F31" s="2479"/>
      <c r="H31" s="2484"/>
      <c r="I31" s="2506" t="s">
        <v>6004</v>
      </c>
      <c r="J31" s="2507">
        <v>100689729</v>
      </c>
      <c r="K31" s="2507">
        <v>118042168</v>
      </c>
      <c r="L31" s="2508">
        <v>106378001</v>
      </c>
      <c r="M31" s="2501"/>
      <c r="N31" s="2501"/>
      <c r="O31" s="2501"/>
      <c r="P31" s="2501"/>
      <c r="Q31" s="2501"/>
      <c r="R31" s="2501"/>
      <c r="S31" s="2501"/>
    </row>
    <row r="32" spans="1:19" ht="15.75" customHeight="1" x14ac:dyDescent="0.2">
      <c r="A32" s="2497">
        <v>25</v>
      </c>
      <c r="B32" s="2502" t="s">
        <v>6005</v>
      </c>
      <c r="C32" s="2509"/>
      <c r="D32" s="2505">
        <v>0</v>
      </c>
      <c r="E32" s="2505">
        <f t="shared" si="1"/>
        <v>0</v>
      </c>
      <c r="F32" s="2479"/>
      <c r="H32" s="2484"/>
      <c r="I32" s="2506" t="s">
        <v>6006</v>
      </c>
      <c r="J32" s="2507">
        <v>0</v>
      </c>
      <c r="K32" s="2507">
        <v>0</v>
      </c>
      <c r="L32" s="2508">
        <v>0</v>
      </c>
      <c r="M32" s="2501"/>
      <c r="N32" s="2501"/>
      <c r="O32" s="2501"/>
      <c r="P32" s="2501"/>
      <c r="Q32" s="2501"/>
      <c r="R32" s="2501"/>
      <c r="S32" s="2501"/>
    </row>
    <row r="33" spans="1:19" ht="15.75" customHeight="1" x14ac:dyDescent="0.2">
      <c r="A33" s="2497">
        <v>26</v>
      </c>
      <c r="B33" s="2502" t="s">
        <v>6007</v>
      </c>
      <c r="C33" s="2509"/>
      <c r="D33" s="2505">
        <v>0</v>
      </c>
      <c r="E33" s="2505">
        <f t="shared" si="1"/>
        <v>0</v>
      </c>
      <c r="F33" s="2479"/>
      <c r="H33" s="2484"/>
      <c r="I33" s="2506" t="s">
        <v>6008</v>
      </c>
      <c r="J33" s="2507">
        <v>0</v>
      </c>
      <c r="K33" s="2507">
        <v>0</v>
      </c>
      <c r="L33" s="2508">
        <v>0</v>
      </c>
      <c r="M33" s="2501"/>
      <c r="N33" s="2501"/>
      <c r="O33" s="2501"/>
      <c r="P33" s="2501"/>
      <c r="Q33" s="2501"/>
      <c r="R33" s="2501"/>
      <c r="S33" s="2501"/>
    </row>
    <row r="34" spans="1:19" ht="15.75" customHeight="1" x14ac:dyDescent="0.2">
      <c r="A34" s="2497">
        <v>27</v>
      </c>
      <c r="B34" s="2502" t="s">
        <v>6009</v>
      </c>
      <c r="C34" s="2509"/>
      <c r="D34" s="2505">
        <v>0</v>
      </c>
      <c r="E34" s="2505">
        <f t="shared" si="1"/>
        <v>0</v>
      </c>
      <c r="F34" s="2479"/>
      <c r="H34" s="2484"/>
      <c r="I34" s="2506" t="s">
        <v>6010</v>
      </c>
      <c r="J34" s="2507">
        <v>0</v>
      </c>
      <c r="K34" s="2507">
        <v>0</v>
      </c>
      <c r="L34" s="2508">
        <v>0</v>
      </c>
      <c r="M34" s="2501"/>
      <c r="N34" s="2501"/>
      <c r="O34" s="2501"/>
      <c r="P34" s="2501"/>
      <c r="Q34" s="2501"/>
      <c r="R34" s="2501"/>
      <c r="S34" s="2501"/>
    </row>
    <row r="35" spans="1:19" ht="15.75" customHeight="1" x14ac:dyDescent="0.2">
      <c r="A35" s="2497">
        <v>28</v>
      </c>
      <c r="B35" s="2502" t="s">
        <v>6011</v>
      </c>
      <c r="C35" s="2509"/>
      <c r="D35" s="2505">
        <v>174123261</v>
      </c>
      <c r="E35" s="2505">
        <f t="shared" si="1"/>
        <v>131896187</v>
      </c>
      <c r="F35" s="2479"/>
      <c r="H35" s="2484"/>
      <c r="I35" s="2506" t="s">
        <v>6012</v>
      </c>
      <c r="J35" s="2507">
        <v>131896187</v>
      </c>
      <c r="K35" s="2507">
        <v>106001549</v>
      </c>
      <c r="L35" s="2508">
        <v>35358662</v>
      </c>
      <c r="M35" s="2501"/>
      <c r="N35" s="2501"/>
      <c r="O35" s="2501"/>
      <c r="P35" s="2501"/>
      <c r="Q35" s="2501"/>
      <c r="R35" s="2501"/>
      <c r="S35" s="2501"/>
    </row>
    <row r="36" spans="1:19" ht="15.75" customHeight="1" x14ac:dyDescent="0.2">
      <c r="A36" s="2497">
        <v>29</v>
      </c>
      <c r="B36" s="2502" t="s">
        <v>6013</v>
      </c>
      <c r="C36" s="2509"/>
      <c r="D36" s="2505">
        <v>0</v>
      </c>
      <c r="E36" s="2505">
        <f t="shared" si="1"/>
        <v>0</v>
      </c>
      <c r="F36" s="2479"/>
      <c r="H36" s="2484"/>
      <c r="I36" s="2506" t="s">
        <v>6014</v>
      </c>
      <c r="J36" s="2507">
        <v>0</v>
      </c>
      <c r="K36" s="2507">
        <v>0</v>
      </c>
      <c r="L36" s="2508">
        <v>0</v>
      </c>
      <c r="M36" s="2501"/>
      <c r="N36" s="2501"/>
      <c r="O36" s="2501"/>
      <c r="P36" s="2501"/>
      <c r="Q36" s="2501"/>
      <c r="R36" s="2501"/>
      <c r="S36" s="2501"/>
    </row>
    <row r="37" spans="1:19" ht="15.75" customHeight="1" x14ac:dyDescent="0.2">
      <c r="A37" s="2497">
        <v>30</v>
      </c>
      <c r="B37" s="2502" t="s">
        <v>6015</v>
      </c>
      <c r="C37" s="2509"/>
      <c r="D37" s="2505">
        <v>2200107</v>
      </c>
      <c r="E37" s="2505">
        <f t="shared" si="1"/>
        <v>14530841</v>
      </c>
      <c r="F37" s="2479"/>
      <c r="H37" s="2484"/>
      <c r="I37" s="2506" t="s">
        <v>6016</v>
      </c>
      <c r="J37" s="2507">
        <v>14530841</v>
      </c>
      <c r="K37" s="2507">
        <v>19559679</v>
      </c>
      <c r="L37" s="2508">
        <v>6372711</v>
      </c>
      <c r="M37" s="2501"/>
      <c r="N37" s="2501"/>
      <c r="O37" s="2501"/>
      <c r="P37" s="2501"/>
      <c r="Q37" s="2501"/>
      <c r="R37" s="2501"/>
      <c r="S37" s="2501"/>
    </row>
    <row r="38" spans="1:19" ht="15.75" customHeight="1" x14ac:dyDescent="0.2">
      <c r="A38" s="2497">
        <v>31</v>
      </c>
      <c r="B38" s="2502" t="s">
        <v>6017</v>
      </c>
      <c r="C38" s="2509"/>
      <c r="D38" s="2505">
        <v>0</v>
      </c>
      <c r="E38" s="2505">
        <f t="shared" si="1"/>
        <v>0</v>
      </c>
      <c r="F38" s="2479"/>
      <c r="H38" s="2484"/>
      <c r="I38" s="2506" t="s">
        <v>6018</v>
      </c>
      <c r="J38" s="2507">
        <v>0</v>
      </c>
      <c r="K38" s="2507">
        <v>0</v>
      </c>
      <c r="L38" s="2508">
        <v>0</v>
      </c>
      <c r="M38" s="2501"/>
      <c r="N38" s="2501"/>
      <c r="O38" s="2501"/>
      <c r="P38" s="2501"/>
      <c r="Q38" s="2501"/>
      <c r="R38" s="2501"/>
      <c r="S38" s="2501"/>
    </row>
    <row r="39" spans="1:19" ht="15.75" customHeight="1" x14ac:dyDescent="0.2">
      <c r="A39" s="2497">
        <v>32</v>
      </c>
      <c r="B39" s="2502" t="s">
        <v>6019</v>
      </c>
      <c r="C39" s="2509"/>
      <c r="D39" s="2505">
        <f>(D25-D26+D27+D28)+SUM(D30:D38)</f>
        <v>461873493</v>
      </c>
      <c r="E39" s="2505">
        <f>(E25-E26+E27+E28)+SUM(E30:E38)</f>
        <v>401615371</v>
      </c>
      <c r="F39" s="2479"/>
      <c r="H39" s="2484"/>
      <c r="I39" s="2506" t="s">
        <v>6020</v>
      </c>
      <c r="J39" s="2507">
        <f>(J25-J26+J27+J28)+SUM(J30:J38)</f>
        <v>401615371</v>
      </c>
      <c r="K39" s="2507">
        <f>(K25-K26+K27+K28)+SUM(K30:K38)</f>
        <v>377465712</v>
      </c>
      <c r="L39" s="2508">
        <v>294380416</v>
      </c>
      <c r="M39" s="2501"/>
      <c r="N39" s="2501"/>
      <c r="O39" s="2501"/>
      <c r="P39" s="2501"/>
      <c r="Q39" s="2501"/>
      <c r="R39" s="2501"/>
      <c r="S39" s="2501"/>
    </row>
    <row r="40" spans="1:19" ht="15.75" customHeight="1" x14ac:dyDescent="0.2">
      <c r="A40" s="2497">
        <v>33</v>
      </c>
      <c r="B40" s="2498" t="s">
        <v>6021</v>
      </c>
      <c r="C40" s="2509"/>
      <c r="D40" s="2510"/>
      <c r="E40" s="2510"/>
      <c r="F40" s="2479"/>
      <c r="H40" s="2484"/>
      <c r="I40" s="2506" t="s">
        <v>6022</v>
      </c>
      <c r="J40" s="2511"/>
      <c r="K40" s="2511"/>
      <c r="L40" s="2508">
        <v>0</v>
      </c>
      <c r="M40" s="2501"/>
      <c r="N40" s="2501"/>
      <c r="O40" s="2501"/>
      <c r="P40" s="2501"/>
      <c r="Q40" s="2501"/>
      <c r="R40" s="2501"/>
      <c r="S40" s="2501"/>
    </row>
    <row r="41" spans="1:19" ht="15.75" customHeight="1" x14ac:dyDescent="0.2">
      <c r="A41" s="2497">
        <v>34</v>
      </c>
      <c r="B41" s="2512" t="s">
        <v>6023</v>
      </c>
      <c r="C41" s="2488"/>
      <c r="D41" s="2513">
        <v>0</v>
      </c>
      <c r="E41" s="2505">
        <f t="shared" ref="E41:E70" si="2">SUMIF($I:$I,A41,$J:$J)</f>
        <v>0</v>
      </c>
      <c r="F41" s="2479"/>
      <c r="H41" s="2484"/>
      <c r="I41" s="2506" t="s">
        <v>6024</v>
      </c>
      <c r="J41" s="2507">
        <v>0</v>
      </c>
      <c r="K41" s="2507">
        <v>0</v>
      </c>
      <c r="L41" s="2508">
        <v>0</v>
      </c>
      <c r="M41" s="2501"/>
      <c r="N41" s="2501"/>
      <c r="O41" s="2501"/>
      <c r="P41" s="2501"/>
      <c r="Q41" s="2501"/>
      <c r="R41" s="2501"/>
      <c r="S41" s="2501"/>
    </row>
    <row r="42" spans="1:19" ht="15.75" customHeight="1" x14ac:dyDescent="0.2">
      <c r="A42" s="2497">
        <v>35</v>
      </c>
      <c r="B42" s="2512" t="s">
        <v>6025</v>
      </c>
      <c r="C42" s="2488"/>
      <c r="D42" s="2513">
        <v>13593270</v>
      </c>
      <c r="E42" s="2505">
        <f t="shared" si="2"/>
        <v>21115014</v>
      </c>
      <c r="F42" s="2479"/>
      <c r="H42" s="2484"/>
      <c r="I42" s="2506" t="s">
        <v>6026</v>
      </c>
      <c r="J42" s="2507">
        <v>21115014</v>
      </c>
      <c r="K42" s="2507">
        <v>1470795</v>
      </c>
      <c r="L42" s="2508">
        <v>11310312</v>
      </c>
      <c r="M42" s="2501"/>
      <c r="N42" s="2501"/>
      <c r="O42" s="2501"/>
      <c r="P42" s="2501"/>
      <c r="Q42" s="2501"/>
      <c r="R42" s="2501"/>
      <c r="S42" s="2501"/>
    </row>
    <row r="43" spans="1:19" ht="15.75" customHeight="1" x14ac:dyDescent="0.2">
      <c r="A43" s="2497">
        <v>36</v>
      </c>
      <c r="B43" s="2512" t="s">
        <v>6027</v>
      </c>
      <c r="C43" s="2488"/>
      <c r="D43" s="2513">
        <v>85529</v>
      </c>
      <c r="E43" s="2505">
        <f t="shared" si="2"/>
        <v>0</v>
      </c>
      <c r="F43" s="2479"/>
      <c r="H43" s="2484"/>
      <c r="I43" s="2506" t="s">
        <v>6028</v>
      </c>
      <c r="J43" s="2507">
        <v>0</v>
      </c>
      <c r="K43" s="2507">
        <v>0</v>
      </c>
      <c r="L43" s="2508">
        <v>69648</v>
      </c>
      <c r="M43" s="2501"/>
      <c r="N43" s="2501"/>
      <c r="O43" s="2501"/>
      <c r="P43" s="2501"/>
      <c r="Q43" s="2501"/>
      <c r="R43" s="2501"/>
      <c r="S43" s="2501"/>
    </row>
    <row r="44" spans="1:19" ht="15.75" customHeight="1" x14ac:dyDescent="0.2">
      <c r="A44" s="2497">
        <v>37</v>
      </c>
      <c r="B44" s="2512" t="s">
        <v>6029</v>
      </c>
      <c r="C44" s="2488"/>
      <c r="D44" s="2513">
        <v>0</v>
      </c>
      <c r="E44" s="2505">
        <f t="shared" si="2"/>
        <v>0</v>
      </c>
      <c r="F44" s="2479"/>
      <c r="H44" s="2484"/>
      <c r="I44" s="2506" t="s">
        <v>6030</v>
      </c>
      <c r="J44" s="2507">
        <v>0</v>
      </c>
      <c r="K44" s="2507">
        <v>0</v>
      </c>
      <c r="L44" s="2508">
        <v>0</v>
      </c>
      <c r="M44" s="2501"/>
      <c r="N44" s="2501"/>
      <c r="O44" s="2501"/>
      <c r="P44" s="2501"/>
      <c r="Q44" s="2501"/>
      <c r="R44" s="2501"/>
      <c r="S44" s="2501"/>
    </row>
    <row r="45" spans="1:19" ht="15.75" customHeight="1" x14ac:dyDescent="0.2">
      <c r="A45" s="2497">
        <v>38</v>
      </c>
      <c r="B45" s="2512" t="s">
        <v>6031</v>
      </c>
      <c r="C45" s="2488"/>
      <c r="D45" s="2513">
        <v>113626658</v>
      </c>
      <c r="E45" s="2505">
        <f t="shared" si="2"/>
        <v>566381766</v>
      </c>
      <c r="F45" s="2479"/>
      <c r="H45" s="2484"/>
      <c r="I45" s="2506" t="s">
        <v>6032</v>
      </c>
      <c r="J45" s="2507">
        <v>566381766</v>
      </c>
      <c r="K45" s="2507">
        <v>151097351</v>
      </c>
      <c r="L45" s="2508">
        <v>52513</v>
      </c>
      <c r="M45" s="2501"/>
      <c r="N45" s="2501"/>
      <c r="O45" s="2501"/>
      <c r="P45" s="2501"/>
      <c r="Q45" s="2501"/>
      <c r="R45" s="2501"/>
      <c r="S45" s="2501"/>
    </row>
    <row r="46" spans="1:19" ht="15.75" customHeight="1" x14ac:dyDescent="0.2">
      <c r="A46" s="2497">
        <v>39</v>
      </c>
      <c r="B46" s="2512" t="s">
        <v>6033</v>
      </c>
      <c r="C46" s="2488"/>
      <c r="D46" s="2513">
        <v>1391069</v>
      </c>
      <c r="E46" s="2505">
        <f t="shared" si="2"/>
        <v>1383552</v>
      </c>
      <c r="F46" s="2479"/>
      <c r="H46" s="2484"/>
      <c r="I46" s="2506" t="s">
        <v>6034</v>
      </c>
      <c r="J46" s="2507">
        <v>1383552</v>
      </c>
      <c r="K46" s="2507">
        <v>1361714</v>
      </c>
      <c r="L46" s="2508">
        <v>1374246</v>
      </c>
      <c r="M46" s="2501"/>
      <c r="N46" s="2501"/>
      <c r="O46" s="2501"/>
      <c r="P46" s="2501"/>
      <c r="Q46" s="2501"/>
      <c r="R46" s="2501"/>
      <c r="S46" s="2501"/>
    </row>
    <row r="47" spans="1:19" ht="15.75" customHeight="1" x14ac:dyDescent="0.2">
      <c r="A47" s="2497">
        <v>40</v>
      </c>
      <c r="B47" s="2512" t="s">
        <v>6035</v>
      </c>
      <c r="C47" s="2488"/>
      <c r="D47" s="2513">
        <v>579437294</v>
      </c>
      <c r="E47" s="2505">
        <f t="shared" si="2"/>
        <v>533992933</v>
      </c>
      <c r="F47" s="2479"/>
      <c r="H47" s="2484"/>
      <c r="I47" s="2506" t="s">
        <v>6036</v>
      </c>
      <c r="J47" s="2507">
        <v>533992933</v>
      </c>
      <c r="K47" s="2507">
        <v>479505475</v>
      </c>
      <c r="L47" s="2508">
        <v>472567933</v>
      </c>
      <c r="M47" s="2501"/>
      <c r="N47" s="2501"/>
      <c r="O47" s="2501"/>
      <c r="P47" s="2501"/>
      <c r="Q47" s="2501"/>
      <c r="R47" s="2501"/>
      <c r="S47" s="2501"/>
    </row>
    <row r="48" spans="1:19" ht="15.75" customHeight="1" x14ac:dyDescent="0.2">
      <c r="A48" s="2497">
        <v>41</v>
      </c>
      <c r="B48" s="2512" t="s">
        <v>6037</v>
      </c>
      <c r="C48" s="2488"/>
      <c r="D48" s="2513">
        <v>445112582</v>
      </c>
      <c r="E48" s="2505">
        <f t="shared" si="2"/>
        <v>75334312</v>
      </c>
      <c r="F48" s="2479"/>
      <c r="H48" s="2484"/>
      <c r="I48" s="2506" t="s">
        <v>6038</v>
      </c>
      <c r="J48" s="2507">
        <v>75334312</v>
      </c>
      <c r="K48" s="2507">
        <v>49554169</v>
      </c>
      <c r="L48" s="2508">
        <v>39312444</v>
      </c>
      <c r="M48" s="2501"/>
      <c r="N48" s="2501"/>
      <c r="O48" s="2501"/>
      <c r="P48" s="2501"/>
      <c r="Q48" s="2501"/>
      <c r="R48" s="2501"/>
      <c r="S48" s="2501"/>
    </row>
    <row r="49" spans="1:19" ht="15.75" customHeight="1" x14ac:dyDescent="0.2">
      <c r="A49" s="2497">
        <v>42</v>
      </c>
      <c r="B49" s="2512" t="s">
        <v>6039</v>
      </c>
      <c r="C49" s="2488"/>
      <c r="D49" s="2513">
        <v>30393528</v>
      </c>
      <c r="E49" s="2505">
        <f t="shared" si="2"/>
        <v>18532513</v>
      </c>
      <c r="F49" s="2479"/>
      <c r="H49" s="2484"/>
      <c r="I49" s="2506" t="s">
        <v>6040</v>
      </c>
      <c r="J49" s="2507">
        <v>18532513</v>
      </c>
      <c r="K49" s="2507">
        <v>17701164</v>
      </c>
      <c r="L49" s="2508">
        <v>17084938</v>
      </c>
      <c r="M49" s="2501"/>
      <c r="N49" s="2501"/>
      <c r="O49" s="2501"/>
      <c r="P49" s="2501"/>
      <c r="Q49" s="2501"/>
      <c r="R49" s="2501"/>
      <c r="S49" s="2501"/>
    </row>
    <row r="50" spans="1:19" ht="15.75" customHeight="1" x14ac:dyDescent="0.2">
      <c r="A50" s="2497">
        <v>43</v>
      </c>
      <c r="B50" s="2512" t="s">
        <v>6041</v>
      </c>
      <c r="C50" s="2488"/>
      <c r="D50" s="2513">
        <v>0</v>
      </c>
      <c r="E50" s="2505">
        <f t="shared" si="2"/>
        <v>0</v>
      </c>
      <c r="F50" s="2479"/>
      <c r="H50" s="2484"/>
      <c r="I50" s="2506" t="s">
        <v>6042</v>
      </c>
      <c r="J50" s="2507">
        <v>0</v>
      </c>
      <c r="K50" s="2507">
        <v>0</v>
      </c>
      <c r="L50" s="2508">
        <v>0</v>
      </c>
      <c r="M50" s="2501"/>
      <c r="N50" s="2501"/>
      <c r="O50" s="2501"/>
      <c r="P50" s="2501"/>
      <c r="Q50" s="2501"/>
      <c r="R50" s="2501"/>
      <c r="S50" s="2501"/>
    </row>
    <row r="51" spans="1:19" ht="15.75" customHeight="1" x14ac:dyDescent="0.2">
      <c r="A51" s="2497">
        <v>44</v>
      </c>
      <c r="B51" s="2512" t="s">
        <v>6043</v>
      </c>
      <c r="C51" s="2488"/>
      <c r="D51" s="2514">
        <v>131922056</v>
      </c>
      <c r="E51" s="2514">
        <f t="shared" si="2"/>
        <v>83670876</v>
      </c>
      <c r="F51" s="2479"/>
      <c r="H51" s="2484"/>
      <c r="I51" s="2506" t="s">
        <v>6044</v>
      </c>
      <c r="J51" s="2507">
        <v>83670876</v>
      </c>
      <c r="K51" s="2507">
        <v>55652195</v>
      </c>
      <c r="L51" s="2508">
        <v>28457757</v>
      </c>
      <c r="M51" s="2501"/>
      <c r="N51" s="2501"/>
      <c r="O51" s="2501"/>
      <c r="P51" s="2501"/>
      <c r="Q51" s="2501"/>
      <c r="R51" s="2501"/>
      <c r="S51" s="2501"/>
    </row>
    <row r="52" spans="1:19" ht="15.75" customHeight="1" x14ac:dyDescent="0.2">
      <c r="A52" s="2497">
        <v>45</v>
      </c>
      <c r="B52" s="2512" t="s">
        <v>6045</v>
      </c>
      <c r="C52" s="2497">
        <v>227</v>
      </c>
      <c r="D52" s="2513">
        <v>103923863</v>
      </c>
      <c r="E52" s="2505">
        <f t="shared" si="2"/>
        <v>133979566</v>
      </c>
      <c r="F52" s="2479"/>
      <c r="H52" s="2484"/>
      <c r="I52" s="2506" t="s">
        <v>6046</v>
      </c>
      <c r="J52" s="2507">
        <v>133979566</v>
      </c>
      <c r="K52" s="2507">
        <v>192078435</v>
      </c>
      <c r="L52" s="2508">
        <v>222141625</v>
      </c>
      <c r="M52" s="2501"/>
      <c r="N52" s="2501"/>
      <c r="O52" s="2501"/>
      <c r="P52" s="2501"/>
      <c r="Q52" s="2501"/>
      <c r="R52" s="2501"/>
      <c r="S52" s="2501"/>
    </row>
    <row r="53" spans="1:19" ht="15.75" customHeight="1" x14ac:dyDescent="0.2">
      <c r="A53" s="2497">
        <v>46</v>
      </c>
      <c r="B53" s="2512" t="s">
        <v>6047</v>
      </c>
      <c r="C53" s="2497">
        <v>227</v>
      </c>
      <c r="D53" s="2513">
        <v>0</v>
      </c>
      <c r="E53" s="2505">
        <f t="shared" si="2"/>
        <v>0</v>
      </c>
      <c r="F53" s="2479"/>
      <c r="H53" s="2484"/>
      <c r="I53" s="2506" t="s">
        <v>6048</v>
      </c>
      <c r="J53" s="2507">
        <v>0</v>
      </c>
      <c r="K53" s="2507">
        <v>0</v>
      </c>
      <c r="L53" s="2508">
        <v>0</v>
      </c>
      <c r="M53" s="2501"/>
      <c r="N53" s="2501"/>
      <c r="O53" s="2501"/>
      <c r="P53" s="2501"/>
      <c r="Q53" s="2501"/>
      <c r="R53" s="2501"/>
      <c r="S53" s="2501"/>
    </row>
    <row r="54" spans="1:19" ht="15.75" customHeight="1" x14ac:dyDescent="0.2">
      <c r="A54" s="2497">
        <v>47</v>
      </c>
      <c r="B54" s="2512" t="s">
        <v>6049</v>
      </c>
      <c r="C54" s="2497">
        <v>227</v>
      </c>
      <c r="D54" s="2513">
        <v>0</v>
      </c>
      <c r="E54" s="2505">
        <f t="shared" si="2"/>
        <v>0</v>
      </c>
      <c r="F54" s="2479"/>
      <c r="H54" s="2484"/>
      <c r="I54" s="2506" t="s">
        <v>6050</v>
      </c>
      <c r="J54" s="2507">
        <v>0</v>
      </c>
      <c r="K54" s="2507">
        <v>0</v>
      </c>
      <c r="L54" s="2508">
        <v>0</v>
      </c>
      <c r="M54" s="2501"/>
      <c r="N54" s="2501"/>
      <c r="O54" s="2501"/>
      <c r="P54" s="2501"/>
      <c r="Q54" s="2501"/>
      <c r="R54" s="2501"/>
      <c r="S54" s="2501"/>
    </row>
    <row r="55" spans="1:19" ht="15.75" customHeight="1" x14ac:dyDescent="0.2">
      <c r="A55" s="2497">
        <v>48</v>
      </c>
      <c r="B55" s="2512" t="s">
        <v>6051</v>
      </c>
      <c r="C55" s="2497">
        <v>227</v>
      </c>
      <c r="D55" s="2513">
        <v>428441000</v>
      </c>
      <c r="E55" s="2505">
        <f t="shared" si="2"/>
        <v>340361073</v>
      </c>
      <c r="F55" s="2479"/>
      <c r="H55" s="2484"/>
      <c r="I55" s="2506" t="s">
        <v>6052</v>
      </c>
      <c r="J55" s="2507">
        <v>340361073</v>
      </c>
      <c r="K55" s="2507">
        <v>281877967</v>
      </c>
      <c r="L55" s="2508">
        <v>260235105</v>
      </c>
      <c r="M55" s="2501"/>
      <c r="N55" s="2501"/>
      <c r="O55" s="2501"/>
      <c r="P55" s="2501"/>
      <c r="Q55" s="2501"/>
      <c r="R55" s="2501"/>
      <c r="S55" s="2501"/>
    </row>
    <row r="56" spans="1:19" ht="15.75" customHeight="1" x14ac:dyDescent="0.2">
      <c r="A56" s="2497">
        <v>49</v>
      </c>
      <c r="B56" s="2512" t="s">
        <v>6053</v>
      </c>
      <c r="C56" s="2497">
        <v>227</v>
      </c>
      <c r="D56" s="2513">
        <v>0</v>
      </c>
      <c r="E56" s="2505">
        <f t="shared" si="2"/>
        <v>0</v>
      </c>
      <c r="F56" s="2479"/>
      <c r="H56" s="2484"/>
      <c r="I56" s="2506" t="s">
        <v>6054</v>
      </c>
      <c r="J56" s="2507">
        <v>0</v>
      </c>
      <c r="K56" s="2507">
        <v>0</v>
      </c>
      <c r="L56" s="2508">
        <v>0</v>
      </c>
      <c r="M56" s="2501"/>
      <c r="N56" s="2501"/>
      <c r="O56" s="2501"/>
      <c r="P56" s="2501"/>
      <c r="Q56" s="2501"/>
      <c r="R56" s="2501"/>
      <c r="S56" s="2501"/>
    </row>
    <row r="57" spans="1:19" ht="15.75" customHeight="1" x14ac:dyDescent="0.2">
      <c r="A57" s="2497">
        <v>50</v>
      </c>
      <c r="B57" s="2512" t="s">
        <v>6055</v>
      </c>
      <c r="C57" s="2497">
        <v>227</v>
      </c>
      <c r="D57" s="2513">
        <v>0</v>
      </c>
      <c r="E57" s="2505">
        <f t="shared" si="2"/>
        <v>0</v>
      </c>
      <c r="F57" s="2479"/>
      <c r="H57" s="2484"/>
      <c r="I57" s="2506" t="s">
        <v>6056</v>
      </c>
      <c r="J57" s="2507">
        <v>0</v>
      </c>
      <c r="K57" s="2507">
        <v>0</v>
      </c>
      <c r="L57" s="2508">
        <v>0</v>
      </c>
      <c r="M57" s="2501"/>
      <c r="N57" s="2501"/>
      <c r="O57" s="2501"/>
      <c r="P57" s="2501"/>
      <c r="Q57" s="2501"/>
      <c r="R57" s="2501"/>
      <c r="S57" s="2501"/>
    </row>
    <row r="58" spans="1:19" ht="15.75" customHeight="1" x14ac:dyDescent="0.2">
      <c r="A58" s="2497">
        <v>51</v>
      </c>
      <c r="B58" s="2512" t="s">
        <v>6057</v>
      </c>
      <c r="C58" s="2489" t="s">
        <v>6058</v>
      </c>
      <c r="D58" s="2513">
        <v>0</v>
      </c>
      <c r="E58" s="2505">
        <f t="shared" si="2"/>
        <v>0</v>
      </c>
      <c r="F58" s="2479"/>
      <c r="H58" s="2484"/>
      <c r="I58" s="2506" t="s">
        <v>6059</v>
      </c>
      <c r="J58" s="2507">
        <v>0</v>
      </c>
      <c r="K58" s="2507">
        <v>0</v>
      </c>
      <c r="L58" s="2508">
        <v>0</v>
      </c>
      <c r="M58" s="2501"/>
      <c r="N58" s="2501"/>
      <c r="O58" s="2501"/>
      <c r="P58" s="2501"/>
      <c r="Q58" s="2501"/>
      <c r="R58" s="2501"/>
      <c r="S58" s="2501"/>
    </row>
    <row r="59" spans="1:19" ht="15.75" customHeight="1" x14ac:dyDescent="0.2">
      <c r="A59" s="2497">
        <v>52</v>
      </c>
      <c r="B59" s="2512" t="s">
        <v>6060</v>
      </c>
      <c r="C59" s="2489" t="s">
        <v>6001</v>
      </c>
      <c r="D59" s="2513">
        <v>2677526</v>
      </c>
      <c r="E59" s="2505">
        <f t="shared" si="2"/>
        <v>2577755</v>
      </c>
      <c r="F59" s="2479"/>
      <c r="H59" s="2484"/>
      <c r="I59" s="2506" t="s">
        <v>6061</v>
      </c>
      <c r="J59" s="2507">
        <v>2577755</v>
      </c>
      <c r="K59" s="2507">
        <v>0</v>
      </c>
      <c r="L59" s="2508">
        <v>0</v>
      </c>
      <c r="M59" s="2501"/>
      <c r="N59" s="2501"/>
      <c r="O59" s="2501"/>
      <c r="P59" s="2501"/>
      <c r="Q59" s="2501"/>
      <c r="R59" s="2501"/>
      <c r="S59" s="2501"/>
    </row>
    <row r="60" spans="1:19" ht="16.7" customHeight="1" x14ac:dyDescent="0.2">
      <c r="A60" s="2497">
        <v>53</v>
      </c>
      <c r="B60" s="2502" t="s">
        <v>6062</v>
      </c>
      <c r="C60" s="2509"/>
      <c r="D60" s="2505">
        <v>0</v>
      </c>
      <c r="E60" s="2505">
        <f t="shared" si="2"/>
        <v>0</v>
      </c>
      <c r="F60" s="2479"/>
      <c r="H60" s="2484"/>
      <c r="I60" s="2506" t="s">
        <v>6063</v>
      </c>
      <c r="J60" s="2507">
        <v>0</v>
      </c>
      <c r="K60" s="2507">
        <v>0</v>
      </c>
      <c r="L60" s="2508">
        <v>0</v>
      </c>
      <c r="M60" s="2501"/>
      <c r="N60" s="2501"/>
      <c r="O60" s="2501"/>
      <c r="P60" s="2501"/>
      <c r="Q60" s="2501"/>
      <c r="R60" s="2501"/>
      <c r="S60" s="2501"/>
    </row>
    <row r="61" spans="1:19" ht="16.7" customHeight="1" x14ac:dyDescent="0.2">
      <c r="A61" s="2497">
        <v>54</v>
      </c>
      <c r="B61" s="2502" t="s">
        <v>6064</v>
      </c>
      <c r="C61" s="2515">
        <v>227</v>
      </c>
      <c r="D61" s="2505">
        <v>0</v>
      </c>
      <c r="E61" s="2505">
        <f t="shared" si="2"/>
        <v>0</v>
      </c>
      <c r="F61" s="2479"/>
      <c r="H61" s="2484"/>
      <c r="I61" s="2506" t="s">
        <v>6065</v>
      </c>
      <c r="J61" s="2507">
        <v>0</v>
      </c>
      <c r="K61" s="2507">
        <v>0</v>
      </c>
      <c r="L61" s="2508">
        <v>0</v>
      </c>
      <c r="M61" s="2501"/>
      <c r="N61" s="2501"/>
      <c r="O61" s="2501"/>
      <c r="P61" s="2501"/>
      <c r="Q61" s="2501"/>
      <c r="R61" s="2501"/>
      <c r="S61" s="2501"/>
    </row>
    <row r="62" spans="1:19" ht="16.7" customHeight="1" x14ac:dyDescent="0.2">
      <c r="A62" s="2497">
        <v>55</v>
      </c>
      <c r="B62" s="2502" t="s">
        <v>6066</v>
      </c>
      <c r="C62" s="2509"/>
      <c r="D62" s="2505">
        <v>0</v>
      </c>
      <c r="E62" s="2505">
        <f t="shared" si="2"/>
        <v>0</v>
      </c>
      <c r="F62" s="2479"/>
      <c r="H62" s="2484"/>
      <c r="I62" s="2506" t="s">
        <v>6067</v>
      </c>
      <c r="J62" s="2507">
        <v>0</v>
      </c>
      <c r="K62" s="2507">
        <v>0</v>
      </c>
      <c r="L62" s="2508">
        <v>0</v>
      </c>
      <c r="M62" s="2501"/>
      <c r="N62" s="2501"/>
      <c r="O62" s="2501"/>
      <c r="P62" s="2501"/>
      <c r="Q62" s="2501"/>
      <c r="R62" s="2501"/>
      <c r="S62" s="2501"/>
    </row>
    <row r="63" spans="1:19" ht="16.7" customHeight="1" x14ac:dyDescent="0.2">
      <c r="A63" s="2497">
        <v>56</v>
      </c>
      <c r="B63" s="2502" t="s">
        <v>6068</v>
      </c>
      <c r="C63" s="2509"/>
      <c r="D63" s="2505">
        <v>0</v>
      </c>
      <c r="E63" s="2505">
        <f t="shared" si="2"/>
        <v>0</v>
      </c>
      <c r="F63" s="2479"/>
      <c r="H63" s="2484"/>
      <c r="I63" s="2506" t="s">
        <v>6069</v>
      </c>
      <c r="J63" s="2507">
        <v>0</v>
      </c>
      <c r="K63" s="2507">
        <v>0</v>
      </c>
      <c r="L63" s="2508">
        <v>0</v>
      </c>
      <c r="M63" s="2501"/>
      <c r="N63" s="2501"/>
      <c r="O63" s="2501"/>
      <c r="P63" s="2501"/>
      <c r="Q63" s="2501"/>
      <c r="R63" s="2501"/>
      <c r="S63" s="2501"/>
    </row>
    <row r="64" spans="1:19" ht="16.7" customHeight="1" x14ac:dyDescent="0.2">
      <c r="A64" s="2497">
        <v>57</v>
      </c>
      <c r="B64" s="2502" t="s">
        <v>6070</v>
      </c>
      <c r="C64" s="2509"/>
      <c r="D64" s="2505">
        <v>224499606</v>
      </c>
      <c r="E64" s="2505">
        <f t="shared" si="2"/>
        <v>129879658</v>
      </c>
      <c r="F64" s="2479"/>
      <c r="H64" s="2484"/>
      <c r="I64" s="2506" t="s">
        <v>6071</v>
      </c>
      <c r="J64" s="2507">
        <v>129879658</v>
      </c>
      <c r="K64" s="2507">
        <v>81560111</v>
      </c>
      <c r="L64" s="2508">
        <v>80191819</v>
      </c>
      <c r="M64" s="2501"/>
      <c r="N64" s="2501"/>
      <c r="O64" s="2501"/>
      <c r="P64" s="2501"/>
      <c r="Q64" s="2501"/>
      <c r="R64" s="2501"/>
      <c r="S64" s="2501"/>
    </row>
    <row r="65" spans="1:19" ht="16.7" customHeight="1" x14ac:dyDescent="0.2">
      <c r="A65" s="2497">
        <v>58</v>
      </c>
      <c r="B65" s="2502" t="s">
        <v>6072</v>
      </c>
      <c r="C65" s="2509"/>
      <c r="D65" s="2505">
        <v>0</v>
      </c>
      <c r="E65" s="2505">
        <f t="shared" si="2"/>
        <v>0</v>
      </c>
      <c r="F65" s="2479"/>
      <c r="H65" s="2484"/>
      <c r="I65" s="2506" t="s">
        <v>6073</v>
      </c>
      <c r="J65" s="2507">
        <v>0</v>
      </c>
      <c r="K65" s="2507">
        <v>0</v>
      </c>
      <c r="L65" s="2508">
        <v>0</v>
      </c>
      <c r="M65" s="2501"/>
      <c r="N65" s="2501"/>
      <c r="O65" s="2501"/>
      <c r="P65" s="2501"/>
      <c r="Q65" s="2501"/>
      <c r="R65" s="2501"/>
      <c r="S65" s="2501"/>
    </row>
    <row r="66" spans="1:19" ht="16.7" customHeight="1" x14ac:dyDescent="0.2">
      <c r="A66" s="2497">
        <v>59</v>
      </c>
      <c r="B66" s="2502" t="s">
        <v>6074</v>
      </c>
      <c r="C66" s="2509"/>
      <c r="D66" s="2505">
        <v>0</v>
      </c>
      <c r="E66" s="2505">
        <f t="shared" si="2"/>
        <v>1275153</v>
      </c>
      <c r="F66" s="2479"/>
      <c r="H66" s="2484"/>
      <c r="I66" s="2506" t="s">
        <v>6075</v>
      </c>
      <c r="J66" s="2507">
        <v>1275153</v>
      </c>
      <c r="K66" s="2507">
        <v>1965</v>
      </c>
      <c r="L66" s="2508">
        <v>0</v>
      </c>
      <c r="M66" s="2501"/>
      <c r="N66" s="2501"/>
      <c r="O66" s="2501"/>
      <c r="P66" s="2501"/>
      <c r="Q66" s="2501"/>
      <c r="R66" s="2501"/>
      <c r="S66" s="2501"/>
    </row>
    <row r="67" spans="1:19" ht="16.7" customHeight="1" x14ac:dyDescent="0.2">
      <c r="A67" s="2497">
        <v>60</v>
      </c>
      <c r="B67" s="2502" t="s">
        <v>6076</v>
      </c>
      <c r="C67" s="2509"/>
      <c r="D67" s="2505">
        <v>3901329</v>
      </c>
      <c r="E67" s="2505">
        <f t="shared" si="2"/>
        <v>1665826</v>
      </c>
      <c r="F67" s="2479"/>
      <c r="H67" s="2484"/>
      <c r="I67" s="2506" t="s">
        <v>6077</v>
      </c>
      <c r="J67" s="2507">
        <v>1665826</v>
      </c>
      <c r="K67" s="2507">
        <v>1181610</v>
      </c>
      <c r="L67" s="2508">
        <v>1184888</v>
      </c>
      <c r="M67" s="2501"/>
      <c r="N67" s="2501"/>
      <c r="O67" s="2501"/>
      <c r="P67" s="2501"/>
      <c r="Q67" s="2501"/>
      <c r="R67" s="2501"/>
      <c r="S67" s="2501"/>
    </row>
    <row r="68" spans="1:19" ht="16.7" customHeight="1" x14ac:dyDescent="0.2">
      <c r="A68" s="2497">
        <v>61</v>
      </c>
      <c r="B68" s="2502" t="s">
        <v>6078</v>
      </c>
      <c r="C68" s="2509"/>
      <c r="D68" s="2505">
        <v>295002000</v>
      </c>
      <c r="E68" s="2505">
        <f t="shared" si="2"/>
        <v>300524000</v>
      </c>
      <c r="F68" s="2479"/>
      <c r="H68" s="2484"/>
      <c r="I68" s="2506" t="s">
        <v>6079</v>
      </c>
      <c r="J68" s="2507">
        <v>300524000</v>
      </c>
      <c r="K68" s="2507">
        <v>263654000</v>
      </c>
      <c r="L68" s="2508">
        <v>253806000</v>
      </c>
      <c r="M68" s="2501"/>
      <c r="N68" s="2501"/>
      <c r="O68" s="2501"/>
      <c r="P68" s="2501"/>
      <c r="Q68" s="2501"/>
      <c r="R68" s="2501"/>
      <c r="S68" s="2501"/>
    </row>
    <row r="69" spans="1:19" ht="16.7" customHeight="1" x14ac:dyDescent="0.2">
      <c r="A69" s="2497">
        <v>62</v>
      </c>
      <c r="B69" s="2502" t="s">
        <v>6080</v>
      </c>
      <c r="C69" s="2509"/>
      <c r="D69" s="2505">
        <v>0</v>
      </c>
      <c r="E69" s="2505">
        <f t="shared" si="2"/>
        <v>0</v>
      </c>
      <c r="F69" s="2479"/>
      <c r="H69" s="2484"/>
      <c r="I69" s="2506" t="s">
        <v>6081</v>
      </c>
      <c r="J69" s="2507">
        <v>0</v>
      </c>
      <c r="K69" s="2507">
        <v>0</v>
      </c>
      <c r="L69" s="2508">
        <v>11101465</v>
      </c>
      <c r="M69" s="2501"/>
      <c r="N69" s="2501"/>
      <c r="O69" s="2501"/>
      <c r="P69" s="2501"/>
      <c r="Q69" s="2501"/>
      <c r="R69" s="2501"/>
      <c r="S69" s="2501"/>
    </row>
    <row r="70" spans="1:19" ht="16.7" customHeight="1" x14ac:dyDescent="0.2">
      <c r="A70" s="2497">
        <v>63</v>
      </c>
      <c r="B70" s="2502" t="s">
        <v>6082</v>
      </c>
      <c r="C70" s="2509"/>
      <c r="D70" s="2505">
        <v>17486121</v>
      </c>
      <c r="E70" s="2505">
        <f t="shared" si="2"/>
        <v>198724444</v>
      </c>
      <c r="F70" s="2479"/>
      <c r="H70" s="2484"/>
      <c r="I70" s="2506" t="s">
        <v>6083</v>
      </c>
      <c r="J70" s="2507">
        <v>198724444</v>
      </c>
      <c r="K70" s="2507">
        <v>95643511</v>
      </c>
      <c r="L70" s="2508">
        <v>33026440</v>
      </c>
      <c r="M70" s="2501"/>
      <c r="N70" s="2501"/>
      <c r="O70" s="2501"/>
      <c r="P70" s="2501"/>
      <c r="Q70" s="2501"/>
      <c r="R70" s="2501"/>
      <c r="S70" s="2501"/>
    </row>
    <row r="71" spans="1:19" ht="16.7" customHeight="1" x14ac:dyDescent="0.2">
      <c r="A71" s="2497">
        <v>64</v>
      </c>
      <c r="B71" s="2502" t="s">
        <v>6084</v>
      </c>
      <c r="C71" s="2509"/>
      <c r="D71" s="2505">
        <v>2200107</v>
      </c>
      <c r="E71" s="2505">
        <f>E37</f>
        <v>14530841</v>
      </c>
      <c r="F71" s="2479"/>
      <c r="H71" s="2484"/>
      <c r="I71" s="2506" t="s">
        <v>6085</v>
      </c>
      <c r="J71" s="2507">
        <v>14530841</v>
      </c>
      <c r="K71" s="2507">
        <v>19559679</v>
      </c>
      <c r="L71" s="2508">
        <v>6372711</v>
      </c>
      <c r="M71" s="2501"/>
      <c r="N71" s="2501"/>
      <c r="O71" s="2501"/>
      <c r="P71" s="2501"/>
      <c r="Q71" s="2501"/>
      <c r="R71" s="2501"/>
      <c r="S71" s="2501"/>
    </row>
    <row r="72" spans="1:19" ht="16.7" customHeight="1" x14ac:dyDescent="0.2">
      <c r="A72" s="2497">
        <v>65</v>
      </c>
      <c r="B72" s="2502" t="s">
        <v>6086</v>
      </c>
      <c r="C72" s="2509"/>
      <c r="D72" s="2505">
        <v>0</v>
      </c>
      <c r="E72" s="2505">
        <f>SUMIF($I:$I,A72,$J:$J)</f>
        <v>0</v>
      </c>
      <c r="F72" s="2479"/>
      <c r="H72" s="2484"/>
      <c r="I72" s="2506" t="s">
        <v>6087</v>
      </c>
      <c r="J72" s="2507">
        <v>0</v>
      </c>
      <c r="K72" s="2507">
        <v>0</v>
      </c>
      <c r="L72" s="2508">
        <v>0</v>
      </c>
      <c r="M72" s="2501"/>
      <c r="N72" s="2501"/>
      <c r="O72" s="2501"/>
      <c r="P72" s="2501"/>
      <c r="Q72" s="2501"/>
      <c r="R72" s="2501"/>
      <c r="S72" s="2501"/>
    </row>
    <row r="73" spans="1:19" ht="16.7" customHeight="1" x14ac:dyDescent="0.2">
      <c r="A73" s="2497">
        <v>66</v>
      </c>
      <c r="B73" s="2502" t="s">
        <v>6088</v>
      </c>
      <c r="C73" s="2509"/>
      <c r="D73" s="2505">
        <v>0</v>
      </c>
      <c r="E73" s="2505">
        <f>SUMIF($I:$I,A73,$J:$J)</f>
        <v>0</v>
      </c>
      <c r="F73" s="2479"/>
      <c r="H73" s="2484"/>
      <c r="I73" s="2506" t="s">
        <v>6089</v>
      </c>
      <c r="J73" s="2507">
        <v>0</v>
      </c>
      <c r="K73" s="2507">
        <v>0</v>
      </c>
      <c r="L73" s="2508">
        <v>0</v>
      </c>
      <c r="M73" s="2501"/>
      <c r="N73" s="2501"/>
      <c r="O73" s="2501"/>
      <c r="P73" s="2501"/>
      <c r="Q73" s="2501"/>
      <c r="R73" s="2501"/>
      <c r="S73" s="2501"/>
    </row>
    <row r="74" spans="1:19" ht="16.7" customHeight="1" x14ac:dyDescent="0.2">
      <c r="A74" s="2497">
        <v>67</v>
      </c>
      <c r="B74" s="2502" t="s">
        <v>6090</v>
      </c>
      <c r="C74" s="2509"/>
      <c r="D74" s="2505">
        <f>SUM(D41:D48,D50:D59,D61:D70,D72)-SUM(D49,D60,D71,D73)</f>
        <v>2328506268</v>
      </c>
      <c r="E74" s="2505">
        <f>SUM(E41:E48,E50:E59,E61:E70,E72)-SUM(E49,E60,E71,E73)</f>
        <v>2357802574</v>
      </c>
      <c r="F74" s="2479"/>
      <c r="H74" s="2484"/>
      <c r="I74" s="2506" t="s">
        <v>6091</v>
      </c>
      <c r="J74" s="2507">
        <f>SUM(J41:J48,J50:J59,J61:J70,J72)-SUM(J49,J60,J71,J73)</f>
        <v>2357802574</v>
      </c>
      <c r="K74" s="2507">
        <f>SUM(K41:K48,K50:K59,K61:K70,K72)-SUM(K49,K60,K71,K73)</f>
        <v>1617378455</v>
      </c>
      <c r="L74" s="2508">
        <v>1391374546</v>
      </c>
      <c r="M74" s="2501"/>
      <c r="N74" s="2501"/>
      <c r="O74" s="2501"/>
      <c r="P74" s="2501"/>
      <c r="Q74" s="2501"/>
      <c r="R74" s="2501"/>
      <c r="S74" s="2501"/>
    </row>
    <row r="75" spans="1:19" ht="16.7" customHeight="1" x14ac:dyDescent="0.2">
      <c r="A75" s="2497">
        <v>68</v>
      </c>
      <c r="B75" s="2498" t="s">
        <v>6092</v>
      </c>
      <c r="C75" s="2488"/>
      <c r="D75" s="2510"/>
      <c r="E75" s="2510"/>
      <c r="F75" s="2479"/>
      <c r="H75" s="2484"/>
      <c r="I75" s="2506" t="s">
        <v>6093</v>
      </c>
      <c r="J75" s="2511"/>
      <c r="K75" s="2511"/>
      <c r="L75" s="2508">
        <v>0</v>
      </c>
      <c r="M75" s="2501"/>
      <c r="N75" s="2501"/>
      <c r="O75" s="2501"/>
      <c r="P75" s="2501"/>
      <c r="Q75" s="2501"/>
      <c r="R75" s="2501"/>
      <c r="S75" s="2501"/>
    </row>
    <row r="76" spans="1:19" ht="16.7" customHeight="1" x14ac:dyDescent="0.2">
      <c r="A76" s="2497">
        <v>69</v>
      </c>
      <c r="B76" s="2502" t="s">
        <v>6094</v>
      </c>
      <c r="C76" s="2509"/>
      <c r="D76" s="2505">
        <v>57531239</v>
      </c>
      <c r="E76" s="2505">
        <f t="shared" ref="E76:E90" si="3">SUMIF($I:$I,A76,$J:$J)</f>
        <v>49255311</v>
      </c>
      <c r="F76" s="2479"/>
      <c r="H76" s="2484"/>
      <c r="I76" s="2506" t="s">
        <v>6095</v>
      </c>
      <c r="J76" s="2507">
        <v>49255311</v>
      </c>
      <c r="K76" s="2507">
        <v>42678915</v>
      </c>
      <c r="L76" s="2508">
        <v>37670714</v>
      </c>
      <c r="M76" s="2501"/>
      <c r="N76" s="2501"/>
      <c r="O76" s="2501"/>
      <c r="P76" s="2501"/>
      <c r="Q76" s="2501"/>
      <c r="R76" s="2501"/>
      <c r="S76" s="2501"/>
    </row>
    <row r="77" spans="1:19" ht="16.7" customHeight="1" x14ac:dyDescent="0.2">
      <c r="A77" s="2497">
        <v>70</v>
      </c>
      <c r="B77" s="2502" t="s">
        <v>6096</v>
      </c>
      <c r="C77" s="2503" t="s">
        <v>6097</v>
      </c>
      <c r="D77" s="2505">
        <v>0</v>
      </c>
      <c r="E77" s="2505">
        <f t="shared" si="3"/>
        <v>0</v>
      </c>
      <c r="F77" s="2479"/>
      <c r="H77" s="2484"/>
      <c r="I77" s="2506" t="s">
        <v>6098</v>
      </c>
      <c r="J77" s="2507">
        <v>0</v>
      </c>
      <c r="K77" s="2507">
        <v>0</v>
      </c>
      <c r="L77" s="2508">
        <v>0</v>
      </c>
      <c r="M77" s="2501"/>
      <c r="N77" s="2501"/>
      <c r="O77" s="2501"/>
      <c r="P77" s="2501"/>
      <c r="Q77" s="2501"/>
      <c r="R77" s="2501"/>
      <c r="S77" s="2501"/>
    </row>
    <row r="78" spans="1:19" ht="16.7" customHeight="1" x14ac:dyDescent="0.2">
      <c r="A78" s="2497">
        <v>71</v>
      </c>
      <c r="B78" s="2502" t="s">
        <v>6099</v>
      </c>
      <c r="C78" s="2503" t="s">
        <v>6100</v>
      </c>
      <c r="D78" s="2505">
        <v>0</v>
      </c>
      <c r="E78" s="2505">
        <f t="shared" si="3"/>
        <v>0</v>
      </c>
      <c r="F78" s="2479"/>
      <c r="H78" s="2484"/>
      <c r="I78" s="2506" t="s">
        <v>6101</v>
      </c>
      <c r="J78" s="2507">
        <v>0</v>
      </c>
      <c r="K78" s="2507">
        <v>0</v>
      </c>
      <c r="L78" s="2508">
        <v>0</v>
      </c>
      <c r="M78" s="2501"/>
      <c r="N78" s="2501"/>
      <c r="O78" s="2501"/>
      <c r="P78" s="2501"/>
      <c r="Q78" s="2501"/>
      <c r="R78" s="2501"/>
      <c r="S78" s="2501"/>
    </row>
    <row r="79" spans="1:19" ht="16.7" customHeight="1" x14ac:dyDescent="0.2">
      <c r="A79" s="2497">
        <v>72</v>
      </c>
      <c r="B79" s="2502" t="s">
        <v>6102</v>
      </c>
      <c r="C79" s="2515">
        <v>232</v>
      </c>
      <c r="D79" s="2505">
        <v>2499768478</v>
      </c>
      <c r="E79" s="2505">
        <f t="shared" si="3"/>
        <v>1807229847</v>
      </c>
      <c r="F79" s="2479"/>
      <c r="H79" s="2484"/>
      <c r="I79" s="2506" t="s">
        <v>6103</v>
      </c>
      <c r="J79" s="2507">
        <v>1807229847</v>
      </c>
      <c r="K79" s="2507">
        <v>1278010867</v>
      </c>
      <c r="L79" s="2508">
        <v>1296157597</v>
      </c>
      <c r="M79" s="2501"/>
      <c r="N79" s="2501"/>
      <c r="O79" s="2501"/>
      <c r="P79" s="2501"/>
      <c r="Q79" s="2501"/>
      <c r="R79" s="2501"/>
      <c r="S79" s="2501"/>
    </row>
    <row r="80" spans="1:19" ht="16.7" customHeight="1" x14ac:dyDescent="0.2">
      <c r="A80" s="2497">
        <v>73</v>
      </c>
      <c r="B80" s="2502" t="s">
        <v>6104</v>
      </c>
      <c r="C80" s="2509"/>
      <c r="D80" s="2505">
        <v>26480769</v>
      </c>
      <c r="E80" s="2505">
        <f t="shared" si="3"/>
        <v>20141195</v>
      </c>
      <c r="F80" s="2479"/>
      <c r="H80" s="2484"/>
      <c r="I80" s="2506" t="s">
        <v>6105</v>
      </c>
      <c r="J80" s="2507">
        <v>20141195</v>
      </c>
      <c r="K80" s="2507">
        <v>9534716</v>
      </c>
      <c r="L80" s="2508">
        <v>1673810</v>
      </c>
      <c r="M80" s="2501"/>
      <c r="N80" s="2501"/>
      <c r="O80" s="2501"/>
      <c r="P80" s="2501"/>
      <c r="Q80" s="2501"/>
      <c r="R80" s="2501"/>
      <c r="S80" s="2501"/>
    </row>
    <row r="81" spans="1:19" ht="16.7" customHeight="1" x14ac:dyDescent="0.2">
      <c r="A81" s="2497">
        <v>74</v>
      </c>
      <c r="B81" s="2502" t="s">
        <v>6106</v>
      </c>
      <c r="C81" s="2509"/>
      <c r="D81" s="2505">
        <v>0</v>
      </c>
      <c r="E81" s="2505">
        <f t="shared" si="3"/>
        <v>0</v>
      </c>
      <c r="F81" s="2479"/>
      <c r="H81" s="2484"/>
      <c r="I81" s="2506" t="s">
        <v>6107</v>
      </c>
      <c r="J81" s="2507">
        <v>0</v>
      </c>
      <c r="K81" s="2507">
        <v>0</v>
      </c>
      <c r="L81" s="2508">
        <v>0</v>
      </c>
      <c r="M81" s="2501"/>
      <c r="N81" s="2501"/>
      <c r="O81" s="2501"/>
      <c r="P81" s="2501"/>
      <c r="Q81" s="2501"/>
      <c r="R81" s="2501"/>
      <c r="S81" s="2501"/>
    </row>
    <row r="82" spans="1:19" ht="16.7" customHeight="1" x14ac:dyDescent="0.2">
      <c r="A82" s="2497">
        <v>75</v>
      </c>
      <c r="B82" s="2502" t="s">
        <v>6108</v>
      </c>
      <c r="C82" s="2509"/>
      <c r="D82" s="2505">
        <v>0</v>
      </c>
      <c r="E82" s="2505">
        <f t="shared" si="3"/>
        <v>0</v>
      </c>
      <c r="F82" s="2479"/>
      <c r="H82" s="2484"/>
      <c r="I82" s="2506" t="s">
        <v>6109</v>
      </c>
      <c r="J82" s="2507">
        <v>0</v>
      </c>
      <c r="K82" s="2507">
        <v>0</v>
      </c>
      <c r="L82" s="2508">
        <v>0</v>
      </c>
      <c r="M82" s="2501"/>
      <c r="N82" s="2501"/>
      <c r="O82" s="2501"/>
      <c r="P82" s="2501"/>
      <c r="Q82" s="2501"/>
      <c r="R82" s="2501"/>
      <c r="S82" s="2501"/>
    </row>
    <row r="83" spans="1:19" ht="16.7" customHeight="1" x14ac:dyDescent="0.2">
      <c r="A83" s="2497">
        <v>76</v>
      </c>
      <c r="B83" s="2502" t="s">
        <v>6110</v>
      </c>
      <c r="C83" s="2509"/>
      <c r="D83" s="2505">
        <v>7146</v>
      </c>
      <c r="E83" s="2505">
        <f t="shared" si="3"/>
        <v>0</v>
      </c>
      <c r="F83" s="2479"/>
      <c r="H83" s="2484"/>
      <c r="I83" s="2506" t="s">
        <v>6111</v>
      </c>
      <c r="J83" s="2507">
        <v>0</v>
      </c>
      <c r="K83" s="2507">
        <v>0</v>
      </c>
      <c r="L83" s="2508">
        <v>0</v>
      </c>
      <c r="M83" s="2501"/>
      <c r="N83" s="2501"/>
      <c r="O83" s="2501"/>
      <c r="P83" s="2501"/>
      <c r="Q83" s="2501"/>
      <c r="R83" s="2501"/>
      <c r="S83" s="2501"/>
    </row>
    <row r="84" spans="1:19" ht="16.7" customHeight="1" x14ac:dyDescent="0.2">
      <c r="A84" s="2497">
        <v>77</v>
      </c>
      <c r="B84" s="2502" t="s">
        <v>6112</v>
      </c>
      <c r="C84" s="2509"/>
      <c r="D84" s="2505">
        <v>157584</v>
      </c>
      <c r="E84" s="2505">
        <f t="shared" si="3"/>
        <v>0</v>
      </c>
      <c r="F84" s="2479"/>
      <c r="H84" s="2484"/>
      <c r="I84" s="2506" t="s">
        <v>6113</v>
      </c>
      <c r="J84" s="2507">
        <v>0</v>
      </c>
      <c r="K84" s="2507">
        <v>0</v>
      </c>
      <c r="L84" s="2508">
        <v>0</v>
      </c>
      <c r="M84" s="2501"/>
      <c r="N84" s="2501"/>
      <c r="O84" s="2501"/>
      <c r="P84" s="2501"/>
      <c r="Q84" s="2501"/>
      <c r="R84" s="2501"/>
      <c r="S84" s="2501"/>
    </row>
    <row r="85" spans="1:19" ht="16.7" customHeight="1" x14ac:dyDescent="0.2">
      <c r="A85" s="2497">
        <v>78</v>
      </c>
      <c r="B85" s="2502" t="s">
        <v>6114</v>
      </c>
      <c r="C85" s="2515">
        <v>233</v>
      </c>
      <c r="D85" s="2505">
        <v>131002548</v>
      </c>
      <c r="E85" s="2505">
        <f t="shared" si="3"/>
        <v>128330985</v>
      </c>
      <c r="F85" s="2479"/>
      <c r="H85" s="2484"/>
      <c r="I85" s="2506" t="s">
        <v>6115</v>
      </c>
      <c r="J85" s="2507">
        <v>128330985</v>
      </c>
      <c r="K85" s="2507">
        <v>107087451</v>
      </c>
      <c r="L85" s="2508">
        <v>101368220</v>
      </c>
      <c r="M85" s="2501"/>
      <c r="N85" s="2501"/>
      <c r="O85" s="2501"/>
      <c r="P85" s="2501"/>
      <c r="Q85" s="2501"/>
      <c r="R85" s="2501"/>
      <c r="S85" s="2501"/>
    </row>
    <row r="86" spans="1:19" ht="16.7" customHeight="1" x14ac:dyDescent="0.2">
      <c r="A86" s="2497">
        <v>79</v>
      </c>
      <c r="B86" s="2502" t="s">
        <v>6116</v>
      </c>
      <c r="C86" s="2509"/>
      <c r="D86" s="2505">
        <v>0</v>
      </c>
      <c r="E86" s="2505">
        <f t="shared" si="3"/>
        <v>0</v>
      </c>
      <c r="F86" s="2479"/>
      <c r="H86" s="2484"/>
      <c r="I86" s="2506" t="s">
        <v>6117</v>
      </c>
      <c r="J86" s="2507">
        <v>0</v>
      </c>
      <c r="K86" s="2507">
        <v>0</v>
      </c>
      <c r="L86" s="2508">
        <v>0</v>
      </c>
      <c r="M86" s="2501"/>
      <c r="N86" s="2501"/>
      <c r="O86" s="2501"/>
      <c r="P86" s="2501"/>
      <c r="Q86" s="2501"/>
      <c r="R86" s="2501"/>
      <c r="S86" s="2501"/>
    </row>
    <row r="87" spans="1:19" ht="16.7" customHeight="1" x14ac:dyDescent="0.2">
      <c r="A87" s="2497">
        <v>80</v>
      </c>
      <c r="B87" s="2502" t="s">
        <v>6118</v>
      </c>
      <c r="C87" s="2503" t="s">
        <v>6119</v>
      </c>
      <c r="D87" s="2505">
        <v>0</v>
      </c>
      <c r="E87" s="2505">
        <f t="shared" si="3"/>
        <v>0</v>
      </c>
      <c r="F87" s="2479"/>
      <c r="H87" s="2484"/>
      <c r="I87" s="2506" t="s">
        <v>6120</v>
      </c>
      <c r="J87" s="2507">
        <v>0</v>
      </c>
      <c r="K87" s="2507">
        <v>0</v>
      </c>
      <c r="L87" s="2508">
        <v>0</v>
      </c>
      <c r="M87" s="2501"/>
      <c r="N87" s="2501"/>
      <c r="O87" s="2501"/>
      <c r="P87" s="2501"/>
      <c r="Q87" s="2501"/>
      <c r="R87" s="2501"/>
      <c r="S87" s="2501"/>
    </row>
    <row r="88" spans="1:19" ht="16.7" customHeight="1" x14ac:dyDescent="0.2">
      <c r="A88" s="2497">
        <v>81</v>
      </c>
      <c r="B88" s="2502" t="s">
        <v>6121</v>
      </c>
      <c r="C88" s="2509"/>
      <c r="D88" s="2505">
        <v>1997811</v>
      </c>
      <c r="E88" s="2505">
        <f t="shared" si="3"/>
        <v>2392432</v>
      </c>
      <c r="F88" s="2479"/>
      <c r="H88" s="2484"/>
      <c r="I88" s="2506" t="s">
        <v>6122</v>
      </c>
      <c r="J88" s="2507">
        <v>2392432</v>
      </c>
      <c r="K88" s="2507">
        <v>2836085</v>
      </c>
      <c r="L88" s="2508">
        <v>3388709</v>
      </c>
      <c r="M88" s="2501"/>
      <c r="N88" s="2501"/>
      <c r="O88" s="2501"/>
      <c r="P88" s="2501"/>
      <c r="Q88" s="2501"/>
      <c r="R88" s="2501"/>
      <c r="S88" s="2501"/>
    </row>
    <row r="89" spans="1:19" ht="16.7" customHeight="1" x14ac:dyDescent="0.2">
      <c r="A89" s="2497">
        <v>82</v>
      </c>
      <c r="B89" s="2502" t="s">
        <v>6123</v>
      </c>
      <c r="C89" s="2515">
        <v>234</v>
      </c>
      <c r="D89" s="2505">
        <v>928229377</v>
      </c>
      <c r="E89" s="2505">
        <f t="shared" si="3"/>
        <v>695784538</v>
      </c>
      <c r="F89" s="2479"/>
      <c r="H89" s="2484"/>
      <c r="I89" s="2506" t="s">
        <v>6124</v>
      </c>
      <c r="J89" s="2507">
        <v>695784538</v>
      </c>
      <c r="K89" s="2507">
        <v>701421321</v>
      </c>
      <c r="L89" s="2508">
        <v>777003313</v>
      </c>
      <c r="M89" s="2501"/>
      <c r="N89" s="2501"/>
      <c r="O89" s="2501"/>
      <c r="P89" s="2501"/>
      <c r="Q89" s="2501"/>
      <c r="R89" s="2501"/>
      <c r="S89" s="2501"/>
    </row>
    <row r="90" spans="1:19" ht="16.7" customHeight="1" x14ac:dyDescent="0.2">
      <c r="A90" s="2497">
        <v>83</v>
      </c>
      <c r="B90" s="2502" t="s">
        <v>6125</v>
      </c>
      <c r="C90" s="2509"/>
      <c r="D90" s="2505">
        <v>0</v>
      </c>
      <c r="E90" s="2505">
        <f t="shared" si="3"/>
        <v>0</v>
      </c>
      <c r="F90" s="2479"/>
      <c r="H90" s="2484"/>
      <c r="I90" s="2506" t="s">
        <v>6126</v>
      </c>
      <c r="J90" s="2507">
        <v>0</v>
      </c>
      <c r="K90" s="2507">
        <v>0</v>
      </c>
      <c r="L90" s="2508">
        <v>0</v>
      </c>
      <c r="M90" s="2501"/>
      <c r="N90" s="2501"/>
      <c r="O90" s="2501"/>
      <c r="P90" s="2501"/>
      <c r="Q90" s="2501"/>
      <c r="R90" s="2501"/>
      <c r="S90" s="2501"/>
    </row>
    <row r="91" spans="1:19" ht="16.7" customHeight="1" x14ac:dyDescent="0.2">
      <c r="A91" s="2497">
        <v>84</v>
      </c>
      <c r="B91" s="2502" t="s">
        <v>6127</v>
      </c>
      <c r="C91" s="2509"/>
      <c r="D91" s="2505">
        <f>SUM(D76:D90)</f>
        <v>3645174952</v>
      </c>
      <c r="E91" s="2505">
        <f>SUM(E76:E90)</f>
        <v>2703134308</v>
      </c>
      <c r="F91" s="2479"/>
      <c r="H91" s="2484"/>
      <c r="I91" s="2506" t="s">
        <v>6128</v>
      </c>
      <c r="J91" s="2507">
        <f>SUM(J76:J90)</f>
        <v>2703134308</v>
      </c>
      <c r="K91" s="2507">
        <f>SUM(K76:K90)</f>
        <v>2141569355</v>
      </c>
      <c r="L91" s="2508">
        <v>2217262363</v>
      </c>
      <c r="M91" s="2501"/>
      <c r="N91" s="2501"/>
      <c r="O91" s="2501"/>
      <c r="P91" s="2501"/>
      <c r="Q91" s="2501"/>
      <c r="R91" s="2501"/>
      <c r="S91" s="2501"/>
    </row>
    <row r="92" spans="1:19" ht="16.7" customHeight="1" x14ac:dyDescent="0.2">
      <c r="A92" s="2497">
        <v>85</v>
      </c>
      <c r="B92" s="2502" t="s">
        <v>6129</v>
      </c>
      <c r="C92" s="2509"/>
      <c r="D92" s="2505">
        <f>SUM(D21:D23,D39,D74,D91)</f>
        <v>32105243664</v>
      </c>
      <c r="E92" s="2505">
        <f>SUM(E21:E23,E39,E74,E91)</f>
        <v>28643644646</v>
      </c>
      <c r="F92" s="2479"/>
      <c r="H92" s="2484"/>
      <c r="I92" s="2506" t="s">
        <v>6130</v>
      </c>
      <c r="J92" s="2507">
        <f>SUM(J21:J23,J39,J74,J91)</f>
        <v>28643644646</v>
      </c>
      <c r="K92" s="2507">
        <f>SUM(K21:K23,K39,K74,K91)</f>
        <v>25928908463</v>
      </c>
      <c r="L92" s="2508">
        <v>25320399025</v>
      </c>
      <c r="M92" s="2501"/>
      <c r="N92" s="2501"/>
      <c r="O92" s="2501"/>
      <c r="P92" s="2501"/>
      <c r="Q92" s="2501"/>
      <c r="R92" s="2501"/>
      <c r="S92" s="2501"/>
    </row>
    <row r="93" spans="1:19" ht="14.1" customHeight="1" x14ac:dyDescent="0.2">
      <c r="A93" s="2516"/>
      <c r="B93" s="2516"/>
      <c r="C93" s="2516"/>
      <c r="D93" s="2516"/>
      <c r="E93" s="2516"/>
      <c r="H93" s="2517"/>
      <c r="I93" s="2485"/>
      <c r="J93" s="2501"/>
      <c r="K93" s="2501"/>
      <c r="L93" s="2501"/>
      <c r="M93" s="2501"/>
      <c r="N93" s="2501"/>
      <c r="O93" s="2501"/>
      <c r="P93" s="2501"/>
      <c r="Q93" s="2501"/>
      <c r="R93" s="2501"/>
      <c r="S93" s="2501"/>
    </row>
    <row r="94" spans="1:19" ht="14.1" customHeight="1" x14ac:dyDescent="0.2">
      <c r="H94" s="2518"/>
      <c r="I94" s="2485"/>
      <c r="J94" s="2501"/>
      <c r="K94" s="2501"/>
      <c r="L94" s="2501"/>
      <c r="M94" s="2501"/>
      <c r="N94" s="2501"/>
      <c r="O94" s="2501"/>
      <c r="P94" s="2501"/>
      <c r="Q94" s="2501"/>
      <c r="R94" s="2501"/>
      <c r="S94" s="2501"/>
    </row>
    <row r="95" spans="1:19" ht="15" customHeight="1" x14ac:dyDescent="0.2"/>
    <row r="96" spans="1:19" ht="15" customHeight="1" x14ac:dyDescent="0.2"/>
    <row r="97" ht="15" customHeight="1" x14ac:dyDescent="0.2"/>
    <row r="98" ht="15" customHeight="1" x14ac:dyDescent="0.2"/>
    <row r="99" ht="15" customHeight="1" x14ac:dyDescent="0.2"/>
  </sheetData>
  <mergeCells count="3">
    <mergeCell ref="I2:K2"/>
    <mergeCell ref="A3:E3"/>
    <mergeCell ref="A4:E4"/>
  </mergeCells>
  <pageMargins left="0.75" right="0.75" top="1" bottom="1" header="0.5" footer="0.5"/>
  <pageSetup orientation="portrait" horizontalDpi="1200" verticalDpi="1200" r:id="rId1"/>
  <customProperties>
    <customPr name="_pios_id" r:id="rId2"/>
  </customProperties>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E1D38B-78F3-4444-9B9A-E41C3A662004}">
  <sheetPr codeName="Sheet41"/>
  <dimension ref="A1:M101"/>
  <sheetViews>
    <sheetView showRuler="0" workbookViewId="0">
      <selection activeCell="A2" sqref="A2"/>
    </sheetView>
  </sheetViews>
  <sheetFormatPr defaultColWidth="11.5" defaultRowHeight="12.75" x14ac:dyDescent="0.2"/>
  <cols>
    <col min="1" max="1" width="9.625" style="1953" customWidth="1"/>
    <col min="2" max="2" width="51.5" style="1953" customWidth="1"/>
    <col min="3" max="3" width="9.625" style="1953" customWidth="1"/>
    <col min="4" max="4" width="18.25" style="1953" customWidth="1"/>
    <col min="5" max="5" width="17.125" style="1953" customWidth="1"/>
    <col min="6" max="7" width="11.5" style="1953"/>
    <col min="8" max="8" width="4.875" style="1953" hidden="1" customWidth="1"/>
    <col min="9" max="9" width="7" style="1953" hidden="1" customWidth="1"/>
    <col min="10" max="11" width="16.5" style="1953" hidden="1" customWidth="1"/>
    <col min="12" max="13" width="17.375" style="1953" hidden="1" customWidth="1"/>
    <col min="14" max="16384" width="11.5" style="1953"/>
  </cols>
  <sheetData>
    <row r="1" spans="1:13" ht="16.7" customHeight="1" x14ac:dyDescent="0.2">
      <c r="B1" s="2478" t="s">
        <v>5937</v>
      </c>
      <c r="C1" s="2479"/>
      <c r="H1" s="2519"/>
      <c r="I1" s="2520"/>
      <c r="J1" s="2511"/>
      <c r="K1" s="2511"/>
      <c r="L1" s="2501"/>
      <c r="M1" s="2501"/>
    </row>
    <row r="2" spans="1:13" ht="15" customHeight="1" x14ac:dyDescent="0.2">
      <c r="B2" s="2483"/>
      <c r="H2" s="2519"/>
      <c r="I2" s="3857" t="s">
        <v>5938</v>
      </c>
      <c r="J2" s="3858"/>
      <c r="K2" s="3858"/>
      <c r="L2" s="2501"/>
      <c r="M2" s="2501"/>
    </row>
    <row r="3" spans="1:13" ht="15.75" customHeight="1" x14ac:dyDescent="0.2">
      <c r="A3" s="3859" t="s">
        <v>6131</v>
      </c>
      <c r="B3" s="3859"/>
      <c r="C3" s="3859"/>
      <c r="D3" s="3859"/>
      <c r="E3" s="3859"/>
      <c r="F3" s="2479"/>
      <c r="H3" s="2519"/>
      <c r="I3" s="2520"/>
      <c r="J3" s="2511"/>
      <c r="K3" s="2511"/>
      <c r="L3" s="2501"/>
      <c r="M3" s="2501"/>
    </row>
    <row r="4" spans="1:13" ht="15.75" customHeight="1" x14ac:dyDescent="0.2">
      <c r="A4" s="3860" t="s">
        <v>6132</v>
      </c>
      <c r="B4" s="3856"/>
      <c r="C4" s="3856"/>
      <c r="D4" s="3856"/>
      <c r="E4" s="3856"/>
      <c r="F4" s="2479"/>
      <c r="H4" s="2519"/>
      <c r="I4" s="2520"/>
      <c r="J4" s="2511"/>
      <c r="K4" s="2511"/>
      <c r="L4" s="2501"/>
      <c r="M4" s="2501"/>
    </row>
    <row r="5" spans="1:13" ht="23.25" customHeight="1" x14ac:dyDescent="0.2">
      <c r="A5" s="2489" t="s">
        <v>6133</v>
      </c>
      <c r="B5" s="2489" t="s">
        <v>5947</v>
      </c>
      <c r="C5" s="2489" t="s">
        <v>6134</v>
      </c>
      <c r="D5" s="2489" t="s">
        <v>6135</v>
      </c>
      <c r="E5" s="2489" t="s">
        <v>6136</v>
      </c>
      <c r="F5" s="2479"/>
      <c r="H5" s="2519"/>
      <c r="I5" s="2520"/>
      <c r="J5" s="2511"/>
      <c r="K5" s="2511"/>
      <c r="L5" s="2501"/>
      <c r="M5" s="2501"/>
    </row>
    <row r="6" spans="1:13" ht="16.7" customHeight="1" x14ac:dyDescent="0.2">
      <c r="A6" s="2488"/>
      <c r="B6" s="2489"/>
      <c r="C6" s="2489"/>
      <c r="D6" s="2493">
        <v>45291</v>
      </c>
      <c r="E6" s="2493">
        <v>44926</v>
      </c>
      <c r="F6" s="2479"/>
      <c r="H6" s="2519"/>
      <c r="I6" s="2520"/>
      <c r="J6" s="2521"/>
      <c r="K6" s="2521"/>
      <c r="L6" s="2522"/>
      <c r="M6" s="2523"/>
    </row>
    <row r="7" spans="1:13" ht="15.75" customHeight="1" x14ac:dyDescent="0.2">
      <c r="A7" s="2488"/>
      <c r="B7" s="2489" t="s">
        <v>5949</v>
      </c>
      <c r="C7" s="2489" t="s">
        <v>5950</v>
      </c>
      <c r="D7" s="2489" t="s">
        <v>5951</v>
      </c>
      <c r="E7" s="2489" t="s">
        <v>5952</v>
      </c>
      <c r="F7" s="2479"/>
      <c r="H7" s="2519"/>
      <c r="I7" s="2481" t="s">
        <v>5945</v>
      </c>
      <c r="J7" s="2495">
        <v>44926</v>
      </c>
      <c r="K7" s="2495">
        <v>44561</v>
      </c>
      <c r="L7" s="2495">
        <v>44196</v>
      </c>
      <c r="M7" s="2495">
        <v>43830</v>
      </c>
    </row>
    <row r="8" spans="1:13" ht="15.75" customHeight="1" x14ac:dyDescent="0.2">
      <c r="A8" s="2497">
        <v>1</v>
      </c>
      <c r="B8" s="2498" t="s">
        <v>6137</v>
      </c>
      <c r="C8" s="2488"/>
      <c r="D8" s="2499" t="s">
        <v>6138</v>
      </c>
      <c r="E8" s="2499" t="s">
        <v>5955</v>
      </c>
      <c r="F8" s="2524"/>
      <c r="H8" s="2525"/>
      <c r="I8" s="2526" t="s">
        <v>6139</v>
      </c>
      <c r="J8" s="2511"/>
      <c r="K8" s="2511"/>
      <c r="L8" s="2511"/>
      <c r="M8" s="2511"/>
    </row>
    <row r="9" spans="1:13" ht="16.7" customHeight="1" x14ac:dyDescent="0.2">
      <c r="A9" s="2497">
        <v>2</v>
      </c>
      <c r="B9" s="2502" t="s">
        <v>6140</v>
      </c>
      <c r="C9" s="2503" t="s">
        <v>6141</v>
      </c>
      <c r="D9" s="2527">
        <v>3417945896</v>
      </c>
      <c r="E9" s="2505">
        <f t="shared" ref="E9:E22" si="0">SUMIF(I:I,A9,J:J)</f>
        <v>3417945896</v>
      </c>
      <c r="F9" s="2524"/>
      <c r="H9" s="2525"/>
      <c r="I9" s="2526" t="s">
        <v>5957</v>
      </c>
      <c r="J9" s="2508">
        <v>3417945896</v>
      </c>
      <c r="K9" s="2508">
        <v>3417945896</v>
      </c>
      <c r="L9" s="2508">
        <v>3417945896</v>
      </c>
      <c r="M9" s="2508">
        <v>3417945896</v>
      </c>
    </row>
    <row r="10" spans="1:13" ht="16.7" customHeight="1" x14ac:dyDescent="0.2">
      <c r="A10" s="2497">
        <v>3</v>
      </c>
      <c r="B10" s="2502" t="s">
        <v>6142</v>
      </c>
      <c r="C10" s="2503" t="s">
        <v>6141</v>
      </c>
      <c r="D10" s="2527">
        <v>2397600</v>
      </c>
      <c r="E10" s="2505">
        <f t="shared" si="0"/>
        <v>2397600</v>
      </c>
      <c r="F10" s="2479"/>
      <c r="H10" s="2525"/>
      <c r="I10" s="2526" t="s">
        <v>5959</v>
      </c>
      <c r="J10" s="2508">
        <v>2397600</v>
      </c>
      <c r="K10" s="2508">
        <v>2397600</v>
      </c>
      <c r="L10" s="2508">
        <v>2397600</v>
      </c>
      <c r="M10" s="2508">
        <v>2397600</v>
      </c>
    </row>
    <row r="11" spans="1:13" ht="16.7" customHeight="1" x14ac:dyDescent="0.2">
      <c r="A11" s="2497">
        <v>4</v>
      </c>
      <c r="B11" s="2502" t="s">
        <v>6143</v>
      </c>
      <c r="C11" s="2509"/>
      <c r="D11" s="2527">
        <v>0</v>
      </c>
      <c r="E11" s="2505">
        <f t="shared" si="0"/>
        <v>0</v>
      </c>
      <c r="F11" s="2479"/>
      <c r="H11" s="2525"/>
      <c r="I11" s="2526" t="s">
        <v>5961</v>
      </c>
      <c r="J11" s="2508">
        <v>0</v>
      </c>
      <c r="K11" s="2508">
        <v>0</v>
      </c>
      <c r="L11" s="2508">
        <v>0</v>
      </c>
      <c r="M11" s="2508">
        <v>0</v>
      </c>
    </row>
    <row r="12" spans="1:13" ht="16.7" customHeight="1" x14ac:dyDescent="0.2">
      <c r="A12" s="2497">
        <v>5</v>
      </c>
      <c r="B12" s="2502" t="s">
        <v>6144</v>
      </c>
      <c r="C12" s="2509"/>
      <c r="D12" s="2527">
        <v>0</v>
      </c>
      <c r="E12" s="2505">
        <f t="shared" si="0"/>
        <v>0</v>
      </c>
      <c r="F12" s="2479"/>
      <c r="H12" s="2525"/>
      <c r="I12" s="2526" t="s">
        <v>5963</v>
      </c>
      <c r="J12" s="2508">
        <v>0</v>
      </c>
      <c r="K12" s="2508">
        <v>0</v>
      </c>
      <c r="L12" s="2508">
        <v>0</v>
      </c>
      <c r="M12" s="2508">
        <v>0</v>
      </c>
    </row>
    <row r="13" spans="1:13" ht="16.7" customHeight="1" x14ac:dyDescent="0.2">
      <c r="A13" s="2497">
        <v>6</v>
      </c>
      <c r="B13" s="2502" t="s">
        <v>6145</v>
      </c>
      <c r="C13" s="2509"/>
      <c r="D13" s="2527">
        <v>0</v>
      </c>
      <c r="E13" s="2505">
        <f t="shared" si="0"/>
        <v>0</v>
      </c>
      <c r="F13" s="2479"/>
      <c r="H13" s="2525"/>
      <c r="I13" s="2526" t="s">
        <v>5965</v>
      </c>
      <c r="J13" s="2508">
        <v>0</v>
      </c>
      <c r="K13" s="2508">
        <v>0</v>
      </c>
      <c r="L13" s="2508">
        <v>0</v>
      </c>
      <c r="M13" s="2508">
        <v>0</v>
      </c>
    </row>
    <row r="14" spans="1:13" ht="16.7" customHeight="1" x14ac:dyDescent="0.2">
      <c r="A14" s="2497">
        <v>7</v>
      </c>
      <c r="B14" s="2502" t="s">
        <v>6146</v>
      </c>
      <c r="C14" s="2515">
        <v>253</v>
      </c>
      <c r="D14" s="2527">
        <v>1102063956</v>
      </c>
      <c r="E14" s="2505">
        <f t="shared" si="0"/>
        <v>1102063956</v>
      </c>
      <c r="F14" s="2479"/>
      <c r="H14" s="2525"/>
      <c r="I14" s="2526" t="s">
        <v>5968</v>
      </c>
      <c r="J14" s="2508">
        <v>1102063956</v>
      </c>
      <c r="K14" s="2508">
        <v>1102063956</v>
      </c>
      <c r="L14" s="2508">
        <v>1102063956</v>
      </c>
      <c r="M14" s="2508">
        <v>1102063956</v>
      </c>
    </row>
    <row r="15" spans="1:13" ht="16.7" customHeight="1" x14ac:dyDescent="0.2">
      <c r="A15" s="2497">
        <v>8</v>
      </c>
      <c r="B15" s="2502" t="s">
        <v>6147</v>
      </c>
      <c r="C15" s="2515">
        <v>252</v>
      </c>
      <c r="D15" s="2527">
        <v>0</v>
      </c>
      <c r="E15" s="2505">
        <f t="shared" si="0"/>
        <v>0</v>
      </c>
      <c r="F15" s="2479"/>
      <c r="H15" s="2525"/>
      <c r="I15" s="2526" t="s">
        <v>5970</v>
      </c>
      <c r="J15" s="2508">
        <v>0</v>
      </c>
      <c r="K15" s="2508">
        <v>0</v>
      </c>
      <c r="L15" s="2508">
        <v>0</v>
      </c>
      <c r="M15" s="2508">
        <v>0</v>
      </c>
    </row>
    <row r="16" spans="1:13" ht="16.7" customHeight="1" x14ac:dyDescent="0.2">
      <c r="A16" s="2497">
        <v>9</v>
      </c>
      <c r="B16" s="2502" t="s">
        <v>6148</v>
      </c>
      <c r="C16" s="2515">
        <v>254</v>
      </c>
      <c r="D16" s="2527">
        <v>0</v>
      </c>
      <c r="E16" s="2505">
        <f t="shared" si="0"/>
        <v>0</v>
      </c>
      <c r="F16" s="2479"/>
      <c r="H16" s="2525"/>
      <c r="I16" s="2526" t="s">
        <v>5972</v>
      </c>
      <c r="J16" s="2508">
        <v>0</v>
      </c>
      <c r="K16" s="2508">
        <v>0</v>
      </c>
      <c r="L16" s="2508">
        <v>0</v>
      </c>
      <c r="M16" s="2508">
        <v>0</v>
      </c>
    </row>
    <row r="17" spans="1:13" ht="16.7" customHeight="1" x14ac:dyDescent="0.2">
      <c r="A17" s="2497">
        <v>10</v>
      </c>
      <c r="B17" s="2502" t="s">
        <v>6149</v>
      </c>
      <c r="C17" s="2503" t="s">
        <v>6150</v>
      </c>
      <c r="D17" s="2527">
        <v>41101061</v>
      </c>
      <c r="E17" s="2505">
        <f t="shared" si="0"/>
        <v>41101061</v>
      </c>
      <c r="F17" s="2479"/>
      <c r="H17" s="2525"/>
      <c r="I17" s="2526" t="s">
        <v>5974</v>
      </c>
      <c r="J17" s="2508">
        <v>41101061</v>
      </c>
      <c r="K17" s="2508">
        <v>41101061</v>
      </c>
      <c r="L17" s="2508">
        <v>41101061</v>
      </c>
      <c r="M17" s="2508">
        <v>41101061</v>
      </c>
    </row>
    <row r="18" spans="1:13" ht="16.7" customHeight="1" x14ac:dyDescent="0.2">
      <c r="A18" s="2497">
        <v>11</v>
      </c>
      <c r="B18" s="2502" t="s">
        <v>6151</v>
      </c>
      <c r="C18" s="2503" t="s">
        <v>6152</v>
      </c>
      <c r="D18" s="2527">
        <v>5401125738</v>
      </c>
      <c r="E18" s="2505">
        <f t="shared" si="0"/>
        <v>6188985268</v>
      </c>
      <c r="F18" s="2479"/>
      <c r="H18" s="2525"/>
      <c r="I18" s="2526" t="s">
        <v>5976</v>
      </c>
      <c r="J18" s="2508">
        <v>6188985268</v>
      </c>
      <c r="K18" s="2508">
        <v>5387352868</v>
      </c>
      <c r="L18" s="2508">
        <v>4628196840</v>
      </c>
      <c r="M18" s="2508">
        <v>3846833944</v>
      </c>
    </row>
    <row r="19" spans="1:13" ht="16.7" customHeight="1" x14ac:dyDescent="0.2">
      <c r="A19" s="2497">
        <v>12</v>
      </c>
      <c r="B19" s="2502" t="s">
        <v>6153</v>
      </c>
      <c r="C19" s="2503" t="s">
        <v>6152</v>
      </c>
      <c r="D19" s="2527">
        <v>100240452</v>
      </c>
      <c r="E19" s="2505">
        <f t="shared" si="0"/>
        <v>80131357</v>
      </c>
      <c r="F19" s="2479"/>
      <c r="H19" s="2525"/>
      <c r="I19" s="2526" t="s">
        <v>5978</v>
      </c>
      <c r="J19" s="2508">
        <v>80131357</v>
      </c>
      <c r="K19" s="2508">
        <v>61817828</v>
      </c>
      <c r="L19" s="2508">
        <v>83092814</v>
      </c>
      <c r="M19" s="2508">
        <v>125565229</v>
      </c>
    </row>
    <row r="20" spans="1:13" ht="16.7" customHeight="1" x14ac:dyDescent="0.2">
      <c r="A20" s="2497">
        <v>13</v>
      </c>
      <c r="B20" s="2502" t="s">
        <v>6154</v>
      </c>
      <c r="C20" s="2503" t="s">
        <v>6141</v>
      </c>
      <c r="D20" s="2527">
        <v>0</v>
      </c>
      <c r="E20" s="2505">
        <f t="shared" si="0"/>
        <v>0</v>
      </c>
      <c r="F20" s="2479"/>
      <c r="H20" s="2525"/>
      <c r="I20" s="2526" t="s">
        <v>5980</v>
      </c>
      <c r="J20" s="2508">
        <v>0</v>
      </c>
      <c r="K20" s="2508">
        <v>0</v>
      </c>
      <c r="L20" s="2508">
        <v>0</v>
      </c>
      <c r="M20" s="2508">
        <v>0</v>
      </c>
    </row>
    <row r="21" spans="1:13" ht="16.7" customHeight="1" x14ac:dyDescent="0.2">
      <c r="A21" s="2497">
        <v>14</v>
      </c>
      <c r="B21" s="2502" t="s">
        <v>6155</v>
      </c>
      <c r="C21" s="2509"/>
      <c r="D21" s="2527">
        <v>0</v>
      </c>
      <c r="E21" s="2505">
        <f t="shared" si="0"/>
        <v>0</v>
      </c>
      <c r="F21" s="2528"/>
      <c r="H21" s="2525"/>
      <c r="I21" s="2526" t="s">
        <v>5982</v>
      </c>
      <c r="J21" s="2508">
        <v>0</v>
      </c>
      <c r="K21" s="2508">
        <v>0</v>
      </c>
      <c r="L21" s="2508">
        <v>0</v>
      </c>
      <c r="M21" s="2508">
        <v>0</v>
      </c>
    </row>
    <row r="22" spans="1:13" ht="16.7" customHeight="1" x14ac:dyDescent="0.2">
      <c r="A22" s="2497">
        <v>15</v>
      </c>
      <c r="B22" s="2502" t="s">
        <v>6156</v>
      </c>
      <c r="C22" s="2503" t="s">
        <v>6157</v>
      </c>
      <c r="D22" s="2527">
        <v>-10369236</v>
      </c>
      <c r="E22" s="2505">
        <f t="shared" si="0"/>
        <v>-9348616</v>
      </c>
      <c r="F22" s="2479"/>
      <c r="H22" s="2525"/>
      <c r="I22" s="2526" t="s">
        <v>5984</v>
      </c>
      <c r="J22" s="2508">
        <v>-9348616</v>
      </c>
      <c r="K22" s="2508">
        <v>-17132153</v>
      </c>
      <c r="L22" s="2508">
        <v>-19097488</v>
      </c>
      <c r="M22" s="2508">
        <v>-15916633</v>
      </c>
    </row>
    <row r="23" spans="1:13" ht="16.7" customHeight="1" x14ac:dyDescent="0.2">
      <c r="A23" s="2497">
        <v>16</v>
      </c>
      <c r="B23" s="2502" t="s">
        <v>6158</v>
      </c>
      <c r="C23" s="2509"/>
      <c r="D23" s="2527">
        <f>SUM(D9:D15,-D16,-D17,D18:D19,-D20,D21,D22)</f>
        <v>9972303345</v>
      </c>
      <c r="E23" s="2527">
        <f>SUM(E9:E15,-E16,-E17,E18:E19,-E20,E21,E22)</f>
        <v>10741074400</v>
      </c>
      <c r="F23" s="2479"/>
      <c r="H23" s="2525"/>
      <c r="I23" s="2526" t="s">
        <v>5986</v>
      </c>
      <c r="J23" s="2508">
        <f>SUM(J9:J15,-J16,-J17,J18:J19,-J20,J21,J22)</f>
        <v>10741074400</v>
      </c>
      <c r="K23" s="2508">
        <f>SUM(K9:K15,-K16,-K17,K18:K19,-K20,K21,K22)</f>
        <v>9913344934</v>
      </c>
      <c r="L23" s="2508">
        <v>9173498557</v>
      </c>
      <c r="M23" s="2508">
        <v>8437788931</v>
      </c>
    </row>
    <row r="24" spans="1:13" ht="15.75" customHeight="1" x14ac:dyDescent="0.2">
      <c r="A24" s="2497">
        <v>17</v>
      </c>
      <c r="B24" s="2498" t="s">
        <v>6159</v>
      </c>
      <c r="C24" s="2488"/>
      <c r="D24" s="2529"/>
      <c r="E24" s="2510"/>
      <c r="F24" s="2479"/>
      <c r="H24" s="2525"/>
      <c r="I24" s="2526" t="s">
        <v>5988</v>
      </c>
      <c r="J24" s="2511"/>
      <c r="K24" s="2511"/>
      <c r="L24" s="2508">
        <v>0</v>
      </c>
      <c r="M24" s="2508">
        <v>0</v>
      </c>
    </row>
    <row r="25" spans="1:13" ht="16.7" customHeight="1" x14ac:dyDescent="0.2">
      <c r="A25" s="2497">
        <v>18</v>
      </c>
      <c r="B25" s="2502" t="s">
        <v>6160</v>
      </c>
      <c r="C25" s="2503" t="s">
        <v>6161</v>
      </c>
      <c r="D25" s="2527">
        <v>10493150000</v>
      </c>
      <c r="E25" s="2505">
        <f t="shared" ref="E25:E30" si="1">SUMIF(I:I,A25,J:J)</f>
        <v>9742150000</v>
      </c>
      <c r="F25" s="2479"/>
      <c r="H25" s="2525"/>
      <c r="I25" s="2526" t="s">
        <v>5990</v>
      </c>
      <c r="J25" s="2508">
        <v>9742150000</v>
      </c>
      <c r="K25" s="2508">
        <v>8797150000</v>
      </c>
      <c r="L25" s="2508">
        <v>8667150000</v>
      </c>
      <c r="M25" s="2508">
        <v>7705275000</v>
      </c>
    </row>
    <row r="26" spans="1:13" ht="16.7" customHeight="1" x14ac:dyDescent="0.2">
      <c r="A26" s="2497">
        <v>19</v>
      </c>
      <c r="B26" s="2502" t="s">
        <v>6162</v>
      </c>
      <c r="C26" s="2503" t="s">
        <v>6161</v>
      </c>
      <c r="D26" s="2527">
        <v>0</v>
      </c>
      <c r="E26" s="2505">
        <f t="shared" si="1"/>
        <v>0</v>
      </c>
      <c r="F26" s="2479"/>
      <c r="H26" s="2525"/>
      <c r="I26" s="2526" t="s">
        <v>5992</v>
      </c>
      <c r="J26" s="2508">
        <v>0</v>
      </c>
      <c r="K26" s="2508">
        <v>0</v>
      </c>
      <c r="L26" s="2508">
        <v>0</v>
      </c>
      <c r="M26" s="2508">
        <v>0</v>
      </c>
    </row>
    <row r="27" spans="1:13" ht="16.7" customHeight="1" x14ac:dyDescent="0.2">
      <c r="A27" s="2497">
        <v>20</v>
      </c>
      <c r="B27" s="2502" t="s">
        <v>6163</v>
      </c>
      <c r="C27" s="2503" t="s">
        <v>6161</v>
      </c>
      <c r="D27" s="2527">
        <v>0</v>
      </c>
      <c r="E27" s="2505">
        <f t="shared" si="1"/>
        <v>0</v>
      </c>
      <c r="F27" s="2479"/>
      <c r="H27" s="2525"/>
      <c r="I27" s="2526" t="s">
        <v>5994</v>
      </c>
      <c r="J27" s="2508">
        <v>0</v>
      </c>
      <c r="K27" s="2508">
        <v>0</v>
      </c>
      <c r="L27" s="2508">
        <v>0</v>
      </c>
      <c r="M27" s="2508">
        <v>0</v>
      </c>
    </row>
    <row r="28" spans="1:13" ht="16.7" customHeight="1" x14ac:dyDescent="0.2">
      <c r="A28" s="2497">
        <v>21</v>
      </c>
      <c r="B28" s="2502" t="s">
        <v>6164</v>
      </c>
      <c r="C28" s="2503" t="s">
        <v>6161</v>
      </c>
      <c r="D28" s="2527">
        <v>0</v>
      </c>
      <c r="E28" s="2505">
        <f t="shared" si="1"/>
        <v>0</v>
      </c>
      <c r="F28" s="2479"/>
      <c r="H28" s="2525"/>
      <c r="I28" s="2526" t="s">
        <v>5997</v>
      </c>
      <c r="J28" s="2508">
        <v>0</v>
      </c>
      <c r="K28" s="2508">
        <v>0</v>
      </c>
      <c r="L28" s="2508">
        <v>0</v>
      </c>
      <c r="M28" s="2508">
        <v>0</v>
      </c>
    </row>
    <row r="29" spans="1:13" ht="16.7" customHeight="1" x14ac:dyDescent="0.2">
      <c r="A29" s="2497">
        <v>22</v>
      </c>
      <c r="B29" s="2502" t="s">
        <v>6165</v>
      </c>
      <c r="C29" s="2509"/>
      <c r="D29" s="2527">
        <v>0</v>
      </c>
      <c r="E29" s="2505">
        <f t="shared" si="1"/>
        <v>227</v>
      </c>
      <c r="F29" s="2479"/>
      <c r="H29" s="2525"/>
      <c r="I29" s="2526" t="s">
        <v>5999</v>
      </c>
      <c r="J29" s="2508">
        <v>227</v>
      </c>
      <c r="K29" s="2508">
        <v>2945</v>
      </c>
      <c r="L29" s="2508">
        <v>13970</v>
      </c>
      <c r="M29" s="2508">
        <v>24996</v>
      </c>
    </row>
    <row r="30" spans="1:13" ht="16.7" customHeight="1" x14ac:dyDescent="0.2">
      <c r="A30" s="2497">
        <v>23</v>
      </c>
      <c r="B30" s="2502" t="s">
        <v>6166</v>
      </c>
      <c r="C30" s="2509"/>
      <c r="D30" s="2527">
        <v>25686565</v>
      </c>
      <c r="E30" s="2505">
        <f t="shared" si="1"/>
        <v>26507475</v>
      </c>
      <c r="F30" s="2479"/>
      <c r="H30" s="2525"/>
      <c r="I30" s="2526" t="s">
        <v>6002</v>
      </c>
      <c r="J30" s="2508">
        <v>26507475</v>
      </c>
      <c r="K30" s="2508">
        <v>24493189</v>
      </c>
      <c r="L30" s="2508">
        <v>18031923</v>
      </c>
      <c r="M30" s="2508">
        <v>13445289</v>
      </c>
    </row>
    <row r="31" spans="1:13" ht="16.7" customHeight="1" x14ac:dyDescent="0.2">
      <c r="A31" s="2497">
        <v>24</v>
      </c>
      <c r="B31" s="2502" t="s">
        <v>6167</v>
      </c>
      <c r="C31" s="2509"/>
      <c r="D31" s="2527">
        <f>SUM(D25,-D26,D27:D29,-D30)</f>
        <v>10467463435</v>
      </c>
      <c r="E31" s="2527">
        <f>SUM(E25,-E26,E27:E29,-E30)</f>
        <v>9715642752</v>
      </c>
      <c r="F31" s="2479"/>
      <c r="H31" s="2525"/>
      <c r="I31" s="2526" t="s">
        <v>6004</v>
      </c>
      <c r="J31" s="2508">
        <f>SUM(J25,-J26,J27:J29,-J30)</f>
        <v>9715642752</v>
      </c>
      <c r="K31" s="2508">
        <f>SUM(K25,-K26,K27:K29,-K30)</f>
        <v>8772659756</v>
      </c>
      <c r="L31" s="2508">
        <v>8649132047</v>
      </c>
      <c r="M31" s="2508">
        <v>7691854707</v>
      </c>
    </row>
    <row r="32" spans="1:13" ht="15.75" customHeight="1" x14ac:dyDescent="0.2">
      <c r="A32" s="2497">
        <v>25</v>
      </c>
      <c r="B32" s="2498" t="s">
        <v>6168</v>
      </c>
      <c r="C32" s="2488"/>
      <c r="D32" s="2529"/>
      <c r="E32" s="2510"/>
      <c r="F32" s="2479"/>
      <c r="H32" s="2525"/>
      <c r="I32" s="2526" t="s">
        <v>6006</v>
      </c>
      <c r="J32" s="2511"/>
      <c r="K32" s="2511"/>
      <c r="L32" s="2508">
        <v>0</v>
      </c>
      <c r="M32" s="2508">
        <v>0</v>
      </c>
    </row>
    <row r="33" spans="1:13" ht="16.7" customHeight="1" x14ac:dyDescent="0.2">
      <c r="A33" s="2497">
        <v>26</v>
      </c>
      <c r="B33" s="2502" t="s">
        <v>6169</v>
      </c>
      <c r="C33" s="2509"/>
      <c r="D33" s="2527">
        <v>20578928</v>
      </c>
      <c r="E33" s="2505">
        <f t="shared" ref="E33:E41" si="2">SUMIF(I:I,A33,J:J)</f>
        <v>18311335</v>
      </c>
      <c r="F33" s="2479"/>
      <c r="H33" s="2525"/>
      <c r="I33" s="2526" t="s">
        <v>6008</v>
      </c>
      <c r="J33" s="2508">
        <v>18311335</v>
      </c>
      <c r="K33" s="2508">
        <v>19860468</v>
      </c>
      <c r="L33" s="2508">
        <v>20983471</v>
      </c>
      <c r="M33" s="2508">
        <v>27046124</v>
      </c>
    </row>
    <row r="34" spans="1:13" ht="16.7" customHeight="1" x14ac:dyDescent="0.2">
      <c r="A34" s="2497">
        <v>27</v>
      </c>
      <c r="B34" s="2502" t="s">
        <v>6170</v>
      </c>
      <c r="C34" s="2509"/>
      <c r="D34" s="2527">
        <v>894600</v>
      </c>
      <c r="E34" s="2505">
        <f t="shared" si="2"/>
        <v>7696932</v>
      </c>
      <c r="F34" s="2479"/>
      <c r="H34" s="2525"/>
      <c r="I34" s="2526" t="s">
        <v>6010</v>
      </c>
      <c r="J34" s="2508">
        <v>7696932</v>
      </c>
      <c r="K34" s="2508">
        <v>5351421</v>
      </c>
      <c r="L34" s="2508">
        <v>4731983</v>
      </c>
      <c r="M34" s="2508">
        <v>10159611</v>
      </c>
    </row>
    <row r="35" spans="1:13" ht="16.7" customHeight="1" x14ac:dyDescent="0.2">
      <c r="A35" s="2497">
        <v>28</v>
      </c>
      <c r="B35" s="2502" t="s">
        <v>6171</v>
      </c>
      <c r="C35" s="2509"/>
      <c r="D35" s="2527">
        <v>1572643695</v>
      </c>
      <c r="E35" s="2505">
        <f t="shared" si="2"/>
        <v>168270561</v>
      </c>
      <c r="F35" s="2479"/>
      <c r="H35" s="2525"/>
      <c r="I35" s="2526" t="s">
        <v>6012</v>
      </c>
      <c r="J35" s="2508">
        <v>168270561</v>
      </c>
      <c r="K35" s="2508">
        <v>153152301</v>
      </c>
      <c r="L35" s="2508">
        <v>153031206</v>
      </c>
      <c r="M35" s="2508">
        <v>21850505</v>
      </c>
    </row>
    <row r="36" spans="1:13" ht="16.7" customHeight="1" x14ac:dyDescent="0.2">
      <c r="A36" s="2497">
        <v>29</v>
      </c>
      <c r="B36" s="2502" t="s">
        <v>6172</v>
      </c>
      <c r="C36" s="2509"/>
      <c r="D36" s="2527">
        <v>59657269</v>
      </c>
      <c r="E36" s="2505">
        <f t="shared" si="2"/>
        <v>59591258</v>
      </c>
      <c r="F36" s="2479"/>
      <c r="H36" s="2525"/>
      <c r="I36" s="2526" t="s">
        <v>6014</v>
      </c>
      <c r="J36" s="2508">
        <v>59591258</v>
      </c>
      <c r="K36" s="2508">
        <v>75091507</v>
      </c>
      <c r="L36" s="2508">
        <v>171735512</v>
      </c>
      <c r="M36" s="2508">
        <v>159048125</v>
      </c>
    </row>
    <row r="37" spans="1:13" ht="16.7" customHeight="1" x14ac:dyDescent="0.2">
      <c r="A37" s="2497">
        <v>30</v>
      </c>
      <c r="B37" s="2502" t="s">
        <v>6173</v>
      </c>
      <c r="C37" s="2509"/>
      <c r="D37" s="2527">
        <v>27276601</v>
      </c>
      <c r="E37" s="2505">
        <f t="shared" si="2"/>
        <v>32419032</v>
      </c>
      <c r="F37" s="2479"/>
      <c r="H37" s="2525"/>
      <c r="I37" s="2526" t="s">
        <v>6016</v>
      </c>
      <c r="J37" s="2508">
        <v>32419032</v>
      </c>
      <c r="K37" s="2508">
        <v>32368828</v>
      </c>
      <c r="L37" s="2508">
        <v>32574469</v>
      </c>
      <c r="M37" s="2508">
        <v>34314273</v>
      </c>
    </row>
    <row r="38" spans="1:13" ht="16.7" customHeight="1" x14ac:dyDescent="0.2">
      <c r="A38" s="2497">
        <v>31</v>
      </c>
      <c r="B38" s="2502" t="s">
        <v>6174</v>
      </c>
      <c r="C38" s="2509"/>
      <c r="D38" s="2527">
        <v>971425</v>
      </c>
      <c r="E38" s="2505">
        <f t="shared" si="2"/>
        <v>1720000</v>
      </c>
      <c r="F38" s="2479"/>
      <c r="H38" s="2525"/>
      <c r="I38" s="2526" t="s">
        <v>6018</v>
      </c>
      <c r="J38" s="2508">
        <v>1720000</v>
      </c>
      <c r="K38" s="2508">
        <v>8549918</v>
      </c>
      <c r="L38" s="2508">
        <v>9239918</v>
      </c>
      <c r="M38" s="2508">
        <v>1500000</v>
      </c>
    </row>
    <row r="39" spans="1:13" ht="16.7" customHeight="1" x14ac:dyDescent="0.2">
      <c r="A39" s="2497">
        <v>32</v>
      </c>
      <c r="B39" s="2502" t="s">
        <v>374</v>
      </c>
      <c r="C39" s="2509"/>
      <c r="D39" s="2527">
        <v>19997035</v>
      </c>
      <c r="E39" s="2505">
        <f t="shared" si="2"/>
        <v>1875535</v>
      </c>
      <c r="F39" s="2479"/>
      <c r="H39" s="2525"/>
      <c r="I39" s="2526" t="s">
        <v>6020</v>
      </c>
      <c r="J39" s="2508">
        <v>1875535</v>
      </c>
      <c r="K39" s="2508">
        <v>7091366</v>
      </c>
      <c r="L39" s="2508">
        <v>19164041</v>
      </c>
      <c r="M39" s="2508">
        <v>22833300</v>
      </c>
    </row>
    <row r="40" spans="1:13" ht="16.7" customHeight="1" x14ac:dyDescent="0.2">
      <c r="A40" s="2497">
        <v>33</v>
      </c>
      <c r="B40" s="2502" t="s">
        <v>375</v>
      </c>
      <c r="C40" s="2509"/>
      <c r="D40" s="2527">
        <v>0</v>
      </c>
      <c r="E40" s="2505">
        <f t="shared" si="2"/>
        <v>0</v>
      </c>
      <c r="F40" s="2479"/>
      <c r="H40" s="2525"/>
      <c r="I40" s="2526" t="s">
        <v>6022</v>
      </c>
      <c r="J40" s="2508">
        <v>0</v>
      </c>
      <c r="K40" s="2508">
        <v>0</v>
      </c>
      <c r="L40" s="2508">
        <v>0</v>
      </c>
      <c r="M40" s="2508">
        <v>0</v>
      </c>
    </row>
    <row r="41" spans="1:13" ht="16.7" customHeight="1" x14ac:dyDescent="0.2">
      <c r="A41" s="2497">
        <v>34</v>
      </c>
      <c r="B41" s="2502" t="s">
        <v>6175</v>
      </c>
      <c r="C41" s="2509"/>
      <c r="D41" s="2527">
        <v>355525424</v>
      </c>
      <c r="E41" s="2505">
        <f t="shared" si="2"/>
        <v>331315147</v>
      </c>
      <c r="F41" s="2479"/>
      <c r="H41" s="2525"/>
      <c r="I41" s="2526" t="s">
        <v>6024</v>
      </c>
      <c r="J41" s="2508">
        <v>331315147</v>
      </c>
      <c r="K41" s="2508">
        <v>303597269</v>
      </c>
      <c r="L41" s="2508">
        <v>270152870</v>
      </c>
      <c r="M41" s="2508">
        <v>256476842</v>
      </c>
    </row>
    <row r="42" spans="1:13" ht="16.7" customHeight="1" x14ac:dyDescent="0.2">
      <c r="A42" s="2497">
        <v>35</v>
      </c>
      <c r="B42" s="2502" t="s">
        <v>6176</v>
      </c>
      <c r="C42" s="2509"/>
      <c r="D42" s="2527">
        <f>SUM(D33:D41)</f>
        <v>2057544977</v>
      </c>
      <c r="E42" s="2527">
        <f>SUM(E33:E41)</f>
        <v>621199800</v>
      </c>
      <c r="F42" s="2479"/>
      <c r="H42" s="2525"/>
      <c r="I42" s="2526" t="s">
        <v>6026</v>
      </c>
      <c r="J42" s="2508">
        <f>SUM(J33:J41)</f>
        <v>621199800</v>
      </c>
      <c r="K42" s="2508">
        <f>SUM(K33:K41)</f>
        <v>605063078</v>
      </c>
      <c r="L42" s="2508">
        <v>681613470</v>
      </c>
      <c r="M42" s="2508">
        <v>533228780</v>
      </c>
    </row>
    <row r="43" spans="1:13" ht="15.75" customHeight="1" x14ac:dyDescent="0.2">
      <c r="A43" s="2497">
        <v>36</v>
      </c>
      <c r="B43" s="2498" t="s">
        <v>434</v>
      </c>
      <c r="C43" s="2488"/>
      <c r="D43" s="2529"/>
      <c r="E43" s="2510"/>
      <c r="F43" s="2479"/>
      <c r="H43" s="2525"/>
      <c r="I43" s="2526" t="s">
        <v>6028</v>
      </c>
      <c r="J43" s="2511"/>
      <c r="K43" s="2511"/>
      <c r="L43" s="2508">
        <v>0</v>
      </c>
      <c r="M43" s="2508">
        <v>0</v>
      </c>
    </row>
    <row r="44" spans="1:13" ht="16.7" customHeight="1" x14ac:dyDescent="0.2">
      <c r="A44" s="2497">
        <v>37</v>
      </c>
      <c r="B44" s="2512" t="s">
        <v>6177</v>
      </c>
      <c r="C44" s="2488"/>
      <c r="D44" s="2530">
        <v>1605961000</v>
      </c>
      <c r="E44" s="2505">
        <f t="shared" ref="E44:E60" si="3">SUMIF(I:I,A44,J:J)</f>
        <v>0</v>
      </c>
      <c r="F44" s="2479"/>
      <c r="H44" s="2525"/>
      <c r="I44" s="2526" t="s">
        <v>6030</v>
      </c>
      <c r="J44" s="2508">
        <v>0</v>
      </c>
      <c r="K44" s="2508">
        <v>0</v>
      </c>
      <c r="L44" s="2508">
        <v>93000000</v>
      </c>
      <c r="M44" s="2508">
        <v>130000000</v>
      </c>
    </row>
    <row r="45" spans="1:13" ht="16.7" customHeight="1" x14ac:dyDescent="0.2">
      <c r="A45" s="2497">
        <v>38</v>
      </c>
      <c r="B45" s="2512" t="s">
        <v>6178</v>
      </c>
      <c r="C45" s="2488"/>
      <c r="D45" s="2530">
        <v>1390952592</v>
      </c>
      <c r="E45" s="2505">
        <f t="shared" si="3"/>
        <v>981087553</v>
      </c>
      <c r="F45" s="2479"/>
      <c r="H45" s="2525"/>
      <c r="I45" s="2526" t="s">
        <v>6032</v>
      </c>
      <c r="J45" s="2508">
        <v>981087553</v>
      </c>
      <c r="K45" s="2508">
        <v>617255909</v>
      </c>
      <c r="L45" s="2508">
        <v>722327719</v>
      </c>
      <c r="M45" s="2508">
        <v>624405083</v>
      </c>
    </row>
    <row r="46" spans="1:13" ht="16.7" customHeight="1" x14ac:dyDescent="0.2">
      <c r="A46" s="2497">
        <v>39</v>
      </c>
      <c r="B46" s="2512" t="s">
        <v>6179</v>
      </c>
      <c r="C46" s="2488"/>
      <c r="D46" s="2531">
        <v>40810129</v>
      </c>
      <c r="E46" s="2514">
        <f t="shared" si="3"/>
        <v>3375</v>
      </c>
      <c r="F46" s="2479"/>
      <c r="H46" s="2525"/>
      <c r="I46" s="2526" t="s">
        <v>6034</v>
      </c>
      <c r="J46" s="2508">
        <v>3375</v>
      </c>
      <c r="K46" s="2508">
        <v>0</v>
      </c>
      <c r="L46" s="2508">
        <v>24836545</v>
      </c>
      <c r="M46" s="2508">
        <v>60042489</v>
      </c>
    </row>
    <row r="47" spans="1:13" ht="16.7" customHeight="1" x14ac:dyDescent="0.2">
      <c r="A47" s="2497">
        <v>40</v>
      </c>
      <c r="B47" s="2512" t="s">
        <v>6180</v>
      </c>
      <c r="C47" s="2488"/>
      <c r="D47" s="2530">
        <v>139299855</v>
      </c>
      <c r="E47" s="2505">
        <f t="shared" si="3"/>
        <v>148494505</v>
      </c>
      <c r="F47" s="2479"/>
      <c r="H47" s="2525"/>
      <c r="I47" s="2526" t="s">
        <v>6036</v>
      </c>
      <c r="J47" s="2508">
        <v>148494505</v>
      </c>
      <c r="K47" s="2508">
        <v>139954550</v>
      </c>
      <c r="L47" s="2508">
        <v>143269702</v>
      </c>
      <c r="M47" s="2508">
        <v>136335569</v>
      </c>
    </row>
    <row r="48" spans="1:13" ht="16.7" customHeight="1" x14ac:dyDescent="0.2">
      <c r="A48" s="2497">
        <v>41</v>
      </c>
      <c r="B48" s="2512" t="s">
        <v>6181</v>
      </c>
      <c r="C48" s="2488"/>
      <c r="D48" s="2530">
        <v>28663856</v>
      </c>
      <c r="E48" s="2505">
        <f t="shared" si="3"/>
        <v>50669328</v>
      </c>
      <c r="F48" s="2479"/>
      <c r="H48" s="2525"/>
      <c r="I48" s="2526" t="s">
        <v>6038</v>
      </c>
      <c r="J48" s="2508">
        <v>50669328</v>
      </c>
      <c r="K48" s="2508">
        <v>45305524</v>
      </c>
      <c r="L48" s="2508">
        <v>42224507</v>
      </c>
      <c r="M48" s="2508">
        <v>44331534</v>
      </c>
    </row>
    <row r="49" spans="1:13" ht="16.7" customHeight="1" x14ac:dyDescent="0.2">
      <c r="A49" s="2497">
        <v>42</v>
      </c>
      <c r="B49" s="2512" t="s">
        <v>6182</v>
      </c>
      <c r="C49" s="2489" t="s">
        <v>832</v>
      </c>
      <c r="D49" s="2530">
        <v>40928851</v>
      </c>
      <c r="E49" s="2505">
        <f t="shared" si="3"/>
        <v>44786760</v>
      </c>
      <c r="F49" s="2479"/>
      <c r="H49" s="2525"/>
      <c r="I49" s="2526" t="s">
        <v>6040</v>
      </c>
      <c r="J49" s="2508">
        <v>44786760</v>
      </c>
      <c r="K49" s="2508">
        <v>56245950</v>
      </c>
      <c r="L49" s="2508">
        <v>69730217</v>
      </c>
      <c r="M49" s="2508">
        <v>71717476</v>
      </c>
    </row>
    <row r="50" spans="1:13" ht="16.7" customHeight="1" x14ac:dyDescent="0.2">
      <c r="A50" s="2497">
        <v>43</v>
      </c>
      <c r="B50" s="2512" t="s">
        <v>6183</v>
      </c>
      <c r="C50" s="2488"/>
      <c r="D50" s="2530">
        <v>153832529</v>
      </c>
      <c r="E50" s="2505">
        <f t="shared" si="3"/>
        <v>129544631</v>
      </c>
      <c r="F50" s="2479"/>
      <c r="H50" s="2525"/>
      <c r="I50" s="2526" t="s">
        <v>6042</v>
      </c>
      <c r="J50" s="2508">
        <v>129544631</v>
      </c>
      <c r="K50" s="2508">
        <v>122543764</v>
      </c>
      <c r="L50" s="2508">
        <v>128769917</v>
      </c>
      <c r="M50" s="2508">
        <v>117354090</v>
      </c>
    </row>
    <row r="51" spans="1:13" ht="16.7" customHeight="1" x14ac:dyDescent="0.2">
      <c r="A51" s="2497">
        <v>44</v>
      </c>
      <c r="B51" s="2512" t="s">
        <v>6184</v>
      </c>
      <c r="C51" s="2488"/>
      <c r="D51" s="2530">
        <v>40475</v>
      </c>
      <c r="E51" s="2505">
        <f t="shared" si="3"/>
        <v>40475</v>
      </c>
      <c r="F51" s="2479"/>
      <c r="H51" s="2525"/>
      <c r="I51" s="2526" t="s">
        <v>6044</v>
      </c>
      <c r="J51" s="2508">
        <v>40475</v>
      </c>
      <c r="K51" s="2508">
        <v>40475</v>
      </c>
      <c r="L51" s="2508">
        <v>40475</v>
      </c>
      <c r="M51" s="2508">
        <v>40475</v>
      </c>
    </row>
    <row r="52" spans="1:13" ht="16.7" customHeight="1" x14ac:dyDescent="0.2">
      <c r="A52" s="2497">
        <v>45</v>
      </c>
      <c r="B52" s="2512" t="s">
        <v>6185</v>
      </c>
      <c r="C52" s="2488"/>
      <c r="D52" s="2530">
        <v>0</v>
      </c>
      <c r="E52" s="2505">
        <f t="shared" si="3"/>
        <v>0</v>
      </c>
      <c r="F52" s="2479"/>
      <c r="H52" s="2525"/>
      <c r="I52" s="2526" t="s">
        <v>6046</v>
      </c>
      <c r="J52" s="2508">
        <v>0</v>
      </c>
      <c r="K52" s="2508">
        <v>0</v>
      </c>
      <c r="L52" s="2508">
        <v>0</v>
      </c>
      <c r="M52" s="2508">
        <v>0</v>
      </c>
    </row>
    <row r="53" spans="1:13" ht="16.7" customHeight="1" x14ac:dyDescent="0.2">
      <c r="A53" s="2497">
        <v>46</v>
      </c>
      <c r="B53" s="2502" t="s">
        <v>6186</v>
      </c>
      <c r="C53" s="2509"/>
      <c r="D53" s="2527">
        <v>0</v>
      </c>
      <c r="E53" s="2505">
        <f t="shared" si="3"/>
        <v>0</v>
      </c>
      <c r="F53" s="2479"/>
      <c r="H53" s="2525"/>
      <c r="I53" s="2526" t="s">
        <v>6048</v>
      </c>
      <c r="J53" s="2508">
        <v>0</v>
      </c>
      <c r="K53" s="2508">
        <v>0</v>
      </c>
      <c r="L53" s="2508">
        <v>0</v>
      </c>
      <c r="M53" s="2508">
        <v>0</v>
      </c>
    </row>
    <row r="54" spans="1:13" ht="16.7" customHeight="1" x14ac:dyDescent="0.2">
      <c r="A54" s="2497">
        <v>47</v>
      </c>
      <c r="B54" s="2502" t="s">
        <v>6187</v>
      </c>
      <c r="C54" s="2509"/>
      <c r="D54" s="2527">
        <v>22991961</v>
      </c>
      <c r="E54" s="2505">
        <f t="shared" si="3"/>
        <v>22624875</v>
      </c>
      <c r="F54" s="2479"/>
      <c r="H54" s="2525"/>
      <c r="I54" s="2526" t="s">
        <v>6050</v>
      </c>
      <c r="J54" s="2508">
        <v>22624875</v>
      </c>
      <c r="K54" s="2508">
        <v>21220657</v>
      </c>
      <c r="L54" s="2508">
        <v>21412558</v>
      </c>
      <c r="M54" s="2508">
        <v>21382035</v>
      </c>
    </row>
    <row r="55" spans="1:13" ht="16.7" customHeight="1" x14ac:dyDescent="0.2">
      <c r="A55" s="2497">
        <v>48</v>
      </c>
      <c r="B55" s="2502" t="s">
        <v>6188</v>
      </c>
      <c r="C55" s="2509"/>
      <c r="D55" s="2527">
        <v>228301336</v>
      </c>
      <c r="E55" s="2505">
        <f t="shared" si="3"/>
        <v>126309990</v>
      </c>
      <c r="F55" s="2479"/>
      <c r="H55" s="2525"/>
      <c r="I55" s="2526" t="s">
        <v>6052</v>
      </c>
      <c r="J55" s="2508">
        <v>126309990</v>
      </c>
      <c r="K55" s="2508">
        <v>87320483</v>
      </c>
      <c r="L55" s="2508">
        <v>95233583</v>
      </c>
      <c r="M55" s="2508">
        <v>82553117</v>
      </c>
    </row>
    <row r="56" spans="1:13" ht="16.7" customHeight="1" x14ac:dyDescent="0.2">
      <c r="A56" s="2497">
        <v>49</v>
      </c>
      <c r="B56" s="2502" t="s">
        <v>6189</v>
      </c>
      <c r="C56" s="2509"/>
      <c r="D56" s="2527">
        <v>3342899</v>
      </c>
      <c r="E56" s="2505">
        <f t="shared" si="3"/>
        <v>4197623</v>
      </c>
      <c r="F56" s="2479"/>
      <c r="H56" s="2525"/>
      <c r="I56" s="2526" t="s">
        <v>6054</v>
      </c>
      <c r="J56" s="2508">
        <v>4197623</v>
      </c>
      <c r="K56" s="2508">
        <v>3638134</v>
      </c>
      <c r="L56" s="2508">
        <v>7686260</v>
      </c>
      <c r="M56" s="2508">
        <v>3979527</v>
      </c>
    </row>
    <row r="57" spans="1:13" ht="16.7" customHeight="1" x14ac:dyDescent="0.2">
      <c r="A57" s="2497">
        <v>50</v>
      </c>
      <c r="B57" s="2502" t="s">
        <v>6190</v>
      </c>
      <c r="C57" s="2509"/>
      <c r="D57" s="2527">
        <v>83570102</v>
      </c>
      <c r="E57" s="2505">
        <f t="shared" si="3"/>
        <v>6554192</v>
      </c>
      <c r="F57" s="2479"/>
      <c r="H57" s="2525"/>
      <c r="I57" s="2526" t="s">
        <v>6056</v>
      </c>
      <c r="J57" s="2508">
        <v>6554192</v>
      </c>
      <c r="K57" s="2508">
        <v>37762438</v>
      </c>
      <c r="L57" s="2508">
        <v>26335953</v>
      </c>
      <c r="M57" s="2508">
        <v>29690179</v>
      </c>
    </row>
    <row r="58" spans="1:13" ht="16.7" customHeight="1" x14ac:dyDescent="0.2">
      <c r="A58" s="2497">
        <v>51</v>
      </c>
      <c r="B58" s="2502" t="s">
        <v>6191</v>
      </c>
      <c r="C58" s="2509"/>
      <c r="D58" s="2527">
        <v>19997035</v>
      </c>
      <c r="E58" s="2505">
        <f t="shared" si="3"/>
        <v>1875535</v>
      </c>
      <c r="F58" s="2479"/>
      <c r="H58" s="2525"/>
      <c r="I58" s="2526" t="s">
        <v>6059</v>
      </c>
      <c r="J58" s="2508">
        <v>1875535</v>
      </c>
      <c r="K58" s="2508">
        <v>7091366</v>
      </c>
      <c r="L58" s="2508">
        <v>19164041</v>
      </c>
      <c r="M58" s="2508">
        <v>22833300</v>
      </c>
    </row>
    <row r="59" spans="1:13" ht="16.7" customHeight="1" x14ac:dyDescent="0.2">
      <c r="A59" s="2497">
        <v>52</v>
      </c>
      <c r="B59" s="2502" t="s">
        <v>6192</v>
      </c>
      <c r="C59" s="2509"/>
      <c r="D59" s="2527">
        <v>0</v>
      </c>
      <c r="E59" s="2505">
        <f t="shared" si="3"/>
        <v>0</v>
      </c>
      <c r="F59" s="2479"/>
      <c r="H59" s="2525"/>
      <c r="I59" s="2526" t="s">
        <v>6061</v>
      </c>
      <c r="J59" s="2508">
        <v>0</v>
      </c>
      <c r="K59" s="2508">
        <v>0</v>
      </c>
      <c r="L59" s="2508">
        <v>0</v>
      </c>
      <c r="M59" s="2508">
        <v>0</v>
      </c>
    </row>
    <row r="60" spans="1:13" ht="16.7" customHeight="1" x14ac:dyDescent="0.2">
      <c r="A60" s="2497">
        <v>53</v>
      </c>
      <c r="B60" s="2502" t="s">
        <v>6193</v>
      </c>
      <c r="C60" s="2509"/>
      <c r="D60" s="2527">
        <v>0</v>
      </c>
      <c r="E60" s="2505">
        <f t="shared" si="3"/>
        <v>0</v>
      </c>
      <c r="F60" s="2479"/>
      <c r="H60" s="2525"/>
      <c r="I60" s="2526" t="s">
        <v>6063</v>
      </c>
      <c r="J60" s="2508">
        <v>0</v>
      </c>
      <c r="K60" s="2508">
        <v>0</v>
      </c>
      <c r="L60" s="2508">
        <v>0</v>
      </c>
      <c r="M60" s="2508">
        <v>0</v>
      </c>
    </row>
    <row r="61" spans="1:13" ht="16.7" customHeight="1" x14ac:dyDescent="0.2">
      <c r="A61" s="2497">
        <v>54</v>
      </c>
      <c r="B61" s="2502" t="s">
        <v>6194</v>
      </c>
      <c r="C61" s="2509"/>
      <c r="D61" s="2527">
        <f>SUM(D44:D52,D53:D57,-D58,D59,-D60)</f>
        <v>3718698550</v>
      </c>
      <c r="E61" s="2527">
        <f>SUM(E44:E52,E53:E57,-E58,E59,-E60)</f>
        <v>1512437772</v>
      </c>
      <c r="F61" s="2479"/>
      <c r="H61" s="2525"/>
      <c r="I61" s="2526" t="s">
        <v>6065</v>
      </c>
      <c r="J61" s="2508">
        <f>SUM(J44:J52,J53:J57,-J58,J59,-J60)</f>
        <v>1512437772</v>
      </c>
      <c r="K61" s="2508">
        <f>SUM(K44:K52,K53:K57,-K58,K59,-K60)</f>
        <v>1124196518</v>
      </c>
      <c r="L61" s="2508">
        <v>1355703395</v>
      </c>
      <c r="M61" s="2508">
        <v>1298998274</v>
      </c>
    </row>
    <row r="62" spans="1:13" ht="16.7" customHeight="1" x14ac:dyDescent="0.2">
      <c r="A62" s="2497">
        <v>55</v>
      </c>
      <c r="B62" s="2498" t="s">
        <v>435</v>
      </c>
      <c r="C62" s="2488"/>
      <c r="D62" s="2532"/>
      <c r="E62" s="2533"/>
      <c r="F62" s="2479"/>
      <c r="H62" s="2525"/>
      <c r="I62" s="2526" t="s">
        <v>6067</v>
      </c>
      <c r="J62" s="2511"/>
      <c r="K62" s="2511"/>
      <c r="L62" s="2508">
        <v>0</v>
      </c>
      <c r="M62" s="2508">
        <v>0</v>
      </c>
    </row>
    <row r="63" spans="1:13" ht="16.7" customHeight="1" x14ac:dyDescent="0.2">
      <c r="A63" s="2497">
        <v>56</v>
      </c>
      <c r="B63" s="2502" t="s">
        <v>6195</v>
      </c>
      <c r="C63" s="2509"/>
      <c r="D63" s="2527">
        <v>246675415</v>
      </c>
      <c r="E63" s="2505">
        <f t="shared" ref="E63:E71" si="4">SUMIF(I:I,A63,J:J)</f>
        <v>140928435</v>
      </c>
      <c r="F63" s="2479"/>
      <c r="H63" s="2525"/>
      <c r="I63" s="2526" t="s">
        <v>6069</v>
      </c>
      <c r="J63" s="2508">
        <v>140928435</v>
      </c>
      <c r="K63" s="2508">
        <v>120471243</v>
      </c>
      <c r="L63" s="2508">
        <v>105190481</v>
      </c>
      <c r="M63" s="2508">
        <v>100135630</v>
      </c>
    </row>
    <row r="64" spans="1:13" ht="16.7" customHeight="1" x14ac:dyDescent="0.2">
      <c r="A64" s="2497">
        <v>57</v>
      </c>
      <c r="B64" s="2502" t="s">
        <v>6196</v>
      </c>
      <c r="C64" s="2503" t="s">
        <v>6197</v>
      </c>
      <c r="D64" s="2527">
        <v>10061962</v>
      </c>
      <c r="E64" s="2505">
        <f t="shared" si="4"/>
        <v>9732439</v>
      </c>
      <c r="F64" s="2479"/>
      <c r="H64" s="2525"/>
      <c r="I64" s="2526" t="s">
        <v>6071</v>
      </c>
      <c r="J64" s="2508">
        <v>9732439</v>
      </c>
      <c r="K64" s="2508">
        <v>11945656</v>
      </c>
      <c r="L64" s="2508">
        <v>12326236</v>
      </c>
      <c r="M64" s="2508">
        <v>11203507</v>
      </c>
    </row>
    <row r="65" spans="1:13" ht="16.7" customHeight="1" x14ac:dyDescent="0.2">
      <c r="A65" s="2497">
        <v>58</v>
      </c>
      <c r="B65" s="2502" t="s">
        <v>6198</v>
      </c>
      <c r="C65" s="2509"/>
      <c r="D65" s="2527">
        <v>0</v>
      </c>
      <c r="E65" s="2505">
        <f t="shared" si="4"/>
        <v>0</v>
      </c>
      <c r="F65" s="2479"/>
      <c r="H65" s="2525"/>
      <c r="I65" s="2526" t="s">
        <v>6073</v>
      </c>
      <c r="J65" s="2508">
        <v>0</v>
      </c>
      <c r="K65" s="2508">
        <v>0</v>
      </c>
      <c r="L65" s="2508">
        <v>0</v>
      </c>
      <c r="M65" s="2508">
        <v>0</v>
      </c>
    </row>
    <row r="66" spans="1:13" ht="16.7" customHeight="1" x14ac:dyDescent="0.2">
      <c r="A66" s="2497">
        <v>59</v>
      </c>
      <c r="B66" s="2502" t="s">
        <v>6199</v>
      </c>
      <c r="C66" s="2515">
        <v>269</v>
      </c>
      <c r="D66" s="2527">
        <v>404242063</v>
      </c>
      <c r="E66" s="2505">
        <f t="shared" si="4"/>
        <v>393065634</v>
      </c>
      <c r="F66" s="2479"/>
      <c r="H66" s="2525"/>
      <c r="I66" s="2526" t="s">
        <v>6075</v>
      </c>
      <c r="J66" s="2508">
        <v>393065634</v>
      </c>
      <c r="K66" s="2508">
        <v>237702175</v>
      </c>
      <c r="L66" s="2508">
        <v>216557492</v>
      </c>
      <c r="M66" s="2508">
        <v>201430606</v>
      </c>
    </row>
    <row r="67" spans="1:13" ht="16.7" customHeight="1" x14ac:dyDescent="0.2">
      <c r="A67" s="2497">
        <v>60</v>
      </c>
      <c r="B67" s="2502" t="s">
        <v>6200</v>
      </c>
      <c r="C67" s="2515">
        <v>278</v>
      </c>
      <c r="D67" s="2527">
        <v>1176960899</v>
      </c>
      <c r="E67" s="2505">
        <f t="shared" si="4"/>
        <v>1629731766</v>
      </c>
      <c r="F67" s="2479"/>
      <c r="H67" s="2525"/>
      <c r="I67" s="2526" t="s">
        <v>6077</v>
      </c>
      <c r="J67" s="2508">
        <v>1629731766</v>
      </c>
      <c r="K67" s="2508">
        <v>1563255203</v>
      </c>
      <c r="L67" s="2508">
        <v>1700242286</v>
      </c>
      <c r="M67" s="2508">
        <v>1930223376</v>
      </c>
    </row>
    <row r="68" spans="1:13" ht="16.7" customHeight="1" x14ac:dyDescent="0.2">
      <c r="A68" s="2497">
        <v>61</v>
      </c>
      <c r="B68" s="2502" t="s">
        <v>6201</v>
      </c>
      <c r="C68" s="2509"/>
      <c r="D68" s="2527">
        <v>0</v>
      </c>
      <c r="E68" s="2505">
        <f t="shared" si="4"/>
        <v>0</v>
      </c>
      <c r="F68" s="2479"/>
      <c r="H68" s="2525"/>
      <c r="I68" s="2526" t="s">
        <v>6079</v>
      </c>
      <c r="J68" s="2508">
        <v>0</v>
      </c>
      <c r="K68" s="2508">
        <v>0</v>
      </c>
      <c r="L68" s="2508">
        <v>0</v>
      </c>
      <c r="M68" s="2508">
        <v>0</v>
      </c>
    </row>
    <row r="69" spans="1:13" ht="16.7" customHeight="1" x14ac:dyDescent="0.2">
      <c r="A69" s="2497">
        <v>62</v>
      </c>
      <c r="B69" s="2502" t="s">
        <v>6202</v>
      </c>
      <c r="C69" s="2503" t="s">
        <v>6203</v>
      </c>
      <c r="D69" s="2527">
        <v>122977940</v>
      </c>
      <c r="E69" s="2505">
        <f t="shared" si="4"/>
        <v>134154544</v>
      </c>
      <c r="F69" s="2479"/>
      <c r="H69" s="2525"/>
      <c r="I69" s="2526" t="s">
        <v>6081</v>
      </c>
      <c r="J69" s="2508">
        <v>134154544</v>
      </c>
      <c r="K69" s="2508">
        <v>143583856</v>
      </c>
      <c r="L69" s="2508">
        <v>152581995</v>
      </c>
      <c r="M69" s="2508">
        <v>174829838</v>
      </c>
    </row>
    <row r="70" spans="1:13" ht="16.7" customHeight="1" x14ac:dyDescent="0.2">
      <c r="A70" s="2497">
        <v>63</v>
      </c>
      <c r="B70" s="2502" t="s">
        <v>6204</v>
      </c>
      <c r="C70" s="2509"/>
      <c r="D70" s="2527">
        <v>3253177664</v>
      </c>
      <c r="E70" s="2505">
        <f t="shared" si="4"/>
        <v>3180346057</v>
      </c>
      <c r="F70" s="2479"/>
      <c r="H70" s="2525"/>
      <c r="I70" s="2526" t="s">
        <v>6083</v>
      </c>
      <c r="J70" s="2508">
        <v>3180346057</v>
      </c>
      <c r="K70" s="2508">
        <v>3054144040</v>
      </c>
      <c r="L70" s="2508">
        <v>2908481325</v>
      </c>
      <c r="M70" s="2508">
        <v>2889829879</v>
      </c>
    </row>
    <row r="71" spans="1:13" ht="16.7" customHeight="1" x14ac:dyDescent="0.2">
      <c r="A71" s="2497">
        <v>64</v>
      </c>
      <c r="B71" s="2502" t="s">
        <v>6205</v>
      </c>
      <c r="C71" s="2509"/>
      <c r="D71" s="2527">
        <v>675137414</v>
      </c>
      <c r="E71" s="2505">
        <f t="shared" si="4"/>
        <v>565331047</v>
      </c>
      <c r="F71" s="2479"/>
      <c r="H71" s="2525"/>
      <c r="I71" s="2526" t="s">
        <v>6085</v>
      </c>
      <c r="J71" s="2508">
        <v>565331047</v>
      </c>
      <c r="K71" s="2508">
        <v>382542004</v>
      </c>
      <c r="L71" s="2508">
        <v>365071741</v>
      </c>
      <c r="M71" s="2508">
        <v>297173549</v>
      </c>
    </row>
    <row r="72" spans="1:13" ht="16.7" customHeight="1" x14ac:dyDescent="0.2">
      <c r="A72" s="2497">
        <v>65</v>
      </c>
      <c r="B72" s="2502" t="s">
        <v>6206</v>
      </c>
      <c r="C72" s="2509"/>
      <c r="D72" s="2527">
        <f>SUM(D63:D71)</f>
        <v>5889233357</v>
      </c>
      <c r="E72" s="2527">
        <f>SUM(E63:E71)</f>
        <v>6053289922</v>
      </c>
      <c r="F72" s="2479"/>
      <c r="H72" s="2525"/>
      <c r="I72" s="2526" t="s">
        <v>6087</v>
      </c>
      <c r="J72" s="2508">
        <f>SUM(J63:J71)</f>
        <v>6053289922</v>
      </c>
      <c r="K72" s="2508">
        <f>SUM(K63:K71)</f>
        <v>5513644177</v>
      </c>
      <c r="L72" s="2508">
        <v>5460451556</v>
      </c>
      <c r="M72" s="2508">
        <v>5604826385</v>
      </c>
    </row>
    <row r="73" spans="1:13" ht="15.75" customHeight="1" x14ac:dyDescent="0.2">
      <c r="A73" s="2497">
        <v>66</v>
      </c>
      <c r="B73" s="2534" t="s">
        <v>6207</v>
      </c>
      <c r="C73" s="2509"/>
      <c r="D73" s="2527">
        <f>SUM(D23,D31,D42,D61,D72)</f>
        <v>32105243664</v>
      </c>
      <c r="E73" s="2527">
        <f>SUM(E23,E31,E42,E61,E72)</f>
        <v>28643644646</v>
      </c>
      <c r="F73" s="2479"/>
      <c r="H73" s="2525"/>
      <c r="I73" s="2526" t="s">
        <v>6089</v>
      </c>
      <c r="J73" s="2508">
        <f>SUM(J23,J31,J42,J61,J72)</f>
        <v>28643644646</v>
      </c>
      <c r="K73" s="2508">
        <f>SUM(K23,K31,K42,K61,K72)</f>
        <v>25928908463</v>
      </c>
      <c r="L73" s="2508">
        <v>25320399025</v>
      </c>
      <c r="M73" s="2508">
        <v>23566697077</v>
      </c>
    </row>
    <row r="74" spans="1:13" ht="15" customHeight="1" x14ac:dyDescent="0.2">
      <c r="A74" s="2535"/>
      <c r="B74" s="2536"/>
      <c r="C74" s="2516"/>
      <c r="D74" s="2537"/>
      <c r="E74" s="2537"/>
      <c r="H74" s="2538"/>
      <c r="I74" s="2482"/>
      <c r="J74" s="2511"/>
      <c r="K74" s="2511"/>
      <c r="L74" s="2501"/>
      <c r="M74" s="2501"/>
    </row>
    <row r="75" spans="1:13" ht="15" customHeight="1" x14ac:dyDescent="0.2">
      <c r="H75" s="2539"/>
      <c r="I75" s="2482"/>
      <c r="J75" s="2511"/>
      <c r="K75" s="2511"/>
      <c r="L75" s="2501"/>
      <c r="M75" s="2501"/>
    </row>
    <row r="76" spans="1:13" ht="15" customHeight="1" x14ac:dyDescent="0.2">
      <c r="H76" s="2539"/>
      <c r="I76" s="2482"/>
      <c r="J76" s="2511"/>
      <c r="K76" s="2511"/>
      <c r="L76" s="2501"/>
      <c r="M76" s="2501"/>
    </row>
    <row r="77" spans="1:13" ht="15" customHeight="1" x14ac:dyDescent="0.2">
      <c r="H77" s="2539"/>
      <c r="I77" s="2482"/>
      <c r="J77" s="2511"/>
      <c r="K77" s="2511"/>
      <c r="L77" s="2501"/>
      <c r="M77" s="2501"/>
    </row>
    <row r="78" spans="1:13" ht="15" customHeight="1" x14ac:dyDescent="0.2">
      <c r="H78" s="2539"/>
      <c r="I78" s="2482"/>
      <c r="J78" s="2511"/>
      <c r="K78" s="2511"/>
      <c r="L78" s="2501"/>
      <c r="M78" s="2501"/>
    </row>
    <row r="79" spans="1:13" ht="15" customHeight="1" x14ac:dyDescent="0.2">
      <c r="H79" s="2539"/>
      <c r="I79" s="2482"/>
      <c r="J79" s="2511"/>
      <c r="K79" s="2511"/>
      <c r="L79" s="2501"/>
      <c r="M79" s="2501"/>
    </row>
    <row r="80" spans="1:13" ht="15" customHeight="1" x14ac:dyDescent="0.2">
      <c r="H80" s="2539"/>
      <c r="I80" s="2482"/>
      <c r="J80" s="2511"/>
      <c r="K80" s="2511"/>
      <c r="L80" s="2501"/>
      <c r="M80" s="2501"/>
    </row>
    <row r="81" spans="8:13" ht="15" customHeight="1" x14ac:dyDescent="0.2">
      <c r="H81" s="2539"/>
      <c r="I81" s="2482"/>
      <c r="J81" s="2511"/>
      <c r="K81" s="2511"/>
      <c r="L81" s="2501"/>
      <c r="M81" s="2501"/>
    </row>
    <row r="82" spans="8:13" ht="15" customHeight="1" x14ac:dyDescent="0.2">
      <c r="H82" s="2539"/>
      <c r="I82" s="2482"/>
      <c r="J82" s="2511"/>
      <c r="K82" s="2511"/>
      <c r="L82" s="2501"/>
      <c r="M82" s="2501"/>
    </row>
    <row r="83" spans="8:13" ht="15" customHeight="1" x14ac:dyDescent="0.2">
      <c r="H83" s="2539"/>
      <c r="I83" s="2482"/>
      <c r="J83" s="2511"/>
      <c r="K83" s="2511"/>
      <c r="L83" s="2501"/>
      <c r="M83" s="2501"/>
    </row>
    <row r="84" spans="8:13" ht="15" customHeight="1" x14ac:dyDescent="0.2">
      <c r="H84" s="2539"/>
      <c r="I84" s="2482"/>
      <c r="J84" s="2511"/>
      <c r="K84" s="2511"/>
      <c r="L84" s="2501"/>
      <c r="M84" s="2501"/>
    </row>
    <row r="85" spans="8:13" ht="15" customHeight="1" x14ac:dyDescent="0.2">
      <c r="H85" s="2539"/>
      <c r="I85" s="2501"/>
      <c r="J85" s="2511"/>
      <c r="K85" s="2511"/>
      <c r="L85" s="2501"/>
      <c r="M85" s="2501"/>
    </row>
    <row r="86" spans="8:13" ht="15" customHeight="1" x14ac:dyDescent="0.2">
      <c r="H86" s="2539"/>
      <c r="I86" s="2501"/>
      <c r="J86" s="2511"/>
      <c r="K86" s="2511"/>
      <c r="L86" s="2501"/>
      <c r="M86" s="2501"/>
    </row>
    <row r="87" spans="8:13" ht="15" customHeight="1" x14ac:dyDescent="0.2">
      <c r="H87" s="2539"/>
      <c r="I87" s="2501"/>
      <c r="J87" s="2511"/>
      <c r="K87" s="2511"/>
      <c r="L87" s="2501"/>
      <c r="M87" s="2501"/>
    </row>
    <row r="88" spans="8:13" ht="15" customHeight="1" x14ac:dyDescent="0.2">
      <c r="H88" s="2539"/>
      <c r="I88" s="2501"/>
      <c r="J88" s="2511"/>
      <c r="K88" s="2511"/>
      <c r="L88" s="2501"/>
      <c r="M88" s="2501"/>
    </row>
    <row r="89" spans="8:13" ht="15" customHeight="1" x14ac:dyDescent="0.2">
      <c r="H89" s="2539"/>
      <c r="I89" s="2501"/>
      <c r="J89" s="2511"/>
      <c r="K89" s="2511"/>
      <c r="L89" s="2501"/>
      <c r="M89" s="2501"/>
    </row>
    <row r="90" spans="8:13" ht="15" customHeight="1" x14ac:dyDescent="0.2">
      <c r="H90" s="2539"/>
      <c r="I90" s="2501"/>
      <c r="J90" s="2511"/>
      <c r="K90" s="2511"/>
      <c r="L90" s="2501"/>
      <c r="M90" s="2501"/>
    </row>
    <row r="91" spans="8:13" ht="15" customHeight="1" x14ac:dyDescent="0.2">
      <c r="H91" s="2539"/>
      <c r="I91" s="2501"/>
      <c r="J91" s="2511"/>
      <c r="K91" s="2511"/>
      <c r="L91" s="2501"/>
      <c r="M91" s="2501"/>
    </row>
    <row r="92" spans="8:13" ht="15" customHeight="1" x14ac:dyDescent="0.2">
      <c r="H92" s="2539"/>
      <c r="I92" s="2501"/>
      <c r="J92" s="2511"/>
      <c r="K92" s="2511"/>
      <c r="L92" s="2501"/>
      <c r="M92" s="2501"/>
    </row>
    <row r="93" spans="8:13" ht="15" customHeight="1" x14ac:dyDescent="0.2">
      <c r="H93" s="2539"/>
      <c r="I93" s="2501"/>
      <c r="J93" s="2511"/>
      <c r="K93" s="2511"/>
      <c r="L93" s="2501"/>
      <c r="M93" s="2501"/>
    </row>
    <row r="94" spans="8:13" ht="15" customHeight="1" x14ac:dyDescent="0.2">
      <c r="H94" s="2539"/>
      <c r="I94" s="2501"/>
      <c r="J94" s="2511"/>
      <c r="K94" s="2511"/>
      <c r="L94" s="2501"/>
      <c r="M94" s="2501"/>
    </row>
    <row r="95" spans="8:13" ht="15" customHeight="1" x14ac:dyDescent="0.2">
      <c r="H95" s="2539"/>
      <c r="I95" s="2501"/>
      <c r="J95" s="2511"/>
      <c r="K95" s="2511"/>
      <c r="L95" s="2501"/>
      <c r="M95" s="2501"/>
    </row>
    <row r="96" spans="8:13" ht="15" customHeight="1" x14ac:dyDescent="0.2">
      <c r="H96" s="2539"/>
      <c r="I96" s="2501"/>
      <c r="J96" s="2511"/>
      <c r="K96" s="2511"/>
      <c r="L96" s="2501"/>
      <c r="M96" s="2501"/>
    </row>
    <row r="97" spans="8:13" ht="15" customHeight="1" x14ac:dyDescent="0.2">
      <c r="H97" s="2539"/>
      <c r="I97" s="2501"/>
      <c r="J97" s="2511"/>
      <c r="K97" s="2511"/>
      <c r="L97" s="2501"/>
      <c r="M97" s="2501"/>
    </row>
    <row r="98" spans="8:13" ht="15" customHeight="1" x14ac:dyDescent="0.2">
      <c r="H98" s="2539"/>
      <c r="I98" s="2501"/>
      <c r="J98" s="2511"/>
      <c r="K98" s="2511"/>
      <c r="L98" s="2501"/>
      <c r="M98" s="2501"/>
    </row>
    <row r="99" spans="8:13" ht="15" customHeight="1" x14ac:dyDescent="0.2">
      <c r="H99" s="2539"/>
      <c r="I99" s="2501"/>
      <c r="J99" s="2511"/>
      <c r="K99" s="2511"/>
      <c r="L99" s="2501"/>
      <c r="M99" s="2501"/>
    </row>
    <row r="100" spans="8:13" ht="15" customHeight="1" x14ac:dyDescent="0.2">
      <c r="H100" s="2539"/>
      <c r="I100" s="2501"/>
      <c r="J100" s="2511"/>
      <c r="K100" s="2511"/>
      <c r="L100" s="2501"/>
      <c r="M100" s="2501"/>
    </row>
    <row r="101" spans="8:13" ht="15" customHeight="1" x14ac:dyDescent="0.2">
      <c r="H101" s="2539"/>
      <c r="I101" s="2501"/>
      <c r="J101" s="2511"/>
      <c r="K101" s="2511"/>
      <c r="L101" s="2501"/>
      <c r="M101" s="2501"/>
    </row>
  </sheetData>
  <mergeCells count="3">
    <mergeCell ref="I2:K2"/>
    <mergeCell ref="A3:E3"/>
    <mergeCell ref="A4:E4"/>
  </mergeCells>
  <pageMargins left="0.75" right="0.75" top="1" bottom="1" header="0.5" footer="0.5"/>
  <customProperties>
    <customPr name="_pios_id" r:id="rId1"/>
  </customProperties>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3898BF-6AB1-4925-8E61-DE07066BB55F}">
  <sheetPr codeName="Sheet42">
    <tabColor rgb="FFCCC0DA"/>
  </sheetPr>
  <dimension ref="A1:AN122"/>
  <sheetViews>
    <sheetView zoomScale="90" zoomScaleNormal="90" workbookViewId="0">
      <pane xSplit="1" ySplit="9" topLeftCell="B97" activePane="bottomRight" state="frozen"/>
      <selection activeCell="A2" sqref="A2"/>
      <selection pane="topRight" activeCell="A2" sqref="A2"/>
      <selection pane="bottomLeft" activeCell="A2" sqref="A2"/>
      <selection pane="bottomRight" activeCell="A2" sqref="A2"/>
    </sheetView>
  </sheetViews>
  <sheetFormatPr defaultColWidth="11.5" defaultRowHeight="12.75" x14ac:dyDescent="0.2"/>
  <cols>
    <col min="1" max="1" width="6.5" style="1953" customWidth="1"/>
    <col min="2" max="2" width="48.25" style="1953" customWidth="1"/>
    <col min="3" max="3" width="9.75" style="1953" customWidth="1"/>
    <col min="4" max="7" width="14.125" style="1953" customWidth="1"/>
    <col min="8" max="8" width="17" style="1953" customWidth="1"/>
    <col min="9" max="9" width="12.375" style="1953" bestFit="1" customWidth="1"/>
    <col min="10" max="10" width="14" style="1953" bestFit="1" customWidth="1"/>
    <col min="11" max="11" width="14.875" style="1953" bestFit="1" customWidth="1"/>
    <col min="12" max="13" width="17.625" style="1953" customWidth="1"/>
    <col min="14" max="14" width="1.375" style="1953" customWidth="1"/>
    <col min="15" max="16" width="11.5" style="1953"/>
    <col min="17" max="17" width="4.125" style="1953" hidden="1" customWidth="1"/>
    <col min="18" max="18" width="6.375" style="1953" hidden="1" customWidth="1"/>
    <col min="19" max="26" width="14.125" style="1953" hidden="1" customWidth="1"/>
    <col min="27" max="27" width="14.75" style="1953" hidden="1" customWidth="1"/>
    <col min="28" max="28" width="12.375" style="1953" hidden="1" customWidth="1"/>
    <col min="29" max="29" width="14.125" style="1953" customWidth="1"/>
    <col min="30" max="30" width="13.5" style="1953" customWidth="1"/>
    <col min="31" max="16384" width="11.5" style="1953"/>
  </cols>
  <sheetData>
    <row r="1" spans="1:40" ht="16.7" customHeight="1" x14ac:dyDescent="0.2">
      <c r="B1" s="2478" t="s">
        <v>5937</v>
      </c>
      <c r="C1" s="2479"/>
      <c r="Q1" s="2540"/>
      <c r="R1" s="2520"/>
      <c r="S1" s="2501"/>
      <c r="T1" s="2501"/>
      <c r="U1" s="2501"/>
      <c r="V1" s="2501"/>
      <c r="W1" s="2501"/>
      <c r="X1" s="2501"/>
      <c r="Y1" s="2501"/>
      <c r="Z1" s="2501"/>
      <c r="AA1" s="2501"/>
      <c r="AB1" s="2501"/>
      <c r="AC1" s="2501"/>
      <c r="AD1" s="2501"/>
      <c r="AE1" s="2501"/>
      <c r="AF1" s="2501"/>
      <c r="AG1" s="2501"/>
      <c r="AH1" s="2501"/>
      <c r="AI1" s="2501"/>
      <c r="AJ1" s="2501"/>
      <c r="AK1" s="2501"/>
      <c r="AL1" s="2501"/>
      <c r="AM1" s="2501"/>
      <c r="AN1" s="2501"/>
    </row>
    <row r="2" spans="1:40" ht="16.7" customHeight="1" x14ac:dyDescent="0.2">
      <c r="B2" s="2483"/>
      <c r="Q2" s="2519"/>
      <c r="R2" s="3865" t="s">
        <v>5938</v>
      </c>
      <c r="S2" s="3866"/>
      <c r="T2" s="3866"/>
      <c r="U2" s="3866"/>
      <c r="V2" s="3866"/>
      <c r="W2" s="3866"/>
      <c r="X2" s="3866"/>
      <c r="Y2" s="3866"/>
      <c r="Z2" s="3866"/>
      <c r="AA2" s="3866"/>
      <c r="AB2" s="2501"/>
      <c r="AC2" s="2501"/>
      <c r="AD2" s="2501"/>
      <c r="AE2" s="2501"/>
      <c r="AF2" s="2501"/>
      <c r="AG2" s="2501"/>
      <c r="AH2" s="2501"/>
      <c r="AI2" s="2501"/>
      <c r="AJ2" s="2501"/>
      <c r="AK2" s="2501"/>
      <c r="AL2" s="2501"/>
      <c r="AM2" s="2501"/>
      <c r="AN2" s="2501"/>
    </row>
    <row r="3" spans="1:40" ht="15.75" customHeight="1" x14ac:dyDescent="0.2">
      <c r="A3" s="3859" t="s">
        <v>6208</v>
      </c>
      <c r="B3" s="3859"/>
      <c r="C3" s="3859"/>
      <c r="D3" s="3859"/>
      <c r="E3" s="3859"/>
      <c r="F3" s="3859"/>
      <c r="G3" s="3859"/>
      <c r="H3" s="3867"/>
      <c r="I3" s="3867"/>
      <c r="J3" s="3867"/>
      <c r="K3" s="3867"/>
      <c r="L3" s="3867"/>
      <c r="M3" s="3867"/>
      <c r="N3" s="2479"/>
      <c r="Q3" s="2519"/>
      <c r="R3" s="2520"/>
      <c r="S3" s="2501"/>
      <c r="T3" s="2501"/>
      <c r="U3" s="2501"/>
      <c r="V3" s="2501"/>
      <c r="W3" s="2501"/>
      <c r="X3" s="2501"/>
      <c r="Y3" s="2501"/>
      <c r="Z3" s="2501"/>
      <c r="AA3" s="2501"/>
      <c r="AB3" s="2501"/>
      <c r="AC3" s="2501"/>
      <c r="AD3" s="2501"/>
      <c r="AE3" s="2501"/>
      <c r="AF3" s="2501"/>
      <c r="AG3" s="2501"/>
      <c r="AH3" s="2501"/>
      <c r="AI3" s="2501"/>
      <c r="AJ3" s="2501"/>
      <c r="AK3" s="2501"/>
      <c r="AL3" s="2501"/>
      <c r="AM3" s="2501"/>
      <c r="AN3" s="2501"/>
    </row>
    <row r="4" spans="1:40" ht="15.75" customHeight="1" x14ac:dyDescent="0.2">
      <c r="A4" s="3860" t="s">
        <v>6209</v>
      </c>
      <c r="B4" s="3856"/>
      <c r="C4" s="3856"/>
      <c r="D4" s="3856"/>
      <c r="E4" s="3856"/>
      <c r="F4" s="3856"/>
      <c r="G4" s="3856"/>
      <c r="H4" s="3868" t="s">
        <v>6210</v>
      </c>
      <c r="I4" s="3869"/>
      <c r="J4" s="3869"/>
      <c r="K4" s="3869"/>
      <c r="L4" s="3869"/>
      <c r="M4" s="3869"/>
      <c r="N4" s="2479"/>
      <c r="Q4" s="2519"/>
      <c r="R4" s="2520"/>
      <c r="S4" s="2501"/>
      <c r="T4" s="2501"/>
      <c r="U4" s="2501"/>
      <c r="V4" s="2501"/>
      <c r="W4" s="2501"/>
      <c r="X4" s="2501"/>
      <c r="Y4" s="2501"/>
      <c r="Z4" s="2501"/>
      <c r="AA4" s="2501"/>
      <c r="AB4" s="2501"/>
      <c r="AC4" s="2501"/>
      <c r="AD4" s="2501"/>
      <c r="AE4" s="2501"/>
      <c r="AF4" s="2501"/>
      <c r="AG4" s="2501"/>
      <c r="AH4" s="2501"/>
      <c r="AI4" s="2501"/>
      <c r="AJ4" s="2501"/>
      <c r="AK4" s="2501"/>
      <c r="AL4" s="2501"/>
      <c r="AM4" s="2501"/>
      <c r="AN4" s="2501"/>
    </row>
    <row r="5" spans="1:40" ht="126.6" customHeight="1" x14ac:dyDescent="0.2">
      <c r="A5" s="3861" t="s">
        <v>6211</v>
      </c>
      <c r="B5" s="3862"/>
      <c r="C5" s="3862"/>
      <c r="D5" s="3862"/>
      <c r="E5" s="3862"/>
      <c r="F5" s="3862"/>
      <c r="G5" s="3862"/>
      <c r="H5" s="3863" t="s">
        <v>6212</v>
      </c>
      <c r="I5" s="3864"/>
      <c r="J5" s="3864"/>
      <c r="K5" s="3864"/>
      <c r="L5" s="3864"/>
      <c r="M5" s="3864"/>
      <c r="N5" s="2479"/>
      <c r="Q5" s="2519"/>
      <c r="R5" s="2542"/>
      <c r="S5" s="2501"/>
      <c r="T5" s="2501"/>
      <c r="U5" s="2501"/>
      <c r="V5" s="2501"/>
      <c r="W5" s="2501"/>
      <c r="X5" s="2501"/>
      <c r="Y5" s="2501"/>
      <c r="Z5" s="2501"/>
      <c r="AA5" s="2501"/>
      <c r="AB5" s="2501"/>
      <c r="AC5" s="2501"/>
      <c r="AD5" s="2501"/>
      <c r="AE5" s="2501"/>
      <c r="AF5" s="2501"/>
      <c r="AG5" s="2501"/>
      <c r="AH5" s="2501"/>
      <c r="AI5" s="2501"/>
      <c r="AJ5" s="2501"/>
      <c r="AK5" s="2501"/>
      <c r="AL5" s="2501"/>
      <c r="AM5" s="2501"/>
      <c r="AN5" s="2501"/>
    </row>
    <row r="6" spans="1:40" ht="15" customHeight="1" x14ac:dyDescent="0.2">
      <c r="A6" s="3860" t="s">
        <v>6133</v>
      </c>
      <c r="B6" s="3860" t="s">
        <v>5947</v>
      </c>
      <c r="C6" s="3860" t="s">
        <v>6213</v>
      </c>
      <c r="D6" s="3860" t="s">
        <v>6214</v>
      </c>
      <c r="E6" s="3860" t="s">
        <v>6215</v>
      </c>
      <c r="F6" s="3860" t="s">
        <v>6216</v>
      </c>
      <c r="G6" s="3860" t="s">
        <v>6217</v>
      </c>
      <c r="H6" s="3870" t="s">
        <v>6218</v>
      </c>
      <c r="I6" s="3871"/>
      <c r="J6" s="3870" t="s">
        <v>6219</v>
      </c>
      <c r="K6" s="3871"/>
      <c r="L6" s="3870" t="s">
        <v>6220</v>
      </c>
      <c r="M6" s="3871"/>
      <c r="N6" s="2479"/>
      <c r="Q6" s="2519"/>
      <c r="R6" s="2520"/>
      <c r="S6" s="2482"/>
      <c r="T6" s="2482"/>
      <c r="U6" s="2482"/>
      <c r="V6" s="2482"/>
      <c r="W6" s="2482"/>
      <c r="X6" s="2482"/>
      <c r="Y6" s="2482"/>
      <c r="Z6" s="2482"/>
      <c r="AA6" s="2482"/>
      <c r="AB6" s="2482"/>
      <c r="AC6" s="2482"/>
      <c r="AD6" s="2482"/>
      <c r="AE6" s="2482"/>
      <c r="AF6" s="2482"/>
      <c r="AG6" s="2482"/>
      <c r="AH6" s="2482"/>
      <c r="AI6" s="2482"/>
      <c r="AJ6" s="2482"/>
      <c r="AK6" s="2482"/>
      <c r="AL6" s="2482"/>
      <c r="AM6" s="2482"/>
      <c r="AN6" s="2482"/>
    </row>
    <row r="7" spans="1:40" ht="23.25" customHeight="1" x14ac:dyDescent="0.2">
      <c r="A7" s="3860"/>
      <c r="B7" s="3860"/>
      <c r="C7" s="3860"/>
      <c r="D7" s="3860"/>
      <c r="E7" s="3860"/>
      <c r="F7" s="3860"/>
      <c r="G7" s="3860"/>
      <c r="H7" s="2541" t="s">
        <v>6221</v>
      </c>
      <c r="I7" s="2541" t="s">
        <v>6222</v>
      </c>
      <c r="J7" s="2543" t="s">
        <v>6221</v>
      </c>
      <c r="K7" s="2543" t="s">
        <v>6222</v>
      </c>
      <c r="L7" s="2543" t="s">
        <v>6221</v>
      </c>
      <c r="M7" s="2543" t="s">
        <v>6222</v>
      </c>
      <c r="N7" s="2479"/>
      <c r="Q7" s="2519"/>
      <c r="R7" s="2520"/>
      <c r="S7" s="2482"/>
      <c r="T7" s="2482"/>
      <c r="U7" s="2482"/>
      <c r="V7" s="2482"/>
      <c r="W7" s="2482"/>
      <c r="X7" s="2482"/>
      <c r="Y7" s="2482"/>
      <c r="Z7" s="2482"/>
      <c r="AA7" s="2482"/>
      <c r="AB7" s="2482"/>
      <c r="AC7" s="2482"/>
      <c r="AD7" s="2482"/>
      <c r="AE7" s="2482"/>
      <c r="AF7" s="2482"/>
      <c r="AG7" s="2482"/>
      <c r="AH7" s="2482"/>
      <c r="AI7" s="2482"/>
      <c r="AJ7" s="2482"/>
      <c r="AK7" s="2482"/>
      <c r="AL7" s="2482"/>
      <c r="AM7" s="2482"/>
      <c r="AN7" s="2482"/>
    </row>
    <row r="8" spans="1:40" ht="23.25" customHeight="1" x14ac:dyDescent="0.2">
      <c r="A8" s="3860"/>
      <c r="B8" s="2489"/>
      <c r="C8" s="2489"/>
      <c r="D8" s="2544">
        <v>45291</v>
      </c>
      <c r="E8" s="2544">
        <v>44926</v>
      </c>
      <c r="F8" s="2489" t="s">
        <v>6223</v>
      </c>
      <c r="G8" s="2489" t="s">
        <v>6224</v>
      </c>
      <c r="H8" s="2545">
        <v>45291</v>
      </c>
      <c r="I8" s="2545">
        <v>44926</v>
      </c>
      <c r="J8" s="2545">
        <v>45291</v>
      </c>
      <c r="K8" s="2545">
        <v>44926</v>
      </c>
      <c r="L8" s="2545">
        <v>45291</v>
      </c>
      <c r="M8" s="2545">
        <v>44926</v>
      </c>
      <c r="N8" s="2479"/>
      <c r="Q8" s="2519"/>
      <c r="R8" s="2546"/>
      <c r="S8" s="2482" t="s">
        <v>6225</v>
      </c>
      <c r="T8" s="2482" t="s">
        <v>6225</v>
      </c>
      <c r="U8" s="2482" t="s">
        <v>6225</v>
      </c>
      <c r="V8" s="2482" t="s">
        <v>6225</v>
      </c>
      <c r="W8" s="2482" t="s">
        <v>6225</v>
      </c>
      <c r="X8" s="2482" t="s">
        <v>6225</v>
      </c>
      <c r="Y8" s="2482" t="s">
        <v>6225</v>
      </c>
      <c r="Z8" s="2482" t="s">
        <v>6225</v>
      </c>
      <c r="AA8" s="2482" t="s">
        <v>6225</v>
      </c>
      <c r="AB8" s="2482" t="s">
        <v>6225</v>
      </c>
      <c r="AC8" s="2482"/>
      <c r="AD8" s="2482"/>
      <c r="AE8" s="2523"/>
      <c r="AF8" s="2523"/>
      <c r="AG8" s="2523"/>
      <c r="AH8" s="2523"/>
      <c r="AI8" s="2523"/>
      <c r="AJ8" s="2523"/>
      <c r="AK8" s="2523"/>
      <c r="AL8" s="2523"/>
      <c r="AM8" s="2501"/>
      <c r="AN8" s="2501"/>
    </row>
    <row r="9" spans="1:40" ht="15.75" customHeight="1" x14ac:dyDescent="0.2">
      <c r="A9" s="3860"/>
      <c r="B9" s="2489" t="s">
        <v>5949</v>
      </c>
      <c r="C9" s="2489" t="s">
        <v>5950</v>
      </c>
      <c r="D9" s="2489" t="s">
        <v>6226</v>
      </c>
      <c r="E9" s="2489" t="s">
        <v>5952</v>
      </c>
      <c r="F9" s="2489" t="s">
        <v>6227</v>
      </c>
      <c r="G9" s="2489" t="s">
        <v>5804</v>
      </c>
      <c r="H9" s="2543" t="s">
        <v>6228</v>
      </c>
      <c r="I9" s="2543" t="s">
        <v>6229</v>
      </c>
      <c r="J9" s="2543" t="s">
        <v>6230</v>
      </c>
      <c r="K9" s="2543" t="s">
        <v>6231</v>
      </c>
      <c r="L9" s="2543" t="s">
        <v>6232</v>
      </c>
      <c r="M9" s="2543" t="s">
        <v>6233</v>
      </c>
      <c r="N9" s="2479"/>
      <c r="Q9" s="2519"/>
      <c r="R9" s="2481" t="s">
        <v>5945</v>
      </c>
      <c r="S9" s="2547">
        <v>45199</v>
      </c>
      <c r="T9" s="2547">
        <v>45107</v>
      </c>
      <c r="U9" s="2547">
        <v>45016</v>
      </c>
      <c r="V9" s="2547">
        <v>44926</v>
      </c>
      <c r="W9" s="2547">
        <v>44834</v>
      </c>
      <c r="X9" s="2547">
        <v>44742</v>
      </c>
      <c r="Y9" s="2547">
        <v>44651</v>
      </c>
      <c r="Z9" s="2547">
        <v>44561</v>
      </c>
      <c r="AA9" s="2547">
        <v>44469</v>
      </c>
      <c r="AB9" s="2547">
        <v>44377</v>
      </c>
      <c r="AC9" s="2495"/>
      <c r="AD9" s="2495"/>
      <c r="AE9" s="2501"/>
      <c r="AF9" s="2501"/>
      <c r="AG9" s="2501"/>
      <c r="AH9" s="2501"/>
      <c r="AI9" s="2501"/>
      <c r="AJ9" s="2501"/>
      <c r="AK9" s="2501"/>
      <c r="AL9" s="2501"/>
      <c r="AM9" s="2501"/>
      <c r="AN9" s="2501"/>
    </row>
    <row r="10" spans="1:40" ht="15.75" customHeight="1" x14ac:dyDescent="0.2">
      <c r="A10" s="2497">
        <v>1</v>
      </c>
      <c r="B10" s="2512" t="s">
        <v>6234</v>
      </c>
      <c r="C10" s="2488"/>
      <c r="D10" s="2499" t="s">
        <v>6235</v>
      </c>
      <c r="E10" s="2499" t="s">
        <v>5955</v>
      </c>
      <c r="F10" s="2548" t="s">
        <v>97</v>
      </c>
      <c r="G10" s="2548" t="s">
        <v>97</v>
      </c>
      <c r="H10" s="2549" t="s">
        <v>97</v>
      </c>
      <c r="I10" s="2549" t="s">
        <v>6236</v>
      </c>
      <c r="J10" s="2549" t="s">
        <v>6236</v>
      </c>
      <c r="K10" s="2549" t="s">
        <v>6236</v>
      </c>
      <c r="L10" s="2549" t="s">
        <v>6236</v>
      </c>
      <c r="M10" s="2549" t="s">
        <v>6236</v>
      </c>
      <c r="N10" s="2479"/>
      <c r="Q10" s="2519"/>
      <c r="R10" s="2526" t="s">
        <v>6139</v>
      </c>
      <c r="S10" s="2511"/>
      <c r="T10" s="2511"/>
      <c r="U10" s="2511"/>
      <c r="V10" s="2511"/>
      <c r="W10" s="2511"/>
      <c r="X10" s="2511"/>
      <c r="Y10" s="2550">
        <v>0</v>
      </c>
      <c r="Z10" s="2550">
        <v>0</v>
      </c>
      <c r="AA10" s="2550">
        <v>0</v>
      </c>
      <c r="AB10" s="2550">
        <v>0</v>
      </c>
      <c r="AC10" s="2511"/>
      <c r="AD10" s="2511"/>
      <c r="AE10" s="2501"/>
      <c r="AF10" s="2501"/>
      <c r="AG10" s="2501"/>
      <c r="AH10" s="2501"/>
      <c r="AI10" s="2501"/>
      <c r="AJ10" s="2501"/>
      <c r="AK10" s="2501"/>
      <c r="AL10" s="2501"/>
      <c r="AM10" s="2501"/>
      <c r="AN10" s="2501"/>
    </row>
    <row r="11" spans="1:40" ht="16.7" customHeight="1" x14ac:dyDescent="0.2">
      <c r="A11" s="2497">
        <v>2</v>
      </c>
      <c r="B11" s="2512" t="s">
        <v>6237</v>
      </c>
      <c r="C11" s="2489" t="s">
        <v>6238</v>
      </c>
      <c r="D11" s="2527">
        <f>SUM(H11,J11,L11)</f>
        <v>5930844038</v>
      </c>
      <c r="E11" s="2527">
        <f>SUM(I11,K11,M11)</f>
        <v>5666541404</v>
      </c>
      <c r="F11" s="2509"/>
      <c r="G11" s="2509"/>
      <c r="H11" s="2527">
        <v>5930844038</v>
      </c>
      <c r="I11" s="2527">
        <f>SUMIF(R:R,A11,V:V)</f>
        <v>5666541404</v>
      </c>
      <c r="J11" s="2488"/>
      <c r="K11" s="2509"/>
      <c r="L11" s="2488"/>
      <c r="M11" s="2509"/>
      <c r="N11" s="2479"/>
      <c r="Q11" s="2519"/>
      <c r="R11" s="2551" t="s">
        <v>5957</v>
      </c>
      <c r="S11" s="2552">
        <v>4485345844</v>
      </c>
      <c r="T11" s="2550">
        <v>2810047450</v>
      </c>
      <c r="U11" s="2553">
        <v>1482634506</v>
      </c>
      <c r="V11" s="2552">
        <v>5666541404</v>
      </c>
      <c r="W11" s="2550">
        <v>4244012636</v>
      </c>
      <c r="X11" s="2508">
        <v>2609814325</v>
      </c>
      <c r="Y11" s="2550">
        <v>1296260578</v>
      </c>
      <c r="Z11" s="2508">
        <v>5292889125</v>
      </c>
      <c r="AA11" s="2508">
        <v>4030226422</v>
      </c>
      <c r="AB11" s="2508">
        <v>2538977739</v>
      </c>
      <c r="AC11" s="2511"/>
      <c r="AD11" s="2511"/>
      <c r="AE11" s="2501"/>
      <c r="AF11" s="2501"/>
      <c r="AG11" s="2501"/>
      <c r="AH11" s="2501"/>
      <c r="AI11" s="2501"/>
      <c r="AJ11" s="2501"/>
      <c r="AK11" s="2501"/>
      <c r="AL11" s="2501"/>
      <c r="AM11" s="2501"/>
      <c r="AN11" s="2501"/>
    </row>
    <row r="12" spans="1:40" ht="16.7" customHeight="1" x14ac:dyDescent="0.2">
      <c r="A12" s="2497">
        <v>3</v>
      </c>
      <c r="B12" s="2512" t="s">
        <v>6239</v>
      </c>
      <c r="C12" s="2488"/>
      <c r="D12" s="2549" t="s">
        <v>6240</v>
      </c>
      <c r="E12" s="2549" t="s">
        <v>6236</v>
      </c>
      <c r="F12" s="2549"/>
      <c r="G12" s="2549"/>
      <c r="H12" s="2549"/>
      <c r="I12" s="2549" t="s">
        <v>6236</v>
      </c>
      <c r="J12" s="2549"/>
      <c r="K12" s="2549"/>
      <c r="L12" s="2549"/>
      <c r="M12" s="2549"/>
      <c r="N12" s="2479"/>
      <c r="Q12" s="2519"/>
      <c r="R12" s="2551" t="s">
        <v>5959</v>
      </c>
      <c r="S12" s="2554"/>
      <c r="T12" s="2511"/>
      <c r="U12" s="2555"/>
      <c r="V12" s="2554"/>
      <c r="W12" s="2511"/>
      <c r="X12" s="2511"/>
      <c r="Y12" s="2511"/>
      <c r="Z12" s="2511"/>
      <c r="AA12" s="2511"/>
      <c r="AB12" s="2511"/>
      <c r="AC12" s="2511"/>
      <c r="AD12" s="2511"/>
      <c r="AE12" s="2501"/>
      <c r="AF12" s="2501"/>
      <c r="AG12" s="2501"/>
      <c r="AH12" s="2501"/>
      <c r="AI12" s="2501"/>
      <c r="AJ12" s="2501"/>
      <c r="AK12" s="2501"/>
      <c r="AL12" s="2501"/>
      <c r="AM12" s="2501"/>
      <c r="AN12" s="2501"/>
    </row>
    <row r="13" spans="1:40" ht="16.7" customHeight="1" x14ac:dyDescent="0.2">
      <c r="A13" s="2497">
        <v>4</v>
      </c>
      <c r="B13" s="2512" t="s">
        <v>6241</v>
      </c>
      <c r="C13" s="2489" t="s">
        <v>72</v>
      </c>
      <c r="D13" s="2527">
        <f t="shared" ref="D13:E33" si="0">SUM(H13,J13,L13)</f>
        <v>4860680613</v>
      </c>
      <c r="E13" s="2527">
        <f t="shared" si="0"/>
        <v>2824097503</v>
      </c>
      <c r="F13" s="2509"/>
      <c r="G13" s="2509"/>
      <c r="H13" s="2527">
        <v>4860680613</v>
      </c>
      <c r="I13" s="2527">
        <f t="shared" ref="I13:I33" si="1">SUMIF(R:R,A13,V:V)</f>
        <v>2824097503</v>
      </c>
      <c r="J13" s="2488"/>
      <c r="K13" s="2509"/>
      <c r="L13" s="2488"/>
      <c r="M13" s="2509"/>
      <c r="N13" s="2479"/>
      <c r="Q13" s="2519"/>
      <c r="R13" s="2551" t="s">
        <v>5961</v>
      </c>
      <c r="S13" s="2556">
        <v>4071656590</v>
      </c>
      <c r="T13" s="2508">
        <v>1906684093</v>
      </c>
      <c r="U13" s="2557">
        <v>1183112741</v>
      </c>
      <c r="V13" s="2556">
        <v>2824097503</v>
      </c>
      <c r="W13" s="2508">
        <v>2143546570</v>
      </c>
      <c r="X13" s="2508">
        <v>1367072180</v>
      </c>
      <c r="Y13" s="2508">
        <v>656485365</v>
      </c>
      <c r="Z13" s="2508">
        <v>2523615762</v>
      </c>
      <c r="AA13" s="2508">
        <v>1880998572</v>
      </c>
      <c r="AB13" s="2508">
        <v>1188120173</v>
      </c>
      <c r="AC13" s="2511"/>
      <c r="AD13" s="2511"/>
      <c r="AE13" s="2501"/>
      <c r="AF13" s="2501"/>
      <c r="AG13" s="2501"/>
      <c r="AH13" s="2501"/>
      <c r="AI13" s="2501"/>
      <c r="AJ13" s="2501"/>
      <c r="AK13" s="2501"/>
      <c r="AL13" s="2501"/>
      <c r="AM13" s="2501"/>
      <c r="AN13" s="2501"/>
    </row>
    <row r="14" spans="1:40" ht="16.7" customHeight="1" x14ac:dyDescent="0.2">
      <c r="A14" s="2497">
        <v>5</v>
      </c>
      <c r="B14" s="2512" t="s">
        <v>6242</v>
      </c>
      <c r="C14" s="2489" t="s">
        <v>72</v>
      </c>
      <c r="D14" s="2527">
        <f t="shared" si="0"/>
        <v>577845897</v>
      </c>
      <c r="E14" s="2527">
        <f t="shared" si="0"/>
        <v>420905231</v>
      </c>
      <c r="F14" s="2509"/>
      <c r="G14" s="2509"/>
      <c r="H14" s="2527">
        <v>577845897</v>
      </c>
      <c r="I14" s="2527">
        <f t="shared" si="1"/>
        <v>420905231</v>
      </c>
      <c r="J14" s="2488"/>
      <c r="K14" s="2509"/>
      <c r="L14" s="2488"/>
      <c r="M14" s="2509"/>
      <c r="N14" s="2479"/>
      <c r="Q14" s="2519"/>
      <c r="R14" s="2551" t="s">
        <v>5963</v>
      </c>
      <c r="S14" s="2556">
        <v>414855395</v>
      </c>
      <c r="T14" s="2508">
        <v>278105593</v>
      </c>
      <c r="U14" s="2557">
        <v>141034620</v>
      </c>
      <c r="V14" s="2556">
        <v>420905231</v>
      </c>
      <c r="W14" s="2508">
        <v>336389151</v>
      </c>
      <c r="X14" s="2508">
        <v>233859727</v>
      </c>
      <c r="Y14" s="2508">
        <v>101339872</v>
      </c>
      <c r="Z14" s="2508">
        <v>382291665</v>
      </c>
      <c r="AA14" s="2508">
        <v>306806873</v>
      </c>
      <c r="AB14" s="2508">
        <v>204588942</v>
      </c>
      <c r="AC14" s="2511"/>
      <c r="AD14" s="2511"/>
      <c r="AE14" s="2501"/>
      <c r="AF14" s="2501"/>
      <c r="AG14" s="2501"/>
      <c r="AH14" s="2501"/>
      <c r="AI14" s="2501"/>
      <c r="AJ14" s="2501"/>
      <c r="AK14" s="2501"/>
      <c r="AL14" s="2501"/>
      <c r="AM14" s="2501"/>
      <c r="AN14" s="2501"/>
    </row>
    <row r="15" spans="1:40" ht="16.7" customHeight="1" x14ac:dyDescent="0.2">
      <c r="A15" s="2497">
        <v>6</v>
      </c>
      <c r="B15" s="2512" t="s">
        <v>6243</v>
      </c>
      <c r="C15" s="2489" t="s">
        <v>6244</v>
      </c>
      <c r="D15" s="2531">
        <f t="shared" si="0"/>
        <v>1023482570</v>
      </c>
      <c r="E15" s="2527">
        <f t="shared" si="0"/>
        <v>1016353629</v>
      </c>
      <c r="F15" s="2509"/>
      <c r="G15" s="2509"/>
      <c r="H15" s="2527">
        <v>1023482570</v>
      </c>
      <c r="I15" s="2527">
        <f t="shared" si="1"/>
        <v>1016353629</v>
      </c>
      <c r="J15" s="2488"/>
      <c r="K15" s="2509"/>
      <c r="L15" s="2488"/>
      <c r="M15" s="2509"/>
      <c r="N15" s="2479"/>
      <c r="Q15" s="2519"/>
      <c r="R15" s="2551" t="s">
        <v>5965</v>
      </c>
      <c r="S15" s="2556">
        <v>766231671</v>
      </c>
      <c r="T15" s="2508">
        <v>506956839</v>
      </c>
      <c r="U15" s="2557">
        <v>253452951</v>
      </c>
      <c r="V15" s="2556">
        <v>1016353629</v>
      </c>
      <c r="W15" s="2508">
        <v>758598634</v>
      </c>
      <c r="X15" s="2508">
        <v>507465074</v>
      </c>
      <c r="Y15" s="2508">
        <v>254407397</v>
      </c>
      <c r="Z15" s="2508">
        <v>986207765</v>
      </c>
      <c r="AA15" s="2508">
        <v>737943524</v>
      </c>
      <c r="AB15" s="2508">
        <v>491534799</v>
      </c>
      <c r="AC15" s="2511"/>
      <c r="AD15" s="2511"/>
      <c r="AE15" s="2501"/>
      <c r="AF15" s="2501"/>
      <c r="AG15" s="2501"/>
      <c r="AH15" s="2501"/>
      <c r="AI15" s="2501"/>
      <c r="AJ15" s="2501"/>
      <c r="AK15" s="2501"/>
      <c r="AL15" s="2501"/>
      <c r="AM15" s="2501"/>
      <c r="AN15" s="2501"/>
    </row>
    <row r="16" spans="1:40" ht="16.7" customHeight="1" x14ac:dyDescent="0.2">
      <c r="A16" s="2497">
        <v>7</v>
      </c>
      <c r="B16" s="2512" t="s">
        <v>6245</v>
      </c>
      <c r="C16" s="2489" t="s">
        <v>6244</v>
      </c>
      <c r="D16" s="2558">
        <f t="shared" si="0"/>
        <v>0</v>
      </c>
      <c r="E16" s="2527">
        <f t="shared" si="0"/>
        <v>0</v>
      </c>
      <c r="F16" s="2509"/>
      <c r="G16" s="2509"/>
      <c r="H16" s="2559"/>
      <c r="I16" s="2527">
        <f t="shared" si="1"/>
        <v>0</v>
      </c>
      <c r="J16" s="2488"/>
      <c r="K16" s="2509"/>
      <c r="L16" s="2488"/>
      <c r="M16" s="2509"/>
      <c r="N16" s="2479"/>
      <c r="Q16" s="2519"/>
      <c r="R16" s="2551" t="s">
        <v>5968</v>
      </c>
      <c r="S16" s="2554"/>
      <c r="T16" s="2511"/>
      <c r="U16" s="2555"/>
      <c r="V16" s="2554"/>
      <c r="W16" s="2508">
        <v>0</v>
      </c>
      <c r="X16" s="2511"/>
      <c r="Y16" s="2508">
        <v>0</v>
      </c>
      <c r="Z16" s="2508">
        <v>0</v>
      </c>
      <c r="AA16" s="2508">
        <v>0</v>
      </c>
      <c r="AB16" s="2508">
        <v>0</v>
      </c>
      <c r="AC16" s="2511"/>
      <c r="AD16" s="2511"/>
      <c r="AE16" s="2501"/>
      <c r="AF16" s="2501"/>
      <c r="AG16" s="2501"/>
      <c r="AH16" s="2501"/>
      <c r="AI16" s="2501"/>
      <c r="AJ16" s="2501"/>
      <c r="AK16" s="2501"/>
      <c r="AL16" s="2501"/>
      <c r="AM16" s="2501"/>
      <c r="AN16" s="2501"/>
    </row>
    <row r="17" spans="1:40" ht="16.7" customHeight="1" x14ac:dyDescent="0.2">
      <c r="A17" s="2497">
        <v>8</v>
      </c>
      <c r="B17" s="2512" t="s">
        <v>6246</v>
      </c>
      <c r="C17" s="2489" t="s">
        <v>6244</v>
      </c>
      <c r="D17" s="2527">
        <f t="shared" si="0"/>
        <v>62649787</v>
      </c>
      <c r="E17" s="2527">
        <f t="shared" si="0"/>
        <v>64937656</v>
      </c>
      <c r="F17" s="2509"/>
      <c r="G17" s="2509"/>
      <c r="H17" s="2527">
        <v>62649787</v>
      </c>
      <c r="I17" s="2527">
        <f t="shared" si="1"/>
        <v>64937656</v>
      </c>
      <c r="J17" s="2488"/>
      <c r="K17" s="2509"/>
      <c r="L17" s="2488"/>
      <c r="M17" s="2509"/>
      <c r="N17" s="2479"/>
      <c r="Q17" s="2519"/>
      <c r="R17" s="2551" t="s">
        <v>5970</v>
      </c>
      <c r="S17" s="2556">
        <v>46690271</v>
      </c>
      <c r="T17" s="2508">
        <v>31014707</v>
      </c>
      <c r="U17" s="2557">
        <v>15621547</v>
      </c>
      <c r="V17" s="2556">
        <v>64937656</v>
      </c>
      <c r="W17" s="2508">
        <v>47788489</v>
      </c>
      <c r="X17" s="2508">
        <v>31290167</v>
      </c>
      <c r="Y17" s="2508">
        <v>15526693</v>
      </c>
      <c r="Z17" s="2508">
        <v>58932504</v>
      </c>
      <c r="AA17" s="2508">
        <v>43875845</v>
      </c>
      <c r="AB17" s="2508">
        <v>29157572</v>
      </c>
      <c r="AC17" s="2511"/>
      <c r="AD17" s="2511"/>
      <c r="AE17" s="2501"/>
      <c r="AF17" s="2501"/>
      <c r="AG17" s="2501"/>
      <c r="AH17" s="2501"/>
      <c r="AI17" s="2501"/>
      <c r="AJ17" s="2501"/>
      <c r="AK17" s="2501"/>
      <c r="AL17" s="2501"/>
      <c r="AM17" s="2501"/>
      <c r="AN17" s="2501"/>
    </row>
    <row r="18" spans="1:40" ht="16.7" customHeight="1" x14ac:dyDescent="0.2">
      <c r="A18" s="2497">
        <v>9</v>
      </c>
      <c r="B18" s="2512" t="s">
        <v>6247</v>
      </c>
      <c r="C18" s="2489" t="s">
        <v>6244</v>
      </c>
      <c r="D18" s="2527">
        <f t="shared" si="0"/>
        <v>376987</v>
      </c>
      <c r="E18" s="2527">
        <f t="shared" si="0"/>
        <v>1132844</v>
      </c>
      <c r="F18" s="2509"/>
      <c r="G18" s="2509"/>
      <c r="H18" s="2527">
        <v>376987</v>
      </c>
      <c r="I18" s="2527">
        <f t="shared" si="1"/>
        <v>1132844</v>
      </c>
      <c r="J18" s="2488"/>
      <c r="K18" s="2509"/>
      <c r="L18" s="2488"/>
      <c r="M18" s="2509"/>
      <c r="N18" s="2479"/>
      <c r="Q18" s="2519"/>
      <c r="R18" s="2551" t="s">
        <v>5972</v>
      </c>
      <c r="S18" s="2556">
        <v>282740</v>
      </c>
      <c r="T18" s="2508">
        <v>188493</v>
      </c>
      <c r="U18" s="2557">
        <v>94247</v>
      </c>
      <c r="V18" s="2556">
        <v>1132844</v>
      </c>
      <c r="W18" s="2508">
        <v>1038597</v>
      </c>
      <c r="X18" s="2508">
        <v>944351</v>
      </c>
      <c r="Y18" s="2508">
        <v>690779</v>
      </c>
      <c r="Z18" s="2508">
        <v>3113124</v>
      </c>
      <c r="AA18" s="2508">
        <v>2269216</v>
      </c>
      <c r="AB18" s="2508">
        <v>1512811</v>
      </c>
      <c r="AC18" s="2511"/>
      <c r="AD18" s="2511"/>
      <c r="AE18" s="2501"/>
      <c r="AF18" s="2501"/>
      <c r="AG18" s="2501"/>
      <c r="AH18" s="2501"/>
      <c r="AI18" s="2501"/>
      <c r="AJ18" s="2501"/>
      <c r="AK18" s="2501"/>
      <c r="AL18" s="2501"/>
      <c r="AM18" s="2501"/>
      <c r="AN18" s="2501"/>
    </row>
    <row r="19" spans="1:40" ht="16.7" customHeight="1" x14ac:dyDescent="0.2">
      <c r="A19" s="2497">
        <v>10</v>
      </c>
      <c r="B19" s="2512" t="s">
        <v>6248</v>
      </c>
      <c r="C19" s="2488"/>
      <c r="D19" s="2527">
        <f t="shared" si="0"/>
        <v>0</v>
      </c>
      <c r="E19" s="2527">
        <f t="shared" si="0"/>
        <v>0</v>
      </c>
      <c r="F19" s="2509"/>
      <c r="G19" s="2509"/>
      <c r="H19" s="2527">
        <v>0</v>
      </c>
      <c r="I19" s="2527">
        <f t="shared" si="1"/>
        <v>0</v>
      </c>
      <c r="J19" s="2488"/>
      <c r="K19" s="2509"/>
      <c r="L19" s="2488"/>
      <c r="M19" s="2509"/>
      <c r="N19" s="2479"/>
      <c r="Q19" s="2519"/>
      <c r="R19" s="2551" t="s">
        <v>5974</v>
      </c>
      <c r="S19" s="2556">
        <v>0</v>
      </c>
      <c r="T19" s="2508">
        <v>0</v>
      </c>
      <c r="U19" s="2557">
        <v>0</v>
      </c>
      <c r="V19" s="2556">
        <v>0</v>
      </c>
      <c r="W19" s="2508">
        <v>0</v>
      </c>
      <c r="X19" s="2511"/>
      <c r="Y19" s="2508">
        <v>0</v>
      </c>
      <c r="Z19" s="2508">
        <v>0</v>
      </c>
      <c r="AA19" s="2508">
        <v>0</v>
      </c>
      <c r="AB19" s="2508">
        <v>0</v>
      </c>
      <c r="AC19" s="2511"/>
      <c r="AD19" s="2511"/>
      <c r="AE19" s="2501"/>
      <c r="AF19" s="2501"/>
      <c r="AG19" s="2501"/>
      <c r="AH19" s="2501"/>
      <c r="AI19" s="2501"/>
      <c r="AJ19" s="2501"/>
      <c r="AK19" s="2501"/>
      <c r="AL19" s="2501"/>
      <c r="AM19" s="2501"/>
      <c r="AN19" s="2501"/>
    </row>
    <row r="20" spans="1:40" ht="16.7" customHeight="1" x14ac:dyDescent="0.2">
      <c r="A20" s="2497">
        <v>11</v>
      </c>
      <c r="B20" s="2512" t="s">
        <v>6249</v>
      </c>
      <c r="C20" s="2488"/>
      <c r="D20" s="2527">
        <f t="shared" si="0"/>
        <v>0</v>
      </c>
      <c r="E20" s="2527">
        <f t="shared" si="0"/>
        <v>0</v>
      </c>
      <c r="F20" s="2509"/>
      <c r="G20" s="2509"/>
      <c r="H20" s="2527">
        <v>0</v>
      </c>
      <c r="I20" s="2527">
        <f t="shared" si="1"/>
        <v>0</v>
      </c>
      <c r="J20" s="2488"/>
      <c r="K20" s="2509"/>
      <c r="L20" s="2488"/>
      <c r="M20" s="2509"/>
      <c r="N20" s="2479"/>
      <c r="Q20" s="2519"/>
      <c r="R20" s="2551" t="s">
        <v>5976</v>
      </c>
      <c r="S20" s="2556">
        <v>0</v>
      </c>
      <c r="T20" s="2508">
        <v>0</v>
      </c>
      <c r="U20" s="2557">
        <v>0</v>
      </c>
      <c r="V20" s="2556">
        <v>0</v>
      </c>
      <c r="W20" s="2508">
        <v>0</v>
      </c>
      <c r="X20" s="2511"/>
      <c r="Y20" s="2508">
        <v>0</v>
      </c>
      <c r="Z20" s="2508">
        <v>0</v>
      </c>
      <c r="AA20" s="2508">
        <v>0</v>
      </c>
      <c r="AB20" s="2508">
        <v>0</v>
      </c>
      <c r="AC20" s="2511"/>
      <c r="AD20" s="2511"/>
      <c r="AE20" s="2501"/>
      <c r="AF20" s="2501"/>
      <c r="AG20" s="2501"/>
      <c r="AH20" s="2501"/>
      <c r="AI20" s="2501"/>
      <c r="AJ20" s="2501"/>
      <c r="AK20" s="2501"/>
      <c r="AL20" s="2501"/>
      <c r="AM20" s="2501"/>
      <c r="AN20" s="2501"/>
    </row>
    <row r="21" spans="1:40" ht="16.7" customHeight="1" x14ac:dyDescent="0.2">
      <c r="A21" s="2497">
        <v>12</v>
      </c>
      <c r="B21" s="2512" t="s">
        <v>6250</v>
      </c>
      <c r="C21" s="2488"/>
      <c r="D21" s="2527">
        <f t="shared" si="0"/>
        <v>13251404</v>
      </c>
      <c r="E21" s="2527">
        <f t="shared" si="0"/>
        <v>11367893</v>
      </c>
      <c r="F21" s="2509"/>
      <c r="G21" s="2509"/>
      <c r="H21" s="2527">
        <v>13251404</v>
      </c>
      <c r="I21" s="2527">
        <f t="shared" si="1"/>
        <v>11367893</v>
      </c>
      <c r="J21" s="2488"/>
      <c r="K21" s="2509"/>
      <c r="L21" s="2488"/>
      <c r="M21" s="2509"/>
      <c r="N21" s="2479"/>
      <c r="Q21" s="2519"/>
      <c r="R21" s="2551" t="s">
        <v>5978</v>
      </c>
      <c r="S21" s="2556">
        <v>10014820</v>
      </c>
      <c r="T21" s="2508">
        <v>6732805</v>
      </c>
      <c r="U21" s="2557">
        <v>3535869</v>
      </c>
      <c r="V21" s="2556">
        <v>11367893</v>
      </c>
      <c r="W21" s="2508">
        <v>9246208</v>
      </c>
      <c r="X21" s="2508">
        <v>6210855</v>
      </c>
      <c r="Y21" s="2508">
        <v>3237558</v>
      </c>
      <c r="Z21" s="2508">
        <v>11401911</v>
      </c>
      <c r="AA21" s="2508">
        <v>5562350</v>
      </c>
      <c r="AB21" s="2508">
        <v>2639021</v>
      </c>
      <c r="AC21" s="2511"/>
      <c r="AD21" s="2511"/>
      <c r="AE21" s="2501"/>
      <c r="AF21" s="2501"/>
      <c r="AG21" s="2501"/>
      <c r="AH21" s="2501"/>
      <c r="AI21" s="2501"/>
      <c r="AJ21" s="2501"/>
      <c r="AK21" s="2501"/>
      <c r="AL21" s="2501"/>
      <c r="AM21" s="2501"/>
      <c r="AN21" s="2501"/>
    </row>
    <row r="22" spans="1:40" ht="16.7" customHeight="1" x14ac:dyDescent="0.2">
      <c r="A22" s="2497">
        <v>13</v>
      </c>
      <c r="B22" s="2512" t="s">
        <v>6251</v>
      </c>
      <c r="C22" s="2488"/>
      <c r="D22" s="2527">
        <f t="shared" si="0"/>
        <v>9547753</v>
      </c>
      <c r="E22" s="2527">
        <f t="shared" si="0"/>
        <v>0</v>
      </c>
      <c r="F22" s="2509"/>
      <c r="G22" s="2509"/>
      <c r="H22" s="2527">
        <v>9547753</v>
      </c>
      <c r="I22" s="2527">
        <f t="shared" si="1"/>
        <v>0</v>
      </c>
      <c r="J22" s="2488"/>
      <c r="K22" s="2509"/>
      <c r="L22" s="2488"/>
      <c r="M22" s="2509"/>
      <c r="N22" s="2479"/>
      <c r="Q22" s="2519"/>
      <c r="R22" s="2551" t="s">
        <v>5980</v>
      </c>
      <c r="S22" s="2556">
        <v>227401</v>
      </c>
      <c r="T22" s="2508">
        <v>0</v>
      </c>
      <c r="U22" s="2557">
        <v>0</v>
      </c>
      <c r="V22" s="2556">
        <v>0</v>
      </c>
      <c r="W22" s="2508">
        <v>0</v>
      </c>
      <c r="X22" s="2511"/>
      <c r="Y22" s="2508">
        <v>0</v>
      </c>
      <c r="Z22" s="2508">
        <v>0</v>
      </c>
      <c r="AA22" s="2508">
        <v>0</v>
      </c>
      <c r="AB22" s="2511"/>
      <c r="AC22" s="2511"/>
      <c r="AD22" s="2511"/>
      <c r="AE22" s="2501"/>
      <c r="AF22" s="2501"/>
      <c r="AG22" s="2501"/>
      <c r="AH22" s="2501"/>
      <c r="AI22" s="2501"/>
      <c r="AJ22" s="2501"/>
      <c r="AK22" s="2501"/>
      <c r="AL22" s="2501"/>
      <c r="AM22" s="2501"/>
      <c r="AN22" s="2501"/>
    </row>
    <row r="23" spans="1:40" ht="16.7" customHeight="1" x14ac:dyDescent="0.2">
      <c r="A23" s="2497">
        <v>14</v>
      </c>
      <c r="B23" s="2512" t="s">
        <v>6252</v>
      </c>
      <c r="C23" s="2489" t="s">
        <v>832</v>
      </c>
      <c r="D23" s="2531">
        <f t="shared" si="0"/>
        <v>215228266</v>
      </c>
      <c r="E23" s="2527">
        <f t="shared" si="0"/>
        <v>194545089</v>
      </c>
      <c r="F23" s="2509"/>
      <c r="G23" s="2509"/>
      <c r="H23" s="2527">
        <v>215228266</v>
      </c>
      <c r="I23" s="2527">
        <f t="shared" si="1"/>
        <v>194545089</v>
      </c>
      <c r="J23" s="2488"/>
      <c r="K23" s="2509"/>
      <c r="L23" s="2488"/>
      <c r="M23" s="2509"/>
      <c r="N23" s="2479"/>
      <c r="Q23" s="2519"/>
      <c r="R23" s="2551" t="s">
        <v>5982</v>
      </c>
      <c r="S23" s="2556">
        <v>156577094</v>
      </c>
      <c r="T23" s="2508">
        <v>104416221</v>
      </c>
      <c r="U23" s="2557">
        <v>53376416</v>
      </c>
      <c r="V23" s="2556">
        <v>194545089</v>
      </c>
      <c r="W23" s="2508">
        <v>160918085</v>
      </c>
      <c r="X23" s="2508">
        <v>110268937</v>
      </c>
      <c r="Y23" s="2508">
        <v>59239526</v>
      </c>
      <c r="Z23" s="2508">
        <v>213406731</v>
      </c>
      <c r="AA23" s="2508">
        <v>159466150</v>
      </c>
      <c r="AB23" s="2508">
        <v>104192161</v>
      </c>
      <c r="AC23" s="2511"/>
      <c r="AD23" s="2511"/>
      <c r="AE23" s="2501"/>
      <c r="AF23" s="2501"/>
      <c r="AG23" s="2501"/>
      <c r="AH23" s="2501"/>
      <c r="AI23" s="2501"/>
      <c r="AJ23" s="2501"/>
      <c r="AK23" s="2501"/>
      <c r="AL23" s="2501"/>
      <c r="AM23" s="2501"/>
      <c r="AN23" s="2501"/>
    </row>
    <row r="24" spans="1:40" ht="16.7" customHeight="1" x14ac:dyDescent="0.2">
      <c r="A24" s="2497">
        <v>15</v>
      </c>
      <c r="B24" s="2512" t="s">
        <v>6253</v>
      </c>
      <c r="C24" s="2489" t="s">
        <v>832</v>
      </c>
      <c r="D24" s="2527">
        <f t="shared" si="0"/>
        <v>-351752881</v>
      </c>
      <c r="E24" s="2527">
        <f t="shared" si="0"/>
        <v>-227053116</v>
      </c>
      <c r="F24" s="2509"/>
      <c r="G24" s="2509"/>
      <c r="H24" s="2527">
        <v>-351752881</v>
      </c>
      <c r="I24" s="2527">
        <f t="shared" si="1"/>
        <v>-227053116</v>
      </c>
      <c r="J24" s="2488"/>
      <c r="K24" s="2509"/>
      <c r="L24" s="2488"/>
      <c r="M24" s="2509"/>
      <c r="N24" s="2479"/>
      <c r="Q24" s="2519"/>
      <c r="R24" s="2551" t="s">
        <v>5984</v>
      </c>
      <c r="S24" s="2556">
        <v>-177173902</v>
      </c>
      <c r="T24" s="2508">
        <v>-80383790</v>
      </c>
      <c r="U24" s="2557">
        <v>-39190584</v>
      </c>
      <c r="V24" s="2556">
        <v>-227053116</v>
      </c>
      <c r="W24" s="2508">
        <v>-110132317</v>
      </c>
      <c r="X24" s="2508">
        <v>-44038402</v>
      </c>
      <c r="Y24" s="2508">
        <v>-22792495</v>
      </c>
      <c r="Z24" s="2508">
        <v>-165049160</v>
      </c>
      <c r="AA24" s="2508">
        <v>-110021509</v>
      </c>
      <c r="AB24" s="2508">
        <v>-61313230</v>
      </c>
      <c r="AC24" s="2511"/>
      <c r="AD24" s="2511"/>
      <c r="AE24" s="2501"/>
      <c r="AF24" s="2501"/>
      <c r="AG24" s="2501"/>
      <c r="AH24" s="2501"/>
      <c r="AI24" s="2501"/>
      <c r="AJ24" s="2501"/>
      <c r="AK24" s="2501"/>
      <c r="AL24" s="2501"/>
      <c r="AM24" s="2501"/>
      <c r="AN24" s="2501"/>
    </row>
    <row r="25" spans="1:40" ht="16.7" customHeight="1" x14ac:dyDescent="0.2">
      <c r="A25" s="2497">
        <v>16</v>
      </c>
      <c r="B25" s="2560" t="s">
        <v>6254</v>
      </c>
      <c r="C25" s="2489" t="s">
        <v>832</v>
      </c>
      <c r="D25" s="2527">
        <f t="shared" si="0"/>
        <v>-10753641</v>
      </c>
      <c r="E25" s="2527">
        <f t="shared" si="0"/>
        <v>-2662119</v>
      </c>
      <c r="F25" s="2509"/>
      <c r="G25" s="2509"/>
      <c r="H25" s="2527">
        <v>-10753641</v>
      </c>
      <c r="I25" s="2527">
        <f t="shared" si="1"/>
        <v>-2662119</v>
      </c>
      <c r="J25" s="2488"/>
      <c r="K25" s="2509"/>
      <c r="L25" s="2488"/>
      <c r="M25" s="2509"/>
      <c r="N25" s="2479"/>
      <c r="Q25" s="2519"/>
      <c r="R25" s="2551" t="s">
        <v>5986</v>
      </c>
      <c r="S25" s="2556">
        <v>-9805181</v>
      </c>
      <c r="T25" s="2508">
        <v>-3353938</v>
      </c>
      <c r="U25" s="2557">
        <v>-877108</v>
      </c>
      <c r="V25" s="2556">
        <v>-2662119</v>
      </c>
      <c r="W25" s="2508">
        <v>7331828</v>
      </c>
      <c r="X25" s="2508">
        <v>2358553</v>
      </c>
      <c r="Y25" s="2508">
        <v>2064553</v>
      </c>
      <c r="Z25" s="2508">
        <v>5479455</v>
      </c>
      <c r="AA25" s="2508">
        <v>8491832</v>
      </c>
      <c r="AB25" s="2508">
        <v>4138789</v>
      </c>
      <c r="AC25" s="2511"/>
      <c r="AD25" s="2511"/>
      <c r="AE25" s="2501"/>
      <c r="AF25" s="2501"/>
      <c r="AG25" s="2501"/>
      <c r="AH25" s="2501"/>
      <c r="AI25" s="2501"/>
      <c r="AJ25" s="2501"/>
      <c r="AK25" s="2501"/>
      <c r="AL25" s="2501"/>
      <c r="AM25" s="2501"/>
      <c r="AN25" s="2501"/>
    </row>
    <row r="26" spans="1:40" ht="16.7" customHeight="1" x14ac:dyDescent="0.2">
      <c r="A26" s="2497">
        <v>17</v>
      </c>
      <c r="B26" s="2512" t="s">
        <v>6255</v>
      </c>
      <c r="C26" s="2489" t="s">
        <v>6256</v>
      </c>
      <c r="D26" s="2527">
        <f t="shared" si="0"/>
        <v>1291887433</v>
      </c>
      <c r="E26" s="2527">
        <f t="shared" si="0"/>
        <v>985200400</v>
      </c>
      <c r="F26" s="2509"/>
      <c r="G26" s="2509"/>
      <c r="H26" s="2527">
        <v>1291887433</v>
      </c>
      <c r="I26" s="2527">
        <f t="shared" si="1"/>
        <v>985200400</v>
      </c>
      <c r="J26" s="2488"/>
      <c r="K26" s="2509"/>
      <c r="L26" s="2488"/>
      <c r="M26" s="2509"/>
      <c r="N26" s="2479"/>
      <c r="Q26" s="2519"/>
      <c r="R26" s="2551" t="s">
        <v>5988</v>
      </c>
      <c r="S26" s="2556">
        <v>758283627</v>
      </c>
      <c r="T26" s="2508">
        <v>464645961</v>
      </c>
      <c r="U26" s="2557">
        <v>236620215</v>
      </c>
      <c r="V26" s="2556">
        <v>985200400</v>
      </c>
      <c r="W26" s="2508">
        <v>593442477</v>
      </c>
      <c r="X26" s="2508">
        <v>388102442</v>
      </c>
      <c r="Y26" s="2508">
        <v>193888337</v>
      </c>
      <c r="Z26" s="2508">
        <v>833817129</v>
      </c>
      <c r="AA26" s="2508">
        <v>545834588</v>
      </c>
      <c r="AB26" s="2508">
        <v>359090529</v>
      </c>
      <c r="AC26" s="2511"/>
      <c r="AD26" s="2511"/>
      <c r="AE26" s="2501"/>
      <c r="AF26" s="2501"/>
      <c r="AG26" s="2501"/>
      <c r="AH26" s="2501"/>
      <c r="AI26" s="2501"/>
      <c r="AJ26" s="2501"/>
      <c r="AK26" s="2501"/>
      <c r="AL26" s="2501"/>
      <c r="AM26" s="2501"/>
      <c r="AN26" s="2501"/>
    </row>
    <row r="27" spans="1:40" ht="16.7" customHeight="1" x14ac:dyDescent="0.2">
      <c r="A27" s="2497">
        <v>18</v>
      </c>
      <c r="B27" s="2512" t="s">
        <v>6257</v>
      </c>
      <c r="C27" s="2489" t="s">
        <v>6256</v>
      </c>
      <c r="D27" s="2527">
        <f t="shared" si="0"/>
        <v>1509907511</v>
      </c>
      <c r="E27" s="2527">
        <f t="shared" si="0"/>
        <v>824722423</v>
      </c>
      <c r="F27" s="2509"/>
      <c r="G27" s="2509"/>
      <c r="H27" s="2527">
        <v>1509907511</v>
      </c>
      <c r="I27" s="2527">
        <f t="shared" si="1"/>
        <v>824722423</v>
      </c>
      <c r="J27" s="2488"/>
      <c r="K27" s="2509"/>
      <c r="L27" s="2488"/>
      <c r="M27" s="2509"/>
      <c r="N27" s="2479"/>
      <c r="Q27" s="2519"/>
      <c r="R27" s="2551" t="s">
        <v>5990</v>
      </c>
      <c r="S27" s="2556">
        <v>1074773534</v>
      </c>
      <c r="T27" s="2508">
        <v>530045419</v>
      </c>
      <c r="U27" s="2557">
        <v>311138761</v>
      </c>
      <c r="V27" s="2556">
        <v>824722423</v>
      </c>
      <c r="W27" s="2508">
        <v>543571115</v>
      </c>
      <c r="X27" s="2508">
        <v>358695170</v>
      </c>
      <c r="Y27" s="2508">
        <v>174215770</v>
      </c>
      <c r="Z27" s="2508">
        <v>757999686</v>
      </c>
      <c r="AA27" s="2508">
        <v>509318528</v>
      </c>
      <c r="AB27" s="2508">
        <v>335506197</v>
      </c>
      <c r="AC27" s="2511"/>
      <c r="AD27" s="2511"/>
      <c r="AE27" s="2501"/>
      <c r="AF27" s="2501"/>
      <c r="AG27" s="2501"/>
      <c r="AH27" s="2501"/>
      <c r="AI27" s="2501"/>
      <c r="AJ27" s="2501"/>
      <c r="AK27" s="2501"/>
      <c r="AL27" s="2501"/>
      <c r="AM27" s="2501"/>
      <c r="AN27" s="2501"/>
    </row>
    <row r="28" spans="1:40" ht="16.7" customHeight="1" x14ac:dyDescent="0.2">
      <c r="A28" s="2497">
        <v>19</v>
      </c>
      <c r="B28" s="2512" t="s">
        <v>6258</v>
      </c>
      <c r="C28" s="2497">
        <v>266</v>
      </c>
      <c r="D28" s="2527">
        <f t="shared" si="0"/>
        <v>-764880</v>
      </c>
      <c r="E28" s="2527">
        <f t="shared" si="0"/>
        <v>-1055726</v>
      </c>
      <c r="F28" s="2509"/>
      <c r="G28" s="2509"/>
      <c r="H28" s="2527">
        <v>-764880</v>
      </c>
      <c r="I28" s="2527">
        <f t="shared" si="1"/>
        <v>-1055726</v>
      </c>
      <c r="J28" s="2488"/>
      <c r="K28" s="2509"/>
      <c r="L28" s="2488"/>
      <c r="M28" s="2509"/>
      <c r="N28" s="2479"/>
      <c r="Q28" s="2519"/>
      <c r="R28" s="2551" t="s">
        <v>5992</v>
      </c>
      <c r="S28" s="2556">
        <v>-573660</v>
      </c>
      <c r="T28" s="2508">
        <v>-382440</v>
      </c>
      <c r="U28" s="2557">
        <v>-191220</v>
      </c>
      <c r="V28" s="2556">
        <v>-1055726</v>
      </c>
      <c r="W28" s="2508">
        <v>-791800</v>
      </c>
      <c r="X28" s="2508">
        <v>-527866</v>
      </c>
      <c r="Y28" s="2508">
        <v>-263933</v>
      </c>
      <c r="Z28" s="2508">
        <v>-1339178</v>
      </c>
      <c r="AA28" s="2508">
        <v>-962158</v>
      </c>
      <c r="AB28" s="2508">
        <v>-641439</v>
      </c>
      <c r="AC28" s="2511"/>
      <c r="AD28" s="2511"/>
      <c r="AE28" s="2501"/>
      <c r="AF28" s="2501"/>
      <c r="AG28" s="2501"/>
      <c r="AH28" s="2501"/>
      <c r="AI28" s="2501"/>
      <c r="AJ28" s="2501"/>
      <c r="AK28" s="2501"/>
      <c r="AL28" s="2501"/>
      <c r="AM28" s="2501"/>
      <c r="AN28" s="2501"/>
    </row>
    <row r="29" spans="1:40" ht="16.7" customHeight="1" x14ac:dyDescent="0.2">
      <c r="A29" s="2497">
        <v>20</v>
      </c>
      <c r="B29" s="2512" t="s">
        <v>6259</v>
      </c>
      <c r="C29" s="2488"/>
      <c r="D29" s="2527">
        <f t="shared" si="0"/>
        <v>0</v>
      </c>
      <c r="E29" s="2527">
        <f t="shared" si="0"/>
        <v>0</v>
      </c>
      <c r="F29" s="2509"/>
      <c r="G29" s="2509"/>
      <c r="H29" s="2527">
        <v>0</v>
      </c>
      <c r="I29" s="2527">
        <f t="shared" si="1"/>
        <v>0</v>
      </c>
      <c r="J29" s="2488"/>
      <c r="K29" s="2509"/>
      <c r="L29" s="2488"/>
      <c r="M29" s="2509"/>
      <c r="N29" s="2479"/>
      <c r="Q29" s="2519"/>
      <c r="R29" s="2551" t="s">
        <v>5994</v>
      </c>
      <c r="S29" s="2556">
        <v>0</v>
      </c>
      <c r="T29" s="2508">
        <v>0</v>
      </c>
      <c r="U29" s="2557">
        <v>0</v>
      </c>
      <c r="V29" s="2556">
        <v>0</v>
      </c>
      <c r="W29" s="2508">
        <v>0</v>
      </c>
      <c r="X29" s="2511"/>
      <c r="Y29" s="2508">
        <v>0</v>
      </c>
      <c r="Z29" s="2508">
        <v>0</v>
      </c>
      <c r="AA29" s="2508">
        <v>0</v>
      </c>
      <c r="AB29" s="2508">
        <v>0</v>
      </c>
      <c r="AC29" s="2511"/>
      <c r="AD29" s="2511"/>
      <c r="AE29" s="2501"/>
      <c r="AF29" s="2501"/>
      <c r="AG29" s="2501"/>
      <c r="AH29" s="2501"/>
      <c r="AI29" s="2501"/>
      <c r="AJ29" s="2501"/>
      <c r="AK29" s="2501"/>
      <c r="AL29" s="2501"/>
      <c r="AM29" s="2501"/>
      <c r="AN29" s="2501"/>
    </row>
    <row r="30" spans="1:40" ht="16.7" customHeight="1" x14ac:dyDescent="0.2">
      <c r="A30" s="2497">
        <v>21</v>
      </c>
      <c r="B30" s="2512" t="s">
        <v>6260</v>
      </c>
      <c r="C30" s="2488"/>
      <c r="D30" s="2527">
        <f t="shared" si="0"/>
        <v>0</v>
      </c>
      <c r="E30" s="2527">
        <f t="shared" si="0"/>
        <v>0</v>
      </c>
      <c r="F30" s="2509"/>
      <c r="G30" s="2509"/>
      <c r="H30" s="2527">
        <v>0</v>
      </c>
      <c r="I30" s="2527">
        <f t="shared" si="1"/>
        <v>0</v>
      </c>
      <c r="J30" s="2488"/>
      <c r="K30" s="2509"/>
      <c r="L30" s="2488"/>
      <c r="M30" s="2509"/>
      <c r="N30" s="2479"/>
      <c r="Q30" s="2519"/>
      <c r="R30" s="2551" t="s">
        <v>5997</v>
      </c>
      <c r="S30" s="2556">
        <v>0</v>
      </c>
      <c r="T30" s="2508">
        <v>0</v>
      </c>
      <c r="U30" s="2557">
        <v>0</v>
      </c>
      <c r="V30" s="2556">
        <v>0</v>
      </c>
      <c r="W30" s="2508">
        <v>0</v>
      </c>
      <c r="X30" s="2511"/>
      <c r="Y30" s="2508">
        <v>0</v>
      </c>
      <c r="Z30" s="2508">
        <v>0</v>
      </c>
      <c r="AA30" s="2508">
        <v>0</v>
      </c>
      <c r="AB30" s="2508">
        <v>0</v>
      </c>
      <c r="AC30" s="2511"/>
      <c r="AD30" s="2511"/>
      <c r="AE30" s="2501"/>
      <c r="AF30" s="2501"/>
      <c r="AG30" s="2501"/>
      <c r="AH30" s="2501"/>
      <c r="AI30" s="2501"/>
      <c r="AJ30" s="2501"/>
      <c r="AK30" s="2501"/>
      <c r="AL30" s="2501"/>
      <c r="AM30" s="2501"/>
      <c r="AN30" s="2501"/>
    </row>
    <row r="31" spans="1:40" ht="16.7" customHeight="1" x14ac:dyDescent="0.2">
      <c r="A31" s="2497">
        <v>22</v>
      </c>
      <c r="B31" s="2512" t="s">
        <v>6261</v>
      </c>
      <c r="C31" s="2488"/>
      <c r="D31" s="2527">
        <f t="shared" si="0"/>
        <v>91</v>
      </c>
      <c r="E31" s="2527">
        <f t="shared" si="0"/>
        <v>100</v>
      </c>
      <c r="F31" s="2509"/>
      <c r="G31" s="2509"/>
      <c r="H31" s="2527">
        <v>91</v>
      </c>
      <c r="I31" s="2527">
        <f t="shared" si="1"/>
        <v>100</v>
      </c>
      <c r="J31" s="2488"/>
      <c r="K31" s="2509"/>
      <c r="L31" s="2488"/>
      <c r="M31" s="2509"/>
      <c r="N31" s="2479"/>
      <c r="Q31" s="2519"/>
      <c r="R31" s="2551" t="s">
        <v>5999</v>
      </c>
      <c r="S31" s="2556">
        <v>91</v>
      </c>
      <c r="T31" s="2508">
        <v>91</v>
      </c>
      <c r="U31" s="2557">
        <v>0</v>
      </c>
      <c r="V31" s="2556">
        <v>100</v>
      </c>
      <c r="W31" s="2508">
        <v>100</v>
      </c>
      <c r="X31" s="2508">
        <v>100</v>
      </c>
      <c r="Y31" s="2508">
        <v>0</v>
      </c>
      <c r="Z31" s="2508">
        <v>47</v>
      </c>
      <c r="AA31" s="2508">
        <v>47</v>
      </c>
      <c r="AB31" s="2508">
        <v>47</v>
      </c>
      <c r="AC31" s="2511"/>
      <c r="AD31" s="2511"/>
      <c r="AE31" s="2501"/>
      <c r="AF31" s="2501"/>
      <c r="AG31" s="2501"/>
      <c r="AH31" s="2501"/>
      <c r="AI31" s="2501"/>
      <c r="AJ31" s="2501"/>
      <c r="AK31" s="2501"/>
      <c r="AL31" s="2501"/>
      <c r="AM31" s="2501"/>
      <c r="AN31" s="2501"/>
    </row>
    <row r="32" spans="1:40" ht="16.7" customHeight="1" x14ac:dyDescent="0.2">
      <c r="A32" s="2497">
        <v>23</v>
      </c>
      <c r="B32" s="2512" t="s">
        <v>6262</v>
      </c>
      <c r="C32" s="2488"/>
      <c r="D32" s="2527">
        <f t="shared" si="0"/>
        <v>0</v>
      </c>
      <c r="E32" s="2527">
        <f t="shared" si="0"/>
        <v>0</v>
      </c>
      <c r="F32" s="2509"/>
      <c r="G32" s="2509"/>
      <c r="H32" s="2527">
        <v>0</v>
      </c>
      <c r="I32" s="2527">
        <f t="shared" si="1"/>
        <v>0</v>
      </c>
      <c r="J32" s="2488"/>
      <c r="K32" s="2509"/>
      <c r="L32" s="2488"/>
      <c r="M32" s="2509"/>
      <c r="N32" s="2479"/>
      <c r="Q32" s="2519"/>
      <c r="R32" s="2551" t="s">
        <v>6002</v>
      </c>
      <c r="S32" s="2556">
        <v>0</v>
      </c>
      <c r="T32" s="2508">
        <v>0</v>
      </c>
      <c r="U32" s="2557">
        <v>0</v>
      </c>
      <c r="V32" s="2556">
        <v>0</v>
      </c>
      <c r="W32" s="2508">
        <v>0</v>
      </c>
      <c r="X32" s="2511"/>
      <c r="Y32" s="2508">
        <v>0</v>
      </c>
      <c r="Z32" s="2508">
        <v>0</v>
      </c>
      <c r="AA32" s="2508">
        <v>0</v>
      </c>
      <c r="AB32" s="2508">
        <v>0</v>
      </c>
      <c r="AC32" s="2511"/>
      <c r="AD32" s="2511"/>
      <c r="AE32" s="2501"/>
      <c r="AF32" s="2501"/>
      <c r="AG32" s="2501"/>
      <c r="AH32" s="2501"/>
      <c r="AI32" s="2501"/>
      <c r="AJ32" s="2501"/>
      <c r="AK32" s="2501"/>
      <c r="AL32" s="2501"/>
      <c r="AM32" s="2501"/>
      <c r="AN32" s="2501"/>
    </row>
    <row r="33" spans="1:40" ht="16.7" customHeight="1" x14ac:dyDescent="0.2">
      <c r="A33" s="2497">
        <v>24</v>
      </c>
      <c r="B33" s="2512" t="s">
        <v>6263</v>
      </c>
      <c r="C33" s="2488"/>
      <c r="D33" s="2558">
        <f t="shared" si="0"/>
        <v>0</v>
      </c>
      <c r="E33" s="2527">
        <f t="shared" si="0"/>
        <v>0</v>
      </c>
      <c r="F33" s="2509"/>
      <c r="G33" s="2509"/>
      <c r="H33" s="2527">
        <v>0</v>
      </c>
      <c r="I33" s="2527">
        <f t="shared" si="1"/>
        <v>0</v>
      </c>
      <c r="J33" s="2488"/>
      <c r="K33" s="2509"/>
      <c r="L33" s="2488"/>
      <c r="M33" s="2509"/>
      <c r="N33" s="2479"/>
      <c r="Q33" s="2519"/>
      <c r="R33" s="2551" t="s">
        <v>6004</v>
      </c>
      <c r="S33" s="2556">
        <v>0</v>
      </c>
      <c r="T33" s="2508">
        <v>0</v>
      </c>
      <c r="U33" s="2557">
        <v>0</v>
      </c>
      <c r="V33" s="2556">
        <v>0</v>
      </c>
      <c r="W33" s="2508">
        <v>0</v>
      </c>
      <c r="X33" s="2511"/>
      <c r="Y33" s="2508">
        <v>0</v>
      </c>
      <c r="Z33" s="2508">
        <v>0</v>
      </c>
      <c r="AA33" s="2508">
        <v>0</v>
      </c>
      <c r="AB33" s="2508">
        <v>0</v>
      </c>
      <c r="AC33" s="2511"/>
      <c r="AD33" s="2511"/>
      <c r="AE33" s="2501"/>
      <c r="AF33" s="2501"/>
      <c r="AG33" s="2501"/>
      <c r="AH33" s="2501"/>
      <c r="AI33" s="2501"/>
      <c r="AJ33" s="2501"/>
      <c r="AK33" s="2501"/>
      <c r="AL33" s="2501"/>
      <c r="AM33" s="2501"/>
      <c r="AN33" s="2501"/>
    </row>
    <row r="34" spans="1:40" ht="16.7" customHeight="1" x14ac:dyDescent="0.2">
      <c r="A34" s="2497">
        <v>25</v>
      </c>
      <c r="B34" s="2512" t="s">
        <v>6264</v>
      </c>
      <c r="C34" s="2509"/>
      <c r="D34" s="2527">
        <f>SUM(D13:D21,D23:D26,D28,D30,D32:D33)-SUM(D22,D27,D29,D31)</f>
        <v>6162676200</v>
      </c>
      <c r="E34" s="2527">
        <f>SUM(E13:E21,E23:E26,E28,E30,E32:E33)-SUM(E22,E27,E29,E31)</f>
        <v>4463046761</v>
      </c>
      <c r="F34" s="2509"/>
      <c r="G34" s="2509"/>
      <c r="H34" s="2527">
        <f>SUM(H13:H21,H23:H26,H28,H30,H32:H33)-SUM(H22,H27,H29,H31)</f>
        <v>6162676200</v>
      </c>
      <c r="I34" s="2561">
        <f>SUM(I13:I21,I23:I26,I28,I30,I32:I33)-SUM(I22,I27,I29,I31)</f>
        <v>4463046761</v>
      </c>
      <c r="J34" s="2562"/>
      <c r="K34" s="2562"/>
      <c r="L34" s="2562"/>
      <c r="M34" s="2562"/>
      <c r="N34" s="2479"/>
      <c r="Q34" s="2519"/>
      <c r="R34" s="2551" t="s">
        <v>6006</v>
      </c>
      <c r="S34" s="2556">
        <f>SUM(S13:S21,S23:S26,S28,S30,S32:S33)-SUM(S22,S27,S29,S31)</f>
        <v>4962038439</v>
      </c>
      <c r="T34" s="2508">
        <f>SUM(T13:T21,T23:T26,T28,T30,T32:T33)-SUM(T22,T27,T29,T31)</f>
        <v>2684579034</v>
      </c>
      <c r="U34" s="2508">
        <f>SUM(U13:U21,U23:U26,U28,U30,U32:U33)-SUM(U22,U27,U29,U31)</f>
        <v>1535450933</v>
      </c>
      <c r="V34" s="2508">
        <f>SUM(V13:V21,V23:V26,V28,V30,V32:V33)-SUM(V22,V27,V29,V31)</f>
        <v>4463046761</v>
      </c>
      <c r="W34" s="2508">
        <v>3403804707</v>
      </c>
      <c r="X34" s="2508">
        <v>2244310748</v>
      </c>
      <c r="Y34" s="2508">
        <v>1089607882</v>
      </c>
      <c r="Z34" s="2508">
        <v>4093877975</v>
      </c>
      <c r="AA34" s="2508">
        <v>3070946708</v>
      </c>
      <c r="AB34" s="2508">
        <v>1987513884</v>
      </c>
      <c r="AC34" s="2511"/>
      <c r="AD34" s="2511"/>
      <c r="AE34" s="2501"/>
      <c r="AF34" s="2501"/>
      <c r="AG34" s="2501"/>
      <c r="AH34" s="2501"/>
      <c r="AI34" s="2501"/>
      <c r="AJ34" s="2501"/>
      <c r="AK34" s="2501"/>
      <c r="AL34" s="2501"/>
      <c r="AM34" s="2501"/>
      <c r="AN34" s="2501"/>
    </row>
    <row r="35" spans="1:40" ht="16.7" customHeight="1" thickBot="1" x14ac:dyDescent="0.25">
      <c r="A35" s="2563">
        <v>26</v>
      </c>
      <c r="B35" s="2564" t="s">
        <v>6265</v>
      </c>
      <c r="C35" s="2565"/>
      <c r="D35" s="2566">
        <f>D11-D34</f>
        <v>-231832162</v>
      </c>
      <c r="E35" s="2566">
        <f>E11-E34</f>
        <v>1203494643</v>
      </c>
      <c r="F35" s="2509"/>
      <c r="G35" s="2509"/>
      <c r="H35" s="2566">
        <f>H11-H34</f>
        <v>-231832162</v>
      </c>
      <c r="I35" s="2567">
        <f>I11-I34</f>
        <v>1203494643</v>
      </c>
      <c r="J35" s="2568"/>
      <c r="K35" s="2568"/>
      <c r="L35" s="2568"/>
      <c r="M35" s="2568"/>
      <c r="N35" s="2479"/>
      <c r="Q35" s="2519"/>
      <c r="R35" s="2551" t="s">
        <v>6008</v>
      </c>
      <c r="S35" s="2556">
        <f>S11-S34</f>
        <v>-476692595</v>
      </c>
      <c r="T35" s="2508">
        <f>T11-T34</f>
        <v>125468416</v>
      </c>
      <c r="U35" s="2508">
        <f>U11-U34</f>
        <v>-52816427</v>
      </c>
      <c r="V35" s="2508">
        <f>V11-V34</f>
        <v>1203494643</v>
      </c>
      <c r="W35" s="2508">
        <v>840207929</v>
      </c>
      <c r="X35" s="2508">
        <v>365503577</v>
      </c>
      <c r="Y35" s="2508">
        <v>206652696</v>
      </c>
      <c r="Z35" s="2508">
        <v>1199011150</v>
      </c>
      <c r="AA35" s="2508">
        <v>959279714</v>
      </c>
      <c r="AB35" s="2508">
        <v>551463855</v>
      </c>
      <c r="AC35" s="2511"/>
      <c r="AD35" s="2511"/>
      <c r="AE35" s="2501"/>
      <c r="AF35" s="2501"/>
      <c r="AG35" s="2501"/>
      <c r="AH35" s="2501"/>
      <c r="AI35" s="2501"/>
      <c r="AJ35" s="2501"/>
      <c r="AK35" s="2501"/>
      <c r="AL35" s="2501"/>
      <c r="AM35" s="2501"/>
      <c r="AN35" s="2501"/>
    </row>
    <row r="36" spans="1:40" ht="16.7" customHeight="1" x14ac:dyDescent="0.2">
      <c r="A36" s="2569">
        <v>27</v>
      </c>
      <c r="B36" s="2570" t="s">
        <v>6266</v>
      </c>
      <c r="C36" s="2571"/>
      <c r="D36" s="2572">
        <v>-231832162</v>
      </c>
      <c r="E36" s="2572">
        <f>E35</f>
        <v>1203494643</v>
      </c>
      <c r="F36" s="2509"/>
      <c r="G36" s="2509"/>
      <c r="H36" s="2573"/>
      <c r="I36" s="2573"/>
      <c r="J36" s="2573"/>
      <c r="K36" s="2573"/>
      <c r="L36" s="2573"/>
      <c r="M36" s="2573"/>
      <c r="N36" s="2479"/>
      <c r="Q36" s="2519"/>
      <c r="R36" s="2526" t="s">
        <v>6010</v>
      </c>
      <c r="S36" s="2508">
        <v>-476692595</v>
      </c>
      <c r="T36" s="2508">
        <v>125468416</v>
      </c>
      <c r="U36" s="2508">
        <v>-52816427</v>
      </c>
      <c r="V36" s="2508">
        <v>1203494643</v>
      </c>
      <c r="W36" s="2508">
        <v>840207929</v>
      </c>
      <c r="X36" s="2508">
        <v>365503577</v>
      </c>
      <c r="Y36" s="2508">
        <v>206652696</v>
      </c>
      <c r="Z36" s="2508">
        <v>1199011150</v>
      </c>
      <c r="AA36" s="2508">
        <v>959279714</v>
      </c>
      <c r="AB36" s="2508">
        <v>551463855</v>
      </c>
      <c r="AC36" s="2501"/>
      <c r="AD36" s="2501"/>
      <c r="AE36" s="2501"/>
      <c r="AF36" s="2501"/>
      <c r="AG36" s="2501"/>
      <c r="AH36" s="2501"/>
      <c r="AI36" s="2501"/>
      <c r="AJ36" s="2501"/>
      <c r="AK36" s="2501"/>
      <c r="AL36" s="2501"/>
      <c r="AM36" s="2501"/>
      <c r="AN36" s="2501"/>
    </row>
    <row r="37" spans="1:40" ht="15.75" customHeight="1" x14ac:dyDescent="0.2">
      <c r="A37" s="2497">
        <v>28</v>
      </c>
      <c r="B37" s="2512" t="s">
        <v>6267</v>
      </c>
      <c r="C37" s="2488"/>
      <c r="D37" s="2548"/>
      <c r="E37" s="2548" t="s">
        <v>97</v>
      </c>
      <c r="F37" s="2548"/>
      <c r="G37" s="2548"/>
      <c r="H37" s="2548" t="s">
        <v>97</v>
      </c>
      <c r="I37" s="2548" t="s">
        <v>97</v>
      </c>
      <c r="J37" s="2548"/>
      <c r="K37" s="2548"/>
      <c r="L37" s="2548"/>
      <c r="M37" s="2548"/>
      <c r="N37" s="2479"/>
      <c r="Q37" s="2519"/>
      <c r="R37" s="2551" t="s">
        <v>6012</v>
      </c>
      <c r="S37" s="2574"/>
      <c r="T37" s="2501"/>
      <c r="U37" s="2501"/>
      <c r="V37" s="2501"/>
      <c r="W37" s="2501"/>
      <c r="X37" s="2501"/>
      <c r="Y37" s="2501"/>
      <c r="Z37" s="2501"/>
      <c r="AA37" s="2501"/>
      <c r="AB37" s="2501"/>
      <c r="AC37" s="2501"/>
      <c r="AD37" s="2501"/>
      <c r="AE37" s="2501"/>
      <c r="AF37" s="2501"/>
      <c r="AG37" s="2501"/>
      <c r="AH37" s="2501"/>
      <c r="AI37" s="2501"/>
      <c r="AJ37" s="2501"/>
      <c r="AK37" s="2501"/>
      <c r="AL37" s="2501"/>
      <c r="AM37" s="2501"/>
      <c r="AN37" s="2501"/>
    </row>
    <row r="38" spans="1:40" ht="15.75" customHeight="1" x14ac:dyDescent="0.2">
      <c r="A38" s="2497">
        <v>29</v>
      </c>
      <c r="B38" s="2512" t="s">
        <v>6268</v>
      </c>
      <c r="C38" s="2488"/>
      <c r="D38" s="2548"/>
      <c r="E38" s="2548" t="s">
        <v>97</v>
      </c>
      <c r="F38" s="2548"/>
      <c r="G38" s="2548"/>
      <c r="H38" s="2548" t="s">
        <v>97</v>
      </c>
      <c r="I38" s="2548" t="s">
        <v>97</v>
      </c>
      <c r="J38" s="2548"/>
      <c r="K38" s="2548"/>
      <c r="L38" s="2548"/>
      <c r="M38" s="2548"/>
      <c r="N38" s="2479"/>
      <c r="Q38" s="2519"/>
      <c r="R38" s="2551" t="s">
        <v>6014</v>
      </c>
      <c r="S38" s="2574"/>
      <c r="T38" s="2501"/>
      <c r="U38" s="2501"/>
      <c r="V38" s="2501"/>
      <c r="W38" s="2501"/>
      <c r="X38" s="2501"/>
      <c r="Y38" s="2501"/>
      <c r="Z38" s="2501"/>
      <c r="AA38" s="2501"/>
      <c r="AB38" s="2501"/>
      <c r="AC38" s="2501"/>
      <c r="AD38" s="2501"/>
      <c r="AE38" s="2501"/>
      <c r="AF38" s="2501"/>
      <c r="AG38" s="2501"/>
      <c r="AH38" s="2501"/>
      <c r="AI38" s="2501"/>
      <c r="AJ38" s="2501"/>
      <c r="AK38" s="2501"/>
      <c r="AL38" s="2501"/>
      <c r="AM38" s="2501"/>
      <c r="AN38" s="2501"/>
    </row>
    <row r="39" spans="1:40" ht="15.75" customHeight="1" x14ac:dyDescent="0.2">
      <c r="A39" s="2497">
        <v>30</v>
      </c>
      <c r="B39" s="2512" t="s">
        <v>6269</v>
      </c>
      <c r="C39" s="2488"/>
      <c r="D39" s="2548"/>
      <c r="E39" s="2548" t="s">
        <v>97</v>
      </c>
      <c r="F39" s="2548"/>
      <c r="G39" s="2548"/>
      <c r="H39" s="2548" t="s">
        <v>97</v>
      </c>
      <c r="I39" s="2548" t="s">
        <v>97</v>
      </c>
      <c r="J39" s="2548"/>
      <c r="K39" s="2548"/>
      <c r="L39" s="2548"/>
      <c r="M39" s="2548"/>
      <c r="N39" s="2479"/>
      <c r="Q39" s="2519"/>
      <c r="R39" s="2551" t="s">
        <v>6016</v>
      </c>
      <c r="S39" s="2574"/>
      <c r="T39" s="2501"/>
      <c r="U39" s="2501"/>
      <c r="V39" s="2501"/>
      <c r="W39" s="2501"/>
      <c r="X39" s="2501"/>
      <c r="Y39" s="2501"/>
      <c r="Z39" s="2501"/>
      <c r="AA39" s="2501"/>
      <c r="AB39" s="2501"/>
      <c r="AC39" s="2501"/>
      <c r="AD39" s="2501"/>
      <c r="AE39" s="2501"/>
      <c r="AF39" s="2501"/>
      <c r="AG39" s="2501"/>
      <c r="AH39" s="2501"/>
      <c r="AI39" s="2501"/>
      <c r="AJ39" s="2501"/>
      <c r="AK39" s="2501"/>
      <c r="AL39" s="2501"/>
      <c r="AM39" s="2501"/>
      <c r="AN39" s="2501"/>
    </row>
    <row r="40" spans="1:40" ht="16.7" customHeight="1" x14ac:dyDescent="0.2">
      <c r="A40" s="2497">
        <v>31</v>
      </c>
      <c r="B40" s="2502" t="s">
        <v>6270</v>
      </c>
      <c r="C40" s="2509"/>
      <c r="D40" s="2527">
        <v>3279490</v>
      </c>
      <c r="E40" s="2527">
        <f t="shared" ref="E40:E49" si="2">SUMIF(R:R,A40,V:V)</f>
        <v>1478728</v>
      </c>
      <c r="F40" s="2509"/>
      <c r="G40" s="2509"/>
      <c r="H40" s="2533"/>
      <c r="I40" s="2532"/>
      <c r="J40" s="2532"/>
      <c r="K40" s="2532"/>
      <c r="L40" s="2532"/>
      <c r="M40" s="2532"/>
      <c r="N40" s="2479"/>
      <c r="Q40" s="2519"/>
      <c r="R40" s="2551" t="s">
        <v>6018</v>
      </c>
      <c r="S40" s="2556">
        <v>2340549</v>
      </c>
      <c r="T40" s="2508">
        <v>1647556</v>
      </c>
      <c r="U40" s="2508">
        <v>1171075</v>
      </c>
      <c r="V40" s="2508">
        <v>1478728</v>
      </c>
      <c r="W40" s="2508">
        <v>1105067</v>
      </c>
      <c r="X40" s="2508">
        <v>639401</v>
      </c>
      <c r="Y40" s="2508">
        <v>343734</v>
      </c>
      <c r="Z40" s="2508">
        <v>2662913</v>
      </c>
      <c r="AA40" s="2508">
        <v>2289606</v>
      </c>
      <c r="AB40" s="2508">
        <v>1983824</v>
      </c>
      <c r="AC40" s="2501"/>
      <c r="AD40" s="2501"/>
      <c r="AE40" s="2501"/>
      <c r="AF40" s="2501"/>
      <c r="AG40" s="2501"/>
      <c r="AH40" s="2501"/>
      <c r="AI40" s="2501"/>
      <c r="AJ40" s="2501"/>
      <c r="AK40" s="2501"/>
      <c r="AL40" s="2501"/>
      <c r="AM40" s="2501"/>
      <c r="AN40" s="2501"/>
    </row>
    <row r="41" spans="1:40" ht="16.7" customHeight="1" x14ac:dyDescent="0.2">
      <c r="A41" s="2497">
        <v>32</v>
      </c>
      <c r="B41" s="2502" t="s">
        <v>6271</v>
      </c>
      <c r="C41" s="2509"/>
      <c r="D41" s="2527">
        <v>3729320</v>
      </c>
      <c r="E41" s="2527">
        <f t="shared" si="2"/>
        <v>1467260</v>
      </c>
      <c r="F41" s="2509"/>
      <c r="G41" s="2509"/>
      <c r="H41" s="2533"/>
      <c r="I41" s="2532"/>
      <c r="J41" s="2532"/>
      <c r="K41" s="2532"/>
      <c r="L41" s="2532"/>
      <c r="M41" s="2532"/>
      <c r="N41" s="2479"/>
      <c r="Q41" s="2519"/>
      <c r="R41" s="2551" t="s">
        <v>6020</v>
      </c>
      <c r="S41" s="2556">
        <v>2634502</v>
      </c>
      <c r="T41" s="2508">
        <v>1824341</v>
      </c>
      <c r="U41" s="2508">
        <v>1321253</v>
      </c>
      <c r="V41" s="2508">
        <v>1467260</v>
      </c>
      <c r="W41" s="2508">
        <v>972599</v>
      </c>
      <c r="X41" s="2508">
        <v>586873</v>
      </c>
      <c r="Y41" s="2508">
        <v>244152</v>
      </c>
      <c r="Z41" s="2508">
        <v>2873018</v>
      </c>
      <c r="AA41" s="2508">
        <v>2547602</v>
      </c>
      <c r="AB41" s="2508">
        <v>2051195</v>
      </c>
      <c r="AC41" s="2501"/>
      <c r="AD41" s="2501"/>
      <c r="AE41" s="2501"/>
      <c r="AF41" s="2501"/>
      <c r="AG41" s="2501"/>
      <c r="AH41" s="2501"/>
      <c r="AI41" s="2501"/>
      <c r="AJ41" s="2501"/>
      <c r="AK41" s="2501"/>
      <c r="AL41" s="2501"/>
      <c r="AM41" s="2501"/>
      <c r="AN41" s="2501"/>
    </row>
    <row r="42" spans="1:40" ht="16.7" customHeight="1" x14ac:dyDescent="0.2">
      <c r="A42" s="2497">
        <v>33</v>
      </c>
      <c r="B42" s="2502" t="s">
        <v>6272</v>
      </c>
      <c r="C42" s="2509"/>
      <c r="D42" s="2527">
        <v>0</v>
      </c>
      <c r="E42" s="2527">
        <f t="shared" si="2"/>
        <v>0</v>
      </c>
      <c r="F42" s="2509"/>
      <c r="G42" s="2509"/>
      <c r="H42" s="2533"/>
      <c r="I42" s="2532"/>
      <c r="J42" s="2532"/>
      <c r="K42" s="2532"/>
      <c r="L42" s="2532"/>
      <c r="M42" s="2532"/>
      <c r="N42" s="2479"/>
      <c r="Q42" s="2519"/>
      <c r="R42" s="2551" t="s">
        <v>6022</v>
      </c>
      <c r="S42" s="2556">
        <v>0</v>
      </c>
      <c r="T42" s="2508">
        <v>0</v>
      </c>
      <c r="U42" s="2508">
        <v>0</v>
      </c>
      <c r="V42" s="2508">
        <v>0</v>
      </c>
      <c r="W42" s="2508">
        <v>0</v>
      </c>
      <c r="X42" s="2501"/>
      <c r="Y42" s="2508">
        <v>0</v>
      </c>
      <c r="Z42" s="2508">
        <v>0</v>
      </c>
      <c r="AA42" s="2508">
        <v>0</v>
      </c>
      <c r="AB42" s="2508">
        <v>0</v>
      </c>
      <c r="AC42" s="2511"/>
      <c r="AD42" s="2511"/>
      <c r="AE42" s="2501"/>
      <c r="AF42" s="2501"/>
      <c r="AG42" s="2501"/>
      <c r="AH42" s="2501"/>
      <c r="AI42" s="2501"/>
      <c r="AJ42" s="2501"/>
      <c r="AK42" s="2501"/>
      <c r="AL42" s="2501"/>
      <c r="AM42" s="2501"/>
      <c r="AN42" s="2501"/>
    </row>
    <row r="43" spans="1:40" ht="16.7" customHeight="1" x14ac:dyDescent="0.2">
      <c r="A43" s="2497">
        <v>34</v>
      </c>
      <c r="B43" s="2502" t="s">
        <v>6273</v>
      </c>
      <c r="C43" s="2509"/>
      <c r="D43" s="2527">
        <v>24609</v>
      </c>
      <c r="E43" s="2527">
        <f t="shared" si="2"/>
        <v>28146</v>
      </c>
      <c r="F43" s="2509"/>
      <c r="G43" s="2509"/>
      <c r="H43" s="2533"/>
      <c r="I43" s="2532"/>
      <c r="J43" s="2532"/>
      <c r="K43" s="2532"/>
      <c r="L43" s="2532"/>
      <c r="M43" s="2532"/>
      <c r="N43" s="2479"/>
      <c r="Q43" s="2519"/>
      <c r="R43" s="2551" t="s">
        <v>6024</v>
      </c>
      <c r="S43" s="2556">
        <v>15070</v>
      </c>
      <c r="T43" s="2508">
        <v>10595</v>
      </c>
      <c r="U43" s="2508">
        <v>5585</v>
      </c>
      <c r="V43" s="2508">
        <v>28146</v>
      </c>
      <c r="W43" s="2508">
        <v>19597</v>
      </c>
      <c r="X43" s="2508">
        <v>13957</v>
      </c>
      <c r="Y43" s="2508">
        <v>7163</v>
      </c>
      <c r="Z43" s="2508">
        <v>25341</v>
      </c>
      <c r="AA43" s="2508">
        <v>18912</v>
      </c>
      <c r="AB43" s="2508">
        <v>13447</v>
      </c>
      <c r="AC43" s="2511"/>
      <c r="AD43" s="2511"/>
      <c r="AE43" s="2501"/>
      <c r="AF43" s="2501"/>
      <c r="AG43" s="2501"/>
      <c r="AH43" s="2501"/>
      <c r="AI43" s="2501"/>
      <c r="AJ43" s="2501"/>
      <c r="AK43" s="2501"/>
      <c r="AL43" s="2501"/>
      <c r="AM43" s="2501"/>
      <c r="AN43" s="2501"/>
    </row>
    <row r="44" spans="1:40" ht="16.7" customHeight="1" x14ac:dyDescent="0.2">
      <c r="A44" s="2497">
        <v>35</v>
      </c>
      <c r="B44" s="2502" t="s">
        <v>6274</v>
      </c>
      <c r="C44" s="2509"/>
      <c r="D44" s="2527">
        <v>41584</v>
      </c>
      <c r="E44" s="2527">
        <f t="shared" si="2"/>
        <v>323052</v>
      </c>
      <c r="F44" s="2509"/>
      <c r="G44" s="2509"/>
      <c r="H44" s="2533"/>
      <c r="I44" s="2532"/>
      <c r="J44" s="2532"/>
      <c r="K44" s="2532"/>
      <c r="L44" s="2532"/>
      <c r="M44" s="2532"/>
      <c r="N44" s="2479"/>
      <c r="Q44" s="2519"/>
      <c r="R44" s="2551" t="s">
        <v>6026</v>
      </c>
      <c r="S44" s="2556">
        <v>28176</v>
      </c>
      <c r="T44" s="2508">
        <v>10207</v>
      </c>
      <c r="U44" s="2508">
        <v>555</v>
      </c>
      <c r="V44" s="2508">
        <v>323052</v>
      </c>
      <c r="W44" s="2508">
        <v>290412</v>
      </c>
      <c r="X44" s="2508">
        <v>133676</v>
      </c>
      <c r="Y44" s="2508">
        <v>167511</v>
      </c>
      <c r="Z44" s="2508">
        <v>296773</v>
      </c>
      <c r="AA44" s="2508">
        <v>283875</v>
      </c>
      <c r="AB44" s="2508">
        <v>149881</v>
      </c>
      <c r="AC44" s="2511"/>
      <c r="AD44" s="2511"/>
      <c r="AE44" s="2501"/>
      <c r="AF44" s="2501"/>
      <c r="AG44" s="2501"/>
      <c r="AH44" s="2501"/>
      <c r="AI44" s="2501"/>
      <c r="AJ44" s="2501"/>
      <c r="AK44" s="2501"/>
      <c r="AL44" s="2501"/>
      <c r="AM44" s="2501"/>
      <c r="AN44" s="2501"/>
    </row>
    <row r="45" spans="1:40" ht="16.7" customHeight="1" x14ac:dyDescent="0.2">
      <c r="A45" s="2497">
        <v>36</v>
      </c>
      <c r="B45" s="2502" t="s">
        <v>6275</v>
      </c>
      <c r="C45" s="2515">
        <v>119</v>
      </c>
      <c r="D45" s="2527">
        <v>20109095</v>
      </c>
      <c r="E45" s="2527">
        <f t="shared" si="2"/>
        <v>18430410</v>
      </c>
      <c r="F45" s="2509"/>
      <c r="G45" s="2509"/>
      <c r="H45" s="2533"/>
      <c r="I45" s="2532"/>
      <c r="J45" s="2532"/>
      <c r="K45" s="2532"/>
      <c r="L45" s="2532"/>
      <c r="M45" s="2532"/>
      <c r="N45" s="2479"/>
      <c r="Q45" s="2519"/>
      <c r="R45" s="2551" t="s">
        <v>6028</v>
      </c>
      <c r="S45" s="2556">
        <v>5283421</v>
      </c>
      <c r="T45" s="2508">
        <v>-5764250</v>
      </c>
      <c r="U45" s="2508">
        <v>2029587</v>
      </c>
      <c r="V45" s="2508">
        <v>18430410</v>
      </c>
      <c r="W45" s="2508">
        <v>15805600</v>
      </c>
      <c r="X45" s="2508">
        <v>13393921</v>
      </c>
      <c r="Y45" s="2508">
        <v>6610736</v>
      </c>
      <c r="Z45" s="2508">
        <v>18855602</v>
      </c>
      <c r="AA45" s="2508">
        <v>13902788</v>
      </c>
      <c r="AB45" s="2508">
        <v>3305940</v>
      </c>
      <c r="AC45" s="2511"/>
      <c r="AD45" s="2511"/>
      <c r="AE45" s="2501"/>
      <c r="AF45" s="2501"/>
      <c r="AG45" s="2501"/>
      <c r="AH45" s="2501"/>
      <c r="AI45" s="2501"/>
      <c r="AJ45" s="2501"/>
      <c r="AK45" s="2501"/>
      <c r="AL45" s="2501"/>
      <c r="AM45" s="2501"/>
      <c r="AN45" s="2501"/>
    </row>
    <row r="46" spans="1:40" ht="16.7" customHeight="1" x14ac:dyDescent="0.2">
      <c r="A46" s="2497">
        <v>37</v>
      </c>
      <c r="B46" s="2502" t="s">
        <v>6276</v>
      </c>
      <c r="C46" s="2509"/>
      <c r="D46" s="2527">
        <v>97133812</v>
      </c>
      <c r="E46" s="2527">
        <f t="shared" si="2"/>
        <v>43673333</v>
      </c>
      <c r="F46" s="2509"/>
      <c r="G46" s="2509"/>
      <c r="H46" s="2533"/>
      <c r="I46" s="2532"/>
      <c r="J46" s="2532"/>
      <c r="K46" s="2532"/>
      <c r="L46" s="2532"/>
      <c r="M46" s="2532"/>
      <c r="N46" s="2479"/>
      <c r="Q46" s="2519"/>
      <c r="R46" s="2551" t="s">
        <v>6030</v>
      </c>
      <c r="S46" s="2556">
        <v>71282817</v>
      </c>
      <c r="T46" s="2508">
        <v>44278236</v>
      </c>
      <c r="U46" s="2508">
        <v>18496136</v>
      </c>
      <c r="V46" s="2508">
        <v>43673333</v>
      </c>
      <c r="W46" s="2508">
        <v>28226921</v>
      </c>
      <c r="X46" s="2508">
        <v>14343195</v>
      </c>
      <c r="Y46" s="2508">
        <v>6843600</v>
      </c>
      <c r="Z46" s="2508">
        <v>24486132</v>
      </c>
      <c r="AA46" s="2508">
        <v>17654630</v>
      </c>
      <c r="AB46" s="2508">
        <v>11400397</v>
      </c>
      <c r="AC46" s="2511"/>
      <c r="AD46" s="2511"/>
      <c r="AE46" s="2501"/>
      <c r="AF46" s="2501"/>
      <c r="AG46" s="2501"/>
      <c r="AH46" s="2501"/>
      <c r="AI46" s="2501"/>
      <c r="AJ46" s="2501"/>
      <c r="AK46" s="2501"/>
      <c r="AL46" s="2501"/>
      <c r="AM46" s="2501"/>
      <c r="AN46" s="2501"/>
    </row>
    <row r="47" spans="1:40" ht="16.7" customHeight="1" x14ac:dyDescent="0.2">
      <c r="A47" s="2497">
        <v>38</v>
      </c>
      <c r="B47" s="2502" t="s">
        <v>6277</v>
      </c>
      <c r="C47" s="2509"/>
      <c r="D47" s="2527">
        <v>144059425</v>
      </c>
      <c r="E47" s="2527">
        <f t="shared" si="2"/>
        <v>70977165</v>
      </c>
      <c r="F47" s="2509"/>
      <c r="G47" s="2509"/>
      <c r="H47" s="2533"/>
      <c r="I47" s="2532"/>
      <c r="J47" s="2532"/>
      <c r="K47" s="2532"/>
      <c r="L47" s="2532"/>
      <c r="M47" s="2532"/>
      <c r="N47" s="2479"/>
      <c r="Q47" s="2519"/>
      <c r="R47" s="2551" t="s">
        <v>6032</v>
      </c>
      <c r="S47" s="2556">
        <v>100978752</v>
      </c>
      <c r="T47" s="2508">
        <v>60920049</v>
      </c>
      <c r="U47" s="2508">
        <v>27246813</v>
      </c>
      <c r="V47" s="2508">
        <v>70977165</v>
      </c>
      <c r="W47" s="2508">
        <v>47002269</v>
      </c>
      <c r="X47" s="2508">
        <v>28372512</v>
      </c>
      <c r="Y47" s="2508">
        <v>13023124</v>
      </c>
      <c r="Z47" s="2508">
        <v>49860757</v>
      </c>
      <c r="AA47" s="2508">
        <v>37504884</v>
      </c>
      <c r="AB47" s="2508">
        <v>25412262</v>
      </c>
      <c r="AC47" s="2511"/>
      <c r="AD47" s="2511"/>
      <c r="AE47" s="2501"/>
      <c r="AF47" s="2501"/>
      <c r="AG47" s="2501"/>
      <c r="AH47" s="2501"/>
      <c r="AI47" s="2501"/>
      <c r="AJ47" s="2501"/>
      <c r="AK47" s="2501"/>
      <c r="AL47" s="2501"/>
      <c r="AM47" s="2501"/>
      <c r="AN47" s="2501"/>
    </row>
    <row r="48" spans="1:40" ht="16.7" customHeight="1" x14ac:dyDescent="0.2">
      <c r="A48" s="2497">
        <v>39</v>
      </c>
      <c r="B48" s="2502" t="s">
        <v>6278</v>
      </c>
      <c r="C48" s="2509"/>
      <c r="D48" s="2527">
        <v>2467241</v>
      </c>
      <c r="E48" s="2527">
        <f t="shared" si="2"/>
        <v>-3107598</v>
      </c>
      <c r="F48" s="2509"/>
      <c r="G48" s="2509"/>
      <c r="H48" s="2533"/>
      <c r="I48" s="2532"/>
      <c r="J48" s="2532"/>
      <c r="K48" s="2532"/>
      <c r="L48" s="2532"/>
      <c r="M48" s="2532"/>
      <c r="N48" s="2479"/>
      <c r="Q48" s="2519"/>
      <c r="R48" s="2551" t="s">
        <v>6034</v>
      </c>
      <c r="S48" s="2556">
        <v>839284</v>
      </c>
      <c r="T48" s="2508">
        <v>1449657</v>
      </c>
      <c r="U48" s="2508">
        <v>645136</v>
      </c>
      <c r="V48" s="2508">
        <v>-3107598</v>
      </c>
      <c r="W48" s="2508">
        <v>-4154596</v>
      </c>
      <c r="X48" s="2508">
        <v>-3352604</v>
      </c>
      <c r="Y48" s="2508">
        <v>-935591</v>
      </c>
      <c r="Z48" s="2508">
        <v>5733860</v>
      </c>
      <c r="AA48" s="2508">
        <v>4073396</v>
      </c>
      <c r="AB48" s="2508">
        <v>3358046</v>
      </c>
      <c r="AC48" s="2511"/>
      <c r="AD48" s="2511"/>
      <c r="AE48" s="2501"/>
      <c r="AF48" s="2501"/>
      <c r="AG48" s="2501"/>
      <c r="AH48" s="2501"/>
      <c r="AI48" s="2501"/>
      <c r="AJ48" s="2501"/>
      <c r="AK48" s="2501"/>
      <c r="AL48" s="2501"/>
      <c r="AM48" s="2501"/>
      <c r="AN48" s="2501"/>
    </row>
    <row r="49" spans="1:40" ht="16.7" customHeight="1" x14ac:dyDescent="0.2">
      <c r="A49" s="2497">
        <v>40</v>
      </c>
      <c r="B49" s="2502" t="s">
        <v>6279</v>
      </c>
      <c r="C49" s="2509"/>
      <c r="D49" s="2527">
        <v>1727324</v>
      </c>
      <c r="E49" s="2527">
        <f t="shared" si="2"/>
        <v>1060447</v>
      </c>
      <c r="F49" s="2509"/>
      <c r="G49" s="2509"/>
      <c r="H49" s="2533"/>
      <c r="I49" s="2532"/>
      <c r="J49" s="2532"/>
      <c r="K49" s="2532"/>
      <c r="L49" s="2532"/>
      <c r="M49" s="2532"/>
      <c r="N49" s="2479"/>
      <c r="Q49" s="2519"/>
      <c r="R49" s="2551" t="s">
        <v>6036</v>
      </c>
      <c r="S49" s="2556">
        <v>581487</v>
      </c>
      <c r="T49" s="2508">
        <v>0</v>
      </c>
      <c r="U49" s="2508">
        <v>0</v>
      </c>
      <c r="V49" s="2508">
        <v>1060447</v>
      </c>
      <c r="W49" s="2508">
        <v>830372</v>
      </c>
      <c r="X49" s="2508">
        <v>664195</v>
      </c>
      <c r="Y49" s="2508">
        <v>468844</v>
      </c>
      <c r="Z49" s="2508">
        <v>2363941</v>
      </c>
      <c r="AA49" s="2508">
        <v>1471376</v>
      </c>
      <c r="AB49" s="2508">
        <v>829624</v>
      </c>
      <c r="AC49" s="2511"/>
      <c r="AD49" s="2511"/>
      <c r="AE49" s="2501"/>
      <c r="AF49" s="2501"/>
      <c r="AG49" s="2501"/>
      <c r="AH49" s="2501"/>
      <c r="AI49" s="2501"/>
      <c r="AJ49" s="2501"/>
      <c r="AK49" s="2501"/>
      <c r="AL49" s="2501"/>
      <c r="AM49" s="2501"/>
      <c r="AN49" s="2501"/>
    </row>
    <row r="50" spans="1:40" ht="16.7" customHeight="1" x14ac:dyDescent="0.2">
      <c r="A50" s="2497">
        <v>41</v>
      </c>
      <c r="B50" s="2502" t="s">
        <v>6280</v>
      </c>
      <c r="C50" s="2509"/>
      <c r="D50" s="2527">
        <f>SUM(D40,D42,D44:D49)-SUM(D41,D43)</f>
        <v>265064042</v>
      </c>
      <c r="E50" s="2527">
        <f>SUM(E40,E42,E44:E49)-SUM(E41,E43)</f>
        <v>131340131</v>
      </c>
      <c r="F50" s="2509"/>
      <c r="G50" s="2509"/>
      <c r="H50" s="2533"/>
      <c r="I50" s="2533"/>
      <c r="J50" s="2533"/>
      <c r="K50" s="2533"/>
      <c r="L50" s="2533"/>
      <c r="M50" s="2533"/>
      <c r="N50" s="2479"/>
      <c r="Q50" s="2519"/>
      <c r="R50" s="2551" t="s">
        <v>6038</v>
      </c>
      <c r="S50" s="2556">
        <f>SUM(S40,S42,S44:S49)-SUM(S41,S43)</f>
        <v>178684914</v>
      </c>
      <c r="T50" s="2508">
        <f>SUM(T40,T42,T44:T49)-SUM(T41,T43)</f>
        <v>100706519</v>
      </c>
      <c r="U50" s="2508">
        <f>SUM(U40,U42,U44:U49)-SUM(U41,U43)</f>
        <v>48262464</v>
      </c>
      <c r="V50" s="2508">
        <f>SUM(V40,V42,V44:V49)-SUM(V41,V43)</f>
        <v>131340131</v>
      </c>
      <c r="W50" s="2508">
        <v>88113849</v>
      </c>
      <c r="X50" s="2508">
        <v>53593466</v>
      </c>
      <c r="Y50" s="2508">
        <v>26270643</v>
      </c>
      <c r="Z50" s="2508">
        <v>101361619</v>
      </c>
      <c r="AA50" s="2508">
        <v>74614041</v>
      </c>
      <c r="AB50" s="2508">
        <v>44375332</v>
      </c>
      <c r="AC50" s="2511"/>
      <c r="AD50" s="2511"/>
      <c r="AE50" s="2501"/>
      <c r="AF50" s="2501"/>
      <c r="AG50" s="2501"/>
      <c r="AH50" s="2501"/>
      <c r="AI50" s="2501"/>
      <c r="AJ50" s="2501"/>
      <c r="AK50" s="2501"/>
      <c r="AL50" s="2501"/>
      <c r="AM50" s="2501"/>
      <c r="AN50" s="2501"/>
    </row>
    <row r="51" spans="1:40" ht="15.75" customHeight="1" x14ac:dyDescent="0.2">
      <c r="A51" s="2497">
        <v>42</v>
      </c>
      <c r="B51" s="2512" t="s">
        <v>6281</v>
      </c>
      <c r="C51" s="2488"/>
      <c r="D51" s="2548" t="s">
        <v>97</v>
      </c>
      <c r="E51" s="2548" t="s">
        <v>97</v>
      </c>
      <c r="F51" s="2548"/>
      <c r="G51" s="2548"/>
      <c r="H51" s="2548" t="s">
        <v>97</v>
      </c>
      <c r="I51" s="2548" t="s">
        <v>97</v>
      </c>
      <c r="J51" s="2548"/>
      <c r="K51" s="2548"/>
      <c r="L51" s="2548"/>
      <c r="M51" s="2548"/>
      <c r="N51" s="2479"/>
      <c r="Q51" s="2519"/>
      <c r="R51" s="2551" t="s">
        <v>6040</v>
      </c>
      <c r="S51" s="2554"/>
      <c r="T51" s="2511"/>
      <c r="U51" s="2511"/>
      <c r="V51" s="2511"/>
      <c r="W51" s="2511"/>
      <c r="X51" s="2511"/>
      <c r="Y51" s="2511"/>
      <c r="Z51" s="2511"/>
      <c r="AA51" s="2511"/>
      <c r="AB51" s="2511"/>
      <c r="AC51" s="2511"/>
      <c r="AD51" s="2511"/>
      <c r="AE51" s="2501"/>
      <c r="AF51" s="2501"/>
      <c r="AG51" s="2501"/>
      <c r="AH51" s="2501"/>
      <c r="AI51" s="2501"/>
      <c r="AJ51" s="2501"/>
      <c r="AK51" s="2501"/>
      <c r="AL51" s="2501"/>
      <c r="AM51" s="2501"/>
      <c r="AN51" s="2501"/>
    </row>
    <row r="52" spans="1:40" ht="16.7" customHeight="1" x14ac:dyDescent="0.2">
      <c r="A52" s="2497">
        <v>43</v>
      </c>
      <c r="B52" s="2502" t="s">
        <v>6282</v>
      </c>
      <c r="C52" s="2509"/>
      <c r="D52" s="2527">
        <v>0</v>
      </c>
      <c r="E52" s="2527">
        <f t="shared" ref="E52:E58" si="3">SUMIF(R:R,A52,V:V)</f>
        <v>31</v>
      </c>
      <c r="F52" s="2509"/>
      <c r="G52" s="2509"/>
      <c r="H52" s="2533"/>
      <c r="I52" s="2532"/>
      <c r="J52" s="2532"/>
      <c r="K52" s="2532"/>
      <c r="L52" s="2532"/>
      <c r="M52" s="2532"/>
      <c r="N52" s="2479"/>
      <c r="Q52" s="2519"/>
      <c r="R52" s="2551" t="s">
        <v>6042</v>
      </c>
      <c r="S52" s="2556">
        <v>0</v>
      </c>
      <c r="T52" s="2508">
        <v>0</v>
      </c>
      <c r="U52" s="2508">
        <v>0</v>
      </c>
      <c r="V52" s="2508">
        <v>31</v>
      </c>
      <c r="W52" s="2508">
        <v>0</v>
      </c>
      <c r="X52" s="2511"/>
      <c r="Y52" s="2508">
        <v>0</v>
      </c>
      <c r="Z52" s="2508">
        <v>1472</v>
      </c>
      <c r="AA52" s="2508">
        <v>1472</v>
      </c>
      <c r="AB52" s="2508">
        <v>0</v>
      </c>
      <c r="AC52" s="2511"/>
      <c r="AD52" s="2511"/>
      <c r="AE52" s="2501"/>
      <c r="AF52" s="2501"/>
      <c r="AG52" s="2501"/>
      <c r="AH52" s="2501"/>
      <c r="AI52" s="2501"/>
      <c r="AJ52" s="2501"/>
      <c r="AK52" s="2501"/>
      <c r="AL52" s="2501"/>
      <c r="AM52" s="2501"/>
      <c r="AN52" s="2501"/>
    </row>
    <row r="53" spans="1:40" ht="16.7" customHeight="1" x14ac:dyDescent="0.2">
      <c r="A53" s="2497">
        <v>44</v>
      </c>
      <c r="B53" s="2502" t="s">
        <v>6283</v>
      </c>
      <c r="C53" s="2509"/>
      <c r="D53" s="2527">
        <v>1413722</v>
      </c>
      <c r="E53" s="2527">
        <f t="shared" si="3"/>
        <v>1331741</v>
      </c>
      <c r="F53" s="2509"/>
      <c r="G53" s="2509"/>
      <c r="H53" s="2533"/>
      <c r="I53" s="2532"/>
      <c r="J53" s="2532"/>
      <c r="K53" s="2532"/>
      <c r="L53" s="2532"/>
      <c r="M53" s="2532"/>
      <c r="N53" s="2479"/>
      <c r="Q53" s="2519"/>
      <c r="R53" s="2551" t="s">
        <v>6044</v>
      </c>
      <c r="S53" s="2556">
        <v>1056342</v>
      </c>
      <c r="T53" s="2508">
        <v>702630</v>
      </c>
      <c r="U53" s="2508">
        <v>349111</v>
      </c>
      <c r="V53" s="2508">
        <v>1331741</v>
      </c>
      <c r="W53" s="2508">
        <v>997844</v>
      </c>
      <c r="X53" s="2508">
        <v>664914</v>
      </c>
      <c r="Y53" s="2508">
        <v>332378</v>
      </c>
      <c r="Z53" s="2508">
        <v>1331000</v>
      </c>
      <c r="AA53" s="2508">
        <v>997375</v>
      </c>
      <c r="AB53" s="2508">
        <v>663428</v>
      </c>
      <c r="AC53" s="2501"/>
      <c r="AD53" s="2501"/>
      <c r="AE53" s="2501"/>
      <c r="AF53" s="2501"/>
      <c r="AG53" s="2501"/>
      <c r="AH53" s="2501"/>
      <c r="AI53" s="2501"/>
      <c r="AJ53" s="2501"/>
      <c r="AK53" s="2501"/>
      <c r="AL53" s="2501"/>
      <c r="AM53" s="2501"/>
      <c r="AN53" s="2501"/>
    </row>
    <row r="54" spans="1:40" ht="16.7" customHeight="1" x14ac:dyDescent="0.2">
      <c r="A54" s="2497">
        <v>45</v>
      </c>
      <c r="B54" s="2502" t="s">
        <v>6284</v>
      </c>
      <c r="C54" s="2509"/>
      <c r="D54" s="2527">
        <v>2578350</v>
      </c>
      <c r="E54" s="2527">
        <f t="shared" si="3"/>
        <v>2441962</v>
      </c>
      <c r="F54" s="2509"/>
      <c r="G54" s="2509"/>
      <c r="H54" s="2533"/>
      <c r="I54" s="2532"/>
      <c r="J54" s="2532"/>
      <c r="K54" s="2532"/>
      <c r="L54" s="2532"/>
      <c r="M54" s="2532"/>
      <c r="N54" s="2479"/>
      <c r="Q54" s="2519"/>
      <c r="R54" s="2551" t="s">
        <v>6046</v>
      </c>
      <c r="S54" s="2556">
        <v>1951694</v>
      </c>
      <c r="T54" s="2508">
        <v>1441640</v>
      </c>
      <c r="U54" s="2508">
        <v>817863</v>
      </c>
      <c r="V54" s="2508">
        <v>2441962</v>
      </c>
      <c r="W54" s="2508">
        <v>1974415</v>
      </c>
      <c r="X54" s="2508">
        <v>1406525</v>
      </c>
      <c r="Y54" s="2508">
        <v>646135</v>
      </c>
      <c r="Z54" s="2508">
        <v>2445690</v>
      </c>
      <c r="AA54" s="2508">
        <v>1695348</v>
      </c>
      <c r="AB54" s="2508">
        <v>1054298</v>
      </c>
      <c r="AC54" s="2511"/>
      <c r="AD54" s="2511"/>
      <c r="AE54" s="2501"/>
      <c r="AF54" s="2501"/>
      <c r="AG54" s="2501"/>
      <c r="AH54" s="2501"/>
      <c r="AI54" s="2501"/>
      <c r="AJ54" s="2501"/>
      <c r="AK54" s="2501"/>
      <c r="AL54" s="2501"/>
      <c r="AM54" s="2501"/>
      <c r="AN54" s="2501"/>
    </row>
    <row r="55" spans="1:40" ht="16.7" customHeight="1" x14ac:dyDescent="0.2">
      <c r="A55" s="2497">
        <v>46</v>
      </c>
      <c r="B55" s="2502" t="s">
        <v>6285</v>
      </c>
      <c r="C55" s="2509"/>
      <c r="D55" s="2527">
        <v>-9212248</v>
      </c>
      <c r="E55" s="2527">
        <f t="shared" si="3"/>
        <v>1221220</v>
      </c>
      <c r="F55" s="2509"/>
      <c r="G55" s="2509"/>
      <c r="H55" s="2533"/>
      <c r="I55" s="2532"/>
      <c r="J55" s="2532"/>
      <c r="K55" s="2532"/>
      <c r="L55" s="2532"/>
      <c r="M55" s="2532"/>
      <c r="N55" s="2479"/>
      <c r="Q55" s="2519"/>
      <c r="R55" s="2551" t="s">
        <v>6048</v>
      </c>
      <c r="S55" s="2556">
        <v>-4875616</v>
      </c>
      <c r="T55" s="2508">
        <v>-5073409</v>
      </c>
      <c r="U55" s="2508">
        <v>-2358363</v>
      </c>
      <c r="V55" s="2508">
        <v>1221220</v>
      </c>
      <c r="W55" s="2508">
        <v>4299914</v>
      </c>
      <c r="X55" s="2508">
        <v>3865579</v>
      </c>
      <c r="Y55" s="2508">
        <v>680933</v>
      </c>
      <c r="Z55" s="2508">
        <v>-10128246</v>
      </c>
      <c r="AA55" s="2508">
        <v>-5655449</v>
      </c>
      <c r="AB55" s="2508">
        <v>-4862362</v>
      </c>
      <c r="AC55" s="2511"/>
      <c r="AD55" s="2511"/>
      <c r="AE55" s="2501"/>
      <c r="AF55" s="2501"/>
      <c r="AG55" s="2501"/>
      <c r="AH55" s="2501"/>
      <c r="AI55" s="2501"/>
      <c r="AJ55" s="2501"/>
      <c r="AK55" s="2501"/>
      <c r="AL55" s="2501"/>
      <c r="AM55" s="2501"/>
      <c r="AN55" s="2501"/>
    </row>
    <row r="56" spans="1:40" ht="16.7" customHeight="1" x14ac:dyDescent="0.2">
      <c r="A56" s="2497">
        <v>47</v>
      </c>
      <c r="B56" s="2502" t="s">
        <v>6286</v>
      </c>
      <c r="C56" s="2509"/>
      <c r="D56" s="2527">
        <v>24951</v>
      </c>
      <c r="E56" s="2527">
        <f t="shared" si="3"/>
        <v>-54691</v>
      </c>
      <c r="F56" s="2509"/>
      <c r="G56" s="2509"/>
      <c r="H56" s="2533"/>
      <c r="I56" s="2532"/>
      <c r="J56" s="2532"/>
      <c r="K56" s="2532"/>
      <c r="L56" s="2532"/>
      <c r="M56" s="2532"/>
      <c r="N56" s="2479"/>
      <c r="Q56" s="2519"/>
      <c r="R56" s="2551" t="s">
        <v>6050</v>
      </c>
      <c r="S56" s="2556">
        <v>23797</v>
      </c>
      <c r="T56" s="2508">
        <v>23269</v>
      </c>
      <c r="U56" s="2508">
        <v>24992</v>
      </c>
      <c r="V56" s="2508">
        <v>-54691</v>
      </c>
      <c r="W56" s="2508">
        <v>38370</v>
      </c>
      <c r="X56" s="2508">
        <v>22241</v>
      </c>
      <c r="Y56" s="2508">
        <v>21874</v>
      </c>
      <c r="Z56" s="2508">
        <v>50152</v>
      </c>
      <c r="AA56" s="2508">
        <v>24551</v>
      </c>
      <c r="AB56" s="2508">
        <v>7659</v>
      </c>
      <c r="AC56" s="2511"/>
      <c r="AD56" s="2511"/>
      <c r="AE56" s="2501"/>
      <c r="AF56" s="2501"/>
      <c r="AG56" s="2501"/>
      <c r="AH56" s="2501"/>
      <c r="AI56" s="2501"/>
      <c r="AJ56" s="2501"/>
      <c r="AK56" s="2501"/>
      <c r="AL56" s="2501"/>
      <c r="AM56" s="2501"/>
      <c r="AN56" s="2501"/>
    </row>
    <row r="57" spans="1:40" ht="16.7" customHeight="1" x14ac:dyDescent="0.2">
      <c r="A57" s="2497">
        <v>48</v>
      </c>
      <c r="B57" s="2502" t="s">
        <v>6287</v>
      </c>
      <c r="C57" s="2509"/>
      <c r="D57" s="2527">
        <v>2655807</v>
      </c>
      <c r="E57" s="2527">
        <f t="shared" si="3"/>
        <v>1353122</v>
      </c>
      <c r="F57" s="2509"/>
      <c r="G57" s="2509"/>
      <c r="H57" s="2533"/>
      <c r="I57" s="2532"/>
      <c r="J57" s="2532"/>
      <c r="K57" s="2532"/>
      <c r="L57" s="2532"/>
      <c r="M57" s="2532"/>
      <c r="N57" s="2479"/>
      <c r="Q57" s="2519"/>
      <c r="R57" s="2551" t="s">
        <v>6052</v>
      </c>
      <c r="S57" s="2556">
        <v>1790689</v>
      </c>
      <c r="T57" s="2508">
        <v>1015980</v>
      </c>
      <c r="U57" s="2508">
        <v>466430</v>
      </c>
      <c r="V57" s="2508">
        <v>1353122</v>
      </c>
      <c r="W57" s="2508">
        <v>1027704</v>
      </c>
      <c r="X57" s="2508">
        <v>614552</v>
      </c>
      <c r="Y57" s="2508">
        <v>300569</v>
      </c>
      <c r="Z57" s="2508">
        <v>1146393</v>
      </c>
      <c r="AA57" s="2508">
        <v>772669</v>
      </c>
      <c r="AB57" s="2508">
        <v>502905</v>
      </c>
      <c r="AC57" s="2511"/>
      <c r="AD57" s="2511"/>
      <c r="AE57" s="2501"/>
      <c r="AF57" s="2501"/>
      <c r="AG57" s="2501"/>
      <c r="AH57" s="2501"/>
      <c r="AI57" s="2501"/>
      <c r="AJ57" s="2501"/>
      <c r="AK57" s="2501"/>
      <c r="AL57" s="2501"/>
      <c r="AM57" s="2501"/>
      <c r="AN57" s="2501"/>
    </row>
    <row r="58" spans="1:40" ht="16.7" customHeight="1" x14ac:dyDescent="0.2">
      <c r="A58" s="2497">
        <v>49</v>
      </c>
      <c r="B58" s="2502" t="s">
        <v>6288</v>
      </c>
      <c r="C58" s="2509"/>
      <c r="D58" s="2527">
        <v>4995431</v>
      </c>
      <c r="E58" s="2527">
        <f t="shared" si="3"/>
        <v>3532867</v>
      </c>
      <c r="F58" s="2509"/>
      <c r="G58" s="2509"/>
      <c r="H58" s="2533"/>
      <c r="I58" s="2532"/>
      <c r="J58" s="2532"/>
      <c r="K58" s="2532"/>
      <c r="L58" s="2532"/>
      <c r="M58" s="2532"/>
      <c r="N58" s="2479"/>
      <c r="Q58" s="2519"/>
      <c r="R58" s="2551" t="s">
        <v>6054</v>
      </c>
      <c r="S58" s="2556">
        <v>1973184</v>
      </c>
      <c r="T58" s="2508">
        <v>2253898</v>
      </c>
      <c r="U58" s="2508">
        <v>912690</v>
      </c>
      <c r="V58" s="2508">
        <v>3532867</v>
      </c>
      <c r="W58" s="2508">
        <v>-2786967</v>
      </c>
      <c r="X58" s="2508">
        <v>-2072666</v>
      </c>
      <c r="Y58" s="2508">
        <v>-751648</v>
      </c>
      <c r="Z58" s="2508">
        <v>7903583</v>
      </c>
      <c r="AA58" s="2508">
        <v>1794700</v>
      </c>
      <c r="AB58" s="2508">
        <v>1945184</v>
      </c>
      <c r="AC58" s="2511"/>
      <c r="AD58" s="2511"/>
      <c r="AE58" s="2501"/>
      <c r="AF58" s="2501"/>
      <c r="AG58" s="2501"/>
      <c r="AH58" s="2501"/>
      <c r="AI58" s="2501"/>
      <c r="AJ58" s="2501"/>
      <c r="AK58" s="2501"/>
      <c r="AL58" s="2501"/>
      <c r="AM58" s="2501"/>
      <c r="AN58" s="2501"/>
    </row>
    <row r="59" spans="1:40" ht="16.7" customHeight="1" x14ac:dyDescent="0.2">
      <c r="A59" s="2497">
        <v>50</v>
      </c>
      <c r="B59" s="2502" t="s">
        <v>6289</v>
      </c>
      <c r="C59" s="2509"/>
      <c r="D59" s="2527">
        <f>SUM(D52:D58)</f>
        <v>2456013</v>
      </c>
      <c r="E59" s="2527">
        <f>SUM(E52:E58)</f>
        <v>9826252</v>
      </c>
      <c r="F59" s="2509"/>
      <c r="G59" s="2509"/>
      <c r="H59" s="2533"/>
      <c r="I59" s="2533"/>
      <c r="J59" s="2533"/>
      <c r="K59" s="2533"/>
      <c r="L59" s="2533"/>
      <c r="M59" s="2533"/>
      <c r="N59" s="2479"/>
      <c r="Q59" s="2519"/>
      <c r="R59" s="2551" t="s">
        <v>6056</v>
      </c>
      <c r="S59" s="2556">
        <f>SUM(S52:S58)</f>
        <v>1920090</v>
      </c>
      <c r="T59" s="2508">
        <f>SUM(T52:T58)</f>
        <v>364008</v>
      </c>
      <c r="U59" s="2508">
        <f>SUM(U52:U58)</f>
        <v>212723</v>
      </c>
      <c r="V59" s="2508">
        <f>SUM(V52:V58)</f>
        <v>9826252</v>
      </c>
      <c r="W59" s="2508">
        <v>5551280</v>
      </c>
      <c r="X59" s="2508">
        <v>4501145</v>
      </c>
      <c r="Y59" s="2508">
        <v>1230241</v>
      </c>
      <c r="Z59" s="2508">
        <v>2750044</v>
      </c>
      <c r="AA59" s="2508">
        <v>-369334</v>
      </c>
      <c r="AB59" s="2508">
        <v>-688888</v>
      </c>
      <c r="AC59" s="2511"/>
      <c r="AD59" s="2511"/>
      <c r="AE59" s="2501"/>
      <c r="AF59" s="2501"/>
      <c r="AG59" s="2501"/>
      <c r="AH59" s="2501"/>
      <c r="AI59" s="2501"/>
      <c r="AJ59" s="2501"/>
      <c r="AK59" s="2501"/>
      <c r="AL59" s="2501"/>
      <c r="AM59" s="2501"/>
      <c r="AN59" s="2501"/>
    </row>
    <row r="60" spans="1:40" ht="15.75" customHeight="1" x14ac:dyDescent="0.2">
      <c r="A60" s="2497">
        <v>51</v>
      </c>
      <c r="B60" s="2512" t="s">
        <v>6290</v>
      </c>
      <c r="C60" s="2488"/>
      <c r="D60" s="2548"/>
      <c r="E60" s="2548"/>
      <c r="F60" s="2548"/>
      <c r="G60" s="2548"/>
      <c r="H60" s="2548"/>
      <c r="I60" s="2548"/>
      <c r="J60" s="2548"/>
      <c r="K60" s="2548"/>
      <c r="L60" s="2548"/>
      <c r="M60" s="2548"/>
      <c r="N60" s="2479"/>
      <c r="Q60" s="2519"/>
      <c r="R60" s="2551" t="s">
        <v>6059</v>
      </c>
      <c r="S60" s="2554"/>
      <c r="T60" s="2511"/>
      <c r="U60" s="2511"/>
      <c r="V60" s="2511"/>
      <c r="W60" s="2511"/>
      <c r="X60" s="2511"/>
      <c r="Y60" s="2511"/>
      <c r="Z60" s="2511"/>
      <c r="AA60" s="2511"/>
      <c r="AB60" s="2511"/>
      <c r="AC60" s="2511"/>
      <c r="AD60" s="2511"/>
      <c r="AE60" s="2501"/>
      <c r="AF60" s="2501"/>
      <c r="AG60" s="2501"/>
      <c r="AH60" s="2501"/>
      <c r="AI60" s="2501"/>
      <c r="AJ60" s="2501"/>
      <c r="AK60" s="2501"/>
      <c r="AL60" s="2501"/>
      <c r="AM60" s="2501"/>
      <c r="AN60" s="2501"/>
    </row>
    <row r="61" spans="1:40" ht="16.7" customHeight="1" x14ac:dyDescent="0.2">
      <c r="A61" s="2497">
        <v>52</v>
      </c>
      <c r="B61" s="2502" t="s">
        <v>6291</v>
      </c>
      <c r="C61" s="2503" t="s">
        <v>832</v>
      </c>
      <c r="D61" s="2527">
        <v>317207</v>
      </c>
      <c r="E61" s="2527">
        <f t="shared" ref="E61:E67" si="4">SUMIF(R:R,A61,V:V)</f>
        <v>331830</v>
      </c>
      <c r="F61" s="2509"/>
      <c r="G61" s="2509"/>
      <c r="H61" s="2533"/>
      <c r="I61" s="2532"/>
      <c r="J61" s="2532"/>
      <c r="K61" s="2532"/>
      <c r="L61" s="2532"/>
      <c r="M61" s="2532"/>
      <c r="N61" s="2479"/>
      <c r="Q61" s="2519"/>
      <c r="R61" s="2551" t="s">
        <v>6061</v>
      </c>
      <c r="S61" s="2556">
        <v>229297</v>
      </c>
      <c r="T61" s="2508">
        <v>149827</v>
      </c>
      <c r="U61" s="2508">
        <v>56457</v>
      </c>
      <c r="V61" s="2508">
        <v>331830</v>
      </c>
      <c r="W61" s="2508">
        <v>225031</v>
      </c>
      <c r="X61" s="2508">
        <v>156084</v>
      </c>
      <c r="Y61" s="2508">
        <v>88859</v>
      </c>
      <c r="Z61" s="2508">
        <v>332818</v>
      </c>
      <c r="AA61" s="2508">
        <v>229795</v>
      </c>
      <c r="AB61" s="2508">
        <v>160146</v>
      </c>
      <c r="AC61" s="2511"/>
      <c r="AD61" s="2511"/>
      <c r="AE61" s="2501"/>
      <c r="AF61" s="2501"/>
      <c r="AG61" s="2501"/>
      <c r="AH61" s="2501"/>
      <c r="AI61" s="2501"/>
      <c r="AJ61" s="2501"/>
      <c r="AK61" s="2501"/>
      <c r="AL61" s="2501"/>
      <c r="AM61" s="2501"/>
      <c r="AN61" s="2501"/>
    </row>
    <row r="62" spans="1:40" ht="16.7" customHeight="1" x14ac:dyDescent="0.2">
      <c r="A62" s="2497">
        <v>53</v>
      </c>
      <c r="B62" s="2502" t="s">
        <v>6292</v>
      </c>
      <c r="C62" s="2503" t="s">
        <v>832</v>
      </c>
      <c r="D62" s="2527">
        <v>17772582</v>
      </c>
      <c r="E62" s="2527">
        <f t="shared" si="4"/>
        <v>6925565</v>
      </c>
      <c r="F62" s="2509"/>
      <c r="G62" s="2509"/>
      <c r="H62" s="2533"/>
      <c r="I62" s="2532"/>
      <c r="J62" s="2532"/>
      <c r="K62" s="2532"/>
      <c r="L62" s="2532"/>
      <c r="M62" s="2532"/>
      <c r="N62" s="2479"/>
      <c r="Q62" s="2519"/>
      <c r="R62" s="2551" t="s">
        <v>6063</v>
      </c>
      <c r="S62" s="2556">
        <v>12948364</v>
      </c>
      <c r="T62" s="2508">
        <v>8020860</v>
      </c>
      <c r="U62" s="2508">
        <v>2974295</v>
      </c>
      <c r="V62" s="2508">
        <v>6925565</v>
      </c>
      <c r="W62" s="2508">
        <v>3621825</v>
      </c>
      <c r="X62" s="2508">
        <v>660249</v>
      </c>
      <c r="Y62" s="2508">
        <v>104453</v>
      </c>
      <c r="Z62" s="2508">
        <v>4382388</v>
      </c>
      <c r="AA62" s="2508">
        <v>3149963</v>
      </c>
      <c r="AB62" s="2508">
        <v>2111206</v>
      </c>
      <c r="AC62" s="2501"/>
      <c r="AD62" s="2501"/>
      <c r="AE62" s="2501"/>
      <c r="AF62" s="2501"/>
      <c r="AG62" s="2501"/>
      <c r="AH62" s="2501"/>
      <c r="AI62" s="2501"/>
      <c r="AJ62" s="2501"/>
      <c r="AK62" s="2501"/>
      <c r="AL62" s="2501"/>
      <c r="AM62" s="2501"/>
      <c r="AN62" s="2501"/>
    </row>
    <row r="63" spans="1:40" ht="16.7" customHeight="1" x14ac:dyDescent="0.2">
      <c r="A63" s="2497">
        <v>54</v>
      </c>
      <c r="B63" s="2502" t="s">
        <v>6293</v>
      </c>
      <c r="C63" s="2503" t="s">
        <v>832</v>
      </c>
      <c r="D63" s="2527">
        <v>4025002</v>
      </c>
      <c r="E63" s="2527">
        <f t="shared" si="4"/>
        <v>1568448</v>
      </c>
      <c r="F63" s="2509"/>
      <c r="G63" s="2509"/>
      <c r="H63" s="2533"/>
      <c r="I63" s="2532"/>
      <c r="J63" s="2532"/>
      <c r="K63" s="2532"/>
      <c r="L63" s="2532"/>
      <c r="M63" s="2532"/>
      <c r="N63" s="2479"/>
      <c r="Q63" s="2519"/>
      <c r="R63" s="2551" t="s">
        <v>6065</v>
      </c>
      <c r="S63" s="2556">
        <v>2932450</v>
      </c>
      <c r="T63" s="2508">
        <v>1816507</v>
      </c>
      <c r="U63" s="2508">
        <v>673595</v>
      </c>
      <c r="V63" s="2508">
        <v>1568448</v>
      </c>
      <c r="W63" s="2508">
        <v>820243</v>
      </c>
      <c r="X63" s="2508">
        <v>149528</v>
      </c>
      <c r="Y63" s="2508">
        <v>23655</v>
      </c>
      <c r="Z63" s="2508">
        <v>992489</v>
      </c>
      <c r="AA63" s="2508">
        <v>713379</v>
      </c>
      <c r="AB63" s="2508">
        <v>478130</v>
      </c>
      <c r="AC63" s="2511"/>
      <c r="AD63" s="2511"/>
      <c r="AE63" s="2501"/>
      <c r="AF63" s="2501"/>
      <c r="AG63" s="2501"/>
      <c r="AH63" s="2501"/>
      <c r="AI63" s="2501"/>
      <c r="AJ63" s="2501"/>
      <c r="AK63" s="2501"/>
      <c r="AL63" s="2501"/>
      <c r="AM63" s="2501"/>
      <c r="AN63" s="2501"/>
    </row>
    <row r="64" spans="1:40" ht="16.7" customHeight="1" x14ac:dyDescent="0.2">
      <c r="A64" s="2497">
        <v>55</v>
      </c>
      <c r="B64" s="2502" t="s">
        <v>6294</v>
      </c>
      <c r="C64" s="2503" t="s">
        <v>6256</v>
      </c>
      <c r="D64" s="2527">
        <v>277266968</v>
      </c>
      <c r="E64" s="2527">
        <f t="shared" si="4"/>
        <v>468056659</v>
      </c>
      <c r="F64" s="2509"/>
      <c r="G64" s="2509"/>
      <c r="H64" s="2533"/>
      <c r="I64" s="2532"/>
      <c r="J64" s="2532"/>
      <c r="K64" s="2532"/>
      <c r="L64" s="2532"/>
      <c r="M64" s="2532"/>
      <c r="N64" s="2479"/>
      <c r="Q64" s="2519"/>
      <c r="R64" s="2551" t="s">
        <v>6067</v>
      </c>
      <c r="S64" s="2556">
        <v>199024667</v>
      </c>
      <c r="T64" s="2508">
        <v>162822090</v>
      </c>
      <c r="U64" s="2508">
        <v>106552418</v>
      </c>
      <c r="V64" s="2508">
        <v>468056659</v>
      </c>
      <c r="W64" s="2508">
        <v>405724610</v>
      </c>
      <c r="X64" s="2508">
        <v>312241812</v>
      </c>
      <c r="Y64" s="2508">
        <v>46857301</v>
      </c>
      <c r="Z64" s="2508">
        <v>91464238</v>
      </c>
      <c r="AA64" s="2508">
        <v>63661711</v>
      </c>
      <c r="AB64" s="2508">
        <v>39652916</v>
      </c>
      <c r="AC64" s="2511"/>
      <c r="AD64" s="2511"/>
      <c r="AE64" s="2501"/>
      <c r="AF64" s="2501"/>
      <c r="AG64" s="2501"/>
      <c r="AH64" s="2501"/>
      <c r="AI64" s="2501"/>
      <c r="AJ64" s="2501"/>
      <c r="AK64" s="2501"/>
      <c r="AL64" s="2501"/>
      <c r="AM64" s="2501"/>
      <c r="AN64" s="2501"/>
    </row>
    <row r="65" spans="1:40" ht="16.7" customHeight="1" x14ac:dyDescent="0.2">
      <c r="A65" s="2497">
        <v>56</v>
      </c>
      <c r="B65" s="2502" t="s">
        <v>6295</v>
      </c>
      <c r="C65" s="2503" t="s">
        <v>6256</v>
      </c>
      <c r="D65" s="2527">
        <v>276592758</v>
      </c>
      <c r="E65" s="2527">
        <f t="shared" si="4"/>
        <v>467729785</v>
      </c>
      <c r="F65" s="2509"/>
      <c r="G65" s="2509"/>
      <c r="H65" s="2533"/>
      <c r="I65" s="2532"/>
      <c r="J65" s="2532"/>
      <c r="K65" s="2532"/>
      <c r="L65" s="2532"/>
      <c r="M65" s="2532"/>
      <c r="N65" s="2479"/>
      <c r="Q65" s="2519"/>
      <c r="R65" s="2551" t="s">
        <v>6069</v>
      </c>
      <c r="S65" s="2556">
        <v>198236197</v>
      </c>
      <c r="T65" s="2508">
        <v>162061210</v>
      </c>
      <c r="U65" s="2508">
        <v>105817466</v>
      </c>
      <c r="V65" s="2508">
        <v>467729785</v>
      </c>
      <c r="W65" s="2508">
        <v>404679439</v>
      </c>
      <c r="X65" s="2508">
        <v>311158076</v>
      </c>
      <c r="Y65" s="2508">
        <v>45755477</v>
      </c>
      <c r="Z65" s="2508">
        <v>91395252</v>
      </c>
      <c r="AA65" s="2508">
        <v>62972631</v>
      </c>
      <c r="AB65" s="2508">
        <v>38987360</v>
      </c>
      <c r="AC65" s="2511"/>
      <c r="AD65" s="2511"/>
      <c r="AE65" s="2501"/>
      <c r="AF65" s="2501"/>
      <c r="AG65" s="2501"/>
      <c r="AH65" s="2501"/>
      <c r="AI65" s="2501"/>
      <c r="AJ65" s="2501"/>
      <c r="AK65" s="2501"/>
      <c r="AL65" s="2501"/>
      <c r="AM65" s="2501"/>
      <c r="AN65" s="2501"/>
    </row>
    <row r="66" spans="1:40" ht="16.7" customHeight="1" x14ac:dyDescent="0.2">
      <c r="A66" s="2497">
        <v>57</v>
      </c>
      <c r="B66" s="2502" t="s">
        <v>6296</v>
      </c>
      <c r="C66" s="2509"/>
      <c r="D66" s="2527">
        <v>0</v>
      </c>
      <c r="E66" s="2527">
        <f t="shared" si="4"/>
        <v>0</v>
      </c>
      <c r="F66" s="2509"/>
      <c r="G66" s="2509"/>
      <c r="H66" s="2533"/>
      <c r="I66" s="2532"/>
      <c r="J66" s="2532"/>
      <c r="K66" s="2532"/>
      <c r="L66" s="2532"/>
      <c r="M66" s="2532"/>
      <c r="N66" s="2479"/>
      <c r="Q66" s="2519"/>
      <c r="R66" s="2551" t="s">
        <v>6071</v>
      </c>
      <c r="S66" s="2556">
        <v>0</v>
      </c>
      <c r="T66" s="2508">
        <v>0</v>
      </c>
      <c r="U66" s="2508">
        <v>0</v>
      </c>
      <c r="V66" s="2508">
        <v>0</v>
      </c>
      <c r="W66" s="2508">
        <v>0</v>
      </c>
      <c r="X66" s="2511"/>
      <c r="Y66" s="2508">
        <v>0</v>
      </c>
      <c r="Z66" s="2508">
        <v>0</v>
      </c>
      <c r="AA66" s="2508">
        <v>0</v>
      </c>
      <c r="AB66" s="2508">
        <v>0</v>
      </c>
      <c r="AC66" s="2511"/>
      <c r="AD66" s="2511"/>
      <c r="AE66" s="2501"/>
      <c r="AF66" s="2501"/>
      <c r="AG66" s="2501"/>
      <c r="AH66" s="2501"/>
      <c r="AI66" s="2501"/>
      <c r="AJ66" s="2501"/>
      <c r="AK66" s="2501"/>
      <c r="AL66" s="2501"/>
      <c r="AM66" s="2501"/>
      <c r="AN66" s="2501"/>
    </row>
    <row r="67" spans="1:40" ht="16.7" customHeight="1" x14ac:dyDescent="0.2">
      <c r="A67" s="2497">
        <v>58</v>
      </c>
      <c r="B67" s="2502" t="s">
        <v>6297</v>
      </c>
      <c r="C67" s="2509"/>
      <c r="D67" s="2527">
        <v>-75321</v>
      </c>
      <c r="E67" s="2527">
        <f t="shared" si="4"/>
        <v>2501395</v>
      </c>
      <c r="F67" s="2509"/>
      <c r="G67" s="2509"/>
      <c r="H67" s="2533"/>
      <c r="I67" s="2532"/>
      <c r="J67" s="2532"/>
      <c r="K67" s="2532"/>
      <c r="L67" s="2532"/>
      <c r="M67" s="2532"/>
      <c r="N67" s="2479"/>
      <c r="Q67" s="2519"/>
      <c r="R67" s="2551" t="s">
        <v>6073</v>
      </c>
      <c r="S67" s="2556">
        <v>312804</v>
      </c>
      <c r="T67" s="2508">
        <v>208536</v>
      </c>
      <c r="U67" s="2508">
        <v>104268</v>
      </c>
      <c r="V67" s="2508">
        <v>2501395</v>
      </c>
      <c r="W67" s="2508">
        <v>347383</v>
      </c>
      <c r="X67" s="2508">
        <v>231589</v>
      </c>
      <c r="Y67" s="2508">
        <v>115794</v>
      </c>
      <c r="Z67" s="2508">
        <v>1105184</v>
      </c>
      <c r="AA67" s="2508">
        <v>4886</v>
      </c>
      <c r="AB67" s="2508">
        <v>224180</v>
      </c>
      <c r="AC67" s="2511"/>
      <c r="AD67" s="2511"/>
      <c r="AE67" s="2501"/>
      <c r="AF67" s="2501"/>
      <c r="AG67" s="2501"/>
      <c r="AH67" s="2501"/>
      <c r="AI67" s="2501"/>
      <c r="AJ67" s="2501"/>
      <c r="AK67" s="2501"/>
      <c r="AL67" s="2501"/>
      <c r="AM67" s="2501"/>
      <c r="AN67" s="2501"/>
    </row>
    <row r="68" spans="1:40" ht="16.7" customHeight="1" x14ac:dyDescent="0.2">
      <c r="A68" s="2497">
        <v>59</v>
      </c>
      <c r="B68" s="2502" t="s">
        <v>6298</v>
      </c>
      <c r="C68" s="2509"/>
      <c r="D68" s="2527">
        <f>SUM(D61:D64,D66)-SUM(D65,D67)</f>
        <v>22864322</v>
      </c>
      <c r="E68" s="2527">
        <f>SUM(E61:E64,E66)-SUM(E65,E67)</f>
        <v>6651322</v>
      </c>
      <c r="F68" s="2509"/>
      <c r="G68" s="2509"/>
      <c r="H68" s="2533"/>
      <c r="I68" s="2533"/>
      <c r="J68" s="2533"/>
      <c r="K68" s="2533"/>
      <c r="L68" s="2533"/>
      <c r="M68" s="2533"/>
      <c r="N68" s="2479"/>
      <c r="Q68" s="2519"/>
      <c r="R68" s="2551" t="s">
        <v>6075</v>
      </c>
      <c r="S68" s="2556">
        <f>SUM(S61:S64,S66)-SUM(S65,S67)</f>
        <v>16585777</v>
      </c>
      <c r="T68" s="2508">
        <f>SUM(T61:T64,T66)-SUM(T65,T67)</f>
        <v>10539538</v>
      </c>
      <c r="U68" s="2508">
        <f>SUM(U61:U64,U66)-SUM(U65,U67)</f>
        <v>4335031</v>
      </c>
      <c r="V68" s="2508">
        <f>SUM(V61:V64,V66)-SUM(V65,V67)</f>
        <v>6651322</v>
      </c>
      <c r="W68" s="2508">
        <v>5364887</v>
      </c>
      <c r="X68" s="2508">
        <v>1818008</v>
      </c>
      <c r="Y68" s="2508">
        <v>1202997</v>
      </c>
      <c r="Z68" s="2508">
        <v>4671497</v>
      </c>
      <c r="AA68" s="2508">
        <v>4777331</v>
      </c>
      <c r="AB68" s="2508">
        <v>3190858</v>
      </c>
      <c r="AC68" s="2511"/>
      <c r="AD68" s="2511"/>
      <c r="AE68" s="2501"/>
      <c r="AF68" s="2501"/>
      <c r="AG68" s="2501"/>
      <c r="AH68" s="2501"/>
      <c r="AI68" s="2501"/>
      <c r="AJ68" s="2501"/>
      <c r="AK68" s="2501"/>
      <c r="AL68" s="2501"/>
      <c r="AM68" s="2501"/>
      <c r="AN68" s="2501"/>
    </row>
    <row r="69" spans="1:40" ht="16.7" customHeight="1" x14ac:dyDescent="0.2">
      <c r="A69" s="2497">
        <v>60</v>
      </c>
      <c r="B69" s="2502" t="s">
        <v>6299</v>
      </c>
      <c r="C69" s="2509"/>
      <c r="D69" s="2527">
        <f>D50-D59-D68</f>
        <v>239743707</v>
      </c>
      <c r="E69" s="2527">
        <f>E50-E59-E68</f>
        <v>114862557</v>
      </c>
      <c r="F69" s="2509"/>
      <c r="G69" s="2509"/>
      <c r="H69" s="2533"/>
      <c r="I69" s="2533"/>
      <c r="J69" s="2533"/>
      <c r="K69" s="2533"/>
      <c r="L69" s="2533"/>
      <c r="M69" s="2533"/>
      <c r="N69" s="2479"/>
      <c r="Q69" s="2519"/>
      <c r="R69" s="2551" t="s">
        <v>6077</v>
      </c>
      <c r="S69" s="2556">
        <f>S50-S59-S68</f>
        <v>160179047</v>
      </c>
      <c r="T69" s="2508">
        <f>T50-T59-T68</f>
        <v>89802973</v>
      </c>
      <c r="U69" s="2508">
        <f>U50-U59-U68</f>
        <v>43714710</v>
      </c>
      <c r="V69" s="2508">
        <f>V50-V59-V68</f>
        <v>114862557</v>
      </c>
      <c r="W69" s="2508">
        <v>77197682</v>
      </c>
      <c r="X69" s="2508">
        <v>47274313</v>
      </c>
      <c r="Y69" s="2508">
        <v>23837405</v>
      </c>
      <c r="Z69" s="2508">
        <v>93940078</v>
      </c>
      <c r="AA69" s="2508">
        <v>70206044</v>
      </c>
      <c r="AB69" s="2508">
        <v>41873362</v>
      </c>
      <c r="AC69" s="2511"/>
      <c r="AD69" s="2511"/>
      <c r="AE69" s="2501"/>
      <c r="AF69" s="2501"/>
      <c r="AG69" s="2501"/>
      <c r="AH69" s="2501"/>
      <c r="AI69" s="2501"/>
      <c r="AJ69" s="2501"/>
      <c r="AK69" s="2501"/>
      <c r="AL69" s="2501"/>
      <c r="AM69" s="2501"/>
      <c r="AN69" s="2501"/>
    </row>
    <row r="70" spans="1:40" ht="15.75" customHeight="1" x14ac:dyDescent="0.2">
      <c r="A70" s="2497">
        <v>61</v>
      </c>
      <c r="B70" s="2512" t="s">
        <v>6300</v>
      </c>
      <c r="C70" s="2488"/>
      <c r="D70" s="2548"/>
      <c r="E70" s="2548"/>
      <c r="F70" s="2548"/>
      <c r="G70" s="2548"/>
      <c r="H70" s="2548"/>
      <c r="I70" s="2548"/>
      <c r="J70" s="2548"/>
      <c r="K70" s="2548"/>
      <c r="L70" s="2548"/>
      <c r="M70" s="2548"/>
      <c r="N70" s="2479"/>
      <c r="Q70" s="2519"/>
      <c r="R70" s="2551" t="s">
        <v>6079</v>
      </c>
      <c r="S70" s="2554"/>
      <c r="T70" s="2511"/>
      <c r="U70" s="2511"/>
      <c r="V70" s="2511"/>
      <c r="W70" s="2511"/>
      <c r="X70" s="2511"/>
      <c r="Y70" s="2511"/>
      <c r="Z70" s="2511"/>
      <c r="AA70" s="2511"/>
      <c r="AB70" s="2511"/>
      <c r="AC70" s="2511"/>
      <c r="AD70" s="2511"/>
      <c r="AE70" s="2501"/>
      <c r="AF70" s="2501"/>
      <c r="AG70" s="2501"/>
      <c r="AH70" s="2501"/>
      <c r="AI70" s="2501"/>
      <c r="AJ70" s="2501"/>
      <c r="AK70" s="2501"/>
      <c r="AL70" s="2501"/>
      <c r="AM70" s="2501"/>
      <c r="AN70" s="2501"/>
    </row>
    <row r="71" spans="1:40" ht="16.7" customHeight="1" x14ac:dyDescent="0.2">
      <c r="A71" s="2497">
        <v>62</v>
      </c>
      <c r="B71" s="2502" t="s">
        <v>6301</v>
      </c>
      <c r="C71" s="2509"/>
      <c r="D71" s="2527">
        <v>486803423</v>
      </c>
      <c r="E71" s="2527">
        <f t="shared" ref="E71:E78" si="5">SUMIF(R:R,A71,V:V)</f>
        <v>404320904</v>
      </c>
      <c r="F71" s="2509"/>
      <c r="G71" s="2509"/>
      <c r="H71" s="2533"/>
      <c r="I71" s="2532"/>
      <c r="J71" s="2532"/>
      <c r="K71" s="2532"/>
      <c r="L71" s="2532"/>
      <c r="M71" s="2532"/>
      <c r="N71" s="2479"/>
      <c r="Q71" s="2519"/>
      <c r="R71" s="2551" t="s">
        <v>6081</v>
      </c>
      <c r="S71" s="2556">
        <v>360880366</v>
      </c>
      <c r="T71" s="2508">
        <v>233988724</v>
      </c>
      <c r="U71" s="2508">
        <v>113238664</v>
      </c>
      <c r="V71" s="2508">
        <v>404320904</v>
      </c>
      <c r="W71" s="2508">
        <v>300809709</v>
      </c>
      <c r="X71" s="2508">
        <v>200488449</v>
      </c>
      <c r="Y71" s="2508">
        <v>100117900</v>
      </c>
      <c r="Z71" s="2508">
        <v>405404301</v>
      </c>
      <c r="AA71" s="2508">
        <v>303704378</v>
      </c>
      <c r="AB71" s="2508">
        <v>200488544</v>
      </c>
      <c r="AC71" s="2511"/>
      <c r="AD71" s="2511"/>
      <c r="AE71" s="2501"/>
      <c r="AF71" s="2501"/>
      <c r="AG71" s="2501"/>
      <c r="AH71" s="2501"/>
      <c r="AI71" s="2501"/>
      <c r="AJ71" s="2501"/>
      <c r="AK71" s="2501"/>
      <c r="AL71" s="2501"/>
      <c r="AM71" s="2501"/>
      <c r="AN71" s="2501"/>
    </row>
    <row r="72" spans="1:40" ht="16.7" customHeight="1" x14ac:dyDescent="0.2">
      <c r="A72" s="2497">
        <v>63</v>
      </c>
      <c r="B72" s="2502" t="s">
        <v>6302</v>
      </c>
      <c r="C72" s="2509"/>
      <c r="D72" s="2527">
        <v>4869406</v>
      </c>
      <c r="E72" s="2527">
        <f t="shared" si="5"/>
        <v>4457195</v>
      </c>
      <c r="F72" s="2509"/>
      <c r="G72" s="2509"/>
      <c r="H72" s="2533"/>
      <c r="I72" s="2532"/>
      <c r="J72" s="2532"/>
      <c r="K72" s="2532"/>
      <c r="L72" s="2532"/>
      <c r="M72" s="2532"/>
      <c r="N72" s="2479"/>
      <c r="Q72" s="2519"/>
      <c r="R72" s="2551" t="s">
        <v>6083</v>
      </c>
      <c r="S72" s="2556">
        <v>3653818</v>
      </c>
      <c r="T72" s="2508">
        <v>2437514</v>
      </c>
      <c r="U72" s="2508">
        <v>1210816</v>
      </c>
      <c r="V72" s="2508">
        <v>4457195</v>
      </c>
      <c r="W72" s="2508">
        <v>3324501</v>
      </c>
      <c r="X72" s="2508">
        <v>2217383</v>
      </c>
      <c r="Y72" s="2508">
        <v>1107950</v>
      </c>
      <c r="Z72" s="2508">
        <v>4541192</v>
      </c>
      <c r="AA72" s="2508">
        <v>3409359</v>
      </c>
      <c r="AB72" s="2508">
        <v>2229905</v>
      </c>
      <c r="AC72" s="2501"/>
      <c r="AD72" s="2501"/>
      <c r="AE72" s="2501"/>
      <c r="AF72" s="2501"/>
      <c r="AG72" s="2501"/>
      <c r="AH72" s="2501"/>
      <c r="AI72" s="2501"/>
      <c r="AJ72" s="2501"/>
      <c r="AK72" s="2501"/>
      <c r="AL72" s="2501"/>
      <c r="AM72" s="2501"/>
      <c r="AN72" s="2501"/>
    </row>
    <row r="73" spans="1:40" ht="16.7" customHeight="1" x14ac:dyDescent="0.2">
      <c r="A73" s="2497">
        <v>64</v>
      </c>
      <c r="B73" s="2502" t="s">
        <v>6303</v>
      </c>
      <c r="C73" s="2509"/>
      <c r="D73" s="2527">
        <v>394621</v>
      </c>
      <c r="E73" s="2527">
        <f t="shared" si="5"/>
        <v>443653</v>
      </c>
      <c r="F73" s="2509"/>
      <c r="G73" s="2509"/>
      <c r="H73" s="2533"/>
      <c r="I73" s="2532"/>
      <c r="J73" s="2532"/>
      <c r="K73" s="2532"/>
      <c r="L73" s="2532"/>
      <c r="M73" s="2532"/>
      <c r="N73" s="2479"/>
      <c r="Q73" s="2519"/>
      <c r="R73" s="2551" t="s">
        <v>6085</v>
      </c>
      <c r="S73" s="2556">
        <v>304237</v>
      </c>
      <c r="T73" s="2508">
        <v>202825</v>
      </c>
      <c r="U73" s="2508">
        <v>101412</v>
      </c>
      <c r="V73" s="2508">
        <v>443653</v>
      </c>
      <c r="W73" s="2508">
        <v>343022</v>
      </c>
      <c r="X73" s="2508">
        <v>242391</v>
      </c>
      <c r="Y73" s="2508">
        <v>141760</v>
      </c>
      <c r="Z73" s="2508">
        <v>607365</v>
      </c>
      <c r="AA73" s="2508">
        <v>436851</v>
      </c>
      <c r="AB73" s="2508">
        <v>291233</v>
      </c>
      <c r="AC73" s="2511"/>
      <c r="AD73" s="2511"/>
      <c r="AE73" s="2501"/>
      <c r="AF73" s="2501"/>
      <c r="AG73" s="2501"/>
      <c r="AH73" s="2501"/>
      <c r="AI73" s="2501"/>
      <c r="AJ73" s="2501"/>
      <c r="AK73" s="2501"/>
      <c r="AL73" s="2501"/>
      <c r="AM73" s="2501"/>
      <c r="AN73" s="2501"/>
    </row>
    <row r="74" spans="1:40" ht="16.7" customHeight="1" x14ac:dyDescent="0.2">
      <c r="A74" s="2497">
        <v>65</v>
      </c>
      <c r="B74" s="2502" t="s">
        <v>6304</v>
      </c>
      <c r="C74" s="2509"/>
      <c r="D74" s="2527">
        <v>227</v>
      </c>
      <c r="E74" s="2527">
        <f t="shared" si="5"/>
        <v>2718</v>
      </c>
      <c r="F74" s="2509"/>
      <c r="G74" s="2509"/>
      <c r="H74" s="2533"/>
      <c r="I74" s="2532"/>
      <c r="J74" s="2532"/>
      <c r="K74" s="2532"/>
      <c r="L74" s="2532"/>
      <c r="M74" s="2532"/>
      <c r="N74" s="2479"/>
      <c r="Q74" s="2519"/>
      <c r="R74" s="2551" t="s">
        <v>6087</v>
      </c>
      <c r="S74" s="2556">
        <v>227</v>
      </c>
      <c r="T74" s="2508">
        <v>227</v>
      </c>
      <c r="U74" s="2508">
        <v>227</v>
      </c>
      <c r="V74" s="2508">
        <v>2718</v>
      </c>
      <c r="W74" s="2508">
        <v>2039</v>
      </c>
      <c r="X74" s="2508">
        <v>1359</v>
      </c>
      <c r="Y74" s="2508">
        <v>680</v>
      </c>
      <c r="Z74" s="2508">
        <v>9640</v>
      </c>
      <c r="AA74" s="2508">
        <v>8269</v>
      </c>
      <c r="AB74" s="2508">
        <v>5513</v>
      </c>
      <c r="AC74" s="2511"/>
      <c r="AD74" s="2511"/>
      <c r="AE74" s="2501"/>
      <c r="AF74" s="2501"/>
      <c r="AG74" s="2501"/>
      <c r="AH74" s="2501"/>
      <c r="AI74" s="2501"/>
      <c r="AJ74" s="2501"/>
      <c r="AK74" s="2501"/>
      <c r="AL74" s="2501"/>
      <c r="AM74" s="2501"/>
      <c r="AN74" s="2501"/>
    </row>
    <row r="75" spans="1:40" ht="16.7" customHeight="1" x14ac:dyDescent="0.2">
      <c r="A75" s="2497">
        <v>66</v>
      </c>
      <c r="B75" s="2502" t="s">
        <v>6305</v>
      </c>
      <c r="C75" s="2509"/>
      <c r="D75" s="2527">
        <v>0</v>
      </c>
      <c r="E75" s="2527">
        <f t="shared" si="5"/>
        <v>0</v>
      </c>
      <c r="F75" s="2509"/>
      <c r="G75" s="2509"/>
      <c r="H75" s="2533"/>
      <c r="I75" s="2532"/>
      <c r="J75" s="2532"/>
      <c r="K75" s="2532"/>
      <c r="L75" s="2532"/>
      <c r="M75" s="2532"/>
      <c r="N75" s="2479"/>
      <c r="Q75" s="2519"/>
      <c r="R75" s="2551" t="s">
        <v>6089</v>
      </c>
      <c r="S75" s="2556">
        <v>0</v>
      </c>
      <c r="T75" s="2508">
        <v>0</v>
      </c>
      <c r="U75" s="2508">
        <v>0</v>
      </c>
      <c r="V75" s="2508">
        <v>0</v>
      </c>
      <c r="W75" s="2508">
        <v>0</v>
      </c>
      <c r="X75" s="2511"/>
      <c r="Y75" s="2508">
        <v>0</v>
      </c>
      <c r="Z75" s="2508">
        <v>0</v>
      </c>
      <c r="AA75" s="2508">
        <v>0</v>
      </c>
      <c r="AB75" s="2508">
        <v>0</v>
      </c>
      <c r="AC75" s="2511"/>
      <c r="AD75" s="2511"/>
      <c r="AE75" s="2501"/>
      <c r="AF75" s="2501"/>
      <c r="AG75" s="2501"/>
      <c r="AH75" s="2501"/>
      <c r="AI75" s="2501"/>
      <c r="AJ75" s="2501"/>
      <c r="AK75" s="2501"/>
      <c r="AL75" s="2501"/>
      <c r="AM75" s="2501"/>
      <c r="AN75" s="2501"/>
    </row>
    <row r="76" spans="1:40" ht="16.7" customHeight="1" x14ac:dyDescent="0.2">
      <c r="A76" s="2497">
        <v>67</v>
      </c>
      <c r="B76" s="2502" t="s">
        <v>6306</v>
      </c>
      <c r="C76" s="2509"/>
      <c r="D76" s="2527">
        <v>1146989</v>
      </c>
      <c r="E76" s="2527">
        <f t="shared" si="5"/>
        <v>136625</v>
      </c>
      <c r="F76" s="2509"/>
      <c r="G76" s="2509"/>
      <c r="H76" s="2533"/>
      <c r="I76" s="2532"/>
      <c r="J76" s="2532"/>
      <c r="K76" s="2532"/>
      <c r="L76" s="2532"/>
      <c r="M76" s="2532"/>
      <c r="N76" s="2479"/>
      <c r="Q76" s="2519"/>
      <c r="R76" s="2551" t="s">
        <v>6091</v>
      </c>
      <c r="S76" s="2556">
        <v>488726</v>
      </c>
      <c r="T76" s="2508">
        <v>389014</v>
      </c>
      <c r="U76" s="2508">
        <v>62764</v>
      </c>
      <c r="V76" s="2508">
        <v>136625</v>
      </c>
      <c r="W76" s="2508">
        <v>0</v>
      </c>
      <c r="X76" s="2511"/>
      <c r="Y76" s="2508">
        <v>0</v>
      </c>
      <c r="Z76" s="2508">
        <v>8260</v>
      </c>
      <c r="AA76" s="2508">
        <v>8260</v>
      </c>
      <c r="AB76" s="2508">
        <v>8260</v>
      </c>
      <c r="AC76" s="2511"/>
      <c r="AD76" s="2511"/>
      <c r="AE76" s="2501"/>
      <c r="AF76" s="2501"/>
      <c r="AG76" s="2501"/>
      <c r="AH76" s="2501"/>
      <c r="AI76" s="2501"/>
      <c r="AJ76" s="2501"/>
      <c r="AK76" s="2501"/>
      <c r="AL76" s="2501"/>
      <c r="AM76" s="2501"/>
      <c r="AN76" s="2501"/>
    </row>
    <row r="77" spans="1:40" ht="16.7" customHeight="1" x14ac:dyDescent="0.2">
      <c r="A77" s="2497">
        <v>68</v>
      </c>
      <c r="B77" s="2502" t="s">
        <v>6307</v>
      </c>
      <c r="C77" s="2509"/>
      <c r="D77" s="2527">
        <v>52519654</v>
      </c>
      <c r="E77" s="2527">
        <f t="shared" si="5"/>
        <v>20255501</v>
      </c>
      <c r="F77" s="2509"/>
      <c r="G77" s="2509"/>
      <c r="H77" s="2533"/>
      <c r="I77" s="2532"/>
      <c r="J77" s="2532"/>
      <c r="K77" s="2532"/>
      <c r="L77" s="2532"/>
      <c r="M77" s="2532"/>
      <c r="N77" s="2479"/>
      <c r="Q77" s="2519"/>
      <c r="R77" s="2551" t="s">
        <v>6093</v>
      </c>
      <c r="S77" s="2556">
        <v>32249454</v>
      </c>
      <c r="T77" s="2508">
        <v>20815862</v>
      </c>
      <c r="U77" s="2508">
        <v>9095087</v>
      </c>
      <c r="V77" s="2508">
        <v>20255501</v>
      </c>
      <c r="W77" s="2508">
        <v>12401761</v>
      </c>
      <c r="X77" s="2508">
        <v>9800579</v>
      </c>
      <c r="Y77" s="2508">
        <v>4716469</v>
      </c>
      <c r="Z77" s="2508">
        <v>18094181</v>
      </c>
      <c r="AA77" s="2508">
        <v>13337230</v>
      </c>
      <c r="AB77" s="2508">
        <v>8546284</v>
      </c>
      <c r="AC77" s="2511"/>
      <c r="AD77" s="2511"/>
      <c r="AE77" s="2501"/>
      <c r="AF77" s="2501"/>
      <c r="AG77" s="2501"/>
      <c r="AH77" s="2501"/>
      <c r="AI77" s="2501"/>
      <c r="AJ77" s="2501"/>
      <c r="AK77" s="2501"/>
      <c r="AL77" s="2501"/>
      <c r="AM77" s="2501"/>
      <c r="AN77" s="2501"/>
    </row>
    <row r="78" spans="1:40" ht="16.7" customHeight="1" x14ac:dyDescent="0.2">
      <c r="A78" s="2497">
        <v>69</v>
      </c>
      <c r="B78" s="2502" t="s">
        <v>6308</v>
      </c>
      <c r="C78" s="2509"/>
      <c r="D78" s="2527">
        <v>70233788</v>
      </c>
      <c r="E78" s="2527">
        <f t="shared" si="5"/>
        <v>31361791</v>
      </c>
      <c r="F78" s="2509"/>
      <c r="G78" s="2509"/>
      <c r="H78" s="2533"/>
      <c r="I78" s="2532"/>
      <c r="J78" s="2532"/>
      <c r="K78" s="2532"/>
      <c r="L78" s="2532"/>
      <c r="M78" s="2532"/>
      <c r="N78" s="2479"/>
      <c r="Q78" s="2519"/>
      <c r="R78" s="2551" t="s">
        <v>6095</v>
      </c>
      <c r="S78" s="2556">
        <v>47948572</v>
      </c>
      <c r="T78" s="2508">
        <v>28514378</v>
      </c>
      <c r="U78" s="2508">
        <v>12707858</v>
      </c>
      <c r="V78" s="2508">
        <v>31361791</v>
      </c>
      <c r="W78" s="2508">
        <v>20687066</v>
      </c>
      <c r="X78" s="2508">
        <v>12358953</v>
      </c>
      <c r="Y78" s="2508">
        <v>5677251</v>
      </c>
      <c r="Z78" s="2508">
        <v>23737375</v>
      </c>
      <c r="AA78" s="2508">
        <v>17901947</v>
      </c>
      <c r="AB78" s="2508">
        <v>12205591</v>
      </c>
      <c r="AC78" s="2511"/>
      <c r="AD78" s="2511"/>
      <c r="AE78" s="2501"/>
      <c r="AF78" s="2501"/>
      <c r="AG78" s="2501"/>
      <c r="AH78" s="2501"/>
      <c r="AI78" s="2501"/>
      <c r="AJ78" s="2501"/>
      <c r="AK78" s="2501"/>
      <c r="AL78" s="2501"/>
      <c r="AM78" s="2501"/>
      <c r="AN78" s="2501"/>
    </row>
    <row r="79" spans="1:40" ht="16.7" customHeight="1" x14ac:dyDescent="0.2">
      <c r="A79" s="2497">
        <v>70</v>
      </c>
      <c r="B79" s="2502" t="s">
        <v>6309</v>
      </c>
      <c r="C79" s="2509"/>
      <c r="D79" s="2527">
        <f>SUM(D71:D73,D76:D77)-SUM(D74:D75,D78)</f>
        <v>475500078</v>
      </c>
      <c r="E79" s="2527">
        <f>SUM(E71:E73,E76:E77)-SUM(E74:E75,E78)</f>
        <v>398249369</v>
      </c>
      <c r="F79" s="2509"/>
      <c r="G79" s="2509"/>
      <c r="H79" s="2533"/>
      <c r="I79" s="2533"/>
      <c r="J79" s="2533"/>
      <c r="K79" s="2533"/>
      <c r="L79" s="2533"/>
      <c r="M79" s="2533"/>
      <c r="N79" s="2479"/>
      <c r="Q79" s="2519"/>
      <c r="R79" s="2551" t="s">
        <v>6098</v>
      </c>
      <c r="S79" s="2556">
        <f>SUM(S71:S73,S76:S77)-SUM(S74:S75,S78)</f>
        <v>349627802</v>
      </c>
      <c r="T79" s="2508">
        <f>SUM(T71:T73,T76:T77)-SUM(T74:T75,T78)</f>
        <v>229319334</v>
      </c>
      <c r="U79" s="2508">
        <f>SUM(U71:U73,U76:U77)-SUM(U74:U75,U78)</f>
        <v>111000658</v>
      </c>
      <c r="V79" s="2508">
        <f>SUM(V71:V73,V76:V77)-SUM(V74:V75,V78)</f>
        <v>398249369</v>
      </c>
      <c r="W79" s="2508">
        <v>296189888</v>
      </c>
      <c r="X79" s="2508">
        <v>200388490</v>
      </c>
      <c r="Y79" s="2508">
        <v>100406148</v>
      </c>
      <c r="Z79" s="2508">
        <v>404908284</v>
      </c>
      <c r="AA79" s="2508">
        <v>302985862</v>
      </c>
      <c r="AB79" s="2508">
        <v>199353122</v>
      </c>
      <c r="AC79" s="2511"/>
      <c r="AD79" s="2511"/>
      <c r="AE79" s="2501"/>
      <c r="AF79" s="2501"/>
      <c r="AG79" s="2501"/>
      <c r="AH79" s="2501"/>
      <c r="AI79" s="2501"/>
      <c r="AJ79" s="2501"/>
      <c r="AK79" s="2501"/>
      <c r="AL79" s="2501"/>
      <c r="AM79" s="2501"/>
      <c r="AN79" s="2501"/>
    </row>
    <row r="80" spans="1:40" ht="16.7" customHeight="1" x14ac:dyDescent="0.2">
      <c r="A80" s="2497">
        <v>71</v>
      </c>
      <c r="B80" s="2502" t="s">
        <v>6310</v>
      </c>
      <c r="C80" s="2509"/>
      <c r="D80" s="2527">
        <f>SUM(D36,D69)-D79</f>
        <v>-467588533</v>
      </c>
      <c r="E80" s="2527">
        <f>SUM(E36,E69)-E79</f>
        <v>920107831</v>
      </c>
      <c r="F80" s="2509"/>
      <c r="G80" s="2509"/>
      <c r="H80" s="2533"/>
      <c r="I80" s="2533"/>
      <c r="J80" s="2533"/>
      <c r="K80" s="2533"/>
      <c r="L80" s="2533"/>
      <c r="M80" s="2533"/>
      <c r="N80" s="2479"/>
      <c r="Q80" s="2519"/>
      <c r="R80" s="2551" t="s">
        <v>6101</v>
      </c>
      <c r="S80" s="2556">
        <f>SUM(S36,S69)-S79</f>
        <v>-666141350</v>
      </c>
      <c r="T80" s="2508">
        <f>SUM(T36,T69)-T79</f>
        <v>-14047945</v>
      </c>
      <c r="U80" s="2508">
        <f>SUM(U36,U69)-U79</f>
        <v>-120102375</v>
      </c>
      <c r="V80" s="2508">
        <f>SUM(V36,V69)-V79</f>
        <v>920107831</v>
      </c>
      <c r="W80" s="2508">
        <v>621215723</v>
      </c>
      <c r="X80" s="2508">
        <v>212389400</v>
      </c>
      <c r="Y80" s="2508">
        <v>130083953</v>
      </c>
      <c r="Z80" s="2508">
        <v>888042944</v>
      </c>
      <c r="AA80" s="2508">
        <v>726499896</v>
      </c>
      <c r="AB80" s="2508">
        <v>393984095</v>
      </c>
      <c r="AC80" s="2511"/>
      <c r="AD80" s="2511"/>
      <c r="AE80" s="2501"/>
      <c r="AF80" s="2501"/>
      <c r="AG80" s="2501"/>
      <c r="AH80" s="2501"/>
      <c r="AI80" s="2501"/>
      <c r="AJ80" s="2501"/>
      <c r="AK80" s="2501"/>
      <c r="AL80" s="2501"/>
      <c r="AM80" s="2501"/>
      <c r="AN80" s="2501"/>
    </row>
    <row r="81" spans="1:40" ht="15.75" customHeight="1" x14ac:dyDescent="0.2">
      <c r="A81" s="2497">
        <v>72</v>
      </c>
      <c r="B81" s="2512" t="s">
        <v>6311</v>
      </c>
      <c r="C81" s="2488"/>
      <c r="D81" s="2548" t="s">
        <v>97</v>
      </c>
      <c r="E81" s="2548"/>
      <c r="F81" s="2548"/>
      <c r="G81" s="2548"/>
      <c r="H81" s="2548"/>
      <c r="I81" s="2548"/>
      <c r="J81" s="2548"/>
      <c r="K81" s="2548"/>
      <c r="L81" s="2548"/>
      <c r="M81" s="2548"/>
      <c r="N81" s="2479"/>
      <c r="Q81" s="2519"/>
      <c r="R81" s="2551" t="s">
        <v>6103</v>
      </c>
      <c r="S81" s="2554"/>
      <c r="T81" s="2511"/>
      <c r="U81" s="2511"/>
      <c r="V81" s="2511"/>
      <c r="W81" s="2511"/>
      <c r="X81" s="2511"/>
      <c r="Y81" s="2511"/>
      <c r="Z81" s="2501"/>
      <c r="AA81" s="2501"/>
      <c r="AB81" s="2508">
        <v>0</v>
      </c>
      <c r="AC81" s="2501"/>
      <c r="AD81" s="2501"/>
      <c r="AE81" s="2501"/>
      <c r="AF81" s="2501"/>
      <c r="AG81" s="2501"/>
      <c r="AH81" s="2501"/>
      <c r="AI81" s="2501"/>
      <c r="AJ81" s="2501"/>
      <c r="AK81" s="2501"/>
      <c r="AL81" s="2501"/>
      <c r="AM81" s="2501"/>
      <c r="AN81" s="2501"/>
    </row>
    <row r="82" spans="1:40" ht="16.7" customHeight="1" x14ac:dyDescent="0.2">
      <c r="A82" s="2497">
        <v>73</v>
      </c>
      <c r="B82" s="2502" t="s">
        <v>6312</v>
      </c>
      <c r="C82" s="2509"/>
      <c r="D82" s="2527">
        <v>0</v>
      </c>
      <c r="E82" s="2527">
        <f>SUMIF(R:R,A82,V:V)</f>
        <v>0</v>
      </c>
      <c r="F82" s="2509"/>
      <c r="G82" s="2509"/>
      <c r="H82" s="2533"/>
      <c r="I82" s="2532"/>
      <c r="J82" s="2532"/>
      <c r="K82" s="2532"/>
      <c r="L82" s="2532"/>
      <c r="M82" s="2532"/>
      <c r="N82" s="2479"/>
      <c r="Q82" s="2519"/>
      <c r="R82" s="2551" t="s">
        <v>6105</v>
      </c>
      <c r="S82" s="2556">
        <v>0</v>
      </c>
      <c r="T82" s="2508">
        <v>0</v>
      </c>
      <c r="U82" s="2508">
        <v>0</v>
      </c>
      <c r="V82" s="2508">
        <v>0</v>
      </c>
      <c r="W82" s="2508">
        <v>0</v>
      </c>
      <c r="X82" s="2501"/>
      <c r="Y82" s="2508">
        <v>0</v>
      </c>
      <c r="Z82" s="2508">
        <v>0</v>
      </c>
      <c r="AA82" s="2508">
        <v>0</v>
      </c>
      <c r="AB82" s="2508">
        <v>0</v>
      </c>
      <c r="AC82" s="2501"/>
      <c r="AD82" s="2501"/>
      <c r="AE82" s="2501"/>
      <c r="AF82" s="2501"/>
      <c r="AG82" s="2501"/>
      <c r="AH82" s="2501"/>
      <c r="AI82" s="2501"/>
      <c r="AJ82" s="2501"/>
      <c r="AK82" s="2501"/>
      <c r="AL82" s="2501"/>
      <c r="AM82" s="2501"/>
      <c r="AN82" s="2501"/>
    </row>
    <row r="83" spans="1:40" ht="16.7" customHeight="1" x14ac:dyDescent="0.2">
      <c r="A83" s="2497">
        <v>74</v>
      </c>
      <c r="B83" s="2502" t="s">
        <v>6313</v>
      </c>
      <c r="C83" s="2509"/>
      <c r="D83" s="2527">
        <v>0</v>
      </c>
      <c r="E83" s="2527">
        <f>SUMIF(R:R,A83,V:V)</f>
        <v>0</v>
      </c>
      <c r="F83" s="2509"/>
      <c r="G83" s="2509"/>
      <c r="H83" s="2533"/>
      <c r="I83" s="2532"/>
      <c r="J83" s="2532"/>
      <c r="K83" s="2532"/>
      <c r="L83" s="2532"/>
      <c r="M83" s="2532"/>
      <c r="N83" s="2479"/>
      <c r="Q83" s="2519"/>
      <c r="R83" s="2551" t="s">
        <v>6107</v>
      </c>
      <c r="S83" s="2556">
        <v>0</v>
      </c>
      <c r="T83" s="2508">
        <v>0</v>
      </c>
      <c r="U83" s="2508">
        <v>0</v>
      </c>
      <c r="V83" s="2508">
        <v>0</v>
      </c>
      <c r="W83" s="2508">
        <v>0</v>
      </c>
      <c r="X83" s="2501"/>
      <c r="Y83" s="2508">
        <v>0</v>
      </c>
      <c r="Z83" s="2508">
        <v>0</v>
      </c>
      <c r="AA83" s="2508">
        <v>0</v>
      </c>
      <c r="AB83" s="2508">
        <v>0</v>
      </c>
      <c r="AC83" s="2501"/>
      <c r="AD83" s="2501"/>
      <c r="AE83" s="2501"/>
      <c r="AF83" s="2501"/>
      <c r="AG83" s="2501"/>
      <c r="AH83" s="2501"/>
      <c r="AI83" s="2501"/>
      <c r="AJ83" s="2501"/>
      <c r="AK83" s="2501"/>
      <c r="AL83" s="2501"/>
      <c r="AM83" s="2501"/>
      <c r="AN83" s="2501"/>
    </row>
    <row r="84" spans="1:40" ht="16.7" customHeight="1" x14ac:dyDescent="0.2">
      <c r="A84" s="2497">
        <v>75</v>
      </c>
      <c r="B84" s="2502" t="s">
        <v>6314</v>
      </c>
      <c r="C84" s="2509"/>
      <c r="D84" s="2527">
        <f>D82-D83</f>
        <v>0</v>
      </c>
      <c r="E84" s="2527">
        <f>SUMIF(R:R,A84,V:V)</f>
        <v>0</v>
      </c>
      <c r="F84" s="2509"/>
      <c r="G84" s="2509"/>
      <c r="H84" s="2532"/>
      <c r="I84" s="2532"/>
      <c r="J84" s="2532"/>
      <c r="K84" s="2532"/>
      <c r="L84" s="2532"/>
      <c r="M84" s="2532"/>
      <c r="N84" s="2479"/>
      <c r="Q84" s="2519"/>
      <c r="R84" s="2551" t="s">
        <v>6109</v>
      </c>
      <c r="S84" s="2556">
        <f>S82-S83</f>
        <v>0</v>
      </c>
      <c r="T84" s="2508">
        <f>T82-T83</f>
        <v>0</v>
      </c>
      <c r="U84" s="2508">
        <f>U82-U83</f>
        <v>0</v>
      </c>
      <c r="V84" s="2508">
        <f>V82-V83</f>
        <v>0</v>
      </c>
      <c r="W84" s="2508">
        <v>0</v>
      </c>
      <c r="X84" s="2501"/>
      <c r="Y84" s="2508">
        <v>0</v>
      </c>
      <c r="Z84" s="2508">
        <v>0</v>
      </c>
      <c r="AA84" s="2508">
        <v>0</v>
      </c>
      <c r="AB84" s="2508">
        <v>0</v>
      </c>
      <c r="AC84" s="2501"/>
      <c r="AD84" s="2501"/>
      <c r="AE84" s="2501"/>
      <c r="AF84" s="2501"/>
      <c r="AG84" s="2501"/>
      <c r="AH84" s="2501"/>
      <c r="AI84" s="2501"/>
      <c r="AJ84" s="2501"/>
      <c r="AK84" s="2501"/>
      <c r="AL84" s="2501"/>
      <c r="AM84" s="2501"/>
      <c r="AN84" s="2501"/>
    </row>
    <row r="85" spans="1:40" ht="16.7" customHeight="1" x14ac:dyDescent="0.2">
      <c r="A85" s="2497">
        <v>76</v>
      </c>
      <c r="B85" s="2502" t="s">
        <v>6315</v>
      </c>
      <c r="C85" s="2503" t="s">
        <v>832</v>
      </c>
      <c r="D85" s="2527">
        <v>0</v>
      </c>
      <c r="E85" s="2527">
        <f>SUMIF(R:R,A85,V:V)</f>
        <v>0</v>
      </c>
      <c r="F85" s="2509"/>
      <c r="G85" s="2509"/>
      <c r="H85" s="2533"/>
      <c r="I85" s="2532"/>
      <c r="J85" s="2532"/>
      <c r="K85" s="2532"/>
      <c r="L85" s="2532"/>
      <c r="M85" s="2532"/>
      <c r="N85" s="2479"/>
      <c r="Q85" s="2519"/>
      <c r="R85" s="2551" t="s">
        <v>6111</v>
      </c>
      <c r="S85" s="2556">
        <v>0</v>
      </c>
      <c r="T85" s="2508">
        <v>0</v>
      </c>
      <c r="U85" s="2508">
        <v>0</v>
      </c>
      <c r="V85" s="2508">
        <v>0</v>
      </c>
      <c r="W85" s="2508">
        <v>0</v>
      </c>
      <c r="X85" s="2501"/>
      <c r="Y85" s="2508">
        <v>0</v>
      </c>
      <c r="Z85" s="2508">
        <v>0</v>
      </c>
      <c r="AA85" s="2508">
        <v>0</v>
      </c>
      <c r="AB85" s="2508">
        <v>0</v>
      </c>
      <c r="AC85" s="2501"/>
      <c r="AD85" s="2501"/>
      <c r="AE85" s="2501"/>
      <c r="AF85" s="2501"/>
      <c r="AG85" s="2501"/>
      <c r="AH85" s="2501"/>
      <c r="AI85" s="2501"/>
      <c r="AJ85" s="2501"/>
      <c r="AK85" s="2501"/>
      <c r="AL85" s="2501"/>
      <c r="AM85" s="2501"/>
      <c r="AN85" s="2501"/>
    </row>
    <row r="86" spans="1:40" ht="16.7" customHeight="1" x14ac:dyDescent="0.2">
      <c r="A86" s="2497">
        <v>77</v>
      </c>
      <c r="B86" s="2502" t="s">
        <v>6316</v>
      </c>
      <c r="C86" s="2509"/>
      <c r="D86" s="2527">
        <f>D84-D85</f>
        <v>0</v>
      </c>
      <c r="E86" s="2527">
        <f>SUMIF(R:R,A86,V:V)</f>
        <v>0</v>
      </c>
      <c r="F86" s="2509"/>
      <c r="G86" s="2509"/>
      <c r="H86" s="2533"/>
      <c r="I86" s="2533"/>
      <c r="J86" s="2533"/>
      <c r="K86" s="2533"/>
      <c r="L86" s="2533"/>
      <c r="M86" s="2533"/>
      <c r="N86" s="2479"/>
      <c r="Q86" s="2519"/>
      <c r="R86" s="2551" t="s">
        <v>6113</v>
      </c>
      <c r="S86" s="2556">
        <f>S84-S85</f>
        <v>0</v>
      </c>
      <c r="T86" s="2508">
        <f>T84-T85</f>
        <v>0</v>
      </c>
      <c r="U86" s="2508">
        <f>U84-U85</f>
        <v>0</v>
      </c>
      <c r="V86" s="2508">
        <f>V84-V85</f>
        <v>0</v>
      </c>
      <c r="W86" s="2508">
        <v>0</v>
      </c>
      <c r="X86" s="2501"/>
      <c r="Y86" s="2508">
        <v>0</v>
      </c>
      <c r="Z86" s="2508">
        <v>0</v>
      </c>
      <c r="AA86" s="2508">
        <v>0</v>
      </c>
      <c r="AB86" s="2508">
        <v>0</v>
      </c>
      <c r="AC86" s="2501"/>
      <c r="AD86" s="2501"/>
      <c r="AE86" s="2501"/>
      <c r="AF86" s="2501"/>
      <c r="AG86" s="2501"/>
      <c r="AH86" s="2501"/>
      <c r="AI86" s="2501"/>
      <c r="AJ86" s="2501"/>
      <c r="AK86" s="2501"/>
      <c r="AL86" s="2501"/>
      <c r="AM86" s="2501"/>
      <c r="AN86" s="2501"/>
    </row>
    <row r="87" spans="1:40" ht="16.7" customHeight="1" x14ac:dyDescent="0.2">
      <c r="A87" s="2497">
        <v>78</v>
      </c>
      <c r="B87" s="2502" t="s">
        <v>6317</v>
      </c>
      <c r="C87" s="2509"/>
      <c r="D87" s="2527">
        <f>SUM(D80,D86)</f>
        <v>-467588533</v>
      </c>
      <c r="E87" s="2527">
        <f>SUM(E80,E86)</f>
        <v>920107831</v>
      </c>
      <c r="F87" s="2509"/>
      <c r="G87" s="2509"/>
      <c r="H87" s="2533"/>
      <c r="I87" s="2533"/>
      <c r="J87" s="2533"/>
      <c r="K87" s="2533"/>
      <c r="L87" s="2533"/>
      <c r="M87" s="2533"/>
      <c r="N87" s="2479"/>
      <c r="Q87" s="2519"/>
      <c r="R87" s="2551" t="s">
        <v>6115</v>
      </c>
      <c r="S87" s="2556">
        <f>SUM(S80,S86)</f>
        <v>-666141350</v>
      </c>
      <c r="T87" s="2508">
        <f>SUM(T80,T86)</f>
        <v>-14047945</v>
      </c>
      <c r="U87" s="2508">
        <f>SUM(U80,U86)</f>
        <v>-120102375</v>
      </c>
      <c r="V87" s="2508">
        <f>SUM(V80,V86)</f>
        <v>920107831</v>
      </c>
      <c r="W87" s="2508">
        <v>621215723</v>
      </c>
      <c r="X87" s="2508">
        <v>212389400</v>
      </c>
      <c r="Y87" s="2508">
        <v>130083953</v>
      </c>
      <c r="Z87" s="2508">
        <v>888042944</v>
      </c>
      <c r="AA87" s="2508">
        <v>726499896</v>
      </c>
      <c r="AB87" s="2508">
        <v>393984095</v>
      </c>
      <c r="AC87" s="2511"/>
      <c r="AD87" s="2511"/>
      <c r="AE87" s="2501"/>
      <c r="AF87" s="2501"/>
      <c r="AG87" s="2501"/>
      <c r="AH87" s="2501"/>
      <c r="AI87" s="2501"/>
      <c r="AJ87" s="2501"/>
      <c r="AK87" s="2501"/>
      <c r="AL87" s="2501"/>
      <c r="AM87" s="2501"/>
      <c r="AN87" s="2501"/>
    </row>
    <row r="88" spans="1:40" ht="15.75" customHeight="1" x14ac:dyDescent="0.2">
      <c r="A88" s="2516"/>
      <c r="B88" s="2516"/>
      <c r="C88" s="2516"/>
      <c r="D88" s="2516"/>
      <c r="E88" s="2516"/>
      <c r="F88" s="2516"/>
      <c r="G88" s="2516"/>
      <c r="H88" s="2516"/>
      <c r="I88" s="2516"/>
      <c r="J88" s="2516"/>
      <c r="K88" s="2516"/>
      <c r="L88" s="2516"/>
      <c r="M88" s="2516"/>
      <c r="Q88" s="2575"/>
      <c r="R88" s="2482"/>
      <c r="S88" s="2511"/>
      <c r="T88" s="2511"/>
      <c r="U88" s="2511"/>
      <c r="V88" s="2511"/>
      <c r="W88" s="2511"/>
      <c r="X88" s="2511"/>
      <c r="Y88" s="2511"/>
      <c r="Z88" s="2501"/>
      <c r="AA88" s="2501"/>
      <c r="AB88" s="2501"/>
      <c r="AC88" s="2501"/>
      <c r="AD88" s="2501"/>
      <c r="AE88" s="2501"/>
      <c r="AF88" s="2501"/>
      <c r="AG88" s="2501"/>
      <c r="AH88" s="2501"/>
      <c r="AI88" s="2501"/>
      <c r="AJ88" s="2501"/>
      <c r="AK88" s="2501"/>
      <c r="AL88" s="2501"/>
      <c r="AM88" s="2501"/>
      <c r="AN88" s="2501"/>
    </row>
    <row r="89" spans="1:40" ht="15.75" customHeight="1" x14ac:dyDescent="0.2">
      <c r="D89" s="3088" t="s">
        <v>11805</v>
      </c>
      <c r="E89" s="3088" t="s">
        <v>11788</v>
      </c>
      <c r="F89" s="3088" t="s">
        <v>11789</v>
      </c>
    </row>
    <row r="90" spans="1:40" ht="15" customHeight="1" x14ac:dyDescent="0.2">
      <c r="B90" s="1953" t="str">
        <f>B21</f>
        <v>Regulatory Debits (407.3)</v>
      </c>
      <c r="C90" s="3089">
        <v>407.3</v>
      </c>
      <c r="D90" s="3090">
        <f>'407.3 - Reg Debits_2023'!E201</f>
        <v>13251403.879999993</v>
      </c>
      <c r="E90" s="3091" t="s">
        <v>9803</v>
      </c>
      <c r="F90" s="3090">
        <f>'407.3 - Reg Debits_2023'!J201</f>
        <v>5441242.9300000006</v>
      </c>
      <c r="G90" s="3091" t="s">
        <v>11806</v>
      </c>
    </row>
    <row r="91" spans="1:40" ht="15" customHeight="1" x14ac:dyDescent="0.2">
      <c r="B91" s="1953" t="str">
        <f>B22</f>
        <v>(Less) Regulatory Credits (407.4)</v>
      </c>
      <c r="C91" s="3089">
        <v>407.4</v>
      </c>
      <c r="D91" s="2230">
        <f>SUMIFS($D$10:$D$87,$B$10:$B$87,"*"&amp;C91&amp;"*")</f>
        <v>9547753</v>
      </c>
      <c r="E91" s="3092">
        <f>'RATE BASE DATA'!$K$7</f>
        <v>0.40125437407581699</v>
      </c>
      <c r="F91" s="2230">
        <f>D91*E91</f>
        <v>3831077.6538455039</v>
      </c>
      <c r="G91" s="1953" t="s">
        <v>12544</v>
      </c>
    </row>
    <row r="92" spans="1:40" ht="15" customHeight="1" x14ac:dyDescent="0.2">
      <c r="B92" s="1953" t="str">
        <f>B29</f>
        <v>(Less) Gains from Disp. of Utility Plant (411.6)</v>
      </c>
      <c r="C92" s="3089">
        <v>411.6</v>
      </c>
      <c r="D92" s="2230">
        <f t="shared" ref="D92:D95" si="6">SUMIFS($D$10:$D$87,$B$10:$B$87,"*"&amp;C92&amp;"*")</f>
        <v>0</v>
      </c>
      <c r="E92" s="3092">
        <f>'RATE BASE DATA'!$K$7</f>
        <v>0.40125437407581699</v>
      </c>
      <c r="F92" s="2230">
        <f t="shared" ref="F92:F96" si="7">D92*E92</f>
        <v>0</v>
      </c>
    </row>
    <row r="93" spans="1:40" ht="15" customHeight="1" x14ac:dyDescent="0.2">
      <c r="B93" s="1953" t="str">
        <f>B30</f>
        <v>Losses from Disp. of Utility Plant (411.7)</v>
      </c>
      <c r="C93" s="3089" t="s">
        <v>42</v>
      </c>
      <c r="D93" s="2230">
        <f t="shared" si="6"/>
        <v>0</v>
      </c>
      <c r="E93" s="3092">
        <f>'RATE BASE DATA'!$K$7</f>
        <v>0.40125437407581699</v>
      </c>
      <c r="F93" s="2230">
        <f>D93*E93</f>
        <v>0</v>
      </c>
    </row>
    <row r="94" spans="1:40" ht="15" customHeight="1" x14ac:dyDescent="0.2">
      <c r="B94" s="1953" t="str">
        <f>B31</f>
        <v>(Less) Gains from Disposition of Allowances (411.8)</v>
      </c>
      <c r="C94" s="3089">
        <v>411.8</v>
      </c>
      <c r="D94" s="2230">
        <f t="shared" si="6"/>
        <v>91</v>
      </c>
      <c r="E94" s="3092">
        <f>'RATE BASE DATA'!$K$7</f>
        <v>0.40125437407581699</v>
      </c>
      <c r="F94" s="2230">
        <f t="shared" si="7"/>
        <v>36.514148040899343</v>
      </c>
    </row>
    <row r="95" spans="1:40" ht="15" customHeight="1" x14ac:dyDescent="0.2">
      <c r="B95" s="1953" t="str">
        <f>B32</f>
        <v>Losses from Disposition of Allowances (411.9)</v>
      </c>
      <c r="C95" s="3089">
        <v>411.9</v>
      </c>
      <c r="D95" s="2230">
        <f t="shared" si="6"/>
        <v>0</v>
      </c>
      <c r="E95" s="3092">
        <f>'RATE BASE DATA'!$K$7</f>
        <v>0.40125437407581699</v>
      </c>
      <c r="F95" s="2230">
        <f t="shared" si="7"/>
        <v>0</v>
      </c>
    </row>
    <row r="96" spans="1:40" ht="15" customHeight="1" x14ac:dyDescent="0.2">
      <c r="B96" s="1953" t="str">
        <f>B48</f>
        <v>Miscellaneous Nonoperating Income (421)</v>
      </c>
      <c r="C96" s="3089">
        <v>421</v>
      </c>
      <c r="D96" s="2230">
        <f>SUMIFS($D$10:$D$87,$B$10:$B$87,"*Miscellaneous Nonoperating Income*")</f>
        <v>2467241</v>
      </c>
      <c r="E96" s="3092">
        <f>'RATE BASE DATA'!$K$7</f>
        <v>0.40125437407581699</v>
      </c>
      <c r="F96" s="2230">
        <f t="shared" si="7"/>
        <v>989991.24314919277</v>
      </c>
    </row>
    <row r="97" spans="2:11" ht="15" customHeight="1" x14ac:dyDescent="0.2"/>
    <row r="98" spans="2:11" ht="15" customHeight="1" x14ac:dyDescent="0.2"/>
    <row r="99" spans="2:11" ht="15" customHeight="1" x14ac:dyDescent="0.25">
      <c r="B99"/>
      <c r="C99"/>
      <c r="D99" s="3093" t="s">
        <v>11790</v>
      </c>
      <c r="E99" s="3093"/>
      <c r="F99" s="3093"/>
      <c r="G99" s="3093"/>
      <c r="H99" s="3094"/>
      <c r="I99" s="3094"/>
      <c r="J99" s="3094"/>
      <c r="K99" s="3094"/>
    </row>
    <row r="100" spans="2:11" ht="15" customHeight="1" x14ac:dyDescent="0.25">
      <c r="B100" s="3095" t="s">
        <v>11791</v>
      </c>
      <c r="C100"/>
      <c r="D100" s="3096">
        <f>VLOOKUP(456,'B1-Electric Ops Rvn'!$K$465:$P$472,6,FALSE)</f>
        <v>0.37468204624544071</v>
      </c>
      <c r="E100" s="3093" t="s">
        <v>105</v>
      </c>
      <c r="F100" s="3093" t="s">
        <v>11792</v>
      </c>
      <c r="G100" s="3093" t="s">
        <v>512</v>
      </c>
      <c r="H100" s="3094"/>
      <c r="I100" s="3093">
        <v>2023</v>
      </c>
      <c r="J100" s="3097">
        <v>2022</v>
      </c>
      <c r="K100" s="3097">
        <v>2021</v>
      </c>
    </row>
    <row r="101" spans="2:11" ht="15" customHeight="1" x14ac:dyDescent="0.25">
      <c r="B101" s="3095" t="s">
        <v>11793</v>
      </c>
      <c r="C101"/>
      <c r="D101" s="3093"/>
      <c r="E101" s="3093"/>
      <c r="F101" s="3093"/>
      <c r="G101" s="3093"/>
      <c r="H101" s="3094"/>
      <c r="I101" s="3088"/>
      <c r="J101" s="3098"/>
      <c r="K101" s="3097"/>
    </row>
    <row r="102" spans="2:11" ht="15" customHeight="1" x14ac:dyDescent="0.25">
      <c r="B102" s="3095" t="s">
        <v>11794</v>
      </c>
      <c r="C102" s="3093" t="s">
        <v>394</v>
      </c>
      <c r="D102" s="3108">
        <v>24109723</v>
      </c>
      <c r="E102" s="3099">
        <f>IF($C102="PROD",$D102*1,0)</f>
        <v>24109723</v>
      </c>
      <c r="F102" s="3099">
        <f>IF($C102="TRANS",$D102*1,0)</f>
        <v>0</v>
      </c>
      <c r="G102" s="3099">
        <f>IF($C102="DIST",$D102*1,0)</f>
        <v>0</v>
      </c>
      <c r="H102" s="3094"/>
      <c r="I102" s="3100">
        <v>24109723</v>
      </c>
      <c r="J102" s="3101">
        <v>11984507</v>
      </c>
      <c r="K102" s="3102">
        <v>7660217</v>
      </c>
    </row>
    <row r="103" spans="2:11" ht="15" customHeight="1" x14ac:dyDescent="0.25">
      <c r="B103" s="3095" t="s">
        <v>11795</v>
      </c>
      <c r="C103" s="3093" t="s">
        <v>393</v>
      </c>
      <c r="D103" s="3108">
        <v>0</v>
      </c>
      <c r="E103" s="3103">
        <f t="shared" ref="E103:E113" si="8">IF($C103="PROD",$D103*1,0)</f>
        <v>0</v>
      </c>
      <c r="F103" s="3103">
        <f t="shared" ref="F103:F113" si="9">IF($C103="TRANS",$D103*1,0)</f>
        <v>0</v>
      </c>
      <c r="G103" s="3103">
        <f t="shared" ref="G103:G113" si="10">IF($C103="DIST",$D103*1,0)</f>
        <v>0</v>
      </c>
      <c r="H103" s="3094" t="s">
        <v>5949</v>
      </c>
      <c r="I103" s="3100">
        <v>0</v>
      </c>
      <c r="J103" s="3102">
        <v>282834</v>
      </c>
      <c r="K103" s="3102">
        <v>10429829</v>
      </c>
    </row>
    <row r="104" spans="2:11" ht="15" customHeight="1" x14ac:dyDescent="0.25">
      <c r="B104" s="3095" t="s">
        <v>11796</v>
      </c>
      <c r="C104" s="3093" t="s">
        <v>394</v>
      </c>
      <c r="D104" s="3108">
        <v>11876789</v>
      </c>
      <c r="E104" s="3103">
        <f t="shared" si="8"/>
        <v>11876789</v>
      </c>
      <c r="F104" s="3103">
        <f t="shared" si="9"/>
        <v>0</v>
      </c>
      <c r="G104" s="3103">
        <f t="shared" si="10"/>
        <v>0</v>
      </c>
      <c r="H104" s="3094"/>
      <c r="I104" s="3100">
        <v>11876789</v>
      </c>
      <c r="J104" s="3102">
        <v>13842399</v>
      </c>
      <c r="K104" s="3102">
        <v>15364905</v>
      </c>
    </row>
    <row r="105" spans="2:11" ht="15" customHeight="1" x14ac:dyDescent="0.25">
      <c r="B105" s="3095" t="s">
        <v>11797</v>
      </c>
      <c r="C105" s="3093" t="s">
        <v>394</v>
      </c>
      <c r="D105" s="3108">
        <v>19365059</v>
      </c>
      <c r="E105" s="3103">
        <f t="shared" si="8"/>
        <v>19365059</v>
      </c>
      <c r="F105" s="3103">
        <f t="shared" si="9"/>
        <v>0</v>
      </c>
      <c r="G105" s="3103">
        <f t="shared" si="10"/>
        <v>0</v>
      </c>
      <c r="H105" s="3094"/>
      <c r="I105" s="3100">
        <v>19365059</v>
      </c>
      <c r="J105" s="3102">
        <v>14283978</v>
      </c>
      <c r="K105" s="3102">
        <v>13757319</v>
      </c>
    </row>
    <row r="106" spans="2:11" ht="15" customHeight="1" x14ac:dyDescent="0.25">
      <c r="B106" s="3095" t="s">
        <v>11798</v>
      </c>
      <c r="C106" s="3093" t="s">
        <v>392</v>
      </c>
      <c r="D106" s="3108">
        <v>250406</v>
      </c>
      <c r="E106" s="3103">
        <f t="shared" si="8"/>
        <v>0</v>
      </c>
      <c r="F106" s="3103">
        <f t="shared" si="9"/>
        <v>0</v>
      </c>
      <c r="G106" s="3103">
        <f t="shared" si="10"/>
        <v>250406</v>
      </c>
      <c r="H106" s="3094"/>
      <c r="I106" s="3100">
        <v>250406</v>
      </c>
      <c r="J106" s="3102">
        <v>1022015</v>
      </c>
      <c r="K106" s="3102">
        <v>762608</v>
      </c>
    </row>
    <row r="107" spans="2:11" ht="15" customHeight="1" x14ac:dyDescent="0.25">
      <c r="B107" s="3095" t="s">
        <v>11799</v>
      </c>
      <c r="C107" s="3093" t="s">
        <v>394</v>
      </c>
      <c r="D107" s="3108">
        <v>1478981</v>
      </c>
      <c r="E107" s="3103">
        <f t="shared" si="8"/>
        <v>1478981</v>
      </c>
      <c r="F107" s="3103">
        <f t="shared" si="9"/>
        <v>0</v>
      </c>
      <c r="G107" s="3103">
        <f t="shared" si="10"/>
        <v>0</v>
      </c>
      <c r="H107" s="3094"/>
      <c r="I107" s="3100">
        <v>1478981</v>
      </c>
      <c r="J107" s="3102">
        <v>999434</v>
      </c>
      <c r="K107" s="3102">
        <v>353351</v>
      </c>
    </row>
    <row r="108" spans="2:11" ht="15" customHeight="1" x14ac:dyDescent="0.25">
      <c r="B108" s="3095" t="s">
        <v>11800</v>
      </c>
      <c r="C108" s="3093" t="s">
        <v>393</v>
      </c>
      <c r="D108" s="3108">
        <v>270389</v>
      </c>
      <c r="E108" s="3103">
        <f t="shared" si="8"/>
        <v>0</v>
      </c>
      <c r="F108" s="3103">
        <f t="shared" si="9"/>
        <v>270389</v>
      </c>
      <c r="G108" s="3103">
        <f t="shared" si="10"/>
        <v>0</v>
      </c>
      <c r="H108" s="3094"/>
      <c r="I108" s="3100">
        <v>270389</v>
      </c>
      <c r="J108" s="3102">
        <v>0</v>
      </c>
      <c r="K108" s="3102">
        <v>593004</v>
      </c>
    </row>
    <row r="109" spans="2:11" ht="15" customHeight="1" x14ac:dyDescent="0.25">
      <c r="B109" s="3095" t="s">
        <v>11801</v>
      </c>
      <c r="C109" s="3093" t="s">
        <v>393</v>
      </c>
      <c r="D109" s="3108">
        <v>1635191</v>
      </c>
      <c r="E109" s="3103">
        <f t="shared" si="8"/>
        <v>0</v>
      </c>
      <c r="F109" s="3103">
        <f t="shared" si="9"/>
        <v>1635191</v>
      </c>
      <c r="G109" s="3103">
        <f t="shared" si="10"/>
        <v>0</v>
      </c>
      <c r="H109" s="3094"/>
      <c r="I109" s="3100">
        <v>1635191</v>
      </c>
      <c r="J109" s="3102">
        <v>1402859</v>
      </c>
      <c r="K109" s="3102">
        <v>1580721</v>
      </c>
    </row>
    <row r="110" spans="2:11" ht="15" customHeight="1" x14ac:dyDescent="0.25">
      <c r="B110" s="3095" t="s">
        <v>11802</v>
      </c>
      <c r="C110" s="3093" t="s">
        <v>393</v>
      </c>
      <c r="D110" s="3108">
        <v>442156</v>
      </c>
      <c r="E110" s="3103">
        <f t="shared" si="8"/>
        <v>0</v>
      </c>
      <c r="F110" s="3103">
        <f t="shared" si="9"/>
        <v>442156</v>
      </c>
      <c r="G110" s="3103">
        <f t="shared" si="10"/>
        <v>0</v>
      </c>
      <c r="I110" s="3100">
        <v>442156</v>
      </c>
      <c r="J110" s="3102">
        <v>345847</v>
      </c>
      <c r="K110" s="3102">
        <v>588884</v>
      </c>
    </row>
    <row r="111" spans="2:11" ht="15" customHeight="1" x14ac:dyDescent="0.25">
      <c r="B111" s="3095" t="s">
        <v>11807</v>
      </c>
      <c r="C111" s="3093" t="s">
        <v>394</v>
      </c>
      <c r="D111" s="3108">
        <v>3235419</v>
      </c>
      <c r="E111" s="3103">
        <f t="shared" si="8"/>
        <v>3235419</v>
      </c>
      <c r="F111" s="3103">
        <f t="shared" si="9"/>
        <v>0</v>
      </c>
      <c r="G111" s="3103">
        <f t="shared" si="10"/>
        <v>0</v>
      </c>
      <c r="H111" s="3091"/>
      <c r="I111" s="3100">
        <v>3235419</v>
      </c>
      <c r="J111" s="3102">
        <v>0</v>
      </c>
      <c r="K111" s="3102">
        <v>0</v>
      </c>
    </row>
    <row r="112" spans="2:11" ht="15" customHeight="1" x14ac:dyDescent="0.25">
      <c r="B112" s="3095" t="s">
        <v>11803</v>
      </c>
      <c r="C112" s="3093" t="s">
        <v>393</v>
      </c>
      <c r="D112" s="3108">
        <v>4075388</v>
      </c>
      <c r="E112" s="3103">
        <f t="shared" si="8"/>
        <v>0</v>
      </c>
      <c r="F112" s="3103">
        <f t="shared" si="9"/>
        <v>4075388</v>
      </c>
      <c r="G112" s="3103">
        <f t="shared" si="10"/>
        <v>0</v>
      </c>
      <c r="H112" s="3091"/>
      <c r="I112" s="3100">
        <v>4075388</v>
      </c>
      <c r="J112" s="3102">
        <v>4075388</v>
      </c>
      <c r="K112" s="3102">
        <v>6845756</v>
      </c>
    </row>
    <row r="113" spans="2:11" ht="15" customHeight="1" thickBot="1" x14ac:dyDescent="0.3">
      <c r="B113" s="3095" t="s">
        <v>11804</v>
      </c>
      <c r="C113" s="3093" t="s">
        <v>394</v>
      </c>
      <c r="D113" s="3108">
        <v>3307870</v>
      </c>
      <c r="E113" s="3103">
        <f t="shared" si="8"/>
        <v>3307870</v>
      </c>
      <c r="F113" s="3103">
        <f t="shared" si="9"/>
        <v>0</v>
      </c>
      <c r="G113" s="3103">
        <f t="shared" si="10"/>
        <v>0</v>
      </c>
      <c r="H113" s="3091"/>
      <c r="I113" s="3100">
        <v>3307870</v>
      </c>
      <c r="J113" s="3102">
        <v>1168860</v>
      </c>
      <c r="K113" s="3102">
        <v>1036986</v>
      </c>
    </row>
    <row r="114" spans="2:11" ht="15" customHeight="1" thickBot="1" x14ac:dyDescent="0.25">
      <c r="B114" s="2111" t="s">
        <v>5459</v>
      </c>
      <c r="C114" s="3093"/>
      <c r="D114" s="3104">
        <f>SUM(D102:D113)</f>
        <v>70047371</v>
      </c>
      <c r="E114" s="3104">
        <f>SUM(E102:E113)</f>
        <v>63373841</v>
      </c>
      <c r="F114" s="3104">
        <f>SUM(F102:F113)</f>
        <v>6423124</v>
      </c>
      <c r="G114" s="3104">
        <f>SUM(G102:G113)</f>
        <v>250406</v>
      </c>
      <c r="H114" s="3091"/>
      <c r="I114" s="3105">
        <f>SUM(I102:I113)</f>
        <v>70047371</v>
      </c>
      <c r="J114" s="3106">
        <f>SUM(J102:J113)</f>
        <v>49408121</v>
      </c>
      <c r="K114" s="3106">
        <f>SUM(K102:K113)</f>
        <v>58973580</v>
      </c>
    </row>
    <row r="115" spans="2:11" ht="15" customHeight="1" thickTop="1" x14ac:dyDescent="0.25">
      <c r="B115" s="3088" t="s">
        <v>11808</v>
      </c>
      <c r="C115" s="3094"/>
      <c r="D115" s="3107">
        <v>1</v>
      </c>
      <c r="E115" s="3107">
        <f>E114/$D$114</f>
        <v>0.9047283302038559</v>
      </c>
      <c r="F115" s="3107">
        <f t="shared" ref="F115:G115" si="11">F114/$D$114</f>
        <v>9.1696860400371061E-2</v>
      </c>
      <c r="G115" s="3107">
        <f t="shared" si="11"/>
        <v>3.5748093957730406E-3</v>
      </c>
      <c r="H115" s="3094"/>
      <c r="I115" s="3094"/>
      <c r="J115" s="3094"/>
      <c r="K115" s="3094"/>
    </row>
    <row r="116" spans="2:11" ht="15" customHeight="1" x14ac:dyDescent="0.2"/>
    <row r="117" spans="2:11" ht="15" customHeight="1" x14ac:dyDescent="0.2"/>
    <row r="118" spans="2:11" ht="15" customHeight="1" x14ac:dyDescent="0.2"/>
    <row r="119" spans="2:11" ht="15" customHeight="1" x14ac:dyDescent="0.2"/>
    <row r="120" spans="2:11" ht="15" customHeight="1" x14ac:dyDescent="0.2"/>
    <row r="121" spans="2:11" ht="15" customHeight="1" x14ac:dyDescent="0.2"/>
    <row r="122" spans="2:11" ht="15" customHeight="1" x14ac:dyDescent="0.2"/>
  </sheetData>
  <mergeCells count="17">
    <mergeCell ref="G6:G7"/>
    <mergeCell ref="H6:I6"/>
    <mergeCell ref="J6:K6"/>
    <mergeCell ref="L6:M6"/>
    <mergeCell ref="A6:A9"/>
    <mergeCell ref="B6:B7"/>
    <mergeCell ref="C6:C7"/>
    <mergeCell ref="D6:D7"/>
    <mergeCell ref="E6:E7"/>
    <mergeCell ref="F6:F7"/>
    <mergeCell ref="A5:G5"/>
    <mergeCell ref="H5:M5"/>
    <mergeCell ref="R2:AA2"/>
    <mergeCell ref="A3:G3"/>
    <mergeCell ref="H3:M3"/>
    <mergeCell ref="A4:G4"/>
    <mergeCell ref="H4:M4"/>
  </mergeCells>
  <pageMargins left="0.75" right="0.75" top="1" bottom="1" header="0.5" footer="0.5"/>
  <customProperties>
    <customPr name="_pios_id" r:id="rId1"/>
  </customProperties>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EE1BE-6B7C-41CD-9008-80C8F5A9A302}">
  <sheetPr codeName="Sheet119"/>
  <dimension ref="A1:S72"/>
  <sheetViews>
    <sheetView topLeftCell="D39" workbookViewId="0">
      <selection activeCell="A2" sqref="A2"/>
    </sheetView>
  </sheetViews>
  <sheetFormatPr defaultRowHeight="15.75" x14ac:dyDescent="0.25"/>
  <cols>
    <col min="1" max="5" width="9" style="3109"/>
    <col min="6" max="6" width="18.125" style="3109" bestFit="1" customWidth="1"/>
    <col min="7" max="7" width="12.625" style="3109" bestFit="1" customWidth="1"/>
    <col min="8" max="8" width="49.375" style="3109" bestFit="1" customWidth="1"/>
    <col min="9" max="11" width="9" style="3109"/>
    <col min="12" max="12" width="9" style="2472"/>
    <col min="13" max="13" width="10.875" style="2472" bestFit="1" customWidth="1"/>
    <col min="14" max="18" width="9" style="2472"/>
    <col min="19" max="19" width="10.625" style="2472" bestFit="1" customWidth="1"/>
    <col min="20" max="16384" width="9" style="2472"/>
  </cols>
  <sheetData>
    <row r="1" spans="1:19" x14ac:dyDescent="0.25">
      <c r="P1" s="3872" t="s">
        <v>5583</v>
      </c>
      <c r="Q1" s="3873"/>
      <c r="R1" s="3873"/>
      <c r="S1" s="3874"/>
    </row>
    <row r="2" spans="1:19" ht="16.5" thickBot="1" x14ac:dyDescent="0.3">
      <c r="A2" s="3110" t="s">
        <v>11809</v>
      </c>
      <c r="B2" s="3110" t="s">
        <v>11810</v>
      </c>
      <c r="C2" s="3110" t="s">
        <v>11811</v>
      </c>
      <c r="D2" s="3110" t="s">
        <v>11812</v>
      </c>
      <c r="E2" s="3110" t="s">
        <v>96</v>
      </c>
      <c r="F2" s="3110" t="s">
        <v>11813</v>
      </c>
      <c r="G2" s="3110" t="s">
        <v>11814</v>
      </c>
      <c r="H2" s="3110" t="s">
        <v>11815</v>
      </c>
      <c r="I2" s="3110" t="s">
        <v>11816</v>
      </c>
      <c r="J2" s="3110" t="s">
        <v>11817</v>
      </c>
      <c r="K2" s="3110" t="s">
        <v>10930</v>
      </c>
      <c r="L2" s="3109" t="s">
        <v>11818</v>
      </c>
      <c r="M2" s="3109" t="s">
        <v>11819</v>
      </c>
      <c r="N2" s="3109" t="s">
        <v>11820</v>
      </c>
      <c r="O2" s="3109"/>
      <c r="P2" s="3111" t="s">
        <v>5585</v>
      </c>
      <c r="Q2" s="3112" t="s">
        <v>394</v>
      </c>
      <c r="R2" s="3112" t="s">
        <v>393</v>
      </c>
      <c r="S2" s="3113" t="s">
        <v>11821</v>
      </c>
    </row>
    <row r="3" spans="1:19" x14ac:dyDescent="0.25">
      <c r="A3" s="3110">
        <v>2024</v>
      </c>
      <c r="B3" s="3110">
        <v>1</v>
      </c>
      <c r="C3" s="3110">
        <v>1000</v>
      </c>
      <c r="D3" s="3110">
        <v>1423</v>
      </c>
      <c r="E3" s="3110">
        <v>554550</v>
      </c>
      <c r="F3" s="3110" t="s">
        <v>11822</v>
      </c>
      <c r="G3" s="3110">
        <v>-190.42</v>
      </c>
      <c r="H3" s="3110" t="s">
        <v>11852</v>
      </c>
      <c r="I3" s="3110">
        <v>4210000</v>
      </c>
      <c r="J3" s="3110">
        <v>1</v>
      </c>
      <c r="K3" s="3110">
        <v>0</v>
      </c>
      <c r="L3" s="3114">
        <f>'Pg 114 - Income Statement'!$E$96</f>
        <v>0.40125437407581699</v>
      </c>
      <c r="M3" s="3115">
        <f t="shared" ref="M3:M34" si="0">G3*L3</f>
        <v>-76.406857911517065</v>
      </c>
      <c r="N3" s="3116">
        <f t="shared" ref="N3:N34" si="1">IF(OR(I3=4211000,I3=4211900),LEFT(I3,4),IF(I3=4212000,LEFT(I3,4),421))</f>
        <v>421</v>
      </c>
      <c r="O3" s="3116"/>
      <c r="P3" s="3117" t="s">
        <v>392</v>
      </c>
      <c r="Q3" s="3118">
        <f t="shared" ref="Q3:S22" si="2">IF($P3="PTD",$M3*Q$64,IF($P3="PROD",$M3*Q$65,IF($P3="TRANS",$M3*Q$66,IF($P3="DIST",$M3*Q$67,IF($P3="LABOR",$M3*Q$68,IF($P3="TD",$M3*Q$69,0))))))</f>
        <v>0</v>
      </c>
      <c r="R3" s="3118">
        <f t="shared" si="2"/>
        <v>0</v>
      </c>
      <c r="S3" s="3118">
        <f t="shared" si="2"/>
        <v>-76.406857911517065</v>
      </c>
    </row>
    <row r="4" spans="1:19" x14ac:dyDescent="0.25">
      <c r="A4" s="3110">
        <v>2024</v>
      </c>
      <c r="B4" s="3110">
        <v>5</v>
      </c>
      <c r="C4" s="3110">
        <v>1000</v>
      </c>
      <c r="D4" s="3110">
        <v>1097</v>
      </c>
      <c r="E4" s="3110">
        <v>380550</v>
      </c>
      <c r="F4" s="3110" t="s">
        <v>11824</v>
      </c>
      <c r="G4" s="3146">
        <v>-23922.19</v>
      </c>
      <c r="H4" s="3110" t="s">
        <v>11864</v>
      </c>
      <c r="I4" s="3110">
        <v>4210000</v>
      </c>
      <c r="J4" s="3110">
        <v>651070</v>
      </c>
      <c r="K4" s="3110">
        <v>0</v>
      </c>
      <c r="L4" s="3114">
        <f>'Pg 114 - Income Statement'!$E$96</f>
        <v>0.40125437407581699</v>
      </c>
      <c r="M4" s="3115">
        <f t="shared" si="0"/>
        <v>-9598.8833749727673</v>
      </c>
      <c r="N4" s="3116">
        <f t="shared" si="1"/>
        <v>421</v>
      </c>
      <c r="O4" s="3116"/>
      <c r="P4" s="3117" t="s">
        <v>394</v>
      </c>
      <c r="Q4" s="3118">
        <f t="shared" si="2"/>
        <v>-9598.8833749727673</v>
      </c>
      <c r="R4" s="3118">
        <f t="shared" si="2"/>
        <v>0</v>
      </c>
      <c r="S4" s="3118">
        <f t="shared" si="2"/>
        <v>0</v>
      </c>
    </row>
    <row r="5" spans="1:19" x14ac:dyDescent="0.25">
      <c r="A5" s="3110">
        <v>2024</v>
      </c>
      <c r="B5" s="3110">
        <v>5</v>
      </c>
      <c r="C5" s="3110">
        <v>1000</v>
      </c>
      <c r="D5" s="3110">
        <v>1097</v>
      </c>
      <c r="E5" s="3110">
        <v>505970</v>
      </c>
      <c r="F5" s="3110" t="s">
        <v>11823</v>
      </c>
      <c r="G5" s="3146">
        <v>19589.099999999999</v>
      </c>
      <c r="H5" s="3110" t="s">
        <v>11864</v>
      </c>
      <c r="I5" s="3110">
        <v>4210000</v>
      </c>
      <c r="J5" s="3110">
        <v>108</v>
      </c>
      <c r="K5" s="3110">
        <v>0</v>
      </c>
      <c r="L5" s="3114">
        <f>'Pg 114 - Income Statement'!$E$96</f>
        <v>0.40125437407581699</v>
      </c>
      <c r="M5" s="3115">
        <f t="shared" si="0"/>
        <v>7860.2120592085857</v>
      </c>
      <c r="N5" s="3116">
        <f t="shared" si="1"/>
        <v>421</v>
      </c>
      <c r="O5" s="3116"/>
      <c r="P5" s="3117" t="s">
        <v>394</v>
      </c>
      <c r="Q5" s="3118">
        <f t="shared" si="2"/>
        <v>7860.2120592085857</v>
      </c>
      <c r="R5" s="3118">
        <f t="shared" si="2"/>
        <v>0</v>
      </c>
      <c r="S5" s="3118">
        <f t="shared" si="2"/>
        <v>0</v>
      </c>
    </row>
    <row r="6" spans="1:19" x14ac:dyDescent="0.25">
      <c r="A6" s="3110">
        <v>2024</v>
      </c>
      <c r="B6" s="3110">
        <v>12</v>
      </c>
      <c r="C6" s="3110">
        <v>1000</v>
      </c>
      <c r="D6" s="3110">
        <v>1423</v>
      </c>
      <c r="E6" s="3110">
        <v>554550</v>
      </c>
      <c r="F6" s="3110" t="s">
        <v>11822</v>
      </c>
      <c r="G6" s="3146">
        <v>-367467.31</v>
      </c>
      <c r="H6" s="3110" t="s">
        <v>11893</v>
      </c>
      <c r="I6" s="3110">
        <v>4210000</v>
      </c>
      <c r="J6" s="3110">
        <v>1</v>
      </c>
      <c r="K6" s="3110">
        <v>0</v>
      </c>
      <c r="L6" s="3114">
        <f>'Pg 114 - Income Statement'!$E$96</f>
        <v>0.40125437407581699</v>
      </c>
      <c r="M6" s="3115">
        <f t="shared" si="0"/>
        <v>-147447.86546737421</v>
      </c>
      <c r="N6" s="3116">
        <f t="shared" si="1"/>
        <v>421</v>
      </c>
      <c r="O6" s="3116"/>
      <c r="P6" s="3117" t="s">
        <v>392</v>
      </c>
      <c r="Q6" s="3118">
        <f t="shared" si="2"/>
        <v>0</v>
      </c>
      <c r="R6" s="3118">
        <f t="shared" si="2"/>
        <v>0</v>
      </c>
      <c r="S6" s="3118">
        <f t="shared" si="2"/>
        <v>-147447.86546737421</v>
      </c>
    </row>
    <row r="7" spans="1:19" x14ac:dyDescent="0.25">
      <c r="A7" s="3119">
        <v>2024</v>
      </c>
      <c r="B7" s="3119">
        <v>7</v>
      </c>
      <c r="C7" s="3119">
        <v>1000</v>
      </c>
      <c r="D7" s="3119">
        <v>1734</v>
      </c>
      <c r="E7" s="3119">
        <v>554000</v>
      </c>
      <c r="F7" s="3119" t="s">
        <v>11825</v>
      </c>
      <c r="G7" s="3120">
        <v>-462106.18</v>
      </c>
      <c r="H7" s="3119" t="s">
        <v>11871</v>
      </c>
      <c r="I7" s="3119">
        <v>4211000</v>
      </c>
      <c r="J7" s="3119">
        <v>95</v>
      </c>
      <c r="K7" s="3119">
        <v>554000</v>
      </c>
      <c r="L7" s="3121">
        <f>'Pg 114 - Income Statement'!$E$96</f>
        <v>0.40125437407581699</v>
      </c>
      <c r="M7" s="3122">
        <f t="shared" si="0"/>
        <v>-185422.12601246682</v>
      </c>
      <c r="N7" s="3123" t="str">
        <f t="shared" si="1"/>
        <v>4211</v>
      </c>
      <c r="O7" s="3123"/>
      <c r="P7" s="3124"/>
      <c r="Q7" s="3125">
        <f t="shared" si="2"/>
        <v>0</v>
      </c>
      <c r="R7" s="3125">
        <f t="shared" si="2"/>
        <v>0</v>
      </c>
      <c r="S7" s="3125">
        <f t="shared" si="2"/>
        <v>0</v>
      </c>
    </row>
    <row r="8" spans="1:19" x14ac:dyDescent="0.25">
      <c r="A8" s="3119">
        <v>2024</v>
      </c>
      <c r="B8" s="3119">
        <v>7</v>
      </c>
      <c r="C8" s="3119">
        <v>1000</v>
      </c>
      <c r="D8" s="3119">
        <v>1734</v>
      </c>
      <c r="E8" s="3119">
        <v>554000</v>
      </c>
      <c r="F8" s="3119" t="s">
        <v>11825</v>
      </c>
      <c r="G8" s="3120">
        <v>462106.18</v>
      </c>
      <c r="H8" s="3119" t="s">
        <v>11872</v>
      </c>
      <c r="I8" s="3119">
        <v>4211000</v>
      </c>
      <c r="J8" s="3119">
        <v>95</v>
      </c>
      <c r="K8" s="3119">
        <v>554000</v>
      </c>
      <c r="L8" s="3121">
        <f>'Pg 114 - Income Statement'!$E$96</f>
        <v>0.40125437407581699</v>
      </c>
      <c r="M8" s="3122">
        <f t="shared" si="0"/>
        <v>185422.12601246682</v>
      </c>
      <c r="N8" s="3123" t="str">
        <f t="shared" si="1"/>
        <v>4211</v>
      </c>
      <c r="O8" s="3123"/>
      <c r="P8" s="3124"/>
      <c r="Q8" s="3125">
        <f t="shared" si="2"/>
        <v>0</v>
      </c>
      <c r="R8" s="3125">
        <f t="shared" si="2"/>
        <v>0</v>
      </c>
      <c r="S8" s="3125">
        <f t="shared" si="2"/>
        <v>0</v>
      </c>
    </row>
    <row r="9" spans="1:19" x14ac:dyDescent="0.25">
      <c r="A9" s="3119">
        <v>2024</v>
      </c>
      <c r="B9" s="3119">
        <v>8</v>
      </c>
      <c r="C9" s="3119">
        <v>1000</v>
      </c>
      <c r="D9" s="3119">
        <v>1734</v>
      </c>
      <c r="E9" s="3119">
        <v>554000</v>
      </c>
      <c r="F9" s="3119" t="s">
        <v>11825</v>
      </c>
      <c r="G9" s="3120">
        <v>-8140.3</v>
      </c>
      <c r="H9" s="3119" t="s">
        <v>11876</v>
      </c>
      <c r="I9" s="3119">
        <v>4211000</v>
      </c>
      <c r="J9" s="3119">
        <v>95</v>
      </c>
      <c r="K9" s="3119">
        <v>554000</v>
      </c>
      <c r="L9" s="3121">
        <f>'Pg 114 - Income Statement'!$E$96</f>
        <v>0.40125437407581699</v>
      </c>
      <c r="M9" s="3122">
        <f t="shared" si="0"/>
        <v>-3266.3309812893731</v>
      </c>
      <c r="N9" s="3123" t="str">
        <f t="shared" si="1"/>
        <v>4211</v>
      </c>
      <c r="O9" s="3123"/>
      <c r="P9" s="3124"/>
      <c r="Q9" s="3125">
        <f t="shared" si="2"/>
        <v>0</v>
      </c>
      <c r="R9" s="3125">
        <f t="shared" si="2"/>
        <v>0</v>
      </c>
      <c r="S9" s="3125">
        <f t="shared" si="2"/>
        <v>0</v>
      </c>
    </row>
    <row r="10" spans="1:19" x14ac:dyDescent="0.25">
      <c r="A10" s="3119">
        <v>2024</v>
      </c>
      <c r="B10" s="3119">
        <v>8</v>
      </c>
      <c r="C10" s="3119">
        <v>1000</v>
      </c>
      <c r="D10" s="3119">
        <v>1734</v>
      </c>
      <c r="E10" s="3119">
        <v>554000</v>
      </c>
      <c r="F10" s="3119" t="s">
        <v>11825</v>
      </c>
      <c r="G10" s="3120">
        <v>-782442.27</v>
      </c>
      <c r="H10" s="3119" t="s">
        <v>11877</v>
      </c>
      <c r="I10" s="3119">
        <v>4211000</v>
      </c>
      <c r="J10" s="3119">
        <v>95</v>
      </c>
      <c r="K10" s="3119">
        <v>554000</v>
      </c>
      <c r="L10" s="3121">
        <f>'Pg 114 - Income Statement'!$E$96</f>
        <v>0.40125437407581699</v>
      </c>
      <c r="M10" s="3122">
        <f t="shared" si="0"/>
        <v>-313958.38329931139</v>
      </c>
      <c r="N10" s="3123" t="str">
        <f t="shared" si="1"/>
        <v>4211</v>
      </c>
      <c r="O10" s="3123"/>
      <c r="P10" s="3124"/>
      <c r="Q10" s="3125">
        <f t="shared" si="2"/>
        <v>0</v>
      </c>
      <c r="R10" s="3125">
        <f t="shared" si="2"/>
        <v>0</v>
      </c>
      <c r="S10" s="3125">
        <f t="shared" si="2"/>
        <v>0</v>
      </c>
    </row>
    <row r="11" spans="1:19" x14ac:dyDescent="0.25">
      <c r="A11" s="3119">
        <v>2024</v>
      </c>
      <c r="B11" s="3119">
        <v>8</v>
      </c>
      <c r="C11" s="3119">
        <v>1000</v>
      </c>
      <c r="D11" s="3119">
        <v>1734</v>
      </c>
      <c r="E11" s="3119">
        <v>554000</v>
      </c>
      <c r="F11" s="3119" t="s">
        <v>11825</v>
      </c>
      <c r="G11" s="3120">
        <v>209095.18</v>
      </c>
      <c r="H11" s="3119" t="s">
        <v>11878</v>
      </c>
      <c r="I11" s="3119">
        <v>4211000</v>
      </c>
      <c r="J11" s="3119">
        <v>108</v>
      </c>
      <c r="K11" s="3119">
        <v>554000</v>
      </c>
      <c r="L11" s="3121">
        <f>'Pg 114 - Income Statement'!$E$96</f>
        <v>0.40125437407581699</v>
      </c>
      <c r="M11" s="3122">
        <f t="shared" si="0"/>
        <v>83900.35557317028</v>
      </c>
      <c r="N11" s="3123" t="str">
        <f t="shared" si="1"/>
        <v>4211</v>
      </c>
      <c r="O11" s="3123"/>
      <c r="P11" s="3124"/>
      <c r="Q11" s="3125">
        <f t="shared" si="2"/>
        <v>0</v>
      </c>
      <c r="R11" s="3125">
        <f t="shared" si="2"/>
        <v>0</v>
      </c>
      <c r="S11" s="3125">
        <f t="shared" si="2"/>
        <v>0</v>
      </c>
    </row>
    <row r="12" spans="1:19" x14ac:dyDescent="0.25">
      <c r="A12" s="3119">
        <v>2024</v>
      </c>
      <c r="B12" s="3119">
        <v>12</v>
      </c>
      <c r="C12" s="3119">
        <v>1000</v>
      </c>
      <c r="D12" s="3119">
        <v>1734</v>
      </c>
      <c r="E12" s="3119">
        <v>554000</v>
      </c>
      <c r="F12" s="3119" t="s">
        <v>11825</v>
      </c>
      <c r="G12" s="3119">
        <v>-642641.38</v>
      </c>
      <c r="H12" s="3119" t="s">
        <v>11891</v>
      </c>
      <c r="I12" s="3119">
        <v>4211000</v>
      </c>
      <c r="J12" s="3119">
        <v>95</v>
      </c>
      <c r="K12" s="3119">
        <v>554000</v>
      </c>
      <c r="L12" s="3121">
        <f>'Pg 114 - Income Statement'!$E$96</f>
        <v>0.40125437407581699</v>
      </c>
      <c r="M12" s="3122">
        <f t="shared" si="0"/>
        <v>-257862.66468711925</v>
      </c>
      <c r="N12" s="3123" t="str">
        <f t="shared" si="1"/>
        <v>4211</v>
      </c>
      <c r="O12" s="3123"/>
      <c r="P12" s="3124"/>
      <c r="Q12" s="3125">
        <f t="shared" si="2"/>
        <v>0</v>
      </c>
      <c r="R12" s="3125">
        <f t="shared" si="2"/>
        <v>0</v>
      </c>
      <c r="S12" s="3125">
        <f t="shared" si="2"/>
        <v>0</v>
      </c>
    </row>
    <row r="13" spans="1:19" x14ac:dyDescent="0.25">
      <c r="A13" s="3119">
        <v>2024</v>
      </c>
      <c r="B13" s="3119">
        <v>12</v>
      </c>
      <c r="C13" s="3119">
        <v>1000</v>
      </c>
      <c r="D13" s="3119">
        <v>1734</v>
      </c>
      <c r="E13" s="3119">
        <v>554000</v>
      </c>
      <c r="F13" s="3119" t="s">
        <v>11825</v>
      </c>
      <c r="G13" s="3120">
        <v>-503195.49</v>
      </c>
      <c r="H13" s="3119" t="s">
        <v>11892</v>
      </c>
      <c r="I13" s="3119">
        <v>4211000</v>
      </c>
      <c r="J13" s="3119">
        <v>95</v>
      </c>
      <c r="K13" s="3119">
        <v>554000</v>
      </c>
      <c r="L13" s="3121">
        <f>'Pg 114 - Income Statement'!$E$96</f>
        <v>0.40125437407581699</v>
      </c>
      <c r="M13" s="3122">
        <f t="shared" si="0"/>
        <v>-201909.39137772401</v>
      </c>
      <c r="N13" s="3123" t="str">
        <f t="shared" si="1"/>
        <v>4211</v>
      </c>
      <c r="O13" s="3123"/>
      <c r="P13" s="3124"/>
      <c r="Q13" s="3125">
        <f t="shared" si="2"/>
        <v>0</v>
      </c>
      <c r="R13" s="3125">
        <f t="shared" si="2"/>
        <v>0</v>
      </c>
      <c r="S13" s="3125">
        <f t="shared" si="2"/>
        <v>0</v>
      </c>
    </row>
    <row r="14" spans="1:19" x14ac:dyDescent="0.25">
      <c r="A14" s="3119">
        <v>2024</v>
      </c>
      <c r="B14" s="3119">
        <v>7</v>
      </c>
      <c r="C14" s="3119">
        <v>1000</v>
      </c>
      <c r="D14" s="3119">
        <v>1734</v>
      </c>
      <c r="E14" s="3119">
        <v>364105</v>
      </c>
      <c r="F14" s="3119" t="s">
        <v>11826</v>
      </c>
      <c r="G14" s="3120">
        <v>498882.45</v>
      </c>
      <c r="H14" s="3119" t="s">
        <v>11871</v>
      </c>
      <c r="I14" s="3119">
        <v>4211900</v>
      </c>
      <c r="J14" s="3119">
        <v>1</v>
      </c>
      <c r="K14" s="3119">
        <v>364105</v>
      </c>
      <c r="L14" s="3121">
        <f>'Pg 114 - Income Statement'!$E$96</f>
        <v>0.40125437407581699</v>
      </c>
      <c r="M14" s="3122">
        <f t="shared" si="0"/>
        <v>200178.76521216007</v>
      </c>
      <c r="N14" s="3123" t="str">
        <f t="shared" si="1"/>
        <v>4211</v>
      </c>
      <c r="O14" s="3123"/>
      <c r="P14" s="3124"/>
      <c r="Q14" s="3125">
        <f t="shared" si="2"/>
        <v>0</v>
      </c>
      <c r="R14" s="3125">
        <f t="shared" si="2"/>
        <v>0</v>
      </c>
      <c r="S14" s="3125">
        <f t="shared" si="2"/>
        <v>0</v>
      </c>
    </row>
    <row r="15" spans="1:19" x14ac:dyDescent="0.25">
      <c r="A15" s="3119">
        <v>2024</v>
      </c>
      <c r="B15" s="3119">
        <v>7</v>
      </c>
      <c r="C15" s="3119">
        <v>1000</v>
      </c>
      <c r="D15" s="3119">
        <v>1734</v>
      </c>
      <c r="E15" s="3119">
        <v>364105</v>
      </c>
      <c r="F15" s="3119" t="s">
        <v>11826</v>
      </c>
      <c r="G15" s="3120">
        <v>-498882.45</v>
      </c>
      <c r="H15" s="3119" t="s">
        <v>11872</v>
      </c>
      <c r="I15" s="3119">
        <v>4211900</v>
      </c>
      <c r="J15" s="3119">
        <v>1</v>
      </c>
      <c r="K15" s="3119">
        <v>364105</v>
      </c>
      <c r="L15" s="3121">
        <f>'Pg 114 - Income Statement'!$E$96</f>
        <v>0.40125437407581699</v>
      </c>
      <c r="M15" s="3122">
        <f t="shared" si="0"/>
        <v>-200178.76521216007</v>
      </c>
      <c r="N15" s="3123" t="str">
        <f t="shared" si="1"/>
        <v>4211</v>
      </c>
      <c r="O15" s="3123"/>
      <c r="P15" s="3124"/>
      <c r="Q15" s="3125">
        <f t="shared" si="2"/>
        <v>0</v>
      </c>
      <c r="R15" s="3125">
        <f t="shared" si="2"/>
        <v>0</v>
      </c>
      <c r="S15" s="3125">
        <f t="shared" si="2"/>
        <v>0</v>
      </c>
    </row>
    <row r="16" spans="1:19" x14ac:dyDescent="0.25">
      <c r="A16" s="3119">
        <v>2024</v>
      </c>
      <c r="B16" s="3119">
        <v>8</v>
      </c>
      <c r="C16" s="3119">
        <v>1000</v>
      </c>
      <c r="D16" s="3119">
        <v>1734</v>
      </c>
      <c r="E16" s="3119">
        <v>364105</v>
      </c>
      <c r="F16" s="3119" t="s">
        <v>11826</v>
      </c>
      <c r="G16" s="3120">
        <v>10550</v>
      </c>
      <c r="H16" s="3119" t="s">
        <v>11876</v>
      </c>
      <c r="I16" s="3119">
        <v>4211900</v>
      </c>
      <c r="J16" s="3119">
        <v>1</v>
      </c>
      <c r="K16" s="3119">
        <v>364105</v>
      </c>
      <c r="L16" s="3121">
        <f>'Pg 114 - Income Statement'!$E$96</f>
        <v>0.40125437407581699</v>
      </c>
      <c r="M16" s="3122">
        <f t="shared" si="0"/>
        <v>4233.2336464998689</v>
      </c>
      <c r="N16" s="3123" t="str">
        <f t="shared" si="1"/>
        <v>4211</v>
      </c>
      <c r="O16" s="3123"/>
      <c r="P16" s="3124"/>
      <c r="Q16" s="3125">
        <f t="shared" si="2"/>
        <v>0</v>
      </c>
      <c r="R16" s="3125">
        <f t="shared" si="2"/>
        <v>0</v>
      </c>
      <c r="S16" s="3125">
        <f t="shared" si="2"/>
        <v>0</v>
      </c>
    </row>
    <row r="17" spans="1:19" x14ac:dyDescent="0.25">
      <c r="A17" s="3119">
        <v>2024</v>
      </c>
      <c r="B17" s="3119">
        <v>8</v>
      </c>
      <c r="C17" s="3119">
        <v>1000</v>
      </c>
      <c r="D17" s="3119">
        <v>1734</v>
      </c>
      <c r="E17" s="3119">
        <v>364105</v>
      </c>
      <c r="F17" s="3119" t="s">
        <v>11826</v>
      </c>
      <c r="G17" s="3120">
        <v>783963</v>
      </c>
      <c r="H17" s="3119" t="s">
        <v>11877</v>
      </c>
      <c r="I17" s="3119">
        <v>4211900</v>
      </c>
      <c r="J17" s="3119">
        <v>1</v>
      </c>
      <c r="K17" s="3119">
        <v>364105</v>
      </c>
      <c r="L17" s="3121">
        <f>'Pg 114 - Income Statement'!$E$96</f>
        <v>0.40125437407581699</v>
      </c>
      <c r="M17" s="3122">
        <f t="shared" si="0"/>
        <v>314568.5828635997</v>
      </c>
      <c r="N17" s="3123" t="str">
        <f t="shared" si="1"/>
        <v>4211</v>
      </c>
      <c r="O17" s="3123"/>
      <c r="P17" s="3126"/>
      <c r="Q17" s="3125">
        <f t="shared" si="2"/>
        <v>0</v>
      </c>
      <c r="R17" s="3125">
        <f t="shared" si="2"/>
        <v>0</v>
      </c>
      <c r="S17" s="3125">
        <f t="shared" si="2"/>
        <v>0</v>
      </c>
    </row>
    <row r="18" spans="1:19" x14ac:dyDescent="0.25">
      <c r="A18" s="3119">
        <v>2024</v>
      </c>
      <c r="B18" s="3119">
        <v>8</v>
      </c>
      <c r="C18" s="3119">
        <v>1000</v>
      </c>
      <c r="D18" s="3119">
        <v>1734</v>
      </c>
      <c r="E18" s="3119">
        <v>364105</v>
      </c>
      <c r="F18" s="3119" t="s">
        <v>11826</v>
      </c>
      <c r="G18" s="3120">
        <v>-10550</v>
      </c>
      <c r="H18" s="3119" t="s">
        <v>11876</v>
      </c>
      <c r="I18" s="3119">
        <v>4211900</v>
      </c>
      <c r="J18" s="3119">
        <v>1</v>
      </c>
      <c r="K18" s="3119">
        <v>364105</v>
      </c>
      <c r="L18" s="3121">
        <f>'Pg 114 - Income Statement'!$E$96</f>
        <v>0.40125437407581699</v>
      </c>
      <c r="M18" s="3122">
        <f t="shared" si="0"/>
        <v>-4233.2336464998689</v>
      </c>
      <c r="N18" s="3123" t="str">
        <f t="shared" si="1"/>
        <v>4211</v>
      </c>
      <c r="O18" s="3123"/>
      <c r="P18" s="3126"/>
      <c r="Q18" s="3125">
        <f t="shared" si="2"/>
        <v>0</v>
      </c>
      <c r="R18" s="3125">
        <f t="shared" si="2"/>
        <v>0</v>
      </c>
      <c r="S18" s="3125">
        <f t="shared" si="2"/>
        <v>0</v>
      </c>
    </row>
    <row r="19" spans="1:19" x14ac:dyDescent="0.25">
      <c r="A19" s="3119">
        <v>2024</v>
      </c>
      <c r="B19" s="3119">
        <v>8</v>
      </c>
      <c r="C19" s="3119">
        <v>1000</v>
      </c>
      <c r="D19" s="3119">
        <v>1734</v>
      </c>
      <c r="E19" s="3119">
        <v>364105</v>
      </c>
      <c r="F19" s="3119" t="s">
        <v>11826</v>
      </c>
      <c r="G19" s="3120">
        <v>-783963</v>
      </c>
      <c r="H19" s="3119" t="s">
        <v>11877</v>
      </c>
      <c r="I19" s="3119">
        <v>4211900</v>
      </c>
      <c r="J19" s="3119">
        <v>1</v>
      </c>
      <c r="K19" s="3119">
        <v>364105</v>
      </c>
      <c r="L19" s="3121">
        <f>'Pg 114 - Income Statement'!$E$96</f>
        <v>0.40125437407581699</v>
      </c>
      <c r="M19" s="3122">
        <f t="shared" si="0"/>
        <v>-314568.5828635997</v>
      </c>
      <c r="N19" s="3123" t="str">
        <f t="shared" si="1"/>
        <v>4211</v>
      </c>
      <c r="O19" s="3123"/>
      <c r="P19" s="3126"/>
      <c r="Q19" s="3125">
        <f t="shared" si="2"/>
        <v>0</v>
      </c>
      <c r="R19" s="3125">
        <f t="shared" si="2"/>
        <v>0</v>
      </c>
      <c r="S19" s="3125">
        <f t="shared" si="2"/>
        <v>0</v>
      </c>
    </row>
    <row r="20" spans="1:19" x14ac:dyDescent="0.25">
      <c r="A20" s="3119">
        <v>2024</v>
      </c>
      <c r="B20" s="3119">
        <v>12</v>
      </c>
      <c r="C20" s="3119">
        <v>1000</v>
      </c>
      <c r="D20" s="3119">
        <v>1734</v>
      </c>
      <c r="E20" s="3119">
        <v>364105</v>
      </c>
      <c r="F20" s="3119" t="s">
        <v>11826</v>
      </c>
      <c r="G20" s="3120">
        <v>643355.47</v>
      </c>
      <c r="H20" s="3119" t="s">
        <v>11891</v>
      </c>
      <c r="I20" s="3119">
        <v>4211900</v>
      </c>
      <c r="J20" s="3119">
        <v>1</v>
      </c>
      <c r="K20" s="3119">
        <v>364105</v>
      </c>
      <c r="L20" s="3121">
        <f>'Pg 114 - Income Statement'!$E$96</f>
        <v>0.40125437407581699</v>
      </c>
      <c r="M20" s="3122">
        <f t="shared" si="0"/>
        <v>258149.19642310304</v>
      </c>
      <c r="N20" s="3123" t="str">
        <f t="shared" si="1"/>
        <v>4211</v>
      </c>
      <c r="O20" s="3123"/>
      <c r="P20" s="3126"/>
      <c r="Q20" s="3125">
        <f t="shared" si="2"/>
        <v>0</v>
      </c>
      <c r="R20" s="3125">
        <f t="shared" si="2"/>
        <v>0</v>
      </c>
      <c r="S20" s="3125">
        <f t="shared" si="2"/>
        <v>0</v>
      </c>
    </row>
    <row r="21" spans="1:19" x14ac:dyDescent="0.25">
      <c r="A21" s="3119">
        <v>2024</v>
      </c>
      <c r="B21" s="3119">
        <v>12</v>
      </c>
      <c r="C21" s="3119">
        <v>1000</v>
      </c>
      <c r="D21" s="3119">
        <v>1734</v>
      </c>
      <c r="E21" s="3119">
        <v>364105</v>
      </c>
      <c r="F21" s="3119" t="s">
        <v>11826</v>
      </c>
      <c r="G21" s="3119">
        <v>503506.53</v>
      </c>
      <c r="H21" s="3119" t="s">
        <v>11892</v>
      </c>
      <c r="I21" s="3119">
        <v>4211900</v>
      </c>
      <c r="J21" s="3119">
        <v>1</v>
      </c>
      <c r="K21" s="3119">
        <v>364105</v>
      </c>
      <c r="L21" s="3121">
        <f>'Pg 114 - Income Statement'!$E$96</f>
        <v>0.40125437407581699</v>
      </c>
      <c r="M21" s="3122">
        <f t="shared" si="0"/>
        <v>202034.19753823659</v>
      </c>
      <c r="N21" s="3123" t="str">
        <f t="shared" si="1"/>
        <v>4211</v>
      </c>
      <c r="O21" s="3123"/>
      <c r="P21" s="3126"/>
      <c r="Q21" s="3125">
        <f t="shared" si="2"/>
        <v>0</v>
      </c>
      <c r="R21" s="3125">
        <f t="shared" si="2"/>
        <v>0</v>
      </c>
      <c r="S21" s="3125">
        <f t="shared" si="2"/>
        <v>0</v>
      </c>
    </row>
    <row r="22" spans="1:19" x14ac:dyDescent="0.25">
      <c r="A22" s="3119">
        <v>2024</v>
      </c>
      <c r="B22" s="3119">
        <v>12</v>
      </c>
      <c r="C22" s="3119">
        <v>1000</v>
      </c>
      <c r="D22" s="3119">
        <v>1734</v>
      </c>
      <c r="E22" s="3119">
        <v>364105</v>
      </c>
      <c r="F22" s="3119" t="s">
        <v>11826</v>
      </c>
      <c r="G22" s="3120">
        <v>-643355.47</v>
      </c>
      <c r="H22" s="3119" t="s">
        <v>11891</v>
      </c>
      <c r="I22" s="3119">
        <v>4211900</v>
      </c>
      <c r="J22" s="3119">
        <v>1</v>
      </c>
      <c r="K22" s="3119">
        <v>364105</v>
      </c>
      <c r="L22" s="3121">
        <f>'Pg 114 - Income Statement'!$E$96</f>
        <v>0.40125437407581699</v>
      </c>
      <c r="M22" s="3122">
        <f t="shared" si="0"/>
        <v>-258149.19642310304</v>
      </c>
      <c r="N22" s="3123" t="str">
        <f t="shared" si="1"/>
        <v>4211</v>
      </c>
      <c r="O22" s="3123"/>
      <c r="P22" s="3126"/>
      <c r="Q22" s="3125">
        <f t="shared" si="2"/>
        <v>0</v>
      </c>
      <c r="R22" s="3125">
        <f t="shared" si="2"/>
        <v>0</v>
      </c>
      <c r="S22" s="3125">
        <f t="shared" si="2"/>
        <v>0</v>
      </c>
    </row>
    <row r="23" spans="1:19" x14ac:dyDescent="0.25">
      <c r="A23" s="3119">
        <v>2024</v>
      </c>
      <c r="B23" s="3119">
        <v>12</v>
      </c>
      <c r="C23" s="3119">
        <v>1000</v>
      </c>
      <c r="D23" s="3119">
        <v>1734</v>
      </c>
      <c r="E23" s="3119">
        <v>364105</v>
      </c>
      <c r="F23" s="3119" t="s">
        <v>11826</v>
      </c>
      <c r="G23" s="3120">
        <v>-503506.53</v>
      </c>
      <c r="H23" s="3119" t="s">
        <v>11892</v>
      </c>
      <c r="I23" s="3119">
        <v>4211900</v>
      </c>
      <c r="J23" s="3119">
        <v>1</v>
      </c>
      <c r="K23" s="3119">
        <v>364105</v>
      </c>
      <c r="L23" s="3121">
        <f>'Pg 114 - Income Statement'!$E$96</f>
        <v>0.40125437407581699</v>
      </c>
      <c r="M23" s="3122">
        <f t="shared" si="0"/>
        <v>-202034.19753823659</v>
      </c>
      <c r="N23" s="3123" t="str">
        <f t="shared" si="1"/>
        <v>4211</v>
      </c>
      <c r="O23" s="3123"/>
      <c r="P23" s="3126"/>
      <c r="Q23" s="3125">
        <f t="shared" ref="Q23:S42" si="3">IF($P23="PTD",$M23*Q$64,IF($P23="PROD",$M23*Q$65,IF($P23="TRANS",$M23*Q$66,IF($P23="DIST",$M23*Q$67,IF($P23="LABOR",$M23*Q$68,IF($P23="TD",$M23*Q$69,0))))))</f>
        <v>0</v>
      </c>
      <c r="R23" s="3125">
        <f t="shared" si="3"/>
        <v>0</v>
      </c>
      <c r="S23" s="3125">
        <f t="shared" si="3"/>
        <v>0</v>
      </c>
    </row>
    <row r="24" spans="1:19" x14ac:dyDescent="0.25">
      <c r="A24" s="3110">
        <v>2024</v>
      </c>
      <c r="B24" s="3110">
        <v>1</v>
      </c>
      <c r="C24" s="3110">
        <v>1000</v>
      </c>
      <c r="D24" s="3110">
        <v>1423</v>
      </c>
      <c r="E24" s="3110">
        <v>387400</v>
      </c>
      <c r="F24" s="3110" t="s">
        <v>11827</v>
      </c>
      <c r="G24" s="3146">
        <v>-251556.62</v>
      </c>
      <c r="H24" s="3110" t="s">
        <v>11851</v>
      </c>
      <c r="I24" s="3110">
        <v>4213000</v>
      </c>
      <c r="J24" s="3110">
        <v>1</v>
      </c>
      <c r="K24" s="3110">
        <v>0</v>
      </c>
      <c r="L24" s="3114">
        <f>'Pg 114 - Income Statement'!$E$96</f>
        <v>0.40125437407581699</v>
      </c>
      <c r="M24" s="3115">
        <f t="shared" si="0"/>
        <v>-100938.19410272814</v>
      </c>
      <c r="N24" s="3116">
        <f t="shared" si="1"/>
        <v>421</v>
      </c>
      <c r="O24" s="3116"/>
      <c r="P24" s="3117" t="s">
        <v>392</v>
      </c>
      <c r="Q24" s="3118">
        <f t="shared" si="3"/>
        <v>0</v>
      </c>
      <c r="R24" s="3118">
        <f t="shared" si="3"/>
        <v>0</v>
      </c>
      <c r="S24" s="3118">
        <f t="shared" si="3"/>
        <v>-100938.19410272814</v>
      </c>
    </row>
    <row r="25" spans="1:19" x14ac:dyDescent="0.25">
      <c r="A25" s="3110">
        <v>2024</v>
      </c>
      <c r="B25" s="3110">
        <v>1</v>
      </c>
      <c r="C25" s="3110">
        <v>1000</v>
      </c>
      <c r="D25" s="3110">
        <v>1423</v>
      </c>
      <c r="E25" s="3110">
        <v>387400</v>
      </c>
      <c r="F25" s="3110" t="s">
        <v>11827</v>
      </c>
      <c r="G25" s="3146">
        <v>-318851.56</v>
      </c>
      <c r="H25" s="3110" t="s">
        <v>11853</v>
      </c>
      <c r="I25" s="3110">
        <v>4213000</v>
      </c>
      <c r="J25" s="3110">
        <v>1</v>
      </c>
      <c r="K25" s="3110">
        <v>0</v>
      </c>
      <c r="L25" s="3114">
        <f>'Pg 114 - Income Statement'!$E$96</f>
        <v>0.40125437407581699</v>
      </c>
      <c r="M25" s="3115">
        <f t="shared" si="0"/>
        <v>-127940.58313089781</v>
      </c>
      <c r="N25" s="3116">
        <f t="shared" si="1"/>
        <v>421</v>
      </c>
      <c r="O25" s="3116"/>
      <c r="P25" s="3117" t="s">
        <v>392</v>
      </c>
      <c r="Q25" s="3118">
        <f t="shared" si="3"/>
        <v>0</v>
      </c>
      <c r="R25" s="3118">
        <f t="shared" si="3"/>
        <v>0</v>
      </c>
      <c r="S25" s="3118">
        <f t="shared" si="3"/>
        <v>-127940.58313089781</v>
      </c>
    </row>
    <row r="26" spans="1:19" x14ac:dyDescent="0.25">
      <c r="A26" s="3110">
        <v>2024</v>
      </c>
      <c r="B26" s="3110">
        <v>1</v>
      </c>
      <c r="C26" s="3110">
        <v>1000</v>
      </c>
      <c r="D26" s="3110">
        <v>1423</v>
      </c>
      <c r="E26" s="3110">
        <v>387400</v>
      </c>
      <c r="F26" s="3110" t="s">
        <v>11827</v>
      </c>
      <c r="G26" s="3146">
        <v>-193925.64</v>
      </c>
      <c r="H26" s="3110" t="s">
        <v>11854</v>
      </c>
      <c r="I26" s="3110">
        <v>4213000</v>
      </c>
      <c r="J26" s="3110">
        <v>1</v>
      </c>
      <c r="K26" s="3110">
        <v>0</v>
      </c>
      <c r="L26" s="3114">
        <f>'Pg 114 - Income Statement'!$E$96</f>
        <v>0.40125437407581699</v>
      </c>
      <c r="M26" s="3115">
        <f t="shared" si="0"/>
        <v>-77813.511295452219</v>
      </c>
      <c r="N26" s="3116">
        <f t="shared" si="1"/>
        <v>421</v>
      </c>
      <c r="O26" s="3116"/>
      <c r="P26" s="3117" t="s">
        <v>392</v>
      </c>
      <c r="Q26" s="3118">
        <f t="shared" si="3"/>
        <v>0</v>
      </c>
      <c r="R26" s="3118">
        <f t="shared" si="3"/>
        <v>0</v>
      </c>
      <c r="S26" s="3118">
        <f t="shared" si="3"/>
        <v>-77813.511295452219</v>
      </c>
    </row>
    <row r="27" spans="1:19" x14ac:dyDescent="0.25">
      <c r="A27" s="3110">
        <v>2024</v>
      </c>
      <c r="B27" s="3110">
        <v>2</v>
      </c>
      <c r="C27" s="3110">
        <v>1000</v>
      </c>
      <c r="D27" s="3110">
        <v>1423</v>
      </c>
      <c r="E27" s="3110">
        <v>387400</v>
      </c>
      <c r="F27" s="3110" t="s">
        <v>11827</v>
      </c>
      <c r="G27" s="3146">
        <v>109677.87</v>
      </c>
      <c r="H27" s="3110" t="s">
        <v>11855</v>
      </c>
      <c r="I27" s="3110">
        <v>4213000</v>
      </c>
      <c r="J27" s="3110">
        <v>1</v>
      </c>
      <c r="K27" s="3110">
        <v>0</v>
      </c>
      <c r="L27" s="3114">
        <f>'Pg 114 - Income Statement'!$E$96</f>
        <v>0.40125437407581699</v>
      </c>
      <c r="M27" s="3115">
        <f t="shared" si="0"/>
        <v>44008.725076818824</v>
      </c>
      <c r="N27" s="3116">
        <f t="shared" si="1"/>
        <v>421</v>
      </c>
      <c r="O27" s="3116"/>
      <c r="P27" s="3117" t="s">
        <v>392</v>
      </c>
      <c r="Q27" s="3118">
        <f t="shared" si="3"/>
        <v>0</v>
      </c>
      <c r="R27" s="3118">
        <f t="shared" si="3"/>
        <v>0</v>
      </c>
      <c r="S27" s="3118">
        <f t="shared" si="3"/>
        <v>44008.725076818824</v>
      </c>
    </row>
    <row r="28" spans="1:19" x14ac:dyDescent="0.25">
      <c r="A28" s="3110">
        <v>2024</v>
      </c>
      <c r="B28" s="3110">
        <v>2</v>
      </c>
      <c r="C28" s="3110">
        <v>1000</v>
      </c>
      <c r="D28" s="3110">
        <v>1423</v>
      </c>
      <c r="E28" s="3110">
        <v>387400</v>
      </c>
      <c r="F28" s="3110" t="s">
        <v>11827</v>
      </c>
      <c r="G28" s="3146">
        <v>200778.56</v>
      </c>
      <c r="H28" s="3110" t="s">
        <v>11856</v>
      </c>
      <c r="I28" s="3110">
        <v>4213000</v>
      </c>
      <c r="J28" s="3110">
        <v>1</v>
      </c>
      <c r="K28" s="3110">
        <v>0</v>
      </c>
      <c r="L28" s="3114">
        <f>'Pg 114 - Income Statement'!$E$96</f>
        <v>0.40125437407581699</v>
      </c>
      <c r="M28" s="3115">
        <f t="shared" si="0"/>
        <v>80563.275420643869</v>
      </c>
      <c r="N28" s="3116">
        <f t="shared" si="1"/>
        <v>421</v>
      </c>
      <c r="O28" s="3116"/>
      <c r="P28" s="3117" t="s">
        <v>392</v>
      </c>
      <c r="Q28" s="3118">
        <f t="shared" si="3"/>
        <v>0</v>
      </c>
      <c r="R28" s="3118">
        <f t="shared" si="3"/>
        <v>0</v>
      </c>
      <c r="S28" s="3118">
        <f t="shared" si="3"/>
        <v>80563.275420643869</v>
      </c>
    </row>
    <row r="29" spans="1:19" x14ac:dyDescent="0.25">
      <c r="A29" s="3110">
        <v>2024</v>
      </c>
      <c r="B29" s="3110">
        <v>2</v>
      </c>
      <c r="C29" s="3110">
        <v>1000</v>
      </c>
      <c r="D29" s="3110">
        <v>1423</v>
      </c>
      <c r="E29" s="3110">
        <v>387400</v>
      </c>
      <c r="F29" s="3110" t="s">
        <v>11827</v>
      </c>
      <c r="G29" s="3146">
        <v>99582.02</v>
      </c>
      <c r="H29" s="3110" t="s">
        <v>11857</v>
      </c>
      <c r="I29" s="3110">
        <v>4213000</v>
      </c>
      <c r="J29" s="3110">
        <v>1</v>
      </c>
      <c r="K29" s="3110">
        <v>0</v>
      </c>
      <c r="L29" s="3114">
        <f>'Pg 114 - Income Statement'!$E$96</f>
        <v>0.40125437407581699</v>
      </c>
      <c r="M29" s="3115">
        <f t="shared" si="0"/>
        <v>39957.721104305492</v>
      </c>
      <c r="N29" s="3116">
        <f t="shared" si="1"/>
        <v>421</v>
      </c>
      <c r="O29" s="3116"/>
      <c r="P29" s="3117" t="s">
        <v>392</v>
      </c>
      <c r="Q29" s="3118">
        <f t="shared" si="3"/>
        <v>0</v>
      </c>
      <c r="R29" s="3118">
        <f t="shared" si="3"/>
        <v>0</v>
      </c>
      <c r="S29" s="3118">
        <f t="shared" si="3"/>
        <v>39957.721104305492</v>
      </c>
    </row>
    <row r="30" spans="1:19" x14ac:dyDescent="0.25">
      <c r="A30" s="3110">
        <v>2024</v>
      </c>
      <c r="B30" s="3110">
        <v>3</v>
      </c>
      <c r="C30" s="3110">
        <v>1000</v>
      </c>
      <c r="D30" s="3110">
        <v>1423</v>
      </c>
      <c r="E30" s="3110">
        <v>387400</v>
      </c>
      <c r="F30" s="3110" t="s">
        <v>11827</v>
      </c>
      <c r="G30" s="3146">
        <v>-97664.87</v>
      </c>
      <c r="H30" s="3110" t="s">
        <v>11858</v>
      </c>
      <c r="I30" s="3110">
        <v>4213000</v>
      </c>
      <c r="J30" s="3110">
        <v>1</v>
      </c>
      <c r="K30" s="3110">
        <v>0</v>
      </c>
      <c r="L30" s="3114">
        <f>'Pg 114 - Income Statement'!$E$96</f>
        <v>0.40125437407581699</v>
      </c>
      <c r="M30" s="3115">
        <f t="shared" si="0"/>
        <v>-39188.456281046034</v>
      </c>
      <c r="N30" s="3116">
        <f t="shared" si="1"/>
        <v>421</v>
      </c>
      <c r="O30" s="3116"/>
      <c r="P30" s="3117" t="s">
        <v>392</v>
      </c>
      <c r="Q30" s="3118">
        <f t="shared" si="3"/>
        <v>0</v>
      </c>
      <c r="R30" s="3118">
        <f t="shared" si="3"/>
        <v>0</v>
      </c>
      <c r="S30" s="3118">
        <f t="shared" si="3"/>
        <v>-39188.456281046034</v>
      </c>
    </row>
    <row r="31" spans="1:19" x14ac:dyDescent="0.25">
      <c r="A31" s="3110">
        <v>2024</v>
      </c>
      <c r="B31" s="3110">
        <v>3</v>
      </c>
      <c r="C31" s="3110">
        <v>1000</v>
      </c>
      <c r="D31" s="3110">
        <v>1423</v>
      </c>
      <c r="E31" s="3110">
        <v>387400</v>
      </c>
      <c r="F31" s="3110" t="s">
        <v>11827</v>
      </c>
      <c r="G31" s="3146">
        <v>-127278.89</v>
      </c>
      <c r="H31" s="3110" t="s">
        <v>11859</v>
      </c>
      <c r="I31" s="3110">
        <v>4213000</v>
      </c>
      <c r="J31" s="3110">
        <v>1</v>
      </c>
      <c r="K31" s="3110">
        <v>0</v>
      </c>
      <c r="L31" s="3114">
        <f>'Pg 114 - Income Statement'!$E$96</f>
        <v>0.40125437407581699</v>
      </c>
      <c r="M31" s="3115">
        <f t="shared" si="0"/>
        <v>-51071.211340014765</v>
      </c>
      <c r="N31" s="3116">
        <f t="shared" si="1"/>
        <v>421</v>
      </c>
      <c r="O31" s="3116"/>
      <c r="P31" s="3117" t="s">
        <v>392</v>
      </c>
      <c r="Q31" s="3118">
        <f t="shared" si="3"/>
        <v>0</v>
      </c>
      <c r="R31" s="3118">
        <f t="shared" si="3"/>
        <v>0</v>
      </c>
      <c r="S31" s="3118">
        <f t="shared" si="3"/>
        <v>-51071.211340014765</v>
      </c>
    </row>
    <row r="32" spans="1:19" x14ac:dyDescent="0.25">
      <c r="A32" s="3110">
        <v>2024</v>
      </c>
      <c r="B32" s="3110">
        <v>3</v>
      </c>
      <c r="C32" s="3110">
        <v>1000</v>
      </c>
      <c r="D32" s="3110">
        <v>1423</v>
      </c>
      <c r="E32" s="3110">
        <v>387400</v>
      </c>
      <c r="F32" s="3110" t="s">
        <v>11827</v>
      </c>
      <c r="G32" s="3146">
        <v>-65706.41</v>
      </c>
      <c r="H32" s="3110" t="s">
        <v>11860</v>
      </c>
      <c r="I32" s="3110">
        <v>4213000</v>
      </c>
      <c r="J32" s="3110">
        <v>1</v>
      </c>
      <c r="K32" s="3110">
        <v>0</v>
      </c>
      <c r="L32" s="3114">
        <f>'Pg 114 - Income Statement'!$E$96</f>
        <v>0.40125437407581699</v>
      </c>
      <c r="M32" s="3115">
        <f t="shared" si="0"/>
        <v>-26364.984417319003</v>
      </c>
      <c r="N32" s="3116">
        <f t="shared" si="1"/>
        <v>421</v>
      </c>
      <c r="O32" s="3116"/>
      <c r="P32" s="3117" t="s">
        <v>392</v>
      </c>
      <c r="Q32" s="3118">
        <f t="shared" si="3"/>
        <v>0</v>
      </c>
      <c r="R32" s="3118">
        <f t="shared" si="3"/>
        <v>0</v>
      </c>
      <c r="S32" s="3118">
        <f t="shared" si="3"/>
        <v>-26364.984417319003</v>
      </c>
    </row>
    <row r="33" spans="1:19" x14ac:dyDescent="0.25">
      <c r="A33" s="3110">
        <v>2024</v>
      </c>
      <c r="B33" s="3110">
        <v>4</v>
      </c>
      <c r="C33" s="3110">
        <v>1000</v>
      </c>
      <c r="D33" s="3110">
        <v>1423</v>
      </c>
      <c r="E33" s="3110">
        <v>387400</v>
      </c>
      <c r="F33" s="3110" t="s">
        <v>11827</v>
      </c>
      <c r="G33" s="3146">
        <v>-41985.72</v>
      </c>
      <c r="H33" s="3110" t="s">
        <v>11861</v>
      </c>
      <c r="I33" s="3110">
        <v>4213000</v>
      </c>
      <c r="J33" s="3110">
        <v>1</v>
      </c>
      <c r="K33" s="3110">
        <v>0</v>
      </c>
      <c r="L33" s="3114">
        <f>'Pg 114 - Income Statement'!$E$96</f>
        <v>0.40125437407581699</v>
      </c>
      <c r="M33" s="3115">
        <f t="shared" si="0"/>
        <v>-16846.953798722512</v>
      </c>
      <c r="N33" s="3116">
        <f t="shared" si="1"/>
        <v>421</v>
      </c>
      <c r="O33" s="3116"/>
      <c r="P33" s="3117" t="s">
        <v>392</v>
      </c>
      <c r="Q33" s="3118">
        <f t="shared" si="3"/>
        <v>0</v>
      </c>
      <c r="R33" s="3118">
        <f t="shared" si="3"/>
        <v>0</v>
      </c>
      <c r="S33" s="3118">
        <f t="shared" si="3"/>
        <v>-16846.953798722512</v>
      </c>
    </row>
    <row r="34" spans="1:19" x14ac:dyDescent="0.25">
      <c r="A34" s="3110">
        <v>2024</v>
      </c>
      <c r="B34" s="3110">
        <v>4</v>
      </c>
      <c r="C34" s="3110">
        <v>1000</v>
      </c>
      <c r="D34" s="3110">
        <v>1423</v>
      </c>
      <c r="E34" s="3110">
        <v>387400</v>
      </c>
      <c r="F34" s="3110" t="s">
        <v>11827</v>
      </c>
      <c r="G34" s="3146">
        <v>-63767.88</v>
      </c>
      <c r="H34" s="3110" t="s">
        <v>11862</v>
      </c>
      <c r="I34" s="3110">
        <v>4213000</v>
      </c>
      <c r="J34" s="3110">
        <v>1</v>
      </c>
      <c r="K34" s="3110">
        <v>0</v>
      </c>
      <c r="L34" s="3114">
        <f>'Pg 114 - Income Statement'!$E$96</f>
        <v>0.40125437407581699</v>
      </c>
      <c r="M34" s="3115">
        <f t="shared" si="0"/>
        <v>-25587.140775541808</v>
      </c>
      <c r="N34" s="3116">
        <f t="shared" si="1"/>
        <v>421</v>
      </c>
      <c r="O34" s="3116"/>
      <c r="P34" s="3117" t="s">
        <v>392</v>
      </c>
      <c r="Q34" s="3118">
        <f t="shared" si="3"/>
        <v>0</v>
      </c>
      <c r="R34" s="3118">
        <f t="shared" si="3"/>
        <v>0</v>
      </c>
      <c r="S34" s="3118">
        <f t="shared" si="3"/>
        <v>-25587.140775541808</v>
      </c>
    </row>
    <row r="35" spans="1:19" x14ac:dyDescent="0.25">
      <c r="A35" s="3110">
        <v>2024</v>
      </c>
      <c r="B35" s="3110">
        <v>4</v>
      </c>
      <c r="C35" s="3110">
        <v>1000</v>
      </c>
      <c r="D35" s="3110">
        <v>1423</v>
      </c>
      <c r="E35" s="3110">
        <v>387400</v>
      </c>
      <c r="F35" s="3110" t="s">
        <v>11827</v>
      </c>
      <c r="G35" s="3146">
        <v>-31282.3</v>
      </c>
      <c r="H35" s="3110" t="s">
        <v>11863</v>
      </c>
      <c r="I35" s="3110">
        <v>4213000</v>
      </c>
      <c r="J35" s="3110">
        <v>1</v>
      </c>
      <c r="K35" s="3110">
        <v>0</v>
      </c>
      <c r="L35" s="3114">
        <f>'Pg 114 - Income Statement'!$E$96</f>
        <v>0.40125437407581699</v>
      </c>
      <c r="M35" s="3115">
        <f t="shared" ref="M35:M59" si="4">G35*L35</f>
        <v>-12552.15970615193</v>
      </c>
      <c r="N35" s="3116">
        <f t="shared" ref="N35:N59" si="5">IF(OR(I35=4211000,I35=4211900),LEFT(I35,4),IF(I35=4212000,LEFT(I35,4),421))</f>
        <v>421</v>
      </c>
      <c r="O35" s="3116"/>
      <c r="P35" s="3117" t="s">
        <v>392</v>
      </c>
      <c r="Q35" s="3118">
        <f t="shared" si="3"/>
        <v>0</v>
      </c>
      <c r="R35" s="3118">
        <f t="shared" si="3"/>
        <v>0</v>
      </c>
      <c r="S35" s="3118">
        <f t="shared" si="3"/>
        <v>-12552.15970615193</v>
      </c>
    </row>
    <row r="36" spans="1:19" x14ac:dyDescent="0.25">
      <c r="A36" s="3110">
        <v>2024</v>
      </c>
      <c r="B36" s="3110">
        <v>5</v>
      </c>
      <c r="C36" s="3110">
        <v>1000</v>
      </c>
      <c r="D36" s="3110">
        <v>1423</v>
      </c>
      <c r="E36" s="3110">
        <v>387400</v>
      </c>
      <c r="F36" s="3110" t="s">
        <v>11827</v>
      </c>
      <c r="G36" s="3146">
        <v>8194.3700000000008</v>
      </c>
      <c r="H36" s="3110" t="s">
        <v>11865</v>
      </c>
      <c r="I36" s="3110">
        <v>4213000</v>
      </c>
      <c r="J36" s="3110">
        <v>1</v>
      </c>
      <c r="K36" s="3110">
        <v>0</v>
      </c>
      <c r="L36" s="3114">
        <f>'Pg 114 - Income Statement'!$E$96</f>
        <v>0.40125437407581699</v>
      </c>
      <c r="M36" s="3115">
        <f t="shared" si="4"/>
        <v>3288.0268052956526</v>
      </c>
      <c r="N36" s="3116">
        <f t="shared" si="5"/>
        <v>421</v>
      </c>
      <c r="O36" s="3116"/>
      <c r="P36" s="3117" t="s">
        <v>392</v>
      </c>
      <c r="Q36" s="3118">
        <f t="shared" si="3"/>
        <v>0</v>
      </c>
      <c r="R36" s="3118">
        <f t="shared" si="3"/>
        <v>0</v>
      </c>
      <c r="S36" s="3118">
        <f t="shared" si="3"/>
        <v>3288.0268052956526</v>
      </c>
    </row>
    <row r="37" spans="1:19" x14ac:dyDescent="0.25">
      <c r="A37" s="3110">
        <v>2024</v>
      </c>
      <c r="B37" s="3110">
        <v>5</v>
      </c>
      <c r="C37" s="3110">
        <v>1000</v>
      </c>
      <c r="D37" s="3110">
        <v>1423</v>
      </c>
      <c r="E37" s="3110">
        <v>387400</v>
      </c>
      <c r="F37" s="3110" t="s">
        <v>11827</v>
      </c>
      <c r="G37" s="3146">
        <v>43929.98</v>
      </c>
      <c r="H37" s="3110" t="s">
        <v>11866</v>
      </c>
      <c r="I37" s="3110">
        <v>4213000</v>
      </c>
      <c r="J37" s="3110">
        <v>1</v>
      </c>
      <c r="K37" s="3110">
        <v>0</v>
      </c>
      <c r="L37" s="3114">
        <f>'Pg 114 - Income Statement'!$E$96</f>
        <v>0.40125437407581699</v>
      </c>
      <c r="M37" s="3115">
        <f t="shared" si="4"/>
        <v>17627.096628063158</v>
      </c>
      <c r="N37" s="3116">
        <f t="shared" si="5"/>
        <v>421</v>
      </c>
      <c r="O37" s="3116"/>
      <c r="P37" s="3117" t="s">
        <v>392</v>
      </c>
      <c r="Q37" s="3118">
        <f t="shared" si="3"/>
        <v>0</v>
      </c>
      <c r="R37" s="3118">
        <f t="shared" si="3"/>
        <v>0</v>
      </c>
      <c r="S37" s="3118">
        <f t="shared" si="3"/>
        <v>17627.096628063158</v>
      </c>
    </row>
    <row r="38" spans="1:19" x14ac:dyDescent="0.25">
      <c r="A38" s="3110">
        <v>2024</v>
      </c>
      <c r="B38" s="3110">
        <v>5</v>
      </c>
      <c r="C38" s="3110">
        <v>1000</v>
      </c>
      <c r="D38" s="3110">
        <v>1423</v>
      </c>
      <c r="E38" s="3110">
        <v>387400</v>
      </c>
      <c r="F38" s="3110" t="s">
        <v>11827</v>
      </c>
      <c r="G38" s="3146">
        <v>33238.42</v>
      </c>
      <c r="H38" s="3110" t="s">
        <v>11867</v>
      </c>
      <c r="I38" s="3110">
        <v>4213000</v>
      </c>
      <c r="J38" s="3110">
        <v>1</v>
      </c>
      <c r="K38" s="3110">
        <v>0</v>
      </c>
      <c r="L38" s="3114">
        <f>'Pg 114 - Income Statement'!$E$96</f>
        <v>0.40125437407581699</v>
      </c>
      <c r="M38" s="3115">
        <f t="shared" si="4"/>
        <v>13337.061412369116</v>
      </c>
      <c r="N38" s="3116">
        <f t="shared" si="5"/>
        <v>421</v>
      </c>
      <c r="O38" s="3116"/>
      <c r="P38" s="3117" t="s">
        <v>392</v>
      </c>
      <c r="Q38" s="3118">
        <f t="shared" si="3"/>
        <v>0</v>
      </c>
      <c r="R38" s="3118">
        <f t="shared" si="3"/>
        <v>0</v>
      </c>
      <c r="S38" s="3118">
        <f t="shared" si="3"/>
        <v>13337.061412369116</v>
      </c>
    </row>
    <row r="39" spans="1:19" x14ac:dyDescent="0.25">
      <c r="A39" s="3110">
        <v>2024</v>
      </c>
      <c r="B39" s="3110">
        <v>6</v>
      </c>
      <c r="C39" s="3110">
        <v>1000</v>
      </c>
      <c r="D39" s="3110">
        <v>1423</v>
      </c>
      <c r="E39" s="3110">
        <v>387400</v>
      </c>
      <c r="F39" s="3110" t="s">
        <v>11827</v>
      </c>
      <c r="G39" s="3146">
        <v>-218889.74</v>
      </c>
      <c r="H39" s="3110" t="s">
        <v>11868</v>
      </c>
      <c r="I39" s="3110">
        <v>4213000</v>
      </c>
      <c r="J39" s="3110">
        <v>1</v>
      </c>
      <c r="K39" s="3110">
        <v>0</v>
      </c>
      <c r="L39" s="3114">
        <f>'Pg 114 - Income Statement'!$E$96</f>
        <v>0.40125437407581699</v>
      </c>
      <c r="M39" s="3115">
        <f t="shared" si="4"/>
        <v>-87830.465615318317</v>
      </c>
      <c r="N39" s="3116">
        <f t="shared" si="5"/>
        <v>421</v>
      </c>
      <c r="O39" s="3116"/>
      <c r="P39" s="3117" t="s">
        <v>392</v>
      </c>
      <c r="Q39" s="3118">
        <f t="shared" si="3"/>
        <v>0</v>
      </c>
      <c r="R39" s="3118">
        <f t="shared" si="3"/>
        <v>0</v>
      </c>
      <c r="S39" s="3118">
        <f t="shared" si="3"/>
        <v>-87830.465615318317</v>
      </c>
    </row>
    <row r="40" spans="1:19" x14ac:dyDescent="0.25">
      <c r="A40" s="3110">
        <v>2024</v>
      </c>
      <c r="B40" s="3110">
        <v>6</v>
      </c>
      <c r="C40" s="3110">
        <v>1000</v>
      </c>
      <c r="D40" s="3110">
        <v>1423</v>
      </c>
      <c r="E40" s="3110">
        <v>387400</v>
      </c>
      <c r="F40" s="3110" t="s">
        <v>11827</v>
      </c>
      <c r="G40" s="3146">
        <v>-385910.54</v>
      </c>
      <c r="H40" s="3110" t="s">
        <v>11869</v>
      </c>
      <c r="I40" s="3110">
        <v>4213000</v>
      </c>
      <c r="J40" s="3110">
        <v>1</v>
      </c>
      <c r="K40" s="3110">
        <v>0</v>
      </c>
      <c r="L40" s="3114">
        <f>'Pg 114 - Income Statement'!$E$96</f>
        <v>0.40125437407581699</v>
      </c>
      <c r="M40" s="3115">
        <f t="shared" si="4"/>
        <v>-154848.29217696053</v>
      </c>
      <c r="N40" s="3116">
        <f t="shared" si="5"/>
        <v>421</v>
      </c>
      <c r="O40" s="3116"/>
      <c r="P40" s="3117" t="s">
        <v>392</v>
      </c>
      <c r="Q40" s="3118">
        <f t="shared" si="3"/>
        <v>0</v>
      </c>
      <c r="R40" s="3118">
        <f t="shared" si="3"/>
        <v>0</v>
      </c>
      <c r="S40" s="3118">
        <f t="shared" si="3"/>
        <v>-154848.29217696053</v>
      </c>
    </row>
    <row r="41" spans="1:19" x14ac:dyDescent="0.25">
      <c r="A41" s="3110">
        <v>2024</v>
      </c>
      <c r="B41" s="3110">
        <v>6</v>
      </c>
      <c r="C41" s="3110">
        <v>1000</v>
      </c>
      <c r="D41" s="3110">
        <v>1423</v>
      </c>
      <c r="E41" s="3110">
        <v>387400</v>
      </c>
      <c r="F41" s="3110" t="s">
        <v>11827</v>
      </c>
      <c r="G41" s="3146">
        <v>-143714.72</v>
      </c>
      <c r="H41" s="3110" t="s">
        <v>11870</v>
      </c>
      <c r="I41" s="3110">
        <v>4213000</v>
      </c>
      <c r="J41" s="3110">
        <v>1</v>
      </c>
      <c r="K41" s="3110">
        <v>0</v>
      </c>
      <c r="L41" s="3114">
        <f>'Pg 114 - Income Statement'!$E$96</f>
        <v>0.40125437407581699</v>
      </c>
      <c r="M41" s="3115">
        <f t="shared" si="4"/>
        <v>-57666.160019081297</v>
      </c>
      <c r="N41" s="3116">
        <f t="shared" si="5"/>
        <v>421</v>
      </c>
      <c r="O41" s="3116"/>
      <c r="P41" s="3117" t="s">
        <v>392</v>
      </c>
      <c r="Q41" s="3118">
        <f t="shared" si="3"/>
        <v>0</v>
      </c>
      <c r="R41" s="3118">
        <f t="shared" si="3"/>
        <v>0</v>
      </c>
      <c r="S41" s="3118">
        <f t="shared" si="3"/>
        <v>-57666.160019081297</v>
      </c>
    </row>
    <row r="42" spans="1:19" x14ac:dyDescent="0.25">
      <c r="A42" s="3110">
        <v>2024</v>
      </c>
      <c r="B42" s="3110">
        <v>7</v>
      </c>
      <c r="C42" s="3110">
        <v>1000</v>
      </c>
      <c r="D42" s="3110">
        <v>1423</v>
      </c>
      <c r="E42" s="3110">
        <v>387400</v>
      </c>
      <c r="F42" s="3110" t="s">
        <v>11827</v>
      </c>
      <c r="G42" s="3146">
        <v>-245551.23</v>
      </c>
      <c r="H42" s="3110" t="s">
        <v>11873</v>
      </c>
      <c r="I42" s="3110">
        <v>4213000</v>
      </c>
      <c r="J42" s="3110">
        <v>1</v>
      </c>
      <c r="K42" s="3110">
        <v>0</v>
      </c>
      <c r="L42" s="3114">
        <f>'Pg 114 - Income Statement'!$E$96</f>
        <v>0.40125437407581699</v>
      </c>
      <c r="M42" s="3115">
        <f t="shared" si="4"/>
        <v>-98528.505097196976</v>
      </c>
      <c r="N42" s="3116">
        <f t="shared" si="5"/>
        <v>421</v>
      </c>
      <c r="O42" s="3116"/>
      <c r="P42" s="3117" t="s">
        <v>392</v>
      </c>
      <c r="Q42" s="3118">
        <f t="shared" si="3"/>
        <v>0</v>
      </c>
      <c r="R42" s="3118">
        <f t="shared" si="3"/>
        <v>0</v>
      </c>
      <c r="S42" s="3118">
        <f t="shared" si="3"/>
        <v>-98528.505097196976</v>
      </c>
    </row>
    <row r="43" spans="1:19" x14ac:dyDescent="0.25">
      <c r="A43" s="3110">
        <v>2024</v>
      </c>
      <c r="B43" s="3110">
        <v>7</v>
      </c>
      <c r="C43" s="3110">
        <v>1000</v>
      </c>
      <c r="D43" s="3110">
        <v>1423</v>
      </c>
      <c r="E43" s="3110">
        <v>387400</v>
      </c>
      <c r="F43" s="3110" t="s">
        <v>11827</v>
      </c>
      <c r="G43" s="3146">
        <v>-96055.26</v>
      </c>
      <c r="H43" s="3110" t="s">
        <v>11874</v>
      </c>
      <c r="I43" s="3110">
        <v>4213000</v>
      </c>
      <c r="J43" s="3110">
        <v>1</v>
      </c>
      <c r="K43" s="3110">
        <v>0</v>
      </c>
      <c r="L43" s="3114">
        <f>'Pg 114 - Income Statement'!$E$96</f>
        <v>0.40125437407581699</v>
      </c>
      <c r="M43" s="3115">
        <f t="shared" si="4"/>
        <v>-38542.593227989855</v>
      </c>
      <c r="N43" s="3116">
        <f t="shared" si="5"/>
        <v>421</v>
      </c>
      <c r="O43" s="3116"/>
      <c r="P43" s="3117" t="s">
        <v>392</v>
      </c>
      <c r="Q43" s="3118">
        <f t="shared" ref="Q43:S59" si="6">IF($P43="PTD",$M43*Q$64,IF($P43="PROD",$M43*Q$65,IF($P43="TRANS",$M43*Q$66,IF($P43="DIST",$M43*Q$67,IF($P43="LABOR",$M43*Q$68,IF($P43="TD",$M43*Q$69,0))))))</f>
        <v>0</v>
      </c>
      <c r="R43" s="3118">
        <f t="shared" si="6"/>
        <v>0</v>
      </c>
      <c r="S43" s="3118">
        <f t="shared" si="6"/>
        <v>-38542.593227989855</v>
      </c>
    </row>
    <row r="44" spans="1:19" x14ac:dyDescent="0.25">
      <c r="A44" s="3110">
        <v>2024</v>
      </c>
      <c r="B44" s="3110">
        <v>7</v>
      </c>
      <c r="C44" s="3110">
        <v>1000</v>
      </c>
      <c r="D44" s="3110">
        <v>1423</v>
      </c>
      <c r="E44" s="3110">
        <v>387400</v>
      </c>
      <c r="F44" s="3110" t="s">
        <v>11827</v>
      </c>
      <c r="G44" s="3146">
        <v>-132683.82999999999</v>
      </c>
      <c r="H44" s="3110" t="s">
        <v>11875</v>
      </c>
      <c r="I44" s="3110">
        <v>4213000</v>
      </c>
      <c r="J44" s="3110">
        <v>1</v>
      </c>
      <c r="K44" s="3110">
        <v>0</v>
      </c>
      <c r="L44" s="3114">
        <f>'Pg 114 - Income Statement'!$E$96</f>
        <v>0.40125437407581699</v>
      </c>
      <c r="M44" s="3115">
        <f t="shared" si="4"/>
        <v>-53239.967156632105</v>
      </c>
      <c r="N44" s="3116">
        <f t="shared" si="5"/>
        <v>421</v>
      </c>
      <c r="O44" s="3116"/>
      <c r="P44" s="3117" t="s">
        <v>392</v>
      </c>
      <c r="Q44" s="3118">
        <f t="shared" si="6"/>
        <v>0</v>
      </c>
      <c r="R44" s="3118">
        <f t="shared" si="6"/>
        <v>0</v>
      </c>
      <c r="S44" s="3118">
        <f t="shared" si="6"/>
        <v>-53239.967156632105</v>
      </c>
    </row>
    <row r="45" spans="1:19" x14ac:dyDescent="0.25">
      <c r="A45" s="3110">
        <v>2024</v>
      </c>
      <c r="B45" s="3110">
        <v>8</v>
      </c>
      <c r="C45" s="3110">
        <v>1000</v>
      </c>
      <c r="D45" s="3110">
        <v>1423</v>
      </c>
      <c r="E45" s="3110">
        <v>387400</v>
      </c>
      <c r="F45" s="3110" t="s">
        <v>11827</v>
      </c>
      <c r="G45" s="3110">
        <v>86386.75</v>
      </c>
      <c r="H45" s="3110" t="s">
        <v>11879</v>
      </c>
      <c r="I45" s="3110">
        <v>4213000</v>
      </c>
      <c r="J45" s="3110">
        <v>1</v>
      </c>
      <c r="K45" s="3110">
        <v>0</v>
      </c>
      <c r="L45" s="3114">
        <f>'Pg 114 - Income Statement'!$E$96</f>
        <v>0.40125437407581699</v>
      </c>
      <c r="M45" s="3115">
        <f t="shared" si="4"/>
        <v>34663.061299694084</v>
      </c>
      <c r="N45" s="3116">
        <f t="shared" si="5"/>
        <v>421</v>
      </c>
      <c r="O45" s="3116"/>
      <c r="P45" s="3117" t="s">
        <v>392</v>
      </c>
      <c r="Q45" s="3118">
        <f t="shared" si="6"/>
        <v>0</v>
      </c>
      <c r="R45" s="3118">
        <f t="shared" si="6"/>
        <v>0</v>
      </c>
      <c r="S45" s="3118">
        <f t="shared" si="6"/>
        <v>34663.061299694084</v>
      </c>
    </row>
    <row r="46" spans="1:19" x14ac:dyDescent="0.25">
      <c r="A46" s="3110">
        <v>2024</v>
      </c>
      <c r="B46" s="3110">
        <v>8</v>
      </c>
      <c r="C46" s="3110">
        <v>1000</v>
      </c>
      <c r="D46" s="3110">
        <v>1423</v>
      </c>
      <c r="E46" s="3110">
        <v>387400</v>
      </c>
      <c r="F46" s="3110" t="s">
        <v>11827</v>
      </c>
      <c r="G46" s="3146">
        <v>170948.31</v>
      </c>
      <c r="H46" s="3110" t="s">
        <v>11880</v>
      </c>
      <c r="I46" s="3110">
        <v>4213000</v>
      </c>
      <c r="J46" s="3110">
        <v>1</v>
      </c>
      <c r="K46" s="3110">
        <v>0</v>
      </c>
      <c r="L46" s="3114">
        <f>'Pg 114 - Income Statement'!$E$96</f>
        <v>0.40125437407581699</v>
      </c>
      <c r="M46" s="3115">
        <f t="shared" si="4"/>
        <v>68593.757128368728</v>
      </c>
      <c r="N46" s="3116">
        <f t="shared" si="5"/>
        <v>421</v>
      </c>
      <c r="O46" s="3116"/>
      <c r="P46" s="3117" t="s">
        <v>392</v>
      </c>
      <c r="Q46" s="3118">
        <f t="shared" si="6"/>
        <v>0</v>
      </c>
      <c r="R46" s="3118">
        <f t="shared" si="6"/>
        <v>0</v>
      </c>
      <c r="S46" s="3118">
        <f t="shared" si="6"/>
        <v>68593.757128368728</v>
      </c>
    </row>
    <row r="47" spans="1:19" x14ac:dyDescent="0.25">
      <c r="A47" s="3110">
        <v>2024</v>
      </c>
      <c r="B47" s="3110">
        <v>8</v>
      </c>
      <c r="C47" s="3110">
        <v>1000</v>
      </c>
      <c r="D47" s="3110">
        <v>1423</v>
      </c>
      <c r="E47" s="3110">
        <v>387400</v>
      </c>
      <c r="F47" s="3110" t="s">
        <v>11827</v>
      </c>
      <c r="G47" s="3146">
        <v>74526.7</v>
      </c>
      <c r="H47" s="3110" t="s">
        <v>11881</v>
      </c>
      <c r="I47" s="3110">
        <v>4213000</v>
      </c>
      <c r="J47" s="3110">
        <v>1</v>
      </c>
      <c r="K47" s="3110">
        <v>0</v>
      </c>
      <c r="L47" s="3114">
        <f>'Pg 114 - Income Statement'!$E$96</f>
        <v>0.40125437407581699</v>
      </c>
      <c r="M47" s="3115">
        <f t="shared" si="4"/>
        <v>29904.164360436189</v>
      </c>
      <c r="N47" s="3116">
        <f t="shared" si="5"/>
        <v>421</v>
      </c>
      <c r="O47" s="3116"/>
      <c r="P47" s="3117" t="s">
        <v>392</v>
      </c>
      <c r="Q47" s="3118">
        <f t="shared" si="6"/>
        <v>0</v>
      </c>
      <c r="R47" s="3118">
        <f t="shared" si="6"/>
        <v>0</v>
      </c>
      <c r="S47" s="3118">
        <f t="shared" si="6"/>
        <v>29904.164360436189</v>
      </c>
    </row>
    <row r="48" spans="1:19" x14ac:dyDescent="0.25">
      <c r="A48" s="3110">
        <v>2024</v>
      </c>
      <c r="B48" s="3110">
        <v>9</v>
      </c>
      <c r="C48" s="3110">
        <v>1000</v>
      </c>
      <c r="D48" s="3110">
        <v>1423</v>
      </c>
      <c r="E48" s="3110">
        <v>387400</v>
      </c>
      <c r="F48" s="3110" t="s">
        <v>11827</v>
      </c>
      <c r="G48" s="3146">
        <v>374686.43</v>
      </c>
      <c r="H48" s="3110" t="s">
        <v>11882</v>
      </c>
      <c r="I48" s="3110">
        <v>4213000</v>
      </c>
      <c r="J48" s="3110">
        <v>1</v>
      </c>
      <c r="K48" s="3110">
        <v>0</v>
      </c>
      <c r="L48" s="3114">
        <f>'Pg 114 - Income Statement'!$E$96</f>
        <v>0.40125437407581699</v>
      </c>
      <c r="M48" s="3115">
        <f t="shared" si="4"/>
        <v>150344.56894435242</v>
      </c>
      <c r="N48" s="3116">
        <f t="shared" si="5"/>
        <v>421</v>
      </c>
      <c r="O48" s="3116"/>
      <c r="P48" s="3117" t="s">
        <v>392</v>
      </c>
      <c r="Q48" s="3118">
        <f t="shared" si="6"/>
        <v>0</v>
      </c>
      <c r="R48" s="3118">
        <f t="shared" si="6"/>
        <v>0</v>
      </c>
      <c r="S48" s="3118">
        <f t="shared" si="6"/>
        <v>150344.56894435242</v>
      </c>
    </row>
    <row r="49" spans="1:19" x14ac:dyDescent="0.25">
      <c r="A49" s="3110">
        <v>2024</v>
      </c>
      <c r="B49" s="3110">
        <v>9</v>
      </c>
      <c r="C49" s="3110">
        <v>1000</v>
      </c>
      <c r="D49" s="3110">
        <v>1423</v>
      </c>
      <c r="E49" s="3110">
        <v>387400</v>
      </c>
      <c r="F49" s="3110" t="s">
        <v>11827</v>
      </c>
      <c r="G49" s="3110">
        <v>160186.06</v>
      </c>
      <c r="H49" s="3110" t="s">
        <v>11883</v>
      </c>
      <c r="I49" s="3110">
        <v>4213000</v>
      </c>
      <c r="J49" s="3110">
        <v>1</v>
      </c>
      <c r="K49" s="3110">
        <v>0</v>
      </c>
      <c r="L49" s="3114">
        <f>'Pg 114 - Income Statement'!$E$96</f>
        <v>0.40125437407581699</v>
      </c>
      <c r="M49" s="3115">
        <f t="shared" si="4"/>
        <v>64275.357240971265</v>
      </c>
      <c r="N49" s="3116">
        <f t="shared" si="5"/>
        <v>421</v>
      </c>
      <c r="O49" s="3116"/>
      <c r="P49" s="3117" t="s">
        <v>392</v>
      </c>
      <c r="Q49" s="3118">
        <f t="shared" si="6"/>
        <v>0</v>
      </c>
      <c r="R49" s="3118">
        <f t="shared" si="6"/>
        <v>0</v>
      </c>
      <c r="S49" s="3118">
        <f t="shared" si="6"/>
        <v>64275.357240971265</v>
      </c>
    </row>
    <row r="50" spans="1:19" x14ac:dyDescent="0.25">
      <c r="A50" s="3110">
        <v>2024</v>
      </c>
      <c r="B50" s="3110">
        <v>9</v>
      </c>
      <c r="C50" s="3110">
        <v>1000</v>
      </c>
      <c r="D50" s="3110">
        <v>1423</v>
      </c>
      <c r="E50" s="3110">
        <v>387400</v>
      </c>
      <c r="F50" s="3110" t="s">
        <v>11827</v>
      </c>
      <c r="G50" s="3146">
        <v>217929.05</v>
      </c>
      <c r="H50" s="3110" t="s">
        <v>11884</v>
      </c>
      <c r="I50" s="3110">
        <v>4213000</v>
      </c>
      <c r="J50" s="3110">
        <v>1</v>
      </c>
      <c r="K50" s="3110">
        <v>0</v>
      </c>
      <c r="L50" s="3114">
        <f>'Pg 114 - Income Statement'!$E$96</f>
        <v>0.40125437407581699</v>
      </c>
      <c r="M50" s="3115">
        <f t="shared" si="4"/>
        <v>87444.984550687426</v>
      </c>
      <c r="N50" s="3116">
        <f t="shared" si="5"/>
        <v>421</v>
      </c>
      <c r="O50" s="3116"/>
      <c r="P50" s="3117" t="s">
        <v>392</v>
      </c>
      <c r="Q50" s="3118">
        <f t="shared" si="6"/>
        <v>0</v>
      </c>
      <c r="R50" s="3118">
        <f t="shared" si="6"/>
        <v>0</v>
      </c>
      <c r="S50" s="3118">
        <f t="shared" si="6"/>
        <v>87444.984550687426</v>
      </c>
    </row>
    <row r="51" spans="1:19" x14ac:dyDescent="0.25">
      <c r="A51" s="3110">
        <v>2024</v>
      </c>
      <c r="B51" s="3110">
        <v>10</v>
      </c>
      <c r="C51" s="3110">
        <v>1000</v>
      </c>
      <c r="D51" s="3110">
        <v>1423</v>
      </c>
      <c r="E51" s="3110">
        <v>387400</v>
      </c>
      <c r="F51" s="3110" t="s">
        <v>11827</v>
      </c>
      <c r="G51" s="3146">
        <v>210714.61</v>
      </c>
      <c r="H51" s="3110" t="s">
        <v>11885</v>
      </c>
      <c r="I51" s="3110">
        <v>4213000</v>
      </c>
      <c r="J51" s="3110">
        <v>1</v>
      </c>
      <c r="K51" s="3110">
        <v>0</v>
      </c>
      <c r="L51" s="3114">
        <f>'Pg 114 - Income Statement'!$E$96</f>
        <v>0.40125437407581699</v>
      </c>
      <c r="M51" s="3115">
        <f t="shared" si="4"/>
        <v>84550.158944179886</v>
      </c>
      <c r="N51" s="3116">
        <f t="shared" si="5"/>
        <v>421</v>
      </c>
      <c r="O51" s="3116"/>
      <c r="P51" s="3117" t="s">
        <v>392</v>
      </c>
      <c r="Q51" s="3118">
        <f t="shared" si="6"/>
        <v>0</v>
      </c>
      <c r="R51" s="3118">
        <f t="shared" si="6"/>
        <v>0</v>
      </c>
      <c r="S51" s="3118">
        <f t="shared" si="6"/>
        <v>84550.158944179886</v>
      </c>
    </row>
    <row r="52" spans="1:19" x14ac:dyDescent="0.25">
      <c r="A52" s="3110">
        <v>2024</v>
      </c>
      <c r="B52" s="3110">
        <v>10</v>
      </c>
      <c r="C52" s="3110">
        <v>1000</v>
      </c>
      <c r="D52" s="3110">
        <v>1423</v>
      </c>
      <c r="E52" s="3110">
        <v>387400</v>
      </c>
      <c r="F52" s="3110" t="s">
        <v>11827</v>
      </c>
      <c r="G52" s="3146">
        <v>91251.29</v>
      </c>
      <c r="H52" s="3110" t="s">
        <v>11886</v>
      </c>
      <c r="I52" s="3110">
        <v>4213000</v>
      </c>
      <c r="J52" s="3110">
        <v>1</v>
      </c>
      <c r="K52" s="3110">
        <v>0</v>
      </c>
      <c r="L52" s="3114">
        <f>'Pg 114 - Income Statement'!$E$96</f>
        <v>0.40125437407581699</v>
      </c>
      <c r="M52" s="3115">
        <f t="shared" si="4"/>
        <v>36614.979252560857</v>
      </c>
      <c r="N52" s="3116">
        <f t="shared" si="5"/>
        <v>421</v>
      </c>
      <c r="O52" s="3116"/>
      <c r="P52" s="3117" t="s">
        <v>392</v>
      </c>
      <c r="Q52" s="3118">
        <f t="shared" si="6"/>
        <v>0</v>
      </c>
      <c r="R52" s="3118">
        <f t="shared" si="6"/>
        <v>0</v>
      </c>
      <c r="S52" s="3118">
        <f t="shared" si="6"/>
        <v>36614.979252560857</v>
      </c>
    </row>
    <row r="53" spans="1:19" x14ac:dyDescent="0.25">
      <c r="A53" s="3110">
        <v>2024</v>
      </c>
      <c r="B53" s="3110">
        <v>10</v>
      </c>
      <c r="C53" s="3110">
        <v>1000</v>
      </c>
      <c r="D53" s="3110">
        <v>1423</v>
      </c>
      <c r="E53" s="3110">
        <v>387400</v>
      </c>
      <c r="F53" s="3110" t="s">
        <v>11827</v>
      </c>
      <c r="G53" s="3146">
        <v>112415.64</v>
      </c>
      <c r="H53" s="3110" t="s">
        <v>11887</v>
      </c>
      <c r="I53" s="3110">
        <v>4213000</v>
      </c>
      <c r="J53" s="3110">
        <v>1</v>
      </c>
      <c r="K53" s="3110">
        <v>0</v>
      </c>
      <c r="L53" s="3114">
        <f>'Pg 114 - Income Statement'!$E$96</f>
        <v>0.40125437407581699</v>
      </c>
      <c r="M53" s="3115">
        <f t="shared" si="4"/>
        <v>45107.267264532376</v>
      </c>
      <c r="N53" s="3116">
        <f t="shared" si="5"/>
        <v>421</v>
      </c>
      <c r="O53" s="3116"/>
      <c r="P53" s="3117" t="s">
        <v>392</v>
      </c>
      <c r="Q53" s="3118">
        <f t="shared" si="6"/>
        <v>0</v>
      </c>
      <c r="R53" s="3118">
        <f t="shared" si="6"/>
        <v>0</v>
      </c>
      <c r="S53" s="3118">
        <f t="shared" si="6"/>
        <v>45107.267264532376</v>
      </c>
    </row>
    <row r="54" spans="1:19" x14ac:dyDescent="0.25">
      <c r="A54" s="3110">
        <v>2024</v>
      </c>
      <c r="B54" s="3110">
        <v>11</v>
      </c>
      <c r="C54" s="3110">
        <v>1000</v>
      </c>
      <c r="D54" s="3110">
        <v>1423</v>
      </c>
      <c r="E54" s="3110">
        <v>387400</v>
      </c>
      <c r="F54" s="3110" t="s">
        <v>11827</v>
      </c>
      <c r="G54" s="3146">
        <v>-612824.28</v>
      </c>
      <c r="H54" s="3110" t="s">
        <v>11888</v>
      </c>
      <c r="I54" s="3110">
        <v>4213000</v>
      </c>
      <c r="J54" s="3110">
        <v>1</v>
      </c>
      <c r="K54" s="3110">
        <v>0</v>
      </c>
      <c r="L54" s="3114">
        <f>'Pg 114 - Income Statement'!$E$96</f>
        <v>0.40125437407581699</v>
      </c>
      <c r="M54" s="3115">
        <f t="shared" si="4"/>
        <v>-245898.42288986323</v>
      </c>
      <c r="N54" s="3116">
        <f t="shared" si="5"/>
        <v>421</v>
      </c>
      <c r="O54" s="3116"/>
      <c r="P54" s="3117" t="s">
        <v>392</v>
      </c>
      <c r="Q54" s="3118">
        <f t="shared" si="6"/>
        <v>0</v>
      </c>
      <c r="R54" s="3118">
        <f t="shared" si="6"/>
        <v>0</v>
      </c>
      <c r="S54" s="3118">
        <f t="shared" si="6"/>
        <v>-245898.42288986323</v>
      </c>
    </row>
    <row r="55" spans="1:19" x14ac:dyDescent="0.25">
      <c r="A55" s="3110">
        <v>2024</v>
      </c>
      <c r="B55" s="3110">
        <v>11</v>
      </c>
      <c r="C55" s="3110">
        <v>1000</v>
      </c>
      <c r="D55" s="3110">
        <v>1423</v>
      </c>
      <c r="E55" s="3110">
        <v>387400</v>
      </c>
      <c r="F55" s="3110" t="s">
        <v>11827</v>
      </c>
      <c r="G55" s="3110">
        <v>-264464.69</v>
      </c>
      <c r="H55" s="3110" t="s">
        <v>11889</v>
      </c>
      <c r="I55" s="3110">
        <v>4213000</v>
      </c>
      <c r="J55" s="3110">
        <v>1</v>
      </c>
      <c r="K55" s="3110">
        <v>0</v>
      </c>
      <c r="L55" s="3114">
        <f>'Pg 114 - Income Statement'!$E$96</f>
        <v>0.40125437407581699</v>
      </c>
      <c r="M55" s="3115">
        <f t="shared" si="4"/>
        <v>-106117.61365110498</v>
      </c>
      <c r="N55" s="3116">
        <f t="shared" si="5"/>
        <v>421</v>
      </c>
      <c r="O55" s="3116"/>
      <c r="P55" s="3117" t="s">
        <v>392</v>
      </c>
      <c r="Q55" s="3118">
        <f t="shared" si="6"/>
        <v>0</v>
      </c>
      <c r="R55" s="3118">
        <f t="shared" si="6"/>
        <v>0</v>
      </c>
      <c r="S55" s="3118">
        <f t="shared" si="6"/>
        <v>-106117.61365110498</v>
      </c>
    </row>
    <row r="56" spans="1:19" x14ac:dyDescent="0.25">
      <c r="A56" s="3110">
        <v>2024</v>
      </c>
      <c r="B56" s="3110">
        <v>11</v>
      </c>
      <c r="C56" s="3110">
        <v>1000</v>
      </c>
      <c r="D56" s="3110">
        <v>1423</v>
      </c>
      <c r="E56" s="3110">
        <v>387400</v>
      </c>
      <c r="F56" s="3110" t="s">
        <v>11827</v>
      </c>
      <c r="G56" s="3146">
        <v>-358065.71</v>
      </c>
      <c r="H56" s="3110" t="s">
        <v>11890</v>
      </c>
      <c r="I56" s="3110">
        <v>4213000</v>
      </c>
      <c r="J56" s="3110">
        <v>1</v>
      </c>
      <c r="K56" s="3110">
        <v>0</v>
      </c>
      <c r="L56" s="3114">
        <f>'Pg 114 - Income Statement'!$E$96</f>
        <v>0.40125437407581699</v>
      </c>
      <c r="M56" s="3115">
        <f t="shared" si="4"/>
        <v>-143675.43234406301</v>
      </c>
      <c r="N56" s="3116">
        <f t="shared" si="5"/>
        <v>421</v>
      </c>
      <c r="O56" s="3116"/>
      <c r="P56" s="3117" t="s">
        <v>392</v>
      </c>
      <c r="Q56" s="3118">
        <f t="shared" si="6"/>
        <v>0</v>
      </c>
      <c r="R56" s="3118">
        <f t="shared" si="6"/>
        <v>0</v>
      </c>
      <c r="S56" s="3118">
        <f t="shared" si="6"/>
        <v>-143675.43234406301</v>
      </c>
    </row>
    <row r="57" spans="1:19" x14ac:dyDescent="0.25">
      <c r="A57" s="3110">
        <v>2024</v>
      </c>
      <c r="B57" s="3110">
        <v>12</v>
      </c>
      <c r="C57" s="3110">
        <v>1000</v>
      </c>
      <c r="D57" s="3110">
        <v>1423</v>
      </c>
      <c r="E57" s="3110">
        <v>387400</v>
      </c>
      <c r="F57" s="3110" t="s">
        <v>11827</v>
      </c>
      <c r="G57" s="3146">
        <v>-59323.29</v>
      </c>
      <c r="H57" s="3110" t="s">
        <v>11894</v>
      </c>
      <c r="I57" s="3110">
        <v>4213000</v>
      </c>
      <c r="J57" s="3110">
        <v>1</v>
      </c>
      <c r="K57" s="3110">
        <v>0</v>
      </c>
      <c r="L57" s="3114">
        <f>'Pg 114 - Income Statement'!$E$96</f>
        <v>0.40125437407581699</v>
      </c>
      <c r="M57" s="3115">
        <f t="shared" si="4"/>
        <v>-23803.729597068173</v>
      </c>
      <c r="N57" s="3116">
        <f t="shared" si="5"/>
        <v>421</v>
      </c>
      <c r="O57" s="3116"/>
      <c r="P57" s="3117" t="s">
        <v>392</v>
      </c>
      <c r="Q57" s="3118">
        <f t="shared" si="6"/>
        <v>0</v>
      </c>
      <c r="R57" s="3118">
        <f t="shared" si="6"/>
        <v>0</v>
      </c>
      <c r="S57" s="3118">
        <f t="shared" si="6"/>
        <v>-23803.729597068173</v>
      </c>
    </row>
    <row r="58" spans="1:19" x14ac:dyDescent="0.25">
      <c r="A58" s="3110">
        <v>2024</v>
      </c>
      <c r="B58" s="3110">
        <v>12</v>
      </c>
      <c r="C58" s="3110">
        <v>1000</v>
      </c>
      <c r="D58" s="3110">
        <v>1423</v>
      </c>
      <c r="E58" s="3110">
        <v>387400</v>
      </c>
      <c r="F58" s="3110" t="s">
        <v>11827</v>
      </c>
      <c r="G58" s="3146">
        <v>-165232.56</v>
      </c>
      <c r="H58" s="3110" t="s">
        <v>11889</v>
      </c>
      <c r="I58" s="3110">
        <v>4213000</v>
      </c>
      <c r="J58" s="3110">
        <v>1</v>
      </c>
      <c r="K58" s="3110">
        <v>0</v>
      </c>
      <c r="L58" s="3114">
        <f>'Pg 114 - Income Statement'!$E$96</f>
        <v>0.40125437407581699</v>
      </c>
      <c r="M58" s="3115">
        <f t="shared" si="4"/>
        <v>-66300.287439744876</v>
      </c>
      <c r="N58" s="3116">
        <f t="shared" si="5"/>
        <v>421</v>
      </c>
      <c r="O58" s="3116"/>
      <c r="P58" s="3117" t="s">
        <v>392</v>
      </c>
      <c r="Q58" s="3118">
        <f t="shared" si="6"/>
        <v>0</v>
      </c>
      <c r="R58" s="3118">
        <f t="shared" si="6"/>
        <v>0</v>
      </c>
      <c r="S58" s="3118">
        <f t="shared" si="6"/>
        <v>-66300.287439744876</v>
      </c>
    </row>
    <row r="59" spans="1:19" x14ac:dyDescent="0.25">
      <c r="A59" s="3110">
        <v>2024</v>
      </c>
      <c r="B59" s="3110">
        <v>12</v>
      </c>
      <c r="C59" s="3110">
        <v>1000</v>
      </c>
      <c r="D59" s="3110">
        <v>1423</v>
      </c>
      <c r="E59" s="3110">
        <v>387400</v>
      </c>
      <c r="F59" s="3110" t="s">
        <v>11827</v>
      </c>
      <c r="G59" s="3146">
        <v>-214960.57</v>
      </c>
      <c r="H59" s="3110" t="s">
        <v>11895</v>
      </c>
      <c r="I59" s="3110">
        <v>4213000</v>
      </c>
      <c r="J59" s="3110">
        <v>1</v>
      </c>
      <c r="K59" s="3110">
        <v>0</v>
      </c>
      <c r="L59" s="3114">
        <f>'Pg 114 - Income Statement'!$E$96</f>
        <v>0.40125437407581699</v>
      </c>
      <c r="M59" s="3115">
        <f t="shared" si="4"/>
        <v>-86253.868966330847</v>
      </c>
      <c r="N59" s="3116">
        <f t="shared" si="5"/>
        <v>421</v>
      </c>
      <c r="O59" s="3116"/>
      <c r="P59" s="3117" t="s">
        <v>392</v>
      </c>
      <c r="Q59" s="3118">
        <f t="shared" si="6"/>
        <v>0</v>
      </c>
      <c r="R59" s="3118">
        <f t="shared" si="6"/>
        <v>0</v>
      </c>
      <c r="S59" s="3118">
        <f t="shared" si="6"/>
        <v>-86253.868966330847</v>
      </c>
    </row>
    <row r="60" spans="1:19" x14ac:dyDescent="0.25">
      <c r="L60" s="3127" t="s">
        <v>5584</v>
      </c>
      <c r="M60" s="3128">
        <f>SUM(M3:M6,M24:M59)</f>
        <v>-989991.27123699908</v>
      </c>
      <c r="Q60" s="3129">
        <f>SUM(Q3:Q59)</f>
        <v>-1738.6713157641816</v>
      </c>
      <c r="R60" s="3129">
        <f>SUM(R3:R59)</f>
        <v>0</v>
      </c>
      <c r="S60" s="3129">
        <f>SUM(S3:S59)</f>
        <v>-988252.599921235</v>
      </c>
    </row>
    <row r="61" spans="1:19" x14ac:dyDescent="0.25">
      <c r="L61" s="3127" t="s">
        <v>11828</v>
      </c>
      <c r="M61" s="3130">
        <f>M60+'Pg 114 - Income Statement'!F96</f>
        <v>-2.8087806305848062E-2</v>
      </c>
    </row>
    <row r="63" spans="1:19" x14ac:dyDescent="0.25">
      <c r="L63" s="3127"/>
      <c r="M63" s="3128"/>
      <c r="O63" s="3131" t="s">
        <v>707</v>
      </c>
      <c r="P63" s="3131" t="s">
        <v>104</v>
      </c>
      <c r="Q63" s="3131" t="s">
        <v>5700</v>
      </c>
      <c r="R63" s="3131" t="s">
        <v>5701</v>
      </c>
      <c r="S63" s="3131" t="s">
        <v>5702</v>
      </c>
    </row>
    <row r="64" spans="1:19" x14ac:dyDescent="0.25">
      <c r="L64" s="3127"/>
      <c r="M64" s="3128"/>
      <c r="O64" s="3132" t="s">
        <v>99</v>
      </c>
      <c r="P64" s="3133">
        <f>SUM(Q64:S64)</f>
        <v>0.99999999999999989</v>
      </c>
      <c r="Q64" s="3133">
        <f>VLOOKUP($O64,Ratios!$D$78:$G$87,2,FALSE)</f>
        <v>0.44019614379593275</v>
      </c>
      <c r="R64" s="3133">
        <f>VLOOKUP($O64,Ratios!$D$78:$G$87,3,FALSE)</f>
        <v>0</v>
      </c>
      <c r="S64" s="3133">
        <f>VLOOKUP($O64,Ratios!$D$78:$G$87,4,FALSE)</f>
        <v>0.55980385620406714</v>
      </c>
    </row>
    <row r="65" spans="15:19" x14ac:dyDescent="0.25">
      <c r="O65" s="3132" t="s">
        <v>394</v>
      </c>
      <c r="P65" s="3133">
        <f t="shared" ref="P65:P69" si="7">SUM(Q65:S65)</f>
        <v>1</v>
      </c>
      <c r="Q65" s="3133">
        <f>VLOOKUP($O65,Ratios!$D$78:$G$87,2,FALSE)</f>
        <v>1</v>
      </c>
      <c r="R65" s="3133">
        <f>VLOOKUP($O65,Ratios!$D$78:$G$87,3,FALSE)</f>
        <v>0</v>
      </c>
      <c r="S65" s="3133">
        <f>VLOOKUP($O65,Ratios!$D$78:$G$87,4,FALSE)</f>
        <v>0</v>
      </c>
    </row>
    <row r="66" spans="15:19" x14ac:dyDescent="0.25">
      <c r="O66" s="3132" t="s">
        <v>393</v>
      </c>
      <c r="P66" s="3133">
        <f t="shared" si="7"/>
        <v>1</v>
      </c>
      <c r="Q66" s="3133">
        <f>VLOOKUP($O66,Ratios!$D$78:$G$87,2,FALSE)</f>
        <v>0</v>
      </c>
      <c r="R66" s="3133">
        <f>VLOOKUP($O66,Ratios!$D$78:$G$87,3,FALSE)</f>
        <v>0</v>
      </c>
      <c r="S66" s="3133">
        <f>VLOOKUP($O66,Ratios!$D$78:$G$87,4,FALSE)</f>
        <v>1</v>
      </c>
    </row>
    <row r="67" spans="15:19" x14ac:dyDescent="0.25">
      <c r="O67" s="3132" t="s">
        <v>392</v>
      </c>
      <c r="P67" s="3133">
        <f t="shared" si="7"/>
        <v>1</v>
      </c>
      <c r="Q67" s="3133">
        <f>VLOOKUP($O67,Ratios!$D$78:$G$87,2,FALSE)</f>
        <v>0</v>
      </c>
      <c r="R67" s="3133">
        <f>VLOOKUP($O67,Ratios!$D$78:$G$87,3,FALSE)</f>
        <v>0</v>
      </c>
      <c r="S67" s="3133">
        <f>VLOOKUP($O67,Ratios!$D$78:$G$87,4,FALSE)</f>
        <v>1</v>
      </c>
    </row>
    <row r="68" spans="15:19" x14ac:dyDescent="0.25">
      <c r="O68" s="3132" t="s">
        <v>95</v>
      </c>
      <c r="P68" s="3133">
        <f t="shared" si="7"/>
        <v>1</v>
      </c>
      <c r="Q68" s="3133">
        <f>VLOOKUP($O68,Ratios!$D$78:$G$87,2,FALSE)</f>
        <v>0.41685340178759894</v>
      </c>
      <c r="R68" s="3133">
        <f>VLOOKUP($O68,Ratios!$D$78:$G$87,3,FALSE)</f>
        <v>0</v>
      </c>
      <c r="S68" s="3133">
        <f>VLOOKUP($O68,Ratios!$D$78:$G$87,4,FALSE)</f>
        <v>0.58314659821240111</v>
      </c>
    </row>
    <row r="69" spans="15:19" x14ac:dyDescent="0.25">
      <c r="O69" s="3132" t="s">
        <v>109</v>
      </c>
      <c r="P69" s="3133">
        <f t="shared" si="7"/>
        <v>1</v>
      </c>
      <c r="Q69" s="3133">
        <f>VLOOKUP($O69,Ratios!$D$78:$G$87,2,FALSE)</f>
        <v>0</v>
      </c>
      <c r="R69" s="3133">
        <f>VLOOKUP($O69,Ratios!$D$78:$G$87,3,FALSE)</f>
        <v>0</v>
      </c>
      <c r="S69" s="3133">
        <f>VLOOKUP($O69,Ratios!$D$78:$G$87,4,FALSE)</f>
        <v>1</v>
      </c>
    </row>
    <row r="70" spans="15:19" x14ac:dyDescent="0.25">
      <c r="O70" s="2470"/>
      <c r="P70" s="3134"/>
      <c r="Q70" s="3134"/>
      <c r="R70" s="3134"/>
      <c r="S70" s="3134"/>
    </row>
    <row r="71" spans="15:19" x14ac:dyDescent="0.25">
      <c r="O71" s="2470"/>
      <c r="P71" s="3134"/>
      <c r="Q71" s="3134"/>
      <c r="R71" s="3134"/>
      <c r="S71" s="3134"/>
    </row>
    <row r="72" spans="15:19" x14ac:dyDescent="0.25">
      <c r="O72" s="2470"/>
      <c r="P72" s="3134"/>
      <c r="Q72" s="3134"/>
      <c r="R72" s="3134"/>
      <c r="S72" s="3134"/>
    </row>
  </sheetData>
  <sortState xmlns:xlrd2="http://schemas.microsoft.com/office/spreadsheetml/2017/richdata2" ref="A3:N59">
    <sortCondition ref="I3:I59"/>
    <sortCondition ref="B3:B59"/>
  </sortState>
  <mergeCells count="1">
    <mergeCell ref="P1:S1"/>
  </mergeCells>
  <pageMargins left="0.7" right="0.7" top="0.75" bottom="0.75" header="0.3" footer="0.3"/>
  <pageSetup orientation="portrait" horizontalDpi="1200" verticalDpi="1200" r:id="rId1"/>
  <customProperties>
    <customPr name="_pios_id" r:id="rId2"/>
  </customPropertie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0098C0-8012-4923-B1AF-56CBE49928A9}">
  <sheetPr codeName="Sheet120"/>
  <dimension ref="A2:P210"/>
  <sheetViews>
    <sheetView topLeftCell="D1" workbookViewId="0">
      <pane ySplit="3" topLeftCell="A190" activePane="bottomLeft" state="frozen"/>
      <selection activeCell="O201" sqref="O201"/>
      <selection pane="bottomLeft" activeCell="O201" sqref="O201"/>
    </sheetView>
  </sheetViews>
  <sheetFormatPr defaultRowHeight="15.75" x14ac:dyDescent="0.25"/>
  <cols>
    <col min="1" max="1" width="4.875" style="2472" bestFit="1" customWidth="1"/>
    <col min="2" max="2" width="6" style="2472" bestFit="1" customWidth="1"/>
    <col min="3" max="3" width="7.25" style="2472" bestFit="1" customWidth="1"/>
    <col min="4" max="4" width="19" style="2472" bestFit="1" customWidth="1"/>
    <col min="5" max="5" width="11.875" style="2472" bestFit="1" customWidth="1"/>
    <col min="6" max="6" width="42.625" style="2472" bestFit="1" customWidth="1"/>
    <col min="7" max="7" width="8.5" style="2472" customWidth="1"/>
    <col min="8" max="8" width="6.125" style="2472" customWidth="1"/>
    <col min="9" max="9" width="9" style="2472" customWidth="1"/>
    <col min="10" max="11" width="9" style="2472"/>
    <col min="12" max="12" width="10" style="2472" bestFit="1" customWidth="1"/>
    <col min="13" max="13" width="9" style="2472"/>
    <col min="14" max="14" width="10" style="2472" bestFit="1" customWidth="1"/>
    <col min="15" max="15" width="15.5" style="2472" bestFit="1" customWidth="1"/>
    <col min="16" max="16384" width="9" style="2472"/>
  </cols>
  <sheetData>
    <row r="2" spans="1:14" x14ac:dyDescent="0.25">
      <c r="J2" s="3110"/>
      <c r="K2" s="3135" t="s">
        <v>5583</v>
      </c>
      <c r="L2" s="3135"/>
      <c r="M2" s="3135"/>
      <c r="N2" s="3135"/>
    </row>
    <row r="3" spans="1:14" x14ac:dyDescent="0.25">
      <c r="A3" s="3136" t="s">
        <v>11809</v>
      </c>
      <c r="B3" s="3136" t="s">
        <v>11810</v>
      </c>
      <c r="C3" s="3136" t="s">
        <v>96</v>
      </c>
      <c r="D3" s="3136" t="s">
        <v>11813</v>
      </c>
      <c r="E3" s="3136" t="s">
        <v>11814</v>
      </c>
      <c r="F3" s="3136" t="s">
        <v>11829</v>
      </c>
      <c r="G3" s="3136" t="s">
        <v>11816</v>
      </c>
      <c r="H3" s="3136" t="s">
        <v>11817</v>
      </c>
      <c r="I3" s="3136" t="s">
        <v>10930</v>
      </c>
      <c r="J3" s="3137" t="s">
        <v>5463</v>
      </c>
      <c r="K3" s="3135" t="s">
        <v>5585</v>
      </c>
      <c r="L3" s="3135" t="s">
        <v>394</v>
      </c>
      <c r="M3" s="3135" t="s">
        <v>393</v>
      </c>
      <c r="N3" s="3135" t="s">
        <v>392</v>
      </c>
    </row>
    <row r="4" spans="1:14" x14ac:dyDescent="0.25">
      <c r="A4" s="3136">
        <v>2024</v>
      </c>
      <c r="B4" s="3136">
        <v>1</v>
      </c>
      <c r="C4" s="3136">
        <v>586902</v>
      </c>
      <c r="D4" s="3136"/>
      <c r="E4" s="3136">
        <v>1109.81</v>
      </c>
      <c r="F4" s="3136" t="s">
        <v>11830</v>
      </c>
      <c r="G4" s="3136">
        <v>4073000</v>
      </c>
      <c r="H4" s="3136">
        <v>110</v>
      </c>
      <c r="I4" s="3136">
        <v>586902</v>
      </c>
      <c r="J4" s="3139" t="s">
        <v>11831</v>
      </c>
      <c r="K4" s="3117" t="s">
        <v>99</v>
      </c>
      <c r="L4" s="3140">
        <f>IF($K4="PTD",$E4*L$205,IF($K4="PROD",$E4*L$206,IF($K4="TRANS",$E4*L$207,IF($K4="DIST",$E4*L$208,IF($K4="LABOR",$E4*L$209,IF($K4="TD",$E4*L$210,0))))))</f>
        <v>488.5340823461641</v>
      </c>
      <c r="M4" s="3140">
        <f>IF($K4="PTD",$E4*M$205,IF($K4="PROD",$E4*M$206,IF($K4="TRANS",$E4*M$207,IF($K4="DIST",$E4*M$208,IF($K4="LABOR",$E4*M$209,IF($K4="TD",$E4*M$210,0))))))</f>
        <v>0</v>
      </c>
      <c r="N4" s="3140">
        <f>IF($K4="PTD",$E4*N$205,IF($K4="PROD",$E4*N$206,IF($K4="TRANS",$E4*N$207,IF($K4="DIST",$E4*N$208,IF($K4="LABOR",$E4*N$209,IF($K4="TD",$E4*N$210,0))))))</f>
        <v>621.27591765383568</v>
      </c>
    </row>
    <row r="5" spans="1:14" x14ac:dyDescent="0.25">
      <c r="A5" s="3136">
        <v>2024</v>
      </c>
      <c r="B5" s="3136">
        <v>2</v>
      </c>
      <c r="C5" s="3136">
        <v>586902</v>
      </c>
      <c r="D5" s="3136"/>
      <c r="E5" s="3138">
        <v>1109.81</v>
      </c>
      <c r="F5" s="3136" t="s">
        <v>11830</v>
      </c>
      <c r="G5" s="3136">
        <v>4073000</v>
      </c>
      <c r="H5" s="3136">
        <v>110</v>
      </c>
      <c r="I5" s="3136">
        <v>586902</v>
      </c>
      <c r="J5" s="3139" t="s">
        <v>11831</v>
      </c>
      <c r="K5" s="3117" t="s">
        <v>99</v>
      </c>
      <c r="L5" s="3140">
        <f t="shared" ref="L5:N51" si="0">IF($K5="PTD",$E5*L$205,IF($K5="PROD",$E5*L$206,IF($K5="TRANS",$E5*L$207,IF($K5="DIST",$E5*L$208,IF($K5="LABOR",$E5*L$209,IF($K5="TD",$E5*L$210,0))))))</f>
        <v>488.5340823461641</v>
      </c>
      <c r="M5" s="3140">
        <f t="shared" si="0"/>
        <v>0</v>
      </c>
      <c r="N5" s="3140">
        <f t="shared" si="0"/>
        <v>621.27591765383568</v>
      </c>
    </row>
    <row r="6" spans="1:14" x14ac:dyDescent="0.25">
      <c r="A6" s="3136">
        <v>2024</v>
      </c>
      <c r="B6" s="3136">
        <v>3</v>
      </c>
      <c r="C6" s="3136">
        <v>586902</v>
      </c>
      <c r="D6" s="3136"/>
      <c r="E6" s="3138">
        <v>1109.81</v>
      </c>
      <c r="F6" s="3136" t="s">
        <v>11830</v>
      </c>
      <c r="G6" s="3136">
        <v>4073000</v>
      </c>
      <c r="H6" s="3136">
        <v>110</v>
      </c>
      <c r="I6" s="3136">
        <v>586902</v>
      </c>
      <c r="J6" s="3139" t="s">
        <v>11831</v>
      </c>
      <c r="K6" s="3117" t="s">
        <v>99</v>
      </c>
      <c r="L6" s="3140">
        <f t="shared" si="0"/>
        <v>488.5340823461641</v>
      </c>
      <c r="M6" s="3140">
        <f t="shared" si="0"/>
        <v>0</v>
      </c>
      <c r="N6" s="3140">
        <f t="shared" si="0"/>
        <v>621.27591765383568</v>
      </c>
    </row>
    <row r="7" spans="1:14" x14ac:dyDescent="0.25">
      <c r="A7" s="3136">
        <v>2024</v>
      </c>
      <c r="B7" s="3136">
        <v>4</v>
      </c>
      <c r="C7" s="3136">
        <v>586902</v>
      </c>
      <c r="D7" s="3136"/>
      <c r="E7" s="3138">
        <v>1109.81</v>
      </c>
      <c r="F7" s="3136" t="s">
        <v>11830</v>
      </c>
      <c r="G7" s="3136">
        <v>4073000</v>
      </c>
      <c r="H7" s="3136">
        <v>110</v>
      </c>
      <c r="I7" s="3136">
        <v>586902</v>
      </c>
      <c r="J7" s="3139" t="s">
        <v>11831</v>
      </c>
      <c r="K7" s="3117" t="s">
        <v>99</v>
      </c>
      <c r="L7" s="3140">
        <f t="shared" si="0"/>
        <v>488.5340823461641</v>
      </c>
      <c r="M7" s="3140">
        <f t="shared" si="0"/>
        <v>0</v>
      </c>
      <c r="N7" s="3140">
        <f t="shared" si="0"/>
        <v>621.27591765383568</v>
      </c>
    </row>
    <row r="8" spans="1:14" x14ac:dyDescent="0.25">
      <c r="A8" s="3136">
        <v>2024</v>
      </c>
      <c r="B8" s="3136">
        <v>5</v>
      </c>
      <c r="C8" s="3136">
        <v>586902</v>
      </c>
      <c r="D8" s="3136"/>
      <c r="E8" s="3138">
        <v>1109.81</v>
      </c>
      <c r="F8" s="3136" t="s">
        <v>11830</v>
      </c>
      <c r="G8" s="3136">
        <v>4073000</v>
      </c>
      <c r="H8" s="3136">
        <v>110</v>
      </c>
      <c r="I8" s="3136">
        <v>586902</v>
      </c>
      <c r="J8" s="3139" t="s">
        <v>11831</v>
      </c>
      <c r="K8" s="3117" t="s">
        <v>99</v>
      </c>
      <c r="L8" s="3140">
        <f t="shared" si="0"/>
        <v>488.5340823461641</v>
      </c>
      <c r="M8" s="3140">
        <f t="shared" si="0"/>
        <v>0</v>
      </c>
      <c r="N8" s="3140">
        <f t="shared" si="0"/>
        <v>621.27591765383568</v>
      </c>
    </row>
    <row r="9" spans="1:14" x14ac:dyDescent="0.25">
      <c r="A9" s="3136">
        <v>2024</v>
      </c>
      <c r="B9" s="3136">
        <v>6</v>
      </c>
      <c r="C9" s="3136">
        <v>586902</v>
      </c>
      <c r="D9" s="3136"/>
      <c r="E9" s="3138">
        <v>1109.81</v>
      </c>
      <c r="F9" s="3136" t="s">
        <v>11900</v>
      </c>
      <c r="G9" s="3136">
        <v>4073000</v>
      </c>
      <c r="H9" s="3136">
        <v>110</v>
      </c>
      <c r="I9" s="3136">
        <v>586902</v>
      </c>
      <c r="J9" s="3139" t="s">
        <v>11831</v>
      </c>
      <c r="K9" s="3117" t="s">
        <v>99</v>
      </c>
      <c r="L9" s="3140">
        <f t="shared" si="0"/>
        <v>488.5340823461641</v>
      </c>
      <c r="M9" s="3140">
        <f t="shared" si="0"/>
        <v>0</v>
      </c>
      <c r="N9" s="3140">
        <f t="shared" si="0"/>
        <v>621.27591765383568</v>
      </c>
    </row>
    <row r="10" spans="1:14" x14ac:dyDescent="0.25">
      <c r="A10" s="3136">
        <v>2024</v>
      </c>
      <c r="B10" s="3136">
        <v>7</v>
      </c>
      <c r="C10" s="3136">
        <v>586902</v>
      </c>
      <c r="D10" s="3136"/>
      <c r="E10" s="3138">
        <v>1109.81</v>
      </c>
      <c r="F10" s="3136" t="s">
        <v>11900</v>
      </c>
      <c r="G10" s="3136">
        <v>4073000</v>
      </c>
      <c r="H10" s="3136">
        <v>110</v>
      </c>
      <c r="I10" s="3136">
        <v>586902</v>
      </c>
      <c r="J10" s="3139" t="s">
        <v>11831</v>
      </c>
      <c r="K10" s="3117" t="s">
        <v>99</v>
      </c>
      <c r="L10" s="3140">
        <f t="shared" si="0"/>
        <v>488.5340823461641</v>
      </c>
      <c r="M10" s="3140">
        <f t="shared" si="0"/>
        <v>0</v>
      </c>
      <c r="N10" s="3140">
        <f t="shared" si="0"/>
        <v>621.27591765383568</v>
      </c>
    </row>
    <row r="11" spans="1:14" x14ac:dyDescent="0.25">
      <c r="A11" s="3136">
        <v>2024</v>
      </c>
      <c r="B11" s="3136">
        <v>8</v>
      </c>
      <c r="C11" s="3136">
        <v>586902</v>
      </c>
      <c r="D11" s="3136"/>
      <c r="E11" s="3138">
        <v>1109.81</v>
      </c>
      <c r="F11" s="3136" t="s">
        <v>11900</v>
      </c>
      <c r="G11" s="3136">
        <v>4073000</v>
      </c>
      <c r="H11" s="3136">
        <v>110</v>
      </c>
      <c r="I11" s="3136">
        <v>586902</v>
      </c>
      <c r="J11" s="3139" t="s">
        <v>11831</v>
      </c>
      <c r="K11" s="3117" t="s">
        <v>99</v>
      </c>
      <c r="L11" s="3140">
        <f t="shared" si="0"/>
        <v>488.5340823461641</v>
      </c>
      <c r="M11" s="3140">
        <f t="shared" si="0"/>
        <v>0</v>
      </c>
      <c r="N11" s="3140">
        <f t="shared" si="0"/>
        <v>621.27591765383568</v>
      </c>
    </row>
    <row r="12" spans="1:14" x14ac:dyDescent="0.25">
      <c r="A12" s="3136">
        <v>2024</v>
      </c>
      <c r="B12" s="3136">
        <v>9</v>
      </c>
      <c r="C12" s="3136">
        <v>586902</v>
      </c>
      <c r="D12" s="3136"/>
      <c r="E12" s="3138">
        <v>1109.81</v>
      </c>
      <c r="F12" s="3136" t="s">
        <v>11900</v>
      </c>
      <c r="G12" s="3136">
        <v>4073000</v>
      </c>
      <c r="H12" s="3136">
        <v>110</v>
      </c>
      <c r="I12" s="3136">
        <v>586902</v>
      </c>
      <c r="J12" s="3139" t="s">
        <v>11831</v>
      </c>
      <c r="K12" s="3117" t="s">
        <v>99</v>
      </c>
      <c r="L12" s="3140">
        <f t="shared" si="0"/>
        <v>488.5340823461641</v>
      </c>
      <c r="M12" s="3140">
        <f t="shared" si="0"/>
        <v>0</v>
      </c>
      <c r="N12" s="3140">
        <f t="shared" si="0"/>
        <v>621.27591765383568</v>
      </c>
    </row>
    <row r="13" spans="1:14" x14ac:dyDescent="0.25">
      <c r="A13" s="3136">
        <v>2024</v>
      </c>
      <c r="B13" s="3136">
        <v>10</v>
      </c>
      <c r="C13" s="3136">
        <v>586902</v>
      </c>
      <c r="D13" s="3136"/>
      <c r="E13" s="3138">
        <v>1109.81</v>
      </c>
      <c r="F13" s="3136" t="s">
        <v>11900</v>
      </c>
      <c r="G13" s="3136">
        <v>4073000</v>
      </c>
      <c r="H13" s="3136">
        <v>110</v>
      </c>
      <c r="I13" s="3136">
        <v>586902</v>
      </c>
      <c r="J13" s="3139" t="s">
        <v>11831</v>
      </c>
      <c r="K13" s="3117" t="s">
        <v>99</v>
      </c>
      <c r="L13" s="3140">
        <f t="shared" si="0"/>
        <v>488.5340823461641</v>
      </c>
      <c r="M13" s="3140">
        <f t="shared" si="0"/>
        <v>0</v>
      </c>
      <c r="N13" s="3140">
        <f t="shared" si="0"/>
        <v>621.27591765383568</v>
      </c>
    </row>
    <row r="14" spans="1:14" x14ac:dyDescent="0.25">
      <c r="A14" s="3136">
        <v>2024</v>
      </c>
      <c r="B14" s="3136">
        <v>11</v>
      </c>
      <c r="C14" s="3136">
        <v>586902</v>
      </c>
      <c r="D14" s="3136"/>
      <c r="E14" s="3138">
        <v>1109.81</v>
      </c>
      <c r="F14" s="3136" t="s">
        <v>11900</v>
      </c>
      <c r="G14" s="3136">
        <v>4073000</v>
      </c>
      <c r="H14" s="3136">
        <v>110</v>
      </c>
      <c r="I14" s="3136">
        <v>586902</v>
      </c>
      <c r="J14" s="3139" t="s">
        <v>11831</v>
      </c>
      <c r="K14" s="3117" t="s">
        <v>99</v>
      </c>
      <c r="L14" s="3140">
        <f t="shared" si="0"/>
        <v>488.5340823461641</v>
      </c>
      <c r="M14" s="3140">
        <f t="shared" si="0"/>
        <v>0</v>
      </c>
      <c r="N14" s="3140">
        <f t="shared" si="0"/>
        <v>621.27591765383568</v>
      </c>
    </row>
    <row r="15" spans="1:14" x14ac:dyDescent="0.25">
      <c r="A15" s="3136">
        <v>2024</v>
      </c>
      <c r="B15" s="3136">
        <v>12</v>
      </c>
      <c r="C15" s="3136">
        <v>586902</v>
      </c>
      <c r="D15" s="3136"/>
      <c r="E15" s="3138">
        <v>1109.81</v>
      </c>
      <c r="F15" s="3136" t="s">
        <v>11900</v>
      </c>
      <c r="G15" s="3136">
        <v>4073000</v>
      </c>
      <c r="H15" s="3136">
        <v>110</v>
      </c>
      <c r="I15" s="3136">
        <v>586902</v>
      </c>
      <c r="J15" s="3139" t="s">
        <v>11831</v>
      </c>
      <c r="K15" s="3117" t="s">
        <v>99</v>
      </c>
      <c r="L15" s="3140">
        <f t="shared" si="0"/>
        <v>488.5340823461641</v>
      </c>
      <c r="M15" s="3140">
        <f t="shared" si="0"/>
        <v>0</v>
      </c>
      <c r="N15" s="3140">
        <f t="shared" si="0"/>
        <v>621.27591765383568</v>
      </c>
    </row>
    <row r="16" spans="1:14" x14ac:dyDescent="0.25">
      <c r="A16" s="3136">
        <v>2024</v>
      </c>
      <c r="B16" s="3136">
        <v>1</v>
      </c>
      <c r="C16" s="3136">
        <v>566982</v>
      </c>
      <c r="D16" s="3136"/>
      <c r="E16" s="3138">
        <v>5481.51</v>
      </c>
      <c r="F16" s="3136" t="s">
        <v>11832</v>
      </c>
      <c r="G16" s="3136">
        <v>4073000</v>
      </c>
      <c r="H16" s="3136">
        <v>106</v>
      </c>
      <c r="I16" s="3136">
        <v>566982</v>
      </c>
      <c r="J16" s="3139" t="s">
        <v>11831</v>
      </c>
      <c r="K16" s="3117" t="s">
        <v>394</v>
      </c>
      <c r="L16" s="3140">
        <f t="shared" si="0"/>
        <v>5481.51</v>
      </c>
      <c r="M16" s="3140">
        <f t="shared" si="0"/>
        <v>0</v>
      </c>
      <c r="N16" s="3140">
        <f t="shared" si="0"/>
        <v>0</v>
      </c>
    </row>
    <row r="17" spans="1:14" x14ac:dyDescent="0.25">
      <c r="A17" s="3136">
        <v>2024</v>
      </c>
      <c r="B17" s="3136">
        <v>2</v>
      </c>
      <c r="C17" s="3136">
        <v>566982</v>
      </c>
      <c r="D17" s="3136"/>
      <c r="E17" s="3138">
        <v>5481.51</v>
      </c>
      <c r="F17" s="3136" t="s">
        <v>11832</v>
      </c>
      <c r="G17" s="3136">
        <v>4073000</v>
      </c>
      <c r="H17" s="3136">
        <v>106</v>
      </c>
      <c r="I17" s="3136">
        <v>566982</v>
      </c>
      <c r="J17" s="3139" t="s">
        <v>11831</v>
      </c>
      <c r="K17" s="3117" t="s">
        <v>394</v>
      </c>
      <c r="L17" s="3140">
        <f t="shared" si="0"/>
        <v>5481.51</v>
      </c>
      <c r="M17" s="3140">
        <f t="shared" si="0"/>
        <v>0</v>
      </c>
      <c r="N17" s="3140">
        <f t="shared" si="0"/>
        <v>0</v>
      </c>
    </row>
    <row r="18" spans="1:14" x14ac:dyDescent="0.25">
      <c r="A18" s="3136">
        <v>2024</v>
      </c>
      <c r="B18" s="3136">
        <v>3</v>
      </c>
      <c r="C18" s="3136">
        <v>566982</v>
      </c>
      <c r="D18" s="3136"/>
      <c r="E18" s="3138">
        <v>5481.51</v>
      </c>
      <c r="F18" s="3136" t="s">
        <v>11832</v>
      </c>
      <c r="G18" s="3136">
        <v>4073000</v>
      </c>
      <c r="H18" s="3136">
        <v>106</v>
      </c>
      <c r="I18" s="3136">
        <v>566982</v>
      </c>
      <c r="J18" s="3139" t="s">
        <v>11831</v>
      </c>
      <c r="K18" s="3117" t="s">
        <v>394</v>
      </c>
      <c r="L18" s="3140">
        <f t="shared" si="0"/>
        <v>5481.51</v>
      </c>
      <c r="M18" s="3140">
        <f t="shared" si="0"/>
        <v>0</v>
      </c>
      <c r="N18" s="3140">
        <f t="shared" si="0"/>
        <v>0</v>
      </c>
    </row>
    <row r="19" spans="1:14" x14ac:dyDescent="0.25">
      <c r="A19" s="3136">
        <v>2024</v>
      </c>
      <c r="B19" s="3136">
        <v>4</v>
      </c>
      <c r="C19" s="3136">
        <v>566982</v>
      </c>
      <c r="D19" s="3136"/>
      <c r="E19" s="3138">
        <v>5481.51</v>
      </c>
      <c r="F19" s="3136" t="s">
        <v>11832</v>
      </c>
      <c r="G19" s="3136">
        <v>4073000</v>
      </c>
      <c r="H19" s="3136">
        <v>106</v>
      </c>
      <c r="I19" s="3136">
        <v>566982</v>
      </c>
      <c r="J19" s="3139" t="s">
        <v>11831</v>
      </c>
      <c r="K19" s="3117" t="s">
        <v>394</v>
      </c>
      <c r="L19" s="3140">
        <f t="shared" si="0"/>
        <v>5481.51</v>
      </c>
      <c r="M19" s="3140">
        <f t="shared" si="0"/>
        <v>0</v>
      </c>
      <c r="N19" s="3140">
        <f t="shared" si="0"/>
        <v>0</v>
      </c>
    </row>
    <row r="20" spans="1:14" x14ac:dyDescent="0.25">
      <c r="A20" s="3136">
        <v>2024</v>
      </c>
      <c r="B20" s="3136">
        <v>5</v>
      </c>
      <c r="C20" s="3136">
        <v>566982</v>
      </c>
      <c r="D20" s="3136"/>
      <c r="E20" s="3138">
        <v>5481.51</v>
      </c>
      <c r="F20" s="3136" t="s">
        <v>11832</v>
      </c>
      <c r="G20" s="3136">
        <v>4073000</v>
      </c>
      <c r="H20" s="3136">
        <v>106</v>
      </c>
      <c r="I20" s="3136">
        <v>566982</v>
      </c>
      <c r="J20" s="3139" t="s">
        <v>11831</v>
      </c>
      <c r="K20" s="3117" t="s">
        <v>394</v>
      </c>
      <c r="L20" s="3140">
        <f t="shared" si="0"/>
        <v>5481.51</v>
      </c>
      <c r="M20" s="3140">
        <f t="shared" si="0"/>
        <v>0</v>
      </c>
      <c r="N20" s="3140">
        <f t="shared" si="0"/>
        <v>0</v>
      </c>
    </row>
    <row r="21" spans="1:14" x14ac:dyDescent="0.25">
      <c r="A21" s="3136">
        <v>2024</v>
      </c>
      <c r="B21" s="3136">
        <v>6</v>
      </c>
      <c r="C21" s="3136">
        <v>566982</v>
      </c>
      <c r="D21" s="3136"/>
      <c r="E21" s="3138">
        <v>5481.51</v>
      </c>
      <c r="F21" s="3136" t="s">
        <v>11832</v>
      </c>
      <c r="G21" s="3136">
        <v>4073000</v>
      </c>
      <c r="H21" s="3136">
        <v>106</v>
      </c>
      <c r="I21" s="3136">
        <v>566982</v>
      </c>
      <c r="J21" s="3139" t="s">
        <v>11831</v>
      </c>
      <c r="K21" s="3117" t="s">
        <v>394</v>
      </c>
      <c r="L21" s="3140">
        <f t="shared" si="0"/>
        <v>5481.51</v>
      </c>
      <c r="M21" s="3140">
        <f t="shared" si="0"/>
        <v>0</v>
      </c>
      <c r="N21" s="3140">
        <f t="shared" si="0"/>
        <v>0</v>
      </c>
    </row>
    <row r="22" spans="1:14" x14ac:dyDescent="0.25">
      <c r="A22" s="3136">
        <v>2024</v>
      </c>
      <c r="B22" s="3136">
        <v>7</v>
      </c>
      <c r="C22" s="3136">
        <v>566982</v>
      </c>
      <c r="D22" s="3136"/>
      <c r="E22" s="3138">
        <v>5481.51</v>
      </c>
      <c r="F22" s="3136" t="s">
        <v>11832</v>
      </c>
      <c r="G22" s="3136">
        <v>4073000</v>
      </c>
      <c r="H22" s="3136">
        <v>106</v>
      </c>
      <c r="I22" s="3136">
        <v>566982</v>
      </c>
      <c r="J22" s="3139" t="s">
        <v>11831</v>
      </c>
      <c r="K22" s="3117" t="s">
        <v>394</v>
      </c>
      <c r="L22" s="3140">
        <f t="shared" si="0"/>
        <v>5481.51</v>
      </c>
      <c r="M22" s="3140">
        <f t="shared" si="0"/>
        <v>0</v>
      </c>
      <c r="N22" s="3140">
        <f t="shared" si="0"/>
        <v>0</v>
      </c>
    </row>
    <row r="23" spans="1:14" x14ac:dyDescent="0.25">
      <c r="A23" s="3136">
        <v>2024</v>
      </c>
      <c r="B23" s="3136">
        <v>8</v>
      </c>
      <c r="C23" s="3136">
        <v>566982</v>
      </c>
      <c r="D23" s="3136"/>
      <c r="E23" s="3138">
        <v>5481.51</v>
      </c>
      <c r="F23" s="3136" t="s">
        <v>11832</v>
      </c>
      <c r="G23" s="3136">
        <v>4073000</v>
      </c>
      <c r="H23" s="3136">
        <v>106</v>
      </c>
      <c r="I23" s="3136">
        <v>566982</v>
      </c>
      <c r="J23" s="3139" t="s">
        <v>11831</v>
      </c>
      <c r="K23" s="3117" t="s">
        <v>394</v>
      </c>
      <c r="L23" s="3140">
        <f t="shared" si="0"/>
        <v>5481.51</v>
      </c>
      <c r="M23" s="3140">
        <f t="shared" si="0"/>
        <v>0</v>
      </c>
      <c r="N23" s="3140">
        <f t="shared" si="0"/>
        <v>0</v>
      </c>
    </row>
    <row r="24" spans="1:14" x14ac:dyDescent="0.25">
      <c r="A24" s="3136">
        <v>2024</v>
      </c>
      <c r="B24" s="3136">
        <v>9</v>
      </c>
      <c r="C24" s="3136">
        <v>566982</v>
      </c>
      <c r="D24" s="3136"/>
      <c r="E24" s="3138">
        <v>5481.51</v>
      </c>
      <c r="F24" s="3136" t="s">
        <v>11832</v>
      </c>
      <c r="G24" s="3136">
        <v>4073000</v>
      </c>
      <c r="H24" s="3136">
        <v>106</v>
      </c>
      <c r="I24" s="3136">
        <v>566982</v>
      </c>
      <c r="J24" s="3139" t="s">
        <v>11831</v>
      </c>
      <c r="K24" s="3117" t="s">
        <v>394</v>
      </c>
      <c r="L24" s="3140">
        <f t="shared" si="0"/>
        <v>5481.51</v>
      </c>
      <c r="M24" s="3140">
        <f t="shared" si="0"/>
        <v>0</v>
      </c>
      <c r="N24" s="3140">
        <f t="shared" si="0"/>
        <v>0</v>
      </c>
    </row>
    <row r="25" spans="1:14" x14ac:dyDescent="0.25">
      <c r="A25" s="3136">
        <v>2024</v>
      </c>
      <c r="B25" s="3136">
        <v>10</v>
      </c>
      <c r="C25" s="3136">
        <v>566982</v>
      </c>
      <c r="D25" s="3136"/>
      <c r="E25" s="3138">
        <v>5481.51</v>
      </c>
      <c r="F25" s="3136" t="s">
        <v>11832</v>
      </c>
      <c r="G25" s="3136">
        <v>4073000</v>
      </c>
      <c r="H25" s="3136">
        <v>106</v>
      </c>
      <c r="I25" s="3136">
        <v>566982</v>
      </c>
      <c r="J25" s="3139" t="s">
        <v>11831</v>
      </c>
      <c r="K25" s="3117" t="s">
        <v>394</v>
      </c>
      <c r="L25" s="3140">
        <f t="shared" si="0"/>
        <v>5481.51</v>
      </c>
      <c r="M25" s="3140">
        <f t="shared" si="0"/>
        <v>0</v>
      </c>
      <c r="N25" s="3140">
        <f t="shared" si="0"/>
        <v>0</v>
      </c>
    </row>
    <row r="26" spans="1:14" x14ac:dyDescent="0.25">
      <c r="A26" s="3136">
        <v>2024</v>
      </c>
      <c r="B26" s="3136">
        <v>11</v>
      </c>
      <c r="C26" s="3136">
        <v>566982</v>
      </c>
      <c r="D26" s="3136"/>
      <c r="E26" s="3138">
        <v>5481.51</v>
      </c>
      <c r="F26" s="3136" t="s">
        <v>11832</v>
      </c>
      <c r="G26" s="3136">
        <v>4073000</v>
      </c>
      <c r="H26" s="3136">
        <v>106</v>
      </c>
      <c r="I26" s="3136">
        <v>566982</v>
      </c>
      <c r="J26" s="3139" t="s">
        <v>11831</v>
      </c>
      <c r="K26" s="3117" t="s">
        <v>394</v>
      </c>
      <c r="L26" s="3140">
        <f t="shared" si="0"/>
        <v>5481.51</v>
      </c>
      <c r="M26" s="3140">
        <f t="shared" si="0"/>
        <v>0</v>
      </c>
      <c r="N26" s="3140">
        <f t="shared" si="0"/>
        <v>0</v>
      </c>
    </row>
    <row r="27" spans="1:14" x14ac:dyDescent="0.25">
      <c r="A27" s="3136">
        <v>2024</v>
      </c>
      <c r="B27" s="3136">
        <v>12</v>
      </c>
      <c r="C27" s="3136">
        <v>566982</v>
      </c>
      <c r="D27" s="3136"/>
      <c r="E27" s="3138">
        <v>5481.51</v>
      </c>
      <c r="F27" s="3136" t="s">
        <v>11832</v>
      </c>
      <c r="G27" s="3136">
        <v>4073000</v>
      </c>
      <c r="H27" s="3136">
        <v>106</v>
      </c>
      <c r="I27" s="3136">
        <v>566982</v>
      </c>
      <c r="J27" s="3139" t="s">
        <v>11831</v>
      </c>
      <c r="K27" s="3117" t="s">
        <v>394</v>
      </c>
      <c r="L27" s="3140">
        <f t="shared" si="0"/>
        <v>5481.51</v>
      </c>
      <c r="M27" s="3140">
        <f t="shared" si="0"/>
        <v>0</v>
      </c>
      <c r="N27" s="3140">
        <f t="shared" si="0"/>
        <v>0</v>
      </c>
    </row>
    <row r="28" spans="1:14" x14ac:dyDescent="0.25">
      <c r="A28" s="3136">
        <v>2024</v>
      </c>
      <c r="B28" s="3136">
        <v>1</v>
      </c>
      <c r="C28" s="3136">
        <v>566983</v>
      </c>
      <c r="D28" s="3136"/>
      <c r="E28" s="3138">
        <v>14957.25</v>
      </c>
      <c r="F28" s="3136" t="s">
        <v>11833</v>
      </c>
      <c r="G28" s="3136">
        <v>4073000</v>
      </c>
      <c r="H28" s="3136">
        <v>108</v>
      </c>
      <c r="I28" s="3136">
        <v>566983</v>
      </c>
      <c r="J28" s="3139" t="s">
        <v>11831</v>
      </c>
      <c r="K28" s="3117" t="s">
        <v>394</v>
      </c>
      <c r="L28" s="3140">
        <f t="shared" si="0"/>
        <v>14957.25</v>
      </c>
      <c r="M28" s="3140">
        <f t="shared" si="0"/>
        <v>0</v>
      </c>
      <c r="N28" s="3140">
        <f t="shared" si="0"/>
        <v>0</v>
      </c>
    </row>
    <row r="29" spans="1:14" x14ac:dyDescent="0.25">
      <c r="A29" s="3136">
        <v>2024</v>
      </c>
      <c r="B29" s="3136">
        <v>2</v>
      </c>
      <c r="C29" s="3136">
        <v>566983</v>
      </c>
      <c r="D29" s="3136"/>
      <c r="E29" s="3138">
        <v>14957.25</v>
      </c>
      <c r="F29" s="3136" t="s">
        <v>11833</v>
      </c>
      <c r="G29" s="3136">
        <v>4073000</v>
      </c>
      <c r="H29" s="3136">
        <v>108</v>
      </c>
      <c r="I29" s="3136">
        <v>566983</v>
      </c>
      <c r="J29" s="3139" t="s">
        <v>11831</v>
      </c>
      <c r="K29" s="3117" t="s">
        <v>394</v>
      </c>
      <c r="L29" s="3140">
        <f t="shared" si="0"/>
        <v>14957.25</v>
      </c>
      <c r="M29" s="3140">
        <f t="shared" si="0"/>
        <v>0</v>
      </c>
      <c r="N29" s="3140">
        <f t="shared" si="0"/>
        <v>0</v>
      </c>
    </row>
    <row r="30" spans="1:14" x14ac:dyDescent="0.25">
      <c r="A30" s="3136">
        <v>2024</v>
      </c>
      <c r="B30" s="3136">
        <v>3</v>
      </c>
      <c r="C30" s="3136">
        <v>566983</v>
      </c>
      <c r="D30" s="3136"/>
      <c r="E30" s="3138">
        <v>14957.25</v>
      </c>
      <c r="F30" s="3136" t="s">
        <v>11833</v>
      </c>
      <c r="G30" s="3136">
        <v>4073000</v>
      </c>
      <c r="H30" s="3136">
        <v>108</v>
      </c>
      <c r="I30" s="3136">
        <v>566983</v>
      </c>
      <c r="J30" s="3139" t="s">
        <v>11831</v>
      </c>
      <c r="K30" s="3117" t="s">
        <v>394</v>
      </c>
      <c r="L30" s="3140">
        <f t="shared" si="0"/>
        <v>14957.25</v>
      </c>
      <c r="M30" s="3140">
        <f t="shared" si="0"/>
        <v>0</v>
      </c>
      <c r="N30" s="3140">
        <f t="shared" si="0"/>
        <v>0</v>
      </c>
    </row>
    <row r="31" spans="1:14" x14ac:dyDescent="0.25">
      <c r="A31" s="3136">
        <v>2024</v>
      </c>
      <c r="B31" s="3136">
        <v>4</v>
      </c>
      <c r="C31" s="3136">
        <v>566983</v>
      </c>
      <c r="D31" s="3136"/>
      <c r="E31" s="3138">
        <v>14957.25</v>
      </c>
      <c r="F31" s="3136" t="s">
        <v>11833</v>
      </c>
      <c r="G31" s="3136">
        <v>4073000</v>
      </c>
      <c r="H31" s="3136">
        <v>108</v>
      </c>
      <c r="I31" s="3136">
        <v>566983</v>
      </c>
      <c r="J31" s="3139" t="s">
        <v>11831</v>
      </c>
      <c r="K31" s="3117" t="s">
        <v>394</v>
      </c>
      <c r="L31" s="3140">
        <f t="shared" si="0"/>
        <v>14957.25</v>
      </c>
      <c r="M31" s="3140">
        <f t="shared" si="0"/>
        <v>0</v>
      </c>
      <c r="N31" s="3140">
        <f t="shared" si="0"/>
        <v>0</v>
      </c>
    </row>
    <row r="32" spans="1:14" x14ac:dyDescent="0.25">
      <c r="A32" s="3136">
        <v>2024</v>
      </c>
      <c r="B32" s="3136">
        <v>5</v>
      </c>
      <c r="C32" s="3136">
        <v>566983</v>
      </c>
      <c r="D32" s="3136"/>
      <c r="E32" s="3138">
        <v>14957.25</v>
      </c>
      <c r="F32" s="3136" t="s">
        <v>11833</v>
      </c>
      <c r="G32" s="3136">
        <v>4073000</v>
      </c>
      <c r="H32" s="3136">
        <v>108</v>
      </c>
      <c r="I32" s="3136">
        <v>566983</v>
      </c>
      <c r="J32" s="3139" t="s">
        <v>11831</v>
      </c>
      <c r="K32" s="3117" t="s">
        <v>394</v>
      </c>
      <c r="L32" s="3140">
        <f t="shared" si="0"/>
        <v>14957.25</v>
      </c>
      <c r="M32" s="3140">
        <f t="shared" si="0"/>
        <v>0</v>
      </c>
      <c r="N32" s="3140">
        <f t="shared" si="0"/>
        <v>0</v>
      </c>
    </row>
    <row r="33" spans="1:14" x14ac:dyDescent="0.25">
      <c r="A33" s="3136">
        <v>2024</v>
      </c>
      <c r="B33" s="3136">
        <v>6</v>
      </c>
      <c r="C33" s="3136">
        <v>566983</v>
      </c>
      <c r="D33" s="3136"/>
      <c r="E33" s="3138">
        <v>14957.25</v>
      </c>
      <c r="F33" s="3136" t="s">
        <v>11833</v>
      </c>
      <c r="G33" s="3136">
        <v>4073000</v>
      </c>
      <c r="H33" s="3136">
        <v>108</v>
      </c>
      <c r="I33" s="3136">
        <v>566983</v>
      </c>
      <c r="J33" s="3139" t="s">
        <v>11831</v>
      </c>
      <c r="K33" s="3117" t="s">
        <v>394</v>
      </c>
      <c r="L33" s="3140">
        <f t="shared" si="0"/>
        <v>14957.25</v>
      </c>
      <c r="M33" s="3140">
        <f t="shared" si="0"/>
        <v>0</v>
      </c>
      <c r="N33" s="3140">
        <f t="shared" si="0"/>
        <v>0</v>
      </c>
    </row>
    <row r="34" spans="1:14" x14ac:dyDescent="0.25">
      <c r="A34" s="3136">
        <v>2024</v>
      </c>
      <c r="B34" s="3136">
        <v>7</v>
      </c>
      <c r="C34" s="3136">
        <v>566983</v>
      </c>
      <c r="D34" s="3136"/>
      <c r="E34" s="3138">
        <v>14957.25</v>
      </c>
      <c r="F34" s="3136" t="s">
        <v>11833</v>
      </c>
      <c r="G34" s="3136">
        <v>4073000</v>
      </c>
      <c r="H34" s="3136">
        <v>108</v>
      </c>
      <c r="I34" s="3136">
        <v>566983</v>
      </c>
      <c r="J34" s="3139" t="s">
        <v>11831</v>
      </c>
      <c r="K34" s="3117" t="s">
        <v>394</v>
      </c>
      <c r="L34" s="3140">
        <f t="shared" si="0"/>
        <v>14957.25</v>
      </c>
      <c r="M34" s="3140">
        <f t="shared" si="0"/>
        <v>0</v>
      </c>
      <c r="N34" s="3140">
        <f t="shared" si="0"/>
        <v>0</v>
      </c>
    </row>
    <row r="35" spans="1:14" x14ac:dyDescent="0.25">
      <c r="A35" s="3136">
        <v>2024</v>
      </c>
      <c r="B35" s="3136">
        <v>8</v>
      </c>
      <c r="C35" s="3136">
        <v>566983</v>
      </c>
      <c r="D35" s="3136"/>
      <c r="E35" s="3138">
        <v>14957.25</v>
      </c>
      <c r="F35" s="3136" t="s">
        <v>11833</v>
      </c>
      <c r="G35" s="3136">
        <v>4073000</v>
      </c>
      <c r="H35" s="3136">
        <v>108</v>
      </c>
      <c r="I35" s="3136">
        <v>566983</v>
      </c>
      <c r="J35" s="3139" t="s">
        <v>11831</v>
      </c>
      <c r="K35" s="3117" t="s">
        <v>394</v>
      </c>
      <c r="L35" s="3140">
        <f t="shared" si="0"/>
        <v>14957.25</v>
      </c>
      <c r="M35" s="3140">
        <f t="shared" si="0"/>
        <v>0</v>
      </c>
      <c r="N35" s="3140">
        <f t="shared" si="0"/>
        <v>0</v>
      </c>
    </row>
    <row r="36" spans="1:14" x14ac:dyDescent="0.25">
      <c r="A36" s="3136">
        <v>2024</v>
      </c>
      <c r="B36" s="3136">
        <v>9</v>
      </c>
      <c r="C36" s="3136">
        <v>566983</v>
      </c>
      <c r="D36" s="3136"/>
      <c r="E36" s="3138">
        <v>14957.25</v>
      </c>
      <c r="F36" s="3136" t="s">
        <v>11833</v>
      </c>
      <c r="G36" s="3136">
        <v>4073000</v>
      </c>
      <c r="H36" s="3136">
        <v>108</v>
      </c>
      <c r="I36" s="3136">
        <v>566983</v>
      </c>
      <c r="J36" s="3139" t="s">
        <v>11831</v>
      </c>
      <c r="K36" s="3117" t="s">
        <v>394</v>
      </c>
      <c r="L36" s="3140">
        <f t="shared" si="0"/>
        <v>14957.25</v>
      </c>
      <c r="M36" s="3140">
        <f t="shared" si="0"/>
        <v>0</v>
      </c>
      <c r="N36" s="3140">
        <f t="shared" si="0"/>
        <v>0</v>
      </c>
    </row>
    <row r="37" spans="1:14" x14ac:dyDescent="0.25">
      <c r="A37" s="3136">
        <v>2024</v>
      </c>
      <c r="B37" s="3136">
        <v>10</v>
      </c>
      <c r="C37" s="3136">
        <v>566983</v>
      </c>
      <c r="D37" s="3136"/>
      <c r="E37" s="3138">
        <v>14957.25</v>
      </c>
      <c r="F37" s="3136" t="s">
        <v>11833</v>
      </c>
      <c r="G37" s="3136">
        <v>4073000</v>
      </c>
      <c r="H37" s="3136">
        <v>108</v>
      </c>
      <c r="I37" s="3136">
        <v>566983</v>
      </c>
      <c r="J37" s="3139" t="s">
        <v>11831</v>
      </c>
      <c r="K37" s="3117" t="s">
        <v>394</v>
      </c>
      <c r="L37" s="3140">
        <f t="shared" si="0"/>
        <v>14957.25</v>
      </c>
      <c r="M37" s="3140">
        <f t="shared" si="0"/>
        <v>0</v>
      </c>
      <c r="N37" s="3140">
        <f t="shared" si="0"/>
        <v>0</v>
      </c>
    </row>
    <row r="38" spans="1:14" x14ac:dyDescent="0.25">
      <c r="A38" s="3136">
        <v>2024</v>
      </c>
      <c r="B38" s="3136">
        <v>11</v>
      </c>
      <c r="C38" s="3136">
        <v>566983</v>
      </c>
      <c r="D38" s="3136"/>
      <c r="E38" s="3138">
        <v>14957.25</v>
      </c>
      <c r="F38" s="3136" t="s">
        <v>11833</v>
      </c>
      <c r="G38" s="3136">
        <v>4073000</v>
      </c>
      <c r="H38" s="3136">
        <v>108</v>
      </c>
      <c r="I38" s="3136">
        <v>566983</v>
      </c>
      <c r="J38" s="3139" t="s">
        <v>11831</v>
      </c>
      <c r="K38" s="3117" t="s">
        <v>394</v>
      </c>
      <c r="L38" s="3140">
        <f t="shared" si="0"/>
        <v>14957.25</v>
      </c>
      <c r="M38" s="3140">
        <f t="shared" si="0"/>
        <v>0</v>
      </c>
      <c r="N38" s="3140">
        <f t="shared" si="0"/>
        <v>0</v>
      </c>
    </row>
    <row r="39" spans="1:14" x14ac:dyDescent="0.25">
      <c r="A39" s="3136">
        <v>2024</v>
      </c>
      <c r="B39" s="3136">
        <v>12</v>
      </c>
      <c r="C39" s="3136">
        <v>566983</v>
      </c>
      <c r="D39" s="3136"/>
      <c r="E39" s="3138">
        <v>14957.25</v>
      </c>
      <c r="F39" s="3136" t="s">
        <v>11833</v>
      </c>
      <c r="G39" s="3136">
        <v>4073000</v>
      </c>
      <c r="H39" s="3136">
        <v>108</v>
      </c>
      <c r="I39" s="3136">
        <v>566983</v>
      </c>
      <c r="J39" s="3139" t="s">
        <v>11831</v>
      </c>
      <c r="K39" s="3117" t="s">
        <v>394</v>
      </c>
      <c r="L39" s="3140">
        <f t="shared" si="0"/>
        <v>14957.25</v>
      </c>
      <c r="M39" s="3140">
        <f t="shared" si="0"/>
        <v>0</v>
      </c>
      <c r="N39" s="3140">
        <f t="shared" si="0"/>
        <v>0</v>
      </c>
    </row>
    <row r="40" spans="1:14" x14ac:dyDescent="0.25">
      <c r="A40" s="3136">
        <v>2024</v>
      </c>
      <c r="B40" s="3136">
        <v>1</v>
      </c>
      <c r="C40" s="3136">
        <v>566992</v>
      </c>
      <c r="D40" s="3136"/>
      <c r="E40" s="3136">
        <v>392568.78</v>
      </c>
      <c r="F40" s="3136" t="s">
        <v>11834</v>
      </c>
      <c r="G40" s="3136">
        <v>4073000</v>
      </c>
      <c r="H40" s="3136">
        <v>108</v>
      </c>
      <c r="I40" s="3136">
        <v>566992</v>
      </c>
      <c r="J40" s="3139" t="s">
        <v>11831</v>
      </c>
      <c r="K40" s="3117" t="s">
        <v>392</v>
      </c>
      <c r="L40" s="3140">
        <f t="shared" si="0"/>
        <v>0</v>
      </c>
      <c r="M40" s="3140">
        <f t="shared" si="0"/>
        <v>0</v>
      </c>
      <c r="N40" s="3140">
        <f t="shared" si="0"/>
        <v>392568.78</v>
      </c>
    </row>
    <row r="41" spans="1:14" x14ac:dyDescent="0.25">
      <c r="A41" s="3136">
        <v>2024</v>
      </c>
      <c r="B41" s="3136">
        <v>2</v>
      </c>
      <c r="C41" s="3136">
        <v>566992</v>
      </c>
      <c r="D41" s="3136"/>
      <c r="E41" s="3138">
        <v>384797.81</v>
      </c>
      <c r="F41" s="3136" t="s">
        <v>11834</v>
      </c>
      <c r="G41" s="3136">
        <v>4073000</v>
      </c>
      <c r="H41" s="3136">
        <v>108</v>
      </c>
      <c r="I41" s="3136">
        <v>566992</v>
      </c>
      <c r="J41" s="3139" t="s">
        <v>11831</v>
      </c>
      <c r="K41" s="3117" t="s">
        <v>392</v>
      </c>
      <c r="L41" s="3140">
        <f t="shared" si="0"/>
        <v>0</v>
      </c>
      <c r="M41" s="3140">
        <f t="shared" si="0"/>
        <v>0</v>
      </c>
      <c r="N41" s="3140">
        <f t="shared" si="0"/>
        <v>384797.81</v>
      </c>
    </row>
    <row r="42" spans="1:14" x14ac:dyDescent="0.25">
      <c r="A42" s="3136">
        <v>2024</v>
      </c>
      <c r="B42" s="3136">
        <v>3</v>
      </c>
      <c r="C42" s="3136">
        <v>566992</v>
      </c>
      <c r="D42" s="3136"/>
      <c r="E42" s="3138">
        <v>363868.23</v>
      </c>
      <c r="F42" s="3136" t="s">
        <v>11834</v>
      </c>
      <c r="G42" s="3136">
        <v>4073000</v>
      </c>
      <c r="H42" s="3136">
        <v>108</v>
      </c>
      <c r="I42" s="3136">
        <v>566992</v>
      </c>
      <c r="J42" s="3139" t="s">
        <v>11831</v>
      </c>
      <c r="K42" s="3117" t="s">
        <v>392</v>
      </c>
      <c r="L42" s="3140">
        <f t="shared" si="0"/>
        <v>0</v>
      </c>
      <c r="M42" s="3140">
        <f t="shared" si="0"/>
        <v>0</v>
      </c>
      <c r="N42" s="3140">
        <f t="shared" si="0"/>
        <v>363868.23</v>
      </c>
    </row>
    <row r="43" spans="1:14" x14ac:dyDescent="0.25">
      <c r="A43" s="3136">
        <v>2024</v>
      </c>
      <c r="B43" s="3136">
        <v>4</v>
      </c>
      <c r="C43" s="3136">
        <v>566992</v>
      </c>
      <c r="D43" s="3136"/>
      <c r="E43" s="3138">
        <v>357678.92</v>
      </c>
      <c r="F43" s="3136" t="s">
        <v>11834</v>
      </c>
      <c r="G43" s="3136">
        <v>4073000</v>
      </c>
      <c r="H43" s="3136">
        <v>108</v>
      </c>
      <c r="I43" s="3136">
        <v>566992</v>
      </c>
      <c r="J43" s="3139" t="s">
        <v>11831</v>
      </c>
      <c r="K43" s="3117" t="s">
        <v>392</v>
      </c>
      <c r="L43" s="3140">
        <f t="shared" si="0"/>
        <v>0</v>
      </c>
      <c r="M43" s="3140">
        <f t="shared" si="0"/>
        <v>0</v>
      </c>
      <c r="N43" s="3140">
        <f t="shared" si="0"/>
        <v>357678.92</v>
      </c>
    </row>
    <row r="44" spans="1:14" x14ac:dyDescent="0.25">
      <c r="A44" s="3136">
        <v>2024</v>
      </c>
      <c r="B44" s="3136">
        <v>5</v>
      </c>
      <c r="C44" s="3136">
        <v>566992</v>
      </c>
      <c r="D44" s="3136"/>
      <c r="E44" s="3138">
        <v>327052.06</v>
      </c>
      <c r="F44" s="3136" t="s">
        <v>11834</v>
      </c>
      <c r="G44" s="3136">
        <v>4073000</v>
      </c>
      <c r="H44" s="3136">
        <v>108</v>
      </c>
      <c r="I44" s="3136">
        <v>566992</v>
      </c>
      <c r="J44" s="3139" t="s">
        <v>11831</v>
      </c>
      <c r="K44" s="3117" t="s">
        <v>392</v>
      </c>
      <c r="L44" s="3140">
        <f t="shared" si="0"/>
        <v>0</v>
      </c>
      <c r="M44" s="3140">
        <f t="shared" si="0"/>
        <v>0</v>
      </c>
      <c r="N44" s="3140">
        <f t="shared" si="0"/>
        <v>327052.06</v>
      </c>
    </row>
    <row r="45" spans="1:14" x14ac:dyDescent="0.25">
      <c r="A45" s="3136">
        <v>2024</v>
      </c>
      <c r="B45" s="3136">
        <v>6</v>
      </c>
      <c r="C45" s="3136">
        <v>566992</v>
      </c>
      <c r="D45" s="3136"/>
      <c r="E45" s="3138">
        <v>283245.09000000003</v>
      </c>
      <c r="F45" s="3136" t="s">
        <v>11834</v>
      </c>
      <c r="G45" s="3136">
        <v>4073000</v>
      </c>
      <c r="H45" s="3136">
        <v>108</v>
      </c>
      <c r="I45" s="3136">
        <v>566992</v>
      </c>
      <c r="J45" s="3139" t="s">
        <v>11831</v>
      </c>
      <c r="K45" s="3117" t="s">
        <v>392</v>
      </c>
      <c r="L45" s="3140">
        <f t="shared" si="0"/>
        <v>0</v>
      </c>
      <c r="M45" s="3140">
        <f t="shared" si="0"/>
        <v>0</v>
      </c>
      <c r="N45" s="3140">
        <f t="shared" si="0"/>
        <v>283245.09000000003</v>
      </c>
    </row>
    <row r="46" spans="1:14" x14ac:dyDescent="0.25">
      <c r="A46" s="3136">
        <v>2024</v>
      </c>
      <c r="B46" s="3136">
        <v>7</v>
      </c>
      <c r="C46" s="3136">
        <v>566992</v>
      </c>
      <c r="D46" s="3136"/>
      <c r="E46" s="3138">
        <v>290603.77</v>
      </c>
      <c r="F46" s="3136" t="s">
        <v>11834</v>
      </c>
      <c r="G46" s="3136">
        <v>4073000</v>
      </c>
      <c r="H46" s="3136">
        <v>108</v>
      </c>
      <c r="I46" s="3136">
        <v>566992</v>
      </c>
      <c r="J46" s="3139" t="s">
        <v>11831</v>
      </c>
      <c r="K46" s="3117" t="s">
        <v>392</v>
      </c>
      <c r="L46" s="3140">
        <f t="shared" si="0"/>
        <v>0</v>
      </c>
      <c r="M46" s="3140">
        <f t="shared" si="0"/>
        <v>0</v>
      </c>
      <c r="N46" s="3140">
        <f t="shared" si="0"/>
        <v>290603.77</v>
      </c>
    </row>
    <row r="47" spans="1:14" x14ac:dyDescent="0.25">
      <c r="A47" s="3136">
        <v>2024</v>
      </c>
      <c r="B47" s="3136">
        <v>8</v>
      </c>
      <c r="C47" s="3136">
        <v>566992</v>
      </c>
      <c r="D47" s="3136"/>
      <c r="E47" s="3138">
        <v>320106.90999999997</v>
      </c>
      <c r="F47" s="3136" t="s">
        <v>11834</v>
      </c>
      <c r="G47" s="3136">
        <v>4073000</v>
      </c>
      <c r="H47" s="3136">
        <v>108</v>
      </c>
      <c r="I47" s="3136">
        <v>566992</v>
      </c>
      <c r="J47" s="3139" t="s">
        <v>11831</v>
      </c>
      <c r="K47" s="3117" t="s">
        <v>392</v>
      </c>
      <c r="L47" s="3140">
        <f t="shared" si="0"/>
        <v>0</v>
      </c>
      <c r="M47" s="3140">
        <f t="shared" si="0"/>
        <v>0</v>
      </c>
      <c r="N47" s="3140">
        <f t="shared" si="0"/>
        <v>320106.90999999997</v>
      </c>
    </row>
    <row r="48" spans="1:14" x14ac:dyDescent="0.25">
      <c r="A48" s="3136">
        <v>2024</v>
      </c>
      <c r="B48" s="3136">
        <v>9</v>
      </c>
      <c r="C48" s="3136">
        <v>566992</v>
      </c>
      <c r="D48" s="3136"/>
      <c r="E48" s="3138">
        <v>350642.7</v>
      </c>
      <c r="F48" s="3136" t="s">
        <v>11834</v>
      </c>
      <c r="G48" s="3136">
        <v>4073000</v>
      </c>
      <c r="H48" s="3136">
        <v>108</v>
      </c>
      <c r="I48" s="3136">
        <v>566992</v>
      </c>
      <c r="J48" s="3139" t="s">
        <v>11831</v>
      </c>
      <c r="K48" s="3117" t="s">
        <v>392</v>
      </c>
      <c r="L48" s="3140">
        <f t="shared" si="0"/>
        <v>0</v>
      </c>
      <c r="M48" s="3140">
        <f t="shared" si="0"/>
        <v>0</v>
      </c>
      <c r="N48" s="3140">
        <f t="shared" si="0"/>
        <v>350642.7</v>
      </c>
    </row>
    <row r="49" spans="1:16" x14ac:dyDescent="0.25">
      <c r="A49" s="3136">
        <v>2024</v>
      </c>
      <c r="B49" s="3136">
        <v>10</v>
      </c>
      <c r="C49" s="3136">
        <v>566992</v>
      </c>
      <c r="D49" s="3136"/>
      <c r="E49" s="3138">
        <v>308196.90999999997</v>
      </c>
      <c r="F49" s="3136" t="s">
        <v>11834</v>
      </c>
      <c r="G49" s="3136">
        <v>4073000</v>
      </c>
      <c r="H49" s="3136">
        <v>108</v>
      </c>
      <c r="I49" s="3136">
        <v>566992</v>
      </c>
      <c r="J49" s="3139" t="s">
        <v>11831</v>
      </c>
      <c r="K49" s="3117" t="s">
        <v>392</v>
      </c>
      <c r="L49" s="3140">
        <f t="shared" si="0"/>
        <v>0</v>
      </c>
      <c r="M49" s="3140">
        <f t="shared" si="0"/>
        <v>0</v>
      </c>
      <c r="N49" s="3140">
        <f t="shared" si="0"/>
        <v>308196.90999999997</v>
      </c>
    </row>
    <row r="50" spans="1:16" x14ac:dyDescent="0.25">
      <c r="A50" s="3136">
        <v>2024</v>
      </c>
      <c r="B50" s="3136">
        <v>11</v>
      </c>
      <c r="C50" s="3136">
        <v>566992</v>
      </c>
      <c r="D50" s="3136"/>
      <c r="E50" s="3138">
        <v>275022.14</v>
      </c>
      <c r="F50" s="3136" t="s">
        <v>11834</v>
      </c>
      <c r="G50" s="3136">
        <v>4073000</v>
      </c>
      <c r="H50" s="3136">
        <v>108</v>
      </c>
      <c r="I50" s="3136">
        <v>566992</v>
      </c>
      <c r="J50" s="3139" t="s">
        <v>11831</v>
      </c>
      <c r="K50" s="3117" t="s">
        <v>392</v>
      </c>
      <c r="L50" s="3140">
        <f t="shared" si="0"/>
        <v>0</v>
      </c>
      <c r="M50" s="3140">
        <f t="shared" si="0"/>
        <v>0</v>
      </c>
      <c r="N50" s="3140">
        <f t="shared" si="0"/>
        <v>275022.14</v>
      </c>
    </row>
    <row r="51" spans="1:16" x14ac:dyDescent="0.25">
      <c r="A51" s="3136">
        <v>2024</v>
      </c>
      <c r="B51" s="3136">
        <v>12</v>
      </c>
      <c r="C51" s="3136">
        <v>566992</v>
      </c>
      <c r="D51" s="3136"/>
      <c r="E51" s="3138">
        <v>310722.82</v>
      </c>
      <c r="F51" s="3136" t="s">
        <v>11834</v>
      </c>
      <c r="G51" s="3136">
        <v>4073000</v>
      </c>
      <c r="H51" s="3136">
        <v>108</v>
      </c>
      <c r="I51" s="3136">
        <v>566992</v>
      </c>
      <c r="J51" s="3139" t="s">
        <v>11831</v>
      </c>
      <c r="K51" s="3117" t="s">
        <v>392</v>
      </c>
      <c r="L51" s="3140">
        <f t="shared" si="0"/>
        <v>0</v>
      </c>
      <c r="M51" s="3140">
        <f t="shared" si="0"/>
        <v>0</v>
      </c>
      <c r="N51" s="3140">
        <f t="shared" si="0"/>
        <v>310722.82</v>
      </c>
    </row>
    <row r="52" spans="1:16" x14ac:dyDescent="0.25">
      <c r="A52" s="3136">
        <v>2024</v>
      </c>
      <c r="B52" s="3136">
        <v>5</v>
      </c>
      <c r="C52" s="3136">
        <v>566940</v>
      </c>
      <c r="D52" s="3136"/>
      <c r="E52" s="3138">
        <v>96781.67</v>
      </c>
      <c r="F52" s="3136" t="s">
        <v>11899</v>
      </c>
      <c r="G52" s="3136">
        <v>4073000</v>
      </c>
      <c r="H52" s="3136">
        <v>18000</v>
      </c>
      <c r="I52" s="3136">
        <v>566940</v>
      </c>
      <c r="J52" s="3139" t="s">
        <v>11831</v>
      </c>
      <c r="K52" s="3117" t="s">
        <v>394</v>
      </c>
      <c r="L52" s="3140">
        <f>IF($K52="PTD",$E52*L$205*$P$52,IF($K52="PROD",$E52*L$206*$P$52,IF($K52="TRANS",$E52*L$207*$P$52,IF($K52="DIST",$E52*L$208*$P$52,IF($K52="LABOR",$E52*L$209*$P$52,IF($K52="TD",$E52*L$210*$P$52,0))))))</f>
        <v>38834.068417862276</v>
      </c>
      <c r="M52" s="3140">
        <f>IF($K52="PTD",$E52*M$205*$P$52,IF($K52="PROD",$E52*M$206*$P$52,IF($K52="TRANS",$E52*M$207*$P$52,IF($K52="DIST",$E52*M$208*$P$52,IF($K52="LABOR",$E52*M$209*$P$52,IF($K52="TD",$E52*M$210*$P$52,0))))))</f>
        <v>0</v>
      </c>
      <c r="N52" s="3140">
        <f>E52-L52</f>
        <v>57947.601582137722</v>
      </c>
      <c r="O52" s="2472" t="s">
        <v>11901</v>
      </c>
      <c r="P52" s="3147">
        <f>'B8-EPIS'!$P$395</f>
        <v>0.40125437407581699</v>
      </c>
    </row>
    <row r="53" spans="1:16" x14ac:dyDescent="0.25">
      <c r="A53" s="3136">
        <v>2024</v>
      </c>
      <c r="B53" s="3136">
        <v>6</v>
      </c>
      <c r="C53" s="3136">
        <v>566940</v>
      </c>
      <c r="D53" s="3136"/>
      <c r="E53" s="3138">
        <v>96781.67</v>
      </c>
      <c r="F53" s="3136" t="s">
        <v>11899</v>
      </c>
      <c r="G53" s="3136">
        <v>4073000</v>
      </c>
      <c r="H53" s="3136">
        <v>18000</v>
      </c>
      <c r="I53" s="3136">
        <v>566940</v>
      </c>
      <c r="J53" s="3139" t="s">
        <v>11831</v>
      </c>
      <c r="K53" s="3117" t="s">
        <v>394</v>
      </c>
      <c r="L53" s="3140">
        <f t="shared" ref="L53:M62" si="1">IF($K53="PTD",$E53*L$205*$P$52,IF($K53="PROD",$E53*L$206*$P$52,IF($K53="TRANS",$E53*L$207*$P$52,IF($K53="DIST",$E53*L$208*$P$52,IF($K53="LABOR",$E53*L$209*$P$52,IF($K53="TD",$E53*L$210*$P$52,0))))))</f>
        <v>38834.068417862276</v>
      </c>
      <c r="M53" s="3140">
        <f t="shared" si="1"/>
        <v>0</v>
      </c>
      <c r="N53" s="3140">
        <f t="shared" ref="N53:N62" si="2">E53-L53</f>
        <v>57947.601582137722</v>
      </c>
      <c r="O53" s="2472" t="s">
        <v>11901</v>
      </c>
      <c r="P53" s="3147">
        <f>'B8-EPIS'!$P$395</f>
        <v>0.40125437407581699</v>
      </c>
    </row>
    <row r="54" spans="1:16" x14ac:dyDescent="0.25">
      <c r="A54" s="3136">
        <v>2024</v>
      </c>
      <c r="B54" s="3136">
        <v>7</v>
      </c>
      <c r="C54" s="3136">
        <v>566940</v>
      </c>
      <c r="D54" s="3136"/>
      <c r="E54" s="3138">
        <v>96781.67</v>
      </c>
      <c r="F54" s="3136" t="s">
        <v>11899</v>
      </c>
      <c r="G54" s="3136">
        <v>4073000</v>
      </c>
      <c r="H54" s="3136">
        <v>18000</v>
      </c>
      <c r="I54" s="3136">
        <v>566940</v>
      </c>
      <c r="J54" s="3139" t="s">
        <v>11831</v>
      </c>
      <c r="K54" s="3117" t="s">
        <v>394</v>
      </c>
      <c r="L54" s="3140">
        <f t="shared" si="1"/>
        <v>38834.068417862276</v>
      </c>
      <c r="M54" s="3140">
        <f t="shared" si="1"/>
        <v>0</v>
      </c>
      <c r="N54" s="3140">
        <f t="shared" si="2"/>
        <v>57947.601582137722</v>
      </c>
      <c r="O54" s="2472" t="s">
        <v>11901</v>
      </c>
      <c r="P54" s="3147">
        <f>'B8-EPIS'!$P$395</f>
        <v>0.40125437407581699</v>
      </c>
    </row>
    <row r="55" spans="1:16" x14ac:dyDescent="0.25">
      <c r="A55" s="3136">
        <v>2024</v>
      </c>
      <c r="B55" s="3136">
        <v>8</v>
      </c>
      <c r="C55" s="3136">
        <v>566940</v>
      </c>
      <c r="D55" s="3136"/>
      <c r="E55" s="3138">
        <v>96628.39</v>
      </c>
      <c r="F55" s="3136" t="s">
        <v>11899</v>
      </c>
      <c r="G55" s="3136">
        <v>4073000</v>
      </c>
      <c r="H55" s="3136">
        <v>18000</v>
      </c>
      <c r="I55" s="3136">
        <v>566940</v>
      </c>
      <c r="J55" s="3139" t="s">
        <v>11831</v>
      </c>
      <c r="K55" s="3117" t="s">
        <v>394</v>
      </c>
      <c r="L55" s="3140">
        <f t="shared" si="1"/>
        <v>38772.564147403937</v>
      </c>
      <c r="M55" s="3140">
        <f t="shared" si="1"/>
        <v>0</v>
      </c>
      <c r="N55" s="3140">
        <f t="shared" si="2"/>
        <v>57855.825852596063</v>
      </c>
      <c r="O55" s="2472" t="s">
        <v>11901</v>
      </c>
      <c r="P55" s="3147">
        <f>'B8-EPIS'!$P$395</f>
        <v>0.40125437407581699</v>
      </c>
    </row>
    <row r="56" spans="1:16" x14ac:dyDescent="0.25">
      <c r="A56" s="3136">
        <v>2024</v>
      </c>
      <c r="B56" s="3136">
        <v>9</v>
      </c>
      <c r="C56" s="3136">
        <v>566940</v>
      </c>
      <c r="D56" s="3136"/>
      <c r="E56" s="3138">
        <v>96628.39</v>
      </c>
      <c r="F56" s="3136" t="s">
        <v>11899</v>
      </c>
      <c r="G56" s="3136">
        <v>4073000</v>
      </c>
      <c r="H56" s="3136">
        <v>18000</v>
      </c>
      <c r="I56" s="3136">
        <v>566940</v>
      </c>
      <c r="J56" s="3139" t="s">
        <v>11831</v>
      </c>
      <c r="K56" s="3117" t="s">
        <v>394</v>
      </c>
      <c r="L56" s="3140">
        <f t="shared" si="1"/>
        <v>38772.564147403937</v>
      </c>
      <c r="M56" s="3140">
        <f t="shared" si="1"/>
        <v>0</v>
      </c>
      <c r="N56" s="3140">
        <f t="shared" si="2"/>
        <v>57855.825852596063</v>
      </c>
      <c r="O56" s="2472" t="s">
        <v>11901</v>
      </c>
      <c r="P56" s="3147">
        <f>'B8-EPIS'!$P$395</f>
        <v>0.40125437407581699</v>
      </c>
    </row>
    <row r="57" spans="1:16" x14ac:dyDescent="0.25">
      <c r="A57" s="3136">
        <v>2024</v>
      </c>
      <c r="B57" s="3136">
        <v>10</v>
      </c>
      <c r="C57" s="3136">
        <v>566940</v>
      </c>
      <c r="D57" s="3136"/>
      <c r="E57" s="3138">
        <v>99588.2</v>
      </c>
      <c r="F57" s="3136" t="s">
        <v>11899</v>
      </c>
      <c r="G57" s="3136">
        <v>4073000</v>
      </c>
      <c r="H57" s="3136">
        <v>18000</v>
      </c>
      <c r="I57" s="3136">
        <v>566940</v>
      </c>
      <c r="J57" s="3139" t="s">
        <v>11831</v>
      </c>
      <c r="K57" s="3117" t="s">
        <v>394</v>
      </c>
      <c r="L57" s="3140">
        <f t="shared" si="1"/>
        <v>39960.200856337273</v>
      </c>
      <c r="M57" s="3140">
        <f t="shared" si="1"/>
        <v>0</v>
      </c>
      <c r="N57" s="3140">
        <f t="shared" si="2"/>
        <v>59627.999143662724</v>
      </c>
      <c r="O57" s="2472" t="s">
        <v>11901</v>
      </c>
      <c r="P57" s="3147">
        <f>'B8-EPIS'!$P$395</f>
        <v>0.40125437407581699</v>
      </c>
    </row>
    <row r="58" spans="1:16" x14ac:dyDescent="0.25">
      <c r="A58" s="3136">
        <v>2024</v>
      </c>
      <c r="B58" s="3136">
        <v>11</v>
      </c>
      <c r="C58" s="3136">
        <v>566940</v>
      </c>
      <c r="D58" s="3136"/>
      <c r="E58" s="3138">
        <v>99588.2</v>
      </c>
      <c r="F58" s="3136" t="s">
        <v>11899</v>
      </c>
      <c r="G58" s="3136">
        <v>4073000</v>
      </c>
      <c r="H58" s="3136">
        <v>18000</v>
      </c>
      <c r="I58" s="3136">
        <v>566940</v>
      </c>
      <c r="J58" s="3139" t="s">
        <v>11831</v>
      </c>
      <c r="K58" s="3117" t="s">
        <v>394</v>
      </c>
      <c r="L58" s="3140">
        <f t="shared" si="1"/>
        <v>39960.200856337273</v>
      </c>
      <c r="M58" s="3140">
        <f t="shared" si="1"/>
        <v>0</v>
      </c>
      <c r="N58" s="3140">
        <f t="shared" si="2"/>
        <v>59627.999143662724</v>
      </c>
      <c r="O58" s="2472" t="s">
        <v>11901</v>
      </c>
      <c r="P58" s="3147">
        <f>'B8-EPIS'!$P$395</f>
        <v>0.40125437407581699</v>
      </c>
    </row>
    <row r="59" spans="1:16" x14ac:dyDescent="0.25">
      <c r="A59" s="3136">
        <v>2024</v>
      </c>
      <c r="B59" s="3136">
        <v>12</v>
      </c>
      <c r="C59" s="3136">
        <v>566940</v>
      </c>
      <c r="D59" s="3136"/>
      <c r="E59" s="3138">
        <v>99589.37</v>
      </c>
      <c r="F59" s="3136" t="s">
        <v>11899</v>
      </c>
      <c r="G59" s="3136">
        <v>4073000</v>
      </c>
      <c r="H59" s="3136">
        <v>18000</v>
      </c>
      <c r="I59" s="3136">
        <v>566940</v>
      </c>
      <c r="J59" s="3139" t="s">
        <v>11831</v>
      </c>
      <c r="K59" s="3117" t="s">
        <v>394</v>
      </c>
      <c r="L59" s="3140">
        <f t="shared" si="1"/>
        <v>39960.670323954946</v>
      </c>
      <c r="M59" s="3140">
        <f t="shared" si="1"/>
        <v>0</v>
      </c>
      <c r="N59" s="3140">
        <f t="shared" si="2"/>
        <v>59628.699676045049</v>
      </c>
      <c r="O59" s="2472" t="s">
        <v>11901</v>
      </c>
      <c r="P59" s="3147">
        <f>'B8-EPIS'!$P$395</f>
        <v>0.40125437407581699</v>
      </c>
    </row>
    <row r="60" spans="1:16" x14ac:dyDescent="0.25">
      <c r="A60" s="3136">
        <v>2024</v>
      </c>
      <c r="B60" s="3136">
        <v>3</v>
      </c>
      <c r="C60" s="3136">
        <v>566940</v>
      </c>
      <c r="D60" s="3136"/>
      <c r="E60" s="3138">
        <v>338989.02</v>
      </c>
      <c r="F60" s="3136" t="s">
        <v>11896</v>
      </c>
      <c r="G60" s="3136">
        <v>4073000</v>
      </c>
      <c r="H60" s="3136">
        <v>18000</v>
      </c>
      <c r="I60" s="3136">
        <v>566940</v>
      </c>
      <c r="J60" s="3139" t="s">
        <v>11831</v>
      </c>
      <c r="K60" s="3117" t="s">
        <v>394</v>
      </c>
      <c r="L60" s="3140">
        <f t="shared" si="1"/>
        <v>136020.82703867462</v>
      </c>
      <c r="M60" s="3140">
        <f t="shared" si="1"/>
        <v>0</v>
      </c>
      <c r="N60" s="3140">
        <f t="shared" si="2"/>
        <v>202968.1929613254</v>
      </c>
      <c r="O60" s="2472" t="s">
        <v>11901</v>
      </c>
      <c r="P60" s="3147">
        <f>'B8-EPIS'!$P$395</f>
        <v>0.40125437407581699</v>
      </c>
    </row>
    <row r="61" spans="1:16" x14ac:dyDescent="0.25">
      <c r="A61" s="3136">
        <v>2024</v>
      </c>
      <c r="B61" s="3136">
        <v>4</v>
      </c>
      <c r="C61" s="3136">
        <v>566940</v>
      </c>
      <c r="D61" s="3136"/>
      <c r="E61" s="3138">
        <v>-338989.02</v>
      </c>
      <c r="F61" s="3136" t="s">
        <v>11897</v>
      </c>
      <c r="G61" s="3136">
        <v>4073000</v>
      </c>
      <c r="H61" s="3136">
        <v>18000</v>
      </c>
      <c r="I61" s="3136">
        <v>566940</v>
      </c>
      <c r="J61" s="3139" t="s">
        <v>11831</v>
      </c>
      <c r="K61" s="3117" t="s">
        <v>394</v>
      </c>
      <c r="L61" s="3140">
        <f t="shared" si="1"/>
        <v>-136020.82703867462</v>
      </c>
      <c r="M61" s="3140">
        <f t="shared" si="1"/>
        <v>0</v>
      </c>
      <c r="N61" s="3140">
        <f t="shared" si="2"/>
        <v>-202968.1929613254</v>
      </c>
      <c r="O61" s="2472" t="s">
        <v>11901</v>
      </c>
      <c r="P61" s="3147">
        <f>'B8-EPIS'!$P$395</f>
        <v>0.40125437407581699</v>
      </c>
    </row>
    <row r="62" spans="1:16" x14ac:dyDescent="0.25">
      <c r="A62" s="3136">
        <v>2024</v>
      </c>
      <c r="B62" s="3136">
        <v>4</v>
      </c>
      <c r="C62" s="3136">
        <v>566940</v>
      </c>
      <c r="D62" s="3136"/>
      <c r="E62" s="3138">
        <v>435786.39</v>
      </c>
      <c r="F62" s="3136" t="s">
        <v>11898</v>
      </c>
      <c r="G62" s="3136">
        <v>4073000</v>
      </c>
      <c r="H62" s="3136">
        <v>18000</v>
      </c>
      <c r="I62" s="3136">
        <v>566940</v>
      </c>
      <c r="J62" s="3139" t="s">
        <v>11831</v>
      </c>
      <c r="K62" s="3117" t="s">
        <v>394</v>
      </c>
      <c r="L62" s="3140">
        <f t="shared" si="1"/>
        <v>174861.19515020988</v>
      </c>
      <c r="M62" s="3140">
        <f t="shared" si="1"/>
        <v>0</v>
      </c>
      <c r="N62" s="3140">
        <f t="shared" si="2"/>
        <v>260925.19484979013</v>
      </c>
      <c r="O62" s="2472" t="s">
        <v>11901</v>
      </c>
      <c r="P62" s="3147">
        <f>'B8-EPIS'!$P$395</f>
        <v>0.40125437407581699</v>
      </c>
    </row>
    <row r="63" spans="1:16" x14ac:dyDescent="0.25">
      <c r="A63" s="3136">
        <v>2024</v>
      </c>
      <c r="B63" s="3136">
        <v>1</v>
      </c>
      <c r="C63" s="3136">
        <v>566944</v>
      </c>
      <c r="D63" s="3136"/>
      <c r="E63" s="3138">
        <v>28824.799999999999</v>
      </c>
      <c r="F63" s="3136" t="s">
        <v>11835</v>
      </c>
      <c r="G63" s="3136">
        <v>4073000</v>
      </c>
      <c r="H63" s="3136">
        <v>103</v>
      </c>
      <c r="I63" s="3136">
        <v>566944</v>
      </c>
      <c r="J63" s="3139" t="s">
        <v>11836</v>
      </c>
    </row>
    <row r="64" spans="1:16" x14ac:dyDescent="0.25">
      <c r="A64" s="3136">
        <v>2024</v>
      </c>
      <c r="B64" s="3136">
        <v>1</v>
      </c>
      <c r="C64" s="3136">
        <v>566940</v>
      </c>
      <c r="D64" s="3136"/>
      <c r="E64" s="3136">
        <v>2316.54</v>
      </c>
      <c r="F64" s="3136" t="s">
        <v>11837</v>
      </c>
      <c r="G64" s="3136">
        <v>4073000</v>
      </c>
      <c r="H64" s="3136">
        <v>103</v>
      </c>
      <c r="I64" s="3136">
        <v>566940</v>
      </c>
      <c r="J64" s="3139" t="s">
        <v>11836</v>
      </c>
    </row>
    <row r="65" spans="1:15" x14ac:dyDescent="0.25">
      <c r="A65" s="3136">
        <v>2024</v>
      </c>
      <c r="B65" s="3136">
        <v>2</v>
      </c>
      <c r="C65" s="3136">
        <v>566940</v>
      </c>
      <c r="D65" s="3136"/>
      <c r="E65" s="3138">
        <v>2331.17</v>
      </c>
      <c r="F65" s="3136" t="s">
        <v>11837</v>
      </c>
      <c r="G65" s="3136">
        <v>4073000</v>
      </c>
      <c r="H65" s="3136">
        <v>103</v>
      </c>
      <c r="I65" s="3136">
        <v>566940</v>
      </c>
      <c r="J65" s="3139" t="s">
        <v>11836</v>
      </c>
    </row>
    <row r="66" spans="1:15" x14ac:dyDescent="0.25">
      <c r="A66" s="3136">
        <v>2024</v>
      </c>
      <c r="B66" s="3136">
        <v>3</v>
      </c>
      <c r="C66" s="3136">
        <v>566940</v>
      </c>
      <c r="D66" s="3136"/>
      <c r="E66" s="3138">
        <v>2345.89</v>
      </c>
      <c r="F66" s="3136" t="s">
        <v>11837</v>
      </c>
      <c r="G66" s="3136">
        <v>4073000</v>
      </c>
      <c r="H66" s="3136">
        <v>103</v>
      </c>
      <c r="I66" s="3136">
        <v>566940</v>
      </c>
      <c r="J66" s="3139" t="s">
        <v>11836</v>
      </c>
    </row>
    <row r="67" spans="1:15" x14ac:dyDescent="0.25">
      <c r="A67" s="3136">
        <v>2024</v>
      </c>
      <c r="B67" s="3136">
        <v>4</v>
      </c>
      <c r="C67" s="3136">
        <v>566940</v>
      </c>
      <c r="D67" s="3136"/>
      <c r="E67" s="3138">
        <v>2360.6999999999998</v>
      </c>
      <c r="F67" s="3136" t="s">
        <v>11837</v>
      </c>
      <c r="G67" s="3136">
        <v>4073000</v>
      </c>
      <c r="H67" s="3136">
        <v>103</v>
      </c>
      <c r="I67" s="3136">
        <v>566940</v>
      </c>
      <c r="J67" s="3139" t="s">
        <v>11836</v>
      </c>
    </row>
    <row r="68" spans="1:15" x14ac:dyDescent="0.25">
      <c r="A68" s="3136">
        <v>2024</v>
      </c>
      <c r="B68" s="3136">
        <v>5</v>
      </c>
      <c r="C68" s="3136">
        <v>566940</v>
      </c>
      <c r="D68" s="3136"/>
      <c r="E68" s="3138">
        <v>2375.61</v>
      </c>
      <c r="F68" s="3136" t="s">
        <v>11837</v>
      </c>
      <c r="G68" s="3136">
        <v>4073000</v>
      </c>
      <c r="H68" s="3136">
        <v>103</v>
      </c>
      <c r="I68" s="3136">
        <v>566940</v>
      </c>
      <c r="J68" s="3139" t="s">
        <v>11836</v>
      </c>
    </row>
    <row r="69" spans="1:15" x14ac:dyDescent="0.25">
      <c r="A69" s="3136">
        <v>2024</v>
      </c>
      <c r="B69" s="3136">
        <v>6</v>
      </c>
      <c r="C69" s="3136">
        <v>566940</v>
      </c>
      <c r="D69" s="3136"/>
      <c r="E69" s="3138">
        <v>2390.6</v>
      </c>
      <c r="F69" s="3136" t="s">
        <v>11837</v>
      </c>
      <c r="G69" s="3136">
        <v>4073000</v>
      </c>
      <c r="H69" s="3136">
        <v>103</v>
      </c>
      <c r="I69" s="3136">
        <v>566940</v>
      </c>
      <c r="J69" s="3139" t="s">
        <v>11836</v>
      </c>
    </row>
    <row r="70" spans="1:15" x14ac:dyDescent="0.25">
      <c r="A70" s="3136">
        <v>2024</v>
      </c>
      <c r="B70" s="3136">
        <v>7</v>
      </c>
      <c r="C70" s="3136">
        <v>566940</v>
      </c>
      <c r="D70" s="3136"/>
      <c r="E70" s="3138">
        <v>3064.53</v>
      </c>
      <c r="F70" s="3136" t="s">
        <v>11837</v>
      </c>
      <c r="G70" s="3136">
        <v>4073000</v>
      </c>
      <c r="H70" s="3136">
        <v>103</v>
      </c>
      <c r="I70" s="3136">
        <v>566940</v>
      </c>
      <c r="J70" s="3139" t="s">
        <v>11836</v>
      </c>
    </row>
    <row r="71" spans="1:15" x14ac:dyDescent="0.25">
      <c r="A71" s="3136">
        <v>2024</v>
      </c>
      <c r="B71" s="3136">
        <v>8</v>
      </c>
      <c r="C71" s="3136">
        <v>566940</v>
      </c>
      <c r="D71" s="3136"/>
      <c r="E71" s="3138">
        <v>3064.53</v>
      </c>
      <c r="F71" s="3136" t="s">
        <v>11837</v>
      </c>
      <c r="G71" s="3136">
        <v>4073000</v>
      </c>
      <c r="H71" s="3136">
        <v>103</v>
      </c>
      <c r="I71" s="3136">
        <v>566940</v>
      </c>
      <c r="J71" s="3139" t="s">
        <v>11836</v>
      </c>
    </row>
    <row r="72" spans="1:15" x14ac:dyDescent="0.25">
      <c r="A72" s="3136">
        <v>2024</v>
      </c>
      <c r="B72" s="3136">
        <v>9</v>
      </c>
      <c r="C72" s="3136">
        <v>566940</v>
      </c>
      <c r="D72" s="3136"/>
      <c r="E72" s="3138">
        <v>3064.53</v>
      </c>
      <c r="F72" s="3136" t="s">
        <v>11837</v>
      </c>
      <c r="G72" s="3136">
        <v>4073000</v>
      </c>
      <c r="H72" s="3136">
        <v>103</v>
      </c>
      <c r="I72" s="3136">
        <v>566940</v>
      </c>
      <c r="J72" s="3139" t="s">
        <v>11836</v>
      </c>
      <c r="O72" s="3141"/>
    </row>
    <row r="73" spans="1:15" x14ac:dyDescent="0.25">
      <c r="A73" s="3136">
        <v>2024</v>
      </c>
      <c r="B73" s="3136">
        <v>10</v>
      </c>
      <c r="C73" s="3136">
        <v>566940</v>
      </c>
      <c r="D73" s="3136"/>
      <c r="E73" s="3138">
        <v>3064.53</v>
      </c>
      <c r="F73" s="3136" t="s">
        <v>11837</v>
      </c>
      <c r="G73" s="3136">
        <v>4073000</v>
      </c>
      <c r="H73" s="3136">
        <v>103</v>
      </c>
      <c r="I73" s="3136">
        <v>566940</v>
      </c>
      <c r="J73" s="3139" t="s">
        <v>11836</v>
      </c>
      <c r="O73" s="3141"/>
    </row>
    <row r="74" spans="1:15" x14ac:dyDescent="0.25">
      <c r="A74" s="3136">
        <v>2024</v>
      </c>
      <c r="B74" s="3136">
        <v>11</v>
      </c>
      <c r="C74" s="3136">
        <v>566940</v>
      </c>
      <c r="D74" s="3136"/>
      <c r="E74" s="3138">
        <v>3064.53</v>
      </c>
      <c r="F74" s="3136" t="s">
        <v>11837</v>
      </c>
      <c r="G74" s="3136">
        <v>4073000</v>
      </c>
      <c r="H74" s="3136">
        <v>103</v>
      </c>
      <c r="I74" s="3136">
        <v>566940</v>
      </c>
      <c r="J74" s="3139" t="s">
        <v>11836</v>
      </c>
    </row>
    <row r="75" spans="1:15" x14ac:dyDescent="0.25">
      <c r="A75" s="3136">
        <v>2024</v>
      </c>
      <c r="B75" s="3136">
        <v>12</v>
      </c>
      <c r="C75" s="3136">
        <v>566940</v>
      </c>
      <c r="D75" s="3136"/>
      <c r="E75" s="3138">
        <v>3064.53</v>
      </c>
      <c r="F75" s="3136" t="s">
        <v>11837</v>
      </c>
      <c r="G75" s="3136">
        <v>4073000</v>
      </c>
      <c r="H75" s="3136">
        <v>103</v>
      </c>
      <c r="I75" s="3136">
        <v>566940</v>
      </c>
      <c r="J75" s="3139" t="s">
        <v>11836</v>
      </c>
    </row>
    <row r="76" spans="1:15" x14ac:dyDescent="0.25">
      <c r="A76" s="3136">
        <v>2024</v>
      </c>
      <c r="B76" s="3136">
        <v>1</v>
      </c>
      <c r="C76" s="3136">
        <v>566984</v>
      </c>
      <c r="D76" s="3136"/>
      <c r="E76" s="3138">
        <v>15651.22</v>
      </c>
      <c r="F76" s="3136" t="s">
        <v>11838</v>
      </c>
      <c r="G76" s="3136">
        <v>4073000</v>
      </c>
      <c r="H76" s="3136">
        <v>109</v>
      </c>
      <c r="I76" s="3136">
        <v>566984</v>
      </c>
      <c r="J76" s="3139" t="s">
        <v>11836</v>
      </c>
    </row>
    <row r="77" spans="1:15" x14ac:dyDescent="0.25">
      <c r="A77" s="3136">
        <v>2024</v>
      </c>
      <c r="B77" s="3136">
        <v>2</v>
      </c>
      <c r="C77" s="3136">
        <v>566984</v>
      </c>
      <c r="D77" s="3136"/>
      <c r="E77" s="3136">
        <v>15651.22</v>
      </c>
      <c r="F77" s="3136" t="s">
        <v>11838</v>
      </c>
      <c r="G77" s="3136">
        <v>4073000</v>
      </c>
      <c r="H77" s="3136">
        <v>109</v>
      </c>
      <c r="I77" s="3136">
        <v>566984</v>
      </c>
      <c r="J77" s="3139" t="s">
        <v>11836</v>
      </c>
    </row>
    <row r="78" spans="1:15" x14ac:dyDescent="0.25">
      <c r="A78" s="3136">
        <v>2024</v>
      </c>
      <c r="B78" s="3136">
        <v>3</v>
      </c>
      <c r="C78" s="3136">
        <v>566984</v>
      </c>
      <c r="D78" s="3136"/>
      <c r="E78" s="3138">
        <v>15651.22</v>
      </c>
      <c r="F78" s="3136" t="s">
        <v>11838</v>
      </c>
      <c r="G78" s="3136">
        <v>4073000</v>
      </c>
      <c r="H78" s="3136">
        <v>109</v>
      </c>
      <c r="I78" s="3136">
        <v>566984</v>
      </c>
      <c r="J78" s="3139" t="s">
        <v>11836</v>
      </c>
    </row>
    <row r="79" spans="1:15" x14ac:dyDescent="0.25">
      <c r="A79" s="3136">
        <v>2024</v>
      </c>
      <c r="B79" s="3136">
        <v>4</v>
      </c>
      <c r="C79" s="3136">
        <v>566984</v>
      </c>
      <c r="D79" s="3136"/>
      <c r="E79" s="3138">
        <v>6238.48</v>
      </c>
      <c r="F79" s="3136" t="s">
        <v>11838</v>
      </c>
      <c r="G79" s="3136">
        <v>4073000</v>
      </c>
      <c r="H79" s="3136">
        <v>109</v>
      </c>
      <c r="I79" s="3136">
        <v>566984</v>
      </c>
      <c r="J79" s="3139" t="s">
        <v>11836</v>
      </c>
    </row>
    <row r="80" spans="1:15" x14ac:dyDescent="0.25">
      <c r="A80" s="3136">
        <v>2024</v>
      </c>
      <c r="B80" s="3136">
        <v>5</v>
      </c>
      <c r="C80" s="3136">
        <v>566984</v>
      </c>
      <c r="D80" s="3136"/>
      <c r="E80" s="3138">
        <v>0.99</v>
      </c>
      <c r="F80" s="3136" t="s">
        <v>11838</v>
      </c>
      <c r="G80" s="3136">
        <v>4073000</v>
      </c>
      <c r="H80" s="3136">
        <v>109</v>
      </c>
      <c r="I80" s="3136">
        <v>566984</v>
      </c>
      <c r="J80" s="3139" t="s">
        <v>11836</v>
      </c>
    </row>
    <row r="81" spans="1:10" x14ac:dyDescent="0.25">
      <c r="A81" s="3136">
        <v>2024</v>
      </c>
      <c r="B81" s="3136">
        <v>1</v>
      </c>
      <c r="C81" s="3136">
        <v>566986</v>
      </c>
      <c r="D81" s="3136"/>
      <c r="E81" s="3138">
        <v>2049.5300000000002</v>
      </c>
      <c r="F81" s="3136" t="s">
        <v>11839</v>
      </c>
      <c r="G81" s="3136">
        <v>4073000</v>
      </c>
      <c r="H81" s="3136">
        <v>111</v>
      </c>
      <c r="I81" s="3136">
        <v>566986</v>
      </c>
      <c r="J81" s="3139" t="s">
        <v>11836</v>
      </c>
    </row>
    <row r="82" spans="1:10" x14ac:dyDescent="0.25">
      <c r="A82" s="3136">
        <v>2024</v>
      </c>
      <c r="B82" s="3136">
        <v>2</v>
      </c>
      <c r="C82" s="3136">
        <v>566986</v>
      </c>
      <c r="D82" s="3136"/>
      <c r="E82" s="3136">
        <v>2049.5300000000002</v>
      </c>
      <c r="F82" s="3136" t="s">
        <v>11839</v>
      </c>
      <c r="G82" s="3136">
        <v>4073000</v>
      </c>
      <c r="H82" s="3136">
        <v>111</v>
      </c>
      <c r="I82" s="3136">
        <v>566986</v>
      </c>
      <c r="J82" s="3139" t="s">
        <v>11836</v>
      </c>
    </row>
    <row r="83" spans="1:10" x14ac:dyDescent="0.25">
      <c r="A83" s="3136">
        <v>2024</v>
      </c>
      <c r="B83" s="3136">
        <v>3</v>
      </c>
      <c r="C83" s="3136">
        <v>566986</v>
      </c>
      <c r="D83" s="3136"/>
      <c r="E83" s="3138">
        <v>2049.5300000000002</v>
      </c>
      <c r="F83" s="3136" t="s">
        <v>11839</v>
      </c>
      <c r="G83" s="3136">
        <v>4073000</v>
      </c>
      <c r="H83" s="3136">
        <v>111</v>
      </c>
      <c r="I83" s="3136">
        <v>566986</v>
      </c>
      <c r="J83" s="3139" t="s">
        <v>11836</v>
      </c>
    </row>
    <row r="84" spans="1:10" x14ac:dyDescent="0.25">
      <c r="A84" s="3136">
        <v>2024</v>
      </c>
      <c r="B84" s="3136">
        <v>4</v>
      </c>
      <c r="C84" s="3136">
        <v>566986</v>
      </c>
      <c r="D84" s="3136"/>
      <c r="E84" s="3138">
        <v>2049.5300000000002</v>
      </c>
      <c r="F84" s="3136" t="s">
        <v>11839</v>
      </c>
      <c r="G84" s="3136">
        <v>4073000</v>
      </c>
      <c r="H84" s="3136">
        <v>111</v>
      </c>
      <c r="I84" s="3136">
        <v>566986</v>
      </c>
      <c r="J84" s="3139" t="s">
        <v>11836</v>
      </c>
    </row>
    <row r="85" spans="1:10" x14ac:dyDescent="0.25">
      <c r="A85" s="3136">
        <v>2024</v>
      </c>
      <c r="B85" s="3136">
        <v>5</v>
      </c>
      <c r="C85" s="3136">
        <v>566986</v>
      </c>
      <c r="D85" s="3136"/>
      <c r="E85" s="3138">
        <v>2049.5300000000002</v>
      </c>
      <c r="F85" s="3136" t="s">
        <v>11839</v>
      </c>
      <c r="G85" s="3136">
        <v>4073000</v>
      </c>
      <c r="H85" s="3136">
        <v>111</v>
      </c>
      <c r="I85" s="3136">
        <v>566986</v>
      </c>
      <c r="J85" s="3139" t="s">
        <v>11836</v>
      </c>
    </row>
    <row r="86" spans="1:10" x14ac:dyDescent="0.25">
      <c r="A86" s="3136">
        <v>2024</v>
      </c>
      <c r="B86" s="3136">
        <v>6</v>
      </c>
      <c r="C86" s="3136">
        <v>566986</v>
      </c>
      <c r="D86" s="3136"/>
      <c r="E86" s="3138">
        <v>2049.5300000000002</v>
      </c>
      <c r="F86" s="3136" t="s">
        <v>11839</v>
      </c>
      <c r="G86" s="3136">
        <v>4073000</v>
      </c>
      <c r="H86" s="3136">
        <v>111</v>
      </c>
      <c r="I86" s="3136">
        <v>566986</v>
      </c>
      <c r="J86" s="3139" t="s">
        <v>11836</v>
      </c>
    </row>
    <row r="87" spans="1:10" x14ac:dyDescent="0.25">
      <c r="A87" s="3136">
        <v>2024</v>
      </c>
      <c r="B87" s="3136">
        <v>7</v>
      </c>
      <c r="C87" s="3136">
        <v>566986</v>
      </c>
      <c r="D87" s="3136"/>
      <c r="E87" s="3138">
        <v>2049.5300000000002</v>
      </c>
      <c r="F87" s="3136" t="s">
        <v>11839</v>
      </c>
      <c r="G87" s="3136">
        <v>4073000</v>
      </c>
      <c r="H87" s="3136">
        <v>111</v>
      </c>
      <c r="I87" s="3136">
        <v>566986</v>
      </c>
      <c r="J87" s="3139" t="s">
        <v>11836</v>
      </c>
    </row>
    <row r="88" spans="1:10" x14ac:dyDescent="0.25">
      <c r="A88" s="3136">
        <v>2024</v>
      </c>
      <c r="B88" s="3136">
        <v>8</v>
      </c>
      <c r="C88" s="3136">
        <v>566986</v>
      </c>
      <c r="D88" s="3136"/>
      <c r="E88" s="3138">
        <v>2049.5300000000002</v>
      </c>
      <c r="F88" s="3136" t="s">
        <v>11839</v>
      </c>
      <c r="G88" s="3136">
        <v>4073000</v>
      </c>
      <c r="H88" s="3136">
        <v>111</v>
      </c>
      <c r="I88" s="3136">
        <v>566986</v>
      </c>
      <c r="J88" s="3139" t="s">
        <v>11836</v>
      </c>
    </row>
    <row r="89" spans="1:10" x14ac:dyDescent="0.25">
      <c r="A89" s="3136">
        <v>2024</v>
      </c>
      <c r="B89" s="3136">
        <v>9</v>
      </c>
      <c r="C89" s="3136">
        <v>566986</v>
      </c>
      <c r="D89" s="3136"/>
      <c r="E89" s="3138">
        <v>2049.5300000000002</v>
      </c>
      <c r="F89" s="3136" t="s">
        <v>11839</v>
      </c>
      <c r="G89" s="3136">
        <v>4073000</v>
      </c>
      <c r="H89" s="3136">
        <v>111</v>
      </c>
      <c r="I89" s="3136">
        <v>566986</v>
      </c>
      <c r="J89" s="3139" t="s">
        <v>11836</v>
      </c>
    </row>
    <row r="90" spans="1:10" x14ac:dyDescent="0.25">
      <c r="A90" s="3136">
        <v>2024</v>
      </c>
      <c r="B90" s="3136">
        <v>10</v>
      </c>
      <c r="C90" s="3136">
        <v>566986</v>
      </c>
      <c r="D90" s="3136"/>
      <c r="E90" s="3138">
        <v>2049.5300000000002</v>
      </c>
      <c r="F90" s="3136" t="s">
        <v>11839</v>
      </c>
      <c r="G90" s="3136">
        <v>4073000</v>
      </c>
      <c r="H90" s="3136">
        <v>111</v>
      </c>
      <c r="I90" s="3136">
        <v>566986</v>
      </c>
      <c r="J90" s="3139" t="s">
        <v>11836</v>
      </c>
    </row>
    <row r="91" spans="1:10" x14ac:dyDescent="0.25">
      <c r="A91" s="3136">
        <v>2024</v>
      </c>
      <c r="B91" s="3136">
        <v>11</v>
      </c>
      <c r="C91" s="3136">
        <v>566986</v>
      </c>
      <c r="D91" s="3136"/>
      <c r="E91" s="3138">
        <v>2049.5300000000002</v>
      </c>
      <c r="F91" s="3136" t="s">
        <v>11839</v>
      </c>
      <c r="G91" s="3136">
        <v>4073000</v>
      </c>
      <c r="H91" s="3136">
        <v>111</v>
      </c>
      <c r="I91" s="3136">
        <v>566986</v>
      </c>
      <c r="J91" s="3139" t="s">
        <v>11836</v>
      </c>
    </row>
    <row r="92" spans="1:10" x14ac:dyDescent="0.25">
      <c r="A92" s="3136">
        <v>2024</v>
      </c>
      <c r="B92" s="3136">
        <v>12</v>
      </c>
      <c r="C92" s="3136">
        <v>566986</v>
      </c>
      <c r="D92" s="3136"/>
      <c r="E92" s="3138">
        <v>2049.5300000000002</v>
      </c>
      <c r="F92" s="3136" t="s">
        <v>11839</v>
      </c>
      <c r="G92" s="3136">
        <v>4073000</v>
      </c>
      <c r="H92" s="3136">
        <v>111</v>
      </c>
      <c r="I92" s="3136">
        <v>566986</v>
      </c>
      <c r="J92" s="3139" t="s">
        <v>11836</v>
      </c>
    </row>
    <row r="93" spans="1:10" x14ac:dyDescent="0.25">
      <c r="A93" s="3136">
        <v>2024</v>
      </c>
      <c r="B93" s="3136">
        <v>1</v>
      </c>
      <c r="C93" s="3136">
        <v>566986</v>
      </c>
      <c r="D93" s="3136"/>
      <c r="E93" s="3136">
        <v>127281.71</v>
      </c>
      <c r="F93" s="3136" t="s">
        <v>11840</v>
      </c>
      <c r="G93" s="3136">
        <v>4073000</v>
      </c>
      <c r="H93" s="3136">
        <v>111</v>
      </c>
      <c r="I93" s="3136">
        <v>566986</v>
      </c>
      <c r="J93" s="3139" t="s">
        <v>11836</v>
      </c>
    </row>
    <row r="94" spans="1:10" x14ac:dyDescent="0.25">
      <c r="A94" s="3136">
        <v>2024</v>
      </c>
      <c r="B94" s="3136">
        <v>2</v>
      </c>
      <c r="C94" s="3136">
        <v>566986</v>
      </c>
      <c r="D94" s="3136"/>
      <c r="E94" s="3138">
        <v>2074.29</v>
      </c>
      <c r="F94" s="3136" t="s">
        <v>11840</v>
      </c>
      <c r="G94" s="3136">
        <v>4073000</v>
      </c>
      <c r="H94" s="3136">
        <v>111</v>
      </c>
      <c r="I94" s="3136">
        <v>566986</v>
      </c>
      <c r="J94" s="3139" t="s">
        <v>11836</v>
      </c>
    </row>
    <row r="95" spans="1:10" x14ac:dyDescent="0.25">
      <c r="A95" s="3136">
        <v>2024</v>
      </c>
      <c r="B95" s="3136">
        <v>3</v>
      </c>
      <c r="C95" s="3136">
        <v>566986</v>
      </c>
      <c r="D95" s="3136"/>
      <c r="E95" s="3138">
        <v>12355.59</v>
      </c>
      <c r="F95" s="3136" t="s">
        <v>11840</v>
      </c>
      <c r="G95" s="3136">
        <v>4073000</v>
      </c>
      <c r="H95" s="3136">
        <v>111</v>
      </c>
      <c r="I95" s="3136">
        <v>566986</v>
      </c>
      <c r="J95" s="3139" t="s">
        <v>11836</v>
      </c>
    </row>
    <row r="96" spans="1:10" x14ac:dyDescent="0.25">
      <c r="A96" s="3136">
        <v>2024</v>
      </c>
      <c r="B96" s="3136">
        <v>4</v>
      </c>
      <c r="C96" s="3136">
        <v>566986</v>
      </c>
      <c r="D96" s="3136"/>
      <c r="E96" s="3138">
        <v>8444.27</v>
      </c>
      <c r="F96" s="3136" t="s">
        <v>11840</v>
      </c>
      <c r="G96" s="3136">
        <v>4073000</v>
      </c>
      <c r="H96" s="3136">
        <v>111</v>
      </c>
      <c r="I96" s="3136">
        <v>566986</v>
      </c>
      <c r="J96" s="3139" t="s">
        <v>11836</v>
      </c>
    </row>
    <row r="97" spans="1:10" x14ac:dyDescent="0.25">
      <c r="A97" s="3136">
        <v>2024</v>
      </c>
      <c r="B97" s="3136">
        <v>5</v>
      </c>
      <c r="C97" s="3136">
        <v>566986</v>
      </c>
      <c r="D97" s="3136"/>
      <c r="E97" s="3138">
        <v>-13122.61</v>
      </c>
      <c r="F97" s="3136" t="s">
        <v>11840</v>
      </c>
      <c r="G97" s="3136">
        <v>4073000</v>
      </c>
      <c r="H97" s="3136">
        <v>111</v>
      </c>
      <c r="I97" s="3136">
        <v>566986</v>
      </c>
      <c r="J97" s="3139" t="s">
        <v>11836</v>
      </c>
    </row>
    <row r="98" spans="1:10" x14ac:dyDescent="0.25">
      <c r="A98" s="3136">
        <v>2024</v>
      </c>
      <c r="B98" s="3136">
        <v>6</v>
      </c>
      <c r="C98" s="3136">
        <v>566986</v>
      </c>
      <c r="D98" s="3136"/>
      <c r="E98" s="3138">
        <v>98749.56</v>
      </c>
      <c r="F98" s="3136" t="s">
        <v>11840</v>
      </c>
      <c r="G98" s="3136">
        <v>4073000</v>
      </c>
      <c r="H98" s="3136">
        <v>111</v>
      </c>
      <c r="I98" s="3136">
        <v>566986</v>
      </c>
      <c r="J98" s="3139" t="s">
        <v>11836</v>
      </c>
    </row>
    <row r="99" spans="1:10" x14ac:dyDescent="0.25">
      <c r="A99" s="3136">
        <v>2024</v>
      </c>
      <c r="B99" s="3136">
        <v>7</v>
      </c>
      <c r="C99" s="3136">
        <v>566986</v>
      </c>
      <c r="D99" s="3136"/>
      <c r="E99" s="3138">
        <v>50079.08</v>
      </c>
      <c r="F99" s="3136" t="s">
        <v>11840</v>
      </c>
      <c r="G99" s="3136">
        <v>4073000</v>
      </c>
      <c r="H99" s="3136">
        <v>111</v>
      </c>
      <c r="I99" s="3136">
        <v>566986</v>
      </c>
      <c r="J99" s="3139" t="s">
        <v>11836</v>
      </c>
    </row>
    <row r="100" spans="1:10" x14ac:dyDescent="0.25">
      <c r="A100" s="3136">
        <v>2024</v>
      </c>
      <c r="B100" s="3136">
        <v>8</v>
      </c>
      <c r="C100" s="3136">
        <v>566986</v>
      </c>
      <c r="D100" s="3136"/>
      <c r="E100" s="3138">
        <v>42754.28</v>
      </c>
      <c r="F100" s="3136" t="s">
        <v>11840</v>
      </c>
      <c r="G100" s="3136">
        <v>4073000</v>
      </c>
      <c r="H100" s="3136">
        <v>111</v>
      </c>
      <c r="I100" s="3136">
        <v>566986</v>
      </c>
      <c r="J100" s="3139" t="s">
        <v>11836</v>
      </c>
    </row>
    <row r="101" spans="1:10" x14ac:dyDescent="0.25">
      <c r="A101" s="3136">
        <v>2024</v>
      </c>
      <c r="B101" s="3136">
        <v>9</v>
      </c>
      <c r="C101" s="3136">
        <v>566986</v>
      </c>
      <c r="D101" s="3136"/>
      <c r="E101" s="3138">
        <v>97435.04</v>
      </c>
      <c r="F101" s="3136" t="s">
        <v>11840</v>
      </c>
      <c r="G101" s="3136">
        <v>4073000</v>
      </c>
      <c r="H101" s="3136">
        <v>111</v>
      </c>
      <c r="I101" s="3136">
        <v>566986</v>
      </c>
      <c r="J101" s="3139" t="s">
        <v>11836</v>
      </c>
    </row>
    <row r="102" spans="1:10" x14ac:dyDescent="0.25">
      <c r="A102" s="3136">
        <v>2024</v>
      </c>
      <c r="B102" s="3136">
        <v>10</v>
      </c>
      <c r="C102" s="3136">
        <v>566986</v>
      </c>
      <c r="D102" s="3136"/>
      <c r="E102" s="3138">
        <v>18298.349999999999</v>
      </c>
      <c r="F102" s="3136" t="s">
        <v>11840</v>
      </c>
      <c r="G102" s="3136">
        <v>4073000</v>
      </c>
      <c r="H102" s="3136">
        <v>111</v>
      </c>
      <c r="I102" s="3136">
        <v>566986</v>
      </c>
      <c r="J102" s="3139" t="s">
        <v>11836</v>
      </c>
    </row>
    <row r="103" spans="1:10" x14ac:dyDescent="0.25">
      <c r="A103" s="3136">
        <v>2024</v>
      </c>
      <c r="B103" s="3136">
        <v>11</v>
      </c>
      <c r="C103" s="3136">
        <v>566986</v>
      </c>
      <c r="D103" s="3136"/>
      <c r="E103" s="3138">
        <v>119689.44</v>
      </c>
      <c r="F103" s="3136" t="s">
        <v>11840</v>
      </c>
      <c r="G103" s="3136">
        <v>4073000</v>
      </c>
      <c r="H103" s="3136">
        <v>111</v>
      </c>
      <c r="I103" s="3136">
        <v>566986</v>
      </c>
      <c r="J103" s="3139" t="s">
        <v>11836</v>
      </c>
    </row>
    <row r="104" spans="1:10" x14ac:dyDescent="0.25">
      <c r="A104" s="3136">
        <v>2024</v>
      </c>
      <c r="B104" s="3136">
        <v>12</v>
      </c>
      <c r="C104" s="3136">
        <v>566986</v>
      </c>
      <c r="D104" s="3136"/>
      <c r="E104" s="3138">
        <v>65533.49</v>
      </c>
      <c r="F104" s="3136" t="s">
        <v>11840</v>
      </c>
      <c r="G104" s="3136">
        <v>4073000</v>
      </c>
      <c r="H104" s="3136">
        <v>111</v>
      </c>
      <c r="I104" s="3136">
        <v>566986</v>
      </c>
      <c r="J104" s="3139" t="s">
        <v>11836</v>
      </c>
    </row>
    <row r="105" spans="1:10" x14ac:dyDescent="0.25">
      <c r="A105" s="3136">
        <v>2024</v>
      </c>
      <c r="B105" s="3136">
        <v>1</v>
      </c>
      <c r="C105" s="3136">
        <v>566984</v>
      </c>
      <c r="D105" s="3136"/>
      <c r="E105" s="3138">
        <v>165888.07999999999</v>
      </c>
      <c r="F105" s="3136" t="s">
        <v>11841</v>
      </c>
      <c r="G105" s="3136">
        <v>4073000</v>
      </c>
      <c r="H105" s="3136">
        <v>109</v>
      </c>
      <c r="I105" s="3136">
        <v>566984</v>
      </c>
      <c r="J105" s="3139" t="s">
        <v>11836</v>
      </c>
    </row>
    <row r="106" spans="1:10" x14ac:dyDescent="0.25">
      <c r="A106" s="3136">
        <v>2024</v>
      </c>
      <c r="B106" s="3136">
        <v>2</v>
      </c>
      <c r="C106" s="3136">
        <v>566984</v>
      </c>
      <c r="D106" s="3136"/>
      <c r="E106" s="3136">
        <v>165888.07999999999</v>
      </c>
      <c r="F106" s="3136" t="s">
        <v>11841</v>
      </c>
      <c r="G106" s="3136">
        <v>4073000</v>
      </c>
      <c r="H106" s="3136">
        <v>109</v>
      </c>
      <c r="I106" s="3136">
        <v>566984</v>
      </c>
      <c r="J106" s="3139" t="s">
        <v>11836</v>
      </c>
    </row>
    <row r="107" spans="1:10" x14ac:dyDescent="0.25">
      <c r="A107" s="3136">
        <v>2024</v>
      </c>
      <c r="B107" s="3136">
        <v>3</v>
      </c>
      <c r="C107" s="3136">
        <v>566984</v>
      </c>
      <c r="D107" s="3136"/>
      <c r="E107" s="3138">
        <v>165888.07999999999</v>
      </c>
      <c r="F107" s="3136" t="s">
        <v>11841</v>
      </c>
      <c r="G107" s="3136">
        <v>4073000</v>
      </c>
      <c r="H107" s="3136">
        <v>109</v>
      </c>
      <c r="I107" s="3136">
        <v>566984</v>
      </c>
      <c r="J107" s="3139" t="s">
        <v>11836</v>
      </c>
    </row>
    <row r="108" spans="1:10" x14ac:dyDescent="0.25">
      <c r="A108" s="3136">
        <v>2024</v>
      </c>
      <c r="B108" s="3136">
        <v>4</v>
      </c>
      <c r="C108" s="3136">
        <v>566984</v>
      </c>
      <c r="D108" s="3136"/>
      <c r="E108" s="3138">
        <v>165888.07999999999</v>
      </c>
      <c r="F108" s="3136" t="s">
        <v>11841</v>
      </c>
      <c r="G108" s="3136">
        <v>4073000</v>
      </c>
      <c r="H108" s="3136">
        <v>109</v>
      </c>
      <c r="I108" s="3136">
        <v>566984</v>
      </c>
      <c r="J108" s="3139" t="s">
        <v>11836</v>
      </c>
    </row>
    <row r="109" spans="1:10" x14ac:dyDescent="0.25">
      <c r="A109" s="3136">
        <v>2024</v>
      </c>
      <c r="B109" s="3136">
        <v>5</v>
      </c>
      <c r="C109" s="3136">
        <v>566984</v>
      </c>
      <c r="D109" s="3136"/>
      <c r="E109" s="3138">
        <v>165888.07999999999</v>
      </c>
      <c r="F109" s="3136" t="s">
        <v>11841</v>
      </c>
      <c r="G109" s="3136">
        <v>4073000</v>
      </c>
      <c r="H109" s="3136">
        <v>109</v>
      </c>
      <c r="I109" s="3136">
        <v>566984</v>
      </c>
      <c r="J109" s="3139" t="s">
        <v>11836</v>
      </c>
    </row>
    <row r="110" spans="1:10" x14ac:dyDescent="0.25">
      <c r="A110" s="3136">
        <v>2024</v>
      </c>
      <c r="B110" s="3136">
        <v>6</v>
      </c>
      <c r="C110" s="3136">
        <v>566984</v>
      </c>
      <c r="D110" s="3136"/>
      <c r="E110" s="3138">
        <v>165888.07999999999</v>
      </c>
      <c r="F110" s="3136" t="s">
        <v>11841</v>
      </c>
      <c r="G110" s="3136">
        <v>4073000</v>
      </c>
      <c r="H110" s="3136">
        <v>109</v>
      </c>
      <c r="I110" s="3136">
        <v>566984</v>
      </c>
      <c r="J110" s="3139" t="s">
        <v>11836</v>
      </c>
    </row>
    <row r="111" spans="1:10" x14ac:dyDescent="0.25">
      <c r="A111" s="3136">
        <v>2024</v>
      </c>
      <c r="B111" s="3136">
        <v>7</v>
      </c>
      <c r="C111" s="3136">
        <v>566984</v>
      </c>
      <c r="D111" s="3136"/>
      <c r="E111" s="3138">
        <v>165888.07999999999</v>
      </c>
      <c r="F111" s="3136" t="s">
        <v>11841</v>
      </c>
      <c r="G111" s="3136">
        <v>4073000</v>
      </c>
      <c r="H111" s="3136">
        <v>109</v>
      </c>
      <c r="I111" s="3136">
        <v>566984</v>
      </c>
      <c r="J111" s="3139" t="s">
        <v>11836</v>
      </c>
    </row>
    <row r="112" spans="1:10" x14ac:dyDescent="0.25">
      <c r="A112" s="3136">
        <v>2024</v>
      </c>
      <c r="B112" s="3136">
        <v>8</v>
      </c>
      <c r="C112" s="3136">
        <v>566984</v>
      </c>
      <c r="D112" s="3136"/>
      <c r="E112" s="3138">
        <v>165888.07999999999</v>
      </c>
      <c r="F112" s="3136" t="s">
        <v>11841</v>
      </c>
      <c r="G112" s="3136">
        <v>4073000</v>
      </c>
      <c r="H112" s="3136">
        <v>109</v>
      </c>
      <c r="I112" s="3136">
        <v>566984</v>
      </c>
      <c r="J112" s="3139" t="s">
        <v>11836</v>
      </c>
    </row>
    <row r="113" spans="1:10" x14ac:dyDescent="0.25">
      <c r="A113" s="3136">
        <v>2024</v>
      </c>
      <c r="B113" s="3136">
        <v>9</v>
      </c>
      <c r="C113" s="3136">
        <v>566984</v>
      </c>
      <c r="D113" s="3136"/>
      <c r="E113" s="3138">
        <v>165888.07999999999</v>
      </c>
      <c r="F113" s="3136" t="s">
        <v>11841</v>
      </c>
      <c r="G113" s="3136">
        <v>4073000</v>
      </c>
      <c r="H113" s="3136">
        <v>109</v>
      </c>
      <c r="I113" s="3136">
        <v>566984</v>
      </c>
      <c r="J113" s="3139" t="s">
        <v>11836</v>
      </c>
    </row>
    <row r="114" spans="1:10" x14ac:dyDescent="0.25">
      <c r="A114" s="3136">
        <v>2024</v>
      </c>
      <c r="B114" s="3136">
        <v>10</v>
      </c>
      <c r="C114" s="3136">
        <v>566984</v>
      </c>
      <c r="D114" s="3136"/>
      <c r="E114" s="3138">
        <v>165888.07999999999</v>
      </c>
      <c r="F114" s="3136" t="s">
        <v>11841</v>
      </c>
      <c r="G114" s="3136">
        <v>4073000</v>
      </c>
      <c r="H114" s="3136">
        <v>109</v>
      </c>
      <c r="I114" s="3136">
        <v>566984</v>
      </c>
      <c r="J114" s="3139" t="s">
        <v>11836</v>
      </c>
    </row>
    <row r="115" spans="1:10" x14ac:dyDescent="0.25">
      <c r="A115" s="3136">
        <v>2024</v>
      </c>
      <c r="B115" s="3136">
        <v>11</v>
      </c>
      <c r="C115" s="3136">
        <v>566984</v>
      </c>
      <c r="D115" s="3136"/>
      <c r="E115" s="3138">
        <v>165888.07999999999</v>
      </c>
      <c r="F115" s="3136" t="s">
        <v>11841</v>
      </c>
      <c r="G115" s="3136">
        <v>4073000</v>
      </c>
      <c r="H115" s="3136">
        <v>109</v>
      </c>
      <c r="I115" s="3136">
        <v>566984</v>
      </c>
      <c r="J115" s="3139" t="s">
        <v>11836</v>
      </c>
    </row>
    <row r="116" spans="1:10" x14ac:dyDescent="0.25">
      <c r="A116" s="3136">
        <v>2024</v>
      </c>
      <c r="B116" s="3136">
        <v>12</v>
      </c>
      <c r="C116" s="3136">
        <v>566984</v>
      </c>
      <c r="D116" s="3136"/>
      <c r="E116" s="3138">
        <v>165888.07999999999</v>
      </c>
      <c r="F116" s="3136" t="s">
        <v>11841</v>
      </c>
      <c r="G116" s="3136">
        <v>4073000</v>
      </c>
      <c r="H116" s="3136">
        <v>109</v>
      </c>
      <c r="I116" s="3136">
        <v>566984</v>
      </c>
      <c r="J116" s="3139" t="s">
        <v>11836</v>
      </c>
    </row>
    <row r="117" spans="1:10" x14ac:dyDescent="0.25">
      <c r="A117" s="3136">
        <v>2024</v>
      </c>
      <c r="B117" s="3136">
        <v>1</v>
      </c>
      <c r="C117" s="3136">
        <v>566986</v>
      </c>
      <c r="D117" s="3136"/>
      <c r="E117" s="3138">
        <v>21723.08</v>
      </c>
      <c r="F117" s="3136" t="s">
        <v>11842</v>
      </c>
      <c r="G117" s="3136">
        <v>4073000</v>
      </c>
      <c r="H117" s="3136">
        <v>111</v>
      </c>
      <c r="I117" s="3136">
        <v>566986</v>
      </c>
      <c r="J117" s="3139" t="s">
        <v>11836</v>
      </c>
    </row>
    <row r="118" spans="1:10" x14ac:dyDescent="0.25">
      <c r="A118" s="3136">
        <v>2024</v>
      </c>
      <c r="B118" s="3136">
        <v>2</v>
      </c>
      <c r="C118" s="3136">
        <v>566986</v>
      </c>
      <c r="D118" s="3136"/>
      <c r="E118" s="3136">
        <v>21723.08</v>
      </c>
      <c r="F118" s="3136" t="s">
        <v>11842</v>
      </c>
      <c r="G118" s="3136">
        <v>4073000</v>
      </c>
      <c r="H118" s="3136">
        <v>111</v>
      </c>
      <c r="I118" s="3136">
        <v>566986</v>
      </c>
      <c r="J118" s="3139" t="s">
        <v>11836</v>
      </c>
    </row>
    <row r="119" spans="1:10" x14ac:dyDescent="0.25">
      <c r="A119" s="3136">
        <v>2024</v>
      </c>
      <c r="B119" s="3136">
        <v>3</v>
      </c>
      <c r="C119" s="3136">
        <v>566986</v>
      </c>
      <c r="D119" s="3136"/>
      <c r="E119" s="3138">
        <v>21723.08</v>
      </c>
      <c r="F119" s="3136" t="s">
        <v>11842</v>
      </c>
      <c r="G119" s="3136">
        <v>4073000</v>
      </c>
      <c r="H119" s="3136">
        <v>111</v>
      </c>
      <c r="I119" s="3136">
        <v>566986</v>
      </c>
      <c r="J119" s="3139" t="s">
        <v>11836</v>
      </c>
    </row>
    <row r="120" spans="1:10" x14ac:dyDescent="0.25">
      <c r="A120" s="3136">
        <v>2024</v>
      </c>
      <c r="B120" s="3136">
        <v>4</v>
      </c>
      <c r="C120" s="3136">
        <v>566986</v>
      </c>
      <c r="D120" s="3136"/>
      <c r="E120" s="3138">
        <v>21723.08</v>
      </c>
      <c r="F120" s="3136" t="s">
        <v>11842</v>
      </c>
      <c r="G120" s="3136">
        <v>4073000</v>
      </c>
      <c r="H120" s="3136">
        <v>111</v>
      </c>
      <c r="I120" s="3136">
        <v>566986</v>
      </c>
      <c r="J120" s="3139" t="s">
        <v>11836</v>
      </c>
    </row>
    <row r="121" spans="1:10" x14ac:dyDescent="0.25">
      <c r="A121" s="3136">
        <v>2024</v>
      </c>
      <c r="B121" s="3136">
        <v>5</v>
      </c>
      <c r="C121" s="3136">
        <v>566986</v>
      </c>
      <c r="D121" s="3136"/>
      <c r="E121" s="3138">
        <v>21723.08</v>
      </c>
      <c r="F121" s="3136" t="s">
        <v>11842</v>
      </c>
      <c r="G121" s="3136">
        <v>4073000</v>
      </c>
      <c r="H121" s="3136">
        <v>111</v>
      </c>
      <c r="I121" s="3136">
        <v>566986</v>
      </c>
      <c r="J121" s="3139" t="s">
        <v>11836</v>
      </c>
    </row>
    <row r="122" spans="1:10" x14ac:dyDescent="0.25">
      <c r="A122" s="3136">
        <v>2024</v>
      </c>
      <c r="B122" s="3136">
        <v>6</v>
      </c>
      <c r="C122" s="3136">
        <v>566986</v>
      </c>
      <c r="D122" s="3136"/>
      <c r="E122" s="3138">
        <v>21723.08</v>
      </c>
      <c r="F122" s="3136" t="s">
        <v>11842</v>
      </c>
      <c r="G122" s="3136">
        <v>4073000</v>
      </c>
      <c r="H122" s="3136">
        <v>111</v>
      </c>
      <c r="I122" s="3136">
        <v>566986</v>
      </c>
      <c r="J122" s="3139" t="s">
        <v>11836</v>
      </c>
    </row>
    <row r="123" spans="1:10" x14ac:dyDescent="0.25">
      <c r="A123" s="3136">
        <v>2024</v>
      </c>
      <c r="B123" s="3136">
        <v>7</v>
      </c>
      <c r="C123" s="3136">
        <v>566986</v>
      </c>
      <c r="D123" s="3136"/>
      <c r="E123" s="3138">
        <v>21723.08</v>
      </c>
      <c r="F123" s="3136" t="s">
        <v>11842</v>
      </c>
      <c r="G123" s="3136">
        <v>4073000</v>
      </c>
      <c r="H123" s="3136">
        <v>111</v>
      </c>
      <c r="I123" s="3136">
        <v>566986</v>
      </c>
      <c r="J123" s="3139" t="s">
        <v>11836</v>
      </c>
    </row>
    <row r="124" spans="1:10" x14ac:dyDescent="0.25">
      <c r="A124" s="3136">
        <v>2024</v>
      </c>
      <c r="B124" s="3136">
        <v>8</v>
      </c>
      <c r="C124" s="3136">
        <v>566986</v>
      </c>
      <c r="D124" s="3136"/>
      <c r="E124" s="3138">
        <v>21723.08</v>
      </c>
      <c r="F124" s="3136" t="s">
        <v>11842</v>
      </c>
      <c r="G124" s="3136">
        <v>4073000</v>
      </c>
      <c r="H124" s="3136">
        <v>111</v>
      </c>
      <c r="I124" s="3136">
        <v>566986</v>
      </c>
      <c r="J124" s="3139" t="s">
        <v>11836</v>
      </c>
    </row>
    <row r="125" spans="1:10" x14ac:dyDescent="0.25">
      <c r="A125" s="3136">
        <v>2024</v>
      </c>
      <c r="B125" s="3136">
        <v>9</v>
      </c>
      <c r="C125" s="3136">
        <v>566986</v>
      </c>
      <c r="D125" s="3136"/>
      <c r="E125" s="3138">
        <v>21723.08</v>
      </c>
      <c r="F125" s="3136" t="s">
        <v>11842</v>
      </c>
      <c r="G125" s="3136">
        <v>4073000</v>
      </c>
      <c r="H125" s="3136">
        <v>111</v>
      </c>
      <c r="I125" s="3136">
        <v>566986</v>
      </c>
      <c r="J125" s="3139" t="s">
        <v>11836</v>
      </c>
    </row>
    <row r="126" spans="1:10" x14ac:dyDescent="0.25">
      <c r="A126" s="3136">
        <v>2024</v>
      </c>
      <c r="B126" s="3136">
        <v>10</v>
      </c>
      <c r="C126" s="3136">
        <v>566986</v>
      </c>
      <c r="D126" s="3136"/>
      <c r="E126" s="3138">
        <v>21723.08</v>
      </c>
      <c r="F126" s="3136" t="s">
        <v>11842</v>
      </c>
      <c r="G126" s="3136">
        <v>4073000</v>
      </c>
      <c r="H126" s="3136">
        <v>111</v>
      </c>
      <c r="I126" s="3136">
        <v>566986</v>
      </c>
      <c r="J126" s="3139" t="s">
        <v>11836</v>
      </c>
    </row>
    <row r="127" spans="1:10" x14ac:dyDescent="0.25">
      <c r="A127" s="3136">
        <v>2024</v>
      </c>
      <c r="B127" s="3136">
        <v>11</v>
      </c>
      <c r="C127" s="3136">
        <v>566986</v>
      </c>
      <c r="D127" s="3136"/>
      <c r="E127" s="3138">
        <v>21723.08</v>
      </c>
      <c r="F127" s="3136" t="s">
        <v>11842</v>
      </c>
      <c r="G127" s="3136">
        <v>4073000</v>
      </c>
      <c r="H127" s="3136">
        <v>111</v>
      </c>
      <c r="I127" s="3136">
        <v>566986</v>
      </c>
      <c r="J127" s="3139" t="s">
        <v>11836</v>
      </c>
    </row>
    <row r="128" spans="1:10" x14ac:dyDescent="0.25">
      <c r="A128" s="3136">
        <v>2024</v>
      </c>
      <c r="B128" s="3136">
        <v>12</v>
      </c>
      <c r="C128" s="3136">
        <v>566986</v>
      </c>
      <c r="D128" s="3136"/>
      <c r="E128" s="3138">
        <v>21723.08</v>
      </c>
      <c r="F128" s="3136" t="s">
        <v>11842</v>
      </c>
      <c r="G128" s="3136">
        <v>4073000</v>
      </c>
      <c r="H128" s="3136">
        <v>111</v>
      </c>
      <c r="I128" s="3136">
        <v>566986</v>
      </c>
      <c r="J128" s="3139" t="s">
        <v>11836</v>
      </c>
    </row>
    <row r="129" spans="1:10" x14ac:dyDescent="0.25">
      <c r="A129" s="3136">
        <v>2024</v>
      </c>
      <c r="B129" s="3136">
        <v>1</v>
      </c>
      <c r="C129" s="3136">
        <v>566984</v>
      </c>
      <c r="D129" s="3136"/>
      <c r="E129" s="3138">
        <v>51664.95</v>
      </c>
      <c r="F129" s="3136" t="s">
        <v>11843</v>
      </c>
      <c r="G129" s="3136">
        <v>4073000</v>
      </c>
      <c r="H129" s="3136">
        <v>109</v>
      </c>
      <c r="I129" s="3136">
        <v>566984</v>
      </c>
      <c r="J129" s="3139" t="s">
        <v>11836</v>
      </c>
    </row>
    <row r="130" spans="1:10" x14ac:dyDescent="0.25">
      <c r="A130" s="3136">
        <v>2024</v>
      </c>
      <c r="B130" s="3136">
        <v>2</v>
      </c>
      <c r="C130" s="3136">
        <v>566984</v>
      </c>
      <c r="D130" s="3136"/>
      <c r="E130" s="3136">
        <v>51664.95</v>
      </c>
      <c r="F130" s="3136" t="s">
        <v>11843</v>
      </c>
      <c r="G130" s="3136">
        <v>4073000</v>
      </c>
      <c r="H130" s="3136">
        <v>109</v>
      </c>
      <c r="I130" s="3136">
        <v>566984</v>
      </c>
      <c r="J130" s="3139" t="s">
        <v>11836</v>
      </c>
    </row>
    <row r="131" spans="1:10" x14ac:dyDescent="0.25">
      <c r="A131" s="3136">
        <v>2024</v>
      </c>
      <c r="B131" s="3136">
        <v>3</v>
      </c>
      <c r="C131" s="3136">
        <v>566984</v>
      </c>
      <c r="D131" s="3136"/>
      <c r="E131" s="3138">
        <v>51664.95</v>
      </c>
      <c r="F131" s="3136" t="s">
        <v>11843</v>
      </c>
      <c r="G131" s="3136">
        <v>4073000</v>
      </c>
      <c r="H131" s="3136">
        <v>109</v>
      </c>
      <c r="I131" s="3136">
        <v>566984</v>
      </c>
      <c r="J131" s="3139" t="s">
        <v>11836</v>
      </c>
    </row>
    <row r="132" spans="1:10" x14ac:dyDescent="0.25">
      <c r="A132" s="3136">
        <v>2024</v>
      </c>
      <c r="B132" s="3136">
        <v>4</v>
      </c>
      <c r="C132" s="3136">
        <v>566984</v>
      </c>
      <c r="D132" s="3136"/>
      <c r="E132" s="3138">
        <v>51664.95</v>
      </c>
      <c r="F132" s="3136" t="s">
        <v>11843</v>
      </c>
      <c r="G132" s="3136">
        <v>4073000</v>
      </c>
      <c r="H132" s="3136">
        <v>109</v>
      </c>
      <c r="I132" s="3136">
        <v>566984</v>
      </c>
      <c r="J132" s="3139" t="s">
        <v>11836</v>
      </c>
    </row>
    <row r="133" spans="1:10" x14ac:dyDescent="0.25">
      <c r="A133" s="3136">
        <v>2024</v>
      </c>
      <c r="B133" s="3136">
        <v>5</v>
      </c>
      <c r="C133" s="3136">
        <v>566984</v>
      </c>
      <c r="D133" s="3136"/>
      <c r="E133" s="3138">
        <v>51664.95</v>
      </c>
      <c r="F133" s="3136" t="s">
        <v>11843</v>
      </c>
      <c r="G133" s="3136">
        <v>4073000</v>
      </c>
      <c r="H133" s="3136">
        <v>109</v>
      </c>
      <c r="I133" s="3136">
        <v>566984</v>
      </c>
      <c r="J133" s="3139" t="s">
        <v>11836</v>
      </c>
    </row>
    <row r="134" spans="1:10" x14ac:dyDescent="0.25">
      <c r="A134" s="3136">
        <v>2024</v>
      </c>
      <c r="B134" s="3136">
        <v>6</v>
      </c>
      <c r="C134" s="3136">
        <v>566984</v>
      </c>
      <c r="D134" s="3136"/>
      <c r="E134" s="3138">
        <v>51664.95</v>
      </c>
      <c r="F134" s="3136" t="s">
        <v>11843</v>
      </c>
      <c r="G134" s="3136">
        <v>4073000</v>
      </c>
      <c r="H134" s="3136">
        <v>109</v>
      </c>
      <c r="I134" s="3136">
        <v>566984</v>
      </c>
      <c r="J134" s="3139" t="s">
        <v>11836</v>
      </c>
    </row>
    <row r="135" spans="1:10" x14ac:dyDescent="0.25">
      <c r="A135" s="3136">
        <v>2024</v>
      </c>
      <c r="B135" s="3136">
        <v>7</v>
      </c>
      <c r="C135" s="3136">
        <v>566984</v>
      </c>
      <c r="D135" s="3136"/>
      <c r="E135" s="3138">
        <v>51664.95</v>
      </c>
      <c r="F135" s="3136" t="s">
        <v>11843</v>
      </c>
      <c r="G135" s="3136">
        <v>4073000</v>
      </c>
      <c r="H135" s="3136">
        <v>109</v>
      </c>
      <c r="I135" s="3136">
        <v>566984</v>
      </c>
      <c r="J135" s="3139" t="s">
        <v>11836</v>
      </c>
    </row>
    <row r="136" spans="1:10" x14ac:dyDescent="0.25">
      <c r="A136" s="3136">
        <v>2024</v>
      </c>
      <c r="B136" s="3136">
        <v>8</v>
      </c>
      <c r="C136" s="3136">
        <v>566984</v>
      </c>
      <c r="D136" s="3136"/>
      <c r="E136" s="3138">
        <v>51664.95</v>
      </c>
      <c r="F136" s="3136" t="s">
        <v>11843</v>
      </c>
      <c r="G136" s="3136">
        <v>4073000</v>
      </c>
      <c r="H136" s="3136">
        <v>109</v>
      </c>
      <c r="I136" s="3136">
        <v>566984</v>
      </c>
      <c r="J136" s="3139" t="s">
        <v>11836</v>
      </c>
    </row>
    <row r="137" spans="1:10" x14ac:dyDescent="0.25">
      <c r="A137" s="3136">
        <v>2024</v>
      </c>
      <c r="B137" s="3136">
        <v>9</v>
      </c>
      <c r="C137" s="3136">
        <v>566984</v>
      </c>
      <c r="D137" s="3136"/>
      <c r="E137" s="3138">
        <v>51664.95</v>
      </c>
      <c r="F137" s="3136" t="s">
        <v>11843</v>
      </c>
      <c r="G137" s="3136">
        <v>4073000</v>
      </c>
      <c r="H137" s="3136">
        <v>109</v>
      </c>
      <c r="I137" s="3136">
        <v>566984</v>
      </c>
      <c r="J137" s="3139" t="s">
        <v>11836</v>
      </c>
    </row>
    <row r="138" spans="1:10" x14ac:dyDescent="0.25">
      <c r="A138" s="3136">
        <v>2024</v>
      </c>
      <c r="B138" s="3136">
        <v>10</v>
      </c>
      <c r="C138" s="3136">
        <v>566984</v>
      </c>
      <c r="D138" s="3136"/>
      <c r="E138" s="3138">
        <v>51664.95</v>
      </c>
      <c r="F138" s="3136" t="s">
        <v>11843</v>
      </c>
      <c r="G138" s="3136">
        <v>4073000</v>
      </c>
      <c r="H138" s="3136">
        <v>109</v>
      </c>
      <c r="I138" s="3136">
        <v>566984</v>
      </c>
      <c r="J138" s="3139" t="s">
        <v>11836</v>
      </c>
    </row>
    <row r="139" spans="1:10" x14ac:dyDescent="0.25">
      <c r="A139" s="3136">
        <v>2024</v>
      </c>
      <c r="B139" s="3136">
        <v>11</v>
      </c>
      <c r="C139" s="3136">
        <v>566984</v>
      </c>
      <c r="D139" s="3136"/>
      <c r="E139" s="3138">
        <v>51664.95</v>
      </c>
      <c r="F139" s="3136" t="s">
        <v>11843</v>
      </c>
      <c r="G139" s="3136">
        <v>4073000</v>
      </c>
      <c r="H139" s="3136">
        <v>109</v>
      </c>
      <c r="I139" s="3136">
        <v>566984</v>
      </c>
      <c r="J139" s="3139" t="s">
        <v>11836</v>
      </c>
    </row>
    <row r="140" spans="1:10" x14ac:dyDescent="0.25">
      <c r="A140" s="3136">
        <v>2024</v>
      </c>
      <c r="B140" s="3136">
        <v>12</v>
      </c>
      <c r="C140" s="3136">
        <v>566984</v>
      </c>
      <c r="D140" s="3136"/>
      <c r="E140" s="3138">
        <v>51664.95</v>
      </c>
      <c r="F140" s="3136" t="s">
        <v>11843</v>
      </c>
      <c r="G140" s="3136">
        <v>4073000</v>
      </c>
      <c r="H140" s="3136">
        <v>109</v>
      </c>
      <c r="I140" s="3136">
        <v>566984</v>
      </c>
      <c r="J140" s="3139" t="s">
        <v>11836</v>
      </c>
    </row>
    <row r="141" spans="1:10" x14ac:dyDescent="0.25">
      <c r="A141" s="3136">
        <v>2024</v>
      </c>
      <c r="B141" s="3136">
        <v>1</v>
      </c>
      <c r="C141" s="3136">
        <v>566986</v>
      </c>
      <c r="D141" s="3136"/>
      <c r="E141" s="3138">
        <v>6765.54</v>
      </c>
      <c r="F141" s="3136" t="s">
        <v>11844</v>
      </c>
      <c r="G141" s="3136">
        <v>4073000</v>
      </c>
      <c r="H141" s="3136">
        <v>111</v>
      </c>
      <c r="I141" s="3136">
        <v>566986</v>
      </c>
      <c r="J141" s="3139" t="s">
        <v>11836</v>
      </c>
    </row>
    <row r="142" spans="1:10" x14ac:dyDescent="0.25">
      <c r="A142" s="3136">
        <v>2024</v>
      </c>
      <c r="B142" s="3136">
        <v>2</v>
      </c>
      <c r="C142" s="3136">
        <v>566986</v>
      </c>
      <c r="D142" s="3136"/>
      <c r="E142" s="3136">
        <v>6765.54</v>
      </c>
      <c r="F142" s="3136" t="s">
        <v>11844</v>
      </c>
      <c r="G142" s="3136">
        <v>4073000</v>
      </c>
      <c r="H142" s="3136">
        <v>111</v>
      </c>
      <c r="I142" s="3136">
        <v>566986</v>
      </c>
      <c r="J142" s="3139" t="s">
        <v>11836</v>
      </c>
    </row>
    <row r="143" spans="1:10" x14ac:dyDescent="0.25">
      <c r="A143" s="3136">
        <v>2024</v>
      </c>
      <c r="B143" s="3136">
        <v>3</v>
      </c>
      <c r="C143" s="3136">
        <v>566986</v>
      </c>
      <c r="D143" s="3136"/>
      <c r="E143" s="3138">
        <v>6765.54</v>
      </c>
      <c r="F143" s="3136" t="s">
        <v>11844</v>
      </c>
      <c r="G143" s="3136">
        <v>4073000</v>
      </c>
      <c r="H143" s="3136">
        <v>111</v>
      </c>
      <c r="I143" s="3136">
        <v>566986</v>
      </c>
      <c r="J143" s="3139" t="s">
        <v>11836</v>
      </c>
    </row>
    <row r="144" spans="1:10" x14ac:dyDescent="0.25">
      <c r="A144" s="3136">
        <v>2024</v>
      </c>
      <c r="B144" s="3136">
        <v>4</v>
      </c>
      <c r="C144" s="3136">
        <v>566986</v>
      </c>
      <c r="D144" s="3136"/>
      <c r="E144" s="3138">
        <v>6765.54</v>
      </c>
      <c r="F144" s="3136" t="s">
        <v>11844</v>
      </c>
      <c r="G144" s="3136">
        <v>4073000</v>
      </c>
      <c r="H144" s="3136">
        <v>111</v>
      </c>
      <c r="I144" s="3136">
        <v>566986</v>
      </c>
      <c r="J144" s="3139" t="s">
        <v>11836</v>
      </c>
    </row>
    <row r="145" spans="1:10" x14ac:dyDescent="0.25">
      <c r="A145" s="3136">
        <v>2024</v>
      </c>
      <c r="B145" s="3136">
        <v>5</v>
      </c>
      <c r="C145" s="3136">
        <v>566986</v>
      </c>
      <c r="D145" s="3136"/>
      <c r="E145" s="3138">
        <v>6765.54</v>
      </c>
      <c r="F145" s="3136" t="s">
        <v>11844</v>
      </c>
      <c r="G145" s="3136">
        <v>4073000</v>
      </c>
      <c r="H145" s="3136">
        <v>111</v>
      </c>
      <c r="I145" s="3136">
        <v>566986</v>
      </c>
      <c r="J145" s="3139" t="s">
        <v>11836</v>
      </c>
    </row>
    <row r="146" spans="1:10" x14ac:dyDescent="0.25">
      <c r="A146" s="3136">
        <v>2024</v>
      </c>
      <c r="B146" s="3136">
        <v>6</v>
      </c>
      <c r="C146" s="3136">
        <v>566986</v>
      </c>
      <c r="D146" s="3136"/>
      <c r="E146" s="3138">
        <v>6765.54</v>
      </c>
      <c r="F146" s="3136" t="s">
        <v>11844</v>
      </c>
      <c r="G146" s="3136">
        <v>4073000</v>
      </c>
      <c r="H146" s="3136">
        <v>111</v>
      </c>
      <c r="I146" s="3136">
        <v>566986</v>
      </c>
      <c r="J146" s="3139" t="s">
        <v>11836</v>
      </c>
    </row>
    <row r="147" spans="1:10" x14ac:dyDescent="0.25">
      <c r="A147" s="3136">
        <v>2024</v>
      </c>
      <c r="B147" s="3136">
        <v>7</v>
      </c>
      <c r="C147" s="3136">
        <v>566986</v>
      </c>
      <c r="D147" s="3136"/>
      <c r="E147" s="3138">
        <v>6765.54</v>
      </c>
      <c r="F147" s="3136" t="s">
        <v>11844</v>
      </c>
      <c r="G147" s="3136">
        <v>4073000</v>
      </c>
      <c r="H147" s="3136">
        <v>111</v>
      </c>
      <c r="I147" s="3136">
        <v>566986</v>
      </c>
      <c r="J147" s="3139" t="s">
        <v>11836</v>
      </c>
    </row>
    <row r="148" spans="1:10" x14ac:dyDescent="0.25">
      <c r="A148" s="3136">
        <v>2024</v>
      </c>
      <c r="B148" s="3136">
        <v>8</v>
      </c>
      <c r="C148" s="3136">
        <v>566986</v>
      </c>
      <c r="D148" s="3136"/>
      <c r="E148" s="3138">
        <v>6765.54</v>
      </c>
      <c r="F148" s="3136" t="s">
        <v>11844</v>
      </c>
      <c r="G148" s="3136">
        <v>4073000</v>
      </c>
      <c r="H148" s="3136">
        <v>111</v>
      </c>
      <c r="I148" s="3136">
        <v>566986</v>
      </c>
      <c r="J148" s="3139" t="s">
        <v>11836</v>
      </c>
    </row>
    <row r="149" spans="1:10" x14ac:dyDescent="0.25">
      <c r="A149" s="3136">
        <v>2024</v>
      </c>
      <c r="B149" s="3136">
        <v>9</v>
      </c>
      <c r="C149" s="3136">
        <v>566986</v>
      </c>
      <c r="D149" s="3136"/>
      <c r="E149" s="3138">
        <v>6765.54</v>
      </c>
      <c r="F149" s="3136" t="s">
        <v>11844</v>
      </c>
      <c r="G149" s="3136">
        <v>4073000</v>
      </c>
      <c r="H149" s="3136">
        <v>111</v>
      </c>
      <c r="I149" s="3136">
        <v>566986</v>
      </c>
      <c r="J149" s="3139" t="s">
        <v>11836</v>
      </c>
    </row>
    <row r="150" spans="1:10" x14ac:dyDescent="0.25">
      <c r="A150" s="3136">
        <v>2024</v>
      </c>
      <c r="B150" s="3136">
        <v>10</v>
      </c>
      <c r="C150" s="3136">
        <v>566986</v>
      </c>
      <c r="D150" s="3136"/>
      <c r="E150" s="3138">
        <v>6765.54</v>
      </c>
      <c r="F150" s="3136" t="s">
        <v>11844</v>
      </c>
      <c r="G150" s="3136">
        <v>4073000</v>
      </c>
      <c r="H150" s="3136">
        <v>111</v>
      </c>
      <c r="I150" s="3136">
        <v>566986</v>
      </c>
      <c r="J150" s="3139" t="s">
        <v>11836</v>
      </c>
    </row>
    <row r="151" spans="1:10" x14ac:dyDescent="0.25">
      <c r="A151" s="3136">
        <v>2024</v>
      </c>
      <c r="B151" s="3136">
        <v>11</v>
      </c>
      <c r="C151" s="3136">
        <v>566986</v>
      </c>
      <c r="D151" s="3136"/>
      <c r="E151" s="3138">
        <v>6765.54</v>
      </c>
      <c r="F151" s="3136" t="s">
        <v>11844</v>
      </c>
      <c r="G151" s="3136">
        <v>4073000</v>
      </c>
      <c r="H151" s="3136">
        <v>111</v>
      </c>
      <c r="I151" s="3136">
        <v>566986</v>
      </c>
      <c r="J151" s="3139" t="s">
        <v>11836</v>
      </c>
    </row>
    <row r="152" spans="1:10" x14ac:dyDescent="0.25">
      <c r="A152" s="3136">
        <v>2024</v>
      </c>
      <c r="B152" s="3136">
        <v>12</v>
      </c>
      <c r="C152" s="3136">
        <v>566986</v>
      </c>
      <c r="D152" s="3136"/>
      <c r="E152" s="3138">
        <v>6765.54</v>
      </c>
      <c r="F152" s="3136" t="s">
        <v>11844</v>
      </c>
      <c r="G152" s="3136">
        <v>4073000</v>
      </c>
      <c r="H152" s="3136">
        <v>111</v>
      </c>
      <c r="I152" s="3136">
        <v>566986</v>
      </c>
      <c r="J152" s="3139" t="s">
        <v>11836</v>
      </c>
    </row>
    <row r="153" spans="1:10" x14ac:dyDescent="0.25">
      <c r="A153" s="3136">
        <v>2024</v>
      </c>
      <c r="B153" s="3136">
        <v>1</v>
      </c>
      <c r="C153" s="3136">
        <v>566986</v>
      </c>
      <c r="D153" s="3136"/>
      <c r="E153" s="3138">
        <v>317489.15000000002</v>
      </c>
      <c r="F153" s="3136" t="s">
        <v>11845</v>
      </c>
      <c r="G153" s="3136">
        <v>4073000</v>
      </c>
      <c r="H153" s="3136">
        <v>111</v>
      </c>
      <c r="I153" s="3136">
        <v>566986</v>
      </c>
      <c r="J153" s="3139" t="s">
        <v>11836</v>
      </c>
    </row>
    <row r="154" spans="1:10" x14ac:dyDescent="0.25">
      <c r="A154" s="3136">
        <v>2024</v>
      </c>
      <c r="B154" s="3136">
        <v>2</v>
      </c>
      <c r="C154" s="3136">
        <v>566986</v>
      </c>
      <c r="D154" s="3136"/>
      <c r="E154" s="3136">
        <v>317489.15000000002</v>
      </c>
      <c r="F154" s="3136" t="s">
        <v>11845</v>
      </c>
      <c r="G154" s="3136">
        <v>4073000</v>
      </c>
      <c r="H154" s="3136">
        <v>111</v>
      </c>
      <c r="I154" s="3136">
        <v>566986</v>
      </c>
      <c r="J154" s="3139" t="s">
        <v>11836</v>
      </c>
    </row>
    <row r="155" spans="1:10" x14ac:dyDescent="0.25">
      <c r="A155" s="3136">
        <v>2024</v>
      </c>
      <c r="B155" s="3136">
        <v>3</v>
      </c>
      <c r="C155" s="3136">
        <v>566986</v>
      </c>
      <c r="D155" s="3136"/>
      <c r="E155" s="3138">
        <v>317489.15000000002</v>
      </c>
      <c r="F155" s="3136" t="s">
        <v>11845</v>
      </c>
      <c r="G155" s="3136">
        <v>4073000</v>
      </c>
      <c r="H155" s="3136">
        <v>111</v>
      </c>
      <c r="I155" s="3136">
        <v>566986</v>
      </c>
      <c r="J155" s="3139" t="s">
        <v>11836</v>
      </c>
    </row>
    <row r="156" spans="1:10" x14ac:dyDescent="0.25">
      <c r="A156" s="3136">
        <v>2024</v>
      </c>
      <c r="B156" s="3136">
        <v>4</v>
      </c>
      <c r="C156" s="3136">
        <v>566986</v>
      </c>
      <c r="D156" s="3136"/>
      <c r="E156" s="3138">
        <v>317489.15000000002</v>
      </c>
      <c r="F156" s="3136" t="s">
        <v>11845</v>
      </c>
      <c r="G156" s="3136">
        <v>4073000</v>
      </c>
      <c r="H156" s="3136">
        <v>111</v>
      </c>
      <c r="I156" s="3136">
        <v>566986</v>
      </c>
      <c r="J156" s="3139" t="s">
        <v>11836</v>
      </c>
    </row>
    <row r="157" spans="1:10" x14ac:dyDescent="0.25">
      <c r="A157" s="3136">
        <v>2024</v>
      </c>
      <c r="B157" s="3136">
        <v>5</v>
      </c>
      <c r="C157" s="3136">
        <v>566986</v>
      </c>
      <c r="D157" s="3136"/>
      <c r="E157" s="3138">
        <v>317489.15000000002</v>
      </c>
      <c r="F157" s="3136" t="s">
        <v>11845</v>
      </c>
      <c r="G157" s="3136">
        <v>4073000</v>
      </c>
      <c r="H157" s="3136">
        <v>111</v>
      </c>
      <c r="I157" s="3136">
        <v>566986</v>
      </c>
      <c r="J157" s="3139" t="s">
        <v>11836</v>
      </c>
    </row>
    <row r="158" spans="1:10" x14ac:dyDescent="0.25">
      <c r="A158" s="3136">
        <v>2024</v>
      </c>
      <c r="B158" s="3136">
        <v>6</v>
      </c>
      <c r="C158" s="3136">
        <v>566986</v>
      </c>
      <c r="D158" s="3136"/>
      <c r="E158" s="3138">
        <v>317489.15000000002</v>
      </c>
      <c r="F158" s="3136" t="s">
        <v>11845</v>
      </c>
      <c r="G158" s="3136">
        <v>4073000</v>
      </c>
      <c r="H158" s="3136">
        <v>111</v>
      </c>
      <c r="I158" s="3136">
        <v>566986</v>
      </c>
      <c r="J158" s="3139" t="s">
        <v>11836</v>
      </c>
    </row>
    <row r="159" spans="1:10" x14ac:dyDescent="0.25">
      <c r="A159" s="3136">
        <v>2024</v>
      </c>
      <c r="B159" s="3136">
        <v>7</v>
      </c>
      <c r="C159" s="3136">
        <v>566986</v>
      </c>
      <c r="D159" s="3136"/>
      <c r="E159" s="3138">
        <v>317489.15000000002</v>
      </c>
      <c r="F159" s="3136" t="s">
        <v>11845</v>
      </c>
      <c r="G159" s="3136">
        <v>4073000</v>
      </c>
      <c r="H159" s="3136">
        <v>111</v>
      </c>
      <c r="I159" s="3136">
        <v>566986</v>
      </c>
      <c r="J159" s="3139" t="s">
        <v>11836</v>
      </c>
    </row>
    <row r="160" spans="1:10" x14ac:dyDescent="0.25">
      <c r="A160" s="3136">
        <v>2024</v>
      </c>
      <c r="B160" s="3136">
        <v>8</v>
      </c>
      <c r="C160" s="3136">
        <v>566986</v>
      </c>
      <c r="D160" s="3136"/>
      <c r="E160" s="3138">
        <v>317489.15000000002</v>
      </c>
      <c r="F160" s="3136" t="s">
        <v>11845</v>
      </c>
      <c r="G160" s="3136">
        <v>4073000</v>
      </c>
      <c r="H160" s="3136">
        <v>111</v>
      </c>
      <c r="I160" s="3136">
        <v>566986</v>
      </c>
      <c r="J160" s="3139" t="s">
        <v>11836</v>
      </c>
    </row>
    <row r="161" spans="1:10" x14ac:dyDescent="0.25">
      <c r="A161" s="3136">
        <v>2024</v>
      </c>
      <c r="B161" s="3136">
        <v>9</v>
      </c>
      <c r="C161" s="3136">
        <v>566986</v>
      </c>
      <c r="D161" s="3136"/>
      <c r="E161" s="3138">
        <v>317489.15000000002</v>
      </c>
      <c r="F161" s="3136" t="s">
        <v>11845</v>
      </c>
      <c r="G161" s="3136">
        <v>4073000</v>
      </c>
      <c r="H161" s="3136">
        <v>111</v>
      </c>
      <c r="I161" s="3136">
        <v>566986</v>
      </c>
      <c r="J161" s="3139" t="s">
        <v>11836</v>
      </c>
    </row>
    <row r="162" spans="1:10" x14ac:dyDescent="0.25">
      <c r="A162" s="3136">
        <v>2024</v>
      </c>
      <c r="B162" s="3136">
        <v>10</v>
      </c>
      <c r="C162" s="3136">
        <v>566986</v>
      </c>
      <c r="D162" s="3136"/>
      <c r="E162" s="3138">
        <v>317489.15000000002</v>
      </c>
      <c r="F162" s="3136" t="s">
        <v>11845</v>
      </c>
      <c r="G162" s="3136">
        <v>4073000</v>
      </c>
      <c r="H162" s="3136">
        <v>111</v>
      </c>
      <c r="I162" s="3136">
        <v>566986</v>
      </c>
      <c r="J162" s="3139" t="s">
        <v>11836</v>
      </c>
    </row>
    <row r="163" spans="1:10" x14ac:dyDescent="0.25">
      <c r="A163" s="3136">
        <v>2024</v>
      </c>
      <c r="B163" s="3136">
        <v>11</v>
      </c>
      <c r="C163" s="3136">
        <v>566986</v>
      </c>
      <c r="D163" s="3136"/>
      <c r="E163" s="3138">
        <v>317489.15000000002</v>
      </c>
      <c r="F163" s="3136" t="s">
        <v>11845</v>
      </c>
      <c r="G163" s="3136">
        <v>4073000</v>
      </c>
      <c r="H163" s="3136">
        <v>111</v>
      </c>
      <c r="I163" s="3136">
        <v>566986</v>
      </c>
      <c r="J163" s="3139" t="s">
        <v>11836</v>
      </c>
    </row>
    <row r="164" spans="1:10" x14ac:dyDescent="0.25">
      <c r="A164" s="3136">
        <v>2024</v>
      </c>
      <c r="B164" s="3136">
        <v>12</v>
      </c>
      <c r="C164" s="3136">
        <v>566986</v>
      </c>
      <c r="D164" s="3136"/>
      <c r="E164" s="3138">
        <v>317489.15000000002</v>
      </c>
      <c r="F164" s="3136" t="s">
        <v>11845</v>
      </c>
      <c r="G164" s="3136">
        <v>4073000</v>
      </c>
      <c r="H164" s="3136">
        <v>111</v>
      </c>
      <c r="I164" s="3136">
        <v>566986</v>
      </c>
      <c r="J164" s="3139" t="s">
        <v>11836</v>
      </c>
    </row>
    <row r="165" spans="1:10" x14ac:dyDescent="0.25">
      <c r="A165" s="3136">
        <v>2024</v>
      </c>
      <c r="B165" s="3136">
        <v>1</v>
      </c>
      <c r="C165" s="3136">
        <v>586902</v>
      </c>
      <c r="D165" s="3136"/>
      <c r="E165" s="3138">
        <v>6877.56</v>
      </c>
      <c r="F165" s="3136" t="s">
        <v>11846</v>
      </c>
      <c r="G165" s="3136">
        <v>4073000</v>
      </c>
      <c r="H165" s="3136">
        <v>109</v>
      </c>
      <c r="I165" s="3136">
        <v>586902</v>
      </c>
      <c r="J165" s="3139" t="s">
        <v>11836</v>
      </c>
    </row>
    <row r="166" spans="1:10" x14ac:dyDescent="0.25">
      <c r="A166" s="3136">
        <v>2024</v>
      </c>
      <c r="B166" s="3136">
        <v>2</v>
      </c>
      <c r="C166" s="3136">
        <v>586902</v>
      </c>
      <c r="D166" s="3136"/>
      <c r="E166" s="3138">
        <v>6877.56</v>
      </c>
      <c r="F166" s="3136" t="s">
        <v>11846</v>
      </c>
      <c r="G166" s="3136">
        <v>4073000</v>
      </c>
      <c r="H166" s="3136">
        <v>109</v>
      </c>
      <c r="I166" s="3136">
        <v>586902</v>
      </c>
      <c r="J166" s="3139" t="s">
        <v>11836</v>
      </c>
    </row>
    <row r="167" spans="1:10" x14ac:dyDescent="0.25">
      <c r="A167" s="3136">
        <v>2024</v>
      </c>
      <c r="B167" s="3136">
        <v>3</v>
      </c>
      <c r="C167" s="3136">
        <v>586902</v>
      </c>
      <c r="D167" s="3136"/>
      <c r="E167" s="3138">
        <v>6877.56</v>
      </c>
      <c r="F167" s="3136" t="s">
        <v>11846</v>
      </c>
      <c r="G167" s="3136">
        <v>4073000</v>
      </c>
      <c r="H167" s="3136">
        <v>109</v>
      </c>
      <c r="I167" s="3136">
        <v>586902</v>
      </c>
      <c r="J167" s="3139" t="s">
        <v>11836</v>
      </c>
    </row>
    <row r="168" spans="1:10" x14ac:dyDescent="0.25">
      <c r="A168" s="3136">
        <v>2024</v>
      </c>
      <c r="B168" s="3136">
        <v>4</v>
      </c>
      <c r="C168" s="3136">
        <v>586902</v>
      </c>
      <c r="D168" s="3136"/>
      <c r="E168" s="3138">
        <v>6877.56</v>
      </c>
      <c r="F168" s="3136" t="s">
        <v>11846</v>
      </c>
      <c r="G168" s="3136">
        <v>4073000</v>
      </c>
      <c r="H168" s="3136">
        <v>109</v>
      </c>
      <c r="I168" s="3136">
        <v>586902</v>
      </c>
      <c r="J168" s="3139" t="s">
        <v>11836</v>
      </c>
    </row>
    <row r="169" spans="1:10" x14ac:dyDescent="0.25">
      <c r="A169" s="3136">
        <v>2024</v>
      </c>
      <c r="B169" s="3136">
        <v>5</v>
      </c>
      <c r="C169" s="3136">
        <v>586902</v>
      </c>
      <c r="D169" s="3136"/>
      <c r="E169" s="3138">
        <v>6877.56</v>
      </c>
      <c r="F169" s="3136" t="s">
        <v>11846</v>
      </c>
      <c r="G169" s="3136">
        <v>4073000</v>
      </c>
      <c r="H169" s="3136">
        <v>109</v>
      </c>
      <c r="I169" s="3136">
        <v>586902</v>
      </c>
      <c r="J169" s="3139" t="s">
        <v>11836</v>
      </c>
    </row>
    <row r="170" spans="1:10" x14ac:dyDescent="0.25">
      <c r="A170" s="3136">
        <v>2024</v>
      </c>
      <c r="B170" s="3136">
        <v>6</v>
      </c>
      <c r="C170" s="3136">
        <v>586902</v>
      </c>
      <c r="D170" s="3136"/>
      <c r="E170" s="3138">
        <v>6877.56</v>
      </c>
      <c r="F170" s="3136" t="s">
        <v>11846</v>
      </c>
      <c r="G170" s="3136">
        <v>4073000</v>
      </c>
      <c r="H170" s="3136">
        <v>109</v>
      </c>
      <c r="I170" s="3136">
        <v>586902</v>
      </c>
      <c r="J170" s="3139" t="s">
        <v>11836</v>
      </c>
    </row>
    <row r="171" spans="1:10" x14ac:dyDescent="0.25">
      <c r="A171" s="3136">
        <v>2024</v>
      </c>
      <c r="B171" s="3136">
        <v>7</v>
      </c>
      <c r="C171" s="3136">
        <v>586902</v>
      </c>
      <c r="D171" s="3136"/>
      <c r="E171" s="3138">
        <v>6877.56</v>
      </c>
      <c r="F171" s="3136" t="s">
        <v>11846</v>
      </c>
      <c r="G171" s="3136">
        <v>4073000</v>
      </c>
      <c r="H171" s="3136">
        <v>109</v>
      </c>
      <c r="I171" s="3136">
        <v>586902</v>
      </c>
      <c r="J171" s="3139" t="s">
        <v>11836</v>
      </c>
    </row>
    <row r="172" spans="1:10" x14ac:dyDescent="0.25">
      <c r="A172" s="3136">
        <v>2024</v>
      </c>
      <c r="B172" s="3136">
        <v>8</v>
      </c>
      <c r="C172" s="3136">
        <v>586902</v>
      </c>
      <c r="D172" s="3136"/>
      <c r="E172" s="3138">
        <v>6877.56</v>
      </c>
      <c r="F172" s="3136" t="s">
        <v>11846</v>
      </c>
      <c r="G172" s="3136">
        <v>4073000</v>
      </c>
      <c r="H172" s="3136">
        <v>109</v>
      </c>
      <c r="I172" s="3136">
        <v>586902</v>
      </c>
      <c r="J172" s="3139" t="s">
        <v>11836</v>
      </c>
    </row>
    <row r="173" spans="1:10" x14ac:dyDescent="0.25">
      <c r="A173" s="3136">
        <v>2024</v>
      </c>
      <c r="B173" s="3136">
        <v>9</v>
      </c>
      <c r="C173" s="3136">
        <v>586902</v>
      </c>
      <c r="D173" s="3136"/>
      <c r="E173" s="3138">
        <v>6877.56</v>
      </c>
      <c r="F173" s="3136" t="s">
        <v>11846</v>
      </c>
      <c r="G173" s="3136">
        <v>4073000</v>
      </c>
      <c r="H173" s="3136">
        <v>109</v>
      </c>
      <c r="I173" s="3136">
        <v>586902</v>
      </c>
      <c r="J173" s="3139" t="s">
        <v>11836</v>
      </c>
    </row>
    <row r="174" spans="1:10" x14ac:dyDescent="0.25">
      <c r="A174" s="3136">
        <v>2024</v>
      </c>
      <c r="B174" s="3136">
        <v>10</v>
      </c>
      <c r="C174" s="3136">
        <v>586902</v>
      </c>
      <c r="D174" s="3136"/>
      <c r="E174" s="3138">
        <v>6877.56</v>
      </c>
      <c r="F174" s="3136" t="s">
        <v>11846</v>
      </c>
      <c r="G174" s="3136">
        <v>4073000</v>
      </c>
      <c r="H174" s="3136">
        <v>109</v>
      </c>
      <c r="I174" s="3136">
        <v>586902</v>
      </c>
      <c r="J174" s="3139" t="s">
        <v>11836</v>
      </c>
    </row>
    <row r="175" spans="1:10" x14ac:dyDescent="0.25">
      <c r="A175" s="3136">
        <v>2024</v>
      </c>
      <c r="B175" s="3136">
        <v>11</v>
      </c>
      <c r="C175" s="3136">
        <v>586902</v>
      </c>
      <c r="D175" s="3136"/>
      <c r="E175" s="3138">
        <v>6877.56</v>
      </c>
      <c r="F175" s="3136" t="s">
        <v>11846</v>
      </c>
      <c r="G175" s="3136">
        <v>4073000</v>
      </c>
      <c r="H175" s="3136">
        <v>109</v>
      </c>
      <c r="I175" s="3136">
        <v>586902</v>
      </c>
      <c r="J175" s="3139" t="s">
        <v>11836</v>
      </c>
    </row>
    <row r="176" spans="1:10" x14ac:dyDescent="0.25">
      <c r="A176" s="3136">
        <v>2024</v>
      </c>
      <c r="B176" s="3136">
        <v>12</v>
      </c>
      <c r="C176" s="3136">
        <v>586902</v>
      </c>
      <c r="D176" s="3136"/>
      <c r="E176" s="3138">
        <v>6877.56</v>
      </c>
      <c r="F176" s="3136" t="s">
        <v>11846</v>
      </c>
      <c r="G176" s="3136">
        <v>4073000</v>
      </c>
      <c r="H176" s="3136">
        <v>109</v>
      </c>
      <c r="I176" s="3136">
        <v>586902</v>
      </c>
      <c r="J176" s="3139" t="s">
        <v>11836</v>
      </c>
    </row>
    <row r="177" spans="1:10" x14ac:dyDescent="0.25">
      <c r="A177" s="3136">
        <v>2024</v>
      </c>
      <c r="B177" s="3136">
        <v>1</v>
      </c>
      <c r="C177" s="3136">
        <v>566986</v>
      </c>
      <c r="D177" s="3136"/>
      <c r="E177" s="3138">
        <v>14010.53</v>
      </c>
      <c r="F177" s="3136" t="s">
        <v>11847</v>
      </c>
      <c r="G177" s="3136">
        <v>4073000</v>
      </c>
      <c r="H177" s="3136">
        <v>114</v>
      </c>
      <c r="I177" s="3136">
        <v>566986</v>
      </c>
      <c r="J177" s="3139" t="s">
        <v>11836</v>
      </c>
    </row>
    <row r="178" spans="1:10" x14ac:dyDescent="0.25">
      <c r="A178" s="3136">
        <v>2024</v>
      </c>
      <c r="B178" s="3136">
        <v>2</v>
      </c>
      <c r="C178" s="3136">
        <v>566986</v>
      </c>
      <c r="D178" s="3136"/>
      <c r="E178" s="3138">
        <v>14010.53</v>
      </c>
      <c r="F178" s="3136" t="s">
        <v>11847</v>
      </c>
      <c r="G178" s="3136">
        <v>4073000</v>
      </c>
      <c r="H178" s="3136">
        <v>114</v>
      </c>
      <c r="I178" s="3136">
        <v>566986</v>
      </c>
      <c r="J178" s="3139" t="s">
        <v>11836</v>
      </c>
    </row>
    <row r="179" spans="1:10" x14ac:dyDescent="0.25">
      <c r="A179" s="3136">
        <v>2024</v>
      </c>
      <c r="B179" s="3136">
        <v>3</v>
      </c>
      <c r="C179" s="3136">
        <v>566986</v>
      </c>
      <c r="D179" s="3136"/>
      <c r="E179" s="3138">
        <v>14010.53</v>
      </c>
      <c r="F179" s="3136" t="s">
        <v>11847</v>
      </c>
      <c r="G179" s="3136">
        <v>4073000</v>
      </c>
      <c r="H179" s="3136">
        <v>114</v>
      </c>
      <c r="I179" s="3136">
        <v>566986</v>
      </c>
      <c r="J179" s="3139" t="s">
        <v>11836</v>
      </c>
    </row>
    <row r="180" spans="1:10" x14ac:dyDescent="0.25">
      <c r="A180" s="3136">
        <v>2024</v>
      </c>
      <c r="B180" s="3136">
        <v>4</v>
      </c>
      <c r="C180" s="3136">
        <v>566986</v>
      </c>
      <c r="D180" s="3136"/>
      <c r="E180" s="3138">
        <v>14010.53</v>
      </c>
      <c r="F180" s="3136" t="s">
        <v>11847</v>
      </c>
      <c r="G180" s="3136">
        <v>4073000</v>
      </c>
      <c r="H180" s="3136">
        <v>114</v>
      </c>
      <c r="I180" s="3136">
        <v>566986</v>
      </c>
      <c r="J180" s="3139" t="s">
        <v>11836</v>
      </c>
    </row>
    <row r="181" spans="1:10" x14ac:dyDescent="0.25">
      <c r="A181" s="3136">
        <v>2024</v>
      </c>
      <c r="B181" s="3136">
        <v>5</v>
      </c>
      <c r="C181" s="3136">
        <v>566986</v>
      </c>
      <c r="D181" s="3136"/>
      <c r="E181" s="3138">
        <v>14010.53</v>
      </c>
      <c r="F181" s="3136" t="s">
        <v>11847</v>
      </c>
      <c r="G181" s="3136">
        <v>4073000</v>
      </c>
      <c r="H181" s="3136">
        <v>114</v>
      </c>
      <c r="I181" s="3136">
        <v>566986</v>
      </c>
      <c r="J181" s="3139" t="s">
        <v>11836</v>
      </c>
    </row>
    <row r="182" spans="1:10" x14ac:dyDescent="0.25">
      <c r="A182" s="3136">
        <v>2024</v>
      </c>
      <c r="B182" s="3136">
        <v>6</v>
      </c>
      <c r="C182" s="3136">
        <v>566986</v>
      </c>
      <c r="D182" s="3136"/>
      <c r="E182" s="3138">
        <v>14010.53</v>
      </c>
      <c r="F182" s="3136" t="s">
        <v>11847</v>
      </c>
      <c r="G182" s="3136">
        <v>4073000</v>
      </c>
      <c r="H182" s="3136">
        <v>114</v>
      </c>
      <c r="I182" s="3136">
        <v>566986</v>
      </c>
      <c r="J182" s="3139" t="s">
        <v>11836</v>
      </c>
    </row>
    <row r="183" spans="1:10" x14ac:dyDescent="0.25">
      <c r="A183" s="3136">
        <v>2024</v>
      </c>
      <c r="B183" s="3136">
        <v>7</v>
      </c>
      <c r="C183" s="3136">
        <v>566986</v>
      </c>
      <c r="D183" s="3136"/>
      <c r="E183" s="3138">
        <v>14010.53</v>
      </c>
      <c r="F183" s="3136" t="s">
        <v>11847</v>
      </c>
      <c r="G183" s="3136">
        <v>4073000</v>
      </c>
      <c r="H183" s="3136">
        <v>114</v>
      </c>
      <c r="I183" s="3136">
        <v>566986</v>
      </c>
      <c r="J183" s="3139" t="s">
        <v>11836</v>
      </c>
    </row>
    <row r="184" spans="1:10" x14ac:dyDescent="0.25">
      <c r="A184" s="3136">
        <v>2024</v>
      </c>
      <c r="B184" s="3136">
        <v>8</v>
      </c>
      <c r="C184" s="3136">
        <v>566986</v>
      </c>
      <c r="D184" s="3136"/>
      <c r="E184" s="3138">
        <v>14010.53</v>
      </c>
      <c r="F184" s="3136" t="s">
        <v>11847</v>
      </c>
      <c r="G184" s="3136">
        <v>4073000</v>
      </c>
      <c r="H184" s="3136">
        <v>114</v>
      </c>
      <c r="I184" s="3136">
        <v>566986</v>
      </c>
      <c r="J184" s="3139" t="s">
        <v>11836</v>
      </c>
    </row>
    <row r="185" spans="1:10" x14ac:dyDescent="0.25">
      <c r="A185" s="3136">
        <v>2024</v>
      </c>
      <c r="B185" s="3136">
        <v>9</v>
      </c>
      <c r="C185" s="3136">
        <v>566986</v>
      </c>
      <c r="D185" s="3136"/>
      <c r="E185" s="3138">
        <v>14010.53</v>
      </c>
      <c r="F185" s="3136" t="s">
        <v>11847</v>
      </c>
      <c r="G185" s="3136">
        <v>4073000</v>
      </c>
      <c r="H185" s="3136">
        <v>114</v>
      </c>
      <c r="I185" s="3136">
        <v>566986</v>
      </c>
      <c r="J185" s="3139" t="s">
        <v>11836</v>
      </c>
    </row>
    <row r="186" spans="1:10" x14ac:dyDescent="0.25">
      <c r="A186" s="3136">
        <v>2024</v>
      </c>
      <c r="B186" s="3136">
        <v>10</v>
      </c>
      <c r="C186" s="3136">
        <v>566986</v>
      </c>
      <c r="D186" s="3136"/>
      <c r="E186" s="3138">
        <v>14010.53</v>
      </c>
      <c r="F186" s="3136" t="s">
        <v>11847</v>
      </c>
      <c r="G186" s="3136">
        <v>4073000</v>
      </c>
      <c r="H186" s="3136">
        <v>114</v>
      </c>
      <c r="I186" s="3136">
        <v>566986</v>
      </c>
      <c r="J186" s="3139" t="s">
        <v>11836</v>
      </c>
    </row>
    <row r="187" spans="1:10" x14ac:dyDescent="0.25">
      <c r="A187" s="3136">
        <v>2024</v>
      </c>
      <c r="B187" s="3136">
        <v>11</v>
      </c>
      <c r="C187" s="3136">
        <v>566986</v>
      </c>
      <c r="D187" s="3136"/>
      <c r="E187" s="3138">
        <v>14010.53</v>
      </c>
      <c r="F187" s="3136" t="s">
        <v>11847</v>
      </c>
      <c r="G187" s="3136">
        <v>4073000</v>
      </c>
      <c r="H187" s="3136">
        <v>114</v>
      </c>
      <c r="I187" s="3136">
        <v>566986</v>
      </c>
      <c r="J187" s="3139" t="s">
        <v>11836</v>
      </c>
    </row>
    <row r="188" spans="1:10" x14ac:dyDescent="0.25">
      <c r="A188" s="3136">
        <v>2024</v>
      </c>
      <c r="B188" s="3136">
        <v>12</v>
      </c>
      <c r="C188" s="3136">
        <v>566986</v>
      </c>
      <c r="D188" s="3136"/>
      <c r="E188" s="3138">
        <v>14010.53</v>
      </c>
      <c r="F188" s="3136" t="s">
        <v>11847</v>
      </c>
      <c r="G188" s="3136">
        <v>4073000</v>
      </c>
      <c r="H188" s="3136">
        <v>114</v>
      </c>
      <c r="I188" s="3136">
        <v>566986</v>
      </c>
      <c r="J188" s="3139" t="s">
        <v>11836</v>
      </c>
    </row>
    <row r="189" spans="1:10" x14ac:dyDescent="0.25">
      <c r="A189" s="3136">
        <v>2024</v>
      </c>
      <c r="B189" s="3136">
        <v>1</v>
      </c>
      <c r="C189" s="3136">
        <v>586902</v>
      </c>
      <c r="D189" s="3136"/>
      <c r="E189" s="3136">
        <v>2370.15</v>
      </c>
      <c r="F189" s="3136" t="s">
        <v>11848</v>
      </c>
      <c r="G189" s="3136">
        <v>4073000</v>
      </c>
      <c r="H189" s="3136">
        <v>111</v>
      </c>
      <c r="I189" s="3136">
        <v>586902</v>
      </c>
      <c r="J189" s="3139" t="s">
        <v>11836</v>
      </c>
    </row>
    <row r="190" spans="1:10" x14ac:dyDescent="0.25">
      <c r="A190" s="3136">
        <v>2024</v>
      </c>
      <c r="B190" s="3136">
        <v>2</v>
      </c>
      <c r="C190" s="3136">
        <v>586902</v>
      </c>
      <c r="D190" s="3136"/>
      <c r="E190" s="3138">
        <v>2370.15</v>
      </c>
      <c r="F190" s="3136" t="s">
        <v>11848</v>
      </c>
      <c r="G190" s="3136">
        <v>4073000</v>
      </c>
      <c r="H190" s="3136">
        <v>111</v>
      </c>
      <c r="I190" s="3136">
        <v>586902</v>
      </c>
      <c r="J190" s="3139" t="s">
        <v>11836</v>
      </c>
    </row>
    <row r="191" spans="1:10" x14ac:dyDescent="0.25">
      <c r="A191" s="3136">
        <v>2024</v>
      </c>
      <c r="B191" s="3136">
        <v>3</v>
      </c>
      <c r="C191" s="3136">
        <v>586902</v>
      </c>
      <c r="D191" s="3136"/>
      <c r="E191" s="3138">
        <v>2370.15</v>
      </c>
      <c r="F191" s="3136" t="s">
        <v>11848</v>
      </c>
      <c r="G191" s="3136">
        <v>4073000</v>
      </c>
      <c r="H191" s="3136">
        <v>111</v>
      </c>
      <c r="I191" s="3136">
        <v>586902</v>
      </c>
      <c r="J191" s="3139" t="s">
        <v>11836</v>
      </c>
    </row>
    <row r="192" spans="1:10" x14ac:dyDescent="0.25">
      <c r="A192" s="3136">
        <v>2024</v>
      </c>
      <c r="B192" s="3136">
        <v>4</v>
      </c>
      <c r="C192" s="3136">
        <v>586902</v>
      </c>
      <c r="D192" s="3136"/>
      <c r="E192" s="3138">
        <v>2370.15</v>
      </c>
      <c r="F192" s="3136" t="s">
        <v>11848</v>
      </c>
      <c r="G192" s="3136">
        <v>4073000</v>
      </c>
      <c r="H192" s="3136">
        <v>111</v>
      </c>
      <c r="I192" s="3136">
        <v>586902</v>
      </c>
      <c r="J192" s="3139" t="s">
        <v>11836</v>
      </c>
    </row>
    <row r="193" spans="1:14" x14ac:dyDescent="0.25">
      <c r="A193" s="3136">
        <v>2024</v>
      </c>
      <c r="B193" s="3136">
        <v>5</v>
      </c>
      <c r="C193" s="3136">
        <v>586902</v>
      </c>
      <c r="D193" s="3136"/>
      <c r="E193" s="3138">
        <v>2370.15</v>
      </c>
      <c r="F193" s="3136" t="s">
        <v>11848</v>
      </c>
      <c r="G193" s="3136">
        <v>4073000</v>
      </c>
      <c r="H193" s="3136">
        <v>111</v>
      </c>
      <c r="I193" s="3136">
        <v>586902</v>
      </c>
      <c r="J193" s="3139" t="s">
        <v>11836</v>
      </c>
    </row>
    <row r="194" spans="1:14" x14ac:dyDescent="0.25">
      <c r="A194" s="3136">
        <v>2024</v>
      </c>
      <c r="B194" s="3136">
        <v>6</v>
      </c>
      <c r="C194" s="3136">
        <v>586902</v>
      </c>
      <c r="D194" s="3136"/>
      <c r="E194" s="3138">
        <v>2370.15</v>
      </c>
      <c r="F194" s="3136" t="s">
        <v>11848</v>
      </c>
      <c r="G194" s="3136">
        <v>4073000</v>
      </c>
      <c r="H194" s="3136">
        <v>111</v>
      </c>
      <c r="I194" s="3136">
        <v>586902</v>
      </c>
      <c r="J194" s="3139" t="s">
        <v>11836</v>
      </c>
    </row>
    <row r="195" spans="1:14" x14ac:dyDescent="0.25">
      <c r="A195" s="3136">
        <v>2024</v>
      </c>
      <c r="B195" s="3136">
        <v>7</v>
      </c>
      <c r="C195" s="3136">
        <v>586902</v>
      </c>
      <c r="D195" s="3136"/>
      <c r="E195" s="3138">
        <v>2370.15</v>
      </c>
      <c r="F195" s="3136" t="s">
        <v>11848</v>
      </c>
      <c r="G195" s="3136">
        <v>4073000</v>
      </c>
      <c r="H195" s="3136">
        <v>111</v>
      </c>
      <c r="I195" s="3136">
        <v>586902</v>
      </c>
      <c r="J195" s="3139" t="s">
        <v>11836</v>
      </c>
    </row>
    <row r="196" spans="1:14" x14ac:dyDescent="0.25">
      <c r="A196" s="3136">
        <v>2024</v>
      </c>
      <c r="B196" s="3136">
        <v>8</v>
      </c>
      <c r="C196" s="3136">
        <v>586902</v>
      </c>
      <c r="D196" s="3136"/>
      <c r="E196" s="3138">
        <v>2370.15</v>
      </c>
      <c r="F196" s="3136" t="s">
        <v>11848</v>
      </c>
      <c r="G196" s="3136">
        <v>4073000</v>
      </c>
      <c r="H196" s="3136">
        <v>111</v>
      </c>
      <c r="I196" s="3136">
        <v>586902</v>
      </c>
      <c r="J196" s="3139" t="s">
        <v>11836</v>
      </c>
    </row>
    <row r="197" spans="1:14" x14ac:dyDescent="0.25">
      <c r="A197" s="3136">
        <v>2024</v>
      </c>
      <c r="B197" s="3136">
        <v>9</v>
      </c>
      <c r="C197" s="3136">
        <v>586902</v>
      </c>
      <c r="D197" s="3136"/>
      <c r="E197" s="3138">
        <v>2370.15</v>
      </c>
      <c r="F197" s="3136" t="s">
        <v>11848</v>
      </c>
      <c r="G197" s="3136">
        <v>4073000</v>
      </c>
      <c r="H197" s="3136">
        <v>111</v>
      </c>
      <c r="I197" s="3136">
        <v>586902</v>
      </c>
      <c r="J197" s="3139" t="s">
        <v>11836</v>
      </c>
    </row>
    <row r="198" spans="1:14" x14ac:dyDescent="0.25">
      <c r="A198" s="3136">
        <v>2024</v>
      </c>
      <c r="B198" s="3136">
        <v>10</v>
      </c>
      <c r="C198" s="3136">
        <v>586902</v>
      </c>
      <c r="D198" s="3136"/>
      <c r="E198" s="3138">
        <v>2370.15</v>
      </c>
      <c r="F198" s="3136" t="s">
        <v>11848</v>
      </c>
      <c r="G198" s="3136">
        <v>4073000</v>
      </c>
      <c r="H198" s="3136">
        <v>111</v>
      </c>
      <c r="I198" s="3136">
        <v>586902</v>
      </c>
      <c r="J198" s="3139" t="s">
        <v>11836</v>
      </c>
    </row>
    <row r="199" spans="1:14" x14ac:dyDescent="0.25">
      <c r="A199" s="3136">
        <v>2024</v>
      </c>
      <c r="B199" s="3136">
        <v>11</v>
      </c>
      <c r="C199" s="3136">
        <v>586902</v>
      </c>
      <c r="D199" s="3136"/>
      <c r="E199" s="3138">
        <v>2370.15</v>
      </c>
      <c r="F199" s="3136" t="s">
        <v>11848</v>
      </c>
      <c r="G199" s="3136">
        <v>4073000</v>
      </c>
      <c r="H199" s="3136">
        <v>111</v>
      </c>
      <c r="I199" s="3136">
        <v>586902</v>
      </c>
      <c r="J199" s="3139" t="s">
        <v>11836</v>
      </c>
    </row>
    <row r="200" spans="1:14" x14ac:dyDescent="0.25">
      <c r="A200" s="3136">
        <v>2024</v>
      </c>
      <c r="B200" s="3136">
        <v>12</v>
      </c>
      <c r="C200" s="3136">
        <v>586902</v>
      </c>
      <c r="D200" s="3136"/>
      <c r="E200" s="3138">
        <v>2370.15</v>
      </c>
      <c r="F200" s="3136" t="s">
        <v>11848</v>
      </c>
      <c r="G200" s="3136">
        <v>4073000</v>
      </c>
      <c r="H200" s="3136">
        <v>111</v>
      </c>
      <c r="I200" s="3136">
        <v>586902</v>
      </c>
      <c r="J200" s="3139" t="s">
        <v>11836</v>
      </c>
    </row>
    <row r="201" spans="1:14" x14ac:dyDescent="0.25">
      <c r="D201" s="3127" t="s">
        <v>197</v>
      </c>
      <c r="E201" s="3142">
        <f>SUM(E4:E200)</f>
        <v>13251403.879999993</v>
      </c>
      <c r="I201" s="3127" t="s">
        <v>11849</v>
      </c>
      <c r="J201" s="3142">
        <f>SUMIFS(E4:E200,J4:J200,"y")</f>
        <v>5441242.9300000006</v>
      </c>
      <c r="L201" s="3128">
        <f>SUM(L4:L62)</f>
        <v>739917.129723388</v>
      </c>
      <c r="M201" s="3128">
        <f>SUM(M4:M62)</f>
        <v>0</v>
      </c>
      <c r="N201" s="3128">
        <f>SUM(N4:N62)</f>
        <v>4701325.8002766119</v>
      </c>
    </row>
    <row r="202" spans="1:14" x14ac:dyDescent="0.25">
      <c r="D202" s="3127" t="s">
        <v>11850</v>
      </c>
      <c r="E202" s="3128">
        <f>ROUND(E201-SUMIFS('Pg 114 - Income Statement'!D10:D87,'Pg 114 - Income Statement'!B10:B87,"*407.3*"),-1)</f>
        <v>0</v>
      </c>
    </row>
    <row r="204" spans="1:14" x14ac:dyDescent="0.25">
      <c r="J204" s="3143" t="s">
        <v>707</v>
      </c>
      <c r="K204" s="3144" t="s">
        <v>104</v>
      </c>
      <c r="L204" s="3144" t="s">
        <v>5700</v>
      </c>
      <c r="M204" s="3144" t="s">
        <v>5701</v>
      </c>
      <c r="N204" s="3144" t="s">
        <v>5702</v>
      </c>
    </row>
    <row r="205" spans="1:14" x14ac:dyDescent="0.25">
      <c r="J205" s="3145" t="s">
        <v>99</v>
      </c>
      <c r="K205" s="3133">
        <f>SUM(L205:N205)</f>
        <v>0.99999999999999989</v>
      </c>
      <c r="L205" s="3133">
        <f>VLOOKUP($J205,Ratios!$D$78:$G$87,2,FALSE)</f>
        <v>0.44019614379593275</v>
      </c>
      <c r="M205" s="3133">
        <f>VLOOKUP($J205,Ratios!$D$78:$G$87,3,FALSE)</f>
        <v>0</v>
      </c>
      <c r="N205" s="3133">
        <f>VLOOKUP($J205,Ratios!$D$78:$G$87,4,FALSE)</f>
        <v>0.55980385620406714</v>
      </c>
    </row>
    <row r="206" spans="1:14" x14ac:dyDescent="0.25">
      <c r="J206" s="3145" t="s">
        <v>394</v>
      </c>
      <c r="K206" s="3133">
        <f t="shared" ref="K206:K210" si="3">SUM(L206:N206)</f>
        <v>1</v>
      </c>
      <c r="L206" s="3133">
        <f>VLOOKUP($J206,Ratios!$D$78:$G$87,2,FALSE)</f>
        <v>1</v>
      </c>
      <c r="M206" s="3133">
        <f>VLOOKUP($J206,Ratios!$D$78:$G$87,3,FALSE)</f>
        <v>0</v>
      </c>
      <c r="N206" s="3133">
        <f>VLOOKUP($J206,Ratios!$D$78:$G$87,4,FALSE)</f>
        <v>0</v>
      </c>
    </row>
    <row r="207" spans="1:14" x14ac:dyDescent="0.25">
      <c r="J207" s="3145" t="s">
        <v>393</v>
      </c>
      <c r="K207" s="3133">
        <f t="shared" si="3"/>
        <v>1</v>
      </c>
      <c r="L207" s="3133">
        <f>VLOOKUP($J207,Ratios!$D$78:$G$87,2,FALSE)</f>
        <v>0</v>
      </c>
      <c r="M207" s="3133">
        <f>VLOOKUP($J207,Ratios!$D$78:$G$87,3,FALSE)</f>
        <v>0</v>
      </c>
      <c r="N207" s="3133">
        <f>VLOOKUP($J207,Ratios!$D$78:$G$87,4,FALSE)</f>
        <v>1</v>
      </c>
    </row>
    <row r="208" spans="1:14" x14ac:dyDescent="0.25">
      <c r="J208" s="3145" t="s">
        <v>392</v>
      </c>
      <c r="K208" s="3133">
        <f t="shared" si="3"/>
        <v>1</v>
      </c>
      <c r="L208" s="3133">
        <f>VLOOKUP($J208,Ratios!$D$78:$G$87,2,FALSE)</f>
        <v>0</v>
      </c>
      <c r="M208" s="3133">
        <f>VLOOKUP($J208,Ratios!$D$78:$G$87,3,FALSE)</f>
        <v>0</v>
      </c>
      <c r="N208" s="3133">
        <f>VLOOKUP($J208,Ratios!$D$78:$G$87,4,FALSE)</f>
        <v>1</v>
      </c>
    </row>
    <row r="209" spans="10:14" x14ac:dyDescent="0.25">
      <c r="J209" s="3145" t="s">
        <v>95</v>
      </c>
      <c r="K209" s="3133">
        <f t="shared" si="3"/>
        <v>1</v>
      </c>
      <c r="L209" s="3133">
        <f>VLOOKUP($J209,Ratios!$D$78:$G$87,2,FALSE)</f>
        <v>0.41685340178759894</v>
      </c>
      <c r="M209" s="3133">
        <f>VLOOKUP($J209,Ratios!$D$78:$G$87,3,FALSE)</f>
        <v>0</v>
      </c>
      <c r="N209" s="3133">
        <f>VLOOKUP($J209,Ratios!$D$78:$G$87,4,FALSE)</f>
        <v>0.58314659821240111</v>
      </c>
    </row>
    <row r="210" spans="10:14" x14ac:dyDescent="0.25">
      <c r="J210" s="3145" t="s">
        <v>109</v>
      </c>
      <c r="K210" s="3133">
        <f t="shared" si="3"/>
        <v>1</v>
      </c>
      <c r="L210" s="3133">
        <f>VLOOKUP($J210,Ratios!$D$78:$G$87,2,FALSE)</f>
        <v>0</v>
      </c>
      <c r="M210" s="3133">
        <f>VLOOKUP($J210,Ratios!$D$78:$G$87,3,FALSE)</f>
        <v>0</v>
      </c>
      <c r="N210" s="3133">
        <f>VLOOKUP($J210,Ratios!$D$78:$G$87,4,FALSE)</f>
        <v>1</v>
      </c>
    </row>
  </sheetData>
  <sortState xmlns:xlrd2="http://schemas.microsoft.com/office/spreadsheetml/2017/richdata2" ref="A4:J200">
    <sortCondition ref="F4:F200"/>
    <sortCondition ref="B4:B200"/>
  </sortState>
  <pageMargins left="0.7" right="0.7" top="0.75" bottom="0.75" header="0.3" footer="0.3"/>
  <pageSetup orientation="portrait" horizontalDpi="1200" verticalDpi="1200" r:id="rId1"/>
  <customProperties>
    <customPr name="_pios_id" r:id="rId2"/>
  </customProperties>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57CF1A-85D5-4F41-A3AA-AD37EA3C5112}">
  <sheetPr codeName="Sheet43"/>
  <dimension ref="A1:Z70"/>
  <sheetViews>
    <sheetView showRuler="0" workbookViewId="0">
      <selection activeCell="O201" sqref="O201"/>
    </sheetView>
  </sheetViews>
  <sheetFormatPr defaultColWidth="11.5" defaultRowHeight="12.75" x14ac:dyDescent="0.2"/>
  <cols>
    <col min="1" max="1" width="9.625" style="1953" customWidth="1"/>
    <col min="2" max="2" width="57.875" style="1953" customWidth="1"/>
    <col min="3" max="5" width="19.125" style="1953" customWidth="1"/>
    <col min="6" max="6" width="17.625" style="1953" customWidth="1"/>
    <col min="7" max="7" width="11.5" style="1953"/>
    <col min="8" max="8" width="0" style="1953" hidden="1" customWidth="1"/>
    <col min="9" max="9" width="7.5" style="1953" hidden="1" customWidth="1"/>
    <col min="10" max="13" width="12.375" style="1953" hidden="1" customWidth="1"/>
    <col min="14" max="14" width="13.25" style="1953" hidden="1" customWidth="1"/>
    <col min="15" max="15" width="13.625" style="1953" hidden="1" customWidth="1"/>
    <col min="16" max="17" width="12.375" style="1953" hidden="1" customWidth="1"/>
    <col min="18" max="18" width="13.25" style="1953" hidden="1" customWidth="1"/>
    <col min="19" max="26" width="0" style="1953" hidden="1" customWidth="1"/>
    <col min="27" max="16384" width="11.5" style="1953"/>
  </cols>
  <sheetData>
    <row r="1" spans="1:26" ht="16.7" customHeight="1" x14ac:dyDescent="0.2">
      <c r="H1" s="2577"/>
      <c r="I1" s="2578"/>
      <c r="J1" s="2578"/>
      <c r="K1" s="2578"/>
      <c r="L1" s="2578"/>
      <c r="M1" s="2578"/>
      <c r="N1" s="2578"/>
      <c r="O1" s="2578"/>
      <c r="P1" s="2578"/>
      <c r="Q1" s="2482"/>
      <c r="R1" s="2482"/>
      <c r="S1" s="2482"/>
      <c r="T1" s="2482"/>
      <c r="U1" s="2482"/>
      <c r="V1" s="2482"/>
      <c r="W1" s="2482"/>
      <c r="X1" s="2482"/>
      <c r="Y1" s="2482"/>
      <c r="Z1" s="2482"/>
    </row>
    <row r="2" spans="1:26" ht="15" customHeight="1" x14ac:dyDescent="0.2">
      <c r="H2" s="2579"/>
      <c r="I2" s="2578"/>
      <c r="J2" s="2578"/>
      <c r="K2" s="2578"/>
      <c r="L2" s="2578"/>
      <c r="M2" s="2578"/>
      <c r="N2" s="2578"/>
      <c r="O2" s="2578"/>
      <c r="P2" s="2578"/>
      <c r="Q2" s="2482"/>
      <c r="R2" s="2482"/>
      <c r="S2" s="2482"/>
      <c r="T2" s="2482"/>
      <c r="U2" s="2482"/>
      <c r="V2" s="2482"/>
      <c r="W2" s="2482"/>
      <c r="X2" s="2482"/>
      <c r="Y2" s="2482"/>
      <c r="Z2" s="2482"/>
    </row>
    <row r="3" spans="1:26" ht="16.7" customHeight="1" x14ac:dyDescent="0.2">
      <c r="A3" s="3875" t="s">
        <v>6318</v>
      </c>
      <c r="B3" s="3876"/>
      <c r="C3" s="3876"/>
      <c r="D3" s="3876"/>
      <c r="E3" s="3877"/>
      <c r="F3" s="2479"/>
      <c r="H3" s="2579"/>
      <c r="I3" s="2578"/>
      <c r="J3" s="2578"/>
      <c r="K3" s="2578"/>
      <c r="L3" s="2578"/>
      <c r="M3" s="2578"/>
      <c r="N3" s="2578"/>
      <c r="O3" s="2578"/>
      <c r="P3" s="2578"/>
      <c r="Q3" s="2482"/>
      <c r="R3" s="2482"/>
      <c r="S3" s="2482"/>
      <c r="T3" s="2482"/>
      <c r="U3" s="2482"/>
      <c r="V3" s="2482"/>
      <c r="W3" s="2482"/>
      <c r="X3" s="2482"/>
      <c r="Y3" s="2482"/>
      <c r="Z3" s="2482"/>
    </row>
    <row r="4" spans="1:26" ht="103.35" customHeight="1" x14ac:dyDescent="0.2">
      <c r="A4" s="3878" t="s">
        <v>6319</v>
      </c>
      <c r="B4" s="3879"/>
      <c r="C4" s="3879"/>
      <c r="D4" s="3879"/>
      <c r="E4" s="3880"/>
      <c r="F4" s="2479"/>
      <c r="H4" s="2580" t="s">
        <v>6320</v>
      </c>
      <c r="I4" s="3881" t="s">
        <v>5938</v>
      </c>
      <c r="J4" s="3881"/>
      <c r="K4" s="3881"/>
      <c r="L4" s="3881"/>
      <c r="M4" s="2578"/>
      <c r="N4" s="2578"/>
      <c r="O4" s="2578"/>
      <c r="P4" s="2578"/>
      <c r="Q4" s="2482"/>
      <c r="R4" s="2482"/>
      <c r="S4" s="2482"/>
      <c r="T4" s="2482"/>
      <c r="U4" s="2482"/>
      <c r="V4" s="2482"/>
      <c r="W4" s="2482"/>
      <c r="X4" s="2482"/>
      <c r="Y4" s="2482"/>
      <c r="Z4" s="2482"/>
    </row>
    <row r="5" spans="1:26" ht="39.200000000000003" customHeight="1" x14ac:dyDescent="0.2">
      <c r="A5" s="2581" t="s">
        <v>6133</v>
      </c>
      <c r="B5" s="2582"/>
      <c r="C5" s="2583" t="s">
        <v>6321</v>
      </c>
      <c r="D5" s="2581" t="s">
        <v>6322</v>
      </c>
      <c r="E5" s="2581" t="s">
        <v>6323</v>
      </c>
      <c r="F5" s="2479"/>
      <c r="H5" s="2584"/>
      <c r="I5" s="2578"/>
      <c r="J5" s="2578"/>
      <c r="K5" s="2578"/>
      <c r="L5" s="2578"/>
      <c r="M5" s="2578"/>
      <c r="N5" s="2578"/>
      <c r="O5" s="2578"/>
      <c r="P5" s="2578"/>
      <c r="Q5" s="2482"/>
      <c r="R5" s="2482"/>
      <c r="S5" s="2482"/>
      <c r="T5" s="2482"/>
      <c r="U5" s="2482"/>
      <c r="V5" s="2482"/>
      <c r="W5" s="2482"/>
      <c r="X5" s="2482"/>
      <c r="Y5" s="2482"/>
      <c r="Z5" s="2482"/>
    </row>
    <row r="6" spans="1:26" ht="16.7" customHeight="1" x14ac:dyDescent="0.2">
      <c r="A6" s="2585"/>
      <c r="B6" s="2586"/>
      <c r="C6" s="2586"/>
      <c r="D6" s="2587">
        <v>45291</v>
      </c>
      <c r="E6" s="2587">
        <v>44926</v>
      </c>
      <c r="F6" s="2479"/>
      <c r="H6" s="2584"/>
      <c r="I6" s="2578"/>
      <c r="J6" s="2522"/>
      <c r="K6" s="2522"/>
      <c r="L6" s="2522"/>
      <c r="M6" s="2522"/>
      <c r="N6" s="2522"/>
      <c r="O6" s="2522"/>
      <c r="P6" s="2522"/>
      <c r="Q6" s="2482"/>
      <c r="R6" s="2482"/>
      <c r="S6" s="2482"/>
      <c r="T6" s="2482"/>
      <c r="U6" s="2482"/>
      <c r="V6" s="2482"/>
      <c r="W6" s="2482"/>
      <c r="X6" s="2482"/>
      <c r="Y6" s="2482"/>
      <c r="Z6" s="2482"/>
    </row>
    <row r="7" spans="1:26" ht="16.7" customHeight="1" x14ac:dyDescent="0.2">
      <c r="A7" s="2588"/>
      <c r="B7" s="2589" t="s">
        <v>5949</v>
      </c>
      <c r="C7" s="2589" t="s">
        <v>5950</v>
      </c>
      <c r="D7" s="2589" t="s">
        <v>5951</v>
      </c>
      <c r="E7" s="2589" t="s">
        <v>5952</v>
      </c>
      <c r="F7" s="2479" t="s">
        <v>6324</v>
      </c>
      <c r="H7" s="2590"/>
      <c r="I7" s="2578"/>
      <c r="J7" s="2578"/>
      <c r="K7" s="2578"/>
      <c r="L7" s="2578"/>
      <c r="M7" s="2578"/>
      <c r="N7" s="2578"/>
      <c r="O7" s="2578"/>
      <c r="P7" s="2578"/>
      <c r="Q7" s="2482"/>
      <c r="R7" s="2482"/>
      <c r="S7" s="2482"/>
      <c r="T7" s="2482"/>
      <c r="U7" s="2482"/>
      <c r="V7" s="2482"/>
      <c r="W7" s="2482"/>
      <c r="X7" s="2482"/>
      <c r="Y7" s="2482"/>
      <c r="Z7" s="2482"/>
    </row>
    <row r="8" spans="1:26" ht="24.2" customHeight="1" x14ac:dyDescent="0.2">
      <c r="A8" s="2488"/>
      <c r="B8" s="2512" t="s">
        <v>6325</v>
      </c>
      <c r="C8" s="2510"/>
      <c r="D8" s="2510"/>
      <c r="E8" s="2510"/>
      <c r="F8" s="2479"/>
      <c r="H8" s="2579"/>
      <c r="I8" s="2578" t="s">
        <v>6326</v>
      </c>
      <c r="J8" s="2591">
        <v>45199</v>
      </c>
      <c r="K8" s="2591">
        <v>45016</v>
      </c>
      <c r="L8" s="2591">
        <v>44926</v>
      </c>
      <c r="M8" s="2591">
        <v>44834</v>
      </c>
      <c r="N8" s="2591">
        <v>44742</v>
      </c>
      <c r="O8" s="2591">
        <v>44651</v>
      </c>
      <c r="P8" s="2591">
        <v>44561</v>
      </c>
      <c r="Q8" s="2591">
        <v>44469</v>
      </c>
      <c r="R8" s="2591">
        <v>44377</v>
      </c>
      <c r="S8" s="2591">
        <v>44286</v>
      </c>
      <c r="T8" s="2482"/>
      <c r="U8" s="2482"/>
      <c r="V8" s="2482"/>
      <c r="W8" s="2482"/>
      <c r="X8" s="2482"/>
      <c r="Y8" s="2482"/>
      <c r="Z8" s="2482"/>
    </row>
    <row r="9" spans="1:26" ht="16.7" customHeight="1" x14ac:dyDescent="0.2">
      <c r="A9" s="2497">
        <v>1</v>
      </c>
      <c r="B9" s="2512" t="s">
        <v>6327</v>
      </c>
      <c r="C9" s="2592"/>
      <c r="D9" s="2530">
        <v>6123094500</v>
      </c>
      <c r="E9" s="2527">
        <f>SUMIF(I:I,A9,L:L)</f>
        <v>5328687084</v>
      </c>
      <c r="F9" s="2479"/>
      <c r="H9" s="2579"/>
      <c r="I9" s="2593" t="s">
        <v>6139</v>
      </c>
      <c r="J9" s="2594">
        <v>6123094500</v>
      </c>
      <c r="K9" s="2507">
        <v>6123094500</v>
      </c>
      <c r="L9" s="2507">
        <v>5328687084</v>
      </c>
      <c r="M9" s="2507">
        <v>5328687084</v>
      </c>
      <c r="N9" s="2507">
        <v>5328687084</v>
      </c>
      <c r="O9" s="2507">
        <v>5328687084</v>
      </c>
      <c r="P9" s="2507">
        <v>4574204823</v>
      </c>
      <c r="Q9" s="2507">
        <v>4574204823</v>
      </c>
      <c r="R9" s="2507">
        <v>4574204823</v>
      </c>
      <c r="S9" s="2507">
        <v>4574204823</v>
      </c>
      <c r="T9" s="2482"/>
      <c r="U9" s="2482"/>
      <c r="V9" s="2482"/>
      <c r="W9" s="2482"/>
      <c r="X9" s="2482"/>
      <c r="Y9" s="2482"/>
      <c r="Z9" s="2482"/>
    </row>
    <row r="10" spans="1:26" ht="16.7" customHeight="1" x14ac:dyDescent="0.2">
      <c r="A10" s="2497">
        <v>2</v>
      </c>
      <c r="B10" s="2512" t="s">
        <v>6328</v>
      </c>
      <c r="C10" s="2592"/>
      <c r="D10" s="2592"/>
      <c r="E10" s="2592"/>
      <c r="F10" s="2479"/>
      <c r="H10" s="2579"/>
      <c r="I10" s="2593" t="s">
        <v>5957</v>
      </c>
      <c r="J10" s="2554"/>
      <c r="K10" s="2511"/>
      <c r="L10" s="2511"/>
      <c r="M10" s="2511"/>
      <c r="N10" s="2511"/>
      <c r="O10" s="2511"/>
      <c r="P10" s="2511"/>
      <c r="Q10" s="2511"/>
      <c r="R10" s="2511"/>
      <c r="S10" s="2511"/>
      <c r="T10" s="2482"/>
      <c r="U10" s="2482"/>
      <c r="V10" s="2482"/>
      <c r="W10" s="2482"/>
      <c r="X10" s="2482"/>
      <c r="Y10" s="2482"/>
      <c r="Z10" s="2482"/>
    </row>
    <row r="11" spans="1:26" ht="16.7" customHeight="1" x14ac:dyDescent="0.2">
      <c r="A11" s="2497">
        <v>3</v>
      </c>
      <c r="B11" s="2512" t="s">
        <v>6329</v>
      </c>
      <c r="C11" s="2592"/>
      <c r="D11" s="2592"/>
      <c r="E11" s="2592"/>
      <c r="F11" s="2479"/>
      <c r="H11" s="2579"/>
      <c r="I11" s="2593" t="s">
        <v>5959</v>
      </c>
      <c r="J11" s="2554"/>
      <c r="K11" s="2511"/>
      <c r="L11" s="2511"/>
      <c r="M11" s="2511"/>
      <c r="N11" s="2511"/>
      <c r="O11" s="2511"/>
      <c r="P11" s="2511"/>
      <c r="Q11" s="2511"/>
      <c r="R11" s="2511"/>
      <c r="S11" s="2511"/>
      <c r="T11" s="2482"/>
      <c r="U11" s="2482"/>
      <c r="V11" s="2482"/>
      <c r="W11" s="2482"/>
      <c r="X11" s="2482"/>
      <c r="Y11" s="2482"/>
      <c r="Z11" s="2482"/>
    </row>
    <row r="12" spans="1:26" ht="16.7" customHeight="1" x14ac:dyDescent="0.2">
      <c r="A12" s="2497">
        <v>4</v>
      </c>
      <c r="B12" s="2509"/>
      <c r="C12" s="2509"/>
      <c r="D12" s="2509"/>
      <c r="E12" s="2559"/>
      <c r="F12" s="2595">
        <f>B12</f>
        <v>0</v>
      </c>
      <c r="H12" s="2579"/>
      <c r="I12" s="2593" t="s">
        <v>5961</v>
      </c>
      <c r="J12" s="2554"/>
      <c r="K12" s="2511"/>
      <c r="L12" s="2511"/>
      <c r="M12" s="2511"/>
      <c r="N12" s="2511"/>
      <c r="O12" s="2511"/>
      <c r="P12" s="2511"/>
      <c r="Q12" s="2511"/>
      <c r="R12" s="2511"/>
      <c r="S12" s="2511"/>
      <c r="T12" s="2482"/>
      <c r="U12" s="2482"/>
      <c r="V12" s="2482"/>
      <c r="W12" s="2482"/>
      <c r="X12" s="2482"/>
      <c r="Y12" s="2482"/>
      <c r="Z12" s="2482"/>
    </row>
    <row r="13" spans="1:26" ht="16.7" customHeight="1" x14ac:dyDescent="0.2">
      <c r="A13" s="2497">
        <v>5</v>
      </c>
      <c r="B13" s="2509"/>
      <c r="C13" s="2509"/>
      <c r="D13" s="2509"/>
      <c r="E13" s="2559"/>
      <c r="F13" s="2595">
        <f>B13</f>
        <v>0</v>
      </c>
      <c r="H13" s="2579"/>
      <c r="I13" s="2593" t="s">
        <v>5963</v>
      </c>
      <c r="J13" s="2554"/>
      <c r="K13" s="2511"/>
      <c r="L13" s="2511"/>
      <c r="M13" s="2511"/>
      <c r="N13" s="2511"/>
      <c r="O13" s="2511"/>
      <c r="P13" s="2511"/>
      <c r="Q13" s="2511"/>
      <c r="R13" s="2511"/>
      <c r="S13" s="2511"/>
      <c r="T13" s="2482"/>
      <c r="U13" s="2482"/>
      <c r="V13" s="2482"/>
      <c r="W13" s="2482"/>
      <c r="X13" s="2482"/>
      <c r="Y13" s="2482"/>
      <c r="Z13" s="2482"/>
    </row>
    <row r="14" spans="1:26" ht="16.7" customHeight="1" x14ac:dyDescent="0.2">
      <c r="A14" s="2497">
        <v>6</v>
      </c>
      <c r="B14" s="2509"/>
      <c r="C14" s="2559"/>
      <c r="D14" s="2559"/>
      <c r="E14" s="2559"/>
      <c r="F14" s="2595">
        <f>B14</f>
        <v>0</v>
      </c>
      <c r="H14" s="2579"/>
      <c r="I14" s="2593" t="s">
        <v>5965</v>
      </c>
      <c r="J14" s="2554"/>
      <c r="K14" s="2511"/>
      <c r="L14" s="2511"/>
      <c r="M14" s="2511"/>
      <c r="N14" s="2511"/>
      <c r="O14" s="2511"/>
      <c r="P14" s="2511"/>
      <c r="Q14" s="2511"/>
      <c r="R14" s="2511"/>
      <c r="S14" s="2511"/>
      <c r="T14" s="2482"/>
      <c r="U14" s="2482"/>
      <c r="V14" s="2482"/>
      <c r="W14" s="2482"/>
      <c r="X14" s="2482"/>
      <c r="Y14" s="2482"/>
      <c r="Z14" s="2482"/>
    </row>
    <row r="15" spans="1:26" ht="16.7" customHeight="1" x14ac:dyDescent="0.2">
      <c r="A15" s="2497">
        <v>7</v>
      </c>
      <c r="B15" s="2502"/>
      <c r="C15" s="2503"/>
      <c r="D15" s="2559"/>
      <c r="E15" s="2559"/>
      <c r="F15" s="2595">
        <f>B15</f>
        <v>0</v>
      </c>
      <c r="H15" s="2579"/>
      <c r="I15" s="2593" t="s">
        <v>5968</v>
      </c>
      <c r="J15" s="2554"/>
      <c r="K15" s="2511"/>
      <c r="L15" s="2511"/>
      <c r="M15" s="2511"/>
      <c r="N15" s="2511"/>
      <c r="O15" s="2511"/>
      <c r="P15" s="2511"/>
      <c r="Q15" s="2511"/>
      <c r="R15" s="2511"/>
      <c r="S15" s="2511"/>
      <c r="T15" s="2482"/>
      <c r="U15" s="2482"/>
      <c r="V15" s="2482"/>
      <c r="W15" s="2482"/>
      <c r="X15" s="2482"/>
      <c r="Y15" s="2482"/>
      <c r="Z15" s="2482"/>
    </row>
    <row r="16" spans="1:26" ht="16.7" customHeight="1" x14ac:dyDescent="0.2">
      <c r="A16" s="2497">
        <v>8</v>
      </c>
      <c r="B16" s="2509"/>
      <c r="C16" s="2559"/>
      <c r="D16" s="2559"/>
      <c r="E16" s="2559"/>
      <c r="F16" s="2595">
        <f>B16</f>
        <v>0</v>
      </c>
      <c r="H16" s="2579"/>
      <c r="I16" s="2593" t="s">
        <v>5970</v>
      </c>
      <c r="J16" s="2554"/>
      <c r="K16" s="2511"/>
      <c r="L16" s="2511"/>
      <c r="M16" s="2511"/>
      <c r="N16" s="2511"/>
      <c r="O16" s="2511"/>
      <c r="P16" s="2511"/>
      <c r="Q16" s="2511"/>
      <c r="R16" s="2511"/>
      <c r="S16" s="2511"/>
      <c r="T16" s="2482"/>
      <c r="U16" s="2482"/>
      <c r="V16" s="2482"/>
      <c r="W16" s="2482"/>
      <c r="X16" s="2482"/>
      <c r="Y16" s="2482"/>
      <c r="Z16" s="2482"/>
    </row>
    <row r="17" spans="1:26" ht="16.7" customHeight="1" x14ac:dyDescent="0.2">
      <c r="A17" s="2497">
        <v>9</v>
      </c>
      <c r="B17" s="2502" t="s">
        <v>6330</v>
      </c>
      <c r="C17" s="2559"/>
      <c r="D17" s="2527">
        <f>SUM(D12:D16)</f>
        <v>0</v>
      </c>
      <c r="E17" s="2527">
        <f>SUMIF(I:I,A17,L:L)</f>
        <v>0</v>
      </c>
      <c r="F17" s="2479"/>
      <c r="H17" s="2579"/>
      <c r="I17" s="2593" t="s">
        <v>5972</v>
      </c>
      <c r="J17" s="2594">
        <f t="shared" ref="J17:O17" si="0">SUM(J12:J16)</f>
        <v>0</v>
      </c>
      <c r="K17" s="2507">
        <f t="shared" si="0"/>
        <v>0</v>
      </c>
      <c r="L17" s="2507">
        <f t="shared" si="0"/>
        <v>0</v>
      </c>
      <c r="M17" s="2507">
        <f t="shared" si="0"/>
        <v>0</v>
      </c>
      <c r="N17" s="2507">
        <f t="shared" si="0"/>
        <v>0</v>
      </c>
      <c r="O17" s="2507">
        <f t="shared" si="0"/>
        <v>0</v>
      </c>
      <c r="P17" s="2507">
        <v>0</v>
      </c>
      <c r="Q17" s="2507">
        <f>SUM(Q12:Q16)</f>
        <v>0</v>
      </c>
      <c r="R17" s="2507">
        <v>0</v>
      </c>
      <c r="S17" s="2507">
        <v>0</v>
      </c>
      <c r="T17" s="2482"/>
      <c r="U17" s="2482"/>
      <c r="V17" s="2482"/>
      <c r="W17" s="2482"/>
      <c r="X17" s="2482"/>
      <c r="Y17" s="2482"/>
      <c r="Z17" s="2482"/>
    </row>
    <row r="18" spans="1:26" ht="16.7" customHeight="1" x14ac:dyDescent="0.2">
      <c r="A18" s="2497">
        <v>10</v>
      </c>
      <c r="B18" s="2509"/>
      <c r="C18" s="2559"/>
      <c r="D18" s="2559"/>
      <c r="E18" s="2559"/>
      <c r="F18" s="2595">
        <f>B18</f>
        <v>0</v>
      </c>
      <c r="H18" s="2579"/>
      <c r="I18" s="2593" t="s">
        <v>5974</v>
      </c>
      <c r="J18" s="2554"/>
      <c r="K18" s="2511"/>
      <c r="L18" s="2511"/>
      <c r="M18" s="2511"/>
      <c r="N18" s="2511"/>
      <c r="O18" s="2511"/>
      <c r="P18" s="2511"/>
      <c r="Q18" s="2511"/>
      <c r="R18" s="2511"/>
      <c r="S18" s="2511"/>
      <c r="T18" s="2482"/>
      <c r="U18" s="2482"/>
      <c r="V18" s="2482"/>
      <c r="W18" s="2482"/>
      <c r="X18" s="2482"/>
      <c r="Y18" s="2482"/>
      <c r="Z18" s="2482"/>
    </row>
    <row r="19" spans="1:26" ht="16.7" customHeight="1" x14ac:dyDescent="0.2">
      <c r="A19" s="2497">
        <v>11</v>
      </c>
      <c r="B19" s="2509"/>
      <c r="C19" s="2559"/>
      <c r="D19" s="2559"/>
      <c r="E19" s="2559"/>
      <c r="F19" s="2595">
        <f>B19</f>
        <v>0</v>
      </c>
      <c r="H19" s="2579"/>
      <c r="I19" s="2593" t="s">
        <v>5976</v>
      </c>
      <c r="J19" s="2554"/>
      <c r="K19" s="2511"/>
      <c r="L19" s="2511"/>
      <c r="M19" s="2511"/>
      <c r="N19" s="2511"/>
      <c r="O19" s="2511"/>
      <c r="P19" s="2511"/>
      <c r="Q19" s="2511"/>
      <c r="R19" s="2511"/>
      <c r="S19" s="2511"/>
      <c r="T19" s="2482"/>
      <c r="U19" s="2482"/>
      <c r="V19" s="2482"/>
      <c r="W19" s="2482"/>
      <c r="X19" s="2482"/>
      <c r="Y19" s="2482"/>
      <c r="Z19" s="2482"/>
    </row>
    <row r="20" spans="1:26" ht="16.7" customHeight="1" x14ac:dyDescent="0.2">
      <c r="A20" s="2497">
        <v>12</v>
      </c>
      <c r="B20" s="2509"/>
      <c r="C20" s="2559"/>
      <c r="D20" s="2559"/>
      <c r="E20" s="2559"/>
      <c r="F20" s="2595">
        <f>B20</f>
        <v>0</v>
      </c>
      <c r="H20" s="2579"/>
      <c r="I20" s="2593" t="s">
        <v>5978</v>
      </c>
      <c r="J20" s="2554"/>
      <c r="K20" s="2511"/>
      <c r="L20" s="2511"/>
      <c r="M20" s="2511"/>
      <c r="N20" s="2511"/>
      <c r="O20" s="2511"/>
      <c r="P20" s="2511"/>
      <c r="Q20" s="2511"/>
      <c r="R20" s="2511"/>
      <c r="S20" s="2511"/>
      <c r="T20" s="2482"/>
      <c r="U20" s="2482"/>
      <c r="V20" s="2482"/>
      <c r="W20" s="2482"/>
      <c r="X20" s="2482"/>
      <c r="Y20" s="2482"/>
      <c r="Z20" s="2482"/>
    </row>
    <row r="21" spans="1:26" ht="16.7" customHeight="1" x14ac:dyDescent="0.2">
      <c r="A21" s="2497">
        <v>13</v>
      </c>
      <c r="B21" s="2509"/>
      <c r="C21" s="2509"/>
      <c r="D21" s="2509"/>
      <c r="E21" s="2559"/>
      <c r="F21" s="2595">
        <f>B21</f>
        <v>0</v>
      </c>
      <c r="H21" s="2579"/>
      <c r="I21" s="2593" t="s">
        <v>5980</v>
      </c>
      <c r="J21" s="2554"/>
      <c r="K21" s="2511"/>
      <c r="L21" s="2511"/>
      <c r="M21" s="2511"/>
      <c r="N21" s="2511"/>
      <c r="O21" s="2511"/>
      <c r="P21" s="2511"/>
      <c r="Q21" s="2511"/>
      <c r="R21" s="2511"/>
      <c r="S21" s="2511"/>
      <c r="T21" s="2482"/>
      <c r="U21" s="2482"/>
      <c r="V21" s="2482"/>
      <c r="W21" s="2482"/>
      <c r="X21" s="2482"/>
      <c r="Y21" s="2482"/>
      <c r="Z21" s="2482"/>
    </row>
    <row r="22" spans="1:26" ht="16.7" customHeight="1" x14ac:dyDescent="0.2">
      <c r="A22" s="2497">
        <v>14</v>
      </c>
      <c r="B22" s="2509"/>
      <c r="C22" s="2509"/>
      <c r="D22" s="2509"/>
      <c r="E22" s="2559"/>
      <c r="F22" s="2595">
        <f>B22</f>
        <v>0</v>
      </c>
      <c r="H22" s="2579"/>
      <c r="I22" s="2593" t="s">
        <v>5982</v>
      </c>
      <c r="J22" s="2554"/>
      <c r="K22" s="2511"/>
      <c r="L22" s="2511"/>
      <c r="M22" s="2511"/>
      <c r="N22" s="2511"/>
      <c r="O22" s="2511"/>
      <c r="P22" s="2511"/>
      <c r="Q22" s="2511"/>
      <c r="R22" s="2511"/>
      <c r="S22" s="2511"/>
      <c r="T22" s="2482"/>
      <c r="U22" s="2482"/>
      <c r="V22" s="2482"/>
      <c r="W22" s="2482"/>
      <c r="X22" s="2482"/>
      <c r="Y22" s="2482"/>
      <c r="Z22" s="2482"/>
    </row>
    <row r="23" spans="1:26" ht="16.7" customHeight="1" x14ac:dyDescent="0.2">
      <c r="A23" s="2497">
        <v>15</v>
      </c>
      <c r="B23" s="2502" t="s">
        <v>6331</v>
      </c>
      <c r="C23" s="2509"/>
      <c r="D23" s="2527">
        <v>0</v>
      </c>
      <c r="E23" s="2527">
        <f>SUM(E18:E22)</f>
        <v>0</v>
      </c>
      <c r="F23" s="2479"/>
      <c r="H23" s="2579"/>
      <c r="I23" s="2593" t="s">
        <v>5984</v>
      </c>
      <c r="J23" s="2594">
        <f t="shared" ref="J23:O23" si="1">SUM(J18:J22)</f>
        <v>0</v>
      </c>
      <c r="K23" s="2507">
        <f t="shared" si="1"/>
        <v>0</v>
      </c>
      <c r="L23" s="2507">
        <f t="shared" si="1"/>
        <v>0</v>
      </c>
      <c r="M23" s="2507">
        <f t="shared" si="1"/>
        <v>0</v>
      </c>
      <c r="N23" s="2507">
        <f t="shared" si="1"/>
        <v>0</v>
      </c>
      <c r="O23" s="2507">
        <f t="shared" si="1"/>
        <v>0</v>
      </c>
      <c r="P23" s="2507">
        <v>0</v>
      </c>
      <c r="Q23" s="2507">
        <f>SUM(Q18:Q22)</f>
        <v>0</v>
      </c>
      <c r="R23" s="2511"/>
      <c r="S23" s="2507">
        <v>0</v>
      </c>
      <c r="T23" s="2482"/>
      <c r="U23" s="2482"/>
      <c r="V23" s="2482"/>
      <c r="W23" s="2482"/>
      <c r="X23" s="2482"/>
      <c r="Y23" s="2482"/>
      <c r="Z23" s="2482"/>
    </row>
    <row r="24" spans="1:26" ht="16.7" customHeight="1" x14ac:dyDescent="0.2">
      <c r="A24" s="2497">
        <v>16</v>
      </c>
      <c r="B24" s="2502" t="s">
        <v>6332</v>
      </c>
      <c r="C24" s="2509"/>
      <c r="D24" s="2527">
        <v>-487697628</v>
      </c>
      <c r="E24" s="2527">
        <f>SUMIF(I:I,A24,L:L)</f>
        <v>901677421</v>
      </c>
      <c r="F24" s="2479"/>
      <c r="H24" s="2579"/>
      <c r="I24" s="2593" t="s">
        <v>5986</v>
      </c>
      <c r="J24" s="2594">
        <v>-8283695</v>
      </c>
      <c r="K24" s="2507">
        <v>-122131962</v>
      </c>
      <c r="L24" s="2507">
        <v>901677421</v>
      </c>
      <c r="M24" s="2507">
        <v>605410123</v>
      </c>
      <c r="N24" s="2507">
        <v>198995479</v>
      </c>
      <c r="O24" s="2507">
        <v>123473217</v>
      </c>
      <c r="P24" s="2507">
        <v>869187342</v>
      </c>
      <c r="Q24" s="2507">
        <v>712597108</v>
      </c>
      <c r="R24" s="2507">
        <v>390678155</v>
      </c>
      <c r="S24" s="2507">
        <v>168827789</v>
      </c>
      <c r="T24" s="2482"/>
      <c r="U24" s="2482"/>
      <c r="V24" s="2482"/>
      <c r="W24" s="2482"/>
      <c r="X24" s="2482"/>
      <c r="Y24" s="2482"/>
      <c r="Z24" s="2482"/>
    </row>
    <row r="25" spans="1:26" ht="16.7" customHeight="1" x14ac:dyDescent="0.2">
      <c r="A25" s="2497">
        <v>17</v>
      </c>
      <c r="B25" s="2512" t="s">
        <v>6333</v>
      </c>
      <c r="C25" s="2592"/>
      <c r="D25" s="2592"/>
      <c r="E25" s="2592"/>
      <c r="F25" s="2479"/>
      <c r="H25" s="2579"/>
      <c r="I25" s="2593" t="s">
        <v>5988</v>
      </c>
      <c r="J25" s="2554"/>
      <c r="K25" s="2511"/>
      <c r="L25" s="2511"/>
      <c r="M25" s="2511"/>
      <c r="N25" s="2511"/>
      <c r="O25" s="2511"/>
      <c r="P25" s="2511"/>
      <c r="Q25" s="2511"/>
      <c r="R25" s="2507">
        <v>0</v>
      </c>
      <c r="S25" s="2507">
        <v>0</v>
      </c>
      <c r="T25" s="2482"/>
      <c r="U25" s="2482"/>
      <c r="V25" s="2482"/>
      <c r="W25" s="2482"/>
      <c r="X25" s="2482"/>
      <c r="Y25" s="2482"/>
      <c r="Z25" s="2482"/>
    </row>
    <row r="26" spans="1:26" ht="29.1" customHeight="1" x14ac:dyDescent="0.2">
      <c r="A26" s="2596">
        <v>18</v>
      </c>
      <c r="B26" s="2597" t="s">
        <v>6334</v>
      </c>
      <c r="C26" s="2598">
        <v>215.1</v>
      </c>
      <c r="D26" s="2599">
        <v>5086451</v>
      </c>
      <c r="E26" s="2527">
        <f>SUMIF(I:I,A26,L:L)</f>
        <v>0</v>
      </c>
      <c r="F26" s="2479" t="str">
        <f>B26</f>
        <v>Unappropriation of excess earnings related to Lower Klamath Hydroelectric Project</v>
      </c>
      <c r="H26" s="2579"/>
      <c r="I26" s="2593" t="s">
        <v>5990</v>
      </c>
      <c r="J26" s="2594">
        <v>5086451</v>
      </c>
      <c r="K26" s="2507">
        <v>5086451</v>
      </c>
      <c r="L26" s="2511"/>
      <c r="M26" s="2507">
        <v>0</v>
      </c>
      <c r="N26" s="2507">
        <v>0</v>
      </c>
      <c r="O26" s="2511"/>
      <c r="P26" s="2507">
        <v>-4673767</v>
      </c>
      <c r="Q26" s="2507">
        <v>0</v>
      </c>
      <c r="R26" s="2507">
        <v>0</v>
      </c>
      <c r="S26" s="2507">
        <v>0</v>
      </c>
      <c r="T26" s="2482"/>
      <c r="U26" s="2482"/>
      <c r="V26" s="2482"/>
      <c r="W26" s="2482"/>
      <c r="X26" s="2482"/>
      <c r="Y26" s="2482"/>
      <c r="Z26" s="2482"/>
    </row>
    <row r="27" spans="1:26" ht="16.7" customHeight="1" x14ac:dyDescent="0.2">
      <c r="A27" s="2497">
        <v>19</v>
      </c>
      <c r="B27" s="2509" t="s">
        <v>6335</v>
      </c>
      <c r="C27" s="2598">
        <v>215.1</v>
      </c>
      <c r="D27" s="2527">
        <v>-3595171</v>
      </c>
      <c r="E27" s="2527">
        <f>SUMIF(I:I,A27,L:L)</f>
        <v>-7224984</v>
      </c>
      <c r="F27" s="2479" t="str">
        <f>B27</f>
        <v>Appropriation of excess earnings at certain hydroelectric generating facilities</v>
      </c>
      <c r="H27" s="2579"/>
      <c r="I27" s="2593" t="s">
        <v>5992</v>
      </c>
      <c r="J27" s="2554"/>
      <c r="K27" s="2511"/>
      <c r="L27" s="2507">
        <v>-7224984</v>
      </c>
      <c r="M27" s="2511"/>
      <c r="N27" s="2511"/>
      <c r="O27" s="2511"/>
      <c r="P27" s="2511"/>
      <c r="Q27" s="2511"/>
      <c r="R27" s="2511"/>
      <c r="S27" s="2511"/>
      <c r="T27" s="2482"/>
      <c r="U27" s="2482"/>
      <c r="V27" s="2482"/>
      <c r="W27" s="2482"/>
      <c r="X27" s="2482"/>
      <c r="Y27" s="2482"/>
      <c r="Z27" s="2482"/>
    </row>
    <row r="28" spans="1:26" ht="16.7" customHeight="1" x14ac:dyDescent="0.2">
      <c r="A28" s="2497">
        <v>20</v>
      </c>
      <c r="B28" s="2509"/>
      <c r="C28" s="2509"/>
      <c r="D28" s="2509"/>
      <c r="E28" s="2559"/>
      <c r="F28" s="2595">
        <f>B28</f>
        <v>0</v>
      </c>
      <c r="H28" s="2579"/>
      <c r="I28" s="2593" t="s">
        <v>5994</v>
      </c>
      <c r="J28" s="2554"/>
      <c r="K28" s="2511"/>
      <c r="L28" s="2511"/>
      <c r="M28" s="2511"/>
      <c r="N28" s="2511"/>
      <c r="O28" s="2511"/>
      <c r="P28" s="2511"/>
      <c r="Q28" s="2511"/>
      <c r="R28" s="2511"/>
      <c r="S28" s="2511"/>
      <c r="T28" s="2482"/>
      <c r="U28" s="2482"/>
      <c r="V28" s="2482"/>
      <c r="W28" s="2482"/>
      <c r="X28" s="2482"/>
      <c r="Y28" s="2482"/>
      <c r="Z28" s="2482"/>
    </row>
    <row r="29" spans="1:26" ht="16.7" customHeight="1" x14ac:dyDescent="0.2">
      <c r="A29" s="2497">
        <v>21</v>
      </c>
      <c r="B29" s="2509"/>
      <c r="C29" s="2509"/>
      <c r="D29" s="2509"/>
      <c r="E29" s="2559"/>
      <c r="F29" s="2595">
        <f>B29</f>
        <v>0</v>
      </c>
      <c r="H29" s="2579"/>
      <c r="I29" s="2593" t="s">
        <v>5997</v>
      </c>
      <c r="J29" s="2554"/>
      <c r="K29" s="2511"/>
      <c r="L29" s="2511"/>
      <c r="M29" s="2511"/>
      <c r="N29" s="2511"/>
      <c r="O29" s="2511"/>
      <c r="P29" s="2511"/>
      <c r="Q29" s="2511"/>
      <c r="R29" s="2511"/>
      <c r="S29" s="2511"/>
      <c r="T29" s="2482"/>
      <c r="U29" s="2482"/>
      <c r="V29" s="2482"/>
      <c r="W29" s="2482"/>
      <c r="X29" s="2482"/>
      <c r="Y29" s="2482"/>
      <c r="Z29" s="2482"/>
    </row>
    <row r="30" spans="1:26" ht="16.7" customHeight="1" x14ac:dyDescent="0.2">
      <c r="A30" s="2497">
        <v>22</v>
      </c>
      <c r="B30" s="2502" t="s">
        <v>6336</v>
      </c>
      <c r="C30" s="2509"/>
      <c r="D30" s="2527">
        <f>SUM(D26:D29)</f>
        <v>1491280</v>
      </c>
      <c r="E30" s="2527">
        <f>SUM(E26:E29)</f>
        <v>-7224984</v>
      </c>
      <c r="F30" s="2479"/>
      <c r="H30" s="2579"/>
      <c r="I30" s="2593" t="s">
        <v>5999</v>
      </c>
      <c r="J30" s="2594">
        <f t="shared" ref="J30:O30" si="2">SUM(J26:J29)</f>
        <v>5086451</v>
      </c>
      <c r="K30" s="2507">
        <f t="shared" si="2"/>
        <v>5086451</v>
      </c>
      <c r="L30" s="2507">
        <f t="shared" si="2"/>
        <v>-7224984</v>
      </c>
      <c r="M30" s="2507">
        <f t="shared" si="2"/>
        <v>0</v>
      </c>
      <c r="N30" s="2507">
        <f t="shared" si="2"/>
        <v>0</v>
      </c>
      <c r="O30" s="2507">
        <f t="shared" si="2"/>
        <v>0</v>
      </c>
      <c r="P30" s="2507">
        <v>4673767</v>
      </c>
      <c r="Q30" s="2507">
        <f>SUM(Q26:Q29)</f>
        <v>0</v>
      </c>
      <c r="R30" s="2511"/>
      <c r="S30" s="2507">
        <v>0</v>
      </c>
      <c r="T30" s="2482"/>
      <c r="U30" s="2482"/>
      <c r="V30" s="2482"/>
      <c r="W30" s="2482"/>
      <c r="X30" s="2482"/>
      <c r="Y30" s="2482"/>
      <c r="Z30" s="2482"/>
    </row>
    <row r="31" spans="1:26" ht="16.7" customHeight="1" x14ac:dyDescent="0.2">
      <c r="A31" s="2497">
        <v>23</v>
      </c>
      <c r="B31" s="2512" t="s">
        <v>6337</v>
      </c>
      <c r="C31" s="2592"/>
      <c r="D31" s="2592"/>
      <c r="E31" s="2592"/>
      <c r="F31" s="2479"/>
      <c r="H31" s="2579"/>
      <c r="I31" s="2593" t="s">
        <v>6002</v>
      </c>
      <c r="J31" s="2554"/>
      <c r="K31" s="2511"/>
      <c r="L31" s="2511"/>
      <c r="M31" s="2511"/>
      <c r="N31" s="2511"/>
      <c r="O31" s="2511"/>
      <c r="P31" s="2511"/>
      <c r="Q31" s="2511"/>
      <c r="R31" s="2511"/>
      <c r="S31" s="2511"/>
      <c r="T31" s="2482"/>
      <c r="U31" s="2482"/>
      <c r="V31" s="2482"/>
      <c r="W31" s="2482"/>
      <c r="X31" s="2482"/>
      <c r="Y31" s="2482"/>
      <c r="Z31" s="2482"/>
    </row>
    <row r="32" spans="1:26" ht="16.7" customHeight="1" x14ac:dyDescent="0.2">
      <c r="A32" s="2497">
        <v>24</v>
      </c>
      <c r="B32" s="2509" t="s">
        <v>6338</v>
      </c>
      <c r="C32" s="2600">
        <v>238</v>
      </c>
      <c r="D32" s="2531">
        <v>-161902</v>
      </c>
      <c r="E32" s="2531">
        <f>SUMIF(I:I,A32,L:L)</f>
        <v>-161902</v>
      </c>
      <c r="F32" s="2479" t="str">
        <f>B32</f>
        <v>Preferred Stock, various series and rates</v>
      </c>
      <c r="H32" s="2579"/>
      <c r="I32" s="2593" t="s">
        <v>6004</v>
      </c>
      <c r="J32" s="2594">
        <v>-80951</v>
      </c>
      <c r="K32" s="2507">
        <v>-40475</v>
      </c>
      <c r="L32" s="2507">
        <v>-161902</v>
      </c>
      <c r="M32" s="2507">
        <v>121426</v>
      </c>
      <c r="N32" s="2507">
        <v>80951</v>
      </c>
      <c r="O32" s="2507">
        <v>40475</v>
      </c>
      <c r="P32" s="2507">
        <v>-161902</v>
      </c>
      <c r="Q32" s="2507">
        <v>121426</v>
      </c>
      <c r="R32" s="2507">
        <v>80951</v>
      </c>
      <c r="S32" s="2507">
        <v>40475</v>
      </c>
      <c r="T32" s="2482"/>
      <c r="U32" s="2482"/>
      <c r="V32" s="2482"/>
      <c r="W32" s="2482"/>
      <c r="X32" s="2482"/>
      <c r="Y32" s="2482"/>
      <c r="Z32" s="2482"/>
    </row>
    <row r="33" spans="1:26" ht="16.7" customHeight="1" x14ac:dyDescent="0.2">
      <c r="A33" s="2497">
        <v>25</v>
      </c>
      <c r="B33" s="2509"/>
      <c r="C33" s="2509"/>
      <c r="D33" s="2509"/>
      <c r="E33" s="2559"/>
      <c r="F33" s="2595">
        <f>B33</f>
        <v>0</v>
      </c>
      <c r="H33" s="2579"/>
      <c r="I33" s="2593" t="s">
        <v>6006</v>
      </c>
      <c r="J33" s="2554"/>
      <c r="K33" s="2511"/>
      <c r="L33" s="2511"/>
      <c r="M33" s="2511"/>
      <c r="N33" s="2511"/>
      <c r="O33" s="2511"/>
      <c r="P33" s="2511"/>
      <c r="Q33" s="2511"/>
      <c r="R33" s="2511"/>
      <c r="S33" s="2511"/>
      <c r="T33" s="2482"/>
      <c r="U33" s="2482"/>
      <c r="V33" s="2482"/>
      <c r="W33" s="2482"/>
      <c r="X33" s="2482"/>
      <c r="Y33" s="2482"/>
      <c r="Z33" s="2482"/>
    </row>
    <row r="34" spans="1:26" ht="16.7" customHeight="1" x14ac:dyDescent="0.2">
      <c r="A34" s="2497">
        <v>26</v>
      </c>
      <c r="B34" s="2509"/>
      <c r="C34" s="2509"/>
      <c r="D34" s="2509"/>
      <c r="E34" s="2559"/>
      <c r="F34" s="2595">
        <f>B34</f>
        <v>0</v>
      </c>
      <c r="H34" s="2579"/>
      <c r="I34" s="2593" t="s">
        <v>6008</v>
      </c>
      <c r="J34" s="2554"/>
      <c r="K34" s="2511"/>
      <c r="L34" s="2511"/>
      <c r="M34" s="2511"/>
      <c r="N34" s="2511"/>
      <c r="O34" s="2511"/>
      <c r="P34" s="2511"/>
      <c r="Q34" s="2511"/>
      <c r="R34" s="2511"/>
      <c r="S34" s="2511"/>
      <c r="T34" s="2482"/>
      <c r="U34" s="2482"/>
      <c r="V34" s="2482"/>
      <c r="W34" s="2482"/>
      <c r="X34" s="2482"/>
      <c r="Y34" s="2482"/>
      <c r="Z34" s="2482"/>
    </row>
    <row r="35" spans="1:26" ht="16.7" customHeight="1" x14ac:dyDescent="0.2">
      <c r="A35" s="2497">
        <v>27</v>
      </c>
      <c r="B35" s="2509"/>
      <c r="C35" s="2509"/>
      <c r="D35" s="2509"/>
      <c r="E35" s="2559"/>
      <c r="F35" s="2595">
        <f>B35</f>
        <v>0</v>
      </c>
      <c r="H35" s="2579"/>
      <c r="I35" s="2593" t="s">
        <v>6010</v>
      </c>
      <c r="J35" s="2554"/>
      <c r="K35" s="2511"/>
      <c r="L35" s="2511"/>
      <c r="M35" s="2511"/>
      <c r="N35" s="2511"/>
      <c r="O35" s="2511"/>
      <c r="P35" s="2511"/>
      <c r="Q35" s="2511"/>
      <c r="R35" s="2511"/>
      <c r="S35" s="2511"/>
      <c r="T35" s="2482"/>
      <c r="U35" s="2482"/>
      <c r="V35" s="2482"/>
      <c r="W35" s="2482"/>
      <c r="X35" s="2482"/>
      <c r="Y35" s="2482"/>
      <c r="Z35" s="2482"/>
    </row>
    <row r="36" spans="1:26" ht="16.7" customHeight="1" x14ac:dyDescent="0.2">
      <c r="A36" s="2497">
        <v>28</v>
      </c>
      <c r="B36" s="2509"/>
      <c r="C36" s="2509"/>
      <c r="D36" s="2509"/>
      <c r="E36" s="2559"/>
      <c r="F36" s="2595">
        <f>B36</f>
        <v>0</v>
      </c>
      <c r="H36" s="2579"/>
      <c r="I36" s="2593" t="s">
        <v>6012</v>
      </c>
      <c r="J36" s="2554"/>
      <c r="K36" s="2511"/>
      <c r="L36" s="2511"/>
      <c r="M36" s="2511"/>
      <c r="N36" s="2511"/>
      <c r="O36" s="2511"/>
      <c r="P36" s="2511"/>
      <c r="Q36" s="2511"/>
      <c r="R36" s="2511"/>
      <c r="S36" s="2511"/>
      <c r="T36" s="2482"/>
      <c r="U36" s="2482"/>
      <c r="V36" s="2482"/>
      <c r="W36" s="2482"/>
      <c r="X36" s="2482"/>
      <c r="Y36" s="2482"/>
      <c r="Z36" s="2482"/>
    </row>
    <row r="37" spans="1:26" ht="16.7" customHeight="1" x14ac:dyDescent="0.2">
      <c r="A37" s="2497">
        <v>29</v>
      </c>
      <c r="B37" s="2502" t="s">
        <v>6339</v>
      </c>
      <c r="C37" s="2509"/>
      <c r="D37" s="2527">
        <f>SUM(D32:D36)</f>
        <v>-161902</v>
      </c>
      <c r="E37" s="2527">
        <f>SUM(E32:E36)</f>
        <v>-161902</v>
      </c>
      <c r="F37" s="2479"/>
      <c r="H37" s="2579"/>
      <c r="I37" s="2593" t="s">
        <v>6014</v>
      </c>
      <c r="J37" s="2594">
        <f t="shared" ref="J37:O37" si="3">SUM(J32:J36)</f>
        <v>-80951</v>
      </c>
      <c r="K37" s="2507">
        <f t="shared" si="3"/>
        <v>-40475</v>
      </c>
      <c r="L37" s="2507">
        <f t="shared" si="3"/>
        <v>-161902</v>
      </c>
      <c r="M37" s="2507">
        <f t="shared" si="3"/>
        <v>121426</v>
      </c>
      <c r="N37" s="2507">
        <f t="shared" si="3"/>
        <v>80951</v>
      </c>
      <c r="O37" s="2507">
        <f t="shared" si="3"/>
        <v>40475</v>
      </c>
      <c r="P37" s="2507">
        <v>161902</v>
      </c>
      <c r="Q37" s="2507">
        <f>SUM(Q32:Q36)</f>
        <v>121426</v>
      </c>
      <c r="R37" s="2507">
        <v>80951</v>
      </c>
      <c r="S37" s="2507">
        <v>40475</v>
      </c>
      <c r="T37" s="2482"/>
      <c r="U37" s="2482"/>
      <c r="V37" s="2482"/>
      <c r="W37" s="2482"/>
      <c r="X37" s="2482"/>
      <c r="Y37" s="2482"/>
      <c r="Z37" s="2482"/>
    </row>
    <row r="38" spans="1:26" ht="16.7" customHeight="1" x14ac:dyDescent="0.2">
      <c r="A38" s="2497">
        <v>30</v>
      </c>
      <c r="B38" s="2512" t="s">
        <v>6340</v>
      </c>
      <c r="C38" s="2592"/>
      <c r="D38" s="2592"/>
      <c r="E38" s="2592"/>
      <c r="F38" s="2479"/>
      <c r="H38" s="2579"/>
      <c r="I38" s="2593" t="s">
        <v>6016</v>
      </c>
      <c r="J38" s="2554"/>
      <c r="K38" s="2511"/>
      <c r="L38" s="2511"/>
      <c r="M38" s="2511"/>
      <c r="N38" s="2511"/>
      <c r="O38" s="2511"/>
      <c r="P38" s="2511"/>
      <c r="Q38" s="2511"/>
      <c r="R38" s="2511"/>
      <c r="S38" s="2511"/>
      <c r="T38" s="2482"/>
      <c r="U38" s="2482"/>
      <c r="V38" s="2482"/>
      <c r="W38" s="2482"/>
      <c r="X38" s="2482"/>
      <c r="Y38" s="2482"/>
      <c r="Z38" s="2482"/>
    </row>
    <row r="39" spans="1:26" ht="16.7" customHeight="1" x14ac:dyDescent="0.2">
      <c r="A39" s="2497">
        <v>31</v>
      </c>
      <c r="B39" s="2509" t="s">
        <v>6341</v>
      </c>
      <c r="C39" s="2527">
        <v>238</v>
      </c>
      <c r="D39" s="2527">
        <v>-300000000</v>
      </c>
      <c r="E39" s="2527">
        <f>SUMIF(I:I,A39,L:L)</f>
        <v>-100000000</v>
      </c>
      <c r="F39" s="2479" t="str">
        <f>B39</f>
        <v>Common Stock</v>
      </c>
      <c r="H39" s="2579"/>
      <c r="I39" s="2593" t="s">
        <v>6018</v>
      </c>
      <c r="J39" s="2594">
        <v>-300000000</v>
      </c>
      <c r="K39" s="2507">
        <v>-300000000</v>
      </c>
      <c r="L39" s="2507">
        <v>-100000000</v>
      </c>
      <c r="M39" s="2507">
        <v>100000000</v>
      </c>
      <c r="N39" s="2507">
        <v>100000000</v>
      </c>
      <c r="O39" s="2507">
        <v>0</v>
      </c>
      <c r="P39" s="2507">
        <v>-150000000</v>
      </c>
      <c r="Q39" s="2507">
        <v>0</v>
      </c>
      <c r="R39" s="2507">
        <v>0</v>
      </c>
      <c r="S39" s="2507">
        <v>0</v>
      </c>
      <c r="T39" s="2482"/>
      <c r="U39" s="2482"/>
      <c r="V39" s="2482"/>
      <c r="W39" s="2482"/>
      <c r="X39" s="2482"/>
      <c r="Y39" s="2482"/>
      <c r="Z39" s="2482"/>
    </row>
    <row r="40" spans="1:26" ht="16.7" customHeight="1" x14ac:dyDescent="0.2">
      <c r="A40" s="2497">
        <v>32</v>
      </c>
      <c r="B40" s="2509"/>
      <c r="C40" s="2509"/>
      <c r="D40" s="2509"/>
      <c r="E40" s="2559"/>
      <c r="F40" s="2595">
        <f>B40</f>
        <v>0</v>
      </c>
      <c r="H40" s="2579"/>
      <c r="I40" s="2593" t="s">
        <v>6020</v>
      </c>
      <c r="J40" s="2554"/>
      <c r="K40" s="2511"/>
      <c r="L40" s="2511"/>
      <c r="M40" s="2511"/>
      <c r="N40" s="2511"/>
      <c r="O40" s="2511"/>
      <c r="P40" s="2511"/>
      <c r="Q40" s="2511"/>
      <c r="R40" s="2511"/>
      <c r="S40" s="2511"/>
      <c r="T40" s="2482"/>
      <c r="U40" s="2482"/>
      <c r="V40" s="2482"/>
      <c r="W40" s="2482"/>
      <c r="X40" s="2482"/>
      <c r="Y40" s="2482"/>
      <c r="Z40" s="2482"/>
    </row>
    <row r="41" spans="1:26" ht="16.7" customHeight="1" x14ac:dyDescent="0.2">
      <c r="A41" s="2497">
        <v>33</v>
      </c>
      <c r="B41" s="2509"/>
      <c r="C41" s="2509"/>
      <c r="D41" s="2509"/>
      <c r="E41" s="2559"/>
      <c r="F41" s="2595">
        <f>B41</f>
        <v>0</v>
      </c>
      <c r="H41" s="2579"/>
      <c r="I41" s="2593" t="s">
        <v>6022</v>
      </c>
      <c r="J41" s="2554"/>
      <c r="K41" s="2511"/>
      <c r="L41" s="2511"/>
      <c r="M41" s="2511"/>
      <c r="N41" s="2511"/>
      <c r="O41" s="2511"/>
      <c r="P41" s="2511"/>
      <c r="Q41" s="2511"/>
      <c r="R41" s="2511"/>
      <c r="S41" s="2511"/>
      <c r="T41" s="2482"/>
      <c r="U41" s="2482"/>
      <c r="V41" s="2482"/>
      <c r="W41" s="2482"/>
      <c r="X41" s="2482"/>
      <c r="Y41" s="2482"/>
      <c r="Z41" s="2482"/>
    </row>
    <row r="42" spans="1:26" ht="16.7" customHeight="1" x14ac:dyDescent="0.2">
      <c r="A42" s="2497">
        <v>34</v>
      </c>
      <c r="B42" s="2509"/>
      <c r="C42" s="2509"/>
      <c r="D42" s="2509"/>
      <c r="E42" s="2559"/>
      <c r="F42" s="2595">
        <f>B42</f>
        <v>0</v>
      </c>
      <c r="H42" s="2579"/>
      <c r="I42" s="2593" t="s">
        <v>6024</v>
      </c>
      <c r="J42" s="2554"/>
      <c r="K42" s="2511"/>
      <c r="L42" s="2511"/>
      <c r="M42" s="2511"/>
      <c r="N42" s="2511"/>
      <c r="O42" s="2511"/>
      <c r="P42" s="2511"/>
      <c r="Q42" s="2511"/>
      <c r="R42" s="2511"/>
      <c r="S42" s="2511"/>
      <c r="T42" s="2482"/>
      <c r="U42" s="2482"/>
      <c r="V42" s="2482"/>
      <c r="W42" s="2482"/>
      <c r="X42" s="2482"/>
      <c r="Y42" s="2482"/>
      <c r="Z42" s="2482"/>
    </row>
    <row r="43" spans="1:26" ht="16.7" customHeight="1" x14ac:dyDescent="0.2">
      <c r="A43" s="2497">
        <v>35</v>
      </c>
      <c r="B43" s="2509"/>
      <c r="C43" s="2509"/>
      <c r="D43" s="2509"/>
      <c r="E43" s="2559"/>
      <c r="F43" s="2595">
        <f>B43</f>
        <v>0</v>
      </c>
      <c r="H43" s="2579"/>
      <c r="I43" s="2593" t="s">
        <v>6026</v>
      </c>
      <c r="J43" s="2554"/>
      <c r="K43" s="2511"/>
      <c r="L43" s="2511"/>
      <c r="M43" s="2511"/>
      <c r="N43" s="2511"/>
      <c r="O43" s="2511"/>
      <c r="P43" s="2511"/>
      <c r="Q43" s="2511"/>
      <c r="R43" s="2511"/>
      <c r="S43" s="2511"/>
      <c r="T43" s="2482"/>
      <c r="U43" s="2482"/>
      <c r="V43" s="2482"/>
      <c r="W43" s="2482"/>
      <c r="X43" s="2482"/>
      <c r="Y43" s="2482"/>
      <c r="Z43" s="2482"/>
    </row>
    <row r="44" spans="1:26" ht="16.7" customHeight="1" x14ac:dyDescent="0.2">
      <c r="A44" s="2497">
        <v>36</v>
      </c>
      <c r="B44" s="2502" t="s">
        <v>6342</v>
      </c>
      <c r="C44" s="2509"/>
      <c r="D44" s="2527">
        <f>SUM(D39:D43)</f>
        <v>-300000000</v>
      </c>
      <c r="E44" s="2527">
        <f>SUM(E39:E43)</f>
        <v>-100000000</v>
      </c>
      <c r="F44" s="2479"/>
      <c r="H44" s="2579"/>
      <c r="I44" s="2593" t="s">
        <v>6028</v>
      </c>
      <c r="J44" s="2594">
        <f t="shared" ref="J44:O44" si="4">SUM(J39:J43)</f>
        <v>-300000000</v>
      </c>
      <c r="K44" s="2507">
        <f t="shared" si="4"/>
        <v>-300000000</v>
      </c>
      <c r="L44" s="2507">
        <f t="shared" si="4"/>
        <v>-100000000</v>
      </c>
      <c r="M44" s="2507">
        <f t="shared" si="4"/>
        <v>100000000</v>
      </c>
      <c r="N44" s="2507">
        <f t="shared" si="4"/>
        <v>100000000</v>
      </c>
      <c r="O44" s="2507">
        <f t="shared" si="4"/>
        <v>0</v>
      </c>
      <c r="P44" s="2507">
        <v>150000000</v>
      </c>
      <c r="Q44" s="2507">
        <f>SUM(Q39:Q43)</f>
        <v>0</v>
      </c>
      <c r="R44" s="2507">
        <v>0</v>
      </c>
      <c r="S44" s="2507">
        <v>0</v>
      </c>
      <c r="T44" s="2482"/>
      <c r="U44" s="2482"/>
      <c r="V44" s="2482"/>
      <c r="W44" s="2482"/>
      <c r="X44" s="2482"/>
      <c r="Y44" s="2482"/>
      <c r="Z44" s="2482"/>
    </row>
    <row r="45" spans="1:26" ht="16.7" customHeight="1" x14ac:dyDescent="0.2">
      <c r="A45" s="2497">
        <v>37</v>
      </c>
      <c r="B45" s="2502" t="s">
        <v>6343</v>
      </c>
      <c r="C45" s="2601">
        <v>216.1</v>
      </c>
      <c r="D45" s="2527">
        <v>0</v>
      </c>
      <c r="E45" s="2531">
        <f>SUMIF(I:I,A45,L:L)</f>
        <v>116881</v>
      </c>
      <c r="F45" s="2479"/>
      <c r="H45" s="2579"/>
      <c r="I45" s="2593" t="s">
        <v>6030</v>
      </c>
      <c r="J45" s="2594">
        <v>0</v>
      </c>
      <c r="K45" s="2507">
        <v>0</v>
      </c>
      <c r="L45" s="2507">
        <v>116881</v>
      </c>
      <c r="M45" s="2507">
        <v>116881</v>
      </c>
      <c r="N45" s="2507">
        <v>0</v>
      </c>
      <c r="O45" s="2507">
        <v>0</v>
      </c>
      <c r="P45" s="2507">
        <v>40130588</v>
      </c>
      <c r="Q45" s="2507">
        <v>130588</v>
      </c>
      <c r="R45" s="2507">
        <v>0</v>
      </c>
      <c r="S45" s="2507">
        <v>0</v>
      </c>
      <c r="T45" s="2482"/>
      <c r="U45" s="2482"/>
      <c r="V45" s="2482"/>
      <c r="W45" s="2482"/>
      <c r="X45" s="2482"/>
      <c r="Y45" s="2482"/>
      <c r="Z45" s="2482"/>
    </row>
    <row r="46" spans="1:26" ht="16.7" customHeight="1" x14ac:dyDescent="0.2">
      <c r="A46" s="2497">
        <v>38</v>
      </c>
      <c r="B46" s="2502" t="s">
        <v>6344</v>
      </c>
      <c r="C46" s="2509"/>
      <c r="D46" s="2527">
        <f>SUM(D9,D23,D24,D30,D37,D44,D45)-SUM(D17)</f>
        <v>5336726250</v>
      </c>
      <c r="E46" s="2527">
        <f>SUM(E9,E23,E24,E30,E37,E44,E45)-SUM(E17)</f>
        <v>6123094500</v>
      </c>
      <c r="F46" s="2602">
        <f>M46-E46</f>
        <v>-289001838</v>
      </c>
      <c r="H46" s="2579"/>
      <c r="I46" s="2593" t="s">
        <v>6032</v>
      </c>
      <c r="J46" s="2594">
        <f>SUM(J9,J23,J24,J30,J37,J44,J45)-SUM(J17)</f>
        <v>5819816305</v>
      </c>
      <c r="K46" s="2507">
        <f>SUM(K9,K23,K24,K30,K37,K44,K45)-SUM(K17)</f>
        <v>5706008514</v>
      </c>
      <c r="L46" s="2507">
        <f>SUM(L9,L23,L24,L30,L37,L44,L45)-SUM(L17)</f>
        <v>6123094500</v>
      </c>
      <c r="M46" s="2507">
        <f>SUM(M9,M23,M24,M45)-SUM(M17,M30,M37,M44)</f>
        <v>5834092662</v>
      </c>
      <c r="N46" s="2507">
        <f>SUM(N9,N23,N24,N45)-SUM(N17,N30,N37,N44)</f>
        <v>5427601612</v>
      </c>
      <c r="O46" s="2507">
        <f>SUM(O9,O23,O24,O45)-SUM(O17,O30,O37,O44)</f>
        <v>5452119826</v>
      </c>
      <c r="P46" s="2507">
        <v>5328687084</v>
      </c>
      <c r="Q46" s="2507">
        <f>SUM(Q9,Q23,Q24,Q30,Q45)-SUM(Q17,Q37,Q44)</f>
        <v>5286811093</v>
      </c>
      <c r="R46" s="2507">
        <v>4964802027</v>
      </c>
      <c r="S46" s="2507">
        <v>4742992137</v>
      </c>
      <c r="T46" s="2482"/>
      <c r="U46" s="2482"/>
      <c r="V46" s="2482"/>
      <c r="W46" s="2482"/>
      <c r="X46" s="2482"/>
      <c r="Y46" s="2482"/>
      <c r="Z46" s="2482"/>
    </row>
    <row r="47" spans="1:26" ht="16.7" customHeight="1" x14ac:dyDescent="0.2">
      <c r="A47" s="2488"/>
      <c r="B47" s="2512" t="s">
        <v>6345</v>
      </c>
      <c r="C47" s="2592"/>
      <c r="D47" s="2592"/>
      <c r="E47" s="2592"/>
      <c r="F47" s="2479"/>
      <c r="H47" s="2579"/>
      <c r="I47" s="2603"/>
      <c r="J47" s="2554"/>
      <c r="K47" s="2511"/>
      <c r="L47" s="2511"/>
      <c r="M47" s="2511"/>
      <c r="N47" s="2511"/>
      <c r="O47" s="2511"/>
      <c r="P47" s="2511"/>
      <c r="Q47" s="2511"/>
      <c r="R47" s="2511"/>
      <c r="S47" s="2511"/>
      <c r="T47" s="2482"/>
      <c r="U47" s="2482"/>
      <c r="V47" s="2482"/>
      <c r="W47" s="2482"/>
      <c r="X47" s="2482"/>
      <c r="Y47" s="2482"/>
      <c r="Z47" s="2482"/>
    </row>
    <row r="48" spans="1:26" ht="16.7" customHeight="1" x14ac:dyDescent="0.2">
      <c r="A48" s="2497">
        <v>39</v>
      </c>
      <c r="B48" s="2488"/>
      <c r="C48" s="2488"/>
      <c r="D48" s="2488"/>
      <c r="E48" s="2527">
        <f t="shared" ref="E48:E54" si="5">SUMIF(I:I,A48,L:L)</f>
        <v>0</v>
      </c>
      <c r="F48" s="2595">
        <f t="shared" ref="F48:F53" si="6">B48</f>
        <v>0</v>
      </c>
      <c r="H48" s="2579"/>
      <c r="I48" s="2593" t="s">
        <v>6034</v>
      </c>
      <c r="J48" s="2554"/>
      <c r="K48" s="2511"/>
      <c r="L48" s="2511"/>
      <c r="M48" s="2511"/>
      <c r="N48" s="2511"/>
      <c r="O48" s="2511"/>
      <c r="P48" s="2511"/>
      <c r="Q48" s="2511"/>
      <c r="R48" s="2511"/>
      <c r="S48" s="2511"/>
      <c r="T48" s="2482"/>
      <c r="U48" s="2482"/>
      <c r="V48" s="2482"/>
      <c r="W48" s="2482"/>
      <c r="X48" s="2482"/>
      <c r="Y48" s="2482"/>
      <c r="Z48" s="2482"/>
    </row>
    <row r="49" spans="1:26" ht="16.7" customHeight="1" x14ac:dyDescent="0.2">
      <c r="A49" s="2497">
        <v>40</v>
      </c>
      <c r="B49" s="2488"/>
      <c r="C49" s="2488"/>
      <c r="D49" s="2488"/>
      <c r="E49" s="2527">
        <f t="shared" si="5"/>
        <v>0</v>
      </c>
      <c r="F49" s="2595">
        <f t="shared" si="6"/>
        <v>0</v>
      </c>
      <c r="H49" s="2579"/>
      <c r="I49" s="2593" t="s">
        <v>6036</v>
      </c>
      <c r="J49" s="2554"/>
      <c r="K49" s="2511"/>
      <c r="L49" s="2511"/>
      <c r="M49" s="2511"/>
      <c r="N49" s="2511"/>
      <c r="O49" s="2511"/>
      <c r="P49" s="2511"/>
      <c r="Q49" s="2511"/>
      <c r="R49" s="2511"/>
      <c r="S49" s="2511"/>
      <c r="T49" s="2482"/>
      <c r="U49" s="2482"/>
      <c r="V49" s="2482"/>
      <c r="W49" s="2482"/>
      <c r="X49" s="2482"/>
      <c r="Y49" s="2482"/>
      <c r="Z49" s="2482"/>
    </row>
    <row r="50" spans="1:26" ht="16.7" customHeight="1" x14ac:dyDescent="0.2">
      <c r="A50" s="2497">
        <v>41</v>
      </c>
      <c r="B50" s="2509"/>
      <c r="C50" s="2509"/>
      <c r="D50" s="2509"/>
      <c r="E50" s="2527">
        <f t="shared" si="5"/>
        <v>0</v>
      </c>
      <c r="F50" s="2595">
        <f t="shared" si="6"/>
        <v>0</v>
      </c>
      <c r="H50" s="2579"/>
      <c r="I50" s="2593" t="s">
        <v>6038</v>
      </c>
      <c r="J50" s="2604"/>
      <c r="K50" s="2578"/>
      <c r="L50" s="2578"/>
      <c r="M50" s="2578"/>
      <c r="N50" s="2578"/>
      <c r="O50" s="2578"/>
      <c r="P50" s="2578"/>
      <c r="Q50" s="2578"/>
      <c r="R50" s="2578"/>
      <c r="S50" s="2578"/>
      <c r="T50" s="2482"/>
      <c r="U50" s="2482"/>
      <c r="V50" s="2482"/>
      <c r="W50" s="2482"/>
      <c r="X50" s="2482"/>
      <c r="Y50" s="2482"/>
      <c r="Z50" s="2482"/>
    </row>
    <row r="51" spans="1:26" ht="16.7" customHeight="1" x14ac:dyDescent="0.2">
      <c r="A51" s="2497">
        <v>42</v>
      </c>
      <c r="B51" s="2509"/>
      <c r="C51" s="2509"/>
      <c r="D51" s="2509"/>
      <c r="E51" s="2527">
        <f t="shared" si="5"/>
        <v>0</v>
      </c>
      <c r="F51" s="2595">
        <f t="shared" si="6"/>
        <v>0</v>
      </c>
      <c r="H51" s="2579"/>
      <c r="I51" s="2593" t="s">
        <v>6040</v>
      </c>
      <c r="J51" s="2604"/>
      <c r="K51" s="2578"/>
      <c r="L51" s="2578"/>
      <c r="M51" s="2578"/>
      <c r="N51" s="2578"/>
      <c r="O51" s="2578"/>
      <c r="P51" s="2578"/>
      <c r="Q51" s="2578"/>
      <c r="R51" s="2578"/>
      <c r="S51" s="2578"/>
      <c r="T51" s="2482"/>
      <c r="U51" s="2482"/>
      <c r="V51" s="2482"/>
      <c r="W51" s="2482"/>
      <c r="X51" s="2482"/>
      <c r="Y51" s="2482"/>
      <c r="Z51" s="2482"/>
    </row>
    <row r="52" spans="1:26" ht="16.7" customHeight="1" x14ac:dyDescent="0.2">
      <c r="A52" s="2497">
        <v>43</v>
      </c>
      <c r="B52" s="2509"/>
      <c r="C52" s="2509"/>
      <c r="D52" s="2509"/>
      <c r="E52" s="2527">
        <f t="shared" si="5"/>
        <v>0</v>
      </c>
      <c r="F52" s="2595">
        <f t="shared" si="6"/>
        <v>0</v>
      </c>
      <c r="H52" s="2579"/>
      <c r="I52" s="2593" t="s">
        <v>6042</v>
      </c>
      <c r="J52" s="2604"/>
      <c r="K52" s="2578"/>
      <c r="L52" s="2578"/>
      <c r="M52" s="2578"/>
      <c r="N52" s="2578"/>
      <c r="O52" s="2578"/>
      <c r="P52" s="2578"/>
      <c r="Q52" s="2578"/>
      <c r="R52" s="2578"/>
      <c r="S52" s="2578"/>
      <c r="T52" s="2482"/>
      <c r="U52" s="2482"/>
      <c r="V52" s="2482"/>
      <c r="W52" s="2482"/>
      <c r="X52" s="2482"/>
      <c r="Y52" s="2482"/>
      <c r="Z52" s="2482"/>
    </row>
    <row r="53" spans="1:26" ht="16.7" customHeight="1" x14ac:dyDescent="0.2">
      <c r="A53" s="2497">
        <v>44</v>
      </c>
      <c r="B53" s="2509"/>
      <c r="C53" s="2509"/>
      <c r="D53" s="2509"/>
      <c r="E53" s="2527">
        <f t="shared" si="5"/>
        <v>0</v>
      </c>
      <c r="F53" s="2595">
        <f t="shared" si="6"/>
        <v>0</v>
      </c>
      <c r="H53" s="2579"/>
      <c r="I53" s="2593" t="s">
        <v>6044</v>
      </c>
      <c r="J53" s="2604"/>
      <c r="K53" s="2578"/>
      <c r="L53" s="2578"/>
      <c r="M53" s="2578"/>
      <c r="N53" s="2578"/>
      <c r="O53" s="2578"/>
      <c r="P53" s="2578"/>
      <c r="Q53" s="2578"/>
      <c r="R53" s="2578"/>
      <c r="S53" s="2578"/>
      <c r="T53" s="2482"/>
      <c r="U53" s="2482"/>
      <c r="V53" s="2482"/>
      <c r="W53" s="2482"/>
      <c r="X53" s="2482"/>
      <c r="Y53" s="2482"/>
      <c r="Z53" s="2482"/>
    </row>
    <row r="54" spans="1:26" ht="16.7" customHeight="1" x14ac:dyDescent="0.2">
      <c r="A54" s="2497">
        <v>45</v>
      </c>
      <c r="B54" s="2502" t="s">
        <v>6346</v>
      </c>
      <c r="C54" s="2509"/>
      <c r="D54" s="2527">
        <f>SUM(D48:D53)</f>
        <v>0</v>
      </c>
      <c r="E54" s="2527">
        <f t="shared" si="5"/>
        <v>0</v>
      </c>
      <c r="F54" s="2479"/>
      <c r="H54" s="2579"/>
      <c r="I54" s="2593" t="s">
        <v>6046</v>
      </c>
      <c r="J54" s="2605">
        <f t="shared" ref="J54:O54" si="7">SUM(J48:J53)</f>
        <v>0</v>
      </c>
      <c r="K54" s="2606">
        <f t="shared" si="7"/>
        <v>0</v>
      </c>
      <c r="L54" s="2606">
        <f t="shared" si="7"/>
        <v>0</v>
      </c>
      <c r="M54" s="2606">
        <f t="shared" si="7"/>
        <v>0</v>
      </c>
      <c r="N54" s="2606">
        <f t="shared" si="7"/>
        <v>0</v>
      </c>
      <c r="O54" s="2606">
        <f t="shared" si="7"/>
        <v>0</v>
      </c>
      <c r="P54" s="2606">
        <v>0</v>
      </c>
      <c r="Q54" s="2606">
        <f>SUM(Q48:Q53)</f>
        <v>0</v>
      </c>
      <c r="R54" s="2578"/>
      <c r="S54" s="2578"/>
      <c r="T54" s="2482"/>
      <c r="U54" s="2482"/>
      <c r="V54" s="2482"/>
      <c r="W54" s="2482"/>
      <c r="X54" s="2482"/>
      <c r="Y54" s="2482"/>
      <c r="Z54" s="2482"/>
    </row>
    <row r="55" spans="1:26" ht="16.7" customHeight="1" x14ac:dyDescent="0.2">
      <c r="A55" s="2488"/>
      <c r="B55" s="2512" t="s">
        <v>6347</v>
      </c>
      <c r="C55" s="2592"/>
      <c r="D55" s="2592"/>
      <c r="E55" s="2592"/>
      <c r="F55" s="2479"/>
      <c r="H55" s="2579"/>
      <c r="I55" s="2603"/>
      <c r="J55" s="2604"/>
      <c r="K55" s="2578"/>
      <c r="L55" s="2578"/>
      <c r="M55" s="2578"/>
      <c r="N55" s="2578"/>
      <c r="O55" s="2578"/>
      <c r="P55" s="2578"/>
      <c r="Q55" s="2578"/>
      <c r="R55" s="2578"/>
      <c r="S55" s="2578"/>
      <c r="T55" s="2482"/>
      <c r="U55" s="2482"/>
      <c r="V55" s="2482"/>
      <c r="W55" s="2482"/>
      <c r="X55" s="2482"/>
      <c r="Y55" s="2482"/>
      <c r="Z55" s="2482"/>
    </row>
    <row r="56" spans="1:26" ht="16.7" customHeight="1" x14ac:dyDescent="0.2">
      <c r="A56" s="2497">
        <v>46</v>
      </c>
      <c r="B56" s="2502" t="s">
        <v>6348</v>
      </c>
      <c r="C56" s="2509"/>
      <c r="D56" s="2531">
        <v>64399488</v>
      </c>
      <c r="E56" s="2531">
        <f>SUMIF(I:I,A56,L:L)</f>
        <v>65890768</v>
      </c>
      <c r="F56" s="2479"/>
      <c r="H56" s="2579"/>
      <c r="I56" s="2593" t="s">
        <v>6048</v>
      </c>
      <c r="J56" s="2605">
        <v>60804317</v>
      </c>
      <c r="K56" s="2606">
        <v>60804317</v>
      </c>
      <c r="L56" s="2606">
        <v>65890768</v>
      </c>
      <c r="M56" s="2606">
        <v>58665784</v>
      </c>
      <c r="N56" s="2606">
        <v>58665784</v>
      </c>
      <c r="O56" s="2606">
        <v>58665784</v>
      </c>
      <c r="P56" s="2606">
        <v>58665784</v>
      </c>
      <c r="Q56" s="2606">
        <v>53992017</v>
      </c>
      <c r="R56" s="2606">
        <v>53992017</v>
      </c>
      <c r="S56" s="2606">
        <v>53992017</v>
      </c>
      <c r="T56" s="2482"/>
      <c r="U56" s="2482"/>
      <c r="V56" s="2482"/>
      <c r="W56" s="2482"/>
      <c r="X56" s="2482"/>
      <c r="Y56" s="2482"/>
      <c r="Z56" s="2482"/>
    </row>
    <row r="57" spans="1:26" ht="16.7" customHeight="1" x14ac:dyDescent="0.2">
      <c r="A57" s="2497">
        <v>47</v>
      </c>
      <c r="B57" s="2502" t="s">
        <v>6349</v>
      </c>
      <c r="C57" s="2509"/>
      <c r="D57" s="2527">
        <f>SUM(D54,D56)</f>
        <v>64399488</v>
      </c>
      <c r="E57" s="2527">
        <f>SUMIF(I:I,A57,L:L)</f>
        <v>65890768</v>
      </c>
      <c r="F57" s="2479"/>
      <c r="H57" s="2579"/>
      <c r="I57" s="2593" t="s">
        <v>6050</v>
      </c>
      <c r="J57" s="2605">
        <f t="shared" ref="J57:O57" si="8">SUM(J54,J56)</f>
        <v>60804317</v>
      </c>
      <c r="K57" s="2606">
        <f t="shared" si="8"/>
        <v>60804317</v>
      </c>
      <c r="L57" s="2606">
        <f t="shared" si="8"/>
        <v>65890768</v>
      </c>
      <c r="M57" s="2606">
        <f t="shared" si="8"/>
        <v>58665784</v>
      </c>
      <c r="N57" s="2606">
        <f t="shared" si="8"/>
        <v>58665784</v>
      </c>
      <c r="O57" s="2606">
        <f t="shared" si="8"/>
        <v>58665784</v>
      </c>
      <c r="P57" s="2606">
        <v>58665784</v>
      </c>
      <c r="Q57" s="2606">
        <f>SUM(Q54,Q56)</f>
        <v>53992017</v>
      </c>
      <c r="R57" s="2606">
        <v>53992017</v>
      </c>
      <c r="S57" s="2606">
        <v>53992017</v>
      </c>
      <c r="T57" s="2482"/>
      <c r="U57" s="2482"/>
      <c r="V57" s="2482"/>
      <c r="W57" s="2482"/>
      <c r="X57" s="2482"/>
      <c r="Y57" s="2482"/>
      <c r="Z57" s="2482"/>
    </row>
    <row r="58" spans="1:26" ht="16.7" customHeight="1" x14ac:dyDescent="0.2">
      <c r="A58" s="2497">
        <v>48</v>
      </c>
      <c r="B58" s="2502" t="s">
        <v>6350</v>
      </c>
      <c r="C58" s="2509"/>
      <c r="D58" s="2527">
        <f>D46+D57</f>
        <v>5401125738</v>
      </c>
      <c r="E58" s="2527">
        <f>E46+E57</f>
        <v>6188985268</v>
      </c>
      <c r="F58" s="2602">
        <f>E57-D30</f>
        <v>64399488</v>
      </c>
      <c r="H58" s="2579"/>
      <c r="I58" s="2593" t="s">
        <v>6052</v>
      </c>
      <c r="J58" s="2605">
        <f t="shared" ref="J58:O58" si="9">J46+J57</f>
        <v>5880620622</v>
      </c>
      <c r="K58" s="2606">
        <f t="shared" si="9"/>
        <v>5766812831</v>
      </c>
      <c r="L58" s="2606">
        <f t="shared" si="9"/>
        <v>6188985268</v>
      </c>
      <c r="M58" s="2606">
        <f t="shared" si="9"/>
        <v>5892758446</v>
      </c>
      <c r="N58" s="2606">
        <f t="shared" si="9"/>
        <v>5486267396</v>
      </c>
      <c r="O58" s="2606">
        <f t="shared" si="9"/>
        <v>5510785610</v>
      </c>
      <c r="P58" s="2606">
        <v>5387352868</v>
      </c>
      <c r="Q58" s="2606">
        <f>Q46+Q57</f>
        <v>5340803110</v>
      </c>
      <c r="R58" s="2606">
        <v>5018794044</v>
      </c>
      <c r="S58" s="2606">
        <v>4796984154</v>
      </c>
      <c r="T58" s="2482"/>
      <c r="U58" s="2482"/>
      <c r="V58" s="2482"/>
      <c r="W58" s="2482"/>
      <c r="X58" s="2482"/>
      <c r="Y58" s="2482"/>
      <c r="Z58" s="2482"/>
    </row>
    <row r="59" spans="1:26" ht="16.7" customHeight="1" x14ac:dyDescent="0.2">
      <c r="A59" s="2488"/>
      <c r="B59" s="2512" t="s">
        <v>6351</v>
      </c>
      <c r="C59" s="2592"/>
      <c r="D59" s="2592"/>
      <c r="E59" s="2592"/>
      <c r="F59" s="2479"/>
      <c r="H59" s="2579"/>
      <c r="I59" s="2603"/>
      <c r="J59" s="2604"/>
      <c r="K59" s="2578"/>
      <c r="L59" s="2578"/>
      <c r="M59" s="2578"/>
      <c r="N59" s="2578"/>
      <c r="O59" s="2578"/>
      <c r="P59" s="2578"/>
      <c r="Q59" s="2578"/>
      <c r="R59" s="2578"/>
      <c r="S59" s="2578"/>
      <c r="T59" s="2482"/>
      <c r="U59" s="2482"/>
      <c r="V59" s="2482"/>
      <c r="W59" s="2482"/>
      <c r="X59" s="2482"/>
      <c r="Y59" s="2482"/>
      <c r="Z59" s="2482"/>
    </row>
    <row r="60" spans="1:26" ht="16.7" customHeight="1" x14ac:dyDescent="0.2">
      <c r="A60" s="2488"/>
      <c r="B60" s="2512" t="s">
        <v>6352</v>
      </c>
      <c r="C60" s="2592"/>
      <c r="D60" s="2592"/>
      <c r="E60" s="2592"/>
      <c r="F60" s="2479"/>
      <c r="H60" s="2579"/>
      <c r="I60" s="2603"/>
      <c r="J60" s="2604"/>
      <c r="K60" s="2578"/>
      <c r="L60" s="2578"/>
      <c r="M60" s="2578"/>
      <c r="N60" s="2578"/>
      <c r="O60" s="2578"/>
      <c r="P60" s="2578"/>
      <c r="Q60" s="2578"/>
      <c r="R60" s="2578"/>
      <c r="S60" s="2578"/>
      <c r="T60" s="2482"/>
      <c r="U60" s="2482"/>
      <c r="V60" s="2482"/>
      <c r="W60" s="2482"/>
      <c r="X60" s="2482"/>
      <c r="Y60" s="2482"/>
      <c r="Z60" s="2482"/>
    </row>
    <row r="61" spans="1:26" ht="16.7" customHeight="1" x14ac:dyDescent="0.2">
      <c r="A61" s="2497">
        <v>49</v>
      </c>
      <c r="B61" s="2502" t="s">
        <v>6353</v>
      </c>
      <c r="C61" s="2509"/>
      <c r="D61" s="2527">
        <v>80131357</v>
      </c>
      <c r="E61" s="2527">
        <f>SUMIF(I:I,A61,L:L)</f>
        <v>61817828</v>
      </c>
      <c r="F61" s="2479"/>
      <c r="H61" s="2579"/>
      <c r="I61" s="2593" t="s">
        <v>6054</v>
      </c>
      <c r="J61" s="2605">
        <v>0</v>
      </c>
      <c r="K61" s="2606">
        <v>0</v>
      </c>
      <c r="L61" s="2606">
        <v>61817828</v>
      </c>
      <c r="M61" s="2606">
        <v>0</v>
      </c>
      <c r="N61" s="2606">
        <v>0</v>
      </c>
      <c r="O61" s="2606">
        <v>0</v>
      </c>
      <c r="P61" s="2606">
        <v>83092814</v>
      </c>
      <c r="Q61" s="2578"/>
      <c r="R61" s="2606">
        <v>0</v>
      </c>
      <c r="S61" s="2606">
        <v>0</v>
      </c>
      <c r="T61" s="2482"/>
      <c r="U61" s="2482"/>
      <c r="V61" s="2482"/>
      <c r="W61" s="2482"/>
      <c r="X61" s="2482"/>
      <c r="Y61" s="2482"/>
      <c r="Z61" s="2482"/>
    </row>
    <row r="62" spans="1:26" ht="16.7" customHeight="1" x14ac:dyDescent="0.2">
      <c r="A62" s="2497">
        <v>50</v>
      </c>
      <c r="B62" s="2502" t="s">
        <v>6354</v>
      </c>
      <c r="C62" s="2509"/>
      <c r="D62" s="2527">
        <v>20109095</v>
      </c>
      <c r="E62" s="2527">
        <f>SUMIF(I:I,A62,L:L)</f>
        <v>18430410</v>
      </c>
      <c r="F62" s="2479"/>
      <c r="H62" s="2579"/>
      <c r="I62" s="2593" t="s">
        <v>6056</v>
      </c>
      <c r="J62" s="2604"/>
      <c r="K62" s="2578"/>
      <c r="L62" s="2606">
        <v>18430410</v>
      </c>
      <c r="M62" s="2578"/>
      <c r="N62" s="2578"/>
      <c r="O62" s="2578"/>
      <c r="P62" s="2606">
        <v>18855602</v>
      </c>
      <c r="Q62" s="2578"/>
      <c r="R62" s="2606">
        <v>0</v>
      </c>
      <c r="S62" s="2606">
        <v>0</v>
      </c>
      <c r="T62" s="2482"/>
      <c r="U62" s="2482"/>
      <c r="V62" s="2482"/>
      <c r="W62" s="2482"/>
      <c r="X62" s="2482"/>
      <c r="Y62" s="2482"/>
      <c r="Z62" s="2482"/>
    </row>
    <row r="63" spans="1:26" ht="16.7" customHeight="1" x14ac:dyDescent="0.2">
      <c r="A63" s="2497">
        <v>51</v>
      </c>
      <c r="B63" s="2502" t="s">
        <v>6355</v>
      </c>
      <c r="C63" s="2509"/>
      <c r="D63" s="2559"/>
      <c r="E63" s="2527">
        <f>SUMIF(I:I,A63,L:L)</f>
        <v>0</v>
      </c>
      <c r="F63" s="2479"/>
      <c r="H63" s="2579"/>
      <c r="I63" s="2593" t="s">
        <v>6059</v>
      </c>
      <c r="J63" s="2604"/>
      <c r="K63" s="2578"/>
      <c r="L63" s="2578"/>
      <c r="M63" s="2578"/>
      <c r="N63" s="2578"/>
      <c r="O63" s="2578"/>
      <c r="P63" s="2578"/>
      <c r="Q63" s="2578"/>
      <c r="R63" s="2578"/>
      <c r="S63" s="2578"/>
      <c r="T63" s="2482"/>
      <c r="U63" s="2482"/>
      <c r="V63" s="2482"/>
      <c r="W63" s="2482"/>
      <c r="X63" s="2482"/>
      <c r="Y63" s="2482"/>
      <c r="Z63" s="2482"/>
    </row>
    <row r="64" spans="1:26" ht="16.7" customHeight="1" x14ac:dyDescent="0.2">
      <c r="A64" s="2497">
        <v>52</v>
      </c>
      <c r="B64" s="2509" t="s">
        <v>6356</v>
      </c>
      <c r="C64" s="2509"/>
      <c r="D64" s="2527">
        <v>0</v>
      </c>
      <c r="E64" s="2527">
        <f>SUMIF(I:I,A64,L:L)</f>
        <v>-116881</v>
      </c>
      <c r="F64" s="2479" t="str">
        <f>B64</f>
        <v>Transfers to/from Unappropriated Retained Earnings (Account 216)</v>
      </c>
      <c r="H64" s="2579"/>
      <c r="I64" s="2593" t="s">
        <v>6061</v>
      </c>
      <c r="J64" s="2605">
        <v>0</v>
      </c>
      <c r="K64" s="2606">
        <v>0</v>
      </c>
      <c r="L64" s="2606">
        <v>-116881</v>
      </c>
      <c r="M64" s="2578"/>
      <c r="N64" s="2578"/>
      <c r="O64" s="2578"/>
      <c r="P64" s="2606">
        <v>-40130588</v>
      </c>
      <c r="Q64" s="2578"/>
      <c r="R64" s="2606">
        <v>0</v>
      </c>
      <c r="S64" s="2606">
        <v>0</v>
      </c>
      <c r="T64" s="2482"/>
      <c r="U64" s="2482"/>
      <c r="V64" s="2482"/>
      <c r="W64" s="2482"/>
      <c r="X64" s="2482"/>
      <c r="Y64" s="2482"/>
      <c r="Z64" s="2482"/>
    </row>
    <row r="65" spans="1:26" ht="16.7" customHeight="1" x14ac:dyDescent="0.2">
      <c r="A65" s="2497">
        <v>53</v>
      </c>
      <c r="B65" s="2502" t="s">
        <v>6357</v>
      </c>
      <c r="C65" s="2509"/>
      <c r="D65" s="2527">
        <f>SUM(D61:D64)</f>
        <v>100240452</v>
      </c>
      <c r="E65" s="2527">
        <f>SUMIF(I:I,A65,L:L)</f>
        <v>80131357</v>
      </c>
      <c r="F65" s="2479"/>
      <c r="H65" s="2579"/>
      <c r="I65" s="2593" t="s">
        <v>6063</v>
      </c>
      <c r="J65" s="2605">
        <f t="shared" ref="J65:O65" si="10">SUM(J61:J64)</f>
        <v>0</v>
      </c>
      <c r="K65" s="2606">
        <f t="shared" si="10"/>
        <v>0</v>
      </c>
      <c r="L65" s="2606">
        <f t="shared" si="10"/>
        <v>80131357</v>
      </c>
      <c r="M65" s="2606">
        <f t="shared" si="10"/>
        <v>0</v>
      </c>
      <c r="N65" s="2606">
        <f t="shared" si="10"/>
        <v>0</v>
      </c>
      <c r="O65" s="2606">
        <f t="shared" si="10"/>
        <v>0</v>
      </c>
      <c r="P65" s="2606">
        <v>61817828</v>
      </c>
      <c r="Q65" s="2578"/>
      <c r="R65" s="2606">
        <v>0</v>
      </c>
      <c r="S65" s="2606">
        <v>0</v>
      </c>
      <c r="T65" s="2482"/>
      <c r="U65" s="2482"/>
      <c r="V65" s="2482"/>
      <c r="W65" s="2482"/>
      <c r="X65" s="2482"/>
      <c r="Y65" s="2482"/>
      <c r="Z65" s="2482"/>
    </row>
    <row r="66" spans="1:26" ht="15" customHeight="1" x14ac:dyDescent="0.2">
      <c r="A66" s="2488"/>
      <c r="B66" s="2488"/>
      <c r="C66" s="2488"/>
      <c r="D66" s="2607"/>
      <c r="E66" s="2488"/>
      <c r="F66" s="2479"/>
      <c r="H66" s="2579"/>
      <c r="I66" s="2578"/>
      <c r="J66" s="2578"/>
      <c r="K66" s="2578"/>
      <c r="L66" s="2578"/>
      <c r="M66" s="2578"/>
      <c r="N66" s="2578"/>
      <c r="O66" s="2578"/>
      <c r="P66" s="2578"/>
      <c r="Q66" s="2482"/>
      <c r="R66" s="2482"/>
      <c r="S66" s="2482"/>
      <c r="T66" s="2482"/>
      <c r="U66" s="2482"/>
      <c r="V66" s="2482"/>
      <c r="W66" s="2482"/>
      <c r="X66" s="2482"/>
      <c r="Y66" s="2482"/>
      <c r="Z66" s="2482"/>
    </row>
    <row r="67" spans="1:26" ht="15" customHeight="1" x14ac:dyDescent="0.2">
      <c r="A67" s="2516"/>
      <c r="B67" s="2516"/>
      <c r="C67" s="2516"/>
      <c r="D67" s="2516"/>
      <c r="E67" s="2516"/>
      <c r="H67" s="2579"/>
      <c r="I67" s="2578"/>
      <c r="J67" s="2578"/>
      <c r="K67" s="2578"/>
      <c r="L67" s="2578"/>
      <c r="M67" s="2578"/>
      <c r="N67" s="2578"/>
      <c r="O67" s="2578"/>
      <c r="P67" s="2578"/>
      <c r="Q67" s="2482"/>
      <c r="R67" s="2482"/>
      <c r="S67" s="2482"/>
      <c r="T67" s="2482"/>
      <c r="U67" s="2482"/>
      <c r="V67" s="2482"/>
      <c r="W67" s="2482"/>
      <c r="X67" s="2482"/>
      <c r="Y67" s="2482"/>
      <c r="Z67" s="2482"/>
    </row>
    <row r="68" spans="1:26" ht="15" customHeight="1" x14ac:dyDescent="0.2">
      <c r="H68" s="2579"/>
      <c r="I68" s="2578"/>
      <c r="J68" s="2578"/>
      <c r="K68" s="2578"/>
      <c r="L68" s="2578"/>
      <c r="M68" s="2578"/>
      <c r="N68" s="2578"/>
      <c r="O68" s="2578"/>
      <c r="P68" s="2578"/>
      <c r="Q68" s="2482"/>
      <c r="R68" s="2482"/>
      <c r="S68" s="2482"/>
      <c r="T68" s="2482"/>
      <c r="U68" s="2482"/>
      <c r="V68" s="2482"/>
      <c r="W68" s="2482"/>
      <c r="X68" s="2482"/>
      <c r="Y68" s="2482"/>
      <c r="Z68" s="2482"/>
    </row>
    <row r="69" spans="1:26" ht="15" customHeight="1" x14ac:dyDescent="0.2">
      <c r="H69" s="2579"/>
      <c r="I69" s="2578"/>
      <c r="J69" s="2578"/>
      <c r="K69" s="2578"/>
      <c r="L69" s="2578"/>
      <c r="M69" s="2578"/>
      <c r="N69" s="2578"/>
      <c r="O69" s="2578"/>
      <c r="P69" s="2578"/>
      <c r="Q69" s="2482"/>
      <c r="R69" s="2482"/>
      <c r="S69" s="2482"/>
      <c r="T69" s="2482"/>
      <c r="U69" s="2482"/>
      <c r="V69" s="2482"/>
      <c r="W69" s="2482"/>
      <c r="X69" s="2482"/>
      <c r="Y69" s="2482"/>
      <c r="Z69" s="2482"/>
    </row>
    <row r="70" spans="1:26" x14ac:dyDescent="0.2">
      <c r="H70" s="2608"/>
    </row>
  </sheetData>
  <mergeCells count="3">
    <mergeCell ref="A3:E3"/>
    <mergeCell ref="A4:E4"/>
    <mergeCell ref="I4:L4"/>
  </mergeCells>
  <pageMargins left="0.75" right="0.75" top="1" bottom="1" header="0.5" footer="0.5"/>
  <customProperties>
    <customPr name="_pios_id" r:id="rId1"/>
  </customProperties>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FD432-778D-40A5-B3A6-7B27D3B6BED3}">
  <sheetPr codeName="Sheet44"/>
  <dimension ref="A1:W120"/>
  <sheetViews>
    <sheetView showRuler="0" workbookViewId="0">
      <selection activeCell="O201" sqref="O201"/>
    </sheetView>
  </sheetViews>
  <sheetFormatPr defaultColWidth="11.5" defaultRowHeight="12.75" x14ac:dyDescent="0.2"/>
  <cols>
    <col min="1" max="1" width="9.625" style="1953" customWidth="1"/>
    <col min="2" max="2" width="55.875" style="1953" customWidth="1"/>
    <col min="3" max="4" width="22.625" style="1953" customWidth="1"/>
    <col min="5" max="6" width="11.5" style="1953"/>
    <col min="7" max="7" width="0" style="1953" hidden="1" customWidth="1"/>
    <col min="8" max="8" width="4.375" style="1953" hidden="1" customWidth="1"/>
    <col min="9" max="15" width="14.125" style="1953" hidden="1" customWidth="1"/>
    <col min="16" max="16" width="12.125" style="1953" hidden="1" customWidth="1"/>
    <col min="17" max="17" width="13.5" style="1953" hidden="1" customWidth="1"/>
    <col min="18" max="18" width="48.5" style="1953" hidden="1" customWidth="1"/>
    <col min="19" max="23" width="0" style="1953" hidden="1" customWidth="1"/>
    <col min="24" max="16384" width="11.5" style="1953"/>
  </cols>
  <sheetData>
    <row r="1" spans="1:23" ht="16.7" customHeight="1" x14ac:dyDescent="0.2">
      <c r="A1" s="2609" t="s">
        <v>97</v>
      </c>
      <c r="C1" s="2478" t="s">
        <v>5937</v>
      </c>
      <c r="D1" s="2479"/>
      <c r="G1" s="2577"/>
      <c r="H1" s="2578"/>
      <c r="I1" s="2511"/>
      <c r="J1" s="2511"/>
      <c r="K1" s="2511"/>
      <c r="L1" s="2511"/>
      <c r="M1" s="2511"/>
      <c r="N1" s="2511"/>
      <c r="O1" s="2511"/>
      <c r="P1" s="2511"/>
      <c r="Q1" s="2482"/>
      <c r="R1" s="2482"/>
      <c r="S1" s="2482"/>
      <c r="T1" s="2482"/>
      <c r="U1" s="2482"/>
      <c r="V1" s="2482"/>
      <c r="W1" s="2482"/>
    </row>
    <row r="2" spans="1:23" ht="16.7" customHeight="1" x14ac:dyDescent="0.2">
      <c r="C2" s="2483"/>
      <c r="G2" s="2579"/>
      <c r="H2" s="2578"/>
      <c r="I2" s="2511"/>
      <c r="J2" s="2511"/>
      <c r="K2" s="2511"/>
      <c r="L2" s="2511"/>
      <c r="M2" s="2511"/>
      <c r="N2" s="2511"/>
      <c r="O2" s="2511"/>
      <c r="P2" s="2511"/>
      <c r="Q2" s="2482"/>
      <c r="R2" s="2482"/>
      <c r="S2" s="2482"/>
      <c r="T2" s="2482"/>
      <c r="U2" s="2482"/>
      <c r="V2" s="2482"/>
      <c r="W2" s="2482"/>
    </row>
    <row r="3" spans="1:23" ht="16.7" customHeight="1" x14ac:dyDescent="0.2">
      <c r="A3" s="3882" t="s">
        <v>6358</v>
      </c>
      <c r="B3" s="3883"/>
      <c r="C3" s="3883"/>
      <c r="D3" s="3884"/>
      <c r="E3" s="2479"/>
      <c r="G3" s="2579"/>
      <c r="H3" s="2578"/>
      <c r="I3" s="2511"/>
      <c r="J3" s="2511"/>
      <c r="K3" s="2511"/>
      <c r="L3" s="2511"/>
      <c r="M3" s="2511"/>
      <c r="N3" s="2511"/>
      <c r="O3" s="2511"/>
      <c r="P3" s="2511"/>
      <c r="Q3" s="2482"/>
      <c r="R3" s="2482"/>
      <c r="S3" s="2482"/>
      <c r="T3" s="2482"/>
      <c r="U3" s="2482"/>
      <c r="V3" s="2482"/>
      <c r="W3" s="2482"/>
    </row>
    <row r="4" spans="1:23" ht="80.099999999999994" customHeight="1" x14ac:dyDescent="0.2">
      <c r="A4" s="3885" t="s">
        <v>6359</v>
      </c>
      <c r="B4" s="3886"/>
      <c r="C4" s="3886"/>
      <c r="D4" s="3887"/>
      <c r="E4" s="2479"/>
      <c r="G4" s="2580" t="s">
        <v>6320</v>
      </c>
      <c r="H4" s="3888" t="s">
        <v>5938</v>
      </c>
      <c r="I4" s="3888"/>
      <c r="J4" s="3888"/>
      <c r="K4" s="3888"/>
      <c r="L4" s="3888"/>
      <c r="M4" s="3888"/>
      <c r="N4" s="3888"/>
      <c r="O4" s="3888"/>
      <c r="P4" s="2511"/>
      <c r="Q4" s="2482"/>
      <c r="R4" s="2482"/>
      <c r="S4" s="2482"/>
      <c r="T4" s="2482"/>
      <c r="U4" s="2482"/>
      <c r="V4" s="2482"/>
      <c r="W4" s="2482"/>
    </row>
    <row r="5" spans="1:23" ht="27.6" customHeight="1" x14ac:dyDescent="0.2">
      <c r="A5" s="2581" t="s">
        <v>6360</v>
      </c>
      <c r="B5" s="2581" t="s">
        <v>6361</v>
      </c>
      <c r="C5" s="2581" t="s">
        <v>6362</v>
      </c>
      <c r="D5" s="2581" t="s">
        <v>6363</v>
      </c>
      <c r="E5" s="2479"/>
      <c r="G5" s="2611"/>
      <c r="H5" s="2578"/>
      <c r="I5" s="2511"/>
      <c r="J5" s="2511"/>
      <c r="K5" s="2511"/>
      <c r="L5" s="2511"/>
      <c r="M5" s="2511"/>
      <c r="N5" s="2511"/>
      <c r="O5" s="2511"/>
      <c r="P5" s="2511"/>
      <c r="Q5" s="2482"/>
      <c r="R5" s="2482"/>
      <c r="S5" s="2482"/>
      <c r="T5" s="2482"/>
      <c r="U5" s="2482"/>
      <c r="V5" s="2482"/>
      <c r="W5" s="2482"/>
    </row>
    <row r="6" spans="1:23" ht="12.6" customHeight="1" x14ac:dyDescent="0.2">
      <c r="A6" s="2585"/>
      <c r="B6" s="2586"/>
      <c r="C6" s="2587">
        <v>45291</v>
      </c>
      <c r="D6" s="2587">
        <v>44926</v>
      </c>
      <c r="E6" s="2479"/>
      <c r="G6" s="2611"/>
      <c r="H6" s="2578"/>
      <c r="I6" s="2511"/>
      <c r="J6" s="2511"/>
      <c r="K6" s="2511"/>
      <c r="L6" s="2511"/>
      <c r="M6" s="2511"/>
      <c r="N6" s="2511"/>
      <c r="O6" s="2511"/>
      <c r="P6" s="2511"/>
      <c r="Q6" s="2482"/>
      <c r="R6" s="2482"/>
      <c r="S6" s="2482"/>
      <c r="T6" s="2482"/>
      <c r="U6" s="2482"/>
      <c r="V6" s="2482"/>
      <c r="W6" s="2482"/>
    </row>
    <row r="7" spans="1:23" ht="16.7" customHeight="1" x14ac:dyDescent="0.2">
      <c r="A7" s="2588"/>
      <c r="B7" s="2589" t="s">
        <v>5949</v>
      </c>
      <c r="C7" s="2589" t="s">
        <v>5950</v>
      </c>
      <c r="D7" s="2589" t="s">
        <v>5951</v>
      </c>
      <c r="E7" s="2479" t="s">
        <v>6324</v>
      </c>
      <c r="G7" s="2577"/>
      <c r="H7" s="2612" t="s">
        <v>6133</v>
      </c>
      <c r="I7" s="2482" t="s">
        <v>6364</v>
      </c>
      <c r="J7" s="2482" t="s">
        <v>6365</v>
      </c>
      <c r="K7" s="2482" t="s">
        <v>6366</v>
      </c>
      <c r="L7" s="2482" t="s">
        <v>6367</v>
      </c>
      <c r="M7" s="2482" t="s">
        <v>6368</v>
      </c>
      <c r="N7" s="2482" t="s">
        <v>6369</v>
      </c>
      <c r="O7" s="2482" t="s">
        <v>6370</v>
      </c>
      <c r="P7" s="2482"/>
      <c r="Q7" s="2482"/>
      <c r="R7" s="2482"/>
      <c r="S7" s="2482"/>
      <c r="T7" s="2482"/>
      <c r="U7" s="2482"/>
      <c r="V7" s="2482"/>
      <c r="W7" s="2482"/>
    </row>
    <row r="8" spans="1:23" ht="16.7" customHeight="1" x14ac:dyDescent="0.2">
      <c r="A8" s="2497">
        <v>1</v>
      </c>
      <c r="B8" s="2512" t="s">
        <v>6371</v>
      </c>
      <c r="C8" s="2592"/>
      <c r="D8" s="2592"/>
      <c r="E8" s="2479"/>
      <c r="G8" s="2579"/>
      <c r="H8" s="2613" t="s">
        <v>6139</v>
      </c>
      <c r="I8" s="2511"/>
      <c r="J8" s="2511"/>
      <c r="K8" s="2511"/>
      <c r="L8" s="2511"/>
      <c r="M8" s="2511"/>
      <c r="N8" s="2511"/>
      <c r="O8" s="2511"/>
      <c r="P8" s="2511"/>
      <c r="Q8" s="2511"/>
      <c r="R8" s="2482"/>
      <c r="S8" s="2482"/>
      <c r="T8" s="2482"/>
      <c r="U8" s="2482"/>
      <c r="V8" s="2482"/>
      <c r="W8" s="2482"/>
    </row>
    <row r="9" spans="1:23" ht="16.7" customHeight="1" x14ac:dyDescent="0.2">
      <c r="A9" s="2497">
        <v>2</v>
      </c>
      <c r="B9" s="2502" t="s">
        <v>6372</v>
      </c>
      <c r="C9" s="2530">
        <v>-467588533</v>
      </c>
      <c r="D9" s="2530">
        <f>SUMIF(H:H,A9,L:L)</f>
        <v>920107831</v>
      </c>
      <c r="E9" s="2479"/>
      <c r="G9" s="2579"/>
      <c r="H9" s="2593" t="s">
        <v>5957</v>
      </c>
      <c r="I9" s="2594">
        <v>-666141350</v>
      </c>
      <c r="J9" s="2507">
        <v>-14047945</v>
      </c>
      <c r="K9" s="2507">
        <v>-120102375</v>
      </c>
      <c r="L9" s="2507">
        <v>920107831</v>
      </c>
      <c r="M9" s="2507">
        <v>621215723</v>
      </c>
      <c r="N9" s="2507">
        <v>212389400</v>
      </c>
      <c r="O9" s="2507">
        <v>130083953</v>
      </c>
      <c r="P9" s="2511"/>
      <c r="Q9" s="2511"/>
      <c r="R9" s="2482"/>
      <c r="S9" s="2482"/>
      <c r="T9" s="2482"/>
      <c r="U9" s="2482"/>
      <c r="V9" s="2482"/>
      <c r="W9" s="2482"/>
    </row>
    <row r="10" spans="1:23" ht="16.7" customHeight="1" x14ac:dyDescent="0.2">
      <c r="A10" s="2497">
        <v>3</v>
      </c>
      <c r="B10" s="2512" t="s">
        <v>6373</v>
      </c>
      <c r="C10" s="2592"/>
      <c r="D10" s="2592"/>
      <c r="E10" s="2479"/>
      <c r="G10" s="2579"/>
      <c r="H10" s="2593" t="s">
        <v>5959</v>
      </c>
      <c r="I10" s="2554"/>
      <c r="J10" s="2511"/>
      <c r="K10" s="2511"/>
      <c r="L10" s="2511"/>
      <c r="M10" s="2511"/>
      <c r="N10" s="2511"/>
      <c r="O10" s="2511"/>
      <c r="P10" s="2511"/>
      <c r="Q10" s="2511"/>
      <c r="R10" s="2482"/>
      <c r="S10" s="2482"/>
      <c r="T10" s="2482"/>
      <c r="U10" s="2482"/>
      <c r="V10" s="2482"/>
      <c r="W10" s="2482"/>
    </row>
    <row r="11" spans="1:23" ht="16.7" customHeight="1" x14ac:dyDescent="0.2">
      <c r="A11" s="2497">
        <v>4</v>
      </c>
      <c r="B11" s="2512" t="s">
        <v>6374</v>
      </c>
      <c r="C11" s="2531">
        <v>1049255663</v>
      </c>
      <c r="D11" s="2530">
        <f>SUMIF(H:H,A11,L:L)</f>
        <v>1041278061</v>
      </c>
      <c r="E11" s="2479"/>
      <c r="G11" s="2579"/>
      <c r="H11" s="2593" t="s">
        <v>5961</v>
      </c>
      <c r="I11" s="2594">
        <v>785553838</v>
      </c>
      <c r="J11" s="2507">
        <v>519791503</v>
      </c>
      <c r="K11" s="2507">
        <v>259799848</v>
      </c>
      <c r="L11" s="2507">
        <v>1041278061</v>
      </c>
      <c r="M11" s="2507">
        <v>777230433</v>
      </c>
      <c r="N11" s="2507">
        <v>519889467</v>
      </c>
      <c r="O11" s="2507">
        <v>260722697</v>
      </c>
      <c r="P11" s="2511"/>
      <c r="Q11" s="2511"/>
      <c r="R11" s="2482"/>
      <c r="S11" s="2482"/>
      <c r="T11" s="2482"/>
      <c r="U11" s="2482"/>
      <c r="V11" s="2482"/>
      <c r="W11" s="2482"/>
    </row>
    <row r="12" spans="1:23" ht="16.7" customHeight="1" x14ac:dyDescent="0.2">
      <c r="A12" s="2497">
        <v>5</v>
      </c>
      <c r="B12" s="2502" t="s">
        <v>6375</v>
      </c>
      <c r="C12" s="2559"/>
      <c r="D12" s="2614"/>
      <c r="E12" s="2479" t="str">
        <f t="shared" ref="E12:E17" si="0">B12</f>
        <v>Amortization:</v>
      </c>
      <c r="G12" s="2579"/>
      <c r="H12" s="2593" t="s">
        <v>5963</v>
      </c>
      <c r="I12" s="2554"/>
      <c r="J12" s="2511"/>
      <c r="K12" s="2511"/>
      <c r="L12" s="2511"/>
      <c r="M12" s="2511"/>
      <c r="N12" s="2511"/>
      <c r="O12" s="2511"/>
      <c r="P12" s="2511"/>
      <c r="Q12" s="2511"/>
      <c r="R12" s="2482"/>
      <c r="S12" s="2482"/>
      <c r="T12" s="2482"/>
      <c r="U12" s="2482"/>
      <c r="V12" s="2482"/>
      <c r="W12" s="2482"/>
    </row>
    <row r="13" spans="1:23" ht="16.7" customHeight="1" x14ac:dyDescent="0.2">
      <c r="A13" s="2615">
        <v>5.0999999999999996</v>
      </c>
      <c r="B13" s="2502" t="s">
        <v>6376</v>
      </c>
      <c r="C13" s="2527">
        <v>64063509</v>
      </c>
      <c r="D13" s="2530">
        <f>SUMIF(H:H,A13,L:L)</f>
        <v>66269397</v>
      </c>
      <c r="E13" s="2479" t="str">
        <f t="shared" si="0"/>
        <v xml:space="preserve">  Amortization of software and other intangibles</v>
      </c>
      <c r="G13" s="2579"/>
      <c r="H13" s="2593" t="s">
        <v>6377</v>
      </c>
      <c r="I13" s="2594">
        <v>47746614</v>
      </c>
      <c r="J13" s="2507">
        <v>31717337</v>
      </c>
      <c r="K13" s="2507">
        <v>15970658</v>
      </c>
      <c r="L13" s="2507">
        <v>66269397</v>
      </c>
      <c r="M13" s="2507">
        <v>48786333</v>
      </c>
      <c r="N13" s="2507">
        <v>31955081</v>
      </c>
      <c r="O13" s="2507">
        <v>15859071</v>
      </c>
      <c r="P13" s="2511"/>
      <c r="Q13" s="2511"/>
      <c r="R13" s="2482"/>
      <c r="S13" s="2482"/>
      <c r="T13" s="2482"/>
      <c r="U13" s="2482"/>
      <c r="V13" s="2482"/>
      <c r="W13" s="2482"/>
    </row>
    <row r="14" spans="1:23" ht="16.7" customHeight="1" x14ac:dyDescent="0.2">
      <c r="A14" s="2615">
        <v>5.2</v>
      </c>
      <c r="B14" s="2502" t="s">
        <v>6378</v>
      </c>
      <c r="C14" s="2527">
        <v>376987</v>
      </c>
      <c r="D14" s="2530">
        <f>SUMIF(H:H,A14,L:L)</f>
        <v>1132844</v>
      </c>
      <c r="E14" s="2479" t="str">
        <f t="shared" si="0"/>
        <v xml:space="preserve">  Amortization of electric plant acquisition adjustment</v>
      </c>
      <c r="G14" s="2579"/>
      <c r="H14" s="2593" t="s">
        <v>6379</v>
      </c>
      <c r="I14" s="2594">
        <v>282740</v>
      </c>
      <c r="J14" s="2507">
        <v>188493</v>
      </c>
      <c r="K14" s="2507">
        <v>94247</v>
      </c>
      <c r="L14" s="2507">
        <v>1132844</v>
      </c>
      <c r="M14" s="2507">
        <v>1038597</v>
      </c>
      <c r="N14" s="2507">
        <v>944351</v>
      </c>
      <c r="O14" s="2507">
        <v>690779</v>
      </c>
      <c r="P14" s="2511"/>
      <c r="Q14" s="2511"/>
      <c r="R14" s="2482"/>
      <c r="S14" s="2482"/>
      <c r="T14" s="2482"/>
      <c r="U14" s="2482"/>
      <c r="V14" s="2482"/>
      <c r="W14" s="2482"/>
    </row>
    <row r="15" spans="1:23" ht="16.7" customHeight="1" x14ac:dyDescent="0.2">
      <c r="A15" s="2615">
        <v>5.3</v>
      </c>
      <c r="B15" s="2502" t="s">
        <v>6380</v>
      </c>
      <c r="C15" s="2527">
        <v>12498487</v>
      </c>
      <c r="D15" s="2530">
        <f>SUMIF(H:H,A15,L:L)</f>
        <v>11243603</v>
      </c>
      <c r="E15" s="2479" t="str">
        <f t="shared" si="0"/>
        <v xml:space="preserve">  Amortization of regulatory assets</v>
      </c>
      <c r="G15" s="2579"/>
      <c r="H15" s="2593" t="s">
        <v>6381</v>
      </c>
      <c r="I15" s="2594">
        <v>9694201</v>
      </c>
      <c r="J15" s="2507">
        <v>6670660</v>
      </c>
      <c r="K15" s="2507">
        <v>3504796</v>
      </c>
      <c r="L15" s="2507">
        <v>11243603</v>
      </c>
      <c r="M15" s="2507">
        <v>9152991</v>
      </c>
      <c r="N15" s="2507">
        <v>6148710</v>
      </c>
      <c r="O15" s="2507">
        <v>3206485</v>
      </c>
      <c r="P15" s="2511"/>
      <c r="Q15" s="2511"/>
      <c r="R15" s="2482"/>
      <c r="S15" s="2482"/>
      <c r="T15" s="2482"/>
      <c r="U15" s="2482"/>
      <c r="V15" s="2482"/>
      <c r="W15" s="2482"/>
    </row>
    <row r="16" spans="1:23" ht="16.7" customHeight="1" x14ac:dyDescent="0.2">
      <c r="A16" s="2497">
        <v>6</v>
      </c>
      <c r="B16" s="2502"/>
      <c r="C16" s="2559"/>
      <c r="D16" s="2614"/>
      <c r="E16" s="2595">
        <f t="shared" si="0"/>
        <v>0</v>
      </c>
      <c r="G16" s="2579"/>
      <c r="H16" s="2593" t="s">
        <v>5965</v>
      </c>
      <c r="I16" s="2554"/>
      <c r="J16" s="2511"/>
      <c r="K16" s="2511"/>
      <c r="L16" s="2511"/>
      <c r="M16" s="2511"/>
      <c r="N16" s="2511"/>
      <c r="O16" s="2511"/>
      <c r="P16" s="2511"/>
      <c r="Q16" s="2511"/>
      <c r="R16" s="2482"/>
      <c r="S16" s="2482"/>
      <c r="T16" s="2482"/>
      <c r="U16" s="2482"/>
      <c r="V16" s="2482"/>
      <c r="W16" s="2482"/>
    </row>
    <row r="17" spans="1:23" ht="16.7" customHeight="1" x14ac:dyDescent="0.2">
      <c r="A17" s="2497">
        <v>7</v>
      </c>
      <c r="B17" s="2502"/>
      <c r="C17" s="2559"/>
      <c r="D17" s="2614"/>
      <c r="E17" s="2595">
        <f t="shared" si="0"/>
        <v>0</v>
      </c>
      <c r="G17" s="2579"/>
      <c r="H17" s="2593" t="s">
        <v>5968</v>
      </c>
      <c r="I17" s="2554"/>
      <c r="J17" s="2511"/>
      <c r="K17" s="2511"/>
      <c r="L17" s="2511"/>
      <c r="M17" s="2511"/>
      <c r="N17" s="2511"/>
      <c r="O17" s="2511"/>
      <c r="P17" s="2511"/>
      <c r="Q17" s="2511"/>
      <c r="R17" s="2482"/>
      <c r="S17" s="2482"/>
      <c r="T17" s="2482"/>
      <c r="U17" s="2482"/>
      <c r="V17" s="2482"/>
      <c r="W17" s="2482"/>
    </row>
    <row r="18" spans="1:23" ht="16.7" customHeight="1" x14ac:dyDescent="0.2">
      <c r="A18" s="2497">
        <v>8</v>
      </c>
      <c r="B18" s="2502" t="s">
        <v>6382</v>
      </c>
      <c r="C18" s="2616">
        <v>-217345868</v>
      </c>
      <c r="D18" s="2530">
        <f t="shared" ref="D18:D27" si="1">SUMIF(H:H,A18,L:L)</f>
        <v>160804851</v>
      </c>
      <c r="E18" s="2479"/>
      <c r="G18" s="2579"/>
      <c r="H18" s="2593" t="s">
        <v>5970</v>
      </c>
      <c r="I18" s="2594">
        <v>-315701437</v>
      </c>
      <c r="J18" s="2507">
        <v>-64638578</v>
      </c>
      <c r="K18" s="2507">
        <v>-73783594</v>
      </c>
      <c r="L18" s="2507">
        <v>160804851</v>
      </c>
      <c r="M18" s="2507">
        <v>50916533</v>
      </c>
      <c r="N18" s="2507">
        <v>30491008</v>
      </c>
      <c r="O18" s="2507">
        <v>20774391</v>
      </c>
      <c r="P18" s="2511"/>
      <c r="Q18" s="2511"/>
      <c r="R18" s="2482"/>
      <c r="S18" s="2482"/>
      <c r="T18" s="2482"/>
      <c r="U18" s="2482"/>
      <c r="V18" s="2482"/>
      <c r="W18" s="2482"/>
    </row>
    <row r="19" spans="1:23" ht="16.7" customHeight="1" x14ac:dyDescent="0.2">
      <c r="A19" s="2497">
        <v>9</v>
      </c>
      <c r="B19" s="2502" t="s">
        <v>6383</v>
      </c>
      <c r="C19" s="2527">
        <v>-689559</v>
      </c>
      <c r="D19" s="2530">
        <f t="shared" si="1"/>
        <v>-3557121</v>
      </c>
      <c r="E19" s="2479"/>
      <c r="G19" s="2579"/>
      <c r="H19" s="2593" t="s">
        <v>5972</v>
      </c>
      <c r="I19" s="2594">
        <v>-886464</v>
      </c>
      <c r="J19" s="2507">
        <v>-590976</v>
      </c>
      <c r="K19" s="2507">
        <v>-295488</v>
      </c>
      <c r="L19" s="2507">
        <v>-3557121</v>
      </c>
      <c r="M19" s="2507">
        <v>-1139183</v>
      </c>
      <c r="N19" s="2507">
        <v>-759455</v>
      </c>
      <c r="O19" s="2507">
        <v>-379727</v>
      </c>
      <c r="P19" s="2511"/>
      <c r="Q19" s="2511"/>
      <c r="R19" s="2482"/>
      <c r="S19" s="2482"/>
      <c r="T19" s="2482"/>
      <c r="U19" s="2482"/>
      <c r="V19" s="2482"/>
      <c r="W19" s="2482"/>
    </row>
    <row r="20" spans="1:23" ht="16.7" customHeight="1" x14ac:dyDescent="0.2">
      <c r="A20" s="2497">
        <v>10</v>
      </c>
      <c r="B20" s="2502" t="s">
        <v>6384</v>
      </c>
      <c r="C20" s="2527">
        <v>-18762299</v>
      </c>
      <c r="D20" s="2530">
        <f t="shared" si="1"/>
        <v>-143775110</v>
      </c>
      <c r="E20" s="2479"/>
      <c r="G20" s="2579"/>
      <c r="H20" s="2593" t="s">
        <v>5974</v>
      </c>
      <c r="I20" s="2594">
        <v>-94984716</v>
      </c>
      <c r="J20" s="2507">
        <v>112442869</v>
      </c>
      <c r="K20" s="2507">
        <v>79481637</v>
      </c>
      <c r="L20" s="2507">
        <v>-143775110</v>
      </c>
      <c r="M20" s="2507">
        <v>-88792979</v>
      </c>
      <c r="N20" s="2507">
        <v>6549108</v>
      </c>
      <c r="O20" s="2507">
        <v>56501202</v>
      </c>
      <c r="P20" s="2511"/>
      <c r="Q20" s="2511"/>
      <c r="R20" s="2482"/>
      <c r="S20" s="2482"/>
      <c r="T20" s="2482"/>
      <c r="U20" s="2482"/>
      <c r="V20" s="2482"/>
      <c r="W20" s="2482"/>
    </row>
    <row r="21" spans="1:23" ht="16.7" customHeight="1" x14ac:dyDescent="0.2">
      <c r="A21" s="2497">
        <v>11</v>
      </c>
      <c r="B21" s="2502" t="s">
        <v>6385</v>
      </c>
      <c r="C21" s="2527">
        <v>-58024224</v>
      </c>
      <c r="D21" s="2530">
        <f t="shared" si="1"/>
        <v>-384237</v>
      </c>
      <c r="E21" s="2479"/>
      <c r="G21" s="2579"/>
      <c r="H21" s="2593" t="s">
        <v>5976</v>
      </c>
      <c r="I21" s="2594">
        <v>-44185855</v>
      </c>
      <c r="J21" s="2507">
        <v>-58989643</v>
      </c>
      <c r="K21" s="2507">
        <v>-16425834</v>
      </c>
      <c r="L21" s="2507">
        <v>-384237</v>
      </c>
      <c r="M21" s="2507">
        <v>3352296</v>
      </c>
      <c r="N21" s="2507">
        <v>-15814274</v>
      </c>
      <c r="O21" s="2507">
        <v>-5109141</v>
      </c>
      <c r="P21" s="2511"/>
      <c r="Q21" s="2511"/>
      <c r="R21" s="2482"/>
      <c r="S21" s="2482"/>
      <c r="T21" s="2482"/>
      <c r="U21" s="2482"/>
      <c r="V21" s="2482"/>
      <c r="W21" s="2482"/>
    </row>
    <row r="22" spans="1:23" ht="16.7" customHeight="1" x14ac:dyDescent="0.2">
      <c r="A22" s="2497">
        <v>12</v>
      </c>
      <c r="B22" s="2502" t="s">
        <v>6386</v>
      </c>
      <c r="C22" s="2559"/>
      <c r="D22" s="2530">
        <f t="shared" si="1"/>
        <v>0</v>
      </c>
      <c r="E22" s="2479"/>
      <c r="G22" s="2579"/>
      <c r="H22" s="2593" t="s">
        <v>5978</v>
      </c>
      <c r="I22" s="2554"/>
      <c r="J22" s="2507">
        <v>0</v>
      </c>
      <c r="K22" s="2507">
        <v>0</v>
      </c>
      <c r="L22" s="2507">
        <v>0</v>
      </c>
      <c r="M22" s="2507">
        <v>0</v>
      </c>
      <c r="N22" s="2507">
        <v>0</v>
      </c>
      <c r="O22" s="2507">
        <v>0</v>
      </c>
      <c r="P22" s="2511"/>
      <c r="Q22" s="2511"/>
      <c r="R22" s="2482"/>
      <c r="S22" s="2482"/>
      <c r="T22" s="2482"/>
      <c r="U22" s="2482"/>
      <c r="V22" s="2482"/>
      <c r="W22" s="2482"/>
    </row>
    <row r="23" spans="1:23" ht="16.7" customHeight="1" x14ac:dyDescent="0.2">
      <c r="A23" s="2497">
        <v>13</v>
      </c>
      <c r="B23" s="2502" t="s">
        <v>6387</v>
      </c>
      <c r="C23" s="2527">
        <v>1393799901</v>
      </c>
      <c r="D23" s="2530">
        <f t="shared" si="1"/>
        <v>292340442</v>
      </c>
      <c r="E23" s="2479"/>
      <c r="G23" s="2579"/>
      <c r="H23" s="2593" t="s">
        <v>5980</v>
      </c>
      <c r="I23" s="2594">
        <v>2046488154</v>
      </c>
      <c r="J23" s="2507">
        <v>641605705</v>
      </c>
      <c r="K23" s="2507">
        <v>444878337</v>
      </c>
      <c r="L23" s="2507">
        <v>292340442</v>
      </c>
      <c r="M23" s="2507">
        <v>500803930</v>
      </c>
      <c r="N23" s="2507">
        <v>320292159</v>
      </c>
      <c r="O23" s="2507">
        <v>66407964</v>
      </c>
      <c r="P23" s="2511"/>
      <c r="Q23" s="2511"/>
      <c r="R23" s="2482"/>
      <c r="S23" s="2482"/>
      <c r="T23" s="2482"/>
      <c r="U23" s="2482"/>
      <c r="V23" s="2482"/>
      <c r="W23" s="2482"/>
    </row>
    <row r="24" spans="1:23" ht="16.7" customHeight="1" x14ac:dyDescent="0.2">
      <c r="A24" s="2497">
        <v>14</v>
      </c>
      <c r="B24" s="2502" t="s">
        <v>6388</v>
      </c>
      <c r="C24" s="2527">
        <v>-671647307</v>
      </c>
      <c r="D24" s="2530">
        <f t="shared" si="1"/>
        <v>-425809415</v>
      </c>
      <c r="E24" s="2479"/>
      <c r="G24" s="2579"/>
      <c r="H24" s="2593" t="s">
        <v>5982</v>
      </c>
      <c r="I24" s="2594">
        <v>-516879123</v>
      </c>
      <c r="J24" s="2507">
        <v>-225812307</v>
      </c>
      <c r="K24" s="2507">
        <v>-92978503</v>
      </c>
      <c r="L24" s="2507">
        <v>-425809415</v>
      </c>
      <c r="M24" s="2507">
        <v>-231117363</v>
      </c>
      <c r="N24" s="2507">
        <v>-40705000</v>
      </c>
      <c r="O24" s="2507">
        <v>-1719390</v>
      </c>
      <c r="P24" s="2511"/>
      <c r="Q24" s="2511"/>
      <c r="R24" s="2482"/>
      <c r="S24" s="2482"/>
      <c r="T24" s="2482"/>
      <c r="U24" s="2482"/>
      <c r="V24" s="2482"/>
      <c r="W24" s="2482"/>
    </row>
    <row r="25" spans="1:23" ht="16.7" customHeight="1" x14ac:dyDescent="0.2">
      <c r="A25" s="2497">
        <v>15</v>
      </c>
      <c r="B25" s="2502" t="s">
        <v>6389</v>
      </c>
      <c r="C25" s="2527">
        <v>-18560906</v>
      </c>
      <c r="D25" s="2530">
        <f t="shared" si="1"/>
        <v>-118013860</v>
      </c>
      <c r="E25" s="2479"/>
      <c r="G25" s="2579"/>
      <c r="H25" s="2593" t="s">
        <v>5984</v>
      </c>
      <c r="I25" s="2594">
        <v>-6072101</v>
      </c>
      <c r="J25" s="2507">
        <v>-12158098</v>
      </c>
      <c r="K25" s="2507">
        <v>-12948361</v>
      </c>
      <c r="L25" s="2507">
        <v>-118013860</v>
      </c>
      <c r="M25" s="2507">
        <v>-53573075</v>
      </c>
      <c r="N25" s="2507">
        <v>-35504833</v>
      </c>
      <c r="O25" s="2507">
        <v>-6825069</v>
      </c>
      <c r="P25" s="2511"/>
      <c r="Q25" s="2511"/>
      <c r="R25" s="2482"/>
      <c r="S25" s="2482"/>
      <c r="T25" s="2482"/>
      <c r="U25" s="2482"/>
      <c r="V25" s="2482"/>
      <c r="W25" s="2482"/>
    </row>
    <row r="26" spans="1:23" ht="16.7" customHeight="1" x14ac:dyDescent="0.2">
      <c r="A26" s="2497">
        <v>16</v>
      </c>
      <c r="B26" s="2502" t="s">
        <v>6390</v>
      </c>
      <c r="C26" s="2616">
        <v>144059425</v>
      </c>
      <c r="D26" s="2530">
        <f t="shared" si="1"/>
        <v>70977165</v>
      </c>
      <c r="E26" s="2479"/>
      <c r="G26" s="2579"/>
      <c r="H26" s="2593" t="s">
        <v>5986</v>
      </c>
      <c r="I26" s="2594">
        <v>100978752</v>
      </c>
      <c r="J26" s="2507">
        <v>60920049</v>
      </c>
      <c r="K26" s="2507">
        <v>27246813</v>
      </c>
      <c r="L26" s="2507">
        <v>70977165</v>
      </c>
      <c r="M26" s="2507">
        <v>47002269</v>
      </c>
      <c r="N26" s="2507">
        <v>28372512</v>
      </c>
      <c r="O26" s="2507">
        <v>13023124</v>
      </c>
      <c r="P26" s="2511"/>
      <c r="Q26" s="2511"/>
      <c r="R26" s="2482"/>
      <c r="S26" s="2482"/>
      <c r="T26" s="2482"/>
      <c r="U26" s="2482"/>
      <c r="V26" s="2482"/>
      <c r="W26" s="2482"/>
    </row>
    <row r="27" spans="1:23" ht="16.7" customHeight="1" x14ac:dyDescent="0.2">
      <c r="A27" s="2497">
        <v>17</v>
      </c>
      <c r="B27" s="2502" t="s">
        <v>6391</v>
      </c>
      <c r="C27" s="2527">
        <v>20109095</v>
      </c>
      <c r="D27" s="2530">
        <f t="shared" si="1"/>
        <v>18313529</v>
      </c>
      <c r="E27" s="2479"/>
      <c r="G27" s="2579"/>
      <c r="H27" s="2593" t="s">
        <v>5988</v>
      </c>
      <c r="I27" s="2594">
        <v>5283421</v>
      </c>
      <c r="J27" s="2507">
        <v>-5764250</v>
      </c>
      <c r="K27" s="2507">
        <v>2029587</v>
      </c>
      <c r="L27" s="2507">
        <v>18313529</v>
      </c>
      <c r="M27" s="2507">
        <v>15688719</v>
      </c>
      <c r="N27" s="2507">
        <v>13393921</v>
      </c>
      <c r="O27" s="2507">
        <v>6610736</v>
      </c>
      <c r="P27" s="2511"/>
      <c r="Q27" s="2511"/>
      <c r="R27" s="2482"/>
      <c r="S27" s="2482"/>
      <c r="T27" s="2482"/>
      <c r="U27" s="2482"/>
      <c r="V27" s="2482"/>
      <c r="W27" s="2482"/>
    </row>
    <row r="28" spans="1:23" ht="16.7" customHeight="1" x14ac:dyDescent="0.2">
      <c r="A28" s="2497">
        <v>18</v>
      </c>
      <c r="B28" s="2502" t="s">
        <v>6392</v>
      </c>
      <c r="C28" s="2559"/>
      <c r="D28" s="2614"/>
      <c r="E28" s="2479" t="str">
        <f t="shared" ref="E28:E40" si="2">B28</f>
        <v>Other Operating Activities:</v>
      </c>
      <c r="G28" s="2579"/>
      <c r="H28" s="2593" t="s">
        <v>5990</v>
      </c>
      <c r="I28" s="2554"/>
      <c r="J28" s="2511"/>
      <c r="K28" s="2511"/>
      <c r="L28" s="2511"/>
      <c r="M28" s="2511"/>
      <c r="N28" s="2511"/>
      <c r="O28" s="2511"/>
      <c r="P28" s="2511"/>
      <c r="Q28" s="2511"/>
      <c r="R28" s="2482"/>
      <c r="S28" s="2482"/>
      <c r="T28" s="2482"/>
      <c r="U28" s="2482"/>
      <c r="V28" s="2482"/>
      <c r="W28" s="2482"/>
    </row>
    <row r="29" spans="1:23" ht="16.7" customHeight="1" x14ac:dyDescent="0.2">
      <c r="A29" s="2615">
        <f t="shared" ref="A29:A39" si="3">A28+0.1</f>
        <v>18.100000000000001</v>
      </c>
      <c r="B29" s="2502" t="s">
        <v>6393</v>
      </c>
      <c r="C29" s="2527">
        <v>-22604560</v>
      </c>
      <c r="D29" s="2530">
        <f>SUMIF(H:H,A29,L:L)</f>
        <v>-27463823</v>
      </c>
      <c r="E29" s="2479" t="str">
        <f t="shared" si="2"/>
        <v>Amounts Due To/From Affiliates, Net</v>
      </c>
      <c r="G29" s="2519"/>
      <c r="H29" s="2617">
        <f t="shared" ref="H29:H39" si="4">H28+0.1</f>
        <v>18.100000000000001</v>
      </c>
      <c r="I29" s="2594">
        <v>102736464</v>
      </c>
      <c r="J29" s="2507">
        <v>126785701</v>
      </c>
      <c r="K29" s="2507">
        <v>-40115451</v>
      </c>
      <c r="L29" s="2507">
        <v>-27463823</v>
      </c>
      <c r="M29" s="2507">
        <v>108061417</v>
      </c>
      <c r="N29" s="2507">
        <v>118839818</v>
      </c>
      <c r="O29" s="2507">
        <v>-20369452</v>
      </c>
      <c r="P29" s="2511"/>
      <c r="Q29" s="2511"/>
      <c r="R29" s="2482"/>
      <c r="S29" s="2482"/>
      <c r="T29" s="2482"/>
      <c r="U29" s="2482"/>
      <c r="V29" s="2482"/>
      <c r="W29" s="2482"/>
    </row>
    <row r="30" spans="1:23" ht="16.7" customHeight="1" x14ac:dyDescent="0.2">
      <c r="A30" s="2615">
        <f t="shared" si="3"/>
        <v>18.200000000000003</v>
      </c>
      <c r="B30" s="2502" t="s">
        <v>6394</v>
      </c>
      <c r="C30" s="2527">
        <v>-100200000</v>
      </c>
      <c r="D30" s="2530">
        <f>SUMIF(H:H,A30,L:L)</f>
        <v>95100000</v>
      </c>
      <c r="E30" s="2479" t="str">
        <f t="shared" si="2"/>
        <v>Derivative Collateral (Net)</v>
      </c>
      <c r="G30" s="2519"/>
      <c r="H30" s="2617">
        <f t="shared" si="4"/>
        <v>18.200000000000003</v>
      </c>
      <c r="I30" s="2594">
        <v>-87176034</v>
      </c>
      <c r="J30" s="2507">
        <v>-90200000</v>
      </c>
      <c r="K30" s="2507">
        <v>-78400000</v>
      </c>
      <c r="L30" s="2507">
        <v>95100000</v>
      </c>
      <c r="M30" s="2507">
        <v>28117980</v>
      </c>
      <c r="N30" s="2507">
        <v>69062627</v>
      </c>
      <c r="O30" s="2507">
        <v>22200000</v>
      </c>
      <c r="P30" s="2511"/>
      <c r="Q30" s="2511"/>
      <c r="R30" s="2482"/>
      <c r="S30" s="2482"/>
      <c r="T30" s="2482"/>
      <c r="U30" s="2482"/>
      <c r="V30" s="2482"/>
      <c r="W30" s="2482"/>
    </row>
    <row r="31" spans="1:23" ht="16.7" customHeight="1" x14ac:dyDescent="0.2">
      <c r="A31" s="2615">
        <f t="shared" si="3"/>
        <v>18.300000000000004</v>
      </c>
      <c r="B31" s="2488" t="s">
        <v>6395</v>
      </c>
      <c r="C31" s="2531">
        <v>-90579395</v>
      </c>
      <c r="D31" s="2614"/>
      <c r="E31" s="2618" t="str">
        <f t="shared" si="2"/>
        <v>Prepayments</v>
      </c>
      <c r="G31" s="2519"/>
      <c r="H31" s="2617">
        <f t="shared" si="4"/>
        <v>18.300000000000004</v>
      </c>
      <c r="I31" s="2594">
        <v>-55866950</v>
      </c>
      <c r="J31" s="2511"/>
      <c r="K31" s="2511"/>
      <c r="L31" s="2511"/>
      <c r="M31" s="2511"/>
      <c r="N31" s="2511"/>
      <c r="O31" s="2511"/>
      <c r="P31" s="2511"/>
      <c r="Q31" s="2511"/>
      <c r="R31" s="2482"/>
      <c r="S31" s="2482"/>
      <c r="T31" s="2482"/>
      <c r="U31" s="2482"/>
      <c r="V31" s="2482"/>
      <c r="W31" s="2482"/>
    </row>
    <row r="32" spans="1:23" ht="16.7" customHeight="1" x14ac:dyDescent="0.2">
      <c r="A32" s="2615">
        <f t="shared" si="3"/>
        <v>18.400000000000006</v>
      </c>
      <c r="B32" s="2509" t="s">
        <v>6396</v>
      </c>
      <c r="C32" s="2527">
        <v>588234</v>
      </c>
      <c r="D32" s="2614"/>
      <c r="E32" s="2618" t="str">
        <f t="shared" si="2"/>
        <v>Other Assets</v>
      </c>
      <c r="G32" s="2519"/>
      <c r="H32" s="2617">
        <f t="shared" si="4"/>
        <v>18.400000000000006</v>
      </c>
      <c r="I32" s="2594">
        <v>-37352160</v>
      </c>
      <c r="J32" s="2511"/>
      <c r="K32" s="2511"/>
      <c r="L32" s="2511"/>
      <c r="M32" s="2511"/>
      <c r="N32" s="2511"/>
      <c r="O32" s="2511"/>
      <c r="P32" s="2511"/>
      <c r="Q32" s="2511"/>
      <c r="R32" s="2482"/>
      <c r="S32" s="2482"/>
      <c r="T32" s="2482"/>
      <c r="U32" s="2482"/>
      <c r="V32" s="2482"/>
      <c r="W32" s="2482"/>
    </row>
    <row r="33" spans="1:23" ht="16.7" customHeight="1" x14ac:dyDescent="0.2">
      <c r="A33" s="2615">
        <f t="shared" si="3"/>
        <v>18.500000000000007</v>
      </c>
      <c r="B33" s="2509" t="s">
        <v>6397</v>
      </c>
      <c r="C33" s="2527">
        <v>2557474</v>
      </c>
      <c r="D33" s="2530">
        <f t="shared" ref="D33:D39" si="5">SUMIF(H:H,A33,L:L)</f>
        <v>2548699</v>
      </c>
      <c r="E33" s="2479" t="str">
        <f t="shared" si="2"/>
        <v>Depreciation and depletion included in cost of fuel</v>
      </c>
      <c r="G33" s="2519"/>
      <c r="H33" s="2617">
        <f t="shared" si="4"/>
        <v>18.500000000000007</v>
      </c>
      <c r="I33" s="2594">
        <v>1918090</v>
      </c>
      <c r="J33" s="2507">
        <v>1278705</v>
      </c>
      <c r="K33" s="2507">
        <v>639321</v>
      </c>
      <c r="L33" s="2507">
        <v>2548699</v>
      </c>
      <c r="M33" s="2507">
        <v>1909741</v>
      </c>
      <c r="N33" s="2507">
        <v>1272885</v>
      </c>
      <c r="O33" s="2507">
        <v>636443</v>
      </c>
      <c r="P33" s="2511"/>
      <c r="Q33" s="2511"/>
      <c r="R33" s="2482"/>
      <c r="S33" s="2482"/>
      <c r="T33" s="2482"/>
      <c r="U33" s="2482"/>
      <c r="V33" s="2482"/>
      <c r="W33" s="2482"/>
    </row>
    <row r="34" spans="1:23" ht="16.7" customHeight="1" x14ac:dyDescent="0.2">
      <c r="A34" s="2615">
        <f t="shared" si="3"/>
        <v>18.600000000000009</v>
      </c>
      <c r="B34" s="2509" t="s">
        <v>6398</v>
      </c>
      <c r="C34" s="2527">
        <v>-2398526</v>
      </c>
      <c r="D34" s="2530">
        <f t="shared" si="5"/>
        <v>-1322710</v>
      </c>
      <c r="E34" s="2479" t="str">
        <f t="shared" si="2"/>
        <v>Net (gain) / loss on sale of property</v>
      </c>
      <c r="G34" s="2519"/>
      <c r="H34" s="2617">
        <f t="shared" si="4"/>
        <v>18.600000000000009</v>
      </c>
      <c r="I34" s="2594">
        <v>-1252689</v>
      </c>
      <c r="J34" s="2507">
        <v>0</v>
      </c>
      <c r="K34" s="2507">
        <v>0</v>
      </c>
      <c r="L34" s="2507">
        <v>-1322710</v>
      </c>
      <c r="M34" s="2507">
        <v>-1065059</v>
      </c>
      <c r="N34" s="2507">
        <v>-845610</v>
      </c>
      <c r="O34" s="2507">
        <v>-637409</v>
      </c>
      <c r="P34" s="2511"/>
      <c r="Q34" s="2511"/>
      <c r="R34" s="2482"/>
      <c r="S34" s="2482"/>
      <c r="T34" s="2482"/>
      <c r="U34" s="2482"/>
      <c r="V34" s="2482"/>
      <c r="W34" s="2482"/>
    </row>
    <row r="35" spans="1:23" ht="16.7" customHeight="1" x14ac:dyDescent="0.2">
      <c r="A35" s="2615">
        <f t="shared" si="3"/>
        <v>18.70000000000001</v>
      </c>
      <c r="B35" s="2509" t="s">
        <v>6399</v>
      </c>
      <c r="C35" s="2527">
        <v>17354296</v>
      </c>
      <c r="D35" s="2530">
        <f t="shared" si="5"/>
        <v>2306885</v>
      </c>
      <c r="E35" s="2479" t="str">
        <f t="shared" si="2"/>
        <v>Write-off of assets under construction</v>
      </c>
      <c r="G35" s="2519"/>
      <c r="H35" s="2617">
        <f t="shared" si="4"/>
        <v>18.70000000000001</v>
      </c>
      <c r="I35" s="2594">
        <v>2844982</v>
      </c>
      <c r="J35" s="2507">
        <v>849121</v>
      </c>
      <c r="K35" s="2507">
        <v>-916506</v>
      </c>
      <c r="L35" s="2507">
        <v>2306885</v>
      </c>
      <c r="M35" s="2507">
        <v>1772466</v>
      </c>
      <c r="N35" s="2507">
        <v>1680619</v>
      </c>
      <c r="O35" s="2507">
        <v>703474</v>
      </c>
      <c r="P35" s="2511"/>
      <c r="Q35" s="2511"/>
      <c r="R35" s="2482"/>
      <c r="S35" s="2482"/>
      <c r="T35" s="2482"/>
      <c r="U35" s="2482"/>
      <c r="V35" s="2482"/>
      <c r="W35" s="2482"/>
    </row>
    <row r="36" spans="1:23" ht="16.7" customHeight="1" x14ac:dyDescent="0.2">
      <c r="A36" s="2615">
        <f t="shared" si="3"/>
        <v>18.800000000000011</v>
      </c>
      <c r="B36" s="2509" t="s">
        <v>6400</v>
      </c>
      <c r="C36" s="2527">
        <v>-9388424</v>
      </c>
      <c r="D36" s="2530">
        <f t="shared" si="5"/>
        <v>1252307</v>
      </c>
      <c r="E36" s="2479" t="str">
        <f t="shared" si="2"/>
        <v>Change in corporate owned life insurance cash surrender value</v>
      </c>
      <c r="G36" s="2519"/>
      <c r="H36" s="2617">
        <f t="shared" si="4"/>
        <v>18.800000000000011</v>
      </c>
      <c r="I36" s="2594">
        <v>-5060021</v>
      </c>
      <c r="J36" s="2507">
        <v>-5057583</v>
      </c>
      <c r="K36" s="2507">
        <v>-2350494</v>
      </c>
      <c r="L36" s="2507">
        <v>1252307</v>
      </c>
      <c r="M36" s="2507">
        <v>4323031</v>
      </c>
      <c r="N36" s="2507">
        <v>3880906</v>
      </c>
      <c r="O36" s="2507">
        <v>688554</v>
      </c>
      <c r="P36" s="2511"/>
      <c r="Q36" s="2511"/>
      <c r="R36" s="2482"/>
      <c r="S36" s="2482"/>
      <c r="T36" s="2482"/>
      <c r="U36" s="2482"/>
      <c r="V36" s="2482"/>
      <c r="W36" s="2482"/>
    </row>
    <row r="37" spans="1:23" ht="16.7" customHeight="1" x14ac:dyDescent="0.2">
      <c r="A37" s="2615">
        <f t="shared" si="3"/>
        <v>18.900000000000013</v>
      </c>
      <c r="B37" s="2509" t="s">
        <v>6401</v>
      </c>
      <c r="C37" s="2527">
        <v>4869179</v>
      </c>
      <c r="D37" s="2530">
        <f t="shared" si="5"/>
        <v>4454477</v>
      </c>
      <c r="E37" s="2479" t="str">
        <f t="shared" si="2"/>
        <v>Amortization of debt issuance expenses and bond discount/premium</v>
      </c>
      <c r="G37" s="2519"/>
      <c r="H37" s="2617">
        <f t="shared" si="4"/>
        <v>18.900000000000013</v>
      </c>
      <c r="I37" s="2594">
        <v>3653591</v>
      </c>
      <c r="J37" s="2507">
        <v>2437287</v>
      </c>
      <c r="K37" s="2507">
        <v>1210589</v>
      </c>
      <c r="L37" s="2507">
        <v>4454477</v>
      </c>
      <c r="M37" s="2507">
        <v>3322462</v>
      </c>
      <c r="N37" s="2507">
        <v>2216024</v>
      </c>
      <c r="O37" s="2507">
        <v>1107270</v>
      </c>
      <c r="P37" s="2511"/>
      <c r="Q37" s="2511"/>
      <c r="R37" s="2482"/>
      <c r="S37" s="2482"/>
      <c r="T37" s="2482"/>
      <c r="U37" s="2482"/>
      <c r="V37" s="2482"/>
      <c r="W37" s="2482"/>
    </row>
    <row r="38" spans="1:23" ht="16.7" customHeight="1" x14ac:dyDescent="0.2">
      <c r="A38" s="2615">
        <f t="shared" si="3"/>
        <v>19.000000000000014</v>
      </c>
      <c r="B38" s="2509" t="s">
        <v>6402</v>
      </c>
      <c r="C38" s="2527">
        <v>-2421774</v>
      </c>
      <c r="D38" s="2530">
        <f t="shared" si="5"/>
        <v>3385848</v>
      </c>
      <c r="E38" s="2479" t="str">
        <f t="shared" si="2"/>
        <v>Net (gain) / loss on long-term incentive plan and deferred compensation securities</v>
      </c>
      <c r="G38" s="2519"/>
      <c r="H38" s="2617">
        <f t="shared" si="4"/>
        <v>19.000000000000014</v>
      </c>
      <c r="I38" s="2594">
        <v>-834302</v>
      </c>
      <c r="J38" s="2507">
        <v>-1444675</v>
      </c>
      <c r="K38" s="2507">
        <v>-644487</v>
      </c>
      <c r="L38" s="2507">
        <v>3385848</v>
      </c>
      <c r="M38" s="2507">
        <v>4264478</v>
      </c>
      <c r="N38" s="2507">
        <v>-61106</v>
      </c>
      <c r="O38" s="2507">
        <v>-61106</v>
      </c>
      <c r="P38" s="2511"/>
      <c r="Q38" s="3889" t="s">
        <v>6403</v>
      </c>
      <c r="R38" s="2482"/>
      <c r="S38" s="2482"/>
      <c r="T38" s="2482"/>
      <c r="U38" s="2482"/>
      <c r="V38" s="2482"/>
      <c r="W38" s="2482"/>
    </row>
    <row r="39" spans="1:23" ht="16.7" customHeight="1" x14ac:dyDescent="0.2">
      <c r="A39" s="2615">
        <f t="shared" si="3"/>
        <v>19.100000000000016</v>
      </c>
      <c r="B39" s="2509" t="s">
        <v>107</v>
      </c>
      <c r="C39" s="2527">
        <v>16284</v>
      </c>
      <c r="D39" s="2530">
        <f t="shared" si="5"/>
        <v>-30747</v>
      </c>
      <c r="E39" s="2479" t="str">
        <f t="shared" si="2"/>
        <v>Other</v>
      </c>
      <c r="G39" s="2519"/>
      <c r="H39" s="2617">
        <f t="shared" si="4"/>
        <v>19.100000000000016</v>
      </c>
      <c r="I39" s="2594">
        <v>10558</v>
      </c>
      <c r="J39" s="2507">
        <v>3938</v>
      </c>
      <c r="K39" s="2507">
        <v>-2593</v>
      </c>
      <c r="L39" s="2507">
        <v>-30747</v>
      </c>
      <c r="M39" s="2507">
        <v>-34993</v>
      </c>
      <c r="N39" s="2507">
        <v>3485608</v>
      </c>
      <c r="O39" s="2507">
        <v>1048587</v>
      </c>
      <c r="P39" s="2511"/>
      <c r="Q39" s="3889"/>
      <c r="R39" s="2482"/>
      <c r="S39" s="2482"/>
      <c r="T39" s="2482"/>
      <c r="U39" s="2482"/>
      <c r="V39" s="2482"/>
      <c r="W39" s="2482"/>
    </row>
    <row r="40" spans="1:23" ht="16.7" customHeight="1" x14ac:dyDescent="0.2">
      <c r="A40" s="2497">
        <v>21</v>
      </c>
      <c r="B40" s="2509"/>
      <c r="C40" s="2559"/>
      <c r="D40" s="2614"/>
      <c r="E40" s="2595">
        <f t="shared" si="2"/>
        <v>0</v>
      </c>
      <c r="G40" s="2579"/>
      <c r="H40" s="2593" t="s">
        <v>5997</v>
      </c>
      <c r="I40" s="2554"/>
      <c r="J40" s="2511"/>
      <c r="K40" s="2511"/>
      <c r="L40" s="2511"/>
      <c r="M40" s="2511"/>
      <c r="N40" s="2511"/>
      <c r="O40" s="2511"/>
      <c r="P40" s="2511"/>
      <c r="Q40" s="2511"/>
      <c r="R40" s="2482"/>
      <c r="S40" s="2482"/>
      <c r="T40" s="2482"/>
      <c r="U40" s="2482"/>
      <c r="V40" s="2482"/>
      <c r="W40" s="2482"/>
    </row>
    <row r="41" spans="1:23" ht="16.7" customHeight="1" x14ac:dyDescent="0.2">
      <c r="A41" s="2497">
        <v>22</v>
      </c>
      <c r="B41" s="2502" t="s">
        <v>6404</v>
      </c>
      <c r="C41" s="2527">
        <f>SUM(C9,C11:C25,C28:C40)-SUM(C26:C27)</f>
        <v>701000119</v>
      </c>
      <c r="D41" s="2527">
        <f>SUM(D9,D11:D25,D28:D40)-SUM(D26:D27)</f>
        <v>1792577528</v>
      </c>
      <c r="E41" s="2479"/>
      <c r="G41" s="2579"/>
      <c r="H41" s="2593" t="s">
        <v>5999</v>
      </c>
      <c r="I41" s="2594">
        <f t="shared" ref="I41:O41" si="6">SUM(I9,I11:I25,I29:I40)-SUM(I26:I27)</f>
        <v>1062273857</v>
      </c>
      <c r="J41" s="2507">
        <f t="shared" si="6"/>
        <v>915675715</v>
      </c>
      <c r="K41" s="2507">
        <f t="shared" si="6"/>
        <v>337339347</v>
      </c>
      <c r="L41" s="2507">
        <f t="shared" si="6"/>
        <v>1792577528</v>
      </c>
      <c r="M41" s="2507">
        <f t="shared" si="6"/>
        <v>1725854771</v>
      </c>
      <c r="N41" s="2507">
        <f t="shared" si="6"/>
        <v>1193641060</v>
      </c>
      <c r="O41" s="2507">
        <f t="shared" si="6"/>
        <v>525895716</v>
      </c>
      <c r="P41" s="2511"/>
      <c r="Q41" s="2511"/>
      <c r="R41" s="2482"/>
      <c r="S41" s="2482"/>
      <c r="T41" s="2482"/>
      <c r="U41" s="2482"/>
      <c r="V41" s="2482"/>
      <c r="W41" s="2482"/>
    </row>
    <row r="42" spans="1:23" ht="16.7" customHeight="1" x14ac:dyDescent="0.2">
      <c r="A42" s="2497">
        <v>23</v>
      </c>
      <c r="B42" s="2509"/>
      <c r="C42" s="2559"/>
      <c r="D42" s="2614"/>
      <c r="E42" s="2479"/>
      <c r="G42" s="2579"/>
      <c r="H42" s="2593" t="s">
        <v>6002</v>
      </c>
      <c r="I42" s="2554"/>
      <c r="J42" s="2511"/>
      <c r="K42" s="2511"/>
      <c r="L42" s="2511"/>
      <c r="M42" s="2511"/>
      <c r="N42" s="2511"/>
      <c r="O42" s="2511"/>
      <c r="P42" s="2511"/>
      <c r="Q42" s="2511"/>
      <c r="R42" s="2482"/>
      <c r="S42" s="2482"/>
      <c r="T42" s="2482"/>
      <c r="U42" s="2482"/>
      <c r="V42" s="2482"/>
      <c r="W42" s="2482"/>
    </row>
    <row r="43" spans="1:23" ht="16.7" customHeight="1" x14ac:dyDescent="0.2">
      <c r="A43" s="2497">
        <v>24</v>
      </c>
      <c r="B43" s="2502" t="s">
        <v>6405</v>
      </c>
      <c r="C43" s="2559"/>
      <c r="D43" s="2614"/>
      <c r="E43" s="2479"/>
      <c r="G43" s="2579"/>
      <c r="H43" s="2593" t="s">
        <v>6004</v>
      </c>
      <c r="I43" s="2554"/>
      <c r="J43" s="2511"/>
      <c r="K43" s="2511"/>
      <c r="L43" s="2511"/>
      <c r="M43" s="2511"/>
      <c r="N43" s="2511"/>
      <c r="O43" s="2511"/>
      <c r="P43" s="2511"/>
      <c r="Q43" s="2511"/>
      <c r="R43" s="2482"/>
      <c r="S43" s="2482"/>
      <c r="T43" s="2482"/>
      <c r="U43" s="2482"/>
      <c r="V43" s="2482"/>
      <c r="W43" s="2482"/>
    </row>
    <row r="44" spans="1:23" ht="16.7" customHeight="1" x14ac:dyDescent="0.2">
      <c r="A44" s="2497">
        <v>25</v>
      </c>
      <c r="B44" s="2502" t="s">
        <v>6406</v>
      </c>
      <c r="C44" s="2527">
        <v>0</v>
      </c>
      <c r="D44" s="2530">
        <f t="shared" ref="D44:D49" si="7">SUMIF(H:H,A44,L:L)</f>
        <v>0</v>
      </c>
      <c r="E44" s="2479"/>
      <c r="G44" s="2579"/>
      <c r="H44" s="2593" t="s">
        <v>6006</v>
      </c>
      <c r="I44" s="2594">
        <v>0</v>
      </c>
      <c r="J44" s="2507">
        <v>0</v>
      </c>
      <c r="K44" s="2507">
        <v>0</v>
      </c>
      <c r="L44" s="2507">
        <v>0</v>
      </c>
      <c r="M44" s="2507">
        <v>0</v>
      </c>
      <c r="N44" s="2507">
        <v>0</v>
      </c>
      <c r="O44" s="2507">
        <v>0</v>
      </c>
      <c r="P44" s="2511"/>
      <c r="Q44" s="2511"/>
      <c r="R44" s="2482"/>
      <c r="S44" s="2482"/>
      <c r="T44" s="2482"/>
      <c r="U44" s="2482"/>
      <c r="V44" s="2482"/>
      <c r="W44" s="2482"/>
    </row>
    <row r="45" spans="1:23" ht="16.7" customHeight="1" x14ac:dyDescent="0.2">
      <c r="A45" s="2497">
        <v>26</v>
      </c>
      <c r="B45" s="2502" t="s">
        <v>6407</v>
      </c>
      <c r="C45" s="2527">
        <v>-3370114869</v>
      </c>
      <c r="D45" s="2530">
        <f t="shared" si="7"/>
        <v>-2236811129</v>
      </c>
      <c r="E45" s="2479"/>
      <c r="G45" s="2579"/>
      <c r="H45" s="2593" t="s">
        <v>6008</v>
      </c>
      <c r="I45" s="2594">
        <v>-2350908422</v>
      </c>
      <c r="J45" s="2507">
        <v>-1589492675</v>
      </c>
      <c r="K45" s="2507">
        <v>-670570742</v>
      </c>
      <c r="L45" s="2507">
        <v>-2236811129</v>
      </c>
      <c r="M45" s="2507">
        <v>-1528474211</v>
      </c>
      <c r="N45" s="2507">
        <v>-922288903</v>
      </c>
      <c r="O45" s="2507">
        <v>-387381510</v>
      </c>
      <c r="P45" s="2511"/>
      <c r="Q45" s="2511"/>
      <c r="R45" s="2482"/>
      <c r="S45" s="2482"/>
      <c r="T45" s="2482"/>
      <c r="U45" s="2482"/>
      <c r="V45" s="2482"/>
      <c r="W45" s="2482"/>
    </row>
    <row r="46" spans="1:23" ht="16.7" customHeight="1" x14ac:dyDescent="0.2">
      <c r="A46" s="2497">
        <v>27</v>
      </c>
      <c r="B46" s="2502" t="s">
        <v>6408</v>
      </c>
      <c r="C46" s="2527">
        <v>0</v>
      </c>
      <c r="D46" s="2530">
        <f t="shared" si="7"/>
        <v>0</v>
      </c>
      <c r="E46" s="2479"/>
      <c r="G46" s="2579"/>
      <c r="H46" s="2593" t="s">
        <v>6010</v>
      </c>
      <c r="I46" s="2594">
        <v>0</v>
      </c>
      <c r="J46" s="2507">
        <v>0</v>
      </c>
      <c r="K46" s="2507">
        <v>0</v>
      </c>
      <c r="L46" s="2507">
        <v>0</v>
      </c>
      <c r="M46" s="2507">
        <v>0</v>
      </c>
      <c r="N46" s="2507">
        <v>0</v>
      </c>
      <c r="O46" s="2507">
        <v>0</v>
      </c>
      <c r="P46" s="2511"/>
      <c r="Q46" s="2511"/>
      <c r="R46" s="2482"/>
      <c r="S46" s="2482"/>
      <c r="T46" s="2482"/>
      <c r="U46" s="2482"/>
      <c r="V46" s="2482"/>
      <c r="W46" s="2482"/>
    </row>
    <row r="47" spans="1:23" ht="16.7" customHeight="1" x14ac:dyDescent="0.2">
      <c r="A47" s="2497">
        <v>28</v>
      </c>
      <c r="B47" s="2502" t="s">
        <v>6409</v>
      </c>
      <c r="C47" s="2527">
        <v>0</v>
      </c>
      <c r="D47" s="2530">
        <f t="shared" si="7"/>
        <v>0</v>
      </c>
      <c r="E47" s="2479"/>
      <c r="G47" s="2579"/>
      <c r="H47" s="2593" t="s">
        <v>6012</v>
      </c>
      <c r="I47" s="2594">
        <v>0</v>
      </c>
      <c r="J47" s="2507">
        <v>0</v>
      </c>
      <c r="K47" s="2507">
        <v>0</v>
      </c>
      <c r="L47" s="2507">
        <v>0</v>
      </c>
      <c r="M47" s="2507">
        <v>0</v>
      </c>
      <c r="N47" s="2507">
        <v>0</v>
      </c>
      <c r="O47" s="2507">
        <v>0</v>
      </c>
      <c r="P47" s="2511"/>
      <c r="Q47" s="2511"/>
      <c r="R47" s="2482"/>
      <c r="S47" s="2482"/>
      <c r="T47" s="2482"/>
      <c r="U47" s="2482"/>
      <c r="V47" s="2482"/>
      <c r="W47" s="2482"/>
    </row>
    <row r="48" spans="1:23" ht="16.7" customHeight="1" x14ac:dyDescent="0.2">
      <c r="A48" s="2497">
        <v>29</v>
      </c>
      <c r="B48" s="2502" t="s">
        <v>6410</v>
      </c>
      <c r="C48" s="2527">
        <v>0</v>
      </c>
      <c r="D48" s="2530">
        <f t="shared" si="7"/>
        <v>0</v>
      </c>
      <c r="E48" s="2479"/>
      <c r="G48" s="2579"/>
      <c r="H48" s="2593" t="s">
        <v>6014</v>
      </c>
      <c r="I48" s="2594">
        <v>0</v>
      </c>
      <c r="J48" s="2507">
        <v>0</v>
      </c>
      <c r="K48" s="2507">
        <v>0</v>
      </c>
      <c r="L48" s="2507">
        <v>0</v>
      </c>
      <c r="M48" s="2507">
        <v>0</v>
      </c>
      <c r="N48" s="2507">
        <v>0</v>
      </c>
      <c r="O48" s="2507">
        <v>0</v>
      </c>
      <c r="P48" s="2511"/>
      <c r="Q48" s="2511"/>
      <c r="R48" s="2482"/>
      <c r="S48" s="2482"/>
      <c r="T48" s="2482"/>
      <c r="U48" s="2482"/>
      <c r="V48" s="2482"/>
      <c r="W48" s="2482"/>
    </row>
    <row r="49" spans="1:23" ht="16.7" customHeight="1" x14ac:dyDescent="0.2">
      <c r="A49" s="2497">
        <v>30</v>
      </c>
      <c r="B49" s="2502" t="s">
        <v>6390</v>
      </c>
      <c r="C49" s="2616">
        <v>-144059425</v>
      </c>
      <c r="D49" s="2530">
        <f t="shared" si="7"/>
        <v>-70977165</v>
      </c>
      <c r="E49" s="2479"/>
      <c r="G49" s="2579"/>
      <c r="H49" s="2593" t="s">
        <v>6016</v>
      </c>
      <c r="I49" s="2594">
        <v>-100978752</v>
      </c>
      <c r="J49" s="2507">
        <v>-60920049</v>
      </c>
      <c r="K49" s="2507">
        <v>-27246813</v>
      </c>
      <c r="L49" s="2507">
        <v>-70977165</v>
      </c>
      <c r="M49" s="2507">
        <v>-47002269</v>
      </c>
      <c r="N49" s="2507">
        <v>-28372512</v>
      </c>
      <c r="O49" s="2507">
        <v>-13023124</v>
      </c>
      <c r="P49" s="2511"/>
      <c r="Q49" s="2511"/>
      <c r="R49" s="2482"/>
      <c r="S49" s="2482"/>
      <c r="T49" s="2482"/>
      <c r="U49" s="2482"/>
      <c r="V49" s="2482"/>
      <c r="W49" s="2482"/>
    </row>
    <row r="50" spans="1:23" ht="16.7" customHeight="1" x14ac:dyDescent="0.2">
      <c r="A50" s="2497">
        <v>31</v>
      </c>
      <c r="B50" s="2502"/>
      <c r="C50" s="2559"/>
      <c r="D50" s="2559"/>
      <c r="E50" s="2595">
        <f>B50</f>
        <v>0</v>
      </c>
      <c r="G50" s="2579"/>
      <c r="H50" s="2593" t="s">
        <v>6018</v>
      </c>
      <c r="I50" s="2554"/>
      <c r="J50" s="2511"/>
      <c r="K50" s="2511"/>
      <c r="L50" s="2511"/>
      <c r="M50" s="2511"/>
      <c r="N50" s="2511"/>
      <c r="O50" s="2511"/>
      <c r="P50" s="2511"/>
      <c r="Q50" s="2511"/>
      <c r="R50" s="2482"/>
      <c r="S50" s="2482"/>
      <c r="T50" s="2482"/>
      <c r="U50" s="2482"/>
      <c r="V50" s="2482"/>
      <c r="W50" s="2482"/>
    </row>
    <row r="51" spans="1:23" ht="16.7" customHeight="1" x14ac:dyDescent="0.2">
      <c r="A51" s="2497">
        <v>32</v>
      </c>
      <c r="B51" s="2509"/>
      <c r="C51" s="2559"/>
      <c r="D51" s="2559"/>
      <c r="E51" s="2595">
        <f>B51</f>
        <v>0</v>
      </c>
      <c r="G51" s="2579"/>
      <c r="H51" s="2593" t="s">
        <v>6020</v>
      </c>
      <c r="I51" s="2554"/>
      <c r="J51" s="2511"/>
      <c r="K51" s="2511"/>
      <c r="L51" s="2511"/>
      <c r="M51" s="2511"/>
      <c r="N51" s="2511"/>
      <c r="O51" s="2511"/>
      <c r="P51" s="2511"/>
      <c r="Q51" s="2511"/>
      <c r="R51" s="2482"/>
      <c r="S51" s="2482"/>
      <c r="T51" s="2482"/>
      <c r="U51" s="2482"/>
      <c r="V51" s="2482"/>
      <c r="W51" s="2482"/>
    </row>
    <row r="52" spans="1:23" ht="16.7" customHeight="1" x14ac:dyDescent="0.2">
      <c r="A52" s="2497">
        <v>33</v>
      </c>
      <c r="B52" s="2509"/>
      <c r="C52" s="2559"/>
      <c r="D52" s="2559"/>
      <c r="E52" s="2595">
        <f>B52</f>
        <v>0</v>
      </c>
      <c r="G52" s="2579"/>
      <c r="H52" s="2593" t="s">
        <v>6022</v>
      </c>
      <c r="I52" s="2554"/>
      <c r="J52" s="2511"/>
      <c r="K52" s="2511"/>
      <c r="L52" s="2511"/>
      <c r="M52" s="2511"/>
      <c r="N52" s="2511"/>
      <c r="O52" s="2511"/>
      <c r="P52" s="2511"/>
      <c r="Q52" s="2511"/>
      <c r="R52" s="2482"/>
      <c r="S52" s="2482"/>
      <c r="T52" s="2482"/>
      <c r="U52" s="2482"/>
      <c r="V52" s="2482"/>
      <c r="W52" s="2482"/>
    </row>
    <row r="53" spans="1:23" ht="16.7" customHeight="1" x14ac:dyDescent="0.2">
      <c r="A53" s="2497">
        <v>34</v>
      </c>
      <c r="B53" s="2502" t="s">
        <v>6411</v>
      </c>
      <c r="C53" s="2616">
        <f>SUM(C45:C48,C50:C52)-C49</f>
        <v>-3226055444</v>
      </c>
      <c r="D53" s="2616">
        <f>SUM(D45:D48,D50:D52)-D49</f>
        <v>-2165833964</v>
      </c>
      <c r="E53" s="2479"/>
      <c r="G53" s="2579"/>
      <c r="H53" s="2593" t="s">
        <v>6024</v>
      </c>
      <c r="I53" s="2594">
        <f t="shared" ref="I53:O53" si="8">SUM(I45:I48,I50:I52)-I49</f>
        <v>-2249929670</v>
      </c>
      <c r="J53" s="2507">
        <f t="shared" si="8"/>
        <v>-1528572626</v>
      </c>
      <c r="K53" s="2507">
        <f t="shared" si="8"/>
        <v>-643323929</v>
      </c>
      <c r="L53" s="2507">
        <f t="shared" si="8"/>
        <v>-2165833964</v>
      </c>
      <c r="M53" s="2507">
        <f t="shared" si="8"/>
        <v>-1481471942</v>
      </c>
      <c r="N53" s="2507">
        <f t="shared" si="8"/>
        <v>-893916391</v>
      </c>
      <c r="O53" s="2507">
        <f t="shared" si="8"/>
        <v>-374358386</v>
      </c>
      <c r="P53" s="2511"/>
      <c r="Q53" s="2511"/>
      <c r="R53" s="2482"/>
      <c r="S53" s="2482"/>
      <c r="T53" s="2482"/>
      <c r="U53" s="2482"/>
      <c r="V53" s="2482"/>
      <c r="W53" s="2482"/>
    </row>
    <row r="54" spans="1:23" ht="16.7" customHeight="1" x14ac:dyDescent="0.2">
      <c r="A54" s="2497">
        <v>35</v>
      </c>
      <c r="B54" s="2488"/>
      <c r="C54" s="2592"/>
      <c r="D54" s="2592"/>
      <c r="E54" s="2479"/>
      <c r="G54" s="2579"/>
      <c r="H54" s="2593" t="s">
        <v>6026</v>
      </c>
      <c r="I54" s="2554"/>
      <c r="J54" s="2511"/>
      <c r="K54" s="2511"/>
      <c r="L54" s="2511"/>
      <c r="M54" s="2511"/>
      <c r="N54" s="2511"/>
      <c r="O54" s="2511"/>
      <c r="P54" s="2511"/>
      <c r="Q54" s="2511"/>
      <c r="R54" s="2482"/>
      <c r="S54" s="2482"/>
      <c r="T54" s="2482"/>
      <c r="U54" s="2482"/>
      <c r="V54" s="2482"/>
      <c r="W54" s="2482"/>
    </row>
    <row r="55" spans="1:23" ht="16.7" customHeight="1" x14ac:dyDescent="0.2">
      <c r="A55" s="2497">
        <v>36</v>
      </c>
      <c r="B55" s="2512" t="s">
        <v>6412</v>
      </c>
      <c r="C55" s="2527">
        <v>0</v>
      </c>
      <c r="D55" s="2530">
        <f>SUMIF(H:H,A55,L:L)</f>
        <v>0</v>
      </c>
      <c r="E55" s="2479"/>
      <c r="G55" s="2579"/>
      <c r="H55" s="2593" t="s">
        <v>6028</v>
      </c>
      <c r="I55" s="2594">
        <v>0</v>
      </c>
      <c r="J55" s="2507">
        <v>0</v>
      </c>
      <c r="K55" s="2507">
        <v>0</v>
      </c>
      <c r="L55" s="2507">
        <v>0</v>
      </c>
      <c r="M55" s="2507">
        <v>0</v>
      </c>
      <c r="N55" s="2507">
        <v>0</v>
      </c>
      <c r="O55" s="2507">
        <v>0</v>
      </c>
      <c r="P55" s="2511"/>
      <c r="Q55" s="2511"/>
      <c r="R55" s="2482"/>
      <c r="S55" s="2482"/>
      <c r="T55" s="2482"/>
      <c r="U55" s="2482"/>
      <c r="V55" s="2482"/>
      <c r="W55" s="2482"/>
    </row>
    <row r="56" spans="1:23" ht="16.7" customHeight="1" x14ac:dyDescent="0.2">
      <c r="A56" s="2497">
        <v>37</v>
      </c>
      <c r="B56" s="2512" t="s">
        <v>6413</v>
      </c>
      <c r="C56" s="2531">
        <v>2425257</v>
      </c>
      <c r="D56" s="2531">
        <f>SUMIF(H:H,A56,L:L)</f>
        <v>1404192</v>
      </c>
      <c r="E56" s="2479"/>
      <c r="G56" s="2579"/>
      <c r="H56" s="2593" t="s">
        <v>6030</v>
      </c>
      <c r="I56" s="2594">
        <v>1278395</v>
      </c>
      <c r="J56" s="2507">
        <v>0</v>
      </c>
      <c r="K56" s="2507">
        <v>0</v>
      </c>
      <c r="L56" s="2507">
        <v>1404192</v>
      </c>
      <c r="M56" s="2507">
        <v>1150941</v>
      </c>
      <c r="N56" s="2507">
        <v>896383</v>
      </c>
      <c r="O56" s="2507">
        <v>650774</v>
      </c>
      <c r="P56" s="2511"/>
      <c r="Q56" s="2511"/>
      <c r="R56" s="2482"/>
      <c r="S56" s="2482"/>
      <c r="T56" s="2482"/>
      <c r="U56" s="2482"/>
      <c r="V56" s="2482"/>
      <c r="W56" s="2482"/>
    </row>
    <row r="57" spans="1:23" ht="16.7" customHeight="1" x14ac:dyDescent="0.2">
      <c r="A57" s="2497">
        <v>38</v>
      </c>
      <c r="B57" s="2488"/>
      <c r="C57" s="2488"/>
      <c r="D57" s="2614"/>
      <c r="E57" s="2595">
        <f>B57</f>
        <v>0</v>
      </c>
      <c r="G57" s="2579"/>
      <c r="H57" s="2593" t="s">
        <v>6032</v>
      </c>
      <c r="I57" s="2554"/>
      <c r="J57" s="2511"/>
      <c r="K57" s="2511"/>
      <c r="L57" s="2511"/>
      <c r="M57" s="2511"/>
      <c r="N57" s="2511"/>
      <c r="O57" s="2511"/>
      <c r="P57" s="2511"/>
      <c r="Q57" s="2511"/>
      <c r="R57" s="2482"/>
      <c r="S57" s="2482"/>
      <c r="T57" s="2482"/>
      <c r="U57" s="2482"/>
      <c r="V57" s="2482"/>
      <c r="W57" s="2482"/>
    </row>
    <row r="58" spans="1:23" ht="16.7" customHeight="1" x14ac:dyDescent="0.2">
      <c r="A58" s="2497">
        <v>39</v>
      </c>
      <c r="B58" s="2512" t="s">
        <v>6414</v>
      </c>
      <c r="C58" s="2527">
        <v>0</v>
      </c>
      <c r="D58" s="2530">
        <f>SUMIF(H:H,A58,L:L)</f>
        <v>0</v>
      </c>
      <c r="E58" s="2479"/>
      <c r="G58" s="2579"/>
      <c r="H58" s="2593" t="s">
        <v>6034</v>
      </c>
      <c r="I58" s="2594">
        <v>0</v>
      </c>
      <c r="J58" s="2507">
        <v>0</v>
      </c>
      <c r="K58" s="2507">
        <v>0</v>
      </c>
      <c r="L58" s="2507">
        <v>0</v>
      </c>
      <c r="M58" s="2507">
        <v>0</v>
      </c>
      <c r="N58" s="2507">
        <v>0</v>
      </c>
      <c r="O58" s="2507">
        <v>0</v>
      </c>
      <c r="P58" s="2511"/>
      <c r="Q58" s="2511"/>
      <c r="R58" s="2482"/>
      <c r="S58" s="2482"/>
      <c r="T58" s="2482"/>
      <c r="U58" s="2482"/>
      <c r="V58" s="2482"/>
      <c r="W58" s="2482"/>
    </row>
    <row r="59" spans="1:23" ht="16.7" customHeight="1" x14ac:dyDescent="0.2">
      <c r="A59" s="2497">
        <v>40</v>
      </c>
      <c r="B59" s="2512" t="s">
        <v>6415</v>
      </c>
      <c r="C59" s="2527">
        <v>0</v>
      </c>
      <c r="D59" s="2530">
        <f>SUMIF(H:H,A59,L:L)</f>
        <v>0</v>
      </c>
      <c r="E59" s="2479"/>
      <c r="G59" s="2579"/>
      <c r="H59" s="2593" t="s">
        <v>6036</v>
      </c>
      <c r="I59" s="2594">
        <v>0</v>
      </c>
      <c r="J59" s="2507">
        <v>0</v>
      </c>
      <c r="K59" s="2507">
        <v>0</v>
      </c>
      <c r="L59" s="2507">
        <v>0</v>
      </c>
      <c r="M59" s="2507">
        <v>0</v>
      </c>
      <c r="N59" s="2507">
        <v>0</v>
      </c>
      <c r="O59" s="2507">
        <v>0</v>
      </c>
      <c r="P59" s="2511"/>
      <c r="Q59" s="2511"/>
      <c r="R59" s="2482"/>
      <c r="S59" s="2482"/>
      <c r="T59" s="2482"/>
      <c r="U59" s="2482"/>
      <c r="V59" s="2482"/>
      <c r="W59" s="2482"/>
    </row>
    <row r="60" spans="1:23" ht="16.7" customHeight="1" x14ac:dyDescent="0.2">
      <c r="A60" s="2497">
        <v>41</v>
      </c>
      <c r="B60" s="2512" t="s">
        <v>6416</v>
      </c>
      <c r="C60" s="2592"/>
      <c r="D60" s="2619"/>
      <c r="E60" s="2479"/>
      <c r="G60" s="2579"/>
      <c r="H60" s="2593" t="s">
        <v>6038</v>
      </c>
      <c r="I60" s="2554"/>
      <c r="J60" s="2511"/>
      <c r="K60" s="2511"/>
      <c r="L60" s="2511"/>
      <c r="M60" s="2511"/>
      <c r="N60" s="2511"/>
      <c r="O60" s="2511"/>
      <c r="P60" s="2511"/>
      <c r="Q60" s="2511"/>
      <c r="R60" s="2482"/>
      <c r="S60" s="2482"/>
      <c r="T60" s="2482"/>
      <c r="U60" s="2482"/>
      <c r="V60" s="2482"/>
      <c r="W60" s="2482"/>
    </row>
    <row r="61" spans="1:23" ht="16.7" customHeight="1" x14ac:dyDescent="0.2">
      <c r="A61" s="2497">
        <v>42</v>
      </c>
      <c r="B61" s="2512" t="s">
        <v>6417</v>
      </c>
      <c r="C61" s="2530">
        <v>0</v>
      </c>
      <c r="D61" s="2530">
        <f>SUMIF(H:H,A61,L:L)</f>
        <v>0</v>
      </c>
      <c r="E61" s="2479"/>
      <c r="G61" s="2579"/>
      <c r="H61" s="2593" t="s">
        <v>6040</v>
      </c>
      <c r="I61" s="2594">
        <v>0</v>
      </c>
      <c r="J61" s="2507">
        <v>0</v>
      </c>
      <c r="K61" s="2507">
        <v>0</v>
      </c>
      <c r="L61" s="2507">
        <v>0</v>
      </c>
      <c r="M61" s="2507">
        <v>0</v>
      </c>
      <c r="N61" s="2507">
        <v>0</v>
      </c>
      <c r="O61" s="2507">
        <v>0</v>
      </c>
      <c r="P61" s="2511"/>
      <c r="Q61" s="2511"/>
      <c r="R61" s="2482"/>
      <c r="S61" s="2482"/>
      <c r="T61" s="2482"/>
      <c r="U61" s="2482"/>
      <c r="V61" s="2482"/>
      <c r="W61" s="2482"/>
    </row>
    <row r="62" spans="1:23" ht="16.7" customHeight="1" x14ac:dyDescent="0.2">
      <c r="A62" s="2497">
        <v>43</v>
      </c>
      <c r="B62" s="2488"/>
      <c r="C62" s="2488"/>
      <c r="D62" s="2614"/>
      <c r="E62" s="2595">
        <f>B62</f>
        <v>0</v>
      </c>
      <c r="G62" s="2579"/>
      <c r="H62" s="2593" t="s">
        <v>6042</v>
      </c>
      <c r="I62" s="2554"/>
      <c r="J62" s="2511"/>
      <c r="K62" s="2511"/>
      <c r="L62" s="2511"/>
      <c r="M62" s="2511"/>
      <c r="N62" s="2511"/>
      <c r="O62" s="2511"/>
      <c r="P62" s="2511"/>
      <c r="Q62" s="2511"/>
      <c r="R62" s="2482"/>
      <c r="S62" s="2482"/>
      <c r="T62" s="2482"/>
      <c r="U62" s="2482"/>
      <c r="V62" s="2482"/>
      <c r="W62" s="2482"/>
    </row>
    <row r="63" spans="1:23" ht="16.7" customHeight="1" x14ac:dyDescent="0.2">
      <c r="A63" s="2497">
        <v>44</v>
      </c>
      <c r="B63" s="2512" t="s">
        <v>6418</v>
      </c>
      <c r="C63" s="2527">
        <v>0</v>
      </c>
      <c r="D63" s="2530">
        <f>SUMIF(H:H,A63,L:L)</f>
        <v>0</v>
      </c>
      <c r="E63" s="2479"/>
      <c r="G63" s="2579"/>
      <c r="H63" s="2593" t="s">
        <v>6044</v>
      </c>
      <c r="I63" s="2594">
        <v>0</v>
      </c>
      <c r="J63" s="2507">
        <v>0</v>
      </c>
      <c r="K63" s="2507">
        <v>0</v>
      </c>
      <c r="L63" s="2507">
        <v>0</v>
      </c>
      <c r="M63" s="2507">
        <v>0</v>
      </c>
      <c r="N63" s="2507">
        <v>0</v>
      </c>
      <c r="O63" s="2507">
        <v>0</v>
      </c>
      <c r="P63" s="2511"/>
      <c r="Q63" s="2511"/>
      <c r="R63" s="2482"/>
      <c r="S63" s="2482"/>
      <c r="T63" s="2482"/>
      <c r="U63" s="2482"/>
      <c r="V63" s="2482"/>
      <c r="W63" s="2482"/>
    </row>
    <row r="64" spans="1:23" ht="15" customHeight="1" x14ac:dyDescent="0.2">
      <c r="A64" s="2497">
        <v>45</v>
      </c>
      <c r="B64" s="2512" t="s">
        <v>6419</v>
      </c>
      <c r="C64" s="2527">
        <v>0</v>
      </c>
      <c r="D64" s="2530">
        <f>SUMIF(H:H,A64,L:L)</f>
        <v>0</v>
      </c>
      <c r="E64" s="2479"/>
      <c r="G64" s="2579"/>
      <c r="H64" s="2593" t="s">
        <v>6046</v>
      </c>
      <c r="I64" s="2594">
        <v>0</v>
      </c>
      <c r="J64" s="2507">
        <v>0</v>
      </c>
      <c r="K64" s="2507">
        <v>0</v>
      </c>
      <c r="L64" s="2507">
        <v>0</v>
      </c>
      <c r="M64" s="2507">
        <v>0</v>
      </c>
      <c r="N64" s="2507">
        <v>0</v>
      </c>
      <c r="O64" s="2507">
        <v>0</v>
      </c>
      <c r="P64" s="2511"/>
      <c r="Q64" s="2511"/>
      <c r="R64" s="2482"/>
      <c r="S64" s="2482"/>
      <c r="T64" s="2482"/>
      <c r="U64" s="2482"/>
      <c r="V64" s="2482"/>
      <c r="W64" s="2482"/>
    </row>
    <row r="65" spans="1:23" ht="16.7" customHeight="1" x14ac:dyDescent="0.2">
      <c r="A65" s="2497">
        <v>46</v>
      </c>
      <c r="B65" s="2512" t="s">
        <v>6420</v>
      </c>
      <c r="C65" s="2527">
        <v>0</v>
      </c>
      <c r="D65" s="2530">
        <f>SUMIF(H:H,A65,L:L)</f>
        <v>0</v>
      </c>
      <c r="E65" s="2479"/>
      <c r="G65" s="2579"/>
      <c r="H65" s="2593" t="s">
        <v>6048</v>
      </c>
      <c r="I65" s="2594">
        <v>0</v>
      </c>
      <c r="J65" s="2507">
        <v>0</v>
      </c>
      <c r="K65" s="2507">
        <v>0</v>
      </c>
      <c r="L65" s="2507">
        <v>0</v>
      </c>
      <c r="M65" s="2507">
        <v>0</v>
      </c>
      <c r="N65" s="2507">
        <v>0</v>
      </c>
      <c r="O65" s="2507">
        <v>0</v>
      </c>
      <c r="P65" s="2511"/>
      <c r="Q65" s="2511"/>
      <c r="R65" s="2482"/>
      <c r="S65" s="2482"/>
      <c r="T65" s="2482"/>
      <c r="U65" s="2482"/>
      <c r="V65" s="2482"/>
      <c r="W65" s="2482"/>
    </row>
    <row r="66" spans="1:23" ht="16.7" customHeight="1" x14ac:dyDescent="0.2">
      <c r="A66" s="2497">
        <v>47</v>
      </c>
      <c r="B66" s="2512" t="s">
        <v>6421</v>
      </c>
      <c r="C66" s="2527">
        <v>0</v>
      </c>
      <c r="D66" s="2530">
        <f>SUMIF(H:H,A66,L:L)</f>
        <v>0</v>
      </c>
      <c r="E66" s="2479"/>
      <c r="G66" s="2579"/>
      <c r="H66" s="2593" t="s">
        <v>6050</v>
      </c>
      <c r="I66" s="2594">
        <v>0</v>
      </c>
      <c r="J66" s="2507">
        <v>0</v>
      </c>
      <c r="K66" s="2507">
        <v>0</v>
      </c>
      <c r="L66" s="2507">
        <v>0</v>
      </c>
      <c r="M66" s="2507">
        <v>0</v>
      </c>
      <c r="N66" s="2507">
        <v>0</v>
      </c>
      <c r="O66" s="2507">
        <v>0</v>
      </c>
      <c r="P66" s="2511"/>
      <c r="Q66" s="2511"/>
      <c r="R66" s="2482"/>
      <c r="S66" s="2482"/>
      <c r="T66" s="2482"/>
      <c r="U66" s="2482"/>
      <c r="V66" s="2482"/>
      <c r="W66" s="2482"/>
    </row>
    <row r="67" spans="1:23" ht="16.7" customHeight="1" x14ac:dyDescent="0.2">
      <c r="A67" s="2497">
        <v>48</v>
      </c>
      <c r="B67" s="2488"/>
      <c r="C67" s="2488"/>
      <c r="D67" s="2614"/>
      <c r="E67" s="2595">
        <f>B67</f>
        <v>0</v>
      </c>
      <c r="G67" s="2579"/>
      <c r="H67" s="2593" t="s">
        <v>6052</v>
      </c>
      <c r="I67" s="2554"/>
      <c r="J67" s="2511"/>
      <c r="K67" s="2511"/>
      <c r="L67" s="2511"/>
      <c r="M67" s="2511"/>
      <c r="N67" s="2511"/>
      <c r="O67" s="2511"/>
      <c r="P67" s="2511"/>
      <c r="Q67" s="2511"/>
      <c r="R67" s="2482"/>
      <c r="S67" s="2482"/>
      <c r="T67" s="2482"/>
      <c r="U67" s="2482"/>
      <c r="V67" s="2482"/>
      <c r="W67" s="2482"/>
    </row>
    <row r="68" spans="1:23" ht="16.7" customHeight="1" x14ac:dyDescent="0.2">
      <c r="A68" s="2497">
        <v>49</v>
      </c>
      <c r="B68" s="2512" t="s">
        <v>6384</v>
      </c>
      <c r="C68" s="2527">
        <v>0</v>
      </c>
      <c r="D68" s="2530">
        <f t="shared" ref="D68:D74" si="9">SUMIF(H:H,A68,L:L)</f>
        <v>0</v>
      </c>
      <c r="E68" s="2479"/>
      <c r="G68" s="2579"/>
      <c r="H68" s="2593" t="s">
        <v>6054</v>
      </c>
      <c r="I68" s="2594">
        <v>0</v>
      </c>
      <c r="J68" s="2507">
        <v>0</v>
      </c>
      <c r="K68" s="2507">
        <v>0</v>
      </c>
      <c r="L68" s="2507">
        <v>0</v>
      </c>
      <c r="M68" s="2507">
        <v>0</v>
      </c>
      <c r="N68" s="2507">
        <v>0</v>
      </c>
      <c r="O68" s="2507">
        <v>0</v>
      </c>
      <c r="P68" s="2511"/>
      <c r="Q68" s="2511"/>
      <c r="R68" s="2482"/>
      <c r="S68" s="2482"/>
      <c r="T68" s="2482"/>
      <c r="U68" s="2482"/>
      <c r="V68" s="2482"/>
      <c r="W68" s="2482"/>
    </row>
    <row r="69" spans="1:23" ht="16.7" customHeight="1" x14ac:dyDescent="0.2">
      <c r="A69" s="2497">
        <v>50</v>
      </c>
      <c r="B69" s="2512" t="s">
        <v>6422</v>
      </c>
      <c r="C69" s="2527">
        <v>0</v>
      </c>
      <c r="D69" s="2530">
        <f t="shared" si="9"/>
        <v>0</v>
      </c>
      <c r="E69" s="2479"/>
      <c r="G69" s="2579"/>
      <c r="H69" s="2593" t="s">
        <v>6056</v>
      </c>
      <c r="I69" s="2594">
        <v>0</v>
      </c>
      <c r="J69" s="2507">
        <v>0</v>
      </c>
      <c r="K69" s="2507">
        <v>0</v>
      </c>
      <c r="L69" s="2507">
        <v>0</v>
      </c>
      <c r="M69" s="2507">
        <v>0</v>
      </c>
      <c r="N69" s="2507">
        <v>0</v>
      </c>
      <c r="O69" s="2507">
        <v>0</v>
      </c>
      <c r="P69" s="2511"/>
      <c r="Q69" s="2511"/>
      <c r="R69" s="2482"/>
      <c r="S69" s="2482"/>
      <c r="T69" s="2482"/>
      <c r="U69" s="2482"/>
      <c r="V69" s="2482"/>
      <c r="W69" s="2482"/>
    </row>
    <row r="70" spans="1:23" ht="16.7" customHeight="1" x14ac:dyDescent="0.2">
      <c r="A70" s="2497">
        <v>51</v>
      </c>
      <c r="B70" s="2512" t="s">
        <v>6423</v>
      </c>
      <c r="C70" s="2527">
        <v>0</v>
      </c>
      <c r="D70" s="2530">
        <f t="shared" si="9"/>
        <v>0</v>
      </c>
      <c r="E70" s="2479"/>
      <c r="G70" s="2579"/>
      <c r="H70" s="2593" t="s">
        <v>6059</v>
      </c>
      <c r="I70" s="2594">
        <v>0</v>
      </c>
      <c r="J70" s="2507">
        <v>0</v>
      </c>
      <c r="K70" s="2507">
        <v>0</v>
      </c>
      <c r="L70" s="2507">
        <v>0</v>
      </c>
      <c r="M70" s="2507">
        <v>0</v>
      </c>
      <c r="N70" s="2507">
        <v>0</v>
      </c>
      <c r="O70" s="2507">
        <v>0</v>
      </c>
      <c r="P70" s="2511"/>
      <c r="Q70" s="2511"/>
      <c r="R70" s="2482"/>
      <c r="S70" s="2482"/>
      <c r="T70" s="2482"/>
      <c r="U70" s="2482"/>
      <c r="V70" s="2482"/>
      <c r="W70" s="2482"/>
    </row>
    <row r="71" spans="1:23" ht="16.7" customHeight="1" x14ac:dyDescent="0.2">
      <c r="A71" s="2497">
        <v>52</v>
      </c>
      <c r="B71" s="2512" t="s">
        <v>6387</v>
      </c>
      <c r="C71" s="2527">
        <v>0</v>
      </c>
      <c r="D71" s="2530">
        <f t="shared" si="9"/>
        <v>0</v>
      </c>
      <c r="E71" s="2479"/>
      <c r="G71" s="2579"/>
      <c r="H71" s="2593" t="s">
        <v>6061</v>
      </c>
      <c r="I71" s="2594">
        <v>0</v>
      </c>
      <c r="J71" s="2507">
        <v>0</v>
      </c>
      <c r="K71" s="2507">
        <v>0</v>
      </c>
      <c r="L71" s="2507">
        <v>0</v>
      </c>
      <c r="M71" s="2507">
        <v>0</v>
      </c>
      <c r="N71" s="2507">
        <v>0</v>
      </c>
      <c r="O71" s="2507">
        <v>0</v>
      </c>
      <c r="P71" s="2511"/>
      <c r="Q71" s="2511"/>
      <c r="R71" s="2482"/>
      <c r="S71" s="2482"/>
      <c r="T71" s="2482"/>
      <c r="U71" s="2482"/>
      <c r="V71" s="2482"/>
      <c r="W71" s="2482"/>
    </row>
    <row r="72" spans="1:23" ht="16.7" customHeight="1" x14ac:dyDescent="0.2">
      <c r="A72" s="2497">
        <v>53</v>
      </c>
      <c r="B72" s="2512" t="s">
        <v>6424</v>
      </c>
      <c r="C72" s="2559"/>
      <c r="D72" s="2530">
        <f t="shared" si="9"/>
        <v>0</v>
      </c>
      <c r="E72" s="2479" t="str">
        <f t="shared" ref="E72:E77" si="10">B72</f>
        <v>Other Investing Activities:</v>
      </c>
      <c r="G72" s="2579"/>
      <c r="H72" s="2593" t="s">
        <v>6063</v>
      </c>
      <c r="I72" s="2554"/>
      <c r="J72" s="2511"/>
      <c r="K72" s="2511"/>
      <c r="L72" s="2511"/>
      <c r="M72" s="2511"/>
      <c r="N72" s="2511"/>
      <c r="O72" s="2511"/>
      <c r="P72" s="2511"/>
      <c r="Q72" s="2511"/>
      <c r="R72" s="2482"/>
      <c r="S72" s="2482"/>
      <c r="T72" s="2482"/>
      <c r="U72" s="2482"/>
      <c r="V72" s="2482"/>
      <c r="W72" s="2482"/>
    </row>
    <row r="73" spans="1:23" ht="16.7" customHeight="1" x14ac:dyDescent="0.2">
      <c r="A73" s="2615">
        <v>53.1</v>
      </c>
      <c r="B73" s="2488" t="s">
        <v>6425</v>
      </c>
      <c r="C73" s="2527">
        <v>59858</v>
      </c>
      <c r="D73" s="2530">
        <f t="shared" si="9"/>
        <v>996980</v>
      </c>
      <c r="E73" s="2479" t="str">
        <f t="shared" si="10"/>
        <v>Other investments / special funds</v>
      </c>
      <c r="G73" s="2579"/>
      <c r="H73" s="2593" t="s">
        <v>6426</v>
      </c>
      <c r="I73" s="2594">
        <v>5288556</v>
      </c>
      <c r="J73" s="2507">
        <v>553495</v>
      </c>
      <c r="K73" s="2507">
        <v>322059</v>
      </c>
      <c r="L73" s="2507">
        <v>996980</v>
      </c>
      <c r="M73" s="2507">
        <v>624997</v>
      </c>
      <c r="N73" s="2507">
        <v>1355256</v>
      </c>
      <c r="O73" s="2507">
        <v>-912950</v>
      </c>
      <c r="P73" s="2511"/>
      <c r="Q73" s="2511"/>
      <c r="R73" s="2482"/>
      <c r="S73" s="2482"/>
      <c r="T73" s="2482"/>
      <c r="U73" s="2482"/>
      <c r="V73" s="2482"/>
      <c r="W73" s="2482"/>
    </row>
    <row r="74" spans="1:23" ht="23.25" customHeight="1" x14ac:dyDescent="0.2">
      <c r="A74" s="2615">
        <v>53.2</v>
      </c>
      <c r="B74" s="2488" t="s">
        <v>6427</v>
      </c>
      <c r="C74" s="2527">
        <v>-1769814</v>
      </c>
      <c r="D74" s="2530">
        <f t="shared" si="9"/>
        <v>2353006</v>
      </c>
      <c r="E74" s="2479" t="str">
        <f t="shared" si="10"/>
        <v>Net proceeds from (purchases of) long-term incentive plan and deferred compensation securities</v>
      </c>
      <c r="G74" s="2579"/>
      <c r="H74" s="2593" t="s">
        <v>6428</v>
      </c>
      <c r="I74" s="2594">
        <v>-1240040</v>
      </c>
      <c r="J74" s="2507">
        <v>-1214546</v>
      </c>
      <c r="K74" s="2507">
        <v>-906662</v>
      </c>
      <c r="L74" s="2507">
        <v>2353006</v>
      </c>
      <c r="M74" s="2507">
        <v>3034091</v>
      </c>
      <c r="N74" s="2507">
        <v>3235065</v>
      </c>
      <c r="O74" s="2507">
        <v>3373944</v>
      </c>
      <c r="P74" s="2511"/>
      <c r="Q74" s="2511"/>
      <c r="R74" s="2482"/>
      <c r="S74" s="2482"/>
      <c r="T74" s="2482"/>
      <c r="U74" s="2482"/>
      <c r="V74" s="2482"/>
      <c r="W74" s="2482"/>
    </row>
    <row r="75" spans="1:23" ht="16.7" customHeight="1" x14ac:dyDescent="0.2">
      <c r="A75" s="2615">
        <v>53.3</v>
      </c>
      <c r="B75" s="2488" t="s">
        <v>6429</v>
      </c>
      <c r="C75" s="2527">
        <v>5297714</v>
      </c>
      <c r="D75" s="2614"/>
      <c r="E75" s="2479" t="str">
        <f t="shared" si="10"/>
        <v>Net proceeds from (purchases of) company owned life insurance policies</v>
      </c>
      <c r="G75" s="2579"/>
      <c r="H75" s="2593" t="s">
        <v>6430</v>
      </c>
      <c r="I75" s="2594">
        <v>0</v>
      </c>
      <c r="J75" s="2507">
        <v>0</v>
      </c>
      <c r="K75" s="2507">
        <v>0</v>
      </c>
      <c r="L75" s="2507">
        <v>0</v>
      </c>
      <c r="M75" s="2507">
        <v>0</v>
      </c>
      <c r="N75" s="2507">
        <v>0</v>
      </c>
      <c r="O75" s="2507">
        <v>0</v>
      </c>
      <c r="P75" s="2511"/>
      <c r="Q75" s="2511"/>
      <c r="R75" s="2482"/>
      <c r="S75" s="2482"/>
      <c r="T75" s="2482"/>
      <c r="U75" s="2482"/>
      <c r="V75" s="2482"/>
      <c r="W75" s="2482"/>
    </row>
    <row r="76" spans="1:23" ht="16.7" customHeight="1" x14ac:dyDescent="0.2">
      <c r="A76" s="2497">
        <v>54</v>
      </c>
      <c r="B76" s="2488"/>
      <c r="C76" s="2559"/>
      <c r="D76" s="2614"/>
      <c r="E76" s="2595">
        <f t="shared" si="10"/>
        <v>0</v>
      </c>
      <c r="G76" s="2579"/>
      <c r="H76" s="2593" t="s">
        <v>6065</v>
      </c>
      <c r="I76" s="2554"/>
      <c r="J76" s="2511"/>
      <c r="K76" s="2511"/>
      <c r="L76" s="2511"/>
      <c r="M76" s="2511"/>
      <c r="N76" s="2511"/>
      <c r="O76" s="2511"/>
      <c r="P76" s="2511"/>
      <c r="Q76" s="2511"/>
      <c r="R76" s="2482"/>
      <c r="S76" s="2482"/>
      <c r="T76" s="2482"/>
      <c r="U76" s="2482"/>
      <c r="V76" s="2482"/>
      <c r="W76" s="2482"/>
    </row>
    <row r="77" spans="1:23" ht="16.7" customHeight="1" x14ac:dyDescent="0.2">
      <c r="A77" s="2497">
        <v>55</v>
      </c>
      <c r="B77" s="2488"/>
      <c r="C77" s="2488"/>
      <c r="D77" s="2559"/>
      <c r="E77" s="2595">
        <f t="shared" si="10"/>
        <v>0</v>
      </c>
      <c r="G77" s="2579"/>
      <c r="H77" s="2593" t="s">
        <v>6067</v>
      </c>
      <c r="I77" s="2554"/>
      <c r="J77" s="2511"/>
      <c r="K77" s="2511"/>
      <c r="L77" s="2511"/>
      <c r="M77" s="2511"/>
      <c r="N77" s="2511"/>
      <c r="O77" s="2511"/>
      <c r="P77" s="2511"/>
      <c r="Q77" s="2511"/>
      <c r="R77" s="2482"/>
      <c r="S77" s="2482"/>
      <c r="T77" s="2482"/>
      <c r="U77" s="2482"/>
      <c r="V77" s="2482"/>
      <c r="W77" s="2482"/>
    </row>
    <row r="78" spans="1:23" ht="16.7" customHeight="1" x14ac:dyDescent="0.2">
      <c r="A78" s="2497">
        <v>56</v>
      </c>
      <c r="B78" s="2512" t="s">
        <v>6431</v>
      </c>
      <c r="C78" s="2529"/>
      <c r="D78" s="2529"/>
      <c r="E78" s="2479"/>
      <c r="G78" s="2579"/>
      <c r="H78" s="2593" t="s">
        <v>6069</v>
      </c>
      <c r="I78" s="2554"/>
      <c r="J78" s="2511"/>
      <c r="K78" s="2511"/>
      <c r="L78" s="2511"/>
      <c r="M78" s="2511"/>
      <c r="N78" s="2511"/>
      <c r="O78" s="2511"/>
      <c r="P78" s="2511"/>
      <c r="Q78" s="2511"/>
      <c r="R78" s="2482"/>
      <c r="S78" s="2482"/>
      <c r="T78" s="2482"/>
      <c r="U78" s="2482"/>
      <c r="V78" s="2482"/>
      <c r="W78" s="2482"/>
    </row>
    <row r="79" spans="1:23" ht="16.7" customHeight="1" x14ac:dyDescent="0.2">
      <c r="A79" s="2497">
        <v>57</v>
      </c>
      <c r="B79" s="2502" t="s">
        <v>6432</v>
      </c>
      <c r="C79" s="2527">
        <f>SUM(C53:C64,C65:C77)</f>
        <v>-3220042429</v>
      </c>
      <c r="D79" s="2527">
        <f>SUM(D53:D64,D65:D77)</f>
        <v>-2161079786</v>
      </c>
      <c r="E79" s="2479"/>
      <c r="G79" s="2579"/>
      <c r="H79" s="2593" t="s">
        <v>6071</v>
      </c>
      <c r="I79" s="2594">
        <f t="shared" ref="I79:O79" si="11">SUM(I53:I64,I65:I77)</f>
        <v>-2244602759</v>
      </c>
      <c r="J79" s="2507">
        <f t="shared" si="11"/>
        <v>-1529233677</v>
      </c>
      <c r="K79" s="2507">
        <f t="shared" si="11"/>
        <v>-643908532</v>
      </c>
      <c r="L79" s="2507">
        <f t="shared" si="11"/>
        <v>-2161079786</v>
      </c>
      <c r="M79" s="2507">
        <f t="shared" si="11"/>
        <v>-1476661913</v>
      </c>
      <c r="N79" s="2507">
        <f t="shared" si="11"/>
        <v>-888429687</v>
      </c>
      <c r="O79" s="2507">
        <f t="shared" si="11"/>
        <v>-371246618</v>
      </c>
      <c r="P79" s="2511"/>
      <c r="Q79" s="2511"/>
      <c r="R79" s="2482"/>
      <c r="S79" s="2482"/>
      <c r="T79" s="2482"/>
      <c r="U79" s="2482"/>
      <c r="V79" s="2482"/>
      <c r="W79" s="2482"/>
    </row>
    <row r="80" spans="1:23" ht="16.7" customHeight="1" x14ac:dyDescent="0.2">
      <c r="A80" s="2497">
        <v>58</v>
      </c>
      <c r="B80" s="2488"/>
      <c r="C80" s="2529"/>
      <c r="D80" s="2529"/>
      <c r="E80" s="2479"/>
      <c r="G80" s="2579"/>
      <c r="H80" s="2593" t="s">
        <v>6073</v>
      </c>
      <c r="I80" s="2554"/>
      <c r="J80" s="2511"/>
      <c r="K80" s="2511"/>
      <c r="L80" s="2511"/>
      <c r="M80" s="2511"/>
      <c r="N80" s="2511"/>
      <c r="O80" s="2511"/>
      <c r="P80" s="2511"/>
      <c r="Q80" s="2511"/>
      <c r="R80" s="2482"/>
      <c r="S80" s="2482"/>
      <c r="T80" s="2482"/>
      <c r="U80" s="2482"/>
      <c r="V80" s="2482"/>
      <c r="W80" s="2482"/>
    </row>
    <row r="81" spans="1:23" ht="16.7" customHeight="1" x14ac:dyDescent="0.2">
      <c r="A81" s="2497">
        <v>59</v>
      </c>
      <c r="B81" s="2512" t="s">
        <v>6433</v>
      </c>
      <c r="C81" s="2529"/>
      <c r="D81" s="2529"/>
      <c r="E81" s="2479"/>
      <c r="G81" s="2579"/>
      <c r="H81" s="2593" t="s">
        <v>6075</v>
      </c>
      <c r="I81" s="2554"/>
      <c r="J81" s="2511"/>
      <c r="K81" s="2511"/>
      <c r="L81" s="2511"/>
      <c r="M81" s="2511"/>
      <c r="N81" s="2511"/>
      <c r="O81" s="2511"/>
      <c r="P81" s="2511"/>
      <c r="Q81" s="2511"/>
      <c r="R81" s="2482"/>
      <c r="S81" s="2482"/>
      <c r="T81" s="2482"/>
      <c r="U81" s="2482"/>
      <c r="V81" s="2482"/>
      <c r="W81" s="2482"/>
    </row>
    <row r="82" spans="1:23" ht="16.7" customHeight="1" x14ac:dyDescent="0.2">
      <c r="A82" s="2497">
        <v>60</v>
      </c>
      <c r="B82" s="2512" t="s">
        <v>6434</v>
      </c>
      <c r="C82" s="2529"/>
      <c r="D82" s="2529"/>
      <c r="E82" s="2479"/>
      <c r="G82" s="2579"/>
      <c r="H82" s="2593" t="s">
        <v>6077</v>
      </c>
      <c r="I82" s="2554"/>
      <c r="J82" s="2511"/>
      <c r="K82" s="2511"/>
      <c r="L82" s="2511"/>
      <c r="M82" s="2511"/>
      <c r="N82" s="2511"/>
      <c r="O82" s="2511"/>
      <c r="P82" s="2511"/>
      <c r="Q82" s="2511"/>
      <c r="R82" s="2482"/>
      <c r="S82" s="2482"/>
      <c r="T82" s="2482"/>
      <c r="U82" s="2482"/>
      <c r="V82" s="2482"/>
      <c r="W82" s="2482"/>
    </row>
    <row r="83" spans="1:23" ht="16.7" customHeight="1" x14ac:dyDescent="0.2">
      <c r="A83" s="2497">
        <v>61</v>
      </c>
      <c r="B83" s="2502" t="s">
        <v>6435</v>
      </c>
      <c r="C83" s="2527">
        <v>1188459721</v>
      </c>
      <c r="D83" s="2530">
        <f>SUMIF(H:H,A83,L:L)</f>
        <v>1087491374</v>
      </c>
      <c r="E83" s="2479"/>
      <c r="G83" s="2579"/>
      <c r="H83" s="2593" t="s">
        <v>6079</v>
      </c>
      <c r="I83" s="2594">
        <v>1188467807</v>
      </c>
      <c r="J83" s="2507">
        <v>1189532843</v>
      </c>
      <c r="K83" s="2507">
        <v>0</v>
      </c>
      <c r="L83" s="2507">
        <v>1087491374</v>
      </c>
      <c r="M83" s="2507">
        <v>0</v>
      </c>
      <c r="N83" s="2507">
        <v>0</v>
      </c>
      <c r="O83" s="2507">
        <v>0</v>
      </c>
      <c r="P83" s="2511"/>
      <c r="Q83" s="2511"/>
      <c r="R83" s="2482"/>
      <c r="S83" s="2482"/>
      <c r="T83" s="2482"/>
      <c r="U83" s="2482"/>
      <c r="V83" s="2482"/>
      <c r="W83" s="2482"/>
    </row>
    <row r="84" spans="1:23" ht="16.7" customHeight="1" x14ac:dyDescent="0.2">
      <c r="A84" s="2497">
        <v>62</v>
      </c>
      <c r="B84" s="2502" t="s">
        <v>6436</v>
      </c>
      <c r="C84" s="2527">
        <v>0</v>
      </c>
      <c r="D84" s="2530">
        <f>SUMIF(H:H,A84,L:L)</f>
        <v>0</v>
      </c>
      <c r="E84" s="2479"/>
      <c r="G84" s="2579"/>
      <c r="H84" s="2593" t="s">
        <v>6081</v>
      </c>
      <c r="I84" s="2594">
        <v>0</v>
      </c>
      <c r="J84" s="2507">
        <v>0</v>
      </c>
      <c r="K84" s="2507">
        <v>0</v>
      </c>
      <c r="L84" s="2507">
        <v>0</v>
      </c>
      <c r="M84" s="2507">
        <v>0</v>
      </c>
      <c r="N84" s="2507">
        <v>0</v>
      </c>
      <c r="O84" s="2507">
        <v>0</v>
      </c>
      <c r="P84" s="2511"/>
      <c r="Q84" s="2511"/>
      <c r="R84" s="2482"/>
      <c r="S84" s="2482"/>
      <c r="T84" s="2482"/>
      <c r="U84" s="2482"/>
      <c r="V84" s="2482"/>
      <c r="W84" s="2482"/>
    </row>
    <row r="85" spans="1:23" ht="16.7" customHeight="1" x14ac:dyDescent="0.2">
      <c r="A85" s="2497">
        <v>63</v>
      </c>
      <c r="B85" s="2502" t="s">
        <v>6341</v>
      </c>
      <c r="C85" s="2527">
        <v>0</v>
      </c>
      <c r="D85" s="2530">
        <f>SUMIF(H:H,A85,L:L)</f>
        <v>0</v>
      </c>
      <c r="E85" s="2479"/>
      <c r="G85" s="2579"/>
      <c r="H85" s="2593" t="s">
        <v>6083</v>
      </c>
      <c r="I85" s="2594">
        <v>0</v>
      </c>
      <c r="J85" s="2507">
        <v>0</v>
      </c>
      <c r="K85" s="2507">
        <v>0</v>
      </c>
      <c r="L85" s="2507">
        <v>0</v>
      </c>
      <c r="M85" s="2507">
        <v>0</v>
      </c>
      <c r="N85" s="2507">
        <v>0</v>
      </c>
      <c r="O85" s="2507">
        <v>0</v>
      </c>
      <c r="P85" s="2511"/>
      <c r="Q85" s="2511"/>
      <c r="R85" s="2482"/>
      <c r="S85" s="2482"/>
      <c r="T85" s="2482"/>
      <c r="U85" s="2482"/>
      <c r="V85" s="2482"/>
      <c r="W85" s="2482"/>
    </row>
    <row r="86" spans="1:23" ht="16.7" customHeight="1" x14ac:dyDescent="0.2">
      <c r="A86" s="2497">
        <v>64</v>
      </c>
      <c r="B86" s="2502"/>
      <c r="C86" s="2527">
        <v>0</v>
      </c>
      <c r="D86" s="2614"/>
      <c r="E86" s="2595">
        <f>B86</f>
        <v>0</v>
      </c>
      <c r="G86" s="2579"/>
      <c r="H86" s="2593" t="s">
        <v>6085</v>
      </c>
      <c r="I86" s="2594">
        <v>0</v>
      </c>
      <c r="J86" s="2507">
        <v>0</v>
      </c>
      <c r="K86" s="2507">
        <v>0</v>
      </c>
      <c r="L86" s="2507">
        <v>0</v>
      </c>
      <c r="M86" s="2507">
        <v>0</v>
      </c>
      <c r="N86" s="2507">
        <v>0</v>
      </c>
      <c r="O86" s="2507">
        <v>0</v>
      </c>
      <c r="P86" s="2511"/>
      <c r="Q86" s="2511"/>
      <c r="R86" s="2482"/>
      <c r="S86" s="2482"/>
      <c r="T86" s="2482"/>
      <c r="U86" s="2482"/>
      <c r="V86" s="2482"/>
      <c r="W86" s="2482"/>
    </row>
    <row r="87" spans="1:23" ht="16.7" customHeight="1" x14ac:dyDescent="0.2">
      <c r="A87" s="2497">
        <v>65</v>
      </c>
      <c r="B87" s="2502"/>
      <c r="C87" s="2559"/>
      <c r="D87" s="2614"/>
      <c r="E87" s="2595">
        <f>B87</f>
        <v>0</v>
      </c>
      <c r="G87" s="2579"/>
      <c r="H87" s="2593" t="s">
        <v>6087</v>
      </c>
      <c r="I87" s="2554"/>
      <c r="J87" s="2511"/>
      <c r="K87" s="2511"/>
      <c r="L87" s="2511"/>
      <c r="M87" s="2511"/>
      <c r="N87" s="2511"/>
      <c r="O87" s="2511"/>
      <c r="P87" s="2511"/>
      <c r="Q87" s="2511"/>
      <c r="R87" s="2482"/>
      <c r="S87" s="2482"/>
      <c r="T87" s="2482"/>
      <c r="U87" s="2482"/>
      <c r="V87" s="2482"/>
      <c r="W87" s="2482"/>
    </row>
    <row r="88" spans="1:23" ht="16.7" customHeight="1" x14ac:dyDescent="0.2">
      <c r="A88" s="2497">
        <v>66</v>
      </c>
      <c r="B88" s="2502" t="s">
        <v>6437</v>
      </c>
      <c r="C88" s="2527">
        <v>1604391240</v>
      </c>
      <c r="D88" s="2530">
        <f>SUMIF(H:H,A88,L:L)</f>
        <v>0</v>
      </c>
      <c r="E88" s="2479"/>
      <c r="G88" s="2579"/>
      <c r="H88" s="2593" t="s">
        <v>6089</v>
      </c>
      <c r="I88" s="2594">
        <v>164862292</v>
      </c>
      <c r="J88" s="2507">
        <v>0</v>
      </c>
      <c r="K88" s="2507">
        <v>0</v>
      </c>
      <c r="L88" s="2507">
        <v>0</v>
      </c>
      <c r="M88" s="2507">
        <v>0</v>
      </c>
      <c r="N88" s="2507">
        <v>0</v>
      </c>
      <c r="O88" s="2507">
        <v>0</v>
      </c>
      <c r="P88" s="2511"/>
      <c r="Q88" s="2511"/>
      <c r="R88" s="2482"/>
      <c r="S88" s="2482"/>
      <c r="T88" s="2482"/>
      <c r="U88" s="2482"/>
      <c r="V88" s="2482"/>
      <c r="W88" s="2482"/>
    </row>
    <row r="89" spans="1:23" ht="16.7" customHeight="1" x14ac:dyDescent="0.2">
      <c r="A89" s="2497">
        <v>67</v>
      </c>
      <c r="B89" s="2512" t="s">
        <v>6438</v>
      </c>
      <c r="C89" s="2527">
        <v>40600000</v>
      </c>
      <c r="D89" s="2530">
        <f>SUMIF(H:H,A89,L:L)</f>
        <v>0</v>
      </c>
      <c r="E89" s="2479" t="str">
        <f>B89</f>
        <v>Net borrowings from subsidiary company, Pacific Minerals, Inc.</v>
      </c>
      <c r="G89" s="2579"/>
      <c r="H89" s="2593" t="s">
        <v>6091</v>
      </c>
      <c r="I89" s="2594">
        <v>48000000</v>
      </c>
      <c r="J89" s="2507">
        <v>0</v>
      </c>
      <c r="K89" s="2507">
        <v>50000000</v>
      </c>
      <c r="L89" s="2507">
        <v>0</v>
      </c>
      <c r="M89" s="2507">
        <v>0</v>
      </c>
      <c r="N89" s="2507">
        <v>0</v>
      </c>
      <c r="O89" s="2507">
        <v>0</v>
      </c>
      <c r="P89" s="2511"/>
      <c r="Q89" s="2511"/>
      <c r="R89" s="2482"/>
      <c r="S89" s="2482"/>
      <c r="T89" s="2482"/>
      <c r="U89" s="2482"/>
      <c r="V89" s="2482"/>
      <c r="W89" s="2482"/>
    </row>
    <row r="90" spans="1:23" ht="16.7" customHeight="1" x14ac:dyDescent="0.2">
      <c r="A90" s="2497">
        <v>68</v>
      </c>
      <c r="B90" s="2509"/>
      <c r="C90" s="2509"/>
      <c r="D90" s="2614"/>
      <c r="E90" s="2595">
        <f>B90</f>
        <v>0</v>
      </c>
      <c r="G90" s="2579"/>
      <c r="H90" s="2593" t="s">
        <v>6093</v>
      </c>
      <c r="I90" s="2554"/>
      <c r="J90" s="2511"/>
      <c r="K90" s="2511"/>
      <c r="L90" s="2511"/>
      <c r="M90" s="2511"/>
      <c r="N90" s="2511"/>
      <c r="O90" s="2511"/>
      <c r="P90" s="2511"/>
      <c r="Q90" s="2511"/>
      <c r="R90" s="2482"/>
      <c r="S90" s="2482"/>
      <c r="T90" s="2482"/>
      <c r="U90" s="2482"/>
      <c r="V90" s="2482"/>
      <c r="W90" s="2482"/>
    </row>
    <row r="91" spans="1:23" ht="16.7" customHeight="1" x14ac:dyDescent="0.2">
      <c r="A91" s="2497">
        <v>69</v>
      </c>
      <c r="B91" s="2509"/>
      <c r="C91" s="2509"/>
      <c r="D91" s="2614"/>
      <c r="E91" s="2595">
        <f>B91</f>
        <v>0</v>
      </c>
      <c r="G91" s="2579"/>
      <c r="H91" s="2593" t="s">
        <v>6095</v>
      </c>
      <c r="I91" s="2554"/>
      <c r="J91" s="2511"/>
      <c r="K91" s="2511"/>
      <c r="L91" s="2511"/>
      <c r="M91" s="2511"/>
      <c r="N91" s="2511"/>
      <c r="O91" s="2511"/>
      <c r="P91" s="2511"/>
      <c r="Q91" s="2511"/>
      <c r="R91" s="2482"/>
      <c r="S91" s="2482"/>
      <c r="T91" s="2482"/>
      <c r="U91" s="2482"/>
      <c r="V91" s="2482"/>
      <c r="W91" s="2482"/>
    </row>
    <row r="92" spans="1:23" ht="16.7" customHeight="1" x14ac:dyDescent="0.2">
      <c r="A92" s="2497">
        <v>70</v>
      </c>
      <c r="B92" s="2502" t="s">
        <v>6439</v>
      </c>
      <c r="C92" s="2527">
        <f>SUM(C83:C91)</f>
        <v>2833450961</v>
      </c>
      <c r="D92" s="2530">
        <f>SUMIF(H:H,A92,L:L)</f>
        <v>1087491374</v>
      </c>
      <c r="E92" s="2479"/>
      <c r="G92" s="2579"/>
      <c r="H92" s="2593" t="s">
        <v>6098</v>
      </c>
      <c r="I92" s="2594">
        <f t="shared" ref="I92:O92" si="12">SUM(I83:I91)</f>
        <v>1401330099</v>
      </c>
      <c r="J92" s="2507">
        <f t="shared" si="12"/>
        <v>1189532843</v>
      </c>
      <c r="K92" s="2507">
        <f t="shared" si="12"/>
        <v>50000000</v>
      </c>
      <c r="L92" s="2507">
        <f t="shared" si="12"/>
        <v>1087491374</v>
      </c>
      <c r="M92" s="2507">
        <f t="shared" si="12"/>
        <v>0</v>
      </c>
      <c r="N92" s="2507">
        <f t="shared" si="12"/>
        <v>0</v>
      </c>
      <c r="O92" s="2507">
        <f t="shared" si="12"/>
        <v>0</v>
      </c>
      <c r="P92" s="2511"/>
      <c r="Q92" s="2511"/>
      <c r="R92" s="2482"/>
      <c r="S92" s="2482"/>
      <c r="T92" s="2482"/>
      <c r="U92" s="2482"/>
      <c r="V92" s="2482"/>
      <c r="W92" s="2482"/>
    </row>
    <row r="93" spans="1:23" ht="16.7" customHeight="1" x14ac:dyDescent="0.2">
      <c r="A93" s="2497">
        <v>71</v>
      </c>
      <c r="B93" s="2488"/>
      <c r="C93" s="2488"/>
      <c r="D93" s="2559"/>
      <c r="E93" s="2595">
        <f>B93</f>
        <v>0</v>
      </c>
      <c r="G93" s="2579"/>
      <c r="H93" s="2593" t="s">
        <v>6101</v>
      </c>
      <c r="I93" s="2554"/>
      <c r="J93" s="2511"/>
      <c r="K93" s="2511"/>
      <c r="L93" s="2511"/>
      <c r="M93" s="2511"/>
      <c r="N93" s="2511"/>
      <c r="O93" s="2511"/>
      <c r="P93" s="2511"/>
      <c r="Q93" s="2511"/>
      <c r="R93" s="2482"/>
      <c r="S93" s="2482"/>
      <c r="T93" s="2482"/>
      <c r="U93" s="2482"/>
      <c r="V93" s="2482"/>
      <c r="W93" s="2482"/>
    </row>
    <row r="94" spans="1:23" ht="16.7" customHeight="1" x14ac:dyDescent="0.2">
      <c r="A94" s="2497">
        <v>72</v>
      </c>
      <c r="B94" s="2512" t="s">
        <v>6440</v>
      </c>
      <c r="C94" s="2529"/>
      <c r="D94" s="2529"/>
      <c r="E94" s="2479"/>
      <c r="G94" s="2579"/>
      <c r="H94" s="2593" t="s">
        <v>6103</v>
      </c>
      <c r="I94" s="2554"/>
      <c r="J94" s="2511"/>
      <c r="K94" s="2511"/>
      <c r="L94" s="2511"/>
      <c r="M94" s="2511"/>
      <c r="N94" s="2511"/>
      <c r="O94" s="2511"/>
      <c r="P94" s="2511"/>
      <c r="Q94" s="2511"/>
      <c r="R94" s="2482"/>
      <c r="S94" s="2482"/>
      <c r="T94" s="2482"/>
      <c r="U94" s="2482"/>
      <c r="V94" s="2482"/>
      <c r="W94" s="2482"/>
    </row>
    <row r="95" spans="1:23" ht="16.7" customHeight="1" x14ac:dyDescent="0.2">
      <c r="A95" s="2497">
        <v>73</v>
      </c>
      <c r="B95" s="2502" t="s">
        <v>6441</v>
      </c>
      <c r="C95" s="2527">
        <v>-449000000</v>
      </c>
      <c r="D95" s="2530">
        <f>SUMIF(H:H,A95,L:L)</f>
        <v>-155000000</v>
      </c>
      <c r="E95" s="2479"/>
      <c r="G95" s="2579"/>
      <c r="H95" s="2593" t="s">
        <v>6105</v>
      </c>
      <c r="I95" s="2594">
        <v>-401000000</v>
      </c>
      <c r="J95" s="2507">
        <v>-309000000</v>
      </c>
      <c r="K95" s="2507">
        <v>-9000000</v>
      </c>
      <c r="L95" s="2507">
        <v>-155000000</v>
      </c>
      <c r="M95" s="2507">
        <v>-104000000</v>
      </c>
      <c r="N95" s="2507">
        <v>-9000000</v>
      </c>
      <c r="O95" s="2507">
        <v>-9000000</v>
      </c>
      <c r="P95" s="2511"/>
      <c r="Q95" s="2511"/>
      <c r="R95" s="2482"/>
      <c r="S95" s="2482"/>
      <c r="T95" s="2482"/>
      <c r="U95" s="2482"/>
      <c r="V95" s="2482"/>
      <c r="W95" s="2482"/>
    </row>
    <row r="96" spans="1:23" ht="16.7" customHeight="1" x14ac:dyDescent="0.2">
      <c r="A96" s="2497">
        <v>74</v>
      </c>
      <c r="B96" s="2502" t="s">
        <v>6436</v>
      </c>
      <c r="C96" s="2527">
        <v>0</v>
      </c>
      <c r="D96" s="2530">
        <f>SUMIF(H:H,A96,L:L)</f>
        <v>0</v>
      </c>
      <c r="E96" s="2479"/>
      <c r="G96" s="2579"/>
      <c r="H96" s="2593" t="s">
        <v>6107</v>
      </c>
      <c r="I96" s="2594">
        <v>0</v>
      </c>
      <c r="J96" s="2507">
        <v>0</v>
      </c>
      <c r="K96" s="2507">
        <v>0</v>
      </c>
      <c r="L96" s="2507">
        <v>0</v>
      </c>
      <c r="M96" s="2507">
        <v>0</v>
      </c>
      <c r="N96" s="2507">
        <v>0</v>
      </c>
      <c r="O96" s="2507">
        <v>0</v>
      </c>
      <c r="P96" s="2511"/>
      <c r="Q96" s="2511"/>
      <c r="R96" s="2482"/>
      <c r="S96" s="2482"/>
      <c r="T96" s="2482"/>
      <c r="U96" s="2482"/>
      <c r="V96" s="2482"/>
      <c r="W96" s="2482"/>
    </row>
    <row r="97" spans="1:23" ht="16.7" customHeight="1" x14ac:dyDescent="0.2">
      <c r="A97" s="2497">
        <v>75</v>
      </c>
      <c r="B97" s="2502" t="s">
        <v>6341</v>
      </c>
      <c r="C97" s="2527">
        <v>0</v>
      </c>
      <c r="D97" s="2530">
        <f>SUMIF(H:H,A97,L:L)</f>
        <v>0</v>
      </c>
      <c r="E97" s="2479"/>
      <c r="G97" s="2579"/>
      <c r="H97" s="2593" t="s">
        <v>6109</v>
      </c>
      <c r="I97" s="2594">
        <v>0</v>
      </c>
      <c r="J97" s="2507">
        <v>0</v>
      </c>
      <c r="K97" s="2507">
        <v>0</v>
      </c>
      <c r="L97" s="2507">
        <v>0</v>
      </c>
      <c r="M97" s="2507">
        <v>0</v>
      </c>
      <c r="N97" s="2507">
        <v>0</v>
      </c>
      <c r="O97" s="2507">
        <v>0</v>
      </c>
      <c r="P97" s="2511"/>
      <c r="Q97" s="2511"/>
      <c r="R97" s="2482"/>
      <c r="S97" s="2482"/>
      <c r="T97" s="2482"/>
      <c r="U97" s="2482"/>
      <c r="V97" s="2482"/>
      <c r="W97" s="2482"/>
    </row>
    <row r="98" spans="1:23" ht="16.7" customHeight="1" x14ac:dyDescent="0.2">
      <c r="A98" s="2497">
        <v>76</v>
      </c>
      <c r="B98" s="2512"/>
      <c r="C98" s="2559"/>
      <c r="D98" s="2530">
        <f>SUMIF(H:H,A98,L:L)</f>
        <v>0</v>
      </c>
      <c r="E98" s="2595">
        <f>B98</f>
        <v>0</v>
      </c>
      <c r="G98" s="2579"/>
      <c r="H98" s="2593" t="s">
        <v>6111</v>
      </c>
      <c r="I98" s="2554"/>
      <c r="J98" s="2511"/>
      <c r="K98" s="2511"/>
      <c r="L98" s="2511"/>
      <c r="M98" s="2511"/>
      <c r="N98" s="2511"/>
      <c r="O98" s="2511"/>
      <c r="P98" s="2511"/>
      <c r="Q98" s="2511"/>
      <c r="R98" s="2482"/>
      <c r="S98" s="2482"/>
      <c r="T98" s="2482"/>
      <c r="U98" s="2482"/>
      <c r="V98" s="2482"/>
      <c r="W98" s="2482"/>
    </row>
    <row r="99" spans="1:23" ht="16.7" customHeight="1" x14ac:dyDescent="0.2">
      <c r="A99" s="2615">
        <v>76.099999999999994</v>
      </c>
      <c r="B99" s="2509" t="s">
        <v>6442</v>
      </c>
      <c r="C99" s="2527">
        <v>-2943071</v>
      </c>
      <c r="D99" s="2530">
        <f>L100</f>
        <v>-574649</v>
      </c>
      <c r="E99" s="2479" t="str">
        <f>B99</f>
        <v xml:space="preserve">  Other deferred financing costs</v>
      </c>
      <c r="G99" s="2579"/>
      <c r="H99" s="2593" t="s">
        <v>6443</v>
      </c>
      <c r="I99" s="2594">
        <v>0</v>
      </c>
      <c r="J99" s="2507">
        <v>0</v>
      </c>
      <c r="K99" s="2507">
        <v>0</v>
      </c>
      <c r="L99" s="2507">
        <v>0</v>
      </c>
      <c r="M99" s="2507">
        <v>0</v>
      </c>
      <c r="N99" s="2507">
        <v>0</v>
      </c>
      <c r="O99" s="2507">
        <v>0</v>
      </c>
      <c r="P99" s="2511"/>
      <c r="Q99" s="2511"/>
      <c r="R99" s="2482"/>
      <c r="S99" s="2482"/>
      <c r="T99" s="2482"/>
      <c r="U99" s="2482"/>
      <c r="V99" s="2482"/>
      <c r="W99" s="2482"/>
    </row>
    <row r="100" spans="1:23" ht="16.7" customHeight="1" x14ac:dyDescent="0.2">
      <c r="A100" s="2615">
        <v>76.2</v>
      </c>
      <c r="B100" s="2509" t="s">
        <v>6444</v>
      </c>
      <c r="C100" s="2527">
        <v>-1126364</v>
      </c>
      <c r="D100" s="2530">
        <f>L102</f>
        <v>-1404405</v>
      </c>
      <c r="E100" s="2479" t="str">
        <f>B100</f>
        <v xml:space="preserve">  Repayment of Finance Lease Obligations</v>
      </c>
      <c r="G100" s="2579"/>
      <c r="H100" s="2593" t="s">
        <v>6445</v>
      </c>
      <c r="I100" s="2594">
        <v>-1992500</v>
      </c>
      <c r="J100" s="2507">
        <v>-1992500</v>
      </c>
      <c r="K100" s="2507">
        <v>-783044</v>
      </c>
      <c r="L100" s="2507">
        <v>-574649</v>
      </c>
      <c r="M100" s="2507">
        <v>-574649</v>
      </c>
      <c r="N100" s="2507">
        <v>-574649</v>
      </c>
      <c r="O100" s="2507">
        <v>-537750</v>
      </c>
      <c r="P100" s="2511"/>
      <c r="Q100" s="2511"/>
      <c r="R100" s="2482"/>
      <c r="S100" s="2482"/>
      <c r="T100" s="2482"/>
      <c r="U100" s="2482"/>
      <c r="V100" s="2482"/>
      <c r="W100" s="2482"/>
    </row>
    <row r="101" spans="1:23" ht="16.7" customHeight="1" x14ac:dyDescent="0.2">
      <c r="A101" s="2615">
        <v>76.3</v>
      </c>
      <c r="B101" s="2509" t="s">
        <v>6446</v>
      </c>
      <c r="C101" s="2527">
        <v>-784155</v>
      </c>
      <c r="D101" s="2530">
        <f>SUMIF(H:H,A101,L:L)</f>
        <v>-539251</v>
      </c>
      <c r="E101" s="2479" t="str">
        <f>B101</f>
        <v xml:space="preserve">  Other</v>
      </c>
      <c r="G101" s="2579"/>
      <c r="H101" s="2593" t="s">
        <v>6447</v>
      </c>
      <c r="I101" s="2594">
        <v>-790459</v>
      </c>
      <c r="J101" s="2507">
        <v>-790448</v>
      </c>
      <c r="K101" s="2507">
        <v>0</v>
      </c>
      <c r="L101" s="2507">
        <v>-539251</v>
      </c>
      <c r="M101" s="2507">
        <v>-539250</v>
      </c>
      <c r="N101" s="2507">
        <v>-539250</v>
      </c>
      <c r="O101" s="2507">
        <v>0</v>
      </c>
      <c r="P101" s="2511"/>
      <c r="Q101" s="2511"/>
      <c r="R101" s="2482"/>
      <c r="S101" s="2482"/>
      <c r="T101" s="2482"/>
      <c r="U101" s="2482"/>
      <c r="V101" s="2482"/>
      <c r="W101" s="2482"/>
    </row>
    <row r="102" spans="1:23" ht="16.7" customHeight="1" x14ac:dyDescent="0.2">
      <c r="A102" s="2497">
        <v>77</v>
      </c>
      <c r="B102" s="2509"/>
      <c r="C102" s="2559"/>
      <c r="D102" s="2614"/>
      <c r="E102" s="2595">
        <f>B102</f>
        <v>0</v>
      </c>
      <c r="G102" s="2579"/>
      <c r="H102" s="2593" t="s">
        <v>6113</v>
      </c>
      <c r="I102" s="2594">
        <v>-842343</v>
      </c>
      <c r="J102" s="2507">
        <v>-555097</v>
      </c>
      <c r="K102" s="2507">
        <v>-274375</v>
      </c>
      <c r="L102" s="2507">
        <v>-1404405</v>
      </c>
      <c r="M102" s="2507">
        <v>-1136201</v>
      </c>
      <c r="N102" s="2507">
        <v>-873994</v>
      </c>
      <c r="O102" s="2507">
        <v>-617618</v>
      </c>
      <c r="P102" s="2511"/>
      <c r="Q102" s="2511"/>
      <c r="R102" s="2482"/>
      <c r="S102" s="2482"/>
      <c r="T102" s="2482"/>
      <c r="U102" s="2482"/>
      <c r="V102" s="2482"/>
      <c r="W102" s="2482"/>
    </row>
    <row r="103" spans="1:23" ht="16.7" customHeight="1" x14ac:dyDescent="0.2">
      <c r="A103" s="2497">
        <v>78</v>
      </c>
      <c r="B103" s="2509" t="s">
        <v>6448</v>
      </c>
      <c r="C103" s="2527">
        <v>0</v>
      </c>
      <c r="D103" s="2530">
        <f>SUMIF(H:H,A103,L:L)</f>
        <v>0</v>
      </c>
      <c r="E103" s="2479"/>
      <c r="G103" s="2579"/>
      <c r="H103" s="2593" t="s">
        <v>6115</v>
      </c>
      <c r="I103" s="2594">
        <v>0</v>
      </c>
      <c r="J103" s="2507">
        <v>0</v>
      </c>
      <c r="K103" s="2507">
        <v>0</v>
      </c>
      <c r="L103" s="2507">
        <v>0</v>
      </c>
      <c r="M103" s="2507">
        <v>0</v>
      </c>
      <c r="N103" s="2507">
        <v>0</v>
      </c>
      <c r="O103" s="2507">
        <v>0</v>
      </c>
      <c r="P103" s="2511"/>
      <c r="Q103" s="2511"/>
      <c r="R103" s="2482"/>
      <c r="S103" s="2482"/>
      <c r="T103" s="2482"/>
      <c r="U103" s="2482"/>
      <c r="V103" s="2482"/>
      <c r="W103" s="2482"/>
    </row>
    <row r="104" spans="1:23" ht="16.7" customHeight="1" x14ac:dyDescent="0.2">
      <c r="A104" s="2497">
        <v>79</v>
      </c>
      <c r="B104" s="2509"/>
      <c r="C104" s="2509"/>
      <c r="D104" s="2614"/>
      <c r="E104" s="2595">
        <f>B104</f>
        <v>0</v>
      </c>
      <c r="G104" s="2579"/>
      <c r="H104" s="2593" t="s">
        <v>6117</v>
      </c>
      <c r="I104" s="2554"/>
      <c r="J104" s="2511"/>
      <c r="K104" s="2511"/>
      <c r="L104" s="2511"/>
      <c r="M104" s="2511"/>
      <c r="N104" s="2511"/>
      <c r="O104" s="2511"/>
      <c r="P104" s="2511"/>
      <c r="Q104" s="2511"/>
      <c r="R104" s="2482"/>
      <c r="S104" s="2482"/>
      <c r="T104" s="2482"/>
      <c r="U104" s="2482"/>
      <c r="V104" s="2482"/>
      <c r="W104" s="2482"/>
    </row>
    <row r="105" spans="1:23" ht="16.7" customHeight="1" x14ac:dyDescent="0.2">
      <c r="A105" s="2497">
        <v>80</v>
      </c>
      <c r="B105" s="2502" t="s">
        <v>6449</v>
      </c>
      <c r="C105" s="2530">
        <v>-161902</v>
      </c>
      <c r="D105" s="2530">
        <f>SUMIF(H:H,A105,L:L)</f>
        <v>-161902</v>
      </c>
      <c r="E105" s="2479"/>
      <c r="G105" s="2579"/>
      <c r="H105" s="2593" t="s">
        <v>6120</v>
      </c>
      <c r="I105" s="2594">
        <v>-121426</v>
      </c>
      <c r="J105" s="2507">
        <v>-80951</v>
      </c>
      <c r="K105" s="2507">
        <v>-40475</v>
      </c>
      <c r="L105" s="2507">
        <v>-161902</v>
      </c>
      <c r="M105" s="2507">
        <v>-121426</v>
      </c>
      <c r="N105" s="2507">
        <v>-80951</v>
      </c>
      <c r="O105" s="2507">
        <v>-40475</v>
      </c>
      <c r="P105" s="2511"/>
      <c r="Q105" s="2511"/>
      <c r="R105" s="2482"/>
      <c r="S105" s="2482"/>
      <c r="T105" s="2482"/>
      <c r="U105" s="2482"/>
      <c r="V105" s="2482"/>
      <c r="W105" s="2482"/>
    </row>
    <row r="106" spans="1:23" ht="16.7" customHeight="1" x14ac:dyDescent="0.2">
      <c r="A106" s="2497">
        <v>81</v>
      </c>
      <c r="B106" s="2502" t="s">
        <v>6450</v>
      </c>
      <c r="C106" s="2527">
        <v>-300000000</v>
      </c>
      <c r="D106" s="2530">
        <f>SUMIF(H:H,A106,L:L)</f>
        <v>-100000000</v>
      </c>
      <c r="E106" s="2479"/>
      <c r="G106" s="2579"/>
      <c r="H106" s="2593" t="s">
        <v>6122</v>
      </c>
      <c r="I106" s="2594">
        <v>-300000000</v>
      </c>
      <c r="J106" s="2507">
        <v>-300000000</v>
      </c>
      <c r="K106" s="2507">
        <v>-300000000</v>
      </c>
      <c r="L106" s="2507">
        <v>-100000000</v>
      </c>
      <c r="M106" s="2507">
        <v>-100000000</v>
      </c>
      <c r="N106" s="2507">
        <v>-100000000</v>
      </c>
      <c r="O106" s="2507">
        <v>0</v>
      </c>
      <c r="P106" s="2511"/>
      <c r="Q106" s="2511"/>
      <c r="R106" s="2482"/>
      <c r="S106" s="2482"/>
      <c r="T106" s="2482"/>
      <c r="U106" s="2482"/>
      <c r="V106" s="2482"/>
      <c r="W106" s="2482"/>
    </row>
    <row r="107" spans="1:23" ht="16.7" customHeight="1" x14ac:dyDescent="0.2">
      <c r="A107" s="2497">
        <v>82</v>
      </c>
      <c r="B107" s="2512" t="s">
        <v>6451</v>
      </c>
      <c r="C107" s="2529"/>
      <c r="D107" s="2529"/>
      <c r="E107" s="2479"/>
      <c r="G107" s="2579"/>
      <c r="H107" s="2593" t="s">
        <v>6124</v>
      </c>
      <c r="I107" s="2554"/>
      <c r="J107" s="2511"/>
      <c r="K107" s="2511"/>
      <c r="L107" s="2511"/>
      <c r="M107" s="2511"/>
      <c r="N107" s="2511"/>
      <c r="O107" s="2511"/>
      <c r="P107" s="2511"/>
      <c r="Q107" s="2511"/>
      <c r="R107" s="2482"/>
      <c r="S107" s="2482"/>
      <c r="T107" s="2482"/>
      <c r="U107" s="2482"/>
      <c r="V107" s="2482"/>
      <c r="W107" s="2482"/>
    </row>
    <row r="108" spans="1:23" ht="16.7" customHeight="1" x14ac:dyDescent="0.2">
      <c r="A108" s="2497">
        <v>83</v>
      </c>
      <c r="B108" s="2502" t="s">
        <v>6452</v>
      </c>
      <c r="C108" s="2530">
        <f>SUM(C92:C106)</f>
        <v>2079435469</v>
      </c>
      <c r="D108" s="2527">
        <f>SUM(D92:D106)</f>
        <v>829811167</v>
      </c>
      <c r="E108" s="2479"/>
      <c r="G108" s="2579"/>
      <c r="H108" s="2593" t="s">
        <v>6126</v>
      </c>
      <c r="I108" s="2594">
        <f t="shared" ref="I108:O108" si="13">SUM(I92:I106)</f>
        <v>696583371</v>
      </c>
      <c r="J108" s="2507">
        <f t="shared" si="13"/>
        <v>577113847</v>
      </c>
      <c r="K108" s="2507">
        <f t="shared" si="13"/>
        <v>-260097894</v>
      </c>
      <c r="L108" s="2507">
        <f t="shared" si="13"/>
        <v>829811167</v>
      </c>
      <c r="M108" s="2507">
        <f t="shared" si="13"/>
        <v>-206371526</v>
      </c>
      <c r="N108" s="2507">
        <f t="shared" si="13"/>
        <v>-111068844</v>
      </c>
      <c r="O108" s="2507">
        <f t="shared" si="13"/>
        <v>-10195843</v>
      </c>
      <c r="P108" s="2511"/>
      <c r="Q108" s="2511"/>
      <c r="R108" s="2482"/>
      <c r="S108" s="2482"/>
      <c r="T108" s="2482"/>
      <c r="U108" s="2482"/>
      <c r="V108" s="2482"/>
      <c r="W108" s="2482"/>
    </row>
    <row r="109" spans="1:23" ht="16.7" customHeight="1" x14ac:dyDescent="0.2">
      <c r="A109" s="2497">
        <v>84</v>
      </c>
      <c r="B109" s="2509"/>
      <c r="C109" s="2509"/>
      <c r="D109" s="2559"/>
      <c r="E109" s="2479"/>
      <c r="G109" s="2579"/>
      <c r="H109" s="2593" t="s">
        <v>6128</v>
      </c>
      <c r="I109" s="2554"/>
      <c r="J109" s="2511"/>
      <c r="K109" s="2511"/>
      <c r="L109" s="2511"/>
      <c r="M109" s="2511"/>
      <c r="N109" s="2511"/>
      <c r="O109" s="2511"/>
      <c r="P109" s="2511"/>
      <c r="Q109" s="2511"/>
      <c r="R109" s="2482"/>
      <c r="S109" s="2482"/>
      <c r="T109" s="2482"/>
      <c r="U109" s="2482"/>
      <c r="V109" s="2482"/>
      <c r="W109" s="2482"/>
    </row>
    <row r="110" spans="1:23" ht="16.7" customHeight="1" x14ac:dyDescent="0.2">
      <c r="A110" s="2497">
        <v>85</v>
      </c>
      <c r="B110" s="2512" t="s">
        <v>6453</v>
      </c>
      <c r="C110" s="2529"/>
      <c r="D110" s="2529"/>
      <c r="E110" s="2479"/>
      <c r="G110" s="2579"/>
      <c r="H110" s="2593" t="s">
        <v>6130</v>
      </c>
      <c r="I110" s="2554"/>
      <c r="J110" s="2511"/>
      <c r="K110" s="2511"/>
      <c r="L110" s="2511"/>
      <c r="M110" s="2511"/>
      <c r="N110" s="2511"/>
      <c r="O110" s="2511"/>
      <c r="P110" s="2511"/>
      <c r="Q110" s="2511"/>
      <c r="R110" s="2482"/>
      <c r="S110" s="2482"/>
      <c r="T110" s="2482"/>
      <c r="U110" s="2482"/>
      <c r="V110" s="2482"/>
      <c r="W110" s="2482"/>
    </row>
    <row r="111" spans="1:23" ht="16.7" customHeight="1" x14ac:dyDescent="0.2">
      <c r="A111" s="2497">
        <v>86</v>
      </c>
      <c r="B111" s="2502" t="s">
        <v>6454</v>
      </c>
      <c r="C111" s="2530">
        <f>SUM(C41,C79,C108)</f>
        <v>-439606841</v>
      </c>
      <c r="D111" s="2527">
        <f>SUM(D41,D79,D108)</f>
        <v>461308909</v>
      </c>
      <c r="E111" s="2479"/>
      <c r="G111" s="2579"/>
      <c r="H111" s="2593" t="s">
        <v>6455</v>
      </c>
      <c r="I111" s="2594">
        <f t="shared" ref="I111:O111" si="14">SUM(I41,I79,I108)</f>
        <v>-485745531</v>
      </c>
      <c r="J111" s="2507">
        <f t="shared" si="14"/>
        <v>-36444115</v>
      </c>
      <c r="K111" s="2507">
        <f t="shared" si="14"/>
        <v>-566667079</v>
      </c>
      <c r="L111" s="2507">
        <f t="shared" si="14"/>
        <v>461308909</v>
      </c>
      <c r="M111" s="2507">
        <f t="shared" si="14"/>
        <v>42821332</v>
      </c>
      <c r="N111" s="2507">
        <f t="shared" si="14"/>
        <v>194142529</v>
      </c>
      <c r="O111" s="2507">
        <f t="shared" si="14"/>
        <v>144453255</v>
      </c>
      <c r="P111" s="2511"/>
      <c r="Q111" s="2511"/>
      <c r="R111" s="2482"/>
      <c r="S111" s="2482"/>
      <c r="T111" s="2482"/>
      <c r="U111" s="2482"/>
      <c r="V111" s="2482"/>
      <c r="W111" s="2482"/>
    </row>
    <row r="112" spans="1:23" ht="16.7" customHeight="1" x14ac:dyDescent="0.2">
      <c r="A112" s="2497">
        <v>87</v>
      </c>
      <c r="B112" s="2488"/>
      <c r="C112" s="2529"/>
      <c r="D112" s="2529"/>
      <c r="E112" s="2479"/>
      <c r="G112" s="2579"/>
      <c r="H112" s="2593" t="s">
        <v>6456</v>
      </c>
      <c r="I112" s="2554"/>
      <c r="J112" s="2511"/>
      <c r="K112" s="2511"/>
      <c r="L112" s="2511"/>
      <c r="M112" s="2511"/>
      <c r="N112" s="2511"/>
      <c r="O112" s="2511"/>
      <c r="P112" s="2511"/>
      <c r="Q112" s="2511"/>
      <c r="R112" s="2482"/>
      <c r="S112" s="2482"/>
      <c r="T112" s="2482"/>
      <c r="U112" s="2482"/>
      <c r="V112" s="2482"/>
      <c r="W112" s="2482"/>
    </row>
    <row r="113" spans="1:23" ht="16.7" customHeight="1" x14ac:dyDescent="0.2">
      <c r="A113" s="2497">
        <v>88</v>
      </c>
      <c r="B113" s="2502" t="s">
        <v>6457</v>
      </c>
      <c r="C113" s="2527">
        <v>620581280</v>
      </c>
      <c r="D113" s="2530">
        <f>SUMIF(H:H,A113,L:L)</f>
        <v>159272371</v>
      </c>
      <c r="E113" s="2479"/>
      <c r="G113" s="2579"/>
      <c r="H113" s="2593" t="s">
        <v>6458</v>
      </c>
      <c r="I113" s="2594">
        <v>620581280</v>
      </c>
      <c r="J113" s="2507">
        <v>620581280</v>
      </c>
      <c r="K113" s="2507">
        <v>620581280</v>
      </c>
      <c r="L113" s="2507">
        <v>159272371</v>
      </c>
      <c r="M113" s="2507">
        <v>159272371</v>
      </c>
      <c r="N113" s="2507">
        <v>159272371</v>
      </c>
      <c r="O113" s="2507">
        <v>159272371</v>
      </c>
      <c r="P113" s="2511"/>
      <c r="Q113" s="2511"/>
      <c r="R113" s="2482"/>
      <c r="S113" s="2482"/>
      <c r="T113" s="2482"/>
      <c r="U113" s="2482"/>
      <c r="V113" s="2482"/>
      <c r="W113" s="2482"/>
    </row>
    <row r="114" spans="1:23" ht="16.7" customHeight="1" x14ac:dyDescent="0.2">
      <c r="A114" s="2497">
        <v>89</v>
      </c>
      <c r="B114" s="2488"/>
      <c r="C114" s="2529"/>
      <c r="D114" s="2529"/>
      <c r="E114" s="2479"/>
      <c r="G114" s="2579"/>
      <c r="H114" s="2593" t="s">
        <v>6459</v>
      </c>
      <c r="I114" s="2554"/>
      <c r="J114" s="2511"/>
      <c r="K114" s="2511"/>
      <c r="L114" s="2511"/>
      <c r="M114" s="2511"/>
      <c r="N114" s="2511"/>
      <c r="O114" s="2511"/>
      <c r="P114" s="2511"/>
      <c r="Q114" s="2511"/>
      <c r="R114" s="2482"/>
      <c r="S114" s="2482"/>
      <c r="T114" s="2482"/>
      <c r="U114" s="2482"/>
      <c r="V114" s="2482"/>
      <c r="W114" s="2482"/>
    </row>
    <row r="115" spans="1:23" ht="16.7" customHeight="1" x14ac:dyDescent="0.2">
      <c r="A115" s="2497">
        <v>90</v>
      </c>
      <c r="B115" s="2502" t="s">
        <v>6460</v>
      </c>
      <c r="C115" s="2527">
        <f>SUM(C111,C113)</f>
        <v>180974439</v>
      </c>
      <c r="D115" s="2527">
        <f>SUM(D111,D113)</f>
        <v>620581280</v>
      </c>
      <c r="E115" s="2479"/>
      <c r="G115" s="2579"/>
      <c r="H115" s="2593" t="s">
        <v>6461</v>
      </c>
      <c r="I115" s="2594">
        <f t="shared" ref="I115:O115" si="15">SUM(I111,I113)</f>
        <v>134835749</v>
      </c>
      <c r="J115" s="2507">
        <f t="shared" si="15"/>
        <v>584137165</v>
      </c>
      <c r="K115" s="2507">
        <f t="shared" si="15"/>
        <v>53914201</v>
      </c>
      <c r="L115" s="2507">
        <f t="shared" si="15"/>
        <v>620581280</v>
      </c>
      <c r="M115" s="2507">
        <f t="shared" si="15"/>
        <v>202093703</v>
      </c>
      <c r="N115" s="2507">
        <f t="shared" si="15"/>
        <v>353414900</v>
      </c>
      <c r="O115" s="2507">
        <f t="shared" si="15"/>
        <v>303725626</v>
      </c>
      <c r="P115" s="2511"/>
      <c r="Q115" s="2511"/>
      <c r="R115" s="2482"/>
      <c r="S115" s="2482"/>
      <c r="T115" s="2482"/>
      <c r="U115" s="2482"/>
      <c r="V115" s="2482"/>
      <c r="W115" s="2482"/>
    </row>
    <row r="116" spans="1:23" ht="16.7" customHeight="1" x14ac:dyDescent="0.2">
      <c r="A116" s="2516"/>
      <c r="B116" s="2516"/>
      <c r="C116" s="2516"/>
      <c r="D116" s="2516"/>
      <c r="G116" s="2579"/>
      <c r="H116" s="2578"/>
      <c r="I116" s="2511"/>
      <c r="J116" s="2511"/>
      <c r="K116" s="2511"/>
      <c r="L116" s="2511"/>
      <c r="M116" s="2511"/>
      <c r="N116" s="2511"/>
      <c r="O116" s="2511"/>
      <c r="P116" s="2511"/>
      <c r="Q116" s="2482"/>
      <c r="R116" s="2482"/>
      <c r="S116" s="2482"/>
      <c r="T116" s="2482"/>
      <c r="U116" s="2482"/>
      <c r="V116" s="2482"/>
      <c r="W116" s="2482"/>
    </row>
    <row r="117" spans="1:23" ht="15" customHeight="1" x14ac:dyDescent="0.2">
      <c r="G117" s="2579"/>
      <c r="H117" s="2578"/>
      <c r="I117" s="2511"/>
      <c r="J117" s="2511"/>
      <c r="K117" s="2511"/>
      <c r="L117" s="2511"/>
      <c r="M117" s="2511"/>
      <c r="N117" s="2511"/>
      <c r="O117" s="2511"/>
      <c r="P117" s="2511"/>
      <c r="Q117" s="2482"/>
      <c r="R117" s="2482"/>
      <c r="S117" s="2482"/>
      <c r="T117" s="2482"/>
      <c r="U117" s="2482"/>
      <c r="V117" s="2482"/>
      <c r="W117" s="2482"/>
    </row>
    <row r="118" spans="1:23" ht="15" customHeight="1" x14ac:dyDescent="0.2">
      <c r="G118" s="2579"/>
      <c r="H118" s="2578"/>
      <c r="I118" s="2511"/>
      <c r="J118" s="2511"/>
      <c r="K118" s="2511"/>
      <c r="L118" s="2511"/>
      <c r="M118" s="2511"/>
      <c r="N118" s="2511"/>
      <c r="O118" s="2511"/>
      <c r="P118" s="2511"/>
      <c r="Q118" s="2482"/>
      <c r="R118" s="2482"/>
      <c r="S118" s="2482"/>
      <c r="T118" s="2482"/>
      <c r="U118" s="2482"/>
      <c r="V118" s="2482"/>
      <c r="W118" s="2482"/>
    </row>
    <row r="119" spans="1:23" ht="15" customHeight="1" x14ac:dyDescent="0.2">
      <c r="G119" s="2579"/>
      <c r="H119" s="2578"/>
      <c r="I119" s="2511"/>
      <c r="J119" s="2511"/>
      <c r="K119" s="2511"/>
      <c r="L119" s="2511"/>
      <c r="M119" s="2511"/>
      <c r="N119" s="2511"/>
      <c r="O119" s="2511"/>
      <c r="P119" s="2511"/>
      <c r="Q119" s="2482"/>
      <c r="R119" s="2482"/>
      <c r="S119" s="2482"/>
      <c r="T119" s="2482"/>
      <c r="U119" s="2482"/>
      <c r="V119" s="2482"/>
      <c r="W119" s="2482"/>
    </row>
    <row r="120" spans="1:23" ht="15" customHeight="1" x14ac:dyDescent="0.2">
      <c r="G120" s="2608"/>
    </row>
  </sheetData>
  <mergeCells count="4">
    <mergeCell ref="A3:D3"/>
    <mergeCell ref="A4:D4"/>
    <mergeCell ref="H4:O4"/>
    <mergeCell ref="Q38:Q39"/>
  </mergeCells>
  <pageMargins left="0.75" right="0.75" top="1" bottom="1" header="0.5" footer="0.5"/>
  <customProperties>
    <customPr name="_pios_id" r:id="rId1"/>
  </customProperties>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05F802-CD64-440D-9398-6659B72FBE25}">
  <sheetPr codeName="Sheet45"/>
  <dimension ref="A1:W105"/>
  <sheetViews>
    <sheetView showRuler="0" workbookViewId="0">
      <selection activeCell="O201" sqref="O201"/>
    </sheetView>
  </sheetViews>
  <sheetFormatPr defaultColWidth="11.5" defaultRowHeight="12.75" x14ac:dyDescent="0.2"/>
  <cols>
    <col min="1" max="1" width="6.375" style="1953" customWidth="1"/>
    <col min="2" max="2" width="27.5" style="1953" customWidth="1"/>
    <col min="3" max="11" width="10.75" style="1953" customWidth="1"/>
    <col min="12" max="13" width="11.5" style="1953"/>
    <col min="14" max="14" width="0" style="1953" hidden="1" customWidth="1"/>
    <col min="15" max="15" width="13.625" style="1953" hidden="1" customWidth="1"/>
    <col min="16" max="17" width="12" style="1953" hidden="1" customWidth="1"/>
    <col min="18" max="23" width="0" style="1953" hidden="1" customWidth="1"/>
    <col min="24" max="16384" width="11.5" style="1953"/>
  </cols>
  <sheetData>
    <row r="1" spans="1:23" ht="16.7" customHeight="1" x14ac:dyDescent="0.2">
      <c r="N1" s="2579"/>
      <c r="O1" s="2578"/>
      <c r="P1" s="2578"/>
      <c r="Q1" s="2578"/>
      <c r="R1" s="2578"/>
      <c r="S1" s="2482"/>
      <c r="T1" s="2482"/>
      <c r="U1" s="2482"/>
      <c r="V1" s="2482"/>
      <c r="W1" s="2482"/>
    </row>
    <row r="2" spans="1:23" ht="16.7" customHeight="1" x14ac:dyDescent="0.2">
      <c r="N2" s="2579"/>
      <c r="O2" s="2578"/>
      <c r="P2" s="2578"/>
      <c r="Q2" s="2578"/>
      <c r="R2" s="2578"/>
      <c r="S2" s="2482"/>
      <c r="T2" s="2482"/>
      <c r="U2" s="2482"/>
      <c r="V2" s="2482"/>
      <c r="W2" s="2482"/>
    </row>
    <row r="3" spans="1:23" ht="16.7" customHeight="1" x14ac:dyDescent="0.2">
      <c r="A3" s="3859" t="s">
        <v>6462</v>
      </c>
      <c r="B3" s="3859"/>
      <c r="C3" s="3859"/>
      <c r="D3" s="3859"/>
      <c r="E3" s="3859"/>
      <c r="F3" s="3859"/>
      <c r="G3" s="3890" t="s">
        <v>6463</v>
      </c>
      <c r="H3" s="3890"/>
      <c r="I3" s="3890"/>
      <c r="J3" s="3890"/>
      <c r="K3" s="3890"/>
      <c r="L3" s="2479"/>
      <c r="N3" s="2579"/>
      <c r="O3" s="2578"/>
      <c r="P3" s="2578"/>
      <c r="Q3" s="2578"/>
      <c r="R3" s="2578"/>
      <c r="S3" s="2482"/>
      <c r="T3" s="2482"/>
      <c r="U3" s="2482"/>
      <c r="V3" s="2482"/>
      <c r="W3" s="2482"/>
    </row>
    <row r="4" spans="1:23" ht="27.6" customHeight="1" x14ac:dyDescent="0.2">
      <c r="A4" s="3882" t="s">
        <v>6464</v>
      </c>
      <c r="B4" s="3891"/>
      <c r="C4" s="3891"/>
      <c r="D4" s="3891"/>
      <c r="E4" s="3891"/>
      <c r="F4" s="3892"/>
      <c r="G4" s="3893" t="s">
        <v>6464</v>
      </c>
      <c r="H4" s="3893"/>
      <c r="I4" s="3893"/>
      <c r="J4" s="3893"/>
      <c r="K4" s="3893"/>
      <c r="L4" s="2479"/>
      <c r="N4" s="2580" t="s">
        <v>6320</v>
      </c>
      <c r="O4" s="3888" t="s">
        <v>5938</v>
      </c>
      <c r="P4" s="3888"/>
      <c r="Q4" s="2578"/>
      <c r="R4" s="2578"/>
      <c r="S4" s="2482"/>
      <c r="T4" s="2482"/>
      <c r="U4" s="2482"/>
      <c r="V4" s="2482"/>
      <c r="W4" s="2482"/>
    </row>
    <row r="5" spans="1:23" ht="59.1" customHeight="1" x14ac:dyDescent="0.2">
      <c r="A5" s="3894" t="s">
        <v>6465</v>
      </c>
      <c r="B5" s="3883"/>
      <c r="C5" s="3883"/>
      <c r="D5" s="3883"/>
      <c r="E5" s="3883"/>
      <c r="F5" s="3884"/>
      <c r="G5" s="3895"/>
      <c r="H5" s="3895"/>
      <c r="I5" s="3895"/>
      <c r="J5" s="3895"/>
      <c r="K5" s="3895"/>
      <c r="L5" s="2479"/>
      <c r="N5" s="2611"/>
      <c r="O5" s="2578"/>
      <c r="P5" s="2578"/>
      <c r="Q5" s="2578"/>
      <c r="R5" s="2578"/>
      <c r="S5" s="2482"/>
      <c r="T5" s="2482"/>
      <c r="U5" s="2482"/>
      <c r="V5" s="2482"/>
      <c r="W5" s="2482"/>
    </row>
    <row r="6" spans="1:23" ht="42.6" customHeight="1" x14ac:dyDescent="0.2">
      <c r="A6" s="3898" t="s">
        <v>6466</v>
      </c>
      <c r="B6" s="2581" t="s">
        <v>6467</v>
      </c>
      <c r="C6" s="2624" t="s">
        <v>6468</v>
      </c>
      <c r="D6" s="2624" t="s">
        <v>6469</v>
      </c>
      <c r="E6" s="2581" t="s">
        <v>6470</v>
      </c>
      <c r="F6" s="2581" t="s">
        <v>6471</v>
      </c>
      <c r="G6" s="2625" t="s">
        <v>6472</v>
      </c>
      <c r="H6" s="2625" t="s">
        <v>6473</v>
      </c>
      <c r="I6" s="2625" t="s">
        <v>6474</v>
      </c>
      <c r="J6" s="2626" t="s">
        <v>6475</v>
      </c>
      <c r="K6" s="2625" t="s">
        <v>6476</v>
      </c>
      <c r="L6" s="2479"/>
      <c r="N6" s="2611"/>
      <c r="O6" s="2627"/>
      <c r="P6" s="2627"/>
      <c r="Q6" s="2627"/>
      <c r="R6" s="2627"/>
      <c r="S6" s="2482"/>
      <c r="T6" s="2482"/>
      <c r="U6" s="2482"/>
      <c r="V6" s="2482"/>
      <c r="W6" s="2482"/>
    </row>
    <row r="7" spans="1:23" ht="27.6" customHeight="1" x14ac:dyDescent="0.2">
      <c r="A7" s="3899"/>
      <c r="B7" s="2589" t="s">
        <v>5949</v>
      </c>
      <c r="C7" s="2589" t="s">
        <v>5950</v>
      </c>
      <c r="D7" s="2589" t="s">
        <v>5951</v>
      </c>
      <c r="E7" s="2589" t="s">
        <v>5952</v>
      </c>
      <c r="F7" s="2589" t="s">
        <v>6227</v>
      </c>
      <c r="G7" s="2628" t="s">
        <v>5804</v>
      </c>
      <c r="H7" s="2628" t="s">
        <v>6228</v>
      </c>
      <c r="I7" s="2628" t="s">
        <v>6229</v>
      </c>
      <c r="J7" s="2628" t="s">
        <v>6230</v>
      </c>
      <c r="K7" s="2628" t="s">
        <v>6231</v>
      </c>
      <c r="L7" s="2479"/>
      <c r="N7" s="2577"/>
      <c r="O7" s="2627"/>
      <c r="P7" s="2627"/>
      <c r="Q7" s="2627"/>
      <c r="R7" s="2627"/>
      <c r="S7" s="2482"/>
      <c r="T7" s="2482"/>
      <c r="U7" s="2482"/>
      <c r="V7" s="2482"/>
      <c r="W7" s="2482"/>
    </row>
    <row r="8" spans="1:23" ht="29.1" customHeight="1" x14ac:dyDescent="0.2">
      <c r="A8" s="2497">
        <v>1</v>
      </c>
      <c r="B8" s="2512" t="s">
        <v>6477</v>
      </c>
      <c r="C8" s="2509"/>
      <c r="D8" s="2559"/>
      <c r="E8" s="2509"/>
      <c r="F8" s="2527">
        <v>-17132153</v>
      </c>
      <c r="G8" s="2509"/>
      <c r="H8" s="2509"/>
      <c r="I8" s="2527">
        <f>SUM(C8:E8,F8:H8)</f>
        <v>-17132153</v>
      </c>
      <c r="J8" s="3896"/>
      <c r="K8" s="3897"/>
      <c r="L8" s="2479"/>
      <c r="N8" s="2579"/>
      <c r="O8" s="2511"/>
      <c r="P8" s="2629" t="s">
        <v>6478</v>
      </c>
      <c r="Q8" s="2511"/>
      <c r="R8" s="2511"/>
      <c r="S8" s="2482"/>
      <c r="T8" s="2482"/>
      <c r="U8" s="2482"/>
      <c r="V8" s="2482"/>
      <c r="W8" s="2482"/>
    </row>
    <row r="9" spans="1:23" ht="29.1" customHeight="1" x14ac:dyDescent="0.2">
      <c r="A9" s="2497">
        <v>2</v>
      </c>
      <c r="B9" s="2512" t="s">
        <v>6479</v>
      </c>
      <c r="C9" s="2509"/>
      <c r="D9" s="2559"/>
      <c r="E9" s="2509"/>
      <c r="F9" s="2527">
        <v>963429</v>
      </c>
      <c r="G9" s="2509"/>
      <c r="H9" s="2509"/>
      <c r="I9" s="2527">
        <f>SUM(C9:E9,F9:H9)</f>
        <v>963429</v>
      </c>
      <c r="J9" s="3896"/>
      <c r="K9" s="3897"/>
      <c r="L9" s="2479"/>
      <c r="N9" s="2579"/>
      <c r="O9" s="2511" t="s">
        <v>6480</v>
      </c>
      <c r="P9" s="2630">
        <v>-12635042</v>
      </c>
      <c r="Q9" s="2511"/>
      <c r="R9" s="2511"/>
      <c r="S9" s="2482"/>
      <c r="T9" s="2482"/>
      <c r="U9" s="2482"/>
      <c r="V9" s="2482"/>
      <c r="W9" s="2482"/>
    </row>
    <row r="10" spans="1:23" ht="29.1" customHeight="1" x14ac:dyDescent="0.2">
      <c r="A10" s="2497">
        <v>3</v>
      </c>
      <c r="B10" s="2512" t="s">
        <v>6481</v>
      </c>
      <c r="C10" s="2509"/>
      <c r="D10" s="2559"/>
      <c r="E10" s="2509"/>
      <c r="F10" s="2527">
        <v>6820108</v>
      </c>
      <c r="G10" s="2509"/>
      <c r="H10" s="2509"/>
      <c r="I10" s="2527">
        <f>SUM(C10:E10,F10:H10)</f>
        <v>6820108</v>
      </c>
      <c r="J10" s="3896"/>
      <c r="K10" s="3897"/>
      <c r="L10" s="2479"/>
      <c r="N10" s="2579"/>
      <c r="O10" s="2511" t="s">
        <v>6482</v>
      </c>
      <c r="P10" s="2507">
        <v>-15916633</v>
      </c>
      <c r="Q10" s="2511"/>
      <c r="R10" s="2511"/>
      <c r="S10" s="2482"/>
      <c r="T10" s="2482"/>
      <c r="U10" s="2482"/>
      <c r="V10" s="2482"/>
      <c r="W10" s="2482"/>
    </row>
    <row r="11" spans="1:23" ht="29.1" customHeight="1" x14ac:dyDescent="0.2">
      <c r="A11" s="2497">
        <v>4</v>
      </c>
      <c r="B11" s="2512" t="s">
        <v>6483</v>
      </c>
      <c r="C11" s="2527">
        <f>C9+C10</f>
        <v>0</v>
      </c>
      <c r="D11" s="2527">
        <f>D9+D10</f>
        <v>0</v>
      </c>
      <c r="E11" s="2527">
        <f>E9+E10</f>
        <v>0</v>
      </c>
      <c r="F11" s="2527">
        <f>F9+F10</f>
        <v>7783537</v>
      </c>
      <c r="G11" s="2527">
        <f>SUM(G9:G10)</f>
        <v>0</v>
      </c>
      <c r="H11" s="2527">
        <f>SUM(H9:H10)</f>
        <v>0</v>
      </c>
      <c r="I11" s="2527">
        <f>SUM(I9:I10)</f>
        <v>7783537</v>
      </c>
      <c r="J11" s="2527">
        <v>920107831</v>
      </c>
      <c r="K11" s="2527">
        <f>I11+J11</f>
        <v>927891368</v>
      </c>
      <c r="L11" s="2479"/>
      <c r="N11" s="2579"/>
      <c r="O11" s="2511" t="s">
        <v>6484</v>
      </c>
      <c r="P11" s="2507">
        <v>-19097488</v>
      </c>
      <c r="Q11" s="2511"/>
      <c r="R11" s="2511"/>
      <c r="S11" s="2482"/>
      <c r="T11" s="2482"/>
      <c r="U11" s="2482"/>
      <c r="V11" s="2482"/>
      <c r="W11" s="2482"/>
    </row>
    <row r="12" spans="1:23" ht="29.1" customHeight="1" x14ac:dyDescent="0.2">
      <c r="A12" s="2497">
        <v>5</v>
      </c>
      <c r="B12" s="2512" t="s">
        <v>6485</v>
      </c>
      <c r="C12" s="2527">
        <f t="shared" ref="C12:I12" si="0">C8+C11</f>
        <v>0</v>
      </c>
      <c r="D12" s="2527">
        <f t="shared" si="0"/>
        <v>0</v>
      </c>
      <c r="E12" s="2527">
        <f t="shared" si="0"/>
        <v>0</v>
      </c>
      <c r="F12" s="2527">
        <f t="shared" si="0"/>
        <v>-9348616</v>
      </c>
      <c r="G12" s="2527">
        <f t="shared" si="0"/>
        <v>0</v>
      </c>
      <c r="H12" s="2527">
        <f t="shared" si="0"/>
        <v>0</v>
      </c>
      <c r="I12" s="2527">
        <f t="shared" si="0"/>
        <v>-9348616</v>
      </c>
      <c r="J12" s="3896"/>
      <c r="K12" s="3897"/>
      <c r="L12" s="2479"/>
      <c r="N12" s="2579"/>
      <c r="O12" s="2511" t="s">
        <v>6486</v>
      </c>
      <c r="P12" s="2507">
        <v>-17132153</v>
      </c>
      <c r="Q12" s="2511"/>
      <c r="R12" s="2511"/>
      <c r="S12" s="2482"/>
      <c r="T12" s="2482"/>
      <c r="U12" s="2482"/>
      <c r="V12" s="2482"/>
      <c r="W12" s="2482"/>
    </row>
    <row r="13" spans="1:23" ht="29.1" customHeight="1" x14ac:dyDescent="0.2">
      <c r="A13" s="2497">
        <v>6</v>
      </c>
      <c r="B13" s="2512" t="s">
        <v>6487</v>
      </c>
      <c r="C13" s="2509"/>
      <c r="D13" s="2559"/>
      <c r="E13" s="2509"/>
      <c r="F13" s="2527">
        <v>-9348616</v>
      </c>
      <c r="G13" s="2509"/>
      <c r="H13" s="2509"/>
      <c r="I13" s="2527">
        <f>SUM(C13:E13,F13:H13)</f>
        <v>-9348616</v>
      </c>
      <c r="J13" s="3896"/>
      <c r="K13" s="3897"/>
      <c r="L13" s="2479"/>
      <c r="N13" s="2579"/>
      <c r="O13" s="2511"/>
      <c r="P13" s="2511"/>
      <c r="Q13" s="2511"/>
      <c r="R13" s="2511"/>
      <c r="S13" s="2482"/>
      <c r="T13" s="2482"/>
      <c r="U13" s="2482"/>
      <c r="V13" s="2482"/>
      <c r="W13" s="2482"/>
    </row>
    <row r="14" spans="1:23" ht="29.1" customHeight="1" x14ac:dyDescent="0.2">
      <c r="A14" s="2497">
        <v>7</v>
      </c>
      <c r="B14" s="2512" t="s">
        <v>6488</v>
      </c>
      <c r="C14" s="2509"/>
      <c r="D14" s="2559"/>
      <c r="E14" s="2509"/>
      <c r="F14" s="2527">
        <v>470469</v>
      </c>
      <c r="G14" s="2509"/>
      <c r="H14" s="2509"/>
      <c r="I14" s="2527">
        <f>SUM(C14:E14,F14:H14)</f>
        <v>470469</v>
      </c>
      <c r="J14" s="3896"/>
      <c r="K14" s="3897"/>
      <c r="L14" s="2479"/>
      <c r="N14" s="2579"/>
      <c r="O14" s="2511"/>
      <c r="P14" s="2511"/>
      <c r="Q14" s="2511"/>
      <c r="R14" s="2511"/>
      <c r="S14" s="2482"/>
      <c r="T14" s="2482"/>
      <c r="U14" s="2482"/>
      <c r="V14" s="2482"/>
      <c r="W14" s="2482"/>
    </row>
    <row r="15" spans="1:23" ht="29.1" customHeight="1" x14ac:dyDescent="0.2">
      <c r="A15" s="2497">
        <v>8</v>
      </c>
      <c r="B15" s="2512" t="s">
        <v>6489</v>
      </c>
      <c r="C15" s="2509"/>
      <c r="D15" s="2559"/>
      <c r="E15" s="2509"/>
      <c r="F15" s="2527">
        <v>-1491089</v>
      </c>
      <c r="G15" s="2509"/>
      <c r="H15" s="2509"/>
      <c r="I15" s="2527">
        <f>SUM(C15:E15,F15:H15)</f>
        <v>-1491089</v>
      </c>
      <c r="J15" s="3896"/>
      <c r="K15" s="3897"/>
      <c r="L15" s="2479"/>
      <c r="N15" s="2579"/>
      <c r="O15" s="2511"/>
      <c r="P15" s="2511"/>
      <c r="Q15" s="2511"/>
      <c r="R15" s="2511"/>
      <c r="S15" s="2482"/>
      <c r="T15" s="2482"/>
      <c r="U15" s="2482"/>
      <c r="V15" s="2482"/>
      <c r="W15" s="2482"/>
    </row>
    <row r="16" spans="1:23" ht="29.1" customHeight="1" x14ac:dyDescent="0.2">
      <c r="A16" s="2497">
        <v>9</v>
      </c>
      <c r="B16" s="2512" t="s">
        <v>6490</v>
      </c>
      <c r="C16" s="2527">
        <f t="shared" ref="C16:I16" si="1">SUM(C14:C15)</f>
        <v>0</v>
      </c>
      <c r="D16" s="2527">
        <f t="shared" si="1"/>
        <v>0</v>
      </c>
      <c r="E16" s="2527">
        <f t="shared" si="1"/>
        <v>0</v>
      </c>
      <c r="F16" s="2527">
        <f t="shared" si="1"/>
        <v>-1020620</v>
      </c>
      <c r="G16" s="2527">
        <f t="shared" si="1"/>
        <v>0</v>
      </c>
      <c r="H16" s="2527">
        <f t="shared" si="1"/>
        <v>0</v>
      </c>
      <c r="I16" s="2527">
        <f t="shared" si="1"/>
        <v>-1020620</v>
      </c>
      <c r="J16" s="2527">
        <v>-467588533</v>
      </c>
      <c r="K16" s="2527">
        <f>I16+J16</f>
        <v>-468609153</v>
      </c>
      <c r="L16" s="2479"/>
      <c r="N16" s="2579"/>
      <c r="O16" s="2511"/>
      <c r="P16" s="2511"/>
      <c r="Q16" s="2511"/>
      <c r="R16" s="2511"/>
      <c r="S16" s="2482"/>
      <c r="T16" s="2482"/>
      <c r="U16" s="2482"/>
      <c r="V16" s="2482"/>
      <c r="W16" s="2482"/>
    </row>
    <row r="17" spans="1:23" ht="29.1" customHeight="1" x14ac:dyDescent="0.2">
      <c r="A17" s="2497">
        <v>10</v>
      </c>
      <c r="B17" s="2512" t="s">
        <v>6491</v>
      </c>
      <c r="C17" s="2527">
        <f t="shared" ref="C17:H17" si="2">C13+C16</f>
        <v>0</v>
      </c>
      <c r="D17" s="2527">
        <f t="shared" si="2"/>
        <v>0</v>
      </c>
      <c r="E17" s="2527">
        <f t="shared" si="2"/>
        <v>0</v>
      </c>
      <c r="F17" s="2527">
        <f t="shared" si="2"/>
        <v>-10369236</v>
      </c>
      <c r="G17" s="2527">
        <f t="shared" si="2"/>
        <v>0</v>
      </c>
      <c r="H17" s="2527">
        <f t="shared" si="2"/>
        <v>0</v>
      </c>
      <c r="I17" s="2527">
        <f>SUM(C17:E17,F17:H17)</f>
        <v>-10369236</v>
      </c>
      <c r="J17" s="3896"/>
      <c r="K17" s="3897"/>
      <c r="L17" s="2479"/>
      <c r="N17" s="2579"/>
      <c r="O17" s="2511"/>
      <c r="P17" s="2511"/>
      <c r="Q17" s="2511"/>
      <c r="R17" s="2511"/>
      <c r="S17" s="2482"/>
      <c r="T17" s="2482"/>
      <c r="U17" s="2482"/>
      <c r="V17" s="2482"/>
      <c r="W17" s="2482"/>
    </row>
    <row r="18" spans="1:23" ht="16.7" customHeight="1" x14ac:dyDescent="0.2">
      <c r="A18" s="2516"/>
      <c r="B18" s="2516"/>
      <c r="C18" s="2516"/>
      <c r="D18" s="2516"/>
      <c r="E18" s="2516"/>
      <c r="F18" s="2516"/>
      <c r="G18" s="2516"/>
      <c r="H18" s="2516"/>
      <c r="I18" s="2516"/>
      <c r="J18" s="2516"/>
      <c r="K18" s="2516"/>
      <c r="N18" s="2579"/>
      <c r="O18" s="2578"/>
      <c r="P18" s="2578"/>
      <c r="Q18" s="2578"/>
      <c r="R18" s="2578"/>
      <c r="S18" s="2482"/>
      <c r="T18" s="2482"/>
      <c r="U18" s="2482"/>
      <c r="V18" s="2482"/>
      <c r="W18" s="2482"/>
    </row>
    <row r="19" spans="1:23" ht="15" customHeight="1" x14ac:dyDescent="0.2">
      <c r="N19" s="2579"/>
      <c r="O19" s="2578"/>
      <c r="P19" s="2578"/>
      <c r="Q19" s="2578"/>
      <c r="R19" s="2578"/>
      <c r="S19" s="2482"/>
      <c r="T19" s="2482"/>
      <c r="U19" s="2482"/>
      <c r="V19" s="2482"/>
      <c r="W19" s="2482"/>
    </row>
    <row r="20" spans="1:23" ht="16.7" customHeight="1" x14ac:dyDescent="0.2">
      <c r="N20" s="2579"/>
      <c r="O20" s="2578"/>
      <c r="P20" s="2578"/>
      <c r="Q20" s="2578"/>
      <c r="R20" s="2578"/>
      <c r="S20" s="2482"/>
      <c r="T20" s="2482"/>
      <c r="U20" s="2482"/>
      <c r="V20" s="2482"/>
      <c r="W20" s="2482"/>
    </row>
    <row r="21" spans="1:23" ht="15" customHeight="1" x14ac:dyDescent="0.2">
      <c r="N21" s="2579"/>
      <c r="O21" s="2578"/>
      <c r="P21" s="2578"/>
      <c r="Q21" s="2578"/>
      <c r="R21" s="2578"/>
      <c r="S21" s="2482"/>
      <c r="T21" s="2482"/>
      <c r="U21" s="2482"/>
      <c r="V21" s="2482"/>
      <c r="W21" s="2482"/>
    </row>
    <row r="22" spans="1:23" ht="15" customHeight="1" x14ac:dyDescent="0.2">
      <c r="N22" s="2579"/>
      <c r="O22" s="2578"/>
      <c r="P22" s="2578"/>
      <c r="Q22" s="2578"/>
      <c r="R22" s="2578"/>
      <c r="S22" s="2482"/>
      <c r="T22" s="2482"/>
      <c r="U22" s="2482"/>
      <c r="V22" s="2482"/>
      <c r="W22" s="2482"/>
    </row>
    <row r="23" spans="1:23" ht="15" customHeight="1" x14ac:dyDescent="0.2">
      <c r="N23" s="2579"/>
      <c r="O23" s="2578"/>
      <c r="P23" s="2578"/>
      <c r="Q23" s="2578"/>
      <c r="R23" s="2578"/>
      <c r="S23" s="2482"/>
      <c r="T23" s="2482"/>
      <c r="U23" s="2482"/>
      <c r="V23" s="2482"/>
      <c r="W23" s="2482"/>
    </row>
    <row r="24" spans="1:23" ht="15" customHeight="1" x14ac:dyDescent="0.2">
      <c r="N24" s="2579"/>
      <c r="O24" s="2578"/>
      <c r="P24" s="2578"/>
      <c r="Q24" s="2578"/>
      <c r="R24" s="2578"/>
      <c r="S24" s="2482"/>
      <c r="T24" s="2482"/>
      <c r="U24" s="2482"/>
      <c r="V24" s="2482"/>
      <c r="W24" s="2482"/>
    </row>
    <row r="25" spans="1:23" ht="15" customHeight="1" x14ac:dyDescent="0.2">
      <c r="N25" s="2579"/>
      <c r="O25" s="2578"/>
      <c r="P25" s="2578"/>
      <c r="Q25" s="2578"/>
      <c r="R25" s="2578"/>
      <c r="S25" s="2482"/>
      <c r="T25" s="2482"/>
      <c r="U25" s="2482"/>
      <c r="V25" s="2482"/>
      <c r="W25" s="2482"/>
    </row>
    <row r="26" spans="1:23" ht="15" customHeight="1" x14ac:dyDescent="0.2">
      <c r="N26" s="2579"/>
      <c r="O26" s="2578"/>
      <c r="P26" s="2578"/>
      <c r="Q26" s="2578"/>
      <c r="R26" s="2578"/>
      <c r="S26" s="2482"/>
      <c r="T26" s="2482"/>
      <c r="U26" s="2482"/>
      <c r="V26" s="2482"/>
      <c r="W26" s="2482"/>
    </row>
    <row r="27" spans="1:23" ht="15" customHeight="1" x14ac:dyDescent="0.2">
      <c r="N27" s="2579"/>
      <c r="O27" s="2578"/>
      <c r="P27" s="2578"/>
      <c r="Q27" s="2578"/>
      <c r="R27" s="2578"/>
      <c r="S27" s="2482"/>
      <c r="T27" s="2482"/>
      <c r="U27" s="2482"/>
      <c r="V27" s="2482"/>
      <c r="W27" s="2482"/>
    </row>
    <row r="28" spans="1:23" ht="15" customHeight="1" x14ac:dyDescent="0.2">
      <c r="N28" s="2579"/>
      <c r="O28" s="2578"/>
      <c r="P28" s="2578"/>
      <c r="Q28" s="2578"/>
      <c r="R28" s="2578"/>
      <c r="S28" s="2482"/>
      <c r="T28" s="2482"/>
      <c r="U28" s="2482"/>
      <c r="V28" s="2482"/>
      <c r="W28" s="2482"/>
    </row>
    <row r="29" spans="1:23" ht="15" customHeight="1" x14ac:dyDescent="0.2">
      <c r="N29" s="2579"/>
      <c r="O29" s="2578"/>
      <c r="P29" s="2578"/>
      <c r="Q29" s="2578"/>
      <c r="R29" s="2578"/>
      <c r="S29" s="2482"/>
      <c r="T29" s="2482"/>
      <c r="U29" s="2482"/>
      <c r="V29" s="2482"/>
      <c r="W29" s="2482"/>
    </row>
    <row r="30" spans="1:23" ht="15" customHeight="1" x14ac:dyDescent="0.2">
      <c r="N30" s="2579"/>
      <c r="O30" s="2578"/>
      <c r="P30" s="2578"/>
      <c r="Q30" s="2578"/>
      <c r="R30" s="2578"/>
      <c r="S30" s="2482"/>
      <c r="T30" s="2482"/>
      <c r="U30" s="2482"/>
      <c r="V30" s="2482"/>
      <c r="W30" s="2482"/>
    </row>
    <row r="31" spans="1:23" ht="15" customHeight="1" x14ac:dyDescent="0.2">
      <c r="N31" s="2579"/>
      <c r="O31" s="2578"/>
      <c r="P31" s="2578"/>
      <c r="Q31" s="2578"/>
      <c r="R31" s="2578"/>
      <c r="S31" s="2482"/>
      <c r="T31" s="2482"/>
      <c r="U31" s="2482"/>
      <c r="V31" s="2482"/>
      <c r="W31" s="2482"/>
    </row>
    <row r="32" spans="1:23" ht="15" customHeight="1" x14ac:dyDescent="0.2">
      <c r="N32" s="2579"/>
      <c r="O32" s="2578"/>
      <c r="P32" s="2578"/>
      <c r="Q32" s="2578"/>
      <c r="R32" s="2578"/>
      <c r="S32" s="2482"/>
      <c r="T32" s="2482"/>
      <c r="U32" s="2482"/>
      <c r="V32" s="2482"/>
      <c r="W32" s="2482"/>
    </row>
    <row r="33" spans="14:23" ht="15" customHeight="1" x14ac:dyDescent="0.2">
      <c r="N33" s="2579"/>
      <c r="O33" s="2578"/>
      <c r="P33" s="2578"/>
      <c r="Q33" s="2578"/>
      <c r="R33" s="2578"/>
      <c r="S33" s="2482"/>
      <c r="T33" s="2482"/>
      <c r="U33" s="2482"/>
      <c r="V33" s="2482"/>
      <c r="W33" s="2482"/>
    </row>
    <row r="34" spans="14:23" ht="15" customHeight="1" x14ac:dyDescent="0.2">
      <c r="N34" s="2579"/>
      <c r="O34" s="2578"/>
      <c r="P34" s="2578"/>
      <c r="Q34" s="2578"/>
      <c r="R34" s="2578"/>
      <c r="S34" s="2482"/>
      <c r="T34" s="2482"/>
      <c r="U34" s="2482"/>
      <c r="V34" s="2482"/>
      <c r="W34" s="2482"/>
    </row>
    <row r="35" spans="14:23" ht="15" customHeight="1" x14ac:dyDescent="0.2">
      <c r="N35" s="2579"/>
      <c r="O35" s="2578"/>
      <c r="P35" s="2578"/>
      <c r="Q35" s="2578"/>
      <c r="R35" s="2578"/>
      <c r="S35" s="2482"/>
      <c r="T35" s="2482"/>
      <c r="U35" s="2482"/>
      <c r="V35" s="2482"/>
      <c r="W35" s="2482"/>
    </row>
    <row r="36" spans="14:23" ht="15" customHeight="1" x14ac:dyDescent="0.2">
      <c r="N36" s="2579"/>
      <c r="O36" s="2578"/>
      <c r="P36" s="2578"/>
      <c r="Q36" s="2578"/>
      <c r="R36" s="2578"/>
      <c r="S36" s="2482"/>
      <c r="T36" s="2482"/>
      <c r="U36" s="2482"/>
      <c r="V36" s="2482"/>
      <c r="W36" s="2482"/>
    </row>
    <row r="37" spans="14:23" ht="15" customHeight="1" x14ac:dyDescent="0.2">
      <c r="N37" s="2579"/>
      <c r="O37" s="2578"/>
      <c r="P37" s="2578"/>
      <c r="Q37" s="2578"/>
      <c r="R37" s="2578"/>
      <c r="S37" s="2482"/>
      <c r="T37" s="2482"/>
      <c r="U37" s="2482"/>
      <c r="V37" s="2482"/>
      <c r="W37" s="2482"/>
    </row>
    <row r="38" spans="14:23" ht="15" customHeight="1" x14ac:dyDescent="0.2">
      <c r="N38" s="2579"/>
      <c r="O38" s="2578"/>
      <c r="P38" s="2578"/>
      <c r="Q38" s="2578"/>
      <c r="R38" s="2578"/>
      <c r="S38" s="2482"/>
      <c r="T38" s="2482"/>
      <c r="U38" s="2482"/>
      <c r="V38" s="2482"/>
      <c r="W38" s="2482"/>
    </row>
    <row r="39" spans="14:23" ht="15" customHeight="1" x14ac:dyDescent="0.2">
      <c r="N39" s="2579"/>
      <c r="O39" s="2578"/>
      <c r="P39" s="2578"/>
      <c r="Q39" s="2578"/>
      <c r="R39" s="2578"/>
      <c r="S39" s="2482"/>
      <c r="T39" s="2482"/>
      <c r="U39" s="2482"/>
      <c r="V39" s="2482"/>
      <c r="W39" s="2482"/>
    </row>
    <row r="40" spans="14:23" ht="15" customHeight="1" x14ac:dyDescent="0.2">
      <c r="N40" s="2579"/>
      <c r="O40" s="2578"/>
      <c r="P40" s="2578"/>
      <c r="Q40" s="2578"/>
      <c r="R40" s="2578"/>
      <c r="S40" s="2482"/>
      <c r="T40" s="2482"/>
      <c r="U40" s="2482"/>
      <c r="V40" s="2482"/>
      <c r="W40" s="2482"/>
    </row>
    <row r="41" spans="14:23" ht="15" customHeight="1" x14ac:dyDescent="0.2">
      <c r="N41" s="2579"/>
      <c r="O41" s="2578"/>
      <c r="P41" s="2578"/>
      <c r="Q41" s="2578"/>
      <c r="R41" s="2578"/>
      <c r="S41" s="2482"/>
      <c r="T41" s="2482"/>
      <c r="U41" s="2482"/>
      <c r="V41" s="2482"/>
      <c r="W41" s="2482"/>
    </row>
    <row r="42" spans="14:23" ht="15" customHeight="1" x14ac:dyDescent="0.2">
      <c r="N42" s="2579"/>
      <c r="O42" s="2578"/>
      <c r="P42" s="2578"/>
      <c r="Q42" s="2578"/>
      <c r="R42" s="2578"/>
      <c r="S42" s="2482"/>
      <c r="T42" s="2482"/>
      <c r="U42" s="2482"/>
      <c r="V42" s="2482"/>
      <c r="W42" s="2482"/>
    </row>
    <row r="43" spans="14:23" ht="15" customHeight="1" x14ac:dyDescent="0.2">
      <c r="N43" s="2579"/>
      <c r="O43" s="2578"/>
      <c r="P43" s="2578"/>
      <c r="Q43" s="2578"/>
      <c r="R43" s="2578"/>
      <c r="S43" s="2482"/>
      <c r="T43" s="2482"/>
      <c r="U43" s="2482"/>
      <c r="V43" s="2482"/>
      <c r="W43" s="2482"/>
    </row>
    <row r="44" spans="14:23" ht="15" customHeight="1" x14ac:dyDescent="0.2">
      <c r="N44" s="2579"/>
      <c r="O44" s="2578"/>
      <c r="P44" s="2578"/>
      <c r="Q44" s="2578"/>
      <c r="R44" s="2578"/>
      <c r="S44" s="2482"/>
      <c r="T44" s="2482"/>
      <c r="U44" s="2482"/>
      <c r="V44" s="2482"/>
      <c r="W44" s="2482"/>
    </row>
    <row r="45" spans="14:23" ht="15" customHeight="1" x14ac:dyDescent="0.2">
      <c r="N45" s="2579"/>
      <c r="O45" s="2578"/>
      <c r="P45" s="2578"/>
      <c r="Q45" s="2578"/>
      <c r="R45" s="2578"/>
      <c r="S45" s="2482"/>
      <c r="T45" s="2482"/>
      <c r="U45" s="2482"/>
      <c r="V45" s="2482"/>
      <c r="W45" s="2482"/>
    </row>
    <row r="46" spans="14:23" ht="15" customHeight="1" x14ac:dyDescent="0.2">
      <c r="N46" s="2579"/>
      <c r="O46" s="2578"/>
      <c r="P46" s="2578"/>
      <c r="Q46" s="2578"/>
      <c r="R46" s="2578"/>
      <c r="S46" s="2482"/>
      <c r="T46" s="2482"/>
      <c r="U46" s="2482"/>
      <c r="V46" s="2482"/>
      <c r="W46" s="2482"/>
    </row>
    <row r="47" spans="14:23" ht="15" customHeight="1" x14ac:dyDescent="0.2">
      <c r="N47" s="2579"/>
      <c r="O47" s="2578"/>
      <c r="P47" s="2578"/>
      <c r="Q47" s="2578"/>
      <c r="R47" s="2578"/>
      <c r="S47" s="2482"/>
      <c r="T47" s="2482"/>
      <c r="U47" s="2482"/>
      <c r="V47" s="2482"/>
      <c r="W47" s="2482"/>
    </row>
    <row r="48" spans="14:23" ht="15" customHeight="1" x14ac:dyDescent="0.2">
      <c r="N48" s="2579"/>
      <c r="O48" s="2578"/>
      <c r="P48" s="2578"/>
      <c r="Q48" s="2578"/>
      <c r="R48" s="2578"/>
      <c r="S48" s="2482"/>
      <c r="T48" s="2482"/>
      <c r="U48" s="2482"/>
      <c r="V48" s="2482"/>
      <c r="W48" s="2482"/>
    </row>
    <row r="49" spans="14:23" ht="15" customHeight="1" x14ac:dyDescent="0.2">
      <c r="N49" s="2579"/>
      <c r="O49" s="2578"/>
      <c r="P49" s="2578"/>
      <c r="Q49" s="2578"/>
      <c r="R49" s="2578"/>
      <c r="S49" s="2482"/>
      <c r="T49" s="2482"/>
      <c r="U49" s="2482"/>
      <c r="V49" s="2482"/>
      <c r="W49" s="2482"/>
    </row>
    <row r="50" spans="14:23" ht="15" customHeight="1" x14ac:dyDescent="0.2">
      <c r="N50" s="2579"/>
      <c r="O50" s="2578"/>
      <c r="P50" s="2578"/>
      <c r="Q50" s="2578"/>
      <c r="R50" s="2578"/>
      <c r="S50" s="2482"/>
      <c r="T50" s="2482"/>
      <c r="U50" s="2482"/>
      <c r="V50" s="2482"/>
      <c r="W50" s="2482"/>
    </row>
    <row r="51" spans="14:23" ht="15" customHeight="1" x14ac:dyDescent="0.2">
      <c r="N51" s="2579"/>
      <c r="O51" s="2578"/>
      <c r="P51" s="2578"/>
      <c r="Q51" s="2578"/>
      <c r="R51" s="2578"/>
      <c r="S51" s="2482"/>
      <c r="T51" s="2482"/>
      <c r="U51" s="2482"/>
      <c r="V51" s="2482"/>
      <c r="W51" s="2482"/>
    </row>
    <row r="52" spans="14:23" ht="15" customHeight="1" x14ac:dyDescent="0.2">
      <c r="N52" s="2579"/>
      <c r="O52" s="2578"/>
      <c r="P52" s="2578"/>
      <c r="Q52" s="2578"/>
      <c r="R52" s="2578"/>
      <c r="S52" s="2482"/>
      <c r="T52" s="2482"/>
      <c r="U52" s="2482"/>
      <c r="V52" s="2482"/>
      <c r="W52" s="2482"/>
    </row>
    <row r="53" spans="14:23" ht="15" customHeight="1" x14ac:dyDescent="0.2">
      <c r="N53" s="2579"/>
      <c r="O53" s="2578"/>
      <c r="P53" s="2578"/>
      <c r="Q53" s="2578"/>
      <c r="R53" s="2578"/>
      <c r="S53" s="2482"/>
      <c r="T53" s="2482"/>
      <c r="U53" s="2482"/>
      <c r="V53" s="2482"/>
      <c r="W53" s="2482"/>
    </row>
    <row r="54" spans="14:23" ht="15" customHeight="1" x14ac:dyDescent="0.2">
      <c r="N54" s="2579"/>
      <c r="O54" s="2578"/>
      <c r="P54" s="2578"/>
      <c r="Q54" s="2578"/>
      <c r="R54" s="2578"/>
      <c r="S54" s="2482"/>
      <c r="T54" s="2482"/>
      <c r="U54" s="2482"/>
      <c r="V54" s="2482"/>
      <c r="W54" s="2482"/>
    </row>
    <row r="55" spans="14:23" ht="15" customHeight="1" x14ac:dyDescent="0.2">
      <c r="N55" s="2579"/>
      <c r="O55" s="2578"/>
      <c r="P55" s="2578"/>
      <c r="Q55" s="2578"/>
      <c r="R55" s="2578"/>
      <c r="S55" s="2482"/>
      <c r="T55" s="2482"/>
      <c r="U55" s="2482"/>
      <c r="V55" s="2482"/>
      <c r="W55" s="2482"/>
    </row>
    <row r="56" spans="14:23" ht="15" customHeight="1" x14ac:dyDescent="0.2">
      <c r="N56" s="2579"/>
      <c r="O56" s="2578"/>
      <c r="P56" s="2578"/>
      <c r="Q56" s="2578"/>
      <c r="R56" s="2578"/>
      <c r="S56" s="2482"/>
      <c r="T56" s="2482"/>
      <c r="U56" s="2482"/>
      <c r="V56" s="2482"/>
      <c r="W56" s="2482"/>
    </row>
    <row r="57" spans="14:23" ht="15" customHeight="1" x14ac:dyDescent="0.2">
      <c r="N57" s="2579"/>
      <c r="O57" s="2578"/>
      <c r="P57" s="2578"/>
      <c r="Q57" s="2578"/>
      <c r="R57" s="2578"/>
      <c r="S57" s="2482"/>
      <c r="T57" s="2482"/>
      <c r="U57" s="2482"/>
      <c r="V57" s="2482"/>
      <c r="W57" s="2482"/>
    </row>
    <row r="58" spans="14:23" ht="15" customHeight="1" x14ac:dyDescent="0.2">
      <c r="N58" s="2579"/>
      <c r="O58" s="2578"/>
      <c r="P58" s="2578"/>
      <c r="Q58" s="2578"/>
      <c r="R58" s="2578"/>
      <c r="S58" s="2482"/>
      <c r="T58" s="2482"/>
      <c r="U58" s="2482"/>
      <c r="V58" s="2482"/>
      <c r="W58" s="2482"/>
    </row>
    <row r="59" spans="14:23" ht="15" customHeight="1" x14ac:dyDescent="0.2">
      <c r="N59" s="2579"/>
      <c r="O59" s="2578"/>
      <c r="P59" s="2578"/>
      <c r="Q59" s="2578"/>
      <c r="R59" s="2578"/>
      <c r="S59" s="2482"/>
      <c r="T59" s="2482"/>
      <c r="U59" s="2482"/>
      <c r="V59" s="2482"/>
      <c r="W59" s="2482"/>
    </row>
    <row r="60" spans="14:23" ht="15" customHeight="1" x14ac:dyDescent="0.2">
      <c r="N60" s="2579"/>
      <c r="O60" s="2578"/>
      <c r="P60" s="2578"/>
      <c r="Q60" s="2578"/>
      <c r="R60" s="2578"/>
      <c r="S60" s="2482"/>
      <c r="T60" s="2482"/>
      <c r="U60" s="2482"/>
      <c r="V60" s="2482"/>
      <c r="W60" s="2482"/>
    </row>
    <row r="61" spans="14:23" ht="15" customHeight="1" x14ac:dyDescent="0.2">
      <c r="N61" s="2579"/>
      <c r="O61" s="2578"/>
      <c r="P61" s="2578"/>
      <c r="Q61" s="2578"/>
      <c r="R61" s="2578"/>
      <c r="S61" s="2482"/>
      <c r="T61" s="2482"/>
      <c r="U61" s="2482"/>
      <c r="V61" s="2482"/>
      <c r="W61" s="2482"/>
    </row>
    <row r="62" spans="14:23" ht="15" customHeight="1" x14ac:dyDescent="0.2">
      <c r="N62" s="2579"/>
      <c r="O62" s="2578"/>
      <c r="P62" s="2578"/>
      <c r="Q62" s="2578"/>
      <c r="R62" s="2578"/>
      <c r="S62" s="2482"/>
      <c r="T62" s="2482"/>
      <c r="U62" s="2482"/>
      <c r="V62" s="2482"/>
      <c r="W62" s="2482"/>
    </row>
    <row r="63" spans="14:23" ht="15" customHeight="1" x14ac:dyDescent="0.2">
      <c r="N63" s="2579"/>
      <c r="O63" s="2578"/>
      <c r="P63" s="2578"/>
      <c r="Q63" s="2578"/>
      <c r="R63" s="2578"/>
      <c r="S63" s="2482"/>
      <c r="T63" s="2482"/>
      <c r="U63" s="2482"/>
      <c r="V63" s="2482"/>
      <c r="W63" s="2482"/>
    </row>
    <row r="64" spans="14:23" ht="15" customHeight="1" x14ac:dyDescent="0.2">
      <c r="N64" s="2579"/>
      <c r="O64" s="2578"/>
      <c r="P64" s="2578"/>
      <c r="Q64" s="2578"/>
      <c r="R64" s="2578"/>
      <c r="S64" s="2482"/>
      <c r="T64" s="2482"/>
      <c r="U64" s="2482"/>
      <c r="V64" s="2482"/>
      <c r="W64" s="2482"/>
    </row>
    <row r="65" spans="14:23" ht="15" customHeight="1" x14ac:dyDescent="0.2">
      <c r="N65" s="2579"/>
      <c r="O65" s="2578"/>
      <c r="P65" s="2578"/>
      <c r="Q65" s="2578"/>
      <c r="R65" s="2578"/>
      <c r="S65" s="2482"/>
      <c r="T65" s="2482"/>
      <c r="U65" s="2482"/>
      <c r="V65" s="2482"/>
      <c r="W65" s="2482"/>
    </row>
    <row r="66" spans="14:23" ht="15" customHeight="1" x14ac:dyDescent="0.2">
      <c r="N66" s="2579"/>
      <c r="O66" s="2578"/>
      <c r="P66" s="2578"/>
      <c r="Q66" s="2578"/>
      <c r="R66" s="2578"/>
      <c r="S66" s="2482"/>
      <c r="T66" s="2482"/>
      <c r="U66" s="2482"/>
      <c r="V66" s="2482"/>
      <c r="W66" s="2482"/>
    </row>
    <row r="67" spans="14:23" ht="15" customHeight="1" x14ac:dyDescent="0.2">
      <c r="N67" s="2579"/>
      <c r="O67" s="2578"/>
      <c r="P67" s="2578"/>
      <c r="Q67" s="2578"/>
      <c r="R67" s="2578"/>
      <c r="S67" s="2482"/>
      <c r="T67" s="2482"/>
      <c r="U67" s="2482"/>
      <c r="V67" s="2482"/>
      <c r="W67" s="2482"/>
    </row>
    <row r="68" spans="14:23" ht="15" customHeight="1" x14ac:dyDescent="0.2">
      <c r="N68" s="2579"/>
      <c r="O68" s="2578"/>
      <c r="P68" s="2578"/>
      <c r="Q68" s="2578"/>
      <c r="R68" s="2578"/>
      <c r="S68" s="2482"/>
      <c r="T68" s="2482"/>
      <c r="U68" s="2482"/>
      <c r="V68" s="2482"/>
      <c r="W68" s="2482"/>
    </row>
    <row r="69" spans="14:23" ht="15" customHeight="1" x14ac:dyDescent="0.2">
      <c r="N69" s="2579"/>
      <c r="O69" s="2578"/>
      <c r="P69" s="2578"/>
      <c r="Q69" s="2578"/>
      <c r="R69" s="2578"/>
      <c r="S69" s="2482"/>
      <c r="T69" s="2482"/>
      <c r="U69" s="2482"/>
      <c r="V69" s="2482"/>
      <c r="W69" s="2482"/>
    </row>
    <row r="70" spans="14:23" ht="15" customHeight="1" x14ac:dyDescent="0.2">
      <c r="N70" s="2579"/>
      <c r="O70" s="2578"/>
      <c r="P70" s="2578"/>
      <c r="Q70" s="2578"/>
      <c r="R70" s="2578"/>
      <c r="S70" s="2482"/>
      <c r="T70" s="2482"/>
      <c r="U70" s="2482"/>
      <c r="V70" s="2482"/>
      <c r="W70" s="2482"/>
    </row>
    <row r="71" spans="14:23" ht="15" customHeight="1" x14ac:dyDescent="0.2">
      <c r="N71" s="2579"/>
      <c r="O71" s="2578"/>
      <c r="P71" s="2578"/>
      <c r="Q71" s="2578"/>
      <c r="R71" s="2578"/>
      <c r="S71" s="2482"/>
      <c r="T71" s="2482"/>
      <c r="U71" s="2482"/>
      <c r="V71" s="2482"/>
      <c r="W71" s="2482"/>
    </row>
    <row r="72" spans="14:23" ht="15" customHeight="1" x14ac:dyDescent="0.2">
      <c r="N72" s="2579"/>
      <c r="O72" s="2578"/>
      <c r="P72" s="2578"/>
      <c r="Q72" s="2578"/>
      <c r="R72" s="2578"/>
      <c r="S72" s="2482"/>
      <c r="T72" s="2482"/>
      <c r="U72" s="2482"/>
      <c r="V72" s="2482"/>
      <c r="W72" s="2482"/>
    </row>
    <row r="73" spans="14:23" ht="15" customHeight="1" x14ac:dyDescent="0.2">
      <c r="N73" s="2579"/>
      <c r="O73" s="2578"/>
      <c r="P73" s="2578"/>
      <c r="Q73" s="2578"/>
      <c r="R73" s="2578"/>
      <c r="S73" s="2482"/>
      <c r="T73" s="2482"/>
      <c r="U73" s="2482"/>
      <c r="V73" s="2482"/>
      <c r="W73" s="2482"/>
    </row>
    <row r="74" spans="14:23" ht="15" customHeight="1" x14ac:dyDescent="0.2">
      <c r="N74" s="2579"/>
      <c r="O74" s="2578"/>
      <c r="P74" s="2578"/>
      <c r="Q74" s="2578"/>
      <c r="R74" s="2578"/>
      <c r="S74" s="2482"/>
      <c r="T74" s="2482"/>
      <c r="U74" s="2482"/>
      <c r="V74" s="2482"/>
      <c r="W74" s="2482"/>
    </row>
    <row r="75" spans="14:23" ht="15" customHeight="1" x14ac:dyDescent="0.2">
      <c r="N75" s="2579"/>
      <c r="O75" s="2578"/>
      <c r="P75" s="2578"/>
      <c r="Q75" s="2578"/>
      <c r="R75" s="2578"/>
      <c r="S75" s="2482"/>
      <c r="T75" s="2482"/>
      <c r="U75" s="2482"/>
      <c r="V75" s="2482"/>
      <c r="W75" s="2482"/>
    </row>
    <row r="76" spans="14:23" ht="15" customHeight="1" x14ac:dyDescent="0.2">
      <c r="N76" s="2579"/>
      <c r="O76" s="2578"/>
      <c r="P76" s="2578"/>
      <c r="Q76" s="2578"/>
      <c r="R76" s="2578"/>
      <c r="S76" s="2482"/>
      <c r="T76" s="2482"/>
      <c r="U76" s="2482"/>
      <c r="V76" s="2482"/>
      <c r="W76" s="2482"/>
    </row>
    <row r="77" spans="14:23" ht="15" customHeight="1" x14ac:dyDescent="0.2">
      <c r="N77" s="2579"/>
      <c r="O77" s="2578"/>
      <c r="P77" s="2578"/>
      <c r="Q77" s="2578"/>
      <c r="R77" s="2578"/>
      <c r="S77" s="2482"/>
      <c r="T77" s="2482"/>
      <c r="U77" s="2482"/>
      <c r="V77" s="2482"/>
      <c r="W77" s="2482"/>
    </row>
    <row r="78" spans="14:23" ht="15" customHeight="1" x14ac:dyDescent="0.2">
      <c r="N78" s="2579"/>
      <c r="O78" s="2578"/>
      <c r="P78" s="2578"/>
      <c r="Q78" s="2578"/>
      <c r="R78" s="2578"/>
      <c r="S78" s="2482"/>
      <c r="T78" s="2482"/>
      <c r="U78" s="2482"/>
      <c r="V78" s="2482"/>
      <c r="W78" s="2482"/>
    </row>
    <row r="79" spans="14:23" ht="15" customHeight="1" x14ac:dyDescent="0.2">
      <c r="N79" s="2579"/>
      <c r="O79" s="2578"/>
      <c r="P79" s="2578"/>
      <c r="Q79" s="2578"/>
      <c r="R79" s="2578"/>
      <c r="S79" s="2482"/>
      <c r="T79" s="2482"/>
      <c r="U79" s="2482"/>
      <c r="V79" s="2482"/>
      <c r="W79" s="2482"/>
    </row>
    <row r="80" spans="14:23" ht="15" customHeight="1" x14ac:dyDescent="0.2">
      <c r="N80" s="2579"/>
      <c r="O80" s="2578"/>
      <c r="P80" s="2578"/>
      <c r="Q80" s="2578"/>
      <c r="R80" s="2578"/>
      <c r="S80" s="2482"/>
      <c r="T80" s="2482"/>
      <c r="U80" s="2482"/>
      <c r="V80" s="2482"/>
      <c r="W80" s="2482"/>
    </row>
    <row r="81" spans="14:23" ht="15" customHeight="1" x14ac:dyDescent="0.2">
      <c r="N81" s="2579"/>
      <c r="O81" s="2578"/>
      <c r="P81" s="2578"/>
      <c r="Q81" s="2578"/>
      <c r="R81" s="2578"/>
      <c r="S81" s="2482"/>
      <c r="T81" s="2482"/>
      <c r="U81" s="2482"/>
      <c r="V81" s="2482"/>
      <c r="W81" s="2482"/>
    </row>
    <row r="82" spans="14:23" ht="15" customHeight="1" x14ac:dyDescent="0.2">
      <c r="N82" s="2579"/>
      <c r="O82" s="2578"/>
      <c r="P82" s="2578"/>
      <c r="Q82" s="2578"/>
      <c r="R82" s="2578"/>
      <c r="S82" s="2482"/>
      <c r="T82" s="2482"/>
      <c r="U82" s="2482"/>
      <c r="V82" s="2482"/>
      <c r="W82" s="2482"/>
    </row>
    <row r="83" spans="14:23" ht="15" customHeight="1" x14ac:dyDescent="0.2">
      <c r="N83" s="2579"/>
      <c r="O83" s="2578"/>
      <c r="P83" s="2578"/>
      <c r="Q83" s="2578"/>
      <c r="R83" s="2578"/>
      <c r="S83" s="2482"/>
      <c r="T83" s="2482"/>
      <c r="U83" s="2482"/>
      <c r="V83" s="2482"/>
      <c r="W83" s="2482"/>
    </row>
    <row r="84" spans="14:23" ht="15" customHeight="1" x14ac:dyDescent="0.2">
      <c r="N84" s="2579"/>
      <c r="O84" s="2578"/>
      <c r="P84" s="2578"/>
      <c r="Q84" s="2578"/>
      <c r="R84" s="2578"/>
      <c r="S84" s="2482"/>
      <c r="T84" s="2482"/>
      <c r="U84" s="2482"/>
      <c r="V84" s="2482"/>
      <c r="W84" s="2482"/>
    </row>
    <row r="85" spans="14:23" ht="15" customHeight="1" x14ac:dyDescent="0.2">
      <c r="N85" s="2579"/>
      <c r="O85" s="2578"/>
      <c r="P85" s="2578"/>
      <c r="Q85" s="2578"/>
      <c r="R85" s="2578"/>
      <c r="S85" s="2482"/>
      <c r="T85" s="2482"/>
      <c r="U85" s="2482"/>
      <c r="V85" s="2482"/>
      <c r="W85" s="2482"/>
    </row>
    <row r="86" spans="14:23" ht="15" customHeight="1" x14ac:dyDescent="0.2">
      <c r="N86" s="2579"/>
      <c r="O86" s="2578"/>
      <c r="P86" s="2578"/>
      <c r="Q86" s="2578"/>
      <c r="R86" s="2578"/>
      <c r="S86" s="2482"/>
      <c r="T86" s="2482"/>
      <c r="U86" s="2482"/>
      <c r="V86" s="2482"/>
      <c r="W86" s="2482"/>
    </row>
    <row r="87" spans="14:23" ht="15" customHeight="1" x14ac:dyDescent="0.2">
      <c r="N87" s="2579"/>
      <c r="O87" s="2578"/>
      <c r="P87" s="2578"/>
      <c r="Q87" s="2578"/>
      <c r="R87" s="2578"/>
      <c r="S87" s="2482"/>
      <c r="T87" s="2482"/>
      <c r="U87" s="2482"/>
      <c r="V87" s="2482"/>
      <c r="W87" s="2482"/>
    </row>
    <row r="88" spans="14:23" ht="15" customHeight="1" x14ac:dyDescent="0.2">
      <c r="N88" s="2579"/>
      <c r="O88" s="2578"/>
      <c r="P88" s="2578"/>
      <c r="Q88" s="2578"/>
      <c r="R88" s="2578"/>
      <c r="S88" s="2482"/>
      <c r="T88" s="2482"/>
      <c r="U88" s="2482"/>
      <c r="V88" s="2482"/>
      <c r="W88" s="2482"/>
    </row>
    <row r="89" spans="14:23" ht="15" customHeight="1" x14ac:dyDescent="0.2">
      <c r="N89" s="2579"/>
      <c r="O89" s="2578"/>
      <c r="P89" s="2578"/>
      <c r="Q89" s="2578"/>
      <c r="R89" s="2578"/>
      <c r="S89" s="2482"/>
      <c r="T89" s="2482"/>
      <c r="U89" s="2482"/>
      <c r="V89" s="2482"/>
      <c r="W89" s="2482"/>
    </row>
    <row r="90" spans="14:23" ht="15" customHeight="1" x14ac:dyDescent="0.2">
      <c r="N90" s="2579"/>
      <c r="O90" s="2578"/>
      <c r="P90" s="2578"/>
      <c r="Q90" s="2578"/>
      <c r="R90" s="2578"/>
      <c r="S90" s="2482"/>
      <c r="T90" s="2482"/>
      <c r="U90" s="2482"/>
      <c r="V90" s="2482"/>
      <c r="W90" s="2482"/>
    </row>
    <row r="91" spans="14:23" ht="15" customHeight="1" x14ac:dyDescent="0.2">
      <c r="N91" s="2579"/>
      <c r="O91" s="2578"/>
      <c r="P91" s="2578"/>
      <c r="Q91" s="2578"/>
      <c r="R91" s="2578"/>
      <c r="S91" s="2482"/>
      <c r="T91" s="2482"/>
      <c r="U91" s="2482"/>
      <c r="V91" s="2482"/>
      <c r="W91" s="2482"/>
    </row>
    <row r="92" spans="14:23" ht="15" customHeight="1" x14ac:dyDescent="0.2">
      <c r="N92" s="2579"/>
      <c r="O92" s="2578"/>
      <c r="P92" s="2578"/>
      <c r="Q92" s="2578"/>
      <c r="R92" s="2578"/>
      <c r="S92" s="2482"/>
      <c r="T92" s="2482"/>
      <c r="U92" s="2482"/>
      <c r="V92" s="2482"/>
      <c r="W92" s="2482"/>
    </row>
    <row r="93" spans="14:23" ht="15" customHeight="1" x14ac:dyDescent="0.2">
      <c r="N93" s="2579"/>
      <c r="O93" s="2578"/>
      <c r="P93" s="2578"/>
      <c r="Q93" s="2578"/>
      <c r="R93" s="2578"/>
      <c r="S93" s="2482"/>
      <c r="T93" s="2482"/>
      <c r="U93" s="2482"/>
      <c r="V93" s="2482"/>
      <c r="W93" s="2482"/>
    </row>
    <row r="94" spans="14:23" ht="15" customHeight="1" x14ac:dyDescent="0.2">
      <c r="N94" s="2579"/>
      <c r="O94" s="2578"/>
      <c r="P94" s="2578"/>
      <c r="Q94" s="2578"/>
      <c r="R94" s="2578"/>
      <c r="S94" s="2482"/>
      <c r="T94" s="2482"/>
      <c r="U94" s="2482"/>
      <c r="V94" s="2482"/>
      <c r="W94" s="2482"/>
    </row>
    <row r="95" spans="14:23" ht="15" customHeight="1" x14ac:dyDescent="0.2">
      <c r="N95" s="2579"/>
      <c r="O95" s="2578"/>
      <c r="P95" s="2578"/>
      <c r="Q95" s="2578"/>
      <c r="R95" s="2578"/>
      <c r="S95" s="2482"/>
      <c r="T95" s="2482"/>
      <c r="U95" s="2482"/>
      <c r="V95" s="2482"/>
      <c r="W95" s="2482"/>
    </row>
    <row r="96" spans="14:23" ht="15" customHeight="1" x14ac:dyDescent="0.2">
      <c r="N96" s="2579"/>
      <c r="O96" s="2578"/>
      <c r="P96" s="2578"/>
      <c r="Q96" s="2578"/>
      <c r="R96" s="2578"/>
      <c r="S96" s="2482"/>
      <c r="T96" s="2482"/>
      <c r="U96" s="2482"/>
      <c r="V96" s="2482"/>
      <c r="W96" s="2482"/>
    </row>
    <row r="97" spans="14:23" ht="15" customHeight="1" x14ac:dyDescent="0.2">
      <c r="N97" s="2579"/>
      <c r="O97" s="2578"/>
      <c r="P97" s="2578"/>
      <c r="Q97" s="2578"/>
      <c r="R97" s="2578"/>
      <c r="S97" s="2482"/>
      <c r="T97" s="2482"/>
      <c r="U97" s="2482"/>
      <c r="V97" s="2482"/>
      <c r="W97" s="2482"/>
    </row>
    <row r="98" spans="14:23" ht="15" customHeight="1" x14ac:dyDescent="0.2">
      <c r="N98" s="2579"/>
      <c r="O98" s="2578"/>
      <c r="P98" s="2578"/>
      <c r="Q98" s="2578"/>
      <c r="R98" s="2578"/>
      <c r="S98" s="2482"/>
      <c r="T98" s="2482"/>
      <c r="U98" s="2482"/>
      <c r="V98" s="2482"/>
      <c r="W98" s="2482"/>
    </row>
    <row r="99" spans="14:23" ht="15" customHeight="1" x14ac:dyDescent="0.2">
      <c r="N99" s="2579"/>
      <c r="O99" s="2578"/>
      <c r="P99" s="2578"/>
      <c r="Q99" s="2578"/>
      <c r="R99" s="2578"/>
      <c r="S99" s="2482"/>
      <c r="T99" s="2482"/>
      <c r="U99" s="2482"/>
      <c r="V99" s="2482"/>
      <c r="W99" s="2482"/>
    </row>
    <row r="100" spans="14:23" ht="15" customHeight="1" x14ac:dyDescent="0.2">
      <c r="N100" s="2579"/>
      <c r="O100" s="2578"/>
      <c r="P100" s="2578"/>
      <c r="Q100" s="2578"/>
      <c r="R100" s="2578"/>
      <c r="S100" s="2482"/>
      <c r="T100" s="2482"/>
      <c r="U100" s="2482"/>
      <c r="V100" s="2482"/>
      <c r="W100" s="2482"/>
    </row>
    <row r="101" spans="14:23" ht="15" customHeight="1" x14ac:dyDescent="0.2">
      <c r="N101" s="2579"/>
      <c r="O101" s="2578"/>
      <c r="P101" s="2578"/>
      <c r="Q101" s="2578"/>
      <c r="R101" s="2578"/>
      <c r="S101" s="2482"/>
      <c r="T101" s="2482"/>
      <c r="U101" s="2482"/>
      <c r="V101" s="2482"/>
      <c r="W101" s="2482"/>
    </row>
    <row r="102" spans="14:23" ht="15" customHeight="1" x14ac:dyDescent="0.2">
      <c r="N102" s="2579"/>
      <c r="O102" s="2578"/>
      <c r="P102" s="2578"/>
      <c r="Q102" s="2578"/>
      <c r="R102" s="2578"/>
      <c r="S102" s="2482"/>
      <c r="T102" s="2482"/>
      <c r="U102" s="2482"/>
      <c r="V102" s="2482"/>
      <c r="W102" s="2482"/>
    </row>
    <row r="103" spans="14:23" ht="15" customHeight="1" x14ac:dyDescent="0.2">
      <c r="N103" s="2579"/>
      <c r="O103" s="2578"/>
      <c r="P103" s="2578"/>
      <c r="Q103" s="2578"/>
      <c r="R103" s="2578"/>
      <c r="S103" s="2482"/>
      <c r="T103" s="2482"/>
      <c r="U103" s="2482"/>
      <c r="V103" s="2482"/>
      <c r="W103" s="2482"/>
    </row>
    <row r="104" spans="14:23" ht="15" customHeight="1" x14ac:dyDescent="0.2">
      <c r="N104" s="2579"/>
      <c r="O104" s="2578"/>
      <c r="P104" s="2578"/>
      <c r="Q104" s="2578"/>
      <c r="R104" s="2578"/>
      <c r="S104" s="2482"/>
      <c r="T104" s="2482"/>
      <c r="U104" s="2482"/>
      <c r="V104" s="2482"/>
      <c r="W104" s="2482"/>
    </row>
    <row r="105" spans="14:23" x14ac:dyDescent="0.2">
      <c r="N105" s="2608"/>
    </row>
  </sheetData>
  <mergeCells count="16">
    <mergeCell ref="A5:F5"/>
    <mergeCell ref="G5:K5"/>
    <mergeCell ref="J14:K14"/>
    <mergeCell ref="J15:K15"/>
    <mergeCell ref="J17:K17"/>
    <mergeCell ref="A6:A7"/>
    <mergeCell ref="J8:K8"/>
    <mergeCell ref="J9:K9"/>
    <mergeCell ref="J10:K10"/>
    <mergeCell ref="J12:K12"/>
    <mergeCell ref="J13:K13"/>
    <mergeCell ref="A3:F3"/>
    <mergeCell ref="G3:K3"/>
    <mergeCell ref="A4:F4"/>
    <mergeCell ref="G4:K4"/>
    <mergeCell ref="O4:P4"/>
  </mergeCells>
  <pageMargins left="0.75" right="0.75" top="1" bottom="1" header="0.5" footer="0.5"/>
  <customProperties>
    <customPr name="_pios_id" r:id="rId1"/>
  </customProperties>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4EF934-7387-4FE5-89E1-873C63E4F90A}">
  <sheetPr codeName="Sheet46"/>
  <dimension ref="A1:O104"/>
  <sheetViews>
    <sheetView showRuler="0" topLeftCell="A7" workbookViewId="0">
      <selection activeCell="O201" sqref="O201"/>
    </sheetView>
  </sheetViews>
  <sheetFormatPr defaultColWidth="11.5" defaultRowHeight="12.75" x14ac:dyDescent="0.2"/>
  <cols>
    <col min="1" max="1" width="9.625" style="1953" customWidth="1"/>
    <col min="2" max="2" width="34.75" style="1953" customWidth="1"/>
    <col min="3" max="4" width="14.875" style="1953" customWidth="1"/>
    <col min="5" max="9" width="8.125" style="1953" customWidth="1"/>
    <col min="10" max="10" width="11.5" style="1953"/>
    <col min="11" max="11" width="12" style="1953" bestFit="1" customWidth="1"/>
    <col min="12" max="12" width="19.75" style="1953" bestFit="1" customWidth="1"/>
    <col min="13" max="13" width="14.375" style="1953" customWidth="1"/>
    <col min="14" max="14" width="17.25" style="1953" bestFit="1" customWidth="1"/>
    <col min="15" max="15" width="10.75" style="1953" bestFit="1" customWidth="1"/>
    <col min="16" max="16384" width="11.5" style="1953"/>
  </cols>
  <sheetData>
    <row r="1" spans="1:15" ht="16.7" customHeight="1" x14ac:dyDescent="0.2"/>
    <row r="2" spans="1:15" ht="16.7" customHeight="1" x14ac:dyDescent="0.2"/>
    <row r="3" spans="1:15" ht="15.75" customHeight="1" x14ac:dyDescent="0.2">
      <c r="A3" s="3859" t="s">
        <v>6492</v>
      </c>
      <c r="B3" s="3859"/>
      <c r="C3" s="3859"/>
      <c r="D3" s="3859"/>
      <c r="E3" s="3867" t="s">
        <v>6493</v>
      </c>
      <c r="F3" s="3867"/>
      <c r="G3" s="3867"/>
      <c r="H3" s="3867"/>
      <c r="I3" s="3867"/>
      <c r="J3" s="2479"/>
    </row>
    <row r="4" spans="1:15" ht="35.85" customHeight="1" x14ac:dyDescent="0.2">
      <c r="A4" s="3860" t="s">
        <v>6494</v>
      </c>
      <c r="B4" s="3856"/>
      <c r="C4" s="3856"/>
      <c r="D4" s="3856"/>
      <c r="E4" s="3900" t="s">
        <v>6495</v>
      </c>
      <c r="F4" s="3901"/>
      <c r="G4" s="3901"/>
      <c r="H4" s="3901"/>
      <c r="I4" s="3902"/>
      <c r="J4" s="2479"/>
    </row>
    <row r="5" spans="1:15" ht="24.2" customHeight="1" x14ac:dyDescent="0.2">
      <c r="A5" s="3903" t="s">
        <v>6496</v>
      </c>
      <c r="B5" s="3903"/>
      <c r="C5" s="3903"/>
      <c r="D5" s="3903"/>
      <c r="E5" s="3900"/>
      <c r="F5" s="3901"/>
      <c r="G5" s="3901"/>
      <c r="H5" s="3901"/>
      <c r="I5" s="3902"/>
      <c r="J5" s="2479"/>
    </row>
    <row r="6" spans="1:15" ht="32.450000000000003" customHeight="1" x14ac:dyDescent="0.2">
      <c r="A6" s="2583" t="s">
        <v>5945</v>
      </c>
      <c r="B6" s="2583" t="s">
        <v>548</v>
      </c>
      <c r="C6" s="2581" t="s">
        <v>6497</v>
      </c>
      <c r="D6" s="2581" t="s">
        <v>511</v>
      </c>
      <c r="E6" s="2632" t="s">
        <v>6498</v>
      </c>
      <c r="F6" s="2632" t="s">
        <v>6499</v>
      </c>
      <c r="G6" s="2632" t="s">
        <v>6499</v>
      </c>
      <c r="H6" s="2632" t="s">
        <v>6499</v>
      </c>
      <c r="I6" s="2632" t="s">
        <v>6500</v>
      </c>
      <c r="J6" s="2479"/>
    </row>
    <row r="7" spans="1:15" ht="15.75" customHeight="1" x14ac:dyDescent="0.2">
      <c r="A7" s="2589"/>
      <c r="B7" s="2589" t="s">
        <v>5949</v>
      </c>
      <c r="C7" s="2589" t="s">
        <v>5950</v>
      </c>
      <c r="D7" s="2589" t="s">
        <v>5951</v>
      </c>
      <c r="E7" s="2633" t="s">
        <v>5952</v>
      </c>
      <c r="F7" s="2633" t="s">
        <v>6227</v>
      </c>
      <c r="G7" s="2633" t="s">
        <v>5804</v>
      </c>
      <c r="H7" s="2633" t="s">
        <v>6228</v>
      </c>
      <c r="I7" s="2633" t="s">
        <v>6229</v>
      </c>
      <c r="J7" s="2479"/>
    </row>
    <row r="8" spans="1:15" ht="15.75" customHeight="1" x14ac:dyDescent="0.2">
      <c r="A8" s="2634">
        <v>1</v>
      </c>
      <c r="B8" s="2512" t="s">
        <v>274</v>
      </c>
      <c r="C8" s="3904"/>
      <c r="D8" s="3905"/>
      <c r="E8" s="3904"/>
      <c r="F8" s="3906"/>
      <c r="G8" s="3906"/>
      <c r="H8" s="3906"/>
      <c r="I8" s="3905"/>
      <c r="J8" s="2479"/>
    </row>
    <row r="9" spans="1:15" ht="15.75" customHeight="1" x14ac:dyDescent="0.2">
      <c r="A9" s="2634">
        <v>2</v>
      </c>
      <c r="B9" s="2512" t="s">
        <v>6501</v>
      </c>
      <c r="C9" s="3904"/>
      <c r="D9" s="3905"/>
      <c r="E9" s="3904"/>
      <c r="F9" s="3906"/>
      <c r="G9" s="3906"/>
      <c r="H9" s="3906"/>
      <c r="I9" s="3905"/>
      <c r="J9" s="2479"/>
    </row>
    <row r="10" spans="1:15" ht="15.75" customHeight="1" x14ac:dyDescent="0.2">
      <c r="A10" s="2634">
        <v>3</v>
      </c>
      <c r="B10" s="2502" t="s">
        <v>6502</v>
      </c>
      <c r="C10" s="2527">
        <f>SUM(D10:I10)</f>
        <v>33301600620</v>
      </c>
      <c r="D10" s="2530">
        <v>33301600620</v>
      </c>
      <c r="E10" s="2559"/>
      <c r="F10" s="2559"/>
      <c r="G10" s="2559"/>
      <c r="H10" s="2559"/>
      <c r="I10" s="2559"/>
      <c r="J10" s="2479"/>
      <c r="K10" s="2576"/>
    </row>
    <row r="11" spans="1:15" ht="15.75" customHeight="1" x14ac:dyDescent="0.2">
      <c r="A11" s="2634">
        <v>4</v>
      </c>
      <c r="B11" s="2502" t="s">
        <v>6503</v>
      </c>
      <c r="C11" s="2527">
        <f>SUM(D11:I11)</f>
        <v>24034133</v>
      </c>
      <c r="D11" s="2530">
        <v>24034133</v>
      </c>
      <c r="E11" s="2559"/>
      <c r="F11" s="2559"/>
      <c r="G11" s="2559"/>
      <c r="H11" s="2559"/>
      <c r="I11" s="2559"/>
      <c r="J11" s="2479"/>
      <c r="K11" s="2576"/>
    </row>
    <row r="12" spans="1:15" ht="15.75" customHeight="1" x14ac:dyDescent="0.2">
      <c r="A12" s="2634">
        <v>5</v>
      </c>
      <c r="B12" s="2502" t="s">
        <v>6504</v>
      </c>
      <c r="C12" s="2527">
        <f>SUM(D12:I12)</f>
        <v>0</v>
      </c>
      <c r="D12" s="2530">
        <v>0</v>
      </c>
      <c r="E12" s="2559"/>
      <c r="F12" s="2559"/>
      <c r="G12" s="2559"/>
      <c r="H12" s="2559"/>
      <c r="I12" s="2559"/>
      <c r="J12" s="2479"/>
      <c r="K12" s="2576"/>
    </row>
    <row r="13" spans="1:15" ht="15.75" customHeight="1" x14ac:dyDescent="0.2">
      <c r="A13" s="2634">
        <v>6</v>
      </c>
      <c r="B13" s="2502" t="s">
        <v>6505</v>
      </c>
      <c r="C13" s="2527">
        <f>SUM(D13:I13)</f>
        <v>547634625</v>
      </c>
      <c r="D13" s="2530">
        <v>547634625</v>
      </c>
      <c r="E13" s="2559"/>
      <c r="F13" s="2559"/>
      <c r="G13" s="2559"/>
      <c r="H13" s="2559"/>
      <c r="I13" s="2559"/>
      <c r="J13" s="2479"/>
      <c r="K13" s="3148" t="s">
        <v>5459</v>
      </c>
      <c r="L13" s="3149" t="s">
        <v>5459</v>
      </c>
      <c r="M13" s="3149" t="s">
        <v>5459</v>
      </c>
      <c r="N13" s="3149" t="s">
        <v>5459</v>
      </c>
      <c r="O13" s="3150" t="s">
        <v>11902</v>
      </c>
    </row>
    <row r="14" spans="1:15" ht="15.75" customHeight="1" x14ac:dyDescent="0.2">
      <c r="A14" s="2634">
        <v>7</v>
      </c>
      <c r="B14" s="2502" t="s">
        <v>6506</v>
      </c>
      <c r="C14" s="2527">
        <f>SUM(D14:I14)</f>
        <v>0</v>
      </c>
      <c r="D14" s="2530">
        <v>0</v>
      </c>
      <c r="E14" s="2559"/>
      <c r="F14" s="2559"/>
      <c r="G14" s="2559"/>
      <c r="H14" s="2559"/>
      <c r="I14" s="2559"/>
      <c r="J14" s="2479"/>
      <c r="K14" s="3151" t="s">
        <v>11903</v>
      </c>
      <c r="L14" s="3152" t="s">
        <v>5459</v>
      </c>
      <c r="M14" s="3152" t="s">
        <v>11904</v>
      </c>
      <c r="N14" s="3152" t="s">
        <v>5459</v>
      </c>
      <c r="O14" s="3153" t="s">
        <v>5604</v>
      </c>
    </row>
    <row r="15" spans="1:15" ht="15.75" customHeight="1" x14ac:dyDescent="0.2">
      <c r="A15" s="2634">
        <v>8</v>
      </c>
      <c r="B15" s="2502" t="s">
        <v>6507</v>
      </c>
      <c r="C15" s="2527">
        <f t="shared" ref="C15:I15" si="0">SUM(C10:C14)</f>
        <v>33873269378</v>
      </c>
      <c r="D15" s="2527">
        <f t="shared" si="0"/>
        <v>33873269378</v>
      </c>
      <c r="E15" s="2527">
        <f t="shared" si="0"/>
        <v>0</v>
      </c>
      <c r="F15" s="2527">
        <f t="shared" si="0"/>
        <v>0</v>
      </c>
      <c r="G15" s="2527">
        <f t="shared" si="0"/>
        <v>0</v>
      </c>
      <c r="H15" s="2527">
        <f t="shared" si="0"/>
        <v>0</v>
      </c>
      <c r="I15" s="2527">
        <f t="shared" si="0"/>
        <v>0</v>
      </c>
      <c r="J15" s="2479"/>
      <c r="K15" s="3154">
        <v>1110000</v>
      </c>
      <c r="L15" s="3153" t="s">
        <v>4957</v>
      </c>
      <c r="M15" s="3153">
        <v>146140</v>
      </c>
      <c r="N15" s="3153" t="s">
        <v>11905</v>
      </c>
      <c r="O15" s="3155">
        <v>-607066214.6099999</v>
      </c>
    </row>
    <row r="16" spans="1:15" ht="15.75" customHeight="1" x14ac:dyDescent="0.2">
      <c r="A16" s="2634">
        <v>9</v>
      </c>
      <c r="B16" s="2502" t="s">
        <v>6508</v>
      </c>
      <c r="C16" s="2527">
        <f>SUM(D16:I16)</f>
        <v>0</v>
      </c>
      <c r="D16" s="2527">
        <v>0</v>
      </c>
      <c r="E16" s="2559"/>
      <c r="F16" s="2559"/>
      <c r="G16" s="2559"/>
      <c r="H16" s="2559"/>
      <c r="I16" s="2559"/>
      <c r="J16" s="2479"/>
      <c r="K16" s="3154" t="s">
        <v>5459</v>
      </c>
      <c r="L16" s="3153" t="s">
        <v>5459</v>
      </c>
      <c r="M16" s="3153">
        <v>146200</v>
      </c>
      <c r="N16" s="3153" t="s">
        <v>11906</v>
      </c>
      <c r="O16" s="3156">
        <v>-135559718.38</v>
      </c>
    </row>
    <row r="17" spans="1:15" ht="15.75" customHeight="1" x14ac:dyDescent="0.2">
      <c r="A17" s="2634">
        <v>10</v>
      </c>
      <c r="B17" s="2502" t="s">
        <v>6509</v>
      </c>
      <c r="C17" s="2527">
        <f>SUM(D17:I17)</f>
        <v>14174575</v>
      </c>
      <c r="D17" s="2527">
        <v>14174575</v>
      </c>
      <c r="E17" s="2559"/>
      <c r="F17" s="2559"/>
      <c r="G17" s="2559"/>
      <c r="H17" s="2559"/>
      <c r="I17" s="2559"/>
      <c r="J17" s="2479"/>
      <c r="K17" s="3154" t="s">
        <v>5459</v>
      </c>
      <c r="L17" s="3153" t="s">
        <v>5459</v>
      </c>
      <c r="M17" s="3153">
        <v>146210</v>
      </c>
      <c r="N17" s="3153" t="s">
        <v>11907</v>
      </c>
      <c r="O17" s="3156">
        <v>-24680024.59</v>
      </c>
    </row>
    <row r="18" spans="1:15" ht="15.75" customHeight="1" x14ac:dyDescent="0.2">
      <c r="A18" s="2634">
        <v>11</v>
      </c>
      <c r="B18" s="2502" t="s">
        <v>6510</v>
      </c>
      <c r="C18" s="2527">
        <f>SUM(D18:I18)</f>
        <v>4719845635</v>
      </c>
      <c r="D18" s="2527">
        <v>4719845635</v>
      </c>
      <c r="E18" s="2559"/>
      <c r="F18" s="2559"/>
      <c r="G18" s="2559"/>
      <c r="H18" s="2559"/>
      <c r="I18" s="2559"/>
      <c r="J18" s="2479"/>
      <c r="K18" s="3154" t="s">
        <v>5459</v>
      </c>
      <c r="L18" s="3153" t="s">
        <v>5459</v>
      </c>
      <c r="M18" s="3153">
        <v>146230</v>
      </c>
      <c r="N18" s="3153" t="s">
        <v>11908</v>
      </c>
      <c r="O18" s="3156">
        <v>-14429014.609999999</v>
      </c>
    </row>
    <row r="19" spans="1:15" ht="15.75" customHeight="1" x14ac:dyDescent="0.2">
      <c r="A19" s="2634">
        <v>12</v>
      </c>
      <c r="B19" s="2502" t="s">
        <v>6511</v>
      </c>
      <c r="C19" s="2527">
        <f>SUM(D19:I19)</f>
        <v>156468483</v>
      </c>
      <c r="D19" s="2527">
        <v>156468483</v>
      </c>
      <c r="E19" s="2559"/>
      <c r="F19" s="2559"/>
      <c r="G19" s="2559"/>
      <c r="H19" s="2559"/>
      <c r="I19" s="2559"/>
      <c r="J19" s="2479"/>
      <c r="K19" s="3154" t="s">
        <v>5459</v>
      </c>
      <c r="L19" s="3153" t="s">
        <v>5459</v>
      </c>
      <c r="M19" s="3153">
        <v>146450</v>
      </c>
      <c r="N19" s="3153" t="s">
        <v>11909</v>
      </c>
      <c r="O19" s="3157">
        <v>0</v>
      </c>
    </row>
    <row r="20" spans="1:15" ht="15.75" customHeight="1" x14ac:dyDescent="0.2">
      <c r="A20" s="2634">
        <v>13</v>
      </c>
      <c r="B20" s="2502" t="s">
        <v>6512</v>
      </c>
      <c r="C20" s="2527">
        <f t="shared" ref="C20:I20" si="1">SUM(C15:C19)</f>
        <v>38763758071</v>
      </c>
      <c r="D20" s="2527">
        <f t="shared" si="1"/>
        <v>38763758071</v>
      </c>
      <c r="E20" s="2527">
        <f t="shared" si="1"/>
        <v>0</v>
      </c>
      <c r="F20" s="2527">
        <f t="shared" si="1"/>
        <v>0</v>
      </c>
      <c r="G20" s="2527">
        <f t="shared" si="1"/>
        <v>0</v>
      </c>
      <c r="H20" s="2527">
        <f t="shared" si="1"/>
        <v>0</v>
      </c>
      <c r="I20" s="2527">
        <f t="shared" si="1"/>
        <v>0</v>
      </c>
      <c r="J20" s="2479"/>
      <c r="K20" s="3154" t="s">
        <v>5459</v>
      </c>
      <c r="L20" s="3153" t="s">
        <v>5459</v>
      </c>
      <c r="M20" s="3158" t="s">
        <v>11910</v>
      </c>
      <c r="N20" s="3159" t="s">
        <v>5459</v>
      </c>
      <c r="O20" s="3160">
        <f>SUM(O15:O19)</f>
        <v>-781734972.18999994</v>
      </c>
    </row>
    <row r="21" spans="1:15" ht="15.75" customHeight="1" x14ac:dyDescent="0.2">
      <c r="A21" s="2634">
        <v>14</v>
      </c>
      <c r="B21" s="2502" t="s">
        <v>6513</v>
      </c>
      <c r="C21" s="2527">
        <f>SUM(D21:I21)</f>
        <v>13094069120</v>
      </c>
      <c r="D21" s="2527">
        <v>13094069120</v>
      </c>
      <c r="E21" s="2559"/>
      <c r="F21" s="2559"/>
      <c r="G21" s="2559"/>
      <c r="H21" s="2559"/>
      <c r="I21" s="2559"/>
      <c r="J21" s="2479"/>
      <c r="K21" s="3154">
        <v>1119000</v>
      </c>
      <c r="L21" s="3153" t="s">
        <v>4967</v>
      </c>
      <c r="M21" s="3150">
        <v>146201</v>
      </c>
      <c r="N21" s="3150" t="s">
        <v>11911</v>
      </c>
      <c r="O21" s="3155">
        <v>0</v>
      </c>
    </row>
    <row r="22" spans="1:15" ht="15.75" customHeight="1" x14ac:dyDescent="0.2">
      <c r="A22" s="2634">
        <v>15</v>
      </c>
      <c r="B22" s="2502" t="s">
        <v>6514</v>
      </c>
      <c r="C22" s="2527">
        <f t="shared" ref="C22:I22" si="2">C20-C21</f>
        <v>25669688951</v>
      </c>
      <c r="D22" s="2527">
        <f t="shared" si="2"/>
        <v>25669688951</v>
      </c>
      <c r="E22" s="2527">
        <f t="shared" si="2"/>
        <v>0</v>
      </c>
      <c r="F22" s="2527">
        <f t="shared" si="2"/>
        <v>0</v>
      </c>
      <c r="G22" s="2527">
        <f t="shared" si="2"/>
        <v>0</v>
      </c>
      <c r="H22" s="2527">
        <f t="shared" si="2"/>
        <v>0</v>
      </c>
      <c r="I22" s="2527">
        <f t="shared" si="2"/>
        <v>0</v>
      </c>
      <c r="J22" s="2479"/>
      <c r="K22" s="3154" t="s">
        <v>5459</v>
      </c>
      <c r="L22" s="3153" t="s">
        <v>5459</v>
      </c>
      <c r="M22" s="3153">
        <v>146450</v>
      </c>
      <c r="N22" s="3153" t="s">
        <v>11909</v>
      </c>
      <c r="O22" s="3156" t="s">
        <v>5459</v>
      </c>
    </row>
    <row r="23" spans="1:15" ht="15.75" customHeight="1" x14ac:dyDescent="0.2">
      <c r="A23" s="2634">
        <v>16</v>
      </c>
      <c r="B23" s="2512" t="s">
        <v>6515</v>
      </c>
      <c r="C23" s="3904"/>
      <c r="D23" s="3905"/>
      <c r="E23" s="3904"/>
      <c r="F23" s="3906"/>
      <c r="G23" s="3906"/>
      <c r="H23" s="3906"/>
      <c r="I23" s="3905"/>
      <c r="J23" s="2479"/>
      <c r="K23" s="3154" t="s">
        <v>5459</v>
      </c>
      <c r="L23" s="3153" t="s">
        <v>5459</v>
      </c>
      <c r="M23" s="3158" t="s">
        <v>11910</v>
      </c>
      <c r="N23" s="3159" t="s">
        <v>5459</v>
      </c>
      <c r="O23" s="3160">
        <f>SUM(O20:O22)</f>
        <v>-781734972.18999994</v>
      </c>
    </row>
    <row r="24" spans="1:15" ht="15.75" customHeight="1" x14ac:dyDescent="0.2">
      <c r="A24" s="2634">
        <v>17</v>
      </c>
      <c r="B24" s="2502" t="s">
        <v>6516</v>
      </c>
      <c r="C24" s="2559"/>
      <c r="D24" s="2614"/>
      <c r="E24" s="2533"/>
      <c r="F24" s="2533"/>
      <c r="G24" s="2533"/>
      <c r="H24" s="2533"/>
      <c r="I24" s="2533"/>
      <c r="J24" s="2479"/>
    </row>
    <row r="25" spans="1:15" ht="15.75" customHeight="1" x14ac:dyDescent="0.2">
      <c r="A25" s="2634">
        <v>18</v>
      </c>
      <c r="B25" s="2502" t="s">
        <v>595</v>
      </c>
      <c r="C25" s="2527">
        <f>SUM(D25:I25)</f>
        <v>12167631341</v>
      </c>
      <c r="D25" s="2530">
        <v>12167631341</v>
      </c>
      <c r="E25" s="2614"/>
      <c r="F25" s="2614"/>
      <c r="G25" s="2614"/>
      <c r="H25" s="2614"/>
      <c r="I25" s="2614"/>
      <c r="J25" s="2479"/>
      <c r="K25" s="3161">
        <v>302</v>
      </c>
      <c r="L25" s="3162">
        <v>-86174166.680000007</v>
      </c>
      <c r="M25" s="2077" t="s">
        <v>11912</v>
      </c>
      <c r="N25" s="2077"/>
      <c r="O25" s="2077"/>
    </row>
    <row r="26" spans="1:15" ht="15.75" customHeight="1" x14ac:dyDescent="0.2">
      <c r="A26" s="2634">
        <v>19</v>
      </c>
      <c r="B26" s="2502" t="s">
        <v>6517</v>
      </c>
      <c r="C26" s="2527">
        <f>E26</f>
        <v>0</v>
      </c>
      <c r="D26" s="2529"/>
      <c r="E26" s="2530">
        <v>0</v>
      </c>
      <c r="F26" s="3907"/>
      <c r="G26" s="3908"/>
      <c r="H26" s="3908"/>
      <c r="I26" s="3909"/>
      <c r="J26" s="2479"/>
      <c r="K26" s="3161">
        <v>303</v>
      </c>
      <c r="L26" s="3162">
        <v>-677077673.28999996</v>
      </c>
      <c r="M26" s="2077"/>
      <c r="N26" s="2077"/>
      <c r="O26" s="2077"/>
    </row>
    <row r="27" spans="1:15" ht="15.75" customHeight="1" x14ac:dyDescent="0.2">
      <c r="A27" s="2634">
        <v>20</v>
      </c>
      <c r="B27" s="2502" t="s">
        <v>6518</v>
      </c>
      <c r="C27" s="2527">
        <f>E27</f>
        <v>0</v>
      </c>
      <c r="D27" s="2529"/>
      <c r="E27" s="2530">
        <v>0</v>
      </c>
      <c r="F27" s="3907"/>
      <c r="G27" s="3908"/>
      <c r="H27" s="3908"/>
      <c r="I27" s="3909"/>
      <c r="J27" s="2479"/>
      <c r="K27" s="3164" t="s">
        <v>11913</v>
      </c>
      <c r="L27" s="3162">
        <v>-18483132.219999999</v>
      </c>
      <c r="N27" s="2077"/>
      <c r="O27" s="2077"/>
    </row>
    <row r="28" spans="1:15" ht="15.75" customHeight="1" thickBot="1" x14ac:dyDescent="0.25">
      <c r="A28" s="2634">
        <v>21</v>
      </c>
      <c r="B28" s="2502" t="s">
        <v>6519</v>
      </c>
      <c r="C28" s="2527">
        <f>SUM(D28:I28)</f>
        <v>781734972</v>
      </c>
      <c r="D28" s="2530">
        <v>781734972</v>
      </c>
      <c r="E28" s="2614"/>
      <c r="F28" s="2614"/>
      <c r="G28" s="2614"/>
      <c r="H28" s="2614"/>
      <c r="I28" s="2614"/>
      <c r="J28" s="2479"/>
      <c r="K28" s="2077"/>
      <c r="L28" s="3163">
        <f>SUM(L25:L27)</f>
        <v>-781734972.19000006</v>
      </c>
      <c r="M28" s="2077"/>
      <c r="N28" s="2077"/>
      <c r="O28" s="3163">
        <f>SUM(O15:O19,O21:O22)</f>
        <v>-781734972.18999994</v>
      </c>
    </row>
    <row r="29" spans="1:15" ht="15.75" customHeight="1" thickTop="1" x14ac:dyDescent="0.2">
      <c r="A29" s="2634">
        <v>22</v>
      </c>
      <c r="B29" s="2502" t="s">
        <v>6520</v>
      </c>
      <c r="C29" s="2527">
        <f t="shared" ref="C29:I29" si="3">SUM(C25:C28)</f>
        <v>12949366313</v>
      </c>
      <c r="D29" s="2527">
        <f t="shared" si="3"/>
        <v>12949366313</v>
      </c>
      <c r="E29" s="2527">
        <f t="shared" si="3"/>
        <v>0</v>
      </c>
      <c r="F29" s="2527">
        <f t="shared" si="3"/>
        <v>0</v>
      </c>
      <c r="G29" s="2527">
        <f t="shared" si="3"/>
        <v>0</v>
      </c>
      <c r="H29" s="2527">
        <f t="shared" si="3"/>
        <v>0</v>
      </c>
      <c r="I29" s="2527">
        <f t="shared" si="3"/>
        <v>0</v>
      </c>
      <c r="J29" s="2479"/>
      <c r="K29" s="2576"/>
    </row>
    <row r="30" spans="1:15" ht="15.75" customHeight="1" x14ac:dyDescent="0.2">
      <c r="A30" s="2634">
        <v>23</v>
      </c>
      <c r="B30" s="2512" t="s">
        <v>6508</v>
      </c>
      <c r="C30" s="3904"/>
      <c r="D30" s="3905"/>
      <c r="E30" s="3904"/>
      <c r="F30" s="3906"/>
      <c r="G30" s="3906"/>
      <c r="H30" s="3906"/>
      <c r="I30" s="3905"/>
      <c r="J30" s="2479"/>
      <c r="K30" s="2576"/>
    </row>
    <row r="31" spans="1:15" ht="15.75" customHeight="1" x14ac:dyDescent="0.2">
      <c r="A31" s="2634">
        <v>24</v>
      </c>
      <c r="B31" s="2502" t="s">
        <v>595</v>
      </c>
      <c r="C31" s="2527">
        <f>SUM(D31:I31)</f>
        <v>0</v>
      </c>
      <c r="D31" s="2527">
        <v>0</v>
      </c>
      <c r="E31" s="2527">
        <v>0</v>
      </c>
      <c r="F31" s="2527">
        <v>0</v>
      </c>
      <c r="G31" s="2559"/>
      <c r="H31" s="2559"/>
      <c r="I31" s="2559"/>
      <c r="J31" s="2479"/>
      <c r="K31" s="2576"/>
    </row>
    <row r="32" spans="1:15" ht="15.75" customHeight="1" x14ac:dyDescent="0.2">
      <c r="A32" s="2634">
        <v>25</v>
      </c>
      <c r="B32" s="2502" t="s">
        <v>6521</v>
      </c>
      <c r="C32" s="2527">
        <f>SUM(D32:I32)</f>
        <v>0</v>
      </c>
      <c r="D32" s="2527">
        <v>0</v>
      </c>
      <c r="E32" s="2527">
        <v>0</v>
      </c>
      <c r="F32" s="2527">
        <v>0</v>
      </c>
      <c r="G32" s="2559"/>
      <c r="H32" s="2559"/>
      <c r="I32" s="2559"/>
      <c r="J32" s="2479"/>
      <c r="K32" s="2576"/>
    </row>
    <row r="33" spans="1:11" ht="15.75" customHeight="1" x14ac:dyDescent="0.2">
      <c r="A33" s="2634">
        <v>26</v>
      </c>
      <c r="B33" s="2502" t="s">
        <v>6522</v>
      </c>
      <c r="C33" s="2527">
        <f t="shared" ref="C33:I33" si="4">SUM(C31:C32)</f>
        <v>0</v>
      </c>
      <c r="D33" s="2527">
        <f t="shared" si="4"/>
        <v>0</v>
      </c>
      <c r="E33" s="2527">
        <f t="shared" si="4"/>
        <v>0</v>
      </c>
      <c r="F33" s="2527">
        <f t="shared" si="4"/>
        <v>0</v>
      </c>
      <c r="G33" s="2527">
        <f t="shared" si="4"/>
        <v>0</v>
      </c>
      <c r="H33" s="2527">
        <f t="shared" si="4"/>
        <v>0</v>
      </c>
      <c r="I33" s="2527">
        <f t="shared" si="4"/>
        <v>0</v>
      </c>
      <c r="J33" s="2479"/>
      <c r="K33" s="2576"/>
    </row>
    <row r="34" spans="1:11" ht="15.75" customHeight="1" x14ac:dyDescent="0.2">
      <c r="A34" s="2634">
        <v>27</v>
      </c>
      <c r="B34" s="2512" t="s">
        <v>6509</v>
      </c>
      <c r="C34" s="3904"/>
      <c r="D34" s="3905"/>
      <c r="E34" s="3904"/>
      <c r="F34" s="3906"/>
      <c r="G34" s="3906"/>
      <c r="H34" s="3906"/>
      <c r="I34" s="3905"/>
      <c r="J34" s="2479"/>
      <c r="K34" s="2576"/>
    </row>
    <row r="35" spans="1:11" ht="15.75" customHeight="1" x14ac:dyDescent="0.2">
      <c r="A35" s="2634">
        <v>28</v>
      </c>
      <c r="B35" s="2502" t="s">
        <v>595</v>
      </c>
      <c r="C35" s="2527">
        <f>SUM(D35:I35)</f>
        <v>0</v>
      </c>
      <c r="D35" s="2527">
        <v>0</v>
      </c>
      <c r="E35" s="2527">
        <v>0</v>
      </c>
      <c r="F35" s="2527">
        <v>0</v>
      </c>
      <c r="G35" s="2559"/>
      <c r="H35" s="2559"/>
      <c r="I35" s="2559"/>
      <c r="J35" s="2479"/>
      <c r="K35" s="2576"/>
    </row>
    <row r="36" spans="1:11" ht="15.75" customHeight="1" x14ac:dyDescent="0.2">
      <c r="A36" s="2634">
        <v>29</v>
      </c>
      <c r="B36" s="2502" t="s">
        <v>6523</v>
      </c>
      <c r="C36" s="2527">
        <f>SUM(D36:I36)</f>
        <v>0</v>
      </c>
      <c r="D36" s="2527">
        <v>0</v>
      </c>
      <c r="E36" s="2527">
        <v>0</v>
      </c>
      <c r="F36" s="2527">
        <v>0</v>
      </c>
      <c r="G36" s="2559"/>
      <c r="H36" s="2559"/>
      <c r="I36" s="2559"/>
      <c r="J36" s="2479"/>
      <c r="K36" s="2576"/>
    </row>
    <row r="37" spans="1:11" ht="15.75" customHeight="1" x14ac:dyDescent="0.2">
      <c r="A37" s="2634">
        <v>30</v>
      </c>
      <c r="B37" s="2502" t="s">
        <v>6524</v>
      </c>
      <c r="C37" s="2527">
        <f t="shared" ref="C37:I37" si="5">SUM(C35:C36)</f>
        <v>0</v>
      </c>
      <c r="D37" s="2527">
        <f t="shared" si="5"/>
        <v>0</v>
      </c>
      <c r="E37" s="2527">
        <f t="shared" si="5"/>
        <v>0</v>
      </c>
      <c r="F37" s="2527">
        <f t="shared" si="5"/>
        <v>0</v>
      </c>
      <c r="G37" s="2527">
        <f t="shared" si="5"/>
        <v>0</v>
      </c>
      <c r="H37" s="2527">
        <f t="shared" si="5"/>
        <v>0</v>
      </c>
      <c r="I37" s="2527">
        <f t="shared" si="5"/>
        <v>0</v>
      </c>
      <c r="J37" s="2479"/>
      <c r="K37" s="2576"/>
    </row>
    <row r="38" spans="1:11" ht="15.75" customHeight="1" x14ac:dyDescent="0.2">
      <c r="A38" s="2634">
        <v>31</v>
      </c>
      <c r="B38" s="2512" t="s">
        <v>6525</v>
      </c>
      <c r="C38" s="2527">
        <f>E38</f>
        <v>0</v>
      </c>
      <c r="D38" s="2529"/>
      <c r="E38" s="2614"/>
      <c r="F38" s="3904"/>
      <c r="G38" s="3906"/>
      <c r="H38" s="3906"/>
      <c r="I38" s="3905"/>
      <c r="J38" s="2479"/>
      <c r="K38" s="2576"/>
    </row>
    <row r="39" spans="1:11" ht="15.75" customHeight="1" x14ac:dyDescent="0.2">
      <c r="A39" s="2634">
        <v>32</v>
      </c>
      <c r="B39" s="2502" t="s">
        <v>6526</v>
      </c>
      <c r="C39" s="2527">
        <f>SUM(D39:I39)</f>
        <v>144702807</v>
      </c>
      <c r="D39" s="2527">
        <v>144702807</v>
      </c>
      <c r="E39" s="2527">
        <v>0</v>
      </c>
      <c r="F39" s="2527">
        <v>0</v>
      </c>
      <c r="G39" s="2559"/>
      <c r="H39" s="2559"/>
      <c r="I39" s="2559"/>
      <c r="J39" s="2479"/>
      <c r="K39" s="2576"/>
    </row>
    <row r="40" spans="1:11" ht="15.75" customHeight="1" x14ac:dyDescent="0.2">
      <c r="A40" s="2634">
        <v>33</v>
      </c>
      <c r="B40" s="2502" t="s">
        <v>6527</v>
      </c>
      <c r="C40" s="2527">
        <f>SUM(C29,C33,C37:C39)</f>
        <v>13094069120</v>
      </c>
      <c r="D40" s="2527">
        <f>IF(SUM(D29,D33,D37:D39)=D21,SUM(D29,D33,D37:D39),"ERROR")</f>
        <v>13094069120</v>
      </c>
      <c r="E40" s="2527">
        <f>SUM(E29,E33,E37:E39)</f>
        <v>0</v>
      </c>
      <c r="F40" s="2527">
        <f>SUM(F29,F33,F37:F39)</f>
        <v>0</v>
      </c>
      <c r="G40" s="2527">
        <f>SUM(G29,G33,G37:G39)</f>
        <v>0</v>
      </c>
      <c r="H40" s="2527">
        <f>SUM(H29,H33,H37:H39)</f>
        <v>0</v>
      </c>
      <c r="I40" s="2527">
        <f>SUM(I29,I33,I37:I39)</f>
        <v>0</v>
      </c>
      <c r="J40" s="2479"/>
      <c r="K40" s="2576"/>
    </row>
    <row r="41" spans="1:11" ht="16.7" customHeight="1" x14ac:dyDescent="0.2">
      <c r="A41" s="2516"/>
      <c r="B41" s="2516"/>
      <c r="C41" s="2516"/>
      <c r="D41" s="2516"/>
      <c r="E41" s="2516"/>
      <c r="F41" s="2535"/>
      <c r="G41" s="2535"/>
      <c r="H41" s="2535"/>
      <c r="I41" s="2535"/>
    </row>
    <row r="42" spans="1:11" ht="16.7" customHeight="1" x14ac:dyDescent="0.2"/>
    <row r="43" spans="1:11" ht="16.7" customHeight="1" x14ac:dyDescent="0.2"/>
    <row r="44" spans="1:11" ht="16.7" customHeight="1" x14ac:dyDescent="0.2"/>
    <row r="45" spans="1:11" ht="16.7" customHeight="1" x14ac:dyDescent="0.2"/>
    <row r="46" spans="1:11" ht="16.7" customHeight="1" x14ac:dyDescent="0.2"/>
    <row r="47" spans="1:11" ht="16.7" customHeight="1" x14ac:dyDescent="0.2"/>
    <row r="48" spans="1:11" ht="16.7" customHeight="1" x14ac:dyDescent="0.2"/>
    <row r="49" ht="16.7" customHeight="1" x14ac:dyDescent="0.2"/>
    <row r="50" ht="16.7" customHeight="1" x14ac:dyDescent="0.2"/>
    <row r="51" ht="16.7" customHeight="1" x14ac:dyDescent="0.2"/>
    <row r="52" ht="16.7" customHeight="1" x14ac:dyDescent="0.2"/>
    <row r="53" ht="16.7" customHeight="1" x14ac:dyDescent="0.2"/>
    <row r="54" ht="16.7" customHeight="1" x14ac:dyDescent="0.2"/>
    <row r="55" ht="16.7" customHeight="1" x14ac:dyDescent="0.2"/>
    <row r="56" ht="16.7" customHeight="1" x14ac:dyDescent="0.2"/>
    <row r="57" ht="16.7" customHeight="1" x14ac:dyDescent="0.2"/>
    <row r="58" ht="16.7" customHeight="1" x14ac:dyDescent="0.2"/>
    <row r="59" ht="16.7" customHeight="1" x14ac:dyDescent="0.2"/>
    <row r="60" ht="16.7" customHeight="1" x14ac:dyDescent="0.2"/>
    <row r="61" ht="16.7" customHeight="1" x14ac:dyDescent="0.2"/>
    <row r="62" ht="16.7" customHeight="1" x14ac:dyDescent="0.2"/>
    <row r="63" ht="16.7" customHeight="1" x14ac:dyDescent="0.2"/>
    <row r="64" ht="16.7" customHeight="1" x14ac:dyDescent="0.2"/>
    <row r="65" ht="16.7" customHeight="1" x14ac:dyDescent="0.2"/>
    <row r="66" ht="16.7" customHeight="1" x14ac:dyDescent="0.2"/>
    <row r="67" ht="16.7" customHeight="1" x14ac:dyDescent="0.2"/>
    <row r="68" ht="16.7" customHeight="1" x14ac:dyDescent="0.2"/>
    <row r="69" ht="16.7" customHeight="1" x14ac:dyDescent="0.2"/>
    <row r="70" ht="16.7" customHeight="1" x14ac:dyDescent="0.2"/>
    <row r="71" ht="16.7" customHeight="1" x14ac:dyDescent="0.2"/>
    <row r="72" ht="16.7" customHeight="1" x14ac:dyDescent="0.2"/>
    <row r="73" ht="16.7" customHeight="1" x14ac:dyDescent="0.2"/>
    <row r="74" ht="16.7" customHeight="1" x14ac:dyDescent="0.2"/>
    <row r="75" ht="16.7" customHeight="1" x14ac:dyDescent="0.2"/>
    <row r="76" ht="16.7" customHeight="1" x14ac:dyDescent="0.2"/>
    <row r="77" ht="16.7" customHeight="1" x14ac:dyDescent="0.2"/>
    <row r="78" ht="16.7" customHeight="1" x14ac:dyDescent="0.2"/>
    <row r="79" ht="16.7" customHeight="1" x14ac:dyDescent="0.2"/>
    <row r="80" ht="16.7" customHeight="1" x14ac:dyDescent="0.2"/>
    <row r="81" ht="16.7" customHeight="1" x14ac:dyDescent="0.2"/>
    <row r="82" ht="16.7" customHeight="1" x14ac:dyDescent="0.2"/>
    <row r="83" ht="16.7" customHeight="1" x14ac:dyDescent="0.2"/>
    <row r="84" ht="16.7" customHeight="1" x14ac:dyDescent="0.2"/>
    <row r="85" ht="16.7" customHeight="1" x14ac:dyDescent="0.2"/>
    <row r="86" ht="16.7" customHeight="1" x14ac:dyDescent="0.2"/>
    <row r="87" ht="16.7" customHeight="1" x14ac:dyDescent="0.2"/>
    <row r="88" ht="16.7" customHeight="1" x14ac:dyDescent="0.2"/>
    <row r="89" ht="16.7" customHeight="1" x14ac:dyDescent="0.2"/>
    <row r="90" ht="16.7" customHeight="1" x14ac:dyDescent="0.2"/>
    <row r="91" ht="16.7" customHeight="1" x14ac:dyDescent="0.2"/>
    <row r="92" ht="16.7" customHeight="1" x14ac:dyDescent="0.2"/>
    <row r="93" ht="16.7" customHeight="1" x14ac:dyDescent="0.2"/>
    <row r="94" ht="16.7" customHeight="1" x14ac:dyDescent="0.2"/>
    <row r="95" ht="16.7" customHeight="1" x14ac:dyDescent="0.2"/>
    <row r="96" ht="16.7" customHeight="1" x14ac:dyDescent="0.2"/>
    <row r="97" ht="16.7" customHeight="1" x14ac:dyDescent="0.2"/>
    <row r="98" ht="16.7" customHeight="1" x14ac:dyDescent="0.2"/>
    <row r="99" ht="16.7" customHeight="1" x14ac:dyDescent="0.2"/>
    <row r="100" ht="16.7" customHeight="1" x14ac:dyDescent="0.2"/>
    <row r="101" ht="16.7" customHeight="1" x14ac:dyDescent="0.2"/>
    <row r="102" ht="16.7" customHeight="1" x14ac:dyDescent="0.2"/>
    <row r="103" ht="15" customHeight="1" x14ac:dyDescent="0.2"/>
    <row r="104" ht="15" customHeight="1" x14ac:dyDescent="0.2"/>
  </sheetData>
  <mergeCells count="19">
    <mergeCell ref="F38:I38"/>
    <mergeCell ref="F26:I26"/>
    <mergeCell ref="F27:I27"/>
    <mergeCell ref="C30:D30"/>
    <mergeCell ref="E30:I30"/>
    <mergeCell ref="C34:D34"/>
    <mergeCell ref="E34:I34"/>
    <mergeCell ref="C8:D8"/>
    <mergeCell ref="E8:I8"/>
    <mergeCell ref="C9:D9"/>
    <mergeCell ref="E9:I9"/>
    <mergeCell ref="C23:D23"/>
    <mergeCell ref="E23:I23"/>
    <mergeCell ref="A3:D3"/>
    <mergeCell ref="E3:I3"/>
    <mergeCell ref="A4:D4"/>
    <mergeCell ref="E4:I4"/>
    <mergeCell ref="A5:D5"/>
    <mergeCell ref="E5:I5"/>
  </mergeCells>
  <pageMargins left="0.75" right="0.75" top="1" bottom="1" header="0.5" footer="0.5"/>
  <customProperties>
    <customPr name="_pios_id" r:id="rId1"/>
  </customProperties>
  <drawing r:id="rId2"/>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4381C5-6A86-4F65-B848-2A8267FD4566}">
  <sheetPr codeName="Sheet47"/>
  <dimension ref="A1:AA119"/>
  <sheetViews>
    <sheetView workbookViewId="0">
      <pane xSplit="2" ySplit="11" topLeftCell="F12" activePane="bottomRight" state="frozen"/>
      <selection activeCell="O201" sqref="O201"/>
      <selection pane="topRight" activeCell="O201" sqref="O201"/>
      <selection pane="bottomLeft" activeCell="O201" sqref="O201"/>
      <selection pane="bottomRight" activeCell="O201" sqref="O201"/>
    </sheetView>
  </sheetViews>
  <sheetFormatPr defaultColWidth="11.5" defaultRowHeight="12.75" x14ac:dyDescent="0.2"/>
  <cols>
    <col min="1" max="1" width="5.875" style="1953" customWidth="1"/>
    <col min="2" max="2" width="56.5" style="1953" customWidth="1"/>
    <col min="3" max="3" width="17.5" style="1953" customWidth="1"/>
    <col min="4" max="5" width="17.875" style="1953" customWidth="1"/>
    <col min="6" max="6" width="16.75" style="1953" customWidth="1"/>
    <col min="7" max="7" width="15.625" style="1953" customWidth="1"/>
    <col min="8" max="8" width="17.5" style="1953" customWidth="1"/>
    <col min="9" max="10" width="17.625" style="1953" customWidth="1"/>
    <col min="11" max="11" width="15.125" style="1953" hidden="1" customWidth="1"/>
    <col min="12" max="12" width="4.875" style="1953" hidden="1" customWidth="1"/>
    <col min="13" max="27" width="17.625" style="1953" hidden="1" customWidth="1"/>
    <col min="28" max="16384" width="11.5" style="1953"/>
  </cols>
  <sheetData>
    <row r="1" spans="1:27" ht="15" customHeight="1" x14ac:dyDescent="0.2">
      <c r="K1" s="2635"/>
      <c r="L1" s="2578"/>
      <c r="M1" s="2511"/>
      <c r="N1" s="2511"/>
      <c r="O1" s="2511"/>
      <c r="P1" s="2511"/>
      <c r="Q1" s="2482"/>
      <c r="R1" s="2482"/>
      <c r="S1" s="2482"/>
      <c r="T1" s="2482"/>
      <c r="U1" s="2482"/>
      <c r="V1" s="2482"/>
      <c r="W1" s="2482"/>
      <c r="X1" s="2482"/>
      <c r="Y1" s="2482"/>
      <c r="Z1" s="2482"/>
      <c r="AA1" s="2482"/>
    </row>
    <row r="2" spans="1:27" ht="15" customHeight="1" x14ac:dyDescent="0.2">
      <c r="K2" s="2635"/>
      <c r="L2" s="2578"/>
      <c r="M2" s="2511"/>
      <c r="N2" s="2511"/>
      <c r="O2" s="2511"/>
      <c r="P2" s="2511"/>
      <c r="Q2" s="2482"/>
      <c r="R2" s="2482"/>
      <c r="S2" s="2482"/>
      <c r="T2" s="2482"/>
      <c r="U2" s="2482"/>
      <c r="V2" s="2482"/>
      <c r="W2" s="2482"/>
      <c r="X2" s="2482"/>
      <c r="Y2" s="2482"/>
      <c r="Z2" s="2482"/>
      <c r="AA2" s="2482"/>
    </row>
    <row r="3" spans="1:27" ht="15" customHeight="1" x14ac:dyDescent="0.2">
      <c r="C3" s="3912" t="s">
        <v>5937</v>
      </c>
      <c r="D3" s="3913"/>
      <c r="E3" s="2479"/>
      <c r="K3" s="2635"/>
      <c r="L3" s="2578"/>
      <c r="M3" s="2511"/>
      <c r="N3" s="2511"/>
      <c r="O3" s="2511"/>
      <c r="P3" s="2511"/>
      <c r="Q3" s="2482"/>
      <c r="R3" s="2482"/>
      <c r="S3" s="2482"/>
      <c r="T3" s="2482"/>
      <c r="U3" s="2482"/>
      <c r="V3" s="2482"/>
      <c r="W3" s="2482"/>
      <c r="X3" s="2482"/>
      <c r="Y3" s="2482"/>
      <c r="Z3" s="2482"/>
      <c r="AA3" s="2482"/>
    </row>
    <row r="4" spans="1:27" ht="15" customHeight="1" x14ac:dyDescent="0.2">
      <c r="C4" s="2516"/>
      <c r="D4" s="2516"/>
      <c r="K4" s="2635"/>
      <c r="L4" s="2578"/>
      <c r="M4" s="2511"/>
      <c r="N4" s="2511"/>
      <c r="O4" s="2511"/>
      <c r="P4" s="2511"/>
      <c r="Q4" s="2482"/>
      <c r="R4" s="2482"/>
      <c r="S4" s="2482"/>
      <c r="T4" s="2482"/>
      <c r="U4" s="2482"/>
      <c r="V4" s="2482"/>
      <c r="W4" s="2482"/>
      <c r="X4" s="2482"/>
      <c r="Y4" s="2482"/>
      <c r="Z4" s="2482"/>
      <c r="AA4" s="2482"/>
    </row>
    <row r="5" spans="1:27" ht="15" customHeight="1" x14ac:dyDescent="0.2">
      <c r="K5" s="2579"/>
      <c r="L5" s="2578"/>
      <c r="M5" s="2511"/>
      <c r="N5" s="2511"/>
      <c r="O5" s="2511"/>
      <c r="P5" s="2511"/>
      <c r="Q5" s="2482"/>
      <c r="R5" s="2482"/>
      <c r="S5" s="2482"/>
      <c r="T5" s="2482"/>
      <c r="U5" s="2482"/>
      <c r="V5" s="2482"/>
      <c r="W5" s="2482"/>
      <c r="X5" s="2482"/>
      <c r="Y5" s="2482"/>
      <c r="Z5" s="2482"/>
      <c r="AA5" s="2482"/>
    </row>
    <row r="6" spans="1:27" ht="15.75" customHeight="1" x14ac:dyDescent="0.2">
      <c r="A6" s="3859" t="s">
        <v>6528</v>
      </c>
      <c r="B6" s="3859"/>
      <c r="C6" s="3859"/>
      <c r="D6" s="3859"/>
      <c r="E6" s="3867"/>
      <c r="F6" s="3867"/>
      <c r="G6" s="3867"/>
      <c r="H6" s="3867"/>
      <c r="I6" s="2479"/>
      <c r="K6" s="2579"/>
      <c r="L6" s="2578"/>
      <c r="M6" s="2511"/>
      <c r="N6" s="2511"/>
      <c r="O6" s="2511"/>
      <c r="P6" s="2511"/>
      <c r="Q6" s="2482"/>
      <c r="R6" s="2482"/>
      <c r="S6" s="2482"/>
      <c r="T6" s="2482"/>
      <c r="U6" s="2482"/>
      <c r="V6" s="2482"/>
      <c r="W6" s="2482"/>
      <c r="X6" s="2482"/>
      <c r="Y6" s="2482"/>
      <c r="Z6" s="2482"/>
      <c r="AA6" s="2482"/>
    </row>
    <row r="7" spans="1:27" ht="15.75" customHeight="1" x14ac:dyDescent="0.2">
      <c r="A7" s="3882" t="s">
        <v>6529</v>
      </c>
      <c r="B7" s="3883"/>
      <c r="C7" s="3883"/>
      <c r="D7" s="3884"/>
      <c r="E7" s="3900" t="s">
        <v>6530</v>
      </c>
      <c r="F7" s="3901"/>
      <c r="G7" s="3901"/>
      <c r="H7" s="3902"/>
      <c r="I7" s="2479"/>
      <c r="K7" s="3914" t="s">
        <v>6320</v>
      </c>
      <c r="L7" s="2578"/>
      <c r="M7" s="2511"/>
      <c r="N7" s="2511"/>
      <c r="O7" s="2511"/>
      <c r="P7" s="2511"/>
      <c r="Q7" s="2482"/>
      <c r="R7" s="2482"/>
      <c r="S7" s="2482"/>
      <c r="T7" s="2482"/>
      <c r="U7" s="2482"/>
      <c r="V7" s="2482"/>
      <c r="W7" s="2482"/>
      <c r="X7" s="2482"/>
      <c r="Y7" s="2482"/>
      <c r="Z7" s="2482"/>
      <c r="AA7" s="2482"/>
    </row>
    <row r="8" spans="1:27" ht="103.35" customHeight="1" x14ac:dyDescent="0.2">
      <c r="A8" s="3916" t="s">
        <v>6531</v>
      </c>
      <c r="B8" s="3917"/>
      <c r="C8" s="3917"/>
      <c r="D8" s="3918"/>
      <c r="E8" s="3919" t="s">
        <v>6532</v>
      </c>
      <c r="F8" s="3920"/>
      <c r="G8" s="3920"/>
      <c r="H8" s="3921"/>
      <c r="I8" s="2479"/>
      <c r="K8" s="3915"/>
      <c r="L8" s="3910" t="s">
        <v>5938</v>
      </c>
      <c r="M8" s="3911"/>
      <c r="N8" s="3911"/>
      <c r="O8" s="3910"/>
      <c r="P8" s="2511"/>
      <c r="Q8" s="2482"/>
      <c r="R8" s="2482"/>
      <c r="S8" s="2482"/>
      <c r="T8" s="2482"/>
      <c r="U8" s="2482"/>
      <c r="V8" s="2482"/>
      <c r="W8" s="2482"/>
      <c r="X8" s="2482"/>
      <c r="Y8" s="2482"/>
      <c r="Z8" s="2482"/>
      <c r="AA8" s="2482"/>
    </row>
    <row r="9" spans="1:27" ht="23.25" customHeight="1" x14ac:dyDescent="0.2">
      <c r="A9" s="2637" t="s">
        <v>6360</v>
      </c>
      <c r="B9" s="2637" t="s">
        <v>96</v>
      </c>
      <c r="C9" s="2637" t="s">
        <v>6533</v>
      </c>
      <c r="D9" s="2637" t="s">
        <v>6534</v>
      </c>
      <c r="E9" s="2637" t="s">
        <v>6535</v>
      </c>
      <c r="F9" s="2637" t="s">
        <v>6536</v>
      </c>
      <c r="G9" s="2637" t="s">
        <v>6537</v>
      </c>
      <c r="H9" s="2637" t="s">
        <v>6538</v>
      </c>
      <c r="I9" s="2479"/>
      <c r="K9" s="2579"/>
      <c r="L9" s="2578"/>
      <c r="M9" s="2511"/>
      <c r="N9" s="2511"/>
      <c r="O9" s="2511"/>
      <c r="P9" s="2511"/>
      <c r="Q9" s="2482"/>
      <c r="R9" s="2482"/>
      <c r="S9" s="2482"/>
      <c r="T9" s="2482"/>
      <c r="U9" s="2482"/>
      <c r="V9" s="2482"/>
      <c r="W9" s="2482"/>
      <c r="X9" s="2482"/>
      <c r="Y9" s="2482"/>
      <c r="Z9" s="2482"/>
      <c r="AA9" s="2482"/>
    </row>
    <row r="10" spans="1:27" ht="15.75" customHeight="1" x14ac:dyDescent="0.2">
      <c r="A10" s="2586"/>
      <c r="B10" s="2586" t="s">
        <v>5949</v>
      </c>
      <c r="C10" s="2586" t="s">
        <v>5950</v>
      </c>
      <c r="D10" s="2586" t="s">
        <v>5951</v>
      </c>
      <c r="E10" s="2586" t="s">
        <v>5952</v>
      </c>
      <c r="F10" s="2586" t="s">
        <v>6227</v>
      </c>
      <c r="G10" s="2586" t="s">
        <v>5804</v>
      </c>
      <c r="H10" s="2586" t="s">
        <v>6228</v>
      </c>
      <c r="I10" s="2479"/>
      <c r="K10" s="2579"/>
      <c r="L10" s="2578"/>
      <c r="M10" s="2511"/>
      <c r="N10" s="2511"/>
      <c r="O10" s="2511"/>
      <c r="P10" s="2511"/>
      <c r="Q10" s="2482"/>
      <c r="R10" s="2482"/>
      <c r="S10" s="2482"/>
      <c r="T10" s="2482"/>
      <c r="U10" s="2482"/>
      <c r="V10" s="2482"/>
      <c r="W10" s="2482"/>
      <c r="X10" s="2482"/>
      <c r="Y10" s="2482"/>
      <c r="Z10" s="2482"/>
      <c r="AA10" s="2482"/>
    </row>
    <row r="11" spans="1:27" ht="15.75" customHeight="1" x14ac:dyDescent="0.2">
      <c r="A11" s="2589"/>
      <c r="B11" s="2589"/>
      <c r="C11" s="2638">
        <v>44926</v>
      </c>
      <c r="D11" s="2589"/>
      <c r="E11" s="2589"/>
      <c r="F11" s="2589"/>
      <c r="G11" s="2589"/>
      <c r="H11" s="2638">
        <v>45291</v>
      </c>
      <c r="I11" s="2479"/>
      <c r="K11" s="2579"/>
      <c r="L11" s="2612" t="s">
        <v>6133</v>
      </c>
      <c r="M11" s="2639">
        <v>44926</v>
      </c>
      <c r="N11" s="2511" t="s">
        <v>6486</v>
      </c>
      <c r="O11" s="2511" t="s">
        <v>6539</v>
      </c>
      <c r="P11" s="2511" t="s">
        <v>6540</v>
      </c>
      <c r="Q11" s="2482"/>
      <c r="R11" s="2482"/>
      <c r="S11" s="2482"/>
      <c r="T11" s="2482"/>
      <c r="U11" s="2482"/>
      <c r="V11" s="2482"/>
      <c r="W11" s="2482"/>
      <c r="X11" s="2482"/>
      <c r="Y11" s="2482"/>
      <c r="Z11" s="2482"/>
      <c r="AA11" s="2482"/>
    </row>
    <row r="12" spans="1:27" ht="15.75" customHeight="1" x14ac:dyDescent="0.2">
      <c r="A12" s="2640" t="s">
        <v>6139</v>
      </c>
      <c r="B12" s="2512" t="s">
        <v>6541</v>
      </c>
      <c r="C12" s="2641"/>
      <c r="D12" s="2642"/>
      <c r="E12" s="2643"/>
      <c r="F12" s="2643"/>
      <c r="G12" s="2643"/>
      <c r="H12" s="2643"/>
      <c r="I12" s="2479"/>
      <c r="K12" s="2579"/>
      <c r="L12" s="2613" t="s">
        <v>6139</v>
      </c>
      <c r="M12" s="2644"/>
      <c r="N12" s="2511"/>
      <c r="O12" s="2511"/>
      <c r="P12" s="2511"/>
      <c r="Q12" s="2482"/>
      <c r="R12" s="2482"/>
      <c r="S12" s="2482"/>
      <c r="T12" s="2482"/>
      <c r="U12" s="2482"/>
      <c r="V12" s="2482"/>
      <c r="W12" s="2482"/>
      <c r="X12" s="2482"/>
      <c r="Y12" s="2482"/>
      <c r="Z12" s="2482"/>
      <c r="AA12" s="2482"/>
    </row>
    <row r="13" spans="1:27" ht="15.75" customHeight="1" x14ac:dyDescent="0.2">
      <c r="A13" s="2640" t="s">
        <v>5957</v>
      </c>
      <c r="B13" s="2502" t="s">
        <v>6542</v>
      </c>
      <c r="C13" s="2527">
        <f>SUMIF(A:A,A13,M:M)</f>
        <v>0</v>
      </c>
      <c r="D13" s="2530">
        <v>0</v>
      </c>
      <c r="E13" s="2530">
        <v>0</v>
      </c>
      <c r="F13" s="2530">
        <v>0</v>
      </c>
      <c r="G13" s="2530">
        <v>0</v>
      </c>
      <c r="H13" s="2527">
        <f>SUM(C13:D13)-E13+SUM(F13:G13)</f>
        <v>0</v>
      </c>
      <c r="I13" s="2479"/>
      <c r="K13" s="2579"/>
      <c r="L13" s="2593" t="s">
        <v>5957</v>
      </c>
      <c r="M13" s="2527">
        <v>0</v>
      </c>
      <c r="N13" s="2594">
        <v>0</v>
      </c>
      <c r="O13" s="2507">
        <v>0</v>
      </c>
      <c r="P13" s="2511"/>
      <c r="Q13" s="2482"/>
      <c r="R13" s="2482"/>
      <c r="S13" s="2482"/>
      <c r="T13" s="2482"/>
      <c r="U13" s="2482"/>
      <c r="V13" s="2482"/>
      <c r="W13" s="2482"/>
      <c r="X13" s="2482"/>
      <c r="Y13" s="2482"/>
      <c r="Z13" s="2482"/>
      <c r="AA13" s="2482"/>
    </row>
    <row r="14" spans="1:27" ht="15.75" customHeight="1" x14ac:dyDescent="0.2">
      <c r="A14" s="2640" t="s">
        <v>5959</v>
      </c>
      <c r="B14" s="2502" t="s">
        <v>6543</v>
      </c>
      <c r="C14" s="2527">
        <f>SUMIF(A:A,A14,M:M)</f>
        <v>173498124</v>
      </c>
      <c r="D14" s="2530">
        <v>3964953</v>
      </c>
      <c r="E14" s="2530">
        <v>671924</v>
      </c>
      <c r="F14" s="2530">
        <v>0</v>
      </c>
      <c r="G14" s="2530">
        <v>0</v>
      </c>
      <c r="H14" s="2527">
        <f>SUM(C14:D14)-E14+SUM(F14:G14)</f>
        <v>176791153</v>
      </c>
      <c r="I14" s="2479"/>
      <c r="K14" s="2579"/>
      <c r="L14" s="2593" t="s">
        <v>5959</v>
      </c>
      <c r="M14" s="2527">
        <v>173498124</v>
      </c>
      <c r="N14" s="2594">
        <v>215423339</v>
      </c>
      <c r="O14" s="2507">
        <v>209752933</v>
      </c>
      <c r="P14" s="2507">
        <v>209624286</v>
      </c>
      <c r="Q14" s="2482"/>
      <c r="R14" s="2482"/>
      <c r="S14" s="2482"/>
      <c r="T14" s="2482"/>
      <c r="U14" s="2482"/>
      <c r="V14" s="2482"/>
      <c r="W14" s="2482"/>
      <c r="X14" s="2482"/>
      <c r="Y14" s="2482"/>
      <c r="Z14" s="2482"/>
      <c r="AA14" s="2482"/>
    </row>
    <row r="15" spans="1:27" ht="15.75" customHeight="1" x14ac:dyDescent="0.2">
      <c r="A15" s="2640" t="s">
        <v>5961</v>
      </c>
      <c r="B15" s="2502" t="s">
        <v>6544</v>
      </c>
      <c r="C15" s="2527">
        <f>SUMIF(A:A,A15,M:M)</f>
        <v>955483086</v>
      </c>
      <c r="D15" s="2530">
        <v>26129675</v>
      </c>
      <c r="E15" s="2530">
        <v>18619023</v>
      </c>
      <c r="F15" s="2531">
        <v>-5807842</v>
      </c>
      <c r="G15" s="2530">
        <v>-5203</v>
      </c>
      <c r="H15" s="2527">
        <f>SUM(C15:D15)-E15+SUM(F15:G15)</f>
        <v>957180693</v>
      </c>
      <c r="I15" s="2479"/>
      <c r="K15" s="2579"/>
      <c r="L15" s="2593" t="s">
        <v>5961</v>
      </c>
      <c r="M15" s="2527">
        <v>955483086</v>
      </c>
      <c r="N15" s="2594">
        <v>891051459</v>
      </c>
      <c r="O15" s="2507">
        <v>844621680</v>
      </c>
      <c r="P15" s="2507">
        <v>806258510</v>
      </c>
      <c r="Q15" s="2482"/>
      <c r="R15" s="2482"/>
      <c r="S15" s="2482"/>
      <c r="T15" s="2482"/>
      <c r="U15" s="2482"/>
      <c r="V15" s="2482"/>
      <c r="W15" s="2482"/>
      <c r="X15" s="2482"/>
      <c r="Y15" s="2482"/>
      <c r="Z15" s="2482"/>
      <c r="AA15" s="2482"/>
    </row>
    <row r="16" spans="1:27" ht="15.75" customHeight="1" x14ac:dyDescent="0.2">
      <c r="A16" s="2640" t="s">
        <v>5963</v>
      </c>
      <c r="B16" s="2502" t="s">
        <v>6545</v>
      </c>
      <c r="C16" s="2645">
        <f t="shared" ref="C16:H16" si="0">SUM(C13:C15)</f>
        <v>1128981210</v>
      </c>
      <c r="D16" s="2645">
        <f t="shared" si="0"/>
        <v>30094628</v>
      </c>
      <c r="E16" s="2645">
        <f t="shared" si="0"/>
        <v>19290947</v>
      </c>
      <c r="F16" s="2645">
        <f t="shared" si="0"/>
        <v>-5807842</v>
      </c>
      <c r="G16" s="2645">
        <f t="shared" si="0"/>
        <v>-5203</v>
      </c>
      <c r="H16" s="2645">
        <f t="shared" si="0"/>
        <v>1133971846</v>
      </c>
      <c r="I16" s="2479"/>
      <c r="K16" s="2579"/>
      <c r="L16" s="2593" t="s">
        <v>5963</v>
      </c>
      <c r="M16" s="2645">
        <v>1128981210</v>
      </c>
      <c r="N16" s="2594">
        <v>1106474798</v>
      </c>
      <c r="O16" s="2507">
        <v>1054374613</v>
      </c>
      <c r="P16" s="2507">
        <v>1015882796</v>
      </c>
      <c r="Q16" s="2482"/>
      <c r="R16" s="2482"/>
      <c r="S16" s="2482"/>
      <c r="T16" s="2482"/>
      <c r="U16" s="2482"/>
      <c r="V16" s="2482"/>
      <c r="W16" s="2482"/>
      <c r="X16" s="2482"/>
      <c r="Y16" s="2482"/>
      <c r="Z16" s="2482"/>
      <c r="AA16" s="2482"/>
    </row>
    <row r="17" spans="1:27" ht="15.75" customHeight="1" x14ac:dyDescent="0.2">
      <c r="A17" s="2640" t="s">
        <v>5965</v>
      </c>
      <c r="B17" s="2512" t="s">
        <v>6546</v>
      </c>
      <c r="C17" s="2641"/>
      <c r="D17" s="2642"/>
      <c r="E17" s="2643"/>
      <c r="F17" s="2643"/>
      <c r="G17" s="2643"/>
      <c r="H17" s="2643"/>
      <c r="I17" s="2479"/>
      <c r="K17" s="2579"/>
      <c r="L17" s="2593" t="s">
        <v>5965</v>
      </c>
      <c r="M17" s="2641"/>
      <c r="N17" s="2511"/>
      <c r="O17" s="2511"/>
      <c r="P17" s="2507">
        <v>0</v>
      </c>
      <c r="Q17" s="2482"/>
      <c r="R17" s="2482"/>
      <c r="S17" s="2482"/>
      <c r="T17" s="2482"/>
      <c r="U17" s="2482"/>
      <c r="V17" s="2482"/>
      <c r="W17" s="2482"/>
      <c r="X17" s="2482"/>
      <c r="Y17" s="2482"/>
      <c r="Z17" s="2482"/>
      <c r="AA17" s="2482"/>
    </row>
    <row r="18" spans="1:27" ht="15.75" customHeight="1" x14ac:dyDescent="0.2">
      <c r="A18" s="2640" t="s">
        <v>5968</v>
      </c>
      <c r="B18" s="2512" t="s">
        <v>6547</v>
      </c>
      <c r="C18" s="2641"/>
      <c r="D18" s="2642"/>
      <c r="E18" s="2643"/>
      <c r="F18" s="2643"/>
      <c r="G18" s="2643"/>
      <c r="H18" s="2643"/>
      <c r="I18" s="2479"/>
      <c r="K18" s="2579"/>
      <c r="L18" s="2646">
        <v>7</v>
      </c>
      <c r="M18" s="2641"/>
      <c r="N18" s="2511"/>
      <c r="O18" s="2511"/>
      <c r="P18" s="2507">
        <v>0</v>
      </c>
      <c r="Q18" s="2482"/>
      <c r="R18" s="2482"/>
      <c r="S18" s="2482"/>
      <c r="T18" s="2482"/>
      <c r="U18" s="2482"/>
      <c r="V18" s="2482"/>
      <c r="W18" s="2482"/>
      <c r="X18" s="2482"/>
      <c r="Y18" s="2482"/>
      <c r="Z18" s="2482"/>
      <c r="AA18" s="2482"/>
    </row>
    <row r="19" spans="1:27" ht="15.75" customHeight="1" x14ac:dyDescent="0.2">
      <c r="A19" s="2640" t="s">
        <v>5970</v>
      </c>
      <c r="B19" s="2502" t="s">
        <v>6548</v>
      </c>
      <c r="C19" s="2527">
        <f t="shared" ref="C19:C26" si="1">SUMIF(A:A,A19,M:M)</f>
        <v>91714952</v>
      </c>
      <c r="D19" s="2527">
        <v>0</v>
      </c>
      <c r="E19" s="2527">
        <v>0</v>
      </c>
      <c r="F19" s="2527">
        <v>0</v>
      </c>
      <c r="G19" s="2527">
        <v>0</v>
      </c>
      <c r="H19" s="2527">
        <f t="shared" ref="H19:H26" si="2">SUM(C19:D19)-E19+SUM(F19:G19)</f>
        <v>91714952</v>
      </c>
      <c r="I19" s="2479"/>
      <c r="K19" s="2579"/>
      <c r="L19" s="2646">
        <v>8</v>
      </c>
      <c r="M19" s="2527">
        <v>91714952</v>
      </c>
      <c r="N19" s="2594">
        <v>91714952</v>
      </c>
      <c r="O19" s="2507">
        <v>91620243</v>
      </c>
      <c r="P19" s="2507">
        <v>92993849</v>
      </c>
      <c r="Q19" s="2482"/>
      <c r="R19" s="2482"/>
      <c r="S19" s="2482"/>
      <c r="T19" s="2482"/>
      <c r="U19" s="2482"/>
      <c r="V19" s="2482"/>
      <c r="W19" s="2482"/>
      <c r="X19" s="2482"/>
      <c r="Y19" s="2482"/>
      <c r="Z19" s="2482"/>
      <c r="AA19" s="2482"/>
    </row>
    <row r="20" spans="1:27" ht="15.75" customHeight="1" x14ac:dyDescent="0.2">
      <c r="A20" s="2640" t="s">
        <v>5972</v>
      </c>
      <c r="B20" s="2502" t="s">
        <v>6549</v>
      </c>
      <c r="C20" s="2527">
        <f t="shared" si="1"/>
        <v>1006874970</v>
      </c>
      <c r="D20" s="2527">
        <v>49019064</v>
      </c>
      <c r="E20" s="2527">
        <v>1647499</v>
      </c>
      <c r="F20" s="2527">
        <v>0</v>
      </c>
      <c r="G20" s="2527">
        <v>0</v>
      </c>
      <c r="H20" s="2527">
        <f t="shared" si="2"/>
        <v>1054246535</v>
      </c>
      <c r="I20" s="2479"/>
      <c r="K20" s="2579"/>
      <c r="L20" s="2646">
        <v>9</v>
      </c>
      <c r="M20" s="2527">
        <v>1006874970</v>
      </c>
      <c r="N20" s="2594">
        <v>1004609523</v>
      </c>
      <c r="O20" s="2507">
        <v>997012716</v>
      </c>
      <c r="P20" s="2507">
        <v>1056453683</v>
      </c>
      <c r="Q20" s="2482"/>
      <c r="R20" s="2482"/>
      <c r="S20" s="2482"/>
      <c r="T20" s="2482"/>
      <c r="U20" s="2482"/>
      <c r="V20" s="2482"/>
      <c r="W20" s="2482"/>
      <c r="X20" s="2482"/>
      <c r="Y20" s="2482"/>
      <c r="Z20" s="2482"/>
      <c r="AA20" s="2482"/>
    </row>
    <row r="21" spans="1:27" ht="15.75" customHeight="1" x14ac:dyDescent="0.2">
      <c r="A21" s="2640" t="s">
        <v>5974</v>
      </c>
      <c r="B21" s="2502" t="s">
        <v>6550</v>
      </c>
      <c r="C21" s="2527">
        <f t="shared" si="1"/>
        <v>4432371231</v>
      </c>
      <c r="D21" s="2527">
        <v>66234878</v>
      </c>
      <c r="E21" s="2527">
        <v>105392940</v>
      </c>
      <c r="F21" s="2527">
        <v>0</v>
      </c>
      <c r="G21" s="2527">
        <v>0</v>
      </c>
      <c r="H21" s="2527">
        <f t="shared" si="2"/>
        <v>4393213169</v>
      </c>
      <c r="I21" s="2479"/>
      <c r="K21" s="2579"/>
      <c r="L21" s="2646">
        <v>10</v>
      </c>
      <c r="M21" s="2527">
        <v>4432371231</v>
      </c>
      <c r="N21" s="2594">
        <v>4385686357</v>
      </c>
      <c r="O21" s="2507">
        <v>4337648373</v>
      </c>
      <c r="P21" s="2507">
        <v>4657546678</v>
      </c>
      <c r="Q21" s="2482"/>
      <c r="R21" s="2482"/>
      <c r="S21" s="2482"/>
      <c r="T21" s="2482"/>
      <c r="U21" s="2482"/>
      <c r="V21" s="2482"/>
      <c r="W21" s="2482"/>
      <c r="X21" s="2482"/>
      <c r="Y21" s="2482"/>
      <c r="Z21" s="2482"/>
      <c r="AA21" s="2482"/>
    </row>
    <row r="22" spans="1:27" ht="15.75" customHeight="1" x14ac:dyDescent="0.2">
      <c r="A22" s="2640" t="s">
        <v>5976</v>
      </c>
      <c r="B22" s="2502" t="s">
        <v>6551</v>
      </c>
      <c r="C22" s="2527">
        <f t="shared" si="1"/>
        <v>0</v>
      </c>
      <c r="D22" s="2527">
        <v>0</v>
      </c>
      <c r="E22" s="2527">
        <v>0</v>
      </c>
      <c r="F22" s="2527">
        <v>0</v>
      </c>
      <c r="G22" s="2527">
        <v>0</v>
      </c>
      <c r="H22" s="2527">
        <f t="shared" si="2"/>
        <v>0</v>
      </c>
      <c r="I22" s="2479"/>
      <c r="K22" s="2579"/>
      <c r="L22" s="2646">
        <v>11</v>
      </c>
      <c r="M22" s="2527">
        <v>0</v>
      </c>
      <c r="N22" s="2594">
        <v>0</v>
      </c>
      <c r="O22" s="2507">
        <v>0</v>
      </c>
      <c r="P22" s="2507">
        <v>0</v>
      </c>
      <c r="Q22" s="2482"/>
      <c r="R22" s="2482"/>
      <c r="S22" s="2482"/>
      <c r="T22" s="2482"/>
      <c r="U22" s="2482"/>
      <c r="V22" s="2482"/>
      <c r="W22" s="2482"/>
      <c r="X22" s="2482"/>
      <c r="Y22" s="2482"/>
      <c r="Z22" s="2482"/>
      <c r="AA22" s="2482"/>
    </row>
    <row r="23" spans="1:27" ht="15.75" customHeight="1" x14ac:dyDescent="0.2">
      <c r="A23" s="2640" t="s">
        <v>5978</v>
      </c>
      <c r="B23" s="2502" t="s">
        <v>6552</v>
      </c>
      <c r="C23" s="2527">
        <f t="shared" si="1"/>
        <v>986357587</v>
      </c>
      <c r="D23" s="2527">
        <v>23498039</v>
      </c>
      <c r="E23" s="2527">
        <v>13280904</v>
      </c>
      <c r="F23" s="2527">
        <v>0</v>
      </c>
      <c r="G23" s="2527">
        <v>0</v>
      </c>
      <c r="H23" s="2527">
        <f t="shared" si="2"/>
        <v>996574722</v>
      </c>
      <c r="I23" s="2479"/>
      <c r="K23" s="2579"/>
      <c r="L23" s="2646">
        <v>12</v>
      </c>
      <c r="M23" s="2527">
        <v>986357587</v>
      </c>
      <c r="N23" s="2594">
        <v>948553837</v>
      </c>
      <c r="O23" s="2507">
        <v>941784721</v>
      </c>
      <c r="P23" s="2507">
        <v>1008433107</v>
      </c>
      <c r="Q23" s="2482"/>
      <c r="R23" s="2482"/>
      <c r="S23" s="2482"/>
      <c r="T23" s="2482"/>
      <c r="U23" s="2482"/>
      <c r="V23" s="2482"/>
      <c r="W23" s="2482"/>
      <c r="X23" s="2482"/>
      <c r="Y23" s="2482"/>
      <c r="Z23" s="2482"/>
      <c r="AA23" s="2482"/>
    </row>
    <row r="24" spans="1:27" ht="15.75" customHeight="1" x14ac:dyDescent="0.2">
      <c r="A24" s="2640" t="s">
        <v>5980</v>
      </c>
      <c r="B24" s="2502" t="s">
        <v>6553</v>
      </c>
      <c r="C24" s="2527">
        <f t="shared" si="1"/>
        <v>427643229</v>
      </c>
      <c r="D24" s="2527">
        <v>1076640</v>
      </c>
      <c r="E24" s="2527">
        <v>-159611</v>
      </c>
      <c r="F24" s="2527">
        <v>0</v>
      </c>
      <c r="G24" s="2527">
        <v>0</v>
      </c>
      <c r="H24" s="2527">
        <f t="shared" si="2"/>
        <v>428879480</v>
      </c>
      <c r="I24" s="2479"/>
      <c r="K24" s="2579"/>
      <c r="L24" s="2646">
        <v>13</v>
      </c>
      <c r="M24" s="2527">
        <v>427643229</v>
      </c>
      <c r="N24" s="2594">
        <v>426564107</v>
      </c>
      <c r="O24" s="2507">
        <v>424234732</v>
      </c>
      <c r="P24" s="2507">
        <v>492434835</v>
      </c>
      <c r="Q24" s="2482"/>
      <c r="R24" s="2482"/>
      <c r="S24" s="2482"/>
      <c r="T24" s="2482"/>
      <c r="U24" s="2482"/>
      <c r="V24" s="2482"/>
      <c r="W24" s="2482"/>
      <c r="X24" s="2482"/>
      <c r="Y24" s="2482"/>
      <c r="Z24" s="2482"/>
      <c r="AA24" s="2482"/>
    </row>
    <row r="25" spans="1:27" ht="15.75" customHeight="1" x14ac:dyDescent="0.2">
      <c r="A25" s="2640" t="s">
        <v>5982</v>
      </c>
      <c r="B25" s="2502" t="s">
        <v>6554</v>
      </c>
      <c r="C25" s="2527">
        <f t="shared" si="1"/>
        <v>33442838</v>
      </c>
      <c r="D25" s="2527">
        <v>3397843</v>
      </c>
      <c r="E25" s="2527">
        <v>1413450</v>
      </c>
      <c r="F25" s="2527">
        <v>0</v>
      </c>
      <c r="G25" s="2527">
        <v>0</v>
      </c>
      <c r="H25" s="2527">
        <f t="shared" si="2"/>
        <v>35427231</v>
      </c>
      <c r="I25" s="2479"/>
      <c r="K25" s="2579"/>
      <c r="L25" s="2646">
        <v>14</v>
      </c>
      <c r="M25" s="2527">
        <v>33442838</v>
      </c>
      <c r="N25" s="2594">
        <v>31717120</v>
      </c>
      <c r="O25" s="2507">
        <v>30788447</v>
      </c>
      <c r="P25" s="2507">
        <v>34262485</v>
      </c>
      <c r="Q25" s="2482"/>
      <c r="R25" s="2482"/>
      <c r="S25" s="2482"/>
      <c r="T25" s="2482"/>
      <c r="U25" s="2482"/>
      <c r="V25" s="2482"/>
      <c r="W25" s="2482"/>
      <c r="X25" s="2482"/>
      <c r="Y25" s="2482"/>
      <c r="Z25" s="2482"/>
      <c r="AA25" s="2482"/>
    </row>
    <row r="26" spans="1:27" ht="15.75" customHeight="1" x14ac:dyDescent="0.2">
      <c r="A26" s="2640" t="s">
        <v>5984</v>
      </c>
      <c r="B26" s="2502" t="s">
        <v>6555</v>
      </c>
      <c r="C26" s="2527">
        <f t="shared" si="1"/>
        <v>178869688</v>
      </c>
      <c r="D26" s="2527">
        <v>34918256</v>
      </c>
      <c r="E26" s="2527">
        <v>161978</v>
      </c>
      <c r="F26" s="2527">
        <v>-9708375</v>
      </c>
      <c r="G26" s="2527">
        <v>0</v>
      </c>
      <c r="H26" s="2527">
        <f t="shared" si="2"/>
        <v>203917591</v>
      </c>
      <c r="I26" s="2479"/>
      <c r="K26" s="2579"/>
      <c r="L26" s="2646">
        <v>15</v>
      </c>
      <c r="M26" s="2527">
        <v>178869688</v>
      </c>
      <c r="N26" s="2594">
        <v>163179963</v>
      </c>
      <c r="O26" s="2507">
        <v>156343007</v>
      </c>
      <c r="P26" s="2507">
        <v>159106198</v>
      </c>
      <c r="Q26" s="2482"/>
      <c r="R26" s="2482"/>
      <c r="S26" s="2482"/>
      <c r="T26" s="2482"/>
      <c r="U26" s="2482"/>
      <c r="V26" s="2482"/>
      <c r="W26" s="2482"/>
      <c r="X26" s="2482"/>
      <c r="Y26" s="2482"/>
      <c r="Z26" s="2482"/>
      <c r="AA26" s="2482"/>
    </row>
    <row r="27" spans="1:27" ht="15.75" customHeight="1" x14ac:dyDescent="0.2">
      <c r="A27" s="2640" t="s">
        <v>5986</v>
      </c>
      <c r="B27" s="2502" t="s">
        <v>6556</v>
      </c>
      <c r="C27" s="2645">
        <f t="shared" ref="C27:H27" si="3">SUM(C19:C26)</f>
        <v>7157274495</v>
      </c>
      <c r="D27" s="2645">
        <f t="shared" si="3"/>
        <v>178144720</v>
      </c>
      <c r="E27" s="2645">
        <f t="shared" si="3"/>
        <v>121737160</v>
      </c>
      <c r="F27" s="2645">
        <f t="shared" si="3"/>
        <v>-9708375</v>
      </c>
      <c r="G27" s="2645">
        <f t="shared" si="3"/>
        <v>0</v>
      </c>
      <c r="H27" s="2645">
        <f t="shared" si="3"/>
        <v>7203973680</v>
      </c>
      <c r="I27" s="2479"/>
      <c r="K27" s="2579"/>
      <c r="L27" s="2646">
        <v>16</v>
      </c>
      <c r="M27" s="2645">
        <v>7157274495</v>
      </c>
      <c r="N27" s="2594">
        <v>7052025859</v>
      </c>
      <c r="O27" s="2507">
        <v>6979432239</v>
      </c>
      <c r="P27" s="2507">
        <v>7501230835</v>
      </c>
      <c r="Q27" s="2482"/>
      <c r="R27" s="2482"/>
      <c r="S27" s="2482"/>
      <c r="T27" s="2482"/>
      <c r="U27" s="2482"/>
      <c r="V27" s="2482"/>
      <c r="W27" s="2482"/>
      <c r="X27" s="2482"/>
      <c r="Y27" s="2482"/>
      <c r="Z27" s="2482"/>
      <c r="AA27" s="2482"/>
    </row>
    <row r="28" spans="1:27" ht="15.75" customHeight="1" x14ac:dyDescent="0.2">
      <c r="A28" s="2640" t="s">
        <v>5988</v>
      </c>
      <c r="B28" s="2512" t="s">
        <v>6557</v>
      </c>
      <c r="C28" s="2641"/>
      <c r="D28" s="2642"/>
      <c r="E28" s="2643"/>
      <c r="F28" s="2643"/>
      <c r="G28" s="2643"/>
      <c r="H28" s="2643"/>
      <c r="I28" s="2479"/>
      <c r="K28" s="2579"/>
      <c r="L28" s="2646">
        <v>17</v>
      </c>
      <c r="M28" s="2641"/>
      <c r="N28" s="2511"/>
      <c r="O28" s="2511"/>
      <c r="P28" s="2511"/>
      <c r="Q28" s="2482"/>
      <c r="R28" s="2482"/>
      <c r="S28" s="2482"/>
      <c r="T28" s="2482"/>
      <c r="U28" s="2482"/>
      <c r="V28" s="2482"/>
      <c r="W28" s="2482"/>
      <c r="X28" s="2482"/>
      <c r="Y28" s="2482"/>
      <c r="Z28" s="2482"/>
      <c r="AA28" s="2482"/>
    </row>
    <row r="29" spans="1:27" ht="15.75" customHeight="1" x14ac:dyDescent="0.2">
      <c r="A29" s="2640" t="s">
        <v>5990</v>
      </c>
      <c r="B29" s="2502" t="s">
        <v>6558</v>
      </c>
      <c r="C29" s="2527">
        <f t="shared" ref="C29:C35" si="4">SUMIF(A:A,A29,M:M)</f>
        <v>0</v>
      </c>
      <c r="D29" s="2527">
        <v>0</v>
      </c>
      <c r="E29" s="2527">
        <v>0</v>
      </c>
      <c r="F29" s="2527">
        <v>0</v>
      </c>
      <c r="G29" s="2527">
        <v>0</v>
      </c>
      <c r="H29" s="2527">
        <f t="shared" ref="H29:H35" si="5">SUM(C29:D29)-E29+SUM(F29:G29)</f>
        <v>0</v>
      </c>
      <c r="I29" s="2479"/>
      <c r="K29" s="2579"/>
      <c r="L29" s="2646">
        <v>18</v>
      </c>
      <c r="M29" s="2527">
        <v>0</v>
      </c>
      <c r="N29" s="2594">
        <v>0</v>
      </c>
      <c r="O29" s="2507">
        <v>0</v>
      </c>
      <c r="P29" s="2511"/>
      <c r="Q29" s="2482"/>
      <c r="R29" s="2482"/>
      <c r="S29" s="2482"/>
      <c r="T29" s="2482"/>
      <c r="U29" s="2482"/>
      <c r="V29" s="2482"/>
      <c r="W29" s="2482"/>
      <c r="X29" s="2482"/>
      <c r="Y29" s="2482"/>
      <c r="Z29" s="2482"/>
      <c r="AA29" s="2482"/>
    </row>
    <row r="30" spans="1:27" ht="15.75" customHeight="1" x14ac:dyDescent="0.2">
      <c r="A30" s="2640" t="s">
        <v>5992</v>
      </c>
      <c r="B30" s="2502" t="s">
        <v>6559</v>
      </c>
      <c r="C30" s="2527">
        <f t="shared" si="4"/>
        <v>0</v>
      </c>
      <c r="D30" s="2527">
        <v>0</v>
      </c>
      <c r="E30" s="2527">
        <v>0</v>
      </c>
      <c r="F30" s="2527">
        <v>0</v>
      </c>
      <c r="G30" s="2527">
        <v>0</v>
      </c>
      <c r="H30" s="2527">
        <f t="shared" si="5"/>
        <v>0</v>
      </c>
      <c r="I30" s="2479"/>
      <c r="K30" s="2579"/>
      <c r="L30" s="2646">
        <v>19</v>
      </c>
      <c r="M30" s="2527">
        <v>0</v>
      </c>
      <c r="N30" s="2594">
        <v>0</v>
      </c>
      <c r="O30" s="2507">
        <v>0</v>
      </c>
      <c r="P30" s="2511"/>
      <c r="Q30" s="2482"/>
      <c r="R30" s="2482"/>
      <c r="S30" s="2482"/>
      <c r="T30" s="2482"/>
      <c r="U30" s="2482"/>
      <c r="V30" s="2482"/>
      <c r="W30" s="2482"/>
      <c r="X30" s="2482"/>
      <c r="Y30" s="2482"/>
      <c r="Z30" s="2482"/>
      <c r="AA30" s="2482"/>
    </row>
    <row r="31" spans="1:27" ht="15.75" customHeight="1" x14ac:dyDescent="0.2">
      <c r="A31" s="2640" t="s">
        <v>5994</v>
      </c>
      <c r="B31" s="2502" t="s">
        <v>6560</v>
      </c>
      <c r="C31" s="2527">
        <f t="shared" si="4"/>
        <v>0</v>
      </c>
      <c r="D31" s="2527">
        <v>0</v>
      </c>
      <c r="E31" s="2527">
        <v>0</v>
      </c>
      <c r="F31" s="2527">
        <v>0</v>
      </c>
      <c r="G31" s="2527">
        <v>0</v>
      </c>
      <c r="H31" s="2527">
        <f t="shared" si="5"/>
        <v>0</v>
      </c>
      <c r="I31" s="2479"/>
      <c r="K31" s="2579"/>
      <c r="L31" s="2646">
        <v>20</v>
      </c>
      <c r="M31" s="2527">
        <v>0</v>
      </c>
      <c r="N31" s="2594">
        <v>0</v>
      </c>
      <c r="O31" s="2507">
        <v>0</v>
      </c>
      <c r="P31" s="2511"/>
      <c r="Q31" s="2482"/>
      <c r="R31" s="2482"/>
      <c r="S31" s="2482"/>
      <c r="T31" s="2482"/>
      <c r="U31" s="2482"/>
      <c r="V31" s="2482"/>
      <c r="W31" s="2482"/>
      <c r="X31" s="2482"/>
      <c r="Y31" s="2482"/>
      <c r="Z31" s="2482"/>
      <c r="AA31" s="2482"/>
    </row>
    <row r="32" spans="1:27" ht="15.75" customHeight="1" x14ac:dyDescent="0.2">
      <c r="A32" s="2640" t="s">
        <v>5997</v>
      </c>
      <c r="B32" s="2502" t="s">
        <v>6561</v>
      </c>
      <c r="C32" s="2527">
        <f t="shared" si="4"/>
        <v>0</v>
      </c>
      <c r="D32" s="2527">
        <v>0</v>
      </c>
      <c r="E32" s="2527">
        <v>0</v>
      </c>
      <c r="F32" s="2527">
        <v>0</v>
      </c>
      <c r="G32" s="2527">
        <v>0</v>
      </c>
      <c r="H32" s="2527">
        <f t="shared" si="5"/>
        <v>0</v>
      </c>
      <c r="I32" s="2479"/>
      <c r="K32" s="2579"/>
      <c r="L32" s="2646">
        <v>21</v>
      </c>
      <c r="M32" s="2527">
        <v>0</v>
      </c>
      <c r="N32" s="2594">
        <v>0</v>
      </c>
      <c r="O32" s="2507">
        <v>0</v>
      </c>
      <c r="P32" s="2511"/>
      <c r="Q32" s="2482"/>
      <c r="R32" s="2482"/>
      <c r="S32" s="2482"/>
      <c r="T32" s="2482"/>
      <c r="U32" s="2482"/>
      <c r="V32" s="2482"/>
      <c r="W32" s="2482"/>
      <c r="X32" s="2482"/>
      <c r="Y32" s="2482"/>
      <c r="Z32" s="2482"/>
      <c r="AA32" s="2482"/>
    </row>
    <row r="33" spans="1:27" ht="15.75" customHeight="1" x14ac:dyDescent="0.2">
      <c r="A33" s="2640" t="s">
        <v>5999</v>
      </c>
      <c r="B33" s="2502" t="s">
        <v>6562</v>
      </c>
      <c r="C33" s="2527">
        <f t="shared" si="4"/>
        <v>0</v>
      </c>
      <c r="D33" s="2527">
        <v>0</v>
      </c>
      <c r="E33" s="2527">
        <v>0</v>
      </c>
      <c r="F33" s="2527">
        <v>0</v>
      </c>
      <c r="G33" s="2527">
        <v>0</v>
      </c>
      <c r="H33" s="2527">
        <f t="shared" si="5"/>
        <v>0</v>
      </c>
      <c r="I33" s="2479"/>
      <c r="K33" s="2579"/>
      <c r="L33" s="2646">
        <v>22</v>
      </c>
      <c r="M33" s="2527">
        <v>0</v>
      </c>
      <c r="N33" s="2594">
        <v>0</v>
      </c>
      <c r="O33" s="2507">
        <v>0</v>
      </c>
      <c r="P33" s="2511"/>
      <c r="Q33" s="2482"/>
      <c r="R33" s="2482"/>
      <c r="S33" s="2482"/>
      <c r="T33" s="2482"/>
      <c r="U33" s="2482"/>
      <c r="V33" s="2482"/>
      <c r="W33" s="2482"/>
      <c r="X33" s="2482"/>
      <c r="Y33" s="2482"/>
      <c r="Z33" s="2482"/>
      <c r="AA33" s="2482"/>
    </row>
    <row r="34" spans="1:27" ht="15.75" customHeight="1" x14ac:dyDescent="0.2">
      <c r="A34" s="2640" t="s">
        <v>6002</v>
      </c>
      <c r="B34" s="2502" t="s">
        <v>6563</v>
      </c>
      <c r="C34" s="2527">
        <f t="shared" si="4"/>
        <v>0</v>
      </c>
      <c r="D34" s="2527">
        <v>0</v>
      </c>
      <c r="E34" s="2527">
        <v>0</v>
      </c>
      <c r="F34" s="2527">
        <v>0</v>
      </c>
      <c r="G34" s="2527">
        <v>0</v>
      </c>
      <c r="H34" s="2527">
        <f t="shared" si="5"/>
        <v>0</v>
      </c>
      <c r="I34" s="2479"/>
      <c r="K34" s="2579"/>
      <c r="L34" s="2646">
        <v>23</v>
      </c>
      <c r="M34" s="2527">
        <v>0</v>
      </c>
      <c r="N34" s="2594">
        <v>0</v>
      </c>
      <c r="O34" s="2507">
        <v>0</v>
      </c>
      <c r="P34" s="2511"/>
      <c r="Q34" s="2482"/>
      <c r="R34" s="2482"/>
      <c r="S34" s="2482"/>
      <c r="T34" s="2482"/>
      <c r="U34" s="2482"/>
      <c r="V34" s="2482"/>
      <c r="W34" s="2482"/>
      <c r="X34" s="2482"/>
      <c r="Y34" s="2482"/>
      <c r="Z34" s="2482"/>
      <c r="AA34" s="2482"/>
    </row>
    <row r="35" spans="1:27" ht="15.75" customHeight="1" x14ac:dyDescent="0.2">
      <c r="A35" s="2640" t="s">
        <v>6004</v>
      </c>
      <c r="B35" s="2502" t="s">
        <v>6564</v>
      </c>
      <c r="C35" s="2527">
        <f t="shared" si="4"/>
        <v>0</v>
      </c>
      <c r="D35" s="2527">
        <v>0</v>
      </c>
      <c r="E35" s="2527">
        <v>0</v>
      </c>
      <c r="F35" s="2527">
        <v>0</v>
      </c>
      <c r="G35" s="2527">
        <v>0</v>
      </c>
      <c r="H35" s="2527">
        <f t="shared" si="5"/>
        <v>0</v>
      </c>
      <c r="I35" s="2479"/>
      <c r="K35" s="2579"/>
      <c r="L35" s="2646">
        <v>24</v>
      </c>
      <c r="M35" s="2527">
        <v>0</v>
      </c>
      <c r="N35" s="2594">
        <v>0</v>
      </c>
      <c r="O35" s="2507">
        <v>0</v>
      </c>
      <c r="P35" s="2511"/>
      <c r="Q35" s="2482"/>
      <c r="R35" s="2482"/>
      <c r="S35" s="2482"/>
      <c r="T35" s="2482"/>
      <c r="U35" s="2482"/>
      <c r="V35" s="2482"/>
      <c r="W35" s="2482"/>
      <c r="X35" s="2482"/>
      <c r="Y35" s="2482"/>
      <c r="Z35" s="2482"/>
      <c r="AA35" s="2482"/>
    </row>
    <row r="36" spans="1:27" ht="15.75" customHeight="1" x14ac:dyDescent="0.2">
      <c r="A36" s="2640" t="s">
        <v>6006</v>
      </c>
      <c r="B36" s="2502" t="s">
        <v>6565</v>
      </c>
      <c r="C36" s="2645">
        <f t="shared" ref="C36:H36" si="6">SUM(C29:C35)</f>
        <v>0</v>
      </c>
      <c r="D36" s="2645">
        <f t="shared" si="6"/>
        <v>0</v>
      </c>
      <c r="E36" s="2645">
        <f t="shared" si="6"/>
        <v>0</v>
      </c>
      <c r="F36" s="2645">
        <f t="shared" si="6"/>
        <v>0</v>
      </c>
      <c r="G36" s="2645">
        <f t="shared" si="6"/>
        <v>0</v>
      </c>
      <c r="H36" s="2645">
        <f t="shared" si="6"/>
        <v>0</v>
      </c>
      <c r="I36" s="2479"/>
      <c r="K36" s="2579"/>
      <c r="L36" s="2646">
        <v>25</v>
      </c>
      <c r="M36" s="2645">
        <v>0</v>
      </c>
      <c r="N36" s="2594">
        <v>0</v>
      </c>
      <c r="O36" s="2507">
        <v>0</v>
      </c>
      <c r="P36" s="2511"/>
      <c r="Q36" s="2482"/>
      <c r="R36" s="2482"/>
      <c r="S36" s="2482"/>
      <c r="T36" s="2482"/>
      <c r="U36" s="2482"/>
      <c r="V36" s="2482"/>
      <c r="W36" s="2482"/>
      <c r="X36" s="2482"/>
      <c r="Y36" s="2482"/>
      <c r="Z36" s="2482"/>
      <c r="AA36" s="2482"/>
    </row>
    <row r="37" spans="1:27" ht="15.75" customHeight="1" x14ac:dyDescent="0.2">
      <c r="A37" s="2640" t="s">
        <v>6008</v>
      </c>
      <c r="B37" s="2512" t="s">
        <v>6566</v>
      </c>
      <c r="C37" s="2647"/>
      <c r="D37" s="2648"/>
      <c r="E37" s="2649"/>
      <c r="F37" s="2649"/>
      <c r="G37" s="2649"/>
      <c r="H37" s="2649"/>
      <c r="I37" s="2479"/>
      <c r="K37" s="2579"/>
      <c r="L37" s="2646">
        <v>26</v>
      </c>
      <c r="M37" s="2647"/>
      <c r="N37" s="2511"/>
      <c r="O37" s="2511"/>
      <c r="P37" s="2511"/>
      <c r="Q37" s="2482"/>
      <c r="R37" s="2482"/>
      <c r="S37" s="2482"/>
      <c r="T37" s="2482"/>
      <c r="U37" s="2482"/>
      <c r="V37" s="2482"/>
      <c r="W37" s="2482"/>
      <c r="X37" s="2482"/>
      <c r="Y37" s="2482"/>
      <c r="Z37" s="2482"/>
      <c r="AA37" s="2482"/>
    </row>
    <row r="38" spans="1:27" ht="15.75" customHeight="1" x14ac:dyDescent="0.2">
      <c r="A38" s="2640" t="s">
        <v>6010</v>
      </c>
      <c r="B38" s="2502" t="s">
        <v>6567</v>
      </c>
      <c r="C38" s="2527">
        <f t="shared" ref="C38:C45" si="7">SUMIF(A:A,A38,M:M)</f>
        <v>38471099</v>
      </c>
      <c r="D38" s="2527">
        <v>0</v>
      </c>
      <c r="E38" s="2527">
        <v>0</v>
      </c>
      <c r="F38" s="2527">
        <v>0</v>
      </c>
      <c r="G38" s="2527">
        <v>0</v>
      </c>
      <c r="H38" s="2527">
        <f t="shared" ref="H38:H45" si="8">SUM(C38:D38)-E38+SUM(F38:G38)</f>
        <v>38471099</v>
      </c>
      <c r="I38" s="2479"/>
      <c r="K38" s="2579"/>
      <c r="L38" s="2646">
        <v>27</v>
      </c>
      <c r="M38" s="2527">
        <v>38471099</v>
      </c>
      <c r="N38" s="2594">
        <v>38970017</v>
      </c>
      <c r="O38" s="2507">
        <v>38801763</v>
      </c>
      <c r="P38" s="2507">
        <v>36429166</v>
      </c>
      <c r="Q38" s="2482"/>
      <c r="R38" s="2482"/>
      <c r="S38" s="2482"/>
      <c r="T38" s="2482"/>
      <c r="U38" s="2482"/>
      <c r="V38" s="2482"/>
      <c r="W38" s="2482"/>
      <c r="X38" s="2482"/>
      <c r="Y38" s="2482"/>
      <c r="Z38" s="2482"/>
      <c r="AA38" s="2482"/>
    </row>
    <row r="39" spans="1:27" ht="15.75" customHeight="1" x14ac:dyDescent="0.2">
      <c r="A39" s="2640" t="s">
        <v>6012</v>
      </c>
      <c r="B39" s="2502" t="s">
        <v>6568</v>
      </c>
      <c r="C39" s="2527">
        <f t="shared" si="7"/>
        <v>282039563</v>
      </c>
      <c r="D39" s="2527">
        <v>6492017</v>
      </c>
      <c r="E39" s="2527">
        <v>833425</v>
      </c>
      <c r="F39" s="2527">
        <v>0</v>
      </c>
      <c r="G39" s="2527">
        <v>0</v>
      </c>
      <c r="H39" s="2527">
        <f t="shared" si="8"/>
        <v>287698155</v>
      </c>
      <c r="I39" s="2479"/>
      <c r="K39" s="2579"/>
      <c r="L39" s="2646">
        <v>28</v>
      </c>
      <c r="M39" s="2527">
        <v>282039563</v>
      </c>
      <c r="N39" s="2594">
        <v>296483149</v>
      </c>
      <c r="O39" s="2507">
        <v>289377697</v>
      </c>
      <c r="P39" s="2507">
        <v>281578484</v>
      </c>
      <c r="Q39" s="2482"/>
      <c r="R39" s="2482"/>
      <c r="S39" s="2482"/>
      <c r="T39" s="2482"/>
      <c r="U39" s="2482"/>
      <c r="V39" s="2482"/>
      <c r="W39" s="2482"/>
      <c r="X39" s="2482"/>
      <c r="Y39" s="2482"/>
      <c r="Z39" s="2482"/>
      <c r="AA39" s="2482"/>
    </row>
    <row r="40" spans="1:27" ht="15.75" customHeight="1" x14ac:dyDescent="0.2">
      <c r="A40" s="2640" t="s">
        <v>6014</v>
      </c>
      <c r="B40" s="2502" t="s">
        <v>6569</v>
      </c>
      <c r="C40" s="2527">
        <f t="shared" si="7"/>
        <v>515037675</v>
      </c>
      <c r="D40" s="2527">
        <v>4635547</v>
      </c>
      <c r="E40" s="2527">
        <v>1341198</v>
      </c>
      <c r="F40" s="2527">
        <v>0</v>
      </c>
      <c r="G40" s="2527">
        <v>0</v>
      </c>
      <c r="H40" s="2527">
        <f t="shared" si="8"/>
        <v>518332024</v>
      </c>
      <c r="I40" s="2479"/>
      <c r="K40" s="2579"/>
      <c r="L40" s="2646">
        <v>29</v>
      </c>
      <c r="M40" s="2527">
        <v>515037675</v>
      </c>
      <c r="N40" s="2594">
        <v>538126024</v>
      </c>
      <c r="O40" s="2507">
        <v>533915462</v>
      </c>
      <c r="P40" s="2507">
        <v>517856965</v>
      </c>
      <c r="Q40" s="2482"/>
      <c r="R40" s="2482"/>
      <c r="S40" s="2482"/>
      <c r="T40" s="2482"/>
      <c r="U40" s="2482"/>
      <c r="V40" s="2482"/>
      <c r="W40" s="2482"/>
      <c r="X40" s="2482"/>
      <c r="Y40" s="2482"/>
      <c r="Z40" s="2482"/>
      <c r="AA40" s="2482"/>
    </row>
    <row r="41" spans="1:27" ht="15.75" customHeight="1" x14ac:dyDescent="0.2">
      <c r="A41" s="2640" t="s">
        <v>6016</v>
      </c>
      <c r="B41" s="2502" t="s">
        <v>6570</v>
      </c>
      <c r="C41" s="2527">
        <f t="shared" si="7"/>
        <v>130476138</v>
      </c>
      <c r="D41" s="2527">
        <v>290502</v>
      </c>
      <c r="E41" s="2527">
        <v>17532</v>
      </c>
      <c r="F41" s="2527">
        <v>0</v>
      </c>
      <c r="G41" s="2527">
        <v>0</v>
      </c>
      <c r="H41" s="2527">
        <f t="shared" si="8"/>
        <v>130749108</v>
      </c>
      <c r="I41" s="2479"/>
      <c r="K41" s="2579"/>
      <c r="L41" s="2646">
        <v>30</v>
      </c>
      <c r="M41" s="2527">
        <v>130476138</v>
      </c>
      <c r="N41" s="2594">
        <v>147692537</v>
      </c>
      <c r="O41" s="2507">
        <v>146463461</v>
      </c>
      <c r="P41" s="2507">
        <v>143899365</v>
      </c>
      <c r="Q41" s="2482"/>
      <c r="R41" s="2482"/>
      <c r="S41" s="2482"/>
      <c r="T41" s="2482"/>
      <c r="U41" s="2482"/>
      <c r="V41" s="2482"/>
      <c r="W41" s="2482"/>
      <c r="X41" s="2482"/>
      <c r="Y41" s="2482"/>
      <c r="Z41" s="2482"/>
      <c r="AA41" s="2482"/>
    </row>
    <row r="42" spans="1:27" ht="15.75" customHeight="1" x14ac:dyDescent="0.2">
      <c r="A42" s="2640" t="s">
        <v>6018</v>
      </c>
      <c r="B42" s="2502" t="s">
        <v>6571</v>
      </c>
      <c r="C42" s="2527">
        <f t="shared" si="7"/>
        <v>72908213</v>
      </c>
      <c r="D42" s="2527">
        <v>645187</v>
      </c>
      <c r="E42" s="2527">
        <v>34235</v>
      </c>
      <c r="F42" s="2527">
        <v>0</v>
      </c>
      <c r="G42" s="2527">
        <v>0</v>
      </c>
      <c r="H42" s="2527">
        <f t="shared" si="8"/>
        <v>73519165</v>
      </c>
      <c r="I42" s="2479"/>
      <c r="K42" s="2579"/>
      <c r="L42" s="2646">
        <v>31</v>
      </c>
      <c r="M42" s="2527">
        <v>72908213</v>
      </c>
      <c r="N42" s="2594">
        <v>88567241</v>
      </c>
      <c r="O42" s="2507">
        <v>86921041</v>
      </c>
      <c r="P42" s="2507">
        <v>86336749</v>
      </c>
      <c r="Q42" s="2482"/>
      <c r="R42" s="2482"/>
      <c r="S42" s="2482"/>
      <c r="T42" s="2482"/>
      <c r="U42" s="2482"/>
      <c r="V42" s="2482"/>
      <c r="W42" s="2482"/>
      <c r="X42" s="2482"/>
      <c r="Y42" s="2482"/>
      <c r="Z42" s="2482"/>
      <c r="AA42" s="2482"/>
    </row>
    <row r="43" spans="1:27" ht="15.75" customHeight="1" x14ac:dyDescent="0.2">
      <c r="A43" s="2640" t="s">
        <v>6020</v>
      </c>
      <c r="B43" s="2502" t="s">
        <v>6572</v>
      </c>
      <c r="C43" s="2527">
        <f t="shared" si="7"/>
        <v>2663098</v>
      </c>
      <c r="D43" s="2527">
        <v>846771</v>
      </c>
      <c r="E43" s="2527">
        <v>5644</v>
      </c>
      <c r="F43" s="2527">
        <v>0</v>
      </c>
      <c r="G43" s="2527">
        <v>0</v>
      </c>
      <c r="H43" s="2527">
        <f t="shared" si="8"/>
        <v>3504225</v>
      </c>
      <c r="I43" s="2479"/>
      <c r="K43" s="2579"/>
      <c r="L43" s="2646">
        <v>32</v>
      </c>
      <c r="M43" s="2527">
        <v>2663098</v>
      </c>
      <c r="N43" s="2594">
        <v>3157355</v>
      </c>
      <c r="O43" s="2507">
        <v>2572135</v>
      </c>
      <c r="P43" s="2507">
        <v>2577272</v>
      </c>
      <c r="Q43" s="2482"/>
      <c r="R43" s="2482"/>
      <c r="S43" s="2482"/>
      <c r="T43" s="2482"/>
      <c r="U43" s="2482"/>
      <c r="V43" s="2482"/>
      <c r="W43" s="2482"/>
      <c r="X43" s="2482"/>
      <c r="Y43" s="2482"/>
      <c r="Z43" s="2482"/>
      <c r="AA43" s="2482"/>
    </row>
    <row r="44" spans="1:27" ht="15.75" customHeight="1" x14ac:dyDescent="0.2">
      <c r="A44" s="2640" t="s">
        <v>6022</v>
      </c>
      <c r="B44" s="2502" t="s">
        <v>6573</v>
      </c>
      <c r="C44" s="2527">
        <f t="shared" si="7"/>
        <v>25167484</v>
      </c>
      <c r="D44" s="2527">
        <v>2856145</v>
      </c>
      <c r="E44" s="2527">
        <v>283538</v>
      </c>
      <c r="F44" s="2527">
        <v>0</v>
      </c>
      <c r="G44" s="2527">
        <v>0</v>
      </c>
      <c r="H44" s="2527">
        <f t="shared" si="8"/>
        <v>27740091</v>
      </c>
      <c r="I44" s="2479"/>
      <c r="K44" s="2579"/>
      <c r="L44" s="2646">
        <v>33</v>
      </c>
      <c r="M44" s="2527">
        <v>25167484</v>
      </c>
      <c r="N44" s="2594">
        <v>26488531</v>
      </c>
      <c r="O44" s="2507">
        <v>26317434</v>
      </c>
      <c r="P44" s="2507">
        <v>25037292</v>
      </c>
      <c r="Q44" s="2482"/>
      <c r="R44" s="2482"/>
      <c r="S44" s="2482"/>
      <c r="T44" s="2482"/>
      <c r="U44" s="2482"/>
      <c r="V44" s="2482"/>
      <c r="W44" s="2482"/>
      <c r="X44" s="2482"/>
      <c r="Y44" s="2482"/>
      <c r="Z44" s="2482"/>
      <c r="AA44" s="2482"/>
    </row>
    <row r="45" spans="1:27" ht="15.75" customHeight="1" x14ac:dyDescent="0.2">
      <c r="A45" s="2640" t="s">
        <v>6024</v>
      </c>
      <c r="B45" s="2502" t="s">
        <v>6574</v>
      </c>
      <c r="C45" s="2527">
        <f t="shared" si="7"/>
        <v>0</v>
      </c>
      <c r="D45" s="2527">
        <v>0</v>
      </c>
      <c r="E45" s="2527">
        <v>0</v>
      </c>
      <c r="F45" s="2527">
        <v>0</v>
      </c>
      <c r="G45" s="2527">
        <v>0</v>
      </c>
      <c r="H45" s="2527">
        <f t="shared" si="8"/>
        <v>0</v>
      </c>
      <c r="I45" s="2479"/>
      <c r="K45" s="2579"/>
      <c r="L45" s="2646">
        <v>34</v>
      </c>
      <c r="M45" s="2527">
        <v>0</v>
      </c>
      <c r="N45" s="2594">
        <v>0</v>
      </c>
      <c r="O45" s="2507">
        <v>0</v>
      </c>
      <c r="P45" s="2507">
        <v>0</v>
      </c>
      <c r="Q45" s="2482"/>
      <c r="R45" s="2482"/>
      <c r="S45" s="2482"/>
      <c r="T45" s="2482"/>
      <c r="U45" s="2482"/>
      <c r="V45" s="2482"/>
      <c r="W45" s="2482"/>
      <c r="X45" s="2482"/>
      <c r="Y45" s="2482"/>
      <c r="Z45" s="2482"/>
      <c r="AA45" s="2482"/>
    </row>
    <row r="46" spans="1:27" ht="15.75" customHeight="1" x14ac:dyDescent="0.2">
      <c r="A46" s="2640" t="s">
        <v>6026</v>
      </c>
      <c r="B46" s="2502" t="s">
        <v>6575</v>
      </c>
      <c r="C46" s="2645">
        <f t="shared" ref="C46:H46" si="9">SUM(C38:C45)</f>
        <v>1066763270</v>
      </c>
      <c r="D46" s="2645">
        <f t="shared" si="9"/>
        <v>15766169</v>
      </c>
      <c r="E46" s="2645">
        <f t="shared" si="9"/>
        <v>2515572</v>
      </c>
      <c r="F46" s="2645">
        <f t="shared" si="9"/>
        <v>0</v>
      </c>
      <c r="G46" s="2645">
        <f t="shared" si="9"/>
        <v>0</v>
      </c>
      <c r="H46" s="2645">
        <f t="shared" si="9"/>
        <v>1080013867</v>
      </c>
      <c r="I46" s="2479"/>
      <c r="K46" s="2579"/>
      <c r="L46" s="2646">
        <v>35</v>
      </c>
      <c r="M46" s="2645">
        <v>1066763270</v>
      </c>
      <c r="N46" s="2594">
        <v>1139484854</v>
      </c>
      <c r="O46" s="2507">
        <v>1124368993</v>
      </c>
      <c r="P46" s="2507">
        <v>1093715293</v>
      </c>
      <c r="Q46" s="2482"/>
      <c r="R46" s="2482"/>
      <c r="S46" s="2482"/>
      <c r="T46" s="2482"/>
      <c r="U46" s="2482"/>
      <c r="V46" s="2482"/>
      <c r="W46" s="2482"/>
      <c r="X46" s="2482"/>
      <c r="Y46" s="2482"/>
      <c r="Z46" s="2482"/>
      <c r="AA46" s="2482"/>
    </row>
    <row r="47" spans="1:27" ht="15.75" customHeight="1" x14ac:dyDescent="0.2">
      <c r="A47" s="2640" t="s">
        <v>6028</v>
      </c>
      <c r="B47" s="2512" t="s">
        <v>6576</v>
      </c>
      <c r="C47" s="2641"/>
      <c r="D47" s="2642"/>
      <c r="E47" s="2643"/>
      <c r="F47" s="2643"/>
      <c r="G47" s="2643"/>
      <c r="H47" s="2643"/>
      <c r="I47" s="2479"/>
      <c r="K47" s="2579"/>
      <c r="L47" s="2646">
        <v>36</v>
      </c>
      <c r="M47" s="2641"/>
      <c r="N47" s="2511"/>
      <c r="O47" s="2511"/>
      <c r="P47" s="2507">
        <v>0</v>
      </c>
      <c r="Q47" s="2482"/>
      <c r="R47" s="2482"/>
      <c r="S47" s="2482"/>
      <c r="T47" s="2482"/>
      <c r="U47" s="2482"/>
      <c r="V47" s="2482"/>
      <c r="W47" s="2482"/>
      <c r="X47" s="2482"/>
      <c r="Y47" s="2482"/>
      <c r="Z47" s="2482"/>
      <c r="AA47" s="2482"/>
    </row>
    <row r="48" spans="1:27" ht="15.75" customHeight="1" x14ac:dyDescent="0.2">
      <c r="A48" s="2640" t="s">
        <v>6030</v>
      </c>
      <c r="B48" s="2502" t="s">
        <v>6577</v>
      </c>
      <c r="C48" s="2527">
        <f t="shared" ref="C48:C56" si="10">SUMIF(A:A,A48,M:M)</f>
        <v>52866070</v>
      </c>
      <c r="D48" s="2527">
        <v>4047974</v>
      </c>
      <c r="E48" s="2527">
        <v>0</v>
      </c>
      <c r="F48" s="2527">
        <v>0</v>
      </c>
      <c r="G48" s="2527">
        <v>0</v>
      </c>
      <c r="H48" s="2527">
        <f t="shared" ref="H48:H56" si="11">SUM(C48:D48)-E48+SUM(F48:G48)</f>
        <v>56914044</v>
      </c>
      <c r="I48" s="2479"/>
      <c r="K48" s="2579"/>
      <c r="L48" s="2646">
        <v>37</v>
      </c>
      <c r="M48" s="2530">
        <v>52866070</v>
      </c>
      <c r="N48" s="2594">
        <v>52835471</v>
      </c>
      <c r="O48" s="2507">
        <v>52747960</v>
      </c>
      <c r="P48" s="2507">
        <v>50958845</v>
      </c>
      <c r="Q48" s="2482"/>
      <c r="R48" s="2482"/>
      <c r="S48" s="2482"/>
      <c r="T48" s="2482"/>
      <c r="U48" s="2482"/>
      <c r="V48" s="2482"/>
      <c r="W48" s="2482"/>
      <c r="X48" s="2482"/>
      <c r="Y48" s="2482"/>
      <c r="Z48" s="2482"/>
      <c r="AA48" s="2482"/>
    </row>
    <row r="49" spans="1:27" ht="15.75" customHeight="1" x14ac:dyDescent="0.2">
      <c r="A49" s="2640" t="s">
        <v>6032</v>
      </c>
      <c r="B49" s="2502" t="s">
        <v>6578</v>
      </c>
      <c r="C49" s="2527">
        <f t="shared" si="10"/>
        <v>276454764</v>
      </c>
      <c r="D49" s="2527">
        <v>3553888</v>
      </c>
      <c r="E49" s="2527">
        <v>6331</v>
      </c>
      <c r="F49" s="2527">
        <v>0</v>
      </c>
      <c r="G49" s="2527">
        <v>0</v>
      </c>
      <c r="H49" s="2527">
        <f t="shared" si="11"/>
        <v>280002321</v>
      </c>
      <c r="I49" s="2479"/>
      <c r="K49" s="2579"/>
      <c r="L49" s="2646">
        <v>38</v>
      </c>
      <c r="M49" s="2527">
        <v>276454764</v>
      </c>
      <c r="N49" s="2594">
        <v>274719174</v>
      </c>
      <c r="O49" s="2507">
        <v>268960711</v>
      </c>
      <c r="P49" s="2507">
        <v>231545463</v>
      </c>
      <c r="Q49" s="2482"/>
      <c r="R49" s="2482"/>
      <c r="S49" s="2482"/>
      <c r="T49" s="2482"/>
      <c r="U49" s="2482"/>
      <c r="V49" s="2482"/>
      <c r="W49" s="2482"/>
      <c r="X49" s="2482"/>
      <c r="Y49" s="2482"/>
      <c r="Z49" s="2482"/>
      <c r="AA49" s="2482"/>
    </row>
    <row r="50" spans="1:27" ht="15.75" customHeight="1" x14ac:dyDescent="0.2">
      <c r="A50" s="2640" t="s">
        <v>6034</v>
      </c>
      <c r="B50" s="2502" t="s">
        <v>6579</v>
      </c>
      <c r="C50" s="2527">
        <f t="shared" si="10"/>
        <v>16412329</v>
      </c>
      <c r="D50" s="2527">
        <v>27024</v>
      </c>
      <c r="E50" s="2527">
        <v>0</v>
      </c>
      <c r="F50" s="2527">
        <v>0</v>
      </c>
      <c r="G50" s="2527">
        <v>0</v>
      </c>
      <c r="H50" s="2527">
        <f t="shared" si="11"/>
        <v>16439353</v>
      </c>
      <c r="I50" s="2479"/>
      <c r="K50" s="2579"/>
      <c r="L50" s="2646">
        <v>39</v>
      </c>
      <c r="M50" s="2527">
        <v>16412329</v>
      </c>
      <c r="N50" s="2594">
        <v>16412329</v>
      </c>
      <c r="O50" s="2507">
        <v>16401063</v>
      </c>
      <c r="P50" s="2507">
        <v>16218012</v>
      </c>
      <c r="Q50" s="2482"/>
      <c r="R50" s="2482"/>
      <c r="S50" s="2482"/>
      <c r="T50" s="2482"/>
      <c r="U50" s="2482"/>
      <c r="V50" s="2482"/>
      <c r="W50" s="2482"/>
      <c r="X50" s="2482"/>
      <c r="Y50" s="2482"/>
      <c r="Z50" s="2482"/>
      <c r="AA50" s="2482"/>
    </row>
    <row r="51" spans="1:27" ht="15.75" customHeight="1" x14ac:dyDescent="0.2">
      <c r="A51" s="2640" t="s">
        <v>6036</v>
      </c>
      <c r="B51" s="2502" t="s">
        <v>6580</v>
      </c>
      <c r="C51" s="2527">
        <f t="shared" si="10"/>
        <v>4032385708</v>
      </c>
      <c r="D51" s="2527">
        <v>117322768</v>
      </c>
      <c r="E51" s="2527">
        <v>27999681</v>
      </c>
      <c r="F51" s="2527">
        <v>0</v>
      </c>
      <c r="G51" s="2527">
        <v>0</v>
      </c>
      <c r="H51" s="2527">
        <f t="shared" si="11"/>
        <v>4121708795</v>
      </c>
      <c r="I51" s="2479"/>
      <c r="K51" s="2579"/>
      <c r="L51" s="2646">
        <v>40</v>
      </c>
      <c r="M51" s="2527">
        <v>4032385708</v>
      </c>
      <c r="N51" s="2594">
        <v>4030276168</v>
      </c>
      <c r="O51" s="2507">
        <v>3388890852</v>
      </c>
      <c r="P51" s="2507">
        <v>2796951544</v>
      </c>
      <c r="Q51" s="2482"/>
      <c r="R51" s="2482"/>
      <c r="S51" s="2482"/>
      <c r="T51" s="2482"/>
      <c r="U51" s="2482"/>
      <c r="V51" s="2482"/>
      <c r="W51" s="2482"/>
      <c r="X51" s="2482"/>
      <c r="Y51" s="2482"/>
      <c r="Z51" s="2482"/>
      <c r="AA51" s="2482"/>
    </row>
    <row r="52" spans="1:27" ht="15.75" customHeight="1" x14ac:dyDescent="0.2">
      <c r="A52" s="2640" t="s">
        <v>6038</v>
      </c>
      <c r="B52" s="2502" t="s">
        <v>6581</v>
      </c>
      <c r="C52" s="2527">
        <f t="shared" si="10"/>
        <v>594982164</v>
      </c>
      <c r="D52" s="2527">
        <v>13881484</v>
      </c>
      <c r="E52" s="2527">
        <v>676418</v>
      </c>
      <c r="F52" s="2527">
        <v>0</v>
      </c>
      <c r="G52" s="2527">
        <v>0</v>
      </c>
      <c r="H52" s="2527">
        <f t="shared" si="11"/>
        <v>608187230</v>
      </c>
      <c r="I52" s="2479"/>
      <c r="K52" s="2579"/>
      <c r="L52" s="2646">
        <v>41</v>
      </c>
      <c r="M52" s="2527">
        <v>594982164</v>
      </c>
      <c r="N52" s="2594">
        <v>591723261</v>
      </c>
      <c r="O52" s="2507">
        <v>552922683</v>
      </c>
      <c r="P52" s="2507">
        <v>498116230</v>
      </c>
      <c r="Q52" s="2482"/>
      <c r="R52" s="2482"/>
      <c r="S52" s="2482"/>
      <c r="T52" s="2482"/>
      <c r="U52" s="2482"/>
      <c r="V52" s="2482"/>
      <c r="W52" s="2482"/>
      <c r="X52" s="2482"/>
      <c r="Y52" s="2482"/>
      <c r="Z52" s="2482"/>
      <c r="AA52" s="2482"/>
    </row>
    <row r="53" spans="1:27" ht="15.75" customHeight="1" x14ac:dyDescent="0.2">
      <c r="A53" s="2640" t="s">
        <v>6040</v>
      </c>
      <c r="B53" s="2502" t="s">
        <v>6582</v>
      </c>
      <c r="C53" s="2527">
        <f t="shared" si="10"/>
        <v>463165933</v>
      </c>
      <c r="D53" s="2527">
        <v>4413122</v>
      </c>
      <c r="E53" s="2527">
        <v>165432</v>
      </c>
      <c r="F53" s="2527">
        <v>0</v>
      </c>
      <c r="G53" s="2527">
        <v>0</v>
      </c>
      <c r="H53" s="2527">
        <f t="shared" si="11"/>
        <v>467413623</v>
      </c>
      <c r="I53" s="2479"/>
      <c r="K53" s="2579"/>
      <c r="L53" s="2646">
        <v>42</v>
      </c>
      <c r="M53" s="2527">
        <v>463165933</v>
      </c>
      <c r="N53" s="2594">
        <v>456676770</v>
      </c>
      <c r="O53" s="2507">
        <v>402779576</v>
      </c>
      <c r="P53" s="2507">
        <v>325115884</v>
      </c>
      <c r="Q53" s="2482"/>
      <c r="R53" s="2482"/>
      <c r="S53" s="2482"/>
      <c r="T53" s="2482"/>
      <c r="U53" s="2482"/>
      <c r="V53" s="2482"/>
      <c r="W53" s="2482"/>
      <c r="X53" s="2482"/>
      <c r="Y53" s="2482"/>
      <c r="Z53" s="2482"/>
      <c r="AA53" s="2482"/>
    </row>
    <row r="54" spans="1:27" ht="15.75" customHeight="1" x14ac:dyDescent="0.2">
      <c r="A54" s="2640" t="s">
        <v>6042</v>
      </c>
      <c r="B54" s="2502" t="s">
        <v>6583</v>
      </c>
      <c r="C54" s="2527">
        <f t="shared" si="10"/>
        <v>24864159</v>
      </c>
      <c r="D54" s="2527">
        <v>1013590</v>
      </c>
      <c r="E54" s="2527">
        <v>-11911</v>
      </c>
      <c r="F54" s="2527">
        <v>0</v>
      </c>
      <c r="G54" s="2527">
        <v>0</v>
      </c>
      <c r="H54" s="2527">
        <f t="shared" si="11"/>
        <v>25889660</v>
      </c>
      <c r="I54" s="2479"/>
      <c r="K54" s="2579"/>
      <c r="L54" s="2646">
        <v>43</v>
      </c>
      <c r="M54" s="2527">
        <v>24864159</v>
      </c>
      <c r="N54" s="2594">
        <v>25083248</v>
      </c>
      <c r="O54" s="2507">
        <v>22571639</v>
      </c>
      <c r="P54" s="2507">
        <v>16130916</v>
      </c>
      <c r="Q54" s="2482"/>
      <c r="R54" s="2482"/>
      <c r="S54" s="2482"/>
      <c r="T54" s="2482"/>
      <c r="U54" s="2482"/>
      <c r="V54" s="2482"/>
      <c r="W54" s="2482"/>
      <c r="X54" s="2482"/>
      <c r="Y54" s="2482"/>
      <c r="Z54" s="2482"/>
      <c r="AA54" s="2482"/>
    </row>
    <row r="55" spans="1:27" ht="15.75" customHeight="1" x14ac:dyDescent="0.2">
      <c r="A55" s="2640" t="s">
        <v>6044</v>
      </c>
      <c r="B55" s="2502" t="s">
        <v>6584</v>
      </c>
      <c r="C55" s="2527">
        <f t="shared" si="10"/>
        <v>47923299</v>
      </c>
      <c r="D55" s="2527">
        <v>3765653</v>
      </c>
      <c r="E55" s="2527">
        <v>0</v>
      </c>
      <c r="F55" s="2527">
        <v>-379897</v>
      </c>
      <c r="G55" s="2527">
        <v>0</v>
      </c>
      <c r="H55" s="2527">
        <f t="shared" si="11"/>
        <v>51309055</v>
      </c>
      <c r="I55" s="2479"/>
      <c r="K55" s="2579"/>
      <c r="L55" s="2646">
        <v>44</v>
      </c>
      <c r="M55" s="2527">
        <v>47923299</v>
      </c>
      <c r="N55" s="2594">
        <v>47502786</v>
      </c>
      <c r="O55" s="2507">
        <v>48665167</v>
      </c>
      <c r="P55" s="2507">
        <v>19096402</v>
      </c>
      <c r="Q55" s="2482"/>
      <c r="R55" s="2482"/>
      <c r="S55" s="2482"/>
      <c r="T55" s="2482"/>
      <c r="U55" s="2482"/>
      <c r="V55" s="2482"/>
      <c r="W55" s="2482"/>
      <c r="X55" s="2482"/>
      <c r="Y55" s="2482"/>
      <c r="Z55" s="2482"/>
      <c r="AA55" s="2482"/>
    </row>
    <row r="56" spans="1:27" ht="15.75" customHeight="1" x14ac:dyDescent="0.2">
      <c r="A56" s="2650" t="s">
        <v>6585</v>
      </c>
      <c r="B56" s="2502" t="s">
        <v>6586</v>
      </c>
      <c r="C56" s="2527">
        <f t="shared" si="10"/>
        <v>0</v>
      </c>
      <c r="D56" s="2527">
        <v>0</v>
      </c>
      <c r="E56" s="2527">
        <v>0</v>
      </c>
      <c r="F56" s="2527">
        <v>0</v>
      </c>
      <c r="G56" s="2527">
        <v>0</v>
      </c>
      <c r="H56" s="2527">
        <f t="shared" si="11"/>
        <v>0</v>
      </c>
      <c r="I56" s="2479"/>
      <c r="K56" s="2579"/>
      <c r="L56" s="2651">
        <v>44.1</v>
      </c>
      <c r="M56" s="2527">
        <v>0</v>
      </c>
      <c r="N56" s="2594">
        <v>0</v>
      </c>
      <c r="O56" s="2511"/>
      <c r="P56" s="2507">
        <v>0</v>
      </c>
      <c r="Q56" s="2482"/>
      <c r="R56" s="2482"/>
      <c r="S56" s="2482"/>
      <c r="T56" s="2482"/>
      <c r="U56" s="2482"/>
      <c r="V56" s="2482"/>
      <c r="W56" s="2482"/>
      <c r="X56" s="2482"/>
      <c r="Y56" s="2482"/>
      <c r="Z56" s="2482"/>
      <c r="AA56" s="2482"/>
    </row>
    <row r="57" spans="1:27" ht="15.75" customHeight="1" x14ac:dyDescent="0.2">
      <c r="A57" s="2640" t="s">
        <v>6046</v>
      </c>
      <c r="B57" s="2502" t="s">
        <v>6587</v>
      </c>
      <c r="C57" s="2645">
        <f t="shared" ref="C57:H57" si="12">SUM(C48:C56)</f>
        <v>5509054426</v>
      </c>
      <c r="D57" s="2645">
        <f t="shared" si="12"/>
        <v>148025503</v>
      </c>
      <c r="E57" s="2645">
        <f t="shared" si="12"/>
        <v>28835951</v>
      </c>
      <c r="F57" s="2645">
        <f t="shared" si="12"/>
        <v>-379897</v>
      </c>
      <c r="G57" s="2645">
        <f t="shared" si="12"/>
        <v>0</v>
      </c>
      <c r="H57" s="2645">
        <f t="shared" si="12"/>
        <v>5627864081</v>
      </c>
      <c r="I57" s="2479"/>
      <c r="K57" s="2579"/>
      <c r="L57" s="2646">
        <v>45</v>
      </c>
      <c r="M57" s="2645">
        <v>5509054426</v>
      </c>
      <c r="N57" s="2594">
        <v>5495229207</v>
      </c>
      <c r="O57" s="2507">
        <v>4753939651</v>
      </c>
      <c r="P57" s="2507">
        <v>3954133296</v>
      </c>
      <c r="Q57" s="2482"/>
      <c r="R57" s="2482"/>
      <c r="S57" s="2482"/>
      <c r="T57" s="2482"/>
      <c r="U57" s="2482"/>
      <c r="V57" s="2482"/>
      <c r="W57" s="2482"/>
      <c r="X57" s="2482"/>
      <c r="Y57" s="2482"/>
      <c r="Z57" s="2482"/>
      <c r="AA57" s="2482"/>
    </row>
    <row r="58" spans="1:27" ht="15.75" customHeight="1" x14ac:dyDescent="0.2">
      <c r="A58" s="2640" t="s">
        <v>6048</v>
      </c>
      <c r="B58" s="2502" t="s">
        <v>6588</v>
      </c>
      <c r="C58" s="2531">
        <f t="shared" ref="C58:H58" si="13">C27+C36+C46+C57</f>
        <v>13733092191</v>
      </c>
      <c r="D58" s="2645">
        <f t="shared" si="13"/>
        <v>341936392</v>
      </c>
      <c r="E58" s="2645">
        <f t="shared" si="13"/>
        <v>153088683</v>
      </c>
      <c r="F58" s="2645">
        <f t="shared" si="13"/>
        <v>-10088272</v>
      </c>
      <c r="G58" s="2645">
        <f t="shared" si="13"/>
        <v>0</v>
      </c>
      <c r="H58" s="2531">
        <f t="shared" si="13"/>
        <v>13911851628</v>
      </c>
      <c r="I58" s="2479"/>
      <c r="K58" s="2579"/>
      <c r="L58" s="2646">
        <v>46</v>
      </c>
      <c r="M58" s="2531">
        <v>13733092191</v>
      </c>
      <c r="N58" s="2594">
        <v>13686739920</v>
      </c>
      <c r="O58" s="2507">
        <v>12857740883</v>
      </c>
      <c r="P58" s="2507">
        <v>12549079424</v>
      </c>
      <c r="Q58" s="2482"/>
      <c r="R58" s="2482"/>
      <c r="S58" s="2482"/>
      <c r="T58" s="2482"/>
      <c r="U58" s="2482"/>
      <c r="V58" s="2482"/>
      <c r="W58" s="2482"/>
      <c r="X58" s="2482"/>
      <c r="Y58" s="2482"/>
      <c r="Z58" s="2482"/>
      <c r="AA58" s="2482"/>
    </row>
    <row r="59" spans="1:27" ht="15.75" customHeight="1" x14ac:dyDescent="0.2">
      <c r="A59" s="2640" t="s">
        <v>6050</v>
      </c>
      <c r="B59" s="2512" t="s">
        <v>6589</v>
      </c>
      <c r="C59" s="2641"/>
      <c r="D59" s="2642"/>
      <c r="E59" s="2652"/>
      <c r="F59" s="2652"/>
      <c r="G59" s="2652"/>
      <c r="H59" s="2652"/>
      <c r="I59" s="2479"/>
      <c r="K59" s="2579"/>
      <c r="L59" s="2593" t="s">
        <v>6050</v>
      </c>
      <c r="M59" s="2641"/>
      <c r="N59" s="2511"/>
      <c r="O59" s="2511"/>
      <c r="P59" s="2511"/>
      <c r="Q59" s="2482"/>
      <c r="R59" s="2482"/>
      <c r="S59" s="2482"/>
      <c r="T59" s="2482"/>
      <c r="U59" s="2482"/>
      <c r="V59" s="2482"/>
      <c r="W59" s="2482"/>
      <c r="X59" s="2482"/>
      <c r="Y59" s="2482"/>
      <c r="Z59" s="2482"/>
      <c r="AA59" s="2482"/>
    </row>
    <row r="60" spans="1:27" ht="15.75" customHeight="1" x14ac:dyDescent="0.2">
      <c r="A60" s="2640" t="s">
        <v>6052</v>
      </c>
      <c r="B60" s="2502" t="s">
        <v>6590</v>
      </c>
      <c r="C60" s="2527">
        <f t="shared" ref="C60:C70" si="14">SUMIF(A:A,A60,M:M)</f>
        <v>348935285</v>
      </c>
      <c r="D60" s="2527">
        <v>2384696</v>
      </c>
      <c r="E60" s="2527">
        <v>1098301</v>
      </c>
      <c r="F60" s="2527">
        <v>0</v>
      </c>
      <c r="G60" s="2527">
        <v>0</v>
      </c>
      <c r="H60" s="2527">
        <f t="shared" ref="H60:H70" si="15">SUM(C60:D60)-E60+SUM(F60:G60)</f>
        <v>350221680</v>
      </c>
      <c r="I60" s="2479"/>
      <c r="K60" s="2579"/>
      <c r="L60" s="2593" t="s">
        <v>6591</v>
      </c>
      <c r="M60" s="2527">
        <v>348935285</v>
      </c>
      <c r="N60" s="2594">
        <v>336993434</v>
      </c>
      <c r="O60" s="2507">
        <v>316648705</v>
      </c>
      <c r="P60" s="2507">
        <v>281363904</v>
      </c>
      <c r="Q60" s="2482"/>
      <c r="R60" s="2482"/>
      <c r="S60" s="2482"/>
      <c r="T60" s="2482"/>
      <c r="U60" s="2482"/>
      <c r="V60" s="2482"/>
      <c r="W60" s="2482"/>
      <c r="X60" s="2482"/>
      <c r="Y60" s="2482"/>
      <c r="Z60" s="2482"/>
      <c r="AA60" s="2482"/>
    </row>
    <row r="61" spans="1:27" ht="15.75" customHeight="1" x14ac:dyDescent="0.2">
      <c r="A61" s="2653" t="s">
        <v>6591</v>
      </c>
      <c r="B61" s="2502" t="s">
        <v>6592</v>
      </c>
      <c r="C61" s="2527">
        <f t="shared" si="14"/>
        <v>0</v>
      </c>
      <c r="D61" s="2654">
        <v>0</v>
      </c>
      <c r="E61" s="2654">
        <v>0</v>
      </c>
      <c r="F61" s="2654">
        <v>0</v>
      </c>
      <c r="G61" s="2654">
        <v>0</v>
      </c>
      <c r="H61" s="2527">
        <f t="shared" si="15"/>
        <v>0</v>
      </c>
      <c r="I61" s="2479"/>
      <c r="K61" s="2579"/>
      <c r="L61" s="2593" t="s">
        <v>6054</v>
      </c>
      <c r="M61" s="2527">
        <v>0</v>
      </c>
      <c r="N61" s="2594">
        <v>0</v>
      </c>
      <c r="O61" s="2507">
        <v>0</v>
      </c>
      <c r="P61" s="2507">
        <v>0</v>
      </c>
      <c r="Q61" s="2482"/>
      <c r="R61" s="2482"/>
      <c r="S61" s="2482"/>
      <c r="T61" s="2482"/>
      <c r="U61" s="2482"/>
      <c r="V61" s="2482"/>
      <c r="W61" s="2482"/>
      <c r="X61" s="2482"/>
      <c r="Y61" s="2482"/>
      <c r="Z61" s="2482"/>
      <c r="AA61" s="2482"/>
    </row>
    <row r="62" spans="1:27" ht="15.75" customHeight="1" x14ac:dyDescent="0.2">
      <c r="A62" s="2640" t="s">
        <v>6054</v>
      </c>
      <c r="B62" s="2502" t="s">
        <v>6593</v>
      </c>
      <c r="C62" s="2527">
        <f t="shared" si="14"/>
        <v>383301808</v>
      </c>
      <c r="D62" s="2527">
        <v>5258745</v>
      </c>
      <c r="E62" s="2527">
        <v>96022</v>
      </c>
      <c r="F62" s="2527">
        <v>0</v>
      </c>
      <c r="G62" s="2527">
        <v>10425</v>
      </c>
      <c r="H62" s="2527">
        <f t="shared" si="15"/>
        <v>388474956</v>
      </c>
      <c r="I62" s="2479"/>
      <c r="K62" s="2579"/>
      <c r="L62" s="2593" t="s">
        <v>6056</v>
      </c>
      <c r="M62" s="2527">
        <v>383301808</v>
      </c>
      <c r="N62" s="2594">
        <v>357271647</v>
      </c>
      <c r="O62" s="2507">
        <v>307051390</v>
      </c>
      <c r="P62" s="2507">
        <v>283787044</v>
      </c>
      <c r="Q62" s="2482"/>
      <c r="R62" s="2482"/>
      <c r="S62" s="2482"/>
      <c r="T62" s="2482"/>
      <c r="U62" s="2482"/>
      <c r="V62" s="2482"/>
      <c r="W62" s="2482"/>
      <c r="X62" s="2482"/>
      <c r="Y62" s="2482"/>
      <c r="Z62" s="2482"/>
      <c r="AA62" s="2482"/>
    </row>
    <row r="63" spans="1:27" ht="15.75" customHeight="1" x14ac:dyDescent="0.2">
      <c r="A63" s="2640" t="s">
        <v>6056</v>
      </c>
      <c r="B63" s="2502" t="s">
        <v>6594</v>
      </c>
      <c r="C63" s="2527">
        <f t="shared" si="14"/>
        <v>2766928999</v>
      </c>
      <c r="D63" s="2527">
        <v>68513129</v>
      </c>
      <c r="E63" s="2527">
        <v>9813652</v>
      </c>
      <c r="F63" s="2527">
        <v>0</v>
      </c>
      <c r="G63" s="2527">
        <v>59144</v>
      </c>
      <c r="H63" s="2527">
        <f t="shared" si="15"/>
        <v>2825687620</v>
      </c>
      <c r="I63" s="2479"/>
      <c r="K63" s="2579"/>
      <c r="L63" s="2593" t="s">
        <v>6059</v>
      </c>
      <c r="M63" s="2527">
        <v>2766928999</v>
      </c>
      <c r="N63" s="2594">
        <v>2750324187</v>
      </c>
      <c r="O63" s="2507">
        <v>2692741773</v>
      </c>
      <c r="P63" s="2507">
        <v>2279276707</v>
      </c>
      <c r="Q63" s="2482"/>
      <c r="R63" s="2482"/>
      <c r="S63" s="2482"/>
      <c r="T63" s="2482"/>
      <c r="U63" s="2482"/>
      <c r="V63" s="2482"/>
      <c r="W63" s="2482"/>
      <c r="X63" s="2482"/>
      <c r="Y63" s="2482"/>
      <c r="Z63" s="2482"/>
      <c r="AA63" s="2482"/>
    </row>
    <row r="64" spans="1:27" ht="15.75" customHeight="1" x14ac:dyDescent="0.2">
      <c r="A64" s="2640" t="s">
        <v>6059</v>
      </c>
      <c r="B64" s="2502" t="s">
        <v>6595</v>
      </c>
      <c r="C64" s="2527">
        <f t="shared" si="14"/>
        <v>1529201487</v>
      </c>
      <c r="D64" s="2527">
        <v>24269114</v>
      </c>
      <c r="E64" s="2527">
        <v>2341983</v>
      </c>
      <c r="F64" s="2527">
        <v>0</v>
      </c>
      <c r="G64" s="2527">
        <v>0</v>
      </c>
      <c r="H64" s="2527">
        <f t="shared" si="15"/>
        <v>1551128618</v>
      </c>
      <c r="I64" s="2479"/>
      <c r="K64" s="2579"/>
      <c r="L64" s="2593" t="s">
        <v>6061</v>
      </c>
      <c r="M64" s="2527">
        <v>1529201487</v>
      </c>
      <c r="N64" s="2594">
        <v>1517407609</v>
      </c>
      <c r="O64" s="2507">
        <v>1342612357</v>
      </c>
      <c r="P64" s="2507">
        <v>1307439631</v>
      </c>
      <c r="Q64" s="2482"/>
      <c r="R64" s="2482"/>
      <c r="S64" s="2482"/>
      <c r="T64" s="2482"/>
      <c r="U64" s="2482"/>
      <c r="V64" s="2482"/>
      <c r="W64" s="2482"/>
      <c r="X64" s="2482"/>
      <c r="Y64" s="2482"/>
      <c r="Z64" s="2482"/>
      <c r="AA64" s="2482"/>
    </row>
    <row r="65" spans="1:27" ht="15.75" customHeight="1" x14ac:dyDescent="0.2">
      <c r="A65" s="2640" t="s">
        <v>6061</v>
      </c>
      <c r="B65" s="2502" t="s">
        <v>6596</v>
      </c>
      <c r="C65" s="2527">
        <f t="shared" si="14"/>
        <v>1298654510</v>
      </c>
      <c r="D65" s="2530">
        <v>49537594</v>
      </c>
      <c r="E65" s="2527">
        <v>7745816</v>
      </c>
      <c r="F65" s="2527">
        <v>0</v>
      </c>
      <c r="G65" s="2527">
        <v>177543</v>
      </c>
      <c r="H65" s="2527">
        <f t="shared" si="15"/>
        <v>1340623831</v>
      </c>
      <c r="I65" s="2479"/>
      <c r="K65" s="2579"/>
      <c r="L65" s="2593" t="s">
        <v>6063</v>
      </c>
      <c r="M65" s="2527">
        <v>1298654510</v>
      </c>
      <c r="N65" s="2594">
        <v>1250621690</v>
      </c>
      <c r="O65" s="2507">
        <v>1334393967</v>
      </c>
      <c r="P65" s="2507">
        <v>1015701010</v>
      </c>
      <c r="Q65" s="2482"/>
      <c r="R65" s="2482"/>
      <c r="S65" s="2482"/>
      <c r="T65" s="2482"/>
      <c r="U65" s="2482"/>
      <c r="V65" s="2482"/>
      <c r="W65" s="2482"/>
      <c r="X65" s="2482"/>
      <c r="Y65" s="2482"/>
      <c r="Z65" s="2482"/>
      <c r="AA65" s="2482"/>
    </row>
    <row r="66" spans="1:27" ht="15.75" customHeight="1" x14ac:dyDescent="0.2">
      <c r="A66" s="2640" t="s">
        <v>6063</v>
      </c>
      <c r="B66" s="2502" t="s">
        <v>6597</v>
      </c>
      <c r="C66" s="2527">
        <f t="shared" si="14"/>
        <v>1694195111</v>
      </c>
      <c r="D66" s="2527">
        <v>42605063</v>
      </c>
      <c r="E66" s="2527">
        <v>6427721</v>
      </c>
      <c r="F66" s="2527">
        <v>0</v>
      </c>
      <c r="G66" s="2527">
        <v>-173428</v>
      </c>
      <c r="H66" s="2527">
        <f t="shared" si="15"/>
        <v>1730199025</v>
      </c>
      <c r="I66" s="2479"/>
      <c r="K66" s="2579"/>
      <c r="L66" s="2593" t="s">
        <v>6065</v>
      </c>
      <c r="M66" s="2527">
        <v>1694195111</v>
      </c>
      <c r="N66" s="2594">
        <v>1652324459</v>
      </c>
      <c r="O66" s="2507">
        <v>1609180590</v>
      </c>
      <c r="P66" s="2507">
        <v>1287027290</v>
      </c>
      <c r="Q66" s="2482"/>
      <c r="R66" s="2482"/>
      <c r="S66" s="2482"/>
      <c r="T66" s="2482"/>
      <c r="U66" s="2482"/>
      <c r="V66" s="2482"/>
      <c r="W66" s="2482"/>
      <c r="X66" s="2482"/>
      <c r="Y66" s="2482"/>
      <c r="Z66" s="2482"/>
      <c r="AA66" s="2482"/>
    </row>
    <row r="67" spans="1:27" ht="15.75" customHeight="1" x14ac:dyDescent="0.2">
      <c r="A67" s="2640" t="s">
        <v>6065</v>
      </c>
      <c r="B67" s="2502" t="s">
        <v>6598</v>
      </c>
      <c r="C67" s="2527">
        <f t="shared" si="14"/>
        <v>3868617</v>
      </c>
      <c r="D67" s="2527">
        <v>42061</v>
      </c>
      <c r="E67" s="2527">
        <v>25928</v>
      </c>
      <c r="F67" s="2527">
        <v>0</v>
      </c>
      <c r="G67" s="2527">
        <v>0</v>
      </c>
      <c r="H67" s="2527">
        <f t="shared" si="15"/>
        <v>3884750</v>
      </c>
      <c r="I67" s="2479"/>
      <c r="K67" s="2579"/>
      <c r="L67" s="2593" t="s">
        <v>6067</v>
      </c>
      <c r="M67" s="2527">
        <v>3868617</v>
      </c>
      <c r="N67" s="2594">
        <v>3857985</v>
      </c>
      <c r="O67" s="2507">
        <v>3857237</v>
      </c>
      <c r="P67" s="2507">
        <v>3848826</v>
      </c>
      <c r="Q67" s="2482"/>
      <c r="R67" s="2482"/>
      <c r="S67" s="2482"/>
      <c r="T67" s="2482"/>
      <c r="U67" s="2482"/>
      <c r="V67" s="2482"/>
      <c r="W67" s="2482"/>
      <c r="X67" s="2482"/>
      <c r="Y67" s="2482"/>
      <c r="Z67" s="2482"/>
      <c r="AA67" s="2482"/>
    </row>
    <row r="68" spans="1:27" ht="15.75" customHeight="1" x14ac:dyDescent="0.2">
      <c r="A68" s="2640" t="s">
        <v>6067</v>
      </c>
      <c r="B68" s="2502" t="s">
        <v>6599</v>
      </c>
      <c r="C68" s="2527">
        <f t="shared" si="14"/>
        <v>9080617</v>
      </c>
      <c r="D68" s="2527">
        <v>3007</v>
      </c>
      <c r="E68" s="2527">
        <v>0</v>
      </c>
      <c r="F68" s="2527">
        <v>0</v>
      </c>
      <c r="G68" s="2527">
        <v>0</v>
      </c>
      <c r="H68" s="2527">
        <f t="shared" si="15"/>
        <v>9083624</v>
      </c>
      <c r="I68" s="2479"/>
      <c r="K68" s="2579"/>
      <c r="L68" s="2593" t="s">
        <v>6069</v>
      </c>
      <c r="M68" s="2527">
        <v>9080617</v>
      </c>
      <c r="N68" s="2594">
        <v>9080617</v>
      </c>
      <c r="O68" s="2507">
        <v>9080617</v>
      </c>
      <c r="P68" s="2507">
        <v>8238468</v>
      </c>
      <c r="Q68" s="2482"/>
      <c r="R68" s="2482"/>
      <c r="S68" s="2482"/>
      <c r="T68" s="2482"/>
      <c r="U68" s="2482"/>
      <c r="V68" s="2482"/>
      <c r="W68" s="2482"/>
      <c r="X68" s="2482"/>
      <c r="Y68" s="2482"/>
      <c r="Z68" s="2482"/>
      <c r="AA68" s="2482"/>
    </row>
    <row r="69" spans="1:27" ht="15.75" customHeight="1" x14ac:dyDescent="0.2">
      <c r="A69" s="2640" t="s">
        <v>6069</v>
      </c>
      <c r="B69" s="2502" t="s">
        <v>6600</v>
      </c>
      <c r="C69" s="2527">
        <f t="shared" si="14"/>
        <v>12141468</v>
      </c>
      <c r="D69" s="2527">
        <v>0</v>
      </c>
      <c r="E69" s="2527">
        <v>0</v>
      </c>
      <c r="F69" s="2527">
        <v>0</v>
      </c>
      <c r="G69" s="2527">
        <v>0</v>
      </c>
      <c r="H69" s="2527">
        <f t="shared" si="15"/>
        <v>12141468</v>
      </c>
      <c r="I69" s="2479"/>
      <c r="K69" s="2579"/>
      <c r="L69" s="2593" t="s">
        <v>6071</v>
      </c>
      <c r="M69" s="2527">
        <v>12141468</v>
      </c>
      <c r="N69" s="2594">
        <v>12141468</v>
      </c>
      <c r="O69" s="2507">
        <v>12146013</v>
      </c>
      <c r="P69" s="2507">
        <v>11937200</v>
      </c>
      <c r="Q69" s="2482"/>
      <c r="R69" s="2482"/>
      <c r="S69" s="2482"/>
      <c r="T69" s="2482"/>
      <c r="U69" s="2482"/>
      <c r="V69" s="2482"/>
      <c r="W69" s="2482"/>
      <c r="X69" s="2482"/>
      <c r="Y69" s="2482"/>
      <c r="Z69" s="2482"/>
      <c r="AA69" s="2482"/>
    </row>
    <row r="70" spans="1:27" ht="15.75" customHeight="1" x14ac:dyDescent="0.2">
      <c r="A70" s="2640" t="s">
        <v>6071</v>
      </c>
      <c r="B70" s="2502" t="s">
        <v>6601</v>
      </c>
      <c r="C70" s="2527">
        <f t="shared" si="14"/>
        <v>2528190</v>
      </c>
      <c r="D70" s="2527">
        <v>125527</v>
      </c>
      <c r="E70" s="2527">
        <v>0</v>
      </c>
      <c r="F70" s="2527">
        <v>-259905</v>
      </c>
      <c r="G70" s="2527">
        <v>0</v>
      </c>
      <c r="H70" s="2527">
        <f t="shared" si="15"/>
        <v>2393812</v>
      </c>
      <c r="I70" s="2479"/>
      <c r="K70" s="2579"/>
      <c r="L70" s="2593" t="s">
        <v>6073</v>
      </c>
      <c r="M70" s="2527">
        <v>2528190</v>
      </c>
      <c r="N70" s="2594">
        <v>2528190</v>
      </c>
      <c r="O70" s="2507">
        <v>2528190</v>
      </c>
      <c r="P70" s="2507">
        <v>0</v>
      </c>
      <c r="Q70" s="2482"/>
      <c r="R70" s="2482"/>
      <c r="S70" s="2482"/>
      <c r="T70" s="2482"/>
      <c r="U70" s="2482"/>
      <c r="V70" s="2482"/>
      <c r="W70" s="2482"/>
      <c r="X70" s="2482"/>
      <c r="Y70" s="2482"/>
      <c r="Z70" s="2482"/>
      <c r="AA70" s="2482"/>
    </row>
    <row r="71" spans="1:27" ht="15.75" customHeight="1" x14ac:dyDescent="0.2">
      <c r="A71" s="2640" t="s">
        <v>6073</v>
      </c>
      <c r="B71" s="2502" t="s">
        <v>6602</v>
      </c>
      <c r="C71" s="2531">
        <f t="shared" ref="C71:H71" si="16">SUM(C60:C70)</f>
        <v>8048836092</v>
      </c>
      <c r="D71" s="2645">
        <f t="shared" si="16"/>
        <v>192738936</v>
      </c>
      <c r="E71" s="2645">
        <f t="shared" si="16"/>
        <v>27549423</v>
      </c>
      <c r="F71" s="2645">
        <f t="shared" si="16"/>
        <v>-259905</v>
      </c>
      <c r="G71" s="2645">
        <f t="shared" si="16"/>
        <v>73684</v>
      </c>
      <c r="H71" s="2531">
        <f t="shared" si="16"/>
        <v>8213839384</v>
      </c>
      <c r="I71" s="2479"/>
      <c r="K71" s="2579"/>
      <c r="L71" s="2593" t="s">
        <v>6075</v>
      </c>
      <c r="M71" s="2531">
        <v>8048836092</v>
      </c>
      <c r="N71" s="2594">
        <v>7892551286</v>
      </c>
      <c r="O71" s="2507">
        <v>7630240839</v>
      </c>
      <c r="P71" s="2507">
        <v>6478620080</v>
      </c>
      <c r="Q71" s="2482"/>
      <c r="R71" s="2482"/>
      <c r="S71" s="2482"/>
      <c r="T71" s="2482"/>
      <c r="U71" s="2482"/>
      <c r="V71" s="2482"/>
      <c r="W71" s="2482"/>
      <c r="X71" s="2482"/>
      <c r="Y71" s="2482"/>
      <c r="Z71" s="2482"/>
      <c r="AA71" s="2482"/>
    </row>
    <row r="72" spans="1:27" ht="15.75" customHeight="1" x14ac:dyDescent="0.2">
      <c r="A72" s="2640" t="s">
        <v>6075</v>
      </c>
      <c r="B72" s="2512" t="s">
        <v>6603</v>
      </c>
      <c r="C72" s="2641"/>
      <c r="D72" s="2642"/>
      <c r="E72" s="2652"/>
      <c r="F72" s="2652"/>
      <c r="G72" s="2652"/>
      <c r="H72" s="2655"/>
      <c r="I72" s="2479"/>
      <c r="K72" s="2579"/>
      <c r="L72" s="2593" t="s">
        <v>6077</v>
      </c>
      <c r="M72" s="2641"/>
      <c r="N72" s="2511"/>
      <c r="O72" s="2511"/>
      <c r="P72" s="2511"/>
      <c r="Q72" s="2482"/>
      <c r="R72" s="2482"/>
      <c r="S72" s="2482"/>
      <c r="T72" s="2482"/>
      <c r="U72" s="2482"/>
      <c r="V72" s="2482"/>
      <c r="W72" s="2482"/>
      <c r="X72" s="2482"/>
      <c r="Y72" s="2482"/>
      <c r="Z72" s="2482"/>
      <c r="AA72" s="2482"/>
    </row>
    <row r="73" spans="1:27" ht="15.75" customHeight="1" x14ac:dyDescent="0.2">
      <c r="A73" s="2640" t="s">
        <v>6077</v>
      </c>
      <c r="B73" s="2502" t="s">
        <v>6604</v>
      </c>
      <c r="C73" s="2527">
        <f t="shared" ref="C73:C87" si="17">SUMIF(A:A,A73,M:M)</f>
        <v>78571918</v>
      </c>
      <c r="D73" s="2527">
        <v>3238570</v>
      </c>
      <c r="E73" s="2527">
        <v>-12590</v>
      </c>
      <c r="F73" s="2527">
        <v>0</v>
      </c>
      <c r="G73" s="2527">
        <v>13946</v>
      </c>
      <c r="H73" s="2527">
        <f t="shared" ref="H73:H87" si="18">SUM(C73:D73)-E73+SUM(F73:G73)</f>
        <v>81837024</v>
      </c>
      <c r="I73" s="2479"/>
      <c r="K73" s="2579"/>
      <c r="L73" s="2593" t="s">
        <v>6079</v>
      </c>
      <c r="M73" s="2527">
        <v>78571918</v>
      </c>
      <c r="N73" s="2594">
        <v>76017898</v>
      </c>
      <c r="O73" s="2507">
        <v>68539032</v>
      </c>
      <c r="P73" s="2507">
        <v>65329981</v>
      </c>
      <c r="Q73" s="2482"/>
      <c r="R73" s="2482"/>
      <c r="S73" s="2482"/>
      <c r="T73" s="2482"/>
      <c r="U73" s="2482"/>
      <c r="V73" s="2482"/>
      <c r="W73" s="2482"/>
      <c r="X73" s="2482"/>
      <c r="Y73" s="2482"/>
      <c r="Z73" s="2482"/>
      <c r="AA73" s="2482"/>
    </row>
    <row r="74" spans="1:27" ht="15.75" customHeight="1" x14ac:dyDescent="0.2">
      <c r="A74" s="2640" t="s">
        <v>6079</v>
      </c>
      <c r="B74" s="2502" t="s">
        <v>6605</v>
      </c>
      <c r="C74" s="2527">
        <f t="shared" si="17"/>
        <v>146224254</v>
      </c>
      <c r="D74" s="2527">
        <v>6984531</v>
      </c>
      <c r="E74" s="2527">
        <v>59656</v>
      </c>
      <c r="F74" s="2527">
        <v>0</v>
      </c>
      <c r="G74" s="2527">
        <v>0</v>
      </c>
      <c r="H74" s="2527">
        <f t="shared" si="18"/>
        <v>153149129</v>
      </c>
      <c r="I74" s="2479"/>
      <c r="K74" s="2579"/>
      <c r="L74" s="2593" t="s">
        <v>6081</v>
      </c>
      <c r="M74" s="2527">
        <v>146224254</v>
      </c>
      <c r="N74" s="2594">
        <v>135987493</v>
      </c>
      <c r="O74" s="2507">
        <v>126592724</v>
      </c>
      <c r="P74" s="2507">
        <v>124996790</v>
      </c>
      <c r="Q74" s="2482"/>
      <c r="R74" s="2482"/>
      <c r="S74" s="2482"/>
      <c r="T74" s="2482"/>
      <c r="U74" s="2482"/>
      <c r="V74" s="2482"/>
      <c r="W74" s="2482"/>
      <c r="X74" s="2482"/>
      <c r="Y74" s="2482"/>
      <c r="Z74" s="2482"/>
      <c r="AA74" s="2482"/>
    </row>
    <row r="75" spans="1:27" ht="15.75" customHeight="1" x14ac:dyDescent="0.2">
      <c r="A75" s="2640" t="s">
        <v>6081</v>
      </c>
      <c r="B75" s="2502" t="s">
        <v>6606</v>
      </c>
      <c r="C75" s="2527">
        <f t="shared" si="17"/>
        <v>1257061910</v>
      </c>
      <c r="D75" s="2527">
        <v>72656031</v>
      </c>
      <c r="E75" s="2527">
        <v>5241205</v>
      </c>
      <c r="F75" s="2527">
        <v>0</v>
      </c>
      <c r="G75" s="2527">
        <v>-69569</v>
      </c>
      <c r="H75" s="2527">
        <f t="shared" si="18"/>
        <v>1324407167</v>
      </c>
      <c r="I75" s="2479"/>
      <c r="K75" s="2579"/>
      <c r="L75" s="2593" t="s">
        <v>6083</v>
      </c>
      <c r="M75" s="2527">
        <v>1257061910</v>
      </c>
      <c r="N75" s="2594">
        <v>1198438925</v>
      </c>
      <c r="O75" s="2507">
        <v>1152037123</v>
      </c>
      <c r="P75" s="2507">
        <v>1085813833</v>
      </c>
      <c r="Q75" s="2482"/>
      <c r="R75" s="2482"/>
      <c r="S75" s="2482"/>
      <c r="T75" s="2482"/>
      <c r="U75" s="2482"/>
      <c r="V75" s="2482"/>
      <c r="W75" s="2482"/>
      <c r="X75" s="2482"/>
      <c r="Y75" s="2482"/>
      <c r="Z75" s="2482"/>
      <c r="AA75" s="2482"/>
    </row>
    <row r="76" spans="1:27" ht="15.75" customHeight="1" x14ac:dyDescent="0.2">
      <c r="A76" s="2640" t="s">
        <v>6083</v>
      </c>
      <c r="B76" s="2502" t="s">
        <v>6607</v>
      </c>
      <c r="C76" s="2527">
        <f t="shared" si="17"/>
        <v>0</v>
      </c>
      <c r="D76" s="2527">
        <v>0</v>
      </c>
      <c r="E76" s="2527">
        <v>0</v>
      </c>
      <c r="F76" s="2527">
        <v>0</v>
      </c>
      <c r="G76" s="2527">
        <v>0</v>
      </c>
      <c r="H76" s="2527">
        <f t="shared" si="18"/>
        <v>0</v>
      </c>
      <c r="I76" s="2479"/>
      <c r="K76" s="2579"/>
      <c r="L76" s="2593" t="s">
        <v>6085</v>
      </c>
      <c r="M76" s="2527">
        <v>0</v>
      </c>
      <c r="N76" s="2594">
        <v>0</v>
      </c>
      <c r="O76" s="2507">
        <v>0</v>
      </c>
      <c r="P76" s="2507">
        <v>0</v>
      </c>
      <c r="Q76" s="2482"/>
      <c r="R76" s="2482"/>
      <c r="S76" s="2482"/>
      <c r="T76" s="2482"/>
      <c r="U76" s="2482"/>
      <c r="V76" s="2482"/>
      <c r="W76" s="2482"/>
      <c r="X76" s="2482"/>
      <c r="Y76" s="2482"/>
      <c r="Z76" s="2482"/>
      <c r="AA76" s="2482"/>
    </row>
    <row r="77" spans="1:27" ht="15.75" customHeight="1" x14ac:dyDescent="0.2">
      <c r="A77" s="2640" t="s">
        <v>6085</v>
      </c>
      <c r="B77" s="2502" t="s">
        <v>6608</v>
      </c>
      <c r="C77" s="2527">
        <f t="shared" si="17"/>
        <v>1509112218</v>
      </c>
      <c r="D77" s="2527">
        <v>137665333</v>
      </c>
      <c r="E77" s="2527">
        <v>14238368</v>
      </c>
      <c r="F77" s="2527">
        <v>0</v>
      </c>
      <c r="G77" s="2527">
        <v>-4115</v>
      </c>
      <c r="H77" s="2527">
        <f t="shared" si="18"/>
        <v>1632535068</v>
      </c>
      <c r="I77" s="2479"/>
      <c r="K77" s="2579"/>
      <c r="L77" s="2593" t="s">
        <v>6087</v>
      </c>
      <c r="M77" s="2527">
        <v>1509112218</v>
      </c>
      <c r="N77" s="2594">
        <v>1425923124</v>
      </c>
      <c r="O77" s="2507">
        <v>1336560426</v>
      </c>
      <c r="P77" s="2507">
        <v>1267917057</v>
      </c>
      <c r="Q77" s="2482"/>
      <c r="R77" s="2482"/>
      <c r="S77" s="2482"/>
      <c r="T77" s="2482"/>
      <c r="U77" s="2482"/>
      <c r="V77" s="2482"/>
      <c r="W77" s="2482"/>
      <c r="X77" s="2482"/>
      <c r="Y77" s="2482"/>
      <c r="Z77" s="2482"/>
      <c r="AA77" s="2482"/>
    </row>
    <row r="78" spans="1:27" ht="15.75" customHeight="1" x14ac:dyDescent="0.2">
      <c r="A78" s="2640" t="s">
        <v>6087</v>
      </c>
      <c r="B78" s="2502" t="s">
        <v>6609</v>
      </c>
      <c r="C78" s="2527">
        <f t="shared" si="17"/>
        <v>944782984</v>
      </c>
      <c r="D78" s="2527">
        <v>112615403</v>
      </c>
      <c r="E78" s="2527">
        <v>11149343</v>
      </c>
      <c r="F78" s="2527">
        <v>0</v>
      </c>
      <c r="G78" s="2527">
        <v>0</v>
      </c>
      <c r="H78" s="2527">
        <f t="shared" si="18"/>
        <v>1046249044</v>
      </c>
      <c r="I78" s="2479"/>
      <c r="K78" s="2579"/>
      <c r="L78" s="2593" t="s">
        <v>6089</v>
      </c>
      <c r="M78" s="2527">
        <v>944782984</v>
      </c>
      <c r="N78" s="2594">
        <v>888377419</v>
      </c>
      <c r="O78" s="2507">
        <v>846200790</v>
      </c>
      <c r="P78" s="2507">
        <v>806824019</v>
      </c>
      <c r="Q78" s="2482"/>
      <c r="R78" s="2482"/>
      <c r="S78" s="2482"/>
      <c r="T78" s="2482"/>
      <c r="U78" s="2482"/>
      <c r="V78" s="2482"/>
      <c r="W78" s="2482"/>
      <c r="X78" s="2482"/>
      <c r="Y78" s="2482"/>
      <c r="Z78" s="2482"/>
      <c r="AA78" s="2482"/>
    </row>
    <row r="79" spans="1:27" ht="15.75" customHeight="1" x14ac:dyDescent="0.2">
      <c r="A79" s="2640" t="s">
        <v>6089</v>
      </c>
      <c r="B79" s="2502" t="s">
        <v>6610</v>
      </c>
      <c r="C79" s="2527">
        <f t="shared" si="17"/>
        <v>477665581</v>
      </c>
      <c r="D79" s="2527">
        <v>41395256</v>
      </c>
      <c r="E79" s="2527">
        <v>2957864</v>
      </c>
      <c r="F79" s="2527">
        <v>0</v>
      </c>
      <c r="G79" s="2527">
        <v>0</v>
      </c>
      <c r="H79" s="2527">
        <f t="shared" si="18"/>
        <v>516102973</v>
      </c>
      <c r="I79" s="2479"/>
      <c r="K79" s="2579"/>
      <c r="L79" s="2593" t="s">
        <v>6091</v>
      </c>
      <c r="M79" s="2527">
        <v>477665581</v>
      </c>
      <c r="N79" s="2594">
        <v>442119714</v>
      </c>
      <c r="O79" s="2507">
        <v>418714601</v>
      </c>
      <c r="P79" s="2507">
        <v>399131386</v>
      </c>
      <c r="Q79" s="2482"/>
      <c r="R79" s="2482"/>
      <c r="S79" s="2482"/>
      <c r="T79" s="2482"/>
      <c r="U79" s="2482"/>
      <c r="V79" s="2482"/>
      <c r="W79" s="2482"/>
      <c r="X79" s="2482"/>
      <c r="Y79" s="2482"/>
      <c r="Z79" s="2482"/>
      <c r="AA79" s="2482"/>
    </row>
    <row r="80" spans="1:27" ht="15.75" customHeight="1" x14ac:dyDescent="0.2">
      <c r="A80" s="2640" t="s">
        <v>6091</v>
      </c>
      <c r="B80" s="2502" t="s">
        <v>6611</v>
      </c>
      <c r="C80" s="2527">
        <f t="shared" si="17"/>
        <v>1088850385</v>
      </c>
      <c r="D80" s="2527">
        <v>88370605</v>
      </c>
      <c r="E80" s="2527">
        <v>5403656</v>
      </c>
      <c r="F80" s="2527">
        <v>0</v>
      </c>
      <c r="G80" s="2527">
        <v>0</v>
      </c>
      <c r="H80" s="2527">
        <f t="shared" si="18"/>
        <v>1171817334</v>
      </c>
      <c r="I80" s="2479"/>
      <c r="K80" s="2579"/>
      <c r="L80" s="2593" t="s">
        <v>6093</v>
      </c>
      <c r="M80" s="2527">
        <v>1088850385</v>
      </c>
      <c r="N80" s="2594">
        <v>1025725688</v>
      </c>
      <c r="O80" s="2507">
        <v>977356247</v>
      </c>
      <c r="P80" s="2507">
        <v>935090905</v>
      </c>
      <c r="Q80" s="2482"/>
      <c r="R80" s="2482"/>
      <c r="S80" s="2482"/>
      <c r="T80" s="2482"/>
      <c r="U80" s="2482"/>
      <c r="V80" s="2482"/>
      <c r="W80" s="2482"/>
      <c r="X80" s="2482"/>
      <c r="Y80" s="2482"/>
      <c r="Z80" s="2482"/>
      <c r="AA80" s="2482"/>
    </row>
    <row r="81" spans="1:27" ht="15.75" customHeight="1" x14ac:dyDescent="0.2">
      <c r="A81" s="2640" t="s">
        <v>6093</v>
      </c>
      <c r="B81" s="2502" t="s">
        <v>6612</v>
      </c>
      <c r="C81" s="2527">
        <f t="shared" si="17"/>
        <v>1601353708</v>
      </c>
      <c r="D81" s="2527">
        <v>89801244</v>
      </c>
      <c r="E81" s="2527">
        <v>13203974</v>
      </c>
      <c r="F81" s="2527">
        <v>0</v>
      </c>
      <c r="G81" s="2527">
        <v>0</v>
      </c>
      <c r="H81" s="2527">
        <f t="shared" si="18"/>
        <v>1677950978</v>
      </c>
      <c r="I81" s="2479"/>
      <c r="K81" s="2579"/>
      <c r="L81" s="2593" t="s">
        <v>6095</v>
      </c>
      <c r="M81" s="2527">
        <v>1601353708</v>
      </c>
      <c r="N81" s="2594">
        <v>1545518058</v>
      </c>
      <c r="O81" s="2507">
        <v>1492229942</v>
      </c>
      <c r="P81" s="2507">
        <v>1433055320</v>
      </c>
      <c r="Q81" s="2482"/>
      <c r="R81" s="2482"/>
      <c r="S81" s="2482"/>
      <c r="T81" s="2482"/>
      <c r="U81" s="2482"/>
      <c r="V81" s="2482"/>
      <c r="W81" s="2482"/>
      <c r="X81" s="2482"/>
      <c r="Y81" s="2482"/>
      <c r="Z81" s="2482"/>
      <c r="AA81" s="2482"/>
    </row>
    <row r="82" spans="1:27" ht="15.75" customHeight="1" x14ac:dyDescent="0.2">
      <c r="A82" s="2640" t="s">
        <v>6095</v>
      </c>
      <c r="B82" s="2502" t="s">
        <v>6613</v>
      </c>
      <c r="C82" s="2527">
        <f t="shared" si="17"/>
        <v>1009228967</v>
      </c>
      <c r="D82" s="2527">
        <v>54195223</v>
      </c>
      <c r="E82" s="2527">
        <v>1325116</v>
      </c>
      <c r="F82" s="2527">
        <v>0</v>
      </c>
      <c r="G82" s="2527">
        <v>0</v>
      </c>
      <c r="H82" s="2527">
        <f t="shared" si="18"/>
        <v>1062099074</v>
      </c>
      <c r="I82" s="2479"/>
      <c r="K82" s="2579"/>
      <c r="L82" s="2593" t="s">
        <v>6098</v>
      </c>
      <c r="M82" s="2527">
        <v>1009228967</v>
      </c>
      <c r="N82" s="2594">
        <v>957204238</v>
      </c>
      <c r="O82" s="2507">
        <v>906830209</v>
      </c>
      <c r="P82" s="2507">
        <v>860892630</v>
      </c>
      <c r="Q82" s="2482"/>
      <c r="R82" s="2482"/>
      <c r="S82" s="2482"/>
      <c r="T82" s="2482"/>
      <c r="U82" s="2482"/>
      <c r="V82" s="2482"/>
      <c r="W82" s="2482"/>
      <c r="X82" s="2482"/>
      <c r="Y82" s="2482"/>
      <c r="Z82" s="2482"/>
      <c r="AA82" s="2482"/>
    </row>
    <row r="83" spans="1:27" ht="15.75" customHeight="1" x14ac:dyDescent="0.2">
      <c r="A83" s="2640" t="s">
        <v>6098</v>
      </c>
      <c r="B83" s="2502" t="s">
        <v>6614</v>
      </c>
      <c r="C83" s="2527">
        <f t="shared" si="17"/>
        <v>281685480</v>
      </c>
      <c r="D83" s="2527">
        <v>42649260</v>
      </c>
      <c r="E83" s="2527">
        <v>13942868</v>
      </c>
      <c r="F83" s="2527">
        <v>0</v>
      </c>
      <c r="G83" s="2527">
        <v>0</v>
      </c>
      <c r="H83" s="2527">
        <f t="shared" si="18"/>
        <v>310391872</v>
      </c>
      <c r="I83" s="2479"/>
      <c r="K83" s="2579"/>
      <c r="L83" s="2593" t="s">
        <v>6101</v>
      </c>
      <c r="M83" s="2527">
        <v>281685480</v>
      </c>
      <c r="N83" s="2594">
        <v>265165951</v>
      </c>
      <c r="O83" s="2507">
        <v>251189373</v>
      </c>
      <c r="P83" s="2507">
        <v>245107614</v>
      </c>
      <c r="Q83" s="2482"/>
      <c r="R83" s="2482"/>
      <c r="S83" s="2482"/>
      <c r="T83" s="2482"/>
      <c r="U83" s="2482"/>
      <c r="V83" s="2482"/>
      <c r="W83" s="2482"/>
      <c r="X83" s="2482"/>
      <c r="Y83" s="2482"/>
      <c r="Z83" s="2482"/>
      <c r="AA83" s="2482"/>
    </row>
    <row r="84" spans="1:27" ht="15.75" customHeight="1" x14ac:dyDescent="0.2">
      <c r="A84" s="2640" t="s">
        <v>6101</v>
      </c>
      <c r="B84" s="2502" t="s">
        <v>6615</v>
      </c>
      <c r="C84" s="2527">
        <f t="shared" si="17"/>
        <v>8840097</v>
      </c>
      <c r="D84" s="2527">
        <v>116334</v>
      </c>
      <c r="E84" s="2527">
        <v>48329</v>
      </c>
      <c r="F84" s="2527">
        <v>0</v>
      </c>
      <c r="G84" s="2527">
        <v>0</v>
      </c>
      <c r="H84" s="2527">
        <f t="shared" si="18"/>
        <v>8908102</v>
      </c>
      <c r="I84" s="2479"/>
      <c r="K84" s="2579"/>
      <c r="L84" s="2593" t="s">
        <v>6103</v>
      </c>
      <c r="M84" s="2527">
        <v>8840097</v>
      </c>
      <c r="N84" s="2594">
        <v>8800720</v>
      </c>
      <c r="O84" s="2507">
        <v>8808014</v>
      </c>
      <c r="P84" s="2507">
        <v>8802174</v>
      </c>
      <c r="Q84" s="2482"/>
      <c r="R84" s="2482"/>
      <c r="S84" s="2482"/>
      <c r="T84" s="2482"/>
      <c r="U84" s="2482"/>
      <c r="V84" s="2482"/>
      <c r="W84" s="2482"/>
      <c r="X84" s="2482"/>
      <c r="Y84" s="2482"/>
      <c r="Z84" s="2482"/>
      <c r="AA84" s="2482"/>
    </row>
    <row r="85" spans="1:27" ht="15.75" customHeight="1" x14ac:dyDescent="0.2">
      <c r="A85" s="2640" t="s">
        <v>6103</v>
      </c>
      <c r="B85" s="2502" t="s">
        <v>6616</v>
      </c>
      <c r="C85" s="2527">
        <f t="shared" si="17"/>
        <v>0</v>
      </c>
      <c r="D85" s="2527">
        <v>0</v>
      </c>
      <c r="E85" s="2527">
        <v>0</v>
      </c>
      <c r="F85" s="2527">
        <v>0</v>
      </c>
      <c r="G85" s="2527">
        <v>0</v>
      </c>
      <c r="H85" s="2527">
        <f t="shared" si="18"/>
        <v>0</v>
      </c>
      <c r="I85" s="2479"/>
      <c r="K85" s="2579"/>
      <c r="L85" s="2593" t="s">
        <v>6105</v>
      </c>
      <c r="M85" s="2527">
        <v>0</v>
      </c>
      <c r="N85" s="2594">
        <v>0</v>
      </c>
      <c r="O85" s="2507">
        <v>0</v>
      </c>
      <c r="P85" s="2507">
        <v>0</v>
      </c>
      <c r="Q85" s="2482"/>
      <c r="R85" s="2482"/>
      <c r="S85" s="2482"/>
      <c r="T85" s="2482"/>
      <c r="U85" s="2482"/>
      <c r="V85" s="2482"/>
      <c r="W85" s="2482"/>
      <c r="X85" s="2482"/>
      <c r="Y85" s="2482"/>
      <c r="Z85" s="2482"/>
      <c r="AA85" s="2482"/>
    </row>
    <row r="86" spans="1:27" ht="15.75" customHeight="1" x14ac:dyDescent="0.2">
      <c r="A86" s="2640" t="s">
        <v>6105</v>
      </c>
      <c r="B86" s="2502" t="s">
        <v>6617</v>
      </c>
      <c r="C86" s="2527">
        <f t="shared" si="17"/>
        <v>63026819</v>
      </c>
      <c r="D86" s="2527">
        <v>2532511</v>
      </c>
      <c r="E86" s="2527">
        <v>1749257</v>
      </c>
      <c r="F86" s="2527">
        <v>0</v>
      </c>
      <c r="G86" s="2527">
        <v>0</v>
      </c>
      <c r="H86" s="2527">
        <f t="shared" si="18"/>
        <v>63810073</v>
      </c>
      <c r="I86" s="2479"/>
      <c r="K86" s="2579"/>
      <c r="L86" s="2593" t="s">
        <v>6107</v>
      </c>
      <c r="M86" s="2527">
        <v>63026819</v>
      </c>
      <c r="N86" s="2594">
        <v>63006725</v>
      </c>
      <c r="O86" s="2507">
        <v>62903579</v>
      </c>
      <c r="P86" s="2507">
        <v>62338943</v>
      </c>
      <c r="Q86" s="2482"/>
      <c r="R86" s="2482"/>
      <c r="S86" s="2482"/>
      <c r="T86" s="2482"/>
      <c r="U86" s="2482"/>
      <c r="V86" s="2482"/>
      <c r="W86" s="2482"/>
      <c r="X86" s="2482"/>
      <c r="Y86" s="2482"/>
      <c r="Z86" s="2482"/>
      <c r="AA86" s="2482"/>
    </row>
    <row r="87" spans="1:27" ht="15.75" customHeight="1" x14ac:dyDescent="0.2">
      <c r="A87" s="2640" t="s">
        <v>6107</v>
      </c>
      <c r="B87" s="2502" t="s">
        <v>6618</v>
      </c>
      <c r="C87" s="2527">
        <f t="shared" si="17"/>
        <v>1331349</v>
      </c>
      <c r="D87" s="2527">
        <v>0</v>
      </c>
      <c r="E87" s="2527">
        <v>0</v>
      </c>
      <c r="F87" s="2527">
        <v>0</v>
      </c>
      <c r="G87" s="2527">
        <v>0</v>
      </c>
      <c r="H87" s="2527">
        <f t="shared" si="18"/>
        <v>1331349</v>
      </c>
      <c r="I87" s="2479"/>
      <c r="K87" s="2579"/>
      <c r="L87" s="2593" t="s">
        <v>6109</v>
      </c>
      <c r="M87" s="2527">
        <v>1331349</v>
      </c>
      <c r="N87" s="2594">
        <v>1331349</v>
      </c>
      <c r="O87" s="2507">
        <v>1331349</v>
      </c>
      <c r="P87" s="2507">
        <v>1344766</v>
      </c>
      <c r="Q87" s="2482"/>
      <c r="R87" s="2482"/>
      <c r="S87" s="2482"/>
      <c r="T87" s="2482"/>
      <c r="U87" s="2482"/>
      <c r="V87" s="2482"/>
      <c r="W87" s="2482"/>
      <c r="X87" s="2482"/>
      <c r="Y87" s="2482"/>
      <c r="Z87" s="2482"/>
      <c r="AA87" s="2482"/>
    </row>
    <row r="88" spans="1:27" ht="15.75" customHeight="1" x14ac:dyDescent="0.2">
      <c r="A88" s="2640" t="s">
        <v>6109</v>
      </c>
      <c r="B88" s="2502" t="s">
        <v>6619</v>
      </c>
      <c r="C88" s="2531">
        <f t="shared" ref="C88:H88" si="19">SUM(C73:C87)</f>
        <v>8467735670</v>
      </c>
      <c r="D88" s="2645">
        <f t="shared" si="19"/>
        <v>652220301</v>
      </c>
      <c r="E88" s="2645">
        <f t="shared" si="19"/>
        <v>69307046</v>
      </c>
      <c r="F88" s="2645">
        <f t="shared" si="19"/>
        <v>0</v>
      </c>
      <c r="G88" s="2645">
        <f t="shared" si="19"/>
        <v>-59738</v>
      </c>
      <c r="H88" s="2531">
        <f t="shared" si="19"/>
        <v>9050589187</v>
      </c>
      <c r="I88" s="2479"/>
      <c r="K88" s="2579"/>
      <c r="L88" s="2593" t="s">
        <v>6111</v>
      </c>
      <c r="M88" s="2531">
        <v>8467735670</v>
      </c>
      <c r="N88" s="2594">
        <v>8033617302</v>
      </c>
      <c r="O88" s="2507">
        <v>7649293409</v>
      </c>
      <c r="P88" s="2507">
        <v>7296645418</v>
      </c>
      <c r="Q88" s="2482"/>
      <c r="R88" s="2482"/>
      <c r="S88" s="2482"/>
      <c r="T88" s="2482"/>
      <c r="U88" s="2482"/>
      <c r="V88" s="2482"/>
      <c r="W88" s="2482"/>
      <c r="X88" s="2482"/>
      <c r="Y88" s="2482"/>
      <c r="Z88" s="2482"/>
      <c r="AA88" s="2482"/>
    </row>
    <row r="89" spans="1:27" ht="15.75" customHeight="1" x14ac:dyDescent="0.2">
      <c r="A89" s="2640" t="s">
        <v>6111</v>
      </c>
      <c r="B89" s="2512" t="s">
        <v>6620</v>
      </c>
      <c r="C89" s="2641"/>
      <c r="D89" s="2642"/>
      <c r="E89" s="2652"/>
      <c r="F89" s="2652"/>
      <c r="G89" s="2652"/>
      <c r="H89" s="2652"/>
      <c r="I89" s="2479"/>
      <c r="K89" s="2579"/>
      <c r="L89" s="2593" t="s">
        <v>6113</v>
      </c>
      <c r="M89" s="2641"/>
      <c r="N89" s="2511"/>
      <c r="O89" s="2511"/>
      <c r="P89" s="2511"/>
      <c r="Q89" s="2482"/>
      <c r="R89" s="2482"/>
      <c r="S89" s="2482"/>
      <c r="T89" s="2482"/>
      <c r="U89" s="2482"/>
      <c r="V89" s="2482"/>
      <c r="W89" s="2482"/>
      <c r="X89" s="2482"/>
      <c r="Y89" s="2482"/>
      <c r="Z89" s="2482"/>
      <c r="AA89" s="2482"/>
    </row>
    <row r="90" spans="1:27" ht="15.75" customHeight="1" x14ac:dyDescent="0.2">
      <c r="A90" s="2640" t="s">
        <v>6113</v>
      </c>
      <c r="B90" s="2502" t="s">
        <v>6621</v>
      </c>
      <c r="C90" s="2527">
        <f t="shared" ref="C90:C96" si="20">SUMIF(A:A,A90,M:M)</f>
        <v>0</v>
      </c>
      <c r="D90" s="2559"/>
      <c r="E90" s="2559"/>
      <c r="F90" s="2559"/>
      <c r="G90" s="2559"/>
      <c r="H90" s="2527">
        <f t="shared" ref="H90:H96" si="21">SUM(C90:D90)-E90+SUM(F90:G90)</f>
        <v>0</v>
      </c>
      <c r="I90" s="2479"/>
      <c r="K90" s="2579"/>
      <c r="L90" s="2593" t="s">
        <v>6115</v>
      </c>
      <c r="M90" s="2527">
        <v>0</v>
      </c>
      <c r="N90" s="2594">
        <v>0</v>
      </c>
      <c r="O90" s="2511"/>
      <c r="P90" s="2511"/>
      <c r="Q90" s="2482"/>
      <c r="R90" s="2482"/>
      <c r="S90" s="2482"/>
      <c r="T90" s="2482"/>
      <c r="U90" s="2482"/>
      <c r="V90" s="2482"/>
      <c r="W90" s="2482"/>
      <c r="X90" s="2482"/>
      <c r="Y90" s="2482"/>
      <c r="Z90" s="2482"/>
      <c r="AA90" s="2482"/>
    </row>
    <row r="91" spans="1:27" ht="15.75" customHeight="1" x14ac:dyDescent="0.2">
      <c r="A91" s="2640" t="s">
        <v>6115</v>
      </c>
      <c r="B91" s="2502" t="s">
        <v>6622</v>
      </c>
      <c r="C91" s="2527">
        <f t="shared" si="20"/>
        <v>0</v>
      </c>
      <c r="D91" s="2559"/>
      <c r="E91" s="2559"/>
      <c r="F91" s="2559"/>
      <c r="G91" s="2559"/>
      <c r="H91" s="2527">
        <f t="shared" si="21"/>
        <v>0</v>
      </c>
      <c r="I91" s="2479"/>
      <c r="K91" s="2579"/>
      <c r="L91" s="2593" t="s">
        <v>6117</v>
      </c>
      <c r="M91" s="2527">
        <v>0</v>
      </c>
      <c r="N91" s="2594">
        <v>0</v>
      </c>
      <c r="O91" s="2511"/>
      <c r="P91" s="2511"/>
      <c r="Q91" s="2482"/>
      <c r="R91" s="2482"/>
      <c r="S91" s="2482"/>
      <c r="T91" s="2482"/>
      <c r="U91" s="2482"/>
      <c r="V91" s="2482"/>
      <c r="W91" s="2482"/>
      <c r="X91" s="2482"/>
      <c r="Y91" s="2482"/>
      <c r="Z91" s="2482"/>
      <c r="AA91" s="2482"/>
    </row>
    <row r="92" spans="1:27" ht="15.75" customHeight="1" x14ac:dyDescent="0.2">
      <c r="A92" s="2640" t="s">
        <v>6117</v>
      </c>
      <c r="B92" s="2502" t="s">
        <v>6623</v>
      </c>
      <c r="C92" s="2527">
        <f t="shared" si="20"/>
        <v>0</v>
      </c>
      <c r="D92" s="2559"/>
      <c r="E92" s="2559"/>
      <c r="F92" s="2559"/>
      <c r="G92" s="2559"/>
      <c r="H92" s="2527">
        <f t="shared" si="21"/>
        <v>0</v>
      </c>
      <c r="I92" s="2479"/>
      <c r="K92" s="2579"/>
      <c r="L92" s="2593" t="s">
        <v>6120</v>
      </c>
      <c r="M92" s="2527">
        <v>0</v>
      </c>
      <c r="N92" s="2594">
        <v>0</v>
      </c>
      <c r="O92" s="2511"/>
      <c r="P92" s="2511"/>
      <c r="Q92" s="2482"/>
      <c r="R92" s="2482"/>
      <c r="S92" s="2482"/>
      <c r="T92" s="2482"/>
      <c r="U92" s="2482"/>
      <c r="V92" s="2482"/>
      <c r="W92" s="2482"/>
      <c r="X92" s="2482"/>
      <c r="Y92" s="2482"/>
      <c r="Z92" s="2482"/>
      <c r="AA92" s="2482"/>
    </row>
    <row r="93" spans="1:27" ht="15.75" customHeight="1" x14ac:dyDescent="0.2">
      <c r="A93" s="2640" t="s">
        <v>6120</v>
      </c>
      <c r="B93" s="2502" t="s">
        <v>6624</v>
      </c>
      <c r="C93" s="2527">
        <f t="shared" si="20"/>
        <v>0</v>
      </c>
      <c r="D93" s="2559"/>
      <c r="E93" s="2559"/>
      <c r="F93" s="2559"/>
      <c r="G93" s="2559"/>
      <c r="H93" s="2527">
        <f t="shared" si="21"/>
        <v>0</v>
      </c>
      <c r="I93" s="2479"/>
      <c r="K93" s="2579"/>
      <c r="L93" s="2593" t="s">
        <v>6122</v>
      </c>
      <c r="M93" s="2527">
        <v>0</v>
      </c>
      <c r="N93" s="2594">
        <v>0</v>
      </c>
      <c r="O93" s="2511"/>
      <c r="P93" s="2511"/>
      <c r="Q93" s="2482"/>
      <c r="R93" s="2482"/>
      <c r="S93" s="2482"/>
      <c r="T93" s="2482"/>
      <c r="U93" s="2482"/>
      <c r="V93" s="2482"/>
      <c r="W93" s="2482"/>
      <c r="X93" s="2482"/>
      <c r="Y93" s="2482"/>
      <c r="Z93" s="2482"/>
      <c r="AA93" s="2482"/>
    </row>
    <row r="94" spans="1:27" ht="15.75" customHeight="1" x14ac:dyDescent="0.2">
      <c r="A94" s="2640" t="s">
        <v>6122</v>
      </c>
      <c r="B94" s="2502" t="s">
        <v>6625</v>
      </c>
      <c r="C94" s="2527">
        <f t="shared" si="20"/>
        <v>0</v>
      </c>
      <c r="D94" s="2559"/>
      <c r="E94" s="2559"/>
      <c r="F94" s="2559"/>
      <c r="G94" s="2559"/>
      <c r="H94" s="2527">
        <f t="shared" si="21"/>
        <v>0</v>
      </c>
      <c r="I94" s="2479"/>
      <c r="K94" s="2579"/>
      <c r="L94" s="2593" t="s">
        <v>6124</v>
      </c>
      <c r="M94" s="2527">
        <v>0</v>
      </c>
      <c r="N94" s="2594">
        <v>0</v>
      </c>
      <c r="O94" s="2511"/>
      <c r="P94" s="2511"/>
      <c r="Q94" s="2482"/>
      <c r="R94" s="2482"/>
      <c r="S94" s="2482"/>
      <c r="T94" s="2482"/>
      <c r="U94" s="2482"/>
      <c r="V94" s="2482"/>
      <c r="W94" s="2482"/>
      <c r="X94" s="2482"/>
      <c r="Y94" s="2482"/>
      <c r="Z94" s="2482"/>
      <c r="AA94" s="2482"/>
    </row>
    <row r="95" spans="1:27" ht="15.75" customHeight="1" x14ac:dyDescent="0.2">
      <c r="A95" s="2640" t="s">
        <v>6124</v>
      </c>
      <c r="B95" s="2502" t="s">
        <v>6626</v>
      </c>
      <c r="C95" s="2527">
        <f t="shared" si="20"/>
        <v>0</v>
      </c>
      <c r="D95" s="2559"/>
      <c r="E95" s="2559"/>
      <c r="F95" s="2559"/>
      <c r="G95" s="2559"/>
      <c r="H95" s="2527">
        <f t="shared" si="21"/>
        <v>0</v>
      </c>
      <c r="I95" s="2479"/>
      <c r="K95" s="2579"/>
      <c r="L95" s="2593" t="s">
        <v>6126</v>
      </c>
      <c r="M95" s="2527">
        <v>0</v>
      </c>
      <c r="N95" s="2594">
        <v>0</v>
      </c>
      <c r="O95" s="2511"/>
      <c r="P95" s="2511"/>
      <c r="Q95" s="2482"/>
      <c r="R95" s="2482"/>
      <c r="S95" s="2482"/>
      <c r="T95" s="2482"/>
      <c r="U95" s="2482"/>
      <c r="V95" s="2482"/>
      <c r="W95" s="2482"/>
      <c r="X95" s="2482"/>
      <c r="Y95" s="2482"/>
      <c r="Z95" s="2482"/>
      <c r="AA95" s="2482"/>
    </row>
    <row r="96" spans="1:27" ht="15.75" customHeight="1" x14ac:dyDescent="0.2">
      <c r="A96" s="2640" t="s">
        <v>6126</v>
      </c>
      <c r="B96" s="2502" t="s">
        <v>6627</v>
      </c>
      <c r="C96" s="2527">
        <f t="shared" si="20"/>
        <v>0</v>
      </c>
      <c r="D96" s="2559"/>
      <c r="E96" s="2559"/>
      <c r="F96" s="2559"/>
      <c r="G96" s="2559"/>
      <c r="H96" s="2527">
        <f t="shared" si="21"/>
        <v>0</v>
      </c>
      <c r="I96" s="2479"/>
      <c r="K96" s="2579"/>
      <c r="L96" s="2593" t="s">
        <v>6128</v>
      </c>
      <c r="M96" s="2527">
        <v>0</v>
      </c>
      <c r="N96" s="2594">
        <v>0</v>
      </c>
      <c r="O96" s="2511"/>
      <c r="P96" s="2511"/>
      <c r="Q96" s="2482"/>
      <c r="R96" s="2482"/>
      <c r="S96" s="2482"/>
      <c r="T96" s="2482"/>
      <c r="U96" s="2482"/>
      <c r="V96" s="2482"/>
      <c r="W96" s="2482"/>
      <c r="X96" s="2482"/>
      <c r="Y96" s="2482"/>
      <c r="Z96" s="2482"/>
      <c r="AA96" s="2482"/>
    </row>
    <row r="97" spans="1:27" ht="15.75" customHeight="1" x14ac:dyDescent="0.2">
      <c r="A97" s="2640" t="s">
        <v>6128</v>
      </c>
      <c r="B97" s="2502" t="s">
        <v>6628</v>
      </c>
      <c r="C97" s="2645">
        <f t="shared" ref="C97:H97" si="22">SUM(C90:C96)</f>
        <v>0</v>
      </c>
      <c r="D97" s="2645">
        <f t="shared" si="22"/>
        <v>0</v>
      </c>
      <c r="E97" s="2645">
        <f t="shared" si="22"/>
        <v>0</v>
      </c>
      <c r="F97" s="2645">
        <f t="shared" si="22"/>
        <v>0</v>
      </c>
      <c r="G97" s="2645">
        <f t="shared" si="22"/>
        <v>0</v>
      </c>
      <c r="H97" s="2645">
        <f t="shared" si="22"/>
        <v>0</v>
      </c>
      <c r="I97" s="2479"/>
      <c r="K97" s="2579"/>
      <c r="L97" s="2593" t="s">
        <v>6130</v>
      </c>
      <c r="M97" s="2645">
        <v>0</v>
      </c>
      <c r="N97" s="2594">
        <v>0</v>
      </c>
      <c r="O97" s="2511"/>
      <c r="P97" s="2511"/>
      <c r="Q97" s="2482"/>
      <c r="R97" s="2482"/>
      <c r="S97" s="2482"/>
      <c r="T97" s="2482"/>
      <c r="U97" s="2482"/>
      <c r="V97" s="2482"/>
      <c r="W97" s="2482"/>
      <c r="X97" s="2482"/>
      <c r="Y97" s="2482"/>
      <c r="Z97" s="2482"/>
      <c r="AA97" s="2482"/>
    </row>
    <row r="98" spans="1:27" ht="15.75" customHeight="1" x14ac:dyDescent="0.2">
      <c r="A98" s="2640" t="s">
        <v>6130</v>
      </c>
      <c r="B98" s="2512" t="s">
        <v>6629</v>
      </c>
      <c r="C98" s="2641"/>
      <c r="D98" s="2642"/>
      <c r="E98" s="2652"/>
      <c r="F98" s="2652"/>
      <c r="G98" s="2652"/>
      <c r="H98" s="2652"/>
      <c r="I98" s="2479"/>
      <c r="K98" s="2579"/>
      <c r="L98" s="2593" t="s">
        <v>6455</v>
      </c>
      <c r="M98" s="2641"/>
      <c r="N98" s="2511"/>
      <c r="O98" s="2511"/>
      <c r="P98" s="2511"/>
      <c r="Q98" s="2482"/>
      <c r="R98" s="2482"/>
      <c r="S98" s="2482"/>
      <c r="T98" s="2482"/>
      <c r="U98" s="2482"/>
      <c r="V98" s="2482"/>
      <c r="W98" s="2482"/>
      <c r="X98" s="2482"/>
      <c r="Y98" s="2482"/>
      <c r="Z98" s="2482"/>
      <c r="AA98" s="2482"/>
    </row>
    <row r="99" spans="1:27" ht="15.75" customHeight="1" x14ac:dyDescent="0.2">
      <c r="A99" s="2640" t="s">
        <v>6455</v>
      </c>
      <c r="B99" s="2502" t="s">
        <v>6630</v>
      </c>
      <c r="C99" s="2527">
        <f t="shared" ref="C99:C109" si="23">SUMIF(A:A,A99,M:M)</f>
        <v>25071997</v>
      </c>
      <c r="D99" s="2527">
        <v>0</v>
      </c>
      <c r="E99" s="2527">
        <v>0</v>
      </c>
      <c r="F99" s="2527">
        <v>0</v>
      </c>
      <c r="G99" s="2527">
        <v>0</v>
      </c>
      <c r="H99" s="2527">
        <f t="shared" ref="H99:H108" si="24">SUM(C99:D99)-E99+SUM(F99:G99)</f>
        <v>25071997</v>
      </c>
      <c r="I99" s="2479"/>
      <c r="K99" s="2579"/>
      <c r="L99" s="2593" t="s">
        <v>6456</v>
      </c>
      <c r="M99" s="2527">
        <v>25071997</v>
      </c>
      <c r="N99" s="2594">
        <v>23821241</v>
      </c>
      <c r="O99" s="2507">
        <v>23863596</v>
      </c>
      <c r="P99" s="2507">
        <v>23615657</v>
      </c>
      <c r="Q99" s="2482"/>
      <c r="R99" s="2482"/>
      <c r="S99" s="2482"/>
      <c r="T99" s="2482"/>
      <c r="U99" s="2482"/>
      <c r="V99" s="2482"/>
      <c r="W99" s="2482"/>
      <c r="X99" s="2482"/>
      <c r="Y99" s="2482"/>
      <c r="Z99" s="2482"/>
      <c r="AA99" s="2482"/>
    </row>
    <row r="100" spans="1:27" ht="15.75" customHeight="1" x14ac:dyDescent="0.2">
      <c r="A100" s="2640" t="s">
        <v>6456</v>
      </c>
      <c r="B100" s="2502" t="s">
        <v>6631</v>
      </c>
      <c r="C100" s="2527">
        <f t="shared" si="23"/>
        <v>286074073</v>
      </c>
      <c r="D100" s="2527">
        <v>17929978</v>
      </c>
      <c r="E100" s="2527">
        <v>2161165</v>
      </c>
      <c r="F100" s="2527">
        <v>0</v>
      </c>
      <c r="G100" s="2527">
        <v>0</v>
      </c>
      <c r="H100" s="2527">
        <f t="shared" si="24"/>
        <v>301842886</v>
      </c>
      <c r="I100" s="2479"/>
      <c r="K100" s="2579"/>
      <c r="L100" s="2593" t="s">
        <v>6458</v>
      </c>
      <c r="M100" s="2527">
        <v>286074073</v>
      </c>
      <c r="N100" s="2594">
        <v>272650424</v>
      </c>
      <c r="O100" s="2507">
        <v>267093881</v>
      </c>
      <c r="P100" s="2507">
        <v>257936605</v>
      </c>
      <c r="Q100" s="2482"/>
      <c r="R100" s="2482"/>
      <c r="S100" s="2482"/>
      <c r="T100" s="2482"/>
      <c r="U100" s="2482"/>
      <c r="V100" s="2482"/>
      <c r="W100" s="2482"/>
      <c r="X100" s="2482"/>
      <c r="Y100" s="2482"/>
      <c r="Z100" s="2482"/>
      <c r="AA100" s="2482"/>
    </row>
    <row r="101" spans="1:27" ht="15.75" customHeight="1" x14ac:dyDescent="0.2">
      <c r="A101" s="2640" t="s">
        <v>6458</v>
      </c>
      <c r="B101" s="2502" t="s">
        <v>6632</v>
      </c>
      <c r="C101" s="2527">
        <f t="shared" si="23"/>
        <v>105109861</v>
      </c>
      <c r="D101" s="2527">
        <v>13834360</v>
      </c>
      <c r="E101" s="2527">
        <v>24586194</v>
      </c>
      <c r="F101" s="2527">
        <v>0</v>
      </c>
      <c r="G101" s="2527">
        <v>5203</v>
      </c>
      <c r="H101" s="2527">
        <f t="shared" si="24"/>
        <v>94363230</v>
      </c>
      <c r="I101" s="2479"/>
      <c r="K101" s="2579"/>
      <c r="L101" s="2593" t="s">
        <v>6459</v>
      </c>
      <c r="M101" s="2527">
        <v>105109861</v>
      </c>
      <c r="N101" s="2594">
        <v>91949178</v>
      </c>
      <c r="O101" s="2507">
        <v>85373133</v>
      </c>
      <c r="P101" s="2507">
        <v>72082727</v>
      </c>
      <c r="Q101" s="2482"/>
      <c r="R101" s="2482"/>
      <c r="S101" s="2482"/>
      <c r="T101" s="2482"/>
      <c r="U101" s="2482"/>
      <c r="V101" s="2482"/>
      <c r="W101" s="2482"/>
      <c r="X101" s="2482"/>
      <c r="Y101" s="2482"/>
      <c r="Z101" s="2482"/>
      <c r="AA101" s="2482"/>
    </row>
    <row r="102" spans="1:27" ht="15.75" customHeight="1" x14ac:dyDescent="0.2">
      <c r="A102" s="2640" t="s">
        <v>6459</v>
      </c>
      <c r="B102" s="2502" t="s">
        <v>6633</v>
      </c>
      <c r="C102" s="2527">
        <f t="shared" si="23"/>
        <v>152732782</v>
      </c>
      <c r="D102" s="2527">
        <v>32664403</v>
      </c>
      <c r="E102" s="2527">
        <v>4945292</v>
      </c>
      <c r="F102" s="2527">
        <v>0</v>
      </c>
      <c r="G102" s="2527">
        <v>-594150</v>
      </c>
      <c r="H102" s="2527">
        <f t="shared" si="24"/>
        <v>179857743</v>
      </c>
      <c r="I102" s="2479"/>
      <c r="K102" s="2579"/>
      <c r="L102" s="2593" t="s">
        <v>6461</v>
      </c>
      <c r="M102" s="2527">
        <v>152732782</v>
      </c>
      <c r="N102" s="2594">
        <v>140274020</v>
      </c>
      <c r="O102" s="2507">
        <v>130141333</v>
      </c>
      <c r="P102" s="2507">
        <v>119232266</v>
      </c>
      <c r="Q102" s="2482"/>
      <c r="R102" s="2482"/>
      <c r="S102" s="2482"/>
      <c r="T102" s="2482"/>
      <c r="U102" s="2482"/>
      <c r="V102" s="2482"/>
      <c r="W102" s="2482"/>
      <c r="X102" s="2482"/>
      <c r="Y102" s="2482"/>
      <c r="Z102" s="2482"/>
      <c r="AA102" s="2482"/>
    </row>
    <row r="103" spans="1:27" ht="15.75" customHeight="1" x14ac:dyDescent="0.2">
      <c r="A103" s="2640" t="s">
        <v>6461</v>
      </c>
      <c r="B103" s="2502" t="s">
        <v>6634</v>
      </c>
      <c r="C103" s="2527">
        <f t="shared" si="23"/>
        <v>17555251</v>
      </c>
      <c r="D103" s="2527">
        <v>3315780</v>
      </c>
      <c r="E103" s="2527">
        <v>366518</v>
      </c>
      <c r="F103" s="2527">
        <v>0</v>
      </c>
      <c r="G103" s="2527">
        <v>0</v>
      </c>
      <c r="H103" s="2527">
        <f t="shared" si="24"/>
        <v>20504513</v>
      </c>
      <c r="I103" s="2479"/>
      <c r="K103" s="2579"/>
      <c r="L103" s="2593" t="s">
        <v>6635</v>
      </c>
      <c r="M103" s="2527">
        <v>17555251</v>
      </c>
      <c r="N103" s="2594">
        <v>16057936</v>
      </c>
      <c r="O103" s="2507">
        <v>15715275</v>
      </c>
      <c r="P103" s="2507">
        <v>14958720</v>
      </c>
      <c r="Q103" s="2482"/>
      <c r="R103" s="2482"/>
      <c r="S103" s="2482"/>
      <c r="T103" s="2482"/>
      <c r="U103" s="2482"/>
      <c r="V103" s="2482"/>
      <c r="W103" s="2482"/>
      <c r="X103" s="2482"/>
      <c r="Y103" s="2482"/>
      <c r="Z103" s="2482"/>
      <c r="AA103" s="2482"/>
    </row>
    <row r="104" spans="1:27" ht="15.75" customHeight="1" x14ac:dyDescent="0.2">
      <c r="A104" s="2640" t="s">
        <v>6635</v>
      </c>
      <c r="B104" s="2502" t="s">
        <v>6636</v>
      </c>
      <c r="C104" s="2527">
        <f t="shared" si="23"/>
        <v>68130595</v>
      </c>
      <c r="D104" s="2527">
        <v>4785691</v>
      </c>
      <c r="E104" s="2527">
        <v>2837923</v>
      </c>
      <c r="F104" s="2527">
        <v>0</v>
      </c>
      <c r="G104" s="2527">
        <v>0</v>
      </c>
      <c r="H104" s="2527">
        <f t="shared" si="24"/>
        <v>70078363</v>
      </c>
      <c r="I104" s="2479"/>
      <c r="K104" s="2579"/>
      <c r="L104" s="2593" t="s">
        <v>6637</v>
      </c>
      <c r="M104" s="2527">
        <v>68130595</v>
      </c>
      <c r="N104" s="2594">
        <v>65027849</v>
      </c>
      <c r="O104" s="2507">
        <v>63799815</v>
      </c>
      <c r="P104" s="2507">
        <v>63565114</v>
      </c>
      <c r="Q104" s="2482"/>
      <c r="R104" s="2482"/>
      <c r="S104" s="2482"/>
      <c r="T104" s="2482"/>
      <c r="U104" s="2482"/>
      <c r="V104" s="2482"/>
      <c r="W104" s="2482"/>
      <c r="X104" s="2482"/>
      <c r="Y104" s="2482"/>
      <c r="Z104" s="2482"/>
      <c r="AA104" s="2482"/>
    </row>
    <row r="105" spans="1:27" ht="15.75" customHeight="1" x14ac:dyDescent="0.2">
      <c r="A105" s="2640" t="s">
        <v>6637</v>
      </c>
      <c r="B105" s="2502" t="s">
        <v>6638</v>
      </c>
      <c r="C105" s="2527">
        <f t="shared" si="23"/>
        <v>43283258</v>
      </c>
      <c r="D105" s="2527">
        <v>6229437</v>
      </c>
      <c r="E105" s="2527">
        <v>1478167</v>
      </c>
      <c r="F105" s="2527">
        <v>0</v>
      </c>
      <c r="G105" s="2527">
        <v>0</v>
      </c>
      <c r="H105" s="2527">
        <f t="shared" si="24"/>
        <v>48034528</v>
      </c>
      <c r="I105" s="2479"/>
      <c r="K105" s="2579"/>
      <c r="L105" s="2593" t="s">
        <v>6639</v>
      </c>
      <c r="M105" s="2527">
        <v>43283258</v>
      </c>
      <c r="N105" s="2594">
        <v>37098364</v>
      </c>
      <c r="O105" s="2507">
        <v>35926482</v>
      </c>
      <c r="P105" s="2507">
        <v>34959699</v>
      </c>
      <c r="Q105" s="2482"/>
      <c r="R105" s="2482"/>
      <c r="S105" s="2482"/>
      <c r="T105" s="2482"/>
      <c r="U105" s="2482"/>
      <c r="V105" s="2482"/>
      <c r="W105" s="2482"/>
      <c r="X105" s="2482"/>
      <c r="Y105" s="2482"/>
      <c r="Z105" s="2482"/>
      <c r="AA105" s="2482"/>
    </row>
    <row r="106" spans="1:27" ht="15.75" customHeight="1" x14ac:dyDescent="0.2">
      <c r="A106" s="2640" t="s">
        <v>6639</v>
      </c>
      <c r="B106" s="2502" t="s">
        <v>6640</v>
      </c>
      <c r="C106" s="2527">
        <f t="shared" si="23"/>
        <v>231266539</v>
      </c>
      <c r="D106" s="2527">
        <v>29622840</v>
      </c>
      <c r="E106" s="2527">
        <v>10312087</v>
      </c>
      <c r="F106" s="2527">
        <v>0</v>
      </c>
      <c r="G106" s="2527">
        <v>594150</v>
      </c>
      <c r="H106" s="2527">
        <f t="shared" si="24"/>
        <v>251171442</v>
      </c>
      <c r="I106" s="2479"/>
      <c r="K106" s="2579"/>
      <c r="L106" s="2593" t="s">
        <v>6641</v>
      </c>
      <c r="M106" s="2527">
        <v>231266539</v>
      </c>
      <c r="N106" s="2594">
        <v>215385271</v>
      </c>
      <c r="O106" s="2507">
        <v>208705880</v>
      </c>
      <c r="P106" s="2507">
        <v>190961993</v>
      </c>
      <c r="Q106" s="2482"/>
      <c r="R106" s="2482"/>
      <c r="S106" s="2482"/>
      <c r="T106" s="2482"/>
      <c r="U106" s="2482"/>
      <c r="V106" s="2482"/>
      <c r="W106" s="2482"/>
      <c r="X106" s="2482"/>
      <c r="Y106" s="2482"/>
      <c r="Z106" s="2482"/>
      <c r="AA106" s="2482"/>
    </row>
    <row r="107" spans="1:27" ht="15.75" customHeight="1" x14ac:dyDescent="0.2">
      <c r="A107" s="2640" t="s">
        <v>6641</v>
      </c>
      <c r="B107" s="2502" t="s">
        <v>6642</v>
      </c>
      <c r="C107" s="2527">
        <f t="shared" si="23"/>
        <v>526053780</v>
      </c>
      <c r="D107" s="2527">
        <v>27645342</v>
      </c>
      <c r="E107" s="2527">
        <v>16784387</v>
      </c>
      <c r="F107" s="2527">
        <v>0</v>
      </c>
      <c r="G107" s="2527">
        <v>0</v>
      </c>
      <c r="H107" s="2527">
        <f t="shared" si="24"/>
        <v>536914735</v>
      </c>
      <c r="I107" s="2479"/>
      <c r="K107" s="2579"/>
      <c r="L107" s="2593" t="s">
        <v>6643</v>
      </c>
      <c r="M107" s="2527">
        <v>526053780</v>
      </c>
      <c r="N107" s="2594">
        <v>504642261</v>
      </c>
      <c r="O107" s="2507">
        <v>510180404</v>
      </c>
      <c r="P107" s="2507">
        <v>501800356</v>
      </c>
      <c r="Q107" s="2482"/>
      <c r="R107" s="2482"/>
      <c r="S107" s="2482"/>
      <c r="T107" s="2482"/>
      <c r="U107" s="2482"/>
      <c r="V107" s="2482"/>
      <c r="W107" s="2482"/>
      <c r="X107" s="2482"/>
      <c r="Y107" s="2482"/>
      <c r="Z107" s="2482"/>
      <c r="AA107" s="2482"/>
    </row>
    <row r="108" spans="1:27" ht="15.75" customHeight="1" x14ac:dyDescent="0.2">
      <c r="A108" s="2640" t="s">
        <v>6643</v>
      </c>
      <c r="B108" s="2502" t="s">
        <v>6644</v>
      </c>
      <c r="C108" s="2527">
        <f t="shared" si="23"/>
        <v>9996926</v>
      </c>
      <c r="D108" s="2527">
        <v>-145935</v>
      </c>
      <c r="E108" s="2527">
        <v>567819</v>
      </c>
      <c r="F108" s="2527">
        <v>0</v>
      </c>
      <c r="G108" s="2527">
        <v>0</v>
      </c>
      <c r="H108" s="2527">
        <f t="shared" si="24"/>
        <v>9283172</v>
      </c>
      <c r="I108" s="2479"/>
      <c r="K108" s="2579"/>
      <c r="L108" s="2593" t="s">
        <v>6645</v>
      </c>
      <c r="M108" s="2527">
        <v>9996926</v>
      </c>
      <c r="N108" s="2594">
        <v>10057171</v>
      </c>
      <c r="O108" s="2507">
        <v>8670555</v>
      </c>
      <c r="P108" s="2507">
        <v>8519781</v>
      </c>
      <c r="Q108" s="2482"/>
      <c r="R108" s="2482"/>
      <c r="S108" s="2482"/>
      <c r="T108" s="2482"/>
      <c r="U108" s="2482"/>
      <c r="V108" s="2482"/>
      <c r="W108" s="2482"/>
      <c r="X108" s="2482"/>
      <c r="Y108" s="2482"/>
      <c r="Z108" s="2482"/>
      <c r="AA108" s="2482"/>
    </row>
    <row r="109" spans="1:27" ht="15.75" customHeight="1" x14ac:dyDescent="0.2">
      <c r="A109" s="2640" t="s">
        <v>6645</v>
      </c>
      <c r="B109" s="2502" t="s">
        <v>6646</v>
      </c>
      <c r="C109" s="2527">
        <f t="shared" si="23"/>
        <v>1465275062</v>
      </c>
      <c r="D109" s="2527">
        <f>SUM(D99:D108)</f>
        <v>135881896</v>
      </c>
      <c r="E109" s="2527">
        <f>SUM(E99:E108)</f>
        <v>64039552</v>
      </c>
      <c r="F109" s="2527">
        <f>SUM(F99:F108)</f>
        <v>0</v>
      </c>
      <c r="G109" s="2527">
        <f>SUM(G99:G108)</f>
        <v>5203</v>
      </c>
      <c r="H109" s="2527">
        <f>SUM(H99:H108)</f>
        <v>1537122609</v>
      </c>
      <c r="I109" s="2479"/>
      <c r="K109" s="2579"/>
      <c r="L109" s="2593" t="s">
        <v>6647</v>
      </c>
      <c r="M109" s="2527">
        <v>1465275062</v>
      </c>
      <c r="N109" s="2594">
        <v>1376963715</v>
      </c>
      <c r="O109" s="2507">
        <v>1349470354</v>
      </c>
      <c r="P109" s="2507">
        <v>1287632918</v>
      </c>
      <c r="Q109" s="2482"/>
      <c r="R109" s="2482"/>
      <c r="S109" s="2482"/>
      <c r="T109" s="2482"/>
      <c r="U109" s="2482"/>
      <c r="V109" s="2482"/>
      <c r="W109" s="2482"/>
      <c r="X109" s="2482"/>
      <c r="Y109" s="2482"/>
      <c r="Z109" s="2482"/>
      <c r="AA109" s="2482"/>
    </row>
    <row r="110" spans="1:27" ht="15.75" customHeight="1" x14ac:dyDescent="0.2">
      <c r="A110" s="2640" t="s">
        <v>6647</v>
      </c>
      <c r="B110" s="2502" t="s">
        <v>6648</v>
      </c>
      <c r="C110" s="2531">
        <f>SUMIF(A:A,A110,N:N)</f>
        <v>1822901</v>
      </c>
      <c r="D110" s="2559"/>
      <c r="E110" s="2559"/>
      <c r="F110" s="2559"/>
      <c r="G110" s="2559"/>
      <c r="H110" s="2531">
        <f>SUM(C110:D110)-E110+SUM(F110:G110)</f>
        <v>1822901</v>
      </c>
      <c r="I110" s="2479"/>
      <c r="K110" s="2579"/>
      <c r="L110" s="2593" t="s">
        <v>6649</v>
      </c>
      <c r="M110" s="2531">
        <v>1822901</v>
      </c>
      <c r="N110" s="2594">
        <v>1822901</v>
      </c>
      <c r="O110" s="2507">
        <v>1822901</v>
      </c>
      <c r="P110" s="2507">
        <v>1854828</v>
      </c>
      <c r="Q110" s="2482"/>
      <c r="R110" s="2482"/>
      <c r="S110" s="2482"/>
      <c r="T110" s="2482"/>
      <c r="U110" s="2482"/>
      <c r="V110" s="2482"/>
      <c r="W110" s="2482"/>
      <c r="X110" s="2482"/>
      <c r="Y110" s="2482"/>
      <c r="Z110" s="2482"/>
      <c r="AA110" s="2482"/>
    </row>
    <row r="111" spans="1:27" ht="15.75" customHeight="1" x14ac:dyDescent="0.2">
      <c r="A111" s="2640" t="s">
        <v>6649</v>
      </c>
      <c r="B111" s="2502" t="s">
        <v>6650</v>
      </c>
      <c r="C111" s="2527">
        <f>SUMIF(A:A,A111,M:M)</f>
        <v>39748</v>
      </c>
      <c r="D111" s="2559"/>
      <c r="E111" s="2559"/>
      <c r="F111" s="2527">
        <v>-2058</v>
      </c>
      <c r="G111" s="2559"/>
      <c r="H111" s="2527">
        <f>SUM(C111:D111)-E111+SUM(F111:G111)</f>
        <v>37690</v>
      </c>
      <c r="I111" s="2479"/>
      <c r="K111" s="2579"/>
      <c r="L111" s="2593" t="s">
        <v>6651</v>
      </c>
      <c r="M111" s="2527">
        <v>39748</v>
      </c>
      <c r="N111" s="2594">
        <v>39748</v>
      </c>
      <c r="O111" s="2507">
        <v>39748</v>
      </c>
      <c r="P111" s="2507">
        <v>39748</v>
      </c>
      <c r="Q111" s="2482"/>
      <c r="R111" s="2482"/>
      <c r="S111" s="2482"/>
      <c r="T111" s="2482"/>
      <c r="U111" s="2482"/>
      <c r="V111" s="2482"/>
      <c r="W111" s="2482"/>
      <c r="X111" s="2482"/>
      <c r="Y111" s="2482"/>
      <c r="Z111" s="2482"/>
      <c r="AA111" s="2482"/>
    </row>
    <row r="112" spans="1:27" ht="15.75" customHeight="1" x14ac:dyDescent="0.2">
      <c r="A112" s="2640" t="s">
        <v>6651</v>
      </c>
      <c r="B112" s="2502" t="s">
        <v>6652</v>
      </c>
      <c r="C112" s="2531">
        <f t="shared" ref="C112:H112" si="25">SUM(C109:C111)</f>
        <v>1467137711</v>
      </c>
      <c r="D112" s="2645">
        <f t="shared" si="25"/>
        <v>135881896</v>
      </c>
      <c r="E112" s="2645">
        <f t="shared" si="25"/>
        <v>64039552</v>
      </c>
      <c r="F112" s="2645">
        <f t="shared" si="25"/>
        <v>-2058</v>
      </c>
      <c r="G112" s="2645">
        <f t="shared" si="25"/>
        <v>5203</v>
      </c>
      <c r="H112" s="2531">
        <f t="shared" si="25"/>
        <v>1538983200</v>
      </c>
      <c r="I112" s="2479"/>
      <c r="K112" s="2579"/>
      <c r="L112" s="2593" t="s">
        <v>6653</v>
      </c>
      <c r="M112" s="2531">
        <v>1467137711</v>
      </c>
      <c r="N112" s="2594">
        <v>1378826364</v>
      </c>
      <c r="O112" s="2507">
        <v>1351333003</v>
      </c>
      <c r="P112" s="2507">
        <v>1289527494</v>
      </c>
      <c r="Q112" s="2482"/>
      <c r="R112" s="2482"/>
      <c r="S112" s="2482"/>
      <c r="T112" s="2482"/>
      <c r="U112" s="2482"/>
      <c r="V112" s="2482"/>
      <c r="W112" s="2482"/>
      <c r="X112" s="2482"/>
      <c r="Y112" s="2482"/>
      <c r="Z112" s="2482"/>
      <c r="AA112" s="2482"/>
    </row>
    <row r="113" spans="1:27" ht="15.75" customHeight="1" x14ac:dyDescent="0.2">
      <c r="A113" s="2640" t="s">
        <v>6653</v>
      </c>
      <c r="B113" s="2502" t="s">
        <v>6654</v>
      </c>
      <c r="C113" s="2645">
        <f t="shared" ref="C113:H113" si="26">SUM(C112,C97,C88,C71,C58,C16)</f>
        <v>32845782874</v>
      </c>
      <c r="D113" s="2645">
        <f t="shared" si="26"/>
        <v>1352872153</v>
      </c>
      <c r="E113" s="2645">
        <f t="shared" si="26"/>
        <v>333275651</v>
      </c>
      <c r="F113" s="2645">
        <f t="shared" si="26"/>
        <v>-16158077</v>
      </c>
      <c r="G113" s="2645">
        <f t="shared" si="26"/>
        <v>13946</v>
      </c>
      <c r="H113" s="2645">
        <f t="shared" si="26"/>
        <v>33849235245</v>
      </c>
      <c r="I113" s="2479"/>
      <c r="K113" s="2579"/>
      <c r="L113" s="2593" t="s">
        <v>6655</v>
      </c>
      <c r="M113" s="2645">
        <v>32845782874</v>
      </c>
      <c r="N113" s="2594">
        <v>32098209670</v>
      </c>
      <c r="O113" s="2507">
        <v>30542982747</v>
      </c>
      <c r="P113" s="2507">
        <v>28629755212</v>
      </c>
      <c r="Q113" s="2482"/>
      <c r="R113" s="2482"/>
      <c r="S113" s="2482"/>
      <c r="T113" s="2482"/>
      <c r="U113" s="2482"/>
      <c r="V113" s="2482"/>
      <c r="W113" s="2482"/>
      <c r="X113" s="2482"/>
      <c r="Y113" s="2482"/>
      <c r="Z113" s="2482"/>
      <c r="AA113" s="2482"/>
    </row>
    <row r="114" spans="1:27" ht="15.75" customHeight="1" x14ac:dyDescent="0.2">
      <c r="A114" s="2640" t="s">
        <v>6655</v>
      </c>
      <c r="B114" s="2502" t="s">
        <v>6656</v>
      </c>
      <c r="C114" s="2527">
        <f>SUMIF(A:A,A114,M:M)</f>
        <v>0</v>
      </c>
      <c r="D114" s="2559"/>
      <c r="E114" s="2559"/>
      <c r="F114" s="2559"/>
      <c r="G114" s="2559"/>
      <c r="H114" s="2527">
        <f>SUM(C114:D114)-E114+SUM(F114:G114)</f>
        <v>0</v>
      </c>
      <c r="I114" s="2479"/>
      <c r="K114" s="2579"/>
      <c r="L114" s="2593" t="s">
        <v>6657</v>
      </c>
      <c r="M114" s="2527">
        <v>0</v>
      </c>
      <c r="N114" s="2594">
        <v>0</v>
      </c>
      <c r="O114" s="2511"/>
      <c r="P114" s="2511"/>
      <c r="Q114" s="2482"/>
      <c r="R114" s="2482"/>
      <c r="S114" s="2482"/>
      <c r="T114" s="2482"/>
      <c r="U114" s="2482"/>
      <c r="V114" s="2482"/>
      <c r="W114" s="2482"/>
      <c r="X114" s="2482"/>
      <c r="Y114" s="2482"/>
      <c r="Z114" s="2482"/>
      <c r="AA114" s="2482"/>
    </row>
    <row r="115" spans="1:27" ht="15.75" customHeight="1" x14ac:dyDescent="0.2">
      <c r="A115" s="2640" t="s">
        <v>6657</v>
      </c>
      <c r="B115" s="2502" t="s">
        <v>6658</v>
      </c>
      <c r="C115" s="2527">
        <f>SUMIF(A:A,A115,M:M)</f>
        <v>0</v>
      </c>
      <c r="D115" s="2559"/>
      <c r="E115" s="2559"/>
      <c r="F115" s="2559"/>
      <c r="G115" s="2559"/>
      <c r="H115" s="2527">
        <f>SUM(C115:D115)-E115+SUM(F115:G115)</f>
        <v>0</v>
      </c>
      <c r="I115" s="2479"/>
      <c r="K115" s="2579"/>
      <c r="L115" s="2593" t="s">
        <v>6659</v>
      </c>
      <c r="M115" s="2527">
        <v>0</v>
      </c>
      <c r="N115" s="2594">
        <v>0</v>
      </c>
      <c r="O115" s="2511"/>
      <c r="P115" s="2511"/>
      <c r="Q115" s="2482"/>
      <c r="R115" s="2482"/>
      <c r="S115" s="2482"/>
      <c r="T115" s="2482"/>
      <c r="U115" s="2482"/>
      <c r="V115" s="2482"/>
      <c r="W115" s="2482"/>
      <c r="X115" s="2482"/>
      <c r="Y115" s="2482"/>
      <c r="Z115" s="2482"/>
      <c r="AA115" s="2482"/>
    </row>
    <row r="116" spans="1:27" ht="15.75" customHeight="1" x14ac:dyDescent="0.2">
      <c r="A116" s="2640" t="s">
        <v>6659</v>
      </c>
      <c r="B116" s="2502" t="s">
        <v>6660</v>
      </c>
      <c r="C116" s="2527">
        <f>SUMIF(A:A,A116,M:M)</f>
        <v>0</v>
      </c>
      <c r="D116" s="2559"/>
      <c r="E116" s="2559"/>
      <c r="F116" s="2559"/>
      <c r="G116" s="2559"/>
      <c r="H116" s="2527">
        <f>SUM(C116:D116)-E116+SUM(F116:G116)</f>
        <v>0</v>
      </c>
      <c r="I116" s="2479"/>
      <c r="K116" s="2579"/>
      <c r="L116" s="2593" t="s">
        <v>6661</v>
      </c>
      <c r="M116" s="2527">
        <v>0</v>
      </c>
      <c r="N116" s="2594">
        <v>0</v>
      </c>
      <c r="O116" s="2511"/>
      <c r="P116" s="2511"/>
      <c r="Q116" s="2482"/>
      <c r="R116" s="2482"/>
      <c r="S116" s="2482"/>
      <c r="T116" s="2482"/>
      <c r="U116" s="2482"/>
      <c r="V116" s="2482"/>
      <c r="W116" s="2482"/>
      <c r="X116" s="2482"/>
      <c r="Y116" s="2482"/>
      <c r="Z116" s="2482"/>
      <c r="AA116" s="2482"/>
    </row>
    <row r="117" spans="1:27" ht="15.75" customHeight="1" x14ac:dyDescent="0.2">
      <c r="A117" s="2640" t="s">
        <v>6661</v>
      </c>
      <c r="B117" s="2656" t="s">
        <v>6662</v>
      </c>
      <c r="C117" s="2657">
        <f t="shared" ref="C117:H117" si="27">SUM(C113:C114,C116)-C115</f>
        <v>32845782874</v>
      </c>
      <c r="D117" s="2658">
        <f t="shared" si="27"/>
        <v>1352872153</v>
      </c>
      <c r="E117" s="2658">
        <f t="shared" si="27"/>
        <v>333275651</v>
      </c>
      <c r="F117" s="2658">
        <f t="shared" si="27"/>
        <v>-16158077</v>
      </c>
      <c r="G117" s="2658">
        <f t="shared" si="27"/>
        <v>13946</v>
      </c>
      <c r="H117" s="2657">
        <f t="shared" si="27"/>
        <v>33849235245</v>
      </c>
      <c r="I117" s="2479"/>
      <c r="K117" s="2579"/>
      <c r="L117" s="2593" t="s">
        <v>6663</v>
      </c>
      <c r="M117" s="2657">
        <v>32845782874</v>
      </c>
      <c r="N117" s="2594">
        <v>32098209670</v>
      </c>
      <c r="O117" s="2507">
        <v>30542982747</v>
      </c>
      <c r="P117" s="2507">
        <v>28629755212</v>
      </c>
      <c r="Q117" s="2482"/>
      <c r="R117" s="2482"/>
      <c r="S117" s="2482"/>
      <c r="T117" s="2482"/>
      <c r="U117" s="2482"/>
      <c r="V117" s="2482"/>
      <c r="W117" s="2482"/>
      <c r="X117" s="2482"/>
      <c r="Y117" s="2482"/>
      <c r="Z117" s="2482"/>
      <c r="AA117" s="2482"/>
    </row>
    <row r="118" spans="1:27" ht="15" customHeight="1" x14ac:dyDescent="0.2">
      <c r="A118" s="2659"/>
      <c r="B118" s="2608"/>
      <c r="C118" s="2608"/>
      <c r="D118" s="2608"/>
      <c r="E118" s="2608"/>
      <c r="F118" s="2608"/>
      <c r="G118" s="2608"/>
      <c r="H118" s="2608"/>
      <c r="K118" s="2608"/>
      <c r="M118" s="2608"/>
    </row>
    <row r="119" spans="1:27" ht="15" customHeight="1" x14ac:dyDescent="0.2"/>
  </sheetData>
  <mergeCells count="9">
    <mergeCell ref="L8:O8"/>
    <mergeCell ref="C3:D3"/>
    <mergeCell ref="A6:D6"/>
    <mergeCell ref="E6:H6"/>
    <mergeCell ref="A7:D7"/>
    <mergeCell ref="E7:H7"/>
    <mergeCell ref="K7:K8"/>
    <mergeCell ref="A8:D8"/>
    <mergeCell ref="E8:H8"/>
  </mergeCells>
  <pageMargins left="0.75" right="0.75" top="1" bottom="1" header="0.5" footer="0.5"/>
  <customProperties>
    <customPr name="_pios_id" r:id="rId1"/>
  </customProperties>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62844F-EBA1-4938-B471-C04BE1102A91}">
  <sheetPr codeName="Sheet48"/>
  <dimension ref="A1:F103"/>
  <sheetViews>
    <sheetView workbookViewId="0">
      <pane ySplit="6" topLeftCell="A7" activePane="bottomLeft" state="frozen"/>
      <selection pane="bottomLeft"/>
    </sheetView>
  </sheetViews>
  <sheetFormatPr defaultColWidth="11.5" defaultRowHeight="12.75" x14ac:dyDescent="0.2"/>
  <cols>
    <col min="1" max="1" width="3.875" style="1953" customWidth="1"/>
    <col min="2" max="2" width="33.125" style="1953" customWidth="1"/>
    <col min="3" max="5" width="21.375" style="1953" customWidth="1"/>
    <col min="6" max="26" width="17.625" style="1953" customWidth="1"/>
    <col min="27" max="16384" width="11.5" style="1953"/>
  </cols>
  <sheetData>
    <row r="1" spans="1:6" ht="16.7" customHeight="1" x14ac:dyDescent="0.2">
      <c r="B1" s="2478" t="s">
        <v>5937</v>
      </c>
      <c r="C1" s="2479"/>
    </row>
    <row r="2" spans="1:6" ht="16.7" customHeight="1" x14ac:dyDescent="0.2">
      <c r="B2" s="2483"/>
    </row>
    <row r="3" spans="1:6" ht="16.7" customHeight="1" x14ac:dyDescent="0.2">
      <c r="A3" s="3882" t="s">
        <v>6664</v>
      </c>
      <c r="B3" s="3883"/>
      <c r="C3" s="3883"/>
      <c r="D3" s="3883"/>
      <c r="E3" s="3884"/>
      <c r="F3" s="2479"/>
    </row>
    <row r="4" spans="1:6" ht="49.15" customHeight="1" x14ac:dyDescent="0.2">
      <c r="A4" s="3878" t="s">
        <v>6665</v>
      </c>
      <c r="B4" s="3883"/>
      <c r="C4" s="3883"/>
      <c r="D4" s="3883"/>
      <c r="E4" s="3884"/>
      <c r="F4" s="2479"/>
    </row>
    <row r="5" spans="1:6" ht="27.6" customHeight="1" x14ac:dyDescent="0.2">
      <c r="A5" s="3922" t="s">
        <v>6360</v>
      </c>
      <c r="B5" s="2637" t="s">
        <v>6666</v>
      </c>
      <c r="C5" s="2637" t="s">
        <v>6667</v>
      </c>
      <c r="D5" s="2637" t="s">
        <v>6668</v>
      </c>
      <c r="E5" s="2637" t="s">
        <v>6538</v>
      </c>
      <c r="F5" s="2479"/>
    </row>
    <row r="6" spans="1:6" ht="16.7" customHeight="1" x14ac:dyDescent="0.2">
      <c r="A6" s="3923"/>
      <c r="B6" s="2589" t="s">
        <v>5949</v>
      </c>
      <c r="C6" s="2589" t="s">
        <v>5950</v>
      </c>
      <c r="D6" s="2589" t="s">
        <v>5951</v>
      </c>
      <c r="E6" s="2589" t="s">
        <v>5952</v>
      </c>
      <c r="F6" s="2479" t="s">
        <v>6324</v>
      </c>
    </row>
    <row r="7" spans="1:6" ht="16.7" customHeight="1" x14ac:dyDescent="0.2">
      <c r="A7" s="2660">
        <v>1</v>
      </c>
      <c r="B7" s="2512" t="s">
        <v>6669</v>
      </c>
      <c r="C7" s="2652"/>
      <c r="D7" s="2652"/>
      <c r="E7" s="2652"/>
      <c r="F7" s="2479"/>
    </row>
    <row r="8" spans="1:6" ht="16.7" customHeight="1" x14ac:dyDescent="0.2">
      <c r="A8" s="2660">
        <v>2</v>
      </c>
      <c r="B8" s="2488" t="s">
        <v>6670</v>
      </c>
      <c r="C8" s="2661">
        <v>39318</v>
      </c>
      <c r="D8" s="2661">
        <v>48579</v>
      </c>
      <c r="E8" s="2530">
        <v>746268</v>
      </c>
      <c r="F8" s="2479" t="str">
        <f t="shared" ref="F8:F26" si="0">B8</f>
        <v>Barnes Butte Substation</v>
      </c>
    </row>
    <row r="9" spans="1:6" ht="16.7" customHeight="1" x14ac:dyDescent="0.2">
      <c r="A9" s="2660">
        <v>3</v>
      </c>
      <c r="B9" s="2488" t="s">
        <v>6671</v>
      </c>
      <c r="C9" s="2661">
        <v>39521</v>
      </c>
      <c r="D9" s="2661">
        <v>45657</v>
      </c>
      <c r="E9" s="2530">
        <v>1173276</v>
      </c>
      <c r="F9" s="2479" t="str">
        <f t="shared" si="0"/>
        <v>Jumbers Point Substation</v>
      </c>
    </row>
    <row r="10" spans="1:6" ht="16.7" customHeight="1" x14ac:dyDescent="0.2">
      <c r="A10" s="2660">
        <v>4</v>
      </c>
      <c r="B10" s="2488" t="s">
        <v>6672</v>
      </c>
      <c r="C10" s="2661">
        <v>40178</v>
      </c>
      <c r="D10" s="2661">
        <v>46387</v>
      </c>
      <c r="E10" s="2530">
        <v>284996</v>
      </c>
      <c r="F10" s="2479" t="str">
        <f t="shared" si="0"/>
        <v>Mountain Green Substation</v>
      </c>
    </row>
    <row r="11" spans="1:6" ht="16.7" customHeight="1" x14ac:dyDescent="0.2">
      <c r="A11" s="2660">
        <v>5</v>
      </c>
      <c r="B11" s="2488" t="s">
        <v>6673</v>
      </c>
      <c r="C11" s="2661">
        <v>39865</v>
      </c>
      <c r="D11" s="2661">
        <v>46387</v>
      </c>
      <c r="E11" s="2530">
        <v>254397</v>
      </c>
      <c r="F11" s="2479" t="str">
        <f t="shared" si="0"/>
        <v>Hoggard Substation</v>
      </c>
    </row>
    <row r="12" spans="1:6" ht="16.7" customHeight="1" x14ac:dyDescent="0.2">
      <c r="A12" s="2660">
        <v>6</v>
      </c>
      <c r="B12" s="2488" t="s">
        <v>6674</v>
      </c>
      <c r="C12" s="2661">
        <v>39865</v>
      </c>
      <c r="D12" s="2661">
        <v>45657</v>
      </c>
      <c r="E12" s="2530">
        <v>396020</v>
      </c>
      <c r="F12" s="2479" t="str">
        <f t="shared" si="0"/>
        <v>Oquirrh-Terminal 345kV Transmission Line</v>
      </c>
    </row>
    <row r="13" spans="1:6" ht="16.7" customHeight="1" x14ac:dyDescent="0.2">
      <c r="A13" s="2660">
        <v>7</v>
      </c>
      <c r="B13" s="2488" t="s">
        <v>6675</v>
      </c>
      <c r="C13" s="2661">
        <v>40365</v>
      </c>
      <c r="D13" s="2661">
        <v>45657</v>
      </c>
      <c r="E13" s="2530">
        <v>2981121</v>
      </c>
      <c r="F13" s="2479" t="str">
        <f t="shared" si="0"/>
        <v>Bend Service Center</v>
      </c>
    </row>
    <row r="14" spans="1:6" ht="16.7" customHeight="1" x14ac:dyDescent="0.2">
      <c r="A14" s="2660">
        <v>8</v>
      </c>
      <c r="B14" s="2488" t="s">
        <v>6676</v>
      </c>
      <c r="C14" s="2661">
        <v>40602</v>
      </c>
      <c r="D14" s="2661">
        <v>45657</v>
      </c>
      <c r="E14" s="2530">
        <v>254753</v>
      </c>
      <c r="F14" s="2479" t="str">
        <f t="shared" si="0"/>
        <v>Populus Substation</v>
      </c>
    </row>
    <row r="15" spans="1:6" ht="16.7" customHeight="1" x14ac:dyDescent="0.2">
      <c r="A15" s="2660">
        <v>9</v>
      </c>
      <c r="B15" s="2488" t="s">
        <v>6677</v>
      </c>
      <c r="C15" s="2661">
        <v>41243</v>
      </c>
      <c r="D15" s="2661">
        <v>47848</v>
      </c>
      <c r="E15" s="2530">
        <v>1838281</v>
      </c>
      <c r="F15" s="2479" t="str">
        <f t="shared" si="0"/>
        <v>Old Mill Substation</v>
      </c>
    </row>
    <row r="16" spans="1:6" ht="16.7" customHeight="1" x14ac:dyDescent="0.2">
      <c r="A16" s="2660">
        <v>10</v>
      </c>
      <c r="B16" s="2488" t="s">
        <v>6678</v>
      </c>
      <c r="C16" s="2661">
        <v>41344</v>
      </c>
      <c r="D16" s="2661">
        <v>47848</v>
      </c>
      <c r="E16" s="2530">
        <v>598457</v>
      </c>
      <c r="F16" s="2479" t="str">
        <f t="shared" si="0"/>
        <v>Chimney Butte-Paradise 230kV Transmission Line</v>
      </c>
    </row>
    <row r="17" spans="1:6" ht="16.7" customHeight="1" x14ac:dyDescent="0.2">
      <c r="A17" s="2660">
        <v>11</v>
      </c>
      <c r="B17" s="2488" t="s">
        <v>6679</v>
      </c>
      <c r="C17" s="2661">
        <v>42550</v>
      </c>
      <c r="D17" s="2661">
        <v>47118</v>
      </c>
      <c r="E17" s="2530">
        <v>1136587</v>
      </c>
      <c r="F17" s="2479" t="str">
        <f t="shared" si="0"/>
        <v>Fiddlers Canyon Substation</v>
      </c>
    </row>
    <row r="18" spans="1:6" ht="16.7" customHeight="1" x14ac:dyDescent="0.2">
      <c r="A18" s="2660">
        <v>12</v>
      </c>
      <c r="B18" s="2488" t="s">
        <v>6680</v>
      </c>
      <c r="C18" s="2661">
        <v>43098</v>
      </c>
      <c r="D18" s="2661">
        <v>46387</v>
      </c>
      <c r="E18" s="2530">
        <v>3166188</v>
      </c>
      <c r="F18" s="2479" t="str">
        <f t="shared" si="0"/>
        <v>Banfield Substation</v>
      </c>
    </row>
    <row r="19" spans="1:6" ht="16.7" customHeight="1" x14ac:dyDescent="0.2">
      <c r="A19" s="2660">
        <v>13</v>
      </c>
      <c r="B19" s="2488" t="s">
        <v>6681</v>
      </c>
      <c r="C19" s="2661">
        <v>44186</v>
      </c>
      <c r="D19" s="2661">
        <v>48213</v>
      </c>
      <c r="E19" s="2530">
        <v>594174</v>
      </c>
      <c r="F19" s="2479" t="str">
        <f t="shared" si="0"/>
        <v>Ochoco Substation</v>
      </c>
    </row>
    <row r="20" spans="1:6" ht="16.7" customHeight="1" x14ac:dyDescent="0.2">
      <c r="A20" s="2660">
        <v>14</v>
      </c>
      <c r="B20" s="2478" t="s">
        <v>6682</v>
      </c>
      <c r="C20" s="2661"/>
      <c r="D20" s="2661"/>
      <c r="E20" s="2530">
        <v>750057</v>
      </c>
      <c r="F20" s="2479" t="str">
        <f t="shared" si="0"/>
        <v>Miscellaneous, each under $250,000:</v>
      </c>
    </row>
    <row r="21" spans="1:6" ht="16.7" customHeight="1" x14ac:dyDescent="0.2">
      <c r="A21" s="2660">
        <v>15</v>
      </c>
      <c r="B21" s="2488"/>
      <c r="C21" s="2488"/>
      <c r="D21" s="2489"/>
      <c r="E21" s="2488"/>
      <c r="F21" s="2595">
        <f t="shared" si="0"/>
        <v>0</v>
      </c>
    </row>
    <row r="22" spans="1:6" ht="16.7" customHeight="1" x14ac:dyDescent="0.2">
      <c r="A22" s="2660">
        <v>16</v>
      </c>
      <c r="B22" s="2488"/>
      <c r="C22" s="2488"/>
      <c r="D22" s="2488"/>
      <c r="E22" s="2488"/>
      <c r="F22" s="2595">
        <f t="shared" si="0"/>
        <v>0</v>
      </c>
    </row>
    <row r="23" spans="1:6" ht="7.5" customHeight="1" x14ac:dyDescent="0.2">
      <c r="A23" s="2660">
        <v>17</v>
      </c>
      <c r="B23" s="2488"/>
      <c r="C23" s="2488"/>
      <c r="D23" s="2488"/>
      <c r="E23" s="2488"/>
      <c r="F23" s="2595">
        <f t="shared" si="0"/>
        <v>0</v>
      </c>
    </row>
    <row r="24" spans="1:6" ht="7.5" customHeight="1" x14ac:dyDescent="0.2">
      <c r="A24" s="2660">
        <v>18</v>
      </c>
      <c r="B24" s="2488"/>
      <c r="C24" s="2488"/>
      <c r="D24" s="2488"/>
      <c r="E24" s="2488"/>
      <c r="F24" s="2595">
        <f t="shared" si="0"/>
        <v>0</v>
      </c>
    </row>
    <row r="25" spans="1:6" ht="7.5" customHeight="1" x14ac:dyDescent="0.2">
      <c r="A25" s="2660">
        <v>19</v>
      </c>
      <c r="B25" s="2488"/>
      <c r="C25" s="2662"/>
      <c r="D25" s="2662"/>
      <c r="E25" s="2488"/>
      <c r="F25" s="2595">
        <f t="shared" si="0"/>
        <v>0</v>
      </c>
    </row>
    <row r="26" spans="1:6" ht="7.5" customHeight="1" x14ac:dyDescent="0.2">
      <c r="A26" s="2660">
        <v>20</v>
      </c>
      <c r="B26" s="2488"/>
      <c r="C26" s="2662"/>
      <c r="D26" s="2662"/>
      <c r="E26" s="2488"/>
      <c r="F26" s="2595">
        <f t="shared" si="0"/>
        <v>0</v>
      </c>
    </row>
    <row r="27" spans="1:6" ht="16.7" customHeight="1" x14ac:dyDescent="0.2">
      <c r="A27" s="2660">
        <v>21</v>
      </c>
      <c r="B27" s="2512" t="s">
        <v>6683</v>
      </c>
      <c r="C27" s="2663"/>
      <c r="D27" s="2664"/>
      <c r="E27" s="2652"/>
      <c r="F27" s="2479"/>
    </row>
    <row r="28" spans="1:6" ht="6.6" customHeight="1" x14ac:dyDescent="0.2">
      <c r="A28" s="2660">
        <v>22</v>
      </c>
      <c r="B28" s="2512"/>
      <c r="C28" s="2665"/>
      <c r="D28" s="2665"/>
      <c r="E28" s="2614"/>
      <c r="F28" s="2595">
        <f t="shared" ref="F28:F52" si="1">B28</f>
        <v>0</v>
      </c>
    </row>
    <row r="29" spans="1:6" ht="6.6" customHeight="1" x14ac:dyDescent="0.2">
      <c r="A29" s="2660">
        <v>23</v>
      </c>
      <c r="B29" s="2488"/>
      <c r="C29" s="2662"/>
      <c r="D29" s="2662"/>
      <c r="E29" s="2488"/>
      <c r="F29" s="2595">
        <f t="shared" si="1"/>
        <v>0</v>
      </c>
    </row>
    <row r="30" spans="1:6" ht="6.6" customHeight="1" x14ac:dyDescent="0.2">
      <c r="A30" s="2660">
        <v>24</v>
      </c>
      <c r="B30" s="2488"/>
      <c r="C30" s="2662"/>
      <c r="D30" s="2662"/>
      <c r="E30" s="2488"/>
      <c r="F30" s="2595">
        <f t="shared" si="1"/>
        <v>0</v>
      </c>
    </row>
    <row r="31" spans="1:6" ht="6.6" customHeight="1" x14ac:dyDescent="0.2">
      <c r="A31" s="2660">
        <v>25</v>
      </c>
      <c r="B31" s="2488"/>
      <c r="C31" s="2662"/>
      <c r="D31" s="2662"/>
      <c r="E31" s="2488"/>
      <c r="F31" s="2595">
        <f t="shared" si="1"/>
        <v>0</v>
      </c>
    </row>
    <row r="32" spans="1:6" ht="6.6" customHeight="1" x14ac:dyDescent="0.2">
      <c r="A32" s="2660">
        <v>26</v>
      </c>
      <c r="B32" s="2488"/>
      <c r="C32" s="2662"/>
      <c r="D32" s="2662"/>
      <c r="E32" s="2488"/>
      <c r="F32" s="2595">
        <f t="shared" si="1"/>
        <v>0</v>
      </c>
    </row>
    <row r="33" spans="1:6" ht="6.6" customHeight="1" x14ac:dyDescent="0.2">
      <c r="A33" s="2660">
        <v>27</v>
      </c>
      <c r="B33" s="2488"/>
      <c r="C33" s="2662"/>
      <c r="D33" s="2662"/>
      <c r="E33" s="2488"/>
      <c r="F33" s="2595">
        <f t="shared" si="1"/>
        <v>0</v>
      </c>
    </row>
    <row r="34" spans="1:6" ht="6.6" customHeight="1" x14ac:dyDescent="0.2">
      <c r="A34" s="2660">
        <v>28</v>
      </c>
      <c r="B34" s="2488"/>
      <c r="C34" s="2662"/>
      <c r="D34" s="2662"/>
      <c r="E34" s="2488"/>
      <c r="F34" s="2595">
        <f t="shared" si="1"/>
        <v>0</v>
      </c>
    </row>
    <row r="35" spans="1:6" ht="6.6" customHeight="1" x14ac:dyDescent="0.2">
      <c r="A35" s="2660">
        <v>29</v>
      </c>
      <c r="B35" s="2488"/>
      <c r="C35" s="2662"/>
      <c r="D35" s="2662"/>
      <c r="E35" s="2488"/>
      <c r="F35" s="2595">
        <f t="shared" si="1"/>
        <v>0</v>
      </c>
    </row>
    <row r="36" spans="1:6" ht="6.6" customHeight="1" x14ac:dyDescent="0.2">
      <c r="A36" s="2660">
        <v>30</v>
      </c>
      <c r="B36" s="2488"/>
      <c r="C36" s="2662"/>
      <c r="D36" s="2662"/>
      <c r="E36" s="2488"/>
      <c r="F36" s="2595">
        <f t="shared" si="1"/>
        <v>0</v>
      </c>
    </row>
    <row r="37" spans="1:6" ht="6.6" customHeight="1" x14ac:dyDescent="0.2">
      <c r="A37" s="2660">
        <v>31</v>
      </c>
      <c r="B37" s="2488"/>
      <c r="C37" s="2662"/>
      <c r="D37" s="2662"/>
      <c r="E37" s="2488"/>
      <c r="F37" s="2595">
        <f t="shared" si="1"/>
        <v>0</v>
      </c>
    </row>
    <row r="38" spans="1:6" ht="6.6" customHeight="1" x14ac:dyDescent="0.2">
      <c r="A38" s="2660">
        <v>32</v>
      </c>
      <c r="B38" s="2488"/>
      <c r="C38" s="2662"/>
      <c r="D38" s="2662"/>
      <c r="E38" s="2488"/>
      <c r="F38" s="2595">
        <f t="shared" si="1"/>
        <v>0</v>
      </c>
    </row>
    <row r="39" spans="1:6" ht="6.6" customHeight="1" x14ac:dyDescent="0.2">
      <c r="A39" s="2660">
        <v>33</v>
      </c>
      <c r="B39" s="2488"/>
      <c r="C39" s="2662"/>
      <c r="D39" s="2662"/>
      <c r="E39" s="2488"/>
      <c r="F39" s="2595">
        <f t="shared" si="1"/>
        <v>0</v>
      </c>
    </row>
    <row r="40" spans="1:6" ht="6.6" customHeight="1" x14ac:dyDescent="0.2">
      <c r="A40" s="2660">
        <v>34</v>
      </c>
      <c r="B40" s="2488"/>
      <c r="C40" s="2662"/>
      <c r="D40" s="2662"/>
      <c r="E40" s="2488"/>
      <c r="F40" s="2595">
        <f t="shared" si="1"/>
        <v>0</v>
      </c>
    </row>
    <row r="41" spans="1:6" ht="6.6" customHeight="1" x14ac:dyDescent="0.2">
      <c r="A41" s="2660">
        <v>35</v>
      </c>
      <c r="B41" s="2488"/>
      <c r="C41" s="2662"/>
      <c r="D41" s="2662"/>
      <c r="E41" s="2488"/>
      <c r="F41" s="2595">
        <f t="shared" si="1"/>
        <v>0</v>
      </c>
    </row>
    <row r="42" spans="1:6" ht="6.6" customHeight="1" x14ac:dyDescent="0.2">
      <c r="A42" s="2660">
        <v>36</v>
      </c>
      <c r="B42" s="2488"/>
      <c r="C42" s="2662"/>
      <c r="D42" s="2662"/>
      <c r="E42" s="2488"/>
      <c r="F42" s="2595">
        <f t="shared" si="1"/>
        <v>0</v>
      </c>
    </row>
    <row r="43" spans="1:6" ht="6.6" customHeight="1" x14ac:dyDescent="0.2">
      <c r="A43" s="2660">
        <v>37</v>
      </c>
      <c r="B43" s="2488"/>
      <c r="C43" s="2662"/>
      <c r="D43" s="2662"/>
      <c r="E43" s="2488"/>
      <c r="F43" s="2595">
        <f t="shared" si="1"/>
        <v>0</v>
      </c>
    </row>
    <row r="44" spans="1:6" ht="6.6" customHeight="1" x14ac:dyDescent="0.2">
      <c r="A44" s="2660">
        <v>38</v>
      </c>
      <c r="B44" s="2488"/>
      <c r="C44" s="2662"/>
      <c r="D44" s="2662"/>
      <c r="E44" s="2488"/>
      <c r="F44" s="2595">
        <f t="shared" si="1"/>
        <v>0</v>
      </c>
    </row>
    <row r="45" spans="1:6" ht="6.6" customHeight="1" x14ac:dyDescent="0.2">
      <c r="A45" s="2660">
        <v>39</v>
      </c>
      <c r="B45" s="2488"/>
      <c r="C45" s="2662"/>
      <c r="D45" s="2662"/>
      <c r="E45" s="2488"/>
      <c r="F45" s="2595">
        <f t="shared" si="1"/>
        <v>0</v>
      </c>
    </row>
    <row r="46" spans="1:6" ht="6.6" customHeight="1" x14ac:dyDescent="0.2">
      <c r="A46" s="2660">
        <v>40</v>
      </c>
      <c r="B46" s="2488"/>
      <c r="C46" s="2662"/>
      <c r="D46" s="2662"/>
      <c r="E46" s="2488"/>
      <c r="F46" s="2595">
        <f t="shared" si="1"/>
        <v>0</v>
      </c>
    </row>
    <row r="47" spans="1:6" ht="6.6" customHeight="1" x14ac:dyDescent="0.2">
      <c r="A47" s="2660">
        <v>41</v>
      </c>
      <c r="B47" s="2488"/>
      <c r="C47" s="2662"/>
      <c r="D47" s="2662"/>
      <c r="E47" s="2488"/>
      <c r="F47" s="2595">
        <f t="shared" si="1"/>
        <v>0</v>
      </c>
    </row>
    <row r="48" spans="1:6" ht="6.6" customHeight="1" x14ac:dyDescent="0.2">
      <c r="A48" s="2660">
        <v>42</v>
      </c>
      <c r="B48" s="2488"/>
      <c r="C48" s="2662"/>
      <c r="D48" s="2662"/>
      <c r="E48" s="2488"/>
      <c r="F48" s="2595">
        <f t="shared" si="1"/>
        <v>0</v>
      </c>
    </row>
    <row r="49" spans="1:6" ht="6.6" customHeight="1" x14ac:dyDescent="0.2">
      <c r="A49" s="2660">
        <v>43</v>
      </c>
      <c r="B49" s="2488"/>
      <c r="C49" s="2662"/>
      <c r="D49" s="2662"/>
      <c r="E49" s="2488"/>
      <c r="F49" s="2595">
        <f t="shared" si="1"/>
        <v>0</v>
      </c>
    </row>
    <row r="50" spans="1:6" ht="6.6" customHeight="1" x14ac:dyDescent="0.2">
      <c r="A50" s="2660">
        <v>44</v>
      </c>
      <c r="B50" s="2488"/>
      <c r="C50" s="2662"/>
      <c r="D50" s="2662"/>
      <c r="E50" s="2488"/>
      <c r="F50" s="2595">
        <f t="shared" si="1"/>
        <v>0</v>
      </c>
    </row>
    <row r="51" spans="1:6" ht="6.6" customHeight="1" x14ac:dyDescent="0.2">
      <c r="A51" s="2660">
        <v>45</v>
      </c>
      <c r="B51" s="2488"/>
      <c r="C51" s="2662"/>
      <c r="D51" s="2662"/>
      <c r="E51" s="2488"/>
      <c r="F51" s="2595">
        <f t="shared" si="1"/>
        <v>0</v>
      </c>
    </row>
    <row r="52" spans="1:6" ht="6.6" customHeight="1" x14ac:dyDescent="0.2">
      <c r="A52" s="2660">
        <v>46</v>
      </c>
      <c r="B52" s="2488"/>
      <c r="C52" s="2662"/>
      <c r="D52" s="2662"/>
      <c r="E52" s="2488"/>
      <c r="F52" s="2595">
        <f t="shared" si="1"/>
        <v>0</v>
      </c>
    </row>
    <row r="53" spans="1:6" ht="29.1" customHeight="1" x14ac:dyDescent="0.2">
      <c r="A53" s="2634">
        <v>47</v>
      </c>
      <c r="B53" s="2666" t="s">
        <v>104</v>
      </c>
      <c r="C53" s="3924"/>
      <c r="D53" s="3925"/>
      <c r="E53" s="2667">
        <f>SUM(E8:E52)</f>
        <v>14174575</v>
      </c>
      <c r="F53" s="2479"/>
    </row>
    <row r="54" spans="1:6" ht="16.7" customHeight="1" x14ac:dyDescent="0.2">
      <c r="A54" s="2535"/>
      <c r="B54" s="2516"/>
      <c r="C54" s="2516"/>
      <c r="D54" s="2516"/>
    </row>
    <row r="55" spans="1:6" ht="16.7" customHeight="1" x14ac:dyDescent="0.2"/>
    <row r="56" spans="1:6" ht="16.7" customHeight="1" x14ac:dyDescent="0.2"/>
    <row r="57" spans="1:6" ht="16.7" customHeight="1" x14ac:dyDescent="0.2"/>
    <row r="58" spans="1:6" ht="16.7" customHeight="1" x14ac:dyDescent="0.2"/>
    <row r="59" spans="1:6" ht="16.7" customHeight="1" x14ac:dyDescent="0.2"/>
    <row r="60" spans="1:6" ht="16.7" customHeight="1" x14ac:dyDescent="0.2"/>
    <row r="61" spans="1:6" ht="16.7" customHeight="1" x14ac:dyDescent="0.2"/>
    <row r="62" spans="1:6" ht="16.7" customHeight="1" x14ac:dyDescent="0.2"/>
    <row r="63" spans="1:6" ht="16.7" customHeight="1" x14ac:dyDescent="0.2"/>
    <row r="64" spans="1:6" ht="16.7" customHeight="1" x14ac:dyDescent="0.2"/>
    <row r="65" ht="16.7" customHeight="1" x14ac:dyDescent="0.2"/>
    <row r="66" ht="16.7" customHeight="1" x14ac:dyDescent="0.2"/>
    <row r="67" ht="16.7" customHeight="1" x14ac:dyDescent="0.2"/>
    <row r="68" ht="16.7" customHeight="1" x14ac:dyDescent="0.2"/>
    <row r="69" ht="16.7" customHeight="1" x14ac:dyDescent="0.2"/>
    <row r="70" ht="16.7" customHeight="1" x14ac:dyDescent="0.2"/>
    <row r="71" ht="16.7" customHeight="1" x14ac:dyDescent="0.2"/>
    <row r="72" ht="16.7" customHeight="1" x14ac:dyDescent="0.2"/>
    <row r="73" ht="16.7" customHeight="1" x14ac:dyDescent="0.2"/>
    <row r="74" ht="16.7" customHeight="1" x14ac:dyDescent="0.2"/>
    <row r="75" ht="16.7" customHeight="1" x14ac:dyDescent="0.2"/>
    <row r="76" ht="16.7" customHeight="1" x14ac:dyDescent="0.2"/>
    <row r="77" ht="16.7" customHeight="1" x14ac:dyDescent="0.2"/>
    <row r="78" ht="16.7" customHeight="1" x14ac:dyDescent="0.2"/>
    <row r="79" ht="16.7" customHeight="1" x14ac:dyDescent="0.2"/>
    <row r="80" ht="16.7" customHeight="1" x14ac:dyDescent="0.2"/>
    <row r="81" ht="16.7" customHeight="1" x14ac:dyDescent="0.2"/>
    <row r="82" ht="16.7" customHeight="1" x14ac:dyDescent="0.2"/>
    <row r="83" ht="16.7" customHeight="1" x14ac:dyDescent="0.2"/>
    <row r="84" ht="16.7" customHeight="1" x14ac:dyDescent="0.2"/>
    <row r="85" ht="16.7" customHeight="1" x14ac:dyDescent="0.2"/>
    <row r="86" ht="16.7" customHeight="1" x14ac:dyDescent="0.2"/>
    <row r="87" ht="16.7" customHeight="1" x14ac:dyDescent="0.2"/>
    <row r="88" ht="16.7" customHeight="1" x14ac:dyDescent="0.2"/>
    <row r="89" ht="16.7" customHeight="1" x14ac:dyDescent="0.2"/>
    <row r="90" ht="16.7" customHeight="1" x14ac:dyDescent="0.2"/>
    <row r="91" ht="16.7" customHeight="1" x14ac:dyDescent="0.2"/>
    <row r="92" ht="16.7" customHeight="1" x14ac:dyDescent="0.2"/>
    <row r="93" ht="16.7" customHeight="1" x14ac:dyDescent="0.2"/>
    <row r="94" ht="16.7" customHeight="1" x14ac:dyDescent="0.2"/>
    <row r="95" ht="16.7" customHeight="1" x14ac:dyDescent="0.2"/>
    <row r="96" ht="16.7" customHeight="1" x14ac:dyDescent="0.2"/>
    <row r="97" ht="16.7" customHeight="1" x14ac:dyDescent="0.2"/>
    <row r="98" ht="16.7" customHeight="1" x14ac:dyDescent="0.2"/>
    <row r="99" ht="16.7" customHeight="1" x14ac:dyDescent="0.2"/>
    <row r="100" ht="16.7" customHeight="1" x14ac:dyDescent="0.2"/>
    <row r="101" ht="16.7" customHeight="1" x14ac:dyDescent="0.2"/>
    <row r="102" ht="16.7" customHeight="1" x14ac:dyDescent="0.2"/>
    <row r="103" ht="15" customHeight="1" x14ac:dyDescent="0.2"/>
  </sheetData>
  <mergeCells count="4">
    <mergeCell ref="A3:E3"/>
    <mergeCell ref="A4:E4"/>
    <mergeCell ref="A5:A6"/>
    <mergeCell ref="C53:D53"/>
  </mergeCells>
  <pageMargins left="0.75" right="0.75" top="1" bottom="1" header="0.5" footer="0.5"/>
  <customProperties>
    <customPr name="_pios_id" r:id="rId1"/>
  </customProperties>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A8070D-2ED5-4941-A8B8-2A835A7386F7}">
  <sheetPr codeName="Sheet49"/>
  <dimension ref="A1:D264"/>
  <sheetViews>
    <sheetView workbookViewId="0">
      <pane ySplit="6" topLeftCell="A7" activePane="bottomLeft" state="frozen"/>
      <selection pane="bottomLeft"/>
    </sheetView>
  </sheetViews>
  <sheetFormatPr defaultColWidth="11.5" defaultRowHeight="12.75" x14ac:dyDescent="0.2"/>
  <cols>
    <col min="1" max="1" width="6.625" style="1953" customWidth="1"/>
    <col min="2" max="2" width="73.75" style="1953" customWidth="1"/>
    <col min="3" max="3" width="26.875" style="1953" customWidth="1"/>
    <col min="4" max="26" width="17.625" style="1953" customWidth="1"/>
    <col min="27" max="16384" width="11.5" style="1953"/>
  </cols>
  <sheetData>
    <row r="1" spans="1:4" ht="16.7" customHeight="1" x14ac:dyDescent="0.2"/>
    <row r="2" spans="1:4" ht="16.7" customHeight="1" x14ac:dyDescent="0.2"/>
    <row r="3" spans="1:4" ht="16.7" customHeight="1" x14ac:dyDescent="0.2">
      <c r="A3" s="3860" t="s">
        <v>6684</v>
      </c>
      <c r="B3" s="3856"/>
      <c r="C3" s="3856"/>
      <c r="D3" s="2479"/>
    </row>
    <row r="4" spans="1:4" ht="50.1" customHeight="1" x14ac:dyDescent="0.2">
      <c r="A4" s="3878" t="s">
        <v>6685</v>
      </c>
      <c r="B4" s="3883"/>
      <c r="C4" s="3884"/>
      <c r="D4" s="2479"/>
    </row>
    <row r="5" spans="1:4" ht="27.6" customHeight="1" x14ac:dyDescent="0.2">
      <c r="A5" s="3922" t="s">
        <v>6360</v>
      </c>
      <c r="B5" s="2637" t="s">
        <v>6686</v>
      </c>
      <c r="C5" s="2637" t="s">
        <v>6687</v>
      </c>
      <c r="D5" s="2479"/>
    </row>
    <row r="6" spans="1:4" ht="16.7" customHeight="1" x14ac:dyDescent="0.2">
      <c r="A6" s="3923"/>
      <c r="B6" s="2589" t="s">
        <v>5949</v>
      </c>
      <c r="C6" s="2589" t="s">
        <v>5950</v>
      </c>
      <c r="D6" s="2479" t="s">
        <v>6324</v>
      </c>
    </row>
    <row r="7" spans="1:4" ht="16.7" customHeight="1" x14ac:dyDescent="0.2">
      <c r="A7" s="2660">
        <v>1</v>
      </c>
      <c r="B7" s="2668" t="s">
        <v>6688</v>
      </c>
      <c r="C7" s="2488"/>
      <c r="D7" s="2479" t="str">
        <f t="shared" ref="D7:D23" si="0">B7</f>
        <v>Intangible:</v>
      </c>
    </row>
    <row r="8" spans="1:4" ht="16.7" customHeight="1" x14ac:dyDescent="0.2">
      <c r="A8" s="2660">
        <v>2</v>
      </c>
      <c r="B8" s="2488" t="s">
        <v>6689</v>
      </c>
      <c r="C8" s="2530">
        <v>193860726</v>
      </c>
      <c r="D8" s="2479" t="str">
        <f t="shared" si="0"/>
        <v>Oracle Systems Software</v>
      </c>
    </row>
    <row r="9" spans="1:4" ht="16.7" customHeight="1" x14ac:dyDescent="0.2">
      <c r="A9" s="2660">
        <v>3</v>
      </c>
      <c r="B9" s="2488" t="s">
        <v>6690</v>
      </c>
      <c r="C9" s="2530">
        <v>44838513</v>
      </c>
      <c r="D9" s="2479" t="str">
        <f t="shared" si="0"/>
        <v>Field Ai-Field Asset Intelligence and Related Software Implementations</v>
      </c>
    </row>
    <row r="10" spans="1:4" ht="16.7" customHeight="1" x14ac:dyDescent="0.2">
      <c r="A10" s="2660">
        <v>4</v>
      </c>
      <c r="B10" s="2512" t="s">
        <v>6691</v>
      </c>
      <c r="C10" s="2530">
        <v>10329086</v>
      </c>
      <c r="D10" s="2479" t="str">
        <f t="shared" si="0"/>
        <v>UII Software Upgrade</v>
      </c>
    </row>
    <row r="11" spans="1:4" ht="16.7" customHeight="1" x14ac:dyDescent="0.2">
      <c r="A11" s="2660">
        <v>5</v>
      </c>
      <c r="B11" s="2512" t="s">
        <v>6692</v>
      </c>
      <c r="C11" s="2530">
        <v>8300000</v>
      </c>
      <c r="D11" s="2479" t="str">
        <f t="shared" si="0"/>
        <v>Palantir Foundry</v>
      </c>
    </row>
    <row r="12" spans="1:4" ht="16.7" customHeight="1" x14ac:dyDescent="0.2">
      <c r="A12" s="2660">
        <v>6</v>
      </c>
      <c r="B12" s="2512" t="s">
        <v>6693</v>
      </c>
      <c r="C12" s="2530">
        <v>7831215</v>
      </c>
      <c r="D12" s="2479" t="str">
        <f t="shared" si="0"/>
        <v>Mobile GIS Software</v>
      </c>
    </row>
    <row r="13" spans="1:4" ht="16.7" customHeight="1" x14ac:dyDescent="0.2">
      <c r="A13" s="2660">
        <v>7</v>
      </c>
      <c r="B13" s="2488" t="s">
        <v>6694</v>
      </c>
      <c r="C13" s="2530">
        <v>6262620</v>
      </c>
      <c r="D13" s="2479" t="str">
        <f t="shared" si="0"/>
        <v>Cutler Hydro Relicensing</v>
      </c>
    </row>
    <row r="14" spans="1:4" ht="16.7" customHeight="1" x14ac:dyDescent="0.2">
      <c r="A14" s="2660">
        <v>8</v>
      </c>
      <c r="B14" s="2512" t="s">
        <v>6695</v>
      </c>
      <c r="C14" s="2530">
        <v>5476658</v>
      </c>
      <c r="D14" s="2479" t="str">
        <f t="shared" si="0"/>
        <v>PacifiCorp Public Safety Partner Portal Software</v>
      </c>
    </row>
    <row r="15" spans="1:4" ht="16.7" customHeight="1" x14ac:dyDescent="0.2">
      <c r="A15" s="2660">
        <v>9</v>
      </c>
      <c r="B15" s="2512" t="s">
        <v>6696</v>
      </c>
      <c r="C15" s="2530">
        <v>1908610</v>
      </c>
      <c r="D15" s="2479" t="str">
        <f t="shared" si="0"/>
        <v>Advanced Weather Forecasting &amp; Analytics Software</v>
      </c>
    </row>
    <row r="16" spans="1:4" ht="16.7" customHeight="1" x14ac:dyDescent="0.2">
      <c r="A16" s="2660">
        <v>10</v>
      </c>
      <c r="B16" s="2512" t="s">
        <v>6697</v>
      </c>
      <c r="C16" s="2530">
        <v>1630095</v>
      </c>
      <c r="D16" s="2479" t="str">
        <f t="shared" si="0"/>
        <v>APIM-Asset Performance and Investment Management Software</v>
      </c>
    </row>
    <row r="17" spans="1:4" ht="16.7" customHeight="1" x14ac:dyDescent="0.2">
      <c r="A17" s="2660">
        <v>11</v>
      </c>
      <c r="B17" s="2512" t="s">
        <v>6698</v>
      </c>
      <c r="C17" s="2530">
        <v>1552196</v>
      </c>
      <c r="D17" s="2479" t="str">
        <f t="shared" si="0"/>
        <v>Customer Mobile Apps Software</v>
      </c>
    </row>
    <row r="18" spans="1:4" ht="16.7" customHeight="1" x14ac:dyDescent="0.2">
      <c r="A18" s="2660">
        <v>12</v>
      </c>
      <c r="B18" s="2512" t="s">
        <v>6699</v>
      </c>
      <c r="C18" s="2530">
        <v>1528915</v>
      </c>
      <c r="D18" s="2479" t="str">
        <f t="shared" si="0"/>
        <v>Endur Software Upgrade</v>
      </c>
    </row>
    <row r="19" spans="1:4" ht="16.7" customHeight="1" x14ac:dyDescent="0.2">
      <c r="A19" s="2660">
        <v>13</v>
      </c>
      <c r="B19" s="2512" t="s">
        <v>6700</v>
      </c>
      <c r="C19" s="2530">
        <v>1414142</v>
      </c>
      <c r="D19" s="2479" t="str">
        <f t="shared" si="0"/>
        <v>Maximo Generation</v>
      </c>
    </row>
    <row r="20" spans="1:4" ht="16.7" customHeight="1" x14ac:dyDescent="0.2">
      <c r="A20" s="2660">
        <v>14</v>
      </c>
      <c r="B20" s="2512" t="s">
        <v>6701</v>
      </c>
      <c r="C20" s="2530">
        <v>1383902</v>
      </c>
      <c r="D20" s="2479" t="str">
        <f t="shared" si="0"/>
        <v>PAC SolarWinds</v>
      </c>
    </row>
    <row r="21" spans="1:4" ht="16.7" customHeight="1" x14ac:dyDescent="0.2">
      <c r="A21" s="2660">
        <v>15</v>
      </c>
      <c r="B21" s="2512" t="s">
        <v>6702</v>
      </c>
      <c r="C21" s="2530">
        <v>1134750</v>
      </c>
      <c r="D21" s="2479" t="str">
        <f t="shared" si="0"/>
        <v>Vertex for Oracle</v>
      </c>
    </row>
    <row r="22" spans="1:4" ht="16.7" customHeight="1" x14ac:dyDescent="0.2">
      <c r="A22" s="2660">
        <v>16</v>
      </c>
      <c r="B22" s="2512" t="s">
        <v>6703</v>
      </c>
      <c r="C22" s="2530">
        <v>1083017</v>
      </c>
      <c r="D22" s="2479" t="str">
        <f t="shared" si="0"/>
        <v>Ambient Ai- Video Security</v>
      </c>
    </row>
    <row r="23" spans="1:4" ht="16.7" customHeight="1" x14ac:dyDescent="0.2">
      <c r="A23" s="2660">
        <v>17</v>
      </c>
      <c r="B23" s="2512" t="s">
        <v>6704</v>
      </c>
      <c r="C23" s="2530">
        <v>1029118</v>
      </c>
      <c r="D23" s="2479" t="str">
        <f t="shared" si="0"/>
        <v>OpenMethods for Oracle</v>
      </c>
    </row>
    <row r="24" spans="1:4" ht="16.7" customHeight="1" x14ac:dyDescent="0.2">
      <c r="A24" s="2660">
        <v>18</v>
      </c>
      <c r="B24" s="2512"/>
      <c r="C24" s="2614"/>
      <c r="D24" s="2479"/>
    </row>
    <row r="25" spans="1:4" ht="16.7" customHeight="1" x14ac:dyDescent="0.2">
      <c r="A25" s="2660">
        <v>19</v>
      </c>
      <c r="B25" s="2669" t="s">
        <v>6705</v>
      </c>
      <c r="C25" s="2614"/>
      <c r="D25" s="2479" t="str">
        <f t="shared" ref="D25:D63" si="1">B25</f>
        <v>Production:</v>
      </c>
    </row>
    <row r="26" spans="1:4" ht="16.7" customHeight="1" x14ac:dyDescent="0.2">
      <c r="A26" s="2660">
        <v>20</v>
      </c>
      <c r="B26" s="2512" t="s">
        <v>6706</v>
      </c>
      <c r="C26" s="2530">
        <v>438464084</v>
      </c>
      <c r="D26" s="2479" t="str">
        <f t="shared" si="1"/>
        <v>Rock Creek Wind II</v>
      </c>
    </row>
    <row r="27" spans="1:4" ht="16.7" customHeight="1" x14ac:dyDescent="0.2">
      <c r="A27" s="2660">
        <v>21</v>
      </c>
      <c r="B27" s="2512" t="s">
        <v>6707</v>
      </c>
      <c r="C27" s="2530">
        <v>231492935</v>
      </c>
      <c r="D27" s="2479" t="str">
        <f t="shared" si="1"/>
        <v>Rock Creek Wind I</v>
      </c>
    </row>
    <row r="28" spans="1:4" ht="16.7" customHeight="1" x14ac:dyDescent="0.2">
      <c r="A28" s="2660">
        <v>22</v>
      </c>
      <c r="B28" s="2512" t="s">
        <v>6708</v>
      </c>
      <c r="C28" s="2530">
        <v>65984389</v>
      </c>
      <c r="D28" s="2479" t="str">
        <f t="shared" si="1"/>
        <v>Rock River Wind</v>
      </c>
    </row>
    <row r="29" spans="1:4" ht="16.7" customHeight="1" x14ac:dyDescent="0.2">
      <c r="A29" s="2660">
        <v>23</v>
      </c>
      <c r="B29" s="2512" t="s">
        <v>6709</v>
      </c>
      <c r="C29" s="2530">
        <v>31535058</v>
      </c>
      <c r="D29" s="2479" t="str">
        <f t="shared" si="1"/>
        <v>Fall Creek Hatchery</v>
      </c>
    </row>
    <row r="30" spans="1:4" ht="16.7" customHeight="1" x14ac:dyDescent="0.2">
      <c r="A30" s="2660">
        <v>24</v>
      </c>
      <c r="B30" s="2512" t="s">
        <v>6710</v>
      </c>
      <c r="C30" s="2530">
        <v>18711574</v>
      </c>
      <c r="D30" s="2479" t="str">
        <f t="shared" si="1"/>
        <v>Lewis River System Relicensing Implementation</v>
      </c>
    </row>
    <row r="31" spans="1:4" ht="16.7" customHeight="1" x14ac:dyDescent="0.2">
      <c r="A31" s="2660">
        <v>25</v>
      </c>
      <c r="B31" s="2512" t="s">
        <v>6711</v>
      </c>
      <c r="C31" s="2530">
        <v>10104139</v>
      </c>
      <c r="D31" s="2479" t="str">
        <f t="shared" si="1"/>
        <v>Jim Bridger U2 Conversion to Natural Gas</v>
      </c>
    </row>
    <row r="32" spans="1:4" ht="16.7" customHeight="1" x14ac:dyDescent="0.2">
      <c r="A32" s="2660">
        <v>26</v>
      </c>
      <c r="B32" s="2512" t="s">
        <v>6712</v>
      </c>
      <c r="C32" s="2530">
        <v>9849614</v>
      </c>
      <c r="D32" s="2479" t="str">
        <f t="shared" si="1"/>
        <v>Jim Bridger U1 Conversion to Natural Gas</v>
      </c>
    </row>
    <row r="33" spans="1:4" ht="16.7" customHeight="1" x14ac:dyDescent="0.2">
      <c r="A33" s="2660">
        <v>27</v>
      </c>
      <c r="B33" s="2512" t="s">
        <v>6713</v>
      </c>
      <c r="C33" s="2530">
        <v>8960206</v>
      </c>
      <c r="D33" s="2479" t="str">
        <f t="shared" si="1"/>
        <v>Yale Saddle Dam Seismic Remediation</v>
      </c>
    </row>
    <row r="34" spans="1:4" ht="16.7" customHeight="1" x14ac:dyDescent="0.2">
      <c r="A34" s="2660">
        <v>28</v>
      </c>
      <c r="B34" s="2512" t="s">
        <v>6714</v>
      </c>
      <c r="C34" s="2530">
        <v>8566382</v>
      </c>
      <c r="D34" s="2479" t="str">
        <f t="shared" si="1"/>
        <v>Grace Hydro Unit 3 Overhaul</v>
      </c>
    </row>
    <row r="35" spans="1:4" ht="16.7" customHeight="1" x14ac:dyDescent="0.2">
      <c r="A35" s="2660">
        <v>29</v>
      </c>
      <c r="B35" s="2512" t="s">
        <v>6715</v>
      </c>
      <c r="C35" s="2530">
        <v>6461207</v>
      </c>
      <c r="D35" s="2479" t="str">
        <f t="shared" si="1"/>
        <v>Toketee Dam Rehabilitation Evaluation</v>
      </c>
    </row>
    <row r="36" spans="1:4" ht="16.7" customHeight="1" x14ac:dyDescent="0.2">
      <c r="A36" s="2660">
        <v>30</v>
      </c>
      <c r="B36" s="2512" t="s">
        <v>6716</v>
      </c>
      <c r="C36" s="2530">
        <v>5213086</v>
      </c>
      <c r="D36" s="2479" t="str">
        <f t="shared" si="1"/>
        <v>Viva Naughton FERC Production Compliance</v>
      </c>
    </row>
    <row r="37" spans="1:4" ht="16.7" customHeight="1" x14ac:dyDescent="0.2">
      <c r="A37" s="2660">
        <v>31</v>
      </c>
      <c r="B37" s="2512" t="s">
        <v>6717</v>
      </c>
      <c r="C37" s="2530">
        <v>4734134</v>
      </c>
      <c r="D37" s="2479" t="str">
        <f t="shared" si="1"/>
        <v>Swift 1 Hydro Spillway Gate Bulkhead</v>
      </c>
    </row>
    <row r="38" spans="1:4" ht="16.7" customHeight="1" x14ac:dyDescent="0.2">
      <c r="A38" s="2660">
        <v>32</v>
      </c>
      <c r="B38" s="2512" t="s">
        <v>6718</v>
      </c>
      <c r="C38" s="2530">
        <v>4322632</v>
      </c>
      <c r="D38" s="2479" t="str">
        <f t="shared" si="1"/>
        <v>Toketee 2 Turbine Refurbishment</v>
      </c>
    </row>
    <row r="39" spans="1:4" ht="16.7" customHeight="1" x14ac:dyDescent="0.2">
      <c r="A39" s="2660">
        <v>33</v>
      </c>
      <c r="B39" s="2512" t="s">
        <v>6719</v>
      </c>
      <c r="C39" s="2530">
        <v>4194896</v>
      </c>
      <c r="D39" s="2479" t="str">
        <f t="shared" si="1"/>
        <v>Yale Main Dam In-Situ Instrumentation</v>
      </c>
    </row>
    <row r="40" spans="1:4" ht="16.7" customHeight="1" x14ac:dyDescent="0.2">
      <c r="A40" s="2660">
        <v>34</v>
      </c>
      <c r="B40" s="2512" t="s">
        <v>6720</v>
      </c>
      <c r="C40" s="2530">
        <v>3655875</v>
      </c>
      <c r="D40" s="2479" t="str">
        <f t="shared" si="1"/>
        <v>ILR 4.5 Yale Downstream Fish Passage</v>
      </c>
    </row>
    <row r="41" spans="1:4" ht="16.7" customHeight="1" x14ac:dyDescent="0.2">
      <c r="A41" s="2660">
        <v>35</v>
      </c>
      <c r="B41" s="2512" t="s">
        <v>6721</v>
      </c>
      <c r="C41" s="2530">
        <v>3522219</v>
      </c>
      <c r="D41" s="2479" t="str">
        <f t="shared" si="1"/>
        <v>Swift 1 Hydro Spillway Improvements</v>
      </c>
    </row>
    <row r="42" spans="1:4" ht="16.7" customHeight="1" x14ac:dyDescent="0.2">
      <c r="A42" s="2660">
        <v>36</v>
      </c>
      <c r="B42" s="2512" t="s">
        <v>6722</v>
      </c>
      <c r="C42" s="2530">
        <v>3281070</v>
      </c>
      <c r="D42" s="2479" t="str">
        <f t="shared" si="1"/>
        <v>Swift 1 Hydro Spillway Gate Retrofit</v>
      </c>
    </row>
    <row r="43" spans="1:4" ht="16.7" customHeight="1" x14ac:dyDescent="0.2">
      <c r="A43" s="2660">
        <v>37</v>
      </c>
      <c r="B43" s="2512" t="s">
        <v>6723</v>
      </c>
      <c r="C43" s="2530">
        <v>3171884</v>
      </c>
      <c r="D43" s="2479" t="str">
        <f t="shared" si="1"/>
        <v>Yale Dam Spillway Upgrades Evaluation</v>
      </c>
    </row>
    <row r="44" spans="1:4" ht="16.7" customHeight="1" x14ac:dyDescent="0.2">
      <c r="A44" s="2660">
        <v>38</v>
      </c>
      <c r="B44" s="2512" t="s">
        <v>6724</v>
      </c>
      <c r="C44" s="2530">
        <v>3113811</v>
      </c>
      <c r="D44" s="2479" t="str">
        <f t="shared" si="1"/>
        <v>Cutler Hydro Surge Tank Anchor Upgrades</v>
      </c>
    </row>
    <row r="45" spans="1:4" ht="16.7" customHeight="1" x14ac:dyDescent="0.2">
      <c r="A45" s="2660">
        <v>39</v>
      </c>
      <c r="B45" s="2512" t="s">
        <v>6725</v>
      </c>
      <c r="C45" s="2530">
        <v>2759280</v>
      </c>
      <c r="D45" s="2479" t="str">
        <f t="shared" si="1"/>
        <v>Prospect 3 Hydro - South Fork Flowline Repairs</v>
      </c>
    </row>
    <row r="46" spans="1:4" ht="16.7" customHeight="1" x14ac:dyDescent="0.2">
      <c r="A46" s="2660">
        <v>40</v>
      </c>
      <c r="B46" s="2512" t="s">
        <v>6726</v>
      </c>
      <c r="C46" s="2530">
        <v>2613495</v>
      </c>
      <c r="D46" s="2479" t="str">
        <f t="shared" si="1"/>
        <v>North Fork Dam Upgrade</v>
      </c>
    </row>
    <row r="47" spans="1:4" ht="16.7" customHeight="1" x14ac:dyDescent="0.2">
      <c r="A47" s="2660">
        <v>41</v>
      </c>
      <c r="B47" s="2512" t="s">
        <v>6727</v>
      </c>
      <c r="C47" s="2530">
        <v>2282841</v>
      </c>
      <c r="D47" s="2479" t="str">
        <f t="shared" si="1"/>
        <v>Huntington RO Softener to Thickener Piping</v>
      </c>
    </row>
    <row r="48" spans="1:4" ht="16.7" customHeight="1" x14ac:dyDescent="0.2">
      <c r="A48" s="2660">
        <v>42</v>
      </c>
      <c r="B48" s="2512" t="s">
        <v>6728</v>
      </c>
      <c r="C48" s="2530">
        <v>1911402</v>
      </c>
      <c r="D48" s="2479" t="str">
        <f t="shared" si="1"/>
        <v>Weber Dam Improvements Evaluation</v>
      </c>
    </row>
    <row r="49" spans="1:4" ht="16.7" customHeight="1" x14ac:dyDescent="0.2">
      <c r="A49" s="2670">
        <v>42.000999999999998</v>
      </c>
      <c r="B49" s="2512" t="s">
        <v>6729</v>
      </c>
      <c r="C49" s="2530">
        <v>1867725</v>
      </c>
      <c r="D49" s="2479" t="str">
        <f t="shared" si="1"/>
        <v>Hunter U3 Baghouse Bags</v>
      </c>
    </row>
    <row r="50" spans="1:4" ht="16.7" customHeight="1" x14ac:dyDescent="0.2">
      <c r="A50" s="2670">
        <f t="shared" ref="A50:A113" si="2">A49+0.001</f>
        <v>42.001999999999995</v>
      </c>
      <c r="B50" s="2512" t="s">
        <v>6730</v>
      </c>
      <c r="C50" s="2530">
        <v>1713154</v>
      </c>
      <c r="D50" s="2479" t="str">
        <f t="shared" si="1"/>
        <v>Bear River Hydro Flood and Structural Assessment Project</v>
      </c>
    </row>
    <row r="51" spans="1:4" ht="16.7" customHeight="1" x14ac:dyDescent="0.2">
      <c r="A51" s="2670">
        <f t="shared" si="2"/>
        <v>42.002999999999993</v>
      </c>
      <c r="B51" s="2512" t="s">
        <v>6731</v>
      </c>
      <c r="C51" s="2530">
        <v>1680325</v>
      </c>
      <c r="D51" s="2479" t="str">
        <f t="shared" si="1"/>
        <v>Hunter U3 ID Fans Variable Frequency Drives</v>
      </c>
    </row>
    <row r="52" spans="1:4" ht="16.7" customHeight="1" x14ac:dyDescent="0.2">
      <c r="A52" s="2670">
        <f t="shared" si="2"/>
        <v>42.003999999999991</v>
      </c>
      <c r="B52" s="2512" t="s">
        <v>6732</v>
      </c>
      <c r="C52" s="2530">
        <v>1565622</v>
      </c>
      <c r="D52" s="2479" t="str">
        <f t="shared" si="1"/>
        <v>Lemolo 1 Spillway Improvements</v>
      </c>
    </row>
    <row r="53" spans="1:4" ht="16.7" customHeight="1" x14ac:dyDescent="0.2">
      <c r="A53" s="2670">
        <f t="shared" si="2"/>
        <v>42.004999999999988</v>
      </c>
      <c r="B53" s="2512" t="s">
        <v>6733</v>
      </c>
      <c r="C53" s="2530">
        <v>1406583</v>
      </c>
      <c r="D53" s="2479" t="str">
        <f t="shared" si="1"/>
        <v>Oneida Switchgear</v>
      </c>
    </row>
    <row r="54" spans="1:4" ht="16.7" customHeight="1" x14ac:dyDescent="0.2">
      <c r="A54" s="2670">
        <f t="shared" si="2"/>
        <v>42.005999999999986</v>
      </c>
      <c r="B54" s="2512" t="s">
        <v>6734</v>
      </c>
      <c r="C54" s="2530">
        <v>1332259</v>
      </c>
      <c r="D54" s="2479" t="str">
        <f t="shared" si="1"/>
        <v>Grace Unit #3 Pivot Valve</v>
      </c>
    </row>
    <row r="55" spans="1:4" ht="16.7" customHeight="1" x14ac:dyDescent="0.2">
      <c r="A55" s="2670">
        <f t="shared" si="2"/>
        <v>42.006999999999984</v>
      </c>
      <c r="B55" s="2512" t="s">
        <v>6735</v>
      </c>
      <c r="C55" s="2530">
        <v>1294427</v>
      </c>
      <c r="D55" s="2479" t="str">
        <f t="shared" si="1"/>
        <v>Ashton Hydro Trash Rake</v>
      </c>
    </row>
    <row r="56" spans="1:4" ht="16.7" customHeight="1" x14ac:dyDescent="0.2">
      <c r="A56" s="2670">
        <f t="shared" si="2"/>
        <v>42.007999999999981</v>
      </c>
      <c r="B56" s="2512" t="s">
        <v>6736</v>
      </c>
      <c r="C56" s="2671">
        <v>1276589</v>
      </c>
      <c r="D56" s="2576" t="str">
        <f t="shared" si="1"/>
        <v>Hunter Recovery Basin Lining</v>
      </c>
    </row>
    <row r="57" spans="1:4" ht="16.7" customHeight="1" x14ac:dyDescent="0.2">
      <c r="A57" s="2670">
        <f t="shared" si="2"/>
        <v>42.008999999999979</v>
      </c>
      <c r="B57" s="2512" t="s">
        <v>6737</v>
      </c>
      <c r="C57" s="2530">
        <v>1215262</v>
      </c>
      <c r="D57" s="2479" t="str">
        <f t="shared" si="1"/>
        <v>Hunter U3 3-7 Feedwater Heater Replacement</v>
      </c>
    </row>
    <row r="58" spans="1:4" ht="16.7" customHeight="1" x14ac:dyDescent="0.2">
      <c r="A58" s="2670">
        <f t="shared" si="2"/>
        <v>42.009999999999977</v>
      </c>
      <c r="B58" s="2512" t="s">
        <v>6738</v>
      </c>
      <c r="C58" s="2530">
        <v>1097161</v>
      </c>
      <c r="D58" s="2479" t="str">
        <f t="shared" si="1"/>
        <v>Cutler Dam Upgrades</v>
      </c>
    </row>
    <row r="59" spans="1:4" ht="16.7" customHeight="1" x14ac:dyDescent="0.2">
      <c r="A59" s="2670">
        <f t="shared" si="2"/>
        <v>42.010999999999974</v>
      </c>
      <c r="B59" s="2512" t="s">
        <v>6739</v>
      </c>
      <c r="C59" s="2530">
        <v>1081183</v>
      </c>
      <c r="D59" s="2479" t="str">
        <f t="shared" si="1"/>
        <v>Hunter U3 Air Preheater Basket Replacement</v>
      </c>
    </row>
    <row r="60" spans="1:4" ht="16.7" customHeight="1" x14ac:dyDescent="0.2">
      <c r="A60" s="2670">
        <f t="shared" si="2"/>
        <v>42.011999999999972</v>
      </c>
      <c r="B60" s="2512" t="s">
        <v>6740</v>
      </c>
      <c r="C60" s="2530">
        <v>1055862</v>
      </c>
      <c r="D60" s="2479" t="str">
        <f t="shared" si="1"/>
        <v>Lake Side Gas Continuous Emission Monitors Change Out &amp; ESC Programming</v>
      </c>
    </row>
    <row r="61" spans="1:4" ht="16.7" customHeight="1" x14ac:dyDescent="0.2">
      <c r="A61" s="2670">
        <f t="shared" si="2"/>
        <v>42.01299999999997</v>
      </c>
      <c r="B61" s="2512" t="s">
        <v>6741</v>
      </c>
      <c r="C61" s="2530">
        <v>1048078</v>
      </c>
      <c r="D61" s="2479" t="str">
        <f t="shared" si="1"/>
        <v>Jim Bridger Southend Building Heating</v>
      </c>
    </row>
    <row r="62" spans="1:4" ht="16.7" customHeight="1" x14ac:dyDescent="0.2">
      <c r="A62" s="2670">
        <f t="shared" si="2"/>
        <v>42.013999999999967</v>
      </c>
      <c r="B62" s="2512" t="s">
        <v>6742</v>
      </c>
      <c r="C62" s="2530">
        <v>1023569</v>
      </c>
      <c r="D62" s="2479" t="str">
        <f t="shared" si="1"/>
        <v>Toketee Unit 2 Turbine Isolation Valve Replacement</v>
      </c>
    </row>
    <row r="63" spans="1:4" ht="16.7" customHeight="1" x14ac:dyDescent="0.2">
      <c r="A63" s="2670">
        <f t="shared" si="2"/>
        <v>42.014999999999965</v>
      </c>
      <c r="B63" s="2512" t="s">
        <v>6743</v>
      </c>
      <c r="C63" s="2530">
        <v>1019032</v>
      </c>
      <c r="D63" s="2479" t="str">
        <f t="shared" si="1"/>
        <v>Clearwater 1 Forebay Trash Rake</v>
      </c>
    </row>
    <row r="64" spans="1:4" ht="16.7" customHeight="1" x14ac:dyDescent="0.2">
      <c r="A64" s="2670">
        <f t="shared" si="2"/>
        <v>42.015999999999963</v>
      </c>
      <c r="B64" s="2488"/>
      <c r="C64" s="2488"/>
      <c r="D64" s="2479"/>
    </row>
    <row r="65" spans="1:4" ht="16.7" customHeight="1" x14ac:dyDescent="0.2">
      <c r="A65" s="2670">
        <f t="shared" si="2"/>
        <v>42.01699999999996</v>
      </c>
      <c r="B65" s="2668" t="s">
        <v>6744</v>
      </c>
      <c r="C65" s="2488"/>
      <c r="D65" s="2479" t="str">
        <f t="shared" ref="D65:D128" si="3">B65</f>
        <v>Transmission:</v>
      </c>
    </row>
    <row r="66" spans="1:4" ht="16.7" customHeight="1" x14ac:dyDescent="0.2">
      <c r="A66" s="2670">
        <f t="shared" si="2"/>
        <v>42.017999999999958</v>
      </c>
      <c r="B66" s="2512" t="s">
        <v>6745</v>
      </c>
      <c r="C66" s="2530">
        <v>1732223071</v>
      </c>
      <c r="D66" s="2479" t="str">
        <f t="shared" si="3"/>
        <v>Aeolus - Mona 500kV Line</v>
      </c>
    </row>
    <row r="67" spans="1:4" ht="16.7" customHeight="1" x14ac:dyDescent="0.2">
      <c r="A67" s="2670">
        <f t="shared" si="2"/>
        <v>42.018999999999956</v>
      </c>
      <c r="B67" s="2512" t="s">
        <v>6746</v>
      </c>
      <c r="C67" s="2530">
        <v>209863126</v>
      </c>
      <c r="D67" s="2479" t="str">
        <f t="shared" si="3"/>
        <v>Windstar - Shirley Basin 230kV Line</v>
      </c>
    </row>
    <row r="68" spans="1:4" ht="16.7" customHeight="1" x14ac:dyDescent="0.2">
      <c r="A68" s="2670">
        <f t="shared" si="2"/>
        <v>42.019999999999953</v>
      </c>
      <c r="B68" s="2512" t="s">
        <v>6747</v>
      </c>
      <c r="C68" s="2530">
        <v>167235650</v>
      </c>
      <c r="D68" s="2479" t="str">
        <f t="shared" si="3"/>
        <v>Boardman - Hemingway 500kV Line</v>
      </c>
    </row>
    <row r="69" spans="1:4" ht="16.7" customHeight="1" x14ac:dyDescent="0.2">
      <c r="A69" s="2670">
        <f t="shared" si="2"/>
        <v>42.020999999999951</v>
      </c>
      <c r="B69" s="2512" t="s">
        <v>6748</v>
      </c>
      <c r="C69" s="2530">
        <v>105453786</v>
      </c>
      <c r="D69" s="2479" t="str">
        <f t="shared" si="3"/>
        <v>Anticline 345 kV Phase Shifting Transformers</v>
      </c>
    </row>
    <row r="70" spans="1:4" ht="16.7" customHeight="1" x14ac:dyDescent="0.2">
      <c r="A70" s="2670">
        <f t="shared" si="2"/>
        <v>42.021999999999949</v>
      </c>
      <c r="B70" s="2512" t="s">
        <v>6749</v>
      </c>
      <c r="C70" s="2530">
        <v>99683865</v>
      </c>
      <c r="D70" s="2479" t="str">
        <f t="shared" si="3"/>
        <v>Populus - Hemingway 500kV Line</v>
      </c>
    </row>
    <row r="71" spans="1:4" ht="16.7" customHeight="1" x14ac:dyDescent="0.2">
      <c r="A71" s="2670">
        <f t="shared" si="2"/>
        <v>42.022999999999946</v>
      </c>
      <c r="B71" s="2512" t="s">
        <v>6750</v>
      </c>
      <c r="C71" s="2530">
        <v>69441321</v>
      </c>
      <c r="D71" s="2479" t="str">
        <f t="shared" si="3"/>
        <v>Anticline - Populus 500kV Line</v>
      </c>
    </row>
    <row r="72" spans="1:4" ht="16.7" customHeight="1" x14ac:dyDescent="0.2">
      <c r="A72" s="2670">
        <f t="shared" si="2"/>
        <v>42.023999999999944</v>
      </c>
      <c r="B72" s="2512" t="s">
        <v>6751</v>
      </c>
      <c r="C72" s="2530">
        <v>50897271</v>
      </c>
      <c r="D72" s="2479" t="str">
        <f t="shared" si="3"/>
        <v>Oquirrh - Terminal 345kV Line</v>
      </c>
    </row>
    <row r="73" spans="1:4" ht="16.7" customHeight="1" x14ac:dyDescent="0.2">
      <c r="A73" s="2670">
        <f t="shared" si="2"/>
        <v>42.024999999999942</v>
      </c>
      <c r="B73" s="2512" t="s">
        <v>6752</v>
      </c>
      <c r="C73" s="2530">
        <v>35590971</v>
      </c>
      <c r="D73" s="2479" t="str">
        <f t="shared" si="3"/>
        <v>Project Specialized, 242 MW Load</v>
      </c>
    </row>
    <row r="74" spans="1:4" ht="16.7" customHeight="1" x14ac:dyDescent="0.2">
      <c r="A74" s="2670">
        <f t="shared" si="2"/>
        <v>42.025999999999939</v>
      </c>
      <c r="B74" s="2512" t="s">
        <v>6753</v>
      </c>
      <c r="C74" s="2530">
        <v>28767072</v>
      </c>
      <c r="D74" s="2479" t="str">
        <f t="shared" si="3"/>
        <v>Path C Transmission Improvements</v>
      </c>
    </row>
    <row r="75" spans="1:4" ht="16.7" customHeight="1" x14ac:dyDescent="0.2">
      <c r="A75" s="2670">
        <f t="shared" si="2"/>
        <v>42.026999999999937</v>
      </c>
      <c r="B75" s="2512" t="s">
        <v>6754</v>
      </c>
      <c r="C75" s="2530">
        <v>23163837</v>
      </c>
      <c r="D75" s="2479" t="str">
        <f t="shared" si="3"/>
        <v>Sams Valley New 500-230kV Substation</v>
      </c>
    </row>
    <row r="76" spans="1:4" ht="16.7" customHeight="1" x14ac:dyDescent="0.2">
      <c r="A76" s="2670">
        <f t="shared" si="2"/>
        <v>42.027999999999935</v>
      </c>
      <c r="B76" s="2512" t="s">
        <v>6755</v>
      </c>
      <c r="C76" s="2530">
        <v>23006398</v>
      </c>
      <c r="D76" s="2479" t="str">
        <f t="shared" si="3"/>
        <v>Q2913 Powerex Corp Transmission Service Request</v>
      </c>
    </row>
    <row r="77" spans="1:4" ht="16.7" customHeight="1" x14ac:dyDescent="0.2">
      <c r="A77" s="2670">
        <f t="shared" si="2"/>
        <v>42.028999999999932</v>
      </c>
      <c r="B77" s="2512" t="s">
        <v>6756</v>
      </c>
      <c r="C77" s="2530">
        <v>17766516</v>
      </c>
      <c r="D77" s="2479" t="str">
        <f t="shared" si="3"/>
        <v>Q0835 Rock Creek Wind LLC–Rock Creek Wind I</v>
      </c>
    </row>
    <row r="78" spans="1:4" ht="16.7" customHeight="1" x14ac:dyDescent="0.2">
      <c r="A78" s="2670">
        <f t="shared" si="2"/>
        <v>42.02999999999993</v>
      </c>
      <c r="B78" s="2512" t="s">
        <v>6757</v>
      </c>
      <c r="C78" s="2530">
        <v>16812024</v>
      </c>
      <c r="D78" s="2479" t="str">
        <f t="shared" si="3"/>
        <v>Gateway Central-Limber Area Reinforcements Segment C</v>
      </c>
    </row>
    <row r="79" spans="1:4" ht="16.7" customHeight="1" x14ac:dyDescent="0.2">
      <c r="A79" s="2670">
        <f t="shared" si="2"/>
        <v>42.030999999999928</v>
      </c>
      <c r="B79" s="2512" t="s">
        <v>6758</v>
      </c>
      <c r="C79" s="2530">
        <v>16082094</v>
      </c>
      <c r="D79" s="2479" t="str">
        <f t="shared" si="3"/>
        <v>Project Litespeed</v>
      </c>
    </row>
    <row r="80" spans="1:4" ht="16.7" customHeight="1" x14ac:dyDescent="0.2">
      <c r="A80" s="2670">
        <f t="shared" si="2"/>
        <v>42.031999999999925</v>
      </c>
      <c r="B80" s="2512" t="s">
        <v>6759</v>
      </c>
      <c r="C80" s="2530">
        <v>14062630</v>
      </c>
      <c r="D80" s="2479" t="str">
        <f t="shared" si="3"/>
        <v>Enhanced Substation Security - Rocky Mountain Power</v>
      </c>
    </row>
    <row r="81" spans="1:4" ht="16.7" customHeight="1" x14ac:dyDescent="0.2">
      <c r="A81" s="2670">
        <f t="shared" si="2"/>
        <v>42.032999999999923</v>
      </c>
      <c r="B81" s="2512" t="s">
        <v>6760</v>
      </c>
      <c r="C81" s="2530">
        <v>12629751</v>
      </c>
      <c r="D81" s="2479" t="str">
        <f t="shared" si="3"/>
        <v>Aligned Energy Data Ctrs Propco, 200 MW</v>
      </c>
    </row>
    <row r="82" spans="1:4" ht="16.7" customHeight="1" x14ac:dyDescent="0.2">
      <c r="A82" s="2670">
        <f t="shared" si="2"/>
        <v>42.033999999999921</v>
      </c>
      <c r="B82" s="2512" t="s">
        <v>6761</v>
      </c>
      <c r="C82" s="2530">
        <v>12221851</v>
      </c>
      <c r="D82" s="2479" t="str">
        <f t="shared" si="3"/>
        <v>Walla Walla 69 kV Loop Reconfigure and Reconductor</v>
      </c>
    </row>
    <row r="83" spans="1:4" ht="16.7" customHeight="1" x14ac:dyDescent="0.2">
      <c r="A83" s="2670">
        <f t="shared" si="2"/>
        <v>42.034999999999918</v>
      </c>
      <c r="B83" s="2512" t="s">
        <v>6762</v>
      </c>
      <c r="C83" s="2530">
        <v>8853904</v>
      </c>
      <c r="D83" s="2479" t="str">
        <f t="shared" si="3"/>
        <v>Columbia - Coal Creek Wildfire Mitigation and Restoration</v>
      </c>
    </row>
    <row r="84" spans="1:4" ht="16.7" customHeight="1" x14ac:dyDescent="0.2">
      <c r="A84" s="2670">
        <f t="shared" si="2"/>
        <v>42.035999999999916</v>
      </c>
      <c r="B84" s="2512" t="s">
        <v>6763</v>
      </c>
      <c r="C84" s="2530">
        <v>8829904</v>
      </c>
      <c r="D84" s="2479" t="str">
        <f t="shared" si="3"/>
        <v>Cottonwood-Snyderville 138kV Rebuild for Wildfire</v>
      </c>
    </row>
    <row r="85" spans="1:4" ht="16.7" customHeight="1" x14ac:dyDescent="0.2">
      <c r="A85" s="2670">
        <f t="shared" si="2"/>
        <v>42.036999999999914</v>
      </c>
      <c r="B85" s="2512" t="s">
        <v>6764</v>
      </c>
      <c r="C85" s="2530">
        <v>7319406</v>
      </c>
      <c r="D85" s="2479" t="str">
        <f t="shared" si="3"/>
        <v>Grantsville Convert to 138 kV</v>
      </c>
    </row>
    <row r="86" spans="1:4" ht="16.7" customHeight="1" x14ac:dyDescent="0.2">
      <c r="A86" s="2670">
        <f t="shared" si="2"/>
        <v>42.037999999999911</v>
      </c>
      <c r="B86" s="2512" t="s">
        <v>6765</v>
      </c>
      <c r="C86" s="2530">
        <v>5340229</v>
      </c>
      <c r="D86" s="2479" t="str">
        <f t="shared" si="3"/>
        <v>Tucker 69 kV Tie Line</v>
      </c>
    </row>
    <row r="87" spans="1:4" ht="16.7" customHeight="1" x14ac:dyDescent="0.2">
      <c r="A87" s="2670">
        <f t="shared" si="2"/>
        <v>42.038999999999909</v>
      </c>
      <c r="B87" s="2512" t="s">
        <v>6766</v>
      </c>
      <c r="C87" s="2530">
        <v>4957775</v>
      </c>
      <c r="D87" s="2479" t="str">
        <f t="shared" si="3"/>
        <v>Magna Cap and Tooele-Pine Canyon Rebuild</v>
      </c>
    </row>
    <row r="88" spans="1:4" ht="16.7" customHeight="1" x14ac:dyDescent="0.2">
      <c r="A88" s="2670">
        <f t="shared" si="2"/>
        <v>42.039999999999907</v>
      </c>
      <c r="B88" s="2512" t="s">
        <v>6767</v>
      </c>
      <c r="C88" s="2530">
        <v>4943960</v>
      </c>
      <c r="D88" s="2479" t="str">
        <f t="shared" si="3"/>
        <v>Aeolus Substation Transformer</v>
      </c>
    </row>
    <row r="89" spans="1:4" ht="16.7" customHeight="1" x14ac:dyDescent="0.2">
      <c r="A89" s="2670">
        <f t="shared" si="2"/>
        <v>42.040999999999904</v>
      </c>
      <c r="B89" s="2512" t="s">
        <v>6768</v>
      </c>
      <c r="C89" s="2530">
        <v>4880534</v>
      </c>
      <c r="D89" s="2479" t="str">
        <f t="shared" si="3"/>
        <v>Replace Sigurd #6 Trf 345-230kV 450MVA</v>
      </c>
    </row>
    <row r="90" spans="1:4" ht="16.7" customHeight="1" x14ac:dyDescent="0.2">
      <c r="A90" s="2670">
        <f t="shared" si="2"/>
        <v>42.041999999999902</v>
      </c>
      <c r="B90" s="2512" t="s">
        <v>6769</v>
      </c>
      <c r="C90" s="2530">
        <v>4812600</v>
      </c>
      <c r="D90" s="2479" t="str">
        <f t="shared" si="3"/>
        <v>El Monte-Eden 46kV Rebuild for Wildfire</v>
      </c>
    </row>
    <row r="91" spans="1:4" ht="16.7" customHeight="1" x14ac:dyDescent="0.2">
      <c r="A91" s="2670">
        <f t="shared" si="2"/>
        <v>42.0429999999999</v>
      </c>
      <c r="B91" s="2512" t="s">
        <v>6770</v>
      </c>
      <c r="C91" s="2530">
        <v>4731494</v>
      </c>
      <c r="D91" s="2479" t="str">
        <f t="shared" si="3"/>
        <v>Snyderville-Park Cty 46kV Rebuild for Wildfire</v>
      </c>
    </row>
    <row r="92" spans="1:4" ht="16.7" customHeight="1" x14ac:dyDescent="0.2">
      <c r="A92" s="2670">
        <f t="shared" si="2"/>
        <v>42.043999999999897</v>
      </c>
      <c r="B92" s="2512" t="s">
        <v>6771</v>
      </c>
      <c r="C92" s="2530">
        <v>4573590</v>
      </c>
      <c r="D92" s="2479" t="str">
        <f t="shared" si="3"/>
        <v>TCS-48 Dominguez Storage 1</v>
      </c>
    </row>
    <row r="93" spans="1:4" ht="16.7" customHeight="1" x14ac:dyDescent="0.2">
      <c r="A93" s="2670">
        <f t="shared" si="2"/>
        <v>42.044999999999895</v>
      </c>
      <c r="B93" s="2512" t="s">
        <v>6772</v>
      </c>
      <c r="C93" s="2530">
        <v>4548462</v>
      </c>
      <c r="D93" s="2479" t="str">
        <f t="shared" si="3"/>
        <v>Malin-Casebeer New 69 kV Line</v>
      </c>
    </row>
    <row r="94" spans="1:4" ht="16.7" customHeight="1" x14ac:dyDescent="0.2">
      <c r="A94" s="2670">
        <f t="shared" si="2"/>
        <v>42.045999999999893</v>
      </c>
      <c r="B94" s="2512" t="s">
        <v>6773</v>
      </c>
      <c r="C94" s="2530">
        <v>4283933</v>
      </c>
      <c r="D94" s="2479" t="str">
        <f t="shared" si="3"/>
        <v>Midpoint 500kV Series Cap Bank Replacement (IDP)</v>
      </c>
    </row>
    <row r="95" spans="1:4" ht="16.7" customHeight="1" x14ac:dyDescent="0.2">
      <c r="A95" s="2670">
        <f t="shared" si="2"/>
        <v>42.04699999999989</v>
      </c>
      <c r="B95" s="2512" t="s">
        <v>6774</v>
      </c>
      <c r="C95" s="2530">
        <v>4240303</v>
      </c>
      <c r="D95" s="2479" t="str">
        <f t="shared" si="3"/>
        <v>Q0777 Hornshadow Solar</v>
      </c>
    </row>
    <row r="96" spans="1:4" ht="16.7" customHeight="1" x14ac:dyDescent="0.2">
      <c r="A96" s="2670">
        <f t="shared" si="2"/>
        <v>42.047999999999888</v>
      </c>
      <c r="B96" s="2512" t="s">
        <v>6775</v>
      </c>
      <c r="C96" s="2530">
        <v>3622372</v>
      </c>
      <c r="D96" s="2479" t="str">
        <f t="shared" si="3"/>
        <v>Houston Lake-Ponderosa Add Second 115kV Line</v>
      </c>
    </row>
    <row r="97" spans="1:4" ht="16.7" customHeight="1" x14ac:dyDescent="0.2">
      <c r="A97" s="2670">
        <f t="shared" si="2"/>
        <v>42.048999999999886</v>
      </c>
      <c r="B97" s="2512" t="s">
        <v>6776</v>
      </c>
      <c r="C97" s="2530">
        <v>3615624</v>
      </c>
      <c r="D97" s="2479" t="str">
        <f t="shared" si="3"/>
        <v>Lines 30 &amp; 65 Convert to 115 kV, Construct New 230-69kV Substation</v>
      </c>
    </row>
    <row r="98" spans="1:4" ht="16.7" customHeight="1" x14ac:dyDescent="0.2">
      <c r="A98" s="2670">
        <f t="shared" si="2"/>
        <v>42.049999999999883</v>
      </c>
      <c r="B98" s="2512" t="s">
        <v>6777</v>
      </c>
      <c r="C98" s="2530">
        <v>3322830</v>
      </c>
      <c r="D98" s="2479" t="str">
        <f t="shared" si="3"/>
        <v>Q805 Glen Canyon Solar A, LLC</v>
      </c>
    </row>
    <row r="99" spans="1:4" ht="16.7" customHeight="1" x14ac:dyDescent="0.2">
      <c r="A99" s="2670">
        <f t="shared" si="2"/>
        <v>42.050999999999881</v>
      </c>
      <c r="B99" s="2512" t="s">
        <v>6778</v>
      </c>
      <c r="C99" s="2530">
        <v>3241424</v>
      </c>
      <c r="D99" s="2479" t="str">
        <f t="shared" si="3"/>
        <v>St. Johns (BPA) to Knott 115 kV Line Conversion</v>
      </c>
    </row>
    <row r="100" spans="1:4" ht="16.7" customHeight="1" x14ac:dyDescent="0.2">
      <c r="A100" s="2670">
        <f t="shared" si="2"/>
        <v>42.051999999999879</v>
      </c>
      <c r="B100" s="2512" t="s">
        <v>6779</v>
      </c>
      <c r="C100" s="2530">
        <v>2685164</v>
      </c>
      <c r="D100" s="2479" t="str">
        <f t="shared" si="3"/>
        <v>Burns 500 kV Series Capacitor Bank Replacement</v>
      </c>
    </row>
    <row r="101" spans="1:4" ht="16.7" customHeight="1" x14ac:dyDescent="0.2">
      <c r="A101" s="2670">
        <f t="shared" si="2"/>
        <v>42.052999999999876</v>
      </c>
      <c r="B101" s="2512" t="s">
        <v>6780</v>
      </c>
      <c r="C101" s="2530">
        <v>2522455</v>
      </c>
      <c r="D101" s="2479" t="str">
        <f t="shared" si="3"/>
        <v>Loop 90 S-Terminal into MidValley 345kV Line</v>
      </c>
    </row>
    <row r="102" spans="1:4" ht="16.7" customHeight="1" x14ac:dyDescent="0.2">
      <c r="A102" s="2670">
        <f t="shared" si="2"/>
        <v>42.053999999999874</v>
      </c>
      <c r="B102" s="2512" t="s">
        <v>6781</v>
      </c>
      <c r="C102" s="2530">
        <v>2499002</v>
      </c>
      <c r="D102" s="2479" t="str">
        <f t="shared" si="3"/>
        <v>Q0838 Faraday Solar</v>
      </c>
    </row>
    <row r="103" spans="1:4" ht="16.7" customHeight="1" x14ac:dyDescent="0.2">
      <c r="A103" s="2670">
        <f t="shared" si="2"/>
        <v>42.054999999999872</v>
      </c>
      <c r="B103" s="2512" t="s">
        <v>6782</v>
      </c>
      <c r="C103" s="2530">
        <v>2367139</v>
      </c>
      <c r="D103" s="2479" t="str">
        <f t="shared" si="3"/>
        <v>Hurricane Sub Spare 230-69 kV-25 MVA Transformer</v>
      </c>
    </row>
    <row r="104" spans="1:4" ht="16.7" customHeight="1" x14ac:dyDescent="0.2">
      <c r="A104" s="2670">
        <f t="shared" si="2"/>
        <v>42.055999999999869</v>
      </c>
      <c r="B104" s="2512" t="s">
        <v>6783</v>
      </c>
      <c r="C104" s="2530">
        <v>2296198</v>
      </c>
      <c r="D104" s="2479" t="str">
        <f t="shared" si="3"/>
        <v>Park City - Judge 46kV Line Rebuild for Wildfire</v>
      </c>
    </row>
    <row r="105" spans="1:4" ht="16.7" customHeight="1" x14ac:dyDescent="0.2">
      <c r="A105" s="2670">
        <f t="shared" si="2"/>
        <v>42.056999999999867</v>
      </c>
      <c r="B105" s="2512" t="s">
        <v>6784</v>
      </c>
      <c r="C105" s="2530">
        <v>2133066</v>
      </c>
      <c r="D105" s="2479" t="str">
        <f t="shared" si="3"/>
        <v>North Bench-Northeast 46kV Line Rebuild for Wildfire</v>
      </c>
    </row>
    <row r="106" spans="1:4" ht="16.7" customHeight="1" x14ac:dyDescent="0.2">
      <c r="A106" s="2670">
        <f t="shared" si="2"/>
        <v>42.057999999999865</v>
      </c>
      <c r="B106" s="2512" t="s">
        <v>6785</v>
      </c>
      <c r="C106" s="2530">
        <v>2130015</v>
      </c>
      <c r="D106" s="2479" t="str">
        <f t="shared" si="3"/>
        <v>Weirich to BPA Lebanon 115kV Tie Line</v>
      </c>
    </row>
    <row r="107" spans="1:4" ht="16.7" customHeight="1" x14ac:dyDescent="0.2">
      <c r="A107" s="2670">
        <f t="shared" si="2"/>
        <v>42.058999999999862</v>
      </c>
      <c r="B107" s="2512" t="s">
        <v>6786</v>
      </c>
      <c r="C107" s="2530">
        <v>2015963</v>
      </c>
      <c r="D107" s="2479" t="str">
        <f t="shared" si="3"/>
        <v>Gateway South Support Project - Shunt Capacitor Banks</v>
      </c>
    </row>
    <row r="108" spans="1:4" ht="16.7" customHeight="1" x14ac:dyDescent="0.2">
      <c r="A108" s="2670">
        <f t="shared" si="2"/>
        <v>42.05999999999986</v>
      </c>
      <c r="B108" s="2512" t="s">
        <v>6787</v>
      </c>
      <c r="C108" s="2530">
        <v>1972891</v>
      </c>
      <c r="D108" s="2479" t="str">
        <f t="shared" si="3"/>
        <v>Q2599 PAC ESM Swift-Troutdale 230kV Line Transmission Service Request</v>
      </c>
    </row>
    <row r="109" spans="1:4" ht="16.7" customHeight="1" x14ac:dyDescent="0.2">
      <c r="A109" s="2670">
        <f t="shared" si="2"/>
        <v>42.060999999999858</v>
      </c>
      <c r="B109" s="2512" t="s">
        <v>6788</v>
      </c>
      <c r="C109" s="2530">
        <v>1930178</v>
      </c>
      <c r="D109" s="2479" t="str">
        <f t="shared" si="3"/>
        <v>Shirley Basin-Anticline 500kV Line D2.2</v>
      </c>
    </row>
    <row r="110" spans="1:4" ht="16.7" customHeight="1" x14ac:dyDescent="0.2">
      <c r="A110" s="2670">
        <f t="shared" si="2"/>
        <v>42.061999999999856</v>
      </c>
      <c r="B110" s="2512" t="s">
        <v>6789</v>
      </c>
      <c r="C110" s="2671">
        <v>1872053</v>
      </c>
      <c r="D110" s="2576" t="str">
        <f t="shared" si="3"/>
        <v>Dixonville Sub Replace Transformer T-3112</v>
      </c>
    </row>
    <row r="111" spans="1:4" ht="16.7" customHeight="1" x14ac:dyDescent="0.2">
      <c r="A111" s="2670">
        <f t="shared" si="2"/>
        <v>42.062999999999853</v>
      </c>
      <c r="B111" s="2512" t="s">
        <v>6790</v>
      </c>
      <c r="C111" s="2530">
        <v>1862106</v>
      </c>
      <c r="D111" s="2479" t="str">
        <f t="shared" si="3"/>
        <v>Alturas Replace 115-69kV Transformer Bank</v>
      </c>
    </row>
    <row r="112" spans="1:4" ht="16.7" customHeight="1" x14ac:dyDescent="0.2">
      <c r="A112" s="2670">
        <f t="shared" si="2"/>
        <v>42.063999999999851</v>
      </c>
      <c r="B112" s="2512" t="s">
        <v>6791</v>
      </c>
      <c r="C112" s="2530">
        <v>1855773</v>
      </c>
      <c r="D112" s="2479" t="str">
        <f t="shared" si="3"/>
        <v>N Umpqua Pump Storage Project - Dixonville Transformer T3843</v>
      </c>
    </row>
    <row r="113" spans="1:4" ht="16.7" customHeight="1" x14ac:dyDescent="0.2">
      <c r="A113" s="2670">
        <f t="shared" si="2"/>
        <v>42.064999999999849</v>
      </c>
      <c r="B113" s="2512" t="s">
        <v>6792</v>
      </c>
      <c r="C113" s="2530">
        <v>1853417</v>
      </c>
      <c r="D113" s="2479" t="str">
        <f t="shared" si="3"/>
        <v>OTP Q0196 Nephi 2nd Point of Delivery UMPA</v>
      </c>
    </row>
    <row r="114" spans="1:4" ht="16.7" customHeight="1" x14ac:dyDescent="0.2">
      <c r="A114" s="2670">
        <f t="shared" ref="A114:A177" si="4">A113+0.001</f>
        <v>42.065999999999846</v>
      </c>
      <c r="B114" s="2512" t="s">
        <v>6793</v>
      </c>
      <c r="C114" s="2530">
        <v>1701168</v>
      </c>
      <c r="D114" s="2479" t="str">
        <f t="shared" si="3"/>
        <v>Construct Jackalope-Bixby 115kV Line</v>
      </c>
    </row>
    <row r="115" spans="1:4" ht="16.7" customHeight="1" x14ac:dyDescent="0.2">
      <c r="A115" s="2670">
        <f t="shared" si="4"/>
        <v>42.066999999999844</v>
      </c>
      <c r="B115" s="2512" t="s">
        <v>6794</v>
      </c>
      <c r="C115" s="2530">
        <v>1666831</v>
      </c>
      <c r="D115" s="2479" t="str">
        <f t="shared" si="3"/>
        <v>Lyons Loop into Santiam - New Tie Line</v>
      </c>
    </row>
    <row r="116" spans="1:4" ht="16.7" customHeight="1" x14ac:dyDescent="0.2">
      <c r="A116" s="2670">
        <f t="shared" si="4"/>
        <v>42.067999999999842</v>
      </c>
      <c r="B116" s="2512" t="s">
        <v>6795</v>
      </c>
      <c r="C116" s="2530">
        <v>1659903</v>
      </c>
      <c r="D116" s="2479" t="str">
        <f t="shared" si="3"/>
        <v>Lone Pine - Whetstone 230 kV Line</v>
      </c>
    </row>
    <row r="117" spans="1:4" ht="16.7" customHeight="1" x14ac:dyDescent="0.2">
      <c r="A117" s="2670">
        <f t="shared" si="4"/>
        <v>42.068999999999839</v>
      </c>
      <c r="B117" s="2512" t="s">
        <v>6796</v>
      </c>
      <c r="C117" s="2530">
        <v>1643839</v>
      </c>
      <c r="D117" s="2479" t="str">
        <f t="shared" si="3"/>
        <v>Pilot Butte Sub Replace 3 CTs</v>
      </c>
    </row>
    <row r="118" spans="1:4" ht="16.7" customHeight="1" x14ac:dyDescent="0.2">
      <c r="A118" s="2670">
        <f t="shared" si="4"/>
        <v>42.069999999999837</v>
      </c>
      <c r="B118" s="2512" t="s">
        <v>6797</v>
      </c>
      <c r="C118" s="2530">
        <v>1518428</v>
      </c>
      <c r="D118" s="2479" t="str">
        <f t="shared" si="3"/>
        <v>Dumas-Dimple Dell 138kV Underground Failure</v>
      </c>
    </row>
    <row r="119" spans="1:4" ht="16.7" customHeight="1" x14ac:dyDescent="0.2">
      <c r="A119" s="2670">
        <f t="shared" si="4"/>
        <v>42.070999999999835</v>
      </c>
      <c r="B119" s="2512" t="s">
        <v>6798</v>
      </c>
      <c r="C119" s="2530">
        <v>1499546</v>
      </c>
      <c r="D119" s="2479" t="str">
        <f t="shared" si="3"/>
        <v>Camp Williams 345-138kV Transformer and 138kV Yard Addition</v>
      </c>
    </row>
    <row r="120" spans="1:4" ht="16.7" customHeight="1" x14ac:dyDescent="0.2">
      <c r="A120" s="2670">
        <f t="shared" si="4"/>
        <v>42.071999999999832</v>
      </c>
      <c r="B120" s="2512" t="s">
        <v>6799</v>
      </c>
      <c r="C120" s="2530">
        <v>1488989</v>
      </c>
      <c r="D120" s="2479" t="str">
        <f t="shared" si="3"/>
        <v>WP West Acquisitions-ACC Burial on 100 S in downtown SLC</v>
      </c>
    </row>
    <row r="121" spans="1:4" ht="16.7" customHeight="1" x14ac:dyDescent="0.2">
      <c r="A121" s="2670">
        <f t="shared" si="4"/>
        <v>42.07299999999983</v>
      </c>
      <c r="B121" s="2512" t="s">
        <v>6800</v>
      </c>
      <c r="C121" s="2530">
        <v>1438159</v>
      </c>
      <c r="D121" s="2479" t="str">
        <f t="shared" si="3"/>
        <v>Amps Substation Replace Control Building</v>
      </c>
    </row>
    <row r="122" spans="1:4" ht="16.7" customHeight="1" x14ac:dyDescent="0.2">
      <c r="A122" s="2670">
        <f t="shared" si="4"/>
        <v>42.073999999999828</v>
      </c>
      <c r="B122" s="2512" t="s">
        <v>6801</v>
      </c>
      <c r="C122" s="2530">
        <v>1411207</v>
      </c>
      <c r="D122" s="2479" t="str">
        <f t="shared" si="3"/>
        <v>Hunter U1 Spare Generator Step-Up Transformer Replacement</v>
      </c>
    </row>
    <row r="123" spans="1:4" ht="16.7" customHeight="1" x14ac:dyDescent="0.2">
      <c r="A123" s="2670">
        <f t="shared" si="4"/>
        <v>42.074999999999825</v>
      </c>
      <c r="B123" s="2512" t="s">
        <v>6802</v>
      </c>
      <c r="C123" s="2530">
        <v>1393623</v>
      </c>
      <c r="D123" s="2479" t="str">
        <f t="shared" si="3"/>
        <v>Jim Bridger - Goshen 345kV Line Structures Replacement</v>
      </c>
    </row>
    <row r="124" spans="1:4" ht="16.7" customHeight="1" x14ac:dyDescent="0.2">
      <c r="A124" s="2670">
        <f t="shared" si="4"/>
        <v>42.075999999999823</v>
      </c>
      <c r="B124" s="2512" t="s">
        <v>6803</v>
      </c>
      <c r="C124" s="2530">
        <v>1316138</v>
      </c>
      <c r="D124" s="2479" t="str">
        <f t="shared" si="3"/>
        <v>St. George - Purgatory Flat Line Upgrade</v>
      </c>
    </row>
    <row r="125" spans="1:4" ht="16.7" customHeight="1" x14ac:dyDescent="0.2">
      <c r="A125" s="2670">
        <f t="shared" si="4"/>
        <v>42.076999999999821</v>
      </c>
      <c r="B125" s="2512" t="s">
        <v>6804</v>
      </c>
      <c r="C125" s="2530">
        <v>1298847</v>
      </c>
      <c r="D125" s="2479" t="str">
        <f t="shared" si="3"/>
        <v>Capitol-North Bench 138kV Line Rebuild for Wildfire</v>
      </c>
    </row>
    <row r="126" spans="1:4" ht="16.7" customHeight="1" x14ac:dyDescent="0.2">
      <c r="A126" s="2670">
        <f t="shared" si="4"/>
        <v>42.077999999999818</v>
      </c>
      <c r="B126" s="2512" t="s">
        <v>6805</v>
      </c>
      <c r="C126" s="2530">
        <v>1271301</v>
      </c>
      <c r="D126" s="2479" t="str">
        <f t="shared" si="3"/>
        <v>Ben Lomond-Naughton #1 230kV Line Replace Structures</v>
      </c>
    </row>
    <row r="127" spans="1:4" ht="16.7" customHeight="1" x14ac:dyDescent="0.2">
      <c r="A127" s="2670">
        <f t="shared" si="4"/>
        <v>42.078999999999816</v>
      </c>
      <c r="B127" s="2512" t="s">
        <v>6806</v>
      </c>
      <c r="C127" s="2530">
        <v>1263693</v>
      </c>
      <c r="D127" s="2479" t="str">
        <f t="shared" si="3"/>
        <v>PDX 50 MVA Mobile Transf T3510 Rebuild</v>
      </c>
    </row>
    <row r="128" spans="1:4" ht="16.7" customHeight="1" x14ac:dyDescent="0.2">
      <c r="A128" s="2670">
        <f t="shared" si="4"/>
        <v>42.079999999999814</v>
      </c>
      <c r="B128" s="2512" t="s">
        <v>6807</v>
      </c>
      <c r="C128" s="2530">
        <v>1247925</v>
      </c>
      <c r="D128" s="2479" t="str">
        <f t="shared" si="3"/>
        <v>Judge - Midway 46kV Rebuild for Wildfire</v>
      </c>
    </row>
    <row r="129" spans="1:4" ht="16.7" customHeight="1" x14ac:dyDescent="0.2">
      <c r="A129" s="2670">
        <f t="shared" si="4"/>
        <v>42.080999999999811</v>
      </c>
      <c r="B129" s="2512" t="s">
        <v>6808</v>
      </c>
      <c r="C129" s="2530">
        <v>1165030</v>
      </c>
      <c r="D129" s="2479" t="str">
        <f t="shared" ref="D129:D134" si="5">B129</f>
        <v>RMP New Spare 138-46kV (150MVA) Transformer</v>
      </c>
    </row>
    <row r="130" spans="1:4" ht="16.7" customHeight="1" x14ac:dyDescent="0.2">
      <c r="A130" s="2670">
        <f t="shared" si="4"/>
        <v>42.081999999999809</v>
      </c>
      <c r="B130" s="2512" t="s">
        <v>6809</v>
      </c>
      <c r="C130" s="2530">
        <v>1114556</v>
      </c>
      <c r="D130" s="2479" t="str">
        <f t="shared" si="5"/>
        <v>Pomona Heights Sub 230-115 kV Transformer Replacements TPL</v>
      </c>
    </row>
    <row r="131" spans="1:4" ht="16.7" customHeight="1" x14ac:dyDescent="0.2">
      <c r="A131" s="2670">
        <f t="shared" si="4"/>
        <v>42.082999999999807</v>
      </c>
      <c r="B131" s="2512" t="s">
        <v>6810</v>
      </c>
      <c r="C131" s="2530">
        <v>1095691</v>
      </c>
      <c r="D131" s="2479" t="str">
        <f t="shared" si="5"/>
        <v>Moab-Pinto 138 kV Line - Install Auto Rollover</v>
      </c>
    </row>
    <row r="132" spans="1:4" ht="16.7" customHeight="1" x14ac:dyDescent="0.2">
      <c r="A132" s="2670">
        <f t="shared" si="4"/>
        <v>42.083999999999804</v>
      </c>
      <c r="B132" s="2512" t="s">
        <v>6811</v>
      </c>
      <c r="C132" s="2530">
        <v>1077676</v>
      </c>
      <c r="D132" s="2479" t="str">
        <f t="shared" si="5"/>
        <v>Midpoint Sub T501 Transformer Damage (Idaho Power)</v>
      </c>
    </row>
    <row r="133" spans="1:4" ht="16.7" customHeight="1" x14ac:dyDescent="0.2">
      <c r="A133" s="2670">
        <f t="shared" si="4"/>
        <v>42.084999999999802</v>
      </c>
      <c r="B133" s="2512" t="s">
        <v>6812</v>
      </c>
      <c r="C133" s="2530">
        <v>1053535</v>
      </c>
      <c r="D133" s="2479" t="str">
        <f t="shared" si="5"/>
        <v>CA–Wildfire Mitigation Current Differential Lines 38 44 South</v>
      </c>
    </row>
    <row r="134" spans="1:4" ht="16.7" customHeight="1" x14ac:dyDescent="0.2">
      <c r="A134" s="2670">
        <f t="shared" si="4"/>
        <v>42.0859999999998</v>
      </c>
      <c r="B134" s="2512" t="s">
        <v>6813</v>
      </c>
      <c r="C134" s="2530">
        <v>1037349</v>
      </c>
      <c r="D134" s="2479" t="str">
        <f t="shared" si="5"/>
        <v>Bluffdale 138 kV Conversion</v>
      </c>
    </row>
    <row r="135" spans="1:4" ht="16.7" customHeight="1" x14ac:dyDescent="0.2">
      <c r="A135" s="2670">
        <f t="shared" si="4"/>
        <v>42.086999999999797</v>
      </c>
      <c r="B135" s="2669"/>
      <c r="C135" s="2614"/>
      <c r="D135" s="2479"/>
    </row>
    <row r="136" spans="1:4" ht="16.7" customHeight="1" x14ac:dyDescent="0.2">
      <c r="A136" s="2670">
        <f t="shared" si="4"/>
        <v>42.087999999999795</v>
      </c>
      <c r="B136" s="2669" t="s">
        <v>6814</v>
      </c>
      <c r="C136" s="2614"/>
      <c r="D136" s="2479" t="str">
        <f t="shared" ref="D136:D199" si="6">B136</f>
        <v>Distribution:</v>
      </c>
    </row>
    <row r="137" spans="1:4" ht="16.7" customHeight="1" x14ac:dyDescent="0.2">
      <c r="A137" s="2670">
        <f t="shared" si="4"/>
        <v>42.088999999999793</v>
      </c>
      <c r="B137" s="2512" t="s">
        <v>6815</v>
      </c>
      <c r="C137" s="2530">
        <v>70757079</v>
      </c>
      <c r="D137" s="2479" t="str">
        <f t="shared" si="6"/>
        <v>Portland Willamette River Crossing Project</v>
      </c>
    </row>
    <row r="138" spans="1:4" ht="16.7" customHeight="1" x14ac:dyDescent="0.2">
      <c r="A138" s="2670">
        <f t="shared" si="4"/>
        <v>42.08999999999979</v>
      </c>
      <c r="B138" s="2512" t="s">
        <v>6816</v>
      </c>
      <c r="C138" s="2530">
        <v>17034137</v>
      </c>
      <c r="D138" s="2479" t="str">
        <f t="shared" si="6"/>
        <v>Fire High Consequence Area (FHCA) - Rebuild Brighton 12</v>
      </c>
    </row>
    <row r="139" spans="1:4" ht="16.7" customHeight="1" x14ac:dyDescent="0.2">
      <c r="A139" s="2670">
        <f t="shared" si="4"/>
        <v>42.090999999999788</v>
      </c>
      <c r="B139" s="2512" t="s">
        <v>6817</v>
      </c>
      <c r="C139" s="2530">
        <v>12380698</v>
      </c>
      <c r="D139" s="2479" t="str">
        <f t="shared" si="6"/>
        <v>OR Fire Mitigation Distribution Sub Relay Replacement Phase 1</v>
      </c>
    </row>
    <row r="140" spans="1:4" ht="16.7" customHeight="1" x14ac:dyDescent="0.2">
      <c r="A140" s="2670">
        <f t="shared" si="4"/>
        <v>42.091999999999786</v>
      </c>
      <c r="B140" s="2512" t="s">
        <v>6818</v>
      </c>
      <c r="C140" s="2530">
        <v>11057437</v>
      </c>
      <c r="D140" s="2479" t="str">
        <f t="shared" si="6"/>
        <v>Fire High Consequence Area (FHCA) - Rebuild Columbia 11</v>
      </c>
    </row>
    <row r="141" spans="1:4" ht="16.7" customHeight="1" x14ac:dyDescent="0.2">
      <c r="A141" s="2670">
        <f t="shared" si="4"/>
        <v>42.092999999999783</v>
      </c>
      <c r="B141" s="2512" t="s">
        <v>6819</v>
      </c>
      <c r="C141" s="2530">
        <v>9256970</v>
      </c>
      <c r="D141" s="2479" t="str">
        <f t="shared" si="6"/>
        <v>Aligned Energy Data Centers SLC, 20 MW</v>
      </c>
    </row>
    <row r="142" spans="1:4" ht="16.7" customHeight="1" x14ac:dyDescent="0.2">
      <c r="A142" s="2670">
        <f t="shared" si="4"/>
        <v>42.093999999999781</v>
      </c>
      <c r="B142" s="2512" t="s">
        <v>6820</v>
      </c>
      <c r="C142" s="2530">
        <v>8496434</v>
      </c>
      <c r="D142" s="2479" t="str">
        <f t="shared" si="6"/>
        <v>Skypark Sub 2nd 138-12kV Transformer</v>
      </c>
    </row>
    <row r="143" spans="1:4" ht="16.7" customHeight="1" x14ac:dyDescent="0.2">
      <c r="A143" s="2670">
        <f t="shared" si="4"/>
        <v>42.094999999999779</v>
      </c>
      <c r="B143" s="2512" t="s">
        <v>6821</v>
      </c>
      <c r="C143" s="2530">
        <v>7979958</v>
      </c>
      <c r="D143" s="2479" t="str">
        <f t="shared" si="6"/>
        <v>Utah Transit Authority, 10.24 MW Load</v>
      </c>
    </row>
    <row r="144" spans="1:4" ht="16.7" customHeight="1" x14ac:dyDescent="0.2">
      <c r="A144" s="2670">
        <f t="shared" si="4"/>
        <v>42.095999999999776</v>
      </c>
      <c r="B144" s="2512" t="s">
        <v>6822</v>
      </c>
      <c r="C144" s="2530">
        <v>7335360</v>
      </c>
      <c r="D144" s="2479" t="str">
        <f t="shared" si="6"/>
        <v>Nutglade Distribution Spacer Cable Install</v>
      </c>
    </row>
    <row r="145" spans="1:4" ht="16.7" customHeight="1" x14ac:dyDescent="0.2">
      <c r="A145" s="2670">
        <f t="shared" si="4"/>
        <v>42.096999999999774</v>
      </c>
      <c r="B145" s="2512" t="s">
        <v>6823</v>
      </c>
      <c r="C145" s="2530">
        <v>7090533</v>
      </c>
      <c r="D145" s="2479" t="str">
        <f t="shared" si="6"/>
        <v>Conser Road - Constuct New 115kV to 20.8 kV Substation</v>
      </c>
    </row>
    <row r="146" spans="1:4" ht="16.7" customHeight="1" x14ac:dyDescent="0.2">
      <c r="A146" s="2670">
        <f t="shared" si="4"/>
        <v>42.097999999999772</v>
      </c>
      <c r="B146" s="2512" t="s">
        <v>6824</v>
      </c>
      <c r="C146" s="2530">
        <v>7015052</v>
      </c>
      <c r="D146" s="2479" t="str">
        <f t="shared" si="6"/>
        <v>Olympia Development LLC, 35.92 MW Load</v>
      </c>
    </row>
    <row r="147" spans="1:4" ht="16.7" customHeight="1" x14ac:dyDescent="0.2">
      <c r="A147" s="2670">
        <f t="shared" si="4"/>
        <v>42.098999999999769</v>
      </c>
      <c r="B147" s="2512" t="s">
        <v>6825</v>
      </c>
      <c r="C147" s="2530">
        <v>6911443</v>
      </c>
      <c r="D147" s="2479" t="str">
        <f t="shared" si="6"/>
        <v>Fire High Consequence Area (FHCA) - Rebuild Quarry 15</v>
      </c>
    </row>
    <row r="148" spans="1:4" ht="16.7" customHeight="1" x14ac:dyDescent="0.2">
      <c r="A148" s="2670">
        <f t="shared" si="4"/>
        <v>42.099999999999767</v>
      </c>
      <c r="B148" s="2512" t="s">
        <v>6826</v>
      </c>
      <c r="C148" s="2530">
        <v>6689310</v>
      </c>
      <c r="D148" s="2479" t="str">
        <f t="shared" si="6"/>
        <v>Fire High Consequence Area (FHCA) - Rebuild Quarry 12</v>
      </c>
    </row>
    <row r="149" spans="1:4" ht="16.7" customHeight="1" x14ac:dyDescent="0.2">
      <c r="A149" s="2670">
        <f t="shared" si="4"/>
        <v>42.100999999999765</v>
      </c>
      <c r="B149" s="2512" t="s">
        <v>6827</v>
      </c>
      <c r="C149" s="2530">
        <v>6497445</v>
      </c>
      <c r="D149" s="2479" t="str">
        <f t="shared" si="6"/>
        <v>North Logan Area Greenfld 138-12.5kV Sub</v>
      </c>
    </row>
    <row r="150" spans="1:4" ht="16.7" customHeight="1" x14ac:dyDescent="0.2">
      <c r="A150" s="2670">
        <f t="shared" si="4"/>
        <v>42.101999999999762</v>
      </c>
      <c r="B150" s="2512" t="s">
        <v>6828</v>
      </c>
      <c r="C150" s="2530">
        <v>6259324</v>
      </c>
      <c r="D150" s="2479" t="str">
        <f t="shared" si="6"/>
        <v>RG Lakeview, 50.47 MW Load</v>
      </c>
    </row>
    <row r="151" spans="1:4" ht="16.7" customHeight="1" x14ac:dyDescent="0.2">
      <c r="A151" s="2670">
        <f t="shared" si="4"/>
        <v>42.10299999999976</v>
      </c>
      <c r="B151" s="2512" t="s">
        <v>6829</v>
      </c>
      <c r="C151" s="2530">
        <v>6181574</v>
      </c>
      <c r="D151" s="2479" t="str">
        <f t="shared" si="6"/>
        <v>Nibley - Constuct new 25Kv Circuit</v>
      </c>
    </row>
    <row r="152" spans="1:4" ht="16.7" customHeight="1" x14ac:dyDescent="0.2">
      <c r="A152" s="2670">
        <f t="shared" si="4"/>
        <v>42.103999999999758</v>
      </c>
      <c r="B152" s="2512" t="s">
        <v>6830</v>
      </c>
      <c r="C152" s="2530">
        <v>6034973</v>
      </c>
      <c r="D152" s="2479" t="str">
        <f t="shared" si="6"/>
        <v>Washington Distribution Spacer Cable Install</v>
      </c>
    </row>
    <row r="153" spans="1:4" ht="16.7" customHeight="1" x14ac:dyDescent="0.2">
      <c r="A153" s="2670">
        <f t="shared" si="4"/>
        <v>42.104999999999755</v>
      </c>
      <c r="B153" s="2512" t="s">
        <v>6831</v>
      </c>
      <c r="C153" s="2530">
        <v>6004461</v>
      </c>
      <c r="D153" s="2479" t="str">
        <f t="shared" si="6"/>
        <v>Apple Valley: New 69-12.47 kV Substation</v>
      </c>
    </row>
    <row r="154" spans="1:4" ht="16.7" customHeight="1" x14ac:dyDescent="0.2">
      <c r="A154" s="2670">
        <f t="shared" si="4"/>
        <v>42.105999999999753</v>
      </c>
      <c r="B154" s="2512" t="s">
        <v>6832</v>
      </c>
      <c r="C154" s="2530">
        <v>5877129</v>
      </c>
      <c r="D154" s="2479" t="str">
        <f t="shared" si="6"/>
        <v>Enlaw LLC, 15.93 MW Load</v>
      </c>
    </row>
    <row r="155" spans="1:4" ht="16.7" customHeight="1" x14ac:dyDescent="0.2">
      <c r="A155" s="2670">
        <f t="shared" si="4"/>
        <v>42.106999999999751</v>
      </c>
      <c r="B155" s="2512" t="s">
        <v>6833</v>
      </c>
      <c r="C155" s="2530">
        <v>5381760</v>
      </c>
      <c r="D155" s="2479" t="str">
        <f t="shared" si="6"/>
        <v>Oregon Distribution Spacer Cable Installation</v>
      </c>
    </row>
    <row r="156" spans="1:4" ht="16.7" customHeight="1" x14ac:dyDescent="0.2">
      <c r="A156" s="2670">
        <f t="shared" si="4"/>
        <v>42.107999999999748</v>
      </c>
      <c r="B156" s="2512" t="s">
        <v>6834</v>
      </c>
      <c r="C156" s="2530">
        <v>5196756</v>
      </c>
      <c r="D156" s="2479" t="str">
        <f t="shared" si="6"/>
        <v>BDO Sub: Install 2nd 138-12kV Transformer</v>
      </c>
    </row>
    <row r="157" spans="1:4" ht="16.7" customHeight="1" x14ac:dyDescent="0.2">
      <c r="A157" s="2670">
        <f t="shared" si="4"/>
        <v>42.108999999999746</v>
      </c>
      <c r="B157" s="2512" t="s">
        <v>6835</v>
      </c>
      <c r="C157" s="2530">
        <v>5132756</v>
      </c>
      <c r="D157" s="2479" t="str">
        <f t="shared" si="6"/>
        <v>Syracuse 138-13.2 kV Transformer</v>
      </c>
    </row>
    <row r="158" spans="1:4" ht="16.7" customHeight="1" x14ac:dyDescent="0.2">
      <c r="A158" s="2670">
        <f t="shared" si="4"/>
        <v>42.109999999999744</v>
      </c>
      <c r="B158" s="2512" t="s">
        <v>6836</v>
      </c>
      <c r="C158" s="2530">
        <v>4629831</v>
      </c>
      <c r="D158" s="2479" t="str">
        <f t="shared" si="6"/>
        <v>Mt Shasta Taps Distribution Spacer Cable Install - 5G76/5G79</v>
      </c>
    </row>
    <row r="159" spans="1:4" ht="16.7" customHeight="1" x14ac:dyDescent="0.2">
      <c r="A159" s="2670">
        <f t="shared" si="4"/>
        <v>42.110999999999741</v>
      </c>
      <c r="B159" s="2512" t="s">
        <v>6837</v>
      </c>
      <c r="C159" s="2530">
        <v>4438401</v>
      </c>
      <c r="D159" s="2479" t="str">
        <f t="shared" si="6"/>
        <v>Flint Substation - Construct New 115-12.5kV Substation</v>
      </c>
    </row>
    <row r="160" spans="1:4" ht="16.7" customHeight="1" x14ac:dyDescent="0.2">
      <c r="A160" s="2670">
        <f t="shared" si="4"/>
        <v>42.111999999999739</v>
      </c>
      <c r="B160" s="2512" t="s">
        <v>6838</v>
      </c>
      <c r="C160" s="2530">
        <v>4217245</v>
      </c>
      <c r="D160" s="2479" t="str">
        <f t="shared" si="6"/>
        <v>Timp Sub 2nd 138-12.5 kV 30 MVA Transformer</v>
      </c>
    </row>
    <row r="161" spans="1:4" ht="16.7" customHeight="1" x14ac:dyDescent="0.2">
      <c r="A161" s="2670">
        <f t="shared" si="4"/>
        <v>42.112999999999737</v>
      </c>
      <c r="B161" s="2512" t="s">
        <v>6839</v>
      </c>
      <c r="C161" s="2530">
        <v>4111622</v>
      </c>
      <c r="D161" s="2479" t="str">
        <f t="shared" si="6"/>
        <v>Utah Underground Cable Replacement</v>
      </c>
    </row>
    <row r="162" spans="1:4" ht="16.7" customHeight="1" x14ac:dyDescent="0.2">
      <c r="A162" s="2670">
        <f t="shared" si="4"/>
        <v>42.113999999999734</v>
      </c>
      <c r="B162" s="2512" t="s">
        <v>6840</v>
      </c>
      <c r="C162" s="2530">
        <v>4089606</v>
      </c>
      <c r="D162" s="2479" t="str">
        <f t="shared" si="6"/>
        <v>Copper Hills Install Second Transformer</v>
      </c>
    </row>
    <row r="163" spans="1:4" ht="16.7" customHeight="1" x14ac:dyDescent="0.2">
      <c r="A163" s="2670">
        <f t="shared" si="4"/>
        <v>42.114999999999732</v>
      </c>
      <c r="B163" s="2512" t="s">
        <v>6841</v>
      </c>
      <c r="C163" s="2530">
        <v>3920484</v>
      </c>
      <c r="D163" s="2479" t="str">
        <f t="shared" si="6"/>
        <v>Robertson Bridge Road Distribution Spacer Cable Install</v>
      </c>
    </row>
    <row r="164" spans="1:4" ht="16.7" customHeight="1" x14ac:dyDescent="0.2">
      <c r="A164" s="2670">
        <f t="shared" si="4"/>
        <v>42.11599999999973</v>
      </c>
      <c r="B164" s="2512" t="s">
        <v>6842</v>
      </c>
      <c r="C164" s="2530">
        <v>3876223</v>
      </c>
      <c r="D164" s="2479" t="str">
        <f t="shared" si="6"/>
        <v>Downtown SLC Development - Snarr Substation Conversion</v>
      </c>
    </row>
    <row r="165" spans="1:4" ht="16.7" customHeight="1" x14ac:dyDescent="0.2">
      <c r="A165" s="2670">
        <f t="shared" si="4"/>
        <v>42.116999999999727</v>
      </c>
      <c r="B165" s="2512" t="s">
        <v>6843</v>
      </c>
      <c r="C165" s="2530">
        <v>3766857</v>
      </c>
      <c r="D165" s="2479" t="str">
        <f t="shared" si="6"/>
        <v>West Valley Install Second Transformer</v>
      </c>
    </row>
    <row r="166" spans="1:4" ht="16.7" customHeight="1" x14ac:dyDescent="0.2">
      <c r="A166" s="2670">
        <f t="shared" si="4"/>
        <v>42.117999999999725</v>
      </c>
      <c r="B166" s="2512" t="s">
        <v>6844</v>
      </c>
      <c r="C166" s="2530">
        <v>3529725</v>
      </c>
      <c r="D166" s="2479" t="str">
        <f t="shared" si="6"/>
        <v>Fire High Consequence Area (FHCA) - Rebuild Butlerville 16</v>
      </c>
    </row>
    <row r="167" spans="1:4" ht="16.7" customHeight="1" x14ac:dyDescent="0.2">
      <c r="A167" s="2670">
        <f t="shared" si="4"/>
        <v>42.118999999999723</v>
      </c>
      <c r="B167" s="2512" t="s">
        <v>6845</v>
      </c>
      <c r="C167" s="2530">
        <v>3400925</v>
      </c>
      <c r="D167" s="2479" t="str">
        <f t="shared" si="6"/>
        <v>Utah-Distribution Mandated Wildfire Mitigation</v>
      </c>
    </row>
    <row r="168" spans="1:4" ht="16.7" customHeight="1" x14ac:dyDescent="0.2">
      <c r="A168" s="2670">
        <f t="shared" si="4"/>
        <v>42.11999999999972</v>
      </c>
      <c r="B168" s="2512" t="s">
        <v>6846</v>
      </c>
      <c r="C168" s="2530">
        <v>3392197</v>
      </c>
      <c r="D168" s="2479" t="str">
        <f t="shared" si="6"/>
        <v>Cross Hollow Add Distribution Capacity</v>
      </c>
    </row>
    <row r="169" spans="1:4" ht="16.7" customHeight="1" x14ac:dyDescent="0.2">
      <c r="A169" s="2670">
        <f t="shared" si="4"/>
        <v>42.120999999999718</v>
      </c>
      <c r="B169" s="2512" t="s">
        <v>6847</v>
      </c>
      <c r="C169" s="2530">
        <v>3343460</v>
      </c>
      <c r="D169" s="2479" t="str">
        <f t="shared" si="6"/>
        <v>West Weed/Edgewood Distribution Spacer Cable Install</v>
      </c>
    </row>
    <row r="170" spans="1:4" ht="16.7" customHeight="1" x14ac:dyDescent="0.2">
      <c r="A170" s="2670">
        <f t="shared" si="4"/>
        <v>42.121999999999716</v>
      </c>
      <c r="B170" s="2512" t="s">
        <v>6848</v>
      </c>
      <c r="C170" s="2530">
        <v>3334058</v>
      </c>
      <c r="D170" s="2479" t="str">
        <f t="shared" si="6"/>
        <v>Medford Road Widening/Lone Pine and Foothills Substations</v>
      </c>
    </row>
    <row r="171" spans="1:4" ht="16.7" customHeight="1" x14ac:dyDescent="0.2">
      <c r="A171" s="2670">
        <f t="shared" si="4"/>
        <v>42.122999999999713</v>
      </c>
      <c r="B171" s="2512" t="s">
        <v>6849</v>
      </c>
      <c r="C171" s="2530">
        <v>3308697</v>
      </c>
      <c r="D171" s="2479" t="str">
        <f t="shared" si="6"/>
        <v>EX Utah Development, 19.03 MW Load</v>
      </c>
    </row>
    <row r="172" spans="1:4" ht="16.7" customHeight="1" x14ac:dyDescent="0.2">
      <c r="A172" s="2670">
        <f t="shared" si="4"/>
        <v>42.123999999999711</v>
      </c>
      <c r="B172" s="2512" t="s">
        <v>6850</v>
      </c>
      <c r="C172" s="2530">
        <v>3192281</v>
      </c>
      <c r="D172" s="2479" t="str">
        <f t="shared" si="6"/>
        <v>Oregon Energy Storage Project</v>
      </c>
    </row>
    <row r="173" spans="1:4" ht="16.7" customHeight="1" x14ac:dyDescent="0.2">
      <c r="A173" s="2670">
        <f t="shared" si="4"/>
        <v>42.124999999999709</v>
      </c>
      <c r="B173" s="2512" t="s">
        <v>6851</v>
      </c>
      <c r="C173" s="2530">
        <v>3192196</v>
      </c>
      <c r="D173" s="2479" t="str">
        <f t="shared" si="6"/>
        <v>Seiad East &amp; West Distribution Spacer Cable Install</v>
      </c>
    </row>
    <row r="174" spans="1:4" ht="16.7" customHeight="1" x14ac:dyDescent="0.2">
      <c r="A174" s="2670">
        <f t="shared" si="4"/>
        <v>42.125999999999706</v>
      </c>
      <c r="B174" s="2512" t="s">
        <v>6852</v>
      </c>
      <c r="C174" s="2530">
        <v>3122252</v>
      </c>
      <c r="D174" s="2479" t="str">
        <f t="shared" si="6"/>
        <v>118th South 6400 West</v>
      </c>
    </row>
    <row r="175" spans="1:4" ht="16.7" customHeight="1" x14ac:dyDescent="0.2">
      <c r="A175" s="2670">
        <f t="shared" si="4"/>
        <v>42.126999999999704</v>
      </c>
      <c r="B175" s="2512" t="s">
        <v>6853</v>
      </c>
      <c r="C175" s="2530">
        <v>3114832</v>
      </c>
      <c r="D175" s="2479" t="str">
        <f t="shared" si="6"/>
        <v>CA Fire Mitigation Distribution Sub Relay Replacement</v>
      </c>
    </row>
    <row r="176" spans="1:4" ht="16.7" customHeight="1" x14ac:dyDescent="0.2">
      <c r="A176" s="2670">
        <f t="shared" si="4"/>
        <v>42.127999999999702</v>
      </c>
      <c r="B176" s="2512" t="s">
        <v>6854</v>
      </c>
      <c r="C176" s="2530">
        <v>3020712</v>
      </c>
      <c r="D176" s="2479" t="str">
        <f t="shared" si="6"/>
        <v>CA Distribution Spacer Cable Install - 5G76</v>
      </c>
    </row>
    <row r="177" spans="1:4" ht="16.7" customHeight="1" x14ac:dyDescent="0.2">
      <c r="A177" s="2670">
        <f t="shared" si="4"/>
        <v>42.128999999999699</v>
      </c>
      <c r="B177" s="2512" t="s">
        <v>6855</v>
      </c>
      <c r="C177" s="2530">
        <v>2975647</v>
      </c>
      <c r="D177" s="2479" t="str">
        <f t="shared" si="6"/>
        <v>Oregon Expulsion Fuse Replacement - Grants Pass</v>
      </c>
    </row>
    <row r="178" spans="1:4" ht="16.7" customHeight="1" x14ac:dyDescent="0.2">
      <c r="A178" s="2670">
        <f t="shared" ref="A178:A241" si="7">A177+0.001</f>
        <v>42.129999999999697</v>
      </c>
      <c r="B178" s="2512" t="s">
        <v>6856</v>
      </c>
      <c r="C178" s="2530">
        <v>2974632</v>
      </c>
      <c r="D178" s="2479" t="str">
        <f t="shared" si="6"/>
        <v>Fire High Consequence Area (FHCA) - Rebuild Mountain Dell 11</v>
      </c>
    </row>
    <row r="179" spans="1:4" ht="16.7" customHeight="1" x14ac:dyDescent="0.2">
      <c r="A179" s="2670">
        <f t="shared" si="7"/>
        <v>42.130999999999695</v>
      </c>
      <c r="B179" s="2512" t="s">
        <v>6857</v>
      </c>
      <c r="C179" s="2530">
        <v>2534511</v>
      </c>
      <c r="D179" s="2479" t="str">
        <f t="shared" si="6"/>
        <v>Covered Conductor Sub to 0143300 - 5G40</v>
      </c>
    </row>
    <row r="180" spans="1:4" ht="16.7" customHeight="1" x14ac:dyDescent="0.2">
      <c r="A180" s="2670">
        <f t="shared" si="7"/>
        <v>42.131999999999692</v>
      </c>
      <c r="B180" s="2512" t="s">
        <v>6858</v>
      </c>
      <c r="C180" s="2530">
        <v>2499939</v>
      </c>
      <c r="D180" s="2479" t="str">
        <f t="shared" si="6"/>
        <v>Pony Express Mobile Connection, Load Transfer</v>
      </c>
    </row>
    <row r="181" spans="1:4" ht="16.7" customHeight="1" x14ac:dyDescent="0.2">
      <c r="A181" s="2670">
        <f t="shared" si="7"/>
        <v>42.13299999999969</v>
      </c>
      <c r="B181" s="2512" t="s">
        <v>6859</v>
      </c>
      <c r="C181" s="2530">
        <v>2483694</v>
      </c>
      <c r="D181" s="2479" t="str">
        <f t="shared" si="6"/>
        <v>Campbell Soup Supply Company, 1.5 MW</v>
      </c>
    </row>
    <row r="182" spans="1:4" ht="16.7" customHeight="1" x14ac:dyDescent="0.2">
      <c r="A182" s="2670">
        <f t="shared" si="7"/>
        <v>42.133999999999688</v>
      </c>
      <c r="B182" s="2512" t="s">
        <v>6860</v>
      </c>
      <c r="C182" s="2530">
        <v>2473295</v>
      </c>
      <c r="D182" s="2479" t="str">
        <f t="shared" si="6"/>
        <v>Arches Substation (Disappearing Angel)</v>
      </c>
    </row>
    <row r="183" spans="1:4" ht="16.7" customHeight="1" x14ac:dyDescent="0.2">
      <c r="A183" s="2670">
        <f t="shared" si="7"/>
        <v>42.134999999999685</v>
      </c>
      <c r="B183" s="2512" t="s">
        <v>6861</v>
      </c>
      <c r="C183" s="2530">
        <v>2416517</v>
      </c>
      <c r="D183" s="2479" t="str">
        <f t="shared" si="6"/>
        <v>S Old Stage Road Distribution Spacer Cable Install</v>
      </c>
    </row>
    <row r="184" spans="1:4" ht="16.7" customHeight="1" x14ac:dyDescent="0.2">
      <c r="A184" s="2670">
        <f t="shared" si="7"/>
        <v>42.135999999999683</v>
      </c>
      <c r="B184" s="2512" t="s">
        <v>6862</v>
      </c>
      <c r="C184" s="2530">
        <v>2413785</v>
      </c>
      <c r="D184" s="2479" t="str">
        <f t="shared" si="6"/>
        <v>Northwest Quadrant Development - Lee Creek #2</v>
      </c>
    </row>
    <row r="185" spans="1:4" ht="16.7" customHeight="1" x14ac:dyDescent="0.2">
      <c r="A185" s="2670">
        <f t="shared" si="7"/>
        <v>42.136999999999681</v>
      </c>
      <c r="B185" s="2512" t="s">
        <v>6863</v>
      </c>
      <c r="C185" s="2530">
        <v>2389104</v>
      </c>
      <c r="D185" s="2479" t="str">
        <f t="shared" si="6"/>
        <v>Fire High Consequence Area (FHCA) - Rebuild New Harmony 11</v>
      </c>
    </row>
    <row r="186" spans="1:4" ht="16.7" customHeight="1" x14ac:dyDescent="0.2">
      <c r="A186" s="2670">
        <f t="shared" si="7"/>
        <v>42.137999999999678</v>
      </c>
      <c r="B186" s="2488" t="s">
        <v>6864</v>
      </c>
      <c r="C186" s="2530">
        <v>2383901</v>
      </c>
      <c r="D186" s="2479" t="str">
        <f t="shared" si="6"/>
        <v>Fire High Consequence Area (FHCA) - Rebuild Coleman 15</v>
      </c>
    </row>
    <row r="187" spans="1:4" ht="16.7" customHeight="1" x14ac:dyDescent="0.2">
      <c r="A187" s="2670">
        <f t="shared" si="7"/>
        <v>42.138999999999676</v>
      </c>
      <c r="B187" s="2488" t="s">
        <v>6865</v>
      </c>
      <c r="C187" s="2530">
        <v>2372918</v>
      </c>
      <c r="D187" s="2479" t="str">
        <f t="shared" si="6"/>
        <v>Hiouchi Hill - 5R165</v>
      </c>
    </row>
    <row r="188" spans="1:4" ht="16.7" customHeight="1" x14ac:dyDescent="0.2">
      <c r="A188" s="2670">
        <f t="shared" si="7"/>
        <v>42.139999999999674</v>
      </c>
      <c r="B188" s="2488" t="s">
        <v>6866</v>
      </c>
      <c r="C188" s="2530">
        <v>2361039</v>
      </c>
      <c r="D188" s="2479" t="str">
        <f t="shared" si="6"/>
        <v>Undergrould Line Rebuild Old Edgewood 4 - 5G83</v>
      </c>
    </row>
    <row r="189" spans="1:4" ht="16.7" customHeight="1" x14ac:dyDescent="0.2">
      <c r="A189" s="2670">
        <f t="shared" si="7"/>
        <v>42.140999999999671</v>
      </c>
      <c r="B189" s="2488" t="s">
        <v>6867</v>
      </c>
      <c r="C189" s="2530">
        <v>2331479</v>
      </c>
      <c r="D189" s="2479" t="str">
        <f t="shared" si="6"/>
        <v>Hood River Mosier Tie Distribution Spacer Cable Install - 5K70</v>
      </c>
    </row>
    <row r="190" spans="1:4" ht="16.7" customHeight="1" x14ac:dyDescent="0.2">
      <c r="A190" s="2670">
        <f t="shared" si="7"/>
        <v>42.141999999999669</v>
      </c>
      <c r="B190" s="2488" t="s">
        <v>6868</v>
      </c>
      <c r="C190" s="2530">
        <v>2277830</v>
      </c>
      <c r="D190" s="2479" t="str">
        <f t="shared" si="6"/>
        <v>Selma Thompson Creek Distribution Spacer Cable Install - 5R65</v>
      </c>
    </row>
    <row r="191" spans="1:4" ht="16.7" customHeight="1" x14ac:dyDescent="0.2">
      <c r="A191" s="2670">
        <f t="shared" si="7"/>
        <v>42.142999999999667</v>
      </c>
      <c r="B191" s="2512" t="s">
        <v>6869</v>
      </c>
      <c r="C191" s="2530">
        <v>2216601</v>
      </c>
      <c r="D191" s="2479" t="str">
        <f t="shared" si="6"/>
        <v>Taylor Sub: 46-12kV Transformer Replacement</v>
      </c>
    </row>
    <row r="192" spans="1:4" ht="16.7" customHeight="1" x14ac:dyDescent="0.2">
      <c r="A192" s="2670">
        <f t="shared" si="7"/>
        <v>42.143999999999664</v>
      </c>
      <c r="B192" s="2512" t="s">
        <v>6870</v>
      </c>
      <c r="C192" s="2530">
        <v>2211902</v>
      </c>
      <c r="D192" s="2479" t="str">
        <f t="shared" si="6"/>
        <v>Jumbers Point - New Substation</v>
      </c>
    </row>
    <row r="193" spans="1:4" ht="16.7" customHeight="1" x14ac:dyDescent="0.2">
      <c r="A193" s="2670">
        <f t="shared" si="7"/>
        <v>42.144999999999662</v>
      </c>
      <c r="B193" s="2512" t="s">
        <v>6871</v>
      </c>
      <c r="C193" s="2530">
        <v>2164975</v>
      </c>
      <c r="D193" s="2479" t="str">
        <f t="shared" si="6"/>
        <v>Fire Mitigation Distribution Sub Relay Replacement Phase 2</v>
      </c>
    </row>
    <row r="194" spans="1:4" ht="16.7" customHeight="1" x14ac:dyDescent="0.2">
      <c r="A194" s="2670">
        <f t="shared" si="7"/>
        <v>42.14599999999966</v>
      </c>
      <c r="B194" s="2512" t="s">
        <v>6872</v>
      </c>
      <c r="C194" s="2530">
        <v>2113126</v>
      </c>
      <c r="D194" s="2479" t="str">
        <f t="shared" si="6"/>
        <v>Salt Lake Dept of Airports - 14.7 MW Load</v>
      </c>
    </row>
    <row r="195" spans="1:4" ht="16.7" customHeight="1" x14ac:dyDescent="0.2">
      <c r="A195" s="2670">
        <f t="shared" si="7"/>
        <v>42.146999999999657</v>
      </c>
      <c r="B195" s="2512" t="s">
        <v>6873</v>
      </c>
      <c r="C195" s="2530">
        <v>2089166</v>
      </c>
      <c r="D195" s="2479" t="str">
        <f t="shared" si="6"/>
        <v>Russellville Distribution Automation Project - FLISR</v>
      </c>
    </row>
    <row r="196" spans="1:4" ht="16.7" customHeight="1" x14ac:dyDescent="0.2">
      <c r="A196" s="2670">
        <f t="shared" si="7"/>
        <v>42.147999999999655</v>
      </c>
      <c r="B196" s="2512" t="s">
        <v>6874</v>
      </c>
      <c r="C196" s="2530">
        <v>1958077</v>
      </c>
      <c r="D196" s="2479" t="str">
        <f t="shared" si="6"/>
        <v>Dodd Road Substation - Replace Transformer Bank 1</v>
      </c>
    </row>
    <row r="197" spans="1:4" ht="16.7" customHeight="1" x14ac:dyDescent="0.2">
      <c r="A197" s="2670">
        <f t="shared" si="7"/>
        <v>42.148999999999653</v>
      </c>
      <c r="B197" s="2512" t="s">
        <v>6875</v>
      </c>
      <c r="C197" s="2530">
        <v>1952072</v>
      </c>
      <c r="D197" s="2479" t="str">
        <f t="shared" si="6"/>
        <v>T&amp;D Field Operations Training Modules</v>
      </c>
    </row>
    <row r="198" spans="1:4" ht="16.7" customHeight="1" x14ac:dyDescent="0.2">
      <c r="A198" s="2670">
        <f t="shared" si="7"/>
        <v>42.14999999999965</v>
      </c>
      <c r="B198" s="2512" t="s">
        <v>6876</v>
      </c>
      <c r="C198" s="2530">
        <v>1866532</v>
      </c>
      <c r="D198" s="2479" t="str">
        <f t="shared" si="6"/>
        <v>Mill City - New Substation</v>
      </c>
    </row>
    <row r="199" spans="1:4" ht="16.7" customHeight="1" x14ac:dyDescent="0.2">
      <c r="A199" s="2670">
        <f t="shared" si="7"/>
        <v>42.150999999999648</v>
      </c>
      <c r="B199" s="2512" t="s">
        <v>6877</v>
      </c>
      <c r="C199" s="2530">
        <v>1827194</v>
      </c>
      <c r="D199" s="2479" t="str">
        <f t="shared" si="6"/>
        <v>Fire High Consequence Area (FHCA) - Rebuild Olympus 13</v>
      </c>
    </row>
    <row r="200" spans="1:4" ht="16.7" customHeight="1" x14ac:dyDescent="0.2">
      <c r="A200" s="2670">
        <f t="shared" si="7"/>
        <v>42.151999999999646</v>
      </c>
      <c r="B200" s="2512" t="s">
        <v>6878</v>
      </c>
      <c r="C200" s="2530">
        <v>1760933</v>
      </c>
      <c r="D200" s="2479" t="str">
        <f t="shared" ref="D200:D238" si="8">B200</f>
        <v>Elk Horn Sub - Install 2nd 30MVA Transformer</v>
      </c>
    </row>
    <row r="201" spans="1:4" ht="16.7" customHeight="1" x14ac:dyDescent="0.2">
      <c r="A201" s="2670">
        <f t="shared" si="7"/>
        <v>42.152999999999643</v>
      </c>
      <c r="B201" s="2512" t="s">
        <v>6879</v>
      </c>
      <c r="C201" s="2530">
        <v>1760316</v>
      </c>
      <c r="D201" s="2479" t="str">
        <f t="shared" si="8"/>
        <v>Hwy 96 and Beaver Creek Line Rebuild - 5G40</v>
      </c>
    </row>
    <row r="202" spans="1:4" ht="16.7" customHeight="1" x14ac:dyDescent="0.2">
      <c r="A202" s="2670">
        <f t="shared" si="7"/>
        <v>42.153999999999641</v>
      </c>
      <c r="B202" s="2512" t="s">
        <v>6880</v>
      </c>
      <c r="C202" s="2530">
        <v>1757457</v>
      </c>
      <c r="D202" s="2479" t="str">
        <f t="shared" si="8"/>
        <v>Ruby Sub 69-12.5kV 14MVA Transformer Replacement</v>
      </c>
    </row>
    <row r="203" spans="1:4" ht="16.7" customHeight="1" x14ac:dyDescent="0.2">
      <c r="A203" s="2670">
        <f t="shared" si="7"/>
        <v>42.154999999999639</v>
      </c>
      <c r="B203" s="2512" t="s">
        <v>6881</v>
      </c>
      <c r="C203" s="2530">
        <v>1716555</v>
      </c>
      <c r="D203" s="2479" t="str">
        <f t="shared" si="8"/>
        <v>90th South Sub Install 30 MVA Transformer</v>
      </c>
    </row>
    <row r="204" spans="1:4" ht="16.7" customHeight="1" x14ac:dyDescent="0.2">
      <c r="A204" s="2670">
        <f t="shared" si="7"/>
        <v>42.155999999999636</v>
      </c>
      <c r="B204" s="2512" t="s">
        <v>6882</v>
      </c>
      <c r="C204" s="2530">
        <v>1658511</v>
      </c>
      <c r="D204" s="2479" t="str">
        <f t="shared" si="8"/>
        <v>Fire High Consequence Area (FHCA) - Rebuild Eden 11</v>
      </c>
    </row>
    <row r="205" spans="1:4" ht="16.7" customHeight="1" x14ac:dyDescent="0.2">
      <c r="A205" s="2670">
        <f t="shared" si="7"/>
        <v>42.156999999999634</v>
      </c>
      <c r="B205" s="2512" t="s">
        <v>6883</v>
      </c>
      <c r="C205" s="2530">
        <v>1615813</v>
      </c>
      <c r="D205" s="2479" t="str">
        <f t="shared" si="8"/>
        <v>Moab City Sub Upgrade Transformer</v>
      </c>
    </row>
    <row r="206" spans="1:4" ht="16.7" customHeight="1" x14ac:dyDescent="0.2">
      <c r="A206" s="2670">
        <f t="shared" si="7"/>
        <v>42.157999999999632</v>
      </c>
      <c r="B206" s="2512" t="s">
        <v>6884</v>
      </c>
      <c r="C206" s="2530">
        <v>1601399</v>
      </c>
      <c r="D206" s="2479" t="str">
        <f t="shared" si="8"/>
        <v>Pine Creek RNG LLC, 1,700 kW Load</v>
      </c>
    </row>
    <row r="207" spans="1:4" ht="16.7" customHeight="1" x14ac:dyDescent="0.2">
      <c r="A207" s="2670">
        <f t="shared" si="7"/>
        <v>42.158999999999629</v>
      </c>
      <c r="B207" s="2512" t="s">
        <v>6885</v>
      </c>
      <c r="C207" s="2530">
        <v>1593684</v>
      </c>
      <c r="D207" s="2479" t="str">
        <f t="shared" si="8"/>
        <v>TDW1401 / 3rd West Sub to LDS Data and Conference Center</v>
      </c>
    </row>
    <row r="208" spans="1:4" ht="16.7" customHeight="1" x14ac:dyDescent="0.2">
      <c r="A208" s="2670">
        <f t="shared" si="7"/>
        <v>42.159999999999627</v>
      </c>
      <c r="B208" s="2512" t="s">
        <v>6886</v>
      </c>
      <c r="C208" s="2530">
        <v>1591059</v>
      </c>
      <c r="D208" s="2479" t="str">
        <f t="shared" si="8"/>
        <v>Boise Cascade Sub Install Parallel Voltage Regulator</v>
      </c>
    </row>
    <row r="209" spans="1:4" ht="16.7" customHeight="1" x14ac:dyDescent="0.2">
      <c r="A209" s="2670">
        <f t="shared" si="7"/>
        <v>42.160999999999625</v>
      </c>
      <c r="B209" s="2512" t="s">
        <v>6887</v>
      </c>
      <c r="C209" s="2530">
        <v>1585408</v>
      </c>
      <c r="D209" s="2479" t="str">
        <f t="shared" si="8"/>
        <v>Seiad Creek Road CA Distribution Spacer Cable Install</v>
      </c>
    </row>
    <row r="210" spans="1:4" ht="16.7" customHeight="1" x14ac:dyDescent="0.2">
      <c r="A210" s="2670">
        <f t="shared" si="7"/>
        <v>42.161999999999622</v>
      </c>
      <c r="B210" s="2512" t="s">
        <v>6888</v>
      </c>
      <c r="C210" s="2530">
        <v>1564752</v>
      </c>
      <c r="D210" s="2479" t="str">
        <f t="shared" si="8"/>
        <v>Camp Williams Bank #1 Replacement for STASTA, LLC</v>
      </c>
    </row>
    <row r="211" spans="1:4" ht="16.7" customHeight="1" x14ac:dyDescent="0.2">
      <c r="A211" s="2670">
        <f t="shared" si="7"/>
        <v>42.16299999999962</v>
      </c>
      <c r="B211" s="2512" t="s">
        <v>6889</v>
      </c>
      <c r="C211" s="2530">
        <v>1537457</v>
      </c>
      <c r="D211" s="2479" t="str">
        <f t="shared" si="8"/>
        <v>Gordon Hollow - New Substation</v>
      </c>
    </row>
    <row r="212" spans="1:4" ht="16.7" customHeight="1" x14ac:dyDescent="0.2">
      <c r="A212" s="2670">
        <f t="shared" si="7"/>
        <v>42.163999999999618</v>
      </c>
      <c r="B212" s="2512" t="s">
        <v>6890</v>
      </c>
      <c r="C212" s="2530">
        <v>1521655</v>
      </c>
      <c r="D212" s="2479" t="str">
        <f t="shared" si="8"/>
        <v>Deer Creek Sub - New 69/13.2kV 25MVA Substation</v>
      </c>
    </row>
    <row r="213" spans="1:4" ht="16.7" customHeight="1" x14ac:dyDescent="0.2">
      <c r="A213" s="2670">
        <f t="shared" si="7"/>
        <v>42.164999999999615</v>
      </c>
      <c r="B213" s="2512" t="s">
        <v>6891</v>
      </c>
      <c r="C213" s="2530">
        <v>1521259</v>
      </c>
      <c r="D213" s="2479" t="str">
        <f t="shared" si="8"/>
        <v>Tata Chemicals Soda Ash Partners, 9MW Load</v>
      </c>
    </row>
    <row r="214" spans="1:4" ht="16.7" customHeight="1" x14ac:dyDescent="0.2">
      <c r="A214" s="2670">
        <f t="shared" si="7"/>
        <v>42.165999999999613</v>
      </c>
      <c r="B214" s="2512" t="s">
        <v>6892</v>
      </c>
      <c r="C214" s="2530">
        <v>1513669</v>
      </c>
      <c r="D214" s="2479" t="str">
        <f t="shared" si="8"/>
        <v>Enoch Sub Upgrade Transformer</v>
      </c>
    </row>
    <row r="215" spans="1:4" ht="16.7" customHeight="1" x14ac:dyDescent="0.2">
      <c r="A215" s="2670">
        <f t="shared" si="7"/>
        <v>42.166999999999611</v>
      </c>
      <c r="B215" s="2512" t="s">
        <v>6893</v>
      </c>
      <c r="C215" s="2530">
        <v>1501242</v>
      </c>
      <c r="D215" s="2479" t="str">
        <f t="shared" si="8"/>
        <v>Scott River Road Line Rebuild - 5G40</v>
      </c>
    </row>
    <row r="216" spans="1:4" ht="16.7" customHeight="1" x14ac:dyDescent="0.2">
      <c r="A216" s="2670">
        <f t="shared" si="7"/>
        <v>42.167999999999608</v>
      </c>
      <c r="B216" s="2512" t="s">
        <v>6894</v>
      </c>
      <c r="C216" s="2530">
        <v>1456536</v>
      </c>
      <c r="D216" s="2479" t="str">
        <f t="shared" si="8"/>
        <v>Redmond Sub - Replace 13 ABB DPU &amp; 2TPU Relays</v>
      </c>
    </row>
    <row r="217" spans="1:4" ht="16.7" customHeight="1" x14ac:dyDescent="0.2">
      <c r="A217" s="2670">
        <f t="shared" si="7"/>
        <v>42.168999999999606</v>
      </c>
      <c r="B217" s="2512" t="s">
        <v>6895</v>
      </c>
      <c r="C217" s="2530">
        <v>1436894</v>
      </c>
      <c r="D217" s="2479" t="str">
        <f t="shared" si="8"/>
        <v>Yakima EV Charging Station</v>
      </c>
    </row>
    <row r="218" spans="1:4" ht="16.7" customHeight="1" x14ac:dyDescent="0.2">
      <c r="A218" s="2670">
        <f t="shared" si="7"/>
        <v>42.169999999999604</v>
      </c>
      <c r="B218" s="2512" t="s">
        <v>6896</v>
      </c>
      <c r="C218" s="2530">
        <v>1434323</v>
      </c>
      <c r="D218" s="2479" t="str">
        <f t="shared" si="8"/>
        <v>California Expulsion Fuse Replacement - Yreka</v>
      </c>
    </row>
    <row r="219" spans="1:4" ht="16.7" customHeight="1" x14ac:dyDescent="0.2">
      <c r="A219" s="2670">
        <f t="shared" si="7"/>
        <v>42.170999999999601</v>
      </c>
      <c r="B219" s="2512" t="s">
        <v>6897</v>
      </c>
      <c r="C219" s="2530">
        <v>1413837</v>
      </c>
      <c r="D219" s="2479" t="str">
        <f t="shared" si="8"/>
        <v>Rigby 161-12 kV Transformer Addition</v>
      </c>
    </row>
    <row r="220" spans="1:4" ht="16.7" customHeight="1" x14ac:dyDescent="0.2">
      <c r="A220" s="2670">
        <f t="shared" si="7"/>
        <v>42.171999999999599</v>
      </c>
      <c r="B220" s="2512" t="s">
        <v>6898</v>
      </c>
      <c r="C220" s="2530">
        <v>1406056</v>
      </c>
      <c r="D220" s="2479" t="str">
        <f t="shared" si="8"/>
        <v>Siskiyou Lake Distribution Spacer Cable Install</v>
      </c>
    </row>
    <row r="221" spans="1:4" ht="16.7" customHeight="1" x14ac:dyDescent="0.2">
      <c r="A221" s="2670">
        <f t="shared" si="7"/>
        <v>42.172999999999597</v>
      </c>
      <c r="B221" s="2512" t="s">
        <v>6899</v>
      </c>
      <c r="C221" s="2530">
        <v>1392480</v>
      </c>
      <c r="D221" s="2479" t="str">
        <f t="shared" si="8"/>
        <v>Garden City Sub Transformer Upgrade</v>
      </c>
    </row>
    <row r="222" spans="1:4" ht="16.7" customHeight="1" x14ac:dyDescent="0.2">
      <c r="A222" s="2670">
        <f t="shared" si="7"/>
        <v>42.173999999999594</v>
      </c>
      <c r="B222" s="2512" t="s">
        <v>6900</v>
      </c>
      <c r="C222" s="2530">
        <v>1329892</v>
      </c>
      <c r="D222" s="2479" t="str">
        <f t="shared" si="8"/>
        <v>Tap Lines Rebuild - 5G40</v>
      </c>
    </row>
    <row r="223" spans="1:4" ht="16.7" customHeight="1" x14ac:dyDescent="0.2">
      <c r="A223" s="2670">
        <f t="shared" si="7"/>
        <v>42.174999999999592</v>
      </c>
      <c r="B223" s="2512" t="s">
        <v>6901</v>
      </c>
      <c r="C223" s="2530">
        <v>1321251</v>
      </c>
      <c r="D223" s="2479" t="str">
        <f t="shared" si="8"/>
        <v>Weed City Taps 2023 CA Distribution Spacer Cable Install - 5G83</v>
      </c>
    </row>
    <row r="224" spans="1:4" ht="16.7" customHeight="1" x14ac:dyDescent="0.2">
      <c r="A224" s="2670">
        <f t="shared" si="7"/>
        <v>42.17599999999959</v>
      </c>
      <c r="B224" s="2512" t="s">
        <v>6902</v>
      </c>
      <c r="C224" s="2530">
        <v>1248570</v>
      </c>
      <c r="D224" s="2479" t="str">
        <f t="shared" si="8"/>
        <v>North Salt Lake Development - Cudahy #2</v>
      </c>
    </row>
    <row r="225" spans="1:4" ht="16.7" customHeight="1" x14ac:dyDescent="0.2">
      <c r="A225" s="2670">
        <f t="shared" si="7"/>
        <v>42.176999999999587</v>
      </c>
      <c r="B225" s="2512" t="s">
        <v>6903</v>
      </c>
      <c r="C225" s="2530">
        <v>1224296</v>
      </c>
      <c r="D225" s="2479" t="str">
        <f t="shared" si="8"/>
        <v>Mt Shasta City 4kV CA Distribution Spacer Cable Install - 7G81/7G82</v>
      </c>
    </row>
    <row r="226" spans="1:4" ht="16.7" customHeight="1" x14ac:dyDescent="0.2">
      <c r="A226" s="2670">
        <f t="shared" si="7"/>
        <v>42.177999999999585</v>
      </c>
      <c r="B226" s="2512" t="s">
        <v>6904</v>
      </c>
      <c r="C226" s="2530">
        <v>1200892</v>
      </c>
      <c r="D226" s="2479" t="str">
        <f t="shared" si="8"/>
        <v>Medford Distribution Automation Project - FLISR</v>
      </c>
    </row>
    <row r="227" spans="1:4" ht="16.7" customHeight="1" x14ac:dyDescent="0.2">
      <c r="A227" s="2670">
        <f t="shared" si="7"/>
        <v>42.178999999999583</v>
      </c>
      <c r="B227" s="2512" t="s">
        <v>6905</v>
      </c>
      <c r="C227" s="2530">
        <v>1188138</v>
      </c>
      <c r="D227" s="2479" t="str">
        <f t="shared" si="8"/>
        <v>Idaho-Distribution Mandated Wildfire Mitigation</v>
      </c>
    </row>
    <row r="228" spans="1:4" ht="16.7" customHeight="1" x14ac:dyDescent="0.2">
      <c r="A228" s="2670">
        <f t="shared" si="7"/>
        <v>42.17999999999958</v>
      </c>
      <c r="B228" s="2512" t="s">
        <v>6906</v>
      </c>
      <c r="C228" s="2530">
        <v>1182427</v>
      </c>
      <c r="D228" s="2479" t="str">
        <f t="shared" si="8"/>
        <v>Fire High Consequence Area (FHCA) - Rebuild Summit Park 11</v>
      </c>
    </row>
    <row r="229" spans="1:4" ht="16.7" customHeight="1" x14ac:dyDescent="0.2">
      <c r="A229" s="2670">
        <f t="shared" si="7"/>
        <v>42.180999999999578</v>
      </c>
      <c r="B229" s="2512" t="s">
        <v>6907</v>
      </c>
      <c r="C229" s="2530">
        <v>1177924</v>
      </c>
      <c r="D229" s="2479" t="str">
        <f t="shared" si="8"/>
        <v>WA Fire Mitigation Distribution Sub Relay Replacement</v>
      </c>
    </row>
    <row r="230" spans="1:4" ht="16.7" customHeight="1" x14ac:dyDescent="0.2">
      <c r="A230" s="2670">
        <f t="shared" si="7"/>
        <v>42.181999999999576</v>
      </c>
      <c r="B230" s="2512" t="s">
        <v>6908</v>
      </c>
      <c r="C230" s="2530">
        <v>1166732</v>
      </c>
      <c r="D230" s="2479" t="str">
        <f t="shared" si="8"/>
        <v>Fire High Consequence Area (FHCA) - Oregon Communicating Fault Circuit Indicators</v>
      </c>
    </row>
    <row r="231" spans="1:4" ht="16.7" customHeight="1" x14ac:dyDescent="0.2">
      <c r="A231" s="2670">
        <f t="shared" si="7"/>
        <v>42.182999999999574</v>
      </c>
      <c r="B231" s="2512" t="s">
        <v>6909</v>
      </c>
      <c r="C231" s="2530">
        <v>1144288</v>
      </c>
      <c r="D231" s="2479" t="str">
        <f t="shared" si="8"/>
        <v>Fire High Consequence Area (FHCA) - Rebuild Coalville 13</v>
      </c>
    </row>
    <row r="232" spans="1:4" ht="16.7" customHeight="1" x14ac:dyDescent="0.2">
      <c r="A232" s="2670">
        <f t="shared" si="7"/>
        <v>42.183999999999571</v>
      </c>
      <c r="B232" s="2512" t="s">
        <v>6910</v>
      </c>
      <c r="C232" s="2530">
        <v>1135977</v>
      </c>
      <c r="D232" s="2479" t="str">
        <f t="shared" si="8"/>
        <v>Amazon.com Services LLC, 6.24 MW Load</v>
      </c>
    </row>
    <row r="233" spans="1:4" ht="16.7" customHeight="1" x14ac:dyDescent="0.2">
      <c r="A233" s="2670">
        <f t="shared" si="7"/>
        <v>42.184999999999569</v>
      </c>
      <c r="B233" s="2512" t="s">
        <v>6911</v>
      </c>
      <c r="C233" s="2530">
        <v>1128059</v>
      </c>
      <c r="D233" s="2479" t="str">
        <f t="shared" si="8"/>
        <v>Riverbend Management Inc, 1.81 MW Load</v>
      </c>
    </row>
    <row r="234" spans="1:4" ht="16.7" customHeight="1" x14ac:dyDescent="0.2">
      <c r="A234" s="2670">
        <f t="shared" si="7"/>
        <v>42.185999999999567</v>
      </c>
      <c r="B234" s="2512" t="s">
        <v>6912</v>
      </c>
      <c r="C234" s="2530">
        <v>1119030</v>
      </c>
      <c r="D234" s="2479" t="str">
        <f t="shared" si="8"/>
        <v>Oregon Expulsion Fuse Replacement - Roseburg</v>
      </c>
    </row>
    <row r="235" spans="1:4" ht="16.7" customHeight="1" x14ac:dyDescent="0.2">
      <c r="A235" s="2670">
        <f t="shared" si="7"/>
        <v>42.186999999999564</v>
      </c>
      <c r="B235" s="2512" t="s">
        <v>6913</v>
      </c>
      <c r="C235" s="2530">
        <v>1117001</v>
      </c>
      <c r="D235" s="2479" t="str">
        <f t="shared" si="8"/>
        <v>SRC Land Holdings, 12.067 MW Load</v>
      </c>
    </row>
    <row r="236" spans="1:4" ht="16.7" customHeight="1" x14ac:dyDescent="0.2">
      <c r="A236" s="2670">
        <f t="shared" si="7"/>
        <v>42.187999999999562</v>
      </c>
      <c r="B236" s="2512" t="s">
        <v>6914</v>
      </c>
      <c r="C236" s="2530">
        <v>1075222</v>
      </c>
      <c r="D236" s="2479" t="str">
        <f t="shared" si="8"/>
        <v>Morrison Creek Sub Wildfire Mitigation Upgrades</v>
      </c>
    </row>
    <row r="237" spans="1:4" ht="16.7" customHeight="1" x14ac:dyDescent="0.2">
      <c r="A237" s="2670">
        <f t="shared" si="7"/>
        <v>42.18899999999956</v>
      </c>
      <c r="B237" s="2512" t="s">
        <v>6915</v>
      </c>
      <c r="C237" s="2530">
        <v>1016388</v>
      </c>
      <c r="D237" s="2479" t="str">
        <f t="shared" si="8"/>
        <v>Distribution Reconductor - 4M16</v>
      </c>
    </row>
    <row r="238" spans="1:4" ht="16.7" customHeight="1" x14ac:dyDescent="0.2">
      <c r="A238" s="2670">
        <f t="shared" si="7"/>
        <v>42.189999999999557</v>
      </c>
      <c r="B238" s="2512" t="s">
        <v>6916</v>
      </c>
      <c r="C238" s="2530">
        <v>1012360</v>
      </c>
      <c r="D238" s="2479" t="str">
        <f t="shared" si="8"/>
        <v>Clu12/Clu11 Reconductor</v>
      </c>
    </row>
    <row r="239" spans="1:4" ht="16.7" customHeight="1" x14ac:dyDescent="0.2">
      <c r="A239" s="2670">
        <f t="shared" si="7"/>
        <v>42.190999999999555</v>
      </c>
      <c r="B239" s="2512"/>
      <c r="C239" s="2614"/>
      <c r="D239" s="2479"/>
    </row>
    <row r="240" spans="1:4" ht="16.7" customHeight="1" x14ac:dyDescent="0.2">
      <c r="A240" s="2670">
        <f t="shared" si="7"/>
        <v>42.191999999999553</v>
      </c>
      <c r="B240" s="2668" t="s">
        <v>6917</v>
      </c>
      <c r="C240" s="2614"/>
      <c r="D240" s="2479" t="str">
        <f t="shared" ref="D240:D247" si="9">B240</f>
        <v>General:</v>
      </c>
    </row>
    <row r="241" spans="1:4" ht="16.7" customHeight="1" x14ac:dyDescent="0.2">
      <c r="A241" s="2670">
        <f t="shared" si="7"/>
        <v>42.19299999999955</v>
      </c>
      <c r="B241" s="2512" t="s">
        <v>6918</v>
      </c>
      <c r="C241" s="2530">
        <v>19283347</v>
      </c>
      <c r="D241" s="2479" t="str">
        <f t="shared" si="9"/>
        <v>Bend Juniper Ridge Service Center</v>
      </c>
    </row>
    <row r="242" spans="1:4" ht="16.7" customHeight="1" x14ac:dyDescent="0.2">
      <c r="A242" s="2670">
        <f t="shared" ref="A242:A250" si="10">A241+0.001</f>
        <v>42.193999999999548</v>
      </c>
      <c r="B242" s="2512" t="s">
        <v>6919</v>
      </c>
      <c r="C242" s="2530">
        <v>15239423</v>
      </c>
      <c r="D242" s="2479" t="str">
        <f t="shared" si="9"/>
        <v>North Temple Campus Redevelopment</v>
      </c>
    </row>
    <row r="243" spans="1:4" ht="16.7" customHeight="1" x14ac:dyDescent="0.2">
      <c r="A243" s="2670">
        <f t="shared" si="10"/>
        <v>42.194999999999546</v>
      </c>
      <c r="B243" s="2512" t="s">
        <v>6920</v>
      </c>
      <c r="C243" s="2530">
        <v>7591972</v>
      </c>
      <c r="D243" s="2479" t="str">
        <f t="shared" si="9"/>
        <v>Physical Access Control System FIPS 201</v>
      </c>
    </row>
    <row r="244" spans="1:4" ht="16.7" customHeight="1" x14ac:dyDescent="0.2">
      <c r="A244" s="2670">
        <f t="shared" si="10"/>
        <v>42.195999999999543</v>
      </c>
      <c r="B244" s="2512" t="s">
        <v>6921</v>
      </c>
      <c r="C244" s="2530">
        <v>2409407</v>
      </c>
      <c r="D244" s="2479" t="str">
        <f t="shared" si="9"/>
        <v>Calapooya to Mckenzie Fiber Install</v>
      </c>
    </row>
    <row r="245" spans="1:4" ht="16.7" customHeight="1" x14ac:dyDescent="0.2">
      <c r="A245" s="2670">
        <f t="shared" si="10"/>
        <v>42.196999999999541</v>
      </c>
      <c r="B245" s="2512" t="s">
        <v>6922</v>
      </c>
      <c r="C245" s="2530">
        <v>1257542</v>
      </c>
      <c r="D245" s="2479" t="str">
        <f t="shared" si="9"/>
        <v>Bend - T&amp;D Training Facility</v>
      </c>
    </row>
    <row r="246" spans="1:4" ht="16.7" customHeight="1" x14ac:dyDescent="0.2">
      <c r="A246" s="2670">
        <f t="shared" si="10"/>
        <v>42.197999999999539</v>
      </c>
      <c r="B246" s="2512" t="s">
        <v>6923</v>
      </c>
      <c r="C246" s="2530">
        <v>1216159</v>
      </c>
      <c r="D246" s="2479" t="str">
        <f t="shared" si="9"/>
        <v>Cutler to Rabbit Mountain Microwave Replacement</v>
      </c>
    </row>
    <row r="247" spans="1:4" ht="16.7" customHeight="1" x14ac:dyDescent="0.2">
      <c r="A247" s="2670">
        <f t="shared" si="10"/>
        <v>42.198999999999536</v>
      </c>
      <c r="B247" s="2512" t="s">
        <v>6924</v>
      </c>
      <c r="C247" s="2530">
        <v>1001893</v>
      </c>
      <c r="D247" s="2479" t="str">
        <f t="shared" si="9"/>
        <v>New Salt Lake City Data Center</v>
      </c>
    </row>
    <row r="248" spans="1:4" ht="16.7" customHeight="1" x14ac:dyDescent="0.2">
      <c r="A248" s="2670">
        <f t="shared" si="10"/>
        <v>42.199999999999534</v>
      </c>
      <c r="B248" s="2512"/>
      <c r="C248" s="2614"/>
      <c r="D248" s="2479"/>
    </row>
    <row r="249" spans="1:4" ht="16.7" customHeight="1" x14ac:dyDescent="0.2">
      <c r="A249" s="2670">
        <f t="shared" si="10"/>
        <v>42.200999999999532</v>
      </c>
      <c r="B249" s="2512" t="s">
        <v>6925</v>
      </c>
      <c r="C249" s="2530">
        <v>307330982</v>
      </c>
      <c r="D249" s="2479" t="str">
        <f>B249</f>
        <v>Miscellaneous Projects each under $1,000,000</v>
      </c>
    </row>
    <row r="250" spans="1:4" ht="16.7" customHeight="1" x14ac:dyDescent="0.2">
      <c r="A250" s="2670">
        <f t="shared" si="10"/>
        <v>42.201999999999529</v>
      </c>
      <c r="B250" s="2512"/>
      <c r="C250" s="2614"/>
      <c r="D250" s="2595">
        <f>B250</f>
        <v>0</v>
      </c>
    </row>
    <row r="251" spans="1:4" ht="16.7" customHeight="1" x14ac:dyDescent="0.2">
      <c r="A251" s="2660">
        <v>43</v>
      </c>
      <c r="B251" s="2669" t="s">
        <v>104</v>
      </c>
      <c r="C251" s="2672">
        <f>SUM(C7:C250)</f>
        <v>4719845635</v>
      </c>
      <c r="D251" s="2479" t="str">
        <f>B251</f>
        <v>Total</v>
      </c>
    </row>
    <row r="252" spans="1:4" ht="16.7" customHeight="1" x14ac:dyDescent="0.2">
      <c r="A252" s="2535"/>
      <c r="B252" s="2516"/>
      <c r="C252" s="2516"/>
    </row>
    <row r="253" spans="1:4" ht="16.7" customHeight="1" x14ac:dyDescent="0.2"/>
    <row r="254" spans="1:4" ht="16.7" customHeight="1" x14ac:dyDescent="0.2"/>
    <row r="255" spans="1:4" ht="16.7" customHeight="1" x14ac:dyDescent="0.2"/>
    <row r="256" spans="1:4" ht="16.7" customHeight="1" x14ac:dyDescent="0.2"/>
    <row r="257" ht="16.7" customHeight="1" x14ac:dyDescent="0.2"/>
    <row r="258" ht="16.7" customHeight="1" x14ac:dyDescent="0.2"/>
    <row r="259" ht="16.7" customHeight="1" x14ac:dyDescent="0.2"/>
    <row r="260" ht="16.7" customHeight="1" x14ac:dyDescent="0.2"/>
    <row r="261" ht="16.7" customHeight="1" x14ac:dyDescent="0.2"/>
    <row r="262" ht="16.7" customHeight="1" x14ac:dyDescent="0.2"/>
    <row r="263" ht="15" customHeight="1" x14ac:dyDescent="0.2"/>
    <row r="264" ht="15" customHeight="1" x14ac:dyDescent="0.2"/>
  </sheetData>
  <mergeCells count="3">
    <mergeCell ref="A3:C3"/>
    <mergeCell ref="A4:C4"/>
    <mergeCell ref="A5:A6"/>
  </mergeCells>
  <pageMargins left="0.75" right="0.75" top="1" bottom="1" header="0.5" footer="0.5"/>
  <customProperties>
    <customPr name="_pios_id" r:id="rId1"/>
  </customProperties>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A845D7-2CC7-489C-8437-9E4B289ED90A}">
  <sheetPr codeName="Sheet50"/>
  <dimension ref="A1:W118"/>
  <sheetViews>
    <sheetView showRuler="0" topLeftCell="A27" workbookViewId="0"/>
  </sheetViews>
  <sheetFormatPr defaultColWidth="11.5" defaultRowHeight="12.75" x14ac:dyDescent="0.2"/>
  <cols>
    <col min="1" max="1" width="3.875" style="1953" customWidth="1"/>
    <col min="2" max="2" width="72.5" style="1953" customWidth="1"/>
    <col min="3" max="6" width="14.125" style="1953" customWidth="1"/>
    <col min="7" max="7" width="74.75" style="1953" customWidth="1"/>
    <col min="8" max="26" width="17.625" style="1953" customWidth="1"/>
    <col min="27" max="16384" width="11.5" style="1953"/>
  </cols>
  <sheetData>
    <row r="1" spans="1:23" ht="16.7" customHeight="1" x14ac:dyDescent="0.2">
      <c r="B1" s="2478" t="s">
        <v>5937</v>
      </c>
      <c r="C1" s="2479"/>
      <c r="J1" s="2673"/>
      <c r="K1" s="2482"/>
      <c r="L1" s="2482"/>
      <c r="M1" s="2482"/>
      <c r="N1" s="2482"/>
      <c r="O1" s="2482"/>
      <c r="P1" s="2482"/>
      <c r="Q1" s="2482"/>
      <c r="R1" s="2482"/>
      <c r="S1" s="2482"/>
      <c r="T1" s="2482"/>
      <c r="U1" s="2482"/>
      <c r="V1" s="2482"/>
      <c r="W1" s="2482"/>
    </row>
    <row r="2" spans="1:23" ht="16.7" customHeight="1" x14ac:dyDescent="0.2">
      <c r="B2" s="2483"/>
      <c r="J2" s="2590"/>
      <c r="K2" s="2482"/>
      <c r="L2" s="2482"/>
      <c r="M2" s="2482"/>
      <c r="N2" s="2482"/>
      <c r="O2" s="2482"/>
      <c r="P2" s="2482"/>
      <c r="Q2" s="2482"/>
      <c r="R2" s="2482"/>
      <c r="S2" s="2482"/>
      <c r="T2" s="2482"/>
      <c r="U2" s="2482"/>
      <c r="V2" s="2482"/>
      <c r="W2" s="2482"/>
    </row>
    <row r="3" spans="1:23" ht="16.7" customHeight="1" x14ac:dyDescent="0.2">
      <c r="A3" s="3926" t="s">
        <v>6926</v>
      </c>
      <c r="B3" s="3927"/>
      <c r="C3" s="3927"/>
      <c r="D3" s="3927"/>
      <c r="E3" s="3927"/>
      <c r="F3" s="3927"/>
      <c r="G3" s="2479"/>
      <c r="J3" s="2579"/>
      <c r="K3" s="2482"/>
      <c r="L3" s="2482"/>
      <c r="M3" s="2482"/>
      <c r="N3" s="2482"/>
      <c r="O3" s="2482"/>
      <c r="P3" s="2482"/>
      <c r="Q3" s="2482"/>
      <c r="R3" s="2482"/>
      <c r="S3" s="2482"/>
      <c r="T3" s="2482"/>
      <c r="U3" s="2482"/>
      <c r="V3" s="2482"/>
      <c r="W3" s="2482"/>
    </row>
    <row r="4" spans="1:23" ht="76.7" customHeight="1" x14ac:dyDescent="0.2">
      <c r="A4" s="3878" t="s">
        <v>6927</v>
      </c>
      <c r="B4" s="3883"/>
      <c r="C4" s="3883"/>
      <c r="D4" s="3883"/>
      <c r="E4" s="3883"/>
      <c r="F4" s="3884"/>
      <c r="G4" s="2479"/>
      <c r="J4" s="2579"/>
      <c r="K4" s="2482"/>
      <c r="L4" s="2482"/>
      <c r="M4" s="2482"/>
      <c r="N4" s="2482"/>
      <c r="O4" s="2482"/>
      <c r="P4" s="2482"/>
      <c r="Q4" s="2482"/>
      <c r="R4" s="2482"/>
      <c r="S4" s="2482"/>
      <c r="T4" s="2482"/>
      <c r="U4" s="2482"/>
      <c r="V4" s="2482"/>
      <c r="W4" s="2482"/>
    </row>
    <row r="5" spans="1:23" ht="16.7" customHeight="1" x14ac:dyDescent="0.2">
      <c r="A5" s="3928" t="s">
        <v>6928</v>
      </c>
      <c r="B5" s="3883"/>
      <c r="C5" s="3883"/>
      <c r="D5" s="3883"/>
      <c r="E5" s="3883"/>
      <c r="F5" s="3884"/>
      <c r="G5" s="2479"/>
      <c r="J5" s="2579"/>
      <c r="K5" s="2482"/>
      <c r="L5" s="2482"/>
      <c r="M5" s="2482"/>
      <c r="N5" s="2482"/>
      <c r="O5" s="2482"/>
      <c r="P5" s="2482"/>
      <c r="Q5" s="2482"/>
      <c r="R5" s="2482"/>
      <c r="S5" s="2482"/>
      <c r="T5" s="2482"/>
      <c r="U5" s="2482"/>
      <c r="V5" s="2482"/>
      <c r="W5" s="2482"/>
    </row>
    <row r="6" spans="1:23" ht="32.450000000000003" customHeight="1" x14ac:dyDescent="0.2">
      <c r="A6" s="2637" t="s">
        <v>6360</v>
      </c>
      <c r="B6" s="2637" t="s">
        <v>6929</v>
      </c>
      <c r="C6" s="2674" t="s">
        <v>6930</v>
      </c>
      <c r="D6" s="2637" t="s">
        <v>6931</v>
      </c>
      <c r="E6" s="2637" t="s">
        <v>6932</v>
      </c>
      <c r="F6" s="2637" t="s">
        <v>6933</v>
      </c>
      <c r="G6" s="2479"/>
      <c r="J6" s="2579"/>
      <c r="K6" s="2482"/>
      <c r="L6" s="2482"/>
      <c r="M6" s="2482"/>
      <c r="N6" s="2482"/>
      <c r="O6" s="2482"/>
      <c r="P6" s="2482"/>
      <c r="Q6" s="2482"/>
      <c r="R6" s="2482"/>
      <c r="S6" s="2482"/>
      <c r="T6" s="2482"/>
      <c r="U6" s="2482"/>
      <c r="V6" s="2482"/>
      <c r="W6" s="2482"/>
    </row>
    <row r="7" spans="1:23" ht="16.7" customHeight="1" x14ac:dyDescent="0.2">
      <c r="A7" s="2675"/>
      <c r="B7" s="2589" t="s">
        <v>5949</v>
      </c>
      <c r="C7" s="2676" t="s">
        <v>5950</v>
      </c>
      <c r="D7" s="2589" t="s">
        <v>5951</v>
      </c>
      <c r="E7" s="2589" t="s">
        <v>5952</v>
      </c>
      <c r="F7" s="2589" t="s">
        <v>6227</v>
      </c>
      <c r="G7" s="2479" t="s">
        <v>6324</v>
      </c>
      <c r="J7" s="2579"/>
      <c r="K7" s="2482"/>
      <c r="L7" s="2482"/>
      <c r="M7" s="2482"/>
      <c r="N7" s="2482"/>
      <c r="O7" s="2482"/>
      <c r="P7" s="2482"/>
      <c r="Q7" s="2482"/>
      <c r="R7" s="2482"/>
      <c r="S7" s="2482"/>
      <c r="T7" s="2482"/>
      <c r="U7" s="2482"/>
      <c r="V7" s="2482"/>
      <c r="W7" s="2482"/>
    </row>
    <row r="8" spans="1:23" ht="16.7" customHeight="1" x14ac:dyDescent="0.2">
      <c r="A8" s="2677">
        <v>1</v>
      </c>
      <c r="B8" s="2512" t="s">
        <v>6934</v>
      </c>
      <c r="C8" s="2645">
        <f>SUM(D8:F8)</f>
        <v>11453591865</v>
      </c>
      <c r="D8" s="2530">
        <v>11453591865</v>
      </c>
      <c r="E8" s="2488"/>
      <c r="F8" s="2488"/>
      <c r="G8" s="2479"/>
      <c r="J8" s="2579"/>
      <c r="K8" s="2482"/>
      <c r="L8" s="2482"/>
      <c r="M8" s="2482"/>
      <c r="N8" s="2482"/>
      <c r="O8" s="2482"/>
      <c r="P8" s="2482"/>
      <c r="Q8" s="2482"/>
      <c r="R8" s="2482"/>
      <c r="S8" s="2482"/>
      <c r="T8" s="2482"/>
      <c r="U8" s="2482"/>
      <c r="V8" s="2482"/>
      <c r="W8" s="2482"/>
    </row>
    <row r="9" spans="1:23" ht="16.7" customHeight="1" x14ac:dyDescent="0.2">
      <c r="A9" s="2677">
        <v>2</v>
      </c>
      <c r="B9" s="2512" t="s">
        <v>6935</v>
      </c>
      <c r="C9" s="2678"/>
      <c r="D9" s="2679"/>
      <c r="E9" s="2679"/>
      <c r="F9" s="2680"/>
      <c r="G9" s="2479"/>
      <c r="J9" s="2579"/>
      <c r="K9" s="2482"/>
      <c r="L9" s="2482"/>
      <c r="M9" s="2482"/>
      <c r="N9" s="2482"/>
      <c r="O9" s="2482"/>
      <c r="P9" s="2482"/>
      <c r="Q9" s="2482"/>
      <c r="R9" s="2482"/>
      <c r="S9" s="2482"/>
      <c r="T9" s="2482"/>
      <c r="U9" s="2482"/>
      <c r="V9" s="2482"/>
      <c r="W9" s="2482"/>
    </row>
    <row r="10" spans="1:23" ht="16.7" customHeight="1" x14ac:dyDescent="0.2">
      <c r="A10" s="2677">
        <v>3</v>
      </c>
      <c r="B10" s="2512" t="s">
        <v>6936</v>
      </c>
      <c r="C10" s="2531">
        <f>SUM(D10:F10)</f>
        <v>1023482570</v>
      </c>
      <c r="D10" s="2530">
        <v>1023482570</v>
      </c>
      <c r="E10" s="2488"/>
      <c r="F10" s="2652"/>
      <c r="G10" s="2479"/>
      <c r="J10" s="2579"/>
      <c r="K10" s="2482"/>
      <c r="L10" s="2482"/>
      <c r="M10" s="2482"/>
      <c r="N10" s="2482"/>
      <c r="O10" s="2482"/>
      <c r="P10" s="2482"/>
      <c r="Q10" s="2482"/>
      <c r="R10" s="2482"/>
      <c r="S10" s="2482"/>
      <c r="T10" s="2482"/>
      <c r="U10" s="2482"/>
      <c r="V10" s="2482"/>
      <c r="W10" s="2482"/>
    </row>
    <row r="11" spans="1:23" ht="16.7" customHeight="1" x14ac:dyDescent="0.2">
      <c r="A11" s="2677">
        <v>4</v>
      </c>
      <c r="B11" s="2512" t="s">
        <v>6937</v>
      </c>
      <c r="C11" s="2681">
        <f>SUM(D11:F11)</f>
        <v>0</v>
      </c>
      <c r="D11" s="2682">
        <v>0</v>
      </c>
      <c r="E11" s="2683"/>
      <c r="F11" s="2652"/>
      <c r="G11" s="2479"/>
      <c r="J11" s="2579"/>
      <c r="K11" s="2482"/>
      <c r="L11" s="2482"/>
      <c r="M11" s="2482"/>
      <c r="N11" s="2482"/>
      <c r="O11" s="2482"/>
      <c r="P11" s="2482"/>
      <c r="Q11" s="2482"/>
      <c r="R11" s="2482"/>
      <c r="S11" s="2482"/>
      <c r="T11" s="2482"/>
      <c r="U11" s="2482"/>
      <c r="V11" s="2482"/>
      <c r="W11" s="2482"/>
    </row>
    <row r="12" spans="1:23" ht="15.75" hidden="1" customHeight="1" x14ac:dyDescent="0.2">
      <c r="A12" s="2614"/>
      <c r="B12" s="2512"/>
      <c r="C12" s="2684"/>
      <c r="D12" s="2685">
        <v>0</v>
      </c>
      <c r="E12" s="2686"/>
      <c r="F12" s="2488"/>
      <c r="G12" s="2479"/>
      <c r="J12" s="2579"/>
      <c r="K12" s="2482"/>
      <c r="L12" s="2482"/>
      <c r="M12" s="2482"/>
      <c r="N12" s="2482"/>
      <c r="O12" s="2482"/>
      <c r="P12" s="2482"/>
      <c r="Q12" s="2482"/>
      <c r="R12" s="2482"/>
      <c r="S12" s="2482"/>
      <c r="T12" s="2482"/>
      <c r="U12" s="2482"/>
      <c r="V12" s="2482"/>
      <c r="W12" s="2482"/>
    </row>
    <row r="13" spans="1:23" ht="16.7" customHeight="1" x14ac:dyDescent="0.2">
      <c r="A13" s="2677">
        <v>5</v>
      </c>
      <c r="B13" s="2512" t="s">
        <v>6938</v>
      </c>
      <c r="C13" s="2645">
        <f t="shared" ref="C13:C22" si="0">SUM(D13:F13)</f>
        <v>0</v>
      </c>
      <c r="D13" s="2687">
        <v>0</v>
      </c>
      <c r="E13" s="2680"/>
      <c r="F13" s="2488"/>
      <c r="G13" s="2479"/>
      <c r="J13" s="2579"/>
      <c r="K13" s="2482"/>
      <c r="L13" s="2482"/>
      <c r="M13" s="2482"/>
      <c r="N13" s="2482"/>
      <c r="O13" s="2482"/>
      <c r="P13" s="2482"/>
      <c r="Q13" s="2482"/>
      <c r="R13" s="2482"/>
      <c r="S13" s="2482"/>
      <c r="T13" s="2482"/>
      <c r="U13" s="2482"/>
      <c r="V13" s="2482"/>
      <c r="W13" s="2482"/>
    </row>
    <row r="14" spans="1:23" ht="16.7" customHeight="1" x14ac:dyDescent="0.2">
      <c r="A14" s="2677">
        <v>6</v>
      </c>
      <c r="B14" s="2512" t="s">
        <v>6939</v>
      </c>
      <c r="C14" s="2645">
        <f t="shared" si="0"/>
        <v>0</v>
      </c>
      <c r="D14" s="2530">
        <v>0</v>
      </c>
      <c r="E14" s="2678"/>
      <c r="F14" s="2680"/>
      <c r="G14" s="2479"/>
      <c r="J14" s="2579"/>
      <c r="K14" s="2482"/>
      <c r="L14" s="2482"/>
      <c r="M14" s="2482"/>
      <c r="N14" s="2482"/>
      <c r="O14" s="2482"/>
      <c r="P14" s="2482"/>
      <c r="Q14" s="2482"/>
      <c r="R14" s="2482"/>
      <c r="S14" s="2482"/>
      <c r="T14" s="2482"/>
      <c r="U14" s="2482"/>
      <c r="V14" s="2482"/>
      <c r="W14" s="2482"/>
    </row>
    <row r="15" spans="1:23" ht="16.7" customHeight="1" x14ac:dyDescent="0.2">
      <c r="A15" s="2677">
        <v>7</v>
      </c>
      <c r="B15" s="2512" t="s">
        <v>6940</v>
      </c>
      <c r="C15" s="2645">
        <f t="shared" si="0"/>
        <v>0</v>
      </c>
      <c r="D15" s="2488"/>
      <c r="E15" s="2488"/>
      <c r="F15" s="2488"/>
      <c r="G15" s="2479"/>
      <c r="J15" s="2579"/>
      <c r="K15" s="2482"/>
      <c r="L15" s="2482"/>
      <c r="M15" s="2482"/>
      <c r="N15" s="2482"/>
      <c r="O15" s="2482"/>
      <c r="P15" s="2482"/>
      <c r="Q15" s="2482"/>
      <c r="R15" s="2482"/>
      <c r="S15" s="2482"/>
      <c r="T15" s="2482"/>
      <c r="U15" s="2482"/>
      <c r="V15" s="2482"/>
      <c r="W15" s="2482"/>
    </row>
    <row r="16" spans="1:23" ht="16.7" customHeight="1" x14ac:dyDescent="0.2">
      <c r="A16" s="2677">
        <v>8</v>
      </c>
      <c r="B16" s="2512" t="s">
        <v>6941</v>
      </c>
      <c r="C16" s="2645">
        <f t="shared" si="0"/>
        <v>0</v>
      </c>
      <c r="D16" s="2488"/>
      <c r="E16" s="2488"/>
      <c r="F16" s="2488"/>
      <c r="G16" s="2479" t="str">
        <f t="shared" ref="G16:G21" si="1">B16</f>
        <v>Other Accounts (Specify, details in footnote):</v>
      </c>
      <c r="J16" s="2579"/>
      <c r="K16" s="2482"/>
      <c r="L16" s="2482"/>
      <c r="M16" s="2482"/>
      <c r="N16" s="2482"/>
      <c r="O16" s="2482"/>
      <c r="P16" s="2482"/>
      <c r="Q16" s="2482"/>
      <c r="R16" s="2482"/>
      <c r="S16" s="2482"/>
      <c r="T16" s="2482"/>
      <c r="U16" s="2482"/>
      <c r="V16" s="2482"/>
      <c r="W16" s="2482"/>
    </row>
    <row r="17" spans="1:23" ht="15.75" customHeight="1" x14ac:dyDescent="0.2">
      <c r="A17" s="2688">
        <v>9.1</v>
      </c>
      <c r="B17" s="2512" t="s">
        <v>6942</v>
      </c>
      <c r="C17" s="2645">
        <f t="shared" si="0"/>
        <v>266843</v>
      </c>
      <c r="D17" s="2530">
        <v>266843</v>
      </c>
      <c r="E17" s="2488"/>
      <c r="F17" s="2488"/>
      <c r="G17" s="2479" t="str">
        <f t="shared" si="1"/>
        <v>Account 143, Other accounts receivable: depreciation expense billed to joint owners</v>
      </c>
      <c r="J17" s="2579"/>
      <c r="K17" s="2482"/>
      <c r="L17" s="2482"/>
      <c r="M17" s="2482"/>
      <c r="N17" s="2482"/>
      <c r="O17" s="2482"/>
      <c r="P17" s="2482"/>
      <c r="Q17" s="2482"/>
      <c r="R17" s="2482"/>
      <c r="S17" s="2482"/>
      <c r="T17" s="2482"/>
      <c r="U17" s="2482"/>
      <c r="V17" s="2482"/>
      <c r="W17" s="2482"/>
    </row>
    <row r="18" spans="1:23" ht="15.75" customHeight="1" x14ac:dyDescent="0.2">
      <c r="A18" s="2688">
        <f>A17+0.1</f>
        <v>9.1999999999999993</v>
      </c>
      <c r="B18" s="2512" t="s">
        <v>6943</v>
      </c>
      <c r="C18" s="2645">
        <f t="shared" si="0"/>
        <v>25256353</v>
      </c>
      <c r="D18" s="2530">
        <v>25256353</v>
      </c>
      <c r="E18" s="2488"/>
      <c r="F18" s="2488"/>
      <c r="G18" s="2479" t="str">
        <f t="shared" si="1"/>
        <v>Account 182.3, Other Regulatory Assets: asset retirement obligations asset depreciation</v>
      </c>
      <c r="J18" s="2579"/>
      <c r="K18" s="2482"/>
      <c r="L18" s="2482"/>
      <c r="M18" s="2482"/>
      <c r="N18" s="2482"/>
      <c r="O18" s="2482"/>
      <c r="P18" s="2482"/>
      <c r="Q18" s="2482"/>
      <c r="R18" s="2482"/>
      <c r="S18" s="2482"/>
      <c r="T18" s="2482"/>
      <c r="U18" s="2482"/>
      <c r="V18" s="2482"/>
      <c r="W18" s="2482"/>
    </row>
    <row r="19" spans="1:23" ht="15.75" customHeight="1" x14ac:dyDescent="0.2">
      <c r="A19" s="2688">
        <f>A18+0.1</f>
        <v>9.2999999999999989</v>
      </c>
      <c r="B19" s="2512" t="s">
        <v>6944</v>
      </c>
      <c r="C19" s="2645">
        <f t="shared" si="0"/>
        <v>2257801</v>
      </c>
      <c r="D19" s="2530">
        <v>2257801</v>
      </c>
      <c r="E19" s="2488"/>
      <c r="F19" s="2488"/>
      <c r="G19" s="2479" t="str">
        <f t="shared" si="1"/>
        <v>Account 182.3, Other Regulatory Assets: depreciation deferrals</v>
      </c>
      <c r="J19" s="2579"/>
      <c r="K19" s="2482"/>
      <c r="L19" s="2482"/>
      <c r="M19" s="2482"/>
      <c r="N19" s="2482"/>
      <c r="O19" s="2482"/>
      <c r="P19" s="2482"/>
      <c r="Q19" s="2482"/>
      <c r="R19" s="2482"/>
      <c r="S19" s="2482"/>
      <c r="T19" s="2482"/>
      <c r="U19" s="2482"/>
      <c r="V19" s="2482"/>
      <c r="W19" s="2482"/>
    </row>
    <row r="20" spans="1:23" ht="15.75" customHeight="1" x14ac:dyDescent="0.2">
      <c r="A20" s="2688">
        <f>A19+0.1</f>
        <v>9.3999999999999986</v>
      </c>
      <c r="B20" s="2512" t="s">
        <v>6945</v>
      </c>
      <c r="C20" s="2645">
        <f t="shared" si="0"/>
        <v>24646729</v>
      </c>
      <c r="D20" s="2530">
        <v>24646729</v>
      </c>
      <c r="E20" s="2488"/>
      <c r="F20" s="2488"/>
      <c r="G20" s="2479" t="str">
        <f t="shared" si="1"/>
        <v>Transportation depreciation allocated to operations and maintenance expense based on usage activity</v>
      </c>
      <c r="J20" s="2579"/>
      <c r="K20" s="2482"/>
      <c r="L20" s="2482"/>
      <c r="M20" s="2482"/>
      <c r="N20" s="2482"/>
      <c r="O20" s="2482"/>
      <c r="P20" s="2482"/>
      <c r="Q20" s="2482"/>
      <c r="R20" s="2482"/>
      <c r="S20" s="2482"/>
      <c r="T20" s="2482"/>
      <c r="U20" s="2482"/>
      <c r="V20" s="2482"/>
      <c r="W20" s="2482"/>
    </row>
    <row r="21" spans="1:23" ht="15.75" customHeight="1" x14ac:dyDescent="0.2">
      <c r="A21" s="2688">
        <f>A20+0.1</f>
        <v>9.4999999999999982</v>
      </c>
      <c r="B21" s="2512" t="s">
        <v>6946</v>
      </c>
      <c r="C21" s="2645">
        <f t="shared" si="0"/>
        <v>2503933</v>
      </c>
      <c r="D21" s="2530">
        <v>2503933</v>
      </c>
      <c r="E21" s="2488"/>
      <c r="F21" s="2488"/>
      <c r="G21" s="2479" t="str">
        <f t="shared" si="1"/>
        <v>Account 503, Steam from other sources: Blundell depreciation</v>
      </c>
      <c r="J21" s="2579"/>
      <c r="K21" s="2482"/>
      <c r="L21" s="2482"/>
      <c r="M21" s="2482"/>
      <c r="N21" s="2482"/>
      <c r="O21" s="2482"/>
      <c r="P21" s="2482"/>
      <c r="Q21" s="2482"/>
      <c r="R21" s="2482"/>
      <c r="S21" s="2482"/>
      <c r="T21" s="2482"/>
      <c r="U21" s="2482"/>
      <c r="V21" s="2482"/>
      <c r="W21" s="2482"/>
    </row>
    <row r="22" spans="1:23" ht="16.7" customHeight="1" x14ac:dyDescent="0.2">
      <c r="A22" s="2614"/>
      <c r="B22" s="2488"/>
      <c r="C22" s="2645">
        <f t="shared" si="0"/>
        <v>0</v>
      </c>
      <c r="D22" s="2488"/>
      <c r="E22" s="2488"/>
      <c r="F22" s="2488"/>
      <c r="G22" s="2479"/>
      <c r="J22" s="2579"/>
      <c r="K22" s="2482"/>
      <c r="L22" s="2482"/>
      <c r="M22" s="2482"/>
      <c r="N22" s="2482"/>
      <c r="O22" s="2482"/>
      <c r="P22" s="2482"/>
      <c r="Q22" s="2482"/>
      <c r="R22" s="2482"/>
      <c r="S22" s="2482"/>
      <c r="T22" s="2482"/>
      <c r="U22" s="2482"/>
      <c r="V22" s="2482"/>
      <c r="W22" s="2482"/>
    </row>
    <row r="23" spans="1:23" ht="16.7" customHeight="1" x14ac:dyDescent="0.2">
      <c r="A23" s="2677">
        <v>10</v>
      </c>
      <c r="B23" s="2649" t="s">
        <v>6947</v>
      </c>
      <c r="C23" s="2645">
        <f>SUM(C10:C22)</f>
        <v>1078414229</v>
      </c>
      <c r="D23" s="2645">
        <f>SUM(D10:D22)</f>
        <v>1078414229</v>
      </c>
      <c r="E23" s="2645">
        <f>SUM(E10:E22)</f>
        <v>0</v>
      </c>
      <c r="F23" s="2645">
        <f>SUM(F10:F22)</f>
        <v>0</v>
      </c>
      <c r="G23" s="2479"/>
      <c r="H23" s="3929"/>
      <c r="I23" s="3930"/>
      <c r="J23" s="3931"/>
      <c r="K23" s="3929"/>
      <c r="L23" s="3929"/>
      <c r="M23" s="3929"/>
      <c r="N23" s="3929"/>
      <c r="O23" s="3929"/>
      <c r="P23" s="3929"/>
      <c r="Q23" s="3929"/>
      <c r="R23" s="3929"/>
      <c r="S23" s="3929"/>
      <c r="T23" s="2482"/>
      <c r="U23" s="2482"/>
      <c r="V23" s="2482"/>
      <c r="W23" s="2482"/>
    </row>
    <row r="24" spans="1:23" ht="16.7" customHeight="1" x14ac:dyDescent="0.2">
      <c r="A24" s="2677">
        <v>11</v>
      </c>
      <c r="B24" s="2512" t="s">
        <v>6948</v>
      </c>
      <c r="C24" s="2678"/>
      <c r="D24" s="2679"/>
      <c r="E24" s="2679"/>
      <c r="F24" s="2680"/>
      <c r="G24" s="2479"/>
      <c r="J24" s="2579"/>
      <c r="K24" s="2482"/>
      <c r="L24" s="2482"/>
      <c r="M24" s="2482"/>
      <c r="N24" s="2482"/>
      <c r="O24" s="2482"/>
      <c r="P24" s="2482"/>
      <c r="Q24" s="2482"/>
      <c r="R24" s="2482"/>
      <c r="S24" s="2482"/>
      <c r="T24" s="2482"/>
      <c r="U24" s="2482"/>
      <c r="V24" s="2482"/>
      <c r="W24" s="2482"/>
    </row>
    <row r="25" spans="1:23" ht="16.7" customHeight="1" x14ac:dyDescent="0.2">
      <c r="A25" s="2677">
        <v>12</v>
      </c>
      <c r="B25" s="2512" t="s">
        <v>6949</v>
      </c>
      <c r="C25" s="2645">
        <f>SUM(D25:F25)</f>
        <v>-313833798</v>
      </c>
      <c r="D25" s="2530">
        <v>-313833798</v>
      </c>
      <c r="E25" s="2488"/>
      <c r="F25" s="2488"/>
      <c r="G25" s="2479"/>
      <c r="J25" s="2579"/>
      <c r="K25" s="2482"/>
      <c r="L25" s="2482"/>
      <c r="M25" s="2482"/>
      <c r="N25" s="2482"/>
      <c r="O25" s="2482"/>
      <c r="P25" s="2482"/>
      <c r="Q25" s="2482"/>
      <c r="R25" s="2482"/>
      <c r="S25" s="2482"/>
      <c r="T25" s="2482"/>
      <c r="U25" s="2482"/>
      <c r="V25" s="2482"/>
      <c r="W25" s="2482"/>
    </row>
    <row r="26" spans="1:23" ht="16.7" customHeight="1" x14ac:dyDescent="0.2">
      <c r="A26" s="2677">
        <v>13</v>
      </c>
      <c r="B26" s="2512" t="s">
        <v>6950</v>
      </c>
      <c r="C26" s="2645">
        <f>SUM(D26:F26)</f>
        <v>-69069501</v>
      </c>
      <c r="D26" s="2530">
        <v>-69069501</v>
      </c>
      <c r="E26" s="2488"/>
      <c r="F26" s="2488"/>
      <c r="G26" s="2479"/>
      <c r="J26" s="2579"/>
      <c r="K26" s="2482"/>
      <c r="L26" s="2482"/>
      <c r="M26" s="2482"/>
      <c r="N26" s="2482"/>
      <c r="O26" s="2482"/>
      <c r="P26" s="2482"/>
      <c r="Q26" s="2482"/>
      <c r="R26" s="2482"/>
      <c r="S26" s="2482"/>
      <c r="T26" s="2482"/>
      <c r="U26" s="2482"/>
      <c r="V26" s="2482"/>
      <c r="W26" s="2482"/>
    </row>
    <row r="27" spans="1:23" ht="16.7" customHeight="1" x14ac:dyDescent="0.2">
      <c r="A27" s="2677">
        <v>14</v>
      </c>
      <c r="B27" s="2512" t="s">
        <v>6951</v>
      </c>
      <c r="C27" s="2645">
        <f>SUM(D27:F27)</f>
        <v>5881596</v>
      </c>
      <c r="D27" s="2689">
        <v>5881596</v>
      </c>
      <c r="E27" s="2582"/>
      <c r="F27" s="2582"/>
      <c r="G27" s="2479"/>
      <c r="J27" s="2579"/>
      <c r="K27" s="2482"/>
      <c r="L27" s="2482"/>
      <c r="M27" s="2482"/>
      <c r="N27" s="2482"/>
      <c r="O27" s="2482"/>
      <c r="P27" s="2482"/>
      <c r="Q27" s="2482"/>
      <c r="R27" s="2482"/>
      <c r="S27" s="2482"/>
      <c r="T27" s="2482"/>
      <c r="U27" s="2482"/>
      <c r="V27" s="2482"/>
      <c r="W27" s="2482"/>
    </row>
    <row r="28" spans="1:23" ht="16.7" customHeight="1" x14ac:dyDescent="0.2">
      <c r="A28" s="2677">
        <v>15</v>
      </c>
      <c r="B28" s="2649" t="s">
        <v>6952</v>
      </c>
      <c r="C28" s="2645">
        <f>C25+C26+C27</f>
        <v>-377021703</v>
      </c>
      <c r="D28" s="2690">
        <f>D25+D26+D27</f>
        <v>-377021703</v>
      </c>
      <c r="E28" s="2690">
        <f>E25+E26+E27</f>
        <v>0</v>
      </c>
      <c r="F28" s="2690">
        <f>F25+F26+F27</f>
        <v>0</v>
      </c>
      <c r="G28" s="2479"/>
      <c r="J28" s="2579"/>
      <c r="K28" s="2482"/>
      <c r="L28" s="2482"/>
      <c r="M28" s="2482"/>
      <c r="N28" s="2482"/>
      <c r="O28" s="2482"/>
      <c r="P28" s="2482"/>
      <c r="Q28" s="2482"/>
      <c r="R28" s="2482"/>
      <c r="S28" s="2482"/>
      <c r="T28" s="2482"/>
      <c r="U28" s="2482"/>
      <c r="V28" s="2482"/>
      <c r="W28" s="2482"/>
    </row>
    <row r="29" spans="1:23" ht="16.7" customHeight="1" x14ac:dyDescent="0.2">
      <c r="A29" s="2677">
        <v>16</v>
      </c>
      <c r="B29" s="2512" t="s">
        <v>6953</v>
      </c>
      <c r="C29" s="2645">
        <f t="shared" ref="C29:C35" si="2">SUM(D29:F29)</f>
        <v>0</v>
      </c>
      <c r="D29" s="2691"/>
      <c r="E29" s="2582"/>
      <c r="F29" s="2582"/>
      <c r="G29" s="2479" t="str">
        <f t="shared" ref="G29:G37" si="3">B29</f>
        <v>Other Debit or Cr. Items (Describe, details in footnote):</v>
      </c>
      <c r="J29" s="2579"/>
      <c r="K29" s="2482"/>
      <c r="L29" s="2482"/>
      <c r="M29" s="2482"/>
      <c r="N29" s="2482"/>
      <c r="O29" s="2482"/>
      <c r="P29" s="2482"/>
      <c r="Q29" s="2482"/>
      <c r="R29" s="2482"/>
      <c r="S29" s="2482"/>
      <c r="T29" s="2482"/>
      <c r="U29" s="2482"/>
      <c r="V29" s="2482"/>
      <c r="W29" s="2482"/>
    </row>
    <row r="30" spans="1:23" ht="15.75" customHeight="1" x14ac:dyDescent="0.2">
      <c r="A30" s="2692">
        <v>17.100000000000001</v>
      </c>
      <c r="B30" s="2693" t="s">
        <v>6954</v>
      </c>
      <c r="C30" s="2694">
        <f t="shared" si="2"/>
        <v>495349</v>
      </c>
      <c r="D30" s="2695">
        <v>495349</v>
      </c>
      <c r="E30" s="2696"/>
      <c r="F30" s="2696"/>
      <c r="G30" s="2479" t="str">
        <f t="shared" si="3"/>
        <v>Close out of cost of removal activities associated with asset retirement obligations</v>
      </c>
      <c r="J30" s="2579"/>
      <c r="K30" s="2482"/>
      <c r="L30" s="2482"/>
      <c r="M30" s="2482"/>
      <c r="N30" s="2482"/>
      <c r="O30" s="2482"/>
      <c r="P30" s="2482"/>
      <c r="Q30" s="2482"/>
      <c r="R30" s="2482"/>
      <c r="S30" s="2482"/>
      <c r="T30" s="2482"/>
      <c r="U30" s="2482"/>
      <c r="V30" s="2482"/>
      <c r="W30" s="2482"/>
    </row>
    <row r="31" spans="1:23" ht="15.75" customHeight="1" x14ac:dyDescent="0.2">
      <c r="A31" s="2692">
        <f t="shared" ref="A31:A36" si="4">A30+0.1</f>
        <v>17.200000000000003</v>
      </c>
      <c r="B31" s="2693" t="s">
        <v>6955</v>
      </c>
      <c r="C31" s="2694">
        <f t="shared" si="2"/>
        <v>12313579</v>
      </c>
      <c r="D31" s="2695">
        <v>12313579</v>
      </c>
      <c r="E31" s="2696"/>
      <c r="F31" s="2696"/>
      <c r="G31" s="2479" t="str">
        <f t="shared" si="3"/>
        <v>Other items include:</v>
      </c>
      <c r="J31" s="2579"/>
      <c r="K31" s="2482"/>
      <c r="L31" s="2482"/>
      <c r="M31" s="2482"/>
      <c r="N31" s="2482"/>
      <c r="O31" s="2482"/>
      <c r="P31" s="2482"/>
      <c r="Q31" s="2482"/>
      <c r="R31" s="2482"/>
      <c r="S31" s="2482"/>
      <c r="T31" s="2482"/>
      <c r="U31" s="2482"/>
      <c r="V31" s="2482"/>
      <c r="W31" s="2482"/>
    </row>
    <row r="32" spans="1:23" ht="15.75" customHeight="1" x14ac:dyDescent="0.2">
      <c r="A32" s="2692">
        <f t="shared" si="4"/>
        <v>17.300000000000004</v>
      </c>
      <c r="B32" s="2693" t="s">
        <v>6956</v>
      </c>
      <c r="C32" s="2694">
        <f t="shared" si="2"/>
        <v>0</v>
      </c>
      <c r="D32" s="2696"/>
      <c r="E32" s="2696"/>
      <c r="F32" s="2696"/>
      <c r="G32" s="2479" t="str">
        <f t="shared" si="3"/>
        <v xml:space="preserve">     Recovery from third parties for asset relocations and damaged property</v>
      </c>
      <c r="J32" s="2579"/>
      <c r="K32" s="2482"/>
      <c r="L32" s="2482"/>
      <c r="M32" s="2482"/>
      <c r="N32" s="2482"/>
      <c r="O32" s="2482"/>
      <c r="P32" s="2482"/>
      <c r="Q32" s="2482"/>
      <c r="R32" s="2482"/>
      <c r="S32" s="2482"/>
      <c r="T32" s="2482"/>
      <c r="U32" s="2482"/>
      <c r="V32" s="2482"/>
      <c r="W32" s="2482"/>
    </row>
    <row r="33" spans="1:23" ht="15.75" customHeight="1" x14ac:dyDescent="0.2">
      <c r="A33" s="2692">
        <f t="shared" si="4"/>
        <v>17.400000000000006</v>
      </c>
      <c r="B33" s="2693" t="s">
        <v>6957</v>
      </c>
      <c r="C33" s="2694">
        <f t="shared" si="2"/>
        <v>0</v>
      </c>
      <c r="D33" s="2696"/>
      <c r="E33" s="2696"/>
      <c r="F33" s="2696"/>
      <c r="G33" s="2479" t="str">
        <f t="shared" si="3"/>
        <v xml:space="preserve">     Insurance recoveries</v>
      </c>
      <c r="J33" s="2579"/>
      <c r="K33" s="2482"/>
      <c r="L33" s="2482"/>
      <c r="M33" s="2482"/>
      <c r="N33" s="2482"/>
      <c r="O33" s="2482"/>
      <c r="P33" s="2482"/>
      <c r="Q33" s="2482"/>
      <c r="R33" s="2482"/>
      <c r="S33" s="2482"/>
      <c r="T33" s="2482"/>
      <c r="U33" s="2482"/>
      <c r="V33" s="2482"/>
      <c r="W33" s="2482"/>
    </row>
    <row r="34" spans="1:23" ht="15.75" customHeight="1" x14ac:dyDescent="0.2">
      <c r="A34" s="2692">
        <f t="shared" si="4"/>
        <v>17.500000000000007</v>
      </c>
      <c r="B34" s="2693" t="s">
        <v>6958</v>
      </c>
      <c r="C34" s="2694">
        <f t="shared" si="2"/>
        <v>0</v>
      </c>
      <c r="D34" s="2696"/>
      <c r="E34" s="2696"/>
      <c r="F34" s="2696"/>
      <c r="G34" s="2479" t="str">
        <f t="shared" si="3"/>
        <v xml:space="preserve">     Adjustments of reserve related to electric plant sold and/or purchased</v>
      </c>
      <c r="J34" s="2579"/>
      <c r="K34" s="2482"/>
      <c r="L34" s="2482"/>
      <c r="M34" s="2482"/>
      <c r="N34" s="2482"/>
      <c r="O34" s="2482"/>
      <c r="P34" s="2482"/>
      <c r="Q34" s="2482"/>
      <c r="R34" s="2482"/>
      <c r="S34" s="2482"/>
      <c r="T34" s="2482"/>
      <c r="U34" s="2482"/>
      <c r="V34" s="2482"/>
      <c r="W34" s="2482"/>
    </row>
    <row r="35" spans="1:23" ht="15.75" customHeight="1" x14ac:dyDescent="0.2">
      <c r="A35" s="2692">
        <f t="shared" si="4"/>
        <v>17.600000000000009</v>
      </c>
      <c r="B35" s="2693" t="s">
        <v>6959</v>
      </c>
      <c r="C35" s="2694">
        <f t="shared" si="2"/>
        <v>0</v>
      </c>
      <c r="D35" s="2696"/>
      <c r="E35" s="2696"/>
      <c r="F35" s="2696"/>
      <c r="G35" s="2479" t="str">
        <f t="shared" si="3"/>
        <v xml:space="preserve">     Reclassifications from electric plant</v>
      </c>
      <c r="J35" s="2579"/>
      <c r="K35" s="2482"/>
      <c r="L35" s="2482"/>
      <c r="M35" s="2482"/>
      <c r="N35" s="2482"/>
      <c r="O35" s="2482"/>
      <c r="P35" s="2482"/>
      <c r="Q35" s="2482"/>
      <c r="R35" s="2482"/>
      <c r="S35" s="2482"/>
      <c r="T35" s="2482"/>
      <c r="U35" s="2482"/>
      <c r="V35" s="2482"/>
      <c r="W35" s="2482"/>
    </row>
    <row r="36" spans="1:23" ht="15.75" customHeight="1" x14ac:dyDescent="0.2">
      <c r="A36" s="2692">
        <f t="shared" si="4"/>
        <v>17.70000000000001</v>
      </c>
      <c r="B36" s="2693"/>
      <c r="C36" s="2697"/>
      <c r="D36" s="2696"/>
      <c r="E36" s="2696"/>
      <c r="F36" s="2696"/>
      <c r="G36" s="2595">
        <f t="shared" si="3"/>
        <v>0</v>
      </c>
      <c r="J36" s="2579"/>
      <c r="K36" s="2482"/>
      <c r="L36" s="2482"/>
      <c r="M36" s="2482"/>
      <c r="N36" s="2482"/>
      <c r="O36" s="2482"/>
      <c r="P36" s="2482"/>
      <c r="Q36" s="2482"/>
      <c r="R36" s="2482"/>
      <c r="S36" s="2482"/>
      <c r="T36" s="2482"/>
      <c r="U36" s="2482"/>
      <c r="V36" s="2482"/>
      <c r="W36" s="2482"/>
    </row>
    <row r="37" spans="1:23" ht="16.7" customHeight="1" x14ac:dyDescent="0.2">
      <c r="A37" s="2677">
        <v>17</v>
      </c>
      <c r="B37" s="2488"/>
      <c r="C37" s="2645">
        <f>SUM(D37:F37)</f>
        <v>0</v>
      </c>
      <c r="D37" s="2588"/>
      <c r="E37" s="2588"/>
      <c r="F37" s="2588"/>
      <c r="G37" s="2595">
        <f t="shared" si="3"/>
        <v>0</v>
      </c>
      <c r="J37" s="2579"/>
      <c r="K37" s="2482"/>
      <c r="L37" s="2482"/>
      <c r="M37" s="2482"/>
      <c r="N37" s="2482"/>
      <c r="O37" s="2482"/>
      <c r="P37" s="2482"/>
      <c r="Q37" s="2482"/>
      <c r="R37" s="2482"/>
      <c r="S37" s="2482"/>
      <c r="T37" s="2482"/>
      <c r="U37" s="2482"/>
      <c r="V37" s="2482"/>
      <c r="W37" s="2482"/>
    </row>
    <row r="38" spans="1:23" ht="16.7" customHeight="1" x14ac:dyDescent="0.2">
      <c r="A38" s="2677">
        <v>18</v>
      </c>
      <c r="B38" s="2512" t="s">
        <v>6960</v>
      </c>
      <c r="C38" s="2645">
        <f>SUM(D38:F38)</f>
        <v>-161978</v>
      </c>
      <c r="D38" s="2689">
        <v>-161978</v>
      </c>
      <c r="E38" s="2582"/>
      <c r="F38" s="2582"/>
      <c r="G38" s="2479"/>
      <c r="J38" s="2579"/>
      <c r="K38" s="2482"/>
      <c r="L38" s="2482"/>
      <c r="M38" s="2482"/>
      <c r="N38" s="2482"/>
      <c r="O38" s="2482"/>
      <c r="P38" s="2482"/>
      <c r="Q38" s="2482"/>
      <c r="R38" s="2482"/>
      <c r="S38" s="2482"/>
      <c r="T38" s="2482"/>
      <c r="U38" s="2482"/>
      <c r="V38" s="2482"/>
      <c r="W38" s="2482"/>
    </row>
    <row r="39" spans="1:23" ht="16.7" customHeight="1" x14ac:dyDescent="0.2">
      <c r="A39" s="2677">
        <v>19</v>
      </c>
      <c r="B39" s="2649" t="s">
        <v>6961</v>
      </c>
      <c r="C39" s="2645">
        <f>SUM(D39:F39)</f>
        <v>12167631341</v>
      </c>
      <c r="D39" s="2690">
        <f>D8+D23+D28+SUM(D30:D35)+D37+D38</f>
        <v>12167631341</v>
      </c>
      <c r="E39" s="2690">
        <f>E8+E23+E28+E29+E38</f>
        <v>0</v>
      </c>
      <c r="F39" s="2690">
        <f>F8+F23+F28+F29+F38</f>
        <v>0</v>
      </c>
      <c r="G39" s="2479"/>
      <c r="J39" s="2579"/>
      <c r="K39" s="2482"/>
      <c r="L39" s="2482"/>
      <c r="M39" s="2482"/>
      <c r="N39" s="2482"/>
      <c r="O39" s="2482"/>
      <c r="P39" s="2482"/>
      <c r="Q39" s="2482"/>
      <c r="R39" s="2482"/>
      <c r="S39" s="2482"/>
      <c r="T39" s="2482"/>
      <c r="U39" s="2482"/>
      <c r="V39" s="2482"/>
      <c r="W39" s="2482"/>
    </row>
    <row r="40" spans="1:23" ht="16.7" customHeight="1" x14ac:dyDescent="0.2">
      <c r="A40" s="3932" t="s">
        <v>6962</v>
      </c>
      <c r="B40" s="3883"/>
      <c r="C40" s="3883"/>
      <c r="D40" s="3883"/>
      <c r="E40" s="3883"/>
      <c r="F40" s="3884"/>
      <c r="G40" s="2479"/>
      <c r="J40" s="2579"/>
      <c r="K40" s="2482"/>
      <c r="L40" s="2482"/>
      <c r="M40" s="2482"/>
      <c r="N40" s="2482"/>
      <c r="O40" s="2482"/>
      <c r="P40" s="2482"/>
      <c r="Q40" s="2482"/>
      <c r="R40" s="2482"/>
      <c r="S40" s="2482"/>
      <c r="T40" s="2482"/>
      <c r="U40" s="2482"/>
      <c r="V40" s="2482"/>
      <c r="W40" s="2482"/>
    </row>
    <row r="41" spans="1:23" ht="16.7" customHeight="1" x14ac:dyDescent="0.2">
      <c r="A41" s="2677">
        <v>20</v>
      </c>
      <c r="B41" s="2512" t="s">
        <v>111</v>
      </c>
      <c r="C41" s="2645">
        <f t="shared" ref="C41:C49" si="5">SUM(D41:F41)</f>
        <v>4755324162</v>
      </c>
      <c r="D41" s="2531">
        <v>4755324162</v>
      </c>
      <c r="E41" s="2488"/>
      <c r="F41" s="2488"/>
      <c r="G41" s="2479"/>
      <c r="J41" s="2579"/>
      <c r="K41" s="2482"/>
      <c r="L41" s="2482"/>
      <c r="M41" s="2482"/>
      <c r="N41" s="2482"/>
      <c r="O41" s="2482"/>
      <c r="P41" s="2482"/>
      <c r="Q41" s="2482"/>
      <c r="R41" s="2482"/>
      <c r="S41" s="2482"/>
      <c r="T41" s="2482"/>
      <c r="U41" s="2482"/>
      <c r="V41" s="2482"/>
      <c r="W41" s="2482"/>
    </row>
    <row r="42" spans="1:23" ht="16.7" customHeight="1" x14ac:dyDescent="0.2">
      <c r="A42" s="2677">
        <v>21</v>
      </c>
      <c r="B42" s="2512" t="s">
        <v>6963</v>
      </c>
      <c r="C42" s="2645">
        <f t="shared" si="5"/>
        <v>0</v>
      </c>
      <c r="D42" s="2530">
        <v>0</v>
      </c>
      <c r="E42" s="2488"/>
      <c r="F42" s="2488"/>
      <c r="G42" s="2479"/>
      <c r="J42" s="2579"/>
      <c r="K42" s="2482"/>
      <c r="L42" s="2482"/>
      <c r="M42" s="2482"/>
      <c r="N42" s="2482"/>
      <c r="O42" s="2482"/>
      <c r="P42" s="2482"/>
      <c r="Q42" s="2482"/>
      <c r="R42" s="2482"/>
      <c r="S42" s="2482"/>
      <c r="T42" s="2482"/>
      <c r="U42" s="2482"/>
      <c r="V42" s="2482"/>
      <c r="W42" s="2482"/>
    </row>
    <row r="43" spans="1:23" ht="16.7" customHeight="1" x14ac:dyDescent="0.2">
      <c r="A43" s="2677">
        <v>22</v>
      </c>
      <c r="B43" s="2512" t="s">
        <v>6964</v>
      </c>
      <c r="C43" s="2645">
        <f t="shared" si="5"/>
        <v>466792292</v>
      </c>
      <c r="D43" s="2531">
        <v>466792292</v>
      </c>
      <c r="E43" s="2488"/>
      <c r="F43" s="2488"/>
      <c r="G43" s="2479"/>
      <c r="J43" s="2579"/>
      <c r="K43" s="2482"/>
      <c r="L43" s="2482"/>
      <c r="M43" s="2482"/>
      <c r="N43" s="2482"/>
      <c r="O43" s="2482"/>
      <c r="P43" s="2482"/>
      <c r="Q43" s="2482"/>
      <c r="R43" s="2482"/>
      <c r="S43" s="2482"/>
      <c r="T43" s="2482"/>
      <c r="U43" s="2482"/>
      <c r="V43" s="2482"/>
      <c r="W43" s="2482"/>
    </row>
    <row r="44" spans="1:23" ht="16.7" customHeight="1" x14ac:dyDescent="0.2">
      <c r="A44" s="2677">
        <v>23</v>
      </c>
      <c r="B44" s="2512" t="s">
        <v>6965</v>
      </c>
      <c r="C44" s="2645">
        <f t="shared" si="5"/>
        <v>0</v>
      </c>
      <c r="D44" s="2530">
        <v>0</v>
      </c>
      <c r="E44" s="2488"/>
      <c r="F44" s="2488"/>
      <c r="G44" s="2479"/>
      <c r="J44" s="2579"/>
      <c r="K44" s="2482"/>
      <c r="L44" s="2482"/>
      <c r="M44" s="2482"/>
      <c r="N44" s="2482"/>
      <c r="O44" s="2482"/>
      <c r="P44" s="2482"/>
      <c r="Q44" s="2482"/>
      <c r="R44" s="2482"/>
      <c r="S44" s="2482"/>
      <c r="T44" s="2482"/>
      <c r="U44" s="2482"/>
      <c r="V44" s="2482"/>
      <c r="W44" s="2482"/>
    </row>
    <row r="45" spans="1:23" ht="16.7" customHeight="1" x14ac:dyDescent="0.2">
      <c r="A45" s="2677">
        <v>24</v>
      </c>
      <c r="B45" s="2512" t="s">
        <v>117</v>
      </c>
      <c r="C45" s="2645">
        <f t="shared" si="5"/>
        <v>763732700</v>
      </c>
      <c r="D45" s="2531">
        <v>763732700</v>
      </c>
      <c r="E45" s="2488"/>
      <c r="F45" s="2488"/>
      <c r="G45" s="2479"/>
      <c r="J45" s="2579"/>
      <c r="K45" s="2482"/>
      <c r="L45" s="2482"/>
      <c r="M45" s="2482"/>
      <c r="N45" s="2482"/>
      <c r="O45" s="2482"/>
      <c r="P45" s="2482"/>
      <c r="Q45" s="2482"/>
      <c r="R45" s="2482"/>
      <c r="S45" s="2482"/>
      <c r="T45" s="2482"/>
      <c r="U45" s="2482"/>
      <c r="V45" s="2482"/>
      <c r="W45" s="2482"/>
    </row>
    <row r="46" spans="1:23" ht="16.7" customHeight="1" x14ac:dyDescent="0.2">
      <c r="A46" s="2677">
        <v>25</v>
      </c>
      <c r="B46" s="2512" t="s">
        <v>106</v>
      </c>
      <c r="C46" s="2645">
        <f t="shared" si="5"/>
        <v>2258806541</v>
      </c>
      <c r="D46" s="2531">
        <v>2258806541</v>
      </c>
      <c r="E46" s="2488"/>
      <c r="F46" s="2488"/>
      <c r="G46" s="2479"/>
      <c r="J46" s="2579"/>
      <c r="K46" s="2482"/>
      <c r="L46" s="2482"/>
      <c r="M46" s="2482"/>
      <c r="N46" s="2482"/>
      <c r="O46" s="2482"/>
      <c r="P46" s="2482"/>
      <c r="Q46" s="2482"/>
      <c r="R46" s="2482"/>
      <c r="S46" s="2482"/>
      <c r="T46" s="2482"/>
      <c r="U46" s="2482"/>
      <c r="V46" s="2482"/>
      <c r="W46" s="2482"/>
    </row>
    <row r="47" spans="1:23" ht="16.7" customHeight="1" x14ac:dyDescent="0.2">
      <c r="A47" s="2677">
        <v>26</v>
      </c>
      <c r="B47" s="2512" t="s">
        <v>512</v>
      </c>
      <c r="C47" s="2645">
        <f t="shared" si="5"/>
        <v>3343822119</v>
      </c>
      <c r="D47" s="2531">
        <v>3343822119</v>
      </c>
      <c r="E47" s="2488"/>
      <c r="F47" s="2488"/>
      <c r="G47" s="2479"/>
      <c r="J47" s="2579"/>
      <c r="K47" s="2482"/>
      <c r="L47" s="2482"/>
      <c r="M47" s="2482"/>
      <c r="N47" s="2482"/>
      <c r="O47" s="2482"/>
      <c r="P47" s="2482"/>
      <c r="Q47" s="2482"/>
      <c r="R47" s="2482"/>
      <c r="S47" s="2482"/>
      <c r="T47" s="2482"/>
      <c r="U47" s="2482"/>
      <c r="V47" s="2482"/>
      <c r="W47" s="2482"/>
    </row>
    <row r="48" spans="1:23" ht="16.7" customHeight="1" x14ac:dyDescent="0.2">
      <c r="A48" s="2677">
        <v>27</v>
      </c>
      <c r="B48" s="2512" t="s">
        <v>6966</v>
      </c>
      <c r="C48" s="2645">
        <f t="shared" si="5"/>
        <v>0</v>
      </c>
      <c r="D48" s="2530">
        <v>0</v>
      </c>
      <c r="E48" s="2488"/>
      <c r="F48" s="2488"/>
      <c r="G48" s="2479"/>
      <c r="J48" s="2579"/>
      <c r="K48" s="2482"/>
      <c r="L48" s="2482"/>
      <c r="M48" s="2482"/>
      <c r="N48" s="2482"/>
      <c r="O48" s="2482"/>
      <c r="P48" s="2482"/>
      <c r="Q48" s="2482"/>
      <c r="R48" s="2482"/>
      <c r="S48" s="2482"/>
      <c r="T48" s="2482"/>
      <c r="U48" s="2482"/>
      <c r="V48" s="2482"/>
      <c r="W48" s="2482"/>
    </row>
    <row r="49" spans="1:23" ht="16.7" customHeight="1" x14ac:dyDescent="0.2">
      <c r="A49" s="2677">
        <v>28</v>
      </c>
      <c r="B49" s="2512" t="s">
        <v>6967</v>
      </c>
      <c r="C49" s="2645">
        <f t="shared" si="5"/>
        <v>579153527</v>
      </c>
      <c r="D49" s="2531">
        <v>579153527</v>
      </c>
      <c r="E49" s="2488"/>
      <c r="F49" s="2488"/>
      <c r="G49" s="2479"/>
      <c r="J49" s="2579"/>
      <c r="K49" s="2482"/>
      <c r="L49" s="2482"/>
      <c r="M49" s="2482"/>
      <c r="N49" s="2482"/>
      <c r="O49" s="2482"/>
      <c r="P49" s="2482"/>
      <c r="Q49" s="2482"/>
      <c r="R49" s="2482"/>
      <c r="S49" s="2482"/>
      <c r="T49" s="2482"/>
      <c r="U49" s="2482"/>
      <c r="V49" s="2482"/>
      <c r="W49" s="2482"/>
    </row>
    <row r="50" spans="1:23" ht="16.7" customHeight="1" x14ac:dyDescent="0.2">
      <c r="A50" s="2677">
        <v>29</v>
      </c>
      <c r="B50" s="2649" t="s">
        <v>6968</v>
      </c>
      <c r="C50" s="2645">
        <f>SUM(C41:C49)</f>
        <v>12167631341</v>
      </c>
      <c r="D50" s="2531">
        <f>SUM(D41:D49)</f>
        <v>12167631341</v>
      </c>
      <c r="E50" s="2645">
        <f>SUM(E41:E49)</f>
        <v>0</v>
      </c>
      <c r="F50" s="2645">
        <f>SUM(F41:F49)</f>
        <v>0</v>
      </c>
      <c r="G50" s="2479"/>
      <c r="J50" s="2579"/>
      <c r="K50" s="2482"/>
      <c r="L50" s="2482"/>
      <c r="M50" s="2482"/>
      <c r="N50" s="2482"/>
      <c r="O50" s="2482"/>
      <c r="P50" s="2482"/>
      <c r="Q50" s="2482"/>
      <c r="R50" s="2482"/>
      <c r="S50" s="2482"/>
      <c r="T50" s="2482"/>
      <c r="U50" s="2482"/>
      <c r="V50" s="2482"/>
      <c r="W50" s="2482"/>
    </row>
    <row r="51" spans="1:23" ht="15" customHeight="1" x14ac:dyDescent="0.2">
      <c r="A51" s="2488"/>
      <c r="B51" s="2488"/>
      <c r="C51" s="2488"/>
      <c r="D51" s="2488"/>
      <c r="E51" s="2488"/>
      <c r="F51" s="2488"/>
      <c r="G51" s="2479"/>
      <c r="J51" s="2579"/>
      <c r="K51" s="2482"/>
      <c r="L51" s="2482"/>
      <c r="M51" s="2482"/>
      <c r="N51" s="2482"/>
      <c r="O51" s="2482"/>
      <c r="P51" s="2482"/>
      <c r="Q51" s="2482"/>
      <c r="R51" s="2482"/>
      <c r="S51" s="2482"/>
      <c r="T51" s="2482"/>
      <c r="U51" s="2482"/>
      <c r="V51" s="2482"/>
      <c r="W51" s="2482"/>
    </row>
    <row r="52" spans="1:23" ht="16.7" customHeight="1" x14ac:dyDescent="0.2">
      <c r="A52" s="2516"/>
      <c r="B52" s="2516"/>
      <c r="C52" s="2516"/>
      <c r="D52" s="2516"/>
      <c r="E52" s="2516"/>
      <c r="F52" s="2516"/>
      <c r="J52" s="2579"/>
      <c r="K52" s="2482"/>
      <c r="L52" s="2482"/>
      <c r="M52" s="2482"/>
      <c r="N52" s="2482"/>
      <c r="O52" s="2482"/>
      <c r="P52" s="2482"/>
      <c r="Q52" s="2482"/>
      <c r="R52" s="2482"/>
      <c r="S52" s="2482"/>
      <c r="T52" s="2482"/>
      <c r="U52" s="2482"/>
      <c r="V52" s="2482"/>
      <c r="W52" s="2482"/>
    </row>
    <row r="53" spans="1:23" ht="16.7" customHeight="1" x14ac:dyDescent="0.25">
      <c r="C53" s="3165" t="s">
        <v>11914</v>
      </c>
      <c r="D53" s="2077">
        <v>0</v>
      </c>
      <c r="J53" s="2579"/>
      <c r="K53" s="2482"/>
      <c r="L53" s="2482"/>
      <c r="M53" s="2482"/>
      <c r="N53" s="2482"/>
      <c r="O53" s="2482"/>
      <c r="P53" s="2482"/>
      <c r="Q53" s="2482"/>
      <c r="R53" s="2482"/>
      <c r="S53" s="2482"/>
      <c r="T53" s="2482"/>
      <c r="U53" s="2482"/>
      <c r="V53" s="2482"/>
      <c r="W53" s="2482"/>
    </row>
    <row r="54" spans="1:23" ht="16.7" customHeight="1" x14ac:dyDescent="0.25">
      <c r="C54" s="3165" t="s">
        <v>11915</v>
      </c>
      <c r="D54" s="3166">
        <f>D41-D53</f>
        <v>4755324162</v>
      </c>
      <c r="J54" s="2579"/>
      <c r="K54" s="2482"/>
      <c r="L54" s="2482"/>
      <c r="M54" s="2482"/>
      <c r="N54" s="2482"/>
      <c r="O54" s="2482"/>
      <c r="P54" s="2482"/>
      <c r="Q54" s="2482"/>
      <c r="R54" s="2482"/>
      <c r="S54" s="2482"/>
      <c r="T54" s="2482"/>
      <c r="U54" s="2482"/>
      <c r="V54" s="2482"/>
      <c r="W54" s="2482"/>
    </row>
    <row r="55" spans="1:23" ht="16.7" customHeight="1" x14ac:dyDescent="0.2">
      <c r="J55" s="2579"/>
      <c r="K55" s="2482"/>
      <c r="L55" s="2482"/>
      <c r="M55" s="2482"/>
      <c r="N55" s="2482"/>
      <c r="O55" s="2482"/>
      <c r="P55" s="2482"/>
      <c r="Q55" s="2482"/>
      <c r="R55" s="2482"/>
      <c r="S55" s="2482"/>
      <c r="T55" s="2482"/>
      <c r="U55" s="2482"/>
      <c r="V55" s="2482"/>
      <c r="W55" s="2482"/>
    </row>
    <row r="56" spans="1:23" ht="16.7" customHeight="1" x14ac:dyDescent="0.2">
      <c r="J56" s="2579"/>
      <c r="K56" s="2482"/>
      <c r="L56" s="2482"/>
      <c r="M56" s="2482"/>
      <c r="N56" s="2482"/>
      <c r="O56" s="2482"/>
      <c r="P56" s="2482"/>
      <c r="Q56" s="2482"/>
      <c r="R56" s="2482"/>
      <c r="S56" s="2482"/>
      <c r="T56" s="2482"/>
      <c r="U56" s="2482"/>
      <c r="V56" s="2482"/>
      <c r="W56" s="2482"/>
    </row>
    <row r="57" spans="1:23" ht="16.7" customHeight="1" x14ac:dyDescent="0.2">
      <c r="J57" s="2579"/>
      <c r="K57" s="2482"/>
      <c r="L57" s="2482"/>
      <c r="M57" s="2482"/>
      <c r="N57" s="2482"/>
      <c r="O57" s="2482"/>
      <c r="P57" s="2482"/>
      <c r="Q57" s="2482"/>
      <c r="R57" s="2482"/>
      <c r="S57" s="2482"/>
      <c r="T57" s="2482"/>
      <c r="U57" s="2482"/>
      <c r="V57" s="2482"/>
      <c r="W57" s="2482"/>
    </row>
    <row r="58" spans="1:23" ht="16.7" customHeight="1" x14ac:dyDescent="0.2">
      <c r="J58" s="2579"/>
      <c r="K58" s="2482"/>
      <c r="L58" s="2482"/>
      <c r="M58" s="2482"/>
      <c r="N58" s="2482"/>
      <c r="O58" s="2482"/>
      <c r="P58" s="2482"/>
      <c r="Q58" s="2482"/>
      <c r="R58" s="2482"/>
      <c r="S58" s="2482"/>
      <c r="T58" s="2482"/>
      <c r="U58" s="2482"/>
      <c r="V58" s="2482"/>
      <c r="W58" s="2482"/>
    </row>
    <row r="59" spans="1:23" ht="16.7" customHeight="1" x14ac:dyDescent="0.2">
      <c r="J59" s="2579"/>
      <c r="K59" s="2482"/>
      <c r="L59" s="2482"/>
      <c r="M59" s="2482"/>
      <c r="N59" s="2482"/>
      <c r="O59" s="2482"/>
      <c r="P59" s="2482"/>
      <c r="Q59" s="2482"/>
      <c r="R59" s="2482"/>
      <c r="S59" s="2482"/>
      <c r="T59" s="2482"/>
      <c r="U59" s="2482"/>
      <c r="V59" s="2482"/>
      <c r="W59" s="2482"/>
    </row>
    <row r="60" spans="1:23" ht="16.7" customHeight="1" x14ac:dyDescent="0.2">
      <c r="J60" s="2579"/>
      <c r="K60" s="2482"/>
      <c r="L60" s="2482"/>
      <c r="M60" s="2482"/>
      <c r="N60" s="2482"/>
      <c r="O60" s="2482"/>
      <c r="P60" s="2482"/>
      <c r="Q60" s="2482"/>
      <c r="R60" s="2482"/>
      <c r="S60" s="2482"/>
      <c r="T60" s="2482"/>
      <c r="U60" s="2482"/>
      <c r="V60" s="2482"/>
      <c r="W60" s="2482"/>
    </row>
    <row r="61" spans="1:23" ht="16.7" customHeight="1" x14ac:dyDescent="0.2">
      <c r="J61" s="2579"/>
      <c r="K61" s="2482"/>
      <c r="L61" s="2482"/>
      <c r="M61" s="2482"/>
      <c r="N61" s="2482"/>
      <c r="O61" s="2482"/>
      <c r="P61" s="2482"/>
      <c r="Q61" s="2482"/>
      <c r="R61" s="2482"/>
      <c r="S61" s="2482"/>
      <c r="T61" s="2482"/>
      <c r="U61" s="2482"/>
      <c r="V61" s="2482"/>
      <c r="W61" s="2482"/>
    </row>
    <row r="62" spans="1:23" ht="16.7" customHeight="1" x14ac:dyDescent="0.2">
      <c r="J62" s="2579"/>
      <c r="K62" s="2482"/>
      <c r="L62" s="2482"/>
      <c r="M62" s="2482"/>
      <c r="N62" s="2482"/>
      <c r="O62" s="2482"/>
      <c r="P62" s="2482"/>
      <c r="Q62" s="2482"/>
      <c r="R62" s="2482"/>
      <c r="S62" s="2482"/>
      <c r="T62" s="2482"/>
      <c r="U62" s="2482"/>
      <c r="V62" s="2482"/>
      <c r="W62" s="2482"/>
    </row>
    <row r="63" spans="1:23" ht="16.7" customHeight="1" x14ac:dyDescent="0.2">
      <c r="J63" s="2579"/>
      <c r="K63" s="2482"/>
      <c r="L63" s="2482"/>
      <c r="M63" s="2482"/>
      <c r="N63" s="2482"/>
      <c r="O63" s="2482"/>
      <c r="P63" s="2482"/>
      <c r="Q63" s="2482"/>
      <c r="R63" s="2482"/>
      <c r="S63" s="2482"/>
      <c r="T63" s="2482"/>
      <c r="U63" s="2482"/>
      <c r="V63" s="2482"/>
      <c r="W63" s="2482"/>
    </row>
    <row r="64" spans="1:23" ht="16.7" customHeight="1" x14ac:dyDescent="0.2">
      <c r="J64" s="2579"/>
      <c r="K64" s="2482"/>
      <c r="L64" s="2482"/>
      <c r="M64" s="2482"/>
      <c r="N64" s="2482"/>
      <c r="O64" s="2482"/>
      <c r="P64" s="2482"/>
      <c r="Q64" s="2482"/>
      <c r="R64" s="2482"/>
      <c r="S64" s="2482"/>
      <c r="T64" s="2482"/>
      <c r="U64" s="2482"/>
      <c r="V64" s="2482"/>
      <c r="W64" s="2482"/>
    </row>
    <row r="65" spans="10:23" ht="16.7" customHeight="1" x14ac:dyDescent="0.2">
      <c r="J65" s="2579"/>
      <c r="K65" s="2482"/>
      <c r="L65" s="2482"/>
      <c r="M65" s="2482"/>
      <c r="N65" s="2482"/>
      <c r="O65" s="2482"/>
      <c r="P65" s="2482"/>
      <c r="Q65" s="2482"/>
      <c r="R65" s="2482"/>
      <c r="S65" s="2482"/>
      <c r="T65" s="2482"/>
      <c r="U65" s="2482"/>
      <c r="V65" s="2482"/>
      <c r="W65" s="2482"/>
    </row>
    <row r="66" spans="10:23" ht="16.7" customHeight="1" x14ac:dyDescent="0.2">
      <c r="J66" s="2579"/>
      <c r="K66" s="2482"/>
      <c r="L66" s="2482"/>
      <c r="M66" s="2482"/>
      <c r="N66" s="2482"/>
      <c r="O66" s="2482"/>
      <c r="P66" s="2482"/>
      <c r="Q66" s="2482"/>
      <c r="R66" s="2482"/>
      <c r="S66" s="2482"/>
      <c r="T66" s="2482"/>
      <c r="U66" s="2482"/>
      <c r="V66" s="2482"/>
      <c r="W66" s="2482"/>
    </row>
    <row r="67" spans="10:23" ht="16.7" customHeight="1" x14ac:dyDescent="0.2">
      <c r="J67" s="2579"/>
      <c r="K67" s="2482"/>
      <c r="L67" s="2482"/>
      <c r="M67" s="2482"/>
      <c r="N67" s="2482"/>
      <c r="O67" s="2482"/>
      <c r="P67" s="2482"/>
      <c r="Q67" s="2482"/>
      <c r="R67" s="2482"/>
      <c r="S67" s="2482"/>
      <c r="T67" s="2482"/>
      <c r="U67" s="2482"/>
      <c r="V67" s="2482"/>
      <c r="W67" s="2482"/>
    </row>
    <row r="68" spans="10:23" ht="16.7" customHeight="1" x14ac:dyDescent="0.2">
      <c r="J68" s="2579"/>
      <c r="K68" s="2482"/>
      <c r="L68" s="2482"/>
      <c r="M68" s="2482"/>
      <c r="N68" s="2482"/>
      <c r="O68" s="2482"/>
      <c r="P68" s="2482"/>
      <c r="Q68" s="2482"/>
      <c r="R68" s="2482"/>
      <c r="S68" s="2482"/>
      <c r="T68" s="2482"/>
      <c r="U68" s="2482"/>
      <c r="V68" s="2482"/>
      <c r="W68" s="2482"/>
    </row>
    <row r="69" spans="10:23" ht="16.7" customHeight="1" x14ac:dyDescent="0.2">
      <c r="J69" s="2579"/>
      <c r="K69" s="2482"/>
      <c r="L69" s="2482"/>
      <c r="M69" s="2482"/>
      <c r="N69" s="2482"/>
      <c r="O69" s="2482"/>
      <c r="P69" s="2482"/>
      <c r="Q69" s="2482"/>
      <c r="R69" s="2482"/>
      <c r="S69" s="2482"/>
      <c r="T69" s="2482"/>
      <c r="U69" s="2482"/>
      <c r="V69" s="2482"/>
      <c r="W69" s="2482"/>
    </row>
    <row r="70" spans="10:23" ht="16.7" customHeight="1" x14ac:dyDescent="0.2">
      <c r="J70" s="2579"/>
      <c r="K70" s="2482"/>
      <c r="L70" s="2482"/>
      <c r="M70" s="2482"/>
      <c r="N70" s="2482"/>
      <c r="O70" s="2482"/>
      <c r="P70" s="2482"/>
      <c r="Q70" s="2482"/>
      <c r="R70" s="2482"/>
      <c r="S70" s="2482"/>
      <c r="T70" s="2482"/>
      <c r="U70" s="2482"/>
      <c r="V70" s="2482"/>
      <c r="W70" s="2482"/>
    </row>
    <row r="71" spans="10:23" ht="16.7" customHeight="1" x14ac:dyDescent="0.2">
      <c r="J71" s="2579"/>
      <c r="K71" s="2482"/>
      <c r="L71" s="2482"/>
      <c r="M71" s="2482"/>
      <c r="N71" s="2482"/>
      <c r="O71" s="2482"/>
      <c r="P71" s="2482"/>
      <c r="Q71" s="2482"/>
      <c r="R71" s="2482"/>
      <c r="S71" s="2482"/>
      <c r="T71" s="2482"/>
      <c r="U71" s="2482"/>
      <c r="V71" s="2482"/>
      <c r="W71" s="2482"/>
    </row>
    <row r="72" spans="10:23" ht="16.7" customHeight="1" x14ac:dyDescent="0.2">
      <c r="J72" s="2579"/>
      <c r="K72" s="2482"/>
      <c r="L72" s="2482"/>
      <c r="M72" s="2482"/>
      <c r="N72" s="2482"/>
      <c r="O72" s="2482"/>
      <c r="P72" s="2482"/>
      <c r="Q72" s="2482"/>
      <c r="R72" s="2482"/>
      <c r="S72" s="2482"/>
      <c r="T72" s="2482"/>
      <c r="U72" s="2482"/>
      <c r="V72" s="2482"/>
      <c r="W72" s="2482"/>
    </row>
    <row r="73" spans="10:23" ht="16.7" customHeight="1" x14ac:dyDescent="0.2">
      <c r="J73" s="2579"/>
      <c r="K73" s="2482"/>
      <c r="L73" s="2482"/>
      <c r="M73" s="2482"/>
      <c r="N73" s="2482"/>
      <c r="O73" s="2482"/>
      <c r="P73" s="2482"/>
      <c r="Q73" s="2482"/>
      <c r="R73" s="2482"/>
      <c r="S73" s="2482"/>
      <c r="T73" s="2482"/>
      <c r="U73" s="2482"/>
      <c r="V73" s="2482"/>
      <c r="W73" s="2482"/>
    </row>
    <row r="74" spans="10:23" ht="16.7" customHeight="1" x14ac:dyDescent="0.2">
      <c r="J74" s="2579"/>
      <c r="K74" s="2482"/>
      <c r="L74" s="2482"/>
      <c r="M74" s="2482"/>
      <c r="N74" s="2482"/>
      <c r="O74" s="2482"/>
      <c r="P74" s="2482"/>
      <c r="Q74" s="2482"/>
      <c r="R74" s="2482"/>
      <c r="S74" s="2482"/>
      <c r="T74" s="2482"/>
      <c r="U74" s="2482"/>
      <c r="V74" s="2482"/>
      <c r="W74" s="2482"/>
    </row>
    <row r="75" spans="10:23" ht="16.7" customHeight="1" x14ac:dyDescent="0.2">
      <c r="J75" s="2579"/>
      <c r="K75" s="2482"/>
      <c r="L75" s="2482"/>
      <c r="M75" s="2482"/>
      <c r="N75" s="2482"/>
      <c r="O75" s="2482"/>
      <c r="P75" s="2482"/>
      <c r="Q75" s="2482"/>
      <c r="R75" s="2482"/>
      <c r="S75" s="2482"/>
      <c r="T75" s="2482"/>
      <c r="U75" s="2482"/>
      <c r="V75" s="2482"/>
      <c r="W75" s="2482"/>
    </row>
    <row r="76" spans="10:23" ht="16.7" customHeight="1" x14ac:dyDescent="0.2">
      <c r="J76" s="2579"/>
      <c r="K76" s="2482"/>
      <c r="L76" s="2482"/>
      <c r="M76" s="2482"/>
      <c r="N76" s="2482"/>
      <c r="O76" s="2482"/>
      <c r="P76" s="2482"/>
      <c r="Q76" s="2482"/>
      <c r="R76" s="2482"/>
      <c r="S76" s="2482"/>
      <c r="T76" s="2482"/>
      <c r="U76" s="2482"/>
      <c r="V76" s="2482"/>
      <c r="W76" s="2482"/>
    </row>
    <row r="77" spans="10:23" ht="16.7" customHeight="1" x14ac:dyDescent="0.2">
      <c r="J77" s="2579"/>
      <c r="K77" s="2482"/>
      <c r="L77" s="2482"/>
      <c r="M77" s="2482"/>
      <c r="N77" s="2482"/>
      <c r="O77" s="2482"/>
      <c r="P77" s="2482"/>
      <c r="Q77" s="2482"/>
      <c r="R77" s="2482"/>
      <c r="S77" s="2482"/>
      <c r="T77" s="2482"/>
      <c r="U77" s="2482"/>
      <c r="V77" s="2482"/>
      <c r="W77" s="2482"/>
    </row>
    <row r="78" spans="10:23" ht="16.7" customHeight="1" x14ac:dyDescent="0.2">
      <c r="J78" s="2579"/>
      <c r="K78" s="2482"/>
      <c r="L78" s="2482"/>
      <c r="M78" s="2482"/>
      <c r="N78" s="2482"/>
      <c r="O78" s="2482"/>
      <c r="P78" s="2482"/>
      <c r="Q78" s="2482"/>
      <c r="R78" s="2482"/>
      <c r="S78" s="2482"/>
      <c r="T78" s="2482"/>
      <c r="U78" s="2482"/>
      <c r="V78" s="2482"/>
      <c r="W78" s="2482"/>
    </row>
    <row r="79" spans="10:23" ht="16.7" customHeight="1" x14ac:dyDescent="0.2">
      <c r="J79" s="2579"/>
      <c r="K79" s="2482"/>
      <c r="L79" s="2482"/>
      <c r="M79" s="2482"/>
      <c r="N79" s="2482"/>
      <c r="O79" s="2482"/>
      <c r="P79" s="2482"/>
      <c r="Q79" s="2482"/>
      <c r="R79" s="2482"/>
      <c r="S79" s="2482"/>
      <c r="T79" s="2482"/>
      <c r="U79" s="2482"/>
      <c r="V79" s="2482"/>
      <c r="W79" s="2482"/>
    </row>
    <row r="80" spans="10:23" ht="16.7" customHeight="1" x14ac:dyDescent="0.2">
      <c r="J80" s="2579"/>
      <c r="K80" s="2482"/>
      <c r="L80" s="2482"/>
      <c r="M80" s="2482"/>
      <c r="N80" s="2482"/>
      <c r="O80" s="2482"/>
      <c r="P80" s="2482"/>
      <c r="Q80" s="2482"/>
      <c r="R80" s="2482"/>
      <c r="S80" s="2482"/>
      <c r="T80" s="2482"/>
      <c r="U80" s="2482"/>
      <c r="V80" s="2482"/>
      <c r="W80" s="2482"/>
    </row>
    <row r="81" spans="10:23" ht="16.7" customHeight="1" x14ac:dyDescent="0.2">
      <c r="J81" s="2579"/>
      <c r="K81" s="2482"/>
      <c r="L81" s="2482"/>
      <c r="M81" s="2482"/>
      <c r="N81" s="2482"/>
      <c r="O81" s="2482"/>
      <c r="P81" s="2482"/>
      <c r="Q81" s="2482"/>
      <c r="R81" s="2482"/>
      <c r="S81" s="2482"/>
      <c r="T81" s="2482"/>
      <c r="U81" s="2482"/>
      <c r="V81" s="2482"/>
      <c r="W81" s="2482"/>
    </row>
    <row r="82" spans="10:23" ht="16.7" customHeight="1" x14ac:dyDescent="0.2">
      <c r="J82" s="2579"/>
      <c r="K82" s="2482"/>
      <c r="L82" s="2482"/>
      <c r="M82" s="2482"/>
      <c r="N82" s="2482"/>
      <c r="O82" s="2482"/>
      <c r="P82" s="2482"/>
      <c r="Q82" s="2482"/>
      <c r="R82" s="2482"/>
      <c r="S82" s="2482"/>
      <c r="T82" s="2482"/>
      <c r="U82" s="2482"/>
      <c r="V82" s="2482"/>
      <c r="W82" s="2482"/>
    </row>
    <row r="83" spans="10:23" ht="16.7" customHeight="1" x14ac:dyDescent="0.2">
      <c r="J83" s="2579"/>
      <c r="K83" s="2482"/>
      <c r="L83" s="2482"/>
      <c r="M83" s="2482"/>
      <c r="N83" s="2482"/>
      <c r="O83" s="2482"/>
      <c r="P83" s="2482"/>
      <c r="Q83" s="2482"/>
      <c r="R83" s="2482"/>
      <c r="S83" s="2482"/>
      <c r="T83" s="2482"/>
      <c r="U83" s="2482"/>
      <c r="V83" s="2482"/>
      <c r="W83" s="2482"/>
    </row>
    <row r="84" spans="10:23" ht="16.7" customHeight="1" x14ac:dyDescent="0.2">
      <c r="J84" s="2579"/>
      <c r="K84" s="2482"/>
      <c r="L84" s="2482"/>
      <c r="M84" s="2482"/>
      <c r="N84" s="2482"/>
      <c r="O84" s="2482"/>
      <c r="P84" s="2482"/>
      <c r="Q84" s="2482"/>
      <c r="R84" s="2482"/>
      <c r="S84" s="2482"/>
      <c r="T84" s="2482"/>
      <c r="U84" s="2482"/>
      <c r="V84" s="2482"/>
      <c r="W84" s="2482"/>
    </row>
    <row r="85" spans="10:23" ht="16.7" customHeight="1" x14ac:dyDescent="0.2">
      <c r="J85" s="2579"/>
      <c r="K85" s="2482"/>
      <c r="L85" s="2482"/>
      <c r="M85" s="2482"/>
      <c r="N85" s="2482"/>
      <c r="O85" s="2482"/>
      <c r="P85" s="2482"/>
      <c r="Q85" s="2482"/>
      <c r="R85" s="2482"/>
      <c r="S85" s="2482"/>
      <c r="T85" s="2482"/>
      <c r="U85" s="2482"/>
      <c r="V85" s="2482"/>
      <c r="W85" s="2482"/>
    </row>
    <row r="86" spans="10:23" ht="16.7" customHeight="1" x14ac:dyDescent="0.2">
      <c r="J86" s="2579"/>
      <c r="K86" s="2482"/>
      <c r="L86" s="2482"/>
      <c r="M86" s="2482"/>
      <c r="N86" s="2482"/>
      <c r="O86" s="2482"/>
      <c r="P86" s="2482"/>
      <c r="Q86" s="2482"/>
      <c r="R86" s="2482"/>
      <c r="S86" s="2482"/>
      <c r="T86" s="2482"/>
      <c r="U86" s="2482"/>
      <c r="V86" s="2482"/>
      <c r="W86" s="2482"/>
    </row>
    <row r="87" spans="10:23" ht="16.7" customHeight="1" x14ac:dyDescent="0.2">
      <c r="J87" s="2579"/>
      <c r="K87" s="2482"/>
      <c r="L87" s="2482"/>
      <c r="M87" s="2482"/>
      <c r="N87" s="2482"/>
      <c r="O87" s="2482"/>
      <c r="P87" s="2482"/>
      <c r="Q87" s="2482"/>
      <c r="R87" s="2482"/>
      <c r="S87" s="2482"/>
      <c r="T87" s="2482"/>
      <c r="U87" s="2482"/>
      <c r="V87" s="2482"/>
      <c r="W87" s="2482"/>
    </row>
    <row r="88" spans="10:23" ht="16.7" customHeight="1" x14ac:dyDescent="0.2">
      <c r="J88" s="2579"/>
      <c r="K88" s="2482"/>
      <c r="L88" s="2482"/>
      <c r="M88" s="2482"/>
      <c r="N88" s="2482"/>
      <c r="O88" s="2482"/>
      <c r="P88" s="2482"/>
      <c r="Q88" s="2482"/>
      <c r="R88" s="2482"/>
      <c r="S88" s="2482"/>
      <c r="T88" s="2482"/>
      <c r="U88" s="2482"/>
      <c r="V88" s="2482"/>
      <c r="W88" s="2482"/>
    </row>
    <row r="89" spans="10:23" ht="16.7" customHeight="1" x14ac:dyDescent="0.2">
      <c r="J89" s="2579"/>
      <c r="K89" s="2482"/>
      <c r="L89" s="2482"/>
      <c r="M89" s="2482"/>
      <c r="N89" s="2482"/>
      <c r="O89" s="2482"/>
      <c r="P89" s="2482"/>
      <c r="Q89" s="2482"/>
      <c r="R89" s="2482"/>
      <c r="S89" s="2482"/>
      <c r="T89" s="2482"/>
      <c r="U89" s="2482"/>
      <c r="V89" s="2482"/>
      <c r="W89" s="2482"/>
    </row>
    <row r="90" spans="10:23" ht="16.7" customHeight="1" x14ac:dyDescent="0.2">
      <c r="J90" s="2579"/>
      <c r="K90" s="2482"/>
      <c r="L90" s="2482"/>
      <c r="M90" s="2482"/>
      <c r="N90" s="2482"/>
      <c r="O90" s="2482"/>
      <c r="P90" s="2482"/>
      <c r="Q90" s="2482"/>
      <c r="R90" s="2482"/>
      <c r="S90" s="2482"/>
      <c r="T90" s="2482"/>
      <c r="U90" s="2482"/>
      <c r="V90" s="2482"/>
      <c r="W90" s="2482"/>
    </row>
    <row r="91" spans="10:23" ht="16.7" customHeight="1" x14ac:dyDescent="0.2">
      <c r="J91" s="2579"/>
      <c r="K91" s="2482"/>
      <c r="L91" s="2482"/>
      <c r="M91" s="2482"/>
      <c r="N91" s="2482"/>
      <c r="O91" s="2482"/>
      <c r="P91" s="2482"/>
      <c r="Q91" s="2482"/>
      <c r="R91" s="2482"/>
      <c r="S91" s="2482"/>
      <c r="T91" s="2482"/>
      <c r="U91" s="2482"/>
      <c r="V91" s="2482"/>
      <c r="W91" s="2482"/>
    </row>
    <row r="92" spans="10:23" ht="16.7" customHeight="1" x14ac:dyDescent="0.2">
      <c r="J92" s="2579"/>
      <c r="K92" s="2482"/>
      <c r="L92" s="2482"/>
      <c r="M92" s="2482"/>
      <c r="N92" s="2482"/>
      <c r="O92" s="2482"/>
      <c r="P92" s="2482"/>
      <c r="Q92" s="2482"/>
      <c r="R92" s="2482"/>
      <c r="S92" s="2482"/>
      <c r="T92" s="2482"/>
      <c r="U92" s="2482"/>
      <c r="V92" s="2482"/>
      <c r="W92" s="2482"/>
    </row>
    <row r="93" spans="10:23" ht="16.7" customHeight="1" x14ac:dyDescent="0.2">
      <c r="J93" s="2579"/>
      <c r="K93" s="2482"/>
      <c r="L93" s="2482"/>
      <c r="M93" s="2482"/>
      <c r="N93" s="2482"/>
      <c r="O93" s="2482"/>
      <c r="P93" s="2482"/>
      <c r="Q93" s="2482"/>
      <c r="R93" s="2482"/>
      <c r="S93" s="2482"/>
      <c r="T93" s="2482"/>
      <c r="U93" s="2482"/>
      <c r="V93" s="2482"/>
      <c r="W93" s="2482"/>
    </row>
    <row r="94" spans="10:23" ht="16.7" customHeight="1" x14ac:dyDescent="0.2">
      <c r="J94" s="2579"/>
      <c r="K94" s="2482"/>
      <c r="L94" s="2482"/>
      <c r="M94" s="2482"/>
      <c r="N94" s="2482"/>
      <c r="O94" s="2482"/>
      <c r="P94" s="2482"/>
      <c r="Q94" s="2482"/>
      <c r="R94" s="2482"/>
      <c r="S94" s="2482"/>
      <c r="T94" s="2482"/>
      <c r="U94" s="2482"/>
      <c r="V94" s="2482"/>
      <c r="W94" s="2482"/>
    </row>
    <row r="95" spans="10:23" ht="16.7" customHeight="1" x14ac:dyDescent="0.2">
      <c r="J95" s="2579"/>
      <c r="K95" s="2482"/>
      <c r="L95" s="2482"/>
      <c r="M95" s="2482"/>
      <c r="N95" s="2482"/>
      <c r="O95" s="2482"/>
      <c r="P95" s="2482"/>
      <c r="Q95" s="2482"/>
      <c r="R95" s="2482"/>
      <c r="S95" s="2482"/>
      <c r="T95" s="2482"/>
      <c r="U95" s="2482"/>
      <c r="V95" s="2482"/>
      <c r="W95" s="2482"/>
    </row>
    <row r="96" spans="10:23" ht="16.7" customHeight="1" x14ac:dyDescent="0.2">
      <c r="J96" s="2579"/>
      <c r="K96" s="2482"/>
      <c r="L96" s="2482"/>
      <c r="M96" s="2482"/>
      <c r="N96" s="2482"/>
      <c r="O96" s="2482"/>
      <c r="P96" s="2482"/>
      <c r="Q96" s="2482"/>
      <c r="R96" s="2482"/>
      <c r="S96" s="2482"/>
      <c r="T96" s="2482"/>
      <c r="U96" s="2482"/>
      <c r="V96" s="2482"/>
      <c r="W96" s="2482"/>
    </row>
    <row r="97" spans="10:23" ht="16.7" customHeight="1" x14ac:dyDescent="0.2">
      <c r="J97" s="2579"/>
      <c r="K97" s="2482"/>
      <c r="L97" s="2482"/>
      <c r="M97" s="2482"/>
      <c r="N97" s="2482"/>
      <c r="O97" s="2482"/>
      <c r="P97" s="2482"/>
      <c r="Q97" s="2482"/>
      <c r="R97" s="2482"/>
      <c r="S97" s="2482"/>
      <c r="T97" s="2482"/>
      <c r="U97" s="2482"/>
      <c r="V97" s="2482"/>
      <c r="W97" s="2482"/>
    </row>
    <row r="98" spans="10:23" ht="16.7" customHeight="1" x14ac:dyDescent="0.2">
      <c r="J98" s="2579"/>
      <c r="K98" s="2482"/>
      <c r="L98" s="2482"/>
      <c r="M98" s="2482"/>
      <c r="N98" s="2482"/>
      <c r="O98" s="2482"/>
      <c r="P98" s="2482"/>
      <c r="Q98" s="2482"/>
      <c r="R98" s="2482"/>
      <c r="S98" s="2482"/>
      <c r="T98" s="2482"/>
      <c r="U98" s="2482"/>
      <c r="V98" s="2482"/>
      <c r="W98" s="2482"/>
    </row>
    <row r="99" spans="10:23" ht="16.7" customHeight="1" x14ac:dyDescent="0.2">
      <c r="J99" s="2579"/>
      <c r="K99" s="2482"/>
      <c r="L99" s="2482"/>
      <c r="M99" s="2482"/>
      <c r="N99" s="2482"/>
      <c r="O99" s="2482"/>
      <c r="P99" s="2482"/>
      <c r="Q99" s="2482"/>
      <c r="R99" s="2482"/>
      <c r="S99" s="2482"/>
      <c r="T99" s="2482"/>
      <c r="U99" s="2482"/>
      <c r="V99" s="2482"/>
      <c r="W99" s="2482"/>
    </row>
    <row r="100" spans="10:23" ht="16.7" customHeight="1" x14ac:dyDescent="0.2">
      <c r="J100" s="2579"/>
      <c r="K100" s="2482"/>
      <c r="L100" s="2482"/>
      <c r="M100" s="2482"/>
      <c r="N100" s="2482"/>
      <c r="O100" s="2482"/>
      <c r="P100" s="2482"/>
      <c r="Q100" s="2482"/>
      <c r="R100" s="2482"/>
      <c r="S100" s="2482"/>
      <c r="T100" s="2482"/>
      <c r="U100" s="2482"/>
      <c r="V100" s="2482"/>
      <c r="W100" s="2482"/>
    </row>
    <row r="101" spans="10:23" ht="16.7" customHeight="1" x14ac:dyDescent="0.2">
      <c r="J101" s="2579"/>
      <c r="K101" s="2482"/>
      <c r="L101" s="2482"/>
      <c r="M101" s="2482"/>
      <c r="N101" s="2482"/>
      <c r="O101" s="2482"/>
      <c r="P101" s="2482"/>
      <c r="Q101" s="2482"/>
      <c r="R101" s="2482"/>
      <c r="S101" s="2482"/>
      <c r="T101" s="2482"/>
      <c r="U101" s="2482"/>
      <c r="V101" s="2482"/>
      <c r="W101" s="2482"/>
    </row>
    <row r="102" spans="10:23" ht="16.7" customHeight="1" x14ac:dyDescent="0.2">
      <c r="J102" s="2579"/>
      <c r="K102" s="2482"/>
      <c r="L102" s="2482"/>
      <c r="M102" s="2482"/>
      <c r="N102" s="2482"/>
      <c r="O102" s="2482"/>
      <c r="P102" s="2482"/>
      <c r="Q102" s="2482"/>
      <c r="R102" s="2482"/>
      <c r="S102" s="2482"/>
      <c r="T102" s="2482"/>
      <c r="U102" s="2482"/>
      <c r="V102" s="2482"/>
      <c r="W102" s="2482"/>
    </row>
    <row r="103" spans="10:23" ht="16.7" customHeight="1" x14ac:dyDescent="0.2">
      <c r="J103" s="2579"/>
      <c r="K103" s="2482"/>
      <c r="L103" s="2482"/>
      <c r="M103" s="2482"/>
      <c r="N103" s="2482"/>
      <c r="O103" s="2482"/>
      <c r="P103" s="2482"/>
      <c r="Q103" s="2482"/>
      <c r="R103" s="2482"/>
      <c r="S103" s="2482"/>
      <c r="T103" s="2482"/>
      <c r="U103" s="2482"/>
      <c r="V103" s="2482"/>
      <c r="W103" s="2482"/>
    </row>
    <row r="104" spans="10:23" ht="16.7" customHeight="1" x14ac:dyDescent="0.2">
      <c r="J104" s="2579"/>
      <c r="K104" s="2482"/>
      <c r="L104" s="2482"/>
      <c r="M104" s="2482"/>
      <c r="N104" s="2482"/>
      <c r="O104" s="2482"/>
      <c r="P104" s="2482"/>
      <c r="Q104" s="2482"/>
      <c r="R104" s="2482"/>
      <c r="S104" s="2482"/>
      <c r="T104" s="2482"/>
      <c r="U104" s="2482"/>
      <c r="V104" s="2482"/>
      <c r="W104" s="2482"/>
    </row>
    <row r="105" spans="10:23" ht="16.7" customHeight="1" x14ac:dyDescent="0.2">
      <c r="J105" s="2579"/>
      <c r="K105" s="2482"/>
      <c r="L105" s="2482"/>
      <c r="M105" s="2482"/>
      <c r="N105" s="2482"/>
      <c r="O105" s="2482"/>
      <c r="P105" s="2482"/>
      <c r="Q105" s="2482"/>
      <c r="R105" s="2482"/>
      <c r="S105" s="2482"/>
      <c r="T105" s="2482"/>
      <c r="U105" s="2482"/>
      <c r="V105" s="2482"/>
      <c r="W105" s="2482"/>
    </row>
    <row r="106" spans="10:23" ht="16.7" customHeight="1" x14ac:dyDescent="0.2">
      <c r="J106" s="2579"/>
      <c r="K106" s="2482"/>
      <c r="L106" s="2482"/>
      <c r="M106" s="2482"/>
      <c r="N106" s="2482"/>
      <c r="O106" s="2482"/>
      <c r="P106" s="2482"/>
      <c r="Q106" s="2482"/>
      <c r="R106" s="2482"/>
      <c r="S106" s="2482"/>
      <c r="T106" s="2482"/>
      <c r="U106" s="2482"/>
      <c r="V106" s="2482"/>
      <c r="W106" s="2482"/>
    </row>
    <row r="107" spans="10:23" ht="16.7" customHeight="1" x14ac:dyDescent="0.2">
      <c r="J107" s="2579"/>
      <c r="K107" s="2482"/>
      <c r="L107" s="2482"/>
      <c r="M107" s="2482"/>
      <c r="N107" s="2482"/>
      <c r="O107" s="2482"/>
      <c r="P107" s="2482"/>
      <c r="Q107" s="2482"/>
      <c r="R107" s="2482"/>
      <c r="S107" s="2482"/>
      <c r="T107" s="2482"/>
      <c r="U107" s="2482"/>
      <c r="V107" s="2482"/>
      <c r="W107" s="2482"/>
    </row>
    <row r="108" spans="10:23" ht="16.7" customHeight="1" x14ac:dyDescent="0.2">
      <c r="J108" s="2579"/>
      <c r="K108" s="2482"/>
      <c r="L108" s="2482"/>
      <c r="M108" s="2482"/>
      <c r="N108" s="2482"/>
      <c r="O108" s="2482"/>
      <c r="P108" s="2482"/>
      <c r="Q108" s="2482"/>
      <c r="R108" s="2482"/>
      <c r="S108" s="2482"/>
      <c r="T108" s="2482"/>
      <c r="U108" s="2482"/>
      <c r="V108" s="2482"/>
      <c r="W108" s="2482"/>
    </row>
    <row r="109" spans="10:23" ht="16.7" customHeight="1" x14ac:dyDescent="0.2">
      <c r="J109" s="2579"/>
      <c r="K109" s="2482"/>
      <c r="L109" s="2482"/>
      <c r="M109" s="2482"/>
      <c r="N109" s="2482"/>
      <c r="O109" s="2482"/>
      <c r="P109" s="2482"/>
      <c r="Q109" s="2482"/>
      <c r="R109" s="2482"/>
      <c r="S109" s="2482"/>
      <c r="T109" s="2482"/>
      <c r="U109" s="2482"/>
      <c r="V109" s="2482"/>
      <c r="W109" s="2482"/>
    </row>
    <row r="110" spans="10:23" ht="16.7" customHeight="1" x14ac:dyDescent="0.2">
      <c r="J110" s="2579"/>
      <c r="K110" s="2482"/>
      <c r="L110" s="2482"/>
      <c r="M110" s="2482"/>
      <c r="N110" s="2482"/>
      <c r="O110" s="2482"/>
      <c r="P110" s="2482"/>
      <c r="Q110" s="2482"/>
      <c r="R110" s="2482"/>
      <c r="S110" s="2482"/>
      <c r="T110" s="2482"/>
      <c r="U110" s="2482"/>
      <c r="V110" s="2482"/>
      <c r="W110" s="2482"/>
    </row>
    <row r="111" spans="10:23" ht="16.7" customHeight="1" x14ac:dyDescent="0.2">
      <c r="J111" s="2579"/>
      <c r="K111" s="2482"/>
      <c r="L111" s="2482"/>
      <c r="M111" s="2482"/>
      <c r="N111" s="2482"/>
      <c r="O111" s="2482"/>
      <c r="P111" s="2482"/>
      <c r="Q111" s="2482"/>
      <c r="R111" s="2482"/>
      <c r="S111" s="2482"/>
      <c r="T111" s="2482"/>
      <c r="U111" s="2482"/>
      <c r="V111" s="2482"/>
      <c r="W111" s="2482"/>
    </row>
    <row r="112" spans="10:23" ht="16.7" customHeight="1" x14ac:dyDescent="0.2">
      <c r="J112" s="2579"/>
      <c r="K112" s="2482"/>
      <c r="L112" s="2482"/>
      <c r="M112" s="2482"/>
      <c r="N112" s="2482"/>
      <c r="O112" s="2482"/>
      <c r="P112" s="2482"/>
      <c r="Q112" s="2482"/>
      <c r="R112" s="2482"/>
      <c r="S112" s="2482"/>
      <c r="T112" s="2482"/>
      <c r="U112" s="2482"/>
      <c r="V112" s="2482"/>
      <c r="W112" s="2482"/>
    </row>
    <row r="113" spans="10:23" ht="16.7" customHeight="1" x14ac:dyDescent="0.2">
      <c r="J113" s="2579"/>
      <c r="K113" s="2482"/>
      <c r="L113" s="2482"/>
      <c r="M113" s="2482"/>
      <c r="N113" s="2482"/>
      <c r="O113" s="2482"/>
      <c r="P113" s="2482"/>
      <c r="Q113" s="2482"/>
      <c r="R113" s="2482"/>
      <c r="S113" s="2482"/>
      <c r="T113" s="2482"/>
      <c r="U113" s="2482"/>
      <c r="V113" s="2482"/>
      <c r="W113" s="2482"/>
    </row>
    <row r="114" spans="10:23" ht="16.7" customHeight="1" x14ac:dyDescent="0.2">
      <c r="J114" s="2579"/>
      <c r="K114" s="2482"/>
      <c r="L114" s="2482"/>
      <c r="M114" s="2482"/>
      <c r="N114" s="2482"/>
      <c r="O114" s="2482"/>
      <c r="P114" s="2482"/>
      <c r="Q114" s="2482"/>
      <c r="R114" s="2482"/>
      <c r="S114" s="2482"/>
      <c r="T114" s="2482"/>
      <c r="U114" s="2482"/>
      <c r="V114" s="2482"/>
      <c r="W114" s="2482"/>
    </row>
    <row r="115" spans="10:23" ht="16.7" customHeight="1" x14ac:dyDescent="0.2">
      <c r="J115" s="2579"/>
      <c r="K115" s="2482"/>
      <c r="L115" s="2482"/>
      <c r="M115" s="2482"/>
      <c r="N115" s="2482"/>
      <c r="O115" s="2482"/>
      <c r="P115" s="2482"/>
      <c r="Q115" s="2482"/>
      <c r="R115" s="2482"/>
      <c r="S115" s="2482"/>
      <c r="T115" s="2482"/>
      <c r="U115" s="2482"/>
      <c r="V115" s="2482"/>
      <c r="W115" s="2482"/>
    </row>
    <row r="116" spans="10:23" ht="16.7" customHeight="1" x14ac:dyDescent="0.2">
      <c r="J116" s="2579"/>
      <c r="K116" s="2482"/>
      <c r="L116" s="2482"/>
      <c r="M116" s="2482"/>
      <c r="N116" s="2482"/>
      <c r="O116" s="2482"/>
      <c r="P116" s="2482"/>
      <c r="Q116" s="2482"/>
      <c r="R116" s="2482"/>
      <c r="S116" s="2482"/>
      <c r="T116" s="2482"/>
      <c r="U116" s="2482"/>
      <c r="V116" s="2482"/>
      <c r="W116" s="2482"/>
    </row>
    <row r="117" spans="10:23" ht="15" customHeight="1" x14ac:dyDescent="0.2">
      <c r="J117" s="2579"/>
      <c r="K117" s="2482"/>
      <c r="L117" s="2482"/>
      <c r="M117" s="2482"/>
      <c r="N117" s="2482"/>
      <c r="O117" s="2482"/>
      <c r="P117" s="2482"/>
      <c r="Q117" s="2482"/>
      <c r="R117" s="2482"/>
      <c r="S117" s="2482"/>
      <c r="T117" s="2482"/>
      <c r="U117" s="2482"/>
      <c r="V117" s="2482"/>
      <c r="W117" s="2482"/>
    </row>
    <row r="118" spans="10:23" x14ac:dyDescent="0.2">
      <c r="J118" s="2608"/>
    </row>
  </sheetData>
  <mergeCells count="5">
    <mergeCell ref="A3:F3"/>
    <mergeCell ref="A4:F4"/>
    <mergeCell ref="A5:F5"/>
    <mergeCell ref="H23:S23"/>
    <mergeCell ref="A40:F40"/>
  </mergeCells>
  <pageMargins left="0.75" right="0.75" top="1" bottom="1" header="0.5" footer="0.5"/>
  <customProperties>
    <customPr name="_pios_id" r:id="rId1"/>
  </customProperties>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6815EE-3A72-47F2-9AAA-C8F0CD5EC199}">
  <sheetPr codeName="Sheet51"/>
  <dimension ref="A1:Y107"/>
  <sheetViews>
    <sheetView showRuler="0" workbookViewId="0"/>
  </sheetViews>
  <sheetFormatPr defaultColWidth="11.5" defaultRowHeight="12.75" x14ac:dyDescent="0.2"/>
  <cols>
    <col min="1" max="1" width="3.875" style="1953" customWidth="1"/>
    <col min="2" max="2" width="51.75" style="1953" customWidth="1"/>
    <col min="3" max="3" width="18.625" style="1953" customWidth="1"/>
    <col min="4" max="4" width="20.125" style="1953" customWidth="1"/>
    <col min="5" max="5" width="9.625" style="1953" customWidth="1"/>
    <col min="6" max="6" width="10.75" style="1953" customWidth="1"/>
    <col min="7" max="7" width="15.375" style="1953" customWidth="1"/>
    <col min="8" max="8" width="13.25" style="1953" customWidth="1"/>
    <col min="9" max="9" width="12.375" style="1953" customWidth="1"/>
    <col min="10" max="10" width="16.25" style="1953" customWidth="1"/>
    <col min="11" max="11" width="14.625" style="1953" customWidth="1"/>
    <col min="12" max="12" width="17.625" style="1953" customWidth="1"/>
    <col min="13" max="13" width="19.75" style="1953" customWidth="1"/>
    <col min="14" max="24" width="17.625" style="1953" customWidth="1"/>
    <col min="25" max="16384" width="11.5" style="1953"/>
  </cols>
  <sheetData>
    <row r="1" spans="1:25" ht="16.7" customHeight="1" x14ac:dyDescent="0.2">
      <c r="O1" s="2635"/>
      <c r="P1" s="2482"/>
      <c r="Q1" s="2482"/>
      <c r="R1" s="2482"/>
      <c r="S1" s="2482"/>
      <c r="T1" s="2482"/>
      <c r="U1" s="2482"/>
      <c r="V1" s="2482"/>
      <c r="W1" s="2482"/>
      <c r="X1" s="2482"/>
      <c r="Y1" s="2482"/>
    </row>
    <row r="2" spans="1:25" ht="16.7" customHeight="1" x14ac:dyDescent="0.2">
      <c r="B2" s="2698" t="s">
        <v>6969</v>
      </c>
      <c r="O2" s="2635"/>
      <c r="P2" s="2482"/>
      <c r="Q2" s="2482"/>
      <c r="R2" s="2482"/>
      <c r="S2" s="2482"/>
      <c r="T2" s="2482"/>
      <c r="U2" s="2482"/>
      <c r="V2" s="2482"/>
      <c r="W2" s="2482"/>
      <c r="X2" s="2482"/>
      <c r="Y2" s="2482"/>
    </row>
    <row r="3" spans="1:25" ht="16.7" customHeight="1" x14ac:dyDescent="0.2">
      <c r="A3" s="3875" t="s">
        <v>6970</v>
      </c>
      <c r="B3" s="3876"/>
      <c r="C3" s="3876"/>
      <c r="D3" s="3876"/>
      <c r="E3" s="3876"/>
      <c r="F3" s="3876"/>
      <c r="G3" s="3876"/>
      <c r="H3" s="3876"/>
      <c r="I3" s="3876"/>
      <c r="J3" s="3876"/>
      <c r="K3" s="3877"/>
      <c r="L3" s="2479"/>
      <c r="O3" s="2635"/>
      <c r="P3" s="2482"/>
      <c r="Q3" s="2482"/>
      <c r="R3" s="2482"/>
      <c r="S3" s="2482"/>
      <c r="T3" s="2482"/>
      <c r="U3" s="2482"/>
      <c r="V3" s="2482"/>
      <c r="W3" s="2482"/>
      <c r="X3" s="2482"/>
      <c r="Y3" s="2482"/>
    </row>
    <row r="4" spans="1:25" ht="16.7" customHeight="1" x14ac:dyDescent="0.2">
      <c r="A4" s="3875" t="s">
        <v>6971</v>
      </c>
      <c r="B4" s="3876"/>
      <c r="C4" s="3876"/>
      <c r="D4" s="3876"/>
      <c r="E4" s="3876"/>
      <c r="F4" s="3876"/>
      <c r="G4" s="3876"/>
      <c r="H4" s="3876"/>
      <c r="I4" s="3876"/>
      <c r="J4" s="3876"/>
      <c r="K4" s="3877"/>
      <c r="L4" s="2479"/>
      <c r="O4" s="2635"/>
      <c r="P4" s="2482"/>
      <c r="Q4" s="2482"/>
      <c r="R4" s="2482"/>
      <c r="S4" s="2482"/>
      <c r="T4" s="2482"/>
      <c r="U4" s="2482"/>
      <c r="V4" s="2482"/>
      <c r="W4" s="2482"/>
      <c r="X4" s="2482"/>
      <c r="Y4" s="2482"/>
    </row>
    <row r="5" spans="1:25" ht="127.5" customHeight="1" x14ac:dyDescent="0.2">
      <c r="A5" s="3878" t="s">
        <v>6972</v>
      </c>
      <c r="B5" s="3879"/>
      <c r="C5" s="3879"/>
      <c r="D5" s="3879"/>
      <c r="E5" s="3879"/>
      <c r="F5" s="3879"/>
      <c r="G5" s="3880"/>
      <c r="H5" s="3933" t="s">
        <v>6973</v>
      </c>
      <c r="I5" s="3934"/>
      <c r="J5" s="3934"/>
      <c r="K5" s="3935"/>
      <c r="L5" s="2479"/>
      <c r="O5" s="2699" t="s">
        <v>6320</v>
      </c>
      <c r="P5" s="2482" t="s">
        <v>6974</v>
      </c>
      <c r="Q5" s="2482"/>
      <c r="R5" s="2482"/>
      <c r="S5" s="2482"/>
      <c r="T5" s="2482"/>
      <c r="U5" s="2482"/>
      <c r="V5" s="2482"/>
      <c r="W5" s="2482"/>
      <c r="X5" s="2482"/>
      <c r="Y5" s="2482"/>
    </row>
    <row r="6" spans="1:25" ht="76.7" customHeight="1" x14ac:dyDescent="0.2">
      <c r="A6" s="2637" t="s">
        <v>6360</v>
      </c>
      <c r="B6" s="2700" t="s">
        <v>6975</v>
      </c>
      <c r="C6" s="2701" t="s">
        <v>6976</v>
      </c>
      <c r="D6" s="2702" t="s">
        <v>6977</v>
      </c>
      <c r="E6" s="2637" t="s">
        <v>6978</v>
      </c>
      <c r="F6" s="2637" t="s">
        <v>6979</v>
      </c>
      <c r="G6" s="2637" t="s">
        <v>6980</v>
      </c>
      <c r="H6" s="2703" t="s">
        <v>6981</v>
      </c>
      <c r="I6" s="2703" t="s">
        <v>6982</v>
      </c>
      <c r="J6" s="2703" t="s">
        <v>6983</v>
      </c>
      <c r="K6" s="2703" t="s">
        <v>6984</v>
      </c>
      <c r="L6" s="2479"/>
      <c r="O6" s="2704"/>
      <c r="P6" s="2482" t="s">
        <v>6985</v>
      </c>
      <c r="Q6" s="2482"/>
      <c r="R6" s="2482"/>
      <c r="S6" s="2482"/>
      <c r="T6" s="2482"/>
      <c r="U6" s="2482"/>
      <c r="V6" s="2482"/>
      <c r="W6" s="2482"/>
      <c r="X6" s="2482"/>
      <c r="Y6" s="2482"/>
    </row>
    <row r="7" spans="1:25" ht="15.75" customHeight="1" x14ac:dyDescent="0.2">
      <c r="A7" s="2705"/>
      <c r="B7" s="2706" t="s">
        <v>5949</v>
      </c>
      <c r="C7" s="2707" t="s">
        <v>6986</v>
      </c>
      <c r="D7" s="2708" t="s">
        <v>6987</v>
      </c>
      <c r="E7" s="2705" t="s">
        <v>5950</v>
      </c>
      <c r="F7" s="2705" t="s">
        <v>5951</v>
      </c>
      <c r="G7" s="2705" t="s">
        <v>5952</v>
      </c>
      <c r="H7" s="2709" t="s">
        <v>6227</v>
      </c>
      <c r="I7" s="2709" t="s">
        <v>5804</v>
      </c>
      <c r="J7" s="2709" t="s">
        <v>6228</v>
      </c>
      <c r="K7" s="2709" t="s">
        <v>6229</v>
      </c>
      <c r="L7" s="2479" t="s">
        <v>6988</v>
      </c>
      <c r="M7" s="2576" t="s">
        <v>6989</v>
      </c>
      <c r="O7" s="2635"/>
      <c r="P7" s="2482"/>
      <c r="Q7" s="2482"/>
      <c r="R7" s="2482"/>
      <c r="S7" s="2482"/>
      <c r="T7" s="2482"/>
      <c r="U7" s="2482"/>
      <c r="V7" s="2482"/>
      <c r="W7" s="2482"/>
      <c r="X7" s="2482"/>
      <c r="Y7" s="2482"/>
    </row>
    <row r="8" spans="1:25" ht="19.149999999999999" customHeight="1" x14ac:dyDescent="0.2">
      <c r="A8" s="2492"/>
      <c r="B8" s="2710"/>
      <c r="C8" s="2711"/>
      <c r="D8" s="2710"/>
      <c r="E8" s="2711"/>
      <c r="F8" s="2492"/>
      <c r="G8" s="2712">
        <v>44926</v>
      </c>
      <c r="H8" s="2713"/>
      <c r="I8" s="2713"/>
      <c r="J8" s="2714">
        <v>45291</v>
      </c>
      <c r="K8" s="2713"/>
      <c r="L8" s="2479"/>
      <c r="O8" s="2579"/>
      <c r="P8" s="2715" t="s">
        <v>6139</v>
      </c>
      <c r="Q8" s="2482"/>
      <c r="R8" s="2482"/>
      <c r="S8" s="2482"/>
      <c r="T8" s="2482"/>
      <c r="U8" s="2482"/>
      <c r="V8" s="2482"/>
      <c r="W8" s="2482"/>
      <c r="X8" s="2482"/>
      <c r="Y8" s="2482"/>
    </row>
    <row r="9" spans="1:25" ht="23.25" customHeight="1" x14ac:dyDescent="0.2">
      <c r="A9" s="2716">
        <v>1</v>
      </c>
      <c r="B9" s="2717" t="s">
        <v>6990</v>
      </c>
      <c r="C9" s="2488" t="s">
        <v>6991</v>
      </c>
      <c r="D9" s="2718" t="s">
        <v>6341</v>
      </c>
      <c r="E9" s="2661">
        <v>27008</v>
      </c>
      <c r="F9" s="2719"/>
      <c r="G9" s="2530">
        <v>1</v>
      </c>
      <c r="H9" s="2488"/>
      <c r="I9" s="2488"/>
      <c r="J9" s="2530">
        <v>1</v>
      </c>
      <c r="K9" s="2488"/>
      <c r="L9" s="2479" t="str">
        <f t="shared" ref="L9:L14" si="0">CONCATENATE(C9,", ",D9)</f>
        <v>Pacific Minerals, Inc., Common Stock</v>
      </c>
      <c r="O9" s="2579"/>
      <c r="P9" s="2715" t="s">
        <v>5959</v>
      </c>
      <c r="Q9" s="2482"/>
      <c r="R9" s="2482"/>
      <c r="S9" s="2482"/>
      <c r="T9" s="2482"/>
      <c r="U9" s="2482"/>
      <c r="V9" s="2482"/>
      <c r="W9" s="2482"/>
      <c r="X9" s="2482"/>
      <c r="Y9" s="2482"/>
    </row>
    <row r="10" spans="1:25" ht="23.25" customHeight="1" x14ac:dyDescent="0.2">
      <c r="A10" s="2716">
        <v>2</v>
      </c>
      <c r="B10" s="2718" t="s">
        <v>6992</v>
      </c>
      <c r="C10" s="2488" t="s">
        <v>6991</v>
      </c>
      <c r="D10" s="2718" t="s">
        <v>6993</v>
      </c>
      <c r="E10" s="2661">
        <v>27008</v>
      </c>
      <c r="F10" s="2719"/>
      <c r="G10" s="2530">
        <v>47960000</v>
      </c>
      <c r="H10" s="2488"/>
      <c r="I10" s="2488"/>
      <c r="J10" s="2530">
        <v>47960000</v>
      </c>
      <c r="K10" s="2488"/>
      <c r="L10" s="2479" t="str">
        <f t="shared" si="0"/>
        <v>Pacific Minerals, Inc., Paid-In-Capital</v>
      </c>
      <c r="O10" s="2579"/>
      <c r="P10" s="2715" t="s">
        <v>5961</v>
      </c>
      <c r="Q10" s="2482"/>
      <c r="R10" s="2482"/>
      <c r="S10" s="2482"/>
      <c r="T10" s="2482"/>
      <c r="U10" s="2482"/>
      <c r="V10" s="2482"/>
      <c r="W10" s="2482"/>
      <c r="X10" s="2482"/>
      <c r="Y10" s="2482"/>
    </row>
    <row r="11" spans="1:25" ht="50.1" customHeight="1" x14ac:dyDescent="0.2">
      <c r="A11" s="2716">
        <v>3</v>
      </c>
      <c r="B11" s="2718" t="s">
        <v>6994</v>
      </c>
      <c r="C11" s="2488" t="s">
        <v>6991</v>
      </c>
      <c r="D11" s="2718" t="s">
        <v>6995</v>
      </c>
      <c r="E11" s="2661">
        <v>27008</v>
      </c>
      <c r="F11" s="2719"/>
      <c r="G11" s="2530">
        <v>71583348</v>
      </c>
      <c r="H11" s="2530">
        <v>18612390</v>
      </c>
      <c r="I11" s="2488"/>
      <c r="J11" s="2530">
        <v>90195738</v>
      </c>
      <c r="K11" s="2488"/>
      <c r="L11" s="2479" t="str">
        <f t="shared" si="0"/>
        <v>Pacific Minerals, Inc., Unappropriated Undistributed Subsidiary Earnings</v>
      </c>
      <c r="O11" s="2579"/>
      <c r="P11" s="2715" t="s">
        <v>5963</v>
      </c>
      <c r="Q11" s="2482"/>
      <c r="R11" s="2482"/>
      <c r="S11" s="2482"/>
      <c r="T11" s="2482"/>
      <c r="U11" s="2482"/>
      <c r="V11" s="2482"/>
      <c r="W11" s="2482"/>
      <c r="X11" s="2482"/>
      <c r="Y11" s="2482"/>
    </row>
    <row r="12" spans="1:25" ht="26.65" customHeight="1" x14ac:dyDescent="0.2">
      <c r="A12" s="2716">
        <v>4</v>
      </c>
      <c r="B12" s="2718" t="s">
        <v>6996</v>
      </c>
      <c r="C12" s="2488" t="s">
        <v>6997</v>
      </c>
      <c r="D12" s="2488" t="s">
        <v>6341</v>
      </c>
      <c r="E12" s="2661">
        <v>33073</v>
      </c>
      <c r="F12" s="2719"/>
      <c r="G12" s="2530">
        <v>1000</v>
      </c>
      <c r="H12" s="2488"/>
      <c r="I12" s="2488"/>
      <c r="J12" s="2530">
        <v>1000</v>
      </c>
      <c r="K12" s="2488"/>
      <c r="L12" s="2479" t="str">
        <f t="shared" si="0"/>
        <v>Energy West Mining Company, Common Stock</v>
      </c>
      <c r="O12" s="2579"/>
      <c r="P12" s="2715" t="s">
        <v>5968</v>
      </c>
      <c r="Q12" s="2482"/>
      <c r="R12" s="2482"/>
      <c r="S12" s="2482"/>
      <c r="T12" s="2482"/>
      <c r="U12" s="2482"/>
      <c r="V12" s="2482"/>
      <c r="W12" s="2482"/>
      <c r="X12" s="2482"/>
      <c r="Y12" s="2482"/>
    </row>
    <row r="13" spans="1:25" ht="22.5" customHeight="1" x14ac:dyDescent="0.2">
      <c r="A13" s="2716">
        <v>5</v>
      </c>
      <c r="B13" s="2718" t="s">
        <v>6998</v>
      </c>
      <c r="C13" s="2488" t="s">
        <v>6999</v>
      </c>
      <c r="D13" s="2488" t="s">
        <v>7000</v>
      </c>
      <c r="E13" s="2661">
        <v>35793</v>
      </c>
      <c r="F13" s="2719"/>
      <c r="G13" s="2530">
        <v>6038000</v>
      </c>
      <c r="H13" s="2488"/>
      <c r="I13" s="2488"/>
      <c r="J13" s="2530">
        <v>6038000</v>
      </c>
      <c r="K13" s="2488"/>
      <c r="L13" s="2479" t="str">
        <f t="shared" si="0"/>
        <v>Trapper Mining Inc., Equity Contribution</v>
      </c>
      <c r="O13" s="2579"/>
      <c r="P13" s="2715" t="s">
        <v>5970</v>
      </c>
      <c r="Q13" s="2482"/>
      <c r="R13" s="2482"/>
      <c r="S13" s="2482"/>
      <c r="T13" s="2482"/>
      <c r="U13" s="2482"/>
      <c r="V13" s="2482"/>
      <c r="W13" s="2482"/>
      <c r="X13" s="2482"/>
      <c r="Y13" s="2482"/>
    </row>
    <row r="14" spans="1:25" ht="32.450000000000003" customHeight="1" x14ac:dyDescent="0.2">
      <c r="A14" s="2716">
        <v>6</v>
      </c>
      <c r="B14" s="2718" t="s">
        <v>7001</v>
      </c>
      <c r="C14" s="2488" t="s">
        <v>6999</v>
      </c>
      <c r="D14" s="2718" t="s">
        <v>6995</v>
      </c>
      <c r="E14" s="2661">
        <v>35793</v>
      </c>
      <c r="F14" s="2719"/>
      <c r="G14" s="2530">
        <v>10893719</v>
      </c>
      <c r="H14" s="2530">
        <v>1496705</v>
      </c>
      <c r="I14" s="2488"/>
      <c r="J14" s="2530">
        <v>12390424</v>
      </c>
      <c r="K14" s="2488"/>
      <c r="L14" s="2479" t="str">
        <f t="shared" si="0"/>
        <v>Trapper Mining Inc., Unappropriated Undistributed Subsidiary Earnings</v>
      </c>
      <c r="O14" s="2579"/>
      <c r="P14" s="2715" t="s">
        <v>5972</v>
      </c>
      <c r="Q14" s="2482"/>
      <c r="R14" s="2482"/>
      <c r="S14" s="2482"/>
      <c r="T14" s="2482"/>
      <c r="U14" s="2482"/>
      <c r="V14" s="2482"/>
      <c r="W14" s="2482"/>
      <c r="X14" s="2482"/>
      <c r="Y14" s="2482"/>
    </row>
    <row r="15" spans="1:25" ht="7.5" customHeight="1" x14ac:dyDescent="0.2">
      <c r="A15" s="2716">
        <v>7</v>
      </c>
      <c r="B15" s="2718" t="str">
        <f>IF(C15="","",IF(D15="",C15,CONCATENATE(C15," - ",D15)))</f>
        <v/>
      </c>
      <c r="C15" s="2488"/>
      <c r="D15" s="2488"/>
      <c r="E15" s="2488"/>
      <c r="F15" s="2719"/>
      <c r="G15" s="2488"/>
      <c r="H15" s="2488"/>
      <c r="I15" s="2488"/>
      <c r="J15" s="2488"/>
      <c r="K15" s="2488"/>
      <c r="L15" s="2595">
        <f>F17</f>
        <v>0</v>
      </c>
      <c r="M15" s="2576" t="str">
        <f>IF(G17="Subsidiary Company Subheading","SubsidiaryCompanySubheadingMember",IF(G17="Capital Contribution","CapitalContributionMember",IF(G17="Paid-In-Capital","PaidInCapitalMember",IF(G17="Purchase Accounting Adjustments","PurchaseAccountingAdjustmentsMember",IF(G17="Purchase Accounting Goodwill Allocation","PurchaseAccountingGoodwillAllocationMember",IF(G17="Unappropriated Undistributed Subsidiary Earnings","UnappriatedUndistributedSubsidiaryEarningsMember",IF(G17="Advances, Open Account","AdvancesOpenAccountMember",IF(G17="Advances, Note","AdvancesNoteMember",IF(G17="Captial Stock","CaptialStockMember",IF(G17="Equity Contribution","EquityContributionMember",IF(G17="Retained Earnings","RetainedEarningsMember",IF(G17="Other Investments in Subsidiaries","OtherInvestmentsInSubsidiaryCompaniesMember",IF(G17="Unspecified Investments in Subsidiary Companies (1)","UnspecifiedInvestmentsInSubsidiaryCompaniesOneMember",IF(G17="Unspecified Investments in Subsidiary Companies (2)","UnspecifiedInvestmentsInSubsidiaryCompaniesTwoMember",IF(G17="Unspecified Investments in Subsidiary Companies (3)","UnspecifiedInvestmentsInSubsidiaryCompaniesThreeMember",IF(G17="Unspecified Investments in Subsidiary Companies (4)","UnspecifiedInvestmentsInSubsidiaryCompaniesFourMember",IF(G17="Unspecified Investments in Subsidiary Companies (5)","UnspecifiedInvestmentsInSubsidiaryCompaniesFiveMember",IF(G17="Unspecified Investments in Subsidiary Companies (6)","UnspecifiedInvestmentsInSubsidiaryCompaniesSixMember",IF(G17="Unspecified Investments in Subsidiary Companies (7)","UnspecifiedInvestmentsInSubsidiaryCompaniesSevenMember",IF(G17="Unspecified Investments in Subsidiary Companies (8)","UnspecifiedInvestmentsInSubsidiaryCompaniesEightMember",IF(G17="Unspecified Investments in Subsidiary Companies (9)","UnspecifiedInvestmentsInSubsidiaryCompaniesNineMember",IF(G17="Unspecified Investments in Subsidiary Companies (10)","UnspecifiedInvestmentsInSubsidiaryCompaniesTenMember",IF(G17="Unspecified Investments in Subsidiary Companies (11)","UnspecifiedInvestmentsInSubsidiaryCompaniesElevenMember",IF(G17="Unspecified Investments in Subsidiary Companies (12)","UnspecifiedInvestmentsInSubsidiaryCompaniesTwelveMember",""))))))))))))))))))))))))</f>
        <v/>
      </c>
      <c r="O15" s="2579"/>
      <c r="P15" s="2715" t="s">
        <v>5976</v>
      </c>
      <c r="Q15" s="2482"/>
      <c r="R15" s="2482"/>
      <c r="S15" s="2482"/>
      <c r="T15" s="2482"/>
      <c r="U15" s="2482"/>
      <c r="V15" s="2482"/>
      <c r="W15" s="2482"/>
      <c r="X15" s="2482"/>
      <c r="Y15" s="2482"/>
    </row>
    <row r="16" spans="1:25" ht="7.5" customHeight="1" x14ac:dyDescent="0.2">
      <c r="A16" s="2716">
        <v>8</v>
      </c>
      <c r="B16" s="2718" t="str">
        <f>IF(C16="","",IF(D16="",C16,CONCATENATE(C16," - ",D16)))</f>
        <v/>
      </c>
      <c r="C16" s="2488"/>
      <c r="D16" s="2488"/>
      <c r="E16" s="2488"/>
      <c r="F16" s="2719"/>
      <c r="G16" s="2488"/>
      <c r="H16" s="2488"/>
      <c r="I16" s="2488"/>
      <c r="J16" s="2488"/>
      <c r="K16" s="2488"/>
      <c r="L16" s="2595">
        <f>F18</f>
        <v>0</v>
      </c>
      <c r="M16" s="2576" t="str">
        <f>IF(G18="Subsidiary Company Subheading","SubsidiaryCompanySubheadingMember",IF(G18="Capital Contribution","CapitalContributionMember",IF(G18="Paid-In-Capital","PaidInCapitalMember",IF(G18="Purchase Accounting Adjustments","PurchaseAccountingAdjustmentsMember",IF(G18="Purchase Accounting Goodwill Allocation","PurchaseAccountingGoodwillAllocationMember",IF(G18="Unappropriated Undistributed Subsidiary Earnings","UnappriatedUndistributedSubsidiaryEarningsMember",IF(G18="Advances, Open Account","AdvancesOpenAccountMember",IF(G18="Advances, Note","AdvancesNoteMember",IF(G18="Captial Stock","CaptialStockMember",IF(G18="Equity Contribution","EquityContributionMember",IF(G18="Retained Earnings","RetainedEarningsMember",IF(G18="Other Investments in Subsidiaries","OtherInvestmentsInSubsidiaryCompaniesMember",IF(G18="Unspecified Investments in Subsidiary Companies (1)","UnspecifiedInvestmentsInSubsidiaryCompaniesOneMember",IF(G18="Unspecified Investments in Subsidiary Companies (2)","UnspecifiedInvestmentsInSubsidiaryCompaniesTwoMember",IF(G18="Unspecified Investments in Subsidiary Companies (3)","UnspecifiedInvestmentsInSubsidiaryCompaniesThreeMember",IF(G18="Unspecified Investments in Subsidiary Companies (4)","UnspecifiedInvestmentsInSubsidiaryCompaniesFourMember",IF(G18="Unspecified Investments in Subsidiary Companies (5)","UnspecifiedInvestmentsInSubsidiaryCompaniesFiveMember",IF(G18="Unspecified Investments in Subsidiary Companies (6)","UnspecifiedInvestmentsInSubsidiaryCompaniesSixMember",IF(G18="Unspecified Investments in Subsidiary Companies (7)","UnspecifiedInvestmentsInSubsidiaryCompaniesSevenMember",IF(G18="Unspecified Investments in Subsidiary Companies (8)","UnspecifiedInvestmentsInSubsidiaryCompaniesEightMember",IF(G18="Unspecified Investments in Subsidiary Companies (9)","UnspecifiedInvestmentsInSubsidiaryCompaniesNineMember",IF(G18="Unspecified Investments in Subsidiary Companies (10)","UnspecifiedInvestmentsInSubsidiaryCompaniesTenMember",IF(G18="Unspecified Investments in Subsidiary Companies (11)","UnspecifiedInvestmentsInSubsidiaryCompaniesElevenMember",IF(G18="Unspecified Investments in Subsidiary Companies (12)","UnspecifiedInvestmentsInSubsidiaryCompaniesTwelveMember",""))))))))))))))))))))))))</f>
        <v/>
      </c>
      <c r="O16" s="2579"/>
      <c r="P16" s="2715" t="s">
        <v>5978</v>
      </c>
      <c r="Q16" s="2482"/>
      <c r="R16" s="2482"/>
      <c r="S16" s="2482"/>
      <c r="T16" s="2482"/>
      <c r="U16" s="2482"/>
      <c r="V16" s="2482"/>
      <c r="W16" s="2482"/>
      <c r="X16" s="2482"/>
      <c r="Y16" s="2482"/>
    </row>
    <row r="17" spans="1:25" ht="7.5" customHeight="1" x14ac:dyDescent="0.2">
      <c r="A17" s="2716">
        <v>9</v>
      </c>
      <c r="B17" s="2718" t="str">
        <f>IF(C17="","",IF(D17="",C17,CONCATENATE(C17," - ",D17)))</f>
        <v/>
      </c>
      <c r="C17" s="2488"/>
      <c r="D17" s="2718"/>
      <c r="E17" s="2488"/>
      <c r="F17" s="2719"/>
      <c r="G17" s="2488"/>
      <c r="H17" s="2488"/>
      <c r="I17" s="2488"/>
      <c r="J17" s="2488"/>
      <c r="K17" s="2488"/>
      <c r="L17" s="2595">
        <f>F19</f>
        <v>0</v>
      </c>
      <c r="M17" s="2576" t="str">
        <f>IF(G19="Subsidiary Company Subheading","SubsidiaryCompanySubheadingMember",IF(G19="Capital Contribution","CapitalContributionMember",IF(G19="Paid-In-Capital","PaidInCapitalMember",IF(G19="Purchase Accounting Adjustments","PurchaseAccountingAdjustmentsMember",IF(G19="Purchase Accounting Goodwill Allocation","PurchaseAccountingGoodwillAllocationMember",IF(G19="Unappropriated Undistributed Subsidiary Earnings","UnappriatedUndistributedSubsidiaryEarningsMember",IF(G19="Advances, Open Account","AdvancesOpenAccountMember",IF(G19="Advances, Note","AdvancesNoteMember",IF(G19="Captial Stock","CaptialStockMember",IF(G19="Equity Contribution","EquityContributionMember",IF(G19="Retained Earnings","RetainedEarningsMember",IF(G19="Other Investments in Subsidiaries","OtherInvestmentsInSubsidiaryCompaniesMember",IF(G19="Unspecified Investments in Subsidiary Companies (1)","UnspecifiedInvestmentsInSubsidiaryCompaniesOneMember",IF(G19="Unspecified Investments in Subsidiary Companies (2)","UnspecifiedInvestmentsInSubsidiaryCompaniesTwoMember",IF(G19="Unspecified Investments in Subsidiary Companies (3)","UnspecifiedInvestmentsInSubsidiaryCompaniesThreeMember",IF(G19="Unspecified Investments in Subsidiary Companies (4)","UnspecifiedInvestmentsInSubsidiaryCompaniesFourMember",IF(G19="Unspecified Investments in Subsidiary Companies (5)","UnspecifiedInvestmentsInSubsidiaryCompaniesFiveMember",IF(G19="Unspecified Investments in Subsidiary Companies (6)","UnspecifiedInvestmentsInSubsidiaryCompaniesSixMember",IF(G19="Unspecified Investments in Subsidiary Companies (7)","UnspecifiedInvestmentsInSubsidiaryCompaniesSevenMember",IF(G19="Unspecified Investments in Subsidiary Companies (8)","UnspecifiedInvestmentsInSubsidiaryCompaniesEightMember",IF(G19="Unspecified Investments in Subsidiary Companies (9)","UnspecifiedInvestmentsInSubsidiaryCompaniesNineMember",IF(G19="Unspecified Investments in Subsidiary Companies (10)","UnspecifiedInvestmentsInSubsidiaryCompaniesTenMember",IF(G19="Unspecified Investments in Subsidiary Companies (11)","UnspecifiedInvestmentsInSubsidiaryCompaniesElevenMember",IF(G19="Unspecified Investments in Subsidiary Companies (12)","UnspecifiedInvestmentsInSubsidiaryCompaniesTwelveMember",""))))))))))))))))))))))))</f>
        <v/>
      </c>
      <c r="O17" s="2579"/>
      <c r="P17" s="2715" t="s">
        <v>5980</v>
      </c>
      <c r="Q17" s="2482"/>
      <c r="R17" s="2482"/>
      <c r="S17" s="2482"/>
      <c r="T17" s="2482"/>
      <c r="U17" s="2482"/>
      <c r="V17" s="2482"/>
      <c r="W17" s="2482"/>
      <c r="X17" s="2482"/>
      <c r="Y17" s="2482"/>
    </row>
    <row r="18" spans="1:25" ht="7.5" customHeight="1" x14ac:dyDescent="0.2">
      <c r="A18" s="2716">
        <v>10</v>
      </c>
      <c r="B18" s="2718" t="str">
        <f>IF(C18="","",IF(D18="",C18,CONCATENATE(C18," - ",D18)))</f>
        <v/>
      </c>
      <c r="C18" s="2488"/>
      <c r="D18" s="2718"/>
      <c r="E18" s="2488"/>
      <c r="F18" s="2719"/>
      <c r="G18" s="2488"/>
      <c r="H18" s="2488"/>
      <c r="I18" s="2488"/>
      <c r="J18" s="2488"/>
      <c r="K18" s="2488"/>
      <c r="L18" s="2595">
        <f>F20</f>
        <v>0</v>
      </c>
      <c r="M18" s="2576" t="str">
        <f>IF(G20="Subsidiary Company Subheading","SubsidiaryCompanySubheadingMember",IF(G20="Capital Contribution","CapitalContributionMember",IF(G20="Paid-In-Capital","PaidInCapitalMember",IF(G20="Purchase Accounting Adjustments","PurchaseAccountingAdjustmentsMember",IF(G20="Purchase Accounting Goodwill Allocation","PurchaseAccountingGoodwillAllocationMember",IF(G20="Unappropriated Undistributed Subsidiary Earnings","UnappriatedUndistributedSubsidiaryEarningsMember",IF(G20="Advances, Open Account","AdvancesOpenAccountMember",IF(G20="Advances, Note","AdvancesNoteMember",IF(G20="Captial Stock","CaptialStockMember",IF(G20="Equity Contribution","EquityContributionMember",IF(G20="Retained Earnings","RetainedEarningsMember",IF(G20="Other Investments in Subsidiaries","OtherInvestmentsInSubsidiaryCompaniesMember",IF(G20="Unspecified Investments in Subsidiary Companies (1)","UnspecifiedInvestmentsInSubsidiaryCompaniesOneMember",IF(G20="Unspecified Investments in Subsidiary Companies (2)","UnspecifiedInvestmentsInSubsidiaryCompaniesTwoMember",IF(G20="Unspecified Investments in Subsidiary Companies (3)","UnspecifiedInvestmentsInSubsidiaryCompaniesThreeMember",IF(G20="Unspecified Investments in Subsidiary Companies (4)","UnspecifiedInvestmentsInSubsidiaryCompaniesFourMember",IF(G20="Unspecified Investments in Subsidiary Companies (5)","UnspecifiedInvestmentsInSubsidiaryCompaniesFiveMember",IF(G20="Unspecified Investments in Subsidiary Companies (6)","UnspecifiedInvestmentsInSubsidiaryCompaniesSixMember",IF(G20="Unspecified Investments in Subsidiary Companies (7)","UnspecifiedInvestmentsInSubsidiaryCompaniesSevenMember",IF(G20="Unspecified Investments in Subsidiary Companies (8)","UnspecifiedInvestmentsInSubsidiaryCompaniesEightMember",IF(G20="Unspecified Investments in Subsidiary Companies (9)","UnspecifiedInvestmentsInSubsidiaryCompaniesNineMember",IF(G20="Unspecified Investments in Subsidiary Companies (10)","UnspecifiedInvestmentsInSubsidiaryCompaniesTenMember",IF(G20="Unspecified Investments in Subsidiary Companies (11)","UnspecifiedInvestmentsInSubsidiaryCompaniesElevenMember",IF(G20="Unspecified Investments in Subsidiary Companies (12)","UnspecifiedInvestmentsInSubsidiaryCompaniesTwelveMember",""))))))))))))))))))))))))</f>
        <v/>
      </c>
      <c r="O18" s="2579"/>
      <c r="P18" s="2715" t="s">
        <v>5982</v>
      </c>
      <c r="Q18" s="2482"/>
      <c r="R18" s="2482"/>
      <c r="S18" s="2482"/>
      <c r="T18" s="2482"/>
      <c r="U18" s="2482"/>
      <c r="V18" s="2482"/>
      <c r="W18" s="2482"/>
      <c r="X18" s="2482"/>
      <c r="Y18" s="2482"/>
    </row>
    <row r="19" spans="1:25" ht="7.5" customHeight="1" x14ac:dyDescent="0.2">
      <c r="A19" s="2716">
        <v>11</v>
      </c>
      <c r="B19" s="2720"/>
      <c r="C19" s="2720"/>
      <c r="D19" s="2488"/>
      <c r="E19" s="2488"/>
      <c r="F19" s="2719"/>
      <c r="G19" s="2488"/>
      <c r="H19" s="2488"/>
      <c r="I19" s="2488"/>
      <c r="J19" s="2488"/>
      <c r="K19" s="2488"/>
      <c r="L19" s="2595">
        <f t="shared" ref="L19:L42" si="1">F22</f>
        <v>0</v>
      </c>
      <c r="M19" s="2576" t="str">
        <f t="shared" ref="M19:M42" si="2">IF(G22="Subsidiary Company Subheading","SubsidiaryCompanySubheadingMember",IF(G22="Capital Contribution","CapitalContributionMember",IF(G22="Paid-In-Capital","PaidInCapitalMember",IF(G22="Purchase Accounting Adjustments","PurchaseAccountingAdjustmentsMember",IF(G22="Purchase Accounting Goodwill Allocation","PurchaseAccountingGoodwillAllocationMember",IF(G22="Unappropriated Undistributed Subsidiary Earnings","UnappriatedUndistributedSubsidiaryEarningsMember",IF(G22="Advances, Open Account","AdvancesOpenAccountMember",IF(G22="Advances, Note","AdvancesNoteMember",IF(G22="Captial Stock","CaptialStockMember",IF(G22="Equity Contribution","EquityContributionMember",IF(G22="Retained Earnings","RetainedEarningsMember",IF(G22="Other Investments in Subsidiaries","OtherInvestmentsInSubsidiaryCompaniesMember",IF(G22="Unspecified Investments in Subsidiary Companies (1)","UnspecifiedInvestmentsInSubsidiaryCompaniesOneMember",IF(G22="Unspecified Investments in Subsidiary Companies (2)","UnspecifiedInvestmentsInSubsidiaryCompaniesTwoMember",IF(G22="Unspecified Investments in Subsidiary Companies (3)","UnspecifiedInvestmentsInSubsidiaryCompaniesThreeMember",IF(G22="Unspecified Investments in Subsidiary Companies (4)","UnspecifiedInvestmentsInSubsidiaryCompaniesFourMember",IF(G22="Unspecified Investments in Subsidiary Companies (5)","UnspecifiedInvestmentsInSubsidiaryCompaniesFiveMember",IF(G22="Unspecified Investments in Subsidiary Companies (6)","UnspecifiedInvestmentsInSubsidiaryCompaniesSixMember",IF(G22="Unspecified Investments in Subsidiary Companies (7)","UnspecifiedInvestmentsInSubsidiaryCompaniesSevenMember",IF(G22="Unspecified Investments in Subsidiary Companies (8)","UnspecifiedInvestmentsInSubsidiaryCompaniesEightMember",IF(G22="Unspecified Investments in Subsidiary Companies (9)","UnspecifiedInvestmentsInSubsidiaryCompaniesNineMember",IF(G22="Unspecified Investments in Subsidiary Companies (10)","UnspecifiedInvestmentsInSubsidiaryCompaniesTenMember",IF(G22="Unspecified Investments in Subsidiary Companies (11)","UnspecifiedInvestmentsInSubsidiaryCompaniesElevenMember",IF(G22="Unspecified Investments in Subsidiary Companies (12)","UnspecifiedInvestmentsInSubsidiaryCompaniesTwelveMember",""))))))))))))))))))))))))</f>
        <v/>
      </c>
      <c r="O19" s="2579"/>
      <c r="P19" s="2715" t="s">
        <v>5986</v>
      </c>
      <c r="Q19" s="2482"/>
      <c r="R19" s="2482"/>
      <c r="S19" s="2482"/>
      <c r="T19" s="2482"/>
      <c r="U19" s="2482"/>
      <c r="V19" s="2482"/>
      <c r="W19" s="2482"/>
      <c r="X19" s="2482"/>
      <c r="Y19" s="2482"/>
    </row>
    <row r="20" spans="1:25" ht="7.5" customHeight="1" x14ac:dyDescent="0.2">
      <c r="A20" s="2716">
        <v>12</v>
      </c>
      <c r="B20" s="2720"/>
      <c r="C20" s="2720"/>
      <c r="D20" s="2488"/>
      <c r="E20" s="2488"/>
      <c r="F20" s="2719"/>
      <c r="G20" s="2488"/>
      <c r="H20" s="2488"/>
      <c r="I20" s="2488"/>
      <c r="J20" s="2488"/>
      <c r="K20" s="2488"/>
      <c r="L20" s="2595">
        <f t="shared" si="1"/>
        <v>0</v>
      </c>
      <c r="M20" s="2576" t="str">
        <f t="shared" si="2"/>
        <v/>
      </c>
      <c r="O20" s="2579"/>
      <c r="P20" s="2715" t="s">
        <v>5988</v>
      </c>
      <c r="Q20" s="2482"/>
      <c r="R20" s="2482"/>
      <c r="S20" s="2482"/>
      <c r="T20" s="2482"/>
      <c r="U20" s="2482"/>
      <c r="V20" s="2482"/>
      <c r="W20" s="2482"/>
      <c r="X20" s="2482"/>
      <c r="Y20" s="2482"/>
    </row>
    <row r="21" spans="1:25" ht="7.5" customHeight="1" x14ac:dyDescent="0.2">
      <c r="A21" s="2716">
        <v>13</v>
      </c>
      <c r="B21" s="2720"/>
      <c r="C21" s="2720"/>
      <c r="D21" s="2488"/>
      <c r="E21" s="2488"/>
      <c r="F21" s="2719"/>
      <c r="G21" s="2488"/>
      <c r="H21" s="2488"/>
      <c r="I21" s="2488"/>
      <c r="J21" s="2488"/>
      <c r="K21" s="2488"/>
      <c r="L21" s="2595">
        <f t="shared" si="1"/>
        <v>0</v>
      </c>
      <c r="M21" s="2576" t="str">
        <f t="shared" si="2"/>
        <v/>
      </c>
      <c r="O21" s="2579"/>
      <c r="P21" s="2715" t="s">
        <v>5990</v>
      </c>
      <c r="Q21" s="2482"/>
      <c r="R21" s="2482"/>
      <c r="S21" s="2482"/>
      <c r="T21" s="2482"/>
      <c r="U21" s="2482"/>
      <c r="V21" s="2482"/>
      <c r="W21" s="2482"/>
      <c r="X21" s="2482"/>
      <c r="Y21" s="2482"/>
    </row>
    <row r="22" spans="1:25" ht="7.5" customHeight="1" x14ac:dyDescent="0.2">
      <c r="A22" s="2716">
        <v>14</v>
      </c>
      <c r="B22" s="2720"/>
      <c r="C22" s="2720"/>
      <c r="D22" s="2488"/>
      <c r="E22" s="2488"/>
      <c r="F22" s="2719"/>
      <c r="G22" s="2488"/>
      <c r="H22" s="2488"/>
      <c r="I22" s="2488"/>
      <c r="J22" s="2488"/>
      <c r="K22" s="2488"/>
      <c r="L22" s="2595">
        <f t="shared" si="1"/>
        <v>0</v>
      </c>
      <c r="M22" s="2576" t="str">
        <f t="shared" si="2"/>
        <v/>
      </c>
      <c r="O22" s="2579"/>
      <c r="P22" s="2715" t="s">
        <v>5992</v>
      </c>
      <c r="Q22" s="2482"/>
      <c r="R22" s="2482"/>
      <c r="S22" s="2482"/>
      <c r="T22" s="2482"/>
      <c r="U22" s="2482"/>
      <c r="V22" s="2482"/>
      <c r="W22" s="2482"/>
      <c r="X22" s="2482"/>
      <c r="Y22" s="2482"/>
    </row>
    <row r="23" spans="1:25" ht="7.5" customHeight="1" x14ac:dyDescent="0.2">
      <c r="A23" s="2716">
        <v>15</v>
      </c>
      <c r="B23" s="2720"/>
      <c r="C23" s="2720"/>
      <c r="D23" s="2488"/>
      <c r="E23" s="2488"/>
      <c r="F23" s="2719"/>
      <c r="G23" s="2488"/>
      <c r="H23" s="2488"/>
      <c r="I23" s="2488"/>
      <c r="J23" s="2488"/>
      <c r="K23" s="2488"/>
      <c r="L23" s="2595">
        <f t="shared" si="1"/>
        <v>0</v>
      </c>
      <c r="M23" s="2576" t="str">
        <f t="shared" si="2"/>
        <v/>
      </c>
      <c r="O23" s="2579"/>
      <c r="P23" s="2715" t="s">
        <v>5994</v>
      </c>
      <c r="Q23" s="2482"/>
      <c r="R23" s="2482"/>
      <c r="S23" s="2482"/>
      <c r="T23" s="2482"/>
      <c r="U23" s="2482"/>
      <c r="V23" s="2482"/>
      <c r="W23" s="2482"/>
      <c r="X23" s="2482"/>
      <c r="Y23" s="2482"/>
    </row>
    <row r="24" spans="1:25" ht="7.5" customHeight="1" x14ac:dyDescent="0.2">
      <c r="A24" s="2716">
        <v>16</v>
      </c>
      <c r="B24" s="2720"/>
      <c r="C24" s="2720"/>
      <c r="D24" s="2488"/>
      <c r="E24" s="2488"/>
      <c r="F24" s="2719"/>
      <c r="G24" s="2488"/>
      <c r="H24" s="2488"/>
      <c r="I24" s="2488"/>
      <c r="J24" s="2488"/>
      <c r="K24" s="2488"/>
      <c r="L24" s="2595">
        <f t="shared" si="1"/>
        <v>0</v>
      </c>
      <c r="M24" s="2576" t="str">
        <f t="shared" si="2"/>
        <v/>
      </c>
      <c r="O24" s="2579"/>
      <c r="P24" s="2715" t="s">
        <v>5997</v>
      </c>
      <c r="Q24" s="2482"/>
      <c r="R24" s="2482"/>
      <c r="S24" s="2482"/>
      <c r="T24" s="2482"/>
      <c r="U24" s="2482"/>
      <c r="V24" s="2482"/>
      <c r="W24" s="2482"/>
      <c r="X24" s="2482"/>
      <c r="Y24" s="2482"/>
    </row>
    <row r="25" spans="1:25" ht="7.5" customHeight="1" x14ac:dyDescent="0.2">
      <c r="A25" s="2716">
        <v>17</v>
      </c>
      <c r="B25" s="2720"/>
      <c r="C25" s="2720"/>
      <c r="D25" s="2488"/>
      <c r="E25" s="2488"/>
      <c r="F25" s="2719"/>
      <c r="G25" s="2488"/>
      <c r="H25" s="2488"/>
      <c r="I25" s="2488"/>
      <c r="J25" s="2488"/>
      <c r="K25" s="2488"/>
      <c r="L25" s="2595">
        <f t="shared" si="1"/>
        <v>0</v>
      </c>
      <c r="M25" s="2576" t="str">
        <f t="shared" si="2"/>
        <v/>
      </c>
      <c r="O25" s="2579"/>
      <c r="P25" s="2715" t="s">
        <v>5999</v>
      </c>
      <c r="Q25" s="2482"/>
      <c r="R25" s="2482"/>
      <c r="S25" s="2482"/>
      <c r="T25" s="2482"/>
      <c r="U25" s="2482"/>
      <c r="V25" s="2482"/>
      <c r="W25" s="2482"/>
      <c r="X25" s="2482"/>
      <c r="Y25" s="2482"/>
    </row>
    <row r="26" spans="1:25" ht="7.5" customHeight="1" x14ac:dyDescent="0.2">
      <c r="A26" s="2716">
        <v>18</v>
      </c>
      <c r="B26" s="2720"/>
      <c r="C26" s="2720"/>
      <c r="D26" s="2488"/>
      <c r="E26" s="2488"/>
      <c r="F26" s="2719"/>
      <c r="G26" s="2488"/>
      <c r="H26" s="2488"/>
      <c r="I26" s="2488"/>
      <c r="J26" s="2488"/>
      <c r="K26" s="2488"/>
      <c r="L26" s="2595">
        <f t="shared" si="1"/>
        <v>0</v>
      </c>
      <c r="M26" s="2576" t="str">
        <f t="shared" si="2"/>
        <v/>
      </c>
      <c r="O26" s="2579"/>
      <c r="P26" s="2715" t="s">
        <v>6002</v>
      </c>
      <c r="Q26" s="2482"/>
      <c r="R26" s="2482"/>
      <c r="S26" s="2482"/>
      <c r="T26" s="2482"/>
      <c r="U26" s="2482"/>
      <c r="V26" s="2482"/>
      <c r="W26" s="2482"/>
      <c r="X26" s="2482"/>
      <c r="Y26" s="2482"/>
    </row>
    <row r="27" spans="1:25" ht="7.5" customHeight="1" x14ac:dyDescent="0.2">
      <c r="A27" s="2716">
        <v>19</v>
      </c>
      <c r="B27" s="2720"/>
      <c r="C27" s="2720"/>
      <c r="D27" s="2488"/>
      <c r="E27" s="2488"/>
      <c r="F27" s="2719"/>
      <c r="G27" s="2488"/>
      <c r="H27" s="2488"/>
      <c r="I27" s="2488"/>
      <c r="J27" s="2488"/>
      <c r="K27" s="2488"/>
      <c r="L27" s="2595">
        <f t="shared" si="1"/>
        <v>0</v>
      </c>
      <c r="M27" s="2576" t="str">
        <f t="shared" si="2"/>
        <v/>
      </c>
      <c r="O27" s="2579"/>
      <c r="P27" s="2715" t="s">
        <v>6004</v>
      </c>
      <c r="Q27" s="2482"/>
      <c r="R27" s="2482"/>
      <c r="S27" s="2482"/>
      <c r="T27" s="2482"/>
      <c r="U27" s="2482"/>
      <c r="V27" s="2482"/>
      <c r="W27" s="2482"/>
      <c r="X27" s="2482"/>
      <c r="Y27" s="2482"/>
    </row>
    <row r="28" spans="1:25" ht="7.5" customHeight="1" x14ac:dyDescent="0.2">
      <c r="A28" s="2716">
        <v>20</v>
      </c>
      <c r="B28" s="2720"/>
      <c r="C28" s="2720"/>
      <c r="D28" s="2488"/>
      <c r="E28" s="2488"/>
      <c r="F28" s="2719"/>
      <c r="G28" s="2488"/>
      <c r="H28" s="2488"/>
      <c r="I28" s="2488"/>
      <c r="J28" s="2488"/>
      <c r="K28" s="2488"/>
      <c r="L28" s="2595">
        <f t="shared" si="1"/>
        <v>0</v>
      </c>
      <c r="M28" s="2576" t="str">
        <f t="shared" si="2"/>
        <v/>
      </c>
      <c r="O28" s="2579"/>
      <c r="P28" s="2715" t="s">
        <v>6006</v>
      </c>
      <c r="Q28" s="2482"/>
      <c r="R28" s="2482"/>
      <c r="S28" s="2482"/>
      <c r="T28" s="2482"/>
      <c r="U28" s="2482"/>
      <c r="V28" s="2482"/>
      <c r="W28" s="2482"/>
      <c r="X28" s="2482"/>
      <c r="Y28" s="2482"/>
    </row>
    <row r="29" spans="1:25" ht="7.5" customHeight="1" x14ac:dyDescent="0.2">
      <c r="A29" s="2716">
        <v>21</v>
      </c>
      <c r="B29" s="2720"/>
      <c r="C29" s="2720"/>
      <c r="D29" s="2488"/>
      <c r="E29" s="2719"/>
      <c r="F29" s="2719"/>
      <c r="G29" s="2488"/>
      <c r="H29" s="2488"/>
      <c r="I29" s="2488"/>
      <c r="J29" s="2488"/>
      <c r="K29" s="2488"/>
      <c r="L29" s="2595">
        <f t="shared" si="1"/>
        <v>0</v>
      </c>
      <c r="M29" s="2576" t="str">
        <f t="shared" si="2"/>
        <v/>
      </c>
      <c r="O29" s="2579"/>
      <c r="P29" s="2715" t="s">
        <v>6008</v>
      </c>
      <c r="Q29" s="2482"/>
      <c r="R29" s="2482"/>
      <c r="S29" s="2482"/>
      <c r="T29" s="2482"/>
      <c r="U29" s="2482"/>
      <c r="V29" s="2482"/>
      <c r="W29" s="2482"/>
      <c r="X29" s="2482"/>
      <c r="Y29" s="2482"/>
    </row>
    <row r="30" spans="1:25" ht="7.5" customHeight="1" x14ac:dyDescent="0.2">
      <c r="A30" s="2716">
        <v>22</v>
      </c>
      <c r="B30" s="2720"/>
      <c r="C30" s="2720"/>
      <c r="D30" s="2488"/>
      <c r="E30" s="2719"/>
      <c r="F30" s="2719"/>
      <c r="G30" s="2488"/>
      <c r="H30" s="2488"/>
      <c r="I30" s="2488"/>
      <c r="J30" s="2488"/>
      <c r="K30" s="2488"/>
      <c r="L30" s="2595">
        <f t="shared" si="1"/>
        <v>0</v>
      </c>
      <c r="M30" s="2576" t="str">
        <f t="shared" si="2"/>
        <v/>
      </c>
      <c r="O30" s="2579"/>
      <c r="P30" s="2715" t="s">
        <v>6010</v>
      </c>
      <c r="Q30" s="2482"/>
      <c r="R30" s="2482"/>
      <c r="S30" s="2482"/>
      <c r="T30" s="2482"/>
      <c r="U30" s="2482"/>
      <c r="V30" s="2482"/>
      <c r="W30" s="2482"/>
      <c r="X30" s="2482"/>
      <c r="Y30" s="2482"/>
    </row>
    <row r="31" spans="1:25" ht="7.5" customHeight="1" x14ac:dyDescent="0.2">
      <c r="A31" s="2716">
        <v>23</v>
      </c>
      <c r="B31" s="2720"/>
      <c r="C31" s="2720"/>
      <c r="D31" s="2488"/>
      <c r="E31" s="2719"/>
      <c r="F31" s="2719"/>
      <c r="G31" s="2488"/>
      <c r="H31" s="2488"/>
      <c r="I31" s="2488"/>
      <c r="J31" s="2488"/>
      <c r="K31" s="2488"/>
      <c r="L31" s="2595">
        <f t="shared" si="1"/>
        <v>0</v>
      </c>
      <c r="M31" s="2576" t="str">
        <f t="shared" si="2"/>
        <v/>
      </c>
      <c r="O31" s="2579"/>
      <c r="P31" s="2715" t="s">
        <v>6012</v>
      </c>
      <c r="Q31" s="2482"/>
      <c r="R31" s="2482"/>
      <c r="S31" s="2482"/>
      <c r="T31" s="2482"/>
      <c r="U31" s="2482"/>
      <c r="V31" s="2482"/>
      <c r="W31" s="2482"/>
      <c r="X31" s="2482"/>
      <c r="Y31" s="2482"/>
    </row>
    <row r="32" spans="1:25" ht="7.5" customHeight="1" x14ac:dyDescent="0.2">
      <c r="A32" s="2716">
        <v>24</v>
      </c>
      <c r="B32" s="2720"/>
      <c r="C32" s="2720"/>
      <c r="D32" s="2488"/>
      <c r="E32" s="2719"/>
      <c r="F32" s="2719"/>
      <c r="G32" s="2488"/>
      <c r="H32" s="2488"/>
      <c r="I32" s="2488"/>
      <c r="J32" s="2488"/>
      <c r="K32" s="2488"/>
      <c r="L32" s="2595">
        <f t="shared" si="1"/>
        <v>0</v>
      </c>
      <c r="M32" s="2576" t="str">
        <f t="shared" si="2"/>
        <v/>
      </c>
      <c r="O32" s="2579"/>
      <c r="P32" s="2715" t="s">
        <v>6014</v>
      </c>
      <c r="Q32" s="2482"/>
      <c r="R32" s="2482"/>
      <c r="S32" s="2482"/>
      <c r="T32" s="2482"/>
      <c r="U32" s="2482"/>
      <c r="V32" s="2482"/>
      <c r="W32" s="2482"/>
      <c r="X32" s="2482"/>
      <c r="Y32" s="2482"/>
    </row>
    <row r="33" spans="1:25" ht="7.5" customHeight="1" x14ac:dyDescent="0.2">
      <c r="A33" s="2716">
        <v>25</v>
      </c>
      <c r="B33" s="2720"/>
      <c r="C33" s="2720"/>
      <c r="D33" s="2488"/>
      <c r="E33" s="2719"/>
      <c r="F33" s="2719"/>
      <c r="G33" s="2488"/>
      <c r="H33" s="2488"/>
      <c r="I33" s="2488"/>
      <c r="J33" s="2488"/>
      <c r="K33" s="2488"/>
      <c r="L33" s="2595">
        <f t="shared" si="1"/>
        <v>0</v>
      </c>
      <c r="M33" s="2576" t="str">
        <f t="shared" si="2"/>
        <v/>
      </c>
      <c r="O33" s="2579"/>
      <c r="P33" s="2715" t="s">
        <v>6016</v>
      </c>
      <c r="Q33" s="2482"/>
      <c r="R33" s="2482"/>
      <c r="S33" s="2482"/>
      <c r="T33" s="2482"/>
      <c r="U33" s="2482"/>
      <c r="V33" s="2482"/>
      <c r="W33" s="2482"/>
      <c r="X33" s="2482"/>
      <c r="Y33" s="2482"/>
    </row>
    <row r="34" spans="1:25" ht="7.5" customHeight="1" x14ac:dyDescent="0.2">
      <c r="A34" s="2716">
        <v>26</v>
      </c>
      <c r="B34" s="2720"/>
      <c r="C34" s="2720"/>
      <c r="D34" s="2488"/>
      <c r="E34" s="2719"/>
      <c r="F34" s="2719"/>
      <c r="G34" s="2488"/>
      <c r="H34" s="2488"/>
      <c r="I34" s="2488"/>
      <c r="J34" s="2488"/>
      <c r="K34" s="2488"/>
      <c r="L34" s="2595">
        <f t="shared" si="1"/>
        <v>0</v>
      </c>
      <c r="M34" s="2576" t="str">
        <f t="shared" si="2"/>
        <v/>
      </c>
      <c r="O34" s="2579"/>
      <c r="P34" s="2715" t="s">
        <v>6018</v>
      </c>
      <c r="Q34" s="2482"/>
      <c r="R34" s="2482"/>
      <c r="S34" s="2482"/>
      <c r="T34" s="2482"/>
      <c r="U34" s="2482"/>
      <c r="V34" s="2482"/>
      <c r="W34" s="2482"/>
      <c r="X34" s="2482"/>
      <c r="Y34" s="2482"/>
    </row>
    <row r="35" spans="1:25" ht="7.5" customHeight="1" x14ac:dyDescent="0.2">
      <c r="A35" s="2716">
        <v>27</v>
      </c>
      <c r="B35" s="2720"/>
      <c r="C35" s="2720"/>
      <c r="D35" s="2488"/>
      <c r="E35" s="2719"/>
      <c r="F35" s="2719"/>
      <c r="G35" s="2488"/>
      <c r="H35" s="2488"/>
      <c r="I35" s="2488"/>
      <c r="J35" s="2488"/>
      <c r="K35" s="2488"/>
      <c r="L35" s="2595">
        <f t="shared" si="1"/>
        <v>0</v>
      </c>
      <c r="M35" s="2576" t="str">
        <f t="shared" si="2"/>
        <v/>
      </c>
      <c r="O35" s="2579"/>
      <c r="P35" s="2715" t="s">
        <v>6020</v>
      </c>
      <c r="Q35" s="2482"/>
      <c r="R35" s="2482"/>
      <c r="S35" s="2482"/>
      <c r="T35" s="2482"/>
      <c r="U35" s="2482"/>
      <c r="V35" s="2482"/>
      <c r="W35" s="2482"/>
      <c r="X35" s="2482"/>
      <c r="Y35" s="2482"/>
    </row>
    <row r="36" spans="1:25" ht="7.5" customHeight="1" x14ac:dyDescent="0.2">
      <c r="A36" s="2716">
        <v>28</v>
      </c>
      <c r="B36" s="2720"/>
      <c r="C36" s="2720"/>
      <c r="D36" s="2488"/>
      <c r="E36" s="2719"/>
      <c r="F36" s="2719"/>
      <c r="G36" s="2488"/>
      <c r="H36" s="2488"/>
      <c r="I36" s="2488"/>
      <c r="J36" s="2488"/>
      <c r="K36" s="2488"/>
      <c r="L36" s="2595">
        <f t="shared" si="1"/>
        <v>0</v>
      </c>
      <c r="M36" s="2576" t="str">
        <f t="shared" si="2"/>
        <v/>
      </c>
      <c r="O36" s="2579"/>
      <c r="P36" s="2715" t="s">
        <v>6022</v>
      </c>
      <c r="Q36" s="2482"/>
      <c r="R36" s="2482"/>
      <c r="S36" s="2482"/>
      <c r="T36" s="2482"/>
      <c r="U36" s="2482"/>
      <c r="V36" s="2482"/>
      <c r="W36" s="2482"/>
      <c r="X36" s="2482"/>
      <c r="Y36" s="2482"/>
    </row>
    <row r="37" spans="1:25" ht="7.5" customHeight="1" x14ac:dyDescent="0.2">
      <c r="A37" s="2716">
        <v>29</v>
      </c>
      <c r="B37" s="2720"/>
      <c r="C37" s="2720"/>
      <c r="D37" s="2488"/>
      <c r="E37" s="2719"/>
      <c r="F37" s="2719"/>
      <c r="G37" s="2488"/>
      <c r="H37" s="2488"/>
      <c r="I37" s="2488"/>
      <c r="J37" s="2488"/>
      <c r="K37" s="2488"/>
      <c r="L37" s="2595">
        <f t="shared" si="1"/>
        <v>0</v>
      </c>
      <c r="M37" s="2576" t="str">
        <f t="shared" si="2"/>
        <v/>
      </c>
      <c r="O37" s="2579"/>
      <c r="P37" s="2715" t="s">
        <v>6024</v>
      </c>
      <c r="Q37" s="2482"/>
      <c r="R37" s="2482"/>
      <c r="S37" s="2482"/>
      <c r="T37" s="2482"/>
      <c r="U37" s="2482"/>
      <c r="V37" s="2482"/>
      <c r="W37" s="2482"/>
      <c r="X37" s="2482"/>
      <c r="Y37" s="2482"/>
    </row>
    <row r="38" spans="1:25" ht="7.5" customHeight="1" x14ac:dyDescent="0.2">
      <c r="A38" s="2716">
        <v>30</v>
      </c>
      <c r="B38" s="2720"/>
      <c r="C38" s="2720"/>
      <c r="D38" s="2488"/>
      <c r="E38" s="2719"/>
      <c r="F38" s="2719"/>
      <c r="G38" s="2488"/>
      <c r="H38" s="2488"/>
      <c r="I38" s="2488"/>
      <c r="J38" s="2488"/>
      <c r="K38" s="2488"/>
      <c r="L38" s="2595">
        <f t="shared" si="1"/>
        <v>0</v>
      </c>
      <c r="M38" s="2576" t="str">
        <f t="shared" si="2"/>
        <v/>
      </c>
      <c r="O38" s="2579"/>
      <c r="P38" s="2715" t="s">
        <v>6026</v>
      </c>
      <c r="Q38" s="2482"/>
      <c r="R38" s="2482"/>
      <c r="S38" s="2482"/>
      <c r="T38" s="2482"/>
      <c r="U38" s="2482"/>
      <c r="V38" s="2482"/>
      <c r="W38" s="2482"/>
      <c r="X38" s="2482"/>
      <c r="Y38" s="2482"/>
    </row>
    <row r="39" spans="1:25" ht="7.5" customHeight="1" x14ac:dyDescent="0.2">
      <c r="A39" s="2716">
        <v>31</v>
      </c>
      <c r="B39" s="2720"/>
      <c r="C39" s="2720"/>
      <c r="D39" s="2488"/>
      <c r="E39" s="2719"/>
      <c r="F39" s="2719"/>
      <c r="G39" s="2488"/>
      <c r="H39" s="2488"/>
      <c r="I39" s="2488"/>
      <c r="J39" s="2488"/>
      <c r="K39" s="2488"/>
      <c r="L39" s="2595">
        <f t="shared" si="1"/>
        <v>0</v>
      </c>
      <c r="M39" s="2576" t="str">
        <f t="shared" si="2"/>
        <v/>
      </c>
      <c r="O39" s="2579"/>
      <c r="P39" s="2715" t="s">
        <v>6028</v>
      </c>
      <c r="Q39" s="2482"/>
      <c r="R39" s="2482"/>
      <c r="S39" s="2482"/>
      <c r="T39" s="2482"/>
      <c r="U39" s="2482"/>
      <c r="V39" s="2482"/>
      <c r="W39" s="2482"/>
      <c r="X39" s="2482"/>
      <c r="Y39" s="2482"/>
    </row>
    <row r="40" spans="1:25" ht="7.5" customHeight="1" x14ac:dyDescent="0.2">
      <c r="A40" s="2716">
        <v>32</v>
      </c>
      <c r="B40" s="2720"/>
      <c r="C40" s="2720"/>
      <c r="D40" s="2488"/>
      <c r="E40" s="2719"/>
      <c r="F40" s="2719"/>
      <c r="G40" s="2488"/>
      <c r="H40" s="2488"/>
      <c r="I40" s="2488"/>
      <c r="J40" s="2488"/>
      <c r="K40" s="2488"/>
      <c r="L40" s="2595">
        <f t="shared" si="1"/>
        <v>0</v>
      </c>
      <c r="M40" s="2576" t="str">
        <f t="shared" si="2"/>
        <v/>
      </c>
      <c r="O40" s="2579"/>
      <c r="P40" s="2715" t="s">
        <v>6030</v>
      </c>
      <c r="Q40" s="2482"/>
      <c r="R40" s="2482"/>
      <c r="S40" s="2482"/>
      <c r="T40" s="2482"/>
      <c r="U40" s="2482"/>
      <c r="V40" s="2482"/>
      <c r="W40" s="2482"/>
      <c r="X40" s="2482"/>
      <c r="Y40" s="2482"/>
    </row>
    <row r="41" spans="1:25" ht="7.5" customHeight="1" x14ac:dyDescent="0.2">
      <c r="A41" s="2716">
        <v>33</v>
      </c>
      <c r="B41" s="2720"/>
      <c r="C41" s="2720"/>
      <c r="D41" s="2488"/>
      <c r="E41" s="2719"/>
      <c r="F41" s="2719"/>
      <c r="G41" s="2488"/>
      <c r="H41" s="2488"/>
      <c r="I41" s="2488"/>
      <c r="J41" s="2488"/>
      <c r="K41" s="2488"/>
      <c r="L41" s="2595">
        <f t="shared" si="1"/>
        <v>0</v>
      </c>
      <c r="M41" s="2576" t="str">
        <f t="shared" si="2"/>
        <v/>
      </c>
      <c r="O41" s="2579"/>
      <c r="P41" s="2715" t="s">
        <v>6032</v>
      </c>
      <c r="Q41" s="2482"/>
      <c r="R41" s="2482"/>
      <c r="S41" s="2482"/>
      <c r="T41" s="2482"/>
      <c r="U41" s="2482"/>
      <c r="V41" s="2482"/>
      <c r="W41" s="2482"/>
      <c r="X41" s="2482"/>
      <c r="Y41" s="2482"/>
    </row>
    <row r="42" spans="1:25" ht="7.5" customHeight="1" x14ac:dyDescent="0.2">
      <c r="A42" s="2716">
        <v>34</v>
      </c>
      <c r="B42" s="2720"/>
      <c r="C42" s="2720"/>
      <c r="D42" s="2488"/>
      <c r="E42" s="2719"/>
      <c r="F42" s="2719"/>
      <c r="G42" s="2488"/>
      <c r="H42" s="2488"/>
      <c r="I42" s="2488"/>
      <c r="J42" s="2488"/>
      <c r="K42" s="2488"/>
      <c r="L42" s="2595">
        <f t="shared" si="1"/>
        <v>0</v>
      </c>
      <c r="M42" s="2576" t="str">
        <f t="shared" si="2"/>
        <v/>
      </c>
      <c r="O42" s="2579"/>
      <c r="P42" s="2715" t="s">
        <v>6034</v>
      </c>
      <c r="Q42" s="2482"/>
      <c r="R42" s="2482"/>
      <c r="S42" s="2482"/>
      <c r="T42" s="2482"/>
      <c r="U42" s="2482"/>
      <c r="V42" s="2482"/>
      <c r="W42" s="2482"/>
      <c r="X42" s="2482"/>
      <c r="Y42" s="2482"/>
    </row>
    <row r="43" spans="1:25" ht="7.5" customHeight="1" x14ac:dyDescent="0.2">
      <c r="A43" s="2716">
        <v>35</v>
      </c>
      <c r="B43" s="2720"/>
      <c r="C43" s="2720"/>
      <c r="D43" s="2488"/>
      <c r="E43" s="2719"/>
      <c r="F43" s="2719"/>
      <c r="G43" s="2488"/>
      <c r="H43" s="2488"/>
      <c r="I43" s="2488"/>
      <c r="J43" s="2488"/>
      <c r="K43" s="2488"/>
      <c r="L43" s="2479" t="str">
        <f>F50</f>
        <v>TOTAL</v>
      </c>
      <c r="M43" s="2576" t="str">
        <f>IF(G50="Subsidiary Company Subheading","SubsidiaryCompanySubheadingMember",IF(G50="Capital Contribution","CapitalContributionMember",IF(G50="Paid-In-Capital","PaidInCapitalMember",IF(G50="Purchase Accounting Adjustments","PurchaseAccountingAdjustmentsMember",IF(G50="Purchase Accounting Goodwill Allocation","PurchaseAccountingGoodwillAllocationMember",IF(G50="Unappropriated Undistributed Subsidiary Earnings","UnappriatedUndistributedSubsidiaryEarningsMember",IF(G50="Advances, Open Account","AdvancesOpenAccountMember",IF(G50="Advances, Note","AdvancesNoteMember",IF(G50="Captial Stock","CaptialStockMember",IF(G50="Equity Contribution","EquityContributionMember",IF(G50="Retained Earnings","RetainedEarningsMember",IF(G50="Other Investments in Subsidiaries","OtherInvestmentsInSubsidiaryCompaniesMember",IF(G50="Unspecified Investments in Subsidiary Companies (1)","UnspecifiedInvestmentsInSubsidiaryCompaniesOneMember",IF(G50="Unspecified Investments in Subsidiary Companies (2)","UnspecifiedInvestmentsInSubsidiaryCompaniesTwoMember",IF(G50="Unspecified Investments in Subsidiary Companies (3)","UnspecifiedInvestmentsInSubsidiaryCompaniesThreeMember",IF(G50="Unspecified Investments in Subsidiary Companies (4)","UnspecifiedInvestmentsInSubsidiaryCompaniesFourMember",IF(G50="Unspecified Investments in Subsidiary Companies (5)","UnspecifiedInvestmentsInSubsidiaryCompaniesFiveMember",IF(G50="Unspecified Investments in Subsidiary Companies (6)","UnspecifiedInvestmentsInSubsidiaryCompaniesSixMember",IF(G50="Unspecified Investments in Subsidiary Companies (7)","UnspecifiedInvestmentsInSubsidiaryCompaniesSevenMember",IF(G50="Unspecified Investments in Subsidiary Companies (8)","UnspecifiedInvestmentsInSubsidiaryCompaniesEightMember",IF(G50="Unspecified Investments in Subsidiary Companies (9)","UnspecifiedInvestmentsInSubsidiaryCompaniesNineMember",IF(G50="Unspecified Investments in Subsidiary Companies (10)","UnspecifiedInvestmentsInSubsidiaryCompaniesTenMember",IF(G50="Unspecified Investments in Subsidiary Companies (11)","UnspecifiedInvestmentsInSubsidiaryCompaniesElevenMember",IF(G50="Unspecified Investments in Subsidiary Companies (12)","UnspecifiedInvestmentsInSubsidiaryCompaniesTwelveMember",""))))))))))))))))))))))))</f>
        <v/>
      </c>
      <c r="O43" s="2579"/>
      <c r="P43" s="2715" t="s">
        <v>6036</v>
      </c>
      <c r="Q43" s="2482"/>
      <c r="R43" s="2482"/>
      <c r="S43" s="2482"/>
      <c r="T43" s="2482"/>
      <c r="U43" s="2482"/>
      <c r="V43" s="2482"/>
      <c r="W43" s="2482"/>
      <c r="X43" s="2482"/>
      <c r="Y43" s="2482"/>
    </row>
    <row r="44" spans="1:25" ht="7.5" customHeight="1" x14ac:dyDescent="0.2">
      <c r="A44" s="2716">
        <v>36</v>
      </c>
      <c r="B44" s="2720"/>
      <c r="C44" s="2720"/>
      <c r="D44" s="2488"/>
      <c r="E44" s="2719"/>
      <c r="F44" s="2719"/>
      <c r="G44" s="2488"/>
      <c r="H44" s="2488"/>
      <c r="I44" s="2488"/>
      <c r="J44" s="2488"/>
      <c r="K44" s="2488"/>
      <c r="L44" s="2595">
        <f>F51</f>
        <v>0</v>
      </c>
      <c r="M44" s="2576" t="str">
        <f>IF(G51="Subsidiary Company Subheading","SubsidiaryCompanySubheadingMember",IF(G51="Capital Contribution","CapitalContributionMember",IF(G51="Paid-In-Capital","PaidInCapitalMember",IF(G51="Purchase Accounting Adjustments","PurchaseAccountingAdjustmentsMember",IF(G51="Purchase Accounting Goodwill Allocation","PurchaseAccountingGoodwillAllocationMember",IF(G51="Unappropriated Undistributed Subsidiary Earnings","UnappriatedUndistributedSubsidiaryEarningsMember",IF(G51="Advances, Open Account","AdvancesOpenAccountMember",IF(G51="Advances, Note","AdvancesNoteMember",IF(G51="Captial Stock","CaptialStockMember",IF(G51="Equity Contribution","EquityContributionMember",IF(G51="Retained Earnings","RetainedEarningsMember",IF(G51="Other Investments in Subsidiaries","OtherInvestmentsInSubsidiaryCompaniesMember",IF(G51="Unspecified Investments in Subsidiary Companies (1)","UnspecifiedInvestmentsInSubsidiaryCompaniesOneMember",IF(G51="Unspecified Investments in Subsidiary Companies (2)","UnspecifiedInvestmentsInSubsidiaryCompaniesTwoMember",IF(G51="Unspecified Investments in Subsidiary Companies (3)","UnspecifiedInvestmentsInSubsidiaryCompaniesThreeMember",IF(G51="Unspecified Investments in Subsidiary Companies (4)","UnspecifiedInvestmentsInSubsidiaryCompaniesFourMember",IF(G51="Unspecified Investments in Subsidiary Companies (5)","UnspecifiedInvestmentsInSubsidiaryCompaniesFiveMember",IF(G51="Unspecified Investments in Subsidiary Companies (6)","UnspecifiedInvestmentsInSubsidiaryCompaniesSixMember",IF(G51="Unspecified Investments in Subsidiary Companies (7)","UnspecifiedInvestmentsInSubsidiaryCompaniesSevenMember",IF(G51="Unspecified Investments in Subsidiary Companies (8)","UnspecifiedInvestmentsInSubsidiaryCompaniesEightMember",IF(G51="Unspecified Investments in Subsidiary Companies (9)","UnspecifiedInvestmentsInSubsidiaryCompaniesNineMember",IF(G51="Unspecified Investments in Subsidiary Companies (10)","UnspecifiedInvestmentsInSubsidiaryCompaniesTenMember",IF(G51="Unspecified Investments in Subsidiary Companies (11)","UnspecifiedInvestmentsInSubsidiaryCompaniesElevenMember",IF(G51="Unspecified Investments in Subsidiary Companies (12)","UnspecifiedInvestmentsInSubsidiaryCompaniesTwelveMember",""))))))))))))))))))))))))</f>
        <v/>
      </c>
      <c r="O44" s="2579"/>
      <c r="P44" s="2715" t="s">
        <v>6038</v>
      </c>
      <c r="Q44" s="2482"/>
      <c r="R44" s="2482"/>
      <c r="S44" s="2482"/>
      <c r="T44" s="2482"/>
      <c r="U44" s="2482"/>
      <c r="V44" s="2482"/>
      <c r="W44" s="2482"/>
      <c r="X44" s="2482"/>
      <c r="Y44" s="2482"/>
    </row>
    <row r="45" spans="1:25" ht="7.5" customHeight="1" x14ac:dyDescent="0.2">
      <c r="A45" s="2721">
        <v>37</v>
      </c>
      <c r="B45" s="2720"/>
      <c r="C45" s="2720"/>
      <c r="D45" s="2488"/>
      <c r="E45" s="2719"/>
      <c r="F45" s="2719"/>
      <c r="G45" s="2488"/>
      <c r="H45" s="2488"/>
      <c r="I45" s="2488"/>
      <c r="J45" s="2488"/>
      <c r="K45" s="2488"/>
      <c r="L45" s="2595">
        <f>F52</f>
        <v>0</v>
      </c>
      <c r="M45" s="2576" t="str">
        <f>IF(G52="Subsidiary Company Subheading","SubsidiaryCompanySubheadingMember",IF(G52="Capital Contribution","CapitalContributionMember",IF(G52="Paid-In-Capital","PaidInCapitalMember",IF(G52="Purchase Accounting Adjustments","PurchaseAccountingAdjustmentsMember",IF(G52="Purchase Accounting Goodwill Allocation","PurchaseAccountingGoodwillAllocationMember",IF(G52="Unappropriated Undistributed Subsidiary Earnings","UnappriatedUndistributedSubsidiaryEarningsMember",IF(G52="Advances, Open Account","AdvancesOpenAccountMember",IF(G52="Advances, Note","AdvancesNoteMember",IF(G52="Captial Stock","CaptialStockMember",IF(G52="Equity Contribution","EquityContributionMember",IF(G52="Retained Earnings","RetainedEarningsMember",IF(G52="Other Investments in Subsidiaries","OtherInvestmentsInSubsidiaryCompaniesMember",IF(G52="Unspecified Investments in Subsidiary Companies (1)","UnspecifiedInvestmentsInSubsidiaryCompaniesOneMember",IF(G52="Unspecified Investments in Subsidiary Companies (2)","UnspecifiedInvestmentsInSubsidiaryCompaniesTwoMember",IF(G52="Unspecified Investments in Subsidiary Companies (3)","UnspecifiedInvestmentsInSubsidiaryCompaniesThreeMember",IF(G52="Unspecified Investments in Subsidiary Companies (4)","UnspecifiedInvestmentsInSubsidiaryCompaniesFourMember",IF(G52="Unspecified Investments in Subsidiary Companies (5)","UnspecifiedInvestmentsInSubsidiaryCompaniesFiveMember",IF(G52="Unspecified Investments in Subsidiary Companies (6)","UnspecifiedInvestmentsInSubsidiaryCompaniesSixMember",IF(G52="Unspecified Investments in Subsidiary Companies (7)","UnspecifiedInvestmentsInSubsidiaryCompaniesSevenMember",IF(G52="Unspecified Investments in Subsidiary Companies (8)","UnspecifiedInvestmentsInSubsidiaryCompaniesEightMember",IF(G52="Unspecified Investments in Subsidiary Companies (9)","UnspecifiedInvestmentsInSubsidiaryCompaniesNineMember",IF(G52="Unspecified Investments in Subsidiary Companies (10)","UnspecifiedInvestmentsInSubsidiaryCompaniesTenMember",IF(G52="Unspecified Investments in Subsidiary Companies (11)","UnspecifiedInvestmentsInSubsidiaryCompaniesElevenMember",IF(G52="Unspecified Investments in Subsidiary Companies (12)","UnspecifiedInvestmentsInSubsidiaryCompaniesTwelveMember",""))))))))))))))))))))))))</f>
        <v/>
      </c>
      <c r="O45" s="2579"/>
      <c r="P45" s="2715" t="s">
        <v>6040</v>
      </c>
      <c r="Q45" s="2482"/>
      <c r="R45" s="2482"/>
      <c r="S45" s="2482"/>
      <c r="T45" s="2482"/>
      <c r="U45" s="2482"/>
      <c r="V45" s="2482"/>
      <c r="W45" s="2482"/>
      <c r="X45" s="2482"/>
      <c r="Y45" s="2482"/>
    </row>
    <row r="46" spans="1:25" ht="7.5" customHeight="1" x14ac:dyDescent="0.2">
      <c r="A46" s="2722">
        <v>38</v>
      </c>
      <c r="B46" s="2720"/>
      <c r="C46" s="2720"/>
      <c r="D46" s="2488"/>
      <c r="E46" s="2719"/>
      <c r="F46" s="2719"/>
      <c r="G46" s="2488"/>
      <c r="H46" s="2488"/>
      <c r="I46" s="2488"/>
      <c r="J46" s="2488"/>
      <c r="K46" s="2488"/>
      <c r="L46" s="2479"/>
      <c r="O46" s="2579"/>
      <c r="P46" s="2482"/>
      <c r="Q46" s="2482"/>
      <c r="R46" s="2482"/>
      <c r="S46" s="2482"/>
      <c r="T46" s="2482"/>
      <c r="U46" s="2482"/>
      <c r="V46" s="2482"/>
      <c r="W46" s="2482"/>
      <c r="X46" s="2482"/>
      <c r="Y46" s="2482"/>
    </row>
    <row r="47" spans="1:25" ht="7.5" customHeight="1" x14ac:dyDescent="0.2">
      <c r="A47" s="2722">
        <v>39</v>
      </c>
      <c r="B47" s="2720"/>
      <c r="C47" s="2720"/>
      <c r="D47" s="2488"/>
      <c r="E47" s="2719"/>
      <c r="F47" s="2719"/>
      <c r="G47" s="2488"/>
      <c r="H47" s="2488"/>
      <c r="I47" s="2488"/>
      <c r="J47" s="2488"/>
      <c r="K47" s="2488"/>
      <c r="L47" s="2479"/>
      <c r="O47" s="2579"/>
      <c r="P47" s="2482"/>
      <c r="Q47" s="2482"/>
      <c r="R47" s="2482"/>
      <c r="S47" s="2482"/>
      <c r="T47" s="2482"/>
      <c r="U47" s="2482"/>
      <c r="V47" s="2482"/>
      <c r="W47" s="2482"/>
      <c r="X47" s="2482"/>
      <c r="Y47" s="2482"/>
    </row>
    <row r="48" spans="1:25" ht="7.5" customHeight="1" x14ac:dyDescent="0.2">
      <c r="A48" s="2722">
        <v>40</v>
      </c>
      <c r="B48" s="2720"/>
      <c r="C48" s="2720"/>
      <c r="D48" s="2488"/>
      <c r="E48" s="2719"/>
      <c r="F48" s="2719"/>
      <c r="G48" s="2488"/>
      <c r="H48" s="2488"/>
      <c r="I48" s="2488"/>
      <c r="J48" s="2488"/>
      <c r="K48" s="2488"/>
      <c r="L48" s="2479"/>
      <c r="O48" s="2579"/>
      <c r="P48" s="2482"/>
      <c r="Q48" s="2482"/>
      <c r="R48" s="2482"/>
      <c r="S48" s="2482"/>
      <c r="T48" s="2482"/>
      <c r="U48" s="2482"/>
      <c r="V48" s="2482"/>
      <c r="W48" s="2482"/>
      <c r="X48" s="2482"/>
      <c r="Y48" s="2482"/>
    </row>
    <row r="49" spans="1:25" ht="7.5" customHeight="1" x14ac:dyDescent="0.2">
      <c r="A49" s="2723">
        <v>41</v>
      </c>
      <c r="B49" s="2720"/>
      <c r="C49" s="2720"/>
      <c r="D49" s="2488"/>
      <c r="E49" s="2719"/>
      <c r="F49" s="2719"/>
      <c r="G49" s="2488"/>
      <c r="H49" s="2488"/>
      <c r="I49" s="2488"/>
      <c r="J49" s="2488"/>
      <c r="K49" s="2488"/>
      <c r="L49" s="2479"/>
      <c r="O49" s="2579"/>
      <c r="P49" s="2482"/>
      <c r="Q49" s="2482"/>
      <c r="R49" s="2482"/>
      <c r="S49" s="2482"/>
      <c r="T49" s="2482"/>
      <c r="U49" s="2482"/>
      <c r="V49" s="2482"/>
      <c r="W49" s="2482"/>
      <c r="X49" s="2482"/>
      <c r="Y49" s="2482"/>
    </row>
    <row r="50" spans="1:25" ht="16.7" customHeight="1" x14ac:dyDescent="0.2">
      <c r="A50" s="2716">
        <v>42</v>
      </c>
      <c r="B50" s="2631" t="s">
        <v>7002</v>
      </c>
      <c r="C50" s="2724">
        <v>53999001</v>
      </c>
      <c r="D50" s="2693"/>
      <c r="E50" s="2693"/>
      <c r="F50" s="2697" t="s">
        <v>197</v>
      </c>
      <c r="G50" s="2694">
        <f>SUM(G9:G47)</f>
        <v>136476068</v>
      </c>
      <c r="H50" s="2694">
        <f>SUM(H9:H47)</f>
        <v>20109095</v>
      </c>
      <c r="I50" s="2694">
        <f>SUM(I9:I47)</f>
        <v>0</v>
      </c>
      <c r="J50" s="2694">
        <f>SUM(J9:J47)</f>
        <v>156585163</v>
      </c>
      <c r="K50" s="2694">
        <f>SUM(K9:K47)</f>
        <v>0</v>
      </c>
      <c r="L50" s="2479"/>
      <c r="O50" s="2579"/>
      <c r="P50" s="2715" t="s">
        <v>6042</v>
      </c>
      <c r="Q50" s="2482"/>
      <c r="R50" s="2482"/>
      <c r="S50" s="2482"/>
      <c r="T50" s="2482"/>
      <c r="U50" s="2482"/>
      <c r="V50" s="2482"/>
      <c r="W50" s="2482"/>
      <c r="X50" s="2482"/>
      <c r="Y50" s="2482"/>
    </row>
    <row r="51" spans="1:25" ht="16.7" customHeight="1" x14ac:dyDescent="0.2">
      <c r="A51" s="2516"/>
      <c r="B51" s="2516"/>
      <c r="C51" s="2516"/>
      <c r="D51" s="2516"/>
      <c r="E51" s="2516"/>
      <c r="F51" s="2516"/>
      <c r="G51" s="2516"/>
      <c r="H51" s="2516"/>
      <c r="I51" s="2516"/>
      <c r="J51" s="2516"/>
      <c r="K51" s="2516"/>
      <c r="O51" s="2579"/>
      <c r="P51" s="2482"/>
      <c r="Q51" s="2482"/>
      <c r="R51" s="2482"/>
      <c r="S51" s="2482"/>
      <c r="T51" s="2482"/>
      <c r="U51" s="2482"/>
      <c r="V51" s="2482"/>
      <c r="W51" s="2482"/>
      <c r="X51" s="2482"/>
      <c r="Y51" s="2482"/>
    </row>
    <row r="52" spans="1:25" ht="16.7" customHeight="1" x14ac:dyDescent="0.2">
      <c r="O52" s="2579"/>
      <c r="P52" s="2482"/>
      <c r="Q52" s="2482"/>
      <c r="R52" s="2482"/>
      <c r="S52" s="2482"/>
      <c r="T52" s="2482"/>
      <c r="U52" s="2482"/>
      <c r="V52" s="2482"/>
      <c r="W52" s="2482"/>
      <c r="X52" s="2482"/>
      <c r="Y52" s="2482"/>
    </row>
    <row r="53" spans="1:25" ht="16.7" customHeight="1" x14ac:dyDescent="0.2">
      <c r="O53" s="2579"/>
      <c r="P53" s="2482"/>
      <c r="Q53" s="2482"/>
      <c r="R53" s="2482"/>
      <c r="S53" s="2482"/>
      <c r="T53" s="2482"/>
      <c r="U53" s="2482"/>
      <c r="V53" s="2482"/>
      <c r="W53" s="2482"/>
      <c r="X53" s="2482"/>
      <c r="Y53" s="2482"/>
    </row>
    <row r="54" spans="1:25" ht="16.7" customHeight="1" x14ac:dyDescent="0.2">
      <c r="O54" s="2579"/>
      <c r="P54" s="2482"/>
      <c r="Q54" s="2482"/>
      <c r="R54" s="2482"/>
      <c r="S54" s="2482"/>
      <c r="T54" s="2482"/>
      <c r="U54" s="2482"/>
      <c r="V54" s="2482"/>
      <c r="W54" s="2482"/>
      <c r="X54" s="2482"/>
      <c r="Y54" s="2482"/>
    </row>
    <row r="55" spans="1:25" ht="16.7" customHeight="1" x14ac:dyDescent="0.2">
      <c r="O55" s="2579"/>
      <c r="P55" s="2482"/>
      <c r="Q55" s="2482"/>
      <c r="R55" s="2482"/>
      <c r="S55" s="2482"/>
      <c r="T55" s="2482"/>
      <c r="U55" s="2482"/>
      <c r="V55" s="2482"/>
      <c r="W55" s="2482"/>
      <c r="X55" s="2482"/>
      <c r="Y55" s="2482"/>
    </row>
    <row r="56" spans="1:25" ht="16.7" customHeight="1" x14ac:dyDescent="0.2">
      <c r="O56" s="2579"/>
      <c r="P56" s="2482"/>
      <c r="Q56" s="2482"/>
      <c r="R56" s="2482"/>
      <c r="S56" s="2482"/>
      <c r="T56" s="2482"/>
      <c r="U56" s="2482"/>
      <c r="V56" s="2482"/>
      <c r="W56" s="2482"/>
      <c r="X56" s="2482"/>
      <c r="Y56" s="2482"/>
    </row>
    <row r="57" spans="1:25" ht="16.7" customHeight="1" x14ac:dyDescent="0.2">
      <c r="O57" s="2579"/>
      <c r="P57" s="2482"/>
      <c r="Q57" s="2482"/>
      <c r="R57" s="2482"/>
      <c r="S57" s="2482"/>
      <c r="T57" s="2482"/>
      <c r="U57" s="2482"/>
      <c r="V57" s="2482"/>
      <c r="W57" s="2482"/>
      <c r="X57" s="2482"/>
      <c r="Y57" s="2482"/>
    </row>
    <row r="58" spans="1:25" ht="16.7" customHeight="1" x14ac:dyDescent="0.2">
      <c r="O58" s="2579"/>
      <c r="P58" s="2482"/>
      <c r="Q58" s="2482"/>
      <c r="R58" s="2482"/>
      <c r="S58" s="2482"/>
      <c r="T58" s="2482"/>
      <c r="U58" s="2482"/>
      <c r="V58" s="2482"/>
      <c r="W58" s="2482"/>
      <c r="X58" s="2482"/>
      <c r="Y58" s="2482"/>
    </row>
    <row r="59" spans="1:25" ht="16.7" customHeight="1" x14ac:dyDescent="0.2">
      <c r="O59" s="2579"/>
      <c r="P59" s="2482"/>
      <c r="Q59" s="2482"/>
      <c r="R59" s="2482"/>
      <c r="S59" s="2482"/>
      <c r="T59" s="2482"/>
      <c r="U59" s="2482"/>
      <c r="V59" s="2482"/>
      <c r="W59" s="2482"/>
      <c r="X59" s="2482"/>
      <c r="Y59" s="2482"/>
    </row>
    <row r="60" spans="1:25" ht="16.7" customHeight="1" x14ac:dyDescent="0.2">
      <c r="O60" s="2579"/>
      <c r="P60" s="2482"/>
      <c r="Q60" s="2482"/>
      <c r="R60" s="2482"/>
      <c r="S60" s="2482"/>
      <c r="T60" s="2482"/>
      <c r="U60" s="2482"/>
      <c r="V60" s="2482"/>
      <c r="W60" s="2482"/>
      <c r="X60" s="2482"/>
      <c r="Y60" s="2482"/>
    </row>
    <row r="61" spans="1:25" ht="16.7" customHeight="1" x14ac:dyDescent="0.2">
      <c r="O61" s="2579"/>
      <c r="P61" s="2482"/>
      <c r="Q61" s="2482"/>
      <c r="R61" s="2482"/>
      <c r="S61" s="2482"/>
      <c r="T61" s="2482"/>
      <c r="U61" s="2482"/>
      <c r="V61" s="2482"/>
      <c r="W61" s="2482"/>
      <c r="X61" s="2482"/>
      <c r="Y61" s="2482"/>
    </row>
    <row r="62" spans="1:25" ht="16.7" customHeight="1" x14ac:dyDescent="0.2">
      <c r="O62" s="2579"/>
      <c r="P62" s="2482"/>
      <c r="Q62" s="2482"/>
      <c r="R62" s="2482"/>
      <c r="S62" s="2482"/>
      <c r="T62" s="2482"/>
      <c r="U62" s="2482"/>
      <c r="V62" s="2482"/>
      <c r="W62" s="2482"/>
      <c r="X62" s="2482"/>
      <c r="Y62" s="2482"/>
    </row>
    <row r="63" spans="1:25" ht="16.7" customHeight="1" x14ac:dyDescent="0.2">
      <c r="O63" s="2579"/>
      <c r="P63" s="2482"/>
      <c r="Q63" s="2482"/>
      <c r="R63" s="2482"/>
      <c r="S63" s="2482"/>
      <c r="T63" s="2482"/>
      <c r="U63" s="2482"/>
      <c r="V63" s="2482"/>
      <c r="W63" s="2482"/>
      <c r="X63" s="2482"/>
      <c r="Y63" s="2482"/>
    </row>
    <row r="64" spans="1:25" ht="16.7" customHeight="1" x14ac:dyDescent="0.2">
      <c r="O64" s="2579"/>
      <c r="P64" s="2482"/>
      <c r="Q64" s="2482"/>
      <c r="R64" s="2482"/>
      <c r="S64" s="2482"/>
      <c r="T64" s="2482"/>
      <c r="U64" s="2482"/>
      <c r="V64" s="2482"/>
      <c r="W64" s="2482"/>
      <c r="X64" s="2482"/>
      <c r="Y64" s="2482"/>
    </row>
    <row r="65" spans="15:25" ht="16.7" customHeight="1" x14ac:dyDescent="0.2">
      <c r="O65" s="2579"/>
      <c r="P65" s="2482"/>
      <c r="Q65" s="2482"/>
      <c r="R65" s="2482"/>
      <c r="S65" s="2482"/>
      <c r="T65" s="2482"/>
      <c r="U65" s="2482"/>
      <c r="V65" s="2482"/>
      <c r="W65" s="2482"/>
      <c r="X65" s="2482"/>
      <c r="Y65" s="2482"/>
    </row>
    <row r="66" spans="15:25" ht="16.7" customHeight="1" x14ac:dyDescent="0.2">
      <c r="O66" s="2579"/>
      <c r="P66" s="2482"/>
      <c r="Q66" s="2482"/>
      <c r="R66" s="2482"/>
      <c r="S66" s="2482"/>
      <c r="T66" s="2482"/>
      <c r="U66" s="2482"/>
      <c r="V66" s="2482"/>
      <c r="W66" s="2482"/>
      <c r="X66" s="2482"/>
      <c r="Y66" s="2482"/>
    </row>
    <row r="67" spans="15:25" ht="16.7" customHeight="1" x14ac:dyDescent="0.2">
      <c r="O67" s="2579"/>
      <c r="P67" s="2482"/>
      <c r="Q67" s="2482"/>
      <c r="R67" s="2482"/>
      <c r="S67" s="2482"/>
      <c r="T67" s="2482"/>
      <c r="U67" s="2482"/>
      <c r="V67" s="2482"/>
      <c r="W67" s="2482"/>
      <c r="X67" s="2482"/>
      <c r="Y67" s="2482"/>
    </row>
    <row r="68" spans="15:25" ht="16.7" customHeight="1" x14ac:dyDescent="0.2">
      <c r="O68" s="2579"/>
      <c r="P68" s="2482"/>
      <c r="Q68" s="2482"/>
      <c r="R68" s="2482"/>
      <c r="S68" s="2482"/>
      <c r="T68" s="2482"/>
      <c r="U68" s="2482"/>
      <c r="V68" s="2482"/>
      <c r="W68" s="2482"/>
      <c r="X68" s="2482"/>
      <c r="Y68" s="2482"/>
    </row>
    <row r="69" spans="15:25" ht="16.7" customHeight="1" x14ac:dyDescent="0.2">
      <c r="O69" s="2579"/>
      <c r="P69" s="2482"/>
      <c r="Q69" s="2482"/>
      <c r="R69" s="2482"/>
      <c r="S69" s="2482"/>
      <c r="T69" s="2482"/>
      <c r="U69" s="2482"/>
      <c r="V69" s="2482"/>
      <c r="W69" s="2482"/>
      <c r="X69" s="2482"/>
      <c r="Y69" s="2482"/>
    </row>
    <row r="70" spans="15:25" ht="16.7" customHeight="1" x14ac:dyDescent="0.2">
      <c r="O70" s="2579"/>
      <c r="P70" s="2482"/>
      <c r="Q70" s="2482"/>
      <c r="R70" s="2482"/>
      <c r="S70" s="2482"/>
      <c r="T70" s="2482"/>
      <c r="U70" s="2482"/>
      <c r="V70" s="2482"/>
      <c r="W70" s="2482"/>
      <c r="X70" s="2482"/>
      <c r="Y70" s="2482"/>
    </row>
    <row r="71" spans="15:25" ht="16.7" customHeight="1" x14ac:dyDescent="0.2">
      <c r="O71" s="2579"/>
      <c r="P71" s="2482"/>
      <c r="Q71" s="2482"/>
      <c r="R71" s="2482"/>
      <c r="S71" s="2482"/>
      <c r="T71" s="2482"/>
      <c r="U71" s="2482"/>
      <c r="V71" s="2482"/>
      <c r="W71" s="2482"/>
      <c r="X71" s="2482"/>
      <c r="Y71" s="2482"/>
    </row>
    <row r="72" spans="15:25" ht="16.7" customHeight="1" x14ac:dyDescent="0.2">
      <c r="O72" s="2579"/>
      <c r="P72" s="2482"/>
      <c r="Q72" s="2482"/>
      <c r="R72" s="2482"/>
      <c r="S72" s="2482"/>
      <c r="T72" s="2482"/>
      <c r="U72" s="2482"/>
      <c r="V72" s="2482"/>
      <c r="W72" s="2482"/>
      <c r="X72" s="2482"/>
      <c r="Y72" s="2482"/>
    </row>
    <row r="73" spans="15:25" ht="16.7" customHeight="1" x14ac:dyDescent="0.2">
      <c r="O73" s="2579"/>
      <c r="P73" s="2482"/>
      <c r="Q73" s="2482"/>
      <c r="R73" s="2482"/>
      <c r="S73" s="2482"/>
      <c r="T73" s="2482"/>
      <c r="U73" s="2482"/>
      <c r="V73" s="2482"/>
      <c r="W73" s="2482"/>
      <c r="X73" s="2482"/>
      <c r="Y73" s="2482"/>
    </row>
    <row r="74" spans="15:25" ht="16.7" customHeight="1" x14ac:dyDescent="0.2">
      <c r="O74" s="2579"/>
      <c r="P74" s="2482"/>
      <c r="Q74" s="2482"/>
      <c r="R74" s="2482"/>
      <c r="S74" s="2482"/>
      <c r="T74" s="2482"/>
      <c r="U74" s="2482"/>
      <c r="V74" s="2482"/>
      <c r="W74" s="2482"/>
      <c r="X74" s="2482"/>
      <c r="Y74" s="2482"/>
    </row>
    <row r="75" spans="15:25" ht="16.7" customHeight="1" x14ac:dyDescent="0.2">
      <c r="O75" s="2579"/>
      <c r="P75" s="2482"/>
      <c r="Q75" s="2482"/>
      <c r="R75" s="2482"/>
      <c r="S75" s="2482"/>
      <c r="T75" s="2482"/>
      <c r="U75" s="2482"/>
      <c r="V75" s="2482"/>
      <c r="W75" s="2482"/>
      <c r="X75" s="2482"/>
      <c r="Y75" s="2482"/>
    </row>
    <row r="76" spans="15:25" ht="16.7" customHeight="1" x14ac:dyDescent="0.2">
      <c r="O76" s="2579"/>
      <c r="P76" s="2482"/>
      <c r="Q76" s="2482"/>
      <c r="R76" s="2482"/>
      <c r="S76" s="2482"/>
      <c r="T76" s="2482"/>
      <c r="U76" s="2482"/>
      <c r="V76" s="2482"/>
      <c r="W76" s="2482"/>
      <c r="X76" s="2482"/>
      <c r="Y76" s="2482"/>
    </row>
    <row r="77" spans="15:25" ht="16.7" customHeight="1" x14ac:dyDescent="0.2">
      <c r="O77" s="2579"/>
      <c r="P77" s="2482"/>
      <c r="Q77" s="2482"/>
      <c r="R77" s="2482"/>
      <c r="S77" s="2482"/>
      <c r="T77" s="2482"/>
      <c r="U77" s="2482"/>
      <c r="V77" s="2482"/>
      <c r="W77" s="2482"/>
      <c r="X77" s="2482"/>
      <c r="Y77" s="2482"/>
    </row>
    <row r="78" spans="15:25" ht="16.7" customHeight="1" x14ac:dyDescent="0.2">
      <c r="O78" s="2579"/>
      <c r="P78" s="2482"/>
      <c r="Q78" s="2482"/>
      <c r="R78" s="2482"/>
      <c r="S78" s="2482"/>
      <c r="T78" s="2482"/>
      <c r="U78" s="2482"/>
      <c r="V78" s="2482"/>
      <c r="W78" s="2482"/>
      <c r="X78" s="2482"/>
      <c r="Y78" s="2482"/>
    </row>
    <row r="79" spans="15:25" ht="16.7" customHeight="1" x14ac:dyDescent="0.2">
      <c r="O79" s="2579"/>
      <c r="P79" s="2482"/>
      <c r="Q79" s="2482"/>
      <c r="R79" s="2482"/>
      <c r="S79" s="2482"/>
      <c r="T79" s="2482"/>
      <c r="U79" s="2482"/>
      <c r="V79" s="2482"/>
      <c r="W79" s="2482"/>
      <c r="X79" s="2482"/>
      <c r="Y79" s="2482"/>
    </row>
    <row r="80" spans="15:25" ht="16.7" customHeight="1" x14ac:dyDescent="0.2">
      <c r="O80" s="2579"/>
      <c r="P80" s="2482"/>
      <c r="Q80" s="2482"/>
      <c r="R80" s="2482"/>
      <c r="S80" s="2482"/>
      <c r="T80" s="2482"/>
      <c r="U80" s="2482"/>
      <c r="V80" s="2482"/>
      <c r="W80" s="2482"/>
      <c r="X80" s="2482"/>
      <c r="Y80" s="2482"/>
    </row>
    <row r="81" spans="15:25" ht="16.7" customHeight="1" x14ac:dyDescent="0.2">
      <c r="O81" s="2579"/>
      <c r="P81" s="2482"/>
      <c r="Q81" s="2482"/>
      <c r="R81" s="2482"/>
      <c r="S81" s="2482"/>
      <c r="T81" s="2482"/>
      <c r="U81" s="2482"/>
      <c r="V81" s="2482"/>
      <c r="W81" s="2482"/>
      <c r="X81" s="2482"/>
      <c r="Y81" s="2482"/>
    </row>
    <row r="82" spans="15:25" ht="16.7" customHeight="1" x14ac:dyDescent="0.2">
      <c r="O82" s="2579"/>
      <c r="P82" s="2482"/>
      <c r="Q82" s="2482"/>
      <c r="R82" s="2482"/>
      <c r="S82" s="2482"/>
      <c r="T82" s="2482"/>
      <c r="U82" s="2482"/>
      <c r="V82" s="2482"/>
      <c r="W82" s="2482"/>
      <c r="X82" s="2482"/>
      <c r="Y82" s="2482"/>
    </row>
    <row r="83" spans="15:25" ht="16.7" customHeight="1" x14ac:dyDescent="0.2">
      <c r="O83" s="2579"/>
      <c r="P83" s="2482"/>
      <c r="Q83" s="2482"/>
      <c r="R83" s="2482"/>
      <c r="S83" s="2482"/>
      <c r="T83" s="2482"/>
      <c r="U83" s="2482"/>
      <c r="V83" s="2482"/>
      <c r="W83" s="2482"/>
      <c r="X83" s="2482"/>
      <c r="Y83" s="2482"/>
    </row>
    <row r="84" spans="15:25" ht="16.7" customHeight="1" x14ac:dyDescent="0.2">
      <c r="O84" s="2579"/>
      <c r="P84" s="2482"/>
      <c r="Q84" s="2482"/>
      <c r="R84" s="2482"/>
      <c r="S84" s="2482"/>
      <c r="T84" s="2482"/>
      <c r="U84" s="2482"/>
      <c r="V84" s="2482"/>
      <c r="W84" s="2482"/>
      <c r="X84" s="2482"/>
      <c r="Y84" s="2482"/>
    </row>
    <row r="85" spans="15:25" ht="16.7" customHeight="1" x14ac:dyDescent="0.2">
      <c r="O85" s="2579"/>
      <c r="P85" s="2482"/>
      <c r="Q85" s="2482"/>
      <c r="R85" s="2482"/>
      <c r="S85" s="2482"/>
      <c r="T85" s="2482"/>
      <c r="U85" s="2482"/>
      <c r="V85" s="2482"/>
      <c r="W85" s="2482"/>
      <c r="X85" s="2482"/>
      <c r="Y85" s="2482"/>
    </row>
    <row r="86" spans="15:25" ht="16.7" customHeight="1" x14ac:dyDescent="0.2">
      <c r="O86" s="2579"/>
      <c r="P86" s="2482"/>
      <c r="Q86" s="2482"/>
      <c r="R86" s="2482"/>
      <c r="S86" s="2482"/>
      <c r="T86" s="2482"/>
      <c r="U86" s="2482"/>
      <c r="V86" s="2482"/>
      <c r="W86" s="2482"/>
      <c r="X86" s="2482"/>
      <c r="Y86" s="2482"/>
    </row>
    <row r="87" spans="15:25" ht="16.7" customHeight="1" x14ac:dyDescent="0.2">
      <c r="O87" s="2579"/>
      <c r="P87" s="2482"/>
      <c r="Q87" s="2482"/>
      <c r="R87" s="2482"/>
      <c r="S87" s="2482"/>
      <c r="T87" s="2482"/>
      <c r="U87" s="2482"/>
      <c r="V87" s="2482"/>
      <c r="W87" s="2482"/>
      <c r="X87" s="2482"/>
      <c r="Y87" s="2482"/>
    </row>
    <row r="88" spans="15:25" ht="16.7" customHeight="1" x14ac:dyDescent="0.2">
      <c r="O88" s="2579"/>
      <c r="P88" s="2482"/>
      <c r="Q88" s="2482"/>
      <c r="R88" s="2482"/>
      <c r="S88" s="2482"/>
      <c r="T88" s="2482"/>
      <c r="U88" s="2482"/>
      <c r="V88" s="2482"/>
      <c r="W88" s="2482"/>
      <c r="X88" s="2482"/>
      <c r="Y88" s="2482"/>
    </row>
    <row r="89" spans="15:25" ht="16.7" customHeight="1" x14ac:dyDescent="0.2">
      <c r="O89" s="2579"/>
      <c r="P89" s="2482"/>
      <c r="Q89" s="2482"/>
      <c r="R89" s="2482"/>
      <c r="S89" s="2482"/>
      <c r="T89" s="2482"/>
      <c r="U89" s="2482"/>
      <c r="V89" s="2482"/>
      <c r="W89" s="2482"/>
      <c r="X89" s="2482"/>
      <c r="Y89" s="2482"/>
    </row>
    <row r="90" spans="15:25" ht="16.7" customHeight="1" x14ac:dyDescent="0.2">
      <c r="O90" s="2579"/>
      <c r="P90" s="2482"/>
      <c r="Q90" s="2482"/>
      <c r="R90" s="2482"/>
      <c r="S90" s="2482"/>
      <c r="T90" s="2482"/>
      <c r="U90" s="2482"/>
      <c r="V90" s="2482"/>
      <c r="W90" s="2482"/>
      <c r="X90" s="2482"/>
      <c r="Y90" s="2482"/>
    </row>
    <row r="91" spans="15:25" ht="16.7" customHeight="1" x14ac:dyDescent="0.2">
      <c r="O91" s="2579"/>
      <c r="P91" s="2482"/>
      <c r="Q91" s="2482"/>
      <c r="R91" s="2482"/>
      <c r="S91" s="2482"/>
      <c r="T91" s="2482"/>
      <c r="U91" s="2482"/>
      <c r="V91" s="2482"/>
      <c r="W91" s="2482"/>
      <c r="X91" s="2482"/>
      <c r="Y91" s="2482"/>
    </row>
    <row r="92" spans="15:25" ht="16.7" customHeight="1" x14ac:dyDescent="0.2">
      <c r="O92" s="2579"/>
      <c r="P92" s="2482"/>
      <c r="Q92" s="2482"/>
      <c r="R92" s="2482"/>
      <c r="S92" s="2482"/>
      <c r="T92" s="2482"/>
      <c r="U92" s="2482"/>
      <c r="V92" s="2482"/>
      <c r="W92" s="2482"/>
      <c r="X92" s="2482"/>
      <c r="Y92" s="2482"/>
    </row>
    <row r="93" spans="15:25" ht="16.7" customHeight="1" x14ac:dyDescent="0.2">
      <c r="O93" s="2579"/>
      <c r="P93" s="2482"/>
      <c r="Q93" s="2482"/>
      <c r="R93" s="2482"/>
      <c r="S93" s="2482"/>
      <c r="T93" s="2482"/>
      <c r="U93" s="2482"/>
      <c r="V93" s="2482"/>
      <c r="W93" s="2482"/>
      <c r="X93" s="2482"/>
      <c r="Y93" s="2482"/>
    </row>
    <row r="94" spans="15:25" ht="16.7" customHeight="1" x14ac:dyDescent="0.2">
      <c r="O94" s="2579"/>
      <c r="P94" s="2482"/>
      <c r="Q94" s="2482"/>
      <c r="R94" s="2482"/>
      <c r="S94" s="2482"/>
      <c r="T94" s="2482"/>
      <c r="U94" s="2482"/>
      <c r="V94" s="2482"/>
      <c r="W94" s="2482"/>
      <c r="X94" s="2482"/>
      <c r="Y94" s="2482"/>
    </row>
    <row r="95" spans="15:25" ht="16.7" customHeight="1" x14ac:dyDescent="0.2">
      <c r="O95" s="2579"/>
      <c r="P95" s="2482"/>
      <c r="Q95" s="2482"/>
      <c r="R95" s="2482"/>
      <c r="S95" s="2482"/>
      <c r="T95" s="2482"/>
      <c r="U95" s="2482"/>
      <c r="V95" s="2482"/>
      <c r="W95" s="2482"/>
      <c r="X95" s="2482"/>
      <c r="Y95" s="2482"/>
    </row>
    <row r="96" spans="15:25" ht="16.7" customHeight="1" x14ac:dyDescent="0.2">
      <c r="O96" s="2579"/>
      <c r="P96" s="2482"/>
      <c r="Q96" s="2482"/>
      <c r="R96" s="2482"/>
      <c r="S96" s="2482"/>
      <c r="T96" s="2482"/>
      <c r="U96" s="2482"/>
      <c r="V96" s="2482"/>
      <c r="W96" s="2482"/>
      <c r="X96" s="2482"/>
      <c r="Y96" s="2482"/>
    </row>
    <row r="97" spans="15:25" ht="16.7" customHeight="1" x14ac:dyDescent="0.2">
      <c r="O97" s="2579"/>
      <c r="P97" s="2482"/>
      <c r="Q97" s="2482"/>
      <c r="R97" s="2482"/>
      <c r="S97" s="2482"/>
      <c r="T97" s="2482"/>
      <c r="U97" s="2482"/>
      <c r="V97" s="2482"/>
      <c r="W97" s="2482"/>
      <c r="X97" s="2482"/>
      <c r="Y97" s="2482"/>
    </row>
    <row r="98" spans="15:25" ht="16.7" customHeight="1" x14ac:dyDescent="0.2">
      <c r="O98" s="2579"/>
      <c r="P98" s="2482"/>
      <c r="Q98" s="2482"/>
      <c r="R98" s="2482"/>
      <c r="S98" s="2482"/>
      <c r="T98" s="2482"/>
      <c r="U98" s="2482"/>
      <c r="V98" s="2482"/>
      <c r="W98" s="2482"/>
      <c r="X98" s="2482"/>
      <c r="Y98" s="2482"/>
    </row>
    <row r="99" spans="15:25" ht="16.7" customHeight="1" x14ac:dyDescent="0.2">
      <c r="O99" s="2579"/>
      <c r="P99" s="2482"/>
      <c r="Q99" s="2482"/>
      <c r="R99" s="2482"/>
      <c r="S99" s="2482"/>
      <c r="T99" s="2482"/>
      <c r="U99" s="2482"/>
      <c r="V99" s="2482"/>
      <c r="W99" s="2482"/>
      <c r="X99" s="2482"/>
      <c r="Y99" s="2482"/>
    </row>
    <row r="100" spans="15:25" ht="16.7" customHeight="1" x14ac:dyDescent="0.2">
      <c r="O100" s="2579"/>
      <c r="P100" s="2482"/>
      <c r="Q100" s="2482"/>
      <c r="R100" s="2482"/>
      <c r="S100" s="2482"/>
      <c r="T100" s="2482"/>
      <c r="U100" s="2482"/>
      <c r="V100" s="2482"/>
      <c r="W100" s="2482"/>
      <c r="X100" s="2482"/>
      <c r="Y100" s="2482"/>
    </row>
    <row r="101" spans="15:25" ht="16.7" customHeight="1" x14ac:dyDescent="0.2">
      <c r="O101" s="2579"/>
      <c r="P101" s="2482"/>
      <c r="Q101" s="2482"/>
      <c r="R101" s="2482"/>
      <c r="S101" s="2482"/>
      <c r="T101" s="2482"/>
      <c r="U101" s="2482"/>
      <c r="V101" s="2482"/>
      <c r="W101" s="2482"/>
      <c r="X101" s="2482"/>
      <c r="Y101" s="2482"/>
    </row>
    <row r="102" spans="15:25" ht="16.7" customHeight="1" x14ac:dyDescent="0.2">
      <c r="O102" s="2579"/>
      <c r="P102" s="2482"/>
      <c r="Q102" s="2482"/>
      <c r="R102" s="2482"/>
      <c r="S102" s="2482"/>
      <c r="T102" s="2482"/>
      <c r="U102" s="2482"/>
      <c r="V102" s="2482"/>
      <c r="W102" s="2482"/>
      <c r="X102" s="2482"/>
      <c r="Y102" s="2482"/>
    </row>
    <row r="103" spans="15:25" ht="16.7" customHeight="1" x14ac:dyDescent="0.2">
      <c r="O103" s="2579"/>
      <c r="P103" s="2482"/>
      <c r="Q103" s="2482"/>
      <c r="R103" s="2482"/>
      <c r="S103" s="2482"/>
      <c r="T103" s="2482"/>
      <c r="U103" s="2482"/>
      <c r="V103" s="2482"/>
      <c r="W103" s="2482"/>
      <c r="X103" s="2482"/>
      <c r="Y103" s="2482"/>
    </row>
    <row r="104" spans="15:25" ht="16.7" customHeight="1" x14ac:dyDescent="0.2">
      <c r="O104" s="2579"/>
      <c r="P104" s="2482"/>
      <c r="Q104" s="2482"/>
      <c r="R104" s="2482"/>
      <c r="S104" s="2482"/>
      <c r="T104" s="2482"/>
      <c r="U104" s="2482"/>
      <c r="V104" s="2482"/>
      <c r="W104" s="2482"/>
      <c r="X104" s="2482"/>
      <c r="Y104" s="2482"/>
    </row>
    <row r="105" spans="15:25" ht="16.7" customHeight="1" x14ac:dyDescent="0.2">
      <c r="O105" s="2579"/>
      <c r="P105" s="2482"/>
      <c r="Q105" s="2482"/>
      <c r="R105" s="2482"/>
      <c r="S105" s="2482"/>
      <c r="T105" s="2482"/>
      <c r="U105" s="2482"/>
      <c r="V105" s="2482"/>
      <c r="W105" s="2482"/>
      <c r="X105" s="2482"/>
      <c r="Y105" s="2482"/>
    </row>
    <row r="106" spans="15:25" ht="15" customHeight="1" x14ac:dyDescent="0.2">
      <c r="O106" s="2579"/>
      <c r="P106" s="2482"/>
      <c r="Q106" s="2482"/>
      <c r="R106" s="2482"/>
      <c r="S106" s="2482"/>
      <c r="T106" s="2482"/>
      <c r="U106" s="2482"/>
      <c r="V106" s="2482"/>
      <c r="W106" s="2482"/>
      <c r="X106" s="2482"/>
      <c r="Y106" s="2482"/>
    </row>
    <row r="107" spans="15:25" x14ac:dyDescent="0.2">
      <c r="O107" s="2608"/>
    </row>
  </sheetData>
  <mergeCells count="4">
    <mergeCell ref="A3:K3"/>
    <mergeCell ref="A4:K4"/>
    <mergeCell ref="A5:G5"/>
    <mergeCell ref="H5:K5"/>
  </mergeCells>
  <dataValidations count="1">
    <dataValidation type="list" allowBlank="1" sqref="D15:D49" xr:uid="{5007A483-D98E-4736-9D6F-A2B237FEE0E8}">
      <formula1>"Subsidiary Company Subheading,Common Stock,Capital Contribution,Paid-In-Capital,Purchase Accounting Adjustments,Purchase Accounting Goodwill Allocation,Unappropriated Undistributed Subsidiary Earnings,Advances, Open Account,Advances, Note,Captial Stock"</formula1>
    </dataValidation>
  </dataValidations>
  <pageMargins left="0.75" right="0.75" top="1" bottom="1" header="0.5" footer="0.5"/>
  <customProperties>
    <customPr name="_pios_id" r:id="rId1"/>
  </customProperties>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0C5A6C-AC17-4F5E-B069-851D3337D45E}">
  <sheetPr codeName="Sheet52"/>
  <dimension ref="A1:S107"/>
  <sheetViews>
    <sheetView showRuler="0" workbookViewId="0"/>
  </sheetViews>
  <sheetFormatPr defaultColWidth="11.5" defaultRowHeight="12.75" x14ac:dyDescent="0.2"/>
  <cols>
    <col min="1" max="1" width="3.875" style="1953" customWidth="1"/>
    <col min="2" max="2" width="58.375" style="1953" customWidth="1"/>
    <col min="3" max="8" width="17.625" style="1953" customWidth="1"/>
    <col min="9" max="19" width="17.625" style="1953" hidden="1" customWidth="1"/>
    <col min="20" max="20" width="17.625" style="1953" customWidth="1"/>
    <col min="21" max="16384" width="11.5" style="1953"/>
  </cols>
  <sheetData>
    <row r="1" spans="1:19" ht="16.7" customHeight="1" x14ac:dyDescent="0.2">
      <c r="I1" s="2673"/>
      <c r="J1" s="2482"/>
      <c r="K1" s="2482"/>
      <c r="L1" s="2482"/>
      <c r="M1" s="2482"/>
      <c r="N1" s="2482"/>
      <c r="O1" s="2482"/>
      <c r="P1" s="2482"/>
      <c r="Q1" s="2482"/>
      <c r="R1" s="2482"/>
      <c r="S1" s="2482"/>
    </row>
    <row r="2" spans="1:19" ht="16.7" customHeight="1" x14ac:dyDescent="0.2">
      <c r="I2" s="2590"/>
      <c r="J2" s="2482"/>
      <c r="K2" s="2482"/>
      <c r="L2" s="2482"/>
      <c r="M2" s="2482"/>
      <c r="N2" s="2482"/>
      <c r="O2" s="2482"/>
      <c r="P2" s="2482"/>
      <c r="Q2" s="2482"/>
      <c r="R2" s="2482"/>
      <c r="S2" s="2482"/>
    </row>
    <row r="3" spans="1:19" ht="16.7" customHeight="1" x14ac:dyDescent="0.2">
      <c r="A3" s="3875" t="s">
        <v>7003</v>
      </c>
      <c r="B3" s="3876"/>
      <c r="C3" s="3876"/>
      <c r="D3" s="3876"/>
      <c r="E3" s="3877"/>
      <c r="F3" s="2479"/>
      <c r="I3" s="2579"/>
      <c r="J3" s="2482"/>
      <c r="K3" s="2482"/>
      <c r="L3" s="2482"/>
      <c r="M3" s="2482"/>
      <c r="N3" s="2482"/>
      <c r="O3" s="2482"/>
      <c r="P3" s="2482"/>
      <c r="Q3" s="2482"/>
      <c r="R3" s="2482"/>
      <c r="S3" s="2482"/>
    </row>
    <row r="4" spans="1:19" ht="52.5" customHeight="1" x14ac:dyDescent="0.2">
      <c r="A4" s="3878" t="s">
        <v>7004</v>
      </c>
      <c r="B4" s="3879"/>
      <c r="C4" s="3879"/>
      <c r="D4" s="3879"/>
      <c r="E4" s="3880"/>
      <c r="F4" s="2479"/>
      <c r="I4" s="2579"/>
      <c r="J4" s="2482"/>
      <c r="K4" s="2482"/>
      <c r="L4" s="2482"/>
      <c r="M4" s="2482"/>
      <c r="N4" s="2482"/>
      <c r="O4" s="2482"/>
      <c r="P4" s="2482"/>
      <c r="Q4" s="2482"/>
      <c r="R4" s="2482"/>
      <c r="S4" s="2482"/>
    </row>
    <row r="5" spans="1:19" ht="42.6" customHeight="1" x14ac:dyDescent="0.2">
      <c r="A5" s="2492" t="s">
        <v>6360</v>
      </c>
      <c r="B5" s="2492" t="s">
        <v>96</v>
      </c>
      <c r="C5" s="2492" t="s">
        <v>7005</v>
      </c>
      <c r="D5" s="2492" t="s">
        <v>7006</v>
      </c>
      <c r="E5" s="2492" t="s">
        <v>7007</v>
      </c>
      <c r="F5" s="2479"/>
      <c r="I5" s="2579"/>
      <c r="J5" s="2482" t="s">
        <v>6985</v>
      </c>
      <c r="K5" s="2482" t="s">
        <v>7008</v>
      </c>
      <c r="L5" s="2482"/>
      <c r="M5" s="2482"/>
      <c r="N5" s="2482"/>
      <c r="O5" s="2482"/>
      <c r="P5" s="2482"/>
      <c r="Q5" s="2482"/>
      <c r="R5" s="2482"/>
      <c r="S5" s="2482"/>
    </row>
    <row r="6" spans="1:19" ht="14.1" customHeight="1" x14ac:dyDescent="0.2">
      <c r="A6" s="2492"/>
      <c r="B6" s="2492" t="s">
        <v>5949</v>
      </c>
      <c r="C6" s="2492" t="s">
        <v>5950</v>
      </c>
      <c r="D6" s="2492" t="s">
        <v>5951</v>
      </c>
      <c r="E6" s="2492" t="s">
        <v>5952</v>
      </c>
      <c r="F6" s="2479" t="s">
        <v>6324</v>
      </c>
      <c r="I6" s="2579"/>
      <c r="J6" s="2482"/>
      <c r="K6" s="2482"/>
      <c r="L6" s="2482"/>
      <c r="M6" s="2482"/>
      <c r="N6" s="2482"/>
      <c r="O6" s="2482"/>
      <c r="P6" s="2482"/>
      <c r="Q6" s="2482"/>
      <c r="R6" s="2482"/>
      <c r="S6" s="2482"/>
    </row>
    <row r="7" spans="1:19" ht="14.1" customHeight="1" x14ac:dyDescent="0.2">
      <c r="A7" s="2492"/>
      <c r="B7" s="2492"/>
      <c r="C7" s="2712">
        <v>44926</v>
      </c>
      <c r="D7" s="2712">
        <v>45291</v>
      </c>
      <c r="E7" s="2492"/>
      <c r="F7" s="2725"/>
      <c r="I7" s="2579"/>
      <c r="J7" s="2482"/>
      <c r="K7" s="2482" t="s">
        <v>6484</v>
      </c>
      <c r="L7" s="2482"/>
      <c r="M7" s="2482"/>
      <c r="N7" s="2482"/>
      <c r="O7" s="2482"/>
      <c r="P7" s="2482"/>
      <c r="Q7" s="2482"/>
      <c r="R7" s="2482"/>
      <c r="S7" s="2482"/>
    </row>
    <row r="8" spans="1:19" ht="16.7" customHeight="1" x14ac:dyDescent="0.2">
      <c r="A8" s="2716">
        <v>1</v>
      </c>
      <c r="B8" s="2726" t="s">
        <v>7009</v>
      </c>
      <c r="C8" s="2727">
        <v>133979566</v>
      </c>
      <c r="D8" s="2728">
        <v>103923863</v>
      </c>
      <c r="E8" s="2726" t="s">
        <v>511</v>
      </c>
      <c r="F8" s="2729"/>
      <c r="I8" s="2579"/>
      <c r="J8" s="2715" t="s">
        <v>6139</v>
      </c>
      <c r="K8" s="2730">
        <v>222141625</v>
      </c>
      <c r="L8" s="2482"/>
      <c r="M8" s="2482"/>
      <c r="N8" s="2482"/>
      <c r="O8" s="2482"/>
      <c r="P8" s="2482"/>
      <c r="Q8" s="2482"/>
      <c r="R8" s="2482"/>
      <c r="S8" s="2482"/>
    </row>
    <row r="9" spans="1:19" ht="16.7" customHeight="1" x14ac:dyDescent="0.2">
      <c r="A9" s="2716">
        <v>2</v>
      </c>
      <c r="B9" s="2726" t="s">
        <v>7010</v>
      </c>
      <c r="C9" s="2731">
        <v>0</v>
      </c>
      <c r="D9" s="2530">
        <v>0</v>
      </c>
      <c r="E9" s="2726"/>
      <c r="F9" s="2729"/>
      <c r="I9" s="2579"/>
      <c r="J9" s="2715" t="s">
        <v>5957</v>
      </c>
      <c r="K9" s="2732">
        <v>0</v>
      </c>
      <c r="L9" s="2482"/>
      <c r="M9" s="2482"/>
      <c r="N9" s="2482"/>
      <c r="O9" s="2482"/>
      <c r="P9" s="2482"/>
      <c r="Q9" s="2482"/>
      <c r="R9" s="2482"/>
      <c r="S9" s="2482"/>
    </row>
    <row r="10" spans="1:19" ht="16.7" customHeight="1" x14ac:dyDescent="0.2">
      <c r="A10" s="2716">
        <v>3</v>
      </c>
      <c r="B10" s="2726" t="s">
        <v>7011</v>
      </c>
      <c r="C10" s="2731">
        <v>0</v>
      </c>
      <c r="D10" s="2530">
        <v>0</v>
      </c>
      <c r="E10" s="2488"/>
      <c r="F10" s="2479"/>
      <c r="I10" s="2579"/>
      <c r="J10" s="2715" t="s">
        <v>5959</v>
      </c>
      <c r="K10" s="2732">
        <v>0</v>
      </c>
      <c r="L10" s="2482"/>
      <c r="M10" s="2482"/>
      <c r="N10" s="2482"/>
      <c r="O10" s="2482"/>
      <c r="P10" s="2482"/>
      <c r="Q10" s="2482"/>
      <c r="R10" s="2482"/>
      <c r="S10" s="2482"/>
    </row>
    <row r="11" spans="1:19" ht="16.7" customHeight="1" x14ac:dyDescent="0.2">
      <c r="A11" s="2716">
        <v>4</v>
      </c>
      <c r="B11" s="2726" t="s">
        <v>7012</v>
      </c>
      <c r="C11" s="2733"/>
      <c r="D11" s="2488"/>
      <c r="E11" s="2488"/>
      <c r="F11" s="2479"/>
      <c r="I11" s="2579"/>
      <c r="J11" s="2715" t="s">
        <v>5961</v>
      </c>
      <c r="K11" s="2732">
        <v>0</v>
      </c>
      <c r="L11" s="2482"/>
      <c r="M11" s="2482"/>
      <c r="N11" s="2482"/>
      <c r="O11" s="2482"/>
      <c r="P11" s="2482"/>
      <c r="Q11" s="2482"/>
      <c r="R11" s="2482"/>
      <c r="S11" s="2482"/>
    </row>
    <row r="12" spans="1:19" ht="16.7" customHeight="1" x14ac:dyDescent="0.2">
      <c r="A12" s="2716">
        <v>5</v>
      </c>
      <c r="B12" s="2726" t="s">
        <v>7013</v>
      </c>
      <c r="C12" s="2731">
        <v>251987732</v>
      </c>
      <c r="D12" s="2731">
        <v>336602638</v>
      </c>
      <c r="E12" s="2726" t="s">
        <v>511</v>
      </c>
      <c r="F12" s="2729"/>
      <c r="I12" s="2579"/>
      <c r="J12" s="2715" t="s">
        <v>5963</v>
      </c>
      <c r="K12" s="2730">
        <v>176943869</v>
      </c>
      <c r="L12" s="2482"/>
      <c r="M12" s="2482"/>
      <c r="N12" s="2482"/>
      <c r="O12" s="2482"/>
      <c r="P12" s="2482"/>
      <c r="Q12" s="2482"/>
      <c r="R12" s="2482"/>
      <c r="S12" s="2482"/>
    </row>
    <row r="13" spans="1:19" ht="16.7" customHeight="1" x14ac:dyDescent="0.2">
      <c r="A13" s="2716">
        <v>6</v>
      </c>
      <c r="B13" s="2726" t="s">
        <v>7014</v>
      </c>
      <c r="C13" s="2731">
        <v>0</v>
      </c>
      <c r="D13" s="2488"/>
      <c r="E13" s="2488"/>
      <c r="F13" s="2479"/>
      <c r="I13" s="2579"/>
      <c r="J13" s="2715" t="s">
        <v>5965</v>
      </c>
      <c r="K13" s="2730">
        <v>0</v>
      </c>
      <c r="L13" s="2482"/>
      <c r="M13" s="2482"/>
      <c r="N13" s="2482"/>
      <c r="O13" s="2482"/>
      <c r="P13" s="2482"/>
      <c r="Q13" s="2482"/>
      <c r="R13" s="2482"/>
      <c r="S13" s="2482"/>
    </row>
    <row r="14" spans="1:19" ht="16.7" customHeight="1" x14ac:dyDescent="0.2">
      <c r="A14" s="2716">
        <v>7</v>
      </c>
      <c r="B14" s="2726" t="s">
        <v>7015</v>
      </c>
      <c r="C14" s="2731">
        <v>65271248</v>
      </c>
      <c r="D14" s="2731">
        <v>65247369</v>
      </c>
      <c r="E14" s="2726" t="s">
        <v>511</v>
      </c>
      <c r="F14" s="2729"/>
      <c r="I14" s="2579"/>
      <c r="J14" s="2715" t="s">
        <v>5968</v>
      </c>
      <c r="K14" s="2730">
        <v>68021729</v>
      </c>
      <c r="L14" s="2482"/>
      <c r="M14" s="2482"/>
      <c r="N14" s="2482"/>
      <c r="O14" s="2482"/>
      <c r="P14" s="2482"/>
      <c r="Q14" s="2482"/>
      <c r="R14" s="2482"/>
      <c r="S14" s="2482"/>
    </row>
    <row r="15" spans="1:19" ht="16.7" customHeight="1" x14ac:dyDescent="0.2">
      <c r="A15" s="2716">
        <v>8</v>
      </c>
      <c r="B15" s="2726" t="s">
        <v>7016</v>
      </c>
      <c r="C15" s="2731">
        <v>1327748</v>
      </c>
      <c r="D15" s="2731">
        <v>1657571</v>
      </c>
      <c r="E15" s="2726" t="s">
        <v>511</v>
      </c>
      <c r="F15" s="2729"/>
      <c r="I15" s="2579"/>
      <c r="J15" s="2715" t="s">
        <v>5970</v>
      </c>
      <c r="K15" s="2730">
        <v>1231929</v>
      </c>
      <c r="L15" s="2482"/>
      <c r="M15" s="2482"/>
      <c r="N15" s="2482"/>
      <c r="O15" s="2482"/>
      <c r="P15" s="2482"/>
      <c r="Q15" s="2482"/>
      <c r="R15" s="2482"/>
      <c r="S15" s="2482"/>
    </row>
    <row r="16" spans="1:19" ht="16.7" customHeight="1" x14ac:dyDescent="0.2">
      <c r="A16" s="2716">
        <v>9</v>
      </c>
      <c r="B16" s="2726" t="s">
        <v>7017</v>
      </c>
      <c r="C16" s="2731">
        <v>21774345</v>
      </c>
      <c r="D16" s="2731">
        <v>24933422</v>
      </c>
      <c r="E16" s="2726" t="s">
        <v>511</v>
      </c>
      <c r="F16" s="2729"/>
      <c r="I16" s="2579"/>
      <c r="J16" s="2715" t="s">
        <v>5972</v>
      </c>
      <c r="K16" s="2730">
        <v>14018480</v>
      </c>
      <c r="L16" s="2482"/>
      <c r="M16" s="2482"/>
      <c r="N16" s="2482"/>
      <c r="O16" s="2482"/>
      <c r="P16" s="2482"/>
      <c r="Q16" s="2482"/>
      <c r="R16" s="2482"/>
      <c r="S16" s="2482"/>
    </row>
    <row r="17" spans="1:19" ht="16.7" customHeight="1" x14ac:dyDescent="0.2">
      <c r="A17" s="2716">
        <v>10</v>
      </c>
      <c r="B17" s="2726" t="s">
        <v>7018</v>
      </c>
      <c r="C17" s="2731">
        <v>0</v>
      </c>
      <c r="D17" s="2530">
        <v>0</v>
      </c>
      <c r="E17" s="2488"/>
      <c r="F17" s="2479"/>
      <c r="I17" s="2579"/>
      <c r="J17" s="2715" t="s">
        <v>5974</v>
      </c>
      <c r="K17" s="2730">
        <v>0</v>
      </c>
      <c r="L17" s="2482"/>
      <c r="M17" s="2482"/>
      <c r="N17" s="2482"/>
      <c r="O17" s="2482"/>
      <c r="P17" s="2482"/>
      <c r="Q17" s="2482"/>
      <c r="R17" s="2482"/>
      <c r="S17" s="2482"/>
    </row>
    <row r="18" spans="1:19" ht="16.7" customHeight="1" x14ac:dyDescent="0.2">
      <c r="A18" s="2716">
        <v>11</v>
      </c>
      <c r="B18" s="2726" t="s">
        <v>7019</v>
      </c>
      <c r="C18" s="2731">
        <v>0</v>
      </c>
      <c r="D18" s="2734">
        <v>0</v>
      </c>
      <c r="E18" s="2726"/>
      <c r="F18" s="2729"/>
      <c r="I18" s="2579"/>
      <c r="J18" s="2715" t="s">
        <v>5976</v>
      </c>
      <c r="K18" s="2730">
        <v>19098</v>
      </c>
      <c r="L18" s="2482"/>
      <c r="M18" s="2482"/>
      <c r="N18" s="2482"/>
      <c r="O18" s="2482"/>
      <c r="P18" s="2482"/>
      <c r="Q18" s="2482"/>
      <c r="R18" s="2482"/>
      <c r="S18" s="2482"/>
    </row>
    <row r="19" spans="1:19" ht="16.7" customHeight="1" x14ac:dyDescent="0.2">
      <c r="A19" s="2716">
        <v>12</v>
      </c>
      <c r="B19" s="2735" t="s">
        <v>7020</v>
      </c>
      <c r="C19" s="2736">
        <f>SUM(C12:C18)</f>
        <v>340361073</v>
      </c>
      <c r="D19" s="2737">
        <f>SUM(D12:D18)</f>
        <v>428441000</v>
      </c>
      <c r="E19" s="2488"/>
      <c r="F19" s="2479"/>
      <c r="I19" s="2579"/>
      <c r="J19" s="2715" t="s">
        <v>5978</v>
      </c>
      <c r="K19" s="2730">
        <v>260235105</v>
      </c>
      <c r="L19" s="2482"/>
      <c r="M19" s="2482"/>
      <c r="N19" s="2482"/>
      <c r="O19" s="2482"/>
      <c r="P19" s="2482"/>
      <c r="Q19" s="2482"/>
      <c r="R19" s="2482"/>
      <c r="S19" s="2482"/>
    </row>
    <row r="20" spans="1:19" ht="16.7" customHeight="1" x14ac:dyDescent="0.2">
      <c r="A20" s="2716">
        <v>13</v>
      </c>
      <c r="B20" s="2726" t="s">
        <v>7021</v>
      </c>
      <c r="C20" s="2733"/>
      <c r="D20" s="2530">
        <v>0</v>
      </c>
      <c r="E20" s="2488"/>
      <c r="F20" s="2479"/>
      <c r="I20" s="2579"/>
      <c r="J20" s="2715" t="s">
        <v>5980</v>
      </c>
      <c r="K20" s="2730">
        <v>0</v>
      </c>
      <c r="L20" s="2482"/>
      <c r="M20" s="2482"/>
      <c r="N20" s="2482"/>
      <c r="O20" s="2482"/>
      <c r="P20" s="2482"/>
      <c r="Q20" s="2482"/>
      <c r="R20" s="2482"/>
      <c r="S20" s="2482"/>
    </row>
    <row r="21" spans="1:19" ht="16.7" customHeight="1" x14ac:dyDescent="0.2">
      <c r="A21" s="2716">
        <v>14</v>
      </c>
      <c r="B21" s="2726" t="s">
        <v>7022</v>
      </c>
      <c r="C21" s="2733"/>
      <c r="D21" s="2530">
        <v>0</v>
      </c>
      <c r="E21" s="2488"/>
      <c r="F21" s="2479"/>
      <c r="I21" s="2579"/>
      <c r="J21" s="2715" t="s">
        <v>5982</v>
      </c>
      <c r="K21" s="2730">
        <v>0</v>
      </c>
      <c r="L21" s="2482"/>
      <c r="M21" s="2482"/>
      <c r="N21" s="2482"/>
      <c r="O21" s="2482"/>
      <c r="P21" s="2482"/>
      <c r="Q21" s="2482"/>
      <c r="R21" s="2482"/>
      <c r="S21" s="2482"/>
    </row>
    <row r="22" spans="1:19" ht="16.7" customHeight="1" x14ac:dyDescent="0.2">
      <c r="A22" s="2716">
        <v>15</v>
      </c>
      <c r="B22" s="2726" t="s">
        <v>7023</v>
      </c>
      <c r="C22" s="2733"/>
      <c r="D22" s="2530">
        <v>0</v>
      </c>
      <c r="E22" s="2488"/>
      <c r="F22" s="2479"/>
      <c r="I22" s="2579"/>
      <c r="J22" s="2715" t="s">
        <v>5984</v>
      </c>
      <c r="K22" s="2730">
        <v>0</v>
      </c>
      <c r="L22" s="2482"/>
      <c r="M22" s="2482"/>
      <c r="N22" s="2482"/>
      <c r="O22" s="2482"/>
      <c r="P22" s="2482"/>
      <c r="Q22" s="2482"/>
      <c r="R22" s="2482"/>
      <c r="S22" s="2482"/>
    </row>
    <row r="23" spans="1:19" ht="16.7" customHeight="1" x14ac:dyDescent="0.2">
      <c r="A23" s="2716">
        <v>16</v>
      </c>
      <c r="B23" s="2726" t="s">
        <v>7024</v>
      </c>
      <c r="C23" s="2733"/>
      <c r="D23" s="2731">
        <v>0</v>
      </c>
      <c r="E23" s="2488"/>
      <c r="F23" s="2479"/>
      <c r="I23" s="2579"/>
      <c r="J23" s="2715" t="s">
        <v>5986</v>
      </c>
      <c r="K23" s="2730">
        <v>0</v>
      </c>
      <c r="L23" s="2482"/>
      <c r="M23" s="2482"/>
      <c r="N23" s="2482"/>
      <c r="O23" s="2482"/>
      <c r="P23" s="2482"/>
      <c r="Q23" s="2482"/>
      <c r="R23" s="2482"/>
      <c r="S23" s="2482"/>
    </row>
    <row r="24" spans="1:19" ht="16.7" customHeight="1" x14ac:dyDescent="0.2">
      <c r="A24" s="2716">
        <v>17</v>
      </c>
      <c r="B24" s="2488"/>
      <c r="C24" s="2733"/>
      <c r="D24" s="2488"/>
      <c r="E24" s="2488"/>
      <c r="F24" s="2595">
        <f>B24</f>
        <v>0</v>
      </c>
      <c r="I24" s="2579"/>
      <c r="J24" s="2715" t="s">
        <v>5988</v>
      </c>
      <c r="K24" s="2730">
        <v>0</v>
      </c>
      <c r="L24" s="2482"/>
      <c r="M24" s="2482"/>
      <c r="N24" s="2482"/>
      <c r="O24" s="2482"/>
      <c r="P24" s="2482"/>
      <c r="Q24" s="2482"/>
      <c r="R24" s="2482"/>
      <c r="S24" s="2482"/>
    </row>
    <row r="25" spans="1:19" ht="16.7" customHeight="1" x14ac:dyDescent="0.2">
      <c r="A25" s="2716">
        <v>18</v>
      </c>
      <c r="B25" s="2488"/>
      <c r="C25" s="2733"/>
      <c r="D25" s="2488"/>
      <c r="E25" s="2488"/>
      <c r="F25" s="2595">
        <f>B25</f>
        <v>0</v>
      </c>
      <c r="I25" s="2579"/>
      <c r="J25" s="2715" t="s">
        <v>5990</v>
      </c>
      <c r="K25" s="2730">
        <v>0</v>
      </c>
      <c r="L25" s="2482"/>
      <c r="M25" s="2482"/>
      <c r="N25" s="2482"/>
      <c r="O25" s="2482"/>
      <c r="P25" s="2482"/>
      <c r="Q25" s="2482"/>
      <c r="R25" s="2482"/>
      <c r="S25" s="2482"/>
    </row>
    <row r="26" spans="1:19" ht="16.7" customHeight="1" x14ac:dyDescent="0.2">
      <c r="A26" s="2716">
        <v>19</v>
      </c>
      <c r="B26" s="2488"/>
      <c r="C26" s="2733"/>
      <c r="D26" s="2488"/>
      <c r="E26" s="2488"/>
      <c r="F26" s="2595">
        <f>B26</f>
        <v>0</v>
      </c>
      <c r="I26" s="2579"/>
      <c r="J26" s="2715" t="s">
        <v>5992</v>
      </c>
      <c r="K26" s="2730">
        <v>0</v>
      </c>
      <c r="L26" s="2482"/>
      <c r="M26" s="2482"/>
      <c r="N26" s="2482"/>
      <c r="O26" s="2482"/>
      <c r="P26" s="2482"/>
      <c r="Q26" s="2482"/>
      <c r="R26" s="2482"/>
      <c r="S26" s="2482"/>
    </row>
    <row r="27" spans="1:19" ht="27.6" customHeight="1" x14ac:dyDescent="0.2">
      <c r="A27" s="2738">
        <v>20</v>
      </c>
      <c r="B27" s="2735" t="s">
        <v>7025</v>
      </c>
      <c r="C27" s="2736">
        <f>SUM(C8:C11,C19,C20:C26)</f>
        <v>474340639</v>
      </c>
      <c r="D27" s="2736">
        <f>SUM(D8:D11,D19,D20:D26)</f>
        <v>532364863</v>
      </c>
      <c r="E27" s="2488"/>
      <c r="F27" s="2479"/>
      <c r="I27" s="2579"/>
      <c r="J27" s="2715" t="s">
        <v>5994</v>
      </c>
      <c r="K27" s="2730">
        <v>482376730</v>
      </c>
      <c r="L27" s="2482"/>
      <c r="M27" s="2482"/>
      <c r="N27" s="2482"/>
      <c r="O27" s="2482"/>
      <c r="P27" s="2482"/>
      <c r="Q27" s="2482"/>
      <c r="R27" s="2482"/>
      <c r="S27" s="2482"/>
    </row>
    <row r="28" spans="1:19" ht="16.7" customHeight="1" x14ac:dyDescent="0.2">
      <c r="A28" s="2516"/>
      <c r="B28" s="2516"/>
      <c r="C28" s="2516"/>
      <c r="D28" s="2516"/>
      <c r="E28" s="2516"/>
      <c r="I28" s="2579"/>
      <c r="J28" s="2482"/>
      <c r="K28" s="2482"/>
      <c r="L28" s="2482"/>
      <c r="M28" s="2482"/>
      <c r="N28" s="2482"/>
      <c r="O28" s="2482"/>
      <c r="P28" s="2482"/>
      <c r="Q28" s="2482"/>
      <c r="R28" s="2482"/>
      <c r="S28" s="2482"/>
    </row>
    <row r="29" spans="1:19" ht="15" customHeight="1" x14ac:dyDescent="0.2">
      <c r="I29" s="2579"/>
      <c r="J29" s="2482"/>
      <c r="K29" s="2482"/>
      <c r="L29" s="2482"/>
      <c r="M29" s="2482"/>
      <c r="N29" s="2482"/>
      <c r="O29" s="2482"/>
      <c r="P29" s="2482"/>
      <c r="Q29" s="2482"/>
      <c r="R29" s="2482"/>
      <c r="S29" s="2482"/>
    </row>
    <row r="30" spans="1:19" ht="15" customHeight="1" x14ac:dyDescent="0.2">
      <c r="I30" s="2579"/>
      <c r="J30" s="2482"/>
      <c r="K30" s="2482"/>
      <c r="L30" s="2482"/>
      <c r="M30" s="2482"/>
      <c r="N30" s="2482"/>
      <c r="O30" s="2482"/>
      <c r="P30" s="2482"/>
      <c r="Q30" s="2482"/>
      <c r="R30" s="2482"/>
      <c r="S30" s="2482"/>
    </row>
    <row r="31" spans="1:19" ht="15" customHeight="1" x14ac:dyDescent="0.2">
      <c r="I31" s="2579"/>
      <c r="J31" s="2482"/>
      <c r="K31" s="2482"/>
      <c r="L31" s="2482"/>
      <c r="M31" s="2482"/>
      <c r="N31" s="2482"/>
      <c r="O31" s="2482"/>
      <c r="P31" s="2482"/>
      <c r="Q31" s="2482"/>
      <c r="R31" s="2482"/>
      <c r="S31" s="2482"/>
    </row>
    <row r="32" spans="1:19" ht="15" customHeight="1" x14ac:dyDescent="0.2">
      <c r="I32" s="2579"/>
      <c r="J32" s="2482"/>
      <c r="K32" s="2482"/>
      <c r="L32" s="2482"/>
      <c r="M32" s="2482"/>
      <c r="N32" s="2482"/>
      <c r="O32" s="2482"/>
      <c r="P32" s="2482"/>
      <c r="Q32" s="2482"/>
      <c r="R32" s="2482"/>
      <c r="S32" s="2482"/>
    </row>
    <row r="33" spans="9:19" ht="15" customHeight="1" x14ac:dyDescent="0.2">
      <c r="I33" s="2579"/>
      <c r="J33" s="2482"/>
      <c r="K33" s="2482"/>
      <c r="L33" s="2482"/>
      <c r="M33" s="2482"/>
      <c r="N33" s="2482"/>
      <c r="O33" s="2482"/>
      <c r="P33" s="2482"/>
      <c r="Q33" s="2482"/>
      <c r="R33" s="2482"/>
      <c r="S33" s="2482"/>
    </row>
    <row r="34" spans="9:19" ht="15" customHeight="1" x14ac:dyDescent="0.2">
      <c r="I34" s="2579"/>
      <c r="J34" s="2482"/>
      <c r="K34" s="2482"/>
      <c r="L34" s="2482"/>
      <c r="M34" s="2482"/>
      <c r="N34" s="2482"/>
      <c r="O34" s="2482"/>
      <c r="P34" s="2482"/>
      <c r="Q34" s="2482"/>
      <c r="R34" s="2482"/>
      <c r="S34" s="2482"/>
    </row>
    <row r="35" spans="9:19" ht="15" customHeight="1" x14ac:dyDescent="0.2">
      <c r="I35" s="2579"/>
      <c r="J35" s="2482"/>
      <c r="K35" s="2482"/>
      <c r="L35" s="2482"/>
      <c r="M35" s="2482"/>
      <c r="N35" s="2482"/>
      <c r="O35" s="2482"/>
      <c r="P35" s="2482"/>
      <c r="Q35" s="2482"/>
      <c r="R35" s="2482"/>
      <c r="S35" s="2482"/>
    </row>
    <row r="36" spans="9:19" ht="15" customHeight="1" x14ac:dyDescent="0.2">
      <c r="I36" s="2579"/>
      <c r="J36" s="2482"/>
      <c r="K36" s="2482"/>
      <c r="L36" s="2482"/>
      <c r="M36" s="2482"/>
      <c r="N36" s="2482"/>
      <c r="O36" s="2482"/>
      <c r="P36" s="2482"/>
      <c r="Q36" s="2482"/>
      <c r="R36" s="2482"/>
      <c r="S36" s="2482"/>
    </row>
    <row r="37" spans="9:19" ht="15" customHeight="1" x14ac:dyDescent="0.2">
      <c r="I37" s="2579"/>
      <c r="J37" s="2482"/>
      <c r="K37" s="2482"/>
      <c r="L37" s="2482"/>
      <c r="M37" s="2482"/>
      <c r="N37" s="2482"/>
      <c r="O37" s="2482"/>
      <c r="P37" s="2482"/>
      <c r="Q37" s="2482"/>
      <c r="R37" s="2482"/>
      <c r="S37" s="2482"/>
    </row>
    <row r="38" spans="9:19" ht="15" customHeight="1" x14ac:dyDescent="0.2">
      <c r="I38" s="2579"/>
      <c r="J38" s="2482"/>
      <c r="K38" s="2482"/>
      <c r="L38" s="2482"/>
      <c r="M38" s="2482"/>
      <c r="N38" s="2482"/>
      <c r="O38" s="2482"/>
      <c r="P38" s="2482"/>
      <c r="Q38" s="2482"/>
      <c r="R38" s="2482"/>
      <c r="S38" s="2482"/>
    </row>
    <row r="39" spans="9:19" ht="15" customHeight="1" x14ac:dyDescent="0.2">
      <c r="I39" s="2579"/>
      <c r="J39" s="2482"/>
      <c r="K39" s="2482"/>
      <c r="L39" s="2482"/>
      <c r="M39" s="2482"/>
      <c r="N39" s="2482"/>
      <c r="O39" s="2482"/>
      <c r="P39" s="2482"/>
      <c r="Q39" s="2482"/>
      <c r="R39" s="2482"/>
      <c r="S39" s="2482"/>
    </row>
    <row r="40" spans="9:19" ht="15" customHeight="1" x14ac:dyDescent="0.2">
      <c r="I40" s="2579"/>
      <c r="J40" s="2482"/>
      <c r="K40" s="2482"/>
      <c r="L40" s="2482"/>
      <c r="M40" s="2482"/>
      <c r="N40" s="2482"/>
      <c r="O40" s="2482"/>
      <c r="P40" s="2482"/>
      <c r="Q40" s="2482"/>
      <c r="R40" s="2482"/>
      <c r="S40" s="2482"/>
    </row>
    <row r="41" spans="9:19" ht="15" customHeight="1" x14ac:dyDescent="0.2">
      <c r="I41" s="2579"/>
      <c r="J41" s="2482"/>
      <c r="K41" s="2482"/>
      <c r="L41" s="2482"/>
      <c r="M41" s="2482"/>
      <c r="N41" s="2482"/>
      <c r="O41" s="2482"/>
      <c r="P41" s="2482"/>
      <c r="Q41" s="2482"/>
      <c r="R41" s="2482"/>
      <c r="S41" s="2482"/>
    </row>
    <row r="42" spans="9:19" ht="15" customHeight="1" x14ac:dyDescent="0.2">
      <c r="I42" s="2579"/>
      <c r="J42" s="2482"/>
      <c r="K42" s="2482"/>
      <c r="L42" s="2482"/>
      <c r="M42" s="2482"/>
      <c r="N42" s="2482"/>
      <c r="O42" s="2482"/>
      <c r="P42" s="2482"/>
      <c r="Q42" s="2482"/>
      <c r="R42" s="2482"/>
      <c r="S42" s="2482"/>
    </row>
    <row r="43" spans="9:19" ht="15" customHeight="1" x14ac:dyDescent="0.2">
      <c r="I43" s="2579"/>
      <c r="J43" s="2482"/>
      <c r="K43" s="2482"/>
      <c r="L43" s="2482"/>
      <c r="M43" s="2482"/>
      <c r="N43" s="2482"/>
      <c r="O43" s="2482"/>
      <c r="P43" s="2482"/>
      <c r="Q43" s="2482"/>
      <c r="R43" s="2482"/>
      <c r="S43" s="2482"/>
    </row>
    <row r="44" spans="9:19" ht="15" customHeight="1" x14ac:dyDescent="0.2">
      <c r="I44" s="2579"/>
      <c r="J44" s="2482"/>
      <c r="K44" s="2482"/>
      <c r="L44" s="2482"/>
      <c r="M44" s="2482"/>
      <c r="N44" s="2482"/>
      <c r="O44" s="2482"/>
      <c r="P44" s="2482"/>
      <c r="Q44" s="2482"/>
      <c r="R44" s="2482"/>
      <c r="S44" s="2482"/>
    </row>
    <row r="45" spans="9:19" ht="15" customHeight="1" x14ac:dyDescent="0.2">
      <c r="I45" s="2579"/>
      <c r="J45" s="2482"/>
      <c r="K45" s="2482"/>
      <c r="L45" s="2482"/>
      <c r="M45" s="2482"/>
      <c r="N45" s="2482"/>
      <c r="O45" s="2482"/>
      <c r="P45" s="2482"/>
      <c r="Q45" s="2482"/>
      <c r="R45" s="2482"/>
      <c r="S45" s="2482"/>
    </row>
    <row r="46" spans="9:19" ht="15" customHeight="1" x14ac:dyDescent="0.2">
      <c r="I46" s="2579"/>
      <c r="J46" s="2482"/>
      <c r="K46" s="2482"/>
      <c r="L46" s="2482"/>
      <c r="M46" s="2482"/>
      <c r="N46" s="2482"/>
      <c r="O46" s="2482"/>
      <c r="P46" s="2482"/>
      <c r="Q46" s="2482"/>
      <c r="R46" s="2482"/>
      <c r="S46" s="2482"/>
    </row>
    <row r="47" spans="9:19" ht="15" customHeight="1" x14ac:dyDescent="0.2">
      <c r="I47" s="2579"/>
      <c r="J47" s="2482"/>
      <c r="K47" s="2482"/>
      <c r="L47" s="2482"/>
      <c r="M47" s="2482"/>
      <c r="N47" s="2482"/>
      <c r="O47" s="2482"/>
      <c r="P47" s="2482"/>
      <c r="Q47" s="2482"/>
      <c r="R47" s="2482"/>
      <c r="S47" s="2482"/>
    </row>
    <row r="48" spans="9:19" ht="15" customHeight="1" x14ac:dyDescent="0.2">
      <c r="I48" s="2579"/>
      <c r="J48" s="2482"/>
      <c r="K48" s="2482"/>
      <c r="L48" s="2482"/>
      <c r="M48" s="2482"/>
      <c r="N48" s="2482"/>
      <c r="O48" s="2482"/>
      <c r="P48" s="2482"/>
      <c r="Q48" s="2482"/>
      <c r="R48" s="2482"/>
      <c r="S48" s="2482"/>
    </row>
    <row r="49" spans="9:19" ht="15" customHeight="1" x14ac:dyDescent="0.2">
      <c r="I49" s="2579"/>
      <c r="J49" s="2482"/>
      <c r="K49" s="2482"/>
      <c r="L49" s="2482"/>
      <c r="M49" s="2482"/>
      <c r="N49" s="2482"/>
      <c r="O49" s="2482"/>
      <c r="P49" s="2482"/>
      <c r="Q49" s="2482"/>
      <c r="R49" s="2482"/>
      <c r="S49" s="2482"/>
    </row>
    <row r="50" spans="9:19" ht="15" customHeight="1" x14ac:dyDescent="0.2">
      <c r="I50" s="2579"/>
      <c r="J50" s="2482"/>
      <c r="K50" s="2482"/>
      <c r="L50" s="2482"/>
      <c r="M50" s="2482"/>
      <c r="N50" s="2482"/>
      <c r="O50" s="2482"/>
      <c r="P50" s="2482"/>
      <c r="Q50" s="2482"/>
      <c r="R50" s="2482"/>
      <c r="S50" s="2482"/>
    </row>
    <row r="51" spans="9:19" ht="15" customHeight="1" x14ac:dyDescent="0.2">
      <c r="I51" s="2579"/>
      <c r="J51" s="2482"/>
      <c r="K51" s="2482"/>
      <c r="L51" s="2482"/>
      <c r="M51" s="2482"/>
      <c r="N51" s="2482"/>
      <c r="O51" s="2482"/>
      <c r="P51" s="2482"/>
      <c r="Q51" s="2482"/>
      <c r="R51" s="2482"/>
      <c r="S51" s="2482"/>
    </row>
    <row r="52" spans="9:19" ht="15" customHeight="1" x14ac:dyDescent="0.2">
      <c r="I52" s="2579"/>
      <c r="J52" s="2482"/>
      <c r="K52" s="2482"/>
      <c r="L52" s="2482"/>
      <c r="M52" s="2482"/>
      <c r="N52" s="2482"/>
      <c r="O52" s="2482"/>
      <c r="P52" s="2482"/>
      <c r="Q52" s="2482"/>
      <c r="R52" s="2482"/>
      <c r="S52" s="2482"/>
    </row>
    <row r="53" spans="9:19" ht="15" customHeight="1" x14ac:dyDescent="0.2">
      <c r="I53" s="2579"/>
      <c r="J53" s="2482"/>
      <c r="K53" s="2482"/>
      <c r="L53" s="2482"/>
      <c r="M53" s="2482"/>
      <c r="N53" s="2482"/>
      <c r="O53" s="2482"/>
      <c r="P53" s="2482"/>
      <c r="Q53" s="2482"/>
      <c r="R53" s="2482"/>
      <c r="S53" s="2482"/>
    </row>
    <row r="54" spans="9:19" ht="15" customHeight="1" x14ac:dyDescent="0.2">
      <c r="I54" s="2579"/>
      <c r="J54" s="2482"/>
      <c r="K54" s="2482"/>
      <c r="L54" s="2482"/>
      <c r="M54" s="2482"/>
      <c r="N54" s="2482"/>
      <c r="O54" s="2482"/>
      <c r="P54" s="2482"/>
      <c r="Q54" s="2482"/>
      <c r="R54" s="2482"/>
      <c r="S54" s="2482"/>
    </row>
    <row r="55" spans="9:19" ht="15" customHeight="1" x14ac:dyDescent="0.2">
      <c r="I55" s="2579"/>
      <c r="J55" s="2482"/>
      <c r="K55" s="2482"/>
      <c r="L55" s="2482"/>
      <c r="M55" s="2482"/>
      <c r="N55" s="2482"/>
      <c r="O55" s="2482"/>
      <c r="P55" s="2482"/>
      <c r="Q55" s="2482"/>
      <c r="R55" s="2482"/>
      <c r="S55" s="2482"/>
    </row>
    <row r="56" spans="9:19" ht="15" customHeight="1" x14ac:dyDescent="0.2">
      <c r="I56" s="2579"/>
      <c r="J56" s="2482"/>
      <c r="K56" s="2482"/>
      <c r="L56" s="2482"/>
      <c r="M56" s="2482"/>
      <c r="N56" s="2482"/>
      <c r="O56" s="2482"/>
      <c r="P56" s="2482"/>
      <c r="Q56" s="2482"/>
      <c r="R56" s="2482"/>
      <c r="S56" s="2482"/>
    </row>
    <row r="57" spans="9:19" ht="15" customHeight="1" x14ac:dyDescent="0.2">
      <c r="I57" s="2579"/>
      <c r="J57" s="2482"/>
      <c r="K57" s="2482"/>
      <c r="L57" s="2482"/>
      <c r="M57" s="2482"/>
      <c r="N57" s="2482"/>
      <c r="O57" s="2482"/>
      <c r="P57" s="2482"/>
      <c r="Q57" s="2482"/>
      <c r="R57" s="2482"/>
      <c r="S57" s="2482"/>
    </row>
    <row r="58" spans="9:19" ht="15" customHeight="1" x14ac:dyDescent="0.2">
      <c r="I58" s="2579"/>
      <c r="J58" s="2482"/>
      <c r="K58" s="2482"/>
      <c r="L58" s="2482"/>
      <c r="M58" s="2482"/>
      <c r="N58" s="2482"/>
      <c r="O58" s="2482"/>
      <c r="P58" s="2482"/>
      <c r="Q58" s="2482"/>
      <c r="R58" s="2482"/>
      <c r="S58" s="2482"/>
    </row>
    <row r="59" spans="9:19" ht="15" customHeight="1" x14ac:dyDescent="0.2">
      <c r="I59" s="2579"/>
      <c r="J59" s="2482"/>
      <c r="K59" s="2482"/>
      <c r="L59" s="2482"/>
      <c r="M59" s="2482"/>
      <c r="N59" s="2482"/>
      <c r="O59" s="2482"/>
      <c r="P59" s="2482"/>
      <c r="Q59" s="2482"/>
      <c r="R59" s="2482"/>
      <c r="S59" s="2482"/>
    </row>
    <row r="60" spans="9:19" ht="15" customHeight="1" x14ac:dyDescent="0.2">
      <c r="I60" s="2579"/>
      <c r="J60" s="2482"/>
      <c r="K60" s="2482"/>
      <c r="L60" s="2482"/>
      <c r="M60" s="2482"/>
      <c r="N60" s="2482"/>
      <c r="O60" s="2482"/>
      <c r="P60" s="2482"/>
      <c r="Q60" s="2482"/>
      <c r="R60" s="2482"/>
      <c r="S60" s="2482"/>
    </row>
    <row r="61" spans="9:19" ht="15" customHeight="1" x14ac:dyDescent="0.2">
      <c r="I61" s="2579"/>
      <c r="J61" s="2482"/>
      <c r="K61" s="2482"/>
      <c r="L61" s="2482"/>
      <c r="M61" s="2482"/>
      <c r="N61" s="2482"/>
      <c r="O61" s="2482"/>
      <c r="P61" s="2482"/>
      <c r="Q61" s="2482"/>
      <c r="R61" s="2482"/>
      <c r="S61" s="2482"/>
    </row>
    <row r="62" spans="9:19" ht="15" customHeight="1" x14ac:dyDescent="0.2">
      <c r="I62" s="2579"/>
      <c r="J62" s="2482"/>
      <c r="K62" s="2482"/>
      <c r="L62" s="2482"/>
      <c r="M62" s="2482"/>
      <c r="N62" s="2482"/>
      <c r="O62" s="2482"/>
      <c r="P62" s="2482"/>
      <c r="Q62" s="2482"/>
      <c r="R62" s="2482"/>
      <c r="S62" s="2482"/>
    </row>
    <row r="63" spans="9:19" ht="15" customHeight="1" x14ac:dyDescent="0.2">
      <c r="I63" s="2579"/>
      <c r="J63" s="2482"/>
      <c r="K63" s="2482"/>
      <c r="L63" s="2482"/>
      <c r="M63" s="2482"/>
      <c r="N63" s="2482"/>
      <c r="O63" s="2482"/>
      <c r="P63" s="2482"/>
      <c r="Q63" s="2482"/>
      <c r="R63" s="2482"/>
      <c r="S63" s="2482"/>
    </row>
    <row r="64" spans="9:19" ht="15" customHeight="1" x14ac:dyDescent="0.2">
      <c r="I64" s="2579"/>
      <c r="J64" s="2482"/>
      <c r="K64" s="2482"/>
      <c r="L64" s="2482"/>
      <c r="M64" s="2482"/>
      <c r="N64" s="2482"/>
      <c r="O64" s="2482"/>
      <c r="P64" s="2482"/>
      <c r="Q64" s="2482"/>
      <c r="R64" s="2482"/>
      <c r="S64" s="2482"/>
    </row>
    <row r="65" spans="9:19" ht="15" customHeight="1" x14ac:dyDescent="0.2">
      <c r="I65" s="2579"/>
      <c r="J65" s="2482"/>
      <c r="K65" s="2482"/>
      <c r="L65" s="2482"/>
      <c r="M65" s="2482"/>
      <c r="N65" s="2482"/>
      <c r="O65" s="2482"/>
      <c r="P65" s="2482"/>
      <c r="Q65" s="2482"/>
      <c r="R65" s="2482"/>
      <c r="S65" s="2482"/>
    </row>
    <row r="66" spans="9:19" ht="15" customHeight="1" x14ac:dyDescent="0.2">
      <c r="I66" s="2579"/>
      <c r="J66" s="2482"/>
      <c r="K66" s="2482"/>
      <c r="L66" s="2482"/>
      <c r="M66" s="2482"/>
      <c r="N66" s="2482"/>
      <c r="O66" s="2482"/>
      <c r="P66" s="2482"/>
      <c r="Q66" s="2482"/>
      <c r="R66" s="2482"/>
      <c r="S66" s="2482"/>
    </row>
    <row r="67" spans="9:19" ht="15" customHeight="1" x14ac:dyDescent="0.2">
      <c r="I67" s="2579"/>
      <c r="J67" s="2482"/>
      <c r="K67" s="2482"/>
      <c r="L67" s="2482"/>
      <c r="M67" s="2482"/>
      <c r="N67" s="2482"/>
      <c r="O67" s="2482"/>
      <c r="P67" s="2482"/>
      <c r="Q67" s="2482"/>
      <c r="R67" s="2482"/>
      <c r="S67" s="2482"/>
    </row>
    <row r="68" spans="9:19" ht="15" customHeight="1" x14ac:dyDescent="0.2">
      <c r="I68" s="2579"/>
      <c r="J68" s="2482"/>
      <c r="K68" s="2482"/>
      <c r="L68" s="2482"/>
      <c r="M68" s="2482"/>
      <c r="N68" s="2482"/>
      <c r="O68" s="2482"/>
      <c r="P68" s="2482"/>
      <c r="Q68" s="2482"/>
      <c r="R68" s="2482"/>
      <c r="S68" s="2482"/>
    </row>
    <row r="69" spans="9:19" ht="15" customHeight="1" x14ac:dyDescent="0.2">
      <c r="I69" s="2579"/>
      <c r="J69" s="2482"/>
      <c r="K69" s="2482"/>
      <c r="L69" s="2482"/>
      <c r="M69" s="2482"/>
      <c r="N69" s="2482"/>
      <c r="O69" s="2482"/>
      <c r="P69" s="2482"/>
      <c r="Q69" s="2482"/>
      <c r="R69" s="2482"/>
      <c r="S69" s="2482"/>
    </row>
    <row r="70" spans="9:19" ht="15" customHeight="1" x14ac:dyDescent="0.2">
      <c r="I70" s="2579"/>
      <c r="J70" s="2482"/>
      <c r="K70" s="2482"/>
      <c r="L70" s="2482"/>
      <c r="M70" s="2482"/>
      <c r="N70" s="2482"/>
      <c r="O70" s="2482"/>
      <c r="P70" s="2482"/>
      <c r="Q70" s="2482"/>
      <c r="R70" s="2482"/>
      <c r="S70" s="2482"/>
    </row>
    <row r="71" spans="9:19" ht="15" customHeight="1" x14ac:dyDescent="0.2">
      <c r="I71" s="2579"/>
      <c r="J71" s="2482"/>
      <c r="K71" s="2482"/>
      <c r="L71" s="2482"/>
      <c r="M71" s="2482"/>
      <c r="N71" s="2482"/>
      <c r="O71" s="2482"/>
      <c r="P71" s="2482"/>
      <c r="Q71" s="2482"/>
      <c r="R71" s="2482"/>
      <c r="S71" s="2482"/>
    </row>
    <row r="72" spans="9:19" ht="15" customHeight="1" x14ac:dyDescent="0.2">
      <c r="I72" s="2579"/>
      <c r="J72" s="2482"/>
      <c r="K72" s="2482"/>
      <c r="L72" s="2482"/>
      <c r="M72" s="2482"/>
      <c r="N72" s="2482"/>
      <c r="O72" s="2482"/>
      <c r="P72" s="2482"/>
      <c r="Q72" s="2482"/>
      <c r="R72" s="2482"/>
      <c r="S72" s="2482"/>
    </row>
    <row r="73" spans="9:19" ht="15" customHeight="1" x14ac:dyDescent="0.2">
      <c r="I73" s="2579"/>
      <c r="J73" s="2482"/>
      <c r="K73" s="2482"/>
      <c r="L73" s="2482"/>
      <c r="M73" s="2482"/>
      <c r="N73" s="2482"/>
      <c r="O73" s="2482"/>
      <c r="P73" s="2482"/>
      <c r="Q73" s="2482"/>
      <c r="R73" s="2482"/>
      <c r="S73" s="2482"/>
    </row>
    <row r="74" spans="9:19" ht="15" customHeight="1" x14ac:dyDescent="0.2">
      <c r="I74" s="2579"/>
      <c r="J74" s="2482"/>
      <c r="K74" s="2482"/>
      <c r="L74" s="2482"/>
      <c r="M74" s="2482"/>
      <c r="N74" s="2482"/>
      <c r="O74" s="2482"/>
      <c r="P74" s="2482"/>
      <c r="Q74" s="2482"/>
      <c r="R74" s="2482"/>
      <c r="S74" s="2482"/>
    </row>
    <row r="75" spans="9:19" ht="15" customHeight="1" x14ac:dyDescent="0.2">
      <c r="I75" s="2579"/>
      <c r="J75" s="2482"/>
      <c r="K75" s="2482"/>
      <c r="L75" s="2482"/>
      <c r="M75" s="2482"/>
      <c r="N75" s="2482"/>
      <c r="O75" s="2482"/>
      <c r="P75" s="2482"/>
      <c r="Q75" s="2482"/>
      <c r="R75" s="2482"/>
      <c r="S75" s="2482"/>
    </row>
    <row r="76" spans="9:19" ht="15" customHeight="1" x14ac:dyDescent="0.2">
      <c r="I76" s="2579"/>
      <c r="J76" s="2482"/>
      <c r="K76" s="2482"/>
      <c r="L76" s="2482"/>
      <c r="M76" s="2482"/>
      <c r="N76" s="2482"/>
      <c r="O76" s="2482"/>
      <c r="P76" s="2482"/>
      <c r="Q76" s="2482"/>
      <c r="R76" s="2482"/>
      <c r="S76" s="2482"/>
    </row>
    <row r="77" spans="9:19" ht="15" customHeight="1" x14ac:dyDescent="0.2">
      <c r="I77" s="2579"/>
      <c r="J77" s="2482"/>
      <c r="K77" s="2482"/>
      <c r="L77" s="2482"/>
      <c r="M77" s="2482"/>
      <c r="N77" s="2482"/>
      <c r="O77" s="2482"/>
      <c r="P77" s="2482"/>
      <c r="Q77" s="2482"/>
      <c r="R77" s="2482"/>
      <c r="S77" s="2482"/>
    </row>
    <row r="78" spans="9:19" ht="15" customHeight="1" x14ac:dyDescent="0.2">
      <c r="I78" s="2579"/>
      <c r="J78" s="2482"/>
      <c r="K78" s="2482"/>
      <c r="L78" s="2482"/>
      <c r="M78" s="2482"/>
      <c r="N78" s="2482"/>
      <c r="O78" s="2482"/>
      <c r="P78" s="2482"/>
      <c r="Q78" s="2482"/>
      <c r="R78" s="2482"/>
      <c r="S78" s="2482"/>
    </row>
    <row r="79" spans="9:19" ht="15" customHeight="1" x14ac:dyDescent="0.2">
      <c r="I79" s="2579"/>
      <c r="J79" s="2482"/>
      <c r="K79" s="2482"/>
      <c r="L79" s="2482"/>
      <c r="M79" s="2482"/>
      <c r="N79" s="2482"/>
      <c r="O79" s="2482"/>
      <c r="P79" s="2482"/>
      <c r="Q79" s="2482"/>
      <c r="R79" s="2482"/>
      <c r="S79" s="2482"/>
    </row>
    <row r="80" spans="9:19" ht="15" customHeight="1" x14ac:dyDescent="0.2">
      <c r="I80" s="2579"/>
      <c r="J80" s="2482"/>
      <c r="K80" s="2482"/>
      <c r="L80" s="2482"/>
      <c r="M80" s="2482"/>
      <c r="N80" s="2482"/>
      <c r="O80" s="2482"/>
      <c r="P80" s="2482"/>
      <c r="Q80" s="2482"/>
      <c r="R80" s="2482"/>
      <c r="S80" s="2482"/>
    </row>
    <row r="81" spans="9:19" ht="15" customHeight="1" x14ac:dyDescent="0.2">
      <c r="I81" s="2579"/>
      <c r="J81" s="2482"/>
      <c r="K81" s="2482"/>
      <c r="L81" s="2482"/>
      <c r="M81" s="2482"/>
      <c r="N81" s="2482"/>
      <c r="O81" s="2482"/>
      <c r="P81" s="2482"/>
      <c r="Q81" s="2482"/>
      <c r="R81" s="2482"/>
      <c r="S81" s="2482"/>
    </row>
    <row r="82" spans="9:19" ht="15" customHeight="1" x14ac:dyDescent="0.2">
      <c r="I82" s="2579"/>
      <c r="J82" s="2482"/>
      <c r="K82" s="2482"/>
      <c r="L82" s="2482"/>
      <c r="M82" s="2482"/>
      <c r="N82" s="2482"/>
      <c r="O82" s="2482"/>
      <c r="P82" s="2482"/>
      <c r="Q82" s="2482"/>
      <c r="R82" s="2482"/>
      <c r="S82" s="2482"/>
    </row>
    <row r="83" spans="9:19" ht="15" customHeight="1" x14ac:dyDescent="0.2">
      <c r="I83" s="2579"/>
      <c r="J83" s="2482"/>
      <c r="K83" s="2482"/>
      <c r="L83" s="2482"/>
      <c r="M83" s="2482"/>
      <c r="N83" s="2482"/>
      <c r="O83" s="2482"/>
      <c r="P83" s="2482"/>
      <c r="Q83" s="2482"/>
      <c r="R83" s="2482"/>
      <c r="S83" s="2482"/>
    </row>
    <row r="84" spans="9:19" ht="15" customHeight="1" x14ac:dyDescent="0.2">
      <c r="I84" s="2579"/>
      <c r="J84" s="2482"/>
      <c r="K84" s="2482"/>
      <c r="L84" s="2482"/>
      <c r="M84" s="2482"/>
      <c r="N84" s="2482"/>
      <c r="O84" s="2482"/>
      <c r="P84" s="2482"/>
      <c r="Q84" s="2482"/>
      <c r="R84" s="2482"/>
      <c r="S84" s="2482"/>
    </row>
    <row r="85" spans="9:19" ht="15" customHeight="1" x14ac:dyDescent="0.2">
      <c r="I85" s="2579"/>
      <c r="J85" s="2482"/>
      <c r="K85" s="2482"/>
      <c r="L85" s="2482"/>
      <c r="M85" s="2482"/>
      <c r="N85" s="2482"/>
      <c r="O85" s="2482"/>
      <c r="P85" s="2482"/>
      <c r="Q85" s="2482"/>
      <c r="R85" s="2482"/>
      <c r="S85" s="2482"/>
    </row>
    <row r="86" spans="9:19" ht="15" customHeight="1" x14ac:dyDescent="0.2">
      <c r="I86" s="2579"/>
      <c r="J86" s="2482"/>
      <c r="K86" s="2482"/>
      <c r="L86" s="2482"/>
      <c r="M86" s="2482"/>
      <c r="N86" s="2482"/>
      <c r="O86" s="2482"/>
      <c r="P86" s="2482"/>
      <c r="Q86" s="2482"/>
      <c r="R86" s="2482"/>
      <c r="S86" s="2482"/>
    </row>
    <row r="87" spans="9:19" ht="15" customHeight="1" x14ac:dyDescent="0.2">
      <c r="I87" s="2579"/>
      <c r="J87" s="2482"/>
      <c r="K87" s="2482"/>
      <c r="L87" s="2482"/>
      <c r="M87" s="2482"/>
      <c r="N87" s="2482"/>
      <c r="O87" s="2482"/>
      <c r="P87" s="2482"/>
      <c r="Q87" s="2482"/>
      <c r="R87" s="2482"/>
      <c r="S87" s="2482"/>
    </row>
    <row r="88" spans="9:19" ht="15" customHeight="1" x14ac:dyDescent="0.2">
      <c r="I88" s="2579"/>
      <c r="J88" s="2482"/>
      <c r="K88" s="2482"/>
      <c r="L88" s="2482"/>
      <c r="M88" s="2482"/>
      <c r="N88" s="2482"/>
      <c r="O88" s="2482"/>
      <c r="P88" s="2482"/>
      <c r="Q88" s="2482"/>
      <c r="R88" s="2482"/>
      <c r="S88" s="2482"/>
    </row>
    <row r="89" spans="9:19" ht="15" customHeight="1" x14ac:dyDescent="0.2">
      <c r="I89" s="2579"/>
      <c r="J89" s="2482"/>
      <c r="K89" s="2482"/>
      <c r="L89" s="2482"/>
      <c r="M89" s="2482"/>
      <c r="N89" s="2482"/>
      <c r="O89" s="2482"/>
      <c r="P89" s="2482"/>
      <c r="Q89" s="2482"/>
      <c r="R89" s="2482"/>
      <c r="S89" s="2482"/>
    </row>
    <row r="90" spans="9:19" ht="15" customHeight="1" x14ac:dyDescent="0.2">
      <c r="I90" s="2579"/>
      <c r="J90" s="2482"/>
      <c r="K90" s="2482"/>
      <c r="L90" s="2482"/>
      <c r="M90" s="2482"/>
      <c r="N90" s="2482"/>
      <c r="O90" s="2482"/>
      <c r="P90" s="2482"/>
      <c r="Q90" s="2482"/>
      <c r="R90" s="2482"/>
      <c r="S90" s="2482"/>
    </row>
    <row r="91" spans="9:19" ht="15" customHeight="1" x14ac:dyDescent="0.2">
      <c r="I91" s="2579"/>
      <c r="J91" s="2482"/>
      <c r="K91" s="2482"/>
      <c r="L91" s="2482"/>
      <c r="M91" s="2482"/>
      <c r="N91" s="2482"/>
      <c r="O91" s="2482"/>
      <c r="P91" s="2482"/>
      <c r="Q91" s="2482"/>
      <c r="R91" s="2482"/>
      <c r="S91" s="2482"/>
    </row>
    <row r="92" spans="9:19" ht="15" customHeight="1" x14ac:dyDescent="0.2">
      <c r="I92" s="2579"/>
      <c r="J92" s="2482"/>
      <c r="K92" s="2482"/>
      <c r="L92" s="2482"/>
      <c r="M92" s="2482"/>
      <c r="N92" s="2482"/>
      <c r="O92" s="2482"/>
      <c r="P92" s="2482"/>
      <c r="Q92" s="2482"/>
      <c r="R92" s="2482"/>
      <c r="S92" s="2482"/>
    </row>
    <row r="93" spans="9:19" ht="15" customHeight="1" x14ac:dyDescent="0.2">
      <c r="I93" s="2579"/>
      <c r="J93" s="2482"/>
      <c r="K93" s="2482"/>
      <c r="L93" s="2482"/>
      <c r="M93" s="2482"/>
      <c r="N93" s="2482"/>
      <c r="O93" s="2482"/>
      <c r="P93" s="2482"/>
      <c r="Q93" s="2482"/>
      <c r="R93" s="2482"/>
      <c r="S93" s="2482"/>
    </row>
    <row r="94" spans="9:19" ht="15" customHeight="1" x14ac:dyDescent="0.2">
      <c r="I94" s="2579"/>
      <c r="J94" s="2482"/>
      <c r="K94" s="2482"/>
      <c r="L94" s="2482"/>
      <c r="M94" s="2482"/>
      <c r="N94" s="2482"/>
      <c r="O94" s="2482"/>
      <c r="P94" s="2482"/>
      <c r="Q94" s="2482"/>
      <c r="R94" s="2482"/>
      <c r="S94" s="2482"/>
    </row>
    <row r="95" spans="9:19" ht="15" customHeight="1" x14ac:dyDescent="0.2">
      <c r="I95" s="2579"/>
      <c r="J95" s="2482"/>
      <c r="K95" s="2482"/>
      <c r="L95" s="2482"/>
      <c r="M95" s="2482"/>
      <c r="N95" s="2482"/>
      <c r="O95" s="2482"/>
      <c r="P95" s="2482"/>
      <c r="Q95" s="2482"/>
      <c r="R95" s="2482"/>
      <c r="S95" s="2482"/>
    </row>
    <row r="96" spans="9:19" ht="15" customHeight="1" x14ac:dyDescent="0.2">
      <c r="I96" s="2579"/>
      <c r="J96" s="2482"/>
      <c r="K96" s="2482"/>
      <c r="L96" s="2482"/>
      <c r="M96" s="2482"/>
      <c r="N96" s="2482"/>
      <c r="O96" s="2482"/>
      <c r="P96" s="2482"/>
      <c r="Q96" s="2482"/>
      <c r="R96" s="2482"/>
      <c r="S96" s="2482"/>
    </row>
    <row r="97" spans="9:19" ht="15" customHeight="1" x14ac:dyDescent="0.2">
      <c r="I97" s="2579"/>
      <c r="J97" s="2482"/>
      <c r="K97" s="2482"/>
      <c r="L97" s="2482"/>
      <c r="M97" s="2482"/>
      <c r="N97" s="2482"/>
      <c r="O97" s="2482"/>
      <c r="P97" s="2482"/>
      <c r="Q97" s="2482"/>
      <c r="R97" s="2482"/>
      <c r="S97" s="2482"/>
    </row>
    <row r="98" spans="9:19" ht="15" customHeight="1" x14ac:dyDescent="0.2">
      <c r="I98" s="2579"/>
      <c r="J98" s="2482"/>
      <c r="K98" s="2482"/>
      <c r="L98" s="2482"/>
      <c r="M98" s="2482"/>
      <c r="N98" s="2482"/>
      <c r="O98" s="2482"/>
      <c r="P98" s="2482"/>
      <c r="Q98" s="2482"/>
      <c r="R98" s="2482"/>
      <c r="S98" s="2482"/>
    </row>
    <row r="99" spans="9:19" ht="15" customHeight="1" x14ac:dyDescent="0.2">
      <c r="I99" s="2579"/>
      <c r="J99" s="2482"/>
      <c r="K99" s="2482"/>
      <c r="L99" s="2482"/>
      <c r="M99" s="2482"/>
      <c r="N99" s="2482"/>
      <c r="O99" s="2482"/>
      <c r="P99" s="2482"/>
      <c r="Q99" s="2482"/>
      <c r="R99" s="2482"/>
      <c r="S99" s="2482"/>
    </row>
    <row r="100" spans="9:19" ht="15" customHeight="1" x14ac:dyDescent="0.2">
      <c r="I100" s="2579"/>
      <c r="J100" s="2482"/>
      <c r="K100" s="2482"/>
      <c r="L100" s="2482"/>
      <c r="M100" s="2482"/>
      <c r="N100" s="2482"/>
      <c r="O100" s="2482"/>
      <c r="P100" s="2482"/>
      <c r="Q100" s="2482"/>
      <c r="R100" s="2482"/>
      <c r="S100" s="2482"/>
    </row>
    <row r="101" spans="9:19" ht="15" customHeight="1" x14ac:dyDescent="0.2">
      <c r="I101" s="2579"/>
      <c r="J101" s="2482"/>
      <c r="K101" s="2482"/>
      <c r="L101" s="2482"/>
      <c r="M101" s="2482"/>
      <c r="N101" s="2482"/>
      <c r="O101" s="2482"/>
      <c r="P101" s="2482"/>
      <c r="Q101" s="2482"/>
      <c r="R101" s="2482"/>
      <c r="S101" s="2482"/>
    </row>
    <row r="102" spans="9:19" ht="15" customHeight="1" x14ac:dyDescent="0.2">
      <c r="I102" s="2579"/>
      <c r="J102" s="2482"/>
      <c r="K102" s="2482"/>
      <c r="L102" s="2482"/>
      <c r="M102" s="2482"/>
      <c r="N102" s="2482"/>
      <c r="O102" s="2482"/>
      <c r="P102" s="2482"/>
      <c r="Q102" s="2482"/>
      <c r="R102" s="2482"/>
      <c r="S102" s="2482"/>
    </row>
    <row r="103" spans="9:19" ht="15" customHeight="1" x14ac:dyDescent="0.2">
      <c r="I103" s="2579"/>
      <c r="J103" s="2482"/>
      <c r="K103" s="2482"/>
      <c r="L103" s="2482"/>
      <c r="M103" s="2482"/>
      <c r="N103" s="2482"/>
      <c r="O103" s="2482"/>
      <c r="P103" s="2482"/>
      <c r="Q103" s="2482"/>
      <c r="R103" s="2482"/>
      <c r="S103" s="2482"/>
    </row>
    <row r="104" spans="9:19" ht="15" customHeight="1" x14ac:dyDescent="0.2">
      <c r="I104" s="2579"/>
      <c r="J104" s="2482"/>
      <c r="K104" s="2482"/>
      <c r="L104" s="2482"/>
      <c r="M104" s="2482"/>
      <c r="N104" s="2482"/>
      <c r="O104" s="2482"/>
      <c r="P104" s="2482"/>
      <c r="Q104" s="2482"/>
      <c r="R104" s="2482"/>
      <c r="S104" s="2482"/>
    </row>
    <row r="105" spans="9:19" ht="15" customHeight="1" x14ac:dyDescent="0.2">
      <c r="I105" s="2579"/>
      <c r="J105" s="2482"/>
      <c r="K105" s="2482"/>
      <c r="L105" s="2482"/>
      <c r="M105" s="2482"/>
      <c r="N105" s="2482"/>
      <c r="O105" s="2482"/>
      <c r="P105" s="2482"/>
      <c r="Q105" s="2482"/>
      <c r="R105" s="2482"/>
      <c r="S105" s="2482"/>
    </row>
    <row r="106" spans="9:19" ht="15" customHeight="1" x14ac:dyDescent="0.2">
      <c r="I106" s="2579"/>
      <c r="J106" s="2482"/>
      <c r="K106" s="2482"/>
      <c r="L106" s="2482"/>
      <c r="M106" s="2482"/>
      <c r="N106" s="2482"/>
      <c r="O106" s="2482"/>
      <c r="P106" s="2482"/>
      <c r="Q106" s="2482"/>
      <c r="R106" s="2482"/>
      <c r="S106" s="2482"/>
    </row>
    <row r="107" spans="9:19" x14ac:dyDescent="0.2">
      <c r="I107" s="2608"/>
    </row>
  </sheetData>
  <mergeCells count="2">
    <mergeCell ref="A3:E3"/>
    <mergeCell ref="A4:E4"/>
  </mergeCells>
  <pageMargins left="0.75" right="0.75" top="1" bottom="1" header="0.5" footer="0.5"/>
  <customProperties>
    <customPr name="_pios_id" r:id="rId1"/>
  </customProperties>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178F9A-DF9F-403D-BBB9-F31829D4A979}">
  <sheetPr codeName="Sheet53"/>
  <dimension ref="A1:AD107"/>
  <sheetViews>
    <sheetView workbookViewId="0">
      <pane ySplit="8" topLeftCell="A9" activePane="bottomLeft" state="frozen"/>
      <selection pane="bottomLeft"/>
    </sheetView>
  </sheetViews>
  <sheetFormatPr defaultColWidth="11.5" defaultRowHeight="12.75" x14ac:dyDescent="0.2"/>
  <cols>
    <col min="1" max="1" width="3.875" style="1953" customWidth="1"/>
    <col min="2" max="2" width="25.375" style="1953" customWidth="1"/>
    <col min="3" max="14" width="12.375" style="1953" customWidth="1"/>
    <col min="15" max="16" width="17.625" style="1953" customWidth="1"/>
    <col min="17" max="30" width="17.625" style="1953" hidden="1" customWidth="1"/>
    <col min="31" max="16384" width="11.5" style="1953"/>
  </cols>
  <sheetData>
    <row r="1" spans="1:30" ht="16.7" customHeight="1" x14ac:dyDescent="0.2">
      <c r="Q1" s="2635"/>
      <c r="R1" s="2482"/>
      <c r="S1" s="2482"/>
      <c r="T1" s="2482"/>
      <c r="U1" s="2482"/>
      <c r="V1" s="2482"/>
      <c r="W1" s="2482"/>
      <c r="X1" s="2482"/>
      <c r="Y1" s="2482"/>
      <c r="Z1" s="2482"/>
      <c r="AA1" s="2482"/>
      <c r="AB1" s="2482"/>
      <c r="AC1" s="2482"/>
      <c r="AD1" s="2482"/>
    </row>
    <row r="2" spans="1:30" ht="16.7" customHeight="1" x14ac:dyDescent="0.2">
      <c r="Q2" s="2579"/>
      <c r="R2" s="2482"/>
      <c r="S2" s="2482"/>
      <c r="T2" s="2482"/>
      <c r="U2" s="2482"/>
      <c r="V2" s="2482"/>
      <c r="W2" s="2482"/>
      <c r="X2" s="2482"/>
      <c r="Y2" s="2482"/>
      <c r="Z2" s="2482"/>
      <c r="AA2" s="2482"/>
      <c r="AB2" s="2482"/>
      <c r="AC2" s="2482"/>
      <c r="AD2" s="2482"/>
    </row>
    <row r="3" spans="1:30" ht="16.7" customHeight="1" x14ac:dyDescent="0.2">
      <c r="A3" s="3928" t="s">
        <v>7026</v>
      </c>
      <c r="B3" s="3951"/>
      <c r="C3" s="3951"/>
      <c r="D3" s="3951"/>
      <c r="E3" s="3951"/>
      <c r="F3" s="3951"/>
      <c r="G3" s="3951"/>
      <c r="H3" s="3951"/>
      <c r="I3" s="3951"/>
      <c r="J3" s="3951"/>
      <c r="K3" s="3951"/>
      <c r="L3" s="3951"/>
      <c r="M3" s="3951"/>
      <c r="N3" s="3952"/>
      <c r="O3" s="2479"/>
      <c r="Q3" s="2579"/>
      <c r="R3" s="2482"/>
      <c r="S3" s="2482"/>
      <c r="T3" s="2482"/>
      <c r="U3" s="2482"/>
      <c r="V3" s="2482"/>
      <c r="W3" s="2482"/>
      <c r="X3" s="2482"/>
      <c r="Y3" s="2482"/>
      <c r="Z3" s="2482"/>
      <c r="AA3" s="2482"/>
      <c r="AB3" s="2482"/>
      <c r="AC3" s="2482"/>
      <c r="AD3" s="2482"/>
    </row>
    <row r="4" spans="1:30" ht="16.7" customHeight="1" x14ac:dyDescent="0.2">
      <c r="A4" s="3875" t="s">
        <v>7027</v>
      </c>
      <c r="B4" s="3876"/>
      <c r="C4" s="3876"/>
      <c r="D4" s="3876"/>
      <c r="E4" s="3876"/>
      <c r="F4" s="3877"/>
      <c r="G4" s="3900" t="s">
        <v>7028</v>
      </c>
      <c r="H4" s="3901"/>
      <c r="I4" s="3901"/>
      <c r="J4" s="3901"/>
      <c r="K4" s="3901"/>
      <c r="L4" s="3901"/>
      <c r="M4" s="3901"/>
      <c r="N4" s="3902"/>
      <c r="O4" s="2479"/>
      <c r="Q4" s="2579"/>
      <c r="R4" s="2482"/>
      <c r="S4" s="2482"/>
      <c r="T4" s="2482"/>
      <c r="U4" s="2482"/>
      <c r="V4" s="2482"/>
      <c r="W4" s="2482"/>
      <c r="X4" s="2482"/>
      <c r="Y4" s="2482"/>
      <c r="Z4" s="2482"/>
      <c r="AA4" s="2482"/>
      <c r="AB4" s="2482"/>
      <c r="AC4" s="2482"/>
      <c r="AD4" s="2482"/>
    </row>
    <row r="5" spans="1:30" ht="89.1" customHeight="1" x14ac:dyDescent="0.2">
      <c r="A5" s="3953" t="s">
        <v>7029</v>
      </c>
      <c r="B5" s="3954"/>
      <c r="C5" s="3954"/>
      <c r="D5" s="3954"/>
      <c r="E5" s="3954"/>
      <c r="F5" s="3955"/>
      <c r="G5" s="3956" t="s">
        <v>7030</v>
      </c>
      <c r="H5" s="3957"/>
      <c r="I5" s="3957"/>
      <c r="J5" s="3957"/>
      <c r="K5" s="3957"/>
      <c r="L5" s="3957"/>
      <c r="M5" s="3957"/>
      <c r="N5" s="3958"/>
      <c r="O5" s="2479"/>
      <c r="Q5" s="2579"/>
      <c r="R5" s="2482"/>
      <c r="S5" s="2482"/>
      <c r="T5" s="2482"/>
      <c r="U5" s="2482"/>
      <c r="V5" s="2482"/>
      <c r="W5" s="2482"/>
      <c r="X5" s="2482"/>
      <c r="Y5" s="2482"/>
      <c r="Z5" s="2482"/>
      <c r="AA5" s="2482"/>
      <c r="AB5" s="2482"/>
      <c r="AC5" s="2482"/>
      <c r="AD5" s="2482"/>
    </row>
    <row r="6" spans="1:30" ht="15.75" customHeight="1" x14ac:dyDescent="0.2">
      <c r="A6" s="3942" t="s">
        <v>6360</v>
      </c>
      <c r="B6" s="3944" t="s">
        <v>7031</v>
      </c>
      <c r="C6" s="3946" t="s">
        <v>7032</v>
      </c>
      <c r="D6" s="3947"/>
      <c r="E6" s="3948">
        <v>2024</v>
      </c>
      <c r="F6" s="3949"/>
      <c r="G6" s="3936">
        <v>2025</v>
      </c>
      <c r="H6" s="3937"/>
      <c r="I6" s="3936">
        <v>2026</v>
      </c>
      <c r="J6" s="3937"/>
      <c r="K6" s="3938" t="s">
        <v>7033</v>
      </c>
      <c r="L6" s="3937"/>
      <c r="M6" s="3938" t="s">
        <v>306</v>
      </c>
      <c r="N6" s="3937"/>
      <c r="O6" s="2479"/>
      <c r="Q6" s="2579"/>
      <c r="R6" s="2482"/>
      <c r="S6" s="2482"/>
      <c r="T6" s="2482"/>
      <c r="U6" s="2482"/>
      <c r="V6" s="2482"/>
      <c r="W6" s="2482"/>
      <c r="X6" s="2482"/>
      <c r="Y6" s="2482"/>
      <c r="Z6" s="2482"/>
      <c r="AA6" s="2482"/>
      <c r="AB6" s="2482"/>
      <c r="AC6" s="2482"/>
      <c r="AD6" s="2482"/>
    </row>
    <row r="7" spans="1:30" ht="15.75" customHeight="1" x14ac:dyDescent="0.2">
      <c r="A7" s="3943"/>
      <c r="B7" s="3945"/>
      <c r="C7" s="2637" t="s">
        <v>5946</v>
      </c>
      <c r="D7" s="2637" t="s">
        <v>7034</v>
      </c>
      <c r="E7" s="2637" t="s">
        <v>5946</v>
      </c>
      <c r="F7" s="2637" t="s">
        <v>7034</v>
      </c>
      <c r="G7" s="2740" t="s">
        <v>5946</v>
      </c>
      <c r="H7" s="2740" t="s">
        <v>7034</v>
      </c>
      <c r="I7" s="2740" t="s">
        <v>5946</v>
      </c>
      <c r="J7" s="2740" t="s">
        <v>7034</v>
      </c>
      <c r="K7" s="2740" t="s">
        <v>5946</v>
      </c>
      <c r="L7" s="2740" t="s">
        <v>7034</v>
      </c>
      <c r="M7" s="2740" t="s">
        <v>5946</v>
      </c>
      <c r="N7" s="2740" t="s">
        <v>7034</v>
      </c>
      <c r="O7" s="2741"/>
      <c r="Q7" s="2579"/>
      <c r="R7" s="2482"/>
      <c r="S7" s="2482"/>
      <c r="T7" s="2482"/>
      <c r="U7" s="2482"/>
      <c r="V7" s="2482"/>
      <c r="W7" s="2482"/>
      <c r="X7" s="2482"/>
      <c r="Y7" s="2482"/>
      <c r="Z7" s="2482"/>
      <c r="AA7" s="2482"/>
      <c r="AB7" s="2482"/>
      <c r="AC7" s="2482"/>
      <c r="AD7" s="2482"/>
    </row>
    <row r="8" spans="1:30" ht="16.7" customHeight="1" x14ac:dyDescent="0.2">
      <c r="A8" s="2705"/>
      <c r="B8" s="2705" t="s">
        <v>5949</v>
      </c>
      <c r="C8" s="2705" t="s">
        <v>5950</v>
      </c>
      <c r="D8" s="2705" t="s">
        <v>5951</v>
      </c>
      <c r="E8" s="2705" t="s">
        <v>5952</v>
      </c>
      <c r="F8" s="2705" t="s">
        <v>6227</v>
      </c>
      <c r="G8" s="2742" t="s">
        <v>5804</v>
      </c>
      <c r="H8" s="2742" t="s">
        <v>6228</v>
      </c>
      <c r="I8" s="2742" t="s">
        <v>6229</v>
      </c>
      <c r="J8" s="2742" t="s">
        <v>6230</v>
      </c>
      <c r="K8" s="2742" t="s">
        <v>6231</v>
      </c>
      <c r="L8" s="2742" t="s">
        <v>6232</v>
      </c>
      <c r="M8" s="2742" t="s">
        <v>6233</v>
      </c>
      <c r="N8" s="2742" t="s">
        <v>7035</v>
      </c>
      <c r="O8" s="2741" t="s">
        <v>6324</v>
      </c>
      <c r="Q8" s="2579"/>
      <c r="R8" s="2482"/>
      <c r="S8" s="2482"/>
      <c r="T8" s="2482"/>
      <c r="U8" s="2482"/>
      <c r="V8" s="2482"/>
      <c r="W8" s="2482"/>
      <c r="X8" s="2482"/>
      <c r="Y8" s="2482"/>
      <c r="Z8" s="2482"/>
      <c r="AA8" s="2482"/>
      <c r="AB8" s="2482"/>
      <c r="AC8" s="2482"/>
      <c r="AD8" s="2482"/>
    </row>
    <row r="9" spans="1:30" ht="16.7" customHeight="1" x14ac:dyDescent="0.2">
      <c r="A9" s="2716">
        <v>1</v>
      </c>
      <c r="B9" s="2488" t="s">
        <v>7036</v>
      </c>
      <c r="C9" s="2731">
        <v>1471108</v>
      </c>
      <c r="D9" s="2488"/>
      <c r="E9" s="2731">
        <v>156645</v>
      </c>
      <c r="F9" s="2488"/>
      <c r="G9" s="2530">
        <v>156647</v>
      </c>
      <c r="H9" s="2488"/>
      <c r="I9" s="2530">
        <v>156646</v>
      </c>
      <c r="J9" s="2488"/>
      <c r="K9" s="2530">
        <v>4060862</v>
      </c>
      <c r="L9" s="2488"/>
      <c r="M9" s="2530">
        <v>6001908</v>
      </c>
      <c r="N9" s="2488"/>
      <c r="O9" s="2486"/>
      <c r="Q9" s="2579"/>
      <c r="R9" s="2482"/>
      <c r="S9" s="2482"/>
      <c r="T9" s="2482"/>
      <c r="U9" s="2482"/>
      <c r="V9" s="2482"/>
      <c r="W9" s="2482"/>
      <c r="X9" s="2482"/>
      <c r="Y9" s="2482"/>
      <c r="Z9" s="2482"/>
      <c r="AA9" s="2482"/>
      <c r="AB9" s="2482"/>
      <c r="AC9" s="2482"/>
      <c r="AD9" s="2482"/>
    </row>
    <row r="10" spans="1:30" ht="16.7" customHeight="1" x14ac:dyDescent="0.2">
      <c r="A10" s="2716">
        <v>2</v>
      </c>
      <c r="B10" s="2488"/>
      <c r="C10" s="3939"/>
      <c r="D10" s="3940"/>
      <c r="E10" s="3940"/>
      <c r="F10" s="3941"/>
      <c r="G10" s="3950"/>
      <c r="H10" s="3940"/>
      <c r="I10" s="3940"/>
      <c r="J10" s="3940"/>
      <c r="K10" s="3940"/>
      <c r="L10" s="3940"/>
      <c r="M10" s="3940"/>
      <c r="N10" s="3941"/>
      <c r="O10" s="2479"/>
      <c r="Q10" s="2579"/>
      <c r="R10" s="2482"/>
      <c r="S10" s="2482"/>
      <c r="T10" s="2482"/>
      <c r="U10" s="2482"/>
      <c r="V10" s="2482"/>
      <c r="W10" s="2482"/>
      <c r="X10" s="2482"/>
      <c r="Y10" s="2482"/>
      <c r="Z10" s="2482"/>
      <c r="AA10" s="2482"/>
      <c r="AB10" s="2482"/>
      <c r="AC10" s="2482"/>
      <c r="AD10" s="2482"/>
    </row>
    <row r="11" spans="1:30" ht="27.6" customHeight="1" x14ac:dyDescent="0.2">
      <c r="A11" s="2716">
        <v>3</v>
      </c>
      <c r="B11" s="2488" t="s">
        <v>7037</v>
      </c>
      <c r="C11" s="3939"/>
      <c r="D11" s="3940"/>
      <c r="E11" s="3940"/>
      <c r="F11" s="3941"/>
      <c r="G11" s="3950"/>
      <c r="H11" s="3940"/>
      <c r="I11" s="3940"/>
      <c r="J11" s="3940"/>
      <c r="K11" s="3940"/>
      <c r="L11" s="3940"/>
      <c r="M11" s="3940"/>
      <c r="N11" s="3941"/>
      <c r="O11" s="2479"/>
      <c r="Q11" s="2579"/>
      <c r="R11" s="2482"/>
      <c r="S11" s="2482"/>
      <c r="T11" s="2482"/>
      <c r="U11" s="2482"/>
      <c r="V11" s="2482"/>
      <c r="W11" s="2482"/>
      <c r="X11" s="2482"/>
      <c r="Y11" s="2482"/>
      <c r="Z11" s="2482"/>
      <c r="AA11" s="2482"/>
      <c r="AB11" s="2482"/>
      <c r="AC11" s="2482"/>
      <c r="AD11" s="2482"/>
    </row>
    <row r="12" spans="1:30" ht="19.149999999999999" customHeight="1" x14ac:dyDescent="0.2">
      <c r="A12" s="2716">
        <v>4</v>
      </c>
      <c r="B12" s="2488" t="s">
        <v>7038</v>
      </c>
      <c r="C12" s="2733"/>
      <c r="D12" s="2488"/>
      <c r="E12" s="2488"/>
      <c r="F12" s="2488"/>
      <c r="G12" s="2488"/>
      <c r="H12" s="2488"/>
      <c r="I12" s="2488"/>
      <c r="J12" s="2488"/>
      <c r="K12" s="2530">
        <v>156644</v>
      </c>
      <c r="L12" s="2488"/>
      <c r="M12" s="2530">
        <v>156644</v>
      </c>
      <c r="N12" s="2488"/>
      <c r="O12" s="2479"/>
      <c r="Q12" s="2579"/>
      <c r="R12" s="2482"/>
      <c r="S12" s="2482"/>
      <c r="T12" s="2482"/>
      <c r="U12" s="2482"/>
      <c r="V12" s="2482"/>
      <c r="W12" s="2482"/>
      <c r="X12" s="2482"/>
      <c r="Y12" s="2482"/>
      <c r="Z12" s="2482"/>
      <c r="AA12" s="2482"/>
      <c r="AB12" s="2482"/>
      <c r="AC12" s="2482"/>
      <c r="AD12" s="2482"/>
    </row>
    <row r="13" spans="1:30" ht="16.7" customHeight="1" x14ac:dyDescent="0.2">
      <c r="A13" s="2716">
        <v>5</v>
      </c>
      <c r="B13" s="2488" t="s">
        <v>7039</v>
      </c>
      <c r="C13" s="2488"/>
      <c r="D13" s="2488"/>
      <c r="E13" s="2488"/>
      <c r="F13" s="2488"/>
      <c r="G13" s="2488"/>
      <c r="H13" s="2488"/>
      <c r="I13" s="2488"/>
      <c r="J13" s="2488"/>
      <c r="K13" s="2488"/>
      <c r="L13" s="2488"/>
      <c r="M13" s="2488"/>
      <c r="N13" s="2488"/>
      <c r="O13" s="2479"/>
      <c r="Q13" s="2579"/>
      <c r="R13" s="2482"/>
      <c r="S13" s="2482"/>
      <c r="T13" s="2482"/>
      <c r="U13" s="2482"/>
      <c r="V13" s="2482"/>
      <c r="W13" s="2482"/>
      <c r="X13" s="2482"/>
      <c r="Y13" s="2482"/>
      <c r="Z13" s="2482"/>
      <c r="AA13" s="2482"/>
      <c r="AB13" s="2482"/>
      <c r="AC13" s="2482"/>
      <c r="AD13" s="2482"/>
    </row>
    <row r="14" spans="1:30" ht="16.7" customHeight="1" x14ac:dyDescent="0.2">
      <c r="A14" s="2716">
        <v>6</v>
      </c>
      <c r="B14" s="2488"/>
      <c r="C14" s="3939"/>
      <c r="D14" s="3940"/>
      <c r="E14" s="3940"/>
      <c r="F14" s="3941"/>
      <c r="G14" s="3950"/>
      <c r="H14" s="3940"/>
      <c r="I14" s="3940"/>
      <c r="J14" s="3940"/>
      <c r="K14" s="3940"/>
      <c r="L14" s="3940"/>
      <c r="M14" s="3940"/>
      <c r="N14" s="3941"/>
      <c r="O14" s="2479"/>
      <c r="Q14" s="2579"/>
      <c r="R14" s="2482"/>
      <c r="S14" s="2482"/>
      <c r="T14" s="2482"/>
      <c r="U14" s="2482"/>
      <c r="V14" s="2482"/>
      <c r="W14" s="2482"/>
      <c r="X14" s="2482"/>
      <c r="Y14" s="2482"/>
      <c r="Z14" s="2482"/>
      <c r="AA14" s="2482"/>
      <c r="AB14" s="2482"/>
      <c r="AC14" s="2482"/>
      <c r="AD14" s="2482"/>
    </row>
    <row r="15" spans="1:30" ht="16.7" customHeight="1" x14ac:dyDescent="0.2">
      <c r="A15" s="2716">
        <v>7</v>
      </c>
      <c r="B15" s="2488"/>
      <c r="C15" s="3939"/>
      <c r="D15" s="3940"/>
      <c r="E15" s="3940"/>
      <c r="F15" s="3941"/>
      <c r="G15" s="3950"/>
      <c r="H15" s="3940"/>
      <c r="I15" s="3940"/>
      <c r="J15" s="3940"/>
      <c r="K15" s="3940"/>
      <c r="L15" s="3940"/>
      <c r="M15" s="3940"/>
      <c r="N15" s="3941"/>
      <c r="O15" s="2479"/>
      <c r="Q15" s="2579"/>
      <c r="R15" s="2482"/>
      <c r="S15" s="2482"/>
      <c r="T15" s="2482"/>
      <c r="U15" s="2482"/>
      <c r="V15" s="2482"/>
      <c r="W15" s="2482"/>
      <c r="X15" s="2482"/>
      <c r="Y15" s="2482"/>
      <c r="Z15" s="2482"/>
      <c r="AA15" s="2482"/>
      <c r="AB15" s="2482"/>
      <c r="AC15" s="2482"/>
      <c r="AD15" s="2482"/>
    </row>
    <row r="16" spans="1:30" ht="16.7" customHeight="1" x14ac:dyDescent="0.2">
      <c r="A16" s="2716">
        <v>8</v>
      </c>
      <c r="B16" s="2726" t="s">
        <v>7040</v>
      </c>
      <c r="C16" s="2488"/>
      <c r="D16" s="2488"/>
      <c r="E16" s="2488"/>
      <c r="F16" s="2488"/>
      <c r="G16" s="2488"/>
      <c r="H16" s="2488"/>
      <c r="I16" s="2488"/>
      <c r="J16" s="2488"/>
      <c r="K16" s="2488"/>
      <c r="L16" s="2488"/>
      <c r="M16" s="2488"/>
      <c r="N16" s="2488"/>
      <c r="O16" s="2479" t="str">
        <f t="shared" ref="O16:O22" si="0">B16</f>
        <v>Purchases/Transfers:</v>
      </c>
      <c r="Q16" s="2579"/>
      <c r="R16" s="2482"/>
      <c r="S16" s="2482"/>
      <c r="T16" s="2482"/>
      <c r="U16" s="2482"/>
      <c r="V16" s="2482"/>
      <c r="W16" s="2482"/>
      <c r="X16" s="2482"/>
      <c r="Y16" s="2482"/>
      <c r="Z16" s="2482"/>
      <c r="AA16" s="2482"/>
      <c r="AB16" s="2482"/>
      <c r="AC16" s="2482"/>
      <c r="AD16" s="2482"/>
    </row>
    <row r="17" spans="1:30" ht="16.7" customHeight="1" x14ac:dyDescent="0.2">
      <c r="A17" s="2716">
        <v>9</v>
      </c>
      <c r="B17" s="2726"/>
      <c r="C17" s="2733"/>
      <c r="D17" s="2488"/>
      <c r="E17" s="2488"/>
      <c r="F17" s="2488"/>
      <c r="G17" s="2488"/>
      <c r="H17" s="2488"/>
      <c r="I17" s="2488"/>
      <c r="J17" s="2488"/>
      <c r="K17" s="2488"/>
      <c r="L17" s="2488"/>
      <c r="M17" s="2733"/>
      <c r="N17" s="2488"/>
      <c r="O17" s="2595">
        <f t="shared" si="0"/>
        <v>0</v>
      </c>
      <c r="Q17" s="2579"/>
      <c r="R17" s="2482"/>
      <c r="S17" s="2482"/>
      <c r="T17" s="2482"/>
      <c r="U17" s="2482"/>
      <c r="V17" s="2482"/>
      <c r="W17" s="2482"/>
      <c r="X17" s="2482"/>
      <c r="Y17" s="2482"/>
      <c r="Z17" s="2482"/>
      <c r="AA17" s="2482"/>
      <c r="AB17" s="2482"/>
      <c r="AC17" s="2482"/>
      <c r="AD17" s="2482"/>
    </row>
    <row r="18" spans="1:30" ht="16.7" customHeight="1" x14ac:dyDescent="0.2">
      <c r="A18" s="2716">
        <v>10</v>
      </c>
      <c r="B18" s="2726"/>
      <c r="C18" s="2733"/>
      <c r="D18" s="2488"/>
      <c r="E18" s="2488"/>
      <c r="F18" s="2488"/>
      <c r="G18" s="2488"/>
      <c r="H18" s="2488"/>
      <c r="I18" s="2488"/>
      <c r="J18" s="2488"/>
      <c r="K18" s="2488"/>
      <c r="L18" s="2488"/>
      <c r="M18" s="2733"/>
      <c r="N18" s="2488"/>
      <c r="O18" s="2595">
        <f t="shared" si="0"/>
        <v>0</v>
      </c>
      <c r="Q18" s="2579"/>
      <c r="R18" s="2482"/>
      <c r="S18" s="2482"/>
      <c r="T18" s="2482"/>
      <c r="U18" s="2482"/>
      <c r="V18" s="2482"/>
      <c r="W18" s="2482"/>
      <c r="X18" s="2482"/>
      <c r="Y18" s="2482"/>
      <c r="Z18" s="2482"/>
      <c r="AA18" s="2482"/>
      <c r="AB18" s="2482"/>
      <c r="AC18" s="2482"/>
      <c r="AD18" s="2482"/>
    </row>
    <row r="19" spans="1:30" ht="16.7" customHeight="1" x14ac:dyDescent="0.2">
      <c r="A19" s="2716">
        <v>11</v>
      </c>
      <c r="B19" s="2726"/>
      <c r="C19" s="2733"/>
      <c r="D19" s="2488"/>
      <c r="E19" s="2488"/>
      <c r="F19" s="2488"/>
      <c r="G19" s="2488"/>
      <c r="H19" s="2488"/>
      <c r="I19" s="2488"/>
      <c r="J19" s="2488"/>
      <c r="K19" s="2488"/>
      <c r="L19" s="2488"/>
      <c r="M19" s="2733"/>
      <c r="N19" s="2488"/>
      <c r="O19" s="2595">
        <f t="shared" si="0"/>
        <v>0</v>
      </c>
      <c r="Q19" s="2579"/>
      <c r="R19" s="2482"/>
      <c r="S19" s="2482"/>
      <c r="T19" s="2482"/>
      <c r="U19" s="2482"/>
      <c r="V19" s="2482"/>
      <c r="W19" s="2482"/>
      <c r="X19" s="2482"/>
      <c r="Y19" s="2482"/>
      <c r="Z19" s="2482"/>
      <c r="AA19" s="2482"/>
      <c r="AB19" s="2482"/>
      <c r="AC19" s="2482"/>
      <c r="AD19" s="2482"/>
    </row>
    <row r="20" spans="1:30" ht="16.7" customHeight="1" x14ac:dyDescent="0.2">
      <c r="A20" s="2716">
        <v>12</v>
      </c>
      <c r="B20" s="2726"/>
      <c r="C20" s="2733"/>
      <c r="D20" s="2488"/>
      <c r="E20" s="2488"/>
      <c r="F20" s="2488"/>
      <c r="G20" s="2488"/>
      <c r="H20" s="2488"/>
      <c r="I20" s="2488"/>
      <c r="J20" s="2488"/>
      <c r="K20" s="2488"/>
      <c r="L20" s="2488"/>
      <c r="M20" s="2733"/>
      <c r="N20" s="2488"/>
      <c r="O20" s="2595">
        <f t="shared" si="0"/>
        <v>0</v>
      </c>
      <c r="Q20" s="2579"/>
      <c r="R20" s="2482"/>
      <c r="S20" s="2482"/>
      <c r="T20" s="2482"/>
      <c r="U20" s="2482"/>
      <c r="V20" s="2482"/>
      <c r="W20" s="2482"/>
      <c r="X20" s="2482"/>
      <c r="Y20" s="2482"/>
      <c r="Z20" s="2482"/>
      <c r="AA20" s="2482"/>
      <c r="AB20" s="2482"/>
      <c r="AC20" s="2482"/>
      <c r="AD20" s="2482"/>
    </row>
    <row r="21" spans="1:30" ht="16.7" customHeight="1" x14ac:dyDescent="0.2">
      <c r="A21" s="2716">
        <v>13</v>
      </c>
      <c r="B21" s="2726"/>
      <c r="C21" s="2733"/>
      <c r="D21" s="2488"/>
      <c r="E21" s="2488"/>
      <c r="F21" s="2488"/>
      <c r="G21" s="2488"/>
      <c r="H21" s="2488"/>
      <c r="I21" s="2488"/>
      <c r="J21" s="2488"/>
      <c r="K21" s="2488"/>
      <c r="L21" s="2488"/>
      <c r="M21" s="2733"/>
      <c r="N21" s="2488"/>
      <c r="O21" s="2595">
        <f t="shared" si="0"/>
        <v>0</v>
      </c>
      <c r="Q21" s="2579"/>
      <c r="R21" s="2482"/>
      <c r="S21" s="2482"/>
      <c r="T21" s="2482"/>
      <c r="U21" s="2482"/>
      <c r="V21" s="2482"/>
      <c r="W21" s="2482"/>
      <c r="X21" s="2482"/>
      <c r="Y21" s="2482"/>
      <c r="Z21" s="2482"/>
      <c r="AA21" s="2482"/>
      <c r="AB21" s="2482"/>
      <c r="AC21" s="2482"/>
      <c r="AD21" s="2482"/>
    </row>
    <row r="22" spans="1:30" ht="16.7" customHeight="1" x14ac:dyDescent="0.2">
      <c r="A22" s="2716">
        <v>14</v>
      </c>
      <c r="B22" s="2726"/>
      <c r="C22" s="2733"/>
      <c r="D22" s="2488"/>
      <c r="E22" s="2488"/>
      <c r="F22" s="2488"/>
      <c r="G22" s="2488"/>
      <c r="H22" s="2488"/>
      <c r="I22" s="2488"/>
      <c r="J22" s="2488"/>
      <c r="K22" s="2488"/>
      <c r="L22" s="2488"/>
      <c r="M22" s="2733"/>
      <c r="N22" s="2488"/>
      <c r="O22" s="2595">
        <f t="shared" si="0"/>
        <v>0</v>
      </c>
      <c r="Q22" s="2579"/>
      <c r="R22" s="2482"/>
      <c r="S22" s="2482"/>
      <c r="T22" s="2482"/>
      <c r="U22" s="2482"/>
      <c r="V22" s="2482"/>
      <c r="W22" s="2482"/>
      <c r="X22" s="2482"/>
      <c r="Y22" s="2482"/>
      <c r="Z22" s="2482"/>
      <c r="AA22" s="2482"/>
      <c r="AB22" s="2482"/>
      <c r="AC22" s="2482"/>
      <c r="AD22" s="2482"/>
    </row>
    <row r="23" spans="1:30" ht="16.7" customHeight="1" x14ac:dyDescent="0.2">
      <c r="A23" s="2716">
        <v>15</v>
      </c>
      <c r="B23" s="2488" t="s">
        <v>104</v>
      </c>
      <c r="C23" s="2733"/>
      <c r="D23" s="2488"/>
      <c r="E23" s="2488"/>
      <c r="F23" s="2488"/>
      <c r="G23" s="2488"/>
      <c r="H23" s="2488"/>
      <c r="I23" s="2488"/>
      <c r="J23" s="2488"/>
      <c r="K23" s="2488"/>
      <c r="L23" s="2488"/>
      <c r="M23" s="2733"/>
      <c r="N23" s="2488"/>
      <c r="O23" s="2479"/>
      <c r="Q23" s="2579"/>
      <c r="R23" s="2482"/>
      <c r="S23" s="2482"/>
      <c r="T23" s="2482"/>
      <c r="U23" s="2482"/>
      <c r="V23" s="2482"/>
      <c r="W23" s="2482"/>
      <c r="X23" s="2482"/>
      <c r="Y23" s="2482"/>
      <c r="Z23" s="2482"/>
      <c r="AA23" s="2482"/>
      <c r="AB23" s="2482"/>
      <c r="AC23" s="2482"/>
      <c r="AD23" s="2482"/>
    </row>
    <row r="24" spans="1:30" ht="16.7" customHeight="1" x14ac:dyDescent="0.2">
      <c r="A24" s="2716">
        <v>16</v>
      </c>
      <c r="B24" s="2488"/>
      <c r="C24" s="3939"/>
      <c r="D24" s="3940"/>
      <c r="E24" s="3940"/>
      <c r="F24" s="3941"/>
      <c r="G24" s="3950"/>
      <c r="H24" s="3940"/>
      <c r="I24" s="3940"/>
      <c r="J24" s="3940"/>
      <c r="K24" s="3940"/>
      <c r="L24" s="3940"/>
      <c r="M24" s="3940"/>
      <c r="N24" s="3941"/>
      <c r="O24" s="2479"/>
      <c r="Q24" s="2579"/>
      <c r="R24" s="2482"/>
      <c r="S24" s="2482"/>
      <c r="T24" s="2482"/>
      <c r="U24" s="2482"/>
      <c r="V24" s="2482"/>
      <c r="W24" s="2482"/>
      <c r="X24" s="2482"/>
      <c r="Y24" s="2482"/>
      <c r="Z24" s="2482"/>
      <c r="AA24" s="2482"/>
      <c r="AB24" s="2482"/>
      <c r="AC24" s="2482"/>
      <c r="AD24" s="2482"/>
    </row>
    <row r="25" spans="1:30" ht="16.7" customHeight="1" x14ac:dyDescent="0.2">
      <c r="A25" s="2716">
        <v>17</v>
      </c>
      <c r="B25" s="2488" t="s">
        <v>7041</v>
      </c>
      <c r="C25" s="3939"/>
      <c r="D25" s="3940"/>
      <c r="E25" s="3940"/>
      <c r="F25" s="3941"/>
      <c r="G25" s="3950"/>
      <c r="H25" s="3940"/>
      <c r="I25" s="3940"/>
      <c r="J25" s="3940"/>
      <c r="K25" s="3940"/>
      <c r="L25" s="3940"/>
      <c r="M25" s="3940"/>
      <c r="N25" s="3941"/>
      <c r="O25" s="2479"/>
      <c r="Q25" s="2579"/>
      <c r="R25" s="2482"/>
      <c r="S25" s="2482"/>
      <c r="T25" s="2482"/>
      <c r="U25" s="2482"/>
      <c r="V25" s="2482"/>
      <c r="W25" s="2482"/>
      <c r="X25" s="2482"/>
      <c r="Y25" s="2482"/>
      <c r="Z25" s="2482"/>
      <c r="AA25" s="2482"/>
      <c r="AB25" s="2482"/>
      <c r="AC25" s="2482"/>
      <c r="AD25" s="2482"/>
    </row>
    <row r="26" spans="1:30" ht="16.7" customHeight="1" x14ac:dyDescent="0.2">
      <c r="A26" s="2716">
        <v>18</v>
      </c>
      <c r="B26" s="2488" t="s">
        <v>7042</v>
      </c>
      <c r="C26" s="2530">
        <v>17299</v>
      </c>
      <c r="D26" s="2488"/>
      <c r="E26" s="2488"/>
      <c r="F26" s="2488"/>
      <c r="G26" s="2488"/>
      <c r="H26" s="2488"/>
      <c r="I26" s="2488"/>
      <c r="J26" s="2488"/>
      <c r="K26" s="2488"/>
      <c r="L26" s="2488"/>
      <c r="M26" s="2530">
        <v>17299</v>
      </c>
      <c r="N26" s="2488"/>
      <c r="O26" s="2479"/>
      <c r="Q26" s="2579"/>
      <c r="R26" s="2482"/>
      <c r="S26" s="2482"/>
      <c r="T26" s="2482"/>
      <c r="U26" s="2482"/>
      <c r="V26" s="2482"/>
      <c r="W26" s="2482"/>
      <c r="X26" s="2482"/>
      <c r="Y26" s="2482"/>
      <c r="Z26" s="2482"/>
      <c r="AA26" s="2482"/>
      <c r="AB26" s="2482"/>
      <c r="AC26" s="2482"/>
      <c r="AD26" s="2482"/>
    </row>
    <row r="27" spans="1:30" ht="16.7" customHeight="1" x14ac:dyDescent="0.2">
      <c r="A27" s="2716">
        <v>19</v>
      </c>
      <c r="B27" s="2488" t="s">
        <v>7043</v>
      </c>
      <c r="C27" s="3939"/>
      <c r="D27" s="3940"/>
      <c r="E27" s="3940"/>
      <c r="F27" s="3941"/>
      <c r="G27" s="3950"/>
      <c r="H27" s="3940"/>
      <c r="I27" s="3940"/>
      <c r="J27" s="3940"/>
      <c r="K27" s="3940"/>
      <c r="L27" s="3940"/>
      <c r="M27" s="3940"/>
      <c r="N27" s="3941"/>
      <c r="O27" s="2479"/>
      <c r="Q27" s="2579"/>
      <c r="R27" s="2482"/>
      <c r="S27" s="2482"/>
      <c r="T27" s="2482"/>
      <c r="U27" s="2482"/>
      <c r="V27" s="2482"/>
      <c r="W27" s="2482"/>
      <c r="X27" s="2482"/>
      <c r="Y27" s="2482"/>
      <c r="Z27" s="2482"/>
      <c r="AA27" s="2482"/>
      <c r="AB27" s="2482"/>
      <c r="AC27" s="2482"/>
      <c r="AD27" s="2482"/>
    </row>
    <row r="28" spans="1:30" ht="16.7" customHeight="1" x14ac:dyDescent="0.2">
      <c r="A28" s="2716">
        <v>20</v>
      </c>
      <c r="B28" s="2693" t="s">
        <v>7044</v>
      </c>
      <c r="C28" s="2733"/>
      <c r="D28" s="2488"/>
      <c r="E28" s="2488"/>
      <c r="F28" s="2488"/>
      <c r="G28" s="2488"/>
      <c r="H28" s="2488"/>
      <c r="I28" s="2488"/>
      <c r="J28" s="2488"/>
      <c r="K28" s="2488"/>
      <c r="L28" s="2488"/>
      <c r="M28" s="2614"/>
      <c r="N28" s="2488"/>
      <c r="O28" s="2479" t="str">
        <f>B28</f>
        <v>Allowances Used</v>
      </c>
      <c r="Q28" s="2579"/>
      <c r="R28" s="2482"/>
      <c r="S28" s="2482"/>
      <c r="T28" s="2482"/>
      <c r="U28" s="2482"/>
      <c r="V28" s="2482"/>
      <c r="W28" s="2482"/>
      <c r="X28" s="2482"/>
      <c r="Y28" s="2482"/>
      <c r="Z28" s="2482"/>
      <c r="AA28" s="2482"/>
      <c r="AB28" s="2482"/>
      <c r="AC28" s="2482"/>
      <c r="AD28" s="2482"/>
    </row>
    <row r="29" spans="1:30" ht="16.7" customHeight="1" x14ac:dyDescent="0.2">
      <c r="A29" s="2692">
        <v>20.100000000000001</v>
      </c>
      <c r="B29" s="2631" t="s">
        <v>7045</v>
      </c>
      <c r="C29" s="2731">
        <v>1789</v>
      </c>
      <c r="D29" s="2488"/>
      <c r="E29" s="2488"/>
      <c r="F29" s="2488"/>
      <c r="G29" s="2488"/>
      <c r="H29" s="2488"/>
      <c r="I29" s="2488"/>
      <c r="J29" s="2488"/>
      <c r="K29" s="2488"/>
      <c r="L29" s="2488"/>
      <c r="M29" s="2530">
        <v>1789</v>
      </c>
      <c r="N29" s="2488"/>
      <c r="O29" s="2479" t="str">
        <f>B29</f>
        <v>Prior period adjustment</v>
      </c>
      <c r="Q29" s="2579"/>
      <c r="R29" s="2482"/>
      <c r="S29" s="2482"/>
      <c r="T29" s="2482"/>
      <c r="U29" s="2482"/>
      <c r="V29" s="2482"/>
      <c r="W29" s="2482"/>
      <c r="X29" s="2482"/>
      <c r="Y29" s="2482"/>
      <c r="Z29" s="2482"/>
      <c r="AA29" s="2482"/>
      <c r="AB29" s="2482"/>
      <c r="AC29" s="2482"/>
      <c r="AD29" s="2482"/>
    </row>
    <row r="30" spans="1:30" ht="16.7" customHeight="1" x14ac:dyDescent="0.2">
      <c r="A30" s="2716">
        <v>21</v>
      </c>
      <c r="B30" s="2488" t="s">
        <v>7046</v>
      </c>
      <c r="C30" s="3939"/>
      <c r="D30" s="3940"/>
      <c r="E30" s="3940"/>
      <c r="F30" s="3941"/>
      <c r="G30" s="3950"/>
      <c r="H30" s="3940"/>
      <c r="I30" s="3940"/>
      <c r="J30" s="3940"/>
      <c r="K30" s="3940"/>
      <c r="L30" s="3940"/>
      <c r="M30" s="3940"/>
      <c r="N30" s="3941"/>
      <c r="O30" s="2479"/>
      <c r="Q30" s="2579"/>
      <c r="R30" s="2482"/>
      <c r="S30" s="2482"/>
      <c r="T30" s="2482"/>
      <c r="U30" s="2482"/>
      <c r="V30" s="2482"/>
      <c r="W30" s="2482"/>
      <c r="X30" s="2482"/>
      <c r="Y30" s="2482"/>
      <c r="Z30" s="2482"/>
      <c r="AA30" s="2482"/>
      <c r="AB30" s="2482"/>
      <c r="AC30" s="2482"/>
      <c r="AD30" s="2482"/>
    </row>
    <row r="31" spans="1:30" ht="16.7" customHeight="1" x14ac:dyDescent="0.2">
      <c r="A31" s="2716">
        <v>22</v>
      </c>
      <c r="B31" s="2488"/>
      <c r="C31" s="2488"/>
      <c r="D31" s="2488"/>
      <c r="E31" s="2488"/>
      <c r="F31" s="2488"/>
      <c r="G31" s="2488"/>
      <c r="H31" s="2488"/>
      <c r="I31" s="2488"/>
      <c r="J31" s="2488"/>
      <c r="K31" s="2488"/>
      <c r="L31" s="2488"/>
      <c r="M31" s="2488"/>
      <c r="N31" s="2488"/>
      <c r="O31" s="2595">
        <f t="shared" ref="O31:O36" si="1">B31</f>
        <v>0</v>
      </c>
      <c r="Q31" s="2579"/>
      <c r="R31" s="2482"/>
      <c r="S31" s="2482"/>
      <c r="T31" s="2482"/>
      <c r="U31" s="2482"/>
      <c r="V31" s="2482"/>
      <c r="W31" s="2482"/>
      <c r="X31" s="2482"/>
      <c r="Y31" s="2482"/>
      <c r="Z31" s="2482"/>
      <c r="AA31" s="2482"/>
      <c r="AB31" s="2482"/>
      <c r="AC31" s="2482"/>
      <c r="AD31" s="2482"/>
    </row>
    <row r="32" spans="1:30" ht="16.7" customHeight="1" x14ac:dyDescent="0.2">
      <c r="A32" s="2716">
        <v>23</v>
      </c>
      <c r="B32" s="2488"/>
      <c r="C32" s="2488"/>
      <c r="D32" s="2488"/>
      <c r="E32" s="2488"/>
      <c r="F32" s="2488"/>
      <c r="G32" s="2488"/>
      <c r="H32" s="2488"/>
      <c r="I32" s="2488"/>
      <c r="J32" s="2488"/>
      <c r="K32" s="2488"/>
      <c r="L32" s="2488"/>
      <c r="M32" s="2488"/>
      <c r="N32" s="2488"/>
      <c r="O32" s="2595">
        <f t="shared" si="1"/>
        <v>0</v>
      </c>
      <c r="Q32" s="2579"/>
      <c r="R32" s="2482"/>
      <c r="S32" s="2482"/>
      <c r="T32" s="2482"/>
      <c r="U32" s="2482"/>
      <c r="V32" s="2482"/>
      <c r="W32" s="2482"/>
      <c r="X32" s="2482"/>
      <c r="Y32" s="2482"/>
      <c r="Z32" s="2482"/>
      <c r="AA32" s="2482"/>
      <c r="AB32" s="2482"/>
      <c r="AC32" s="2482"/>
      <c r="AD32" s="2482"/>
    </row>
    <row r="33" spans="1:30" ht="16.7" customHeight="1" x14ac:dyDescent="0.2">
      <c r="A33" s="2716">
        <v>24</v>
      </c>
      <c r="B33" s="2488"/>
      <c r="C33" s="2488"/>
      <c r="D33" s="2488"/>
      <c r="E33" s="2488"/>
      <c r="F33" s="2488"/>
      <c r="G33" s="2488"/>
      <c r="H33" s="2488"/>
      <c r="I33" s="2488"/>
      <c r="J33" s="2488"/>
      <c r="K33" s="2488"/>
      <c r="L33" s="2488"/>
      <c r="M33" s="2488"/>
      <c r="N33" s="2488"/>
      <c r="O33" s="2595">
        <f t="shared" si="1"/>
        <v>0</v>
      </c>
      <c r="Q33" s="2579"/>
      <c r="R33" s="2482"/>
      <c r="S33" s="2482"/>
      <c r="T33" s="2482"/>
      <c r="U33" s="2482"/>
      <c r="V33" s="2482"/>
      <c r="W33" s="2482"/>
      <c r="X33" s="2482"/>
      <c r="Y33" s="2482"/>
      <c r="Z33" s="2482"/>
      <c r="AA33" s="2482"/>
      <c r="AB33" s="2482"/>
      <c r="AC33" s="2482"/>
      <c r="AD33" s="2482"/>
    </row>
    <row r="34" spans="1:30" ht="16.7" customHeight="1" x14ac:dyDescent="0.2">
      <c r="A34" s="2716">
        <v>25</v>
      </c>
      <c r="B34" s="2488"/>
      <c r="C34" s="2488"/>
      <c r="D34" s="2488"/>
      <c r="E34" s="2488"/>
      <c r="F34" s="2488"/>
      <c r="G34" s="2488"/>
      <c r="H34" s="2488"/>
      <c r="I34" s="2488"/>
      <c r="J34" s="2488"/>
      <c r="K34" s="2488"/>
      <c r="L34" s="2488"/>
      <c r="M34" s="2488"/>
      <c r="N34" s="2488"/>
      <c r="O34" s="2595">
        <f t="shared" si="1"/>
        <v>0</v>
      </c>
      <c r="Q34" s="2579"/>
      <c r="R34" s="2482"/>
      <c r="S34" s="2482"/>
      <c r="T34" s="2482"/>
      <c r="U34" s="2482"/>
      <c r="V34" s="2482"/>
      <c r="W34" s="2482"/>
      <c r="X34" s="2482"/>
      <c r="Y34" s="2482"/>
      <c r="Z34" s="2482"/>
      <c r="AA34" s="2482"/>
      <c r="AB34" s="2482"/>
      <c r="AC34" s="2482"/>
      <c r="AD34" s="2482"/>
    </row>
    <row r="35" spans="1:30" ht="16.7" customHeight="1" x14ac:dyDescent="0.2">
      <c r="A35" s="2716">
        <v>26</v>
      </c>
      <c r="B35" s="2488"/>
      <c r="C35" s="2488"/>
      <c r="D35" s="2488"/>
      <c r="E35" s="2488"/>
      <c r="F35" s="2488"/>
      <c r="G35" s="2488"/>
      <c r="H35" s="2488"/>
      <c r="I35" s="2488"/>
      <c r="J35" s="2488"/>
      <c r="K35" s="2488"/>
      <c r="L35" s="2488"/>
      <c r="M35" s="2488"/>
      <c r="N35" s="2488"/>
      <c r="O35" s="2595">
        <f t="shared" si="1"/>
        <v>0</v>
      </c>
      <c r="Q35" s="2579"/>
      <c r="R35" s="2482"/>
      <c r="S35" s="2482"/>
      <c r="T35" s="2482"/>
      <c r="U35" s="2482"/>
      <c r="V35" s="2482"/>
      <c r="W35" s="2482"/>
      <c r="X35" s="2482"/>
      <c r="Y35" s="2482"/>
      <c r="Z35" s="2482"/>
      <c r="AA35" s="2482"/>
      <c r="AB35" s="2482"/>
      <c r="AC35" s="2482"/>
      <c r="AD35" s="2482"/>
    </row>
    <row r="36" spans="1:30" ht="16.7" customHeight="1" x14ac:dyDescent="0.2">
      <c r="A36" s="2716">
        <v>27</v>
      </c>
      <c r="B36" s="2488"/>
      <c r="C36" s="2488"/>
      <c r="D36" s="2488"/>
      <c r="E36" s="2488"/>
      <c r="F36" s="2488"/>
      <c r="G36" s="2488"/>
      <c r="H36" s="2488"/>
      <c r="I36" s="2488"/>
      <c r="J36" s="2488"/>
      <c r="K36" s="2488"/>
      <c r="L36" s="2488"/>
      <c r="M36" s="2488"/>
      <c r="N36" s="2488"/>
      <c r="O36" s="2595">
        <f t="shared" si="1"/>
        <v>0</v>
      </c>
      <c r="Q36" s="2579"/>
      <c r="R36" s="2482"/>
      <c r="S36" s="2482"/>
      <c r="T36" s="2482"/>
      <c r="U36" s="2482"/>
      <c r="V36" s="2482"/>
      <c r="W36" s="2482"/>
      <c r="X36" s="2482"/>
      <c r="Y36" s="2482"/>
      <c r="Z36" s="2482"/>
      <c r="AA36" s="2482"/>
      <c r="AB36" s="2482"/>
      <c r="AC36" s="2482"/>
      <c r="AD36" s="2482"/>
    </row>
    <row r="37" spans="1:30" ht="16.7" customHeight="1" x14ac:dyDescent="0.2">
      <c r="A37" s="2716">
        <v>28</v>
      </c>
      <c r="B37" s="2488" t="s">
        <v>104</v>
      </c>
      <c r="C37" s="2488"/>
      <c r="D37" s="2488"/>
      <c r="E37" s="2488"/>
      <c r="F37" s="2488"/>
      <c r="G37" s="2488"/>
      <c r="H37" s="2488"/>
      <c r="I37" s="2488"/>
      <c r="J37" s="2488"/>
      <c r="K37" s="2488"/>
      <c r="L37" s="2488"/>
      <c r="M37" s="2488"/>
      <c r="N37" s="2488"/>
      <c r="O37" s="2479"/>
      <c r="Q37" s="2579"/>
      <c r="R37" s="2482"/>
      <c r="S37" s="2482"/>
      <c r="T37" s="2482"/>
      <c r="U37" s="2482"/>
      <c r="V37" s="2482"/>
      <c r="W37" s="2482"/>
      <c r="X37" s="2482"/>
      <c r="Y37" s="2482"/>
      <c r="Z37" s="2482"/>
      <c r="AA37" s="2482"/>
      <c r="AB37" s="2482"/>
      <c r="AC37" s="2482"/>
      <c r="AD37" s="2482"/>
    </row>
    <row r="38" spans="1:30" ht="16.7" customHeight="1" x14ac:dyDescent="0.2">
      <c r="A38" s="2716">
        <v>29</v>
      </c>
      <c r="B38" s="2668" t="s">
        <v>7047</v>
      </c>
      <c r="C38" s="2743">
        <v>1452020</v>
      </c>
      <c r="D38" s="2668"/>
      <c r="E38" s="2743">
        <v>156645</v>
      </c>
      <c r="F38" s="2668"/>
      <c r="G38" s="2672">
        <v>156647</v>
      </c>
      <c r="H38" s="2668"/>
      <c r="I38" s="2672">
        <v>156646</v>
      </c>
      <c r="J38" s="2668"/>
      <c r="K38" s="2672">
        <v>4217506</v>
      </c>
      <c r="L38" s="2668"/>
      <c r="M38" s="2672">
        <v>6139464</v>
      </c>
      <c r="N38" s="2488"/>
      <c r="O38" s="2479"/>
      <c r="Q38" s="2579"/>
      <c r="R38" s="2482"/>
      <c r="S38" s="2482"/>
      <c r="T38" s="2482"/>
      <c r="U38" s="2482"/>
      <c r="V38" s="2482"/>
      <c r="W38" s="2482"/>
      <c r="X38" s="2482"/>
      <c r="Y38" s="2482"/>
      <c r="Z38" s="2482"/>
      <c r="AA38" s="2482"/>
      <c r="AB38" s="2482"/>
      <c r="AC38" s="2482"/>
      <c r="AD38" s="2482"/>
    </row>
    <row r="39" spans="1:30" ht="16.7" customHeight="1" x14ac:dyDescent="0.2">
      <c r="A39" s="2716">
        <v>30</v>
      </c>
      <c r="B39" s="2488"/>
      <c r="C39" s="3939"/>
      <c r="D39" s="3940"/>
      <c r="E39" s="3940"/>
      <c r="F39" s="3941"/>
      <c r="G39" s="3950"/>
      <c r="H39" s="3940"/>
      <c r="I39" s="3940"/>
      <c r="J39" s="3940"/>
      <c r="K39" s="3940"/>
      <c r="L39" s="3940"/>
      <c r="M39" s="3940"/>
      <c r="N39" s="3941"/>
      <c r="O39" s="2479"/>
      <c r="Q39" s="2579"/>
      <c r="R39" s="2482"/>
      <c r="S39" s="2482"/>
      <c r="T39" s="2482"/>
      <c r="U39" s="2482"/>
      <c r="V39" s="2482"/>
      <c r="W39" s="2482"/>
      <c r="X39" s="2482"/>
      <c r="Y39" s="2482"/>
      <c r="Z39" s="2482"/>
      <c r="AA39" s="2482"/>
      <c r="AB39" s="2482"/>
      <c r="AC39" s="2482"/>
      <c r="AD39" s="2482"/>
    </row>
    <row r="40" spans="1:30" ht="16.7" customHeight="1" x14ac:dyDescent="0.2">
      <c r="A40" s="2716">
        <v>31</v>
      </c>
      <c r="B40" s="2488" t="s">
        <v>7048</v>
      </c>
      <c r="C40" s="3939"/>
      <c r="D40" s="3940"/>
      <c r="E40" s="3940"/>
      <c r="F40" s="3941"/>
      <c r="G40" s="3950"/>
      <c r="H40" s="3940"/>
      <c r="I40" s="3940"/>
      <c r="J40" s="3940"/>
      <c r="K40" s="3940"/>
      <c r="L40" s="3940"/>
      <c r="M40" s="3940"/>
      <c r="N40" s="3941"/>
      <c r="O40" s="2479"/>
      <c r="Q40" s="2579"/>
      <c r="R40" s="2482"/>
      <c r="S40" s="2482"/>
      <c r="T40" s="2482"/>
      <c r="U40" s="2482"/>
      <c r="V40" s="2482"/>
      <c r="W40" s="2482"/>
      <c r="X40" s="2482"/>
      <c r="Y40" s="2482"/>
      <c r="Z40" s="2482"/>
      <c r="AA40" s="2482"/>
      <c r="AB40" s="2482"/>
      <c r="AC40" s="2482"/>
      <c r="AD40" s="2482"/>
    </row>
    <row r="41" spans="1:30" ht="16.7" customHeight="1" x14ac:dyDescent="0.2">
      <c r="A41" s="2716">
        <v>32</v>
      </c>
      <c r="B41" s="2488" t="s">
        <v>7049</v>
      </c>
      <c r="C41" s="2488"/>
      <c r="D41" s="2488"/>
      <c r="E41" s="2488"/>
      <c r="F41" s="2488"/>
      <c r="G41" s="2488"/>
      <c r="H41" s="2488"/>
      <c r="I41" s="2488"/>
      <c r="J41" s="2488"/>
      <c r="K41" s="2488"/>
      <c r="L41" s="2488"/>
      <c r="M41" s="2488"/>
      <c r="N41" s="2488"/>
      <c r="O41" s="2479"/>
      <c r="Q41" s="2579"/>
      <c r="R41" s="2482"/>
      <c r="S41" s="2482"/>
      <c r="T41" s="2482"/>
      <c r="U41" s="2482"/>
      <c r="V41" s="2482"/>
      <c r="W41" s="2482"/>
      <c r="X41" s="2482"/>
      <c r="Y41" s="2482"/>
      <c r="Z41" s="2482"/>
      <c r="AA41" s="2482"/>
      <c r="AB41" s="2482"/>
      <c r="AC41" s="2482"/>
      <c r="AD41" s="2482"/>
    </row>
    <row r="42" spans="1:30" ht="16.7" customHeight="1" x14ac:dyDescent="0.2">
      <c r="A42" s="2716">
        <v>33</v>
      </c>
      <c r="B42" s="2488" t="s">
        <v>7050</v>
      </c>
      <c r="C42" s="2488"/>
      <c r="D42" s="2488"/>
      <c r="E42" s="2488"/>
      <c r="F42" s="2488"/>
      <c r="G42" s="2488"/>
      <c r="H42" s="2488"/>
      <c r="I42" s="2488"/>
      <c r="J42" s="2488"/>
      <c r="K42" s="2488"/>
      <c r="L42" s="2488"/>
      <c r="M42" s="2488"/>
      <c r="N42" s="2488"/>
      <c r="O42" s="2479"/>
      <c r="Q42" s="2579"/>
      <c r="R42" s="2482"/>
      <c r="S42" s="2482"/>
      <c r="T42" s="2482"/>
      <c r="U42" s="2482"/>
      <c r="V42" s="2482"/>
      <c r="W42" s="2482"/>
      <c r="X42" s="2482"/>
      <c r="Y42" s="2482"/>
      <c r="Z42" s="2482"/>
      <c r="AA42" s="2482"/>
      <c r="AB42" s="2482"/>
      <c r="AC42" s="2482"/>
      <c r="AD42" s="2482"/>
    </row>
    <row r="43" spans="1:30" ht="16.7" customHeight="1" x14ac:dyDescent="0.2">
      <c r="A43" s="2716">
        <v>34</v>
      </c>
      <c r="B43" s="2488" t="s">
        <v>7051</v>
      </c>
      <c r="C43" s="2488"/>
      <c r="D43" s="2488"/>
      <c r="E43" s="2488"/>
      <c r="F43" s="2488"/>
      <c r="G43" s="2488"/>
      <c r="H43" s="2488"/>
      <c r="I43" s="2488"/>
      <c r="J43" s="2488"/>
      <c r="K43" s="2488"/>
      <c r="L43" s="2488"/>
      <c r="M43" s="2488"/>
      <c r="N43" s="2488"/>
      <c r="O43" s="2479"/>
      <c r="Q43" s="2579"/>
      <c r="R43" s="2482"/>
      <c r="S43" s="2482"/>
      <c r="T43" s="2482"/>
      <c r="U43" s="2482"/>
      <c r="V43" s="2482"/>
      <c r="W43" s="2482"/>
      <c r="X43" s="2482"/>
      <c r="Y43" s="2482"/>
      <c r="Z43" s="2482"/>
      <c r="AA43" s="2482"/>
      <c r="AB43" s="2482"/>
      <c r="AC43" s="2482"/>
      <c r="AD43" s="2482"/>
    </row>
    <row r="44" spans="1:30" ht="16.7" customHeight="1" x14ac:dyDescent="0.2">
      <c r="A44" s="2716">
        <v>35</v>
      </c>
      <c r="B44" s="2488" t="s">
        <v>7052</v>
      </c>
      <c r="C44" s="2488"/>
      <c r="D44" s="2488"/>
      <c r="E44" s="2488"/>
      <c r="F44" s="2488"/>
      <c r="G44" s="2488"/>
      <c r="H44" s="2488"/>
      <c r="I44" s="2488"/>
      <c r="J44" s="2488"/>
      <c r="K44" s="2488"/>
      <c r="L44" s="2488"/>
      <c r="M44" s="2488"/>
      <c r="N44" s="2488"/>
      <c r="O44" s="2479"/>
      <c r="Q44" s="2579"/>
      <c r="R44" s="2482"/>
      <c r="S44" s="2482"/>
      <c r="T44" s="2482"/>
      <c r="U44" s="2482"/>
      <c r="V44" s="2482"/>
      <c r="W44" s="2482"/>
      <c r="X44" s="2482"/>
      <c r="Y44" s="2482"/>
      <c r="Z44" s="2482"/>
      <c r="AA44" s="2482"/>
      <c r="AB44" s="2482"/>
      <c r="AC44" s="2482"/>
      <c r="AD44" s="2482"/>
    </row>
    <row r="45" spans="1:30" ht="16.7" customHeight="1" x14ac:dyDescent="0.2">
      <c r="A45" s="2488"/>
      <c r="B45" s="2488" t="s">
        <v>7053</v>
      </c>
      <c r="C45" s="3939"/>
      <c r="D45" s="3940"/>
      <c r="E45" s="3940"/>
      <c r="F45" s="3941"/>
      <c r="G45" s="3950"/>
      <c r="H45" s="3940"/>
      <c r="I45" s="3940"/>
      <c r="J45" s="3940"/>
      <c r="K45" s="3940"/>
      <c r="L45" s="3940"/>
      <c r="M45" s="3940"/>
      <c r="N45" s="3941"/>
      <c r="O45" s="2479"/>
      <c r="Q45" s="2579"/>
      <c r="R45" s="2482"/>
      <c r="S45" s="2482"/>
      <c r="T45" s="2482"/>
      <c r="U45" s="2482"/>
      <c r="V45" s="2482"/>
      <c r="W45" s="2482"/>
      <c r="X45" s="2482"/>
      <c r="Y45" s="2482"/>
      <c r="Z45" s="2482"/>
      <c r="AA45" s="2482"/>
      <c r="AB45" s="2482"/>
      <c r="AC45" s="2482"/>
      <c r="AD45" s="2482"/>
    </row>
    <row r="46" spans="1:30" ht="16.7" customHeight="1" x14ac:dyDescent="0.2">
      <c r="A46" s="2716">
        <v>36</v>
      </c>
      <c r="B46" s="2488" t="s">
        <v>7036</v>
      </c>
      <c r="C46" s="2530">
        <v>2259</v>
      </c>
      <c r="D46" s="2488"/>
      <c r="E46" s="2530">
        <v>2259</v>
      </c>
      <c r="F46" s="2488"/>
      <c r="G46" s="2530">
        <v>2259</v>
      </c>
      <c r="H46" s="2488"/>
      <c r="I46" s="2530">
        <v>2259</v>
      </c>
      <c r="J46" s="2488"/>
      <c r="K46" s="2530">
        <v>110921</v>
      </c>
      <c r="L46" s="2488"/>
      <c r="M46" s="2530">
        <v>119957</v>
      </c>
      <c r="N46" s="2488"/>
      <c r="O46" s="2479"/>
      <c r="Q46" s="2579"/>
      <c r="R46" s="2482"/>
      <c r="S46" s="2482"/>
      <c r="T46" s="2482"/>
      <c r="U46" s="2482"/>
      <c r="V46" s="2482"/>
      <c r="W46" s="2482"/>
      <c r="X46" s="2482"/>
      <c r="Y46" s="2482"/>
      <c r="Z46" s="2482"/>
      <c r="AA46" s="2482"/>
      <c r="AB46" s="2482"/>
      <c r="AC46" s="2482"/>
      <c r="AD46" s="2482"/>
    </row>
    <row r="47" spans="1:30" ht="16.7" customHeight="1" x14ac:dyDescent="0.2">
      <c r="A47" s="2716">
        <v>37</v>
      </c>
      <c r="B47" s="2488" t="s">
        <v>7054</v>
      </c>
      <c r="C47" s="2488"/>
      <c r="D47" s="2488"/>
      <c r="E47" s="2488"/>
      <c r="F47" s="2488"/>
      <c r="G47" s="2488"/>
      <c r="H47" s="2488"/>
      <c r="I47" s="2488"/>
      <c r="J47" s="2488"/>
      <c r="K47" s="2530">
        <v>4528</v>
      </c>
      <c r="L47" s="2488"/>
      <c r="M47" s="2530">
        <v>4528</v>
      </c>
      <c r="N47" s="2488"/>
      <c r="O47" s="2479"/>
      <c r="Q47" s="2579"/>
      <c r="R47" s="2482"/>
      <c r="S47" s="2482"/>
      <c r="T47" s="2482"/>
      <c r="U47" s="2482"/>
      <c r="V47" s="2482"/>
      <c r="W47" s="2482"/>
      <c r="X47" s="2482"/>
      <c r="Y47" s="2482"/>
      <c r="Z47" s="2482"/>
      <c r="AA47" s="2482"/>
      <c r="AB47" s="2482"/>
      <c r="AC47" s="2482"/>
      <c r="AD47" s="2482"/>
    </row>
    <row r="48" spans="1:30" ht="16.7" customHeight="1" x14ac:dyDescent="0.2">
      <c r="A48" s="2716">
        <v>38</v>
      </c>
      <c r="B48" s="2488" t="s">
        <v>7055</v>
      </c>
      <c r="C48" s="2488"/>
      <c r="D48" s="2488"/>
      <c r="E48" s="2488"/>
      <c r="F48" s="2488"/>
      <c r="G48" s="2488"/>
      <c r="H48" s="2488"/>
      <c r="I48" s="2488"/>
      <c r="J48" s="2488"/>
      <c r="K48" s="2488"/>
      <c r="L48" s="2488"/>
      <c r="M48" s="2488"/>
      <c r="N48" s="2488"/>
      <c r="O48" s="2479"/>
      <c r="Q48" s="2579"/>
      <c r="R48" s="2482"/>
      <c r="S48" s="2482"/>
      <c r="T48" s="2482"/>
      <c r="U48" s="2482"/>
      <c r="V48" s="2482"/>
      <c r="W48" s="2482"/>
      <c r="X48" s="2482"/>
      <c r="Y48" s="2482"/>
      <c r="Z48" s="2482"/>
      <c r="AA48" s="2482"/>
      <c r="AB48" s="2482"/>
      <c r="AC48" s="2482"/>
      <c r="AD48" s="2482"/>
    </row>
    <row r="49" spans="1:30" ht="16.7" customHeight="1" x14ac:dyDescent="0.2">
      <c r="A49" s="2716">
        <v>39</v>
      </c>
      <c r="B49" s="2488" t="s">
        <v>7056</v>
      </c>
      <c r="C49" s="2530">
        <v>2259</v>
      </c>
      <c r="D49" s="2488"/>
      <c r="E49" s="2488"/>
      <c r="F49" s="2488"/>
      <c r="G49" s="2488"/>
      <c r="H49" s="2488"/>
      <c r="I49" s="2488"/>
      <c r="J49" s="2488"/>
      <c r="K49" s="2530">
        <v>2269</v>
      </c>
      <c r="L49" s="2488"/>
      <c r="M49" s="2530">
        <v>4528</v>
      </c>
      <c r="N49" s="2488"/>
      <c r="O49" s="2479"/>
      <c r="Q49" s="2579"/>
      <c r="R49" s="2482"/>
      <c r="S49" s="2482"/>
      <c r="T49" s="2482"/>
      <c r="U49" s="2482"/>
      <c r="V49" s="2482"/>
      <c r="W49" s="2482"/>
      <c r="X49" s="2482"/>
      <c r="Y49" s="2482"/>
      <c r="Z49" s="2482"/>
      <c r="AA49" s="2482"/>
      <c r="AB49" s="2482"/>
      <c r="AC49" s="2482"/>
      <c r="AD49" s="2482"/>
    </row>
    <row r="50" spans="1:30" ht="16.7" customHeight="1" x14ac:dyDescent="0.2">
      <c r="A50" s="2716">
        <v>40</v>
      </c>
      <c r="B50" s="2668" t="s">
        <v>7047</v>
      </c>
      <c r="C50" s="2672">
        <v>0</v>
      </c>
      <c r="D50" s="2488"/>
      <c r="E50" s="2672">
        <v>2259</v>
      </c>
      <c r="F50" s="2488"/>
      <c r="G50" s="2672">
        <v>2259</v>
      </c>
      <c r="H50" s="2488"/>
      <c r="I50" s="2672">
        <v>2259</v>
      </c>
      <c r="J50" s="2488"/>
      <c r="K50" s="2672">
        <v>113180</v>
      </c>
      <c r="L50" s="2488"/>
      <c r="M50" s="2672">
        <v>119957</v>
      </c>
      <c r="N50" s="2488"/>
      <c r="O50" s="2479"/>
      <c r="Q50" s="2579"/>
      <c r="R50" s="2482"/>
      <c r="S50" s="2482"/>
      <c r="T50" s="2482"/>
      <c r="U50" s="2482"/>
      <c r="V50" s="2482"/>
      <c r="W50" s="2482"/>
      <c r="X50" s="2482"/>
      <c r="Y50" s="2482"/>
      <c r="Z50" s="2482"/>
      <c r="AA50" s="2482"/>
      <c r="AB50" s="2482"/>
      <c r="AC50" s="2482"/>
      <c r="AD50" s="2482"/>
    </row>
    <row r="51" spans="1:30" ht="16.7" customHeight="1" x14ac:dyDescent="0.2">
      <c r="A51" s="2716">
        <v>41</v>
      </c>
      <c r="B51" s="2488"/>
      <c r="C51" s="3939"/>
      <c r="D51" s="3940"/>
      <c r="E51" s="3940"/>
      <c r="F51" s="3941"/>
      <c r="G51" s="2488"/>
      <c r="H51" s="2488"/>
      <c r="I51" s="2488"/>
      <c r="J51" s="2488"/>
      <c r="K51" s="2488"/>
      <c r="L51" s="2488"/>
      <c r="M51" s="2488"/>
      <c r="N51" s="2488"/>
      <c r="O51" s="2479"/>
      <c r="Q51" s="2579"/>
      <c r="R51" s="2482"/>
      <c r="S51" s="2482"/>
      <c r="T51" s="2482"/>
      <c r="U51" s="2482"/>
      <c r="V51" s="2482"/>
      <c r="W51" s="2482"/>
      <c r="X51" s="2482"/>
      <c r="Y51" s="2482"/>
      <c r="Z51" s="2482"/>
      <c r="AA51" s="2482"/>
      <c r="AB51" s="2482"/>
      <c r="AC51" s="2482"/>
      <c r="AD51" s="2482"/>
    </row>
    <row r="52" spans="1:30" ht="16.7" customHeight="1" x14ac:dyDescent="0.2">
      <c r="A52" s="2716">
        <v>42</v>
      </c>
      <c r="B52" s="2488" t="s">
        <v>515</v>
      </c>
      <c r="C52" s="3939"/>
      <c r="D52" s="3940"/>
      <c r="E52" s="3940"/>
      <c r="F52" s="3941"/>
      <c r="G52" s="2488"/>
      <c r="H52" s="2488"/>
      <c r="I52" s="2488"/>
      <c r="J52" s="2488"/>
      <c r="K52" s="2488"/>
      <c r="L52" s="2488"/>
      <c r="M52" s="2488"/>
      <c r="N52" s="2488"/>
      <c r="O52" s="2479"/>
      <c r="Q52" s="2579"/>
      <c r="R52" s="2482"/>
      <c r="S52" s="2482"/>
      <c r="T52" s="2482"/>
      <c r="U52" s="2482"/>
      <c r="V52" s="2482"/>
      <c r="W52" s="2482"/>
      <c r="X52" s="2482"/>
      <c r="Y52" s="2482"/>
      <c r="Z52" s="2482"/>
      <c r="AA52" s="2482"/>
      <c r="AB52" s="2482"/>
      <c r="AC52" s="2482"/>
      <c r="AD52" s="2482"/>
    </row>
    <row r="53" spans="1:30" ht="16.7" customHeight="1" x14ac:dyDescent="0.2">
      <c r="A53" s="2716">
        <v>43</v>
      </c>
      <c r="B53" s="2488" t="s">
        <v>7057</v>
      </c>
      <c r="C53" s="3939"/>
      <c r="D53" s="3940"/>
      <c r="E53" s="3940"/>
      <c r="F53" s="3941"/>
      <c r="G53" s="2488"/>
      <c r="H53" s="2488"/>
      <c r="I53" s="2488"/>
      <c r="J53" s="2488"/>
      <c r="K53" s="2488"/>
      <c r="L53" s="2488"/>
      <c r="M53" s="2488"/>
      <c r="N53" s="2488"/>
      <c r="O53" s="2479"/>
      <c r="Q53" s="2579"/>
      <c r="R53" s="2482"/>
      <c r="S53" s="2482"/>
      <c r="T53" s="2482"/>
      <c r="U53" s="2482"/>
      <c r="V53" s="2482"/>
      <c r="W53" s="2482"/>
      <c r="X53" s="2482"/>
      <c r="Y53" s="2482"/>
      <c r="Z53" s="2482"/>
      <c r="AA53" s="2482"/>
      <c r="AB53" s="2482"/>
      <c r="AC53" s="2482"/>
      <c r="AD53" s="2482"/>
    </row>
    <row r="54" spans="1:30" ht="16.7" customHeight="1" x14ac:dyDescent="0.2">
      <c r="A54" s="2716">
        <v>44</v>
      </c>
      <c r="B54" s="2488" t="s">
        <v>7050</v>
      </c>
      <c r="C54" s="2488"/>
      <c r="D54" s="2488"/>
      <c r="E54" s="2488"/>
      <c r="F54" s="2488"/>
      <c r="G54" s="2488"/>
      <c r="H54" s="2488"/>
      <c r="I54" s="2488"/>
      <c r="J54" s="2488"/>
      <c r="K54" s="2488"/>
      <c r="L54" s="2488"/>
      <c r="M54" s="2488"/>
      <c r="N54" s="2488"/>
      <c r="O54" s="2479"/>
      <c r="Q54" s="2579"/>
      <c r="R54" s="2482"/>
      <c r="S54" s="2482"/>
      <c r="T54" s="2482"/>
      <c r="U54" s="2482"/>
      <c r="V54" s="2482"/>
      <c r="W54" s="2482"/>
      <c r="X54" s="2482"/>
      <c r="Y54" s="2482"/>
      <c r="Z54" s="2482"/>
      <c r="AA54" s="2482"/>
      <c r="AB54" s="2482"/>
      <c r="AC54" s="2482"/>
      <c r="AD54" s="2482"/>
    </row>
    <row r="55" spans="1:30" ht="16.7" customHeight="1" x14ac:dyDescent="0.2">
      <c r="A55" s="2716">
        <v>45</v>
      </c>
      <c r="B55" s="2488" t="s">
        <v>7051</v>
      </c>
      <c r="C55" s="2488"/>
      <c r="D55" s="2488"/>
      <c r="E55" s="2488"/>
      <c r="F55" s="2488"/>
      <c r="G55" s="2488"/>
      <c r="H55" s="2488"/>
      <c r="I55" s="2488"/>
      <c r="J55" s="2488"/>
      <c r="K55" s="2488"/>
      <c r="L55" s="2488"/>
      <c r="M55" s="2488"/>
      <c r="N55" s="2488"/>
      <c r="O55" s="2479"/>
      <c r="Q55" s="2579"/>
      <c r="R55" s="2482"/>
      <c r="S55" s="2482"/>
      <c r="T55" s="2482"/>
      <c r="U55" s="2482"/>
      <c r="V55" s="2482"/>
      <c r="W55" s="2482"/>
      <c r="X55" s="2482"/>
      <c r="Y55" s="2482"/>
      <c r="Z55" s="2482"/>
      <c r="AA55" s="2482"/>
      <c r="AB55" s="2482"/>
      <c r="AC55" s="2482"/>
      <c r="AD55" s="2482"/>
    </row>
    <row r="56" spans="1:30" ht="16.7" customHeight="1" x14ac:dyDescent="0.2">
      <c r="A56" s="2716">
        <v>46</v>
      </c>
      <c r="B56" s="2488" t="s">
        <v>7052</v>
      </c>
      <c r="C56" s="2488"/>
      <c r="D56" s="2488"/>
      <c r="E56" s="2488"/>
      <c r="F56" s="2488"/>
      <c r="G56" s="2488"/>
      <c r="H56" s="2488"/>
      <c r="I56" s="2488"/>
      <c r="J56" s="2488"/>
      <c r="K56" s="2488"/>
      <c r="L56" s="2488"/>
      <c r="M56" s="2488"/>
      <c r="N56" s="2488"/>
      <c r="O56" s="2479"/>
      <c r="Q56" s="2579"/>
      <c r="R56" s="2482"/>
      <c r="S56" s="2482"/>
      <c r="T56" s="2482"/>
      <c r="U56" s="2482"/>
      <c r="V56" s="2482"/>
      <c r="W56" s="2482"/>
      <c r="X56" s="2482"/>
      <c r="Y56" s="2482"/>
      <c r="Z56" s="2482"/>
      <c r="AA56" s="2482"/>
      <c r="AB56" s="2482"/>
      <c r="AC56" s="2482"/>
      <c r="AD56" s="2482"/>
    </row>
    <row r="57" spans="1:30" ht="16.7" customHeight="1" x14ac:dyDescent="0.2">
      <c r="A57" s="2516"/>
      <c r="B57" s="2516"/>
      <c r="C57" s="2516"/>
      <c r="D57" s="2516"/>
      <c r="E57" s="2516"/>
      <c r="F57" s="2516"/>
      <c r="G57" s="2516"/>
      <c r="H57" s="2516"/>
      <c r="I57" s="2516"/>
      <c r="J57" s="2516"/>
      <c r="K57" s="2516"/>
      <c r="L57" s="2516"/>
      <c r="M57" s="2516"/>
      <c r="N57" s="2516"/>
      <c r="Q57" s="2579"/>
      <c r="R57" s="2482"/>
      <c r="S57" s="2482"/>
      <c r="T57" s="2482"/>
      <c r="U57" s="2482"/>
      <c r="V57" s="2482"/>
      <c r="W57" s="2482"/>
      <c r="X57" s="2482"/>
      <c r="Y57" s="2482"/>
      <c r="Z57" s="2482"/>
      <c r="AA57" s="2482"/>
      <c r="AB57" s="2482"/>
      <c r="AC57" s="2482"/>
      <c r="AD57" s="2482"/>
    </row>
    <row r="58" spans="1:30" ht="16.7" customHeight="1" x14ac:dyDescent="0.2">
      <c r="Q58" s="2579"/>
      <c r="R58" s="2482"/>
      <c r="S58" s="2482"/>
      <c r="T58" s="2482"/>
      <c r="U58" s="2482"/>
      <c r="V58" s="2482"/>
      <c r="W58" s="2482"/>
      <c r="X58" s="2482"/>
      <c r="Y58" s="2482"/>
      <c r="Z58" s="2482"/>
      <c r="AA58" s="2482"/>
      <c r="AB58" s="2482"/>
      <c r="AC58" s="2482"/>
      <c r="AD58" s="2482"/>
    </row>
    <row r="59" spans="1:30" ht="16.7" customHeight="1" x14ac:dyDescent="0.2">
      <c r="Q59" s="2579"/>
      <c r="R59" s="2482"/>
      <c r="S59" s="2482"/>
      <c r="T59" s="2482"/>
      <c r="U59" s="2482"/>
      <c r="V59" s="2482"/>
      <c r="W59" s="2482"/>
      <c r="X59" s="2482"/>
      <c r="Y59" s="2482"/>
      <c r="Z59" s="2482"/>
      <c r="AA59" s="2482"/>
      <c r="AB59" s="2482"/>
      <c r="AC59" s="2482"/>
      <c r="AD59" s="2482"/>
    </row>
    <row r="60" spans="1:30" ht="16.7" customHeight="1" x14ac:dyDescent="0.2">
      <c r="Q60" s="2579"/>
      <c r="R60" s="2482"/>
      <c r="S60" s="2482"/>
      <c r="T60" s="2482"/>
      <c r="U60" s="2482"/>
      <c r="V60" s="2482"/>
      <c r="W60" s="2482"/>
      <c r="X60" s="2482"/>
      <c r="Y60" s="2482"/>
      <c r="Z60" s="2482"/>
      <c r="AA60" s="2482"/>
      <c r="AB60" s="2482"/>
      <c r="AC60" s="2482"/>
      <c r="AD60" s="2482"/>
    </row>
    <row r="61" spans="1:30" ht="16.7" customHeight="1" x14ac:dyDescent="0.2">
      <c r="Q61" s="2579"/>
      <c r="R61" s="2482"/>
      <c r="S61" s="2482"/>
      <c r="T61" s="2482"/>
      <c r="U61" s="2482"/>
      <c r="V61" s="2482"/>
      <c r="W61" s="2482"/>
      <c r="X61" s="2482"/>
      <c r="Y61" s="2482"/>
      <c r="Z61" s="2482"/>
      <c r="AA61" s="2482"/>
      <c r="AB61" s="2482"/>
      <c r="AC61" s="2482"/>
      <c r="AD61" s="2482"/>
    </row>
    <row r="62" spans="1:30" ht="16.7" customHeight="1" x14ac:dyDescent="0.2">
      <c r="Q62" s="2579"/>
      <c r="R62" s="2482"/>
      <c r="S62" s="2482"/>
      <c r="T62" s="2482"/>
      <c r="U62" s="2482"/>
      <c r="V62" s="2482"/>
      <c r="W62" s="2482"/>
      <c r="X62" s="2482"/>
      <c r="Y62" s="2482"/>
      <c r="Z62" s="2482"/>
      <c r="AA62" s="2482"/>
      <c r="AB62" s="2482"/>
      <c r="AC62" s="2482"/>
      <c r="AD62" s="2482"/>
    </row>
    <row r="63" spans="1:30" ht="16.7" customHeight="1" x14ac:dyDescent="0.2">
      <c r="Q63" s="2579"/>
      <c r="R63" s="2482"/>
      <c r="S63" s="2482"/>
      <c r="T63" s="2482"/>
      <c r="U63" s="2482"/>
      <c r="V63" s="2482"/>
      <c r="W63" s="2482"/>
      <c r="X63" s="2482"/>
      <c r="Y63" s="2482"/>
      <c r="Z63" s="2482"/>
      <c r="AA63" s="2482"/>
      <c r="AB63" s="2482"/>
      <c r="AC63" s="2482"/>
      <c r="AD63" s="2482"/>
    </row>
    <row r="64" spans="1:30" ht="16.7" customHeight="1" x14ac:dyDescent="0.2">
      <c r="Q64" s="2579"/>
      <c r="R64" s="2482"/>
      <c r="S64" s="2482"/>
      <c r="T64" s="2482"/>
      <c r="U64" s="2482"/>
      <c r="V64" s="2482"/>
      <c r="W64" s="2482"/>
      <c r="X64" s="2482"/>
      <c r="Y64" s="2482"/>
      <c r="Z64" s="2482"/>
      <c r="AA64" s="2482"/>
      <c r="AB64" s="2482"/>
      <c r="AC64" s="2482"/>
      <c r="AD64" s="2482"/>
    </row>
    <row r="65" spans="17:30" ht="16.7" customHeight="1" x14ac:dyDescent="0.2">
      <c r="Q65" s="2579"/>
      <c r="R65" s="2482"/>
      <c r="S65" s="2482"/>
      <c r="T65" s="2482"/>
      <c r="U65" s="2482"/>
      <c r="V65" s="2482"/>
      <c r="W65" s="2482"/>
      <c r="X65" s="2482"/>
      <c r="Y65" s="2482"/>
      <c r="Z65" s="2482"/>
      <c r="AA65" s="2482"/>
      <c r="AB65" s="2482"/>
      <c r="AC65" s="2482"/>
      <c r="AD65" s="2482"/>
    </row>
    <row r="66" spans="17:30" ht="16.7" customHeight="1" x14ac:dyDescent="0.2">
      <c r="Q66" s="2579"/>
      <c r="R66" s="2482"/>
      <c r="S66" s="2482"/>
      <c r="T66" s="2482"/>
      <c r="U66" s="2482"/>
      <c r="V66" s="2482"/>
      <c r="W66" s="2482"/>
      <c r="X66" s="2482"/>
      <c r="Y66" s="2482"/>
      <c r="Z66" s="2482"/>
      <c r="AA66" s="2482"/>
      <c r="AB66" s="2482"/>
      <c r="AC66" s="2482"/>
      <c r="AD66" s="2482"/>
    </row>
    <row r="67" spans="17:30" ht="16.7" customHeight="1" x14ac:dyDescent="0.2">
      <c r="Q67" s="2579"/>
      <c r="R67" s="2482"/>
      <c r="S67" s="2482"/>
      <c r="T67" s="2482"/>
      <c r="U67" s="2482"/>
      <c r="V67" s="2482"/>
      <c r="W67" s="2482"/>
      <c r="X67" s="2482"/>
      <c r="Y67" s="2482"/>
      <c r="Z67" s="2482"/>
      <c r="AA67" s="2482"/>
      <c r="AB67" s="2482"/>
      <c r="AC67" s="2482"/>
      <c r="AD67" s="2482"/>
    </row>
    <row r="68" spans="17:30" ht="16.7" customHeight="1" x14ac:dyDescent="0.2">
      <c r="Q68" s="2579"/>
      <c r="R68" s="2482"/>
      <c r="S68" s="2482"/>
      <c r="T68" s="2482"/>
      <c r="U68" s="2482"/>
      <c r="V68" s="2482"/>
      <c r="W68" s="2482"/>
      <c r="X68" s="2482"/>
      <c r="Y68" s="2482"/>
      <c r="Z68" s="2482"/>
      <c r="AA68" s="2482"/>
      <c r="AB68" s="2482"/>
      <c r="AC68" s="2482"/>
      <c r="AD68" s="2482"/>
    </row>
    <row r="69" spans="17:30" ht="16.7" customHeight="1" x14ac:dyDescent="0.2">
      <c r="Q69" s="2579"/>
      <c r="R69" s="2482"/>
      <c r="S69" s="2482"/>
      <c r="T69" s="2482"/>
      <c r="U69" s="2482"/>
      <c r="V69" s="2482"/>
      <c r="W69" s="2482"/>
      <c r="X69" s="2482"/>
      <c r="Y69" s="2482"/>
      <c r="Z69" s="2482"/>
      <c r="AA69" s="2482"/>
      <c r="AB69" s="2482"/>
      <c r="AC69" s="2482"/>
      <c r="AD69" s="2482"/>
    </row>
    <row r="70" spans="17:30" ht="16.7" customHeight="1" x14ac:dyDescent="0.2">
      <c r="Q70" s="2579"/>
      <c r="R70" s="2482"/>
      <c r="S70" s="2482"/>
      <c r="T70" s="2482"/>
      <c r="U70" s="2482"/>
      <c r="V70" s="2482"/>
      <c r="W70" s="2482"/>
      <c r="X70" s="2482"/>
      <c r="Y70" s="2482"/>
      <c r="Z70" s="2482"/>
      <c r="AA70" s="2482"/>
      <c r="AB70" s="2482"/>
      <c r="AC70" s="2482"/>
      <c r="AD70" s="2482"/>
    </row>
    <row r="71" spans="17:30" ht="16.7" customHeight="1" x14ac:dyDescent="0.2">
      <c r="Q71" s="2579"/>
      <c r="R71" s="2482"/>
      <c r="S71" s="2482"/>
      <c r="T71" s="2482"/>
      <c r="U71" s="2482"/>
      <c r="V71" s="2482"/>
      <c r="W71" s="2482"/>
      <c r="X71" s="2482"/>
      <c r="Y71" s="2482"/>
      <c r="Z71" s="2482"/>
      <c r="AA71" s="2482"/>
      <c r="AB71" s="2482"/>
      <c r="AC71" s="2482"/>
      <c r="AD71" s="2482"/>
    </row>
    <row r="72" spans="17:30" ht="16.7" customHeight="1" x14ac:dyDescent="0.2">
      <c r="Q72" s="2579"/>
      <c r="R72" s="2482"/>
      <c r="S72" s="2482"/>
      <c r="T72" s="2482"/>
      <c r="U72" s="2482"/>
      <c r="V72" s="2482"/>
      <c r="W72" s="2482"/>
      <c r="X72" s="2482"/>
      <c r="Y72" s="2482"/>
      <c r="Z72" s="2482"/>
      <c r="AA72" s="2482"/>
      <c r="AB72" s="2482"/>
      <c r="AC72" s="2482"/>
      <c r="AD72" s="2482"/>
    </row>
    <row r="73" spans="17:30" ht="16.7" customHeight="1" x14ac:dyDescent="0.2">
      <c r="Q73" s="2579"/>
      <c r="R73" s="2482"/>
      <c r="S73" s="2482"/>
      <c r="T73" s="2482"/>
      <c r="U73" s="2482"/>
      <c r="V73" s="2482"/>
      <c r="W73" s="2482"/>
      <c r="X73" s="2482"/>
      <c r="Y73" s="2482"/>
      <c r="Z73" s="2482"/>
      <c r="AA73" s="2482"/>
      <c r="AB73" s="2482"/>
      <c r="AC73" s="2482"/>
      <c r="AD73" s="2482"/>
    </row>
    <row r="74" spans="17:30" ht="16.7" customHeight="1" x14ac:dyDescent="0.2">
      <c r="Q74" s="2579"/>
      <c r="R74" s="2482"/>
      <c r="S74" s="2482"/>
      <c r="T74" s="2482"/>
      <c r="U74" s="2482"/>
      <c r="V74" s="2482"/>
      <c r="W74" s="2482"/>
      <c r="X74" s="2482"/>
      <c r="Y74" s="2482"/>
      <c r="Z74" s="2482"/>
      <c r="AA74" s="2482"/>
      <c r="AB74" s="2482"/>
      <c r="AC74" s="2482"/>
      <c r="AD74" s="2482"/>
    </row>
    <row r="75" spans="17:30" ht="16.7" customHeight="1" x14ac:dyDescent="0.2">
      <c r="Q75" s="2579"/>
      <c r="R75" s="2482"/>
      <c r="S75" s="2482"/>
      <c r="T75" s="2482"/>
      <c r="U75" s="2482"/>
      <c r="V75" s="2482"/>
      <c r="W75" s="2482"/>
      <c r="X75" s="2482"/>
      <c r="Y75" s="2482"/>
      <c r="Z75" s="2482"/>
      <c r="AA75" s="2482"/>
      <c r="AB75" s="2482"/>
      <c r="AC75" s="2482"/>
      <c r="AD75" s="2482"/>
    </row>
    <row r="76" spans="17:30" ht="16.7" customHeight="1" x14ac:dyDescent="0.2">
      <c r="Q76" s="2579"/>
      <c r="R76" s="2482"/>
      <c r="S76" s="2482"/>
      <c r="T76" s="2482"/>
      <c r="U76" s="2482"/>
      <c r="V76" s="2482"/>
      <c r="W76" s="2482"/>
      <c r="X76" s="2482"/>
      <c r="Y76" s="2482"/>
      <c r="Z76" s="2482"/>
      <c r="AA76" s="2482"/>
      <c r="AB76" s="2482"/>
      <c r="AC76" s="2482"/>
      <c r="AD76" s="2482"/>
    </row>
    <row r="77" spans="17:30" ht="16.7" customHeight="1" x14ac:dyDescent="0.2">
      <c r="Q77" s="2579"/>
      <c r="R77" s="2482"/>
      <c r="S77" s="2482"/>
      <c r="T77" s="2482"/>
      <c r="U77" s="2482"/>
      <c r="V77" s="2482"/>
      <c r="W77" s="2482"/>
      <c r="X77" s="2482"/>
      <c r="Y77" s="2482"/>
      <c r="Z77" s="2482"/>
      <c r="AA77" s="2482"/>
      <c r="AB77" s="2482"/>
      <c r="AC77" s="2482"/>
      <c r="AD77" s="2482"/>
    </row>
    <row r="78" spans="17:30" ht="16.7" customHeight="1" x14ac:dyDescent="0.2">
      <c r="Q78" s="2579"/>
      <c r="R78" s="2482"/>
      <c r="S78" s="2482"/>
      <c r="T78" s="2482"/>
      <c r="U78" s="2482"/>
      <c r="V78" s="2482"/>
      <c r="W78" s="2482"/>
      <c r="X78" s="2482"/>
      <c r="Y78" s="2482"/>
      <c r="Z78" s="2482"/>
      <c r="AA78" s="2482"/>
      <c r="AB78" s="2482"/>
      <c r="AC78" s="2482"/>
      <c r="AD78" s="2482"/>
    </row>
    <row r="79" spans="17:30" ht="16.7" customHeight="1" x14ac:dyDescent="0.2">
      <c r="Q79" s="2579"/>
      <c r="R79" s="2482"/>
      <c r="S79" s="2482"/>
      <c r="T79" s="2482"/>
      <c r="U79" s="2482"/>
      <c r="V79" s="2482"/>
      <c r="W79" s="2482"/>
      <c r="X79" s="2482"/>
      <c r="Y79" s="2482"/>
      <c r="Z79" s="2482"/>
      <c r="AA79" s="2482"/>
      <c r="AB79" s="2482"/>
      <c r="AC79" s="2482"/>
      <c r="AD79" s="2482"/>
    </row>
    <row r="80" spans="17:30" ht="16.7" customHeight="1" x14ac:dyDescent="0.2">
      <c r="Q80" s="2579"/>
      <c r="R80" s="2482"/>
      <c r="S80" s="2482"/>
      <c r="T80" s="2482"/>
      <c r="U80" s="2482"/>
      <c r="V80" s="2482"/>
      <c r="W80" s="2482"/>
      <c r="X80" s="2482"/>
      <c r="Y80" s="2482"/>
      <c r="Z80" s="2482"/>
      <c r="AA80" s="2482"/>
      <c r="AB80" s="2482"/>
      <c r="AC80" s="2482"/>
      <c r="AD80" s="2482"/>
    </row>
    <row r="81" spans="17:30" ht="16.7" customHeight="1" x14ac:dyDescent="0.2">
      <c r="Q81" s="2579"/>
      <c r="R81" s="2482"/>
      <c r="S81" s="2482"/>
      <c r="T81" s="2482"/>
      <c r="U81" s="2482"/>
      <c r="V81" s="2482"/>
      <c r="W81" s="2482"/>
      <c r="X81" s="2482"/>
      <c r="Y81" s="2482"/>
      <c r="Z81" s="2482"/>
      <c r="AA81" s="2482"/>
      <c r="AB81" s="2482"/>
      <c r="AC81" s="2482"/>
      <c r="AD81" s="2482"/>
    </row>
    <row r="82" spans="17:30" ht="16.7" customHeight="1" x14ac:dyDescent="0.2">
      <c r="Q82" s="2579"/>
      <c r="R82" s="2482"/>
      <c r="S82" s="2482"/>
      <c r="T82" s="2482"/>
      <c r="U82" s="2482"/>
      <c r="V82" s="2482"/>
      <c r="W82" s="2482"/>
      <c r="X82" s="2482"/>
      <c r="Y82" s="2482"/>
      <c r="Z82" s="2482"/>
      <c r="AA82" s="2482"/>
      <c r="AB82" s="2482"/>
      <c r="AC82" s="2482"/>
      <c r="AD82" s="2482"/>
    </row>
    <row r="83" spans="17:30" ht="16.7" customHeight="1" x14ac:dyDescent="0.2">
      <c r="Q83" s="2579"/>
      <c r="R83" s="2482"/>
      <c r="S83" s="2482"/>
      <c r="T83" s="2482"/>
      <c r="U83" s="2482"/>
      <c r="V83" s="2482"/>
      <c r="W83" s="2482"/>
      <c r="X83" s="2482"/>
      <c r="Y83" s="2482"/>
      <c r="Z83" s="2482"/>
      <c r="AA83" s="2482"/>
      <c r="AB83" s="2482"/>
      <c r="AC83" s="2482"/>
      <c r="AD83" s="2482"/>
    </row>
    <row r="84" spans="17:30" ht="16.7" customHeight="1" x14ac:dyDescent="0.2">
      <c r="Q84" s="2579"/>
      <c r="R84" s="2482"/>
      <c r="S84" s="2482"/>
      <c r="T84" s="2482"/>
      <c r="U84" s="2482"/>
      <c r="V84" s="2482"/>
      <c r="W84" s="2482"/>
      <c r="X84" s="2482"/>
      <c r="Y84" s="2482"/>
      <c r="Z84" s="2482"/>
      <c r="AA84" s="2482"/>
      <c r="AB84" s="2482"/>
      <c r="AC84" s="2482"/>
      <c r="AD84" s="2482"/>
    </row>
    <row r="85" spans="17:30" ht="16.7" customHeight="1" x14ac:dyDescent="0.2">
      <c r="Q85" s="2579"/>
      <c r="R85" s="2482"/>
      <c r="S85" s="2482"/>
      <c r="T85" s="2482"/>
      <c r="U85" s="2482"/>
      <c r="V85" s="2482"/>
      <c r="W85" s="2482"/>
      <c r="X85" s="2482"/>
      <c r="Y85" s="2482"/>
      <c r="Z85" s="2482"/>
      <c r="AA85" s="2482"/>
      <c r="AB85" s="2482"/>
      <c r="AC85" s="2482"/>
      <c r="AD85" s="2482"/>
    </row>
    <row r="86" spans="17:30" ht="16.7" customHeight="1" x14ac:dyDescent="0.2">
      <c r="Q86" s="2579"/>
      <c r="R86" s="2482"/>
      <c r="S86" s="2482"/>
      <c r="T86" s="2482"/>
      <c r="U86" s="2482"/>
      <c r="V86" s="2482"/>
      <c r="W86" s="2482"/>
      <c r="X86" s="2482"/>
      <c r="Y86" s="2482"/>
      <c r="Z86" s="2482"/>
      <c r="AA86" s="2482"/>
      <c r="AB86" s="2482"/>
      <c r="AC86" s="2482"/>
      <c r="AD86" s="2482"/>
    </row>
    <row r="87" spans="17:30" ht="16.7" customHeight="1" x14ac:dyDescent="0.2">
      <c r="Q87" s="2579"/>
      <c r="R87" s="2482"/>
      <c r="S87" s="2482"/>
      <c r="T87" s="2482"/>
      <c r="U87" s="2482"/>
      <c r="V87" s="2482"/>
      <c r="W87" s="2482"/>
      <c r="X87" s="2482"/>
      <c r="Y87" s="2482"/>
      <c r="Z87" s="2482"/>
      <c r="AA87" s="2482"/>
      <c r="AB87" s="2482"/>
      <c r="AC87" s="2482"/>
      <c r="AD87" s="2482"/>
    </row>
    <row r="88" spans="17:30" ht="16.7" customHeight="1" x14ac:dyDescent="0.2">
      <c r="Q88" s="2579"/>
      <c r="R88" s="2482"/>
      <c r="S88" s="2482"/>
      <c r="T88" s="2482"/>
      <c r="U88" s="2482"/>
      <c r="V88" s="2482"/>
      <c r="W88" s="2482"/>
      <c r="X88" s="2482"/>
      <c r="Y88" s="2482"/>
      <c r="Z88" s="2482"/>
      <c r="AA88" s="2482"/>
      <c r="AB88" s="2482"/>
      <c r="AC88" s="2482"/>
      <c r="AD88" s="2482"/>
    </row>
    <row r="89" spans="17:30" ht="16.7" customHeight="1" x14ac:dyDescent="0.2">
      <c r="Q89" s="2579"/>
      <c r="R89" s="2482"/>
      <c r="S89" s="2482"/>
      <c r="T89" s="2482"/>
      <c r="U89" s="2482"/>
      <c r="V89" s="2482"/>
      <c r="W89" s="2482"/>
      <c r="X89" s="2482"/>
      <c r="Y89" s="2482"/>
      <c r="Z89" s="2482"/>
      <c r="AA89" s="2482"/>
      <c r="AB89" s="2482"/>
      <c r="AC89" s="2482"/>
      <c r="AD89" s="2482"/>
    </row>
    <row r="90" spans="17:30" ht="16.7" customHeight="1" x14ac:dyDescent="0.2">
      <c r="Q90" s="2579"/>
      <c r="R90" s="2482"/>
      <c r="S90" s="2482"/>
      <c r="T90" s="2482"/>
      <c r="U90" s="2482"/>
      <c r="V90" s="2482"/>
      <c r="W90" s="2482"/>
      <c r="X90" s="2482"/>
      <c r="Y90" s="2482"/>
      <c r="Z90" s="2482"/>
      <c r="AA90" s="2482"/>
      <c r="AB90" s="2482"/>
      <c r="AC90" s="2482"/>
      <c r="AD90" s="2482"/>
    </row>
    <row r="91" spans="17:30" ht="16.7" customHeight="1" x14ac:dyDescent="0.2">
      <c r="Q91" s="2579"/>
      <c r="R91" s="2482"/>
      <c r="S91" s="2482"/>
      <c r="T91" s="2482"/>
      <c r="U91" s="2482"/>
      <c r="V91" s="2482"/>
      <c r="W91" s="2482"/>
      <c r="X91" s="2482"/>
      <c r="Y91" s="2482"/>
      <c r="Z91" s="2482"/>
      <c r="AA91" s="2482"/>
      <c r="AB91" s="2482"/>
      <c r="AC91" s="2482"/>
      <c r="AD91" s="2482"/>
    </row>
    <row r="92" spans="17:30" ht="16.7" customHeight="1" x14ac:dyDescent="0.2">
      <c r="Q92" s="2579"/>
      <c r="R92" s="2482"/>
      <c r="S92" s="2482"/>
      <c r="T92" s="2482"/>
      <c r="U92" s="2482"/>
      <c r="V92" s="2482"/>
      <c r="W92" s="2482"/>
      <c r="X92" s="2482"/>
      <c r="Y92" s="2482"/>
      <c r="Z92" s="2482"/>
      <c r="AA92" s="2482"/>
      <c r="AB92" s="2482"/>
      <c r="AC92" s="2482"/>
      <c r="AD92" s="2482"/>
    </row>
    <row r="93" spans="17:30" ht="16.7" customHeight="1" x14ac:dyDescent="0.2">
      <c r="Q93" s="2579"/>
      <c r="R93" s="2482"/>
      <c r="S93" s="2482"/>
      <c r="T93" s="2482"/>
      <c r="U93" s="2482"/>
      <c r="V93" s="2482"/>
      <c r="W93" s="2482"/>
      <c r="X93" s="2482"/>
      <c r="Y93" s="2482"/>
      <c r="Z93" s="2482"/>
      <c r="AA93" s="2482"/>
      <c r="AB93" s="2482"/>
      <c r="AC93" s="2482"/>
      <c r="AD93" s="2482"/>
    </row>
    <row r="94" spans="17:30" ht="16.7" customHeight="1" x14ac:dyDescent="0.2">
      <c r="Q94" s="2579"/>
      <c r="R94" s="2482"/>
      <c r="S94" s="2482"/>
      <c r="T94" s="2482"/>
      <c r="U94" s="2482"/>
      <c r="V94" s="2482"/>
      <c r="W94" s="2482"/>
      <c r="X94" s="2482"/>
      <c r="Y94" s="2482"/>
      <c r="Z94" s="2482"/>
      <c r="AA94" s="2482"/>
      <c r="AB94" s="2482"/>
      <c r="AC94" s="2482"/>
      <c r="AD94" s="2482"/>
    </row>
    <row r="95" spans="17:30" ht="16.7" customHeight="1" x14ac:dyDescent="0.2">
      <c r="Q95" s="2579"/>
      <c r="R95" s="2482"/>
      <c r="S95" s="2482"/>
      <c r="T95" s="2482"/>
      <c r="U95" s="2482"/>
      <c r="V95" s="2482"/>
      <c r="W95" s="2482"/>
      <c r="X95" s="2482"/>
      <c r="Y95" s="2482"/>
      <c r="Z95" s="2482"/>
      <c r="AA95" s="2482"/>
      <c r="AB95" s="2482"/>
      <c r="AC95" s="2482"/>
      <c r="AD95" s="2482"/>
    </row>
    <row r="96" spans="17:30" ht="16.7" customHeight="1" x14ac:dyDescent="0.2">
      <c r="Q96" s="2579"/>
      <c r="R96" s="2482"/>
      <c r="S96" s="2482"/>
      <c r="T96" s="2482"/>
      <c r="U96" s="2482"/>
      <c r="V96" s="2482"/>
      <c r="W96" s="2482"/>
      <c r="X96" s="2482"/>
      <c r="Y96" s="2482"/>
      <c r="Z96" s="2482"/>
      <c r="AA96" s="2482"/>
      <c r="AB96" s="2482"/>
      <c r="AC96" s="2482"/>
      <c r="AD96" s="2482"/>
    </row>
    <row r="97" spans="17:30" ht="16.7" customHeight="1" x14ac:dyDescent="0.2">
      <c r="Q97" s="2579"/>
      <c r="R97" s="2482"/>
      <c r="S97" s="2482"/>
      <c r="T97" s="2482"/>
      <c r="U97" s="2482"/>
      <c r="V97" s="2482"/>
      <c r="W97" s="2482"/>
      <c r="X97" s="2482"/>
      <c r="Y97" s="2482"/>
      <c r="Z97" s="2482"/>
      <c r="AA97" s="2482"/>
      <c r="AB97" s="2482"/>
      <c r="AC97" s="2482"/>
      <c r="AD97" s="2482"/>
    </row>
    <row r="98" spans="17:30" ht="16.7" customHeight="1" x14ac:dyDescent="0.2">
      <c r="Q98" s="2579"/>
      <c r="R98" s="2482"/>
      <c r="S98" s="2482"/>
      <c r="T98" s="2482"/>
      <c r="U98" s="2482"/>
      <c r="V98" s="2482"/>
      <c r="W98" s="2482"/>
      <c r="X98" s="2482"/>
      <c r="Y98" s="2482"/>
      <c r="Z98" s="2482"/>
      <c r="AA98" s="2482"/>
      <c r="AB98" s="2482"/>
      <c r="AC98" s="2482"/>
      <c r="AD98" s="2482"/>
    </row>
    <row r="99" spans="17:30" ht="16.7" customHeight="1" x14ac:dyDescent="0.2">
      <c r="Q99" s="2579"/>
      <c r="R99" s="2482"/>
      <c r="S99" s="2482"/>
      <c r="T99" s="2482"/>
      <c r="U99" s="2482"/>
      <c r="V99" s="2482"/>
      <c r="W99" s="2482"/>
      <c r="X99" s="2482"/>
      <c r="Y99" s="2482"/>
      <c r="Z99" s="2482"/>
      <c r="AA99" s="2482"/>
      <c r="AB99" s="2482"/>
      <c r="AC99" s="2482"/>
      <c r="AD99" s="2482"/>
    </row>
    <row r="100" spans="17:30" ht="16.7" customHeight="1" x14ac:dyDescent="0.2">
      <c r="Q100" s="2579"/>
      <c r="R100" s="2482"/>
      <c r="S100" s="2482"/>
      <c r="T100" s="2482"/>
      <c r="U100" s="2482"/>
      <c r="V100" s="2482"/>
      <c r="W100" s="2482"/>
      <c r="X100" s="2482"/>
      <c r="Y100" s="2482"/>
      <c r="Z100" s="2482"/>
      <c r="AA100" s="2482"/>
      <c r="AB100" s="2482"/>
      <c r="AC100" s="2482"/>
      <c r="AD100" s="2482"/>
    </row>
    <row r="101" spans="17:30" ht="16.7" customHeight="1" x14ac:dyDescent="0.2">
      <c r="Q101" s="2579"/>
      <c r="R101" s="2482"/>
      <c r="S101" s="2482"/>
      <c r="T101" s="2482"/>
      <c r="U101" s="2482"/>
      <c r="V101" s="2482"/>
      <c r="W101" s="2482"/>
      <c r="X101" s="2482"/>
      <c r="Y101" s="2482"/>
      <c r="Z101" s="2482"/>
      <c r="AA101" s="2482"/>
      <c r="AB101" s="2482"/>
      <c r="AC101" s="2482"/>
      <c r="AD101" s="2482"/>
    </row>
    <row r="102" spans="17:30" ht="16.7" customHeight="1" x14ac:dyDescent="0.2">
      <c r="Q102" s="2579"/>
      <c r="R102" s="2482"/>
      <c r="S102" s="2482"/>
      <c r="T102" s="2482"/>
      <c r="U102" s="2482"/>
      <c r="V102" s="2482"/>
      <c r="W102" s="2482"/>
      <c r="X102" s="2482"/>
      <c r="Y102" s="2482"/>
      <c r="Z102" s="2482"/>
      <c r="AA102" s="2482"/>
      <c r="AB102" s="2482"/>
      <c r="AC102" s="2482"/>
      <c r="AD102" s="2482"/>
    </row>
    <row r="103" spans="17:30" ht="16.7" customHeight="1" x14ac:dyDescent="0.2">
      <c r="Q103" s="2579"/>
      <c r="R103" s="2482"/>
      <c r="S103" s="2482"/>
      <c r="T103" s="2482"/>
      <c r="U103" s="2482"/>
      <c r="V103" s="2482"/>
      <c r="W103" s="2482"/>
      <c r="X103" s="2482"/>
      <c r="Y103" s="2482"/>
      <c r="Z103" s="2482"/>
      <c r="AA103" s="2482"/>
      <c r="AB103" s="2482"/>
      <c r="AC103" s="2482"/>
      <c r="AD103" s="2482"/>
    </row>
    <row r="104" spans="17:30" ht="16.7" customHeight="1" x14ac:dyDescent="0.2">
      <c r="Q104" s="2579"/>
      <c r="R104" s="2482"/>
      <c r="S104" s="2482"/>
      <c r="T104" s="2482"/>
      <c r="U104" s="2482"/>
      <c r="V104" s="2482"/>
      <c r="W104" s="2482"/>
      <c r="X104" s="2482"/>
      <c r="Y104" s="2482"/>
      <c r="Z104" s="2482"/>
      <c r="AA104" s="2482"/>
      <c r="AB104" s="2482"/>
      <c r="AC104" s="2482"/>
      <c r="AD104" s="2482"/>
    </row>
    <row r="105" spans="17:30" ht="16.7" customHeight="1" x14ac:dyDescent="0.2">
      <c r="Q105" s="2579"/>
      <c r="R105" s="2482"/>
      <c r="S105" s="2482"/>
      <c r="T105" s="2482"/>
      <c r="U105" s="2482"/>
      <c r="V105" s="2482"/>
      <c r="W105" s="2482"/>
      <c r="X105" s="2482"/>
      <c r="Y105" s="2482"/>
      <c r="Z105" s="2482"/>
      <c r="AA105" s="2482"/>
      <c r="AB105" s="2482"/>
      <c r="AC105" s="2482"/>
      <c r="AD105" s="2482"/>
    </row>
    <row r="106" spans="17:30" ht="15" customHeight="1" x14ac:dyDescent="0.2">
      <c r="Q106" s="2579"/>
      <c r="R106" s="2482"/>
      <c r="S106" s="2482"/>
      <c r="T106" s="2482"/>
      <c r="U106" s="2482"/>
      <c r="V106" s="2482"/>
      <c r="W106" s="2482"/>
      <c r="X106" s="2482"/>
      <c r="Y106" s="2482"/>
      <c r="Z106" s="2482"/>
      <c r="AA106" s="2482"/>
      <c r="AB106" s="2482"/>
      <c r="AC106" s="2482"/>
      <c r="AD106" s="2482"/>
    </row>
    <row r="107" spans="17:30" x14ac:dyDescent="0.2">
      <c r="Q107" s="2608"/>
    </row>
  </sheetData>
  <mergeCells count="38">
    <mergeCell ref="C30:F30"/>
    <mergeCell ref="G30:N30"/>
    <mergeCell ref="C51:F51"/>
    <mergeCell ref="C52:F52"/>
    <mergeCell ref="C53:F53"/>
    <mergeCell ref="C39:F39"/>
    <mergeCell ref="G39:N39"/>
    <mergeCell ref="C40:F40"/>
    <mergeCell ref="G40:N40"/>
    <mergeCell ref="C45:F45"/>
    <mergeCell ref="G45:N45"/>
    <mergeCell ref="C24:F24"/>
    <mergeCell ref="G24:N24"/>
    <mergeCell ref="C25:F25"/>
    <mergeCell ref="G25:N25"/>
    <mergeCell ref="C27:F27"/>
    <mergeCell ref="G27:N27"/>
    <mergeCell ref="C14:F14"/>
    <mergeCell ref="G14:N14"/>
    <mergeCell ref="C15:F15"/>
    <mergeCell ref="G15:N15"/>
    <mergeCell ref="C11:F11"/>
    <mergeCell ref="G11:N11"/>
    <mergeCell ref="A3:N3"/>
    <mergeCell ref="A4:F4"/>
    <mergeCell ref="G4:N4"/>
    <mergeCell ref="A5:F5"/>
    <mergeCell ref="G5:N5"/>
    <mergeCell ref="I6:J6"/>
    <mergeCell ref="K6:L6"/>
    <mergeCell ref="M6:N6"/>
    <mergeCell ref="C10:F10"/>
    <mergeCell ref="A6:A7"/>
    <mergeCell ref="B6:B7"/>
    <mergeCell ref="C6:D6"/>
    <mergeCell ref="E6:F6"/>
    <mergeCell ref="G6:H6"/>
    <mergeCell ref="G10:N10"/>
  </mergeCells>
  <pageMargins left="0.75" right="0.75" top="1" bottom="1" header="0.5" footer="0.5"/>
  <customProperties>
    <customPr name="_pios_id" r:id="rId1"/>
  </customProperties>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542C84-5CA3-4DC1-B5A6-48A8763F51E4}">
  <sheetPr codeName="Sheet54"/>
  <dimension ref="A1:G256"/>
  <sheetViews>
    <sheetView workbookViewId="0">
      <pane xSplit="1" ySplit="5" topLeftCell="B6" activePane="bottomRight" state="frozen"/>
      <selection activeCell="C1" sqref="C1"/>
      <selection pane="topRight" activeCell="C1" sqref="C1"/>
      <selection pane="bottomLeft" activeCell="C1" sqref="C1"/>
      <selection pane="bottomRight" activeCell="C1" sqref="C1"/>
    </sheetView>
  </sheetViews>
  <sheetFormatPr defaultColWidth="11.5" defaultRowHeight="12.75" x14ac:dyDescent="0.2"/>
  <cols>
    <col min="1" max="1" width="5.875" style="1953" customWidth="1"/>
    <col min="2" max="2" width="36.125" style="1953" customWidth="1"/>
    <col min="3" max="3" width="16.25" style="1953" customWidth="1"/>
    <col min="4" max="4" width="18.625" style="1953" customWidth="1"/>
    <col min="5" max="5" width="17.375" style="1953" customWidth="1"/>
    <col min="6" max="6" width="14.125" style="1953" customWidth="1"/>
    <col min="7" max="7" width="11.875" style="1953" customWidth="1"/>
    <col min="8" max="16384" width="11.5" style="1953"/>
  </cols>
  <sheetData>
    <row r="1" spans="1:7" ht="16.7" customHeight="1" x14ac:dyDescent="0.2">
      <c r="B1" s="2744" t="s">
        <v>7058</v>
      </c>
      <c r="C1" s="2745"/>
    </row>
    <row r="2" spans="1:7" ht="16.7" customHeight="1" x14ac:dyDescent="0.2">
      <c r="A2" s="3860" t="s">
        <v>7059</v>
      </c>
      <c r="B2" s="3860"/>
      <c r="C2" s="3860"/>
      <c r="D2" s="3860"/>
      <c r="E2" s="3860"/>
      <c r="F2" s="3860"/>
      <c r="G2" s="2479"/>
    </row>
    <row r="3" spans="1:7" ht="82.5" customHeight="1" x14ac:dyDescent="0.2">
      <c r="A3" s="3959" t="s">
        <v>7060</v>
      </c>
      <c r="B3" s="3959"/>
      <c r="C3" s="3959"/>
      <c r="D3" s="3959"/>
      <c r="E3" s="3959"/>
      <c r="F3" s="3959"/>
      <c r="G3" s="2479"/>
    </row>
    <row r="4" spans="1:7" ht="32.450000000000003" customHeight="1" x14ac:dyDescent="0.2">
      <c r="A4" s="2489" t="s">
        <v>6360</v>
      </c>
      <c r="B4" s="2489" t="s">
        <v>231</v>
      </c>
      <c r="C4" s="2489" t="s">
        <v>7061</v>
      </c>
      <c r="D4" s="2489" t="s">
        <v>7062</v>
      </c>
      <c r="E4" s="2489" t="s">
        <v>7063</v>
      </c>
      <c r="F4" s="2489" t="s">
        <v>7064</v>
      </c>
      <c r="G4" s="2479"/>
    </row>
    <row r="5" spans="1:7" ht="15.75" customHeight="1" x14ac:dyDescent="0.2">
      <c r="A5" s="2489"/>
      <c r="B5" s="2489" t="s">
        <v>5949</v>
      </c>
      <c r="C5" s="2489" t="s">
        <v>5950</v>
      </c>
      <c r="D5" s="2489" t="s">
        <v>5951</v>
      </c>
      <c r="E5" s="2489" t="s">
        <v>5952</v>
      </c>
      <c r="F5" s="2489" t="s">
        <v>6227</v>
      </c>
      <c r="G5" s="2479" t="s">
        <v>6324</v>
      </c>
    </row>
    <row r="6" spans="1:7" ht="16.7" customHeight="1" x14ac:dyDescent="0.2">
      <c r="A6" s="2497">
        <v>1</v>
      </c>
      <c r="B6" s="2669" t="s">
        <v>7065</v>
      </c>
      <c r="C6" s="2655"/>
      <c r="D6" s="2746"/>
      <c r="E6" s="2655"/>
      <c r="F6" s="2746"/>
      <c r="G6" s="2479"/>
    </row>
    <row r="7" spans="1:7" ht="16.7" customHeight="1" x14ac:dyDescent="0.2">
      <c r="A7" s="2497">
        <v>2</v>
      </c>
      <c r="B7" s="2488" t="s">
        <v>7066</v>
      </c>
      <c r="C7" s="2530">
        <v>508</v>
      </c>
      <c r="D7" s="2747">
        <v>561.6</v>
      </c>
      <c r="E7" s="2530">
        <v>508</v>
      </c>
      <c r="F7" s="2748">
        <v>456</v>
      </c>
      <c r="G7" s="2479" t="str">
        <f t="shared" ref="G7:G68" si="0">B7</f>
        <v>Q3134-A</v>
      </c>
    </row>
    <row r="8" spans="1:7" ht="16.7" customHeight="1" x14ac:dyDescent="0.2">
      <c r="A8" s="2497">
        <v>3</v>
      </c>
      <c r="B8" s="2488" t="s">
        <v>7067</v>
      </c>
      <c r="C8" s="2530">
        <v>1600</v>
      </c>
      <c r="D8" s="2747">
        <v>561.6</v>
      </c>
      <c r="E8" s="2530">
        <v>0</v>
      </c>
      <c r="F8" s="2489"/>
      <c r="G8" s="2479" t="str">
        <f t="shared" si="0"/>
        <v>Q3088-A</v>
      </c>
    </row>
    <row r="9" spans="1:7" ht="16.7" customHeight="1" x14ac:dyDescent="0.2">
      <c r="A9" s="2497">
        <v>4</v>
      </c>
      <c r="B9" s="2488" t="s">
        <v>7068</v>
      </c>
      <c r="C9" s="2530">
        <v>497</v>
      </c>
      <c r="D9" s="2747">
        <v>561.6</v>
      </c>
      <c r="E9" s="2530">
        <v>0</v>
      </c>
      <c r="F9" s="2489"/>
      <c r="G9" s="2479" t="str">
        <f t="shared" si="0"/>
        <v>Q3170</v>
      </c>
    </row>
    <row r="10" spans="1:7" ht="16.7" customHeight="1" x14ac:dyDescent="0.2">
      <c r="A10" s="2497">
        <v>5</v>
      </c>
      <c r="B10" s="2488" t="s">
        <v>7069</v>
      </c>
      <c r="C10" s="2530">
        <v>3353</v>
      </c>
      <c r="D10" s="2747">
        <v>561.6</v>
      </c>
      <c r="E10" s="2530">
        <v>0</v>
      </c>
      <c r="F10" s="2489"/>
      <c r="G10" s="2479" t="str">
        <f t="shared" si="0"/>
        <v>Q3165-A</v>
      </c>
    </row>
    <row r="11" spans="1:7" ht="16.7" customHeight="1" x14ac:dyDescent="0.2">
      <c r="A11" s="2497">
        <v>6</v>
      </c>
      <c r="B11" s="2488" t="s">
        <v>7070</v>
      </c>
      <c r="C11" s="2530">
        <v>104</v>
      </c>
      <c r="D11" s="2747">
        <v>561.6</v>
      </c>
      <c r="E11" s="2530">
        <v>104</v>
      </c>
      <c r="F11" s="2748">
        <v>456</v>
      </c>
      <c r="G11" s="2479" t="str">
        <f t="shared" si="0"/>
        <v>Q3049</v>
      </c>
    </row>
    <row r="12" spans="1:7" ht="16.7" customHeight="1" x14ac:dyDescent="0.2">
      <c r="A12" s="2497">
        <v>7</v>
      </c>
      <c r="B12" s="2488" t="s">
        <v>7071</v>
      </c>
      <c r="C12" s="2530">
        <v>1154</v>
      </c>
      <c r="D12" s="2747">
        <v>561.6</v>
      </c>
      <c r="E12" s="2530">
        <v>1154</v>
      </c>
      <c r="F12" s="2748">
        <v>456</v>
      </c>
      <c r="G12" s="2479" t="str">
        <f t="shared" si="0"/>
        <v>Q3116</v>
      </c>
    </row>
    <row r="13" spans="1:7" ht="16.7" customHeight="1" x14ac:dyDescent="0.2">
      <c r="A13" s="2497">
        <v>8</v>
      </c>
      <c r="B13" s="2488" t="s">
        <v>7072</v>
      </c>
      <c r="C13" s="2530">
        <v>4792</v>
      </c>
      <c r="D13" s="2747">
        <v>561.6</v>
      </c>
      <c r="E13" s="2530">
        <v>4792</v>
      </c>
      <c r="F13" s="2748">
        <v>456</v>
      </c>
      <c r="G13" s="2479" t="str">
        <f t="shared" si="0"/>
        <v>Q3204</v>
      </c>
    </row>
    <row r="14" spans="1:7" ht="16.7" customHeight="1" x14ac:dyDescent="0.2">
      <c r="A14" s="2497">
        <v>9</v>
      </c>
      <c r="B14" s="2488" t="s">
        <v>7073</v>
      </c>
      <c r="C14" s="2530">
        <v>4102</v>
      </c>
      <c r="D14" s="2747">
        <v>561.6</v>
      </c>
      <c r="E14" s="2530">
        <v>4102</v>
      </c>
      <c r="F14" s="2748">
        <v>456</v>
      </c>
      <c r="G14" s="2479" t="str">
        <f t="shared" si="0"/>
        <v>Q3134-B</v>
      </c>
    </row>
    <row r="15" spans="1:7" ht="16.7" customHeight="1" x14ac:dyDescent="0.2">
      <c r="A15" s="2497">
        <v>10</v>
      </c>
      <c r="B15" s="2488" t="s">
        <v>7074</v>
      </c>
      <c r="C15" s="2530">
        <v>449</v>
      </c>
      <c r="D15" s="2747">
        <v>561.6</v>
      </c>
      <c r="E15" s="2530">
        <v>449</v>
      </c>
      <c r="F15" s="2748">
        <v>456</v>
      </c>
      <c r="G15" s="2479" t="str">
        <f t="shared" si="0"/>
        <v>Q3217</v>
      </c>
    </row>
    <row r="16" spans="1:7" ht="16.7" customHeight="1" x14ac:dyDescent="0.2">
      <c r="A16" s="2497">
        <v>11</v>
      </c>
      <c r="B16" s="2488" t="s">
        <v>7075</v>
      </c>
      <c r="C16" s="2530">
        <v>62</v>
      </c>
      <c r="D16" s="2747">
        <v>561.6</v>
      </c>
      <c r="E16" s="2530">
        <v>62</v>
      </c>
      <c r="F16" s="2748">
        <v>456</v>
      </c>
      <c r="G16" s="2479" t="str">
        <f t="shared" si="0"/>
        <v>Q3222</v>
      </c>
    </row>
    <row r="17" spans="1:7" ht="16.7" customHeight="1" x14ac:dyDescent="0.2">
      <c r="A17" s="2497">
        <v>12</v>
      </c>
      <c r="B17" s="2488" t="s">
        <v>7076</v>
      </c>
      <c r="C17" s="2530">
        <v>198</v>
      </c>
      <c r="D17" s="2747">
        <v>561.6</v>
      </c>
      <c r="E17" s="2530">
        <v>198</v>
      </c>
      <c r="F17" s="2748">
        <v>456</v>
      </c>
      <c r="G17" s="2479" t="str">
        <f t="shared" si="0"/>
        <v>Q3223</v>
      </c>
    </row>
    <row r="18" spans="1:7" ht="16.7" customHeight="1" x14ac:dyDescent="0.2">
      <c r="A18" s="2497">
        <v>13</v>
      </c>
      <c r="B18" s="2488" t="s">
        <v>7077</v>
      </c>
      <c r="C18" s="2530">
        <v>6793</v>
      </c>
      <c r="D18" s="2747">
        <v>561.6</v>
      </c>
      <c r="E18" s="2530">
        <v>6793</v>
      </c>
      <c r="F18" s="2748">
        <v>456</v>
      </c>
      <c r="G18" s="2479" t="str">
        <f t="shared" si="0"/>
        <v>Q3245</v>
      </c>
    </row>
    <row r="19" spans="1:7" ht="16.7" customHeight="1" x14ac:dyDescent="0.2">
      <c r="A19" s="2497">
        <v>14</v>
      </c>
      <c r="B19" s="2488" t="s">
        <v>7078</v>
      </c>
      <c r="C19" s="2530">
        <v>5572</v>
      </c>
      <c r="D19" s="2747">
        <v>561.6</v>
      </c>
      <c r="E19" s="2530">
        <v>5572</v>
      </c>
      <c r="F19" s="2748">
        <v>456</v>
      </c>
      <c r="G19" s="2479" t="str">
        <f t="shared" si="0"/>
        <v>Q3246</v>
      </c>
    </row>
    <row r="20" spans="1:7" ht="16.7" customHeight="1" x14ac:dyDescent="0.2">
      <c r="A20" s="2497">
        <v>15</v>
      </c>
      <c r="B20" s="2488" t="s">
        <v>7079</v>
      </c>
      <c r="C20" s="2530">
        <v>3380</v>
      </c>
      <c r="D20" s="2747">
        <v>561.6</v>
      </c>
      <c r="E20" s="2530">
        <v>3380</v>
      </c>
      <c r="F20" s="2748">
        <v>456</v>
      </c>
      <c r="G20" s="2479" t="str">
        <f t="shared" si="0"/>
        <v>Q3247</v>
      </c>
    </row>
    <row r="21" spans="1:7" ht="16.7" customHeight="1" x14ac:dyDescent="0.2">
      <c r="A21" s="2497">
        <v>16</v>
      </c>
      <c r="B21" s="2488" t="s">
        <v>7080</v>
      </c>
      <c r="C21" s="2530">
        <v>3136</v>
      </c>
      <c r="D21" s="2747">
        <v>561.6</v>
      </c>
      <c r="E21" s="2530">
        <v>0</v>
      </c>
      <c r="F21" s="2489"/>
      <c r="G21" s="2479" t="str">
        <f t="shared" si="0"/>
        <v>Q3218-A</v>
      </c>
    </row>
    <row r="22" spans="1:7" ht="16.7" customHeight="1" x14ac:dyDescent="0.2">
      <c r="A22" s="2497">
        <v>17</v>
      </c>
      <c r="B22" s="2488" t="s">
        <v>7081</v>
      </c>
      <c r="C22" s="2530">
        <v>260</v>
      </c>
      <c r="D22" s="2747">
        <v>561.6</v>
      </c>
      <c r="E22" s="2530">
        <v>0</v>
      </c>
      <c r="F22" s="2489"/>
      <c r="G22" s="2479" t="str">
        <f t="shared" si="0"/>
        <v>Q3248-A</v>
      </c>
    </row>
    <row r="23" spans="1:7" ht="16.7" customHeight="1" x14ac:dyDescent="0.2">
      <c r="A23" s="2497">
        <v>18</v>
      </c>
      <c r="B23" s="2488" t="s">
        <v>7082</v>
      </c>
      <c r="C23" s="2530">
        <v>215</v>
      </c>
      <c r="D23" s="2747">
        <v>561.6</v>
      </c>
      <c r="E23" s="2530">
        <v>215</v>
      </c>
      <c r="F23" s="2748">
        <v>456</v>
      </c>
      <c r="G23" s="2479" t="str">
        <f t="shared" si="0"/>
        <v>Q3221</v>
      </c>
    </row>
    <row r="24" spans="1:7" ht="16.7" customHeight="1" x14ac:dyDescent="0.2">
      <c r="A24" s="2497">
        <v>19</v>
      </c>
      <c r="B24" s="2488" t="s">
        <v>7083</v>
      </c>
      <c r="C24" s="2530">
        <v>5336</v>
      </c>
      <c r="D24" s="2747">
        <v>561.6</v>
      </c>
      <c r="E24" s="2530">
        <v>0</v>
      </c>
      <c r="F24" s="2489"/>
      <c r="G24" s="2479" t="str">
        <f t="shared" si="0"/>
        <v>Q3218-B</v>
      </c>
    </row>
    <row r="25" spans="1:7" ht="16.7" customHeight="1" x14ac:dyDescent="0.2">
      <c r="A25" s="2749">
        <f t="shared" ref="A25:A67" si="1">A24+0.001</f>
        <v>19.001000000000001</v>
      </c>
      <c r="B25" s="2488" t="s">
        <v>7084</v>
      </c>
      <c r="C25" s="2530">
        <v>3276</v>
      </c>
      <c r="D25" s="2747">
        <v>561.6</v>
      </c>
      <c r="E25" s="2530">
        <v>0</v>
      </c>
      <c r="F25" s="2489"/>
      <c r="G25" s="2479" t="str">
        <f t="shared" si="0"/>
        <v>Q3249</v>
      </c>
    </row>
    <row r="26" spans="1:7" ht="16.7" customHeight="1" x14ac:dyDescent="0.2">
      <c r="A26" s="2749">
        <f t="shared" si="1"/>
        <v>19.002000000000002</v>
      </c>
      <c r="B26" s="2488" t="s">
        <v>7085</v>
      </c>
      <c r="C26" s="2530">
        <v>3954</v>
      </c>
      <c r="D26" s="2747">
        <v>561.6</v>
      </c>
      <c r="E26" s="2530">
        <v>0</v>
      </c>
      <c r="F26" s="2489"/>
      <c r="G26" s="2479" t="str">
        <f t="shared" si="0"/>
        <v>Q3252</v>
      </c>
    </row>
    <row r="27" spans="1:7" ht="16.7" customHeight="1" x14ac:dyDescent="0.2">
      <c r="A27" s="2749">
        <f t="shared" si="1"/>
        <v>19.003000000000004</v>
      </c>
      <c r="B27" s="2488" t="s">
        <v>7086</v>
      </c>
      <c r="C27" s="2530">
        <v>114</v>
      </c>
      <c r="D27" s="2747">
        <v>561.6</v>
      </c>
      <c r="E27" s="2530">
        <v>0</v>
      </c>
      <c r="F27" s="2489"/>
      <c r="G27" s="2479" t="str">
        <f t="shared" si="0"/>
        <v>Q3265</v>
      </c>
    </row>
    <row r="28" spans="1:7" ht="16.7" customHeight="1" x14ac:dyDescent="0.2">
      <c r="A28" s="2749">
        <f t="shared" si="1"/>
        <v>19.004000000000005</v>
      </c>
      <c r="B28" s="2488" t="s">
        <v>7087</v>
      </c>
      <c r="C28" s="2530">
        <v>295</v>
      </c>
      <c r="D28" s="2747">
        <v>561.6</v>
      </c>
      <c r="E28" s="2530">
        <v>0</v>
      </c>
      <c r="F28" s="2489"/>
      <c r="G28" s="2479" t="str">
        <f t="shared" si="0"/>
        <v>Q3088-B</v>
      </c>
    </row>
    <row r="29" spans="1:7" ht="16.7" customHeight="1" x14ac:dyDescent="0.2">
      <c r="A29" s="2749">
        <f t="shared" si="1"/>
        <v>19.005000000000006</v>
      </c>
      <c r="B29" s="2488" t="s">
        <v>7088</v>
      </c>
      <c r="C29" s="2530">
        <v>555</v>
      </c>
      <c r="D29" s="2747">
        <v>561.6</v>
      </c>
      <c r="E29" s="2530">
        <v>0</v>
      </c>
      <c r="F29" s="2489"/>
      <c r="G29" s="2479" t="str">
        <f t="shared" si="0"/>
        <v>Q3089</v>
      </c>
    </row>
    <row r="30" spans="1:7" ht="16.7" customHeight="1" x14ac:dyDescent="0.2">
      <c r="A30" s="2749">
        <f t="shared" si="1"/>
        <v>19.006000000000007</v>
      </c>
      <c r="B30" s="2488" t="s">
        <v>7089</v>
      </c>
      <c r="C30" s="2530">
        <v>4018</v>
      </c>
      <c r="D30" s="2747">
        <v>561.6</v>
      </c>
      <c r="E30" s="2530">
        <v>4018</v>
      </c>
      <c r="F30" s="2748">
        <v>456</v>
      </c>
      <c r="G30" s="2479" t="str">
        <f t="shared" si="0"/>
        <v>Q3270-A</v>
      </c>
    </row>
    <row r="31" spans="1:7" ht="16.7" customHeight="1" x14ac:dyDescent="0.2">
      <c r="A31" s="2749">
        <f t="shared" si="1"/>
        <v>19.007000000000009</v>
      </c>
      <c r="B31" s="2488" t="s">
        <v>7090</v>
      </c>
      <c r="C31" s="2530">
        <v>2127</v>
      </c>
      <c r="D31" s="2747">
        <v>561.6</v>
      </c>
      <c r="E31" s="2530">
        <v>2127</v>
      </c>
      <c r="F31" s="2748">
        <v>456</v>
      </c>
      <c r="G31" s="2479" t="str">
        <f t="shared" si="0"/>
        <v>Q3271</v>
      </c>
    </row>
    <row r="32" spans="1:7" ht="16.7" customHeight="1" x14ac:dyDescent="0.2">
      <c r="A32" s="2749">
        <f t="shared" si="1"/>
        <v>19.00800000000001</v>
      </c>
      <c r="B32" s="2488" t="s">
        <v>7091</v>
      </c>
      <c r="C32" s="2530">
        <v>2016</v>
      </c>
      <c r="D32" s="2747">
        <v>561.6</v>
      </c>
      <c r="E32" s="2530">
        <v>2016</v>
      </c>
      <c r="F32" s="2748">
        <v>456</v>
      </c>
      <c r="G32" s="2479" t="str">
        <f t="shared" si="0"/>
        <v>Q3272</v>
      </c>
    </row>
    <row r="33" spans="1:7" ht="16.7" customHeight="1" x14ac:dyDescent="0.2">
      <c r="A33" s="2749">
        <f t="shared" si="1"/>
        <v>19.009000000000011</v>
      </c>
      <c r="B33" s="2488" t="s">
        <v>7092</v>
      </c>
      <c r="C33" s="2530">
        <v>7317</v>
      </c>
      <c r="D33" s="2747">
        <v>561.6</v>
      </c>
      <c r="E33" s="2530">
        <v>0</v>
      </c>
      <c r="F33" s="2489"/>
      <c r="G33" s="2479" t="str">
        <f t="shared" si="0"/>
        <v>Q3248-B</v>
      </c>
    </row>
    <row r="34" spans="1:7" ht="16.7" customHeight="1" x14ac:dyDescent="0.2">
      <c r="A34" s="2749">
        <f t="shared" si="1"/>
        <v>19.010000000000012</v>
      </c>
      <c r="B34" s="2488" t="s">
        <v>7093</v>
      </c>
      <c r="C34" s="2530">
        <v>2814</v>
      </c>
      <c r="D34" s="2747">
        <v>561.6</v>
      </c>
      <c r="E34" s="2530">
        <v>0</v>
      </c>
      <c r="F34" s="2489"/>
      <c r="G34" s="2479" t="str">
        <f t="shared" si="0"/>
        <v>Q3283</v>
      </c>
    </row>
    <row r="35" spans="1:7" ht="16.7" customHeight="1" x14ac:dyDescent="0.2">
      <c r="A35" s="2749">
        <f t="shared" si="1"/>
        <v>19.011000000000013</v>
      </c>
      <c r="B35" s="2488" t="s">
        <v>7094</v>
      </c>
      <c r="C35" s="2530">
        <v>3275</v>
      </c>
      <c r="D35" s="2747">
        <v>561.6</v>
      </c>
      <c r="E35" s="2530">
        <v>0</v>
      </c>
      <c r="F35" s="2489"/>
      <c r="G35" s="2479" t="str">
        <f t="shared" si="0"/>
        <v>Q3284</v>
      </c>
    </row>
    <row r="36" spans="1:7" ht="16.7" customHeight="1" x14ac:dyDescent="0.2">
      <c r="A36" s="2749">
        <f t="shared" si="1"/>
        <v>19.012000000000015</v>
      </c>
      <c r="B36" s="2488" t="s">
        <v>7095</v>
      </c>
      <c r="C36" s="2530">
        <v>2266</v>
      </c>
      <c r="D36" s="2747">
        <v>561.6</v>
      </c>
      <c r="E36" s="2530">
        <v>0</v>
      </c>
      <c r="F36" s="2489"/>
      <c r="G36" s="2479" t="str">
        <f t="shared" si="0"/>
        <v>Q3281-A</v>
      </c>
    </row>
    <row r="37" spans="1:7" ht="16.7" customHeight="1" x14ac:dyDescent="0.2">
      <c r="A37" s="2749">
        <f t="shared" si="1"/>
        <v>19.013000000000016</v>
      </c>
      <c r="B37" s="2488" t="s">
        <v>7096</v>
      </c>
      <c r="C37" s="2530">
        <v>5398</v>
      </c>
      <c r="D37" s="2747">
        <v>561.6</v>
      </c>
      <c r="E37" s="2530">
        <v>0</v>
      </c>
      <c r="F37" s="2489"/>
      <c r="G37" s="2479" t="str">
        <f t="shared" si="0"/>
        <v>Q3143-A</v>
      </c>
    </row>
    <row r="38" spans="1:7" ht="16.7" customHeight="1" x14ac:dyDescent="0.2">
      <c r="A38" s="2749">
        <f t="shared" si="1"/>
        <v>19.014000000000017</v>
      </c>
      <c r="B38" s="2488" t="s">
        <v>7097</v>
      </c>
      <c r="C38" s="2530">
        <v>419</v>
      </c>
      <c r="D38" s="2747">
        <v>561.6</v>
      </c>
      <c r="E38" s="2530">
        <v>0</v>
      </c>
      <c r="F38" s="2489"/>
      <c r="G38" s="2479" t="str">
        <f t="shared" si="0"/>
        <v>Q3090</v>
      </c>
    </row>
    <row r="39" spans="1:7" ht="16.7" customHeight="1" x14ac:dyDescent="0.2">
      <c r="A39" s="2749">
        <f t="shared" si="1"/>
        <v>19.015000000000018</v>
      </c>
      <c r="B39" s="2488" t="s">
        <v>7098</v>
      </c>
      <c r="C39" s="2530">
        <v>3142</v>
      </c>
      <c r="D39" s="2747">
        <v>561.6</v>
      </c>
      <c r="E39" s="2530">
        <v>0</v>
      </c>
      <c r="F39" s="2489"/>
      <c r="G39" s="2479" t="str">
        <f t="shared" si="0"/>
        <v>Q3290</v>
      </c>
    </row>
    <row r="40" spans="1:7" ht="16.7" customHeight="1" x14ac:dyDescent="0.2">
      <c r="A40" s="2749">
        <f t="shared" si="1"/>
        <v>19.01600000000002</v>
      </c>
      <c r="B40" s="2488" t="s">
        <v>7099</v>
      </c>
      <c r="C40" s="2530">
        <v>3005</v>
      </c>
      <c r="D40" s="2747">
        <v>561.6</v>
      </c>
      <c r="E40" s="2530">
        <v>0</v>
      </c>
      <c r="F40" s="2489"/>
      <c r="G40" s="2479" t="str">
        <f t="shared" si="0"/>
        <v>Q3278</v>
      </c>
    </row>
    <row r="41" spans="1:7" ht="16.7" customHeight="1" x14ac:dyDescent="0.2">
      <c r="A41" s="2749">
        <f t="shared" si="1"/>
        <v>19.017000000000021</v>
      </c>
      <c r="B41" s="2488" t="s">
        <v>7100</v>
      </c>
      <c r="C41" s="2530">
        <v>2891</v>
      </c>
      <c r="D41" s="2747">
        <v>561.6</v>
      </c>
      <c r="E41" s="2530">
        <v>0</v>
      </c>
      <c r="F41" s="2489"/>
      <c r="G41" s="2479" t="str">
        <f t="shared" si="0"/>
        <v>Q3279</v>
      </c>
    </row>
    <row r="42" spans="1:7" ht="16.7" customHeight="1" x14ac:dyDescent="0.2">
      <c r="A42" s="2749">
        <f t="shared" si="1"/>
        <v>19.018000000000022</v>
      </c>
      <c r="B42" s="2488" t="s">
        <v>7101</v>
      </c>
      <c r="C42" s="2530">
        <v>2682</v>
      </c>
      <c r="D42" s="2747">
        <v>561.6</v>
      </c>
      <c r="E42" s="2530">
        <v>0</v>
      </c>
      <c r="F42" s="2489"/>
      <c r="G42" s="2479" t="str">
        <f t="shared" si="0"/>
        <v>Q3292</v>
      </c>
    </row>
    <row r="43" spans="1:7" ht="16.7" customHeight="1" x14ac:dyDescent="0.2">
      <c r="A43" s="2749">
        <f t="shared" si="1"/>
        <v>19.019000000000023</v>
      </c>
      <c r="B43" s="2488" t="s">
        <v>7102</v>
      </c>
      <c r="C43" s="2530">
        <v>690</v>
      </c>
      <c r="D43" s="2747">
        <v>561.6</v>
      </c>
      <c r="E43" s="2530">
        <v>0</v>
      </c>
      <c r="F43" s="2489"/>
      <c r="G43" s="2479" t="str">
        <f t="shared" si="0"/>
        <v>Q3293</v>
      </c>
    </row>
    <row r="44" spans="1:7" ht="16.7" customHeight="1" x14ac:dyDescent="0.2">
      <c r="A44" s="2749">
        <f t="shared" si="1"/>
        <v>19.020000000000024</v>
      </c>
      <c r="B44" s="2488" t="s">
        <v>7103</v>
      </c>
      <c r="C44" s="2530">
        <v>2526</v>
      </c>
      <c r="D44" s="2747">
        <v>561.6</v>
      </c>
      <c r="E44" s="2530">
        <v>0</v>
      </c>
      <c r="F44" s="2489"/>
      <c r="G44" s="2479" t="str">
        <f t="shared" si="0"/>
        <v>Q3320-A</v>
      </c>
    </row>
    <row r="45" spans="1:7" ht="16.7" customHeight="1" x14ac:dyDescent="0.2">
      <c r="A45" s="2749">
        <f t="shared" si="1"/>
        <v>19.021000000000026</v>
      </c>
      <c r="B45" s="2488" t="s">
        <v>7104</v>
      </c>
      <c r="C45" s="2530">
        <v>2526</v>
      </c>
      <c r="D45" s="2747">
        <v>561.6</v>
      </c>
      <c r="E45" s="2530">
        <v>0</v>
      </c>
      <c r="F45" s="2489"/>
      <c r="G45" s="2479" t="str">
        <f t="shared" si="0"/>
        <v>Q3319</v>
      </c>
    </row>
    <row r="46" spans="1:7" ht="16.7" customHeight="1" x14ac:dyDescent="0.2">
      <c r="A46" s="2749">
        <f t="shared" si="1"/>
        <v>19.022000000000027</v>
      </c>
      <c r="B46" s="2488" t="s">
        <v>7105</v>
      </c>
      <c r="C46" s="2530">
        <v>716</v>
      </c>
      <c r="D46" s="2747">
        <v>561.6</v>
      </c>
      <c r="E46" s="2530">
        <v>0</v>
      </c>
      <c r="F46" s="2489"/>
      <c r="G46" s="2479" t="str">
        <f t="shared" si="0"/>
        <v>Q3321</v>
      </c>
    </row>
    <row r="47" spans="1:7" ht="16.7" customHeight="1" x14ac:dyDescent="0.2">
      <c r="A47" s="2749">
        <f t="shared" si="1"/>
        <v>19.023000000000028</v>
      </c>
      <c r="B47" s="2488" t="s">
        <v>7106</v>
      </c>
      <c r="C47" s="2530">
        <v>2844</v>
      </c>
      <c r="D47" s="2747">
        <v>561.6</v>
      </c>
      <c r="E47" s="2530">
        <v>0</v>
      </c>
      <c r="F47" s="2489"/>
      <c r="G47" s="2479" t="str">
        <f t="shared" si="0"/>
        <v>Q3301</v>
      </c>
    </row>
    <row r="48" spans="1:7" ht="16.7" customHeight="1" x14ac:dyDescent="0.2">
      <c r="A48" s="2749">
        <f t="shared" si="1"/>
        <v>19.024000000000029</v>
      </c>
      <c r="B48" s="2488" t="s">
        <v>7107</v>
      </c>
      <c r="C48" s="2530">
        <v>1177</v>
      </c>
      <c r="D48" s="2747">
        <v>561.6</v>
      </c>
      <c r="E48" s="2530">
        <v>0</v>
      </c>
      <c r="F48" s="2489"/>
      <c r="G48" s="2479" t="str">
        <f t="shared" si="0"/>
        <v>Q3300</v>
      </c>
    </row>
    <row r="49" spans="1:7" ht="16.7" customHeight="1" x14ac:dyDescent="0.2">
      <c r="A49" s="2749">
        <f t="shared" si="1"/>
        <v>19.025000000000031</v>
      </c>
      <c r="B49" s="2488" t="s">
        <v>7108</v>
      </c>
      <c r="C49" s="2750">
        <v>4368</v>
      </c>
      <c r="D49" s="2747">
        <v>561.6</v>
      </c>
      <c r="E49" s="2530">
        <v>0</v>
      </c>
      <c r="F49" s="2751"/>
      <c r="G49" s="2479" t="str">
        <f t="shared" si="0"/>
        <v>Q3314</v>
      </c>
    </row>
    <row r="50" spans="1:7" ht="16.7" customHeight="1" x14ac:dyDescent="0.2">
      <c r="A50" s="2749">
        <f t="shared" si="1"/>
        <v>19.026000000000032</v>
      </c>
      <c r="B50" s="2488" t="s">
        <v>7109</v>
      </c>
      <c r="C50" s="2750">
        <v>5804</v>
      </c>
      <c r="D50" s="2747">
        <v>561.6</v>
      </c>
      <c r="E50" s="2530">
        <v>0</v>
      </c>
      <c r="F50" s="2751"/>
      <c r="G50" s="2479" t="str">
        <f t="shared" si="0"/>
        <v>Q3331</v>
      </c>
    </row>
    <row r="51" spans="1:7" ht="16.7" customHeight="1" x14ac:dyDescent="0.2">
      <c r="A51" s="2749">
        <f t="shared" si="1"/>
        <v>19.027000000000033</v>
      </c>
      <c r="B51" s="2488" t="s">
        <v>7110</v>
      </c>
      <c r="C51" s="2750">
        <v>8096</v>
      </c>
      <c r="D51" s="2747">
        <v>561.6</v>
      </c>
      <c r="E51" s="2752">
        <v>8096</v>
      </c>
      <c r="F51" s="2748">
        <v>456</v>
      </c>
      <c r="G51" s="2479" t="str">
        <f t="shared" si="0"/>
        <v>Q3270-B</v>
      </c>
    </row>
    <row r="52" spans="1:7" ht="16.7" customHeight="1" x14ac:dyDescent="0.2">
      <c r="A52" s="2749">
        <f t="shared" si="1"/>
        <v>19.028000000000034</v>
      </c>
      <c r="B52" s="2488" t="s">
        <v>7111</v>
      </c>
      <c r="C52" s="2750">
        <v>4197</v>
      </c>
      <c r="D52" s="2747">
        <v>561.6</v>
      </c>
      <c r="E52" s="2530">
        <v>0</v>
      </c>
      <c r="F52" s="2489"/>
      <c r="G52" s="2479" t="str">
        <f t="shared" si="0"/>
        <v>Q3325</v>
      </c>
    </row>
    <row r="53" spans="1:7" ht="16.7" customHeight="1" x14ac:dyDescent="0.2">
      <c r="A53" s="2749">
        <f t="shared" si="1"/>
        <v>19.029000000000035</v>
      </c>
      <c r="B53" s="2488" t="s">
        <v>7112</v>
      </c>
      <c r="C53" s="2750">
        <v>6372</v>
      </c>
      <c r="D53" s="2747">
        <v>561.6</v>
      </c>
      <c r="E53" s="2530">
        <v>0</v>
      </c>
      <c r="F53" s="2489"/>
      <c r="G53" s="2479" t="str">
        <f t="shared" si="0"/>
        <v>Q3281-B</v>
      </c>
    </row>
    <row r="54" spans="1:7" ht="16.7" customHeight="1" x14ac:dyDescent="0.2">
      <c r="A54" s="2749">
        <f t="shared" si="1"/>
        <v>19.030000000000037</v>
      </c>
      <c r="B54" s="2488" t="s">
        <v>7113</v>
      </c>
      <c r="C54" s="2750">
        <v>6123</v>
      </c>
      <c r="D54" s="2747">
        <v>561.6</v>
      </c>
      <c r="E54" s="2530">
        <v>0</v>
      </c>
      <c r="F54" s="2489"/>
      <c r="G54" s="2479" t="str">
        <f t="shared" si="0"/>
        <v>Q3334</v>
      </c>
    </row>
    <row r="55" spans="1:7" ht="16.7" customHeight="1" x14ac:dyDescent="0.2">
      <c r="A55" s="2749">
        <f t="shared" si="1"/>
        <v>19.031000000000038</v>
      </c>
      <c r="B55" s="2488" t="s">
        <v>7114</v>
      </c>
      <c r="C55" s="2750">
        <v>5376</v>
      </c>
      <c r="D55" s="2747">
        <v>561.6</v>
      </c>
      <c r="E55" s="2530">
        <v>0</v>
      </c>
      <c r="F55" s="2489"/>
      <c r="G55" s="2479" t="str">
        <f t="shared" si="0"/>
        <v>Q3143-B</v>
      </c>
    </row>
    <row r="56" spans="1:7" ht="16.7" customHeight="1" x14ac:dyDescent="0.2">
      <c r="A56" s="2749">
        <f t="shared" si="1"/>
        <v>19.032000000000039</v>
      </c>
      <c r="B56" s="2488" t="s">
        <v>7115</v>
      </c>
      <c r="C56" s="2750">
        <v>5506</v>
      </c>
      <c r="D56" s="2747">
        <v>561.6</v>
      </c>
      <c r="E56" s="2752">
        <v>5506</v>
      </c>
      <c r="F56" s="2748">
        <v>456</v>
      </c>
      <c r="G56" s="2479" t="str">
        <f t="shared" si="0"/>
        <v>Q3332-A</v>
      </c>
    </row>
    <row r="57" spans="1:7" ht="16.7" customHeight="1" x14ac:dyDescent="0.2">
      <c r="A57" s="2749">
        <f t="shared" si="1"/>
        <v>19.03300000000004</v>
      </c>
      <c r="B57" s="2488" t="s">
        <v>7116</v>
      </c>
      <c r="C57" s="2750">
        <v>2393</v>
      </c>
      <c r="D57" s="2747">
        <v>561.6</v>
      </c>
      <c r="E57" s="2530">
        <v>0</v>
      </c>
      <c r="F57" s="2489"/>
      <c r="G57" s="2479" t="str">
        <f t="shared" si="0"/>
        <v>Q3335</v>
      </c>
    </row>
    <row r="58" spans="1:7" ht="16.7" customHeight="1" x14ac:dyDescent="0.2">
      <c r="A58" s="2749">
        <f t="shared" si="1"/>
        <v>19.034000000000042</v>
      </c>
      <c r="B58" s="2488" t="s">
        <v>7117</v>
      </c>
      <c r="C58" s="2750">
        <v>532</v>
      </c>
      <c r="D58" s="2747">
        <v>561.6</v>
      </c>
      <c r="E58" s="2530">
        <v>0</v>
      </c>
      <c r="F58" s="2489"/>
      <c r="G58" s="2479" t="str">
        <f t="shared" si="0"/>
        <v>Q3344</v>
      </c>
    </row>
    <row r="59" spans="1:7" ht="16.7" customHeight="1" x14ac:dyDescent="0.2">
      <c r="A59" s="2749">
        <f t="shared" si="1"/>
        <v>19.035000000000043</v>
      </c>
      <c r="B59" s="2488" t="s">
        <v>7118</v>
      </c>
      <c r="C59" s="2750">
        <v>4288</v>
      </c>
      <c r="D59" s="2747">
        <v>561.6</v>
      </c>
      <c r="E59" s="2530">
        <v>0</v>
      </c>
      <c r="F59" s="2489"/>
      <c r="G59" s="2479" t="str">
        <f t="shared" si="0"/>
        <v>Q3320-B</v>
      </c>
    </row>
    <row r="60" spans="1:7" ht="16.7" customHeight="1" x14ac:dyDescent="0.2">
      <c r="A60" s="2749">
        <f t="shared" si="1"/>
        <v>19.036000000000044</v>
      </c>
      <c r="B60" s="2488" t="s">
        <v>7119</v>
      </c>
      <c r="C60" s="2750">
        <v>591</v>
      </c>
      <c r="D60" s="2747">
        <v>561.6</v>
      </c>
      <c r="E60" s="2530">
        <v>0</v>
      </c>
      <c r="F60" s="2489"/>
      <c r="G60" s="2479" t="str">
        <f t="shared" si="0"/>
        <v>Q3357</v>
      </c>
    </row>
    <row r="61" spans="1:7" ht="16.7" customHeight="1" x14ac:dyDescent="0.2">
      <c r="A61" s="2749">
        <f t="shared" si="1"/>
        <v>19.037000000000045</v>
      </c>
      <c r="B61" s="2488" t="s">
        <v>7120</v>
      </c>
      <c r="C61" s="2750">
        <v>125</v>
      </c>
      <c r="D61" s="2747">
        <v>561.6</v>
      </c>
      <c r="E61" s="2752">
        <v>125</v>
      </c>
      <c r="F61" s="2748">
        <v>456</v>
      </c>
      <c r="G61" s="2479" t="str">
        <f t="shared" si="0"/>
        <v>Q3332-B</v>
      </c>
    </row>
    <row r="62" spans="1:7" ht="16.7" customHeight="1" x14ac:dyDescent="0.2">
      <c r="A62" s="2749">
        <f t="shared" si="1"/>
        <v>19.038000000000046</v>
      </c>
      <c r="B62" s="2488" t="s">
        <v>7121</v>
      </c>
      <c r="C62" s="2750">
        <v>125</v>
      </c>
      <c r="D62" s="2747">
        <v>561.6</v>
      </c>
      <c r="E62" s="2752">
        <v>125</v>
      </c>
      <c r="F62" s="2748">
        <v>456</v>
      </c>
      <c r="G62" s="2479" t="str">
        <f t="shared" si="0"/>
        <v>Q3368</v>
      </c>
    </row>
    <row r="63" spans="1:7" ht="16.7" customHeight="1" x14ac:dyDescent="0.2">
      <c r="A63" s="2749">
        <f t="shared" si="1"/>
        <v>19.039000000000048</v>
      </c>
      <c r="B63" s="2488" t="s">
        <v>7122</v>
      </c>
      <c r="C63" s="2750">
        <v>91</v>
      </c>
      <c r="D63" s="2747">
        <v>561.6</v>
      </c>
      <c r="E63" s="2752">
        <v>91</v>
      </c>
      <c r="F63" s="2748">
        <v>456</v>
      </c>
      <c r="G63" s="2479" t="str">
        <f t="shared" si="0"/>
        <v>Q3376</v>
      </c>
    </row>
    <row r="64" spans="1:7" ht="16.7" customHeight="1" x14ac:dyDescent="0.2">
      <c r="A64" s="2749">
        <f t="shared" si="1"/>
        <v>19.040000000000049</v>
      </c>
      <c r="B64" s="2488" t="s">
        <v>7123</v>
      </c>
      <c r="C64" s="2750">
        <v>170</v>
      </c>
      <c r="D64" s="2747">
        <v>561.6</v>
      </c>
      <c r="E64" s="2530">
        <v>0</v>
      </c>
      <c r="F64" s="2489"/>
      <c r="G64" s="2479" t="str">
        <f t="shared" si="0"/>
        <v>Q3375</v>
      </c>
    </row>
    <row r="65" spans="1:7" ht="16.7" customHeight="1" x14ac:dyDescent="0.2">
      <c r="A65" s="2749">
        <f t="shared" si="1"/>
        <v>19.04100000000005</v>
      </c>
      <c r="B65" s="2488" t="s">
        <v>7124</v>
      </c>
      <c r="C65" s="2750">
        <v>125</v>
      </c>
      <c r="D65" s="2747">
        <v>561.6</v>
      </c>
      <c r="E65" s="2530">
        <v>0</v>
      </c>
      <c r="F65" s="2489"/>
      <c r="G65" s="2479" t="str">
        <f t="shared" si="0"/>
        <v>Q3373</v>
      </c>
    </row>
    <row r="66" spans="1:7" ht="16.7" customHeight="1" x14ac:dyDescent="0.2">
      <c r="A66" s="2749">
        <f t="shared" si="1"/>
        <v>19.042000000000051</v>
      </c>
      <c r="B66" s="2488" t="s">
        <v>7125</v>
      </c>
      <c r="C66" s="2750">
        <v>125</v>
      </c>
      <c r="D66" s="2747">
        <v>561.6</v>
      </c>
      <c r="E66" s="2530">
        <v>0</v>
      </c>
      <c r="F66" s="2751"/>
      <c r="G66" s="2479" t="str">
        <f t="shared" si="0"/>
        <v>Q3374</v>
      </c>
    </row>
    <row r="67" spans="1:7" ht="16.7" customHeight="1" x14ac:dyDescent="0.2">
      <c r="A67" s="2749">
        <f t="shared" si="1"/>
        <v>19.043000000000053</v>
      </c>
      <c r="B67" s="2488" t="s">
        <v>7126</v>
      </c>
      <c r="C67" s="2750">
        <v>3345</v>
      </c>
      <c r="D67" s="2747">
        <v>561.6</v>
      </c>
      <c r="E67" s="2530">
        <v>0</v>
      </c>
      <c r="F67" s="2751"/>
      <c r="G67" s="2479" t="str">
        <f t="shared" si="0"/>
        <v>Q3165-B</v>
      </c>
    </row>
    <row r="68" spans="1:7" ht="16.7" customHeight="1" x14ac:dyDescent="0.2">
      <c r="A68" s="2497">
        <v>20</v>
      </c>
      <c r="B68" s="2668" t="s">
        <v>7127</v>
      </c>
      <c r="C68" s="2736">
        <f>SUM(C7:C67)</f>
        <v>159306</v>
      </c>
      <c r="D68" s="2753"/>
      <c r="E68" s="2736">
        <f>SUM(E7:E67)</f>
        <v>49433</v>
      </c>
      <c r="F68" s="2754"/>
      <c r="G68" s="2479" t="str">
        <f t="shared" si="0"/>
        <v>Transmission Studies Total</v>
      </c>
    </row>
    <row r="69" spans="1:7" ht="16.7" customHeight="1" x14ac:dyDescent="0.2">
      <c r="A69" s="2497">
        <v>21</v>
      </c>
      <c r="B69" s="2669" t="s">
        <v>7128</v>
      </c>
      <c r="C69" s="2488"/>
      <c r="D69" s="2489"/>
      <c r="E69" s="2488"/>
      <c r="F69" s="2489"/>
      <c r="G69" s="2479"/>
    </row>
    <row r="70" spans="1:7" ht="16.7" customHeight="1" x14ac:dyDescent="0.2">
      <c r="A70" s="2497">
        <v>22</v>
      </c>
      <c r="B70" s="2488" t="s">
        <v>7129</v>
      </c>
      <c r="C70" s="2530">
        <v>84</v>
      </c>
      <c r="D70" s="2747">
        <v>561.70000000000005</v>
      </c>
      <c r="E70" s="2530">
        <v>84</v>
      </c>
      <c r="F70" s="2748">
        <v>456</v>
      </c>
      <c r="G70" s="2479" t="str">
        <f t="shared" ref="G70:G133" si="2">B70</f>
        <v>GIQ0847</v>
      </c>
    </row>
    <row r="71" spans="1:7" ht="16.7" customHeight="1" x14ac:dyDescent="0.2">
      <c r="A71" s="2497">
        <v>23</v>
      </c>
      <c r="B71" s="2488" t="s">
        <v>7130</v>
      </c>
      <c r="C71" s="2530">
        <v>1421</v>
      </c>
      <c r="D71" s="2747">
        <v>561.70000000000005</v>
      </c>
      <c r="E71" s="2530">
        <v>1421</v>
      </c>
      <c r="F71" s="2748">
        <v>456</v>
      </c>
      <c r="G71" s="2479" t="str">
        <f t="shared" si="2"/>
        <v>GIQ1066</v>
      </c>
    </row>
    <row r="72" spans="1:7" ht="16.7" customHeight="1" x14ac:dyDescent="0.2">
      <c r="A72" s="2497">
        <v>24</v>
      </c>
      <c r="B72" s="2488" t="s">
        <v>7131</v>
      </c>
      <c r="C72" s="2530">
        <v>1421</v>
      </c>
      <c r="D72" s="2747">
        <v>561.70000000000005</v>
      </c>
      <c r="E72" s="2530">
        <v>1421</v>
      </c>
      <c r="F72" s="2748">
        <v>456</v>
      </c>
      <c r="G72" s="2479" t="str">
        <f t="shared" si="2"/>
        <v>GIQ1067</v>
      </c>
    </row>
    <row r="73" spans="1:7" ht="16.7" customHeight="1" x14ac:dyDescent="0.2">
      <c r="A73" s="2497">
        <v>25</v>
      </c>
      <c r="B73" s="2488" t="s">
        <v>7132</v>
      </c>
      <c r="C73" s="2530">
        <v>1170</v>
      </c>
      <c r="D73" s="2747">
        <v>561.70000000000005</v>
      </c>
      <c r="E73" s="2530">
        <v>1170</v>
      </c>
      <c r="F73" s="2748">
        <v>456</v>
      </c>
      <c r="G73" s="2479" t="str">
        <f t="shared" si="2"/>
        <v>GIQ1115</v>
      </c>
    </row>
    <row r="74" spans="1:7" ht="16.7" customHeight="1" x14ac:dyDescent="0.2">
      <c r="A74" s="2497">
        <v>26</v>
      </c>
      <c r="B74" s="2488" t="s">
        <v>7133</v>
      </c>
      <c r="C74" s="2530">
        <v>584</v>
      </c>
      <c r="D74" s="2747">
        <v>561.70000000000005</v>
      </c>
      <c r="E74" s="2530">
        <v>584</v>
      </c>
      <c r="F74" s="2748">
        <v>456</v>
      </c>
      <c r="G74" s="2479" t="str">
        <f t="shared" si="2"/>
        <v>GIQ1122</v>
      </c>
    </row>
    <row r="75" spans="1:7" ht="16.7" customHeight="1" x14ac:dyDescent="0.2">
      <c r="A75" s="2497">
        <v>27</v>
      </c>
      <c r="B75" s="2488" t="s">
        <v>7134</v>
      </c>
      <c r="C75" s="2530">
        <v>502</v>
      </c>
      <c r="D75" s="2747">
        <v>561.70000000000005</v>
      </c>
      <c r="E75" s="2530">
        <v>502</v>
      </c>
      <c r="F75" s="2748">
        <v>456</v>
      </c>
      <c r="G75" s="2479" t="str">
        <f t="shared" si="2"/>
        <v>GIQ1141</v>
      </c>
    </row>
    <row r="76" spans="1:7" ht="16.7" customHeight="1" x14ac:dyDescent="0.2">
      <c r="A76" s="2497">
        <v>28</v>
      </c>
      <c r="B76" s="2488" t="s">
        <v>7135</v>
      </c>
      <c r="C76" s="2530">
        <v>502</v>
      </c>
      <c r="D76" s="2747">
        <v>561.70000000000005</v>
      </c>
      <c r="E76" s="2530">
        <v>502</v>
      </c>
      <c r="F76" s="2748">
        <v>456</v>
      </c>
      <c r="G76" s="2479" t="str">
        <f t="shared" si="2"/>
        <v>GIQ1142</v>
      </c>
    </row>
    <row r="77" spans="1:7" ht="16.7" customHeight="1" x14ac:dyDescent="0.2">
      <c r="A77" s="2497">
        <v>29</v>
      </c>
      <c r="B77" s="2488" t="s">
        <v>7136</v>
      </c>
      <c r="C77" s="2530">
        <v>338</v>
      </c>
      <c r="D77" s="2747">
        <v>561.70000000000005</v>
      </c>
      <c r="E77" s="2530">
        <v>338</v>
      </c>
      <c r="F77" s="2748">
        <v>456</v>
      </c>
      <c r="G77" s="2479" t="str">
        <f t="shared" si="2"/>
        <v>GIQ1149</v>
      </c>
    </row>
    <row r="78" spans="1:7" ht="16.7" customHeight="1" x14ac:dyDescent="0.2">
      <c r="A78" s="2497">
        <v>30</v>
      </c>
      <c r="B78" s="2488" t="s">
        <v>7137</v>
      </c>
      <c r="C78" s="2530">
        <v>129</v>
      </c>
      <c r="D78" s="2747">
        <v>561.70000000000005</v>
      </c>
      <c r="E78" s="2530">
        <v>129</v>
      </c>
      <c r="F78" s="2748">
        <v>456</v>
      </c>
      <c r="G78" s="2479" t="str">
        <f t="shared" si="2"/>
        <v>GIQ1150</v>
      </c>
    </row>
    <row r="79" spans="1:7" ht="16.7" customHeight="1" x14ac:dyDescent="0.2">
      <c r="A79" s="2497">
        <v>31</v>
      </c>
      <c r="B79" s="2488" t="s">
        <v>7138</v>
      </c>
      <c r="C79" s="2530">
        <v>129</v>
      </c>
      <c r="D79" s="2747">
        <v>561.70000000000005</v>
      </c>
      <c r="E79" s="2530">
        <v>129</v>
      </c>
      <c r="F79" s="2748">
        <v>456</v>
      </c>
      <c r="G79" s="2479" t="str">
        <f t="shared" si="2"/>
        <v>GIQ1151</v>
      </c>
    </row>
    <row r="80" spans="1:7" ht="16.7" customHeight="1" x14ac:dyDescent="0.2">
      <c r="A80" s="2497">
        <v>32</v>
      </c>
      <c r="B80" s="2488" t="s">
        <v>7139</v>
      </c>
      <c r="C80" s="2530">
        <v>42</v>
      </c>
      <c r="D80" s="2747">
        <v>561.70000000000005</v>
      </c>
      <c r="E80" s="2530">
        <v>42</v>
      </c>
      <c r="F80" s="2748">
        <v>456</v>
      </c>
      <c r="G80" s="2479" t="str">
        <f t="shared" si="2"/>
        <v>GIQ0907</v>
      </c>
    </row>
    <row r="81" spans="1:7" ht="16.7" customHeight="1" x14ac:dyDescent="0.2">
      <c r="A81" s="2497">
        <v>33</v>
      </c>
      <c r="B81" s="2488" t="s">
        <v>7140</v>
      </c>
      <c r="C81" s="2530">
        <v>1707</v>
      </c>
      <c r="D81" s="2747">
        <v>561.70000000000005</v>
      </c>
      <c r="E81" s="2530">
        <v>1707</v>
      </c>
      <c r="F81" s="2748">
        <v>456</v>
      </c>
      <c r="G81" s="2479" t="str">
        <f t="shared" si="2"/>
        <v>GIQ0985</v>
      </c>
    </row>
    <row r="82" spans="1:7" ht="16.7" customHeight="1" x14ac:dyDescent="0.2">
      <c r="A82" s="2497">
        <v>34</v>
      </c>
      <c r="B82" s="2488" t="s">
        <v>7141</v>
      </c>
      <c r="C82" s="2530">
        <v>261</v>
      </c>
      <c r="D82" s="2747">
        <v>561.70000000000005</v>
      </c>
      <c r="E82" s="2530">
        <v>0</v>
      </c>
      <c r="F82" s="2489"/>
      <c r="G82" s="2479" t="str">
        <f t="shared" si="2"/>
        <v>GIQ0558</v>
      </c>
    </row>
    <row r="83" spans="1:7" ht="16.7" customHeight="1" x14ac:dyDescent="0.2">
      <c r="A83" s="2497">
        <v>35</v>
      </c>
      <c r="B83" s="2488" t="s">
        <v>7142</v>
      </c>
      <c r="C83" s="2530">
        <v>654</v>
      </c>
      <c r="D83" s="2747">
        <v>561.70000000000005</v>
      </c>
      <c r="E83" s="2530">
        <v>654</v>
      </c>
      <c r="F83" s="2748">
        <v>456</v>
      </c>
      <c r="G83" s="2479" t="str">
        <f t="shared" si="2"/>
        <v>ISGIQ0012</v>
      </c>
    </row>
    <row r="84" spans="1:7" ht="16.7" customHeight="1" x14ac:dyDescent="0.2">
      <c r="A84" s="2497">
        <v>36</v>
      </c>
      <c r="B84" s="2488" t="s">
        <v>7143</v>
      </c>
      <c r="C84" s="2530">
        <v>529</v>
      </c>
      <c r="D84" s="2747">
        <v>561.70000000000005</v>
      </c>
      <c r="E84" s="2530">
        <v>529</v>
      </c>
      <c r="F84" s="2748">
        <v>456</v>
      </c>
      <c r="G84" s="2479" t="str">
        <f t="shared" si="2"/>
        <v>LGIQ0838</v>
      </c>
    </row>
    <row r="85" spans="1:7" ht="16.7" customHeight="1" x14ac:dyDescent="0.2">
      <c r="A85" s="2497">
        <v>37</v>
      </c>
      <c r="B85" s="2488" t="s">
        <v>7144</v>
      </c>
      <c r="C85" s="2530">
        <v>46</v>
      </c>
      <c r="D85" s="2747">
        <v>561.70000000000005</v>
      </c>
      <c r="E85" s="2530">
        <v>46</v>
      </c>
      <c r="F85" s="2748">
        <v>456</v>
      </c>
      <c r="G85" s="2479" t="str">
        <f t="shared" si="2"/>
        <v>LGIQ0836</v>
      </c>
    </row>
    <row r="86" spans="1:7" ht="16.7" customHeight="1" x14ac:dyDescent="0.2">
      <c r="A86" s="2497">
        <v>38</v>
      </c>
      <c r="B86" s="2488" t="s">
        <v>7145</v>
      </c>
      <c r="C86" s="2530">
        <v>42</v>
      </c>
      <c r="D86" s="2747">
        <v>561.70000000000005</v>
      </c>
      <c r="E86" s="2530">
        <v>42</v>
      </c>
      <c r="F86" s="2748">
        <v>456</v>
      </c>
      <c r="G86" s="2479" t="str">
        <f t="shared" si="2"/>
        <v>LGIQ0906</v>
      </c>
    </row>
    <row r="87" spans="1:7" ht="16.7" customHeight="1" x14ac:dyDescent="0.2">
      <c r="A87" s="2749">
        <f t="shared" ref="A87:A150" si="3">A86+0.001</f>
        <v>38.000999999999998</v>
      </c>
      <c r="B87" s="2488" t="s">
        <v>7146</v>
      </c>
      <c r="C87" s="2530">
        <v>2274</v>
      </c>
      <c r="D87" s="2747">
        <v>561.70000000000005</v>
      </c>
      <c r="E87" s="2530">
        <v>2274</v>
      </c>
      <c r="F87" s="2748">
        <v>456</v>
      </c>
      <c r="G87" s="2479" t="str">
        <f t="shared" si="2"/>
        <v>LGIQ1065</v>
      </c>
    </row>
    <row r="88" spans="1:7" ht="15" customHeight="1" x14ac:dyDescent="0.2">
      <c r="A88" s="2749">
        <f t="shared" si="3"/>
        <v>38.001999999999995</v>
      </c>
      <c r="B88" s="2488" t="s">
        <v>7147</v>
      </c>
      <c r="C88" s="2530">
        <v>1492</v>
      </c>
      <c r="D88" s="2747">
        <v>561.70000000000005</v>
      </c>
      <c r="E88" s="2530">
        <v>1492</v>
      </c>
      <c r="F88" s="2748">
        <v>456</v>
      </c>
      <c r="G88" s="2479" t="str">
        <f t="shared" si="2"/>
        <v>LGIQ1159</v>
      </c>
    </row>
    <row r="89" spans="1:7" ht="15" customHeight="1" x14ac:dyDescent="0.2">
      <c r="A89" s="2749">
        <f t="shared" si="3"/>
        <v>38.002999999999993</v>
      </c>
      <c r="B89" s="2488" t="s">
        <v>7148</v>
      </c>
      <c r="C89" s="2530">
        <v>318</v>
      </c>
      <c r="D89" s="2747">
        <v>561.70000000000005</v>
      </c>
      <c r="E89" s="2530">
        <v>318</v>
      </c>
      <c r="F89" s="2748">
        <v>456</v>
      </c>
      <c r="G89" s="2479" t="str">
        <f t="shared" si="2"/>
        <v>LGIQ0787</v>
      </c>
    </row>
    <row r="90" spans="1:7" ht="15" customHeight="1" x14ac:dyDescent="0.2">
      <c r="A90" s="2749">
        <f t="shared" si="3"/>
        <v>38.003999999999991</v>
      </c>
      <c r="B90" s="2488" t="s">
        <v>7149</v>
      </c>
      <c r="C90" s="2530">
        <v>23306</v>
      </c>
      <c r="D90" s="2747">
        <v>561.70000000000005</v>
      </c>
      <c r="E90" s="2530">
        <v>23306</v>
      </c>
      <c r="F90" s="2748">
        <v>456</v>
      </c>
      <c r="G90" s="2479" t="str">
        <f t="shared" si="2"/>
        <v>LGIQ0016</v>
      </c>
    </row>
    <row r="91" spans="1:7" ht="15" customHeight="1" x14ac:dyDescent="0.2">
      <c r="A91" s="2749">
        <f t="shared" si="3"/>
        <v>38.004999999999988</v>
      </c>
      <c r="B91" s="2488" t="s">
        <v>7150</v>
      </c>
      <c r="C91" s="2530">
        <v>944</v>
      </c>
      <c r="D91" s="2747">
        <v>561.70000000000005</v>
      </c>
      <c r="E91" s="2530">
        <v>944</v>
      </c>
      <c r="F91" s="2748">
        <v>456</v>
      </c>
      <c r="G91" s="2479" t="str">
        <f t="shared" si="2"/>
        <v>LGIQ1161</v>
      </c>
    </row>
    <row r="92" spans="1:7" ht="15" customHeight="1" x14ac:dyDescent="0.2">
      <c r="A92" s="2749">
        <f t="shared" si="3"/>
        <v>38.005999999999986</v>
      </c>
      <c r="B92" s="2488" t="s">
        <v>7151</v>
      </c>
      <c r="C92" s="2530">
        <v>798</v>
      </c>
      <c r="D92" s="2747">
        <v>561.70000000000005</v>
      </c>
      <c r="E92" s="2530">
        <v>798</v>
      </c>
      <c r="F92" s="2748">
        <v>456</v>
      </c>
      <c r="G92" s="2479" t="str">
        <f t="shared" si="2"/>
        <v>LGIQ1162</v>
      </c>
    </row>
    <row r="93" spans="1:7" ht="15" customHeight="1" x14ac:dyDescent="0.2">
      <c r="A93" s="2749">
        <f t="shared" si="3"/>
        <v>38.006999999999984</v>
      </c>
      <c r="B93" s="2488" t="s">
        <v>7152</v>
      </c>
      <c r="C93" s="2530">
        <v>775</v>
      </c>
      <c r="D93" s="2747">
        <v>561.70000000000005</v>
      </c>
      <c r="E93" s="2530">
        <v>775</v>
      </c>
      <c r="F93" s="2748">
        <v>456</v>
      </c>
      <c r="G93" s="2479" t="str">
        <f t="shared" si="2"/>
        <v>LGIQ1163</v>
      </c>
    </row>
    <row r="94" spans="1:7" ht="15" customHeight="1" x14ac:dyDescent="0.2">
      <c r="A94" s="2749">
        <f t="shared" si="3"/>
        <v>38.007999999999981</v>
      </c>
      <c r="B94" s="2488" t="s">
        <v>7153</v>
      </c>
      <c r="C94" s="2530">
        <v>45</v>
      </c>
      <c r="D94" s="2747">
        <v>561.70000000000005</v>
      </c>
      <c r="E94" s="2530">
        <v>45</v>
      </c>
      <c r="F94" s="2748">
        <v>456</v>
      </c>
      <c r="G94" s="2479" t="str">
        <f t="shared" si="2"/>
        <v>OCSGIQ0048</v>
      </c>
    </row>
    <row r="95" spans="1:7" ht="15" customHeight="1" x14ac:dyDescent="0.2">
      <c r="A95" s="2749">
        <f t="shared" si="3"/>
        <v>38.008999999999979</v>
      </c>
      <c r="B95" s="2488" t="s">
        <v>7154</v>
      </c>
      <c r="C95" s="2530">
        <v>42</v>
      </c>
      <c r="D95" s="2747">
        <v>561.70000000000005</v>
      </c>
      <c r="E95" s="2530">
        <v>42</v>
      </c>
      <c r="F95" s="2748">
        <v>456</v>
      </c>
      <c r="G95" s="2479" t="str">
        <f t="shared" si="2"/>
        <v>OCSGIQ0062</v>
      </c>
    </row>
    <row r="96" spans="1:7" ht="15" customHeight="1" x14ac:dyDescent="0.2">
      <c r="A96" s="2749">
        <f t="shared" si="3"/>
        <v>38.009999999999977</v>
      </c>
      <c r="B96" s="2488" t="s">
        <v>7155</v>
      </c>
      <c r="C96" s="2530">
        <v>42</v>
      </c>
      <c r="D96" s="2747">
        <v>561.70000000000005</v>
      </c>
      <c r="E96" s="2530">
        <v>42</v>
      </c>
      <c r="F96" s="2748">
        <v>456</v>
      </c>
      <c r="G96" s="2479" t="str">
        <f t="shared" si="2"/>
        <v>OCSGIQ0063</v>
      </c>
    </row>
    <row r="97" spans="1:7" ht="15" customHeight="1" x14ac:dyDescent="0.2">
      <c r="A97" s="2749">
        <f t="shared" si="3"/>
        <v>38.010999999999974</v>
      </c>
      <c r="B97" s="2488" t="s">
        <v>7156</v>
      </c>
      <c r="C97" s="2530">
        <v>1886</v>
      </c>
      <c r="D97" s="2747">
        <v>561.70000000000005</v>
      </c>
      <c r="E97" s="2530">
        <v>1886</v>
      </c>
      <c r="F97" s="2748">
        <v>456</v>
      </c>
      <c r="G97" s="2479" t="str">
        <f t="shared" si="2"/>
        <v>OCSGIQ0080</v>
      </c>
    </row>
    <row r="98" spans="1:7" ht="15" customHeight="1" x14ac:dyDescent="0.2">
      <c r="A98" s="2749">
        <f t="shared" si="3"/>
        <v>38.011999999999972</v>
      </c>
      <c r="B98" s="2488" t="s">
        <v>7157</v>
      </c>
      <c r="C98" s="2530">
        <v>6196</v>
      </c>
      <c r="D98" s="2747">
        <v>561.70000000000005</v>
      </c>
      <c r="E98" s="2530">
        <v>6196</v>
      </c>
      <c r="F98" s="2748">
        <v>456</v>
      </c>
      <c r="G98" s="2479" t="str">
        <f t="shared" si="2"/>
        <v>OCSGIQ0081</v>
      </c>
    </row>
    <row r="99" spans="1:7" ht="15" customHeight="1" x14ac:dyDescent="0.2">
      <c r="A99" s="2749">
        <f t="shared" si="3"/>
        <v>38.01299999999997</v>
      </c>
      <c r="B99" s="2488" t="s">
        <v>7158</v>
      </c>
      <c r="C99" s="2530">
        <v>1874</v>
      </c>
      <c r="D99" s="2747">
        <v>561.70000000000005</v>
      </c>
      <c r="E99" s="2530">
        <v>1874</v>
      </c>
      <c r="F99" s="2748">
        <v>456</v>
      </c>
      <c r="G99" s="2479" t="str">
        <f t="shared" si="2"/>
        <v>OCSGIQ0082</v>
      </c>
    </row>
    <row r="100" spans="1:7" ht="15" customHeight="1" x14ac:dyDescent="0.2">
      <c r="A100" s="2749">
        <f t="shared" si="3"/>
        <v>38.013999999999967</v>
      </c>
      <c r="B100" s="2488" t="s">
        <v>7159</v>
      </c>
      <c r="C100" s="2530">
        <v>503</v>
      </c>
      <c r="D100" s="2747">
        <v>561.70000000000005</v>
      </c>
      <c r="E100" s="2530">
        <v>503</v>
      </c>
      <c r="F100" s="2748">
        <v>456</v>
      </c>
      <c r="G100" s="2479" t="str">
        <f t="shared" si="2"/>
        <v>OGIQ1214</v>
      </c>
    </row>
    <row r="101" spans="1:7" ht="15" customHeight="1" x14ac:dyDescent="0.2">
      <c r="A101" s="2749">
        <f t="shared" si="3"/>
        <v>38.014999999999965</v>
      </c>
      <c r="B101" s="2488" t="s">
        <v>7160</v>
      </c>
      <c r="C101" s="2530">
        <v>583</v>
      </c>
      <c r="D101" s="2747">
        <v>561.70000000000005</v>
      </c>
      <c r="E101" s="2530">
        <v>583</v>
      </c>
      <c r="F101" s="2748">
        <v>456</v>
      </c>
      <c r="G101" s="2479" t="str">
        <f t="shared" si="2"/>
        <v>OCS0081</v>
      </c>
    </row>
    <row r="102" spans="1:7" ht="15" customHeight="1" x14ac:dyDescent="0.2">
      <c r="A102" s="2749">
        <f t="shared" si="3"/>
        <v>38.015999999999963</v>
      </c>
      <c r="B102" s="2488" t="s">
        <v>7161</v>
      </c>
      <c r="C102" s="2530">
        <v>418</v>
      </c>
      <c r="D102" s="2747">
        <v>561.70000000000005</v>
      </c>
      <c r="E102" s="2530">
        <v>418</v>
      </c>
      <c r="F102" s="2748">
        <v>456</v>
      </c>
      <c r="G102" s="2479" t="str">
        <f t="shared" si="2"/>
        <v>OCS0088</v>
      </c>
    </row>
    <row r="103" spans="1:7" ht="15" customHeight="1" x14ac:dyDescent="0.2">
      <c r="A103" s="2749">
        <f t="shared" si="3"/>
        <v>38.01699999999996</v>
      </c>
      <c r="B103" s="2488" t="s">
        <v>7162</v>
      </c>
      <c r="C103" s="2530">
        <v>439</v>
      </c>
      <c r="D103" s="2747">
        <v>561.70000000000005</v>
      </c>
      <c r="E103" s="2530">
        <v>439</v>
      </c>
      <c r="F103" s="2748">
        <v>456</v>
      </c>
      <c r="G103" s="2479" t="str">
        <f t="shared" si="2"/>
        <v>OCS0089</v>
      </c>
    </row>
    <row r="104" spans="1:7" ht="15" customHeight="1" x14ac:dyDescent="0.2">
      <c r="A104" s="2749">
        <f t="shared" si="3"/>
        <v>38.017999999999958</v>
      </c>
      <c r="B104" s="2488" t="s">
        <v>7163</v>
      </c>
      <c r="C104" s="2530">
        <v>439</v>
      </c>
      <c r="D104" s="2747">
        <v>561.70000000000005</v>
      </c>
      <c r="E104" s="2530">
        <v>439</v>
      </c>
      <c r="F104" s="2748">
        <v>456</v>
      </c>
      <c r="G104" s="2479" t="str">
        <f t="shared" si="2"/>
        <v>OCS0090</v>
      </c>
    </row>
    <row r="105" spans="1:7" ht="15" customHeight="1" x14ac:dyDescent="0.2">
      <c r="A105" s="2749">
        <f t="shared" si="3"/>
        <v>38.018999999999956</v>
      </c>
      <c r="B105" s="2488" t="s">
        <v>7164</v>
      </c>
      <c r="C105" s="2530">
        <v>293</v>
      </c>
      <c r="D105" s="2747">
        <v>561.70000000000005</v>
      </c>
      <c r="E105" s="2530">
        <v>293</v>
      </c>
      <c r="F105" s="2748">
        <v>456</v>
      </c>
      <c r="G105" s="2479" t="str">
        <f t="shared" si="2"/>
        <v>OCS0086</v>
      </c>
    </row>
    <row r="106" spans="1:7" ht="15" customHeight="1" x14ac:dyDescent="0.2">
      <c r="A106" s="2749">
        <f t="shared" si="3"/>
        <v>38.019999999999953</v>
      </c>
      <c r="B106" s="2488" t="s">
        <v>7165</v>
      </c>
      <c r="C106" s="2530">
        <v>418</v>
      </c>
      <c r="D106" s="2747">
        <v>561.70000000000005</v>
      </c>
      <c r="E106" s="2530">
        <v>418</v>
      </c>
      <c r="F106" s="2748">
        <v>456</v>
      </c>
      <c r="G106" s="2479" t="str">
        <f t="shared" si="2"/>
        <v>OCS0091</v>
      </c>
    </row>
    <row r="107" spans="1:7" ht="15" customHeight="1" x14ac:dyDescent="0.2">
      <c r="A107" s="2749">
        <f t="shared" si="3"/>
        <v>38.020999999999951</v>
      </c>
      <c r="B107" s="2488" t="s">
        <v>7166</v>
      </c>
      <c r="C107" s="2530">
        <v>627</v>
      </c>
      <c r="D107" s="2747">
        <v>561.70000000000005</v>
      </c>
      <c r="E107" s="2530">
        <v>627</v>
      </c>
      <c r="F107" s="2748">
        <v>456</v>
      </c>
      <c r="G107" s="2479" t="str">
        <f t="shared" si="2"/>
        <v>OCS0087</v>
      </c>
    </row>
    <row r="108" spans="1:7" ht="15" customHeight="1" x14ac:dyDescent="0.2">
      <c r="A108" s="2749">
        <f t="shared" si="3"/>
        <v>38.021999999999949</v>
      </c>
      <c r="B108" s="2488" t="s">
        <v>7167</v>
      </c>
      <c r="C108" s="2530">
        <v>396</v>
      </c>
      <c r="D108" s="2747">
        <v>561.70000000000005</v>
      </c>
      <c r="E108" s="2530">
        <v>396</v>
      </c>
      <c r="F108" s="2748">
        <v>456</v>
      </c>
      <c r="G108" s="2479" t="str">
        <f t="shared" si="2"/>
        <v>OCS0084</v>
      </c>
    </row>
    <row r="109" spans="1:7" ht="15" customHeight="1" x14ac:dyDescent="0.2">
      <c r="A109" s="2749">
        <f t="shared" si="3"/>
        <v>38.022999999999946</v>
      </c>
      <c r="B109" s="2488" t="s">
        <v>7168</v>
      </c>
      <c r="C109" s="2530">
        <v>500</v>
      </c>
      <c r="D109" s="2747">
        <v>561.70000000000005</v>
      </c>
      <c r="E109" s="2530">
        <v>500</v>
      </c>
      <c r="F109" s="2748">
        <v>456</v>
      </c>
      <c r="G109" s="2479" t="str">
        <f t="shared" si="2"/>
        <v>OCS0085</v>
      </c>
    </row>
    <row r="110" spans="1:7" ht="15" customHeight="1" x14ac:dyDescent="0.2">
      <c r="A110" s="2749">
        <f t="shared" si="3"/>
        <v>38.023999999999944</v>
      </c>
      <c r="B110" s="2488" t="s">
        <v>7169</v>
      </c>
      <c r="C110" s="2530">
        <v>8165</v>
      </c>
      <c r="D110" s="2747">
        <v>561.70000000000005</v>
      </c>
      <c r="E110" s="2530">
        <v>8165</v>
      </c>
      <c r="F110" s="2748">
        <v>456</v>
      </c>
      <c r="G110" s="2479" t="str">
        <f t="shared" si="2"/>
        <v>PIS029</v>
      </c>
    </row>
    <row r="111" spans="1:7" ht="15" customHeight="1" x14ac:dyDescent="0.2">
      <c r="A111" s="2749">
        <f t="shared" si="3"/>
        <v>38.024999999999942</v>
      </c>
      <c r="B111" s="2488" t="s">
        <v>7170</v>
      </c>
      <c r="C111" s="2530">
        <v>2481</v>
      </c>
      <c r="D111" s="2747">
        <v>561.70000000000005</v>
      </c>
      <c r="E111" s="2530">
        <v>0</v>
      </c>
      <c r="F111" s="2489"/>
      <c r="G111" s="2479" t="str">
        <f t="shared" si="2"/>
        <v>PIS005</v>
      </c>
    </row>
    <row r="112" spans="1:7" ht="15" customHeight="1" x14ac:dyDescent="0.2">
      <c r="A112" s="2749">
        <f t="shared" si="3"/>
        <v>38.025999999999939</v>
      </c>
      <c r="B112" s="2488" t="s">
        <v>7171</v>
      </c>
      <c r="C112" s="2530">
        <v>4417</v>
      </c>
      <c r="D112" s="2747">
        <v>561.70000000000005</v>
      </c>
      <c r="E112" s="2530">
        <v>0</v>
      </c>
      <c r="F112" s="2489"/>
      <c r="G112" s="2479" t="str">
        <f t="shared" si="2"/>
        <v>PIS009</v>
      </c>
    </row>
    <row r="113" spans="1:7" ht="15" customHeight="1" x14ac:dyDescent="0.2">
      <c r="A113" s="2749">
        <f t="shared" si="3"/>
        <v>38.026999999999937</v>
      </c>
      <c r="B113" s="2488" t="s">
        <v>7172</v>
      </c>
      <c r="C113" s="2530">
        <v>11978</v>
      </c>
      <c r="D113" s="2747">
        <v>561.70000000000005</v>
      </c>
      <c r="E113" s="2530">
        <v>0</v>
      </c>
      <c r="F113" s="2489"/>
      <c r="G113" s="2479" t="str">
        <f t="shared" si="2"/>
        <v>PIS011</v>
      </c>
    </row>
    <row r="114" spans="1:7" ht="15" customHeight="1" x14ac:dyDescent="0.2">
      <c r="A114" s="2749">
        <f t="shared" si="3"/>
        <v>38.027999999999935</v>
      </c>
      <c r="B114" s="2488" t="s">
        <v>7173</v>
      </c>
      <c r="C114" s="2530">
        <v>4249</v>
      </c>
      <c r="D114" s="2747">
        <v>561.70000000000005</v>
      </c>
      <c r="E114" s="2530">
        <v>0</v>
      </c>
      <c r="F114" s="2489"/>
      <c r="G114" s="2479" t="str">
        <f t="shared" si="2"/>
        <v>PIS012</v>
      </c>
    </row>
    <row r="115" spans="1:7" ht="15" customHeight="1" x14ac:dyDescent="0.2">
      <c r="A115" s="2749">
        <f t="shared" si="3"/>
        <v>38.028999999999932</v>
      </c>
      <c r="B115" s="2488" t="s">
        <v>7174</v>
      </c>
      <c r="C115" s="2530">
        <v>2075</v>
      </c>
      <c r="D115" s="2747">
        <v>561.70000000000005</v>
      </c>
      <c r="E115" s="2530">
        <v>0</v>
      </c>
      <c r="F115" s="2489"/>
      <c r="G115" s="2479" t="str">
        <f t="shared" si="2"/>
        <v>PIS019</v>
      </c>
    </row>
    <row r="116" spans="1:7" ht="15" customHeight="1" x14ac:dyDescent="0.2">
      <c r="A116" s="2749">
        <f t="shared" si="3"/>
        <v>38.02999999999993</v>
      </c>
      <c r="B116" s="2488" t="s">
        <v>7175</v>
      </c>
      <c r="C116" s="2530">
        <v>5651</v>
      </c>
      <c r="D116" s="2747">
        <v>561.70000000000005</v>
      </c>
      <c r="E116" s="2530">
        <v>5651</v>
      </c>
      <c r="F116" s="2748">
        <v>456</v>
      </c>
      <c r="G116" s="2479" t="str">
        <f t="shared" si="2"/>
        <v>PIS0022</v>
      </c>
    </row>
    <row r="117" spans="1:7" ht="15" customHeight="1" x14ac:dyDescent="0.2">
      <c r="A117" s="2749">
        <f t="shared" si="3"/>
        <v>38.030999999999928</v>
      </c>
      <c r="B117" s="2488" t="s">
        <v>7176</v>
      </c>
      <c r="C117" s="2530">
        <v>4830</v>
      </c>
      <c r="D117" s="2747">
        <v>561.70000000000005</v>
      </c>
      <c r="E117" s="2530">
        <v>4830</v>
      </c>
      <c r="F117" s="2748">
        <v>456</v>
      </c>
      <c r="G117" s="2479" t="str">
        <f t="shared" si="2"/>
        <v>PIS0023</v>
      </c>
    </row>
    <row r="118" spans="1:7" ht="15" customHeight="1" x14ac:dyDescent="0.2">
      <c r="A118" s="2749">
        <f t="shared" si="3"/>
        <v>38.031999999999925</v>
      </c>
      <c r="B118" s="2488" t="s">
        <v>7177</v>
      </c>
      <c r="C118" s="2530">
        <v>3009</v>
      </c>
      <c r="D118" s="2747">
        <v>561.70000000000005</v>
      </c>
      <c r="E118" s="2530">
        <v>3009</v>
      </c>
      <c r="F118" s="2748">
        <v>456</v>
      </c>
      <c r="G118" s="2479" t="str">
        <f t="shared" si="2"/>
        <v>PIS0024</v>
      </c>
    </row>
    <row r="119" spans="1:7" ht="15" customHeight="1" x14ac:dyDescent="0.2">
      <c r="A119" s="2749">
        <f t="shared" si="3"/>
        <v>38.032999999999923</v>
      </c>
      <c r="B119" s="2488" t="s">
        <v>7178</v>
      </c>
      <c r="C119" s="2530">
        <v>2695</v>
      </c>
      <c r="D119" s="2747">
        <v>561.70000000000005</v>
      </c>
      <c r="E119" s="2530">
        <v>2695</v>
      </c>
      <c r="F119" s="2748">
        <v>456</v>
      </c>
      <c r="G119" s="2479" t="str">
        <f t="shared" si="2"/>
        <v>PIS0025</v>
      </c>
    </row>
    <row r="120" spans="1:7" ht="15" customHeight="1" x14ac:dyDescent="0.2">
      <c r="A120" s="2749">
        <f t="shared" si="3"/>
        <v>38.033999999999921</v>
      </c>
      <c r="B120" s="2488" t="s">
        <v>7179</v>
      </c>
      <c r="C120" s="2530">
        <v>3192</v>
      </c>
      <c r="D120" s="2747">
        <v>561.70000000000005</v>
      </c>
      <c r="E120" s="2530">
        <v>3192</v>
      </c>
      <c r="F120" s="2748">
        <v>456</v>
      </c>
      <c r="G120" s="2479" t="str">
        <f t="shared" si="2"/>
        <v>PIS0026</v>
      </c>
    </row>
    <row r="121" spans="1:7" ht="15" customHeight="1" x14ac:dyDescent="0.2">
      <c r="A121" s="2749">
        <f t="shared" si="3"/>
        <v>38.034999999999918</v>
      </c>
      <c r="B121" s="2488" t="s">
        <v>7180</v>
      </c>
      <c r="C121" s="2530">
        <v>3902</v>
      </c>
      <c r="D121" s="2747">
        <v>561.70000000000005</v>
      </c>
      <c r="E121" s="2530">
        <v>3902</v>
      </c>
      <c r="F121" s="2489"/>
      <c r="G121" s="2479" t="str">
        <f t="shared" si="2"/>
        <v>PIS0027</v>
      </c>
    </row>
    <row r="122" spans="1:7" ht="15" customHeight="1" x14ac:dyDescent="0.2">
      <c r="A122" s="2749">
        <f t="shared" si="3"/>
        <v>38.035999999999916</v>
      </c>
      <c r="B122" s="2488" t="s">
        <v>7181</v>
      </c>
      <c r="C122" s="2530">
        <v>1383</v>
      </c>
      <c r="D122" s="2747">
        <v>561.70000000000005</v>
      </c>
      <c r="E122" s="2530">
        <v>1383</v>
      </c>
      <c r="F122" s="2748">
        <v>456</v>
      </c>
      <c r="G122" s="2479" t="str">
        <f t="shared" si="2"/>
        <v>SGIQ1205</v>
      </c>
    </row>
    <row r="123" spans="1:7" ht="15" customHeight="1" x14ac:dyDescent="0.2">
      <c r="A123" s="2749">
        <f t="shared" si="3"/>
        <v>38.036999999999914</v>
      </c>
      <c r="B123" s="2488" t="s">
        <v>7182</v>
      </c>
      <c r="C123" s="2530">
        <v>1197</v>
      </c>
      <c r="D123" s="2747">
        <v>561.70000000000005</v>
      </c>
      <c r="E123" s="2530">
        <v>1197</v>
      </c>
      <c r="F123" s="2748">
        <v>456</v>
      </c>
      <c r="G123" s="2479" t="str">
        <f t="shared" si="2"/>
        <v>SGIQ1206</v>
      </c>
    </row>
    <row r="124" spans="1:7" ht="15" customHeight="1" x14ac:dyDescent="0.2">
      <c r="A124" s="2749">
        <f t="shared" si="3"/>
        <v>38.037999999999911</v>
      </c>
      <c r="B124" s="2488" t="s">
        <v>7183</v>
      </c>
      <c r="C124" s="2530">
        <v>2217</v>
      </c>
      <c r="D124" s="2747">
        <v>561.70000000000005</v>
      </c>
      <c r="E124" s="2530">
        <v>0</v>
      </c>
      <c r="F124" s="2489"/>
      <c r="G124" s="2479" t="str">
        <f t="shared" si="2"/>
        <v>SIS002</v>
      </c>
    </row>
    <row r="125" spans="1:7" ht="15" customHeight="1" x14ac:dyDescent="0.2">
      <c r="A125" s="2749">
        <f t="shared" si="3"/>
        <v>38.038999999999909</v>
      </c>
      <c r="B125" s="2488" t="s">
        <v>7184</v>
      </c>
      <c r="C125" s="2530">
        <v>4624</v>
      </c>
      <c r="D125" s="2747">
        <v>561.70000000000005</v>
      </c>
      <c r="E125" s="2530">
        <v>0</v>
      </c>
      <c r="F125" s="2489"/>
      <c r="G125" s="2479" t="str">
        <f t="shared" si="2"/>
        <v>SIS003</v>
      </c>
    </row>
    <row r="126" spans="1:7" ht="15" customHeight="1" x14ac:dyDescent="0.2">
      <c r="A126" s="2749">
        <f t="shared" si="3"/>
        <v>38.039999999999907</v>
      </c>
      <c r="B126" s="2488" t="s">
        <v>7185</v>
      </c>
      <c r="C126" s="2530">
        <v>2455</v>
      </c>
      <c r="D126" s="2747">
        <v>561.70000000000005</v>
      </c>
      <c r="E126" s="2530">
        <v>0</v>
      </c>
      <c r="F126" s="2489"/>
      <c r="G126" s="2479" t="str">
        <f t="shared" si="2"/>
        <v>SIS004</v>
      </c>
    </row>
    <row r="127" spans="1:7" ht="15" customHeight="1" x14ac:dyDescent="0.2">
      <c r="A127" s="2749">
        <f t="shared" si="3"/>
        <v>38.040999999999904</v>
      </c>
      <c r="B127" s="2488" t="s">
        <v>7186</v>
      </c>
      <c r="C127" s="2530">
        <v>3515</v>
      </c>
      <c r="D127" s="2747">
        <v>561.70000000000005</v>
      </c>
      <c r="E127" s="2530">
        <v>0</v>
      </c>
      <c r="F127" s="2489"/>
      <c r="G127" s="2479" t="str">
        <f t="shared" si="2"/>
        <v>SIS005</v>
      </c>
    </row>
    <row r="128" spans="1:7" ht="15" customHeight="1" x14ac:dyDescent="0.2">
      <c r="A128" s="2749">
        <f t="shared" si="3"/>
        <v>38.041999999999902</v>
      </c>
      <c r="B128" s="2488" t="s">
        <v>7187</v>
      </c>
      <c r="C128" s="2530">
        <v>3267</v>
      </c>
      <c r="D128" s="2747">
        <v>561.70000000000005</v>
      </c>
      <c r="E128" s="2530">
        <v>0</v>
      </c>
      <c r="F128" s="2489"/>
      <c r="G128" s="2479" t="str">
        <f t="shared" si="2"/>
        <v>SIS006</v>
      </c>
    </row>
    <row r="129" spans="1:7" ht="15" customHeight="1" x14ac:dyDescent="0.2">
      <c r="A129" s="2749">
        <f t="shared" si="3"/>
        <v>38.0429999999999</v>
      </c>
      <c r="B129" s="2488" t="s">
        <v>7188</v>
      </c>
      <c r="C129" s="2530">
        <v>2220</v>
      </c>
      <c r="D129" s="2747">
        <v>561.70000000000005</v>
      </c>
      <c r="E129" s="2530">
        <v>2220</v>
      </c>
      <c r="F129" s="2748">
        <v>456</v>
      </c>
      <c r="G129" s="2479" t="str">
        <f t="shared" si="2"/>
        <v>SIS0007</v>
      </c>
    </row>
    <row r="130" spans="1:7" ht="15" customHeight="1" x14ac:dyDescent="0.2">
      <c r="A130" s="2749">
        <f t="shared" si="3"/>
        <v>38.043999999999897</v>
      </c>
      <c r="B130" s="2488" t="s">
        <v>7189</v>
      </c>
      <c r="C130" s="2530">
        <v>2305</v>
      </c>
      <c r="D130" s="2747">
        <v>561.70000000000005</v>
      </c>
      <c r="E130" s="2530">
        <v>2305</v>
      </c>
      <c r="F130" s="2748">
        <v>456</v>
      </c>
      <c r="G130" s="2479" t="str">
        <f t="shared" si="2"/>
        <v>SIS0008</v>
      </c>
    </row>
    <row r="131" spans="1:7" ht="15" customHeight="1" x14ac:dyDescent="0.2">
      <c r="A131" s="2749">
        <f t="shared" si="3"/>
        <v>38.044999999999895</v>
      </c>
      <c r="B131" s="2488" t="s">
        <v>7190</v>
      </c>
      <c r="C131" s="2530">
        <v>1352</v>
      </c>
      <c r="D131" s="2747">
        <v>561.70000000000005</v>
      </c>
      <c r="E131" s="2530">
        <v>1352</v>
      </c>
      <c r="F131" s="2748">
        <v>456</v>
      </c>
      <c r="G131" s="2479" t="str">
        <f t="shared" si="2"/>
        <v>SIS0009</v>
      </c>
    </row>
    <row r="132" spans="1:7" ht="15" customHeight="1" x14ac:dyDescent="0.2">
      <c r="A132" s="2749">
        <f t="shared" si="3"/>
        <v>38.045999999999893</v>
      </c>
      <c r="B132" s="2488" t="s">
        <v>7191</v>
      </c>
      <c r="C132" s="2530">
        <v>1570</v>
      </c>
      <c r="D132" s="2747">
        <v>561.70000000000005</v>
      </c>
      <c r="E132" s="2530">
        <v>1570</v>
      </c>
      <c r="F132" s="2748">
        <v>456</v>
      </c>
      <c r="G132" s="2479" t="str">
        <f t="shared" si="2"/>
        <v>SIS0010</v>
      </c>
    </row>
    <row r="133" spans="1:7" ht="15" customHeight="1" x14ac:dyDescent="0.2">
      <c r="A133" s="2749">
        <f t="shared" si="3"/>
        <v>38.04699999999989</v>
      </c>
      <c r="B133" s="2488" t="s">
        <v>7192</v>
      </c>
      <c r="C133" s="2530">
        <v>1674</v>
      </c>
      <c r="D133" s="2747">
        <v>561.70000000000005</v>
      </c>
      <c r="E133" s="2530">
        <v>1674</v>
      </c>
      <c r="F133" s="2748">
        <v>456</v>
      </c>
      <c r="G133" s="2479" t="str">
        <f t="shared" si="2"/>
        <v>SIS0011</v>
      </c>
    </row>
    <row r="134" spans="1:7" ht="15" customHeight="1" x14ac:dyDescent="0.2">
      <c r="A134" s="2749">
        <f t="shared" si="3"/>
        <v>38.047999999999888</v>
      </c>
      <c r="B134" s="2488" t="s">
        <v>7193</v>
      </c>
      <c r="C134" s="2530">
        <v>1789</v>
      </c>
      <c r="D134" s="2747">
        <v>561.70000000000005</v>
      </c>
      <c r="E134" s="2530">
        <v>1789</v>
      </c>
      <c r="F134" s="2748">
        <v>456</v>
      </c>
      <c r="G134" s="2479" t="str">
        <f t="shared" ref="G134:G197" si="4">B134</f>
        <v>SIS0012</v>
      </c>
    </row>
    <row r="135" spans="1:7" ht="15" customHeight="1" x14ac:dyDescent="0.2">
      <c r="A135" s="2749">
        <f t="shared" si="3"/>
        <v>38.048999999999886</v>
      </c>
      <c r="B135" s="2488" t="s">
        <v>7194</v>
      </c>
      <c r="C135" s="2530">
        <v>1670</v>
      </c>
      <c r="D135" s="2747">
        <v>561.70000000000005</v>
      </c>
      <c r="E135" s="2530">
        <v>1670</v>
      </c>
      <c r="F135" s="2748">
        <v>456</v>
      </c>
      <c r="G135" s="2479" t="str">
        <f t="shared" si="4"/>
        <v>SIS0013</v>
      </c>
    </row>
    <row r="136" spans="1:7" ht="15" customHeight="1" x14ac:dyDescent="0.2">
      <c r="A136" s="2749">
        <f t="shared" si="3"/>
        <v>38.049999999999883</v>
      </c>
      <c r="B136" s="2488" t="s">
        <v>7195</v>
      </c>
      <c r="C136" s="2530">
        <v>6224</v>
      </c>
      <c r="D136" s="2747">
        <v>561.70000000000005</v>
      </c>
      <c r="E136" s="2530">
        <v>6224</v>
      </c>
      <c r="F136" s="2748">
        <v>456</v>
      </c>
      <c r="G136" s="2479" t="str">
        <f t="shared" si="4"/>
        <v>SIS0014</v>
      </c>
    </row>
    <row r="137" spans="1:7" ht="15" customHeight="1" x14ac:dyDescent="0.2">
      <c r="A137" s="2749">
        <f t="shared" si="3"/>
        <v>38.050999999999881</v>
      </c>
      <c r="B137" s="2488" t="s">
        <v>7196</v>
      </c>
      <c r="C137" s="2530">
        <v>7451</v>
      </c>
      <c r="D137" s="2747">
        <v>561.70000000000005</v>
      </c>
      <c r="E137" s="2530">
        <v>7451</v>
      </c>
      <c r="F137" s="2748">
        <v>456</v>
      </c>
      <c r="G137" s="2479" t="str">
        <f t="shared" si="4"/>
        <v>SIS0015</v>
      </c>
    </row>
    <row r="138" spans="1:7" ht="15" customHeight="1" x14ac:dyDescent="0.2">
      <c r="A138" s="2749">
        <f t="shared" si="3"/>
        <v>38.051999999999879</v>
      </c>
      <c r="B138" s="2488" t="s">
        <v>7197</v>
      </c>
      <c r="C138" s="2530">
        <v>5369</v>
      </c>
      <c r="D138" s="2747">
        <v>561.70000000000005</v>
      </c>
      <c r="E138" s="2530">
        <v>5369</v>
      </c>
      <c r="F138" s="2748">
        <v>456</v>
      </c>
      <c r="G138" s="2479" t="str">
        <f t="shared" si="4"/>
        <v>SIS0016</v>
      </c>
    </row>
    <row r="139" spans="1:7" ht="15" customHeight="1" x14ac:dyDescent="0.2">
      <c r="A139" s="2749">
        <f t="shared" si="3"/>
        <v>38.052999999999876</v>
      </c>
      <c r="B139" s="2488" t="s">
        <v>7198</v>
      </c>
      <c r="C139" s="2530">
        <v>5339</v>
      </c>
      <c r="D139" s="2747">
        <v>561.70000000000005</v>
      </c>
      <c r="E139" s="2530">
        <v>5339</v>
      </c>
      <c r="F139" s="2748">
        <v>456</v>
      </c>
      <c r="G139" s="2479" t="str">
        <f t="shared" si="4"/>
        <v>SIS0017</v>
      </c>
    </row>
    <row r="140" spans="1:7" ht="15" customHeight="1" x14ac:dyDescent="0.2">
      <c r="A140" s="2749">
        <f t="shared" si="3"/>
        <v>38.053999999999874</v>
      </c>
      <c r="B140" s="2488" t="s">
        <v>7199</v>
      </c>
      <c r="C140" s="2530">
        <v>4352</v>
      </c>
      <c r="D140" s="2747">
        <v>561.70000000000005</v>
      </c>
      <c r="E140" s="2530">
        <v>4352</v>
      </c>
      <c r="F140" s="2748">
        <v>456</v>
      </c>
      <c r="G140" s="2479" t="str">
        <f t="shared" si="4"/>
        <v>SIS0018</v>
      </c>
    </row>
    <row r="141" spans="1:7" ht="15" customHeight="1" x14ac:dyDescent="0.2">
      <c r="A141" s="2749">
        <f t="shared" si="3"/>
        <v>38.054999999999872</v>
      </c>
      <c r="B141" s="2488" t="s">
        <v>7200</v>
      </c>
      <c r="C141" s="2530">
        <v>290</v>
      </c>
      <c r="D141" s="2747">
        <v>561.70000000000005</v>
      </c>
      <c r="E141" s="2530">
        <v>290</v>
      </c>
      <c r="F141" s="2748">
        <v>456</v>
      </c>
      <c r="G141" s="2479" t="str">
        <f t="shared" si="4"/>
        <v>SIS0019</v>
      </c>
    </row>
    <row r="142" spans="1:7" ht="15" customHeight="1" x14ac:dyDescent="0.2">
      <c r="A142" s="2749">
        <f t="shared" si="3"/>
        <v>38.055999999999869</v>
      </c>
      <c r="B142" s="2488" t="s">
        <v>7201</v>
      </c>
      <c r="C142" s="2530">
        <v>863</v>
      </c>
      <c r="D142" s="2747">
        <v>561.70000000000005</v>
      </c>
      <c r="E142" s="2530">
        <v>863</v>
      </c>
      <c r="F142" s="2748">
        <v>456</v>
      </c>
      <c r="G142" s="2479" t="str">
        <f t="shared" si="4"/>
        <v>SIS0020</v>
      </c>
    </row>
    <row r="143" spans="1:7" ht="15" customHeight="1" x14ac:dyDescent="0.2">
      <c r="A143" s="2749">
        <f t="shared" si="3"/>
        <v>38.056999999999867</v>
      </c>
      <c r="B143" s="2488" t="s">
        <v>7202</v>
      </c>
      <c r="C143" s="2530">
        <v>1137</v>
      </c>
      <c r="D143" s="2747">
        <v>561.70000000000005</v>
      </c>
      <c r="E143" s="2530">
        <v>1137</v>
      </c>
      <c r="F143" s="2748">
        <v>456</v>
      </c>
      <c r="G143" s="2479" t="str">
        <f t="shared" si="4"/>
        <v>SIS0021</v>
      </c>
    </row>
    <row r="144" spans="1:7" ht="15" customHeight="1" x14ac:dyDescent="0.2">
      <c r="A144" s="2749">
        <f t="shared" si="3"/>
        <v>38.057999999999865</v>
      </c>
      <c r="B144" s="2488" t="s">
        <v>7203</v>
      </c>
      <c r="C144" s="2530">
        <v>274</v>
      </c>
      <c r="D144" s="2747">
        <v>561.70000000000005</v>
      </c>
      <c r="E144" s="2530">
        <v>274</v>
      </c>
      <c r="F144" s="2748">
        <v>456</v>
      </c>
      <c r="G144" s="2479" t="str">
        <f t="shared" si="4"/>
        <v>S0022</v>
      </c>
    </row>
    <row r="145" spans="1:7" ht="15" customHeight="1" x14ac:dyDescent="0.2">
      <c r="A145" s="2749">
        <f t="shared" si="3"/>
        <v>38.058999999999862</v>
      </c>
      <c r="B145" s="2488" t="s">
        <v>7204</v>
      </c>
      <c r="C145" s="2530">
        <v>236</v>
      </c>
      <c r="D145" s="2747">
        <v>561.70000000000005</v>
      </c>
      <c r="E145" s="2530">
        <v>236</v>
      </c>
      <c r="F145" s="2748">
        <v>456</v>
      </c>
      <c r="G145" s="2479" t="str">
        <f t="shared" si="4"/>
        <v>S0023</v>
      </c>
    </row>
    <row r="146" spans="1:7" ht="15" customHeight="1" x14ac:dyDescent="0.2">
      <c r="A146" s="2749">
        <f t="shared" si="3"/>
        <v>38.05999999999986</v>
      </c>
      <c r="B146" s="2488" t="s">
        <v>7205</v>
      </c>
      <c r="C146" s="2530">
        <v>236</v>
      </c>
      <c r="D146" s="2747">
        <v>561.70000000000005</v>
      </c>
      <c r="E146" s="2530">
        <v>236</v>
      </c>
      <c r="F146" s="2748">
        <v>456</v>
      </c>
      <c r="G146" s="2479" t="str">
        <f t="shared" si="4"/>
        <v>S0024</v>
      </c>
    </row>
    <row r="147" spans="1:7" ht="15" customHeight="1" x14ac:dyDescent="0.2">
      <c r="A147" s="2749">
        <f t="shared" si="3"/>
        <v>38.060999999999858</v>
      </c>
      <c r="B147" s="2488" t="s">
        <v>7206</v>
      </c>
      <c r="C147" s="2530">
        <v>167</v>
      </c>
      <c r="D147" s="2747">
        <v>561.70000000000005</v>
      </c>
      <c r="E147" s="2530">
        <v>167</v>
      </c>
      <c r="F147" s="2748">
        <v>456</v>
      </c>
      <c r="G147" s="2479" t="str">
        <f t="shared" si="4"/>
        <v>C0012</v>
      </c>
    </row>
    <row r="148" spans="1:7" ht="15" customHeight="1" x14ac:dyDescent="0.2">
      <c r="A148" s="2749">
        <f t="shared" si="3"/>
        <v>38.061999999999856</v>
      </c>
      <c r="B148" s="2488" t="s">
        <v>7207</v>
      </c>
      <c r="C148" s="2530">
        <v>251</v>
      </c>
      <c r="D148" s="2747">
        <v>561.70000000000005</v>
      </c>
      <c r="E148" s="2530">
        <v>251</v>
      </c>
      <c r="F148" s="2748">
        <v>456</v>
      </c>
      <c r="G148" s="2479" t="str">
        <f t="shared" si="4"/>
        <v>C0011</v>
      </c>
    </row>
    <row r="149" spans="1:7" ht="15" customHeight="1" x14ac:dyDescent="0.2">
      <c r="A149" s="2749">
        <f t="shared" si="3"/>
        <v>38.062999999999853</v>
      </c>
      <c r="B149" s="2488" t="s">
        <v>7208</v>
      </c>
      <c r="C149" s="2530">
        <v>84</v>
      </c>
      <c r="D149" s="2747">
        <v>561.70000000000005</v>
      </c>
      <c r="E149" s="2530">
        <v>84</v>
      </c>
      <c r="F149" s="2748">
        <v>456</v>
      </c>
      <c r="G149" s="2479" t="str">
        <f t="shared" si="4"/>
        <v>C0013</v>
      </c>
    </row>
    <row r="150" spans="1:7" ht="15" customHeight="1" x14ac:dyDescent="0.2">
      <c r="A150" s="2749">
        <f t="shared" si="3"/>
        <v>38.063999999999851</v>
      </c>
      <c r="B150" s="2488" t="s">
        <v>7209</v>
      </c>
      <c r="C150" s="2530">
        <v>251</v>
      </c>
      <c r="D150" s="2747">
        <v>561.70000000000005</v>
      </c>
      <c r="E150" s="2530">
        <v>251</v>
      </c>
      <c r="F150" s="2748">
        <v>456</v>
      </c>
      <c r="G150" s="2479" t="str">
        <f t="shared" si="4"/>
        <v>C0014</v>
      </c>
    </row>
    <row r="151" spans="1:7" ht="15" customHeight="1" x14ac:dyDescent="0.2">
      <c r="A151" s="2749">
        <f t="shared" ref="A151:A214" si="5">A150+0.001</f>
        <v>38.064999999999849</v>
      </c>
      <c r="B151" s="2488" t="s">
        <v>7210</v>
      </c>
      <c r="C151" s="2530">
        <v>334</v>
      </c>
      <c r="D151" s="2747">
        <v>561.70000000000005</v>
      </c>
      <c r="E151" s="2530">
        <v>334</v>
      </c>
      <c r="F151" s="2748">
        <v>456</v>
      </c>
      <c r="G151" s="2479" t="str">
        <f t="shared" si="4"/>
        <v>C0015</v>
      </c>
    </row>
    <row r="152" spans="1:7" ht="15" customHeight="1" x14ac:dyDescent="0.2">
      <c r="A152" s="2749">
        <f t="shared" si="5"/>
        <v>38.065999999999846</v>
      </c>
      <c r="B152" s="2488" t="s">
        <v>7211</v>
      </c>
      <c r="C152" s="2530">
        <v>334</v>
      </c>
      <c r="D152" s="2747">
        <v>561.70000000000005</v>
      </c>
      <c r="E152" s="2530">
        <v>334</v>
      </c>
      <c r="F152" s="2748">
        <v>456</v>
      </c>
      <c r="G152" s="2479" t="str">
        <f t="shared" si="4"/>
        <v>C0016</v>
      </c>
    </row>
    <row r="153" spans="1:7" ht="15" customHeight="1" x14ac:dyDescent="0.2">
      <c r="A153" s="2749">
        <f t="shared" si="5"/>
        <v>38.066999999999844</v>
      </c>
      <c r="B153" s="2488" t="s">
        <v>7212</v>
      </c>
      <c r="C153" s="2530">
        <v>836</v>
      </c>
      <c r="D153" s="2747">
        <v>561.70000000000005</v>
      </c>
      <c r="E153" s="2530">
        <v>836</v>
      </c>
      <c r="F153" s="2748">
        <v>456</v>
      </c>
      <c r="G153" s="2479" t="str">
        <f t="shared" si="4"/>
        <v>C0020</v>
      </c>
    </row>
    <row r="154" spans="1:7" ht="15" customHeight="1" x14ac:dyDescent="0.2">
      <c r="A154" s="2749">
        <f t="shared" si="5"/>
        <v>38.067999999999842</v>
      </c>
      <c r="B154" s="2488" t="s">
        <v>7213</v>
      </c>
      <c r="C154" s="2530">
        <v>166</v>
      </c>
      <c r="D154" s="2747">
        <v>561.70000000000005</v>
      </c>
      <c r="E154" s="2530">
        <v>166</v>
      </c>
      <c r="F154" s="2748">
        <v>456</v>
      </c>
      <c r="G154" s="2479" t="str">
        <f t="shared" si="4"/>
        <v>C1-04</v>
      </c>
    </row>
    <row r="155" spans="1:7" ht="15" customHeight="1" x14ac:dyDescent="0.2">
      <c r="A155" s="2749">
        <f t="shared" si="5"/>
        <v>38.068999999999839</v>
      </c>
      <c r="B155" s="2488" t="s">
        <v>7214</v>
      </c>
      <c r="C155" s="2530">
        <v>1857</v>
      </c>
      <c r="D155" s="2747">
        <v>561.70000000000005</v>
      </c>
      <c r="E155" s="2530">
        <v>1857</v>
      </c>
      <c r="F155" s="2748">
        <v>456</v>
      </c>
      <c r="G155" s="2479" t="str">
        <f t="shared" si="4"/>
        <v>C1-10</v>
      </c>
    </row>
    <row r="156" spans="1:7" ht="15" customHeight="1" x14ac:dyDescent="0.2">
      <c r="A156" s="2749">
        <f t="shared" si="5"/>
        <v>38.069999999999837</v>
      </c>
      <c r="B156" s="2488" t="s">
        <v>7215</v>
      </c>
      <c r="C156" s="2530">
        <v>1397</v>
      </c>
      <c r="D156" s="2747">
        <v>561.70000000000005</v>
      </c>
      <c r="E156" s="2530">
        <v>1397</v>
      </c>
      <c r="F156" s="2748">
        <v>456</v>
      </c>
      <c r="G156" s="2479" t="str">
        <f t="shared" si="4"/>
        <v>C1-11</v>
      </c>
    </row>
    <row r="157" spans="1:7" ht="15" customHeight="1" x14ac:dyDescent="0.2">
      <c r="A157" s="2749">
        <f t="shared" si="5"/>
        <v>38.070999999999835</v>
      </c>
      <c r="B157" s="2488" t="s">
        <v>7216</v>
      </c>
      <c r="C157" s="2530">
        <v>377</v>
      </c>
      <c r="D157" s="2747">
        <v>561.70000000000005</v>
      </c>
      <c r="E157" s="2530">
        <v>377</v>
      </c>
      <c r="F157" s="2748">
        <v>456</v>
      </c>
      <c r="G157" s="2479" t="str">
        <f t="shared" si="4"/>
        <v>C1-13</v>
      </c>
    </row>
    <row r="158" spans="1:7" ht="15" customHeight="1" x14ac:dyDescent="0.2">
      <c r="A158" s="2749">
        <f t="shared" si="5"/>
        <v>38.071999999999832</v>
      </c>
      <c r="B158" s="2488" t="s">
        <v>7217</v>
      </c>
      <c r="C158" s="2530">
        <v>1931</v>
      </c>
      <c r="D158" s="2747">
        <v>561.70000000000005</v>
      </c>
      <c r="E158" s="2530">
        <v>1931</v>
      </c>
      <c r="F158" s="2748">
        <v>456</v>
      </c>
      <c r="G158" s="2479" t="str">
        <f t="shared" si="4"/>
        <v>C1-14</v>
      </c>
    </row>
    <row r="159" spans="1:7" ht="15" customHeight="1" x14ac:dyDescent="0.2">
      <c r="A159" s="2749">
        <f t="shared" si="5"/>
        <v>38.07299999999983</v>
      </c>
      <c r="B159" s="2488" t="s">
        <v>7218</v>
      </c>
      <c r="C159" s="2530">
        <v>1230</v>
      </c>
      <c r="D159" s="2747">
        <v>561.70000000000005</v>
      </c>
      <c r="E159" s="2530">
        <v>1230</v>
      </c>
      <c r="F159" s="2748">
        <v>456</v>
      </c>
      <c r="G159" s="2479" t="str">
        <f t="shared" si="4"/>
        <v>C1-16</v>
      </c>
    </row>
    <row r="160" spans="1:7" ht="15" customHeight="1" x14ac:dyDescent="0.2">
      <c r="A160" s="2749">
        <f t="shared" si="5"/>
        <v>38.073999999999828</v>
      </c>
      <c r="B160" s="2488" t="s">
        <v>7219</v>
      </c>
      <c r="C160" s="2530">
        <v>42</v>
      </c>
      <c r="D160" s="2747">
        <v>561.70000000000005</v>
      </c>
      <c r="E160" s="2530">
        <v>42</v>
      </c>
      <c r="F160" s="2748">
        <v>456</v>
      </c>
      <c r="G160" s="2479" t="str">
        <f t="shared" si="4"/>
        <v>C1-20</v>
      </c>
    </row>
    <row r="161" spans="1:7" ht="15" customHeight="1" x14ac:dyDescent="0.2">
      <c r="A161" s="2749">
        <f t="shared" si="5"/>
        <v>38.074999999999825</v>
      </c>
      <c r="B161" s="2488" t="s">
        <v>7220</v>
      </c>
      <c r="C161" s="2530">
        <v>3163</v>
      </c>
      <c r="D161" s="2747">
        <v>561.70000000000005</v>
      </c>
      <c r="E161" s="2530">
        <v>3163</v>
      </c>
      <c r="F161" s="2748">
        <v>456</v>
      </c>
      <c r="G161" s="2479" t="str">
        <f t="shared" si="4"/>
        <v>C1-23</v>
      </c>
    </row>
    <row r="162" spans="1:7" ht="15" customHeight="1" x14ac:dyDescent="0.2">
      <c r="A162" s="2749">
        <f t="shared" si="5"/>
        <v>38.075999999999823</v>
      </c>
      <c r="B162" s="2488" t="s">
        <v>7221</v>
      </c>
      <c r="C162" s="2530">
        <v>1981</v>
      </c>
      <c r="D162" s="2747">
        <v>561.70000000000005</v>
      </c>
      <c r="E162" s="2530">
        <v>1981</v>
      </c>
      <c r="F162" s="2748">
        <v>456</v>
      </c>
      <c r="G162" s="2479" t="str">
        <f t="shared" si="4"/>
        <v>C1-26</v>
      </c>
    </row>
    <row r="163" spans="1:7" ht="15" customHeight="1" x14ac:dyDescent="0.2">
      <c r="A163" s="2749">
        <f t="shared" si="5"/>
        <v>38.076999999999821</v>
      </c>
      <c r="B163" s="2488" t="s">
        <v>7222</v>
      </c>
      <c r="C163" s="2530">
        <v>482</v>
      </c>
      <c r="D163" s="2747">
        <v>561.70000000000005</v>
      </c>
      <c r="E163" s="2530">
        <v>482</v>
      </c>
      <c r="F163" s="2748">
        <v>456</v>
      </c>
      <c r="G163" s="2479" t="str">
        <f t="shared" si="4"/>
        <v>C1-27</v>
      </c>
    </row>
    <row r="164" spans="1:7" ht="15" customHeight="1" x14ac:dyDescent="0.2">
      <c r="A164" s="2749">
        <f t="shared" si="5"/>
        <v>38.077999999999818</v>
      </c>
      <c r="B164" s="2488" t="s">
        <v>7223</v>
      </c>
      <c r="C164" s="2530">
        <v>602</v>
      </c>
      <c r="D164" s="2747">
        <v>561.70000000000005</v>
      </c>
      <c r="E164" s="2530">
        <v>602</v>
      </c>
      <c r="F164" s="2748">
        <v>456</v>
      </c>
      <c r="G164" s="2479" t="str">
        <f t="shared" si="4"/>
        <v>C1-34</v>
      </c>
    </row>
    <row r="165" spans="1:7" ht="15" customHeight="1" x14ac:dyDescent="0.2">
      <c r="A165" s="2749">
        <f t="shared" si="5"/>
        <v>38.078999999999816</v>
      </c>
      <c r="B165" s="2488" t="s">
        <v>7224</v>
      </c>
      <c r="C165" s="2530">
        <v>1514</v>
      </c>
      <c r="D165" s="2747">
        <v>561.70000000000005</v>
      </c>
      <c r="E165" s="2530">
        <v>1514</v>
      </c>
      <c r="F165" s="2748">
        <v>456</v>
      </c>
      <c r="G165" s="2479" t="str">
        <f t="shared" si="4"/>
        <v>C1-35</v>
      </c>
    </row>
    <row r="166" spans="1:7" ht="15" customHeight="1" x14ac:dyDescent="0.2">
      <c r="A166" s="2749">
        <f t="shared" si="5"/>
        <v>38.079999999999814</v>
      </c>
      <c r="B166" s="2488" t="s">
        <v>7225</v>
      </c>
      <c r="C166" s="2530">
        <v>440</v>
      </c>
      <c r="D166" s="2747">
        <v>561.70000000000005</v>
      </c>
      <c r="E166" s="2530">
        <v>440</v>
      </c>
      <c r="F166" s="2748">
        <v>456</v>
      </c>
      <c r="G166" s="2479" t="str">
        <f t="shared" si="4"/>
        <v>C1-37</v>
      </c>
    </row>
    <row r="167" spans="1:7" ht="15" customHeight="1" x14ac:dyDescent="0.2">
      <c r="A167" s="2749">
        <f t="shared" si="5"/>
        <v>38.080999999999811</v>
      </c>
      <c r="B167" s="2488" t="s">
        <v>7226</v>
      </c>
      <c r="C167" s="2530">
        <v>1282</v>
      </c>
      <c r="D167" s="2747">
        <v>561.70000000000005</v>
      </c>
      <c r="E167" s="2530">
        <v>1282</v>
      </c>
      <c r="F167" s="2748">
        <v>456</v>
      </c>
      <c r="G167" s="2479" t="str">
        <f t="shared" si="4"/>
        <v>C1-39</v>
      </c>
    </row>
    <row r="168" spans="1:7" ht="15" customHeight="1" x14ac:dyDescent="0.2">
      <c r="A168" s="2749">
        <f t="shared" si="5"/>
        <v>38.081999999999809</v>
      </c>
      <c r="B168" s="2488" t="s">
        <v>7227</v>
      </c>
      <c r="C168" s="2530">
        <v>1192</v>
      </c>
      <c r="D168" s="2747">
        <v>561.70000000000005</v>
      </c>
      <c r="E168" s="2530">
        <v>1192</v>
      </c>
      <c r="F168" s="2748">
        <v>456</v>
      </c>
      <c r="G168" s="2479" t="str">
        <f t="shared" si="4"/>
        <v>C1-40</v>
      </c>
    </row>
    <row r="169" spans="1:7" ht="16.7" customHeight="1" x14ac:dyDescent="0.2">
      <c r="A169" s="2749">
        <f t="shared" si="5"/>
        <v>38.082999999999807</v>
      </c>
      <c r="B169" s="2488" t="s">
        <v>7228</v>
      </c>
      <c r="C169" s="2530">
        <v>91</v>
      </c>
      <c r="D169" s="2747">
        <v>561.70000000000005</v>
      </c>
      <c r="E169" s="2530">
        <v>91</v>
      </c>
      <c r="F169" s="2748">
        <v>456</v>
      </c>
      <c r="G169" s="2479" t="str">
        <f t="shared" si="4"/>
        <v>C1-43 -A</v>
      </c>
    </row>
    <row r="170" spans="1:7" ht="16.7" customHeight="1" x14ac:dyDescent="0.2">
      <c r="A170" s="2749">
        <f t="shared" si="5"/>
        <v>38.083999999999804</v>
      </c>
      <c r="B170" s="2488" t="s">
        <v>7229</v>
      </c>
      <c r="C170" s="2530">
        <v>293</v>
      </c>
      <c r="D170" s="2747">
        <v>561.70000000000005</v>
      </c>
      <c r="E170" s="2530">
        <v>293</v>
      </c>
      <c r="F170" s="2748">
        <v>456</v>
      </c>
      <c r="G170" s="2479" t="str">
        <f t="shared" si="4"/>
        <v>C1-43 -B</v>
      </c>
    </row>
    <row r="171" spans="1:7" ht="16.7" customHeight="1" x14ac:dyDescent="0.2">
      <c r="A171" s="2749">
        <f t="shared" si="5"/>
        <v>38.084999999999802</v>
      </c>
      <c r="B171" s="2488" t="s">
        <v>7230</v>
      </c>
      <c r="C171" s="2530">
        <v>251</v>
      </c>
      <c r="D171" s="2747">
        <v>561.70000000000005</v>
      </c>
      <c r="E171" s="2530">
        <v>251</v>
      </c>
      <c r="F171" s="2748">
        <v>456</v>
      </c>
      <c r="G171" s="2479" t="str">
        <f t="shared" si="4"/>
        <v>C1-44</v>
      </c>
    </row>
    <row r="172" spans="1:7" ht="16.7" customHeight="1" x14ac:dyDescent="0.2">
      <c r="A172" s="2749">
        <f t="shared" si="5"/>
        <v>38.0859999999998</v>
      </c>
      <c r="B172" s="2488" t="s">
        <v>7231</v>
      </c>
      <c r="C172" s="2530">
        <v>1696</v>
      </c>
      <c r="D172" s="2747">
        <v>561.70000000000005</v>
      </c>
      <c r="E172" s="2530">
        <v>1696</v>
      </c>
      <c r="F172" s="2748">
        <v>456</v>
      </c>
      <c r="G172" s="2479" t="str">
        <f t="shared" si="4"/>
        <v>C1-46</v>
      </c>
    </row>
    <row r="173" spans="1:7" ht="15" customHeight="1" x14ac:dyDescent="0.2">
      <c r="A173" s="2749">
        <f t="shared" si="5"/>
        <v>38.086999999999797</v>
      </c>
      <c r="B173" s="2488" t="s">
        <v>7232</v>
      </c>
      <c r="C173" s="2530">
        <v>2259</v>
      </c>
      <c r="D173" s="2747">
        <v>561.70000000000005</v>
      </c>
      <c r="E173" s="2530">
        <v>2259</v>
      </c>
      <c r="F173" s="2748">
        <v>456</v>
      </c>
      <c r="G173" s="2479" t="str">
        <f t="shared" si="4"/>
        <v>C1-50</v>
      </c>
    </row>
    <row r="174" spans="1:7" ht="15" customHeight="1" x14ac:dyDescent="0.2">
      <c r="A174" s="2749">
        <f t="shared" si="5"/>
        <v>38.087999999999795</v>
      </c>
      <c r="B174" s="2488" t="s">
        <v>7233</v>
      </c>
      <c r="C174" s="2530">
        <v>1242</v>
      </c>
      <c r="D174" s="2747">
        <v>561.70000000000005</v>
      </c>
      <c r="E174" s="2530">
        <v>1242</v>
      </c>
      <c r="F174" s="2748">
        <v>456</v>
      </c>
      <c r="G174" s="2479" t="str">
        <f t="shared" si="4"/>
        <v>C1-51</v>
      </c>
    </row>
    <row r="175" spans="1:7" ht="15" customHeight="1" x14ac:dyDescent="0.2">
      <c r="A175" s="2749">
        <f t="shared" si="5"/>
        <v>38.088999999999793</v>
      </c>
      <c r="B175" s="2488" t="s">
        <v>7234</v>
      </c>
      <c r="C175" s="2530">
        <v>2036</v>
      </c>
      <c r="D175" s="2747">
        <v>561.70000000000005</v>
      </c>
      <c r="E175" s="2530">
        <v>2036</v>
      </c>
      <c r="F175" s="2748">
        <v>456</v>
      </c>
      <c r="G175" s="2479" t="str">
        <f t="shared" si="4"/>
        <v>C1-54</v>
      </c>
    </row>
    <row r="176" spans="1:7" ht="15" customHeight="1" x14ac:dyDescent="0.2">
      <c r="A176" s="2749">
        <f t="shared" si="5"/>
        <v>38.08999999999979</v>
      </c>
      <c r="B176" s="2488" t="s">
        <v>7235</v>
      </c>
      <c r="C176" s="2530">
        <v>166</v>
      </c>
      <c r="D176" s="2747">
        <v>561.70000000000005</v>
      </c>
      <c r="E176" s="2530">
        <v>166</v>
      </c>
      <c r="F176" s="2748">
        <v>456</v>
      </c>
      <c r="G176" s="2479" t="str">
        <f t="shared" si="4"/>
        <v>C1-58</v>
      </c>
    </row>
    <row r="177" spans="1:7" ht="15" customHeight="1" x14ac:dyDescent="0.2">
      <c r="A177" s="2749">
        <f t="shared" si="5"/>
        <v>38.090999999999788</v>
      </c>
      <c r="B177" s="2488" t="s">
        <v>7236</v>
      </c>
      <c r="C177" s="2530">
        <v>471</v>
      </c>
      <c r="D177" s="2747">
        <v>561.70000000000005</v>
      </c>
      <c r="E177" s="2530">
        <v>471</v>
      </c>
      <c r="F177" s="2748">
        <v>456</v>
      </c>
      <c r="G177" s="2479" t="str">
        <f t="shared" si="4"/>
        <v>C2-10 -A</v>
      </c>
    </row>
    <row r="178" spans="1:7" ht="15" customHeight="1" x14ac:dyDescent="0.2">
      <c r="A178" s="2749">
        <f t="shared" si="5"/>
        <v>38.091999999999786</v>
      </c>
      <c r="B178" s="2488" t="s">
        <v>7237</v>
      </c>
      <c r="C178" s="2530">
        <v>84</v>
      </c>
      <c r="D178" s="2747">
        <v>561.70000000000005</v>
      </c>
      <c r="E178" s="2530">
        <v>84</v>
      </c>
      <c r="F178" s="2748">
        <v>456</v>
      </c>
      <c r="G178" s="2479" t="str">
        <f t="shared" si="4"/>
        <v>C2-10 -B</v>
      </c>
    </row>
    <row r="179" spans="1:7" ht="15" customHeight="1" x14ac:dyDescent="0.2">
      <c r="A179" s="2749">
        <f t="shared" si="5"/>
        <v>38.092999999999783</v>
      </c>
      <c r="B179" s="2488" t="s">
        <v>7238</v>
      </c>
      <c r="C179" s="2530">
        <v>84</v>
      </c>
      <c r="D179" s="2747">
        <v>561.70000000000005</v>
      </c>
      <c r="E179" s="2530">
        <v>0</v>
      </c>
      <c r="F179" s="2489"/>
      <c r="G179" s="2479" t="str">
        <f t="shared" si="4"/>
        <v>C2-11</v>
      </c>
    </row>
    <row r="180" spans="1:7" ht="15" customHeight="1" x14ac:dyDescent="0.2">
      <c r="A180" s="2749">
        <f t="shared" si="5"/>
        <v>38.093999999999781</v>
      </c>
      <c r="B180" s="2488" t="s">
        <v>7239</v>
      </c>
      <c r="C180" s="2530">
        <v>512</v>
      </c>
      <c r="D180" s="2747">
        <v>561.70000000000005</v>
      </c>
      <c r="E180" s="2530">
        <v>512</v>
      </c>
      <c r="F180" s="2748">
        <v>456</v>
      </c>
      <c r="G180" s="2479" t="str">
        <f t="shared" si="4"/>
        <v>C2-28</v>
      </c>
    </row>
    <row r="181" spans="1:7" ht="15" customHeight="1" x14ac:dyDescent="0.2">
      <c r="A181" s="2749">
        <f t="shared" si="5"/>
        <v>38.094999999999779</v>
      </c>
      <c r="B181" s="2488" t="s">
        <v>7240</v>
      </c>
      <c r="C181" s="2530">
        <v>642</v>
      </c>
      <c r="D181" s="2747">
        <v>561.70000000000005</v>
      </c>
      <c r="E181" s="2530">
        <v>642</v>
      </c>
      <c r="F181" s="2748">
        <v>456</v>
      </c>
      <c r="G181" s="2479" t="str">
        <f t="shared" si="4"/>
        <v>C2-31</v>
      </c>
    </row>
    <row r="182" spans="1:7" ht="15" customHeight="1" x14ac:dyDescent="0.2">
      <c r="A182" s="2749">
        <f t="shared" si="5"/>
        <v>38.095999999999776</v>
      </c>
      <c r="B182" s="2488" t="s">
        <v>7241</v>
      </c>
      <c r="C182" s="2530">
        <v>654</v>
      </c>
      <c r="D182" s="2747">
        <v>561.70000000000005</v>
      </c>
      <c r="E182" s="2530">
        <v>654</v>
      </c>
      <c r="F182" s="2748">
        <v>456</v>
      </c>
      <c r="G182" s="2479" t="str">
        <f t="shared" si="4"/>
        <v>C2-45</v>
      </c>
    </row>
    <row r="183" spans="1:7" ht="15" customHeight="1" x14ac:dyDescent="0.2">
      <c r="A183" s="2749">
        <f t="shared" si="5"/>
        <v>38.096999999999774</v>
      </c>
      <c r="B183" s="2488" t="s">
        <v>7242</v>
      </c>
      <c r="C183" s="2530">
        <v>771</v>
      </c>
      <c r="D183" s="2747">
        <v>561.70000000000005</v>
      </c>
      <c r="E183" s="2530">
        <v>771</v>
      </c>
      <c r="F183" s="2748">
        <v>456</v>
      </c>
      <c r="G183" s="2479" t="str">
        <f t="shared" si="4"/>
        <v>C2-54</v>
      </c>
    </row>
    <row r="184" spans="1:7" ht="15" customHeight="1" x14ac:dyDescent="0.2">
      <c r="A184" s="2749">
        <f t="shared" si="5"/>
        <v>38.097999999999772</v>
      </c>
      <c r="B184" s="2488" t="s">
        <v>7243</v>
      </c>
      <c r="C184" s="2530">
        <v>512</v>
      </c>
      <c r="D184" s="2747">
        <v>561.70000000000005</v>
      </c>
      <c r="E184" s="2530">
        <v>512</v>
      </c>
      <c r="F184" s="2748">
        <v>456</v>
      </c>
      <c r="G184" s="2479" t="str">
        <f t="shared" si="4"/>
        <v>C2-65</v>
      </c>
    </row>
    <row r="185" spans="1:7" ht="15" customHeight="1" x14ac:dyDescent="0.2">
      <c r="A185" s="2749">
        <f t="shared" si="5"/>
        <v>38.098999999999769</v>
      </c>
      <c r="B185" s="2488" t="s">
        <v>7244</v>
      </c>
      <c r="C185" s="2530">
        <v>554</v>
      </c>
      <c r="D185" s="2747">
        <v>561.70000000000005</v>
      </c>
      <c r="E185" s="2530">
        <v>554</v>
      </c>
      <c r="F185" s="2748">
        <v>456</v>
      </c>
      <c r="G185" s="2479" t="str">
        <f t="shared" si="4"/>
        <v>C2-79</v>
      </c>
    </row>
    <row r="186" spans="1:7" ht="15" customHeight="1" x14ac:dyDescent="0.2">
      <c r="A186" s="2749">
        <f t="shared" si="5"/>
        <v>38.099999999999767</v>
      </c>
      <c r="B186" s="2488" t="s">
        <v>7245</v>
      </c>
      <c r="C186" s="2530">
        <v>345</v>
      </c>
      <c r="D186" s="2747">
        <v>561.70000000000005</v>
      </c>
      <c r="E186" s="2530">
        <v>345</v>
      </c>
      <c r="F186" s="2748">
        <v>456</v>
      </c>
      <c r="G186" s="2479" t="str">
        <f t="shared" si="4"/>
        <v>C2-83</v>
      </c>
    </row>
    <row r="187" spans="1:7" ht="15" customHeight="1" x14ac:dyDescent="0.2">
      <c r="A187" s="2749">
        <f t="shared" si="5"/>
        <v>38.100999999999765</v>
      </c>
      <c r="B187" s="2488" t="s">
        <v>7246</v>
      </c>
      <c r="C187" s="2530">
        <v>376</v>
      </c>
      <c r="D187" s="2747">
        <v>561.70000000000005</v>
      </c>
      <c r="E187" s="2530">
        <v>376</v>
      </c>
      <c r="F187" s="2748">
        <v>456</v>
      </c>
      <c r="G187" s="2479" t="str">
        <f t="shared" si="4"/>
        <v>C2-86</v>
      </c>
    </row>
    <row r="188" spans="1:7" ht="15" customHeight="1" x14ac:dyDescent="0.2">
      <c r="A188" s="2749">
        <f t="shared" si="5"/>
        <v>38.101999999999762</v>
      </c>
      <c r="B188" s="2488" t="s">
        <v>7247</v>
      </c>
      <c r="C188" s="2530">
        <v>376</v>
      </c>
      <c r="D188" s="2747">
        <v>561.70000000000005</v>
      </c>
      <c r="E188" s="2530">
        <v>376</v>
      </c>
      <c r="F188" s="2748">
        <v>456</v>
      </c>
      <c r="G188" s="2479" t="str">
        <f t="shared" si="4"/>
        <v>C2-88</v>
      </c>
    </row>
    <row r="189" spans="1:7" ht="15" customHeight="1" x14ac:dyDescent="0.2">
      <c r="A189" s="2749">
        <f t="shared" si="5"/>
        <v>38.10299999999976</v>
      </c>
      <c r="B189" s="2488" t="s">
        <v>7248</v>
      </c>
      <c r="C189" s="2530">
        <v>502</v>
      </c>
      <c r="D189" s="2747">
        <v>561.70000000000005</v>
      </c>
      <c r="E189" s="2530">
        <v>502</v>
      </c>
      <c r="F189" s="2748">
        <v>456</v>
      </c>
      <c r="G189" s="2479" t="str">
        <f t="shared" si="4"/>
        <v>C2-91</v>
      </c>
    </row>
    <row r="190" spans="1:7" ht="15" customHeight="1" x14ac:dyDescent="0.2">
      <c r="A190" s="2749">
        <f t="shared" si="5"/>
        <v>38.103999999999758</v>
      </c>
      <c r="B190" s="2488" t="s">
        <v>7249</v>
      </c>
      <c r="C190" s="2530">
        <v>502</v>
      </c>
      <c r="D190" s="2747">
        <v>561.70000000000005</v>
      </c>
      <c r="E190" s="2530">
        <v>502</v>
      </c>
      <c r="F190" s="2748">
        <v>456</v>
      </c>
      <c r="G190" s="2479" t="str">
        <f t="shared" si="4"/>
        <v>C2-92</v>
      </c>
    </row>
    <row r="191" spans="1:7" ht="15" customHeight="1" x14ac:dyDescent="0.2">
      <c r="A191" s="2749">
        <f t="shared" si="5"/>
        <v>38.104999999999755</v>
      </c>
      <c r="B191" s="2488" t="s">
        <v>7250</v>
      </c>
      <c r="C191" s="2530">
        <v>581</v>
      </c>
      <c r="D191" s="2747">
        <v>561.70000000000005</v>
      </c>
      <c r="E191" s="2530">
        <v>581</v>
      </c>
      <c r="F191" s="2748">
        <v>456</v>
      </c>
      <c r="G191" s="2479" t="str">
        <f t="shared" si="4"/>
        <v>C2-101</v>
      </c>
    </row>
    <row r="192" spans="1:7" ht="15" customHeight="1" x14ac:dyDescent="0.2">
      <c r="A192" s="2749">
        <f t="shared" si="5"/>
        <v>38.105999999999753</v>
      </c>
      <c r="B192" s="2488" t="s">
        <v>7251</v>
      </c>
      <c r="C192" s="2530">
        <v>1541</v>
      </c>
      <c r="D192" s="2747">
        <v>561.70000000000005</v>
      </c>
      <c r="E192" s="2530">
        <v>1541</v>
      </c>
      <c r="F192" s="2748">
        <v>456</v>
      </c>
      <c r="G192" s="2479" t="str">
        <f t="shared" si="4"/>
        <v>C2-120</v>
      </c>
    </row>
    <row r="193" spans="1:7" ht="15" customHeight="1" x14ac:dyDescent="0.2">
      <c r="A193" s="2749">
        <f t="shared" si="5"/>
        <v>38.106999999999751</v>
      </c>
      <c r="B193" s="2488" t="s">
        <v>7252</v>
      </c>
      <c r="C193" s="2530">
        <v>429</v>
      </c>
      <c r="D193" s="2747">
        <v>561.70000000000005</v>
      </c>
      <c r="E193" s="2530">
        <v>429</v>
      </c>
      <c r="F193" s="2748">
        <v>456</v>
      </c>
      <c r="G193" s="2479" t="str">
        <f t="shared" si="4"/>
        <v>C2-138</v>
      </c>
    </row>
    <row r="194" spans="1:7" ht="15" customHeight="1" x14ac:dyDescent="0.2">
      <c r="A194" s="2749">
        <f t="shared" si="5"/>
        <v>38.107999999999748</v>
      </c>
      <c r="B194" s="2488" t="s">
        <v>7253</v>
      </c>
      <c r="C194" s="2530">
        <v>209</v>
      </c>
      <c r="D194" s="2747">
        <v>561.70000000000005</v>
      </c>
      <c r="E194" s="2530">
        <v>209</v>
      </c>
      <c r="F194" s="2748">
        <v>456</v>
      </c>
      <c r="G194" s="2479" t="str">
        <f t="shared" si="4"/>
        <v>C2-144 -A</v>
      </c>
    </row>
    <row r="195" spans="1:7" ht="15" customHeight="1" x14ac:dyDescent="0.2">
      <c r="A195" s="2749">
        <f t="shared" si="5"/>
        <v>38.108999999999746</v>
      </c>
      <c r="B195" s="2488" t="s">
        <v>7254</v>
      </c>
      <c r="C195" s="2530">
        <v>2571</v>
      </c>
      <c r="D195" s="2747">
        <v>561.70000000000005</v>
      </c>
      <c r="E195" s="2530">
        <v>2571</v>
      </c>
      <c r="F195" s="2748">
        <v>456</v>
      </c>
      <c r="G195" s="2479" t="str">
        <f t="shared" si="4"/>
        <v>C2-144 -B</v>
      </c>
    </row>
    <row r="196" spans="1:7" ht="15" customHeight="1" x14ac:dyDescent="0.2">
      <c r="A196" s="2749">
        <f t="shared" si="5"/>
        <v>38.109999999999744</v>
      </c>
      <c r="B196" s="2488" t="s">
        <v>7255</v>
      </c>
      <c r="C196" s="2530">
        <v>42</v>
      </c>
      <c r="D196" s="2747">
        <v>561.70000000000005</v>
      </c>
      <c r="E196" s="2530">
        <v>42</v>
      </c>
      <c r="F196" s="2748">
        <v>456</v>
      </c>
      <c r="G196" s="2479" t="str">
        <f t="shared" si="4"/>
        <v>C2-145</v>
      </c>
    </row>
    <row r="197" spans="1:7" ht="15" customHeight="1" x14ac:dyDescent="0.2">
      <c r="A197" s="2749">
        <f t="shared" si="5"/>
        <v>38.110999999999741</v>
      </c>
      <c r="B197" s="2488" t="s">
        <v>7256</v>
      </c>
      <c r="C197" s="2530">
        <v>376</v>
      </c>
      <c r="D197" s="2747">
        <v>561.70000000000005</v>
      </c>
      <c r="E197" s="2530">
        <v>376</v>
      </c>
      <c r="F197" s="2748">
        <v>456</v>
      </c>
      <c r="G197" s="2479" t="str">
        <f t="shared" si="4"/>
        <v>C2-156</v>
      </c>
    </row>
    <row r="198" spans="1:7" ht="15" customHeight="1" x14ac:dyDescent="0.2">
      <c r="A198" s="2749">
        <f t="shared" si="5"/>
        <v>38.111999999999739</v>
      </c>
      <c r="B198" s="2488" t="s">
        <v>7257</v>
      </c>
      <c r="C198" s="2530">
        <v>429</v>
      </c>
      <c r="D198" s="2747">
        <v>561.70000000000005</v>
      </c>
      <c r="E198" s="2530">
        <v>429</v>
      </c>
      <c r="F198" s="2748">
        <v>456</v>
      </c>
      <c r="G198" s="2479" t="str">
        <f t="shared" ref="G198:G251" si="6">B198</f>
        <v>C2-164</v>
      </c>
    </row>
    <row r="199" spans="1:7" ht="15" customHeight="1" x14ac:dyDescent="0.2">
      <c r="A199" s="2749">
        <f t="shared" si="5"/>
        <v>38.112999999999737</v>
      </c>
      <c r="B199" s="2488" t="s">
        <v>7258</v>
      </c>
      <c r="C199" s="2530">
        <v>429</v>
      </c>
      <c r="D199" s="2747">
        <v>561.70000000000005</v>
      </c>
      <c r="E199" s="2530">
        <v>0</v>
      </c>
      <c r="F199" s="2489"/>
      <c r="G199" s="2479" t="str">
        <f t="shared" si="6"/>
        <v>C2-169</v>
      </c>
    </row>
    <row r="200" spans="1:7" ht="15" customHeight="1" x14ac:dyDescent="0.2">
      <c r="A200" s="2749">
        <f t="shared" si="5"/>
        <v>38.113999999999734</v>
      </c>
      <c r="B200" s="2488" t="s">
        <v>7259</v>
      </c>
      <c r="C200" s="2530">
        <v>854</v>
      </c>
      <c r="D200" s="2747">
        <v>561.70000000000005</v>
      </c>
      <c r="E200" s="2530">
        <v>854</v>
      </c>
      <c r="F200" s="2748">
        <v>456</v>
      </c>
      <c r="G200" s="2479" t="str">
        <f t="shared" si="6"/>
        <v>C2-170</v>
      </c>
    </row>
    <row r="201" spans="1:7" ht="15" customHeight="1" x14ac:dyDescent="0.2">
      <c r="A201" s="2749">
        <f t="shared" si="5"/>
        <v>38.114999999999732</v>
      </c>
      <c r="B201" s="2488" t="s">
        <v>7260</v>
      </c>
      <c r="C201" s="2530">
        <v>771</v>
      </c>
      <c r="D201" s="2747">
        <v>561.70000000000005</v>
      </c>
      <c r="E201" s="2530">
        <v>771</v>
      </c>
      <c r="F201" s="2748">
        <v>456</v>
      </c>
      <c r="G201" s="2479" t="str">
        <f t="shared" si="6"/>
        <v>C2-171</v>
      </c>
    </row>
    <row r="202" spans="1:7" ht="15" customHeight="1" x14ac:dyDescent="0.2">
      <c r="A202" s="2749">
        <f t="shared" si="5"/>
        <v>38.11599999999973</v>
      </c>
      <c r="B202" s="2488" t="s">
        <v>7261</v>
      </c>
      <c r="C202" s="2530">
        <v>854</v>
      </c>
      <c r="D202" s="2747">
        <v>561.70000000000005</v>
      </c>
      <c r="E202" s="2530">
        <v>854</v>
      </c>
      <c r="F202" s="2748">
        <v>456</v>
      </c>
      <c r="G202" s="2479" t="str">
        <f t="shared" si="6"/>
        <v>C2-173</v>
      </c>
    </row>
    <row r="203" spans="1:7" ht="15" customHeight="1" x14ac:dyDescent="0.2">
      <c r="A203" s="2749">
        <f t="shared" si="5"/>
        <v>38.116999999999727</v>
      </c>
      <c r="B203" s="2488" t="s">
        <v>7262</v>
      </c>
      <c r="C203" s="2530">
        <v>84</v>
      </c>
      <c r="D203" s="2747">
        <v>561.70000000000005</v>
      </c>
      <c r="E203" s="2530">
        <v>84</v>
      </c>
      <c r="F203" s="2748">
        <v>456</v>
      </c>
      <c r="G203" s="2479" t="str">
        <f t="shared" si="6"/>
        <v>C2-179</v>
      </c>
    </row>
    <row r="204" spans="1:7" ht="15" customHeight="1" x14ac:dyDescent="0.2">
      <c r="A204" s="2749">
        <f t="shared" si="5"/>
        <v>38.117999999999725</v>
      </c>
      <c r="B204" s="2488" t="s">
        <v>7263</v>
      </c>
      <c r="C204" s="2530">
        <v>813</v>
      </c>
      <c r="D204" s="2747">
        <v>561.70000000000005</v>
      </c>
      <c r="E204" s="2530">
        <v>813</v>
      </c>
      <c r="F204" s="2748">
        <v>456</v>
      </c>
      <c r="G204" s="2479" t="str">
        <f t="shared" si="6"/>
        <v>C2-180</v>
      </c>
    </row>
    <row r="205" spans="1:7" ht="15" customHeight="1" x14ac:dyDescent="0.2">
      <c r="A205" s="2749">
        <f t="shared" si="5"/>
        <v>38.118999999999723</v>
      </c>
      <c r="B205" s="2488" t="s">
        <v>7264</v>
      </c>
      <c r="C205" s="2530">
        <v>813</v>
      </c>
      <c r="D205" s="2747">
        <v>561.70000000000005</v>
      </c>
      <c r="E205" s="2530">
        <v>813</v>
      </c>
      <c r="F205" s="2748">
        <v>456</v>
      </c>
      <c r="G205" s="2479" t="str">
        <f t="shared" si="6"/>
        <v>C2-181</v>
      </c>
    </row>
    <row r="206" spans="1:7" ht="15" customHeight="1" x14ac:dyDescent="0.2">
      <c r="A206" s="2749">
        <f t="shared" si="5"/>
        <v>38.11999999999972</v>
      </c>
      <c r="B206" s="2488" t="s">
        <v>7265</v>
      </c>
      <c r="C206" s="2530">
        <v>896</v>
      </c>
      <c r="D206" s="2747">
        <v>561.70000000000005</v>
      </c>
      <c r="E206" s="2530">
        <v>896</v>
      </c>
      <c r="F206" s="2748">
        <v>456</v>
      </c>
      <c r="G206" s="2479" t="str">
        <f t="shared" si="6"/>
        <v>C2-182</v>
      </c>
    </row>
    <row r="207" spans="1:7" ht="15" customHeight="1" x14ac:dyDescent="0.2">
      <c r="A207" s="2749">
        <f t="shared" si="5"/>
        <v>38.120999999999718</v>
      </c>
      <c r="B207" s="2488" t="s">
        <v>7266</v>
      </c>
      <c r="C207" s="2530">
        <v>813</v>
      </c>
      <c r="D207" s="2747">
        <v>561.70000000000005</v>
      </c>
      <c r="E207" s="2530">
        <v>813</v>
      </c>
      <c r="F207" s="2748">
        <v>456</v>
      </c>
      <c r="G207" s="2479" t="str">
        <f t="shared" si="6"/>
        <v>C2-187</v>
      </c>
    </row>
    <row r="208" spans="1:7" ht="15" customHeight="1" x14ac:dyDescent="0.2">
      <c r="A208" s="2749">
        <f t="shared" si="5"/>
        <v>38.121999999999716</v>
      </c>
      <c r="B208" s="2488" t="s">
        <v>7267</v>
      </c>
      <c r="C208" s="2530">
        <v>729</v>
      </c>
      <c r="D208" s="2747">
        <v>561.70000000000005</v>
      </c>
      <c r="E208" s="2530">
        <v>729</v>
      </c>
      <c r="F208" s="2748">
        <v>456</v>
      </c>
      <c r="G208" s="2479" t="str">
        <f t="shared" si="6"/>
        <v>C2-208</v>
      </c>
    </row>
    <row r="209" spans="1:7" ht="15" customHeight="1" x14ac:dyDescent="0.2">
      <c r="A209" s="2749">
        <f t="shared" si="5"/>
        <v>38.122999999999713</v>
      </c>
      <c r="B209" s="2488" t="s">
        <v>7268</v>
      </c>
      <c r="C209" s="2530">
        <v>1487</v>
      </c>
      <c r="D209" s="2747">
        <v>561.70000000000005</v>
      </c>
      <c r="E209" s="2530">
        <v>1487</v>
      </c>
      <c r="F209" s="2748">
        <v>456</v>
      </c>
      <c r="G209" s="2479" t="str">
        <f t="shared" si="6"/>
        <v>C2-209</v>
      </c>
    </row>
    <row r="210" spans="1:7" ht="15" customHeight="1" x14ac:dyDescent="0.2">
      <c r="A210" s="2749">
        <f t="shared" si="5"/>
        <v>38.123999999999711</v>
      </c>
      <c r="B210" s="2512" t="s">
        <v>7269</v>
      </c>
      <c r="C210" s="2530">
        <v>729</v>
      </c>
      <c r="D210" s="2747">
        <v>561.70000000000005</v>
      </c>
      <c r="E210" s="2530">
        <v>729</v>
      </c>
      <c r="F210" s="2748">
        <v>456</v>
      </c>
      <c r="G210" s="2479" t="str">
        <f t="shared" si="6"/>
        <v>C2-210</v>
      </c>
    </row>
    <row r="211" spans="1:7" ht="15" customHeight="1" x14ac:dyDescent="0.2">
      <c r="A211" s="2749">
        <f t="shared" si="5"/>
        <v>38.124999999999709</v>
      </c>
      <c r="B211" s="2512" t="s">
        <v>7270</v>
      </c>
      <c r="C211" s="2530">
        <v>2505</v>
      </c>
      <c r="D211" s="2747">
        <v>561.70000000000005</v>
      </c>
      <c r="E211" s="2530">
        <v>2505</v>
      </c>
      <c r="F211" s="2748">
        <v>456</v>
      </c>
      <c r="G211" s="2479" t="str">
        <f t="shared" si="6"/>
        <v>FT002</v>
      </c>
    </row>
    <row r="212" spans="1:7" ht="15" customHeight="1" x14ac:dyDescent="0.2">
      <c r="A212" s="2749">
        <f t="shared" si="5"/>
        <v>38.125999999999706</v>
      </c>
      <c r="B212" s="2512" t="s">
        <v>7271</v>
      </c>
      <c r="C212" s="2530">
        <v>2414</v>
      </c>
      <c r="D212" s="2747">
        <v>561.70000000000005</v>
      </c>
      <c r="E212" s="2530">
        <v>2414</v>
      </c>
      <c r="F212" s="2748">
        <v>456</v>
      </c>
      <c r="G212" s="2479" t="str">
        <f t="shared" si="6"/>
        <v>FT003</v>
      </c>
    </row>
    <row r="213" spans="1:7" ht="15" customHeight="1" x14ac:dyDescent="0.2">
      <c r="A213" s="2749">
        <f t="shared" si="5"/>
        <v>38.126999999999704</v>
      </c>
      <c r="B213" s="2512" t="s">
        <v>7272</v>
      </c>
      <c r="C213" s="2530">
        <v>306</v>
      </c>
      <c r="D213" s="2747">
        <v>561.70000000000005</v>
      </c>
      <c r="E213" s="2530">
        <v>306</v>
      </c>
      <c r="F213" s="2748">
        <v>456</v>
      </c>
      <c r="G213" s="2479" t="str">
        <f t="shared" si="6"/>
        <v>FT004</v>
      </c>
    </row>
    <row r="214" spans="1:7" ht="15" customHeight="1" x14ac:dyDescent="0.2">
      <c r="A214" s="2749">
        <f t="shared" si="5"/>
        <v>38.127999999999702</v>
      </c>
      <c r="B214" s="2512" t="s">
        <v>7273</v>
      </c>
      <c r="C214" s="2530">
        <v>1187</v>
      </c>
      <c r="D214" s="2747">
        <v>561.70000000000005</v>
      </c>
      <c r="E214" s="2530">
        <v>1187</v>
      </c>
      <c r="F214" s="2748">
        <v>456</v>
      </c>
      <c r="G214" s="2479" t="str">
        <f t="shared" si="6"/>
        <v>FT005</v>
      </c>
    </row>
    <row r="215" spans="1:7" ht="15" customHeight="1" x14ac:dyDescent="0.2">
      <c r="A215" s="2749">
        <f t="shared" ref="A215:A253" si="7">A214+0.001</f>
        <v>38.128999999999699</v>
      </c>
      <c r="B215" s="2512" t="s">
        <v>7274</v>
      </c>
      <c r="C215" s="2530">
        <v>1398</v>
      </c>
      <c r="D215" s="2747">
        <v>561.70000000000005</v>
      </c>
      <c r="E215" s="2530">
        <v>1398</v>
      </c>
      <c r="F215" s="2748">
        <v>456</v>
      </c>
      <c r="G215" s="2479" t="str">
        <f t="shared" si="6"/>
        <v>FT007</v>
      </c>
    </row>
    <row r="216" spans="1:7" ht="15" customHeight="1" x14ac:dyDescent="0.2">
      <c r="A216" s="2749">
        <f t="shared" si="7"/>
        <v>38.129999999999697</v>
      </c>
      <c r="B216" s="2512" t="s">
        <v>7275</v>
      </c>
      <c r="C216" s="2530">
        <v>-832</v>
      </c>
      <c r="D216" s="2747">
        <v>561.70000000000005</v>
      </c>
      <c r="E216" s="2530">
        <v>-832</v>
      </c>
      <c r="F216" s="2748">
        <v>456</v>
      </c>
      <c r="G216" s="2479" t="str">
        <f t="shared" si="6"/>
        <v>OATT Cluster Study 2021 -A</v>
      </c>
    </row>
    <row r="217" spans="1:7" ht="15" customHeight="1" x14ac:dyDescent="0.2">
      <c r="A217" s="2749">
        <f t="shared" si="7"/>
        <v>38.130999999999695</v>
      </c>
      <c r="B217" s="2512" t="s">
        <v>7276</v>
      </c>
      <c r="C217" s="2530">
        <v>-5625</v>
      </c>
      <c r="D217" s="2747">
        <v>561.70000000000005</v>
      </c>
      <c r="E217" s="2530">
        <v>-5625</v>
      </c>
      <c r="F217" s="2748">
        <v>456</v>
      </c>
      <c r="G217" s="2479" t="str">
        <f t="shared" si="6"/>
        <v>OATT Cluster Study 2021 -B</v>
      </c>
    </row>
    <row r="218" spans="1:7" ht="15" customHeight="1" x14ac:dyDescent="0.2">
      <c r="A218" s="2749">
        <f t="shared" si="7"/>
        <v>38.131999999999692</v>
      </c>
      <c r="B218" s="2512" t="s">
        <v>7277</v>
      </c>
      <c r="C218" s="2530">
        <v>1687</v>
      </c>
      <c r="D218" s="2747">
        <v>561.70000000000005</v>
      </c>
      <c r="E218" s="2530">
        <v>1687</v>
      </c>
      <c r="F218" s="2748">
        <v>456</v>
      </c>
      <c r="G218" s="2479" t="str">
        <f t="shared" si="6"/>
        <v>OATT Cluster Study CY2022</v>
      </c>
    </row>
    <row r="219" spans="1:7" ht="15" customHeight="1" x14ac:dyDescent="0.2">
      <c r="A219" s="2749">
        <f t="shared" si="7"/>
        <v>38.13299999999969</v>
      </c>
      <c r="B219" s="2512" t="s">
        <v>7278</v>
      </c>
      <c r="C219" s="2530">
        <v>4730</v>
      </c>
      <c r="D219" s="2747">
        <v>561.70000000000005</v>
      </c>
      <c r="E219" s="2530">
        <v>4730</v>
      </c>
      <c r="F219" s="2748">
        <v>456</v>
      </c>
      <c r="G219" s="2479" t="str">
        <f t="shared" si="6"/>
        <v>Cluster 2021 - Cluster Area 7 Restudy</v>
      </c>
    </row>
    <row r="220" spans="1:7" ht="15" customHeight="1" x14ac:dyDescent="0.2">
      <c r="A220" s="2749">
        <f t="shared" si="7"/>
        <v>38.133999999999688</v>
      </c>
      <c r="B220" s="2512" t="s">
        <v>7279</v>
      </c>
      <c r="C220" s="2530">
        <v>192334</v>
      </c>
      <c r="D220" s="2747">
        <v>561.70000000000005</v>
      </c>
      <c r="E220" s="2530">
        <v>192334</v>
      </c>
      <c r="F220" s="2748">
        <v>456</v>
      </c>
      <c r="G220" s="2479" t="str">
        <f t="shared" si="6"/>
        <v>2022 Cluster Study Report Production</v>
      </c>
    </row>
    <row r="221" spans="1:7" ht="15" customHeight="1" x14ac:dyDescent="0.2">
      <c r="A221" s="2749">
        <f t="shared" si="7"/>
        <v>38.134999999999685</v>
      </c>
      <c r="B221" s="2512" t="s">
        <v>7280</v>
      </c>
      <c r="C221" s="2530">
        <v>147801</v>
      </c>
      <c r="D221" s="2747">
        <v>561.70000000000005</v>
      </c>
      <c r="E221" s="2530">
        <v>147801</v>
      </c>
      <c r="F221" s="2748">
        <v>456</v>
      </c>
      <c r="G221" s="2479" t="str">
        <f t="shared" si="6"/>
        <v>2023 Cluster Study Applications C3APPS</v>
      </c>
    </row>
    <row r="222" spans="1:7" ht="15" customHeight="1" x14ac:dyDescent="0.2">
      <c r="A222" s="2749">
        <f t="shared" si="7"/>
        <v>38.135999999999683</v>
      </c>
      <c r="B222" s="2512" t="s">
        <v>7281</v>
      </c>
      <c r="C222" s="2530">
        <v>3539</v>
      </c>
      <c r="D222" s="2747">
        <v>561.70000000000005</v>
      </c>
      <c r="E222" s="2530">
        <v>3539</v>
      </c>
      <c r="F222" s="2748">
        <v>456</v>
      </c>
      <c r="G222" s="2479" t="str">
        <f t="shared" si="6"/>
        <v>Cluster 1 Restudy Area 6</v>
      </c>
    </row>
    <row r="223" spans="1:7" ht="15" customHeight="1" x14ac:dyDescent="0.2">
      <c r="A223" s="2749">
        <f t="shared" si="7"/>
        <v>38.136999999999681</v>
      </c>
      <c r="B223" s="2512" t="s">
        <v>7282</v>
      </c>
      <c r="C223" s="2530">
        <v>7366</v>
      </c>
      <c r="D223" s="2747">
        <v>561.70000000000005</v>
      </c>
      <c r="E223" s="2530">
        <v>7366</v>
      </c>
      <c r="F223" s="2748">
        <v>456</v>
      </c>
      <c r="G223" s="2479" t="str">
        <f t="shared" si="6"/>
        <v>Cluster 2 Cluster Area 1 Restudy C2REA1</v>
      </c>
    </row>
    <row r="224" spans="1:7" ht="15" customHeight="1" x14ac:dyDescent="0.2">
      <c r="A224" s="2749">
        <f t="shared" si="7"/>
        <v>38.137999999999678</v>
      </c>
      <c r="B224" s="2512" t="s">
        <v>7283</v>
      </c>
      <c r="C224" s="2530">
        <v>4448</v>
      </c>
      <c r="D224" s="2747">
        <v>561.70000000000005</v>
      </c>
      <c r="E224" s="2530">
        <v>4448</v>
      </c>
      <c r="F224" s="2748">
        <v>456</v>
      </c>
      <c r="G224" s="2479" t="str">
        <f t="shared" si="6"/>
        <v>Cluster 2 Cluster Area 2 Restudy C2REA2</v>
      </c>
    </row>
    <row r="225" spans="1:7" ht="15" customHeight="1" x14ac:dyDescent="0.2">
      <c r="A225" s="2749">
        <f t="shared" si="7"/>
        <v>38.138999999999676</v>
      </c>
      <c r="B225" s="2512" t="s">
        <v>7284</v>
      </c>
      <c r="C225" s="2530">
        <v>6446</v>
      </c>
      <c r="D225" s="2747">
        <v>561.70000000000005</v>
      </c>
      <c r="E225" s="2530">
        <v>6446</v>
      </c>
      <c r="F225" s="2748">
        <v>456</v>
      </c>
      <c r="G225" s="2479" t="str">
        <f t="shared" si="6"/>
        <v>Cluster 2 Cluster Area 4 Restudy C2REA4</v>
      </c>
    </row>
    <row r="226" spans="1:7" ht="15" customHeight="1" x14ac:dyDescent="0.2">
      <c r="A226" s="2749">
        <f t="shared" si="7"/>
        <v>38.139999999999674</v>
      </c>
      <c r="B226" s="2512" t="s">
        <v>7285</v>
      </c>
      <c r="C226" s="2530">
        <v>11702</v>
      </c>
      <c r="D226" s="2747">
        <v>561.70000000000005</v>
      </c>
      <c r="E226" s="2530">
        <v>11702</v>
      </c>
      <c r="F226" s="2748">
        <v>456</v>
      </c>
      <c r="G226" s="2479" t="str">
        <f t="shared" si="6"/>
        <v>Cluster 2 Cluster Area 6 Restudy C2REA6</v>
      </c>
    </row>
    <row r="227" spans="1:7" ht="15" customHeight="1" x14ac:dyDescent="0.2">
      <c r="A227" s="2749">
        <f t="shared" si="7"/>
        <v>38.140999999999671</v>
      </c>
      <c r="B227" s="2512" t="s">
        <v>7286</v>
      </c>
      <c r="C227" s="2530">
        <v>20206</v>
      </c>
      <c r="D227" s="2747">
        <v>561.70000000000005</v>
      </c>
      <c r="E227" s="2530">
        <v>20206</v>
      </c>
      <c r="F227" s="2748">
        <v>456</v>
      </c>
      <c r="G227" s="2479" t="str">
        <f t="shared" si="6"/>
        <v>Cluster 2 Cluster Area 7 Restudy C2REA7</v>
      </c>
    </row>
    <row r="228" spans="1:7" ht="15" customHeight="1" x14ac:dyDescent="0.2">
      <c r="A228" s="2749">
        <f t="shared" si="7"/>
        <v>38.141999999999669</v>
      </c>
      <c r="B228" s="2512" t="s">
        <v>7287</v>
      </c>
      <c r="C228" s="2530">
        <v>30420</v>
      </c>
      <c r="D228" s="2747">
        <v>561.70000000000005</v>
      </c>
      <c r="E228" s="2530">
        <v>30420</v>
      </c>
      <c r="F228" s="2748">
        <v>456</v>
      </c>
      <c r="G228" s="2479" t="str">
        <f t="shared" si="6"/>
        <v>Cluster 2 Cluster Area 9 Restudy C2REA9</v>
      </c>
    </row>
    <row r="229" spans="1:7" ht="15" customHeight="1" x14ac:dyDescent="0.2">
      <c r="A229" s="2749">
        <f t="shared" si="7"/>
        <v>38.142999999999667</v>
      </c>
      <c r="B229" s="2512" t="s">
        <v>7288</v>
      </c>
      <c r="C229" s="2530">
        <v>11933</v>
      </c>
      <c r="D229" s="2747">
        <v>561.70000000000005</v>
      </c>
      <c r="E229" s="2530">
        <v>11933</v>
      </c>
      <c r="F229" s="2748">
        <v>456</v>
      </c>
      <c r="G229" s="2479" t="str">
        <f t="shared" si="6"/>
        <v>Cluster2 Cluster Area 12 Restudy C2REA12</v>
      </c>
    </row>
    <row r="230" spans="1:7" ht="15" customHeight="1" x14ac:dyDescent="0.2">
      <c r="A230" s="2749">
        <f t="shared" si="7"/>
        <v>38.143999999999664</v>
      </c>
      <c r="B230" s="2512" t="s">
        <v>7289</v>
      </c>
      <c r="C230" s="2530">
        <v>8885</v>
      </c>
      <c r="D230" s="2747">
        <v>561.70000000000005</v>
      </c>
      <c r="E230" s="2530">
        <v>8885</v>
      </c>
      <c r="F230" s="2748">
        <v>456</v>
      </c>
      <c r="G230" s="2479" t="str">
        <f t="shared" si="6"/>
        <v>Cluster2 Cluster Area 13 Restudy C2REA13</v>
      </c>
    </row>
    <row r="231" spans="1:7" ht="15" customHeight="1" x14ac:dyDescent="0.2">
      <c r="A231" s="2749">
        <f t="shared" si="7"/>
        <v>38.144999999999662</v>
      </c>
      <c r="B231" s="2512" t="s">
        <v>7290</v>
      </c>
      <c r="C231" s="2530">
        <v>15434</v>
      </c>
      <c r="D231" s="2747">
        <v>561.70000000000005</v>
      </c>
      <c r="E231" s="2530">
        <v>15434</v>
      </c>
      <c r="F231" s="2748">
        <v>456</v>
      </c>
      <c r="G231" s="2479" t="str">
        <f t="shared" si="6"/>
        <v>Cluster2 Cluster Area 14 Restudy C2REA14</v>
      </c>
    </row>
    <row r="232" spans="1:7" ht="15" customHeight="1" x14ac:dyDescent="0.2">
      <c r="A232" s="2749">
        <f t="shared" si="7"/>
        <v>38.14599999999966</v>
      </c>
      <c r="B232" s="2512" t="s">
        <v>7291</v>
      </c>
      <c r="C232" s="2530">
        <v>19273</v>
      </c>
      <c r="D232" s="2747">
        <v>561.70000000000005</v>
      </c>
      <c r="E232" s="2530">
        <v>19273</v>
      </c>
      <c r="F232" s="2748">
        <v>456</v>
      </c>
      <c r="G232" s="2479" t="str">
        <f t="shared" si="6"/>
        <v>Cluster2 Cluster Area 15 Restudy C2REA15</v>
      </c>
    </row>
    <row r="233" spans="1:7" ht="15" customHeight="1" x14ac:dyDescent="0.2">
      <c r="A233" s="2749">
        <f t="shared" si="7"/>
        <v>38.146999999999657</v>
      </c>
      <c r="B233" s="2512" t="s">
        <v>7292</v>
      </c>
      <c r="C233" s="2530">
        <v>33632</v>
      </c>
      <c r="D233" s="2747">
        <v>561.70000000000005</v>
      </c>
      <c r="E233" s="2530">
        <v>33632</v>
      </c>
      <c r="F233" s="2748">
        <v>456</v>
      </c>
      <c r="G233" s="2479" t="str">
        <f t="shared" si="6"/>
        <v>Cluster2 Cluster Area 16 Restudy C2REA16</v>
      </c>
    </row>
    <row r="234" spans="1:7" ht="15" customHeight="1" x14ac:dyDescent="0.2">
      <c r="A234" s="2749">
        <f t="shared" si="7"/>
        <v>38.147999999999655</v>
      </c>
      <c r="B234" s="2512" t="s">
        <v>7293</v>
      </c>
      <c r="C234" s="2530">
        <v>24772</v>
      </c>
      <c r="D234" s="2747">
        <v>561.70000000000005</v>
      </c>
      <c r="E234" s="2530">
        <v>24772</v>
      </c>
      <c r="F234" s="2748">
        <v>456</v>
      </c>
      <c r="G234" s="2479" t="str">
        <f t="shared" si="6"/>
        <v>Cluster2 Cluster Area 18 Restudy C2REA18</v>
      </c>
    </row>
    <row r="235" spans="1:7" ht="15" customHeight="1" x14ac:dyDescent="0.2">
      <c r="A235" s="2749">
        <f t="shared" si="7"/>
        <v>38.148999999999653</v>
      </c>
      <c r="B235" s="2512" t="s">
        <v>7294</v>
      </c>
      <c r="C235" s="2530">
        <v>1195</v>
      </c>
      <c r="D235" s="2747">
        <v>561.70000000000005</v>
      </c>
      <c r="E235" s="2530">
        <v>1195</v>
      </c>
      <c r="F235" s="2748">
        <v>456</v>
      </c>
      <c r="G235" s="2479" t="str">
        <f t="shared" si="6"/>
        <v>Cluster2 Cluster Area 19 Restudy C2REA19</v>
      </c>
    </row>
    <row r="236" spans="1:7" ht="15" customHeight="1" x14ac:dyDescent="0.2">
      <c r="A236" s="2749">
        <f t="shared" si="7"/>
        <v>38.14999999999965</v>
      </c>
      <c r="B236" s="2512" t="s">
        <v>7295</v>
      </c>
      <c r="C236" s="2530">
        <v>116667</v>
      </c>
      <c r="D236" s="2747">
        <v>561.70000000000005</v>
      </c>
      <c r="E236" s="2530">
        <v>116667</v>
      </c>
      <c r="F236" s="2748">
        <v>456</v>
      </c>
      <c r="G236" s="2479" t="str">
        <f t="shared" si="6"/>
        <v>Cluster2 Cluster Area 20 Restudy C2REA20</v>
      </c>
    </row>
    <row r="237" spans="1:7" ht="15" customHeight="1" x14ac:dyDescent="0.2">
      <c r="A237" s="2749">
        <f t="shared" si="7"/>
        <v>38.150999999999648</v>
      </c>
      <c r="B237" s="2512" t="s">
        <v>7296</v>
      </c>
      <c r="C237" s="2530">
        <v>6806</v>
      </c>
      <c r="D237" s="2747">
        <v>561.70000000000005</v>
      </c>
      <c r="E237" s="2530">
        <v>6806</v>
      </c>
      <c r="F237" s="2748">
        <v>456</v>
      </c>
      <c r="G237" s="2479" t="str">
        <f t="shared" si="6"/>
        <v>Cluster2 Cluster Area 24 Restudy C2REA24</v>
      </c>
    </row>
    <row r="238" spans="1:7" ht="15" customHeight="1" x14ac:dyDescent="0.2">
      <c r="A238" s="2749">
        <f t="shared" si="7"/>
        <v>38.151999999999646</v>
      </c>
      <c r="B238" s="2512" t="s">
        <v>7297</v>
      </c>
      <c r="C238" s="2530">
        <v>251</v>
      </c>
      <c r="D238" s="2747">
        <v>561.70000000000005</v>
      </c>
      <c r="E238" s="2530">
        <v>251</v>
      </c>
      <c r="F238" s="2748">
        <v>456</v>
      </c>
      <c r="G238" s="2479" t="str">
        <f t="shared" si="6"/>
        <v>C2 Cluster Area 7 Restudy 2 C2REA7.2</v>
      </c>
    </row>
    <row r="239" spans="1:7" ht="15" customHeight="1" x14ac:dyDescent="0.2">
      <c r="A239" s="2749">
        <f t="shared" si="7"/>
        <v>38.152999999999643</v>
      </c>
      <c r="B239" s="2512" t="s">
        <v>7298</v>
      </c>
      <c r="C239" s="2530">
        <v>4424</v>
      </c>
      <c r="D239" s="2747">
        <v>561.70000000000005</v>
      </c>
      <c r="E239" s="2530">
        <v>4424</v>
      </c>
      <c r="F239" s="2748">
        <v>456</v>
      </c>
      <c r="G239" s="2479" t="str">
        <f t="shared" si="6"/>
        <v>C2 Cluster Area 8 Restudy C2REA8</v>
      </c>
    </row>
    <row r="240" spans="1:7" ht="15" customHeight="1" x14ac:dyDescent="0.2">
      <c r="A240" s="2749">
        <f t="shared" si="7"/>
        <v>38.153999999999641</v>
      </c>
      <c r="B240" s="2512" t="s">
        <v>7299</v>
      </c>
      <c r="C240" s="2530">
        <v>376</v>
      </c>
      <c r="D240" s="2747">
        <v>561.70000000000005</v>
      </c>
      <c r="E240" s="2530">
        <v>376</v>
      </c>
      <c r="F240" s="2748">
        <v>456</v>
      </c>
      <c r="G240" s="2479" t="str">
        <f t="shared" si="6"/>
        <v>C2 Cluster Area 9 Restudy 2 C2REA9.2</v>
      </c>
    </row>
    <row r="241" spans="1:7" ht="15" customHeight="1" x14ac:dyDescent="0.2">
      <c r="A241" s="2749">
        <f t="shared" si="7"/>
        <v>38.154999999999639</v>
      </c>
      <c r="B241" s="2512" t="s">
        <v>7300</v>
      </c>
      <c r="C241" s="2530">
        <v>84</v>
      </c>
      <c r="D241" s="2747">
        <v>561.70000000000005</v>
      </c>
      <c r="E241" s="2530">
        <v>84</v>
      </c>
      <c r="F241" s="2748">
        <v>456</v>
      </c>
      <c r="G241" s="2479" t="str">
        <f t="shared" si="6"/>
        <v>C2 Cluster Area 14 Restudy 2 C2REA14.2</v>
      </c>
    </row>
    <row r="242" spans="1:7" ht="15" customHeight="1" x14ac:dyDescent="0.2">
      <c r="A242" s="2749">
        <f t="shared" si="7"/>
        <v>38.155999999999636</v>
      </c>
      <c r="B242" s="2512" t="s">
        <v>7301</v>
      </c>
      <c r="C242" s="2530">
        <v>84</v>
      </c>
      <c r="D242" s="2747">
        <v>561.70000000000005</v>
      </c>
      <c r="E242" s="2530">
        <v>84</v>
      </c>
      <c r="F242" s="2748">
        <v>456</v>
      </c>
      <c r="G242" s="2479" t="str">
        <f t="shared" si="6"/>
        <v>C2 Cluster Area 16 Restudy 2 C2REA16.2</v>
      </c>
    </row>
    <row r="243" spans="1:7" ht="15" customHeight="1" x14ac:dyDescent="0.2">
      <c r="A243" s="2749">
        <f t="shared" si="7"/>
        <v>38.156999999999634</v>
      </c>
      <c r="B243" s="2512" t="s">
        <v>7302</v>
      </c>
      <c r="C243" s="2530">
        <v>285865</v>
      </c>
      <c r="D243" s="2747">
        <v>561.70000000000005</v>
      </c>
      <c r="E243" s="2530">
        <v>0</v>
      </c>
      <c r="F243" s="2489"/>
      <c r="G243" s="2479" t="str">
        <f t="shared" si="6"/>
        <v>Cluster 3 Study Report Production C3RP -A</v>
      </c>
    </row>
    <row r="244" spans="1:7" ht="15" customHeight="1" x14ac:dyDescent="0.2">
      <c r="A244" s="2749">
        <f t="shared" si="7"/>
        <v>38.157999999999632</v>
      </c>
      <c r="B244" s="2512" t="s">
        <v>7303</v>
      </c>
      <c r="C244" s="2530">
        <v>714212</v>
      </c>
      <c r="D244" s="2747">
        <v>561.70000000000005</v>
      </c>
      <c r="E244" s="2530">
        <v>714212</v>
      </c>
      <c r="F244" s="2748">
        <v>456</v>
      </c>
      <c r="G244" s="2479" t="str">
        <f t="shared" si="6"/>
        <v>Cluster 3 Study Report Production C3RP -B</v>
      </c>
    </row>
    <row r="245" spans="1:7" ht="15" customHeight="1" x14ac:dyDescent="0.2">
      <c r="A245" s="2749">
        <f t="shared" si="7"/>
        <v>38.158999999999629</v>
      </c>
      <c r="B245" s="2512" t="s">
        <v>7304</v>
      </c>
      <c r="C245" s="2530">
        <v>6457</v>
      </c>
      <c r="D245" s="2747">
        <v>561.70000000000005</v>
      </c>
      <c r="E245" s="2530">
        <v>0</v>
      </c>
      <c r="F245" s="2489"/>
      <c r="G245" s="2479" t="str">
        <f t="shared" si="6"/>
        <v>ESM Cluster 1 Study Costs</v>
      </c>
    </row>
    <row r="246" spans="1:7" ht="15" customHeight="1" x14ac:dyDescent="0.2">
      <c r="A246" s="2749">
        <f t="shared" si="7"/>
        <v>38.159999999999627</v>
      </c>
      <c r="B246" s="2512" t="s">
        <v>7305</v>
      </c>
      <c r="C246" s="2530">
        <v>75778</v>
      </c>
      <c r="D246" s="2747">
        <v>561.70000000000005</v>
      </c>
      <c r="E246" s="2530">
        <v>0</v>
      </c>
      <c r="F246" s="2489"/>
      <c r="G246" s="2479" t="str">
        <f t="shared" si="6"/>
        <v>ESM Cluster Study 2 -A</v>
      </c>
    </row>
    <row r="247" spans="1:7" ht="15" customHeight="1" x14ac:dyDescent="0.2">
      <c r="A247" s="2749">
        <f t="shared" si="7"/>
        <v>38.160999999999625</v>
      </c>
      <c r="B247" s="2512" t="s">
        <v>7306</v>
      </c>
      <c r="C247" s="2530">
        <v>376049</v>
      </c>
      <c r="D247" s="2747">
        <v>561.70000000000005</v>
      </c>
      <c r="E247" s="2530">
        <v>0</v>
      </c>
      <c r="F247" s="2489"/>
      <c r="G247" s="2479" t="str">
        <f t="shared" si="6"/>
        <v>ESM Cluster Study 2 -B</v>
      </c>
    </row>
    <row r="248" spans="1:7" ht="15" customHeight="1" x14ac:dyDescent="0.2">
      <c r="A248" s="2749">
        <f t="shared" si="7"/>
        <v>38.161999999999622</v>
      </c>
      <c r="B248" s="2512" t="s">
        <v>7307</v>
      </c>
      <c r="C248" s="2530">
        <v>439</v>
      </c>
      <c r="D248" s="2747">
        <v>561.70000000000005</v>
      </c>
      <c r="E248" s="2530">
        <v>0</v>
      </c>
      <c r="F248" s="2489"/>
      <c r="G248" s="2479" t="str">
        <f t="shared" si="6"/>
        <v>ESM Gen Clearing Order</v>
      </c>
    </row>
    <row r="249" spans="1:7" ht="15" customHeight="1" x14ac:dyDescent="0.2">
      <c r="A249" s="2749">
        <f t="shared" si="7"/>
        <v>38.16299999999962</v>
      </c>
      <c r="B249" s="2512" t="s">
        <v>7308</v>
      </c>
      <c r="C249" s="2530">
        <v>4240</v>
      </c>
      <c r="D249" s="2747">
        <v>561.70000000000005</v>
      </c>
      <c r="E249" s="2530">
        <v>4240</v>
      </c>
      <c r="F249" s="2748">
        <v>456</v>
      </c>
      <c r="G249" s="2479" t="str">
        <f t="shared" si="6"/>
        <v>Pre-Application Studies - East</v>
      </c>
    </row>
    <row r="250" spans="1:7" ht="15" customHeight="1" x14ac:dyDescent="0.2">
      <c r="A250" s="2749">
        <f t="shared" si="7"/>
        <v>38.163999999999618</v>
      </c>
      <c r="B250" s="2512" t="s">
        <v>7309</v>
      </c>
      <c r="C250" s="2530">
        <v>10408</v>
      </c>
      <c r="D250" s="2747">
        <v>561.70000000000005</v>
      </c>
      <c r="E250" s="2530">
        <v>10408</v>
      </c>
      <c r="F250" s="2748">
        <v>456</v>
      </c>
      <c r="G250" s="2479" t="str">
        <f t="shared" si="6"/>
        <v>Pre-Application Studies - West</v>
      </c>
    </row>
    <row r="251" spans="1:7" ht="15" customHeight="1" x14ac:dyDescent="0.2">
      <c r="A251" s="2749">
        <f t="shared" si="7"/>
        <v>38.164999999999615</v>
      </c>
      <c r="B251" s="2512" t="s">
        <v>7310</v>
      </c>
      <c r="C251" s="2530">
        <v>-501</v>
      </c>
      <c r="D251" s="2747">
        <v>561.70000000000005</v>
      </c>
      <c r="E251" s="2530">
        <v>-502</v>
      </c>
      <c r="F251" s="2748">
        <v>456</v>
      </c>
      <c r="G251" s="2479" t="str">
        <f t="shared" si="6"/>
        <v>Adjustment</v>
      </c>
    </row>
    <row r="252" spans="1:7" ht="15" customHeight="1" x14ac:dyDescent="0.2">
      <c r="A252" s="2749">
        <f t="shared" si="7"/>
        <v>38.165999999999613</v>
      </c>
      <c r="B252" s="2488"/>
      <c r="C252" s="2488"/>
      <c r="D252" s="2489"/>
      <c r="E252" s="2488"/>
      <c r="F252" s="2489"/>
      <c r="G252" s="2479"/>
    </row>
    <row r="253" spans="1:7" ht="15" customHeight="1" x14ac:dyDescent="0.2">
      <c r="A253" s="2749">
        <f t="shared" si="7"/>
        <v>38.166999999999611</v>
      </c>
      <c r="B253" s="2488"/>
      <c r="C253" s="2488"/>
      <c r="D253" s="2489"/>
      <c r="E253" s="2488"/>
      <c r="F253" s="2489"/>
      <c r="G253" s="2479"/>
    </row>
    <row r="254" spans="1:7" ht="15" customHeight="1" x14ac:dyDescent="0.2">
      <c r="A254" s="2497">
        <v>39</v>
      </c>
      <c r="B254" s="2488" t="s">
        <v>7311</v>
      </c>
      <c r="C254" s="2736">
        <f>SUM(C70:C251)</f>
        <v>2372399</v>
      </c>
      <c r="D254" s="2754"/>
      <c r="E254" s="2736">
        <f>SUM(E70:E251)</f>
        <v>1585758</v>
      </c>
      <c r="F254" s="2754"/>
      <c r="G254" s="2479" t="str">
        <f>B254</f>
        <v>Generation Studies Total</v>
      </c>
    </row>
    <row r="255" spans="1:7" ht="15" customHeight="1" x14ac:dyDescent="0.2">
      <c r="A255" s="2497">
        <v>40</v>
      </c>
      <c r="B255" s="2488" t="s">
        <v>1342</v>
      </c>
      <c r="C255" s="2736">
        <f>C68+C254</f>
        <v>2531705</v>
      </c>
      <c r="D255" s="2754"/>
      <c r="E255" s="2736">
        <f>E68+E254</f>
        <v>1635191</v>
      </c>
      <c r="F255" s="2754"/>
      <c r="G255" s="2479" t="str">
        <f>B255</f>
        <v>Grand Total</v>
      </c>
    </row>
    <row r="256" spans="1:7" x14ac:dyDescent="0.2">
      <c r="A256" s="2608"/>
      <c r="B256" s="2608"/>
      <c r="C256" s="2608"/>
      <c r="D256" s="2608"/>
      <c r="E256" s="2608"/>
      <c r="F256" s="2608"/>
    </row>
  </sheetData>
  <mergeCells count="2">
    <mergeCell ref="A2:F2"/>
    <mergeCell ref="A3:F3"/>
  </mergeCells>
  <pageMargins left="0.75" right="0.75" top="1" bottom="1" header="0.5" footer="0.5"/>
  <customProperties>
    <customPr name="_pios_id" r:id="rId1"/>
  </customProperties>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44C761-1252-4A73-BF43-E7C9E39CD5B0}">
  <sheetPr codeName="Sheet55"/>
  <dimension ref="A1:W115"/>
  <sheetViews>
    <sheetView workbookViewId="0">
      <pane xSplit="1" ySplit="8" topLeftCell="B9" activePane="bottomRight" state="frozen"/>
      <selection activeCell="C1" sqref="C1"/>
      <selection pane="topRight" activeCell="C1" sqref="C1"/>
      <selection pane="bottomLeft" activeCell="C1" sqref="C1"/>
      <selection pane="bottomRight" activeCell="C1" sqref="C1"/>
    </sheetView>
  </sheetViews>
  <sheetFormatPr defaultColWidth="11.5" defaultRowHeight="12.75" x14ac:dyDescent="0.2"/>
  <cols>
    <col min="1" max="1" width="7" style="1953" customWidth="1"/>
    <col min="2" max="2" width="52.125" style="1953" customWidth="1"/>
    <col min="3" max="4" width="15.125" style="1953" customWidth="1"/>
    <col min="5" max="5" width="23.5" style="1953" customWidth="1"/>
    <col min="6" max="7" width="15.125" style="1953" customWidth="1"/>
    <col min="8" max="8" width="44.125" style="1953" customWidth="1"/>
    <col min="9" max="9" width="17.625" style="1953" customWidth="1"/>
    <col min="10" max="10" width="17.625" style="1953" hidden="1" customWidth="1"/>
    <col min="11" max="11" width="4.875" style="1953" hidden="1" customWidth="1"/>
    <col min="12" max="12" width="34.25" style="1953" hidden="1" customWidth="1"/>
    <col min="13" max="23" width="17.625" style="1953" hidden="1" customWidth="1"/>
    <col min="24" max="26" width="17.625" style="1953" customWidth="1"/>
    <col min="27" max="16384" width="11.5" style="1953"/>
  </cols>
  <sheetData>
    <row r="1" spans="1:23" ht="15.75" customHeight="1" x14ac:dyDescent="0.2">
      <c r="B1" s="2755" t="s">
        <v>5937</v>
      </c>
      <c r="K1" s="2578"/>
      <c r="L1" s="2578"/>
      <c r="M1" s="2482"/>
      <c r="N1" s="2482"/>
      <c r="O1" s="2482"/>
      <c r="P1" s="2482"/>
      <c r="Q1" s="2482"/>
      <c r="R1" s="2482"/>
      <c r="S1" s="2482"/>
      <c r="T1" s="2482"/>
      <c r="U1" s="2482"/>
      <c r="V1" s="2482"/>
      <c r="W1" s="2482"/>
    </row>
    <row r="2" spans="1:23" ht="15" customHeight="1" x14ac:dyDescent="0.2">
      <c r="J2" s="2577"/>
      <c r="K2" s="2578"/>
      <c r="L2" s="2578"/>
      <c r="M2" s="2482"/>
      <c r="N2" s="2482"/>
      <c r="O2" s="2482"/>
      <c r="P2" s="2482"/>
      <c r="Q2" s="2482"/>
      <c r="R2" s="2482"/>
      <c r="S2" s="2482"/>
      <c r="T2" s="2482"/>
      <c r="U2" s="2482"/>
      <c r="V2" s="2482"/>
      <c r="W2" s="2482"/>
    </row>
    <row r="3" spans="1:23" ht="15.75" customHeight="1" x14ac:dyDescent="0.2">
      <c r="A3" s="3882" t="s">
        <v>7312</v>
      </c>
      <c r="B3" s="3883"/>
      <c r="C3" s="3883"/>
      <c r="D3" s="3883"/>
      <c r="E3" s="3883"/>
      <c r="F3" s="3883"/>
      <c r="G3" s="3884"/>
      <c r="H3" s="2479"/>
      <c r="J3" s="2579"/>
      <c r="K3" s="2578"/>
      <c r="L3" s="2578"/>
      <c r="M3" s="2482"/>
      <c r="N3" s="2482"/>
      <c r="O3" s="2482"/>
      <c r="P3" s="2482"/>
      <c r="Q3" s="2482"/>
      <c r="R3" s="2482"/>
      <c r="S3" s="2482"/>
      <c r="T3" s="2482"/>
      <c r="U3" s="2482"/>
      <c r="V3" s="2482"/>
      <c r="W3" s="2482"/>
    </row>
    <row r="4" spans="1:23" ht="42.6" customHeight="1" x14ac:dyDescent="0.2">
      <c r="A4" s="3894" t="s">
        <v>7313</v>
      </c>
      <c r="B4" s="3883"/>
      <c r="C4" s="3883"/>
      <c r="D4" s="3883"/>
      <c r="E4" s="3883"/>
      <c r="F4" s="3883"/>
      <c r="G4" s="3884"/>
      <c r="H4" s="2479"/>
      <c r="J4" s="2756" t="s">
        <v>6320</v>
      </c>
      <c r="K4" s="3960" t="s">
        <v>5938</v>
      </c>
      <c r="L4" s="3960"/>
      <c r="M4" s="2482"/>
      <c r="N4" s="2482"/>
      <c r="O4" s="2482"/>
      <c r="P4" s="2482"/>
      <c r="Q4" s="2482"/>
      <c r="R4" s="2482"/>
      <c r="S4" s="2482"/>
      <c r="T4" s="2482"/>
      <c r="U4" s="2482"/>
      <c r="V4" s="2482"/>
      <c r="W4" s="2482"/>
    </row>
    <row r="5" spans="1:23" ht="19.149999999999999" customHeight="1" x14ac:dyDescent="0.2">
      <c r="A5" s="3922" t="s">
        <v>6466</v>
      </c>
      <c r="B5" s="3922" t="s">
        <v>7314</v>
      </c>
      <c r="C5" s="3922" t="s">
        <v>7315</v>
      </c>
      <c r="D5" s="3922" t="s">
        <v>7316</v>
      </c>
      <c r="E5" s="3882" t="s">
        <v>7317</v>
      </c>
      <c r="F5" s="3892"/>
      <c r="G5" s="3922" t="s">
        <v>7318</v>
      </c>
      <c r="H5" s="2479"/>
      <c r="J5" s="2611"/>
      <c r="K5" s="2578"/>
      <c r="L5" s="2578"/>
      <c r="M5" s="2482"/>
      <c r="N5" s="2482"/>
      <c r="O5" s="2482"/>
      <c r="P5" s="2482"/>
      <c r="Q5" s="2482"/>
      <c r="R5" s="2482"/>
      <c r="S5" s="2482"/>
      <c r="T5" s="2482"/>
      <c r="U5" s="2482"/>
      <c r="V5" s="2482"/>
      <c r="W5" s="2482"/>
    </row>
    <row r="6" spans="1:23" ht="23.25" customHeight="1" x14ac:dyDescent="0.2">
      <c r="A6" s="3961"/>
      <c r="B6" s="3961"/>
      <c r="C6" s="3961"/>
      <c r="D6" s="3961"/>
      <c r="E6" s="2487" t="s">
        <v>7319</v>
      </c>
      <c r="F6" s="2487" t="s">
        <v>7320</v>
      </c>
      <c r="G6" s="3961"/>
      <c r="H6" s="2479"/>
      <c r="J6" s="2611"/>
      <c r="K6" s="2578"/>
      <c r="L6" s="2578"/>
      <c r="M6" s="2482"/>
      <c r="N6" s="2482"/>
      <c r="O6" s="2482"/>
      <c r="P6" s="2482"/>
      <c r="Q6" s="2482"/>
      <c r="R6" s="2482"/>
      <c r="S6" s="2482"/>
      <c r="T6" s="2482"/>
      <c r="U6" s="2482"/>
      <c r="V6" s="2482"/>
      <c r="W6" s="2482"/>
    </row>
    <row r="7" spans="1:23" ht="15.75" customHeight="1" x14ac:dyDescent="0.2">
      <c r="A7" s="2488"/>
      <c r="B7" s="2492" t="s">
        <v>5949</v>
      </c>
      <c r="C7" s="2492" t="s">
        <v>5950</v>
      </c>
      <c r="D7" s="2492" t="s">
        <v>5951</v>
      </c>
      <c r="E7" s="2492" t="s">
        <v>5952</v>
      </c>
      <c r="F7" s="2492" t="s">
        <v>6227</v>
      </c>
      <c r="G7" s="2489" t="s">
        <v>5804</v>
      </c>
      <c r="H7" s="2479" t="s">
        <v>6324</v>
      </c>
      <c r="J7" s="2577"/>
      <c r="K7" s="2578"/>
      <c r="L7" s="2578"/>
      <c r="M7" s="2482"/>
      <c r="N7" s="2482"/>
      <c r="O7" s="2482"/>
      <c r="P7" s="2482"/>
      <c r="Q7" s="2482"/>
      <c r="R7" s="2482"/>
      <c r="S7" s="2482"/>
      <c r="T7" s="2482"/>
      <c r="U7" s="2482"/>
      <c r="V7" s="2482"/>
      <c r="W7" s="2482"/>
    </row>
    <row r="8" spans="1:23" ht="23.25" customHeight="1" x14ac:dyDescent="0.2">
      <c r="A8" s="2488"/>
      <c r="B8" s="2489"/>
      <c r="C8" s="2544">
        <v>44926</v>
      </c>
      <c r="D8" s="2489"/>
      <c r="E8" s="2489"/>
      <c r="F8" s="2489"/>
      <c r="G8" s="2544">
        <v>45291</v>
      </c>
      <c r="H8" s="2479"/>
      <c r="J8" s="2579"/>
      <c r="K8" s="2578" t="s">
        <v>6133</v>
      </c>
      <c r="L8" s="2578" t="s">
        <v>231</v>
      </c>
      <c r="M8" s="2578" t="s">
        <v>7321</v>
      </c>
      <c r="N8" s="2578" t="s">
        <v>7321</v>
      </c>
      <c r="O8" s="2482"/>
      <c r="P8" s="2482"/>
      <c r="Q8" s="2482"/>
      <c r="R8" s="2482"/>
      <c r="S8" s="2482"/>
      <c r="T8" s="2482"/>
      <c r="U8" s="2482"/>
      <c r="V8" s="2482"/>
      <c r="W8" s="2482"/>
    </row>
    <row r="9" spans="1:23" ht="15.75" customHeight="1" x14ac:dyDescent="0.2">
      <c r="A9" s="2758" t="s">
        <v>6139</v>
      </c>
      <c r="B9" s="2759" t="s">
        <v>7322</v>
      </c>
      <c r="C9" s="2530">
        <v>72243</v>
      </c>
      <c r="D9" s="2488"/>
      <c r="E9" s="2760">
        <v>908</v>
      </c>
      <c r="F9" s="2530">
        <v>72243</v>
      </c>
      <c r="G9" s="2530">
        <v>0</v>
      </c>
      <c r="H9" s="2479" t="str">
        <f t="shared" ref="H9:H72" si="0">B9</f>
        <v>DSM Balancing Account - CA</v>
      </c>
      <c r="J9" s="2579"/>
      <c r="K9" s="2613" t="s">
        <v>6139</v>
      </c>
      <c r="L9" s="2511" t="s">
        <v>7323</v>
      </c>
      <c r="M9" s="2507">
        <v>162688</v>
      </c>
      <c r="N9" s="2507">
        <v>162688</v>
      </c>
      <c r="O9" s="2482"/>
      <c r="P9" s="2482"/>
      <c r="Q9" s="2482"/>
      <c r="R9" s="2482"/>
      <c r="S9" s="2482"/>
      <c r="T9" s="2482"/>
      <c r="U9" s="2482"/>
      <c r="V9" s="2482"/>
      <c r="W9" s="2482"/>
    </row>
    <row r="10" spans="1:23" ht="15.75" customHeight="1" x14ac:dyDescent="0.2">
      <c r="A10" s="2634">
        <f t="shared" ref="A10:A51" si="1">A9+1</f>
        <v>2</v>
      </c>
      <c r="B10" s="2759" t="s">
        <v>7324</v>
      </c>
      <c r="C10" s="2530">
        <v>0</v>
      </c>
      <c r="D10" s="2530">
        <v>6197273</v>
      </c>
      <c r="E10" s="2488" t="s">
        <v>7325</v>
      </c>
      <c r="F10" s="2530">
        <v>5645928</v>
      </c>
      <c r="G10" s="2530">
        <v>551345</v>
      </c>
      <c r="H10" s="2479" t="str">
        <f t="shared" si="0"/>
        <v>DSM Balancing Account - ID</v>
      </c>
      <c r="J10" s="2579"/>
      <c r="K10" s="2613" t="s">
        <v>5957</v>
      </c>
      <c r="L10" s="2511" t="s">
        <v>7326</v>
      </c>
      <c r="M10" s="2507">
        <v>183986124</v>
      </c>
      <c r="N10" s="2507">
        <v>183986124</v>
      </c>
      <c r="O10" s="2482"/>
      <c r="P10" s="2482"/>
      <c r="Q10" s="2482"/>
      <c r="R10" s="2482"/>
      <c r="S10" s="2482"/>
      <c r="T10" s="2482"/>
      <c r="U10" s="2482"/>
      <c r="V10" s="2482"/>
      <c r="W10" s="2482"/>
    </row>
    <row r="11" spans="1:23" ht="15.75" customHeight="1" x14ac:dyDescent="0.2">
      <c r="A11" s="2634">
        <f t="shared" si="1"/>
        <v>3</v>
      </c>
      <c r="B11" s="2478" t="s">
        <v>7326</v>
      </c>
      <c r="C11" s="2530">
        <v>205469306</v>
      </c>
      <c r="D11" s="2530">
        <v>56385536</v>
      </c>
      <c r="E11" s="2530">
        <v>908</v>
      </c>
      <c r="F11" s="2530">
        <v>38275913</v>
      </c>
      <c r="G11" s="2530">
        <v>223578929</v>
      </c>
      <c r="H11" s="2479" t="str">
        <f t="shared" si="0"/>
        <v>DSM Balancing Account - UT</v>
      </c>
      <c r="J11" s="2579"/>
      <c r="K11" s="2613" t="s">
        <v>5959</v>
      </c>
      <c r="L11" s="2511" t="s">
        <v>7327</v>
      </c>
      <c r="M11" s="2507">
        <v>14072867</v>
      </c>
      <c r="N11" s="2507">
        <v>14072867</v>
      </c>
      <c r="O11" s="2482"/>
      <c r="P11" s="2482"/>
      <c r="Q11" s="2482"/>
      <c r="R11" s="2482"/>
      <c r="S11" s="2482"/>
      <c r="T11" s="2482"/>
      <c r="U11" s="2482"/>
      <c r="V11" s="2482"/>
      <c r="W11" s="2482"/>
    </row>
    <row r="12" spans="1:23" ht="15.75" customHeight="1" x14ac:dyDescent="0.2">
      <c r="A12" s="2634">
        <f t="shared" si="1"/>
        <v>4</v>
      </c>
      <c r="B12" s="2478" t="s">
        <v>7327</v>
      </c>
      <c r="C12" s="2530">
        <v>18159809</v>
      </c>
      <c r="D12" s="2530">
        <v>9063927</v>
      </c>
      <c r="E12" s="2530">
        <v>908</v>
      </c>
      <c r="F12" s="2530">
        <v>6107558</v>
      </c>
      <c r="G12" s="2530">
        <v>21116178</v>
      </c>
      <c r="H12" s="2479" t="str">
        <f t="shared" si="0"/>
        <v>DSM Balancing Account - WY</v>
      </c>
      <c r="J12" s="2579"/>
      <c r="K12" s="2613" t="s">
        <v>5961</v>
      </c>
      <c r="L12" s="2511" t="s">
        <v>7328</v>
      </c>
      <c r="M12" s="2507">
        <v>170236</v>
      </c>
      <c r="N12" s="2507">
        <v>170236</v>
      </c>
      <c r="O12" s="2482"/>
      <c r="P12" s="2482"/>
      <c r="Q12" s="2482"/>
      <c r="R12" s="2482"/>
      <c r="S12" s="2482"/>
      <c r="T12" s="2482"/>
      <c r="U12" s="2482"/>
      <c r="V12" s="2482"/>
      <c r="W12" s="2482"/>
    </row>
    <row r="13" spans="1:23" ht="15.75" customHeight="1" x14ac:dyDescent="0.2">
      <c r="A13" s="2634">
        <f t="shared" si="1"/>
        <v>5</v>
      </c>
      <c r="B13" s="2761" t="s">
        <v>7329</v>
      </c>
      <c r="C13" s="2530">
        <v>478923</v>
      </c>
      <c r="D13" s="2530">
        <v>1443432</v>
      </c>
      <c r="E13" s="2530">
        <v>908</v>
      </c>
      <c r="F13" s="2530">
        <v>1901046</v>
      </c>
      <c r="G13" s="2530">
        <v>21309</v>
      </c>
      <c r="H13" s="2479" t="str">
        <f t="shared" si="0"/>
        <v>DSM Balancing Account - OR</v>
      </c>
      <c r="J13" s="2579"/>
      <c r="K13" s="2613" t="s">
        <v>5963</v>
      </c>
      <c r="L13" s="2511" t="s">
        <v>7330</v>
      </c>
      <c r="M13" s="2507">
        <v>2170797</v>
      </c>
      <c r="N13" s="2507">
        <v>2170797</v>
      </c>
      <c r="O13" s="2482"/>
      <c r="P13" s="2482"/>
      <c r="Q13" s="2482"/>
      <c r="R13" s="2482"/>
      <c r="S13" s="2482"/>
      <c r="T13" s="2482"/>
      <c r="U13" s="2482"/>
      <c r="V13" s="2482"/>
      <c r="W13" s="2482"/>
    </row>
    <row r="14" spans="1:23" ht="15.75" customHeight="1" x14ac:dyDescent="0.2">
      <c r="A14" s="2634">
        <f t="shared" si="1"/>
        <v>6</v>
      </c>
      <c r="B14" s="2762" t="s">
        <v>7330</v>
      </c>
      <c r="C14" s="2530">
        <v>8390726</v>
      </c>
      <c r="D14" s="2530">
        <v>12832349</v>
      </c>
      <c r="E14" s="2530">
        <v>555</v>
      </c>
      <c r="F14" s="2530">
        <v>2066078</v>
      </c>
      <c r="G14" s="2530">
        <v>19156997</v>
      </c>
      <c r="H14" s="2479" t="str">
        <f t="shared" si="0"/>
        <v>Deferred Excess Net Power Costs - CA</v>
      </c>
      <c r="J14" s="2579"/>
      <c r="K14" s="2613" t="s">
        <v>5965</v>
      </c>
      <c r="L14" s="2511" t="s">
        <v>7331</v>
      </c>
      <c r="M14" s="2507">
        <v>19978885</v>
      </c>
      <c r="N14" s="2507">
        <v>19978885</v>
      </c>
      <c r="O14" s="2482"/>
      <c r="P14" s="2482"/>
      <c r="Q14" s="2482"/>
      <c r="R14" s="2482"/>
      <c r="S14" s="2482"/>
      <c r="T14" s="2482"/>
      <c r="U14" s="2482"/>
      <c r="V14" s="2482"/>
      <c r="W14" s="2482"/>
    </row>
    <row r="15" spans="1:23" ht="15.75" customHeight="1" x14ac:dyDescent="0.2">
      <c r="A15" s="2634">
        <f t="shared" si="1"/>
        <v>7</v>
      </c>
      <c r="B15" s="2762" t="s">
        <v>7331</v>
      </c>
      <c r="C15" s="2530">
        <v>43831371</v>
      </c>
      <c r="D15" s="2530">
        <v>62288769</v>
      </c>
      <c r="E15" s="2530">
        <v>555</v>
      </c>
      <c r="F15" s="2763">
        <v>35381308</v>
      </c>
      <c r="G15" s="2530">
        <v>70738832</v>
      </c>
      <c r="H15" s="2479" t="str">
        <f t="shared" si="0"/>
        <v>Deferred Excess Net Power Costs - ID</v>
      </c>
      <c r="J15" s="2579"/>
      <c r="K15" s="2613" t="s">
        <v>5968</v>
      </c>
      <c r="L15" s="2511" t="s">
        <v>7332</v>
      </c>
      <c r="M15" s="2507">
        <v>1244413</v>
      </c>
      <c r="N15" s="2507">
        <v>1244413</v>
      </c>
      <c r="O15" s="2482"/>
      <c r="P15" s="2482"/>
      <c r="Q15" s="2482"/>
      <c r="R15" s="2482"/>
      <c r="S15" s="2482"/>
      <c r="T15" s="2482"/>
      <c r="U15" s="2482"/>
      <c r="V15" s="2482"/>
      <c r="W15" s="2482"/>
    </row>
    <row r="16" spans="1:23" ht="15.75" customHeight="1" x14ac:dyDescent="0.2">
      <c r="A16" s="2634">
        <f t="shared" si="1"/>
        <v>8</v>
      </c>
      <c r="B16" s="2478" t="s">
        <v>7333</v>
      </c>
      <c r="C16" s="2530">
        <v>117382439</v>
      </c>
      <c r="D16" s="2530">
        <v>156271229</v>
      </c>
      <c r="E16" s="2530">
        <v>555</v>
      </c>
      <c r="F16" s="2530">
        <v>9929695</v>
      </c>
      <c r="G16" s="2530">
        <v>263723973</v>
      </c>
      <c r="H16" s="2479" t="str">
        <f t="shared" si="0"/>
        <v>Deferred Excess Net Power Costs - OR</v>
      </c>
      <c r="J16" s="2579"/>
      <c r="K16" s="2613" t="s">
        <v>5970</v>
      </c>
      <c r="L16" s="2511" t="s">
        <v>7334</v>
      </c>
      <c r="M16" s="2507">
        <v>44754066</v>
      </c>
      <c r="N16" s="2507">
        <v>44754066</v>
      </c>
      <c r="O16" s="2482"/>
      <c r="P16" s="2482"/>
      <c r="Q16" s="2482"/>
      <c r="R16" s="2482"/>
      <c r="S16" s="2482"/>
      <c r="T16" s="2482"/>
      <c r="U16" s="2482"/>
      <c r="V16" s="2482"/>
      <c r="W16" s="2482"/>
    </row>
    <row r="17" spans="1:23" ht="15.75" customHeight="1" x14ac:dyDescent="0.2">
      <c r="A17" s="2634">
        <f t="shared" si="1"/>
        <v>9</v>
      </c>
      <c r="B17" s="2762" t="s">
        <v>7334</v>
      </c>
      <c r="C17" s="2530">
        <v>208726409</v>
      </c>
      <c r="D17" s="2530">
        <v>502263195</v>
      </c>
      <c r="E17" s="2530">
        <v>555</v>
      </c>
      <c r="F17" s="2763">
        <v>249827460</v>
      </c>
      <c r="G17" s="2530">
        <v>461162144</v>
      </c>
      <c r="H17" s="2479" t="str">
        <f t="shared" si="0"/>
        <v>Deferred Excess Net Power Costs - UT</v>
      </c>
      <c r="J17" s="2579"/>
      <c r="K17" s="2613" t="s">
        <v>5972</v>
      </c>
      <c r="L17" s="2511" t="s">
        <v>7335</v>
      </c>
      <c r="M17" s="2507">
        <v>2390277</v>
      </c>
      <c r="N17" s="2507">
        <v>2390277</v>
      </c>
      <c r="O17" s="2482"/>
      <c r="P17" s="2482"/>
      <c r="Q17" s="2482"/>
      <c r="R17" s="2482"/>
      <c r="S17" s="2482"/>
      <c r="T17" s="2482"/>
      <c r="U17" s="2482"/>
      <c r="V17" s="2482"/>
      <c r="W17" s="2482"/>
    </row>
    <row r="18" spans="1:23" ht="15.75" customHeight="1" x14ac:dyDescent="0.2">
      <c r="A18" s="2634">
        <f t="shared" si="1"/>
        <v>10</v>
      </c>
      <c r="B18" s="2762" t="s">
        <v>7336</v>
      </c>
      <c r="C18" s="2530">
        <v>83141122</v>
      </c>
      <c r="D18" s="2530">
        <v>83342631</v>
      </c>
      <c r="E18" s="2530">
        <v>555</v>
      </c>
      <c r="F18" s="2530">
        <v>14880110</v>
      </c>
      <c r="G18" s="2530">
        <v>151603643</v>
      </c>
      <c r="H18" s="2479" t="str">
        <f t="shared" si="0"/>
        <v>Deferred Excess Net Power Costs - WA</v>
      </c>
      <c r="J18" s="2579"/>
      <c r="K18" s="2613" t="s">
        <v>5974</v>
      </c>
      <c r="L18" s="2511" t="s">
        <v>7337</v>
      </c>
      <c r="M18" s="2507">
        <v>4559067</v>
      </c>
      <c r="N18" s="2507">
        <v>4559067</v>
      </c>
      <c r="O18" s="2482"/>
      <c r="P18" s="2482"/>
      <c r="Q18" s="2482"/>
      <c r="R18" s="2482"/>
      <c r="S18" s="2482"/>
      <c r="T18" s="2482"/>
      <c r="U18" s="2482"/>
      <c r="V18" s="2482"/>
      <c r="W18" s="2482"/>
    </row>
    <row r="19" spans="1:23" ht="15.75" customHeight="1" x14ac:dyDescent="0.2">
      <c r="A19" s="2634">
        <f t="shared" si="1"/>
        <v>11</v>
      </c>
      <c r="B19" s="2762" t="s">
        <v>7335</v>
      </c>
      <c r="C19" s="2530">
        <v>84484984</v>
      </c>
      <c r="D19" s="2530">
        <v>111341265</v>
      </c>
      <c r="E19" s="2530">
        <v>555</v>
      </c>
      <c r="F19" s="2530">
        <v>44985383</v>
      </c>
      <c r="G19" s="2530">
        <v>150840866</v>
      </c>
      <c r="H19" s="2479" t="str">
        <f t="shared" si="0"/>
        <v>Deferred Excess Net Power Costs - WY</v>
      </c>
      <c r="J19" s="2579"/>
      <c r="K19" s="2613" t="s">
        <v>5976</v>
      </c>
      <c r="L19" s="2511" t="s">
        <v>7338</v>
      </c>
      <c r="M19" s="2507">
        <v>369820</v>
      </c>
      <c r="N19" s="2507">
        <v>369820</v>
      </c>
      <c r="O19" s="2482"/>
      <c r="P19" s="2482"/>
      <c r="Q19" s="2482"/>
      <c r="R19" s="2482"/>
      <c r="S19" s="2482"/>
      <c r="T19" s="2482"/>
      <c r="U19" s="2482"/>
      <c r="V19" s="2482"/>
      <c r="W19" s="2482"/>
    </row>
    <row r="20" spans="1:23" ht="15.75" customHeight="1" x14ac:dyDescent="0.2">
      <c r="A20" s="2634">
        <f t="shared" si="1"/>
        <v>12</v>
      </c>
      <c r="B20" s="2720" t="s">
        <v>7339</v>
      </c>
      <c r="C20" s="2530">
        <v>0</v>
      </c>
      <c r="D20" s="2530">
        <v>891469</v>
      </c>
      <c r="E20" s="2488"/>
      <c r="F20" s="2488"/>
      <c r="G20" s="2530">
        <v>891469</v>
      </c>
      <c r="H20" s="2479" t="str">
        <f t="shared" si="0"/>
        <v>Deferred Excess RECs in Rates - WY</v>
      </c>
      <c r="J20" s="2579"/>
      <c r="K20" s="2613" t="s">
        <v>5978</v>
      </c>
      <c r="L20" s="2511" t="s">
        <v>7340</v>
      </c>
      <c r="M20" s="2507">
        <v>1251353</v>
      </c>
      <c r="N20" s="2507">
        <v>1251353</v>
      </c>
      <c r="O20" s="2482"/>
      <c r="P20" s="2482"/>
      <c r="Q20" s="2482"/>
      <c r="R20" s="2482"/>
      <c r="S20" s="2482"/>
      <c r="T20" s="2482"/>
      <c r="U20" s="2482"/>
      <c r="V20" s="2482"/>
      <c r="W20" s="2482"/>
    </row>
    <row r="21" spans="1:23" ht="15.75" customHeight="1" x14ac:dyDescent="0.2">
      <c r="A21" s="2634">
        <f t="shared" si="1"/>
        <v>13</v>
      </c>
      <c r="B21" s="2764" t="s">
        <v>7341</v>
      </c>
      <c r="C21" s="2530">
        <v>0</v>
      </c>
      <c r="D21" s="2530">
        <v>2157675</v>
      </c>
      <c r="E21" s="2530">
        <v>456</v>
      </c>
      <c r="F21" s="2530">
        <v>673510</v>
      </c>
      <c r="G21" s="2530">
        <v>1484165</v>
      </c>
      <c r="H21" s="2479" t="str">
        <f t="shared" si="0"/>
        <v>Deferred Excess RECs in Rates - UT</v>
      </c>
      <c r="J21" s="2579"/>
      <c r="K21" s="2613" t="s">
        <v>5980</v>
      </c>
      <c r="L21" s="2511" t="s">
        <v>7342</v>
      </c>
      <c r="M21" s="2507">
        <v>426441593</v>
      </c>
      <c r="N21" s="2507">
        <v>426441593</v>
      </c>
      <c r="O21" s="2482"/>
      <c r="P21" s="2482"/>
      <c r="Q21" s="2482"/>
      <c r="R21" s="2482"/>
      <c r="S21" s="2482"/>
      <c r="T21" s="2482"/>
      <c r="U21" s="2482"/>
      <c r="V21" s="2482"/>
      <c r="W21" s="2482"/>
    </row>
    <row r="22" spans="1:23" ht="15.75" customHeight="1" x14ac:dyDescent="0.2">
      <c r="A22" s="2634">
        <f t="shared" si="1"/>
        <v>14</v>
      </c>
      <c r="B22" s="2761" t="s">
        <v>7337</v>
      </c>
      <c r="C22" s="2530">
        <v>7019150</v>
      </c>
      <c r="D22" s="2488"/>
      <c r="E22" s="2488" t="s">
        <v>7343</v>
      </c>
      <c r="F22" s="2530">
        <v>7019150</v>
      </c>
      <c r="G22" s="2530">
        <v>0</v>
      </c>
      <c r="H22" s="2479" t="str">
        <f t="shared" si="0"/>
        <v>Decoupling Mechanism - WA</v>
      </c>
      <c r="J22" s="2579"/>
      <c r="K22" s="2613" t="s">
        <v>5982</v>
      </c>
      <c r="L22" s="2511" t="s">
        <v>7344</v>
      </c>
      <c r="M22" s="2507">
        <v>740106</v>
      </c>
      <c r="N22" s="2507">
        <v>740106</v>
      </c>
      <c r="O22" s="2482"/>
      <c r="P22" s="2482"/>
      <c r="Q22" s="2482"/>
      <c r="R22" s="2482"/>
      <c r="S22" s="2482"/>
      <c r="T22" s="2482"/>
      <c r="U22" s="2482"/>
      <c r="V22" s="2482"/>
      <c r="W22" s="2482"/>
    </row>
    <row r="23" spans="1:23" ht="15.75" customHeight="1" x14ac:dyDescent="0.2">
      <c r="A23" s="2634">
        <f t="shared" si="1"/>
        <v>15</v>
      </c>
      <c r="B23" s="2488" t="s">
        <v>7345</v>
      </c>
      <c r="C23" s="2530">
        <v>377951</v>
      </c>
      <c r="D23" s="2530">
        <v>5734</v>
      </c>
      <c r="E23" s="2488" t="s">
        <v>7346</v>
      </c>
      <c r="F23" s="2530">
        <v>30786</v>
      </c>
      <c r="G23" s="2530">
        <v>352899</v>
      </c>
      <c r="H23" s="2479" t="str">
        <f t="shared" si="0"/>
        <v>Solar Investment Tax Credit Basis Adjustment</v>
      </c>
      <c r="J23" s="2579"/>
      <c r="K23" s="2578"/>
      <c r="L23" s="2511"/>
      <c r="M23" s="2511"/>
      <c r="N23" s="2511"/>
      <c r="O23" s="2482"/>
      <c r="P23" s="2482"/>
      <c r="Q23" s="2482"/>
      <c r="R23" s="2482"/>
      <c r="S23" s="2482"/>
      <c r="T23" s="2482"/>
      <c r="U23" s="2482"/>
      <c r="V23" s="2482"/>
      <c r="W23" s="2482"/>
    </row>
    <row r="24" spans="1:23" ht="15.75" customHeight="1" x14ac:dyDescent="0.2">
      <c r="A24" s="2634">
        <f t="shared" si="1"/>
        <v>16</v>
      </c>
      <c r="B24" s="2488" t="s">
        <v>7347</v>
      </c>
      <c r="C24" s="2530">
        <v>19451</v>
      </c>
      <c r="D24" s="2530">
        <v>229</v>
      </c>
      <c r="E24" s="2765">
        <v>410.1</v>
      </c>
      <c r="F24" s="2530">
        <v>19415</v>
      </c>
      <c r="G24" s="2530">
        <v>265</v>
      </c>
      <c r="H24" s="2479" t="str">
        <f t="shared" si="0"/>
        <v>Metro Business Income Tax - OR</v>
      </c>
      <c r="J24" s="2579"/>
      <c r="K24" s="2613" t="s">
        <v>5984</v>
      </c>
      <c r="L24" s="2511" t="s">
        <v>7348</v>
      </c>
      <c r="M24" s="2507">
        <v>6869</v>
      </c>
      <c r="N24" s="2507">
        <v>6869</v>
      </c>
      <c r="O24" s="2482"/>
      <c r="P24" s="2482"/>
      <c r="Q24" s="2482"/>
      <c r="R24" s="2482"/>
      <c r="S24" s="2482"/>
      <c r="T24" s="2482"/>
      <c r="U24" s="2482"/>
      <c r="V24" s="2482"/>
      <c r="W24" s="2482"/>
    </row>
    <row r="25" spans="1:23" ht="15.75" customHeight="1" x14ac:dyDescent="0.2">
      <c r="A25" s="2634">
        <f t="shared" si="1"/>
        <v>17</v>
      </c>
      <c r="B25" s="2478" t="s">
        <v>7342</v>
      </c>
      <c r="C25" s="2530">
        <v>289710820</v>
      </c>
      <c r="D25" s="2530">
        <v>0</v>
      </c>
      <c r="E25" s="2488"/>
      <c r="F25" s="2531">
        <v>11035158</v>
      </c>
      <c r="G25" s="2530">
        <v>278675662</v>
      </c>
      <c r="H25" s="2479" t="str">
        <f t="shared" si="0"/>
        <v>Pension</v>
      </c>
      <c r="J25" s="2579"/>
      <c r="K25" s="2613" t="s">
        <v>5986</v>
      </c>
      <c r="L25" s="2511" t="s">
        <v>7349</v>
      </c>
      <c r="M25" s="2507">
        <v>1206519</v>
      </c>
      <c r="N25" s="2507">
        <v>1206519</v>
      </c>
      <c r="O25" s="2482"/>
      <c r="P25" s="2482"/>
      <c r="Q25" s="2482"/>
      <c r="R25" s="2482"/>
      <c r="S25" s="2482"/>
      <c r="T25" s="2482"/>
      <c r="U25" s="2482"/>
      <c r="V25" s="2482"/>
      <c r="W25" s="2482"/>
    </row>
    <row r="26" spans="1:23" ht="15.75" customHeight="1" x14ac:dyDescent="0.2">
      <c r="A26" s="2634">
        <f t="shared" si="1"/>
        <v>18</v>
      </c>
      <c r="B26" s="2478" t="s">
        <v>7344</v>
      </c>
      <c r="C26" s="2530">
        <v>736873</v>
      </c>
      <c r="D26" s="2530">
        <v>439321</v>
      </c>
      <c r="E26" s="2530">
        <v>926</v>
      </c>
      <c r="F26" s="2531">
        <v>1002544</v>
      </c>
      <c r="G26" s="2530">
        <v>173650</v>
      </c>
      <c r="H26" s="2479" t="str">
        <f t="shared" si="0"/>
        <v>Other Postretirement</v>
      </c>
      <c r="J26" s="2579"/>
      <c r="K26" s="2613" t="s">
        <v>5988</v>
      </c>
      <c r="L26" s="2511" t="s">
        <v>7350</v>
      </c>
      <c r="M26" s="2507">
        <v>258904</v>
      </c>
      <c r="N26" s="2507">
        <v>258904</v>
      </c>
      <c r="O26" s="2482"/>
      <c r="P26" s="2482"/>
      <c r="Q26" s="2482"/>
      <c r="R26" s="2482"/>
      <c r="S26" s="2482"/>
      <c r="T26" s="2482"/>
      <c r="U26" s="2482"/>
      <c r="V26" s="2482"/>
      <c r="W26" s="2482"/>
    </row>
    <row r="27" spans="1:23" ht="15.75" customHeight="1" x14ac:dyDescent="0.2">
      <c r="A27" s="2634">
        <f t="shared" si="1"/>
        <v>19</v>
      </c>
      <c r="B27" s="2488" t="s">
        <v>7351</v>
      </c>
      <c r="C27" s="2530">
        <v>9820585</v>
      </c>
      <c r="D27" s="2530">
        <v>5001095</v>
      </c>
      <c r="E27" s="2488"/>
      <c r="F27" s="2488"/>
      <c r="G27" s="2530">
        <v>14821680</v>
      </c>
      <c r="H27" s="2479" t="str">
        <f t="shared" si="0"/>
        <v>Deferred Steam Depreciation - UT</v>
      </c>
      <c r="J27" s="2579"/>
      <c r="K27" s="2613" t="s">
        <v>5990</v>
      </c>
      <c r="L27" s="2511" t="s">
        <v>7352</v>
      </c>
      <c r="M27" s="2507">
        <v>1033388</v>
      </c>
      <c r="N27" s="2507">
        <v>1033388</v>
      </c>
      <c r="O27" s="2482"/>
      <c r="P27" s="2482"/>
      <c r="Q27" s="2482"/>
      <c r="R27" s="2482"/>
      <c r="S27" s="2482"/>
      <c r="T27" s="2482"/>
      <c r="U27" s="2482"/>
      <c r="V27" s="2482"/>
      <c r="W27" s="2482"/>
    </row>
    <row r="28" spans="1:23" ht="15.75" customHeight="1" x14ac:dyDescent="0.2">
      <c r="A28" s="2634">
        <f t="shared" si="1"/>
        <v>20</v>
      </c>
      <c r="B28" s="2488" t="s">
        <v>7353</v>
      </c>
      <c r="C28" s="2530">
        <v>258904</v>
      </c>
      <c r="D28" s="2488"/>
      <c r="E28" s="2488"/>
      <c r="F28" s="2488"/>
      <c r="G28" s="2530">
        <v>258904</v>
      </c>
      <c r="H28" s="2479" t="str">
        <f t="shared" si="0"/>
        <v>Colstrip Unit No. 4 Deferred Maintenance Costs - WA</v>
      </c>
      <c r="J28" s="2579"/>
      <c r="K28" s="2613" t="s">
        <v>5992</v>
      </c>
      <c r="L28" s="2511" t="s">
        <v>7354</v>
      </c>
      <c r="M28" s="2507">
        <v>634147</v>
      </c>
      <c r="N28" s="2507">
        <v>634147</v>
      </c>
      <c r="O28" s="2482"/>
      <c r="P28" s="2482"/>
      <c r="Q28" s="2482"/>
      <c r="R28" s="2482"/>
      <c r="S28" s="2482"/>
      <c r="T28" s="2482"/>
      <c r="U28" s="2482"/>
      <c r="V28" s="2482"/>
      <c r="W28" s="2482"/>
    </row>
    <row r="29" spans="1:23" ht="15.75" customHeight="1" x14ac:dyDescent="0.2">
      <c r="A29" s="2634">
        <f t="shared" si="1"/>
        <v>21</v>
      </c>
      <c r="B29" s="2478" t="s">
        <v>7355</v>
      </c>
      <c r="C29" s="2530">
        <v>840508</v>
      </c>
      <c r="D29" s="2488"/>
      <c r="E29" s="2765">
        <v>407.3</v>
      </c>
      <c r="F29" s="2530">
        <v>415756</v>
      </c>
      <c r="G29" s="2530">
        <v>424752</v>
      </c>
      <c r="H29" s="2479" t="str">
        <f t="shared" si="0"/>
        <v>Carbon Plant Inventory</v>
      </c>
      <c r="J29" s="2579"/>
      <c r="K29" s="2613" t="s">
        <v>5994</v>
      </c>
      <c r="L29" s="2511" t="s">
        <v>7356</v>
      </c>
      <c r="M29" s="2507">
        <v>62352658</v>
      </c>
      <c r="N29" s="2507">
        <v>62352658</v>
      </c>
      <c r="O29" s="2482"/>
      <c r="P29" s="2482"/>
      <c r="Q29" s="2482"/>
      <c r="R29" s="2482"/>
      <c r="S29" s="2482"/>
      <c r="T29" s="2482"/>
      <c r="U29" s="2482"/>
      <c r="V29" s="2482"/>
      <c r="W29" s="2482"/>
    </row>
    <row r="30" spans="1:23" ht="27.6" customHeight="1" x14ac:dyDescent="0.2">
      <c r="A30" s="2634">
        <f t="shared" si="1"/>
        <v>22</v>
      </c>
      <c r="B30" s="2720" t="s">
        <v>7357</v>
      </c>
      <c r="C30" s="2766">
        <v>28824</v>
      </c>
      <c r="D30" s="2693"/>
      <c r="E30" s="2767">
        <v>407.3</v>
      </c>
      <c r="F30" s="2766">
        <v>28824</v>
      </c>
      <c r="G30" s="2766">
        <v>0</v>
      </c>
      <c r="H30" s="2479" t="str">
        <f t="shared" si="0"/>
        <v>Carbon Plant Inventory - CA (Amortization period: 3 years, starting 02/2020)</v>
      </c>
      <c r="J30" s="2579"/>
      <c r="K30" s="2613" t="s">
        <v>5997</v>
      </c>
      <c r="L30" s="2511" t="s">
        <v>7358</v>
      </c>
      <c r="M30" s="2507">
        <v>2809322</v>
      </c>
      <c r="N30" s="2507">
        <v>2809322</v>
      </c>
      <c r="O30" s="2482"/>
      <c r="P30" s="2482"/>
      <c r="Q30" s="2482"/>
      <c r="R30" s="2482"/>
      <c r="S30" s="2482"/>
      <c r="T30" s="2482"/>
      <c r="U30" s="2482"/>
      <c r="V30" s="2482"/>
      <c r="W30" s="2482"/>
    </row>
    <row r="31" spans="1:23" ht="15.75" customHeight="1" x14ac:dyDescent="0.2">
      <c r="A31" s="2634">
        <f t="shared" si="1"/>
        <v>23</v>
      </c>
      <c r="B31" s="2488" t="s">
        <v>7359</v>
      </c>
      <c r="C31" s="2530">
        <v>4471792</v>
      </c>
      <c r="D31" s="2530">
        <v>215552</v>
      </c>
      <c r="E31" s="2488" t="s">
        <v>7360</v>
      </c>
      <c r="F31" s="2530">
        <v>965748</v>
      </c>
      <c r="G31" s="2530">
        <v>3721596</v>
      </c>
      <c r="H31" s="2479" t="str">
        <f t="shared" si="0"/>
        <v>Cholla Unit No. 4 Closure Costs - CA</v>
      </c>
      <c r="J31" s="2579"/>
      <c r="K31" s="2613" t="s">
        <v>5999</v>
      </c>
      <c r="L31" s="2511" t="s">
        <v>7361</v>
      </c>
      <c r="M31" s="2507">
        <v>1312443</v>
      </c>
      <c r="N31" s="2507">
        <v>1312443</v>
      </c>
      <c r="O31" s="2482"/>
      <c r="P31" s="2482"/>
      <c r="Q31" s="2482"/>
      <c r="R31" s="2482"/>
      <c r="S31" s="2482"/>
      <c r="T31" s="2482"/>
      <c r="U31" s="2482"/>
      <c r="V31" s="2482"/>
      <c r="W31" s="2482"/>
    </row>
    <row r="32" spans="1:23" ht="15.75" customHeight="1" x14ac:dyDescent="0.2">
      <c r="A32" s="2634">
        <f t="shared" si="1"/>
        <v>24</v>
      </c>
      <c r="B32" s="2488" t="s">
        <v>7362</v>
      </c>
      <c r="C32" s="2530">
        <v>-35512</v>
      </c>
      <c r="D32" s="2488"/>
      <c r="E32" s="2765">
        <v>407.3</v>
      </c>
      <c r="F32" s="2530">
        <v>21231</v>
      </c>
      <c r="G32" s="2530">
        <v>-56743</v>
      </c>
      <c r="H32" s="2479" t="str">
        <f t="shared" si="0"/>
        <v>Cholla Unit No. 4 Closure Costs - ID</v>
      </c>
      <c r="J32" s="2579"/>
      <c r="K32" s="2578"/>
      <c r="L32" s="2511"/>
      <c r="M32" s="2511"/>
      <c r="N32" s="2511"/>
      <c r="O32" s="2482"/>
      <c r="P32" s="2482"/>
      <c r="Q32" s="2482"/>
      <c r="R32" s="2482"/>
      <c r="S32" s="2482"/>
      <c r="T32" s="2482"/>
      <c r="U32" s="2482"/>
      <c r="V32" s="2482"/>
      <c r="W32" s="2482"/>
    </row>
    <row r="33" spans="1:23" ht="16.7" customHeight="1" x14ac:dyDescent="0.2">
      <c r="A33" s="2634">
        <f t="shared" si="1"/>
        <v>25</v>
      </c>
      <c r="B33" s="2768" t="s">
        <v>7363</v>
      </c>
      <c r="C33" s="2530">
        <v>482896</v>
      </c>
      <c r="D33" s="2530">
        <v>669159</v>
      </c>
      <c r="E33" s="2488" t="s">
        <v>7364</v>
      </c>
      <c r="F33" s="2531">
        <v>398665</v>
      </c>
      <c r="G33" s="2530">
        <v>753390</v>
      </c>
      <c r="H33" s="2479" t="str">
        <f t="shared" si="0"/>
        <v xml:space="preserve">Cholla Unit No. 4 Closure Costs - OR </v>
      </c>
      <c r="J33" s="2579"/>
      <c r="K33" s="2578"/>
      <c r="L33" s="2511"/>
      <c r="M33" s="2511"/>
      <c r="N33" s="2511"/>
      <c r="O33" s="2482"/>
      <c r="P33" s="2482"/>
      <c r="Q33" s="2482"/>
      <c r="R33" s="2482"/>
      <c r="S33" s="2482"/>
      <c r="T33" s="2482"/>
      <c r="U33" s="2482"/>
      <c r="V33" s="2482"/>
      <c r="W33" s="2482"/>
    </row>
    <row r="34" spans="1:23" ht="23.25" customHeight="1" x14ac:dyDescent="0.2">
      <c r="A34" s="2634">
        <f t="shared" si="1"/>
        <v>26</v>
      </c>
      <c r="B34" s="2488" t="s">
        <v>7365</v>
      </c>
      <c r="C34" s="2530">
        <v>5682655</v>
      </c>
      <c r="D34" s="2488"/>
      <c r="E34" s="2765">
        <v>407.3</v>
      </c>
      <c r="F34" s="2530">
        <v>2663830</v>
      </c>
      <c r="G34" s="2530">
        <v>3018825</v>
      </c>
      <c r="H34" s="2479" t="str">
        <f t="shared" si="0"/>
        <v>Cholla Unit No. 4 Closure Costs - UT 
(Amortization period: 4.4 years, starting 01/2021)</v>
      </c>
      <c r="J34" s="2579"/>
      <c r="K34" s="2578"/>
      <c r="L34" s="2511"/>
      <c r="M34" s="2511"/>
      <c r="N34" s="2511"/>
      <c r="O34" s="2482"/>
      <c r="P34" s="2482"/>
      <c r="Q34" s="2482"/>
      <c r="R34" s="2482"/>
      <c r="S34" s="2482"/>
      <c r="T34" s="2482"/>
      <c r="U34" s="2482"/>
      <c r="V34" s="2482"/>
      <c r="W34" s="2482"/>
    </row>
    <row r="35" spans="1:23" ht="23.25" customHeight="1" x14ac:dyDescent="0.2">
      <c r="A35" s="2634">
        <f t="shared" si="1"/>
        <v>27</v>
      </c>
      <c r="B35" s="2488" t="s">
        <v>7366</v>
      </c>
      <c r="C35" s="2530">
        <v>39700940</v>
      </c>
      <c r="D35" s="2530">
        <v>358830</v>
      </c>
      <c r="E35" s="2765">
        <v>407.3</v>
      </c>
      <c r="F35" s="2530">
        <v>4176328</v>
      </c>
      <c r="G35" s="2530">
        <v>35883442</v>
      </c>
      <c r="H35" s="2479" t="str">
        <f t="shared" si="0"/>
        <v>Cholla Unit No. 4 Closure Costs - WY 
(Amortization period: 11 years, starting 07/2021)</v>
      </c>
      <c r="J35" s="2579"/>
      <c r="K35" s="2578"/>
      <c r="L35" s="2511"/>
      <c r="M35" s="2511"/>
      <c r="N35" s="2511"/>
      <c r="O35" s="2482"/>
      <c r="P35" s="2482"/>
      <c r="Q35" s="2482"/>
      <c r="R35" s="2482"/>
      <c r="S35" s="2482"/>
      <c r="T35" s="2482"/>
      <c r="U35" s="2482"/>
      <c r="V35" s="2482"/>
      <c r="W35" s="2482"/>
    </row>
    <row r="36" spans="1:23" ht="15.75" customHeight="1" x14ac:dyDescent="0.2">
      <c r="A36" s="2634">
        <f t="shared" si="1"/>
        <v>28</v>
      </c>
      <c r="B36" s="2488" t="s">
        <v>7367</v>
      </c>
      <c r="C36" s="2530">
        <v>73635</v>
      </c>
      <c r="D36" s="2530">
        <v>67993</v>
      </c>
      <c r="E36" s="2488" t="s">
        <v>7368</v>
      </c>
      <c r="F36" s="2530">
        <v>123740</v>
      </c>
      <c r="G36" s="2530">
        <v>17888</v>
      </c>
      <c r="H36" s="2479" t="str">
        <f t="shared" si="0"/>
        <v>Cholla Unit No. 4 Decommissioning Costs - CA</v>
      </c>
      <c r="J36" s="2579"/>
      <c r="K36" s="2578"/>
      <c r="L36" s="2511"/>
      <c r="M36" s="2511"/>
      <c r="N36" s="2511"/>
      <c r="O36" s="2482"/>
      <c r="P36" s="2482"/>
      <c r="Q36" s="2482"/>
      <c r="R36" s="2482"/>
      <c r="S36" s="2482"/>
      <c r="T36" s="2482"/>
      <c r="U36" s="2482"/>
      <c r="V36" s="2482"/>
      <c r="W36" s="2482"/>
    </row>
    <row r="37" spans="1:23" ht="23.25" customHeight="1" x14ac:dyDescent="0.2">
      <c r="A37" s="2634">
        <f t="shared" si="1"/>
        <v>29</v>
      </c>
      <c r="B37" s="2488" t="s">
        <v>7369</v>
      </c>
      <c r="C37" s="2530">
        <v>10455227</v>
      </c>
      <c r="D37" s="2488"/>
      <c r="E37" s="2530">
        <v>403</v>
      </c>
      <c r="F37" s="2530">
        <v>3485076</v>
      </c>
      <c r="G37" s="2530">
        <v>6970151</v>
      </c>
      <c r="H37" s="2479" t="str">
        <f t="shared" si="0"/>
        <v>Depreciation Study Deferral - ID 
(Amortization period: 4 years, starting 01/2022)</v>
      </c>
      <c r="J37" s="2579"/>
      <c r="K37" s="2578"/>
      <c r="L37" s="2511"/>
      <c r="M37" s="2511"/>
      <c r="N37" s="2511"/>
      <c r="O37" s="2482"/>
      <c r="P37" s="2482"/>
      <c r="Q37" s="2482"/>
      <c r="R37" s="2482"/>
      <c r="S37" s="2482"/>
      <c r="T37" s="2482"/>
      <c r="U37" s="2482"/>
      <c r="V37" s="2482"/>
      <c r="W37" s="2482"/>
    </row>
    <row r="38" spans="1:23" ht="23.25" customHeight="1" x14ac:dyDescent="0.2">
      <c r="A38" s="2634">
        <f t="shared" si="1"/>
        <v>30</v>
      </c>
      <c r="B38" s="2488" t="s">
        <v>7370</v>
      </c>
      <c r="C38" s="2530">
        <v>1088367</v>
      </c>
      <c r="D38" s="2488"/>
      <c r="E38" s="2530">
        <v>403</v>
      </c>
      <c r="F38" s="2530">
        <v>128042</v>
      </c>
      <c r="G38" s="2530">
        <v>960325</v>
      </c>
      <c r="H38" s="2479" t="str">
        <f t="shared" si="0"/>
        <v>Depreciation Study Deferral - UT 
(Amortization period: 17 years, starting 09/2014)</v>
      </c>
      <c r="J38" s="2579"/>
      <c r="K38" s="2578"/>
      <c r="L38" s="2511"/>
      <c r="M38" s="2511"/>
      <c r="N38" s="2511"/>
      <c r="O38" s="2482"/>
      <c r="P38" s="2482"/>
      <c r="Q38" s="2482"/>
      <c r="R38" s="2482"/>
      <c r="S38" s="2482"/>
      <c r="T38" s="2482"/>
      <c r="U38" s="2482"/>
      <c r="V38" s="2482"/>
      <c r="W38" s="2482"/>
    </row>
    <row r="39" spans="1:23" ht="23.25" customHeight="1" x14ac:dyDescent="0.2">
      <c r="A39" s="2634">
        <f t="shared" si="1"/>
        <v>31</v>
      </c>
      <c r="B39" s="2488" t="s">
        <v>7371</v>
      </c>
      <c r="C39" s="2530">
        <v>3758622</v>
      </c>
      <c r="D39" s="2488"/>
      <c r="E39" s="2530">
        <v>403</v>
      </c>
      <c r="F39" s="2530">
        <v>442189</v>
      </c>
      <c r="G39" s="2530">
        <v>3316433</v>
      </c>
      <c r="H39" s="2479" t="str">
        <f t="shared" si="0"/>
        <v>Depreciation Study Deferral - WY 
(Amortization period: 18 years, starting 01/2014)</v>
      </c>
      <c r="J39" s="2579"/>
      <c r="K39" s="2613" t="s">
        <v>6002</v>
      </c>
      <c r="L39" s="2511" t="s">
        <v>7372</v>
      </c>
      <c r="M39" s="2507">
        <v>4532456</v>
      </c>
      <c r="N39" s="2507">
        <v>4532456</v>
      </c>
      <c r="O39" s="2482"/>
      <c r="P39" s="2482"/>
      <c r="Q39" s="2482"/>
      <c r="R39" s="2482"/>
      <c r="S39" s="2482"/>
      <c r="T39" s="2482"/>
      <c r="U39" s="2482"/>
      <c r="V39" s="2482"/>
      <c r="W39" s="2482"/>
    </row>
    <row r="40" spans="1:23" ht="23.25" customHeight="1" x14ac:dyDescent="0.2">
      <c r="A40" s="2634">
        <f t="shared" si="1"/>
        <v>32</v>
      </c>
      <c r="B40" s="2488" t="s">
        <v>7373</v>
      </c>
      <c r="C40" s="2530">
        <v>385000</v>
      </c>
      <c r="D40" s="2488"/>
      <c r="E40" s="2530">
        <v>557</v>
      </c>
      <c r="F40" s="2530">
        <v>35000</v>
      </c>
      <c r="G40" s="2530">
        <v>350000</v>
      </c>
      <c r="H40" s="2479" t="str">
        <f t="shared" si="0"/>
        <v>Generating Plant Liquidated Damages - UT 
(Amortization period: 20 years, starting 01/2014)</v>
      </c>
      <c r="J40" s="2579"/>
      <c r="K40" s="2613" t="s">
        <v>6004</v>
      </c>
      <c r="L40" s="2511" t="s">
        <v>7374</v>
      </c>
      <c r="M40" s="2507">
        <v>446250</v>
      </c>
      <c r="N40" s="2507">
        <v>446250</v>
      </c>
      <c r="O40" s="2482"/>
      <c r="P40" s="2482"/>
      <c r="Q40" s="2482"/>
      <c r="R40" s="2482"/>
      <c r="S40" s="2482"/>
      <c r="T40" s="2482"/>
      <c r="U40" s="2482"/>
      <c r="V40" s="2482"/>
      <c r="W40" s="2482"/>
    </row>
    <row r="41" spans="1:23" ht="15.75" customHeight="1" x14ac:dyDescent="0.2">
      <c r="A41" s="2634">
        <f t="shared" si="1"/>
        <v>33</v>
      </c>
      <c r="B41" s="2478" t="s">
        <v>7375</v>
      </c>
      <c r="C41" s="2530">
        <v>972973</v>
      </c>
      <c r="D41" s="2488"/>
      <c r="E41" s="2530">
        <v>557</v>
      </c>
      <c r="F41" s="2530">
        <v>54289</v>
      </c>
      <c r="G41" s="2530">
        <v>918684</v>
      </c>
      <c r="H41" s="2479" t="str">
        <f t="shared" si="0"/>
        <v>Generating Plant Liquidated Damages - WY</v>
      </c>
      <c r="J41" s="2579"/>
      <c r="K41" s="2613" t="s">
        <v>6006</v>
      </c>
      <c r="L41" s="2511" t="s">
        <v>7375</v>
      </c>
      <c r="M41" s="2507">
        <v>1067980</v>
      </c>
      <c r="N41" s="2507">
        <v>1067980</v>
      </c>
      <c r="O41" s="2482"/>
      <c r="P41" s="2482"/>
      <c r="Q41" s="2482"/>
      <c r="R41" s="2482"/>
      <c r="S41" s="2482"/>
      <c r="T41" s="2482"/>
      <c r="U41" s="2482"/>
      <c r="V41" s="2482"/>
      <c r="W41" s="2482"/>
    </row>
    <row r="42" spans="1:23" ht="23.25" customHeight="1" x14ac:dyDescent="0.2">
      <c r="A42" s="2634">
        <f t="shared" si="1"/>
        <v>34</v>
      </c>
      <c r="B42" s="2488" t="s">
        <v>7376</v>
      </c>
      <c r="C42" s="2530">
        <v>213387</v>
      </c>
      <c r="D42" s="2488"/>
      <c r="E42" s="2530">
        <v>557</v>
      </c>
      <c r="F42" s="2530">
        <v>7643</v>
      </c>
      <c r="G42" s="2530">
        <v>205744</v>
      </c>
      <c r="H42" s="2479" t="str">
        <f t="shared" si="0"/>
        <v>Wind Test Energy Deferral - WY 
(Amortization period: 30 years, starting 12/2020)</v>
      </c>
      <c r="J42" s="2579"/>
      <c r="K42" s="2613" t="s">
        <v>6008</v>
      </c>
      <c r="L42" s="2511" t="s">
        <v>7377</v>
      </c>
      <c r="M42" s="2507">
        <v>7174770</v>
      </c>
      <c r="N42" s="2507">
        <v>7174770</v>
      </c>
      <c r="O42" s="2482"/>
      <c r="P42" s="2482"/>
      <c r="Q42" s="2482"/>
      <c r="R42" s="2482"/>
      <c r="S42" s="2482"/>
      <c r="T42" s="2482"/>
      <c r="U42" s="2482"/>
      <c r="V42" s="2482"/>
      <c r="W42" s="2482"/>
    </row>
    <row r="43" spans="1:23" ht="15.75" customHeight="1" x14ac:dyDescent="0.2">
      <c r="A43" s="2634">
        <f t="shared" si="1"/>
        <v>35</v>
      </c>
      <c r="B43" s="2488"/>
      <c r="C43" s="2488"/>
      <c r="D43" s="2488"/>
      <c r="E43" s="2488"/>
      <c r="F43" s="2488"/>
      <c r="G43" s="2488"/>
      <c r="H43" s="2595">
        <f t="shared" si="0"/>
        <v>0</v>
      </c>
      <c r="J43" s="2579"/>
      <c r="K43" s="2613" t="s">
        <v>6010</v>
      </c>
      <c r="L43" s="2511" t="s">
        <v>7378</v>
      </c>
      <c r="M43" s="2507">
        <v>0</v>
      </c>
      <c r="N43" s="2507">
        <v>0</v>
      </c>
      <c r="O43" s="2482"/>
      <c r="P43" s="2482"/>
      <c r="Q43" s="2482"/>
      <c r="R43" s="2482"/>
      <c r="S43" s="2482"/>
      <c r="T43" s="2482"/>
      <c r="U43" s="2482"/>
      <c r="V43" s="2482"/>
      <c r="W43" s="2482"/>
    </row>
    <row r="44" spans="1:23" ht="15.75" customHeight="1" x14ac:dyDescent="0.2">
      <c r="A44" s="2634">
        <f t="shared" si="1"/>
        <v>36</v>
      </c>
      <c r="B44" s="2478" t="s">
        <v>7379</v>
      </c>
      <c r="C44" s="2530">
        <v>110586204</v>
      </c>
      <c r="D44" s="2530">
        <v>37023439</v>
      </c>
      <c r="E44" s="2488" t="s">
        <v>7380</v>
      </c>
      <c r="F44" s="2531">
        <v>8361689</v>
      </c>
      <c r="G44" s="2530">
        <v>139247954</v>
      </c>
      <c r="H44" s="2479" t="str">
        <f t="shared" si="0"/>
        <v>Environmental Costs</v>
      </c>
      <c r="J44" s="2579"/>
      <c r="K44" s="2613" t="s">
        <v>6012</v>
      </c>
      <c r="L44" s="2511"/>
      <c r="M44" s="2511"/>
      <c r="N44" s="2511"/>
      <c r="O44" s="2482"/>
      <c r="P44" s="2482"/>
      <c r="Q44" s="2482"/>
      <c r="R44" s="2482"/>
      <c r="S44" s="2482"/>
      <c r="T44" s="2482"/>
      <c r="U44" s="2482"/>
      <c r="V44" s="2482"/>
      <c r="W44" s="2482"/>
    </row>
    <row r="45" spans="1:23" ht="15.75" customHeight="1" x14ac:dyDescent="0.2">
      <c r="A45" s="2634">
        <f t="shared" si="1"/>
        <v>37</v>
      </c>
      <c r="B45" s="2761" t="s">
        <v>7381</v>
      </c>
      <c r="C45" s="2530">
        <v>205960894</v>
      </c>
      <c r="D45" s="2530">
        <v>37037978</v>
      </c>
      <c r="E45" s="2488" t="s">
        <v>7382</v>
      </c>
      <c r="F45" s="2530">
        <v>11224745</v>
      </c>
      <c r="G45" s="2530">
        <v>231774127</v>
      </c>
      <c r="H45" s="2479" t="str">
        <f t="shared" si="0"/>
        <v>Asset Retirement Obligations Regulatory Difference</v>
      </c>
      <c r="J45" s="2579"/>
      <c r="K45" s="2613" t="s">
        <v>6014</v>
      </c>
      <c r="L45" s="2511" t="s">
        <v>7383</v>
      </c>
      <c r="M45" s="2507">
        <v>89577150</v>
      </c>
      <c r="N45" s="2507">
        <v>89577150</v>
      </c>
      <c r="O45" s="2482"/>
      <c r="P45" s="2482"/>
      <c r="Q45" s="2482"/>
      <c r="R45" s="2482"/>
      <c r="S45" s="2482"/>
      <c r="T45" s="2482"/>
      <c r="U45" s="2482"/>
      <c r="V45" s="2482"/>
      <c r="W45" s="2482"/>
    </row>
    <row r="46" spans="1:23" ht="15.75" customHeight="1" x14ac:dyDescent="0.2">
      <c r="A46" s="2634">
        <f t="shared" si="1"/>
        <v>38</v>
      </c>
      <c r="B46" s="2478" t="s">
        <v>7384</v>
      </c>
      <c r="C46" s="2530">
        <v>18314273</v>
      </c>
      <c r="D46" s="2488"/>
      <c r="E46" s="2488" t="s">
        <v>7385</v>
      </c>
      <c r="F46" s="2530">
        <v>18314273</v>
      </c>
      <c r="G46" s="2530">
        <v>0</v>
      </c>
      <c r="H46" s="2479" t="str">
        <f t="shared" si="0"/>
        <v>Unamortized Contract Values</v>
      </c>
      <c r="J46" s="2579"/>
      <c r="K46" s="2613" t="s">
        <v>6016</v>
      </c>
      <c r="L46" s="2511" t="s">
        <v>7381</v>
      </c>
      <c r="M46" s="2507">
        <v>164206555</v>
      </c>
      <c r="N46" s="2507">
        <v>164206555</v>
      </c>
      <c r="O46" s="2482"/>
      <c r="P46" s="2482"/>
      <c r="Q46" s="2482"/>
      <c r="R46" s="2482"/>
      <c r="S46" s="2482"/>
      <c r="T46" s="2482"/>
      <c r="U46" s="2482"/>
      <c r="V46" s="2482"/>
      <c r="W46" s="2482"/>
    </row>
    <row r="47" spans="1:23" ht="15.75" customHeight="1" x14ac:dyDescent="0.2">
      <c r="A47" s="2634">
        <f t="shared" si="1"/>
        <v>39</v>
      </c>
      <c r="B47" s="2720" t="s">
        <v>7386</v>
      </c>
      <c r="C47" s="2530">
        <v>0</v>
      </c>
      <c r="D47" s="2530">
        <v>76083981</v>
      </c>
      <c r="E47" s="2488"/>
      <c r="F47" s="2488"/>
      <c r="G47" s="2530">
        <v>76083981</v>
      </c>
      <c r="H47" s="2479" t="str">
        <f t="shared" si="0"/>
        <v>Unrealized Loss on Derivative Contracts</v>
      </c>
      <c r="J47" s="2579"/>
      <c r="K47" s="2613" t="s">
        <v>6020</v>
      </c>
      <c r="L47" s="2511" t="s">
        <v>7384</v>
      </c>
      <c r="M47" s="2507">
        <v>49809969</v>
      </c>
      <c r="N47" s="2507">
        <v>49809969</v>
      </c>
      <c r="O47" s="2482"/>
      <c r="P47" s="2482"/>
      <c r="Q47" s="2482"/>
      <c r="R47" s="2482"/>
      <c r="S47" s="2482"/>
      <c r="T47" s="2482"/>
      <c r="U47" s="2482"/>
      <c r="V47" s="2482"/>
      <c r="W47" s="2482"/>
    </row>
    <row r="48" spans="1:23" ht="15.75" customHeight="1" x14ac:dyDescent="0.2">
      <c r="A48" s="2634">
        <f t="shared" si="1"/>
        <v>40</v>
      </c>
      <c r="B48" s="2759" t="s">
        <v>7387</v>
      </c>
      <c r="C48" s="2530">
        <v>0</v>
      </c>
      <c r="D48" s="2530">
        <v>24073719</v>
      </c>
      <c r="E48" s="2530">
        <v>456</v>
      </c>
      <c r="F48" s="2530">
        <v>20059374</v>
      </c>
      <c r="G48" s="2530">
        <v>4014345</v>
      </c>
      <c r="H48" s="2479" t="str">
        <f t="shared" si="0"/>
        <v>Greenhouse Gas Allowance Revenues - CA</v>
      </c>
      <c r="J48" s="2579"/>
      <c r="K48" s="2613" t="s">
        <v>6022</v>
      </c>
      <c r="L48" s="2511" t="s">
        <v>7388</v>
      </c>
      <c r="M48" s="2507">
        <v>0</v>
      </c>
      <c r="N48" s="2507">
        <v>0</v>
      </c>
      <c r="O48" s="2482"/>
      <c r="P48" s="2482"/>
      <c r="Q48" s="2482"/>
      <c r="R48" s="2482"/>
      <c r="S48" s="2482"/>
      <c r="T48" s="2482"/>
      <c r="U48" s="2482"/>
      <c r="V48" s="2482"/>
      <c r="W48" s="2482"/>
    </row>
    <row r="49" spans="1:23" ht="15.75" customHeight="1" x14ac:dyDescent="0.2">
      <c r="A49" s="2634">
        <f t="shared" si="1"/>
        <v>41</v>
      </c>
      <c r="B49" s="2761" t="s">
        <v>7389</v>
      </c>
      <c r="C49" s="2530">
        <v>5468275</v>
      </c>
      <c r="D49" s="2530">
        <v>15409803</v>
      </c>
      <c r="E49" s="2488" t="s">
        <v>7390</v>
      </c>
      <c r="F49" s="2530">
        <v>18635769</v>
      </c>
      <c r="G49" s="2530">
        <v>2242309</v>
      </c>
      <c r="H49" s="2479" t="str">
        <f t="shared" si="0"/>
        <v>Greenhouse Gas Allowance Compliance Costs - CA</v>
      </c>
      <c r="J49" s="2579"/>
      <c r="K49" s="2613" t="s">
        <v>6024</v>
      </c>
      <c r="L49" s="2511" t="s">
        <v>7391</v>
      </c>
      <c r="M49" s="2507">
        <v>4970082</v>
      </c>
      <c r="N49" s="2507">
        <v>4970082</v>
      </c>
      <c r="O49" s="2482"/>
      <c r="P49" s="2482"/>
      <c r="Q49" s="2482"/>
      <c r="R49" s="2482"/>
      <c r="S49" s="2482"/>
      <c r="T49" s="2482"/>
      <c r="U49" s="2482"/>
      <c r="V49" s="2482"/>
      <c r="W49" s="2482"/>
    </row>
    <row r="50" spans="1:23" ht="15.75" customHeight="1" x14ac:dyDescent="0.2">
      <c r="A50" s="2634">
        <f t="shared" si="1"/>
        <v>42</v>
      </c>
      <c r="B50" s="2488" t="s">
        <v>7392</v>
      </c>
      <c r="C50" s="2530">
        <v>6104</v>
      </c>
      <c r="D50" s="2530">
        <v>343</v>
      </c>
      <c r="E50" s="2488"/>
      <c r="F50" s="2488"/>
      <c r="G50" s="2530">
        <v>6447</v>
      </c>
      <c r="H50" s="2479" t="str">
        <f t="shared" si="0"/>
        <v>Emergency Service Resiliency Program - CA</v>
      </c>
      <c r="J50" s="2579"/>
      <c r="K50" s="2613" t="s">
        <v>6026</v>
      </c>
      <c r="L50" s="2511" t="s">
        <v>7393</v>
      </c>
      <c r="M50" s="2507">
        <v>1497795</v>
      </c>
      <c r="N50" s="2507">
        <v>1497795</v>
      </c>
      <c r="O50" s="2482"/>
      <c r="P50" s="2482"/>
      <c r="Q50" s="2482"/>
      <c r="R50" s="2482"/>
      <c r="S50" s="2482"/>
      <c r="T50" s="2482"/>
      <c r="U50" s="2482"/>
      <c r="V50" s="2482"/>
      <c r="W50" s="2482"/>
    </row>
    <row r="51" spans="1:23" ht="15.75" customHeight="1" x14ac:dyDescent="0.2">
      <c r="A51" s="2634">
        <f t="shared" si="1"/>
        <v>43</v>
      </c>
      <c r="B51" s="2762" t="s">
        <v>7394</v>
      </c>
      <c r="C51" s="2530">
        <v>4233222</v>
      </c>
      <c r="D51" s="2530">
        <v>4460567</v>
      </c>
      <c r="E51" s="2488" t="s">
        <v>7395</v>
      </c>
      <c r="F51" s="2530">
        <v>5462835</v>
      </c>
      <c r="G51" s="2530">
        <v>3230954</v>
      </c>
      <c r="H51" s="2479" t="str">
        <f t="shared" si="0"/>
        <v>Solar Feed-In Tariff Deferral - OR</v>
      </c>
      <c r="J51" s="2579"/>
      <c r="K51" s="2613" t="s">
        <v>6028</v>
      </c>
      <c r="L51" s="2511" t="s">
        <v>7396</v>
      </c>
      <c r="M51" s="2507">
        <v>1939473</v>
      </c>
      <c r="N51" s="2507">
        <v>1939473</v>
      </c>
      <c r="O51" s="2482"/>
      <c r="P51" s="2482"/>
      <c r="Q51" s="2482"/>
      <c r="R51" s="2482"/>
      <c r="S51" s="2482"/>
      <c r="T51" s="2482"/>
      <c r="U51" s="2482"/>
      <c r="V51" s="2482"/>
      <c r="W51" s="2482"/>
    </row>
    <row r="52" spans="1:23" ht="15.75" customHeight="1" x14ac:dyDescent="0.2">
      <c r="A52" s="2769">
        <f t="shared" ref="A52:A103" si="2">A51+0.01</f>
        <v>43.01</v>
      </c>
      <c r="B52" s="2761" t="s">
        <v>7393</v>
      </c>
      <c r="C52" s="2530">
        <v>2707233</v>
      </c>
      <c r="D52" s="2530">
        <v>1066581</v>
      </c>
      <c r="E52" s="2530">
        <v>908</v>
      </c>
      <c r="F52" s="2530">
        <v>889063</v>
      </c>
      <c r="G52" s="2530">
        <v>2884751</v>
      </c>
      <c r="H52" s="2479" t="str">
        <f t="shared" si="0"/>
        <v>Oregon Community Solar Program</v>
      </c>
      <c r="J52" s="2579"/>
      <c r="K52" s="2613" t="s">
        <v>6030</v>
      </c>
      <c r="L52" s="2511" t="s">
        <v>7397</v>
      </c>
      <c r="M52" s="2507">
        <v>111565</v>
      </c>
      <c r="N52" s="2507">
        <v>111565</v>
      </c>
      <c r="O52" s="2482"/>
      <c r="P52" s="2482"/>
      <c r="Q52" s="2482"/>
      <c r="R52" s="2482"/>
      <c r="S52" s="2482"/>
      <c r="T52" s="2482"/>
      <c r="U52" s="2482"/>
      <c r="V52" s="2482"/>
      <c r="W52" s="2482"/>
    </row>
    <row r="53" spans="1:23" ht="15.75" customHeight="1" x14ac:dyDescent="0.2">
      <c r="A53" s="2769">
        <f t="shared" si="2"/>
        <v>43.019999999999996</v>
      </c>
      <c r="B53" s="2761" t="s">
        <v>7396</v>
      </c>
      <c r="C53" s="2530">
        <v>1866628</v>
      </c>
      <c r="D53" s="2530">
        <v>159436</v>
      </c>
      <c r="E53" s="2530">
        <v>908</v>
      </c>
      <c r="F53" s="2530">
        <v>181840</v>
      </c>
      <c r="G53" s="2530">
        <v>1844224</v>
      </c>
      <c r="H53" s="2479" t="str">
        <f t="shared" si="0"/>
        <v>Solar Incentive Subscriber Program - UT</v>
      </c>
      <c r="J53" s="2579"/>
      <c r="K53" s="2613" t="s">
        <v>6032</v>
      </c>
      <c r="L53" s="2511" t="s">
        <v>7398</v>
      </c>
      <c r="M53" s="2507">
        <v>772942</v>
      </c>
      <c r="N53" s="2507">
        <v>772942</v>
      </c>
      <c r="O53" s="2482"/>
      <c r="P53" s="2482"/>
      <c r="Q53" s="2482"/>
      <c r="R53" s="2482"/>
      <c r="S53" s="2482"/>
      <c r="T53" s="2482"/>
      <c r="U53" s="2482"/>
      <c r="V53" s="2482"/>
      <c r="W53" s="2482"/>
    </row>
    <row r="54" spans="1:23" ht="15.75" customHeight="1" x14ac:dyDescent="0.2">
      <c r="A54" s="2769">
        <f t="shared" si="2"/>
        <v>43.029999999999994</v>
      </c>
      <c r="B54" s="2762" t="s">
        <v>7399</v>
      </c>
      <c r="C54" s="2530">
        <v>0</v>
      </c>
      <c r="D54" s="2530">
        <v>163009</v>
      </c>
      <c r="E54" s="2488" t="s">
        <v>7400</v>
      </c>
      <c r="F54" s="2530">
        <v>16872</v>
      </c>
      <c r="G54" s="2530">
        <v>146137</v>
      </c>
      <c r="H54" s="2479" t="str">
        <f t="shared" si="0"/>
        <v>Solar Incentive Program - UT</v>
      </c>
      <c r="J54" s="2579"/>
      <c r="K54" s="2613" t="s">
        <v>6034</v>
      </c>
      <c r="L54" s="2511" t="s">
        <v>7401</v>
      </c>
      <c r="M54" s="2507">
        <v>300000</v>
      </c>
      <c r="N54" s="2507">
        <v>300000</v>
      </c>
      <c r="O54" s="2482"/>
      <c r="P54" s="2482"/>
      <c r="Q54" s="2482"/>
      <c r="R54" s="2482"/>
      <c r="S54" s="2482"/>
      <c r="T54" s="2482"/>
      <c r="U54" s="2482"/>
      <c r="V54" s="2482"/>
      <c r="W54" s="2482"/>
    </row>
    <row r="55" spans="1:23" ht="15.75" customHeight="1" x14ac:dyDescent="0.2">
      <c r="A55" s="2769">
        <f t="shared" si="2"/>
        <v>43.039999999999992</v>
      </c>
      <c r="B55" s="2764" t="s">
        <v>7402</v>
      </c>
      <c r="C55" s="2530">
        <v>0</v>
      </c>
      <c r="D55" s="2530">
        <v>1758413</v>
      </c>
      <c r="E55" s="2488" t="s">
        <v>7403</v>
      </c>
      <c r="F55" s="2530">
        <v>1118508</v>
      </c>
      <c r="G55" s="2530">
        <v>639905</v>
      </c>
      <c r="H55" s="2479" t="str">
        <f t="shared" si="0"/>
        <v>STEP Pilot Program - UT</v>
      </c>
      <c r="J55" s="2579"/>
      <c r="K55" s="2613" t="s">
        <v>6036</v>
      </c>
      <c r="L55" s="2511"/>
      <c r="M55" s="2511"/>
      <c r="N55" s="2511"/>
      <c r="O55" s="2482"/>
      <c r="P55" s="2482"/>
      <c r="Q55" s="2482"/>
      <c r="R55" s="2482"/>
      <c r="S55" s="2482"/>
      <c r="T55" s="2482"/>
      <c r="U55" s="2482"/>
      <c r="V55" s="2482"/>
      <c r="W55" s="2482"/>
    </row>
    <row r="56" spans="1:23" ht="15.75" customHeight="1" x14ac:dyDescent="0.2">
      <c r="A56" s="2769">
        <f t="shared" si="2"/>
        <v>43.04999999999999</v>
      </c>
      <c r="B56" s="2762" t="s">
        <v>7397</v>
      </c>
      <c r="C56" s="2530">
        <v>0</v>
      </c>
      <c r="D56" s="2530">
        <v>846067</v>
      </c>
      <c r="E56" s="2530">
        <v>555</v>
      </c>
      <c r="F56" s="2530">
        <v>701486</v>
      </c>
      <c r="G56" s="2530">
        <v>144581</v>
      </c>
      <c r="H56" s="2479" t="str">
        <f t="shared" si="0"/>
        <v>Renewable Portfolio Standards Compliance - OR</v>
      </c>
      <c r="J56" s="2579"/>
      <c r="K56" s="2613" t="s">
        <v>6038</v>
      </c>
      <c r="L56" s="2511" t="s">
        <v>7404</v>
      </c>
      <c r="M56" s="2507">
        <v>0</v>
      </c>
      <c r="N56" s="2507">
        <v>0</v>
      </c>
      <c r="O56" s="2482"/>
      <c r="P56" s="2482"/>
      <c r="Q56" s="2482"/>
      <c r="R56" s="2482"/>
      <c r="S56" s="2482"/>
      <c r="T56" s="2482"/>
      <c r="U56" s="2482"/>
      <c r="V56" s="2482"/>
      <c r="W56" s="2482"/>
    </row>
    <row r="57" spans="1:23" ht="15.75" customHeight="1" x14ac:dyDescent="0.2">
      <c r="A57" s="2769">
        <f t="shared" si="2"/>
        <v>43.059999999999988</v>
      </c>
      <c r="B57" s="2770" t="s">
        <v>7405</v>
      </c>
      <c r="C57" s="2530">
        <v>459668</v>
      </c>
      <c r="D57" s="2488"/>
      <c r="E57" s="2530">
        <v>555</v>
      </c>
      <c r="F57" s="2530">
        <v>459668</v>
      </c>
      <c r="G57" s="2530">
        <v>0</v>
      </c>
      <c r="H57" s="2479" t="str">
        <f t="shared" si="0"/>
        <v>Renewable Portfolio Standards Compliance - WA</v>
      </c>
      <c r="J57" s="2579"/>
      <c r="K57" s="2613" t="s">
        <v>6040</v>
      </c>
      <c r="L57" s="2511" t="s">
        <v>7406</v>
      </c>
      <c r="M57" s="2507">
        <v>152051</v>
      </c>
      <c r="N57" s="2507">
        <v>152051</v>
      </c>
      <c r="O57" s="2482"/>
      <c r="P57" s="2482"/>
      <c r="Q57" s="2482"/>
      <c r="R57" s="2482"/>
      <c r="S57" s="2482"/>
      <c r="T57" s="2482"/>
      <c r="U57" s="2482"/>
      <c r="V57" s="2482"/>
      <c r="W57" s="2482"/>
    </row>
    <row r="58" spans="1:23" ht="15.75" customHeight="1" x14ac:dyDescent="0.2">
      <c r="A58" s="2769">
        <f t="shared" si="2"/>
        <v>43.069999999999986</v>
      </c>
      <c r="B58" s="2488" t="s">
        <v>7406</v>
      </c>
      <c r="C58" s="2530">
        <v>404712</v>
      </c>
      <c r="D58" s="2530">
        <v>146829</v>
      </c>
      <c r="E58" s="2765">
        <v>182.3</v>
      </c>
      <c r="F58" s="2530">
        <v>130962</v>
      </c>
      <c r="G58" s="2530">
        <v>420579</v>
      </c>
      <c r="H58" s="2479" t="str">
        <f t="shared" si="0"/>
        <v>Deferred Intervenor Funding Grants - CA</v>
      </c>
      <c r="J58" s="2579"/>
      <c r="K58" s="2613" t="s">
        <v>6042</v>
      </c>
      <c r="L58" s="2511" t="s">
        <v>7407</v>
      </c>
      <c r="M58" s="2507">
        <v>103348</v>
      </c>
      <c r="N58" s="2507">
        <v>103348</v>
      </c>
      <c r="O58" s="2482"/>
      <c r="P58" s="2482"/>
      <c r="Q58" s="2482"/>
      <c r="R58" s="2482"/>
      <c r="S58" s="2482"/>
      <c r="T58" s="2482"/>
      <c r="U58" s="2482"/>
      <c r="V58" s="2482"/>
      <c r="W58" s="2482"/>
    </row>
    <row r="59" spans="1:23" ht="15.75" customHeight="1" x14ac:dyDescent="0.2">
      <c r="A59" s="2769">
        <f t="shared" si="2"/>
        <v>43.079999999999984</v>
      </c>
      <c r="B59" s="2488" t="s">
        <v>7407</v>
      </c>
      <c r="C59" s="2530">
        <v>40000</v>
      </c>
      <c r="D59" s="2530">
        <v>0</v>
      </c>
      <c r="E59" s="2488"/>
      <c r="F59" s="2488"/>
      <c r="G59" s="2530">
        <v>40000</v>
      </c>
      <c r="H59" s="2479" t="str">
        <f t="shared" si="0"/>
        <v>Deferred Intervenor Funding Grants - ID</v>
      </c>
      <c r="J59" s="2579"/>
      <c r="K59" s="2613" t="s">
        <v>6042</v>
      </c>
      <c r="L59" s="2511" t="s">
        <v>7408</v>
      </c>
      <c r="M59" s="2507">
        <v>2252101</v>
      </c>
      <c r="N59" s="2507">
        <v>2252101</v>
      </c>
      <c r="O59" s="2482"/>
      <c r="P59" s="2482"/>
      <c r="Q59" s="2482"/>
      <c r="R59" s="2482"/>
      <c r="S59" s="2482"/>
      <c r="T59" s="2482"/>
      <c r="U59" s="2482"/>
      <c r="V59" s="2482"/>
      <c r="W59" s="2482"/>
    </row>
    <row r="60" spans="1:23" ht="23.25" customHeight="1" x14ac:dyDescent="0.2">
      <c r="A60" s="2769">
        <f t="shared" si="2"/>
        <v>43.089999999999982</v>
      </c>
      <c r="B60" s="2488" t="s">
        <v>7409</v>
      </c>
      <c r="C60" s="2530">
        <v>3028580</v>
      </c>
      <c r="D60" s="2530">
        <v>778515</v>
      </c>
      <c r="E60" s="2530">
        <v>928</v>
      </c>
      <c r="F60" s="2530">
        <v>1118762</v>
      </c>
      <c r="G60" s="2530">
        <v>2688333</v>
      </c>
      <c r="H60" s="2479" t="str">
        <f t="shared" si="0"/>
        <v>Deferred Intervenor Funding Grants - OR 
(Amortization period: 1 year, starting 07/2023)</v>
      </c>
      <c r="J60" s="2579"/>
      <c r="K60" s="2613" t="s">
        <v>7410</v>
      </c>
      <c r="L60" s="2511" t="s">
        <v>7411</v>
      </c>
      <c r="M60" s="2507">
        <v>38166</v>
      </c>
      <c r="N60" s="2507">
        <v>38166</v>
      </c>
      <c r="O60" s="2482"/>
      <c r="P60" s="2482"/>
      <c r="Q60" s="2482"/>
      <c r="R60" s="2482"/>
      <c r="S60" s="2482"/>
      <c r="T60" s="2482"/>
      <c r="U60" s="2482"/>
      <c r="V60" s="2482"/>
      <c r="W60" s="2482"/>
    </row>
    <row r="61" spans="1:23" ht="15.75" customHeight="1" x14ac:dyDescent="0.2">
      <c r="A61" s="2769">
        <f t="shared" si="2"/>
        <v>43.09999999999998</v>
      </c>
      <c r="B61" s="2720" t="s">
        <v>7412</v>
      </c>
      <c r="C61" s="2530">
        <v>0</v>
      </c>
      <c r="D61" s="2530">
        <v>300000</v>
      </c>
      <c r="E61" s="2488"/>
      <c r="F61" s="2488"/>
      <c r="G61" s="2530">
        <v>300000</v>
      </c>
      <c r="H61" s="2479" t="str">
        <f t="shared" si="0"/>
        <v>Deferred Intervenor Funding Grants - WA</v>
      </c>
      <c r="J61" s="2579"/>
      <c r="K61" s="2613" t="s">
        <v>7413</v>
      </c>
      <c r="L61" s="2511"/>
      <c r="M61" s="2511"/>
      <c r="N61" s="2511"/>
      <c r="O61" s="2482"/>
      <c r="P61" s="2482"/>
      <c r="Q61" s="2482"/>
      <c r="R61" s="2482"/>
      <c r="S61" s="2482"/>
      <c r="T61" s="2482"/>
      <c r="U61" s="2482"/>
      <c r="V61" s="2482"/>
      <c r="W61" s="2482"/>
    </row>
    <row r="62" spans="1:23" ht="15.75" customHeight="1" x14ac:dyDescent="0.2">
      <c r="A62" s="2769">
        <f t="shared" si="2"/>
        <v>43.109999999999978</v>
      </c>
      <c r="B62" s="2488" t="s">
        <v>7411</v>
      </c>
      <c r="C62" s="2530">
        <v>40761</v>
      </c>
      <c r="D62" s="2530">
        <v>86078</v>
      </c>
      <c r="E62" s="2488"/>
      <c r="F62" s="2488"/>
      <c r="G62" s="2530">
        <v>126839</v>
      </c>
      <c r="H62" s="2479" t="str">
        <f t="shared" si="0"/>
        <v>Deferred Independent Evaluator Costs - OR</v>
      </c>
      <c r="J62" s="2579"/>
      <c r="K62" s="2613" t="s">
        <v>7414</v>
      </c>
      <c r="L62" s="2511"/>
      <c r="M62" s="2511"/>
      <c r="N62" s="2511"/>
      <c r="O62" s="2482"/>
      <c r="P62" s="2482"/>
      <c r="Q62" s="2482"/>
      <c r="R62" s="2482"/>
      <c r="S62" s="2482"/>
      <c r="T62" s="2482"/>
      <c r="U62" s="2482"/>
      <c r="V62" s="2482"/>
      <c r="W62" s="2482"/>
    </row>
    <row r="63" spans="1:23" ht="16.7" customHeight="1" x14ac:dyDescent="0.2">
      <c r="A63" s="2769">
        <f t="shared" si="2"/>
        <v>43.119999999999976</v>
      </c>
      <c r="B63" s="2720" t="s">
        <v>7415</v>
      </c>
      <c r="C63" s="2530">
        <v>99740</v>
      </c>
      <c r="D63" s="2488"/>
      <c r="E63" s="2760">
        <v>131</v>
      </c>
      <c r="F63" s="2530">
        <v>99740</v>
      </c>
      <c r="G63" s="2530">
        <v>0</v>
      </c>
      <c r="H63" s="2479" t="str">
        <f t="shared" si="0"/>
        <v>Deferred Independent Evaluator Costs - UT</v>
      </c>
      <c r="J63" s="2579"/>
      <c r="K63" s="2613" t="s">
        <v>7416</v>
      </c>
      <c r="L63" s="2511"/>
      <c r="M63" s="2511"/>
      <c r="N63" s="2511"/>
      <c r="O63" s="2482"/>
      <c r="P63" s="2482"/>
      <c r="Q63" s="2482"/>
      <c r="R63" s="2482"/>
      <c r="S63" s="2482"/>
      <c r="T63" s="2482"/>
      <c r="U63" s="2482"/>
      <c r="V63" s="2482"/>
      <c r="W63" s="2482"/>
    </row>
    <row r="64" spans="1:23" ht="15.75" customHeight="1" x14ac:dyDescent="0.2">
      <c r="A64" s="2769">
        <f t="shared" si="2"/>
        <v>43.129999999999974</v>
      </c>
      <c r="B64" s="2488" t="s">
        <v>7417</v>
      </c>
      <c r="C64" s="2530">
        <v>38692</v>
      </c>
      <c r="D64" s="2530">
        <v>21217314</v>
      </c>
      <c r="E64" s="2488" t="s">
        <v>7418</v>
      </c>
      <c r="F64" s="2530">
        <v>481918</v>
      </c>
      <c r="G64" s="2530">
        <v>20774088</v>
      </c>
      <c r="H64" s="2479" t="str">
        <f t="shared" si="0"/>
        <v>Catastrophic Event - CA</v>
      </c>
      <c r="J64" s="2579"/>
      <c r="K64" s="2613" t="s">
        <v>7419</v>
      </c>
      <c r="L64" s="2511"/>
      <c r="M64" s="2511"/>
      <c r="N64" s="2511"/>
      <c r="O64" s="2482"/>
      <c r="P64" s="2482"/>
      <c r="Q64" s="2482"/>
      <c r="R64" s="2482"/>
      <c r="S64" s="2482"/>
      <c r="T64" s="2482"/>
      <c r="U64" s="2482"/>
      <c r="V64" s="2482"/>
      <c r="W64" s="2482"/>
    </row>
    <row r="65" spans="1:23" ht="15.75" customHeight="1" x14ac:dyDescent="0.2">
      <c r="A65" s="2769">
        <f t="shared" si="2"/>
        <v>43.139999999999972</v>
      </c>
      <c r="B65" s="2488" t="s">
        <v>7420</v>
      </c>
      <c r="C65" s="2530">
        <v>1818886</v>
      </c>
      <c r="D65" s="2530">
        <v>555469</v>
      </c>
      <c r="E65" s="2488"/>
      <c r="F65" s="2488"/>
      <c r="G65" s="2530">
        <v>2374355</v>
      </c>
      <c r="H65" s="2479" t="str">
        <f t="shared" si="0"/>
        <v>Low Income Program - WA</v>
      </c>
      <c r="J65" s="2579"/>
      <c r="K65" s="2613" t="s">
        <v>7421</v>
      </c>
      <c r="L65" s="2511"/>
      <c r="M65" s="2511"/>
      <c r="N65" s="2511"/>
      <c r="O65" s="2482"/>
      <c r="P65" s="2482"/>
      <c r="Q65" s="2482"/>
      <c r="R65" s="2482"/>
      <c r="S65" s="2482"/>
      <c r="T65" s="2482"/>
      <c r="U65" s="2482"/>
      <c r="V65" s="2482"/>
      <c r="W65" s="2482"/>
    </row>
    <row r="66" spans="1:23" ht="15.75" customHeight="1" x14ac:dyDescent="0.2">
      <c r="A66" s="2769">
        <f t="shared" si="2"/>
        <v>43.14999999999997</v>
      </c>
      <c r="B66" s="2761" t="s">
        <v>7422</v>
      </c>
      <c r="C66" s="2530">
        <v>459306</v>
      </c>
      <c r="D66" s="2530">
        <v>2150282</v>
      </c>
      <c r="E66" s="2530">
        <v>501</v>
      </c>
      <c r="F66" s="2530">
        <v>2210875</v>
      </c>
      <c r="G66" s="2530">
        <v>398713</v>
      </c>
      <c r="H66" s="2479" t="str">
        <f t="shared" si="0"/>
        <v>Deferred Overburden Cost - ID</v>
      </c>
      <c r="J66" s="2579"/>
      <c r="K66" s="2613" t="s">
        <v>7423</v>
      </c>
      <c r="L66" s="2511"/>
      <c r="M66" s="2511"/>
      <c r="N66" s="2511"/>
      <c r="O66" s="2482"/>
      <c r="P66" s="2482"/>
      <c r="Q66" s="2482"/>
      <c r="R66" s="2482"/>
      <c r="S66" s="2482"/>
      <c r="T66" s="2482"/>
      <c r="U66" s="2482"/>
      <c r="V66" s="2482"/>
      <c r="W66" s="2482"/>
    </row>
    <row r="67" spans="1:23" ht="15.75" customHeight="1" x14ac:dyDescent="0.2">
      <c r="A67" s="2769">
        <f t="shared" si="2"/>
        <v>43.159999999999968</v>
      </c>
      <c r="B67" s="2761" t="s">
        <v>7424</v>
      </c>
      <c r="C67" s="2530">
        <v>1130023</v>
      </c>
      <c r="D67" s="2530">
        <v>5265566</v>
      </c>
      <c r="E67" s="2530">
        <v>501</v>
      </c>
      <c r="F67" s="2530">
        <v>5419106</v>
      </c>
      <c r="G67" s="2530">
        <v>976483</v>
      </c>
      <c r="H67" s="2479" t="str">
        <f t="shared" si="0"/>
        <v>Deferred Overburden Cost - WY</v>
      </c>
      <c r="J67" s="2579"/>
      <c r="K67" s="2613" t="s">
        <v>7425</v>
      </c>
      <c r="L67" s="2511"/>
      <c r="M67" s="2511"/>
      <c r="N67" s="2511"/>
      <c r="O67" s="2482"/>
      <c r="P67" s="2482"/>
      <c r="Q67" s="2482"/>
      <c r="R67" s="2482"/>
      <c r="S67" s="2482"/>
      <c r="T67" s="2482"/>
      <c r="U67" s="2482"/>
      <c r="V67" s="2482"/>
      <c r="W67" s="2482"/>
    </row>
    <row r="68" spans="1:23" ht="15.75" customHeight="1" x14ac:dyDescent="0.2">
      <c r="A68" s="2769">
        <f t="shared" si="2"/>
        <v>43.169999999999966</v>
      </c>
      <c r="B68" s="2488" t="s">
        <v>7426</v>
      </c>
      <c r="C68" s="2530">
        <v>767714</v>
      </c>
      <c r="D68" s="2530">
        <v>1224604</v>
      </c>
      <c r="E68" s="2488"/>
      <c r="F68" s="2488"/>
      <c r="G68" s="2530">
        <v>1992318</v>
      </c>
      <c r="H68" s="2479" t="str">
        <f t="shared" si="0"/>
        <v>BPA Balancing Account - WA</v>
      </c>
      <c r="J68" s="2579"/>
      <c r="K68" s="2613" t="s">
        <v>7427</v>
      </c>
      <c r="L68" s="2511"/>
      <c r="M68" s="2511"/>
      <c r="N68" s="2511"/>
      <c r="O68" s="2482"/>
      <c r="P68" s="2482"/>
      <c r="Q68" s="2482"/>
      <c r="R68" s="2482"/>
      <c r="S68" s="2482"/>
      <c r="T68" s="2482"/>
      <c r="U68" s="2482"/>
      <c r="V68" s="2482"/>
      <c r="W68" s="2482"/>
    </row>
    <row r="69" spans="1:23" ht="15.75" customHeight="1" x14ac:dyDescent="0.2">
      <c r="A69" s="2769">
        <f t="shared" si="2"/>
        <v>43.179999999999964</v>
      </c>
      <c r="B69" s="2761" t="s">
        <v>7428</v>
      </c>
      <c r="C69" s="2530">
        <v>887360</v>
      </c>
      <c r="D69" s="2488"/>
      <c r="E69" s="2530">
        <v>143</v>
      </c>
      <c r="F69" s="2530">
        <v>774760</v>
      </c>
      <c r="G69" s="2530">
        <v>112600</v>
      </c>
      <c r="H69" s="2479" t="str">
        <f t="shared" si="0"/>
        <v>BPA Balancing Account - OR</v>
      </c>
      <c r="J69" s="2579"/>
      <c r="K69" s="2613" t="s">
        <v>7429</v>
      </c>
      <c r="L69" s="2511"/>
      <c r="M69" s="2511"/>
      <c r="N69" s="2511"/>
      <c r="O69" s="2482"/>
      <c r="P69" s="2482"/>
      <c r="Q69" s="2482"/>
      <c r="R69" s="2482"/>
      <c r="S69" s="2482"/>
      <c r="T69" s="2482"/>
      <c r="U69" s="2482"/>
      <c r="V69" s="2482"/>
      <c r="W69" s="2482"/>
    </row>
    <row r="70" spans="1:23" ht="15.75" customHeight="1" x14ac:dyDescent="0.2">
      <c r="A70" s="2769">
        <f t="shared" si="2"/>
        <v>43.189999999999962</v>
      </c>
      <c r="B70" s="2488" t="s">
        <v>7430</v>
      </c>
      <c r="C70" s="2530">
        <v>1007862</v>
      </c>
      <c r="D70" s="2530">
        <v>333711</v>
      </c>
      <c r="E70" s="2488"/>
      <c r="F70" s="2488"/>
      <c r="G70" s="2530">
        <v>1341573</v>
      </c>
      <c r="H70" s="2479" t="str">
        <f t="shared" si="0"/>
        <v>BPA Balancing Account - ID</v>
      </c>
      <c r="J70" s="2579"/>
      <c r="K70" s="2613" t="s">
        <v>7431</v>
      </c>
      <c r="L70" s="2511"/>
      <c r="M70" s="2511"/>
      <c r="N70" s="2511"/>
      <c r="O70" s="2482"/>
      <c r="P70" s="2482"/>
      <c r="Q70" s="2482"/>
      <c r="R70" s="2482"/>
      <c r="S70" s="2482"/>
      <c r="T70" s="2482"/>
      <c r="U70" s="2482"/>
      <c r="V70" s="2482"/>
      <c r="W70" s="2482"/>
    </row>
    <row r="71" spans="1:23" ht="23.25" customHeight="1" x14ac:dyDescent="0.2">
      <c r="A71" s="2769">
        <f t="shared" si="2"/>
        <v>43.19999999999996</v>
      </c>
      <c r="B71" s="2720" t="s">
        <v>7432</v>
      </c>
      <c r="C71" s="2530">
        <v>2844651</v>
      </c>
      <c r="D71" s="2530">
        <v>424462</v>
      </c>
      <c r="E71" s="2488" t="s">
        <v>7433</v>
      </c>
      <c r="F71" s="2530">
        <v>1419663</v>
      </c>
      <c r="G71" s="2530">
        <v>1849450</v>
      </c>
      <c r="H71" s="2479" t="str">
        <f t="shared" si="0"/>
        <v>Property Sales Balancing Account - OR 
(Amortization period: 1 year, starting 07/2023)</v>
      </c>
      <c r="J71" s="2579"/>
      <c r="K71" s="2613" t="s">
        <v>7434</v>
      </c>
      <c r="L71" s="2511"/>
      <c r="M71" s="2511"/>
      <c r="N71" s="2511"/>
      <c r="O71" s="2482"/>
      <c r="P71" s="2482"/>
      <c r="Q71" s="2482"/>
      <c r="R71" s="2482"/>
      <c r="S71" s="2482"/>
      <c r="T71" s="2482"/>
      <c r="U71" s="2482"/>
      <c r="V71" s="2482"/>
      <c r="W71" s="2482"/>
    </row>
    <row r="72" spans="1:23" ht="15.75" customHeight="1" x14ac:dyDescent="0.2">
      <c r="A72" s="2769">
        <f t="shared" si="2"/>
        <v>43.209999999999958</v>
      </c>
      <c r="B72" s="2761" t="s">
        <v>7435</v>
      </c>
      <c r="C72" s="2530">
        <v>32194780</v>
      </c>
      <c r="D72" s="2530">
        <v>8954932</v>
      </c>
      <c r="E72" s="2530">
        <v>924</v>
      </c>
      <c r="F72" s="2530">
        <v>13000573</v>
      </c>
      <c r="G72" s="2530">
        <v>28149139</v>
      </c>
      <c r="H72" s="2479" t="str">
        <f t="shared" si="0"/>
        <v>Property Damage - OR</v>
      </c>
      <c r="J72" s="2579"/>
      <c r="K72" s="2613" t="s">
        <v>7436</v>
      </c>
      <c r="L72" s="2511"/>
      <c r="M72" s="2511"/>
      <c r="N72" s="2511"/>
      <c r="O72" s="2482"/>
      <c r="P72" s="2482"/>
      <c r="Q72" s="2482"/>
      <c r="R72" s="2482"/>
      <c r="S72" s="2482"/>
      <c r="T72" s="2482"/>
      <c r="U72" s="2482"/>
      <c r="V72" s="2482"/>
      <c r="W72" s="2482"/>
    </row>
    <row r="73" spans="1:23" ht="15.75" customHeight="1" x14ac:dyDescent="0.2">
      <c r="A73" s="2769">
        <f t="shared" si="2"/>
        <v>43.219999999999956</v>
      </c>
      <c r="B73" s="2761" t="s">
        <v>7437</v>
      </c>
      <c r="C73" s="2530">
        <v>503158</v>
      </c>
      <c r="D73" s="2530">
        <v>1028449</v>
      </c>
      <c r="E73" s="2530">
        <v>924</v>
      </c>
      <c r="F73" s="2530">
        <v>1144819</v>
      </c>
      <c r="G73" s="2530">
        <v>386788</v>
      </c>
      <c r="H73" s="2479" t="str">
        <f t="shared" ref="H73:H103" si="3">B73</f>
        <v>Property Damage - WA</v>
      </c>
      <c r="J73" s="2579"/>
      <c r="K73" s="2613" t="s">
        <v>7438</v>
      </c>
      <c r="L73" s="2511"/>
      <c r="M73" s="2511"/>
      <c r="N73" s="2511"/>
      <c r="O73" s="2482"/>
      <c r="P73" s="2482"/>
      <c r="Q73" s="2482"/>
      <c r="R73" s="2482"/>
      <c r="S73" s="2482"/>
      <c r="T73" s="2482"/>
      <c r="U73" s="2482"/>
      <c r="V73" s="2482"/>
      <c r="W73" s="2482"/>
    </row>
    <row r="74" spans="1:23" ht="15.75" customHeight="1" x14ac:dyDescent="0.2">
      <c r="A74" s="2769">
        <f t="shared" si="2"/>
        <v>43.229999999999954</v>
      </c>
      <c r="B74" s="2488" t="s">
        <v>7439</v>
      </c>
      <c r="C74" s="2530">
        <v>1334868</v>
      </c>
      <c r="D74" s="2530">
        <v>1260656</v>
      </c>
      <c r="E74" s="2488"/>
      <c r="F74" s="2488"/>
      <c r="G74" s="2530">
        <v>2595524</v>
      </c>
      <c r="H74" s="2479" t="str">
        <f t="shared" si="3"/>
        <v>Property Damage - CA</v>
      </c>
      <c r="J74" s="2579"/>
      <c r="K74" s="2613" t="s">
        <v>7440</v>
      </c>
      <c r="L74" s="2511"/>
      <c r="M74" s="2511"/>
      <c r="N74" s="2511"/>
      <c r="O74" s="2482"/>
      <c r="P74" s="2482"/>
      <c r="Q74" s="2482"/>
      <c r="R74" s="2482"/>
      <c r="S74" s="2482"/>
      <c r="T74" s="2482"/>
      <c r="U74" s="2482"/>
      <c r="V74" s="2482"/>
      <c r="W74" s="2482"/>
    </row>
    <row r="75" spans="1:23" ht="15.75" customHeight="1" x14ac:dyDescent="0.2">
      <c r="A75" s="2769">
        <f t="shared" si="2"/>
        <v>43.239999999999952</v>
      </c>
      <c r="B75" s="2761" t="s">
        <v>7441</v>
      </c>
      <c r="C75" s="2530">
        <v>0</v>
      </c>
      <c r="D75" s="2530">
        <v>3333458</v>
      </c>
      <c r="E75" s="2530">
        <v>924</v>
      </c>
      <c r="F75" s="2530">
        <v>1116441</v>
      </c>
      <c r="G75" s="2530">
        <v>2217017</v>
      </c>
      <c r="H75" s="2479" t="str">
        <f t="shared" si="3"/>
        <v>Property Damage - UT</v>
      </c>
      <c r="J75" s="2579"/>
      <c r="K75" s="2613" t="s">
        <v>7442</v>
      </c>
      <c r="L75" s="2511"/>
      <c r="M75" s="2511"/>
      <c r="N75" s="2511"/>
      <c r="O75" s="2482"/>
      <c r="P75" s="2482"/>
      <c r="Q75" s="2482"/>
      <c r="R75" s="2482"/>
      <c r="S75" s="2482"/>
      <c r="T75" s="2482"/>
      <c r="U75" s="2482"/>
      <c r="V75" s="2482"/>
      <c r="W75" s="2482"/>
    </row>
    <row r="76" spans="1:23" ht="15.75" customHeight="1" x14ac:dyDescent="0.2">
      <c r="A76" s="2769">
        <f t="shared" si="2"/>
        <v>43.24999999999995</v>
      </c>
      <c r="B76" s="2759" t="s">
        <v>7443</v>
      </c>
      <c r="C76" s="2530">
        <v>0</v>
      </c>
      <c r="D76" s="2530">
        <v>956603</v>
      </c>
      <c r="E76" s="2530">
        <v>924</v>
      </c>
      <c r="F76" s="2530">
        <v>949848</v>
      </c>
      <c r="G76" s="2530">
        <v>6755</v>
      </c>
      <c r="H76" s="2479" t="str">
        <f t="shared" si="3"/>
        <v>Property Damage - WY</v>
      </c>
      <c r="J76" s="2579"/>
      <c r="K76" s="2613" t="s">
        <v>7444</v>
      </c>
      <c r="L76" s="2511"/>
      <c r="M76" s="2511"/>
      <c r="N76" s="2511"/>
      <c r="O76" s="2482"/>
      <c r="P76" s="2482"/>
      <c r="Q76" s="2482"/>
      <c r="R76" s="2482"/>
      <c r="S76" s="2482"/>
      <c r="T76" s="2482"/>
      <c r="U76" s="2482"/>
      <c r="V76" s="2482"/>
      <c r="W76" s="2482"/>
    </row>
    <row r="77" spans="1:23" ht="15.75" customHeight="1" x14ac:dyDescent="0.2">
      <c r="A77" s="2769">
        <f t="shared" si="2"/>
        <v>43.259999999999948</v>
      </c>
      <c r="B77" s="2761" t="s">
        <v>7445</v>
      </c>
      <c r="C77" s="2530">
        <v>458802</v>
      </c>
      <c r="D77" s="2530">
        <v>24030</v>
      </c>
      <c r="E77" s="2530">
        <v>142</v>
      </c>
      <c r="F77" s="2530">
        <v>2137</v>
      </c>
      <c r="G77" s="2530">
        <v>480695</v>
      </c>
      <c r="H77" s="2479" t="str">
        <f t="shared" si="3"/>
        <v>Miscellaneous Regulatory Assets and Liabilities - OR</v>
      </c>
      <c r="J77" s="2579"/>
      <c r="K77" s="2613" t="s">
        <v>7446</v>
      </c>
      <c r="L77" s="2511"/>
      <c r="M77" s="2511"/>
      <c r="N77" s="2511"/>
      <c r="O77" s="2482"/>
      <c r="P77" s="2482"/>
      <c r="Q77" s="2482"/>
      <c r="R77" s="2482"/>
      <c r="S77" s="2482"/>
      <c r="T77" s="2482"/>
      <c r="U77" s="2482"/>
      <c r="V77" s="2482"/>
      <c r="W77" s="2482"/>
    </row>
    <row r="78" spans="1:23" ht="15.75" customHeight="1" x14ac:dyDescent="0.2">
      <c r="A78" s="2769">
        <f t="shared" si="2"/>
        <v>43.269999999999946</v>
      </c>
      <c r="B78" s="2478" t="s">
        <v>7447</v>
      </c>
      <c r="C78" s="2530">
        <v>115058238</v>
      </c>
      <c r="D78" s="2530">
        <v>684645</v>
      </c>
      <c r="E78" s="2488" t="s">
        <v>7448</v>
      </c>
      <c r="F78" s="2530">
        <v>36576859</v>
      </c>
      <c r="G78" s="2530">
        <v>79166024</v>
      </c>
      <c r="H78" s="2479" t="str">
        <f t="shared" si="3"/>
        <v>Utah Mine Disposition</v>
      </c>
      <c r="J78" s="2579"/>
      <c r="K78" s="2613" t="s">
        <v>7449</v>
      </c>
      <c r="L78" s="2511"/>
      <c r="M78" s="2511"/>
      <c r="N78" s="2511"/>
      <c r="O78" s="2482"/>
      <c r="P78" s="2482"/>
      <c r="Q78" s="2482"/>
      <c r="R78" s="2482"/>
      <c r="S78" s="2482"/>
      <c r="T78" s="2482"/>
      <c r="U78" s="2482"/>
      <c r="V78" s="2482"/>
      <c r="W78" s="2482"/>
    </row>
    <row r="79" spans="1:23" ht="23.25" customHeight="1" x14ac:dyDescent="0.2">
      <c r="A79" s="2769">
        <f t="shared" si="2"/>
        <v>43.279999999999944</v>
      </c>
      <c r="B79" s="2488" t="s">
        <v>7450</v>
      </c>
      <c r="C79" s="2530">
        <v>99725</v>
      </c>
      <c r="D79" s="2488"/>
      <c r="E79" s="2765">
        <v>407.3</v>
      </c>
      <c r="F79" s="2530">
        <v>82531</v>
      </c>
      <c r="G79" s="2530">
        <v>17194</v>
      </c>
      <c r="H79" s="2479" t="str">
        <f t="shared" si="3"/>
        <v>Preferred Stock Redemption Loss - UT 
(Amortization period: 10 years, starting 03/2014)</v>
      </c>
      <c r="J79" s="2579"/>
      <c r="K79" s="2613" t="s">
        <v>7451</v>
      </c>
      <c r="L79" s="2511"/>
      <c r="M79" s="2511"/>
      <c r="N79" s="2482"/>
      <c r="O79" s="2482"/>
      <c r="P79" s="2482"/>
      <c r="Q79" s="2482"/>
      <c r="R79" s="2482"/>
      <c r="S79" s="2482"/>
      <c r="T79" s="2482"/>
      <c r="U79" s="2482"/>
      <c r="V79" s="2482"/>
      <c r="W79" s="2482"/>
    </row>
    <row r="80" spans="1:23" ht="23.25" customHeight="1" x14ac:dyDescent="0.2">
      <c r="A80" s="2769">
        <f t="shared" si="2"/>
        <v>43.289999999999942</v>
      </c>
      <c r="B80" s="2488" t="s">
        <v>7452</v>
      </c>
      <c r="C80" s="2530">
        <v>15537</v>
      </c>
      <c r="D80" s="2488"/>
      <c r="E80" s="2765">
        <v>407.3</v>
      </c>
      <c r="F80" s="2530">
        <v>13318</v>
      </c>
      <c r="G80" s="2530">
        <v>2219</v>
      </c>
      <c r="H80" s="2479" t="str">
        <f t="shared" si="3"/>
        <v>Preferred Stock Redemption Loss - WA 
(Amortization period: 10 years, starting 03/2014)</v>
      </c>
      <c r="J80" s="2579"/>
      <c r="K80" s="2578"/>
      <c r="L80" s="2511"/>
      <c r="M80" s="2511"/>
      <c r="N80" s="2482"/>
      <c r="O80" s="2482"/>
      <c r="P80" s="2482"/>
      <c r="Q80" s="2482"/>
      <c r="R80" s="2482"/>
      <c r="S80" s="2482"/>
      <c r="T80" s="2482"/>
      <c r="U80" s="2482"/>
      <c r="V80" s="2482"/>
      <c r="W80" s="2482"/>
    </row>
    <row r="81" spans="1:23" ht="23.25" customHeight="1" x14ac:dyDescent="0.2">
      <c r="A81" s="2769">
        <f t="shared" si="2"/>
        <v>43.29999999999994</v>
      </c>
      <c r="B81" s="2488" t="s">
        <v>7453</v>
      </c>
      <c r="C81" s="2530">
        <v>34366</v>
      </c>
      <c r="D81" s="2488"/>
      <c r="E81" s="2765">
        <v>407.3</v>
      </c>
      <c r="F81" s="2530">
        <v>28442</v>
      </c>
      <c r="G81" s="2530">
        <v>5924</v>
      </c>
      <c r="H81" s="2479" t="str">
        <f t="shared" si="3"/>
        <v>Preferred Stock Redemption Loss - WY 
(Amortization period: 10 years, starting 03/2014)</v>
      </c>
      <c r="J81" s="2579"/>
      <c r="K81" s="2578"/>
      <c r="L81" s="2511"/>
      <c r="M81" s="2511"/>
      <c r="N81" s="2482"/>
      <c r="O81" s="2482"/>
      <c r="P81" s="2482"/>
      <c r="Q81" s="2482"/>
      <c r="R81" s="2482"/>
      <c r="S81" s="2482"/>
      <c r="T81" s="2482"/>
      <c r="U81" s="2482"/>
      <c r="V81" s="2482"/>
      <c r="W81" s="2482"/>
    </row>
    <row r="82" spans="1:23" ht="23.25" customHeight="1" x14ac:dyDescent="0.2">
      <c r="A82" s="2769">
        <f t="shared" si="2"/>
        <v>43.309999999999938</v>
      </c>
      <c r="B82" s="2488" t="s">
        <v>7454</v>
      </c>
      <c r="C82" s="2530">
        <v>206797</v>
      </c>
      <c r="D82" s="2530">
        <v>15136</v>
      </c>
      <c r="E82" s="2765">
        <v>407.3</v>
      </c>
      <c r="F82" s="2530">
        <v>32508</v>
      </c>
      <c r="G82" s="2530">
        <v>189425</v>
      </c>
      <c r="H82" s="2479" t="str">
        <f t="shared" si="3"/>
        <v>Mobile Home Park Conversion - CA 
(Amortization period: 10 years, starting 05/2020)</v>
      </c>
      <c r="J82" s="2579"/>
      <c r="K82" s="2578"/>
      <c r="L82" s="2511"/>
      <c r="M82" s="2511"/>
      <c r="N82" s="2482"/>
      <c r="O82" s="2482"/>
      <c r="P82" s="2482"/>
      <c r="Q82" s="2482"/>
      <c r="R82" s="2482"/>
      <c r="S82" s="2482"/>
      <c r="T82" s="2482"/>
      <c r="U82" s="2482"/>
      <c r="V82" s="2482"/>
      <c r="W82" s="2482"/>
    </row>
    <row r="83" spans="1:23" ht="23.25" customHeight="1" x14ac:dyDescent="0.2">
      <c r="A83" s="2769">
        <f t="shared" si="2"/>
        <v>43.319999999999936</v>
      </c>
      <c r="B83" s="2488" t="s">
        <v>7455</v>
      </c>
      <c r="C83" s="2530">
        <v>606797</v>
      </c>
      <c r="D83" s="2530">
        <v>2390125</v>
      </c>
      <c r="E83" s="2530">
        <v>908</v>
      </c>
      <c r="F83" s="2530">
        <v>697474</v>
      </c>
      <c r="G83" s="2530">
        <v>2299448</v>
      </c>
      <c r="H83" s="2479" t="str">
        <f t="shared" si="3"/>
        <v>Transportation Electrification Program - OR 
(Amortization period: 3 years, starting 04/2023)</v>
      </c>
      <c r="J83" s="2579"/>
      <c r="K83" s="2578"/>
      <c r="L83" s="2511"/>
      <c r="M83" s="2511"/>
      <c r="N83" s="2482"/>
      <c r="O83" s="2482"/>
      <c r="P83" s="2482"/>
      <c r="Q83" s="2482"/>
      <c r="R83" s="2482"/>
      <c r="S83" s="2482"/>
      <c r="T83" s="2482"/>
      <c r="U83" s="2482"/>
      <c r="V83" s="2482"/>
      <c r="W83" s="2482"/>
    </row>
    <row r="84" spans="1:23" ht="15.75" customHeight="1" x14ac:dyDescent="0.2">
      <c r="A84" s="2769">
        <f t="shared" si="2"/>
        <v>43.329999999999934</v>
      </c>
      <c r="B84" s="2488" t="s">
        <v>7456</v>
      </c>
      <c r="C84" s="2530">
        <v>791532</v>
      </c>
      <c r="D84" s="2530">
        <v>216663</v>
      </c>
      <c r="E84" s="2488"/>
      <c r="F84" s="2488"/>
      <c r="G84" s="2530">
        <v>1008195</v>
      </c>
      <c r="H84" s="2479" t="str">
        <f t="shared" si="3"/>
        <v>Transportation Electrification Program - WA</v>
      </c>
      <c r="J84" s="2579"/>
      <c r="K84" s="2578"/>
      <c r="L84" s="2511"/>
      <c r="M84" s="2511"/>
      <c r="N84" s="2482"/>
      <c r="O84" s="2482"/>
      <c r="P84" s="2482"/>
      <c r="Q84" s="2482"/>
      <c r="R84" s="2482"/>
      <c r="S84" s="2482"/>
      <c r="T84" s="2482"/>
      <c r="U84" s="2482"/>
      <c r="V84" s="2482"/>
      <c r="W84" s="2482"/>
    </row>
    <row r="85" spans="1:23" ht="15.75" customHeight="1" x14ac:dyDescent="0.2">
      <c r="A85" s="2769">
        <f t="shared" si="2"/>
        <v>43.339999999999932</v>
      </c>
      <c r="B85" s="2488" t="s">
        <v>7457</v>
      </c>
      <c r="C85" s="2530">
        <v>34606418</v>
      </c>
      <c r="D85" s="2530">
        <v>4425848</v>
      </c>
      <c r="E85" s="2488"/>
      <c r="F85" s="2488"/>
      <c r="G85" s="2530">
        <v>39032266</v>
      </c>
      <c r="H85" s="2479" t="str">
        <f t="shared" si="3"/>
        <v>Fire Hazard and Wildfire Mitigation Plan - CA</v>
      </c>
      <c r="J85" s="2579"/>
      <c r="K85" s="2578"/>
      <c r="L85" s="2511"/>
      <c r="M85" s="2511"/>
      <c r="N85" s="2482"/>
      <c r="O85" s="2482"/>
      <c r="P85" s="2482"/>
      <c r="Q85" s="2482"/>
      <c r="R85" s="2482"/>
      <c r="S85" s="2482"/>
      <c r="T85" s="2482"/>
      <c r="U85" s="2482"/>
      <c r="V85" s="2482"/>
      <c r="W85" s="2482"/>
    </row>
    <row r="86" spans="1:23" ht="15.75" customHeight="1" x14ac:dyDescent="0.2">
      <c r="A86" s="2769">
        <f t="shared" si="2"/>
        <v>43.34999999999993</v>
      </c>
      <c r="B86" s="2762" t="s">
        <v>7458</v>
      </c>
      <c r="C86" s="2530">
        <v>70046726</v>
      </c>
      <c r="D86" s="2530">
        <v>25850924</v>
      </c>
      <c r="E86" s="2760">
        <v>593</v>
      </c>
      <c r="F86" s="2530">
        <v>25885856</v>
      </c>
      <c r="G86" s="2530">
        <v>70011794</v>
      </c>
      <c r="H86" s="2479" t="str">
        <f t="shared" si="3"/>
        <v>Wildfire Mitigation and Vegetation Management Plans - OR</v>
      </c>
      <c r="J86" s="2579"/>
      <c r="K86" s="2578"/>
      <c r="L86" s="2511"/>
      <c r="M86" s="2511"/>
      <c r="N86" s="2482"/>
      <c r="O86" s="2482"/>
      <c r="P86" s="2482"/>
      <c r="Q86" s="2482"/>
      <c r="R86" s="2482"/>
      <c r="S86" s="2482"/>
      <c r="T86" s="2482"/>
      <c r="U86" s="2482"/>
      <c r="V86" s="2482"/>
      <c r="W86" s="2482"/>
    </row>
    <row r="87" spans="1:23" ht="15.75" customHeight="1" x14ac:dyDescent="0.2">
      <c r="A87" s="2769">
        <f t="shared" si="2"/>
        <v>43.359999999999928</v>
      </c>
      <c r="B87" s="2488" t="s">
        <v>7459</v>
      </c>
      <c r="C87" s="2530">
        <v>1812052</v>
      </c>
      <c r="D87" s="2530">
        <v>2221</v>
      </c>
      <c r="E87" s="2760">
        <v>108</v>
      </c>
      <c r="F87" s="2530">
        <v>70548</v>
      </c>
      <c r="G87" s="2530">
        <v>1743725</v>
      </c>
      <c r="H87" s="2479" t="str">
        <f t="shared" si="3"/>
        <v>Wildfire Damaged Plant Net Book Value - OR</v>
      </c>
      <c r="J87" s="2579"/>
      <c r="K87" s="2578"/>
      <c r="L87" s="2511"/>
      <c r="M87" s="2511"/>
      <c r="N87" s="2482"/>
      <c r="O87" s="2482"/>
      <c r="P87" s="2482"/>
      <c r="Q87" s="2482"/>
      <c r="R87" s="2482"/>
      <c r="S87" s="2482"/>
      <c r="T87" s="2482"/>
      <c r="U87" s="2482"/>
      <c r="V87" s="2482"/>
      <c r="W87" s="2482"/>
    </row>
    <row r="88" spans="1:23" ht="15.75" customHeight="1" x14ac:dyDescent="0.2">
      <c r="A88" s="2769">
        <f t="shared" si="2"/>
        <v>43.369999999999926</v>
      </c>
      <c r="B88" s="2488" t="s">
        <v>7460</v>
      </c>
      <c r="C88" s="2530">
        <v>83417</v>
      </c>
      <c r="D88" s="2530">
        <v>5051</v>
      </c>
      <c r="E88" s="2488"/>
      <c r="F88" s="2488"/>
      <c r="G88" s="2530">
        <v>88468</v>
      </c>
      <c r="H88" s="2479" t="str">
        <f t="shared" si="3"/>
        <v>Wildfire Natural Disaster Plan - CA</v>
      </c>
      <c r="J88" s="2579"/>
      <c r="K88" s="2578"/>
      <c r="L88" s="2511"/>
      <c r="M88" s="2511"/>
      <c r="N88" s="2482"/>
      <c r="O88" s="2482"/>
      <c r="P88" s="2482"/>
      <c r="Q88" s="2482"/>
      <c r="R88" s="2482"/>
      <c r="S88" s="2482"/>
      <c r="T88" s="2482"/>
      <c r="U88" s="2482"/>
      <c r="V88" s="2482"/>
      <c r="W88" s="2482"/>
    </row>
    <row r="89" spans="1:23" ht="16.7" customHeight="1" x14ac:dyDescent="0.2">
      <c r="A89" s="2769">
        <f t="shared" si="2"/>
        <v>43.379999999999924</v>
      </c>
      <c r="B89" s="2759" t="s">
        <v>7461</v>
      </c>
      <c r="C89" s="2530">
        <v>4830807</v>
      </c>
      <c r="D89" s="2530">
        <v>468789</v>
      </c>
      <c r="E89" s="2530">
        <v>590</v>
      </c>
      <c r="F89" s="2530">
        <v>1970773</v>
      </c>
      <c r="G89" s="2530">
        <v>3328823</v>
      </c>
      <c r="H89" s="2479" t="str">
        <f t="shared" si="3"/>
        <v>Wildland Fire Mitigation Balancing Account - UT</v>
      </c>
      <c r="J89" s="2579"/>
      <c r="K89" s="2578"/>
      <c r="L89" s="2511"/>
      <c r="M89" s="2511"/>
      <c r="N89" s="2482"/>
      <c r="O89" s="2482"/>
      <c r="P89" s="2482"/>
      <c r="Q89" s="2482"/>
      <c r="R89" s="2482"/>
      <c r="S89" s="2482"/>
      <c r="T89" s="2482"/>
      <c r="U89" s="2482"/>
      <c r="V89" s="2482"/>
      <c r="W89" s="2482"/>
    </row>
    <row r="90" spans="1:23" ht="23.25" customHeight="1" x14ac:dyDescent="0.2">
      <c r="A90" s="2769">
        <f t="shared" si="2"/>
        <v>43.389999999999922</v>
      </c>
      <c r="B90" s="2488" t="s">
        <v>7462</v>
      </c>
      <c r="C90" s="2530">
        <v>11353971</v>
      </c>
      <c r="D90" s="2530">
        <v>406894</v>
      </c>
      <c r="E90" s="2765">
        <v>407.3</v>
      </c>
      <c r="F90" s="2530">
        <v>3964506</v>
      </c>
      <c r="G90" s="2530">
        <v>7796359</v>
      </c>
      <c r="H90" s="2479" t="str">
        <f t="shared" si="3"/>
        <v>AMI Replaced Meters - OR 
(Amortization period: 5 years, starting 01/2021)</v>
      </c>
      <c r="J90" s="2579"/>
      <c r="K90" s="2578"/>
      <c r="L90" s="2511"/>
      <c r="M90" s="2511"/>
      <c r="N90" s="2482"/>
      <c r="O90" s="2482"/>
      <c r="P90" s="2482"/>
      <c r="Q90" s="2482"/>
      <c r="R90" s="2482"/>
      <c r="S90" s="2482"/>
      <c r="T90" s="2482"/>
      <c r="U90" s="2482"/>
      <c r="V90" s="2482"/>
      <c r="W90" s="2482"/>
    </row>
    <row r="91" spans="1:23" ht="23.25" customHeight="1" x14ac:dyDescent="0.2">
      <c r="A91" s="2769">
        <f t="shared" si="2"/>
        <v>43.39999999999992</v>
      </c>
      <c r="B91" s="2488" t="s">
        <v>7463</v>
      </c>
      <c r="C91" s="2530">
        <v>12480133</v>
      </c>
      <c r="D91" s="2530">
        <v>595590</v>
      </c>
      <c r="E91" s="2530">
        <v>908</v>
      </c>
      <c r="F91" s="2530">
        <v>3315833</v>
      </c>
      <c r="G91" s="2530">
        <v>9759890</v>
      </c>
      <c r="H91" s="2479" t="str">
        <f t="shared" si="3"/>
        <v>COVID-19 Bill Assistance Program - OR 
(Amortization period: 4 years, starting 04/2023)</v>
      </c>
      <c r="J91" s="2579"/>
      <c r="K91" s="2578"/>
      <c r="L91" s="2511"/>
      <c r="M91" s="2511"/>
      <c r="N91" s="2482"/>
      <c r="O91" s="2482"/>
      <c r="P91" s="2482"/>
      <c r="Q91" s="2482"/>
      <c r="R91" s="2482"/>
      <c r="S91" s="2482"/>
      <c r="T91" s="2482"/>
      <c r="U91" s="2482"/>
      <c r="V91" s="2482"/>
      <c r="W91" s="2482"/>
    </row>
    <row r="92" spans="1:23" ht="15.75" customHeight="1" x14ac:dyDescent="0.2">
      <c r="A92" s="2769">
        <f t="shared" si="2"/>
        <v>43.409999999999918</v>
      </c>
      <c r="B92" s="2488" t="s">
        <v>7464</v>
      </c>
      <c r="C92" s="2530">
        <v>3101326</v>
      </c>
      <c r="D92" s="2488"/>
      <c r="E92" s="2488"/>
      <c r="F92" s="2488"/>
      <c r="G92" s="2530">
        <v>3101326</v>
      </c>
      <c r="H92" s="2479" t="str">
        <f t="shared" si="3"/>
        <v>COVID-19 Bill Assistance Program - WA</v>
      </c>
      <c r="J92" s="2579"/>
      <c r="K92" s="2578"/>
      <c r="L92" s="2511"/>
      <c r="M92" s="2511"/>
      <c r="N92" s="2482"/>
      <c r="O92" s="2482"/>
      <c r="P92" s="2482"/>
      <c r="Q92" s="2482"/>
      <c r="R92" s="2482"/>
      <c r="S92" s="2482"/>
      <c r="T92" s="2482"/>
      <c r="U92" s="2482"/>
      <c r="V92" s="2482"/>
      <c r="W92" s="2482"/>
    </row>
    <row r="93" spans="1:23" ht="15.75" customHeight="1" x14ac:dyDescent="0.2">
      <c r="A93" s="2769">
        <f t="shared" si="2"/>
        <v>43.419999999999916</v>
      </c>
      <c r="B93" s="2488" t="s">
        <v>7465</v>
      </c>
      <c r="C93" s="2530">
        <v>916270</v>
      </c>
      <c r="D93" s="2530">
        <v>346311</v>
      </c>
      <c r="E93" s="2488"/>
      <c r="F93" s="2488"/>
      <c r="G93" s="2530">
        <v>1262581</v>
      </c>
      <c r="H93" s="2479" t="str">
        <f t="shared" si="3"/>
        <v>Equity Advisory Group for Clean Energy Implementation Plan  - WA</v>
      </c>
      <c r="J93" s="2579"/>
      <c r="K93" s="2578"/>
      <c r="L93" s="2511"/>
      <c r="M93" s="2511"/>
      <c r="N93" s="2482"/>
      <c r="O93" s="2482"/>
      <c r="P93" s="2482"/>
      <c r="Q93" s="2482"/>
      <c r="R93" s="2482"/>
      <c r="S93" s="2482"/>
      <c r="T93" s="2482"/>
      <c r="U93" s="2482"/>
      <c r="V93" s="2482"/>
      <c r="W93" s="2482"/>
    </row>
    <row r="94" spans="1:23" ht="15.75" customHeight="1" x14ac:dyDescent="0.2">
      <c r="A94" s="2769">
        <f t="shared" si="2"/>
        <v>43.429999999999914</v>
      </c>
      <c r="B94" s="2761" t="s">
        <v>7466</v>
      </c>
      <c r="C94" s="2530">
        <v>581607</v>
      </c>
      <c r="D94" s="2488"/>
      <c r="E94" s="2488" t="s">
        <v>7360</v>
      </c>
      <c r="F94" s="2530">
        <v>581607</v>
      </c>
      <c r="G94" s="2530">
        <v>0</v>
      </c>
      <c r="H94" s="2479" t="str">
        <f t="shared" si="3"/>
        <v>Low-Carbon Energy Standards - WY</v>
      </c>
      <c r="J94" s="2579"/>
      <c r="K94" s="2578"/>
      <c r="L94" s="2511"/>
      <c r="M94" s="2511"/>
      <c r="N94" s="2482"/>
      <c r="O94" s="2482"/>
      <c r="P94" s="2482"/>
      <c r="Q94" s="2482"/>
      <c r="R94" s="2482"/>
      <c r="S94" s="2482"/>
      <c r="T94" s="2482"/>
      <c r="U94" s="2482"/>
      <c r="V94" s="2482"/>
      <c r="W94" s="2482"/>
    </row>
    <row r="95" spans="1:23" ht="15.75" customHeight="1" x14ac:dyDescent="0.2">
      <c r="A95" s="2769">
        <f t="shared" si="2"/>
        <v>43.439999999999912</v>
      </c>
      <c r="B95" s="2761" t="s">
        <v>7467</v>
      </c>
      <c r="C95" s="2530">
        <v>394588</v>
      </c>
      <c r="D95" s="2530">
        <v>11737643</v>
      </c>
      <c r="E95" s="2530">
        <v>142</v>
      </c>
      <c r="F95" s="2530">
        <v>4669284</v>
      </c>
      <c r="G95" s="2530">
        <v>7462947</v>
      </c>
      <c r="H95" s="2479" t="str">
        <f t="shared" si="3"/>
        <v>Low Income Bill Discount Admin Cost - OR</v>
      </c>
      <c r="J95" s="2579"/>
      <c r="K95" s="2578"/>
      <c r="L95" s="2511"/>
      <c r="M95" s="2511"/>
      <c r="N95" s="2482"/>
      <c r="O95" s="2482"/>
      <c r="P95" s="2482"/>
      <c r="Q95" s="2482"/>
      <c r="R95" s="2482"/>
      <c r="S95" s="2482"/>
      <c r="T95" s="2482"/>
      <c r="U95" s="2482"/>
      <c r="V95" s="2482"/>
      <c r="W95" s="2482"/>
    </row>
    <row r="96" spans="1:23" ht="15.75" customHeight="1" x14ac:dyDescent="0.2">
      <c r="A96" s="2769">
        <f t="shared" si="2"/>
        <v>43.44999999999991</v>
      </c>
      <c r="B96" s="2761" t="s">
        <v>7468</v>
      </c>
      <c r="C96" s="2530">
        <v>84451</v>
      </c>
      <c r="D96" s="2530">
        <v>394643</v>
      </c>
      <c r="E96" s="2771">
        <v>142</v>
      </c>
      <c r="F96" s="2530">
        <v>416053</v>
      </c>
      <c r="G96" s="2530">
        <v>63041</v>
      </c>
      <c r="H96" s="2479" t="str">
        <f t="shared" si="3"/>
        <v>Utility Community Advisory Group - OR</v>
      </c>
      <c r="J96" s="2579"/>
      <c r="K96" s="2578"/>
      <c r="L96" s="2511"/>
      <c r="M96" s="2511"/>
      <c r="N96" s="2482"/>
      <c r="O96" s="2482"/>
      <c r="P96" s="2482"/>
      <c r="Q96" s="2482"/>
      <c r="R96" s="2482"/>
      <c r="S96" s="2482"/>
      <c r="T96" s="2482"/>
      <c r="U96" s="2482"/>
      <c r="V96" s="2482"/>
      <c r="W96" s="2482"/>
    </row>
    <row r="97" spans="1:23" ht="15.75" customHeight="1" x14ac:dyDescent="0.2">
      <c r="A97" s="2769">
        <f t="shared" si="2"/>
        <v>43.459999999999908</v>
      </c>
      <c r="B97" s="2488" t="s">
        <v>7469</v>
      </c>
      <c r="C97" s="2530">
        <v>994544</v>
      </c>
      <c r="D97" s="2530">
        <v>1213781</v>
      </c>
      <c r="E97" s="2488"/>
      <c r="F97" s="2488"/>
      <c r="G97" s="2530">
        <v>2208325</v>
      </c>
      <c r="H97" s="2479" t="str">
        <f t="shared" si="3"/>
        <v>Distribution System Plan - OR</v>
      </c>
      <c r="J97" s="2579"/>
      <c r="K97" s="2578"/>
      <c r="L97" s="2511"/>
      <c r="M97" s="2511"/>
      <c r="N97" s="2482"/>
      <c r="O97" s="2482"/>
      <c r="P97" s="2482"/>
      <c r="Q97" s="2482"/>
      <c r="R97" s="2482"/>
      <c r="S97" s="2482"/>
      <c r="T97" s="2482"/>
      <c r="U97" s="2482"/>
      <c r="V97" s="2482"/>
      <c r="W97" s="2482"/>
    </row>
    <row r="98" spans="1:23" ht="23.25" customHeight="1" x14ac:dyDescent="0.2">
      <c r="A98" s="2769">
        <f t="shared" si="2"/>
        <v>43.469999999999906</v>
      </c>
      <c r="B98" s="2488" t="s">
        <v>7470</v>
      </c>
      <c r="C98" s="2530">
        <v>6040426</v>
      </c>
      <c r="D98" s="2530">
        <v>2264279</v>
      </c>
      <c r="E98" s="2614" t="s">
        <v>7471</v>
      </c>
      <c r="F98" s="2530">
        <v>4576556</v>
      </c>
      <c r="G98" s="2530">
        <v>3728149</v>
      </c>
      <c r="H98" s="2479" t="str">
        <f t="shared" si="3"/>
        <v>TB Flats - OR 
(Amortization period: 3 years, starting 04/2023)</v>
      </c>
      <c r="J98" s="2579"/>
      <c r="K98" s="2578"/>
      <c r="L98" s="2511"/>
      <c r="M98" s="2511"/>
      <c r="N98" s="2482"/>
      <c r="O98" s="2482"/>
      <c r="P98" s="2482"/>
      <c r="Q98" s="2482"/>
      <c r="R98" s="2482"/>
      <c r="S98" s="2482"/>
      <c r="T98" s="2482"/>
      <c r="U98" s="2482"/>
      <c r="V98" s="2482"/>
      <c r="W98" s="2482"/>
    </row>
    <row r="99" spans="1:23" ht="15.75" customHeight="1" x14ac:dyDescent="0.2">
      <c r="A99" s="2769">
        <f t="shared" si="2"/>
        <v>43.479999999999905</v>
      </c>
      <c r="B99" s="2759" t="s">
        <v>7472</v>
      </c>
      <c r="C99" s="2530">
        <v>227343</v>
      </c>
      <c r="D99" s="2488"/>
      <c r="E99" s="2760">
        <v>254</v>
      </c>
      <c r="F99" s="2530">
        <v>227343</v>
      </c>
      <c r="G99" s="2530">
        <v>0</v>
      </c>
      <c r="H99" s="2479" t="str">
        <f t="shared" si="3"/>
        <v>Arrearage Payment Program - CA</v>
      </c>
      <c r="J99" s="2579"/>
      <c r="K99" s="2578"/>
      <c r="L99" s="2511"/>
      <c r="M99" s="2511"/>
      <c r="N99" s="2482"/>
      <c r="O99" s="2482"/>
      <c r="P99" s="2482"/>
      <c r="Q99" s="2482"/>
      <c r="R99" s="2482"/>
      <c r="S99" s="2482"/>
      <c r="T99" s="2482"/>
      <c r="U99" s="2482"/>
      <c r="V99" s="2482"/>
      <c r="W99" s="2482"/>
    </row>
    <row r="100" spans="1:23" ht="23.25" customHeight="1" x14ac:dyDescent="0.2">
      <c r="A100" s="2769">
        <f t="shared" si="2"/>
        <v>43.489999999999903</v>
      </c>
      <c r="B100" s="2488" t="s">
        <v>7473</v>
      </c>
      <c r="C100" s="2530">
        <v>0</v>
      </c>
      <c r="D100" s="2530">
        <v>5948649</v>
      </c>
      <c r="E100" s="2765">
        <v>407.3</v>
      </c>
      <c r="F100" s="2530">
        <v>1218154</v>
      </c>
      <c r="G100" s="2530">
        <v>4730495</v>
      </c>
      <c r="H100" s="2479" t="str">
        <f t="shared" si="3"/>
        <v>Klamath Unrecovered Plant Net Book Value 
(Amortization period: 5 years, starting 12/2022)</v>
      </c>
      <c r="J100" s="2579"/>
      <c r="K100" s="2578"/>
      <c r="L100" s="2511"/>
      <c r="M100" s="2511"/>
      <c r="N100" s="2482"/>
      <c r="O100" s="2482"/>
      <c r="P100" s="2482"/>
      <c r="Q100" s="2482"/>
      <c r="R100" s="2482"/>
      <c r="S100" s="2482"/>
      <c r="T100" s="2482"/>
      <c r="U100" s="2482"/>
      <c r="V100" s="2482"/>
      <c r="W100" s="2482"/>
    </row>
    <row r="101" spans="1:23" ht="15.75" customHeight="1" x14ac:dyDescent="0.2">
      <c r="A101" s="2769">
        <f t="shared" si="2"/>
        <v>43.499999999999901</v>
      </c>
      <c r="B101" s="2720" t="s">
        <v>7474</v>
      </c>
      <c r="C101" s="2530">
        <v>0</v>
      </c>
      <c r="D101" s="2530">
        <v>616721</v>
      </c>
      <c r="E101" s="2488"/>
      <c r="F101" s="2488"/>
      <c r="G101" s="2530">
        <v>616721</v>
      </c>
      <c r="H101" s="2479" t="str">
        <f t="shared" si="3"/>
        <v>Alternative Rate For Energy (CARE) - CA</v>
      </c>
      <c r="J101" s="2579"/>
      <c r="K101" s="2578"/>
      <c r="L101" s="2511"/>
      <c r="M101" s="2511"/>
      <c r="N101" s="2482"/>
      <c r="O101" s="2482"/>
      <c r="P101" s="2482"/>
      <c r="Q101" s="2482"/>
      <c r="R101" s="2482"/>
      <c r="S101" s="2482"/>
      <c r="T101" s="2482"/>
      <c r="U101" s="2482"/>
      <c r="V101" s="2482"/>
      <c r="W101" s="2482"/>
    </row>
    <row r="102" spans="1:23" ht="15.75" customHeight="1" x14ac:dyDescent="0.2">
      <c r="A102" s="2769">
        <f t="shared" si="2"/>
        <v>43.509999999999899</v>
      </c>
      <c r="B102" s="2759" t="s">
        <v>7475</v>
      </c>
      <c r="C102" s="2530">
        <v>0</v>
      </c>
      <c r="D102" s="2530">
        <v>1789765</v>
      </c>
      <c r="E102" s="2772" t="s">
        <v>7476</v>
      </c>
      <c r="F102" s="2530">
        <v>1284526</v>
      </c>
      <c r="G102" s="2530">
        <v>505239</v>
      </c>
      <c r="H102" s="2479" t="str">
        <f t="shared" si="3"/>
        <v>Utility Bill Assistance - UT</v>
      </c>
      <c r="J102" s="2579"/>
      <c r="K102" s="2578"/>
      <c r="L102" s="2511"/>
      <c r="M102" s="2511"/>
      <c r="N102" s="2482"/>
      <c r="O102" s="2482"/>
      <c r="P102" s="2482"/>
      <c r="Q102" s="2482"/>
      <c r="R102" s="2482"/>
      <c r="S102" s="2482"/>
      <c r="T102" s="2482"/>
      <c r="U102" s="2482"/>
      <c r="V102" s="2482"/>
      <c r="W102" s="2482"/>
    </row>
    <row r="103" spans="1:23" ht="15.75" customHeight="1" x14ac:dyDescent="0.2">
      <c r="A103" s="2769">
        <f t="shared" si="2"/>
        <v>43.519999999999897</v>
      </c>
      <c r="B103" s="2720" t="s">
        <v>7477</v>
      </c>
      <c r="C103" s="2530">
        <v>0</v>
      </c>
      <c r="D103" s="2530">
        <v>16511539</v>
      </c>
      <c r="E103" s="2488"/>
      <c r="F103" s="2488"/>
      <c r="G103" s="2530">
        <v>16511539</v>
      </c>
      <c r="H103" s="2479" t="str">
        <f t="shared" si="3"/>
        <v>2023 GRC Memo Account - CA</v>
      </c>
      <c r="J103" s="2579"/>
      <c r="K103" s="2578"/>
      <c r="L103" s="2511"/>
      <c r="M103" s="2511"/>
      <c r="N103" s="2482"/>
      <c r="O103" s="2482"/>
      <c r="P103" s="2482"/>
      <c r="Q103" s="2482"/>
      <c r="R103" s="2482"/>
      <c r="S103" s="2482"/>
      <c r="T103" s="2482"/>
      <c r="U103" s="2482"/>
      <c r="V103" s="2482"/>
      <c r="W103" s="2482"/>
    </row>
    <row r="104" spans="1:23" ht="15.75" customHeight="1" x14ac:dyDescent="0.2">
      <c r="A104" s="2634">
        <v>44</v>
      </c>
      <c r="B104" s="2773" t="s">
        <v>104</v>
      </c>
      <c r="C104" s="2561">
        <f>SUM(C9:C103)</f>
        <v>1807229847</v>
      </c>
      <c r="D104" s="2561">
        <f>SUM(D9:D103)</f>
        <v>1333246174</v>
      </c>
      <c r="E104" s="2774"/>
      <c r="F104" s="2561">
        <f>SUM(F9:F103)</f>
        <v>640707543</v>
      </c>
      <c r="G104" s="2561">
        <f>SUM(G9:G103)</f>
        <v>2499768478</v>
      </c>
      <c r="H104" s="2479"/>
      <c r="J104" s="2579"/>
      <c r="K104" s="2613" t="s">
        <v>6044</v>
      </c>
      <c r="L104" s="2511"/>
      <c r="M104" s="2511"/>
      <c r="N104" s="2482"/>
      <c r="O104" s="2482"/>
      <c r="P104" s="2482"/>
      <c r="Q104" s="2482"/>
      <c r="R104" s="2482"/>
      <c r="S104" s="2482"/>
      <c r="T104" s="2482"/>
      <c r="U104" s="2482"/>
      <c r="V104" s="2482"/>
      <c r="W104" s="2482"/>
    </row>
    <row r="105" spans="1:23" ht="15" customHeight="1" x14ac:dyDescent="0.2">
      <c r="A105" s="2516"/>
      <c r="B105" s="2516"/>
      <c r="C105" s="2516"/>
      <c r="D105" s="2516"/>
      <c r="E105" s="2516"/>
      <c r="F105" s="2516"/>
      <c r="G105" s="2516"/>
      <c r="J105" s="2579"/>
      <c r="K105" s="2578"/>
      <c r="L105" s="2511"/>
      <c r="M105" s="2511"/>
      <c r="N105" s="2482"/>
      <c r="O105" s="2482"/>
      <c r="P105" s="2482"/>
      <c r="Q105" s="2482"/>
      <c r="R105" s="2482"/>
      <c r="S105" s="2482"/>
      <c r="T105" s="2482"/>
      <c r="U105" s="2482"/>
      <c r="V105" s="2482"/>
      <c r="W105" s="2482"/>
    </row>
    <row r="106" spans="1:23" ht="15" customHeight="1" x14ac:dyDescent="0.2">
      <c r="B106" s="2775"/>
      <c r="C106" s="2775"/>
      <c r="D106" s="2775"/>
      <c r="E106" s="2775"/>
      <c r="F106" s="2775"/>
      <c r="G106" s="2775"/>
      <c r="J106" s="2608"/>
    </row>
    <row r="107" spans="1:23" ht="15" customHeight="1" x14ac:dyDescent="0.2">
      <c r="B107" s="2775"/>
      <c r="C107" s="2775"/>
      <c r="D107" s="2775"/>
      <c r="E107" s="2775"/>
      <c r="F107" s="2775"/>
      <c r="G107" s="2775"/>
    </row>
    <row r="108" spans="1:23" ht="15" customHeight="1" x14ac:dyDescent="0.2">
      <c r="B108" s="2775"/>
      <c r="C108" s="2775"/>
      <c r="D108" s="2775"/>
      <c r="E108" s="2775"/>
      <c r="F108" s="2775"/>
      <c r="G108" s="2775"/>
    </row>
    <row r="109" spans="1:23" ht="15" customHeight="1" x14ac:dyDescent="0.2">
      <c r="B109" s="2775"/>
      <c r="C109" s="2775"/>
      <c r="D109" s="2775"/>
      <c r="E109" s="2775"/>
      <c r="F109" s="2775"/>
      <c r="G109" s="2775"/>
    </row>
    <row r="110" spans="1:23" ht="15" customHeight="1" x14ac:dyDescent="0.2">
      <c r="B110" s="2775"/>
      <c r="C110" s="2775"/>
      <c r="D110" s="2775"/>
      <c r="E110" s="2775"/>
      <c r="F110" s="2775"/>
      <c r="G110" s="2775"/>
    </row>
    <row r="111" spans="1:23" ht="15" customHeight="1" x14ac:dyDescent="0.2">
      <c r="B111" s="2775"/>
      <c r="C111" s="2775"/>
      <c r="D111" s="2775"/>
      <c r="E111" s="2775"/>
      <c r="F111" s="2775"/>
      <c r="G111" s="2775"/>
    </row>
    <row r="112" spans="1:23" ht="15" customHeight="1" x14ac:dyDescent="0.2">
      <c r="B112" s="2775"/>
      <c r="C112" s="2775"/>
      <c r="D112" s="2775"/>
      <c r="E112" s="2775"/>
      <c r="F112" s="2775"/>
      <c r="G112" s="2775"/>
    </row>
    <row r="113" spans="2:7" ht="15" customHeight="1" x14ac:dyDescent="0.2">
      <c r="B113" s="2775"/>
      <c r="C113" s="2775"/>
      <c r="D113" s="2775"/>
      <c r="E113" s="2775"/>
      <c r="F113" s="2775"/>
      <c r="G113" s="2775"/>
    </row>
    <row r="114" spans="2:7" ht="15" customHeight="1" x14ac:dyDescent="0.2">
      <c r="B114" s="2775"/>
      <c r="C114" s="2775"/>
      <c r="D114" s="2775"/>
      <c r="E114" s="2775"/>
      <c r="F114" s="2775"/>
      <c r="G114" s="2775"/>
    </row>
    <row r="115" spans="2:7" ht="15" customHeight="1" x14ac:dyDescent="0.2">
      <c r="B115" s="2775"/>
      <c r="C115" s="2775"/>
      <c r="D115" s="2775"/>
      <c r="E115" s="2775"/>
      <c r="F115" s="2775"/>
      <c r="G115" s="2775"/>
    </row>
  </sheetData>
  <mergeCells count="9">
    <mergeCell ref="A3:G3"/>
    <mergeCell ref="A4:G4"/>
    <mergeCell ref="K4:L4"/>
    <mergeCell ref="A5:A6"/>
    <mergeCell ref="B5:B6"/>
    <mergeCell ref="C5:C6"/>
    <mergeCell ref="D5:D6"/>
    <mergeCell ref="E5:F5"/>
    <mergeCell ref="G5:G6"/>
  </mergeCells>
  <pageMargins left="0.75" right="0.75" top="1" bottom="1" header="0.5" footer="0.5"/>
  <customProperties>
    <customPr name="_pios_id" r:id="rId1"/>
  </customPropertie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2E735-09FA-45B2-B85C-1FB0E905A70D}">
  <sheetPr codeName="Sheet56"/>
  <dimension ref="A1:W79"/>
  <sheetViews>
    <sheetView workbookViewId="0">
      <pane ySplit="8" topLeftCell="A9" activePane="bottomLeft" state="frozen"/>
      <selection activeCell="C1" sqref="C1"/>
      <selection pane="bottomLeft" activeCell="C1" sqref="C1"/>
    </sheetView>
  </sheetViews>
  <sheetFormatPr defaultColWidth="11.5" defaultRowHeight="12.75" x14ac:dyDescent="0.2"/>
  <cols>
    <col min="1" max="1" width="5.25" style="1953" customWidth="1"/>
    <col min="2" max="2" width="43.5" style="1953" customWidth="1"/>
    <col min="3" max="3" width="17.625" style="1953" customWidth="1"/>
    <col min="4" max="4" width="16.75" style="1953" customWidth="1"/>
    <col min="5" max="6" width="14.125" style="1953" customWidth="1"/>
    <col min="7" max="7" width="15.625" style="1953" customWidth="1"/>
    <col min="8" max="8" width="34.25" style="1953" customWidth="1"/>
    <col min="9" max="9" width="17.625" style="1953" customWidth="1"/>
    <col min="10" max="10" width="17.625" style="1953" hidden="1" customWidth="1"/>
    <col min="11" max="11" width="6.375" style="1953" hidden="1" customWidth="1"/>
    <col min="12" max="12" width="34" style="1953" hidden="1" customWidth="1"/>
    <col min="13" max="13" width="8.5" style="1953" hidden="1" customWidth="1"/>
    <col min="14" max="23" width="17.625" style="1953" hidden="1" customWidth="1"/>
    <col min="24" max="26" width="17.625" style="1953" customWidth="1"/>
    <col min="27" max="16384" width="11.5" style="1953"/>
  </cols>
  <sheetData>
    <row r="1" spans="1:23" ht="15.75" customHeight="1" x14ac:dyDescent="0.2">
      <c r="B1" s="2755" t="s">
        <v>5937</v>
      </c>
      <c r="K1" s="2578"/>
      <c r="L1" s="2511"/>
      <c r="M1" s="2511"/>
      <c r="N1" s="2482"/>
      <c r="O1" s="2482"/>
      <c r="P1" s="2482"/>
      <c r="Q1" s="2482"/>
      <c r="R1" s="2482"/>
      <c r="S1" s="2482"/>
      <c r="T1" s="2482"/>
      <c r="U1" s="2482"/>
      <c r="V1" s="2482"/>
      <c r="W1" s="2482"/>
    </row>
    <row r="2" spans="1:23" ht="15" customHeight="1" x14ac:dyDescent="0.2">
      <c r="J2" s="2577"/>
      <c r="K2" s="2578"/>
      <c r="L2" s="2511"/>
      <c r="M2" s="2511"/>
      <c r="N2" s="2482"/>
      <c r="O2" s="2482"/>
      <c r="P2" s="2482"/>
      <c r="Q2" s="2482"/>
      <c r="R2" s="2482"/>
      <c r="S2" s="2482"/>
      <c r="T2" s="2482"/>
      <c r="U2" s="2482"/>
      <c r="V2" s="2482"/>
      <c r="W2" s="2482"/>
    </row>
    <row r="3" spans="1:23" ht="15.75" customHeight="1" x14ac:dyDescent="0.2">
      <c r="A3" s="3882" t="s">
        <v>7478</v>
      </c>
      <c r="B3" s="3883"/>
      <c r="C3" s="3883"/>
      <c r="D3" s="3883"/>
      <c r="E3" s="3883"/>
      <c r="F3" s="3883"/>
      <c r="G3" s="3884"/>
      <c r="H3" s="2479"/>
      <c r="J3" s="2579"/>
      <c r="K3" s="2578"/>
      <c r="L3" s="2511"/>
      <c r="M3" s="2511"/>
      <c r="N3" s="2482"/>
      <c r="O3" s="2482"/>
      <c r="P3" s="2482"/>
      <c r="Q3" s="2482"/>
      <c r="R3" s="2482"/>
      <c r="S3" s="2482"/>
      <c r="T3" s="2482"/>
      <c r="U3" s="2482"/>
      <c r="V3" s="2482"/>
      <c r="W3" s="2482"/>
    </row>
    <row r="4" spans="1:23" ht="32.450000000000003" customHeight="1" x14ac:dyDescent="0.2">
      <c r="A4" s="3894" t="s">
        <v>7479</v>
      </c>
      <c r="B4" s="3883"/>
      <c r="C4" s="3883"/>
      <c r="D4" s="3883"/>
      <c r="E4" s="3883"/>
      <c r="F4" s="3883"/>
      <c r="G4" s="3884"/>
      <c r="H4" s="2479"/>
      <c r="J4" s="2756" t="s">
        <v>6320</v>
      </c>
      <c r="K4" s="3910" t="s">
        <v>5938</v>
      </c>
      <c r="L4" s="3910"/>
      <c r="M4" s="2511"/>
      <c r="N4" s="2482"/>
      <c r="O4" s="2482"/>
      <c r="P4" s="2482"/>
      <c r="Q4" s="2482"/>
      <c r="R4" s="2482"/>
      <c r="S4" s="2482"/>
      <c r="T4" s="2482"/>
      <c r="U4" s="2482"/>
      <c r="V4" s="2482"/>
      <c r="W4" s="2482"/>
    </row>
    <row r="5" spans="1:23" ht="15.75" customHeight="1" x14ac:dyDescent="0.2">
      <c r="A5" s="3922" t="s">
        <v>6360</v>
      </c>
      <c r="B5" s="3922" t="s">
        <v>7480</v>
      </c>
      <c r="C5" s="3922" t="s">
        <v>7481</v>
      </c>
      <c r="D5" s="3882" t="s">
        <v>7482</v>
      </c>
      <c r="E5" s="3892"/>
      <c r="F5" s="3922" t="s">
        <v>7317</v>
      </c>
      <c r="G5" s="3922" t="s">
        <v>7483</v>
      </c>
      <c r="H5" s="2479"/>
      <c r="J5" s="2611"/>
      <c r="K5" s="2578"/>
      <c r="L5" s="2511"/>
      <c r="M5" s="2511"/>
      <c r="N5" s="2482"/>
      <c r="O5" s="2482"/>
      <c r="P5" s="2482"/>
      <c r="Q5" s="2482"/>
      <c r="R5" s="2482"/>
      <c r="S5" s="2482"/>
      <c r="T5" s="2482"/>
      <c r="U5" s="2482"/>
      <c r="V5" s="2482"/>
      <c r="W5" s="2482"/>
    </row>
    <row r="6" spans="1:23" ht="15.75" customHeight="1" x14ac:dyDescent="0.2">
      <c r="A6" s="3961"/>
      <c r="B6" s="3961"/>
      <c r="C6" s="3961"/>
      <c r="D6" s="2487" t="s">
        <v>7484</v>
      </c>
      <c r="E6" s="2487" t="s">
        <v>441</v>
      </c>
      <c r="F6" s="3961"/>
      <c r="G6" s="3961"/>
      <c r="H6" s="2479"/>
      <c r="J6" s="2611"/>
      <c r="K6" s="2578"/>
      <c r="L6" s="2511"/>
      <c r="M6" s="2511"/>
      <c r="N6" s="2482"/>
      <c r="O6" s="2482"/>
      <c r="P6" s="2482"/>
      <c r="Q6" s="2482"/>
      <c r="R6" s="2482"/>
      <c r="S6" s="2482"/>
      <c r="T6" s="2482"/>
      <c r="U6" s="2482"/>
      <c r="V6" s="2482"/>
      <c r="W6" s="2482"/>
    </row>
    <row r="7" spans="1:23" ht="15.75" customHeight="1" x14ac:dyDescent="0.2">
      <c r="A7" s="2488"/>
      <c r="B7" s="2487" t="s">
        <v>5949</v>
      </c>
      <c r="C7" s="2487" t="s">
        <v>5950</v>
      </c>
      <c r="D7" s="2487" t="s">
        <v>5951</v>
      </c>
      <c r="E7" s="2487" t="s">
        <v>5952</v>
      </c>
      <c r="F7" s="2487" t="s">
        <v>6227</v>
      </c>
      <c r="G7" s="2487" t="s">
        <v>5804</v>
      </c>
      <c r="H7" s="2479" t="s">
        <v>6324</v>
      </c>
      <c r="J7" s="2577"/>
      <c r="K7" s="2578"/>
      <c r="L7" s="2511"/>
      <c r="M7" s="2511"/>
      <c r="N7" s="2482"/>
      <c r="O7" s="2482"/>
      <c r="P7" s="2482"/>
      <c r="Q7" s="2482"/>
      <c r="R7" s="2482"/>
      <c r="S7" s="2482"/>
      <c r="T7" s="2482"/>
      <c r="U7" s="2482"/>
      <c r="V7" s="2482"/>
      <c r="W7" s="2482"/>
    </row>
    <row r="8" spans="1:23" ht="15.75" customHeight="1" x14ac:dyDescent="0.2">
      <c r="A8" s="2488"/>
      <c r="B8" s="2487"/>
      <c r="C8" s="2776">
        <v>44926</v>
      </c>
      <c r="D8" s="2487"/>
      <c r="E8" s="2487"/>
      <c r="F8" s="2487"/>
      <c r="G8" s="2776">
        <v>45291</v>
      </c>
      <c r="H8" s="2479"/>
      <c r="J8" s="2579"/>
      <c r="K8" s="2578" t="s">
        <v>7485</v>
      </c>
      <c r="L8" s="2511"/>
      <c r="M8" s="2511" t="s">
        <v>7486</v>
      </c>
      <c r="N8" s="2482"/>
      <c r="O8" s="2482"/>
      <c r="P8" s="2482"/>
      <c r="Q8" s="2482"/>
      <c r="R8" s="2482"/>
      <c r="S8" s="2482"/>
      <c r="T8" s="2482"/>
      <c r="U8" s="2482"/>
      <c r="V8" s="2482"/>
      <c r="W8" s="2482"/>
    </row>
    <row r="9" spans="1:23" ht="15.75" customHeight="1" x14ac:dyDescent="0.2">
      <c r="A9" s="2634">
        <v>1</v>
      </c>
      <c r="B9" s="2761" t="s">
        <v>7487</v>
      </c>
      <c r="C9" s="2530">
        <v>0</v>
      </c>
      <c r="D9" s="2488" t="s">
        <v>7360</v>
      </c>
      <c r="E9" s="2530">
        <v>687916</v>
      </c>
      <c r="F9" s="2530">
        <v>1107046</v>
      </c>
      <c r="G9" s="2530">
        <v>419130</v>
      </c>
      <c r="H9" s="2479" t="str">
        <f t="shared" ref="H9:H65" si="0">B9</f>
        <v>DSM Balancing Account - CA</v>
      </c>
      <c r="J9" s="2579"/>
      <c r="K9" s="2613" t="s">
        <v>6139</v>
      </c>
      <c r="L9" s="2511" t="s">
        <v>7487</v>
      </c>
      <c r="M9" s="2507">
        <v>149818</v>
      </c>
      <c r="N9" s="2482"/>
      <c r="O9" s="2482"/>
      <c r="P9" s="2482"/>
      <c r="Q9" s="2482"/>
      <c r="R9" s="2482"/>
      <c r="S9" s="2482"/>
      <c r="T9" s="2482"/>
      <c r="U9" s="2482"/>
      <c r="V9" s="2482"/>
      <c r="W9" s="2482"/>
    </row>
    <row r="10" spans="1:23" ht="15.75" customHeight="1" x14ac:dyDescent="0.2">
      <c r="A10" s="2634">
        <v>2</v>
      </c>
      <c r="B10" s="2761" t="s">
        <v>7323</v>
      </c>
      <c r="C10" s="2530">
        <v>1209745</v>
      </c>
      <c r="D10" s="2488" t="s">
        <v>7360</v>
      </c>
      <c r="E10" s="2530">
        <v>1209745</v>
      </c>
      <c r="F10" s="2488"/>
      <c r="G10" s="2530">
        <v>0</v>
      </c>
      <c r="H10" s="2479" t="str">
        <f t="shared" si="0"/>
        <v>DSM Balancing Account - ID</v>
      </c>
      <c r="J10" s="2579"/>
      <c r="K10" s="2613" t="s">
        <v>5957</v>
      </c>
      <c r="L10" s="2511" t="s">
        <v>7488</v>
      </c>
      <c r="M10" s="2507">
        <v>4667374</v>
      </c>
      <c r="N10" s="2482"/>
      <c r="O10" s="2482"/>
      <c r="P10" s="2482"/>
      <c r="Q10" s="2482"/>
      <c r="R10" s="2482"/>
      <c r="S10" s="2482"/>
      <c r="T10" s="2482"/>
      <c r="U10" s="2482"/>
      <c r="V10" s="2482"/>
      <c r="W10" s="2482"/>
    </row>
    <row r="11" spans="1:23" ht="15.75" customHeight="1" x14ac:dyDescent="0.2">
      <c r="A11" s="2634">
        <v>3</v>
      </c>
      <c r="B11" s="2488"/>
      <c r="C11" s="2488"/>
      <c r="D11" s="2488"/>
      <c r="E11" s="2488"/>
      <c r="F11" s="2488"/>
      <c r="G11" s="2488"/>
      <c r="H11" s="2595">
        <f t="shared" si="0"/>
        <v>0</v>
      </c>
      <c r="J11" s="2579"/>
      <c r="K11" s="2613" t="s">
        <v>5959</v>
      </c>
      <c r="L11" s="2511" t="s">
        <v>7489</v>
      </c>
      <c r="M11" s="2507">
        <v>3367502</v>
      </c>
      <c r="N11" s="2482"/>
      <c r="O11" s="2482"/>
      <c r="P11" s="2482"/>
      <c r="Q11" s="2482"/>
      <c r="R11" s="2482"/>
      <c r="S11" s="2482"/>
      <c r="T11" s="2482"/>
      <c r="U11" s="2482"/>
      <c r="V11" s="2482"/>
      <c r="W11" s="2482"/>
    </row>
    <row r="12" spans="1:23" ht="15.75" customHeight="1" x14ac:dyDescent="0.2">
      <c r="A12" s="2634">
        <v>4</v>
      </c>
      <c r="B12" s="2761" t="s">
        <v>7488</v>
      </c>
      <c r="C12" s="2530">
        <v>3368458</v>
      </c>
      <c r="D12" s="2488" t="s">
        <v>7360</v>
      </c>
      <c r="E12" s="2530">
        <v>21622283</v>
      </c>
      <c r="F12" s="2530">
        <v>18638468</v>
      </c>
      <c r="G12" s="2530">
        <v>384643</v>
      </c>
      <c r="H12" s="2479" t="str">
        <f t="shared" si="0"/>
        <v>DSM Balancing Account - WA</v>
      </c>
      <c r="J12" s="2579"/>
      <c r="K12" s="2613" t="s">
        <v>5961</v>
      </c>
      <c r="L12" s="2511" t="s">
        <v>7330</v>
      </c>
      <c r="M12" s="2507">
        <v>1044332</v>
      </c>
      <c r="N12" s="2482"/>
      <c r="O12" s="2482"/>
      <c r="P12" s="2482"/>
      <c r="Q12" s="2482"/>
      <c r="R12" s="2482"/>
      <c r="S12" s="2482"/>
      <c r="T12" s="2482"/>
      <c r="U12" s="2482"/>
      <c r="V12" s="2482"/>
      <c r="W12" s="2482"/>
    </row>
    <row r="13" spans="1:23" ht="15.75" customHeight="1" x14ac:dyDescent="0.2">
      <c r="A13" s="2634">
        <v>5</v>
      </c>
      <c r="B13" s="2761" t="s">
        <v>7489</v>
      </c>
      <c r="C13" s="2530">
        <v>7098718</v>
      </c>
      <c r="D13" s="2488" t="s">
        <v>7360</v>
      </c>
      <c r="E13" s="2530">
        <v>61886734</v>
      </c>
      <c r="F13" s="2530">
        <v>60732303</v>
      </c>
      <c r="G13" s="2530">
        <v>5944287</v>
      </c>
      <c r="H13" s="2479" t="str">
        <f t="shared" si="0"/>
        <v>Oregon Energy Conservation Charge</v>
      </c>
      <c r="J13" s="2579"/>
      <c r="K13" s="2613" t="s">
        <v>5963</v>
      </c>
      <c r="L13" s="2511" t="s">
        <v>7336</v>
      </c>
      <c r="M13" s="2507">
        <v>19535002</v>
      </c>
      <c r="N13" s="2482"/>
      <c r="O13" s="2482"/>
      <c r="P13" s="2482"/>
      <c r="Q13" s="2482"/>
      <c r="R13" s="2482"/>
      <c r="S13" s="2482"/>
      <c r="T13" s="2482"/>
      <c r="U13" s="2482"/>
      <c r="V13" s="2482"/>
      <c r="W13" s="2482"/>
    </row>
    <row r="14" spans="1:23" ht="15.75" customHeight="1" x14ac:dyDescent="0.2">
      <c r="A14" s="2634">
        <v>6</v>
      </c>
      <c r="B14" s="2762" t="s">
        <v>7330</v>
      </c>
      <c r="C14" s="2530">
        <v>1990883</v>
      </c>
      <c r="D14" s="2530">
        <v>555</v>
      </c>
      <c r="E14" s="2530">
        <v>1990883</v>
      </c>
      <c r="F14" s="2488"/>
      <c r="G14" s="2530">
        <v>0</v>
      </c>
      <c r="H14" s="2479" t="str">
        <f t="shared" si="0"/>
        <v>Deferred Excess Net Power Costs - CA</v>
      </c>
      <c r="J14" s="2579"/>
      <c r="K14" s="2613" t="s">
        <v>5965</v>
      </c>
      <c r="L14" s="2511" t="s">
        <v>7335</v>
      </c>
      <c r="M14" s="2507">
        <v>3460814</v>
      </c>
      <c r="N14" s="2482"/>
      <c r="O14" s="2482"/>
      <c r="P14" s="2482"/>
      <c r="Q14" s="2482"/>
      <c r="R14" s="2482"/>
      <c r="S14" s="2482"/>
      <c r="T14" s="2482"/>
      <c r="U14" s="2482"/>
      <c r="V14" s="2482"/>
      <c r="W14" s="2482"/>
    </row>
    <row r="15" spans="1:23" ht="15.75" customHeight="1" x14ac:dyDescent="0.2">
      <c r="A15" s="2634">
        <v>7</v>
      </c>
      <c r="B15" s="2762" t="s">
        <v>7490</v>
      </c>
      <c r="C15" s="2530">
        <v>1042066</v>
      </c>
      <c r="D15" s="2530">
        <v>456</v>
      </c>
      <c r="E15" s="2530">
        <v>1042066</v>
      </c>
      <c r="F15" s="2530">
        <v>2122995</v>
      </c>
      <c r="G15" s="2530">
        <v>2122995</v>
      </c>
      <c r="H15" s="2479" t="str">
        <f t="shared" si="0"/>
        <v>Deferred Excess RECs in Rates - UT</v>
      </c>
      <c r="J15" s="2579"/>
      <c r="K15" s="2613" t="s">
        <v>5968</v>
      </c>
      <c r="L15" s="2511" t="s">
        <v>7490</v>
      </c>
      <c r="M15" s="2507">
        <v>1878428</v>
      </c>
      <c r="N15" s="2482"/>
      <c r="O15" s="2482"/>
      <c r="P15" s="2482"/>
      <c r="Q15" s="2482"/>
      <c r="R15" s="2482"/>
      <c r="S15" s="2482"/>
      <c r="T15" s="2482"/>
      <c r="U15" s="2482"/>
      <c r="V15" s="2482"/>
      <c r="W15" s="2482"/>
    </row>
    <row r="16" spans="1:23" ht="15.75" customHeight="1" x14ac:dyDescent="0.2">
      <c r="A16" s="2634">
        <v>8</v>
      </c>
      <c r="B16" s="2762" t="s">
        <v>7491</v>
      </c>
      <c r="C16" s="2530">
        <v>296308</v>
      </c>
      <c r="D16" s="2530">
        <v>456</v>
      </c>
      <c r="E16" s="2530">
        <v>404450</v>
      </c>
      <c r="F16" s="2530">
        <v>282921</v>
      </c>
      <c r="G16" s="2530">
        <v>174779</v>
      </c>
      <c r="H16" s="2479" t="str">
        <f t="shared" si="0"/>
        <v>Deferred Excess RECs in Rates - WY</v>
      </c>
      <c r="J16" s="2579"/>
      <c r="K16" s="2613" t="s">
        <v>5970</v>
      </c>
      <c r="L16" s="2511" t="s">
        <v>7491</v>
      </c>
      <c r="M16" s="2507">
        <v>400958</v>
      </c>
      <c r="N16" s="2482"/>
      <c r="O16" s="2482"/>
      <c r="P16" s="2482"/>
      <c r="Q16" s="2482"/>
      <c r="R16" s="2482"/>
      <c r="S16" s="2482"/>
      <c r="T16" s="2482"/>
      <c r="U16" s="2482"/>
      <c r="V16" s="2482"/>
      <c r="W16" s="2482"/>
    </row>
    <row r="17" spans="1:23" ht="15.75" customHeight="1" x14ac:dyDescent="0.2">
      <c r="A17" s="2634">
        <v>9</v>
      </c>
      <c r="B17" s="2761" t="s">
        <v>7337</v>
      </c>
      <c r="C17" s="2530">
        <v>3541565</v>
      </c>
      <c r="D17" s="2488" t="s">
        <v>7492</v>
      </c>
      <c r="E17" s="2530">
        <v>7698620</v>
      </c>
      <c r="F17" s="2530">
        <v>12512644</v>
      </c>
      <c r="G17" s="2530">
        <v>8355589</v>
      </c>
      <c r="H17" s="2479" t="str">
        <f t="shared" si="0"/>
        <v>Decoupling Mechanism - WA</v>
      </c>
      <c r="J17" s="2579"/>
      <c r="K17" s="2613" t="s">
        <v>5972</v>
      </c>
      <c r="L17" s="2511" t="s">
        <v>7337</v>
      </c>
      <c r="M17" s="2507">
        <v>2749114</v>
      </c>
      <c r="N17" s="2482"/>
      <c r="O17" s="2482"/>
      <c r="P17" s="2482"/>
      <c r="Q17" s="2482"/>
      <c r="R17" s="2482"/>
      <c r="S17" s="2482"/>
      <c r="T17" s="2482"/>
      <c r="U17" s="2482"/>
      <c r="V17" s="2482"/>
      <c r="W17" s="2482"/>
    </row>
    <row r="18" spans="1:23" ht="15.75" customHeight="1" x14ac:dyDescent="0.2">
      <c r="A18" s="2634">
        <v>10</v>
      </c>
      <c r="B18" s="2478" t="s">
        <v>7493</v>
      </c>
      <c r="C18" s="2530">
        <v>393958</v>
      </c>
      <c r="D18" s="2530">
        <v>190</v>
      </c>
      <c r="E18" s="2530">
        <v>203765</v>
      </c>
      <c r="F18" s="2530">
        <v>131</v>
      </c>
      <c r="G18" s="2530">
        <v>190324</v>
      </c>
      <c r="H18" s="2479" t="str">
        <f t="shared" si="0"/>
        <v>Investment Tax Credit</v>
      </c>
      <c r="J18" s="2579"/>
      <c r="K18" s="2613" t="s">
        <v>5974</v>
      </c>
      <c r="L18" s="2511" t="s">
        <v>7494</v>
      </c>
      <c r="M18" s="2507">
        <v>4668283</v>
      </c>
      <c r="N18" s="2482"/>
      <c r="O18" s="2482"/>
      <c r="P18" s="2482"/>
      <c r="Q18" s="2482"/>
      <c r="R18" s="2482"/>
      <c r="S18" s="2482"/>
      <c r="T18" s="2482"/>
      <c r="U18" s="2482"/>
      <c r="V18" s="2482"/>
      <c r="W18" s="2482"/>
    </row>
    <row r="19" spans="1:23" ht="15.75" customHeight="1" x14ac:dyDescent="0.2">
      <c r="A19" s="2634">
        <v>11</v>
      </c>
      <c r="B19" s="2478" t="s">
        <v>7495</v>
      </c>
      <c r="C19" s="2530">
        <v>1163173420</v>
      </c>
      <c r="D19" s="2488" t="s">
        <v>7496</v>
      </c>
      <c r="E19" s="2530">
        <v>225960320</v>
      </c>
      <c r="F19" s="2530">
        <v>68419955</v>
      </c>
      <c r="G19" s="2530">
        <v>1005633055</v>
      </c>
      <c r="H19" s="2479" t="str">
        <f t="shared" si="0"/>
        <v>Deferred Income Tax Electric</v>
      </c>
      <c r="J19" s="2579"/>
      <c r="K19" s="2613" t="s">
        <v>5976</v>
      </c>
      <c r="L19" s="2511" t="s">
        <v>7497</v>
      </c>
      <c r="M19" s="2507">
        <v>945963</v>
      </c>
      <c r="N19" s="2482"/>
      <c r="O19" s="2482"/>
      <c r="P19" s="2482"/>
      <c r="Q19" s="2482"/>
      <c r="R19" s="2482"/>
      <c r="S19" s="2482"/>
      <c r="T19" s="2482"/>
      <c r="U19" s="2482"/>
      <c r="V19" s="2482"/>
      <c r="W19" s="2482"/>
    </row>
    <row r="20" spans="1:23" ht="15.75" customHeight="1" x14ac:dyDescent="0.2">
      <c r="A20" s="2634">
        <v>12</v>
      </c>
      <c r="B20" s="2488" t="s">
        <v>7498</v>
      </c>
      <c r="C20" s="2530">
        <v>174021</v>
      </c>
      <c r="D20" s="2777">
        <v>409.1</v>
      </c>
      <c r="E20" s="2530">
        <v>393437</v>
      </c>
      <c r="F20" s="2530">
        <v>371138</v>
      </c>
      <c r="G20" s="2530">
        <v>151722</v>
      </c>
      <c r="H20" s="2479" t="str">
        <f t="shared" si="0"/>
        <v>Corporate Activity Tax - OR</v>
      </c>
      <c r="J20" s="2579"/>
      <c r="K20" s="2613" t="s">
        <v>5978</v>
      </c>
      <c r="L20" s="2511" t="s">
        <v>7495</v>
      </c>
      <c r="M20" s="2507">
        <v>1430144585</v>
      </c>
      <c r="N20" s="2482"/>
      <c r="O20" s="2482"/>
      <c r="P20" s="2482"/>
      <c r="Q20" s="2482"/>
      <c r="R20" s="2482"/>
      <c r="S20" s="2482"/>
      <c r="T20" s="2482"/>
      <c r="U20" s="2482"/>
      <c r="V20" s="2482"/>
      <c r="W20" s="2482"/>
    </row>
    <row r="21" spans="1:23" ht="15.75" customHeight="1" x14ac:dyDescent="0.2">
      <c r="A21" s="2634">
        <v>13</v>
      </c>
      <c r="B21" s="2478" t="s">
        <v>7499</v>
      </c>
      <c r="C21" s="2530">
        <v>9307552</v>
      </c>
      <c r="D21" s="2488" t="s">
        <v>7360</v>
      </c>
      <c r="E21" s="2530">
        <v>4384308</v>
      </c>
      <c r="F21" s="2530">
        <v>1801545</v>
      </c>
      <c r="G21" s="2530">
        <v>6724789</v>
      </c>
      <c r="H21" s="2479" t="str">
        <f t="shared" si="0"/>
        <v>Excess Income Tax Deferral</v>
      </c>
      <c r="J21" s="2579"/>
      <c r="K21" s="2613" t="s">
        <v>5980</v>
      </c>
      <c r="L21" s="2511" t="s">
        <v>7499</v>
      </c>
      <c r="M21" s="2507">
        <v>25550523</v>
      </c>
      <c r="N21" s="2482"/>
      <c r="O21" s="2482"/>
      <c r="P21" s="2482"/>
      <c r="Q21" s="2482"/>
      <c r="R21" s="2482"/>
      <c r="S21" s="2482"/>
      <c r="T21" s="2482"/>
      <c r="U21" s="2482"/>
      <c r="V21" s="2482"/>
      <c r="W21" s="2482"/>
    </row>
    <row r="22" spans="1:23" ht="15.75" customHeight="1" x14ac:dyDescent="0.2">
      <c r="A22" s="2634">
        <v>14</v>
      </c>
      <c r="B22" s="2488" t="s">
        <v>7500</v>
      </c>
      <c r="C22" s="2530">
        <v>376801</v>
      </c>
      <c r="D22" s="2488" t="s">
        <v>7501</v>
      </c>
      <c r="E22" s="2530">
        <v>376801</v>
      </c>
      <c r="F22" s="2488"/>
      <c r="G22" s="2530">
        <v>0</v>
      </c>
      <c r="H22" s="2479" t="str">
        <f t="shared" si="0"/>
        <v>Tax on Bonus Depreciation</v>
      </c>
      <c r="J22" s="2579"/>
      <c r="K22" s="2613" t="s">
        <v>5982</v>
      </c>
      <c r="L22" s="2511" t="s">
        <v>7502</v>
      </c>
      <c r="M22" s="2507">
        <v>326450</v>
      </c>
      <c r="N22" s="2482"/>
      <c r="O22" s="2482"/>
      <c r="P22" s="2482"/>
      <c r="Q22" s="2482"/>
      <c r="R22" s="2482"/>
      <c r="S22" s="2482"/>
      <c r="T22" s="2482"/>
      <c r="U22" s="2482"/>
      <c r="V22" s="2482"/>
      <c r="W22" s="2482"/>
    </row>
    <row r="23" spans="1:23" ht="15.75" customHeight="1" x14ac:dyDescent="0.2">
      <c r="A23" s="2634">
        <v>15</v>
      </c>
      <c r="B23" s="2478" t="s">
        <v>7344</v>
      </c>
      <c r="C23" s="2530">
        <v>35317061</v>
      </c>
      <c r="D23" s="2488"/>
      <c r="E23" s="2531">
        <v>3295754</v>
      </c>
      <c r="F23" s="2530">
        <v>9428101</v>
      </c>
      <c r="G23" s="2530">
        <v>41449408</v>
      </c>
      <c r="H23" s="2479" t="str">
        <f t="shared" si="0"/>
        <v>Other Postretirement</v>
      </c>
      <c r="J23" s="2579"/>
      <c r="K23" s="2613" t="s">
        <v>5984</v>
      </c>
      <c r="L23" s="2511" t="s">
        <v>7344</v>
      </c>
      <c r="M23" s="2507">
        <v>11014751</v>
      </c>
      <c r="N23" s="2482"/>
      <c r="O23" s="2482"/>
      <c r="P23" s="2482"/>
      <c r="Q23" s="2482"/>
      <c r="R23" s="2482"/>
      <c r="S23" s="2482"/>
      <c r="T23" s="2482"/>
      <c r="U23" s="2482"/>
      <c r="V23" s="2482"/>
      <c r="W23" s="2482"/>
    </row>
    <row r="24" spans="1:23" ht="15.75" customHeight="1" x14ac:dyDescent="0.2">
      <c r="A24" s="2634">
        <v>16</v>
      </c>
      <c r="B24" s="2478" t="s">
        <v>7503</v>
      </c>
      <c r="C24" s="2530">
        <v>9976841</v>
      </c>
      <c r="D24" s="2488"/>
      <c r="E24" s="2531">
        <v>2069026</v>
      </c>
      <c r="F24" s="2488"/>
      <c r="G24" s="2530">
        <v>7907815</v>
      </c>
      <c r="H24" s="2479" t="str">
        <f t="shared" si="0"/>
        <v>Postemployment Costs</v>
      </c>
      <c r="J24" s="2579"/>
      <c r="K24" s="2613" t="s">
        <v>5986</v>
      </c>
      <c r="L24" s="2511" t="s">
        <v>7503</v>
      </c>
      <c r="M24" s="2507">
        <v>3684529</v>
      </c>
      <c r="N24" s="2482"/>
      <c r="O24" s="2482"/>
      <c r="P24" s="2482"/>
      <c r="Q24" s="2482"/>
      <c r="R24" s="2482"/>
      <c r="S24" s="2482"/>
      <c r="T24" s="2482"/>
      <c r="U24" s="2482"/>
      <c r="V24" s="2482"/>
      <c r="W24" s="2482"/>
    </row>
    <row r="25" spans="1:23" ht="15.75" customHeight="1" x14ac:dyDescent="0.2">
      <c r="A25" s="2634">
        <v>17</v>
      </c>
      <c r="B25" s="2762" t="s">
        <v>7504</v>
      </c>
      <c r="C25" s="2530">
        <v>702026</v>
      </c>
      <c r="D25" s="2488" t="s">
        <v>7360</v>
      </c>
      <c r="E25" s="2530">
        <v>702026</v>
      </c>
      <c r="F25" s="2488"/>
      <c r="G25" s="2530">
        <v>0</v>
      </c>
      <c r="H25" s="2479" t="str">
        <f t="shared" si="0"/>
        <v>Revenues Subject to Refund - WA</v>
      </c>
      <c r="J25" s="2579"/>
      <c r="K25" s="2613" t="s">
        <v>5988</v>
      </c>
      <c r="L25" s="2511" t="s">
        <v>7505</v>
      </c>
      <c r="M25" s="2507">
        <v>1241810</v>
      </c>
      <c r="N25" s="2482"/>
      <c r="O25" s="2482"/>
      <c r="P25" s="2482"/>
      <c r="Q25" s="2482"/>
      <c r="R25" s="2482"/>
      <c r="S25" s="2482"/>
      <c r="T25" s="2482"/>
      <c r="U25" s="2482"/>
      <c r="V25" s="2482"/>
      <c r="W25" s="2482"/>
    </row>
    <row r="26" spans="1:23" ht="15.75" customHeight="1" x14ac:dyDescent="0.2">
      <c r="A26" s="2634">
        <v>18</v>
      </c>
      <c r="B26" s="2488" t="s">
        <v>7506</v>
      </c>
      <c r="C26" s="2530">
        <v>7278878</v>
      </c>
      <c r="D26" s="2488"/>
      <c r="E26" s="2488"/>
      <c r="F26" s="2530">
        <v>3634602</v>
      </c>
      <c r="G26" s="2530">
        <v>10913480</v>
      </c>
      <c r="H26" s="2479" t="str">
        <f t="shared" si="0"/>
        <v>Bridger Mine Depreciation and Reclamation - OR</v>
      </c>
      <c r="J26" s="2579"/>
      <c r="K26" s="2613" t="s">
        <v>5990</v>
      </c>
      <c r="L26" s="2511" t="s">
        <v>7507</v>
      </c>
      <c r="M26" s="2507">
        <v>909860</v>
      </c>
      <c r="N26" s="2482"/>
      <c r="O26" s="2482"/>
      <c r="P26" s="2482"/>
      <c r="Q26" s="2482"/>
      <c r="R26" s="2482"/>
      <c r="S26" s="2482"/>
      <c r="T26" s="2482"/>
      <c r="U26" s="2482"/>
      <c r="V26" s="2482"/>
      <c r="W26" s="2482"/>
    </row>
    <row r="27" spans="1:23" ht="23.25" customHeight="1" x14ac:dyDescent="0.2">
      <c r="A27" s="2634">
        <v>19</v>
      </c>
      <c r="B27" s="2488" t="s">
        <v>7508</v>
      </c>
      <c r="C27" s="2530">
        <v>5098816</v>
      </c>
      <c r="D27" s="2488"/>
      <c r="E27" s="2488"/>
      <c r="F27" s="2530">
        <v>2549408</v>
      </c>
      <c r="G27" s="2530">
        <v>7648224</v>
      </c>
      <c r="H27" s="2479" t="str">
        <f t="shared" si="0"/>
        <v>Bridger Mine Depreciation and Reclamation - WA</v>
      </c>
      <c r="J27" s="2579"/>
      <c r="K27" s="2613" t="s">
        <v>5992</v>
      </c>
      <c r="L27" s="2511" t="s">
        <v>7509</v>
      </c>
      <c r="M27" s="2507">
        <v>637352</v>
      </c>
      <c r="N27" s="2482"/>
      <c r="O27" s="2482"/>
      <c r="P27" s="2482"/>
      <c r="Q27" s="2482"/>
      <c r="R27" s="2482"/>
      <c r="S27" s="2482"/>
      <c r="T27" s="2482"/>
      <c r="U27" s="2482"/>
      <c r="V27" s="2482"/>
      <c r="W27" s="2482"/>
    </row>
    <row r="28" spans="1:23" ht="23.25" customHeight="1" x14ac:dyDescent="0.2">
      <c r="A28" s="2634">
        <v>20</v>
      </c>
      <c r="B28" s="2488" t="s">
        <v>7510</v>
      </c>
      <c r="C28" s="2530">
        <v>2430427</v>
      </c>
      <c r="D28" s="2530">
        <v>131</v>
      </c>
      <c r="E28" s="2530">
        <v>254324</v>
      </c>
      <c r="F28" s="2488"/>
      <c r="G28" s="2530">
        <v>2176103</v>
      </c>
      <c r="H28" s="2479" t="str">
        <f t="shared" si="0"/>
        <v>Cholla Unit No. 4 Closure and Decommissioning Costs - ID</v>
      </c>
      <c r="J28" s="2579"/>
      <c r="K28" s="2613" t="s">
        <v>5994</v>
      </c>
      <c r="L28" s="2511" t="s">
        <v>7511</v>
      </c>
      <c r="M28" s="2507">
        <v>9053635</v>
      </c>
      <c r="N28" s="2482"/>
      <c r="O28" s="2482"/>
      <c r="P28" s="2482"/>
      <c r="Q28" s="2482"/>
      <c r="R28" s="2482"/>
      <c r="S28" s="2482"/>
      <c r="T28" s="2482"/>
      <c r="U28" s="2482"/>
      <c r="V28" s="2482"/>
      <c r="W28" s="2482"/>
    </row>
    <row r="29" spans="1:23" ht="23.25" customHeight="1" x14ac:dyDescent="0.2">
      <c r="A29" s="2634">
        <v>21</v>
      </c>
      <c r="B29" s="2488" t="s">
        <v>7512</v>
      </c>
      <c r="C29" s="2530">
        <v>7970978</v>
      </c>
      <c r="D29" s="2530">
        <v>131</v>
      </c>
      <c r="E29" s="2530">
        <v>1119718</v>
      </c>
      <c r="F29" s="2488"/>
      <c r="G29" s="2530">
        <v>6851260</v>
      </c>
      <c r="H29" s="2479" t="str">
        <f t="shared" si="0"/>
        <v>Cholla Plant Unit No. 4 Decommissioning Costs - OR</v>
      </c>
      <c r="J29" s="2579"/>
      <c r="K29" s="2613" t="s">
        <v>5997</v>
      </c>
      <c r="L29" s="2511" t="s">
        <v>7513</v>
      </c>
      <c r="M29" s="2507">
        <v>20177134</v>
      </c>
      <c r="N29" s="2482"/>
      <c r="O29" s="2482"/>
      <c r="P29" s="2482"/>
      <c r="Q29" s="2482"/>
      <c r="R29" s="2482"/>
      <c r="S29" s="2482"/>
      <c r="T29" s="2482"/>
      <c r="U29" s="2482"/>
      <c r="V29" s="2482"/>
      <c r="W29" s="2482"/>
    </row>
    <row r="30" spans="1:23" ht="23.25" customHeight="1" x14ac:dyDescent="0.2">
      <c r="A30" s="2758">
        <v>21.1</v>
      </c>
      <c r="B30" s="2488" t="s">
        <v>7514</v>
      </c>
      <c r="C30" s="2530">
        <v>18394220</v>
      </c>
      <c r="D30" s="2530">
        <v>131</v>
      </c>
      <c r="E30" s="2530">
        <v>1893452</v>
      </c>
      <c r="F30" s="2488"/>
      <c r="G30" s="2530">
        <v>16500768</v>
      </c>
      <c r="H30" s="2479" t="str">
        <f t="shared" si="0"/>
        <v>Cholla Plant Unit No. 4 Decommissioning Costs - UT</v>
      </c>
      <c r="J30" s="2579"/>
      <c r="K30" s="2578"/>
      <c r="L30" s="2511"/>
      <c r="M30" s="2511"/>
      <c r="N30" s="2482"/>
      <c r="O30" s="2482"/>
      <c r="P30" s="2482"/>
      <c r="Q30" s="2482"/>
      <c r="R30" s="2482"/>
      <c r="S30" s="2482"/>
      <c r="T30" s="2482"/>
      <c r="U30" s="2482"/>
      <c r="V30" s="2482"/>
      <c r="W30" s="2482"/>
    </row>
    <row r="31" spans="1:23" ht="15.75" customHeight="1" x14ac:dyDescent="0.2">
      <c r="A31" s="2634">
        <v>22</v>
      </c>
      <c r="B31" s="2488" t="s">
        <v>7515</v>
      </c>
      <c r="C31" s="2530">
        <v>244921</v>
      </c>
      <c r="D31" s="2530">
        <v>131</v>
      </c>
      <c r="E31" s="2530">
        <v>629572</v>
      </c>
      <c r="F31" s="2530">
        <v>617828</v>
      </c>
      <c r="G31" s="2530">
        <v>233177</v>
      </c>
      <c r="H31" s="2479" t="str">
        <f t="shared" si="0"/>
        <v>Cholla Plant Unit No. 4 Decommissioning Costs - WY</v>
      </c>
      <c r="J31" s="2579"/>
      <c r="K31" s="2613" t="s">
        <v>5999</v>
      </c>
      <c r="L31" s="2511" t="s">
        <v>7516</v>
      </c>
      <c r="M31" s="2507">
        <v>338934</v>
      </c>
      <c r="N31" s="2482"/>
      <c r="O31" s="2482"/>
      <c r="P31" s="2482"/>
      <c r="Q31" s="2482"/>
      <c r="R31" s="2482"/>
      <c r="S31" s="2482"/>
      <c r="T31" s="2482"/>
      <c r="U31" s="2482"/>
      <c r="V31" s="2482"/>
      <c r="W31" s="2482"/>
    </row>
    <row r="32" spans="1:23" ht="15.75" customHeight="1" x14ac:dyDescent="0.2">
      <c r="A32" s="2634">
        <v>23</v>
      </c>
      <c r="B32" s="2488" t="s">
        <v>7517</v>
      </c>
      <c r="C32" s="2530">
        <v>2711472</v>
      </c>
      <c r="D32" s="2488"/>
      <c r="E32" s="2488"/>
      <c r="F32" s="2530">
        <v>1355735</v>
      </c>
      <c r="G32" s="2530">
        <v>4067207</v>
      </c>
      <c r="H32" s="2479" t="str">
        <f t="shared" si="0"/>
        <v>Deferral of Coal Plant Closure Costs - WA</v>
      </c>
      <c r="J32" s="2579"/>
      <c r="K32" s="2613" t="s">
        <v>6002</v>
      </c>
      <c r="L32" s="2511" t="s">
        <v>7518</v>
      </c>
      <c r="M32" s="2507">
        <v>0</v>
      </c>
      <c r="N32" s="2482"/>
      <c r="O32" s="2482"/>
      <c r="P32" s="2482"/>
      <c r="Q32" s="2482"/>
      <c r="R32" s="2482"/>
      <c r="S32" s="2482"/>
      <c r="T32" s="2482"/>
      <c r="U32" s="2482"/>
      <c r="V32" s="2482"/>
      <c r="W32" s="2482"/>
    </row>
    <row r="33" spans="1:23" ht="15.75" customHeight="1" x14ac:dyDescent="0.2">
      <c r="A33" s="2634">
        <v>24</v>
      </c>
      <c r="B33" s="2488" t="s">
        <v>7519</v>
      </c>
      <c r="C33" s="2530">
        <v>261061</v>
      </c>
      <c r="D33" s="2488"/>
      <c r="E33" s="2488"/>
      <c r="F33" s="2530">
        <v>716</v>
      </c>
      <c r="G33" s="2530">
        <v>261777</v>
      </c>
      <c r="H33" s="2479" t="str">
        <f t="shared" si="0"/>
        <v>Klamath Hydro Dam Removal - CA</v>
      </c>
      <c r="J33" s="2579"/>
      <c r="K33" s="2613" t="s">
        <v>6004</v>
      </c>
      <c r="L33" s="2511" t="s">
        <v>7519</v>
      </c>
      <c r="M33" s="2507">
        <v>265370</v>
      </c>
      <c r="N33" s="2482"/>
      <c r="O33" s="2482"/>
      <c r="P33" s="2482"/>
      <c r="Q33" s="2482"/>
      <c r="R33" s="2482"/>
      <c r="S33" s="2482"/>
      <c r="T33" s="2482"/>
      <c r="U33" s="2482"/>
      <c r="V33" s="2482"/>
      <c r="W33" s="2482"/>
    </row>
    <row r="34" spans="1:23" ht="15.75" customHeight="1" x14ac:dyDescent="0.2">
      <c r="A34" s="2634">
        <v>25</v>
      </c>
      <c r="B34" s="2762" t="s">
        <v>7520</v>
      </c>
      <c r="C34" s="2530">
        <v>270423988</v>
      </c>
      <c r="D34" s="2488" t="s">
        <v>7521</v>
      </c>
      <c r="E34" s="2530">
        <v>270423988</v>
      </c>
      <c r="F34" s="2488"/>
      <c r="G34" s="2530">
        <v>0</v>
      </c>
      <c r="H34" s="2479" t="str">
        <f t="shared" si="0"/>
        <v>Unrealized Gain on Derivative Contracts</v>
      </c>
      <c r="J34" s="2579"/>
      <c r="K34" s="2613" t="s">
        <v>6006</v>
      </c>
      <c r="L34" s="2511" t="s">
        <v>7520</v>
      </c>
      <c r="M34" s="2507">
        <v>600016</v>
      </c>
      <c r="N34" s="2482"/>
      <c r="O34" s="2482"/>
      <c r="P34" s="2482"/>
      <c r="Q34" s="2482"/>
      <c r="R34" s="2482"/>
      <c r="S34" s="2482"/>
      <c r="T34" s="2482"/>
      <c r="U34" s="2482"/>
      <c r="V34" s="2482"/>
      <c r="W34" s="2482"/>
    </row>
    <row r="35" spans="1:23" ht="15.75" customHeight="1" x14ac:dyDescent="0.2">
      <c r="A35" s="2634">
        <v>26</v>
      </c>
      <c r="B35" s="2762" t="s">
        <v>7397</v>
      </c>
      <c r="C35" s="2530">
        <v>154239</v>
      </c>
      <c r="D35" s="2530">
        <v>555</v>
      </c>
      <c r="E35" s="2530">
        <v>154239</v>
      </c>
      <c r="F35" s="2488"/>
      <c r="G35" s="2530">
        <v>0</v>
      </c>
      <c r="H35" s="2479" t="str">
        <f t="shared" si="0"/>
        <v>Renewable Portfolio Standards Compliance - OR</v>
      </c>
      <c r="J35" s="2579"/>
      <c r="K35" s="2613" t="s">
        <v>6008</v>
      </c>
      <c r="L35" s="2511" t="s">
        <v>7388</v>
      </c>
      <c r="M35" s="2507">
        <v>6067877</v>
      </c>
      <c r="N35" s="2482"/>
      <c r="O35" s="2482"/>
      <c r="P35" s="2482"/>
      <c r="Q35" s="2482"/>
      <c r="R35" s="2482"/>
      <c r="S35" s="2482"/>
      <c r="T35" s="2482"/>
      <c r="U35" s="2482"/>
      <c r="V35" s="2482"/>
      <c r="W35" s="2482"/>
    </row>
    <row r="36" spans="1:23" ht="15.75" customHeight="1" x14ac:dyDescent="0.2">
      <c r="A36" s="2634">
        <v>27</v>
      </c>
      <c r="B36" s="2761" t="s">
        <v>7522</v>
      </c>
      <c r="C36" s="2530">
        <v>7851919</v>
      </c>
      <c r="D36" s="2488" t="s">
        <v>7523</v>
      </c>
      <c r="E36" s="2530">
        <v>102474</v>
      </c>
      <c r="F36" s="2530">
        <v>2261928</v>
      </c>
      <c r="G36" s="2530">
        <v>10011373</v>
      </c>
      <c r="H36" s="2479" t="str">
        <f t="shared" si="0"/>
        <v>Solar on Multifamily Affordable Housing - CA</v>
      </c>
      <c r="J36" s="2579"/>
      <c r="K36" s="2613" t="s">
        <v>6010</v>
      </c>
      <c r="L36" s="2511" t="s">
        <v>7392</v>
      </c>
      <c r="M36" s="2507">
        <v>618597</v>
      </c>
      <c r="N36" s="2482"/>
      <c r="O36" s="2482"/>
      <c r="P36" s="2482"/>
      <c r="Q36" s="2482"/>
      <c r="R36" s="2482"/>
      <c r="S36" s="2482"/>
      <c r="T36" s="2482"/>
      <c r="U36" s="2482"/>
      <c r="V36" s="2482"/>
      <c r="W36" s="2482"/>
    </row>
    <row r="37" spans="1:23" ht="15.75" customHeight="1" x14ac:dyDescent="0.2">
      <c r="A37" s="2634">
        <v>28</v>
      </c>
      <c r="B37" s="2488" t="s">
        <v>7392</v>
      </c>
      <c r="C37" s="2530">
        <v>237960</v>
      </c>
      <c r="D37" s="2530">
        <v>908</v>
      </c>
      <c r="E37" s="2530">
        <v>10004</v>
      </c>
      <c r="F37" s="2488"/>
      <c r="G37" s="2530">
        <v>227956</v>
      </c>
      <c r="H37" s="2479" t="str">
        <f t="shared" si="0"/>
        <v>Emergency Service Resiliency Program - CA</v>
      </c>
      <c r="J37" s="2579"/>
      <c r="K37" s="2613" t="s">
        <v>6012</v>
      </c>
      <c r="L37" s="2511" t="s">
        <v>7399</v>
      </c>
      <c r="M37" s="2507">
        <v>2269032</v>
      </c>
      <c r="N37" s="2482"/>
      <c r="O37" s="2482"/>
      <c r="P37" s="2482"/>
      <c r="Q37" s="2482"/>
      <c r="R37" s="2482"/>
      <c r="S37" s="2482"/>
      <c r="T37" s="2482"/>
      <c r="U37" s="2482"/>
      <c r="V37" s="2482"/>
      <c r="W37" s="2482"/>
    </row>
    <row r="38" spans="1:23" ht="23.25" customHeight="1" x14ac:dyDescent="0.2">
      <c r="A38" s="2634">
        <v>29</v>
      </c>
      <c r="B38" s="2488" t="s">
        <v>7524</v>
      </c>
      <c r="C38" s="2530">
        <v>856498</v>
      </c>
      <c r="D38" s="2488" t="s">
        <v>7525</v>
      </c>
      <c r="E38" s="2530">
        <v>856498</v>
      </c>
      <c r="F38" s="2488"/>
      <c r="G38" s="2530">
        <v>0</v>
      </c>
      <c r="H38" s="2479" t="str">
        <f t="shared" si="0"/>
        <v>Solar Incentive Program - UT 
(Amortization period: 1 year, starting 01/2023)</v>
      </c>
      <c r="J38" s="2579"/>
      <c r="K38" s="2613" t="s">
        <v>6014</v>
      </c>
      <c r="L38" s="2511" t="s">
        <v>7526</v>
      </c>
      <c r="M38" s="2507">
        <v>18026129</v>
      </c>
      <c r="N38" s="2482"/>
      <c r="O38" s="2482"/>
      <c r="P38" s="2482"/>
      <c r="Q38" s="2482"/>
      <c r="R38" s="2482"/>
      <c r="S38" s="2482"/>
      <c r="T38" s="2482"/>
      <c r="U38" s="2482"/>
      <c r="V38" s="2482"/>
      <c r="W38" s="2482"/>
    </row>
    <row r="39" spans="1:23" ht="23.25" customHeight="1" x14ac:dyDescent="0.2">
      <c r="A39" s="2634">
        <v>30</v>
      </c>
      <c r="B39" s="2488" t="s">
        <v>7527</v>
      </c>
      <c r="C39" s="2530">
        <v>11401300</v>
      </c>
      <c r="D39" s="2530">
        <v>131</v>
      </c>
      <c r="E39" s="2530">
        <v>11401300</v>
      </c>
      <c r="F39" s="2488"/>
      <c r="G39" s="2530">
        <v>0</v>
      </c>
      <c r="H39" s="2479" t="str">
        <f t="shared" si="0"/>
        <v>STEP Pilot Program - UT 
(Amortization period: 1 year, starting 01/2023)</v>
      </c>
      <c r="J39" s="2579"/>
      <c r="K39" s="2613" t="s">
        <v>6016</v>
      </c>
      <c r="L39" s="2511" t="s">
        <v>7528</v>
      </c>
      <c r="M39" s="2507">
        <v>0</v>
      </c>
      <c r="N39" s="2482"/>
      <c r="O39" s="2482"/>
      <c r="P39" s="2482"/>
      <c r="Q39" s="2482"/>
      <c r="R39" s="2482"/>
      <c r="S39" s="2482"/>
      <c r="T39" s="2482"/>
      <c r="U39" s="2482"/>
      <c r="V39" s="2482"/>
      <c r="W39" s="2482"/>
    </row>
    <row r="40" spans="1:23" ht="15.75" customHeight="1" x14ac:dyDescent="0.2">
      <c r="A40" s="2634">
        <v>31</v>
      </c>
      <c r="B40" s="2488" t="s">
        <v>7529</v>
      </c>
      <c r="C40" s="2530">
        <v>0</v>
      </c>
      <c r="D40" s="2488"/>
      <c r="E40" s="2488"/>
      <c r="F40" s="2530">
        <v>72599</v>
      </c>
      <c r="G40" s="2530">
        <v>72599</v>
      </c>
      <c r="H40" s="2479" t="str">
        <f t="shared" si="0"/>
        <v>Deferred Independent Evaluator Costs - UT</v>
      </c>
      <c r="J40" s="2579"/>
      <c r="K40" s="2613" t="s">
        <v>6018</v>
      </c>
      <c r="L40" s="2511" t="s">
        <v>7529</v>
      </c>
      <c r="M40" s="2507">
        <v>666296</v>
      </c>
      <c r="N40" s="2482"/>
      <c r="O40" s="2482"/>
      <c r="P40" s="2482"/>
      <c r="Q40" s="2482"/>
      <c r="R40" s="2482"/>
      <c r="S40" s="2482"/>
      <c r="T40" s="2482"/>
      <c r="U40" s="2482"/>
      <c r="V40" s="2482"/>
      <c r="W40" s="2482"/>
    </row>
    <row r="41" spans="1:23" ht="15.75" customHeight="1" x14ac:dyDescent="0.2">
      <c r="A41" s="2634">
        <v>32</v>
      </c>
      <c r="B41" s="2488"/>
      <c r="C41" s="2488"/>
      <c r="D41" s="2488"/>
      <c r="E41" s="2488"/>
      <c r="F41" s="2488"/>
      <c r="G41" s="2488"/>
      <c r="H41" s="2595">
        <f t="shared" si="0"/>
        <v>0</v>
      </c>
      <c r="J41" s="2579"/>
      <c r="K41" s="2613" t="s">
        <v>6020</v>
      </c>
      <c r="L41" s="2511" t="s">
        <v>7530</v>
      </c>
      <c r="M41" s="2507">
        <v>322968</v>
      </c>
      <c r="N41" s="2482"/>
      <c r="O41" s="2482"/>
      <c r="P41" s="2482"/>
      <c r="Q41" s="2482"/>
      <c r="R41" s="2482"/>
      <c r="S41" s="2482"/>
      <c r="T41" s="2482"/>
      <c r="U41" s="2482"/>
      <c r="V41" s="2482"/>
      <c r="W41" s="2482"/>
    </row>
    <row r="42" spans="1:23" ht="15.75" customHeight="1" x14ac:dyDescent="0.2">
      <c r="A42" s="2634">
        <v>33</v>
      </c>
      <c r="B42" s="2488" t="s">
        <v>7531</v>
      </c>
      <c r="C42" s="2530">
        <v>0</v>
      </c>
      <c r="D42" s="2488"/>
      <c r="E42" s="2488"/>
      <c r="F42" s="2530">
        <v>462106</v>
      </c>
      <c r="G42" s="2530">
        <v>462106</v>
      </c>
      <c r="H42" s="2479" t="str">
        <f t="shared" si="0"/>
        <v>Deferred Gains</v>
      </c>
      <c r="J42" s="2579"/>
      <c r="K42" s="2613" t="s">
        <v>6022</v>
      </c>
      <c r="L42" s="2511" t="s">
        <v>7532</v>
      </c>
      <c r="M42" s="2507">
        <v>1876453</v>
      </c>
      <c r="N42" s="2482"/>
      <c r="O42" s="2482"/>
      <c r="P42" s="2482"/>
      <c r="Q42" s="2482"/>
      <c r="R42" s="2482"/>
      <c r="S42" s="2482"/>
      <c r="T42" s="2482"/>
      <c r="U42" s="2482"/>
      <c r="V42" s="2482"/>
      <c r="W42" s="2482"/>
    </row>
    <row r="43" spans="1:23" ht="15.75" customHeight="1" x14ac:dyDescent="0.2">
      <c r="A43" s="2634">
        <v>34</v>
      </c>
      <c r="B43" s="2761" t="s">
        <v>7532</v>
      </c>
      <c r="C43" s="2530">
        <v>1097772</v>
      </c>
      <c r="D43" s="2488" t="s">
        <v>7533</v>
      </c>
      <c r="E43" s="2530">
        <v>4847</v>
      </c>
      <c r="F43" s="2530">
        <v>719467</v>
      </c>
      <c r="G43" s="2530">
        <v>1812392</v>
      </c>
      <c r="H43" s="2479" t="str">
        <f t="shared" si="0"/>
        <v>Utah Home Energy Lifeline</v>
      </c>
      <c r="J43" s="2579"/>
      <c r="K43" s="2613" t="s">
        <v>6024</v>
      </c>
      <c r="L43" s="2511" t="s">
        <v>7534</v>
      </c>
      <c r="M43" s="2507">
        <v>785947</v>
      </c>
      <c r="N43" s="2482"/>
      <c r="O43" s="2482"/>
      <c r="P43" s="2482"/>
      <c r="Q43" s="2482"/>
      <c r="R43" s="2482"/>
      <c r="S43" s="2482"/>
      <c r="T43" s="2482"/>
      <c r="U43" s="2482"/>
      <c r="V43" s="2482"/>
      <c r="W43" s="2482"/>
    </row>
    <row r="44" spans="1:23" ht="15.75" customHeight="1" x14ac:dyDescent="0.2">
      <c r="A44" s="2634">
        <v>35</v>
      </c>
      <c r="B44" s="2761" t="s">
        <v>7534</v>
      </c>
      <c r="C44" s="2530">
        <v>31516</v>
      </c>
      <c r="D44" s="2488" t="s">
        <v>7535</v>
      </c>
      <c r="E44" s="2530">
        <v>454340</v>
      </c>
      <c r="F44" s="2530">
        <v>774358</v>
      </c>
      <c r="G44" s="2530">
        <v>351534</v>
      </c>
      <c r="H44" s="2479" t="str">
        <f t="shared" si="0"/>
        <v>California Energy Savings Assistance Program</v>
      </c>
      <c r="J44" s="2579"/>
      <c r="K44" s="2613" t="s">
        <v>6026</v>
      </c>
      <c r="L44" s="2511" t="s">
        <v>7536</v>
      </c>
      <c r="M44" s="2507">
        <v>10710505</v>
      </c>
      <c r="N44" s="2482"/>
      <c r="O44" s="2482"/>
      <c r="P44" s="2482"/>
      <c r="Q44" s="2482"/>
      <c r="R44" s="2482"/>
      <c r="S44" s="2482"/>
      <c r="T44" s="2482"/>
      <c r="U44" s="2482"/>
      <c r="V44" s="2482"/>
      <c r="W44" s="2482"/>
    </row>
    <row r="45" spans="1:23" ht="23.25" customHeight="1" x14ac:dyDescent="0.2">
      <c r="A45" s="2634">
        <v>36</v>
      </c>
      <c r="B45" s="2488" t="s">
        <v>7537</v>
      </c>
      <c r="C45" s="2530">
        <v>4022323</v>
      </c>
      <c r="D45" s="2530">
        <v>456</v>
      </c>
      <c r="E45" s="2530">
        <v>4075388</v>
      </c>
      <c r="F45" s="2530">
        <v>53065</v>
      </c>
      <c r="G45" s="2530">
        <v>0</v>
      </c>
      <c r="H45" s="2479" t="str">
        <f t="shared" si="0"/>
        <v>FERC Rate True-up - OR 
(Amortization period: 3 years, starting 01/2021)</v>
      </c>
      <c r="J45" s="2579"/>
      <c r="K45" s="2613" t="s">
        <v>6028</v>
      </c>
      <c r="L45" s="2511" t="s">
        <v>7430</v>
      </c>
      <c r="M45" s="2507">
        <v>968961</v>
      </c>
      <c r="N45" s="2482"/>
      <c r="O45" s="2482"/>
      <c r="P45" s="2482"/>
      <c r="Q45" s="2482"/>
      <c r="R45" s="2482"/>
      <c r="S45" s="2482"/>
      <c r="T45" s="2482"/>
      <c r="U45" s="2482"/>
      <c r="V45" s="2482"/>
      <c r="W45" s="2482"/>
    </row>
    <row r="46" spans="1:23" ht="15.75" customHeight="1" x14ac:dyDescent="0.2">
      <c r="A46" s="2634">
        <v>37</v>
      </c>
      <c r="B46" s="2761" t="s">
        <v>7538</v>
      </c>
      <c r="C46" s="2530">
        <v>162891</v>
      </c>
      <c r="D46" s="2488" t="s">
        <v>7492</v>
      </c>
      <c r="E46" s="2530">
        <v>63044</v>
      </c>
      <c r="F46" s="2530">
        <v>88370</v>
      </c>
      <c r="G46" s="2530">
        <v>188217</v>
      </c>
      <c r="H46" s="2479" t="str">
        <f t="shared" si="0"/>
        <v>Blue Sky - CA</v>
      </c>
      <c r="J46" s="2579"/>
      <c r="K46" s="2613" t="s">
        <v>6030</v>
      </c>
      <c r="L46" s="2511" t="s">
        <v>7426</v>
      </c>
      <c r="M46" s="2507">
        <v>683536</v>
      </c>
      <c r="N46" s="2482"/>
      <c r="O46" s="2482"/>
      <c r="P46" s="2482"/>
      <c r="Q46" s="2482"/>
      <c r="R46" s="2482"/>
      <c r="S46" s="2482"/>
      <c r="T46" s="2482"/>
      <c r="U46" s="2482"/>
      <c r="V46" s="2482"/>
      <c r="W46" s="2482"/>
    </row>
    <row r="47" spans="1:23" ht="15.75" customHeight="1" x14ac:dyDescent="0.2">
      <c r="A47" s="2634">
        <v>38</v>
      </c>
      <c r="B47" s="2761" t="s">
        <v>7539</v>
      </c>
      <c r="C47" s="2530">
        <v>1634689</v>
      </c>
      <c r="D47" s="2488" t="s">
        <v>7540</v>
      </c>
      <c r="E47" s="2530">
        <v>1700277</v>
      </c>
      <c r="F47" s="2530">
        <v>1797558</v>
      </c>
      <c r="G47" s="2530">
        <v>1731970</v>
      </c>
      <c r="H47" s="2479" t="str">
        <f t="shared" si="0"/>
        <v>Blue Sky - OR</v>
      </c>
      <c r="J47" s="2579"/>
      <c r="K47" s="2613" t="s">
        <v>6032</v>
      </c>
      <c r="L47" s="2511" t="s">
        <v>7538</v>
      </c>
      <c r="M47" s="2507">
        <v>238738</v>
      </c>
      <c r="N47" s="2482"/>
      <c r="O47" s="2482"/>
      <c r="P47" s="2482"/>
      <c r="Q47" s="2482"/>
      <c r="R47" s="2482"/>
      <c r="S47" s="2482"/>
      <c r="T47" s="2482"/>
      <c r="U47" s="2482"/>
      <c r="V47" s="2482"/>
      <c r="W47" s="2482"/>
    </row>
    <row r="48" spans="1:23" ht="15.75" customHeight="1" x14ac:dyDescent="0.2">
      <c r="A48" s="2634">
        <v>39</v>
      </c>
      <c r="B48" s="2761" t="s">
        <v>7541</v>
      </c>
      <c r="C48" s="2530">
        <v>181017</v>
      </c>
      <c r="D48" s="2488" t="s">
        <v>7492</v>
      </c>
      <c r="E48" s="2530">
        <v>38467</v>
      </c>
      <c r="F48" s="2530">
        <v>68211</v>
      </c>
      <c r="G48" s="2530">
        <v>210761</v>
      </c>
      <c r="H48" s="2479" t="str">
        <f t="shared" si="0"/>
        <v>Blue Sky - ID</v>
      </c>
      <c r="J48" s="2579"/>
      <c r="K48" s="2613" t="s">
        <v>6034</v>
      </c>
      <c r="L48" s="2511" t="s">
        <v>7539</v>
      </c>
      <c r="M48" s="2507">
        <v>2931433</v>
      </c>
      <c r="N48" s="2482"/>
      <c r="O48" s="2482"/>
      <c r="P48" s="2482"/>
      <c r="Q48" s="2482"/>
      <c r="R48" s="2482"/>
      <c r="S48" s="2482"/>
      <c r="T48" s="2482"/>
      <c r="U48" s="2482"/>
      <c r="V48" s="2482"/>
      <c r="W48" s="2482"/>
    </row>
    <row r="49" spans="1:23" ht="15.75" customHeight="1" x14ac:dyDescent="0.2">
      <c r="A49" s="2769">
        <v>40</v>
      </c>
      <c r="B49" s="2761" t="s">
        <v>7542</v>
      </c>
      <c r="C49" s="2530">
        <v>5382261</v>
      </c>
      <c r="D49" s="2488" t="s">
        <v>7492</v>
      </c>
      <c r="E49" s="2530">
        <v>2448949</v>
      </c>
      <c r="F49" s="2530">
        <v>3474522</v>
      </c>
      <c r="G49" s="2530">
        <v>6407834</v>
      </c>
      <c r="H49" s="2479" t="str">
        <f t="shared" si="0"/>
        <v>Blue Sky - UT</v>
      </c>
      <c r="J49" s="2579"/>
      <c r="K49" s="2613" t="s">
        <v>6036</v>
      </c>
      <c r="L49" s="2511" t="s">
        <v>7541</v>
      </c>
      <c r="M49" s="2507">
        <v>123169</v>
      </c>
      <c r="N49" s="2482"/>
      <c r="O49" s="2482"/>
      <c r="P49" s="2482"/>
      <c r="Q49" s="2482"/>
      <c r="R49" s="2482"/>
      <c r="S49" s="2482"/>
      <c r="T49" s="2482"/>
      <c r="U49" s="2482"/>
      <c r="V49" s="2482"/>
      <c r="W49" s="2482"/>
    </row>
    <row r="50" spans="1:23" ht="15.75" customHeight="1" x14ac:dyDescent="0.2">
      <c r="A50" s="2769">
        <f t="shared" ref="A50:A66" si="1">A49+0.01</f>
        <v>40.01</v>
      </c>
      <c r="B50" s="2761" t="s">
        <v>7543</v>
      </c>
      <c r="C50" s="2530">
        <v>552166</v>
      </c>
      <c r="D50" s="2488" t="s">
        <v>7492</v>
      </c>
      <c r="E50" s="2530">
        <v>334854</v>
      </c>
      <c r="F50" s="2530">
        <v>321534</v>
      </c>
      <c r="G50" s="2530">
        <v>538846</v>
      </c>
      <c r="H50" s="2479" t="str">
        <f t="shared" si="0"/>
        <v>Blue Sky - WA</v>
      </c>
      <c r="J50" s="2579"/>
      <c r="K50" s="2578"/>
      <c r="L50" s="2511" t="s">
        <v>7544</v>
      </c>
      <c r="M50" s="2507">
        <v>236640</v>
      </c>
      <c r="N50" s="2482"/>
      <c r="O50" s="2482"/>
      <c r="P50" s="2482"/>
      <c r="Q50" s="2482"/>
      <c r="R50" s="2482"/>
      <c r="S50" s="2482"/>
      <c r="T50" s="2482"/>
      <c r="U50" s="2482"/>
      <c r="V50" s="2482"/>
      <c r="W50" s="2482"/>
    </row>
    <row r="51" spans="1:23" ht="15.75" customHeight="1" x14ac:dyDescent="0.2">
      <c r="A51" s="2769">
        <f t="shared" si="1"/>
        <v>40.019999999999996</v>
      </c>
      <c r="B51" s="2761" t="s">
        <v>7545</v>
      </c>
      <c r="C51" s="2530">
        <v>616697</v>
      </c>
      <c r="D51" s="2488" t="s">
        <v>7492</v>
      </c>
      <c r="E51" s="2530">
        <v>237332</v>
      </c>
      <c r="F51" s="2530">
        <v>233098</v>
      </c>
      <c r="G51" s="2530">
        <v>612463</v>
      </c>
      <c r="H51" s="2479" t="str">
        <f t="shared" si="0"/>
        <v>Blue Sky - WY</v>
      </c>
      <c r="J51" s="2579"/>
      <c r="K51" s="2578"/>
      <c r="L51" s="2511" t="s">
        <v>7546</v>
      </c>
      <c r="M51" s="2507">
        <v>2990728</v>
      </c>
      <c r="N51" s="2482"/>
      <c r="O51" s="2482"/>
      <c r="P51" s="2482"/>
      <c r="Q51" s="2482"/>
      <c r="R51" s="2482"/>
      <c r="S51" s="2482"/>
      <c r="T51" s="2482"/>
      <c r="U51" s="2482"/>
      <c r="V51" s="2482"/>
      <c r="W51" s="2482"/>
    </row>
    <row r="52" spans="1:23" ht="23.25" customHeight="1" x14ac:dyDescent="0.2">
      <c r="A52" s="2769">
        <f t="shared" si="1"/>
        <v>40.029999999999994</v>
      </c>
      <c r="B52" s="2488" t="s">
        <v>7547</v>
      </c>
      <c r="C52" s="2530">
        <v>2791258</v>
      </c>
      <c r="D52" s="2488" t="s">
        <v>7360</v>
      </c>
      <c r="E52" s="2530">
        <v>2828004</v>
      </c>
      <c r="F52" s="2530">
        <v>36746</v>
      </c>
      <c r="G52" s="2530">
        <v>0</v>
      </c>
      <c r="H52" s="2479" t="str">
        <f t="shared" si="0"/>
        <v>Depreciation Study Deferral - OR 
(Amortization period: 3 years, starting 01/2021)</v>
      </c>
      <c r="J52" s="2579"/>
      <c r="K52" s="2578"/>
      <c r="L52" s="2511"/>
      <c r="M52" s="2511"/>
      <c r="N52" s="2482"/>
      <c r="O52" s="2482"/>
      <c r="P52" s="2482"/>
      <c r="Q52" s="2482"/>
      <c r="R52" s="2482"/>
      <c r="S52" s="2482"/>
      <c r="T52" s="2482"/>
      <c r="U52" s="2482"/>
      <c r="V52" s="2482"/>
      <c r="W52" s="2482"/>
    </row>
    <row r="53" spans="1:23" ht="23.25" customHeight="1" x14ac:dyDescent="0.2">
      <c r="A53" s="2769">
        <f t="shared" si="1"/>
        <v>40.039999999999992</v>
      </c>
      <c r="B53" s="2488" t="s">
        <v>7548</v>
      </c>
      <c r="C53" s="2530">
        <v>17418111</v>
      </c>
      <c r="D53" s="2488" t="s">
        <v>7360</v>
      </c>
      <c r="E53" s="2530">
        <v>17418111</v>
      </c>
      <c r="F53" s="2488"/>
      <c r="G53" s="2530">
        <v>0</v>
      </c>
      <c r="H53" s="2479" t="str">
        <f t="shared" si="0"/>
        <v>Deferred Steam Accelerated Depreciation - WA (Amortization period: 3 years, starting 01/2021)</v>
      </c>
      <c r="J53" s="2579"/>
      <c r="K53" s="2578"/>
      <c r="L53" s="2511"/>
      <c r="M53" s="2511"/>
      <c r="N53" s="2482"/>
      <c r="O53" s="2482"/>
      <c r="P53" s="2482"/>
      <c r="Q53" s="2482"/>
      <c r="R53" s="2482"/>
      <c r="S53" s="2482"/>
      <c r="T53" s="2482"/>
      <c r="U53" s="2482"/>
      <c r="V53" s="2482"/>
      <c r="W53" s="2482"/>
    </row>
    <row r="54" spans="1:23" ht="23.25" customHeight="1" x14ac:dyDescent="0.2">
      <c r="A54" s="2769">
        <f t="shared" si="1"/>
        <v>40.04999999999999</v>
      </c>
      <c r="B54" s="2488" t="s">
        <v>7549</v>
      </c>
      <c r="C54" s="2530">
        <v>5213862</v>
      </c>
      <c r="D54" s="2530">
        <v>442</v>
      </c>
      <c r="E54" s="2530">
        <v>1769315</v>
      </c>
      <c r="F54" s="2530">
        <v>131961</v>
      </c>
      <c r="G54" s="2530">
        <v>3576508</v>
      </c>
      <c r="H54" s="2479" t="str">
        <f t="shared" si="0"/>
        <v>Direct Access 5-Year Opt Out - OR 
(Amortization period: 10 years, starting 02/2016)</v>
      </c>
      <c r="J54" s="2579"/>
      <c r="K54" s="2578"/>
      <c r="L54" s="2511"/>
      <c r="M54" s="2511"/>
      <c r="N54" s="2482"/>
      <c r="O54" s="2482"/>
      <c r="P54" s="2482"/>
      <c r="Q54" s="2482"/>
      <c r="R54" s="2482"/>
      <c r="S54" s="2482"/>
      <c r="T54" s="2482"/>
      <c r="U54" s="2482"/>
      <c r="V54" s="2482"/>
      <c r="W54" s="2482"/>
    </row>
    <row r="55" spans="1:23" ht="15.75" customHeight="1" x14ac:dyDescent="0.2">
      <c r="A55" s="2769">
        <f t="shared" si="1"/>
        <v>40.059999999999988</v>
      </c>
      <c r="B55" s="2761" t="s">
        <v>7550</v>
      </c>
      <c r="C55" s="2530">
        <v>0</v>
      </c>
      <c r="D55" s="2488" t="s">
        <v>7551</v>
      </c>
      <c r="E55" s="2530">
        <v>2075565</v>
      </c>
      <c r="F55" s="2530">
        <v>5803699</v>
      </c>
      <c r="G55" s="2530">
        <v>3728134</v>
      </c>
      <c r="H55" s="2479" t="str">
        <f t="shared" si="0"/>
        <v>Transportation Electrification Program - OR</v>
      </c>
      <c r="J55" s="2579"/>
      <c r="K55" s="2578"/>
      <c r="L55" s="2511"/>
      <c r="M55" s="2511"/>
      <c r="N55" s="2482"/>
      <c r="O55" s="2482"/>
      <c r="P55" s="2482"/>
      <c r="Q55" s="2482"/>
      <c r="R55" s="2482"/>
      <c r="S55" s="2482"/>
      <c r="T55" s="2482"/>
      <c r="U55" s="2482"/>
      <c r="V55" s="2482"/>
      <c r="W55" s="2482"/>
    </row>
    <row r="56" spans="1:23" ht="15.75" customHeight="1" x14ac:dyDescent="0.2">
      <c r="A56" s="2769">
        <f t="shared" si="1"/>
        <v>40.069999999999986</v>
      </c>
      <c r="B56" s="2488" t="s">
        <v>7544</v>
      </c>
      <c r="C56" s="2530">
        <v>229960</v>
      </c>
      <c r="D56" s="2488"/>
      <c r="E56" s="2488"/>
      <c r="F56" s="2530">
        <v>12869</v>
      </c>
      <c r="G56" s="2530">
        <v>242829</v>
      </c>
      <c r="H56" s="2479" t="str">
        <f t="shared" si="0"/>
        <v>Transportation Electrification Program - CA</v>
      </c>
      <c r="J56" s="2579"/>
      <c r="K56" s="2578"/>
      <c r="L56" s="2511"/>
      <c r="M56" s="2511"/>
      <c r="N56" s="2482"/>
      <c r="O56" s="2482"/>
      <c r="P56" s="2482"/>
      <c r="Q56" s="2482"/>
      <c r="R56" s="2482"/>
      <c r="S56" s="2482"/>
      <c r="T56" s="2482"/>
      <c r="U56" s="2482"/>
      <c r="V56" s="2482"/>
      <c r="W56" s="2482"/>
    </row>
    <row r="57" spans="1:23" ht="23.25" customHeight="1" x14ac:dyDescent="0.2">
      <c r="A57" s="2769">
        <f t="shared" si="1"/>
        <v>40.079999999999984</v>
      </c>
      <c r="B57" s="2488" t="s">
        <v>7552</v>
      </c>
      <c r="C57" s="2530">
        <v>5044149</v>
      </c>
      <c r="D57" s="2530">
        <v>908</v>
      </c>
      <c r="E57" s="2530">
        <v>7598400</v>
      </c>
      <c r="F57" s="2530">
        <v>6434021</v>
      </c>
      <c r="G57" s="2530">
        <v>3879770</v>
      </c>
      <c r="H57" s="2479" t="str">
        <f t="shared" si="0"/>
        <v>Transportation Electrification Pilot - UT 
(Amortization period: 5 years, starting 07/2022)</v>
      </c>
      <c r="J57" s="2579"/>
      <c r="K57" s="2578"/>
      <c r="L57" s="2511"/>
      <c r="M57" s="2511"/>
      <c r="N57" s="2482"/>
      <c r="O57" s="2482"/>
      <c r="P57" s="2482"/>
      <c r="Q57" s="2482"/>
      <c r="R57" s="2482"/>
      <c r="S57" s="2482"/>
      <c r="T57" s="2482"/>
      <c r="U57" s="2482"/>
      <c r="V57" s="2482"/>
      <c r="W57" s="2482"/>
    </row>
    <row r="58" spans="1:23" ht="15.75" customHeight="1" x14ac:dyDescent="0.2">
      <c r="A58" s="2769">
        <f t="shared" si="1"/>
        <v>40.089999999999982</v>
      </c>
      <c r="B58" s="2761" t="s">
        <v>7546</v>
      </c>
      <c r="C58" s="2530">
        <v>9617448</v>
      </c>
      <c r="D58" s="2488" t="s">
        <v>7553</v>
      </c>
      <c r="E58" s="2530">
        <v>3307870</v>
      </c>
      <c r="F58" s="2530">
        <v>3016641</v>
      </c>
      <c r="G58" s="2530">
        <v>9326219</v>
      </c>
      <c r="H58" s="2479" t="str">
        <f t="shared" si="0"/>
        <v>Oregon Clean Fuels Program</v>
      </c>
      <c r="J58" s="2579"/>
      <c r="K58" s="2578"/>
      <c r="L58" s="2511"/>
      <c r="M58" s="2511"/>
      <c r="N58" s="2482"/>
      <c r="O58" s="2482"/>
      <c r="P58" s="2482"/>
      <c r="Q58" s="2482"/>
      <c r="R58" s="2482"/>
      <c r="S58" s="2482"/>
      <c r="T58" s="2482"/>
      <c r="U58" s="2482"/>
      <c r="V58" s="2482"/>
      <c r="W58" s="2482"/>
    </row>
    <row r="59" spans="1:23" ht="23.25" customHeight="1" x14ac:dyDescent="0.2">
      <c r="A59" s="2769">
        <f t="shared" si="1"/>
        <v>40.09999999999998</v>
      </c>
      <c r="B59" s="2488" t="s">
        <v>7554</v>
      </c>
      <c r="C59" s="2530">
        <v>364127</v>
      </c>
      <c r="D59" s="2530">
        <v>456</v>
      </c>
      <c r="E59" s="2530">
        <v>87272</v>
      </c>
      <c r="F59" s="2530">
        <v>17490</v>
      </c>
      <c r="G59" s="2530">
        <v>294345</v>
      </c>
      <c r="H59" s="2479" t="str">
        <f t="shared" si="0"/>
        <v>Pryor Mountain - OR 
(Amortization period: 3 years, starting 04/2023)</v>
      </c>
      <c r="J59" s="2579"/>
      <c r="K59" s="2578"/>
      <c r="L59" s="2511"/>
      <c r="M59" s="2511"/>
      <c r="N59" s="2482"/>
      <c r="O59" s="2482"/>
      <c r="P59" s="2482"/>
      <c r="Q59" s="2482"/>
      <c r="R59" s="2482"/>
      <c r="S59" s="2482"/>
      <c r="T59" s="2482"/>
      <c r="U59" s="2482"/>
      <c r="V59" s="2482"/>
      <c r="W59" s="2482"/>
    </row>
    <row r="60" spans="1:23" ht="15.75" customHeight="1" x14ac:dyDescent="0.2">
      <c r="A60" s="2769">
        <f t="shared" si="1"/>
        <v>40.109999999999978</v>
      </c>
      <c r="B60" s="2488" t="s">
        <v>7555</v>
      </c>
      <c r="C60" s="2530">
        <v>119020</v>
      </c>
      <c r="D60" s="2488"/>
      <c r="E60" s="2488"/>
      <c r="F60" s="2530">
        <v>72876</v>
      </c>
      <c r="G60" s="2530">
        <v>191896</v>
      </c>
      <c r="H60" s="2479" t="str">
        <f t="shared" si="0"/>
        <v>Pryor Mountain - WA</v>
      </c>
      <c r="J60" s="2579"/>
      <c r="K60" s="2578"/>
      <c r="L60" s="2511"/>
      <c r="M60" s="2511"/>
      <c r="N60" s="2482"/>
      <c r="O60" s="2482"/>
      <c r="P60" s="2482"/>
      <c r="Q60" s="2482"/>
      <c r="R60" s="2482"/>
      <c r="S60" s="2482"/>
      <c r="T60" s="2482"/>
      <c r="U60" s="2482"/>
      <c r="V60" s="2482"/>
      <c r="W60" s="2482"/>
    </row>
    <row r="61" spans="1:23" ht="23.25" customHeight="1" x14ac:dyDescent="0.2">
      <c r="A61" s="2769">
        <f t="shared" si="1"/>
        <v>40.119999999999976</v>
      </c>
      <c r="B61" s="2488" t="s">
        <v>7556</v>
      </c>
      <c r="C61" s="2530">
        <v>1700000</v>
      </c>
      <c r="D61" s="2530">
        <v>456</v>
      </c>
      <c r="E61" s="2530">
        <v>1121869</v>
      </c>
      <c r="F61" s="2530">
        <v>68106</v>
      </c>
      <c r="G61" s="2530">
        <v>646237</v>
      </c>
      <c r="H61" s="2479" t="str">
        <f t="shared" si="0"/>
        <v>Fly Ash Sales - OR 
(Amortization period: 1 year, starting 04/2023)</v>
      </c>
      <c r="J61" s="2579"/>
      <c r="K61" s="2578"/>
      <c r="L61" s="2511"/>
      <c r="M61" s="2511"/>
      <c r="N61" s="2482"/>
      <c r="O61" s="2482"/>
      <c r="P61" s="2482"/>
      <c r="Q61" s="2482"/>
      <c r="R61" s="2482"/>
      <c r="S61" s="2482"/>
      <c r="T61" s="2482"/>
      <c r="U61" s="2482"/>
      <c r="V61" s="2482"/>
      <c r="W61" s="2482"/>
    </row>
    <row r="62" spans="1:23" ht="15.75" customHeight="1" x14ac:dyDescent="0.2">
      <c r="A62" s="2769">
        <f t="shared" si="1"/>
        <v>40.129999999999974</v>
      </c>
      <c r="B62" s="2488" t="s">
        <v>7557</v>
      </c>
      <c r="C62" s="2530">
        <v>0</v>
      </c>
      <c r="D62" s="2488"/>
      <c r="E62" s="2488"/>
      <c r="F62" s="2530">
        <v>3400000</v>
      </c>
      <c r="G62" s="2530">
        <v>3400000</v>
      </c>
      <c r="H62" s="2479" t="str">
        <f t="shared" si="0"/>
        <v>Fly Ash Sales - WA</v>
      </c>
      <c r="J62" s="2579"/>
      <c r="K62" s="2578"/>
      <c r="L62" s="2511"/>
      <c r="M62" s="2511"/>
      <c r="N62" s="2482"/>
      <c r="O62" s="2482"/>
      <c r="P62" s="2482"/>
      <c r="Q62" s="2482"/>
      <c r="R62" s="2482"/>
      <c r="S62" s="2482"/>
      <c r="T62" s="2482"/>
      <c r="U62" s="2482"/>
      <c r="V62" s="2482"/>
      <c r="W62" s="2482"/>
    </row>
    <row r="63" spans="1:23" ht="15.75" customHeight="1" x14ac:dyDescent="0.2">
      <c r="A63" s="2769">
        <f t="shared" si="1"/>
        <v>40.139999999999972</v>
      </c>
      <c r="B63" s="2761" t="s">
        <v>7466</v>
      </c>
      <c r="C63" s="2530">
        <v>0</v>
      </c>
      <c r="D63" s="2530">
        <v>922</v>
      </c>
      <c r="E63" s="2530">
        <v>156939</v>
      </c>
      <c r="F63" s="2530">
        <v>1093317</v>
      </c>
      <c r="G63" s="2530">
        <v>936378</v>
      </c>
      <c r="H63" s="2479" t="str">
        <f t="shared" si="0"/>
        <v>Low-Carbon Energy Standards - WY</v>
      </c>
      <c r="J63" s="2579"/>
      <c r="K63" s="2578"/>
      <c r="L63" s="2511"/>
      <c r="M63" s="2511"/>
      <c r="N63" s="2482"/>
      <c r="O63" s="2482"/>
      <c r="P63" s="2482"/>
      <c r="Q63" s="2482"/>
      <c r="R63" s="2482"/>
      <c r="S63" s="2482"/>
      <c r="T63" s="2482"/>
      <c r="U63" s="2482"/>
      <c r="V63" s="2482"/>
      <c r="W63" s="2482"/>
    </row>
    <row r="64" spans="1:23" ht="15.75" customHeight="1" x14ac:dyDescent="0.2">
      <c r="A64" s="2769">
        <f t="shared" si="1"/>
        <v>40.14999999999997</v>
      </c>
      <c r="B64" s="2761" t="s">
        <v>7558</v>
      </c>
      <c r="C64" s="2530">
        <v>32399</v>
      </c>
      <c r="D64" s="2488" t="s">
        <v>7559</v>
      </c>
      <c r="E64" s="2530">
        <v>32399</v>
      </c>
      <c r="F64" s="2488"/>
      <c r="G64" s="2530">
        <v>0</v>
      </c>
      <c r="H64" s="2479" t="str">
        <f t="shared" si="0"/>
        <v>Alternative Rate For Energy (CARE) - CA</v>
      </c>
      <c r="J64" s="2579"/>
      <c r="K64" s="2578"/>
      <c r="L64" s="2511"/>
      <c r="M64" s="2511"/>
      <c r="N64" s="2482"/>
      <c r="O64" s="2482"/>
      <c r="P64" s="2482"/>
      <c r="Q64" s="2482"/>
      <c r="R64" s="2482"/>
      <c r="S64" s="2482"/>
      <c r="T64" s="2482"/>
      <c r="U64" s="2482"/>
      <c r="V64" s="2482"/>
      <c r="W64" s="2482"/>
    </row>
    <row r="65" spans="1:23" ht="15.75" customHeight="1" x14ac:dyDescent="0.2">
      <c r="A65" s="2769">
        <f t="shared" si="1"/>
        <v>40.159999999999968</v>
      </c>
      <c r="B65" s="2761" t="s">
        <v>7560</v>
      </c>
      <c r="C65" s="2530">
        <v>234000</v>
      </c>
      <c r="D65" s="2488" t="s">
        <v>7561</v>
      </c>
      <c r="E65" s="2530">
        <v>234000</v>
      </c>
      <c r="F65" s="2488"/>
      <c r="G65" s="2530">
        <v>0</v>
      </c>
      <c r="H65" s="2479" t="str">
        <f t="shared" si="0"/>
        <v>Arrearage Payments Program - WA</v>
      </c>
      <c r="J65" s="2579"/>
      <c r="K65" s="2578"/>
      <c r="L65" s="2511"/>
      <c r="M65" s="2511"/>
      <c r="N65" s="2482"/>
      <c r="O65" s="2482"/>
      <c r="P65" s="2482"/>
      <c r="Q65" s="2482"/>
      <c r="R65" s="2482"/>
      <c r="S65" s="2482"/>
      <c r="T65" s="2482"/>
      <c r="U65" s="2482"/>
      <c r="V65" s="2482"/>
      <c r="W65" s="2482"/>
    </row>
    <row r="66" spans="1:23" ht="15.75" customHeight="1" x14ac:dyDescent="0.2">
      <c r="A66" s="2778">
        <f t="shared" si="1"/>
        <v>40.169999999999966</v>
      </c>
      <c r="B66" s="2488"/>
      <c r="C66" s="2488"/>
      <c r="D66" s="2488"/>
      <c r="E66" s="2488"/>
      <c r="F66" s="2488"/>
      <c r="G66" s="2488"/>
      <c r="H66" s="2479"/>
      <c r="J66" s="2579"/>
      <c r="K66" s="2578"/>
      <c r="L66" s="2511"/>
      <c r="M66" s="2511"/>
      <c r="N66" s="2482"/>
      <c r="O66" s="2482"/>
      <c r="P66" s="2482"/>
      <c r="Q66" s="2482"/>
      <c r="R66" s="2482"/>
      <c r="S66" s="2482"/>
      <c r="T66" s="2482"/>
      <c r="U66" s="2482"/>
      <c r="V66" s="2482"/>
      <c r="W66" s="2482"/>
    </row>
    <row r="67" spans="1:23" ht="15.75" customHeight="1" x14ac:dyDescent="0.2">
      <c r="A67" s="2779">
        <v>41</v>
      </c>
      <c r="B67" s="2773" t="s">
        <v>197</v>
      </c>
      <c r="C67" s="2561">
        <f>SUM(C9:C66)</f>
        <v>1629731766</v>
      </c>
      <c r="D67" s="2774"/>
      <c r="E67" s="2561">
        <f>SUM(E9:E66)</f>
        <v>666760945</v>
      </c>
      <c r="F67" s="2561">
        <f>SUM(F9:F66)</f>
        <v>213990078</v>
      </c>
      <c r="G67" s="2561">
        <f>SUM(G9:G66)</f>
        <v>1176960899</v>
      </c>
      <c r="H67" s="2479"/>
      <c r="J67" s="2579"/>
      <c r="K67" s="2578"/>
      <c r="L67" s="2511"/>
      <c r="M67" s="2511"/>
      <c r="N67" s="2482"/>
      <c r="O67" s="2482"/>
      <c r="P67" s="2482"/>
      <c r="Q67" s="2482"/>
      <c r="R67" s="2482"/>
      <c r="S67" s="2482"/>
      <c r="T67" s="2482"/>
      <c r="U67" s="2482"/>
      <c r="V67" s="2482"/>
      <c r="W67" s="2482"/>
    </row>
    <row r="68" spans="1:23" ht="15" customHeight="1" x14ac:dyDescent="0.2">
      <c r="A68" s="2516"/>
      <c r="B68" s="2516"/>
      <c r="C68" s="2516"/>
      <c r="D68" s="2516"/>
      <c r="E68" s="2516"/>
      <c r="F68" s="2516"/>
      <c r="G68" s="2516"/>
      <c r="J68" s="2579"/>
      <c r="K68" s="2578"/>
      <c r="L68" s="2511"/>
      <c r="M68" s="2511"/>
      <c r="N68" s="2482"/>
      <c r="O68" s="2482"/>
      <c r="P68" s="2482"/>
      <c r="Q68" s="2482"/>
      <c r="R68" s="2482"/>
      <c r="S68" s="2482"/>
      <c r="T68" s="2482"/>
      <c r="U68" s="2482"/>
      <c r="V68" s="2482"/>
      <c r="W68" s="2482"/>
    </row>
    <row r="69" spans="1:23" ht="15" customHeight="1" x14ac:dyDescent="0.2">
      <c r="J69" s="2579"/>
      <c r="K69" s="2578"/>
      <c r="L69" s="2511"/>
      <c r="M69" s="2511"/>
      <c r="N69" s="2482"/>
      <c r="O69" s="2482"/>
      <c r="P69" s="2482"/>
      <c r="Q69" s="2482"/>
      <c r="R69" s="2482"/>
      <c r="S69" s="2482"/>
      <c r="T69" s="2482"/>
      <c r="U69" s="2482"/>
      <c r="V69" s="2482"/>
      <c r="W69" s="2482"/>
    </row>
    <row r="70" spans="1:23" ht="15" customHeight="1" x14ac:dyDescent="0.2">
      <c r="J70" s="2579"/>
      <c r="K70" s="2578"/>
      <c r="L70" s="2511"/>
      <c r="M70" s="2511"/>
      <c r="N70" s="2482"/>
      <c r="O70" s="2482"/>
      <c r="P70" s="2482"/>
      <c r="Q70" s="2482"/>
      <c r="R70" s="2482"/>
      <c r="S70" s="2482"/>
      <c r="T70" s="2482"/>
      <c r="U70" s="2482"/>
      <c r="V70" s="2482"/>
      <c r="W70" s="2482"/>
    </row>
    <row r="71" spans="1:23" ht="15" customHeight="1" x14ac:dyDescent="0.2">
      <c r="J71" s="2579"/>
      <c r="K71" s="2578"/>
      <c r="L71" s="2511"/>
      <c r="M71" s="2511"/>
      <c r="N71" s="2482"/>
      <c r="O71" s="2482"/>
      <c r="P71" s="2482"/>
      <c r="Q71" s="2482"/>
      <c r="R71" s="2482"/>
      <c r="S71" s="2482"/>
      <c r="T71" s="2482"/>
      <c r="U71" s="2482"/>
      <c r="V71" s="2482"/>
      <c r="W71" s="2482"/>
    </row>
    <row r="72" spans="1:23" ht="15" customHeight="1" x14ac:dyDescent="0.2">
      <c r="J72" s="2579"/>
      <c r="K72" s="2578"/>
      <c r="L72" s="2511"/>
      <c r="M72" s="2511"/>
      <c r="N72" s="2482"/>
      <c r="O72" s="2482"/>
      <c r="P72" s="2482"/>
      <c r="Q72" s="2482"/>
      <c r="R72" s="2482"/>
      <c r="S72" s="2482"/>
      <c r="T72" s="2482"/>
      <c r="U72" s="2482"/>
      <c r="V72" s="2482"/>
      <c r="W72" s="2482"/>
    </row>
    <row r="73" spans="1:23" ht="15" customHeight="1" x14ac:dyDescent="0.2">
      <c r="J73" s="2579"/>
      <c r="K73" s="2578"/>
      <c r="L73" s="2511"/>
      <c r="M73" s="2511"/>
      <c r="N73" s="2482"/>
      <c r="O73" s="2482"/>
      <c r="P73" s="2482"/>
      <c r="Q73" s="2482"/>
      <c r="R73" s="2482"/>
      <c r="S73" s="2482"/>
      <c r="T73" s="2482"/>
      <c r="U73" s="2482"/>
      <c r="V73" s="2482"/>
      <c r="W73" s="2482"/>
    </row>
    <row r="74" spans="1:23" ht="15" customHeight="1" x14ac:dyDescent="0.2">
      <c r="J74" s="2579"/>
      <c r="K74" s="2578"/>
      <c r="L74" s="2511"/>
      <c r="M74" s="2511"/>
      <c r="N74" s="2482"/>
      <c r="O74" s="2482"/>
      <c r="P74" s="2482"/>
      <c r="Q74" s="2482"/>
      <c r="R74" s="2482"/>
      <c r="S74" s="2482"/>
      <c r="T74" s="2482"/>
      <c r="U74" s="2482"/>
      <c r="V74" s="2482"/>
      <c r="W74" s="2482"/>
    </row>
    <row r="75" spans="1:23" ht="15" customHeight="1" x14ac:dyDescent="0.2">
      <c r="J75" s="2579"/>
      <c r="K75" s="2578"/>
      <c r="L75" s="2511"/>
      <c r="M75" s="2511"/>
      <c r="N75" s="2482"/>
      <c r="O75" s="2482"/>
      <c r="P75" s="2482"/>
      <c r="Q75" s="2482"/>
      <c r="R75" s="2482"/>
      <c r="S75" s="2482"/>
      <c r="T75" s="2482"/>
      <c r="U75" s="2482"/>
      <c r="V75" s="2482"/>
      <c r="W75" s="2482"/>
    </row>
    <row r="76" spans="1:23" ht="15" customHeight="1" x14ac:dyDescent="0.2">
      <c r="J76" s="2579"/>
      <c r="K76" s="2578"/>
      <c r="L76" s="2511"/>
      <c r="M76" s="2511"/>
      <c r="N76" s="2482"/>
      <c r="O76" s="2482"/>
      <c r="P76" s="2482"/>
      <c r="Q76" s="2482"/>
      <c r="R76" s="2482"/>
      <c r="S76" s="2482"/>
      <c r="T76" s="2482"/>
      <c r="U76" s="2482"/>
      <c r="V76" s="2482"/>
      <c r="W76" s="2482"/>
    </row>
    <row r="77" spans="1:23" ht="15" customHeight="1" x14ac:dyDescent="0.2">
      <c r="J77" s="2579"/>
      <c r="K77" s="2578"/>
      <c r="L77" s="2511"/>
      <c r="M77" s="2511"/>
      <c r="N77" s="2482"/>
      <c r="O77" s="2482"/>
      <c r="P77" s="2482"/>
      <c r="Q77" s="2482"/>
      <c r="R77" s="2482"/>
      <c r="S77" s="2482"/>
      <c r="T77" s="2482"/>
      <c r="U77" s="2482"/>
      <c r="V77" s="2482"/>
      <c r="W77" s="2482"/>
    </row>
    <row r="78" spans="1:23" ht="15" customHeight="1" x14ac:dyDescent="0.2">
      <c r="J78" s="2579"/>
      <c r="K78" s="2578"/>
      <c r="L78" s="2511"/>
      <c r="M78" s="2511"/>
      <c r="N78" s="2482"/>
      <c r="O78" s="2482"/>
      <c r="P78" s="2482"/>
      <c r="Q78" s="2482"/>
      <c r="R78" s="2482"/>
      <c r="S78" s="2482"/>
      <c r="T78" s="2482"/>
      <c r="U78" s="2482"/>
      <c r="V78" s="2482"/>
      <c r="W78" s="2482"/>
    </row>
    <row r="79" spans="1:23" x14ac:dyDescent="0.2">
      <c r="J79" s="2608"/>
    </row>
  </sheetData>
  <mergeCells count="9">
    <mergeCell ref="A3:G3"/>
    <mergeCell ref="A4:G4"/>
    <mergeCell ref="K4:L4"/>
    <mergeCell ref="A5:A6"/>
    <mergeCell ref="B5:B6"/>
    <mergeCell ref="C5:C6"/>
    <mergeCell ref="D5:E5"/>
    <mergeCell ref="F5:F6"/>
    <mergeCell ref="G5:G6"/>
  </mergeCells>
  <pageMargins left="0.75" right="0.75" top="1" bottom="1" header="0.5" footer="0.5"/>
  <customProperties>
    <customPr name="_pios_id" r:id="rId1"/>
  </customProperties>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67E3FE-2183-4DC6-8E92-A9A876A27EE5}">
  <sheetPr codeName="Sheet57"/>
  <dimension ref="A1:W106"/>
  <sheetViews>
    <sheetView workbookViewId="0">
      <pane ySplit="8" topLeftCell="A9" activePane="bottomLeft" state="frozen"/>
      <selection activeCell="C1" sqref="C1"/>
      <selection pane="bottomLeft" activeCell="C1" sqref="C1"/>
    </sheetView>
  </sheetViews>
  <sheetFormatPr defaultColWidth="11.5" defaultRowHeight="12.75" x14ac:dyDescent="0.2"/>
  <cols>
    <col min="1" max="1" width="4.75" style="1953" customWidth="1"/>
    <col min="2" max="2" width="38.625" style="1953" customWidth="1"/>
    <col min="3" max="3" width="11.5" style="1953"/>
    <col min="4" max="4" width="11.5" style="1953" customWidth="1"/>
    <col min="5" max="6" width="11.25" style="1953" customWidth="1"/>
    <col min="7" max="7" width="11.5" style="1953" customWidth="1"/>
    <col min="8" max="9" width="17.625" style="1953" customWidth="1"/>
    <col min="10" max="23" width="17.625" style="1953" hidden="1" customWidth="1"/>
    <col min="24" max="26" width="17.625" style="1953" customWidth="1"/>
    <col min="27" max="16384" width="11.5" style="1953"/>
  </cols>
  <sheetData>
    <row r="1" spans="1:23" ht="16.7" customHeight="1" x14ac:dyDescent="0.2">
      <c r="B1" s="2755" t="s">
        <v>7562</v>
      </c>
      <c r="J1" s="3914" t="s">
        <v>6320</v>
      </c>
      <c r="K1" s="2482" t="s">
        <v>6974</v>
      </c>
      <c r="L1" s="2482"/>
      <c r="M1" s="2482"/>
      <c r="N1" s="2482"/>
      <c r="O1" s="2482"/>
      <c r="P1" s="2482"/>
      <c r="Q1" s="2482"/>
      <c r="R1" s="2482"/>
      <c r="S1" s="2482"/>
      <c r="T1" s="2482"/>
      <c r="U1" s="2482"/>
      <c r="V1" s="2482"/>
      <c r="W1" s="2482"/>
    </row>
    <row r="2" spans="1:23" ht="16.7" customHeight="1" x14ac:dyDescent="0.2">
      <c r="J2" s="3915"/>
      <c r="K2" s="2482"/>
      <c r="L2" s="2482"/>
      <c r="M2" s="2482"/>
      <c r="N2" s="2482"/>
      <c r="O2" s="2482"/>
      <c r="P2" s="2482"/>
      <c r="Q2" s="2482"/>
      <c r="R2" s="2482"/>
      <c r="S2" s="2482"/>
      <c r="T2" s="2482"/>
      <c r="U2" s="2482"/>
      <c r="V2" s="2482"/>
      <c r="W2" s="2482"/>
    </row>
    <row r="3" spans="1:23" ht="16.7" customHeight="1" x14ac:dyDescent="0.2">
      <c r="A3" s="3859" t="s">
        <v>7563</v>
      </c>
      <c r="B3" s="3927"/>
      <c r="C3" s="3927"/>
      <c r="D3" s="3927"/>
      <c r="E3" s="3927"/>
      <c r="F3" s="3927"/>
      <c r="G3" s="3927"/>
      <c r="H3" s="2479"/>
      <c r="J3" s="2579"/>
      <c r="K3" s="2482"/>
      <c r="L3" s="2482"/>
      <c r="M3" s="2482"/>
      <c r="N3" s="2482"/>
      <c r="O3" s="2482"/>
      <c r="P3" s="2482"/>
      <c r="Q3" s="2482"/>
      <c r="R3" s="2482"/>
      <c r="S3" s="2482"/>
      <c r="T3" s="2482"/>
      <c r="U3" s="2482"/>
      <c r="V3" s="2482"/>
      <c r="W3" s="2482"/>
    </row>
    <row r="4" spans="1:23" ht="50.1" customHeight="1" x14ac:dyDescent="0.2">
      <c r="A4" s="3878" t="s">
        <v>7564</v>
      </c>
      <c r="B4" s="3883"/>
      <c r="C4" s="3883"/>
      <c r="D4" s="3883"/>
      <c r="E4" s="3883"/>
      <c r="F4" s="3883"/>
      <c r="G4" s="3884"/>
      <c r="H4" s="2479"/>
      <c r="J4" s="2579"/>
      <c r="K4" s="2482"/>
      <c r="L4" s="2482"/>
      <c r="M4" s="2482"/>
      <c r="N4" s="2482"/>
      <c r="O4" s="2482"/>
      <c r="P4" s="2482"/>
      <c r="Q4" s="2482"/>
      <c r="R4" s="2482"/>
      <c r="S4" s="2482"/>
      <c r="T4" s="2482"/>
      <c r="U4" s="2482"/>
      <c r="V4" s="2482"/>
      <c r="W4" s="2482"/>
    </row>
    <row r="5" spans="1:23" ht="24.2" customHeight="1" x14ac:dyDescent="0.2">
      <c r="A5" s="3963" t="s">
        <v>6466</v>
      </c>
      <c r="B5" s="3944" t="s">
        <v>7565</v>
      </c>
      <c r="C5" s="3944" t="s">
        <v>7566</v>
      </c>
      <c r="D5" s="3944" t="s">
        <v>7316</v>
      </c>
      <c r="E5" s="3964" t="s">
        <v>7317</v>
      </c>
      <c r="F5" s="3884"/>
      <c r="G5" s="3944" t="s">
        <v>7567</v>
      </c>
      <c r="H5" s="2479"/>
      <c r="J5" s="2579"/>
      <c r="K5" s="2482"/>
      <c r="L5" s="2482"/>
      <c r="M5" s="2482"/>
      <c r="N5" s="2482"/>
      <c r="O5" s="2482"/>
      <c r="P5" s="2482"/>
      <c r="Q5" s="2482"/>
      <c r="R5" s="2482"/>
      <c r="S5" s="2482"/>
      <c r="T5" s="2482"/>
      <c r="U5" s="2482"/>
      <c r="V5" s="2482"/>
      <c r="W5" s="2482"/>
    </row>
    <row r="6" spans="1:23" ht="23.25" customHeight="1" x14ac:dyDescent="0.2">
      <c r="A6" s="3943"/>
      <c r="B6" s="3943"/>
      <c r="C6" s="3943"/>
      <c r="D6" s="3943"/>
      <c r="E6" s="2637" t="s">
        <v>7062</v>
      </c>
      <c r="F6" s="2637" t="s">
        <v>441</v>
      </c>
      <c r="G6" s="3943"/>
      <c r="H6" s="2479"/>
      <c r="J6" s="2579"/>
      <c r="K6" s="2482"/>
      <c r="L6" s="2482"/>
      <c r="M6" s="2482"/>
      <c r="N6" s="2482"/>
      <c r="O6" s="2482"/>
      <c r="P6" s="2482"/>
      <c r="Q6" s="2482"/>
      <c r="R6" s="2482"/>
      <c r="S6" s="2482"/>
      <c r="T6" s="2482"/>
      <c r="U6" s="2482"/>
      <c r="V6" s="2482"/>
      <c r="W6" s="2482"/>
    </row>
    <row r="7" spans="1:23" ht="16.7" customHeight="1" x14ac:dyDescent="0.2">
      <c r="A7" s="2585"/>
      <c r="B7" s="2739" t="s">
        <v>5949</v>
      </c>
      <c r="C7" s="2739" t="s">
        <v>5950</v>
      </c>
      <c r="D7" s="2739" t="s">
        <v>5951</v>
      </c>
      <c r="E7" s="2739" t="s">
        <v>5952</v>
      </c>
      <c r="F7" s="2739" t="s">
        <v>6227</v>
      </c>
      <c r="G7" s="2586" t="s">
        <v>5804</v>
      </c>
      <c r="H7" s="2479" t="s">
        <v>6324</v>
      </c>
      <c r="J7" s="2579"/>
      <c r="K7" s="2482"/>
      <c r="L7" s="2482"/>
      <c r="M7" s="2482"/>
      <c r="N7" s="2482"/>
      <c r="O7" s="2482"/>
      <c r="P7" s="2482"/>
      <c r="Q7" s="2482"/>
      <c r="R7" s="2482"/>
      <c r="S7" s="2482"/>
      <c r="T7" s="2482"/>
      <c r="U7" s="2482"/>
      <c r="V7" s="2482"/>
      <c r="W7" s="2482"/>
    </row>
    <row r="8" spans="1:23" ht="25.7" customHeight="1" x14ac:dyDescent="0.2">
      <c r="A8" s="2588"/>
      <c r="B8" s="2705"/>
      <c r="C8" s="2781" t="s">
        <v>6367</v>
      </c>
      <c r="D8" s="2705"/>
      <c r="E8" s="2705"/>
      <c r="F8" s="2705"/>
      <c r="G8" s="2781" t="s">
        <v>7568</v>
      </c>
      <c r="H8" s="2479"/>
      <c r="J8" s="2579"/>
      <c r="K8" s="2482" t="s">
        <v>6985</v>
      </c>
      <c r="L8" s="2782" t="s">
        <v>6484</v>
      </c>
      <c r="M8" s="2482"/>
      <c r="N8" s="2482"/>
      <c r="O8" s="2482"/>
      <c r="P8" s="2482"/>
      <c r="Q8" s="2482"/>
      <c r="R8" s="2482"/>
      <c r="S8" s="2482"/>
      <c r="T8" s="2482"/>
      <c r="U8" s="2482"/>
      <c r="V8" s="2482"/>
      <c r="W8" s="2482"/>
    </row>
    <row r="9" spans="1:23" ht="16.7" customHeight="1" x14ac:dyDescent="0.2">
      <c r="A9" s="2760">
        <v>1</v>
      </c>
      <c r="B9" s="2488" t="s">
        <v>7569</v>
      </c>
      <c r="C9" s="2645">
        <v>705200</v>
      </c>
      <c r="D9" s="2530">
        <v>0</v>
      </c>
      <c r="E9" s="2748">
        <v>557</v>
      </c>
      <c r="F9" s="2530">
        <v>41280</v>
      </c>
      <c r="G9" s="2530">
        <f t="shared" ref="G9:G43" si="0">C9+D9-F9</f>
        <v>663920</v>
      </c>
      <c r="H9" s="2479" t="str">
        <f t="shared" ref="H9:H54" si="1">B9</f>
        <v>Bogus Creek (41)</v>
      </c>
      <c r="J9" s="2579"/>
      <c r="K9" s="2783" t="s">
        <v>6139</v>
      </c>
      <c r="L9" s="2645">
        <v>49530</v>
      </c>
      <c r="M9" s="2520"/>
      <c r="N9" s="2482"/>
      <c r="O9" s="2482"/>
      <c r="P9" s="2482"/>
      <c r="Q9" s="2482"/>
      <c r="R9" s="2482"/>
      <c r="S9" s="2482"/>
      <c r="T9" s="2482"/>
      <c r="U9" s="2482"/>
      <c r="V9" s="2482"/>
      <c r="W9" s="2482"/>
    </row>
    <row r="10" spans="1:23" ht="16.7" customHeight="1" x14ac:dyDescent="0.2">
      <c r="A10" s="2760">
        <v>2</v>
      </c>
      <c r="B10" s="2488" t="s">
        <v>7570</v>
      </c>
      <c r="C10" s="2645">
        <v>3957523</v>
      </c>
      <c r="D10" s="2530">
        <v>7782898</v>
      </c>
      <c r="E10" s="2748">
        <v>131</v>
      </c>
      <c r="F10" s="2530">
        <v>4471174</v>
      </c>
      <c r="G10" s="2530">
        <f t="shared" si="0"/>
        <v>7269247</v>
      </c>
      <c r="H10" s="2479" t="str">
        <f t="shared" si="1"/>
        <v>Point-to-Point Transmission Reservation Deposits</v>
      </c>
      <c r="J10" s="2579"/>
      <c r="K10" s="2783" t="s">
        <v>5957</v>
      </c>
      <c r="L10" s="2645">
        <v>787760</v>
      </c>
      <c r="M10" s="2520"/>
      <c r="N10" s="2482"/>
      <c r="O10" s="2482"/>
      <c r="P10" s="2482"/>
      <c r="Q10" s="2482"/>
      <c r="R10" s="2482"/>
      <c r="S10" s="2482"/>
      <c r="T10" s="2482"/>
      <c r="U10" s="2482"/>
      <c r="V10" s="2482"/>
      <c r="W10" s="2482"/>
    </row>
    <row r="11" spans="1:23" ht="16.7" customHeight="1" x14ac:dyDescent="0.2">
      <c r="A11" s="2760">
        <v>3</v>
      </c>
      <c r="B11" s="2488" t="s">
        <v>7571</v>
      </c>
      <c r="C11" s="2645">
        <v>2332165</v>
      </c>
      <c r="D11" s="2530">
        <v>0</v>
      </c>
      <c r="E11" s="2748">
        <v>557</v>
      </c>
      <c r="F11" s="2530">
        <v>171693</v>
      </c>
      <c r="G11" s="2530">
        <f t="shared" si="0"/>
        <v>2160472</v>
      </c>
      <c r="H11" s="2479" t="str">
        <f t="shared" si="1"/>
        <v>Hermiston Swap (40)</v>
      </c>
      <c r="J11" s="2579"/>
      <c r="K11" s="2783" t="s">
        <v>5959</v>
      </c>
      <c r="L11" s="2645">
        <v>7218293</v>
      </c>
      <c r="M11" s="2520"/>
      <c r="N11" s="2482"/>
      <c r="O11" s="2482"/>
      <c r="P11" s="2482"/>
      <c r="Q11" s="2482"/>
      <c r="R11" s="2482"/>
      <c r="S11" s="2482"/>
      <c r="T11" s="2482"/>
      <c r="U11" s="2482"/>
      <c r="V11" s="2482"/>
      <c r="W11" s="2482"/>
    </row>
    <row r="12" spans="1:23" ht="16.7" customHeight="1" x14ac:dyDescent="0.2">
      <c r="A12" s="2760">
        <v>4</v>
      </c>
      <c r="B12" s="2488" t="s">
        <v>7572</v>
      </c>
      <c r="C12" s="2645">
        <v>1116</v>
      </c>
      <c r="D12" s="2530">
        <v>0</v>
      </c>
      <c r="E12" s="2748">
        <v>589</v>
      </c>
      <c r="F12" s="2530">
        <v>1116</v>
      </c>
      <c r="G12" s="2530">
        <f t="shared" si="0"/>
        <v>0</v>
      </c>
      <c r="H12" s="2479" t="str">
        <f t="shared" si="1"/>
        <v>Long-Term Lease Commissions Prepaids</v>
      </c>
      <c r="J12" s="2579"/>
      <c r="K12" s="2783" t="s">
        <v>5961</v>
      </c>
      <c r="L12" s="2645">
        <v>1061472</v>
      </c>
      <c r="M12" s="2520"/>
      <c r="N12" s="2482"/>
      <c r="O12" s="2482"/>
      <c r="P12" s="2482"/>
      <c r="Q12" s="2482"/>
      <c r="R12" s="2482"/>
      <c r="S12" s="2482"/>
      <c r="T12" s="2482"/>
      <c r="U12" s="2482"/>
      <c r="V12" s="2482"/>
      <c r="W12" s="2482"/>
    </row>
    <row r="13" spans="1:23" ht="16.7" customHeight="1" x14ac:dyDescent="0.2">
      <c r="A13" s="2760">
        <v>5</v>
      </c>
      <c r="B13" s="2488" t="s">
        <v>7573</v>
      </c>
      <c r="C13" s="2645">
        <v>21378653</v>
      </c>
      <c r="D13" s="2530">
        <v>6882275</v>
      </c>
      <c r="E13" s="2489"/>
      <c r="F13" s="2530">
        <v>0</v>
      </c>
      <c r="G13" s="2530">
        <f t="shared" si="0"/>
        <v>28260928</v>
      </c>
      <c r="H13" s="2479" t="str">
        <f t="shared" si="1"/>
        <v>Lake Side Maintenance Prepaid</v>
      </c>
      <c r="J13" s="2579"/>
      <c r="K13" s="2783" t="s">
        <v>5963</v>
      </c>
      <c r="L13" s="2645">
        <v>2675551</v>
      </c>
      <c r="M13" s="2520"/>
      <c r="N13" s="2482"/>
      <c r="O13" s="2482"/>
      <c r="P13" s="2482"/>
      <c r="Q13" s="2482"/>
      <c r="R13" s="2482"/>
      <c r="S13" s="2482"/>
      <c r="T13" s="2482"/>
      <c r="U13" s="2482"/>
      <c r="V13" s="2482"/>
      <c r="W13" s="2482"/>
    </row>
    <row r="14" spans="1:23" ht="16.7" customHeight="1" x14ac:dyDescent="0.2">
      <c r="A14" s="2760">
        <v>6</v>
      </c>
      <c r="B14" s="2488" t="s">
        <v>7574</v>
      </c>
      <c r="C14" s="2645">
        <v>29816376</v>
      </c>
      <c r="D14" s="2530">
        <v>5997983</v>
      </c>
      <c r="E14" s="2748">
        <v>107</v>
      </c>
      <c r="F14" s="2530">
        <v>34744623</v>
      </c>
      <c r="G14" s="2530">
        <f t="shared" si="0"/>
        <v>1069736</v>
      </c>
      <c r="H14" s="2479" t="str">
        <f t="shared" si="1"/>
        <v>Lake Side 2 Maintenance Prepaid</v>
      </c>
      <c r="J14" s="2579"/>
      <c r="K14" s="2783" t="s">
        <v>5965</v>
      </c>
      <c r="L14" s="2645">
        <v>670362</v>
      </c>
      <c r="M14" s="2520"/>
      <c r="N14" s="2482"/>
      <c r="O14" s="2482"/>
      <c r="P14" s="2482"/>
      <c r="Q14" s="2482"/>
      <c r="R14" s="2482"/>
      <c r="S14" s="2482"/>
      <c r="T14" s="2482"/>
      <c r="U14" s="2482"/>
      <c r="V14" s="2482"/>
      <c r="W14" s="2482"/>
    </row>
    <row r="15" spans="1:23" ht="16.7" customHeight="1" x14ac:dyDescent="0.2">
      <c r="A15" s="2760">
        <v>7</v>
      </c>
      <c r="B15" s="2488" t="s">
        <v>7575</v>
      </c>
      <c r="C15" s="2645">
        <v>9538688</v>
      </c>
      <c r="D15" s="2530">
        <v>5452623</v>
      </c>
      <c r="E15" s="2489"/>
      <c r="F15" s="2530">
        <v>0</v>
      </c>
      <c r="G15" s="2530">
        <f t="shared" si="0"/>
        <v>14991311</v>
      </c>
      <c r="H15" s="2479" t="str">
        <f t="shared" si="1"/>
        <v>Chehalis Maintenance Prepaid</v>
      </c>
      <c r="J15" s="2579"/>
      <c r="K15" s="2783" t="s">
        <v>5968</v>
      </c>
      <c r="L15" s="2645">
        <v>28125</v>
      </c>
      <c r="M15" s="2520"/>
      <c r="N15" s="2482"/>
      <c r="O15" s="2482"/>
      <c r="P15" s="2482"/>
      <c r="Q15" s="2482"/>
      <c r="R15" s="2482"/>
      <c r="S15" s="2482"/>
      <c r="T15" s="2482"/>
      <c r="U15" s="2482"/>
      <c r="V15" s="2482"/>
      <c r="W15" s="2482"/>
    </row>
    <row r="16" spans="1:23" ht="16.7" customHeight="1" x14ac:dyDescent="0.2">
      <c r="A16" s="2760">
        <v>8</v>
      </c>
      <c r="B16" s="2488" t="s">
        <v>7576</v>
      </c>
      <c r="C16" s="2645">
        <v>7612833</v>
      </c>
      <c r="D16" s="2530">
        <v>7090182</v>
      </c>
      <c r="E16" s="2489"/>
      <c r="F16" s="2530">
        <v>0</v>
      </c>
      <c r="G16" s="2530">
        <f t="shared" si="0"/>
        <v>14703015</v>
      </c>
      <c r="H16" s="2479" t="str">
        <f t="shared" si="1"/>
        <v>Currant Creek Maint. Prepaid</v>
      </c>
      <c r="J16" s="2579"/>
      <c r="K16" s="2783" t="s">
        <v>5970</v>
      </c>
      <c r="L16" s="2645">
        <v>9032863</v>
      </c>
      <c r="M16" s="2520"/>
      <c r="N16" s="2482"/>
      <c r="O16" s="2482"/>
      <c r="P16" s="2482"/>
      <c r="Q16" s="2482"/>
      <c r="R16" s="2482"/>
      <c r="S16" s="2482"/>
      <c r="T16" s="2482"/>
      <c r="U16" s="2482"/>
      <c r="V16" s="2482"/>
      <c r="W16" s="2482"/>
    </row>
    <row r="17" spans="1:23" ht="16.7" customHeight="1" x14ac:dyDescent="0.2">
      <c r="A17" s="2760">
        <v>9</v>
      </c>
      <c r="B17" s="2488" t="s">
        <v>7577</v>
      </c>
      <c r="C17" s="2645">
        <v>3818370</v>
      </c>
      <c r="D17" s="2530">
        <v>1359871</v>
      </c>
      <c r="E17" s="2748">
        <v>107</v>
      </c>
      <c r="F17" s="2530">
        <v>443963</v>
      </c>
      <c r="G17" s="2530">
        <f t="shared" si="0"/>
        <v>4734278</v>
      </c>
      <c r="H17" s="2479" t="str">
        <f t="shared" si="1"/>
        <v>Seven Mile Hill Maintenance Prepaid</v>
      </c>
      <c r="J17" s="2579"/>
      <c r="K17" s="2783" t="s">
        <v>5972</v>
      </c>
      <c r="L17" s="2645">
        <v>18910764</v>
      </c>
      <c r="M17" s="2520"/>
      <c r="N17" s="2482"/>
      <c r="O17" s="2482"/>
      <c r="P17" s="2482"/>
      <c r="Q17" s="2482"/>
      <c r="R17" s="2482"/>
      <c r="S17" s="2482"/>
      <c r="T17" s="2482"/>
      <c r="U17" s="2482"/>
      <c r="V17" s="2482"/>
      <c r="W17" s="2482"/>
    </row>
    <row r="18" spans="1:23" ht="16.7" customHeight="1" x14ac:dyDescent="0.2">
      <c r="A18" s="2760">
        <v>10</v>
      </c>
      <c r="B18" s="2488" t="s">
        <v>7578</v>
      </c>
      <c r="C18" s="2645">
        <v>875418</v>
      </c>
      <c r="D18" s="2530">
        <v>267854</v>
      </c>
      <c r="E18" s="2748">
        <v>107</v>
      </c>
      <c r="F18" s="2530">
        <v>40215</v>
      </c>
      <c r="G18" s="2530">
        <f t="shared" si="0"/>
        <v>1103057</v>
      </c>
      <c r="H18" s="2479" t="str">
        <f t="shared" si="1"/>
        <v>Seven Mile Hill II Maintenance Prepaid</v>
      </c>
      <c r="J18" s="2579"/>
      <c r="K18" s="2783" t="s">
        <v>5974</v>
      </c>
      <c r="L18" s="2645">
        <v>22716944</v>
      </c>
      <c r="M18" s="2520"/>
      <c r="N18" s="2482"/>
      <c r="O18" s="2482"/>
      <c r="P18" s="2482"/>
      <c r="Q18" s="2482"/>
      <c r="R18" s="2482"/>
      <c r="S18" s="2482"/>
      <c r="T18" s="2482"/>
      <c r="U18" s="2482"/>
      <c r="V18" s="2482"/>
      <c r="W18" s="2482"/>
    </row>
    <row r="19" spans="1:23" ht="16.7" customHeight="1" x14ac:dyDescent="0.2">
      <c r="A19" s="2760">
        <v>11</v>
      </c>
      <c r="B19" s="2488" t="s">
        <v>7579</v>
      </c>
      <c r="C19" s="2645">
        <v>3769646</v>
      </c>
      <c r="D19" s="2530">
        <v>1524703</v>
      </c>
      <c r="E19" s="2748">
        <v>107</v>
      </c>
      <c r="F19" s="2530">
        <v>104519</v>
      </c>
      <c r="G19" s="2530">
        <f t="shared" si="0"/>
        <v>5189830</v>
      </c>
      <c r="H19" s="2479" t="str">
        <f t="shared" si="1"/>
        <v>Dunlap Ranch I Maintenance Prepaid</v>
      </c>
      <c r="J19" s="2579"/>
      <c r="K19" s="2783" t="s">
        <v>5976</v>
      </c>
      <c r="L19" s="2645">
        <v>20124993</v>
      </c>
      <c r="M19" s="2520"/>
      <c r="N19" s="2482"/>
      <c r="O19" s="2482"/>
      <c r="P19" s="2482"/>
      <c r="Q19" s="2482"/>
      <c r="R19" s="2482"/>
      <c r="S19" s="2482"/>
      <c r="T19" s="2482"/>
      <c r="U19" s="2482"/>
      <c r="V19" s="2482"/>
      <c r="W19" s="2482"/>
    </row>
    <row r="20" spans="1:23" ht="16.7" customHeight="1" x14ac:dyDescent="0.2">
      <c r="A20" s="2760">
        <v>12</v>
      </c>
      <c r="B20" s="2488" t="s">
        <v>7580</v>
      </c>
      <c r="C20" s="2645">
        <v>2990768</v>
      </c>
      <c r="D20" s="2530">
        <v>1618961</v>
      </c>
      <c r="E20" s="2748">
        <v>107</v>
      </c>
      <c r="F20" s="2530">
        <v>211109</v>
      </c>
      <c r="G20" s="2530">
        <f t="shared" si="0"/>
        <v>4398620</v>
      </c>
      <c r="H20" s="2479" t="str">
        <f t="shared" si="1"/>
        <v>Ekola Flats Maintenance Prepaid</v>
      </c>
      <c r="J20" s="2579"/>
      <c r="K20" s="2783" t="s">
        <v>5978</v>
      </c>
      <c r="L20" s="2645">
        <v>2039806</v>
      </c>
      <c r="M20" s="2520"/>
      <c r="N20" s="2482"/>
      <c r="O20" s="2482"/>
      <c r="P20" s="2482"/>
      <c r="Q20" s="2482"/>
      <c r="R20" s="2482"/>
      <c r="S20" s="2482"/>
      <c r="T20" s="2482"/>
      <c r="U20" s="2482"/>
      <c r="V20" s="2482"/>
      <c r="W20" s="2482"/>
    </row>
    <row r="21" spans="1:23" ht="16.7" customHeight="1" x14ac:dyDescent="0.2">
      <c r="A21" s="2760">
        <v>13</v>
      </c>
      <c r="B21" s="2488" t="s">
        <v>7581</v>
      </c>
      <c r="C21" s="2645">
        <v>784853</v>
      </c>
      <c r="D21" s="2530">
        <v>457335</v>
      </c>
      <c r="E21" s="2748">
        <v>107</v>
      </c>
      <c r="F21" s="2530">
        <v>102260</v>
      </c>
      <c r="G21" s="2530">
        <f t="shared" si="0"/>
        <v>1139928</v>
      </c>
      <c r="H21" s="2479" t="str">
        <f t="shared" si="1"/>
        <v>Foote Creek Maintenance Prepaid</v>
      </c>
      <c r="J21" s="2579"/>
      <c r="K21" s="2783" t="s">
        <v>5980</v>
      </c>
      <c r="L21" s="2645">
        <v>401780</v>
      </c>
      <c r="M21" s="2520"/>
      <c r="N21" s="2482"/>
      <c r="O21" s="2482"/>
      <c r="P21" s="2482"/>
      <c r="Q21" s="2482"/>
      <c r="R21" s="2482"/>
      <c r="S21" s="2482"/>
      <c r="T21" s="2482"/>
      <c r="U21" s="2482"/>
      <c r="V21" s="2482"/>
      <c r="W21" s="2482"/>
    </row>
    <row r="22" spans="1:23" ht="16.7" customHeight="1" x14ac:dyDescent="0.2">
      <c r="A22" s="2760">
        <v>14</v>
      </c>
      <c r="B22" s="2488" t="s">
        <v>7582</v>
      </c>
      <c r="C22" s="2645">
        <v>3781344</v>
      </c>
      <c r="D22" s="2530">
        <v>1275303</v>
      </c>
      <c r="E22" s="2748">
        <v>107</v>
      </c>
      <c r="F22" s="2530">
        <v>596436</v>
      </c>
      <c r="G22" s="2530">
        <f t="shared" si="0"/>
        <v>4460211</v>
      </c>
      <c r="H22" s="2479" t="str">
        <f t="shared" si="1"/>
        <v>Glenrock I Maintenance Prepaid</v>
      </c>
      <c r="J22" s="2579"/>
      <c r="K22" s="2783" t="s">
        <v>5982</v>
      </c>
      <c r="L22" s="2645">
        <v>762352</v>
      </c>
      <c r="M22" s="2520"/>
      <c r="N22" s="2482"/>
      <c r="O22" s="2482"/>
      <c r="P22" s="2482"/>
      <c r="Q22" s="2482"/>
      <c r="R22" s="2482"/>
      <c r="S22" s="2482"/>
      <c r="T22" s="2482"/>
      <c r="U22" s="2482"/>
      <c r="V22" s="2482"/>
      <c r="W22" s="2482"/>
    </row>
    <row r="23" spans="1:23" ht="16.7" customHeight="1" x14ac:dyDescent="0.2">
      <c r="A23" s="2760">
        <v>15</v>
      </c>
      <c r="B23" s="2488" t="s">
        <v>7583</v>
      </c>
      <c r="C23" s="2645">
        <v>1599312</v>
      </c>
      <c r="D23" s="2530">
        <v>267853</v>
      </c>
      <c r="E23" s="2748">
        <v>107</v>
      </c>
      <c r="F23" s="2530">
        <v>232433</v>
      </c>
      <c r="G23" s="2530">
        <f t="shared" si="0"/>
        <v>1634732</v>
      </c>
      <c r="H23" s="2479" t="str">
        <f t="shared" si="1"/>
        <v>Glenrock III Maintenance Prepaid</v>
      </c>
      <c r="J23" s="2579"/>
      <c r="K23" s="2783" t="s">
        <v>5984</v>
      </c>
      <c r="L23" s="2645">
        <v>0</v>
      </c>
      <c r="M23" s="2520"/>
      <c r="N23" s="2482"/>
      <c r="O23" s="2482"/>
      <c r="P23" s="2482"/>
      <c r="Q23" s="2482"/>
      <c r="R23" s="2482"/>
      <c r="S23" s="2482"/>
      <c r="T23" s="2482"/>
      <c r="U23" s="2482"/>
      <c r="V23" s="2482"/>
      <c r="W23" s="2482"/>
    </row>
    <row r="24" spans="1:23" ht="16.7" customHeight="1" x14ac:dyDescent="0.2">
      <c r="A24" s="2760">
        <v>16</v>
      </c>
      <c r="B24" s="2488" t="s">
        <v>7584</v>
      </c>
      <c r="C24" s="2645">
        <v>3179343</v>
      </c>
      <c r="D24" s="2530">
        <v>1131653</v>
      </c>
      <c r="E24" s="2748">
        <v>107</v>
      </c>
      <c r="F24" s="2530">
        <v>130110</v>
      </c>
      <c r="G24" s="2530">
        <f t="shared" si="0"/>
        <v>4180886</v>
      </c>
      <c r="H24" s="2479" t="str">
        <f t="shared" si="1"/>
        <v>Goodnoe Hills Maintenance Prepaid</v>
      </c>
      <c r="J24" s="2579"/>
      <c r="K24" s="2783" t="s">
        <v>5986</v>
      </c>
      <c r="L24" s="2645">
        <v>0</v>
      </c>
      <c r="M24" s="2520"/>
      <c r="N24" s="2482"/>
      <c r="O24" s="2482"/>
      <c r="P24" s="2482"/>
      <c r="Q24" s="2482"/>
      <c r="R24" s="2482"/>
      <c r="S24" s="2482"/>
      <c r="T24" s="2482"/>
      <c r="U24" s="2482"/>
      <c r="V24" s="2482"/>
      <c r="W24" s="2482"/>
    </row>
    <row r="25" spans="1:23" ht="16.7" customHeight="1" x14ac:dyDescent="0.2">
      <c r="A25" s="2760">
        <v>17</v>
      </c>
      <c r="B25" s="2488" t="s">
        <v>7585</v>
      </c>
      <c r="C25" s="2645">
        <v>3585742</v>
      </c>
      <c r="D25" s="2530">
        <v>679935</v>
      </c>
      <c r="E25" s="2748">
        <v>107</v>
      </c>
      <c r="F25" s="2530">
        <v>603103</v>
      </c>
      <c r="G25" s="2530">
        <f t="shared" si="0"/>
        <v>3662574</v>
      </c>
      <c r="H25" s="2479" t="str">
        <f t="shared" si="1"/>
        <v>High Plains Maintenance Prepaid</v>
      </c>
      <c r="J25" s="2579"/>
      <c r="K25" s="2783" t="s">
        <v>5988</v>
      </c>
      <c r="L25" s="2645">
        <v>2039806</v>
      </c>
      <c r="M25" s="2520"/>
      <c r="N25" s="2482"/>
      <c r="O25" s="2482"/>
      <c r="P25" s="2482"/>
      <c r="Q25" s="2482"/>
      <c r="R25" s="2482"/>
      <c r="S25" s="2482"/>
      <c r="T25" s="2482"/>
      <c r="U25" s="2482"/>
      <c r="V25" s="2482"/>
      <c r="W25" s="2482"/>
    </row>
    <row r="26" spans="1:23" ht="16.7" customHeight="1" x14ac:dyDescent="0.2">
      <c r="A26" s="2760">
        <v>18</v>
      </c>
      <c r="B26" s="2488" t="s">
        <v>7586</v>
      </c>
      <c r="C26" s="2645">
        <v>4202344</v>
      </c>
      <c r="D26" s="2530">
        <v>1380475</v>
      </c>
      <c r="E26" s="2748">
        <v>107</v>
      </c>
      <c r="F26" s="2530">
        <v>800749</v>
      </c>
      <c r="G26" s="2530">
        <f t="shared" si="0"/>
        <v>4782070</v>
      </c>
      <c r="H26" s="2479" t="str">
        <f t="shared" si="1"/>
        <v>Leaning Juniper Maintenance Prepaid</v>
      </c>
      <c r="J26" s="2579"/>
      <c r="K26" s="2783" t="s">
        <v>5990</v>
      </c>
      <c r="L26" s="2645">
        <v>803560</v>
      </c>
      <c r="M26" s="2520"/>
      <c r="N26" s="2482"/>
      <c r="O26" s="2482"/>
      <c r="P26" s="2482"/>
      <c r="Q26" s="2482"/>
      <c r="R26" s="2482"/>
      <c r="S26" s="2482"/>
      <c r="T26" s="2482"/>
      <c r="U26" s="2482"/>
      <c r="V26" s="2482"/>
      <c r="W26" s="2482"/>
    </row>
    <row r="27" spans="1:23" ht="16.7" customHeight="1" x14ac:dyDescent="0.2">
      <c r="A27" s="2760">
        <v>19</v>
      </c>
      <c r="B27" s="2488" t="s">
        <v>7587</v>
      </c>
      <c r="C27" s="2645">
        <v>4689865</v>
      </c>
      <c r="D27" s="2530">
        <v>1752587</v>
      </c>
      <c r="E27" s="2748">
        <v>107</v>
      </c>
      <c r="F27" s="2530">
        <v>159388</v>
      </c>
      <c r="G27" s="2530">
        <f t="shared" si="0"/>
        <v>6283064</v>
      </c>
      <c r="H27" s="2479" t="str">
        <f t="shared" si="1"/>
        <v>Marengo Maintenance Prepaid</v>
      </c>
      <c r="J27" s="2579"/>
      <c r="K27" s="2783" t="s">
        <v>5992</v>
      </c>
      <c r="L27" s="2645">
        <v>1112183</v>
      </c>
      <c r="M27" s="2520"/>
      <c r="N27" s="2482"/>
      <c r="O27" s="2482"/>
      <c r="P27" s="2482"/>
      <c r="Q27" s="2482"/>
      <c r="R27" s="2482"/>
      <c r="S27" s="2482"/>
      <c r="T27" s="2482"/>
      <c r="U27" s="2482"/>
      <c r="V27" s="2482"/>
      <c r="W27" s="2482"/>
    </row>
    <row r="28" spans="1:23" ht="16.7" customHeight="1" x14ac:dyDescent="0.2">
      <c r="A28" s="2760">
        <v>20</v>
      </c>
      <c r="B28" s="2488" t="s">
        <v>7588</v>
      </c>
      <c r="C28" s="2645">
        <v>2328259</v>
      </c>
      <c r="D28" s="2530">
        <v>876055</v>
      </c>
      <c r="E28" s="2748">
        <v>107</v>
      </c>
      <c r="F28" s="2530">
        <v>63369</v>
      </c>
      <c r="G28" s="2530">
        <f t="shared" si="0"/>
        <v>3140945</v>
      </c>
      <c r="H28" s="2479" t="str">
        <f t="shared" si="1"/>
        <v>Marengo II Maintenance Prepaid</v>
      </c>
      <c r="J28" s="2579"/>
      <c r="K28" s="2783" t="s">
        <v>5994</v>
      </c>
      <c r="L28" s="2645">
        <v>2039806</v>
      </c>
      <c r="M28" s="2520"/>
      <c r="N28" s="2482"/>
      <c r="O28" s="2482"/>
      <c r="P28" s="2482"/>
      <c r="Q28" s="2482"/>
      <c r="R28" s="2482"/>
      <c r="S28" s="2482"/>
      <c r="T28" s="2482"/>
      <c r="U28" s="2482"/>
      <c r="V28" s="2482"/>
      <c r="W28" s="2482"/>
    </row>
    <row r="29" spans="1:23" ht="16.7" customHeight="1" x14ac:dyDescent="0.2">
      <c r="A29" s="2760">
        <v>21</v>
      </c>
      <c r="B29" s="2488" t="s">
        <v>7589</v>
      </c>
      <c r="C29" s="2645">
        <v>1311882</v>
      </c>
      <c r="D29" s="2530">
        <v>351144</v>
      </c>
      <c r="E29" s="2748">
        <v>107</v>
      </c>
      <c r="F29" s="2530">
        <v>55114</v>
      </c>
      <c r="G29" s="2530">
        <f t="shared" si="0"/>
        <v>1607912</v>
      </c>
      <c r="H29" s="2479" t="str">
        <f t="shared" si="1"/>
        <v>McFadden Ridge I Maintenance Prepaid</v>
      </c>
      <c r="J29" s="2579"/>
      <c r="K29" s="2783" t="s">
        <v>5997</v>
      </c>
      <c r="L29" s="2645">
        <v>2070712</v>
      </c>
      <c r="M29" s="2520"/>
      <c r="N29" s="2482"/>
      <c r="O29" s="2482"/>
      <c r="P29" s="2482"/>
      <c r="Q29" s="2482"/>
      <c r="R29" s="2482"/>
      <c r="S29" s="2482"/>
      <c r="T29" s="2482"/>
      <c r="U29" s="2482"/>
      <c r="V29" s="2482"/>
      <c r="W29" s="2482"/>
    </row>
    <row r="30" spans="1:23" ht="16.7" customHeight="1" x14ac:dyDescent="0.2">
      <c r="A30" s="2760">
        <v>22</v>
      </c>
      <c r="B30" s="2488" t="s">
        <v>7590</v>
      </c>
      <c r="C30" s="2645">
        <v>4564978</v>
      </c>
      <c r="D30" s="2530">
        <v>2686833</v>
      </c>
      <c r="E30" s="2748">
        <v>107</v>
      </c>
      <c r="F30" s="2530">
        <v>1133666</v>
      </c>
      <c r="G30" s="2530">
        <f t="shared" si="0"/>
        <v>6118145</v>
      </c>
      <c r="H30" s="2479" t="str">
        <f t="shared" si="1"/>
        <v>Pryor Mountain Maintenance Prepaid</v>
      </c>
      <c r="J30" s="2579"/>
      <c r="K30" s="2783" t="s">
        <v>5999</v>
      </c>
      <c r="L30" s="2645">
        <v>1400714</v>
      </c>
      <c r="M30" s="2520"/>
      <c r="N30" s="2482"/>
      <c r="O30" s="2482"/>
      <c r="P30" s="2482"/>
      <c r="Q30" s="2482"/>
      <c r="R30" s="2482"/>
      <c r="S30" s="2482"/>
      <c r="T30" s="2482"/>
      <c r="U30" s="2482"/>
      <c r="V30" s="2482"/>
      <c r="W30" s="2482"/>
    </row>
    <row r="31" spans="1:23" ht="16.7" customHeight="1" x14ac:dyDescent="0.2">
      <c r="A31" s="2760">
        <v>23</v>
      </c>
      <c r="B31" s="2488" t="s">
        <v>7591</v>
      </c>
      <c r="C31" s="2645">
        <v>4110703</v>
      </c>
      <c r="D31" s="2530">
        <v>1250850</v>
      </c>
      <c r="E31" s="2748">
        <v>107</v>
      </c>
      <c r="F31" s="2530">
        <v>1073592</v>
      </c>
      <c r="G31" s="2530">
        <f t="shared" si="0"/>
        <v>4287961</v>
      </c>
      <c r="H31" s="2479" t="str">
        <f t="shared" si="1"/>
        <v>Rolling Hills Maintenance Prepaid</v>
      </c>
      <c r="J31" s="2579"/>
      <c r="K31" s="2783" t="s">
        <v>6002</v>
      </c>
      <c r="L31" s="2645">
        <v>696156</v>
      </c>
      <c r="M31" s="2520"/>
      <c r="N31" s="2482"/>
      <c r="O31" s="2482"/>
      <c r="P31" s="2482"/>
      <c r="Q31" s="2482"/>
      <c r="R31" s="2482"/>
      <c r="S31" s="2482"/>
      <c r="T31" s="2482"/>
      <c r="U31" s="2482"/>
      <c r="V31" s="2482"/>
      <c r="W31" s="2482"/>
    </row>
    <row r="32" spans="1:23" ht="16.7" customHeight="1" x14ac:dyDescent="0.2">
      <c r="A32" s="2760">
        <v>24</v>
      </c>
      <c r="B32" s="2488" t="s">
        <v>7592</v>
      </c>
      <c r="C32" s="2645">
        <v>4589494</v>
      </c>
      <c r="D32" s="2530">
        <v>3296764</v>
      </c>
      <c r="E32" s="2748">
        <v>107</v>
      </c>
      <c r="F32" s="2530">
        <v>6875991</v>
      </c>
      <c r="G32" s="2530">
        <f t="shared" si="0"/>
        <v>1010267</v>
      </c>
      <c r="H32" s="2479" t="str">
        <f t="shared" si="1"/>
        <v>TB Flats Maintenance Prepaid</v>
      </c>
      <c r="J32" s="2579"/>
      <c r="K32" s="2783" t="s">
        <v>6004</v>
      </c>
      <c r="L32" s="2645">
        <v>587217</v>
      </c>
      <c r="M32" s="2520"/>
      <c r="N32" s="2482"/>
      <c r="O32" s="2482"/>
      <c r="P32" s="2482"/>
      <c r="Q32" s="2482"/>
      <c r="R32" s="2482"/>
      <c r="S32" s="2482"/>
      <c r="T32" s="2482"/>
      <c r="U32" s="2482"/>
      <c r="V32" s="2482"/>
      <c r="W32" s="2482"/>
    </row>
    <row r="33" spans="1:23" ht="16.7" customHeight="1" x14ac:dyDescent="0.2">
      <c r="A33" s="2760">
        <v>25</v>
      </c>
      <c r="B33" s="2478" t="s">
        <v>7593</v>
      </c>
      <c r="C33" s="2645">
        <v>1517357</v>
      </c>
      <c r="D33" s="2530">
        <v>2943071</v>
      </c>
      <c r="E33" s="2489" t="s">
        <v>7594</v>
      </c>
      <c r="F33" s="2530">
        <v>853372</v>
      </c>
      <c r="G33" s="2530">
        <f t="shared" si="0"/>
        <v>3607056</v>
      </c>
      <c r="H33" s="2479" t="str">
        <f t="shared" si="1"/>
        <v>Credit Agreement Costs</v>
      </c>
      <c r="J33" s="2579"/>
      <c r="K33" s="2783" t="s">
        <v>6006</v>
      </c>
      <c r="L33" s="2645">
        <v>0</v>
      </c>
      <c r="M33" s="2520"/>
      <c r="N33" s="2482"/>
      <c r="O33" s="2482"/>
      <c r="P33" s="2482"/>
      <c r="Q33" s="2482"/>
      <c r="R33" s="2482"/>
      <c r="S33" s="2482"/>
      <c r="T33" s="2482"/>
      <c r="U33" s="2482"/>
      <c r="V33" s="2482"/>
      <c r="W33" s="2482"/>
    </row>
    <row r="34" spans="1:23" ht="16.7" customHeight="1" x14ac:dyDescent="0.2">
      <c r="A34" s="2760">
        <v>26</v>
      </c>
      <c r="B34" s="2478" t="s">
        <v>7595</v>
      </c>
      <c r="C34" s="2645">
        <v>152272</v>
      </c>
      <c r="D34" s="2530">
        <v>0</v>
      </c>
      <c r="E34" s="2748">
        <v>427</v>
      </c>
      <c r="F34" s="2530">
        <v>68979</v>
      </c>
      <c r="G34" s="2530">
        <f t="shared" si="0"/>
        <v>83293</v>
      </c>
      <c r="H34" s="2479" t="str">
        <f t="shared" si="1"/>
        <v>PCRB Mode Conversion Costs</v>
      </c>
      <c r="J34" s="2579"/>
      <c r="K34" s="2783" t="s">
        <v>6008</v>
      </c>
      <c r="L34" s="2645">
        <v>2039806</v>
      </c>
      <c r="M34" s="2520"/>
      <c r="N34" s="2482"/>
      <c r="O34" s="2482"/>
      <c r="P34" s="2482"/>
      <c r="Q34" s="2482"/>
      <c r="R34" s="2482"/>
      <c r="S34" s="2482"/>
      <c r="T34" s="2482"/>
      <c r="U34" s="2482"/>
      <c r="V34" s="2482"/>
      <c r="W34" s="2482"/>
    </row>
    <row r="35" spans="1:23" ht="16.7" customHeight="1" x14ac:dyDescent="0.2">
      <c r="A35" s="2760">
        <v>27</v>
      </c>
      <c r="B35" s="2488" t="s">
        <v>7596</v>
      </c>
      <c r="C35" s="2645">
        <v>107744</v>
      </c>
      <c r="D35" s="2530">
        <v>0</v>
      </c>
      <c r="E35" s="2748">
        <v>427</v>
      </c>
      <c r="F35" s="2530">
        <v>58770</v>
      </c>
      <c r="G35" s="2530">
        <f t="shared" si="0"/>
        <v>48974</v>
      </c>
      <c r="H35" s="2479" t="str">
        <f t="shared" si="1"/>
        <v>1994 Series Restructuring Costs (16)</v>
      </c>
      <c r="J35" s="2579"/>
      <c r="K35" s="2783" t="s">
        <v>6010</v>
      </c>
      <c r="L35" s="2645">
        <v>11514</v>
      </c>
      <c r="M35" s="2520"/>
      <c r="N35" s="2482"/>
      <c r="O35" s="2482"/>
      <c r="P35" s="2482"/>
      <c r="Q35" s="2482"/>
      <c r="R35" s="2482"/>
      <c r="S35" s="2482"/>
      <c r="T35" s="2482"/>
      <c r="U35" s="2482"/>
      <c r="V35" s="2482"/>
      <c r="W35" s="2482"/>
    </row>
    <row r="36" spans="1:23" ht="16.7" customHeight="1" x14ac:dyDescent="0.2">
      <c r="A36" s="2760">
        <v>28</v>
      </c>
      <c r="B36" s="2488" t="s">
        <v>7597</v>
      </c>
      <c r="C36" s="2645">
        <v>0</v>
      </c>
      <c r="D36" s="2530">
        <v>41596</v>
      </c>
      <c r="E36" s="2489"/>
      <c r="F36" s="2530">
        <v>0</v>
      </c>
      <c r="G36" s="2530">
        <f t="shared" si="0"/>
        <v>41596</v>
      </c>
      <c r="H36" s="2479" t="str">
        <f t="shared" si="1"/>
        <v>Deferred S-3 Shelf Registration Costs</v>
      </c>
      <c r="J36" s="2579"/>
      <c r="K36" s="2783" t="s">
        <v>6012</v>
      </c>
      <c r="L36" s="2645">
        <v>1010017</v>
      </c>
      <c r="M36" s="2520"/>
      <c r="N36" s="2482"/>
      <c r="O36" s="2482"/>
      <c r="P36" s="2482"/>
      <c r="Q36" s="2482"/>
      <c r="R36" s="2482"/>
      <c r="S36" s="2482"/>
      <c r="T36" s="2482"/>
      <c r="U36" s="2482"/>
      <c r="V36" s="2482"/>
      <c r="W36" s="2482"/>
    </row>
    <row r="37" spans="1:23" ht="16.7" customHeight="1" x14ac:dyDescent="0.2">
      <c r="A37" s="2760">
        <v>29</v>
      </c>
      <c r="B37" s="2488" t="s">
        <v>7598</v>
      </c>
      <c r="C37" s="2645">
        <v>306510</v>
      </c>
      <c r="D37" s="2530">
        <v>0</v>
      </c>
      <c r="E37" s="2489"/>
      <c r="F37" s="2530">
        <v>0</v>
      </c>
      <c r="G37" s="2530">
        <f t="shared" si="0"/>
        <v>306510</v>
      </c>
      <c r="H37" s="2479" t="str">
        <f t="shared" si="1"/>
        <v>Emission Reduction Credits</v>
      </c>
      <c r="J37" s="2579"/>
      <c r="K37" s="2783" t="s">
        <v>6014</v>
      </c>
      <c r="L37" s="2645">
        <v>290228</v>
      </c>
      <c r="M37" s="2520"/>
      <c r="N37" s="2482"/>
      <c r="O37" s="2482"/>
      <c r="P37" s="2482"/>
      <c r="Q37" s="2482"/>
      <c r="R37" s="2482"/>
      <c r="S37" s="2482"/>
      <c r="T37" s="2482"/>
      <c r="U37" s="2482"/>
      <c r="V37" s="2482"/>
      <c r="W37" s="2482"/>
    </row>
    <row r="38" spans="1:23" ht="16.7" customHeight="1" x14ac:dyDescent="0.2">
      <c r="A38" s="2760">
        <v>30</v>
      </c>
      <c r="B38" s="2488" t="s">
        <v>7599</v>
      </c>
      <c r="C38" s="2645">
        <v>61240</v>
      </c>
      <c r="D38" s="2530">
        <v>770</v>
      </c>
      <c r="E38" s="2489"/>
      <c r="F38" s="2530">
        <v>0</v>
      </c>
      <c r="G38" s="2530">
        <f t="shared" si="0"/>
        <v>62010</v>
      </c>
      <c r="H38" s="2479" t="str">
        <f t="shared" si="1"/>
        <v>Sales of Electric Utility Facilities and Properties</v>
      </c>
      <c r="J38" s="2579"/>
      <c r="K38" s="2783" t="s">
        <v>6016</v>
      </c>
      <c r="L38" s="2645">
        <v>225283</v>
      </c>
      <c r="M38" s="2520"/>
      <c r="N38" s="2482"/>
      <c r="O38" s="2482"/>
      <c r="P38" s="2482"/>
      <c r="Q38" s="2482"/>
      <c r="R38" s="2482"/>
      <c r="S38" s="2482"/>
      <c r="T38" s="2482"/>
      <c r="U38" s="2482"/>
      <c r="V38" s="2482"/>
      <c r="W38" s="2482"/>
    </row>
    <row r="39" spans="1:23" ht="16.7" customHeight="1" x14ac:dyDescent="0.2">
      <c r="A39" s="2760">
        <v>31</v>
      </c>
      <c r="B39" s="2488" t="s">
        <v>7600</v>
      </c>
      <c r="C39" s="2645">
        <v>108487</v>
      </c>
      <c r="D39" s="2530">
        <v>34494</v>
      </c>
      <c r="E39" s="2748">
        <v>107</v>
      </c>
      <c r="F39" s="2530">
        <v>142981</v>
      </c>
      <c r="G39" s="2530">
        <f t="shared" si="0"/>
        <v>0</v>
      </c>
      <c r="H39" s="2479" t="str">
        <f t="shared" si="1"/>
        <v>IT Licenses and Maintenance Prepaid</v>
      </c>
      <c r="J39" s="2579"/>
      <c r="K39" s="2783" t="s">
        <v>6018</v>
      </c>
      <c r="L39" s="2645">
        <v>77234</v>
      </c>
      <c r="M39" s="2520"/>
      <c r="N39" s="2482"/>
      <c r="O39" s="2482"/>
      <c r="P39" s="2482"/>
      <c r="Q39" s="2482"/>
      <c r="R39" s="2482"/>
      <c r="S39" s="2482"/>
      <c r="T39" s="2482"/>
      <c r="U39" s="2482"/>
      <c r="V39" s="2482"/>
      <c r="W39" s="2482"/>
    </row>
    <row r="40" spans="1:23" ht="16.7" customHeight="1" x14ac:dyDescent="0.2">
      <c r="A40" s="2760">
        <v>32</v>
      </c>
      <c r="B40" s="2488" t="s">
        <v>7601</v>
      </c>
      <c r="C40" s="2645">
        <v>552500</v>
      </c>
      <c r="D40" s="2530">
        <v>0</v>
      </c>
      <c r="E40" s="2748">
        <v>131</v>
      </c>
      <c r="F40" s="2530">
        <v>552500</v>
      </c>
      <c r="G40" s="2530">
        <f t="shared" si="0"/>
        <v>0</v>
      </c>
      <c r="H40" s="2479" t="str">
        <f t="shared" si="1"/>
        <v>Other Deferred Charges</v>
      </c>
      <c r="J40" s="2579"/>
      <c r="K40" s="2783" t="s">
        <v>6020</v>
      </c>
      <c r="L40" s="2645">
        <v>306510</v>
      </c>
      <c r="M40" s="2520"/>
      <c r="N40" s="2482"/>
      <c r="O40" s="2482"/>
      <c r="P40" s="2482"/>
      <c r="Q40" s="2482"/>
      <c r="R40" s="2482"/>
      <c r="S40" s="2482"/>
      <c r="T40" s="2482"/>
      <c r="U40" s="2482"/>
      <c r="V40" s="2482"/>
      <c r="W40" s="2482"/>
    </row>
    <row r="41" spans="1:23" ht="16.7" customHeight="1" x14ac:dyDescent="0.2">
      <c r="A41" s="2760">
        <v>33</v>
      </c>
      <c r="B41" s="2488"/>
      <c r="C41" s="2784"/>
      <c r="D41" s="2488"/>
      <c r="E41" s="2489"/>
      <c r="F41" s="2488"/>
      <c r="G41" s="2530">
        <f t="shared" si="0"/>
        <v>0</v>
      </c>
      <c r="H41" s="2595">
        <f t="shared" si="1"/>
        <v>0</v>
      </c>
      <c r="J41" s="2579"/>
      <c r="K41" s="2783" t="s">
        <v>6022</v>
      </c>
      <c r="L41" s="2645">
        <v>61240</v>
      </c>
      <c r="M41" s="2520"/>
      <c r="N41" s="2482"/>
      <c r="O41" s="2482"/>
      <c r="P41" s="2482"/>
      <c r="Q41" s="2482"/>
      <c r="R41" s="2482"/>
      <c r="S41" s="2482"/>
      <c r="T41" s="2482"/>
      <c r="U41" s="2482"/>
      <c r="V41" s="2482"/>
      <c r="W41" s="2482"/>
    </row>
    <row r="42" spans="1:23" ht="16.7" customHeight="1" x14ac:dyDescent="0.2">
      <c r="A42" s="2760">
        <v>34</v>
      </c>
      <c r="B42" s="2488"/>
      <c r="C42" s="2784"/>
      <c r="D42" s="2488"/>
      <c r="E42" s="2489"/>
      <c r="F42" s="2488"/>
      <c r="G42" s="2530">
        <f t="shared" si="0"/>
        <v>0</v>
      </c>
      <c r="H42" s="2595">
        <f t="shared" si="1"/>
        <v>0</v>
      </c>
      <c r="J42" s="2579"/>
      <c r="K42" s="2783" t="s">
        <v>6024</v>
      </c>
      <c r="L42" s="2645">
        <v>115043</v>
      </c>
      <c r="M42" s="2520"/>
      <c r="N42" s="2482"/>
      <c r="O42" s="2482"/>
      <c r="P42" s="2482"/>
      <c r="Q42" s="2482"/>
      <c r="R42" s="2482"/>
      <c r="S42" s="2482"/>
      <c r="T42" s="2482"/>
      <c r="U42" s="2482"/>
      <c r="V42" s="2482"/>
      <c r="W42" s="2482"/>
    </row>
    <row r="43" spans="1:23" ht="16.7" customHeight="1" x14ac:dyDescent="0.2">
      <c r="A43" s="2760">
        <v>35</v>
      </c>
      <c r="B43" s="2488"/>
      <c r="C43" s="2784"/>
      <c r="D43" s="2488"/>
      <c r="E43" s="2489"/>
      <c r="F43" s="2488"/>
      <c r="G43" s="2530">
        <f t="shared" si="0"/>
        <v>0</v>
      </c>
      <c r="H43" s="2595">
        <f t="shared" si="1"/>
        <v>0</v>
      </c>
      <c r="J43" s="2579"/>
      <c r="K43" s="2783" t="s">
        <v>6026</v>
      </c>
      <c r="L43" s="2645">
        <v>596</v>
      </c>
      <c r="M43" s="2520"/>
      <c r="N43" s="2482"/>
      <c r="O43" s="2482"/>
      <c r="P43" s="2482"/>
      <c r="Q43" s="2482"/>
      <c r="R43" s="2482"/>
      <c r="S43" s="2482"/>
      <c r="T43" s="2482"/>
      <c r="U43" s="2482"/>
      <c r="V43" s="2482"/>
      <c r="W43" s="2482"/>
    </row>
    <row r="44" spans="1:23" ht="16.7" customHeight="1" x14ac:dyDescent="0.2">
      <c r="A44" s="2760">
        <v>36</v>
      </c>
      <c r="B44" s="2488"/>
      <c r="C44" s="2784"/>
      <c r="D44" s="2488"/>
      <c r="E44" s="2489"/>
      <c r="F44" s="2488"/>
      <c r="G44" s="2488"/>
      <c r="H44" s="2595">
        <f t="shared" si="1"/>
        <v>0</v>
      </c>
      <c r="J44" s="2579"/>
      <c r="K44" s="2715" t="s">
        <v>6028</v>
      </c>
      <c r="L44" s="2785"/>
      <c r="M44" s="2482"/>
      <c r="N44" s="2482"/>
      <c r="O44" s="2482"/>
      <c r="P44" s="2482"/>
      <c r="Q44" s="2482"/>
      <c r="R44" s="2482"/>
      <c r="S44" s="2482"/>
      <c r="T44" s="2482"/>
      <c r="U44" s="2482"/>
      <c r="V44" s="2482"/>
      <c r="W44" s="2482"/>
    </row>
    <row r="45" spans="1:23" ht="16.7" customHeight="1" x14ac:dyDescent="0.2">
      <c r="A45" s="2760">
        <v>37</v>
      </c>
      <c r="B45" s="2488"/>
      <c r="C45" s="2784"/>
      <c r="D45" s="2488"/>
      <c r="E45" s="2489"/>
      <c r="F45" s="2488"/>
      <c r="G45" s="2488"/>
      <c r="H45" s="2595">
        <f t="shared" si="1"/>
        <v>0</v>
      </c>
      <c r="J45" s="2579"/>
      <c r="K45" s="2715" t="s">
        <v>6030</v>
      </c>
      <c r="L45" s="2482"/>
      <c r="M45" s="2482"/>
      <c r="N45" s="2482"/>
      <c r="O45" s="2482"/>
      <c r="P45" s="2482"/>
      <c r="Q45" s="2482"/>
      <c r="R45" s="2482"/>
      <c r="S45" s="2482"/>
      <c r="T45" s="2482"/>
      <c r="U45" s="2482"/>
      <c r="V45" s="2482"/>
      <c r="W45" s="2482"/>
    </row>
    <row r="46" spans="1:23" ht="16.7" customHeight="1" x14ac:dyDescent="0.2">
      <c r="A46" s="2760">
        <v>38</v>
      </c>
      <c r="B46" s="2488"/>
      <c r="C46" s="2784"/>
      <c r="D46" s="2488"/>
      <c r="E46" s="2489"/>
      <c r="F46" s="2488"/>
      <c r="G46" s="2488"/>
      <c r="H46" s="2595">
        <f t="shared" si="1"/>
        <v>0</v>
      </c>
      <c r="J46" s="2579"/>
      <c r="K46" s="2715" t="s">
        <v>6032</v>
      </c>
      <c r="L46" s="2482"/>
      <c r="M46" s="2482"/>
      <c r="N46" s="2482"/>
      <c r="O46" s="2482"/>
      <c r="P46" s="2482"/>
      <c r="Q46" s="2482"/>
      <c r="R46" s="2482"/>
      <c r="S46" s="2482"/>
      <c r="T46" s="2482"/>
      <c r="U46" s="2482"/>
      <c r="V46" s="2482"/>
      <c r="W46" s="2482"/>
    </row>
    <row r="47" spans="1:23" ht="16.7" customHeight="1" x14ac:dyDescent="0.2">
      <c r="A47" s="2760">
        <v>39</v>
      </c>
      <c r="B47" s="2488"/>
      <c r="C47" s="2784"/>
      <c r="D47" s="2488"/>
      <c r="E47" s="2489"/>
      <c r="F47" s="2488"/>
      <c r="G47" s="2488"/>
      <c r="H47" s="2595">
        <f t="shared" si="1"/>
        <v>0</v>
      </c>
      <c r="J47" s="2579"/>
      <c r="K47" s="2715" t="s">
        <v>6034</v>
      </c>
      <c r="L47" s="2482"/>
      <c r="M47" s="2482"/>
      <c r="N47" s="2482"/>
      <c r="O47" s="2482"/>
      <c r="P47" s="2482"/>
      <c r="Q47" s="2482"/>
      <c r="R47" s="2482"/>
      <c r="S47" s="2482"/>
      <c r="T47" s="2482"/>
      <c r="U47" s="2482"/>
      <c r="V47" s="2482"/>
      <c r="W47" s="2482"/>
    </row>
    <row r="48" spans="1:23" ht="16.7" customHeight="1" x14ac:dyDescent="0.2">
      <c r="A48" s="2760">
        <v>40</v>
      </c>
      <c r="B48" s="2488"/>
      <c r="C48" s="2784"/>
      <c r="D48" s="2488"/>
      <c r="E48" s="2489"/>
      <c r="F48" s="2488"/>
      <c r="G48" s="2488"/>
      <c r="H48" s="2595">
        <f t="shared" si="1"/>
        <v>0</v>
      </c>
      <c r="J48" s="2579"/>
      <c r="K48" s="2715" t="s">
        <v>6036</v>
      </c>
      <c r="L48" s="2482"/>
      <c r="M48" s="2482"/>
      <c r="N48" s="2482"/>
      <c r="O48" s="2482"/>
      <c r="P48" s="2482"/>
      <c r="Q48" s="2482"/>
      <c r="R48" s="2482"/>
      <c r="S48" s="2482"/>
      <c r="T48" s="2482"/>
      <c r="U48" s="2482"/>
      <c r="V48" s="2482"/>
      <c r="W48" s="2482"/>
    </row>
    <row r="49" spans="1:23" ht="16.7" customHeight="1" x14ac:dyDescent="0.2">
      <c r="A49" s="2760">
        <v>41</v>
      </c>
      <c r="B49" s="2488"/>
      <c r="C49" s="2784"/>
      <c r="D49" s="2488"/>
      <c r="E49" s="2489"/>
      <c r="F49" s="2488"/>
      <c r="G49" s="2488"/>
      <c r="H49" s="2595">
        <f t="shared" si="1"/>
        <v>0</v>
      </c>
      <c r="J49" s="2579"/>
      <c r="K49" s="2715" t="s">
        <v>6038</v>
      </c>
      <c r="L49" s="2482"/>
      <c r="M49" s="2482"/>
      <c r="N49" s="2482"/>
      <c r="O49" s="2482"/>
      <c r="P49" s="2482"/>
      <c r="Q49" s="2482"/>
      <c r="R49" s="2482"/>
      <c r="S49" s="2482"/>
      <c r="T49" s="2482"/>
      <c r="U49" s="2482"/>
      <c r="V49" s="2482"/>
      <c r="W49" s="2482"/>
    </row>
    <row r="50" spans="1:23" ht="16.7" customHeight="1" x14ac:dyDescent="0.2">
      <c r="A50" s="2760">
        <v>42</v>
      </c>
      <c r="B50" s="2488"/>
      <c r="C50" s="2784"/>
      <c r="D50" s="2488"/>
      <c r="E50" s="2489"/>
      <c r="F50" s="2488"/>
      <c r="G50" s="2488"/>
      <c r="H50" s="2595">
        <f t="shared" si="1"/>
        <v>0</v>
      </c>
      <c r="J50" s="2579"/>
      <c r="K50" s="2715" t="s">
        <v>6040</v>
      </c>
      <c r="L50" s="2482"/>
      <c r="M50" s="2482"/>
      <c r="N50" s="2482"/>
      <c r="O50" s="2482"/>
      <c r="P50" s="2482"/>
      <c r="Q50" s="2482"/>
      <c r="R50" s="2482"/>
      <c r="S50" s="2482"/>
      <c r="T50" s="2482"/>
      <c r="U50" s="2482"/>
      <c r="V50" s="2482"/>
      <c r="W50" s="2482"/>
    </row>
    <row r="51" spans="1:23" ht="16.7" customHeight="1" x14ac:dyDescent="0.2">
      <c r="A51" s="2760">
        <v>43</v>
      </c>
      <c r="B51" s="2488"/>
      <c r="C51" s="2784"/>
      <c r="D51" s="2488"/>
      <c r="E51" s="2489"/>
      <c r="F51" s="2488"/>
      <c r="G51" s="2488"/>
      <c r="H51" s="2595">
        <f t="shared" si="1"/>
        <v>0</v>
      </c>
      <c r="J51" s="2579"/>
      <c r="K51" s="2715" t="s">
        <v>6042</v>
      </c>
      <c r="L51" s="2482"/>
      <c r="M51" s="2482"/>
      <c r="N51" s="2482"/>
      <c r="O51" s="2482"/>
      <c r="P51" s="2482"/>
      <c r="Q51" s="2482"/>
      <c r="R51" s="2482"/>
      <c r="S51" s="2482"/>
      <c r="T51" s="2482"/>
      <c r="U51" s="2482"/>
      <c r="V51" s="2482"/>
      <c r="W51" s="2482"/>
    </row>
    <row r="52" spans="1:23" ht="16.7" customHeight="1" x14ac:dyDescent="0.2">
      <c r="A52" s="2760">
        <v>44</v>
      </c>
      <c r="B52" s="2488"/>
      <c r="C52" s="2784"/>
      <c r="D52" s="2488"/>
      <c r="E52" s="2489"/>
      <c r="F52" s="2488"/>
      <c r="G52" s="2488"/>
      <c r="H52" s="2595">
        <f t="shared" si="1"/>
        <v>0</v>
      </c>
      <c r="J52" s="2579"/>
      <c r="K52" s="2715" t="s">
        <v>6044</v>
      </c>
      <c r="L52" s="2482"/>
      <c r="M52" s="2482"/>
      <c r="N52" s="2482"/>
      <c r="O52" s="2482"/>
      <c r="P52" s="2482"/>
      <c r="Q52" s="2482"/>
      <c r="R52" s="2482"/>
      <c r="S52" s="2482"/>
      <c r="T52" s="2482"/>
      <c r="U52" s="2482"/>
      <c r="V52" s="2482"/>
      <c r="W52" s="2482"/>
    </row>
    <row r="53" spans="1:23" ht="16.7" customHeight="1" x14ac:dyDescent="0.2">
      <c r="A53" s="2760">
        <v>45</v>
      </c>
      <c r="B53" s="2488"/>
      <c r="C53" s="2784"/>
      <c r="D53" s="2488"/>
      <c r="E53" s="2489"/>
      <c r="F53" s="2488"/>
      <c r="G53" s="2488"/>
      <c r="H53" s="2595">
        <f t="shared" si="1"/>
        <v>0</v>
      </c>
      <c r="J53" s="2579"/>
      <c r="K53" s="2715" t="s">
        <v>6046</v>
      </c>
      <c r="L53" s="2482"/>
      <c r="M53" s="2482"/>
      <c r="N53" s="2482"/>
      <c r="O53" s="2482"/>
      <c r="P53" s="2482"/>
      <c r="Q53" s="2482"/>
      <c r="R53" s="2482"/>
      <c r="S53" s="2482"/>
      <c r="T53" s="2482"/>
      <c r="U53" s="2482"/>
      <c r="V53" s="2482"/>
      <c r="W53" s="2482"/>
    </row>
    <row r="54" spans="1:23" ht="16.7" customHeight="1" x14ac:dyDescent="0.2">
      <c r="A54" s="2760">
        <v>46</v>
      </c>
      <c r="B54" s="2488"/>
      <c r="C54" s="2784"/>
      <c r="D54" s="2488"/>
      <c r="E54" s="2489"/>
      <c r="F54" s="2488"/>
      <c r="G54" s="2488"/>
      <c r="H54" s="2595">
        <f t="shared" si="1"/>
        <v>0</v>
      </c>
      <c r="J54" s="2579"/>
      <c r="K54" s="2715" t="s">
        <v>6048</v>
      </c>
      <c r="L54" s="2482"/>
      <c r="M54" s="2482"/>
      <c r="N54" s="2482"/>
      <c r="O54" s="2482"/>
      <c r="P54" s="2482"/>
      <c r="Q54" s="2482"/>
      <c r="R54" s="2482"/>
      <c r="S54" s="2482"/>
      <c r="T54" s="2482"/>
      <c r="U54" s="2482"/>
      <c r="V54" s="2482"/>
      <c r="W54" s="2482"/>
    </row>
    <row r="55" spans="1:23" ht="16.7" customHeight="1" x14ac:dyDescent="0.2">
      <c r="A55" s="3965">
        <v>47</v>
      </c>
      <c r="B55" s="3856" t="s">
        <v>7602</v>
      </c>
      <c r="C55" s="3966">
        <f>SUMIFS($J55:$XFD55,$J$8:$XFD$8,$C$8)</f>
        <v>0</v>
      </c>
      <c r="D55" s="2512"/>
      <c r="E55" s="2489"/>
      <c r="F55" s="2512"/>
      <c r="G55" s="3856"/>
      <c r="H55" s="2479"/>
      <c r="J55" s="2579"/>
      <c r="K55" s="2715" t="s">
        <v>6050</v>
      </c>
      <c r="L55" s="2482"/>
      <c r="M55" s="2482"/>
      <c r="N55" s="2482"/>
      <c r="O55" s="2482"/>
      <c r="P55" s="2482"/>
      <c r="Q55" s="2482"/>
      <c r="R55" s="2482"/>
      <c r="S55" s="2482"/>
      <c r="T55" s="2482"/>
      <c r="U55" s="2482"/>
      <c r="V55" s="2482"/>
      <c r="W55" s="2482"/>
    </row>
    <row r="56" spans="1:23" ht="16.7" customHeight="1" x14ac:dyDescent="0.2">
      <c r="A56" s="3856"/>
      <c r="B56" s="3856"/>
      <c r="C56" s="3967"/>
      <c r="D56" s="3950"/>
      <c r="E56" s="3940"/>
      <c r="F56" s="3941"/>
      <c r="G56" s="3856"/>
      <c r="H56" s="2479"/>
      <c r="J56" s="2579"/>
      <c r="K56" s="2482"/>
      <c r="L56" s="2482"/>
      <c r="M56" s="2482"/>
      <c r="N56" s="2482"/>
      <c r="O56" s="2482"/>
      <c r="P56" s="2482"/>
      <c r="Q56" s="2482"/>
      <c r="R56" s="2482"/>
      <c r="S56" s="2482"/>
      <c r="T56" s="2482"/>
      <c r="U56" s="2482"/>
      <c r="V56" s="2482"/>
      <c r="W56" s="2482"/>
    </row>
    <row r="57" spans="1:23" ht="27.6" customHeight="1" x14ac:dyDescent="0.2">
      <c r="A57" s="2760">
        <v>48</v>
      </c>
      <c r="B57" s="2488" t="s">
        <v>7603</v>
      </c>
      <c r="C57" s="2645">
        <f>SUMIFS($J57:$XFD57,$J$8:$XFD$8,$C$8)</f>
        <v>0</v>
      </c>
      <c r="D57" s="2488"/>
      <c r="E57" s="2488"/>
      <c r="F57" s="2488"/>
      <c r="G57" s="2488"/>
      <c r="H57" s="2479"/>
      <c r="J57" s="2579"/>
      <c r="K57" s="2715" t="s">
        <v>6052</v>
      </c>
      <c r="L57" s="2482"/>
      <c r="M57" s="2482"/>
      <c r="N57" s="2482"/>
      <c r="O57" s="2482"/>
      <c r="P57" s="2482"/>
      <c r="Q57" s="2482"/>
      <c r="R57" s="2482"/>
      <c r="S57" s="2482"/>
      <c r="T57" s="2482"/>
      <c r="U57" s="2482"/>
      <c r="V57" s="2482"/>
      <c r="W57" s="2482"/>
    </row>
    <row r="58" spans="1:23" ht="16.7" customHeight="1" x14ac:dyDescent="0.2">
      <c r="A58" s="2786">
        <v>49</v>
      </c>
      <c r="B58" s="2668" t="s">
        <v>197</v>
      </c>
      <c r="C58" s="2736">
        <f>SUM(C9:C57)</f>
        <v>128330985</v>
      </c>
      <c r="D58" s="3924"/>
      <c r="E58" s="3962"/>
      <c r="F58" s="3925"/>
      <c r="G58" s="2736">
        <f>SUM(G9:G57)</f>
        <v>131002548</v>
      </c>
      <c r="H58" s="2479"/>
      <c r="J58" s="2579"/>
      <c r="K58" s="2715" t="s">
        <v>6054</v>
      </c>
      <c r="L58" s="2482"/>
      <c r="M58" s="2482"/>
      <c r="N58" s="2482"/>
      <c r="O58" s="2482"/>
      <c r="P58" s="2482"/>
      <c r="Q58" s="2482"/>
      <c r="R58" s="2482"/>
      <c r="S58" s="2482"/>
      <c r="T58" s="2482"/>
      <c r="U58" s="2482"/>
      <c r="V58" s="2482"/>
      <c r="W58" s="2482"/>
    </row>
    <row r="59" spans="1:23" ht="16.7" customHeight="1" x14ac:dyDescent="0.2">
      <c r="A59" s="2483"/>
      <c r="B59" s="2483"/>
      <c r="C59" s="2483"/>
      <c r="D59" s="2483"/>
      <c r="E59" s="2483"/>
      <c r="F59" s="2483"/>
      <c r="G59" s="2483"/>
      <c r="J59" s="2579"/>
      <c r="K59" s="2482"/>
      <c r="L59" s="2482"/>
      <c r="M59" s="2482"/>
      <c r="N59" s="2482"/>
      <c r="O59" s="2482"/>
      <c r="P59" s="2482"/>
      <c r="Q59" s="2482"/>
      <c r="R59" s="2482"/>
      <c r="S59" s="2482"/>
      <c r="T59" s="2482"/>
      <c r="U59" s="2482"/>
      <c r="V59" s="2482"/>
      <c r="W59" s="2482"/>
    </row>
    <row r="60" spans="1:23" ht="16.7" customHeight="1" x14ac:dyDescent="0.2">
      <c r="A60" s="2682">
        <v>50</v>
      </c>
      <c r="B60" s="2516" t="s">
        <v>7604</v>
      </c>
      <c r="C60" s="2516"/>
      <c r="D60" s="2787">
        <f>SUM(D57,D9:D55)</f>
        <v>56404068</v>
      </c>
      <c r="E60" s="2516"/>
      <c r="F60" s="2787">
        <f>SUM(F57,F9:F55)</f>
        <v>53732505</v>
      </c>
      <c r="G60" s="2683"/>
      <c r="H60" s="2479"/>
      <c r="J60" s="2579"/>
      <c r="K60" s="2715" t="s">
        <v>6056</v>
      </c>
      <c r="L60" s="2482"/>
      <c r="M60" s="2482"/>
      <c r="N60" s="2482"/>
      <c r="O60" s="2482"/>
      <c r="P60" s="2482"/>
      <c r="Q60" s="2482"/>
      <c r="R60" s="2482"/>
      <c r="S60" s="2482"/>
      <c r="T60" s="2482"/>
      <c r="U60" s="2482"/>
      <c r="V60" s="2482"/>
      <c r="W60" s="2482"/>
    </row>
    <row r="61" spans="1:23" ht="16.7" customHeight="1" x14ac:dyDescent="0.2">
      <c r="A61" s="2788"/>
      <c r="H61" s="2479"/>
      <c r="J61" s="2579"/>
      <c r="K61" s="2482"/>
      <c r="L61" s="2482"/>
      <c r="M61" s="2482"/>
      <c r="N61" s="2482"/>
      <c r="O61" s="2482"/>
      <c r="P61" s="2482"/>
      <c r="Q61" s="2482"/>
      <c r="R61" s="2482"/>
      <c r="S61" s="2482"/>
      <c r="T61" s="2482"/>
      <c r="U61" s="2482"/>
      <c r="V61" s="2482"/>
      <c r="W61" s="2482"/>
    </row>
    <row r="62" spans="1:23" ht="16.7" customHeight="1" x14ac:dyDescent="0.2">
      <c r="A62" s="2516"/>
      <c r="B62" s="2516"/>
      <c r="C62" s="2516"/>
      <c r="D62" s="2516"/>
      <c r="E62" s="2516"/>
      <c r="F62" s="2516"/>
      <c r="G62" s="2516"/>
      <c r="J62" s="2579"/>
      <c r="K62" s="2482"/>
      <c r="L62" s="2482"/>
      <c r="M62" s="2482"/>
      <c r="N62" s="2482"/>
      <c r="O62" s="2482"/>
      <c r="P62" s="2482"/>
      <c r="Q62" s="2482"/>
      <c r="R62" s="2482"/>
      <c r="S62" s="2482"/>
      <c r="T62" s="2482"/>
      <c r="U62" s="2482"/>
      <c r="V62" s="2482"/>
      <c r="W62" s="2482"/>
    </row>
    <row r="63" spans="1:23" ht="16.7" customHeight="1" x14ac:dyDescent="0.2">
      <c r="J63" s="2579"/>
      <c r="K63" s="2482"/>
      <c r="L63" s="2482"/>
      <c r="M63" s="2482"/>
      <c r="N63" s="2482"/>
      <c r="O63" s="2482"/>
      <c r="P63" s="2482"/>
      <c r="Q63" s="2482"/>
      <c r="R63" s="2482"/>
      <c r="S63" s="2482"/>
      <c r="T63" s="2482"/>
      <c r="U63" s="2482"/>
      <c r="V63" s="2482"/>
      <c r="W63" s="2482"/>
    </row>
    <row r="64" spans="1:23" ht="16.7" customHeight="1" x14ac:dyDescent="0.2">
      <c r="J64" s="2579"/>
      <c r="K64" s="2482"/>
      <c r="L64" s="2482"/>
      <c r="M64" s="2482"/>
      <c r="N64" s="2482"/>
      <c r="O64" s="2482"/>
      <c r="P64" s="2482"/>
      <c r="Q64" s="2482"/>
      <c r="R64" s="2482"/>
      <c r="S64" s="2482"/>
      <c r="T64" s="2482"/>
      <c r="U64" s="2482"/>
      <c r="V64" s="2482"/>
      <c r="W64" s="2482"/>
    </row>
    <row r="65" spans="10:23" ht="16.7" customHeight="1" x14ac:dyDescent="0.2">
      <c r="J65" s="2579"/>
      <c r="K65" s="2482"/>
      <c r="L65" s="2482"/>
      <c r="M65" s="2482"/>
      <c r="N65" s="2482"/>
      <c r="O65" s="2482"/>
      <c r="P65" s="2482"/>
      <c r="Q65" s="2482"/>
      <c r="R65" s="2482"/>
      <c r="S65" s="2482"/>
      <c r="T65" s="2482"/>
      <c r="U65" s="2482"/>
      <c r="V65" s="2482"/>
      <c r="W65" s="2482"/>
    </row>
    <row r="66" spans="10:23" ht="16.7" customHeight="1" x14ac:dyDescent="0.2">
      <c r="J66" s="2579"/>
      <c r="K66" s="2482"/>
      <c r="L66" s="2482"/>
      <c r="M66" s="2482"/>
      <c r="N66" s="2482"/>
      <c r="O66" s="2482"/>
      <c r="P66" s="2482"/>
      <c r="Q66" s="2482"/>
      <c r="R66" s="2482"/>
      <c r="S66" s="2482"/>
      <c r="T66" s="2482"/>
      <c r="U66" s="2482"/>
      <c r="V66" s="2482"/>
      <c r="W66" s="2482"/>
    </row>
    <row r="67" spans="10:23" ht="16.7" customHeight="1" x14ac:dyDescent="0.2">
      <c r="J67" s="2579"/>
      <c r="K67" s="2482"/>
      <c r="L67" s="2482"/>
      <c r="M67" s="2482"/>
      <c r="N67" s="2482"/>
      <c r="O67" s="2482"/>
      <c r="P67" s="2482"/>
      <c r="Q67" s="2482"/>
      <c r="R67" s="2482"/>
      <c r="S67" s="2482"/>
      <c r="T67" s="2482"/>
      <c r="U67" s="2482"/>
      <c r="V67" s="2482"/>
      <c r="W67" s="2482"/>
    </row>
    <row r="68" spans="10:23" ht="16.7" customHeight="1" x14ac:dyDescent="0.2">
      <c r="J68" s="2579"/>
      <c r="K68" s="2482"/>
      <c r="L68" s="2482"/>
      <c r="M68" s="2482"/>
      <c r="N68" s="2482"/>
      <c r="O68" s="2482"/>
      <c r="P68" s="2482"/>
      <c r="Q68" s="2482"/>
      <c r="R68" s="2482"/>
      <c r="S68" s="2482"/>
      <c r="T68" s="2482"/>
      <c r="U68" s="2482"/>
      <c r="V68" s="2482"/>
      <c r="W68" s="2482"/>
    </row>
    <row r="69" spans="10:23" ht="16.7" customHeight="1" x14ac:dyDescent="0.2">
      <c r="J69" s="2579"/>
      <c r="K69" s="2482"/>
      <c r="L69" s="2482"/>
      <c r="M69" s="2482"/>
      <c r="N69" s="2482"/>
      <c r="O69" s="2482"/>
      <c r="P69" s="2482"/>
      <c r="Q69" s="2482"/>
      <c r="R69" s="2482"/>
      <c r="S69" s="2482"/>
      <c r="T69" s="2482"/>
      <c r="U69" s="2482"/>
      <c r="V69" s="2482"/>
      <c r="W69" s="2482"/>
    </row>
    <row r="70" spans="10:23" ht="16.7" customHeight="1" x14ac:dyDescent="0.2">
      <c r="J70" s="2579"/>
      <c r="K70" s="2482"/>
      <c r="L70" s="2482"/>
      <c r="M70" s="2482"/>
      <c r="N70" s="2482"/>
      <c r="O70" s="2482"/>
      <c r="P70" s="2482"/>
      <c r="Q70" s="2482"/>
      <c r="R70" s="2482"/>
      <c r="S70" s="2482"/>
      <c r="T70" s="2482"/>
      <c r="U70" s="2482"/>
      <c r="V70" s="2482"/>
      <c r="W70" s="2482"/>
    </row>
    <row r="71" spans="10:23" ht="16.7" customHeight="1" x14ac:dyDescent="0.2">
      <c r="J71" s="2579"/>
      <c r="K71" s="2482"/>
      <c r="L71" s="2482"/>
      <c r="M71" s="2482"/>
      <c r="N71" s="2482"/>
      <c r="O71" s="2482"/>
      <c r="P71" s="2482"/>
      <c r="Q71" s="2482"/>
      <c r="R71" s="2482"/>
      <c r="S71" s="2482"/>
      <c r="T71" s="2482"/>
      <c r="U71" s="2482"/>
      <c r="V71" s="2482"/>
      <c r="W71" s="2482"/>
    </row>
    <row r="72" spans="10:23" ht="16.7" customHeight="1" x14ac:dyDescent="0.2">
      <c r="J72" s="2579"/>
      <c r="K72" s="2482"/>
      <c r="L72" s="2482"/>
      <c r="M72" s="2482"/>
      <c r="N72" s="2482"/>
      <c r="O72" s="2482"/>
      <c r="P72" s="2482"/>
      <c r="Q72" s="2482"/>
      <c r="R72" s="2482"/>
      <c r="S72" s="2482"/>
      <c r="T72" s="2482"/>
      <c r="U72" s="2482"/>
      <c r="V72" s="2482"/>
      <c r="W72" s="2482"/>
    </row>
    <row r="73" spans="10:23" ht="16.7" customHeight="1" x14ac:dyDescent="0.2">
      <c r="J73" s="2579"/>
      <c r="K73" s="2482"/>
      <c r="L73" s="2482"/>
      <c r="M73" s="2482"/>
      <c r="N73" s="2482"/>
      <c r="O73" s="2482"/>
      <c r="P73" s="2482"/>
      <c r="Q73" s="2482"/>
      <c r="R73" s="2482"/>
      <c r="S73" s="2482"/>
      <c r="T73" s="2482"/>
      <c r="U73" s="2482"/>
      <c r="V73" s="2482"/>
      <c r="W73" s="2482"/>
    </row>
    <row r="74" spans="10:23" ht="16.7" customHeight="1" x14ac:dyDescent="0.2">
      <c r="J74" s="2579"/>
      <c r="K74" s="2482"/>
      <c r="L74" s="2482"/>
      <c r="M74" s="2482"/>
      <c r="N74" s="2482"/>
      <c r="O74" s="2482"/>
      <c r="P74" s="2482"/>
      <c r="Q74" s="2482"/>
      <c r="R74" s="2482"/>
      <c r="S74" s="2482"/>
      <c r="T74" s="2482"/>
      <c r="U74" s="2482"/>
      <c r="V74" s="2482"/>
      <c r="W74" s="2482"/>
    </row>
    <row r="75" spans="10:23" ht="16.7" customHeight="1" x14ac:dyDescent="0.2">
      <c r="J75" s="2579"/>
      <c r="K75" s="2482"/>
      <c r="L75" s="2482"/>
      <c r="M75" s="2482"/>
      <c r="N75" s="2482"/>
      <c r="O75" s="2482"/>
      <c r="P75" s="2482"/>
      <c r="Q75" s="2482"/>
      <c r="R75" s="2482"/>
      <c r="S75" s="2482"/>
      <c r="T75" s="2482"/>
      <c r="U75" s="2482"/>
      <c r="V75" s="2482"/>
      <c r="W75" s="2482"/>
    </row>
    <row r="76" spans="10:23" ht="16.7" customHeight="1" x14ac:dyDescent="0.2">
      <c r="J76" s="2579"/>
      <c r="K76" s="2482"/>
      <c r="L76" s="2482"/>
      <c r="M76" s="2482"/>
      <c r="N76" s="2482"/>
      <c r="O76" s="2482"/>
      <c r="P76" s="2482"/>
      <c r="Q76" s="2482"/>
      <c r="R76" s="2482"/>
      <c r="S76" s="2482"/>
      <c r="T76" s="2482"/>
      <c r="U76" s="2482"/>
      <c r="V76" s="2482"/>
      <c r="W76" s="2482"/>
    </row>
    <row r="77" spans="10:23" ht="16.7" customHeight="1" x14ac:dyDescent="0.2">
      <c r="J77" s="2579"/>
      <c r="K77" s="2482"/>
      <c r="L77" s="2482"/>
      <c r="M77" s="2482"/>
      <c r="N77" s="2482"/>
      <c r="O77" s="2482"/>
      <c r="P77" s="2482"/>
      <c r="Q77" s="2482"/>
      <c r="R77" s="2482"/>
      <c r="S77" s="2482"/>
      <c r="T77" s="2482"/>
      <c r="U77" s="2482"/>
      <c r="V77" s="2482"/>
      <c r="W77" s="2482"/>
    </row>
    <row r="78" spans="10:23" ht="16.7" customHeight="1" x14ac:dyDescent="0.2">
      <c r="J78" s="2579"/>
      <c r="K78" s="2482"/>
      <c r="L78" s="2482"/>
      <c r="M78" s="2482"/>
      <c r="N78" s="2482"/>
      <c r="O78" s="2482"/>
      <c r="P78" s="2482"/>
      <c r="Q78" s="2482"/>
      <c r="R78" s="2482"/>
      <c r="S78" s="2482"/>
      <c r="T78" s="2482"/>
      <c r="U78" s="2482"/>
      <c r="V78" s="2482"/>
      <c r="W78" s="2482"/>
    </row>
    <row r="79" spans="10:23" ht="16.7" customHeight="1" x14ac:dyDescent="0.2">
      <c r="J79" s="2579"/>
      <c r="K79" s="2482"/>
      <c r="L79" s="2482"/>
      <c r="M79" s="2482"/>
      <c r="N79" s="2482"/>
      <c r="O79" s="2482"/>
      <c r="P79" s="2482"/>
      <c r="Q79" s="2482"/>
      <c r="R79" s="2482"/>
      <c r="S79" s="2482"/>
      <c r="T79" s="2482"/>
      <c r="U79" s="2482"/>
      <c r="V79" s="2482"/>
      <c r="W79" s="2482"/>
    </row>
    <row r="80" spans="10:23" ht="16.7" customHeight="1" x14ac:dyDescent="0.2">
      <c r="J80" s="2579"/>
      <c r="K80" s="2482"/>
      <c r="L80" s="2482"/>
      <c r="M80" s="2482"/>
      <c r="N80" s="2482"/>
      <c r="O80" s="2482"/>
      <c r="P80" s="2482"/>
      <c r="Q80" s="2482"/>
      <c r="R80" s="2482"/>
      <c r="S80" s="2482"/>
      <c r="T80" s="2482"/>
      <c r="U80" s="2482"/>
      <c r="V80" s="2482"/>
      <c r="W80" s="2482"/>
    </row>
    <row r="81" spans="10:23" ht="16.7" customHeight="1" x14ac:dyDescent="0.2">
      <c r="J81" s="2579"/>
      <c r="K81" s="2482"/>
      <c r="L81" s="2482"/>
      <c r="M81" s="2482"/>
      <c r="N81" s="2482"/>
      <c r="O81" s="2482"/>
      <c r="P81" s="2482"/>
      <c r="Q81" s="2482"/>
      <c r="R81" s="2482"/>
      <c r="S81" s="2482"/>
      <c r="T81" s="2482"/>
      <c r="U81" s="2482"/>
      <c r="V81" s="2482"/>
      <c r="W81" s="2482"/>
    </row>
    <row r="82" spans="10:23" ht="16.7" customHeight="1" x14ac:dyDescent="0.2">
      <c r="J82" s="2579"/>
      <c r="K82" s="2482"/>
      <c r="L82" s="2482"/>
      <c r="M82" s="2482"/>
      <c r="N82" s="2482"/>
      <c r="O82" s="2482"/>
      <c r="P82" s="2482"/>
      <c r="Q82" s="2482"/>
      <c r="R82" s="2482"/>
      <c r="S82" s="2482"/>
      <c r="T82" s="2482"/>
      <c r="U82" s="2482"/>
      <c r="V82" s="2482"/>
      <c r="W82" s="2482"/>
    </row>
    <row r="83" spans="10:23" ht="16.7" customHeight="1" x14ac:dyDescent="0.2">
      <c r="J83" s="2579"/>
      <c r="K83" s="2482"/>
      <c r="L83" s="2482"/>
      <c r="M83" s="2482"/>
      <c r="N83" s="2482"/>
      <c r="O83" s="2482"/>
      <c r="P83" s="2482"/>
      <c r="Q83" s="2482"/>
      <c r="R83" s="2482"/>
      <c r="S83" s="2482"/>
      <c r="T83" s="2482"/>
      <c r="U83" s="2482"/>
      <c r="V83" s="2482"/>
      <c r="W83" s="2482"/>
    </row>
    <row r="84" spans="10:23" ht="16.7" customHeight="1" x14ac:dyDescent="0.2">
      <c r="J84" s="2579"/>
      <c r="K84" s="2482"/>
      <c r="L84" s="2482"/>
      <c r="M84" s="2482"/>
      <c r="N84" s="2482"/>
      <c r="O84" s="2482"/>
      <c r="P84" s="2482"/>
      <c r="Q84" s="2482"/>
      <c r="R84" s="2482"/>
      <c r="S84" s="2482"/>
      <c r="T84" s="2482"/>
      <c r="U84" s="2482"/>
      <c r="V84" s="2482"/>
      <c r="W84" s="2482"/>
    </row>
    <row r="85" spans="10:23" ht="16.7" customHeight="1" x14ac:dyDescent="0.2">
      <c r="J85" s="2579"/>
      <c r="K85" s="2482"/>
      <c r="L85" s="2482"/>
      <c r="M85" s="2482"/>
      <c r="N85" s="2482"/>
      <c r="O85" s="2482"/>
      <c r="P85" s="2482"/>
      <c r="Q85" s="2482"/>
      <c r="R85" s="2482"/>
      <c r="S85" s="2482"/>
      <c r="T85" s="2482"/>
      <c r="U85" s="2482"/>
      <c r="V85" s="2482"/>
      <c r="W85" s="2482"/>
    </row>
    <row r="86" spans="10:23" ht="16.7" customHeight="1" x14ac:dyDescent="0.2">
      <c r="J86" s="2579"/>
      <c r="K86" s="2482"/>
      <c r="L86" s="2482"/>
      <c r="M86" s="2482"/>
      <c r="N86" s="2482"/>
      <c r="O86" s="2482"/>
      <c r="P86" s="2482"/>
      <c r="Q86" s="2482"/>
      <c r="R86" s="2482"/>
      <c r="S86" s="2482"/>
      <c r="T86" s="2482"/>
      <c r="U86" s="2482"/>
      <c r="V86" s="2482"/>
      <c r="W86" s="2482"/>
    </row>
    <row r="87" spans="10:23" ht="16.7" customHeight="1" x14ac:dyDescent="0.2">
      <c r="J87" s="2579"/>
      <c r="K87" s="2482"/>
      <c r="L87" s="2482"/>
      <c r="M87" s="2482"/>
      <c r="N87" s="2482"/>
      <c r="O87" s="2482"/>
      <c r="P87" s="2482"/>
      <c r="Q87" s="2482"/>
      <c r="R87" s="2482"/>
      <c r="S87" s="2482"/>
      <c r="T87" s="2482"/>
      <c r="U87" s="2482"/>
      <c r="V87" s="2482"/>
      <c r="W87" s="2482"/>
    </row>
    <row r="88" spans="10:23" ht="16.7" customHeight="1" x14ac:dyDescent="0.2">
      <c r="J88" s="2579"/>
      <c r="K88" s="2482"/>
      <c r="L88" s="2482"/>
      <c r="M88" s="2482"/>
      <c r="N88" s="2482"/>
      <c r="O88" s="2482"/>
      <c r="P88" s="2482"/>
      <c r="Q88" s="2482"/>
      <c r="R88" s="2482"/>
      <c r="S88" s="2482"/>
      <c r="T88" s="2482"/>
      <c r="U88" s="2482"/>
      <c r="V88" s="2482"/>
      <c r="W88" s="2482"/>
    </row>
    <row r="89" spans="10:23" ht="16.7" customHeight="1" x14ac:dyDescent="0.2">
      <c r="J89" s="2579"/>
      <c r="K89" s="2482"/>
      <c r="L89" s="2482"/>
      <c r="M89" s="2482"/>
      <c r="N89" s="2482"/>
      <c r="O89" s="2482"/>
      <c r="P89" s="2482"/>
      <c r="Q89" s="2482"/>
      <c r="R89" s="2482"/>
      <c r="S89" s="2482"/>
      <c r="T89" s="2482"/>
      <c r="U89" s="2482"/>
      <c r="V89" s="2482"/>
      <c r="W89" s="2482"/>
    </row>
    <row r="90" spans="10:23" ht="16.7" customHeight="1" x14ac:dyDescent="0.2">
      <c r="J90" s="2579"/>
      <c r="K90" s="2482"/>
      <c r="L90" s="2482"/>
      <c r="M90" s="2482"/>
      <c r="N90" s="2482"/>
      <c r="O90" s="2482"/>
      <c r="P90" s="2482"/>
      <c r="Q90" s="2482"/>
      <c r="R90" s="2482"/>
      <c r="S90" s="2482"/>
      <c r="T90" s="2482"/>
      <c r="U90" s="2482"/>
      <c r="V90" s="2482"/>
      <c r="W90" s="2482"/>
    </row>
    <row r="91" spans="10:23" ht="16.7" customHeight="1" x14ac:dyDescent="0.2">
      <c r="J91" s="2579"/>
      <c r="K91" s="2482"/>
      <c r="L91" s="2482"/>
      <c r="M91" s="2482"/>
      <c r="N91" s="2482"/>
      <c r="O91" s="2482"/>
      <c r="P91" s="2482"/>
      <c r="Q91" s="2482"/>
      <c r="R91" s="2482"/>
      <c r="S91" s="2482"/>
      <c r="T91" s="2482"/>
      <c r="U91" s="2482"/>
      <c r="V91" s="2482"/>
      <c r="W91" s="2482"/>
    </row>
    <row r="92" spans="10:23" ht="16.7" customHeight="1" x14ac:dyDescent="0.2">
      <c r="J92" s="2579"/>
      <c r="K92" s="2482"/>
      <c r="L92" s="2482"/>
      <c r="M92" s="2482"/>
      <c r="N92" s="2482"/>
      <c r="O92" s="2482"/>
      <c r="P92" s="2482"/>
      <c r="Q92" s="2482"/>
      <c r="R92" s="2482"/>
      <c r="S92" s="2482"/>
      <c r="T92" s="2482"/>
      <c r="U92" s="2482"/>
      <c r="V92" s="2482"/>
      <c r="W92" s="2482"/>
    </row>
    <row r="93" spans="10:23" ht="16.7" customHeight="1" x14ac:dyDescent="0.2">
      <c r="J93" s="2579"/>
      <c r="K93" s="2482"/>
      <c r="L93" s="2482"/>
      <c r="M93" s="2482"/>
      <c r="N93" s="2482"/>
      <c r="O93" s="2482"/>
      <c r="P93" s="2482"/>
      <c r="Q93" s="2482"/>
      <c r="R93" s="2482"/>
      <c r="S93" s="2482"/>
      <c r="T93" s="2482"/>
      <c r="U93" s="2482"/>
      <c r="V93" s="2482"/>
      <c r="W93" s="2482"/>
    </row>
    <row r="94" spans="10:23" ht="16.7" customHeight="1" x14ac:dyDescent="0.2">
      <c r="J94" s="2579"/>
      <c r="K94" s="2482"/>
      <c r="L94" s="2482"/>
      <c r="M94" s="2482"/>
      <c r="N94" s="2482"/>
      <c r="O94" s="2482"/>
      <c r="P94" s="2482"/>
      <c r="Q94" s="2482"/>
      <c r="R94" s="2482"/>
      <c r="S94" s="2482"/>
      <c r="T94" s="2482"/>
      <c r="U94" s="2482"/>
      <c r="V94" s="2482"/>
      <c r="W94" s="2482"/>
    </row>
    <row r="95" spans="10:23" ht="16.7" customHeight="1" x14ac:dyDescent="0.2">
      <c r="J95" s="2579"/>
      <c r="K95" s="2482"/>
      <c r="L95" s="2482"/>
      <c r="M95" s="2482"/>
      <c r="N95" s="2482"/>
      <c r="O95" s="2482"/>
      <c r="P95" s="2482"/>
      <c r="Q95" s="2482"/>
      <c r="R95" s="2482"/>
      <c r="S95" s="2482"/>
      <c r="T95" s="2482"/>
      <c r="U95" s="2482"/>
      <c r="V95" s="2482"/>
      <c r="W95" s="2482"/>
    </row>
    <row r="96" spans="10:23" ht="16.7" customHeight="1" x14ac:dyDescent="0.2">
      <c r="J96" s="2579"/>
      <c r="K96" s="2482"/>
      <c r="L96" s="2482"/>
      <c r="M96" s="2482"/>
      <c r="N96" s="2482"/>
      <c r="O96" s="2482"/>
      <c r="P96" s="2482"/>
      <c r="Q96" s="2482"/>
      <c r="R96" s="2482"/>
      <c r="S96" s="2482"/>
      <c r="T96" s="2482"/>
      <c r="U96" s="2482"/>
      <c r="V96" s="2482"/>
      <c r="W96" s="2482"/>
    </row>
    <row r="97" spans="10:23" ht="16.7" customHeight="1" x14ac:dyDescent="0.2">
      <c r="J97" s="2579"/>
      <c r="K97" s="2482"/>
      <c r="L97" s="2482"/>
      <c r="M97" s="2482"/>
      <c r="N97" s="2482"/>
      <c r="O97" s="2482"/>
      <c r="P97" s="2482"/>
      <c r="Q97" s="2482"/>
      <c r="R97" s="2482"/>
      <c r="S97" s="2482"/>
      <c r="T97" s="2482"/>
      <c r="U97" s="2482"/>
      <c r="V97" s="2482"/>
      <c r="W97" s="2482"/>
    </row>
    <row r="98" spans="10:23" ht="16.7" customHeight="1" x14ac:dyDescent="0.2">
      <c r="J98" s="2579"/>
      <c r="K98" s="2482"/>
      <c r="L98" s="2482"/>
      <c r="M98" s="2482"/>
      <c r="N98" s="2482"/>
      <c r="O98" s="2482"/>
      <c r="P98" s="2482"/>
      <c r="Q98" s="2482"/>
      <c r="R98" s="2482"/>
      <c r="S98" s="2482"/>
      <c r="T98" s="2482"/>
      <c r="U98" s="2482"/>
      <c r="V98" s="2482"/>
      <c r="W98" s="2482"/>
    </row>
    <row r="99" spans="10:23" ht="16.7" customHeight="1" x14ac:dyDescent="0.2">
      <c r="J99" s="2579"/>
      <c r="K99" s="2482"/>
      <c r="L99" s="2482"/>
      <c r="M99" s="2482"/>
      <c r="N99" s="2482"/>
      <c r="O99" s="2482"/>
      <c r="P99" s="2482"/>
      <c r="Q99" s="2482"/>
      <c r="R99" s="2482"/>
      <c r="S99" s="2482"/>
      <c r="T99" s="2482"/>
      <c r="U99" s="2482"/>
      <c r="V99" s="2482"/>
      <c r="W99" s="2482"/>
    </row>
    <row r="100" spans="10:23" ht="16.7" customHeight="1" x14ac:dyDescent="0.2">
      <c r="J100" s="2579"/>
      <c r="K100" s="2482"/>
      <c r="L100" s="2482"/>
      <c r="M100" s="2482"/>
      <c r="N100" s="2482"/>
      <c r="O100" s="2482"/>
      <c r="P100" s="2482"/>
      <c r="Q100" s="2482"/>
      <c r="R100" s="2482"/>
      <c r="S100" s="2482"/>
      <c r="T100" s="2482"/>
      <c r="U100" s="2482"/>
      <c r="V100" s="2482"/>
      <c r="W100" s="2482"/>
    </row>
    <row r="101" spans="10:23" ht="16.7" customHeight="1" x14ac:dyDescent="0.2">
      <c r="J101" s="2579"/>
      <c r="K101" s="2482"/>
      <c r="L101" s="2482"/>
      <c r="M101" s="2482"/>
      <c r="N101" s="2482"/>
      <c r="O101" s="2482"/>
      <c r="P101" s="2482"/>
      <c r="Q101" s="2482"/>
      <c r="R101" s="2482"/>
      <c r="S101" s="2482"/>
      <c r="T101" s="2482"/>
      <c r="U101" s="2482"/>
      <c r="V101" s="2482"/>
      <c r="W101" s="2482"/>
    </row>
    <row r="102" spans="10:23" ht="16.7" customHeight="1" x14ac:dyDescent="0.2">
      <c r="J102" s="2579"/>
      <c r="K102" s="2482"/>
      <c r="L102" s="2482"/>
      <c r="M102" s="2482"/>
      <c r="N102" s="2482"/>
      <c r="O102" s="2482"/>
      <c r="P102" s="2482"/>
      <c r="Q102" s="2482"/>
      <c r="R102" s="2482"/>
      <c r="S102" s="2482"/>
      <c r="T102" s="2482"/>
      <c r="U102" s="2482"/>
      <c r="V102" s="2482"/>
      <c r="W102" s="2482"/>
    </row>
    <row r="103" spans="10:23" ht="16.7" customHeight="1" x14ac:dyDescent="0.2">
      <c r="J103" s="2579"/>
      <c r="K103" s="2482"/>
      <c r="L103" s="2482"/>
      <c r="M103" s="2482"/>
      <c r="N103" s="2482"/>
      <c r="O103" s="2482"/>
      <c r="P103" s="2482"/>
      <c r="Q103" s="2482"/>
      <c r="R103" s="2482"/>
      <c r="S103" s="2482"/>
      <c r="T103" s="2482"/>
      <c r="U103" s="2482"/>
      <c r="V103" s="2482"/>
      <c r="W103" s="2482"/>
    </row>
    <row r="104" spans="10:23" ht="16.7" customHeight="1" x14ac:dyDescent="0.2">
      <c r="J104" s="2579"/>
      <c r="K104" s="2482"/>
      <c r="L104" s="2482"/>
      <c r="M104" s="2482"/>
      <c r="N104" s="2482"/>
      <c r="O104" s="2482"/>
      <c r="P104" s="2482"/>
      <c r="Q104" s="2482"/>
      <c r="R104" s="2482"/>
      <c r="S104" s="2482"/>
      <c r="T104" s="2482"/>
      <c r="U104" s="2482"/>
      <c r="V104" s="2482"/>
      <c r="W104" s="2482"/>
    </row>
    <row r="105" spans="10:23" ht="15" customHeight="1" x14ac:dyDescent="0.2">
      <c r="J105" s="2579"/>
      <c r="K105" s="2482"/>
      <c r="L105" s="2482"/>
      <c r="M105" s="2482"/>
      <c r="N105" s="2482"/>
      <c r="O105" s="2482"/>
      <c r="P105" s="2482"/>
      <c r="Q105" s="2482"/>
      <c r="R105" s="2482"/>
      <c r="S105" s="2482"/>
      <c r="T105" s="2482"/>
      <c r="U105" s="2482"/>
      <c r="V105" s="2482"/>
      <c r="W105" s="2482"/>
    </row>
    <row r="106" spans="10:23" x14ac:dyDescent="0.2">
      <c r="J106" s="2608"/>
    </row>
  </sheetData>
  <mergeCells count="15">
    <mergeCell ref="D58:F58"/>
    <mergeCell ref="J1:J2"/>
    <mergeCell ref="A3:G3"/>
    <mergeCell ref="A4:G4"/>
    <mergeCell ref="A5:A6"/>
    <mergeCell ref="B5:B6"/>
    <mergeCell ref="C5:C6"/>
    <mergeCell ref="D5:D6"/>
    <mergeCell ref="E5:F5"/>
    <mergeCell ref="G5:G6"/>
    <mergeCell ref="A55:A56"/>
    <mergeCell ref="B55:B56"/>
    <mergeCell ref="C55:C56"/>
    <mergeCell ref="G55:G56"/>
    <mergeCell ref="D56:F56"/>
  </mergeCells>
  <pageMargins left="0.75" right="0.75" top="1" bottom="1" header="0.5" footer="0.5"/>
  <customProperties>
    <customPr name="_pios_id" r:id="rId1"/>
  </customProperties>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0AEA30-A0A8-44D5-8D4D-ED15A0BC44A5}">
  <sheetPr codeName="Sheet59"/>
  <dimension ref="A1:T109"/>
  <sheetViews>
    <sheetView showRuler="0" workbookViewId="0">
      <selection activeCell="C1" sqref="C1"/>
    </sheetView>
  </sheetViews>
  <sheetFormatPr defaultColWidth="11.5" defaultRowHeight="12.75" x14ac:dyDescent="0.2"/>
  <cols>
    <col min="1" max="1" width="3.875" style="1953" customWidth="1"/>
    <col min="2" max="2" width="57.75" style="1953" customWidth="1"/>
    <col min="3" max="6" width="17.625" style="1953" customWidth="1"/>
    <col min="7" max="20" width="17.625" style="1953" hidden="1" customWidth="1"/>
    <col min="21" max="26" width="17.625" style="1953" customWidth="1"/>
    <col min="27" max="16384" width="11.5" style="1953"/>
  </cols>
  <sheetData>
    <row r="1" spans="1:20" ht="16.7" customHeight="1" x14ac:dyDescent="0.2">
      <c r="G1" s="3914" t="s">
        <v>6320</v>
      </c>
      <c r="H1" s="2482" t="s">
        <v>6974</v>
      </c>
      <c r="I1" s="2482"/>
      <c r="J1" s="2482"/>
      <c r="K1" s="2482"/>
      <c r="L1" s="2482"/>
      <c r="M1" s="2482"/>
      <c r="N1" s="2482"/>
      <c r="O1" s="2482"/>
      <c r="P1" s="2482"/>
      <c r="Q1" s="2482"/>
      <c r="R1" s="2482"/>
      <c r="S1" s="2482"/>
      <c r="T1" s="2482"/>
    </row>
    <row r="2" spans="1:20" ht="16.7" customHeight="1" x14ac:dyDescent="0.2">
      <c r="G2" s="3968"/>
      <c r="H2" s="2482"/>
      <c r="I2" s="2482"/>
      <c r="J2" s="2482"/>
      <c r="K2" s="2482"/>
      <c r="L2" s="2482"/>
      <c r="M2" s="2482"/>
      <c r="N2" s="2482"/>
      <c r="O2" s="2482"/>
      <c r="P2" s="2482"/>
      <c r="Q2" s="2482"/>
      <c r="R2" s="2482"/>
      <c r="S2" s="2482"/>
      <c r="T2" s="2482"/>
    </row>
    <row r="3" spans="1:20" ht="16.7" customHeight="1" x14ac:dyDescent="0.2">
      <c r="G3" s="3968"/>
      <c r="H3" s="2482"/>
      <c r="I3" s="2482"/>
      <c r="J3" s="2482"/>
      <c r="K3" s="2482"/>
      <c r="L3" s="2482"/>
      <c r="M3" s="2482"/>
      <c r="N3" s="2482"/>
      <c r="O3" s="2482"/>
      <c r="P3" s="2482"/>
      <c r="Q3" s="2482"/>
      <c r="R3" s="2482"/>
      <c r="S3" s="2482"/>
      <c r="T3" s="2482"/>
    </row>
    <row r="4" spans="1:20" ht="16.7" customHeight="1" x14ac:dyDescent="0.2">
      <c r="G4" s="3968"/>
      <c r="H4" s="2482"/>
      <c r="I4" s="2482"/>
      <c r="J4" s="2482"/>
      <c r="K4" s="2482"/>
      <c r="L4" s="2482"/>
      <c r="M4" s="2482"/>
      <c r="N4" s="2482"/>
      <c r="O4" s="2482"/>
      <c r="P4" s="2482"/>
      <c r="Q4" s="2482"/>
      <c r="R4" s="2482"/>
      <c r="S4" s="2482"/>
      <c r="T4" s="2482"/>
    </row>
    <row r="5" spans="1:20" ht="16.7" customHeight="1" x14ac:dyDescent="0.2">
      <c r="G5" s="3915"/>
      <c r="H5" s="2482"/>
      <c r="I5" s="2482"/>
      <c r="J5" s="2482"/>
      <c r="K5" s="2482"/>
      <c r="L5" s="2482"/>
      <c r="M5" s="2482"/>
      <c r="N5" s="2482"/>
      <c r="O5" s="2482"/>
      <c r="P5" s="2482"/>
      <c r="Q5" s="2482"/>
      <c r="R5" s="2482"/>
      <c r="S5" s="2482"/>
      <c r="T5" s="2482"/>
    </row>
    <row r="6" spans="1:20" ht="16.7" customHeight="1" x14ac:dyDescent="0.2">
      <c r="A6" s="3859" t="s">
        <v>7643</v>
      </c>
      <c r="B6" s="3927"/>
      <c r="C6" s="3927"/>
      <c r="D6" s="3927"/>
      <c r="E6" s="2479"/>
      <c r="G6" s="2579"/>
      <c r="H6" s="2482"/>
      <c r="I6" s="2482"/>
      <c r="J6" s="2482"/>
      <c r="K6" s="2482"/>
      <c r="L6" s="2482"/>
      <c r="M6" s="2482"/>
      <c r="N6" s="2482"/>
      <c r="O6" s="2482"/>
      <c r="P6" s="2482"/>
      <c r="Q6" s="2482"/>
      <c r="R6" s="2482"/>
      <c r="S6" s="2482"/>
      <c r="T6" s="2482"/>
    </row>
    <row r="7" spans="1:20" ht="27.6" customHeight="1" x14ac:dyDescent="0.2">
      <c r="A7" s="3878" t="s">
        <v>7644</v>
      </c>
      <c r="B7" s="3883"/>
      <c r="C7" s="3883"/>
      <c r="D7" s="3884"/>
      <c r="E7" s="2479"/>
      <c r="G7" s="2579"/>
      <c r="H7" s="2482"/>
      <c r="I7" s="2482"/>
      <c r="J7" s="2482"/>
      <c r="K7" s="2482"/>
      <c r="L7" s="2482"/>
      <c r="M7" s="2482"/>
      <c r="N7" s="2482"/>
      <c r="O7" s="2482"/>
      <c r="P7" s="2482"/>
      <c r="Q7" s="2482"/>
      <c r="R7" s="2482"/>
      <c r="S7" s="2482"/>
      <c r="T7" s="2482"/>
    </row>
    <row r="8" spans="1:20" ht="25.7" customHeight="1" x14ac:dyDescent="0.2">
      <c r="A8" s="3963" t="s">
        <v>6360</v>
      </c>
      <c r="B8" s="3944" t="s">
        <v>7645</v>
      </c>
      <c r="C8" s="3944" t="s">
        <v>7566</v>
      </c>
      <c r="D8" s="3944" t="s">
        <v>7567</v>
      </c>
      <c r="E8" s="2479"/>
      <c r="G8" s="2579"/>
      <c r="H8" s="2482"/>
      <c r="I8" s="2482"/>
      <c r="J8" s="2482"/>
      <c r="K8" s="2482"/>
      <c r="L8" s="2482"/>
      <c r="M8" s="2482"/>
      <c r="N8" s="2482"/>
      <c r="O8" s="2482"/>
      <c r="P8" s="2482"/>
      <c r="Q8" s="2482"/>
      <c r="R8" s="2482"/>
      <c r="S8" s="2482"/>
      <c r="T8" s="2482"/>
    </row>
    <row r="9" spans="1:20" ht="14.1" customHeight="1" x14ac:dyDescent="0.2">
      <c r="A9" s="3943"/>
      <c r="B9" s="3943"/>
      <c r="C9" s="3943"/>
      <c r="D9" s="3943"/>
      <c r="E9" s="2479"/>
      <c r="G9" s="2579"/>
      <c r="H9" s="2482"/>
      <c r="I9" s="2482"/>
      <c r="J9" s="2482"/>
      <c r="K9" s="2482"/>
      <c r="L9" s="2482"/>
      <c r="M9" s="2482"/>
      <c r="N9" s="2482"/>
      <c r="O9" s="2482"/>
      <c r="P9" s="2482"/>
      <c r="Q9" s="2482"/>
      <c r="R9" s="2482"/>
      <c r="S9" s="2482"/>
      <c r="T9" s="2482"/>
    </row>
    <row r="10" spans="1:20" ht="16.7" customHeight="1" x14ac:dyDescent="0.2">
      <c r="A10" s="2585"/>
      <c r="B10" s="2739" t="s">
        <v>5949</v>
      </c>
      <c r="C10" s="2739" t="s">
        <v>5950</v>
      </c>
      <c r="D10" s="2739" t="s">
        <v>6226</v>
      </c>
      <c r="E10" s="2479" t="s">
        <v>6324</v>
      </c>
      <c r="G10" s="2579"/>
      <c r="H10" s="2482"/>
      <c r="I10" s="2482"/>
      <c r="J10" s="2482"/>
      <c r="K10" s="2482"/>
      <c r="L10" s="2482"/>
      <c r="M10" s="2482"/>
      <c r="N10" s="2482"/>
      <c r="O10" s="2482"/>
      <c r="P10" s="2482"/>
      <c r="Q10" s="2482"/>
      <c r="R10" s="2482"/>
      <c r="S10" s="2482"/>
      <c r="T10" s="2482"/>
    </row>
    <row r="11" spans="1:20" ht="16.7" customHeight="1" x14ac:dyDescent="0.2">
      <c r="A11" s="2588"/>
      <c r="B11" s="2705"/>
      <c r="C11" s="2790" t="e">
        <v>#REF!</v>
      </c>
      <c r="D11" s="2790" t="e">
        <v>#REF!</v>
      </c>
      <c r="E11" s="2479"/>
      <c r="G11" s="2579"/>
      <c r="H11" s="2482" t="s">
        <v>6985</v>
      </c>
      <c r="I11" s="2482" t="s">
        <v>6484</v>
      </c>
      <c r="J11" s="2482"/>
      <c r="K11" s="2482"/>
      <c r="L11" s="2482"/>
      <c r="M11" s="2482"/>
      <c r="N11" s="2482"/>
      <c r="O11" s="2482"/>
      <c r="P11" s="2482"/>
      <c r="Q11" s="2482"/>
      <c r="R11" s="2482"/>
      <c r="S11" s="2482"/>
      <c r="T11" s="2482"/>
    </row>
    <row r="12" spans="1:20" ht="16.7" customHeight="1" x14ac:dyDescent="0.2">
      <c r="A12" s="2634">
        <v>1</v>
      </c>
      <c r="B12" s="2512" t="s">
        <v>511</v>
      </c>
      <c r="C12" s="3950"/>
      <c r="D12" s="3941"/>
      <c r="E12" s="2479"/>
      <c r="G12" s="2579"/>
      <c r="H12" s="2715" t="s">
        <v>6139</v>
      </c>
      <c r="I12" s="2482"/>
      <c r="J12" s="2482"/>
      <c r="K12" s="2482"/>
      <c r="L12" s="2482"/>
      <c r="M12" s="2482"/>
      <c r="N12" s="2482"/>
      <c r="O12" s="2482"/>
      <c r="P12" s="2482"/>
      <c r="Q12" s="2482"/>
      <c r="R12" s="2482"/>
      <c r="S12" s="2482"/>
      <c r="T12" s="2482"/>
    </row>
    <row r="13" spans="1:20" ht="16.7" customHeight="1" x14ac:dyDescent="0.2">
      <c r="A13" s="2634">
        <v>2</v>
      </c>
      <c r="B13" s="2512" t="s">
        <v>7646</v>
      </c>
      <c r="C13" s="2645">
        <v>59371205</v>
      </c>
      <c r="D13" s="2530">
        <v>51036447</v>
      </c>
      <c r="E13" s="2479" t="str">
        <f t="shared" ref="E13:E19" si="0">B13</f>
        <v>Employee Benefits</v>
      </c>
      <c r="G13" s="2579"/>
      <c r="H13" s="2715" t="s">
        <v>5957</v>
      </c>
      <c r="I13" s="2795">
        <v>93154239</v>
      </c>
      <c r="J13" s="2482"/>
      <c r="K13" s="2482"/>
      <c r="L13" s="2482"/>
      <c r="M13" s="2482"/>
      <c r="N13" s="2482"/>
      <c r="O13" s="2482"/>
      <c r="P13" s="2482"/>
      <c r="Q13" s="2482"/>
      <c r="R13" s="2482"/>
      <c r="S13" s="2482"/>
      <c r="T13" s="2482"/>
    </row>
    <row r="14" spans="1:20" ht="16.7" customHeight="1" x14ac:dyDescent="0.2">
      <c r="A14" s="2634">
        <v>3</v>
      </c>
      <c r="B14" s="2512" t="s">
        <v>7647</v>
      </c>
      <c r="C14" s="2645">
        <v>73141764</v>
      </c>
      <c r="D14" s="2530">
        <v>84489377</v>
      </c>
      <c r="E14" s="2479" t="str">
        <f t="shared" si="0"/>
        <v>State Carryfowards</v>
      </c>
      <c r="G14" s="2579"/>
      <c r="H14" s="2715" t="s">
        <v>5959</v>
      </c>
      <c r="I14" s="2795">
        <v>17359585</v>
      </c>
      <c r="J14" s="2482"/>
      <c r="K14" s="2482"/>
      <c r="L14" s="2482"/>
      <c r="M14" s="2482"/>
      <c r="N14" s="2482"/>
      <c r="O14" s="2482"/>
      <c r="P14" s="2482"/>
      <c r="Q14" s="2482"/>
      <c r="R14" s="2482"/>
      <c r="S14" s="2482"/>
      <c r="T14" s="2482"/>
    </row>
    <row r="15" spans="1:20" ht="16.7" customHeight="1" x14ac:dyDescent="0.2">
      <c r="A15" s="2634">
        <v>4</v>
      </c>
      <c r="B15" s="2488" t="s">
        <v>7648</v>
      </c>
      <c r="C15" s="2645">
        <v>79214493</v>
      </c>
      <c r="D15" s="2530">
        <v>85238575</v>
      </c>
      <c r="E15" s="2479" t="str">
        <f t="shared" si="0"/>
        <v>Asset Retirement Obligations</v>
      </c>
      <c r="G15" s="2579"/>
      <c r="H15" s="2715" t="s">
        <v>5961</v>
      </c>
      <c r="I15" s="2795">
        <v>72747311</v>
      </c>
      <c r="J15" s="2482"/>
      <c r="K15" s="2482"/>
      <c r="L15" s="2482"/>
      <c r="M15" s="2482"/>
      <c r="N15" s="2482"/>
      <c r="O15" s="2482"/>
      <c r="P15" s="2482"/>
      <c r="Q15" s="2482"/>
      <c r="R15" s="2482"/>
      <c r="S15" s="2482"/>
      <c r="T15" s="2482"/>
    </row>
    <row r="16" spans="1:20" ht="16.7" customHeight="1" x14ac:dyDescent="0.2">
      <c r="A16" s="2634">
        <v>5</v>
      </c>
      <c r="B16" s="2488" t="s">
        <v>7649</v>
      </c>
      <c r="C16" s="2645">
        <v>421123607</v>
      </c>
      <c r="D16" s="2530">
        <v>311486543</v>
      </c>
      <c r="E16" s="2479" t="str">
        <f t="shared" si="0"/>
        <v>Regulatory Liabilities</v>
      </c>
      <c r="G16" s="2579"/>
      <c r="H16" s="2715" t="s">
        <v>5963</v>
      </c>
      <c r="I16" s="2795">
        <v>34677256</v>
      </c>
      <c r="J16" s="2482"/>
      <c r="K16" s="2482"/>
      <c r="L16" s="2482"/>
      <c r="M16" s="2482"/>
      <c r="N16" s="2482"/>
      <c r="O16" s="2482"/>
      <c r="P16" s="2482"/>
      <c r="Q16" s="2482"/>
      <c r="R16" s="2482"/>
      <c r="S16" s="2482"/>
      <c r="T16" s="2482"/>
    </row>
    <row r="17" spans="1:20" ht="16.7" customHeight="1" x14ac:dyDescent="0.2">
      <c r="A17" s="2634">
        <v>6</v>
      </c>
      <c r="B17" s="2512" t="s">
        <v>7650</v>
      </c>
      <c r="C17" s="2645">
        <v>45033428</v>
      </c>
      <c r="D17" s="2530">
        <v>338021556</v>
      </c>
      <c r="E17" s="2479" t="str">
        <f t="shared" si="0"/>
        <v>Loss Contingencies</v>
      </c>
      <c r="G17" s="2579"/>
      <c r="H17" s="2715" t="s">
        <v>5965</v>
      </c>
      <c r="I17" s="2795">
        <v>64400058</v>
      </c>
      <c r="J17" s="2482"/>
      <c r="K17" s="2482"/>
      <c r="L17" s="2482"/>
      <c r="M17" s="2482"/>
      <c r="N17" s="2482"/>
      <c r="O17" s="2482"/>
      <c r="P17" s="2482"/>
      <c r="Q17" s="2482"/>
      <c r="R17" s="2482"/>
      <c r="S17" s="2482"/>
      <c r="T17" s="2482"/>
    </row>
    <row r="18" spans="1:20" ht="16.7" customHeight="1" x14ac:dyDescent="0.2">
      <c r="A18" s="2758">
        <v>6.1</v>
      </c>
      <c r="B18" s="2512" t="s">
        <v>7651</v>
      </c>
      <c r="C18" s="2645">
        <v>53317506</v>
      </c>
      <c r="D18" s="2530">
        <v>82419368</v>
      </c>
      <c r="E18" s="2479" t="str">
        <f t="shared" si="0"/>
        <v>Other Electric</v>
      </c>
      <c r="G18" s="2579"/>
      <c r="H18" s="2715" t="s">
        <v>5968</v>
      </c>
      <c r="I18" s="2795">
        <v>494664864</v>
      </c>
      <c r="J18" s="2482"/>
      <c r="K18" s="2482"/>
      <c r="L18" s="2482"/>
      <c r="M18" s="2482"/>
      <c r="N18" s="2482"/>
      <c r="O18" s="2482"/>
      <c r="P18" s="2482"/>
      <c r="Q18" s="2482"/>
      <c r="R18" s="2482"/>
      <c r="S18" s="2482"/>
      <c r="T18" s="2482"/>
    </row>
    <row r="19" spans="1:20" ht="16.7" customHeight="1" x14ac:dyDescent="0.2">
      <c r="A19" s="2758">
        <v>6.2</v>
      </c>
      <c r="B19" s="2512" t="s">
        <v>7652</v>
      </c>
      <c r="C19" s="2645">
        <v>-35417465</v>
      </c>
      <c r="D19" s="2530">
        <v>-24462489</v>
      </c>
      <c r="E19" s="2479" t="str">
        <f t="shared" si="0"/>
        <v>Valuation Allowances</v>
      </c>
      <c r="G19" s="2579"/>
      <c r="H19" s="2715" t="s">
        <v>5970</v>
      </c>
      <c r="I19" s="2482"/>
      <c r="J19" s="2482"/>
      <c r="K19" s="2482"/>
      <c r="L19" s="2482"/>
      <c r="M19" s="2482"/>
      <c r="N19" s="2482"/>
      <c r="O19" s="2482"/>
      <c r="P19" s="2482"/>
      <c r="Q19" s="2482"/>
      <c r="R19" s="2482"/>
      <c r="S19" s="2482"/>
      <c r="T19" s="2482"/>
    </row>
    <row r="20" spans="1:20" ht="16.7" customHeight="1" x14ac:dyDescent="0.2">
      <c r="A20" s="2634">
        <v>8</v>
      </c>
      <c r="B20" s="2669" t="s">
        <v>7653</v>
      </c>
      <c r="C20" s="2736">
        <f>SUM(C13:C19)</f>
        <v>695784538</v>
      </c>
      <c r="D20" s="2736">
        <f>SUM(D13:D19)</f>
        <v>928229377</v>
      </c>
      <c r="E20" s="2479"/>
      <c r="G20" s="2579"/>
      <c r="H20" s="2715" t="s">
        <v>5972</v>
      </c>
      <c r="I20" s="2795">
        <v>777003313</v>
      </c>
      <c r="J20" s="2482"/>
      <c r="K20" s="2482"/>
      <c r="L20" s="2482"/>
      <c r="M20" s="2482"/>
      <c r="N20" s="2482"/>
      <c r="O20" s="2482"/>
      <c r="P20" s="2482"/>
      <c r="Q20" s="2482"/>
      <c r="R20" s="2482"/>
      <c r="S20" s="2482"/>
      <c r="T20" s="2482"/>
    </row>
    <row r="21" spans="1:20" ht="16.7" customHeight="1" x14ac:dyDescent="0.2">
      <c r="A21" s="2634">
        <v>9</v>
      </c>
      <c r="B21" s="2512" t="s">
        <v>6498</v>
      </c>
      <c r="C21" s="3950"/>
      <c r="D21" s="3941"/>
      <c r="E21" s="2479" t="str">
        <f>B21</f>
        <v>Gas</v>
      </c>
      <c r="G21" s="2579"/>
      <c r="H21" s="2715" t="s">
        <v>5974</v>
      </c>
      <c r="I21" s="2482"/>
      <c r="J21" s="2482"/>
      <c r="K21" s="2482"/>
      <c r="L21" s="2482"/>
      <c r="M21" s="2482"/>
      <c r="N21" s="2482"/>
      <c r="O21" s="2482"/>
      <c r="P21" s="2482"/>
      <c r="Q21" s="2482"/>
      <c r="R21" s="2482"/>
      <c r="S21" s="2482"/>
      <c r="T21" s="2482"/>
    </row>
    <row r="22" spans="1:20" ht="16.7" customHeight="1" x14ac:dyDescent="0.2">
      <c r="A22" s="2634">
        <v>10</v>
      </c>
      <c r="B22" s="2488"/>
      <c r="C22" s="2645">
        <f>SUMIFS($G22:$XFD22,$G$11:$XFD$11,$C$11)</f>
        <v>0</v>
      </c>
      <c r="D22" s="2488"/>
      <c r="E22" s="2595">
        <f>B22</f>
        <v>0</v>
      </c>
      <c r="G22" s="2579"/>
      <c r="H22" s="2715" t="s">
        <v>5976</v>
      </c>
      <c r="I22" s="2482"/>
      <c r="J22" s="2482"/>
      <c r="K22" s="2482"/>
      <c r="L22" s="2482"/>
      <c r="M22" s="2482"/>
      <c r="N22" s="2482"/>
      <c r="O22" s="2482"/>
      <c r="P22" s="2482"/>
      <c r="Q22" s="2482"/>
      <c r="R22" s="2482"/>
      <c r="S22" s="2482"/>
      <c r="T22" s="2482"/>
    </row>
    <row r="23" spans="1:20" ht="16.7" customHeight="1" x14ac:dyDescent="0.2">
      <c r="A23" s="2634">
        <v>11</v>
      </c>
      <c r="B23" s="2488"/>
      <c r="C23" s="2645">
        <f>SUMIFS($G23:$XFD23,$G$11:$XFD$11,$C$11)</f>
        <v>0</v>
      </c>
      <c r="D23" s="2488"/>
      <c r="E23" s="2595">
        <f>B23</f>
        <v>0</v>
      </c>
      <c r="G23" s="2579"/>
      <c r="H23" s="2715" t="s">
        <v>5978</v>
      </c>
      <c r="I23" s="2482"/>
      <c r="J23" s="2482"/>
      <c r="K23" s="2482"/>
      <c r="L23" s="2482"/>
      <c r="M23" s="2482"/>
      <c r="N23" s="2482"/>
      <c r="O23" s="2482"/>
      <c r="P23" s="2482"/>
      <c r="Q23" s="2482"/>
      <c r="R23" s="2482"/>
      <c r="S23" s="2482"/>
      <c r="T23" s="2482"/>
    </row>
    <row r="24" spans="1:20" ht="16.7" customHeight="1" x14ac:dyDescent="0.2">
      <c r="A24" s="2634">
        <v>12</v>
      </c>
      <c r="B24" s="2488"/>
      <c r="C24" s="2645">
        <f>SUMIFS($G24:$XFD24,$G$11:$XFD$11,$C$11)</f>
        <v>0</v>
      </c>
      <c r="D24" s="2488"/>
      <c r="E24" s="2595">
        <f>B24</f>
        <v>0</v>
      </c>
      <c r="G24" s="2579"/>
      <c r="H24" s="2715" t="s">
        <v>5980</v>
      </c>
      <c r="I24" s="2482"/>
      <c r="J24" s="2482"/>
      <c r="K24" s="2482"/>
      <c r="L24" s="2482"/>
      <c r="M24" s="2482"/>
      <c r="N24" s="2482"/>
      <c r="O24" s="2482"/>
      <c r="P24" s="2482"/>
      <c r="Q24" s="2482"/>
      <c r="R24" s="2482"/>
      <c r="S24" s="2482"/>
      <c r="T24" s="2482"/>
    </row>
    <row r="25" spans="1:20" ht="16.7" customHeight="1" x14ac:dyDescent="0.2">
      <c r="A25" s="2634">
        <v>13</v>
      </c>
      <c r="B25" s="2488"/>
      <c r="C25" s="2645">
        <f>SUMIFS($G25:$XFD25,$G$11:$XFD$11,$C$11)</f>
        <v>0</v>
      </c>
      <c r="D25" s="2488"/>
      <c r="E25" s="2595">
        <f>B25</f>
        <v>0</v>
      </c>
      <c r="G25" s="2579"/>
      <c r="H25" s="2715" t="s">
        <v>5982</v>
      </c>
      <c r="I25" s="2482"/>
      <c r="J25" s="2482"/>
      <c r="K25" s="2482"/>
      <c r="L25" s="2482"/>
      <c r="M25" s="2482"/>
      <c r="N25" s="2482"/>
      <c r="O25" s="2482"/>
      <c r="P25" s="2482"/>
      <c r="Q25" s="2482"/>
      <c r="R25" s="2482"/>
      <c r="S25" s="2482"/>
      <c r="T25" s="2482"/>
    </row>
    <row r="26" spans="1:20" ht="16.7" customHeight="1" x14ac:dyDescent="0.2">
      <c r="A26" s="2634">
        <v>15</v>
      </c>
      <c r="B26" s="2512" t="s">
        <v>107</v>
      </c>
      <c r="C26" s="2645">
        <f>SUMIFS($G26:$XFD26,$G$11:$XFD$11,$C$11)</f>
        <v>0</v>
      </c>
      <c r="D26" s="2582"/>
      <c r="E26" s="2479"/>
      <c r="G26" s="2579"/>
      <c r="H26" s="2715" t="s">
        <v>5984</v>
      </c>
      <c r="I26" s="2482"/>
      <c r="J26" s="2482"/>
      <c r="K26" s="2482"/>
      <c r="L26" s="2482"/>
      <c r="M26" s="2482"/>
      <c r="N26" s="2482"/>
      <c r="O26" s="2482"/>
      <c r="P26" s="2482"/>
      <c r="Q26" s="2482"/>
      <c r="R26" s="2482"/>
      <c r="S26" s="2482"/>
      <c r="T26" s="2482"/>
    </row>
    <row r="27" spans="1:20" ht="16.7" customHeight="1" x14ac:dyDescent="0.2">
      <c r="A27" s="2634">
        <v>16</v>
      </c>
      <c r="B27" s="2669" t="s">
        <v>7654</v>
      </c>
      <c r="C27" s="2736">
        <f>SUM(C22:C26)</f>
        <v>0</v>
      </c>
      <c r="D27" s="2737">
        <f>SUM(D22:D26)</f>
        <v>0</v>
      </c>
      <c r="E27" s="2479"/>
      <c r="G27" s="2579"/>
      <c r="H27" s="2715" t="s">
        <v>5986</v>
      </c>
      <c r="I27" s="2482"/>
      <c r="J27" s="2482"/>
      <c r="K27" s="2482"/>
      <c r="L27" s="2482"/>
      <c r="M27" s="2482"/>
      <c r="N27" s="2482"/>
      <c r="O27" s="2482"/>
      <c r="P27" s="2482"/>
      <c r="Q27" s="2482"/>
      <c r="R27" s="2482"/>
      <c r="S27" s="2482"/>
      <c r="T27" s="2482"/>
    </row>
    <row r="28" spans="1:20" ht="16.7" customHeight="1" x14ac:dyDescent="0.2">
      <c r="A28" s="2634">
        <v>17</v>
      </c>
      <c r="B28" s="2512" t="s">
        <v>6499</v>
      </c>
      <c r="C28" s="2645">
        <f>SUMIFS($G28:$XFD28,$G$11:$XFD$11,$C$11)</f>
        <v>0</v>
      </c>
      <c r="D28" s="2582"/>
      <c r="E28" s="2479" t="str">
        <f>B28</f>
        <v>Other (Specify)</v>
      </c>
      <c r="G28" s="2579"/>
      <c r="H28" s="2715" t="s">
        <v>5988</v>
      </c>
      <c r="I28" s="2482"/>
      <c r="J28" s="2482"/>
      <c r="K28" s="2482"/>
      <c r="L28" s="2482"/>
      <c r="M28" s="2482"/>
      <c r="N28" s="2482"/>
      <c r="O28" s="2482"/>
      <c r="P28" s="2482"/>
      <c r="Q28" s="2482"/>
      <c r="R28" s="2482"/>
      <c r="S28" s="2482"/>
      <c r="T28" s="2482"/>
    </row>
    <row r="29" spans="1:20" ht="16.7" customHeight="1" x14ac:dyDescent="0.2">
      <c r="A29" s="2634">
        <v>18</v>
      </c>
      <c r="B29" s="2669" t="s">
        <v>7655</v>
      </c>
      <c r="C29" s="2736">
        <f>SUM(C20,C27,C28)</f>
        <v>695784538</v>
      </c>
      <c r="D29" s="2737">
        <f>SUM(D20,D27,D28)</f>
        <v>928229377</v>
      </c>
      <c r="E29" s="2479"/>
      <c r="G29" s="2579"/>
      <c r="H29" s="2715" t="s">
        <v>5990</v>
      </c>
      <c r="I29" s="2795">
        <v>777003313</v>
      </c>
      <c r="J29" s="2482"/>
      <c r="K29" s="2482"/>
      <c r="L29" s="2482"/>
      <c r="M29" s="2482"/>
      <c r="N29" s="2482"/>
      <c r="O29" s="2482"/>
      <c r="P29" s="2482"/>
      <c r="Q29" s="2482"/>
      <c r="R29" s="2482"/>
      <c r="S29" s="2482"/>
      <c r="T29" s="2482"/>
    </row>
    <row r="30" spans="1:20" ht="14.1" customHeight="1" x14ac:dyDescent="0.2">
      <c r="A30" s="2516"/>
      <c r="B30" s="2516"/>
      <c r="C30" s="2516"/>
      <c r="D30" s="2516"/>
      <c r="G30" s="2579"/>
      <c r="H30" s="2482"/>
      <c r="I30" s="2482"/>
      <c r="J30" s="2482"/>
      <c r="K30" s="2482"/>
      <c r="L30" s="2482"/>
      <c r="M30" s="2482"/>
      <c r="N30" s="2482"/>
      <c r="O30" s="2482"/>
      <c r="P30" s="2482"/>
      <c r="Q30" s="2482"/>
      <c r="R30" s="2482"/>
      <c r="S30" s="2482"/>
      <c r="T30" s="2482"/>
    </row>
    <row r="31" spans="1:20" ht="15" customHeight="1" x14ac:dyDescent="0.2">
      <c r="G31" s="2579"/>
      <c r="H31" s="2482"/>
      <c r="I31" s="2482"/>
      <c r="J31" s="2482"/>
      <c r="K31" s="2482"/>
      <c r="L31" s="2482"/>
      <c r="M31" s="2482"/>
      <c r="N31" s="2482"/>
      <c r="O31" s="2482"/>
      <c r="P31" s="2482"/>
      <c r="Q31" s="2482"/>
      <c r="R31" s="2482"/>
      <c r="S31" s="2482"/>
      <c r="T31" s="2482"/>
    </row>
    <row r="32" spans="1:20" ht="16.7" customHeight="1" x14ac:dyDescent="0.2">
      <c r="G32" s="2579"/>
      <c r="H32" s="2482"/>
      <c r="I32" s="2482"/>
      <c r="J32" s="2482"/>
      <c r="K32" s="2482"/>
      <c r="L32" s="2482"/>
      <c r="M32" s="2482"/>
      <c r="N32" s="2482"/>
      <c r="O32" s="2482"/>
      <c r="P32" s="2482"/>
      <c r="Q32" s="2482"/>
      <c r="R32" s="2482"/>
      <c r="S32" s="2482"/>
      <c r="T32" s="2482"/>
    </row>
    <row r="33" spans="7:20" ht="16.7" customHeight="1" x14ac:dyDescent="0.2">
      <c r="G33" s="2579"/>
      <c r="H33" s="2482"/>
      <c r="I33" s="2482"/>
      <c r="J33" s="2482"/>
      <c r="K33" s="2482"/>
      <c r="L33" s="2482"/>
      <c r="M33" s="2482"/>
      <c r="N33" s="2482"/>
      <c r="O33" s="2482"/>
      <c r="P33" s="2482"/>
      <c r="Q33" s="2482"/>
      <c r="R33" s="2482"/>
      <c r="S33" s="2482"/>
      <c r="T33" s="2482"/>
    </row>
    <row r="34" spans="7:20" ht="16.7" customHeight="1" x14ac:dyDescent="0.2">
      <c r="G34" s="2579"/>
      <c r="H34" s="2482"/>
      <c r="I34" s="2482"/>
      <c r="J34" s="2482"/>
      <c r="K34" s="2482"/>
      <c r="L34" s="2482"/>
      <c r="M34" s="2482"/>
      <c r="N34" s="2482"/>
      <c r="O34" s="2482"/>
      <c r="P34" s="2482"/>
      <c r="Q34" s="2482"/>
      <c r="R34" s="2482"/>
      <c r="S34" s="2482"/>
      <c r="T34" s="2482"/>
    </row>
    <row r="35" spans="7:20" ht="16.7" customHeight="1" x14ac:dyDescent="0.2">
      <c r="G35" s="2579"/>
      <c r="H35" s="2482"/>
      <c r="I35" s="2482"/>
      <c r="J35" s="2482"/>
      <c r="K35" s="2482"/>
      <c r="L35" s="2482"/>
      <c r="M35" s="2482"/>
      <c r="N35" s="2482"/>
      <c r="O35" s="2482"/>
      <c r="P35" s="2482"/>
      <c r="Q35" s="2482"/>
      <c r="R35" s="2482"/>
      <c r="S35" s="2482"/>
      <c r="T35" s="2482"/>
    </row>
    <row r="36" spans="7:20" ht="16.7" customHeight="1" x14ac:dyDescent="0.2">
      <c r="G36" s="2579"/>
      <c r="H36" s="2482"/>
      <c r="I36" s="2482"/>
      <c r="J36" s="2482"/>
      <c r="K36" s="2482"/>
      <c r="L36" s="2482"/>
      <c r="M36" s="2482"/>
      <c r="N36" s="2482"/>
      <c r="O36" s="2482"/>
      <c r="P36" s="2482"/>
      <c r="Q36" s="2482"/>
      <c r="R36" s="2482"/>
      <c r="S36" s="2482"/>
      <c r="T36" s="2482"/>
    </row>
    <row r="37" spans="7:20" ht="16.7" customHeight="1" x14ac:dyDescent="0.2">
      <c r="G37" s="2579"/>
      <c r="H37" s="2482"/>
      <c r="I37" s="2482"/>
      <c r="J37" s="2482"/>
      <c r="K37" s="2482"/>
      <c r="L37" s="2482"/>
      <c r="M37" s="2482"/>
      <c r="N37" s="2482"/>
      <c r="O37" s="2482"/>
      <c r="P37" s="2482"/>
      <c r="Q37" s="2482"/>
      <c r="R37" s="2482"/>
      <c r="S37" s="2482"/>
      <c r="T37" s="2482"/>
    </row>
    <row r="38" spans="7:20" ht="16.7" customHeight="1" x14ac:dyDescent="0.2">
      <c r="G38" s="2579"/>
      <c r="H38" s="2482"/>
      <c r="I38" s="2482"/>
      <c r="J38" s="2482"/>
      <c r="K38" s="2482"/>
      <c r="L38" s="2482"/>
      <c r="M38" s="2482"/>
      <c r="N38" s="2482"/>
      <c r="O38" s="2482"/>
      <c r="P38" s="2482"/>
      <c r="Q38" s="2482"/>
      <c r="R38" s="2482"/>
      <c r="S38" s="2482"/>
      <c r="T38" s="2482"/>
    </row>
    <row r="39" spans="7:20" ht="16.7" customHeight="1" x14ac:dyDescent="0.2">
      <c r="G39" s="2579"/>
      <c r="H39" s="2482"/>
      <c r="I39" s="2482"/>
      <c r="J39" s="2482"/>
      <c r="K39" s="2482"/>
      <c r="L39" s="2482"/>
      <c r="M39" s="2482"/>
      <c r="N39" s="2482"/>
      <c r="O39" s="2482"/>
      <c r="P39" s="2482"/>
      <c r="Q39" s="2482"/>
      <c r="R39" s="2482"/>
      <c r="S39" s="2482"/>
      <c r="T39" s="2482"/>
    </row>
    <row r="40" spans="7:20" ht="16.7" customHeight="1" x14ac:dyDescent="0.2">
      <c r="G40" s="2579"/>
      <c r="H40" s="2482"/>
      <c r="I40" s="2482"/>
      <c r="J40" s="2482"/>
      <c r="K40" s="2482"/>
      <c r="L40" s="2482"/>
      <c r="M40" s="2482"/>
      <c r="N40" s="2482"/>
      <c r="O40" s="2482"/>
      <c r="P40" s="2482"/>
      <c r="Q40" s="2482"/>
      <c r="R40" s="2482"/>
      <c r="S40" s="2482"/>
      <c r="T40" s="2482"/>
    </row>
    <row r="41" spans="7:20" ht="16.7" customHeight="1" x14ac:dyDescent="0.2">
      <c r="G41" s="2579"/>
      <c r="H41" s="2482"/>
      <c r="I41" s="2482"/>
      <c r="J41" s="2482"/>
      <c r="K41" s="2482"/>
      <c r="L41" s="2482"/>
      <c r="M41" s="2482"/>
      <c r="N41" s="2482"/>
      <c r="O41" s="2482"/>
      <c r="P41" s="2482"/>
      <c r="Q41" s="2482"/>
      <c r="R41" s="2482"/>
      <c r="S41" s="2482"/>
      <c r="T41" s="2482"/>
    </row>
    <row r="42" spans="7:20" ht="16.7" customHeight="1" x14ac:dyDescent="0.2">
      <c r="G42" s="2579"/>
      <c r="H42" s="2482"/>
      <c r="I42" s="2482"/>
      <c r="J42" s="2482"/>
      <c r="K42" s="2482"/>
      <c r="L42" s="2482"/>
      <c r="M42" s="2482"/>
      <c r="N42" s="2482"/>
      <c r="O42" s="2482"/>
      <c r="P42" s="2482"/>
      <c r="Q42" s="2482"/>
      <c r="R42" s="2482"/>
      <c r="S42" s="2482"/>
      <c r="T42" s="2482"/>
    </row>
    <row r="43" spans="7:20" ht="16.7" customHeight="1" x14ac:dyDescent="0.2">
      <c r="G43" s="2579"/>
      <c r="H43" s="2482"/>
      <c r="I43" s="2482"/>
      <c r="J43" s="2482"/>
      <c r="K43" s="2482"/>
      <c r="L43" s="2482"/>
      <c r="M43" s="2482"/>
      <c r="N43" s="2482"/>
      <c r="O43" s="2482"/>
      <c r="P43" s="2482"/>
      <c r="Q43" s="2482"/>
      <c r="R43" s="2482"/>
      <c r="S43" s="2482"/>
      <c r="T43" s="2482"/>
    </row>
    <row r="44" spans="7:20" ht="16.7" customHeight="1" x14ac:dyDescent="0.2">
      <c r="G44" s="2579"/>
      <c r="H44" s="2482"/>
      <c r="I44" s="2482"/>
      <c r="J44" s="2482"/>
      <c r="K44" s="2482"/>
      <c r="L44" s="2482"/>
      <c r="M44" s="2482"/>
      <c r="N44" s="2482"/>
      <c r="O44" s="2482"/>
      <c r="P44" s="2482"/>
      <c r="Q44" s="2482"/>
      <c r="R44" s="2482"/>
      <c r="S44" s="2482"/>
      <c r="T44" s="2482"/>
    </row>
    <row r="45" spans="7:20" ht="16.7" customHeight="1" x14ac:dyDescent="0.2">
      <c r="G45" s="2579"/>
      <c r="H45" s="2482"/>
      <c r="I45" s="2482"/>
      <c r="J45" s="2482"/>
      <c r="K45" s="2482"/>
      <c r="L45" s="2482"/>
      <c r="M45" s="2482"/>
      <c r="N45" s="2482"/>
      <c r="O45" s="2482"/>
      <c r="P45" s="2482"/>
      <c r="Q45" s="2482"/>
      <c r="R45" s="2482"/>
      <c r="S45" s="2482"/>
      <c r="T45" s="2482"/>
    </row>
    <row r="46" spans="7:20" ht="16.7" customHeight="1" x14ac:dyDescent="0.2">
      <c r="G46" s="2579"/>
      <c r="H46" s="2482"/>
      <c r="I46" s="2482"/>
      <c r="J46" s="2482"/>
      <c r="K46" s="2482"/>
      <c r="L46" s="2482"/>
      <c r="M46" s="2482"/>
      <c r="N46" s="2482"/>
      <c r="O46" s="2482"/>
      <c r="P46" s="2482"/>
      <c r="Q46" s="2482"/>
      <c r="R46" s="2482"/>
      <c r="S46" s="2482"/>
      <c r="T46" s="2482"/>
    </row>
    <row r="47" spans="7:20" ht="16.7" customHeight="1" x14ac:dyDescent="0.2">
      <c r="G47" s="2579"/>
      <c r="H47" s="2482"/>
      <c r="I47" s="2482"/>
      <c r="J47" s="2482"/>
      <c r="K47" s="2482"/>
      <c r="L47" s="2482"/>
      <c r="M47" s="2482"/>
      <c r="N47" s="2482"/>
      <c r="O47" s="2482"/>
      <c r="P47" s="2482"/>
      <c r="Q47" s="2482"/>
      <c r="R47" s="2482"/>
      <c r="S47" s="2482"/>
      <c r="T47" s="2482"/>
    </row>
    <row r="48" spans="7:20" ht="16.7" customHeight="1" x14ac:dyDescent="0.2">
      <c r="G48" s="2579"/>
      <c r="H48" s="2482"/>
      <c r="I48" s="2482"/>
      <c r="J48" s="2482"/>
      <c r="K48" s="2482"/>
      <c r="L48" s="2482"/>
      <c r="M48" s="2482"/>
      <c r="N48" s="2482"/>
      <c r="O48" s="2482"/>
      <c r="P48" s="2482"/>
      <c r="Q48" s="2482"/>
      <c r="R48" s="2482"/>
      <c r="S48" s="2482"/>
      <c r="T48" s="2482"/>
    </row>
    <row r="49" spans="7:20" ht="16.7" customHeight="1" x14ac:dyDescent="0.2">
      <c r="G49" s="2579"/>
      <c r="H49" s="2482"/>
      <c r="I49" s="2482"/>
      <c r="J49" s="2482"/>
      <c r="K49" s="2482"/>
      <c r="L49" s="2482"/>
      <c r="M49" s="2482"/>
      <c r="N49" s="2482"/>
      <c r="O49" s="2482"/>
      <c r="P49" s="2482"/>
      <c r="Q49" s="2482"/>
      <c r="R49" s="2482"/>
      <c r="S49" s="2482"/>
      <c r="T49" s="2482"/>
    </row>
    <row r="50" spans="7:20" ht="16.7" customHeight="1" x14ac:dyDescent="0.2">
      <c r="G50" s="2579"/>
      <c r="H50" s="2482"/>
      <c r="I50" s="2482"/>
      <c r="J50" s="2482"/>
      <c r="K50" s="2482"/>
      <c r="L50" s="2482"/>
      <c r="M50" s="2482"/>
      <c r="N50" s="2482"/>
      <c r="O50" s="2482"/>
      <c r="P50" s="2482"/>
      <c r="Q50" s="2482"/>
      <c r="R50" s="2482"/>
      <c r="S50" s="2482"/>
      <c r="T50" s="2482"/>
    </row>
    <row r="51" spans="7:20" ht="16.7" customHeight="1" x14ac:dyDescent="0.2">
      <c r="G51" s="2579"/>
      <c r="H51" s="2482"/>
      <c r="I51" s="2482"/>
      <c r="J51" s="2482"/>
      <c r="K51" s="2482"/>
      <c r="L51" s="2482"/>
      <c r="M51" s="2482"/>
      <c r="N51" s="2482"/>
      <c r="O51" s="2482"/>
      <c r="P51" s="2482"/>
      <c r="Q51" s="2482"/>
      <c r="R51" s="2482"/>
      <c r="S51" s="2482"/>
      <c r="T51" s="2482"/>
    </row>
    <row r="52" spans="7:20" ht="16.7" customHeight="1" x14ac:dyDescent="0.2">
      <c r="G52" s="2579"/>
      <c r="H52" s="2482"/>
      <c r="I52" s="2482"/>
      <c r="J52" s="2482"/>
      <c r="K52" s="2482"/>
      <c r="L52" s="2482"/>
      <c r="M52" s="2482"/>
      <c r="N52" s="2482"/>
      <c r="O52" s="2482"/>
      <c r="P52" s="2482"/>
      <c r="Q52" s="2482"/>
      <c r="R52" s="2482"/>
      <c r="S52" s="2482"/>
      <c r="T52" s="2482"/>
    </row>
    <row r="53" spans="7:20" ht="16.7" customHeight="1" x14ac:dyDescent="0.2">
      <c r="G53" s="2579"/>
      <c r="H53" s="2482"/>
      <c r="I53" s="2482"/>
      <c r="J53" s="2482"/>
      <c r="K53" s="2482"/>
      <c r="L53" s="2482"/>
      <c r="M53" s="2482"/>
      <c r="N53" s="2482"/>
      <c r="O53" s="2482"/>
      <c r="P53" s="2482"/>
      <c r="Q53" s="2482"/>
      <c r="R53" s="2482"/>
      <c r="S53" s="2482"/>
      <c r="T53" s="2482"/>
    </row>
    <row r="54" spans="7:20" ht="16.7" customHeight="1" x14ac:dyDescent="0.2">
      <c r="G54" s="2579"/>
      <c r="H54" s="2482"/>
      <c r="I54" s="2482"/>
      <c r="J54" s="2482"/>
      <c r="K54" s="2482"/>
      <c r="L54" s="2482"/>
      <c r="M54" s="2482"/>
      <c r="N54" s="2482"/>
      <c r="O54" s="2482"/>
      <c r="P54" s="2482"/>
      <c r="Q54" s="2482"/>
      <c r="R54" s="2482"/>
      <c r="S54" s="2482"/>
      <c r="T54" s="2482"/>
    </row>
    <row r="55" spans="7:20" ht="16.7" customHeight="1" x14ac:dyDescent="0.2">
      <c r="G55" s="2579"/>
      <c r="H55" s="2482"/>
      <c r="I55" s="2482"/>
      <c r="J55" s="2482"/>
      <c r="K55" s="2482"/>
      <c r="L55" s="2482"/>
      <c r="M55" s="2482"/>
      <c r="N55" s="2482"/>
      <c r="O55" s="2482"/>
      <c r="P55" s="2482"/>
      <c r="Q55" s="2482"/>
      <c r="R55" s="2482"/>
      <c r="S55" s="2482"/>
      <c r="T55" s="2482"/>
    </row>
    <row r="56" spans="7:20" ht="16.7" customHeight="1" x14ac:dyDescent="0.2">
      <c r="G56" s="2579"/>
      <c r="H56" s="2482"/>
      <c r="I56" s="2482"/>
      <c r="J56" s="2482"/>
      <c r="K56" s="2482"/>
      <c r="L56" s="2482"/>
      <c r="M56" s="2482"/>
      <c r="N56" s="2482"/>
      <c r="O56" s="2482"/>
      <c r="P56" s="2482"/>
      <c r="Q56" s="2482"/>
      <c r="R56" s="2482"/>
      <c r="S56" s="2482"/>
      <c r="T56" s="2482"/>
    </row>
    <row r="57" spans="7:20" ht="16.7" customHeight="1" x14ac:dyDescent="0.2">
      <c r="G57" s="2579"/>
      <c r="H57" s="2482"/>
      <c r="I57" s="2482"/>
      <c r="J57" s="2482"/>
      <c r="K57" s="2482"/>
      <c r="L57" s="2482"/>
      <c r="M57" s="2482"/>
      <c r="N57" s="2482"/>
      <c r="O57" s="2482"/>
      <c r="P57" s="2482"/>
      <c r="Q57" s="2482"/>
      <c r="R57" s="2482"/>
      <c r="S57" s="2482"/>
      <c r="T57" s="2482"/>
    </row>
    <row r="58" spans="7:20" ht="16.7" customHeight="1" x14ac:dyDescent="0.2">
      <c r="G58" s="2579"/>
      <c r="H58" s="2482"/>
      <c r="I58" s="2482"/>
      <c r="J58" s="2482"/>
      <c r="K58" s="2482"/>
      <c r="L58" s="2482"/>
      <c r="M58" s="2482"/>
      <c r="N58" s="2482"/>
      <c r="O58" s="2482"/>
      <c r="P58" s="2482"/>
      <c r="Q58" s="2482"/>
      <c r="R58" s="2482"/>
      <c r="S58" s="2482"/>
      <c r="T58" s="2482"/>
    </row>
    <row r="59" spans="7:20" ht="16.7" customHeight="1" x14ac:dyDescent="0.2">
      <c r="G59" s="2579"/>
      <c r="H59" s="2482"/>
      <c r="I59" s="2482"/>
      <c r="J59" s="2482"/>
      <c r="K59" s="2482"/>
      <c r="L59" s="2482"/>
      <c r="M59" s="2482"/>
      <c r="N59" s="2482"/>
      <c r="O59" s="2482"/>
      <c r="P59" s="2482"/>
      <c r="Q59" s="2482"/>
      <c r="R59" s="2482"/>
      <c r="S59" s="2482"/>
      <c r="T59" s="2482"/>
    </row>
    <row r="60" spans="7:20" ht="16.7" customHeight="1" x14ac:dyDescent="0.2">
      <c r="G60" s="2579"/>
      <c r="H60" s="2482"/>
      <c r="I60" s="2482"/>
      <c r="J60" s="2482"/>
      <c r="K60" s="2482"/>
      <c r="L60" s="2482"/>
      <c r="M60" s="2482"/>
      <c r="N60" s="2482"/>
      <c r="O60" s="2482"/>
      <c r="P60" s="2482"/>
      <c r="Q60" s="2482"/>
      <c r="R60" s="2482"/>
      <c r="S60" s="2482"/>
      <c r="T60" s="2482"/>
    </row>
    <row r="61" spans="7:20" ht="16.7" customHeight="1" x14ac:dyDescent="0.2">
      <c r="G61" s="2579"/>
      <c r="H61" s="2482"/>
      <c r="I61" s="2482"/>
      <c r="J61" s="2482"/>
      <c r="K61" s="2482"/>
      <c r="L61" s="2482"/>
      <c r="M61" s="2482"/>
      <c r="N61" s="2482"/>
      <c r="O61" s="2482"/>
      <c r="P61" s="2482"/>
      <c r="Q61" s="2482"/>
      <c r="R61" s="2482"/>
      <c r="S61" s="2482"/>
      <c r="T61" s="2482"/>
    </row>
    <row r="62" spans="7:20" ht="16.7" customHeight="1" x14ac:dyDescent="0.2">
      <c r="G62" s="2579"/>
      <c r="H62" s="2482"/>
      <c r="I62" s="2482"/>
      <c r="J62" s="2482"/>
      <c r="K62" s="2482"/>
      <c r="L62" s="2482"/>
      <c r="M62" s="2482"/>
      <c r="N62" s="2482"/>
      <c r="O62" s="2482"/>
      <c r="P62" s="2482"/>
      <c r="Q62" s="2482"/>
      <c r="R62" s="2482"/>
      <c r="S62" s="2482"/>
      <c r="T62" s="2482"/>
    </row>
    <row r="63" spans="7:20" ht="16.7" customHeight="1" x14ac:dyDescent="0.2">
      <c r="G63" s="2579"/>
      <c r="H63" s="2482"/>
      <c r="I63" s="2482"/>
      <c r="J63" s="2482"/>
      <c r="K63" s="2482"/>
      <c r="L63" s="2482"/>
      <c r="M63" s="2482"/>
      <c r="N63" s="2482"/>
      <c r="O63" s="2482"/>
      <c r="P63" s="2482"/>
      <c r="Q63" s="2482"/>
      <c r="R63" s="2482"/>
      <c r="S63" s="2482"/>
      <c r="T63" s="2482"/>
    </row>
    <row r="64" spans="7:20" ht="16.7" customHeight="1" x14ac:dyDescent="0.2">
      <c r="G64" s="2579"/>
      <c r="H64" s="2482"/>
      <c r="I64" s="2482"/>
      <c r="J64" s="2482"/>
      <c r="K64" s="2482"/>
      <c r="L64" s="2482"/>
      <c r="M64" s="2482"/>
      <c r="N64" s="2482"/>
      <c r="O64" s="2482"/>
      <c r="P64" s="2482"/>
      <c r="Q64" s="2482"/>
      <c r="R64" s="2482"/>
      <c r="S64" s="2482"/>
      <c r="T64" s="2482"/>
    </row>
    <row r="65" spans="7:20" ht="16.7" customHeight="1" x14ac:dyDescent="0.2">
      <c r="G65" s="2579"/>
      <c r="H65" s="2482"/>
      <c r="I65" s="2482"/>
      <c r="J65" s="2482"/>
      <c r="K65" s="2482"/>
      <c r="L65" s="2482"/>
      <c r="M65" s="2482"/>
      <c r="N65" s="2482"/>
      <c r="O65" s="2482"/>
      <c r="P65" s="2482"/>
      <c r="Q65" s="2482"/>
      <c r="R65" s="2482"/>
      <c r="S65" s="2482"/>
      <c r="T65" s="2482"/>
    </row>
    <row r="66" spans="7:20" ht="16.7" customHeight="1" x14ac:dyDescent="0.2">
      <c r="G66" s="2579"/>
      <c r="H66" s="2482"/>
      <c r="I66" s="2482"/>
      <c r="J66" s="2482"/>
      <c r="K66" s="2482"/>
      <c r="L66" s="2482"/>
      <c r="M66" s="2482"/>
      <c r="N66" s="2482"/>
      <c r="O66" s="2482"/>
      <c r="P66" s="2482"/>
      <c r="Q66" s="2482"/>
      <c r="R66" s="2482"/>
      <c r="S66" s="2482"/>
      <c r="T66" s="2482"/>
    </row>
    <row r="67" spans="7:20" ht="16.7" customHeight="1" x14ac:dyDescent="0.2">
      <c r="G67" s="2579"/>
      <c r="H67" s="2482"/>
      <c r="I67" s="2482"/>
      <c r="J67" s="2482"/>
      <c r="K67" s="2482"/>
      <c r="L67" s="2482"/>
      <c r="M67" s="2482"/>
      <c r="N67" s="2482"/>
      <c r="O67" s="2482"/>
      <c r="P67" s="2482"/>
      <c r="Q67" s="2482"/>
      <c r="R67" s="2482"/>
      <c r="S67" s="2482"/>
      <c r="T67" s="2482"/>
    </row>
    <row r="68" spans="7:20" ht="16.7" customHeight="1" x14ac:dyDescent="0.2">
      <c r="G68" s="2579"/>
      <c r="H68" s="2482"/>
      <c r="I68" s="2482"/>
      <c r="J68" s="2482"/>
      <c r="K68" s="2482"/>
      <c r="L68" s="2482"/>
      <c r="M68" s="2482"/>
      <c r="N68" s="2482"/>
      <c r="O68" s="2482"/>
      <c r="P68" s="2482"/>
      <c r="Q68" s="2482"/>
      <c r="R68" s="2482"/>
      <c r="S68" s="2482"/>
      <c r="T68" s="2482"/>
    </row>
    <row r="69" spans="7:20" ht="16.7" customHeight="1" x14ac:dyDescent="0.2">
      <c r="G69" s="2579"/>
      <c r="H69" s="2482"/>
      <c r="I69" s="2482"/>
      <c r="J69" s="2482"/>
      <c r="K69" s="2482"/>
      <c r="L69" s="2482"/>
      <c r="M69" s="2482"/>
      <c r="N69" s="2482"/>
      <c r="O69" s="2482"/>
      <c r="P69" s="2482"/>
      <c r="Q69" s="2482"/>
      <c r="R69" s="2482"/>
      <c r="S69" s="2482"/>
      <c r="T69" s="2482"/>
    </row>
    <row r="70" spans="7:20" ht="16.7" customHeight="1" x14ac:dyDescent="0.2">
      <c r="G70" s="2579"/>
      <c r="H70" s="2482"/>
      <c r="I70" s="2482"/>
      <c r="J70" s="2482"/>
      <c r="K70" s="2482"/>
      <c r="L70" s="2482"/>
      <c r="M70" s="2482"/>
      <c r="N70" s="2482"/>
      <c r="O70" s="2482"/>
      <c r="P70" s="2482"/>
      <c r="Q70" s="2482"/>
      <c r="R70" s="2482"/>
      <c r="S70" s="2482"/>
      <c r="T70" s="2482"/>
    </row>
    <row r="71" spans="7:20" ht="16.7" customHeight="1" x14ac:dyDescent="0.2">
      <c r="G71" s="2579"/>
      <c r="H71" s="2482"/>
      <c r="I71" s="2482"/>
      <c r="J71" s="2482"/>
      <c r="K71" s="2482"/>
      <c r="L71" s="2482"/>
      <c r="M71" s="2482"/>
      <c r="N71" s="2482"/>
      <c r="O71" s="2482"/>
      <c r="P71" s="2482"/>
      <c r="Q71" s="2482"/>
      <c r="R71" s="2482"/>
      <c r="S71" s="2482"/>
      <c r="T71" s="2482"/>
    </row>
    <row r="72" spans="7:20" ht="16.7" customHeight="1" x14ac:dyDescent="0.2">
      <c r="G72" s="2579"/>
      <c r="H72" s="2482"/>
      <c r="I72" s="2482"/>
      <c r="J72" s="2482"/>
      <c r="K72" s="2482"/>
      <c r="L72" s="2482"/>
      <c r="M72" s="2482"/>
      <c r="N72" s="2482"/>
      <c r="O72" s="2482"/>
      <c r="P72" s="2482"/>
      <c r="Q72" s="2482"/>
      <c r="R72" s="2482"/>
      <c r="S72" s="2482"/>
      <c r="T72" s="2482"/>
    </row>
    <row r="73" spans="7:20" ht="16.7" customHeight="1" x14ac:dyDescent="0.2">
      <c r="G73" s="2579"/>
      <c r="H73" s="2482"/>
      <c r="I73" s="2482"/>
      <c r="J73" s="2482"/>
      <c r="K73" s="2482"/>
      <c r="L73" s="2482"/>
      <c r="M73" s="2482"/>
      <c r="N73" s="2482"/>
      <c r="O73" s="2482"/>
      <c r="P73" s="2482"/>
      <c r="Q73" s="2482"/>
      <c r="R73" s="2482"/>
      <c r="S73" s="2482"/>
      <c r="T73" s="2482"/>
    </row>
    <row r="74" spans="7:20" ht="16.7" customHeight="1" x14ac:dyDescent="0.2">
      <c r="G74" s="2579"/>
      <c r="H74" s="2482"/>
      <c r="I74" s="2482"/>
      <c r="J74" s="2482"/>
      <c r="K74" s="2482"/>
      <c r="L74" s="2482"/>
      <c r="M74" s="2482"/>
      <c r="N74" s="2482"/>
      <c r="O74" s="2482"/>
      <c r="P74" s="2482"/>
      <c r="Q74" s="2482"/>
      <c r="R74" s="2482"/>
      <c r="S74" s="2482"/>
      <c r="T74" s="2482"/>
    </row>
    <row r="75" spans="7:20" ht="16.7" customHeight="1" x14ac:dyDescent="0.2">
      <c r="G75" s="2579"/>
      <c r="H75" s="2482"/>
      <c r="I75" s="2482"/>
      <c r="J75" s="2482"/>
      <c r="K75" s="2482"/>
      <c r="L75" s="2482"/>
      <c r="M75" s="2482"/>
      <c r="N75" s="2482"/>
      <c r="O75" s="2482"/>
      <c r="P75" s="2482"/>
      <c r="Q75" s="2482"/>
      <c r="R75" s="2482"/>
      <c r="S75" s="2482"/>
      <c r="T75" s="2482"/>
    </row>
    <row r="76" spans="7:20" ht="16.7" customHeight="1" x14ac:dyDescent="0.2">
      <c r="G76" s="2579"/>
      <c r="H76" s="2482"/>
      <c r="I76" s="2482"/>
      <c r="J76" s="2482"/>
      <c r="K76" s="2482"/>
      <c r="L76" s="2482"/>
      <c r="M76" s="2482"/>
      <c r="N76" s="2482"/>
      <c r="O76" s="2482"/>
      <c r="P76" s="2482"/>
      <c r="Q76" s="2482"/>
      <c r="R76" s="2482"/>
      <c r="S76" s="2482"/>
      <c r="T76" s="2482"/>
    </row>
    <row r="77" spans="7:20" ht="16.7" customHeight="1" x14ac:dyDescent="0.2">
      <c r="G77" s="2579"/>
      <c r="H77" s="2482"/>
      <c r="I77" s="2482"/>
      <c r="J77" s="2482"/>
      <c r="K77" s="2482"/>
      <c r="L77" s="2482"/>
      <c r="M77" s="2482"/>
      <c r="N77" s="2482"/>
      <c r="O77" s="2482"/>
      <c r="P77" s="2482"/>
      <c r="Q77" s="2482"/>
      <c r="R77" s="2482"/>
      <c r="S77" s="2482"/>
      <c r="T77" s="2482"/>
    </row>
    <row r="78" spans="7:20" ht="16.7" customHeight="1" x14ac:dyDescent="0.2">
      <c r="G78" s="2579"/>
      <c r="H78" s="2482"/>
      <c r="I78" s="2482"/>
      <c r="J78" s="2482"/>
      <c r="K78" s="2482"/>
      <c r="L78" s="2482"/>
      <c r="M78" s="2482"/>
      <c r="N78" s="2482"/>
      <c r="O78" s="2482"/>
      <c r="P78" s="2482"/>
      <c r="Q78" s="2482"/>
      <c r="R78" s="2482"/>
      <c r="S78" s="2482"/>
      <c r="T78" s="2482"/>
    </row>
    <row r="79" spans="7:20" ht="16.7" customHeight="1" x14ac:dyDescent="0.2">
      <c r="G79" s="2579"/>
      <c r="H79" s="2482"/>
      <c r="I79" s="2482"/>
      <c r="J79" s="2482"/>
      <c r="K79" s="2482"/>
      <c r="L79" s="2482"/>
      <c r="M79" s="2482"/>
      <c r="N79" s="2482"/>
      <c r="O79" s="2482"/>
      <c r="P79" s="2482"/>
      <c r="Q79" s="2482"/>
      <c r="R79" s="2482"/>
      <c r="S79" s="2482"/>
      <c r="T79" s="2482"/>
    </row>
    <row r="80" spans="7:20" ht="16.7" customHeight="1" x14ac:dyDescent="0.2">
      <c r="G80" s="2579"/>
      <c r="H80" s="2482"/>
      <c r="I80" s="2482"/>
      <c r="J80" s="2482"/>
      <c r="K80" s="2482"/>
      <c r="L80" s="2482"/>
      <c r="M80" s="2482"/>
      <c r="N80" s="2482"/>
      <c r="O80" s="2482"/>
      <c r="P80" s="2482"/>
      <c r="Q80" s="2482"/>
      <c r="R80" s="2482"/>
      <c r="S80" s="2482"/>
      <c r="T80" s="2482"/>
    </row>
    <row r="81" spans="7:20" ht="16.7" customHeight="1" x14ac:dyDescent="0.2">
      <c r="G81" s="2579"/>
      <c r="H81" s="2482"/>
      <c r="I81" s="2482"/>
      <c r="J81" s="2482"/>
      <c r="K81" s="2482"/>
      <c r="L81" s="2482"/>
      <c r="M81" s="2482"/>
      <c r="N81" s="2482"/>
      <c r="O81" s="2482"/>
      <c r="P81" s="2482"/>
      <c r="Q81" s="2482"/>
      <c r="R81" s="2482"/>
      <c r="S81" s="2482"/>
      <c r="T81" s="2482"/>
    </row>
    <row r="82" spans="7:20" ht="16.7" customHeight="1" x14ac:dyDescent="0.2">
      <c r="G82" s="2579"/>
      <c r="H82" s="2482"/>
      <c r="I82" s="2482"/>
      <c r="J82" s="2482"/>
      <c r="K82" s="2482"/>
      <c r="L82" s="2482"/>
      <c r="M82" s="2482"/>
      <c r="N82" s="2482"/>
      <c r="O82" s="2482"/>
      <c r="P82" s="2482"/>
      <c r="Q82" s="2482"/>
      <c r="R82" s="2482"/>
      <c r="S82" s="2482"/>
      <c r="T82" s="2482"/>
    </row>
    <row r="83" spans="7:20" ht="16.7" customHeight="1" x14ac:dyDescent="0.2">
      <c r="G83" s="2579"/>
      <c r="H83" s="2482"/>
      <c r="I83" s="2482"/>
      <c r="J83" s="2482"/>
      <c r="K83" s="2482"/>
      <c r="L83" s="2482"/>
      <c r="M83" s="2482"/>
      <c r="N83" s="2482"/>
      <c r="O83" s="2482"/>
      <c r="P83" s="2482"/>
      <c r="Q83" s="2482"/>
      <c r="R83" s="2482"/>
      <c r="S83" s="2482"/>
      <c r="T83" s="2482"/>
    </row>
    <row r="84" spans="7:20" ht="16.7" customHeight="1" x14ac:dyDescent="0.2">
      <c r="G84" s="2579"/>
      <c r="H84" s="2482"/>
      <c r="I84" s="2482"/>
      <c r="J84" s="2482"/>
      <c r="K84" s="2482"/>
      <c r="L84" s="2482"/>
      <c r="M84" s="2482"/>
      <c r="N84" s="2482"/>
      <c r="O84" s="2482"/>
      <c r="P84" s="2482"/>
      <c r="Q84" s="2482"/>
      <c r="R84" s="2482"/>
      <c r="S84" s="2482"/>
      <c r="T84" s="2482"/>
    </row>
    <row r="85" spans="7:20" ht="16.7" customHeight="1" x14ac:dyDescent="0.2">
      <c r="G85" s="2579"/>
      <c r="H85" s="2482"/>
      <c r="I85" s="2482"/>
      <c r="J85" s="2482"/>
      <c r="K85" s="2482"/>
      <c r="L85" s="2482"/>
      <c r="M85" s="2482"/>
      <c r="N85" s="2482"/>
      <c r="O85" s="2482"/>
      <c r="P85" s="2482"/>
      <c r="Q85" s="2482"/>
      <c r="R85" s="2482"/>
      <c r="S85" s="2482"/>
      <c r="T85" s="2482"/>
    </row>
    <row r="86" spans="7:20" ht="16.7" customHeight="1" x14ac:dyDescent="0.2">
      <c r="G86" s="2579"/>
      <c r="H86" s="2482"/>
      <c r="I86" s="2482"/>
      <c r="J86" s="2482"/>
      <c r="K86" s="2482"/>
      <c r="L86" s="2482"/>
      <c r="M86" s="2482"/>
      <c r="N86" s="2482"/>
      <c r="O86" s="2482"/>
      <c r="P86" s="2482"/>
      <c r="Q86" s="2482"/>
      <c r="R86" s="2482"/>
      <c r="S86" s="2482"/>
      <c r="T86" s="2482"/>
    </row>
    <row r="87" spans="7:20" ht="16.7" customHeight="1" x14ac:dyDescent="0.2">
      <c r="G87" s="2579"/>
      <c r="H87" s="2482"/>
      <c r="I87" s="2482"/>
      <c r="J87" s="2482"/>
      <c r="K87" s="2482"/>
      <c r="L87" s="2482"/>
      <c r="M87" s="2482"/>
      <c r="N87" s="2482"/>
      <c r="O87" s="2482"/>
      <c r="P87" s="2482"/>
      <c r="Q87" s="2482"/>
      <c r="R87" s="2482"/>
      <c r="S87" s="2482"/>
      <c r="T87" s="2482"/>
    </row>
    <row r="88" spans="7:20" ht="16.7" customHeight="1" x14ac:dyDescent="0.2">
      <c r="G88" s="2579"/>
      <c r="H88" s="2482"/>
      <c r="I88" s="2482"/>
      <c r="J88" s="2482"/>
      <c r="K88" s="2482"/>
      <c r="L88" s="2482"/>
      <c r="M88" s="2482"/>
      <c r="N88" s="2482"/>
      <c r="O88" s="2482"/>
      <c r="P88" s="2482"/>
      <c r="Q88" s="2482"/>
      <c r="R88" s="2482"/>
      <c r="S88" s="2482"/>
      <c r="T88" s="2482"/>
    </row>
    <row r="89" spans="7:20" ht="16.7" customHeight="1" x14ac:dyDescent="0.2">
      <c r="G89" s="2579"/>
      <c r="H89" s="2482"/>
      <c r="I89" s="2482"/>
      <c r="J89" s="2482"/>
      <c r="K89" s="2482"/>
      <c r="L89" s="2482"/>
      <c r="M89" s="2482"/>
      <c r="N89" s="2482"/>
      <c r="O89" s="2482"/>
      <c r="P89" s="2482"/>
      <c r="Q89" s="2482"/>
      <c r="R89" s="2482"/>
      <c r="S89" s="2482"/>
      <c r="T89" s="2482"/>
    </row>
    <row r="90" spans="7:20" ht="16.7" customHeight="1" x14ac:dyDescent="0.2">
      <c r="G90" s="2579"/>
      <c r="H90" s="2482"/>
      <c r="I90" s="2482"/>
      <c r="J90" s="2482"/>
      <c r="K90" s="2482"/>
      <c r="L90" s="2482"/>
      <c r="M90" s="2482"/>
      <c r="N90" s="2482"/>
      <c r="O90" s="2482"/>
      <c r="P90" s="2482"/>
      <c r="Q90" s="2482"/>
      <c r="R90" s="2482"/>
      <c r="S90" s="2482"/>
      <c r="T90" s="2482"/>
    </row>
    <row r="91" spans="7:20" ht="16.7" customHeight="1" x14ac:dyDescent="0.2">
      <c r="G91" s="2579"/>
      <c r="H91" s="2482"/>
      <c r="I91" s="2482"/>
      <c r="J91" s="2482"/>
      <c r="K91" s="2482"/>
      <c r="L91" s="2482"/>
      <c r="M91" s="2482"/>
      <c r="N91" s="2482"/>
      <c r="O91" s="2482"/>
      <c r="P91" s="2482"/>
      <c r="Q91" s="2482"/>
      <c r="R91" s="2482"/>
      <c r="S91" s="2482"/>
      <c r="T91" s="2482"/>
    </row>
    <row r="92" spans="7:20" ht="16.7" customHeight="1" x14ac:dyDescent="0.2">
      <c r="G92" s="2579"/>
      <c r="H92" s="2482"/>
      <c r="I92" s="2482"/>
      <c r="J92" s="2482"/>
      <c r="K92" s="2482"/>
      <c r="L92" s="2482"/>
      <c r="M92" s="2482"/>
      <c r="N92" s="2482"/>
      <c r="O92" s="2482"/>
      <c r="P92" s="2482"/>
      <c r="Q92" s="2482"/>
      <c r="R92" s="2482"/>
      <c r="S92" s="2482"/>
      <c r="T92" s="2482"/>
    </row>
    <row r="93" spans="7:20" ht="16.7" customHeight="1" x14ac:dyDescent="0.2">
      <c r="G93" s="2579"/>
      <c r="H93" s="2482"/>
      <c r="I93" s="2482"/>
      <c r="J93" s="2482"/>
      <c r="K93" s="2482"/>
      <c r="L93" s="2482"/>
      <c r="M93" s="2482"/>
      <c r="N93" s="2482"/>
      <c r="O93" s="2482"/>
      <c r="P93" s="2482"/>
      <c r="Q93" s="2482"/>
      <c r="R93" s="2482"/>
      <c r="S93" s="2482"/>
      <c r="T93" s="2482"/>
    </row>
    <row r="94" spans="7:20" ht="16.7" customHeight="1" x14ac:dyDescent="0.2">
      <c r="G94" s="2579"/>
      <c r="H94" s="2482"/>
      <c r="I94" s="2482"/>
      <c r="J94" s="2482"/>
      <c r="K94" s="2482"/>
      <c r="L94" s="2482"/>
      <c r="M94" s="2482"/>
      <c r="N94" s="2482"/>
      <c r="O94" s="2482"/>
      <c r="P94" s="2482"/>
      <c r="Q94" s="2482"/>
      <c r="R94" s="2482"/>
      <c r="S94" s="2482"/>
      <c r="T94" s="2482"/>
    </row>
    <row r="95" spans="7:20" ht="16.7" customHeight="1" x14ac:dyDescent="0.2">
      <c r="G95" s="2579"/>
      <c r="H95" s="2482"/>
      <c r="I95" s="2482"/>
      <c r="J95" s="2482"/>
      <c r="K95" s="2482"/>
      <c r="L95" s="2482"/>
      <c r="M95" s="2482"/>
      <c r="N95" s="2482"/>
      <c r="O95" s="2482"/>
      <c r="P95" s="2482"/>
      <c r="Q95" s="2482"/>
      <c r="R95" s="2482"/>
      <c r="S95" s="2482"/>
      <c r="T95" s="2482"/>
    </row>
    <row r="96" spans="7:20" ht="16.7" customHeight="1" x14ac:dyDescent="0.2">
      <c r="G96" s="2579"/>
      <c r="H96" s="2482"/>
      <c r="I96" s="2482"/>
      <c r="J96" s="2482"/>
      <c r="K96" s="2482"/>
      <c r="L96" s="2482"/>
      <c r="M96" s="2482"/>
      <c r="N96" s="2482"/>
      <c r="O96" s="2482"/>
      <c r="P96" s="2482"/>
      <c r="Q96" s="2482"/>
      <c r="R96" s="2482"/>
      <c r="S96" s="2482"/>
      <c r="T96" s="2482"/>
    </row>
    <row r="97" spans="7:20" ht="16.7" customHeight="1" x14ac:dyDescent="0.2">
      <c r="G97" s="2579"/>
      <c r="H97" s="2482"/>
      <c r="I97" s="2482"/>
      <c r="J97" s="2482"/>
      <c r="K97" s="2482"/>
      <c r="L97" s="2482"/>
      <c r="M97" s="2482"/>
      <c r="N97" s="2482"/>
      <c r="O97" s="2482"/>
      <c r="P97" s="2482"/>
      <c r="Q97" s="2482"/>
      <c r="R97" s="2482"/>
      <c r="S97" s="2482"/>
      <c r="T97" s="2482"/>
    </row>
    <row r="98" spans="7:20" ht="16.7" customHeight="1" x14ac:dyDescent="0.2">
      <c r="G98" s="2579"/>
      <c r="H98" s="2482"/>
      <c r="I98" s="2482"/>
      <c r="J98" s="2482"/>
      <c r="K98" s="2482"/>
      <c r="L98" s="2482"/>
      <c r="M98" s="2482"/>
      <c r="N98" s="2482"/>
      <c r="O98" s="2482"/>
      <c r="P98" s="2482"/>
      <c r="Q98" s="2482"/>
      <c r="R98" s="2482"/>
      <c r="S98" s="2482"/>
      <c r="T98" s="2482"/>
    </row>
    <row r="99" spans="7:20" ht="16.7" customHeight="1" x14ac:dyDescent="0.2">
      <c r="G99" s="2579"/>
      <c r="H99" s="2482"/>
      <c r="I99" s="2482"/>
      <c r="J99" s="2482"/>
      <c r="K99" s="2482"/>
      <c r="L99" s="2482"/>
      <c r="M99" s="2482"/>
      <c r="N99" s="2482"/>
      <c r="O99" s="2482"/>
      <c r="P99" s="2482"/>
      <c r="Q99" s="2482"/>
      <c r="R99" s="2482"/>
      <c r="S99" s="2482"/>
      <c r="T99" s="2482"/>
    </row>
    <row r="100" spans="7:20" ht="16.7" customHeight="1" x14ac:dyDescent="0.2">
      <c r="G100" s="2579"/>
      <c r="H100" s="2482"/>
      <c r="I100" s="2482"/>
      <c r="J100" s="2482"/>
      <c r="K100" s="2482"/>
      <c r="L100" s="2482"/>
      <c r="M100" s="2482"/>
      <c r="N100" s="2482"/>
      <c r="O100" s="2482"/>
      <c r="P100" s="2482"/>
      <c r="Q100" s="2482"/>
      <c r="R100" s="2482"/>
      <c r="S100" s="2482"/>
      <c r="T100" s="2482"/>
    </row>
    <row r="101" spans="7:20" ht="16.7" customHeight="1" x14ac:dyDescent="0.2">
      <c r="G101" s="2579"/>
      <c r="H101" s="2482"/>
      <c r="I101" s="2482"/>
      <c r="J101" s="2482"/>
      <c r="K101" s="2482"/>
      <c r="L101" s="2482"/>
      <c r="M101" s="2482"/>
      <c r="N101" s="2482"/>
      <c r="O101" s="2482"/>
      <c r="P101" s="2482"/>
      <c r="Q101" s="2482"/>
      <c r="R101" s="2482"/>
      <c r="S101" s="2482"/>
      <c r="T101" s="2482"/>
    </row>
    <row r="102" spans="7:20" ht="16.7" customHeight="1" x14ac:dyDescent="0.2">
      <c r="G102" s="2579"/>
      <c r="H102" s="2482"/>
      <c r="I102" s="2482"/>
      <c r="J102" s="2482"/>
      <c r="K102" s="2482"/>
      <c r="L102" s="2482"/>
      <c r="M102" s="2482"/>
      <c r="N102" s="2482"/>
      <c r="O102" s="2482"/>
      <c r="P102" s="2482"/>
      <c r="Q102" s="2482"/>
      <c r="R102" s="2482"/>
      <c r="S102" s="2482"/>
      <c r="T102" s="2482"/>
    </row>
    <row r="103" spans="7:20" ht="16.7" customHeight="1" x14ac:dyDescent="0.2">
      <c r="G103" s="2579"/>
      <c r="H103" s="2482"/>
      <c r="I103" s="2482"/>
      <c r="J103" s="2482"/>
      <c r="K103" s="2482"/>
      <c r="L103" s="2482"/>
      <c r="M103" s="2482"/>
      <c r="N103" s="2482"/>
      <c r="O103" s="2482"/>
      <c r="P103" s="2482"/>
      <c r="Q103" s="2482"/>
      <c r="R103" s="2482"/>
      <c r="S103" s="2482"/>
      <c r="T103" s="2482"/>
    </row>
    <row r="104" spans="7:20" ht="16.7" customHeight="1" x14ac:dyDescent="0.2">
      <c r="G104" s="2579"/>
      <c r="H104" s="2482"/>
      <c r="I104" s="2482"/>
      <c r="J104" s="2482"/>
      <c r="K104" s="2482"/>
      <c r="L104" s="2482"/>
      <c r="M104" s="2482"/>
      <c r="N104" s="2482"/>
      <c r="O104" s="2482"/>
      <c r="P104" s="2482"/>
      <c r="Q104" s="2482"/>
      <c r="R104" s="2482"/>
      <c r="S104" s="2482"/>
      <c r="T104" s="2482"/>
    </row>
    <row r="105" spans="7:20" ht="15" customHeight="1" x14ac:dyDescent="0.2">
      <c r="G105" s="2579"/>
      <c r="H105" s="2482"/>
      <c r="I105" s="2482"/>
      <c r="J105" s="2482"/>
      <c r="K105" s="2482"/>
      <c r="L105" s="2482"/>
      <c r="M105" s="2482"/>
      <c r="N105" s="2482"/>
      <c r="O105" s="2482"/>
      <c r="P105" s="2482"/>
      <c r="Q105" s="2482"/>
      <c r="R105" s="2482"/>
      <c r="S105" s="2482"/>
      <c r="T105" s="2482"/>
    </row>
    <row r="106" spans="7:20" ht="15" customHeight="1" x14ac:dyDescent="0.2">
      <c r="G106" s="2579"/>
      <c r="H106" s="2482"/>
      <c r="I106" s="2482"/>
      <c r="J106" s="2482"/>
      <c r="K106" s="2482"/>
      <c r="L106" s="2482"/>
      <c r="M106" s="2482"/>
      <c r="N106" s="2482"/>
      <c r="O106" s="2482"/>
      <c r="P106" s="2482"/>
      <c r="Q106" s="2482"/>
      <c r="R106" s="2482"/>
      <c r="S106" s="2482"/>
      <c r="T106" s="2482"/>
    </row>
    <row r="107" spans="7:20" ht="15" customHeight="1" x14ac:dyDescent="0.2">
      <c r="G107" s="2579"/>
      <c r="H107" s="2482"/>
      <c r="I107" s="2482"/>
      <c r="J107" s="2482"/>
      <c r="K107" s="2482"/>
      <c r="L107" s="2482"/>
      <c r="M107" s="2482"/>
      <c r="N107" s="2482"/>
      <c r="O107" s="2482"/>
      <c r="P107" s="2482"/>
      <c r="Q107" s="2482"/>
      <c r="R107" s="2482"/>
      <c r="S107" s="2482"/>
      <c r="T107" s="2482"/>
    </row>
    <row r="108" spans="7:20" ht="15" customHeight="1" x14ac:dyDescent="0.2">
      <c r="G108" s="2579"/>
      <c r="H108" s="2482"/>
      <c r="I108" s="2482"/>
      <c r="J108" s="2482"/>
      <c r="K108" s="2482"/>
      <c r="L108" s="2482"/>
      <c r="M108" s="2482"/>
      <c r="N108" s="2482"/>
      <c r="O108" s="2482"/>
      <c r="P108" s="2482"/>
      <c r="Q108" s="2482"/>
      <c r="R108" s="2482"/>
      <c r="S108" s="2482"/>
      <c r="T108" s="2482"/>
    </row>
    <row r="109" spans="7:20" x14ac:dyDescent="0.2">
      <c r="G109" s="2608"/>
    </row>
  </sheetData>
  <mergeCells count="9">
    <mergeCell ref="C12:D12"/>
    <mergeCell ref="C21:D21"/>
    <mergeCell ref="G1:G5"/>
    <mergeCell ref="A6:D6"/>
    <mergeCell ref="A7:D7"/>
    <mergeCell ref="A8:A9"/>
    <mergeCell ref="B8:B9"/>
    <mergeCell ref="C8:C9"/>
    <mergeCell ref="D8:D9"/>
  </mergeCells>
  <pageMargins left="0.75" right="0.75" top="1" bottom="1" header="0.5" footer="0.5"/>
  <customProperties>
    <customPr name="_pios_id" r:id="rId1"/>
  </customProperties>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EFAF04-0D10-4E00-87B5-8B6B5790B025}">
  <sheetPr codeName="Sheet60"/>
  <dimension ref="A1:L72"/>
  <sheetViews>
    <sheetView showRuler="0" workbookViewId="0">
      <selection activeCell="C1" sqref="C1"/>
    </sheetView>
  </sheetViews>
  <sheetFormatPr defaultColWidth="11.5" defaultRowHeight="12.75" x14ac:dyDescent="0.2"/>
  <cols>
    <col min="1" max="1" width="4.75" style="1953" customWidth="1"/>
    <col min="2" max="2" width="39.375" style="1953" customWidth="1"/>
    <col min="3" max="3" width="13" style="1953" customWidth="1"/>
    <col min="4" max="4" width="10.75" style="1953" customWidth="1"/>
    <col min="5" max="5" width="9.125" style="1953" customWidth="1"/>
    <col min="6" max="7" width="14.625" style="1953" customWidth="1"/>
    <col min="8" max="11" width="15.25" style="1953" customWidth="1"/>
    <col min="12" max="25" width="17.625" style="1953" customWidth="1"/>
    <col min="26" max="16384" width="11.5" style="1953"/>
  </cols>
  <sheetData>
    <row r="1" spans="1:12" ht="16.7" customHeight="1" x14ac:dyDescent="0.2"/>
    <row r="2" spans="1:12" ht="16.7" customHeight="1" x14ac:dyDescent="0.2"/>
    <row r="3" spans="1:12" ht="16.7" customHeight="1" x14ac:dyDescent="0.2">
      <c r="A3" s="3932" t="s">
        <v>7656</v>
      </c>
      <c r="B3" s="3975"/>
      <c r="C3" s="3975"/>
      <c r="D3" s="3975"/>
      <c r="E3" s="3976"/>
      <c r="F3" s="3977" t="s">
        <v>7657</v>
      </c>
      <c r="G3" s="3978"/>
      <c r="H3" s="3978"/>
      <c r="I3" s="3978"/>
      <c r="J3" s="3978"/>
      <c r="K3" s="3979"/>
      <c r="L3" s="2479"/>
    </row>
    <row r="4" spans="1:12" ht="16.7" customHeight="1" x14ac:dyDescent="0.2">
      <c r="A4" s="3882" t="s">
        <v>7658</v>
      </c>
      <c r="B4" s="3891"/>
      <c r="C4" s="3891"/>
      <c r="D4" s="3891"/>
      <c r="E4" s="3892"/>
      <c r="F4" s="3980" t="s">
        <v>7659</v>
      </c>
      <c r="G4" s="3981"/>
      <c r="H4" s="3981"/>
      <c r="I4" s="3981"/>
      <c r="J4" s="3981"/>
      <c r="K4" s="3982"/>
      <c r="L4" s="2479"/>
    </row>
    <row r="5" spans="1:12" ht="83.25" customHeight="1" x14ac:dyDescent="0.2">
      <c r="A5" s="3878" t="s">
        <v>7660</v>
      </c>
      <c r="B5" s="3879"/>
      <c r="C5" s="3879"/>
      <c r="D5" s="3879"/>
      <c r="E5" s="3880"/>
      <c r="F5" s="3983" t="s">
        <v>7661</v>
      </c>
      <c r="G5" s="3984"/>
      <c r="H5" s="3984"/>
      <c r="I5" s="3984"/>
      <c r="J5" s="3984"/>
      <c r="K5" s="3985"/>
      <c r="L5" s="2479"/>
    </row>
    <row r="6" spans="1:12" ht="33.200000000000003" customHeight="1" x14ac:dyDescent="0.2">
      <c r="A6" s="3963" t="s">
        <v>6360</v>
      </c>
      <c r="B6" s="3898" t="s">
        <v>7662</v>
      </c>
      <c r="C6" s="3898" t="s">
        <v>7663</v>
      </c>
      <c r="D6" s="3898" t="s">
        <v>7664</v>
      </c>
      <c r="E6" s="3898" t="s">
        <v>7665</v>
      </c>
      <c r="F6" s="3971" t="s">
        <v>7666</v>
      </c>
      <c r="G6" s="3973" t="s">
        <v>7667</v>
      </c>
      <c r="H6" s="3969" t="s">
        <v>7668</v>
      </c>
      <c r="I6" s="3969" t="s">
        <v>7669</v>
      </c>
      <c r="J6" s="3969" t="s">
        <v>7670</v>
      </c>
      <c r="K6" s="3969" t="s">
        <v>7671</v>
      </c>
      <c r="L6" s="2479"/>
    </row>
    <row r="7" spans="1:12" ht="27.6" customHeight="1" x14ac:dyDescent="0.2">
      <c r="A7" s="3986"/>
      <c r="B7" s="3987"/>
      <c r="C7" s="3987"/>
      <c r="D7" s="3987"/>
      <c r="E7" s="3987"/>
      <c r="F7" s="3972"/>
      <c r="G7" s="3974"/>
      <c r="H7" s="3970"/>
      <c r="I7" s="3970"/>
      <c r="J7" s="3970"/>
      <c r="K7" s="3970"/>
      <c r="L7" s="2479"/>
    </row>
    <row r="8" spans="1:12" ht="15.75" customHeight="1" x14ac:dyDescent="0.2">
      <c r="A8" s="2588"/>
      <c r="B8" s="2705" t="s">
        <v>5949</v>
      </c>
      <c r="C8" s="2705" t="s">
        <v>5950</v>
      </c>
      <c r="D8" s="2705" t="s">
        <v>6226</v>
      </c>
      <c r="E8" s="2705" t="s">
        <v>5952</v>
      </c>
      <c r="F8" s="2713" t="s">
        <v>6227</v>
      </c>
      <c r="G8" s="2713" t="s">
        <v>5804</v>
      </c>
      <c r="H8" s="2713" t="s">
        <v>6228</v>
      </c>
      <c r="I8" s="2713" t="s">
        <v>6229</v>
      </c>
      <c r="J8" s="2713" t="s">
        <v>6230</v>
      </c>
      <c r="K8" s="2713" t="s">
        <v>6231</v>
      </c>
      <c r="L8" s="2479" t="s">
        <v>6324</v>
      </c>
    </row>
    <row r="9" spans="1:12" ht="15" customHeight="1" x14ac:dyDescent="0.2">
      <c r="A9" s="2634">
        <v>1</v>
      </c>
      <c r="B9" s="2669" t="s">
        <v>7672</v>
      </c>
      <c r="C9" s="2799"/>
      <c r="D9" s="2799"/>
      <c r="E9" s="2800"/>
      <c r="F9" s="2799"/>
      <c r="G9" s="2799"/>
      <c r="H9" s="2800"/>
      <c r="I9" s="2800"/>
      <c r="J9" s="2800"/>
      <c r="K9" s="2800"/>
      <c r="L9" s="2479"/>
    </row>
    <row r="10" spans="1:12" ht="15" customHeight="1" x14ac:dyDescent="0.2">
      <c r="A10" s="2634">
        <v>2</v>
      </c>
      <c r="B10" s="2512" t="s">
        <v>7673</v>
      </c>
      <c r="C10" s="2752">
        <v>750000000</v>
      </c>
      <c r="D10" s="2488"/>
      <c r="E10" s="2488"/>
      <c r="F10" s="2752">
        <v>357060915</v>
      </c>
      <c r="G10" s="2752">
        <v>3417945896</v>
      </c>
      <c r="H10" s="2488"/>
      <c r="I10" s="2488"/>
      <c r="J10" s="2488"/>
      <c r="K10" s="2488"/>
      <c r="L10" s="2479" t="str">
        <f>B10</f>
        <v>Common Stock issued</v>
      </c>
    </row>
    <row r="11" spans="1:12" ht="15" customHeight="1" x14ac:dyDescent="0.2">
      <c r="A11" s="2634">
        <v>5</v>
      </c>
      <c r="B11" s="2668" t="s">
        <v>7674</v>
      </c>
      <c r="C11" s="2801">
        <f>SUM(C10)</f>
        <v>750000000</v>
      </c>
      <c r="D11" s="2799"/>
      <c r="E11" s="2800"/>
      <c r="F11" s="2801">
        <f>SUM(F10)</f>
        <v>357060915</v>
      </c>
      <c r="G11" s="2801">
        <f>SUM(G10)</f>
        <v>3417945896</v>
      </c>
      <c r="H11" s="2799"/>
      <c r="I11" s="2800"/>
      <c r="J11" s="2799"/>
      <c r="K11" s="2800"/>
      <c r="L11" s="2479"/>
    </row>
    <row r="12" spans="1:12" ht="16.7" customHeight="1" x14ac:dyDescent="0.2">
      <c r="A12" s="2634">
        <v>6</v>
      </c>
      <c r="B12" s="2668" t="s">
        <v>7675</v>
      </c>
      <c r="C12" s="2799"/>
      <c r="D12" s="2799"/>
      <c r="E12" s="2800"/>
      <c r="F12" s="2799"/>
      <c r="G12" s="2799"/>
      <c r="H12" s="2800"/>
      <c r="I12" s="2800"/>
      <c r="J12" s="2800"/>
      <c r="K12" s="2800"/>
      <c r="L12" s="2479"/>
    </row>
    <row r="13" spans="1:12" ht="16.7" customHeight="1" x14ac:dyDescent="0.2">
      <c r="A13" s="2634">
        <v>7</v>
      </c>
      <c r="B13" s="2488" t="s">
        <v>7676</v>
      </c>
      <c r="C13" s="2750">
        <v>126533</v>
      </c>
      <c r="D13" s="2802">
        <v>100</v>
      </c>
      <c r="E13" s="2488"/>
      <c r="F13" s="2488"/>
      <c r="G13" s="2488"/>
      <c r="H13" s="2488"/>
      <c r="I13" s="2488"/>
      <c r="J13" s="2488"/>
      <c r="K13" s="2488"/>
      <c r="L13" s="2479" t="str">
        <f>B13</f>
        <v>5% Cumulative Preferred</v>
      </c>
    </row>
    <row r="14" spans="1:12" ht="16.7" customHeight="1" x14ac:dyDescent="0.2">
      <c r="A14" s="2634">
        <v>8</v>
      </c>
      <c r="B14" s="2488" t="s">
        <v>7677</v>
      </c>
      <c r="C14" s="2750">
        <v>3500000</v>
      </c>
      <c r="D14" s="2488"/>
      <c r="E14" s="2488"/>
      <c r="F14" s="2488"/>
      <c r="G14" s="2488"/>
      <c r="H14" s="2488"/>
      <c r="I14" s="2488"/>
      <c r="J14" s="2488"/>
      <c r="K14" s="2488"/>
      <c r="L14" s="2479" t="str">
        <f>B14</f>
        <v>Serial Preferred, Cumulative:</v>
      </c>
    </row>
    <row r="15" spans="1:12" ht="16.7" customHeight="1" x14ac:dyDescent="0.2">
      <c r="A15" s="2634">
        <v>9</v>
      </c>
      <c r="B15" s="2488" t="s">
        <v>7678</v>
      </c>
      <c r="C15" s="2488"/>
      <c r="D15" s="2802">
        <v>100</v>
      </c>
      <c r="E15" s="2488"/>
      <c r="F15" s="2750">
        <v>5930</v>
      </c>
      <c r="G15" s="2750">
        <v>593000</v>
      </c>
      <c r="H15" s="2488"/>
      <c r="I15" s="2488"/>
      <c r="J15" s="2488"/>
      <c r="K15" s="2488"/>
      <c r="L15" s="2479" t="str">
        <f>B15</f>
        <v>6.00% Series</v>
      </c>
    </row>
    <row r="16" spans="1:12" ht="16.7" customHeight="1" x14ac:dyDescent="0.2">
      <c r="A16" s="2758">
        <v>9.1</v>
      </c>
      <c r="B16" s="2488" t="s">
        <v>7679</v>
      </c>
      <c r="C16" s="2488"/>
      <c r="D16" s="2802">
        <v>100</v>
      </c>
      <c r="E16" s="2488"/>
      <c r="F16" s="2750">
        <v>18046</v>
      </c>
      <c r="G16" s="2750">
        <v>1804600</v>
      </c>
      <c r="H16" s="2488"/>
      <c r="I16" s="2488"/>
      <c r="J16" s="2488"/>
      <c r="K16" s="2488"/>
      <c r="L16" s="2479" t="str">
        <f>B16</f>
        <v>7.00% Series</v>
      </c>
    </row>
    <row r="17" spans="1:12" ht="16.7" customHeight="1" x14ac:dyDescent="0.2">
      <c r="A17" s="2758">
        <v>9.1999999999999993</v>
      </c>
      <c r="B17" s="2488" t="s">
        <v>7680</v>
      </c>
      <c r="C17" s="2750">
        <v>16000000</v>
      </c>
      <c r="D17" s="2488"/>
      <c r="E17" s="2488"/>
      <c r="F17" s="2488"/>
      <c r="G17" s="2488"/>
      <c r="H17" s="2488"/>
      <c r="I17" s="2488"/>
      <c r="J17" s="2488"/>
      <c r="K17" s="2488"/>
      <c r="L17" s="2479" t="str">
        <f>B17</f>
        <v>No Par Serial Preferred</v>
      </c>
    </row>
    <row r="18" spans="1:12" ht="16.7" customHeight="1" x14ac:dyDescent="0.2">
      <c r="A18" s="2634">
        <v>10</v>
      </c>
      <c r="B18" s="2668" t="s">
        <v>7681</v>
      </c>
      <c r="C18" s="2803">
        <f>SUM(C13:C17)</f>
        <v>19626533</v>
      </c>
      <c r="D18" s="2799"/>
      <c r="E18" s="2800"/>
      <c r="F18" s="2803">
        <f>SUM(F13:F17)</f>
        <v>23976</v>
      </c>
      <c r="G18" s="2803">
        <f>SUM(G13:G17)</f>
        <v>2397600</v>
      </c>
      <c r="H18" s="2799"/>
      <c r="I18" s="2800"/>
      <c r="J18" s="2799"/>
      <c r="K18" s="2800"/>
      <c r="L18" s="2479"/>
    </row>
    <row r="19" spans="1:12" ht="16.7" customHeight="1" x14ac:dyDescent="0.2">
      <c r="A19" s="2634">
        <v>11</v>
      </c>
      <c r="B19" s="2488" t="s">
        <v>7682</v>
      </c>
      <c r="C19" s="2804"/>
      <c r="D19" s="2799"/>
      <c r="E19" s="2800"/>
      <c r="F19" s="2804"/>
      <c r="G19" s="2804"/>
      <c r="H19" s="2800"/>
      <c r="I19" s="2800"/>
      <c r="J19" s="2800"/>
      <c r="K19" s="2800"/>
      <c r="L19" s="2479"/>
    </row>
    <row r="20" spans="1:12" ht="16.7" customHeight="1" x14ac:dyDescent="0.2">
      <c r="A20" s="2634">
        <v>12</v>
      </c>
      <c r="B20" s="2488"/>
      <c r="C20" s="2488"/>
      <c r="D20" s="2488"/>
      <c r="E20" s="2488"/>
      <c r="F20" s="2488"/>
      <c r="G20" s="2488"/>
      <c r="H20" s="2488"/>
      <c r="I20" s="2488"/>
      <c r="J20" s="2488"/>
      <c r="K20" s="2488"/>
      <c r="L20" s="2479"/>
    </row>
    <row r="21" spans="1:12" ht="16.7" customHeight="1" x14ac:dyDescent="0.2">
      <c r="A21" s="2634">
        <v>13</v>
      </c>
      <c r="B21" s="2488" t="s">
        <v>7683</v>
      </c>
      <c r="C21" s="2488"/>
      <c r="D21" s="2488"/>
      <c r="E21" s="2488"/>
      <c r="F21" s="2488"/>
      <c r="G21" s="2488"/>
      <c r="H21" s="2488"/>
      <c r="I21" s="2488"/>
      <c r="J21" s="2488"/>
      <c r="K21" s="2488"/>
      <c r="L21" s="2479" t="str">
        <f>B21</f>
        <v>Authorized and Unissued Capital Stock</v>
      </c>
    </row>
    <row r="22" spans="1:12" ht="16.7" customHeight="1" x14ac:dyDescent="0.2">
      <c r="A22" s="2634">
        <v>14</v>
      </c>
      <c r="B22" s="2488"/>
      <c r="C22" s="2488"/>
      <c r="D22" s="2488"/>
      <c r="E22" s="2488"/>
      <c r="F22" s="2488"/>
      <c r="G22" s="2488"/>
      <c r="H22" s="2488"/>
      <c r="I22" s="2488"/>
      <c r="J22" s="2488"/>
      <c r="K22" s="2488"/>
      <c r="L22" s="2479"/>
    </row>
    <row r="23" spans="1:12" ht="16.7" customHeight="1" x14ac:dyDescent="0.2">
      <c r="A23" s="2634">
        <v>15</v>
      </c>
      <c r="B23" s="2512" t="s">
        <v>104</v>
      </c>
      <c r="C23" s="2801">
        <f>SUM(C20:C22)</f>
        <v>0</v>
      </c>
      <c r="D23" s="2799"/>
      <c r="E23" s="2800"/>
      <c r="F23" s="2801">
        <f>SUM(F20:F22)</f>
        <v>0</v>
      </c>
      <c r="G23" s="2801">
        <f>SUM(G20:G22)</f>
        <v>0</v>
      </c>
      <c r="H23" s="2799"/>
      <c r="I23" s="2800"/>
      <c r="J23" s="2799"/>
      <c r="K23" s="2800"/>
      <c r="L23" s="2479"/>
    </row>
    <row r="24" spans="1:12" ht="16.7" customHeight="1" x14ac:dyDescent="0.2">
      <c r="A24" s="2516"/>
      <c r="B24" s="2516"/>
      <c r="C24" s="2516"/>
      <c r="D24" s="2516"/>
      <c r="E24" s="2516"/>
      <c r="F24" s="2516"/>
      <c r="G24" s="2516"/>
      <c r="H24" s="2516"/>
      <c r="I24" s="2516"/>
      <c r="J24" s="2516"/>
      <c r="K24" s="2516"/>
    </row>
    <row r="25" spans="1:12" ht="16.7" customHeight="1" x14ac:dyDescent="0.2"/>
    <row r="26" spans="1:12" ht="16.7" customHeight="1" x14ac:dyDescent="0.2"/>
    <row r="27" spans="1:12" ht="16.7" customHeight="1" x14ac:dyDescent="0.2"/>
    <row r="28" spans="1:12" ht="16.7" customHeight="1" x14ac:dyDescent="0.2"/>
    <row r="29" spans="1:12" ht="16.7" customHeight="1" x14ac:dyDescent="0.2"/>
    <row r="30" spans="1:12" ht="16.7" customHeight="1" x14ac:dyDescent="0.2"/>
    <row r="31" spans="1:12" ht="16.7" customHeight="1" x14ac:dyDescent="0.2"/>
    <row r="32" spans="1:12" ht="16.7" customHeight="1" x14ac:dyDescent="0.2"/>
    <row r="33" ht="16.7" customHeight="1" x14ac:dyDescent="0.2"/>
    <row r="34" ht="16.7" customHeight="1" x14ac:dyDescent="0.2"/>
    <row r="35" ht="16.7" customHeight="1" x14ac:dyDescent="0.2"/>
    <row r="36" ht="16.7" customHeight="1" x14ac:dyDescent="0.2"/>
    <row r="37" ht="16.7" customHeight="1" x14ac:dyDescent="0.2"/>
    <row r="38" ht="16.7" customHeight="1" x14ac:dyDescent="0.2"/>
    <row r="39" ht="16.7" customHeight="1" x14ac:dyDescent="0.2"/>
    <row r="40" ht="16.7" customHeight="1" x14ac:dyDescent="0.2"/>
    <row r="41" ht="16.7" customHeight="1" x14ac:dyDescent="0.2"/>
    <row r="42" ht="16.7" customHeight="1" x14ac:dyDescent="0.2"/>
    <row r="43" ht="16.7" customHeight="1" x14ac:dyDescent="0.2"/>
    <row r="44" ht="16.7" customHeight="1" x14ac:dyDescent="0.2"/>
    <row r="45" ht="16.7" customHeight="1" x14ac:dyDescent="0.2"/>
    <row r="46" ht="16.7" customHeight="1" x14ac:dyDescent="0.2"/>
    <row r="47" ht="16.7" customHeight="1" x14ac:dyDescent="0.2"/>
    <row r="48" ht="16.7" customHeight="1" x14ac:dyDescent="0.2"/>
    <row r="49" ht="16.7" customHeight="1" x14ac:dyDescent="0.2"/>
    <row r="50" ht="16.7" customHeight="1" x14ac:dyDescent="0.2"/>
    <row r="51" ht="16.7" customHeight="1" x14ac:dyDescent="0.2"/>
    <row r="52" ht="16.7" customHeight="1" x14ac:dyDescent="0.2"/>
    <row r="53" ht="16.7" customHeight="1" x14ac:dyDescent="0.2"/>
    <row r="54" ht="16.7" customHeight="1" x14ac:dyDescent="0.2"/>
    <row r="55" ht="16.7" customHeight="1" x14ac:dyDescent="0.2"/>
    <row r="56" ht="16.7" customHeight="1" x14ac:dyDescent="0.2"/>
    <row r="57" ht="16.7" customHeight="1" x14ac:dyDescent="0.2"/>
    <row r="58" ht="16.7" customHeight="1" x14ac:dyDescent="0.2"/>
    <row r="59" ht="16.7" customHeight="1" x14ac:dyDescent="0.2"/>
    <row r="60" ht="16.7" customHeight="1" x14ac:dyDescent="0.2"/>
    <row r="61" ht="16.7" customHeight="1" x14ac:dyDescent="0.2"/>
    <row r="62" ht="16.7" customHeight="1" x14ac:dyDescent="0.2"/>
    <row r="63" ht="16.7" customHeight="1" x14ac:dyDescent="0.2"/>
    <row r="64" ht="16.7" customHeight="1" x14ac:dyDescent="0.2"/>
    <row r="65" ht="16.7" customHeight="1" x14ac:dyDescent="0.2"/>
    <row r="66" ht="16.7" customHeight="1" x14ac:dyDescent="0.2"/>
    <row r="67" ht="16.7" customHeight="1" x14ac:dyDescent="0.2"/>
    <row r="68" ht="16.7" customHeight="1" x14ac:dyDescent="0.2"/>
    <row r="69" ht="16.7" customHeight="1" x14ac:dyDescent="0.2"/>
    <row r="70" ht="16.7" customHeight="1" x14ac:dyDescent="0.2"/>
    <row r="71" ht="16.7" customHeight="1" x14ac:dyDescent="0.2"/>
    <row r="72" ht="15" customHeight="1" x14ac:dyDescent="0.2"/>
  </sheetData>
  <mergeCells count="17">
    <mergeCell ref="A6:A7"/>
    <mergeCell ref="B6:B7"/>
    <mergeCell ref="C6:C7"/>
    <mergeCell ref="D6:D7"/>
    <mergeCell ref="E6:E7"/>
    <mergeCell ref="A3:E3"/>
    <mergeCell ref="F3:K3"/>
    <mergeCell ref="A4:E4"/>
    <mergeCell ref="F4:K4"/>
    <mergeCell ref="A5:E5"/>
    <mergeCell ref="F5:K5"/>
    <mergeCell ref="H6:H7"/>
    <mergeCell ref="I6:I7"/>
    <mergeCell ref="J6:J7"/>
    <mergeCell ref="K6:K7"/>
    <mergeCell ref="F6:F7"/>
    <mergeCell ref="G6:G7"/>
  </mergeCells>
  <pageMargins left="0.75" right="0.75" top="1" bottom="1" header="0.5" footer="0.5"/>
  <customProperties>
    <customPr name="_pios_id" r:id="rId1"/>
  </customProperties>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848374-5678-4F45-B4C6-C5A480C54902}">
  <sheetPr codeName="Sheet61"/>
  <dimension ref="A1:F90"/>
  <sheetViews>
    <sheetView showRuler="0" workbookViewId="0"/>
  </sheetViews>
  <sheetFormatPr defaultColWidth="11.5" defaultRowHeight="12.75" x14ac:dyDescent="0.2"/>
  <cols>
    <col min="1" max="1" width="3.875" style="1953" customWidth="1"/>
    <col min="2" max="2" width="76" style="1953" customWidth="1"/>
    <col min="3" max="26" width="17.625" style="1953" customWidth="1"/>
    <col min="27" max="16384" width="11.5" style="1953"/>
  </cols>
  <sheetData>
    <row r="1" spans="1:6" ht="16.7" customHeight="1" x14ac:dyDescent="0.2">
      <c r="F1" s="3911"/>
    </row>
    <row r="2" spans="1:6" ht="16.7" customHeight="1" x14ac:dyDescent="0.2">
      <c r="F2" s="3911"/>
    </row>
    <row r="3" spans="1:6" ht="16.7" customHeight="1" x14ac:dyDescent="0.2">
      <c r="A3" s="3932" t="s">
        <v>7684</v>
      </c>
      <c r="B3" s="3975"/>
      <c r="C3" s="3976"/>
      <c r="D3" s="2479"/>
      <c r="F3" s="3911"/>
    </row>
    <row r="4" spans="1:6" ht="16.7" customHeight="1" x14ac:dyDescent="0.2">
      <c r="A4" s="3882" t="s">
        <v>7685</v>
      </c>
      <c r="B4" s="3891"/>
      <c r="C4" s="3892"/>
      <c r="D4" s="2479"/>
    </row>
    <row r="5" spans="1:6" ht="119.1" customHeight="1" x14ac:dyDescent="0.2">
      <c r="A5" s="3878" t="s">
        <v>7686</v>
      </c>
      <c r="B5" s="3879"/>
      <c r="C5" s="3880"/>
      <c r="D5" s="2479"/>
    </row>
    <row r="6" spans="1:6" ht="22.5" customHeight="1" x14ac:dyDescent="0.2">
      <c r="A6" s="3963" t="s">
        <v>6360</v>
      </c>
      <c r="B6" s="2637" t="s">
        <v>6467</v>
      </c>
      <c r="C6" s="2637" t="s">
        <v>441</v>
      </c>
      <c r="D6" s="2479"/>
    </row>
    <row r="7" spans="1:6" ht="16.7" customHeight="1" x14ac:dyDescent="0.2">
      <c r="A7" s="3988"/>
      <c r="B7" s="2705" t="s">
        <v>5949</v>
      </c>
      <c r="C7" s="2705" t="s">
        <v>5950</v>
      </c>
      <c r="D7" s="2479" t="s">
        <v>6324</v>
      </c>
    </row>
    <row r="8" spans="1:6" ht="16.7" customHeight="1" x14ac:dyDescent="0.2">
      <c r="A8" s="2760" t="s">
        <v>6139</v>
      </c>
      <c r="B8" s="2668" t="s">
        <v>7687</v>
      </c>
      <c r="C8" s="2800"/>
      <c r="D8" s="2479"/>
    </row>
    <row r="9" spans="1:6" ht="16.7" customHeight="1" x14ac:dyDescent="0.2">
      <c r="A9" s="2760" t="s">
        <v>5957</v>
      </c>
      <c r="B9" s="2488" t="s">
        <v>7688</v>
      </c>
      <c r="C9" s="2488"/>
      <c r="D9" s="2479"/>
    </row>
    <row r="10" spans="1:6" ht="16.7" customHeight="1" x14ac:dyDescent="0.2">
      <c r="A10" s="2760" t="s">
        <v>5959</v>
      </c>
      <c r="B10" s="2488" t="s">
        <v>7689</v>
      </c>
      <c r="C10" s="2488"/>
      <c r="D10" s="2479" t="str">
        <f>B10</f>
        <v>Increases (Decreases) from Sales of Donations Received from Stockholders</v>
      </c>
    </row>
    <row r="11" spans="1:6" ht="16.7" customHeight="1" x14ac:dyDescent="0.2">
      <c r="A11" s="2760" t="s">
        <v>7690</v>
      </c>
      <c r="B11" s="2488"/>
      <c r="C11" s="2488"/>
      <c r="D11" s="2595">
        <f>B11</f>
        <v>0</v>
      </c>
    </row>
    <row r="12" spans="1:6" ht="16.7" customHeight="1" x14ac:dyDescent="0.2">
      <c r="A12" s="2760" t="s">
        <v>5961</v>
      </c>
      <c r="B12" s="2488" t="s">
        <v>7691</v>
      </c>
      <c r="C12" s="2488"/>
      <c r="D12" s="2479"/>
    </row>
    <row r="13" spans="1:6" ht="16.7" customHeight="1" x14ac:dyDescent="0.2">
      <c r="A13" s="2760" t="s">
        <v>5963</v>
      </c>
      <c r="B13" s="2668" t="s">
        <v>7692</v>
      </c>
      <c r="C13" s="2800"/>
      <c r="D13" s="2479"/>
    </row>
    <row r="14" spans="1:6" ht="16.7" customHeight="1" x14ac:dyDescent="0.2">
      <c r="A14" s="2760" t="s">
        <v>5965</v>
      </c>
      <c r="B14" s="2488" t="s">
        <v>7688</v>
      </c>
      <c r="C14" s="2488"/>
      <c r="D14" s="2479"/>
    </row>
    <row r="15" spans="1:6" ht="16.7" customHeight="1" x14ac:dyDescent="0.2">
      <c r="A15" s="2760" t="s">
        <v>5968</v>
      </c>
      <c r="B15" s="2488" t="s">
        <v>7693</v>
      </c>
      <c r="C15" s="2488"/>
      <c r="D15" s="2479" t="str">
        <f>B15</f>
        <v>Increases (Decreases) Due to Reductions in Par or Stated Value of Capital Stock</v>
      </c>
    </row>
    <row r="16" spans="1:6" ht="16.7" customHeight="1" x14ac:dyDescent="0.2">
      <c r="A16" s="2760" t="s">
        <v>7694</v>
      </c>
      <c r="B16" s="2488"/>
      <c r="C16" s="2488"/>
      <c r="D16" s="2595">
        <f>B16</f>
        <v>0</v>
      </c>
    </row>
    <row r="17" spans="1:4" ht="16.7" customHeight="1" x14ac:dyDescent="0.2">
      <c r="A17" s="2760" t="s">
        <v>5970</v>
      </c>
      <c r="B17" s="2488" t="s">
        <v>7691</v>
      </c>
      <c r="C17" s="2488"/>
      <c r="D17" s="2479"/>
    </row>
    <row r="18" spans="1:4" ht="16.7" customHeight="1" x14ac:dyDescent="0.2">
      <c r="A18" s="2760" t="s">
        <v>5972</v>
      </c>
      <c r="B18" s="2668" t="s">
        <v>7695</v>
      </c>
      <c r="C18" s="2800"/>
      <c r="D18" s="2479"/>
    </row>
    <row r="19" spans="1:4" ht="16.7" customHeight="1" x14ac:dyDescent="0.2">
      <c r="A19" s="2760" t="s">
        <v>5974</v>
      </c>
      <c r="B19" s="2488" t="s">
        <v>7688</v>
      </c>
      <c r="C19" s="2488"/>
      <c r="D19" s="2479"/>
    </row>
    <row r="20" spans="1:4" ht="16.7" customHeight="1" x14ac:dyDescent="0.2">
      <c r="A20" s="2760" t="s">
        <v>5976</v>
      </c>
      <c r="B20" s="2488" t="s">
        <v>7696</v>
      </c>
      <c r="C20" s="2488"/>
      <c r="D20" s="2479" t="str">
        <f>B20</f>
        <v>Increases (Decreases) from Gain or Resale or Cancellation of Reacquired Capital Stock</v>
      </c>
    </row>
    <row r="21" spans="1:4" ht="16.7" customHeight="1" x14ac:dyDescent="0.2">
      <c r="A21" s="2760" t="s">
        <v>7697</v>
      </c>
      <c r="B21" s="2488"/>
      <c r="C21" s="2488"/>
      <c r="D21" s="2595">
        <f>B21</f>
        <v>0</v>
      </c>
    </row>
    <row r="22" spans="1:4" ht="16.7" customHeight="1" x14ac:dyDescent="0.2">
      <c r="A22" s="2760" t="s">
        <v>5978</v>
      </c>
      <c r="B22" s="2488" t="s">
        <v>7691</v>
      </c>
      <c r="C22" s="2488"/>
      <c r="D22" s="2479"/>
    </row>
    <row r="23" spans="1:4" ht="16.7" customHeight="1" x14ac:dyDescent="0.2">
      <c r="A23" s="2760" t="s">
        <v>5980</v>
      </c>
      <c r="B23" s="2668" t="s">
        <v>7698</v>
      </c>
      <c r="C23" s="2800"/>
      <c r="D23" s="2479"/>
    </row>
    <row r="24" spans="1:4" ht="16.7" customHeight="1" x14ac:dyDescent="0.2">
      <c r="A24" s="2760" t="s">
        <v>5982</v>
      </c>
      <c r="B24" s="2488" t="s">
        <v>7688</v>
      </c>
      <c r="C24" s="2530">
        <v>1102063956</v>
      </c>
      <c r="D24" s="2479"/>
    </row>
    <row r="25" spans="1:4" ht="16.7" customHeight="1" x14ac:dyDescent="0.2">
      <c r="A25" s="2760" t="s">
        <v>5984</v>
      </c>
      <c r="B25" s="2488"/>
      <c r="C25" s="2488"/>
      <c r="D25" s="2595">
        <f>B25</f>
        <v>0</v>
      </c>
    </row>
    <row r="26" spans="1:4" ht="16.7" customHeight="1" x14ac:dyDescent="0.2">
      <c r="A26" s="2760" t="s">
        <v>5986</v>
      </c>
      <c r="B26" s="2488" t="s">
        <v>7691</v>
      </c>
      <c r="C26" s="2530">
        <f>SUM(C24:C25)</f>
        <v>1102063956</v>
      </c>
      <c r="D26" s="2479"/>
    </row>
    <row r="27" spans="1:4" ht="16.7" customHeight="1" x14ac:dyDescent="0.2">
      <c r="A27" s="2760" t="s">
        <v>5988</v>
      </c>
      <c r="B27" s="2668" t="s">
        <v>7699</v>
      </c>
      <c r="C27" s="2800"/>
      <c r="D27" s="2479"/>
    </row>
    <row r="28" spans="1:4" ht="16.7" customHeight="1" x14ac:dyDescent="0.2">
      <c r="A28" s="2760" t="s">
        <v>5990</v>
      </c>
      <c r="B28" s="2488" t="s">
        <v>7688</v>
      </c>
      <c r="C28" s="2488"/>
      <c r="D28" s="2479"/>
    </row>
    <row r="29" spans="1:4" ht="16.7" customHeight="1" x14ac:dyDescent="0.2">
      <c r="A29" s="2760" t="s">
        <v>5992</v>
      </c>
      <c r="B29" s="2488" t="s">
        <v>7700</v>
      </c>
      <c r="C29" s="2488"/>
      <c r="D29" s="2479" t="str">
        <f>B29</f>
        <v>Increases (Decreases) in Other Paid-In Capital</v>
      </c>
    </row>
    <row r="30" spans="1:4" ht="16.7" customHeight="1" x14ac:dyDescent="0.2">
      <c r="A30" s="2760" t="s">
        <v>7701</v>
      </c>
      <c r="B30" s="2488"/>
      <c r="C30" s="2488"/>
      <c r="D30" s="2595">
        <f>B30</f>
        <v>0</v>
      </c>
    </row>
    <row r="31" spans="1:4" ht="16.7" customHeight="1" x14ac:dyDescent="0.2">
      <c r="A31" s="2760" t="s">
        <v>5994</v>
      </c>
      <c r="B31" s="2488" t="s">
        <v>7691</v>
      </c>
      <c r="C31" s="2488"/>
      <c r="D31" s="2479"/>
    </row>
    <row r="32" spans="1:4" ht="16.7" customHeight="1" x14ac:dyDescent="0.2">
      <c r="A32" s="2805" t="s">
        <v>6036</v>
      </c>
      <c r="B32" s="2669" t="s">
        <v>197</v>
      </c>
      <c r="C32" s="2736">
        <f>C12+C17+C22+C26+C31</f>
        <v>1102063956</v>
      </c>
      <c r="D32" s="2479"/>
    </row>
    <row r="33" spans="1:3" ht="16.7" customHeight="1" x14ac:dyDescent="0.2">
      <c r="A33" s="2516"/>
      <c r="B33" s="2516"/>
      <c r="C33" s="2516"/>
    </row>
    <row r="34" spans="1:3" ht="16.7" customHeight="1" x14ac:dyDescent="0.2"/>
    <row r="35" spans="1:3" ht="16.7" customHeight="1" x14ac:dyDescent="0.2"/>
    <row r="36" spans="1:3" ht="16.7" customHeight="1" x14ac:dyDescent="0.2"/>
    <row r="37" spans="1:3" ht="16.7" customHeight="1" x14ac:dyDescent="0.2"/>
    <row r="38" spans="1:3" ht="16.7" customHeight="1" x14ac:dyDescent="0.2"/>
    <row r="39" spans="1:3" ht="16.7" customHeight="1" x14ac:dyDescent="0.2"/>
    <row r="40" spans="1:3" ht="16.7" customHeight="1" x14ac:dyDescent="0.2"/>
    <row r="41" spans="1:3" ht="16.7" customHeight="1" x14ac:dyDescent="0.2"/>
    <row r="42" spans="1:3" ht="16.7" customHeight="1" x14ac:dyDescent="0.2"/>
    <row r="43" spans="1:3" ht="16.7" customHeight="1" x14ac:dyDescent="0.2"/>
    <row r="44" spans="1:3" ht="16.7" customHeight="1" x14ac:dyDescent="0.2"/>
    <row r="45" spans="1:3" ht="16.7" customHeight="1" x14ac:dyDescent="0.2"/>
    <row r="46" spans="1:3" ht="16.7" customHeight="1" x14ac:dyDescent="0.2"/>
    <row r="47" spans="1:3" ht="16.7" customHeight="1" x14ac:dyDescent="0.2"/>
    <row r="48" spans="1:3" ht="16.7" customHeight="1" x14ac:dyDescent="0.2"/>
    <row r="49" ht="16.7" customHeight="1" x14ac:dyDescent="0.2"/>
    <row r="50" ht="16.7" customHeight="1" x14ac:dyDescent="0.2"/>
    <row r="51" ht="16.7" customHeight="1" x14ac:dyDescent="0.2"/>
    <row r="52" ht="16.7" customHeight="1" x14ac:dyDescent="0.2"/>
    <row r="53" ht="16.7" customHeight="1" x14ac:dyDescent="0.2"/>
    <row r="54" ht="16.7" customHeight="1" x14ac:dyDescent="0.2"/>
    <row r="55" ht="16.7" customHeight="1" x14ac:dyDescent="0.2"/>
    <row r="56" ht="16.7" customHeight="1" x14ac:dyDescent="0.2"/>
    <row r="57" ht="16.7" customHeight="1" x14ac:dyDescent="0.2"/>
    <row r="58" ht="16.7" customHeight="1" x14ac:dyDescent="0.2"/>
    <row r="59" ht="16.7" customHeight="1" x14ac:dyDescent="0.2"/>
    <row r="60" ht="16.7" customHeight="1" x14ac:dyDescent="0.2"/>
    <row r="61" ht="16.7" customHeight="1" x14ac:dyDescent="0.2"/>
    <row r="62" ht="16.7" customHeight="1" x14ac:dyDescent="0.2"/>
    <row r="63" ht="16.7" customHeight="1" x14ac:dyDescent="0.2"/>
    <row r="64" ht="16.7" customHeight="1" x14ac:dyDescent="0.2"/>
    <row r="65" ht="16.7" customHeight="1" x14ac:dyDescent="0.2"/>
    <row r="66" ht="16.7" customHeight="1" x14ac:dyDescent="0.2"/>
    <row r="67" ht="16.7" customHeight="1" x14ac:dyDescent="0.2"/>
    <row r="68" ht="16.7" customHeight="1" x14ac:dyDescent="0.2"/>
    <row r="69" ht="16.7" customHeight="1" x14ac:dyDescent="0.2"/>
    <row r="70" ht="16.7" customHeight="1" x14ac:dyDescent="0.2"/>
    <row r="71" ht="16.7" customHeight="1" x14ac:dyDescent="0.2"/>
    <row r="72" ht="16.7" customHeight="1" x14ac:dyDescent="0.2"/>
    <row r="73" ht="16.7" customHeight="1" x14ac:dyDescent="0.2"/>
    <row r="74" ht="16.7" customHeight="1" x14ac:dyDescent="0.2"/>
    <row r="75" ht="16.7" customHeight="1" x14ac:dyDescent="0.2"/>
    <row r="76" ht="16.7" customHeight="1" x14ac:dyDescent="0.2"/>
    <row r="77" ht="16.7" customHeight="1" x14ac:dyDescent="0.2"/>
    <row r="78" ht="16.7" customHeight="1" x14ac:dyDescent="0.2"/>
    <row r="79" ht="16.7" customHeight="1" x14ac:dyDescent="0.2"/>
    <row r="80" ht="16.7" customHeight="1" x14ac:dyDescent="0.2"/>
    <row r="81" ht="16.7" customHeight="1" x14ac:dyDescent="0.2"/>
    <row r="82" ht="16.7" customHeight="1" x14ac:dyDescent="0.2"/>
    <row r="83" ht="16.7" customHeight="1" x14ac:dyDescent="0.2"/>
    <row r="84" ht="16.7" customHeight="1" x14ac:dyDescent="0.2"/>
    <row r="85" ht="16.7" customHeight="1" x14ac:dyDescent="0.2"/>
    <row r="86" ht="16.7" customHeight="1" x14ac:dyDescent="0.2"/>
    <row r="87" ht="16.7" customHeight="1" x14ac:dyDescent="0.2"/>
    <row r="88" ht="16.7" customHeight="1" x14ac:dyDescent="0.2"/>
    <row r="89" ht="15" customHeight="1" x14ac:dyDescent="0.2"/>
    <row r="90" ht="15" customHeight="1" x14ac:dyDescent="0.2"/>
  </sheetData>
  <mergeCells count="5">
    <mergeCell ref="F1:F3"/>
    <mergeCell ref="A3:C3"/>
    <mergeCell ref="A4:C4"/>
    <mergeCell ref="A5:C5"/>
    <mergeCell ref="A6:A7"/>
  </mergeCells>
  <pageMargins left="0.75" right="0.75" top="1" bottom="1" header="0.5" footer="0.5"/>
  <customProperties>
    <customPr name="_pios_id" r:id="rId1"/>
  </customProperties>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FD3980-3B3B-4109-9492-381C3272845F}">
  <sheetPr codeName="Sheet62"/>
  <dimension ref="A1:D104"/>
  <sheetViews>
    <sheetView showRuler="0" workbookViewId="0"/>
  </sheetViews>
  <sheetFormatPr defaultColWidth="11.5" defaultRowHeight="12.75" x14ac:dyDescent="0.2"/>
  <cols>
    <col min="1" max="1" width="3.875" style="1953" customWidth="1"/>
    <col min="2" max="2" width="62.875" style="1953" customWidth="1"/>
    <col min="3" max="3" width="24.875" style="1953" customWidth="1"/>
    <col min="4" max="26" width="17.625" style="1953" customWidth="1"/>
    <col min="27" max="16384" width="11.5" style="1953"/>
  </cols>
  <sheetData>
    <row r="1" spans="1:4" ht="16.7" customHeight="1" x14ac:dyDescent="0.2"/>
    <row r="2" spans="1:4" ht="16.7" customHeight="1" x14ac:dyDescent="0.2"/>
    <row r="3" spans="1:4" ht="16.7" customHeight="1" x14ac:dyDescent="0.2">
      <c r="A3" s="3859" t="s">
        <v>7702</v>
      </c>
      <c r="B3" s="3927"/>
      <c r="C3" s="3927"/>
      <c r="D3" s="2479"/>
    </row>
    <row r="4" spans="1:4" ht="39.950000000000003" customHeight="1" x14ac:dyDescent="0.2">
      <c r="A4" s="3878" t="s">
        <v>7703</v>
      </c>
      <c r="B4" s="3883"/>
      <c r="C4" s="3884"/>
      <c r="D4" s="2479"/>
    </row>
    <row r="5" spans="1:4" ht="22.5" customHeight="1" x14ac:dyDescent="0.2">
      <c r="A5" s="3944" t="s">
        <v>6360</v>
      </c>
      <c r="B5" s="2637" t="s">
        <v>7704</v>
      </c>
      <c r="C5" s="2637" t="s">
        <v>7567</v>
      </c>
      <c r="D5" s="2479"/>
    </row>
    <row r="6" spans="1:4" ht="16.7" customHeight="1" x14ac:dyDescent="0.2">
      <c r="A6" s="3899"/>
      <c r="B6" s="2705" t="s">
        <v>5949</v>
      </c>
      <c r="C6" s="2705" t="s">
        <v>5950</v>
      </c>
      <c r="D6" s="2479" t="s">
        <v>6324</v>
      </c>
    </row>
    <row r="7" spans="1:4" ht="16.7" customHeight="1" x14ac:dyDescent="0.2">
      <c r="A7" s="2634">
        <v>1</v>
      </c>
      <c r="B7" s="2512" t="s">
        <v>6341</v>
      </c>
      <c r="C7" s="2530">
        <v>41101061</v>
      </c>
      <c r="D7" s="2479" t="str">
        <f t="shared" ref="D7:D27" si="0">B7</f>
        <v>Common Stock</v>
      </c>
    </row>
    <row r="8" spans="1:4" ht="16.7" customHeight="1" x14ac:dyDescent="0.2">
      <c r="A8" s="2634">
        <v>2</v>
      </c>
      <c r="B8" s="2488"/>
      <c r="C8" s="2488"/>
      <c r="D8" s="2595">
        <f t="shared" si="0"/>
        <v>0</v>
      </c>
    </row>
    <row r="9" spans="1:4" ht="16.7" customHeight="1" x14ac:dyDescent="0.2">
      <c r="A9" s="2634">
        <v>3</v>
      </c>
      <c r="B9" s="2488"/>
      <c r="C9" s="2488"/>
      <c r="D9" s="2595">
        <f t="shared" si="0"/>
        <v>0</v>
      </c>
    </row>
    <row r="10" spans="1:4" ht="16.7" customHeight="1" x14ac:dyDescent="0.2">
      <c r="A10" s="2634">
        <v>4</v>
      </c>
      <c r="B10" s="2488"/>
      <c r="C10" s="2488"/>
      <c r="D10" s="2595">
        <f t="shared" si="0"/>
        <v>0</v>
      </c>
    </row>
    <row r="11" spans="1:4" ht="16.7" customHeight="1" x14ac:dyDescent="0.2">
      <c r="A11" s="2634">
        <v>5</v>
      </c>
      <c r="B11" s="2488"/>
      <c r="C11" s="2488"/>
      <c r="D11" s="2595">
        <f t="shared" si="0"/>
        <v>0</v>
      </c>
    </row>
    <row r="12" spans="1:4" ht="16.7" customHeight="1" x14ac:dyDescent="0.2">
      <c r="A12" s="2634">
        <v>6</v>
      </c>
      <c r="B12" s="2488"/>
      <c r="C12" s="2488"/>
      <c r="D12" s="2595">
        <f t="shared" si="0"/>
        <v>0</v>
      </c>
    </row>
    <row r="13" spans="1:4" ht="16.7" customHeight="1" x14ac:dyDescent="0.2">
      <c r="A13" s="2634">
        <v>7</v>
      </c>
      <c r="B13" s="2488"/>
      <c r="C13" s="2488"/>
      <c r="D13" s="2595">
        <f t="shared" si="0"/>
        <v>0</v>
      </c>
    </row>
    <row r="14" spans="1:4" ht="16.7" customHeight="1" x14ac:dyDescent="0.2">
      <c r="A14" s="2634">
        <v>8</v>
      </c>
      <c r="B14" s="2488"/>
      <c r="C14" s="2488"/>
      <c r="D14" s="2595">
        <f t="shared" si="0"/>
        <v>0</v>
      </c>
    </row>
    <row r="15" spans="1:4" ht="16.7" customHeight="1" x14ac:dyDescent="0.2">
      <c r="A15" s="2634">
        <v>9</v>
      </c>
      <c r="B15" s="2488"/>
      <c r="C15" s="2488"/>
      <c r="D15" s="2595">
        <f t="shared" si="0"/>
        <v>0</v>
      </c>
    </row>
    <row r="16" spans="1:4" ht="16.7" customHeight="1" x14ac:dyDescent="0.2">
      <c r="A16" s="2634">
        <v>10</v>
      </c>
      <c r="B16" s="2488"/>
      <c r="C16" s="2488"/>
      <c r="D16" s="2595">
        <f t="shared" si="0"/>
        <v>0</v>
      </c>
    </row>
    <row r="17" spans="1:4" ht="16.7" customHeight="1" x14ac:dyDescent="0.2">
      <c r="A17" s="2634">
        <v>11</v>
      </c>
      <c r="B17" s="2488"/>
      <c r="C17" s="2488"/>
      <c r="D17" s="2595">
        <f t="shared" si="0"/>
        <v>0</v>
      </c>
    </row>
    <row r="18" spans="1:4" ht="16.7" customHeight="1" x14ac:dyDescent="0.2">
      <c r="A18" s="2634">
        <v>12</v>
      </c>
      <c r="B18" s="2488"/>
      <c r="C18" s="2488"/>
      <c r="D18" s="2595">
        <f t="shared" si="0"/>
        <v>0</v>
      </c>
    </row>
    <row r="19" spans="1:4" ht="16.7" customHeight="1" x14ac:dyDescent="0.2">
      <c r="A19" s="2634">
        <v>13</v>
      </c>
      <c r="B19" s="2488"/>
      <c r="C19" s="2488"/>
      <c r="D19" s="2595">
        <f t="shared" si="0"/>
        <v>0</v>
      </c>
    </row>
    <row r="20" spans="1:4" ht="16.7" customHeight="1" x14ac:dyDescent="0.2">
      <c r="A20" s="2634">
        <v>14</v>
      </c>
      <c r="B20" s="2488"/>
      <c r="C20" s="2488"/>
      <c r="D20" s="2595">
        <f t="shared" si="0"/>
        <v>0</v>
      </c>
    </row>
    <row r="21" spans="1:4" ht="16.7" customHeight="1" x14ac:dyDescent="0.2">
      <c r="A21" s="2634">
        <v>15</v>
      </c>
      <c r="B21" s="2488"/>
      <c r="C21" s="2488"/>
      <c r="D21" s="2595">
        <f t="shared" si="0"/>
        <v>0</v>
      </c>
    </row>
    <row r="22" spans="1:4" ht="16.7" customHeight="1" x14ac:dyDescent="0.2">
      <c r="A22" s="2634">
        <v>16</v>
      </c>
      <c r="B22" s="2488"/>
      <c r="C22" s="2488"/>
      <c r="D22" s="2595">
        <f t="shared" si="0"/>
        <v>0</v>
      </c>
    </row>
    <row r="23" spans="1:4" ht="16.7" customHeight="1" x14ac:dyDescent="0.2">
      <c r="A23" s="2634">
        <v>17</v>
      </c>
      <c r="B23" s="2488"/>
      <c r="C23" s="2488"/>
      <c r="D23" s="2595">
        <f t="shared" si="0"/>
        <v>0</v>
      </c>
    </row>
    <row r="24" spans="1:4" ht="16.7" customHeight="1" x14ac:dyDescent="0.2">
      <c r="A24" s="2634">
        <v>18</v>
      </c>
      <c r="B24" s="2488"/>
      <c r="C24" s="2488"/>
      <c r="D24" s="2595">
        <f t="shared" si="0"/>
        <v>0</v>
      </c>
    </row>
    <row r="25" spans="1:4" ht="16.7" customHeight="1" x14ac:dyDescent="0.2">
      <c r="A25" s="2634">
        <v>19</v>
      </c>
      <c r="B25" s="2488"/>
      <c r="C25" s="2488"/>
      <c r="D25" s="2595">
        <f t="shared" si="0"/>
        <v>0</v>
      </c>
    </row>
    <row r="26" spans="1:4" ht="16.7" customHeight="1" x14ac:dyDescent="0.2">
      <c r="A26" s="2634">
        <v>20</v>
      </c>
      <c r="B26" s="2488"/>
      <c r="C26" s="2488"/>
      <c r="D26" s="2595">
        <f t="shared" si="0"/>
        <v>0</v>
      </c>
    </row>
    <row r="27" spans="1:4" ht="16.7" customHeight="1" x14ac:dyDescent="0.2">
      <c r="A27" s="2792">
        <v>21</v>
      </c>
      <c r="B27" s="2488"/>
      <c r="C27" s="2488"/>
      <c r="D27" s="2595">
        <f t="shared" si="0"/>
        <v>0</v>
      </c>
    </row>
    <row r="28" spans="1:4" ht="16.7" customHeight="1" x14ac:dyDescent="0.2">
      <c r="A28" s="2634">
        <v>22</v>
      </c>
      <c r="B28" s="2669" t="s">
        <v>197</v>
      </c>
      <c r="C28" s="2736">
        <f>SUM(C7:C27)</f>
        <v>41101061</v>
      </c>
      <c r="D28" s="2479"/>
    </row>
    <row r="29" spans="1:4" ht="16.7" customHeight="1" x14ac:dyDescent="0.2">
      <c r="A29" s="3882" t="s">
        <v>7705</v>
      </c>
      <c r="B29" s="3891"/>
      <c r="C29" s="3892"/>
      <c r="D29" s="2479"/>
    </row>
    <row r="30" spans="1:4" ht="16.7" customHeight="1" x14ac:dyDescent="0.2">
      <c r="A30" s="2748">
        <v>23</v>
      </c>
      <c r="B30" s="3989"/>
      <c r="C30" s="3884"/>
      <c r="D30" s="2479"/>
    </row>
    <row r="31" spans="1:4" ht="16.7" customHeight="1" x14ac:dyDescent="0.2">
      <c r="A31" s="2516"/>
      <c r="B31" s="2516"/>
      <c r="C31" s="2516"/>
    </row>
    <row r="32" spans="1:4" ht="16.7" customHeight="1" x14ac:dyDescent="0.2"/>
    <row r="33" ht="16.7" customHeight="1" x14ac:dyDescent="0.2"/>
    <row r="34" ht="16.7" customHeight="1" x14ac:dyDescent="0.2"/>
    <row r="35" ht="16.7" customHeight="1" x14ac:dyDescent="0.2"/>
    <row r="36" ht="16.7" customHeight="1" x14ac:dyDescent="0.2"/>
    <row r="37" ht="16.7" customHeight="1" x14ac:dyDescent="0.2"/>
    <row r="38" ht="16.7" customHeight="1" x14ac:dyDescent="0.2"/>
    <row r="39" ht="16.7" customHeight="1" x14ac:dyDescent="0.2"/>
    <row r="40" ht="16.7" customHeight="1" x14ac:dyDescent="0.2"/>
    <row r="41" ht="16.7" customHeight="1" x14ac:dyDescent="0.2"/>
    <row r="42" ht="16.7" customHeight="1" x14ac:dyDescent="0.2"/>
    <row r="43" ht="16.7" customHeight="1" x14ac:dyDescent="0.2"/>
    <row r="44" ht="16.7" customHeight="1" x14ac:dyDescent="0.2"/>
    <row r="45" ht="16.7" customHeight="1" x14ac:dyDescent="0.2"/>
    <row r="46" ht="16.7" customHeight="1" x14ac:dyDescent="0.2"/>
    <row r="47" ht="16.7" customHeight="1" x14ac:dyDescent="0.2"/>
    <row r="48" ht="16.7" customHeight="1" x14ac:dyDescent="0.2"/>
    <row r="49" ht="16.7" customHeight="1" x14ac:dyDescent="0.2"/>
    <row r="50" ht="16.7" customHeight="1" x14ac:dyDescent="0.2"/>
    <row r="51" ht="16.7" customHeight="1" x14ac:dyDescent="0.2"/>
    <row r="52" ht="16.7" customHeight="1" x14ac:dyDescent="0.2"/>
    <row r="53" ht="16.7" customHeight="1" x14ac:dyDescent="0.2"/>
    <row r="54" ht="16.7" customHeight="1" x14ac:dyDescent="0.2"/>
    <row r="55" ht="16.7" customHeight="1" x14ac:dyDescent="0.2"/>
    <row r="56" ht="16.7" customHeight="1" x14ac:dyDescent="0.2"/>
    <row r="57" ht="16.7" customHeight="1" x14ac:dyDescent="0.2"/>
    <row r="58" ht="16.7" customHeight="1" x14ac:dyDescent="0.2"/>
    <row r="59" ht="16.7" customHeight="1" x14ac:dyDescent="0.2"/>
    <row r="60" ht="16.7" customHeight="1" x14ac:dyDescent="0.2"/>
    <row r="61" ht="16.7" customHeight="1" x14ac:dyDescent="0.2"/>
    <row r="62" ht="16.7" customHeight="1" x14ac:dyDescent="0.2"/>
    <row r="63" ht="16.7" customHeight="1" x14ac:dyDescent="0.2"/>
    <row r="64" ht="16.7" customHeight="1" x14ac:dyDescent="0.2"/>
    <row r="65" ht="16.7" customHeight="1" x14ac:dyDescent="0.2"/>
    <row r="66" ht="16.7" customHeight="1" x14ac:dyDescent="0.2"/>
    <row r="67" ht="16.7" customHeight="1" x14ac:dyDescent="0.2"/>
    <row r="68" ht="16.7" customHeight="1" x14ac:dyDescent="0.2"/>
    <row r="69" ht="16.7" customHeight="1" x14ac:dyDescent="0.2"/>
    <row r="70" ht="16.7" customHeight="1" x14ac:dyDescent="0.2"/>
    <row r="71" ht="16.7" customHeight="1" x14ac:dyDescent="0.2"/>
    <row r="72" ht="16.7" customHeight="1" x14ac:dyDescent="0.2"/>
    <row r="73" ht="16.7" customHeight="1" x14ac:dyDescent="0.2"/>
    <row r="74" ht="16.7" customHeight="1" x14ac:dyDescent="0.2"/>
    <row r="75" ht="16.7" customHeight="1" x14ac:dyDescent="0.2"/>
    <row r="76" ht="16.7" customHeight="1" x14ac:dyDescent="0.2"/>
    <row r="77" ht="16.7" customHeight="1" x14ac:dyDescent="0.2"/>
    <row r="78" ht="16.7" customHeight="1" x14ac:dyDescent="0.2"/>
    <row r="79" ht="16.7" customHeight="1" x14ac:dyDescent="0.2"/>
    <row r="80" ht="16.7" customHeight="1" x14ac:dyDescent="0.2"/>
    <row r="81" ht="16.7" customHeight="1" x14ac:dyDescent="0.2"/>
    <row r="82" ht="16.7" customHeight="1" x14ac:dyDescent="0.2"/>
    <row r="83" ht="16.7" customHeight="1" x14ac:dyDescent="0.2"/>
    <row r="84" ht="16.7" customHeight="1" x14ac:dyDescent="0.2"/>
    <row r="85" ht="16.7" customHeight="1" x14ac:dyDescent="0.2"/>
    <row r="86" ht="16.7" customHeight="1" x14ac:dyDescent="0.2"/>
    <row r="87" ht="16.7" customHeight="1" x14ac:dyDescent="0.2"/>
    <row r="88" ht="16.7" customHeight="1" x14ac:dyDescent="0.2"/>
    <row r="89" ht="16.7" customHeight="1" x14ac:dyDescent="0.2"/>
    <row r="90" ht="16.7" customHeight="1" x14ac:dyDescent="0.2"/>
    <row r="91" ht="16.7" customHeight="1" x14ac:dyDescent="0.2"/>
    <row r="92" ht="16.7" customHeight="1" x14ac:dyDescent="0.2"/>
    <row r="93" ht="16.7" customHeight="1" x14ac:dyDescent="0.2"/>
    <row r="94" ht="16.7" customHeight="1" x14ac:dyDescent="0.2"/>
    <row r="95" ht="16.7" customHeight="1" x14ac:dyDescent="0.2"/>
    <row r="96" ht="16.7" customHeight="1" x14ac:dyDescent="0.2"/>
    <row r="97" ht="16.7" customHeight="1" x14ac:dyDescent="0.2"/>
    <row r="98" ht="16.7" customHeight="1" x14ac:dyDescent="0.2"/>
    <row r="99" ht="16.7" customHeight="1" x14ac:dyDescent="0.2"/>
    <row r="100" ht="16.7" customHeight="1" x14ac:dyDescent="0.2"/>
    <row r="101" ht="16.7" customHeight="1" x14ac:dyDescent="0.2"/>
    <row r="102" ht="16.7" customHeight="1" x14ac:dyDescent="0.2"/>
    <row r="103" ht="15" customHeight="1" x14ac:dyDescent="0.2"/>
    <row r="104" ht="15" customHeight="1" x14ac:dyDescent="0.2"/>
  </sheetData>
  <mergeCells count="5">
    <mergeCell ref="A3:C3"/>
    <mergeCell ref="A4:C4"/>
    <mergeCell ref="A5:A6"/>
    <mergeCell ref="A29:C29"/>
    <mergeCell ref="B30:C30"/>
  </mergeCells>
  <pageMargins left="0.75" right="0.75" top="1" bottom="1" header="0.5" footer="0.5"/>
  <customProperties>
    <customPr name="_pios_id" r:id="rId1"/>
  </customProperties>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519A94-ED59-4DA4-8E4A-633332ED8887}">
  <sheetPr codeName="Sheet63"/>
  <dimension ref="A1:O92"/>
  <sheetViews>
    <sheetView workbookViewId="0">
      <pane ySplit="7" topLeftCell="A8" activePane="bottomLeft" state="frozen"/>
      <selection pane="bottomLeft"/>
    </sheetView>
  </sheetViews>
  <sheetFormatPr defaultColWidth="11.5" defaultRowHeight="12.75" x14ac:dyDescent="0.2"/>
  <cols>
    <col min="1" max="1" width="3.125" style="1953" customWidth="1"/>
    <col min="2" max="2" width="63.375" style="1953" customWidth="1"/>
    <col min="3" max="12" width="14.125" style="1953" customWidth="1"/>
    <col min="13" max="13" width="13" style="1953" customWidth="1"/>
    <col min="14" max="14" width="13.625" style="1953" customWidth="1"/>
    <col min="15" max="15" width="30.125" style="1953" customWidth="1"/>
    <col min="16" max="29" width="17.625" style="1953" customWidth="1"/>
    <col min="30" max="16384" width="11.5" style="1953"/>
  </cols>
  <sheetData>
    <row r="1" spans="1:15" ht="16.7" customHeight="1" x14ac:dyDescent="0.2">
      <c r="B1" s="2755" t="s">
        <v>5937</v>
      </c>
    </row>
    <row r="2" spans="1:15" ht="16.7" customHeight="1" x14ac:dyDescent="0.2"/>
    <row r="3" spans="1:15" ht="16.7" customHeight="1" x14ac:dyDescent="0.2">
      <c r="A3" s="3932" t="s">
        <v>7706</v>
      </c>
      <c r="B3" s="3975"/>
      <c r="C3" s="3975"/>
      <c r="D3" s="3975"/>
      <c r="E3" s="3975"/>
      <c r="F3" s="3975"/>
      <c r="G3" s="3975"/>
      <c r="H3" s="3976"/>
      <c r="I3" s="3977" t="s">
        <v>7707</v>
      </c>
      <c r="J3" s="3978"/>
      <c r="K3" s="3978"/>
      <c r="L3" s="3978"/>
      <c r="M3" s="3978"/>
      <c r="N3" s="3979"/>
      <c r="O3" s="2479"/>
    </row>
    <row r="4" spans="1:15" ht="16.7" customHeight="1" x14ac:dyDescent="0.2">
      <c r="A4" s="3882" t="s">
        <v>7708</v>
      </c>
      <c r="B4" s="3891"/>
      <c r="C4" s="3891"/>
      <c r="D4" s="3891"/>
      <c r="E4" s="3891"/>
      <c r="F4" s="3891"/>
      <c r="G4" s="3891"/>
      <c r="H4" s="3892"/>
      <c r="I4" s="3980" t="s">
        <v>7709</v>
      </c>
      <c r="J4" s="3981"/>
      <c r="K4" s="3981"/>
      <c r="L4" s="3981"/>
      <c r="M4" s="3981"/>
      <c r="N4" s="3982"/>
      <c r="O4" s="2479"/>
    </row>
    <row r="5" spans="1:15" ht="125.85" customHeight="1" x14ac:dyDescent="0.2">
      <c r="A5" s="3878" t="s">
        <v>7710</v>
      </c>
      <c r="B5" s="3879"/>
      <c r="C5" s="3879"/>
      <c r="D5" s="3879"/>
      <c r="E5" s="3879"/>
      <c r="F5" s="3879"/>
      <c r="G5" s="3879"/>
      <c r="H5" s="3880"/>
      <c r="I5" s="3983"/>
      <c r="J5" s="3984"/>
      <c r="K5" s="3984"/>
      <c r="L5" s="3984"/>
      <c r="M5" s="3984"/>
      <c r="N5" s="3985"/>
      <c r="O5" s="2479"/>
    </row>
    <row r="6" spans="1:15" ht="59.1" customHeight="1" x14ac:dyDescent="0.2">
      <c r="A6" s="3898" t="s">
        <v>6360</v>
      </c>
      <c r="B6" s="2581" t="s">
        <v>7711</v>
      </c>
      <c r="C6" s="2581" t="s">
        <v>7712</v>
      </c>
      <c r="D6" s="2581" t="s">
        <v>7713</v>
      </c>
      <c r="E6" s="2581" t="s">
        <v>7714</v>
      </c>
      <c r="F6" s="2581" t="s">
        <v>7715</v>
      </c>
      <c r="G6" s="2581" t="s">
        <v>7716</v>
      </c>
      <c r="H6" s="2581" t="s">
        <v>7717</v>
      </c>
      <c r="I6" s="2797" t="s">
        <v>7718</v>
      </c>
      <c r="J6" s="2797" t="s">
        <v>6979</v>
      </c>
      <c r="K6" s="2797" t="s">
        <v>7719</v>
      </c>
      <c r="L6" s="2797" t="s">
        <v>7720</v>
      </c>
      <c r="M6" s="2797" t="s">
        <v>7721</v>
      </c>
      <c r="N6" s="2797" t="s">
        <v>7722</v>
      </c>
      <c r="O6" s="2479"/>
    </row>
    <row r="7" spans="1:15" ht="16.7" customHeight="1" x14ac:dyDescent="0.2">
      <c r="A7" s="3923"/>
      <c r="B7" s="2589" t="s">
        <v>5949</v>
      </c>
      <c r="C7" s="2589" t="s">
        <v>5950</v>
      </c>
      <c r="D7" s="2589" t="s">
        <v>5951</v>
      </c>
      <c r="E7" s="2589" t="s">
        <v>5952</v>
      </c>
      <c r="F7" s="2589" t="s">
        <v>6227</v>
      </c>
      <c r="G7" s="2589" t="s">
        <v>5804</v>
      </c>
      <c r="H7" s="2589" t="s">
        <v>6228</v>
      </c>
      <c r="I7" s="2798" t="s">
        <v>6229</v>
      </c>
      <c r="J7" s="2798" t="s">
        <v>6230</v>
      </c>
      <c r="K7" s="2798" t="s">
        <v>6231</v>
      </c>
      <c r="L7" s="2798" t="s">
        <v>6232</v>
      </c>
      <c r="M7" s="2798" t="s">
        <v>6233</v>
      </c>
      <c r="N7" s="2798" t="s">
        <v>7035</v>
      </c>
      <c r="O7" s="2479" t="s">
        <v>6324</v>
      </c>
    </row>
    <row r="8" spans="1:15" ht="16.7" customHeight="1" x14ac:dyDescent="0.2">
      <c r="A8" s="2748">
        <v>1</v>
      </c>
      <c r="B8" s="2512" t="s">
        <v>7723</v>
      </c>
      <c r="C8" s="2799"/>
      <c r="D8" s="2799"/>
      <c r="E8" s="2799"/>
      <c r="F8" s="2799"/>
      <c r="G8" s="2799"/>
      <c r="H8" s="2799"/>
      <c r="I8" s="2799"/>
      <c r="J8" s="2799"/>
      <c r="K8" s="2799"/>
      <c r="L8" s="2799"/>
      <c r="M8" s="2799"/>
      <c r="N8" s="2799"/>
      <c r="O8" s="2479"/>
    </row>
    <row r="9" spans="1:15" ht="16.7" customHeight="1" x14ac:dyDescent="0.2">
      <c r="A9" s="2489"/>
      <c r="B9" s="2669" t="s">
        <v>7724</v>
      </c>
      <c r="C9" s="2614"/>
      <c r="D9" s="2614"/>
      <c r="E9" s="2614"/>
      <c r="F9" s="2614"/>
      <c r="G9" s="2614"/>
      <c r="H9" s="2614"/>
      <c r="I9" s="2807"/>
      <c r="J9" s="2807"/>
      <c r="K9" s="2807"/>
      <c r="L9" s="2807"/>
      <c r="M9" s="2614"/>
      <c r="N9" s="2614"/>
      <c r="O9" s="2479" t="str">
        <f t="shared" ref="O9:O72" si="0">B9</f>
        <v>First Mortgage Bonds:</v>
      </c>
    </row>
    <row r="10" spans="1:15" ht="16.7" customHeight="1" x14ac:dyDescent="0.2">
      <c r="A10" s="2748">
        <v>3</v>
      </c>
      <c r="B10" s="2512" t="s">
        <v>7725</v>
      </c>
      <c r="C10" s="2614"/>
      <c r="D10" s="2530">
        <v>300000000</v>
      </c>
      <c r="E10" s="2530">
        <v>2759352</v>
      </c>
      <c r="F10" s="2530">
        <v>1859352</v>
      </c>
      <c r="G10" s="2530">
        <v>0</v>
      </c>
      <c r="H10" s="2530">
        <v>900000</v>
      </c>
      <c r="I10" s="2807">
        <v>41431</v>
      </c>
      <c r="J10" s="2807">
        <v>45078</v>
      </c>
      <c r="K10" s="2807">
        <v>41431</v>
      </c>
      <c r="L10" s="2807">
        <v>45078</v>
      </c>
      <c r="M10" s="2530">
        <v>0</v>
      </c>
      <c r="N10" s="2530">
        <v>3687500</v>
      </c>
      <c r="O10" s="2479" t="str">
        <f t="shared" si="0"/>
        <v>First Mortgage Bonds: 2.95% Series due 2023</v>
      </c>
    </row>
    <row r="11" spans="1:15" ht="16.7" customHeight="1" x14ac:dyDescent="0.2">
      <c r="A11" s="2748">
        <v>4</v>
      </c>
      <c r="B11" s="2512" t="s">
        <v>7726</v>
      </c>
      <c r="C11" s="2614"/>
      <c r="D11" s="2530">
        <v>425000000</v>
      </c>
      <c r="E11" s="2530">
        <v>3600164</v>
      </c>
      <c r="F11" s="2530">
        <v>3345164</v>
      </c>
      <c r="G11" s="2530">
        <v>0</v>
      </c>
      <c r="H11" s="2530">
        <v>255000</v>
      </c>
      <c r="I11" s="2807">
        <v>41711</v>
      </c>
      <c r="J11" s="2807">
        <v>45383</v>
      </c>
      <c r="K11" s="2807">
        <v>41711</v>
      </c>
      <c r="L11" s="2807">
        <v>45383</v>
      </c>
      <c r="M11" s="2530">
        <v>425000000</v>
      </c>
      <c r="N11" s="2530">
        <v>15300000</v>
      </c>
      <c r="O11" s="2479" t="str">
        <f t="shared" si="0"/>
        <v>First Mortgage Bonds: 3.60% Series due 2024</v>
      </c>
    </row>
    <row r="12" spans="1:15" ht="16.7" customHeight="1" x14ac:dyDescent="0.2">
      <c r="A12" s="2808">
        <f t="shared" ref="A12:A29" si="1">A11+0.01</f>
        <v>4.01</v>
      </c>
      <c r="B12" s="2512" t="s">
        <v>7727</v>
      </c>
      <c r="C12" s="2614"/>
      <c r="D12" s="2530">
        <v>250000000</v>
      </c>
      <c r="E12" s="2530">
        <v>2441421</v>
      </c>
      <c r="F12" s="2530">
        <v>2121421</v>
      </c>
      <c r="G12" s="2530">
        <v>0</v>
      </c>
      <c r="H12" s="2530">
        <v>320000</v>
      </c>
      <c r="I12" s="2807">
        <v>42174</v>
      </c>
      <c r="J12" s="2807">
        <v>45839</v>
      </c>
      <c r="K12" s="2807">
        <v>42174</v>
      </c>
      <c r="L12" s="2807">
        <v>45839</v>
      </c>
      <c r="M12" s="2530">
        <v>250000000</v>
      </c>
      <c r="N12" s="2530">
        <v>8375000</v>
      </c>
      <c r="O12" s="2479" t="str">
        <f t="shared" si="0"/>
        <v>First Mortgage Bonds: 3.35% Series due 2025</v>
      </c>
    </row>
    <row r="13" spans="1:15" ht="16.7" customHeight="1" x14ac:dyDescent="0.2">
      <c r="A13" s="2808">
        <f t="shared" si="1"/>
        <v>4.0199999999999996</v>
      </c>
      <c r="B13" s="2512" t="s">
        <v>7728</v>
      </c>
      <c r="C13" s="2614"/>
      <c r="D13" s="2530">
        <v>400000000</v>
      </c>
      <c r="E13" s="2530">
        <v>2874659</v>
      </c>
      <c r="F13" s="2530">
        <v>2134659</v>
      </c>
      <c r="G13" s="2530">
        <v>0</v>
      </c>
      <c r="H13" s="2530">
        <v>740000</v>
      </c>
      <c r="I13" s="2807">
        <v>43525</v>
      </c>
      <c r="J13" s="2807">
        <v>47284</v>
      </c>
      <c r="K13" s="2807">
        <v>43525</v>
      </c>
      <c r="L13" s="2807">
        <v>47284</v>
      </c>
      <c r="M13" s="2530">
        <v>400000000</v>
      </c>
      <c r="N13" s="2530">
        <v>14000000</v>
      </c>
      <c r="O13" s="2479" t="str">
        <f t="shared" si="0"/>
        <v>First Mortgage Bonds: 3.50% Series due 2029</v>
      </c>
    </row>
    <row r="14" spans="1:15" ht="16.7" customHeight="1" x14ac:dyDescent="0.2">
      <c r="A14" s="2808">
        <f t="shared" si="1"/>
        <v>4.0299999999999994</v>
      </c>
      <c r="B14" s="2512" t="s">
        <v>7729</v>
      </c>
      <c r="C14" s="2614"/>
      <c r="D14" s="2530">
        <v>400000000</v>
      </c>
      <c r="E14" s="2530">
        <v>2876791</v>
      </c>
      <c r="F14" s="2530">
        <v>2156791</v>
      </c>
      <c r="G14" s="2530">
        <v>0</v>
      </c>
      <c r="H14" s="2530">
        <v>720000</v>
      </c>
      <c r="I14" s="2807">
        <v>43929</v>
      </c>
      <c r="J14" s="2807">
        <v>47741</v>
      </c>
      <c r="K14" s="2807">
        <v>43929</v>
      </c>
      <c r="L14" s="2807">
        <v>47741</v>
      </c>
      <c r="M14" s="2530">
        <v>400000000</v>
      </c>
      <c r="N14" s="2530">
        <v>10800000</v>
      </c>
      <c r="O14" s="2479" t="str">
        <f t="shared" si="0"/>
        <v>First Mortgage Bonds: 2.70% Series due 2030</v>
      </c>
    </row>
    <row r="15" spans="1:15" ht="16.7" customHeight="1" x14ac:dyDescent="0.2">
      <c r="A15" s="2808">
        <f t="shared" si="1"/>
        <v>4.0399999999999991</v>
      </c>
      <c r="B15" s="2512" t="s">
        <v>7730</v>
      </c>
      <c r="C15" s="2614"/>
      <c r="D15" s="2530">
        <v>300000000</v>
      </c>
      <c r="E15" s="2530">
        <v>3738150</v>
      </c>
      <c r="F15" s="2530">
        <v>2874150</v>
      </c>
      <c r="G15" s="2530">
        <v>0</v>
      </c>
      <c r="H15" s="2530">
        <v>864000</v>
      </c>
      <c r="I15" s="2807">
        <v>37216</v>
      </c>
      <c r="J15" s="2807">
        <v>48167</v>
      </c>
      <c r="K15" s="2807">
        <v>37216</v>
      </c>
      <c r="L15" s="2807">
        <v>48167</v>
      </c>
      <c r="M15" s="2530">
        <v>300000000</v>
      </c>
      <c r="N15" s="2530">
        <v>23100000</v>
      </c>
      <c r="O15" s="2479" t="str">
        <f t="shared" si="0"/>
        <v>First Mortgage Bonds: 7.70% Series due 2031</v>
      </c>
    </row>
    <row r="16" spans="1:15" ht="16.7" customHeight="1" x14ac:dyDescent="0.2">
      <c r="A16" s="2808">
        <f t="shared" si="1"/>
        <v>4.0499999999999989</v>
      </c>
      <c r="B16" s="2512" t="s">
        <v>7731</v>
      </c>
      <c r="C16" s="2614"/>
      <c r="D16" s="2530">
        <v>200000000</v>
      </c>
      <c r="E16" s="2530">
        <v>2614365</v>
      </c>
      <c r="F16" s="2530">
        <v>1892365</v>
      </c>
      <c r="G16" s="2530">
        <v>0</v>
      </c>
      <c r="H16" s="2530">
        <v>722000</v>
      </c>
      <c r="I16" s="2807">
        <v>38223</v>
      </c>
      <c r="J16" s="2807">
        <v>49171</v>
      </c>
      <c r="K16" s="2807">
        <v>38223</v>
      </c>
      <c r="L16" s="2807">
        <v>49171</v>
      </c>
      <c r="M16" s="2530">
        <v>200000000</v>
      </c>
      <c r="N16" s="2530">
        <v>11800000</v>
      </c>
      <c r="O16" s="2479" t="str">
        <f t="shared" si="0"/>
        <v>First Mortgage Bonds: 5.90% Series due 2034</v>
      </c>
    </row>
    <row r="17" spans="1:15" ht="16.7" customHeight="1" x14ac:dyDescent="0.2">
      <c r="A17" s="2808">
        <f t="shared" si="1"/>
        <v>4.0599999999999987</v>
      </c>
      <c r="B17" s="2512" t="s">
        <v>7732</v>
      </c>
      <c r="C17" s="2614"/>
      <c r="D17" s="2530">
        <v>300000000</v>
      </c>
      <c r="E17" s="2530">
        <v>3992021</v>
      </c>
      <c r="F17" s="2530">
        <v>2912021</v>
      </c>
      <c r="G17" s="2530">
        <v>0</v>
      </c>
      <c r="H17" s="2530">
        <v>1080000</v>
      </c>
      <c r="I17" s="2807">
        <v>38516</v>
      </c>
      <c r="J17" s="2807">
        <v>49475</v>
      </c>
      <c r="K17" s="2807">
        <v>38516</v>
      </c>
      <c r="L17" s="2807">
        <v>49475</v>
      </c>
      <c r="M17" s="2530">
        <v>300000000</v>
      </c>
      <c r="N17" s="2530">
        <v>15750000</v>
      </c>
      <c r="O17" s="2479" t="str">
        <f t="shared" si="0"/>
        <v>First Mortgage Bonds: 5.25% Series due 2035</v>
      </c>
    </row>
    <row r="18" spans="1:15" ht="16.7" customHeight="1" x14ac:dyDescent="0.2">
      <c r="A18" s="2808">
        <f t="shared" si="1"/>
        <v>4.0699999999999985</v>
      </c>
      <c r="B18" s="2512" t="s">
        <v>7733</v>
      </c>
      <c r="C18" s="2614"/>
      <c r="D18" s="2530">
        <v>350000000</v>
      </c>
      <c r="E18" s="2530">
        <v>4048881</v>
      </c>
      <c r="F18" s="2530">
        <v>2907881</v>
      </c>
      <c r="G18" s="2530">
        <v>0</v>
      </c>
      <c r="H18" s="2530">
        <v>1141000</v>
      </c>
      <c r="I18" s="2807">
        <v>38939</v>
      </c>
      <c r="J18" s="2807">
        <v>49888</v>
      </c>
      <c r="K18" s="2807">
        <v>38939</v>
      </c>
      <c r="L18" s="2807">
        <v>49888</v>
      </c>
      <c r="M18" s="2530">
        <v>350000000</v>
      </c>
      <c r="N18" s="2530">
        <v>21350000</v>
      </c>
      <c r="O18" s="2479" t="str">
        <f t="shared" si="0"/>
        <v>First Mortgage Bonds: 6.10% Series due 2036</v>
      </c>
    </row>
    <row r="19" spans="1:15" ht="16.7" customHeight="1" x14ac:dyDescent="0.2">
      <c r="A19" s="2808">
        <f t="shared" si="1"/>
        <v>4.0799999999999983</v>
      </c>
      <c r="B19" s="2512" t="s">
        <v>7734</v>
      </c>
      <c r="C19" s="2614"/>
      <c r="D19" s="2530">
        <v>600000000</v>
      </c>
      <c r="E19" s="2530">
        <v>613216</v>
      </c>
      <c r="F19" s="2530">
        <v>589216</v>
      </c>
      <c r="G19" s="2530">
        <v>0</v>
      </c>
      <c r="H19" s="2530">
        <v>24000</v>
      </c>
      <c r="I19" s="2807">
        <v>39155</v>
      </c>
      <c r="J19" s="2807">
        <v>50131</v>
      </c>
      <c r="K19" s="2807">
        <v>39155</v>
      </c>
      <c r="L19" s="2807">
        <v>50131</v>
      </c>
      <c r="M19" s="2530">
        <v>600000000</v>
      </c>
      <c r="N19" s="2530">
        <v>34500000</v>
      </c>
      <c r="O19" s="2479" t="str">
        <f t="shared" si="0"/>
        <v>First Mortgage Bonds: 5.75% Series due 2037</v>
      </c>
    </row>
    <row r="20" spans="1:15" ht="16.7" customHeight="1" x14ac:dyDescent="0.2">
      <c r="A20" s="2808">
        <f t="shared" si="1"/>
        <v>4.0899999999999981</v>
      </c>
      <c r="B20" s="2512" t="s">
        <v>7735</v>
      </c>
      <c r="C20" s="2614"/>
      <c r="D20" s="2530">
        <v>600000000</v>
      </c>
      <c r="E20" s="2530">
        <v>5877281</v>
      </c>
      <c r="F20" s="2530">
        <v>5127281</v>
      </c>
      <c r="G20" s="2530">
        <v>0</v>
      </c>
      <c r="H20" s="2530">
        <v>750000</v>
      </c>
      <c r="I20" s="2807">
        <v>39358</v>
      </c>
      <c r="J20" s="2807">
        <v>50328</v>
      </c>
      <c r="K20" s="2807">
        <v>39358</v>
      </c>
      <c r="L20" s="2807">
        <v>50328</v>
      </c>
      <c r="M20" s="2530">
        <v>600000000</v>
      </c>
      <c r="N20" s="2530">
        <v>37500000</v>
      </c>
      <c r="O20" s="2479" t="str">
        <f t="shared" si="0"/>
        <v>First Mortgage Bonds: 6.25% Series due 2037</v>
      </c>
    </row>
    <row r="21" spans="1:15" ht="16.7" customHeight="1" x14ac:dyDescent="0.2">
      <c r="A21" s="2808">
        <f t="shared" si="1"/>
        <v>4.0999999999999979</v>
      </c>
      <c r="B21" s="2512" t="s">
        <v>7736</v>
      </c>
      <c r="C21" s="2614"/>
      <c r="D21" s="2530">
        <v>300000000</v>
      </c>
      <c r="E21" s="2530">
        <v>3961333</v>
      </c>
      <c r="F21" s="2530">
        <v>2290333</v>
      </c>
      <c r="G21" s="2530">
        <v>0</v>
      </c>
      <c r="H21" s="2530">
        <v>1671000</v>
      </c>
      <c r="I21" s="2807">
        <v>39646</v>
      </c>
      <c r="J21" s="2807">
        <v>50601</v>
      </c>
      <c r="K21" s="2807">
        <v>39646</v>
      </c>
      <c r="L21" s="2807">
        <v>50601</v>
      </c>
      <c r="M21" s="2530">
        <v>300000000</v>
      </c>
      <c r="N21" s="2530">
        <v>19050000</v>
      </c>
      <c r="O21" s="2479" t="str">
        <f t="shared" si="0"/>
        <v>First Mortgage Bonds: 6.35% Series due 2038</v>
      </c>
    </row>
    <row r="22" spans="1:15" ht="16.7" customHeight="1" x14ac:dyDescent="0.2">
      <c r="A22" s="2808">
        <f t="shared" si="1"/>
        <v>4.1099999999999977</v>
      </c>
      <c r="B22" s="2512" t="s">
        <v>7737</v>
      </c>
      <c r="C22" s="2614"/>
      <c r="D22" s="2530">
        <v>650000000</v>
      </c>
      <c r="E22" s="2530">
        <v>12309687</v>
      </c>
      <c r="F22" s="2530">
        <v>6134687</v>
      </c>
      <c r="G22" s="2530">
        <v>0</v>
      </c>
      <c r="H22" s="2530">
        <v>6175000</v>
      </c>
      <c r="I22" s="2807">
        <v>39821</v>
      </c>
      <c r="J22" s="2807">
        <v>50785</v>
      </c>
      <c r="K22" s="2807">
        <v>39821</v>
      </c>
      <c r="L22" s="2807">
        <v>50785</v>
      </c>
      <c r="M22" s="2530">
        <v>650000000</v>
      </c>
      <c r="N22" s="2530">
        <v>39000000</v>
      </c>
      <c r="O22" s="2479" t="str">
        <f t="shared" si="0"/>
        <v>First Mortgage Bonds: 6.00% Series due 2039</v>
      </c>
    </row>
    <row r="23" spans="1:15" ht="16.7" customHeight="1" x14ac:dyDescent="0.2">
      <c r="A23" s="2808">
        <f t="shared" si="1"/>
        <v>4.1199999999999974</v>
      </c>
      <c r="B23" s="2512" t="s">
        <v>7738</v>
      </c>
      <c r="C23" s="2614"/>
      <c r="D23" s="2530">
        <v>300000000</v>
      </c>
      <c r="E23" s="2530">
        <v>3724911</v>
      </c>
      <c r="F23" s="2530">
        <v>2737911</v>
      </c>
      <c r="G23" s="2530">
        <v>0</v>
      </c>
      <c r="H23" s="2530">
        <v>987000</v>
      </c>
      <c r="I23" s="2807">
        <v>40914</v>
      </c>
      <c r="J23" s="2807">
        <v>51898</v>
      </c>
      <c r="K23" s="2807">
        <v>40914</v>
      </c>
      <c r="L23" s="2807">
        <v>51898</v>
      </c>
      <c r="M23" s="2530">
        <v>300000000</v>
      </c>
      <c r="N23" s="2530">
        <v>12300000</v>
      </c>
      <c r="O23" s="2479" t="str">
        <f t="shared" si="0"/>
        <v>First Mortgage Bonds: 4.10% Series due 2042</v>
      </c>
    </row>
    <row r="24" spans="1:15" ht="16.7" customHeight="1" x14ac:dyDescent="0.2">
      <c r="A24" s="2808">
        <f t="shared" si="1"/>
        <v>4.1299999999999972</v>
      </c>
      <c r="B24" s="2512" t="s">
        <v>7739</v>
      </c>
      <c r="C24" s="2614"/>
      <c r="D24" s="2530">
        <v>600000000</v>
      </c>
      <c r="E24" s="2530">
        <v>6984085</v>
      </c>
      <c r="F24" s="2530">
        <v>5640085</v>
      </c>
      <c r="G24" s="2530">
        <v>0</v>
      </c>
      <c r="H24" s="2530">
        <v>1344000</v>
      </c>
      <c r="I24" s="2807">
        <v>43294</v>
      </c>
      <c r="J24" s="2807">
        <v>54438</v>
      </c>
      <c r="K24" s="2807">
        <v>43294</v>
      </c>
      <c r="L24" s="2807">
        <v>54438</v>
      </c>
      <c r="M24" s="2530">
        <v>600000000</v>
      </c>
      <c r="N24" s="2530">
        <v>24750000</v>
      </c>
      <c r="O24" s="2479" t="str">
        <f t="shared" si="0"/>
        <v>First Mortgage Bonds: 4.125% Series due 2049</v>
      </c>
    </row>
    <row r="25" spans="1:15" ht="16.7" customHeight="1" x14ac:dyDescent="0.2">
      <c r="A25" s="2808">
        <f t="shared" si="1"/>
        <v>4.139999999999997</v>
      </c>
      <c r="B25" s="2512" t="s">
        <v>7740</v>
      </c>
      <c r="C25" s="2614"/>
      <c r="D25" s="2530">
        <v>600000000</v>
      </c>
      <c r="E25" s="2530">
        <v>7939489</v>
      </c>
      <c r="F25" s="2530">
        <v>5149489</v>
      </c>
      <c r="G25" s="2530">
        <v>0</v>
      </c>
      <c r="H25" s="2530">
        <v>2790000</v>
      </c>
      <c r="I25" s="2807">
        <v>43525</v>
      </c>
      <c r="J25" s="2807">
        <v>54834</v>
      </c>
      <c r="K25" s="2807">
        <v>43525</v>
      </c>
      <c r="L25" s="2807">
        <v>54834</v>
      </c>
      <c r="M25" s="2530">
        <v>600000000</v>
      </c>
      <c r="N25" s="2530">
        <v>24900000</v>
      </c>
      <c r="O25" s="2479" t="str">
        <f t="shared" si="0"/>
        <v>First Mortgage Bonds: 4.15% Series due 2050</v>
      </c>
    </row>
    <row r="26" spans="1:15" ht="16.7" customHeight="1" x14ac:dyDescent="0.2">
      <c r="A26" s="2808">
        <f t="shared" si="1"/>
        <v>4.1499999999999968</v>
      </c>
      <c r="B26" s="2512" t="s">
        <v>7741</v>
      </c>
      <c r="C26" s="2614"/>
      <c r="D26" s="2530">
        <v>600000000</v>
      </c>
      <c r="E26" s="2530">
        <v>10127937</v>
      </c>
      <c r="F26" s="2530">
        <v>5183937</v>
      </c>
      <c r="G26" s="2530">
        <v>0</v>
      </c>
      <c r="H26" s="2530">
        <v>4944000</v>
      </c>
      <c r="I26" s="2807">
        <v>43929</v>
      </c>
      <c r="J26" s="2807">
        <v>55227</v>
      </c>
      <c r="K26" s="2807">
        <v>43929</v>
      </c>
      <c r="L26" s="2807">
        <v>55227</v>
      </c>
      <c r="M26" s="2530">
        <v>600000000</v>
      </c>
      <c r="N26" s="2530">
        <v>19800000</v>
      </c>
      <c r="O26" s="2479" t="str">
        <f t="shared" si="0"/>
        <v>First Mortgage Bonds: 3.30% Series due 2051</v>
      </c>
    </row>
    <row r="27" spans="1:15" ht="16.7" customHeight="1" x14ac:dyDescent="0.2">
      <c r="A27" s="2808">
        <f t="shared" si="1"/>
        <v>4.1599999999999966</v>
      </c>
      <c r="B27" s="2512" t="s">
        <v>7742</v>
      </c>
      <c r="C27" s="2614"/>
      <c r="D27" s="2530">
        <v>1000000000</v>
      </c>
      <c r="E27" s="2530">
        <v>16060124</v>
      </c>
      <c r="F27" s="2530">
        <v>8390124</v>
      </c>
      <c r="G27" s="2530">
        <v>0</v>
      </c>
      <c r="H27" s="2530">
        <v>7670000</v>
      </c>
      <c r="I27" s="2807">
        <v>44386</v>
      </c>
      <c r="J27" s="2807">
        <v>55685</v>
      </c>
      <c r="K27" s="2807">
        <v>44386</v>
      </c>
      <c r="L27" s="2807">
        <v>55685</v>
      </c>
      <c r="M27" s="2530">
        <v>1000000000</v>
      </c>
      <c r="N27" s="2530">
        <v>29000000</v>
      </c>
      <c r="O27" s="2479" t="str">
        <f t="shared" si="0"/>
        <v>First Mortgage Bonds: 2.90% Series due 2052</v>
      </c>
    </row>
    <row r="28" spans="1:15" ht="16.7" customHeight="1" x14ac:dyDescent="0.2">
      <c r="A28" s="2808">
        <f t="shared" si="1"/>
        <v>4.1699999999999964</v>
      </c>
      <c r="B28" s="2512" t="s">
        <v>7743</v>
      </c>
      <c r="C28" s="2614"/>
      <c r="D28" s="2530">
        <v>1100000000</v>
      </c>
      <c r="E28" s="2530">
        <v>12508626</v>
      </c>
      <c r="F28" s="2530">
        <v>9208626</v>
      </c>
      <c r="G28" s="2530">
        <v>0</v>
      </c>
      <c r="H28" s="2530">
        <v>3300000</v>
      </c>
      <c r="I28" s="2807">
        <v>44896</v>
      </c>
      <c r="J28" s="2807">
        <v>56219</v>
      </c>
      <c r="K28" s="2807">
        <v>44896</v>
      </c>
      <c r="L28" s="2807">
        <v>56219</v>
      </c>
      <c r="M28" s="2530">
        <v>1100000000</v>
      </c>
      <c r="N28" s="2530">
        <v>58850000</v>
      </c>
      <c r="O28" s="2479" t="str">
        <f t="shared" si="0"/>
        <v>First Mortgage Bonds: 5.35% Series due 2053</v>
      </c>
    </row>
    <row r="29" spans="1:15" ht="16.7" customHeight="1" x14ac:dyDescent="0.2">
      <c r="A29" s="2808">
        <f t="shared" si="1"/>
        <v>4.1799999999999962</v>
      </c>
      <c r="B29" s="2744" t="s">
        <v>7744</v>
      </c>
      <c r="C29" s="2614"/>
      <c r="D29" s="2530">
        <v>1200000000</v>
      </c>
      <c r="E29" s="2530">
        <v>9661192</v>
      </c>
      <c r="F29" s="2530">
        <v>9133192</v>
      </c>
      <c r="G29" s="2530">
        <v>0</v>
      </c>
      <c r="H29" s="2530">
        <v>528000</v>
      </c>
      <c r="I29" s="2807">
        <v>45063</v>
      </c>
      <c r="J29" s="2807">
        <v>56384</v>
      </c>
      <c r="K29" s="2807">
        <v>45063</v>
      </c>
      <c r="L29" s="2807">
        <v>56384</v>
      </c>
      <c r="M29" s="2530">
        <v>1200000000</v>
      </c>
      <c r="N29" s="2530">
        <v>41066667</v>
      </c>
      <c r="O29" s="2479" t="str">
        <f t="shared" si="0"/>
        <v>First Mortgage Bonds: 5.50% Series due 2054</v>
      </c>
    </row>
    <row r="30" spans="1:15" ht="16.7" customHeight="1" x14ac:dyDescent="0.2">
      <c r="A30" s="2489"/>
      <c r="B30" s="2512"/>
      <c r="C30" s="2614"/>
      <c r="D30" s="2614"/>
      <c r="E30" s="2614"/>
      <c r="F30" s="2614"/>
      <c r="G30" s="2614"/>
      <c r="H30" s="2614"/>
      <c r="I30" s="2807"/>
      <c r="J30" s="2807"/>
      <c r="K30" s="2807"/>
      <c r="L30" s="2807"/>
      <c r="M30" s="2614"/>
      <c r="N30" s="2614"/>
      <c r="O30" s="2595">
        <f t="shared" si="0"/>
        <v>0</v>
      </c>
    </row>
    <row r="31" spans="1:15" ht="16.7" customHeight="1" x14ac:dyDescent="0.2">
      <c r="A31" s="2489"/>
      <c r="B31" s="2669" t="s">
        <v>7745</v>
      </c>
      <c r="C31" s="2614"/>
      <c r="D31" s="2672">
        <v>10475000000</v>
      </c>
      <c r="E31" s="2672">
        <v>118713685</v>
      </c>
      <c r="F31" s="2672">
        <v>81788685</v>
      </c>
      <c r="G31" s="2672">
        <v>0</v>
      </c>
      <c r="H31" s="2672">
        <v>36925000</v>
      </c>
      <c r="I31" s="2799"/>
      <c r="J31" s="2799"/>
      <c r="K31" s="2799"/>
      <c r="L31" s="2799"/>
      <c r="M31" s="2672">
        <v>10175000000</v>
      </c>
      <c r="N31" s="2672">
        <v>464879167</v>
      </c>
      <c r="O31" s="2479" t="str">
        <f t="shared" si="0"/>
        <v>Subtotal First Mortgage Bonds</v>
      </c>
    </row>
    <row r="32" spans="1:15" ht="16.7" customHeight="1" x14ac:dyDescent="0.2">
      <c r="A32" s="2489"/>
      <c r="B32" s="2512"/>
      <c r="C32" s="2614"/>
      <c r="D32" s="2614"/>
      <c r="E32" s="2614"/>
      <c r="F32" s="2614"/>
      <c r="G32" s="2614"/>
      <c r="H32" s="2614"/>
      <c r="I32" s="2614"/>
      <c r="J32" s="2614"/>
      <c r="K32" s="2614"/>
      <c r="L32" s="2614"/>
      <c r="M32" s="2614"/>
      <c r="N32" s="2614"/>
      <c r="O32" s="2595">
        <f t="shared" si="0"/>
        <v>0</v>
      </c>
    </row>
    <row r="33" spans="1:15" ht="16.7" customHeight="1" x14ac:dyDescent="0.2">
      <c r="A33" s="2489"/>
      <c r="B33" s="2669" t="s">
        <v>7746</v>
      </c>
      <c r="C33" s="2614"/>
      <c r="D33" s="2614"/>
      <c r="E33" s="2614"/>
      <c r="F33" s="2614"/>
      <c r="G33" s="2614"/>
      <c r="H33" s="2614"/>
      <c r="I33" s="2614"/>
      <c r="J33" s="2614"/>
      <c r="K33" s="2614"/>
      <c r="L33" s="2614"/>
      <c r="M33" s="2614"/>
      <c r="N33" s="2614"/>
      <c r="O33" s="2479" t="str">
        <f t="shared" si="0"/>
        <v>Secured Medium-Term Notes:</v>
      </c>
    </row>
    <row r="34" spans="1:15" ht="16.7" customHeight="1" x14ac:dyDescent="0.2">
      <c r="A34" s="2808">
        <f>A29+0.01</f>
        <v>4.1899999999999959</v>
      </c>
      <c r="B34" s="2512" t="s">
        <v>7747</v>
      </c>
      <c r="C34" s="2614"/>
      <c r="D34" s="2530">
        <v>5000000</v>
      </c>
      <c r="E34" s="2530">
        <v>37914</v>
      </c>
      <c r="F34" s="2530">
        <v>37914</v>
      </c>
      <c r="G34" s="2530">
        <v>0</v>
      </c>
      <c r="H34" s="2530">
        <v>0</v>
      </c>
      <c r="I34" s="2807">
        <v>33989</v>
      </c>
      <c r="J34" s="2807">
        <v>44946</v>
      </c>
      <c r="K34" s="2807">
        <v>33989</v>
      </c>
      <c r="L34" s="2807">
        <v>44946</v>
      </c>
      <c r="M34" s="2530">
        <v>0</v>
      </c>
      <c r="N34" s="2530">
        <v>21718</v>
      </c>
      <c r="O34" s="2479" t="str">
        <f t="shared" si="0"/>
        <v>Secured Medium-Term Notes: 8.23% Series E due 2023 - A</v>
      </c>
    </row>
    <row r="35" spans="1:15" ht="16.7" customHeight="1" x14ac:dyDescent="0.2">
      <c r="A35" s="2808">
        <f t="shared" ref="A35:A57" si="2">A34+0.01</f>
        <v>4.1999999999999957</v>
      </c>
      <c r="B35" s="2512" t="s">
        <v>7748</v>
      </c>
      <c r="C35" s="2614"/>
      <c r="D35" s="2530">
        <v>4000000</v>
      </c>
      <c r="E35" s="2530">
        <v>-51229</v>
      </c>
      <c r="F35" s="2530">
        <v>30331</v>
      </c>
      <c r="G35" s="2530">
        <v>-81560</v>
      </c>
      <c r="H35" s="2530">
        <v>0</v>
      </c>
      <c r="I35" s="2807">
        <v>33998</v>
      </c>
      <c r="J35" s="2807">
        <v>44946</v>
      </c>
      <c r="K35" s="2807">
        <v>33998</v>
      </c>
      <c r="L35" s="2807">
        <v>44946</v>
      </c>
      <c r="M35" s="2530">
        <v>0</v>
      </c>
      <c r="N35" s="2530">
        <v>17374</v>
      </c>
      <c r="O35" s="2479" t="str">
        <f t="shared" si="0"/>
        <v>Secured Medium-Term Notes: 8.23% Series E due 2023 - B</v>
      </c>
    </row>
    <row r="36" spans="1:15" ht="16.7" customHeight="1" x14ac:dyDescent="0.2">
      <c r="A36" s="2808">
        <f t="shared" si="2"/>
        <v>4.2099999999999955</v>
      </c>
      <c r="B36" s="2512" t="s">
        <v>7749</v>
      </c>
      <c r="C36" s="2614"/>
      <c r="D36" s="2530">
        <v>27000000</v>
      </c>
      <c r="E36" s="2530">
        <v>246981</v>
      </c>
      <c r="F36" s="2530">
        <v>246981</v>
      </c>
      <c r="G36" s="2530">
        <v>0</v>
      </c>
      <c r="H36" s="2530">
        <v>0</v>
      </c>
      <c r="I36" s="2807">
        <v>34172</v>
      </c>
      <c r="J36" s="2807">
        <v>45128</v>
      </c>
      <c r="K36" s="2807">
        <v>34172</v>
      </c>
      <c r="L36" s="2807">
        <v>45128</v>
      </c>
      <c r="M36" s="2530">
        <v>0</v>
      </c>
      <c r="N36" s="2530">
        <v>1089000</v>
      </c>
      <c r="O36" s="2809" t="str">
        <f t="shared" si="0"/>
        <v>Secured Medium-Term Notes: 7.26% Series F due 2023 - A</v>
      </c>
    </row>
    <row r="37" spans="1:15" ht="16.7" customHeight="1" x14ac:dyDescent="0.2">
      <c r="A37" s="2808">
        <f t="shared" si="2"/>
        <v>4.2199999999999953</v>
      </c>
      <c r="B37" s="2512" t="s">
        <v>7750</v>
      </c>
      <c r="C37" s="2614"/>
      <c r="D37" s="2530">
        <v>11000000</v>
      </c>
      <c r="E37" s="2530">
        <v>100622</v>
      </c>
      <c r="F37" s="2530">
        <v>100622</v>
      </c>
      <c r="G37" s="2530">
        <v>0</v>
      </c>
      <c r="H37" s="2530">
        <v>0</v>
      </c>
      <c r="I37" s="2807">
        <v>34172</v>
      </c>
      <c r="J37" s="2807">
        <v>45128</v>
      </c>
      <c r="K37" s="2807">
        <v>34172</v>
      </c>
      <c r="L37" s="2807">
        <v>45128</v>
      </c>
      <c r="M37" s="2530">
        <v>0</v>
      </c>
      <c r="N37" s="2530">
        <v>443667</v>
      </c>
      <c r="O37" s="2479" t="str">
        <f t="shared" si="0"/>
        <v>Secured Medium-Term Notes: 7.26% Series F due 2023 - B</v>
      </c>
    </row>
    <row r="38" spans="1:15" ht="16.7" customHeight="1" x14ac:dyDescent="0.2">
      <c r="A38" s="2808">
        <f t="shared" si="2"/>
        <v>4.2299999999999951</v>
      </c>
      <c r="B38" s="2512" t="s">
        <v>7751</v>
      </c>
      <c r="C38" s="2614"/>
      <c r="D38" s="2530">
        <v>15000000</v>
      </c>
      <c r="E38" s="2530">
        <v>137211</v>
      </c>
      <c r="F38" s="2530">
        <v>137211</v>
      </c>
      <c r="G38" s="2530">
        <v>0</v>
      </c>
      <c r="H38" s="2530">
        <v>0</v>
      </c>
      <c r="I38" s="2807">
        <v>34197</v>
      </c>
      <c r="J38" s="2807">
        <v>45154</v>
      </c>
      <c r="K38" s="2807">
        <v>34197</v>
      </c>
      <c r="L38" s="2807">
        <v>45154</v>
      </c>
      <c r="M38" s="2530">
        <v>0</v>
      </c>
      <c r="N38" s="2530">
        <v>677813</v>
      </c>
      <c r="O38" s="2479" t="str">
        <f t="shared" si="0"/>
        <v>Secured Medium-Term Notes: 7.23% Series F due 2023</v>
      </c>
    </row>
    <row r="39" spans="1:15" ht="16.7" customHeight="1" x14ac:dyDescent="0.2">
      <c r="A39" s="2808">
        <f t="shared" si="2"/>
        <v>4.2399999999999949</v>
      </c>
      <c r="B39" s="2512" t="s">
        <v>7752</v>
      </c>
      <c r="C39" s="2614"/>
      <c r="D39" s="2530">
        <v>30000000</v>
      </c>
      <c r="E39" s="2530">
        <v>274423</v>
      </c>
      <c r="F39" s="2530">
        <v>274423</v>
      </c>
      <c r="G39" s="2530">
        <v>0</v>
      </c>
      <c r="H39" s="2530">
        <v>0</v>
      </c>
      <c r="I39" s="2807">
        <v>34197</v>
      </c>
      <c r="J39" s="2807">
        <v>45154</v>
      </c>
      <c r="K39" s="2807">
        <v>34197</v>
      </c>
      <c r="L39" s="2807">
        <v>45154</v>
      </c>
      <c r="M39" s="2530">
        <v>0</v>
      </c>
      <c r="N39" s="2530">
        <v>1357500</v>
      </c>
      <c r="O39" s="2479" t="str">
        <f t="shared" si="0"/>
        <v>Secured Medium-Term Notes: 7.24% Series F due 2023</v>
      </c>
    </row>
    <row r="40" spans="1:15" ht="16.7" customHeight="1" x14ac:dyDescent="0.2">
      <c r="A40" s="2808">
        <f t="shared" si="2"/>
        <v>4.2499999999999947</v>
      </c>
      <c r="B40" s="2512" t="s">
        <v>7753</v>
      </c>
      <c r="C40" s="2614"/>
      <c r="D40" s="2530">
        <v>5000000</v>
      </c>
      <c r="E40" s="2530">
        <v>38250</v>
      </c>
      <c r="F40" s="2530">
        <v>38250</v>
      </c>
      <c r="G40" s="2530">
        <v>0</v>
      </c>
      <c r="H40" s="2530">
        <v>0</v>
      </c>
      <c r="I40" s="2807">
        <v>34226</v>
      </c>
      <c r="J40" s="2807">
        <v>45183</v>
      </c>
      <c r="K40" s="2807">
        <v>34226</v>
      </c>
      <c r="L40" s="2807">
        <v>45183</v>
      </c>
      <c r="M40" s="2530">
        <v>0</v>
      </c>
      <c r="N40" s="2530">
        <v>237188</v>
      </c>
      <c r="O40" s="2809" t="str">
        <f t="shared" si="0"/>
        <v>Secured Medium-Term Notes: 6.75% Series F due 2023 - A</v>
      </c>
    </row>
    <row r="41" spans="1:15" ht="16.7" customHeight="1" x14ac:dyDescent="0.2">
      <c r="A41" s="2808">
        <f t="shared" si="2"/>
        <v>4.2599999999999945</v>
      </c>
      <c r="B41" s="2512" t="s">
        <v>7754</v>
      </c>
      <c r="C41" s="2614"/>
      <c r="D41" s="2530">
        <v>2000000</v>
      </c>
      <c r="E41" s="2530">
        <v>15300</v>
      </c>
      <c r="F41" s="2530">
        <v>15300</v>
      </c>
      <c r="G41" s="2530">
        <v>0</v>
      </c>
      <c r="H41" s="2530">
        <v>0</v>
      </c>
      <c r="I41" s="2807">
        <v>34226</v>
      </c>
      <c r="J41" s="2807">
        <v>45183</v>
      </c>
      <c r="K41" s="2807">
        <v>34226</v>
      </c>
      <c r="L41" s="2807">
        <v>45183</v>
      </c>
      <c r="M41" s="2530">
        <v>0</v>
      </c>
      <c r="N41" s="2530">
        <v>94875</v>
      </c>
      <c r="O41" s="2479" t="str">
        <f t="shared" si="0"/>
        <v>Secured Medium-Term Notes: 6.75% Series F due 2023 - B</v>
      </c>
    </row>
    <row r="42" spans="1:15" ht="16.7" customHeight="1" x14ac:dyDescent="0.2">
      <c r="A42" s="2808">
        <f t="shared" si="2"/>
        <v>4.2699999999999942</v>
      </c>
      <c r="B42" s="2512" t="s">
        <v>7755</v>
      </c>
      <c r="C42" s="2614"/>
      <c r="D42" s="2530">
        <v>2000000</v>
      </c>
      <c r="E42" s="2530">
        <v>15300</v>
      </c>
      <c r="F42" s="2530">
        <v>15300</v>
      </c>
      <c r="G42" s="2530">
        <v>0</v>
      </c>
      <c r="H42" s="2530">
        <v>0</v>
      </c>
      <c r="I42" s="2807">
        <v>34226</v>
      </c>
      <c r="J42" s="2807">
        <v>45183</v>
      </c>
      <c r="K42" s="2807">
        <v>34226</v>
      </c>
      <c r="L42" s="2807">
        <v>45183</v>
      </c>
      <c r="M42" s="2530">
        <v>0</v>
      </c>
      <c r="N42" s="2530">
        <v>94453</v>
      </c>
      <c r="O42" s="2479" t="str">
        <f t="shared" si="0"/>
        <v xml:space="preserve">Secured Medium-Term Notes: 6.72% Series F due 2023 </v>
      </c>
    </row>
    <row r="43" spans="1:15" ht="16.7" customHeight="1" x14ac:dyDescent="0.2">
      <c r="A43" s="2808">
        <f t="shared" si="2"/>
        <v>4.279999999999994</v>
      </c>
      <c r="B43" s="2512" t="s">
        <v>7756</v>
      </c>
      <c r="C43" s="2614"/>
      <c r="D43" s="2530">
        <v>20000000</v>
      </c>
      <c r="E43" s="2530">
        <v>152326</v>
      </c>
      <c r="F43" s="2530">
        <v>152326</v>
      </c>
      <c r="G43" s="2530">
        <v>0</v>
      </c>
      <c r="H43" s="2530">
        <v>0</v>
      </c>
      <c r="I43" s="2807">
        <v>34268</v>
      </c>
      <c r="J43" s="2807">
        <v>45225</v>
      </c>
      <c r="K43" s="2807">
        <v>34268</v>
      </c>
      <c r="L43" s="2807">
        <v>45225</v>
      </c>
      <c r="M43" s="2530">
        <v>0</v>
      </c>
      <c r="N43" s="2530">
        <v>1106250</v>
      </c>
      <c r="O43" s="2618" t="str">
        <f t="shared" si="0"/>
        <v>Secured Medium-Term Notes: 6.75% Series F due 2023 - C</v>
      </c>
    </row>
    <row r="44" spans="1:15" ht="16.7" customHeight="1" x14ac:dyDescent="0.2">
      <c r="A44" s="2808">
        <f t="shared" si="2"/>
        <v>4.2899999999999938</v>
      </c>
      <c r="B44" s="2512" t="s">
        <v>7757</v>
      </c>
      <c r="C44" s="2614"/>
      <c r="D44" s="2530">
        <v>16000000</v>
      </c>
      <c r="E44" s="2530">
        <v>121861</v>
      </c>
      <c r="F44" s="2530">
        <v>121861</v>
      </c>
      <c r="G44" s="2530">
        <v>0</v>
      </c>
      <c r="H44" s="2530">
        <v>0</v>
      </c>
      <c r="I44" s="2807">
        <v>34268</v>
      </c>
      <c r="J44" s="2807">
        <v>45225</v>
      </c>
      <c r="K44" s="2807">
        <v>34268</v>
      </c>
      <c r="L44" s="2807">
        <v>45225</v>
      </c>
      <c r="M44" s="2530">
        <v>0</v>
      </c>
      <c r="N44" s="2530">
        <v>885000</v>
      </c>
      <c r="O44" s="2618" t="str">
        <f t="shared" si="0"/>
        <v>Secured Medium-Term Notes: 6.75% Series F due 2023 - D</v>
      </c>
    </row>
    <row r="45" spans="1:15" ht="16.7" customHeight="1" x14ac:dyDescent="0.2">
      <c r="A45" s="2808">
        <f t="shared" si="2"/>
        <v>4.2999999999999936</v>
      </c>
      <c r="B45" s="2512" t="s">
        <v>7758</v>
      </c>
      <c r="C45" s="2614"/>
      <c r="D45" s="2530">
        <v>12000000</v>
      </c>
      <c r="E45" s="2530">
        <v>91396</v>
      </c>
      <c r="F45" s="2530">
        <v>91396</v>
      </c>
      <c r="G45" s="2530">
        <v>0</v>
      </c>
      <c r="H45" s="2530">
        <v>0</v>
      </c>
      <c r="I45" s="2807">
        <v>34268</v>
      </c>
      <c r="J45" s="2807">
        <v>45225</v>
      </c>
      <c r="K45" s="2807">
        <v>34268</v>
      </c>
      <c r="L45" s="2807">
        <v>45225</v>
      </c>
      <c r="M45" s="2530">
        <v>0</v>
      </c>
      <c r="N45" s="2530">
        <v>663750</v>
      </c>
      <c r="O45" s="2810" t="str">
        <f t="shared" si="0"/>
        <v>Secured Medium-Term Notes: 6.75% Series F due 2023 - E</v>
      </c>
    </row>
    <row r="46" spans="1:15" ht="16.7" customHeight="1" x14ac:dyDescent="0.2">
      <c r="A46" s="2808">
        <f t="shared" si="2"/>
        <v>4.3099999999999934</v>
      </c>
      <c r="B46" s="2512" t="s">
        <v>7759</v>
      </c>
      <c r="C46" s="2614"/>
      <c r="D46" s="2530">
        <v>100000000</v>
      </c>
      <c r="E46" s="2530">
        <v>904467</v>
      </c>
      <c r="F46" s="2530">
        <v>904467</v>
      </c>
      <c r="G46" s="2530">
        <v>0</v>
      </c>
      <c r="H46" s="2530">
        <v>0</v>
      </c>
      <c r="I46" s="2807">
        <v>35087</v>
      </c>
      <c r="J46" s="2807">
        <v>46037</v>
      </c>
      <c r="K46" s="2807">
        <v>35087</v>
      </c>
      <c r="L46" s="2807">
        <v>46037</v>
      </c>
      <c r="M46" s="2530">
        <v>100000000</v>
      </c>
      <c r="N46" s="2530">
        <v>6710000</v>
      </c>
      <c r="O46" s="2810" t="str">
        <f t="shared" si="0"/>
        <v>Secured Medium-Term Notes: 6.71% Series G due 2026</v>
      </c>
    </row>
    <row r="47" spans="1:15" ht="16.7" customHeight="1" x14ac:dyDescent="0.2">
      <c r="A47" s="2808">
        <f t="shared" si="2"/>
        <v>4.3199999999999932</v>
      </c>
      <c r="B47" s="2512"/>
      <c r="C47" s="2614"/>
      <c r="D47" s="2614"/>
      <c r="E47" s="2614"/>
      <c r="F47" s="2614"/>
      <c r="G47" s="2614"/>
      <c r="H47" s="2614"/>
      <c r="I47" s="2807"/>
      <c r="J47" s="2807"/>
      <c r="K47" s="2807"/>
      <c r="L47" s="2807"/>
      <c r="M47" s="2614"/>
      <c r="N47" s="2614"/>
      <c r="O47" s="2811">
        <f t="shared" si="0"/>
        <v>0</v>
      </c>
    </row>
    <row r="48" spans="1:15" ht="16.7" customHeight="1" x14ac:dyDescent="0.2">
      <c r="A48" s="2808">
        <f t="shared" si="2"/>
        <v>4.329999999999993</v>
      </c>
      <c r="B48" s="2512"/>
      <c r="C48" s="2614"/>
      <c r="D48" s="2614"/>
      <c r="E48" s="2614"/>
      <c r="F48" s="2614"/>
      <c r="G48" s="2614"/>
      <c r="H48" s="2614"/>
      <c r="I48" s="2807"/>
      <c r="J48" s="2807"/>
      <c r="K48" s="2807"/>
      <c r="L48" s="2807"/>
      <c r="M48" s="2614"/>
      <c r="N48" s="2614"/>
      <c r="O48" s="2811">
        <f t="shared" si="0"/>
        <v>0</v>
      </c>
    </row>
    <row r="49" spans="1:15" ht="16.7" customHeight="1" x14ac:dyDescent="0.2">
      <c r="A49" s="2808">
        <f t="shared" si="2"/>
        <v>4.3399999999999928</v>
      </c>
      <c r="B49" s="2512"/>
      <c r="C49" s="2614"/>
      <c r="D49" s="2614"/>
      <c r="E49" s="2614"/>
      <c r="F49" s="2614"/>
      <c r="G49" s="2614"/>
      <c r="H49" s="2614"/>
      <c r="I49" s="2807"/>
      <c r="J49" s="2807"/>
      <c r="K49" s="2807"/>
      <c r="L49" s="2807"/>
      <c r="M49" s="2614"/>
      <c r="N49" s="2614"/>
      <c r="O49" s="2595">
        <f t="shared" si="0"/>
        <v>0</v>
      </c>
    </row>
    <row r="50" spans="1:15" ht="16.7" customHeight="1" x14ac:dyDescent="0.2">
      <c r="A50" s="2808">
        <f t="shared" si="2"/>
        <v>4.3499999999999925</v>
      </c>
      <c r="B50" s="2512"/>
      <c r="C50" s="2614"/>
      <c r="D50" s="2614"/>
      <c r="E50" s="2614"/>
      <c r="F50" s="2614"/>
      <c r="G50" s="2614"/>
      <c r="H50" s="2614"/>
      <c r="I50" s="2807"/>
      <c r="J50" s="2807"/>
      <c r="K50" s="2807"/>
      <c r="L50" s="2807"/>
      <c r="M50" s="2614"/>
      <c r="N50" s="2614"/>
      <c r="O50" s="2595">
        <f t="shared" si="0"/>
        <v>0</v>
      </c>
    </row>
    <row r="51" spans="1:15" ht="16.7" customHeight="1" x14ac:dyDescent="0.2">
      <c r="A51" s="2808">
        <f t="shared" si="2"/>
        <v>4.3599999999999923</v>
      </c>
      <c r="B51" s="2512"/>
      <c r="C51" s="2614"/>
      <c r="D51" s="2614"/>
      <c r="E51" s="2614"/>
      <c r="F51" s="2614"/>
      <c r="G51" s="2614"/>
      <c r="H51" s="2614"/>
      <c r="I51" s="2807"/>
      <c r="J51" s="2807"/>
      <c r="K51" s="2807"/>
      <c r="L51" s="2807"/>
      <c r="M51" s="2614"/>
      <c r="N51" s="2614"/>
      <c r="O51" s="2811">
        <f t="shared" si="0"/>
        <v>0</v>
      </c>
    </row>
    <row r="52" spans="1:15" ht="16.7" customHeight="1" x14ac:dyDescent="0.2">
      <c r="A52" s="2808">
        <f t="shared" si="2"/>
        <v>4.3699999999999921</v>
      </c>
      <c r="B52" s="2512"/>
      <c r="C52" s="2614"/>
      <c r="D52" s="2614"/>
      <c r="E52" s="2614"/>
      <c r="F52" s="2614"/>
      <c r="G52" s="2614"/>
      <c r="H52" s="2614"/>
      <c r="I52" s="2807"/>
      <c r="J52" s="2807"/>
      <c r="K52" s="2807"/>
      <c r="L52" s="2807"/>
      <c r="M52" s="2614"/>
      <c r="N52" s="2614"/>
      <c r="O52" s="2811">
        <f t="shared" si="0"/>
        <v>0</v>
      </c>
    </row>
    <row r="53" spans="1:15" ht="16.7" customHeight="1" x14ac:dyDescent="0.2">
      <c r="A53" s="2808">
        <f t="shared" si="2"/>
        <v>4.3799999999999919</v>
      </c>
      <c r="B53" s="2512"/>
      <c r="C53" s="2614"/>
      <c r="D53" s="2614"/>
      <c r="E53" s="2614"/>
      <c r="F53" s="2614"/>
      <c r="G53" s="2614"/>
      <c r="H53" s="2614"/>
      <c r="I53" s="2807"/>
      <c r="J53" s="2807"/>
      <c r="K53" s="2807"/>
      <c r="L53" s="2807"/>
      <c r="M53" s="2614"/>
      <c r="N53" s="2614"/>
      <c r="O53" s="2595">
        <f t="shared" si="0"/>
        <v>0</v>
      </c>
    </row>
    <row r="54" spans="1:15" ht="16.7" customHeight="1" x14ac:dyDescent="0.2">
      <c r="A54" s="2808">
        <f t="shared" si="2"/>
        <v>4.3899999999999917</v>
      </c>
      <c r="B54" s="2512"/>
      <c r="C54" s="2614"/>
      <c r="D54" s="2614"/>
      <c r="E54" s="2614"/>
      <c r="F54" s="2614"/>
      <c r="G54" s="2614"/>
      <c r="H54" s="2614"/>
      <c r="I54" s="2807"/>
      <c r="J54" s="2807"/>
      <c r="K54" s="2807"/>
      <c r="L54" s="2807"/>
      <c r="M54" s="2614"/>
      <c r="N54" s="2614"/>
      <c r="O54" s="2811">
        <f t="shared" si="0"/>
        <v>0</v>
      </c>
    </row>
    <row r="55" spans="1:15" ht="16.7" customHeight="1" x14ac:dyDescent="0.2">
      <c r="A55" s="2808">
        <f t="shared" si="2"/>
        <v>4.3999999999999915</v>
      </c>
      <c r="B55" s="2512"/>
      <c r="C55" s="2614"/>
      <c r="D55" s="2614"/>
      <c r="E55" s="2614"/>
      <c r="F55" s="2614"/>
      <c r="G55" s="2614"/>
      <c r="H55" s="2614"/>
      <c r="I55" s="2807"/>
      <c r="J55" s="2807"/>
      <c r="K55" s="2807"/>
      <c r="L55" s="2807"/>
      <c r="M55" s="2614"/>
      <c r="N55" s="2614"/>
      <c r="O55" s="2811">
        <f t="shared" si="0"/>
        <v>0</v>
      </c>
    </row>
    <row r="56" spans="1:15" ht="16.7" customHeight="1" x14ac:dyDescent="0.2">
      <c r="A56" s="2808">
        <f t="shared" si="2"/>
        <v>4.4099999999999913</v>
      </c>
      <c r="B56" s="2512"/>
      <c r="C56" s="2614"/>
      <c r="D56" s="2614"/>
      <c r="E56" s="2614"/>
      <c r="F56" s="2614"/>
      <c r="G56" s="2614"/>
      <c r="H56" s="2614"/>
      <c r="I56" s="2807"/>
      <c r="J56" s="2807"/>
      <c r="K56" s="2807"/>
      <c r="L56" s="2807"/>
      <c r="M56" s="2614"/>
      <c r="N56" s="2614"/>
      <c r="O56" s="2811">
        <f t="shared" si="0"/>
        <v>0</v>
      </c>
    </row>
    <row r="57" spans="1:15" ht="16.7" customHeight="1" x14ac:dyDescent="0.2">
      <c r="A57" s="2808">
        <f t="shared" si="2"/>
        <v>4.419999999999991</v>
      </c>
      <c r="B57" s="2512"/>
      <c r="C57" s="2614"/>
      <c r="D57" s="2614"/>
      <c r="E57" s="2614"/>
      <c r="F57" s="2614"/>
      <c r="G57" s="2614"/>
      <c r="H57" s="2614"/>
      <c r="I57" s="2807"/>
      <c r="J57" s="2807"/>
      <c r="K57" s="2807"/>
      <c r="L57" s="2807"/>
      <c r="M57" s="2614"/>
      <c r="N57" s="2614"/>
      <c r="O57" s="2595">
        <f t="shared" si="0"/>
        <v>0</v>
      </c>
    </row>
    <row r="58" spans="1:15" ht="16.7" customHeight="1" x14ac:dyDescent="0.2">
      <c r="A58" s="2489"/>
      <c r="B58" s="2669" t="s">
        <v>7760</v>
      </c>
      <c r="C58" s="2812"/>
      <c r="D58" s="2672">
        <v>249000000</v>
      </c>
      <c r="E58" s="2672">
        <v>2084822</v>
      </c>
      <c r="F58" s="2672">
        <v>2166382</v>
      </c>
      <c r="G58" s="2672">
        <v>-81560</v>
      </c>
      <c r="H58" s="2672">
        <v>0</v>
      </c>
      <c r="I58" s="2813"/>
      <c r="J58" s="2813"/>
      <c r="K58" s="2813"/>
      <c r="L58" s="2813"/>
      <c r="M58" s="2672">
        <v>100000000</v>
      </c>
      <c r="N58" s="2672">
        <v>13398588</v>
      </c>
      <c r="O58" s="2479" t="str">
        <f t="shared" si="0"/>
        <v>Subtotal Secured Medium-Term Notes</v>
      </c>
    </row>
    <row r="59" spans="1:15" ht="16.7" customHeight="1" x14ac:dyDescent="0.2">
      <c r="A59" s="2489"/>
      <c r="B59" s="2512"/>
      <c r="C59" s="2614"/>
      <c r="D59" s="2614"/>
      <c r="E59" s="2614"/>
      <c r="F59" s="2614"/>
      <c r="G59" s="2614"/>
      <c r="H59" s="2614"/>
      <c r="I59" s="2614"/>
      <c r="J59" s="2614"/>
      <c r="K59" s="2614"/>
      <c r="L59" s="2614"/>
      <c r="M59" s="2614"/>
      <c r="N59" s="2614"/>
      <c r="O59" s="2595">
        <f t="shared" si="0"/>
        <v>0</v>
      </c>
    </row>
    <row r="60" spans="1:15" ht="16.7" customHeight="1" x14ac:dyDescent="0.2">
      <c r="A60" s="2489"/>
      <c r="B60" s="2669" t="s">
        <v>7761</v>
      </c>
      <c r="C60" s="2614"/>
      <c r="D60" s="2614"/>
      <c r="E60" s="2614"/>
      <c r="F60" s="2614"/>
      <c r="G60" s="2614"/>
      <c r="H60" s="2614"/>
      <c r="I60" s="2614"/>
      <c r="J60" s="2614"/>
      <c r="K60" s="2614"/>
      <c r="L60" s="2614"/>
      <c r="M60" s="2614"/>
      <c r="N60" s="2614"/>
      <c r="O60" s="2479" t="str">
        <f t="shared" si="0"/>
        <v>Pollution Control Obligations - Secured:</v>
      </c>
    </row>
    <row r="61" spans="1:15" ht="16.7" customHeight="1" x14ac:dyDescent="0.2">
      <c r="A61" s="2808">
        <v>4.47</v>
      </c>
      <c r="B61" s="2744" t="s">
        <v>7762</v>
      </c>
      <c r="C61" s="2614"/>
      <c r="D61" s="2530">
        <v>21260000</v>
      </c>
      <c r="E61" s="2530">
        <v>510479</v>
      </c>
      <c r="F61" s="2530">
        <v>510479</v>
      </c>
      <c r="G61" s="2530">
        <v>0</v>
      </c>
      <c r="H61" s="2530">
        <v>0</v>
      </c>
      <c r="I61" s="2807">
        <v>34655</v>
      </c>
      <c r="J61" s="2807">
        <v>45597</v>
      </c>
      <c r="K61" s="2807">
        <v>34655</v>
      </c>
      <c r="L61" s="2807">
        <v>45597</v>
      </c>
      <c r="M61" s="2530">
        <v>21260000</v>
      </c>
      <c r="N61" s="2530">
        <v>864741</v>
      </c>
      <c r="O61" s="2479" t="str">
        <f t="shared" si="0"/>
        <v>Pollution Control Revenue Refunding Bonds - Secured: Sweetwater County, WY, Series 1994</v>
      </c>
    </row>
    <row r="62" spans="1:15" ht="16.7" customHeight="1" x14ac:dyDescent="0.2">
      <c r="A62" s="2808">
        <f>A61+0.01</f>
        <v>4.4799999999999995</v>
      </c>
      <c r="B62" s="2744" t="s">
        <v>7763</v>
      </c>
      <c r="C62" s="2614"/>
      <c r="D62" s="2530">
        <v>8190000</v>
      </c>
      <c r="E62" s="2530">
        <v>209777</v>
      </c>
      <c r="F62" s="2530">
        <v>209777</v>
      </c>
      <c r="G62" s="2530">
        <v>0</v>
      </c>
      <c r="H62" s="2530">
        <v>0</v>
      </c>
      <c r="I62" s="2807">
        <v>34655</v>
      </c>
      <c r="J62" s="2807">
        <v>45597</v>
      </c>
      <c r="K62" s="2807">
        <v>34655</v>
      </c>
      <c r="L62" s="2807">
        <v>45597</v>
      </c>
      <c r="M62" s="2530">
        <v>8190000</v>
      </c>
      <c r="N62" s="2530">
        <v>329552</v>
      </c>
      <c r="O62" s="2479" t="str">
        <f t="shared" si="0"/>
        <v>Pollution Control Revenue Refunding Bonds - Secured: Converse County, WY, Series 1994</v>
      </c>
    </row>
    <row r="63" spans="1:15" ht="16.7" customHeight="1" x14ac:dyDescent="0.2">
      <c r="A63" s="2808">
        <f>A62+0.01</f>
        <v>4.4899999999999993</v>
      </c>
      <c r="B63" s="2744" t="s">
        <v>7764</v>
      </c>
      <c r="C63" s="2614"/>
      <c r="D63" s="2530">
        <v>121940000</v>
      </c>
      <c r="E63" s="2530">
        <v>3274246</v>
      </c>
      <c r="F63" s="2530">
        <v>3274246</v>
      </c>
      <c r="G63" s="2530">
        <v>0</v>
      </c>
      <c r="H63" s="2530">
        <v>0</v>
      </c>
      <c r="I63" s="2807">
        <v>34655</v>
      </c>
      <c r="J63" s="2807">
        <v>45597</v>
      </c>
      <c r="K63" s="2807">
        <v>34655</v>
      </c>
      <c r="L63" s="2807">
        <v>45597</v>
      </c>
      <c r="M63" s="2530">
        <v>121940000</v>
      </c>
      <c r="N63" s="2530">
        <v>4671601</v>
      </c>
      <c r="O63" s="2479" t="str">
        <f t="shared" si="0"/>
        <v>Pollution Control Revenue Refunding Bonds - Secured: Emery County, UT, Series 1994</v>
      </c>
    </row>
    <row r="64" spans="1:15" ht="16.7" customHeight="1" x14ac:dyDescent="0.2">
      <c r="A64" s="2808">
        <f>A63+0.01</f>
        <v>4.4999999999999991</v>
      </c>
      <c r="B64" s="2744" t="s">
        <v>7765</v>
      </c>
      <c r="C64" s="2614"/>
      <c r="D64" s="2530">
        <v>15060000</v>
      </c>
      <c r="E64" s="2530">
        <v>422858</v>
      </c>
      <c r="F64" s="2530">
        <v>422858</v>
      </c>
      <c r="G64" s="2530">
        <v>0</v>
      </c>
      <c r="H64" s="2530">
        <v>0</v>
      </c>
      <c r="I64" s="2807">
        <v>34655</v>
      </c>
      <c r="J64" s="2807">
        <v>45597</v>
      </c>
      <c r="K64" s="2807">
        <v>34655</v>
      </c>
      <c r="L64" s="2807">
        <v>45597</v>
      </c>
      <c r="M64" s="2530">
        <v>15060000</v>
      </c>
      <c r="N64" s="2530">
        <v>622546</v>
      </c>
      <c r="O64" s="2479" t="str">
        <f t="shared" si="0"/>
        <v>Pollution Control Revenue Refunding Bonds - Secured: Lincoln County, WY, Series 1994</v>
      </c>
    </row>
    <row r="65" spans="1:15" ht="16.7" customHeight="1" x14ac:dyDescent="0.2">
      <c r="A65" s="2808">
        <f>A64+0.01</f>
        <v>4.5099999999999989</v>
      </c>
      <c r="B65" s="2744" t="s">
        <v>7766</v>
      </c>
      <c r="C65" s="2614"/>
      <c r="D65" s="2530">
        <v>5300000</v>
      </c>
      <c r="E65" s="2530">
        <v>132043</v>
      </c>
      <c r="F65" s="2530">
        <v>132043</v>
      </c>
      <c r="G65" s="2530">
        <v>0</v>
      </c>
      <c r="H65" s="2530">
        <v>0</v>
      </c>
      <c r="I65" s="2807">
        <v>35020</v>
      </c>
      <c r="J65" s="2807">
        <v>45962</v>
      </c>
      <c r="K65" s="2807">
        <v>35020</v>
      </c>
      <c r="L65" s="2807">
        <v>45962</v>
      </c>
      <c r="M65" s="2530">
        <v>5300000</v>
      </c>
      <c r="N65" s="2530">
        <v>207437</v>
      </c>
      <c r="O65" s="2479" t="str">
        <f t="shared" si="0"/>
        <v>Environment Improvement Revenue Bonds - Secured: Converse County, WY, Series 1995</v>
      </c>
    </row>
    <row r="66" spans="1:15" ht="16.7" customHeight="1" x14ac:dyDescent="0.2">
      <c r="A66" s="2808">
        <f>A65+0.01</f>
        <v>4.5199999999999987</v>
      </c>
      <c r="B66" s="2744" t="s">
        <v>7767</v>
      </c>
      <c r="C66" s="2614"/>
      <c r="D66" s="2530">
        <v>22000000</v>
      </c>
      <c r="E66" s="2530">
        <v>404262</v>
      </c>
      <c r="F66" s="2530">
        <v>404262</v>
      </c>
      <c r="G66" s="2530">
        <v>0</v>
      </c>
      <c r="H66" s="2530">
        <v>0</v>
      </c>
      <c r="I66" s="2807">
        <v>35020</v>
      </c>
      <c r="J66" s="2807">
        <v>45962</v>
      </c>
      <c r="K66" s="2807">
        <v>35020</v>
      </c>
      <c r="L66" s="2807">
        <v>45962</v>
      </c>
      <c r="M66" s="2530">
        <v>22000000</v>
      </c>
      <c r="N66" s="2530">
        <v>906437</v>
      </c>
      <c r="O66" s="2479" t="str">
        <f t="shared" si="0"/>
        <v>Environment Improvement Revenue Bonds - Secured: Lincoln County, WY, Series 1995</v>
      </c>
    </row>
    <row r="67" spans="1:15" ht="16.7" customHeight="1" x14ac:dyDescent="0.2">
      <c r="A67" s="2489"/>
      <c r="B67" s="2669" t="s">
        <v>7768</v>
      </c>
      <c r="C67" s="2614"/>
      <c r="D67" s="2672">
        <v>193750000</v>
      </c>
      <c r="E67" s="2672">
        <v>4953665</v>
      </c>
      <c r="F67" s="2672">
        <v>4953665</v>
      </c>
      <c r="G67" s="2672">
        <v>0</v>
      </c>
      <c r="H67" s="2672">
        <v>0</v>
      </c>
      <c r="I67" s="2813"/>
      <c r="J67" s="2813"/>
      <c r="K67" s="2813"/>
      <c r="L67" s="2813"/>
      <c r="M67" s="2672">
        <v>193750000</v>
      </c>
      <c r="N67" s="2672">
        <v>7602314</v>
      </c>
      <c r="O67" s="2479" t="str">
        <f t="shared" si="0"/>
        <v>Subtotal Pollution Control Obligations - Secured:</v>
      </c>
    </row>
    <row r="68" spans="1:15" ht="16.7" customHeight="1" x14ac:dyDescent="0.2">
      <c r="A68" s="2489"/>
      <c r="B68" s="2512"/>
      <c r="C68" s="2614"/>
      <c r="D68" s="2614"/>
      <c r="E68" s="2614"/>
      <c r="F68" s="2614"/>
      <c r="G68" s="2614"/>
      <c r="H68" s="2614"/>
      <c r="I68" s="2807"/>
      <c r="J68" s="2807"/>
      <c r="K68" s="2807"/>
      <c r="L68" s="2807"/>
      <c r="M68" s="2614"/>
      <c r="N68" s="2614"/>
      <c r="O68" s="2595">
        <f t="shared" si="0"/>
        <v>0</v>
      </c>
    </row>
    <row r="69" spans="1:15" ht="16.7" customHeight="1" x14ac:dyDescent="0.2">
      <c r="A69" s="2489"/>
      <c r="B69" s="2669" t="s">
        <v>7769</v>
      </c>
      <c r="C69" s="2614"/>
      <c r="D69" s="2614"/>
      <c r="E69" s="2614"/>
      <c r="F69" s="2614"/>
      <c r="G69" s="2614"/>
      <c r="H69" s="2614"/>
      <c r="I69" s="2807"/>
      <c r="J69" s="2807"/>
      <c r="K69" s="2807"/>
      <c r="L69" s="2807"/>
      <c r="M69" s="2614"/>
      <c r="N69" s="2614"/>
      <c r="O69" s="2479" t="str">
        <f t="shared" si="0"/>
        <v>Pollution Control Obligations - Unsecured:</v>
      </c>
    </row>
    <row r="70" spans="1:15" ht="16.7" customHeight="1" x14ac:dyDescent="0.2">
      <c r="A70" s="2808">
        <v>4.53</v>
      </c>
      <c r="B70" s="2512" t="s">
        <v>7770</v>
      </c>
      <c r="C70" s="2614"/>
      <c r="D70" s="2530">
        <v>24400000</v>
      </c>
      <c r="E70" s="2530">
        <v>225000</v>
      </c>
      <c r="F70" s="2530">
        <v>225000</v>
      </c>
      <c r="G70" s="2530">
        <v>0</v>
      </c>
      <c r="H70" s="2530">
        <v>0</v>
      </c>
      <c r="I70" s="2807">
        <v>35047</v>
      </c>
      <c r="J70" s="2807">
        <v>45962</v>
      </c>
      <c r="K70" s="2807">
        <v>35047</v>
      </c>
      <c r="L70" s="2807">
        <v>45962</v>
      </c>
      <c r="M70" s="2530">
        <v>24400000</v>
      </c>
      <c r="N70" s="2530">
        <v>923354</v>
      </c>
      <c r="O70" s="2479" t="str">
        <f t="shared" si="0"/>
        <v>Environment Improvement Revenue Bonds - Unsecured: Sweetwater County, WY, Series 1995</v>
      </c>
    </row>
    <row r="71" spans="1:15" ht="16.7" customHeight="1" x14ac:dyDescent="0.2">
      <c r="A71" s="2489"/>
      <c r="B71" s="2669" t="s">
        <v>7771</v>
      </c>
      <c r="C71" s="2614"/>
      <c r="D71" s="2672">
        <v>24400000</v>
      </c>
      <c r="E71" s="2672">
        <v>225000</v>
      </c>
      <c r="F71" s="2672">
        <v>225000</v>
      </c>
      <c r="G71" s="2672">
        <v>0</v>
      </c>
      <c r="H71" s="2672">
        <v>0</v>
      </c>
      <c r="I71" s="2813"/>
      <c r="J71" s="2813"/>
      <c r="K71" s="2813"/>
      <c r="L71" s="2813"/>
      <c r="M71" s="2672">
        <v>24400000</v>
      </c>
      <c r="N71" s="2672">
        <v>923354</v>
      </c>
      <c r="O71" s="2479" t="str">
        <f t="shared" si="0"/>
        <v>Subtotal Pollution Control Obligations - Unsecured:</v>
      </c>
    </row>
    <row r="72" spans="1:15" ht="16.7" customHeight="1" x14ac:dyDescent="0.2">
      <c r="A72" s="2489"/>
      <c r="B72" s="2512"/>
      <c r="C72" s="2614"/>
      <c r="D72" s="2614"/>
      <c r="E72" s="2614"/>
      <c r="F72" s="2614"/>
      <c r="G72" s="2614"/>
      <c r="H72" s="2614"/>
      <c r="I72" s="2807"/>
      <c r="J72" s="2807"/>
      <c r="K72" s="2807"/>
      <c r="L72" s="2807"/>
      <c r="M72" s="2614"/>
      <c r="N72" s="2614"/>
      <c r="O72" s="2595">
        <f t="shared" si="0"/>
        <v>0</v>
      </c>
    </row>
    <row r="73" spans="1:15" ht="16.7" customHeight="1" x14ac:dyDescent="0.2">
      <c r="A73" s="2748">
        <v>5</v>
      </c>
      <c r="B73" s="2512" t="s">
        <v>7772</v>
      </c>
      <c r="C73" s="2614"/>
      <c r="D73" s="2736">
        <f>D31+D58+D67+D71</f>
        <v>10942150000</v>
      </c>
      <c r="E73" s="2736">
        <f>E31+E58+E67+E71</f>
        <v>125977172</v>
      </c>
      <c r="F73" s="2736">
        <f>F31+F58+F67+F71</f>
        <v>89133732</v>
      </c>
      <c r="G73" s="2736">
        <f>G31+G58+G67+G71</f>
        <v>-81560</v>
      </c>
      <c r="H73" s="2736">
        <f>H31+H58+H67+H71</f>
        <v>36925000</v>
      </c>
      <c r="I73" s="2813"/>
      <c r="J73" s="2813"/>
      <c r="K73" s="2813"/>
      <c r="L73" s="2813"/>
      <c r="M73" s="2736">
        <f>M31+M58+M67+M71</f>
        <v>10493150000</v>
      </c>
      <c r="N73" s="2814">
        <f>N31+N58+N67+N71</f>
        <v>486803423</v>
      </c>
      <c r="O73" s="2479" t="str">
        <f t="shared" ref="O73:O77" si="3">B73</f>
        <v>Subtotal</v>
      </c>
    </row>
    <row r="74" spans="1:15" ht="16.7" customHeight="1" x14ac:dyDescent="0.2">
      <c r="A74" s="2748">
        <v>6</v>
      </c>
      <c r="B74" s="2512" t="s">
        <v>7773</v>
      </c>
      <c r="C74" s="2815"/>
      <c r="D74" s="2815"/>
      <c r="E74" s="2815"/>
      <c r="F74" s="2815"/>
      <c r="G74" s="2815"/>
      <c r="H74" s="2815"/>
      <c r="I74" s="2815"/>
      <c r="J74" s="2815"/>
      <c r="K74" s="2815"/>
      <c r="L74" s="2815"/>
      <c r="M74" s="2815"/>
      <c r="N74" s="2815"/>
      <c r="O74" s="2479" t="str">
        <f t="shared" si="3"/>
        <v>Reacquired Bonds (Account 222)</v>
      </c>
    </row>
    <row r="75" spans="1:15" ht="16.7" customHeight="1" x14ac:dyDescent="0.2">
      <c r="A75" s="2748">
        <v>7</v>
      </c>
      <c r="B75" s="2512"/>
      <c r="C75" s="2614"/>
      <c r="D75" s="2614"/>
      <c r="E75" s="2614"/>
      <c r="F75" s="2614"/>
      <c r="G75" s="2614"/>
      <c r="H75" s="2614"/>
      <c r="I75" s="2807"/>
      <c r="J75" s="2807"/>
      <c r="K75" s="2807"/>
      <c r="L75" s="2807"/>
      <c r="M75" s="2614"/>
      <c r="N75" s="2614"/>
      <c r="O75" s="2595">
        <f t="shared" si="3"/>
        <v>0</v>
      </c>
    </row>
    <row r="76" spans="1:15" ht="16.7" customHeight="1" x14ac:dyDescent="0.2">
      <c r="A76" s="2748">
        <v>8</v>
      </c>
      <c r="B76" s="2512"/>
      <c r="C76" s="2614"/>
      <c r="D76" s="2614"/>
      <c r="E76" s="2614"/>
      <c r="F76" s="2614"/>
      <c r="G76" s="2614"/>
      <c r="H76" s="2614"/>
      <c r="I76" s="2614"/>
      <c r="J76" s="2807"/>
      <c r="K76" s="2807"/>
      <c r="L76" s="2807"/>
      <c r="M76" s="2614"/>
      <c r="N76" s="2614"/>
      <c r="O76" s="2595">
        <f t="shared" si="3"/>
        <v>0</v>
      </c>
    </row>
    <row r="77" spans="1:15" ht="16.7" customHeight="1" x14ac:dyDescent="0.2">
      <c r="A77" s="2748">
        <v>9</v>
      </c>
      <c r="B77" s="2512"/>
      <c r="C77" s="2614"/>
      <c r="D77" s="2614"/>
      <c r="E77" s="2614"/>
      <c r="F77" s="2614"/>
      <c r="G77" s="2614"/>
      <c r="H77" s="2614"/>
      <c r="I77" s="2614"/>
      <c r="J77" s="2807"/>
      <c r="K77" s="2807"/>
      <c r="L77" s="2807"/>
      <c r="M77" s="2614"/>
      <c r="N77" s="2614"/>
      <c r="O77" s="2595">
        <f t="shared" si="3"/>
        <v>0</v>
      </c>
    </row>
    <row r="78" spans="1:15" ht="16.7" customHeight="1" x14ac:dyDescent="0.2">
      <c r="A78" s="2748">
        <v>10</v>
      </c>
      <c r="B78" s="2512" t="s">
        <v>7772</v>
      </c>
      <c r="C78" s="2815"/>
      <c r="D78" s="2645">
        <f>SUM(D75:D77)</f>
        <v>0</v>
      </c>
      <c r="E78" s="2645">
        <f>SUM(E75:E77)</f>
        <v>0</v>
      </c>
      <c r="F78" s="2645">
        <f>SUM(F75:F77)</f>
        <v>0</v>
      </c>
      <c r="G78" s="2645">
        <f>SUM(G75:G77)</f>
        <v>0</v>
      </c>
      <c r="H78" s="2645">
        <f>SUM(H75:H77)</f>
        <v>0</v>
      </c>
      <c r="I78" s="2815"/>
      <c r="J78" s="2815"/>
      <c r="K78" s="2815"/>
      <c r="L78" s="2815"/>
      <c r="M78" s="2645">
        <f>SUM(M75:M77)</f>
        <v>0</v>
      </c>
      <c r="N78" s="2645">
        <f>SUM(N75:N77)</f>
        <v>0</v>
      </c>
      <c r="O78" s="2479"/>
    </row>
    <row r="79" spans="1:15" ht="16.7" customHeight="1" x14ac:dyDescent="0.2">
      <c r="A79" s="2748">
        <v>11</v>
      </c>
      <c r="B79" s="2512" t="s">
        <v>7774</v>
      </c>
      <c r="C79" s="2815"/>
      <c r="D79" s="2815"/>
      <c r="E79" s="2815"/>
      <c r="F79" s="2815"/>
      <c r="G79" s="2815"/>
      <c r="H79" s="2815"/>
      <c r="I79" s="2815"/>
      <c r="J79" s="2815"/>
      <c r="K79" s="2815"/>
      <c r="L79" s="2815"/>
      <c r="M79" s="2815"/>
      <c r="N79" s="2815"/>
      <c r="O79" s="2479"/>
    </row>
    <row r="80" spans="1:15" ht="16.7" customHeight="1" x14ac:dyDescent="0.2">
      <c r="A80" s="2748">
        <v>12</v>
      </c>
      <c r="B80" s="2512"/>
      <c r="C80" s="2614"/>
      <c r="D80" s="2614"/>
      <c r="E80" s="2614"/>
      <c r="F80" s="2614"/>
      <c r="G80" s="2614"/>
      <c r="H80" s="2614"/>
      <c r="I80" s="2807"/>
      <c r="J80" s="2807"/>
      <c r="K80" s="2807"/>
      <c r="L80" s="2807"/>
      <c r="M80" s="2614"/>
      <c r="N80" s="2488"/>
      <c r="O80" s="2595">
        <f>B80</f>
        <v>0</v>
      </c>
    </row>
    <row r="81" spans="1:15" ht="16.7" customHeight="1" x14ac:dyDescent="0.2">
      <c r="A81" s="2748">
        <v>13</v>
      </c>
      <c r="B81" s="2512"/>
      <c r="C81" s="2614"/>
      <c r="D81" s="2614"/>
      <c r="E81" s="2614"/>
      <c r="F81" s="2614"/>
      <c r="G81" s="2614"/>
      <c r="H81" s="2614"/>
      <c r="I81" s="2807"/>
      <c r="J81" s="2807"/>
      <c r="K81" s="2807"/>
      <c r="L81" s="2807"/>
      <c r="M81" s="2614"/>
      <c r="N81" s="2614"/>
      <c r="O81" s="2595">
        <f>B81</f>
        <v>0</v>
      </c>
    </row>
    <row r="82" spans="1:15" ht="16.7" customHeight="1" x14ac:dyDescent="0.2">
      <c r="A82" s="2748">
        <v>14</v>
      </c>
      <c r="B82" s="2512"/>
      <c r="C82" s="2614"/>
      <c r="D82" s="2614"/>
      <c r="E82" s="2614"/>
      <c r="F82" s="2614"/>
      <c r="G82" s="2614"/>
      <c r="H82" s="2614"/>
      <c r="I82" s="2807"/>
      <c r="J82" s="2807"/>
      <c r="K82" s="2807"/>
      <c r="L82" s="2807"/>
      <c r="M82" s="2614"/>
      <c r="N82" s="2614"/>
      <c r="O82" s="2595">
        <f>B82</f>
        <v>0</v>
      </c>
    </row>
    <row r="83" spans="1:15" ht="16.7" customHeight="1" x14ac:dyDescent="0.2">
      <c r="A83" s="2748">
        <v>15</v>
      </c>
      <c r="B83" s="2512" t="s">
        <v>7772</v>
      </c>
      <c r="C83" s="2815"/>
      <c r="D83" s="2645">
        <f>SUM(D80:D82)</f>
        <v>0</v>
      </c>
      <c r="E83" s="2645">
        <f>SUM(E80:E82)</f>
        <v>0</v>
      </c>
      <c r="F83" s="2645">
        <f>SUM(F80:F82)</f>
        <v>0</v>
      </c>
      <c r="G83" s="2645">
        <f>SUM(G80:G82)</f>
        <v>0</v>
      </c>
      <c r="H83" s="2645">
        <f>SUM(H80:H82)</f>
        <v>0</v>
      </c>
      <c r="I83" s="2815"/>
      <c r="J83" s="2815"/>
      <c r="K83" s="2815"/>
      <c r="L83" s="2815"/>
      <c r="M83" s="2645">
        <f>SUM(M80:M82)</f>
        <v>0</v>
      </c>
      <c r="N83" s="2645">
        <f>SUM(N80:N82)</f>
        <v>0</v>
      </c>
      <c r="O83" s="2479"/>
    </row>
    <row r="84" spans="1:15" ht="16.7" customHeight="1" x14ac:dyDescent="0.2">
      <c r="A84" s="2748">
        <v>16</v>
      </c>
      <c r="B84" s="2512" t="s">
        <v>7775</v>
      </c>
      <c r="C84" s="2815"/>
      <c r="D84" s="2815"/>
      <c r="E84" s="2815"/>
      <c r="F84" s="2815"/>
      <c r="G84" s="2815"/>
      <c r="H84" s="2815"/>
      <c r="I84" s="2815"/>
      <c r="J84" s="2815"/>
      <c r="K84" s="2815"/>
      <c r="L84" s="2815"/>
      <c r="M84" s="2815"/>
      <c r="N84" s="2815"/>
      <c r="O84" s="2479"/>
    </row>
    <row r="85" spans="1:15" ht="16.7" customHeight="1" x14ac:dyDescent="0.2">
      <c r="A85" s="2748">
        <v>17</v>
      </c>
      <c r="B85" s="2512"/>
      <c r="C85" s="2614"/>
      <c r="D85" s="2614"/>
      <c r="E85" s="2614"/>
      <c r="F85" s="2614"/>
      <c r="G85" s="2614"/>
      <c r="H85" s="2614"/>
      <c r="I85" s="2614"/>
      <c r="J85" s="2807"/>
      <c r="K85" s="2807"/>
      <c r="L85" s="2807"/>
      <c r="M85" s="2614"/>
      <c r="N85" s="2488"/>
      <c r="O85" s="2595">
        <f>B85</f>
        <v>0</v>
      </c>
    </row>
    <row r="86" spans="1:15" ht="16.7" customHeight="1" x14ac:dyDescent="0.2">
      <c r="A86" s="2748">
        <v>18</v>
      </c>
      <c r="B86" s="2816" t="s">
        <v>7776</v>
      </c>
      <c r="C86" s="2614"/>
      <c r="D86" s="2614"/>
      <c r="E86" s="2614"/>
      <c r="F86" s="2614"/>
      <c r="G86" s="2614"/>
      <c r="H86" s="2614"/>
      <c r="I86" s="2614"/>
      <c r="J86" s="2807"/>
      <c r="K86" s="2807"/>
      <c r="L86" s="2807"/>
      <c r="M86" s="2614"/>
      <c r="N86" s="2614"/>
      <c r="O86" s="2479" t="str">
        <f>B86</f>
        <v xml:space="preserve">  Long-term debt authorized but unissued</v>
      </c>
    </row>
    <row r="87" spans="1:15" ht="16.7" customHeight="1" x14ac:dyDescent="0.2">
      <c r="A87" s="2748">
        <v>19</v>
      </c>
      <c r="B87" s="2512"/>
      <c r="C87" s="2614"/>
      <c r="D87" s="2614"/>
      <c r="E87" s="2614"/>
      <c r="F87" s="2614"/>
      <c r="G87" s="2614"/>
      <c r="H87" s="2614"/>
      <c r="I87" s="2807"/>
      <c r="J87" s="2807"/>
      <c r="K87" s="2807"/>
      <c r="L87" s="2807"/>
      <c r="M87" s="2614"/>
      <c r="N87" s="2614"/>
      <c r="O87" s="2595">
        <f>B87</f>
        <v>0</v>
      </c>
    </row>
    <row r="88" spans="1:15" ht="16.7" customHeight="1" x14ac:dyDescent="0.2">
      <c r="A88" s="2748">
        <v>20</v>
      </c>
      <c r="B88" s="2512" t="s">
        <v>7772</v>
      </c>
      <c r="C88" s="2815"/>
      <c r="D88" s="2645">
        <f>SUM(D85:D87)</f>
        <v>0</v>
      </c>
      <c r="E88" s="2645">
        <f>SUM(E85:E87)</f>
        <v>0</v>
      </c>
      <c r="F88" s="2645">
        <f>SUM(F85:F87)</f>
        <v>0</v>
      </c>
      <c r="G88" s="2645">
        <f>SUM(G85:G87)</f>
        <v>0</v>
      </c>
      <c r="H88" s="2645">
        <f>SUM(H85:H87)</f>
        <v>0</v>
      </c>
      <c r="I88" s="2815"/>
      <c r="J88" s="2815"/>
      <c r="K88" s="2815"/>
      <c r="L88" s="2815"/>
      <c r="M88" s="2645">
        <f>SUM(M85:M87)</f>
        <v>0</v>
      </c>
      <c r="N88" s="2645">
        <f>SUM(N85:N87)</f>
        <v>0</v>
      </c>
      <c r="O88" s="2479"/>
    </row>
    <row r="89" spans="1:15" ht="16.7" customHeight="1" x14ac:dyDescent="0.2">
      <c r="A89" s="2748">
        <v>33</v>
      </c>
      <c r="B89" s="2512" t="s">
        <v>197</v>
      </c>
      <c r="C89" s="2815"/>
      <c r="D89" s="2645">
        <f>D73+D78+D83+D88</f>
        <v>10942150000</v>
      </c>
      <c r="E89" s="2645">
        <f>E73+E78+E83+E88</f>
        <v>125977172</v>
      </c>
      <c r="F89" s="2645">
        <f>F73+F78+F83+F88</f>
        <v>89133732</v>
      </c>
      <c r="G89" s="2645">
        <f>G73+G78+G83+G88</f>
        <v>-81560</v>
      </c>
      <c r="H89" s="2645">
        <f>H73+H78+H83+H88</f>
        <v>36925000</v>
      </c>
      <c r="I89" s="2815"/>
      <c r="J89" s="2815"/>
      <c r="K89" s="2815"/>
      <c r="L89" s="2815"/>
      <c r="M89" s="2645">
        <f>M73+M78+M83+M88</f>
        <v>10493150000</v>
      </c>
      <c r="N89" s="2645">
        <f>N73+N78+N83+N88</f>
        <v>486803423</v>
      </c>
      <c r="O89" s="2479"/>
    </row>
    <row r="90" spans="1:15" ht="16.7" customHeight="1" x14ac:dyDescent="0.2">
      <c r="A90" s="2535"/>
      <c r="B90" s="2536"/>
      <c r="C90" s="2537"/>
      <c r="D90" s="2537"/>
      <c r="E90" s="2537"/>
      <c r="F90" s="2537"/>
      <c r="G90" s="2537"/>
      <c r="H90" s="2537"/>
      <c r="I90" s="2537"/>
      <c r="J90" s="2537"/>
      <c r="K90" s="2537"/>
      <c r="L90" s="2537"/>
      <c r="M90" s="2537"/>
      <c r="N90" s="2537"/>
    </row>
    <row r="91" spans="1:15" ht="16.7" customHeight="1" x14ac:dyDescent="0.2"/>
    <row r="92" spans="1:15" ht="16.7" customHeight="1" x14ac:dyDescent="0.2"/>
  </sheetData>
  <mergeCells count="7">
    <mergeCell ref="A6:A7"/>
    <mergeCell ref="A3:H3"/>
    <mergeCell ref="I3:N3"/>
    <mergeCell ref="A4:H4"/>
    <mergeCell ref="I4:N4"/>
    <mergeCell ref="A5:H5"/>
    <mergeCell ref="I5:N5"/>
  </mergeCells>
  <pageMargins left="0.75" right="0.75" top="1" bottom="1" header="0.5" footer="0.5"/>
  <customProperties>
    <customPr name="_pios_id" r:id="rId1"/>
  </customProperties>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1ADD54-0D00-4140-A016-D476FC36099D}">
  <sheetPr codeName="Sheet64"/>
  <dimension ref="A1:D324"/>
  <sheetViews>
    <sheetView workbookViewId="0">
      <pane ySplit="5" topLeftCell="A6" activePane="bottomLeft" state="frozen"/>
      <selection pane="bottomLeft"/>
    </sheetView>
  </sheetViews>
  <sheetFormatPr defaultColWidth="11.5" defaultRowHeight="12.75" x14ac:dyDescent="0.2"/>
  <cols>
    <col min="1" max="1" width="4.875" style="1953" customWidth="1"/>
    <col min="2" max="2" width="78" style="1953" customWidth="1"/>
    <col min="3" max="3" width="15.875" style="1953" customWidth="1"/>
    <col min="4" max="26" width="17.625" style="1953" customWidth="1"/>
    <col min="27" max="16384" width="11.5" style="1953"/>
  </cols>
  <sheetData>
    <row r="1" spans="1:4" ht="16.7" customHeight="1" x14ac:dyDescent="0.2"/>
    <row r="2" spans="1:4" ht="16.7" customHeight="1" x14ac:dyDescent="0.2">
      <c r="A2" s="3882" t="s">
        <v>7777</v>
      </c>
      <c r="B2" s="3883"/>
      <c r="C2" s="3884"/>
      <c r="D2" s="2479"/>
    </row>
    <row r="3" spans="1:4" ht="76.7" customHeight="1" x14ac:dyDescent="0.2">
      <c r="A3" s="3878" t="s">
        <v>7778</v>
      </c>
      <c r="B3" s="3883"/>
      <c r="C3" s="3884"/>
      <c r="D3" s="2479"/>
    </row>
    <row r="4" spans="1:4" ht="22.5" customHeight="1" x14ac:dyDescent="0.2">
      <c r="A4" s="3963" t="s">
        <v>6360</v>
      </c>
      <c r="B4" s="2637" t="s">
        <v>7779</v>
      </c>
      <c r="C4" s="2637" t="s">
        <v>441</v>
      </c>
      <c r="D4" s="2479"/>
    </row>
    <row r="5" spans="1:4" ht="16.7" customHeight="1" x14ac:dyDescent="0.2">
      <c r="A5" s="3899"/>
      <c r="B5" s="2705" t="s">
        <v>5949</v>
      </c>
      <c r="C5" s="2705" t="s">
        <v>5950</v>
      </c>
      <c r="D5" s="2479" t="s">
        <v>6324</v>
      </c>
    </row>
    <row r="6" spans="1:4" ht="16.7" customHeight="1" x14ac:dyDescent="0.2">
      <c r="A6" s="2634">
        <v>1</v>
      </c>
      <c r="B6" s="2669" t="s">
        <v>7780</v>
      </c>
      <c r="C6" s="2530">
        <v>-467588533</v>
      </c>
      <c r="D6" s="2479"/>
    </row>
    <row r="7" spans="1:4" ht="16.7" customHeight="1" x14ac:dyDescent="0.2">
      <c r="A7" s="2634">
        <v>2</v>
      </c>
      <c r="B7" s="2668" t="s">
        <v>7781</v>
      </c>
      <c r="C7" s="2817"/>
      <c r="D7" s="2479"/>
    </row>
    <row r="8" spans="1:4" ht="16.7" customHeight="1" x14ac:dyDescent="0.2">
      <c r="A8" s="2634">
        <v>3</v>
      </c>
      <c r="B8" s="2488"/>
      <c r="C8" s="2817"/>
      <c r="D8" s="2479"/>
    </row>
    <row r="9" spans="1:4" ht="16.7" customHeight="1" x14ac:dyDescent="0.2">
      <c r="A9" s="2634">
        <v>4</v>
      </c>
      <c r="B9" s="2669" t="s">
        <v>7782</v>
      </c>
      <c r="C9" s="2817"/>
      <c r="D9" s="2479"/>
    </row>
    <row r="10" spans="1:4" ht="16.7" customHeight="1" x14ac:dyDescent="0.2">
      <c r="A10" s="2634">
        <v>5</v>
      </c>
      <c r="B10" s="2818" t="s">
        <v>7783</v>
      </c>
      <c r="C10" s="2530">
        <v>30441039</v>
      </c>
      <c r="D10" s="2479" t="str">
        <f t="shared" ref="D10:D31" si="0">B10</f>
        <v>Allowance for Accounts Receivable</v>
      </c>
    </row>
    <row r="11" spans="1:4" ht="16.7" customHeight="1" x14ac:dyDescent="0.2">
      <c r="A11" s="2634">
        <v>6</v>
      </c>
      <c r="B11" s="2818" t="s">
        <v>7784</v>
      </c>
      <c r="C11" s="2530">
        <v>179951869</v>
      </c>
      <c r="D11" s="2479" t="str">
        <f t="shared" si="0"/>
        <v>Contribution in Aid of Construction</v>
      </c>
    </row>
    <row r="12" spans="1:4" ht="16.7" customHeight="1" x14ac:dyDescent="0.2">
      <c r="A12" s="2634">
        <v>7</v>
      </c>
      <c r="B12" s="2818" t="s">
        <v>7785</v>
      </c>
      <c r="C12" s="2530">
        <v>774760</v>
      </c>
      <c r="D12" s="2479" t="str">
        <f t="shared" si="0"/>
        <v>Regulatory Asset - BPA Balancing Account - OR</v>
      </c>
    </row>
    <row r="13" spans="1:4" ht="16.7" customHeight="1" x14ac:dyDescent="0.2">
      <c r="A13" s="2634">
        <v>8</v>
      </c>
      <c r="B13" s="2818" t="s">
        <v>7786</v>
      </c>
      <c r="C13" s="2530">
        <v>7019149</v>
      </c>
      <c r="D13" s="2479" t="str">
        <f t="shared" si="0"/>
        <v>Regulatory Asset - WA Decoupling Mechanism</v>
      </c>
    </row>
    <row r="14" spans="1:4" ht="16.7" customHeight="1" x14ac:dyDescent="0.2">
      <c r="A14" s="2769">
        <v>8.01</v>
      </c>
      <c r="B14" s="2818" t="s">
        <v>7787</v>
      </c>
      <c r="C14" s="2530">
        <v>3634603</v>
      </c>
      <c r="D14" s="2479" t="str">
        <f t="shared" si="0"/>
        <v>Regulatory Liability - Bridger Accelerated Depreciation - OR</v>
      </c>
    </row>
    <row r="15" spans="1:4" ht="16.7" customHeight="1" x14ac:dyDescent="0.2">
      <c r="A15" s="2769">
        <v>8.02</v>
      </c>
      <c r="B15" s="2818" t="s">
        <v>7788</v>
      </c>
      <c r="C15" s="2530">
        <v>2549408</v>
      </c>
      <c r="D15" s="2479" t="str">
        <f t="shared" si="0"/>
        <v>Regulatory Liability - Bridger Accelerated Depreciation - WA</v>
      </c>
    </row>
    <row r="16" spans="1:4" ht="16.7" customHeight="1" x14ac:dyDescent="0.2">
      <c r="A16" s="2769">
        <v>8.0299999999999994</v>
      </c>
      <c r="B16" s="2818" t="s">
        <v>7789</v>
      </c>
      <c r="C16" s="2530">
        <v>2159455</v>
      </c>
      <c r="D16" s="2479" t="str">
        <f t="shared" si="0"/>
        <v>Regulatory Liability - California Greenhouse Gas Allowance Compliance</v>
      </c>
    </row>
    <row r="17" spans="1:4" ht="16.7" customHeight="1" x14ac:dyDescent="0.2">
      <c r="A17" s="2769">
        <v>8.0399999999999991</v>
      </c>
      <c r="B17" s="2818" t="s">
        <v>7790</v>
      </c>
      <c r="C17" s="2530">
        <v>1080929</v>
      </c>
      <c r="D17" s="2479" t="str">
        <f t="shared" si="0"/>
        <v>Regulatory Liability - Deferred Excess RECs in Rates - UT</v>
      </c>
    </row>
    <row r="18" spans="1:4" ht="16.7" customHeight="1" x14ac:dyDescent="0.2">
      <c r="A18" s="2769">
        <v>8.0500000000000007</v>
      </c>
      <c r="B18" s="2818" t="s">
        <v>7791</v>
      </c>
      <c r="C18" s="2530">
        <v>72877</v>
      </c>
      <c r="D18" s="2479" t="str">
        <f t="shared" si="0"/>
        <v>Regulatory Liability - Sale of REC - WA</v>
      </c>
    </row>
    <row r="19" spans="1:4" ht="16.7" customHeight="1" x14ac:dyDescent="0.2">
      <c r="A19" s="2769">
        <v>8.06</v>
      </c>
      <c r="B19" s="2818" t="s">
        <v>7792</v>
      </c>
      <c r="C19" s="2530">
        <v>714619</v>
      </c>
      <c r="D19" s="2479" t="str">
        <f t="shared" si="0"/>
        <v>Regulatory Liability - Utah Home Energy Lifeline</v>
      </c>
    </row>
    <row r="20" spans="1:4" ht="16.7" customHeight="1" x14ac:dyDescent="0.2">
      <c r="A20" s="2769">
        <v>8.07</v>
      </c>
      <c r="B20" s="2818" t="s">
        <v>7793</v>
      </c>
      <c r="C20" s="2530">
        <v>4814027</v>
      </c>
      <c r="D20" s="2479" t="str">
        <f t="shared" si="0"/>
        <v>Regulatory Liability - WA Decoupling Mechanism</v>
      </c>
    </row>
    <row r="21" spans="1:4" ht="16.7" customHeight="1" x14ac:dyDescent="0.2">
      <c r="A21" s="2769">
        <v>8.08</v>
      </c>
      <c r="B21" s="2818" t="s">
        <v>7794</v>
      </c>
      <c r="C21" s="2530">
        <v>726422</v>
      </c>
      <c r="D21" s="2479" t="str">
        <f t="shared" si="0"/>
        <v>Transmission Service Deposit</v>
      </c>
    </row>
    <row r="22" spans="1:4" ht="16.7" customHeight="1" x14ac:dyDescent="0.2">
      <c r="A22" s="2769">
        <v>8.09</v>
      </c>
      <c r="B22" s="2818" t="s">
        <v>7795</v>
      </c>
      <c r="C22" s="2530">
        <v>409759</v>
      </c>
      <c r="D22" s="2479" t="str">
        <f t="shared" si="0"/>
        <v>Trapper Mining Stock Basis</v>
      </c>
    </row>
    <row r="23" spans="1:4" ht="16.7" customHeight="1" x14ac:dyDescent="0.2">
      <c r="A23" s="2769">
        <v>8.1</v>
      </c>
      <c r="B23" s="2818" t="s">
        <v>7621</v>
      </c>
      <c r="C23" s="2530">
        <v>782578</v>
      </c>
      <c r="D23" s="2479" t="str">
        <f t="shared" si="0"/>
        <v>Unearned Joint Use Pole Contact Revenue</v>
      </c>
    </row>
    <row r="24" spans="1:4" ht="16.7" customHeight="1" x14ac:dyDescent="0.2">
      <c r="A24" s="2769">
        <v>8.11</v>
      </c>
      <c r="B24" s="2818"/>
      <c r="C24" s="2614"/>
      <c r="D24" s="2595">
        <f t="shared" si="0"/>
        <v>0</v>
      </c>
    </row>
    <row r="25" spans="1:4" ht="16.7" customHeight="1" x14ac:dyDescent="0.2">
      <c r="A25" s="2769">
        <f t="shared" ref="A25:A30" si="1">A24+0.01</f>
        <v>8.1199999999999992</v>
      </c>
      <c r="B25" s="2818"/>
      <c r="C25" s="2614"/>
      <c r="D25" s="2595">
        <f t="shared" si="0"/>
        <v>0</v>
      </c>
    </row>
    <row r="26" spans="1:4" ht="16.7" customHeight="1" x14ac:dyDescent="0.2">
      <c r="A26" s="2769">
        <f t="shared" si="1"/>
        <v>8.129999999999999</v>
      </c>
      <c r="B26" s="2818"/>
      <c r="C26" s="2614"/>
      <c r="D26" s="2595">
        <f t="shared" si="0"/>
        <v>0</v>
      </c>
    </row>
    <row r="27" spans="1:4" ht="16.7" customHeight="1" x14ac:dyDescent="0.2">
      <c r="A27" s="2769">
        <f t="shared" si="1"/>
        <v>8.1399999999999988</v>
      </c>
      <c r="B27" s="2818"/>
      <c r="C27" s="2614"/>
      <c r="D27" s="2595">
        <f t="shared" si="0"/>
        <v>0</v>
      </c>
    </row>
    <row r="28" spans="1:4" ht="16.7" customHeight="1" x14ac:dyDescent="0.2">
      <c r="A28" s="2769">
        <f t="shared" si="1"/>
        <v>8.1499999999999986</v>
      </c>
      <c r="B28" s="2818"/>
      <c r="C28" s="2614"/>
      <c r="D28" s="2595">
        <f t="shared" si="0"/>
        <v>0</v>
      </c>
    </row>
    <row r="29" spans="1:4" ht="16.7" customHeight="1" x14ac:dyDescent="0.2">
      <c r="A29" s="2769">
        <f t="shared" si="1"/>
        <v>8.1599999999999984</v>
      </c>
      <c r="B29" s="2818"/>
      <c r="C29" s="2614"/>
      <c r="D29" s="2595">
        <f t="shared" si="0"/>
        <v>0</v>
      </c>
    </row>
    <row r="30" spans="1:4" ht="16.7" customHeight="1" x14ac:dyDescent="0.2">
      <c r="A30" s="2769">
        <f t="shared" si="1"/>
        <v>8.1699999999999982</v>
      </c>
      <c r="B30" s="2818" t="s">
        <v>7796</v>
      </c>
      <c r="C30" s="2530">
        <v>1496704</v>
      </c>
      <c r="D30" s="2479" t="str">
        <f t="shared" si="0"/>
        <v>Intercompany Adjustment</v>
      </c>
    </row>
    <row r="31" spans="1:4" ht="16.7" customHeight="1" x14ac:dyDescent="0.2">
      <c r="A31" s="2489"/>
      <c r="B31" s="2818"/>
      <c r="C31" s="2691"/>
      <c r="D31" s="2595">
        <f t="shared" si="0"/>
        <v>0</v>
      </c>
    </row>
    <row r="32" spans="1:4" ht="16.7" customHeight="1" x14ac:dyDescent="0.2">
      <c r="A32" s="2634">
        <v>9</v>
      </c>
      <c r="B32" s="2669" t="s">
        <v>7797</v>
      </c>
      <c r="C32" s="2819"/>
      <c r="D32" s="2479"/>
    </row>
    <row r="33" spans="1:4" ht="16.7" customHeight="1" x14ac:dyDescent="0.2">
      <c r="A33" s="2634">
        <v>10</v>
      </c>
      <c r="B33" s="2818" t="s">
        <v>7798</v>
      </c>
      <c r="C33" s="2530">
        <v>373780</v>
      </c>
      <c r="D33" s="2479" t="str">
        <f t="shared" ref="D33:D96" si="2">B33</f>
        <v xml:space="preserve"> Fed/State Tax Expense-Interest </v>
      </c>
    </row>
    <row r="34" spans="1:4" ht="16.7" customHeight="1" x14ac:dyDescent="0.2">
      <c r="A34" s="2634">
        <v>11</v>
      </c>
      <c r="B34" s="2818" t="s">
        <v>7799</v>
      </c>
      <c r="C34" s="2530">
        <v>655366</v>
      </c>
      <c r="D34" s="2479" t="str">
        <f t="shared" si="2"/>
        <v xml:space="preserve"> Accrued Royalties</v>
      </c>
    </row>
    <row r="35" spans="1:4" ht="16.7" customHeight="1" x14ac:dyDescent="0.2">
      <c r="A35" s="2634">
        <v>12</v>
      </c>
      <c r="B35" s="2818" t="s">
        <v>7800</v>
      </c>
      <c r="C35" s="2530">
        <v>4217913</v>
      </c>
      <c r="D35" s="2479" t="str">
        <f t="shared" si="2"/>
        <v xml:space="preserve"> Accrued Vacation </v>
      </c>
    </row>
    <row r="36" spans="1:4" ht="16.7" customHeight="1" x14ac:dyDescent="0.2">
      <c r="A36" s="2634">
        <v>13</v>
      </c>
      <c r="B36" s="2818"/>
      <c r="C36" s="2614"/>
      <c r="D36" s="2595">
        <f t="shared" si="2"/>
        <v>0</v>
      </c>
    </row>
    <row r="37" spans="1:4" ht="16.7" customHeight="1" x14ac:dyDescent="0.2">
      <c r="A37" s="2769">
        <v>13.01</v>
      </c>
      <c r="B37" s="2818" t="s">
        <v>7801</v>
      </c>
      <c r="C37" s="2530">
        <v>147231073</v>
      </c>
      <c r="D37" s="2479" t="str">
        <f t="shared" si="2"/>
        <v xml:space="preserve"> Avoided Costs  </v>
      </c>
    </row>
    <row r="38" spans="1:4" ht="16.7" customHeight="1" x14ac:dyDescent="0.2">
      <c r="A38" s="2769">
        <v>13.02</v>
      </c>
      <c r="B38" s="2818" t="s">
        <v>7802</v>
      </c>
      <c r="C38" s="2530">
        <v>1088233341</v>
      </c>
      <c r="D38" s="2479" t="str">
        <f t="shared" si="2"/>
        <v xml:space="preserve"> Book Depreciation </v>
      </c>
    </row>
    <row r="39" spans="1:4" ht="16.7" customHeight="1" x14ac:dyDescent="0.2">
      <c r="A39" s="2769">
        <v>13.03</v>
      </c>
      <c r="B39" s="2818" t="s">
        <v>7803</v>
      </c>
      <c r="C39" s="2530">
        <v>152086</v>
      </c>
      <c r="D39" s="2479" t="str">
        <f t="shared" si="2"/>
        <v xml:space="preserve"> Book Depreciation Allocated to Medicare and M&amp;E </v>
      </c>
    </row>
    <row r="40" spans="1:4" ht="16.7" customHeight="1" x14ac:dyDescent="0.2">
      <c r="A40" s="2769">
        <v>13.04</v>
      </c>
      <c r="B40" s="2818" t="s">
        <v>7804</v>
      </c>
      <c r="C40" s="2530">
        <v>521838</v>
      </c>
      <c r="D40" s="2479" t="str">
        <f t="shared" si="2"/>
        <v xml:space="preserve"> Capitalization of Test Energy </v>
      </c>
    </row>
    <row r="41" spans="1:4" ht="16.7" customHeight="1" x14ac:dyDescent="0.2">
      <c r="A41" s="2769">
        <v>13.05</v>
      </c>
      <c r="B41" s="2818" t="s">
        <v>7805</v>
      </c>
      <c r="C41" s="2530">
        <v>777899</v>
      </c>
      <c r="D41" s="2479" t="str">
        <f t="shared" si="2"/>
        <v xml:space="preserve"> Capitalized labor and benefit costs  </v>
      </c>
    </row>
    <row r="42" spans="1:4" ht="16.7" customHeight="1" x14ac:dyDescent="0.2">
      <c r="A42" s="2769">
        <v>13.06</v>
      </c>
      <c r="B42" s="2818" t="s">
        <v>7806</v>
      </c>
      <c r="C42" s="2530">
        <v>8600</v>
      </c>
      <c r="D42" s="2479" t="str">
        <f t="shared" si="2"/>
        <v xml:space="preserve"> Company Plane </v>
      </c>
    </row>
    <row r="43" spans="1:4" ht="16.7" customHeight="1" x14ac:dyDescent="0.2">
      <c r="A43" s="2769">
        <v>13.07</v>
      </c>
      <c r="B43" s="2818" t="s">
        <v>7807</v>
      </c>
      <c r="C43" s="2530">
        <v>20756</v>
      </c>
      <c r="D43" s="2479" t="str">
        <f t="shared" si="2"/>
        <v xml:space="preserve"> Contra Receivable from Joint Owners </v>
      </c>
    </row>
    <row r="44" spans="1:4" ht="16.7" customHeight="1" x14ac:dyDescent="0.2">
      <c r="A44" s="2769">
        <v>13.08</v>
      </c>
      <c r="B44" s="2818" t="s">
        <v>7808</v>
      </c>
      <c r="C44" s="2530">
        <v>144885</v>
      </c>
      <c r="D44" s="2479" t="str">
        <f t="shared" si="2"/>
        <v xml:space="preserve"> Deferred Compensation </v>
      </c>
    </row>
    <row r="45" spans="1:4" ht="16.7" customHeight="1" x14ac:dyDescent="0.2">
      <c r="A45" s="2769">
        <v>13.09</v>
      </c>
      <c r="B45" s="2818" t="s">
        <v>7809</v>
      </c>
      <c r="C45" s="2530">
        <v>918383</v>
      </c>
      <c r="D45" s="2479" t="str">
        <f t="shared" si="2"/>
        <v xml:space="preserve"> Deferred Revenue - Other </v>
      </c>
    </row>
    <row r="46" spans="1:4" ht="16.7" customHeight="1" x14ac:dyDescent="0.2">
      <c r="A46" s="2769">
        <v>13.1</v>
      </c>
      <c r="B46" s="2818" t="s">
        <v>7810</v>
      </c>
      <c r="C46" s="2530">
        <v>254734</v>
      </c>
      <c r="D46" s="2479" t="str">
        <f t="shared" si="2"/>
        <v xml:space="preserve"> Employee Remuneration - Section 162(m) Limitation </v>
      </c>
    </row>
    <row r="47" spans="1:4" ht="16.7" customHeight="1" x14ac:dyDescent="0.2">
      <c r="A47" s="2769">
        <v>13.11</v>
      </c>
      <c r="B47" s="2818" t="s">
        <v>7811</v>
      </c>
      <c r="C47" s="2530">
        <v>19279988</v>
      </c>
      <c r="D47" s="2479" t="str">
        <f t="shared" si="2"/>
        <v xml:space="preserve"> Environmental Liability - Regulated </v>
      </c>
    </row>
    <row r="48" spans="1:4" ht="16.7" customHeight="1" x14ac:dyDescent="0.2">
      <c r="A48" s="2769">
        <v>13.12</v>
      </c>
      <c r="B48" s="2818" t="s">
        <v>7812</v>
      </c>
      <c r="C48" s="2530">
        <v>1459443</v>
      </c>
      <c r="D48" s="2479" t="str">
        <f t="shared" si="2"/>
        <v xml:space="preserve"> FAS 112 Book Reserve - Postemployment Benefits </v>
      </c>
    </row>
    <row r="49" spans="1:4" ht="16.7" customHeight="1" x14ac:dyDescent="0.2">
      <c r="A49" s="2769">
        <v>13.13</v>
      </c>
      <c r="B49" s="2818" t="s">
        <v>7813</v>
      </c>
      <c r="C49" s="2530">
        <v>6213271</v>
      </c>
      <c r="D49" s="2479" t="str">
        <f t="shared" si="2"/>
        <v xml:space="preserve"> Fuel Cost Adjustment </v>
      </c>
    </row>
    <row r="50" spans="1:4" ht="16.7" customHeight="1" x14ac:dyDescent="0.2">
      <c r="A50" s="2769">
        <v>13.14</v>
      </c>
      <c r="B50" s="2818" t="s">
        <v>7814</v>
      </c>
      <c r="C50" s="2530">
        <v>171693</v>
      </c>
      <c r="D50" s="2479" t="str">
        <f t="shared" si="2"/>
        <v xml:space="preserve"> Hermiston Swap </v>
      </c>
    </row>
    <row r="51" spans="1:4" ht="16.7" customHeight="1" x14ac:dyDescent="0.2">
      <c r="A51" s="2769">
        <v>13.15</v>
      </c>
      <c r="B51" s="2818" t="s">
        <v>7815</v>
      </c>
      <c r="C51" s="2530">
        <v>1413722</v>
      </c>
      <c r="D51" s="2479" t="str">
        <f t="shared" si="2"/>
        <v xml:space="preserve"> Hydro Relicensing Obligation </v>
      </c>
    </row>
    <row r="52" spans="1:4" ht="16.7" customHeight="1" x14ac:dyDescent="0.2">
      <c r="A52" s="2769">
        <v>13.16</v>
      </c>
      <c r="B52" s="2818" t="s">
        <v>7816</v>
      </c>
      <c r="C52" s="2530">
        <v>54818</v>
      </c>
      <c r="D52" s="2479" t="str">
        <f t="shared" si="2"/>
        <v xml:space="preserve"> Idaho Disallowed Loss </v>
      </c>
    </row>
    <row r="53" spans="1:4" ht="16.7" customHeight="1" x14ac:dyDescent="0.2">
      <c r="A53" s="2769">
        <v>13.17</v>
      </c>
      <c r="B53" s="2818" t="s">
        <v>7817</v>
      </c>
      <c r="C53" s="2530">
        <v>72</v>
      </c>
      <c r="D53" s="2479" t="str">
        <f t="shared" si="2"/>
        <v xml:space="preserve"> Income Tax Interest </v>
      </c>
    </row>
    <row r="54" spans="1:4" ht="16.7" customHeight="1" x14ac:dyDescent="0.2">
      <c r="A54" s="2769">
        <v>13.18</v>
      </c>
      <c r="B54" s="2818" t="s">
        <v>7818</v>
      </c>
      <c r="C54" s="2530">
        <v>1191657766</v>
      </c>
      <c r="D54" s="2479" t="str">
        <f t="shared" si="2"/>
        <v xml:space="preserve"> Injuries and Damages Accrual, net of Insurance Reserves </v>
      </c>
    </row>
    <row r="55" spans="1:4" ht="16.7" customHeight="1" x14ac:dyDescent="0.2">
      <c r="A55" s="2769">
        <v>13.19</v>
      </c>
      <c r="B55" s="2818" t="s">
        <v>7819</v>
      </c>
      <c r="C55" s="2530">
        <v>88571</v>
      </c>
      <c r="D55" s="2479" t="str">
        <f t="shared" si="2"/>
        <v xml:space="preserve"> Inventory Reserve </v>
      </c>
    </row>
    <row r="56" spans="1:4" ht="16.7" customHeight="1" x14ac:dyDescent="0.2">
      <c r="A56" s="2769">
        <v>13.2</v>
      </c>
      <c r="B56" s="2818" t="s">
        <v>7820</v>
      </c>
      <c r="C56" s="2530">
        <v>2367826</v>
      </c>
      <c r="D56" s="2479" t="str">
        <f t="shared" si="2"/>
        <v xml:space="preserve"> Lobbying Expenses </v>
      </c>
    </row>
    <row r="57" spans="1:4" ht="16.7" customHeight="1" x14ac:dyDescent="0.2">
      <c r="A57" s="2769">
        <v>13.21</v>
      </c>
      <c r="B57" s="2818" t="s">
        <v>7821</v>
      </c>
      <c r="C57" s="2530">
        <v>1685359</v>
      </c>
      <c r="D57" s="2479" t="str">
        <f t="shared" si="2"/>
        <v xml:space="preserve"> Meals and Entertainment </v>
      </c>
    </row>
    <row r="58" spans="1:4" ht="16.7" customHeight="1" x14ac:dyDescent="0.2">
      <c r="A58" s="2769">
        <v>13.22</v>
      </c>
      <c r="B58" s="2818" t="s">
        <v>7822</v>
      </c>
      <c r="C58" s="2530">
        <v>72403</v>
      </c>
      <c r="D58" s="2479" t="str">
        <f t="shared" si="2"/>
        <v xml:space="preserve"> Nondeductible Fringe Benefits </v>
      </c>
    </row>
    <row r="59" spans="1:4" ht="16.7" customHeight="1" x14ac:dyDescent="0.2">
      <c r="A59" s="2769">
        <v>13.23</v>
      </c>
      <c r="B59" s="2818" t="s">
        <v>7823</v>
      </c>
      <c r="C59" s="2530">
        <v>595170</v>
      </c>
      <c r="D59" s="2479" t="str">
        <f t="shared" si="2"/>
        <v xml:space="preserve"> Nondeductible Parking Costs </v>
      </c>
    </row>
    <row r="60" spans="1:4" ht="16.7" customHeight="1" x14ac:dyDescent="0.2">
      <c r="A60" s="2769">
        <v>13.24</v>
      </c>
      <c r="B60" s="2818" t="s">
        <v>7824</v>
      </c>
      <c r="C60" s="2530">
        <v>381827</v>
      </c>
      <c r="D60" s="2479" t="str">
        <f t="shared" si="2"/>
        <v xml:space="preserve"> Operating Leases (Liability) </v>
      </c>
    </row>
    <row r="61" spans="1:4" ht="16.7" customHeight="1" x14ac:dyDescent="0.2">
      <c r="A61" s="2769">
        <v>13.25</v>
      </c>
      <c r="B61" s="2818" t="s">
        <v>7825</v>
      </c>
      <c r="C61" s="2530">
        <v>23269</v>
      </c>
      <c r="D61" s="2479" t="str">
        <f t="shared" si="2"/>
        <v xml:space="preserve"> Penalties </v>
      </c>
    </row>
    <row r="62" spans="1:4" ht="16.7" customHeight="1" x14ac:dyDescent="0.2">
      <c r="A62" s="2769">
        <v>13.26</v>
      </c>
      <c r="B62" s="2818" t="s">
        <v>7826</v>
      </c>
      <c r="C62" s="2530">
        <v>1099824</v>
      </c>
      <c r="D62" s="2479" t="str">
        <f t="shared" si="2"/>
        <v xml:space="preserve"> Prepaid - FSA O&amp; M - East </v>
      </c>
    </row>
    <row r="63" spans="1:4" ht="16.7" customHeight="1" x14ac:dyDescent="0.2">
      <c r="A63" s="2769">
        <v>13.27</v>
      </c>
      <c r="B63" s="2818" t="s">
        <v>7827</v>
      </c>
      <c r="C63" s="2530">
        <v>4045641</v>
      </c>
      <c r="D63" s="2479" t="str">
        <f t="shared" si="2"/>
        <v xml:space="preserve"> Property Insurance Reserve - OR </v>
      </c>
    </row>
    <row r="64" spans="1:4" ht="16.7" customHeight="1" x14ac:dyDescent="0.2">
      <c r="A64" s="2769">
        <v>13.28</v>
      </c>
      <c r="B64" s="2818" t="s">
        <v>7828</v>
      </c>
      <c r="C64" s="2530">
        <v>227343</v>
      </c>
      <c r="D64" s="2479" t="str">
        <f t="shared" si="2"/>
        <v xml:space="preserve"> Regulatory Asset - Arrearage Payments Program - CA </v>
      </c>
    </row>
    <row r="65" spans="1:4" ht="16.7" customHeight="1" x14ac:dyDescent="0.2">
      <c r="A65" s="2769">
        <v>13.29</v>
      </c>
      <c r="B65" s="2818" t="s">
        <v>7829</v>
      </c>
      <c r="C65" s="2530">
        <v>28825</v>
      </c>
      <c r="D65" s="2479" t="str">
        <f t="shared" si="2"/>
        <v xml:space="preserve"> Regulatory Asset - Carbon Decommissioning - CA </v>
      </c>
    </row>
    <row r="66" spans="1:4" ht="16.7" customHeight="1" x14ac:dyDescent="0.2">
      <c r="A66" s="2769">
        <v>13.3</v>
      </c>
      <c r="B66" s="2818" t="s">
        <v>7830</v>
      </c>
      <c r="C66" s="2530">
        <v>745601</v>
      </c>
      <c r="D66" s="2479" t="str">
        <f t="shared" si="2"/>
        <v xml:space="preserve"> Regulatory Asset - Carbon Plant Decom/Inventory </v>
      </c>
    </row>
    <row r="67" spans="1:4" ht="16.7" customHeight="1" x14ac:dyDescent="0.2">
      <c r="A67" s="2769">
        <v>13.31</v>
      </c>
      <c r="B67" s="2818" t="s">
        <v>7831</v>
      </c>
      <c r="C67" s="2530">
        <v>153469</v>
      </c>
      <c r="D67" s="2479" t="str">
        <f t="shared" si="2"/>
        <v xml:space="preserve"> Regulatory Asset - Cedar Springs II - OR </v>
      </c>
    </row>
    <row r="68" spans="1:4" ht="16.7" customHeight="1" x14ac:dyDescent="0.2">
      <c r="A68" s="2769">
        <v>13.32</v>
      </c>
      <c r="B68" s="2818" t="s">
        <v>7832</v>
      </c>
      <c r="C68" s="2530">
        <v>6982260</v>
      </c>
      <c r="D68" s="2479" t="str">
        <f t="shared" si="2"/>
        <v xml:space="preserve"> Regulatory Asset - Cholla U4 Closure </v>
      </c>
    </row>
    <row r="69" spans="1:4" ht="16.7" customHeight="1" x14ac:dyDescent="0.2">
      <c r="A69" s="2769">
        <v>13.33</v>
      </c>
      <c r="B69" s="2818" t="s">
        <v>7833</v>
      </c>
      <c r="C69" s="2530">
        <v>2720242</v>
      </c>
      <c r="D69" s="2479" t="str">
        <f t="shared" si="2"/>
        <v xml:space="preserve"> Regulatory Asset - Covid-19 Bill Assist Program - OR </v>
      </c>
    </row>
    <row r="70" spans="1:4" ht="16.7" customHeight="1" x14ac:dyDescent="0.2">
      <c r="A70" s="2769">
        <v>13.34</v>
      </c>
      <c r="B70" s="2818" t="s">
        <v>7834</v>
      </c>
      <c r="C70" s="2530">
        <v>172340</v>
      </c>
      <c r="D70" s="2479" t="str">
        <f t="shared" si="2"/>
        <v xml:space="preserve"> Regulatory Asset - Independent Evaluator Costs - UT </v>
      </c>
    </row>
    <row r="71" spans="1:4" ht="16.7" customHeight="1" x14ac:dyDescent="0.2">
      <c r="A71" s="2769">
        <v>13.35</v>
      </c>
      <c r="B71" s="2818" t="s">
        <v>7835</v>
      </c>
      <c r="C71" s="2530">
        <v>340247</v>
      </c>
      <c r="D71" s="2479" t="str">
        <f t="shared" si="2"/>
        <v xml:space="preserve"> Regulatory Asset - Deferred Intervenor Funding Grants - OR </v>
      </c>
    </row>
    <row r="72" spans="1:4" ht="16.7" customHeight="1" x14ac:dyDescent="0.2">
      <c r="A72" s="2769">
        <v>13.36</v>
      </c>
      <c r="B72" s="2818" t="s">
        <v>7836</v>
      </c>
      <c r="C72" s="2530">
        <v>60594</v>
      </c>
      <c r="D72" s="2479" t="str">
        <f t="shared" si="2"/>
        <v xml:space="preserve"> Regulatory Asset - Deferred Overburden Costs - ID </v>
      </c>
    </row>
    <row r="73" spans="1:4" ht="16.7" customHeight="1" x14ac:dyDescent="0.2">
      <c r="A73" s="2769">
        <v>13.37</v>
      </c>
      <c r="B73" s="2818" t="s">
        <v>7837</v>
      </c>
      <c r="C73" s="2530">
        <v>153539</v>
      </c>
      <c r="D73" s="2479" t="str">
        <f t="shared" si="2"/>
        <v xml:space="preserve"> Regulatory Asset - Deferred Overburden Costs - WY </v>
      </c>
    </row>
    <row r="74" spans="1:4" ht="16.7" customHeight="1" x14ac:dyDescent="0.2">
      <c r="A74" s="2769">
        <v>13.38</v>
      </c>
      <c r="B74" s="2818" t="s">
        <v>7838</v>
      </c>
      <c r="C74" s="2530">
        <v>3485076</v>
      </c>
      <c r="D74" s="2479" t="str">
        <f t="shared" si="2"/>
        <v xml:space="preserve"> Regulatory Asset - Depreciation Increase - ID </v>
      </c>
    </row>
    <row r="75" spans="1:4" ht="16.7" customHeight="1" x14ac:dyDescent="0.2">
      <c r="A75" s="2769">
        <v>13.39</v>
      </c>
      <c r="B75" s="2818" t="s">
        <v>7839</v>
      </c>
      <c r="C75" s="2530">
        <v>128043</v>
      </c>
      <c r="D75" s="2479" t="str">
        <f t="shared" si="2"/>
        <v xml:space="preserve"> Regulatory Asset - Depreciation Increase - UT </v>
      </c>
    </row>
    <row r="76" spans="1:4" ht="16.7" customHeight="1" x14ac:dyDescent="0.2">
      <c r="A76" s="2769">
        <v>13.4</v>
      </c>
      <c r="B76" s="2818" t="s">
        <v>7840</v>
      </c>
      <c r="C76" s="2530">
        <v>442191</v>
      </c>
      <c r="D76" s="2479" t="str">
        <f t="shared" si="2"/>
        <v xml:space="preserve"> Regulatory Asset - Depreciation Increase - WY </v>
      </c>
    </row>
    <row r="77" spans="1:4" ht="16.7" customHeight="1" x14ac:dyDescent="0.2">
      <c r="A77" s="2769">
        <v>13.41</v>
      </c>
      <c r="B77" s="2818" t="s">
        <v>7841</v>
      </c>
      <c r="C77" s="2530">
        <v>713216</v>
      </c>
      <c r="D77" s="2479" t="str">
        <f t="shared" si="2"/>
        <v xml:space="preserve"> Regulatory Asset - Environmental Costs - WA </v>
      </c>
    </row>
    <row r="78" spans="1:4" ht="16.7" customHeight="1" x14ac:dyDescent="0.2">
      <c r="A78" s="2769">
        <v>13.42</v>
      </c>
      <c r="B78" s="2818" t="s">
        <v>7842</v>
      </c>
      <c r="C78" s="2530">
        <v>4454679</v>
      </c>
      <c r="D78" s="2479" t="str">
        <f t="shared" si="2"/>
        <v xml:space="preserve"> Regulatory Asset - FAS 158 Pension Liability </v>
      </c>
    </row>
    <row r="79" spans="1:4" ht="16.7" customHeight="1" x14ac:dyDescent="0.2">
      <c r="A79" s="2769">
        <v>13.43</v>
      </c>
      <c r="B79" s="2818" t="s">
        <v>7843</v>
      </c>
      <c r="C79" s="2530">
        <v>35000</v>
      </c>
      <c r="D79" s="2479" t="str">
        <f t="shared" si="2"/>
        <v xml:space="preserve"> Regulatory Asset - Generating Plant Liquidated Damages - UT </v>
      </c>
    </row>
    <row r="80" spans="1:4" ht="16.7" customHeight="1" x14ac:dyDescent="0.2">
      <c r="A80" s="2769">
        <v>13.44</v>
      </c>
      <c r="B80" s="2818" t="s">
        <v>7844</v>
      </c>
      <c r="C80" s="2530">
        <v>5708</v>
      </c>
      <c r="D80" s="2479" t="str">
        <f t="shared" si="2"/>
        <v xml:space="preserve"> Regulatory Asset - Generating Plant Liquidation Damages - WY </v>
      </c>
    </row>
    <row r="81" spans="1:4" ht="16.7" customHeight="1" x14ac:dyDescent="0.2">
      <c r="A81" s="2769">
        <v>13.45</v>
      </c>
      <c r="B81" s="2818" t="s">
        <v>7845</v>
      </c>
      <c r="C81" s="2530">
        <v>21250</v>
      </c>
      <c r="D81" s="2479" t="str">
        <f t="shared" si="2"/>
        <v xml:space="preserve"> Regulatory Asset - Goodnoe Hills Settlement - WY </v>
      </c>
    </row>
    <row r="82" spans="1:4" ht="16.7" customHeight="1" x14ac:dyDescent="0.2">
      <c r="A82" s="2769">
        <v>13.46</v>
      </c>
      <c r="B82" s="2818" t="s">
        <v>7846</v>
      </c>
      <c r="C82" s="2530">
        <v>1101137</v>
      </c>
      <c r="D82" s="2479" t="str">
        <f t="shared" si="2"/>
        <v xml:space="preserve"> Regulatory Asset - Klamath Unrecovered Plant </v>
      </c>
    </row>
    <row r="83" spans="1:4" ht="16.7" customHeight="1" x14ac:dyDescent="0.2">
      <c r="A83" s="2769">
        <v>13.47</v>
      </c>
      <c r="B83" s="2818" t="s">
        <v>7847</v>
      </c>
      <c r="C83" s="2530">
        <v>27331</v>
      </c>
      <c r="D83" s="2479" t="str">
        <f t="shared" si="2"/>
        <v xml:space="preserve"> Regulatory Asset - Lake Side Settlement - WY </v>
      </c>
    </row>
    <row r="84" spans="1:4" ht="16.7" customHeight="1" x14ac:dyDescent="0.2">
      <c r="A84" s="2769">
        <v>13.48</v>
      </c>
      <c r="B84" s="2818" t="s">
        <v>7848</v>
      </c>
      <c r="C84" s="2530">
        <v>1517984</v>
      </c>
      <c r="D84" s="2479" t="str">
        <f t="shared" si="2"/>
        <v xml:space="preserve"> Regulatory Asset - Low-Carbon Energy Standards - WY </v>
      </c>
    </row>
    <row r="85" spans="1:4" ht="16.7" customHeight="1" x14ac:dyDescent="0.2">
      <c r="A85" s="2769">
        <v>13.49</v>
      </c>
      <c r="B85" s="2818" t="s">
        <v>7849</v>
      </c>
      <c r="C85" s="2530">
        <v>3557611</v>
      </c>
      <c r="D85" s="2479" t="str">
        <f t="shared" si="2"/>
        <v xml:space="preserve"> Regulatory Asset - Meters Replaced by AMI - OR </v>
      </c>
    </row>
    <row r="86" spans="1:4" ht="16.7" customHeight="1" x14ac:dyDescent="0.2">
      <c r="A86" s="2769">
        <v>13.5</v>
      </c>
      <c r="B86" s="2818" t="s">
        <v>7850</v>
      </c>
      <c r="C86" s="2530">
        <v>17372</v>
      </c>
      <c r="D86" s="2479" t="str">
        <f t="shared" si="2"/>
        <v xml:space="preserve"> Regulatory Asset - Mobile Home Park Conversion - CA </v>
      </c>
    </row>
    <row r="87" spans="1:4" ht="16.7" customHeight="1" x14ac:dyDescent="0.2">
      <c r="A87" s="2769">
        <v>13.51</v>
      </c>
      <c r="B87" s="2818" t="s">
        <v>7851</v>
      </c>
      <c r="C87" s="2530">
        <v>15099</v>
      </c>
      <c r="D87" s="2479" t="str">
        <f t="shared" si="2"/>
        <v xml:space="preserve"> Regulatory Asset - Pension Settlement - CA </v>
      </c>
    </row>
    <row r="88" spans="1:4" ht="16.7" customHeight="1" x14ac:dyDescent="0.2">
      <c r="A88" s="2769">
        <v>13.52</v>
      </c>
      <c r="B88" s="2818" t="s">
        <v>7852</v>
      </c>
      <c r="C88" s="2530">
        <v>654101</v>
      </c>
      <c r="D88" s="2479" t="str">
        <f t="shared" si="2"/>
        <v xml:space="preserve"> Regulatory Asset - Pension Settlement - OR </v>
      </c>
    </row>
    <row r="89" spans="1:4" ht="16.7" customHeight="1" x14ac:dyDescent="0.2">
      <c r="A89" s="2769">
        <v>13.53</v>
      </c>
      <c r="B89" s="2818" t="s">
        <v>7853</v>
      </c>
      <c r="C89" s="2530">
        <v>5229029</v>
      </c>
      <c r="D89" s="2479" t="str">
        <f t="shared" si="2"/>
        <v xml:space="preserve"> Regulatory Asset - Pension Settlement - UT </v>
      </c>
    </row>
    <row r="90" spans="1:4" ht="16.7" customHeight="1" x14ac:dyDescent="0.2">
      <c r="A90" s="2769">
        <v>13.54</v>
      </c>
      <c r="B90" s="2818" t="s">
        <v>7854</v>
      </c>
      <c r="C90" s="2530">
        <v>254827</v>
      </c>
      <c r="D90" s="2479" t="str">
        <f t="shared" si="2"/>
        <v xml:space="preserve"> Regulatory Asset - Pension Settlement - WA </v>
      </c>
    </row>
    <row r="91" spans="1:4" ht="16.7" customHeight="1" x14ac:dyDescent="0.2">
      <c r="A91" s="2769">
        <v>13.55</v>
      </c>
      <c r="B91" s="2818" t="s">
        <v>7855</v>
      </c>
      <c r="C91" s="2530">
        <v>302162</v>
      </c>
      <c r="D91" s="2479" t="str">
        <f t="shared" si="2"/>
        <v xml:space="preserve"> Regulatory Asset - Pension Settlement - WY </v>
      </c>
    </row>
    <row r="92" spans="1:4" ht="16.7" customHeight="1" x14ac:dyDescent="0.2">
      <c r="A92" s="2769">
        <v>13.56</v>
      </c>
      <c r="B92" s="2818" t="s">
        <v>7856</v>
      </c>
      <c r="C92" s="2530">
        <v>394621</v>
      </c>
      <c r="D92" s="2479" t="str">
        <f t="shared" si="2"/>
        <v xml:space="preserve"> Regulatory Asset - Post Merger Loss - Reacquired Debt </v>
      </c>
    </row>
    <row r="93" spans="1:4" ht="16.7" customHeight="1" x14ac:dyDescent="0.2">
      <c r="A93" s="2769">
        <v>13.57</v>
      </c>
      <c r="B93" s="2818" t="s">
        <v>7857</v>
      </c>
      <c r="C93" s="2530">
        <v>992003</v>
      </c>
      <c r="D93" s="2479" t="str">
        <f t="shared" si="2"/>
        <v xml:space="preserve"> Regulatory Asset - Post-Retirement Settlement Loss </v>
      </c>
    </row>
    <row r="94" spans="1:4" ht="16.7" customHeight="1" x14ac:dyDescent="0.2">
      <c r="A94" s="2769">
        <v>13.58</v>
      </c>
      <c r="B94" s="2818" t="s">
        <v>7858</v>
      </c>
      <c r="C94" s="2530">
        <v>82531</v>
      </c>
      <c r="D94" s="2479" t="str">
        <f t="shared" si="2"/>
        <v xml:space="preserve"> Regulatory Asset - Preferred Stock Redemption Loss - UT </v>
      </c>
    </row>
    <row r="95" spans="1:4" ht="16.7" customHeight="1" x14ac:dyDescent="0.2">
      <c r="A95" s="2769">
        <v>13.59</v>
      </c>
      <c r="B95" s="2818" t="s">
        <v>7859</v>
      </c>
      <c r="C95" s="2530">
        <v>13318</v>
      </c>
      <c r="D95" s="2479" t="str">
        <f t="shared" si="2"/>
        <v xml:space="preserve"> Regulatory Asset - Preferred Stock Redemption Loss - WA </v>
      </c>
    </row>
    <row r="96" spans="1:4" ht="16.7" customHeight="1" x14ac:dyDescent="0.2">
      <c r="A96" s="2769">
        <v>13.6</v>
      </c>
      <c r="B96" s="2818" t="s">
        <v>7860</v>
      </c>
      <c r="C96" s="2530">
        <v>28442</v>
      </c>
      <c r="D96" s="2479" t="str">
        <f t="shared" si="2"/>
        <v xml:space="preserve"> Regulatory Asset - Preferred Stock Redemption Loss - WY </v>
      </c>
    </row>
    <row r="97" spans="1:4" ht="16.7" customHeight="1" x14ac:dyDescent="0.2">
      <c r="A97" s="2769">
        <v>13.61</v>
      </c>
      <c r="B97" s="2818" t="s">
        <v>7861</v>
      </c>
      <c r="C97" s="2530">
        <v>995202</v>
      </c>
      <c r="D97" s="2479" t="str">
        <f t="shared" ref="D97:D160" si="3">B97</f>
        <v xml:space="preserve"> Regulatory Asset - Property Sales Balancing Account - OR </v>
      </c>
    </row>
    <row r="98" spans="1:4" ht="16.7" customHeight="1" x14ac:dyDescent="0.2">
      <c r="A98" s="2769">
        <v>13.62</v>
      </c>
      <c r="B98" s="2818" t="s">
        <v>7862</v>
      </c>
      <c r="C98" s="2530">
        <v>459667</v>
      </c>
      <c r="D98" s="2479" t="str">
        <f t="shared" si="3"/>
        <v xml:space="preserve"> Regulatory Asset - Renewable Portfolio Standards Compliance - WA </v>
      </c>
    </row>
    <row r="99" spans="1:4" ht="16.7" customHeight="1" x14ac:dyDescent="0.2">
      <c r="A99" s="2769">
        <v>13.63</v>
      </c>
      <c r="B99" s="2818" t="s">
        <v>7863</v>
      </c>
      <c r="C99" s="2530">
        <v>1002269</v>
      </c>
      <c r="D99" s="2479" t="str">
        <f t="shared" si="3"/>
        <v xml:space="preserve"> Regulatory Asset - Solar Feed-In Tariff Deferral - OR </v>
      </c>
    </row>
    <row r="100" spans="1:4" ht="16.7" customHeight="1" x14ac:dyDescent="0.2">
      <c r="A100" s="2769">
        <v>13.64</v>
      </c>
      <c r="B100" s="2818" t="s">
        <v>7864</v>
      </c>
      <c r="C100" s="2530">
        <v>11255163</v>
      </c>
      <c r="D100" s="2479" t="str">
        <f t="shared" si="3"/>
        <v xml:space="preserve"> Regulatory Asset - Solar Incentive Program - UT </v>
      </c>
    </row>
    <row r="101" spans="1:4" ht="16.7" customHeight="1" x14ac:dyDescent="0.2">
      <c r="A101" s="2769">
        <v>13.65</v>
      </c>
      <c r="B101" s="2818" t="s">
        <v>7865</v>
      </c>
      <c r="C101" s="2530">
        <v>22404</v>
      </c>
      <c r="D101" s="2479" t="str">
        <f t="shared" si="3"/>
        <v xml:space="preserve"> Regulatory Asset - Subscriber Solar Program - Utah </v>
      </c>
    </row>
    <row r="102" spans="1:4" ht="16.7" customHeight="1" x14ac:dyDescent="0.2">
      <c r="A102" s="2769">
        <v>13.66</v>
      </c>
      <c r="B102" s="2818" t="s">
        <v>7866</v>
      </c>
      <c r="C102" s="2530">
        <v>2158807</v>
      </c>
      <c r="D102" s="2479" t="str">
        <f t="shared" si="3"/>
        <v xml:space="preserve"> Regulatory Asset - TB Flats - OR </v>
      </c>
    </row>
    <row r="103" spans="1:4" ht="16.7" customHeight="1" x14ac:dyDescent="0.2">
      <c r="A103" s="2769">
        <v>13.67</v>
      </c>
      <c r="B103" s="2818" t="s">
        <v>7867</v>
      </c>
      <c r="C103" s="2530">
        <v>12869</v>
      </c>
      <c r="D103" s="2479" t="str">
        <f t="shared" si="3"/>
        <v xml:space="preserve"> Regulatory Asset - Transportation Electrification Pilot - CA </v>
      </c>
    </row>
    <row r="104" spans="1:4" ht="16.7" customHeight="1" x14ac:dyDescent="0.2">
      <c r="A104" s="2769">
        <v>13.68</v>
      </c>
      <c r="B104" s="2818" t="s">
        <v>7868</v>
      </c>
      <c r="C104" s="2530">
        <v>2035483</v>
      </c>
      <c r="D104" s="2479" t="str">
        <f t="shared" si="3"/>
        <v xml:space="preserve"> Regulatory Asset - Transportation Electrification Pilot - OR </v>
      </c>
    </row>
    <row r="105" spans="1:4" ht="16.7" customHeight="1" x14ac:dyDescent="0.2">
      <c r="A105" s="2769">
        <v>13.69</v>
      </c>
      <c r="B105" s="2818" t="s">
        <v>7869</v>
      </c>
      <c r="C105" s="2530">
        <v>630074</v>
      </c>
      <c r="D105" s="2479" t="str">
        <f t="shared" si="3"/>
        <v xml:space="preserve"> Regulatory Asset - Utah Mine Disposition </v>
      </c>
    </row>
    <row r="106" spans="1:4" ht="16.7" customHeight="1" x14ac:dyDescent="0.2">
      <c r="A106" s="2769">
        <v>13.7</v>
      </c>
      <c r="B106" s="2818" t="s">
        <v>7870</v>
      </c>
      <c r="C106" s="2530">
        <v>21411</v>
      </c>
      <c r="D106" s="2479" t="str">
        <f t="shared" si="3"/>
        <v xml:space="preserve"> Regulatory Asset - Utility Community Advisory Group - OR </v>
      </c>
    </row>
    <row r="107" spans="1:4" ht="16.7" customHeight="1" x14ac:dyDescent="0.2">
      <c r="A107" s="2769">
        <v>13.71</v>
      </c>
      <c r="B107" s="2818" t="s">
        <v>7871</v>
      </c>
      <c r="C107" s="2530">
        <v>68327</v>
      </c>
      <c r="D107" s="2479" t="str">
        <f t="shared" si="3"/>
        <v xml:space="preserve"> Regulatory Asset - Wildfire Damaged Asset - OR </v>
      </c>
    </row>
    <row r="108" spans="1:4" ht="16.7" customHeight="1" x14ac:dyDescent="0.2">
      <c r="A108" s="2769">
        <v>13.72</v>
      </c>
      <c r="B108" s="2818" t="s">
        <v>7872</v>
      </c>
      <c r="C108" s="2530">
        <v>34932</v>
      </c>
      <c r="D108" s="2479" t="str">
        <f t="shared" si="3"/>
        <v xml:space="preserve"> Regulatory Asset - Wildfire Mitigation - OR </v>
      </c>
    </row>
    <row r="109" spans="1:4" ht="16.7" customHeight="1" x14ac:dyDescent="0.2">
      <c r="A109" s="2769">
        <v>13.73</v>
      </c>
      <c r="B109" s="2818" t="s">
        <v>7873</v>
      </c>
      <c r="C109" s="2530">
        <v>1501985</v>
      </c>
      <c r="D109" s="2479" t="str">
        <f t="shared" si="3"/>
        <v xml:space="preserve"> Regulatory Asset - Wildland Fire Protection - UT </v>
      </c>
    </row>
    <row r="110" spans="1:4" ht="16.7" customHeight="1" x14ac:dyDescent="0.2">
      <c r="A110" s="2769">
        <v>13.74</v>
      </c>
      <c r="B110" s="2818" t="s">
        <v>7874</v>
      </c>
      <c r="C110" s="2530">
        <v>7644</v>
      </c>
      <c r="D110" s="2479" t="str">
        <f t="shared" si="3"/>
        <v xml:space="preserve"> Regulatory Asset - Wind Test Energy Deferral - WY </v>
      </c>
    </row>
    <row r="111" spans="1:4" ht="16.7" customHeight="1" x14ac:dyDescent="0.2">
      <c r="A111" s="2769">
        <v>13.75</v>
      </c>
      <c r="B111" s="2488" t="s">
        <v>7875</v>
      </c>
      <c r="C111" s="2530">
        <v>18122</v>
      </c>
      <c r="D111" s="2479" t="str">
        <f t="shared" si="3"/>
        <v xml:space="preserve"> Regulatory Liability - ARO/Reg Diff - Trojan - WA Portion </v>
      </c>
    </row>
    <row r="112" spans="1:4" ht="16.7" customHeight="1" x14ac:dyDescent="0.2">
      <c r="A112" s="2769">
        <v>13.76</v>
      </c>
      <c r="B112" s="2488" t="s">
        <v>7876</v>
      </c>
      <c r="C112" s="2530">
        <v>25326</v>
      </c>
      <c r="D112" s="2479" t="str">
        <f t="shared" si="3"/>
        <v xml:space="preserve"> Regulatory Liability - Blue Sky - CA </v>
      </c>
    </row>
    <row r="113" spans="1:4" ht="16.7" customHeight="1" x14ac:dyDescent="0.2">
      <c r="A113" s="2769">
        <v>13.77</v>
      </c>
      <c r="B113" s="2488" t="s">
        <v>7877</v>
      </c>
      <c r="C113" s="2530">
        <v>29743</v>
      </c>
      <c r="D113" s="2479" t="str">
        <f t="shared" si="3"/>
        <v xml:space="preserve"> Regulatory Liability - Blue Sky - ID </v>
      </c>
    </row>
    <row r="114" spans="1:4" ht="16.7" customHeight="1" x14ac:dyDescent="0.2">
      <c r="A114" s="2769">
        <v>13.78</v>
      </c>
      <c r="B114" s="2488" t="s">
        <v>7878</v>
      </c>
      <c r="C114" s="2530">
        <v>97281</v>
      </c>
      <c r="D114" s="2479" t="str">
        <f t="shared" si="3"/>
        <v xml:space="preserve"> Regulatory Liability - Blue Sky - OR </v>
      </c>
    </row>
    <row r="115" spans="1:4" ht="16.7" customHeight="1" x14ac:dyDescent="0.2">
      <c r="A115" s="2769">
        <v>13.79</v>
      </c>
      <c r="B115" s="2488" t="s">
        <v>7879</v>
      </c>
      <c r="C115" s="2530">
        <v>1025571</v>
      </c>
      <c r="D115" s="2479" t="str">
        <f t="shared" si="3"/>
        <v xml:space="preserve"> Regulatory Liability - Blue Sky - UT </v>
      </c>
    </row>
    <row r="116" spans="1:4" ht="16.7" customHeight="1" x14ac:dyDescent="0.2">
      <c r="A116" s="2769">
        <v>13.8</v>
      </c>
      <c r="B116" s="2488" t="s">
        <v>7880</v>
      </c>
      <c r="C116" s="2530">
        <v>320017</v>
      </c>
      <c r="D116" s="2479" t="str">
        <f t="shared" si="3"/>
        <v xml:space="preserve"> Regulatory Liability - California Energy Savings Assistance </v>
      </c>
    </row>
    <row r="117" spans="1:4" ht="16.7" customHeight="1" x14ac:dyDescent="0.2">
      <c r="A117" s="2769">
        <v>13.81</v>
      </c>
      <c r="B117" s="2488" t="s">
        <v>7881</v>
      </c>
      <c r="C117" s="2530">
        <v>55748</v>
      </c>
      <c r="D117" s="2479" t="str">
        <f t="shared" si="3"/>
        <v xml:space="preserve"> Regulatory Liability - Cholla Decommissioning - CA </v>
      </c>
    </row>
    <row r="118" spans="1:4" ht="16.7" customHeight="1" x14ac:dyDescent="0.2">
      <c r="A118" s="2769">
        <v>13.82</v>
      </c>
      <c r="B118" s="2488" t="s">
        <v>7882</v>
      </c>
      <c r="C118" s="2530">
        <v>462106</v>
      </c>
      <c r="D118" s="2479" t="str">
        <f t="shared" si="3"/>
        <v xml:space="preserve"> Regulatory Liability - Deferred Gains - TerraPower </v>
      </c>
    </row>
    <row r="119" spans="1:4" ht="16.7" customHeight="1" x14ac:dyDescent="0.2">
      <c r="A119" s="2769">
        <v>13.83</v>
      </c>
      <c r="B119" s="2488" t="s">
        <v>7883</v>
      </c>
      <c r="C119" s="2530">
        <v>6132346</v>
      </c>
      <c r="D119" s="2479" t="str">
        <f t="shared" si="3"/>
        <v xml:space="preserve"> Regulatory Liability - FAS 158 Post Retirement </v>
      </c>
    </row>
    <row r="120" spans="1:4" ht="16.7" customHeight="1" x14ac:dyDescent="0.2">
      <c r="A120" s="2769">
        <v>13.84</v>
      </c>
      <c r="B120" s="2488" t="s">
        <v>7884</v>
      </c>
      <c r="C120" s="2530">
        <v>3400000</v>
      </c>
      <c r="D120" s="2479" t="str">
        <f t="shared" si="3"/>
        <v xml:space="preserve"> Regulatory Liability - Fly Ash - WA </v>
      </c>
    </row>
    <row r="121" spans="1:4" ht="16.7" customHeight="1" x14ac:dyDescent="0.2">
      <c r="A121" s="2769">
        <v>13.85</v>
      </c>
      <c r="B121" s="2488" t="s">
        <v>7885</v>
      </c>
      <c r="C121" s="2530">
        <v>717</v>
      </c>
      <c r="D121" s="2479" t="str">
        <f t="shared" si="3"/>
        <v xml:space="preserve"> Regulatory Liability - Klamath River Dams Removal </v>
      </c>
    </row>
    <row r="122" spans="1:4" ht="16.7" customHeight="1" x14ac:dyDescent="0.2">
      <c r="A122" s="2769">
        <v>13.86</v>
      </c>
      <c r="B122" s="2488" t="s">
        <v>7886</v>
      </c>
      <c r="C122" s="2530">
        <v>1355736</v>
      </c>
      <c r="D122" s="2479" t="str">
        <f t="shared" si="3"/>
        <v xml:space="preserve"> Regulatory Liability - Plant Closure Cost - WA </v>
      </c>
    </row>
    <row r="123" spans="1:4" ht="16.7" customHeight="1" x14ac:dyDescent="0.2">
      <c r="A123" s="2769">
        <v>13.87</v>
      </c>
      <c r="B123" s="2488" t="s">
        <v>7887</v>
      </c>
      <c r="C123" s="2530">
        <v>116370</v>
      </c>
      <c r="D123" s="2479" t="str">
        <f t="shared" si="3"/>
        <v xml:space="preserve"> Regulatory Liability - Property Insurance Reserve - WA </v>
      </c>
    </row>
    <row r="124" spans="1:4" ht="16.7" customHeight="1" x14ac:dyDescent="0.2">
      <c r="A124" s="2769">
        <v>13.88</v>
      </c>
      <c r="B124" s="2488" t="s">
        <v>7888</v>
      </c>
      <c r="C124" s="2530">
        <v>742672</v>
      </c>
      <c r="D124" s="2479" t="str">
        <f t="shared" si="3"/>
        <v xml:space="preserve"> Regulatory Liability - Steam Decommissioning - CA </v>
      </c>
    </row>
    <row r="125" spans="1:4" ht="16.7" customHeight="1" x14ac:dyDescent="0.2">
      <c r="A125" s="2769">
        <v>13.89</v>
      </c>
      <c r="B125" s="2488" t="s">
        <v>7889</v>
      </c>
      <c r="C125" s="2530">
        <v>3569616</v>
      </c>
      <c r="D125" s="2479" t="str">
        <f t="shared" si="3"/>
        <v xml:space="preserve"> Regulatory Liability - Steam Decommissioning - WA </v>
      </c>
    </row>
    <row r="126" spans="1:4" ht="16.7" customHeight="1" x14ac:dyDescent="0.2">
      <c r="A126" s="2769">
        <v>13.9</v>
      </c>
      <c r="B126" s="2488" t="s">
        <v>7890</v>
      </c>
      <c r="C126" s="2530">
        <v>2774994</v>
      </c>
      <c r="D126" s="2479" t="str">
        <f t="shared" si="3"/>
        <v xml:space="preserve"> Regulatory Liability - Steam Decommmissioning - ID </v>
      </c>
    </row>
    <row r="127" spans="1:4" ht="16.7" customHeight="1" x14ac:dyDescent="0.2">
      <c r="A127" s="2769">
        <v>13.91</v>
      </c>
      <c r="B127" s="2488" t="s">
        <v>7891</v>
      </c>
      <c r="C127" s="2530">
        <v>17053629</v>
      </c>
      <c r="D127" s="2479" t="str">
        <f t="shared" si="3"/>
        <v xml:space="preserve"> Regulatory Liability - Steam Decommmissioning - UT </v>
      </c>
    </row>
    <row r="128" spans="1:4" ht="16.7" customHeight="1" x14ac:dyDescent="0.2">
      <c r="A128" s="2769">
        <v>13.92</v>
      </c>
      <c r="B128" s="2488" t="s">
        <v>7892</v>
      </c>
      <c r="C128" s="2530">
        <v>5668840</v>
      </c>
      <c r="D128" s="2479" t="str">
        <f t="shared" si="3"/>
        <v xml:space="preserve"> Regulatory Liability - Steam Decommmissioning - WY </v>
      </c>
    </row>
    <row r="129" spans="1:4" ht="16.7" customHeight="1" x14ac:dyDescent="0.2">
      <c r="A129" s="2769">
        <v>13.93</v>
      </c>
      <c r="B129" s="2488" t="s">
        <v>7893</v>
      </c>
      <c r="C129" s="2530">
        <v>3050309</v>
      </c>
      <c r="D129" s="2479" t="str">
        <f t="shared" si="3"/>
        <v xml:space="preserve"> Reimbursements </v>
      </c>
    </row>
    <row r="130" spans="1:4" ht="16.7" customHeight="1" x14ac:dyDescent="0.2">
      <c r="A130" s="2769">
        <v>13.94</v>
      </c>
      <c r="B130" s="2488" t="s">
        <v>7894</v>
      </c>
      <c r="C130" s="2530">
        <v>11859709</v>
      </c>
      <c r="D130" s="2479" t="str">
        <f t="shared" si="3"/>
        <v xml:space="preserve"> Reserve for Bad Debts </v>
      </c>
    </row>
    <row r="131" spans="1:4" ht="16.7" customHeight="1" x14ac:dyDescent="0.2">
      <c r="A131" s="2769">
        <v>13.95</v>
      </c>
      <c r="B131" s="2488" t="s">
        <v>7895</v>
      </c>
      <c r="C131" s="2530">
        <v>3</v>
      </c>
      <c r="D131" s="2479" t="str">
        <f t="shared" si="3"/>
        <v xml:space="preserve"> Utah Klamath Relicensing Costs </v>
      </c>
    </row>
    <row r="132" spans="1:4" ht="16.7" customHeight="1" x14ac:dyDescent="0.2">
      <c r="A132" s="2769">
        <v>13.96</v>
      </c>
      <c r="B132" s="2668"/>
      <c r="C132" s="2488"/>
      <c r="D132" s="2595">
        <f t="shared" si="3"/>
        <v>0</v>
      </c>
    </row>
    <row r="133" spans="1:4" ht="16.7" customHeight="1" x14ac:dyDescent="0.2">
      <c r="A133" s="2769">
        <v>14</v>
      </c>
      <c r="B133" s="2668" t="s">
        <v>7896</v>
      </c>
      <c r="C133" s="2488"/>
      <c r="D133" s="2479" t="str">
        <f t="shared" si="3"/>
        <v>Income Recorded on Books Not Included in Return</v>
      </c>
    </row>
    <row r="134" spans="1:4" ht="16.7" customHeight="1" x14ac:dyDescent="0.2">
      <c r="A134" s="2769">
        <v>15</v>
      </c>
      <c r="B134" s="2488" t="s">
        <v>7897</v>
      </c>
      <c r="C134" s="2530">
        <v>-1936419</v>
      </c>
      <c r="D134" s="2479" t="str">
        <f t="shared" si="3"/>
        <v xml:space="preserve"> Book Fixed Asset Gain/Loss </v>
      </c>
    </row>
    <row r="135" spans="1:4" ht="16.7" customHeight="1" x14ac:dyDescent="0.2">
      <c r="A135" s="2769">
        <v>16</v>
      </c>
      <c r="B135" s="2488" t="s">
        <v>7898</v>
      </c>
      <c r="C135" s="2530">
        <v>-92550</v>
      </c>
      <c r="D135" s="2479" t="str">
        <f t="shared" si="3"/>
        <v xml:space="preserve"> Dividend Received Deduction - Deferred Compensation </v>
      </c>
    </row>
    <row r="136" spans="1:4" ht="16.7" customHeight="1" x14ac:dyDescent="0.2">
      <c r="A136" s="2769">
        <v>17</v>
      </c>
      <c r="B136" s="2488" t="s">
        <v>7899</v>
      </c>
      <c r="C136" s="2530">
        <v>-143775744</v>
      </c>
      <c r="D136" s="2479" t="str">
        <f t="shared" si="3"/>
        <v>Equity AFUDC</v>
      </c>
    </row>
    <row r="137" spans="1:4" ht="16.7" customHeight="1" x14ac:dyDescent="0.2">
      <c r="A137" s="2769">
        <v>18</v>
      </c>
      <c r="B137" s="2488" t="s">
        <v>7900</v>
      </c>
      <c r="C137" s="2530">
        <v>-430973</v>
      </c>
      <c r="D137" s="2479" t="str">
        <f t="shared" si="3"/>
        <v>MCI F.O.G. Wire Lease</v>
      </c>
    </row>
    <row r="138" spans="1:4" ht="16.7" customHeight="1" x14ac:dyDescent="0.2">
      <c r="A138" s="2769">
        <v>18.010000000000002</v>
      </c>
      <c r="B138" s="2488" t="s">
        <v>7901</v>
      </c>
      <c r="C138" s="2530">
        <v>-8879305</v>
      </c>
      <c r="D138" s="2479" t="str">
        <f t="shared" si="3"/>
        <v>Officer's Life Insurance</v>
      </c>
    </row>
    <row r="139" spans="1:4" ht="16.7" customHeight="1" x14ac:dyDescent="0.2">
      <c r="A139" s="2769">
        <v>18.02</v>
      </c>
      <c r="B139" s="2488" t="s">
        <v>7902</v>
      </c>
      <c r="C139" s="2530">
        <v>-616722</v>
      </c>
      <c r="D139" s="2479" t="str">
        <f t="shared" si="3"/>
        <v>Regulatory Asset - Alt Rate for Energy Program (CARE) - CA</v>
      </c>
    </row>
    <row r="140" spans="1:4" ht="16.7" customHeight="1" x14ac:dyDescent="0.2">
      <c r="A140" s="2769">
        <v>18.03</v>
      </c>
      <c r="B140" s="2488" t="s">
        <v>7903</v>
      </c>
      <c r="C140" s="2530">
        <v>-333711</v>
      </c>
      <c r="D140" s="2479" t="str">
        <f t="shared" si="3"/>
        <v>Regulatory Asset - BPA Balancing Account - ID</v>
      </c>
    </row>
    <row r="141" spans="1:4" ht="16.7" customHeight="1" x14ac:dyDescent="0.2">
      <c r="A141" s="2769">
        <v>18.04</v>
      </c>
      <c r="B141" s="2488" t="s">
        <v>7904</v>
      </c>
      <c r="C141" s="2530">
        <v>-1224604</v>
      </c>
      <c r="D141" s="2479" t="str">
        <f t="shared" si="3"/>
        <v>Regulatory Asset - BPA Balancing Account - WA</v>
      </c>
    </row>
    <row r="142" spans="1:4" ht="16.7" customHeight="1" x14ac:dyDescent="0.2">
      <c r="A142" s="2769">
        <v>18.05</v>
      </c>
      <c r="B142" s="2488" t="s">
        <v>7905</v>
      </c>
      <c r="C142" s="2530">
        <v>-891469</v>
      </c>
      <c r="D142" s="2479" t="str">
        <f t="shared" si="3"/>
        <v>Regulatory Asset - Deferred Excess RECs in Rates - WY</v>
      </c>
    </row>
    <row r="143" spans="1:4" ht="16.7" customHeight="1" x14ac:dyDescent="0.2">
      <c r="A143" s="2769">
        <v>18.059999999999999</v>
      </c>
      <c r="B143" s="2488" t="s">
        <v>7906</v>
      </c>
      <c r="C143" s="2530">
        <v>-144581</v>
      </c>
      <c r="D143" s="2479" t="str">
        <f t="shared" si="3"/>
        <v>Regulatory Asset - REC Sales Deferral - OR - Noncurrent</v>
      </c>
    </row>
    <row r="144" spans="1:4" ht="16.7" customHeight="1" x14ac:dyDescent="0.2">
      <c r="A144" s="2769">
        <v>18.07</v>
      </c>
      <c r="B144" s="2488" t="s">
        <v>7907</v>
      </c>
      <c r="C144" s="2530">
        <v>-1484165</v>
      </c>
      <c r="D144" s="2479" t="str">
        <f t="shared" si="3"/>
        <v>Regulatory Asset - REC Sales Deferral - UT - Noncurrent</v>
      </c>
    </row>
    <row r="145" spans="1:4" ht="16.7" customHeight="1" x14ac:dyDescent="0.2">
      <c r="A145" s="2769">
        <v>18.079999999999998</v>
      </c>
      <c r="B145" s="2488" t="s">
        <v>7908</v>
      </c>
      <c r="C145" s="2530">
        <v>-32399</v>
      </c>
      <c r="D145" s="2479" t="str">
        <f t="shared" si="3"/>
        <v>Regulatory Liability - Alt Rate for Energy Program (CARE) - CA</v>
      </c>
    </row>
    <row r="146" spans="1:4" ht="16.7" customHeight="1" x14ac:dyDescent="0.2">
      <c r="A146" s="2769">
        <v>18.09</v>
      </c>
      <c r="B146" s="2488" t="s">
        <v>7909</v>
      </c>
      <c r="C146" s="2530">
        <v>-4022323</v>
      </c>
      <c r="D146" s="2479" t="str">
        <f t="shared" si="3"/>
        <v>Regulatory Liability - Deferred Excess NPC - OR</v>
      </c>
    </row>
    <row r="147" spans="1:4" ht="16.7" customHeight="1" x14ac:dyDescent="0.2">
      <c r="A147" s="2769">
        <v>18.100000000000001</v>
      </c>
      <c r="B147" s="2488" t="s">
        <v>7910</v>
      </c>
      <c r="C147" s="2530">
        <v>-121531</v>
      </c>
      <c r="D147" s="2479" t="str">
        <f t="shared" si="3"/>
        <v>Regulatory Liability - Deferred Excess RECs in Rates - WY</v>
      </c>
    </row>
    <row r="148" spans="1:4" ht="16.7" customHeight="1" x14ac:dyDescent="0.2">
      <c r="A148" s="2769">
        <v>18.11</v>
      </c>
      <c r="B148" s="2488" t="s">
        <v>7911</v>
      </c>
      <c r="C148" s="2530">
        <v>-2791260</v>
      </c>
      <c r="D148" s="2479" t="str">
        <f t="shared" si="3"/>
        <v>Regulatory Liability - Depreciation Deferral - OR</v>
      </c>
    </row>
    <row r="149" spans="1:4" ht="16.7" customHeight="1" x14ac:dyDescent="0.2">
      <c r="A149" s="2769">
        <v>18.12</v>
      </c>
      <c r="B149" s="2488" t="s">
        <v>7912</v>
      </c>
      <c r="C149" s="2530">
        <v>-306268</v>
      </c>
      <c r="D149" s="2479" t="str">
        <f t="shared" si="3"/>
        <v>Regulatory Liability - Excess Income Tax Deferral-CA</v>
      </c>
    </row>
    <row r="150" spans="1:4" ht="16.7" customHeight="1" x14ac:dyDescent="0.2">
      <c r="A150" s="2769">
        <v>18.13</v>
      </c>
      <c r="B150" s="2488" t="s">
        <v>7913</v>
      </c>
      <c r="C150" s="2530">
        <v>-1625292</v>
      </c>
      <c r="D150" s="2479" t="str">
        <f t="shared" si="3"/>
        <v>Regulatory Liability - Excess Income Tax Deferral-WA</v>
      </c>
    </row>
    <row r="151" spans="1:4" ht="16.7" customHeight="1" x14ac:dyDescent="0.2">
      <c r="A151" s="2769">
        <v>18.14</v>
      </c>
      <c r="B151" s="2488" t="s">
        <v>7914</v>
      </c>
      <c r="C151" s="2530">
        <v>-651203</v>
      </c>
      <c r="D151" s="2479" t="str">
        <f t="shared" si="3"/>
        <v>Regulatory Liability - Excess Income Tax Deferral-WY</v>
      </c>
    </row>
    <row r="152" spans="1:4" ht="16.7" customHeight="1" x14ac:dyDescent="0.2">
      <c r="A152" s="2769">
        <v>18.149999999999999</v>
      </c>
      <c r="B152" s="2488" t="s">
        <v>7915</v>
      </c>
      <c r="C152" s="2530">
        <v>-1053764</v>
      </c>
      <c r="D152" s="2479" t="str">
        <f t="shared" si="3"/>
        <v>Regulatory Liability - Fly Ash - OR</v>
      </c>
    </row>
    <row r="153" spans="1:4" ht="16.7" customHeight="1" x14ac:dyDescent="0.2">
      <c r="A153" s="2769">
        <v>18.16</v>
      </c>
      <c r="B153" s="2488" t="s">
        <v>7916</v>
      </c>
      <c r="C153" s="2530">
        <v>-1637355</v>
      </c>
      <c r="D153" s="2479" t="str">
        <f t="shared" si="3"/>
        <v>Regulatory Liability - OR Direct Access 5 Year Opt Out</v>
      </c>
    </row>
    <row r="154" spans="1:4" ht="16.7" customHeight="1" x14ac:dyDescent="0.2">
      <c r="A154" s="2769">
        <v>18.170000000000002</v>
      </c>
      <c r="B154" s="2488" t="s">
        <v>7917</v>
      </c>
      <c r="C154" s="2530">
        <v>-224021</v>
      </c>
      <c r="D154" s="2479" t="str">
        <f t="shared" si="3"/>
        <v>Regulatory Liability - Renewable Portfolio Standards Compliance - OR</v>
      </c>
    </row>
    <row r="155" spans="1:4" ht="16.7" customHeight="1" x14ac:dyDescent="0.2">
      <c r="A155" s="2769">
        <v>18.18</v>
      </c>
      <c r="B155" s="2488" t="s">
        <v>7918</v>
      </c>
      <c r="C155" s="2530">
        <v>-17418111</v>
      </c>
      <c r="D155" s="2479" t="str">
        <f t="shared" si="3"/>
        <v>Regulatory Liability - WA Deferred Steam Depreciation</v>
      </c>
    </row>
    <row r="156" spans="1:4" ht="16.7" customHeight="1" x14ac:dyDescent="0.2">
      <c r="A156" s="2769">
        <v>18.190000000000001</v>
      </c>
      <c r="B156" s="2488" t="s">
        <v>7919</v>
      </c>
      <c r="C156" s="2530">
        <v>-555469</v>
      </c>
      <c r="D156" s="2479" t="str">
        <f t="shared" si="3"/>
        <v>Regulatory Liability - WA Low Energy Program</v>
      </c>
    </row>
    <row r="157" spans="1:4" ht="16.7" customHeight="1" x14ac:dyDescent="0.2">
      <c r="A157" s="2769">
        <v>18.2</v>
      </c>
      <c r="B157" s="2488" t="s">
        <v>7920</v>
      </c>
      <c r="C157" s="2530">
        <v>-702026</v>
      </c>
      <c r="D157" s="2479" t="str">
        <f t="shared" si="3"/>
        <v>Regulatory Liability - WA Rate Refunds</v>
      </c>
    </row>
    <row r="158" spans="1:4" ht="16.7" customHeight="1" x14ac:dyDescent="0.2">
      <c r="A158" s="2769">
        <v>18.21</v>
      </c>
      <c r="B158" s="2488" t="s">
        <v>7921</v>
      </c>
      <c r="C158" s="2530">
        <v>-20109094</v>
      </c>
      <c r="D158" s="2479" t="str">
        <f t="shared" si="3"/>
        <v>Equity Earnings in Subsidiaries</v>
      </c>
    </row>
    <row r="159" spans="1:4" ht="16.7" customHeight="1" x14ac:dyDescent="0.2">
      <c r="A159" s="2769">
        <v>18.22</v>
      </c>
      <c r="B159" s="2668"/>
      <c r="C159" s="2488"/>
      <c r="D159" s="2595">
        <f t="shared" si="3"/>
        <v>0</v>
      </c>
    </row>
    <row r="160" spans="1:4" ht="16.7" customHeight="1" x14ac:dyDescent="0.2">
      <c r="A160" s="2634">
        <v>19</v>
      </c>
      <c r="B160" s="2668" t="s">
        <v>7922</v>
      </c>
      <c r="C160" s="2488"/>
      <c r="D160" s="2479" t="str">
        <f t="shared" si="3"/>
        <v>Deductions on Return Not Recorded on Books:</v>
      </c>
    </row>
    <row r="161" spans="1:4" ht="16.7" customHeight="1" x14ac:dyDescent="0.2">
      <c r="A161" s="2634">
        <v>20</v>
      </c>
      <c r="B161" s="2488" t="s">
        <v>7923</v>
      </c>
      <c r="C161" s="2530">
        <v>-353000</v>
      </c>
      <c r="D161" s="2479" t="str">
        <f t="shared" ref="D161:D224" si="4">B161</f>
        <v xml:space="preserve"> Accrued Bonus </v>
      </c>
    </row>
    <row r="162" spans="1:4" ht="16.7" customHeight="1" x14ac:dyDescent="0.2">
      <c r="A162" s="2634">
        <v>21</v>
      </c>
      <c r="B162" s="2488" t="s">
        <v>7924</v>
      </c>
      <c r="C162" s="2530">
        <v>-142861</v>
      </c>
      <c r="D162" s="2479" t="str">
        <f t="shared" si="4"/>
        <v xml:space="preserve"> Accrued Final Reclamation </v>
      </c>
    </row>
    <row r="163" spans="1:4" ht="16.7" customHeight="1" x14ac:dyDescent="0.2">
      <c r="A163" s="2634">
        <v>22</v>
      </c>
      <c r="B163" s="2488" t="s">
        <v>7925</v>
      </c>
      <c r="C163" s="2530">
        <v>-26987</v>
      </c>
      <c r="D163" s="2479" t="str">
        <f t="shared" si="4"/>
        <v xml:space="preserve"> Accrued Retention </v>
      </c>
    </row>
    <row r="164" spans="1:4" ht="16.7" customHeight="1" x14ac:dyDescent="0.2">
      <c r="A164" s="2634">
        <v>23</v>
      </c>
      <c r="B164" s="2488" t="s">
        <v>7926</v>
      </c>
      <c r="C164" s="2530">
        <v>-544160</v>
      </c>
      <c r="D164" s="2479" t="str">
        <f t="shared" si="4"/>
        <v xml:space="preserve"> Accrued Severance </v>
      </c>
    </row>
    <row r="165" spans="1:4" ht="16.7" customHeight="1" x14ac:dyDescent="0.2">
      <c r="A165" s="2634">
        <v>24</v>
      </c>
      <c r="B165" s="2488" t="s">
        <v>7927</v>
      </c>
      <c r="C165" s="2530">
        <v>-11806</v>
      </c>
      <c r="D165" s="2479" t="str">
        <f t="shared" si="4"/>
        <v xml:space="preserve"> Amortization NOPAs 99-00 RAR </v>
      </c>
    </row>
    <row r="166" spans="1:4" ht="16.7" customHeight="1" x14ac:dyDescent="0.2">
      <c r="A166" s="2634">
        <v>25</v>
      </c>
      <c r="B166" s="2488" t="s">
        <v>7928</v>
      </c>
      <c r="C166" s="2530">
        <v>-421187</v>
      </c>
      <c r="D166" s="2479" t="str">
        <f t="shared" si="4"/>
        <v xml:space="preserve"> Basis Intangible Difference </v>
      </c>
    </row>
    <row r="167" spans="1:4" ht="16.7" customHeight="1" x14ac:dyDescent="0.2">
      <c r="A167" s="2769">
        <v>25.01</v>
      </c>
      <c r="B167" s="2488" t="s">
        <v>7929</v>
      </c>
      <c r="C167" s="2530">
        <v>-201474</v>
      </c>
      <c r="D167" s="2479" t="str">
        <f t="shared" si="4"/>
        <v xml:space="preserve"> Bear River Settlement Agreement </v>
      </c>
    </row>
    <row r="168" spans="1:4" ht="16.7" customHeight="1" x14ac:dyDescent="0.2">
      <c r="A168" s="2769">
        <v>25.02</v>
      </c>
      <c r="B168" s="2488" t="s">
        <v>7930</v>
      </c>
      <c r="C168" s="2530">
        <v>-11228894</v>
      </c>
      <c r="D168" s="2479" t="str">
        <f t="shared" si="4"/>
        <v xml:space="preserve"> Capitalized Depreciation </v>
      </c>
    </row>
    <row r="169" spans="1:4" ht="16.7" customHeight="1" x14ac:dyDescent="0.2">
      <c r="A169" s="2769">
        <v>25.03</v>
      </c>
      <c r="B169" s="2488" t="s">
        <v>7931</v>
      </c>
      <c r="C169" s="2530">
        <v>-72871479</v>
      </c>
      <c r="D169" s="2479" t="str">
        <f t="shared" si="4"/>
        <v xml:space="preserve"> Cost of Removal </v>
      </c>
    </row>
    <row r="170" spans="1:4" ht="16.7" customHeight="1" x14ac:dyDescent="0.2">
      <c r="A170" s="2769">
        <v>25.04</v>
      </c>
      <c r="B170" s="2488" t="s">
        <v>7932</v>
      </c>
      <c r="C170" s="2530">
        <v>-1801185</v>
      </c>
      <c r="D170" s="2479" t="str">
        <f t="shared" si="4"/>
        <v xml:space="preserve"> CWIP Reserve </v>
      </c>
    </row>
    <row r="171" spans="1:4" ht="16.7" customHeight="1" x14ac:dyDescent="0.2">
      <c r="A171" s="2769">
        <v>25.05</v>
      </c>
      <c r="B171" s="2488" t="s">
        <v>7933</v>
      </c>
      <c r="C171" s="2530">
        <v>-70096282</v>
      </c>
      <c r="D171" s="2479" t="str">
        <f t="shared" si="4"/>
        <v xml:space="preserve"> Debt AFUDC </v>
      </c>
    </row>
    <row r="172" spans="1:4" ht="16.7" customHeight="1" x14ac:dyDescent="0.2">
      <c r="A172" s="2769">
        <v>25.06</v>
      </c>
      <c r="B172" s="2488" t="s">
        <v>7934</v>
      </c>
      <c r="C172" s="2530">
        <v>-781203</v>
      </c>
      <c r="D172" s="2479" t="str">
        <f t="shared" si="4"/>
        <v xml:space="preserve"> Deferred Compensation Mark to Market Gain / Loss </v>
      </c>
    </row>
    <row r="173" spans="1:4" ht="16.7" customHeight="1" x14ac:dyDescent="0.2">
      <c r="A173" s="2769">
        <v>25.07</v>
      </c>
      <c r="B173" s="2488" t="s">
        <v>7935</v>
      </c>
      <c r="C173" s="2530">
        <v>-31062</v>
      </c>
      <c r="D173" s="2479" t="str">
        <f t="shared" si="4"/>
        <v xml:space="preserve"> Deferred Revenue - Lease Incentives </v>
      </c>
    </row>
    <row r="174" spans="1:4" ht="16.7" customHeight="1" x14ac:dyDescent="0.2">
      <c r="A174" s="2769">
        <v>25.08</v>
      </c>
      <c r="B174" s="2488" t="s">
        <v>7936</v>
      </c>
      <c r="C174" s="2530">
        <v>-7</v>
      </c>
      <c r="D174" s="2479" t="str">
        <f t="shared" si="4"/>
        <v xml:space="preserve"> Dividend Deduction at 50% </v>
      </c>
    </row>
    <row r="175" spans="1:4" ht="16.7" customHeight="1" x14ac:dyDescent="0.2">
      <c r="A175" s="2769">
        <v>25.09</v>
      </c>
      <c r="B175" s="2488" t="s">
        <v>7937</v>
      </c>
      <c r="C175" s="2530">
        <v>-92786</v>
      </c>
      <c r="D175" s="2479" t="str">
        <f t="shared" si="4"/>
        <v xml:space="preserve"> Environmental Liability - Non-regulated </v>
      </c>
    </row>
    <row r="176" spans="1:4" ht="16.7" customHeight="1" x14ac:dyDescent="0.2">
      <c r="A176" s="2769">
        <v>25.1</v>
      </c>
      <c r="B176" s="2488"/>
      <c r="C176" s="2488"/>
      <c r="D176" s="2595">
        <f t="shared" si="4"/>
        <v>0</v>
      </c>
    </row>
    <row r="177" spans="1:4" ht="16.7" customHeight="1" x14ac:dyDescent="0.2">
      <c r="A177" s="2769">
        <v>25.11</v>
      </c>
      <c r="B177" s="2488" t="s">
        <v>7938</v>
      </c>
      <c r="C177" s="2530">
        <v>-11403747</v>
      </c>
      <c r="D177" s="2479" t="str">
        <f t="shared" si="4"/>
        <v xml:space="preserve"> FAS 158 Pension Asset </v>
      </c>
    </row>
    <row r="178" spans="1:4" ht="16.7" customHeight="1" x14ac:dyDescent="0.2">
      <c r="A178" s="2769">
        <v>25.12</v>
      </c>
      <c r="B178" s="2488" t="s">
        <v>7939</v>
      </c>
      <c r="C178" s="2530">
        <v>-1028737</v>
      </c>
      <c r="D178" s="2479" t="str">
        <f t="shared" si="4"/>
        <v xml:space="preserve"> FAS 158 Post-retirement Asset </v>
      </c>
    </row>
    <row r="179" spans="1:4" ht="16.7" customHeight="1" x14ac:dyDescent="0.2">
      <c r="A179" s="2769">
        <v>25.13</v>
      </c>
      <c r="B179" s="2488" t="s">
        <v>7940</v>
      </c>
      <c r="C179" s="2530">
        <v>-1646640</v>
      </c>
      <c r="D179" s="2479" t="str">
        <f t="shared" si="4"/>
        <v xml:space="preserve"> FAS 158 SERP Liability </v>
      </c>
    </row>
    <row r="180" spans="1:4" ht="16.7" customHeight="1" x14ac:dyDescent="0.2">
      <c r="A180" s="2769">
        <v>25.14</v>
      </c>
      <c r="B180" s="2488" t="s">
        <v>7941</v>
      </c>
      <c r="C180" s="2530">
        <v>-1173688351</v>
      </c>
      <c r="D180" s="2479" t="str">
        <f t="shared" si="4"/>
        <v xml:space="preserve"> Federal Tax Depreciation </v>
      </c>
    </row>
    <row r="181" spans="1:4" ht="16.7" customHeight="1" x14ac:dyDescent="0.2">
      <c r="A181" s="2769">
        <v>25.15</v>
      </c>
      <c r="B181" s="2488" t="s">
        <v>7942</v>
      </c>
      <c r="C181" s="2530">
        <v>-25374455</v>
      </c>
      <c r="D181" s="2479" t="str">
        <f t="shared" si="4"/>
        <v xml:space="preserve"> Federal Tax Fixed Asset Gain/Loss </v>
      </c>
    </row>
    <row r="182" spans="1:4" ht="16.7" customHeight="1" x14ac:dyDescent="0.2">
      <c r="A182" s="2769">
        <v>25.16</v>
      </c>
      <c r="B182" s="2488" t="s">
        <v>7943</v>
      </c>
      <c r="C182" s="2530">
        <v>-208039</v>
      </c>
      <c r="D182" s="2479" t="str">
        <f t="shared" si="4"/>
        <v xml:space="preserve"> Lease Depreciation - Timing Difference </v>
      </c>
    </row>
    <row r="183" spans="1:4" ht="16.7" customHeight="1" x14ac:dyDescent="0.2">
      <c r="A183" s="2769">
        <v>25.17</v>
      </c>
      <c r="B183" s="2488" t="s">
        <v>7944</v>
      </c>
      <c r="C183" s="2530">
        <v>-185253</v>
      </c>
      <c r="D183" s="2479" t="str">
        <f t="shared" si="4"/>
        <v xml:space="preserve"> Lewis River Settlement Agreement </v>
      </c>
    </row>
    <row r="184" spans="1:4" ht="16.7" customHeight="1" x14ac:dyDescent="0.2">
      <c r="A184" s="2769">
        <v>25.18</v>
      </c>
      <c r="B184" s="2488" t="s">
        <v>7945</v>
      </c>
      <c r="C184" s="2530">
        <v>-1283847</v>
      </c>
      <c r="D184" s="2479" t="str">
        <f t="shared" si="4"/>
        <v xml:space="preserve"> Long Term Incentive Plan </v>
      </c>
    </row>
    <row r="185" spans="1:4" ht="16.7" customHeight="1" x14ac:dyDescent="0.2">
      <c r="A185" s="2769">
        <v>25.19</v>
      </c>
      <c r="B185" s="2488" t="s">
        <v>7946</v>
      </c>
      <c r="C185" s="2530">
        <v>-1314047</v>
      </c>
      <c r="D185" s="2479" t="str">
        <f t="shared" si="4"/>
        <v xml:space="preserve"> Long Term Incentive Plan Mark to Market Gain/Loss </v>
      </c>
    </row>
    <row r="186" spans="1:4" ht="16.7" customHeight="1" x14ac:dyDescent="0.2">
      <c r="A186" s="2769">
        <v>25.2</v>
      </c>
      <c r="B186" s="2488" t="s">
        <v>7947</v>
      </c>
      <c r="C186" s="2530">
        <v>-250000</v>
      </c>
      <c r="D186" s="2479" t="str">
        <f t="shared" si="4"/>
        <v xml:space="preserve"> Miscellaneous Current and Accrued Liability </v>
      </c>
    </row>
    <row r="187" spans="1:4" ht="16.7" customHeight="1" x14ac:dyDescent="0.2">
      <c r="A187" s="2769">
        <v>25.21</v>
      </c>
      <c r="B187" s="2488" t="s">
        <v>7948</v>
      </c>
      <c r="C187" s="2530">
        <v>-801824</v>
      </c>
      <c r="D187" s="2479" t="str">
        <f t="shared" si="4"/>
        <v xml:space="preserve"> N Umpqua Settlement Agreement </v>
      </c>
    </row>
    <row r="188" spans="1:4" ht="16.7" customHeight="1" x14ac:dyDescent="0.2">
      <c r="A188" s="2769">
        <v>25.22</v>
      </c>
      <c r="B188" s="2488" t="s">
        <v>7949</v>
      </c>
      <c r="C188" s="2530">
        <v>-21893</v>
      </c>
      <c r="D188" s="2479" t="str">
        <f t="shared" si="4"/>
        <v xml:space="preserve"> Oregon Regulatory Asset/Regulatory Liability Consolidation </v>
      </c>
    </row>
    <row r="189" spans="1:4" ht="16.7" customHeight="1" x14ac:dyDescent="0.2">
      <c r="A189" s="2769">
        <v>25.23</v>
      </c>
      <c r="B189" s="2488" t="s">
        <v>7950</v>
      </c>
      <c r="C189" s="2530">
        <v>-425077</v>
      </c>
      <c r="D189" s="2479" t="str">
        <f t="shared" si="4"/>
        <v xml:space="preserve"> Pension/Retirement Accrual </v>
      </c>
    </row>
    <row r="190" spans="1:4" ht="16.7" customHeight="1" x14ac:dyDescent="0.2">
      <c r="A190" s="2769">
        <v>25.24</v>
      </c>
      <c r="B190" s="2488" t="s">
        <v>7951</v>
      </c>
      <c r="C190" s="2530">
        <v>-107935</v>
      </c>
      <c r="D190" s="2479" t="str">
        <f t="shared" si="4"/>
        <v xml:space="preserve"> Pre-1943 Preferred Stock Dividend - Deduction </v>
      </c>
    </row>
    <row r="191" spans="1:4" ht="16.7" customHeight="1" x14ac:dyDescent="0.2">
      <c r="A191" s="2769">
        <v>25.25</v>
      </c>
      <c r="B191" s="2488" t="s">
        <v>7952</v>
      </c>
      <c r="C191" s="2530">
        <v>-83585</v>
      </c>
      <c r="D191" s="2479" t="str">
        <f t="shared" si="4"/>
        <v xml:space="preserve"> Prepaid Aircraft Maintenance </v>
      </c>
    </row>
    <row r="192" spans="1:4" ht="16.7" customHeight="1" x14ac:dyDescent="0.2">
      <c r="A192" s="2769">
        <v>25.26</v>
      </c>
      <c r="B192" s="2488" t="s">
        <v>7953</v>
      </c>
      <c r="C192" s="2530">
        <v>-1519721</v>
      </c>
      <c r="D192" s="2479" t="str">
        <f t="shared" si="4"/>
        <v xml:space="preserve"> Prepaid Membership Fees </v>
      </c>
    </row>
    <row r="193" spans="1:4" ht="16.7" customHeight="1" x14ac:dyDescent="0.2">
      <c r="A193" s="2769">
        <v>25.27</v>
      </c>
      <c r="B193" s="2488" t="s">
        <v>7954</v>
      </c>
      <c r="C193" s="2530">
        <v>-18913</v>
      </c>
      <c r="D193" s="2479" t="str">
        <f t="shared" si="4"/>
        <v xml:space="preserve"> Prepaid Taxes - ID PUC </v>
      </c>
    </row>
    <row r="194" spans="1:4" ht="16.7" customHeight="1" x14ac:dyDescent="0.2">
      <c r="A194" s="2769">
        <v>25.28</v>
      </c>
      <c r="B194" s="2488" t="s">
        <v>7955</v>
      </c>
      <c r="C194" s="2530">
        <v>-46344</v>
      </c>
      <c r="D194" s="2479" t="str">
        <f t="shared" si="4"/>
        <v xml:space="preserve"> Prepaid Taxes - OR PUC </v>
      </c>
    </row>
    <row r="195" spans="1:4" ht="16.7" customHeight="1" x14ac:dyDescent="0.2">
      <c r="A195" s="2769">
        <v>25.29</v>
      </c>
      <c r="B195" s="2488" t="s">
        <v>7956</v>
      </c>
      <c r="C195" s="2530">
        <v>-2598862</v>
      </c>
      <c r="D195" s="2479" t="str">
        <f t="shared" si="4"/>
        <v xml:space="preserve"> Prepaid Taxes - Property Taxes  </v>
      </c>
    </row>
    <row r="196" spans="1:4" ht="16.7" customHeight="1" x14ac:dyDescent="0.2">
      <c r="A196" s="2769">
        <v>25.3</v>
      </c>
      <c r="B196" s="2488" t="s">
        <v>7957</v>
      </c>
      <c r="C196" s="2530">
        <v>-66996</v>
      </c>
      <c r="D196" s="2479" t="str">
        <f t="shared" si="4"/>
        <v xml:space="preserve"> Prepaid Taxes - UT PUC </v>
      </c>
    </row>
    <row r="197" spans="1:4" ht="16.7" customHeight="1" x14ac:dyDescent="0.2">
      <c r="A197" s="2769">
        <v>25.31</v>
      </c>
      <c r="B197" s="2488" t="s">
        <v>7958</v>
      </c>
      <c r="C197" s="2530">
        <v>-1260656</v>
      </c>
      <c r="D197" s="2479" t="str">
        <f t="shared" si="4"/>
        <v xml:space="preserve"> Property Insurance Reserve - CA </v>
      </c>
    </row>
    <row r="198" spans="1:4" ht="16.7" customHeight="1" x14ac:dyDescent="0.2">
      <c r="A198" s="2769">
        <v>25.3200000000001</v>
      </c>
      <c r="B198" s="2488" t="s">
        <v>7959</v>
      </c>
      <c r="C198" s="2530">
        <v>-222197</v>
      </c>
      <c r="D198" s="2479" t="str">
        <f t="shared" si="4"/>
        <v xml:space="preserve"> Property Insurance Reserve - ID </v>
      </c>
    </row>
    <row r="199" spans="1:4" ht="16.7" customHeight="1" x14ac:dyDescent="0.2">
      <c r="A199" s="2769">
        <v>25.330000000000101</v>
      </c>
      <c r="B199" s="2488" t="s">
        <v>7960</v>
      </c>
      <c r="C199" s="2530">
        <v>-2859848</v>
      </c>
      <c r="D199" s="2479" t="str">
        <f t="shared" si="4"/>
        <v xml:space="preserve"> Property Insurance Reserve - UT </v>
      </c>
    </row>
    <row r="200" spans="1:4" ht="16.7" customHeight="1" x14ac:dyDescent="0.2">
      <c r="A200" s="2769">
        <v>25.340000000000099</v>
      </c>
      <c r="B200" s="2488" t="s">
        <v>7961</v>
      </c>
      <c r="C200" s="2530">
        <v>-944058</v>
      </c>
      <c r="D200" s="2479" t="str">
        <f t="shared" si="4"/>
        <v xml:space="preserve"> Property Insurance Reserve - WY </v>
      </c>
    </row>
    <row r="201" spans="1:4" ht="16.7" customHeight="1" x14ac:dyDescent="0.2">
      <c r="A201" s="2769">
        <v>25.350000000000101</v>
      </c>
      <c r="B201" s="2488" t="s">
        <v>7962</v>
      </c>
      <c r="C201" s="2530">
        <v>-234000</v>
      </c>
      <c r="D201" s="2479" t="str">
        <f t="shared" si="4"/>
        <v xml:space="preserve"> Regulatory Asset - Arrearage Payment Program - WA </v>
      </c>
    </row>
    <row r="202" spans="1:4" ht="16.7" customHeight="1" x14ac:dyDescent="0.2">
      <c r="A202" s="2769">
        <v>25.360000000000099</v>
      </c>
      <c r="B202" s="2488" t="s">
        <v>7963</v>
      </c>
      <c r="C202" s="2530">
        <v>-788378</v>
      </c>
      <c r="D202" s="2479" t="str">
        <f t="shared" si="4"/>
        <v xml:space="preserve"> Regulatory Asset - CA Greenhouse Gas Allowance Compliance </v>
      </c>
    </row>
    <row r="203" spans="1:4" ht="16.7" customHeight="1" x14ac:dyDescent="0.2">
      <c r="A203" s="2769">
        <v>25.3700000000001</v>
      </c>
      <c r="B203" s="2488" t="s">
        <v>7964</v>
      </c>
      <c r="C203" s="2530">
        <v>-52048</v>
      </c>
      <c r="D203" s="2479" t="str">
        <f t="shared" si="4"/>
        <v xml:space="preserve"> Regulatory Asset - Carbon Plant Decomm/Inventory-CA RA </v>
      </c>
    </row>
    <row r="204" spans="1:4" ht="16.7" customHeight="1" x14ac:dyDescent="0.2">
      <c r="A204" s="2769">
        <v>25.380000000000098</v>
      </c>
      <c r="B204" s="2488" t="s">
        <v>7965</v>
      </c>
      <c r="C204" s="2530">
        <v>-277798</v>
      </c>
      <c r="D204" s="2479" t="str">
        <f t="shared" si="4"/>
        <v xml:space="preserve"> Regulatory Asset - Carbon Plant Decomm/Inventory-WA RA </v>
      </c>
    </row>
    <row r="205" spans="1:4" ht="16.7" customHeight="1" x14ac:dyDescent="0.2">
      <c r="A205" s="2769">
        <v>25.3900000000001</v>
      </c>
      <c r="B205" s="2488" t="s">
        <v>7966</v>
      </c>
      <c r="C205" s="2530">
        <v>-5001096</v>
      </c>
      <c r="D205" s="2479" t="str">
        <f t="shared" si="4"/>
        <v xml:space="preserve"> Regulatory Asset - Carbon Plant Deferred Depreciation - UT </v>
      </c>
    </row>
    <row r="206" spans="1:4" ht="16.7" customHeight="1" x14ac:dyDescent="0.2">
      <c r="A206" s="2769">
        <v>25.400000000000102</v>
      </c>
      <c r="B206" s="2488" t="s">
        <v>7967</v>
      </c>
      <c r="C206" s="2530">
        <v>-20735396</v>
      </c>
      <c r="D206" s="2479" t="str">
        <f t="shared" si="4"/>
        <v xml:space="preserve"> Regulatory Asset - Catastrophic Event Deferral - CA </v>
      </c>
    </row>
    <row r="207" spans="1:4" ht="16.7" customHeight="1" x14ac:dyDescent="0.2">
      <c r="A207" s="2769">
        <v>25.4100000000001</v>
      </c>
      <c r="B207" s="2488" t="s">
        <v>7968</v>
      </c>
      <c r="C207" s="2530">
        <v>-177518</v>
      </c>
      <c r="D207" s="2479" t="str">
        <f t="shared" si="4"/>
        <v xml:space="preserve"> Regulatory Asset - Community Solar - OR </v>
      </c>
    </row>
    <row r="208" spans="1:4" ht="16.7" customHeight="1" x14ac:dyDescent="0.2">
      <c r="A208" s="2769">
        <v>25.420000000000101</v>
      </c>
      <c r="B208" s="2488" t="s">
        <v>7969</v>
      </c>
      <c r="C208" s="2530">
        <v>-10766273</v>
      </c>
      <c r="D208" s="2479" t="str">
        <f t="shared" si="4"/>
        <v xml:space="preserve"> Regulatory Asset - Deferred Excess NPC - CA </v>
      </c>
    </row>
    <row r="209" spans="1:4" ht="16.7" customHeight="1" x14ac:dyDescent="0.2">
      <c r="A209" s="2769">
        <v>25.430000000000099</v>
      </c>
      <c r="B209" s="2488" t="s">
        <v>7970</v>
      </c>
      <c r="C209" s="2530">
        <v>-26907463</v>
      </c>
      <c r="D209" s="2479" t="str">
        <f t="shared" si="4"/>
        <v xml:space="preserve"> Regulatory Asset - Deferred Excess NPC - ID </v>
      </c>
    </row>
    <row r="210" spans="1:4" ht="16.7" customHeight="1" x14ac:dyDescent="0.2">
      <c r="A210" s="2769">
        <v>25.440000000000101</v>
      </c>
      <c r="B210" s="2488" t="s">
        <v>7971</v>
      </c>
      <c r="C210" s="2530">
        <v>-146341534</v>
      </c>
      <c r="D210" s="2479" t="str">
        <f t="shared" si="4"/>
        <v xml:space="preserve"> Regulatory Asset - Deferred Excess NPC - OR </v>
      </c>
    </row>
    <row r="211" spans="1:4" ht="16.7" customHeight="1" x14ac:dyDescent="0.2">
      <c r="A211" s="2769">
        <v>25.450000000000099</v>
      </c>
      <c r="B211" s="2488" t="s">
        <v>7972</v>
      </c>
      <c r="C211" s="2530">
        <v>-252435734</v>
      </c>
      <c r="D211" s="2479" t="str">
        <f t="shared" si="4"/>
        <v xml:space="preserve"> Regulatory Asset - Deferred Excess NPC - UT </v>
      </c>
    </row>
    <row r="212" spans="1:4" ht="16.7" customHeight="1" x14ac:dyDescent="0.2">
      <c r="A212" s="2769">
        <v>25.4600000000001</v>
      </c>
      <c r="B212" s="2488" t="s">
        <v>7973</v>
      </c>
      <c r="C212" s="2530">
        <v>-68462521</v>
      </c>
      <c r="D212" s="2479" t="str">
        <f t="shared" si="4"/>
        <v xml:space="preserve"> Regulatory Asset - Deferred Excess NPC - WA </v>
      </c>
    </row>
    <row r="213" spans="1:4" ht="16.7" customHeight="1" x14ac:dyDescent="0.2">
      <c r="A213" s="2769">
        <v>25.470000000000098</v>
      </c>
      <c r="B213" s="2488" t="s">
        <v>7974</v>
      </c>
      <c r="C213" s="2530">
        <v>-66355882</v>
      </c>
      <c r="D213" s="2479" t="str">
        <f t="shared" si="4"/>
        <v xml:space="preserve"> Regulatory Asset - Deferred Excess NPC - WY </v>
      </c>
    </row>
    <row r="214" spans="1:4" ht="16.7" customHeight="1" x14ac:dyDescent="0.2">
      <c r="A214" s="2769">
        <v>25.4800000000001</v>
      </c>
      <c r="B214" s="2488" t="s">
        <v>7975</v>
      </c>
      <c r="C214" s="2530">
        <v>-86079</v>
      </c>
      <c r="D214" s="2479" t="str">
        <f t="shared" si="4"/>
        <v xml:space="preserve"> Regulatory Asset - Deferred Independent Evaluator Fees - OR </v>
      </c>
    </row>
    <row r="215" spans="1:4" ht="16.7" customHeight="1" x14ac:dyDescent="0.2">
      <c r="A215" s="2769">
        <v>25.490000000000101</v>
      </c>
      <c r="B215" s="2488" t="s">
        <v>7976</v>
      </c>
      <c r="C215" s="2530">
        <v>-300000</v>
      </c>
      <c r="D215" s="2479" t="str">
        <f t="shared" si="4"/>
        <v xml:space="preserve"> Regulatory Asset - Deferred Intervenor Funding - WA </v>
      </c>
    </row>
    <row r="216" spans="1:4" ht="16.7" customHeight="1" x14ac:dyDescent="0.2">
      <c r="A216" s="2769">
        <v>25.500000000000099</v>
      </c>
      <c r="B216" s="2488" t="s">
        <v>7977</v>
      </c>
      <c r="C216" s="2530">
        <v>-15869</v>
      </c>
      <c r="D216" s="2479" t="str">
        <f t="shared" si="4"/>
        <v xml:space="preserve"> Regulatory Asset - Deferred Intervenor Funding Grants - CA </v>
      </c>
    </row>
    <row r="217" spans="1:4" ht="16.7" customHeight="1" x14ac:dyDescent="0.2">
      <c r="A217" s="2769">
        <v>25.510000000000101</v>
      </c>
      <c r="B217" s="2488" t="s">
        <v>7978</v>
      </c>
      <c r="C217" s="2530">
        <v>-1213780</v>
      </c>
      <c r="D217" s="2479" t="str">
        <f t="shared" si="4"/>
        <v xml:space="preserve"> Regulatory Asset - Distribution System Plan - OR </v>
      </c>
    </row>
    <row r="218" spans="1:4" ht="16.7" customHeight="1" x14ac:dyDescent="0.2">
      <c r="A218" s="2769">
        <v>25.520000000000099</v>
      </c>
      <c r="B218" s="2488" t="s">
        <v>7979</v>
      </c>
      <c r="C218" s="2530">
        <v>-1164378</v>
      </c>
      <c r="D218" s="2479" t="str">
        <f t="shared" si="4"/>
        <v xml:space="preserve"> Regulatory Asset - Electric Vehicle Charging Infrastructure - UT </v>
      </c>
    </row>
    <row r="219" spans="1:4" ht="16.7" customHeight="1" x14ac:dyDescent="0.2">
      <c r="A219" s="2769">
        <v>25.530000000000101</v>
      </c>
      <c r="B219" s="2488" t="s">
        <v>7980</v>
      </c>
      <c r="C219" s="2530">
        <v>-10005</v>
      </c>
      <c r="D219" s="2479" t="str">
        <f t="shared" si="4"/>
        <v xml:space="preserve"> Regulatory Asset - Emergency Service Program-Battery Storage-CA </v>
      </c>
    </row>
    <row r="220" spans="1:4" ht="16.7" customHeight="1" x14ac:dyDescent="0.2">
      <c r="A220" s="2769">
        <v>25.540000000000099</v>
      </c>
      <c r="B220" s="2488" t="s">
        <v>7981</v>
      </c>
      <c r="C220" s="2530">
        <v>-29374965</v>
      </c>
      <c r="D220" s="2479" t="str">
        <f t="shared" si="4"/>
        <v xml:space="preserve"> Regulatory Asset - Environmental Costs </v>
      </c>
    </row>
    <row r="221" spans="1:4" ht="16.7" customHeight="1" x14ac:dyDescent="0.2">
      <c r="A221" s="2769">
        <v>25.5500000000001</v>
      </c>
      <c r="B221" s="2488" t="s">
        <v>7982</v>
      </c>
      <c r="C221" s="2530">
        <v>-346311</v>
      </c>
      <c r="D221" s="2479" t="str">
        <f t="shared" si="4"/>
        <v xml:space="preserve"> Regulatory Asset - Equity Advisory Group - WA </v>
      </c>
    </row>
    <row r="222" spans="1:4" ht="16.7" customHeight="1" x14ac:dyDescent="0.2">
      <c r="A222" s="2769">
        <v>25.560000000000102</v>
      </c>
      <c r="B222" s="2488" t="s">
        <v>7983</v>
      </c>
      <c r="C222" s="2530">
        <v>-9428101</v>
      </c>
      <c r="D222" s="2479" t="str">
        <f t="shared" si="4"/>
        <v xml:space="preserve"> Regulatory Asset - FAS 158 Post Retirement Liability </v>
      </c>
    </row>
    <row r="223" spans="1:4" ht="16.7" customHeight="1" x14ac:dyDescent="0.2">
      <c r="A223" s="2769">
        <v>25.5700000000001</v>
      </c>
      <c r="B223" s="2488" t="s">
        <v>7984</v>
      </c>
      <c r="C223" s="2530">
        <v>-4431241</v>
      </c>
      <c r="D223" s="2479" t="str">
        <f t="shared" si="4"/>
        <v xml:space="preserve"> Regulatory Asset - Fire Risk Mitigation - CA </v>
      </c>
    </row>
    <row r="224" spans="1:4" ht="16.7" customHeight="1" x14ac:dyDescent="0.2">
      <c r="A224" s="2769">
        <v>25.580000000000101</v>
      </c>
      <c r="B224" s="2488" t="s">
        <v>7985</v>
      </c>
      <c r="C224" s="2530">
        <v>-16511539</v>
      </c>
      <c r="D224" s="2479" t="str">
        <f t="shared" si="4"/>
        <v xml:space="preserve"> Regulatory Asset - GRC Memo Account - CA </v>
      </c>
    </row>
    <row r="225" spans="1:4" ht="16.7" customHeight="1" x14ac:dyDescent="0.2">
      <c r="A225" s="2769">
        <v>25.590000000000099</v>
      </c>
      <c r="B225" s="2488" t="s">
        <v>7986</v>
      </c>
      <c r="C225" s="2530">
        <v>-7068358</v>
      </c>
      <c r="D225" s="2479" t="str">
        <f t="shared" ref="D225:D270" si="5">B225</f>
        <v xml:space="preserve"> Regulatory Asset - Low Income Bill Discount - OR </v>
      </c>
    </row>
    <row r="226" spans="1:4" ht="16.7" customHeight="1" x14ac:dyDescent="0.2">
      <c r="A226" s="2769">
        <v>25.600000000000101</v>
      </c>
      <c r="B226" s="2488" t="s">
        <v>7987</v>
      </c>
      <c r="C226" s="2530">
        <v>-2069025</v>
      </c>
      <c r="D226" s="2479" t="str">
        <f t="shared" si="5"/>
        <v xml:space="preserve"> Regulatory Asset - Post Employment Costs </v>
      </c>
    </row>
    <row r="227" spans="1:4" ht="16.7" customHeight="1" x14ac:dyDescent="0.2">
      <c r="A227" s="2769">
        <v>25.610000000000099</v>
      </c>
      <c r="B227" s="2488" t="s">
        <v>7988</v>
      </c>
      <c r="C227" s="2530">
        <v>-12041205</v>
      </c>
      <c r="D227" s="2479" t="str">
        <f t="shared" si="5"/>
        <v xml:space="preserve"> Regulatory Asset - STEP Pilot Program Balance Account - Utah </v>
      </c>
    </row>
    <row r="228" spans="1:4" ht="16.7" customHeight="1" x14ac:dyDescent="0.2">
      <c r="A228" s="2769">
        <v>25.6200000000001</v>
      </c>
      <c r="B228" s="2488" t="s">
        <v>7989</v>
      </c>
      <c r="C228" s="2530">
        <v>-216663</v>
      </c>
      <c r="D228" s="2479" t="str">
        <f t="shared" si="5"/>
        <v xml:space="preserve"> Regulatory Asset - Transportation Electrification Pilot - WA </v>
      </c>
    </row>
    <row r="229" spans="1:4" ht="16.7" customHeight="1" x14ac:dyDescent="0.2">
      <c r="A229" s="2769">
        <v>25.630000000000098</v>
      </c>
      <c r="B229" s="2488" t="s">
        <v>7990</v>
      </c>
      <c r="C229" s="2530">
        <v>-24861910</v>
      </c>
      <c r="D229" s="2479" t="str">
        <f t="shared" si="5"/>
        <v xml:space="preserve"> Regulatory Asset/Liability - Demand Side Management </v>
      </c>
    </row>
    <row r="230" spans="1:4" ht="16.7" customHeight="1" x14ac:dyDescent="0.2">
      <c r="A230" s="2769">
        <v>25.6400000000001</v>
      </c>
      <c r="B230" s="2488" t="s">
        <v>7991</v>
      </c>
      <c r="C230" s="2530">
        <v>-376801</v>
      </c>
      <c r="D230" s="2479" t="str">
        <f t="shared" si="5"/>
        <v xml:space="preserve"> Regulatory Liability - 50% Bonus Tax Depr - WY </v>
      </c>
    </row>
    <row r="231" spans="1:4" ht="16.7" customHeight="1" x14ac:dyDescent="0.2">
      <c r="A231" s="2769">
        <v>25.650000000000102</v>
      </c>
      <c r="B231" s="2488" t="s">
        <v>7992</v>
      </c>
      <c r="C231" s="2530">
        <v>-13320</v>
      </c>
      <c r="D231" s="2479" t="str">
        <f t="shared" si="5"/>
        <v xml:space="preserve"> Regulatory Liability - Blue Sky - WA </v>
      </c>
    </row>
    <row r="232" spans="1:4" ht="16.7" customHeight="1" x14ac:dyDescent="0.2">
      <c r="A232" s="2769">
        <v>25.6600000000001</v>
      </c>
      <c r="B232" s="2488" t="s">
        <v>7993</v>
      </c>
      <c r="C232" s="2530">
        <v>-4233</v>
      </c>
      <c r="D232" s="2479" t="str">
        <f t="shared" si="5"/>
        <v xml:space="preserve"> Regulatory Liability - Blue Sky - WY </v>
      </c>
    </row>
    <row r="233" spans="1:4" ht="16.7" customHeight="1" x14ac:dyDescent="0.2">
      <c r="A233" s="2769">
        <v>25.670000000000101</v>
      </c>
      <c r="B233" s="2488" t="s">
        <v>7994</v>
      </c>
      <c r="C233" s="2530">
        <v>-254325</v>
      </c>
      <c r="D233" s="2479" t="str">
        <f t="shared" si="5"/>
        <v xml:space="preserve"> Regulatory Liability - Cholla Decommissioning - ID </v>
      </c>
    </row>
    <row r="234" spans="1:4" ht="16.7" customHeight="1" x14ac:dyDescent="0.2">
      <c r="A234" s="2769">
        <v>25.680000000000099</v>
      </c>
      <c r="B234" s="2488" t="s">
        <v>7995</v>
      </c>
      <c r="C234" s="2530">
        <v>-11744</v>
      </c>
      <c r="D234" s="2479" t="str">
        <f t="shared" si="5"/>
        <v xml:space="preserve"> Regulatory Liability - Cholla Decommissioning - WY </v>
      </c>
    </row>
    <row r="235" spans="1:4" ht="16.7" customHeight="1" x14ac:dyDescent="0.2">
      <c r="A235" s="2769">
        <v>25.690000000000101</v>
      </c>
      <c r="B235" s="2488" t="s">
        <v>7996</v>
      </c>
      <c r="C235" s="2530">
        <v>-1119718</v>
      </c>
      <c r="D235" s="2479" t="str">
        <f t="shared" si="5"/>
        <v xml:space="preserve"> Regulatory Liability - Cholla Plant Unit No. 4 Decommissioning - OR </v>
      </c>
    </row>
    <row r="236" spans="1:4" ht="16.7" customHeight="1" x14ac:dyDescent="0.2">
      <c r="A236" s="2769">
        <v>25.700000000000099</v>
      </c>
      <c r="B236" s="2488" t="s">
        <v>7997</v>
      </c>
      <c r="C236" s="2530">
        <v>-1893452</v>
      </c>
      <c r="D236" s="2479" t="str">
        <f t="shared" si="5"/>
        <v xml:space="preserve"> Regulatory Liability - Cholla Plant Unit No. 4 Decommissioning - UT </v>
      </c>
    </row>
    <row r="237" spans="1:4" ht="16.7" customHeight="1" x14ac:dyDescent="0.2">
      <c r="A237" s="2769">
        <v>25.7100000000001</v>
      </c>
      <c r="B237" s="2488" t="s">
        <v>7998</v>
      </c>
      <c r="C237" s="2530">
        <v>-291229</v>
      </c>
      <c r="D237" s="2479" t="str">
        <f t="shared" si="5"/>
        <v xml:space="preserve"> Regulatory Liability - Clean Fuels Program - OR </v>
      </c>
    </row>
    <row r="238" spans="1:4" ht="16.7" customHeight="1" x14ac:dyDescent="0.2">
      <c r="A238" s="2769">
        <v>25.720000000000098</v>
      </c>
      <c r="B238" s="2488" t="s">
        <v>7999</v>
      </c>
      <c r="C238" s="2530">
        <v>-1990883</v>
      </c>
      <c r="D238" s="2479" t="str">
        <f t="shared" si="5"/>
        <v xml:space="preserve"> Regulatory Liability - Deferred Excess NPC - CA </v>
      </c>
    </row>
    <row r="239" spans="1:4" ht="16.7" customHeight="1" x14ac:dyDescent="0.2">
      <c r="A239" s="2769">
        <v>25.7300000000001</v>
      </c>
      <c r="B239" s="2488" t="s">
        <v>8000</v>
      </c>
      <c r="C239" s="2530">
        <v>-1062307</v>
      </c>
      <c r="D239" s="2479" t="str">
        <f t="shared" si="5"/>
        <v xml:space="preserve"> Regulatory Liability - Injuries &amp; Damages Reserve - OR </v>
      </c>
    </row>
    <row r="240" spans="1:4" ht="16.7" customHeight="1" x14ac:dyDescent="0.2">
      <c r="A240" s="2769">
        <v>25.740000000000101</v>
      </c>
      <c r="B240" s="2488" t="s">
        <v>8001</v>
      </c>
      <c r="C240" s="2530">
        <v>-1154431</v>
      </c>
      <c r="D240" s="2479" t="str">
        <f t="shared" si="5"/>
        <v xml:space="preserve"> Regulatory Liability - OR Energy Conservation Charge </v>
      </c>
    </row>
    <row r="241" spans="1:4" ht="16.7" customHeight="1" x14ac:dyDescent="0.2">
      <c r="A241" s="2769">
        <v>25.750000000000099</v>
      </c>
      <c r="B241" s="2488" t="s">
        <v>8002</v>
      </c>
      <c r="C241" s="2530">
        <v>-12257797</v>
      </c>
      <c r="D241" s="2479" t="str">
        <f t="shared" si="5"/>
        <v xml:space="preserve"> Regulatory Liability - UT Solar Incentive Subscriber Program </v>
      </c>
    </row>
    <row r="242" spans="1:4" ht="16.7" customHeight="1" x14ac:dyDescent="0.2">
      <c r="A242" s="2769">
        <v>25.760000000000101</v>
      </c>
      <c r="B242" s="2488" t="s">
        <v>8003</v>
      </c>
      <c r="C242" s="2530">
        <v>-505239</v>
      </c>
      <c r="D242" s="2479" t="str">
        <f t="shared" si="5"/>
        <v xml:space="preserve"> Regulatory Liability - Utility Bill Assistance - UT </v>
      </c>
    </row>
    <row r="243" spans="1:4" ht="16.7" customHeight="1" x14ac:dyDescent="0.2">
      <c r="A243" s="2769">
        <v>25.770000000000099</v>
      </c>
      <c r="B243" s="2488" t="s">
        <v>8004</v>
      </c>
      <c r="C243" s="2530">
        <v>-207622120</v>
      </c>
      <c r="D243" s="2479" t="str">
        <f t="shared" si="5"/>
        <v xml:space="preserve"> Repairs Deduction </v>
      </c>
    </row>
    <row r="244" spans="1:4" ht="16.7" customHeight="1" x14ac:dyDescent="0.2">
      <c r="A244" s="2769">
        <v>25.780000000000101</v>
      </c>
      <c r="B244" s="2488" t="s">
        <v>8005</v>
      </c>
      <c r="C244" s="2530">
        <v>-82739</v>
      </c>
      <c r="D244" s="2479" t="str">
        <f t="shared" si="5"/>
        <v xml:space="preserve"> Rogue River - Habitat Enhancement Liability </v>
      </c>
    </row>
    <row r="245" spans="1:4" ht="16.7" customHeight="1" x14ac:dyDescent="0.2">
      <c r="A245" s="2769">
        <v>25.790000000000099</v>
      </c>
      <c r="B245" s="2488" t="s">
        <v>8006</v>
      </c>
      <c r="C245" s="2530">
        <v>-424160</v>
      </c>
      <c r="D245" s="2479" t="str">
        <f t="shared" si="5"/>
        <v xml:space="preserve"> ROU Asset (Operating Leases) </v>
      </c>
    </row>
    <row r="246" spans="1:4" ht="16.7" customHeight="1" x14ac:dyDescent="0.2">
      <c r="A246" s="2769">
        <v>25.8000000000001</v>
      </c>
      <c r="B246" s="2488" t="s">
        <v>8007</v>
      </c>
      <c r="C246" s="2530">
        <v>-1056186</v>
      </c>
      <c r="D246" s="2479" t="str">
        <f t="shared" si="5"/>
        <v xml:space="preserve"> Sales &amp; Use Tax Audit Exposure </v>
      </c>
    </row>
    <row r="247" spans="1:4" ht="16.7" customHeight="1" x14ac:dyDescent="0.2">
      <c r="A247" s="2769">
        <v>25.810000000000102</v>
      </c>
      <c r="B247" s="2488" t="s">
        <v>8008</v>
      </c>
      <c r="C247" s="2530">
        <v>-15439</v>
      </c>
      <c r="D247" s="2479" t="str">
        <f t="shared" si="5"/>
        <v xml:space="preserve"> Tax Depletion-SRC </v>
      </c>
    </row>
    <row r="248" spans="1:4" ht="16.7" customHeight="1" x14ac:dyDescent="0.2">
      <c r="A248" s="2769">
        <v>25.8200000000001</v>
      </c>
      <c r="B248" s="2488" t="s">
        <v>8009</v>
      </c>
      <c r="C248" s="2530">
        <v>-4560</v>
      </c>
      <c r="D248" s="2479" t="str">
        <f t="shared" si="5"/>
        <v xml:space="preserve"> Tax Percentage Depletion - Blundell Steam Field  </v>
      </c>
    </row>
    <row r="249" spans="1:4" ht="16.7" customHeight="1" x14ac:dyDescent="0.2">
      <c r="A249" s="2769">
        <v>25.830000000000101</v>
      </c>
      <c r="B249" s="2488" t="s">
        <v>8010</v>
      </c>
      <c r="C249" s="2530">
        <v>-921626</v>
      </c>
      <c r="D249" s="2479" t="str">
        <f t="shared" si="5"/>
        <v xml:space="preserve"> Trapper Mine Contract Obligation </v>
      </c>
    </row>
    <row r="250" spans="1:4" ht="16.7" customHeight="1" x14ac:dyDescent="0.2">
      <c r="A250" s="2769">
        <v>25.840000000000099</v>
      </c>
      <c r="B250" s="2488" t="s">
        <v>8011</v>
      </c>
      <c r="C250" s="2530">
        <v>-383738</v>
      </c>
      <c r="D250" s="2479" t="str">
        <f t="shared" si="5"/>
        <v xml:space="preserve"> Trojan Decommissioning </v>
      </c>
    </row>
    <row r="251" spans="1:4" ht="16.7" customHeight="1" x14ac:dyDescent="0.2">
      <c r="A251" s="2769">
        <v>25.850000000000101</v>
      </c>
      <c r="B251" s="2488" t="s">
        <v>8012</v>
      </c>
      <c r="C251" s="2530">
        <v>-570616</v>
      </c>
      <c r="D251" s="2479" t="str">
        <f t="shared" si="5"/>
        <v xml:space="preserve"> Wasatch Workers Comp Reserve </v>
      </c>
    </row>
    <row r="252" spans="1:4" ht="16.7" customHeight="1" x14ac:dyDescent="0.2">
      <c r="A252" s="2769">
        <v>25.860000000000099</v>
      </c>
      <c r="B252" s="2488" t="s">
        <v>8013</v>
      </c>
      <c r="C252" s="2530">
        <v>-130000</v>
      </c>
      <c r="D252" s="2479" t="str">
        <f t="shared" si="5"/>
        <v xml:space="preserve"> Western Coal Carrier Retiree Medical Accrual </v>
      </c>
    </row>
    <row r="253" spans="1:4" ht="16.7" customHeight="1" x14ac:dyDescent="0.2">
      <c r="A253" s="2769">
        <f>A252+0.01</f>
        <v>25.8700000000001</v>
      </c>
      <c r="B253" s="2668"/>
      <c r="C253" s="2820"/>
      <c r="D253" s="2595">
        <f t="shared" si="5"/>
        <v>0</v>
      </c>
    </row>
    <row r="254" spans="1:4" ht="16.7" customHeight="1" x14ac:dyDescent="0.2">
      <c r="A254" s="2634">
        <v>26</v>
      </c>
      <c r="B254" s="2512" t="s">
        <v>8014</v>
      </c>
      <c r="C254" s="2530">
        <v>14995125</v>
      </c>
      <c r="D254" s="2479" t="str">
        <f t="shared" si="5"/>
        <v>State Tax Deductions</v>
      </c>
    </row>
    <row r="255" spans="1:4" ht="16.7" customHeight="1" x14ac:dyDescent="0.2">
      <c r="A255" s="2634">
        <v>27</v>
      </c>
      <c r="B255" s="2512" t="s">
        <v>8015</v>
      </c>
      <c r="C255" s="2530">
        <v>-724413465</v>
      </c>
      <c r="D255" s="2479" t="str">
        <f t="shared" si="5"/>
        <v>Federal Tax Net Income</v>
      </c>
    </row>
    <row r="256" spans="1:4" ht="16.7" customHeight="1" x14ac:dyDescent="0.2">
      <c r="A256" s="2634">
        <v>28</v>
      </c>
      <c r="B256" s="2669" t="s">
        <v>8016</v>
      </c>
      <c r="C256" s="2817"/>
      <c r="D256" s="2479" t="str">
        <f t="shared" si="5"/>
        <v>Show Computation of Tax:</v>
      </c>
    </row>
    <row r="257" spans="1:4" ht="16.7" customHeight="1" x14ac:dyDescent="0.2">
      <c r="A257" s="2634">
        <v>29</v>
      </c>
      <c r="B257" s="2488" t="s">
        <v>8017</v>
      </c>
      <c r="C257" s="2530">
        <v>-152126828</v>
      </c>
      <c r="D257" s="2479" t="str">
        <f t="shared" si="5"/>
        <v xml:space="preserve">Federal Income Tax at 21.00%   </v>
      </c>
    </row>
    <row r="258" spans="1:4" ht="16.7" customHeight="1" x14ac:dyDescent="0.2">
      <c r="A258" s="2634">
        <v>30</v>
      </c>
      <c r="B258" s="2488" t="s">
        <v>8018</v>
      </c>
      <c r="C258" s="2530">
        <v>-2166356</v>
      </c>
      <c r="D258" s="2479" t="str">
        <f t="shared" si="5"/>
        <v>Provision to Return Adjustment</v>
      </c>
    </row>
    <row r="259" spans="1:4" ht="16.7" customHeight="1" x14ac:dyDescent="0.2">
      <c r="A259" s="2634">
        <v>31</v>
      </c>
      <c r="B259" s="2488" t="s">
        <v>8019</v>
      </c>
      <c r="C259" s="2530">
        <v>-34380</v>
      </c>
      <c r="D259" s="2479" t="str">
        <f t="shared" si="5"/>
        <v>Tax Reserve Changes</v>
      </c>
    </row>
    <row r="260" spans="1:4" ht="16.7" customHeight="1" x14ac:dyDescent="0.2">
      <c r="A260" s="2634">
        <v>32</v>
      </c>
      <c r="B260" s="2488"/>
      <c r="C260" s="2488"/>
      <c r="D260" s="2595">
        <f t="shared" si="5"/>
        <v>0</v>
      </c>
    </row>
    <row r="261" spans="1:4" ht="16.7" customHeight="1" x14ac:dyDescent="0.2">
      <c r="A261" s="2634">
        <v>33</v>
      </c>
      <c r="B261" s="2821"/>
      <c r="C261" s="2488"/>
      <c r="D261" s="2595">
        <f t="shared" si="5"/>
        <v>0</v>
      </c>
    </row>
    <row r="262" spans="1:4" ht="16.7" customHeight="1" x14ac:dyDescent="0.2">
      <c r="A262" s="2634">
        <v>34</v>
      </c>
      <c r="B262" s="2488" t="s">
        <v>8020</v>
      </c>
      <c r="C262" s="2530">
        <v>-179652735</v>
      </c>
      <c r="D262" s="2479" t="str">
        <f t="shared" si="5"/>
        <v>Renewable Energy Production Tax Credits</v>
      </c>
    </row>
    <row r="263" spans="1:4" ht="16.7" customHeight="1" x14ac:dyDescent="0.2">
      <c r="A263" s="2634">
        <v>35</v>
      </c>
      <c r="B263" s="2488" t="s">
        <v>8021</v>
      </c>
      <c r="C263" s="2530">
        <v>0</v>
      </c>
      <c r="D263" s="2479" t="str">
        <f t="shared" si="5"/>
        <v xml:space="preserve"> Other Federal Tax Credits </v>
      </c>
    </row>
    <row r="264" spans="1:4" ht="16.7" customHeight="1" x14ac:dyDescent="0.2">
      <c r="A264" s="2634">
        <v>36</v>
      </c>
      <c r="B264" s="2478" t="s">
        <v>8022</v>
      </c>
      <c r="C264" s="2530">
        <f>SUM(C257:C263)</f>
        <v>-333980299</v>
      </c>
      <c r="D264" s="2479" t="str">
        <f t="shared" si="5"/>
        <v>Federal Income Tax Accrual</v>
      </c>
    </row>
    <row r="265" spans="1:4" ht="16.7" customHeight="1" x14ac:dyDescent="0.2">
      <c r="A265" s="2535"/>
      <c r="B265" s="2516"/>
      <c r="C265" s="2822"/>
      <c r="D265" s="2823">
        <f t="shared" si="5"/>
        <v>0</v>
      </c>
    </row>
    <row r="266" spans="1:4" ht="16.7" customHeight="1" x14ac:dyDescent="0.2">
      <c r="D266" s="2823">
        <f t="shared" si="5"/>
        <v>0</v>
      </c>
    </row>
    <row r="267" spans="1:4" ht="16.7" customHeight="1" x14ac:dyDescent="0.2">
      <c r="D267" s="2823">
        <f t="shared" si="5"/>
        <v>0</v>
      </c>
    </row>
    <row r="268" spans="1:4" ht="16.7" customHeight="1" x14ac:dyDescent="0.2">
      <c r="D268" s="2823">
        <f t="shared" si="5"/>
        <v>0</v>
      </c>
    </row>
    <row r="269" spans="1:4" ht="16.7" customHeight="1" x14ac:dyDescent="0.2">
      <c r="D269" s="2823">
        <f t="shared" si="5"/>
        <v>0</v>
      </c>
    </row>
    <row r="270" spans="1:4" ht="16.7" customHeight="1" x14ac:dyDescent="0.2">
      <c r="D270" s="2823">
        <f t="shared" si="5"/>
        <v>0</v>
      </c>
    </row>
    <row r="271" spans="1:4" ht="16.7" customHeight="1" x14ac:dyDescent="0.2"/>
    <row r="272" spans="1:4" ht="16.7" customHeight="1" x14ac:dyDescent="0.2"/>
    <row r="273" ht="16.7" customHeight="1" x14ac:dyDescent="0.2"/>
    <row r="274" ht="16.7" customHeight="1" x14ac:dyDescent="0.2"/>
    <row r="275" ht="16.7" customHeight="1" x14ac:dyDescent="0.2"/>
    <row r="276" ht="16.7" customHeight="1" x14ac:dyDescent="0.2"/>
    <row r="277" ht="16.7" customHeight="1" x14ac:dyDescent="0.2"/>
    <row r="278" ht="16.7" customHeight="1" x14ac:dyDescent="0.2"/>
    <row r="279" ht="16.7" customHeight="1" x14ac:dyDescent="0.2"/>
    <row r="280" ht="16.7" customHeight="1" x14ac:dyDescent="0.2"/>
    <row r="281" ht="16.7" customHeight="1" x14ac:dyDescent="0.2"/>
    <row r="282" ht="16.7" customHeight="1" x14ac:dyDescent="0.2"/>
    <row r="283" ht="16.7" customHeight="1" x14ac:dyDescent="0.2"/>
    <row r="284" ht="16.7" customHeight="1" x14ac:dyDescent="0.2"/>
    <row r="285" ht="16.7" customHeight="1" x14ac:dyDescent="0.2"/>
    <row r="286" ht="16.7" customHeight="1" x14ac:dyDescent="0.2"/>
    <row r="287" ht="16.7" customHeight="1" x14ac:dyDescent="0.2"/>
    <row r="288" ht="16.7" customHeight="1" x14ac:dyDescent="0.2"/>
    <row r="289" ht="16.7" customHeight="1" x14ac:dyDescent="0.2"/>
    <row r="290" ht="16.7" customHeight="1" x14ac:dyDescent="0.2"/>
    <row r="291" ht="16.7" customHeight="1" x14ac:dyDescent="0.2"/>
    <row r="292" ht="16.7" customHeight="1" x14ac:dyDescent="0.2"/>
    <row r="293" ht="16.7" customHeight="1" x14ac:dyDescent="0.2"/>
    <row r="294" ht="16.7" customHeight="1" x14ac:dyDescent="0.2"/>
    <row r="295" ht="16.7" customHeight="1" x14ac:dyDescent="0.2"/>
    <row r="296" ht="16.7" customHeight="1" x14ac:dyDescent="0.2"/>
    <row r="297" ht="16.7" customHeight="1" x14ac:dyDescent="0.2"/>
    <row r="298" ht="16.7" customHeight="1" x14ac:dyDescent="0.2"/>
    <row r="299" ht="16.7" customHeight="1" x14ac:dyDescent="0.2"/>
    <row r="300" ht="16.7" customHeight="1" x14ac:dyDescent="0.2"/>
    <row r="301" ht="16.7" customHeight="1" x14ac:dyDescent="0.2"/>
    <row r="302" ht="16.7" customHeight="1" x14ac:dyDescent="0.2"/>
    <row r="303" ht="16.7" customHeight="1" x14ac:dyDescent="0.2"/>
    <row r="304" ht="16.7" customHeight="1" x14ac:dyDescent="0.2"/>
    <row r="305" ht="16.7" customHeight="1" x14ac:dyDescent="0.2"/>
    <row r="306" ht="16.7" customHeight="1" x14ac:dyDescent="0.2"/>
    <row r="307" ht="16.7" customHeight="1" x14ac:dyDescent="0.2"/>
    <row r="308" ht="16.7" customHeight="1" x14ac:dyDescent="0.2"/>
    <row r="309" ht="16.7" customHeight="1" x14ac:dyDescent="0.2"/>
    <row r="310" ht="16.7" customHeight="1" x14ac:dyDescent="0.2"/>
    <row r="311" ht="16.7" customHeight="1" x14ac:dyDescent="0.2"/>
    <row r="312" ht="16.7" customHeight="1" x14ac:dyDescent="0.2"/>
    <row r="313" ht="16.7" customHeight="1" x14ac:dyDescent="0.2"/>
    <row r="314" ht="16.7" customHeight="1" x14ac:dyDescent="0.2"/>
    <row r="315" ht="16.7" customHeight="1" x14ac:dyDescent="0.2"/>
    <row r="316" ht="16.7" customHeight="1" x14ac:dyDescent="0.2"/>
    <row r="317" ht="16.7" customHeight="1" x14ac:dyDescent="0.2"/>
    <row r="318" ht="16.7" customHeight="1" x14ac:dyDescent="0.2"/>
    <row r="319" ht="16.7" customHeight="1" x14ac:dyDescent="0.2"/>
    <row r="320" ht="16.7" customHeight="1" x14ac:dyDescent="0.2"/>
    <row r="321" ht="16.7" customHeight="1" x14ac:dyDescent="0.2"/>
    <row r="322" ht="16.7" customHeight="1" x14ac:dyDescent="0.2"/>
    <row r="323" ht="15" customHeight="1" x14ac:dyDescent="0.2"/>
    <row r="324" ht="15" customHeight="1" x14ac:dyDescent="0.2"/>
  </sheetData>
  <mergeCells count="3">
    <mergeCell ref="A2:C2"/>
    <mergeCell ref="A3:C3"/>
    <mergeCell ref="A4:A5"/>
  </mergeCells>
  <pageMargins left="0.75" right="0.75" top="1" bottom="1" header="0.5" footer="0.5"/>
  <customProperties>
    <customPr name="_pios_id" r:id="rId1"/>
  </customProperties>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07607-1D30-44A3-B2DC-1E74C8B630FB}">
  <sheetPr codeName="Sheet65">
    <tabColor rgb="FFCCC0DA"/>
  </sheetPr>
  <dimension ref="A1:AG178"/>
  <sheetViews>
    <sheetView workbookViewId="0">
      <pane xSplit="4" ySplit="9" topLeftCell="E160" activePane="bottomRight" state="frozen"/>
      <selection pane="topRight"/>
      <selection pane="bottomLeft"/>
      <selection pane="bottomRight"/>
    </sheetView>
  </sheetViews>
  <sheetFormatPr defaultColWidth="11.5" defaultRowHeight="12.75" x14ac:dyDescent="0.2"/>
  <cols>
    <col min="1" max="1" width="5.25" style="1953" customWidth="1"/>
    <col min="2" max="2" width="23.75" style="1953" customWidth="1"/>
    <col min="3" max="3" width="16" style="1953" customWidth="1"/>
    <col min="4" max="4" width="9.625" style="1953" customWidth="1"/>
    <col min="5" max="5" width="5.875" style="1953" customWidth="1"/>
    <col min="6" max="13" width="17.875" style="1953" customWidth="1"/>
    <col min="14" max="16" width="17.625" style="1953" customWidth="1"/>
    <col min="17" max="17" width="33.5" style="1953" customWidth="1"/>
    <col min="18" max="29" width="17.625" style="1953" customWidth="1"/>
    <col min="30" max="16384" width="11.5" style="1953"/>
  </cols>
  <sheetData>
    <row r="1" spans="1:33" ht="16.7" customHeight="1" x14ac:dyDescent="0.2">
      <c r="B1" s="2478" t="s">
        <v>5937</v>
      </c>
      <c r="C1" s="2479"/>
      <c r="T1" s="3914" t="s">
        <v>6320</v>
      </c>
      <c r="U1" s="2482" t="s">
        <v>6974</v>
      </c>
      <c r="V1" s="2482"/>
      <c r="W1" s="2482"/>
      <c r="X1" s="2482"/>
      <c r="Y1" s="2482"/>
      <c r="Z1" s="2482"/>
      <c r="AA1" s="2482"/>
      <c r="AB1" s="2482"/>
      <c r="AC1" s="2482"/>
      <c r="AD1" s="2482"/>
      <c r="AE1" s="2482"/>
      <c r="AF1" s="2482"/>
      <c r="AG1" s="2482"/>
    </row>
    <row r="2" spans="1:33" ht="16.7" customHeight="1" x14ac:dyDescent="0.2">
      <c r="B2" s="2483"/>
      <c r="T2" s="3915"/>
      <c r="U2" s="2482"/>
      <c r="V2" s="2482"/>
      <c r="W2" s="2482"/>
      <c r="X2" s="2482"/>
      <c r="Y2" s="2482"/>
      <c r="Z2" s="2482"/>
      <c r="AA2" s="2482"/>
      <c r="AB2" s="2482"/>
      <c r="AC2" s="2482"/>
      <c r="AD2" s="2482"/>
      <c r="AE2" s="2482"/>
      <c r="AF2" s="2482"/>
      <c r="AG2" s="2482"/>
    </row>
    <row r="3" spans="1:33" ht="16.7" customHeight="1" x14ac:dyDescent="0.2">
      <c r="A3" s="3990" t="s">
        <v>8023</v>
      </c>
      <c r="B3" s="3991"/>
      <c r="C3" s="3991"/>
      <c r="D3" s="3991"/>
      <c r="E3" s="3991"/>
      <c r="F3" s="3991"/>
      <c r="G3" s="3991"/>
      <c r="H3" s="3991"/>
      <c r="I3" s="3991"/>
      <c r="J3" s="3992"/>
      <c r="K3" s="3993" t="s">
        <v>8024</v>
      </c>
      <c r="L3" s="3994"/>
      <c r="M3" s="3994"/>
      <c r="N3" s="3994"/>
      <c r="O3" s="3994"/>
      <c r="P3" s="3994"/>
      <c r="T3" s="2635"/>
      <c r="U3" s="2482"/>
      <c r="V3" s="2482"/>
      <c r="W3" s="2482"/>
      <c r="X3" s="2482"/>
      <c r="Y3" s="2482"/>
      <c r="Z3" s="2482"/>
      <c r="AA3" s="2482"/>
      <c r="AB3" s="2482"/>
      <c r="AC3" s="2482"/>
      <c r="AD3" s="2482"/>
      <c r="AE3" s="2482"/>
      <c r="AF3" s="2482"/>
      <c r="AG3" s="2482"/>
    </row>
    <row r="4" spans="1:33" ht="16.7" customHeight="1" x14ac:dyDescent="0.2">
      <c r="A4" s="3964" t="s">
        <v>8025</v>
      </c>
      <c r="B4" s="3995"/>
      <c r="C4" s="3995"/>
      <c r="D4" s="3995"/>
      <c r="E4" s="3995"/>
      <c r="F4" s="3995"/>
      <c r="G4" s="3995"/>
      <c r="H4" s="3995"/>
      <c r="I4" s="3995"/>
      <c r="J4" s="3996"/>
      <c r="K4" s="3900" t="s">
        <v>8026</v>
      </c>
      <c r="L4" s="3901"/>
      <c r="M4" s="3901"/>
      <c r="N4" s="3901"/>
      <c r="O4" s="3901"/>
      <c r="P4" s="3901"/>
      <c r="T4" s="2635"/>
      <c r="U4" s="2482"/>
      <c r="V4" s="2482"/>
      <c r="W4" s="2482"/>
      <c r="X4" s="2482"/>
      <c r="Y4" s="2482"/>
      <c r="Z4" s="2482"/>
      <c r="AA4" s="2482"/>
      <c r="AB4" s="2482"/>
      <c r="AC4" s="2482"/>
      <c r="AD4" s="2482"/>
      <c r="AE4" s="2482"/>
      <c r="AF4" s="2482"/>
      <c r="AG4" s="2482"/>
    </row>
    <row r="5" spans="1:33" ht="74.099999999999994" customHeight="1" x14ac:dyDescent="0.2">
      <c r="A5" s="3878" t="s">
        <v>8027</v>
      </c>
      <c r="B5" s="3879"/>
      <c r="C5" s="3879"/>
      <c r="D5" s="3879"/>
      <c r="E5" s="3879"/>
      <c r="F5" s="3879"/>
      <c r="G5" s="3879"/>
      <c r="H5" s="3879"/>
      <c r="I5" s="3879"/>
      <c r="J5" s="3880"/>
      <c r="K5" s="3997" t="s">
        <v>8028</v>
      </c>
      <c r="L5" s="3998"/>
      <c r="M5" s="3998"/>
      <c r="N5" s="3998"/>
      <c r="O5" s="3998"/>
      <c r="P5" s="3998"/>
      <c r="T5" s="2635"/>
      <c r="U5" s="2482"/>
      <c r="V5" s="2482"/>
      <c r="W5" s="2482"/>
      <c r="X5" s="2482"/>
      <c r="Y5" s="2482"/>
      <c r="Z5" s="2482"/>
      <c r="AA5" s="2482"/>
      <c r="AB5" s="2482"/>
      <c r="AC5" s="2482"/>
      <c r="AD5" s="2482"/>
      <c r="AE5" s="2482"/>
      <c r="AF5" s="2482"/>
      <c r="AG5" s="2482"/>
    </row>
    <row r="6" spans="1:33" ht="16.7" customHeight="1" x14ac:dyDescent="0.2">
      <c r="A6" s="3898" t="s">
        <v>6360</v>
      </c>
      <c r="B6" s="3898" t="s">
        <v>8029</v>
      </c>
      <c r="C6" s="3898" t="s">
        <v>8030</v>
      </c>
      <c r="D6" s="3898" t="s">
        <v>8031</v>
      </c>
      <c r="E6" s="3898" t="s">
        <v>8032</v>
      </c>
      <c r="F6" s="3882" t="s">
        <v>8033</v>
      </c>
      <c r="G6" s="3892"/>
      <c r="H6" s="3898" t="s">
        <v>8034</v>
      </c>
      <c r="I6" s="3898" t="s">
        <v>8035</v>
      </c>
      <c r="J6" s="3898" t="s">
        <v>6536</v>
      </c>
      <c r="K6" s="3900" t="s">
        <v>8036</v>
      </c>
      <c r="L6" s="3902"/>
      <c r="M6" s="3900" t="s">
        <v>8037</v>
      </c>
      <c r="N6" s="3901"/>
      <c r="O6" s="3901"/>
      <c r="P6" s="3902"/>
      <c r="Q6" s="2479"/>
      <c r="T6" s="2635"/>
      <c r="U6" s="2482"/>
      <c r="V6" s="2482"/>
      <c r="W6" s="2482"/>
      <c r="X6" s="2482"/>
      <c r="Y6" s="2482"/>
      <c r="Z6" s="2482"/>
      <c r="AA6" s="2482"/>
      <c r="AB6" s="2482"/>
      <c r="AC6" s="2482"/>
      <c r="AD6" s="2482"/>
      <c r="AE6" s="2482"/>
      <c r="AF6" s="2482"/>
      <c r="AG6" s="2482"/>
    </row>
    <row r="7" spans="1:33" ht="50.1" customHeight="1" x14ac:dyDescent="0.2">
      <c r="A7" s="3987"/>
      <c r="B7" s="3987"/>
      <c r="C7" s="3987"/>
      <c r="D7" s="3987"/>
      <c r="E7" s="3987"/>
      <c r="F7" s="2581" t="s">
        <v>8038</v>
      </c>
      <c r="G7" s="2581" t="s">
        <v>8039</v>
      </c>
      <c r="H7" s="3987"/>
      <c r="I7" s="3987"/>
      <c r="J7" s="3987"/>
      <c r="K7" s="2632" t="s">
        <v>8038</v>
      </c>
      <c r="L7" s="2632" t="s">
        <v>8040</v>
      </c>
      <c r="M7" s="2632" t="s">
        <v>8041</v>
      </c>
      <c r="N7" s="2632" t="s">
        <v>8042</v>
      </c>
      <c r="O7" s="2632" t="s">
        <v>8043</v>
      </c>
      <c r="P7" s="2632" t="s">
        <v>107</v>
      </c>
      <c r="Q7" s="2479"/>
      <c r="T7" s="2635"/>
      <c r="U7" s="2482"/>
      <c r="V7" s="2482" t="s">
        <v>8044</v>
      </c>
      <c r="W7" s="2482"/>
      <c r="X7" s="2482"/>
      <c r="Y7" s="2482"/>
      <c r="Z7" s="2482"/>
      <c r="AA7" s="2482"/>
      <c r="AB7" s="2482"/>
      <c r="AC7" s="2482"/>
      <c r="AD7" s="2482"/>
      <c r="AE7" s="2482"/>
      <c r="AF7" s="2482"/>
      <c r="AG7" s="2482"/>
    </row>
    <row r="8" spans="1:33" ht="16.7" customHeight="1" x14ac:dyDescent="0.2">
      <c r="A8" s="2585"/>
      <c r="B8" s="2824" t="s">
        <v>5949</v>
      </c>
      <c r="C8" s="2824" t="s">
        <v>5950</v>
      </c>
      <c r="D8" s="2824" t="s">
        <v>5951</v>
      </c>
      <c r="E8" s="2824" t="s">
        <v>5952</v>
      </c>
      <c r="F8" s="2824" t="s">
        <v>6227</v>
      </c>
      <c r="G8" s="2824" t="s">
        <v>5804</v>
      </c>
      <c r="H8" s="2824" t="s">
        <v>6228</v>
      </c>
      <c r="I8" s="2824" t="s">
        <v>6229</v>
      </c>
      <c r="J8" s="2824" t="s">
        <v>6230</v>
      </c>
      <c r="K8" s="2825" t="s">
        <v>6231</v>
      </c>
      <c r="L8" s="2825" t="s">
        <v>6232</v>
      </c>
      <c r="M8" s="2825" t="s">
        <v>6233</v>
      </c>
      <c r="N8" s="2825" t="s">
        <v>7035</v>
      </c>
      <c r="O8" s="2825" t="s">
        <v>8045</v>
      </c>
      <c r="P8" s="2825" t="s">
        <v>8046</v>
      </c>
      <c r="Q8" s="2479" t="s">
        <v>6324</v>
      </c>
      <c r="R8" s="2576" t="s">
        <v>8047</v>
      </c>
      <c r="T8" s="2635"/>
      <c r="U8" s="2482"/>
      <c r="V8" s="2482" t="s">
        <v>5950</v>
      </c>
      <c r="W8" s="2482"/>
      <c r="X8" s="2482"/>
      <c r="Y8" s="2482"/>
      <c r="Z8" s="2482"/>
      <c r="AA8" s="2482"/>
      <c r="AB8" s="2482"/>
      <c r="AC8" s="2482"/>
      <c r="AD8" s="2482"/>
      <c r="AE8" s="2482"/>
      <c r="AF8" s="2482"/>
      <c r="AG8" s="2482"/>
    </row>
    <row r="9" spans="1:33" ht="16.7" customHeight="1" x14ac:dyDescent="0.2">
      <c r="A9" s="2588"/>
      <c r="B9" s="2588"/>
      <c r="C9" s="2588"/>
      <c r="D9" s="2588"/>
      <c r="E9" s="2588"/>
      <c r="F9" s="2826" t="s">
        <v>6367</v>
      </c>
      <c r="G9" s="2826" t="s">
        <v>6367</v>
      </c>
      <c r="H9" s="2588"/>
      <c r="I9" s="2588"/>
      <c r="J9" s="2588"/>
      <c r="K9" s="2633" t="s">
        <v>7568</v>
      </c>
      <c r="L9" s="2633" t="s">
        <v>7568</v>
      </c>
      <c r="M9" s="2633"/>
      <c r="N9" s="2633"/>
      <c r="O9" s="2633"/>
      <c r="P9" s="2633"/>
      <c r="Q9" s="2479"/>
      <c r="T9" s="2635"/>
      <c r="U9" s="2482" t="s">
        <v>6985</v>
      </c>
      <c r="V9" s="2482" t="s">
        <v>6480</v>
      </c>
      <c r="W9" s="2482"/>
      <c r="X9" s="2482"/>
      <c r="Y9" s="2482"/>
      <c r="Z9" s="2482"/>
      <c r="AA9" s="2482"/>
      <c r="AB9" s="2482"/>
      <c r="AC9" s="2482"/>
      <c r="AD9" s="2482"/>
      <c r="AE9" s="2482"/>
      <c r="AF9" s="2482"/>
      <c r="AG9" s="2482"/>
    </row>
    <row r="10" spans="1:33" ht="16.7" customHeight="1" x14ac:dyDescent="0.2">
      <c r="A10" s="2827" t="s">
        <v>8048</v>
      </c>
      <c r="B10" s="2512"/>
      <c r="C10" s="2488"/>
      <c r="D10" s="2488"/>
      <c r="E10" s="2488"/>
      <c r="F10" s="2828">
        <f>SUMIFS($U10:$XFD10,$U$9:$XFD$9,$F$9,$U$8:$XFD$8,$F$8)</f>
        <v>0</v>
      </c>
      <c r="G10" s="2828">
        <f>SUMIFS($U10:$XFD10,$U$9:$XFD$9,$G$9,$U$8:$XFD$8,$G$8)</f>
        <v>0</v>
      </c>
      <c r="H10" s="2488"/>
      <c r="I10" s="2488"/>
      <c r="J10" s="2488"/>
      <c r="K10" s="2828">
        <f>F10-G10+H10-I10+J10+L10</f>
        <v>0</v>
      </c>
      <c r="L10" s="2488"/>
      <c r="M10" s="2488"/>
      <c r="N10" s="2488"/>
      <c r="O10" s="2488"/>
      <c r="P10" s="2488"/>
      <c r="Q10" s="2479" t="str">
        <f>CONCATENATE(B10,", ",C10,", ",D10,", ",E10)</f>
        <v xml:space="preserve">, , , </v>
      </c>
      <c r="T10" s="2635"/>
      <c r="U10" s="2715" t="s">
        <v>6139</v>
      </c>
      <c r="V10" s="2482"/>
      <c r="W10" s="2482"/>
      <c r="X10" s="2482"/>
      <c r="Y10" s="2482"/>
      <c r="Z10" s="2482"/>
      <c r="AA10" s="2482"/>
      <c r="AB10" s="2482"/>
      <c r="AC10" s="2482"/>
      <c r="AD10" s="2482"/>
      <c r="AE10" s="2482"/>
      <c r="AF10" s="2482"/>
      <c r="AG10" s="2482"/>
    </row>
    <row r="11" spans="1:33" ht="16.7" customHeight="1" x14ac:dyDescent="0.2">
      <c r="A11" s="2827" t="s">
        <v>8049</v>
      </c>
      <c r="B11" s="2488"/>
      <c r="C11" s="2488"/>
      <c r="D11" s="2488"/>
      <c r="E11" s="2488"/>
      <c r="F11" s="2828">
        <f>SUMIFS($U11:$XFD11,$U$9:$XFD$9,$F$9,$U$8:$XFD$8,$F$8)</f>
        <v>0</v>
      </c>
      <c r="G11" s="2828">
        <f>SUMIFS($U11:$XFD11,$U$9:$XFD$9,$G$9,$U$8:$XFD$8,$G$8)</f>
        <v>0</v>
      </c>
      <c r="H11" s="2488"/>
      <c r="I11" s="2488"/>
      <c r="J11" s="2488"/>
      <c r="K11" s="2828">
        <f>F11-G11+H11-I11+J11+L11</f>
        <v>0</v>
      </c>
      <c r="L11" s="2488"/>
      <c r="M11" s="2488"/>
      <c r="N11" s="2488"/>
      <c r="O11" s="2488"/>
      <c r="P11" s="2488"/>
      <c r="Q11" s="2479" t="str">
        <f>CONCATENATE(B11,", ",C11,", ",D11,", ",E11)</f>
        <v xml:space="preserve">, , , </v>
      </c>
      <c r="T11" s="2635"/>
      <c r="U11" s="2715" t="s">
        <v>5957</v>
      </c>
      <c r="V11" s="2829">
        <v>4019911</v>
      </c>
      <c r="W11" s="2482"/>
      <c r="X11" s="2482"/>
      <c r="Y11" s="2482"/>
      <c r="Z11" s="2482"/>
      <c r="AA11" s="2482"/>
      <c r="AB11" s="2482"/>
      <c r="AC11" s="2482"/>
      <c r="AD11" s="2482"/>
      <c r="AE11" s="2482"/>
      <c r="AF11" s="2482"/>
      <c r="AG11" s="2482"/>
    </row>
    <row r="12" spans="1:33" ht="16.7" customHeight="1" x14ac:dyDescent="0.2">
      <c r="A12" s="2827" t="s">
        <v>5957</v>
      </c>
      <c r="B12" s="2830" t="s">
        <v>8050</v>
      </c>
      <c r="C12" s="2800"/>
      <c r="D12" s="2800"/>
      <c r="E12" s="2800"/>
      <c r="F12" s="2831">
        <f t="shared" ref="F12:P12" si="0">SUM(F10:F11)</f>
        <v>0</v>
      </c>
      <c r="G12" s="2831">
        <f t="shared" si="0"/>
        <v>0</v>
      </c>
      <c r="H12" s="2832">
        <f t="shared" si="0"/>
        <v>0</v>
      </c>
      <c r="I12" s="2832">
        <f t="shared" si="0"/>
        <v>0</v>
      </c>
      <c r="J12" s="2832">
        <f t="shared" si="0"/>
        <v>0</v>
      </c>
      <c r="K12" s="2831">
        <f t="shared" si="0"/>
        <v>0</v>
      </c>
      <c r="L12" s="2832">
        <f t="shared" si="0"/>
        <v>0</v>
      </c>
      <c r="M12" s="2832">
        <f t="shared" si="0"/>
        <v>0</v>
      </c>
      <c r="N12" s="2832">
        <f t="shared" si="0"/>
        <v>0</v>
      </c>
      <c r="O12" s="2832">
        <f t="shared" si="0"/>
        <v>0</v>
      </c>
      <c r="P12" s="2832">
        <f t="shared" si="0"/>
        <v>0</v>
      </c>
      <c r="Q12" s="2479"/>
      <c r="R12" s="2576" t="s">
        <v>8051</v>
      </c>
      <c r="T12" s="2635"/>
      <c r="U12" s="2715" t="s">
        <v>5959</v>
      </c>
      <c r="V12" s="2829">
        <v>543289</v>
      </c>
      <c r="W12" s="2482"/>
      <c r="X12" s="2482"/>
      <c r="Y12" s="2482"/>
      <c r="Z12" s="2482"/>
      <c r="AA12" s="2482"/>
      <c r="AB12" s="2482"/>
      <c r="AC12" s="2482"/>
      <c r="AD12" s="2482"/>
      <c r="AE12" s="2482"/>
      <c r="AF12" s="2482"/>
      <c r="AG12" s="2482"/>
    </row>
    <row r="13" spans="1:33" ht="16.7" customHeight="1" x14ac:dyDescent="0.2">
      <c r="A13" s="2827" t="s">
        <v>7690</v>
      </c>
      <c r="B13" s="2512"/>
      <c r="C13" s="2488"/>
      <c r="D13" s="2488"/>
      <c r="E13" s="2488"/>
      <c r="F13" s="2828">
        <f>SUMIFS($U13:$XFD13,$U$9:$XFD$9,$F$9,$U$8:$XFD$8,$F$8)</f>
        <v>0</v>
      </c>
      <c r="G13" s="2828">
        <f>SUMIFS($U13:$XFD13,$U$9:$XFD$9,$G$9,$U$8:$XFD$8,$G$8)</f>
        <v>0</v>
      </c>
      <c r="H13" s="2488"/>
      <c r="I13" s="2488"/>
      <c r="J13" s="2488"/>
      <c r="K13" s="2828">
        <f>F13-G13+H13-I13+J13+L13</f>
        <v>0</v>
      </c>
      <c r="L13" s="2488"/>
      <c r="M13" s="2488"/>
      <c r="N13" s="2488"/>
      <c r="O13" s="2488"/>
      <c r="P13" s="2488"/>
      <c r="Q13" s="2479" t="str">
        <f>CONCATENATE(B13,", ",C13,", ",D13,", ",E13)</f>
        <v xml:space="preserve">, , , </v>
      </c>
      <c r="T13" s="2635"/>
      <c r="U13" s="2715" t="s">
        <v>5961</v>
      </c>
      <c r="V13" s="2829">
        <v>6435</v>
      </c>
      <c r="W13" s="2482"/>
      <c r="X13" s="2482"/>
      <c r="Y13" s="2482"/>
      <c r="Z13" s="2482"/>
      <c r="AA13" s="2482"/>
      <c r="AB13" s="2482"/>
      <c r="AC13" s="2482"/>
      <c r="AD13" s="2482"/>
      <c r="AE13" s="2482"/>
      <c r="AF13" s="2482"/>
      <c r="AG13" s="2482"/>
    </row>
    <row r="14" spans="1:33" ht="16.7" customHeight="1" x14ac:dyDescent="0.2">
      <c r="A14" s="2827" t="s">
        <v>8052</v>
      </c>
      <c r="B14" s="2512"/>
      <c r="C14" s="2488"/>
      <c r="D14" s="2488"/>
      <c r="E14" s="2488"/>
      <c r="F14" s="2828">
        <f>SUMIFS($U14:$XFD14,$U$9:$XFD$9,$F$9,$U$8:$XFD$8,$F$8)</f>
        <v>0</v>
      </c>
      <c r="G14" s="2828">
        <f>SUMIFS($U14:$XFD14,$U$9:$XFD$9,$G$9,$U$8:$XFD$8,$G$8)</f>
        <v>0</v>
      </c>
      <c r="H14" s="2488"/>
      <c r="I14" s="2488"/>
      <c r="J14" s="2488"/>
      <c r="K14" s="2828">
        <f>F14-G14+H14-I14+J14+L14</f>
        <v>0</v>
      </c>
      <c r="L14" s="2488"/>
      <c r="M14" s="2488"/>
      <c r="N14" s="2488"/>
      <c r="O14" s="2488"/>
      <c r="P14" s="2488"/>
      <c r="Q14" s="2479" t="str">
        <f>CONCATENATE(B14,", ",C14,", ",D14,", ",E14)</f>
        <v xml:space="preserve">, , , </v>
      </c>
      <c r="T14" s="2635"/>
      <c r="U14" s="2715" t="s">
        <v>5963</v>
      </c>
      <c r="V14" s="2829">
        <v>1522888</v>
      </c>
      <c r="W14" s="2482"/>
      <c r="X14" s="2482"/>
      <c r="Y14" s="2482"/>
      <c r="Z14" s="2482"/>
      <c r="AA14" s="2482"/>
      <c r="AB14" s="2482"/>
      <c r="AC14" s="2482"/>
      <c r="AD14" s="2482"/>
      <c r="AE14" s="2482"/>
      <c r="AF14" s="2482"/>
      <c r="AG14" s="2482"/>
    </row>
    <row r="15" spans="1:33" ht="16.7" customHeight="1" x14ac:dyDescent="0.2">
      <c r="A15" s="2827" t="s">
        <v>5961</v>
      </c>
      <c r="B15" s="2830" t="s">
        <v>8053</v>
      </c>
      <c r="C15" s="2800"/>
      <c r="D15" s="2800"/>
      <c r="E15" s="2800"/>
      <c r="F15" s="2831">
        <f t="shared" ref="F15:P15" si="1">SUM(F13:F14)</f>
        <v>0</v>
      </c>
      <c r="G15" s="2831">
        <f t="shared" si="1"/>
        <v>0</v>
      </c>
      <c r="H15" s="2832">
        <f t="shared" si="1"/>
        <v>0</v>
      </c>
      <c r="I15" s="2832">
        <f t="shared" si="1"/>
        <v>0</v>
      </c>
      <c r="J15" s="2832">
        <f t="shared" si="1"/>
        <v>0</v>
      </c>
      <c r="K15" s="2831">
        <f t="shared" si="1"/>
        <v>0</v>
      </c>
      <c r="L15" s="2832">
        <f t="shared" si="1"/>
        <v>0</v>
      </c>
      <c r="M15" s="2832">
        <f t="shared" si="1"/>
        <v>0</v>
      </c>
      <c r="N15" s="2832">
        <f t="shared" si="1"/>
        <v>0</v>
      </c>
      <c r="O15" s="2832">
        <f t="shared" si="1"/>
        <v>0</v>
      </c>
      <c r="P15" s="2832">
        <f t="shared" si="1"/>
        <v>0</v>
      </c>
      <c r="Q15" s="2479"/>
      <c r="R15" s="2576" t="s">
        <v>8054</v>
      </c>
      <c r="T15" s="2635"/>
      <c r="U15" s="2715" t="s">
        <v>5965</v>
      </c>
      <c r="V15" s="2829">
        <v>6092523</v>
      </c>
      <c r="W15" s="2482"/>
      <c r="X15" s="2482"/>
      <c r="Y15" s="2482"/>
      <c r="Z15" s="2482"/>
      <c r="AA15" s="2482"/>
      <c r="AB15" s="2482"/>
      <c r="AC15" s="2482"/>
      <c r="AD15" s="2482"/>
      <c r="AE15" s="2482"/>
      <c r="AF15" s="2482"/>
      <c r="AG15" s="2482"/>
    </row>
    <row r="16" spans="1:33" ht="16.7" customHeight="1" x14ac:dyDescent="0.2">
      <c r="A16" s="2827" t="s">
        <v>6377</v>
      </c>
      <c r="B16" s="2512"/>
      <c r="C16" s="2488"/>
      <c r="D16" s="2488"/>
      <c r="E16" s="2488"/>
      <c r="F16" s="2828">
        <f>SUMIFS($U16:$XFD16,$U$9:$XFD$9,$F$9,$U$8:$XFD$8,$F$8)</f>
        <v>0</v>
      </c>
      <c r="G16" s="2828">
        <f>SUMIFS($U16:$XFD16,$U$9:$XFD$9,$G$9,$U$8:$XFD$8,$G$8)</f>
        <v>0</v>
      </c>
      <c r="H16" s="2488"/>
      <c r="I16" s="2488"/>
      <c r="J16" s="2488"/>
      <c r="K16" s="2828">
        <f>F16-G16+H16-I16+J16+L16</f>
        <v>0</v>
      </c>
      <c r="L16" s="2488"/>
      <c r="M16" s="2488"/>
      <c r="N16" s="2488"/>
      <c r="O16" s="2488"/>
      <c r="P16" s="2488"/>
      <c r="Q16" s="2479" t="str">
        <f>CONCATENATE(B16,", ",C16,", ",D16,", ",E16)</f>
        <v xml:space="preserve">, , , </v>
      </c>
      <c r="T16" s="2635"/>
      <c r="U16" s="2715" t="s">
        <v>5968</v>
      </c>
      <c r="V16" s="2482"/>
      <c r="W16" s="2482"/>
      <c r="X16" s="2482"/>
      <c r="Y16" s="2482"/>
      <c r="Z16" s="2482"/>
      <c r="AA16" s="2482"/>
      <c r="AB16" s="2482"/>
      <c r="AC16" s="2482"/>
      <c r="AD16" s="2482"/>
      <c r="AE16" s="2482"/>
      <c r="AF16" s="2482"/>
      <c r="AG16" s="2482"/>
    </row>
    <row r="17" spans="1:33" ht="16.7" customHeight="1" x14ac:dyDescent="0.2">
      <c r="A17" s="2827" t="s">
        <v>6379</v>
      </c>
      <c r="B17" s="2488"/>
      <c r="C17" s="2488"/>
      <c r="D17" s="2488"/>
      <c r="E17" s="2488"/>
      <c r="F17" s="2828">
        <f>SUMIFS($U17:$XFD17,$U$9:$XFD$9,$F$9,$U$8:$XFD$8,$F$8)</f>
        <v>0</v>
      </c>
      <c r="G17" s="2828">
        <f>SUMIFS($U17:$XFD17,$U$9:$XFD$9,$G$9,$U$8:$XFD$8,$G$8)</f>
        <v>0</v>
      </c>
      <c r="H17" s="2488"/>
      <c r="I17" s="2488"/>
      <c r="J17" s="2488"/>
      <c r="K17" s="2828">
        <f>F17-G17+H17-I17+J17+L17</f>
        <v>0</v>
      </c>
      <c r="L17" s="2488"/>
      <c r="M17" s="2488"/>
      <c r="N17" s="2488"/>
      <c r="O17" s="2488"/>
      <c r="P17" s="2488"/>
      <c r="Q17" s="2479" t="str">
        <f>CONCATENATE(B17,", ",C17,", ",D17,", ",E17)</f>
        <v xml:space="preserve">, , , </v>
      </c>
      <c r="T17" s="2635"/>
      <c r="U17" s="2715" t="s">
        <v>5970</v>
      </c>
      <c r="V17" s="2482"/>
      <c r="W17" s="2482"/>
      <c r="X17" s="2482"/>
      <c r="Y17" s="2482"/>
      <c r="Z17" s="2482"/>
      <c r="AA17" s="2482"/>
      <c r="AB17" s="2482"/>
      <c r="AC17" s="2482"/>
      <c r="AD17" s="2482"/>
      <c r="AE17" s="2482"/>
      <c r="AF17" s="2482"/>
      <c r="AG17" s="2482"/>
    </row>
    <row r="18" spans="1:33" ht="16.7" customHeight="1" x14ac:dyDescent="0.2">
      <c r="A18" s="2827" t="s">
        <v>5965</v>
      </c>
      <c r="B18" s="2830" t="s">
        <v>8055</v>
      </c>
      <c r="C18" s="2800"/>
      <c r="D18" s="2800"/>
      <c r="E18" s="2800"/>
      <c r="F18" s="2831">
        <f t="shared" ref="F18:P18" si="2">SUM(F16:F17)</f>
        <v>0</v>
      </c>
      <c r="G18" s="2831">
        <f t="shared" si="2"/>
        <v>0</v>
      </c>
      <c r="H18" s="2832">
        <f t="shared" si="2"/>
        <v>0</v>
      </c>
      <c r="I18" s="2832">
        <f t="shared" si="2"/>
        <v>0</v>
      </c>
      <c r="J18" s="2832">
        <f t="shared" si="2"/>
        <v>0</v>
      </c>
      <c r="K18" s="2831">
        <f t="shared" si="2"/>
        <v>0</v>
      </c>
      <c r="L18" s="2832">
        <f t="shared" si="2"/>
        <v>0</v>
      </c>
      <c r="M18" s="2832">
        <f t="shared" si="2"/>
        <v>0</v>
      </c>
      <c r="N18" s="2832">
        <f t="shared" si="2"/>
        <v>0</v>
      </c>
      <c r="O18" s="2832">
        <f t="shared" si="2"/>
        <v>0</v>
      </c>
      <c r="P18" s="2832">
        <f t="shared" si="2"/>
        <v>0</v>
      </c>
      <c r="Q18" s="2479"/>
      <c r="R18" s="2576" t="s">
        <v>8056</v>
      </c>
      <c r="T18" s="2635"/>
      <c r="U18" s="2715" t="s">
        <v>5972</v>
      </c>
      <c r="V18" s="2482"/>
      <c r="W18" s="2482"/>
      <c r="X18" s="2482"/>
      <c r="Y18" s="2482"/>
      <c r="Z18" s="2482"/>
      <c r="AA18" s="2482"/>
      <c r="AB18" s="2482"/>
      <c r="AC18" s="2482"/>
      <c r="AD18" s="2482"/>
      <c r="AE18" s="2482"/>
      <c r="AF18" s="2482"/>
      <c r="AG18" s="2482"/>
    </row>
    <row r="19" spans="1:33" ht="16.7" customHeight="1" x14ac:dyDescent="0.2">
      <c r="A19" s="2827" t="s">
        <v>7694</v>
      </c>
      <c r="B19" s="2512"/>
      <c r="C19" s="2488"/>
      <c r="D19" s="2488"/>
      <c r="E19" s="2488"/>
      <c r="F19" s="2828">
        <f>SUMIFS($U19:$XFD19,$U$9:$XFD$9,$F$9,$U$8:$XFD$8,$F$8)</f>
        <v>0</v>
      </c>
      <c r="G19" s="2828">
        <f>SUMIFS($U19:$XFD19,$U$9:$XFD$9,$G$9,$U$8:$XFD$8,$G$8)</f>
        <v>0</v>
      </c>
      <c r="H19" s="2488"/>
      <c r="I19" s="2488"/>
      <c r="J19" s="2488"/>
      <c r="K19" s="2828">
        <f>F19-G19+H19-I19+J19+L19</f>
        <v>0</v>
      </c>
      <c r="L19" s="2488"/>
      <c r="M19" s="2488"/>
      <c r="N19" s="2488"/>
      <c r="O19" s="2488"/>
      <c r="P19" s="2488"/>
      <c r="Q19" s="2479" t="str">
        <f>CONCATENATE(B19,", ",C19,", ",D19,", ",E19)</f>
        <v xml:space="preserve">, , , </v>
      </c>
      <c r="T19" s="2635"/>
      <c r="U19" s="2715" t="s">
        <v>5974</v>
      </c>
      <c r="V19" s="2482"/>
      <c r="W19" s="2482"/>
      <c r="X19" s="2482"/>
      <c r="Y19" s="2482"/>
      <c r="Z19" s="2482"/>
      <c r="AA19" s="2482"/>
      <c r="AB19" s="2482"/>
      <c r="AC19" s="2482"/>
      <c r="AD19" s="2482"/>
      <c r="AE19" s="2482"/>
      <c r="AF19" s="2482"/>
      <c r="AG19" s="2482"/>
    </row>
    <row r="20" spans="1:33" ht="16.7" customHeight="1" x14ac:dyDescent="0.2">
      <c r="A20" s="2827" t="s">
        <v>8057</v>
      </c>
      <c r="B20" s="2512"/>
      <c r="C20" s="2488"/>
      <c r="D20" s="2488"/>
      <c r="E20" s="2488"/>
      <c r="F20" s="2828">
        <f>SUMIFS($U20:$XFD20,$U$9:$XFD$9,$F$9,$U$8:$XFD$8,$F$8)</f>
        <v>0</v>
      </c>
      <c r="G20" s="2828">
        <f>SUMIFS($U20:$XFD20,$U$9:$XFD$9,$G$9,$U$8:$XFD$8,$G$8)</f>
        <v>0</v>
      </c>
      <c r="H20" s="2488"/>
      <c r="I20" s="2488"/>
      <c r="J20" s="2488"/>
      <c r="K20" s="2828">
        <f>F20-G20+H20-I20+J20+L20</f>
        <v>0</v>
      </c>
      <c r="L20" s="2488"/>
      <c r="M20" s="2488"/>
      <c r="N20" s="2488"/>
      <c r="O20" s="2488"/>
      <c r="P20" s="2488"/>
      <c r="Q20" s="2479" t="str">
        <f>CONCATENATE(B20,", ",C20,", ",D20,", ",E20)</f>
        <v xml:space="preserve">, , , </v>
      </c>
      <c r="T20" s="2635"/>
      <c r="U20" s="2715" t="s">
        <v>5976</v>
      </c>
      <c r="V20" s="2829">
        <v>1436370</v>
      </c>
      <c r="W20" s="2482"/>
      <c r="X20" s="2482"/>
      <c r="Y20" s="2482"/>
      <c r="Z20" s="2482"/>
      <c r="AA20" s="2482"/>
      <c r="AB20" s="2482"/>
      <c r="AC20" s="2482"/>
      <c r="AD20" s="2482"/>
      <c r="AE20" s="2482"/>
      <c r="AF20" s="2482"/>
      <c r="AG20" s="2482"/>
    </row>
    <row r="21" spans="1:33" ht="16.7" customHeight="1" x14ac:dyDescent="0.2">
      <c r="A21" s="2827" t="s">
        <v>5970</v>
      </c>
      <c r="B21" s="2830" t="s">
        <v>8058</v>
      </c>
      <c r="C21" s="2800"/>
      <c r="D21" s="2800"/>
      <c r="E21" s="2800"/>
      <c r="F21" s="2831">
        <f t="shared" ref="F21:P21" si="3">SUM(F19:F20)</f>
        <v>0</v>
      </c>
      <c r="G21" s="2831">
        <f t="shared" si="3"/>
        <v>0</v>
      </c>
      <c r="H21" s="2832">
        <f t="shared" si="3"/>
        <v>0</v>
      </c>
      <c r="I21" s="2832">
        <f t="shared" si="3"/>
        <v>0</v>
      </c>
      <c r="J21" s="2832">
        <f t="shared" si="3"/>
        <v>0</v>
      </c>
      <c r="K21" s="2831">
        <f t="shared" si="3"/>
        <v>0</v>
      </c>
      <c r="L21" s="2832">
        <f t="shared" si="3"/>
        <v>0</v>
      </c>
      <c r="M21" s="2832">
        <f t="shared" si="3"/>
        <v>0</v>
      </c>
      <c r="N21" s="2832">
        <f t="shared" si="3"/>
        <v>0</v>
      </c>
      <c r="O21" s="2832">
        <f t="shared" si="3"/>
        <v>0</v>
      </c>
      <c r="P21" s="2832">
        <f t="shared" si="3"/>
        <v>0</v>
      </c>
      <c r="Q21" s="2479"/>
      <c r="R21" s="2576" t="s">
        <v>8059</v>
      </c>
      <c r="T21" s="2635"/>
      <c r="U21" s="2715" t="s">
        <v>5978</v>
      </c>
      <c r="V21" s="2829">
        <v>1756</v>
      </c>
      <c r="W21" s="2482"/>
      <c r="X21" s="2482"/>
      <c r="Y21" s="2482"/>
      <c r="Z21" s="2482"/>
      <c r="AA21" s="2482"/>
      <c r="AB21" s="2482"/>
      <c r="AC21" s="2482"/>
      <c r="AD21" s="2482"/>
      <c r="AE21" s="2482"/>
      <c r="AF21" s="2482"/>
      <c r="AG21" s="2482"/>
    </row>
    <row r="22" spans="1:33" ht="16.7" customHeight="1" x14ac:dyDescent="0.2">
      <c r="A22" s="2827" t="s">
        <v>8060</v>
      </c>
      <c r="B22" s="2512" t="s">
        <v>8061</v>
      </c>
      <c r="C22" s="2489" t="s">
        <v>8061</v>
      </c>
      <c r="D22" s="2489" t="s">
        <v>8062</v>
      </c>
      <c r="E22" s="2488"/>
      <c r="F22" s="2828">
        <v>14632</v>
      </c>
      <c r="G22" s="2828">
        <v>0</v>
      </c>
      <c r="H22" s="2530">
        <v>118112</v>
      </c>
      <c r="I22" s="2530">
        <v>96204</v>
      </c>
      <c r="J22" s="2488"/>
      <c r="K22" s="2828">
        <f t="shared" ref="K22:K37" si="4">F22-G22+H22-I22+J22+L22</f>
        <v>36540</v>
      </c>
      <c r="L22" s="2488"/>
      <c r="M22" s="2530">
        <v>272924</v>
      </c>
      <c r="N22" s="2488"/>
      <c r="O22" s="2488"/>
      <c r="P22" s="2531">
        <v>-154812</v>
      </c>
      <c r="Q22" s="2479" t="str">
        <f t="shared" ref="Q22:Q37" si="5">CONCATENATE(B22,", ",C22,", ",D22,", ",E22)</f>
        <v xml:space="preserve">Property Tax, Property Tax, Arizona, </v>
      </c>
      <c r="T22" s="2635"/>
      <c r="U22" s="2715" t="s">
        <v>5980</v>
      </c>
      <c r="V22" s="2829">
        <v>1438126</v>
      </c>
      <c r="W22" s="2482"/>
      <c r="X22" s="2482"/>
      <c r="Y22" s="2482"/>
      <c r="Z22" s="2482"/>
      <c r="AA22" s="2482"/>
      <c r="AB22" s="2482"/>
      <c r="AC22" s="2482"/>
      <c r="AD22" s="2482"/>
      <c r="AE22" s="2482"/>
      <c r="AF22" s="2482"/>
      <c r="AG22" s="2482"/>
    </row>
    <row r="23" spans="1:33" ht="16.7" customHeight="1" x14ac:dyDescent="0.2">
      <c r="A23" s="2827">
        <f t="shared" ref="A23:A37" si="6">A22+0.01</f>
        <v>9.11</v>
      </c>
      <c r="B23" s="2512" t="s">
        <v>8061</v>
      </c>
      <c r="C23" s="2489" t="s">
        <v>8061</v>
      </c>
      <c r="D23" s="2489" t="s">
        <v>8063</v>
      </c>
      <c r="E23" s="2488"/>
      <c r="F23" s="2828">
        <v>0</v>
      </c>
      <c r="G23" s="2828">
        <v>0</v>
      </c>
      <c r="H23" s="2530">
        <v>4069481</v>
      </c>
      <c r="I23" s="2530">
        <v>4069481</v>
      </c>
      <c r="J23" s="2488"/>
      <c r="K23" s="2828">
        <f t="shared" si="4"/>
        <v>0</v>
      </c>
      <c r="L23" s="2488"/>
      <c r="M23" s="2530">
        <v>3845342</v>
      </c>
      <c r="N23" s="2488"/>
      <c r="O23" s="2488"/>
      <c r="P23" s="2531">
        <v>224139</v>
      </c>
      <c r="Q23" s="2479" t="str">
        <f t="shared" si="5"/>
        <v xml:space="preserve">Property Tax, Property Tax, California, </v>
      </c>
      <c r="T23" s="2635"/>
      <c r="U23" s="2482"/>
      <c r="V23" s="2482"/>
      <c r="W23" s="2482"/>
      <c r="X23" s="2482"/>
      <c r="Y23" s="2482"/>
      <c r="Z23" s="2482"/>
      <c r="AA23" s="2482"/>
      <c r="AB23" s="2482"/>
      <c r="AC23" s="2482"/>
      <c r="AD23" s="2482"/>
      <c r="AE23" s="2482"/>
      <c r="AF23" s="2482"/>
      <c r="AG23" s="2482"/>
    </row>
    <row r="24" spans="1:33" ht="16.7" customHeight="1" x14ac:dyDescent="0.2">
      <c r="A24" s="2827">
        <f t="shared" si="6"/>
        <v>9.1199999999999992</v>
      </c>
      <c r="B24" s="2512" t="s">
        <v>8061</v>
      </c>
      <c r="C24" s="2489" t="s">
        <v>8061</v>
      </c>
      <c r="D24" s="2489" t="s">
        <v>8064</v>
      </c>
      <c r="E24" s="2488"/>
      <c r="F24" s="2828">
        <v>1750000</v>
      </c>
      <c r="G24" s="2828">
        <v>0</v>
      </c>
      <c r="H24" s="2530">
        <v>1578306</v>
      </c>
      <c r="I24" s="2530">
        <v>1828306</v>
      </c>
      <c r="J24" s="2488"/>
      <c r="K24" s="2645">
        <f t="shared" si="4"/>
        <v>1500000</v>
      </c>
      <c r="L24" s="2488"/>
      <c r="M24" s="2530">
        <v>1577350</v>
      </c>
      <c r="N24" s="2488"/>
      <c r="O24" s="2488"/>
      <c r="P24" s="2531">
        <v>956</v>
      </c>
      <c r="Q24" s="2479" t="str">
        <f t="shared" si="5"/>
        <v xml:space="preserve">Property Tax, Property Tax, Colorado, </v>
      </c>
      <c r="T24" s="2635"/>
      <c r="U24" s="2482"/>
      <c r="V24" s="2482"/>
      <c r="W24" s="2482"/>
      <c r="X24" s="2482"/>
      <c r="Y24" s="2482"/>
      <c r="Z24" s="2482"/>
      <c r="AA24" s="2482"/>
      <c r="AB24" s="2482"/>
      <c r="AC24" s="2482"/>
      <c r="AD24" s="2482"/>
      <c r="AE24" s="2482"/>
      <c r="AF24" s="2482"/>
      <c r="AG24" s="2482"/>
    </row>
    <row r="25" spans="1:33" ht="16.7" customHeight="1" x14ac:dyDescent="0.2">
      <c r="A25" s="2827">
        <f t="shared" si="6"/>
        <v>9.129999999999999</v>
      </c>
      <c r="B25" s="2488" t="s">
        <v>8061</v>
      </c>
      <c r="C25" s="2489" t="s">
        <v>8061</v>
      </c>
      <c r="D25" s="2489" t="s">
        <v>900</v>
      </c>
      <c r="E25" s="2488"/>
      <c r="F25" s="2828">
        <v>2966298</v>
      </c>
      <c r="G25" s="2828">
        <v>0</v>
      </c>
      <c r="H25" s="2530">
        <v>3563436</v>
      </c>
      <c r="I25" s="2530">
        <v>4402947</v>
      </c>
      <c r="J25" s="2488"/>
      <c r="K25" s="2645">
        <f t="shared" si="4"/>
        <v>2126787</v>
      </c>
      <c r="L25" s="2488"/>
      <c r="M25" s="2530">
        <v>3563286</v>
      </c>
      <c r="N25" s="2488"/>
      <c r="O25" s="2488"/>
      <c r="P25" s="2531">
        <v>150</v>
      </c>
      <c r="Q25" s="2479" t="str">
        <f t="shared" si="5"/>
        <v xml:space="preserve">Property Tax, Property Tax, Idaho, </v>
      </c>
      <c r="T25" s="2635"/>
      <c r="U25" s="2482"/>
      <c r="V25" s="2482"/>
      <c r="W25" s="2482"/>
      <c r="X25" s="2482"/>
      <c r="Y25" s="2482"/>
      <c r="Z25" s="2482"/>
      <c r="AA25" s="2482"/>
      <c r="AB25" s="2482"/>
      <c r="AC25" s="2482"/>
      <c r="AD25" s="2482"/>
      <c r="AE25" s="2482"/>
      <c r="AF25" s="2482"/>
      <c r="AG25" s="2482"/>
    </row>
    <row r="26" spans="1:33" ht="16.7" customHeight="1" x14ac:dyDescent="0.2">
      <c r="A26" s="2827">
        <f t="shared" si="6"/>
        <v>9.1399999999999988</v>
      </c>
      <c r="B26" s="2488" t="s">
        <v>8061</v>
      </c>
      <c r="C26" s="2489" t="s">
        <v>8061</v>
      </c>
      <c r="D26" s="2489" t="s">
        <v>8065</v>
      </c>
      <c r="E26" s="2488"/>
      <c r="F26" s="2828">
        <v>3187865</v>
      </c>
      <c r="G26" s="2828">
        <v>0</v>
      </c>
      <c r="H26" s="2530">
        <v>5592973</v>
      </c>
      <c r="I26" s="2530">
        <v>5987950</v>
      </c>
      <c r="J26" s="2488"/>
      <c r="K26" s="2645">
        <f t="shared" si="4"/>
        <v>2792888</v>
      </c>
      <c r="L26" s="2488"/>
      <c r="M26" s="2530">
        <v>5592973</v>
      </c>
      <c r="N26" s="2488"/>
      <c r="O26" s="2488"/>
      <c r="P26" s="2488"/>
      <c r="Q26" s="2479" t="str">
        <f t="shared" si="5"/>
        <v xml:space="preserve">Property Tax, Property Tax, Montana, </v>
      </c>
      <c r="T26" s="2635"/>
      <c r="U26" s="2482"/>
      <c r="V26" s="2482"/>
      <c r="W26" s="2482"/>
      <c r="X26" s="2482"/>
      <c r="Y26" s="2482"/>
      <c r="Z26" s="2482"/>
      <c r="AA26" s="2482"/>
      <c r="AB26" s="2482"/>
      <c r="AC26" s="2482"/>
      <c r="AD26" s="2482"/>
      <c r="AE26" s="2482"/>
      <c r="AF26" s="2482"/>
      <c r="AG26" s="2482"/>
    </row>
    <row r="27" spans="1:33" ht="16.7" customHeight="1" x14ac:dyDescent="0.2">
      <c r="A27" s="2827">
        <f t="shared" si="6"/>
        <v>9.1499999999999986</v>
      </c>
      <c r="B27" s="2488" t="s">
        <v>8061</v>
      </c>
      <c r="C27" s="2489" t="s">
        <v>8061</v>
      </c>
      <c r="D27" s="2489" t="s">
        <v>8066</v>
      </c>
      <c r="E27" s="2488"/>
      <c r="F27" s="2828">
        <v>0</v>
      </c>
      <c r="G27" s="2828">
        <v>0</v>
      </c>
      <c r="H27" s="2530">
        <v>19021</v>
      </c>
      <c r="I27" s="2530">
        <v>19021</v>
      </c>
      <c r="J27" s="2488"/>
      <c r="K27" s="2828">
        <f t="shared" si="4"/>
        <v>0</v>
      </c>
      <c r="L27" s="2488"/>
      <c r="M27" s="2530">
        <v>19021</v>
      </c>
      <c r="N27" s="2488"/>
      <c r="O27" s="2488"/>
      <c r="P27" s="2488"/>
      <c r="Q27" s="2479" t="str">
        <f t="shared" si="5"/>
        <v xml:space="preserve">Property Tax, Property Tax, New Mexico, </v>
      </c>
      <c r="T27" s="2635"/>
      <c r="U27" s="2482"/>
      <c r="V27" s="2482"/>
      <c r="W27" s="2482"/>
      <c r="X27" s="2482"/>
      <c r="Y27" s="2482"/>
      <c r="Z27" s="2482"/>
      <c r="AA27" s="2482"/>
      <c r="AB27" s="2482"/>
      <c r="AC27" s="2482"/>
      <c r="AD27" s="2482"/>
      <c r="AE27" s="2482"/>
      <c r="AF27" s="2482"/>
      <c r="AG27" s="2482"/>
    </row>
    <row r="28" spans="1:33" ht="16.7" customHeight="1" x14ac:dyDescent="0.2">
      <c r="A28" s="2827">
        <f t="shared" si="6"/>
        <v>9.1599999999999984</v>
      </c>
      <c r="B28" s="2488" t="s">
        <v>8061</v>
      </c>
      <c r="C28" s="2489" t="s">
        <v>8061</v>
      </c>
      <c r="D28" s="2489" t="s">
        <v>898</v>
      </c>
      <c r="E28" s="2488"/>
      <c r="F28" s="2828">
        <v>0</v>
      </c>
      <c r="G28" s="2828">
        <v>22741356</v>
      </c>
      <c r="H28" s="2530">
        <v>46812965</v>
      </c>
      <c r="I28" s="2530">
        <v>48209880</v>
      </c>
      <c r="J28" s="2488"/>
      <c r="K28" s="2828">
        <f t="shared" si="4"/>
        <v>0</v>
      </c>
      <c r="L28" s="2833">
        <v>24138271</v>
      </c>
      <c r="M28" s="2530">
        <v>42710831</v>
      </c>
      <c r="N28" s="2488"/>
      <c r="O28" s="2488"/>
      <c r="P28" s="2531">
        <v>4102134</v>
      </c>
      <c r="Q28" s="2479" t="str">
        <f t="shared" si="5"/>
        <v xml:space="preserve">Property Tax, Property Tax, Oregon, </v>
      </c>
      <c r="T28" s="2635"/>
      <c r="U28" s="2482"/>
      <c r="V28" s="2482"/>
      <c r="W28" s="2482"/>
      <c r="X28" s="2482"/>
      <c r="Y28" s="2482"/>
      <c r="Z28" s="2482"/>
      <c r="AA28" s="2482"/>
      <c r="AB28" s="2482"/>
      <c r="AC28" s="2482"/>
      <c r="AD28" s="2482"/>
      <c r="AE28" s="2482"/>
      <c r="AF28" s="2482"/>
      <c r="AG28" s="2482"/>
    </row>
    <row r="29" spans="1:33" ht="16.7" customHeight="1" x14ac:dyDescent="0.2">
      <c r="A29" s="2827">
        <f t="shared" si="6"/>
        <v>9.1699999999999982</v>
      </c>
      <c r="B29" s="2488" t="s">
        <v>8061</v>
      </c>
      <c r="C29" s="2489" t="s">
        <v>8061</v>
      </c>
      <c r="D29" s="2489" t="s">
        <v>8067</v>
      </c>
      <c r="E29" s="2488"/>
      <c r="F29" s="2828">
        <v>548955</v>
      </c>
      <c r="G29" s="2828">
        <v>10315403</v>
      </c>
      <c r="H29" s="2530">
        <v>66054551</v>
      </c>
      <c r="I29" s="2530">
        <v>55651378</v>
      </c>
      <c r="J29" s="2488"/>
      <c r="K29" s="2645">
        <f t="shared" si="4"/>
        <v>636725</v>
      </c>
      <c r="L29" s="2488"/>
      <c r="M29" s="2530">
        <v>61286208</v>
      </c>
      <c r="N29" s="2488"/>
      <c r="O29" s="2488"/>
      <c r="P29" s="2531">
        <v>4768343</v>
      </c>
      <c r="Q29" s="2479" t="str">
        <f t="shared" si="5"/>
        <v xml:space="preserve">Property Tax, Property Tax, Utah, </v>
      </c>
      <c r="T29" s="2635"/>
      <c r="U29" s="2482"/>
      <c r="V29" s="2482"/>
      <c r="W29" s="2482"/>
      <c r="X29" s="2482"/>
      <c r="Y29" s="2482"/>
      <c r="Z29" s="2482"/>
      <c r="AA29" s="2482"/>
      <c r="AB29" s="2482"/>
      <c r="AC29" s="2482"/>
      <c r="AD29" s="2482"/>
      <c r="AE29" s="2482"/>
      <c r="AF29" s="2482"/>
      <c r="AG29" s="2482"/>
    </row>
    <row r="30" spans="1:33" ht="16.7" customHeight="1" x14ac:dyDescent="0.2">
      <c r="A30" s="2827">
        <f t="shared" si="6"/>
        <v>9.1799999999999979</v>
      </c>
      <c r="B30" s="2488" t="s">
        <v>8061</v>
      </c>
      <c r="C30" s="2489" t="s">
        <v>8061</v>
      </c>
      <c r="D30" s="2489" t="s">
        <v>8068</v>
      </c>
      <c r="E30" s="2488"/>
      <c r="F30" s="2828">
        <v>9000000</v>
      </c>
      <c r="G30" s="2828">
        <v>0</v>
      </c>
      <c r="H30" s="2530">
        <v>7757290</v>
      </c>
      <c r="I30" s="2530">
        <v>8157290</v>
      </c>
      <c r="J30" s="2488"/>
      <c r="K30" s="2645">
        <f t="shared" si="4"/>
        <v>8600000</v>
      </c>
      <c r="L30" s="2488"/>
      <c r="M30" s="2530">
        <v>7617719</v>
      </c>
      <c r="N30" s="2488"/>
      <c r="O30" s="2488"/>
      <c r="P30" s="2531">
        <v>139571</v>
      </c>
      <c r="Q30" s="2479" t="str">
        <f t="shared" si="5"/>
        <v xml:space="preserve">Property Tax, Property Tax, Washington, </v>
      </c>
      <c r="T30" s="2635"/>
      <c r="U30" s="2482"/>
      <c r="V30" s="2482"/>
      <c r="W30" s="2482"/>
      <c r="X30" s="2482"/>
      <c r="Y30" s="2482"/>
      <c r="Z30" s="2482"/>
      <c r="AA30" s="2482"/>
      <c r="AB30" s="2482"/>
      <c r="AC30" s="2482"/>
      <c r="AD30" s="2482"/>
      <c r="AE30" s="2482"/>
      <c r="AF30" s="2482"/>
      <c r="AG30" s="2482"/>
    </row>
    <row r="31" spans="1:33" ht="16.7" customHeight="1" x14ac:dyDescent="0.2">
      <c r="A31" s="2827">
        <f t="shared" si="6"/>
        <v>9.1899999999999977</v>
      </c>
      <c r="B31" s="2488" t="s">
        <v>8061</v>
      </c>
      <c r="C31" s="2489" t="s">
        <v>8061</v>
      </c>
      <c r="D31" s="2489" t="s">
        <v>8069</v>
      </c>
      <c r="E31" s="2488"/>
      <c r="F31" s="2828">
        <v>11534249</v>
      </c>
      <c r="G31" s="2828">
        <v>0</v>
      </c>
      <c r="H31" s="2530">
        <v>26206948</v>
      </c>
      <c r="I31" s="2530">
        <v>24637710</v>
      </c>
      <c r="J31" s="2488"/>
      <c r="K31" s="2645">
        <f t="shared" si="4"/>
        <v>13103487</v>
      </c>
      <c r="L31" s="2488"/>
      <c r="M31" s="2530">
        <v>26185125</v>
      </c>
      <c r="N31" s="2488"/>
      <c r="O31" s="2488"/>
      <c r="P31" s="2531">
        <v>21823</v>
      </c>
      <c r="Q31" s="2479" t="str">
        <f t="shared" si="5"/>
        <v xml:space="preserve">Property Tax, Property Tax, Wyoming, </v>
      </c>
      <c r="T31" s="2635"/>
      <c r="U31" s="2482"/>
      <c r="V31" s="2482"/>
      <c r="W31" s="2482"/>
      <c r="X31" s="2482"/>
      <c r="Y31" s="2482"/>
      <c r="Z31" s="2482"/>
      <c r="AA31" s="2482"/>
      <c r="AB31" s="2482"/>
      <c r="AC31" s="2482"/>
      <c r="AD31" s="2482"/>
      <c r="AE31" s="2482"/>
      <c r="AF31" s="2482"/>
      <c r="AG31" s="2482"/>
    </row>
    <row r="32" spans="1:33" ht="16.7" customHeight="1" x14ac:dyDescent="0.2">
      <c r="A32" s="2827">
        <f t="shared" si="6"/>
        <v>9.1999999999999975</v>
      </c>
      <c r="B32" s="2488" t="s">
        <v>8070</v>
      </c>
      <c r="C32" s="2489" t="s">
        <v>8061</v>
      </c>
      <c r="D32" s="2489" t="s">
        <v>900</v>
      </c>
      <c r="E32" s="2488"/>
      <c r="F32" s="2828">
        <v>0</v>
      </c>
      <c r="G32" s="2828">
        <v>0</v>
      </c>
      <c r="H32" s="2530">
        <v>30346</v>
      </c>
      <c r="I32" s="2530">
        <v>30346</v>
      </c>
      <c r="J32" s="2488"/>
      <c r="K32" s="2828">
        <f t="shared" si="4"/>
        <v>0</v>
      </c>
      <c r="L32" s="2488"/>
      <c r="M32" s="2530">
        <v>30346</v>
      </c>
      <c r="N32" s="2488"/>
      <c r="O32" s="2488"/>
      <c r="P32" s="2488"/>
      <c r="Q32" s="2479" t="str">
        <f t="shared" si="5"/>
        <v xml:space="preserve">Goshute Possessory Interest, Property Tax, Idaho, </v>
      </c>
      <c r="T32" s="2635"/>
      <c r="U32" s="2482"/>
      <c r="V32" s="2482"/>
      <c r="W32" s="2482"/>
      <c r="X32" s="2482"/>
      <c r="Y32" s="2482"/>
      <c r="Z32" s="2482"/>
      <c r="AA32" s="2482"/>
      <c r="AB32" s="2482"/>
      <c r="AC32" s="2482"/>
      <c r="AD32" s="2482"/>
      <c r="AE32" s="2482"/>
      <c r="AF32" s="2482"/>
      <c r="AG32" s="2482"/>
    </row>
    <row r="33" spans="1:33" ht="16.7" customHeight="1" x14ac:dyDescent="0.2">
      <c r="A33" s="2827">
        <f t="shared" si="6"/>
        <v>9.2099999999999973</v>
      </c>
      <c r="B33" s="2488" t="s">
        <v>8071</v>
      </c>
      <c r="C33" s="2489" t="s">
        <v>8061</v>
      </c>
      <c r="D33" s="2489" t="s">
        <v>8067</v>
      </c>
      <c r="E33" s="2488"/>
      <c r="F33" s="2828">
        <v>0</v>
      </c>
      <c r="G33" s="2828">
        <v>0</v>
      </c>
      <c r="H33" s="2530">
        <v>297208</v>
      </c>
      <c r="I33" s="2530">
        <v>297208</v>
      </c>
      <c r="J33" s="2488"/>
      <c r="K33" s="2828">
        <f t="shared" si="4"/>
        <v>0</v>
      </c>
      <c r="L33" s="2488"/>
      <c r="M33" s="2530">
        <v>297208</v>
      </c>
      <c r="N33" s="2488"/>
      <c r="O33" s="2488"/>
      <c r="P33" s="2488"/>
      <c r="Q33" s="2479" t="str">
        <f t="shared" si="5"/>
        <v xml:space="preserve">Sho-Ban Possessory Interest, Property Tax, Utah, </v>
      </c>
      <c r="T33" s="2635"/>
      <c r="U33" s="2482"/>
      <c r="V33" s="2482"/>
      <c r="W33" s="2482"/>
      <c r="X33" s="2482"/>
      <c r="Y33" s="2482"/>
      <c r="Z33" s="2482"/>
      <c r="AA33" s="2482"/>
      <c r="AB33" s="2482"/>
      <c r="AC33" s="2482"/>
      <c r="AD33" s="2482"/>
      <c r="AE33" s="2482"/>
      <c r="AF33" s="2482"/>
      <c r="AG33" s="2482"/>
    </row>
    <row r="34" spans="1:33" ht="16.7" customHeight="1" x14ac:dyDescent="0.2">
      <c r="A34" s="2827">
        <f t="shared" si="6"/>
        <v>9.2199999999999971</v>
      </c>
      <c r="B34" s="2488" t="s">
        <v>8072</v>
      </c>
      <c r="C34" s="2489" t="s">
        <v>8061</v>
      </c>
      <c r="D34" s="2489" t="s">
        <v>8067</v>
      </c>
      <c r="E34" s="2488"/>
      <c r="F34" s="2828">
        <v>15000</v>
      </c>
      <c r="G34" s="2828">
        <v>0</v>
      </c>
      <c r="H34" s="2530">
        <v>15907</v>
      </c>
      <c r="I34" s="2530">
        <v>23180</v>
      </c>
      <c r="J34" s="2488"/>
      <c r="K34" s="2645">
        <f t="shared" si="4"/>
        <v>7727</v>
      </c>
      <c r="L34" s="2488"/>
      <c r="M34" s="2530">
        <v>15907</v>
      </c>
      <c r="N34" s="2488"/>
      <c r="O34" s="2488"/>
      <c r="P34" s="2488"/>
      <c r="Q34" s="2479" t="str">
        <f t="shared" si="5"/>
        <v xml:space="preserve">Navajo Possessory Interest, Property Tax, Utah, </v>
      </c>
      <c r="T34" s="2635"/>
      <c r="U34" s="2482"/>
      <c r="V34" s="2482"/>
      <c r="W34" s="2482"/>
      <c r="X34" s="2482"/>
      <c r="Y34" s="2482"/>
      <c r="Z34" s="2482"/>
      <c r="AA34" s="2482"/>
      <c r="AB34" s="2482"/>
      <c r="AC34" s="2482"/>
      <c r="AD34" s="2482"/>
      <c r="AE34" s="2482"/>
      <c r="AF34" s="2482"/>
      <c r="AG34" s="2482"/>
    </row>
    <row r="35" spans="1:33" ht="16.7" customHeight="1" x14ac:dyDescent="0.2">
      <c r="A35" s="2827">
        <f t="shared" si="6"/>
        <v>9.2299999999999969</v>
      </c>
      <c r="B35" s="2488" t="s">
        <v>8073</v>
      </c>
      <c r="C35" s="2489" t="s">
        <v>8061</v>
      </c>
      <c r="D35" s="2489" t="s">
        <v>8064</v>
      </c>
      <c r="E35" s="2488"/>
      <c r="F35" s="2828">
        <v>0</v>
      </c>
      <c r="G35" s="2828">
        <v>0</v>
      </c>
      <c r="H35" s="2530">
        <v>46432</v>
      </c>
      <c r="I35" s="2530">
        <v>46432</v>
      </c>
      <c r="J35" s="2488"/>
      <c r="K35" s="2828">
        <f t="shared" si="4"/>
        <v>0</v>
      </c>
      <c r="L35" s="2488"/>
      <c r="M35" s="2530">
        <v>46432</v>
      </c>
      <c r="N35" s="2488"/>
      <c r="O35" s="2488"/>
      <c r="P35" s="2488"/>
      <c r="Q35" s="2479" t="str">
        <f t="shared" si="5"/>
        <v xml:space="preserve">Ute Possessory Interest, Property Tax, Colorado, </v>
      </c>
      <c r="T35" s="2635"/>
      <c r="U35" s="2482"/>
      <c r="V35" s="2482"/>
      <c r="W35" s="2482"/>
      <c r="X35" s="2482"/>
      <c r="Y35" s="2482"/>
      <c r="Z35" s="2482"/>
      <c r="AA35" s="2482"/>
      <c r="AB35" s="2482"/>
      <c r="AC35" s="2482"/>
      <c r="AD35" s="2482"/>
      <c r="AE35" s="2482"/>
      <c r="AF35" s="2482"/>
      <c r="AG35" s="2482"/>
    </row>
    <row r="36" spans="1:33" ht="16.7" customHeight="1" x14ac:dyDescent="0.2">
      <c r="A36" s="2827">
        <f t="shared" si="6"/>
        <v>9.2399999999999967</v>
      </c>
      <c r="B36" s="2488" t="s">
        <v>8074</v>
      </c>
      <c r="C36" s="2489" t="s">
        <v>8061</v>
      </c>
      <c r="D36" s="2489" t="s">
        <v>8065</v>
      </c>
      <c r="E36" s="2488"/>
      <c r="F36" s="2828">
        <v>0</v>
      </c>
      <c r="G36" s="2828">
        <v>0</v>
      </c>
      <c r="H36" s="2530">
        <v>91125</v>
      </c>
      <c r="I36" s="2530">
        <v>91125</v>
      </c>
      <c r="J36" s="2488"/>
      <c r="K36" s="2828">
        <f t="shared" si="4"/>
        <v>0</v>
      </c>
      <c r="L36" s="2488"/>
      <c r="M36" s="2530">
        <v>91125</v>
      </c>
      <c r="N36" s="2488"/>
      <c r="O36" s="2488"/>
      <c r="P36" s="2488"/>
      <c r="Q36" s="2479" t="str">
        <f t="shared" si="5"/>
        <v xml:space="preserve">Crow Possessory Tax, Property Tax, Montana, </v>
      </c>
      <c r="T36" s="2635"/>
      <c r="U36" s="2715" t="s">
        <v>5982</v>
      </c>
      <c r="V36" s="2482"/>
      <c r="W36" s="2482"/>
      <c r="X36" s="2482"/>
      <c r="Y36" s="2482"/>
      <c r="Z36" s="2482"/>
      <c r="AA36" s="2482"/>
      <c r="AB36" s="2482"/>
      <c r="AC36" s="2482"/>
      <c r="AD36" s="2482"/>
      <c r="AE36" s="2482"/>
      <c r="AF36" s="2482"/>
      <c r="AG36" s="2482"/>
    </row>
    <row r="37" spans="1:33" ht="16.7" customHeight="1" x14ac:dyDescent="0.2">
      <c r="A37" s="2827">
        <f t="shared" si="6"/>
        <v>9.2499999999999964</v>
      </c>
      <c r="B37" s="2488" t="s">
        <v>8075</v>
      </c>
      <c r="C37" s="2489" t="s">
        <v>8061</v>
      </c>
      <c r="D37" s="2489" t="s">
        <v>898</v>
      </c>
      <c r="E37" s="2488"/>
      <c r="F37" s="2828">
        <v>0</v>
      </c>
      <c r="G37" s="2828">
        <v>0</v>
      </c>
      <c r="H37" s="2530">
        <v>148668</v>
      </c>
      <c r="I37" s="2530">
        <v>148668</v>
      </c>
      <c r="J37" s="2530">
        <v>0</v>
      </c>
      <c r="K37" s="2828">
        <f t="shared" si="4"/>
        <v>0</v>
      </c>
      <c r="L37" s="2488"/>
      <c r="M37" s="2530">
        <v>148668</v>
      </c>
      <c r="N37" s="2488"/>
      <c r="O37" s="2488"/>
      <c r="P37" s="2488"/>
      <c r="Q37" s="2479" t="str">
        <f t="shared" si="5"/>
        <v xml:space="preserve">Umatilla Possessory Interest, Property Tax, Oregon, </v>
      </c>
      <c r="T37" s="2635"/>
      <c r="U37" s="2482"/>
      <c r="V37" s="2482"/>
      <c r="W37" s="2482"/>
      <c r="X37" s="2482"/>
      <c r="Y37" s="2482"/>
      <c r="Z37" s="2482"/>
      <c r="AA37" s="2482"/>
      <c r="AB37" s="2482"/>
      <c r="AC37" s="2482"/>
      <c r="AD37" s="2482"/>
      <c r="AE37" s="2482"/>
      <c r="AF37" s="2482"/>
      <c r="AG37" s="2482"/>
    </row>
    <row r="38" spans="1:33" ht="16.7" customHeight="1" x14ac:dyDescent="0.2">
      <c r="A38" s="2827" t="s">
        <v>5974</v>
      </c>
      <c r="B38" s="2830" t="s">
        <v>8076</v>
      </c>
      <c r="C38" s="2800"/>
      <c r="D38" s="2800"/>
      <c r="E38" s="2800"/>
      <c r="F38" s="2831">
        <f t="shared" ref="F38:P38" si="7">SUM(F22:F37)</f>
        <v>29016999</v>
      </c>
      <c r="G38" s="2831">
        <f t="shared" si="7"/>
        <v>33056759</v>
      </c>
      <c r="H38" s="2831">
        <f t="shared" si="7"/>
        <v>162402769</v>
      </c>
      <c r="I38" s="2831">
        <f t="shared" si="7"/>
        <v>153697126</v>
      </c>
      <c r="J38" s="2832">
        <f t="shared" si="7"/>
        <v>0</v>
      </c>
      <c r="K38" s="2831">
        <f t="shared" si="7"/>
        <v>28804154</v>
      </c>
      <c r="L38" s="2831">
        <f t="shared" si="7"/>
        <v>24138271</v>
      </c>
      <c r="M38" s="2831">
        <f t="shared" si="7"/>
        <v>153300465</v>
      </c>
      <c r="N38" s="2832">
        <f t="shared" si="7"/>
        <v>0</v>
      </c>
      <c r="O38" s="2832">
        <f t="shared" si="7"/>
        <v>0</v>
      </c>
      <c r="P38" s="2831">
        <f t="shared" si="7"/>
        <v>9102304</v>
      </c>
      <c r="Q38" s="2479"/>
      <c r="R38" s="2576" t="s">
        <v>8077</v>
      </c>
      <c r="T38" s="2635"/>
      <c r="U38" s="2715" t="s">
        <v>5984</v>
      </c>
      <c r="V38" s="2482"/>
      <c r="W38" s="2482"/>
      <c r="X38" s="2482"/>
      <c r="Y38" s="2482"/>
      <c r="Z38" s="2482"/>
      <c r="AA38" s="2482"/>
      <c r="AB38" s="2482"/>
      <c r="AC38" s="2482"/>
      <c r="AD38" s="2482"/>
      <c r="AE38" s="2482"/>
      <c r="AF38" s="2482"/>
      <c r="AG38" s="2482"/>
    </row>
    <row r="39" spans="1:33" ht="16.7" customHeight="1" x14ac:dyDescent="0.2">
      <c r="A39" s="2827" t="s">
        <v>7697</v>
      </c>
      <c r="B39" s="2512"/>
      <c r="C39" s="2488"/>
      <c r="D39" s="2488"/>
      <c r="E39" s="2488"/>
      <c r="F39" s="2828">
        <f>SUMIFS($U39:$XFD39,$U$9:$XFD$9,$F$9,$U$8:$XFD$8,$F$8)</f>
        <v>0</v>
      </c>
      <c r="G39" s="2828">
        <f>SUMIFS($U39:$XFD39,$U$9:$XFD$9,$G$9,$U$8:$XFD$8,$G$8)</f>
        <v>0</v>
      </c>
      <c r="H39" s="2488"/>
      <c r="I39" s="2488"/>
      <c r="J39" s="2488"/>
      <c r="K39" s="2828">
        <f>F39-G39+H39-I39+J39+L39</f>
        <v>0</v>
      </c>
      <c r="L39" s="2488"/>
      <c r="M39" s="2488"/>
      <c r="N39" s="2488"/>
      <c r="O39" s="2488"/>
      <c r="P39" s="2488"/>
      <c r="Q39" s="2479" t="str">
        <f>CONCATENATE(B39,", ",C39,", ",D39,", ",E39)</f>
        <v xml:space="preserve">, , , </v>
      </c>
      <c r="T39" s="2635"/>
      <c r="U39" s="2715" t="s">
        <v>5986</v>
      </c>
      <c r="V39" s="2482"/>
      <c r="W39" s="2482"/>
      <c r="X39" s="2482"/>
      <c r="Y39" s="2482"/>
      <c r="Z39" s="2482"/>
      <c r="AA39" s="2482"/>
      <c r="AB39" s="2482"/>
      <c r="AC39" s="2482"/>
      <c r="AD39" s="2482"/>
      <c r="AE39" s="2482"/>
      <c r="AF39" s="2482"/>
      <c r="AG39" s="2482"/>
    </row>
    <row r="40" spans="1:33" ht="16.7" customHeight="1" x14ac:dyDescent="0.2">
      <c r="A40" s="2827" t="s">
        <v>8078</v>
      </c>
      <c r="B40" s="2512"/>
      <c r="C40" s="2488"/>
      <c r="D40" s="2488"/>
      <c r="E40" s="2488"/>
      <c r="F40" s="2828">
        <f>SUMIFS($U40:$XFD40,$U$9:$XFD$9,$F$9,$U$8:$XFD$8,$F$8)</f>
        <v>0</v>
      </c>
      <c r="G40" s="2828">
        <f>SUMIFS($U40:$XFD40,$U$9:$XFD$9,$G$9,$U$8:$XFD$8,$G$8)</f>
        <v>0</v>
      </c>
      <c r="H40" s="2488"/>
      <c r="I40" s="2488"/>
      <c r="J40" s="2488"/>
      <c r="K40" s="2828">
        <f>F40-G40+H40-I40+J40+L40</f>
        <v>0</v>
      </c>
      <c r="L40" s="2488"/>
      <c r="M40" s="2488"/>
      <c r="N40" s="2488"/>
      <c r="O40" s="2488"/>
      <c r="P40" s="2488"/>
      <c r="Q40" s="2479" t="str">
        <f>CONCATENATE(B40,", ",C40,", ",D40,", ",E40)</f>
        <v xml:space="preserve">, , , </v>
      </c>
      <c r="T40" s="2635"/>
      <c r="U40" s="2715" t="s">
        <v>5988</v>
      </c>
      <c r="V40" s="2829">
        <v>1532</v>
      </c>
      <c r="W40" s="2482"/>
      <c r="X40" s="2482"/>
      <c r="Y40" s="2482"/>
      <c r="Z40" s="2482"/>
      <c r="AA40" s="2482"/>
      <c r="AB40" s="2482"/>
      <c r="AC40" s="2482"/>
      <c r="AD40" s="2482"/>
      <c r="AE40" s="2482"/>
      <c r="AF40" s="2482"/>
      <c r="AG40" s="2482"/>
    </row>
    <row r="41" spans="1:33" ht="16.7" customHeight="1" x14ac:dyDescent="0.2">
      <c r="A41" s="2827" t="s">
        <v>5978</v>
      </c>
      <c r="B41" s="2830" t="s">
        <v>8079</v>
      </c>
      <c r="C41" s="2800"/>
      <c r="D41" s="2800"/>
      <c r="E41" s="2800"/>
      <c r="F41" s="2834">
        <f t="shared" ref="F41:P41" si="8">SUM(F39:F40)</f>
        <v>0</v>
      </c>
      <c r="G41" s="2834">
        <f t="shared" si="8"/>
        <v>0</v>
      </c>
      <c r="H41" s="2832">
        <f t="shared" si="8"/>
        <v>0</v>
      </c>
      <c r="I41" s="2832">
        <f t="shared" si="8"/>
        <v>0</v>
      </c>
      <c r="J41" s="2832">
        <f t="shared" si="8"/>
        <v>0</v>
      </c>
      <c r="K41" s="2834">
        <f t="shared" si="8"/>
        <v>0</v>
      </c>
      <c r="L41" s="2832">
        <f t="shared" si="8"/>
        <v>0</v>
      </c>
      <c r="M41" s="2832">
        <f t="shared" si="8"/>
        <v>0</v>
      </c>
      <c r="N41" s="2832">
        <f t="shared" si="8"/>
        <v>0</v>
      </c>
      <c r="O41" s="2832">
        <f t="shared" si="8"/>
        <v>0</v>
      </c>
      <c r="P41" s="2832">
        <f t="shared" si="8"/>
        <v>0</v>
      </c>
      <c r="Q41" s="2479"/>
      <c r="R41" s="2576" t="s">
        <v>8080</v>
      </c>
      <c r="T41" s="2635"/>
      <c r="U41" s="2715" t="s">
        <v>5990</v>
      </c>
      <c r="V41" s="2829">
        <v>621704</v>
      </c>
      <c r="W41" s="2482"/>
      <c r="X41" s="2482"/>
      <c r="Y41" s="2482"/>
      <c r="Z41" s="2482"/>
      <c r="AA41" s="2482"/>
      <c r="AB41" s="2482"/>
      <c r="AC41" s="2482"/>
      <c r="AD41" s="2482"/>
      <c r="AE41" s="2482"/>
      <c r="AF41" s="2482"/>
      <c r="AG41" s="2482"/>
    </row>
    <row r="42" spans="1:33" ht="16.7" customHeight="1" x14ac:dyDescent="0.2">
      <c r="A42" s="2827" t="s">
        <v>8081</v>
      </c>
      <c r="B42" s="2512" t="s">
        <v>8082</v>
      </c>
      <c r="C42" s="2489" t="s">
        <v>8083</v>
      </c>
      <c r="D42" s="2489"/>
      <c r="E42" s="2488"/>
      <c r="F42" s="2828">
        <v>25267</v>
      </c>
      <c r="G42" s="2828">
        <v>0</v>
      </c>
      <c r="H42" s="2530">
        <v>222941</v>
      </c>
      <c r="I42" s="2530">
        <v>12588</v>
      </c>
      <c r="J42" s="2488"/>
      <c r="K42" s="2828">
        <f t="shared" ref="K42:K57" si="9">F42-G42+H42-I42+J42+L42</f>
        <v>235620</v>
      </c>
      <c r="L42" s="2488"/>
      <c r="M42" s="2488"/>
      <c r="N42" s="2488"/>
      <c r="O42" s="2488"/>
      <c r="P42" s="2531">
        <v>222941</v>
      </c>
      <c r="Q42" s="2479" t="str">
        <f t="shared" ref="Q42:Q66" si="10">CONCATENATE(B42,", ",C42,", ",D42,", ",E42)</f>
        <v xml:space="preserve">Federal Unemployment Tax, Unemployment Tax, , </v>
      </c>
      <c r="T42" s="2635"/>
      <c r="U42" s="2715" t="s">
        <v>5992</v>
      </c>
      <c r="V42" s="2829">
        <v>10045</v>
      </c>
      <c r="W42" s="2482"/>
      <c r="X42" s="2482"/>
      <c r="Y42" s="2482"/>
      <c r="Z42" s="2482"/>
      <c r="AA42" s="2482"/>
      <c r="AB42" s="2482"/>
      <c r="AC42" s="2482"/>
      <c r="AD42" s="2482"/>
      <c r="AE42" s="2482"/>
      <c r="AF42" s="2482"/>
      <c r="AG42" s="2482"/>
    </row>
    <row r="43" spans="1:33" ht="16.7" customHeight="1" x14ac:dyDescent="0.2">
      <c r="A43" s="2827">
        <f t="shared" ref="A43:A67" si="11">A42+0.01</f>
        <v>13.11</v>
      </c>
      <c r="B43" s="2512" t="s">
        <v>8082</v>
      </c>
      <c r="C43" s="2489" t="s">
        <v>8083</v>
      </c>
      <c r="D43" s="2489" t="s">
        <v>8062</v>
      </c>
      <c r="E43" s="2488"/>
      <c r="F43" s="2828">
        <v>-1</v>
      </c>
      <c r="G43" s="2828">
        <v>0</v>
      </c>
      <c r="H43" s="2530">
        <v>640</v>
      </c>
      <c r="I43" s="2530">
        <v>1241</v>
      </c>
      <c r="J43" s="2488"/>
      <c r="K43" s="2828">
        <f t="shared" si="9"/>
        <v>-602</v>
      </c>
      <c r="L43" s="2488"/>
      <c r="M43" s="2488"/>
      <c r="N43" s="2488"/>
      <c r="O43" s="2488"/>
      <c r="P43" s="2531">
        <v>640</v>
      </c>
      <c r="Q43" s="2479" t="str">
        <f t="shared" si="10"/>
        <v xml:space="preserve">Federal Unemployment Tax, Unemployment Tax, Arizona, </v>
      </c>
      <c r="T43" s="2635"/>
      <c r="U43" s="2482"/>
      <c r="V43" s="2482"/>
      <c r="W43" s="2482"/>
      <c r="X43" s="2482"/>
      <c r="Y43" s="2482"/>
      <c r="Z43" s="2482"/>
      <c r="AA43" s="2482"/>
      <c r="AB43" s="2482"/>
      <c r="AC43" s="2482"/>
      <c r="AD43" s="2482"/>
      <c r="AE43" s="2482"/>
      <c r="AF43" s="2482"/>
      <c r="AG43" s="2482"/>
    </row>
    <row r="44" spans="1:33" ht="16.7" customHeight="1" x14ac:dyDescent="0.2">
      <c r="A44" s="2827">
        <f t="shared" si="11"/>
        <v>13.12</v>
      </c>
      <c r="B44" s="2512" t="s">
        <v>8083</v>
      </c>
      <c r="C44" s="2489" t="s">
        <v>8083</v>
      </c>
      <c r="D44" s="2489" t="s">
        <v>8063</v>
      </c>
      <c r="E44" s="2488"/>
      <c r="F44" s="2828">
        <v>358</v>
      </c>
      <c r="G44" s="2828">
        <v>0</v>
      </c>
      <c r="H44" s="2530">
        <v>16492</v>
      </c>
      <c r="I44" s="2530">
        <v>19756</v>
      </c>
      <c r="J44" s="2488"/>
      <c r="K44" s="2828">
        <f t="shared" si="9"/>
        <v>-2906</v>
      </c>
      <c r="L44" s="2488"/>
      <c r="M44" s="2488"/>
      <c r="N44" s="2488"/>
      <c r="O44" s="2488"/>
      <c r="P44" s="2531">
        <v>16492</v>
      </c>
      <c r="Q44" s="2479" t="str">
        <f t="shared" si="10"/>
        <v xml:space="preserve">Unemployment Tax, Unemployment Tax, California, </v>
      </c>
      <c r="T44" s="2635"/>
      <c r="U44" s="2482"/>
      <c r="V44" s="2482"/>
      <c r="W44" s="2482"/>
      <c r="X44" s="2482"/>
      <c r="Y44" s="2482"/>
      <c r="Z44" s="2482"/>
      <c r="AA44" s="2482"/>
      <c r="AB44" s="2482"/>
      <c r="AC44" s="2482"/>
      <c r="AD44" s="2482"/>
      <c r="AE44" s="2482"/>
      <c r="AF44" s="2482"/>
      <c r="AG44" s="2482"/>
    </row>
    <row r="45" spans="1:33" ht="16.7" customHeight="1" x14ac:dyDescent="0.2">
      <c r="A45" s="2827">
        <f t="shared" si="11"/>
        <v>13.129999999999999</v>
      </c>
      <c r="B45" s="2512" t="s">
        <v>8083</v>
      </c>
      <c r="C45" s="2489" t="s">
        <v>8083</v>
      </c>
      <c r="D45" s="2489" t="s">
        <v>8064</v>
      </c>
      <c r="E45" s="2488"/>
      <c r="F45" s="2828">
        <v>-408</v>
      </c>
      <c r="G45" s="2828">
        <v>0</v>
      </c>
      <c r="H45" s="2530">
        <v>638</v>
      </c>
      <c r="I45" s="2530">
        <v>1100</v>
      </c>
      <c r="J45" s="2488"/>
      <c r="K45" s="2828">
        <f t="shared" si="9"/>
        <v>-870</v>
      </c>
      <c r="L45" s="2488"/>
      <c r="M45" s="2488"/>
      <c r="N45" s="2488"/>
      <c r="O45" s="2488"/>
      <c r="P45" s="2531">
        <v>639</v>
      </c>
      <c r="Q45" s="2479" t="str">
        <f t="shared" si="10"/>
        <v xml:space="preserve">Unemployment Tax, Unemployment Tax, Colorado, </v>
      </c>
      <c r="T45" s="2635"/>
      <c r="U45" s="2482"/>
      <c r="V45" s="2482"/>
      <c r="W45" s="2482"/>
      <c r="X45" s="2482"/>
      <c r="Y45" s="2482"/>
      <c r="Z45" s="2482"/>
      <c r="AA45" s="2482"/>
      <c r="AB45" s="2482"/>
      <c r="AC45" s="2482"/>
      <c r="AD45" s="2482"/>
      <c r="AE45" s="2482"/>
      <c r="AF45" s="2482"/>
      <c r="AG45" s="2482"/>
    </row>
    <row r="46" spans="1:33" ht="16.7" customHeight="1" x14ac:dyDescent="0.2">
      <c r="A46" s="2827">
        <f t="shared" si="11"/>
        <v>13.139999999999999</v>
      </c>
      <c r="B46" s="2512" t="s">
        <v>8083</v>
      </c>
      <c r="C46" s="2489" t="s">
        <v>8083</v>
      </c>
      <c r="D46" s="2489" t="s">
        <v>8084</v>
      </c>
      <c r="E46" s="2488"/>
      <c r="F46" s="2828">
        <v>-189</v>
      </c>
      <c r="G46" s="2828">
        <v>0</v>
      </c>
      <c r="H46" s="2530">
        <v>567</v>
      </c>
      <c r="I46" s="2530">
        <v>189</v>
      </c>
      <c r="J46" s="2488"/>
      <c r="K46" s="2828">
        <f t="shared" si="9"/>
        <v>189</v>
      </c>
      <c r="L46" s="2488"/>
      <c r="M46" s="2488"/>
      <c r="N46" s="2488"/>
      <c r="O46" s="2488"/>
      <c r="P46" s="2531">
        <v>567</v>
      </c>
      <c r="Q46" s="2479" t="str">
        <f t="shared" si="10"/>
        <v xml:space="preserve">Unemployment Tax, Unemployment Tax, Florida, </v>
      </c>
      <c r="T46" s="2635"/>
      <c r="U46" s="2482"/>
      <c r="V46" s="2482"/>
      <c r="W46" s="2482"/>
      <c r="X46" s="2482"/>
      <c r="Y46" s="2482"/>
      <c r="Z46" s="2482"/>
      <c r="AA46" s="2482"/>
      <c r="AB46" s="2482"/>
      <c r="AC46" s="2482"/>
      <c r="AD46" s="2482"/>
      <c r="AE46" s="2482"/>
      <c r="AF46" s="2482"/>
      <c r="AG46" s="2482"/>
    </row>
    <row r="47" spans="1:33" ht="16.7" customHeight="1" x14ac:dyDescent="0.2">
      <c r="A47" s="2827">
        <f t="shared" si="11"/>
        <v>13.149999999999999</v>
      </c>
      <c r="B47" s="2512" t="s">
        <v>8083</v>
      </c>
      <c r="C47" s="2489" t="s">
        <v>8083</v>
      </c>
      <c r="D47" s="2489" t="s">
        <v>900</v>
      </c>
      <c r="E47" s="2488"/>
      <c r="F47" s="2828">
        <v>-1717</v>
      </c>
      <c r="G47" s="2828">
        <v>0</v>
      </c>
      <c r="H47" s="2530">
        <v>17468</v>
      </c>
      <c r="I47" s="2530">
        <v>26885</v>
      </c>
      <c r="J47" s="2488"/>
      <c r="K47" s="2828">
        <f t="shared" si="9"/>
        <v>-11134</v>
      </c>
      <c r="L47" s="2488"/>
      <c r="M47" s="2488"/>
      <c r="N47" s="2488"/>
      <c r="O47" s="2488"/>
      <c r="P47" s="2531">
        <v>17468</v>
      </c>
      <c r="Q47" s="2479" t="str">
        <f t="shared" si="10"/>
        <v xml:space="preserve">Unemployment Tax, Unemployment Tax, Idaho, </v>
      </c>
      <c r="T47" s="2635"/>
      <c r="U47" s="2482"/>
      <c r="V47" s="2482"/>
      <c r="W47" s="2482"/>
      <c r="X47" s="2482"/>
      <c r="Y47" s="2482"/>
      <c r="Z47" s="2482"/>
      <c r="AA47" s="2482"/>
      <c r="AB47" s="2482"/>
      <c r="AC47" s="2482"/>
      <c r="AD47" s="2482"/>
      <c r="AE47" s="2482"/>
      <c r="AF47" s="2482"/>
      <c r="AG47" s="2482"/>
    </row>
    <row r="48" spans="1:33" ht="16.7" customHeight="1" x14ac:dyDescent="0.2">
      <c r="A48" s="2827">
        <f t="shared" si="11"/>
        <v>13.159999999999998</v>
      </c>
      <c r="B48" s="2512" t="s">
        <v>8083</v>
      </c>
      <c r="C48" s="2489" t="s">
        <v>8083</v>
      </c>
      <c r="D48" s="2489" t="s">
        <v>8085</v>
      </c>
      <c r="E48" s="2488"/>
      <c r="F48" s="2828">
        <v>-384</v>
      </c>
      <c r="G48" s="2828">
        <v>0</v>
      </c>
      <c r="H48" s="2530">
        <v>7218</v>
      </c>
      <c r="I48" s="2530">
        <v>13716</v>
      </c>
      <c r="J48" s="2488"/>
      <c r="K48" s="2828">
        <f t="shared" si="9"/>
        <v>-6882</v>
      </c>
      <c r="L48" s="2488"/>
      <c r="M48" s="2488"/>
      <c r="N48" s="2488"/>
      <c r="O48" s="2488"/>
      <c r="P48" s="2531">
        <v>7218</v>
      </c>
      <c r="Q48" s="2479" t="str">
        <f t="shared" si="10"/>
        <v xml:space="preserve">Unemployment Tax, Unemployment Tax, Nevada, </v>
      </c>
      <c r="T48" s="2635"/>
      <c r="U48" s="2482"/>
      <c r="V48" s="2482"/>
      <c r="W48" s="2482"/>
      <c r="X48" s="2482"/>
      <c r="Y48" s="2482"/>
      <c r="Z48" s="2482"/>
      <c r="AA48" s="2482"/>
      <c r="AB48" s="2482"/>
      <c r="AC48" s="2482"/>
      <c r="AD48" s="2482"/>
      <c r="AE48" s="2482"/>
      <c r="AF48" s="2482"/>
      <c r="AG48" s="2482"/>
    </row>
    <row r="49" spans="1:33" ht="16.7" customHeight="1" x14ac:dyDescent="0.2">
      <c r="A49" s="2827">
        <f t="shared" si="11"/>
        <v>13.169999999999998</v>
      </c>
      <c r="B49" s="2512" t="s">
        <v>8083</v>
      </c>
      <c r="C49" s="2489" t="s">
        <v>8083</v>
      </c>
      <c r="D49" s="2489" t="s">
        <v>898</v>
      </c>
      <c r="E49" s="2488"/>
      <c r="F49" s="2828">
        <v>295708</v>
      </c>
      <c r="G49" s="2828">
        <v>4497</v>
      </c>
      <c r="H49" s="2530">
        <v>1325269</v>
      </c>
      <c r="I49" s="2530">
        <v>2444069</v>
      </c>
      <c r="J49" s="2488"/>
      <c r="K49" s="2828">
        <f t="shared" si="9"/>
        <v>-823092</v>
      </c>
      <c r="L49" s="2833">
        <v>4497</v>
      </c>
      <c r="M49" s="2488"/>
      <c r="N49" s="2488"/>
      <c r="O49" s="2488"/>
      <c r="P49" s="2531">
        <v>1325269</v>
      </c>
      <c r="Q49" s="2479" t="str">
        <f t="shared" si="10"/>
        <v xml:space="preserve">Unemployment Tax, Unemployment Tax, Oregon, </v>
      </c>
      <c r="T49" s="2635"/>
      <c r="U49" s="2482"/>
      <c r="V49" s="2482"/>
      <c r="W49" s="2482"/>
      <c r="X49" s="2482"/>
      <c r="Y49" s="2482"/>
      <c r="Z49" s="2482"/>
      <c r="AA49" s="2482"/>
      <c r="AB49" s="2482"/>
      <c r="AC49" s="2482"/>
      <c r="AD49" s="2482"/>
      <c r="AE49" s="2482"/>
      <c r="AF49" s="2482"/>
      <c r="AG49" s="2482"/>
    </row>
    <row r="50" spans="1:33" ht="16.7" customHeight="1" x14ac:dyDescent="0.2">
      <c r="A50" s="2827">
        <f t="shared" si="11"/>
        <v>13.179999999999998</v>
      </c>
      <c r="B50" s="2512" t="s">
        <v>8083</v>
      </c>
      <c r="C50" s="2489" t="s">
        <v>8083</v>
      </c>
      <c r="D50" s="2489" t="s">
        <v>8086</v>
      </c>
      <c r="E50" s="2488"/>
      <c r="F50" s="2828">
        <v>-68</v>
      </c>
      <c r="G50" s="2828">
        <v>0</v>
      </c>
      <c r="H50" s="2530">
        <v>213</v>
      </c>
      <c r="I50" s="2530">
        <v>211</v>
      </c>
      <c r="J50" s="2488"/>
      <c r="K50" s="2828">
        <f t="shared" si="9"/>
        <v>-66</v>
      </c>
      <c r="L50" s="2488"/>
      <c r="M50" s="2488"/>
      <c r="N50" s="2488"/>
      <c r="O50" s="2488"/>
      <c r="P50" s="2531">
        <v>213</v>
      </c>
      <c r="Q50" s="2479" t="str">
        <f t="shared" si="10"/>
        <v xml:space="preserve">Unemployment Tax, Unemployment Tax, Texas, </v>
      </c>
      <c r="T50" s="2635"/>
      <c r="U50" s="2482"/>
      <c r="V50" s="2482"/>
      <c r="W50" s="2482"/>
      <c r="X50" s="2482"/>
      <c r="Y50" s="2482"/>
      <c r="Z50" s="2482"/>
      <c r="AA50" s="2482"/>
      <c r="AB50" s="2482"/>
      <c r="AC50" s="2482"/>
      <c r="AD50" s="2482"/>
      <c r="AE50" s="2482"/>
      <c r="AF50" s="2482"/>
      <c r="AG50" s="2482"/>
    </row>
    <row r="51" spans="1:33" ht="16.7" customHeight="1" x14ac:dyDescent="0.2">
      <c r="A51" s="2827">
        <f t="shared" si="11"/>
        <v>13.189999999999998</v>
      </c>
      <c r="B51" s="2512" t="s">
        <v>8083</v>
      </c>
      <c r="C51" s="2489" t="s">
        <v>8083</v>
      </c>
      <c r="D51" s="2489" t="s">
        <v>8067</v>
      </c>
      <c r="E51" s="2488"/>
      <c r="F51" s="2828">
        <v>-18901</v>
      </c>
      <c r="G51" s="2828">
        <v>0</v>
      </c>
      <c r="H51" s="2530">
        <v>277625</v>
      </c>
      <c r="I51" s="2530">
        <v>536692</v>
      </c>
      <c r="J51" s="2488"/>
      <c r="K51" s="2828">
        <f t="shared" si="9"/>
        <v>-277968</v>
      </c>
      <c r="L51" s="2488"/>
      <c r="M51" s="2488"/>
      <c r="N51" s="2488"/>
      <c r="O51" s="2488"/>
      <c r="P51" s="2531">
        <v>277624</v>
      </c>
      <c r="Q51" s="2479" t="str">
        <f t="shared" si="10"/>
        <v xml:space="preserve">Unemployment Tax, Unemployment Tax, Utah, </v>
      </c>
      <c r="T51" s="2635"/>
      <c r="U51" s="2482"/>
      <c r="V51" s="2482"/>
      <c r="W51" s="2482"/>
      <c r="X51" s="2482"/>
      <c r="Y51" s="2482"/>
      <c r="Z51" s="2482"/>
      <c r="AA51" s="2482"/>
      <c r="AB51" s="2482"/>
      <c r="AC51" s="2482"/>
      <c r="AD51" s="2482"/>
      <c r="AE51" s="2482"/>
      <c r="AF51" s="2482"/>
      <c r="AG51" s="2482"/>
    </row>
    <row r="52" spans="1:33" ht="16.7" customHeight="1" x14ac:dyDescent="0.2">
      <c r="A52" s="2827">
        <f t="shared" si="11"/>
        <v>13.199999999999998</v>
      </c>
      <c r="B52" s="2512" t="s">
        <v>8083</v>
      </c>
      <c r="C52" s="2489" t="s">
        <v>8083</v>
      </c>
      <c r="D52" s="2489" t="s">
        <v>8068</v>
      </c>
      <c r="E52" s="2488"/>
      <c r="F52" s="2828">
        <v>217345</v>
      </c>
      <c r="G52" s="2828">
        <v>0</v>
      </c>
      <c r="H52" s="2530">
        <v>113043</v>
      </c>
      <c r="I52" s="2530">
        <v>148347</v>
      </c>
      <c r="J52" s="2488"/>
      <c r="K52" s="2828">
        <f t="shared" si="9"/>
        <v>182041</v>
      </c>
      <c r="L52" s="2488"/>
      <c r="M52" s="2488"/>
      <c r="N52" s="2488"/>
      <c r="O52" s="2488"/>
      <c r="P52" s="2531">
        <v>113043</v>
      </c>
      <c r="Q52" s="2479" t="str">
        <f t="shared" si="10"/>
        <v xml:space="preserve">Unemployment Tax, Unemployment Tax, Washington, </v>
      </c>
      <c r="T52" s="2635"/>
      <c r="U52" s="2715" t="s">
        <v>5994</v>
      </c>
      <c r="V52" s="2829">
        <v>1373864</v>
      </c>
      <c r="W52" s="2482"/>
      <c r="X52" s="2482"/>
      <c r="Y52" s="2482"/>
      <c r="Z52" s="2482"/>
      <c r="AA52" s="2482"/>
      <c r="AB52" s="2482"/>
      <c r="AC52" s="2482"/>
      <c r="AD52" s="2482"/>
      <c r="AE52" s="2482"/>
      <c r="AF52" s="2482"/>
      <c r="AG52" s="2482"/>
    </row>
    <row r="53" spans="1:33" ht="16.7" customHeight="1" x14ac:dyDescent="0.2">
      <c r="A53" s="2827">
        <f t="shared" si="11"/>
        <v>13.209999999999997</v>
      </c>
      <c r="B53" s="2512" t="s">
        <v>8083</v>
      </c>
      <c r="C53" s="2489" t="s">
        <v>8083</v>
      </c>
      <c r="D53" s="2489" t="s">
        <v>8087</v>
      </c>
      <c r="E53" s="2488"/>
      <c r="F53" s="2828">
        <v>5</v>
      </c>
      <c r="G53" s="2828">
        <v>0</v>
      </c>
      <c r="H53" s="2530">
        <v>1771</v>
      </c>
      <c r="I53" s="2530">
        <v>2337</v>
      </c>
      <c r="J53" s="2488"/>
      <c r="K53" s="2828">
        <f t="shared" si="9"/>
        <v>-561</v>
      </c>
      <c r="L53" s="2488"/>
      <c r="M53" s="2488"/>
      <c r="N53" s="2488"/>
      <c r="O53" s="2488"/>
      <c r="P53" s="2531">
        <v>1771</v>
      </c>
      <c r="Q53" s="2479" t="str">
        <f t="shared" si="10"/>
        <v xml:space="preserve">Unemployment Tax, Unemployment Tax, Minnesota, </v>
      </c>
      <c r="T53" s="2635"/>
      <c r="U53" s="2482"/>
      <c r="V53" s="2482"/>
      <c r="W53" s="2482"/>
      <c r="X53" s="2482"/>
      <c r="Y53" s="2482"/>
      <c r="Z53" s="2482"/>
      <c r="AA53" s="2482"/>
      <c r="AB53" s="2482"/>
      <c r="AC53" s="2482"/>
      <c r="AD53" s="2482"/>
      <c r="AE53" s="2482"/>
      <c r="AF53" s="2482"/>
      <c r="AG53" s="2482"/>
    </row>
    <row r="54" spans="1:33" ht="16.7" customHeight="1" x14ac:dyDescent="0.2">
      <c r="A54" s="2827">
        <f t="shared" si="11"/>
        <v>13.219999999999997</v>
      </c>
      <c r="B54" s="2512" t="s">
        <v>8083</v>
      </c>
      <c r="C54" s="2489" t="s">
        <v>8083</v>
      </c>
      <c r="D54" s="2489" t="s">
        <v>8065</v>
      </c>
      <c r="E54" s="2488"/>
      <c r="F54" s="2828">
        <v>-360</v>
      </c>
      <c r="G54" s="2828">
        <v>0</v>
      </c>
      <c r="H54" s="2530">
        <v>640</v>
      </c>
      <c r="I54" s="2530">
        <v>2402</v>
      </c>
      <c r="J54" s="2488"/>
      <c r="K54" s="2828">
        <f t="shared" si="9"/>
        <v>-2122</v>
      </c>
      <c r="L54" s="2488"/>
      <c r="M54" s="2488"/>
      <c r="N54" s="2488"/>
      <c r="O54" s="2488"/>
      <c r="P54" s="2531">
        <v>640</v>
      </c>
      <c r="Q54" s="2479" t="str">
        <f t="shared" si="10"/>
        <v xml:space="preserve">Unemployment Tax, Unemployment Tax, Montana, </v>
      </c>
      <c r="T54" s="2635"/>
      <c r="U54" s="2482"/>
      <c r="V54" s="2482"/>
      <c r="W54" s="2482"/>
      <c r="X54" s="2482"/>
      <c r="Y54" s="2482"/>
      <c r="Z54" s="2482"/>
      <c r="AA54" s="2482"/>
      <c r="AB54" s="2482"/>
      <c r="AC54" s="2482"/>
      <c r="AD54" s="2482"/>
      <c r="AE54" s="2482"/>
      <c r="AF54" s="2482"/>
      <c r="AG54" s="2482"/>
    </row>
    <row r="55" spans="1:33" ht="16.7" customHeight="1" x14ac:dyDescent="0.2">
      <c r="A55" s="2827">
        <f t="shared" si="11"/>
        <v>13.229999999999997</v>
      </c>
      <c r="B55" s="2512" t="s">
        <v>8083</v>
      </c>
      <c r="C55" s="2489" t="s">
        <v>8083</v>
      </c>
      <c r="D55" s="2489" t="s">
        <v>8088</v>
      </c>
      <c r="E55" s="2488"/>
      <c r="F55" s="2828">
        <v>0</v>
      </c>
      <c r="G55" s="2828">
        <v>0</v>
      </c>
      <c r="H55" s="2530">
        <v>234</v>
      </c>
      <c r="I55" s="2530">
        <v>352</v>
      </c>
      <c r="J55" s="2488"/>
      <c r="K55" s="2828">
        <f t="shared" si="9"/>
        <v>-118</v>
      </c>
      <c r="L55" s="2488"/>
      <c r="M55" s="2488"/>
      <c r="N55" s="2488"/>
      <c r="O55" s="2488"/>
      <c r="P55" s="2531">
        <v>234</v>
      </c>
      <c r="Q55" s="2479" t="str">
        <f t="shared" si="10"/>
        <v xml:space="preserve">Unemployment Tax, Unemployment Tax, Missouri, </v>
      </c>
      <c r="T55" s="2635"/>
      <c r="U55" s="2482"/>
      <c r="V55" s="2482"/>
      <c r="W55" s="2482"/>
      <c r="X55" s="2482"/>
      <c r="Y55" s="2482"/>
      <c r="Z55" s="2482"/>
      <c r="AA55" s="2482"/>
      <c r="AB55" s="2482"/>
      <c r="AC55" s="2482"/>
      <c r="AD55" s="2482"/>
      <c r="AE55" s="2482"/>
      <c r="AF55" s="2482"/>
      <c r="AG55" s="2482"/>
    </row>
    <row r="56" spans="1:33" ht="16.7" customHeight="1" x14ac:dyDescent="0.2">
      <c r="A56" s="2827">
        <f t="shared" si="11"/>
        <v>13.239999999999997</v>
      </c>
      <c r="B56" s="2512" t="s">
        <v>8083</v>
      </c>
      <c r="C56" s="2489" t="s">
        <v>8083</v>
      </c>
      <c r="D56" s="2489" t="s">
        <v>8089</v>
      </c>
      <c r="E56" s="2488"/>
      <c r="F56" s="2828">
        <v>-19</v>
      </c>
      <c r="G56" s="2828">
        <v>0</v>
      </c>
      <c r="H56" s="2530">
        <v>18</v>
      </c>
      <c r="I56" s="2530">
        <v>-5</v>
      </c>
      <c r="J56" s="2488"/>
      <c r="K56" s="2828">
        <f t="shared" si="9"/>
        <v>4</v>
      </c>
      <c r="L56" s="2488"/>
      <c r="M56" s="2488"/>
      <c r="N56" s="2488"/>
      <c r="O56" s="2488"/>
      <c r="P56" s="2531">
        <v>18</v>
      </c>
      <c r="Q56" s="2479" t="str">
        <f t="shared" si="10"/>
        <v xml:space="preserve">Unemployment Tax, Unemployment Tax, South Carolina, </v>
      </c>
      <c r="T56" s="2635"/>
      <c r="U56" s="2482"/>
      <c r="V56" s="2482"/>
      <c r="W56" s="2482"/>
      <c r="X56" s="2482"/>
      <c r="Y56" s="2482"/>
      <c r="Z56" s="2482"/>
      <c r="AA56" s="2482"/>
      <c r="AB56" s="2482"/>
      <c r="AC56" s="2482"/>
      <c r="AD56" s="2482"/>
      <c r="AE56" s="2482"/>
      <c r="AF56" s="2482"/>
      <c r="AG56" s="2482"/>
    </row>
    <row r="57" spans="1:33" ht="16.7" customHeight="1" x14ac:dyDescent="0.2">
      <c r="A57" s="2827">
        <f t="shared" si="11"/>
        <v>13.249999999999996</v>
      </c>
      <c r="B57" s="2512" t="s">
        <v>8083</v>
      </c>
      <c r="C57" s="2489" t="s">
        <v>8083</v>
      </c>
      <c r="D57" s="2489" t="s">
        <v>8069</v>
      </c>
      <c r="E57" s="2488"/>
      <c r="F57" s="2828">
        <v>3323</v>
      </c>
      <c r="G57" s="2828">
        <v>0</v>
      </c>
      <c r="H57" s="2530">
        <v>20572</v>
      </c>
      <c r="I57" s="2530">
        <v>-102048</v>
      </c>
      <c r="J57" s="2488"/>
      <c r="K57" s="2828">
        <f t="shared" si="9"/>
        <v>125943</v>
      </c>
      <c r="L57" s="2488"/>
      <c r="M57" s="2488"/>
      <c r="N57" s="2488"/>
      <c r="O57" s="2488"/>
      <c r="P57" s="2531">
        <v>20572</v>
      </c>
      <c r="Q57" s="2479" t="str">
        <f t="shared" si="10"/>
        <v xml:space="preserve">Unemployment Tax, Unemployment Tax, Wyoming, </v>
      </c>
      <c r="T57" s="2635"/>
      <c r="U57" s="2482"/>
      <c r="V57" s="2482"/>
      <c r="W57" s="2482"/>
      <c r="X57" s="2482"/>
      <c r="Y57" s="2482"/>
      <c r="Z57" s="2482"/>
      <c r="AA57" s="2482"/>
      <c r="AB57" s="2482"/>
      <c r="AC57" s="2482"/>
      <c r="AD57" s="2482"/>
      <c r="AE57" s="2482"/>
      <c r="AF57" s="2482"/>
      <c r="AG57" s="2482"/>
    </row>
    <row r="58" spans="1:33" ht="16.7" customHeight="1" x14ac:dyDescent="0.2">
      <c r="A58" s="2827">
        <f t="shared" si="11"/>
        <v>13.259999999999996</v>
      </c>
      <c r="B58" s="2512" t="s">
        <v>8083</v>
      </c>
      <c r="C58" s="2488" t="s">
        <v>8083</v>
      </c>
      <c r="D58" s="2489" t="s">
        <v>8090</v>
      </c>
      <c r="E58" s="2488"/>
      <c r="F58" s="2828">
        <v>0</v>
      </c>
      <c r="G58" s="2828">
        <v>0</v>
      </c>
      <c r="H58" s="2530">
        <v>524</v>
      </c>
      <c r="I58" s="2530">
        <v>1048</v>
      </c>
      <c r="J58" s="2488"/>
      <c r="K58" s="2645">
        <v>-524</v>
      </c>
      <c r="L58" s="2488"/>
      <c r="M58" s="2488"/>
      <c r="N58" s="2488"/>
      <c r="O58" s="2488"/>
      <c r="P58" s="2531">
        <v>524</v>
      </c>
      <c r="Q58" s="2479" t="str">
        <f t="shared" si="10"/>
        <v xml:space="preserve">Unemployment Tax, Unemployment Tax, Illinois, </v>
      </c>
      <c r="T58" s="2635"/>
      <c r="U58" s="2482"/>
      <c r="V58" s="2482"/>
      <c r="W58" s="2482"/>
      <c r="X58" s="2482"/>
      <c r="Y58" s="2482"/>
      <c r="Z58" s="2482"/>
      <c r="AA58" s="2482"/>
      <c r="AB58" s="2482"/>
      <c r="AC58" s="2482"/>
      <c r="AD58" s="2482"/>
      <c r="AE58" s="2482"/>
      <c r="AF58" s="2482"/>
      <c r="AG58" s="2482"/>
    </row>
    <row r="59" spans="1:33" ht="16.7" customHeight="1" x14ac:dyDescent="0.2">
      <c r="A59" s="2827">
        <f t="shared" si="11"/>
        <v>13.269999999999996</v>
      </c>
      <c r="B59" s="2512" t="s">
        <v>8083</v>
      </c>
      <c r="C59" s="2488" t="s">
        <v>8083</v>
      </c>
      <c r="D59" s="2489" t="s">
        <v>8091</v>
      </c>
      <c r="E59" s="2488"/>
      <c r="F59" s="2828">
        <v>0</v>
      </c>
      <c r="G59" s="2828">
        <v>0</v>
      </c>
      <c r="H59" s="2530">
        <v>24</v>
      </c>
      <c r="I59" s="2530">
        <v>499</v>
      </c>
      <c r="J59" s="2488"/>
      <c r="K59" s="2645">
        <v>-475</v>
      </c>
      <c r="L59" s="2488"/>
      <c r="M59" s="2488"/>
      <c r="N59" s="2488"/>
      <c r="O59" s="2488"/>
      <c r="P59" s="2531">
        <v>24</v>
      </c>
      <c r="Q59" s="2479" t="str">
        <f t="shared" si="10"/>
        <v xml:space="preserve">Unemployment Tax, Unemployment Tax, Indiana, </v>
      </c>
      <c r="T59" s="2635"/>
      <c r="U59" s="2482"/>
      <c r="V59" s="2482"/>
      <c r="W59" s="2482"/>
      <c r="X59" s="2482"/>
      <c r="Y59" s="2482"/>
      <c r="Z59" s="2482"/>
      <c r="AA59" s="2482"/>
      <c r="AB59" s="2482"/>
      <c r="AC59" s="2482"/>
      <c r="AD59" s="2482"/>
      <c r="AE59" s="2482"/>
      <c r="AF59" s="2482"/>
      <c r="AG59" s="2482"/>
    </row>
    <row r="60" spans="1:33" ht="16.7" customHeight="1" x14ac:dyDescent="0.2">
      <c r="A60" s="2827">
        <f t="shared" si="11"/>
        <v>13.279999999999996</v>
      </c>
      <c r="B60" s="2512" t="s">
        <v>8083</v>
      </c>
      <c r="C60" s="2488" t="s">
        <v>8083</v>
      </c>
      <c r="D60" s="2489" t="s">
        <v>8092</v>
      </c>
      <c r="E60" s="2488"/>
      <c r="F60" s="2828">
        <v>0</v>
      </c>
      <c r="G60" s="2828">
        <v>0</v>
      </c>
      <c r="H60" s="2530">
        <v>11</v>
      </c>
      <c r="I60" s="2530">
        <v>207</v>
      </c>
      <c r="J60" s="2488"/>
      <c r="K60" s="2828">
        <v>-196</v>
      </c>
      <c r="L60" s="2488"/>
      <c r="M60" s="2488"/>
      <c r="N60" s="2488"/>
      <c r="O60" s="2488"/>
      <c r="P60" s="2531">
        <v>11</v>
      </c>
      <c r="Q60" s="2479" t="str">
        <f t="shared" si="10"/>
        <v xml:space="preserve">Unemployment Tax, Unemployment Tax, Maryland, </v>
      </c>
      <c r="T60" s="2635"/>
      <c r="U60" s="2482"/>
      <c r="V60" s="2482"/>
      <c r="W60" s="2482"/>
      <c r="X60" s="2482"/>
      <c r="Y60" s="2482"/>
      <c r="Z60" s="2482"/>
      <c r="AA60" s="2482"/>
      <c r="AB60" s="2482"/>
      <c r="AC60" s="2482"/>
      <c r="AD60" s="2482"/>
      <c r="AE60" s="2482"/>
      <c r="AF60" s="2482"/>
      <c r="AG60" s="2482"/>
    </row>
    <row r="61" spans="1:33" ht="16.7" customHeight="1" x14ac:dyDescent="0.2">
      <c r="A61" s="2827">
        <f t="shared" si="11"/>
        <v>13.289999999999996</v>
      </c>
      <c r="B61" s="2512" t="s">
        <v>8083</v>
      </c>
      <c r="C61" s="2488" t="s">
        <v>8083</v>
      </c>
      <c r="D61" s="2489" t="s">
        <v>8093</v>
      </c>
      <c r="E61" s="2488"/>
      <c r="F61" s="2828">
        <v>0</v>
      </c>
      <c r="G61" s="2828">
        <v>0</v>
      </c>
      <c r="H61" s="2530">
        <v>296</v>
      </c>
      <c r="I61" s="2530">
        <v>1052</v>
      </c>
      <c r="J61" s="2488"/>
      <c r="K61" s="2828">
        <v>-756</v>
      </c>
      <c r="L61" s="2488"/>
      <c r="M61" s="2488"/>
      <c r="N61" s="2488"/>
      <c r="O61" s="2488"/>
      <c r="P61" s="2531">
        <v>296</v>
      </c>
      <c r="Q61" s="2479" t="str">
        <f t="shared" si="10"/>
        <v xml:space="preserve">Unemployment Tax, Unemployment Tax, North Carolina, </v>
      </c>
      <c r="T61" s="2635"/>
      <c r="U61" s="2482"/>
      <c r="V61" s="2482"/>
      <c r="W61" s="2482"/>
      <c r="X61" s="2482"/>
      <c r="Y61" s="2482"/>
      <c r="Z61" s="2482"/>
      <c r="AA61" s="2482"/>
      <c r="AB61" s="2482"/>
      <c r="AC61" s="2482"/>
      <c r="AD61" s="2482"/>
      <c r="AE61" s="2482"/>
      <c r="AF61" s="2482"/>
      <c r="AG61" s="2482"/>
    </row>
    <row r="62" spans="1:33" ht="16.7" customHeight="1" x14ac:dyDescent="0.2">
      <c r="A62" s="2827">
        <f t="shared" si="11"/>
        <v>13.299999999999995</v>
      </c>
      <c r="B62" s="2512" t="s">
        <v>8083</v>
      </c>
      <c r="C62" s="2488" t="s">
        <v>8083</v>
      </c>
      <c r="D62" s="2489" t="s">
        <v>8094</v>
      </c>
      <c r="E62" s="2488"/>
      <c r="F62" s="2828">
        <v>0</v>
      </c>
      <c r="G62" s="2828">
        <v>0</v>
      </c>
      <c r="H62" s="2530">
        <v>182</v>
      </c>
      <c r="I62" s="2530">
        <v>515</v>
      </c>
      <c r="J62" s="2488"/>
      <c r="K62" s="2828">
        <v>-333</v>
      </c>
      <c r="L62" s="2488"/>
      <c r="M62" s="2488"/>
      <c r="N62" s="2488"/>
      <c r="O62" s="2488"/>
      <c r="P62" s="2531">
        <v>182</v>
      </c>
      <c r="Q62" s="2479" t="str">
        <f t="shared" si="10"/>
        <v xml:space="preserve">Unemployment Tax, Unemployment Tax, New Hampshire, </v>
      </c>
      <c r="T62" s="2635"/>
      <c r="U62" s="2482"/>
      <c r="V62" s="2482"/>
      <c r="W62" s="2482"/>
      <c r="X62" s="2482"/>
      <c r="Y62" s="2482"/>
      <c r="Z62" s="2482"/>
      <c r="AA62" s="2482"/>
      <c r="AB62" s="2482"/>
      <c r="AC62" s="2482"/>
      <c r="AD62" s="2482"/>
      <c r="AE62" s="2482"/>
      <c r="AF62" s="2482"/>
      <c r="AG62" s="2482"/>
    </row>
    <row r="63" spans="1:33" ht="16.7" customHeight="1" x14ac:dyDescent="0.2">
      <c r="A63" s="2827">
        <f t="shared" si="11"/>
        <v>13.309999999999995</v>
      </c>
      <c r="B63" s="2512" t="s">
        <v>8083</v>
      </c>
      <c r="C63" s="2488" t="s">
        <v>8083</v>
      </c>
      <c r="D63" s="2489" t="s">
        <v>8095</v>
      </c>
      <c r="E63" s="2488"/>
      <c r="F63" s="2828">
        <v>0</v>
      </c>
      <c r="G63" s="2828">
        <v>0</v>
      </c>
      <c r="H63" s="2530">
        <v>495</v>
      </c>
      <c r="I63" s="2530">
        <v>2089</v>
      </c>
      <c r="J63" s="2488"/>
      <c r="K63" s="2828">
        <v>-1594</v>
      </c>
      <c r="L63" s="2488"/>
      <c r="M63" s="2488"/>
      <c r="N63" s="2488"/>
      <c r="O63" s="2488"/>
      <c r="P63" s="2531">
        <v>495</v>
      </c>
      <c r="Q63" s="2479" t="str">
        <f t="shared" si="10"/>
        <v xml:space="preserve">Unemployment Tax, Unemployment Tax, New York, </v>
      </c>
      <c r="T63" s="2635"/>
      <c r="U63" s="2482"/>
      <c r="V63" s="2482"/>
      <c r="W63" s="2482"/>
      <c r="X63" s="2482"/>
      <c r="Y63" s="2482"/>
      <c r="Z63" s="2482"/>
      <c r="AA63" s="2482"/>
      <c r="AB63" s="2482"/>
      <c r="AC63" s="2482"/>
      <c r="AD63" s="2482"/>
      <c r="AE63" s="2482"/>
      <c r="AF63" s="2482"/>
      <c r="AG63" s="2482"/>
    </row>
    <row r="64" spans="1:33" ht="16.7" customHeight="1" x14ac:dyDescent="0.2">
      <c r="A64" s="2827">
        <f t="shared" si="11"/>
        <v>13.319999999999995</v>
      </c>
      <c r="B64" s="2512" t="s">
        <v>8083</v>
      </c>
      <c r="C64" s="2488" t="s">
        <v>8083</v>
      </c>
      <c r="D64" s="2489" t="s">
        <v>8096</v>
      </c>
      <c r="E64" s="2488"/>
      <c r="F64" s="2828">
        <v>0</v>
      </c>
      <c r="G64" s="2828">
        <v>0</v>
      </c>
      <c r="H64" s="2530">
        <v>7</v>
      </c>
      <c r="I64" s="2530">
        <v>37</v>
      </c>
      <c r="J64" s="2488"/>
      <c r="K64" s="2828">
        <v>-30</v>
      </c>
      <c r="L64" s="2488"/>
      <c r="M64" s="2488"/>
      <c r="N64" s="2488"/>
      <c r="O64" s="2488"/>
      <c r="P64" s="2531">
        <v>7</v>
      </c>
      <c r="Q64" s="2479" t="str">
        <f t="shared" si="10"/>
        <v xml:space="preserve">Unemployment Tax, Unemployment Tax, Pennsylvania, </v>
      </c>
      <c r="T64" s="2635"/>
      <c r="U64" s="2482"/>
      <c r="V64" s="2482"/>
      <c r="W64" s="2482"/>
      <c r="X64" s="2482"/>
      <c r="Y64" s="2482"/>
      <c r="Z64" s="2482"/>
      <c r="AA64" s="2482"/>
      <c r="AB64" s="2482"/>
      <c r="AC64" s="2482"/>
      <c r="AD64" s="2482"/>
      <c r="AE64" s="2482"/>
      <c r="AF64" s="2482"/>
      <c r="AG64" s="2482"/>
    </row>
    <row r="65" spans="1:33" ht="16.7" customHeight="1" x14ac:dyDescent="0.2">
      <c r="A65" s="2827">
        <f t="shared" si="11"/>
        <v>13.329999999999995</v>
      </c>
      <c r="B65" s="2512" t="s">
        <v>8083</v>
      </c>
      <c r="C65" s="2488" t="s">
        <v>8083</v>
      </c>
      <c r="D65" s="2489" t="s">
        <v>8097</v>
      </c>
      <c r="E65" s="2488"/>
      <c r="F65" s="2828">
        <v>0</v>
      </c>
      <c r="G65" s="2828">
        <v>0</v>
      </c>
      <c r="H65" s="2530">
        <v>1</v>
      </c>
      <c r="I65" s="2530">
        <v>347</v>
      </c>
      <c r="J65" s="2488"/>
      <c r="K65" s="2828">
        <v>-346</v>
      </c>
      <c r="L65" s="2488"/>
      <c r="M65" s="2488"/>
      <c r="N65" s="2488"/>
      <c r="O65" s="2488"/>
      <c r="P65" s="2531">
        <v>1</v>
      </c>
      <c r="Q65" s="2479" t="str">
        <f t="shared" si="10"/>
        <v xml:space="preserve">Unemployment Tax, Unemployment Tax, Wisconsin, </v>
      </c>
      <c r="T65" s="2635"/>
      <c r="U65" s="2482"/>
      <c r="V65" s="2482"/>
      <c r="W65" s="2482"/>
      <c r="X65" s="2482"/>
      <c r="Y65" s="2482"/>
      <c r="Z65" s="2482"/>
      <c r="AA65" s="2482"/>
      <c r="AB65" s="2482"/>
      <c r="AC65" s="2482"/>
      <c r="AD65" s="2482"/>
      <c r="AE65" s="2482"/>
      <c r="AF65" s="2482"/>
      <c r="AG65" s="2482"/>
    </row>
    <row r="66" spans="1:33" ht="16.7" customHeight="1" x14ac:dyDescent="0.2">
      <c r="A66" s="2827">
        <f t="shared" si="11"/>
        <v>13.339999999999995</v>
      </c>
      <c r="B66" s="2512"/>
      <c r="C66" s="2488"/>
      <c r="D66" s="2489"/>
      <c r="E66" s="2488"/>
      <c r="F66" s="2784"/>
      <c r="G66" s="2784"/>
      <c r="H66" s="2488"/>
      <c r="I66" s="2488"/>
      <c r="J66" s="2488"/>
      <c r="K66" s="2784"/>
      <c r="L66" s="2488"/>
      <c r="M66" s="2488"/>
      <c r="N66" s="2488"/>
      <c r="O66" s="2488"/>
      <c r="P66" s="2488"/>
      <c r="Q66" s="2479" t="str">
        <f t="shared" si="10"/>
        <v xml:space="preserve">, , , </v>
      </c>
      <c r="T66" s="2635"/>
      <c r="U66" s="2482"/>
      <c r="V66" s="2482"/>
      <c r="W66" s="2482"/>
      <c r="X66" s="2482"/>
      <c r="Y66" s="2482"/>
      <c r="Z66" s="2482"/>
      <c r="AA66" s="2482"/>
      <c r="AB66" s="2482"/>
      <c r="AC66" s="2482"/>
      <c r="AD66" s="2482"/>
      <c r="AE66" s="2482"/>
      <c r="AF66" s="2482"/>
      <c r="AG66" s="2482"/>
    </row>
    <row r="67" spans="1:33" ht="16.7" customHeight="1" x14ac:dyDescent="0.2">
      <c r="A67" s="2827">
        <f t="shared" si="11"/>
        <v>13.349999999999994</v>
      </c>
      <c r="B67" s="2512"/>
      <c r="C67" s="2488"/>
      <c r="D67" s="2489"/>
      <c r="E67" s="2488"/>
      <c r="F67" s="2784"/>
      <c r="G67" s="2784"/>
      <c r="H67" s="2488"/>
      <c r="I67" s="2488"/>
      <c r="J67" s="2488"/>
      <c r="K67" s="2784"/>
      <c r="L67" s="2488"/>
      <c r="M67" s="2488"/>
      <c r="N67" s="2488"/>
      <c r="O67" s="2488"/>
      <c r="P67" s="2488"/>
      <c r="Q67" s="2479"/>
      <c r="T67" s="2635"/>
      <c r="U67" s="2482"/>
      <c r="V67" s="2482"/>
      <c r="W67" s="2482"/>
      <c r="X67" s="2482"/>
      <c r="Y67" s="2482"/>
      <c r="Z67" s="2482"/>
      <c r="AA67" s="2482"/>
      <c r="AB67" s="2482"/>
      <c r="AC67" s="2482"/>
      <c r="AD67" s="2482"/>
      <c r="AE67" s="2482"/>
      <c r="AF67" s="2482"/>
      <c r="AG67" s="2482"/>
    </row>
    <row r="68" spans="1:33" ht="16.7" customHeight="1" x14ac:dyDescent="0.2">
      <c r="A68" s="2827" t="s">
        <v>5982</v>
      </c>
      <c r="B68" s="2830" t="s">
        <v>8098</v>
      </c>
      <c r="C68" s="2800"/>
      <c r="D68" s="2800"/>
      <c r="E68" s="2800"/>
      <c r="F68" s="2832">
        <f t="shared" ref="F68:P68" si="12">SUM(F42:F67)</f>
        <v>519959</v>
      </c>
      <c r="G68" s="2832">
        <f t="shared" si="12"/>
        <v>4497</v>
      </c>
      <c r="H68" s="2832">
        <f t="shared" si="12"/>
        <v>2006889</v>
      </c>
      <c r="I68" s="2832">
        <f t="shared" si="12"/>
        <v>3113626</v>
      </c>
      <c r="J68" s="2832">
        <f t="shared" si="12"/>
        <v>0</v>
      </c>
      <c r="K68" s="2832">
        <f t="shared" si="12"/>
        <v>-586778</v>
      </c>
      <c r="L68" s="2832">
        <f t="shared" si="12"/>
        <v>4497</v>
      </c>
      <c r="M68" s="2832">
        <f t="shared" si="12"/>
        <v>0</v>
      </c>
      <c r="N68" s="2832">
        <f t="shared" si="12"/>
        <v>0</v>
      </c>
      <c r="O68" s="2832">
        <f t="shared" si="12"/>
        <v>0</v>
      </c>
      <c r="P68" s="2832">
        <f t="shared" si="12"/>
        <v>2006889</v>
      </c>
      <c r="Q68" s="2479"/>
      <c r="R68" s="2576" t="s">
        <v>8099</v>
      </c>
      <c r="T68" s="2635"/>
      <c r="U68" s="2715" t="s">
        <v>5997</v>
      </c>
      <c r="V68" s="2829">
        <v>2007145</v>
      </c>
      <c r="W68" s="2482"/>
      <c r="X68" s="2482"/>
      <c r="Y68" s="2482"/>
      <c r="Z68" s="2482"/>
      <c r="AA68" s="2482"/>
      <c r="AB68" s="2482"/>
      <c r="AC68" s="2482"/>
      <c r="AD68" s="2482"/>
      <c r="AE68" s="2482"/>
      <c r="AF68" s="2482"/>
      <c r="AG68" s="2482"/>
    </row>
    <row r="69" spans="1:33" ht="16.7" customHeight="1" x14ac:dyDescent="0.2">
      <c r="A69" s="2827" t="s">
        <v>8100</v>
      </c>
      <c r="B69" s="2512" t="s">
        <v>8101</v>
      </c>
      <c r="C69" s="2489" t="s">
        <v>8102</v>
      </c>
      <c r="D69" s="2489" t="s">
        <v>8063</v>
      </c>
      <c r="E69" s="2488"/>
      <c r="F69" s="2828">
        <v>97959</v>
      </c>
      <c r="G69" s="2828">
        <v>0</v>
      </c>
      <c r="H69" s="2530">
        <v>882239</v>
      </c>
      <c r="I69" s="2530">
        <v>915989</v>
      </c>
      <c r="J69" s="2488"/>
      <c r="K69" s="2828">
        <f t="shared" ref="K69:K74" si="13">F69-G69+H69-I69+J69+L69</f>
        <v>64209</v>
      </c>
      <c r="L69" s="2488"/>
      <c r="M69" s="2488"/>
      <c r="N69" s="2488"/>
      <c r="O69" s="2488"/>
      <c r="P69" s="2531">
        <v>882239</v>
      </c>
      <c r="Q69" s="2479" t="str">
        <f t="shared" ref="Q69:Q74" si="14">CONCATENATE(B69,", ",C69,", ",D69,", ",E69)</f>
        <v xml:space="preserve">Use Tax, Sales And Use Tax, California, </v>
      </c>
      <c r="T69" s="2635"/>
      <c r="U69" s="2715" t="s">
        <v>5999</v>
      </c>
      <c r="V69" s="2482"/>
      <c r="W69" s="2482"/>
      <c r="X69" s="2482"/>
      <c r="Y69" s="2482"/>
      <c r="Z69" s="2482"/>
      <c r="AA69" s="2482"/>
      <c r="AB69" s="2482"/>
      <c r="AC69" s="2482"/>
      <c r="AD69" s="2482"/>
      <c r="AE69" s="2482"/>
      <c r="AF69" s="2482"/>
      <c r="AG69" s="2482"/>
    </row>
    <row r="70" spans="1:33" ht="16.7" customHeight="1" x14ac:dyDescent="0.2">
      <c r="A70" s="2827" t="s">
        <v>8103</v>
      </c>
      <c r="B70" s="2512" t="s">
        <v>8101</v>
      </c>
      <c r="C70" s="2489" t="s">
        <v>8102</v>
      </c>
      <c r="D70" s="2489" t="s">
        <v>900</v>
      </c>
      <c r="E70" s="2488"/>
      <c r="F70" s="2828">
        <v>31734</v>
      </c>
      <c r="G70" s="2828">
        <v>0</v>
      </c>
      <c r="H70" s="2530">
        <v>286800</v>
      </c>
      <c r="I70" s="2530">
        <v>314357</v>
      </c>
      <c r="J70" s="2488"/>
      <c r="K70" s="2828">
        <f t="shared" si="13"/>
        <v>4177</v>
      </c>
      <c r="L70" s="2488"/>
      <c r="M70" s="2488"/>
      <c r="N70" s="2488"/>
      <c r="O70" s="2488"/>
      <c r="P70" s="2531">
        <v>286800</v>
      </c>
      <c r="Q70" s="2479" t="str">
        <f t="shared" si="14"/>
        <v xml:space="preserve">Use Tax, Sales And Use Tax, Idaho, </v>
      </c>
      <c r="T70" s="2635"/>
      <c r="U70" s="2482"/>
      <c r="V70" s="2482"/>
      <c r="W70" s="2482"/>
      <c r="X70" s="2482"/>
      <c r="Y70" s="2482"/>
      <c r="Z70" s="2482"/>
      <c r="AA70" s="2482"/>
      <c r="AB70" s="2482"/>
      <c r="AC70" s="2482"/>
      <c r="AD70" s="2482"/>
      <c r="AE70" s="2482"/>
      <c r="AF70" s="2482"/>
      <c r="AG70" s="2482"/>
    </row>
    <row r="71" spans="1:33" ht="16.7" customHeight="1" x14ac:dyDescent="0.2">
      <c r="A71" s="2827" t="s">
        <v>8104</v>
      </c>
      <c r="B71" s="2512" t="s">
        <v>8105</v>
      </c>
      <c r="C71" s="2489" t="s">
        <v>8102</v>
      </c>
      <c r="D71" s="2489" t="s">
        <v>8067</v>
      </c>
      <c r="E71" s="2488"/>
      <c r="F71" s="2828">
        <v>672577</v>
      </c>
      <c r="G71" s="2828">
        <v>0</v>
      </c>
      <c r="H71" s="2530">
        <v>8189464</v>
      </c>
      <c r="I71" s="2530">
        <v>8298013</v>
      </c>
      <c r="J71" s="2488"/>
      <c r="K71" s="2828">
        <f t="shared" si="13"/>
        <v>564028</v>
      </c>
      <c r="L71" s="2488"/>
      <c r="M71" s="2488"/>
      <c r="N71" s="2488"/>
      <c r="O71" s="2488"/>
      <c r="P71" s="2531">
        <v>8189464</v>
      </c>
      <c r="Q71" s="2809" t="str">
        <f t="shared" si="14"/>
        <v xml:space="preserve">Use Tax A, Sales And Use Tax, Utah, </v>
      </c>
      <c r="T71" s="2635"/>
      <c r="U71" s="2482"/>
      <c r="V71" s="2482"/>
      <c r="W71" s="2482"/>
      <c r="X71" s="2482"/>
      <c r="Y71" s="2482"/>
      <c r="Z71" s="2482"/>
      <c r="AA71" s="2482"/>
      <c r="AB71" s="2482"/>
      <c r="AC71" s="2482"/>
      <c r="AD71" s="2482"/>
      <c r="AE71" s="2482"/>
      <c r="AF71" s="2482"/>
      <c r="AG71" s="2482"/>
    </row>
    <row r="72" spans="1:33" ht="16.7" customHeight="1" x14ac:dyDescent="0.2">
      <c r="A72" s="2827" t="s">
        <v>8106</v>
      </c>
      <c r="B72" s="2512" t="s">
        <v>8107</v>
      </c>
      <c r="C72" s="2489" t="s">
        <v>8102</v>
      </c>
      <c r="D72" s="2489" t="s">
        <v>8067</v>
      </c>
      <c r="E72" s="2488"/>
      <c r="F72" s="2828">
        <v>1056186</v>
      </c>
      <c r="G72" s="2828">
        <v>0</v>
      </c>
      <c r="H72" s="2488"/>
      <c r="I72" s="2530">
        <v>1056186</v>
      </c>
      <c r="J72" s="2488"/>
      <c r="K72" s="2645">
        <f t="shared" si="13"/>
        <v>0</v>
      </c>
      <c r="L72" s="2488"/>
      <c r="M72" s="2488"/>
      <c r="N72" s="2488"/>
      <c r="O72" s="2488"/>
      <c r="P72" s="2488"/>
      <c r="Q72" s="2809" t="str">
        <f t="shared" si="14"/>
        <v xml:space="preserve">Use Tax B, Sales And Use Tax, Utah, </v>
      </c>
      <c r="T72" s="2635"/>
      <c r="U72" s="2482"/>
      <c r="V72" s="2482"/>
      <c r="W72" s="2482"/>
      <c r="X72" s="2482"/>
      <c r="Y72" s="2482"/>
      <c r="Z72" s="2482"/>
      <c r="AA72" s="2482"/>
      <c r="AB72" s="2482"/>
      <c r="AC72" s="2482"/>
      <c r="AD72" s="2482"/>
      <c r="AE72" s="2482"/>
      <c r="AF72" s="2482"/>
      <c r="AG72" s="2482"/>
    </row>
    <row r="73" spans="1:33" ht="16.7" customHeight="1" x14ac:dyDescent="0.2">
      <c r="A73" s="2827" t="s">
        <v>8108</v>
      </c>
      <c r="B73" s="2512" t="s">
        <v>8101</v>
      </c>
      <c r="C73" s="2489" t="s">
        <v>8102</v>
      </c>
      <c r="D73" s="2489" t="s">
        <v>8068</v>
      </c>
      <c r="E73" s="2488"/>
      <c r="F73" s="2828">
        <v>88403</v>
      </c>
      <c r="G73" s="2828">
        <v>0</v>
      </c>
      <c r="H73" s="2530">
        <v>1565363</v>
      </c>
      <c r="I73" s="2530">
        <v>1615260</v>
      </c>
      <c r="J73" s="2488"/>
      <c r="K73" s="2828">
        <f t="shared" si="13"/>
        <v>38506</v>
      </c>
      <c r="L73" s="2488"/>
      <c r="M73" s="2488"/>
      <c r="N73" s="2488"/>
      <c r="O73" s="2488"/>
      <c r="P73" s="2531">
        <v>1565363</v>
      </c>
      <c r="Q73" s="2479" t="str">
        <f t="shared" si="14"/>
        <v xml:space="preserve">Use Tax, Sales And Use Tax, Washington, </v>
      </c>
      <c r="T73" s="2635"/>
      <c r="U73" s="2715" t="s">
        <v>6002</v>
      </c>
      <c r="V73" s="2482"/>
      <c r="W73" s="2482"/>
      <c r="X73" s="2482"/>
      <c r="Y73" s="2482"/>
      <c r="Z73" s="2482"/>
      <c r="AA73" s="2482"/>
      <c r="AB73" s="2482"/>
      <c r="AC73" s="2482"/>
      <c r="AD73" s="2482"/>
      <c r="AE73" s="2482"/>
      <c r="AF73" s="2482"/>
      <c r="AG73" s="2482"/>
    </row>
    <row r="74" spans="1:33" ht="16.7" customHeight="1" x14ac:dyDescent="0.2">
      <c r="A74" s="2827" t="s">
        <v>8109</v>
      </c>
      <c r="B74" s="2835" t="s">
        <v>8101</v>
      </c>
      <c r="C74" s="2581" t="s">
        <v>8102</v>
      </c>
      <c r="D74" s="2581" t="s">
        <v>8069</v>
      </c>
      <c r="E74" s="2582"/>
      <c r="F74" s="2828">
        <v>112525</v>
      </c>
      <c r="G74" s="2828">
        <v>0</v>
      </c>
      <c r="H74" s="2530">
        <v>1568708</v>
      </c>
      <c r="I74" s="2530">
        <v>1588338</v>
      </c>
      <c r="J74" s="2488"/>
      <c r="K74" s="2828">
        <f t="shared" si="13"/>
        <v>92895</v>
      </c>
      <c r="L74" s="2488"/>
      <c r="M74" s="2488"/>
      <c r="N74" s="2488"/>
      <c r="O74" s="2488"/>
      <c r="P74" s="2531">
        <v>1568708</v>
      </c>
      <c r="Q74" s="2479" t="str">
        <f t="shared" si="14"/>
        <v xml:space="preserve">Use Tax, Sales And Use Tax, Wyoming, </v>
      </c>
      <c r="T74" s="2635"/>
      <c r="U74" s="2482"/>
      <c r="V74" s="2482"/>
      <c r="W74" s="2482"/>
      <c r="X74" s="2482"/>
      <c r="Y74" s="2482"/>
      <c r="Z74" s="2482"/>
      <c r="AA74" s="2482"/>
      <c r="AB74" s="2482"/>
      <c r="AC74" s="2482"/>
      <c r="AD74" s="2482"/>
      <c r="AE74" s="2482"/>
      <c r="AF74" s="2482"/>
      <c r="AG74" s="2482"/>
    </row>
    <row r="75" spans="1:33" ht="16.7" customHeight="1" x14ac:dyDescent="0.2">
      <c r="A75" s="2827" t="s">
        <v>5986</v>
      </c>
      <c r="B75" s="2836" t="s">
        <v>8110</v>
      </c>
      <c r="C75" s="2837"/>
      <c r="D75" s="2837"/>
      <c r="E75" s="2837"/>
      <c r="F75" s="2831">
        <f t="shared" ref="F75:P75" si="15">SUM(F69:F74)</f>
        <v>2059384</v>
      </c>
      <c r="G75" s="2834">
        <f t="shared" si="15"/>
        <v>0</v>
      </c>
      <c r="H75" s="2831">
        <f t="shared" si="15"/>
        <v>12492574</v>
      </c>
      <c r="I75" s="2831">
        <f t="shared" si="15"/>
        <v>13788143</v>
      </c>
      <c r="J75" s="2832">
        <f t="shared" si="15"/>
        <v>0</v>
      </c>
      <c r="K75" s="2831">
        <f t="shared" si="15"/>
        <v>763815</v>
      </c>
      <c r="L75" s="2832">
        <f t="shared" si="15"/>
        <v>0</v>
      </c>
      <c r="M75" s="2832">
        <f t="shared" si="15"/>
        <v>0</v>
      </c>
      <c r="N75" s="2832">
        <f t="shared" si="15"/>
        <v>0</v>
      </c>
      <c r="O75" s="2831">
        <f t="shared" si="15"/>
        <v>0</v>
      </c>
      <c r="P75" s="2831">
        <f t="shared" si="15"/>
        <v>12492574</v>
      </c>
      <c r="Q75" s="2479"/>
      <c r="R75" s="2576" t="s">
        <v>8111</v>
      </c>
      <c r="T75" s="2635"/>
      <c r="U75" s="2715" t="s">
        <v>6004</v>
      </c>
      <c r="V75" s="2829">
        <v>2850000</v>
      </c>
      <c r="W75" s="2482"/>
      <c r="X75" s="2482"/>
      <c r="Y75" s="2482"/>
      <c r="Z75" s="2482"/>
      <c r="AA75" s="2482"/>
      <c r="AB75" s="2482"/>
      <c r="AC75" s="2482"/>
      <c r="AD75" s="2482"/>
      <c r="AE75" s="2482"/>
      <c r="AF75" s="2482"/>
      <c r="AG75" s="2482"/>
    </row>
    <row r="76" spans="1:33" ht="16.7" customHeight="1" x14ac:dyDescent="0.2">
      <c r="A76" s="2827" t="s">
        <v>8112</v>
      </c>
      <c r="B76" s="2512" t="s">
        <v>8113</v>
      </c>
      <c r="C76" s="2489" t="s">
        <v>8114</v>
      </c>
      <c r="D76" s="2489"/>
      <c r="E76" s="2488"/>
      <c r="F76" s="2828">
        <v>0</v>
      </c>
      <c r="G76" s="2828">
        <v>0</v>
      </c>
      <c r="H76" s="2530">
        <v>-333980299</v>
      </c>
      <c r="I76" s="2530">
        <v>-297040925</v>
      </c>
      <c r="J76" s="2838">
        <v>36939374</v>
      </c>
      <c r="K76" s="2828">
        <f t="shared" ref="K76:K86" si="16">F76-G76+H76-I76+J76+L76</f>
        <v>0</v>
      </c>
      <c r="L76" s="2488"/>
      <c r="M76" s="2530">
        <v>-351752881</v>
      </c>
      <c r="N76" s="2488"/>
      <c r="O76" s="2488"/>
      <c r="P76" s="2531">
        <v>17772582</v>
      </c>
      <c r="Q76" s="2479" t="str">
        <f t="shared" ref="Q76:Q89" si="17">CONCATENATE(B76,", ",C76,", ",D76,", ",E76)</f>
        <v xml:space="preserve">Federal Income Tax, Income Tax, , </v>
      </c>
      <c r="T76" s="2635"/>
      <c r="U76" s="2715" t="s">
        <v>6006</v>
      </c>
      <c r="V76" s="2482"/>
      <c r="W76" s="2482"/>
      <c r="X76" s="2482"/>
      <c r="Y76" s="2482"/>
      <c r="Z76" s="2482"/>
      <c r="AA76" s="2482"/>
      <c r="AB76" s="2482"/>
      <c r="AC76" s="2482"/>
      <c r="AD76" s="2482"/>
      <c r="AE76" s="2482"/>
      <c r="AF76" s="2482"/>
      <c r="AG76" s="2482"/>
    </row>
    <row r="77" spans="1:33" ht="16.7" customHeight="1" x14ac:dyDescent="0.2">
      <c r="A77" s="2827">
        <f t="shared" ref="A77:A89" si="18">A76+0.01</f>
        <v>17.020000000000003</v>
      </c>
      <c r="B77" s="2512" t="s">
        <v>8114</v>
      </c>
      <c r="C77" s="2489" t="s">
        <v>8114</v>
      </c>
      <c r="D77" s="2489" t="s">
        <v>8062</v>
      </c>
      <c r="E77" s="2488"/>
      <c r="F77" s="2828">
        <v>0</v>
      </c>
      <c r="G77" s="2828">
        <v>0</v>
      </c>
      <c r="H77" s="2530">
        <v>-64729</v>
      </c>
      <c r="I77" s="2530">
        <v>3050</v>
      </c>
      <c r="J77" s="2531">
        <v>67779</v>
      </c>
      <c r="K77" s="2828">
        <f t="shared" si="16"/>
        <v>0</v>
      </c>
      <c r="L77" s="2488"/>
      <c r="M77" s="2530">
        <v>-77036</v>
      </c>
      <c r="N77" s="2488"/>
      <c r="O77" s="2488"/>
      <c r="P77" s="2839">
        <v>12307</v>
      </c>
      <c r="Q77" s="2479" t="str">
        <f t="shared" si="17"/>
        <v xml:space="preserve">Income Tax, Income Tax, Arizona, </v>
      </c>
      <c r="T77" s="2635"/>
      <c r="U77" s="2482"/>
      <c r="V77" s="2482"/>
      <c r="W77" s="2482"/>
      <c r="X77" s="2482"/>
      <c r="Y77" s="2482"/>
      <c r="Z77" s="2482"/>
      <c r="AA77" s="2482"/>
      <c r="AB77" s="2482"/>
      <c r="AC77" s="2482"/>
      <c r="AD77" s="2482"/>
      <c r="AE77" s="2482"/>
      <c r="AF77" s="2482"/>
      <c r="AG77" s="2482"/>
    </row>
    <row r="78" spans="1:33" ht="16.7" customHeight="1" x14ac:dyDescent="0.2">
      <c r="A78" s="2827">
        <f t="shared" si="18"/>
        <v>17.030000000000005</v>
      </c>
      <c r="B78" s="2512" t="s">
        <v>8115</v>
      </c>
      <c r="C78" s="2489" t="s">
        <v>8114</v>
      </c>
      <c r="D78" s="2489" t="s">
        <v>8063</v>
      </c>
      <c r="E78" s="2488"/>
      <c r="F78" s="2828">
        <v>0</v>
      </c>
      <c r="G78" s="2828">
        <v>0</v>
      </c>
      <c r="H78" s="2530">
        <v>-762535</v>
      </c>
      <c r="I78" s="2530">
        <v>-965200</v>
      </c>
      <c r="J78" s="2838">
        <v>-202665</v>
      </c>
      <c r="K78" s="2828">
        <f t="shared" si="16"/>
        <v>0</v>
      </c>
      <c r="L78" s="2488"/>
      <c r="M78" s="2530">
        <v>-1074553</v>
      </c>
      <c r="N78" s="2488"/>
      <c r="O78" s="2488"/>
      <c r="P78" s="2839">
        <v>312018</v>
      </c>
      <c r="Q78" s="2479" t="str">
        <f t="shared" si="17"/>
        <v xml:space="preserve">Franchise - Income Tax, Income Tax, California, </v>
      </c>
      <c r="T78" s="2635"/>
      <c r="U78" s="2482"/>
      <c r="V78" s="2482"/>
      <c r="W78" s="2482"/>
      <c r="X78" s="2482"/>
      <c r="Y78" s="2482"/>
      <c r="Z78" s="2482"/>
      <c r="AA78" s="2482"/>
      <c r="AB78" s="2482"/>
      <c r="AC78" s="2482"/>
      <c r="AD78" s="2482"/>
      <c r="AE78" s="2482"/>
      <c r="AF78" s="2482"/>
      <c r="AG78" s="2482"/>
    </row>
    <row r="79" spans="1:33" ht="16.7" customHeight="1" x14ac:dyDescent="0.2">
      <c r="A79" s="2827">
        <f t="shared" si="18"/>
        <v>17.040000000000006</v>
      </c>
      <c r="B79" s="2512" t="s">
        <v>8114</v>
      </c>
      <c r="C79" s="2489" t="s">
        <v>8114</v>
      </c>
      <c r="D79" s="2489" t="s">
        <v>8064</v>
      </c>
      <c r="E79" s="2488"/>
      <c r="F79" s="2828">
        <v>0</v>
      </c>
      <c r="G79" s="2828">
        <v>0</v>
      </c>
      <c r="H79" s="2530">
        <v>-7381</v>
      </c>
      <c r="I79" s="2488"/>
      <c r="J79" s="2531">
        <v>7381</v>
      </c>
      <c r="K79" s="2828">
        <f t="shared" si="16"/>
        <v>0</v>
      </c>
      <c r="L79" s="2488"/>
      <c r="M79" s="2530">
        <v>-7568</v>
      </c>
      <c r="N79" s="2488"/>
      <c r="O79" s="2488"/>
      <c r="P79" s="2839">
        <v>187</v>
      </c>
      <c r="Q79" s="2479" t="str">
        <f t="shared" si="17"/>
        <v xml:space="preserve">Income Tax, Income Tax, Colorado, </v>
      </c>
      <c r="T79" s="2635"/>
      <c r="U79" s="2482"/>
      <c r="V79" s="2482"/>
      <c r="W79" s="2482"/>
      <c r="X79" s="2482"/>
      <c r="Y79" s="2482"/>
      <c r="Z79" s="2482"/>
      <c r="AA79" s="2482"/>
      <c r="AB79" s="2482"/>
      <c r="AC79" s="2482"/>
      <c r="AD79" s="2482"/>
      <c r="AE79" s="2482"/>
      <c r="AF79" s="2482"/>
      <c r="AG79" s="2482"/>
    </row>
    <row r="80" spans="1:33" ht="16.7" customHeight="1" x14ac:dyDescent="0.2">
      <c r="A80" s="2827">
        <f t="shared" si="18"/>
        <v>17.050000000000008</v>
      </c>
      <c r="B80" s="2512" t="s">
        <v>8114</v>
      </c>
      <c r="C80" s="2489" t="s">
        <v>8114</v>
      </c>
      <c r="D80" s="2489" t="s">
        <v>900</v>
      </c>
      <c r="E80" s="2488"/>
      <c r="F80" s="2828">
        <v>0</v>
      </c>
      <c r="G80" s="2828">
        <v>0</v>
      </c>
      <c r="H80" s="2530">
        <v>-331524</v>
      </c>
      <c r="I80" s="2530">
        <v>-662124</v>
      </c>
      <c r="J80" s="2838">
        <v>-330600</v>
      </c>
      <c r="K80" s="2828">
        <f t="shared" si="16"/>
        <v>0</v>
      </c>
      <c r="L80" s="2488"/>
      <c r="M80" s="2530">
        <v>-571201</v>
      </c>
      <c r="N80" s="2488"/>
      <c r="O80" s="2488"/>
      <c r="P80" s="2839">
        <v>239677</v>
      </c>
      <c r="Q80" s="2479" t="str">
        <f t="shared" si="17"/>
        <v xml:space="preserve">Income Tax, Income Tax, Idaho, </v>
      </c>
      <c r="T80" s="2635"/>
      <c r="U80" s="2482"/>
      <c r="V80" s="2482"/>
      <c r="W80" s="2482"/>
      <c r="X80" s="2482"/>
      <c r="Y80" s="2482"/>
      <c r="Z80" s="2482"/>
      <c r="AA80" s="2482"/>
      <c r="AB80" s="2482"/>
      <c r="AC80" s="2482"/>
      <c r="AD80" s="2482"/>
      <c r="AE80" s="2482"/>
      <c r="AF80" s="2482"/>
      <c r="AG80" s="2482"/>
    </row>
    <row r="81" spans="1:33" ht="16.7" customHeight="1" x14ac:dyDescent="0.2">
      <c r="A81" s="2827">
        <f t="shared" si="18"/>
        <v>17.060000000000009</v>
      </c>
      <c r="B81" s="2512" t="s">
        <v>8116</v>
      </c>
      <c r="C81" s="2489" t="s">
        <v>8114</v>
      </c>
      <c r="D81" s="2489" t="s">
        <v>8065</v>
      </c>
      <c r="E81" s="2488"/>
      <c r="F81" s="2828">
        <v>0</v>
      </c>
      <c r="G81" s="2828">
        <v>0</v>
      </c>
      <c r="H81" s="2530">
        <v>-250951</v>
      </c>
      <c r="I81" s="2530">
        <v>-192695</v>
      </c>
      <c r="J81" s="2838">
        <v>58256</v>
      </c>
      <c r="K81" s="2828">
        <f t="shared" si="16"/>
        <v>0</v>
      </c>
      <c r="L81" s="2488"/>
      <c r="M81" s="2530">
        <v>-294511</v>
      </c>
      <c r="N81" s="2488"/>
      <c r="O81" s="2488"/>
      <c r="P81" s="2839">
        <v>43560</v>
      </c>
      <c r="Q81" s="2479" t="str">
        <f t="shared" si="17"/>
        <v xml:space="preserve">Corporate License - Income Tax, Income Tax, Montana, </v>
      </c>
      <c r="T81" s="2635"/>
      <c r="U81" s="2482"/>
      <c r="V81" s="2482"/>
      <c r="W81" s="2482"/>
      <c r="X81" s="2482"/>
      <c r="Y81" s="2482"/>
      <c r="Z81" s="2482"/>
      <c r="AA81" s="2482"/>
      <c r="AB81" s="2482"/>
      <c r="AC81" s="2482"/>
      <c r="AD81" s="2482"/>
      <c r="AE81" s="2482"/>
      <c r="AF81" s="2482"/>
      <c r="AG81" s="2482"/>
    </row>
    <row r="82" spans="1:33" ht="16.7" customHeight="1" x14ac:dyDescent="0.2">
      <c r="A82" s="2827">
        <f t="shared" si="18"/>
        <v>17.070000000000011</v>
      </c>
      <c r="B82" s="2512" t="s">
        <v>8114</v>
      </c>
      <c r="C82" s="2489" t="s">
        <v>8114</v>
      </c>
      <c r="D82" s="2489" t="s">
        <v>8066</v>
      </c>
      <c r="E82" s="2488"/>
      <c r="F82" s="2828">
        <v>0</v>
      </c>
      <c r="G82" s="2828">
        <v>0</v>
      </c>
      <c r="H82" s="2530">
        <v>-80794</v>
      </c>
      <c r="I82" s="2530">
        <v>-57088</v>
      </c>
      <c r="J82" s="2838">
        <v>23706</v>
      </c>
      <c r="K82" s="2828">
        <f t="shared" si="16"/>
        <v>0</v>
      </c>
      <c r="L82" s="2488"/>
      <c r="M82" s="2530">
        <v>-93494</v>
      </c>
      <c r="N82" s="2488"/>
      <c r="O82" s="2488"/>
      <c r="P82" s="2839">
        <v>12700</v>
      </c>
      <c r="Q82" s="2479" t="str">
        <f t="shared" si="17"/>
        <v xml:space="preserve">Income Tax, Income Tax, New Mexico, </v>
      </c>
      <c r="T82" s="2635"/>
      <c r="U82" s="2482"/>
      <c r="V82" s="2482"/>
      <c r="W82" s="2482"/>
      <c r="X82" s="2482"/>
      <c r="Y82" s="2482"/>
      <c r="Z82" s="2482"/>
      <c r="AA82" s="2482"/>
      <c r="AB82" s="2482"/>
      <c r="AC82" s="2482"/>
      <c r="AD82" s="2482"/>
      <c r="AE82" s="2482"/>
      <c r="AF82" s="2482"/>
      <c r="AG82" s="2482"/>
    </row>
    <row r="83" spans="1:33" ht="16.7" customHeight="1" x14ac:dyDescent="0.2">
      <c r="A83" s="2827">
        <f t="shared" si="18"/>
        <v>17.080000000000013</v>
      </c>
      <c r="B83" s="2512" t="s">
        <v>8117</v>
      </c>
      <c r="C83" s="2489" t="s">
        <v>8114</v>
      </c>
      <c r="D83" s="2489" t="s">
        <v>898</v>
      </c>
      <c r="E83" s="2488"/>
      <c r="F83" s="2828">
        <v>0</v>
      </c>
      <c r="G83" s="2828">
        <v>0</v>
      </c>
      <c r="H83" s="2530">
        <v>-4561030</v>
      </c>
      <c r="I83" s="2530">
        <v>-1638227</v>
      </c>
      <c r="J83" s="2838">
        <v>2922803</v>
      </c>
      <c r="K83" s="2828">
        <f t="shared" si="16"/>
        <v>0</v>
      </c>
      <c r="L83" s="2488"/>
      <c r="M83" s="2530">
        <v>-6227260</v>
      </c>
      <c r="N83" s="2488"/>
      <c r="O83" s="2488"/>
      <c r="P83" s="2839">
        <v>1666230</v>
      </c>
      <c r="Q83" s="2479" t="str">
        <f t="shared" si="17"/>
        <v xml:space="preserve">Excise - Income Tax, Income Tax, Oregon, </v>
      </c>
      <c r="T83" s="2635"/>
      <c r="U83" s="2482"/>
      <c r="V83" s="2482"/>
      <c r="W83" s="2482"/>
      <c r="X83" s="2482"/>
      <c r="Y83" s="2482"/>
      <c r="Z83" s="2482"/>
      <c r="AA83" s="2482"/>
      <c r="AB83" s="2482"/>
      <c r="AC83" s="2482"/>
      <c r="AD83" s="2482"/>
      <c r="AE83" s="2482"/>
      <c r="AF83" s="2482"/>
      <c r="AG83" s="2482"/>
    </row>
    <row r="84" spans="1:33" ht="16.7" customHeight="1" x14ac:dyDescent="0.2">
      <c r="A84" s="2827">
        <f t="shared" si="18"/>
        <v>17.090000000000014</v>
      </c>
      <c r="B84" s="2512" t="s">
        <v>8118</v>
      </c>
      <c r="C84" s="2489" t="s">
        <v>8114</v>
      </c>
      <c r="D84" s="2489" t="s">
        <v>898</v>
      </c>
      <c r="E84" s="2488"/>
      <c r="F84" s="2828">
        <v>0</v>
      </c>
      <c r="G84" s="2828">
        <v>0</v>
      </c>
      <c r="H84" s="2530">
        <v>-68074</v>
      </c>
      <c r="I84" s="2530">
        <v>-43900</v>
      </c>
      <c r="J84" s="2838">
        <v>24174</v>
      </c>
      <c r="K84" s="2828">
        <f t="shared" si="16"/>
        <v>0</v>
      </c>
      <c r="L84" s="2488"/>
      <c r="M84" s="2530">
        <v>-76818</v>
      </c>
      <c r="N84" s="2488"/>
      <c r="O84" s="2488"/>
      <c r="P84" s="2839">
        <v>8744</v>
      </c>
      <c r="Q84" s="2479" t="str">
        <f t="shared" si="17"/>
        <v xml:space="preserve">City of Portland - Income Tax, Income Tax, Oregon, </v>
      </c>
      <c r="T84" s="2635"/>
      <c r="U84" s="2482"/>
      <c r="V84" s="2482"/>
      <c r="W84" s="2482"/>
      <c r="X84" s="2482"/>
      <c r="Y84" s="2482"/>
      <c r="Z84" s="2482"/>
      <c r="AA84" s="2482"/>
      <c r="AB84" s="2482"/>
      <c r="AC84" s="2482"/>
      <c r="AD84" s="2482"/>
      <c r="AE84" s="2482"/>
      <c r="AF84" s="2482"/>
      <c r="AG84" s="2482"/>
    </row>
    <row r="85" spans="1:33" ht="16.7" customHeight="1" x14ac:dyDescent="0.2">
      <c r="A85" s="2827">
        <f t="shared" si="18"/>
        <v>17.100000000000016</v>
      </c>
      <c r="B85" s="2512" t="s">
        <v>8119</v>
      </c>
      <c r="C85" s="2489" t="s">
        <v>8114</v>
      </c>
      <c r="D85" s="2489" t="s">
        <v>898</v>
      </c>
      <c r="E85" s="2488"/>
      <c r="F85" s="2828">
        <v>0</v>
      </c>
      <c r="G85" s="2828">
        <v>0</v>
      </c>
      <c r="H85" s="2530">
        <v>6929853</v>
      </c>
      <c r="I85" s="2530">
        <v>6486528</v>
      </c>
      <c r="J85" s="2531">
        <v>-443325</v>
      </c>
      <c r="K85" s="2828">
        <f t="shared" si="16"/>
        <v>0</v>
      </c>
      <c r="L85" s="2488"/>
      <c r="M85" s="2530">
        <v>6929853</v>
      </c>
      <c r="N85" s="2488"/>
      <c r="O85" s="2488"/>
      <c r="P85" s="2488"/>
      <c r="Q85" s="2479" t="str">
        <f t="shared" si="17"/>
        <v xml:space="preserve">Corporate Activity Tax , Income Tax, Oregon, </v>
      </c>
      <c r="T85" s="2635"/>
      <c r="U85" s="2482"/>
      <c r="V85" s="2482"/>
      <c r="W85" s="2482"/>
      <c r="X85" s="2482"/>
      <c r="Y85" s="2482"/>
      <c r="Z85" s="2482"/>
      <c r="AA85" s="2482"/>
      <c r="AB85" s="2482"/>
      <c r="AC85" s="2482"/>
      <c r="AD85" s="2482"/>
      <c r="AE85" s="2482"/>
      <c r="AF85" s="2482"/>
      <c r="AG85" s="2482"/>
    </row>
    <row r="86" spans="1:33" ht="16.7" customHeight="1" x14ac:dyDescent="0.2">
      <c r="A86" s="2827">
        <f t="shared" si="18"/>
        <v>17.110000000000017</v>
      </c>
      <c r="B86" s="2512" t="s">
        <v>8120</v>
      </c>
      <c r="C86" s="2489" t="s">
        <v>8114</v>
      </c>
      <c r="D86" s="2489" t="s">
        <v>898</v>
      </c>
      <c r="E86" s="2488"/>
      <c r="F86" s="2828">
        <v>0</v>
      </c>
      <c r="G86" s="2828">
        <v>0</v>
      </c>
      <c r="H86" s="2530">
        <v>-14469</v>
      </c>
      <c r="I86" s="2488"/>
      <c r="J86" s="2838">
        <v>14469</v>
      </c>
      <c r="K86" s="2828">
        <f t="shared" si="16"/>
        <v>0</v>
      </c>
      <c r="L86" s="2488"/>
      <c r="M86" s="2530">
        <v>-14469</v>
      </c>
      <c r="N86" s="2488"/>
      <c r="O86" s="2488"/>
      <c r="P86" s="2488"/>
      <c r="Q86" s="2479" t="str">
        <f t="shared" si="17"/>
        <v xml:space="preserve">Metro Business Income Tax , Income Tax, Oregon, </v>
      </c>
      <c r="T86" s="2635"/>
      <c r="U86" s="2482"/>
      <c r="V86" s="2482"/>
      <c r="W86" s="2482"/>
      <c r="X86" s="2482"/>
      <c r="Y86" s="2482"/>
      <c r="Z86" s="2482"/>
      <c r="AA86" s="2482"/>
      <c r="AB86" s="2482"/>
      <c r="AC86" s="2482"/>
      <c r="AD86" s="2482"/>
      <c r="AE86" s="2482"/>
      <c r="AF86" s="2482"/>
      <c r="AG86" s="2482"/>
    </row>
    <row r="87" spans="1:33" ht="16.7" customHeight="1" x14ac:dyDescent="0.2">
      <c r="A87" s="2827">
        <f t="shared" si="18"/>
        <v>17.120000000000019</v>
      </c>
      <c r="B87" s="2488" t="s">
        <v>8114</v>
      </c>
      <c r="C87" s="2489" t="s">
        <v>8114</v>
      </c>
      <c r="D87" s="2489" t="s">
        <v>8093</v>
      </c>
      <c r="E87" s="2488"/>
      <c r="F87" s="2828">
        <v>0</v>
      </c>
      <c r="G87" s="2828">
        <v>0</v>
      </c>
      <c r="H87" s="2530">
        <v>200</v>
      </c>
      <c r="I87" s="2530">
        <v>200</v>
      </c>
      <c r="J87" s="2488"/>
      <c r="K87" s="2828">
        <v>0</v>
      </c>
      <c r="L87" s="2488"/>
      <c r="M87" s="2530">
        <v>200</v>
      </c>
      <c r="N87" s="2488"/>
      <c r="O87" s="2488"/>
      <c r="P87" s="2488"/>
      <c r="Q87" s="2479" t="str">
        <f t="shared" si="17"/>
        <v xml:space="preserve">Income Tax, Income Tax, North Carolina, </v>
      </c>
      <c r="T87" s="2635"/>
      <c r="U87" s="2482"/>
      <c r="V87" s="2482"/>
      <c r="W87" s="2482"/>
      <c r="X87" s="2482"/>
      <c r="Y87" s="2482"/>
      <c r="Z87" s="2482"/>
      <c r="AA87" s="2482"/>
      <c r="AB87" s="2482"/>
      <c r="AC87" s="2482"/>
      <c r="AD87" s="2482"/>
      <c r="AE87" s="2482"/>
      <c r="AF87" s="2482"/>
      <c r="AG87" s="2482"/>
    </row>
    <row r="88" spans="1:33" ht="16.7" customHeight="1" x14ac:dyDescent="0.2">
      <c r="A88" s="2827">
        <f t="shared" si="18"/>
        <v>17.13000000000002</v>
      </c>
      <c r="B88" s="2512" t="s">
        <v>8121</v>
      </c>
      <c r="C88" s="2489" t="s">
        <v>8114</v>
      </c>
      <c r="D88" s="2489" t="s">
        <v>8089</v>
      </c>
      <c r="E88" s="2488"/>
      <c r="F88" s="2828">
        <v>0</v>
      </c>
      <c r="G88" s="2828">
        <v>0</v>
      </c>
      <c r="H88" s="2530">
        <v>25</v>
      </c>
      <c r="I88" s="2530">
        <v>25</v>
      </c>
      <c r="J88" s="2488"/>
      <c r="K88" s="2828">
        <f>F88-G88+H88-I88+J88+L88</f>
        <v>0</v>
      </c>
      <c r="L88" s="2488"/>
      <c r="M88" s="2530">
        <v>25</v>
      </c>
      <c r="N88" s="2488"/>
      <c r="O88" s="2488"/>
      <c r="P88" s="2488"/>
      <c r="Q88" s="2479" t="str">
        <f t="shared" si="17"/>
        <v xml:space="preserve">Public Utility Tax, Income Tax, South Carolina, </v>
      </c>
      <c r="T88" s="2635"/>
      <c r="U88" s="2482"/>
      <c r="V88" s="2482"/>
      <c r="W88" s="2482"/>
      <c r="X88" s="2482"/>
      <c r="Y88" s="2482"/>
      <c r="Z88" s="2482"/>
      <c r="AA88" s="2482"/>
      <c r="AB88" s="2482"/>
      <c r="AC88" s="2482"/>
      <c r="AD88" s="2482"/>
      <c r="AE88" s="2482"/>
      <c r="AF88" s="2482"/>
      <c r="AG88" s="2482"/>
    </row>
    <row r="89" spans="1:33" ht="16.7" customHeight="1" x14ac:dyDescent="0.2">
      <c r="A89" s="2827">
        <f t="shared" si="18"/>
        <v>17.140000000000022</v>
      </c>
      <c r="B89" s="2512" t="s">
        <v>8114</v>
      </c>
      <c r="C89" s="2489" t="s">
        <v>8114</v>
      </c>
      <c r="D89" s="2489" t="s">
        <v>8067</v>
      </c>
      <c r="E89" s="2488"/>
      <c r="F89" s="2828">
        <v>0</v>
      </c>
      <c r="G89" s="2828">
        <v>0</v>
      </c>
      <c r="H89" s="2530">
        <v>-7517230</v>
      </c>
      <c r="I89" s="2530">
        <v>-3084800</v>
      </c>
      <c r="J89" s="2838">
        <v>4432430</v>
      </c>
      <c r="K89" s="2828">
        <f>F89-G89+H89-I89+J89+L89</f>
        <v>0</v>
      </c>
      <c r="L89" s="2488"/>
      <c r="M89" s="2530">
        <v>-9246809</v>
      </c>
      <c r="N89" s="2488"/>
      <c r="O89" s="2488"/>
      <c r="P89" s="2839">
        <v>1729579</v>
      </c>
      <c r="Q89" s="2479" t="str">
        <f t="shared" si="17"/>
        <v xml:space="preserve">Income Tax, Income Tax, Utah, </v>
      </c>
      <c r="T89" s="2635"/>
      <c r="U89" s="2715" t="s">
        <v>6008</v>
      </c>
      <c r="V89" s="2829">
        <v>2850000</v>
      </c>
      <c r="W89" s="2482"/>
      <c r="X89" s="2482"/>
      <c r="Y89" s="2482"/>
      <c r="Z89" s="2482"/>
      <c r="AA89" s="2482"/>
      <c r="AB89" s="2482"/>
      <c r="AC89" s="2482"/>
      <c r="AD89" s="2482"/>
      <c r="AE89" s="2482"/>
      <c r="AF89" s="2482"/>
      <c r="AG89" s="2482"/>
    </row>
    <row r="90" spans="1:33" ht="16.7" customHeight="1" x14ac:dyDescent="0.2">
      <c r="A90" s="2827" t="s">
        <v>5990</v>
      </c>
      <c r="B90" s="2830" t="s">
        <v>8122</v>
      </c>
      <c r="C90" s="2800"/>
      <c r="D90" s="2800"/>
      <c r="E90" s="2800"/>
      <c r="F90" s="2834">
        <f t="shared" ref="F90:P90" si="19">SUM(F76:F89)</f>
        <v>0</v>
      </c>
      <c r="G90" s="2834">
        <f t="shared" si="19"/>
        <v>0</v>
      </c>
      <c r="H90" s="2832">
        <f t="shared" si="19"/>
        <v>-340708938</v>
      </c>
      <c r="I90" s="2832">
        <f t="shared" si="19"/>
        <v>-297195156</v>
      </c>
      <c r="J90" s="2832">
        <f t="shared" si="19"/>
        <v>43513782</v>
      </c>
      <c r="K90" s="2834">
        <f t="shared" si="19"/>
        <v>0</v>
      </c>
      <c r="L90" s="2832">
        <f t="shared" si="19"/>
        <v>0</v>
      </c>
      <c r="M90" s="2832">
        <f t="shared" si="19"/>
        <v>-362506522</v>
      </c>
      <c r="N90" s="2832">
        <f t="shared" si="19"/>
        <v>0</v>
      </c>
      <c r="O90" s="2832">
        <f t="shared" si="19"/>
        <v>0</v>
      </c>
      <c r="P90" s="2832">
        <f t="shared" si="19"/>
        <v>21797584</v>
      </c>
      <c r="Q90" s="2479"/>
      <c r="R90" s="2576" t="s">
        <v>8123</v>
      </c>
      <c r="T90" s="2635"/>
      <c r="U90" s="2715" t="s">
        <v>6010</v>
      </c>
      <c r="V90" s="2482"/>
      <c r="W90" s="2482"/>
      <c r="X90" s="2482"/>
      <c r="Y90" s="2482"/>
      <c r="Z90" s="2482"/>
      <c r="AA90" s="2482"/>
      <c r="AB90" s="2482"/>
      <c r="AC90" s="2482"/>
      <c r="AD90" s="2482"/>
      <c r="AE90" s="2482"/>
      <c r="AF90" s="2482"/>
      <c r="AG90" s="2482"/>
    </row>
    <row r="91" spans="1:33" ht="16.7" customHeight="1" x14ac:dyDescent="0.2">
      <c r="A91" s="2827" t="s">
        <v>7701</v>
      </c>
      <c r="B91" s="2488" t="s">
        <v>8124</v>
      </c>
      <c r="C91" s="2489" t="s">
        <v>8125</v>
      </c>
      <c r="D91" s="2489" t="s">
        <v>8068</v>
      </c>
      <c r="E91" s="2488"/>
      <c r="F91" s="2828">
        <v>1892829</v>
      </c>
      <c r="G91" s="2828">
        <v>0</v>
      </c>
      <c r="H91" s="2530">
        <v>5749910</v>
      </c>
      <c r="I91" s="2530">
        <v>7323862</v>
      </c>
      <c r="J91" s="2488"/>
      <c r="K91" s="2828">
        <f>F91-G91+H91-I91+J91+L91</f>
        <v>318877</v>
      </c>
      <c r="L91" s="2488"/>
      <c r="M91" s="2488"/>
      <c r="N91" s="2488"/>
      <c r="O91" s="2488"/>
      <c r="P91" s="2531">
        <v>5749910</v>
      </c>
      <c r="Q91" s="2479" t="str">
        <f>CONCATENATE(B91,", ",C91,", ",D91,", ",E91)</f>
        <v xml:space="preserve">Natural Gas Use Tax, Excise Tax, Washington, </v>
      </c>
      <c r="T91" s="2635"/>
      <c r="U91" s="2715" t="s">
        <v>6012</v>
      </c>
      <c r="V91" s="2482"/>
      <c r="W91" s="2482"/>
      <c r="X91" s="2482"/>
      <c r="Y91" s="2482"/>
      <c r="Z91" s="2482"/>
      <c r="AA91" s="2482"/>
      <c r="AB91" s="2482"/>
      <c r="AC91" s="2482"/>
      <c r="AD91" s="2482"/>
      <c r="AE91" s="2482"/>
      <c r="AF91" s="2482"/>
      <c r="AG91" s="2482"/>
    </row>
    <row r="92" spans="1:33" ht="16.7" customHeight="1" x14ac:dyDescent="0.2">
      <c r="A92" s="2827" t="s">
        <v>8126</v>
      </c>
      <c r="B92" s="2488" t="s">
        <v>8127</v>
      </c>
      <c r="C92" s="2489" t="s">
        <v>8125</v>
      </c>
      <c r="D92" s="2489" t="s">
        <v>8068</v>
      </c>
      <c r="E92" s="2488"/>
      <c r="F92" s="2828">
        <v>0</v>
      </c>
      <c r="G92" s="2828">
        <v>0</v>
      </c>
      <c r="H92" s="2530">
        <v>10582</v>
      </c>
      <c r="I92" s="2530">
        <v>10582</v>
      </c>
      <c r="J92" s="2488"/>
      <c r="K92" s="2828">
        <f>F92-G92+H92-I92+J92+L92</f>
        <v>0</v>
      </c>
      <c r="L92" s="2488"/>
      <c r="M92" s="2488"/>
      <c r="N92" s="2488"/>
      <c r="O92" s="2488"/>
      <c r="P92" s="2531">
        <v>10582</v>
      </c>
      <c r="Q92" s="2479" t="str">
        <f>CONCATENATE(B92,", ",C92,", ",D92,", ",E92)</f>
        <v xml:space="preserve">Forest Excise Tax, Excise Tax, Washington, </v>
      </c>
      <c r="T92" s="2635"/>
      <c r="U92" s="2715" t="s">
        <v>6014</v>
      </c>
      <c r="V92" s="2829">
        <v>3698211</v>
      </c>
      <c r="W92" s="2482"/>
      <c r="X92" s="2482"/>
      <c r="Y92" s="2482"/>
      <c r="Z92" s="2482"/>
      <c r="AA92" s="2482"/>
      <c r="AB92" s="2482"/>
      <c r="AC92" s="2482"/>
      <c r="AD92" s="2482"/>
      <c r="AE92" s="2482"/>
      <c r="AF92" s="2482"/>
      <c r="AG92" s="2482"/>
    </row>
    <row r="93" spans="1:33" ht="16.7" customHeight="1" x14ac:dyDescent="0.2">
      <c r="A93" s="2827" t="s">
        <v>5994</v>
      </c>
      <c r="B93" s="2830" t="s">
        <v>8128</v>
      </c>
      <c r="C93" s="2800"/>
      <c r="D93" s="2800"/>
      <c r="E93" s="2800"/>
      <c r="F93" s="2831">
        <f t="shared" ref="F93:P93" si="20">SUM(F91:F92)</f>
        <v>1892829</v>
      </c>
      <c r="G93" s="2834">
        <f t="shared" si="20"/>
        <v>0</v>
      </c>
      <c r="H93" s="2832">
        <f t="shared" si="20"/>
        <v>5760492</v>
      </c>
      <c r="I93" s="2832">
        <f t="shared" si="20"/>
        <v>7334444</v>
      </c>
      <c r="J93" s="2832">
        <f t="shared" si="20"/>
        <v>0</v>
      </c>
      <c r="K93" s="2831">
        <f t="shared" si="20"/>
        <v>318877</v>
      </c>
      <c r="L93" s="2832">
        <f t="shared" si="20"/>
        <v>0</v>
      </c>
      <c r="M93" s="2832">
        <f t="shared" si="20"/>
        <v>0</v>
      </c>
      <c r="N93" s="2832">
        <f t="shared" si="20"/>
        <v>0</v>
      </c>
      <c r="O93" s="2832">
        <f t="shared" si="20"/>
        <v>0</v>
      </c>
      <c r="P93" s="2832">
        <f t="shared" si="20"/>
        <v>5760492</v>
      </c>
      <c r="Q93" s="2479"/>
      <c r="R93" s="2576" t="s">
        <v>8129</v>
      </c>
      <c r="T93" s="2635"/>
      <c r="U93" s="2715" t="s">
        <v>6016</v>
      </c>
      <c r="V93" s="2829">
        <v>69593</v>
      </c>
      <c r="W93" s="2482"/>
      <c r="X93" s="2482"/>
      <c r="Y93" s="2482"/>
      <c r="Z93" s="2482"/>
      <c r="AA93" s="2482"/>
      <c r="AB93" s="2482"/>
      <c r="AC93" s="2482"/>
      <c r="AD93" s="2482"/>
      <c r="AE93" s="2482"/>
      <c r="AF93" s="2482"/>
      <c r="AG93" s="2482"/>
    </row>
    <row r="94" spans="1:33" ht="16.7" customHeight="1" x14ac:dyDescent="0.2">
      <c r="A94" s="2827" t="s">
        <v>8130</v>
      </c>
      <c r="B94" s="2488"/>
      <c r="C94" s="2488"/>
      <c r="D94" s="2488"/>
      <c r="E94" s="2488"/>
      <c r="F94" s="2828">
        <f>SUMIFS($U94:$XFD94,$U$9:$XFD$9,$F$9,$U$8:$XFD$8,$F$8)</f>
        <v>0</v>
      </c>
      <c r="G94" s="2828">
        <f>SUMIFS($U94:$XFD94,$U$9:$XFD$9,$G$9,$U$8:$XFD$8,$G$8)</f>
        <v>0</v>
      </c>
      <c r="H94" s="2488"/>
      <c r="I94" s="2488"/>
      <c r="J94" s="2488"/>
      <c r="K94" s="2828">
        <f>F94-G94+H94-I94+J94+L94</f>
        <v>0</v>
      </c>
      <c r="L94" s="2488"/>
      <c r="M94" s="2488"/>
      <c r="N94" s="2488"/>
      <c r="O94" s="2488"/>
      <c r="P94" s="2488"/>
      <c r="Q94" s="2479" t="str">
        <f>CONCATENATE(B94,", ",C94,", ",D94,", ",E94)</f>
        <v xml:space="preserve">, , , </v>
      </c>
      <c r="T94" s="2635"/>
      <c r="U94" s="2715" t="s">
        <v>6018</v>
      </c>
      <c r="V94" s="2829">
        <v>17170</v>
      </c>
      <c r="W94" s="2482"/>
      <c r="X94" s="2482"/>
      <c r="Y94" s="2482"/>
      <c r="Z94" s="2482"/>
      <c r="AA94" s="2482"/>
      <c r="AB94" s="2482"/>
      <c r="AC94" s="2482"/>
      <c r="AD94" s="2482"/>
      <c r="AE94" s="2482"/>
      <c r="AF94" s="2482"/>
      <c r="AG94" s="2482"/>
    </row>
    <row r="95" spans="1:33" ht="16.7" customHeight="1" x14ac:dyDescent="0.2">
      <c r="A95" s="2827" t="s">
        <v>8131</v>
      </c>
      <c r="B95" s="2488"/>
      <c r="C95" s="2488"/>
      <c r="D95" s="2488"/>
      <c r="E95" s="2488"/>
      <c r="F95" s="2828">
        <f>SUMIFS($U95:$XFD95,$U$9:$XFD$9,$F$9,$U$8:$XFD$8,$F$8)</f>
        <v>0</v>
      </c>
      <c r="G95" s="2828">
        <f>SUMIFS($U95:$XFD95,$U$9:$XFD$9,$G$9,$U$8:$XFD$8,$G$8)</f>
        <v>0</v>
      </c>
      <c r="H95" s="2488"/>
      <c r="I95" s="2488"/>
      <c r="J95" s="2488"/>
      <c r="K95" s="2828">
        <f>F95-G95+H95-I95+J95+L95</f>
        <v>0</v>
      </c>
      <c r="L95" s="2488"/>
      <c r="M95" s="2488"/>
      <c r="N95" s="2488"/>
      <c r="O95" s="2488"/>
      <c r="P95" s="2488"/>
      <c r="Q95" s="2479" t="str">
        <f>CONCATENATE(B95,", ",C95,", ",D95,", ",E95)</f>
        <v xml:space="preserve">, , , </v>
      </c>
      <c r="T95" s="2635"/>
      <c r="U95" s="2715" t="s">
        <v>6020</v>
      </c>
      <c r="V95" s="2829">
        <v>1557</v>
      </c>
      <c r="W95" s="2482"/>
      <c r="X95" s="2482"/>
      <c r="Y95" s="2482"/>
      <c r="Z95" s="2482"/>
      <c r="AA95" s="2482"/>
      <c r="AB95" s="2482"/>
      <c r="AC95" s="2482"/>
      <c r="AD95" s="2482"/>
      <c r="AE95" s="2482"/>
      <c r="AF95" s="2482"/>
      <c r="AG95" s="2482"/>
    </row>
    <row r="96" spans="1:33" ht="16.7" customHeight="1" x14ac:dyDescent="0.2">
      <c r="A96" s="2827" t="s">
        <v>5999</v>
      </c>
      <c r="B96" s="2830" t="s">
        <v>8132</v>
      </c>
      <c r="C96" s="2800"/>
      <c r="D96" s="2800"/>
      <c r="E96" s="2800"/>
      <c r="F96" s="2834">
        <f t="shared" ref="F96:P96" si="21">SUM(F94:F95)</f>
        <v>0</v>
      </c>
      <c r="G96" s="2834">
        <f t="shared" si="21"/>
        <v>0</v>
      </c>
      <c r="H96" s="2832">
        <f t="shared" si="21"/>
        <v>0</v>
      </c>
      <c r="I96" s="2832">
        <f t="shared" si="21"/>
        <v>0</v>
      </c>
      <c r="J96" s="2832">
        <f t="shared" si="21"/>
        <v>0</v>
      </c>
      <c r="K96" s="2834">
        <f t="shared" si="21"/>
        <v>0</v>
      </c>
      <c r="L96" s="2832">
        <f t="shared" si="21"/>
        <v>0</v>
      </c>
      <c r="M96" s="2832">
        <f t="shared" si="21"/>
        <v>0</v>
      </c>
      <c r="N96" s="2832">
        <f t="shared" si="21"/>
        <v>0</v>
      </c>
      <c r="O96" s="2832">
        <f t="shared" si="21"/>
        <v>0</v>
      </c>
      <c r="P96" s="2832">
        <f t="shared" si="21"/>
        <v>0</v>
      </c>
      <c r="Q96" s="2479"/>
      <c r="R96" s="2576" t="s">
        <v>8133</v>
      </c>
      <c r="T96" s="2635"/>
      <c r="U96" s="2715" t="s">
        <v>6022</v>
      </c>
      <c r="V96" s="2829">
        <v>36473</v>
      </c>
      <c r="W96" s="2482"/>
      <c r="X96" s="2482"/>
      <c r="Y96" s="2482"/>
      <c r="Z96" s="2482"/>
      <c r="AA96" s="2482"/>
      <c r="AB96" s="2482"/>
      <c r="AC96" s="2482"/>
      <c r="AD96" s="2482"/>
      <c r="AE96" s="2482"/>
      <c r="AF96" s="2482"/>
      <c r="AG96" s="2482"/>
    </row>
    <row r="97" spans="1:33" ht="16.7" customHeight="1" x14ac:dyDescent="0.2">
      <c r="A97" s="2827" t="s">
        <v>8134</v>
      </c>
      <c r="B97" s="2512" t="s">
        <v>8135</v>
      </c>
      <c r="C97" s="2489" t="s">
        <v>8136</v>
      </c>
      <c r="D97" s="2489"/>
      <c r="E97" s="2488"/>
      <c r="F97" s="2784"/>
      <c r="G97" s="2784"/>
      <c r="H97" s="2530">
        <v>4054485</v>
      </c>
      <c r="I97" s="2530">
        <v>4054485</v>
      </c>
      <c r="J97" s="2488"/>
      <c r="K97" s="2828">
        <v>0</v>
      </c>
      <c r="L97" s="2488"/>
      <c r="M97" s="2530">
        <v>4054486</v>
      </c>
      <c r="N97" s="2488"/>
      <c r="O97" s="2488"/>
      <c r="P97" s="2488"/>
      <c r="Q97" s="2479" t="str">
        <f>CONCATENATE(B97,", ",C97,", ",D97,", ",E97)</f>
        <v xml:space="preserve">Foreign Insurance Premiums, Federal Insurance Tax, , </v>
      </c>
      <c r="T97" s="2635"/>
      <c r="U97" s="2715" t="s">
        <v>6024</v>
      </c>
      <c r="V97" s="2829">
        <v>3823004</v>
      </c>
      <c r="W97" s="2482"/>
      <c r="X97" s="2482"/>
      <c r="Y97" s="2482"/>
      <c r="Z97" s="2482"/>
      <c r="AA97" s="2482"/>
      <c r="AB97" s="2482"/>
      <c r="AC97" s="2482"/>
      <c r="AD97" s="2482"/>
      <c r="AE97" s="2482"/>
      <c r="AF97" s="2482"/>
      <c r="AG97" s="2482"/>
    </row>
    <row r="98" spans="1:33" ht="16.7" customHeight="1" x14ac:dyDescent="0.2">
      <c r="A98" s="2827" t="s">
        <v>8137</v>
      </c>
      <c r="B98" s="2488"/>
      <c r="C98" s="2488"/>
      <c r="D98" s="2488"/>
      <c r="E98" s="2488"/>
      <c r="F98" s="2828">
        <f>SUMIFS($U98:$XFD98,$U$9:$XFD$9,$F$9,$U$8:$XFD$8,$F$8)</f>
        <v>0</v>
      </c>
      <c r="G98" s="2828">
        <f>SUMIFS($U98:$XFD98,$U$9:$XFD$9,$G$9,$U$8:$XFD$8,$G$8)</f>
        <v>0</v>
      </c>
      <c r="H98" s="2488"/>
      <c r="I98" s="2488"/>
      <c r="J98" s="2488"/>
      <c r="K98" s="2828">
        <f>F98-G98+H98-I98+J98+L98</f>
        <v>0</v>
      </c>
      <c r="L98" s="2488"/>
      <c r="M98" s="2488"/>
      <c r="N98" s="2488"/>
      <c r="O98" s="2488"/>
      <c r="P98" s="2488"/>
      <c r="Q98" s="2479" t="str">
        <f>CONCATENATE(B98,", ",C98,", ",D98,", ",E98)</f>
        <v xml:space="preserve">, , , </v>
      </c>
      <c r="T98" s="2635"/>
      <c r="U98" s="2715" t="s">
        <v>6026</v>
      </c>
      <c r="V98" s="2482"/>
      <c r="W98" s="2482"/>
      <c r="X98" s="2482"/>
      <c r="Y98" s="2482"/>
      <c r="Z98" s="2482"/>
      <c r="AA98" s="2482"/>
      <c r="AB98" s="2482"/>
      <c r="AC98" s="2482"/>
      <c r="AD98" s="2482"/>
      <c r="AE98" s="2482"/>
      <c r="AF98" s="2482"/>
      <c r="AG98" s="2482"/>
    </row>
    <row r="99" spans="1:33" ht="16.7" customHeight="1" x14ac:dyDescent="0.2">
      <c r="A99" s="2827" t="s">
        <v>6004</v>
      </c>
      <c r="B99" s="2830" t="s">
        <v>8138</v>
      </c>
      <c r="C99" s="2800"/>
      <c r="D99" s="2800"/>
      <c r="E99" s="2800"/>
      <c r="F99" s="2834">
        <f t="shared" ref="F99:P99" si="22">SUM(F97:F98)</f>
        <v>0</v>
      </c>
      <c r="G99" s="2834">
        <f t="shared" si="22"/>
        <v>0</v>
      </c>
      <c r="H99" s="2832">
        <f t="shared" si="22"/>
        <v>4054485</v>
      </c>
      <c r="I99" s="2832">
        <f t="shared" si="22"/>
        <v>4054485</v>
      </c>
      <c r="J99" s="2832">
        <f t="shared" si="22"/>
        <v>0</v>
      </c>
      <c r="K99" s="2834">
        <f t="shared" si="22"/>
        <v>0</v>
      </c>
      <c r="L99" s="2832">
        <f t="shared" si="22"/>
        <v>0</v>
      </c>
      <c r="M99" s="2832">
        <f t="shared" si="22"/>
        <v>4054486</v>
      </c>
      <c r="N99" s="2832">
        <f t="shared" si="22"/>
        <v>0</v>
      </c>
      <c r="O99" s="2832">
        <f t="shared" si="22"/>
        <v>0</v>
      </c>
      <c r="P99" s="2832">
        <f t="shared" si="22"/>
        <v>0</v>
      </c>
      <c r="Q99" s="2479"/>
      <c r="R99" s="2576" t="s">
        <v>8139</v>
      </c>
      <c r="T99" s="2635"/>
      <c r="U99" s="2715" t="s">
        <v>6028</v>
      </c>
      <c r="V99" s="2482"/>
      <c r="W99" s="2482"/>
      <c r="X99" s="2482"/>
      <c r="Y99" s="2482"/>
      <c r="Z99" s="2482"/>
      <c r="AA99" s="2482"/>
      <c r="AB99" s="2482"/>
      <c r="AC99" s="2482"/>
      <c r="AD99" s="2482"/>
      <c r="AE99" s="2482"/>
      <c r="AF99" s="2482"/>
      <c r="AG99" s="2482"/>
    </row>
    <row r="100" spans="1:33" ht="16.7" customHeight="1" x14ac:dyDescent="0.2">
      <c r="A100" s="2827" t="s">
        <v>8140</v>
      </c>
      <c r="B100" s="2488" t="s">
        <v>8141</v>
      </c>
      <c r="C100" s="2489" t="s">
        <v>8142</v>
      </c>
      <c r="D100" s="2489" t="s">
        <v>8063</v>
      </c>
      <c r="E100" s="2488"/>
      <c r="F100" s="2828">
        <v>1492200</v>
      </c>
      <c r="G100" s="2828">
        <v>0</v>
      </c>
      <c r="H100" s="2530">
        <v>1340987</v>
      </c>
      <c r="I100" s="2530">
        <v>1385787</v>
      </c>
      <c r="J100" s="2488"/>
      <c r="K100" s="2828">
        <f>F100-G100+H100-I100+J100+L100</f>
        <v>1447400</v>
      </c>
      <c r="L100" s="2488"/>
      <c r="M100" s="2530">
        <v>1340987</v>
      </c>
      <c r="N100" s="2488"/>
      <c r="O100" s="2488"/>
      <c r="P100" s="2488"/>
      <c r="Q100" s="2479" t="str">
        <f>CONCATENATE(B100,", ",C100,", ",D100,", ",E100)</f>
        <v xml:space="preserve">Local Franchise Tax, Franchise Tax, California, </v>
      </c>
      <c r="T100" s="2635"/>
      <c r="U100" s="2715" t="s">
        <v>6030</v>
      </c>
      <c r="V100" s="2482"/>
      <c r="W100" s="2482"/>
      <c r="X100" s="2482"/>
      <c r="Y100" s="2482"/>
      <c r="Z100" s="2482"/>
      <c r="AA100" s="2482"/>
      <c r="AB100" s="2482"/>
      <c r="AC100" s="2482"/>
      <c r="AD100" s="2482"/>
      <c r="AE100" s="2482"/>
      <c r="AF100" s="2482"/>
      <c r="AG100" s="2482"/>
    </row>
    <row r="101" spans="1:33" ht="16.7" customHeight="1" x14ac:dyDescent="0.2">
      <c r="A101" s="2827" t="s">
        <v>8143</v>
      </c>
      <c r="B101" s="2488" t="s">
        <v>8141</v>
      </c>
      <c r="C101" s="2489" t="s">
        <v>8142</v>
      </c>
      <c r="D101" s="2489" t="s">
        <v>898</v>
      </c>
      <c r="E101" s="2488"/>
      <c r="F101" s="2828">
        <v>5287015</v>
      </c>
      <c r="G101" s="2828">
        <v>0</v>
      </c>
      <c r="H101" s="2530">
        <v>34510600</v>
      </c>
      <c r="I101" s="2530">
        <v>33871231</v>
      </c>
      <c r="J101" s="2488"/>
      <c r="K101" s="2828">
        <f>F101-G101+H101-I101+J101+L101</f>
        <v>5926384</v>
      </c>
      <c r="L101" s="2488"/>
      <c r="M101" s="2530">
        <v>34510600</v>
      </c>
      <c r="N101" s="2488"/>
      <c r="O101" s="2488"/>
      <c r="P101" s="2488"/>
      <c r="Q101" s="2479" t="str">
        <f>CONCATENATE(B101,", ",C101,", ",D101,", ",E101)</f>
        <v xml:space="preserve">Local Franchise Tax, Franchise Tax, Oregon, </v>
      </c>
      <c r="T101" s="2635"/>
      <c r="U101" s="2482"/>
      <c r="V101" s="2482"/>
      <c r="W101" s="2482"/>
      <c r="X101" s="2482"/>
      <c r="Y101" s="2482"/>
      <c r="Z101" s="2482"/>
      <c r="AA101" s="2482"/>
      <c r="AB101" s="2482"/>
      <c r="AC101" s="2482"/>
      <c r="AD101" s="2482"/>
      <c r="AE101" s="2482"/>
      <c r="AF101" s="2482"/>
      <c r="AG101" s="2482"/>
    </row>
    <row r="102" spans="1:33" ht="16.7" customHeight="1" x14ac:dyDescent="0.2">
      <c r="A102" s="2827" t="s">
        <v>8144</v>
      </c>
      <c r="B102" s="2488" t="s">
        <v>8141</v>
      </c>
      <c r="C102" s="2489" t="s">
        <v>8142</v>
      </c>
      <c r="D102" s="2489" t="s">
        <v>8067</v>
      </c>
      <c r="E102" s="2488"/>
      <c r="F102" s="2828">
        <v>0</v>
      </c>
      <c r="G102" s="2828">
        <v>0</v>
      </c>
      <c r="H102" s="2530">
        <v>8405</v>
      </c>
      <c r="I102" s="2530">
        <v>8405</v>
      </c>
      <c r="J102" s="2488"/>
      <c r="K102" s="2828">
        <f>F102-G102+H102-I102+J102+L102</f>
        <v>0</v>
      </c>
      <c r="L102" s="2488"/>
      <c r="M102" s="2530">
        <v>8405</v>
      </c>
      <c r="N102" s="2488"/>
      <c r="O102" s="2488"/>
      <c r="P102" s="2488"/>
      <c r="Q102" s="2479" t="str">
        <f>CONCATENATE(B102,", ",C102,", ",D102,", ",E102)</f>
        <v xml:space="preserve">Local Franchise Tax, Franchise Tax, Utah, </v>
      </c>
      <c r="T102" s="2635"/>
      <c r="U102" s="2482"/>
      <c r="V102" s="2482"/>
      <c r="W102" s="2482"/>
      <c r="X102" s="2482"/>
      <c r="Y102" s="2482"/>
      <c r="Z102" s="2482"/>
      <c r="AA102" s="2482"/>
      <c r="AB102" s="2482"/>
      <c r="AC102" s="2482"/>
      <c r="AD102" s="2482"/>
      <c r="AE102" s="2482"/>
      <c r="AF102" s="2482"/>
      <c r="AG102" s="2482"/>
    </row>
    <row r="103" spans="1:33" ht="16.7" customHeight="1" x14ac:dyDescent="0.2">
      <c r="A103" s="2827" t="s">
        <v>8145</v>
      </c>
      <c r="B103" s="2488" t="s">
        <v>8141</v>
      </c>
      <c r="C103" s="2489" t="s">
        <v>8142</v>
      </c>
      <c r="D103" s="2489" t="s">
        <v>8068</v>
      </c>
      <c r="E103" s="2488"/>
      <c r="F103" s="2828">
        <v>0</v>
      </c>
      <c r="G103" s="2828">
        <v>0</v>
      </c>
      <c r="H103" s="2488"/>
      <c r="I103" s="2488"/>
      <c r="J103" s="2488"/>
      <c r="K103" s="2828">
        <f>F103-G103+H103-I103+J103+L103</f>
        <v>0</v>
      </c>
      <c r="L103" s="2488"/>
      <c r="M103" s="2488"/>
      <c r="N103" s="2488"/>
      <c r="O103" s="2488"/>
      <c r="P103" s="2488"/>
      <c r="Q103" s="2479" t="str">
        <f>CONCATENATE(B103,", ",C103,", ",D103,", ",E103)</f>
        <v xml:space="preserve">Local Franchise Tax, Franchise Tax, Washington, </v>
      </c>
      <c r="T103" s="2635"/>
      <c r="U103" s="2715" t="s">
        <v>6032</v>
      </c>
      <c r="V103" s="2482"/>
      <c r="W103" s="2482"/>
      <c r="X103" s="2482"/>
      <c r="Y103" s="2482"/>
      <c r="Z103" s="2482"/>
      <c r="AA103" s="2482"/>
      <c r="AB103" s="2482"/>
      <c r="AC103" s="2482"/>
      <c r="AD103" s="2482"/>
      <c r="AE103" s="2482"/>
      <c r="AF103" s="2482"/>
      <c r="AG103" s="2482"/>
    </row>
    <row r="104" spans="1:33" ht="16.7" customHeight="1" x14ac:dyDescent="0.2">
      <c r="A104" s="2827" t="s">
        <v>8146</v>
      </c>
      <c r="B104" s="2488" t="s">
        <v>8141</v>
      </c>
      <c r="C104" s="2489" t="s">
        <v>8142</v>
      </c>
      <c r="D104" s="2489" t="s">
        <v>8069</v>
      </c>
      <c r="E104" s="2488"/>
      <c r="F104" s="2828">
        <v>285900</v>
      </c>
      <c r="G104" s="2828">
        <v>0</v>
      </c>
      <c r="H104" s="2530">
        <v>1968430</v>
      </c>
      <c r="I104" s="2530">
        <v>1983330</v>
      </c>
      <c r="J104" s="2488"/>
      <c r="K104" s="2828">
        <f>F104-G104+H104-I104+J104+L104</f>
        <v>271000</v>
      </c>
      <c r="L104" s="2488"/>
      <c r="M104" s="2530">
        <v>1968430</v>
      </c>
      <c r="N104" s="2488"/>
      <c r="O104" s="2488"/>
      <c r="P104" s="2488"/>
      <c r="Q104" s="2479" t="str">
        <f>CONCATENATE(B104,", ",C104,", ",D104,", ",E104)</f>
        <v xml:space="preserve">Local Franchise Tax, Franchise Tax, Wyoming, </v>
      </c>
      <c r="T104" s="2635"/>
      <c r="U104" s="2482"/>
      <c r="V104" s="2482"/>
      <c r="W104" s="2482"/>
      <c r="X104" s="2482"/>
      <c r="Y104" s="2482"/>
      <c r="Z104" s="2482"/>
      <c r="AA104" s="2482"/>
      <c r="AB104" s="2482"/>
      <c r="AC104" s="2482"/>
      <c r="AD104" s="2482"/>
      <c r="AE104" s="2482"/>
      <c r="AF104" s="2482"/>
      <c r="AG104" s="2482"/>
    </row>
    <row r="105" spans="1:33" ht="16.7" customHeight="1" x14ac:dyDescent="0.2">
      <c r="A105" s="2827" t="s">
        <v>6008</v>
      </c>
      <c r="B105" s="2830" t="s">
        <v>8147</v>
      </c>
      <c r="C105" s="2800"/>
      <c r="D105" s="2800"/>
      <c r="E105" s="2800"/>
      <c r="F105" s="2831">
        <f t="shared" ref="F105:P105" si="23">SUM(F100:F104)</f>
        <v>7065115</v>
      </c>
      <c r="G105" s="2834">
        <f t="shared" si="23"/>
        <v>0</v>
      </c>
      <c r="H105" s="2831">
        <f t="shared" si="23"/>
        <v>37828422</v>
      </c>
      <c r="I105" s="2831">
        <f t="shared" si="23"/>
        <v>37248753</v>
      </c>
      <c r="J105" s="2832">
        <f t="shared" si="23"/>
        <v>0</v>
      </c>
      <c r="K105" s="2831">
        <f t="shared" si="23"/>
        <v>7644784</v>
      </c>
      <c r="L105" s="2832">
        <f t="shared" si="23"/>
        <v>0</v>
      </c>
      <c r="M105" s="2831">
        <f t="shared" si="23"/>
        <v>37828422</v>
      </c>
      <c r="N105" s="2832">
        <f t="shared" si="23"/>
        <v>0</v>
      </c>
      <c r="O105" s="2832">
        <f t="shared" si="23"/>
        <v>0</v>
      </c>
      <c r="P105" s="2832">
        <f t="shared" si="23"/>
        <v>0</v>
      </c>
      <c r="Q105" s="2479"/>
      <c r="R105" s="2576" t="s">
        <v>8148</v>
      </c>
      <c r="T105" s="2635"/>
      <c r="U105" s="2715" t="s">
        <v>6034</v>
      </c>
      <c r="V105" s="2482"/>
      <c r="W105" s="2482"/>
      <c r="X105" s="2482"/>
      <c r="Y105" s="2482"/>
      <c r="Z105" s="2482"/>
      <c r="AA105" s="2482"/>
      <c r="AB105" s="2482"/>
      <c r="AC105" s="2482"/>
      <c r="AD105" s="2482"/>
      <c r="AE105" s="2482"/>
      <c r="AF105" s="2482"/>
      <c r="AG105" s="2482"/>
    </row>
    <row r="106" spans="1:33" ht="16.7" customHeight="1" x14ac:dyDescent="0.2">
      <c r="A106" s="2827" t="s">
        <v>8149</v>
      </c>
      <c r="B106" s="2488"/>
      <c r="C106" s="2488"/>
      <c r="D106" s="2488"/>
      <c r="E106" s="2488"/>
      <c r="F106" s="2828">
        <f>SUMIFS($U106:$XFD106,$U$9:$XFD$9,$F$9,$U$8:$XFD$8,$F$8)</f>
        <v>0</v>
      </c>
      <c r="G106" s="2828">
        <f>SUMIFS($U106:$XFD106,$U$9:$XFD$9,$G$9,$U$8:$XFD$8,$G$8)</f>
        <v>0</v>
      </c>
      <c r="H106" s="2488"/>
      <c r="I106" s="2488"/>
      <c r="J106" s="2488"/>
      <c r="K106" s="2828">
        <f>F106-G106+H106-I106+J106+L106</f>
        <v>0</v>
      </c>
      <c r="L106" s="2488"/>
      <c r="M106" s="2488"/>
      <c r="N106" s="2488"/>
      <c r="O106" s="2488"/>
      <c r="P106" s="2488"/>
      <c r="Q106" s="2479" t="str">
        <f>CONCATENATE(B106,", ",C106,", ",D106,", ",E106)</f>
        <v xml:space="preserve">, , , </v>
      </c>
      <c r="T106" s="2635"/>
      <c r="U106" s="2715" t="s">
        <v>6036</v>
      </c>
      <c r="V106" s="2482"/>
      <c r="W106" s="2482"/>
      <c r="X106" s="2482"/>
      <c r="Y106" s="2482"/>
      <c r="Z106" s="2482"/>
      <c r="AA106" s="2482"/>
      <c r="AB106" s="2482"/>
      <c r="AC106" s="2482"/>
      <c r="AD106" s="2482"/>
      <c r="AE106" s="2482"/>
      <c r="AF106" s="2482"/>
      <c r="AG106" s="2482"/>
    </row>
    <row r="107" spans="1:33" ht="16.7" customHeight="1" x14ac:dyDescent="0.2">
      <c r="A107" s="2827" t="s">
        <v>8150</v>
      </c>
      <c r="B107" s="2488"/>
      <c r="C107" s="2488"/>
      <c r="D107" s="2488"/>
      <c r="E107" s="2488"/>
      <c r="F107" s="2828">
        <f>SUMIFS($U107:$XFD107,$U$9:$XFD$9,$F$9,$U$8:$XFD$8,$F$8)</f>
        <v>0</v>
      </c>
      <c r="G107" s="2828">
        <f>SUMIFS($U107:$XFD107,$U$9:$XFD$9,$G$9,$U$8:$XFD$8,$G$8)</f>
        <v>0</v>
      </c>
      <c r="H107" s="2488"/>
      <c r="I107" s="2488"/>
      <c r="J107" s="2488"/>
      <c r="K107" s="2828">
        <f>F107-G107+H107-I107+J107+L107</f>
        <v>0</v>
      </c>
      <c r="L107" s="2488"/>
      <c r="M107" s="2488"/>
      <c r="N107" s="2488"/>
      <c r="O107" s="2488"/>
      <c r="P107" s="2488"/>
      <c r="Q107" s="2479" t="str">
        <f>CONCATENATE(B107,", ",C107,", ",D107,", ",E107)</f>
        <v xml:space="preserve">, , , </v>
      </c>
      <c r="T107" s="2635"/>
      <c r="U107" s="2715" t="s">
        <v>6038</v>
      </c>
      <c r="V107" s="2482"/>
      <c r="W107" s="2482"/>
      <c r="X107" s="2482"/>
      <c r="Y107" s="2482"/>
      <c r="Z107" s="2482"/>
      <c r="AA107" s="2482"/>
      <c r="AB107" s="2482"/>
      <c r="AC107" s="2482"/>
      <c r="AD107" s="2482"/>
      <c r="AE107" s="2482"/>
      <c r="AF107" s="2482"/>
      <c r="AG107" s="2482"/>
    </row>
    <row r="108" spans="1:33" ht="16.7" customHeight="1" x14ac:dyDescent="0.2">
      <c r="A108" s="2827" t="s">
        <v>6012</v>
      </c>
      <c r="B108" s="2830" t="s">
        <v>8151</v>
      </c>
      <c r="C108" s="2800"/>
      <c r="D108" s="2800"/>
      <c r="E108" s="2800"/>
      <c r="F108" s="2834">
        <f t="shared" ref="F108:P108" si="24">SUM(F106:F107)</f>
        <v>0</v>
      </c>
      <c r="G108" s="2834">
        <f t="shared" si="24"/>
        <v>0</v>
      </c>
      <c r="H108" s="2832">
        <f t="shared" si="24"/>
        <v>0</v>
      </c>
      <c r="I108" s="2832">
        <f t="shared" si="24"/>
        <v>0</v>
      </c>
      <c r="J108" s="2832">
        <f t="shared" si="24"/>
        <v>0</v>
      </c>
      <c r="K108" s="2834">
        <f t="shared" si="24"/>
        <v>0</v>
      </c>
      <c r="L108" s="2832">
        <f t="shared" si="24"/>
        <v>0</v>
      </c>
      <c r="M108" s="2832">
        <f t="shared" si="24"/>
        <v>0</v>
      </c>
      <c r="N108" s="2832">
        <f t="shared" si="24"/>
        <v>0</v>
      </c>
      <c r="O108" s="2832">
        <f t="shared" si="24"/>
        <v>0</v>
      </c>
      <c r="P108" s="2832">
        <f t="shared" si="24"/>
        <v>0</v>
      </c>
      <c r="Q108" s="2479"/>
      <c r="R108" s="2576" t="s">
        <v>8152</v>
      </c>
      <c r="T108" s="2635"/>
      <c r="U108" s="2482"/>
      <c r="V108" s="2482"/>
      <c r="W108" s="2482"/>
      <c r="X108" s="2482"/>
      <c r="Y108" s="2482"/>
      <c r="Z108" s="2482"/>
      <c r="AA108" s="2482"/>
      <c r="AB108" s="2482"/>
      <c r="AC108" s="2482"/>
      <c r="AD108" s="2482"/>
      <c r="AE108" s="2482"/>
      <c r="AF108" s="2482"/>
      <c r="AG108" s="2482"/>
    </row>
    <row r="109" spans="1:33" ht="16.7" customHeight="1" x14ac:dyDescent="0.2">
      <c r="A109" s="2827" t="s">
        <v>8153</v>
      </c>
      <c r="B109" s="2488"/>
      <c r="C109" s="2488"/>
      <c r="D109" s="2488"/>
      <c r="E109" s="2488"/>
      <c r="F109" s="2828">
        <f>SUMIFS($U109:$XFD109,$U$9:$XFD$9,$F$9,$U$8:$XFD$8,$F$8)</f>
        <v>0</v>
      </c>
      <c r="G109" s="2828">
        <f>SUMIFS($U109:$XFD109,$U$9:$XFD$9,$G$9,$U$8:$XFD$8,$G$8)</f>
        <v>0</v>
      </c>
      <c r="H109" s="2488"/>
      <c r="I109" s="2488"/>
      <c r="J109" s="2488"/>
      <c r="K109" s="2828">
        <f>F109-G109+H109-I109+J109+L109</f>
        <v>0</v>
      </c>
      <c r="L109" s="2488"/>
      <c r="M109" s="2488"/>
      <c r="N109" s="2488"/>
      <c r="O109" s="2488"/>
      <c r="P109" s="2488"/>
      <c r="Q109" s="2479" t="str">
        <f>CONCATENATE(B109,", ",C109,", ",D109,", ",E109)</f>
        <v xml:space="preserve">, , , </v>
      </c>
      <c r="T109" s="2635"/>
      <c r="U109" s="2482"/>
      <c r="V109" s="2482"/>
      <c r="W109" s="2482"/>
      <c r="X109" s="2482"/>
      <c r="Y109" s="2482"/>
      <c r="Z109" s="2482"/>
      <c r="AA109" s="2482"/>
      <c r="AB109" s="2482"/>
      <c r="AC109" s="2482"/>
      <c r="AD109" s="2482"/>
      <c r="AE109" s="2482"/>
      <c r="AF109" s="2482"/>
      <c r="AG109" s="2482"/>
    </row>
    <row r="110" spans="1:33" ht="16.7" customHeight="1" x14ac:dyDescent="0.2">
      <c r="A110" s="2827" t="s">
        <v>8154</v>
      </c>
      <c r="B110" s="2488"/>
      <c r="C110" s="2488"/>
      <c r="D110" s="2488"/>
      <c r="E110" s="2488"/>
      <c r="F110" s="2828">
        <f>SUMIFS($U110:$XFD110,$U$9:$XFD$9,$F$9,$U$8:$XFD$8,$F$8)</f>
        <v>0</v>
      </c>
      <c r="G110" s="2828">
        <f>SUMIFS($U110:$XFD110,$U$9:$XFD$9,$G$9,$U$8:$XFD$8,$G$8)</f>
        <v>0</v>
      </c>
      <c r="H110" s="2488"/>
      <c r="I110" s="2488"/>
      <c r="J110" s="2488"/>
      <c r="K110" s="2828">
        <f>F110-G110+H110-I110+J110+L110</f>
        <v>0</v>
      </c>
      <c r="L110" s="2488"/>
      <c r="M110" s="2488"/>
      <c r="N110" s="2488"/>
      <c r="O110" s="2488"/>
      <c r="P110" s="2488"/>
      <c r="Q110" s="2479" t="str">
        <f>CONCATENATE(B110,", ",C110,", ",D110,", ",E110)</f>
        <v xml:space="preserve">, , , </v>
      </c>
      <c r="T110" s="2635"/>
      <c r="U110" s="2482"/>
      <c r="V110" s="2482"/>
      <c r="W110" s="2482"/>
      <c r="X110" s="2482"/>
      <c r="Y110" s="2482"/>
      <c r="Z110" s="2482"/>
      <c r="AA110" s="2482"/>
      <c r="AB110" s="2482"/>
      <c r="AC110" s="2482"/>
      <c r="AD110" s="2482"/>
      <c r="AE110" s="2482"/>
      <c r="AF110" s="2482"/>
      <c r="AG110" s="2482"/>
    </row>
    <row r="111" spans="1:33" ht="16.7" customHeight="1" x14ac:dyDescent="0.2">
      <c r="A111" s="2827" t="s">
        <v>6016</v>
      </c>
      <c r="B111" s="2830" t="s">
        <v>8155</v>
      </c>
      <c r="C111" s="2800"/>
      <c r="D111" s="2800"/>
      <c r="E111" s="2800"/>
      <c r="F111" s="2834">
        <f t="shared" ref="F111:P111" si="25">SUM(F109:F110)</f>
        <v>0</v>
      </c>
      <c r="G111" s="2834">
        <f t="shared" si="25"/>
        <v>0</v>
      </c>
      <c r="H111" s="2832">
        <f t="shared" si="25"/>
        <v>0</v>
      </c>
      <c r="I111" s="2832">
        <f t="shared" si="25"/>
        <v>0</v>
      </c>
      <c r="J111" s="2832">
        <f t="shared" si="25"/>
        <v>0</v>
      </c>
      <c r="K111" s="2834">
        <f t="shared" si="25"/>
        <v>0</v>
      </c>
      <c r="L111" s="2832">
        <f t="shared" si="25"/>
        <v>0</v>
      </c>
      <c r="M111" s="2832">
        <f t="shared" si="25"/>
        <v>0</v>
      </c>
      <c r="N111" s="2832">
        <f t="shared" si="25"/>
        <v>0</v>
      </c>
      <c r="O111" s="2832">
        <f t="shared" si="25"/>
        <v>0</v>
      </c>
      <c r="P111" s="2832">
        <f t="shared" si="25"/>
        <v>0</v>
      </c>
      <c r="Q111" s="2479"/>
      <c r="R111" s="2576" t="s">
        <v>8156</v>
      </c>
      <c r="T111" s="2635"/>
      <c r="U111" s="2482"/>
      <c r="V111" s="2482"/>
      <c r="W111" s="2482"/>
      <c r="X111" s="2482"/>
      <c r="Y111" s="2482"/>
      <c r="Z111" s="2482"/>
      <c r="AA111" s="2482"/>
      <c r="AB111" s="2482"/>
      <c r="AC111" s="2482"/>
      <c r="AD111" s="2482"/>
      <c r="AE111" s="2482"/>
      <c r="AF111" s="2482"/>
      <c r="AG111" s="2482"/>
    </row>
    <row r="112" spans="1:33" ht="16.7" customHeight="1" x14ac:dyDescent="0.2">
      <c r="A112" s="2827" t="s">
        <v>8157</v>
      </c>
      <c r="B112" s="2488" t="s">
        <v>8158</v>
      </c>
      <c r="C112" s="2489" t="s">
        <v>8159</v>
      </c>
      <c r="D112" s="2489" t="s">
        <v>900</v>
      </c>
      <c r="E112" s="2488"/>
      <c r="F112" s="2828">
        <v>18194</v>
      </c>
      <c r="G112" s="2828">
        <v>0</v>
      </c>
      <c r="H112" s="2530">
        <v>58921</v>
      </c>
      <c r="I112" s="2530">
        <v>60234</v>
      </c>
      <c r="J112" s="2530">
        <v>0</v>
      </c>
      <c r="K112" s="2828">
        <f t="shared" ref="K112:K120" si="26">F112-G112+H112-I112+J112+L112</f>
        <v>16881</v>
      </c>
      <c r="L112" s="2530">
        <v>0</v>
      </c>
      <c r="M112" s="2530">
        <v>58921</v>
      </c>
      <c r="N112" s="2530">
        <v>0</v>
      </c>
      <c r="O112" s="2530">
        <v>0</v>
      </c>
      <c r="P112" s="2530">
        <v>0</v>
      </c>
      <c r="Q112" s="2479" t="str">
        <f t="shared" ref="Q112:Q120" si="27">CONCATENATE(B112,", ",C112,", ",D112,", ",E112)</f>
        <v xml:space="preserve">KWh, Other State Tax, Idaho, </v>
      </c>
      <c r="T112" s="2635"/>
      <c r="U112" s="2482"/>
      <c r="V112" s="2482"/>
      <c r="W112" s="2482"/>
      <c r="X112" s="2482"/>
      <c r="Y112" s="2482"/>
      <c r="Z112" s="2482"/>
      <c r="AA112" s="2482"/>
      <c r="AB112" s="2482"/>
      <c r="AC112" s="2482"/>
      <c r="AD112" s="2482"/>
      <c r="AE112" s="2482"/>
      <c r="AF112" s="2482"/>
      <c r="AG112" s="2482"/>
    </row>
    <row r="113" spans="1:33" ht="16.7" customHeight="1" x14ac:dyDescent="0.2">
      <c r="A113" s="2827">
        <f t="shared" ref="A113:A120" si="28">A112+0.1</f>
        <v>31.200000000000003</v>
      </c>
      <c r="B113" s="2488" t="s">
        <v>8160</v>
      </c>
      <c r="C113" s="2489" t="s">
        <v>8159</v>
      </c>
      <c r="D113" s="2489" t="s">
        <v>8065</v>
      </c>
      <c r="E113" s="2488"/>
      <c r="F113" s="2828">
        <v>65000</v>
      </c>
      <c r="G113" s="2828">
        <v>0</v>
      </c>
      <c r="H113" s="2530">
        <v>268115</v>
      </c>
      <c r="I113" s="2530">
        <v>263115</v>
      </c>
      <c r="J113" s="2530">
        <v>0</v>
      </c>
      <c r="K113" s="2828">
        <f t="shared" si="26"/>
        <v>70000</v>
      </c>
      <c r="L113" s="2530">
        <v>0</v>
      </c>
      <c r="M113" s="2530">
        <v>268115</v>
      </c>
      <c r="N113" s="2530">
        <v>0</v>
      </c>
      <c r="O113" s="2530">
        <v>0</v>
      </c>
      <c r="P113" s="2530">
        <v>0</v>
      </c>
      <c r="Q113" s="2479" t="str">
        <f t="shared" si="27"/>
        <v xml:space="preserve">Wholesale Energy, Other State Tax, Montana, </v>
      </c>
      <c r="T113" s="2635"/>
      <c r="U113" s="2482"/>
      <c r="V113" s="2482"/>
      <c r="W113" s="2482"/>
      <c r="X113" s="2482"/>
      <c r="Y113" s="2482"/>
      <c r="Z113" s="2482"/>
      <c r="AA113" s="2482"/>
      <c r="AB113" s="2482"/>
      <c r="AC113" s="2482"/>
      <c r="AD113" s="2482"/>
      <c r="AE113" s="2482"/>
      <c r="AF113" s="2482"/>
      <c r="AG113" s="2482"/>
    </row>
    <row r="114" spans="1:33" ht="16.7" customHeight="1" x14ac:dyDescent="0.2">
      <c r="A114" s="2827">
        <f t="shared" si="28"/>
        <v>31.300000000000004</v>
      </c>
      <c r="B114" s="2488" t="s">
        <v>8161</v>
      </c>
      <c r="C114" s="2489" t="s">
        <v>8159</v>
      </c>
      <c r="D114" s="2489" t="s">
        <v>8065</v>
      </c>
      <c r="E114" s="2488"/>
      <c r="F114" s="2828">
        <v>85000</v>
      </c>
      <c r="G114" s="2828">
        <v>0</v>
      </c>
      <c r="H114" s="2530">
        <v>374275</v>
      </c>
      <c r="I114" s="2530">
        <v>369275</v>
      </c>
      <c r="J114" s="2530">
        <v>0</v>
      </c>
      <c r="K114" s="2828">
        <f t="shared" si="26"/>
        <v>90000</v>
      </c>
      <c r="L114" s="2530">
        <v>0</v>
      </c>
      <c r="M114" s="2530">
        <v>374275</v>
      </c>
      <c r="N114" s="2530">
        <v>0</v>
      </c>
      <c r="O114" s="2530">
        <v>0</v>
      </c>
      <c r="P114" s="2530">
        <v>0</v>
      </c>
      <c r="Q114" s="2479" t="str">
        <f t="shared" si="27"/>
        <v xml:space="preserve">Energy License, Other State Tax, Montana, </v>
      </c>
      <c r="T114" s="2635"/>
      <c r="U114" s="2482"/>
      <c r="V114" s="2482"/>
      <c r="W114" s="2482"/>
      <c r="X114" s="2482"/>
      <c r="Y114" s="2482"/>
      <c r="Z114" s="2482"/>
      <c r="AA114" s="2482"/>
      <c r="AB114" s="2482"/>
      <c r="AC114" s="2482"/>
      <c r="AD114" s="2482"/>
      <c r="AE114" s="2482"/>
      <c r="AF114" s="2482"/>
      <c r="AG114" s="2482"/>
    </row>
    <row r="115" spans="1:33" ht="16.7" customHeight="1" x14ac:dyDescent="0.2">
      <c r="A115" s="2827">
        <f t="shared" si="28"/>
        <v>31.400000000000006</v>
      </c>
      <c r="B115" s="2512" t="s">
        <v>8162</v>
      </c>
      <c r="C115" s="2489" t="s">
        <v>8159</v>
      </c>
      <c r="D115" s="2489" t="s">
        <v>8085</v>
      </c>
      <c r="E115" s="2488"/>
      <c r="F115" s="2828">
        <v>12000</v>
      </c>
      <c r="G115" s="2828">
        <v>0</v>
      </c>
      <c r="H115" s="2530">
        <v>25369</v>
      </c>
      <c r="I115" s="2530">
        <v>25369</v>
      </c>
      <c r="J115" s="2530">
        <v>0</v>
      </c>
      <c r="K115" s="2828">
        <f t="shared" si="26"/>
        <v>12000</v>
      </c>
      <c r="L115" s="2530">
        <v>0</v>
      </c>
      <c r="M115" s="2530">
        <v>25369</v>
      </c>
      <c r="N115" s="2530">
        <v>0</v>
      </c>
      <c r="O115" s="2530">
        <v>0</v>
      </c>
      <c r="P115" s="2530">
        <v>0</v>
      </c>
      <c r="Q115" s="2479" t="str">
        <f t="shared" si="27"/>
        <v xml:space="preserve">Commerce Tax, Other State Tax, Nevada, </v>
      </c>
      <c r="T115" s="2635"/>
      <c r="U115" s="2482"/>
      <c r="V115" s="2482"/>
      <c r="W115" s="2482"/>
      <c r="X115" s="2482"/>
      <c r="Y115" s="2482"/>
      <c r="Z115" s="2482"/>
      <c r="AA115" s="2482"/>
      <c r="AB115" s="2482"/>
      <c r="AC115" s="2482"/>
      <c r="AD115" s="2482"/>
      <c r="AE115" s="2482"/>
      <c r="AF115" s="2482"/>
      <c r="AG115" s="2482"/>
    </row>
    <row r="116" spans="1:33" ht="16.7" customHeight="1" x14ac:dyDescent="0.2">
      <c r="A116" s="2827">
        <f t="shared" si="28"/>
        <v>31.500000000000007</v>
      </c>
      <c r="B116" s="2488" t="s">
        <v>8163</v>
      </c>
      <c r="C116" s="2489" t="s">
        <v>8159</v>
      </c>
      <c r="D116" s="2489" t="s">
        <v>898</v>
      </c>
      <c r="E116" s="2488"/>
      <c r="F116" s="2828">
        <v>0</v>
      </c>
      <c r="G116" s="2645">
        <v>757036</v>
      </c>
      <c r="H116" s="2530">
        <v>1438991</v>
      </c>
      <c r="I116" s="2530">
        <v>1363911</v>
      </c>
      <c r="J116" s="2530">
        <v>0</v>
      </c>
      <c r="K116" s="2828">
        <f t="shared" si="26"/>
        <v>0</v>
      </c>
      <c r="L116" s="2530">
        <v>681956</v>
      </c>
      <c r="M116" s="2530">
        <v>1438991</v>
      </c>
      <c r="N116" s="2530">
        <v>0</v>
      </c>
      <c r="O116" s="2530">
        <v>0</v>
      </c>
      <c r="P116" s="2530">
        <v>0</v>
      </c>
      <c r="Q116" s="2479" t="str">
        <f t="shared" si="27"/>
        <v xml:space="preserve">Department of Energy, Other State Tax, Oregon, </v>
      </c>
      <c r="T116" s="2635"/>
      <c r="U116" s="2482"/>
      <c r="V116" s="2482"/>
      <c r="W116" s="2482"/>
      <c r="X116" s="2482"/>
      <c r="Y116" s="2482"/>
      <c r="Z116" s="2482"/>
      <c r="AA116" s="2482"/>
      <c r="AB116" s="2482"/>
      <c r="AC116" s="2482"/>
      <c r="AD116" s="2482"/>
      <c r="AE116" s="2482"/>
      <c r="AF116" s="2482"/>
      <c r="AG116" s="2482"/>
    </row>
    <row r="117" spans="1:33" ht="16.7" customHeight="1" x14ac:dyDescent="0.2">
      <c r="A117" s="2827">
        <f t="shared" si="28"/>
        <v>31.600000000000009</v>
      </c>
      <c r="B117" s="2488" t="s">
        <v>8121</v>
      </c>
      <c r="C117" s="2489" t="s">
        <v>8159</v>
      </c>
      <c r="D117" s="2489" t="s">
        <v>8068</v>
      </c>
      <c r="E117" s="2488"/>
      <c r="F117" s="2828">
        <v>1600000</v>
      </c>
      <c r="G117" s="2828">
        <v>0</v>
      </c>
      <c r="H117" s="2530">
        <v>15634904</v>
      </c>
      <c r="I117" s="2530">
        <v>15784904</v>
      </c>
      <c r="J117" s="2530">
        <v>0</v>
      </c>
      <c r="K117" s="2828">
        <f t="shared" si="26"/>
        <v>1450000</v>
      </c>
      <c r="L117" s="2530">
        <v>0</v>
      </c>
      <c r="M117" s="2530">
        <v>15634904</v>
      </c>
      <c r="N117" s="2530">
        <v>0</v>
      </c>
      <c r="O117" s="2530">
        <v>0</v>
      </c>
      <c r="P117" s="2530">
        <v>0</v>
      </c>
      <c r="Q117" s="2479" t="str">
        <f t="shared" si="27"/>
        <v xml:space="preserve">Public Utility Tax, Other State Tax, Washington, </v>
      </c>
      <c r="T117" s="2635"/>
      <c r="U117" s="2482"/>
      <c r="V117" s="2482"/>
      <c r="W117" s="2482"/>
      <c r="X117" s="2482"/>
      <c r="Y117" s="2482"/>
      <c r="Z117" s="2482"/>
      <c r="AA117" s="2482"/>
      <c r="AB117" s="2482"/>
      <c r="AC117" s="2482"/>
      <c r="AD117" s="2482"/>
      <c r="AE117" s="2482"/>
      <c r="AF117" s="2482"/>
      <c r="AG117" s="2482"/>
    </row>
    <row r="118" spans="1:33" ht="16.7" customHeight="1" x14ac:dyDescent="0.2">
      <c r="A118" s="2827">
        <f t="shared" si="28"/>
        <v>31.70000000000001</v>
      </c>
      <c r="B118" s="2488" t="s">
        <v>8164</v>
      </c>
      <c r="C118" s="2489" t="s">
        <v>8159</v>
      </c>
      <c r="D118" s="2489" t="s">
        <v>8068</v>
      </c>
      <c r="E118" s="2488"/>
      <c r="F118" s="2828">
        <v>3200</v>
      </c>
      <c r="G118" s="2828">
        <v>0</v>
      </c>
      <c r="H118" s="2530">
        <v>26544</v>
      </c>
      <c r="I118" s="2530">
        <v>26344</v>
      </c>
      <c r="J118" s="2530">
        <v>0</v>
      </c>
      <c r="K118" s="2828">
        <f t="shared" si="26"/>
        <v>3400</v>
      </c>
      <c r="L118" s="2530">
        <v>0</v>
      </c>
      <c r="M118" s="2530">
        <v>26544</v>
      </c>
      <c r="N118" s="2530">
        <v>0</v>
      </c>
      <c r="O118" s="2530">
        <v>0</v>
      </c>
      <c r="P118" s="2530">
        <v>0</v>
      </c>
      <c r="Q118" s="2479" t="str">
        <f t="shared" si="27"/>
        <v xml:space="preserve">Business and Occupation Tax, Other State Tax, Washington, </v>
      </c>
      <c r="T118" s="2635"/>
      <c r="U118" s="2482"/>
      <c r="V118" s="2482"/>
      <c r="W118" s="2482"/>
      <c r="X118" s="2482"/>
      <c r="Y118" s="2482"/>
      <c r="Z118" s="2482"/>
      <c r="AA118" s="2482"/>
      <c r="AB118" s="2482"/>
      <c r="AC118" s="2482"/>
      <c r="AD118" s="2482"/>
      <c r="AE118" s="2482"/>
      <c r="AF118" s="2482"/>
      <c r="AG118" s="2482"/>
    </row>
    <row r="119" spans="1:33" ht="16.7" customHeight="1" x14ac:dyDescent="0.2">
      <c r="A119" s="2827">
        <f t="shared" si="28"/>
        <v>31.800000000000011</v>
      </c>
      <c r="B119" s="2488" t="s">
        <v>8165</v>
      </c>
      <c r="C119" s="2489" t="s">
        <v>8159</v>
      </c>
      <c r="D119" s="2489" t="s">
        <v>8069</v>
      </c>
      <c r="E119" s="2488"/>
      <c r="F119" s="2828">
        <v>2207731</v>
      </c>
      <c r="G119" s="2828">
        <v>0</v>
      </c>
      <c r="H119" s="2530">
        <v>2091917</v>
      </c>
      <c r="I119" s="2530">
        <v>2207500</v>
      </c>
      <c r="J119" s="2530">
        <v>0</v>
      </c>
      <c r="K119" s="2828">
        <f t="shared" si="26"/>
        <v>2092148</v>
      </c>
      <c r="L119" s="2530">
        <v>0</v>
      </c>
      <c r="M119" s="2530">
        <v>2091917</v>
      </c>
      <c r="N119" s="2530">
        <v>0</v>
      </c>
      <c r="O119" s="2530">
        <v>0</v>
      </c>
      <c r="P119" s="2530">
        <v>0</v>
      </c>
      <c r="Q119" s="2479" t="str">
        <f t="shared" si="27"/>
        <v xml:space="preserve">Wind Generation Tax, Other State Tax, Wyoming, </v>
      </c>
      <c r="T119" s="2635"/>
      <c r="U119" s="2482"/>
      <c r="V119" s="2482"/>
      <c r="W119" s="2482"/>
      <c r="X119" s="2482"/>
      <c r="Y119" s="2482"/>
      <c r="Z119" s="2482"/>
      <c r="AA119" s="2482"/>
      <c r="AB119" s="2482"/>
      <c r="AC119" s="2482"/>
      <c r="AD119" s="2482"/>
      <c r="AE119" s="2482"/>
      <c r="AF119" s="2482"/>
      <c r="AG119" s="2482"/>
    </row>
    <row r="120" spans="1:33" ht="16.7" customHeight="1" x14ac:dyDescent="0.2">
      <c r="A120" s="2827">
        <f t="shared" si="28"/>
        <v>31.900000000000013</v>
      </c>
      <c r="B120" s="2488" t="s">
        <v>8166</v>
      </c>
      <c r="C120" s="2489" t="s">
        <v>8159</v>
      </c>
      <c r="D120" s="2489" t="s">
        <v>8069</v>
      </c>
      <c r="E120" s="2488"/>
      <c r="F120" s="2828">
        <v>0</v>
      </c>
      <c r="G120" s="2828">
        <v>0</v>
      </c>
      <c r="H120" s="2530">
        <v>125857</v>
      </c>
      <c r="I120" s="2530">
        <v>125857</v>
      </c>
      <c r="J120" s="2530">
        <v>0</v>
      </c>
      <c r="K120" s="2828">
        <f t="shared" si="26"/>
        <v>0</v>
      </c>
      <c r="L120" s="2530">
        <v>0</v>
      </c>
      <c r="M120" s="2530">
        <v>125857</v>
      </c>
      <c r="N120" s="2530">
        <v>0</v>
      </c>
      <c r="O120" s="2530">
        <v>0</v>
      </c>
      <c r="P120" s="2530">
        <v>0</v>
      </c>
      <c r="Q120" s="2479" t="str">
        <f t="shared" si="27"/>
        <v xml:space="preserve">Annual Report, Other State Tax, Wyoming, </v>
      </c>
      <c r="T120" s="2635"/>
      <c r="U120" s="2482"/>
      <c r="V120" s="2482"/>
      <c r="W120" s="2482"/>
      <c r="X120" s="2482"/>
      <c r="Y120" s="2482"/>
      <c r="Z120" s="2482"/>
      <c r="AA120" s="2482"/>
      <c r="AB120" s="2482"/>
      <c r="AC120" s="2482"/>
      <c r="AD120" s="2482"/>
      <c r="AE120" s="2482"/>
      <c r="AF120" s="2482"/>
      <c r="AG120" s="2482"/>
    </row>
    <row r="121" spans="1:33" ht="16.7" customHeight="1" x14ac:dyDescent="0.2">
      <c r="A121" s="2827" t="s">
        <v>6020</v>
      </c>
      <c r="B121" s="2830" t="s">
        <v>8167</v>
      </c>
      <c r="C121" s="2800"/>
      <c r="D121" s="2800"/>
      <c r="E121" s="2800"/>
      <c r="F121" s="2831">
        <f t="shared" ref="F121:P121" si="29">SUM(F112:F120)</f>
        <v>3991125</v>
      </c>
      <c r="G121" s="2831">
        <f t="shared" si="29"/>
        <v>757036</v>
      </c>
      <c r="H121" s="2832">
        <f t="shared" si="29"/>
        <v>20044893</v>
      </c>
      <c r="I121" s="2832">
        <f t="shared" si="29"/>
        <v>20226509</v>
      </c>
      <c r="J121" s="2832">
        <f t="shared" si="29"/>
        <v>0</v>
      </c>
      <c r="K121" s="2831">
        <f t="shared" si="29"/>
        <v>3734429</v>
      </c>
      <c r="L121" s="2831">
        <f t="shared" si="29"/>
        <v>681956</v>
      </c>
      <c r="M121" s="2832">
        <f t="shared" si="29"/>
        <v>20044893</v>
      </c>
      <c r="N121" s="2832">
        <f t="shared" si="29"/>
        <v>0</v>
      </c>
      <c r="O121" s="2832">
        <f t="shared" si="29"/>
        <v>0</v>
      </c>
      <c r="P121" s="2832">
        <f t="shared" si="29"/>
        <v>0</v>
      </c>
      <c r="Q121" s="2479"/>
      <c r="R121" s="2576" t="s">
        <v>8168</v>
      </c>
      <c r="T121" s="2635"/>
      <c r="U121" s="2482"/>
      <c r="V121" s="2482"/>
      <c r="W121" s="2482"/>
      <c r="X121" s="2482"/>
      <c r="Y121" s="2482"/>
      <c r="Z121" s="2482"/>
      <c r="AA121" s="2482"/>
      <c r="AB121" s="2482"/>
      <c r="AC121" s="2482"/>
      <c r="AD121" s="2482"/>
      <c r="AE121" s="2482"/>
      <c r="AF121" s="2482"/>
      <c r="AG121" s="2482"/>
    </row>
    <row r="122" spans="1:33" ht="16.7" customHeight="1" x14ac:dyDescent="0.2">
      <c r="A122" s="2827" t="s">
        <v>8169</v>
      </c>
      <c r="B122" s="2488"/>
      <c r="C122" s="2488"/>
      <c r="D122" s="2488"/>
      <c r="E122" s="2488"/>
      <c r="F122" s="2828">
        <f>SUMIFS($U122:$XFD122,$U$9:$XFD$9,$F$9,$U$8:$XFD$8,$F$8)</f>
        <v>0</v>
      </c>
      <c r="G122" s="2828">
        <f>SUMIFS($U122:$XFD122,$U$9:$XFD$9,$G$9,$U$8:$XFD$8,$G$8)</f>
        <v>0</v>
      </c>
      <c r="H122" s="2488"/>
      <c r="I122" s="2488"/>
      <c r="J122" s="2488"/>
      <c r="K122" s="2828">
        <f>F122-G122+H122-I122+J122+L122</f>
        <v>0</v>
      </c>
      <c r="L122" s="2488"/>
      <c r="M122" s="2488"/>
      <c r="N122" s="2488"/>
      <c r="O122" s="2488"/>
      <c r="P122" s="2488"/>
      <c r="Q122" s="2479" t="str">
        <f>CONCATENATE(B122,", ",C122,", ",D122,", ",E122)</f>
        <v xml:space="preserve">, , , </v>
      </c>
      <c r="T122" s="2635"/>
      <c r="U122" s="2482"/>
      <c r="V122" s="2482"/>
      <c r="W122" s="2482"/>
      <c r="X122" s="2482"/>
      <c r="Y122" s="2482"/>
      <c r="Z122" s="2482"/>
      <c r="AA122" s="2482"/>
      <c r="AB122" s="2482"/>
      <c r="AC122" s="2482"/>
      <c r="AD122" s="2482"/>
      <c r="AE122" s="2482"/>
      <c r="AF122" s="2482"/>
      <c r="AG122" s="2482"/>
    </row>
    <row r="123" spans="1:33" ht="16.7" customHeight="1" x14ac:dyDescent="0.2">
      <c r="A123" s="2827" t="s">
        <v>8170</v>
      </c>
      <c r="B123" s="2488"/>
      <c r="C123" s="2488"/>
      <c r="D123" s="2488"/>
      <c r="E123" s="2488"/>
      <c r="F123" s="2828">
        <f>SUMIFS($U123:$XFD123,$U$9:$XFD$9,$F$9,$U$8:$XFD$8,$F$8)</f>
        <v>0</v>
      </c>
      <c r="G123" s="2828">
        <f>SUMIFS($U123:$XFD123,$U$9:$XFD$9,$G$9,$U$8:$XFD$8,$G$8)</f>
        <v>0</v>
      </c>
      <c r="H123" s="2488"/>
      <c r="I123" s="2488"/>
      <c r="J123" s="2488"/>
      <c r="K123" s="2828">
        <f>F123-G123+H123-I123+J123+L123</f>
        <v>0</v>
      </c>
      <c r="L123" s="2488"/>
      <c r="M123" s="2488"/>
      <c r="N123" s="2488"/>
      <c r="O123" s="2488"/>
      <c r="P123" s="2488"/>
      <c r="Q123" s="2479" t="str">
        <f>CONCATENATE(B123,", ",C123,", ",D123,", ",E123)</f>
        <v xml:space="preserve">, , , </v>
      </c>
      <c r="T123" s="2635"/>
      <c r="U123" s="2482"/>
      <c r="V123" s="2482"/>
      <c r="W123" s="2482"/>
      <c r="X123" s="2482"/>
      <c r="Y123" s="2482"/>
      <c r="Z123" s="2482"/>
      <c r="AA123" s="2482"/>
      <c r="AB123" s="2482"/>
      <c r="AC123" s="2482"/>
      <c r="AD123" s="2482"/>
      <c r="AE123" s="2482"/>
      <c r="AF123" s="2482"/>
      <c r="AG123" s="2482"/>
    </row>
    <row r="124" spans="1:33" ht="16.7" customHeight="1" x14ac:dyDescent="0.2">
      <c r="A124" s="2827" t="s">
        <v>6024</v>
      </c>
      <c r="B124" s="2830" t="s">
        <v>8171</v>
      </c>
      <c r="C124" s="2800"/>
      <c r="D124" s="2800"/>
      <c r="E124" s="2800"/>
      <c r="F124" s="2834">
        <f t="shared" ref="F124:P124" si="30">SUM(F122:F123)</f>
        <v>0</v>
      </c>
      <c r="G124" s="2834">
        <f t="shared" si="30"/>
        <v>0</v>
      </c>
      <c r="H124" s="2832">
        <f t="shared" si="30"/>
        <v>0</v>
      </c>
      <c r="I124" s="2832">
        <f t="shared" si="30"/>
        <v>0</v>
      </c>
      <c r="J124" s="2832">
        <f t="shared" si="30"/>
        <v>0</v>
      </c>
      <c r="K124" s="2834">
        <f t="shared" si="30"/>
        <v>0</v>
      </c>
      <c r="L124" s="2832">
        <f t="shared" si="30"/>
        <v>0</v>
      </c>
      <c r="M124" s="2832">
        <f t="shared" si="30"/>
        <v>0</v>
      </c>
      <c r="N124" s="2832">
        <f t="shared" si="30"/>
        <v>0</v>
      </c>
      <c r="O124" s="2832">
        <f t="shared" si="30"/>
        <v>0</v>
      </c>
      <c r="P124" s="2832">
        <f t="shared" si="30"/>
        <v>0</v>
      </c>
      <c r="Q124" s="2479"/>
      <c r="R124" s="2576" t="s">
        <v>8172</v>
      </c>
      <c r="T124" s="2635"/>
      <c r="U124" s="2482"/>
      <c r="V124" s="2482"/>
      <c r="W124" s="2482"/>
      <c r="X124" s="2482"/>
      <c r="Y124" s="2482"/>
      <c r="Z124" s="2482"/>
      <c r="AA124" s="2482"/>
      <c r="AB124" s="2482"/>
      <c r="AC124" s="2482"/>
      <c r="AD124" s="2482"/>
      <c r="AE124" s="2482"/>
      <c r="AF124" s="2482"/>
      <c r="AG124" s="2482"/>
    </row>
    <row r="125" spans="1:33" ht="16.7" customHeight="1" x14ac:dyDescent="0.2">
      <c r="A125" s="2827" t="s">
        <v>8173</v>
      </c>
      <c r="B125" s="2488"/>
      <c r="C125" s="2488"/>
      <c r="D125" s="2488"/>
      <c r="E125" s="2488"/>
      <c r="F125" s="2828">
        <f>SUMIFS($U125:$XFD125,$U$9:$XFD$9,$F$9,$U$8:$XFD$8,$F$8)</f>
        <v>0</v>
      </c>
      <c r="G125" s="2828">
        <f>SUMIFS($U125:$XFD125,$U$9:$XFD$9,$G$9,$U$8:$XFD$8,$G$8)</f>
        <v>0</v>
      </c>
      <c r="H125" s="2488"/>
      <c r="I125" s="2488"/>
      <c r="J125" s="2488"/>
      <c r="K125" s="2828">
        <f>F125-G125+H125-I125+J125+L125</f>
        <v>0</v>
      </c>
      <c r="L125" s="2488"/>
      <c r="M125" s="2488"/>
      <c r="N125" s="2488"/>
      <c r="O125" s="2488"/>
      <c r="P125" s="2488"/>
      <c r="Q125" s="2479" t="str">
        <f>CONCATENATE(B125,", ",C125,", ",D125,", ",E125)</f>
        <v xml:space="preserve">, , , </v>
      </c>
      <c r="T125" s="2635"/>
      <c r="U125" s="2482"/>
      <c r="V125" s="2482"/>
      <c r="W125" s="2482"/>
      <c r="X125" s="2482"/>
      <c r="Y125" s="2482"/>
      <c r="Z125" s="2482"/>
      <c r="AA125" s="2482"/>
      <c r="AB125" s="2482"/>
      <c r="AC125" s="2482"/>
      <c r="AD125" s="2482"/>
      <c r="AE125" s="2482"/>
      <c r="AF125" s="2482"/>
      <c r="AG125" s="2482"/>
    </row>
    <row r="126" spans="1:33" ht="16.7" customHeight="1" x14ac:dyDescent="0.2">
      <c r="A126" s="2827" t="s">
        <v>8174</v>
      </c>
      <c r="B126" s="2488"/>
      <c r="C126" s="2488"/>
      <c r="D126" s="2488"/>
      <c r="E126" s="2488"/>
      <c r="F126" s="2828">
        <f>SUMIFS($U126:$XFD126,$U$9:$XFD$9,$F$9,$U$8:$XFD$8,$F$8)</f>
        <v>0</v>
      </c>
      <c r="G126" s="2828">
        <f>SUMIFS($U126:$XFD126,$U$9:$XFD$9,$G$9,$U$8:$XFD$8,$G$8)</f>
        <v>0</v>
      </c>
      <c r="H126" s="2488"/>
      <c r="I126" s="2488"/>
      <c r="J126" s="2488"/>
      <c r="K126" s="2828">
        <f>F126-G126+H126-I126+J126+L126</f>
        <v>0</v>
      </c>
      <c r="L126" s="2488"/>
      <c r="M126" s="2488"/>
      <c r="N126" s="2488"/>
      <c r="O126" s="2488"/>
      <c r="P126" s="2488"/>
      <c r="Q126" s="2479" t="str">
        <f>CONCATENATE(B126,", ",C126,", ",D126,", ",E126)</f>
        <v xml:space="preserve">, , , </v>
      </c>
      <c r="T126" s="2635"/>
      <c r="U126" s="2482"/>
      <c r="V126" s="2482"/>
      <c r="W126" s="2482"/>
      <c r="X126" s="2482"/>
      <c r="Y126" s="2482"/>
      <c r="Z126" s="2482"/>
      <c r="AA126" s="2482"/>
      <c r="AB126" s="2482"/>
      <c r="AC126" s="2482"/>
      <c r="AD126" s="2482"/>
      <c r="AE126" s="2482"/>
      <c r="AF126" s="2482"/>
      <c r="AG126" s="2482"/>
    </row>
    <row r="127" spans="1:33" ht="16.7" customHeight="1" x14ac:dyDescent="0.2">
      <c r="A127" s="2827" t="s">
        <v>6028</v>
      </c>
      <c r="B127" s="2830" t="s">
        <v>8175</v>
      </c>
      <c r="C127" s="2800"/>
      <c r="D127" s="2800"/>
      <c r="E127" s="2800"/>
      <c r="F127" s="2834">
        <f t="shared" ref="F127:P127" si="31">SUM(F125:F126)</f>
        <v>0</v>
      </c>
      <c r="G127" s="2834">
        <f t="shared" si="31"/>
        <v>0</v>
      </c>
      <c r="H127" s="2832">
        <f t="shared" si="31"/>
        <v>0</v>
      </c>
      <c r="I127" s="2832">
        <f t="shared" si="31"/>
        <v>0</v>
      </c>
      <c r="J127" s="2832">
        <f t="shared" si="31"/>
        <v>0</v>
      </c>
      <c r="K127" s="2834">
        <f t="shared" si="31"/>
        <v>0</v>
      </c>
      <c r="L127" s="2832">
        <f t="shared" si="31"/>
        <v>0</v>
      </c>
      <c r="M127" s="2832">
        <f t="shared" si="31"/>
        <v>0</v>
      </c>
      <c r="N127" s="2832">
        <f t="shared" si="31"/>
        <v>0</v>
      </c>
      <c r="O127" s="2832">
        <f t="shared" si="31"/>
        <v>0</v>
      </c>
      <c r="P127" s="2832">
        <f t="shared" si="31"/>
        <v>0</v>
      </c>
      <c r="Q127" s="2479"/>
      <c r="R127" s="2576" t="s">
        <v>8176</v>
      </c>
      <c r="T127" s="2635"/>
      <c r="U127" s="2482"/>
      <c r="V127" s="2482"/>
      <c r="W127" s="2482"/>
      <c r="X127" s="2482"/>
      <c r="Y127" s="2482"/>
      <c r="Z127" s="2482"/>
      <c r="AA127" s="2482"/>
      <c r="AB127" s="2482"/>
      <c r="AC127" s="2482"/>
      <c r="AD127" s="2482"/>
      <c r="AE127" s="2482"/>
      <c r="AF127" s="2482"/>
      <c r="AG127" s="2482"/>
    </row>
    <row r="128" spans="1:33" ht="16.7" customHeight="1" x14ac:dyDescent="0.2">
      <c r="A128" s="2827" t="s">
        <v>8177</v>
      </c>
      <c r="B128" s="2488"/>
      <c r="C128" s="2488"/>
      <c r="D128" s="2488"/>
      <c r="E128" s="2488"/>
      <c r="F128" s="2828">
        <f>SUMIFS($U128:$XFD128,$U$9:$XFD$9,$F$9,$U$8:$XFD$8,$F$8)</f>
        <v>0</v>
      </c>
      <c r="G128" s="2828">
        <f>SUMIFS($U128:$XFD128,$U$9:$XFD$9,$G$9,$U$8:$XFD$8,$G$8)</f>
        <v>0</v>
      </c>
      <c r="H128" s="2488"/>
      <c r="I128" s="2488"/>
      <c r="J128" s="2488"/>
      <c r="K128" s="2828">
        <f>F128-G128+H128-I128+J128+L128</f>
        <v>0</v>
      </c>
      <c r="L128" s="2488"/>
      <c r="M128" s="2488"/>
      <c r="N128" s="2488"/>
      <c r="O128" s="2488"/>
      <c r="P128" s="2488"/>
      <c r="Q128" s="2479" t="str">
        <f>CONCATENATE(B128,", ",C128,", ",D128,", ",E128)</f>
        <v xml:space="preserve">, , , </v>
      </c>
      <c r="T128" s="2635"/>
      <c r="U128" s="2482"/>
      <c r="V128" s="2482"/>
      <c r="W128" s="2482"/>
      <c r="X128" s="2482"/>
      <c r="Y128" s="2482"/>
      <c r="Z128" s="2482"/>
      <c r="AA128" s="2482"/>
      <c r="AB128" s="2482"/>
      <c r="AC128" s="2482"/>
      <c r="AD128" s="2482"/>
      <c r="AE128" s="2482"/>
      <c r="AF128" s="2482"/>
      <c r="AG128" s="2482"/>
    </row>
    <row r="129" spans="1:33" ht="16.7" customHeight="1" x14ac:dyDescent="0.2">
      <c r="A129" s="2827" t="s">
        <v>8178</v>
      </c>
      <c r="B129" s="2488"/>
      <c r="C129" s="2488"/>
      <c r="D129" s="2488"/>
      <c r="E129" s="2488"/>
      <c r="F129" s="2828">
        <f>SUMIFS($U129:$XFD129,$U$9:$XFD$9,$F$9,$U$8:$XFD$8,$F$8)</f>
        <v>0</v>
      </c>
      <c r="G129" s="2828">
        <f>SUMIFS($U129:$XFD129,$U$9:$XFD$9,$G$9,$U$8:$XFD$8,$G$8)</f>
        <v>0</v>
      </c>
      <c r="H129" s="2488"/>
      <c r="I129" s="2488"/>
      <c r="J129" s="2488"/>
      <c r="K129" s="2828">
        <f>F129-G129+H129-I129+J129+L129</f>
        <v>0</v>
      </c>
      <c r="L129" s="2488"/>
      <c r="M129" s="2488"/>
      <c r="N129" s="2488"/>
      <c r="O129" s="2488"/>
      <c r="P129" s="2488"/>
      <c r="Q129" s="2479" t="str">
        <f>CONCATENATE(B129,", ",C129,", ",D129,", ",E129)</f>
        <v xml:space="preserve">, , , </v>
      </c>
      <c r="T129" s="2635"/>
      <c r="U129" s="2482"/>
      <c r="V129" s="2482"/>
      <c r="W129" s="2482"/>
      <c r="X129" s="2482"/>
      <c r="Y129" s="2482"/>
      <c r="Z129" s="2482"/>
      <c r="AA129" s="2482"/>
      <c r="AB129" s="2482"/>
      <c r="AC129" s="2482"/>
      <c r="AD129" s="2482"/>
      <c r="AE129" s="2482"/>
      <c r="AF129" s="2482"/>
      <c r="AG129" s="2482"/>
    </row>
    <row r="130" spans="1:33" ht="16.7" customHeight="1" x14ac:dyDescent="0.2">
      <c r="A130" s="2827" t="s">
        <v>6032</v>
      </c>
      <c r="B130" s="2830" t="s">
        <v>8179</v>
      </c>
      <c r="C130" s="2800"/>
      <c r="D130" s="2800"/>
      <c r="E130" s="2800"/>
      <c r="F130" s="2834">
        <f t="shared" ref="F130:P130" si="32">SUM(F128:F129)</f>
        <v>0</v>
      </c>
      <c r="G130" s="2834">
        <f t="shared" si="32"/>
        <v>0</v>
      </c>
      <c r="H130" s="2832">
        <f t="shared" si="32"/>
        <v>0</v>
      </c>
      <c r="I130" s="2832">
        <f t="shared" si="32"/>
        <v>0</v>
      </c>
      <c r="J130" s="2832">
        <f t="shared" si="32"/>
        <v>0</v>
      </c>
      <c r="K130" s="2834">
        <f t="shared" si="32"/>
        <v>0</v>
      </c>
      <c r="L130" s="2832">
        <f t="shared" si="32"/>
        <v>0</v>
      </c>
      <c r="M130" s="2832">
        <f t="shared" si="32"/>
        <v>0</v>
      </c>
      <c r="N130" s="2832">
        <f t="shared" si="32"/>
        <v>0</v>
      </c>
      <c r="O130" s="2832">
        <f t="shared" si="32"/>
        <v>0</v>
      </c>
      <c r="P130" s="2832">
        <f t="shared" si="32"/>
        <v>0</v>
      </c>
      <c r="Q130" s="2479"/>
      <c r="R130" s="2576" t="s">
        <v>8180</v>
      </c>
      <c r="T130" s="2635"/>
      <c r="U130" s="2482"/>
      <c r="V130" s="2482"/>
      <c r="W130" s="2482"/>
      <c r="X130" s="2482"/>
      <c r="Y130" s="2482"/>
      <c r="Z130" s="2482"/>
      <c r="AA130" s="2482"/>
      <c r="AB130" s="2482"/>
      <c r="AC130" s="2482"/>
      <c r="AD130" s="2482"/>
      <c r="AE130" s="2482"/>
      <c r="AF130" s="2482"/>
      <c r="AG130" s="2482"/>
    </row>
    <row r="131" spans="1:33" ht="16.7" customHeight="1" x14ac:dyDescent="0.2">
      <c r="A131" s="2827" t="s">
        <v>8181</v>
      </c>
      <c r="B131" s="2488"/>
      <c r="C131" s="2488"/>
      <c r="D131" s="2488"/>
      <c r="E131" s="2488"/>
      <c r="F131" s="2828">
        <f>SUMIFS($U131:$XFD131,$U$9:$XFD$9,$F$9,$U$8:$XFD$8,$F$8)</f>
        <v>0</v>
      </c>
      <c r="G131" s="2828">
        <f>SUMIFS($U131:$XFD131,$U$9:$XFD$9,$G$9,$U$8:$XFD$8,$G$8)</f>
        <v>0</v>
      </c>
      <c r="H131" s="2488"/>
      <c r="I131" s="2488"/>
      <c r="J131" s="2488"/>
      <c r="K131" s="2828">
        <f>F131-G131+H131-I131+J131+L131</f>
        <v>0</v>
      </c>
      <c r="L131" s="2488"/>
      <c r="M131" s="2488"/>
      <c r="N131" s="2488"/>
      <c r="O131" s="2488"/>
      <c r="P131" s="2488"/>
      <c r="Q131" s="2479" t="str">
        <f>CONCATENATE(B131,", ",C131,", ",D131,", ",E131)</f>
        <v xml:space="preserve">, , , </v>
      </c>
      <c r="T131" s="2635"/>
      <c r="U131" s="2482"/>
      <c r="V131" s="2482"/>
      <c r="W131" s="2482"/>
      <c r="X131" s="2482"/>
      <c r="Y131" s="2482"/>
      <c r="Z131" s="2482"/>
      <c r="AA131" s="2482"/>
      <c r="AB131" s="2482"/>
      <c r="AC131" s="2482"/>
      <c r="AD131" s="2482"/>
      <c r="AE131" s="2482"/>
      <c r="AF131" s="2482"/>
      <c r="AG131" s="2482"/>
    </row>
    <row r="132" spans="1:33" ht="16.7" customHeight="1" x14ac:dyDescent="0.2">
      <c r="A132" s="2827" t="s">
        <v>8182</v>
      </c>
      <c r="B132" s="2488"/>
      <c r="C132" s="2488"/>
      <c r="D132" s="2488"/>
      <c r="E132" s="2488"/>
      <c r="F132" s="2828">
        <f>SUMIFS($U132:$XFD132,$U$9:$XFD$9,$F$9,$U$8:$XFD$8,$F$8)</f>
        <v>0</v>
      </c>
      <c r="G132" s="2828">
        <f>SUMIFS($U132:$XFD132,$U$9:$XFD$9,$G$9,$U$8:$XFD$8,$G$8)</f>
        <v>0</v>
      </c>
      <c r="H132" s="2488"/>
      <c r="I132" s="2488"/>
      <c r="J132" s="2488"/>
      <c r="K132" s="2828">
        <f>F132-G132+H132-I132+J132+L132</f>
        <v>0</v>
      </c>
      <c r="L132" s="2488"/>
      <c r="M132" s="2488"/>
      <c r="N132" s="2488"/>
      <c r="O132" s="2488"/>
      <c r="P132" s="2488"/>
      <c r="Q132" s="2479" t="str">
        <f>CONCATENATE(B132,", ",C132,", ",D132,", ",E132)</f>
        <v xml:space="preserve">, , , </v>
      </c>
      <c r="T132" s="2635"/>
      <c r="U132" s="2482"/>
      <c r="V132" s="2482"/>
      <c r="W132" s="2482"/>
      <c r="X132" s="2482"/>
      <c r="Y132" s="2482"/>
      <c r="Z132" s="2482"/>
      <c r="AA132" s="2482"/>
      <c r="AB132" s="2482"/>
      <c r="AC132" s="2482"/>
      <c r="AD132" s="2482"/>
      <c r="AE132" s="2482"/>
      <c r="AF132" s="2482"/>
      <c r="AG132" s="2482"/>
    </row>
    <row r="133" spans="1:33" ht="16.7" customHeight="1" x14ac:dyDescent="0.2">
      <c r="A133" s="2827" t="s">
        <v>6036</v>
      </c>
      <c r="B133" s="2830" t="s">
        <v>8183</v>
      </c>
      <c r="C133" s="2800"/>
      <c r="D133" s="2800"/>
      <c r="E133" s="2800"/>
      <c r="F133" s="2834">
        <f t="shared" ref="F133:P133" si="33">SUM(F131:F132)</f>
        <v>0</v>
      </c>
      <c r="G133" s="2834">
        <f t="shared" si="33"/>
        <v>0</v>
      </c>
      <c r="H133" s="2832">
        <f t="shared" si="33"/>
        <v>0</v>
      </c>
      <c r="I133" s="2832">
        <f t="shared" si="33"/>
        <v>0</v>
      </c>
      <c r="J133" s="2832">
        <f t="shared" si="33"/>
        <v>0</v>
      </c>
      <c r="K133" s="2834">
        <f t="shared" si="33"/>
        <v>0</v>
      </c>
      <c r="L133" s="2832">
        <f t="shared" si="33"/>
        <v>0</v>
      </c>
      <c r="M133" s="2832">
        <f t="shared" si="33"/>
        <v>0</v>
      </c>
      <c r="N133" s="2832">
        <f t="shared" si="33"/>
        <v>0</v>
      </c>
      <c r="O133" s="2832">
        <f t="shared" si="33"/>
        <v>0</v>
      </c>
      <c r="P133" s="2832">
        <f t="shared" si="33"/>
        <v>0</v>
      </c>
      <c r="Q133" s="2479"/>
      <c r="R133" s="2576" t="s">
        <v>8184</v>
      </c>
      <c r="T133" s="2635"/>
      <c r="U133" s="2482"/>
      <c r="V133" s="2482"/>
      <c r="W133" s="2482"/>
      <c r="X133" s="2482"/>
      <c r="Y133" s="2482"/>
      <c r="Z133" s="2482"/>
      <c r="AA133" s="2482"/>
      <c r="AB133" s="2482"/>
      <c r="AC133" s="2482"/>
      <c r="AD133" s="2482"/>
      <c r="AE133" s="2482"/>
      <c r="AF133" s="2482"/>
      <c r="AG133" s="2482"/>
    </row>
    <row r="134" spans="1:33" ht="16.7" customHeight="1" x14ac:dyDescent="0.2">
      <c r="A134" s="2827" t="s">
        <v>8185</v>
      </c>
      <c r="B134" s="2488" t="s">
        <v>8186</v>
      </c>
      <c r="C134" s="2489" t="s">
        <v>8187</v>
      </c>
      <c r="D134" s="2488"/>
      <c r="E134" s="2488"/>
      <c r="F134" s="2828">
        <v>627923</v>
      </c>
      <c r="G134" s="2828">
        <v>24707</v>
      </c>
      <c r="H134" s="2530">
        <v>43580002</v>
      </c>
      <c r="I134" s="2530">
        <v>43203075</v>
      </c>
      <c r="J134" s="2488"/>
      <c r="K134" s="2828">
        <v>1004850</v>
      </c>
      <c r="L134" s="2833">
        <v>24707</v>
      </c>
      <c r="M134" s="2488"/>
      <c r="N134" s="2488"/>
      <c r="O134" s="2488"/>
      <c r="P134" s="2531">
        <v>43580002</v>
      </c>
      <c r="Q134" s="2479" t="str">
        <f t="shared" ref="Q134:Q142" si="34">CONCATENATE(B134,", ",C134,", ",D134,", ",E134)</f>
        <v xml:space="preserve">Federal FICA Tax, Payroll Tax, , </v>
      </c>
      <c r="T134" s="2635"/>
      <c r="U134" s="2482"/>
      <c r="V134" s="2482"/>
      <c r="W134" s="2482"/>
      <c r="X134" s="2482"/>
      <c r="Y134" s="2482"/>
      <c r="Z134" s="2482"/>
      <c r="AA134" s="2482"/>
      <c r="AB134" s="2482"/>
      <c r="AC134" s="2482"/>
      <c r="AD134" s="2482"/>
      <c r="AE134" s="2482"/>
      <c r="AF134" s="2482"/>
      <c r="AG134" s="2482"/>
    </row>
    <row r="135" spans="1:33" ht="16.7" customHeight="1" x14ac:dyDescent="0.2">
      <c r="A135" s="2827" t="s">
        <v>8188</v>
      </c>
      <c r="B135" s="2488" t="s">
        <v>8189</v>
      </c>
      <c r="C135" s="2489" t="s">
        <v>8187</v>
      </c>
      <c r="D135" s="2489" t="s">
        <v>898</v>
      </c>
      <c r="E135" s="2488"/>
      <c r="F135" s="2828">
        <v>-387200</v>
      </c>
      <c r="G135" s="2828">
        <v>0</v>
      </c>
      <c r="H135" s="2530">
        <v>1336068</v>
      </c>
      <c r="I135" s="2530">
        <v>1445538</v>
      </c>
      <c r="J135" s="2488"/>
      <c r="K135" s="2828">
        <v>-496670</v>
      </c>
      <c r="L135" s="2488"/>
      <c r="M135" s="2488"/>
      <c r="N135" s="2488"/>
      <c r="O135" s="2488"/>
      <c r="P135" s="2531">
        <v>1336068</v>
      </c>
      <c r="Q135" s="2479" t="str">
        <f t="shared" si="34"/>
        <v xml:space="preserve">Tri-Met Transit Tax, Payroll Tax, Oregon, </v>
      </c>
      <c r="T135" s="2635"/>
      <c r="U135" s="2482"/>
      <c r="V135" s="2482"/>
      <c r="W135" s="2482"/>
      <c r="X135" s="2482"/>
      <c r="Y135" s="2482"/>
      <c r="Z135" s="2482"/>
      <c r="AA135" s="2482"/>
      <c r="AB135" s="2482"/>
      <c r="AC135" s="2482"/>
      <c r="AD135" s="2482"/>
      <c r="AE135" s="2482"/>
      <c r="AF135" s="2482"/>
      <c r="AG135" s="2482"/>
    </row>
    <row r="136" spans="1:33" ht="16.7" customHeight="1" x14ac:dyDescent="0.2">
      <c r="A136" s="2827" t="s">
        <v>8190</v>
      </c>
      <c r="B136" s="2488" t="s">
        <v>8191</v>
      </c>
      <c r="C136" s="2489" t="s">
        <v>8187</v>
      </c>
      <c r="D136" s="2489" t="s">
        <v>898</v>
      </c>
      <c r="E136" s="2488"/>
      <c r="F136" s="2828">
        <v>0</v>
      </c>
      <c r="G136" s="2828">
        <v>0</v>
      </c>
      <c r="H136" s="2530">
        <v>1810</v>
      </c>
      <c r="I136" s="2530">
        <v>1810</v>
      </c>
      <c r="J136" s="2488"/>
      <c r="K136" s="2828">
        <v>0</v>
      </c>
      <c r="L136" s="2488"/>
      <c r="M136" s="2488"/>
      <c r="N136" s="2488"/>
      <c r="O136" s="2488"/>
      <c r="P136" s="2531">
        <v>1810</v>
      </c>
      <c r="Q136" s="2479" t="str">
        <f t="shared" si="34"/>
        <v xml:space="preserve">Lane Transit Tax, Payroll Tax, Oregon, </v>
      </c>
      <c r="T136" s="2635"/>
      <c r="U136" s="2482"/>
      <c r="V136" s="2482"/>
      <c r="W136" s="2482"/>
      <c r="X136" s="2482"/>
      <c r="Y136" s="2482"/>
      <c r="Z136" s="2482"/>
      <c r="AA136" s="2482"/>
      <c r="AB136" s="2482"/>
      <c r="AC136" s="2482"/>
      <c r="AD136" s="2482"/>
      <c r="AE136" s="2482"/>
      <c r="AF136" s="2482"/>
      <c r="AG136" s="2482"/>
    </row>
    <row r="137" spans="1:33" ht="16.7" customHeight="1" x14ac:dyDescent="0.2">
      <c r="A137" s="2827" t="s">
        <v>8192</v>
      </c>
      <c r="B137" s="2488" t="s">
        <v>8193</v>
      </c>
      <c r="C137" s="2489" t="s">
        <v>8187</v>
      </c>
      <c r="D137" s="2489" t="s">
        <v>8064</v>
      </c>
      <c r="E137" s="2488"/>
      <c r="F137" s="2828">
        <v>0</v>
      </c>
      <c r="G137" s="2828">
        <v>0</v>
      </c>
      <c r="H137" s="2530">
        <v>0</v>
      </c>
      <c r="I137" s="2530">
        <v>-213</v>
      </c>
      <c r="J137" s="2488"/>
      <c r="K137" s="2828">
        <v>213</v>
      </c>
      <c r="L137" s="2488"/>
      <c r="M137" s="2488"/>
      <c r="N137" s="2488"/>
      <c r="O137" s="2488"/>
      <c r="P137" s="2530">
        <v>0</v>
      </c>
      <c r="Q137" s="2479" t="str">
        <f t="shared" si="34"/>
        <v xml:space="preserve">Family and Medical Leave, Payroll Tax, Colorado, </v>
      </c>
      <c r="T137" s="2635"/>
      <c r="U137" s="2482"/>
      <c r="V137" s="2482"/>
      <c r="W137" s="2482"/>
      <c r="X137" s="2482"/>
      <c r="Y137" s="2482"/>
      <c r="Z137" s="2482"/>
      <c r="AA137" s="2482"/>
      <c r="AB137" s="2482"/>
      <c r="AC137" s="2482"/>
      <c r="AD137" s="2482"/>
      <c r="AE137" s="2482"/>
      <c r="AF137" s="2482"/>
      <c r="AG137" s="2482"/>
    </row>
    <row r="138" spans="1:33" ht="16.7" customHeight="1" x14ac:dyDescent="0.2">
      <c r="A138" s="2827" t="s">
        <v>8194</v>
      </c>
      <c r="B138" s="2488" t="s">
        <v>8193</v>
      </c>
      <c r="C138" s="2489" t="s">
        <v>8187</v>
      </c>
      <c r="D138" s="2489" t="s">
        <v>898</v>
      </c>
      <c r="E138" s="2488"/>
      <c r="F138" s="2828">
        <v>0</v>
      </c>
      <c r="G138" s="2828">
        <v>0</v>
      </c>
      <c r="H138" s="2530">
        <v>0</v>
      </c>
      <c r="I138" s="2530">
        <v>237787</v>
      </c>
      <c r="J138" s="2488"/>
      <c r="K138" s="2828">
        <v>-237787</v>
      </c>
      <c r="L138" s="2488"/>
      <c r="M138" s="2488"/>
      <c r="N138" s="2488"/>
      <c r="O138" s="2488"/>
      <c r="P138" s="2530">
        <v>0</v>
      </c>
      <c r="Q138" s="2479" t="str">
        <f t="shared" si="34"/>
        <v xml:space="preserve">Family and Medical Leave, Payroll Tax, Oregon, </v>
      </c>
      <c r="T138" s="2635"/>
      <c r="U138" s="2482"/>
      <c r="V138" s="2482"/>
      <c r="W138" s="2482"/>
      <c r="X138" s="2482"/>
      <c r="Y138" s="2482"/>
      <c r="Z138" s="2482"/>
      <c r="AA138" s="2482"/>
      <c r="AB138" s="2482"/>
      <c r="AC138" s="2482"/>
      <c r="AD138" s="2482"/>
      <c r="AE138" s="2482"/>
      <c r="AF138" s="2482"/>
      <c r="AG138" s="2482"/>
    </row>
    <row r="139" spans="1:33" ht="16.7" customHeight="1" x14ac:dyDescent="0.2">
      <c r="A139" s="2827" t="s">
        <v>8195</v>
      </c>
      <c r="B139" s="2488" t="s">
        <v>8193</v>
      </c>
      <c r="C139" s="2489" t="s">
        <v>8187</v>
      </c>
      <c r="D139" s="2489" t="s">
        <v>8068</v>
      </c>
      <c r="E139" s="2488"/>
      <c r="F139" s="2828">
        <v>626</v>
      </c>
      <c r="G139" s="2828">
        <v>0</v>
      </c>
      <c r="H139" s="2530">
        <v>84109</v>
      </c>
      <c r="I139" s="2530">
        <v>99802</v>
      </c>
      <c r="J139" s="2488"/>
      <c r="K139" s="2828">
        <v>-15067</v>
      </c>
      <c r="L139" s="2488"/>
      <c r="M139" s="2488"/>
      <c r="N139" s="2488"/>
      <c r="O139" s="2488"/>
      <c r="P139" s="2531">
        <v>84109</v>
      </c>
      <c r="Q139" s="2479" t="str">
        <f t="shared" si="34"/>
        <v xml:space="preserve">Family and Medical Leave, Payroll Tax, Washington, </v>
      </c>
      <c r="T139" s="2635"/>
      <c r="U139" s="2482"/>
      <c r="V139" s="2482"/>
      <c r="W139" s="2482"/>
      <c r="X139" s="2482"/>
      <c r="Y139" s="2482"/>
      <c r="Z139" s="2482"/>
      <c r="AA139" s="2482"/>
      <c r="AB139" s="2482"/>
      <c r="AC139" s="2482"/>
      <c r="AD139" s="2482"/>
      <c r="AE139" s="2482"/>
      <c r="AF139" s="2482"/>
      <c r="AG139" s="2482"/>
    </row>
    <row r="140" spans="1:33" ht="16.7" customHeight="1" x14ac:dyDescent="0.2">
      <c r="A140" s="2827" t="s">
        <v>8196</v>
      </c>
      <c r="B140" s="2488" t="s">
        <v>8197</v>
      </c>
      <c r="C140" s="2489" t="s">
        <v>8187</v>
      </c>
      <c r="D140" s="2489" t="s">
        <v>898</v>
      </c>
      <c r="E140" s="2488"/>
      <c r="F140" s="2828">
        <v>0</v>
      </c>
      <c r="G140" s="2828">
        <v>0</v>
      </c>
      <c r="H140" s="2530">
        <v>0</v>
      </c>
      <c r="I140" s="2530">
        <v>15125</v>
      </c>
      <c r="J140" s="2488"/>
      <c r="K140" s="2828">
        <v>-15125</v>
      </c>
      <c r="L140" s="2488"/>
      <c r="M140" s="2488"/>
      <c r="N140" s="2488"/>
      <c r="O140" s="2488"/>
      <c r="P140" s="2530">
        <v>0</v>
      </c>
      <c r="Q140" s="2479" t="str">
        <f t="shared" si="34"/>
        <v xml:space="preserve">Workers Benefit Fund EE, Payroll Tax, Oregon, </v>
      </c>
      <c r="T140" s="2635"/>
      <c r="U140" s="2482"/>
      <c r="V140" s="2482"/>
      <c r="W140" s="2482"/>
      <c r="X140" s="2482"/>
      <c r="Y140" s="2482"/>
      <c r="Z140" s="2482"/>
      <c r="AA140" s="2482"/>
      <c r="AB140" s="2482"/>
      <c r="AC140" s="2482"/>
      <c r="AD140" s="2482"/>
      <c r="AE140" s="2482"/>
      <c r="AF140" s="2482"/>
      <c r="AG140" s="2482"/>
    </row>
    <row r="141" spans="1:33" ht="16.7" customHeight="1" x14ac:dyDescent="0.2">
      <c r="A141" s="2827" t="s">
        <v>8198</v>
      </c>
      <c r="B141" s="2488" t="s">
        <v>8199</v>
      </c>
      <c r="C141" s="2489" t="s">
        <v>8187</v>
      </c>
      <c r="D141" s="2489" t="s">
        <v>898</v>
      </c>
      <c r="E141" s="2488"/>
      <c r="F141" s="2828">
        <v>0</v>
      </c>
      <c r="G141" s="2828">
        <v>0</v>
      </c>
      <c r="H141" s="2530">
        <v>0</v>
      </c>
      <c r="I141" s="2530">
        <v>15125</v>
      </c>
      <c r="J141" s="2488"/>
      <c r="K141" s="2828">
        <v>-15125</v>
      </c>
      <c r="L141" s="2488"/>
      <c r="M141" s="2488"/>
      <c r="N141" s="2488"/>
      <c r="O141" s="2488"/>
      <c r="P141" s="2530">
        <v>0</v>
      </c>
      <c r="Q141" s="2479" t="str">
        <f t="shared" si="34"/>
        <v xml:space="preserve">Workers Benefit Fund ER, Payroll Tax, Oregon, </v>
      </c>
      <c r="T141" s="2635"/>
      <c r="U141" s="2482"/>
      <c r="V141" s="2482"/>
      <c r="W141" s="2482"/>
      <c r="X141" s="2482"/>
      <c r="Y141" s="2482"/>
      <c r="Z141" s="2482"/>
      <c r="AA141" s="2482"/>
      <c r="AB141" s="2482"/>
      <c r="AC141" s="2482"/>
      <c r="AD141" s="2482"/>
      <c r="AE141" s="2482"/>
      <c r="AF141" s="2482"/>
      <c r="AG141" s="2482"/>
    </row>
    <row r="142" spans="1:33" ht="16.7" customHeight="1" x14ac:dyDescent="0.2">
      <c r="A142" s="2827" t="s">
        <v>8200</v>
      </c>
      <c r="B142" s="2488" t="s">
        <v>8201</v>
      </c>
      <c r="C142" s="2489" t="s">
        <v>8187</v>
      </c>
      <c r="D142" s="2489" t="s">
        <v>8068</v>
      </c>
      <c r="E142" s="2488"/>
      <c r="F142" s="2828">
        <v>0</v>
      </c>
      <c r="G142" s="2828">
        <v>0</v>
      </c>
      <c r="H142" s="2530">
        <v>0</v>
      </c>
      <c r="I142" s="2530">
        <v>-24281</v>
      </c>
      <c r="J142" s="2488"/>
      <c r="K142" s="2828">
        <v>24281</v>
      </c>
      <c r="L142" s="2488"/>
      <c r="M142" s="2488"/>
      <c r="N142" s="2488"/>
      <c r="O142" s="2488"/>
      <c r="P142" s="2530">
        <v>0</v>
      </c>
      <c r="Q142" s="2479" t="str">
        <f t="shared" si="34"/>
        <v xml:space="preserve">Long Term Care EE, Payroll Tax, Washington, </v>
      </c>
      <c r="T142" s="2635"/>
      <c r="U142" s="2482"/>
      <c r="V142" s="2482"/>
      <c r="W142" s="2482"/>
      <c r="X142" s="2482"/>
      <c r="Y142" s="2482"/>
      <c r="Z142" s="2482"/>
      <c r="AA142" s="2482"/>
      <c r="AB142" s="2482"/>
      <c r="AC142" s="2482"/>
      <c r="AD142" s="2482"/>
      <c r="AE142" s="2482"/>
      <c r="AF142" s="2482"/>
      <c r="AG142" s="2482"/>
    </row>
    <row r="143" spans="1:33" ht="16.7" customHeight="1" x14ac:dyDescent="0.2">
      <c r="A143" s="2827" t="s">
        <v>6040</v>
      </c>
      <c r="B143" s="2830" t="s">
        <v>8202</v>
      </c>
      <c r="C143" s="2800"/>
      <c r="D143" s="2800"/>
      <c r="E143" s="2800"/>
      <c r="F143" s="2831">
        <f t="shared" ref="F143:K143" si="35">SUM(F134:F142)</f>
        <v>241349</v>
      </c>
      <c r="G143" s="2831">
        <f t="shared" si="35"/>
        <v>24707</v>
      </c>
      <c r="H143" s="2831">
        <f t="shared" si="35"/>
        <v>45001989</v>
      </c>
      <c r="I143" s="2831">
        <f t="shared" si="35"/>
        <v>44993768</v>
      </c>
      <c r="J143" s="2831">
        <f t="shared" si="35"/>
        <v>0</v>
      </c>
      <c r="K143" s="2831">
        <f t="shared" si="35"/>
        <v>249570</v>
      </c>
      <c r="L143" s="2831">
        <f>SUM(L134:L139)</f>
        <v>24707</v>
      </c>
      <c r="M143" s="2832">
        <f>SUM(M134:M139)</f>
        <v>0</v>
      </c>
      <c r="N143" s="2832">
        <f>SUM(N134:N139)</f>
        <v>0</v>
      </c>
      <c r="O143" s="2832">
        <f>SUM(O134:O139)</f>
        <v>0</v>
      </c>
      <c r="P143" s="2832">
        <f>SUM(P134:P139)</f>
        <v>45001989</v>
      </c>
      <c r="Q143" s="2479"/>
      <c r="R143" s="2576" t="s">
        <v>8203</v>
      </c>
      <c r="T143" s="2635"/>
      <c r="U143" s="2482"/>
      <c r="V143" s="2482"/>
      <c r="W143" s="2482"/>
      <c r="X143" s="2482"/>
      <c r="Y143" s="2482"/>
      <c r="Z143" s="2482"/>
      <c r="AA143" s="2482"/>
      <c r="AB143" s="2482"/>
      <c r="AC143" s="2482"/>
      <c r="AD143" s="2482"/>
      <c r="AE143" s="2482"/>
      <c r="AF143" s="2482"/>
      <c r="AG143" s="2482"/>
    </row>
    <row r="144" spans="1:33" ht="16.7" customHeight="1" x14ac:dyDescent="0.2">
      <c r="A144" s="2827" t="s">
        <v>7429</v>
      </c>
      <c r="B144" s="2488"/>
      <c r="C144" s="2488"/>
      <c r="D144" s="2488"/>
      <c r="E144" s="2488"/>
      <c r="F144" s="2828">
        <f>SUMIFS($U144:$XFD144,$U$9:$XFD$9,$F$9,$U$8:$XFD$8,$F$8)</f>
        <v>0</v>
      </c>
      <c r="G144" s="2828">
        <f>SUMIFS($U144:$XFD144,$U$9:$XFD$9,$G$9,$U$8:$XFD$8,$G$8)</f>
        <v>0</v>
      </c>
      <c r="H144" s="2488"/>
      <c r="I144" s="2488"/>
      <c r="J144" s="2488"/>
      <c r="K144" s="2828">
        <f>F144-G144+H144-I144+J144+L144</f>
        <v>0</v>
      </c>
      <c r="L144" s="2488"/>
      <c r="M144" s="2488"/>
      <c r="N144" s="2488"/>
      <c r="O144" s="2488"/>
      <c r="P144" s="2488"/>
      <c r="Q144" s="2479" t="str">
        <f>CONCATENATE(B144,", ",C144,", ",D144,", ",E144)</f>
        <v xml:space="preserve">, , , </v>
      </c>
      <c r="T144" s="2635"/>
      <c r="U144" s="2482"/>
      <c r="V144" s="2482"/>
      <c r="W144" s="2482"/>
      <c r="X144" s="2482"/>
      <c r="Y144" s="2482"/>
      <c r="Z144" s="2482"/>
      <c r="AA144" s="2482"/>
      <c r="AB144" s="2482"/>
      <c r="AC144" s="2482"/>
      <c r="AD144" s="2482"/>
      <c r="AE144" s="2482"/>
      <c r="AF144" s="2482"/>
      <c r="AG144" s="2482"/>
    </row>
    <row r="145" spans="1:33" ht="16.7" customHeight="1" x14ac:dyDescent="0.2">
      <c r="A145" s="2827" t="s">
        <v>8204</v>
      </c>
      <c r="B145" s="2488"/>
      <c r="C145" s="2488"/>
      <c r="D145" s="2488"/>
      <c r="E145" s="2488"/>
      <c r="F145" s="2828">
        <f>SUMIFS($U145:$XFD145,$U$9:$XFD$9,$F$9,$U$8:$XFD$8,$F$8)</f>
        <v>0</v>
      </c>
      <c r="G145" s="2828">
        <f>SUMIFS($U145:$XFD145,$U$9:$XFD$9,$G$9,$U$8:$XFD$8,$G$8)</f>
        <v>0</v>
      </c>
      <c r="H145" s="2488"/>
      <c r="I145" s="2488"/>
      <c r="J145" s="2488"/>
      <c r="K145" s="2828">
        <f>F145-G145+H145-I145+J145+L145</f>
        <v>0</v>
      </c>
      <c r="L145" s="2488"/>
      <c r="M145" s="2488"/>
      <c r="N145" s="2488"/>
      <c r="O145" s="2488"/>
      <c r="P145" s="2488"/>
      <c r="Q145" s="2479" t="str">
        <f>CONCATENATE(B145,", ",C145,", ",D145,", ",E145)</f>
        <v xml:space="preserve">, , , </v>
      </c>
      <c r="T145" s="2635"/>
      <c r="U145" s="2482"/>
      <c r="V145" s="2482"/>
      <c r="W145" s="2482"/>
      <c r="X145" s="2482"/>
      <c r="Y145" s="2482"/>
      <c r="Z145" s="2482"/>
      <c r="AA145" s="2482"/>
      <c r="AB145" s="2482"/>
      <c r="AC145" s="2482"/>
      <c r="AD145" s="2482"/>
      <c r="AE145" s="2482"/>
      <c r="AF145" s="2482"/>
      <c r="AG145" s="2482"/>
    </row>
    <row r="146" spans="1:33" ht="16.7" customHeight="1" x14ac:dyDescent="0.2">
      <c r="A146" s="2827" t="s">
        <v>6044</v>
      </c>
      <c r="B146" s="2830" t="s">
        <v>8205</v>
      </c>
      <c r="C146" s="2800"/>
      <c r="D146" s="2800"/>
      <c r="E146" s="2800"/>
      <c r="F146" s="2834">
        <f t="shared" ref="F146:P146" si="36">SUM(F144:F145)</f>
        <v>0</v>
      </c>
      <c r="G146" s="2834">
        <f t="shared" si="36"/>
        <v>0</v>
      </c>
      <c r="H146" s="2832">
        <f t="shared" si="36"/>
        <v>0</v>
      </c>
      <c r="I146" s="2832">
        <f t="shared" si="36"/>
        <v>0</v>
      </c>
      <c r="J146" s="2832">
        <f t="shared" si="36"/>
        <v>0</v>
      </c>
      <c r="K146" s="2834">
        <f t="shared" si="36"/>
        <v>0</v>
      </c>
      <c r="L146" s="2832">
        <f t="shared" si="36"/>
        <v>0</v>
      </c>
      <c r="M146" s="2832">
        <f t="shared" si="36"/>
        <v>0</v>
      </c>
      <c r="N146" s="2832">
        <f t="shared" si="36"/>
        <v>0</v>
      </c>
      <c r="O146" s="2832">
        <f t="shared" si="36"/>
        <v>0</v>
      </c>
      <c r="P146" s="2832">
        <f t="shared" si="36"/>
        <v>0</v>
      </c>
      <c r="Q146" s="2479"/>
      <c r="R146" s="2576" t="s">
        <v>8206</v>
      </c>
      <c r="T146" s="2635"/>
      <c r="U146" s="2482"/>
      <c r="V146" s="2482"/>
      <c r="W146" s="2482"/>
      <c r="X146" s="2482"/>
      <c r="Y146" s="2482"/>
      <c r="Z146" s="2482"/>
      <c r="AA146" s="2482"/>
      <c r="AB146" s="2482"/>
      <c r="AC146" s="2482"/>
      <c r="AD146" s="2482"/>
      <c r="AE146" s="2482"/>
      <c r="AF146" s="2482"/>
      <c r="AG146" s="2482"/>
    </row>
    <row r="147" spans="1:33" ht="16.7" customHeight="1" x14ac:dyDescent="0.2">
      <c r="A147" s="2827" t="s">
        <v>8207</v>
      </c>
      <c r="B147" s="2488"/>
      <c r="C147" s="2488"/>
      <c r="D147" s="2488"/>
      <c r="E147" s="2488"/>
      <c r="F147" s="2828">
        <f>SUMIFS($U147:$XFD147,$U$9:$XFD$9,$F$9,$U$8:$XFD$8,$F$8)</f>
        <v>0</v>
      </c>
      <c r="G147" s="2828">
        <f>SUMIFS($U147:$XFD147,$U$9:$XFD$9,$G$9,$U$8:$XFD$8,$G$8)</f>
        <v>0</v>
      </c>
      <c r="H147" s="2488"/>
      <c r="I147" s="2488"/>
      <c r="J147" s="2488"/>
      <c r="K147" s="2828">
        <f>F147-G147+H147-I147+J147+L147</f>
        <v>0</v>
      </c>
      <c r="L147" s="2488"/>
      <c r="M147" s="2488"/>
      <c r="N147" s="2488"/>
      <c r="O147" s="2488"/>
      <c r="P147" s="2488"/>
      <c r="Q147" s="2479" t="str">
        <f>CONCATENATE(B147,", ",C147,", ",D147,", ",E147)</f>
        <v xml:space="preserve">, , , </v>
      </c>
      <c r="T147" s="2635"/>
      <c r="U147" s="2482"/>
      <c r="V147" s="2482"/>
      <c r="W147" s="2482"/>
      <c r="X147" s="2482"/>
      <c r="Y147" s="2482"/>
      <c r="Z147" s="2482"/>
      <c r="AA147" s="2482"/>
      <c r="AB147" s="2482"/>
      <c r="AC147" s="2482"/>
      <c r="AD147" s="2482"/>
      <c r="AE147" s="2482"/>
      <c r="AF147" s="2482"/>
      <c r="AG147" s="2482"/>
    </row>
    <row r="148" spans="1:33" ht="16.7" customHeight="1" x14ac:dyDescent="0.2">
      <c r="A148" s="2827" t="s">
        <v>8208</v>
      </c>
      <c r="B148" s="2488"/>
      <c r="C148" s="2488"/>
      <c r="D148" s="2488"/>
      <c r="E148" s="2488"/>
      <c r="F148" s="2828">
        <f>SUMIFS($U148:$XFD148,$U$9:$XFD$9,$F$9,$U$8:$XFD$8,$F$8)</f>
        <v>0</v>
      </c>
      <c r="G148" s="2828">
        <f>SUMIFS($U148:$XFD148,$U$9:$XFD$9,$G$9,$U$8:$XFD$8,$G$8)</f>
        <v>0</v>
      </c>
      <c r="H148" s="2488"/>
      <c r="I148" s="2488"/>
      <c r="J148" s="2488"/>
      <c r="K148" s="2828">
        <f>F148-G148+H148-I148+J148+L148</f>
        <v>0</v>
      </c>
      <c r="L148" s="2488"/>
      <c r="M148" s="2488"/>
      <c r="N148" s="2488"/>
      <c r="O148" s="2488"/>
      <c r="P148" s="2488"/>
      <c r="Q148" s="2479" t="str">
        <f>CONCATENATE(B148,", ",C148,", ",D148,", ",E148)</f>
        <v xml:space="preserve">, , , </v>
      </c>
      <c r="T148" s="2635"/>
      <c r="U148" s="2482"/>
      <c r="V148" s="2482"/>
      <c r="W148" s="2482"/>
      <c r="X148" s="2482"/>
      <c r="Y148" s="2482"/>
      <c r="Z148" s="2482"/>
      <c r="AA148" s="2482"/>
      <c r="AB148" s="2482"/>
      <c r="AC148" s="2482"/>
      <c r="AD148" s="2482"/>
      <c r="AE148" s="2482"/>
      <c r="AF148" s="2482"/>
      <c r="AG148" s="2482"/>
    </row>
    <row r="149" spans="1:33" ht="16.7" customHeight="1" x14ac:dyDescent="0.2">
      <c r="A149" s="2827" t="s">
        <v>6048</v>
      </c>
      <c r="B149" s="2830" t="s">
        <v>8209</v>
      </c>
      <c r="C149" s="2800"/>
      <c r="D149" s="2800"/>
      <c r="E149" s="2800"/>
      <c r="F149" s="2834">
        <f t="shared" ref="F149:P149" si="37">SUM(F147:F148)</f>
        <v>0</v>
      </c>
      <c r="G149" s="2834">
        <f t="shared" si="37"/>
        <v>0</v>
      </c>
      <c r="H149" s="2832">
        <f t="shared" si="37"/>
        <v>0</v>
      </c>
      <c r="I149" s="2832">
        <f t="shared" si="37"/>
        <v>0</v>
      </c>
      <c r="J149" s="2832">
        <f t="shared" si="37"/>
        <v>0</v>
      </c>
      <c r="K149" s="2834">
        <f t="shared" si="37"/>
        <v>0</v>
      </c>
      <c r="L149" s="2832">
        <f t="shared" si="37"/>
        <v>0</v>
      </c>
      <c r="M149" s="2832">
        <f t="shared" si="37"/>
        <v>0</v>
      </c>
      <c r="N149" s="2832">
        <f t="shared" si="37"/>
        <v>0</v>
      </c>
      <c r="O149" s="2832">
        <f t="shared" si="37"/>
        <v>0</v>
      </c>
      <c r="P149" s="2832">
        <f t="shared" si="37"/>
        <v>0</v>
      </c>
      <c r="Q149" s="2479"/>
      <c r="R149" s="2576" t="s">
        <v>8210</v>
      </c>
      <c r="T149" s="2635"/>
      <c r="U149" s="2482"/>
      <c r="V149" s="2482"/>
      <c r="W149" s="2482"/>
      <c r="X149" s="2482"/>
      <c r="Y149" s="2482"/>
      <c r="Z149" s="2482"/>
      <c r="AA149" s="2482"/>
      <c r="AB149" s="2482"/>
      <c r="AC149" s="2482"/>
      <c r="AD149" s="2482"/>
      <c r="AE149" s="2482"/>
      <c r="AF149" s="2482"/>
      <c r="AG149" s="2482"/>
    </row>
    <row r="150" spans="1:33" ht="16.7" customHeight="1" x14ac:dyDescent="0.2">
      <c r="A150" s="2827" t="s">
        <v>8211</v>
      </c>
      <c r="B150" s="2488"/>
      <c r="C150" s="2488"/>
      <c r="D150" s="2488"/>
      <c r="E150" s="2488"/>
      <c r="F150" s="2828">
        <f>SUMIFS($U150:$XFD150,$U$9:$XFD$9,$F$9,$U$8:$XFD$8,$F$8)</f>
        <v>0</v>
      </c>
      <c r="G150" s="2828">
        <f>SUMIFS($U150:$XFD150,$U$9:$XFD$9,$G$9,$U$8:$XFD$8,$G$8)</f>
        <v>0</v>
      </c>
      <c r="H150" s="2488"/>
      <c r="I150" s="2488"/>
      <c r="J150" s="2488"/>
      <c r="K150" s="2828">
        <f>F150-G150+H150-I150+J150+L150</f>
        <v>0</v>
      </c>
      <c r="L150" s="2488"/>
      <c r="M150" s="2488"/>
      <c r="N150" s="2488"/>
      <c r="O150" s="2488"/>
      <c r="P150" s="2488"/>
      <c r="Q150" s="2479" t="str">
        <f>CONCATENATE(B150,", ",C150,", ",D150,", ",E150)</f>
        <v xml:space="preserve">, , , </v>
      </c>
      <c r="T150" s="2635"/>
      <c r="U150" s="2482"/>
      <c r="V150" s="2482"/>
      <c r="W150" s="2482"/>
      <c r="X150" s="2482"/>
      <c r="Y150" s="2482"/>
      <c r="Z150" s="2482"/>
      <c r="AA150" s="2482"/>
      <c r="AB150" s="2482"/>
      <c r="AC150" s="2482"/>
      <c r="AD150" s="2482"/>
      <c r="AE150" s="2482"/>
      <c r="AF150" s="2482"/>
      <c r="AG150" s="2482"/>
    </row>
    <row r="151" spans="1:33" ht="16.7" customHeight="1" x14ac:dyDescent="0.2">
      <c r="A151" s="2827" t="s">
        <v>8212</v>
      </c>
      <c r="B151" s="2488"/>
      <c r="C151" s="2488"/>
      <c r="D151" s="2488"/>
      <c r="E151" s="2488"/>
      <c r="F151" s="2828">
        <f>SUMIFS($U151:$XFD151,$U$9:$XFD$9,$F$9,$U$8:$XFD$8,$F$8)</f>
        <v>0</v>
      </c>
      <c r="G151" s="2828">
        <f>SUMIFS($U151:$XFD151,$U$9:$XFD$9,$G$9,$U$8:$XFD$8,$G$8)</f>
        <v>0</v>
      </c>
      <c r="H151" s="2488"/>
      <c r="I151" s="2488"/>
      <c r="J151" s="2488"/>
      <c r="K151" s="2828">
        <f>F151-G151+H151-I151+J151+L151</f>
        <v>0</v>
      </c>
      <c r="L151" s="2488"/>
      <c r="M151" s="2488"/>
      <c r="N151" s="2488"/>
      <c r="O151" s="2488"/>
      <c r="P151" s="2488"/>
      <c r="Q151" s="2479" t="str">
        <f>CONCATENATE(B151,", ",C151,", ",D151,", ",E151)</f>
        <v xml:space="preserve">, , , </v>
      </c>
      <c r="T151" s="2635"/>
      <c r="U151" s="2482"/>
      <c r="V151" s="2482"/>
      <c r="W151" s="2482"/>
      <c r="X151" s="2482"/>
      <c r="Y151" s="2482"/>
      <c r="Z151" s="2482"/>
      <c r="AA151" s="2482"/>
      <c r="AB151" s="2482"/>
      <c r="AC151" s="2482"/>
      <c r="AD151" s="2482"/>
      <c r="AE151" s="2482"/>
      <c r="AF151" s="2482"/>
      <c r="AG151" s="2482"/>
    </row>
    <row r="152" spans="1:33" ht="16.7" customHeight="1" x14ac:dyDescent="0.2">
      <c r="A152" s="2827" t="s">
        <v>6052</v>
      </c>
      <c r="B152" s="2830" t="s">
        <v>8213</v>
      </c>
      <c r="C152" s="2800"/>
      <c r="D152" s="2800"/>
      <c r="E152" s="2800"/>
      <c r="F152" s="2834">
        <f t="shared" ref="F152:P152" si="38">SUM(F150:F151)</f>
        <v>0</v>
      </c>
      <c r="G152" s="2834">
        <f t="shared" si="38"/>
        <v>0</v>
      </c>
      <c r="H152" s="2832">
        <f t="shared" si="38"/>
        <v>0</v>
      </c>
      <c r="I152" s="2832">
        <f t="shared" si="38"/>
        <v>0</v>
      </c>
      <c r="J152" s="2832">
        <f t="shared" si="38"/>
        <v>0</v>
      </c>
      <c r="K152" s="2834">
        <f t="shared" si="38"/>
        <v>0</v>
      </c>
      <c r="L152" s="2832">
        <f t="shared" si="38"/>
        <v>0</v>
      </c>
      <c r="M152" s="2832">
        <f t="shared" si="38"/>
        <v>0</v>
      </c>
      <c r="N152" s="2832">
        <f t="shared" si="38"/>
        <v>0</v>
      </c>
      <c r="O152" s="2832">
        <f t="shared" si="38"/>
        <v>0</v>
      </c>
      <c r="P152" s="2832">
        <f t="shared" si="38"/>
        <v>0</v>
      </c>
      <c r="Q152" s="2479"/>
      <c r="R152" s="2576" t="s">
        <v>8214</v>
      </c>
      <c r="T152" s="2635"/>
      <c r="U152" s="2482"/>
      <c r="V152" s="2482"/>
      <c r="W152" s="2482"/>
      <c r="X152" s="2482"/>
      <c r="Y152" s="2482"/>
      <c r="Z152" s="2482"/>
      <c r="AA152" s="2482"/>
      <c r="AB152" s="2482"/>
      <c r="AC152" s="2482"/>
      <c r="AD152" s="2482"/>
      <c r="AE152" s="2482"/>
      <c r="AF152" s="2482"/>
      <c r="AG152" s="2482"/>
    </row>
    <row r="153" spans="1:33" ht="16.7" customHeight="1" x14ac:dyDescent="0.2">
      <c r="A153" s="2827" t="s">
        <v>8215</v>
      </c>
      <c r="B153" s="2488"/>
      <c r="C153" s="2488"/>
      <c r="D153" s="2488"/>
      <c r="E153" s="2488"/>
      <c r="F153" s="2828">
        <f>SUMIFS($U153:$XFD153,$U$9:$XFD$9,$F$9,$U$8:$XFD$8,$F$8)</f>
        <v>0</v>
      </c>
      <c r="G153" s="2828">
        <f>SUMIFS($U153:$XFD153,$U$9:$XFD$9,$G$9,$U$8:$XFD$8,$G$8)</f>
        <v>0</v>
      </c>
      <c r="H153" s="2488"/>
      <c r="I153" s="2488"/>
      <c r="J153" s="2488"/>
      <c r="K153" s="2828">
        <f>F153-G153+H153-I153+J153+L153</f>
        <v>0</v>
      </c>
      <c r="L153" s="2488"/>
      <c r="M153" s="2488"/>
      <c r="N153" s="2488"/>
      <c r="O153" s="2488"/>
      <c r="P153" s="2488"/>
      <c r="Q153" s="2479" t="str">
        <f>CONCATENATE(B153,", ",C153,", ",D153,", ",E153)</f>
        <v xml:space="preserve">, , , </v>
      </c>
      <c r="T153" s="2635"/>
      <c r="U153" s="2482"/>
      <c r="V153" s="2482"/>
      <c r="W153" s="2482"/>
      <c r="X153" s="2482"/>
      <c r="Y153" s="2482"/>
      <c r="Z153" s="2482"/>
      <c r="AA153" s="2482"/>
      <c r="AB153" s="2482"/>
      <c r="AC153" s="2482"/>
      <c r="AD153" s="2482"/>
      <c r="AE153" s="2482"/>
      <c r="AF153" s="2482"/>
      <c r="AG153" s="2482"/>
    </row>
    <row r="154" spans="1:33" ht="16.7" customHeight="1" x14ac:dyDescent="0.2">
      <c r="A154" s="2827" t="s">
        <v>8216</v>
      </c>
      <c r="B154" s="2488"/>
      <c r="C154" s="2488"/>
      <c r="D154" s="2488"/>
      <c r="E154" s="2488"/>
      <c r="F154" s="2828">
        <f>SUMIFS($U154:$XFD154,$U$9:$XFD$9,$F$9,$U$8:$XFD$8,$F$8)</f>
        <v>0</v>
      </c>
      <c r="G154" s="2828">
        <f>SUMIFS($U154:$XFD154,$U$9:$XFD$9,$G$9,$U$8:$XFD$8,$G$8)</f>
        <v>0</v>
      </c>
      <c r="H154" s="2488"/>
      <c r="I154" s="2488"/>
      <c r="J154" s="2488"/>
      <c r="K154" s="2828">
        <f>F154-G154+H154-I154+J154+L154</f>
        <v>0</v>
      </c>
      <c r="L154" s="2488"/>
      <c r="M154" s="2488"/>
      <c r="N154" s="2488"/>
      <c r="O154" s="2488"/>
      <c r="P154" s="2488"/>
      <c r="Q154" s="2479" t="str">
        <f>CONCATENATE(B154,", ",C154,", ",D154,", ",E154)</f>
        <v xml:space="preserve">, , , </v>
      </c>
      <c r="T154" s="2635"/>
      <c r="U154" s="2482"/>
      <c r="V154" s="2482"/>
      <c r="W154" s="2482"/>
      <c r="X154" s="2482"/>
      <c r="Y154" s="2482"/>
      <c r="Z154" s="2482"/>
      <c r="AA154" s="2482"/>
      <c r="AB154" s="2482"/>
      <c r="AC154" s="2482"/>
      <c r="AD154" s="2482"/>
      <c r="AE154" s="2482"/>
      <c r="AF154" s="2482"/>
      <c r="AG154" s="2482"/>
    </row>
    <row r="155" spans="1:33" ht="16.7" customHeight="1" x14ac:dyDescent="0.2">
      <c r="A155" s="2827" t="s">
        <v>6056</v>
      </c>
      <c r="B155" s="2830" t="s">
        <v>8217</v>
      </c>
      <c r="C155" s="2800"/>
      <c r="D155" s="2800"/>
      <c r="E155" s="2800"/>
      <c r="F155" s="2834">
        <f t="shared" ref="F155:P155" si="39">SUM(F153:F154)</f>
        <v>0</v>
      </c>
      <c r="G155" s="2834">
        <f t="shared" si="39"/>
        <v>0</v>
      </c>
      <c r="H155" s="2832">
        <f t="shared" si="39"/>
        <v>0</v>
      </c>
      <c r="I155" s="2832">
        <f t="shared" si="39"/>
        <v>0</v>
      </c>
      <c r="J155" s="2832">
        <f t="shared" si="39"/>
        <v>0</v>
      </c>
      <c r="K155" s="2834">
        <f t="shared" si="39"/>
        <v>0</v>
      </c>
      <c r="L155" s="2832">
        <f t="shared" si="39"/>
        <v>0</v>
      </c>
      <c r="M155" s="2832">
        <f t="shared" si="39"/>
        <v>0</v>
      </c>
      <c r="N155" s="2832">
        <f t="shared" si="39"/>
        <v>0</v>
      </c>
      <c r="O155" s="2832">
        <f t="shared" si="39"/>
        <v>0</v>
      </c>
      <c r="P155" s="2832">
        <f t="shared" si="39"/>
        <v>0</v>
      </c>
      <c r="Q155" s="2479"/>
      <c r="R155" s="2576" t="s">
        <v>8218</v>
      </c>
      <c r="T155" s="2635"/>
      <c r="U155" s="2482"/>
      <c r="V155" s="2482"/>
      <c r="W155" s="2482"/>
      <c r="X155" s="2482"/>
      <c r="Y155" s="2482"/>
      <c r="Z155" s="2482"/>
      <c r="AA155" s="2482"/>
      <c r="AB155" s="2482"/>
      <c r="AC155" s="2482"/>
      <c r="AD155" s="2482"/>
      <c r="AE155" s="2482"/>
      <c r="AF155" s="2482"/>
      <c r="AG155" s="2482"/>
    </row>
    <row r="156" spans="1:33" ht="16.7" customHeight="1" x14ac:dyDescent="0.2">
      <c r="A156" s="2827" t="s">
        <v>8219</v>
      </c>
      <c r="B156" s="2488"/>
      <c r="C156" s="2488"/>
      <c r="D156" s="2488"/>
      <c r="E156" s="2488"/>
      <c r="F156" s="2828">
        <f>SUMIFS($U156:$XFD156,$U$9:$XFD$9,$F$9,$U$8:$XFD$8,$F$8)</f>
        <v>0</v>
      </c>
      <c r="G156" s="2828">
        <f>SUMIFS($U156:$XFD156,$U$9:$XFD$9,$G$9,$U$8:$XFD$8,$G$8)</f>
        <v>0</v>
      </c>
      <c r="H156" s="2488"/>
      <c r="I156" s="2488"/>
      <c r="J156" s="2488"/>
      <c r="K156" s="2828">
        <f>F156-G156+H156-I156+J156+L156</f>
        <v>0</v>
      </c>
      <c r="L156" s="2488"/>
      <c r="M156" s="2488"/>
      <c r="N156" s="2488"/>
      <c r="O156" s="2488"/>
      <c r="P156" s="2488"/>
      <c r="Q156" s="2479" t="str">
        <f>CONCATENATE(B156,", ",C156,", ",D156,", ",E156)</f>
        <v xml:space="preserve">, , , </v>
      </c>
      <c r="T156" s="2635"/>
      <c r="U156" s="2482"/>
      <c r="V156" s="2482"/>
      <c r="W156" s="2482"/>
      <c r="X156" s="2482"/>
      <c r="Y156" s="2482"/>
      <c r="Z156" s="2482"/>
      <c r="AA156" s="2482"/>
      <c r="AB156" s="2482"/>
      <c r="AC156" s="2482"/>
      <c r="AD156" s="2482"/>
      <c r="AE156" s="2482"/>
      <c r="AF156" s="2482"/>
      <c r="AG156" s="2482"/>
    </row>
    <row r="157" spans="1:33" ht="16.7" customHeight="1" x14ac:dyDescent="0.2">
      <c r="A157" s="2827" t="s">
        <v>8220</v>
      </c>
      <c r="B157" s="2488"/>
      <c r="C157" s="2488"/>
      <c r="D157" s="2488"/>
      <c r="E157" s="2488"/>
      <c r="F157" s="2828">
        <f>SUMIFS($U157:$XFD157,$U$9:$XFD$9,$F$9,$U$8:$XFD$8,$F$8)</f>
        <v>0</v>
      </c>
      <c r="G157" s="2828">
        <f>SUMIFS($U157:$XFD157,$U$9:$XFD$9,$G$9,$U$8:$XFD$8,$G$8)</f>
        <v>0</v>
      </c>
      <c r="H157" s="2488"/>
      <c r="I157" s="2488"/>
      <c r="J157" s="2488"/>
      <c r="K157" s="2828">
        <f>F157-G157+H157-I157+J157+L157</f>
        <v>0</v>
      </c>
      <c r="L157" s="2488"/>
      <c r="M157" s="2488"/>
      <c r="N157" s="2488"/>
      <c r="O157" s="2488"/>
      <c r="P157" s="2488"/>
      <c r="Q157" s="2479" t="str">
        <f>CONCATENATE(B157,", ",C157,", ",D157,", ",E157)</f>
        <v xml:space="preserve">, , , </v>
      </c>
      <c r="T157" s="2635"/>
      <c r="U157" s="2482"/>
      <c r="V157" s="2482"/>
      <c r="W157" s="2482"/>
      <c r="X157" s="2482"/>
      <c r="Y157" s="2482"/>
      <c r="Z157" s="2482"/>
      <c r="AA157" s="2482"/>
      <c r="AB157" s="2482"/>
      <c r="AC157" s="2482"/>
      <c r="AD157" s="2482"/>
      <c r="AE157" s="2482"/>
      <c r="AF157" s="2482"/>
      <c r="AG157" s="2482"/>
    </row>
    <row r="158" spans="1:33" ht="16.7" customHeight="1" x14ac:dyDescent="0.2">
      <c r="A158" s="2827" t="s">
        <v>6061</v>
      </c>
      <c r="B158" s="2830" t="s">
        <v>8221</v>
      </c>
      <c r="C158" s="2800"/>
      <c r="D158" s="2800"/>
      <c r="E158" s="2800"/>
      <c r="F158" s="2840">
        <f t="shared" ref="F158:P158" si="40">SUM(F156:F157)</f>
        <v>0</v>
      </c>
      <c r="G158" s="2840">
        <f t="shared" si="40"/>
        <v>0</v>
      </c>
      <c r="H158" s="2832">
        <f t="shared" si="40"/>
        <v>0</v>
      </c>
      <c r="I158" s="2832">
        <f t="shared" si="40"/>
        <v>0</v>
      </c>
      <c r="J158" s="2832">
        <f t="shared" si="40"/>
        <v>0</v>
      </c>
      <c r="K158" s="2841">
        <f t="shared" si="40"/>
        <v>0</v>
      </c>
      <c r="L158" s="2832">
        <f t="shared" si="40"/>
        <v>0</v>
      </c>
      <c r="M158" s="2832">
        <f t="shared" si="40"/>
        <v>0</v>
      </c>
      <c r="N158" s="2832">
        <f t="shared" si="40"/>
        <v>0</v>
      </c>
      <c r="O158" s="2832">
        <f t="shared" si="40"/>
        <v>0</v>
      </c>
      <c r="P158" s="2832">
        <f t="shared" si="40"/>
        <v>0</v>
      </c>
      <c r="Q158" s="2479"/>
      <c r="R158" s="2576" t="s">
        <v>8222</v>
      </c>
      <c r="T158" s="2635"/>
      <c r="U158" s="2482"/>
      <c r="V158" s="2482"/>
      <c r="W158" s="2482"/>
      <c r="X158" s="2482"/>
      <c r="Y158" s="2482"/>
      <c r="Z158" s="2482"/>
      <c r="AA158" s="2482"/>
      <c r="AB158" s="2482"/>
      <c r="AC158" s="2482"/>
      <c r="AD158" s="2482"/>
      <c r="AE158" s="2482"/>
      <c r="AF158" s="2482"/>
      <c r="AG158" s="2482"/>
    </row>
    <row r="159" spans="1:33" ht="16.7" customHeight="1" x14ac:dyDescent="0.2">
      <c r="A159" s="2827" t="s">
        <v>6063</v>
      </c>
      <c r="B159" s="2842" t="s">
        <v>197</v>
      </c>
      <c r="C159" s="2843"/>
      <c r="D159" s="2843"/>
      <c r="E159" s="2843"/>
      <c r="F159" s="2736">
        <f t="shared" ref="F159:P159" si="41">SUM(F12,F15,F18,F21,F38,F41,F68,F75,F90,F93,F96,F99,F105,F108,F111,F121,F124,F127,F130,F133,F143,F146,F149,F152,F155,F158)</f>
        <v>44786760</v>
      </c>
      <c r="G159" s="2736">
        <f t="shared" si="41"/>
        <v>33842999</v>
      </c>
      <c r="H159" s="2736">
        <f t="shared" si="41"/>
        <v>-51116425</v>
      </c>
      <c r="I159" s="2736">
        <f t="shared" si="41"/>
        <v>-12738302</v>
      </c>
      <c r="J159" s="2736">
        <f t="shared" si="41"/>
        <v>43513782</v>
      </c>
      <c r="K159" s="2844">
        <f t="shared" si="41"/>
        <v>40928851</v>
      </c>
      <c r="L159" s="2844">
        <f t="shared" si="41"/>
        <v>24849431</v>
      </c>
      <c r="M159" s="2736">
        <f t="shared" si="41"/>
        <v>-147278256</v>
      </c>
      <c r="N159" s="2736">
        <f t="shared" si="41"/>
        <v>0</v>
      </c>
      <c r="O159" s="2736">
        <f t="shared" si="41"/>
        <v>0</v>
      </c>
      <c r="P159" s="2736">
        <f t="shared" si="41"/>
        <v>96161832</v>
      </c>
      <c r="Q159" s="2479"/>
      <c r="T159" s="2635"/>
      <c r="U159" s="2482"/>
      <c r="V159" s="2482"/>
      <c r="W159" s="2482"/>
      <c r="X159" s="2482"/>
      <c r="Y159" s="2482"/>
      <c r="Z159" s="2482"/>
      <c r="AA159" s="2482"/>
      <c r="AB159" s="2482"/>
      <c r="AC159" s="2482"/>
      <c r="AD159" s="2482"/>
      <c r="AE159" s="2482"/>
      <c r="AF159" s="2482"/>
      <c r="AG159" s="2482"/>
    </row>
    <row r="160" spans="1:33" ht="16.7" customHeight="1" x14ac:dyDescent="0.2">
      <c r="A160" s="2516"/>
      <c r="B160" s="2516"/>
      <c r="C160" s="2516"/>
      <c r="D160" s="2516"/>
      <c r="E160" s="2516"/>
      <c r="F160" s="2516"/>
      <c r="G160" s="2516"/>
      <c r="H160" s="2516"/>
      <c r="I160" s="2516"/>
      <c r="J160" s="2516"/>
      <c r="K160" s="2516"/>
      <c r="L160" s="2516"/>
      <c r="M160" s="2516"/>
      <c r="N160" s="2516"/>
      <c r="O160" s="2516"/>
      <c r="P160" s="2516"/>
      <c r="T160" s="2579"/>
      <c r="U160" s="2482"/>
      <c r="V160" s="2482"/>
      <c r="W160" s="2482"/>
      <c r="X160" s="2482"/>
      <c r="Y160" s="2482"/>
      <c r="Z160" s="2482"/>
      <c r="AA160" s="2482"/>
      <c r="AB160" s="2482"/>
      <c r="AC160" s="2482"/>
      <c r="AD160" s="2482"/>
      <c r="AE160" s="2482"/>
      <c r="AF160" s="2482"/>
      <c r="AG160" s="2482"/>
    </row>
    <row r="161" spans="7:33" ht="16.7" customHeight="1" x14ac:dyDescent="0.25">
      <c r="G161" s="3094"/>
      <c r="I161" s="3094" t="s">
        <v>11916</v>
      </c>
      <c r="J161" s="3094" t="s">
        <v>11917</v>
      </c>
      <c r="K161" s="3094" t="s">
        <v>5584</v>
      </c>
      <c r="L161" s="2576"/>
      <c r="T161" s="2579"/>
      <c r="U161" s="2482"/>
      <c r="V161" s="2482"/>
      <c r="W161" s="2482"/>
      <c r="X161" s="2482"/>
      <c r="Y161" s="2482"/>
      <c r="Z161" s="2482"/>
      <c r="AA161" s="2482"/>
      <c r="AB161" s="2482"/>
      <c r="AC161" s="2482"/>
      <c r="AD161" s="2482"/>
      <c r="AE161" s="2482"/>
      <c r="AF161" s="2482"/>
      <c r="AG161" s="2482"/>
    </row>
    <row r="162" spans="7:33" ht="16.7" customHeight="1" x14ac:dyDescent="0.25">
      <c r="G162" s="3167" t="s">
        <v>11918</v>
      </c>
      <c r="H162" s="3167"/>
      <c r="I162" s="3168">
        <f>I42+I134</f>
        <v>43215663</v>
      </c>
      <c r="J162" s="3169">
        <f>VLOOKUP("T",'B5-Taxes Other Than Income'!$L$65:$Q$68,6,FALSE)</f>
        <v>0.44009617727805156</v>
      </c>
      <c r="K162" s="3168">
        <f>I162*J162</f>
        <v>19019048.084836535</v>
      </c>
      <c r="T162" s="2579"/>
      <c r="U162" s="2482"/>
      <c r="V162" s="2482"/>
      <c r="W162" s="2482"/>
      <c r="X162" s="2482"/>
      <c r="Y162" s="2482"/>
      <c r="Z162" s="2482"/>
      <c r="AA162" s="2482"/>
      <c r="AB162" s="2482"/>
      <c r="AC162" s="2482"/>
      <c r="AD162" s="2482"/>
      <c r="AE162" s="2482"/>
      <c r="AF162" s="2482"/>
      <c r="AG162" s="2482"/>
    </row>
    <row r="163" spans="7:33" ht="16.7" customHeight="1" x14ac:dyDescent="0.25">
      <c r="G163" s="3167" t="s">
        <v>11919</v>
      </c>
      <c r="H163" s="3167"/>
      <c r="I163" s="3170">
        <v>0</v>
      </c>
      <c r="J163" s="3169">
        <f>VLOOKUP("T",'B5-Taxes Other Than Income'!$L$65:$Q$68,6,FALSE)</f>
        <v>0.44009617727805156</v>
      </c>
      <c r="K163" s="3168">
        <f>I163*J163</f>
        <v>0</v>
      </c>
      <c r="T163" s="2579"/>
      <c r="U163" s="2482"/>
      <c r="V163" s="2482"/>
      <c r="W163" s="2482"/>
      <c r="X163" s="2482"/>
      <c r="Y163" s="2482"/>
      <c r="Z163" s="2482"/>
      <c r="AA163" s="2482"/>
      <c r="AB163" s="2482"/>
      <c r="AC163" s="2482"/>
      <c r="AD163" s="2482"/>
      <c r="AE163" s="2482"/>
      <c r="AF163" s="2482"/>
      <c r="AG163" s="2482"/>
    </row>
    <row r="164" spans="7:33" ht="16.7" customHeight="1" x14ac:dyDescent="0.25">
      <c r="G164" s="3167"/>
      <c r="H164" s="3094"/>
      <c r="I164" s="3094"/>
      <c r="J164" s="3094"/>
      <c r="K164" s="3094"/>
      <c r="T164" s="2579"/>
      <c r="U164" s="2482"/>
      <c r="V164" s="2482"/>
      <c r="W164" s="2482"/>
      <c r="X164" s="2482"/>
      <c r="Y164" s="2482"/>
      <c r="Z164" s="2482"/>
      <c r="AA164" s="2482"/>
      <c r="AB164" s="2482"/>
      <c r="AC164" s="2482"/>
      <c r="AD164" s="2482"/>
      <c r="AE164" s="2482"/>
      <c r="AF164" s="2482"/>
      <c r="AG164" s="2482"/>
    </row>
    <row r="165" spans="7:33" ht="16.7" customHeight="1" x14ac:dyDescent="0.25">
      <c r="G165" s="3171" t="s">
        <v>5612</v>
      </c>
      <c r="H165" s="3172" t="s">
        <v>567</v>
      </c>
      <c r="I165" s="3168">
        <f>I38</f>
        <v>153697126</v>
      </c>
      <c r="J165" s="3169">
        <f>VLOOKUP(G165,'B5-Taxes Other Than Income'!$L$65:$Q$68,6,FALSE)</f>
        <v>0.40831777782402778</v>
      </c>
      <c r="K165" s="3168">
        <f>I165*J165</f>
        <v>62757268.946259603</v>
      </c>
      <c r="T165" s="2579"/>
      <c r="U165" s="2482"/>
      <c r="V165" s="2482"/>
      <c r="W165" s="2482"/>
      <c r="X165" s="2482"/>
      <c r="Y165" s="2482"/>
      <c r="Z165" s="2482"/>
      <c r="AA165" s="2482"/>
      <c r="AB165" s="2482"/>
      <c r="AC165" s="2482"/>
      <c r="AD165" s="2482"/>
      <c r="AE165" s="2482"/>
      <c r="AF165" s="2482"/>
      <c r="AG165" s="2482"/>
    </row>
    <row r="166" spans="7:33" ht="16.7" customHeight="1" x14ac:dyDescent="0.25">
      <c r="G166" s="3171" t="s">
        <v>11920</v>
      </c>
      <c r="H166" s="3172" t="s">
        <v>152</v>
      </c>
      <c r="I166" s="3168">
        <f>I68-I42</f>
        <v>3101038</v>
      </c>
      <c r="J166" s="3169">
        <f>VLOOKUP("T",'B5-Taxes Other Than Income'!$L$65:$Q$68,6,FALSE)</f>
        <v>0.44009617727805156</v>
      </c>
      <c r="K166" s="3168">
        <f t="shared" ref="K166:K171" si="42">I166*J166</f>
        <v>1364754.9693939744</v>
      </c>
      <c r="T166" s="2579"/>
      <c r="U166" s="2482"/>
      <c r="V166" s="2482"/>
      <c r="W166" s="2482"/>
      <c r="X166" s="2482"/>
      <c r="Y166" s="2482"/>
      <c r="Z166" s="2482"/>
      <c r="AA166" s="2482"/>
      <c r="AB166" s="2482"/>
      <c r="AC166" s="2482"/>
      <c r="AD166" s="2482"/>
      <c r="AE166" s="2482"/>
      <c r="AF166" s="2482"/>
      <c r="AG166" s="2482"/>
    </row>
    <row r="167" spans="7:33" ht="16.7" customHeight="1" x14ac:dyDescent="0.25">
      <c r="G167" s="3171" t="s">
        <v>11921</v>
      </c>
      <c r="H167" s="3172" t="s">
        <v>568</v>
      </c>
      <c r="I167" s="3168">
        <f>(I90-I76)+I118+I119+I137+I138+I139+I140+I141+I142</f>
        <v>2422958</v>
      </c>
      <c r="J167" s="3169">
        <f>VLOOKUP("T",'B5-Taxes Other Than Income'!$L$65:$Q$68,6,FALSE)</f>
        <v>0.44009617727805156</v>
      </c>
      <c r="K167" s="3168">
        <f t="shared" si="42"/>
        <v>1066334.5535052733</v>
      </c>
      <c r="T167" s="2579"/>
      <c r="U167" s="2482"/>
      <c r="V167" s="2482"/>
      <c r="W167" s="2482"/>
      <c r="X167" s="2482"/>
      <c r="Y167" s="2482"/>
      <c r="Z167" s="2482"/>
      <c r="AA167" s="2482"/>
      <c r="AB167" s="2482"/>
      <c r="AC167" s="2482"/>
      <c r="AD167" s="2482"/>
      <c r="AE167" s="2482"/>
      <c r="AF167" s="2482"/>
      <c r="AG167" s="2482"/>
    </row>
    <row r="168" spans="7:33" ht="16.7" customHeight="1" x14ac:dyDescent="0.25">
      <c r="G168" s="3171" t="s">
        <v>5613</v>
      </c>
      <c r="H168" s="3172" t="s">
        <v>569</v>
      </c>
      <c r="I168" s="3168">
        <f>I105</f>
        <v>37248753</v>
      </c>
      <c r="J168" s="3169">
        <f>VLOOKUP(G168,'B5-Taxes Other Than Income'!$L$65:$Q$68,6,FALSE)</f>
        <v>0.91229290593553314</v>
      </c>
      <c r="K168" s="3168">
        <f t="shared" si="42"/>
        <v>33981773.116844907</v>
      </c>
      <c r="T168" s="2579"/>
      <c r="U168" s="2482"/>
      <c r="V168" s="2482"/>
      <c r="W168" s="2482"/>
      <c r="X168" s="2482"/>
      <c r="Y168" s="2482"/>
      <c r="Z168" s="2482"/>
      <c r="AA168" s="2482"/>
      <c r="AB168" s="2482"/>
      <c r="AC168" s="2482"/>
      <c r="AD168" s="2482"/>
      <c r="AE168" s="2482"/>
      <c r="AF168" s="2482"/>
      <c r="AG168" s="2482"/>
    </row>
    <row r="169" spans="7:33" ht="16.7" customHeight="1" x14ac:dyDescent="0.25">
      <c r="G169" s="3171" t="s">
        <v>5615</v>
      </c>
      <c r="H169" s="3172" t="s">
        <v>153</v>
      </c>
      <c r="I169" s="3168">
        <f>I112+I113+I114+I116+I117</f>
        <v>17841439</v>
      </c>
      <c r="J169" s="3169">
        <f>VLOOKUP(G169,'B5-Taxes Other Than Income'!$L$65:$Q$68,6,FALSE)</f>
        <v>0.43942578852973124</v>
      </c>
      <c r="K169" s="3168">
        <f t="shared" si="42"/>
        <v>7839988.4010800999</v>
      </c>
      <c r="T169" s="2579"/>
      <c r="U169" s="2482"/>
      <c r="V169" s="2482"/>
      <c r="W169" s="2482"/>
      <c r="X169" s="2482"/>
      <c r="Y169" s="2482"/>
      <c r="Z169" s="2482"/>
      <c r="AA169" s="2482"/>
      <c r="AB169" s="2482"/>
      <c r="AC169" s="2482"/>
      <c r="AD169" s="2482"/>
      <c r="AE169" s="2482"/>
      <c r="AF169" s="2482"/>
      <c r="AG169" s="2482"/>
    </row>
    <row r="170" spans="7:33" ht="16.7" customHeight="1" x14ac:dyDescent="0.25">
      <c r="G170" s="3171" t="s">
        <v>11922</v>
      </c>
      <c r="H170" s="3172" t="s">
        <v>570</v>
      </c>
      <c r="I170" s="3168">
        <f>I75+I135+I136+I115</f>
        <v>15260860</v>
      </c>
      <c r="J170" s="3169">
        <f>VLOOKUP("R",'B5-Taxes Other Than Income'!$L$65:$Q$68,6,FALSE)</f>
        <v>0.43942578852973124</v>
      </c>
      <c r="K170" s="3168">
        <f t="shared" si="42"/>
        <v>6706015.4391418342</v>
      </c>
      <c r="T170" s="2579"/>
      <c r="U170" s="2482"/>
      <c r="V170" s="2482"/>
      <c r="W170" s="2482"/>
      <c r="X170" s="2482"/>
      <c r="Y170" s="2482"/>
      <c r="Z170" s="2482"/>
      <c r="AA170" s="2482"/>
      <c r="AB170" s="2482"/>
      <c r="AC170" s="2482"/>
      <c r="AD170" s="2482"/>
      <c r="AE170" s="2482"/>
      <c r="AF170" s="2482"/>
      <c r="AG170" s="2482"/>
    </row>
    <row r="171" spans="7:33" ht="16.7" customHeight="1" x14ac:dyDescent="0.25">
      <c r="G171" s="3171" t="s">
        <v>11923</v>
      </c>
      <c r="H171" s="3172" t="s">
        <v>107</v>
      </c>
      <c r="I171" s="3168">
        <f>I93+I120+I97</f>
        <v>11514786</v>
      </c>
      <c r="J171" s="3169">
        <f>VLOOKUP("T",'B5-Taxes Other Than Income'!$L$65:$Q$68,6,FALSE)</f>
        <v>0.44009617727805156</v>
      </c>
      <c r="K171" s="3168">
        <f t="shared" si="42"/>
        <v>5067613.3007748257</v>
      </c>
      <c r="T171" s="2579"/>
      <c r="U171" s="2482"/>
      <c r="V171" s="2482"/>
      <c r="W171" s="2482"/>
      <c r="X171" s="2482"/>
      <c r="Y171" s="2482"/>
      <c r="Z171" s="2482"/>
      <c r="AA171" s="2482"/>
      <c r="AB171" s="2482"/>
      <c r="AC171" s="2482"/>
      <c r="AD171" s="2482"/>
      <c r="AE171" s="2482"/>
      <c r="AF171" s="2482"/>
      <c r="AG171" s="2482"/>
    </row>
    <row r="172" spans="7:33" ht="16.7" customHeight="1" x14ac:dyDescent="0.25">
      <c r="G172" s="3167"/>
      <c r="H172" s="3094"/>
      <c r="I172" s="3094"/>
      <c r="J172" s="3094"/>
      <c r="K172" s="3168">
        <f>SUM(K165:K171)</f>
        <v>118783748.72700052</v>
      </c>
      <c r="T172" s="2579"/>
      <c r="U172" s="2482"/>
      <c r="V172" s="2482"/>
      <c r="W172" s="2482"/>
      <c r="X172" s="2482"/>
      <c r="Y172" s="2482"/>
      <c r="Z172" s="2482"/>
      <c r="AA172" s="2482"/>
      <c r="AB172" s="2482"/>
      <c r="AC172" s="2482"/>
      <c r="AD172" s="2482"/>
      <c r="AE172" s="2482"/>
      <c r="AF172" s="2482"/>
      <c r="AG172" s="2482"/>
    </row>
    <row r="173" spans="7:33" ht="16.7" customHeight="1" x14ac:dyDescent="0.2">
      <c r="H173" s="1953" t="s">
        <v>11924</v>
      </c>
      <c r="I173" s="2230">
        <f>SUM(I162:I171)-I159</f>
        <v>297040925</v>
      </c>
      <c r="T173" s="2579"/>
      <c r="U173" s="2482"/>
      <c r="V173" s="2482"/>
      <c r="W173" s="2482"/>
      <c r="X173" s="2482"/>
      <c r="Y173" s="2482"/>
      <c r="Z173" s="2482"/>
      <c r="AA173" s="2482"/>
      <c r="AB173" s="2482"/>
      <c r="AC173" s="2482"/>
      <c r="AD173" s="2482"/>
      <c r="AE173" s="2482"/>
      <c r="AF173" s="2482"/>
      <c r="AG173" s="2482"/>
    </row>
    <row r="174" spans="7:33" ht="16.7" customHeight="1" x14ac:dyDescent="0.2">
      <c r="H174" s="1953" t="s">
        <v>11925</v>
      </c>
      <c r="I174" s="2230">
        <f>I173+I76</f>
        <v>0</v>
      </c>
      <c r="T174" s="2579"/>
      <c r="U174" s="2482"/>
      <c r="V174" s="2482"/>
      <c r="W174" s="2482"/>
      <c r="X174" s="2482"/>
      <c r="Y174" s="2482"/>
      <c r="Z174" s="2482"/>
      <c r="AA174" s="2482"/>
      <c r="AB174" s="2482"/>
      <c r="AC174" s="2482"/>
      <c r="AD174" s="2482"/>
      <c r="AE174" s="2482"/>
      <c r="AF174" s="2482"/>
      <c r="AG174" s="2482"/>
    </row>
    <row r="175" spans="7:33" ht="16.7" customHeight="1" x14ac:dyDescent="0.2">
      <c r="T175" s="2579"/>
      <c r="U175" s="2482"/>
      <c r="V175" s="2482"/>
      <c r="W175" s="2482"/>
      <c r="X175" s="2482"/>
      <c r="Y175" s="2482"/>
      <c r="Z175" s="2482"/>
      <c r="AA175" s="2482"/>
      <c r="AB175" s="2482"/>
      <c r="AC175" s="2482"/>
      <c r="AD175" s="2482"/>
      <c r="AE175" s="2482"/>
      <c r="AF175" s="2482"/>
      <c r="AG175" s="2482"/>
    </row>
    <row r="176" spans="7:33" ht="16.7" customHeight="1" x14ac:dyDescent="0.2">
      <c r="T176" s="2579"/>
      <c r="U176" s="2482"/>
      <c r="V176" s="2482"/>
      <c r="W176" s="2482"/>
      <c r="X176" s="2482"/>
      <c r="Y176" s="2482"/>
      <c r="Z176" s="2482"/>
      <c r="AA176" s="2482"/>
      <c r="AB176" s="2482"/>
      <c r="AC176" s="2482"/>
      <c r="AD176" s="2482"/>
      <c r="AE176" s="2482"/>
      <c r="AF176" s="2482"/>
      <c r="AG176" s="2482"/>
    </row>
    <row r="177" spans="20:33" ht="15" customHeight="1" x14ac:dyDescent="0.2">
      <c r="T177" s="2579"/>
      <c r="U177" s="2482"/>
      <c r="V177" s="2482"/>
      <c r="W177" s="2482"/>
      <c r="X177" s="2482"/>
      <c r="Y177" s="2482"/>
      <c r="Z177" s="2482"/>
      <c r="AA177" s="2482"/>
      <c r="AB177" s="2482"/>
      <c r="AC177" s="2482"/>
      <c r="AD177" s="2482"/>
      <c r="AE177" s="2482"/>
      <c r="AF177" s="2482"/>
      <c r="AG177" s="2482"/>
    </row>
    <row r="178" spans="20:33" x14ac:dyDescent="0.2">
      <c r="T178" s="2608"/>
    </row>
  </sheetData>
  <mergeCells count="18">
    <mergeCell ref="A5:J5"/>
    <mergeCell ref="K5:P5"/>
    <mergeCell ref="A6:A7"/>
    <mergeCell ref="B6:B7"/>
    <mergeCell ref="C6:C7"/>
    <mergeCell ref="D6:D7"/>
    <mergeCell ref="E6:E7"/>
    <mergeCell ref="H6:H7"/>
    <mergeCell ref="I6:I7"/>
    <mergeCell ref="J6:J7"/>
    <mergeCell ref="K6:L6"/>
    <mergeCell ref="M6:P6"/>
    <mergeCell ref="F6:G6"/>
    <mergeCell ref="T1:T2"/>
    <mergeCell ref="A3:J3"/>
    <mergeCell ref="K3:P3"/>
    <mergeCell ref="A4:J4"/>
    <mergeCell ref="K4:P4"/>
  </mergeCells>
  <dataValidations count="1">
    <dataValidation type="list" allowBlank="1" sqref="C10:C11 C153:C154 C19:C20 C144:C145 C109:C110 C150:C151 C128:C129 C125:C126 C16:C17 C106:C107 C131:C132 C98 C39:C40 C156:C157 C122:C123 C147:C148 C13:C14 C94:C95" xr:uid="{FEEC414F-A38D-4EDD-A043-D74A2AD6FA43}">
      <formula1>"Federal Tax,State Tax,Local Tax,Other Taxes,Property Tax,Real Estate Tax,Unemployment Tax,Sales And Use Tax,Income Tax,Excise Tax,Fuel Tax,Federal Insurance Tax,Franchise Tax,Miscellaneous Other Tax,Other Federal Tax,Other State Tax,Other Property Tax"</formula1>
    </dataValidation>
  </dataValidations>
  <pageMargins left="0.75" right="0.75" top="1" bottom="1" header="0.5" footer="0.5"/>
  <customProperties>
    <customPr name="_pios_id" r:id="rId1"/>
  </customProperties>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7D25A-AC5F-47F5-890F-D159E8126EE5}">
  <sheetPr codeName="Sheet66"/>
  <dimension ref="A1:AA106"/>
  <sheetViews>
    <sheetView showRuler="0" workbookViewId="0"/>
  </sheetViews>
  <sheetFormatPr defaultColWidth="11.5" defaultRowHeight="12.75" x14ac:dyDescent="0.2"/>
  <cols>
    <col min="1" max="1" width="4.125" style="1953" customWidth="1"/>
    <col min="2" max="2" width="41.25" style="1953" customWidth="1"/>
    <col min="3" max="10" width="11.875" style="1953" customWidth="1"/>
    <col min="11" max="11" width="29.25" style="1953" customWidth="1"/>
    <col min="12" max="13" width="17.625" style="1953" customWidth="1"/>
    <col min="14" max="25" width="17.625" style="1953" hidden="1" customWidth="1"/>
    <col min="26" max="27" width="0" style="1953" hidden="1" customWidth="1"/>
    <col min="28" max="16384" width="11.5" style="1953"/>
  </cols>
  <sheetData>
    <row r="1" spans="1:27" ht="16.7" customHeight="1" x14ac:dyDescent="0.2">
      <c r="B1" s="2845" t="s">
        <v>5937</v>
      </c>
      <c r="N1" s="3914" t="s">
        <v>6320</v>
      </c>
      <c r="O1" s="2482" t="s">
        <v>6974</v>
      </c>
      <c r="P1" s="2482"/>
      <c r="Q1" s="2482"/>
      <c r="R1" s="2482"/>
      <c r="S1" s="2482"/>
      <c r="T1" s="2482"/>
      <c r="U1" s="2482"/>
      <c r="V1" s="2482"/>
      <c r="W1" s="2482"/>
      <c r="X1" s="2482"/>
      <c r="Y1" s="2482"/>
      <c r="Z1" s="2482"/>
      <c r="AA1" s="2482"/>
    </row>
    <row r="2" spans="1:27" ht="16.7" customHeight="1" x14ac:dyDescent="0.2">
      <c r="A2" s="3990" t="s">
        <v>8223</v>
      </c>
      <c r="B2" s="3991"/>
      <c r="C2" s="3991"/>
      <c r="D2" s="3991"/>
      <c r="E2" s="3991"/>
      <c r="F2" s="3991"/>
      <c r="G2" s="3991"/>
      <c r="H2" s="3991"/>
      <c r="I2" s="3991"/>
      <c r="J2" s="3991"/>
      <c r="K2" s="3992"/>
      <c r="L2" s="2479"/>
      <c r="N2" s="3915"/>
      <c r="O2" s="2482"/>
      <c r="P2" s="2482"/>
      <c r="Q2" s="2482"/>
      <c r="R2" s="2482"/>
      <c r="S2" s="2482"/>
      <c r="T2" s="2482"/>
      <c r="U2" s="2482"/>
      <c r="V2" s="2482"/>
      <c r="W2" s="2482"/>
      <c r="X2" s="2482"/>
      <c r="Y2" s="2482"/>
      <c r="Z2" s="2482"/>
      <c r="AA2" s="2482"/>
    </row>
    <row r="3" spans="1:27" ht="16.7" customHeight="1" x14ac:dyDescent="0.2">
      <c r="A3" s="3964" t="s">
        <v>8224</v>
      </c>
      <c r="B3" s="3995"/>
      <c r="C3" s="3995"/>
      <c r="D3" s="3995"/>
      <c r="E3" s="3995"/>
      <c r="F3" s="3995"/>
      <c r="G3" s="3995"/>
      <c r="H3" s="3995"/>
      <c r="I3" s="3995"/>
      <c r="J3" s="3995"/>
      <c r="K3" s="3996"/>
      <c r="L3" s="2479"/>
      <c r="N3" s="2579"/>
      <c r="O3" s="2482"/>
      <c r="P3" s="2482"/>
      <c r="Q3" s="2482"/>
      <c r="R3" s="2482"/>
      <c r="S3" s="2482"/>
      <c r="T3" s="2482"/>
      <c r="U3" s="2482"/>
      <c r="V3" s="2482"/>
      <c r="W3" s="2482"/>
      <c r="X3" s="2482"/>
      <c r="Y3" s="2482"/>
      <c r="Z3" s="2482"/>
      <c r="AA3" s="2482"/>
    </row>
    <row r="4" spans="1:27" ht="39.200000000000003" customHeight="1" x14ac:dyDescent="0.2">
      <c r="A4" s="3878" t="s">
        <v>8225</v>
      </c>
      <c r="B4" s="3883"/>
      <c r="C4" s="3883"/>
      <c r="D4" s="3883"/>
      <c r="E4" s="3883"/>
      <c r="F4" s="3883"/>
      <c r="G4" s="3883"/>
      <c r="H4" s="3884"/>
      <c r="I4" s="3871"/>
      <c r="J4" s="3871"/>
      <c r="K4" s="3871"/>
      <c r="L4" s="2479"/>
      <c r="N4" s="2579"/>
      <c r="O4" s="2482"/>
      <c r="P4" s="2482"/>
      <c r="Q4" s="2482"/>
      <c r="R4" s="2482"/>
      <c r="S4" s="2482"/>
      <c r="T4" s="2482"/>
      <c r="U4" s="2482"/>
      <c r="V4" s="2482"/>
      <c r="W4" s="2482"/>
      <c r="X4" s="2482"/>
      <c r="Y4" s="2482"/>
      <c r="Z4" s="2482"/>
      <c r="AA4" s="2482"/>
    </row>
    <row r="5" spans="1:27" ht="27.6" customHeight="1" x14ac:dyDescent="0.2">
      <c r="A5" s="3898" t="s">
        <v>6360</v>
      </c>
      <c r="B5" s="3898" t="s">
        <v>8226</v>
      </c>
      <c r="C5" s="3898" t="s">
        <v>8227</v>
      </c>
      <c r="D5" s="3882" t="s">
        <v>8228</v>
      </c>
      <c r="E5" s="3884"/>
      <c r="F5" s="3882" t="s">
        <v>8229</v>
      </c>
      <c r="G5" s="3884"/>
      <c r="H5" s="3898" t="s">
        <v>6536</v>
      </c>
      <c r="I5" s="3999" t="s">
        <v>7567</v>
      </c>
      <c r="J5" s="3999" t="s">
        <v>8230</v>
      </c>
      <c r="K5" s="2543" t="s">
        <v>8231</v>
      </c>
      <c r="L5" s="2479"/>
      <c r="N5" s="2579"/>
      <c r="O5" s="2482"/>
      <c r="P5" s="2482"/>
      <c r="Q5" s="2482"/>
      <c r="R5" s="2482"/>
      <c r="S5" s="2482"/>
      <c r="T5" s="2482"/>
      <c r="U5" s="2482"/>
      <c r="V5" s="2482"/>
      <c r="W5" s="2482"/>
      <c r="X5" s="2482"/>
      <c r="Y5" s="2482"/>
      <c r="Z5" s="2482"/>
      <c r="AA5" s="2482"/>
    </row>
    <row r="6" spans="1:27" ht="16.7" customHeight="1" x14ac:dyDescent="0.2">
      <c r="A6" s="3987"/>
      <c r="B6" s="3943"/>
      <c r="C6" s="3943"/>
      <c r="D6" s="2581" t="s">
        <v>8232</v>
      </c>
      <c r="E6" s="2581" t="s">
        <v>441</v>
      </c>
      <c r="F6" s="2581" t="s">
        <v>8232</v>
      </c>
      <c r="G6" s="2581" t="s">
        <v>441</v>
      </c>
      <c r="H6" s="3987"/>
      <c r="I6" s="4000"/>
      <c r="J6" s="4000"/>
      <c r="K6" s="2632"/>
      <c r="L6" s="2479"/>
      <c r="N6" s="2579"/>
      <c r="O6" s="2482"/>
      <c r="P6" s="2482" t="s">
        <v>8227</v>
      </c>
      <c r="Q6" s="2482"/>
      <c r="R6" s="2482"/>
      <c r="S6" s="2482"/>
      <c r="T6" s="2482"/>
      <c r="U6" s="2482"/>
      <c r="V6" s="2482"/>
      <c r="W6" s="2482"/>
      <c r="X6" s="2482"/>
      <c r="Y6" s="2482"/>
      <c r="Z6" s="2482"/>
      <c r="AA6" s="2482"/>
    </row>
    <row r="7" spans="1:27" ht="16.7" customHeight="1" x14ac:dyDescent="0.2">
      <c r="A7" s="3987"/>
      <c r="B7" s="2586" t="s">
        <v>5949</v>
      </c>
      <c r="C7" s="2586" t="s">
        <v>5950</v>
      </c>
      <c r="D7" s="2586" t="s">
        <v>6226</v>
      </c>
      <c r="E7" s="2586" t="s">
        <v>5952</v>
      </c>
      <c r="F7" s="2586" t="s">
        <v>6227</v>
      </c>
      <c r="G7" s="2586" t="s">
        <v>5804</v>
      </c>
      <c r="H7" s="2586" t="s">
        <v>6228</v>
      </c>
      <c r="I7" s="2846" t="s">
        <v>6229</v>
      </c>
      <c r="J7" s="2846" t="s">
        <v>6230</v>
      </c>
      <c r="K7" s="2846" t="s">
        <v>6231</v>
      </c>
      <c r="L7" s="2479" t="s">
        <v>6324</v>
      </c>
      <c r="N7" s="2579"/>
      <c r="O7" s="2482"/>
      <c r="P7" s="2482" t="s">
        <v>5950</v>
      </c>
      <c r="Q7" s="2482"/>
      <c r="R7" s="2482"/>
      <c r="S7" s="2482"/>
      <c r="T7" s="2482"/>
      <c r="U7" s="2482"/>
      <c r="V7" s="2482"/>
      <c r="W7" s="2482"/>
      <c r="X7" s="2482"/>
      <c r="Y7" s="2482"/>
      <c r="Z7" s="2482"/>
      <c r="AA7" s="2482"/>
    </row>
    <row r="8" spans="1:27" ht="23.25" customHeight="1" x14ac:dyDescent="0.2">
      <c r="A8" s="2589"/>
      <c r="B8" s="2589"/>
      <c r="C8" s="2847">
        <v>44926</v>
      </c>
      <c r="D8" s="2589"/>
      <c r="E8" s="2589"/>
      <c r="F8" s="2589"/>
      <c r="G8" s="2589"/>
      <c r="H8" s="2589"/>
      <c r="I8" s="2847">
        <v>45291</v>
      </c>
      <c r="J8" s="2633"/>
      <c r="K8" s="2633"/>
      <c r="L8" s="2479"/>
      <c r="N8" s="2579"/>
      <c r="O8" s="2482" t="s">
        <v>6985</v>
      </c>
      <c r="P8" s="2482" t="s">
        <v>6480</v>
      </c>
      <c r="Q8" s="2482"/>
      <c r="R8" s="2482"/>
      <c r="S8" s="2482"/>
      <c r="T8" s="2482"/>
      <c r="U8" s="2482"/>
      <c r="V8" s="2482"/>
      <c r="W8" s="2482"/>
      <c r="X8" s="2482"/>
      <c r="Y8" s="2482"/>
      <c r="Z8" s="2482"/>
      <c r="AA8" s="2482"/>
    </row>
    <row r="9" spans="1:27" ht="16.7" customHeight="1" x14ac:dyDescent="0.2">
      <c r="A9" s="2792">
        <v>1</v>
      </c>
      <c r="B9" s="2726" t="s">
        <v>8233</v>
      </c>
      <c r="C9" s="3939"/>
      <c r="D9" s="3940"/>
      <c r="E9" s="3940"/>
      <c r="F9" s="3940"/>
      <c r="G9" s="3940"/>
      <c r="H9" s="3941"/>
      <c r="I9" s="3950"/>
      <c r="J9" s="3941"/>
      <c r="K9" s="2488"/>
      <c r="L9" s="2479"/>
      <c r="N9" s="2579"/>
      <c r="O9" s="2715" t="s">
        <v>6139</v>
      </c>
      <c r="P9" s="2482"/>
      <c r="Q9" s="2482"/>
      <c r="R9" s="2482"/>
      <c r="S9" s="2482"/>
      <c r="T9" s="2482"/>
      <c r="U9" s="2482"/>
      <c r="V9" s="2482"/>
      <c r="W9" s="2482"/>
      <c r="X9" s="2482"/>
      <c r="Y9" s="2482"/>
      <c r="Z9" s="2482"/>
      <c r="AA9" s="2482"/>
    </row>
    <row r="10" spans="1:27" ht="16.7" customHeight="1" x14ac:dyDescent="0.2">
      <c r="A10" s="2792">
        <v>2</v>
      </c>
      <c r="B10" s="2726" t="s">
        <v>8234</v>
      </c>
      <c r="C10" s="2848"/>
      <c r="D10" s="2693"/>
      <c r="E10" s="2693"/>
      <c r="F10" s="2693"/>
      <c r="G10" s="2693"/>
      <c r="H10" s="2693"/>
      <c r="I10" s="2631"/>
      <c r="J10" s="2631"/>
      <c r="K10" s="2726"/>
      <c r="L10" s="2479" t="str">
        <f t="shared" ref="L10:L17" si="0">B10</f>
        <v>3%</v>
      </c>
      <c r="N10" s="2579"/>
      <c r="O10" s="2715" t="s">
        <v>5957</v>
      </c>
      <c r="P10" s="2482"/>
      <c r="Q10" s="2482"/>
      <c r="R10" s="2482"/>
      <c r="S10" s="2482"/>
      <c r="T10" s="2482"/>
      <c r="U10" s="2482"/>
      <c r="V10" s="2482"/>
      <c r="W10" s="2482"/>
      <c r="X10" s="2482"/>
      <c r="Y10" s="2482"/>
      <c r="Z10" s="2482"/>
      <c r="AA10" s="2482"/>
    </row>
    <row r="11" spans="1:27" ht="16.7" customHeight="1" x14ac:dyDescent="0.2">
      <c r="A11" s="2792">
        <v>3</v>
      </c>
      <c r="B11" s="2726" t="s">
        <v>8235</v>
      </c>
      <c r="C11" s="2848"/>
      <c r="D11" s="2693"/>
      <c r="E11" s="2693"/>
      <c r="F11" s="2693"/>
      <c r="G11" s="2693"/>
      <c r="H11" s="2693"/>
      <c r="I11" s="2631"/>
      <c r="J11" s="2631"/>
      <c r="K11" s="2726"/>
      <c r="L11" s="2479" t="str">
        <f t="shared" si="0"/>
        <v>4%</v>
      </c>
      <c r="N11" s="2579"/>
      <c r="O11" s="2715" t="s">
        <v>5959</v>
      </c>
      <c r="P11" s="2482"/>
      <c r="Q11" s="2482"/>
      <c r="R11" s="2482"/>
      <c r="S11" s="2482"/>
      <c r="T11" s="2482"/>
      <c r="U11" s="2482"/>
      <c r="V11" s="2482"/>
      <c r="W11" s="2482"/>
      <c r="X11" s="2482"/>
      <c r="Y11" s="2482"/>
      <c r="Z11" s="2482"/>
      <c r="AA11" s="2482"/>
    </row>
    <row r="12" spans="1:27" ht="16.7" customHeight="1" x14ac:dyDescent="0.2">
      <c r="A12" s="2792">
        <v>4</v>
      </c>
      <c r="B12" s="2726" t="s">
        <v>8236</v>
      </c>
      <c r="C12" s="2848"/>
      <c r="D12" s="2693"/>
      <c r="E12" s="2693"/>
      <c r="F12" s="2693"/>
      <c r="G12" s="2693"/>
      <c r="H12" s="2693"/>
      <c r="I12" s="2631"/>
      <c r="J12" s="2631"/>
      <c r="K12" s="2726"/>
      <c r="L12" s="2479" t="str">
        <f t="shared" si="0"/>
        <v>7%</v>
      </c>
      <c r="N12" s="2579"/>
      <c r="O12" s="2715" t="s">
        <v>5961</v>
      </c>
      <c r="P12" s="2482"/>
      <c r="Q12" s="2482"/>
      <c r="R12" s="2482"/>
      <c r="S12" s="2482"/>
      <c r="T12" s="2482"/>
      <c r="U12" s="2482"/>
      <c r="V12" s="2482"/>
      <c r="W12" s="2482"/>
      <c r="X12" s="2482"/>
      <c r="Y12" s="2482"/>
      <c r="Z12" s="2482"/>
      <c r="AA12" s="2482"/>
    </row>
    <row r="13" spans="1:27" ht="16.7" customHeight="1" x14ac:dyDescent="0.2">
      <c r="A13" s="2792">
        <v>5</v>
      </c>
      <c r="B13" s="2726" t="s">
        <v>8237</v>
      </c>
      <c r="C13" s="2694">
        <v>1465134</v>
      </c>
      <c r="D13" s="2693"/>
      <c r="E13" s="2693"/>
      <c r="F13" s="2849">
        <v>411.4</v>
      </c>
      <c r="G13" s="2766">
        <v>759697</v>
      </c>
      <c r="H13" s="2693"/>
      <c r="I13" s="2766">
        <v>705437</v>
      </c>
      <c r="J13" s="2487" t="s">
        <v>8238</v>
      </c>
      <c r="K13" s="2726"/>
      <c r="L13" s="2479" t="str">
        <f t="shared" si="0"/>
        <v>10%</v>
      </c>
      <c r="N13" s="2579"/>
      <c r="O13" s="2715" t="s">
        <v>5963</v>
      </c>
      <c r="P13" s="2829">
        <v>8880380</v>
      </c>
      <c r="Q13" s="2482"/>
      <c r="R13" s="2482"/>
      <c r="S13" s="2482"/>
      <c r="T13" s="2482"/>
      <c r="U13" s="2482"/>
      <c r="V13" s="2482"/>
      <c r="W13" s="2482"/>
      <c r="X13" s="2482"/>
      <c r="Y13" s="2482"/>
      <c r="Z13" s="2482"/>
      <c r="AA13" s="2482"/>
    </row>
    <row r="14" spans="1:27" ht="16.7" customHeight="1" x14ac:dyDescent="0.2">
      <c r="A14" s="2792">
        <v>6</v>
      </c>
      <c r="B14" s="2850">
        <v>0.3</v>
      </c>
      <c r="C14" s="2694">
        <v>2318551</v>
      </c>
      <c r="D14" s="2693"/>
      <c r="E14" s="2693"/>
      <c r="F14" s="2851">
        <v>420</v>
      </c>
      <c r="G14" s="2766">
        <v>153688</v>
      </c>
      <c r="H14" s="2693"/>
      <c r="I14" s="2766">
        <v>2164863</v>
      </c>
      <c r="J14" s="2487" t="s">
        <v>8239</v>
      </c>
      <c r="K14" s="2726"/>
      <c r="L14" s="2595">
        <f t="shared" si="0"/>
        <v>0.3</v>
      </c>
      <c r="N14" s="2579"/>
      <c r="O14" s="2715" t="s">
        <v>5965</v>
      </c>
      <c r="P14" s="2829">
        <v>222376</v>
      </c>
      <c r="Q14" s="2482"/>
      <c r="R14" s="2482"/>
      <c r="S14" s="2482"/>
      <c r="T14" s="2482"/>
      <c r="U14" s="2482"/>
      <c r="V14" s="2482"/>
      <c r="W14" s="2482"/>
      <c r="X14" s="2482"/>
      <c r="Y14" s="2482"/>
      <c r="Z14" s="2482"/>
      <c r="AA14" s="2482"/>
    </row>
    <row r="15" spans="1:27" ht="16.7" customHeight="1" x14ac:dyDescent="0.2">
      <c r="A15" s="2792">
        <v>7</v>
      </c>
      <c r="B15" s="2512" t="s">
        <v>8240</v>
      </c>
      <c r="C15" s="2694">
        <v>13781</v>
      </c>
      <c r="D15" s="2693"/>
      <c r="E15" s="2693"/>
      <c r="F15" s="2849">
        <v>411.4</v>
      </c>
      <c r="G15" s="2766">
        <v>5183</v>
      </c>
      <c r="H15" s="2693"/>
      <c r="I15" s="2766">
        <v>8598</v>
      </c>
      <c r="J15" s="2487" t="s">
        <v>8238</v>
      </c>
      <c r="K15" s="2726"/>
      <c r="L15" s="2479" t="str">
        <f t="shared" si="0"/>
        <v>Idaho (Pre-2013)</v>
      </c>
      <c r="N15" s="2579"/>
      <c r="O15" s="2715" t="s">
        <v>5968</v>
      </c>
      <c r="P15" s="2829">
        <v>82772</v>
      </c>
      <c r="Q15" s="2482"/>
      <c r="R15" s="2482"/>
      <c r="S15" s="2482"/>
      <c r="T15" s="2482"/>
      <c r="U15" s="2482"/>
      <c r="V15" s="2482"/>
      <c r="W15" s="2482"/>
      <c r="X15" s="2482"/>
      <c r="Y15" s="2482"/>
      <c r="Z15" s="2482"/>
      <c r="AA15" s="2482"/>
    </row>
    <row r="16" spans="1:27" ht="16.7" customHeight="1" x14ac:dyDescent="0.2">
      <c r="A16" s="2852">
        <v>7.1</v>
      </c>
      <c r="B16" s="2693" t="s">
        <v>900</v>
      </c>
      <c r="C16" s="2694">
        <v>20920</v>
      </c>
      <c r="D16" s="2693"/>
      <c r="E16" s="2693"/>
      <c r="F16" s="2851">
        <v>420</v>
      </c>
      <c r="G16" s="2766">
        <v>4291</v>
      </c>
      <c r="H16" s="2693"/>
      <c r="I16" s="2766">
        <v>16629</v>
      </c>
      <c r="J16" s="2487" t="s">
        <v>8241</v>
      </c>
      <c r="K16" s="2726"/>
      <c r="L16" s="2479" t="str">
        <f t="shared" si="0"/>
        <v>Idaho</v>
      </c>
      <c r="N16" s="2579"/>
      <c r="O16" s="2482"/>
      <c r="P16" s="2482"/>
      <c r="Q16" s="2482"/>
      <c r="R16" s="2482"/>
      <c r="S16" s="2482"/>
      <c r="T16" s="2482"/>
      <c r="U16" s="2482"/>
      <c r="V16" s="2482"/>
      <c r="W16" s="2482"/>
      <c r="X16" s="2482"/>
      <c r="Y16" s="2482"/>
      <c r="Z16" s="2482"/>
      <c r="AA16" s="2482"/>
    </row>
    <row r="17" spans="1:27" ht="16.7" customHeight="1" x14ac:dyDescent="0.2">
      <c r="A17" s="2792">
        <v>8</v>
      </c>
      <c r="B17" s="2735" t="s">
        <v>8242</v>
      </c>
      <c r="C17" s="2736">
        <f>SUM(C10:C16)</f>
        <v>3818386</v>
      </c>
      <c r="D17" s="2509"/>
      <c r="E17" s="2736">
        <f>SUM(E10:E16)</f>
        <v>0</v>
      </c>
      <c r="F17" s="2509"/>
      <c r="G17" s="2736">
        <f>SUM(G10:G16)</f>
        <v>922859</v>
      </c>
      <c r="H17" s="2736">
        <f>SUM(H10:H16)</f>
        <v>0</v>
      </c>
      <c r="I17" s="2736">
        <f>SUM(I10:I16)</f>
        <v>2895527</v>
      </c>
      <c r="J17" s="2488"/>
      <c r="K17" s="2726"/>
      <c r="L17" s="2479" t="str">
        <f t="shared" si="0"/>
        <v>TOTAL Electric (Enter Total of Lines 2 thru 7)</v>
      </c>
      <c r="N17" s="2579"/>
      <c r="O17" s="2715" t="s">
        <v>5970</v>
      </c>
      <c r="P17" s="2829">
        <v>9185528</v>
      </c>
      <c r="Q17" s="2482"/>
      <c r="R17" s="2482"/>
      <c r="S17" s="2482"/>
      <c r="T17" s="2482"/>
      <c r="U17" s="2482"/>
      <c r="V17" s="2482"/>
      <c r="W17" s="2482"/>
      <c r="X17" s="2482"/>
      <c r="Y17" s="2482"/>
      <c r="Z17" s="2482"/>
      <c r="AA17" s="2482"/>
    </row>
    <row r="18" spans="1:27" ht="15.75" customHeight="1" x14ac:dyDescent="0.2">
      <c r="A18" s="2792">
        <v>9</v>
      </c>
      <c r="B18" s="2726" t="s">
        <v>8243</v>
      </c>
      <c r="C18" s="3939"/>
      <c r="D18" s="3940"/>
      <c r="E18" s="3940"/>
      <c r="F18" s="3940"/>
      <c r="G18" s="3940"/>
      <c r="H18" s="3941"/>
      <c r="I18" s="3939"/>
      <c r="J18" s="4001"/>
      <c r="K18" s="2512"/>
      <c r="L18" s="2479"/>
      <c r="N18" s="2579"/>
      <c r="O18" s="2715" t="s">
        <v>5972</v>
      </c>
      <c r="P18" s="2482"/>
      <c r="Q18" s="2482"/>
      <c r="R18" s="2482"/>
      <c r="S18" s="2482"/>
      <c r="T18" s="2482"/>
      <c r="U18" s="2482"/>
      <c r="V18" s="2482"/>
      <c r="W18" s="2482"/>
      <c r="X18" s="2482"/>
      <c r="Y18" s="2482"/>
      <c r="Z18" s="2482"/>
      <c r="AA18" s="2482"/>
    </row>
    <row r="19" spans="1:27" ht="16.7" customHeight="1" x14ac:dyDescent="0.2">
      <c r="A19" s="2792">
        <v>10</v>
      </c>
      <c r="B19" s="2631" t="s">
        <v>8244</v>
      </c>
      <c r="C19" s="2694">
        <v>5914053</v>
      </c>
      <c r="D19" s="2853">
        <v>190</v>
      </c>
      <c r="E19" s="2766">
        <v>1186380</v>
      </c>
      <c r="F19" s="2640">
        <v>420</v>
      </c>
      <c r="G19" s="2766">
        <v>-233300</v>
      </c>
      <c r="H19" s="2599">
        <v>-167298</v>
      </c>
      <c r="I19" s="2766">
        <v>7166435</v>
      </c>
      <c r="J19" s="2487" t="s">
        <v>8241</v>
      </c>
      <c r="K19" s="2726"/>
      <c r="L19" s="2479" t="str">
        <f t="shared" ref="L19:L56" si="1">B19</f>
        <v>Idaho (nonutility)</v>
      </c>
      <c r="N19" s="2579"/>
      <c r="O19" s="2715" t="s">
        <v>5974</v>
      </c>
      <c r="P19" s="2482"/>
      <c r="Q19" s="2482"/>
      <c r="R19" s="2482"/>
      <c r="S19" s="2482"/>
      <c r="T19" s="2482"/>
      <c r="U19" s="2482"/>
      <c r="V19" s="2482"/>
      <c r="W19" s="2482"/>
      <c r="X19" s="2482"/>
      <c r="Y19" s="2482"/>
      <c r="Z19" s="2482"/>
      <c r="AA19" s="2482"/>
    </row>
    <row r="20" spans="1:27" ht="16.7" customHeight="1" x14ac:dyDescent="0.2">
      <c r="A20" s="2792">
        <v>11</v>
      </c>
      <c r="B20" s="2631"/>
      <c r="C20" s="2848"/>
      <c r="D20" s="2693"/>
      <c r="E20" s="2693"/>
      <c r="F20" s="2693"/>
      <c r="G20" s="2693"/>
      <c r="H20" s="2693"/>
      <c r="I20" s="2854"/>
      <c r="J20" s="2487"/>
      <c r="K20" s="2726"/>
      <c r="L20" s="2595">
        <f t="shared" si="1"/>
        <v>0</v>
      </c>
      <c r="N20" s="2579"/>
      <c r="O20" s="2715" t="s">
        <v>5976</v>
      </c>
      <c r="P20" s="2829">
        <v>4128249</v>
      </c>
      <c r="Q20" s="2482"/>
      <c r="R20" s="2482"/>
      <c r="S20" s="2482"/>
      <c r="T20" s="2482"/>
      <c r="U20" s="2482"/>
      <c r="V20" s="2482"/>
      <c r="W20" s="2482"/>
      <c r="X20" s="2482"/>
      <c r="Y20" s="2482"/>
      <c r="Z20" s="2482"/>
      <c r="AA20" s="2482"/>
    </row>
    <row r="21" spans="1:27" ht="4.1500000000000004" customHeight="1" x14ac:dyDescent="0.2">
      <c r="A21" s="2792">
        <v>12</v>
      </c>
      <c r="B21" s="2512"/>
      <c r="C21" s="2645">
        <f t="shared" ref="C21:C55" si="2">SUMIFS($N21:$XFD21,$N$8:$XFD$8,$C$8)</f>
        <v>0</v>
      </c>
      <c r="D21" s="2488"/>
      <c r="E21" s="2488"/>
      <c r="F21" s="2488"/>
      <c r="G21" s="2488"/>
      <c r="H21" s="2488"/>
      <c r="I21" s="2488"/>
      <c r="J21" s="2726"/>
      <c r="K21" s="2726"/>
      <c r="L21" s="2595">
        <f t="shared" si="1"/>
        <v>0</v>
      </c>
      <c r="N21" s="2579"/>
      <c r="O21" s="2715" t="s">
        <v>5978</v>
      </c>
      <c r="P21" s="2829">
        <v>4128249</v>
      </c>
      <c r="Q21" s="2482"/>
      <c r="R21" s="2482"/>
      <c r="S21" s="2482"/>
      <c r="T21" s="2482"/>
      <c r="U21" s="2482"/>
      <c r="V21" s="2482"/>
      <c r="W21" s="2482"/>
      <c r="X21" s="2482"/>
      <c r="Y21" s="2482"/>
      <c r="Z21" s="2482"/>
      <c r="AA21" s="2482"/>
    </row>
    <row r="22" spans="1:27" ht="4.1500000000000004" customHeight="1" x14ac:dyDescent="0.2">
      <c r="A22" s="2792">
        <v>13</v>
      </c>
      <c r="B22" s="2488"/>
      <c r="C22" s="2645">
        <f t="shared" si="2"/>
        <v>0</v>
      </c>
      <c r="D22" s="2488"/>
      <c r="E22" s="2488"/>
      <c r="F22" s="2488"/>
      <c r="G22" s="2488"/>
      <c r="H22" s="2488"/>
      <c r="I22" s="2726"/>
      <c r="J22" s="2726"/>
      <c r="K22" s="2726"/>
      <c r="L22" s="2595">
        <f t="shared" si="1"/>
        <v>0</v>
      </c>
      <c r="N22" s="2579"/>
      <c r="O22" s="2715" t="s">
        <v>5980</v>
      </c>
      <c r="P22" s="2482"/>
      <c r="Q22" s="2482"/>
      <c r="R22" s="2482"/>
      <c r="S22" s="2482"/>
      <c r="T22" s="2482"/>
      <c r="U22" s="2482"/>
      <c r="V22" s="2482"/>
      <c r="W22" s="2482"/>
      <c r="X22" s="2482"/>
      <c r="Y22" s="2482"/>
      <c r="Z22" s="2482"/>
      <c r="AA22" s="2482"/>
    </row>
    <row r="23" spans="1:27" ht="4.1500000000000004" customHeight="1" x14ac:dyDescent="0.2">
      <c r="A23" s="2792">
        <v>14</v>
      </c>
      <c r="B23" s="2488"/>
      <c r="C23" s="2645">
        <f t="shared" si="2"/>
        <v>0</v>
      </c>
      <c r="D23" s="2488"/>
      <c r="E23" s="2488"/>
      <c r="F23" s="2488"/>
      <c r="G23" s="2488"/>
      <c r="H23" s="2488"/>
      <c r="I23" s="2726"/>
      <c r="J23" s="2726"/>
      <c r="K23" s="2726"/>
      <c r="L23" s="2595">
        <f t="shared" si="1"/>
        <v>0</v>
      </c>
      <c r="N23" s="2579"/>
      <c r="O23" s="2715" t="s">
        <v>5982</v>
      </c>
      <c r="P23" s="2482"/>
      <c r="Q23" s="2482"/>
      <c r="R23" s="2482"/>
      <c r="S23" s="2482"/>
      <c r="T23" s="2482"/>
      <c r="U23" s="2482"/>
      <c r="V23" s="2482"/>
      <c r="W23" s="2482"/>
      <c r="X23" s="2482"/>
      <c r="Y23" s="2482"/>
      <c r="Z23" s="2482"/>
      <c r="AA23" s="2482"/>
    </row>
    <row r="24" spans="1:27" ht="4.1500000000000004" customHeight="1" x14ac:dyDescent="0.2">
      <c r="A24" s="2792">
        <v>15</v>
      </c>
      <c r="B24" s="2488"/>
      <c r="C24" s="2645">
        <f t="shared" si="2"/>
        <v>0</v>
      </c>
      <c r="D24" s="2488"/>
      <c r="E24" s="2488"/>
      <c r="F24" s="2488"/>
      <c r="G24" s="2488"/>
      <c r="H24" s="2488"/>
      <c r="I24" s="2726"/>
      <c r="J24" s="2726"/>
      <c r="K24" s="2726"/>
      <c r="L24" s="2595">
        <f t="shared" si="1"/>
        <v>0</v>
      </c>
      <c r="N24" s="2579"/>
      <c r="O24" s="2715" t="s">
        <v>5984</v>
      </c>
      <c r="P24" s="2482"/>
      <c r="Q24" s="2482"/>
      <c r="R24" s="2482"/>
      <c r="S24" s="2482"/>
      <c r="T24" s="2482"/>
      <c r="U24" s="2482"/>
      <c r="V24" s="2482"/>
      <c r="W24" s="2482"/>
      <c r="X24" s="2482"/>
      <c r="Y24" s="2482"/>
      <c r="Z24" s="2482"/>
      <c r="AA24" s="2482"/>
    </row>
    <row r="25" spans="1:27" ht="4.1500000000000004" customHeight="1" x14ac:dyDescent="0.2">
      <c r="A25" s="2792">
        <v>16</v>
      </c>
      <c r="B25" s="2488"/>
      <c r="C25" s="2645">
        <f t="shared" si="2"/>
        <v>0</v>
      </c>
      <c r="D25" s="2488"/>
      <c r="E25" s="2488"/>
      <c r="F25" s="2488"/>
      <c r="G25" s="2488"/>
      <c r="H25" s="2488"/>
      <c r="I25" s="2488"/>
      <c r="J25" s="2488"/>
      <c r="K25" s="2488"/>
      <c r="L25" s="2595">
        <f t="shared" si="1"/>
        <v>0</v>
      </c>
      <c r="N25" s="2579"/>
      <c r="O25" s="2715" t="s">
        <v>5986</v>
      </c>
      <c r="P25" s="2482"/>
      <c r="Q25" s="2482"/>
      <c r="R25" s="2482"/>
      <c r="S25" s="2482"/>
      <c r="T25" s="2482"/>
      <c r="U25" s="2482"/>
      <c r="V25" s="2482"/>
      <c r="W25" s="2482"/>
      <c r="X25" s="2482"/>
      <c r="Y25" s="2482"/>
      <c r="Z25" s="2482"/>
      <c r="AA25" s="2482"/>
    </row>
    <row r="26" spans="1:27" ht="4.1500000000000004" customHeight="1" x14ac:dyDescent="0.2">
      <c r="A26" s="2792">
        <v>17</v>
      </c>
      <c r="B26" s="2488"/>
      <c r="C26" s="2645">
        <f t="shared" si="2"/>
        <v>0</v>
      </c>
      <c r="D26" s="2488"/>
      <c r="E26" s="2488"/>
      <c r="F26" s="2488"/>
      <c r="G26" s="2488"/>
      <c r="H26" s="2488"/>
      <c r="I26" s="2488"/>
      <c r="J26" s="2488"/>
      <c r="K26" s="2488"/>
      <c r="L26" s="2595">
        <f t="shared" si="1"/>
        <v>0</v>
      </c>
      <c r="N26" s="2579"/>
      <c r="O26" s="2715" t="s">
        <v>5988</v>
      </c>
      <c r="P26" s="2482"/>
      <c r="Q26" s="2482"/>
      <c r="R26" s="2482"/>
      <c r="S26" s="2482"/>
      <c r="T26" s="2482"/>
      <c r="U26" s="2482"/>
      <c r="V26" s="2482"/>
      <c r="W26" s="2482"/>
      <c r="X26" s="2482"/>
      <c r="Y26" s="2482"/>
      <c r="Z26" s="2482"/>
      <c r="AA26" s="2482"/>
    </row>
    <row r="27" spans="1:27" ht="4.1500000000000004" customHeight="1" x14ac:dyDescent="0.2">
      <c r="A27" s="2792">
        <v>18</v>
      </c>
      <c r="B27" s="2488"/>
      <c r="C27" s="2645">
        <f t="shared" si="2"/>
        <v>0</v>
      </c>
      <c r="D27" s="2488"/>
      <c r="E27" s="2488"/>
      <c r="F27" s="2488"/>
      <c r="G27" s="2488"/>
      <c r="H27" s="2488"/>
      <c r="I27" s="2488"/>
      <c r="J27" s="2488"/>
      <c r="K27" s="2488"/>
      <c r="L27" s="2595">
        <f t="shared" si="1"/>
        <v>0</v>
      </c>
      <c r="N27" s="2579"/>
      <c r="O27" s="2715" t="s">
        <v>5990</v>
      </c>
      <c r="P27" s="2482"/>
      <c r="Q27" s="2482"/>
      <c r="R27" s="2482"/>
      <c r="S27" s="2482"/>
      <c r="T27" s="2482"/>
      <c r="U27" s="2482"/>
      <c r="V27" s="2482"/>
      <c r="W27" s="2482"/>
      <c r="X27" s="2482"/>
      <c r="Y27" s="2482"/>
      <c r="Z27" s="2482"/>
      <c r="AA27" s="2482"/>
    </row>
    <row r="28" spans="1:27" ht="4.1500000000000004" customHeight="1" x14ac:dyDescent="0.2">
      <c r="A28" s="2792">
        <v>19</v>
      </c>
      <c r="B28" s="2488"/>
      <c r="C28" s="2645">
        <f t="shared" si="2"/>
        <v>0</v>
      </c>
      <c r="D28" s="2488"/>
      <c r="E28" s="2488"/>
      <c r="F28" s="2488"/>
      <c r="G28" s="2488"/>
      <c r="H28" s="2488"/>
      <c r="I28" s="2488"/>
      <c r="J28" s="2488"/>
      <c r="K28" s="2488"/>
      <c r="L28" s="2595">
        <f t="shared" si="1"/>
        <v>0</v>
      </c>
      <c r="N28" s="2579"/>
      <c r="O28" s="2715" t="s">
        <v>5992</v>
      </c>
      <c r="P28" s="2482"/>
      <c r="Q28" s="2482"/>
      <c r="R28" s="2482"/>
      <c r="S28" s="2482"/>
      <c r="T28" s="2482"/>
      <c r="U28" s="2482"/>
      <c r="V28" s="2482"/>
      <c r="W28" s="2482"/>
      <c r="X28" s="2482"/>
      <c r="Y28" s="2482"/>
      <c r="Z28" s="2482"/>
      <c r="AA28" s="2482"/>
    </row>
    <row r="29" spans="1:27" ht="4.1500000000000004" customHeight="1" x14ac:dyDescent="0.2">
      <c r="A29" s="2792">
        <v>20</v>
      </c>
      <c r="B29" s="2488"/>
      <c r="C29" s="2645">
        <f t="shared" si="2"/>
        <v>0</v>
      </c>
      <c r="D29" s="2488"/>
      <c r="E29" s="2488"/>
      <c r="F29" s="2488"/>
      <c r="G29" s="2488"/>
      <c r="H29" s="2488"/>
      <c r="I29" s="2488"/>
      <c r="J29" s="2488"/>
      <c r="K29" s="2488"/>
      <c r="L29" s="2595">
        <f t="shared" si="1"/>
        <v>0</v>
      </c>
      <c r="N29" s="2579"/>
      <c r="O29" s="2715" t="s">
        <v>5994</v>
      </c>
      <c r="P29" s="2482"/>
      <c r="Q29" s="2482"/>
      <c r="R29" s="2482"/>
      <c r="S29" s="2482"/>
      <c r="T29" s="2482"/>
      <c r="U29" s="2482"/>
      <c r="V29" s="2482"/>
      <c r="W29" s="2482"/>
      <c r="X29" s="2482"/>
      <c r="Y29" s="2482"/>
      <c r="Z29" s="2482"/>
      <c r="AA29" s="2482"/>
    </row>
    <row r="30" spans="1:27" ht="4.1500000000000004" customHeight="1" x14ac:dyDescent="0.2">
      <c r="A30" s="2792">
        <v>21</v>
      </c>
      <c r="B30" s="2488"/>
      <c r="C30" s="2645">
        <f t="shared" si="2"/>
        <v>0</v>
      </c>
      <c r="D30" s="2488"/>
      <c r="E30" s="2488"/>
      <c r="F30" s="2488"/>
      <c r="G30" s="2488"/>
      <c r="H30" s="2488"/>
      <c r="I30" s="2488"/>
      <c r="J30" s="2488"/>
      <c r="K30" s="2488"/>
      <c r="L30" s="2595">
        <f t="shared" si="1"/>
        <v>0</v>
      </c>
      <c r="N30" s="2579"/>
      <c r="O30" s="2715" t="s">
        <v>5997</v>
      </c>
      <c r="P30" s="2482"/>
      <c r="Q30" s="2482"/>
      <c r="R30" s="2482"/>
      <c r="S30" s="2482"/>
      <c r="T30" s="2482"/>
      <c r="U30" s="2482"/>
      <c r="V30" s="2482"/>
      <c r="W30" s="2482"/>
      <c r="X30" s="2482"/>
      <c r="Y30" s="2482"/>
      <c r="Z30" s="2482"/>
      <c r="AA30" s="2482"/>
    </row>
    <row r="31" spans="1:27" ht="4.1500000000000004" customHeight="1" x14ac:dyDescent="0.2">
      <c r="A31" s="2792">
        <v>22</v>
      </c>
      <c r="B31" s="2488"/>
      <c r="C31" s="2645">
        <f t="shared" si="2"/>
        <v>0</v>
      </c>
      <c r="D31" s="2488"/>
      <c r="E31" s="2488"/>
      <c r="F31" s="2488"/>
      <c r="G31" s="2488"/>
      <c r="H31" s="2488"/>
      <c r="I31" s="2488"/>
      <c r="J31" s="2488"/>
      <c r="K31" s="2488"/>
      <c r="L31" s="2595">
        <f t="shared" si="1"/>
        <v>0</v>
      </c>
      <c r="N31" s="2579"/>
      <c r="O31" s="2715" t="s">
        <v>5999</v>
      </c>
      <c r="P31" s="2482"/>
      <c r="Q31" s="2482"/>
      <c r="R31" s="2482"/>
      <c r="S31" s="2482"/>
      <c r="T31" s="2482"/>
      <c r="U31" s="2482"/>
      <c r="V31" s="2482"/>
      <c r="W31" s="2482"/>
      <c r="X31" s="2482"/>
      <c r="Y31" s="2482"/>
      <c r="Z31" s="2482"/>
      <c r="AA31" s="2482"/>
    </row>
    <row r="32" spans="1:27" ht="4.1500000000000004" customHeight="1" x14ac:dyDescent="0.2">
      <c r="A32" s="2792">
        <v>23</v>
      </c>
      <c r="B32" s="2488"/>
      <c r="C32" s="2645">
        <f t="shared" si="2"/>
        <v>0</v>
      </c>
      <c r="D32" s="2488"/>
      <c r="E32" s="2488"/>
      <c r="F32" s="2488"/>
      <c r="G32" s="2488"/>
      <c r="H32" s="2488"/>
      <c r="I32" s="2488"/>
      <c r="J32" s="2488"/>
      <c r="K32" s="2488"/>
      <c r="L32" s="2595">
        <f t="shared" si="1"/>
        <v>0</v>
      </c>
      <c r="N32" s="2579"/>
      <c r="O32" s="2715" t="s">
        <v>6002</v>
      </c>
      <c r="P32" s="2482"/>
      <c r="Q32" s="2482"/>
      <c r="R32" s="2482"/>
      <c r="S32" s="2482"/>
      <c r="T32" s="2482"/>
      <c r="U32" s="2482"/>
      <c r="V32" s="2482"/>
      <c r="W32" s="2482"/>
      <c r="X32" s="2482"/>
      <c r="Y32" s="2482"/>
      <c r="Z32" s="2482"/>
      <c r="AA32" s="2482"/>
    </row>
    <row r="33" spans="1:27" ht="4.1500000000000004" customHeight="1" x14ac:dyDescent="0.2">
      <c r="A33" s="2792">
        <v>24</v>
      </c>
      <c r="B33" s="2488"/>
      <c r="C33" s="2645">
        <f t="shared" si="2"/>
        <v>0</v>
      </c>
      <c r="D33" s="2488"/>
      <c r="E33" s="2488"/>
      <c r="F33" s="2488"/>
      <c r="G33" s="2488"/>
      <c r="H33" s="2488"/>
      <c r="I33" s="2488"/>
      <c r="J33" s="2488"/>
      <c r="K33" s="2488"/>
      <c r="L33" s="2595">
        <f t="shared" si="1"/>
        <v>0</v>
      </c>
      <c r="N33" s="2579"/>
      <c r="O33" s="2715" t="s">
        <v>6004</v>
      </c>
      <c r="P33" s="2482"/>
      <c r="Q33" s="2482"/>
      <c r="R33" s="2482"/>
      <c r="S33" s="2482"/>
      <c r="T33" s="2482"/>
      <c r="U33" s="2482"/>
      <c r="V33" s="2482"/>
      <c r="W33" s="2482"/>
      <c r="X33" s="2482"/>
      <c r="Y33" s="2482"/>
      <c r="Z33" s="2482"/>
      <c r="AA33" s="2482"/>
    </row>
    <row r="34" spans="1:27" ht="4.1500000000000004" customHeight="1" x14ac:dyDescent="0.2">
      <c r="A34" s="2792">
        <v>25</v>
      </c>
      <c r="B34" s="2488"/>
      <c r="C34" s="2645">
        <f t="shared" si="2"/>
        <v>0</v>
      </c>
      <c r="D34" s="2488"/>
      <c r="E34" s="2488"/>
      <c r="F34" s="2488"/>
      <c r="G34" s="2488"/>
      <c r="H34" s="2488"/>
      <c r="I34" s="2488"/>
      <c r="J34" s="2488"/>
      <c r="K34" s="2726" t="s">
        <v>8245</v>
      </c>
      <c r="L34" s="2595">
        <f t="shared" si="1"/>
        <v>0</v>
      </c>
      <c r="N34" s="2579"/>
      <c r="O34" s="2715" t="s">
        <v>6006</v>
      </c>
      <c r="P34" s="2482"/>
      <c r="Q34" s="2482"/>
      <c r="R34" s="2482"/>
      <c r="S34" s="2482"/>
      <c r="T34" s="2482"/>
      <c r="U34" s="2482"/>
      <c r="V34" s="2482"/>
      <c r="W34" s="2482"/>
      <c r="X34" s="2482"/>
      <c r="Y34" s="2482"/>
      <c r="Z34" s="2482"/>
      <c r="AA34" s="2482"/>
    </row>
    <row r="35" spans="1:27" ht="4.1500000000000004" customHeight="1" x14ac:dyDescent="0.2">
      <c r="A35" s="2792">
        <v>26</v>
      </c>
      <c r="B35" s="2488"/>
      <c r="C35" s="2645">
        <f t="shared" si="2"/>
        <v>0</v>
      </c>
      <c r="D35" s="2488"/>
      <c r="E35" s="2488"/>
      <c r="F35" s="2488"/>
      <c r="G35" s="2488"/>
      <c r="H35" s="2488"/>
      <c r="I35" s="2488"/>
      <c r="J35" s="2488"/>
      <c r="K35" s="2488"/>
      <c r="L35" s="2595">
        <f t="shared" si="1"/>
        <v>0</v>
      </c>
      <c r="N35" s="2579"/>
      <c r="O35" s="2715" t="s">
        <v>6008</v>
      </c>
      <c r="P35" s="2482"/>
      <c r="Q35" s="2482"/>
      <c r="R35" s="2482"/>
      <c r="S35" s="2482"/>
      <c r="T35" s="2482"/>
      <c r="U35" s="2482"/>
      <c r="V35" s="2482"/>
      <c r="W35" s="2482"/>
      <c r="X35" s="2482"/>
      <c r="Y35" s="2482"/>
      <c r="Z35" s="2482"/>
      <c r="AA35" s="2482"/>
    </row>
    <row r="36" spans="1:27" ht="4.1500000000000004" customHeight="1" x14ac:dyDescent="0.2">
      <c r="A36" s="2792">
        <v>27</v>
      </c>
      <c r="B36" s="2488"/>
      <c r="C36" s="2645">
        <f t="shared" si="2"/>
        <v>0</v>
      </c>
      <c r="D36" s="2488"/>
      <c r="E36" s="2488"/>
      <c r="F36" s="2488"/>
      <c r="G36" s="2488"/>
      <c r="H36" s="2488"/>
      <c r="I36" s="2488"/>
      <c r="J36" s="2488"/>
      <c r="K36" s="2488"/>
      <c r="L36" s="2595">
        <f t="shared" si="1"/>
        <v>0</v>
      </c>
      <c r="N36" s="2579"/>
      <c r="O36" s="2715" t="s">
        <v>6010</v>
      </c>
      <c r="P36" s="2482"/>
      <c r="Q36" s="2482"/>
      <c r="R36" s="2482"/>
      <c r="S36" s="2482"/>
      <c r="T36" s="2482"/>
      <c r="U36" s="2482"/>
      <c r="V36" s="2482"/>
      <c r="W36" s="2482"/>
      <c r="X36" s="2482"/>
      <c r="Y36" s="2482"/>
      <c r="Z36" s="2482"/>
      <c r="AA36" s="2482"/>
    </row>
    <row r="37" spans="1:27" ht="4.1500000000000004" customHeight="1" x14ac:dyDescent="0.2">
      <c r="A37" s="2792">
        <v>28</v>
      </c>
      <c r="B37" s="2488"/>
      <c r="C37" s="2645">
        <f t="shared" si="2"/>
        <v>0</v>
      </c>
      <c r="D37" s="2488"/>
      <c r="E37" s="2488"/>
      <c r="F37" s="2488"/>
      <c r="G37" s="2488"/>
      <c r="H37" s="2488"/>
      <c r="I37" s="2488"/>
      <c r="J37" s="2488"/>
      <c r="K37" s="2488"/>
      <c r="L37" s="2595">
        <f t="shared" si="1"/>
        <v>0</v>
      </c>
      <c r="N37" s="2579"/>
      <c r="O37" s="2715" t="s">
        <v>6012</v>
      </c>
      <c r="P37" s="2482"/>
      <c r="Q37" s="2482"/>
      <c r="R37" s="2482"/>
      <c r="S37" s="2482"/>
      <c r="T37" s="2482"/>
      <c r="U37" s="2482"/>
      <c r="V37" s="2482"/>
      <c r="W37" s="2482"/>
      <c r="X37" s="2482"/>
      <c r="Y37" s="2482"/>
      <c r="Z37" s="2482"/>
      <c r="AA37" s="2482"/>
    </row>
    <row r="38" spans="1:27" ht="4.1500000000000004" customHeight="1" x14ac:dyDescent="0.2">
      <c r="A38" s="2792">
        <v>29</v>
      </c>
      <c r="B38" s="2488"/>
      <c r="C38" s="2645">
        <f t="shared" si="2"/>
        <v>0</v>
      </c>
      <c r="D38" s="2488"/>
      <c r="E38" s="2488"/>
      <c r="F38" s="2488"/>
      <c r="G38" s="2488"/>
      <c r="H38" s="2488"/>
      <c r="I38" s="2488"/>
      <c r="J38" s="2488"/>
      <c r="K38" s="2488"/>
      <c r="L38" s="2595">
        <f t="shared" si="1"/>
        <v>0</v>
      </c>
      <c r="N38" s="2579"/>
      <c r="O38" s="2715" t="s">
        <v>6014</v>
      </c>
      <c r="P38" s="2482"/>
      <c r="Q38" s="2482"/>
      <c r="R38" s="2482"/>
      <c r="S38" s="2482"/>
      <c r="T38" s="2482"/>
      <c r="U38" s="2482"/>
      <c r="V38" s="2482"/>
      <c r="W38" s="2482"/>
      <c r="X38" s="2482"/>
      <c r="Y38" s="2482"/>
      <c r="Z38" s="2482"/>
      <c r="AA38" s="2482"/>
    </row>
    <row r="39" spans="1:27" ht="4.1500000000000004" customHeight="1" x14ac:dyDescent="0.2">
      <c r="A39" s="2792">
        <v>30</v>
      </c>
      <c r="B39" s="2488"/>
      <c r="C39" s="2645">
        <f t="shared" si="2"/>
        <v>0</v>
      </c>
      <c r="D39" s="2488"/>
      <c r="E39" s="2488"/>
      <c r="F39" s="2488"/>
      <c r="G39" s="2488"/>
      <c r="H39" s="2488"/>
      <c r="I39" s="2488"/>
      <c r="J39" s="2488"/>
      <c r="K39" s="2488"/>
      <c r="L39" s="2595">
        <f t="shared" si="1"/>
        <v>0</v>
      </c>
      <c r="N39" s="2579"/>
      <c r="O39" s="2715" t="s">
        <v>6016</v>
      </c>
      <c r="P39" s="2482"/>
      <c r="Q39" s="2482"/>
      <c r="R39" s="2482"/>
      <c r="S39" s="2482"/>
      <c r="T39" s="2482"/>
      <c r="U39" s="2482"/>
      <c r="V39" s="2482"/>
      <c r="W39" s="2482"/>
      <c r="X39" s="2482"/>
      <c r="Y39" s="2482"/>
      <c r="Z39" s="2482"/>
      <c r="AA39" s="2482"/>
    </row>
    <row r="40" spans="1:27" ht="4.1500000000000004" customHeight="1" x14ac:dyDescent="0.2">
      <c r="A40" s="2792">
        <v>31</v>
      </c>
      <c r="B40" s="2488"/>
      <c r="C40" s="2645">
        <f t="shared" si="2"/>
        <v>0</v>
      </c>
      <c r="D40" s="2488"/>
      <c r="E40" s="2488"/>
      <c r="F40" s="2488"/>
      <c r="G40" s="2488"/>
      <c r="H40" s="2488"/>
      <c r="I40" s="2488"/>
      <c r="J40" s="2488"/>
      <c r="K40" s="2488"/>
      <c r="L40" s="2595">
        <f t="shared" si="1"/>
        <v>0</v>
      </c>
      <c r="N40" s="2579"/>
      <c r="O40" s="2715" t="s">
        <v>6018</v>
      </c>
      <c r="P40" s="2482"/>
      <c r="Q40" s="2482"/>
      <c r="R40" s="2482"/>
      <c r="S40" s="2482"/>
      <c r="T40" s="2482"/>
      <c r="U40" s="2482"/>
      <c r="V40" s="2482"/>
      <c r="W40" s="2482"/>
      <c r="X40" s="2482"/>
      <c r="Y40" s="2482"/>
      <c r="Z40" s="2482"/>
      <c r="AA40" s="2482"/>
    </row>
    <row r="41" spans="1:27" ht="4.1500000000000004" customHeight="1" x14ac:dyDescent="0.2">
      <c r="A41" s="2792">
        <v>32</v>
      </c>
      <c r="B41" s="2488"/>
      <c r="C41" s="2645">
        <f t="shared" si="2"/>
        <v>0</v>
      </c>
      <c r="D41" s="2488"/>
      <c r="E41" s="2488"/>
      <c r="F41" s="2488"/>
      <c r="G41" s="2488"/>
      <c r="H41" s="2488"/>
      <c r="I41" s="2488"/>
      <c r="J41" s="2488"/>
      <c r="K41" s="2488"/>
      <c r="L41" s="2595">
        <f t="shared" si="1"/>
        <v>0</v>
      </c>
      <c r="N41" s="2579"/>
      <c r="O41" s="2715" t="s">
        <v>6020</v>
      </c>
      <c r="P41" s="2482"/>
      <c r="Q41" s="2482"/>
      <c r="R41" s="2482"/>
      <c r="S41" s="2482"/>
      <c r="T41" s="2482"/>
      <c r="U41" s="2482"/>
      <c r="V41" s="2482"/>
      <c r="W41" s="2482"/>
      <c r="X41" s="2482"/>
      <c r="Y41" s="2482"/>
      <c r="Z41" s="2482"/>
      <c r="AA41" s="2482"/>
    </row>
    <row r="42" spans="1:27" ht="4.1500000000000004" customHeight="1" x14ac:dyDescent="0.2">
      <c r="A42" s="2792">
        <v>33</v>
      </c>
      <c r="B42" s="2488"/>
      <c r="C42" s="2645">
        <f t="shared" si="2"/>
        <v>0</v>
      </c>
      <c r="D42" s="2488"/>
      <c r="E42" s="2488"/>
      <c r="F42" s="2488"/>
      <c r="G42" s="2488"/>
      <c r="H42" s="2488"/>
      <c r="I42" s="2488"/>
      <c r="J42" s="2488"/>
      <c r="K42" s="2488"/>
      <c r="L42" s="2595">
        <f t="shared" si="1"/>
        <v>0</v>
      </c>
      <c r="N42" s="2579"/>
      <c r="O42" s="2715" t="s">
        <v>6022</v>
      </c>
      <c r="P42" s="2482"/>
      <c r="Q42" s="2482"/>
      <c r="R42" s="2482"/>
      <c r="S42" s="2482"/>
      <c r="T42" s="2482"/>
      <c r="U42" s="2482"/>
      <c r="V42" s="2482"/>
      <c r="W42" s="2482"/>
      <c r="X42" s="2482"/>
      <c r="Y42" s="2482"/>
      <c r="Z42" s="2482"/>
      <c r="AA42" s="2482"/>
    </row>
    <row r="43" spans="1:27" ht="4.1500000000000004" customHeight="1" x14ac:dyDescent="0.2">
      <c r="A43" s="2792">
        <v>34</v>
      </c>
      <c r="B43" s="2488"/>
      <c r="C43" s="2645">
        <f t="shared" si="2"/>
        <v>0</v>
      </c>
      <c r="D43" s="2488"/>
      <c r="E43" s="2488"/>
      <c r="F43" s="2488"/>
      <c r="G43" s="2488"/>
      <c r="H43" s="2488"/>
      <c r="I43" s="2488"/>
      <c r="J43" s="2488"/>
      <c r="K43" s="2488"/>
      <c r="L43" s="2595">
        <f t="shared" si="1"/>
        <v>0</v>
      </c>
      <c r="N43" s="2579"/>
      <c r="O43" s="2715" t="s">
        <v>6024</v>
      </c>
      <c r="P43" s="2482"/>
      <c r="Q43" s="2482"/>
      <c r="R43" s="2482"/>
      <c r="S43" s="2482"/>
      <c r="T43" s="2482"/>
      <c r="U43" s="2482"/>
      <c r="V43" s="2482"/>
      <c r="W43" s="2482"/>
      <c r="X43" s="2482"/>
      <c r="Y43" s="2482"/>
      <c r="Z43" s="2482"/>
      <c r="AA43" s="2482"/>
    </row>
    <row r="44" spans="1:27" ht="4.1500000000000004" customHeight="1" x14ac:dyDescent="0.2">
      <c r="A44" s="2792">
        <v>35</v>
      </c>
      <c r="B44" s="2488"/>
      <c r="C44" s="2645">
        <f t="shared" si="2"/>
        <v>0</v>
      </c>
      <c r="D44" s="2488"/>
      <c r="E44" s="2488"/>
      <c r="F44" s="2488"/>
      <c r="G44" s="2488"/>
      <c r="H44" s="2488"/>
      <c r="I44" s="2488"/>
      <c r="J44" s="2488"/>
      <c r="K44" s="2488"/>
      <c r="L44" s="2595">
        <f t="shared" si="1"/>
        <v>0</v>
      </c>
      <c r="N44" s="2579"/>
      <c r="O44" s="2715" t="s">
        <v>6026</v>
      </c>
      <c r="P44" s="2482"/>
      <c r="Q44" s="2482"/>
      <c r="R44" s="2482"/>
      <c r="S44" s="2482"/>
      <c r="T44" s="2482"/>
      <c r="U44" s="2482"/>
      <c r="V44" s="2482"/>
      <c r="W44" s="2482"/>
      <c r="X44" s="2482"/>
      <c r="Y44" s="2482"/>
      <c r="Z44" s="2482"/>
      <c r="AA44" s="2482"/>
    </row>
    <row r="45" spans="1:27" ht="4.1500000000000004" customHeight="1" x14ac:dyDescent="0.2">
      <c r="A45" s="2792">
        <v>36</v>
      </c>
      <c r="B45" s="2488"/>
      <c r="C45" s="2645">
        <f t="shared" si="2"/>
        <v>0</v>
      </c>
      <c r="D45" s="2488"/>
      <c r="E45" s="2488"/>
      <c r="F45" s="2488"/>
      <c r="G45" s="2488"/>
      <c r="H45" s="2488"/>
      <c r="I45" s="2488"/>
      <c r="J45" s="2488"/>
      <c r="K45" s="2488"/>
      <c r="L45" s="2595">
        <f t="shared" si="1"/>
        <v>0</v>
      </c>
      <c r="N45" s="2579"/>
      <c r="O45" s="2715" t="s">
        <v>6028</v>
      </c>
      <c r="P45" s="2482"/>
      <c r="Q45" s="2482"/>
      <c r="R45" s="2482"/>
      <c r="S45" s="2482"/>
      <c r="T45" s="2482"/>
      <c r="U45" s="2482"/>
      <c r="V45" s="2482"/>
      <c r="W45" s="2482"/>
      <c r="X45" s="2482"/>
      <c r="Y45" s="2482"/>
      <c r="Z45" s="2482"/>
      <c r="AA45" s="2482"/>
    </row>
    <row r="46" spans="1:27" ht="4.1500000000000004" customHeight="1" x14ac:dyDescent="0.2">
      <c r="A46" s="2792">
        <v>37</v>
      </c>
      <c r="B46" s="2488"/>
      <c r="C46" s="2645">
        <f t="shared" si="2"/>
        <v>0</v>
      </c>
      <c r="D46" s="2488"/>
      <c r="E46" s="2488"/>
      <c r="F46" s="2488"/>
      <c r="G46" s="2488"/>
      <c r="H46" s="2488"/>
      <c r="I46" s="2488"/>
      <c r="J46" s="2488"/>
      <c r="K46" s="2488"/>
      <c r="L46" s="2595">
        <f t="shared" si="1"/>
        <v>0</v>
      </c>
      <c r="N46" s="2579"/>
      <c r="O46" s="2715" t="s">
        <v>6030</v>
      </c>
      <c r="P46" s="2482"/>
      <c r="Q46" s="2482"/>
      <c r="R46" s="2482"/>
      <c r="S46" s="2482"/>
      <c r="T46" s="2482"/>
      <c r="U46" s="2482"/>
      <c r="V46" s="2482"/>
      <c r="W46" s="2482"/>
      <c r="X46" s="2482"/>
      <c r="Y46" s="2482"/>
      <c r="Z46" s="2482"/>
      <c r="AA46" s="2482"/>
    </row>
    <row r="47" spans="1:27" ht="4.1500000000000004" customHeight="1" x14ac:dyDescent="0.2">
      <c r="A47" s="2792">
        <v>38</v>
      </c>
      <c r="B47" s="2488"/>
      <c r="C47" s="2645">
        <f t="shared" si="2"/>
        <v>0</v>
      </c>
      <c r="D47" s="2488"/>
      <c r="E47" s="2488"/>
      <c r="F47" s="2488"/>
      <c r="G47" s="2488"/>
      <c r="H47" s="2488"/>
      <c r="I47" s="2488"/>
      <c r="J47" s="2488"/>
      <c r="K47" s="2488"/>
      <c r="L47" s="2595">
        <f t="shared" si="1"/>
        <v>0</v>
      </c>
      <c r="N47" s="2579"/>
      <c r="O47" s="2715" t="s">
        <v>6032</v>
      </c>
      <c r="P47" s="2482"/>
      <c r="Q47" s="2482"/>
      <c r="R47" s="2482"/>
      <c r="S47" s="2482"/>
      <c r="T47" s="2482"/>
      <c r="U47" s="2482"/>
      <c r="V47" s="2482"/>
      <c r="W47" s="2482"/>
      <c r="X47" s="2482"/>
      <c r="Y47" s="2482"/>
      <c r="Z47" s="2482"/>
      <c r="AA47" s="2482"/>
    </row>
    <row r="48" spans="1:27" ht="4.1500000000000004" customHeight="1" x14ac:dyDescent="0.2">
      <c r="A48" s="2792">
        <v>39</v>
      </c>
      <c r="B48" s="2488"/>
      <c r="C48" s="2645">
        <f t="shared" si="2"/>
        <v>0</v>
      </c>
      <c r="D48" s="2488"/>
      <c r="E48" s="2488"/>
      <c r="F48" s="2488"/>
      <c r="G48" s="2488"/>
      <c r="H48" s="2488"/>
      <c r="I48" s="2488"/>
      <c r="J48" s="2488"/>
      <c r="K48" s="2488"/>
      <c r="L48" s="2595">
        <f t="shared" si="1"/>
        <v>0</v>
      </c>
      <c r="N48" s="2579"/>
      <c r="O48" s="2715" t="s">
        <v>6034</v>
      </c>
      <c r="P48" s="2482"/>
      <c r="Q48" s="2482"/>
      <c r="R48" s="2482"/>
      <c r="S48" s="2482"/>
      <c r="T48" s="2482"/>
      <c r="U48" s="2482"/>
      <c r="V48" s="2482"/>
      <c r="W48" s="2482"/>
      <c r="X48" s="2482"/>
      <c r="Y48" s="2482"/>
      <c r="Z48" s="2482"/>
      <c r="AA48" s="2482"/>
    </row>
    <row r="49" spans="1:27" ht="4.1500000000000004" customHeight="1" x14ac:dyDescent="0.2">
      <c r="A49" s="2792">
        <v>40</v>
      </c>
      <c r="B49" s="2488"/>
      <c r="C49" s="2645">
        <f t="shared" si="2"/>
        <v>0</v>
      </c>
      <c r="D49" s="2488"/>
      <c r="E49" s="2488"/>
      <c r="F49" s="2488"/>
      <c r="G49" s="2488"/>
      <c r="H49" s="2488"/>
      <c r="I49" s="2488"/>
      <c r="J49" s="2488"/>
      <c r="K49" s="2488"/>
      <c r="L49" s="2595">
        <f t="shared" si="1"/>
        <v>0</v>
      </c>
      <c r="N49" s="2579"/>
      <c r="O49" s="2715" t="s">
        <v>6036</v>
      </c>
      <c r="P49" s="2482"/>
      <c r="Q49" s="2482"/>
      <c r="R49" s="2482"/>
      <c r="S49" s="2482"/>
      <c r="T49" s="2482"/>
      <c r="U49" s="2482"/>
      <c r="V49" s="2482"/>
      <c r="W49" s="2482"/>
      <c r="X49" s="2482"/>
      <c r="Y49" s="2482"/>
      <c r="Z49" s="2482"/>
      <c r="AA49" s="2482"/>
    </row>
    <row r="50" spans="1:27" ht="4.1500000000000004" customHeight="1" x14ac:dyDescent="0.2">
      <c r="A50" s="2792">
        <v>41</v>
      </c>
      <c r="B50" s="2488"/>
      <c r="C50" s="2645">
        <f t="shared" si="2"/>
        <v>0</v>
      </c>
      <c r="D50" s="2488"/>
      <c r="E50" s="2488"/>
      <c r="F50" s="2488"/>
      <c r="G50" s="2488"/>
      <c r="H50" s="2488"/>
      <c r="I50" s="2488"/>
      <c r="J50" s="2488"/>
      <c r="K50" s="2488"/>
      <c r="L50" s="2595">
        <f t="shared" si="1"/>
        <v>0</v>
      </c>
      <c r="N50" s="2579"/>
      <c r="O50" s="2715" t="s">
        <v>6038</v>
      </c>
      <c r="P50" s="2482"/>
      <c r="Q50" s="2482"/>
      <c r="R50" s="2482"/>
      <c r="S50" s="2482"/>
      <c r="T50" s="2482"/>
      <c r="U50" s="2482"/>
      <c r="V50" s="2482"/>
      <c r="W50" s="2482"/>
      <c r="X50" s="2482"/>
      <c r="Y50" s="2482"/>
      <c r="Z50" s="2482"/>
      <c r="AA50" s="2482"/>
    </row>
    <row r="51" spans="1:27" ht="4.1500000000000004" customHeight="1" x14ac:dyDescent="0.2">
      <c r="A51" s="2792">
        <v>42</v>
      </c>
      <c r="B51" s="2488"/>
      <c r="C51" s="2645">
        <f t="shared" si="2"/>
        <v>0</v>
      </c>
      <c r="D51" s="2488"/>
      <c r="E51" s="2488"/>
      <c r="F51" s="2488"/>
      <c r="G51" s="2488"/>
      <c r="H51" s="2488"/>
      <c r="I51" s="2488"/>
      <c r="J51" s="2488"/>
      <c r="K51" s="2488"/>
      <c r="L51" s="2595">
        <f t="shared" si="1"/>
        <v>0</v>
      </c>
      <c r="N51" s="2579"/>
      <c r="O51" s="2715" t="s">
        <v>6040</v>
      </c>
      <c r="P51" s="2482"/>
      <c r="Q51" s="2482"/>
      <c r="R51" s="2482"/>
      <c r="S51" s="2482"/>
      <c r="T51" s="2482"/>
      <c r="U51" s="2482"/>
      <c r="V51" s="2482"/>
      <c r="W51" s="2482"/>
      <c r="X51" s="2482"/>
      <c r="Y51" s="2482"/>
      <c r="Z51" s="2482"/>
      <c r="AA51" s="2482"/>
    </row>
    <row r="52" spans="1:27" ht="4.1500000000000004" customHeight="1" x14ac:dyDescent="0.2">
      <c r="A52" s="2792">
        <v>43</v>
      </c>
      <c r="B52" s="2488"/>
      <c r="C52" s="2645">
        <f t="shared" si="2"/>
        <v>0</v>
      </c>
      <c r="D52" s="2488"/>
      <c r="E52" s="2488"/>
      <c r="F52" s="2488"/>
      <c r="G52" s="2488"/>
      <c r="H52" s="2488"/>
      <c r="I52" s="2488"/>
      <c r="J52" s="2488"/>
      <c r="K52" s="2488"/>
      <c r="L52" s="2595">
        <f t="shared" si="1"/>
        <v>0</v>
      </c>
      <c r="N52" s="2579"/>
      <c r="O52" s="2715" t="s">
        <v>6042</v>
      </c>
      <c r="P52" s="2482"/>
      <c r="Q52" s="2482"/>
      <c r="R52" s="2482"/>
      <c r="S52" s="2482"/>
      <c r="T52" s="2482"/>
      <c r="U52" s="2482"/>
      <c r="V52" s="2482"/>
      <c r="W52" s="2482"/>
      <c r="X52" s="2482"/>
      <c r="Y52" s="2482"/>
      <c r="Z52" s="2482"/>
      <c r="AA52" s="2482"/>
    </row>
    <row r="53" spans="1:27" ht="4.1500000000000004" customHeight="1" x14ac:dyDescent="0.2">
      <c r="A53" s="2792">
        <v>44</v>
      </c>
      <c r="B53" s="2488"/>
      <c r="C53" s="2645">
        <f t="shared" si="2"/>
        <v>0</v>
      </c>
      <c r="D53" s="2488"/>
      <c r="E53" s="2488"/>
      <c r="F53" s="2488"/>
      <c r="G53" s="2488"/>
      <c r="H53" s="2488"/>
      <c r="I53" s="2488"/>
      <c r="J53" s="2488"/>
      <c r="K53" s="2488"/>
      <c r="L53" s="2595">
        <f t="shared" si="1"/>
        <v>0</v>
      </c>
      <c r="N53" s="2579"/>
      <c r="O53" s="2715" t="s">
        <v>6044</v>
      </c>
      <c r="P53" s="2482"/>
      <c r="Q53" s="2482"/>
      <c r="R53" s="2482"/>
      <c r="S53" s="2482"/>
      <c r="T53" s="2482"/>
      <c r="U53" s="2482"/>
      <c r="V53" s="2482"/>
      <c r="W53" s="2482"/>
      <c r="X53" s="2482"/>
      <c r="Y53" s="2482"/>
      <c r="Z53" s="2482"/>
      <c r="AA53" s="2482"/>
    </row>
    <row r="54" spans="1:27" ht="4.1500000000000004" customHeight="1" x14ac:dyDescent="0.2">
      <c r="A54" s="2792">
        <v>45</v>
      </c>
      <c r="B54" s="2488"/>
      <c r="C54" s="2645">
        <f t="shared" si="2"/>
        <v>0</v>
      </c>
      <c r="D54" s="2488"/>
      <c r="E54" s="2488"/>
      <c r="F54" s="2488"/>
      <c r="G54" s="2488"/>
      <c r="H54" s="2488"/>
      <c r="I54" s="2488"/>
      <c r="J54" s="2488"/>
      <c r="K54" s="2488"/>
      <c r="L54" s="2595">
        <f t="shared" si="1"/>
        <v>0</v>
      </c>
      <c r="N54" s="2579"/>
      <c r="O54" s="2715" t="s">
        <v>6046</v>
      </c>
      <c r="P54" s="2482"/>
      <c r="Q54" s="2482"/>
      <c r="R54" s="2482"/>
      <c r="S54" s="2482"/>
      <c r="T54" s="2482"/>
      <c r="U54" s="2482"/>
      <c r="V54" s="2482"/>
      <c r="W54" s="2482"/>
      <c r="X54" s="2482"/>
      <c r="Y54" s="2482"/>
      <c r="Z54" s="2482"/>
      <c r="AA54" s="2482"/>
    </row>
    <row r="55" spans="1:27" ht="4.1500000000000004" customHeight="1" x14ac:dyDescent="0.2">
      <c r="A55" s="2792">
        <v>46</v>
      </c>
      <c r="B55" s="2488"/>
      <c r="C55" s="2645">
        <f t="shared" si="2"/>
        <v>0</v>
      </c>
      <c r="D55" s="2488"/>
      <c r="E55" s="2488"/>
      <c r="F55" s="2488"/>
      <c r="G55" s="2488"/>
      <c r="H55" s="2488"/>
      <c r="I55" s="2488"/>
      <c r="J55" s="2488"/>
      <c r="K55" s="2488"/>
      <c r="L55" s="2595">
        <f t="shared" si="1"/>
        <v>0</v>
      </c>
      <c r="N55" s="2579"/>
      <c r="O55" s="2715" t="s">
        <v>6048</v>
      </c>
      <c r="P55" s="2482"/>
      <c r="Q55" s="2482"/>
      <c r="R55" s="2482"/>
      <c r="S55" s="2482"/>
      <c r="T55" s="2482"/>
      <c r="U55" s="2482"/>
      <c r="V55" s="2482"/>
      <c r="W55" s="2482"/>
      <c r="X55" s="2482"/>
      <c r="Y55" s="2482"/>
      <c r="Z55" s="2482"/>
      <c r="AA55" s="2482"/>
    </row>
    <row r="56" spans="1:27" ht="16.7" customHeight="1" x14ac:dyDescent="0.2">
      <c r="A56" s="2792">
        <v>47</v>
      </c>
      <c r="B56" s="2668" t="s">
        <v>8246</v>
      </c>
      <c r="C56" s="2736">
        <f>SUM(C19:C20)</f>
        <v>5914053</v>
      </c>
      <c r="D56" s="2509"/>
      <c r="E56" s="2736">
        <f>SUM(E19:E20)</f>
        <v>1186380</v>
      </c>
      <c r="F56" s="2509"/>
      <c r="G56" s="2736">
        <f>SUM(G19:G20)</f>
        <v>-233300</v>
      </c>
      <c r="H56" s="2736">
        <f>SUM(H19:H20)</f>
        <v>-167298</v>
      </c>
      <c r="I56" s="2736">
        <f>SUM(I19:I20)</f>
        <v>7166435</v>
      </c>
      <c r="J56" s="2668"/>
      <c r="K56" s="2668"/>
      <c r="L56" s="2855" t="str">
        <f t="shared" si="1"/>
        <v>OTHER TOTAL</v>
      </c>
      <c r="N56" s="2579"/>
      <c r="O56" s="2715" t="s">
        <v>6050</v>
      </c>
      <c r="P56" s="2482"/>
      <c r="Q56" s="2482"/>
      <c r="R56" s="2482"/>
      <c r="S56" s="2482"/>
      <c r="T56" s="2482"/>
      <c r="U56" s="2482"/>
      <c r="V56" s="2482"/>
      <c r="W56" s="2482"/>
      <c r="X56" s="2482"/>
      <c r="Y56" s="2482"/>
      <c r="Z56" s="2482"/>
      <c r="AA56" s="2482"/>
    </row>
    <row r="57" spans="1:27" ht="16.7" customHeight="1" x14ac:dyDescent="0.2">
      <c r="A57" s="2792">
        <v>48</v>
      </c>
      <c r="B57" s="2668" t="s">
        <v>5581</v>
      </c>
      <c r="C57" s="2736">
        <f>C56+C17</f>
        <v>9732439</v>
      </c>
      <c r="D57" s="2668"/>
      <c r="E57" s="2736">
        <f>E56+E17</f>
        <v>1186380</v>
      </c>
      <c r="F57" s="2668"/>
      <c r="G57" s="2736">
        <f>G56+G17</f>
        <v>689559</v>
      </c>
      <c r="H57" s="2736">
        <f>H56+H17</f>
        <v>-167298</v>
      </c>
      <c r="I57" s="2736">
        <f>I56+I17</f>
        <v>10061962</v>
      </c>
      <c r="J57" s="2668"/>
      <c r="K57" s="2668"/>
      <c r="L57" s="2855"/>
      <c r="N57" s="2579"/>
      <c r="O57" s="2715" t="s">
        <v>6052</v>
      </c>
      <c r="P57" s="2482"/>
      <c r="Q57" s="2482"/>
      <c r="R57" s="2482"/>
      <c r="S57" s="2482"/>
      <c r="T57" s="2482"/>
      <c r="U57" s="2482"/>
      <c r="V57" s="2482"/>
      <c r="W57" s="2482"/>
      <c r="X57" s="2482"/>
      <c r="Y57" s="2482"/>
      <c r="Z57" s="2482"/>
      <c r="AA57" s="2482"/>
    </row>
    <row r="58" spans="1:27" ht="16.7" customHeight="1" x14ac:dyDescent="0.2">
      <c r="A58" s="2516"/>
      <c r="B58" s="2516"/>
      <c r="C58" s="2516"/>
      <c r="D58" s="2516"/>
      <c r="E58" s="2516"/>
      <c r="F58" s="2516"/>
      <c r="G58" s="2516"/>
      <c r="H58" s="2516"/>
      <c r="I58" s="2516"/>
      <c r="J58" s="2516"/>
      <c r="K58" s="2516"/>
      <c r="N58" s="2579"/>
      <c r="O58" s="2482"/>
      <c r="P58" s="2482"/>
      <c r="Q58" s="2482"/>
      <c r="R58" s="2482"/>
      <c r="S58" s="2482"/>
      <c r="T58" s="2482"/>
      <c r="U58" s="2482"/>
      <c r="V58" s="2482"/>
      <c r="W58" s="2482"/>
      <c r="X58" s="2482"/>
      <c r="Y58" s="2482"/>
      <c r="Z58" s="2482"/>
      <c r="AA58" s="2482"/>
    </row>
    <row r="59" spans="1:27" ht="16.7" customHeight="1" x14ac:dyDescent="0.2">
      <c r="N59" s="2579"/>
      <c r="O59" s="2482"/>
      <c r="P59" s="2482"/>
      <c r="Q59" s="2482"/>
      <c r="R59" s="2482"/>
      <c r="S59" s="2482"/>
      <c r="T59" s="2482"/>
      <c r="U59" s="2482"/>
      <c r="V59" s="2482"/>
      <c r="W59" s="2482"/>
      <c r="X59" s="2482"/>
      <c r="Y59" s="2482"/>
      <c r="Z59" s="2482"/>
      <c r="AA59" s="2482"/>
    </row>
    <row r="60" spans="1:27" ht="16.7" customHeight="1" x14ac:dyDescent="0.2">
      <c r="N60" s="2579"/>
      <c r="O60" s="2482"/>
      <c r="P60" s="2482"/>
      <c r="Q60" s="2482"/>
      <c r="R60" s="2482"/>
      <c r="S60" s="2482"/>
      <c r="T60" s="2482"/>
      <c r="U60" s="2482"/>
      <c r="V60" s="2482"/>
      <c r="W60" s="2482"/>
      <c r="X60" s="2482"/>
      <c r="Y60" s="2482"/>
      <c r="Z60" s="2482"/>
      <c r="AA60" s="2482"/>
    </row>
    <row r="61" spans="1:27" ht="16.7" customHeight="1" x14ac:dyDescent="0.2">
      <c r="N61" s="2579"/>
      <c r="O61" s="2482"/>
      <c r="P61" s="2482"/>
      <c r="Q61" s="2482"/>
      <c r="R61" s="2482"/>
      <c r="S61" s="2482"/>
      <c r="T61" s="2482"/>
      <c r="U61" s="2482"/>
      <c r="V61" s="2482"/>
      <c r="W61" s="2482"/>
      <c r="X61" s="2482"/>
      <c r="Y61" s="2482"/>
      <c r="Z61" s="2482"/>
      <c r="AA61" s="2482"/>
    </row>
    <row r="62" spans="1:27" ht="16.7" customHeight="1" x14ac:dyDescent="0.2">
      <c r="N62" s="2579"/>
      <c r="O62" s="2482"/>
      <c r="P62" s="2482"/>
      <c r="Q62" s="2482"/>
      <c r="R62" s="2482"/>
      <c r="S62" s="2482"/>
      <c r="T62" s="2482"/>
      <c r="U62" s="2482"/>
      <c r="V62" s="2482"/>
      <c r="W62" s="2482"/>
      <c r="X62" s="2482"/>
      <c r="Y62" s="2482"/>
      <c r="Z62" s="2482"/>
      <c r="AA62" s="2482"/>
    </row>
    <row r="63" spans="1:27" ht="16.7" customHeight="1" x14ac:dyDescent="0.2">
      <c r="N63" s="2579"/>
      <c r="O63" s="2482"/>
      <c r="P63" s="2482"/>
      <c r="Q63" s="2482"/>
      <c r="R63" s="2482"/>
      <c r="S63" s="2482"/>
      <c r="T63" s="2482"/>
      <c r="U63" s="2482"/>
      <c r="V63" s="2482"/>
      <c r="W63" s="2482"/>
      <c r="X63" s="2482"/>
      <c r="Y63" s="2482"/>
      <c r="Z63" s="2482"/>
      <c r="AA63" s="2482"/>
    </row>
    <row r="64" spans="1:27" ht="16.7" customHeight="1" x14ac:dyDescent="0.2">
      <c r="N64" s="2579"/>
      <c r="O64" s="2482"/>
      <c r="P64" s="2482"/>
      <c r="Q64" s="2482"/>
      <c r="R64" s="2482"/>
      <c r="S64" s="2482"/>
      <c r="T64" s="2482"/>
      <c r="U64" s="2482"/>
      <c r="V64" s="2482"/>
      <c r="W64" s="2482"/>
      <c r="X64" s="2482"/>
      <c r="Y64" s="2482"/>
      <c r="Z64" s="2482"/>
      <c r="AA64" s="2482"/>
    </row>
    <row r="65" spans="14:27" ht="16.7" customHeight="1" x14ac:dyDescent="0.2">
      <c r="N65" s="2579"/>
      <c r="O65" s="2482"/>
      <c r="P65" s="2482"/>
      <c r="Q65" s="2482"/>
      <c r="R65" s="2482"/>
      <c r="S65" s="2482"/>
      <c r="T65" s="2482"/>
      <c r="U65" s="2482"/>
      <c r="V65" s="2482"/>
      <c r="W65" s="2482"/>
      <c r="X65" s="2482"/>
      <c r="Y65" s="2482"/>
      <c r="Z65" s="2482"/>
      <c r="AA65" s="2482"/>
    </row>
    <row r="66" spans="14:27" ht="16.7" customHeight="1" x14ac:dyDescent="0.2">
      <c r="N66" s="2579"/>
      <c r="O66" s="2482"/>
      <c r="P66" s="2482"/>
      <c r="Q66" s="2482"/>
      <c r="R66" s="2482"/>
      <c r="S66" s="2482"/>
      <c r="T66" s="2482"/>
      <c r="U66" s="2482"/>
      <c r="V66" s="2482"/>
      <c r="W66" s="2482"/>
      <c r="X66" s="2482"/>
      <c r="Y66" s="2482"/>
      <c r="Z66" s="2482"/>
      <c r="AA66" s="2482"/>
    </row>
    <row r="67" spans="14:27" ht="16.7" customHeight="1" x14ac:dyDescent="0.2">
      <c r="N67" s="2579"/>
      <c r="O67" s="2482"/>
      <c r="P67" s="2482"/>
      <c r="Q67" s="2482"/>
      <c r="R67" s="2482"/>
      <c r="S67" s="2482"/>
      <c r="T67" s="2482"/>
      <c r="U67" s="2482"/>
      <c r="V67" s="2482"/>
      <c r="W67" s="2482"/>
      <c r="X67" s="2482"/>
      <c r="Y67" s="2482"/>
      <c r="Z67" s="2482"/>
      <c r="AA67" s="2482"/>
    </row>
    <row r="68" spans="14:27" ht="16.7" customHeight="1" x14ac:dyDescent="0.2">
      <c r="N68" s="2579"/>
      <c r="O68" s="2482"/>
      <c r="P68" s="2482"/>
      <c r="Q68" s="2482"/>
      <c r="R68" s="2482"/>
      <c r="S68" s="2482"/>
      <c r="T68" s="2482"/>
      <c r="U68" s="2482"/>
      <c r="V68" s="2482"/>
      <c r="W68" s="2482"/>
      <c r="X68" s="2482"/>
      <c r="Y68" s="2482"/>
      <c r="Z68" s="2482"/>
      <c r="AA68" s="2482"/>
    </row>
    <row r="69" spans="14:27" ht="16.7" customHeight="1" x14ac:dyDescent="0.2">
      <c r="N69" s="2579"/>
      <c r="O69" s="2482"/>
      <c r="P69" s="2482"/>
      <c r="Q69" s="2482"/>
      <c r="R69" s="2482"/>
      <c r="S69" s="2482"/>
      <c r="T69" s="2482"/>
      <c r="U69" s="2482"/>
      <c r="V69" s="2482"/>
      <c r="W69" s="2482"/>
      <c r="X69" s="2482"/>
      <c r="Y69" s="2482"/>
      <c r="Z69" s="2482"/>
      <c r="AA69" s="2482"/>
    </row>
    <row r="70" spans="14:27" ht="16.7" customHeight="1" x14ac:dyDescent="0.2">
      <c r="N70" s="2579"/>
      <c r="O70" s="2482"/>
      <c r="P70" s="2482"/>
      <c r="Q70" s="2482"/>
      <c r="R70" s="2482"/>
      <c r="S70" s="2482"/>
      <c r="T70" s="2482"/>
      <c r="U70" s="2482"/>
      <c r="V70" s="2482"/>
      <c r="W70" s="2482"/>
      <c r="X70" s="2482"/>
      <c r="Y70" s="2482"/>
      <c r="Z70" s="2482"/>
      <c r="AA70" s="2482"/>
    </row>
    <row r="71" spans="14:27" ht="16.7" customHeight="1" x14ac:dyDescent="0.2">
      <c r="N71" s="2579"/>
      <c r="O71" s="2482"/>
      <c r="P71" s="2482"/>
      <c r="Q71" s="2482"/>
      <c r="R71" s="2482"/>
      <c r="S71" s="2482"/>
      <c r="T71" s="2482"/>
      <c r="U71" s="2482"/>
      <c r="V71" s="2482"/>
      <c r="W71" s="2482"/>
      <c r="X71" s="2482"/>
      <c r="Y71" s="2482"/>
      <c r="Z71" s="2482"/>
      <c r="AA71" s="2482"/>
    </row>
    <row r="72" spans="14:27" ht="16.7" customHeight="1" x14ac:dyDescent="0.2">
      <c r="N72" s="2579"/>
      <c r="O72" s="2482"/>
      <c r="P72" s="2482"/>
      <c r="Q72" s="2482"/>
      <c r="R72" s="2482"/>
      <c r="S72" s="2482"/>
      <c r="T72" s="2482"/>
      <c r="U72" s="2482"/>
      <c r="V72" s="2482"/>
      <c r="W72" s="2482"/>
      <c r="X72" s="2482"/>
      <c r="Y72" s="2482"/>
      <c r="Z72" s="2482"/>
      <c r="AA72" s="2482"/>
    </row>
    <row r="73" spans="14:27" ht="16.7" customHeight="1" x14ac:dyDescent="0.2">
      <c r="N73" s="2579"/>
      <c r="O73" s="2482"/>
      <c r="P73" s="2482"/>
      <c r="Q73" s="2482"/>
      <c r="R73" s="2482"/>
      <c r="S73" s="2482"/>
      <c r="T73" s="2482"/>
      <c r="U73" s="2482"/>
      <c r="V73" s="2482"/>
      <c r="W73" s="2482"/>
      <c r="X73" s="2482"/>
      <c r="Y73" s="2482"/>
      <c r="Z73" s="2482"/>
      <c r="AA73" s="2482"/>
    </row>
    <row r="74" spans="14:27" ht="16.7" customHeight="1" x14ac:dyDescent="0.2">
      <c r="N74" s="2579"/>
      <c r="O74" s="2482"/>
      <c r="P74" s="2482"/>
      <c r="Q74" s="2482"/>
      <c r="R74" s="2482"/>
      <c r="S74" s="2482"/>
      <c r="T74" s="2482"/>
      <c r="U74" s="2482"/>
      <c r="V74" s="2482"/>
      <c r="W74" s="2482"/>
      <c r="X74" s="2482"/>
      <c r="Y74" s="2482"/>
      <c r="Z74" s="2482"/>
      <c r="AA74" s="2482"/>
    </row>
    <row r="75" spans="14:27" ht="16.7" customHeight="1" x14ac:dyDescent="0.2">
      <c r="N75" s="2579"/>
      <c r="O75" s="2482"/>
      <c r="P75" s="2482"/>
      <c r="Q75" s="2482"/>
      <c r="R75" s="2482"/>
      <c r="S75" s="2482"/>
      <c r="T75" s="2482"/>
      <c r="U75" s="2482"/>
      <c r="V75" s="2482"/>
      <c r="W75" s="2482"/>
      <c r="X75" s="2482"/>
      <c r="Y75" s="2482"/>
      <c r="Z75" s="2482"/>
      <c r="AA75" s="2482"/>
    </row>
    <row r="76" spans="14:27" ht="16.7" customHeight="1" x14ac:dyDescent="0.2">
      <c r="N76" s="2579"/>
      <c r="O76" s="2482"/>
      <c r="P76" s="2482"/>
      <c r="Q76" s="2482"/>
      <c r="R76" s="2482"/>
      <c r="S76" s="2482"/>
      <c r="T76" s="2482"/>
      <c r="U76" s="2482"/>
      <c r="V76" s="2482"/>
      <c r="W76" s="2482"/>
      <c r="X76" s="2482"/>
      <c r="Y76" s="2482"/>
      <c r="Z76" s="2482"/>
      <c r="AA76" s="2482"/>
    </row>
    <row r="77" spans="14:27" ht="16.7" customHeight="1" x14ac:dyDescent="0.2">
      <c r="N77" s="2579"/>
      <c r="O77" s="2482"/>
      <c r="P77" s="2482"/>
      <c r="Q77" s="2482"/>
      <c r="R77" s="2482"/>
      <c r="S77" s="2482"/>
      <c r="T77" s="2482"/>
      <c r="U77" s="2482"/>
      <c r="V77" s="2482"/>
      <c r="W77" s="2482"/>
      <c r="X77" s="2482"/>
      <c r="Y77" s="2482"/>
      <c r="Z77" s="2482"/>
      <c r="AA77" s="2482"/>
    </row>
    <row r="78" spans="14:27" ht="16.7" customHeight="1" x14ac:dyDescent="0.2">
      <c r="N78" s="2579"/>
      <c r="O78" s="2482"/>
      <c r="P78" s="2482"/>
      <c r="Q78" s="2482"/>
      <c r="R78" s="2482"/>
      <c r="S78" s="2482"/>
      <c r="T78" s="2482"/>
      <c r="U78" s="2482"/>
      <c r="V78" s="2482"/>
      <c r="W78" s="2482"/>
      <c r="X78" s="2482"/>
      <c r="Y78" s="2482"/>
      <c r="Z78" s="2482"/>
      <c r="AA78" s="2482"/>
    </row>
    <row r="79" spans="14:27" ht="16.7" customHeight="1" x14ac:dyDescent="0.2">
      <c r="N79" s="2579"/>
      <c r="O79" s="2482"/>
      <c r="P79" s="2482"/>
      <c r="Q79" s="2482"/>
      <c r="R79" s="2482"/>
      <c r="S79" s="2482"/>
      <c r="T79" s="2482"/>
      <c r="U79" s="2482"/>
      <c r="V79" s="2482"/>
      <c r="W79" s="2482"/>
      <c r="X79" s="2482"/>
      <c r="Y79" s="2482"/>
      <c r="Z79" s="2482"/>
      <c r="AA79" s="2482"/>
    </row>
    <row r="80" spans="14:27" ht="16.7" customHeight="1" x14ac:dyDescent="0.2">
      <c r="N80" s="2579"/>
      <c r="O80" s="2482"/>
      <c r="P80" s="2482"/>
      <c r="Q80" s="2482"/>
      <c r="R80" s="2482"/>
      <c r="S80" s="2482"/>
      <c r="T80" s="2482"/>
      <c r="U80" s="2482"/>
      <c r="V80" s="2482"/>
      <c r="W80" s="2482"/>
      <c r="X80" s="2482"/>
      <c r="Y80" s="2482"/>
      <c r="Z80" s="2482"/>
      <c r="AA80" s="2482"/>
    </row>
    <row r="81" spans="14:27" ht="16.7" customHeight="1" x14ac:dyDescent="0.2">
      <c r="N81" s="2579"/>
      <c r="O81" s="2482"/>
      <c r="P81" s="2482"/>
      <c r="Q81" s="2482"/>
      <c r="R81" s="2482"/>
      <c r="S81" s="2482"/>
      <c r="T81" s="2482"/>
      <c r="U81" s="2482"/>
      <c r="V81" s="2482"/>
      <c r="W81" s="2482"/>
      <c r="X81" s="2482"/>
      <c r="Y81" s="2482"/>
      <c r="Z81" s="2482"/>
      <c r="AA81" s="2482"/>
    </row>
    <row r="82" spans="14:27" ht="16.7" customHeight="1" x14ac:dyDescent="0.2">
      <c r="N82" s="2579"/>
      <c r="O82" s="2482"/>
      <c r="P82" s="2482"/>
      <c r="Q82" s="2482"/>
      <c r="R82" s="2482"/>
      <c r="S82" s="2482"/>
      <c r="T82" s="2482"/>
      <c r="U82" s="2482"/>
      <c r="V82" s="2482"/>
      <c r="W82" s="2482"/>
      <c r="X82" s="2482"/>
      <c r="Y82" s="2482"/>
      <c r="Z82" s="2482"/>
      <c r="AA82" s="2482"/>
    </row>
    <row r="83" spans="14:27" ht="16.7" customHeight="1" x14ac:dyDescent="0.2">
      <c r="N83" s="2579"/>
      <c r="O83" s="2482"/>
      <c r="P83" s="2482"/>
      <c r="Q83" s="2482"/>
      <c r="R83" s="2482"/>
      <c r="S83" s="2482"/>
      <c r="T83" s="2482"/>
      <c r="U83" s="2482"/>
      <c r="V83" s="2482"/>
      <c r="W83" s="2482"/>
      <c r="X83" s="2482"/>
      <c r="Y83" s="2482"/>
      <c r="Z83" s="2482"/>
      <c r="AA83" s="2482"/>
    </row>
    <row r="84" spans="14:27" ht="16.7" customHeight="1" x14ac:dyDescent="0.2">
      <c r="N84" s="2579"/>
      <c r="O84" s="2482"/>
      <c r="P84" s="2482"/>
      <c r="Q84" s="2482"/>
      <c r="R84" s="2482"/>
      <c r="S84" s="2482"/>
      <c r="T84" s="2482"/>
      <c r="U84" s="2482"/>
      <c r="V84" s="2482"/>
      <c r="W84" s="2482"/>
      <c r="X84" s="2482"/>
      <c r="Y84" s="2482"/>
      <c r="Z84" s="2482"/>
      <c r="AA84" s="2482"/>
    </row>
    <row r="85" spans="14:27" ht="16.7" customHeight="1" x14ac:dyDescent="0.2">
      <c r="N85" s="2579"/>
      <c r="O85" s="2482"/>
      <c r="P85" s="2482"/>
      <c r="Q85" s="2482"/>
      <c r="R85" s="2482"/>
      <c r="S85" s="2482"/>
      <c r="T85" s="2482"/>
      <c r="U85" s="2482"/>
      <c r="V85" s="2482"/>
      <c r="W85" s="2482"/>
      <c r="X85" s="2482"/>
      <c r="Y85" s="2482"/>
      <c r="Z85" s="2482"/>
      <c r="AA85" s="2482"/>
    </row>
    <row r="86" spans="14:27" ht="16.7" customHeight="1" x14ac:dyDescent="0.2">
      <c r="N86" s="2579"/>
      <c r="O86" s="2482"/>
      <c r="P86" s="2482"/>
      <c r="Q86" s="2482"/>
      <c r="R86" s="2482"/>
      <c r="S86" s="2482"/>
      <c r="T86" s="2482"/>
      <c r="U86" s="2482"/>
      <c r="V86" s="2482"/>
      <c r="W86" s="2482"/>
      <c r="X86" s="2482"/>
      <c r="Y86" s="2482"/>
      <c r="Z86" s="2482"/>
      <c r="AA86" s="2482"/>
    </row>
    <row r="87" spans="14:27" ht="16.7" customHeight="1" x14ac:dyDescent="0.2">
      <c r="N87" s="2579"/>
      <c r="O87" s="2482"/>
      <c r="P87" s="2482"/>
      <c r="Q87" s="2482"/>
      <c r="R87" s="2482"/>
      <c r="S87" s="2482"/>
      <c r="T87" s="2482"/>
      <c r="U87" s="2482"/>
      <c r="V87" s="2482"/>
      <c r="W87" s="2482"/>
      <c r="X87" s="2482"/>
      <c r="Y87" s="2482"/>
      <c r="Z87" s="2482"/>
      <c r="AA87" s="2482"/>
    </row>
    <row r="88" spans="14:27" ht="16.7" customHeight="1" x14ac:dyDescent="0.2">
      <c r="N88" s="2579"/>
      <c r="O88" s="2482"/>
      <c r="P88" s="2482"/>
      <c r="Q88" s="2482"/>
      <c r="R88" s="2482"/>
      <c r="S88" s="2482"/>
      <c r="T88" s="2482"/>
      <c r="U88" s="2482"/>
      <c r="V88" s="2482"/>
      <c r="W88" s="2482"/>
      <c r="X88" s="2482"/>
      <c r="Y88" s="2482"/>
      <c r="Z88" s="2482"/>
      <c r="AA88" s="2482"/>
    </row>
    <row r="89" spans="14:27" ht="16.7" customHeight="1" x14ac:dyDescent="0.2">
      <c r="N89" s="2579"/>
      <c r="O89" s="2482"/>
      <c r="P89" s="2482"/>
      <c r="Q89" s="2482"/>
      <c r="R89" s="2482"/>
      <c r="S89" s="2482"/>
      <c r="T89" s="2482"/>
      <c r="U89" s="2482"/>
      <c r="V89" s="2482"/>
      <c r="W89" s="2482"/>
      <c r="X89" s="2482"/>
      <c r="Y89" s="2482"/>
      <c r="Z89" s="2482"/>
      <c r="AA89" s="2482"/>
    </row>
    <row r="90" spans="14:27" ht="16.7" customHeight="1" x14ac:dyDescent="0.2">
      <c r="N90" s="2579"/>
      <c r="O90" s="2482"/>
      <c r="P90" s="2482"/>
      <c r="Q90" s="2482"/>
      <c r="R90" s="2482"/>
      <c r="S90" s="2482"/>
      <c r="T90" s="2482"/>
      <c r="U90" s="2482"/>
      <c r="V90" s="2482"/>
      <c r="W90" s="2482"/>
      <c r="X90" s="2482"/>
      <c r="Y90" s="2482"/>
      <c r="Z90" s="2482"/>
      <c r="AA90" s="2482"/>
    </row>
    <row r="91" spans="14:27" ht="16.7" customHeight="1" x14ac:dyDescent="0.2">
      <c r="N91" s="2579"/>
      <c r="O91" s="2482"/>
      <c r="P91" s="2482"/>
      <c r="Q91" s="2482"/>
      <c r="R91" s="2482"/>
      <c r="S91" s="2482"/>
      <c r="T91" s="2482"/>
      <c r="U91" s="2482"/>
      <c r="V91" s="2482"/>
      <c r="W91" s="2482"/>
      <c r="X91" s="2482"/>
      <c r="Y91" s="2482"/>
      <c r="Z91" s="2482"/>
      <c r="AA91" s="2482"/>
    </row>
    <row r="92" spans="14:27" ht="16.7" customHeight="1" x14ac:dyDescent="0.2">
      <c r="N92" s="2579"/>
      <c r="O92" s="2482"/>
      <c r="P92" s="2482"/>
      <c r="Q92" s="2482"/>
      <c r="R92" s="2482"/>
      <c r="S92" s="2482"/>
      <c r="T92" s="2482"/>
      <c r="U92" s="2482"/>
      <c r="V92" s="2482"/>
      <c r="W92" s="2482"/>
      <c r="X92" s="2482"/>
      <c r="Y92" s="2482"/>
      <c r="Z92" s="2482"/>
      <c r="AA92" s="2482"/>
    </row>
    <row r="93" spans="14:27" ht="16.7" customHeight="1" x14ac:dyDescent="0.2">
      <c r="N93" s="2579"/>
      <c r="O93" s="2482"/>
      <c r="P93" s="2482"/>
      <c r="Q93" s="2482"/>
      <c r="R93" s="2482"/>
      <c r="S93" s="2482"/>
      <c r="T93" s="2482"/>
      <c r="U93" s="2482"/>
      <c r="V93" s="2482"/>
      <c r="W93" s="2482"/>
      <c r="X93" s="2482"/>
      <c r="Y93" s="2482"/>
      <c r="Z93" s="2482"/>
      <c r="AA93" s="2482"/>
    </row>
    <row r="94" spans="14:27" ht="16.7" customHeight="1" x14ac:dyDescent="0.2">
      <c r="N94" s="2579"/>
      <c r="O94" s="2482"/>
      <c r="P94" s="2482"/>
      <c r="Q94" s="2482"/>
      <c r="R94" s="2482"/>
      <c r="S94" s="2482"/>
      <c r="T94" s="2482"/>
      <c r="U94" s="2482"/>
      <c r="V94" s="2482"/>
      <c r="W94" s="2482"/>
      <c r="X94" s="2482"/>
      <c r="Y94" s="2482"/>
      <c r="Z94" s="2482"/>
      <c r="AA94" s="2482"/>
    </row>
    <row r="95" spans="14:27" ht="16.7" customHeight="1" x14ac:dyDescent="0.2">
      <c r="N95" s="2579"/>
      <c r="O95" s="2482"/>
      <c r="P95" s="2482"/>
      <c r="Q95" s="2482"/>
      <c r="R95" s="2482"/>
      <c r="S95" s="2482"/>
      <c r="T95" s="2482"/>
      <c r="U95" s="2482"/>
      <c r="V95" s="2482"/>
      <c r="W95" s="2482"/>
      <c r="X95" s="2482"/>
      <c r="Y95" s="2482"/>
      <c r="Z95" s="2482"/>
      <c r="AA95" s="2482"/>
    </row>
    <row r="96" spans="14:27" ht="16.7" customHeight="1" x14ac:dyDescent="0.2">
      <c r="N96" s="2579"/>
      <c r="O96" s="2482"/>
      <c r="P96" s="2482"/>
      <c r="Q96" s="2482"/>
      <c r="R96" s="2482"/>
      <c r="S96" s="2482"/>
      <c r="T96" s="2482"/>
      <c r="U96" s="2482"/>
      <c r="V96" s="2482"/>
      <c r="W96" s="2482"/>
      <c r="X96" s="2482"/>
      <c r="Y96" s="2482"/>
      <c r="Z96" s="2482"/>
      <c r="AA96" s="2482"/>
    </row>
    <row r="97" spans="14:27" ht="16.7" customHeight="1" x14ac:dyDescent="0.2">
      <c r="N97" s="2579"/>
      <c r="O97" s="2482"/>
      <c r="P97" s="2482"/>
      <c r="Q97" s="2482"/>
      <c r="R97" s="2482"/>
      <c r="S97" s="2482"/>
      <c r="T97" s="2482"/>
      <c r="U97" s="2482"/>
      <c r="V97" s="2482"/>
      <c r="W97" s="2482"/>
      <c r="X97" s="2482"/>
      <c r="Y97" s="2482"/>
      <c r="Z97" s="2482"/>
      <c r="AA97" s="2482"/>
    </row>
    <row r="98" spans="14:27" ht="16.7" customHeight="1" x14ac:dyDescent="0.2">
      <c r="N98" s="2579"/>
      <c r="O98" s="2482"/>
      <c r="P98" s="2482"/>
      <c r="Q98" s="2482"/>
      <c r="R98" s="2482"/>
      <c r="S98" s="2482"/>
      <c r="T98" s="2482"/>
      <c r="U98" s="2482"/>
      <c r="V98" s="2482"/>
      <c r="W98" s="2482"/>
      <c r="X98" s="2482"/>
      <c r="Y98" s="2482"/>
      <c r="Z98" s="2482"/>
      <c r="AA98" s="2482"/>
    </row>
    <row r="99" spans="14:27" ht="16.7" customHeight="1" x14ac:dyDescent="0.2">
      <c r="N99" s="2579"/>
      <c r="O99" s="2482"/>
      <c r="P99" s="2482"/>
      <c r="Q99" s="2482"/>
      <c r="R99" s="2482"/>
      <c r="S99" s="2482"/>
      <c r="T99" s="2482"/>
      <c r="U99" s="2482"/>
      <c r="V99" s="2482"/>
      <c r="W99" s="2482"/>
      <c r="X99" s="2482"/>
      <c r="Y99" s="2482"/>
      <c r="Z99" s="2482"/>
      <c r="AA99" s="2482"/>
    </row>
    <row r="100" spans="14:27" ht="16.7" customHeight="1" x14ac:dyDescent="0.2">
      <c r="N100" s="2579"/>
      <c r="O100" s="2482"/>
      <c r="P100" s="2482"/>
      <c r="Q100" s="2482"/>
      <c r="R100" s="2482"/>
      <c r="S100" s="2482"/>
      <c r="T100" s="2482"/>
      <c r="U100" s="2482"/>
      <c r="V100" s="2482"/>
      <c r="W100" s="2482"/>
      <c r="X100" s="2482"/>
      <c r="Y100" s="2482"/>
      <c r="Z100" s="2482"/>
      <c r="AA100" s="2482"/>
    </row>
    <row r="101" spans="14:27" ht="16.7" customHeight="1" x14ac:dyDescent="0.2">
      <c r="N101" s="2579"/>
      <c r="O101" s="2482"/>
      <c r="P101" s="2482"/>
      <c r="Q101" s="2482"/>
      <c r="R101" s="2482"/>
      <c r="S101" s="2482"/>
      <c r="T101" s="2482"/>
      <c r="U101" s="2482"/>
      <c r="V101" s="2482"/>
      <c r="W101" s="2482"/>
      <c r="X101" s="2482"/>
      <c r="Y101" s="2482"/>
      <c r="Z101" s="2482"/>
      <c r="AA101" s="2482"/>
    </row>
    <row r="102" spans="14:27" ht="16.7" customHeight="1" x14ac:dyDescent="0.2">
      <c r="N102" s="2579"/>
      <c r="O102" s="2482"/>
      <c r="P102" s="2482"/>
      <c r="Q102" s="2482"/>
      <c r="R102" s="2482"/>
      <c r="S102" s="2482"/>
      <c r="T102" s="2482"/>
      <c r="U102" s="2482"/>
      <c r="V102" s="2482"/>
      <c r="W102" s="2482"/>
      <c r="X102" s="2482"/>
      <c r="Y102" s="2482"/>
      <c r="Z102" s="2482"/>
      <c r="AA102" s="2482"/>
    </row>
    <row r="103" spans="14:27" ht="16.7" customHeight="1" x14ac:dyDescent="0.2">
      <c r="N103" s="2579"/>
      <c r="O103" s="2482"/>
      <c r="P103" s="2482"/>
      <c r="Q103" s="2482"/>
      <c r="R103" s="2482"/>
      <c r="S103" s="2482"/>
      <c r="T103" s="2482"/>
      <c r="U103" s="2482"/>
      <c r="V103" s="2482"/>
      <c r="W103" s="2482"/>
      <c r="X103" s="2482"/>
      <c r="Y103" s="2482"/>
      <c r="Z103" s="2482"/>
      <c r="AA103" s="2482"/>
    </row>
    <row r="104" spans="14:27" ht="16.7" customHeight="1" x14ac:dyDescent="0.2">
      <c r="N104" s="2579"/>
      <c r="O104" s="2482"/>
      <c r="P104" s="2482"/>
      <c r="Q104" s="2482"/>
      <c r="R104" s="2482"/>
      <c r="S104" s="2482"/>
      <c r="T104" s="2482"/>
      <c r="U104" s="2482"/>
      <c r="V104" s="2482"/>
      <c r="W104" s="2482"/>
      <c r="X104" s="2482"/>
      <c r="Y104" s="2482"/>
      <c r="Z104" s="2482"/>
      <c r="AA104" s="2482"/>
    </row>
    <row r="105" spans="14:27" ht="15" customHeight="1" x14ac:dyDescent="0.2">
      <c r="N105" s="2579"/>
      <c r="O105" s="2482"/>
      <c r="P105" s="2482"/>
      <c r="Q105" s="2482"/>
      <c r="R105" s="2482"/>
      <c r="S105" s="2482"/>
      <c r="T105" s="2482"/>
      <c r="U105" s="2482"/>
      <c r="V105" s="2482"/>
      <c r="W105" s="2482"/>
      <c r="X105" s="2482"/>
      <c r="Y105" s="2482"/>
      <c r="Z105" s="2482"/>
      <c r="AA105" s="2482"/>
    </row>
    <row r="106" spans="14:27" x14ac:dyDescent="0.2">
      <c r="N106" s="2608"/>
    </row>
  </sheetData>
  <mergeCells count="17">
    <mergeCell ref="J5:J6"/>
    <mergeCell ref="C9:H9"/>
    <mergeCell ref="I9:J9"/>
    <mergeCell ref="C18:H18"/>
    <mergeCell ref="I18:J18"/>
    <mergeCell ref="H5:H6"/>
    <mergeCell ref="I5:I6"/>
    <mergeCell ref="N1:N2"/>
    <mergeCell ref="A2:K2"/>
    <mergeCell ref="A3:K3"/>
    <mergeCell ref="A4:H4"/>
    <mergeCell ref="I4:K4"/>
    <mergeCell ref="A5:A7"/>
    <mergeCell ref="B5:B6"/>
    <mergeCell ref="C5:C6"/>
    <mergeCell ref="D5:E5"/>
    <mergeCell ref="F5:G5"/>
  </mergeCells>
  <pageMargins left="0.75" right="0.75" top="1" bottom="1" header="0.5" footer="0.5"/>
  <customProperties>
    <customPr name="_pios_id" r:id="rId1"/>
  </customProperties>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143E1-C31A-4AF8-B091-6D6BF3D902EC}">
  <sheetPr codeName="Sheet58"/>
  <dimension ref="A1:W107"/>
  <sheetViews>
    <sheetView workbookViewId="0">
      <pane ySplit="9" topLeftCell="A10" activePane="bottomLeft" state="frozen"/>
      <selection pane="bottomLeft"/>
    </sheetView>
  </sheetViews>
  <sheetFormatPr defaultColWidth="11.5" defaultRowHeight="12.75" x14ac:dyDescent="0.2"/>
  <cols>
    <col min="1" max="1" width="4.375" style="1953" customWidth="1"/>
    <col min="2" max="2" width="32.5" style="1953" customWidth="1"/>
    <col min="3" max="3" width="12.375" style="1953" customWidth="1"/>
    <col min="4" max="4" width="9.75" style="1953" customWidth="1"/>
    <col min="5" max="5" width="14.875" style="1953" customWidth="1"/>
    <col min="6" max="7" width="12.375" style="1953" customWidth="1"/>
    <col min="8" max="9" width="17.625" style="1953" customWidth="1"/>
    <col min="10" max="23" width="17.625" style="1953" hidden="1" customWidth="1"/>
    <col min="24" max="26" width="17.625" style="1953" customWidth="1"/>
    <col min="27" max="16384" width="11.5" style="1953"/>
  </cols>
  <sheetData>
    <row r="1" spans="1:23" ht="16.7" customHeight="1" x14ac:dyDescent="0.2">
      <c r="B1" s="2755" t="s">
        <v>5937</v>
      </c>
      <c r="J1" s="2789"/>
      <c r="K1" s="2482"/>
      <c r="L1" s="2482"/>
      <c r="M1" s="2482"/>
      <c r="N1" s="2482"/>
      <c r="O1" s="2482"/>
      <c r="P1" s="2482"/>
      <c r="Q1" s="2482"/>
      <c r="R1" s="2482"/>
      <c r="S1" s="2482"/>
      <c r="T1" s="2482"/>
      <c r="U1" s="2482"/>
      <c r="V1" s="2482"/>
      <c r="W1" s="2482"/>
    </row>
    <row r="2" spans="1:23" ht="16.7" customHeight="1" x14ac:dyDescent="0.2">
      <c r="J2" s="3914" t="s">
        <v>6320</v>
      </c>
      <c r="K2" s="2482" t="s">
        <v>6974</v>
      </c>
      <c r="L2" s="2482"/>
      <c r="M2" s="2482"/>
      <c r="N2" s="2482"/>
      <c r="O2" s="2482"/>
      <c r="P2" s="2482"/>
      <c r="Q2" s="2482"/>
      <c r="R2" s="2482"/>
      <c r="S2" s="2482"/>
      <c r="T2" s="2482"/>
      <c r="U2" s="2482"/>
      <c r="V2" s="2482"/>
      <c r="W2" s="2482"/>
    </row>
    <row r="3" spans="1:23" ht="16.7" customHeight="1" x14ac:dyDescent="0.2">
      <c r="A3" s="3964" t="s">
        <v>7605</v>
      </c>
      <c r="B3" s="3995"/>
      <c r="C3" s="3995"/>
      <c r="D3" s="3995"/>
      <c r="E3" s="3995"/>
      <c r="F3" s="3995"/>
      <c r="G3" s="3996"/>
      <c r="H3" s="2479"/>
      <c r="J3" s="3915"/>
      <c r="K3" s="2482"/>
      <c r="L3" s="2482"/>
      <c r="M3" s="2482"/>
      <c r="N3" s="2482"/>
      <c r="O3" s="2482"/>
      <c r="P3" s="2482"/>
      <c r="Q3" s="2482"/>
      <c r="R3" s="2482"/>
      <c r="S3" s="2482"/>
      <c r="T3" s="2482"/>
      <c r="U3" s="2482"/>
      <c r="V3" s="2482"/>
      <c r="W3" s="2482"/>
    </row>
    <row r="4" spans="1:23" ht="16.7" customHeight="1" x14ac:dyDescent="0.2">
      <c r="A4" s="4004" t="s">
        <v>7606</v>
      </c>
      <c r="B4" s="3856"/>
      <c r="C4" s="3856"/>
      <c r="D4" s="3856"/>
      <c r="E4" s="3856"/>
      <c r="F4" s="3856"/>
      <c r="G4" s="3856"/>
      <c r="H4" s="2479"/>
      <c r="J4" s="2579"/>
      <c r="K4" s="2482"/>
      <c r="L4" s="2482"/>
      <c r="M4" s="2482"/>
      <c r="N4" s="2482"/>
      <c r="O4" s="2482"/>
      <c r="P4" s="2482"/>
      <c r="Q4" s="2482"/>
      <c r="R4" s="2482"/>
      <c r="S4" s="2482"/>
      <c r="T4" s="2482"/>
      <c r="U4" s="2482"/>
      <c r="V4" s="2482"/>
      <c r="W4" s="2482"/>
    </row>
    <row r="5" spans="1:23" ht="50.1" customHeight="1" x14ac:dyDescent="0.2">
      <c r="A5" s="3878" t="s">
        <v>7607</v>
      </c>
      <c r="B5" s="3883"/>
      <c r="C5" s="3883"/>
      <c r="D5" s="3883"/>
      <c r="E5" s="3883"/>
      <c r="F5" s="3883"/>
      <c r="G5" s="3884"/>
      <c r="H5" s="2479"/>
      <c r="J5" s="2579"/>
      <c r="K5" s="2482"/>
      <c r="L5" s="2482"/>
      <c r="M5" s="2482"/>
      <c r="N5" s="2482"/>
      <c r="O5" s="2482"/>
      <c r="P5" s="2482"/>
      <c r="Q5" s="2482"/>
      <c r="R5" s="2482"/>
      <c r="S5" s="2482"/>
      <c r="T5" s="2482"/>
      <c r="U5" s="2482"/>
      <c r="V5" s="2482"/>
      <c r="W5" s="2482"/>
    </row>
    <row r="6" spans="1:23" ht="16.7" customHeight="1" x14ac:dyDescent="0.2">
      <c r="A6" s="3944" t="s">
        <v>6360</v>
      </c>
      <c r="B6" s="3944" t="s">
        <v>7608</v>
      </c>
      <c r="C6" s="3944" t="s">
        <v>7566</v>
      </c>
      <c r="D6" s="3964" t="s">
        <v>7482</v>
      </c>
      <c r="E6" s="3884"/>
      <c r="F6" s="3944" t="s">
        <v>7317</v>
      </c>
      <c r="G6" s="3944" t="s">
        <v>7567</v>
      </c>
      <c r="H6" s="2479"/>
      <c r="J6" s="2579"/>
      <c r="K6" s="2482"/>
      <c r="L6" s="2482"/>
      <c r="M6" s="2482"/>
      <c r="N6" s="2482"/>
      <c r="O6" s="2482"/>
      <c r="P6" s="2482"/>
      <c r="Q6" s="2482"/>
      <c r="R6" s="2482"/>
      <c r="S6" s="2482"/>
      <c r="T6" s="2482"/>
      <c r="U6" s="2482"/>
      <c r="V6" s="2482"/>
      <c r="W6" s="2482"/>
    </row>
    <row r="7" spans="1:23" ht="27.6" customHeight="1" x14ac:dyDescent="0.2">
      <c r="A7" s="3943"/>
      <c r="B7" s="3943"/>
      <c r="C7" s="3943"/>
      <c r="D7" s="2637" t="s">
        <v>7609</v>
      </c>
      <c r="E7" s="2637" t="s">
        <v>441</v>
      </c>
      <c r="F7" s="3943"/>
      <c r="G7" s="3943"/>
      <c r="H7" s="2479"/>
      <c r="J7" s="2579"/>
      <c r="K7" s="2482"/>
      <c r="L7" s="2482" t="s">
        <v>7566</v>
      </c>
      <c r="M7" s="2482"/>
      <c r="N7" s="2482"/>
      <c r="O7" s="2482"/>
      <c r="P7" s="2482"/>
      <c r="Q7" s="2482"/>
      <c r="R7" s="2482"/>
      <c r="S7" s="2482"/>
      <c r="T7" s="2482"/>
      <c r="U7" s="2482"/>
      <c r="V7" s="2482"/>
      <c r="W7" s="2482"/>
    </row>
    <row r="8" spans="1:23" ht="16.7" customHeight="1" x14ac:dyDescent="0.2">
      <c r="A8" s="3943"/>
      <c r="B8" s="2739" t="s">
        <v>5949</v>
      </c>
      <c r="C8" s="2739" t="s">
        <v>5950</v>
      </c>
      <c r="D8" s="2739" t="s">
        <v>6226</v>
      </c>
      <c r="E8" s="2739" t="s">
        <v>5952</v>
      </c>
      <c r="F8" s="2739" t="s">
        <v>6227</v>
      </c>
      <c r="G8" s="2739" t="s">
        <v>5804</v>
      </c>
      <c r="H8" s="2479" t="s">
        <v>6324</v>
      </c>
      <c r="J8" s="2579"/>
      <c r="K8" s="2482"/>
      <c r="L8" s="2482" t="s">
        <v>5950</v>
      </c>
      <c r="M8" s="2482"/>
      <c r="N8" s="2482"/>
      <c r="O8" s="2482"/>
      <c r="P8" s="2482"/>
      <c r="Q8" s="2482"/>
      <c r="R8" s="2482"/>
      <c r="S8" s="2482"/>
      <c r="T8" s="2482"/>
      <c r="U8" s="2482"/>
      <c r="V8" s="2482"/>
      <c r="W8" s="2482"/>
    </row>
    <row r="9" spans="1:23" ht="22.5" customHeight="1" x14ac:dyDescent="0.2">
      <c r="A9" s="2588"/>
      <c r="B9" s="2705"/>
      <c r="C9" s="2790" t="s">
        <v>6367</v>
      </c>
      <c r="D9" s="2705"/>
      <c r="E9" s="2705"/>
      <c r="F9" s="2705"/>
      <c r="G9" s="2790" t="s">
        <v>7568</v>
      </c>
      <c r="H9" s="2479"/>
      <c r="J9" s="2579"/>
      <c r="K9" s="2482" t="s">
        <v>6985</v>
      </c>
      <c r="L9" s="2791">
        <v>44196</v>
      </c>
      <c r="M9" s="2482"/>
      <c r="N9" s="2482"/>
      <c r="O9" s="2482"/>
      <c r="P9" s="2482"/>
      <c r="Q9" s="2482"/>
      <c r="R9" s="2482"/>
      <c r="S9" s="2482"/>
      <c r="T9" s="2482"/>
      <c r="U9" s="2482"/>
      <c r="V9" s="2482"/>
      <c r="W9" s="2482"/>
    </row>
    <row r="10" spans="1:23" ht="16.7" customHeight="1" x14ac:dyDescent="0.2">
      <c r="A10" s="2792">
        <v>1</v>
      </c>
      <c r="B10" s="2512" t="s">
        <v>7610</v>
      </c>
      <c r="C10" s="2645">
        <v>6045034</v>
      </c>
      <c r="D10" s="2489" t="s">
        <v>7611</v>
      </c>
      <c r="E10" s="2530">
        <v>6255703</v>
      </c>
      <c r="F10" s="2530">
        <v>210669</v>
      </c>
      <c r="G10" s="2530">
        <f t="shared" ref="G10:G55" si="0">C10-E10+F10</f>
        <v>0</v>
      </c>
      <c r="H10" s="2479" t="str">
        <f t="shared" ref="H10:H55" si="1">B10</f>
        <v>Working Capital Deposits</v>
      </c>
      <c r="J10" s="2579"/>
      <c r="K10" s="2783" t="s">
        <v>6139</v>
      </c>
      <c r="L10" s="2645">
        <v>4817524</v>
      </c>
      <c r="M10" s="2520"/>
      <c r="N10" s="2482"/>
      <c r="O10" s="2482"/>
      <c r="P10" s="2482"/>
      <c r="Q10" s="2482"/>
      <c r="R10" s="2482"/>
      <c r="S10" s="2482"/>
      <c r="T10" s="2482"/>
      <c r="U10" s="2482"/>
      <c r="V10" s="2482"/>
      <c r="W10" s="2482"/>
    </row>
    <row r="11" spans="1:23" ht="16.7" customHeight="1" x14ac:dyDescent="0.2">
      <c r="A11" s="2792">
        <v>2</v>
      </c>
      <c r="B11" s="2512" t="s">
        <v>7612</v>
      </c>
      <c r="C11" s="2645">
        <v>11029366</v>
      </c>
      <c r="D11" s="2748">
        <v>131</v>
      </c>
      <c r="E11" s="2530">
        <v>2253222</v>
      </c>
      <c r="F11" s="2530">
        <v>1444821</v>
      </c>
      <c r="G11" s="2530">
        <f t="shared" si="0"/>
        <v>10220965</v>
      </c>
      <c r="H11" s="2479" t="str">
        <f t="shared" si="1"/>
        <v>Reclamation Costs - Trapper Mine</v>
      </c>
      <c r="J11" s="2579"/>
      <c r="K11" s="2783" t="s">
        <v>5957</v>
      </c>
      <c r="L11" s="2645">
        <v>6961463</v>
      </c>
      <c r="M11" s="2520"/>
      <c r="N11" s="2482"/>
      <c r="O11" s="2482"/>
      <c r="P11" s="2482"/>
      <c r="Q11" s="2482"/>
      <c r="R11" s="2482"/>
      <c r="S11" s="2482"/>
      <c r="T11" s="2482"/>
      <c r="U11" s="2482"/>
      <c r="V11" s="2482"/>
      <c r="W11" s="2482"/>
    </row>
    <row r="12" spans="1:23" ht="16.7" customHeight="1" x14ac:dyDescent="0.2">
      <c r="A12" s="2792">
        <v>3</v>
      </c>
      <c r="B12" s="2512" t="s">
        <v>7613</v>
      </c>
      <c r="C12" s="2645">
        <v>6323000</v>
      </c>
      <c r="D12" s="2489" t="s">
        <v>7614</v>
      </c>
      <c r="E12" s="2530">
        <v>524000</v>
      </c>
      <c r="F12" s="2530">
        <v>394000</v>
      </c>
      <c r="G12" s="2530">
        <f t="shared" si="0"/>
        <v>6193000</v>
      </c>
      <c r="H12" s="2479" t="str">
        <f t="shared" si="1"/>
        <v>Western Coal Carriers Benefits Obligation</v>
      </c>
      <c r="J12" s="2579"/>
      <c r="K12" s="2783" t="s">
        <v>5959</v>
      </c>
      <c r="L12" s="2645">
        <v>9521000</v>
      </c>
      <c r="M12" s="2520"/>
      <c r="N12" s="2482"/>
      <c r="O12" s="2482"/>
      <c r="P12" s="2482"/>
      <c r="Q12" s="2482"/>
      <c r="R12" s="2482"/>
      <c r="S12" s="2482"/>
      <c r="T12" s="2482"/>
      <c r="U12" s="2482"/>
      <c r="V12" s="2482"/>
      <c r="W12" s="2482"/>
    </row>
    <row r="13" spans="1:23" ht="16.7" customHeight="1" x14ac:dyDescent="0.2">
      <c r="A13" s="2792">
        <v>4</v>
      </c>
      <c r="B13" s="2512" t="s">
        <v>7615</v>
      </c>
      <c r="C13" s="2645">
        <v>6638669</v>
      </c>
      <c r="D13" s="2748">
        <v>131</v>
      </c>
      <c r="E13" s="2530">
        <v>1474668</v>
      </c>
      <c r="F13" s="2530">
        <v>1619552</v>
      </c>
      <c r="G13" s="2530">
        <f t="shared" si="0"/>
        <v>6783553</v>
      </c>
      <c r="H13" s="2479" t="str">
        <f t="shared" si="1"/>
        <v>Deferred Compensation Plans</v>
      </c>
      <c r="J13" s="2579"/>
      <c r="K13" s="2783" t="s">
        <v>5961</v>
      </c>
      <c r="L13" s="2645">
        <v>8222304</v>
      </c>
      <c r="M13" s="2520"/>
      <c r="N13" s="2482"/>
      <c r="O13" s="2482"/>
      <c r="P13" s="2482"/>
      <c r="Q13" s="2482"/>
      <c r="R13" s="2482"/>
      <c r="S13" s="2482"/>
      <c r="T13" s="2482"/>
      <c r="U13" s="2482"/>
      <c r="V13" s="2482"/>
      <c r="W13" s="2482"/>
    </row>
    <row r="14" spans="1:23" ht="16.7" customHeight="1" x14ac:dyDescent="0.2">
      <c r="A14" s="2792">
        <v>5</v>
      </c>
      <c r="B14" s="2512" t="s">
        <v>7616</v>
      </c>
      <c r="C14" s="2645">
        <v>23708167</v>
      </c>
      <c r="D14" s="2748">
        <v>131</v>
      </c>
      <c r="E14" s="2530">
        <v>4013379</v>
      </c>
      <c r="F14" s="2530">
        <v>2729533</v>
      </c>
      <c r="G14" s="2530">
        <f t="shared" si="0"/>
        <v>22424321</v>
      </c>
      <c r="H14" s="2479" t="str">
        <f t="shared" si="1"/>
        <v>Long-Term Incentive Plan</v>
      </c>
      <c r="J14" s="2579"/>
      <c r="K14" s="2783" t="s">
        <v>5963</v>
      </c>
      <c r="L14" s="2645">
        <v>23260988</v>
      </c>
      <c r="M14" s="2520"/>
      <c r="N14" s="2482"/>
      <c r="O14" s="2482"/>
      <c r="P14" s="2482"/>
      <c r="Q14" s="2482"/>
      <c r="R14" s="2482"/>
      <c r="S14" s="2482"/>
      <c r="T14" s="2482"/>
      <c r="U14" s="2482"/>
      <c r="V14" s="2482"/>
      <c r="W14" s="2482"/>
    </row>
    <row r="15" spans="1:23" ht="16.7" customHeight="1" x14ac:dyDescent="0.2">
      <c r="A15" s="2792">
        <v>6</v>
      </c>
      <c r="B15" s="2512" t="s">
        <v>7617</v>
      </c>
      <c r="C15" s="2645">
        <v>63757944</v>
      </c>
      <c r="D15" s="2489" t="s">
        <v>7618</v>
      </c>
      <c r="E15" s="2530">
        <v>10033151</v>
      </c>
      <c r="F15" s="2530">
        <v>29313140</v>
      </c>
      <c r="G15" s="2530">
        <f t="shared" si="0"/>
        <v>83037933</v>
      </c>
      <c r="H15" s="2479" t="str">
        <f t="shared" si="1"/>
        <v>Regulated Environmental Liabilities</v>
      </c>
      <c r="J15" s="2579"/>
      <c r="K15" s="2783" t="s">
        <v>5965</v>
      </c>
      <c r="L15" s="2645">
        <v>58511228</v>
      </c>
      <c r="M15" s="2520"/>
      <c r="N15" s="2482"/>
      <c r="O15" s="2482"/>
      <c r="P15" s="2482"/>
      <c r="Q15" s="2482"/>
      <c r="R15" s="2482"/>
      <c r="S15" s="2482"/>
      <c r="T15" s="2482"/>
      <c r="U15" s="2482"/>
      <c r="V15" s="2482"/>
      <c r="W15" s="2482"/>
    </row>
    <row r="16" spans="1:23" ht="16.7" customHeight="1" x14ac:dyDescent="0.2">
      <c r="A16" s="2792">
        <v>7</v>
      </c>
      <c r="B16" s="2488" t="s">
        <v>7619</v>
      </c>
      <c r="C16" s="2645">
        <v>1611328</v>
      </c>
      <c r="D16" s="2489" t="s">
        <v>7620</v>
      </c>
      <c r="E16" s="2530">
        <v>167166</v>
      </c>
      <c r="F16" s="2530">
        <v>74381</v>
      </c>
      <c r="G16" s="2530">
        <f t="shared" si="0"/>
        <v>1518543</v>
      </c>
      <c r="H16" s="2479" t="str">
        <f t="shared" si="1"/>
        <v>Non-Regulated Environmental Liabilities</v>
      </c>
      <c r="J16" s="2579"/>
      <c r="K16" s="2783" t="s">
        <v>5968</v>
      </c>
      <c r="L16" s="2645">
        <v>1625120</v>
      </c>
      <c r="M16" s="2520"/>
      <c r="N16" s="2482"/>
      <c r="O16" s="2482"/>
      <c r="P16" s="2482"/>
      <c r="Q16" s="2482"/>
      <c r="R16" s="2482"/>
      <c r="S16" s="2482"/>
      <c r="T16" s="2482"/>
      <c r="U16" s="2482"/>
      <c r="V16" s="2482"/>
      <c r="W16" s="2482"/>
    </row>
    <row r="17" spans="1:23" ht="16.7" customHeight="1" x14ac:dyDescent="0.2">
      <c r="A17" s="2792">
        <v>8</v>
      </c>
      <c r="B17" s="2478" t="s">
        <v>7621</v>
      </c>
      <c r="C17" s="2645">
        <v>3623694</v>
      </c>
      <c r="D17" s="2748">
        <v>454</v>
      </c>
      <c r="E17" s="2530">
        <v>8748149</v>
      </c>
      <c r="F17" s="2530">
        <v>9530727</v>
      </c>
      <c r="G17" s="2530">
        <f t="shared" si="0"/>
        <v>4406272</v>
      </c>
      <c r="H17" s="2479" t="str">
        <f t="shared" si="1"/>
        <v>Unearned Joint Use Pole Contact Revenue</v>
      </c>
      <c r="J17" s="2579"/>
      <c r="K17" s="2783" t="s">
        <v>5970</v>
      </c>
      <c r="L17" s="2645">
        <v>2992452</v>
      </c>
      <c r="M17" s="2520"/>
      <c r="N17" s="2482"/>
      <c r="O17" s="2482"/>
      <c r="P17" s="2482"/>
      <c r="Q17" s="2482"/>
      <c r="R17" s="2482"/>
      <c r="S17" s="2482"/>
      <c r="T17" s="2482"/>
      <c r="U17" s="2482"/>
      <c r="V17" s="2482"/>
      <c r="W17" s="2482"/>
    </row>
    <row r="18" spans="1:23" ht="16.7" customHeight="1" x14ac:dyDescent="0.2">
      <c r="A18" s="2792">
        <v>9</v>
      </c>
      <c r="B18" s="2488" t="s">
        <v>7622</v>
      </c>
      <c r="C18" s="2645">
        <v>100169</v>
      </c>
      <c r="D18" s="2489"/>
      <c r="E18" s="2530">
        <v>0</v>
      </c>
      <c r="F18" s="2488"/>
      <c r="G18" s="2530">
        <f t="shared" si="0"/>
        <v>100169</v>
      </c>
      <c r="H18" s="2479" t="str">
        <f t="shared" si="1"/>
        <v>Miscellaneous Security Deposits</v>
      </c>
      <c r="J18" s="2579"/>
      <c r="K18" s="2783" t="s">
        <v>5972</v>
      </c>
      <c r="L18" s="2645">
        <v>109978</v>
      </c>
      <c r="M18" s="2520"/>
      <c r="N18" s="2482"/>
      <c r="O18" s="2482"/>
      <c r="P18" s="2482"/>
      <c r="Q18" s="2482"/>
      <c r="R18" s="2482"/>
      <c r="S18" s="2482"/>
      <c r="T18" s="2482"/>
      <c r="U18" s="2482"/>
      <c r="V18" s="2482"/>
      <c r="W18" s="2482"/>
    </row>
    <row r="19" spans="1:23" ht="16.7" customHeight="1" x14ac:dyDescent="0.2">
      <c r="A19" s="2792">
        <v>10</v>
      </c>
      <c r="B19" s="2488" t="s">
        <v>7623</v>
      </c>
      <c r="C19" s="2645">
        <v>31062</v>
      </c>
      <c r="D19" s="2748">
        <v>931</v>
      </c>
      <c r="E19" s="2530">
        <v>31062</v>
      </c>
      <c r="F19" s="2530">
        <v>0</v>
      </c>
      <c r="G19" s="2530">
        <f t="shared" si="0"/>
        <v>0</v>
      </c>
      <c r="H19" s="2479" t="str">
        <f t="shared" si="1"/>
        <v>Lease Incentives</v>
      </c>
      <c r="J19" s="2579"/>
      <c r="K19" s="2783" t="s">
        <v>5974</v>
      </c>
      <c r="L19" s="2645">
        <v>93186</v>
      </c>
      <c r="M19" s="2520"/>
      <c r="N19" s="2482"/>
      <c r="O19" s="2482"/>
      <c r="P19" s="2482"/>
      <c r="Q19" s="2482"/>
      <c r="R19" s="2482"/>
      <c r="S19" s="2482"/>
      <c r="T19" s="2482"/>
      <c r="U19" s="2482"/>
      <c r="V19" s="2482"/>
      <c r="W19" s="2482"/>
    </row>
    <row r="20" spans="1:23" ht="22.5" customHeight="1" x14ac:dyDescent="0.2">
      <c r="A20" s="2792">
        <v>11</v>
      </c>
      <c r="B20" s="2488" t="s">
        <v>7624</v>
      </c>
      <c r="C20" s="2645">
        <v>141046</v>
      </c>
      <c r="D20" s="2489" t="s">
        <v>7625</v>
      </c>
      <c r="E20" s="2530">
        <v>502795</v>
      </c>
      <c r="F20" s="2530">
        <v>361749</v>
      </c>
      <c r="G20" s="2530">
        <f t="shared" si="0"/>
        <v>0</v>
      </c>
      <c r="H20" s="2479" t="str">
        <f t="shared" si="1"/>
        <v>Cowlitz/Lewis River Operations and Maintenance (1)</v>
      </c>
      <c r="J20" s="2579"/>
      <c r="K20" s="2783" t="s">
        <v>5976</v>
      </c>
      <c r="L20" s="2645">
        <v>131567</v>
      </c>
      <c r="M20" s="2520"/>
      <c r="N20" s="2482"/>
      <c r="O20" s="2482"/>
      <c r="P20" s="2482"/>
      <c r="Q20" s="2482"/>
      <c r="R20" s="2482"/>
      <c r="S20" s="2482"/>
      <c r="T20" s="2482"/>
      <c r="U20" s="2482"/>
      <c r="V20" s="2482"/>
      <c r="W20" s="2482"/>
    </row>
    <row r="21" spans="1:23" ht="16.7" customHeight="1" x14ac:dyDescent="0.2">
      <c r="A21" s="2792">
        <v>12</v>
      </c>
      <c r="B21" s="2488" t="s">
        <v>7626</v>
      </c>
      <c r="C21" s="2645">
        <v>21600</v>
      </c>
      <c r="D21" s="2748">
        <v>131</v>
      </c>
      <c r="E21" s="2530">
        <v>3700</v>
      </c>
      <c r="F21" s="2530">
        <v>1200</v>
      </c>
      <c r="G21" s="2530">
        <f t="shared" si="0"/>
        <v>19100</v>
      </c>
      <c r="H21" s="2479" t="str">
        <f t="shared" si="1"/>
        <v>Employee Housing Security Deposits</v>
      </c>
      <c r="J21" s="2579"/>
      <c r="K21" s="2783" t="s">
        <v>5978</v>
      </c>
      <c r="L21" s="2645">
        <v>21000</v>
      </c>
      <c r="M21" s="2520"/>
      <c r="N21" s="2482"/>
      <c r="O21" s="2482"/>
      <c r="P21" s="2482"/>
      <c r="Q21" s="2482"/>
      <c r="R21" s="2482"/>
      <c r="S21" s="2482"/>
      <c r="T21" s="2482"/>
      <c r="U21" s="2482"/>
      <c r="V21" s="2482"/>
      <c r="W21" s="2482"/>
    </row>
    <row r="22" spans="1:23" ht="16.7" customHeight="1" x14ac:dyDescent="0.2">
      <c r="A22" s="2792">
        <v>13</v>
      </c>
      <c r="B22" s="2488" t="s">
        <v>7627</v>
      </c>
      <c r="C22" s="2645">
        <v>413417</v>
      </c>
      <c r="D22" s="2748">
        <v>131</v>
      </c>
      <c r="E22" s="2530">
        <v>413417</v>
      </c>
      <c r="F22" s="2530">
        <v>0</v>
      </c>
      <c r="G22" s="2530">
        <f t="shared" si="0"/>
        <v>0</v>
      </c>
      <c r="H22" s="2479" t="str">
        <f t="shared" si="1"/>
        <v>Cogeneration Bonds - Sunnyside</v>
      </c>
      <c r="J22" s="2579"/>
      <c r="K22" s="2783" t="s">
        <v>5980</v>
      </c>
      <c r="L22" s="2645">
        <v>413417</v>
      </c>
      <c r="M22" s="2520"/>
      <c r="N22" s="2482"/>
      <c r="O22" s="2482"/>
      <c r="P22" s="2482"/>
      <c r="Q22" s="2482"/>
      <c r="R22" s="2482"/>
      <c r="S22" s="2482"/>
      <c r="T22" s="2482"/>
      <c r="U22" s="2482"/>
      <c r="V22" s="2482"/>
      <c r="W22" s="2482"/>
    </row>
    <row r="23" spans="1:23" ht="16.7" customHeight="1" x14ac:dyDescent="0.2">
      <c r="A23" s="2792">
        <v>14</v>
      </c>
      <c r="B23" s="2488" t="s">
        <v>7628</v>
      </c>
      <c r="C23" s="2645">
        <v>559486</v>
      </c>
      <c r="D23" s="2748">
        <v>454</v>
      </c>
      <c r="E23" s="2530">
        <v>1202045</v>
      </c>
      <c r="F23" s="2530">
        <v>771072</v>
      </c>
      <c r="G23" s="2530">
        <f t="shared" si="0"/>
        <v>128513</v>
      </c>
      <c r="H23" s="2479" t="str">
        <f t="shared" si="1"/>
        <v>MCI F.O.G. Wire Lease (1)</v>
      </c>
      <c r="J23" s="2579"/>
      <c r="K23" s="2783" t="s">
        <v>5982</v>
      </c>
      <c r="L23" s="2645">
        <v>9537050</v>
      </c>
      <c r="M23" s="2520"/>
      <c r="N23" s="2482"/>
      <c r="O23" s="2482"/>
      <c r="P23" s="2482"/>
      <c r="Q23" s="2482"/>
      <c r="R23" s="2482"/>
      <c r="S23" s="2482"/>
      <c r="T23" s="2482"/>
      <c r="U23" s="2482"/>
      <c r="V23" s="2482"/>
      <c r="W23" s="2482"/>
    </row>
    <row r="24" spans="1:23" ht="16.7" customHeight="1" x14ac:dyDescent="0.2">
      <c r="A24" s="2792">
        <v>15</v>
      </c>
      <c r="B24" s="2488" t="s">
        <v>2965</v>
      </c>
      <c r="C24" s="2645">
        <v>1973642</v>
      </c>
      <c r="D24" s="2489"/>
      <c r="E24" s="2530">
        <v>0</v>
      </c>
      <c r="F24" s="2530">
        <v>289358</v>
      </c>
      <c r="G24" s="2530">
        <f t="shared" si="0"/>
        <v>2263000</v>
      </c>
      <c r="H24" s="2479" t="str">
        <f t="shared" si="1"/>
        <v>Accrued Right-of-Way Obligations</v>
      </c>
      <c r="J24" s="2579"/>
      <c r="K24" s="2783" t="s">
        <v>5984</v>
      </c>
      <c r="L24" s="2645">
        <v>672567</v>
      </c>
      <c r="M24" s="2520"/>
      <c r="N24" s="2482"/>
      <c r="O24" s="2482"/>
      <c r="P24" s="2482"/>
      <c r="Q24" s="2482"/>
      <c r="R24" s="2482"/>
      <c r="S24" s="2482"/>
      <c r="T24" s="2482"/>
      <c r="U24" s="2482"/>
      <c r="V24" s="2482"/>
      <c r="W24" s="2482"/>
    </row>
    <row r="25" spans="1:23" ht="16.7" customHeight="1" x14ac:dyDescent="0.2">
      <c r="A25" s="2792">
        <v>16</v>
      </c>
      <c r="B25" s="2478" t="s">
        <v>7629</v>
      </c>
      <c r="C25" s="2645">
        <v>696594</v>
      </c>
      <c r="D25" s="2489" t="s">
        <v>7630</v>
      </c>
      <c r="E25" s="2530">
        <v>171425</v>
      </c>
      <c r="F25" s="2530">
        <v>125393</v>
      </c>
      <c r="G25" s="2530">
        <f t="shared" si="0"/>
        <v>650562</v>
      </c>
      <c r="H25" s="2479" t="str">
        <f t="shared" si="1"/>
        <v>Facility Use Fee</v>
      </c>
      <c r="J25" s="2579"/>
      <c r="K25" s="2783" t="s">
        <v>5986</v>
      </c>
      <c r="L25" s="2645">
        <v>558945</v>
      </c>
      <c r="M25" s="2520"/>
      <c r="N25" s="2482"/>
      <c r="O25" s="2482"/>
      <c r="P25" s="2482"/>
      <c r="Q25" s="2482"/>
      <c r="R25" s="2482"/>
      <c r="S25" s="2482"/>
      <c r="T25" s="2482"/>
      <c r="U25" s="2482"/>
      <c r="V25" s="2482"/>
      <c r="W25" s="2482"/>
    </row>
    <row r="26" spans="1:23" ht="16.7" customHeight="1" x14ac:dyDescent="0.2">
      <c r="A26" s="2792">
        <v>17</v>
      </c>
      <c r="B26" s="2488" t="s">
        <v>2947</v>
      </c>
      <c r="C26" s="2645">
        <v>2628111</v>
      </c>
      <c r="D26" s="2489" t="s">
        <v>7631</v>
      </c>
      <c r="E26" s="2530">
        <v>5663377</v>
      </c>
      <c r="F26" s="2530">
        <v>13600000</v>
      </c>
      <c r="G26" s="2530">
        <f t="shared" si="0"/>
        <v>10564734</v>
      </c>
      <c r="H26" s="2479" t="str">
        <f t="shared" si="1"/>
        <v>IT Software Licenses</v>
      </c>
      <c r="J26" s="2579"/>
      <c r="K26" s="2783" t="s">
        <v>5988</v>
      </c>
      <c r="L26" s="2645">
        <v>36447683</v>
      </c>
      <c r="M26" s="2520"/>
      <c r="N26" s="2482"/>
      <c r="O26" s="2482"/>
      <c r="P26" s="2482"/>
      <c r="Q26" s="2482"/>
      <c r="R26" s="2482"/>
      <c r="S26" s="2482"/>
      <c r="T26" s="2482"/>
      <c r="U26" s="2482"/>
      <c r="V26" s="2482"/>
      <c r="W26" s="2482"/>
    </row>
    <row r="27" spans="1:23" ht="16.7" customHeight="1" x14ac:dyDescent="0.2">
      <c r="A27" s="2792">
        <v>18</v>
      </c>
      <c r="B27" s="2488" t="s">
        <v>7632</v>
      </c>
      <c r="C27" s="2645">
        <v>15447803</v>
      </c>
      <c r="D27" s="2489"/>
      <c r="E27" s="2530">
        <v>0</v>
      </c>
      <c r="F27" s="2530">
        <v>654597</v>
      </c>
      <c r="G27" s="2530">
        <f t="shared" si="0"/>
        <v>16102400</v>
      </c>
      <c r="H27" s="2479" t="str">
        <f t="shared" si="1"/>
        <v>Deer Creek Accrued Royalties</v>
      </c>
      <c r="J27" s="2579"/>
      <c r="K27" s="2783" t="s">
        <v>5990</v>
      </c>
      <c r="L27" s="2645">
        <v>2266777</v>
      </c>
      <c r="M27" s="2520"/>
      <c r="N27" s="2482"/>
      <c r="O27" s="2482"/>
      <c r="P27" s="2482"/>
      <c r="Q27" s="2482"/>
      <c r="R27" s="2482"/>
      <c r="S27" s="2482"/>
      <c r="T27" s="2482"/>
      <c r="U27" s="2482"/>
      <c r="V27" s="2482"/>
      <c r="W27" s="2482"/>
    </row>
    <row r="28" spans="1:23" ht="16.7" customHeight="1" x14ac:dyDescent="0.2">
      <c r="A28" s="2792">
        <v>19</v>
      </c>
      <c r="B28" s="2488" t="s">
        <v>7633</v>
      </c>
      <c r="C28" s="2645">
        <v>1298</v>
      </c>
      <c r="D28" s="2748">
        <v>185</v>
      </c>
      <c r="E28" s="2530">
        <v>1298</v>
      </c>
      <c r="F28" s="2530">
        <v>0</v>
      </c>
      <c r="G28" s="2530">
        <f t="shared" si="0"/>
        <v>0</v>
      </c>
      <c r="H28" s="2479" t="str">
        <f t="shared" si="1"/>
        <v>Deferred Revenue - Other</v>
      </c>
      <c r="J28" s="2579"/>
      <c r="K28" s="2783" t="s">
        <v>5992</v>
      </c>
      <c r="L28" s="2645">
        <v>793201</v>
      </c>
      <c r="M28" s="2520"/>
      <c r="N28" s="2482"/>
      <c r="O28" s="2482"/>
      <c r="P28" s="2482"/>
      <c r="Q28" s="2482"/>
      <c r="R28" s="2482"/>
      <c r="S28" s="2482"/>
      <c r="T28" s="2482"/>
      <c r="U28" s="2482"/>
      <c r="V28" s="2482"/>
      <c r="W28" s="2482"/>
    </row>
    <row r="29" spans="1:23" ht="16.7" customHeight="1" x14ac:dyDescent="0.2">
      <c r="A29" s="2792">
        <v>20</v>
      </c>
      <c r="B29" s="2488" t="s">
        <v>7634</v>
      </c>
      <c r="C29" s="2645">
        <v>34466820</v>
      </c>
      <c r="D29" s="2748">
        <v>131</v>
      </c>
      <c r="E29" s="2530">
        <v>6989610</v>
      </c>
      <c r="F29" s="2530">
        <v>30605596</v>
      </c>
      <c r="G29" s="2530">
        <f t="shared" si="0"/>
        <v>58082806</v>
      </c>
      <c r="H29" s="2479" t="str">
        <f t="shared" si="1"/>
        <v>Transmission Security Deposits</v>
      </c>
      <c r="J29" s="2579"/>
      <c r="K29" s="2783" t="s">
        <v>5994</v>
      </c>
      <c r="L29" s="2645">
        <v>14347296</v>
      </c>
      <c r="M29" s="2520"/>
      <c r="N29" s="2482"/>
      <c r="O29" s="2482"/>
      <c r="P29" s="2482"/>
      <c r="Q29" s="2482"/>
      <c r="R29" s="2482"/>
      <c r="S29" s="2482"/>
      <c r="T29" s="2482"/>
      <c r="U29" s="2482"/>
      <c r="V29" s="2482"/>
      <c r="W29" s="2482"/>
    </row>
    <row r="30" spans="1:23" ht="16.7" customHeight="1" x14ac:dyDescent="0.2">
      <c r="A30" s="2792">
        <v>21</v>
      </c>
      <c r="B30" s="2488" t="s">
        <v>7635</v>
      </c>
      <c r="C30" s="2645">
        <v>3627826</v>
      </c>
      <c r="D30" s="2489" t="s">
        <v>7636</v>
      </c>
      <c r="E30" s="2530">
        <v>2604074</v>
      </c>
      <c r="F30" s="2530">
        <v>3330495</v>
      </c>
      <c r="G30" s="2530">
        <f t="shared" si="0"/>
        <v>4354247</v>
      </c>
      <c r="H30" s="2479" t="str">
        <f t="shared" si="1"/>
        <v>Transmission Service Deposits</v>
      </c>
      <c r="J30" s="2579"/>
      <c r="K30" s="2783" t="s">
        <v>5997</v>
      </c>
      <c r="L30" s="2645">
        <v>14059</v>
      </c>
      <c r="M30" s="2520"/>
      <c r="N30" s="2482"/>
      <c r="O30" s="2482"/>
      <c r="P30" s="2482"/>
      <c r="Q30" s="2482"/>
      <c r="R30" s="2482"/>
      <c r="S30" s="2482"/>
      <c r="T30" s="2482"/>
      <c r="U30" s="2482"/>
      <c r="V30" s="2482"/>
      <c r="W30" s="2482"/>
    </row>
    <row r="31" spans="1:23" ht="16.7" customHeight="1" x14ac:dyDescent="0.2">
      <c r="A31" s="2792">
        <v>22</v>
      </c>
      <c r="B31" s="2488" t="s">
        <v>7637</v>
      </c>
      <c r="C31" s="2645">
        <v>106333090</v>
      </c>
      <c r="D31" s="2748">
        <v>131</v>
      </c>
      <c r="E31" s="2530">
        <v>51083470</v>
      </c>
      <c r="F31" s="2530">
        <v>70207200</v>
      </c>
      <c r="G31" s="2530">
        <f t="shared" si="0"/>
        <v>125456820</v>
      </c>
      <c r="H31" s="2479" t="str">
        <f t="shared" si="1"/>
        <v>Transmission Study Deposits for Financial Security</v>
      </c>
      <c r="J31" s="2579"/>
      <c r="K31" s="2783" t="s">
        <v>5999</v>
      </c>
      <c r="L31" s="2645">
        <v>2238687</v>
      </c>
      <c r="M31" s="2520"/>
      <c r="N31" s="2482"/>
      <c r="O31" s="2482"/>
      <c r="P31" s="2482"/>
      <c r="Q31" s="2482"/>
      <c r="R31" s="2482"/>
      <c r="S31" s="2482"/>
      <c r="T31" s="2482"/>
      <c r="U31" s="2482"/>
      <c r="V31" s="2482"/>
      <c r="W31" s="2482"/>
    </row>
    <row r="32" spans="1:23" ht="16.7" customHeight="1" x14ac:dyDescent="0.2">
      <c r="A32" s="2792">
        <v>23</v>
      </c>
      <c r="B32" s="2488" t="s">
        <v>7638</v>
      </c>
      <c r="C32" s="2645">
        <v>1460000</v>
      </c>
      <c r="D32" s="2748">
        <v>131</v>
      </c>
      <c r="E32" s="2530">
        <v>540000</v>
      </c>
      <c r="F32" s="2530">
        <v>930000</v>
      </c>
      <c r="G32" s="2530">
        <f t="shared" si="0"/>
        <v>1850000</v>
      </c>
      <c r="H32" s="2479" t="str">
        <f t="shared" si="1"/>
        <v>Transmission Study Deposits for Site Control</v>
      </c>
      <c r="J32" s="2579"/>
      <c r="K32" s="2783" t="s">
        <v>6002</v>
      </c>
      <c r="L32" s="2645">
        <v>33000000</v>
      </c>
      <c r="M32" s="2520"/>
      <c r="N32" s="2482"/>
      <c r="O32" s="2482"/>
      <c r="P32" s="2482"/>
      <c r="Q32" s="2482"/>
      <c r="R32" s="2482"/>
      <c r="S32" s="2482"/>
      <c r="T32" s="2482"/>
      <c r="U32" s="2482"/>
      <c r="V32" s="2482"/>
      <c r="W32" s="2482"/>
    </row>
    <row r="33" spans="1:23" ht="16.7" customHeight="1" x14ac:dyDescent="0.2">
      <c r="A33" s="2792">
        <v>24</v>
      </c>
      <c r="B33" s="2488" t="s">
        <v>7639</v>
      </c>
      <c r="C33" s="2645">
        <v>33718405</v>
      </c>
      <c r="D33" s="2489" t="s">
        <v>7640</v>
      </c>
      <c r="E33" s="2530">
        <v>17820846</v>
      </c>
      <c r="F33" s="2530">
        <v>30001260</v>
      </c>
      <c r="G33" s="2530">
        <f t="shared" si="0"/>
        <v>45898819</v>
      </c>
      <c r="H33" s="2479" t="str">
        <f t="shared" si="1"/>
        <v>Transmission Deposits for Cluster Studies</v>
      </c>
      <c r="J33" s="2579"/>
      <c r="K33" s="2783" t="s">
        <v>6004</v>
      </c>
      <c r="L33" s="2645">
        <v>0</v>
      </c>
      <c r="M33" s="2520"/>
      <c r="N33" s="2482"/>
      <c r="O33" s="2482"/>
      <c r="P33" s="2482"/>
      <c r="Q33" s="2482"/>
      <c r="R33" s="2482"/>
      <c r="S33" s="2482"/>
      <c r="T33" s="2482"/>
      <c r="U33" s="2482"/>
      <c r="V33" s="2482"/>
      <c r="W33" s="2482"/>
    </row>
    <row r="34" spans="1:23" ht="16.7" customHeight="1" x14ac:dyDescent="0.2">
      <c r="A34" s="2792">
        <v>25</v>
      </c>
      <c r="B34" s="2488" t="s">
        <v>7641</v>
      </c>
      <c r="C34" s="2645">
        <v>68708063</v>
      </c>
      <c r="D34" s="2748">
        <v>232</v>
      </c>
      <c r="E34" s="2530">
        <v>68708063</v>
      </c>
      <c r="F34" s="2530">
        <v>0</v>
      </c>
      <c r="G34" s="2530">
        <f t="shared" si="0"/>
        <v>0</v>
      </c>
      <c r="H34" s="2479" t="str">
        <f t="shared" si="1"/>
        <v>Vendor Retention</v>
      </c>
      <c r="J34" s="2579"/>
      <c r="K34" s="2783" t="s">
        <v>6006</v>
      </c>
      <c r="L34" s="2645">
        <v>0</v>
      </c>
      <c r="M34" s="2520"/>
      <c r="N34" s="2482"/>
      <c r="O34" s="2482"/>
      <c r="P34" s="2482"/>
      <c r="Q34" s="2482"/>
      <c r="R34" s="2482"/>
      <c r="S34" s="2482"/>
      <c r="T34" s="2482"/>
      <c r="U34" s="2482"/>
      <c r="V34" s="2482"/>
      <c r="W34" s="2482"/>
    </row>
    <row r="35" spans="1:23" ht="16.7" customHeight="1" x14ac:dyDescent="0.2">
      <c r="A35" s="2792">
        <v>26</v>
      </c>
      <c r="B35" s="2488" t="s">
        <v>7642</v>
      </c>
      <c r="C35" s="2645">
        <v>0</v>
      </c>
      <c r="D35" s="2489"/>
      <c r="E35" s="2530">
        <v>0</v>
      </c>
      <c r="F35" s="2530">
        <v>4186306</v>
      </c>
      <c r="G35" s="2530">
        <f t="shared" si="0"/>
        <v>4186306</v>
      </c>
      <c r="H35" s="2479" t="str">
        <f t="shared" si="1"/>
        <v>Project Development Security Deposits</v>
      </c>
      <c r="J35" s="2579"/>
      <c r="K35" s="2715" t="s">
        <v>6008</v>
      </c>
      <c r="L35" s="2785"/>
      <c r="M35" s="2482"/>
      <c r="N35" s="2482"/>
      <c r="O35" s="2482"/>
      <c r="P35" s="2482"/>
      <c r="Q35" s="2482"/>
      <c r="R35" s="2482"/>
      <c r="S35" s="2482"/>
      <c r="T35" s="2482"/>
      <c r="U35" s="2482"/>
      <c r="V35" s="2482"/>
      <c r="W35" s="2482"/>
    </row>
    <row r="36" spans="1:23" ht="16.7" customHeight="1" x14ac:dyDescent="0.2">
      <c r="A36" s="2792">
        <v>27</v>
      </c>
      <c r="B36" s="2488"/>
      <c r="C36" s="2784"/>
      <c r="D36" s="2489"/>
      <c r="E36" s="2614"/>
      <c r="F36" s="2488"/>
      <c r="G36" s="2530">
        <f t="shared" si="0"/>
        <v>0</v>
      </c>
      <c r="H36" s="2595">
        <f t="shared" si="1"/>
        <v>0</v>
      </c>
      <c r="J36" s="2579"/>
      <c r="K36" s="2715" t="s">
        <v>6010</v>
      </c>
      <c r="L36" s="2482"/>
      <c r="M36" s="2482"/>
      <c r="N36" s="2482"/>
      <c r="O36" s="2482"/>
      <c r="P36" s="2482"/>
      <c r="Q36" s="2482"/>
      <c r="R36" s="2482"/>
      <c r="S36" s="2482"/>
      <c r="T36" s="2482"/>
      <c r="U36" s="2482"/>
      <c r="V36" s="2482"/>
      <c r="W36" s="2482"/>
    </row>
    <row r="37" spans="1:23" ht="16.7" customHeight="1" x14ac:dyDescent="0.2">
      <c r="A37" s="2792">
        <v>28</v>
      </c>
      <c r="B37" s="2488"/>
      <c r="C37" s="2784"/>
      <c r="D37" s="2488"/>
      <c r="E37" s="2488"/>
      <c r="F37" s="2488"/>
      <c r="G37" s="2530">
        <f t="shared" si="0"/>
        <v>0</v>
      </c>
      <c r="H37" s="2595">
        <f t="shared" si="1"/>
        <v>0</v>
      </c>
      <c r="J37" s="2579"/>
      <c r="K37" s="2715" t="s">
        <v>6012</v>
      </c>
      <c r="L37" s="2482"/>
      <c r="M37" s="2482"/>
      <c r="N37" s="2482"/>
      <c r="O37" s="2482"/>
      <c r="P37" s="2482"/>
      <c r="Q37" s="2482"/>
      <c r="R37" s="2482"/>
      <c r="S37" s="2482"/>
      <c r="T37" s="2482"/>
      <c r="U37" s="2482"/>
      <c r="V37" s="2482"/>
      <c r="W37" s="2482"/>
    </row>
    <row r="38" spans="1:23" ht="16.7" customHeight="1" x14ac:dyDescent="0.2">
      <c r="A38" s="2792">
        <v>29</v>
      </c>
      <c r="B38" s="2488"/>
      <c r="C38" s="2784"/>
      <c r="D38" s="2488"/>
      <c r="E38" s="2488"/>
      <c r="F38" s="2488"/>
      <c r="G38" s="2530">
        <f t="shared" si="0"/>
        <v>0</v>
      </c>
      <c r="H38" s="2595">
        <f t="shared" si="1"/>
        <v>0</v>
      </c>
      <c r="J38" s="2579"/>
      <c r="K38" s="2715" t="s">
        <v>6014</v>
      </c>
      <c r="L38" s="2482"/>
      <c r="M38" s="2482"/>
      <c r="N38" s="2482"/>
      <c r="O38" s="2482"/>
      <c r="P38" s="2482"/>
      <c r="Q38" s="2482"/>
      <c r="R38" s="2482"/>
      <c r="S38" s="2482"/>
      <c r="T38" s="2482"/>
      <c r="U38" s="2482"/>
      <c r="V38" s="2482"/>
      <c r="W38" s="2482"/>
    </row>
    <row r="39" spans="1:23" ht="16.7" customHeight="1" x14ac:dyDescent="0.2">
      <c r="A39" s="2792">
        <v>30</v>
      </c>
      <c r="B39" s="2488"/>
      <c r="C39" s="2784"/>
      <c r="D39" s="2488"/>
      <c r="E39" s="2488"/>
      <c r="F39" s="2488"/>
      <c r="G39" s="2530">
        <f t="shared" si="0"/>
        <v>0</v>
      </c>
      <c r="H39" s="2595">
        <f t="shared" si="1"/>
        <v>0</v>
      </c>
      <c r="J39" s="2579"/>
      <c r="K39" s="2715" t="s">
        <v>6016</v>
      </c>
      <c r="L39" s="2482"/>
      <c r="M39" s="2482"/>
      <c r="N39" s="2482"/>
      <c r="O39" s="2482"/>
      <c r="P39" s="2482"/>
      <c r="Q39" s="2482"/>
      <c r="R39" s="2482"/>
      <c r="S39" s="2482"/>
      <c r="T39" s="2482"/>
      <c r="U39" s="2482"/>
      <c r="V39" s="2482"/>
      <c r="W39" s="2482"/>
    </row>
    <row r="40" spans="1:23" ht="16.7" customHeight="1" x14ac:dyDescent="0.2">
      <c r="A40" s="2792">
        <v>31</v>
      </c>
      <c r="B40" s="2488"/>
      <c r="C40" s="2784"/>
      <c r="D40" s="2488"/>
      <c r="E40" s="2488"/>
      <c r="F40" s="2488"/>
      <c r="G40" s="2530">
        <f t="shared" si="0"/>
        <v>0</v>
      </c>
      <c r="H40" s="2595">
        <f t="shared" si="1"/>
        <v>0</v>
      </c>
      <c r="J40" s="2579"/>
      <c r="K40" s="2715" t="s">
        <v>6018</v>
      </c>
      <c r="L40" s="2482"/>
      <c r="M40" s="2482"/>
      <c r="N40" s="2482"/>
      <c r="O40" s="2482"/>
      <c r="P40" s="2482"/>
      <c r="Q40" s="2482"/>
      <c r="R40" s="2482"/>
      <c r="S40" s="2482"/>
      <c r="T40" s="2482"/>
      <c r="U40" s="2482"/>
      <c r="V40" s="2482"/>
      <c r="W40" s="2482"/>
    </row>
    <row r="41" spans="1:23" ht="16.7" customHeight="1" x14ac:dyDescent="0.2">
      <c r="A41" s="2792">
        <v>32</v>
      </c>
      <c r="B41" s="2488"/>
      <c r="C41" s="2784"/>
      <c r="D41" s="2488"/>
      <c r="E41" s="2488"/>
      <c r="F41" s="2488"/>
      <c r="G41" s="2530">
        <f t="shared" si="0"/>
        <v>0</v>
      </c>
      <c r="H41" s="2595">
        <f t="shared" si="1"/>
        <v>0</v>
      </c>
      <c r="J41" s="2579"/>
      <c r="K41" s="2715" t="s">
        <v>6020</v>
      </c>
      <c r="L41" s="2482"/>
      <c r="M41" s="2482"/>
      <c r="N41" s="2482"/>
      <c r="O41" s="2482"/>
      <c r="P41" s="2482"/>
      <c r="Q41" s="2482"/>
      <c r="R41" s="2482"/>
      <c r="S41" s="2482"/>
      <c r="T41" s="2482"/>
      <c r="U41" s="2482"/>
      <c r="V41" s="2482"/>
      <c r="W41" s="2482"/>
    </row>
    <row r="42" spans="1:23" ht="16.7" customHeight="1" x14ac:dyDescent="0.2">
      <c r="A42" s="2792">
        <v>33</v>
      </c>
      <c r="B42" s="2488"/>
      <c r="C42" s="2784"/>
      <c r="D42" s="2488"/>
      <c r="E42" s="2488"/>
      <c r="F42" s="2488"/>
      <c r="G42" s="2530">
        <f t="shared" si="0"/>
        <v>0</v>
      </c>
      <c r="H42" s="2595">
        <f t="shared" si="1"/>
        <v>0</v>
      </c>
      <c r="J42" s="2579"/>
      <c r="K42" s="2715" t="s">
        <v>6022</v>
      </c>
      <c r="L42" s="2482"/>
      <c r="M42" s="2482"/>
      <c r="N42" s="2482"/>
      <c r="O42" s="2482"/>
      <c r="P42" s="2482"/>
      <c r="Q42" s="2482"/>
      <c r="R42" s="2482"/>
      <c r="S42" s="2482"/>
      <c r="T42" s="2482"/>
      <c r="U42" s="2482"/>
      <c r="V42" s="2482"/>
      <c r="W42" s="2482"/>
    </row>
    <row r="43" spans="1:23" ht="16.7" customHeight="1" x14ac:dyDescent="0.2">
      <c r="A43" s="2792">
        <v>34</v>
      </c>
      <c r="B43" s="2488"/>
      <c r="C43" s="2784"/>
      <c r="D43" s="2488"/>
      <c r="E43" s="2488"/>
      <c r="F43" s="2488"/>
      <c r="G43" s="2530">
        <f t="shared" si="0"/>
        <v>0</v>
      </c>
      <c r="H43" s="2595">
        <f t="shared" si="1"/>
        <v>0</v>
      </c>
      <c r="J43" s="2579"/>
      <c r="K43" s="2715" t="s">
        <v>6024</v>
      </c>
      <c r="L43" s="2482"/>
      <c r="M43" s="2482"/>
      <c r="N43" s="2482"/>
      <c r="O43" s="2482"/>
      <c r="P43" s="2482"/>
      <c r="Q43" s="2482"/>
      <c r="R43" s="2482"/>
      <c r="S43" s="2482"/>
      <c r="T43" s="2482"/>
      <c r="U43" s="2482"/>
      <c r="V43" s="2482"/>
      <c r="W43" s="2482"/>
    </row>
    <row r="44" spans="1:23" ht="16.7" customHeight="1" x14ac:dyDescent="0.2">
      <c r="A44" s="2792">
        <v>35</v>
      </c>
      <c r="B44" s="2488"/>
      <c r="C44" s="2784"/>
      <c r="D44" s="2488"/>
      <c r="E44" s="2488"/>
      <c r="F44" s="2488"/>
      <c r="G44" s="2530">
        <f t="shared" si="0"/>
        <v>0</v>
      </c>
      <c r="H44" s="2595">
        <f t="shared" si="1"/>
        <v>0</v>
      </c>
      <c r="J44" s="2579"/>
      <c r="K44" s="2715" t="s">
        <v>6026</v>
      </c>
      <c r="L44" s="2482"/>
      <c r="M44" s="2482"/>
      <c r="N44" s="2482"/>
      <c r="O44" s="2482"/>
      <c r="P44" s="2482"/>
      <c r="Q44" s="2482"/>
      <c r="R44" s="2482"/>
      <c r="S44" s="2482"/>
      <c r="T44" s="2482"/>
      <c r="U44" s="2482"/>
      <c r="V44" s="2482"/>
      <c r="W44" s="2482"/>
    </row>
    <row r="45" spans="1:23" ht="16.7" customHeight="1" x14ac:dyDescent="0.2">
      <c r="A45" s="2792">
        <v>36</v>
      </c>
      <c r="B45" s="2488"/>
      <c r="C45" s="2784"/>
      <c r="D45" s="2488"/>
      <c r="E45" s="2488"/>
      <c r="F45" s="2488"/>
      <c r="G45" s="2530">
        <f t="shared" si="0"/>
        <v>0</v>
      </c>
      <c r="H45" s="2595">
        <f t="shared" si="1"/>
        <v>0</v>
      </c>
      <c r="J45" s="2579"/>
      <c r="K45" s="2715" t="s">
        <v>6028</v>
      </c>
      <c r="L45" s="2482"/>
      <c r="M45" s="2482"/>
      <c r="N45" s="2482"/>
      <c r="O45" s="2482"/>
      <c r="P45" s="2482"/>
      <c r="Q45" s="2482"/>
      <c r="R45" s="2482"/>
      <c r="S45" s="2482"/>
      <c r="T45" s="2482"/>
      <c r="U45" s="2482"/>
      <c r="V45" s="2482"/>
      <c r="W45" s="2482"/>
    </row>
    <row r="46" spans="1:23" ht="16.7" customHeight="1" x14ac:dyDescent="0.2">
      <c r="A46" s="2792">
        <v>37</v>
      </c>
      <c r="B46" s="2488"/>
      <c r="C46" s="2784"/>
      <c r="D46" s="2488"/>
      <c r="E46" s="2488"/>
      <c r="F46" s="2488"/>
      <c r="G46" s="2530">
        <f t="shared" si="0"/>
        <v>0</v>
      </c>
      <c r="H46" s="2595">
        <f t="shared" si="1"/>
        <v>0</v>
      </c>
      <c r="J46" s="2579"/>
      <c r="K46" s="2715" t="s">
        <v>6030</v>
      </c>
      <c r="L46" s="2482"/>
      <c r="M46" s="2482"/>
      <c r="N46" s="2482"/>
      <c r="O46" s="2482"/>
      <c r="P46" s="2482"/>
      <c r="Q46" s="2482"/>
      <c r="R46" s="2482"/>
      <c r="S46" s="2482"/>
      <c r="T46" s="2482"/>
      <c r="U46" s="2482"/>
      <c r="V46" s="2482"/>
      <c r="W46" s="2482"/>
    </row>
    <row r="47" spans="1:23" ht="16.7" customHeight="1" x14ac:dyDescent="0.2">
      <c r="A47" s="2792">
        <v>38</v>
      </c>
      <c r="B47" s="2488"/>
      <c r="C47" s="2784"/>
      <c r="D47" s="2488"/>
      <c r="E47" s="2488"/>
      <c r="F47" s="2488"/>
      <c r="G47" s="2530">
        <f t="shared" si="0"/>
        <v>0</v>
      </c>
      <c r="H47" s="2595">
        <f t="shared" si="1"/>
        <v>0</v>
      </c>
      <c r="J47" s="2579"/>
      <c r="K47" s="2715" t="s">
        <v>6032</v>
      </c>
      <c r="L47" s="2482"/>
      <c r="M47" s="2482"/>
      <c r="N47" s="2482"/>
      <c r="O47" s="2482"/>
      <c r="P47" s="2482"/>
      <c r="Q47" s="2482"/>
      <c r="R47" s="2482"/>
      <c r="S47" s="2482"/>
      <c r="T47" s="2482"/>
      <c r="U47" s="2482"/>
      <c r="V47" s="2482"/>
      <c r="W47" s="2482"/>
    </row>
    <row r="48" spans="1:23" ht="16.7" customHeight="1" x14ac:dyDescent="0.2">
      <c r="A48" s="2792">
        <v>39</v>
      </c>
      <c r="B48" s="2488"/>
      <c r="C48" s="2784"/>
      <c r="D48" s="2488"/>
      <c r="E48" s="2488"/>
      <c r="F48" s="2488"/>
      <c r="G48" s="2530">
        <f t="shared" si="0"/>
        <v>0</v>
      </c>
      <c r="H48" s="2595">
        <f t="shared" si="1"/>
        <v>0</v>
      </c>
      <c r="J48" s="2579"/>
      <c r="K48" s="2715" t="s">
        <v>6034</v>
      </c>
      <c r="L48" s="2482"/>
      <c r="M48" s="2482"/>
      <c r="N48" s="2482"/>
      <c r="O48" s="2482"/>
      <c r="P48" s="2482"/>
      <c r="Q48" s="2482"/>
      <c r="R48" s="2482"/>
      <c r="S48" s="2482"/>
      <c r="T48" s="2482"/>
      <c r="U48" s="2482"/>
      <c r="V48" s="2482"/>
      <c r="W48" s="2482"/>
    </row>
    <row r="49" spans="1:23" ht="16.7" customHeight="1" x14ac:dyDescent="0.2">
      <c r="A49" s="2792">
        <v>40</v>
      </c>
      <c r="B49" s="2488"/>
      <c r="C49" s="2784"/>
      <c r="D49" s="2488"/>
      <c r="E49" s="2488"/>
      <c r="F49" s="2488"/>
      <c r="G49" s="2530">
        <f t="shared" si="0"/>
        <v>0</v>
      </c>
      <c r="H49" s="2595">
        <f t="shared" si="1"/>
        <v>0</v>
      </c>
      <c r="J49" s="2579"/>
      <c r="K49" s="2715" t="s">
        <v>6036</v>
      </c>
      <c r="L49" s="2482"/>
      <c r="M49" s="2482"/>
      <c r="N49" s="2482"/>
      <c r="O49" s="2482"/>
      <c r="P49" s="2482"/>
      <c r="Q49" s="2482"/>
      <c r="R49" s="2482"/>
      <c r="S49" s="2482"/>
      <c r="T49" s="2482"/>
      <c r="U49" s="2482"/>
      <c r="V49" s="2482"/>
      <c r="W49" s="2482"/>
    </row>
    <row r="50" spans="1:23" ht="16.7" customHeight="1" x14ac:dyDescent="0.2">
      <c r="A50" s="2792">
        <v>41</v>
      </c>
      <c r="B50" s="2488"/>
      <c r="C50" s="2784"/>
      <c r="D50" s="2488"/>
      <c r="E50" s="2488"/>
      <c r="F50" s="2488"/>
      <c r="G50" s="2530">
        <f t="shared" si="0"/>
        <v>0</v>
      </c>
      <c r="H50" s="2595">
        <f t="shared" si="1"/>
        <v>0</v>
      </c>
      <c r="J50" s="2579"/>
      <c r="K50" s="2715" t="s">
        <v>6038</v>
      </c>
      <c r="L50" s="2482"/>
      <c r="M50" s="2482"/>
      <c r="N50" s="2482"/>
      <c r="O50" s="2482"/>
      <c r="P50" s="2482"/>
      <c r="Q50" s="2482"/>
      <c r="R50" s="2482"/>
      <c r="S50" s="2482"/>
      <c r="T50" s="2482"/>
      <c r="U50" s="2482"/>
      <c r="V50" s="2482"/>
      <c r="W50" s="2482"/>
    </row>
    <row r="51" spans="1:23" ht="16.7" customHeight="1" x14ac:dyDescent="0.2">
      <c r="A51" s="2792">
        <v>42</v>
      </c>
      <c r="B51" s="2488"/>
      <c r="C51" s="2784"/>
      <c r="D51" s="2488"/>
      <c r="E51" s="2488"/>
      <c r="F51" s="2488"/>
      <c r="G51" s="2530">
        <f t="shared" si="0"/>
        <v>0</v>
      </c>
      <c r="H51" s="2595">
        <f t="shared" si="1"/>
        <v>0</v>
      </c>
      <c r="J51" s="2579"/>
      <c r="K51" s="2715" t="s">
        <v>6040</v>
      </c>
      <c r="L51" s="2482"/>
      <c r="M51" s="2482"/>
      <c r="N51" s="2482"/>
      <c r="O51" s="2482"/>
      <c r="P51" s="2482"/>
      <c r="Q51" s="2482"/>
      <c r="R51" s="2482"/>
      <c r="S51" s="2482"/>
      <c r="T51" s="2482"/>
      <c r="U51" s="2482"/>
      <c r="V51" s="2482"/>
      <c r="W51" s="2482"/>
    </row>
    <row r="52" spans="1:23" ht="16.7" customHeight="1" x14ac:dyDescent="0.2">
      <c r="A52" s="2792">
        <v>43</v>
      </c>
      <c r="B52" s="2488"/>
      <c r="C52" s="2784"/>
      <c r="D52" s="2488"/>
      <c r="E52" s="2488"/>
      <c r="F52" s="2488"/>
      <c r="G52" s="2530">
        <f t="shared" si="0"/>
        <v>0</v>
      </c>
      <c r="H52" s="2595">
        <f t="shared" si="1"/>
        <v>0</v>
      </c>
      <c r="J52" s="2579"/>
      <c r="K52" s="2715" t="s">
        <v>6042</v>
      </c>
      <c r="L52" s="2482"/>
      <c r="M52" s="2482"/>
      <c r="N52" s="2482"/>
      <c r="O52" s="2482"/>
      <c r="P52" s="2482"/>
      <c r="Q52" s="2482"/>
      <c r="R52" s="2482"/>
      <c r="S52" s="2482"/>
      <c r="T52" s="2482"/>
      <c r="U52" s="2482"/>
      <c r="V52" s="2482"/>
      <c r="W52" s="2482"/>
    </row>
    <row r="53" spans="1:23" ht="16.7" customHeight="1" x14ac:dyDescent="0.2">
      <c r="A53" s="2792">
        <v>44</v>
      </c>
      <c r="B53" s="2488"/>
      <c r="C53" s="2784"/>
      <c r="D53" s="2488"/>
      <c r="E53" s="2488"/>
      <c r="F53" s="2488"/>
      <c r="G53" s="2530">
        <f t="shared" si="0"/>
        <v>0</v>
      </c>
      <c r="H53" s="2595">
        <f t="shared" si="1"/>
        <v>0</v>
      </c>
      <c r="J53" s="2579"/>
      <c r="K53" s="2715" t="s">
        <v>6044</v>
      </c>
      <c r="L53" s="2482"/>
      <c r="M53" s="2482"/>
      <c r="N53" s="2482"/>
      <c r="O53" s="2482"/>
      <c r="P53" s="2482"/>
      <c r="Q53" s="2482"/>
      <c r="R53" s="2482"/>
      <c r="S53" s="2482"/>
      <c r="T53" s="2482"/>
      <c r="U53" s="2482"/>
      <c r="V53" s="2482"/>
      <c r="W53" s="2482"/>
    </row>
    <row r="54" spans="1:23" ht="16.7" customHeight="1" x14ac:dyDescent="0.2">
      <c r="A54" s="2792">
        <v>45</v>
      </c>
      <c r="B54" s="2488"/>
      <c r="C54" s="2784"/>
      <c r="D54" s="2488"/>
      <c r="E54" s="2488"/>
      <c r="F54" s="2488"/>
      <c r="G54" s="2530">
        <f t="shared" si="0"/>
        <v>0</v>
      </c>
      <c r="H54" s="2595">
        <f t="shared" si="1"/>
        <v>0</v>
      </c>
      <c r="J54" s="2579"/>
      <c r="K54" s="2715" t="s">
        <v>6046</v>
      </c>
      <c r="L54" s="2482"/>
      <c r="M54" s="2482"/>
      <c r="N54" s="2482"/>
      <c r="O54" s="2482"/>
      <c r="P54" s="2482"/>
      <c r="Q54" s="2482"/>
      <c r="R54" s="2482"/>
      <c r="S54" s="2482"/>
      <c r="T54" s="2482"/>
      <c r="U54" s="2482"/>
      <c r="V54" s="2482"/>
      <c r="W54" s="2482"/>
    </row>
    <row r="55" spans="1:23" ht="16.7" customHeight="1" x14ac:dyDescent="0.2">
      <c r="A55" s="2792">
        <v>46</v>
      </c>
      <c r="B55" s="2488"/>
      <c r="C55" s="2784"/>
      <c r="D55" s="2582"/>
      <c r="E55" s="2582"/>
      <c r="F55" s="2582"/>
      <c r="G55" s="2530">
        <f t="shared" si="0"/>
        <v>0</v>
      </c>
      <c r="H55" s="2595">
        <f t="shared" si="1"/>
        <v>0</v>
      </c>
      <c r="J55" s="2579"/>
      <c r="K55" s="2715" t="s">
        <v>6048</v>
      </c>
      <c r="L55" s="2482"/>
      <c r="M55" s="2482"/>
      <c r="N55" s="2482"/>
      <c r="O55" s="2482"/>
      <c r="P55" s="2482"/>
      <c r="Q55" s="2482"/>
      <c r="R55" s="2482"/>
      <c r="S55" s="2482"/>
      <c r="T55" s="2482"/>
      <c r="U55" s="2482"/>
      <c r="V55" s="2482"/>
      <c r="W55" s="2482"/>
    </row>
    <row r="56" spans="1:23" ht="16.7" customHeight="1" x14ac:dyDescent="0.2">
      <c r="A56" s="4005">
        <v>47</v>
      </c>
      <c r="B56" s="4006" t="s">
        <v>197</v>
      </c>
      <c r="C56" s="4002">
        <f>SUM(C10:C55)</f>
        <v>393065634</v>
      </c>
      <c r="D56" s="2793"/>
      <c r="E56" s="4008">
        <f>SUM(E10:E55)</f>
        <v>189204620</v>
      </c>
      <c r="F56" s="4008">
        <f>SUM(F10:F55)</f>
        <v>200381049</v>
      </c>
      <c r="G56" s="4002">
        <f>SUM(G10:G55)</f>
        <v>404242063</v>
      </c>
      <c r="H56" s="2479"/>
      <c r="J56" s="2579"/>
      <c r="K56" s="2715" t="s">
        <v>6050</v>
      </c>
      <c r="L56" s="2482"/>
      <c r="M56" s="2482"/>
      <c r="N56" s="2482"/>
      <c r="O56" s="2482"/>
      <c r="P56" s="2482"/>
      <c r="Q56" s="2482"/>
      <c r="R56" s="2482"/>
      <c r="S56" s="2482"/>
      <c r="T56" s="2482"/>
      <c r="U56" s="2482"/>
      <c r="V56" s="2482"/>
      <c r="W56" s="2482"/>
    </row>
    <row r="57" spans="1:23" ht="16.7" customHeight="1" x14ac:dyDescent="0.2">
      <c r="A57" s="3923"/>
      <c r="B57" s="4007"/>
      <c r="C57" s="4003"/>
      <c r="D57" s="2794"/>
      <c r="E57" s="4003"/>
      <c r="F57" s="4003"/>
      <c r="G57" s="4003"/>
      <c r="H57" s="2479"/>
      <c r="J57" s="2579"/>
      <c r="K57" s="2482"/>
      <c r="L57" s="2482"/>
      <c r="M57" s="2482"/>
      <c r="N57" s="2482"/>
      <c r="O57" s="2482"/>
      <c r="P57" s="2482"/>
      <c r="Q57" s="2482"/>
      <c r="R57" s="2482"/>
      <c r="S57" s="2482"/>
      <c r="T57" s="2482"/>
      <c r="U57" s="2482"/>
      <c r="V57" s="2482"/>
      <c r="W57" s="2482"/>
    </row>
    <row r="58" spans="1:23" ht="16.7" customHeight="1" x14ac:dyDescent="0.2">
      <c r="A58" s="2516"/>
      <c r="B58" s="2516"/>
      <c r="C58" s="2516"/>
      <c r="D58" s="2516"/>
      <c r="E58" s="2516"/>
      <c r="F58" s="2516"/>
      <c r="G58" s="2516"/>
      <c r="J58" s="2579"/>
      <c r="K58" s="2482"/>
      <c r="L58" s="2482"/>
      <c r="M58" s="2482"/>
      <c r="N58" s="2482"/>
      <c r="O58" s="2482"/>
      <c r="P58" s="2482"/>
      <c r="Q58" s="2482"/>
      <c r="R58" s="2482"/>
      <c r="S58" s="2482"/>
      <c r="T58" s="2482"/>
      <c r="U58" s="2482"/>
      <c r="V58" s="2482"/>
      <c r="W58" s="2482"/>
    </row>
    <row r="59" spans="1:23" ht="16.7" customHeight="1" x14ac:dyDescent="0.2">
      <c r="J59" s="2579"/>
      <c r="K59" s="2482"/>
      <c r="L59" s="2482"/>
      <c r="M59" s="2482"/>
      <c r="N59" s="2482"/>
      <c r="O59" s="2482"/>
      <c r="P59" s="2482"/>
      <c r="Q59" s="2482"/>
      <c r="R59" s="2482"/>
      <c r="S59" s="2482"/>
      <c r="T59" s="2482"/>
      <c r="U59" s="2482"/>
      <c r="V59" s="2482"/>
      <c r="W59" s="2482"/>
    </row>
    <row r="60" spans="1:23" ht="16.7" customHeight="1" x14ac:dyDescent="0.2">
      <c r="J60" s="2579"/>
      <c r="K60" s="2482"/>
      <c r="L60" s="2482"/>
      <c r="M60" s="2482"/>
      <c r="N60" s="2482"/>
      <c r="O60" s="2482"/>
      <c r="P60" s="2482"/>
      <c r="Q60" s="2482"/>
      <c r="R60" s="2482"/>
      <c r="S60" s="2482"/>
      <c r="T60" s="2482"/>
      <c r="U60" s="2482"/>
      <c r="V60" s="2482"/>
      <c r="W60" s="2482"/>
    </row>
    <row r="61" spans="1:23" ht="16.7" customHeight="1" x14ac:dyDescent="0.2">
      <c r="J61" s="2579"/>
      <c r="K61" s="2482"/>
      <c r="L61" s="2482"/>
      <c r="M61" s="2482"/>
      <c r="N61" s="2482"/>
      <c r="O61" s="2482"/>
      <c r="P61" s="2482"/>
      <c r="Q61" s="2482"/>
      <c r="R61" s="2482"/>
      <c r="S61" s="2482"/>
      <c r="T61" s="2482"/>
      <c r="U61" s="2482"/>
      <c r="V61" s="2482"/>
      <c r="W61" s="2482"/>
    </row>
    <row r="62" spans="1:23" ht="16.7" customHeight="1" x14ac:dyDescent="0.2">
      <c r="J62" s="2579"/>
      <c r="K62" s="2482"/>
      <c r="L62" s="2482"/>
      <c r="M62" s="2482"/>
      <c r="N62" s="2482"/>
      <c r="O62" s="2482"/>
      <c r="P62" s="2482"/>
      <c r="Q62" s="2482"/>
      <c r="R62" s="2482"/>
      <c r="S62" s="2482"/>
      <c r="T62" s="2482"/>
      <c r="U62" s="2482"/>
      <c r="V62" s="2482"/>
      <c r="W62" s="2482"/>
    </row>
    <row r="63" spans="1:23" ht="16.7" customHeight="1" x14ac:dyDescent="0.2">
      <c r="J63" s="2579"/>
      <c r="K63" s="2482"/>
      <c r="L63" s="2482"/>
      <c r="M63" s="2482"/>
      <c r="N63" s="2482"/>
      <c r="O63" s="2482"/>
      <c r="P63" s="2482"/>
      <c r="Q63" s="2482"/>
      <c r="R63" s="2482"/>
      <c r="S63" s="2482"/>
      <c r="T63" s="2482"/>
      <c r="U63" s="2482"/>
      <c r="V63" s="2482"/>
      <c r="W63" s="2482"/>
    </row>
    <row r="64" spans="1:23" ht="16.7" customHeight="1" x14ac:dyDescent="0.2">
      <c r="J64" s="2579"/>
      <c r="K64" s="2482"/>
      <c r="L64" s="2482"/>
      <c r="M64" s="2482"/>
      <c r="N64" s="2482"/>
      <c r="O64" s="2482"/>
      <c r="P64" s="2482"/>
      <c r="Q64" s="2482"/>
      <c r="R64" s="2482"/>
      <c r="S64" s="2482"/>
      <c r="T64" s="2482"/>
      <c r="U64" s="2482"/>
      <c r="V64" s="2482"/>
      <c r="W64" s="2482"/>
    </row>
    <row r="65" spans="10:23" ht="16.7" customHeight="1" x14ac:dyDescent="0.2">
      <c r="J65" s="2579"/>
      <c r="K65" s="2482"/>
      <c r="L65" s="2482"/>
      <c r="M65" s="2482"/>
      <c r="N65" s="2482"/>
      <c r="O65" s="2482"/>
      <c r="P65" s="2482"/>
      <c r="Q65" s="2482"/>
      <c r="R65" s="2482"/>
      <c r="S65" s="2482"/>
      <c r="T65" s="2482"/>
      <c r="U65" s="2482"/>
      <c r="V65" s="2482"/>
      <c r="W65" s="2482"/>
    </row>
    <row r="66" spans="10:23" ht="16.7" customHeight="1" x14ac:dyDescent="0.2">
      <c r="J66" s="2579"/>
      <c r="K66" s="2482"/>
      <c r="L66" s="2482"/>
      <c r="M66" s="2482"/>
      <c r="N66" s="2482"/>
      <c r="O66" s="2482"/>
      <c r="P66" s="2482"/>
      <c r="Q66" s="2482"/>
      <c r="R66" s="2482"/>
      <c r="S66" s="2482"/>
      <c r="T66" s="2482"/>
      <c r="U66" s="2482"/>
      <c r="V66" s="2482"/>
      <c r="W66" s="2482"/>
    </row>
    <row r="67" spans="10:23" ht="16.7" customHeight="1" x14ac:dyDescent="0.2">
      <c r="J67" s="2579"/>
      <c r="K67" s="2482"/>
      <c r="L67" s="2482"/>
      <c r="M67" s="2482"/>
      <c r="N67" s="2482"/>
      <c r="O67" s="2482"/>
      <c r="P67" s="2482"/>
      <c r="Q67" s="2482"/>
      <c r="R67" s="2482"/>
      <c r="S67" s="2482"/>
      <c r="T67" s="2482"/>
      <c r="U67" s="2482"/>
      <c r="V67" s="2482"/>
      <c r="W67" s="2482"/>
    </row>
    <row r="68" spans="10:23" ht="16.7" customHeight="1" x14ac:dyDescent="0.2">
      <c r="J68" s="2579"/>
      <c r="K68" s="2482"/>
      <c r="L68" s="2482"/>
      <c r="M68" s="2482"/>
      <c r="N68" s="2482"/>
      <c r="O68" s="2482"/>
      <c r="P68" s="2482"/>
      <c r="Q68" s="2482"/>
      <c r="R68" s="2482"/>
      <c r="S68" s="2482"/>
      <c r="T68" s="2482"/>
      <c r="U68" s="2482"/>
      <c r="V68" s="2482"/>
      <c r="W68" s="2482"/>
    </row>
    <row r="69" spans="10:23" ht="16.7" customHeight="1" x14ac:dyDescent="0.2">
      <c r="J69" s="2579"/>
      <c r="K69" s="2482"/>
      <c r="L69" s="2482"/>
      <c r="M69" s="2482"/>
      <c r="N69" s="2482"/>
      <c r="O69" s="2482"/>
      <c r="P69" s="2482"/>
      <c r="Q69" s="2482"/>
      <c r="R69" s="2482"/>
      <c r="S69" s="2482"/>
      <c r="T69" s="2482"/>
      <c r="U69" s="2482"/>
      <c r="V69" s="2482"/>
      <c r="W69" s="2482"/>
    </row>
    <row r="70" spans="10:23" ht="16.7" customHeight="1" x14ac:dyDescent="0.2">
      <c r="J70" s="2579"/>
      <c r="K70" s="2482"/>
      <c r="L70" s="2482"/>
      <c r="M70" s="2482"/>
      <c r="N70" s="2482"/>
      <c r="O70" s="2482"/>
      <c r="P70" s="2482"/>
      <c r="Q70" s="2482"/>
      <c r="R70" s="2482"/>
      <c r="S70" s="2482"/>
      <c r="T70" s="2482"/>
      <c r="U70" s="2482"/>
      <c r="V70" s="2482"/>
      <c r="W70" s="2482"/>
    </row>
    <row r="71" spans="10:23" ht="16.7" customHeight="1" x14ac:dyDescent="0.2">
      <c r="J71" s="2579"/>
      <c r="K71" s="2482"/>
      <c r="L71" s="2482"/>
      <c r="M71" s="2482"/>
      <c r="N71" s="2482"/>
      <c r="O71" s="2482"/>
      <c r="P71" s="2482"/>
      <c r="Q71" s="2482"/>
      <c r="R71" s="2482"/>
      <c r="S71" s="2482"/>
      <c r="T71" s="2482"/>
      <c r="U71" s="2482"/>
      <c r="V71" s="2482"/>
      <c r="W71" s="2482"/>
    </row>
    <row r="72" spans="10:23" ht="16.7" customHeight="1" x14ac:dyDescent="0.2">
      <c r="J72" s="2579"/>
      <c r="K72" s="2482"/>
      <c r="L72" s="2482"/>
      <c r="M72" s="2482"/>
      <c r="N72" s="2482"/>
      <c r="O72" s="2482"/>
      <c r="P72" s="2482"/>
      <c r="Q72" s="2482"/>
      <c r="R72" s="2482"/>
      <c r="S72" s="2482"/>
      <c r="T72" s="2482"/>
      <c r="U72" s="2482"/>
      <c r="V72" s="2482"/>
      <c r="W72" s="2482"/>
    </row>
    <row r="73" spans="10:23" ht="16.7" customHeight="1" x14ac:dyDescent="0.2">
      <c r="J73" s="2579"/>
      <c r="K73" s="2482"/>
      <c r="L73" s="2482"/>
      <c r="M73" s="2482"/>
      <c r="N73" s="2482"/>
      <c r="O73" s="2482"/>
      <c r="P73" s="2482"/>
      <c r="Q73" s="2482"/>
      <c r="R73" s="2482"/>
      <c r="S73" s="2482"/>
      <c r="T73" s="2482"/>
      <c r="U73" s="2482"/>
      <c r="V73" s="2482"/>
      <c r="W73" s="2482"/>
    </row>
    <row r="74" spans="10:23" ht="16.7" customHeight="1" x14ac:dyDescent="0.2">
      <c r="J74" s="2579"/>
      <c r="K74" s="2482"/>
      <c r="L74" s="2482"/>
      <c r="M74" s="2482"/>
      <c r="N74" s="2482"/>
      <c r="O74" s="2482"/>
      <c r="P74" s="2482"/>
      <c r="Q74" s="2482"/>
      <c r="R74" s="2482"/>
      <c r="S74" s="2482"/>
      <c r="T74" s="2482"/>
      <c r="U74" s="2482"/>
      <c r="V74" s="2482"/>
      <c r="W74" s="2482"/>
    </row>
    <row r="75" spans="10:23" ht="16.7" customHeight="1" x14ac:dyDescent="0.2">
      <c r="J75" s="2579"/>
      <c r="K75" s="2482"/>
      <c r="L75" s="2482"/>
      <c r="M75" s="2482"/>
      <c r="N75" s="2482"/>
      <c r="O75" s="2482"/>
      <c r="P75" s="2482"/>
      <c r="Q75" s="2482"/>
      <c r="R75" s="2482"/>
      <c r="S75" s="2482"/>
      <c r="T75" s="2482"/>
      <c r="U75" s="2482"/>
      <c r="V75" s="2482"/>
      <c r="W75" s="2482"/>
    </row>
    <row r="76" spans="10:23" ht="16.7" customHeight="1" x14ac:dyDescent="0.2">
      <c r="J76" s="2579"/>
      <c r="K76" s="2482"/>
      <c r="L76" s="2482"/>
      <c r="M76" s="2482"/>
      <c r="N76" s="2482"/>
      <c r="O76" s="2482"/>
      <c r="P76" s="2482"/>
      <c r="Q76" s="2482"/>
      <c r="R76" s="2482"/>
      <c r="S76" s="2482"/>
      <c r="T76" s="2482"/>
      <c r="U76" s="2482"/>
      <c r="V76" s="2482"/>
      <c r="W76" s="2482"/>
    </row>
    <row r="77" spans="10:23" ht="16.7" customHeight="1" x14ac:dyDescent="0.2">
      <c r="J77" s="2579"/>
      <c r="K77" s="2482"/>
      <c r="L77" s="2482"/>
      <c r="M77" s="2482"/>
      <c r="N77" s="2482"/>
      <c r="O77" s="2482"/>
      <c r="P77" s="2482"/>
      <c r="Q77" s="2482"/>
      <c r="R77" s="2482"/>
      <c r="S77" s="2482"/>
      <c r="T77" s="2482"/>
      <c r="U77" s="2482"/>
      <c r="V77" s="2482"/>
      <c r="W77" s="2482"/>
    </row>
    <row r="78" spans="10:23" ht="16.7" customHeight="1" x14ac:dyDescent="0.2">
      <c r="J78" s="2579"/>
      <c r="K78" s="2482"/>
      <c r="L78" s="2482"/>
      <c r="M78" s="2482"/>
      <c r="N78" s="2482"/>
      <c r="O78" s="2482"/>
      <c r="P78" s="2482"/>
      <c r="Q78" s="2482"/>
      <c r="R78" s="2482"/>
      <c r="S78" s="2482"/>
      <c r="T78" s="2482"/>
      <c r="U78" s="2482"/>
      <c r="V78" s="2482"/>
      <c r="W78" s="2482"/>
    </row>
    <row r="79" spans="10:23" ht="16.7" customHeight="1" x14ac:dyDescent="0.2">
      <c r="J79" s="2579"/>
      <c r="K79" s="2482"/>
      <c r="L79" s="2482"/>
      <c r="M79" s="2482"/>
      <c r="N79" s="2482"/>
      <c r="O79" s="2482"/>
      <c r="P79" s="2482"/>
      <c r="Q79" s="2482"/>
      <c r="R79" s="2482"/>
      <c r="S79" s="2482"/>
      <c r="T79" s="2482"/>
      <c r="U79" s="2482"/>
      <c r="V79" s="2482"/>
      <c r="W79" s="2482"/>
    </row>
    <row r="80" spans="10:23" ht="16.7" customHeight="1" x14ac:dyDescent="0.2">
      <c r="J80" s="2579"/>
      <c r="K80" s="2482"/>
      <c r="L80" s="2482"/>
      <c r="M80" s="2482"/>
      <c r="N80" s="2482"/>
      <c r="O80" s="2482"/>
      <c r="P80" s="2482"/>
      <c r="Q80" s="2482"/>
      <c r="R80" s="2482"/>
      <c r="S80" s="2482"/>
      <c r="T80" s="2482"/>
      <c r="U80" s="2482"/>
      <c r="V80" s="2482"/>
      <c r="W80" s="2482"/>
    </row>
    <row r="81" spans="10:23" ht="16.7" customHeight="1" x14ac:dyDescent="0.2">
      <c r="J81" s="2579"/>
      <c r="K81" s="2482"/>
      <c r="L81" s="2482"/>
      <c r="M81" s="2482"/>
      <c r="N81" s="2482"/>
      <c r="O81" s="2482"/>
      <c r="P81" s="2482"/>
      <c r="Q81" s="2482"/>
      <c r="R81" s="2482"/>
      <c r="S81" s="2482"/>
      <c r="T81" s="2482"/>
      <c r="U81" s="2482"/>
      <c r="V81" s="2482"/>
      <c r="W81" s="2482"/>
    </row>
    <row r="82" spans="10:23" ht="16.7" customHeight="1" x14ac:dyDescent="0.2">
      <c r="J82" s="2579"/>
      <c r="K82" s="2482"/>
      <c r="L82" s="2482"/>
      <c r="M82" s="2482"/>
      <c r="N82" s="2482"/>
      <c r="O82" s="2482"/>
      <c r="P82" s="2482"/>
      <c r="Q82" s="2482"/>
      <c r="R82" s="2482"/>
      <c r="S82" s="2482"/>
      <c r="T82" s="2482"/>
      <c r="U82" s="2482"/>
      <c r="V82" s="2482"/>
      <c r="W82" s="2482"/>
    </row>
    <row r="83" spans="10:23" ht="16.7" customHeight="1" x14ac:dyDescent="0.2">
      <c r="J83" s="2579"/>
      <c r="K83" s="2482"/>
      <c r="L83" s="2482"/>
      <c r="M83" s="2482"/>
      <c r="N83" s="2482"/>
      <c r="O83" s="2482"/>
      <c r="P83" s="2482"/>
      <c r="Q83" s="2482"/>
      <c r="R83" s="2482"/>
      <c r="S83" s="2482"/>
      <c r="T83" s="2482"/>
      <c r="U83" s="2482"/>
      <c r="V83" s="2482"/>
      <c r="W83" s="2482"/>
    </row>
    <row r="84" spans="10:23" ht="16.7" customHeight="1" x14ac:dyDescent="0.2">
      <c r="J84" s="2579"/>
      <c r="K84" s="2482"/>
      <c r="L84" s="2482"/>
      <c r="M84" s="2482"/>
      <c r="N84" s="2482"/>
      <c r="O84" s="2482"/>
      <c r="P84" s="2482"/>
      <c r="Q84" s="2482"/>
      <c r="R84" s="2482"/>
      <c r="S84" s="2482"/>
      <c r="T84" s="2482"/>
      <c r="U84" s="2482"/>
      <c r="V84" s="2482"/>
      <c r="W84" s="2482"/>
    </row>
    <row r="85" spans="10:23" ht="16.7" customHeight="1" x14ac:dyDescent="0.2">
      <c r="J85" s="2579"/>
      <c r="K85" s="2482"/>
      <c r="L85" s="2482"/>
      <c r="M85" s="2482"/>
      <c r="N85" s="2482"/>
      <c r="O85" s="2482"/>
      <c r="P85" s="2482"/>
      <c r="Q85" s="2482"/>
      <c r="R85" s="2482"/>
      <c r="S85" s="2482"/>
      <c r="T85" s="2482"/>
      <c r="U85" s="2482"/>
      <c r="V85" s="2482"/>
      <c r="W85" s="2482"/>
    </row>
    <row r="86" spans="10:23" ht="16.7" customHeight="1" x14ac:dyDescent="0.2">
      <c r="J86" s="2579"/>
      <c r="K86" s="2482"/>
      <c r="L86" s="2482"/>
      <c r="M86" s="2482"/>
      <c r="N86" s="2482"/>
      <c r="O86" s="2482"/>
      <c r="P86" s="2482"/>
      <c r="Q86" s="2482"/>
      <c r="R86" s="2482"/>
      <c r="S86" s="2482"/>
      <c r="T86" s="2482"/>
      <c r="U86" s="2482"/>
      <c r="V86" s="2482"/>
      <c r="W86" s="2482"/>
    </row>
    <row r="87" spans="10:23" ht="16.7" customHeight="1" x14ac:dyDescent="0.2">
      <c r="J87" s="2579"/>
      <c r="K87" s="2482"/>
      <c r="L87" s="2482"/>
      <c r="M87" s="2482"/>
      <c r="N87" s="2482"/>
      <c r="O87" s="2482"/>
      <c r="P87" s="2482"/>
      <c r="Q87" s="2482"/>
      <c r="R87" s="2482"/>
      <c r="S87" s="2482"/>
      <c r="T87" s="2482"/>
      <c r="U87" s="2482"/>
      <c r="V87" s="2482"/>
      <c r="W87" s="2482"/>
    </row>
    <row r="88" spans="10:23" ht="16.7" customHeight="1" x14ac:dyDescent="0.2">
      <c r="J88" s="2579"/>
      <c r="K88" s="2482"/>
      <c r="L88" s="2482"/>
      <c r="M88" s="2482"/>
      <c r="N88" s="2482"/>
      <c r="O88" s="2482"/>
      <c r="P88" s="2482"/>
      <c r="Q88" s="2482"/>
      <c r="R88" s="2482"/>
      <c r="S88" s="2482"/>
      <c r="T88" s="2482"/>
      <c r="U88" s="2482"/>
      <c r="V88" s="2482"/>
      <c r="W88" s="2482"/>
    </row>
    <row r="89" spans="10:23" ht="16.7" customHeight="1" x14ac:dyDescent="0.2">
      <c r="J89" s="2579"/>
      <c r="K89" s="2482"/>
      <c r="L89" s="2482"/>
      <c r="M89" s="2482"/>
      <c r="N89" s="2482"/>
      <c r="O89" s="2482"/>
      <c r="P89" s="2482"/>
      <c r="Q89" s="2482"/>
      <c r="R89" s="2482"/>
      <c r="S89" s="2482"/>
      <c r="T89" s="2482"/>
      <c r="U89" s="2482"/>
      <c r="V89" s="2482"/>
      <c r="W89" s="2482"/>
    </row>
    <row r="90" spans="10:23" ht="16.7" customHeight="1" x14ac:dyDescent="0.2">
      <c r="J90" s="2579"/>
      <c r="K90" s="2482"/>
      <c r="L90" s="2482"/>
      <c r="M90" s="2482"/>
      <c r="N90" s="2482"/>
      <c r="O90" s="2482"/>
      <c r="P90" s="2482"/>
      <c r="Q90" s="2482"/>
      <c r="R90" s="2482"/>
      <c r="S90" s="2482"/>
      <c r="T90" s="2482"/>
      <c r="U90" s="2482"/>
      <c r="V90" s="2482"/>
      <c r="W90" s="2482"/>
    </row>
    <row r="91" spans="10:23" ht="16.7" customHeight="1" x14ac:dyDescent="0.2">
      <c r="J91" s="2579"/>
      <c r="K91" s="2482"/>
      <c r="L91" s="2482"/>
      <c r="M91" s="2482"/>
      <c r="N91" s="2482"/>
      <c r="O91" s="2482"/>
      <c r="P91" s="2482"/>
      <c r="Q91" s="2482"/>
      <c r="R91" s="2482"/>
      <c r="S91" s="2482"/>
      <c r="T91" s="2482"/>
      <c r="U91" s="2482"/>
      <c r="V91" s="2482"/>
      <c r="W91" s="2482"/>
    </row>
    <row r="92" spans="10:23" ht="16.7" customHeight="1" x14ac:dyDescent="0.2">
      <c r="J92" s="2579"/>
      <c r="K92" s="2482"/>
      <c r="L92" s="2482"/>
      <c r="M92" s="2482"/>
      <c r="N92" s="2482"/>
      <c r="O92" s="2482"/>
      <c r="P92" s="2482"/>
      <c r="Q92" s="2482"/>
      <c r="R92" s="2482"/>
      <c r="S92" s="2482"/>
      <c r="T92" s="2482"/>
      <c r="U92" s="2482"/>
      <c r="V92" s="2482"/>
      <c r="W92" s="2482"/>
    </row>
    <row r="93" spans="10:23" ht="16.7" customHeight="1" x14ac:dyDescent="0.2">
      <c r="J93" s="2579"/>
      <c r="K93" s="2482"/>
      <c r="L93" s="2482"/>
      <c r="M93" s="2482"/>
      <c r="N93" s="2482"/>
      <c r="O93" s="2482"/>
      <c r="P93" s="2482"/>
      <c r="Q93" s="2482"/>
      <c r="R93" s="2482"/>
      <c r="S93" s="2482"/>
      <c r="T93" s="2482"/>
      <c r="U93" s="2482"/>
      <c r="V93" s="2482"/>
      <c r="W93" s="2482"/>
    </row>
    <row r="94" spans="10:23" ht="16.7" customHeight="1" x14ac:dyDescent="0.2">
      <c r="J94" s="2579"/>
      <c r="K94" s="2482"/>
      <c r="L94" s="2482"/>
      <c r="M94" s="2482"/>
      <c r="N94" s="2482"/>
      <c r="O94" s="2482"/>
      <c r="P94" s="2482"/>
      <c r="Q94" s="2482"/>
      <c r="R94" s="2482"/>
      <c r="S94" s="2482"/>
      <c r="T94" s="2482"/>
      <c r="U94" s="2482"/>
      <c r="V94" s="2482"/>
      <c r="W94" s="2482"/>
    </row>
    <row r="95" spans="10:23" ht="16.7" customHeight="1" x14ac:dyDescent="0.2">
      <c r="J95" s="2579"/>
      <c r="K95" s="2482"/>
      <c r="L95" s="2482"/>
      <c r="M95" s="2482"/>
      <c r="N95" s="2482"/>
      <c r="O95" s="2482"/>
      <c r="P95" s="2482"/>
      <c r="Q95" s="2482"/>
      <c r="R95" s="2482"/>
      <c r="S95" s="2482"/>
      <c r="T95" s="2482"/>
      <c r="U95" s="2482"/>
      <c r="V95" s="2482"/>
      <c r="W95" s="2482"/>
    </row>
    <row r="96" spans="10:23" ht="16.7" customHeight="1" x14ac:dyDescent="0.2">
      <c r="J96" s="2579"/>
      <c r="K96" s="2482"/>
      <c r="L96" s="2482"/>
      <c r="M96" s="2482"/>
      <c r="N96" s="2482"/>
      <c r="O96" s="2482"/>
      <c r="P96" s="2482"/>
      <c r="Q96" s="2482"/>
      <c r="R96" s="2482"/>
      <c r="S96" s="2482"/>
      <c r="T96" s="2482"/>
      <c r="U96" s="2482"/>
      <c r="V96" s="2482"/>
      <c r="W96" s="2482"/>
    </row>
    <row r="97" spans="10:23" ht="16.7" customHeight="1" x14ac:dyDescent="0.2">
      <c r="J97" s="2579"/>
      <c r="K97" s="2482"/>
      <c r="L97" s="2482"/>
      <c r="M97" s="2482"/>
      <c r="N97" s="2482"/>
      <c r="O97" s="2482"/>
      <c r="P97" s="2482"/>
      <c r="Q97" s="2482"/>
      <c r="R97" s="2482"/>
      <c r="S97" s="2482"/>
      <c r="T97" s="2482"/>
      <c r="U97" s="2482"/>
      <c r="V97" s="2482"/>
      <c r="W97" s="2482"/>
    </row>
    <row r="98" spans="10:23" ht="16.7" customHeight="1" x14ac:dyDescent="0.2">
      <c r="J98" s="2579"/>
      <c r="K98" s="2482"/>
      <c r="L98" s="2482"/>
      <c r="M98" s="2482"/>
      <c r="N98" s="2482"/>
      <c r="O98" s="2482"/>
      <c r="P98" s="2482"/>
      <c r="Q98" s="2482"/>
      <c r="R98" s="2482"/>
      <c r="S98" s="2482"/>
      <c r="T98" s="2482"/>
      <c r="U98" s="2482"/>
      <c r="V98" s="2482"/>
      <c r="W98" s="2482"/>
    </row>
    <row r="99" spans="10:23" ht="16.7" customHeight="1" x14ac:dyDescent="0.2">
      <c r="J99" s="2579"/>
      <c r="K99" s="2482"/>
      <c r="L99" s="2482"/>
      <c r="M99" s="2482"/>
      <c r="N99" s="2482"/>
      <c r="O99" s="2482"/>
      <c r="P99" s="2482"/>
      <c r="Q99" s="2482"/>
      <c r="R99" s="2482"/>
      <c r="S99" s="2482"/>
      <c r="T99" s="2482"/>
      <c r="U99" s="2482"/>
      <c r="V99" s="2482"/>
      <c r="W99" s="2482"/>
    </row>
    <row r="100" spans="10:23" ht="16.7" customHeight="1" x14ac:dyDescent="0.2">
      <c r="J100" s="2579"/>
      <c r="K100" s="2482"/>
      <c r="L100" s="2482"/>
      <c r="M100" s="2482"/>
      <c r="N100" s="2482"/>
      <c r="O100" s="2482"/>
      <c r="P100" s="2482"/>
      <c r="Q100" s="2482"/>
      <c r="R100" s="2482"/>
      <c r="S100" s="2482"/>
      <c r="T100" s="2482"/>
      <c r="U100" s="2482"/>
      <c r="V100" s="2482"/>
      <c r="W100" s="2482"/>
    </row>
    <row r="101" spans="10:23" ht="16.7" customHeight="1" x14ac:dyDescent="0.2">
      <c r="J101" s="2579"/>
      <c r="K101" s="2482"/>
      <c r="L101" s="2482"/>
      <c r="M101" s="2482"/>
      <c r="N101" s="2482"/>
      <c r="O101" s="2482"/>
      <c r="P101" s="2482"/>
      <c r="Q101" s="2482"/>
      <c r="R101" s="2482"/>
      <c r="S101" s="2482"/>
      <c r="T101" s="2482"/>
      <c r="U101" s="2482"/>
      <c r="V101" s="2482"/>
      <c r="W101" s="2482"/>
    </row>
    <row r="102" spans="10:23" ht="16.7" customHeight="1" x14ac:dyDescent="0.2">
      <c r="J102" s="2579"/>
      <c r="K102" s="2482"/>
      <c r="L102" s="2482"/>
      <c r="M102" s="2482"/>
      <c r="N102" s="2482"/>
      <c r="O102" s="2482"/>
      <c r="P102" s="2482"/>
      <c r="Q102" s="2482"/>
      <c r="R102" s="2482"/>
      <c r="S102" s="2482"/>
      <c r="T102" s="2482"/>
      <c r="U102" s="2482"/>
      <c r="V102" s="2482"/>
      <c r="W102" s="2482"/>
    </row>
    <row r="103" spans="10:23" ht="16.7" customHeight="1" x14ac:dyDescent="0.2">
      <c r="J103" s="2579"/>
      <c r="K103" s="2482"/>
      <c r="L103" s="2482"/>
      <c r="M103" s="2482"/>
      <c r="N103" s="2482"/>
      <c r="O103" s="2482"/>
      <c r="P103" s="2482"/>
      <c r="Q103" s="2482"/>
      <c r="R103" s="2482"/>
      <c r="S103" s="2482"/>
      <c r="T103" s="2482"/>
      <c r="U103" s="2482"/>
      <c r="V103" s="2482"/>
      <c r="W103" s="2482"/>
    </row>
    <row r="104" spans="10:23" ht="16.7" customHeight="1" x14ac:dyDescent="0.2">
      <c r="J104" s="2579"/>
      <c r="K104" s="2482"/>
      <c r="L104" s="2482"/>
      <c r="M104" s="2482"/>
      <c r="N104" s="2482"/>
      <c r="O104" s="2482"/>
      <c r="P104" s="2482"/>
      <c r="Q104" s="2482"/>
      <c r="R104" s="2482"/>
      <c r="S104" s="2482"/>
      <c r="T104" s="2482"/>
      <c r="U104" s="2482"/>
      <c r="V104" s="2482"/>
      <c r="W104" s="2482"/>
    </row>
    <row r="105" spans="10:23" ht="16.7" customHeight="1" x14ac:dyDescent="0.2">
      <c r="J105" s="2579"/>
      <c r="K105" s="2482"/>
      <c r="L105" s="2482"/>
      <c r="M105" s="2482"/>
      <c r="N105" s="2482"/>
      <c r="O105" s="2482"/>
      <c r="P105" s="2482"/>
      <c r="Q105" s="2482"/>
      <c r="R105" s="2482"/>
      <c r="S105" s="2482"/>
      <c r="T105" s="2482"/>
      <c r="U105" s="2482"/>
      <c r="V105" s="2482"/>
      <c r="W105" s="2482"/>
    </row>
    <row r="106" spans="10:23" ht="15" customHeight="1" x14ac:dyDescent="0.2">
      <c r="J106" s="2579"/>
      <c r="K106" s="2482"/>
      <c r="L106" s="2482"/>
      <c r="M106" s="2482"/>
      <c r="N106" s="2482"/>
      <c r="O106" s="2482"/>
      <c r="P106" s="2482"/>
      <c r="Q106" s="2482"/>
      <c r="R106" s="2482"/>
      <c r="S106" s="2482"/>
      <c r="T106" s="2482"/>
      <c r="U106" s="2482"/>
      <c r="V106" s="2482"/>
      <c r="W106" s="2482"/>
    </row>
    <row r="107" spans="10:23" x14ac:dyDescent="0.2">
      <c r="J107" s="2608"/>
    </row>
  </sheetData>
  <mergeCells count="16">
    <mergeCell ref="G56:G57"/>
    <mergeCell ref="J2:J3"/>
    <mergeCell ref="A3:G3"/>
    <mergeCell ref="A4:G4"/>
    <mergeCell ref="A5:G5"/>
    <mergeCell ref="A6:A8"/>
    <mergeCell ref="B6:B7"/>
    <mergeCell ref="C6:C7"/>
    <mergeCell ref="D6:E6"/>
    <mergeCell ref="F6:F7"/>
    <mergeCell ref="G6:G7"/>
    <mergeCell ref="A56:A57"/>
    <mergeCell ref="B56:B57"/>
    <mergeCell ref="C56:C57"/>
    <mergeCell ref="E56:E57"/>
    <mergeCell ref="F56:F57"/>
  </mergeCells>
  <pageMargins left="0.75" right="0.75" top="1" bottom="1" header="0.5" footer="0.5"/>
  <customProperties>
    <customPr name="_pios_id" r:id="rId1"/>
  </customProperties>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7DC37-EC1B-4EDB-87BE-BD2C4608510F}">
  <sheetPr codeName="Sheet67"/>
  <dimension ref="A1:AB105"/>
  <sheetViews>
    <sheetView workbookViewId="0">
      <pane xSplit="2" ySplit="8" topLeftCell="C9" activePane="bottomRight" state="frozen"/>
      <selection pane="topRight"/>
      <selection pane="bottomLeft"/>
      <selection pane="bottomRight"/>
    </sheetView>
  </sheetViews>
  <sheetFormatPr defaultColWidth="11.5" defaultRowHeight="12.75" x14ac:dyDescent="0.2"/>
  <cols>
    <col min="1" max="1" width="3.875" style="1953" customWidth="1"/>
    <col min="2" max="2" width="39.125" style="1953" customWidth="1"/>
    <col min="3" max="12" width="12.375" style="1953" customWidth="1"/>
    <col min="13" max="14" width="17.625" style="1953" customWidth="1"/>
    <col min="15" max="25" width="17.625" style="1953" hidden="1" customWidth="1"/>
    <col min="26" max="28" width="0" style="1953" hidden="1" customWidth="1"/>
    <col min="29" max="16384" width="11.5" style="1953"/>
  </cols>
  <sheetData>
    <row r="1" spans="1:28" ht="16.7" customHeight="1" x14ac:dyDescent="0.2">
      <c r="O1" s="3914" t="s">
        <v>6320</v>
      </c>
      <c r="P1" s="2482" t="s">
        <v>6974</v>
      </c>
      <c r="Q1" s="2482"/>
      <c r="R1" s="2482"/>
      <c r="S1" s="2482"/>
      <c r="T1" s="2482"/>
      <c r="U1" s="2482"/>
      <c r="V1" s="2482"/>
      <c r="W1" s="2482"/>
      <c r="X1" s="2482"/>
      <c r="Y1" s="2482"/>
      <c r="Z1" s="2482"/>
      <c r="AA1" s="2482"/>
      <c r="AB1" s="2482"/>
    </row>
    <row r="2" spans="1:28" ht="16.7" customHeight="1" x14ac:dyDescent="0.2">
      <c r="A2" s="3990" t="s">
        <v>8247</v>
      </c>
      <c r="B2" s="3991"/>
      <c r="C2" s="3991"/>
      <c r="D2" s="3991"/>
      <c r="E2" s="3991"/>
      <c r="F2" s="3991"/>
      <c r="G2" s="3991"/>
      <c r="H2" s="3991"/>
      <c r="I2" s="3991"/>
      <c r="J2" s="3991"/>
      <c r="K2" s="3991"/>
      <c r="L2" s="3992"/>
      <c r="M2" s="2479"/>
      <c r="O2" s="3915"/>
      <c r="P2" s="2482"/>
      <c r="Q2" s="2482"/>
      <c r="R2" s="2482"/>
      <c r="S2" s="2482"/>
      <c r="T2" s="2482"/>
      <c r="U2" s="2482"/>
      <c r="V2" s="2482"/>
      <c r="W2" s="2482"/>
      <c r="X2" s="2482"/>
      <c r="Y2" s="2482"/>
      <c r="Z2" s="2482"/>
      <c r="AA2" s="2482"/>
      <c r="AB2" s="2482"/>
    </row>
    <row r="3" spans="1:28" ht="16.7" customHeight="1" x14ac:dyDescent="0.2">
      <c r="A3" s="3964" t="s">
        <v>8248</v>
      </c>
      <c r="B3" s="3995"/>
      <c r="C3" s="3995"/>
      <c r="D3" s="3995"/>
      <c r="E3" s="3995"/>
      <c r="F3" s="3995"/>
      <c r="G3" s="3995"/>
      <c r="H3" s="3995"/>
      <c r="I3" s="3995"/>
      <c r="J3" s="3995"/>
      <c r="K3" s="3995"/>
      <c r="L3" s="3996"/>
      <c r="M3" s="2479"/>
      <c r="O3" s="2579"/>
      <c r="P3" s="2482"/>
      <c r="Q3" s="2482"/>
      <c r="R3" s="2482"/>
      <c r="S3" s="2482"/>
      <c r="T3" s="2482"/>
      <c r="U3" s="2482"/>
      <c r="V3" s="2482"/>
      <c r="W3" s="2482"/>
      <c r="X3" s="2482"/>
      <c r="Y3" s="2482"/>
      <c r="Z3" s="2482"/>
      <c r="AA3" s="2482"/>
      <c r="AB3" s="2482"/>
    </row>
    <row r="4" spans="1:28" ht="39.200000000000003" customHeight="1" x14ac:dyDescent="0.2">
      <c r="A4" s="3878" t="s">
        <v>8249</v>
      </c>
      <c r="B4" s="3883"/>
      <c r="C4" s="3883"/>
      <c r="D4" s="3883"/>
      <c r="E4" s="3884"/>
      <c r="F4" s="4009" t="s">
        <v>8250</v>
      </c>
      <c r="G4" s="4010"/>
      <c r="H4" s="4010"/>
      <c r="I4" s="4010"/>
      <c r="J4" s="4010"/>
      <c r="K4" s="4010"/>
      <c r="L4" s="4011"/>
      <c r="M4" s="2479"/>
      <c r="O4" s="2579"/>
      <c r="P4" s="2482"/>
      <c r="Q4" s="2482"/>
      <c r="R4" s="2482"/>
      <c r="S4" s="2482"/>
      <c r="T4" s="2482"/>
      <c r="U4" s="2482"/>
      <c r="V4" s="2482"/>
      <c r="W4" s="2482"/>
      <c r="X4" s="2482"/>
      <c r="Y4" s="2482"/>
      <c r="Z4" s="2482"/>
      <c r="AA4" s="2482"/>
      <c r="AB4" s="2482"/>
    </row>
    <row r="5" spans="1:28" ht="16.7" customHeight="1" x14ac:dyDescent="0.2">
      <c r="A5" s="3922" t="s">
        <v>6360</v>
      </c>
      <c r="B5" s="3922" t="s">
        <v>96</v>
      </c>
      <c r="C5" s="3922" t="s">
        <v>8251</v>
      </c>
      <c r="D5" s="3964" t="s">
        <v>8252</v>
      </c>
      <c r="E5" s="3884"/>
      <c r="F5" s="3938" t="s">
        <v>8252</v>
      </c>
      <c r="G5" s="3937"/>
      <c r="H5" s="3938" t="s">
        <v>8253</v>
      </c>
      <c r="I5" s="4015"/>
      <c r="J5" s="4015"/>
      <c r="K5" s="3937"/>
      <c r="L5" s="2856"/>
      <c r="M5" s="2479"/>
      <c r="O5" s="2579"/>
      <c r="P5" s="2482"/>
      <c r="Q5" s="2482"/>
      <c r="R5" s="2482"/>
      <c r="S5" s="2482"/>
      <c r="T5" s="2482"/>
      <c r="U5" s="2482"/>
      <c r="V5" s="2482"/>
      <c r="W5" s="2482"/>
      <c r="X5" s="2482"/>
      <c r="Y5" s="2482"/>
      <c r="Z5" s="2482"/>
      <c r="AA5" s="2482"/>
      <c r="AB5" s="2482"/>
    </row>
    <row r="6" spans="1:28" ht="27.6" customHeight="1" x14ac:dyDescent="0.2">
      <c r="A6" s="3943"/>
      <c r="B6" s="3943"/>
      <c r="C6" s="3943"/>
      <c r="D6" s="2637" t="s">
        <v>8254</v>
      </c>
      <c r="E6" s="2637" t="s">
        <v>8255</v>
      </c>
      <c r="F6" s="2856" t="s">
        <v>8256</v>
      </c>
      <c r="G6" s="2856" t="s">
        <v>8257</v>
      </c>
      <c r="H6" s="2740" t="s">
        <v>8258</v>
      </c>
      <c r="I6" s="2740" t="s">
        <v>441</v>
      </c>
      <c r="J6" s="2740" t="s">
        <v>8259</v>
      </c>
      <c r="K6" s="2740" t="s">
        <v>441</v>
      </c>
      <c r="L6" s="2825" t="s">
        <v>7567</v>
      </c>
      <c r="M6" s="2479"/>
      <c r="O6" s="2579"/>
      <c r="P6" s="2482"/>
      <c r="Q6" s="2482"/>
      <c r="R6" s="2482"/>
      <c r="S6" s="2482"/>
      <c r="T6" s="2482"/>
      <c r="U6" s="2482"/>
      <c r="V6" s="2482"/>
      <c r="W6" s="2482"/>
      <c r="X6" s="2482"/>
      <c r="Y6" s="2482"/>
      <c r="Z6" s="2482"/>
      <c r="AA6" s="2482"/>
      <c r="AB6" s="2482"/>
    </row>
    <row r="7" spans="1:28" ht="16.7" customHeight="1" x14ac:dyDescent="0.2">
      <c r="A7" s="2585"/>
      <c r="B7" s="2739" t="s">
        <v>5949</v>
      </c>
      <c r="C7" s="2739" t="s">
        <v>5950</v>
      </c>
      <c r="D7" s="2739" t="s">
        <v>6226</v>
      </c>
      <c r="E7" s="2739" t="s">
        <v>5952</v>
      </c>
      <c r="F7" s="2846" t="s">
        <v>6227</v>
      </c>
      <c r="G7" s="2846" t="s">
        <v>5804</v>
      </c>
      <c r="H7" s="2857" t="s">
        <v>6228</v>
      </c>
      <c r="I7" s="2857" t="s">
        <v>6229</v>
      </c>
      <c r="J7" s="2857" t="s">
        <v>6230</v>
      </c>
      <c r="K7" s="2857" t="s">
        <v>6231</v>
      </c>
      <c r="L7" s="2846" t="s">
        <v>6232</v>
      </c>
      <c r="M7" s="2479" t="s">
        <v>6324</v>
      </c>
      <c r="O7" s="2579"/>
      <c r="P7" s="2482"/>
      <c r="Q7" s="2482"/>
      <c r="R7" s="2482"/>
      <c r="S7" s="2482"/>
      <c r="T7" s="2482"/>
      <c r="U7" s="2482"/>
      <c r="V7" s="2482"/>
      <c r="W7" s="2482"/>
      <c r="X7" s="2482"/>
      <c r="Y7" s="2482"/>
      <c r="Z7" s="2482"/>
      <c r="AA7" s="2482"/>
      <c r="AB7" s="2482"/>
    </row>
    <row r="8" spans="1:28" ht="23.25" customHeight="1" x14ac:dyDescent="0.2">
      <c r="A8" s="2588"/>
      <c r="B8" s="2705"/>
      <c r="C8" s="2858">
        <v>44926</v>
      </c>
      <c r="D8" s="2705"/>
      <c r="E8" s="2705"/>
      <c r="F8" s="2633"/>
      <c r="G8" s="2633"/>
      <c r="H8" s="2742"/>
      <c r="I8" s="2742"/>
      <c r="J8" s="2742"/>
      <c r="K8" s="2742"/>
      <c r="L8" s="2858">
        <v>45291</v>
      </c>
      <c r="M8" s="2479"/>
      <c r="O8" s="2579"/>
      <c r="P8" s="2482" t="s">
        <v>6985</v>
      </c>
      <c r="Q8" s="2482" t="s">
        <v>6480</v>
      </c>
      <c r="R8" s="2482"/>
      <c r="S8" s="2482"/>
      <c r="T8" s="2482"/>
      <c r="U8" s="2482"/>
      <c r="V8" s="2482"/>
      <c r="W8" s="2482"/>
      <c r="X8" s="2482"/>
      <c r="Y8" s="2482"/>
      <c r="Z8" s="2482"/>
      <c r="AA8" s="2482"/>
      <c r="AB8" s="2482"/>
    </row>
    <row r="9" spans="1:28" ht="16.7" customHeight="1" x14ac:dyDescent="0.2">
      <c r="A9" s="2660">
        <v>1</v>
      </c>
      <c r="B9" s="2859" t="s">
        <v>8260</v>
      </c>
      <c r="C9" s="4012"/>
      <c r="D9" s="4013"/>
      <c r="E9" s="4014"/>
      <c r="F9" s="4016"/>
      <c r="G9" s="4017"/>
      <c r="H9" s="4017"/>
      <c r="I9" s="4017"/>
      <c r="J9" s="4017"/>
      <c r="K9" s="4017"/>
      <c r="L9" s="4018"/>
      <c r="M9" s="2860"/>
      <c r="O9" s="2861"/>
      <c r="P9" s="2862" t="s">
        <v>6139</v>
      </c>
      <c r="Q9" s="2863"/>
      <c r="R9" s="2863"/>
      <c r="S9" s="2863"/>
      <c r="T9" s="2863"/>
      <c r="U9" s="2863"/>
      <c r="V9" s="2863"/>
      <c r="W9" s="2863"/>
      <c r="X9" s="2863"/>
      <c r="Y9" s="2863"/>
      <c r="Z9" s="2863"/>
      <c r="AA9" s="2863"/>
      <c r="AB9" s="2863"/>
    </row>
    <row r="10" spans="1:28" ht="16.7" customHeight="1" x14ac:dyDescent="0.2">
      <c r="A10" s="2660">
        <v>2</v>
      </c>
      <c r="B10" s="2631" t="s">
        <v>511</v>
      </c>
      <c r="C10" s="4012"/>
      <c r="D10" s="4013"/>
      <c r="E10" s="4014"/>
      <c r="F10" s="4016"/>
      <c r="G10" s="4017"/>
      <c r="H10" s="4017"/>
      <c r="I10" s="4017"/>
      <c r="J10" s="4017"/>
      <c r="K10" s="4017"/>
      <c r="L10" s="4018"/>
      <c r="M10" s="2860"/>
      <c r="O10" s="2861"/>
      <c r="P10" s="2862" t="s">
        <v>5957</v>
      </c>
      <c r="Q10" s="2863"/>
      <c r="R10" s="2863"/>
      <c r="S10" s="2863"/>
      <c r="T10" s="2863"/>
      <c r="U10" s="2863"/>
      <c r="V10" s="2863"/>
      <c r="W10" s="2863"/>
      <c r="X10" s="2863"/>
      <c r="Y10" s="2863"/>
      <c r="Z10" s="2863"/>
      <c r="AA10" s="2863"/>
      <c r="AB10" s="2863"/>
    </row>
    <row r="11" spans="1:28" ht="16.7" customHeight="1" x14ac:dyDescent="0.2">
      <c r="A11" s="2660">
        <v>3</v>
      </c>
      <c r="B11" s="2631" t="s">
        <v>8261</v>
      </c>
      <c r="C11" s="2848"/>
      <c r="D11" s="2693"/>
      <c r="E11" s="2693"/>
      <c r="F11" s="2693"/>
      <c r="G11" s="2693"/>
      <c r="H11" s="2693"/>
      <c r="I11" s="2693"/>
      <c r="J11" s="2693"/>
      <c r="K11" s="2693"/>
      <c r="L11" s="2693"/>
      <c r="M11" s="2860"/>
      <c r="O11" s="2861"/>
      <c r="P11" s="2862" t="s">
        <v>5959</v>
      </c>
      <c r="Q11" s="2863"/>
      <c r="R11" s="2863"/>
      <c r="S11" s="2863"/>
      <c r="T11" s="2863"/>
      <c r="U11" s="2863"/>
      <c r="V11" s="2863"/>
      <c r="W11" s="2863"/>
      <c r="X11" s="2863"/>
      <c r="Y11" s="2863"/>
      <c r="Z11" s="2863"/>
      <c r="AA11" s="2863"/>
      <c r="AB11" s="2863"/>
    </row>
    <row r="12" spans="1:28" ht="16.7" customHeight="1" x14ac:dyDescent="0.2">
      <c r="A12" s="2660">
        <v>4</v>
      </c>
      <c r="B12" s="2631" t="s">
        <v>8262</v>
      </c>
      <c r="C12" s="2694">
        <v>134154544</v>
      </c>
      <c r="D12" s="2766">
        <v>2140018</v>
      </c>
      <c r="E12" s="2766">
        <v>13316622</v>
      </c>
      <c r="F12" s="2693"/>
      <c r="G12" s="2693"/>
      <c r="H12" s="2693"/>
      <c r="I12" s="2693"/>
      <c r="J12" s="2693"/>
      <c r="K12" s="2693"/>
      <c r="L12" s="2766">
        <v>122977940</v>
      </c>
      <c r="M12" s="2860"/>
      <c r="O12" s="2861"/>
      <c r="P12" s="2862" t="s">
        <v>5961</v>
      </c>
      <c r="Q12" s="2863" t="s">
        <v>8263</v>
      </c>
      <c r="R12" s="2863"/>
      <c r="S12" s="2863"/>
      <c r="T12" s="2863"/>
      <c r="U12" s="2863"/>
      <c r="V12" s="2863"/>
      <c r="W12" s="2863"/>
      <c r="X12" s="2863"/>
      <c r="Y12" s="2863"/>
      <c r="Z12" s="2863"/>
      <c r="AA12" s="2863"/>
      <c r="AB12" s="2863"/>
    </row>
    <row r="13" spans="1:28" ht="16.7" customHeight="1" x14ac:dyDescent="0.2">
      <c r="A13" s="2660">
        <v>5</v>
      </c>
      <c r="B13" s="2631" t="s">
        <v>7043</v>
      </c>
      <c r="C13" s="2848"/>
      <c r="D13" s="2693"/>
      <c r="E13" s="2693"/>
      <c r="F13" s="2693"/>
      <c r="G13" s="2693"/>
      <c r="H13" s="2693"/>
      <c r="I13" s="2693"/>
      <c r="J13" s="2693"/>
      <c r="K13" s="2693"/>
      <c r="L13" s="2693"/>
      <c r="M13" s="2860" t="str">
        <f>B13</f>
        <v>Other:</v>
      </c>
      <c r="O13" s="2861"/>
      <c r="P13" s="2862" t="s">
        <v>5963</v>
      </c>
      <c r="Q13" s="2863"/>
      <c r="R13" s="2863"/>
      <c r="S13" s="2863"/>
      <c r="T13" s="2863"/>
      <c r="U13" s="2863"/>
      <c r="V13" s="2863"/>
      <c r="W13" s="2863"/>
      <c r="X13" s="2863"/>
      <c r="Y13" s="2863"/>
      <c r="Z13" s="2863"/>
      <c r="AA13" s="2863"/>
      <c r="AB13" s="2863"/>
    </row>
    <row r="14" spans="1:28" ht="16.7" customHeight="1" x14ac:dyDescent="0.2">
      <c r="A14" s="2660">
        <v>6</v>
      </c>
      <c r="B14" s="2693"/>
      <c r="C14" s="2848"/>
      <c r="D14" s="2693"/>
      <c r="E14" s="2693"/>
      <c r="F14" s="2693"/>
      <c r="G14" s="2693"/>
      <c r="H14" s="2693"/>
      <c r="I14" s="2693"/>
      <c r="J14" s="2693"/>
      <c r="K14" s="2693"/>
      <c r="L14" s="2693"/>
      <c r="M14" s="2864">
        <f>B14</f>
        <v>0</v>
      </c>
      <c r="O14" s="2861"/>
      <c r="P14" s="2862" t="s">
        <v>5965</v>
      </c>
      <c r="Q14" s="2863"/>
      <c r="R14" s="2863"/>
      <c r="S14" s="2863"/>
      <c r="T14" s="2863"/>
      <c r="U14" s="2863"/>
      <c r="V14" s="2863"/>
      <c r="W14" s="2863"/>
      <c r="X14" s="2863"/>
      <c r="Y14" s="2863"/>
      <c r="Z14" s="2863"/>
      <c r="AA14" s="2863"/>
      <c r="AB14" s="2863"/>
    </row>
    <row r="15" spans="1:28" ht="16.7" customHeight="1" x14ac:dyDescent="0.2">
      <c r="A15" s="2660">
        <v>7</v>
      </c>
      <c r="B15" s="2693"/>
      <c r="C15" s="2848"/>
      <c r="D15" s="2865"/>
      <c r="E15" s="2865"/>
      <c r="F15" s="2865"/>
      <c r="G15" s="2865"/>
      <c r="H15" s="2693"/>
      <c r="I15" s="2865"/>
      <c r="J15" s="2693"/>
      <c r="K15" s="2865"/>
      <c r="L15" s="2865"/>
      <c r="M15" s="2864">
        <f>B15</f>
        <v>0</v>
      </c>
      <c r="O15" s="2861"/>
      <c r="P15" s="2862" t="s">
        <v>5968</v>
      </c>
      <c r="Q15" s="2863"/>
      <c r="R15" s="2863"/>
      <c r="S15" s="2863"/>
      <c r="T15" s="2863"/>
      <c r="U15" s="2863"/>
      <c r="V15" s="2863"/>
      <c r="W15" s="2863"/>
      <c r="X15" s="2863"/>
      <c r="Y15" s="2863"/>
      <c r="Z15" s="2863"/>
      <c r="AA15" s="2863"/>
      <c r="AB15" s="2863"/>
    </row>
    <row r="16" spans="1:28" ht="16.7" customHeight="1" x14ac:dyDescent="0.2">
      <c r="A16" s="2660">
        <v>8</v>
      </c>
      <c r="B16" s="2859" t="s">
        <v>8264</v>
      </c>
      <c r="C16" s="2694">
        <f>SUM(C11:C15)</f>
        <v>134154544</v>
      </c>
      <c r="D16" s="2866">
        <f>SUM(D11:D15)</f>
        <v>2140018</v>
      </c>
      <c r="E16" s="2866">
        <f>SUM(E11:E15)</f>
        <v>13316622</v>
      </c>
      <c r="F16" s="2866">
        <f>SUM(F11:F15)</f>
        <v>0</v>
      </c>
      <c r="G16" s="2866">
        <f>SUM(G11:G15)</f>
        <v>0</v>
      </c>
      <c r="H16" s="2693"/>
      <c r="I16" s="2866">
        <f>SUM(I11:I15)</f>
        <v>0</v>
      </c>
      <c r="J16" s="2693"/>
      <c r="K16" s="2866">
        <f>SUM(K11:K15)</f>
        <v>0</v>
      </c>
      <c r="L16" s="2866">
        <f>SUM(L11:L15)</f>
        <v>122977940</v>
      </c>
      <c r="M16" s="2860"/>
      <c r="O16" s="2861"/>
      <c r="P16" s="2862" t="s">
        <v>5970</v>
      </c>
      <c r="Q16" s="2863" t="s">
        <v>8263</v>
      </c>
      <c r="R16" s="2863"/>
      <c r="S16" s="2863"/>
      <c r="T16" s="2863"/>
      <c r="U16" s="2863"/>
      <c r="V16" s="2863"/>
      <c r="W16" s="2863"/>
      <c r="X16" s="2863"/>
      <c r="Y16" s="2863"/>
      <c r="Z16" s="2863"/>
      <c r="AA16" s="2863"/>
      <c r="AB16" s="2863"/>
    </row>
    <row r="17" spans="1:28" ht="16.7" customHeight="1" x14ac:dyDescent="0.2">
      <c r="A17" s="2660">
        <v>9</v>
      </c>
      <c r="B17" s="2631" t="s">
        <v>6498</v>
      </c>
      <c r="C17" s="4012"/>
      <c r="D17" s="4013"/>
      <c r="E17" s="4014"/>
      <c r="F17" s="4012"/>
      <c r="G17" s="4013"/>
      <c r="H17" s="4013"/>
      <c r="I17" s="4013"/>
      <c r="J17" s="4013"/>
      <c r="K17" s="4013"/>
      <c r="L17" s="4014"/>
      <c r="M17" s="2860"/>
      <c r="O17" s="2861"/>
      <c r="P17" s="2862" t="s">
        <v>5972</v>
      </c>
      <c r="Q17" s="2863"/>
      <c r="R17" s="2863"/>
      <c r="S17" s="2863"/>
      <c r="T17" s="2863"/>
      <c r="U17" s="2863"/>
      <c r="V17" s="2863"/>
      <c r="W17" s="2863"/>
      <c r="X17" s="2863"/>
      <c r="Y17" s="2863"/>
      <c r="Z17" s="2863"/>
      <c r="AA17" s="2863"/>
      <c r="AB17" s="2863"/>
    </row>
    <row r="18" spans="1:28" ht="16.7" customHeight="1" x14ac:dyDescent="0.2">
      <c r="A18" s="2660">
        <v>10</v>
      </c>
      <c r="B18" s="2631" t="s">
        <v>8261</v>
      </c>
      <c r="C18" s="2848"/>
      <c r="D18" s="2693"/>
      <c r="E18" s="2693"/>
      <c r="F18" s="2693"/>
      <c r="G18" s="2693"/>
      <c r="H18" s="2693"/>
      <c r="I18" s="2693"/>
      <c r="J18" s="2693"/>
      <c r="K18" s="2693"/>
      <c r="L18" s="2693"/>
      <c r="M18" s="2860"/>
      <c r="O18" s="2861"/>
      <c r="P18" s="2862" t="s">
        <v>5974</v>
      </c>
      <c r="Q18" s="2863"/>
      <c r="R18" s="2863"/>
      <c r="S18" s="2863"/>
      <c r="T18" s="2863"/>
      <c r="U18" s="2863"/>
      <c r="V18" s="2863"/>
      <c r="W18" s="2863"/>
      <c r="X18" s="2863"/>
      <c r="Y18" s="2863"/>
      <c r="Z18" s="2863"/>
      <c r="AA18" s="2863"/>
      <c r="AB18" s="2863"/>
    </row>
    <row r="19" spans="1:28" ht="16.7" customHeight="1" x14ac:dyDescent="0.2">
      <c r="A19" s="2660">
        <v>11</v>
      </c>
      <c r="B19" s="2631" t="s">
        <v>8262</v>
      </c>
      <c r="C19" s="2848"/>
      <c r="D19" s="2693"/>
      <c r="E19" s="2693"/>
      <c r="F19" s="2693"/>
      <c r="G19" s="2693"/>
      <c r="H19" s="2693"/>
      <c r="I19" s="2693"/>
      <c r="J19" s="2693"/>
      <c r="K19" s="2693"/>
      <c r="L19" s="2693"/>
      <c r="M19" s="2860"/>
      <c r="O19" s="2861"/>
      <c r="P19" s="2862" t="s">
        <v>5976</v>
      </c>
      <c r="Q19" s="2863"/>
      <c r="R19" s="2863"/>
      <c r="S19" s="2863"/>
      <c r="T19" s="2863"/>
      <c r="U19" s="2863"/>
      <c r="V19" s="2863"/>
      <c r="W19" s="2863"/>
      <c r="X19" s="2863"/>
      <c r="Y19" s="2863"/>
      <c r="Z19" s="2863"/>
      <c r="AA19" s="2863"/>
      <c r="AB19" s="2863"/>
    </row>
    <row r="20" spans="1:28" ht="16.7" customHeight="1" x14ac:dyDescent="0.2">
      <c r="A20" s="2660">
        <v>12</v>
      </c>
      <c r="B20" s="2631" t="s">
        <v>7043</v>
      </c>
      <c r="C20" s="2848"/>
      <c r="D20" s="2693"/>
      <c r="E20" s="2693"/>
      <c r="F20" s="2693"/>
      <c r="G20" s="2693"/>
      <c r="H20" s="2693"/>
      <c r="I20" s="2693"/>
      <c r="J20" s="2693"/>
      <c r="K20" s="2693"/>
      <c r="L20" s="2693"/>
      <c r="M20" s="2860" t="str">
        <f>B20</f>
        <v>Other:</v>
      </c>
      <c r="O20" s="2861"/>
      <c r="P20" s="2862" t="s">
        <v>5978</v>
      </c>
      <c r="Q20" s="2863"/>
      <c r="R20" s="2863"/>
      <c r="S20" s="2863"/>
      <c r="T20" s="2863"/>
      <c r="U20" s="2863"/>
      <c r="V20" s="2863"/>
      <c r="W20" s="2863"/>
      <c r="X20" s="2863"/>
      <c r="Y20" s="2863"/>
      <c r="Z20" s="2863"/>
      <c r="AA20" s="2863"/>
      <c r="AB20" s="2863"/>
    </row>
    <row r="21" spans="1:28" ht="16.7" customHeight="1" x14ac:dyDescent="0.2">
      <c r="A21" s="2660">
        <v>13</v>
      </c>
      <c r="B21" s="2693"/>
      <c r="C21" s="2848"/>
      <c r="D21" s="2693"/>
      <c r="E21" s="2693"/>
      <c r="F21" s="2693"/>
      <c r="G21" s="2693"/>
      <c r="H21" s="2693"/>
      <c r="I21" s="2693"/>
      <c r="J21" s="2693"/>
      <c r="K21" s="2693"/>
      <c r="L21" s="2693"/>
      <c r="M21" s="2864">
        <f>B21</f>
        <v>0</v>
      </c>
      <c r="O21" s="2861"/>
      <c r="P21" s="2862" t="s">
        <v>5980</v>
      </c>
      <c r="Q21" s="2863"/>
      <c r="R21" s="2863"/>
      <c r="S21" s="2863"/>
      <c r="T21" s="2863"/>
      <c r="U21" s="2863"/>
      <c r="V21" s="2863"/>
      <c r="W21" s="2863"/>
      <c r="X21" s="2863"/>
      <c r="Y21" s="2863"/>
      <c r="Z21" s="2863"/>
      <c r="AA21" s="2863"/>
      <c r="AB21" s="2863"/>
    </row>
    <row r="22" spans="1:28" ht="16.7" customHeight="1" x14ac:dyDescent="0.2">
      <c r="A22" s="2660">
        <v>14</v>
      </c>
      <c r="B22" s="2693"/>
      <c r="C22" s="2848"/>
      <c r="D22" s="2865"/>
      <c r="E22" s="2865"/>
      <c r="F22" s="2865"/>
      <c r="G22" s="2865"/>
      <c r="H22" s="2693"/>
      <c r="I22" s="2865"/>
      <c r="J22" s="2693"/>
      <c r="K22" s="2865"/>
      <c r="L22" s="2865"/>
      <c r="M22" s="2864">
        <f>B22</f>
        <v>0</v>
      </c>
      <c r="O22" s="2861"/>
      <c r="P22" s="2862" t="s">
        <v>5982</v>
      </c>
      <c r="Q22" s="2863"/>
      <c r="R22" s="2863"/>
      <c r="S22" s="2863"/>
      <c r="T22" s="2863"/>
      <c r="U22" s="2863"/>
      <c r="V22" s="2863"/>
      <c r="W22" s="2863"/>
      <c r="X22" s="2863"/>
      <c r="Y22" s="2863"/>
      <c r="Z22" s="2863"/>
      <c r="AA22" s="2863"/>
      <c r="AB22" s="2863"/>
    </row>
    <row r="23" spans="1:28" ht="16.7" customHeight="1" x14ac:dyDescent="0.2">
      <c r="A23" s="2660">
        <v>15</v>
      </c>
      <c r="B23" s="2859" t="s">
        <v>8265</v>
      </c>
      <c r="C23" s="2694">
        <f>SUM(C18:C22)</f>
        <v>0</v>
      </c>
      <c r="D23" s="2866">
        <f>SUM(D18:D22)</f>
        <v>0</v>
      </c>
      <c r="E23" s="2866">
        <f>SUM(E18:E22)</f>
        <v>0</v>
      </c>
      <c r="F23" s="2866">
        <f>SUM(F18:F22)</f>
        <v>0</v>
      </c>
      <c r="G23" s="2866">
        <f>SUM(G18:G22)</f>
        <v>0</v>
      </c>
      <c r="H23" s="2693"/>
      <c r="I23" s="2866">
        <f>SUM(I18:I22)</f>
        <v>0</v>
      </c>
      <c r="J23" s="2693"/>
      <c r="K23" s="2866">
        <f>SUM(K18:K22)</f>
        <v>0</v>
      </c>
      <c r="L23" s="2866">
        <f>SUM(L18:L22)</f>
        <v>0</v>
      </c>
      <c r="M23" s="2860"/>
      <c r="O23" s="2861"/>
      <c r="P23" s="2862" t="s">
        <v>5984</v>
      </c>
      <c r="Q23" s="2863"/>
      <c r="R23" s="2863"/>
      <c r="S23" s="2863"/>
      <c r="T23" s="2863"/>
      <c r="U23" s="2863"/>
      <c r="V23" s="2863"/>
      <c r="W23" s="2863"/>
      <c r="X23" s="2863"/>
      <c r="Y23" s="2863"/>
      <c r="Z23" s="2863"/>
      <c r="AA23" s="2863"/>
      <c r="AB23" s="2863"/>
    </row>
    <row r="24" spans="1:28" ht="16.7" customHeight="1" x14ac:dyDescent="0.2">
      <c r="A24" s="2660">
        <v>16</v>
      </c>
      <c r="B24" s="2693"/>
      <c r="C24" s="2694">
        <f>SUMIFS($O24:$XFD24,$O$8:$XFD$8,$C$8)</f>
        <v>0</v>
      </c>
      <c r="D24" s="2693"/>
      <c r="E24" s="2693"/>
      <c r="F24" s="2693"/>
      <c r="G24" s="2693"/>
      <c r="H24" s="2693"/>
      <c r="I24" s="2693"/>
      <c r="J24" s="2693"/>
      <c r="K24" s="2693"/>
      <c r="L24" s="2693"/>
      <c r="M24" s="2864">
        <f>B24</f>
        <v>0</v>
      </c>
      <c r="O24" s="2861"/>
      <c r="P24" s="2862" t="s">
        <v>5986</v>
      </c>
      <c r="Q24" s="2863"/>
      <c r="R24" s="2863"/>
      <c r="S24" s="2863"/>
      <c r="T24" s="2863"/>
      <c r="U24" s="2863"/>
      <c r="V24" s="2863"/>
      <c r="W24" s="2863"/>
      <c r="X24" s="2863"/>
      <c r="Y24" s="2863"/>
      <c r="Z24" s="2863"/>
      <c r="AA24" s="2863"/>
      <c r="AB24" s="2863"/>
    </row>
    <row r="25" spans="1:28" ht="16.7" customHeight="1" x14ac:dyDescent="0.2">
      <c r="A25" s="2660">
        <v>17</v>
      </c>
      <c r="B25" s="2859" t="s">
        <v>8266</v>
      </c>
      <c r="C25" s="2694">
        <f>C16+C23+C24</f>
        <v>134154544</v>
      </c>
      <c r="D25" s="2694">
        <f>D16+D23+D24</f>
        <v>2140018</v>
      </c>
      <c r="E25" s="2694">
        <f>E16+E23+E24</f>
        <v>13316622</v>
      </c>
      <c r="F25" s="2694">
        <f>F16+F23+F24</f>
        <v>0</v>
      </c>
      <c r="G25" s="2694">
        <f>G16+G23+G24</f>
        <v>0</v>
      </c>
      <c r="H25" s="2693"/>
      <c r="I25" s="2694">
        <f>I16+I23+I24</f>
        <v>0</v>
      </c>
      <c r="J25" s="2693"/>
      <c r="K25" s="2694">
        <f>K16+K23+K24</f>
        <v>0</v>
      </c>
      <c r="L25" s="2694">
        <f>L16+L23+L24</f>
        <v>122977940</v>
      </c>
      <c r="M25" s="2860"/>
      <c r="O25" s="2861"/>
      <c r="P25" s="2862" t="s">
        <v>5988</v>
      </c>
      <c r="Q25" s="2863" t="s">
        <v>8263</v>
      </c>
      <c r="R25" s="2863"/>
      <c r="S25" s="2863"/>
      <c r="T25" s="2863"/>
      <c r="U25" s="2863"/>
      <c r="V25" s="2863"/>
      <c r="W25" s="2863"/>
      <c r="X25" s="2863"/>
      <c r="Y25" s="2863"/>
      <c r="Z25" s="2863"/>
      <c r="AA25" s="2863"/>
      <c r="AB25" s="2863"/>
    </row>
    <row r="26" spans="1:28" ht="16.7" customHeight="1" x14ac:dyDescent="0.2">
      <c r="A26" s="2660">
        <v>18</v>
      </c>
      <c r="B26" s="2859" t="s">
        <v>8267</v>
      </c>
      <c r="C26" s="4012"/>
      <c r="D26" s="4013"/>
      <c r="E26" s="4014"/>
      <c r="F26" s="4012"/>
      <c r="G26" s="4013"/>
      <c r="H26" s="4013"/>
      <c r="I26" s="4013"/>
      <c r="J26" s="4013"/>
      <c r="K26" s="4013"/>
      <c r="L26" s="4014"/>
      <c r="M26" s="2860"/>
      <c r="O26" s="2861"/>
      <c r="P26" s="2862" t="s">
        <v>5990</v>
      </c>
      <c r="Q26" s="2863"/>
      <c r="R26" s="2863"/>
      <c r="S26" s="2863"/>
      <c r="T26" s="2863"/>
      <c r="U26" s="2863"/>
      <c r="V26" s="2863"/>
      <c r="W26" s="2863"/>
      <c r="X26" s="2863"/>
      <c r="Y26" s="2863"/>
      <c r="Z26" s="2863"/>
      <c r="AA26" s="2863"/>
      <c r="AB26" s="2863"/>
    </row>
    <row r="27" spans="1:28" ht="16.7" customHeight="1" x14ac:dyDescent="0.2">
      <c r="A27" s="2660">
        <v>19</v>
      </c>
      <c r="B27" s="2631" t="s">
        <v>8113</v>
      </c>
      <c r="C27" s="2694">
        <v>109382448</v>
      </c>
      <c r="D27" s="2766">
        <v>433398</v>
      </c>
      <c r="E27" s="2766">
        <v>9546203</v>
      </c>
      <c r="F27" s="2693"/>
      <c r="G27" s="2693"/>
      <c r="H27" s="2693"/>
      <c r="I27" s="2693"/>
      <c r="J27" s="2693"/>
      <c r="K27" s="2693"/>
      <c r="L27" s="2766">
        <v>100269643</v>
      </c>
      <c r="M27" s="2860"/>
      <c r="O27" s="2861"/>
      <c r="P27" s="2862" t="s">
        <v>5992</v>
      </c>
      <c r="Q27" s="2863" t="s">
        <v>8268</v>
      </c>
      <c r="R27" s="2863"/>
      <c r="S27" s="2863"/>
      <c r="T27" s="2863"/>
      <c r="U27" s="2863"/>
      <c r="V27" s="2863"/>
      <c r="W27" s="2863"/>
      <c r="X27" s="2863"/>
      <c r="Y27" s="2863"/>
      <c r="Z27" s="2863"/>
      <c r="AA27" s="2863"/>
      <c r="AB27" s="2863"/>
    </row>
    <row r="28" spans="1:28" ht="16.7" customHeight="1" x14ac:dyDescent="0.2">
      <c r="A28" s="2660">
        <v>20</v>
      </c>
      <c r="B28" s="2631" t="s">
        <v>8269</v>
      </c>
      <c r="C28" s="2694">
        <v>24772096</v>
      </c>
      <c r="D28" s="2766">
        <v>1706620</v>
      </c>
      <c r="E28" s="2766">
        <v>3770419</v>
      </c>
      <c r="F28" s="2693"/>
      <c r="G28" s="2693"/>
      <c r="H28" s="2693"/>
      <c r="I28" s="2693"/>
      <c r="J28" s="2693"/>
      <c r="K28" s="2693"/>
      <c r="L28" s="2766">
        <v>22708297</v>
      </c>
      <c r="M28" s="2860"/>
      <c r="O28" s="2861"/>
      <c r="P28" s="2862" t="s">
        <v>5994</v>
      </c>
      <c r="Q28" s="2863" t="s">
        <v>8270</v>
      </c>
      <c r="R28" s="2863"/>
      <c r="S28" s="2863"/>
      <c r="T28" s="2863"/>
      <c r="U28" s="2863"/>
      <c r="V28" s="2863"/>
      <c r="W28" s="2863"/>
      <c r="X28" s="2863"/>
      <c r="Y28" s="2863"/>
      <c r="Z28" s="2863"/>
      <c r="AA28" s="2863"/>
      <c r="AB28" s="2863"/>
    </row>
    <row r="29" spans="1:28" ht="16.7" customHeight="1" x14ac:dyDescent="0.2">
      <c r="A29" s="2660">
        <v>21</v>
      </c>
      <c r="B29" s="2631" t="s">
        <v>8271</v>
      </c>
      <c r="C29" s="2848"/>
      <c r="D29" s="2693"/>
      <c r="E29" s="2693"/>
      <c r="F29" s="2693"/>
      <c r="G29" s="2693"/>
      <c r="H29" s="2693"/>
      <c r="I29" s="2693"/>
      <c r="J29" s="2693"/>
      <c r="K29" s="2693"/>
      <c r="L29" s="2693"/>
      <c r="M29" s="2860"/>
      <c r="O29" s="2861"/>
      <c r="P29" s="2862" t="s">
        <v>5997</v>
      </c>
      <c r="Q29" s="2863"/>
      <c r="R29" s="2863"/>
      <c r="S29" s="2863"/>
      <c r="T29" s="2863"/>
      <c r="U29" s="2863"/>
      <c r="V29" s="2863"/>
      <c r="W29" s="2863"/>
      <c r="X29" s="2863"/>
      <c r="Y29" s="2863"/>
      <c r="Z29" s="2863"/>
      <c r="AA29" s="2863"/>
      <c r="AB29" s="2863"/>
    </row>
    <row r="30" spans="1:28" ht="16.7" customHeight="1" x14ac:dyDescent="0.2">
      <c r="A30" s="2867"/>
      <c r="B30" s="2867"/>
      <c r="C30" s="2867"/>
      <c r="D30" s="2867"/>
      <c r="E30" s="2867"/>
      <c r="F30" s="2867"/>
      <c r="G30" s="2867"/>
      <c r="H30" s="2867"/>
      <c r="I30" s="2867"/>
      <c r="J30" s="2867"/>
      <c r="K30" s="2867"/>
      <c r="L30" s="2867"/>
      <c r="O30" s="2861"/>
      <c r="P30" s="2863"/>
      <c r="Q30" s="2863"/>
      <c r="R30" s="2863"/>
      <c r="S30" s="2863"/>
      <c r="T30" s="2863"/>
      <c r="U30" s="2863"/>
      <c r="V30" s="2863"/>
      <c r="W30" s="2863"/>
      <c r="X30" s="2863"/>
      <c r="Y30" s="2863"/>
      <c r="Z30" s="2863"/>
      <c r="AA30" s="2863"/>
      <c r="AB30" s="2863"/>
    </row>
    <row r="31" spans="1:28" ht="16.7" customHeight="1" x14ac:dyDescent="0.2">
      <c r="O31" s="2579"/>
      <c r="P31" s="2482"/>
      <c r="Q31" s="2482"/>
      <c r="R31" s="2482"/>
      <c r="S31" s="2482"/>
      <c r="T31" s="2482"/>
      <c r="U31" s="2482"/>
      <c r="V31" s="2482"/>
      <c r="W31" s="2482"/>
      <c r="X31" s="2482"/>
      <c r="Y31" s="2482"/>
      <c r="Z31" s="2482"/>
      <c r="AA31" s="2482"/>
      <c r="AB31" s="2482"/>
    </row>
    <row r="32" spans="1:28" ht="16.7" customHeight="1" x14ac:dyDescent="0.2">
      <c r="O32" s="2579"/>
      <c r="P32" s="2482"/>
      <c r="Q32" s="2482"/>
      <c r="R32" s="2482"/>
      <c r="S32" s="2482"/>
      <c r="T32" s="2482"/>
      <c r="U32" s="2482"/>
      <c r="V32" s="2482"/>
      <c r="W32" s="2482"/>
      <c r="X32" s="2482"/>
      <c r="Y32" s="2482"/>
      <c r="Z32" s="2482"/>
      <c r="AA32" s="2482"/>
      <c r="AB32" s="2482"/>
    </row>
    <row r="33" spans="15:28" ht="16.7" customHeight="1" x14ac:dyDescent="0.2">
      <c r="O33" s="2579"/>
      <c r="P33" s="2482"/>
      <c r="Q33" s="2482"/>
      <c r="R33" s="2482"/>
      <c r="S33" s="2482"/>
      <c r="T33" s="2482"/>
      <c r="U33" s="2482"/>
      <c r="V33" s="2482"/>
      <c r="W33" s="2482"/>
      <c r="X33" s="2482"/>
      <c r="Y33" s="2482"/>
      <c r="Z33" s="2482"/>
      <c r="AA33" s="2482"/>
      <c r="AB33" s="2482"/>
    </row>
    <row r="34" spans="15:28" ht="16.7" customHeight="1" x14ac:dyDescent="0.2">
      <c r="O34" s="2579"/>
      <c r="P34" s="2482"/>
      <c r="Q34" s="2482"/>
      <c r="R34" s="2482"/>
      <c r="S34" s="2482"/>
      <c r="T34" s="2482"/>
      <c r="U34" s="2482"/>
      <c r="V34" s="2482"/>
      <c r="W34" s="2482"/>
      <c r="X34" s="2482"/>
      <c r="Y34" s="2482"/>
      <c r="Z34" s="2482"/>
      <c r="AA34" s="2482"/>
      <c r="AB34" s="2482"/>
    </row>
    <row r="35" spans="15:28" ht="16.7" customHeight="1" x14ac:dyDescent="0.2">
      <c r="O35" s="2579"/>
      <c r="P35" s="2482"/>
      <c r="Q35" s="2482"/>
      <c r="R35" s="2482"/>
      <c r="S35" s="2482"/>
      <c r="T35" s="2482"/>
      <c r="U35" s="2482"/>
      <c r="V35" s="2482"/>
      <c r="W35" s="2482"/>
      <c r="X35" s="2482"/>
      <c r="Y35" s="2482"/>
      <c r="Z35" s="2482"/>
      <c r="AA35" s="2482"/>
      <c r="AB35" s="2482"/>
    </row>
    <row r="36" spans="15:28" ht="16.7" customHeight="1" x14ac:dyDescent="0.2">
      <c r="O36" s="2579"/>
      <c r="P36" s="2482"/>
      <c r="Q36" s="2482"/>
      <c r="R36" s="2482"/>
      <c r="S36" s="2482"/>
      <c r="T36" s="2482"/>
      <c r="U36" s="2482"/>
      <c r="V36" s="2482"/>
      <c r="W36" s="2482"/>
      <c r="X36" s="2482"/>
      <c r="Y36" s="2482"/>
      <c r="Z36" s="2482"/>
      <c r="AA36" s="2482"/>
      <c r="AB36" s="2482"/>
    </row>
    <row r="37" spans="15:28" ht="16.7" customHeight="1" x14ac:dyDescent="0.2">
      <c r="O37" s="2579"/>
      <c r="P37" s="2482"/>
      <c r="Q37" s="2482"/>
      <c r="R37" s="2482"/>
      <c r="S37" s="2482"/>
      <c r="T37" s="2482"/>
      <c r="U37" s="2482"/>
      <c r="V37" s="2482"/>
      <c r="W37" s="2482"/>
      <c r="X37" s="2482"/>
      <c r="Y37" s="2482"/>
      <c r="Z37" s="2482"/>
      <c r="AA37" s="2482"/>
      <c r="AB37" s="2482"/>
    </row>
    <row r="38" spans="15:28" ht="16.7" customHeight="1" x14ac:dyDescent="0.2">
      <c r="O38" s="2579"/>
      <c r="P38" s="2482"/>
      <c r="Q38" s="2482"/>
      <c r="R38" s="2482"/>
      <c r="S38" s="2482"/>
      <c r="T38" s="2482"/>
      <c r="U38" s="2482"/>
      <c r="V38" s="2482"/>
      <c r="W38" s="2482"/>
      <c r="X38" s="2482"/>
      <c r="Y38" s="2482"/>
      <c r="Z38" s="2482"/>
      <c r="AA38" s="2482"/>
      <c r="AB38" s="2482"/>
    </row>
    <row r="39" spans="15:28" ht="16.7" customHeight="1" x14ac:dyDescent="0.2">
      <c r="O39" s="2579"/>
      <c r="P39" s="2482"/>
      <c r="Q39" s="2482"/>
      <c r="R39" s="2482"/>
      <c r="S39" s="2482"/>
      <c r="T39" s="2482"/>
      <c r="U39" s="2482"/>
      <c r="V39" s="2482"/>
      <c r="W39" s="2482"/>
      <c r="X39" s="2482"/>
      <c r="Y39" s="2482"/>
      <c r="Z39" s="2482"/>
      <c r="AA39" s="2482"/>
      <c r="AB39" s="2482"/>
    </row>
    <row r="40" spans="15:28" ht="16.7" customHeight="1" x14ac:dyDescent="0.2">
      <c r="O40" s="2579"/>
      <c r="P40" s="2482"/>
      <c r="Q40" s="2482"/>
      <c r="R40" s="2482"/>
      <c r="S40" s="2482"/>
      <c r="T40" s="2482"/>
      <c r="U40" s="2482"/>
      <c r="V40" s="2482"/>
      <c r="W40" s="2482"/>
      <c r="X40" s="2482"/>
      <c r="Y40" s="2482"/>
      <c r="Z40" s="2482"/>
      <c r="AA40" s="2482"/>
      <c r="AB40" s="2482"/>
    </row>
    <row r="41" spans="15:28" ht="16.7" customHeight="1" x14ac:dyDescent="0.2">
      <c r="O41" s="2579"/>
      <c r="P41" s="2482"/>
      <c r="Q41" s="2482"/>
      <c r="R41" s="2482"/>
      <c r="S41" s="2482"/>
      <c r="T41" s="2482"/>
      <c r="U41" s="2482"/>
      <c r="V41" s="2482"/>
      <c r="W41" s="2482"/>
      <c r="X41" s="2482"/>
      <c r="Y41" s="2482"/>
      <c r="Z41" s="2482"/>
      <c r="AA41" s="2482"/>
      <c r="AB41" s="2482"/>
    </row>
    <row r="42" spans="15:28" ht="16.7" customHeight="1" x14ac:dyDescent="0.2">
      <c r="O42" s="2579"/>
      <c r="P42" s="2482"/>
      <c r="Q42" s="2482"/>
      <c r="R42" s="2482"/>
      <c r="S42" s="2482"/>
      <c r="T42" s="2482"/>
      <c r="U42" s="2482"/>
      <c r="V42" s="2482"/>
      <c r="W42" s="2482"/>
      <c r="X42" s="2482"/>
      <c r="Y42" s="2482"/>
      <c r="Z42" s="2482"/>
      <c r="AA42" s="2482"/>
      <c r="AB42" s="2482"/>
    </row>
    <row r="43" spans="15:28" ht="16.7" customHeight="1" x14ac:dyDescent="0.2">
      <c r="O43" s="2579"/>
      <c r="P43" s="2482"/>
      <c r="Q43" s="2482"/>
      <c r="R43" s="2482"/>
      <c r="S43" s="2482"/>
      <c r="T43" s="2482"/>
      <c r="U43" s="2482"/>
      <c r="V43" s="2482"/>
      <c r="W43" s="2482"/>
      <c r="X43" s="2482"/>
      <c r="Y43" s="2482"/>
      <c r="Z43" s="2482"/>
      <c r="AA43" s="2482"/>
      <c r="AB43" s="2482"/>
    </row>
    <row r="44" spans="15:28" ht="16.7" customHeight="1" x14ac:dyDescent="0.2">
      <c r="O44" s="2579"/>
      <c r="P44" s="2482"/>
      <c r="Q44" s="2482"/>
      <c r="R44" s="2482"/>
      <c r="S44" s="2482"/>
      <c r="T44" s="2482"/>
      <c r="U44" s="2482"/>
      <c r="V44" s="2482"/>
      <c r="W44" s="2482"/>
      <c r="X44" s="2482"/>
      <c r="Y44" s="2482"/>
      <c r="Z44" s="2482"/>
      <c r="AA44" s="2482"/>
      <c r="AB44" s="2482"/>
    </row>
    <row r="45" spans="15:28" ht="16.7" customHeight="1" x14ac:dyDescent="0.2">
      <c r="O45" s="2579"/>
      <c r="P45" s="2482"/>
      <c r="Q45" s="2482"/>
      <c r="R45" s="2482"/>
      <c r="S45" s="2482"/>
      <c r="T45" s="2482"/>
      <c r="U45" s="2482"/>
      <c r="V45" s="2482"/>
      <c r="W45" s="2482"/>
      <c r="X45" s="2482"/>
      <c r="Y45" s="2482"/>
      <c r="Z45" s="2482"/>
      <c r="AA45" s="2482"/>
      <c r="AB45" s="2482"/>
    </row>
    <row r="46" spans="15:28" ht="16.7" customHeight="1" x14ac:dyDescent="0.2">
      <c r="O46" s="2579"/>
      <c r="P46" s="2482"/>
      <c r="Q46" s="2482"/>
      <c r="R46" s="2482"/>
      <c r="S46" s="2482"/>
      <c r="T46" s="2482"/>
      <c r="U46" s="2482"/>
      <c r="V46" s="2482"/>
      <c r="W46" s="2482"/>
      <c r="X46" s="2482"/>
      <c r="Y46" s="2482"/>
      <c r="Z46" s="2482"/>
      <c r="AA46" s="2482"/>
      <c r="AB46" s="2482"/>
    </row>
    <row r="47" spans="15:28" ht="16.7" customHeight="1" x14ac:dyDescent="0.2">
      <c r="O47" s="2579"/>
      <c r="P47" s="2482"/>
      <c r="Q47" s="2482"/>
      <c r="R47" s="2482"/>
      <c r="S47" s="2482"/>
      <c r="T47" s="2482"/>
      <c r="U47" s="2482"/>
      <c r="V47" s="2482"/>
      <c r="W47" s="2482"/>
      <c r="X47" s="2482"/>
      <c r="Y47" s="2482"/>
      <c r="Z47" s="2482"/>
      <c r="AA47" s="2482"/>
      <c r="AB47" s="2482"/>
    </row>
    <row r="48" spans="15:28" ht="16.7" customHeight="1" x14ac:dyDescent="0.2">
      <c r="O48" s="2579"/>
      <c r="P48" s="2482"/>
      <c r="Q48" s="2482"/>
      <c r="R48" s="2482"/>
      <c r="S48" s="2482"/>
      <c r="T48" s="2482"/>
      <c r="U48" s="2482"/>
      <c r="V48" s="2482"/>
      <c r="W48" s="2482"/>
      <c r="X48" s="2482"/>
      <c r="Y48" s="2482"/>
      <c r="Z48" s="2482"/>
      <c r="AA48" s="2482"/>
      <c r="AB48" s="2482"/>
    </row>
    <row r="49" spans="15:28" ht="16.7" customHeight="1" x14ac:dyDescent="0.2">
      <c r="O49" s="2579"/>
      <c r="P49" s="2482"/>
      <c r="Q49" s="2482"/>
      <c r="R49" s="2482"/>
      <c r="S49" s="2482"/>
      <c r="T49" s="2482"/>
      <c r="U49" s="2482"/>
      <c r="V49" s="2482"/>
      <c r="W49" s="2482"/>
      <c r="X49" s="2482"/>
      <c r="Y49" s="2482"/>
      <c r="Z49" s="2482"/>
      <c r="AA49" s="2482"/>
      <c r="AB49" s="2482"/>
    </row>
    <row r="50" spans="15:28" ht="16.7" customHeight="1" x14ac:dyDescent="0.2">
      <c r="O50" s="2579"/>
      <c r="P50" s="2482"/>
      <c r="Q50" s="2482"/>
      <c r="R50" s="2482"/>
      <c r="S50" s="2482"/>
      <c r="T50" s="2482"/>
      <c r="U50" s="2482"/>
      <c r="V50" s="2482"/>
      <c r="W50" s="2482"/>
      <c r="X50" s="2482"/>
      <c r="Y50" s="2482"/>
      <c r="Z50" s="2482"/>
      <c r="AA50" s="2482"/>
      <c r="AB50" s="2482"/>
    </row>
    <row r="51" spans="15:28" ht="16.7" customHeight="1" x14ac:dyDescent="0.2">
      <c r="O51" s="2579"/>
      <c r="P51" s="2482"/>
      <c r="Q51" s="2482"/>
      <c r="R51" s="2482"/>
      <c r="S51" s="2482"/>
      <c r="T51" s="2482"/>
      <c r="U51" s="2482"/>
      <c r="V51" s="2482"/>
      <c r="W51" s="2482"/>
      <c r="X51" s="2482"/>
      <c r="Y51" s="2482"/>
      <c r="Z51" s="2482"/>
      <c r="AA51" s="2482"/>
      <c r="AB51" s="2482"/>
    </row>
    <row r="52" spans="15:28" ht="16.7" customHeight="1" x14ac:dyDescent="0.2">
      <c r="O52" s="2579"/>
      <c r="P52" s="2482"/>
      <c r="Q52" s="2482"/>
      <c r="R52" s="2482"/>
      <c r="S52" s="2482"/>
      <c r="T52" s="2482"/>
      <c r="U52" s="2482"/>
      <c r="V52" s="2482"/>
      <c r="W52" s="2482"/>
      <c r="X52" s="2482"/>
      <c r="Y52" s="2482"/>
      <c r="Z52" s="2482"/>
      <c r="AA52" s="2482"/>
      <c r="AB52" s="2482"/>
    </row>
    <row r="53" spans="15:28" ht="16.7" customHeight="1" x14ac:dyDescent="0.2">
      <c r="O53" s="2579"/>
      <c r="P53" s="2482"/>
      <c r="Q53" s="2482"/>
      <c r="R53" s="2482"/>
      <c r="S53" s="2482"/>
      <c r="T53" s="2482"/>
      <c r="U53" s="2482"/>
      <c r="V53" s="2482"/>
      <c r="W53" s="2482"/>
      <c r="X53" s="2482"/>
      <c r="Y53" s="2482"/>
      <c r="Z53" s="2482"/>
      <c r="AA53" s="2482"/>
      <c r="AB53" s="2482"/>
    </row>
    <row r="54" spans="15:28" ht="16.7" customHeight="1" x14ac:dyDescent="0.2">
      <c r="O54" s="2579"/>
      <c r="P54" s="2482"/>
      <c r="Q54" s="2482"/>
      <c r="R54" s="2482"/>
      <c r="S54" s="2482"/>
      <c r="T54" s="2482"/>
      <c r="U54" s="2482"/>
      <c r="V54" s="2482"/>
      <c r="W54" s="2482"/>
      <c r="X54" s="2482"/>
      <c r="Y54" s="2482"/>
      <c r="Z54" s="2482"/>
      <c r="AA54" s="2482"/>
      <c r="AB54" s="2482"/>
    </row>
    <row r="55" spans="15:28" ht="16.7" customHeight="1" x14ac:dyDescent="0.2">
      <c r="O55" s="2579"/>
      <c r="P55" s="2482"/>
      <c r="Q55" s="2482"/>
      <c r="R55" s="2482"/>
      <c r="S55" s="2482"/>
      <c r="T55" s="2482"/>
      <c r="U55" s="2482"/>
      <c r="V55" s="2482"/>
      <c r="W55" s="2482"/>
      <c r="X55" s="2482"/>
      <c r="Y55" s="2482"/>
      <c r="Z55" s="2482"/>
      <c r="AA55" s="2482"/>
      <c r="AB55" s="2482"/>
    </row>
    <row r="56" spans="15:28" ht="16.7" customHeight="1" x14ac:dyDescent="0.2">
      <c r="O56" s="2579"/>
      <c r="P56" s="2482"/>
      <c r="Q56" s="2482"/>
      <c r="R56" s="2482"/>
      <c r="S56" s="2482"/>
      <c r="T56" s="2482"/>
      <c r="U56" s="2482"/>
      <c r="V56" s="2482"/>
      <c r="W56" s="2482"/>
      <c r="X56" s="2482"/>
      <c r="Y56" s="2482"/>
      <c r="Z56" s="2482"/>
      <c r="AA56" s="2482"/>
      <c r="AB56" s="2482"/>
    </row>
    <row r="57" spans="15:28" ht="16.7" customHeight="1" x14ac:dyDescent="0.2">
      <c r="O57" s="2579"/>
      <c r="P57" s="2482"/>
      <c r="Q57" s="2482"/>
      <c r="R57" s="2482"/>
      <c r="S57" s="2482"/>
      <c r="T57" s="2482"/>
      <c r="U57" s="2482"/>
      <c r="V57" s="2482"/>
      <c r="W57" s="2482"/>
      <c r="X57" s="2482"/>
      <c r="Y57" s="2482"/>
      <c r="Z57" s="2482"/>
      <c r="AA57" s="2482"/>
      <c r="AB57" s="2482"/>
    </row>
    <row r="58" spans="15:28" ht="16.7" customHeight="1" x14ac:dyDescent="0.2">
      <c r="O58" s="2579"/>
      <c r="P58" s="2482"/>
      <c r="Q58" s="2482"/>
      <c r="R58" s="2482"/>
      <c r="S58" s="2482"/>
      <c r="T58" s="2482"/>
      <c r="U58" s="2482"/>
      <c r="V58" s="2482"/>
      <c r="W58" s="2482"/>
      <c r="X58" s="2482"/>
      <c r="Y58" s="2482"/>
      <c r="Z58" s="2482"/>
      <c r="AA58" s="2482"/>
      <c r="AB58" s="2482"/>
    </row>
    <row r="59" spans="15:28" ht="16.7" customHeight="1" x14ac:dyDescent="0.2">
      <c r="O59" s="2579"/>
      <c r="P59" s="2482"/>
      <c r="Q59" s="2482"/>
      <c r="R59" s="2482"/>
      <c r="S59" s="2482"/>
      <c r="T59" s="2482"/>
      <c r="U59" s="2482"/>
      <c r="V59" s="2482"/>
      <c r="W59" s="2482"/>
      <c r="X59" s="2482"/>
      <c r="Y59" s="2482"/>
      <c r="Z59" s="2482"/>
      <c r="AA59" s="2482"/>
      <c r="AB59" s="2482"/>
    </row>
    <row r="60" spans="15:28" ht="16.7" customHeight="1" x14ac:dyDescent="0.2">
      <c r="O60" s="2579"/>
      <c r="P60" s="2482"/>
      <c r="Q60" s="2482"/>
      <c r="R60" s="2482"/>
      <c r="S60" s="2482"/>
      <c r="T60" s="2482"/>
      <c r="U60" s="2482"/>
      <c r="V60" s="2482"/>
      <c r="W60" s="2482"/>
      <c r="X60" s="2482"/>
      <c r="Y60" s="2482"/>
      <c r="Z60" s="2482"/>
      <c r="AA60" s="2482"/>
      <c r="AB60" s="2482"/>
    </row>
    <row r="61" spans="15:28" ht="16.7" customHeight="1" x14ac:dyDescent="0.2">
      <c r="O61" s="2579"/>
      <c r="P61" s="2482"/>
      <c r="Q61" s="2482"/>
      <c r="R61" s="2482"/>
      <c r="S61" s="2482"/>
      <c r="T61" s="2482"/>
      <c r="U61" s="2482"/>
      <c r="V61" s="2482"/>
      <c r="W61" s="2482"/>
      <c r="X61" s="2482"/>
      <c r="Y61" s="2482"/>
      <c r="Z61" s="2482"/>
      <c r="AA61" s="2482"/>
      <c r="AB61" s="2482"/>
    </row>
    <row r="62" spans="15:28" ht="16.7" customHeight="1" x14ac:dyDescent="0.2">
      <c r="O62" s="2579"/>
      <c r="P62" s="2482"/>
      <c r="Q62" s="2482"/>
      <c r="R62" s="2482"/>
      <c r="S62" s="2482"/>
      <c r="T62" s="2482"/>
      <c r="U62" s="2482"/>
      <c r="V62" s="2482"/>
      <c r="W62" s="2482"/>
      <c r="X62" s="2482"/>
      <c r="Y62" s="2482"/>
      <c r="Z62" s="2482"/>
      <c r="AA62" s="2482"/>
      <c r="AB62" s="2482"/>
    </row>
    <row r="63" spans="15:28" ht="16.7" customHeight="1" x14ac:dyDescent="0.2">
      <c r="O63" s="2579"/>
      <c r="P63" s="2482"/>
      <c r="Q63" s="2482"/>
      <c r="R63" s="2482"/>
      <c r="S63" s="2482"/>
      <c r="T63" s="2482"/>
      <c r="U63" s="2482"/>
      <c r="V63" s="2482"/>
      <c r="W63" s="2482"/>
      <c r="X63" s="2482"/>
      <c r="Y63" s="2482"/>
      <c r="Z63" s="2482"/>
      <c r="AA63" s="2482"/>
      <c r="AB63" s="2482"/>
    </row>
    <row r="64" spans="15:28" ht="16.7" customHeight="1" x14ac:dyDescent="0.2">
      <c r="O64" s="2579"/>
      <c r="P64" s="2482"/>
      <c r="Q64" s="2482"/>
      <c r="R64" s="2482"/>
      <c r="S64" s="2482"/>
      <c r="T64" s="2482"/>
      <c r="U64" s="2482"/>
      <c r="V64" s="2482"/>
      <c r="W64" s="2482"/>
      <c r="X64" s="2482"/>
      <c r="Y64" s="2482"/>
      <c r="Z64" s="2482"/>
      <c r="AA64" s="2482"/>
      <c r="AB64" s="2482"/>
    </row>
    <row r="65" spans="15:28" ht="16.7" customHeight="1" x14ac:dyDescent="0.2">
      <c r="O65" s="2579"/>
      <c r="P65" s="2482"/>
      <c r="Q65" s="2482"/>
      <c r="R65" s="2482"/>
      <c r="S65" s="2482"/>
      <c r="T65" s="2482"/>
      <c r="U65" s="2482"/>
      <c r="V65" s="2482"/>
      <c r="W65" s="2482"/>
      <c r="X65" s="2482"/>
      <c r="Y65" s="2482"/>
      <c r="Z65" s="2482"/>
      <c r="AA65" s="2482"/>
      <c r="AB65" s="2482"/>
    </row>
    <row r="66" spans="15:28" ht="16.7" customHeight="1" x14ac:dyDescent="0.2">
      <c r="O66" s="2579"/>
      <c r="P66" s="2482"/>
      <c r="Q66" s="2482"/>
      <c r="R66" s="2482"/>
      <c r="S66" s="2482"/>
      <c r="T66" s="2482"/>
      <c r="U66" s="2482"/>
      <c r="V66" s="2482"/>
      <c r="W66" s="2482"/>
      <c r="X66" s="2482"/>
      <c r="Y66" s="2482"/>
      <c r="Z66" s="2482"/>
      <c r="AA66" s="2482"/>
      <c r="AB66" s="2482"/>
    </row>
    <row r="67" spans="15:28" ht="16.7" customHeight="1" x14ac:dyDescent="0.2">
      <c r="O67" s="2579"/>
      <c r="P67" s="2482"/>
      <c r="Q67" s="2482"/>
      <c r="R67" s="2482"/>
      <c r="S67" s="2482"/>
      <c r="T67" s="2482"/>
      <c r="U67" s="2482"/>
      <c r="V67" s="2482"/>
      <c r="W67" s="2482"/>
      <c r="X67" s="2482"/>
      <c r="Y67" s="2482"/>
      <c r="Z67" s="2482"/>
      <c r="AA67" s="2482"/>
      <c r="AB67" s="2482"/>
    </row>
    <row r="68" spans="15:28" ht="16.7" customHeight="1" x14ac:dyDescent="0.2">
      <c r="O68" s="2579"/>
      <c r="P68" s="2482"/>
      <c r="Q68" s="2482"/>
      <c r="R68" s="2482"/>
      <c r="S68" s="2482"/>
      <c r="T68" s="2482"/>
      <c r="U68" s="2482"/>
      <c r="V68" s="2482"/>
      <c r="W68" s="2482"/>
      <c r="X68" s="2482"/>
      <c r="Y68" s="2482"/>
      <c r="Z68" s="2482"/>
      <c r="AA68" s="2482"/>
      <c r="AB68" s="2482"/>
    </row>
    <row r="69" spans="15:28" ht="16.7" customHeight="1" x14ac:dyDescent="0.2">
      <c r="O69" s="2579"/>
      <c r="P69" s="2482"/>
      <c r="Q69" s="2482"/>
      <c r="R69" s="2482"/>
      <c r="S69" s="2482"/>
      <c r="T69" s="2482"/>
      <c r="U69" s="2482"/>
      <c r="V69" s="2482"/>
      <c r="W69" s="2482"/>
      <c r="X69" s="2482"/>
      <c r="Y69" s="2482"/>
      <c r="Z69" s="2482"/>
      <c r="AA69" s="2482"/>
      <c r="AB69" s="2482"/>
    </row>
    <row r="70" spans="15:28" ht="16.7" customHeight="1" x14ac:dyDescent="0.2">
      <c r="O70" s="2579"/>
      <c r="P70" s="2482"/>
      <c r="Q70" s="2482"/>
      <c r="R70" s="2482"/>
      <c r="S70" s="2482"/>
      <c r="T70" s="2482"/>
      <c r="U70" s="2482"/>
      <c r="V70" s="2482"/>
      <c r="W70" s="2482"/>
      <c r="X70" s="2482"/>
      <c r="Y70" s="2482"/>
      <c r="Z70" s="2482"/>
      <c r="AA70" s="2482"/>
      <c r="AB70" s="2482"/>
    </row>
    <row r="71" spans="15:28" ht="16.7" customHeight="1" x14ac:dyDescent="0.2">
      <c r="O71" s="2579"/>
      <c r="P71" s="2482"/>
      <c r="Q71" s="2482"/>
      <c r="R71" s="2482"/>
      <c r="S71" s="2482"/>
      <c r="T71" s="2482"/>
      <c r="U71" s="2482"/>
      <c r="V71" s="2482"/>
      <c r="W71" s="2482"/>
      <c r="X71" s="2482"/>
      <c r="Y71" s="2482"/>
      <c r="Z71" s="2482"/>
      <c r="AA71" s="2482"/>
      <c r="AB71" s="2482"/>
    </row>
    <row r="72" spans="15:28" ht="16.7" customHeight="1" x14ac:dyDescent="0.2">
      <c r="O72" s="2579"/>
      <c r="P72" s="2482"/>
      <c r="Q72" s="2482"/>
      <c r="R72" s="2482"/>
      <c r="S72" s="2482"/>
      <c r="T72" s="2482"/>
      <c r="U72" s="2482"/>
      <c r="V72" s="2482"/>
      <c r="W72" s="2482"/>
      <c r="X72" s="2482"/>
      <c r="Y72" s="2482"/>
      <c r="Z72" s="2482"/>
      <c r="AA72" s="2482"/>
      <c r="AB72" s="2482"/>
    </row>
    <row r="73" spans="15:28" ht="16.7" customHeight="1" x14ac:dyDescent="0.2">
      <c r="O73" s="2579"/>
      <c r="P73" s="2482"/>
      <c r="Q73" s="2482"/>
      <c r="R73" s="2482"/>
      <c r="S73" s="2482"/>
      <c r="T73" s="2482"/>
      <c r="U73" s="2482"/>
      <c r="V73" s="2482"/>
      <c r="W73" s="2482"/>
      <c r="X73" s="2482"/>
      <c r="Y73" s="2482"/>
      <c r="Z73" s="2482"/>
      <c r="AA73" s="2482"/>
      <c r="AB73" s="2482"/>
    </row>
    <row r="74" spans="15:28" ht="16.7" customHeight="1" x14ac:dyDescent="0.2">
      <c r="O74" s="2579"/>
      <c r="P74" s="2482"/>
      <c r="Q74" s="2482"/>
      <c r="R74" s="2482"/>
      <c r="S74" s="2482"/>
      <c r="T74" s="2482"/>
      <c r="U74" s="2482"/>
      <c r="V74" s="2482"/>
      <c r="W74" s="2482"/>
      <c r="X74" s="2482"/>
      <c r="Y74" s="2482"/>
      <c r="Z74" s="2482"/>
      <c r="AA74" s="2482"/>
      <c r="AB74" s="2482"/>
    </row>
    <row r="75" spans="15:28" ht="16.7" customHeight="1" x14ac:dyDescent="0.2">
      <c r="O75" s="2579"/>
      <c r="P75" s="2482"/>
      <c r="Q75" s="2482"/>
      <c r="R75" s="2482"/>
      <c r="S75" s="2482"/>
      <c r="T75" s="2482"/>
      <c r="U75" s="2482"/>
      <c r="V75" s="2482"/>
      <c r="W75" s="2482"/>
      <c r="X75" s="2482"/>
      <c r="Y75" s="2482"/>
      <c r="Z75" s="2482"/>
      <c r="AA75" s="2482"/>
      <c r="AB75" s="2482"/>
    </row>
    <row r="76" spans="15:28" ht="16.7" customHeight="1" x14ac:dyDescent="0.2">
      <c r="O76" s="2579"/>
      <c r="P76" s="2482"/>
      <c r="Q76" s="2482"/>
      <c r="R76" s="2482"/>
      <c r="S76" s="2482"/>
      <c r="T76" s="2482"/>
      <c r="U76" s="2482"/>
      <c r="V76" s="2482"/>
      <c r="W76" s="2482"/>
      <c r="X76" s="2482"/>
      <c r="Y76" s="2482"/>
      <c r="Z76" s="2482"/>
      <c r="AA76" s="2482"/>
      <c r="AB76" s="2482"/>
    </row>
    <row r="77" spans="15:28" ht="16.7" customHeight="1" x14ac:dyDescent="0.2">
      <c r="O77" s="2579"/>
      <c r="P77" s="2482"/>
      <c r="Q77" s="2482"/>
      <c r="R77" s="2482"/>
      <c r="S77" s="2482"/>
      <c r="T77" s="2482"/>
      <c r="U77" s="2482"/>
      <c r="V77" s="2482"/>
      <c r="W77" s="2482"/>
      <c r="X77" s="2482"/>
      <c r="Y77" s="2482"/>
      <c r="Z77" s="2482"/>
      <c r="AA77" s="2482"/>
      <c r="AB77" s="2482"/>
    </row>
    <row r="78" spans="15:28" ht="16.7" customHeight="1" x14ac:dyDescent="0.2">
      <c r="O78" s="2579"/>
      <c r="P78" s="2482"/>
      <c r="Q78" s="2482"/>
      <c r="R78" s="2482"/>
      <c r="S78" s="2482"/>
      <c r="T78" s="2482"/>
      <c r="U78" s="2482"/>
      <c r="V78" s="2482"/>
      <c r="W78" s="2482"/>
      <c r="X78" s="2482"/>
      <c r="Y78" s="2482"/>
      <c r="Z78" s="2482"/>
      <c r="AA78" s="2482"/>
      <c r="AB78" s="2482"/>
    </row>
    <row r="79" spans="15:28" ht="16.7" customHeight="1" x14ac:dyDescent="0.2">
      <c r="O79" s="2579"/>
      <c r="P79" s="2482"/>
      <c r="Q79" s="2482"/>
      <c r="R79" s="2482"/>
      <c r="S79" s="2482"/>
      <c r="T79" s="2482"/>
      <c r="U79" s="2482"/>
      <c r="V79" s="2482"/>
      <c r="W79" s="2482"/>
      <c r="X79" s="2482"/>
      <c r="Y79" s="2482"/>
      <c r="Z79" s="2482"/>
      <c r="AA79" s="2482"/>
      <c r="AB79" s="2482"/>
    </row>
    <row r="80" spans="15:28" ht="16.7" customHeight="1" x14ac:dyDescent="0.2">
      <c r="O80" s="2579"/>
      <c r="P80" s="2482"/>
      <c r="Q80" s="2482"/>
      <c r="R80" s="2482"/>
      <c r="S80" s="2482"/>
      <c r="T80" s="2482"/>
      <c r="U80" s="2482"/>
      <c r="V80" s="2482"/>
      <c r="W80" s="2482"/>
      <c r="X80" s="2482"/>
      <c r="Y80" s="2482"/>
      <c r="Z80" s="2482"/>
      <c r="AA80" s="2482"/>
      <c r="AB80" s="2482"/>
    </row>
    <row r="81" spans="15:28" ht="16.7" customHeight="1" x14ac:dyDescent="0.2">
      <c r="O81" s="2579"/>
      <c r="P81" s="2482"/>
      <c r="Q81" s="2482"/>
      <c r="R81" s="2482"/>
      <c r="S81" s="2482"/>
      <c r="T81" s="2482"/>
      <c r="U81" s="2482"/>
      <c r="V81" s="2482"/>
      <c r="W81" s="2482"/>
      <c r="X81" s="2482"/>
      <c r="Y81" s="2482"/>
      <c r="Z81" s="2482"/>
      <c r="AA81" s="2482"/>
      <c r="AB81" s="2482"/>
    </row>
    <row r="82" spans="15:28" ht="16.7" customHeight="1" x14ac:dyDescent="0.2">
      <c r="O82" s="2579"/>
      <c r="P82" s="2482"/>
      <c r="Q82" s="2482"/>
      <c r="R82" s="2482"/>
      <c r="S82" s="2482"/>
      <c r="T82" s="2482"/>
      <c r="U82" s="2482"/>
      <c r="V82" s="2482"/>
      <c r="W82" s="2482"/>
      <c r="X82" s="2482"/>
      <c r="Y82" s="2482"/>
      <c r="Z82" s="2482"/>
      <c r="AA82" s="2482"/>
      <c r="AB82" s="2482"/>
    </row>
    <row r="83" spans="15:28" ht="16.7" customHeight="1" x14ac:dyDescent="0.2">
      <c r="O83" s="2579"/>
      <c r="P83" s="2482"/>
      <c r="Q83" s="2482"/>
      <c r="R83" s="2482"/>
      <c r="S83" s="2482"/>
      <c r="T83" s="2482"/>
      <c r="U83" s="2482"/>
      <c r="V83" s="2482"/>
      <c r="W83" s="2482"/>
      <c r="X83" s="2482"/>
      <c r="Y83" s="2482"/>
      <c r="Z83" s="2482"/>
      <c r="AA83" s="2482"/>
      <c r="AB83" s="2482"/>
    </row>
    <row r="84" spans="15:28" ht="16.7" customHeight="1" x14ac:dyDescent="0.2">
      <c r="O84" s="2579"/>
      <c r="P84" s="2482"/>
      <c r="Q84" s="2482"/>
      <c r="R84" s="2482"/>
      <c r="S84" s="2482"/>
      <c r="T84" s="2482"/>
      <c r="U84" s="2482"/>
      <c r="V84" s="2482"/>
      <c r="W84" s="2482"/>
      <c r="X84" s="2482"/>
      <c r="Y84" s="2482"/>
      <c r="Z84" s="2482"/>
      <c r="AA84" s="2482"/>
      <c r="AB84" s="2482"/>
    </row>
    <row r="85" spans="15:28" ht="16.7" customHeight="1" x14ac:dyDescent="0.2">
      <c r="O85" s="2579"/>
      <c r="P85" s="2482"/>
      <c r="Q85" s="2482"/>
      <c r="R85" s="2482"/>
      <c r="S85" s="2482"/>
      <c r="T85" s="2482"/>
      <c r="U85" s="2482"/>
      <c r="V85" s="2482"/>
      <c r="W85" s="2482"/>
      <c r="X85" s="2482"/>
      <c r="Y85" s="2482"/>
      <c r="Z85" s="2482"/>
      <c r="AA85" s="2482"/>
      <c r="AB85" s="2482"/>
    </row>
    <row r="86" spans="15:28" ht="16.7" customHeight="1" x14ac:dyDescent="0.2">
      <c r="O86" s="2579"/>
      <c r="P86" s="2482"/>
      <c r="Q86" s="2482"/>
      <c r="R86" s="2482"/>
      <c r="S86" s="2482"/>
      <c r="T86" s="2482"/>
      <c r="U86" s="2482"/>
      <c r="V86" s="2482"/>
      <c r="W86" s="2482"/>
      <c r="X86" s="2482"/>
      <c r="Y86" s="2482"/>
      <c r="Z86" s="2482"/>
      <c r="AA86" s="2482"/>
      <c r="AB86" s="2482"/>
    </row>
    <row r="87" spans="15:28" ht="16.7" customHeight="1" x14ac:dyDescent="0.2">
      <c r="O87" s="2579"/>
      <c r="P87" s="2482"/>
      <c r="Q87" s="2482"/>
      <c r="R87" s="2482"/>
      <c r="S87" s="2482"/>
      <c r="T87" s="2482"/>
      <c r="U87" s="2482"/>
      <c r="V87" s="2482"/>
      <c r="W87" s="2482"/>
      <c r="X87" s="2482"/>
      <c r="Y87" s="2482"/>
      <c r="Z87" s="2482"/>
      <c r="AA87" s="2482"/>
      <c r="AB87" s="2482"/>
    </row>
    <row r="88" spans="15:28" ht="16.7" customHeight="1" x14ac:dyDescent="0.2">
      <c r="O88" s="2579"/>
      <c r="P88" s="2482"/>
      <c r="Q88" s="2482"/>
      <c r="R88" s="2482"/>
      <c r="S88" s="2482"/>
      <c r="T88" s="2482"/>
      <c r="U88" s="2482"/>
      <c r="V88" s="2482"/>
      <c r="W88" s="2482"/>
      <c r="X88" s="2482"/>
      <c r="Y88" s="2482"/>
      <c r="Z88" s="2482"/>
      <c r="AA88" s="2482"/>
      <c r="AB88" s="2482"/>
    </row>
    <row r="89" spans="15:28" ht="16.7" customHeight="1" x14ac:dyDescent="0.2">
      <c r="O89" s="2579"/>
      <c r="P89" s="2482"/>
      <c r="Q89" s="2482"/>
      <c r="R89" s="2482"/>
      <c r="S89" s="2482"/>
      <c r="T89" s="2482"/>
      <c r="U89" s="2482"/>
      <c r="V89" s="2482"/>
      <c r="W89" s="2482"/>
      <c r="X89" s="2482"/>
      <c r="Y89" s="2482"/>
      <c r="Z89" s="2482"/>
      <c r="AA89" s="2482"/>
      <c r="AB89" s="2482"/>
    </row>
    <row r="90" spans="15:28" ht="16.7" customHeight="1" x14ac:dyDescent="0.2">
      <c r="O90" s="2579"/>
      <c r="P90" s="2482"/>
      <c r="Q90" s="2482"/>
      <c r="R90" s="2482"/>
      <c r="S90" s="2482"/>
      <c r="T90" s="2482"/>
      <c r="U90" s="2482"/>
      <c r="V90" s="2482"/>
      <c r="W90" s="2482"/>
      <c r="X90" s="2482"/>
      <c r="Y90" s="2482"/>
      <c r="Z90" s="2482"/>
      <c r="AA90" s="2482"/>
      <c r="AB90" s="2482"/>
    </row>
    <row r="91" spans="15:28" ht="16.7" customHeight="1" x14ac:dyDescent="0.2">
      <c r="O91" s="2579"/>
      <c r="P91" s="2482"/>
      <c r="Q91" s="2482"/>
      <c r="R91" s="2482"/>
      <c r="S91" s="2482"/>
      <c r="T91" s="2482"/>
      <c r="U91" s="2482"/>
      <c r="V91" s="2482"/>
      <c r="W91" s="2482"/>
      <c r="X91" s="2482"/>
      <c r="Y91" s="2482"/>
      <c r="Z91" s="2482"/>
      <c r="AA91" s="2482"/>
      <c r="AB91" s="2482"/>
    </row>
    <row r="92" spans="15:28" ht="16.7" customHeight="1" x14ac:dyDescent="0.2">
      <c r="O92" s="2579"/>
      <c r="P92" s="2482"/>
      <c r="Q92" s="2482"/>
      <c r="R92" s="2482"/>
      <c r="S92" s="2482"/>
      <c r="T92" s="2482"/>
      <c r="U92" s="2482"/>
      <c r="V92" s="2482"/>
      <c r="W92" s="2482"/>
      <c r="X92" s="2482"/>
      <c r="Y92" s="2482"/>
      <c r="Z92" s="2482"/>
      <c r="AA92" s="2482"/>
      <c r="AB92" s="2482"/>
    </row>
    <row r="93" spans="15:28" ht="16.7" customHeight="1" x14ac:dyDescent="0.2">
      <c r="O93" s="2579"/>
      <c r="P93" s="2482"/>
      <c r="Q93" s="2482"/>
      <c r="R93" s="2482"/>
      <c r="S93" s="2482"/>
      <c r="T93" s="2482"/>
      <c r="U93" s="2482"/>
      <c r="V93" s="2482"/>
      <c r="W93" s="2482"/>
      <c r="X93" s="2482"/>
      <c r="Y93" s="2482"/>
      <c r="Z93" s="2482"/>
      <c r="AA93" s="2482"/>
      <c r="AB93" s="2482"/>
    </row>
    <row r="94" spans="15:28" ht="16.7" customHeight="1" x14ac:dyDescent="0.2">
      <c r="O94" s="2579"/>
      <c r="P94" s="2482"/>
      <c r="Q94" s="2482"/>
      <c r="R94" s="2482"/>
      <c r="S94" s="2482"/>
      <c r="T94" s="2482"/>
      <c r="U94" s="2482"/>
      <c r="V94" s="2482"/>
      <c r="W94" s="2482"/>
      <c r="X94" s="2482"/>
      <c r="Y94" s="2482"/>
      <c r="Z94" s="2482"/>
      <c r="AA94" s="2482"/>
      <c r="AB94" s="2482"/>
    </row>
    <row r="95" spans="15:28" ht="16.7" customHeight="1" x14ac:dyDescent="0.2">
      <c r="O95" s="2579"/>
      <c r="P95" s="2482"/>
      <c r="Q95" s="2482"/>
      <c r="R95" s="2482"/>
      <c r="S95" s="2482"/>
      <c r="T95" s="2482"/>
      <c r="U95" s="2482"/>
      <c r="V95" s="2482"/>
      <c r="W95" s="2482"/>
      <c r="X95" s="2482"/>
      <c r="Y95" s="2482"/>
      <c r="Z95" s="2482"/>
      <c r="AA95" s="2482"/>
      <c r="AB95" s="2482"/>
    </row>
    <row r="96" spans="15:28" ht="16.7" customHeight="1" x14ac:dyDescent="0.2">
      <c r="O96" s="2579"/>
      <c r="P96" s="2482"/>
      <c r="Q96" s="2482"/>
      <c r="R96" s="2482"/>
      <c r="S96" s="2482"/>
      <c r="T96" s="2482"/>
      <c r="U96" s="2482"/>
      <c r="V96" s="2482"/>
      <c r="W96" s="2482"/>
      <c r="X96" s="2482"/>
      <c r="Y96" s="2482"/>
      <c r="Z96" s="2482"/>
      <c r="AA96" s="2482"/>
      <c r="AB96" s="2482"/>
    </row>
    <row r="97" spans="15:28" ht="16.7" customHeight="1" x14ac:dyDescent="0.2">
      <c r="O97" s="2579"/>
      <c r="P97" s="2482"/>
      <c r="Q97" s="2482"/>
      <c r="R97" s="2482"/>
      <c r="S97" s="2482"/>
      <c r="T97" s="2482"/>
      <c r="U97" s="2482"/>
      <c r="V97" s="2482"/>
      <c r="W97" s="2482"/>
      <c r="X97" s="2482"/>
      <c r="Y97" s="2482"/>
      <c r="Z97" s="2482"/>
      <c r="AA97" s="2482"/>
      <c r="AB97" s="2482"/>
    </row>
    <row r="98" spans="15:28" ht="16.7" customHeight="1" x14ac:dyDescent="0.2">
      <c r="O98" s="2579"/>
      <c r="P98" s="2482"/>
      <c r="Q98" s="2482"/>
      <c r="R98" s="2482"/>
      <c r="S98" s="2482"/>
      <c r="T98" s="2482"/>
      <c r="U98" s="2482"/>
      <c r="V98" s="2482"/>
      <c r="W98" s="2482"/>
      <c r="X98" s="2482"/>
      <c r="Y98" s="2482"/>
      <c r="Z98" s="2482"/>
      <c r="AA98" s="2482"/>
      <c r="AB98" s="2482"/>
    </row>
    <row r="99" spans="15:28" ht="16.7" customHeight="1" x14ac:dyDescent="0.2">
      <c r="O99" s="2579"/>
      <c r="P99" s="2482"/>
      <c r="Q99" s="2482"/>
      <c r="R99" s="2482"/>
      <c r="S99" s="2482"/>
      <c r="T99" s="2482"/>
      <c r="U99" s="2482"/>
      <c r="V99" s="2482"/>
      <c r="W99" s="2482"/>
      <c r="X99" s="2482"/>
      <c r="Y99" s="2482"/>
      <c r="Z99" s="2482"/>
      <c r="AA99" s="2482"/>
      <c r="AB99" s="2482"/>
    </row>
    <row r="100" spans="15:28" ht="16.7" customHeight="1" x14ac:dyDescent="0.2">
      <c r="O100" s="2579"/>
      <c r="P100" s="2482"/>
      <c r="Q100" s="2482"/>
      <c r="R100" s="2482"/>
      <c r="S100" s="2482"/>
      <c r="T100" s="2482"/>
      <c r="U100" s="2482"/>
      <c r="V100" s="2482"/>
      <c r="W100" s="2482"/>
      <c r="X100" s="2482"/>
      <c r="Y100" s="2482"/>
      <c r="Z100" s="2482"/>
      <c r="AA100" s="2482"/>
      <c r="AB100" s="2482"/>
    </row>
    <row r="101" spans="15:28" ht="16.7" customHeight="1" x14ac:dyDescent="0.2">
      <c r="O101" s="2579"/>
      <c r="P101" s="2482"/>
      <c r="Q101" s="2482"/>
      <c r="R101" s="2482"/>
      <c r="S101" s="2482"/>
      <c r="T101" s="2482"/>
      <c r="U101" s="2482"/>
      <c r="V101" s="2482"/>
      <c r="W101" s="2482"/>
      <c r="X101" s="2482"/>
      <c r="Y101" s="2482"/>
      <c r="Z101" s="2482"/>
      <c r="AA101" s="2482"/>
      <c r="AB101" s="2482"/>
    </row>
    <row r="102" spans="15:28" ht="16.7" customHeight="1" x14ac:dyDescent="0.2">
      <c r="O102" s="2579"/>
      <c r="P102" s="2482"/>
      <c r="Q102" s="2482"/>
      <c r="R102" s="2482"/>
      <c r="S102" s="2482"/>
      <c r="T102" s="2482"/>
      <c r="U102" s="2482"/>
      <c r="V102" s="2482"/>
      <c r="W102" s="2482"/>
      <c r="X102" s="2482"/>
      <c r="Y102" s="2482"/>
      <c r="Z102" s="2482"/>
      <c r="AA102" s="2482"/>
      <c r="AB102" s="2482"/>
    </row>
    <row r="103" spans="15:28" ht="15" customHeight="1" x14ac:dyDescent="0.2">
      <c r="O103" s="2579"/>
      <c r="P103" s="2482"/>
      <c r="Q103" s="2482"/>
      <c r="R103" s="2482"/>
      <c r="S103" s="2482"/>
      <c r="T103" s="2482"/>
      <c r="U103" s="2482"/>
      <c r="V103" s="2482"/>
      <c r="W103" s="2482"/>
      <c r="X103" s="2482"/>
      <c r="Y103" s="2482"/>
      <c r="Z103" s="2482"/>
      <c r="AA103" s="2482"/>
      <c r="AB103" s="2482"/>
    </row>
    <row r="104" spans="15:28" ht="15" customHeight="1" x14ac:dyDescent="0.2">
      <c r="O104" s="2579"/>
      <c r="P104" s="2482"/>
      <c r="Q104" s="2482"/>
      <c r="R104" s="2482"/>
      <c r="S104" s="2482"/>
      <c r="T104" s="2482"/>
      <c r="U104" s="2482"/>
      <c r="V104" s="2482"/>
      <c r="W104" s="2482"/>
      <c r="X104" s="2482"/>
      <c r="Y104" s="2482"/>
      <c r="Z104" s="2482"/>
      <c r="AA104" s="2482"/>
      <c r="AB104" s="2482"/>
    </row>
    <row r="105" spans="15:28" x14ac:dyDescent="0.2">
      <c r="O105" s="2608"/>
    </row>
  </sheetData>
  <mergeCells count="19">
    <mergeCell ref="C26:E26"/>
    <mergeCell ref="F26:L26"/>
    <mergeCell ref="H5:K5"/>
    <mergeCell ref="C9:E9"/>
    <mergeCell ref="F9:L9"/>
    <mergeCell ref="C10:E10"/>
    <mergeCell ref="F10:L10"/>
    <mergeCell ref="C17:E17"/>
    <mergeCell ref="F17:L17"/>
    <mergeCell ref="O1:O2"/>
    <mergeCell ref="A2:L2"/>
    <mergeCell ref="A3:L3"/>
    <mergeCell ref="A4:E4"/>
    <mergeCell ref="F4:L4"/>
    <mergeCell ref="A5:A6"/>
    <mergeCell ref="B5:B6"/>
    <mergeCell ref="C5:C6"/>
    <mergeCell ref="D5:E5"/>
    <mergeCell ref="F5:G5"/>
  </mergeCells>
  <pageMargins left="0.75" right="0.75" top="1" bottom="1" header="0.5" footer="0.5"/>
  <customProperties>
    <customPr name="_pios_id" r:id="rId1"/>
  </customProperties>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585537-D491-4DEF-8AEE-7AF3EA7D39A9}">
  <sheetPr codeName="Sheet68"/>
  <dimension ref="A1:AB105"/>
  <sheetViews>
    <sheetView workbookViewId="0">
      <pane xSplit="2" ySplit="8" topLeftCell="C9" activePane="bottomRight" state="frozen"/>
      <selection pane="topRight"/>
      <selection pane="bottomLeft"/>
      <selection pane="bottomRight"/>
    </sheetView>
  </sheetViews>
  <sheetFormatPr defaultColWidth="11.5" defaultRowHeight="12.75" x14ac:dyDescent="0.2"/>
  <cols>
    <col min="1" max="1" width="3.875" style="1953" customWidth="1"/>
    <col min="2" max="2" width="37.5" style="1953" customWidth="1"/>
    <col min="3" max="12" width="11.25" style="1953" customWidth="1"/>
    <col min="13" max="14" width="17.625" style="1953" customWidth="1"/>
    <col min="15" max="25" width="17.625" style="1953" hidden="1" customWidth="1"/>
    <col min="26" max="28" width="0" style="1953" hidden="1" customWidth="1"/>
    <col min="29" max="16384" width="11.5" style="1953"/>
  </cols>
  <sheetData>
    <row r="1" spans="1:28" ht="16.7" customHeight="1" x14ac:dyDescent="0.2">
      <c r="O1" s="4019" t="s">
        <v>6320</v>
      </c>
      <c r="P1" s="2482" t="s">
        <v>6974</v>
      </c>
      <c r="Q1" s="2482"/>
      <c r="R1" s="2482"/>
      <c r="S1" s="2482"/>
      <c r="T1" s="2482"/>
      <c r="U1" s="2482"/>
      <c r="V1" s="2482"/>
      <c r="W1" s="2482"/>
      <c r="X1" s="2482"/>
      <c r="Y1" s="2482"/>
      <c r="Z1" s="2482"/>
      <c r="AA1" s="2482"/>
      <c r="AB1" s="2482"/>
    </row>
    <row r="2" spans="1:28" ht="16.7" customHeight="1" x14ac:dyDescent="0.2">
      <c r="A2" s="3990" t="s">
        <v>8272</v>
      </c>
      <c r="B2" s="3991"/>
      <c r="C2" s="3991"/>
      <c r="D2" s="3991"/>
      <c r="E2" s="3991"/>
      <c r="F2" s="3991"/>
      <c r="G2" s="3991"/>
      <c r="H2" s="3991"/>
      <c r="I2" s="3991"/>
      <c r="J2" s="3991"/>
      <c r="K2" s="3991"/>
      <c r="L2" s="3992"/>
      <c r="M2" s="2479"/>
      <c r="O2" s="4020"/>
      <c r="P2" s="2482"/>
      <c r="Q2" s="2482"/>
      <c r="R2" s="2482"/>
      <c r="S2" s="2482"/>
      <c r="T2" s="2482"/>
      <c r="U2" s="2482"/>
      <c r="V2" s="2482"/>
      <c r="W2" s="2482"/>
      <c r="X2" s="2482"/>
      <c r="Y2" s="2482"/>
      <c r="Z2" s="2482"/>
      <c r="AA2" s="2482"/>
      <c r="AB2" s="2482"/>
    </row>
    <row r="3" spans="1:28" ht="16.7" customHeight="1" x14ac:dyDescent="0.2">
      <c r="A3" s="3964" t="s">
        <v>8273</v>
      </c>
      <c r="B3" s="3995"/>
      <c r="C3" s="3995"/>
      <c r="D3" s="3995"/>
      <c r="E3" s="3995"/>
      <c r="F3" s="3995"/>
      <c r="G3" s="3995"/>
      <c r="H3" s="3995"/>
      <c r="I3" s="3995"/>
      <c r="J3" s="3995"/>
      <c r="K3" s="3995"/>
      <c r="L3" s="3996"/>
      <c r="M3" s="2479"/>
      <c r="O3" s="2579"/>
      <c r="P3" s="2482"/>
      <c r="Q3" s="2482"/>
      <c r="R3" s="2482"/>
      <c r="S3" s="2482"/>
      <c r="T3" s="2482"/>
      <c r="U3" s="2482"/>
      <c r="V3" s="2482"/>
      <c r="W3" s="2482"/>
      <c r="X3" s="2482"/>
      <c r="Y3" s="2482"/>
      <c r="Z3" s="2482"/>
      <c r="AA3" s="2482"/>
      <c r="AB3" s="2482"/>
    </row>
    <row r="4" spans="1:28" ht="39.200000000000003" customHeight="1" x14ac:dyDescent="0.2">
      <c r="A4" s="3878" t="s">
        <v>8274</v>
      </c>
      <c r="B4" s="3879"/>
      <c r="C4" s="3879"/>
      <c r="D4" s="3879"/>
      <c r="E4" s="3880"/>
      <c r="F4" s="4009" t="s">
        <v>8275</v>
      </c>
      <c r="G4" s="4010"/>
      <c r="H4" s="4010"/>
      <c r="I4" s="4010"/>
      <c r="J4" s="4010"/>
      <c r="K4" s="4010"/>
      <c r="L4" s="4011"/>
      <c r="M4" s="2479"/>
      <c r="O4" s="2579"/>
      <c r="P4" s="2482"/>
      <c r="Q4" s="2482"/>
      <c r="R4" s="2482"/>
      <c r="S4" s="2482"/>
      <c r="T4" s="2482"/>
      <c r="U4" s="2482"/>
      <c r="V4" s="2482"/>
      <c r="W4" s="2482"/>
      <c r="X4" s="2482"/>
      <c r="Y4" s="2482"/>
      <c r="Z4" s="2482"/>
      <c r="AA4" s="2482"/>
      <c r="AB4" s="2482"/>
    </row>
    <row r="5" spans="1:28" ht="15.75" customHeight="1" x14ac:dyDescent="0.2">
      <c r="A5" s="3898" t="s">
        <v>6360</v>
      </c>
      <c r="B5" s="3898" t="s">
        <v>96</v>
      </c>
      <c r="C5" s="3860" t="s">
        <v>8251</v>
      </c>
      <c r="D5" s="3882" t="s">
        <v>8252</v>
      </c>
      <c r="E5" s="3892"/>
      <c r="F5" s="3900" t="s">
        <v>8252</v>
      </c>
      <c r="G5" s="3902"/>
      <c r="H5" s="3900" t="s">
        <v>8253</v>
      </c>
      <c r="I5" s="3901"/>
      <c r="J5" s="3901"/>
      <c r="K5" s="3902"/>
      <c r="L5" s="3870" t="s">
        <v>7567</v>
      </c>
      <c r="M5" s="2479"/>
      <c r="O5" s="2579"/>
      <c r="P5" s="2482"/>
      <c r="Q5" s="2482"/>
      <c r="R5" s="2482"/>
      <c r="S5" s="2482"/>
      <c r="T5" s="2482"/>
      <c r="U5" s="2482"/>
      <c r="V5" s="2482"/>
      <c r="W5" s="2482"/>
      <c r="X5" s="2482"/>
      <c r="Y5" s="2482"/>
      <c r="Z5" s="2482"/>
      <c r="AA5" s="2482"/>
      <c r="AB5" s="2482"/>
    </row>
    <row r="6" spans="1:28" ht="32.450000000000003" customHeight="1" x14ac:dyDescent="0.2">
      <c r="A6" s="3987"/>
      <c r="B6" s="3987"/>
      <c r="C6" s="3860"/>
      <c r="D6" s="2489" t="s">
        <v>8254</v>
      </c>
      <c r="E6" s="2489" t="s">
        <v>8255</v>
      </c>
      <c r="F6" s="2543" t="s">
        <v>8256</v>
      </c>
      <c r="G6" s="2543" t="s">
        <v>8257</v>
      </c>
      <c r="H6" s="2543" t="s">
        <v>8276</v>
      </c>
      <c r="I6" s="2543" t="s">
        <v>8277</v>
      </c>
      <c r="J6" s="2543" t="s">
        <v>8278</v>
      </c>
      <c r="K6" s="2543" t="s">
        <v>8279</v>
      </c>
      <c r="L6" s="3870"/>
      <c r="M6" s="2479"/>
      <c r="O6" s="2579"/>
      <c r="P6" s="2482"/>
      <c r="Q6" s="2482"/>
      <c r="R6" s="2482"/>
      <c r="S6" s="2482"/>
      <c r="T6" s="2482"/>
      <c r="U6" s="2482"/>
      <c r="V6" s="2482"/>
      <c r="W6" s="2482"/>
      <c r="X6" s="2482"/>
      <c r="Y6" s="2482"/>
      <c r="Z6" s="2482"/>
      <c r="AA6" s="2482"/>
      <c r="AB6" s="2482"/>
    </row>
    <row r="7" spans="1:28" ht="27.6" customHeight="1" x14ac:dyDescent="0.2">
      <c r="A7" s="3987"/>
      <c r="B7" s="2586" t="s">
        <v>5949</v>
      </c>
      <c r="C7" s="2581" t="s">
        <v>5950</v>
      </c>
      <c r="D7" s="2581" t="s">
        <v>6226</v>
      </c>
      <c r="E7" s="2581" t="s">
        <v>5952</v>
      </c>
      <c r="F7" s="2632" t="s">
        <v>6227</v>
      </c>
      <c r="G7" s="2632" t="s">
        <v>5804</v>
      </c>
      <c r="H7" s="2632" t="s">
        <v>6228</v>
      </c>
      <c r="I7" s="2632" t="s">
        <v>6229</v>
      </c>
      <c r="J7" s="2632" t="s">
        <v>6230</v>
      </c>
      <c r="K7" s="2632" t="s">
        <v>6231</v>
      </c>
      <c r="L7" s="2632" t="s">
        <v>6232</v>
      </c>
      <c r="M7" s="2479" t="s">
        <v>6324</v>
      </c>
      <c r="O7" s="2579"/>
      <c r="P7" s="2482"/>
      <c r="Q7" s="2482"/>
      <c r="R7" s="2482"/>
      <c r="S7" s="2482"/>
      <c r="T7" s="2482"/>
      <c r="U7" s="2482"/>
      <c r="V7" s="2482"/>
      <c r="W7" s="2482"/>
      <c r="X7" s="2482"/>
      <c r="Y7" s="2482"/>
      <c r="Z7" s="2482"/>
      <c r="AA7" s="2482"/>
      <c r="AB7" s="2482"/>
    </row>
    <row r="8" spans="1:28" ht="23.25" customHeight="1" x14ac:dyDescent="0.2">
      <c r="A8" s="2589"/>
      <c r="B8" s="2589"/>
      <c r="C8" s="2868">
        <v>44926</v>
      </c>
      <c r="D8" s="2589"/>
      <c r="E8" s="2589"/>
      <c r="F8" s="2633"/>
      <c r="G8" s="2633"/>
      <c r="H8" s="2633"/>
      <c r="I8" s="2633"/>
      <c r="J8" s="2633"/>
      <c r="K8" s="2633"/>
      <c r="L8" s="2868">
        <v>45291</v>
      </c>
      <c r="M8" s="2479"/>
      <c r="O8" s="2579"/>
      <c r="P8" s="2482" t="s">
        <v>6985</v>
      </c>
      <c r="Q8" s="2869">
        <v>43465</v>
      </c>
      <c r="R8" s="2482"/>
      <c r="S8" s="2482"/>
      <c r="T8" s="2482"/>
      <c r="U8" s="2482"/>
      <c r="V8" s="2482"/>
      <c r="W8" s="2482"/>
      <c r="X8" s="2482"/>
      <c r="Y8" s="2482"/>
      <c r="Z8" s="2482"/>
      <c r="AA8" s="2482"/>
      <c r="AB8" s="2482"/>
    </row>
    <row r="9" spans="1:28" ht="16.7" customHeight="1" x14ac:dyDescent="0.2">
      <c r="A9" s="2660">
        <v>1</v>
      </c>
      <c r="B9" s="2859" t="s">
        <v>8280</v>
      </c>
      <c r="C9" s="4021"/>
      <c r="D9" s="4022"/>
      <c r="E9" s="4023"/>
      <c r="F9" s="4021"/>
      <c r="G9" s="4022"/>
      <c r="H9" s="4022"/>
      <c r="I9" s="4022"/>
      <c r="J9" s="4022"/>
      <c r="K9" s="4022"/>
      <c r="L9" s="4023"/>
      <c r="M9" s="2860"/>
      <c r="O9" s="2861"/>
      <c r="P9" s="2862" t="s">
        <v>6139</v>
      </c>
      <c r="Q9" s="2863"/>
      <c r="R9" s="2863"/>
      <c r="S9" s="2863"/>
      <c r="T9" s="2863"/>
      <c r="U9" s="2863"/>
      <c r="V9" s="2863"/>
      <c r="W9" s="2863"/>
      <c r="X9" s="2863"/>
      <c r="Y9" s="2863"/>
      <c r="Z9" s="2863"/>
      <c r="AA9" s="2863"/>
      <c r="AB9" s="2863"/>
    </row>
    <row r="10" spans="1:28" ht="16.7" customHeight="1" x14ac:dyDescent="0.2">
      <c r="A10" s="2660">
        <v>2</v>
      </c>
      <c r="B10" s="2631" t="s">
        <v>511</v>
      </c>
      <c r="C10" s="2694">
        <v>3180346057</v>
      </c>
      <c r="D10" s="2766">
        <v>661763280</v>
      </c>
      <c r="E10" s="2766">
        <v>625191431</v>
      </c>
      <c r="F10" s="2693"/>
      <c r="G10" s="2693"/>
      <c r="H10" s="2487" t="s">
        <v>8281</v>
      </c>
      <c r="I10" s="2766">
        <v>47481486</v>
      </c>
      <c r="J10" s="2487" t="s">
        <v>8281</v>
      </c>
      <c r="K10" s="2766">
        <v>83741244</v>
      </c>
      <c r="L10" s="2766">
        <v>3253177664</v>
      </c>
      <c r="M10" s="2860"/>
      <c r="O10" s="2861"/>
      <c r="P10" s="2862" t="s">
        <v>5957</v>
      </c>
      <c r="Q10" s="2870">
        <v>2910580066</v>
      </c>
      <c r="R10" s="2863"/>
      <c r="S10" s="2863"/>
      <c r="T10" s="2863"/>
      <c r="U10" s="2863"/>
      <c r="V10" s="2863"/>
      <c r="W10" s="2863"/>
      <c r="X10" s="2863"/>
      <c r="Y10" s="2863"/>
      <c r="Z10" s="2863"/>
      <c r="AA10" s="2863"/>
      <c r="AB10" s="2863"/>
    </row>
    <row r="11" spans="1:28" ht="16.7" customHeight="1" x14ac:dyDescent="0.2">
      <c r="A11" s="2660">
        <v>3</v>
      </c>
      <c r="B11" s="2631" t="s">
        <v>6498</v>
      </c>
      <c r="C11" s="2848"/>
      <c r="D11" s="2693"/>
      <c r="E11" s="2693"/>
      <c r="F11" s="2631"/>
      <c r="G11" s="2631"/>
      <c r="H11" s="2631"/>
      <c r="I11" s="2631"/>
      <c r="J11" s="2631"/>
      <c r="K11" s="2631"/>
      <c r="L11" s="2631"/>
      <c r="M11" s="2860"/>
      <c r="O11" s="2861"/>
      <c r="P11" s="2862" t="s">
        <v>5959</v>
      </c>
      <c r="Q11" s="2863"/>
      <c r="R11" s="2863"/>
      <c r="S11" s="2863"/>
      <c r="T11" s="2863"/>
      <c r="U11" s="2863"/>
      <c r="V11" s="2863"/>
      <c r="W11" s="2863"/>
      <c r="X11" s="2863"/>
      <c r="Y11" s="2863"/>
      <c r="Z11" s="2863"/>
      <c r="AA11" s="2863"/>
      <c r="AB11" s="2863"/>
    </row>
    <row r="12" spans="1:28" ht="16.7" customHeight="1" x14ac:dyDescent="0.2">
      <c r="A12" s="2660">
        <v>4</v>
      </c>
      <c r="B12" s="2693" t="s">
        <v>6499</v>
      </c>
      <c r="C12" s="2848"/>
      <c r="D12" s="2693"/>
      <c r="E12" s="2693"/>
      <c r="F12" s="2631"/>
      <c r="G12" s="2631"/>
      <c r="H12" s="2631"/>
      <c r="I12" s="2631"/>
      <c r="J12" s="2631"/>
      <c r="K12" s="2631"/>
      <c r="L12" s="2631"/>
      <c r="M12" s="2860"/>
      <c r="O12" s="2861"/>
      <c r="P12" s="2862" t="s">
        <v>5961</v>
      </c>
      <c r="Q12" s="2863"/>
      <c r="R12" s="2863"/>
      <c r="S12" s="2863"/>
      <c r="T12" s="2863"/>
      <c r="U12" s="2863"/>
      <c r="V12" s="2863"/>
      <c r="W12" s="2863"/>
      <c r="X12" s="2863"/>
      <c r="Y12" s="2863"/>
      <c r="Z12" s="2863"/>
      <c r="AA12" s="2863"/>
      <c r="AB12" s="2863"/>
    </row>
    <row r="13" spans="1:28" ht="16.7" customHeight="1" x14ac:dyDescent="0.2">
      <c r="A13" s="2660">
        <v>5</v>
      </c>
      <c r="B13" s="2859" t="s">
        <v>8282</v>
      </c>
      <c r="C13" s="2871">
        <f>SUM(C10:C12)</f>
        <v>3180346057</v>
      </c>
      <c r="D13" s="2871">
        <f>SUM(D10:D12)</f>
        <v>661763280</v>
      </c>
      <c r="E13" s="2871">
        <f>SUM(E10:E12)</f>
        <v>625191431</v>
      </c>
      <c r="F13" s="2871">
        <f>SUM(F10:F12)</f>
        <v>0</v>
      </c>
      <c r="G13" s="2871">
        <f>SUM(G10:G12)</f>
        <v>0</v>
      </c>
      <c r="H13" s="2859"/>
      <c r="I13" s="2871">
        <f>SUM(I10:I12)</f>
        <v>47481486</v>
      </c>
      <c r="J13" s="2859"/>
      <c r="K13" s="2871">
        <f>SUM(K10:K12)</f>
        <v>83741244</v>
      </c>
      <c r="L13" s="2871">
        <f>SUM(L10:L12)</f>
        <v>3253177664</v>
      </c>
      <c r="M13" s="2860"/>
      <c r="O13" s="2861"/>
      <c r="P13" s="2862" t="s">
        <v>5963</v>
      </c>
      <c r="Q13" s="2870">
        <v>2910580066</v>
      </c>
      <c r="R13" s="2863"/>
      <c r="S13" s="2863"/>
      <c r="T13" s="2863"/>
      <c r="U13" s="2863"/>
      <c r="V13" s="2863"/>
      <c r="W13" s="2863"/>
      <c r="X13" s="2863"/>
      <c r="Y13" s="2863"/>
      <c r="Z13" s="2863"/>
      <c r="AA13" s="2863"/>
      <c r="AB13" s="2863"/>
    </row>
    <row r="14" spans="1:28" ht="16.7" customHeight="1" x14ac:dyDescent="0.2">
      <c r="A14" s="2660">
        <v>6</v>
      </c>
      <c r="B14" s="2693"/>
      <c r="C14" s="2848"/>
      <c r="D14" s="2693"/>
      <c r="E14" s="2693"/>
      <c r="F14" s="2631"/>
      <c r="G14" s="2631"/>
      <c r="H14" s="2631"/>
      <c r="I14" s="2631"/>
      <c r="J14" s="2631"/>
      <c r="K14" s="2631"/>
      <c r="L14" s="2631"/>
      <c r="M14" s="2864">
        <f>B14</f>
        <v>0</v>
      </c>
      <c r="O14" s="2861"/>
      <c r="P14" s="2862" t="s">
        <v>5965</v>
      </c>
      <c r="Q14" s="2863"/>
      <c r="R14" s="2863"/>
      <c r="S14" s="2863"/>
      <c r="T14" s="2863"/>
      <c r="U14" s="2863"/>
      <c r="V14" s="2863"/>
      <c r="W14" s="2863"/>
      <c r="X14" s="2863"/>
      <c r="Y14" s="2863"/>
      <c r="Z14" s="2863"/>
      <c r="AA14" s="2863"/>
      <c r="AB14" s="2863"/>
    </row>
    <row r="15" spans="1:28" ht="16.7" customHeight="1" x14ac:dyDescent="0.2">
      <c r="A15" s="2660">
        <v>7</v>
      </c>
      <c r="B15" s="2693"/>
      <c r="C15" s="2848"/>
      <c r="D15" s="2693"/>
      <c r="E15" s="2693"/>
      <c r="F15" s="2631"/>
      <c r="G15" s="2631"/>
      <c r="H15" s="2631"/>
      <c r="I15" s="2631"/>
      <c r="J15" s="2631"/>
      <c r="K15" s="2631"/>
      <c r="L15" s="2631"/>
      <c r="M15" s="2864">
        <f>B15</f>
        <v>0</v>
      </c>
      <c r="O15" s="2861"/>
      <c r="P15" s="2862" t="s">
        <v>5968</v>
      </c>
      <c r="Q15" s="2863"/>
      <c r="R15" s="2863"/>
      <c r="S15" s="2863"/>
      <c r="T15" s="2863"/>
      <c r="U15" s="2863"/>
      <c r="V15" s="2863"/>
      <c r="W15" s="2863"/>
      <c r="X15" s="2863"/>
      <c r="Y15" s="2863"/>
      <c r="Z15" s="2863"/>
      <c r="AA15" s="2863"/>
      <c r="AB15" s="2863"/>
    </row>
    <row r="16" spans="1:28" ht="16.7" customHeight="1" x14ac:dyDescent="0.2">
      <c r="A16" s="2660">
        <v>8</v>
      </c>
      <c r="B16" s="2693"/>
      <c r="C16" s="2848"/>
      <c r="D16" s="2693"/>
      <c r="E16" s="2693"/>
      <c r="F16" s="2631"/>
      <c r="G16" s="2631"/>
      <c r="H16" s="2631"/>
      <c r="I16" s="2631"/>
      <c r="J16" s="2631"/>
      <c r="K16" s="2631"/>
      <c r="L16" s="2631"/>
      <c r="M16" s="2864">
        <f>B16</f>
        <v>0</v>
      </c>
      <c r="O16" s="2861"/>
      <c r="P16" s="2862" t="s">
        <v>5970</v>
      </c>
      <c r="Q16" s="2863"/>
      <c r="R16" s="2863"/>
      <c r="S16" s="2863"/>
      <c r="T16" s="2863"/>
      <c r="U16" s="2863"/>
      <c r="V16" s="2863"/>
      <c r="W16" s="2863"/>
      <c r="X16" s="2863"/>
      <c r="Y16" s="2863"/>
      <c r="Z16" s="2863"/>
      <c r="AA16" s="2863"/>
      <c r="AB16" s="2863"/>
    </row>
    <row r="17" spans="1:28" ht="15.75" customHeight="1" x14ac:dyDescent="0.2">
      <c r="A17" s="2660">
        <v>9</v>
      </c>
      <c r="B17" s="2859" t="s">
        <v>8283</v>
      </c>
      <c r="C17" s="2694">
        <f>SUM(C13:C16)</f>
        <v>3180346057</v>
      </c>
      <c r="D17" s="2694">
        <f>SUM(D13:D16)</f>
        <v>661763280</v>
      </c>
      <c r="E17" s="2694">
        <f>SUM(E13:E16)</f>
        <v>625191431</v>
      </c>
      <c r="F17" s="2694">
        <f>SUM(F13:F16)</f>
        <v>0</v>
      </c>
      <c r="G17" s="2694">
        <f>SUM(G13:G16)</f>
        <v>0</v>
      </c>
      <c r="H17" s="2631"/>
      <c r="I17" s="2694">
        <f>SUM(I13:I16)</f>
        <v>47481486</v>
      </c>
      <c r="J17" s="2631"/>
      <c r="K17" s="2694">
        <f>SUM(K13:K16)</f>
        <v>83741244</v>
      </c>
      <c r="L17" s="2694">
        <f>SUM(L13:L16)</f>
        <v>3253177664</v>
      </c>
      <c r="M17" s="2860"/>
      <c r="O17" s="2861"/>
      <c r="P17" s="2862" t="s">
        <v>5972</v>
      </c>
      <c r="Q17" s="2870">
        <v>2910580066</v>
      </c>
      <c r="R17" s="2863"/>
      <c r="S17" s="2863"/>
      <c r="T17" s="2863"/>
      <c r="U17" s="2863"/>
      <c r="V17" s="2863"/>
      <c r="W17" s="2863"/>
      <c r="X17" s="2863"/>
      <c r="Y17" s="2863"/>
      <c r="Z17" s="2863"/>
      <c r="AA17" s="2863"/>
      <c r="AB17" s="2863"/>
    </row>
    <row r="18" spans="1:28" ht="16.7" customHeight="1" x14ac:dyDescent="0.2">
      <c r="A18" s="2660">
        <v>10</v>
      </c>
      <c r="B18" s="2859" t="s">
        <v>8267</v>
      </c>
      <c r="C18" s="2872"/>
      <c r="D18" s="2872"/>
      <c r="E18" s="2872"/>
      <c r="F18" s="4024"/>
      <c r="G18" s="4024"/>
      <c r="H18" s="2872"/>
      <c r="I18" s="2872"/>
      <c r="J18" s="2872"/>
      <c r="K18" s="2872"/>
      <c r="L18" s="2872"/>
      <c r="M18" s="2860"/>
      <c r="O18" s="2861"/>
      <c r="P18" s="2862" t="s">
        <v>5974</v>
      </c>
      <c r="Q18" s="2863"/>
      <c r="R18" s="2863"/>
      <c r="S18" s="2863"/>
      <c r="T18" s="2863"/>
      <c r="U18" s="2863"/>
      <c r="V18" s="2863"/>
      <c r="W18" s="2863"/>
      <c r="X18" s="2863"/>
      <c r="Y18" s="2863"/>
      <c r="Z18" s="2863"/>
      <c r="AA18" s="2863"/>
      <c r="AB18" s="2863"/>
    </row>
    <row r="19" spans="1:28" ht="16.7" customHeight="1" x14ac:dyDescent="0.2">
      <c r="A19" s="2660">
        <v>11</v>
      </c>
      <c r="B19" s="2631" t="s">
        <v>8113</v>
      </c>
      <c r="C19" s="2694">
        <v>2612756057</v>
      </c>
      <c r="D19" s="2766">
        <v>426040150</v>
      </c>
      <c r="E19" s="2766">
        <v>394447551</v>
      </c>
      <c r="F19" s="2631"/>
      <c r="G19" s="2631"/>
      <c r="H19" s="2631"/>
      <c r="I19" s="2766">
        <v>36946086</v>
      </c>
      <c r="J19" s="2631"/>
      <c r="K19" s="2766">
        <v>66583500</v>
      </c>
      <c r="L19" s="2766">
        <v>2673986070</v>
      </c>
      <c r="M19" s="2860"/>
      <c r="O19" s="2861"/>
      <c r="P19" s="2862" t="s">
        <v>5976</v>
      </c>
      <c r="Q19" s="2870">
        <v>2397447703</v>
      </c>
      <c r="R19" s="2863"/>
      <c r="S19" s="2863"/>
      <c r="T19" s="2863"/>
      <c r="U19" s="2863"/>
      <c r="V19" s="2863"/>
      <c r="W19" s="2863"/>
      <c r="X19" s="2863"/>
      <c r="Y19" s="2863"/>
      <c r="Z19" s="2863"/>
      <c r="AA19" s="2863"/>
      <c r="AB19" s="2863"/>
    </row>
    <row r="20" spans="1:28" ht="16.7" customHeight="1" x14ac:dyDescent="0.2">
      <c r="A20" s="2660">
        <v>12</v>
      </c>
      <c r="B20" s="2631" t="s">
        <v>8269</v>
      </c>
      <c r="C20" s="2694">
        <v>567590000</v>
      </c>
      <c r="D20" s="2766">
        <v>235723130</v>
      </c>
      <c r="E20" s="2766">
        <v>230743880</v>
      </c>
      <c r="F20" s="2631"/>
      <c r="G20" s="2631"/>
      <c r="H20" s="2631"/>
      <c r="I20" s="2766">
        <v>10535400</v>
      </c>
      <c r="J20" s="2631"/>
      <c r="K20" s="2766">
        <v>17157744</v>
      </c>
      <c r="L20" s="2766">
        <v>579191594</v>
      </c>
      <c r="M20" s="2860"/>
      <c r="O20" s="2861"/>
      <c r="P20" s="2862" t="s">
        <v>5978</v>
      </c>
      <c r="Q20" s="2870">
        <v>513132363</v>
      </c>
      <c r="R20" s="2863"/>
      <c r="S20" s="2863"/>
      <c r="T20" s="2863"/>
      <c r="U20" s="2863"/>
      <c r="V20" s="2863"/>
      <c r="W20" s="2863"/>
      <c r="X20" s="2863"/>
      <c r="Y20" s="2863"/>
      <c r="Z20" s="2863"/>
      <c r="AA20" s="2863"/>
      <c r="AB20" s="2863"/>
    </row>
    <row r="21" spans="1:28" ht="16.7" customHeight="1" x14ac:dyDescent="0.2">
      <c r="A21" s="2660">
        <v>13</v>
      </c>
      <c r="B21" s="2631" t="s">
        <v>8271</v>
      </c>
      <c r="C21" s="2848"/>
      <c r="D21" s="2693"/>
      <c r="E21" s="2693"/>
      <c r="F21" s="2631"/>
      <c r="G21" s="2631"/>
      <c r="H21" s="2631"/>
      <c r="I21" s="2631"/>
      <c r="J21" s="2631"/>
      <c r="K21" s="2631"/>
      <c r="L21" s="2631"/>
      <c r="M21" s="2860"/>
      <c r="O21" s="2861"/>
      <c r="P21" s="2862" t="s">
        <v>5980</v>
      </c>
      <c r="Q21" s="2863"/>
      <c r="R21" s="2863"/>
      <c r="S21" s="2863"/>
      <c r="T21" s="2863"/>
      <c r="U21" s="2863"/>
      <c r="V21" s="2863"/>
      <c r="W21" s="2863"/>
      <c r="X21" s="2863"/>
      <c r="Y21" s="2863"/>
      <c r="Z21" s="2863"/>
      <c r="AA21" s="2863"/>
      <c r="AB21" s="2863"/>
    </row>
    <row r="22" spans="1:28" ht="16.7" customHeight="1" x14ac:dyDescent="0.2">
      <c r="A22" s="2516"/>
      <c r="B22" s="2516"/>
      <c r="C22" s="2516"/>
      <c r="D22" s="2516"/>
      <c r="E22" s="2516"/>
      <c r="F22" s="2516"/>
      <c r="G22" s="2516"/>
      <c r="H22" s="2516"/>
      <c r="I22" s="2516"/>
      <c r="J22" s="2516"/>
      <c r="K22" s="2516"/>
      <c r="L22" s="2516"/>
      <c r="O22" s="2579"/>
      <c r="P22" s="2482"/>
      <c r="Q22" s="2482"/>
      <c r="R22" s="2482"/>
      <c r="S22" s="2482"/>
      <c r="T22" s="2482"/>
      <c r="U22" s="2482"/>
      <c r="V22" s="2482"/>
      <c r="W22" s="2482"/>
      <c r="X22" s="2482"/>
      <c r="Y22" s="2482"/>
      <c r="Z22" s="2482"/>
      <c r="AA22" s="2482"/>
      <c r="AB22" s="2482"/>
    </row>
    <row r="23" spans="1:28" ht="16.7" customHeight="1" x14ac:dyDescent="0.2">
      <c r="O23" s="2579"/>
      <c r="P23" s="2482"/>
      <c r="Q23" s="2482"/>
      <c r="R23" s="2482"/>
      <c r="S23" s="2482"/>
      <c r="T23" s="2482"/>
      <c r="U23" s="2482"/>
      <c r="V23" s="2482"/>
      <c r="W23" s="2482"/>
      <c r="X23" s="2482"/>
      <c r="Y23" s="2482"/>
      <c r="Z23" s="2482"/>
      <c r="AA23" s="2482"/>
      <c r="AB23" s="2482"/>
    </row>
    <row r="24" spans="1:28" ht="16.7" customHeight="1" x14ac:dyDescent="0.2">
      <c r="O24" s="2579"/>
      <c r="P24" s="2482"/>
      <c r="Q24" s="2482"/>
      <c r="R24" s="2482"/>
      <c r="S24" s="2482"/>
      <c r="T24" s="2482"/>
      <c r="U24" s="2482"/>
      <c r="V24" s="2482"/>
      <c r="W24" s="2482"/>
      <c r="X24" s="2482"/>
      <c r="Y24" s="2482"/>
      <c r="Z24" s="2482"/>
      <c r="AA24" s="2482"/>
      <c r="AB24" s="2482"/>
    </row>
    <row r="25" spans="1:28" ht="16.7" customHeight="1" x14ac:dyDescent="0.2">
      <c r="O25" s="2579"/>
      <c r="P25" s="2482"/>
      <c r="Q25" s="2482"/>
      <c r="R25" s="2482"/>
      <c r="S25" s="2482"/>
      <c r="T25" s="2482"/>
      <c r="U25" s="2482"/>
      <c r="V25" s="2482"/>
      <c r="W25" s="2482"/>
      <c r="X25" s="2482"/>
      <c r="Y25" s="2482"/>
      <c r="Z25" s="2482"/>
      <c r="AA25" s="2482"/>
      <c r="AB25" s="2482"/>
    </row>
    <row r="26" spans="1:28" ht="16.7" customHeight="1" x14ac:dyDescent="0.2">
      <c r="O26" s="2579"/>
      <c r="P26" s="2482"/>
      <c r="Q26" s="2482"/>
      <c r="R26" s="2482"/>
      <c r="S26" s="2482"/>
      <c r="T26" s="2482"/>
      <c r="U26" s="2482"/>
      <c r="V26" s="2482"/>
      <c r="W26" s="2482"/>
      <c r="X26" s="2482"/>
      <c r="Y26" s="2482"/>
      <c r="Z26" s="2482"/>
      <c r="AA26" s="2482"/>
      <c r="AB26" s="2482"/>
    </row>
    <row r="27" spans="1:28" ht="16.7" customHeight="1" x14ac:dyDescent="0.2">
      <c r="O27" s="2579"/>
      <c r="P27" s="2482"/>
      <c r="Q27" s="2482"/>
      <c r="R27" s="2482"/>
      <c r="S27" s="2482"/>
      <c r="T27" s="2482"/>
      <c r="U27" s="2482"/>
      <c r="V27" s="2482"/>
      <c r="W27" s="2482"/>
      <c r="X27" s="2482"/>
      <c r="Y27" s="2482"/>
      <c r="Z27" s="2482"/>
      <c r="AA27" s="2482"/>
      <c r="AB27" s="2482"/>
    </row>
    <row r="28" spans="1:28" ht="16.7" customHeight="1" x14ac:dyDescent="0.2">
      <c r="O28" s="2579"/>
      <c r="P28" s="2482"/>
      <c r="Q28" s="2482"/>
      <c r="R28" s="2482"/>
      <c r="S28" s="2482"/>
      <c r="T28" s="2482"/>
      <c r="U28" s="2482"/>
      <c r="V28" s="2482"/>
      <c r="W28" s="2482"/>
      <c r="X28" s="2482"/>
      <c r="Y28" s="2482"/>
      <c r="Z28" s="2482"/>
      <c r="AA28" s="2482"/>
      <c r="AB28" s="2482"/>
    </row>
    <row r="29" spans="1:28" ht="16.7" customHeight="1" x14ac:dyDescent="0.2">
      <c r="O29" s="2579"/>
      <c r="P29" s="2482"/>
      <c r="Q29" s="2482"/>
      <c r="R29" s="2482"/>
      <c r="S29" s="2482"/>
      <c r="T29" s="2482"/>
      <c r="U29" s="2482"/>
      <c r="V29" s="2482"/>
      <c r="W29" s="2482"/>
      <c r="X29" s="2482"/>
      <c r="Y29" s="2482"/>
      <c r="Z29" s="2482"/>
      <c r="AA29" s="2482"/>
      <c r="AB29" s="2482"/>
    </row>
    <row r="30" spans="1:28" ht="16.7" customHeight="1" x14ac:dyDescent="0.2">
      <c r="O30" s="2579"/>
      <c r="P30" s="2482"/>
      <c r="Q30" s="2482"/>
      <c r="R30" s="2482"/>
      <c r="S30" s="2482"/>
      <c r="T30" s="2482"/>
      <c r="U30" s="2482"/>
      <c r="V30" s="2482"/>
      <c r="W30" s="2482"/>
      <c r="X30" s="2482"/>
      <c r="Y30" s="2482"/>
      <c r="Z30" s="2482"/>
      <c r="AA30" s="2482"/>
      <c r="AB30" s="2482"/>
    </row>
    <row r="31" spans="1:28" ht="16.7" customHeight="1" x14ac:dyDescent="0.2">
      <c r="O31" s="2579"/>
      <c r="P31" s="2482"/>
      <c r="Q31" s="2482"/>
      <c r="R31" s="2482"/>
      <c r="S31" s="2482"/>
      <c r="T31" s="2482"/>
      <c r="U31" s="2482"/>
      <c r="V31" s="2482"/>
      <c r="W31" s="2482"/>
      <c r="X31" s="2482"/>
      <c r="Y31" s="2482"/>
      <c r="Z31" s="2482"/>
      <c r="AA31" s="2482"/>
      <c r="AB31" s="2482"/>
    </row>
    <row r="32" spans="1:28" ht="16.7" customHeight="1" x14ac:dyDescent="0.2">
      <c r="O32" s="2579"/>
      <c r="P32" s="2482"/>
      <c r="Q32" s="2482"/>
      <c r="R32" s="2482"/>
      <c r="S32" s="2482"/>
      <c r="T32" s="2482"/>
      <c r="U32" s="2482"/>
      <c r="V32" s="2482"/>
      <c r="W32" s="2482"/>
      <c r="X32" s="2482"/>
      <c r="Y32" s="2482"/>
      <c r="Z32" s="2482"/>
      <c r="AA32" s="2482"/>
      <c r="AB32" s="2482"/>
    </row>
    <row r="33" spans="15:28" ht="16.7" customHeight="1" x14ac:dyDescent="0.2">
      <c r="O33" s="2579"/>
      <c r="P33" s="2482"/>
      <c r="Q33" s="2482"/>
      <c r="R33" s="2482"/>
      <c r="S33" s="2482"/>
      <c r="T33" s="2482"/>
      <c r="U33" s="2482"/>
      <c r="V33" s="2482"/>
      <c r="W33" s="2482"/>
      <c r="X33" s="2482"/>
      <c r="Y33" s="2482"/>
      <c r="Z33" s="2482"/>
      <c r="AA33" s="2482"/>
      <c r="AB33" s="2482"/>
    </row>
    <row r="34" spans="15:28" ht="16.7" customHeight="1" x14ac:dyDescent="0.2">
      <c r="O34" s="2579"/>
      <c r="P34" s="2482"/>
      <c r="Q34" s="2482"/>
      <c r="R34" s="2482"/>
      <c r="S34" s="2482"/>
      <c r="T34" s="2482"/>
      <c r="U34" s="2482"/>
      <c r="V34" s="2482"/>
      <c r="W34" s="2482"/>
      <c r="X34" s="2482"/>
      <c r="Y34" s="2482"/>
      <c r="Z34" s="2482"/>
      <c r="AA34" s="2482"/>
      <c r="AB34" s="2482"/>
    </row>
    <row r="35" spans="15:28" ht="16.7" customHeight="1" x14ac:dyDescent="0.2">
      <c r="O35" s="2579"/>
      <c r="P35" s="2482"/>
      <c r="Q35" s="2482"/>
      <c r="R35" s="2482"/>
      <c r="S35" s="2482"/>
      <c r="T35" s="2482"/>
      <c r="U35" s="2482"/>
      <c r="V35" s="2482"/>
      <c r="W35" s="2482"/>
      <c r="X35" s="2482"/>
      <c r="Y35" s="2482"/>
      <c r="Z35" s="2482"/>
      <c r="AA35" s="2482"/>
      <c r="AB35" s="2482"/>
    </row>
    <row r="36" spans="15:28" ht="16.7" customHeight="1" x14ac:dyDescent="0.2">
      <c r="O36" s="2579"/>
      <c r="P36" s="2482"/>
      <c r="Q36" s="2482"/>
      <c r="R36" s="2482"/>
      <c r="S36" s="2482"/>
      <c r="T36" s="2482"/>
      <c r="U36" s="2482"/>
      <c r="V36" s="2482"/>
      <c r="W36" s="2482"/>
      <c r="X36" s="2482"/>
      <c r="Y36" s="2482"/>
      <c r="Z36" s="2482"/>
      <c r="AA36" s="2482"/>
      <c r="AB36" s="2482"/>
    </row>
    <row r="37" spans="15:28" ht="16.7" customHeight="1" x14ac:dyDescent="0.2">
      <c r="O37" s="2579"/>
      <c r="P37" s="2482"/>
      <c r="Q37" s="2482"/>
      <c r="R37" s="2482"/>
      <c r="S37" s="2482"/>
      <c r="T37" s="2482"/>
      <c r="U37" s="2482"/>
      <c r="V37" s="2482"/>
      <c r="W37" s="2482"/>
      <c r="X37" s="2482"/>
      <c r="Y37" s="2482"/>
      <c r="Z37" s="2482"/>
      <c r="AA37" s="2482"/>
      <c r="AB37" s="2482"/>
    </row>
    <row r="38" spans="15:28" ht="16.7" customHeight="1" x14ac:dyDescent="0.2">
      <c r="O38" s="2579"/>
      <c r="P38" s="2482"/>
      <c r="Q38" s="2482"/>
      <c r="R38" s="2482"/>
      <c r="S38" s="2482"/>
      <c r="T38" s="2482"/>
      <c r="U38" s="2482"/>
      <c r="V38" s="2482"/>
      <c r="W38" s="2482"/>
      <c r="X38" s="2482"/>
      <c r="Y38" s="2482"/>
      <c r="Z38" s="2482"/>
      <c r="AA38" s="2482"/>
      <c r="AB38" s="2482"/>
    </row>
    <row r="39" spans="15:28" ht="16.7" customHeight="1" x14ac:dyDescent="0.2">
      <c r="O39" s="2579"/>
      <c r="P39" s="2482"/>
      <c r="Q39" s="2482"/>
      <c r="R39" s="2482"/>
      <c r="S39" s="2482"/>
      <c r="T39" s="2482"/>
      <c r="U39" s="2482"/>
      <c r="V39" s="2482"/>
      <c r="W39" s="2482"/>
      <c r="X39" s="2482"/>
      <c r="Y39" s="2482"/>
      <c r="Z39" s="2482"/>
      <c r="AA39" s="2482"/>
      <c r="AB39" s="2482"/>
    </row>
    <row r="40" spans="15:28" ht="16.7" customHeight="1" x14ac:dyDescent="0.2">
      <c r="O40" s="2579"/>
      <c r="P40" s="2482"/>
      <c r="Q40" s="2482"/>
      <c r="R40" s="2482"/>
      <c r="S40" s="2482"/>
      <c r="T40" s="2482"/>
      <c r="U40" s="2482"/>
      <c r="V40" s="2482"/>
      <c r="W40" s="2482"/>
      <c r="X40" s="2482"/>
      <c r="Y40" s="2482"/>
      <c r="Z40" s="2482"/>
      <c r="AA40" s="2482"/>
      <c r="AB40" s="2482"/>
    </row>
    <row r="41" spans="15:28" ht="16.7" customHeight="1" x14ac:dyDescent="0.2">
      <c r="O41" s="2579"/>
      <c r="P41" s="2482"/>
      <c r="Q41" s="2482"/>
      <c r="R41" s="2482"/>
      <c r="S41" s="2482"/>
      <c r="T41" s="2482"/>
      <c r="U41" s="2482"/>
      <c r="V41" s="2482"/>
      <c r="W41" s="2482"/>
      <c r="X41" s="2482"/>
      <c r="Y41" s="2482"/>
      <c r="Z41" s="2482"/>
      <c r="AA41" s="2482"/>
      <c r="AB41" s="2482"/>
    </row>
    <row r="42" spans="15:28" ht="16.7" customHeight="1" x14ac:dyDescent="0.2">
      <c r="O42" s="2579"/>
      <c r="P42" s="2482"/>
      <c r="Q42" s="2482"/>
      <c r="R42" s="2482"/>
      <c r="S42" s="2482"/>
      <c r="T42" s="2482"/>
      <c r="U42" s="2482"/>
      <c r="V42" s="2482"/>
      <c r="W42" s="2482"/>
      <c r="X42" s="2482"/>
      <c r="Y42" s="2482"/>
      <c r="Z42" s="2482"/>
      <c r="AA42" s="2482"/>
      <c r="AB42" s="2482"/>
    </row>
    <row r="43" spans="15:28" ht="16.7" customHeight="1" x14ac:dyDescent="0.2">
      <c r="O43" s="2579"/>
      <c r="P43" s="2482"/>
      <c r="Q43" s="2482"/>
      <c r="R43" s="2482"/>
      <c r="S43" s="2482"/>
      <c r="T43" s="2482"/>
      <c r="U43" s="2482"/>
      <c r="V43" s="2482"/>
      <c r="W43" s="2482"/>
      <c r="X43" s="2482"/>
      <c r="Y43" s="2482"/>
      <c r="Z43" s="2482"/>
      <c r="AA43" s="2482"/>
      <c r="AB43" s="2482"/>
    </row>
    <row r="44" spans="15:28" ht="16.7" customHeight="1" x14ac:dyDescent="0.2">
      <c r="O44" s="2579"/>
      <c r="P44" s="2482"/>
      <c r="Q44" s="2482"/>
      <c r="R44" s="2482"/>
      <c r="S44" s="2482"/>
      <c r="T44" s="2482"/>
      <c r="U44" s="2482"/>
      <c r="V44" s="2482"/>
      <c r="W44" s="2482"/>
      <c r="X44" s="2482"/>
      <c r="Y44" s="2482"/>
      <c r="Z44" s="2482"/>
      <c r="AA44" s="2482"/>
      <c r="AB44" s="2482"/>
    </row>
    <row r="45" spans="15:28" ht="16.7" customHeight="1" x14ac:dyDescent="0.2">
      <c r="O45" s="2579"/>
      <c r="P45" s="2482"/>
      <c r="Q45" s="2482"/>
      <c r="R45" s="2482"/>
      <c r="S45" s="2482"/>
      <c r="T45" s="2482"/>
      <c r="U45" s="2482"/>
      <c r="V45" s="2482"/>
      <c r="W45" s="2482"/>
      <c r="X45" s="2482"/>
      <c r="Y45" s="2482"/>
      <c r="Z45" s="2482"/>
      <c r="AA45" s="2482"/>
      <c r="AB45" s="2482"/>
    </row>
    <row r="46" spans="15:28" ht="16.7" customHeight="1" x14ac:dyDescent="0.2">
      <c r="O46" s="2579"/>
      <c r="P46" s="2482"/>
      <c r="Q46" s="2482"/>
      <c r="R46" s="2482"/>
      <c r="S46" s="2482"/>
      <c r="T46" s="2482"/>
      <c r="U46" s="2482"/>
      <c r="V46" s="2482"/>
      <c r="W46" s="2482"/>
      <c r="X46" s="2482"/>
      <c r="Y46" s="2482"/>
      <c r="Z46" s="2482"/>
      <c r="AA46" s="2482"/>
      <c r="AB46" s="2482"/>
    </row>
    <row r="47" spans="15:28" ht="16.7" customHeight="1" x14ac:dyDescent="0.2">
      <c r="O47" s="2579"/>
      <c r="P47" s="2482"/>
      <c r="Q47" s="2482"/>
      <c r="R47" s="2482"/>
      <c r="S47" s="2482"/>
      <c r="T47" s="2482"/>
      <c r="U47" s="2482"/>
      <c r="V47" s="2482"/>
      <c r="W47" s="2482"/>
      <c r="X47" s="2482"/>
      <c r="Y47" s="2482"/>
      <c r="Z47" s="2482"/>
      <c r="AA47" s="2482"/>
      <c r="AB47" s="2482"/>
    </row>
    <row r="48" spans="15:28" ht="16.7" customHeight="1" x14ac:dyDescent="0.2">
      <c r="O48" s="2579"/>
      <c r="P48" s="2482"/>
      <c r="Q48" s="2482"/>
      <c r="R48" s="2482"/>
      <c r="S48" s="2482"/>
      <c r="T48" s="2482"/>
      <c r="U48" s="2482"/>
      <c r="V48" s="2482"/>
      <c r="W48" s="2482"/>
      <c r="X48" s="2482"/>
      <c r="Y48" s="2482"/>
      <c r="Z48" s="2482"/>
      <c r="AA48" s="2482"/>
      <c r="AB48" s="2482"/>
    </row>
    <row r="49" spans="15:28" ht="16.7" customHeight="1" x14ac:dyDescent="0.2">
      <c r="O49" s="2579"/>
      <c r="P49" s="2482"/>
      <c r="Q49" s="2482"/>
      <c r="R49" s="2482"/>
      <c r="S49" s="2482"/>
      <c r="T49" s="2482"/>
      <c r="U49" s="2482"/>
      <c r="V49" s="2482"/>
      <c r="W49" s="2482"/>
      <c r="X49" s="2482"/>
      <c r="Y49" s="2482"/>
      <c r="Z49" s="2482"/>
      <c r="AA49" s="2482"/>
      <c r="AB49" s="2482"/>
    </row>
    <row r="50" spans="15:28" ht="16.7" customHeight="1" x14ac:dyDescent="0.2">
      <c r="O50" s="2579"/>
      <c r="P50" s="2482"/>
      <c r="Q50" s="2482"/>
      <c r="R50" s="2482"/>
      <c r="S50" s="2482"/>
      <c r="T50" s="2482"/>
      <c r="U50" s="2482"/>
      <c r="V50" s="2482"/>
      <c r="W50" s="2482"/>
      <c r="X50" s="2482"/>
      <c r="Y50" s="2482"/>
      <c r="Z50" s="2482"/>
      <c r="AA50" s="2482"/>
      <c r="AB50" s="2482"/>
    </row>
    <row r="51" spans="15:28" ht="16.7" customHeight="1" x14ac:dyDescent="0.2">
      <c r="O51" s="2579"/>
      <c r="P51" s="2482"/>
      <c r="Q51" s="2482"/>
      <c r="R51" s="2482"/>
      <c r="S51" s="2482"/>
      <c r="T51" s="2482"/>
      <c r="U51" s="2482"/>
      <c r="V51" s="2482"/>
      <c r="W51" s="2482"/>
      <c r="X51" s="2482"/>
      <c r="Y51" s="2482"/>
      <c r="Z51" s="2482"/>
      <c r="AA51" s="2482"/>
      <c r="AB51" s="2482"/>
    </row>
    <row r="52" spans="15:28" ht="16.7" customHeight="1" x14ac:dyDescent="0.2">
      <c r="O52" s="2579"/>
      <c r="P52" s="2482"/>
      <c r="Q52" s="2482"/>
      <c r="R52" s="2482"/>
      <c r="S52" s="2482"/>
      <c r="T52" s="2482"/>
      <c r="U52" s="2482"/>
      <c r="V52" s="2482"/>
      <c r="W52" s="2482"/>
      <c r="X52" s="2482"/>
      <c r="Y52" s="2482"/>
      <c r="Z52" s="2482"/>
      <c r="AA52" s="2482"/>
      <c r="AB52" s="2482"/>
    </row>
    <row r="53" spans="15:28" ht="16.7" customHeight="1" x14ac:dyDescent="0.2">
      <c r="O53" s="2579"/>
      <c r="P53" s="2482"/>
      <c r="Q53" s="2482"/>
      <c r="R53" s="2482"/>
      <c r="S53" s="2482"/>
      <c r="T53" s="2482"/>
      <c r="U53" s="2482"/>
      <c r="V53" s="2482"/>
      <c r="W53" s="2482"/>
      <c r="X53" s="2482"/>
      <c r="Y53" s="2482"/>
      <c r="Z53" s="2482"/>
      <c r="AA53" s="2482"/>
      <c r="AB53" s="2482"/>
    </row>
    <row r="54" spans="15:28" ht="16.7" customHeight="1" x14ac:dyDescent="0.2">
      <c r="O54" s="2579"/>
      <c r="P54" s="2482"/>
      <c r="Q54" s="2482"/>
      <c r="R54" s="2482"/>
      <c r="S54" s="2482"/>
      <c r="T54" s="2482"/>
      <c r="U54" s="2482"/>
      <c r="V54" s="2482"/>
      <c r="W54" s="2482"/>
      <c r="X54" s="2482"/>
      <c r="Y54" s="2482"/>
      <c r="Z54" s="2482"/>
      <c r="AA54" s="2482"/>
      <c r="AB54" s="2482"/>
    </row>
    <row r="55" spans="15:28" ht="16.7" customHeight="1" x14ac:dyDescent="0.2">
      <c r="O55" s="2579"/>
      <c r="P55" s="2482"/>
      <c r="Q55" s="2482"/>
      <c r="R55" s="2482"/>
      <c r="S55" s="2482"/>
      <c r="T55" s="2482"/>
      <c r="U55" s="2482"/>
      <c r="V55" s="2482"/>
      <c r="W55" s="2482"/>
      <c r="X55" s="2482"/>
      <c r="Y55" s="2482"/>
      <c r="Z55" s="2482"/>
      <c r="AA55" s="2482"/>
      <c r="AB55" s="2482"/>
    </row>
    <row r="56" spans="15:28" ht="16.7" customHeight="1" x14ac:dyDescent="0.2">
      <c r="O56" s="2579"/>
      <c r="P56" s="2482"/>
      <c r="Q56" s="2482"/>
      <c r="R56" s="2482"/>
      <c r="S56" s="2482"/>
      <c r="T56" s="2482"/>
      <c r="U56" s="2482"/>
      <c r="V56" s="2482"/>
      <c r="W56" s="2482"/>
      <c r="X56" s="2482"/>
      <c r="Y56" s="2482"/>
      <c r="Z56" s="2482"/>
      <c r="AA56" s="2482"/>
      <c r="AB56" s="2482"/>
    </row>
    <row r="57" spans="15:28" ht="16.7" customHeight="1" x14ac:dyDescent="0.2">
      <c r="O57" s="2579"/>
      <c r="P57" s="2482"/>
      <c r="Q57" s="2482"/>
      <c r="R57" s="2482"/>
      <c r="S57" s="2482"/>
      <c r="T57" s="2482"/>
      <c r="U57" s="2482"/>
      <c r="V57" s="2482"/>
      <c r="W57" s="2482"/>
      <c r="X57" s="2482"/>
      <c r="Y57" s="2482"/>
      <c r="Z57" s="2482"/>
      <c r="AA57" s="2482"/>
      <c r="AB57" s="2482"/>
    </row>
    <row r="58" spans="15:28" ht="16.7" customHeight="1" x14ac:dyDescent="0.2">
      <c r="O58" s="2579"/>
      <c r="P58" s="2482"/>
      <c r="Q58" s="2482"/>
      <c r="R58" s="2482"/>
      <c r="S58" s="2482"/>
      <c r="T58" s="2482"/>
      <c r="U58" s="2482"/>
      <c r="V58" s="2482"/>
      <c r="W58" s="2482"/>
      <c r="X58" s="2482"/>
      <c r="Y58" s="2482"/>
      <c r="Z58" s="2482"/>
      <c r="AA58" s="2482"/>
      <c r="AB58" s="2482"/>
    </row>
    <row r="59" spans="15:28" ht="16.7" customHeight="1" x14ac:dyDescent="0.2">
      <c r="O59" s="2579"/>
      <c r="P59" s="2482"/>
      <c r="Q59" s="2482"/>
      <c r="R59" s="2482"/>
      <c r="S59" s="2482"/>
      <c r="T59" s="2482"/>
      <c r="U59" s="2482"/>
      <c r="V59" s="2482"/>
      <c r="W59" s="2482"/>
      <c r="X59" s="2482"/>
      <c r="Y59" s="2482"/>
      <c r="Z59" s="2482"/>
      <c r="AA59" s="2482"/>
      <c r="AB59" s="2482"/>
    </row>
    <row r="60" spans="15:28" ht="16.7" customHeight="1" x14ac:dyDescent="0.2">
      <c r="O60" s="2579"/>
      <c r="P60" s="2482"/>
      <c r="Q60" s="2482"/>
      <c r="R60" s="2482"/>
      <c r="S60" s="2482"/>
      <c r="T60" s="2482"/>
      <c r="U60" s="2482"/>
      <c r="V60" s="2482"/>
      <c r="W60" s="2482"/>
      <c r="X60" s="2482"/>
      <c r="Y60" s="2482"/>
      <c r="Z60" s="2482"/>
      <c r="AA60" s="2482"/>
      <c r="AB60" s="2482"/>
    </row>
    <row r="61" spans="15:28" ht="16.7" customHeight="1" x14ac:dyDescent="0.2">
      <c r="O61" s="2579"/>
      <c r="P61" s="2482"/>
      <c r="Q61" s="2482"/>
      <c r="R61" s="2482"/>
      <c r="S61" s="2482"/>
      <c r="T61" s="2482"/>
      <c r="U61" s="2482"/>
      <c r="V61" s="2482"/>
      <c r="W61" s="2482"/>
      <c r="X61" s="2482"/>
      <c r="Y61" s="2482"/>
      <c r="Z61" s="2482"/>
      <c r="AA61" s="2482"/>
      <c r="AB61" s="2482"/>
    </row>
    <row r="62" spans="15:28" ht="16.7" customHeight="1" x14ac:dyDescent="0.2">
      <c r="O62" s="2579"/>
      <c r="P62" s="2482"/>
      <c r="Q62" s="2482"/>
      <c r="R62" s="2482"/>
      <c r="S62" s="2482"/>
      <c r="T62" s="2482"/>
      <c r="U62" s="2482"/>
      <c r="V62" s="2482"/>
      <c r="W62" s="2482"/>
      <c r="X62" s="2482"/>
      <c r="Y62" s="2482"/>
      <c r="Z62" s="2482"/>
      <c r="AA62" s="2482"/>
      <c r="AB62" s="2482"/>
    </row>
    <row r="63" spans="15:28" ht="16.7" customHeight="1" x14ac:dyDescent="0.2">
      <c r="O63" s="2579"/>
      <c r="P63" s="2482"/>
      <c r="Q63" s="2482"/>
      <c r="R63" s="2482"/>
      <c r="S63" s="2482"/>
      <c r="T63" s="2482"/>
      <c r="U63" s="2482"/>
      <c r="V63" s="2482"/>
      <c r="W63" s="2482"/>
      <c r="X63" s="2482"/>
      <c r="Y63" s="2482"/>
      <c r="Z63" s="2482"/>
      <c r="AA63" s="2482"/>
      <c r="AB63" s="2482"/>
    </row>
    <row r="64" spans="15:28" ht="16.7" customHeight="1" x14ac:dyDescent="0.2">
      <c r="O64" s="2579"/>
      <c r="P64" s="2482"/>
      <c r="Q64" s="2482"/>
      <c r="R64" s="2482"/>
      <c r="S64" s="2482"/>
      <c r="T64" s="2482"/>
      <c r="U64" s="2482"/>
      <c r="V64" s="2482"/>
      <c r="W64" s="2482"/>
      <c r="X64" s="2482"/>
      <c r="Y64" s="2482"/>
      <c r="Z64" s="2482"/>
      <c r="AA64" s="2482"/>
      <c r="AB64" s="2482"/>
    </row>
    <row r="65" spans="15:28" ht="16.7" customHeight="1" x14ac:dyDescent="0.2">
      <c r="O65" s="2579"/>
      <c r="P65" s="2482"/>
      <c r="Q65" s="2482"/>
      <c r="R65" s="2482"/>
      <c r="S65" s="2482"/>
      <c r="T65" s="2482"/>
      <c r="U65" s="2482"/>
      <c r="V65" s="2482"/>
      <c r="W65" s="2482"/>
      <c r="X65" s="2482"/>
      <c r="Y65" s="2482"/>
      <c r="Z65" s="2482"/>
      <c r="AA65" s="2482"/>
      <c r="AB65" s="2482"/>
    </row>
    <row r="66" spans="15:28" ht="16.7" customHeight="1" x14ac:dyDescent="0.2">
      <c r="O66" s="2579"/>
      <c r="P66" s="2482"/>
      <c r="Q66" s="2482"/>
      <c r="R66" s="2482"/>
      <c r="S66" s="2482"/>
      <c r="T66" s="2482"/>
      <c r="U66" s="2482"/>
      <c r="V66" s="2482"/>
      <c r="W66" s="2482"/>
      <c r="X66" s="2482"/>
      <c r="Y66" s="2482"/>
      <c r="Z66" s="2482"/>
      <c r="AA66" s="2482"/>
      <c r="AB66" s="2482"/>
    </row>
    <row r="67" spans="15:28" ht="16.7" customHeight="1" x14ac:dyDescent="0.2">
      <c r="O67" s="2579"/>
      <c r="P67" s="2482"/>
      <c r="Q67" s="2482"/>
      <c r="R67" s="2482"/>
      <c r="S67" s="2482"/>
      <c r="T67" s="2482"/>
      <c r="U67" s="2482"/>
      <c r="V67" s="2482"/>
      <c r="W67" s="2482"/>
      <c r="X67" s="2482"/>
      <c r="Y67" s="2482"/>
      <c r="Z67" s="2482"/>
      <c r="AA67" s="2482"/>
      <c r="AB67" s="2482"/>
    </row>
    <row r="68" spans="15:28" ht="16.7" customHeight="1" x14ac:dyDescent="0.2">
      <c r="O68" s="2579"/>
      <c r="P68" s="2482"/>
      <c r="Q68" s="2482"/>
      <c r="R68" s="2482"/>
      <c r="S68" s="2482"/>
      <c r="T68" s="2482"/>
      <c r="U68" s="2482"/>
      <c r="V68" s="2482"/>
      <c r="W68" s="2482"/>
      <c r="X68" s="2482"/>
      <c r="Y68" s="2482"/>
      <c r="Z68" s="2482"/>
      <c r="AA68" s="2482"/>
      <c r="AB68" s="2482"/>
    </row>
    <row r="69" spans="15:28" ht="16.7" customHeight="1" x14ac:dyDescent="0.2">
      <c r="O69" s="2579"/>
      <c r="P69" s="2482"/>
      <c r="Q69" s="2482"/>
      <c r="R69" s="2482"/>
      <c r="S69" s="2482"/>
      <c r="T69" s="2482"/>
      <c r="U69" s="2482"/>
      <c r="V69" s="2482"/>
      <c r="W69" s="2482"/>
      <c r="X69" s="2482"/>
      <c r="Y69" s="2482"/>
      <c r="Z69" s="2482"/>
      <c r="AA69" s="2482"/>
      <c r="AB69" s="2482"/>
    </row>
    <row r="70" spans="15:28" ht="16.7" customHeight="1" x14ac:dyDescent="0.2">
      <c r="O70" s="2579"/>
      <c r="P70" s="2482"/>
      <c r="Q70" s="2482"/>
      <c r="R70" s="2482"/>
      <c r="S70" s="2482"/>
      <c r="T70" s="2482"/>
      <c r="U70" s="2482"/>
      <c r="V70" s="2482"/>
      <c r="W70" s="2482"/>
      <c r="X70" s="2482"/>
      <c r="Y70" s="2482"/>
      <c r="Z70" s="2482"/>
      <c r="AA70" s="2482"/>
      <c r="AB70" s="2482"/>
    </row>
    <row r="71" spans="15:28" ht="16.7" customHeight="1" x14ac:dyDescent="0.2">
      <c r="O71" s="2579"/>
      <c r="P71" s="2482"/>
      <c r="Q71" s="2482"/>
      <c r="R71" s="2482"/>
      <c r="S71" s="2482"/>
      <c r="T71" s="2482"/>
      <c r="U71" s="2482"/>
      <c r="V71" s="2482"/>
      <c r="W71" s="2482"/>
      <c r="X71" s="2482"/>
      <c r="Y71" s="2482"/>
      <c r="Z71" s="2482"/>
      <c r="AA71" s="2482"/>
      <c r="AB71" s="2482"/>
    </row>
    <row r="72" spans="15:28" ht="16.7" customHeight="1" x14ac:dyDescent="0.2">
      <c r="O72" s="2579"/>
      <c r="P72" s="2482"/>
      <c r="Q72" s="2482"/>
      <c r="R72" s="2482"/>
      <c r="S72" s="2482"/>
      <c r="T72" s="2482"/>
      <c r="U72" s="2482"/>
      <c r="V72" s="2482"/>
      <c r="W72" s="2482"/>
      <c r="X72" s="2482"/>
      <c r="Y72" s="2482"/>
      <c r="Z72" s="2482"/>
      <c r="AA72" s="2482"/>
      <c r="AB72" s="2482"/>
    </row>
    <row r="73" spans="15:28" ht="16.7" customHeight="1" x14ac:dyDescent="0.2">
      <c r="O73" s="2579"/>
      <c r="P73" s="2482"/>
      <c r="Q73" s="2482"/>
      <c r="R73" s="2482"/>
      <c r="S73" s="2482"/>
      <c r="T73" s="2482"/>
      <c r="U73" s="2482"/>
      <c r="V73" s="2482"/>
      <c r="W73" s="2482"/>
      <c r="X73" s="2482"/>
      <c r="Y73" s="2482"/>
      <c r="Z73" s="2482"/>
      <c r="AA73" s="2482"/>
      <c r="AB73" s="2482"/>
    </row>
    <row r="74" spans="15:28" ht="16.7" customHeight="1" x14ac:dyDescent="0.2">
      <c r="O74" s="2579"/>
      <c r="P74" s="2482"/>
      <c r="Q74" s="2482"/>
      <c r="R74" s="2482"/>
      <c r="S74" s="2482"/>
      <c r="T74" s="2482"/>
      <c r="U74" s="2482"/>
      <c r="V74" s="2482"/>
      <c r="W74" s="2482"/>
      <c r="X74" s="2482"/>
      <c r="Y74" s="2482"/>
      <c r="Z74" s="2482"/>
      <c r="AA74" s="2482"/>
      <c r="AB74" s="2482"/>
    </row>
    <row r="75" spans="15:28" ht="16.7" customHeight="1" x14ac:dyDescent="0.2">
      <c r="O75" s="2579"/>
      <c r="P75" s="2482"/>
      <c r="Q75" s="2482"/>
      <c r="R75" s="2482"/>
      <c r="S75" s="2482"/>
      <c r="T75" s="2482"/>
      <c r="U75" s="2482"/>
      <c r="V75" s="2482"/>
      <c r="W75" s="2482"/>
      <c r="X75" s="2482"/>
      <c r="Y75" s="2482"/>
      <c r="Z75" s="2482"/>
      <c r="AA75" s="2482"/>
      <c r="AB75" s="2482"/>
    </row>
    <row r="76" spans="15:28" ht="16.7" customHeight="1" x14ac:dyDescent="0.2">
      <c r="O76" s="2579"/>
      <c r="P76" s="2482"/>
      <c r="Q76" s="2482"/>
      <c r="R76" s="2482"/>
      <c r="S76" s="2482"/>
      <c r="T76" s="2482"/>
      <c r="U76" s="2482"/>
      <c r="V76" s="2482"/>
      <c r="W76" s="2482"/>
      <c r="X76" s="2482"/>
      <c r="Y76" s="2482"/>
      <c r="Z76" s="2482"/>
      <c r="AA76" s="2482"/>
      <c r="AB76" s="2482"/>
    </row>
    <row r="77" spans="15:28" ht="16.7" customHeight="1" x14ac:dyDescent="0.2">
      <c r="O77" s="2579"/>
      <c r="P77" s="2482"/>
      <c r="Q77" s="2482"/>
      <c r="R77" s="2482"/>
      <c r="S77" s="2482"/>
      <c r="T77" s="2482"/>
      <c r="U77" s="2482"/>
      <c r="V77" s="2482"/>
      <c r="W77" s="2482"/>
      <c r="X77" s="2482"/>
      <c r="Y77" s="2482"/>
      <c r="Z77" s="2482"/>
      <c r="AA77" s="2482"/>
      <c r="AB77" s="2482"/>
    </row>
    <row r="78" spans="15:28" ht="16.7" customHeight="1" x14ac:dyDescent="0.2">
      <c r="O78" s="2579"/>
      <c r="P78" s="2482"/>
      <c r="Q78" s="2482"/>
      <c r="R78" s="2482"/>
      <c r="S78" s="2482"/>
      <c r="T78" s="2482"/>
      <c r="U78" s="2482"/>
      <c r="V78" s="2482"/>
      <c r="W78" s="2482"/>
      <c r="X78" s="2482"/>
      <c r="Y78" s="2482"/>
      <c r="Z78" s="2482"/>
      <c r="AA78" s="2482"/>
      <c r="AB78" s="2482"/>
    </row>
    <row r="79" spans="15:28" ht="16.7" customHeight="1" x14ac:dyDescent="0.2">
      <c r="O79" s="2579"/>
      <c r="P79" s="2482"/>
      <c r="Q79" s="2482"/>
      <c r="R79" s="2482"/>
      <c r="S79" s="2482"/>
      <c r="T79" s="2482"/>
      <c r="U79" s="2482"/>
      <c r="V79" s="2482"/>
      <c r="W79" s="2482"/>
      <c r="X79" s="2482"/>
      <c r="Y79" s="2482"/>
      <c r="Z79" s="2482"/>
      <c r="AA79" s="2482"/>
      <c r="AB79" s="2482"/>
    </row>
    <row r="80" spans="15:28" ht="16.7" customHeight="1" x14ac:dyDescent="0.2">
      <c r="O80" s="2579"/>
      <c r="P80" s="2482"/>
      <c r="Q80" s="2482"/>
      <c r="R80" s="2482"/>
      <c r="S80" s="2482"/>
      <c r="T80" s="2482"/>
      <c r="U80" s="2482"/>
      <c r="V80" s="2482"/>
      <c r="W80" s="2482"/>
      <c r="X80" s="2482"/>
      <c r="Y80" s="2482"/>
      <c r="Z80" s="2482"/>
      <c r="AA80" s="2482"/>
      <c r="AB80" s="2482"/>
    </row>
    <row r="81" spans="15:28" ht="16.7" customHeight="1" x14ac:dyDescent="0.2">
      <c r="O81" s="2579"/>
      <c r="P81" s="2482"/>
      <c r="Q81" s="2482"/>
      <c r="R81" s="2482"/>
      <c r="S81" s="2482"/>
      <c r="T81" s="2482"/>
      <c r="U81" s="2482"/>
      <c r="V81" s="2482"/>
      <c r="W81" s="2482"/>
      <c r="X81" s="2482"/>
      <c r="Y81" s="2482"/>
      <c r="Z81" s="2482"/>
      <c r="AA81" s="2482"/>
      <c r="AB81" s="2482"/>
    </row>
    <row r="82" spans="15:28" ht="16.7" customHeight="1" x14ac:dyDescent="0.2">
      <c r="O82" s="2579"/>
      <c r="P82" s="2482"/>
      <c r="Q82" s="2482"/>
      <c r="R82" s="2482"/>
      <c r="S82" s="2482"/>
      <c r="T82" s="2482"/>
      <c r="U82" s="2482"/>
      <c r="V82" s="2482"/>
      <c r="W82" s="2482"/>
      <c r="X82" s="2482"/>
      <c r="Y82" s="2482"/>
      <c r="Z82" s="2482"/>
      <c r="AA82" s="2482"/>
      <c r="AB82" s="2482"/>
    </row>
    <row r="83" spans="15:28" ht="16.7" customHeight="1" x14ac:dyDescent="0.2">
      <c r="O83" s="2579"/>
      <c r="P83" s="2482"/>
      <c r="Q83" s="2482"/>
      <c r="R83" s="2482"/>
      <c r="S83" s="2482"/>
      <c r="T83" s="2482"/>
      <c r="U83" s="2482"/>
      <c r="V83" s="2482"/>
      <c r="W83" s="2482"/>
      <c r="X83" s="2482"/>
      <c r="Y83" s="2482"/>
      <c r="Z83" s="2482"/>
      <c r="AA83" s="2482"/>
      <c r="AB83" s="2482"/>
    </row>
    <row r="84" spans="15:28" ht="16.7" customHeight="1" x14ac:dyDescent="0.2">
      <c r="O84" s="2579"/>
      <c r="P84" s="2482"/>
      <c r="Q84" s="2482"/>
      <c r="R84" s="2482"/>
      <c r="S84" s="2482"/>
      <c r="T84" s="2482"/>
      <c r="U84" s="2482"/>
      <c r="V84" s="2482"/>
      <c r="W84" s="2482"/>
      <c r="X84" s="2482"/>
      <c r="Y84" s="2482"/>
      <c r="Z84" s="2482"/>
      <c r="AA84" s="2482"/>
      <c r="AB84" s="2482"/>
    </row>
    <row r="85" spans="15:28" ht="16.7" customHeight="1" x14ac:dyDescent="0.2">
      <c r="O85" s="2579"/>
      <c r="P85" s="2482"/>
      <c r="Q85" s="2482"/>
      <c r="R85" s="2482"/>
      <c r="S85" s="2482"/>
      <c r="T85" s="2482"/>
      <c r="U85" s="2482"/>
      <c r="V85" s="2482"/>
      <c r="W85" s="2482"/>
      <c r="X85" s="2482"/>
      <c r="Y85" s="2482"/>
      <c r="Z85" s="2482"/>
      <c r="AA85" s="2482"/>
      <c r="AB85" s="2482"/>
    </row>
    <row r="86" spans="15:28" ht="16.7" customHeight="1" x14ac:dyDescent="0.2">
      <c r="O86" s="2579"/>
      <c r="P86" s="2482"/>
      <c r="Q86" s="2482"/>
      <c r="R86" s="2482"/>
      <c r="S86" s="2482"/>
      <c r="T86" s="2482"/>
      <c r="U86" s="2482"/>
      <c r="V86" s="2482"/>
      <c r="W86" s="2482"/>
      <c r="X86" s="2482"/>
      <c r="Y86" s="2482"/>
      <c r="Z86" s="2482"/>
      <c r="AA86" s="2482"/>
      <c r="AB86" s="2482"/>
    </row>
    <row r="87" spans="15:28" ht="16.7" customHeight="1" x14ac:dyDescent="0.2">
      <c r="O87" s="2579"/>
      <c r="P87" s="2482"/>
      <c r="Q87" s="2482"/>
      <c r="R87" s="2482"/>
      <c r="S87" s="2482"/>
      <c r="T87" s="2482"/>
      <c r="U87" s="2482"/>
      <c r="V87" s="2482"/>
      <c r="W87" s="2482"/>
      <c r="X87" s="2482"/>
      <c r="Y87" s="2482"/>
      <c r="Z87" s="2482"/>
      <c r="AA87" s="2482"/>
      <c r="AB87" s="2482"/>
    </row>
    <row r="88" spans="15:28" ht="16.7" customHeight="1" x14ac:dyDescent="0.2">
      <c r="O88" s="2579"/>
      <c r="P88" s="2482"/>
      <c r="Q88" s="2482"/>
      <c r="R88" s="2482"/>
      <c r="S88" s="2482"/>
      <c r="T88" s="2482"/>
      <c r="U88" s="2482"/>
      <c r="V88" s="2482"/>
      <c r="W88" s="2482"/>
      <c r="X88" s="2482"/>
      <c r="Y88" s="2482"/>
      <c r="Z88" s="2482"/>
      <c r="AA88" s="2482"/>
      <c r="AB88" s="2482"/>
    </row>
    <row r="89" spans="15:28" ht="16.7" customHeight="1" x14ac:dyDescent="0.2">
      <c r="O89" s="2579"/>
      <c r="P89" s="2482"/>
      <c r="Q89" s="2482"/>
      <c r="R89" s="2482"/>
      <c r="S89" s="2482"/>
      <c r="T89" s="2482"/>
      <c r="U89" s="2482"/>
      <c r="V89" s="2482"/>
      <c r="W89" s="2482"/>
      <c r="X89" s="2482"/>
      <c r="Y89" s="2482"/>
      <c r="Z89" s="2482"/>
      <c r="AA89" s="2482"/>
      <c r="AB89" s="2482"/>
    </row>
    <row r="90" spans="15:28" ht="16.7" customHeight="1" x14ac:dyDescent="0.2">
      <c r="O90" s="2579"/>
      <c r="P90" s="2482"/>
      <c r="Q90" s="2482"/>
      <c r="R90" s="2482"/>
      <c r="S90" s="2482"/>
      <c r="T90" s="2482"/>
      <c r="U90" s="2482"/>
      <c r="V90" s="2482"/>
      <c r="W90" s="2482"/>
      <c r="X90" s="2482"/>
      <c r="Y90" s="2482"/>
      <c r="Z90" s="2482"/>
      <c r="AA90" s="2482"/>
      <c r="AB90" s="2482"/>
    </row>
    <row r="91" spans="15:28" ht="16.7" customHeight="1" x14ac:dyDescent="0.2">
      <c r="O91" s="2579"/>
      <c r="P91" s="2482"/>
      <c r="Q91" s="2482"/>
      <c r="R91" s="2482"/>
      <c r="S91" s="2482"/>
      <c r="T91" s="2482"/>
      <c r="U91" s="2482"/>
      <c r="V91" s="2482"/>
      <c r="W91" s="2482"/>
      <c r="X91" s="2482"/>
      <c r="Y91" s="2482"/>
      <c r="Z91" s="2482"/>
      <c r="AA91" s="2482"/>
      <c r="AB91" s="2482"/>
    </row>
    <row r="92" spans="15:28" ht="16.7" customHeight="1" x14ac:dyDescent="0.2">
      <c r="O92" s="2579"/>
      <c r="P92" s="2482"/>
      <c r="Q92" s="2482"/>
      <c r="R92" s="2482"/>
      <c r="S92" s="2482"/>
      <c r="T92" s="2482"/>
      <c r="U92" s="2482"/>
      <c r="V92" s="2482"/>
      <c r="W92" s="2482"/>
      <c r="X92" s="2482"/>
      <c r="Y92" s="2482"/>
      <c r="Z92" s="2482"/>
      <c r="AA92" s="2482"/>
      <c r="AB92" s="2482"/>
    </row>
    <row r="93" spans="15:28" ht="16.7" customHeight="1" x14ac:dyDescent="0.2">
      <c r="O93" s="2579"/>
      <c r="P93" s="2482"/>
      <c r="Q93" s="2482"/>
      <c r="R93" s="2482"/>
      <c r="S93" s="2482"/>
      <c r="T93" s="2482"/>
      <c r="U93" s="2482"/>
      <c r="V93" s="2482"/>
      <c r="W93" s="2482"/>
      <c r="X93" s="2482"/>
      <c r="Y93" s="2482"/>
      <c r="Z93" s="2482"/>
      <c r="AA93" s="2482"/>
      <c r="AB93" s="2482"/>
    </row>
    <row r="94" spans="15:28" ht="16.7" customHeight="1" x14ac:dyDescent="0.2">
      <c r="O94" s="2579"/>
      <c r="P94" s="2482"/>
      <c r="Q94" s="2482"/>
      <c r="R94" s="2482"/>
      <c r="S94" s="2482"/>
      <c r="T94" s="2482"/>
      <c r="U94" s="2482"/>
      <c r="V94" s="2482"/>
      <c r="W94" s="2482"/>
      <c r="X94" s="2482"/>
      <c r="Y94" s="2482"/>
      <c r="Z94" s="2482"/>
      <c r="AA94" s="2482"/>
      <c r="AB94" s="2482"/>
    </row>
    <row r="95" spans="15:28" ht="16.7" customHeight="1" x14ac:dyDescent="0.2">
      <c r="O95" s="2579"/>
      <c r="P95" s="2482"/>
      <c r="Q95" s="2482"/>
      <c r="R95" s="2482"/>
      <c r="S95" s="2482"/>
      <c r="T95" s="2482"/>
      <c r="U95" s="2482"/>
      <c r="V95" s="2482"/>
      <c r="W95" s="2482"/>
      <c r="X95" s="2482"/>
      <c r="Y95" s="2482"/>
      <c r="Z95" s="2482"/>
      <c r="AA95" s="2482"/>
      <c r="AB95" s="2482"/>
    </row>
    <row r="96" spans="15:28" ht="16.7" customHeight="1" x14ac:dyDescent="0.2">
      <c r="O96" s="2579"/>
      <c r="P96" s="2482"/>
      <c r="Q96" s="2482"/>
      <c r="R96" s="2482"/>
      <c r="S96" s="2482"/>
      <c r="T96" s="2482"/>
      <c r="U96" s="2482"/>
      <c r="V96" s="2482"/>
      <c r="W96" s="2482"/>
      <c r="X96" s="2482"/>
      <c r="Y96" s="2482"/>
      <c r="Z96" s="2482"/>
      <c r="AA96" s="2482"/>
      <c r="AB96" s="2482"/>
    </row>
    <row r="97" spans="15:28" ht="16.7" customHeight="1" x14ac:dyDescent="0.2">
      <c r="O97" s="2579"/>
      <c r="P97" s="2482"/>
      <c r="Q97" s="2482"/>
      <c r="R97" s="2482"/>
      <c r="S97" s="2482"/>
      <c r="T97" s="2482"/>
      <c r="U97" s="2482"/>
      <c r="V97" s="2482"/>
      <c r="W97" s="2482"/>
      <c r="X97" s="2482"/>
      <c r="Y97" s="2482"/>
      <c r="Z97" s="2482"/>
      <c r="AA97" s="2482"/>
      <c r="AB97" s="2482"/>
    </row>
    <row r="98" spans="15:28" ht="16.7" customHeight="1" x14ac:dyDescent="0.2">
      <c r="O98" s="2579"/>
      <c r="P98" s="2482"/>
      <c r="Q98" s="2482"/>
      <c r="R98" s="2482"/>
      <c r="S98" s="2482"/>
      <c r="T98" s="2482"/>
      <c r="U98" s="2482"/>
      <c r="V98" s="2482"/>
      <c r="W98" s="2482"/>
      <c r="X98" s="2482"/>
      <c r="Y98" s="2482"/>
      <c r="Z98" s="2482"/>
      <c r="AA98" s="2482"/>
      <c r="AB98" s="2482"/>
    </row>
    <row r="99" spans="15:28" ht="16.7" customHeight="1" x14ac:dyDescent="0.2">
      <c r="O99" s="2579"/>
      <c r="P99" s="2482"/>
      <c r="Q99" s="2482"/>
      <c r="R99" s="2482"/>
      <c r="S99" s="2482"/>
      <c r="T99" s="2482"/>
      <c r="U99" s="2482"/>
      <c r="V99" s="2482"/>
      <c r="W99" s="2482"/>
      <c r="X99" s="2482"/>
      <c r="Y99" s="2482"/>
      <c r="Z99" s="2482"/>
      <c r="AA99" s="2482"/>
      <c r="AB99" s="2482"/>
    </row>
    <row r="100" spans="15:28" ht="16.7" customHeight="1" x14ac:dyDescent="0.2">
      <c r="O100" s="2579"/>
      <c r="P100" s="2482"/>
      <c r="Q100" s="2482"/>
      <c r="R100" s="2482"/>
      <c r="S100" s="2482"/>
      <c r="T100" s="2482"/>
      <c r="U100" s="2482"/>
      <c r="V100" s="2482"/>
      <c r="W100" s="2482"/>
      <c r="X100" s="2482"/>
      <c r="Y100" s="2482"/>
      <c r="Z100" s="2482"/>
      <c r="AA100" s="2482"/>
      <c r="AB100" s="2482"/>
    </row>
    <row r="101" spans="15:28" ht="16.7" customHeight="1" x14ac:dyDescent="0.2">
      <c r="O101" s="2579"/>
      <c r="P101" s="2482"/>
      <c r="Q101" s="2482"/>
      <c r="R101" s="2482"/>
      <c r="S101" s="2482"/>
      <c r="T101" s="2482"/>
      <c r="U101" s="2482"/>
      <c r="V101" s="2482"/>
      <c r="W101" s="2482"/>
      <c r="X101" s="2482"/>
      <c r="Y101" s="2482"/>
      <c r="Z101" s="2482"/>
      <c r="AA101" s="2482"/>
      <c r="AB101" s="2482"/>
    </row>
    <row r="102" spans="15:28" ht="16.7" customHeight="1" x14ac:dyDescent="0.2">
      <c r="O102" s="2579"/>
      <c r="P102" s="2482"/>
      <c r="Q102" s="2482"/>
      <c r="R102" s="2482"/>
      <c r="S102" s="2482"/>
      <c r="T102" s="2482"/>
      <c r="U102" s="2482"/>
      <c r="V102" s="2482"/>
      <c r="W102" s="2482"/>
      <c r="X102" s="2482"/>
      <c r="Y102" s="2482"/>
      <c r="Z102" s="2482"/>
      <c r="AA102" s="2482"/>
      <c r="AB102" s="2482"/>
    </row>
    <row r="103" spans="15:28" ht="15" customHeight="1" x14ac:dyDescent="0.2">
      <c r="O103" s="2579"/>
      <c r="P103" s="2482"/>
      <c r="Q103" s="2482"/>
      <c r="R103" s="2482"/>
      <c r="S103" s="2482"/>
      <c r="T103" s="2482"/>
      <c r="U103" s="2482"/>
      <c r="V103" s="2482"/>
      <c r="W103" s="2482"/>
      <c r="X103" s="2482"/>
      <c r="Y103" s="2482"/>
      <c r="Z103" s="2482"/>
      <c r="AA103" s="2482"/>
      <c r="AB103" s="2482"/>
    </row>
    <row r="104" spans="15:28" ht="15" customHeight="1" x14ac:dyDescent="0.2">
      <c r="O104" s="2579"/>
      <c r="P104" s="2482"/>
      <c r="Q104" s="2482"/>
      <c r="R104" s="2482"/>
      <c r="S104" s="2482"/>
      <c r="T104" s="2482"/>
      <c r="U104" s="2482"/>
      <c r="V104" s="2482"/>
      <c r="W104" s="2482"/>
      <c r="X104" s="2482"/>
      <c r="Y104" s="2482"/>
      <c r="Z104" s="2482"/>
      <c r="AA104" s="2482"/>
      <c r="AB104" s="2482"/>
    </row>
    <row r="105" spans="15:28" x14ac:dyDescent="0.2">
      <c r="O105" s="2608"/>
    </row>
  </sheetData>
  <mergeCells count="15">
    <mergeCell ref="H5:K5"/>
    <mergeCell ref="L5:L6"/>
    <mergeCell ref="C9:E9"/>
    <mergeCell ref="F9:L9"/>
    <mergeCell ref="F18:G18"/>
    <mergeCell ref="O1:O2"/>
    <mergeCell ref="A2:L2"/>
    <mergeCell ref="A3:L3"/>
    <mergeCell ref="A4:E4"/>
    <mergeCell ref="F4:L4"/>
    <mergeCell ref="A5:A7"/>
    <mergeCell ref="B5:B6"/>
    <mergeCell ref="C5:C6"/>
    <mergeCell ref="D5:E5"/>
    <mergeCell ref="F5:G5"/>
  </mergeCells>
  <pageMargins left="0.75" right="0.75" top="1" bottom="1" header="0.5" footer="0.5"/>
  <customProperties>
    <customPr name="_pios_id" r:id="rId1"/>
  </customProperties>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270BD3-5B8D-4E11-9118-4724C1AA6A82}">
  <sheetPr codeName="Sheet69"/>
  <dimension ref="A1:AB108"/>
  <sheetViews>
    <sheetView workbookViewId="0">
      <pane xSplit="2" ySplit="13" topLeftCell="C14" activePane="bottomRight" state="frozen"/>
      <selection pane="topRight"/>
      <selection pane="bottomLeft"/>
      <selection pane="bottomRight"/>
    </sheetView>
  </sheetViews>
  <sheetFormatPr defaultColWidth="11.5" defaultRowHeight="12.75" x14ac:dyDescent="0.2"/>
  <cols>
    <col min="1" max="1" width="3.875" style="1953" customWidth="1"/>
    <col min="2" max="2" width="36.75" style="1953" customWidth="1"/>
    <col min="3" max="12" width="12.375" style="1953" customWidth="1"/>
    <col min="13" max="14" width="17.625" style="1953" customWidth="1"/>
    <col min="15" max="25" width="17.625" style="1953" hidden="1" customWidth="1"/>
    <col min="26" max="28" width="0" style="1953" hidden="1" customWidth="1"/>
    <col min="29" max="16384" width="11.5" style="1953"/>
  </cols>
  <sheetData>
    <row r="1" spans="1:28" ht="16.7" customHeight="1" x14ac:dyDescent="0.2">
      <c r="O1" s="3914" t="s">
        <v>6320</v>
      </c>
      <c r="P1" s="2482" t="s">
        <v>6974</v>
      </c>
      <c r="Q1" s="2482"/>
      <c r="R1" s="2482"/>
      <c r="S1" s="2482"/>
      <c r="T1" s="2482"/>
      <c r="U1" s="2482"/>
      <c r="V1" s="2482"/>
      <c r="W1" s="2482"/>
      <c r="X1" s="2482"/>
      <c r="Y1" s="2482"/>
      <c r="Z1" s="2482"/>
      <c r="AA1" s="2482"/>
      <c r="AB1" s="2482"/>
    </row>
    <row r="2" spans="1:28" ht="16.7" customHeight="1" x14ac:dyDescent="0.2">
      <c r="O2" s="3968"/>
      <c r="P2" s="2482"/>
      <c r="Q2" s="2482"/>
      <c r="R2" s="2482"/>
      <c r="S2" s="2482"/>
      <c r="T2" s="2482"/>
      <c r="U2" s="2482"/>
      <c r="V2" s="2482"/>
      <c r="W2" s="2482"/>
      <c r="X2" s="2482"/>
      <c r="Y2" s="2482"/>
      <c r="Z2" s="2482"/>
      <c r="AA2" s="2482"/>
      <c r="AB2" s="2482"/>
    </row>
    <row r="3" spans="1:28" ht="16.7" customHeight="1" x14ac:dyDescent="0.2">
      <c r="O3" s="3968"/>
      <c r="P3" s="2482"/>
      <c r="Q3" s="2482"/>
      <c r="R3" s="2482"/>
      <c r="S3" s="2482"/>
      <c r="T3" s="2482"/>
      <c r="U3" s="2482"/>
      <c r="V3" s="2482"/>
      <c r="W3" s="2482"/>
      <c r="X3" s="2482"/>
      <c r="Y3" s="2482"/>
      <c r="Z3" s="2482"/>
      <c r="AA3" s="2482"/>
      <c r="AB3" s="2482"/>
    </row>
    <row r="4" spans="1:28" ht="16.7" customHeight="1" x14ac:dyDescent="0.2">
      <c r="O4" s="3915"/>
      <c r="P4" s="2482"/>
      <c r="Q4" s="2482"/>
      <c r="R4" s="2482"/>
      <c r="S4" s="2482"/>
      <c r="T4" s="2482"/>
      <c r="U4" s="2482"/>
      <c r="V4" s="2482"/>
      <c r="W4" s="2482"/>
      <c r="X4" s="2482"/>
      <c r="Y4" s="2482"/>
      <c r="Z4" s="2482"/>
      <c r="AA4" s="2482"/>
      <c r="AB4" s="2482"/>
    </row>
    <row r="5" spans="1:28" ht="16.7" customHeight="1" x14ac:dyDescent="0.2">
      <c r="O5" s="2579"/>
      <c r="P5" s="2482"/>
      <c r="Q5" s="2482"/>
      <c r="R5" s="2482"/>
      <c r="S5" s="2482"/>
      <c r="T5" s="2482"/>
      <c r="U5" s="2482"/>
      <c r="V5" s="2482"/>
      <c r="W5" s="2482"/>
      <c r="X5" s="2482"/>
      <c r="Y5" s="2482"/>
      <c r="Z5" s="2482"/>
      <c r="AA5" s="2482"/>
      <c r="AB5" s="2482"/>
    </row>
    <row r="6" spans="1:28" ht="16.7" customHeight="1" x14ac:dyDescent="0.2">
      <c r="A6" s="3932" t="s">
        <v>8284</v>
      </c>
      <c r="B6" s="3975"/>
      <c r="C6" s="3975"/>
      <c r="D6" s="3975"/>
      <c r="E6" s="3976"/>
      <c r="F6" s="3993" t="s">
        <v>8285</v>
      </c>
      <c r="G6" s="3994"/>
      <c r="H6" s="3994"/>
      <c r="I6" s="3994"/>
      <c r="J6" s="3994"/>
      <c r="K6" s="3994"/>
      <c r="L6" s="4027"/>
      <c r="M6" s="2479"/>
      <c r="O6" s="2579"/>
      <c r="P6" s="2482"/>
      <c r="Q6" s="2482"/>
      <c r="R6" s="2482"/>
      <c r="S6" s="2482"/>
      <c r="T6" s="2482"/>
      <c r="U6" s="2482"/>
      <c r="V6" s="2482"/>
      <c r="W6" s="2482"/>
      <c r="X6" s="2482"/>
      <c r="Y6" s="2482"/>
      <c r="Z6" s="2482"/>
      <c r="AA6" s="2482"/>
      <c r="AB6" s="2482"/>
    </row>
    <row r="7" spans="1:28" ht="16.7" customHeight="1" x14ac:dyDescent="0.2">
      <c r="A7" s="3882" t="s">
        <v>8286</v>
      </c>
      <c r="B7" s="3891"/>
      <c r="C7" s="3891"/>
      <c r="D7" s="3891"/>
      <c r="E7" s="3892"/>
      <c r="F7" s="3900" t="s">
        <v>8287</v>
      </c>
      <c r="G7" s="3901"/>
      <c r="H7" s="3901"/>
      <c r="I7" s="3901"/>
      <c r="J7" s="3901"/>
      <c r="K7" s="3901"/>
      <c r="L7" s="3902"/>
      <c r="M7" s="2479"/>
      <c r="O7" s="2579"/>
      <c r="P7" s="2482"/>
      <c r="Q7" s="2482"/>
      <c r="R7" s="2482"/>
      <c r="S7" s="2482"/>
      <c r="T7" s="2482"/>
      <c r="U7" s="2482"/>
      <c r="V7" s="2482"/>
      <c r="W7" s="2482"/>
      <c r="X7" s="2482"/>
      <c r="Y7" s="2482"/>
      <c r="Z7" s="2482"/>
      <c r="AA7" s="2482"/>
      <c r="AB7" s="2482"/>
    </row>
    <row r="8" spans="1:28" ht="32.450000000000003" customHeight="1" x14ac:dyDescent="0.2">
      <c r="A8" s="3894" t="s">
        <v>8288</v>
      </c>
      <c r="B8" s="4025"/>
      <c r="C8" s="4025"/>
      <c r="D8" s="4025"/>
      <c r="E8" s="4026"/>
      <c r="F8" s="3956" t="s">
        <v>8289</v>
      </c>
      <c r="G8" s="3957"/>
      <c r="H8" s="3957"/>
      <c r="I8" s="3957"/>
      <c r="J8" s="3957"/>
      <c r="K8" s="3957"/>
      <c r="L8" s="3958"/>
      <c r="M8" s="2479"/>
      <c r="O8" s="2579"/>
      <c r="P8" s="2482"/>
      <c r="Q8" s="2482"/>
      <c r="R8" s="2482"/>
      <c r="S8" s="2482"/>
      <c r="T8" s="2482"/>
      <c r="U8" s="2482"/>
      <c r="V8" s="2482"/>
      <c r="W8" s="2482"/>
      <c r="X8" s="2482"/>
      <c r="Y8" s="2482"/>
      <c r="Z8" s="2482"/>
      <c r="AA8" s="2482"/>
      <c r="AB8" s="2482"/>
    </row>
    <row r="9" spans="1:28" ht="15.75" customHeight="1" x14ac:dyDescent="0.2">
      <c r="A9" s="3898" t="s">
        <v>6360</v>
      </c>
      <c r="B9" s="3898" t="s">
        <v>96</v>
      </c>
      <c r="C9" s="3898" t="s">
        <v>8251</v>
      </c>
      <c r="D9" s="3882" t="s">
        <v>8252</v>
      </c>
      <c r="E9" s="3892"/>
      <c r="F9" s="3900" t="s">
        <v>8252</v>
      </c>
      <c r="G9" s="3902"/>
      <c r="H9" s="3900" t="s">
        <v>8253</v>
      </c>
      <c r="I9" s="3901"/>
      <c r="J9" s="3901"/>
      <c r="K9" s="3902"/>
      <c r="L9" s="3999" t="s">
        <v>6538</v>
      </c>
      <c r="M9" s="2479"/>
      <c r="O9" s="2579"/>
      <c r="P9" s="2482"/>
      <c r="Q9" s="2482"/>
      <c r="R9" s="2482"/>
      <c r="S9" s="2482"/>
      <c r="T9" s="2482"/>
      <c r="U9" s="2482"/>
      <c r="V9" s="2482"/>
      <c r="W9" s="2482"/>
      <c r="X9" s="2482"/>
      <c r="Y9" s="2482"/>
      <c r="Z9" s="2482"/>
      <c r="AA9" s="2482"/>
      <c r="AB9" s="2482"/>
    </row>
    <row r="10" spans="1:28" ht="16.7" customHeight="1" x14ac:dyDescent="0.2">
      <c r="A10" s="3987"/>
      <c r="B10" s="3987"/>
      <c r="C10" s="3987"/>
      <c r="D10" s="3898" t="s">
        <v>8254</v>
      </c>
      <c r="E10" s="3898" t="s">
        <v>8255</v>
      </c>
      <c r="F10" s="3999" t="s">
        <v>8256</v>
      </c>
      <c r="G10" s="3999" t="s">
        <v>8257</v>
      </c>
      <c r="H10" s="3900" t="s">
        <v>7316</v>
      </c>
      <c r="I10" s="3902"/>
      <c r="J10" s="3900" t="s">
        <v>7317</v>
      </c>
      <c r="K10" s="3902"/>
      <c r="L10" s="4000"/>
      <c r="M10" s="2479"/>
      <c r="O10" s="2579"/>
      <c r="P10" s="2482"/>
      <c r="Q10" s="2482"/>
      <c r="R10" s="2482"/>
      <c r="S10" s="2482"/>
      <c r="T10" s="2482"/>
      <c r="U10" s="2482"/>
      <c r="V10" s="2482"/>
      <c r="W10" s="2482"/>
      <c r="X10" s="2482"/>
      <c r="Y10" s="2482"/>
      <c r="Z10" s="2482"/>
      <c r="AA10" s="2482"/>
      <c r="AB10" s="2482"/>
    </row>
    <row r="11" spans="1:28" ht="16.7" customHeight="1" x14ac:dyDescent="0.2">
      <c r="A11" s="3987"/>
      <c r="B11" s="3987"/>
      <c r="C11" s="3987"/>
      <c r="D11" s="3987"/>
      <c r="E11" s="3987"/>
      <c r="F11" s="4000"/>
      <c r="G11" s="4000"/>
      <c r="H11" s="2632" t="s">
        <v>8290</v>
      </c>
      <c r="I11" s="2632" t="s">
        <v>441</v>
      </c>
      <c r="J11" s="2632" t="s">
        <v>8291</v>
      </c>
      <c r="K11" s="2632" t="s">
        <v>441</v>
      </c>
      <c r="L11" s="4000"/>
      <c r="M11" s="2479"/>
      <c r="O11" s="2579"/>
      <c r="P11" s="2482"/>
      <c r="Q11" s="2482"/>
      <c r="R11" s="2482"/>
      <c r="S11" s="2482"/>
      <c r="T11" s="2482"/>
      <c r="U11" s="2482"/>
      <c r="V11" s="2482"/>
      <c r="W11" s="2482"/>
      <c r="X11" s="2482"/>
      <c r="Y11" s="2482"/>
      <c r="Z11" s="2482"/>
      <c r="AA11" s="2482"/>
      <c r="AB11" s="2482"/>
    </row>
    <row r="12" spans="1:28" ht="16.7" customHeight="1" x14ac:dyDescent="0.2">
      <c r="A12" s="2589"/>
      <c r="B12" s="2589" t="s">
        <v>5949</v>
      </c>
      <c r="C12" s="2589" t="s">
        <v>5950</v>
      </c>
      <c r="D12" s="2589" t="s">
        <v>5951</v>
      </c>
      <c r="E12" s="2589" t="s">
        <v>5952</v>
      </c>
      <c r="F12" s="2633" t="s">
        <v>6227</v>
      </c>
      <c r="G12" s="2633" t="s">
        <v>5804</v>
      </c>
      <c r="H12" s="2633" t="s">
        <v>6228</v>
      </c>
      <c r="I12" s="2633" t="s">
        <v>6229</v>
      </c>
      <c r="J12" s="2633" t="s">
        <v>6230</v>
      </c>
      <c r="K12" s="2633" t="s">
        <v>6231</v>
      </c>
      <c r="L12" s="2633" t="s">
        <v>6232</v>
      </c>
      <c r="M12" s="2479" t="s">
        <v>6324</v>
      </c>
      <c r="O12" s="2579"/>
      <c r="P12" s="2482"/>
      <c r="Q12" s="2482"/>
      <c r="R12" s="2482"/>
      <c r="S12" s="2482"/>
      <c r="T12" s="2482"/>
      <c r="U12" s="2482"/>
      <c r="V12" s="2482"/>
      <c r="W12" s="2482"/>
      <c r="X12" s="2482"/>
      <c r="Y12" s="2482"/>
      <c r="Z12" s="2482"/>
      <c r="AA12" s="2482"/>
      <c r="AB12" s="2482"/>
    </row>
    <row r="13" spans="1:28" ht="23.25" customHeight="1" x14ac:dyDescent="0.2">
      <c r="A13" s="2489"/>
      <c r="B13" s="2489"/>
      <c r="C13" s="2873">
        <v>44926</v>
      </c>
      <c r="D13" s="2489"/>
      <c r="E13" s="2489"/>
      <c r="F13" s="2543"/>
      <c r="G13" s="2543"/>
      <c r="H13" s="2543"/>
      <c r="I13" s="2543"/>
      <c r="J13" s="2543"/>
      <c r="K13" s="2543"/>
      <c r="L13" s="2873">
        <v>45291</v>
      </c>
      <c r="M13" s="2479"/>
      <c r="O13" s="2579"/>
      <c r="P13" s="2482" t="s">
        <v>6985</v>
      </c>
      <c r="Q13" s="2482" t="s">
        <v>6480</v>
      </c>
      <c r="R13" s="2482"/>
      <c r="S13" s="2482"/>
      <c r="T13" s="2482"/>
      <c r="U13" s="2482"/>
      <c r="V13" s="2482"/>
      <c r="W13" s="2482"/>
      <c r="X13" s="2482"/>
      <c r="Y13" s="2482"/>
      <c r="Z13" s="2482"/>
      <c r="AA13" s="2482"/>
      <c r="AB13" s="2482"/>
    </row>
    <row r="14" spans="1:28" ht="16.7" customHeight="1" x14ac:dyDescent="0.2">
      <c r="A14" s="2827">
        <v>1</v>
      </c>
      <c r="B14" s="2669" t="s">
        <v>8292</v>
      </c>
      <c r="C14" s="4029"/>
      <c r="D14" s="4030"/>
      <c r="E14" s="4031"/>
      <c r="F14" s="4032"/>
      <c r="G14" s="4033"/>
      <c r="H14" s="4033"/>
      <c r="I14" s="4033"/>
      <c r="J14" s="4033"/>
      <c r="K14" s="4033"/>
      <c r="L14" s="4034"/>
      <c r="M14" s="2479"/>
      <c r="O14" s="2579"/>
      <c r="P14" s="2715" t="s">
        <v>6139</v>
      </c>
      <c r="Q14" s="2482"/>
      <c r="R14" s="2482"/>
      <c r="S14" s="2482"/>
      <c r="T14" s="2482"/>
      <c r="U14" s="2482"/>
      <c r="V14" s="2482"/>
      <c r="W14" s="2482"/>
      <c r="X14" s="2482"/>
      <c r="Y14" s="2482"/>
      <c r="Z14" s="2482"/>
      <c r="AA14" s="2482"/>
      <c r="AB14" s="2482"/>
    </row>
    <row r="15" spans="1:28" ht="16.7" customHeight="1" x14ac:dyDescent="0.2">
      <c r="A15" s="2827">
        <v>2</v>
      </c>
      <c r="B15" s="2512" t="s">
        <v>8293</v>
      </c>
      <c r="C15" s="4029"/>
      <c r="D15" s="4030"/>
      <c r="E15" s="4031"/>
      <c r="F15" s="4032"/>
      <c r="G15" s="4033"/>
      <c r="H15" s="4033"/>
      <c r="I15" s="4033"/>
      <c r="J15" s="4033"/>
      <c r="K15" s="4033"/>
      <c r="L15" s="4034"/>
      <c r="M15" s="2479"/>
      <c r="O15" s="2579"/>
      <c r="P15" s="2715" t="s">
        <v>5957</v>
      </c>
      <c r="Q15" s="2482"/>
      <c r="R15" s="2482"/>
      <c r="S15" s="2482"/>
      <c r="T15" s="2482"/>
      <c r="U15" s="2482"/>
      <c r="V15" s="2482"/>
      <c r="W15" s="2482"/>
      <c r="X15" s="2482"/>
      <c r="Y15" s="2482"/>
      <c r="Z15" s="2482"/>
      <c r="AA15" s="2482"/>
      <c r="AB15" s="2482"/>
    </row>
    <row r="16" spans="1:28" ht="16.7" customHeight="1" x14ac:dyDescent="0.2">
      <c r="A16" s="2827">
        <v>3</v>
      </c>
      <c r="B16" s="2512" t="s">
        <v>8294</v>
      </c>
      <c r="C16" s="2645">
        <v>461407300</v>
      </c>
      <c r="D16" s="2530">
        <v>234418935</v>
      </c>
      <c r="E16" s="2530">
        <v>67704273</v>
      </c>
      <c r="F16" s="2530">
        <v>33146200</v>
      </c>
      <c r="G16" s="2530">
        <v>18942593</v>
      </c>
      <c r="H16" s="2614" t="s">
        <v>8295</v>
      </c>
      <c r="I16" s="2530">
        <v>20774199</v>
      </c>
      <c r="J16" s="2614" t="s">
        <v>8295</v>
      </c>
      <c r="K16" s="2530">
        <v>9854854</v>
      </c>
      <c r="L16" s="2530">
        <v>631406224</v>
      </c>
      <c r="M16" s="2479" t="str">
        <f t="shared" ref="M16:M21" si="0">B16</f>
        <v xml:space="preserve">  Regulatory Assets</v>
      </c>
      <c r="O16" s="2579"/>
      <c r="P16" s="2715" t="s">
        <v>5959</v>
      </c>
      <c r="Q16" s="2482" t="s">
        <v>8296</v>
      </c>
      <c r="R16" s="2482"/>
      <c r="S16" s="2482"/>
      <c r="T16" s="2482"/>
      <c r="U16" s="2482"/>
      <c r="V16" s="2482"/>
      <c r="W16" s="2482"/>
      <c r="X16" s="2482"/>
      <c r="Y16" s="2482"/>
      <c r="Z16" s="2482"/>
      <c r="AA16" s="2482"/>
      <c r="AB16" s="2482"/>
    </row>
    <row r="17" spans="1:28" ht="16.7" customHeight="1" x14ac:dyDescent="0.2">
      <c r="A17" s="2827">
        <v>4</v>
      </c>
      <c r="B17" s="2512" t="s">
        <v>6446</v>
      </c>
      <c r="C17" s="2645">
        <v>103923747</v>
      </c>
      <c r="D17" s="2530">
        <v>14373925</v>
      </c>
      <c r="E17" s="2530">
        <v>9375433</v>
      </c>
      <c r="F17" s="2530">
        <v>729255</v>
      </c>
      <c r="G17" s="2530">
        <v>407119</v>
      </c>
      <c r="H17" s="2614" t="s">
        <v>8297</v>
      </c>
      <c r="I17" s="2530">
        <v>77659245</v>
      </c>
      <c r="J17" s="2614" t="s">
        <v>8297</v>
      </c>
      <c r="K17" s="2530">
        <v>12146060</v>
      </c>
      <c r="L17" s="2530">
        <v>43731190</v>
      </c>
      <c r="M17" s="2479" t="str">
        <f t="shared" si="0"/>
        <v xml:space="preserve">  Other</v>
      </c>
      <c r="O17" s="2579"/>
      <c r="P17" s="2715" t="s">
        <v>5961</v>
      </c>
      <c r="Q17" s="2482" t="s">
        <v>8298</v>
      </c>
      <c r="R17" s="2482"/>
      <c r="S17" s="2482"/>
      <c r="T17" s="2482"/>
      <c r="U17" s="2482"/>
      <c r="V17" s="2482"/>
      <c r="W17" s="2482"/>
      <c r="X17" s="2482"/>
      <c r="Y17" s="2482"/>
      <c r="Z17" s="2482"/>
      <c r="AA17" s="2482"/>
      <c r="AB17" s="2482"/>
    </row>
    <row r="18" spans="1:28" ht="16.7" customHeight="1" x14ac:dyDescent="0.2">
      <c r="A18" s="2827">
        <v>5</v>
      </c>
      <c r="B18" s="2512"/>
      <c r="C18" s="2784"/>
      <c r="D18" s="2488"/>
      <c r="E18" s="2488"/>
      <c r="F18" s="2614"/>
      <c r="G18" s="2614"/>
      <c r="H18" s="2614"/>
      <c r="I18" s="2614"/>
      <c r="J18" s="2614"/>
      <c r="K18" s="2614"/>
      <c r="L18" s="2614"/>
      <c r="M18" s="2595">
        <f t="shared" si="0"/>
        <v>0</v>
      </c>
      <c r="O18" s="2579"/>
      <c r="P18" s="2715" t="s">
        <v>5963</v>
      </c>
      <c r="Q18" s="2482"/>
      <c r="R18" s="2482"/>
      <c r="S18" s="2482"/>
      <c r="T18" s="2482"/>
      <c r="U18" s="2482"/>
      <c r="V18" s="2482"/>
      <c r="W18" s="2482"/>
      <c r="X18" s="2482"/>
      <c r="Y18" s="2482"/>
      <c r="Z18" s="2482"/>
      <c r="AA18" s="2482"/>
      <c r="AB18" s="2482"/>
    </row>
    <row r="19" spans="1:28" ht="16.7" customHeight="1" x14ac:dyDescent="0.2">
      <c r="A19" s="2827">
        <v>6</v>
      </c>
      <c r="B19" s="2512"/>
      <c r="C19" s="2784"/>
      <c r="D19" s="2488"/>
      <c r="E19" s="2614"/>
      <c r="F19" s="2614"/>
      <c r="G19" s="2614"/>
      <c r="H19" s="2614"/>
      <c r="I19" s="2614"/>
      <c r="J19" s="2614"/>
      <c r="K19" s="2614"/>
      <c r="L19" s="2614"/>
      <c r="M19" s="2595">
        <f t="shared" si="0"/>
        <v>0</v>
      </c>
      <c r="O19" s="2579"/>
      <c r="P19" s="2715" t="s">
        <v>5965</v>
      </c>
      <c r="Q19" s="2482"/>
      <c r="R19" s="2482"/>
      <c r="S19" s="2482"/>
      <c r="T19" s="2482"/>
      <c r="U19" s="2482"/>
      <c r="V19" s="2482"/>
      <c r="W19" s="2482"/>
      <c r="X19" s="2482"/>
      <c r="Y19" s="2482"/>
      <c r="Z19" s="2482"/>
      <c r="AA19" s="2482"/>
      <c r="AB19" s="2482"/>
    </row>
    <row r="20" spans="1:28" ht="16.7" customHeight="1" x14ac:dyDescent="0.2">
      <c r="A20" s="2827">
        <v>7</v>
      </c>
      <c r="B20" s="2512"/>
      <c r="C20" s="2784"/>
      <c r="D20" s="2488"/>
      <c r="E20" s="2488"/>
      <c r="F20" s="2614"/>
      <c r="G20" s="2614"/>
      <c r="H20" s="2614"/>
      <c r="I20" s="2614"/>
      <c r="J20" s="2614"/>
      <c r="K20" s="2614"/>
      <c r="L20" s="2614"/>
      <c r="M20" s="2595">
        <f t="shared" si="0"/>
        <v>0</v>
      </c>
      <c r="O20" s="2579"/>
      <c r="P20" s="2715" t="s">
        <v>5968</v>
      </c>
      <c r="Q20" s="2482"/>
      <c r="R20" s="2482"/>
      <c r="S20" s="2482"/>
      <c r="T20" s="2482"/>
      <c r="U20" s="2482"/>
      <c r="V20" s="2482"/>
      <c r="W20" s="2482"/>
      <c r="X20" s="2482"/>
      <c r="Y20" s="2482"/>
      <c r="Z20" s="2482"/>
      <c r="AA20" s="2482"/>
      <c r="AB20" s="2482"/>
    </row>
    <row r="21" spans="1:28" ht="16.7" customHeight="1" x14ac:dyDescent="0.2">
      <c r="A21" s="2827">
        <v>8</v>
      </c>
      <c r="B21" s="2512"/>
      <c r="C21" s="2784"/>
      <c r="D21" s="2614"/>
      <c r="E21" s="2614"/>
      <c r="F21" s="2614"/>
      <c r="G21" s="2614"/>
      <c r="H21" s="2614"/>
      <c r="I21" s="2614"/>
      <c r="J21" s="2614"/>
      <c r="K21" s="2614"/>
      <c r="L21" s="2614"/>
      <c r="M21" s="2595">
        <f t="shared" si="0"/>
        <v>0</v>
      </c>
      <c r="O21" s="2579"/>
      <c r="P21" s="2715" t="s">
        <v>5970</v>
      </c>
      <c r="Q21" s="2482"/>
      <c r="R21" s="2482"/>
      <c r="S21" s="2482"/>
      <c r="T21" s="2482"/>
      <c r="U21" s="2482"/>
      <c r="V21" s="2482"/>
      <c r="W21" s="2482"/>
      <c r="X21" s="2482"/>
      <c r="Y21" s="2482"/>
      <c r="Z21" s="2482"/>
      <c r="AA21" s="2482"/>
      <c r="AB21" s="2482"/>
    </row>
    <row r="22" spans="1:28" ht="16.7" customHeight="1" x14ac:dyDescent="0.2">
      <c r="A22" s="2827">
        <v>9</v>
      </c>
      <c r="B22" s="2669" t="s">
        <v>8299</v>
      </c>
      <c r="C22" s="2736">
        <f>SUM(C16:C21)</f>
        <v>565331047</v>
      </c>
      <c r="D22" s="2736">
        <f>SUM(D16:D21)</f>
        <v>248792860</v>
      </c>
      <c r="E22" s="2736">
        <f>SUM(E16:E21)</f>
        <v>77079706</v>
      </c>
      <c r="F22" s="2736">
        <f>SUM(F16:F21)</f>
        <v>33875455</v>
      </c>
      <c r="G22" s="2736">
        <f>SUM(G16:G21)</f>
        <v>19349712</v>
      </c>
      <c r="H22" s="2812"/>
      <c r="I22" s="2736">
        <f>SUM(I16:I21)</f>
        <v>98433444</v>
      </c>
      <c r="J22" s="2812"/>
      <c r="K22" s="2736">
        <f>SUM(K16:K21)</f>
        <v>22000914</v>
      </c>
      <c r="L22" s="2736">
        <f>SUM(L16:L21)</f>
        <v>675137414</v>
      </c>
      <c r="M22" s="2479"/>
      <c r="O22" s="2579"/>
      <c r="P22" s="2715" t="s">
        <v>5972</v>
      </c>
      <c r="Q22" s="2482" t="s">
        <v>8300</v>
      </c>
      <c r="R22" s="2482"/>
      <c r="S22" s="2482"/>
      <c r="T22" s="2482"/>
      <c r="U22" s="2482"/>
      <c r="V22" s="2482"/>
      <c r="W22" s="2482"/>
      <c r="X22" s="2482"/>
      <c r="Y22" s="2482"/>
      <c r="Z22" s="2482"/>
      <c r="AA22" s="2482"/>
      <c r="AB22" s="2482"/>
    </row>
    <row r="23" spans="1:28" ht="16.7" customHeight="1" x14ac:dyDescent="0.2">
      <c r="A23" s="2827">
        <v>10</v>
      </c>
      <c r="B23" s="2512" t="s">
        <v>8301</v>
      </c>
      <c r="C23" s="4028"/>
      <c r="D23" s="4028"/>
      <c r="E23" s="4028"/>
      <c r="F23" s="2817"/>
      <c r="G23" s="2817"/>
      <c r="H23" s="2817"/>
      <c r="I23" s="2817"/>
      <c r="J23" s="2817"/>
      <c r="K23" s="2817"/>
      <c r="L23" s="2817"/>
      <c r="M23" s="2479"/>
      <c r="O23" s="2579"/>
      <c r="P23" s="2715" t="s">
        <v>5974</v>
      </c>
      <c r="Q23" s="2482"/>
      <c r="R23" s="2482"/>
      <c r="S23" s="2482"/>
      <c r="T23" s="2482"/>
      <c r="U23" s="2482"/>
      <c r="V23" s="2482"/>
      <c r="W23" s="2482"/>
      <c r="X23" s="2482"/>
      <c r="Y23" s="2482"/>
      <c r="Z23" s="2482"/>
      <c r="AA23" s="2482"/>
      <c r="AB23" s="2482"/>
    </row>
    <row r="24" spans="1:28" ht="16.7" customHeight="1" x14ac:dyDescent="0.2">
      <c r="A24" s="2827">
        <v>11</v>
      </c>
      <c r="B24" s="2488"/>
      <c r="C24" s="2784"/>
      <c r="D24" s="2488"/>
      <c r="E24" s="2488"/>
      <c r="F24" s="2614"/>
      <c r="G24" s="2614"/>
      <c r="H24" s="2614"/>
      <c r="I24" s="2614"/>
      <c r="J24" s="2614"/>
      <c r="K24" s="2614"/>
      <c r="L24" s="2614"/>
      <c r="M24" s="2595">
        <f t="shared" ref="M24:M29" si="1">B24</f>
        <v>0</v>
      </c>
      <c r="O24" s="2579"/>
      <c r="P24" s="2715" t="s">
        <v>5976</v>
      </c>
      <c r="Q24" s="2482"/>
      <c r="R24" s="2482"/>
      <c r="S24" s="2482"/>
      <c r="T24" s="2482"/>
      <c r="U24" s="2482"/>
      <c r="V24" s="2482"/>
      <c r="W24" s="2482"/>
      <c r="X24" s="2482"/>
      <c r="Y24" s="2482"/>
      <c r="Z24" s="2482"/>
      <c r="AA24" s="2482"/>
      <c r="AB24" s="2482"/>
    </row>
    <row r="25" spans="1:28" ht="16.7" customHeight="1" x14ac:dyDescent="0.2">
      <c r="A25" s="2827">
        <v>12</v>
      </c>
      <c r="B25" s="2488"/>
      <c r="C25" s="2784"/>
      <c r="D25" s="2488"/>
      <c r="E25" s="2488"/>
      <c r="F25" s="2614"/>
      <c r="G25" s="2614"/>
      <c r="H25" s="2614"/>
      <c r="I25" s="2614"/>
      <c r="J25" s="2614"/>
      <c r="K25" s="2614"/>
      <c r="L25" s="2614"/>
      <c r="M25" s="2595">
        <f t="shared" si="1"/>
        <v>0</v>
      </c>
      <c r="O25" s="2579"/>
      <c r="P25" s="2715" t="s">
        <v>5978</v>
      </c>
      <c r="Q25" s="2482"/>
      <c r="R25" s="2482"/>
      <c r="S25" s="2482"/>
      <c r="T25" s="2482"/>
      <c r="U25" s="2482"/>
      <c r="V25" s="2482"/>
      <c r="W25" s="2482"/>
      <c r="X25" s="2482"/>
      <c r="Y25" s="2482"/>
      <c r="Z25" s="2482"/>
      <c r="AA25" s="2482"/>
      <c r="AB25" s="2482"/>
    </row>
    <row r="26" spans="1:28" ht="16.7" customHeight="1" x14ac:dyDescent="0.2">
      <c r="A26" s="2748">
        <v>13</v>
      </c>
      <c r="B26" s="2488"/>
      <c r="C26" s="2784"/>
      <c r="D26" s="2488"/>
      <c r="E26" s="2488"/>
      <c r="F26" s="2614"/>
      <c r="G26" s="2614"/>
      <c r="H26" s="2614"/>
      <c r="I26" s="2614"/>
      <c r="J26" s="2614"/>
      <c r="K26" s="2614"/>
      <c r="L26" s="2614"/>
      <c r="M26" s="2595">
        <f t="shared" si="1"/>
        <v>0</v>
      </c>
      <c r="O26" s="2579"/>
      <c r="P26" s="2715" t="s">
        <v>5980</v>
      </c>
      <c r="Q26" s="2482"/>
      <c r="R26" s="2482"/>
      <c r="S26" s="2482"/>
      <c r="T26" s="2482"/>
      <c r="U26" s="2482"/>
      <c r="V26" s="2482"/>
      <c r="W26" s="2482"/>
      <c r="X26" s="2482"/>
      <c r="Y26" s="2482"/>
      <c r="Z26" s="2482"/>
      <c r="AA26" s="2482"/>
      <c r="AB26" s="2482"/>
    </row>
    <row r="27" spans="1:28" ht="16.7" customHeight="1" x14ac:dyDescent="0.2">
      <c r="A27" s="2748">
        <v>14</v>
      </c>
      <c r="B27" s="2488"/>
      <c r="C27" s="2784"/>
      <c r="D27" s="2488"/>
      <c r="E27" s="2488"/>
      <c r="F27" s="2614"/>
      <c r="G27" s="2614"/>
      <c r="H27" s="2614"/>
      <c r="I27" s="2614"/>
      <c r="J27" s="2614"/>
      <c r="K27" s="2614"/>
      <c r="L27" s="2614"/>
      <c r="M27" s="2595">
        <f t="shared" si="1"/>
        <v>0</v>
      </c>
      <c r="O27" s="2579"/>
      <c r="P27" s="2715" t="s">
        <v>5982</v>
      </c>
      <c r="Q27" s="2482"/>
      <c r="R27" s="2482"/>
      <c r="S27" s="2482"/>
      <c r="T27" s="2482"/>
      <c r="U27" s="2482"/>
      <c r="V27" s="2482"/>
      <c r="W27" s="2482"/>
      <c r="X27" s="2482"/>
      <c r="Y27" s="2482"/>
      <c r="Z27" s="2482"/>
      <c r="AA27" s="2482"/>
      <c r="AB27" s="2482"/>
    </row>
    <row r="28" spans="1:28" ht="16.7" customHeight="1" x14ac:dyDescent="0.2">
      <c r="A28" s="2748">
        <v>15</v>
      </c>
      <c r="B28" s="2488"/>
      <c r="C28" s="2784"/>
      <c r="D28" s="2488"/>
      <c r="E28" s="2488"/>
      <c r="F28" s="2614"/>
      <c r="G28" s="2614"/>
      <c r="H28" s="2614"/>
      <c r="I28" s="2614"/>
      <c r="J28" s="2614"/>
      <c r="K28" s="2614"/>
      <c r="L28" s="2614"/>
      <c r="M28" s="2595">
        <f t="shared" si="1"/>
        <v>0</v>
      </c>
      <c r="O28" s="2579"/>
      <c r="P28" s="2715" t="s">
        <v>5984</v>
      </c>
      <c r="Q28" s="2482"/>
      <c r="R28" s="2482"/>
      <c r="S28" s="2482"/>
      <c r="T28" s="2482"/>
      <c r="U28" s="2482"/>
      <c r="V28" s="2482"/>
      <c r="W28" s="2482"/>
      <c r="X28" s="2482"/>
      <c r="Y28" s="2482"/>
      <c r="Z28" s="2482"/>
      <c r="AA28" s="2482"/>
      <c r="AB28" s="2482"/>
    </row>
    <row r="29" spans="1:28" ht="16.7" customHeight="1" x14ac:dyDescent="0.2">
      <c r="A29" s="2748">
        <v>16</v>
      </c>
      <c r="B29" s="2488"/>
      <c r="C29" s="2784"/>
      <c r="D29" s="2488"/>
      <c r="E29" s="2488"/>
      <c r="F29" s="2614"/>
      <c r="G29" s="2614"/>
      <c r="H29" s="2614"/>
      <c r="I29" s="2614"/>
      <c r="J29" s="2614"/>
      <c r="K29" s="2614"/>
      <c r="L29" s="2614"/>
      <c r="M29" s="2595">
        <f t="shared" si="1"/>
        <v>0</v>
      </c>
      <c r="O29" s="2579"/>
      <c r="P29" s="2715" t="s">
        <v>5986</v>
      </c>
      <c r="Q29" s="2482"/>
      <c r="R29" s="2482"/>
      <c r="S29" s="2482"/>
      <c r="T29" s="2482"/>
      <c r="U29" s="2482"/>
      <c r="V29" s="2482"/>
      <c r="W29" s="2482"/>
      <c r="X29" s="2482"/>
      <c r="Y29" s="2482"/>
      <c r="Z29" s="2482"/>
      <c r="AA29" s="2482"/>
      <c r="AB29" s="2482"/>
    </row>
    <row r="30" spans="1:28" ht="16.7" customHeight="1" x14ac:dyDescent="0.2">
      <c r="A30" s="2748">
        <v>17</v>
      </c>
      <c r="B30" s="2669" t="s">
        <v>8302</v>
      </c>
      <c r="C30" s="2736">
        <f>SUM(C24:C29)</f>
        <v>0</v>
      </c>
      <c r="D30" s="2736">
        <f>SUM(D24:D29)</f>
        <v>0</v>
      </c>
      <c r="E30" s="2736">
        <f>SUM(E24:E29)</f>
        <v>0</v>
      </c>
      <c r="F30" s="2736">
        <f>SUM(F24:F29)</f>
        <v>0</v>
      </c>
      <c r="G30" s="2736">
        <f>SUM(G24:G29)</f>
        <v>0</v>
      </c>
      <c r="H30" s="2812"/>
      <c r="I30" s="2736">
        <f>SUM(I24:I29)</f>
        <v>0</v>
      </c>
      <c r="J30" s="2812"/>
      <c r="K30" s="2736">
        <f>SUM(K24:K29)</f>
        <v>0</v>
      </c>
      <c r="L30" s="2736">
        <f>SUM(L24:L29)</f>
        <v>0</v>
      </c>
      <c r="M30" s="2479"/>
      <c r="O30" s="2579"/>
      <c r="P30" s="2715" t="s">
        <v>5988</v>
      </c>
      <c r="Q30" s="2482"/>
      <c r="R30" s="2482"/>
      <c r="S30" s="2482"/>
      <c r="T30" s="2482"/>
      <c r="U30" s="2482"/>
      <c r="V30" s="2482"/>
      <c r="W30" s="2482"/>
      <c r="X30" s="2482"/>
      <c r="Y30" s="2482"/>
      <c r="Z30" s="2482"/>
      <c r="AA30" s="2482"/>
      <c r="AB30" s="2482"/>
    </row>
    <row r="31" spans="1:28" ht="16.7" customHeight="1" x14ac:dyDescent="0.2">
      <c r="A31" s="2748">
        <v>18</v>
      </c>
      <c r="B31" s="2668" t="s">
        <v>8303</v>
      </c>
      <c r="C31" s="2784"/>
      <c r="D31" s="2488"/>
      <c r="E31" s="2488"/>
      <c r="F31" s="2488"/>
      <c r="G31" s="2488"/>
      <c r="H31" s="2614"/>
      <c r="I31" s="2614"/>
      <c r="J31" s="2614"/>
      <c r="K31" s="2614"/>
      <c r="L31" s="2614"/>
      <c r="M31" s="2479"/>
      <c r="O31" s="2579"/>
      <c r="P31" s="2715" t="s">
        <v>5990</v>
      </c>
      <c r="Q31" s="2482"/>
      <c r="R31" s="2482"/>
      <c r="S31" s="2482"/>
      <c r="T31" s="2482"/>
      <c r="U31" s="2482"/>
      <c r="V31" s="2482"/>
      <c r="W31" s="2482"/>
      <c r="X31" s="2482"/>
      <c r="Y31" s="2482"/>
      <c r="Z31" s="2482"/>
      <c r="AA31" s="2482"/>
      <c r="AB31" s="2482"/>
    </row>
    <row r="32" spans="1:28" ht="15.75" customHeight="1" x14ac:dyDescent="0.2">
      <c r="A32" s="2748">
        <v>19</v>
      </c>
      <c r="B32" s="2669" t="s">
        <v>8304</v>
      </c>
      <c r="C32" s="2736">
        <f>SUM(C22,C30,C31)</f>
        <v>565331047</v>
      </c>
      <c r="D32" s="2736">
        <f>SUM(D22,D30,D31)</f>
        <v>248792860</v>
      </c>
      <c r="E32" s="2736">
        <f>SUM(E22,E30,E31)</f>
        <v>77079706</v>
      </c>
      <c r="F32" s="2736">
        <f>SUM(F22,F30,F31)</f>
        <v>33875455</v>
      </c>
      <c r="G32" s="2736">
        <f>SUM(G22,G30,G31)</f>
        <v>19349712</v>
      </c>
      <c r="H32" s="2812"/>
      <c r="I32" s="2736">
        <f>SUM(I22,I30,I31)</f>
        <v>98433444</v>
      </c>
      <c r="J32" s="2812"/>
      <c r="K32" s="2736">
        <f>SUM(K22,K30,K31)</f>
        <v>22000914</v>
      </c>
      <c r="L32" s="2736">
        <f>SUM(L22,L30,L31)</f>
        <v>675137414</v>
      </c>
      <c r="M32" s="2479"/>
      <c r="O32" s="2579"/>
      <c r="P32" s="2715" t="s">
        <v>5992</v>
      </c>
      <c r="Q32" s="2482" t="s">
        <v>8300</v>
      </c>
      <c r="R32" s="2482"/>
      <c r="S32" s="2482"/>
      <c r="T32" s="2482"/>
      <c r="U32" s="2482"/>
      <c r="V32" s="2482"/>
      <c r="W32" s="2482"/>
      <c r="X32" s="2482"/>
      <c r="Y32" s="2482"/>
      <c r="Z32" s="2482"/>
      <c r="AA32" s="2482"/>
      <c r="AB32" s="2482"/>
    </row>
    <row r="33" spans="1:28" ht="16.7" customHeight="1" x14ac:dyDescent="0.2">
      <c r="A33" s="2748">
        <v>20</v>
      </c>
      <c r="B33" s="2669" t="s">
        <v>8267</v>
      </c>
      <c r="C33" s="4028"/>
      <c r="D33" s="4028"/>
      <c r="E33" s="4028"/>
      <c r="F33" s="2817"/>
      <c r="G33" s="2817"/>
      <c r="H33" s="2817"/>
      <c r="I33" s="2817"/>
      <c r="J33" s="2817"/>
      <c r="K33" s="2817"/>
      <c r="L33" s="2817"/>
      <c r="M33" s="2479"/>
      <c r="O33" s="2579"/>
      <c r="P33" s="2715" t="s">
        <v>5994</v>
      </c>
      <c r="Q33" s="2482"/>
      <c r="R33" s="2482"/>
      <c r="S33" s="2482"/>
      <c r="T33" s="2482"/>
      <c r="U33" s="2482"/>
      <c r="V33" s="2482"/>
      <c r="W33" s="2482"/>
      <c r="X33" s="2482"/>
      <c r="Y33" s="2482"/>
      <c r="Z33" s="2482"/>
      <c r="AA33" s="2482"/>
      <c r="AB33" s="2482"/>
    </row>
    <row r="34" spans="1:28" ht="16.7" customHeight="1" x14ac:dyDescent="0.2">
      <c r="A34" s="2748">
        <v>21</v>
      </c>
      <c r="B34" s="2512" t="s">
        <v>8113</v>
      </c>
      <c r="C34" s="2645">
        <v>461161457</v>
      </c>
      <c r="D34" s="2530">
        <v>199558224</v>
      </c>
      <c r="E34" s="2530">
        <v>59552493</v>
      </c>
      <c r="F34" s="2530">
        <v>27798880</v>
      </c>
      <c r="G34" s="2530">
        <v>15955539</v>
      </c>
      <c r="H34" s="2614"/>
      <c r="I34" s="2530">
        <v>80356929</v>
      </c>
      <c r="J34" s="2614"/>
      <c r="K34" s="2530">
        <v>18037902</v>
      </c>
      <c r="L34" s="2530">
        <v>550691502</v>
      </c>
      <c r="M34" s="2479"/>
      <c r="O34" s="2579"/>
      <c r="P34" s="2715" t="s">
        <v>5997</v>
      </c>
      <c r="Q34" s="2482" t="s">
        <v>8305</v>
      </c>
      <c r="R34" s="2482"/>
      <c r="S34" s="2482"/>
      <c r="T34" s="2482"/>
      <c r="U34" s="2482"/>
      <c r="V34" s="2482"/>
      <c r="W34" s="2482"/>
      <c r="X34" s="2482"/>
      <c r="Y34" s="2482"/>
      <c r="Z34" s="2482"/>
      <c r="AA34" s="2482"/>
      <c r="AB34" s="2482"/>
    </row>
    <row r="35" spans="1:28" ht="16.7" customHeight="1" x14ac:dyDescent="0.2">
      <c r="A35" s="2748">
        <v>22</v>
      </c>
      <c r="B35" s="2512" t="s">
        <v>8269</v>
      </c>
      <c r="C35" s="2645">
        <v>104169590</v>
      </c>
      <c r="D35" s="2530">
        <v>49234636</v>
      </c>
      <c r="E35" s="2530">
        <v>17527213</v>
      </c>
      <c r="F35" s="2530">
        <v>6076575</v>
      </c>
      <c r="G35" s="2530">
        <v>3394173</v>
      </c>
      <c r="H35" s="2614"/>
      <c r="I35" s="2530">
        <v>18076515</v>
      </c>
      <c r="J35" s="2614"/>
      <c r="K35" s="2530">
        <v>3963012</v>
      </c>
      <c r="L35" s="2530">
        <v>124445912</v>
      </c>
      <c r="M35" s="2479"/>
      <c r="O35" s="2579"/>
      <c r="P35" s="2715" t="s">
        <v>5999</v>
      </c>
      <c r="Q35" s="2482" t="s">
        <v>8306</v>
      </c>
      <c r="R35" s="2482"/>
      <c r="S35" s="2482"/>
      <c r="T35" s="2482"/>
      <c r="U35" s="2482"/>
      <c r="V35" s="2482"/>
      <c r="W35" s="2482"/>
      <c r="X35" s="2482"/>
      <c r="Y35" s="2482"/>
      <c r="Z35" s="2482"/>
      <c r="AA35" s="2482"/>
      <c r="AB35" s="2482"/>
    </row>
    <row r="36" spans="1:28" ht="16.7" customHeight="1" x14ac:dyDescent="0.2">
      <c r="A36" s="2748">
        <v>23</v>
      </c>
      <c r="B36" s="2512" t="s">
        <v>8271</v>
      </c>
      <c r="C36" s="2784"/>
      <c r="D36" s="2488"/>
      <c r="E36" s="2488"/>
      <c r="F36" s="2614"/>
      <c r="G36" s="2614"/>
      <c r="H36" s="2614"/>
      <c r="I36" s="2614"/>
      <c r="J36" s="2614"/>
      <c r="K36" s="2614"/>
      <c r="L36" s="2614"/>
      <c r="M36" s="2479"/>
      <c r="O36" s="2579"/>
      <c r="P36" s="2715" t="s">
        <v>6002</v>
      </c>
      <c r="Q36" s="2482"/>
      <c r="R36" s="2482"/>
      <c r="S36" s="2482"/>
      <c r="T36" s="2482"/>
      <c r="U36" s="2482"/>
      <c r="V36" s="2482"/>
      <c r="W36" s="2482"/>
      <c r="X36" s="2482"/>
      <c r="Y36" s="2482"/>
      <c r="Z36" s="2482"/>
      <c r="AA36" s="2482"/>
      <c r="AB36" s="2482"/>
    </row>
    <row r="37" spans="1:28" ht="16.7" customHeight="1" x14ac:dyDescent="0.2">
      <c r="A37" s="2516"/>
      <c r="B37" s="2516"/>
      <c r="C37" s="2516"/>
      <c r="D37" s="2516"/>
      <c r="E37" s="2516"/>
      <c r="F37" s="2516"/>
      <c r="G37" s="2516"/>
      <c r="H37" s="2516"/>
      <c r="I37" s="2516"/>
      <c r="J37" s="2516"/>
      <c r="K37" s="2516"/>
      <c r="L37" s="2516"/>
      <c r="O37" s="2579"/>
      <c r="P37" s="2482"/>
      <c r="Q37" s="2482"/>
      <c r="R37" s="2482"/>
      <c r="S37" s="2482"/>
      <c r="T37" s="2482"/>
      <c r="U37" s="2482"/>
      <c r="V37" s="2482"/>
      <c r="W37" s="2482"/>
      <c r="X37" s="2482"/>
      <c r="Y37" s="2482"/>
      <c r="Z37" s="2482"/>
      <c r="AA37" s="2482"/>
      <c r="AB37" s="2482"/>
    </row>
    <row r="38" spans="1:28" ht="16.7" customHeight="1" x14ac:dyDescent="0.2">
      <c r="O38" s="2579"/>
      <c r="P38" s="2482"/>
      <c r="Q38" s="2482"/>
      <c r="R38" s="2482"/>
      <c r="S38" s="2482"/>
      <c r="T38" s="2482"/>
      <c r="U38" s="2482"/>
      <c r="V38" s="2482"/>
      <c r="W38" s="2482"/>
      <c r="X38" s="2482"/>
      <c r="Y38" s="2482"/>
      <c r="Z38" s="2482"/>
      <c r="AA38" s="2482"/>
      <c r="AB38" s="2482"/>
    </row>
    <row r="39" spans="1:28" ht="16.7" customHeight="1" x14ac:dyDescent="0.2">
      <c r="C39" s="2576"/>
      <c r="O39" s="2579"/>
      <c r="P39" s="2482"/>
      <c r="Q39" s="2482"/>
      <c r="R39" s="2482"/>
      <c r="S39" s="2482"/>
      <c r="T39" s="2482"/>
      <c r="U39" s="2482"/>
      <c r="V39" s="2482"/>
      <c r="W39" s="2482"/>
      <c r="X39" s="2482"/>
      <c r="Y39" s="2482"/>
      <c r="Z39" s="2482"/>
      <c r="AA39" s="2482"/>
      <c r="AB39" s="2482"/>
    </row>
    <row r="40" spans="1:28" ht="16.7" customHeight="1" x14ac:dyDescent="0.2">
      <c r="C40" s="2576"/>
      <c r="O40" s="2579"/>
      <c r="P40" s="2482"/>
      <c r="Q40" s="2482"/>
      <c r="R40" s="2482"/>
      <c r="S40" s="2482"/>
      <c r="T40" s="2482"/>
      <c r="U40" s="2482"/>
      <c r="V40" s="2482"/>
      <c r="W40" s="2482"/>
      <c r="X40" s="2482"/>
      <c r="Y40" s="2482"/>
      <c r="Z40" s="2482"/>
      <c r="AA40" s="2482"/>
      <c r="AB40" s="2482"/>
    </row>
    <row r="41" spans="1:28" ht="16.7" customHeight="1" x14ac:dyDescent="0.2">
      <c r="C41" s="2576"/>
      <c r="O41" s="2579"/>
      <c r="P41" s="2482"/>
      <c r="Q41" s="2482"/>
      <c r="R41" s="2482"/>
      <c r="S41" s="2482"/>
      <c r="T41" s="2482"/>
      <c r="U41" s="2482"/>
      <c r="V41" s="2482"/>
      <c r="W41" s="2482"/>
      <c r="X41" s="2482"/>
      <c r="Y41" s="2482"/>
      <c r="Z41" s="2482"/>
      <c r="AA41" s="2482"/>
      <c r="AB41" s="2482"/>
    </row>
    <row r="42" spans="1:28" ht="16.7" customHeight="1" x14ac:dyDescent="0.2">
      <c r="O42" s="2579"/>
      <c r="P42" s="2482"/>
      <c r="Q42" s="2482"/>
      <c r="R42" s="2482"/>
      <c r="S42" s="2482"/>
      <c r="T42" s="2482"/>
      <c r="U42" s="2482"/>
      <c r="V42" s="2482"/>
      <c r="W42" s="2482"/>
      <c r="X42" s="2482"/>
      <c r="Y42" s="2482"/>
      <c r="Z42" s="2482"/>
      <c r="AA42" s="2482"/>
      <c r="AB42" s="2482"/>
    </row>
    <row r="43" spans="1:28" ht="16.7" customHeight="1" x14ac:dyDescent="0.2">
      <c r="O43" s="2579"/>
      <c r="P43" s="2482"/>
      <c r="Q43" s="2482"/>
      <c r="R43" s="2482"/>
      <c r="S43" s="2482"/>
      <c r="T43" s="2482"/>
      <c r="U43" s="2482"/>
      <c r="V43" s="2482"/>
      <c r="W43" s="2482"/>
      <c r="X43" s="2482"/>
      <c r="Y43" s="2482"/>
      <c r="Z43" s="2482"/>
      <c r="AA43" s="2482"/>
      <c r="AB43" s="2482"/>
    </row>
    <row r="44" spans="1:28" ht="16.7" customHeight="1" x14ac:dyDescent="0.2">
      <c r="O44" s="2579"/>
      <c r="P44" s="2482"/>
      <c r="Q44" s="2482"/>
      <c r="R44" s="2482"/>
      <c r="S44" s="2482"/>
      <c r="T44" s="2482"/>
      <c r="U44" s="2482"/>
      <c r="V44" s="2482"/>
      <c r="W44" s="2482"/>
      <c r="X44" s="2482"/>
      <c r="Y44" s="2482"/>
      <c r="Z44" s="2482"/>
      <c r="AA44" s="2482"/>
      <c r="AB44" s="2482"/>
    </row>
    <row r="45" spans="1:28" ht="16.7" customHeight="1" x14ac:dyDescent="0.2">
      <c r="O45" s="2579"/>
      <c r="P45" s="2482"/>
      <c r="Q45" s="2482"/>
      <c r="R45" s="2482"/>
      <c r="S45" s="2482"/>
      <c r="T45" s="2482"/>
      <c r="U45" s="2482"/>
      <c r="V45" s="2482"/>
      <c r="W45" s="2482"/>
      <c r="X45" s="2482"/>
      <c r="Y45" s="2482"/>
      <c r="Z45" s="2482"/>
      <c r="AA45" s="2482"/>
      <c r="AB45" s="2482"/>
    </row>
    <row r="46" spans="1:28" ht="16.7" customHeight="1" x14ac:dyDescent="0.2">
      <c r="O46" s="2579"/>
      <c r="P46" s="2482"/>
      <c r="Q46" s="2482"/>
      <c r="R46" s="2482"/>
      <c r="S46" s="2482"/>
      <c r="T46" s="2482"/>
      <c r="U46" s="2482"/>
      <c r="V46" s="2482"/>
      <c r="W46" s="2482"/>
      <c r="X46" s="2482"/>
      <c r="Y46" s="2482"/>
      <c r="Z46" s="2482"/>
      <c r="AA46" s="2482"/>
      <c r="AB46" s="2482"/>
    </row>
    <row r="47" spans="1:28" ht="16.7" customHeight="1" x14ac:dyDescent="0.2">
      <c r="O47" s="2579"/>
      <c r="P47" s="2482"/>
      <c r="Q47" s="2482"/>
      <c r="R47" s="2482"/>
      <c r="S47" s="2482"/>
      <c r="T47" s="2482"/>
      <c r="U47" s="2482"/>
      <c r="V47" s="2482"/>
      <c r="W47" s="2482"/>
      <c r="X47" s="2482"/>
      <c r="Y47" s="2482"/>
      <c r="Z47" s="2482"/>
      <c r="AA47" s="2482"/>
      <c r="AB47" s="2482"/>
    </row>
    <row r="48" spans="1:28" ht="16.7" customHeight="1" x14ac:dyDescent="0.2">
      <c r="O48" s="2579"/>
      <c r="P48" s="2482"/>
      <c r="Q48" s="2482"/>
      <c r="R48" s="2482"/>
      <c r="S48" s="2482"/>
      <c r="T48" s="2482"/>
      <c r="U48" s="2482"/>
      <c r="V48" s="2482"/>
      <c r="W48" s="2482"/>
      <c r="X48" s="2482"/>
      <c r="Y48" s="2482"/>
      <c r="Z48" s="2482"/>
      <c r="AA48" s="2482"/>
      <c r="AB48" s="2482"/>
    </row>
    <row r="49" spans="15:28" ht="16.7" customHeight="1" x14ac:dyDescent="0.2">
      <c r="O49" s="2579"/>
      <c r="P49" s="2482"/>
      <c r="Q49" s="2482"/>
      <c r="R49" s="2482"/>
      <c r="S49" s="2482"/>
      <c r="T49" s="2482"/>
      <c r="U49" s="2482"/>
      <c r="V49" s="2482"/>
      <c r="W49" s="2482"/>
      <c r="X49" s="2482"/>
      <c r="Y49" s="2482"/>
      <c r="Z49" s="2482"/>
      <c r="AA49" s="2482"/>
      <c r="AB49" s="2482"/>
    </row>
    <row r="50" spans="15:28" ht="16.7" customHeight="1" x14ac:dyDescent="0.2">
      <c r="O50" s="2579"/>
      <c r="P50" s="2482"/>
      <c r="Q50" s="2482"/>
      <c r="R50" s="2482"/>
      <c r="S50" s="2482"/>
      <c r="T50" s="2482"/>
      <c r="U50" s="2482"/>
      <c r="V50" s="2482"/>
      <c r="W50" s="2482"/>
      <c r="X50" s="2482"/>
      <c r="Y50" s="2482"/>
      <c r="Z50" s="2482"/>
      <c r="AA50" s="2482"/>
      <c r="AB50" s="2482"/>
    </row>
    <row r="51" spans="15:28" ht="16.7" customHeight="1" x14ac:dyDescent="0.2">
      <c r="O51" s="2579"/>
      <c r="P51" s="2482"/>
      <c r="Q51" s="2482"/>
      <c r="R51" s="2482"/>
      <c r="S51" s="2482"/>
      <c r="T51" s="2482"/>
      <c r="U51" s="2482"/>
      <c r="V51" s="2482"/>
      <c r="W51" s="2482"/>
      <c r="X51" s="2482"/>
      <c r="Y51" s="2482"/>
      <c r="Z51" s="2482"/>
      <c r="AA51" s="2482"/>
      <c r="AB51" s="2482"/>
    </row>
    <row r="52" spans="15:28" ht="16.7" customHeight="1" x14ac:dyDescent="0.2">
      <c r="O52" s="2579"/>
      <c r="P52" s="2482"/>
      <c r="Q52" s="2482"/>
      <c r="R52" s="2482"/>
      <c r="S52" s="2482"/>
      <c r="T52" s="2482"/>
      <c r="U52" s="2482"/>
      <c r="V52" s="2482"/>
      <c r="W52" s="2482"/>
      <c r="X52" s="2482"/>
      <c r="Y52" s="2482"/>
      <c r="Z52" s="2482"/>
      <c r="AA52" s="2482"/>
      <c r="AB52" s="2482"/>
    </row>
    <row r="53" spans="15:28" ht="16.7" customHeight="1" x14ac:dyDescent="0.2">
      <c r="O53" s="2579"/>
      <c r="P53" s="2482"/>
      <c r="Q53" s="2482"/>
      <c r="R53" s="2482"/>
      <c r="S53" s="2482"/>
      <c r="T53" s="2482"/>
      <c r="U53" s="2482"/>
      <c r="V53" s="2482"/>
      <c r="W53" s="2482"/>
      <c r="X53" s="2482"/>
      <c r="Y53" s="2482"/>
      <c r="Z53" s="2482"/>
      <c r="AA53" s="2482"/>
      <c r="AB53" s="2482"/>
    </row>
    <row r="54" spans="15:28" ht="16.7" customHeight="1" x14ac:dyDescent="0.2">
      <c r="O54" s="2579"/>
      <c r="P54" s="2482"/>
      <c r="Q54" s="2482"/>
      <c r="R54" s="2482"/>
      <c r="S54" s="2482"/>
      <c r="T54" s="2482"/>
      <c r="U54" s="2482"/>
      <c r="V54" s="2482"/>
      <c r="W54" s="2482"/>
      <c r="X54" s="2482"/>
      <c r="Y54" s="2482"/>
      <c r="Z54" s="2482"/>
      <c r="AA54" s="2482"/>
      <c r="AB54" s="2482"/>
    </row>
    <row r="55" spans="15:28" ht="16.7" customHeight="1" x14ac:dyDescent="0.2">
      <c r="O55" s="2579"/>
      <c r="P55" s="2482"/>
      <c r="Q55" s="2482"/>
      <c r="R55" s="2482"/>
      <c r="S55" s="2482"/>
      <c r="T55" s="2482"/>
      <c r="U55" s="2482"/>
      <c r="V55" s="2482"/>
      <c r="W55" s="2482"/>
      <c r="X55" s="2482"/>
      <c r="Y55" s="2482"/>
      <c r="Z55" s="2482"/>
      <c r="AA55" s="2482"/>
      <c r="AB55" s="2482"/>
    </row>
    <row r="56" spans="15:28" ht="16.7" customHeight="1" x14ac:dyDescent="0.2">
      <c r="O56" s="2579"/>
      <c r="P56" s="2482"/>
      <c r="Q56" s="2482"/>
      <c r="R56" s="2482"/>
      <c r="S56" s="2482"/>
      <c r="T56" s="2482"/>
      <c r="U56" s="2482"/>
      <c r="V56" s="2482"/>
      <c r="W56" s="2482"/>
      <c r="X56" s="2482"/>
      <c r="Y56" s="2482"/>
      <c r="Z56" s="2482"/>
      <c r="AA56" s="2482"/>
      <c r="AB56" s="2482"/>
    </row>
    <row r="57" spans="15:28" ht="16.7" customHeight="1" x14ac:dyDescent="0.2">
      <c r="O57" s="2579"/>
      <c r="P57" s="2482"/>
      <c r="Q57" s="2482"/>
      <c r="R57" s="2482"/>
      <c r="S57" s="2482"/>
      <c r="T57" s="2482"/>
      <c r="U57" s="2482"/>
      <c r="V57" s="2482"/>
      <c r="W57" s="2482"/>
      <c r="X57" s="2482"/>
      <c r="Y57" s="2482"/>
      <c r="Z57" s="2482"/>
      <c r="AA57" s="2482"/>
      <c r="AB57" s="2482"/>
    </row>
    <row r="58" spans="15:28" ht="16.7" customHeight="1" x14ac:dyDescent="0.2">
      <c r="O58" s="2579"/>
      <c r="P58" s="2482"/>
      <c r="Q58" s="2482"/>
      <c r="R58" s="2482"/>
      <c r="S58" s="2482"/>
      <c r="T58" s="2482"/>
      <c r="U58" s="2482"/>
      <c r="V58" s="2482"/>
      <c r="W58" s="2482"/>
      <c r="X58" s="2482"/>
      <c r="Y58" s="2482"/>
      <c r="Z58" s="2482"/>
      <c r="AA58" s="2482"/>
      <c r="AB58" s="2482"/>
    </row>
    <row r="59" spans="15:28" ht="16.7" customHeight="1" x14ac:dyDescent="0.2">
      <c r="O59" s="2579"/>
      <c r="P59" s="2482"/>
      <c r="Q59" s="2482"/>
      <c r="R59" s="2482"/>
      <c r="S59" s="2482"/>
      <c r="T59" s="2482"/>
      <c r="U59" s="2482"/>
      <c r="V59" s="2482"/>
      <c r="W59" s="2482"/>
      <c r="X59" s="2482"/>
      <c r="Y59" s="2482"/>
      <c r="Z59" s="2482"/>
      <c r="AA59" s="2482"/>
      <c r="AB59" s="2482"/>
    </row>
    <row r="60" spans="15:28" ht="16.7" customHeight="1" x14ac:dyDescent="0.2">
      <c r="O60" s="2579"/>
      <c r="P60" s="2482"/>
      <c r="Q60" s="2482"/>
      <c r="R60" s="2482"/>
      <c r="S60" s="2482"/>
      <c r="T60" s="2482"/>
      <c r="U60" s="2482"/>
      <c r="V60" s="2482"/>
      <c r="W60" s="2482"/>
      <c r="X60" s="2482"/>
      <c r="Y60" s="2482"/>
      <c r="Z60" s="2482"/>
      <c r="AA60" s="2482"/>
      <c r="AB60" s="2482"/>
    </row>
    <row r="61" spans="15:28" ht="16.7" customHeight="1" x14ac:dyDescent="0.2">
      <c r="O61" s="2579"/>
      <c r="P61" s="2482"/>
      <c r="Q61" s="2482"/>
      <c r="R61" s="2482"/>
      <c r="S61" s="2482"/>
      <c r="T61" s="2482"/>
      <c r="U61" s="2482"/>
      <c r="V61" s="2482"/>
      <c r="W61" s="2482"/>
      <c r="X61" s="2482"/>
      <c r="Y61" s="2482"/>
      <c r="Z61" s="2482"/>
      <c r="AA61" s="2482"/>
      <c r="AB61" s="2482"/>
    </row>
    <row r="62" spans="15:28" ht="16.7" customHeight="1" x14ac:dyDescent="0.2">
      <c r="O62" s="2579"/>
      <c r="P62" s="2482"/>
      <c r="Q62" s="2482"/>
      <c r="R62" s="2482"/>
      <c r="S62" s="2482"/>
      <c r="T62" s="2482"/>
      <c r="U62" s="2482"/>
      <c r="V62" s="2482"/>
      <c r="W62" s="2482"/>
      <c r="X62" s="2482"/>
      <c r="Y62" s="2482"/>
      <c r="Z62" s="2482"/>
      <c r="AA62" s="2482"/>
      <c r="AB62" s="2482"/>
    </row>
    <row r="63" spans="15:28" ht="16.7" customHeight="1" x14ac:dyDescent="0.2">
      <c r="O63" s="2579"/>
      <c r="P63" s="2482"/>
      <c r="Q63" s="2482"/>
      <c r="R63" s="2482"/>
      <c r="S63" s="2482"/>
      <c r="T63" s="2482"/>
      <c r="U63" s="2482"/>
      <c r="V63" s="2482"/>
      <c r="W63" s="2482"/>
      <c r="X63" s="2482"/>
      <c r="Y63" s="2482"/>
      <c r="Z63" s="2482"/>
      <c r="AA63" s="2482"/>
      <c r="AB63" s="2482"/>
    </row>
    <row r="64" spans="15:28" ht="16.7" customHeight="1" x14ac:dyDescent="0.2">
      <c r="O64" s="2579"/>
      <c r="P64" s="2482"/>
      <c r="Q64" s="2482"/>
      <c r="R64" s="2482"/>
      <c r="S64" s="2482"/>
      <c r="T64" s="2482"/>
      <c r="U64" s="2482"/>
      <c r="V64" s="2482"/>
      <c r="W64" s="2482"/>
      <c r="X64" s="2482"/>
      <c r="Y64" s="2482"/>
      <c r="Z64" s="2482"/>
      <c r="AA64" s="2482"/>
      <c r="AB64" s="2482"/>
    </row>
    <row r="65" spans="15:28" ht="16.7" customHeight="1" x14ac:dyDescent="0.2">
      <c r="O65" s="2579"/>
      <c r="P65" s="2482"/>
      <c r="Q65" s="2482"/>
      <c r="R65" s="2482"/>
      <c r="S65" s="2482"/>
      <c r="T65" s="2482"/>
      <c r="U65" s="2482"/>
      <c r="V65" s="2482"/>
      <c r="W65" s="2482"/>
      <c r="X65" s="2482"/>
      <c r="Y65" s="2482"/>
      <c r="Z65" s="2482"/>
      <c r="AA65" s="2482"/>
      <c r="AB65" s="2482"/>
    </row>
    <row r="66" spans="15:28" ht="16.7" customHeight="1" x14ac:dyDescent="0.2">
      <c r="O66" s="2579"/>
      <c r="P66" s="2482"/>
      <c r="Q66" s="2482"/>
      <c r="R66" s="2482"/>
      <c r="S66" s="2482"/>
      <c r="T66" s="2482"/>
      <c r="U66" s="2482"/>
      <c r="V66" s="2482"/>
      <c r="W66" s="2482"/>
      <c r="X66" s="2482"/>
      <c r="Y66" s="2482"/>
      <c r="Z66" s="2482"/>
      <c r="AA66" s="2482"/>
      <c r="AB66" s="2482"/>
    </row>
    <row r="67" spans="15:28" ht="16.7" customHeight="1" x14ac:dyDescent="0.2">
      <c r="O67" s="2579"/>
      <c r="P67" s="2482"/>
      <c r="Q67" s="2482"/>
      <c r="R67" s="2482"/>
      <c r="S67" s="2482"/>
      <c r="T67" s="2482"/>
      <c r="U67" s="2482"/>
      <c r="V67" s="2482"/>
      <c r="W67" s="2482"/>
      <c r="X67" s="2482"/>
      <c r="Y67" s="2482"/>
      <c r="Z67" s="2482"/>
      <c r="AA67" s="2482"/>
      <c r="AB67" s="2482"/>
    </row>
    <row r="68" spans="15:28" ht="16.7" customHeight="1" x14ac:dyDescent="0.2">
      <c r="O68" s="2579"/>
      <c r="P68" s="2482"/>
      <c r="Q68" s="2482"/>
      <c r="R68" s="2482"/>
      <c r="S68" s="2482"/>
      <c r="T68" s="2482"/>
      <c r="U68" s="2482"/>
      <c r="V68" s="2482"/>
      <c r="W68" s="2482"/>
      <c r="X68" s="2482"/>
      <c r="Y68" s="2482"/>
      <c r="Z68" s="2482"/>
      <c r="AA68" s="2482"/>
      <c r="AB68" s="2482"/>
    </row>
    <row r="69" spans="15:28" ht="16.7" customHeight="1" x14ac:dyDescent="0.2">
      <c r="O69" s="2579"/>
      <c r="P69" s="2482"/>
      <c r="Q69" s="2482"/>
      <c r="R69" s="2482"/>
      <c r="S69" s="2482"/>
      <c r="T69" s="2482"/>
      <c r="U69" s="2482"/>
      <c r="V69" s="2482"/>
      <c r="W69" s="2482"/>
      <c r="X69" s="2482"/>
      <c r="Y69" s="2482"/>
      <c r="Z69" s="2482"/>
      <c r="AA69" s="2482"/>
      <c r="AB69" s="2482"/>
    </row>
    <row r="70" spans="15:28" ht="16.7" customHeight="1" x14ac:dyDescent="0.2">
      <c r="O70" s="2579"/>
      <c r="P70" s="2482"/>
      <c r="Q70" s="2482"/>
      <c r="R70" s="2482"/>
      <c r="S70" s="2482"/>
      <c r="T70" s="2482"/>
      <c r="U70" s="2482"/>
      <c r="V70" s="2482"/>
      <c r="W70" s="2482"/>
      <c r="X70" s="2482"/>
      <c r="Y70" s="2482"/>
      <c r="Z70" s="2482"/>
      <c r="AA70" s="2482"/>
      <c r="AB70" s="2482"/>
    </row>
    <row r="71" spans="15:28" ht="16.7" customHeight="1" x14ac:dyDescent="0.2">
      <c r="O71" s="2579"/>
      <c r="P71" s="2482"/>
      <c r="Q71" s="2482"/>
      <c r="R71" s="2482"/>
      <c r="S71" s="2482"/>
      <c r="T71" s="2482"/>
      <c r="U71" s="2482"/>
      <c r="V71" s="2482"/>
      <c r="W71" s="2482"/>
      <c r="X71" s="2482"/>
      <c r="Y71" s="2482"/>
      <c r="Z71" s="2482"/>
      <c r="AA71" s="2482"/>
      <c r="AB71" s="2482"/>
    </row>
    <row r="72" spans="15:28" ht="16.7" customHeight="1" x14ac:dyDescent="0.2">
      <c r="O72" s="2579"/>
      <c r="P72" s="2482"/>
      <c r="Q72" s="2482"/>
      <c r="R72" s="2482"/>
      <c r="S72" s="2482"/>
      <c r="T72" s="2482"/>
      <c r="U72" s="2482"/>
      <c r="V72" s="2482"/>
      <c r="W72" s="2482"/>
      <c r="X72" s="2482"/>
      <c r="Y72" s="2482"/>
      <c r="Z72" s="2482"/>
      <c r="AA72" s="2482"/>
      <c r="AB72" s="2482"/>
    </row>
    <row r="73" spans="15:28" ht="16.7" customHeight="1" x14ac:dyDescent="0.2">
      <c r="O73" s="2579"/>
      <c r="P73" s="2482"/>
      <c r="Q73" s="2482"/>
      <c r="R73" s="2482"/>
      <c r="S73" s="2482"/>
      <c r="T73" s="2482"/>
      <c r="U73" s="2482"/>
      <c r="V73" s="2482"/>
      <c r="W73" s="2482"/>
      <c r="X73" s="2482"/>
      <c r="Y73" s="2482"/>
      <c r="Z73" s="2482"/>
      <c r="AA73" s="2482"/>
      <c r="AB73" s="2482"/>
    </row>
    <row r="74" spans="15:28" ht="16.7" customHeight="1" x14ac:dyDescent="0.2">
      <c r="O74" s="2579"/>
      <c r="P74" s="2482"/>
      <c r="Q74" s="2482"/>
      <c r="R74" s="2482"/>
      <c r="S74" s="2482"/>
      <c r="T74" s="2482"/>
      <c r="U74" s="2482"/>
      <c r="V74" s="2482"/>
      <c r="W74" s="2482"/>
      <c r="X74" s="2482"/>
      <c r="Y74" s="2482"/>
      <c r="Z74" s="2482"/>
      <c r="AA74" s="2482"/>
      <c r="AB74" s="2482"/>
    </row>
    <row r="75" spans="15:28" ht="16.7" customHeight="1" x14ac:dyDescent="0.2">
      <c r="O75" s="2579"/>
      <c r="P75" s="2482"/>
      <c r="Q75" s="2482"/>
      <c r="R75" s="2482"/>
      <c r="S75" s="2482"/>
      <c r="T75" s="2482"/>
      <c r="U75" s="2482"/>
      <c r="V75" s="2482"/>
      <c r="W75" s="2482"/>
      <c r="X75" s="2482"/>
      <c r="Y75" s="2482"/>
      <c r="Z75" s="2482"/>
      <c r="AA75" s="2482"/>
      <c r="AB75" s="2482"/>
    </row>
    <row r="76" spans="15:28" ht="16.7" customHeight="1" x14ac:dyDescent="0.2">
      <c r="O76" s="2579"/>
      <c r="P76" s="2482"/>
      <c r="Q76" s="2482"/>
      <c r="R76" s="2482"/>
      <c r="S76" s="2482"/>
      <c r="T76" s="2482"/>
      <c r="U76" s="2482"/>
      <c r="V76" s="2482"/>
      <c r="W76" s="2482"/>
      <c r="X76" s="2482"/>
      <c r="Y76" s="2482"/>
      <c r="Z76" s="2482"/>
      <c r="AA76" s="2482"/>
      <c r="AB76" s="2482"/>
    </row>
    <row r="77" spans="15:28" ht="16.7" customHeight="1" x14ac:dyDescent="0.2">
      <c r="O77" s="2579"/>
      <c r="P77" s="2482"/>
      <c r="Q77" s="2482"/>
      <c r="R77" s="2482"/>
      <c r="S77" s="2482"/>
      <c r="T77" s="2482"/>
      <c r="U77" s="2482"/>
      <c r="V77" s="2482"/>
      <c r="W77" s="2482"/>
      <c r="X77" s="2482"/>
      <c r="Y77" s="2482"/>
      <c r="Z77" s="2482"/>
      <c r="AA77" s="2482"/>
      <c r="AB77" s="2482"/>
    </row>
    <row r="78" spans="15:28" ht="16.7" customHeight="1" x14ac:dyDescent="0.2">
      <c r="O78" s="2579"/>
      <c r="P78" s="2482"/>
      <c r="Q78" s="2482"/>
      <c r="R78" s="2482"/>
      <c r="S78" s="2482"/>
      <c r="T78" s="2482"/>
      <c r="U78" s="2482"/>
      <c r="V78" s="2482"/>
      <c r="W78" s="2482"/>
      <c r="X78" s="2482"/>
      <c r="Y78" s="2482"/>
      <c r="Z78" s="2482"/>
      <c r="AA78" s="2482"/>
      <c r="AB78" s="2482"/>
    </row>
    <row r="79" spans="15:28" ht="16.7" customHeight="1" x14ac:dyDescent="0.2">
      <c r="O79" s="2579"/>
      <c r="P79" s="2482"/>
      <c r="Q79" s="2482"/>
      <c r="R79" s="2482"/>
      <c r="S79" s="2482"/>
      <c r="T79" s="2482"/>
      <c r="U79" s="2482"/>
      <c r="V79" s="2482"/>
      <c r="W79" s="2482"/>
      <c r="X79" s="2482"/>
      <c r="Y79" s="2482"/>
      <c r="Z79" s="2482"/>
      <c r="AA79" s="2482"/>
      <c r="AB79" s="2482"/>
    </row>
    <row r="80" spans="15:28" ht="16.7" customHeight="1" x14ac:dyDescent="0.2">
      <c r="O80" s="2579"/>
      <c r="P80" s="2482"/>
      <c r="Q80" s="2482"/>
      <c r="R80" s="2482"/>
      <c r="S80" s="2482"/>
      <c r="T80" s="2482"/>
      <c r="U80" s="2482"/>
      <c r="V80" s="2482"/>
      <c r="W80" s="2482"/>
      <c r="X80" s="2482"/>
      <c r="Y80" s="2482"/>
      <c r="Z80" s="2482"/>
      <c r="AA80" s="2482"/>
      <c r="AB80" s="2482"/>
    </row>
    <row r="81" spans="15:28" ht="16.7" customHeight="1" x14ac:dyDescent="0.2">
      <c r="O81" s="2579"/>
      <c r="P81" s="2482"/>
      <c r="Q81" s="2482"/>
      <c r="R81" s="2482"/>
      <c r="S81" s="2482"/>
      <c r="T81" s="2482"/>
      <c r="U81" s="2482"/>
      <c r="V81" s="2482"/>
      <c r="W81" s="2482"/>
      <c r="X81" s="2482"/>
      <c r="Y81" s="2482"/>
      <c r="Z81" s="2482"/>
      <c r="AA81" s="2482"/>
      <c r="AB81" s="2482"/>
    </row>
    <row r="82" spans="15:28" ht="16.7" customHeight="1" x14ac:dyDescent="0.2">
      <c r="O82" s="2579"/>
      <c r="P82" s="2482"/>
      <c r="Q82" s="2482"/>
      <c r="R82" s="2482"/>
      <c r="S82" s="2482"/>
      <c r="T82" s="2482"/>
      <c r="U82" s="2482"/>
      <c r="V82" s="2482"/>
      <c r="W82" s="2482"/>
      <c r="X82" s="2482"/>
      <c r="Y82" s="2482"/>
      <c r="Z82" s="2482"/>
      <c r="AA82" s="2482"/>
      <c r="AB82" s="2482"/>
    </row>
    <row r="83" spans="15:28" ht="16.7" customHeight="1" x14ac:dyDescent="0.2">
      <c r="O83" s="2579"/>
      <c r="P83" s="2482"/>
      <c r="Q83" s="2482"/>
      <c r="R83" s="2482"/>
      <c r="S83" s="2482"/>
      <c r="T83" s="2482"/>
      <c r="U83" s="2482"/>
      <c r="V83" s="2482"/>
      <c r="W83" s="2482"/>
      <c r="X83" s="2482"/>
      <c r="Y83" s="2482"/>
      <c r="Z83" s="2482"/>
      <c r="AA83" s="2482"/>
      <c r="AB83" s="2482"/>
    </row>
    <row r="84" spans="15:28" ht="16.7" customHeight="1" x14ac:dyDescent="0.2">
      <c r="O84" s="2579"/>
      <c r="P84" s="2482"/>
      <c r="Q84" s="2482"/>
      <c r="R84" s="2482"/>
      <c r="S84" s="2482"/>
      <c r="T84" s="2482"/>
      <c r="U84" s="2482"/>
      <c r="V84" s="2482"/>
      <c r="W84" s="2482"/>
      <c r="X84" s="2482"/>
      <c r="Y84" s="2482"/>
      <c r="Z84" s="2482"/>
      <c r="AA84" s="2482"/>
      <c r="AB84" s="2482"/>
    </row>
    <row r="85" spans="15:28" ht="16.7" customHeight="1" x14ac:dyDescent="0.2">
      <c r="O85" s="2579"/>
      <c r="P85" s="2482"/>
      <c r="Q85" s="2482"/>
      <c r="R85" s="2482"/>
      <c r="S85" s="2482"/>
      <c r="T85" s="2482"/>
      <c r="U85" s="2482"/>
      <c r="V85" s="2482"/>
      <c r="W85" s="2482"/>
      <c r="X85" s="2482"/>
      <c r="Y85" s="2482"/>
      <c r="Z85" s="2482"/>
      <c r="AA85" s="2482"/>
      <c r="AB85" s="2482"/>
    </row>
    <row r="86" spans="15:28" ht="16.7" customHeight="1" x14ac:dyDescent="0.2">
      <c r="O86" s="2579"/>
      <c r="P86" s="2482"/>
      <c r="Q86" s="2482"/>
      <c r="R86" s="2482"/>
      <c r="S86" s="2482"/>
      <c r="T86" s="2482"/>
      <c r="U86" s="2482"/>
      <c r="V86" s="2482"/>
      <c r="W86" s="2482"/>
      <c r="X86" s="2482"/>
      <c r="Y86" s="2482"/>
      <c r="Z86" s="2482"/>
      <c r="AA86" s="2482"/>
      <c r="AB86" s="2482"/>
    </row>
    <row r="87" spans="15:28" ht="16.7" customHeight="1" x14ac:dyDescent="0.2">
      <c r="O87" s="2579"/>
      <c r="P87" s="2482"/>
      <c r="Q87" s="2482"/>
      <c r="R87" s="2482"/>
      <c r="S87" s="2482"/>
      <c r="T87" s="2482"/>
      <c r="U87" s="2482"/>
      <c r="V87" s="2482"/>
      <c r="W87" s="2482"/>
      <c r="X87" s="2482"/>
      <c r="Y87" s="2482"/>
      <c r="Z87" s="2482"/>
      <c r="AA87" s="2482"/>
      <c r="AB87" s="2482"/>
    </row>
    <row r="88" spans="15:28" ht="16.7" customHeight="1" x14ac:dyDescent="0.2">
      <c r="O88" s="2579"/>
      <c r="P88" s="2482"/>
      <c r="Q88" s="2482"/>
      <c r="R88" s="2482"/>
      <c r="S88" s="2482"/>
      <c r="T88" s="2482"/>
      <c r="U88" s="2482"/>
      <c r="V88" s="2482"/>
      <c r="W88" s="2482"/>
      <c r="X88" s="2482"/>
      <c r="Y88" s="2482"/>
      <c r="Z88" s="2482"/>
      <c r="AA88" s="2482"/>
      <c r="AB88" s="2482"/>
    </row>
    <row r="89" spans="15:28" ht="16.7" customHeight="1" x14ac:dyDescent="0.2">
      <c r="O89" s="2579"/>
      <c r="P89" s="2482"/>
      <c r="Q89" s="2482"/>
      <c r="R89" s="2482"/>
      <c r="S89" s="2482"/>
      <c r="T89" s="2482"/>
      <c r="U89" s="2482"/>
      <c r="V89" s="2482"/>
      <c r="W89" s="2482"/>
      <c r="X89" s="2482"/>
      <c r="Y89" s="2482"/>
      <c r="Z89" s="2482"/>
      <c r="AA89" s="2482"/>
      <c r="AB89" s="2482"/>
    </row>
    <row r="90" spans="15:28" ht="16.7" customHeight="1" x14ac:dyDescent="0.2">
      <c r="O90" s="2579"/>
      <c r="P90" s="2482"/>
      <c r="Q90" s="2482"/>
      <c r="R90" s="2482"/>
      <c r="S90" s="2482"/>
      <c r="T90" s="2482"/>
      <c r="U90" s="2482"/>
      <c r="V90" s="2482"/>
      <c r="W90" s="2482"/>
      <c r="X90" s="2482"/>
      <c r="Y90" s="2482"/>
      <c r="Z90" s="2482"/>
      <c r="AA90" s="2482"/>
      <c r="AB90" s="2482"/>
    </row>
    <row r="91" spans="15:28" ht="16.7" customHeight="1" x14ac:dyDescent="0.2">
      <c r="O91" s="2579"/>
      <c r="P91" s="2482"/>
      <c r="Q91" s="2482"/>
      <c r="R91" s="2482"/>
      <c r="S91" s="2482"/>
      <c r="T91" s="2482"/>
      <c r="U91" s="2482"/>
      <c r="V91" s="2482"/>
      <c r="W91" s="2482"/>
      <c r="X91" s="2482"/>
      <c r="Y91" s="2482"/>
      <c r="Z91" s="2482"/>
      <c r="AA91" s="2482"/>
      <c r="AB91" s="2482"/>
    </row>
    <row r="92" spans="15:28" ht="16.7" customHeight="1" x14ac:dyDescent="0.2">
      <c r="O92" s="2579"/>
      <c r="P92" s="2482"/>
      <c r="Q92" s="2482"/>
      <c r="R92" s="2482"/>
      <c r="S92" s="2482"/>
      <c r="T92" s="2482"/>
      <c r="U92" s="2482"/>
      <c r="V92" s="2482"/>
      <c r="W92" s="2482"/>
      <c r="X92" s="2482"/>
      <c r="Y92" s="2482"/>
      <c r="Z92" s="2482"/>
      <c r="AA92" s="2482"/>
      <c r="AB92" s="2482"/>
    </row>
    <row r="93" spans="15:28" ht="16.7" customHeight="1" x14ac:dyDescent="0.2">
      <c r="O93" s="2579"/>
      <c r="P93" s="2482"/>
      <c r="Q93" s="2482"/>
      <c r="R93" s="2482"/>
      <c r="S93" s="2482"/>
      <c r="T93" s="2482"/>
      <c r="U93" s="2482"/>
      <c r="V93" s="2482"/>
      <c r="W93" s="2482"/>
      <c r="X93" s="2482"/>
      <c r="Y93" s="2482"/>
      <c r="Z93" s="2482"/>
      <c r="AA93" s="2482"/>
      <c r="AB93" s="2482"/>
    </row>
    <row r="94" spans="15:28" ht="16.7" customHeight="1" x14ac:dyDescent="0.2">
      <c r="O94" s="2579"/>
      <c r="P94" s="2482"/>
      <c r="Q94" s="2482"/>
      <c r="R94" s="2482"/>
      <c r="S94" s="2482"/>
      <c r="T94" s="2482"/>
      <c r="U94" s="2482"/>
      <c r="V94" s="2482"/>
      <c r="W94" s="2482"/>
      <c r="X94" s="2482"/>
      <c r="Y94" s="2482"/>
      <c r="Z94" s="2482"/>
      <c r="AA94" s="2482"/>
      <c r="AB94" s="2482"/>
    </row>
    <row r="95" spans="15:28" ht="16.7" customHeight="1" x14ac:dyDescent="0.2">
      <c r="O95" s="2579"/>
      <c r="P95" s="2482"/>
      <c r="Q95" s="2482"/>
      <c r="R95" s="2482"/>
      <c r="S95" s="2482"/>
      <c r="T95" s="2482"/>
      <c r="U95" s="2482"/>
      <c r="V95" s="2482"/>
      <c r="W95" s="2482"/>
      <c r="X95" s="2482"/>
      <c r="Y95" s="2482"/>
      <c r="Z95" s="2482"/>
      <c r="AA95" s="2482"/>
      <c r="AB95" s="2482"/>
    </row>
    <row r="96" spans="15:28" ht="16.7" customHeight="1" x14ac:dyDescent="0.2">
      <c r="O96" s="2579"/>
      <c r="P96" s="2482"/>
      <c r="Q96" s="2482"/>
      <c r="R96" s="2482"/>
      <c r="S96" s="2482"/>
      <c r="T96" s="2482"/>
      <c r="U96" s="2482"/>
      <c r="V96" s="2482"/>
      <c r="W96" s="2482"/>
      <c r="X96" s="2482"/>
      <c r="Y96" s="2482"/>
      <c r="Z96" s="2482"/>
      <c r="AA96" s="2482"/>
      <c r="AB96" s="2482"/>
    </row>
    <row r="97" spans="15:28" ht="16.7" customHeight="1" x14ac:dyDescent="0.2">
      <c r="O97" s="2579"/>
      <c r="P97" s="2482"/>
      <c r="Q97" s="2482"/>
      <c r="R97" s="2482"/>
      <c r="S97" s="2482"/>
      <c r="T97" s="2482"/>
      <c r="U97" s="2482"/>
      <c r="V97" s="2482"/>
      <c r="W97" s="2482"/>
      <c r="X97" s="2482"/>
      <c r="Y97" s="2482"/>
      <c r="Z97" s="2482"/>
      <c r="AA97" s="2482"/>
      <c r="AB97" s="2482"/>
    </row>
    <row r="98" spans="15:28" ht="16.7" customHeight="1" x14ac:dyDescent="0.2">
      <c r="O98" s="2579"/>
      <c r="P98" s="2482"/>
      <c r="Q98" s="2482"/>
      <c r="R98" s="2482"/>
      <c r="S98" s="2482"/>
      <c r="T98" s="2482"/>
      <c r="U98" s="2482"/>
      <c r="V98" s="2482"/>
      <c r="W98" s="2482"/>
      <c r="X98" s="2482"/>
      <c r="Y98" s="2482"/>
      <c r="Z98" s="2482"/>
      <c r="AA98" s="2482"/>
      <c r="AB98" s="2482"/>
    </row>
    <row r="99" spans="15:28" ht="16.7" customHeight="1" x14ac:dyDescent="0.2">
      <c r="O99" s="2579"/>
      <c r="P99" s="2482"/>
      <c r="Q99" s="2482"/>
      <c r="R99" s="2482"/>
      <c r="S99" s="2482"/>
      <c r="T99" s="2482"/>
      <c r="U99" s="2482"/>
      <c r="V99" s="2482"/>
      <c r="W99" s="2482"/>
      <c r="X99" s="2482"/>
      <c r="Y99" s="2482"/>
      <c r="Z99" s="2482"/>
      <c r="AA99" s="2482"/>
      <c r="AB99" s="2482"/>
    </row>
    <row r="100" spans="15:28" ht="16.7" customHeight="1" x14ac:dyDescent="0.2">
      <c r="O100" s="2579"/>
      <c r="P100" s="2482"/>
      <c r="Q100" s="2482"/>
      <c r="R100" s="2482"/>
      <c r="S100" s="2482"/>
      <c r="T100" s="2482"/>
      <c r="U100" s="2482"/>
      <c r="V100" s="2482"/>
      <c r="W100" s="2482"/>
      <c r="X100" s="2482"/>
      <c r="Y100" s="2482"/>
      <c r="Z100" s="2482"/>
      <c r="AA100" s="2482"/>
      <c r="AB100" s="2482"/>
    </row>
    <row r="101" spans="15:28" ht="16.7" customHeight="1" x14ac:dyDescent="0.2">
      <c r="O101" s="2579"/>
      <c r="P101" s="2482"/>
      <c r="Q101" s="2482"/>
      <c r="R101" s="2482"/>
      <c r="S101" s="2482"/>
      <c r="T101" s="2482"/>
      <c r="U101" s="2482"/>
      <c r="V101" s="2482"/>
      <c r="W101" s="2482"/>
      <c r="X101" s="2482"/>
      <c r="Y101" s="2482"/>
      <c r="Z101" s="2482"/>
      <c r="AA101" s="2482"/>
      <c r="AB101" s="2482"/>
    </row>
    <row r="102" spans="15:28" ht="16.7" customHeight="1" x14ac:dyDescent="0.2">
      <c r="O102" s="2579"/>
      <c r="P102" s="2482"/>
      <c r="Q102" s="2482"/>
      <c r="R102" s="2482"/>
      <c r="S102" s="2482"/>
      <c r="T102" s="2482"/>
      <c r="U102" s="2482"/>
      <c r="V102" s="2482"/>
      <c r="W102" s="2482"/>
      <c r="X102" s="2482"/>
      <c r="Y102" s="2482"/>
      <c r="Z102" s="2482"/>
      <c r="AA102" s="2482"/>
      <c r="AB102" s="2482"/>
    </row>
    <row r="103" spans="15:28" ht="16.7" customHeight="1" x14ac:dyDescent="0.2">
      <c r="O103" s="2579"/>
      <c r="P103" s="2482"/>
      <c r="Q103" s="2482"/>
      <c r="R103" s="2482"/>
      <c r="S103" s="2482"/>
      <c r="T103" s="2482"/>
      <c r="U103" s="2482"/>
      <c r="V103" s="2482"/>
      <c r="W103" s="2482"/>
      <c r="X103" s="2482"/>
      <c r="Y103" s="2482"/>
      <c r="Z103" s="2482"/>
      <c r="AA103" s="2482"/>
      <c r="AB103" s="2482"/>
    </row>
    <row r="104" spans="15:28" ht="16.7" customHeight="1" x14ac:dyDescent="0.2">
      <c r="O104" s="2579"/>
      <c r="P104" s="2482"/>
      <c r="Q104" s="2482"/>
      <c r="R104" s="2482"/>
      <c r="S104" s="2482"/>
      <c r="T104" s="2482"/>
      <c r="U104" s="2482"/>
      <c r="V104" s="2482"/>
      <c r="W104" s="2482"/>
      <c r="X104" s="2482"/>
      <c r="Y104" s="2482"/>
      <c r="Z104" s="2482"/>
      <c r="AA104" s="2482"/>
      <c r="AB104" s="2482"/>
    </row>
    <row r="105" spans="15:28" ht="16.7" customHeight="1" x14ac:dyDescent="0.2">
      <c r="O105" s="2579"/>
      <c r="P105" s="2482"/>
      <c r="Q105" s="2482"/>
      <c r="R105" s="2482"/>
      <c r="S105" s="2482"/>
      <c r="T105" s="2482"/>
      <c r="U105" s="2482"/>
      <c r="V105" s="2482"/>
      <c r="W105" s="2482"/>
      <c r="X105" s="2482"/>
      <c r="Y105" s="2482"/>
      <c r="Z105" s="2482"/>
      <c r="AA105" s="2482"/>
      <c r="AB105" s="2482"/>
    </row>
    <row r="106" spans="15:28" ht="16.7" customHeight="1" x14ac:dyDescent="0.2">
      <c r="O106" s="2579"/>
      <c r="P106" s="2482"/>
      <c r="Q106" s="2482"/>
      <c r="R106" s="2482"/>
      <c r="S106" s="2482"/>
      <c r="T106" s="2482"/>
      <c r="U106" s="2482"/>
      <c r="V106" s="2482"/>
      <c r="W106" s="2482"/>
      <c r="X106" s="2482"/>
      <c r="Y106" s="2482"/>
      <c r="Z106" s="2482"/>
      <c r="AA106" s="2482"/>
      <c r="AB106" s="2482"/>
    </row>
    <row r="107" spans="15:28" ht="15" customHeight="1" x14ac:dyDescent="0.2">
      <c r="O107" s="2579"/>
      <c r="P107" s="2482"/>
      <c r="Q107" s="2482"/>
      <c r="R107" s="2482"/>
      <c r="S107" s="2482"/>
      <c r="T107" s="2482"/>
      <c r="U107" s="2482"/>
      <c r="V107" s="2482"/>
      <c r="W107" s="2482"/>
      <c r="X107" s="2482"/>
      <c r="Y107" s="2482"/>
      <c r="Z107" s="2482"/>
      <c r="AA107" s="2482"/>
      <c r="AB107" s="2482"/>
    </row>
    <row r="108" spans="15:28" x14ac:dyDescent="0.2">
      <c r="O108" s="2608"/>
    </row>
  </sheetData>
  <mergeCells count="26">
    <mergeCell ref="C33:E33"/>
    <mergeCell ref="L9:L11"/>
    <mergeCell ref="D10:D11"/>
    <mergeCell ref="E10:E11"/>
    <mergeCell ref="F10:F11"/>
    <mergeCell ref="G10:G11"/>
    <mergeCell ref="H10:I10"/>
    <mergeCell ref="J10:K10"/>
    <mergeCell ref="H9:K9"/>
    <mergeCell ref="C14:E14"/>
    <mergeCell ref="F14:L14"/>
    <mergeCell ref="C15:E15"/>
    <mergeCell ref="F15:L15"/>
    <mergeCell ref="C23:E23"/>
    <mergeCell ref="A9:A11"/>
    <mergeCell ref="B9:B11"/>
    <mergeCell ref="C9:C11"/>
    <mergeCell ref="D9:E9"/>
    <mergeCell ref="F9:G9"/>
    <mergeCell ref="A8:E8"/>
    <mergeCell ref="F8:L8"/>
    <mergeCell ref="O1:O4"/>
    <mergeCell ref="A6:E6"/>
    <mergeCell ref="F6:L6"/>
    <mergeCell ref="A7:E7"/>
    <mergeCell ref="F7:L7"/>
  </mergeCells>
  <pageMargins left="0.75" right="0.75" top="1" bottom="1" header="0.5" footer="0.5"/>
  <customProperties>
    <customPr name="_pios_id" r:id="rId1"/>
  </customProperties>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63FC4-49F0-438D-A344-2BD5F7C3435B}">
  <sheetPr codeName="Sheet70"/>
  <dimension ref="A1:U46"/>
  <sheetViews>
    <sheetView showRuler="0" topLeftCell="A21" workbookViewId="0"/>
  </sheetViews>
  <sheetFormatPr defaultColWidth="11.5" defaultRowHeight="12.75" x14ac:dyDescent="0.2"/>
  <cols>
    <col min="1" max="1" width="7.75" style="1953" customWidth="1"/>
    <col min="2" max="2" width="45" style="1953" customWidth="1"/>
    <col min="3" max="3" width="17.125" style="1953" customWidth="1"/>
    <col min="4" max="4" width="17" style="1953" customWidth="1"/>
    <col min="5" max="5" width="19.75" style="1953" customWidth="1"/>
    <col min="6" max="6" width="16.25" style="1953" customWidth="1"/>
    <col min="7" max="8" width="14.375" style="1953" customWidth="1"/>
    <col min="9" max="9" width="23.5" style="1953" customWidth="1"/>
    <col min="10" max="10" width="17.625" style="1953" hidden="1" customWidth="1"/>
    <col min="11" max="11" width="5.75" style="1953" hidden="1" customWidth="1"/>
    <col min="12" max="21" width="17.625" style="1953" hidden="1" customWidth="1"/>
    <col min="22" max="22" width="17.625" style="1953" customWidth="1"/>
    <col min="23" max="16384" width="11.5" style="1953"/>
  </cols>
  <sheetData>
    <row r="1" spans="1:21" ht="16.7" customHeight="1" x14ac:dyDescent="0.2">
      <c r="B1" s="2478" t="s">
        <v>5937</v>
      </c>
      <c r="C1" s="2479"/>
      <c r="J1" s="4038" t="s">
        <v>6320</v>
      </c>
      <c r="K1" s="2482" t="s">
        <v>6974</v>
      </c>
      <c r="L1" s="2482"/>
      <c r="M1" s="2482"/>
      <c r="N1" s="2482"/>
      <c r="O1" s="2482"/>
      <c r="P1" s="2482"/>
      <c r="Q1" s="2482"/>
      <c r="R1" s="2482"/>
      <c r="S1" s="2482"/>
      <c r="T1" s="2482"/>
      <c r="U1" s="2482"/>
    </row>
    <row r="2" spans="1:21" ht="16.7" customHeight="1" x14ac:dyDescent="0.2">
      <c r="B2" s="2608"/>
      <c r="J2" s="4039"/>
      <c r="K2" s="2482"/>
      <c r="L2" s="2482"/>
      <c r="M2" s="2482"/>
      <c r="N2" s="2482"/>
      <c r="O2" s="2482"/>
      <c r="P2" s="2482"/>
      <c r="Q2" s="2482"/>
      <c r="R2" s="2482"/>
      <c r="S2" s="2482"/>
      <c r="T2" s="2482"/>
      <c r="U2" s="2482"/>
    </row>
    <row r="3" spans="1:21" ht="16.7" customHeight="1" x14ac:dyDescent="0.2">
      <c r="J3" s="2579"/>
      <c r="K3" s="2482"/>
      <c r="L3" s="2482"/>
      <c r="M3" s="2482"/>
      <c r="N3" s="2482"/>
      <c r="O3" s="2482"/>
      <c r="P3" s="2482"/>
      <c r="Q3" s="2482"/>
      <c r="R3" s="2482"/>
      <c r="S3" s="2482"/>
      <c r="T3" s="2482"/>
      <c r="U3" s="2482"/>
    </row>
    <row r="4" spans="1:21" ht="16.7" customHeight="1" x14ac:dyDescent="0.2">
      <c r="A4" s="3859" t="s">
        <v>8307</v>
      </c>
      <c r="B4" s="3859"/>
      <c r="C4" s="3859"/>
      <c r="D4" s="3859"/>
      <c r="E4" s="3993" t="s">
        <v>8308</v>
      </c>
      <c r="F4" s="3994"/>
      <c r="G4" s="3994"/>
      <c r="H4" s="4027"/>
      <c r="I4" s="2585"/>
      <c r="J4" s="2579"/>
      <c r="K4" s="2482"/>
      <c r="L4" s="2482"/>
      <c r="M4" s="2482"/>
      <c r="N4" s="2482"/>
      <c r="O4" s="2482"/>
      <c r="P4" s="2482"/>
      <c r="Q4" s="2482"/>
      <c r="R4" s="2482"/>
      <c r="S4" s="2482"/>
      <c r="T4" s="2482"/>
      <c r="U4" s="2482"/>
    </row>
    <row r="5" spans="1:21" ht="16.7" customHeight="1" x14ac:dyDescent="0.2">
      <c r="A5" s="3882" t="s">
        <v>8309</v>
      </c>
      <c r="B5" s="3883"/>
      <c r="C5" s="3883"/>
      <c r="D5" s="3884"/>
      <c r="E5" s="3900" t="s">
        <v>8309</v>
      </c>
      <c r="F5" s="3901"/>
      <c r="G5" s="3901"/>
      <c r="H5" s="3902"/>
      <c r="I5" s="2585"/>
      <c r="J5" s="2579"/>
      <c r="K5" s="2482"/>
      <c r="L5" s="2482"/>
      <c r="M5" s="2482"/>
      <c r="N5" s="2482"/>
      <c r="O5" s="2482"/>
      <c r="P5" s="2482"/>
      <c r="Q5" s="2482"/>
      <c r="R5" s="2482"/>
      <c r="S5" s="2482"/>
      <c r="T5" s="2482"/>
      <c r="U5" s="2482"/>
    </row>
    <row r="6" spans="1:21" ht="96.6" customHeight="1" x14ac:dyDescent="0.2">
      <c r="A6" s="3953" t="s">
        <v>8310</v>
      </c>
      <c r="B6" s="3954"/>
      <c r="C6" s="3954"/>
      <c r="D6" s="3955"/>
      <c r="E6" s="4035" t="s">
        <v>8311</v>
      </c>
      <c r="F6" s="4036"/>
      <c r="G6" s="4036"/>
      <c r="H6" s="4037"/>
      <c r="I6" s="2585"/>
      <c r="J6" s="2579"/>
      <c r="K6" s="2482"/>
      <c r="L6" s="2482"/>
      <c r="M6" s="2482"/>
      <c r="N6" s="2482"/>
      <c r="O6" s="2482"/>
      <c r="P6" s="2482"/>
      <c r="Q6" s="2482"/>
      <c r="R6" s="2482"/>
      <c r="S6" s="2482"/>
      <c r="T6" s="2482"/>
      <c r="U6" s="2482"/>
    </row>
    <row r="7" spans="1:21" ht="16.7" customHeight="1" x14ac:dyDescent="0.2">
      <c r="A7" s="3898" t="s">
        <v>8312</v>
      </c>
      <c r="B7" s="3898" t="s">
        <v>5947</v>
      </c>
      <c r="C7" s="3898" t="s">
        <v>8313</v>
      </c>
      <c r="D7" s="3898" t="s">
        <v>8314</v>
      </c>
      <c r="E7" s="3900" t="s">
        <v>8315</v>
      </c>
      <c r="F7" s="3902"/>
      <c r="G7" s="3900" t="s">
        <v>8316</v>
      </c>
      <c r="H7" s="3902"/>
      <c r="I7" s="2585"/>
      <c r="J7" s="2579"/>
      <c r="K7" s="2482"/>
      <c r="L7" s="2482"/>
      <c r="M7" s="2482"/>
      <c r="N7" s="2482"/>
      <c r="O7" s="2482"/>
      <c r="P7" s="2482"/>
      <c r="Q7" s="2482"/>
      <c r="R7" s="2482"/>
      <c r="S7" s="2482"/>
      <c r="T7" s="2482"/>
      <c r="U7" s="2482"/>
    </row>
    <row r="8" spans="1:21" ht="27.6" customHeight="1" x14ac:dyDescent="0.2">
      <c r="A8" s="3987"/>
      <c r="B8" s="3987"/>
      <c r="C8" s="3987"/>
      <c r="D8" s="3987"/>
      <c r="E8" s="2632" t="s">
        <v>8317</v>
      </c>
      <c r="F8" s="2632" t="s">
        <v>8318</v>
      </c>
      <c r="G8" s="2632" t="s">
        <v>8319</v>
      </c>
      <c r="H8" s="2632" t="s">
        <v>8320</v>
      </c>
      <c r="I8" s="2585"/>
      <c r="J8" s="2579"/>
      <c r="K8" s="2482"/>
      <c r="L8" s="2482"/>
      <c r="M8" s="2482"/>
      <c r="N8" s="2482"/>
      <c r="O8" s="2482"/>
      <c r="P8" s="2482"/>
      <c r="Q8" s="2482"/>
      <c r="R8" s="2482"/>
      <c r="S8" s="2482"/>
      <c r="T8" s="2482"/>
      <c r="U8" s="2482"/>
    </row>
    <row r="9" spans="1:21" ht="16.7" customHeight="1" x14ac:dyDescent="0.2">
      <c r="A9" s="2585"/>
      <c r="B9" s="2586" t="s">
        <v>5949</v>
      </c>
      <c r="C9" s="2586" t="s">
        <v>5950</v>
      </c>
      <c r="D9" s="2586" t="s">
        <v>5951</v>
      </c>
      <c r="E9" s="2846" t="s">
        <v>5952</v>
      </c>
      <c r="F9" s="2846" t="s">
        <v>6227</v>
      </c>
      <c r="G9" s="2846" t="s">
        <v>5804</v>
      </c>
      <c r="H9" s="2846" t="s">
        <v>6228</v>
      </c>
      <c r="I9" s="2479" t="s">
        <v>6324</v>
      </c>
      <c r="J9" s="2878"/>
      <c r="K9" s="2481" t="s">
        <v>5945</v>
      </c>
      <c r="L9" s="2547">
        <v>44926</v>
      </c>
      <c r="M9" s="2547">
        <v>44561</v>
      </c>
      <c r="N9" s="2547">
        <v>44196</v>
      </c>
      <c r="O9" s="2547">
        <v>43830</v>
      </c>
      <c r="P9" s="2482"/>
      <c r="Q9" s="2482"/>
      <c r="R9" s="2482"/>
      <c r="S9" s="2482"/>
      <c r="T9" s="2482"/>
      <c r="U9" s="2482"/>
    </row>
    <row r="10" spans="1:21" ht="16.7" customHeight="1" x14ac:dyDescent="0.2">
      <c r="A10" s="2588"/>
      <c r="B10" s="2589"/>
      <c r="C10" s="2826" t="s">
        <v>7568</v>
      </c>
      <c r="D10" s="2826" t="s">
        <v>6367</v>
      </c>
      <c r="E10" s="2826" t="s">
        <v>7568</v>
      </c>
      <c r="F10" s="2826" t="s">
        <v>6367</v>
      </c>
      <c r="G10" s="2826" t="s">
        <v>7568</v>
      </c>
      <c r="H10" s="2826" t="s">
        <v>6367</v>
      </c>
      <c r="I10" s="2585"/>
      <c r="J10" s="2519"/>
      <c r="K10" s="2481"/>
      <c r="L10" s="2547"/>
      <c r="M10" s="2547"/>
      <c r="N10" s="2547"/>
      <c r="O10" s="2547"/>
      <c r="P10" s="2482"/>
      <c r="Q10" s="2482"/>
      <c r="R10" s="2482"/>
      <c r="S10" s="2482"/>
      <c r="T10" s="2482"/>
      <c r="U10" s="2482"/>
    </row>
    <row r="11" spans="1:21" ht="16.7" customHeight="1" x14ac:dyDescent="0.2">
      <c r="A11" s="2634">
        <v>1</v>
      </c>
      <c r="B11" s="2669" t="s">
        <v>8321</v>
      </c>
      <c r="C11" s="2510"/>
      <c r="D11" s="2510"/>
      <c r="E11" s="2592"/>
      <c r="F11" s="2592"/>
      <c r="G11" s="2592"/>
      <c r="H11" s="2592"/>
      <c r="I11" s="2585"/>
      <c r="J11" s="2579"/>
      <c r="K11" s="2715" t="s">
        <v>6139</v>
      </c>
      <c r="L11" s="2879"/>
      <c r="M11" s="2879"/>
      <c r="N11" s="2879"/>
      <c r="O11" s="2879"/>
      <c r="P11" s="2482"/>
      <c r="Q11" s="2482"/>
      <c r="R11" s="2482"/>
      <c r="S11" s="2482"/>
      <c r="T11" s="2482"/>
      <c r="U11" s="2482"/>
    </row>
    <row r="12" spans="1:21" ht="16.7" customHeight="1" x14ac:dyDescent="0.2">
      <c r="A12" s="2634">
        <v>2</v>
      </c>
      <c r="B12" s="2512" t="s">
        <v>8322</v>
      </c>
      <c r="C12" s="2530">
        <v>2230105420</v>
      </c>
      <c r="D12" s="2527">
        <v>2078412458</v>
      </c>
      <c r="E12" s="2527">
        <v>18158770</v>
      </c>
      <c r="F12" s="2527">
        <v>18425415</v>
      </c>
      <c r="G12" s="2530">
        <v>1806004</v>
      </c>
      <c r="H12" s="2527">
        <v>1775303</v>
      </c>
      <c r="I12" s="2585"/>
      <c r="J12" s="2579"/>
      <c r="K12" s="2783" t="s">
        <v>5957</v>
      </c>
      <c r="L12" s="2880">
        <v>2078412458</v>
      </c>
      <c r="M12" s="2881">
        <v>1958953927</v>
      </c>
      <c r="N12" s="2881">
        <v>1961692056</v>
      </c>
      <c r="O12" s="2881">
        <v>1815760353</v>
      </c>
      <c r="P12" s="2482"/>
      <c r="Q12" s="2482"/>
      <c r="R12" s="2482"/>
      <c r="S12" s="2482"/>
      <c r="T12" s="2482"/>
      <c r="U12" s="2482"/>
    </row>
    <row r="13" spans="1:21" ht="16.7" customHeight="1" x14ac:dyDescent="0.2">
      <c r="A13" s="2634">
        <v>3</v>
      </c>
      <c r="B13" s="2512" t="s">
        <v>8323</v>
      </c>
      <c r="C13" s="2529"/>
      <c r="D13" s="2529"/>
      <c r="E13" s="2510"/>
      <c r="F13" s="2510"/>
      <c r="G13" s="2510"/>
      <c r="H13" s="2510"/>
      <c r="I13" s="2585"/>
      <c r="J13" s="2579"/>
      <c r="K13" s="2783" t="s">
        <v>5959</v>
      </c>
      <c r="L13" s="2882"/>
      <c r="M13" s="2879"/>
      <c r="N13" s="2879"/>
      <c r="O13" s="2879"/>
      <c r="P13" s="2482"/>
      <c r="Q13" s="2482"/>
      <c r="R13" s="2482"/>
      <c r="S13" s="2482"/>
      <c r="T13" s="2482"/>
      <c r="U13" s="2482"/>
    </row>
    <row r="14" spans="1:21" ht="16.7" customHeight="1" x14ac:dyDescent="0.2">
      <c r="A14" s="2634">
        <v>4</v>
      </c>
      <c r="B14" s="2512" t="s">
        <v>8324</v>
      </c>
      <c r="C14" s="2527">
        <v>1870885495</v>
      </c>
      <c r="D14" s="2527">
        <v>1678840782</v>
      </c>
      <c r="E14" s="2527">
        <v>20491480</v>
      </c>
      <c r="F14" s="2527">
        <v>19570243</v>
      </c>
      <c r="G14" s="2527">
        <v>226900</v>
      </c>
      <c r="H14" s="2527">
        <v>225281</v>
      </c>
      <c r="I14" s="2585"/>
      <c r="J14" s="2579"/>
      <c r="K14" s="2783" t="s">
        <v>5961</v>
      </c>
      <c r="L14" s="2880">
        <v>1678840782</v>
      </c>
      <c r="M14" s="2881">
        <v>1593558298</v>
      </c>
      <c r="N14" s="2881">
        <v>1614104509</v>
      </c>
      <c r="O14" s="2881">
        <v>1547127608</v>
      </c>
      <c r="P14" s="2482"/>
      <c r="Q14" s="2482"/>
      <c r="R14" s="2482"/>
      <c r="S14" s="2482"/>
      <c r="T14" s="2482"/>
      <c r="U14" s="2482"/>
    </row>
    <row r="15" spans="1:21" ht="16.7" customHeight="1" x14ac:dyDescent="0.2">
      <c r="A15" s="2634">
        <v>5</v>
      </c>
      <c r="B15" s="2512" t="s">
        <v>8325</v>
      </c>
      <c r="C15" s="2527">
        <v>1338645686</v>
      </c>
      <c r="D15" s="2527">
        <v>1324779894</v>
      </c>
      <c r="E15" s="2527">
        <v>17938466</v>
      </c>
      <c r="F15" s="2527">
        <v>19058783</v>
      </c>
      <c r="G15" s="2527">
        <v>32888</v>
      </c>
      <c r="H15" s="2527">
        <v>32930</v>
      </c>
      <c r="I15" s="2585"/>
      <c r="J15" s="2579"/>
      <c r="K15" s="2783" t="s">
        <v>5963</v>
      </c>
      <c r="L15" s="2880">
        <v>1324779894</v>
      </c>
      <c r="M15" s="2881">
        <v>1277511464</v>
      </c>
      <c r="N15" s="2881">
        <v>1345785490</v>
      </c>
      <c r="O15" s="2881">
        <v>1316469104</v>
      </c>
      <c r="P15" s="2482"/>
      <c r="Q15" s="2482"/>
      <c r="R15" s="2482"/>
      <c r="S15" s="2482"/>
      <c r="T15" s="2482"/>
      <c r="U15" s="2482"/>
    </row>
    <row r="16" spans="1:21" ht="16.7" customHeight="1" x14ac:dyDescent="0.2">
      <c r="A16" s="2634">
        <v>6</v>
      </c>
      <c r="B16" s="2512" t="s">
        <v>8326</v>
      </c>
      <c r="C16" s="2527">
        <v>15218250</v>
      </c>
      <c r="D16" s="2527">
        <v>14513894</v>
      </c>
      <c r="E16" s="2527">
        <v>107612</v>
      </c>
      <c r="F16" s="2527">
        <v>109655</v>
      </c>
      <c r="G16" s="2527">
        <v>3252</v>
      </c>
      <c r="H16" s="2527">
        <v>3534</v>
      </c>
      <c r="I16" s="2585"/>
      <c r="J16" s="2579"/>
      <c r="K16" s="2783" t="s">
        <v>5965</v>
      </c>
      <c r="L16" s="2880">
        <v>14513894</v>
      </c>
      <c r="M16" s="2881">
        <v>14615254</v>
      </c>
      <c r="N16" s="2881">
        <v>17750042</v>
      </c>
      <c r="O16" s="2881">
        <v>18198044</v>
      </c>
      <c r="P16" s="2482"/>
      <c r="Q16" s="2482"/>
      <c r="R16" s="2482"/>
      <c r="S16" s="2482"/>
      <c r="T16" s="2482"/>
      <c r="U16" s="2482"/>
    </row>
    <row r="17" spans="1:21" ht="16.7" customHeight="1" x14ac:dyDescent="0.2">
      <c r="A17" s="2634">
        <v>7</v>
      </c>
      <c r="B17" s="2512" t="s">
        <v>8327</v>
      </c>
      <c r="C17" s="2527">
        <v>0</v>
      </c>
      <c r="D17" s="2527">
        <v>0</v>
      </c>
      <c r="E17" s="2559"/>
      <c r="F17" s="2559"/>
      <c r="G17" s="2559"/>
      <c r="H17" s="2559"/>
      <c r="I17" s="2585"/>
      <c r="J17" s="2579"/>
      <c r="K17" s="2783" t="s">
        <v>5968</v>
      </c>
      <c r="L17" s="2880">
        <v>0</v>
      </c>
      <c r="M17" s="2881">
        <v>0</v>
      </c>
      <c r="N17" s="2881">
        <v>0</v>
      </c>
      <c r="O17" s="2881">
        <v>0</v>
      </c>
      <c r="P17" s="2482"/>
      <c r="Q17" s="2482"/>
      <c r="R17" s="2482"/>
      <c r="S17" s="2482"/>
      <c r="T17" s="2482"/>
      <c r="U17" s="2482"/>
    </row>
    <row r="18" spans="1:21" ht="16.7" customHeight="1" x14ac:dyDescent="0.2">
      <c r="A18" s="2634">
        <v>8</v>
      </c>
      <c r="B18" s="2512" t="s">
        <v>8328</v>
      </c>
      <c r="C18" s="2527">
        <v>0</v>
      </c>
      <c r="D18" s="2527">
        <v>0</v>
      </c>
      <c r="E18" s="2559"/>
      <c r="F18" s="2559"/>
      <c r="G18" s="2559"/>
      <c r="H18" s="2559"/>
      <c r="I18" s="2585"/>
      <c r="J18" s="2579"/>
      <c r="K18" s="2783" t="s">
        <v>5970</v>
      </c>
      <c r="L18" s="2880">
        <v>0</v>
      </c>
      <c r="M18" s="2881">
        <v>0</v>
      </c>
      <c r="N18" s="2881">
        <v>0</v>
      </c>
      <c r="O18" s="2881">
        <v>0</v>
      </c>
      <c r="P18" s="2482"/>
      <c r="Q18" s="2482"/>
      <c r="R18" s="2482"/>
      <c r="S18" s="2482"/>
      <c r="T18" s="2482"/>
      <c r="U18" s="2482"/>
    </row>
    <row r="19" spans="1:21" ht="16.7" customHeight="1" x14ac:dyDescent="0.2">
      <c r="A19" s="2634">
        <v>9</v>
      </c>
      <c r="B19" s="2512" t="s">
        <v>8329</v>
      </c>
      <c r="C19" s="2527">
        <v>0</v>
      </c>
      <c r="D19" s="2527">
        <v>0</v>
      </c>
      <c r="E19" s="2559"/>
      <c r="F19" s="2559"/>
      <c r="G19" s="2559"/>
      <c r="H19" s="2559"/>
      <c r="I19" s="2585"/>
      <c r="J19" s="2579"/>
      <c r="K19" s="2783" t="s">
        <v>5972</v>
      </c>
      <c r="L19" s="2880">
        <v>0</v>
      </c>
      <c r="M19" s="2881">
        <v>0</v>
      </c>
      <c r="N19" s="2881">
        <v>0</v>
      </c>
      <c r="O19" s="2881">
        <v>0</v>
      </c>
      <c r="P19" s="2482"/>
      <c r="Q19" s="2482"/>
      <c r="R19" s="2482"/>
      <c r="S19" s="2482"/>
      <c r="T19" s="2482"/>
      <c r="U19" s="2482"/>
    </row>
    <row r="20" spans="1:21" ht="16.7" customHeight="1" x14ac:dyDescent="0.2">
      <c r="A20" s="2634">
        <v>10</v>
      </c>
      <c r="B20" s="2669" t="s">
        <v>8330</v>
      </c>
      <c r="C20" s="2736">
        <f t="shared" ref="C20:H20" si="0">SUM(C12,C14:C19)</f>
        <v>5454854851</v>
      </c>
      <c r="D20" s="2736">
        <f t="shared" si="0"/>
        <v>5096547028</v>
      </c>
      <c r="E20" s="2736">
        <f t="shared" si="0"/>
        <v>56696328</v>
      </c>
      <c r="F20" s="2736">
        <f t="shared" si="0"/>
        <v>57164096</v>
      </c>
      <c r="G20" s="2736">
        <f t="shared" si="0"/>
        <v>2069044</v>
      </c>
      <c r="H20" s="2736">
        <f t="shared" si="0"/>
        <v>2037048</v>
      </c>
      <c r="I20" s="2585"/>
      <c r="J20" s="2579"/>
      <c r="K20" s="2783" t="s">
        <v>5974</v>
      </c>
      <c r="L20" s="2880">
        <f>SUM(L12,L14:L19)</f>
        <v>5096547028</v>
      </c>
      <c r="M20" s="2881">
        <f>SUM(M12,M14:M19)</f>
        <v>4844638943</v>
      </c>
      <c r="N20" s="2881">
        <v>4939332097</v>
      </c>
      <c r="O20" s="2881">
        <v>4697555109</v>
      </c>
      <c r="P20" s="2482"/>
      <c r="Q20" s="2482"/>
      <c r="R20" s="2482"/>
      <c r="S20" s="2482"/>
      <c r="T20" s="2482"/>
      <c r="U20" s="2482"/>
    </row>
    <row r="21" spans="1:21" ht="16.7" customHeight="1" x14ac:dyDescent="0.2">
      <c r="A21" s="2634">
        <v>11</v>
      </c>
      <c r="B21" s="2512" t="s">
        <v>8331</v>
      </c>
      <c r="C21" s="2531">
        <v>192214530</v>
      </c>
      <c r="D21" s="2531">
        <v>293666727</v>
      </c>
      <c r="E21" s="2527">
        <v>2910669</v>
      </c>
      <c r="F21" s="2527">
        <v>4836292</v>
      </c>
      <c r="G21" s="2503"/>
      <c r="H21" s="2503"/>
      <c r="I21" s="2585"/>
      <c r="J21" s="2579"/>
      <c r="K21" s="2783" t="s">
        <v>5976</v>
      </c>
      <c r="L21" s="2880">
        <v>293666727</v>
      </c>
      <c r="M21" s="2881">
        <v>193761115</v>
      </c>
      <c r="N21" s="2881">
        <v>189250874</v>
      </c>
      <c r="O21" s="2881">
        <v>192271657</v>
      </c>
      <c r="P21" s="2482"/>
      <c r="Q21" s="2482"/>
      <c r="R21" s="2482"/>
      <c r="S21" s="2482"/>
      <c r="T21" s="2482"/>
      <c r="U21" s="2482"/>
    </row>
    <row r="22" spans="1:21" ht="16.7" customHeight="1" x14ac:dyDescent="0.2">
      <c r="A22" s="2634">
        <v>12</v>
      </c>
      <c r="B22" s="2669" t="s">
        <v>8332</v>
      </c>
      <c r="C22" s="2736">
        <f t="shared" ref="C22:H22" si="1">SUM(C20:C21)</f>
        <v>5647069381</v>
      </c>
      <c r="D22" s="2736">
        <f t="shared" si="1"/>
        <v>5390213755</v>
      </c>
      <c r="E22" s="2736">
        <f t="shared" si="1"/>
        <v>59606997</v>
      </c>
      <c r="F22" s="2736">
        <f t="shared" si="1"/>
        <v>62000388</v>
      </c>
      <c r="G22" s="2736">
        <f t="shared" si="1"/>
        <v>2069044</v>
      </c>
      <c r="H22" s="2736">
        <f t="shared" si="1"/>
        <v>2037048</v>
      </c>
      <c r="I22" s="2585"/>
      <c r="J22" s="2579"/>
      <c r="K22" s="2783" t="s">
        <v>5978</v>
      </c>
      <c r="L22" s="2880">
        <f>SUM(L20:L21)</f>
        <v>5390213755</v>
      </c>
      <c r="M22" s="2881">
        <f>SUM(M20:M21)</f>
        <v>5038400058</v>
      </c>
      <c r="N22" s="2881">
        <v>5128582971</v>
      </c>
      <c r="O22" s="2881">
        <v>4889826766</v>
      </c>
      <c r="P22" s="2482"/>
      <c r="Q22" s="2482"/>
      <c r="R22" s="2482"/>
      <c r="S22" s="2482"/>
      <c r="T22" s="2482"/>
      <c r="U22" s="2482"/>
    </row>
    <row r="23" spans="1:21" ht="16.7" customHeight="1" x14ac:dyDescent="0.2">
      <c r="A23" s="2634">
        <v>13</v>
      </c>
      <c r="B23" s="2512" t="s">
        <v>8333</v>
      </c>
      <c r="C23" s="2527">
        <v>0</v>
      </c>
      <c r="D23" s="2527">
        <v>-3239918</v>
      </c>
      <c r="E23" s="2559"/>
      <c r="F23" s="2559"/>
      <c r="G23" s="2559"/>
      <c r="H23" s="2559"/>
      <c r="I23" s="2585"/>
      <c r="J23" s="2579"/>
      <c r="K23" s="2783" t="s">
        <v>5980</v>
      </c>
      <c r="L23" s="2880">
        <v>-3239918</v>
      </c>
      <c r="M23" s="2881">
        <v>0</v>
      </c>
      <c r="N23" s="2881">
        <v>3239918</v>
      </c>
      <c r="O23" s="2881">
        <v>0</v>
      </c>
      <c r="P23" s="2482"/>
      <c r="Q23" s="2482"/>
      <c r="R23" s="2482"/>
      <c r="S23" s="2482"/>
      <c r="T23" s="2482"/>
      <c r="U23" s="2482"/>
    </row>
    <row r="24" spans="1:21" ht="16.7" customHeight="1" x14ac:dyDescent="0.2">
      <c r="A24" s="2634">
        <v>14</v>
      </c>
      <c r="B24" s="2669" t="s">
        <v>8334</v>
      </c>
      <c r="C24" s="2736">
        <f t="shared" ref="C24:H24" si="2">C22-C23</f>
        <v>5647069381</v>
      </c>
      <c r="D24" s="2736">
        <f t="shared" si="2"/>
        <v>5393453673</v>
      </c>
      <c r="E24" s="2736">
        <f t="shared" si="2"/>
        <v>59606997</v>
      </c>
      <c r="F24" s="2736">
        <f t="shared" si="2"/>
        <v>62000388</v>
      </c>
      <c r="G24" s="2736">
        <f t="shared" si="2"/>
        <v>2069044</v>
      </c>
      <c r="H24" s="2736">
        <f t="shared" si="2"/>
        <v>2037048</v>
      </c>
      <c r="I24" s="2585"/>
      <c r="J24" s="2579"/>
      <c r="K24" s="2783" t="s">
        <v>5982</v>
      </c>
      <c r="L24" s="2880">
        <f>L22-L23</f>
        <v>5393453673</v>
      </c>
      <c r="M24" s="2881">
        <f>M22-M23</f>
        <v>5038400058</v>
      </c>
      <c r="N24" s="2881">
        <v>5125343053</v>
      </c>
      <c r="O24" s="2881">
        <v>4889826766</v>
      </c>
      <c r="P24" s="2482"/>
      <c r="Q24" s="2482"/>
      <c r="R24" s="2482"/>
      <c r="S24" s="2482"/>
      <c r="T24" s="2482"/>
      <c r="U24" s="2482"/>
    </row>
    <row r="25" spans="1:21" ht="16.7" customHeight="1" x14ac:dyDescent="0.2">
      <c r="A25" s="2634">
        <v>15</v>
      </c>
      <c r="B25" s="2669" t="s">
        <v>8335</v>
      </c>
      <c r="C25" s="2529"/>
      <c r="D25" s="2529"/>
      <c r="E25" s="2614" t="s">
        <v>8336</v>
      </c>
      <c r="F25" s="2530">
        <v>295002000</v>
      </c>
      <c r="G25" s="3959" t="s">
        <v>8337</v>
      </c>
      <c r="H25" s="3959"/>
      <c r="I25" s="2585"/>
      <c r="J25" s="2579"/>
      <c r="K25" s="2783" t="s">
        <v>5984</v>
      </c>
      <c r="L25" s="2882"/>
      <c r="M25" s="2879"/>
      <c r="N25" s="2879"/>
      <c r="O25" s="2879"/>
      <c r="P25" s="2482"/>
      <c r="Q25" s="2482"/>
      <c r="R25" s="2482"/>
      <c r="S25" s="2482"/>
      <c r="T25" s="2482"/>
      <c r="U25" s="2482"/>
    </row>
    <row r="26" spans="1:21" ht="16.7" customHeight="1" x14ac:dyDescent="0.2">
      <c r="A26" s="2634">
        <v>16</v>
      </c>
      <c r="B26" s="2512" t="s">
        <v>8338</v>
      </c>
      <c r="C26" s="2527">
        <v>15886767</v>
      </c>
      <c r="D26" s="2527">
        <v>8373236</v>
      </c>
      <c r="E26" s="2614" t="s">
        <v>8339</v>
      </c>
      <c r="F26" s="2530">
        <v>3062910</v>
      </c>
      <c r="G26" s="3959" t="s">
        <v>8340</v>
      </c>
      <c r="H26" s="3959"/>
      <c r="I26" s="2585"/>
      <c r="J26" s="2579"/>
      <c r="K26" s="2783" t="s">
        <v>5986</v>
      </c>
      <c r="L26" s="2880">
        <v>8373236</v>
      </c>
      <c r="M26" s="2881">
        <v>6408701</v>
      </c>
      <c r="N26" s="2881">
        <v>7348688</v>
      </c>
      <c r="O26" s="2881">
        <v>9415631</v>
      </c>
      <c r="P26" s="2482"/>
      <c r="Q26" s="2482"/>
      <c r="R26" s="2482"/>
      <c r="S26" s="2482"/>
      <c r="T26" s="2482"/>
      <c r="U26" s="2482"/>
    </row>
    <row r="27" spans="1:21" ht="16.7" customHeight="1" x14ac:dyDescent="0.2">
      <c r="A27" s="2634">
        <v>17</v>
      </c>
      <c r="B27" s="2512" t="s">
        <v>8341</v>
      </c>
      <c r="C27" s="2531">
        <v>7472581</v>
      </c>
      <c r="D27" s="2527">
        <v>7685047</v>
      </c>
      <c r="E27" s="2883"/>
      <c r="F27" s="2516"/>
      <c r="G27" s="2516"/>
      <c r="H27" s="2516"/>
      <c r="J27" s="2579"/>
      <c r="K27" s="2783" t="s">
        <v>5988</v>
      </c>
      <c r="L27" s="2880">
        <v>7685047</v>
      </c>
      <c r="M27" s="2881">
        <v>8632229</v>
      </c>
      <c r="N27" s="2881">
        <v>6952421</v>
      </c>
      <c r="O27" s="2881">
        <v>8845804</v>
      </c>
      <c r="P27" s="2482"/>
      <c r="Q27" s="2482"/>
      <c r="R27" s="2482"/>
      <c r="S27" s="2482"/>
      <c r="T27" s="2482"/>
      <c r="U27" s="2482"/>
    </row>
    <row r="28" spans="1:21" ht="16.7" customHeight="1" x14ac:dyDescent="0.2">
      <c r="A28" s="2634">
        <v>18</v>
      </c>
      <c r="B28" s="2512" t="s">
        <v>8342</v>
      </c>
      <c r="C28" s="2527">
        <v>0</v>
      </c>
      <c r="D28" s="2527">
        <v>4980</v>
      </c>
      <c r="E28" s="2479"/>
      <c r="J28" s="2579"/>
      <c r="K28" s="2783" t="s">
        <v>5990</v>
      </c>
      <c r="L28" s="2880">
        <v>4980</v>
      </c>
      <c r="M28" s="2881">
        <v>9345</v>
      </c>
      <c r="N28" s="2881">
        <v>7350</v>
      </c>
      <c r="O28" s="2881">
        <v>53658</v>
      </c>
      <c r="P28" s="2482"/>
      <c r="Q28" s="2482"/>
      <c r="R28" s="2482"/>
      <c r="S28" s="2482"/>
      <c r="T28" s="2482"/>
      <c r="U28" s="2482"/>
    </row>
    <row r="29" spans="1:21" ht="16.7" customHeight="1" x14ac:dyDescent="0.2">
      <c r="A29" s="2634">
        <v>19</v>
      </c>
      <c r="B29" s="2512" t="s">
        <v>8343</v>
      </c>
      <c r="C29" s="2527">
        <v>19597604</v>
      </c>
      <c r="D29" s="2527">
        <v>19493725</v>
      </c>
      <c r="E29" s="2479"/>
      <c r="G29" s="2576"/>
      <c r="J29" s="2579"/>
      <c r="K29" s="2783" t="s">
        <v>5992</v>
      </c>
      <c r="L29" s="2880">
        <v>19493725</v>
      </c>
      <c r="M29" s="2881">
        <v>18185617</v>
      </c>
      <c r="N29" s="2881">
        <v>18294555</v>
      </c>
      <c r="O29" s="2881">
        <v>17459728</v>
      </c>
      <c r="P29" s="2482"/>
      <c r="Q29" s="2482"/>
      <c r="R29" s="2482"/>
      <c r="S29" s="2482"/>
      <c r="T29" s="2482"/>
      <c r="U29" s="2482"/>
    </row>
    <row r="30" spans="1:21" ht="16.7" customHeight="1" x14ac:dyDescent="0.2">
      <c r="A30" s="2634">
        <v>20</v>
      </c>
      <c r="B30" s="2512" t="s">
        <v>8344</v>
      </c>
      <c r="C30" s="2527">
        <v>0</v>
      </c>
      <c r="D30" s="2527">
        <v>0</v>
      </c>
      <c r="E30" s="2479"/>
      <c r="J30" s="2579"/>
      <c r="K30" s="2783" t="s">
        <v>5994</v>
      </c>
      <c r="L30" s="2880">
        <v>0</v>
      </c>
      <c r="M30" s="2881">
        <v>0</v>
      </c>
      <c r="N30" s="2881">
        <v>0</v>
      </c>
      <c r="O30" s="2881">
        <v>0</v>
      </c>
      <c r="P30" s="2482"/>
      <c r="Q30" s="2482"/>
      <c r="R30" s="2482"/>
      <c r="S30" s="2482"/>
      <c r="T30" s="2482"/>
      <c r="U30" s="2482"/>
    </row>
    <row r="31" spans="1:21" ht="16.7" customHeight="1" x14ac:dyDescent="0.2">
      <c r="A31" s="2634">
        <v>21</v>
      </c>
      <c r="B31" s="2512" t="s">
        <v>8345</v>
      </c>
      <c r="C31" s="2531">
        <v>70610905</v>
      </c>
      <c r="D31" s="2527">
        <v>50383628</v>
      </c>
      <c r="E31" s="2479"/>
      <c r="J31" s="2579"/>
      <c r="K31" s="2783" t="s">
        <v>5997</v>
      </c>
      <c r="L31" s="2880">
        <v>50383628</v>
      </c>
      <c r="M31" s="2881">
        <v>59425166</v>
      </c>
      <c r="N31" s="2881">
        <v>63833287</v>
      </c>
      <c r="O31" s="2881">
        <v>28198210</v>
      </c>
      <c r="P31" s="2482"/>
      <c r="Q31" s="2482"/>
      <c r="R31" s="2482"/>
      <c r="S31" s="2482"/>
      <c r="T31" s="2482"/>
      <c r="U31" s="2482"/>
    </row>
    <row r="32" spans="1:21" ht="16.7" customHeight="1" x14ac:dyDescent="0.2">
      <c r="A32" s="2634">
        <v>22</v>
      </c>
      <c r="B32" s="2512" t="s">
        <v>8346</v>
      </c>
      <c r="C32" s="2527">
        <v>170206800</v>
      </c>
      <c r="D32" s="2527">
        <v>187147115</v>
      </c>
      <c r="E32" s="2479"/>
      <c r="J32" s="2579"/>
      <c r="K32" s="2783" t="s">
        <v>5999</v>
      </c>
      <c r="L32" s="2880">
        <v>187147115</v>
      </c>
      <c r="M32" s="2881">
        <v>161828009</v>
      </c>
      <c r="N32" s="2881">
        <v>111710807</v>
      </c>
      <c r="O32" s="2881">
        <v>111912996</v>
      </c>
      <c r="P32" s="2482"/>
      <c r="Q32" s="2482"/>
      <c r="R32" s="2482"/>
      <c r="S32" s="2482"/>
      <c r="T32" s="2482"/>
      <c r="U32" s="2482"/>
    </row>
    <row r="33" spans="1:21" ht="16.7" customHeight="1" x14ac:dyDescent="0.2">
      <c r="A33" s="2634">
        <v>23</v>
      </c>
      <c r="B33" s="2512" t="s">
        <v>8347</v>
      </c>
      <c r="C33" s="2527">
        <v>0</v>
      </c>
      <c r="D33" s="2527">
        <v>0</v>
      </c>
      <c r="E33" s="2479"/>
      <c r="J33" s="2579"/>
      <c r="K33" s="2783" t="s">
        <v>6002</v>
      </c>
      <c r="L33" s="2880">
        <v>0</v>
      </c>
      <c r="M33" s="2881">
        <v>0</v>
      </c>
      <c r="N33" s="2881">
        <v>0</v>
      </c>
      <c r="O33" s="2881">
        <v>0</v>
      </c>
      <c r="P33" s="2482"/>
      <c r="Q33" s="2482"/>
      <c r="R33" s="2482"/>
      <c r="S33" s="2482"/>
      <c r="T33" s="2482"/>
      <c r="U33" s="2482"/>
    </row>
    <row r="34" spans="1:21" ht="16.7" customHeight="1" x14ac:dyDescent="0.2">
      <c r="A34" s="2634">
        <v>24</v>
      </c>
      <c r="B34" s="2512" t="s">
        <v>8348</v>
      </c>
      <c r="C34" s="2527">
        <v>0</v>
      </c>
      <c r="D34" s="2527">
        <v>0</v>
      </c>
      <c r="E34" s="2479"/>
      <c r="J34" s="2579"/>
      <c r="K34" s="2783" t="s">
        <v>6004</v>
      </c>
      <c r="L34" s="2880">
        <v>0</v>
      </c>
      <c r="M34" s="2881">
        <v>0</v>
      </c>
      <c r="N34" s="2881">
        <v>0</v>
      </c>
      <c r="O34" s="2881">
        <v>0</v>
      </c>
      <c r="P34" s="2482"/>
      <c r="Q34" s="2482"/>
      <c r="R34" s="2482"/>
      <c r="S34" s="2482"/>
      <c r="T34" s="2482"/>
      <c r="U34" s="2482"/>
    </row>
    <row r="35" spans="1:21" ht="16.7" customHeight="1" x14ac:dyDescent="0.2">
      <c r="A35" s="2634">
        <v>25</v>
      </c>
      <c r="B35" s="2488"/>
      <c r="C35" s="2559"/>
      <c r="D35" s="2559"/>
      <c r="E35" s="2479"/>
      <c r="I35" s="2823">
        <f>B35</f>
        <v>0</v>
      </c>
      <c r="J35" s="2635"/>
      <c r="K35" s="2783" t="s">
        <v>6006</v>
      </c>
      <c r="L35" s="2882"/>
      <c r="M35" s="2879"/>
      <c r="N35" s="2879"/>
      <c r="O35" s="2879"/>
      <c r="P35" s="2482"/>
      <c r="Q35" s="2482"/>
      <c r="R35" s="2482"/>
      <c r="S35" s="2482"/>
      <c r="T35" s="2482"/>
      <c r="U35" s="2482"/>
    </row>
    <row r="36" spans="1:21" ht="16.7" customHeight="1" x14ac:dyDescent="0.2">
      <c r="A36" s="2634">
        <v>26</v>
      </c>
      <c r="B36" s="2669" t="s">
        <v>8349</v>
      </c>
      <c r="C36" s="2736">
        <f>SUM(C26:C34)</f>
        <v>283774657</v>
      </c>
      <c r="D36" s="2736">
        <f>SUM(D26:D34)</f>
        <v>273087731</v>
      </c>
      <c r="E36" s="2479"/>
      <c r="J36" s="2579"/>
      <c r="K36" s="2783" t="s">
        <v>6008</v>
      </c>
      <c r="L36" s="2880">
        <f>SUM(L26:L34)</f>
        <v>273087731</v>
      </c>
      <c r="M36" s="2881">
        <f>SUM(M26:M34)</f>
        <v>254489067</v>
      </c>
      <c r="N36" s="2881">
        <v>208147108</v>
      </c>
      <c r="O36" s="2881">
        <v>175886027</v>
      </c>
      <c r="P36" s="2482"/>
      <c r="Q36" s="2482"/>
      <c r="R36" s="2482"/>
      <c r="S36" s="2482"/>
      <c r="T36" s="2482"/>
      <c r="U36" s="2482"/>
    </row>
    <row r="37" spans="1:21" ht="16.7" customHeight="1" x14ac:dyDescent="0.2">
      <c r="A37" s="2634">
        <v>27</v>
      </c>
      <c r="B37" s="2669" t="s">
        <v>8350</v>
      </c>
      <c r="C37" s="2736">
        <f>SUM(C24,C36)</f>
        <v>5930844038</v>
      </c>
      <c r="D37" s="2736">
        <f>SUM(D24,D36)</f>
        <v>5666541404</v>
      </c>
      <c r="E37" s="2479"/>
      <c r="J37" s="2579"/>
      <c r="K37" s="2783" t="s">
        <v>6010</v>
      </c>
      <c r="L37" s="2880">
        <f>SUM(L24,L36)</f>
        <v>5666541404</v>
      </c>
      <c r="M37" s="2881">
        <f>SUM(M24,M36)</f>
        <v>5292889125</v>
      </c>
      <c r="N37" s="2881">
        <v>5333490161</v>
      </c>
      <c r="O37" s="2881">
        <v>5065712793</v>
      </c>
      <c r="P37" s="2482"/>
      <c r="Q37" s="2482"/>
      <c r="R37" s="2482"/>
      <c r="S37" s="2482"/>
      <c r="T37" s="2482"/>
      <c r="U37" s="2482"/>
    </row>
    <row r="38" spans="1:21" ht="16.7" customHeight="1" x14ac:dyDescent="0.2">
      <c r="A38" s="2516"/>
      <c r="B38" s="2516"/>
      <c r="C38" s="2516"/>
      <c r="D38" s="2516"/>
      <c r="J38" s="2579"/>
      <c r="K38" s="2482"/>
      <c r="L38" s="2511"/>
      <c r="M38" s="2511"/>
      <c r="N38" s="2511"/>
      <c r="O38" s="2482"/>
      <c r="P38" s="2482"/>
      <c r="Q38" s="2482"/>
      <c r="R38" s="2482"/>
      <c r="S38" s="2482"/>
      <c r="T38" s="2482"/>
      <c r="U38" s="2482"/>
    </row>
    <row r="39" spans="1:21" ht="16.7" customHeight="1" x14ac:dyDescent="0.2">
      <c r="D39" s="3173" t="s">
        <v>11926</v>
      </c>
      <c r="E39" s="3173" t="s">
        <v>5584</v>
      </c>
      <c r="F39" s="3173" t="s">
        <v>11927</v>
      </c>
      <c r="J39" s="2756"/>
      <c r="K39" s="2482"/>
      <c r="L39" s="2511"/>
      <c r="M39" s="2511"/>
      <c r="N39" s="2511"/>
      <c r="O39" s="2482"/>
      <c r="P39" s="2482"/>
      <c r="Q39" s="2482"/>
      <c r="R39" s="2482"/>
      <c r="S39" s="2482"/>
      <c r="T39" s="2482"/>
      <c r="U39" s="2482"/>
    </row>
    <row r="40" spans="1:21" x14ac:dyDescent="0.2">
      <c r="B40" s="3174" t="s">
        <v>8338</v>
      </c>
      <c r="C40" s="3175">
        <f>C26</f>
        <v>15886767</v>
      </c>
      <c r="D40" s="3092">
        <f>VLOOKUP(F40,'B1-Electric Ops Rvn'!$K$465:$P$472,6,FALSE)</f>
        <v>0.53600079183383897</v>
      </c>
      <c r="E40" s="2230">
        <f>C40*D40</f>
        <v>8515319.6916797031</v>
      </c>
      <c r="F40" s="3161">
        <v>450</v>
      </c>
    </row>
    <row r="41" spans="1:21" x14ac:dyDescent="0.2">
      <c r="B41" s="3174" t="s">
        <v>8341</v>
      </c>
      <c r="C41" s="3175">
        <f t="shared" ref="C41:C46" si="3">C27</f>
        <v>7472581</v>
      </c>
      <c r="D41" s="3092">
        <f>VLOOKUP(451,'B1-Electric Ops Rvn'!$K$465:$P$472,6,FALSE)</f>
        <v>0.26503467561419308</v>
      </c>
      <c r="E41" s="2230">
        <f t="shared" ref="E41:E46" si="4">C41*D41</f>
        <v>1980493.0813357825</v>
      </c>
      <c r="F41" s="3161">
        <v>451</v>
      </c>
    </row>
    <row r="42" spans="1:21" x14ac:dyDescent="0.2">
      <c r="B42" s="3174" t="s">
        <v>8342</v>
      </c>
      <c r="C42" s="3175">
        <f t="shared" si="3"/>
        <v>0</v>
      </c>
      <c r="D42" s="3092">
        <f>VLOOKUP(453,'B1-Electric Ops Rvn'!$K$465:$P$472,6,FALSE)</f>
        <v>0</v>
      </c>
      <c r="E42" s="2230">
        <f t="shared" si="4"/>
        <v>0</v>
      </c>
      <c r="F42" s="3161">
        <v>453</v>
      </c>
    </row>
    <row r="43" spans="1:21" x14ac:dyDescent="0.2">
      <c r="B43" s="3174" t="s">
        <v>8343</v>
      </c>
      <c r="C43" s="3175">
        <f t="shared" si="3"/>
        <v>19597604</v>
      </c>
      <c r="D43" s="3092">
        <f>VLOOKUP(454,'B1-Electric Ops Rvn'!$K$465:$P$472,6,FALSE)</f>
        <v>0.5013507692040946</v>
      </c>
      <c r="E43" s="2230">
        <f t="shared" si="4"/>
        <v>9825273.839957241</v>
      </c>
      <c r="F43" s="3161">
        <v>454</v>
      </c>
    </row>
    <row r="44" spans="1:21" x14ac:dyDescent="0.2">
      <c r="B44" s="3174" t="s">
        <v>8344</v>
      </c>
      <c r="C44" s="3175">
        <f t="shared" si="3"/>
        <v>0</v>
      </c>
      <c r="D44" s="3092">
        <v>0</v>
      </c>
      <c r="E44" s="2230">
        <f t="shared" si="4"/>
        <v>0</v>
      </c>
      <c r="F44" s="3161">
        <v>455</v>
      </c>
    </row>
    <row r="45" spans="1:21" x14ac:dyDescent="0.2">
      <c r="B45" s="3174" t="s">
        <v>8345</v>
      </c>
      <c r="C45" s="3175">
        <f t="shared" si="3"/>
        <v>70610905</v>
      </c>
      <c r="D45" s="3092">
        <f>VLOOKUP("456.2-456.9",'B1-Electric Ops Rvn'!$K$465:$P$472,6,FALSE)</f>
        <v>0.25104560308324797</v>
      </c>
      <c r="E45" s="2230">
        <f t="shared" si="4"/>
        <v>17726557.22997893</v>
      </c>
      <c r="F45" s="3161">
        <v>456</v>
      </c>
    </row>
    <row r="46" spans="1:21" x14ac:dyDescent="0.2">
      <c r="B46" s="3174" t="s">
        <v>8346</v>
      </c>
      <c r="C46" s="3175">
        <f t="shared" si="3"/>
        <v>170206800</v>
      </c>
      <c r="D46" s="3092">
        <f>VLOOKUP(456,'B1-Electric Ops Rvn'!$K$465:$P$472,6,FALSE)</f>
        <v>0.37468204624544071</v>
      </c>
      <c r="E46" s="2230">
        <f t="shared" si="4"/>
        <v>63773432.108888477</v>
      </c>
      <c r="F46" s="3161">
        <v>456.1</v>
      </c>
    </row>
  </sheetData>
  <mergeCells count="15">
    <mergeCell ref="G25:H25"/>
    <mergeCell ref="G26:H26"/>
    <mergeCell ref="A7:A8"/>
    <mergeCell ref="B7:B8"/>
    <mergeCell ref="C7:C8"/>
    <mergeCell ref="D7:D8"/>
    <mergeCell ref="E7:F7"/>
    <mergeCell ref="G7:H7"/>
    <mergeCell ref="A6:D6"/>
    <mergeCell ref="E6:H6"/>
    <mergeCell ref="J1:J2"/>
    <mergeCell ref="A4:D4"/>
    <mergeCell ref="E4:H4"/>
    <mergeCell ref="A5:D5"/>
    <mergeCell ref="E5:H5"/>
  </mergeCells>
  <pageMargins left="0.75" right="0.75" top="1" bottom="1" header="0.5" footer="0.5"/>
  <customProperties>
    <customPr name="_pios_id" r:id="rId1"/>
  </customProperties>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8C572D-D302-4A33-A2E1-B96F89B83289}">
  <dimension ref="B2:F19"/>
  <sheetViews>
    <sheetView workbookViewId="0"/>
  </sheetViews>
  <sheetFormatPr defaultRowHeight="15.75" x14ac:dyDescent="0.25"/>
  <cols>
    <col min="1" max="1" width="9" style="2472"/>
    <col min="2" max="2" width="20.75" style="2472" bestFit="1" customWidth="1"/>
    <col min="3" max="3" width="12.875" style="2472" bestFit="1" customWidth="1"/>
    <col min="4" max="4" width="12.25" style="2472" bestFit="1" customWidth="1"/>
    <col min="5" max="5" width="17.5" style="2472" bestFit="1" customWidth="1"/>
    <col min="6" max="16384" width="9" style="2472"/>
  </cols>
  <sheetData>
    <row r="2" spans="2:6" x14ac:dyDescent="0.25">
      <c r="B2" s="3176" t="s">
        <v>5459</v>
      </c>
      <c r="C2" s="3177" t="s">
        <v>11928</v>
      </c>
      <c r="D2" s="3178" t="s">
        <v>5459</v>
      </c>
      <c r="E2" s="3177" t="s">
        <v>11928</v>
      </c>
      <c r="F2" s="3178" t="s">
        <v>5459</v>
      </c>
    </row>
    <row r="3" spans="2:6" x14ac:dyDescent="0.25">
      <c r="B3" s="3179" t="s">
        <v>11929</v>
      </c>
      <c r="C3" s="3180" t="s">
        <v>11930</v>
      </c>
      <c r="D3" s="3181" t="s">
        <v>11931</v>
      </c>
      <c r="E3" s="3180" t="s">
        <v>11932</v>
      </c>
      <c r="F3" s="3181" t="s">
        <v>11933</v>
      </c>
    </row>
    <row r="4" spans="2:6" x14ac:dyDescent="0.25">
      <c r="B4" s="3179" t="s">
        <v>8565</v>
      </c>
      <c r="C4" s="3182">
        <f>'Pg 304 - Sales of Electricity b'!C253+'Pg 304 - Sales of Electricity -'!C322+'Pg 304 - Sales of Electricit(1)'!C420+'Pg 304 - Sales of Electricit(2)'!C117</f>
        <v>760412</v>
      </c>
      <c r="D4" s="3182">
        <f>'Pg 304 - Sales of Electricity b'!D253+'Pg 304 - Sales of Electricity -'!D322+'Pg 304 - Sales of Electricit(1)'!D420+'Pg 304 - Sales of Electricit(2)'!D117</f>
        <v>97592233.25999999</v>
      </c>
      <c r="E4" s="3184">
        <f>C4/$C$10</f>
        <v>1.3412014972116007E-2</v>
      </c>
      <c r="F4" s="3185">
        <f>D4/$D$10</f>
        <v>1.7890894611352005E-2</v>
      </c>
    </row>
    <row r="5" spans="2:6" x14ac:dyDescent="0.25">
      <c r="B5" s="3179" t="s">
        <v>8389</v>
      </c>
      <c r="C5" s="3182">
        <f>'Pg 304 - Sales of Electricity b'!C254+'Pg 304 - Sales of Electricity -'!C323+'Pg 304 - Sales of Electricit(1)'!C421+'Pg 304 - Sales of Electricit(2)'!C118</f>
        <v>3495580</v>
      </c>
      <c r="D5" s="3183">
        <f>'Pg 304 - Sales of Electricity b'!D254+'Pg 304 - Sales of Electricity -'!D323+'Pg 304 - Sales of Electricit(1)'!D421+'Pg 304 - Sales of Electricit(2)'!D118</f>
        <v>315318861.86000001</v>
      </c>
      <c r="E5" s="3186">
        <f t="shared" ref="E5:E9" si="0">C5/$C$10</f>
        <v>6.1654433775675914E-2</v>
      </c>
      <c r="F5" s="3185">
        <f t="shared" ref="F5:F9" si="1">D5/$D$10</f>
        <v>5.7805179142477209E-2</v>
      </c>
    </row>
    <row r="6" spans="2:6" x14ac:dyDescent="0.25">
      <c r="B6" s="3179" t="s">
        <v>8407</v>
      </c>
      <c r="C6" s="3182">
        <f>'Pg 304 - Sales of Electricity b'!C255+'Pg 304 - Sales of Electricity -'!C324+'Pg 304 - Sales of Electricit(1)'!C422+'Pg 304 - Sales of Electricit(2)'!C119</f>
        <v>13949228</v>
      </c>
      <c r="D6" s="3183">
        <f>'Pg 304 - Sales of Electricity b'!D255+'Pg 304 - Sales of Electricity -'!D324+'Pg 304 - Sales of Electricit(1)'!D422+'Pg 304 - Sales of Electricit(2)'!D119</f>
        <v>1586863440.6900001</v>
      </c>
      <c r="E6" s="3187">
        <f t="shared" si="0"/>
        <v>0.24603406414609427</v>
      </c>
      <c r="F6" s="3185">
        <f t="shared" si="1"/>
        <v>0.29090846301627332</v>
      </c>
    </row>
    <row r="7" spans="2:6" x14ac:dyDescent="0.25">
      <c r="B7" s="3179" t="s">
        <v>8450</v>
      </c>
      <c r="C7" s="3182">
        <f>'Pg 304 - Sales of Electricity b'!C256+'Pg 304 - Sales of Electricity -'!C325+'Pg 304 - Sales of Electricit(1)'!C423+'Pg 304 - Sales of Electricit(2)'!C120</f>
        <v>26062336</v>
      </c>
      <c r="D7" s="3183">
        <f>'Pg 304 - Sales of Electricity b'!D256+'Pg 304 - Sales of Electricity -'!D325+'Pg 304 - Sales of Electricit(1)'!D423+'Pg 304 - Sales of Electricit(2)'!D120</f>
        <v>2388554915.3000002</v>
      </c>
      <c r="E7" s="3184">
        <f t="shared" si="0"/>
        <v>0.45968296218407656</v>
      </c>
      <c r="F7" s="3185">
        <f t="shared" si="1"/>
        <v>0.43787689691669551</v>
      </c>
    </row>
    <row r="8" spans="2:6" x14ac:dyDescent="0.25">
      <c r="B8" s="3179" t="s">
        <v>8509</v>
      </c>
      <c r="C8" s="3182">
        <f>'Pg 304 - Sales of Electricity b'!C257+'Pg 304 - Sales of Electricity -'!C326+'Pg 304 - Sales of Electricit(1)'!C424+'Pg 304 - Sales of Electricit(2)'!C121</f>
        <v>3850051</v>
      </c>
      <c r="D8" s="3183">
        <f>'Pg 304 - Sales of Electricity b'!D257+'Pg 304 - Sales of Electricity -'!D326+'Pg 304 - Sales of Electricit(1)'!D424+'Pg 304 - Sales of Electricit(2)'!D121</f>
        <v>418099346.12</v>
      </c>
      <c r="E8" s="3188">
        <f t="shared" si="0"/>
        <v>6.7906531795145539E-2</v>
      </c>
      <c r="F8" s="3185">
        <f t="shared" si="1"/>
        <v>7.6647199153439136E-2</v>
      </c>
    </row>
    <row r="9" spans="2:6" x14ac:dyDescent="0.25">
      <c r="B9" s="3179" t="s">
        <v>8534</v>
      </c>
      <c r="C9" s="3189">
        <f>'Pg 304 - Sales of Electricity b'!C258+'Pg 304 - Sales of Electricity -'!C327+'Pg 304 - Sales of Electricit(1)'!C425+'Pg 304 - Sales of Electricit(2)'!C122</f>
        <v>8578721</v>
      </c>
      <c r="D9" s="3190">
        <f>'Pg 304 - Sales of Electricity b'!D258+'Pg 304 - Sales of Electricity -'!D327+'Pg 304 - Sales of Electricit(1)'!D425+'Pg 304 - Sales of Electricit(2)'!D122</f>
        <v>648426053.79999995</v>
      </c>
      <c r="E9" s="3191">
        <f t="shared" si="0"/>
        <v>0.15130999312689175</v>
      </c>
      <c r="F9" s="3192">
        <f t="shared" si="1"/>
        <v>0.11887136715976271</v>
      </c>
    </row>
    <row r="10" spans="2:6" x14ac:dyDescent="0.25">
      <c r="B10" s="3179" t="s">
        <v>11934</v>
      </c>
      <c r="C10" s="3182">
        <f>SUM(C4:C9)</f>
        <v>56696328</v>
      </c>
      <c r="D10" s="3183">
        <f>SUM(D4:D9)</f>
        <v>5454854851.0300007</v>
      </c>
      <c r="E10" s="3184">
        <f>SUM(E4:E9)</f>
        <v>1</v>
      </c>
      <c r="F10" s="3185">
        <f>SUM(F4:F9)</f>
        <v>0.99999999999999978</v>
      </c>
    </row>
    <row r="11" spans="2:6" x14ac:dyDescent="0.25">
      <c r="B11" s="3193" t="s">
        <v>11925</v>
      </c>
      <c r="C11" s="3194">
        <f>C10-'Pg 304 - Sales of Electricity b'!C239</f>
        <v>0</v>
      </c>
      <c r="D11" s="3205">
        <f>D10-'Pg 304 - Sales of Electricity b'!D239</f>
        <v>3.0000686645507813E-2</v>
      </c>
      <c r="E11" s="3195" t="s">
        <v>5459</v>
      </c>
      <c r="F11" s="3196" t="s">
        <v>5459</v>
      </c>
    </row>
    <row r="12" spans="2:6" x14ac:dyDescent="0.25">
      <c r="B12" s="3197" t="s">
        <v>5459</v>
      </c>
      <c r="C12" s="3197" t="s">
        <v>5459</v>
      </c>
      <c r="D12" s="3198" t="s">
        <v>5459</v>
      </c>
      <c r="E12" s="3199" t="s">
        <v>5459</v>
      </c>
      <c r="F12" s="3200" t="s">
        <v>5459</v>
      </c>
    </row>
    <row r="13" spans="2:6" x14ac:dyDescent="0.25">
      <c r="B13" s="3193" t="s">
        <v>5459</v>
      </c>
      <c r="C13" s="3179" t="s">
        <v>11928</v>
      </c>
      <c r="D13" s="3201" t="s">
        <v>5459</v>
      </c>
      <c r="E13" s="3179" t="s">
        <v>11935</v>
      </c>
      <c r="F13" s="3201" t="s">
        <v>5459</v>
      </c>
    </row>
    <row r="14" spans="2:6" x14ac:dyDescent="0.25">
      <c r="B14" s="3179" t="s">
        <v>11929</v>
      </c>
      <c r="C14" s="3180" t="s">
        <v>11930</v>
      </c>
      <c r="D14" s="3181" t="s">
        <v>11931</v>
      </c>
      <c r="E14" s="3180" t="s">
        <v>11932</v>
      </c>
      <c r="F14" s="3181" t="s">
        <v>11933</v>
      </c>
    </row>
    <row r="15" spans="2:6" x14ac:dyDescent="0.25">
      <c r="B15" s="3179" t="s">
        <v>8407</v>
      </c>
      <c r="C15" s="3182">
        <f>C6</f>
        <v>13949228</v>
      </c>
      <c r="D15" s="3183">
        <f>D6</f>
        <v>1586863440.6900001</v>
      </c>
      <c r="E15" s="3202">
        <f>C15/$C$18</f>
        <v>0.65505143753241102</v>
      </c>
      <c r="F15" s="3185">
        <f>D15/$D$18</f>
        <v>0.68390983551483941</v>
      </c>
    </row>
    <row r="16" spans="2:6" x14ac:dyDescent="0.25">
      <c r="B16" s="3179" t="s">
        <v>8509</v>
      </c>
      <c r="C16" s="3182">
        <f>C8</f>
        <v>3850051</v>
      </c>
      <c r="D16" s="3183">
        <f>D8</f>
        <v>418099346.12</v>
      </c>
      <c r="E16" s="3203">
        <f t="shared" ref="E16:E17" si="2">C16/$C$18</f>
        <v>0.18079720556027162</v>
      </c>
      <c r="F16" s="3185">
        <f t="shared" ref="F16:F17" si="3">D16/$D$18</f>
        <v>0.18019335987062482</v>
      </c>
    </row>
    <row r="17" spans="2:6" x14ac:dyDescent="0.25">
      <c r="B17" s="3179" t="s">
        <v>8389</v>
      </c>
      <c r="C17" s="3189">
        <f>C5</f>
        <v>3495580</v>
      </c>
      <c r="D17" s="3190">
        <f>D5</f>
        <v>315318861.86000001</v>
      </c>
      <c r="E17" s="3204">
        <f t="shared" si="2"/>
        <v>0.16415135690731739</v>
      </c>
      <c r="F17" s="3192">
        <f t="shared" si="3"/>
        <v>0.13589680461453579</v>
      </c>
    </row>
    <row r="18" spans="2:6" x14ac:dyDescent="0.25">
      <c r="B18" s="3179" t="s">
        <v>11936</v>
      </c>
      <c r="C18" s="3182">
        <f>SUM(C15:C17)</f>
        <v>21294859</v>
      </c>
      <c r="D18" s="3183">
        <f>SUM(D15:D17)</f>
        <v>2320281648.6700001</v>
      </c>
      <c r="E18" s="3184">
        <f>SUM(E15:E17)</f>
        <v>1</v>
      </c>
      <c r="F18" s="3185">
        <f>SUM(F15:F17)</f>
        <v>1</v>
      </c>
    </row>
    <row r="19" spans="2:6" x14ac:dyDescent="0.25">
      <c r="B19" s="3197" t="s">
        <v>5459</v>
      </c>
      <c r="C19" s="3197" t="s">
        <v>5459</v>
      </c>
      <c r="D19" s="3198" t="s">
        <v>5459</v>
      </c>
      <c r="E19" s="3199" t="s">
        <v>5459</v>
      </c>
      <c r="F19" s="3200" t="s">
        <v>5459</v>
      </c>
    </row>
  </sheetData>
  <pageMargins left="0.7" right="0.7" top="0.75" bottom="0.75" header="0.3" footer="0.3"/>
  <pageSetup orientation="portrait" horizontalDpi="1200" verticalDpi="1200" r:id="rId1"/>
  <customProperties>
    <customPr name="_pios_id" r:id="rId2"/>
  </customProperties>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3B00AF-E46F-4B75-A012-129DE688B114}">
  <sheetPr codeName="Sheet71"/>
  <dimension ref="A1:M282"/>
  <sheetViews>
    <sheetView workbookViewId="0">
      <pane ySplit="7" topLeftCell="A239" activePane="bottomLeft" state="frozen"/>
      <selection activeCell="H241" sqref="H241"/>
      <selection pane="bottomLeft" activeCell="H241" sqref="H241"/>
    </sheetView>
  </sheetViews>
  <sheetFormatPr defaultColWidth="11.5" defaultRowHeight="12.75" x14ac:dyDescent="0.2"/>
  <cols>
    <col min="1" max="1" width="7" style="1953" customWidth="1"/>
    <col min="2" max="2" width="45.75" style="1953" customWidth="1"/>
    <col min="3" max="3" width="14.375" style="1953" customWidth="1"/>
    <col min="4" max="4" width="14.125" style="1953" customWidth="1"/>
    <col min="5" max="5" width="12.375" style="1953" customWidth="1"/>
    <col min="6" max="6" width="14.125" style="1953" customWidth="1"/>
    <col min="7" max="7" width="14.625" style="1953" customWidth="1"/>
    <col min="8" max="8" width="45.75" style="1953" customWidth="1"/>
    <col min="9" max="9" width="17.625" style="1953" hidden="1" customWidth="1"/>
    <col min="10" max="10" width="38.375" style="1953" hidden="1" customWidth="1"/>
    <col min="11" max="11" width="57" style="1953" hidden="1" customWidth="1"/>
    <col min="12" max="12" width="17.625" style="1953" hidden="1" customWidth="1"/>
    <col min="13" max="13" width="50.125" style="1953" hidden="1" customWidth="1"/>
    <col min="14" max="26" width="17.625" style="1953" customWidth="1"/>
    <col min="27" max="16384" width="11.5" style="1953"/>
  </cols>
  <sheetData>
    <row r="1" spans="1:13" ht="16.7" customHeight="1" x14ac:dyDescent="0.2"/>
    <row r="2" spans="1:13" ht="16.7" customHeight="1" x14ac:dyDescent="0.2">
      <c r="F2" s="2884" t="s">
        <v>8351</v>
      </c>
    </row>
    <row r="3" spans="1:13" ht="16.7" customHeight="1" x14ac:dyDescent="0.2">
      <c r="A3" s="3882" t="s">
        <v>8352</v>
      </c>
      <c r="B3" s="3891"/>
      <c r="C3" s="3891"/>
      <c r="D3" s="3891"/>
      <c r="E3" s="3891"/>
      <c r="F3" s="3891"/>
      <c r="G3" s="3892"/>
      <c r="H3" s="2479"/>
    </row>
    <row r="4" spans="1:13" ht="85.7" customHeight="1" x14ac:dyDescent="0.2">
      <c r="A4" s="3878" t="s">
        <v>8353</v>
      </c>
      <c r="B4" s="3879"/>
      <c r="C4" s="3879"/>
      <c r="D4" s="3879"/>
      <c r="E4" s="3879"/>
      <c r="F4" s="3879"/>
      <c r="G4" s="3880"/>
      <c r="H4" s="2479"/>
    </row>
    <row r="5" spans="1:13" ht="23.25" customHeight="1" x14ac:dyDescent="0.2">
      <c r="A5" s="3898" t="s">
        <v>6360</v>
      </c>
      <c r="B5" s="2637" t="s">
        <v>8354</v>
      </c>
      <c r="C5" s="2637" t="s">
        <v>8355</v>
      </c>
      <c r="D5" s="2637" t="s">
        <v>8356</v>
      </c>
      <c r="E5" s="2581" t="s">
        <v>8357</v>
      </c>
      <c r="F5" s="2581" t="s">
        <v>8358</v>
      </c>
      <c r="G5" s="2581" t="s">
        <v>8359</v>
      </c>
      <c r="H5" s="2479"/>
    </row>
    <row r="6" spans="1:13" ht="16.7" customHeight="1" x14ac:dyDescent="0.2">
      <c r="A6" s="3923"/>
      <c r="B6" s="2589" t="s">
        <v>5949</v>
      </c>
      <c r="C6" s="2589" t="s">
        <v>5950</v>
      </c>
      <c r="D6" s="2589" t="s">
        <v>5951</v>
      </c>
      <c r="E6" s="2589" t="s">
        <v>5952</v>
      </c>
      <c r="F6" s="2589" t="s">
        <v>6227</v>
      </c>
      <c r="G6" s="2589" t="s">
        <v>5804</v>
      </c>
      <c r="H6" s="2479" t="s">
        <v>6324</v>
      </c>
      <c r="K6" s="2885" t="s">
        <v>8360</v>
      </c>
    </row>
    <row r="7" spans="1:13" ht="16.7" customHeight="1" x14ac:dyDescent="0.2">
      <c r="A7" s="2489"/>
      <c r="B7" s="4044" t="s">
        <v>8361</v>
      </c>
      <c r="C7" s="4045"/>
      <c r="D7" s="4045"/>
      <c r="E7" s="4045"/>
      <c r="F7" s="4045"/>
      <c r="G7" s="4046"/>
      <c r="H7" s="2479"/>
    </row>
    <row r="8" spans="1:13" ht="16.7" customHeight="1" x14ac:dyDescent="0.2">
      <c r="A8" s="2489"/>
      <c r="B8" s="2669" t="s">
        <v>8362</v>
      </c>
      <c r="C8" s="2488"/>
      <c r="D8" s="2488"/>
      <c r="E8" s="2488"/>
      <c r="F8" s="2488"/>
      <c r="G8" s="2488"/>
      <c r="H8" s="2479" t="str">
        <f t="shared" ref="H8:H31" si="0">B8</f>
        <v xml:space="preserve">CALIFORNIA </v>
      </c>
      <c r="I8" s="2576" t="s">
        <v>8363</v>
      </c>
      <c r="J8" s="2501" t="s">
        <v>8364</v>
      </c>
      <c r="K8" s="2886" t="str">
        <f>"=SUM('"&amp;J8&amp;"'!$F$10:$F$50)"</f>
        <v>=SUM('304 - Sales of Electricity by Rate Schedules'!$F$10:$F$50)</v>
      </c>
      <c r="M8" s="2886" t="e">
        <f>CONCATENATE(K8,K9,K213,K233,K234,#REF!,#REF!,#REF!,#REF!,#REF!,#REF!,#REF!,#REF!,#REF!,#REF!,#REF!,#REF!,#REF!,#REF!,#REF!,#REF!,#REF!,#REF!,#REF!,#REF!,#REF!,#REF!,#REF!,#REF!,#REF!)</f>
        <v>#REF!</v>
      </c>
    </row>
    <row r="9" spans="1:13" ht="16.7" customHeight="1" x14ac:dyDescent="0.2">
      <c r="A9" s="2749">
        <v>1</v>
      </c>
      <c r="B9" s="2488" t="s">
        <v>8365</v>
      </c>
      <c r="C9" s="2530">
        <v>0</v>
      </c>
      <c r="D9" s="2530">
        <v>0</v>
      </c>
      <c r="E9" s="2530">
        <v>0</v>
      </c>
      <c r="F9" s="2530">
        <v>0</v>
      </c>
      <c r="G9" s="2887">
        <v>0</v>
      </c>
      <c r="H9" s="2479" t="str">
        <f t="shared" si="0"/>
        <v>CALIFORNIA - 06BLSKY01R - BLUESKY ENERGY</v>
      </c>
      <c r="J9" s="2501" t="s">
        <v>8366</v>
      </c>
      <c r="K9" s="2886" t="str">
        <f>"+SUM('"&amp;J9&amp;"'!$F$10:$F$50)"</f>
        <v>+SUM('304.1 - Sales of Electricity by Rate Schedules'!$F$10:$F$50)</v>
      </c>
    </row>
    <row r="10" spans="1:13" ht="16.7" customHeight="1" x14ac:dyDescent="0.2">
      <c r="A10" s="2749">
        <f t="shared" ref="A10:A31" si="1">A9+0.001</f>
        <v>1.0009999999999999</v>
      </c>
      <c r="B10" s="2488" t="s">
        <v>8367</v>
      </c>
      <c r="C10" s="2530">
        <v>0</v>
      </c>
      <c r="D10" s="2530">
        <v>0</v>
      </c>
      <c r="E10" s="2530">
        <v>1</v>
      </c>
      <c r="F10" s="2530">
        <v>0</v>
      </c>
      <c r="G10" s="2887">
        <v>0</v>
      </c>
      <c r="H10" s="2479" t="str">
        <f t="shared" si="0"/>
        <v xml:space="preserve">CALIFORNIA - 06CHCK000R-CA RES CHECK M               </v>
      </c>
      <c r="J10" s="2501"/>
      <c r="K10" s="2886"/>
    </row>
    <row r="11" spans="1:13" ht="16.7" customHeight="1" x14ac:dyDescent="0.2">
      <c r="A11" s="2749">
        <f t="shared" si="1"/>
        <v>1.0019999999999998</v>
      </c>
      <c r="B11" s="2488" t="s">
        <v>8368</v>
      </c>
      <c r="C11" s="2530">
        <v>0</v>
      </c>
      <c r="D11" s="2530">
        <v>72</v>
      </c>
      <c r="E11" s="2530">
        <v>0</v>
      </c>
      <c r="F11" s="2530">
        <v>0</v>
      </c>
      <c r="G11" s="2887">
        <v>0</v>
      </c>
      <c r="H11" s="2479" t="str">
        <f t="shared" si="0"/>
        <v>CALIFORNIA - 06LNX00311 - LINE EXT 80% GUARANTEE</v>
      </c>
      <c r="J11" s="2501"/>
      <c r="K11" s="2886"/>
    </row>
    <row r="12" spans="1:13" ht="16.7" customHeight="1" x14ac:dyDescent="0.2">
      <c r="A12" s="2749">
        <f t="shared" si="1"/>
        <v>1.0029999999999997</v>
      </c>
      <c r="B12" s="2488" t="s">
        <v>8369</v>
      </c>
      <c r="C12" s="2530">
        <v>40</v>
      </c>
      <c r="D12" s="2530">
        <v>3990</v>
      </c>
      <c r="E12" s="2530">
        <v>4</v>
      </c>
      <c r="F12" s="2530">
        <v>10000</v>
      </c>
      <c r="G12" s="2887">
        <v>9.98E-2</v>
      </c>
      <c r="H12" s="2479" t="str">
        <f t="shared" si="0"/>
        <v>CALIFORNIA - 06NBDDL136-NET BL LOW INC RES DEL NORTE</v>
      </c>
      <c r="J12" s="2501"/>
      <c r="K12" s="2886"/>
    </row>
    <row r="13" spans="1:13" ht="16.7" customHeight="1" x14ac:dyDescent="0.2">
      <c r="A13" s="2749">
        <f t="shared" si="1"/>
        <v>1.0039999999999996</v>
      </c>
      <c r="B13" s="2488" t="s">
        <v>8370</v>
      </c>
      <c r="C13" s="2530">
        <v>169</v>
      </c>
      <c r="D13" s="2530">
        <v>18484</v>
      </c>
      <c r="E13" s="2530">
        <v>16</v>
      </c>
      <c r="F13" s="2530">
        <v>10563</v>
      </c>
      <c r="G13" s="2887">
        <v>0.1094</v>
      </c>
      <c r="H13" s="2479" t="str">
        <f t="shared" si="0"/>
        <v>CALIFORNIA - 06NBLDL136-NET BILLING LOW INC-RES</v>
      </c>
      <c r="J13" s="2501"/>
      <c r="K13" s="2886"/>
    </row>
    <row r="14" spans="1:13" ht="16.7" customHeight="1" x14ac:dyDescent="0.2">
      <c r="A14" s="2749">
        <f t="shared" si="1"/>
        <v>1.0049999999999994</v>
      </c>
      <c r="B14" s="2488" t="s">
        <v>8371</v>
      </c>
      <c r="C14" s="2530">
        <v>357</v>
      </c>
      <c r="D14" s="2530">
        <v>35457</v>
      </c>
      <c r="E14" s="2530">
        <v>39</v>
      </c>
      <c r="F14" s="2530">
        <v>9154</v>
      </c>
      <c r="G14" s="2887">
        <v>9.9299999999999999E-2</v>
      </c>
      <c r="H14" s="2479" t="str">
        <f t="shared" si="0"/>
        <v>CALIFORNIA - 06NBLDN136-NET BLNG LOW INC-RES DELNORTE</v>
      </c>
      <c r="J14" s="2501"/>
      <c r="K14" s="2886"/>
    </row>
    <row r="15" spans="1:13" ht="16.7" customHeight="1" x14ac:dyDescent="0.2">
      <c r="A15" s="2749">
        <f t="shared" si="1"/>
        <v>1.0059999999999993</v>
      </c>
      <c r="B15" s="2488" t="s">
        <v>8372</v>
      </c>
      <c r="C15" s="2530">
        <v>1155</v>
      </c>
      <c r="D15" s="2530">
        <v>120851</v>
      </c>
      <c r="E15" s="2530">
        <v>116</v>
      </c>
      <c r="F15" s="2530">
        <v>9957</v>
      </c>
      <c r="G15" s="2887">
        <v>0.1046</v>
      </c>
      <c r="H15" s="2479" t="str">
        <f t="shared" si="0"/>
        <v>CALIFORNIA - 06NETBL136-CALIFORNIA NET BILLING RES</v>
      </c>
      <c r="J15" s="2501"/>
      <c r="K15" s="2886"/>
    </row>
    <row r="16" spans="1:13" ht="16.7" customHeight="1" x14ac:dyDescent="0.2">
      <c r="A16" s="2749">
        <f t="shared" si="1"/>
        <v>1.0069999999999992</v>
      </c>
      <c r="B16" s="2488" t="s">
        <v>8373</v>
      </c>
      <c r="C16" s="2530">
        <v>3681</v>
      </c>
      <c r="D16" s="2530">
        <v>332490</v>
      </c>
      <c r="E16" s="2530">
        <v>539</v>
      </c>
      <c r="F16" s="2530">
        <v>6829</v>
      </c>
      <c r="G16" s="2887">
        <v>9.0300000000000005E-2</v>
      </c>
      <c r="H16" s="2479" t="str">
        <f t="shared" si="0"/>
        <v>CALIFORNIA - 06NETMT135 - CA RES NET METERING</v>
      </c>
      <c r="J16" s="2501"/>
      <c r="K16" s="2886"/>
    </row>
    <row r="17" spans="1:11" ht="16.7" customHeight="1" x14ac:dyDescent="0.2">
      <c r="A17" s="2749">
        <f t="shared" si="1"/>
        <v>1.0079999999999991</v>
      </c>
      <c r="B17" s="2488" t="s">
        <v>8374</v>
      </c>
      <c r="C17" s="2530">
        <v>239</v>
      </c>
      <c r="D17" s="2530">
        <v>69060</v>
      </c>
      <c r="E17" s="2530">
        <v>256</v>
      </c>
      <c r="F17" s="2530">
        <v>934</v>
      </c>
      <c r="G17" s="2887">
        <v>0.28899999999999998</v>
      </c>
      <c r="H17" s="2479" t="str">
        <f t="shared" si="0"/>
        <v xml:space="preserve">CALIFORNIA - 06OALT015R-OUTD AR LGT SR               </v>
      </c>
      <c r="J17" s="2501"/>
      <c r="K17" s="2886"/>
    </row>
    <row r="18" spans="1:11" ht="16.7" customHeight="1" x14ac:dyDescent="0.2">
      <c r="A18" s="2749">
        <f t="shared" si="1"/>
        <v>1.008999999999999</v>
      </c>
      <c r="B18" s="2488" t="s">
        <v>8375</v>
      </c>
      <c r="C18" s="2530">
        <v>182119</v>
      </c>
      <c r="D18" s="2530">
        <v>21030946</v>
      </c>
      <c r="E18" s="2530">
        <v>17304</v>
      </c>
      <c r="F18" s="2530">
        <v>10525</v>
      </c>
      <c r="G18" s="2887">
        <v>0.11550000000000001</v>
      </c>
      <c r="H18" s="2479" t="str">
        <f t="shared" si="0"/>
        <v xml:space="preserve">CALIFORNIA - 06RESD000D-RES SRVC                     </v>
      </c>
      <c r="J18" s="2501"/>
      <c r="K18" s="2886"/>
    </row>
    <row r="19" spans="1:11" ht="16.7" customHeight="1" x14ac:dyDescent="0.2">
      <c r="A19" s="2749">
        <f t="shared" si="1"/>
        <v>1.0099999999999989</v>
      </c>
      <c r="B19" s="2488" t="s">
        <v>8376</v>
      </c>
      <c r="C19" s="2530">
        <v>125372</v>
      </c>
      <c r="D19" s="2888">
        <f>14622585+1</f>
        <v>14622586</v>
      </c>
      <c r="E19" s="2888">
        <f>11134-1</f>
        <v>11133</v>
      </c>
      <c r="F19" s="2530">
        <v>11260</v>
      </c>
      <c r="G19" s="2887">
        <v>0.1166</v>
      </c>
      <c r="H19" s="2479" t="str">
        <f t="shared" si="0"/>
        <v xml:space="preserve">CALIFORNIA - 06RESDDL06-CA LOW INCOME                </v>
      </c>
      <c r="J19" s="2501"/>
      <c r="K19" s="2886"/>
    </row>
    <row r="20" spans="1:11" ht="16.7" customHeight="1" x14ac:dyDescent="0.2">
      <c r="A20" s="2749">
        <f t="shared" si="1"/>
        <v>1.0109999999999988</v>
      </c>
      <c r="B20" s="2488" t="s">
        <v>8377</v>
      </c>
      <c r="C20" s="2530">
        <v>1357</v>
      </c>
      <c r="D20" s="2530">
        <v>68949</v>
      </c>
      <c r="E20" s="2530">
        <v>473</v>
      </c>
      <c r="F20" s="2530">
        <v>2869</v>
      </c>
      <c r="G20" s="2887">
        <v>5.0799999999999998E-2</v>
      </c>
      <c r="H20" s="2479" t="str">
        <f t="shared" si="0"/>
        <v>CALIFORNIA - 06RGNSV025-CA SMALL GENERAL SVC-RES</v>
      </c>
      <c r="J20" s="2501"/>
      <c r="K20" s="2886"/>
    </row>
    <row r="21" spans="1:11" ht="16.7" customHeight="1" x14ac:dyDescent="0.2">
      <c r="A21" s="2749">
        <f t="shared" si="1"/>
        <v>1.0119999999999987</v>
      </c>
      <c r="B21" s="2488" t="s">
        <v>8378</v>
      </c>
      <c r="C21" s="2530">
        <v>0</v>
      </c>
      <c r="D21" s="2530">
        <v>-198</v>
      </c>
      <c r="E21" s="2530">
        <v>1</v>
      </c>
      <c r="F21" s="2530">
        <v>0</v>
      </c>
      <c r="G21" s="2887">
        <v>0</v>
      </c>
      <c r="H21" s="2479" t="str">
        <f t="shared" si="0"/>
        <v>CALIFORNIA - 06RNB25136-CA RES NET BILL GEN SVC&lt;20 KW</v>
      </c>
      <c r="J21" s="2501"/>
      <c r="K21" s="2886"/>
    </row>
    <row r="22" spans="1:11" ht="16.7" customHeight="1" x14ac:dyDescent="0.2">
      <c r="A22" s="2749">
        <f t="shared" si="1"/>
        <v>1.0129999999999986</v>
      </c>
      <c r="B22" s="2488" t="s">
        <v>8379</v>
      </c>
      <c r="C22" s="2530">
        <v>0</v>
      </c>
      <c r="D22" s="2530">
        <v>-349</v>
      </c>
      <c r="E22" s="2530">
        <v>1</v>
      </c>
      <c r="F22" s="2530">
        <v>0</v>
      </c>
      <c r="G22" s="2887">
        <v>0</v>
      </c>
      <c r="H22" s="2479" t="str">
        <f t="shared" si="0"/>
        <v>CALIFORNIA - 06RNM25135 - CA NET MTR, GEN SVC-RES</v>
      </c>
      <c r="J22" s="2501"/>
      <c r="K22" s="2886"/>
    </row>
    <row r="23" spans="1:11" ht="16.7" customHeight="1" x14ac:dyDescent="0.2">
      <c r="A23" s="2749">
        <f t="shared" si="1"/>
        <v>1.0139999999999985</v>
      </c>
      <c r="B23" s="2488" t="s">
        <v>8380</v>
      </c>
      <c r="C23" s="2530">
        <v>162</v>
      </c>
      <c r="D23" s="2530">
        <v>12516</v>
      </c>
      <c r="E23" s="2530">
        <v>6</v>
      </c>
      <c r="F23" s="2530">
        <v>27000</v>
      </c>
      <c r="G23" s="2887">
        <v>7.7299999999999994E-2</v>
      </c>
      <c r="H23" s="2479" t="str">
        <f t="shared" si="0"/>
        <v>CALIFORNIA - 06RESD0DM9 - MULTI FAMILY</v>
      </c>
      <c r="J23" s="2501"/>
      <c r="K23" s="2886"/>
    </row>
    <row r="24" spans="1:11" ht="16.7" customHeight="1" x14ac:dyDescent="0.2">
      <c r="A24" s="2749">
        <f t="shared" si="1"/>
        <v>1.0149999999999983</v>
      </c>
      <c r="B24" s="2488" t="s">
        <v>8381</v>
      </c>
      <c r="C24" s="2530">
        <v>1932</v>
      </c>
      <c r="D24" s="2530">
        <v>136246</v>
      </c>
      <c r="E24" s="2530">
        <v>18</v>
      </c>
      <c r="F24" s="2530">
        <v>107333</v>
      </c>
      <c r="G24" s="2887">
        <v>7.0499999999999993E-2</v>
      </c>
      <c r="H24" s="2479" t="str">
        <f t="shared" si="0"/>
        <v>CALIFORNIA - 06RESD0DS8-MULT FAM SBMET</v>
      </c>
      <c r="J24" s="2501"/>
      <c r="K24" s="2886"/>
    </row>
    <row r="25" spans="1:11" ht="16.7" customHeight="1" x14ac:dyDescent="0.2">
      <c r="A25" s="2749">
        <f t="shared" si="1"/>
        <v>1.0159999999999982</v>
      </c>
      <c r="B25" s="2488" t="s">
        <v>8382</v>
      </c>
      <c r="C25" s="2530">
        <v>0</v>
      </c>
      <c r="D25" s="2530">
        <v>150956</v>
      </c>
      <c r="E25" s="2530">
        <v>0</v>
      </c>
      <c r="F25" s="2530">
        <v>0</v>
      </c>
      <c r="G25" s="2887">
        <v>0</v>
      </c>
      <c r="H25" s="2479" t="str">
        <f t="shared" si="0"/>
        <v>CALIFORNIA - INCOME TAX DEFERRAL ADJUSTMENTS</v>
      </c>
      <c r="J25" s="2501"/>
      <c r="K25" s="2886"/>
    </row>
    <row r="26" spans="1:11" ht="16.7" customHeight="1" x14ac:dyDescent="0.2">
      <c r="A26" s="2749">
        <f t="shared" si="1"/>
        <v>1.0169999999999981</v>
      </c>
      <c r="B26" s="2488" t="s">
        <v>8383</v>
      </c>
      <c r="C26" s="2530">
        <v>0</v>
      </c>
      <c r="D26" s="2530">
        <v>-803971</v>
      </c>
      <c r="E26" s="2530">
        <v>0</v>
      </c>
      <c r="F26" s="2530">
        <v>0</v>
      </c>
      <c r="G26" s="2887">
        <v>0</v>
      </c>
      <c r="H26" s="2479" t="str">
        <f t="shared" si="0"/>
        <v>CALIFORNIA - REVENUE_ACCOUNTING ADJUSTMENTS</v>
      </c>
      <c r="J26" s="2501"/>
      <c r="K26" s="2886"/>
    </row>
    <row r="27" spans="1:11" ht="16.7" customHeight="1" x14ac:dyDescent="0.2">
      <c r="A27" s="2749">
        <f t="shared" si="1"/>
        <v>1.017999999999998</v>
      </c>
      <c r="B27" s="2488" t="s">
        <v>8384</v>
      </c>
      <c r="C27" s="2530">
        <v>0</v>
      </c>
      <c r="D27" s="2530">
        <v>99192</v>
      </c>
      <c r="E27" s="2530">
        <v>0</v>
      </c>
      <c r="F27" s="2530">
        <v>0</v>
      </c>
      <c r="G27" s="2887">
        <v>0</v>
      </c>
      <c r="H27" s="2479" t="str">
        <f t="shared" si="0"/>
        <v>CALIFORNIA - REVENUE ADJUSTMENT - DEFERRED NPC</v>
      </c>
      <c r="J27" s="2501"/>
      <c r="K27" s="2886"/>
    </row>
    <row r="28" spans="1:11" ht="16.7" customHeight="1" x14ac:dyDescent="0.2">
      <c r="A28" s="2749">
        <f t="shared" si="1"/>
        <v>1.0189999999999979</v>
      </c>
      <c r="B28" s="2488" t="s">
        <v>8385</v>
      </c>
      <c r="C28" s="2530">
        <v>78556</v>
      </c>
      <c r="D28" s="2530">
        <v>9143381</v>
      </c>
      <c r="E28" s="2530">
        <v>7062</v>
      </c>
      <c r="F28" s="2530">
        <v>11124</v>
      </c>
      <c r="G28" s="2887">
        <v>0.1164</v>
      </c>
      <c r="H28" s="2479" t="str">
        <f t="shared" si="0"/>
        <v>CALIFORNIA - 06RESD00DN - CA RES SRVC - DEL NORTE CTY</v>
      </c>
      <c r="J28" s="2501"/>
      <c r="K28" s="2886"/>
    </row>
    <row r="29" spans="1:11" ht="16.7" customHeight="1" x14ac:dyDescent="0.2">
      <c r="A29" s="2749">
        <f t="shared" si="1"/>
        <v>1.0199999999999978</v>
      </c>
      <c r="B29" s="2488" t="s">
        <v>8386</v>
      </c>
      <c r="C29" s="2530">
        <v>0</v>
      </c>
      <c r="D29" s="2530">
        <v>386835</v>
      </c>
      <c r="E29" s="2530">
        <v>0</v>
      </c>
      <c r="F29" s="2530">
        <v>0</v>
      </c>
      <c r="G29" s="2887">
        <v>0</v>
      </c>
      <c r="H29" s="2479" t="str">
        <f t="shared" si="0"/>
        <v>CALIFORNIA - DSM REVENUE-RESIDENTIAL</v>
      </c>
      <c r="J29" s="2501"/>
      <c r="K29" s="2886"/>
    </row>
    <row r="30" spans="1:11" ht="16.7" customHeight="1" x14ac:dyDescent="0.2">
      <c r="A30" s="2749">
        <f t="shared" si="1"/>
        <v>1.0209999999999977</v>
      </c>
      <c r="B30" s="2488" t="s">
        <v>8387</v>
      </c>
      <c r="C30" s="2530">
        <v>0</v>
      </c>
      <c r="D30" s="2530">
        <v>56943</v>
      </c>
      <c r="E30" s="2530">
        <v>0</v>
      </c>
      <c r="F30" s="2530">
        <v>0</v>
      </c>
      <c r="G30" s="2887">
        <v>0</v>
      </c>
      <c r="H30" s="2479" t="str">
        <f t="shared" si="0"/>
        <v>CALIFORNIA - BLUE SKY REVENUE-RESIDENTIAL</v>
      </c>
      <c r="J30" s="2501"/>
      <c r="K30" s="2886"/>
    </row>
    <row r="31" spans="1:11" ht="16.7" customHeight="1" x14ac:dyDescent="0.2">
      <c r="A31" s="2749">
        <f t="shared" si="1"/>
        <v>1.0219999999999976</v>
      </c>
      <c r="B31" s="2488" t="s">
        <v>8388</v>
      </c>
      <c r="C31" s="2530">
        <v>0</v>
      </c>
      <c r="D31" s="2530">
        <v>4918</v>
      </c>
      <c r="E31" s="2530">
        <v>0</v>
      </c>
      <c r="F31" s="2530">
        <v>0</v>
      </c>
      <c r="G31" s="2887">
        <v>0</v>
      </c>
      <c r="H31" s="2479" t="str">
        <f t="shared" si="0"/>
        <v>CALIFORNIA - OTHER CUSTOMER RETAIL REVENUE</v>
      </c>
      <c r="J31" s="2501"/>
      <c r="K31" s="2886"/>
    </row>
    <row r="32" spans="1:11" ht="16.7" customHeight="1" x14ac:dyDescent="0.2">
      <c r="A32" s="2489"/>
      <c r="B32" s="2488"/>
      <c r="C32" s="2488"/>
      <c r="D32" s="2488"/>
      <c r="E32" s="2488"/>
      <c r="F32" s="2488"/>
      <c r="G32" s="2488"/>
      <c r="H32" s="2479"/>
      <c r="J32" s="2501"/>
      <c r="K32" s="2886"/>
    </row>
    <row r="33" spans="1:11" ht="16.7" customHeight="1" x14ac:dyDescent="0.2">
      <c r="A33" s="2489"/>
      <c r="B33" s="2668" t="s">
        <v>8389</v>
      </c>
      <c r="C33" s="2488"/>
      <c r="D33" s="2488"/>
      <c r="E33" s="2488"/>
      <c r="F33" s="2488"/>
      <c r="G33" s="2488"/>
      <c r="H33" s="2479" t="str">
        <f t="shared" ref="H33:H94" si="2">B33</f>
        <v>IDAHO</v>
      </c>
      <c r="J33" s="2501"/>
      <c r="K33" s="2886"/>
    </row>
    <row r="34" spans="1:11" ht="16.7" customHeight="1" x14ac:dyDescent="0.2">
      <c r="A34" s="2749">
        <f>A31+0.001</f>
        <v>1.0229999999999975</v>
      </c>
      <c r="B34" s="2488" t="s">
        <v>8390</v>
      </c>
      <c r="C34" s="2530">
        <v>0</v>
      </c>
      <c r="D34" s="2530">
        <v>-0.14000000000000001</v>
      </c>
      <c r="E34" s="2530">
        <v>0</v>
      </c>
      <c r="F34" s="2530">
        <v>0</v>
      </c>
      <c r="G34" s="2887">
        <v>0</v>
      </c>
      <c r="H34" s="2479" t="str">
        <f t="shared" si="2"/>
        <v xml:space="preserve">IDAHO - 07BLSKY01R-BLUESKY ENERGY               </v>
      </c>
      <c r="J34" s="2501"/>
      <c r="K34" s="2886"/>
    </row>
    <row r="35" spans="1:11" ht="16.7" customHeight="1" x14ac:dyDescent="0.2">
      <c r="A35" s="2749">
        <f t="shared" ref="A35:A50" si="3">A34+0.001</f>
        <v>1.0239999999999974</v>
      </c>
      <c r="B35" s="2488" t="s">
        <v>8391</v>
      </c>
      <c r="C35" s="2530">
        <v>0</v>
      </c>
      <c r="D35" s="2530">
        <v>919</v>
      </c>
      <c r="E35" s="2530">
        <v>0</v>
      </c>
      <c r="F35" s="2530">
        <v>0</v>
      </c>
      <c r="G35" s="2887">
        <v>0</v>
      </c>
      <c r="H35" s="2479" t="str">
        <f t="shared" si="2"/>
        <v xml:space="preserve">IDAHO - 07LNX00010-MNTHLY 80%GUAR               </v>
      </c>
      <c r="J35" s="2501"/>
      <c r="K35" s="2886"/>
    </row>
    <row r="36" spans="1:11" ht="16.7" customHeight="1" x14ac:dyDescent="0.2">
      <c r="A36" s="2749">
        <f t="shared" si="3"/>
        <v>1.0249999999999972</v>
      </c>
      <c r="B36" s="2488" t="s">
        <v>8392</v>
      </c>
      <c r="C36" s="2530">
        <v>1488</v>
      </c>
      <c r="D36" s="2530">
        <v>70250</v>
      </c>
      <c r="E36" s="2672">
        <v>155</v>
      </c>
      <c r="F36" s="2530">
        <v>9600</v>
      </c>
      <c r="G36" s="2887">
        <v>4.7199999999999999E-2</v>
      </c>
      <c r="H36" s="2479" t="str">
        <f t="shared" si="2"/>
        <v>IDAHO - 07NBL36136-ID TOU RES NET BILLING</v>
      </c>
      <c r="J36" s="2501"/>
      <c r="K36" s="2886"/>
    </row>
    <row r="37" spans="1:11" ht="16.7" customHeight="1" x14ac:dyDescent="0.2">
      <c r="A37" s="2749">
        <f t="shared" si="3"/>
        <v>1.0259999999999971</v>
      </c>
      <c r="B37" s="2488" t="s">
        <v>8393</v>
      </c>
      <c r="C37" s="2530">
        <v>6792</v>
      </c>
      <c r="D37" s="2530">
        <v>638300</v>
      </c>
      <c r="E37" s="2888">
        <f>870-1</f>
        <v>869</v>
      </c>
      <c r="F37" s="2530">
        <v>7807</v>
      </c>
      <c r="G37" s="2887">
        <v>9.4E-2</v>
      </c>
      <c r="H37" s="2479" t="str">
        <f t="shared" si="2"/>
        <v>IDAHO - 07NETBL136-ID RES NET BILLING</v>
      </c>
      <c r="J37" s="2501"/>
      <c r="K37" s="2886"/>
    </row>
    <row r="38" spans="1:11" ht="16.7" customHeight="1" x14ac:dyDescent="0.2">
      <c r="A38" s="2749">
        <f t="shared" si="3"/>
        <v>1.026999999999997</v>
      </c>
      <c r="B38" s="2488" t="s">
        <v>8394</v>
      </c>
      <c r="C38" s="2530">
        <v>9127</v>
      </c>
      <c r="D38" s="2530">
        <v>978967</v>
      </c>
      <c r="E38" s="2530">
        <v>1132</v>
      </c>
      <c r="F38" s="2530">
        <v>8063</v>
      </c>
      <c r="G38" s="2887">
        <v>0.10730000000000001</v>
      </c>
      <c r="H38" s="2479" t="str">
        <f t="shared" si="2"/>
        <v>IDAHO - 07NETMT135 - ID RESIDENTIAL NET METERING</v>
      </c>
      <c r="J38" s="2501"/>
      <c r="K38" s="2886"/>
    </row>
    <row r="39" spans="1:11" ht="16.7" customHeight="1" x14ac:dyDescent="0.2">
      <c r="A39" s="2749">
        <f t="shared" si="3"/>
        <v>1.0279999999999969</v>
      </c>
      <c r="B39" s="2488" t="s">
        <v>8395</v>
      </c>
      <c r="C39" s="2530">
        <v>3689</v>
      </c>
      <c r="D39" s="2530">
        <v>268531</v>
      </c>
      <c r="E39" s="2530">
        <v>263</v>
      </c>
      <c r="F39" s="2530">
        <v>14027</v>
      </c>
      <c r="G39" s="2887">
        <v>7.2800000000000004E-2</v>
      </c>
      <c r="H39" s="2479" t="str">
        <f t="shared" si="2"/>
        <v>IDAHO - 07NMT36135-IDAHO TIME-OF-DAY RES NET MTR</v>
      </c>
      <c r="J39" s="2501"/>
      <c r="K39" s="2886"/>
    </row>
    <row r="40" spans="1:11" ht="16.7" customHeight="1" x14ac:dyDescent="0.2">
      <c r="A40" s="2749">
        <f t="shared" si="3"/>
        <v>1.0289999999999968</v>
      </c>
      <c r="B40" s="2488" t="s">
        <v>8396</v>
      </c>
      <c r="C40" s="2530">
        <v>85</v>
      </c>
      <c r="D40" s="2530">
        <v>20344</v>
      </c>
      <c r="E40" s="2530">
        <v>107</v>
      </c>
      <c r="F40" s="2530">
        <v>794</v>
      </c>
      <c r="G40" s="2887">
        <v>0.23930000000000001</v>
      </c>
      <c r="H40" s="2479" t="str">
        <f t="shared" si="2"/>
        <v xml:space="preserve">IDAHO - 07OALT07AR-SECURITY AR LG               </v>
      </c>
      <c r="J40" s="2501"/>
      <c r="K40" s="2886"/>
    </row>
    <row r="41" spans="1:11" ht="16.7" customHeight="1" x14ac:dyDescent="0.2">
      <c r="A41" s="2749">
        <f t="shared" si="3"/>
        <v>1.0299999999999967</v>
      </c>
      <c r="B41" s="2488" t="s">
        <v>8397</v>
      </c>
      <c r="C41" s="2530">
        <v>615268</v>
      </c>
      <c r="D41" s="2530">
        <v>74049966</v>
      </c>
      <c r="E41" s="2530">
        <v>59947</v>
      </c>
      <c r="F41" s="2530">
        <v>10264</v>
      </c>
      <c r="G41" s="2887">
        <v>0.12039999999999999</v>
      </c>
      <c r="H41" s="2479" t="str">
        <f t="shared" si="2"/>
        <v xml:space="preserve">IDAHO - 07RESD0001-RES SRVC                     </v>
      </c>
      <c r="J41" s="2501"/>
      <c r="K41" s="2886"/>
    </row>
    <row r="42" spans="1:11" ht="16.7" customHeight="1" x14ac:dyDescent="0.2">
      <c r="A42" s="2749">
        <f t="shared" si="3"/>
        <v>1.0309999999999966</v>
      </c>
      <c r="B42" s="2488" t="s">
        <v>8398</v>
      </c>
      <c r="C42" s="2530">
        <v>170272</v>
      </c>
      <c r="D42" s="2530">
        <v>18060055</v>
      </c>
      <c r="E42" s="2530">
        <v>9736</v>
      </c>
      <c r="F42" s="2530">
        <v>17489</v>
      </c>
      <c r="G42" s="2887">
        <v>0.1061</v>
      </c>
      <c r="H42" s="2479" t="str">
        <f t="shared" si="2"/>
        <v xml:space="preserve">IDAHO - 07RESD0036-RES SRVC-OPTIO               </v>
      </c>
      <c r="J42" s="2501"/>
      <c r="K42" s="2886"/>
    </row>
    <row r="43" spans="1:11" ht="16.7" customHeight="1" x14ac:dyDescent="0.2">
      <c r="A43" s="2749">
        <f t="shared" si="3"/>
        <v>1.0319999999999965</v>
      </c>
      <c r="B43" s="2488" t="s">
        <v>8399</v>
      </c>
      <c r="C43" s="2530">
        <v>358</v>
      </c>
      <c r="D43" s="2530">
        <v>31639</v>
      </c>
      <c r="E43" s="2530">
        <v>4</v>
      </c>
      <c r="F43" s="2530">
        <v>89500</v>
      </c>
      <c r="G43" s="2887">
        <v>8.8400000000000006E-2</v>
      </c>
      <c r="H43" s="2479" t="str">
        <f t="shared" si="2"/>
        <v>IDAHO - 07RGNSV06A-ID LRG GENERAL SVC-RES</v>
      </c>
      <c r="J43" s="2501"/>
      <c r="K43" s="2886"/>
    </row>
    <row r="44" spans="1:11" ht="16.7" customHeight="1" x14ac:dyDescent="0.2">
      <c r="A44" s="2749">
        <f t="shared" si="3"/>
        <v>1.0329999999999964</v>
      </c>
      <c r="B44" s="2488" t="s">
        <v>8400</v>
      </c>
      <c r="C44" s="2530">
        <v>10899</v>
      </c>
      <c r="D44" s="2530">
        <v>1241255</v>
      </c>
      <c r="E44" s="2530">
        <v>1160</v>
      </c>
      <c r="F44" s="2530">
        <v>9396</v>
      </c>
      <c r="G44" s="2887">
        <v>0.1139</v>
      </c>
      <c r="H44" s="2479" t="str">
        <f t="shared" si="2"/>
        <v>IDAHO - 07RGNSV23A-ID SMALL GENERAL SVC-RES</v>
      </c>
      <c r="J44" s="2501"/>
      <c r="K44" s="2886"/>
    </row>
    <row r="45" spans="1:11" ht="16.7" customHeight="1" x14ac:dyDescent="0.2">
      <c r="A45" s="2749">
        <f t="shared" si="3"/>
        <v>1.0339999999999963</v>
      </c>
      <c r="B45" s="2488" t="s">
        <v>8401</v>
      </c>
      <c r="C45" s="2530">
        <v>6</v>
      </c>
      <c r="D45" s="2530">
        <v>-1044</v>
      </c>
      <c r="E45" s="2530">
        <v>3</v>
      </c>
      <c r="F45" s="2530">
        <v>2000</v>
      </c>
      <c r="G45" s="2887">
        <v>-0.17399999999999999</v>
      </c>
      <c r="H45" s="2479" t="str">
        <f t="shared" si="2"/>
        <v>IDAHO - 07RN23A136-RES NET BILLING SMALL GEN SVC</v>
      </c>
      <c r="J45" s="2501"/>
      <c r="K45" s="2886"/>
    </row>
    <row r="46" spans="1:11" ht="16.7" customHeight="1" x14ac:dyDescent="0.2">
      <c r="A46" s="2749">
        <f t="shared" si="3"/>
        <v>1.0349999999999961</v>
      </c>
      <c r="B46" s="2488" t="s">
        <v>8402</v>
      </c>
      <c r="C46" s="2530">
        <v>307</v>
      </c>
      <c r="D46" s="2530">
        <v>26402</v>
      </c>
      <c r="E46" s="2530">
        <v>9</v>
      </c>
      <c r="F46" s="2530">
        <v>34111</v>
      </c>
      <c r="G46" s="2887">
        <v>8.5999999999999993E-2</v>
      </c>
      <c r="H46" s="2479" t="str">
        <f t="shared" si="2"/>
        <v>IDAHO - 07RNM23135-RES USE NET MTR SMALL GEN SVC</v>
      </c>
      <c r="J46" s="2501"/>
      <c r="K46" s="2886"/>
    </row>
    <row r="47" spans="1:11" ht="16.7" customHeight="1" x14ac:dyDescent="0.2">
      <c r="A47" s="2749">
        <f t="shared" si="3"/>
        <v>1.035999999999996</v>
      </c>
      <c r="B47" s="2488" t="s">
        <v>8403</v>
      </c>
      <c r="C47" s="2530">
        <v>0</v>
      </c>
      <c r="D47" s="2530">
        <v>0</v>
      </c>
      <c r="E47" s="2530">
        <v>2</v>
      </c>
      <c r="F47" s="2530">
        <v>0</v>
      </c>
      <c r="G47" s="2887">
        <v>0</v>
      </c>
      <c r="H47" s="2479" t="str">
        <f t="shared" si="2"/>
        <v xml:space="preserve">IDAHO - 07UPPL000R-BASE SCH FALL                </v>
      </c>
      <c r="J47" s="2501"/>
      <c r="K47" s="2886"/>
    </row>
    <row r="48" spans="1:11" ht="16.7" customHeight="1" x14ac:dyDescent="0.2">
      <c r="A48" s="2749">
        <f t="shared" si="3"/>
        <v>1.0369999999999959</v>
      </c>
      <c r="B48" s="2488" t="s">
        <v>8404</v>
      </c>
      <c r="C48" s="2530">
        <v>0</v>
      </c>
      <c r="D48" s="2530">
        <v>2700088</v>
      </c>
      <c r="E48" s="2530">
        <v>0</v>
      </c>
      <c r="F48" s="2530">
        <v>0</v>
      </c>
      <c r="G48" s="2887">
        <v>0</v>
      </c>
      <c r="H48" s="2479" t="str">
        <f t="shared" si="2"/>
        <v>IDAHO - DSM REVENUE-RESIDENTIAL</v>
      </c>
      <c r="J48" s="2501"/>
      <c r="K48" s="2886"/>
    </row>
    <row r="49" spans="1:11" ht="16.7" customHeight="1" x14ac:dyDescent="0.2">
      <c r="A49" s="2749">
        <f t="shared" si="3"/>
        <v>1.0379999999999958</v>
      </c>
      <c r="B49" s="2488" t="s">
        <v>8405</v>
      </c>
      <c r="C49" s="2530">
        <v>0</v>
      </c>
      <c r="D49" s="2530">
        <v>35228</v>
      </c>
      <c r="E49" s="2530">
        <v>0</v>
      </c>
      <c r="F49" s="2530">
        <v>0</v>
      </c>
      <c r="G49" s="2887">
        <v>0</v>
      </c>
      <c r="H49" s="2479" t="str">
        <f t="shared" si="2"/>
        <v>IDAHO - BLUE SKY REVENUE-RESIDENTIAL</v>
      </c>
      <c r="J49" s="2501"/>
      <c r="K49" s="2886"/>
    </row>
    <row r="50" spans="1:11" ht="16.7" customHeight="1" x14ac:dyDescent="0.2">
      <c r="A50" s="2749">
        <f t="shared" si="3"/>
        <v>1.0389999999999957</v>
      </c>
      <c r="B50" s="2488" t="s">
        <v>8406</v>
      </c>
      <c r="C50" s="2530">
        <v>0</v>
      </c>
      <c r="D50" s="2530">
        <v>573143</v>
      </c>
      <c r="E50" s="2530">
        <v>0</v>
      </c>
      <c r="F50" s="2530">
        <v>0</v>
      </c>
      <c r="G50" s="2887">
        <v>0</v>
      </c>
      <c r="H50" s="2479" t="str">
        <f t="shared" si="2"/>
        <v>IDAHO - REVENUE_ACCOUNTING ADJUSTMENTS</v>
      </c>
      <c r="J50" s="2501"/>
      <c r="K50" s="2886"/>
    </row>
    <row r="51" spans="1:11" ht="16.7" customHeight="1" x14ac:dyDescent="0.2">
      <c r="A51" s="2489"/>
      <c r="B51" s="2512"/>
      <c r="C51" s="2488"/>
      <c r="D51" s="2488"/>
      <c r="E51" s="2488"/>
      <c r="F51" s="2488"/>
      <c r="G51" s="2488"/>
      <c r="H51" s="2595">
        <f t="shared" si="2"/>
        <v>0</v>
      </c>
      <c r="J51" s="2501"/>
      <c r="K51" s="2886"/>
    </row>
    <row r="52" spans="1:11" ht="23.25" customHeight="1" x14ac:dyDescent="0.2">
      <c r="A52" s="2489"/>
      <c r="B52" s="2669" t="s">
        <v>8407</v>
      </c>
      <c r="C52" s="2488"/>
      <c r="D52" s="2488"/>
      <c r="E52" s="2488"/>
      <c r="F52" s="2488"/>
      <c r="G52" s="2488"/>
      <c r="H52" s="2479" t="str">
        <f t="shared" si="2"/>
        <v>OREGON</v>
      </c>
      <c r="J52" s="2501"/>
      <c r="K52" s="2886"/>
    </row>
    <row r="53" spans="1:11" ht="16.7" customHeight="1" x14ac:dyDescent="0.2">
      <c r="A53" s="2749">
        <f>A50+0.001</f>
        <v>1.0399999999999956</v>
      </c>
      <c r="B53" s="2512" t="s">
        <v>8408</v>
      </c>
      <c r="C53" s="2530">
        <v>0</v>
      </c>
      <c r="D53" s="2530">
        <v>0</v>
      </c>
      <c r="E53" s="2530">
        <v>1</v>
      </c>
      <c r="F53" s="2530">
        <v>0</v>
      </c>
      <c r="G53" s="2887">
        <v>0</v>
      </c>
      <c r="H53" s="2479" t="str">
        <f t="shared" si="2"/>
        <v xml:space="preserve">OREGON - 01CHCK000R-RES CHECK MTR                </v>
      </c>
      <c r="J53" s="2501"/>
      <c r="K53" s="2886"/>
    </row>
    <row r="54" spans="1:11" ht="16.7" customHeight="1" x14ac:dyDescent="0.2">
      <c r="A54" s="2749">
        <f t="shared" ref="A54:A94" si="4">A53+0.001</f>
        <v>1.0409999999999955</v>
      </c>
      <c r="B54" s="2512" t="s">
        <v>8409</v>
      </c>
      <c r="C54" s="2530">
        <v>5367092</v>
      </c>
      <c r="D54" s="2530">
        <v>331726626</v>
      </c>
      <c r="E54" s="2530">
        <v>0</v>
      </c>
      <c r="F54" s="2530">
        <v>0</v>
      </c>
      <c r="G54" s="2887">
        <v>6.1800000000000001E-2</v>
      </c>
      <c r="H54" s="2479" t="str">
        <f t="shared" si="2"/>
        <v>OREGON - 01COST0004 - 01RESD0004</v>
      </c>
      <c r="J54" s="2501"/>
      <c r="K54" s="2886"/>
    </row>
    <row r="55" spans="1:11" ht="16.7" customHeight="1" x14ac:dyDescent="0.2">
      <c r="A55" s="2749">
        <f t="shared" si="4"/>
        <v>1.0419999999999954</v>
      </c>
      <c r="B55" s="2512" t="s">
        <v>8410</v>
      </c>
      <c r="C55" s="2530">
        <v>5286</v>
      </c>
      <c r="D55" s="2672">
        <v>287934</v>
      </c>
      <c r="E55" s="2530">
        <v>0</v>
      </c>
      <c r="F55" s="2530">
        <v>0</v>
      </c>
      <c r="G55" s="2887">
        <v>5.45E-2</v>
      </c>
      <c r="H55" s="2479" t="str">
        <f t="shared" si="2"/>
        <v>OREGON - 01COST0006 - 01RESD0006</v>
      </c>
      <c r="J55" s="2501"/>
      <c r="K55" s="2886"/>
    </row>
    <row r="56" spans="1:11" ht="16.7" customHeight="1" x14ac:dyDescent="0.2">
      <c r="A56" s="2749">
        <f t="shared" si="4"/>
        <v>1.0429999999999953</v>
      </c>
      <c r="B56" s="2512" t="s">
        <v>8411</v>
      </c>
      <c r="C56" s="2530">
        <v>96139</v>
      </c>
      <c r="D56" s="2530">
        <v>5799238</v>
      </c>
      <c r="E56" s="2530">
        <v>0</v>
      </c>
      <c r="F56" s="2530">
        <v>0</v>
      </c>
      <c r="G56" s="2887">
        <v>6.0299999999999999E-2</v>
      </c>
      <c r="H56" s="2479" t="str">
        <f t="shared" si="2"/>
        <v>OREGON - 01COSTR023, OR RES GEN SRV, COST BASED</v>
      </c>
      <c r="J56" s="2501"/>
      <c r="K56" s="2886"/>
    </row>
    <row r="57" spans="1:11" ht="16.7" customHeight="1" x14ac:dyDescent="0.2">
      <c r="A57" s="2749">
        <f t="shared" si="4"/>
        <v>1.0439999999999952</v>
      </c>
      <c r="B57" s="2512" t="s">
        <v>8412</v>
      </c>
      <c r="C57" s="2530">
        <v>46575</v>
      </c>
      <c r="D57" s="2530">
        <v>2677501</v>
      </c>
      <c r="E57" s="2530">
        <v>0</v>
      </c>
      <c r="F57" s="2530">
        <v>0</v>
      </c>
      <c r="G57" s="2887">
        <v>5.7500000000000002E-2</v>
      </c>
      <c r="H57" s="2479" t="str">
        <f t="shared" si="2"/>
        <v>OREGON - 01COSTR028, OR RES GEN SVC&gt;30KW CST BSD</v>
      </c>
      <c r="J57" s="2501"/>
      <c r="K57" s="2886"/>
    </row>
    <row r="58" spans="1:11" ht="16.7" customHeight="1" x14ac:dyDescent="0.2">
      <c r="A58" s="2749">
        <f t="shared" si="4"/>
        <v>1.044999999999995</v>
      </c>
      <c r="B58" s="2512" t="s">
        <v>8413</v>
      </c>
      <c r="C58" s="2530">
        <v>0</v>
      </c>
      <c r="D58" s="2530">
        <v>-1.17</v>
      </c>
      <c r="E58" s="2530">
        <v>0</v>
      </c>
      <c r="F58" s="2530">
        <v>0</v>
      </c>
      <c r="G58" s="2887">
        <v>0</v>
      </c>
      <c r="H58" s="2479" t="str">
        <f t="shared" si="2"/>
        <v>OREGON - 01FXRENEWR - Fixed Renewable Blue Sky</v>
      </c>
      <c r="J58" s="2501"/>
      <c r="K58" s="2886"/>
    </row>
    <row r="59" spans="1:11" ht="16.7" customHeight="1" x14ac:dyDescent="0.2">
      <c r="A59" s="2749">
        <f t="shared" si="4"/>
        <v>1.0459999999999949</v>
      </c>
      <c r="B59" s="2512" t="s">
        <v>8414</v>
      </c>
      <c r="C59" s="2530">
        <v>62176</v>
      </c>
      <c r="D59" s="2530">
        <v>3838930</v>
      </c>
      <c r="E59" s="2530">
        <v>0</v>
      </c>
      <c r="F59" s="2530">
        <v>0</v>
      </c>
      <c r="G59" s="2887">
        <v>6.1699999999999998E-2</v>
      </c>
      <c r="H59" s="2479" t="str">
        <f t="shared" si="2"/>
        <v>OREGON - 01HABIT004 - 01RESD0004</v>
      </c>
      <c r="J59" s="2501"/>
      <c r="K59" s="2886"/>
    </row>
    <row r="60" spans="1:11" ht="16.7" customHeight="1" x14ac:dyDescent="0.2">
      <c r="A60" s="2749">
        <f t="shared" si="4"/>
        <v>1.0469999999999948</v>
      </c>
      <c r="B60" s="2512" t="s">
        <v>8415</v>
      </c>
      <c r="C60" s="2530">
        <v>196</v>
      </c>
      <c r="D60" s="2530">
        <v>12056</v>
      </c>
      <c r="E60" s="2530">
        <v>0</v>
      </c>
      <c r="F60" s="2530">
        <v>0</v>
      </c>
      <c r="G60" s="2887">
        <v>6.1499999999999999E-2</v>
      </c>
      <c r="H60" s="2479" t="str">
        <f t="shared" si="2"/>
        <v xml:space="preserve">OREGON - 01HABTR023-RES GEN SVC HABITAT BLND </v>
      </c>
      <c r="J60" s="2501"/>
      <c r="K60" s="2886"/>
    </row>
    <row r="61" spans="1:11" ht="16.7" customHeight="1" x14ac:dyDescent="0.2">
      <c r="A61" s="2749">
        <f t="shared" si="4"/>
        <v>1.0479999999999947</v>
      </c>
      <c r="B61" s="2512" t="s">
        <v>8416</v>
      </c>
      <c r="C61" s="2530">
        <v>0</v>
      </c>
      <c r="D61" s="2530">
        <v>15</v>
      </c>
      <c r="E61" s="2530">
        <v>0</v>
      </c>
      <c r="F61" s="2530">
        <v>0</v>
      </c>
      <c r="G61" s="2887">
        <v>0</v>
      </c>
      <c r="H61" s="2479" t="str">
        <f t="shared" si="2"/>
        <v xml:space="preserve">OREGON - 01LNX00102-LINE EXT 80% G               </v>
      </c>
      <c r="J61" s="2501"/>
      <c r="K61" s="2886"/>
    </row>
    <row r="62" spans="1:11" ht="16.7" customHeight="1" x14ac:dyDescent="0.2">
      <c r="A62" s="2749">
        <f t="shared" si="4"/>
        <v>1.0489999999999946</v>
      </c>
      <c r="B62" s="2512" t="s">
        <v>8417</v>
      </c>
      <c r="C62" s="2530">
        <v>0</v>
      </c>
      <c r="D62" s="2530">
        <v>13512</v>
      </c>
      <c r="E62" s="2530">
        <v>0</v>
      </c>
      <c r="F62" s="2530">
        <v>0</v>
      </c>
      <c r="G62" s="2887">
        <v>0</v>
      </c>
      <c r="H62" s="2479" t="str">
        <f t="shared" si="2"/>
        <v xml:space="preserve">OREGON - 01LNX00109-REF/NREF ADV +               </v>
      </c>
      <c r="J62" s="2501"/>
      <c r="K62" s="2886"/>
    </row>
    <row r="63" spans="1:11" ht="16.7" customHeight="1" x14ac:dyDescent="0.2">
      <c r="A63" s="2749">
        <f t="shared" si="4"/>
        <v>1.0499999999999945</v>
      </c>
      <c r="B63" s="2512" t="s">
        <v>8418</v>
      </c>
      <c r="C63" s="2530">
        <v>0</v>
      </c>
      <c r="D63" s="2530">
        <v>6950816</v>
      </c>
      <c r="E63" s="2530">
        <v>14937</v>
      </c>
      <c r="F63" s="2530">
        <v>0</v>
      </c>
      <c r="G63" s="2887">
        <v>0</v>
      </c>
      <c r="H63" s="2479" t="str">
        <f t="shared" si="2"/>
        <v xml:space="preserve">OREGON - 01NETMT135-NET METERING                 </v>
      </c>
      <c r="J63" s="2501"/>
      <c r="K63" s="2886"/>
    </row>
    <row r="64" spans="1:11" ht="16.7" customHeight="1" x14ac:dyDescent="0.2">
      <c r="A64" s="2749">
        <f t="shared" si="4"/>
        <v>1.0509999999999944</v>
      </c>
      <c r="B64" s="2512" t="s">
        <v>8419</v>
      </c>
      <c r="C64" s="2530">
        <v>0</v>
      </c>
      <c r="D64" s="2530">
        <v>24853</v>
      </c>
      <c r="E64" s="2530">
        <v>54</v>
      </c>
      <c r="F64" s="2530">
        <v>0</v>
      </c>
      <c r="G64" s="2887">
        <v>0</v>
      </c>
      <c r="H64" s="2479" t="str">
        <f t="shared" si="2"/>
        <v>OREGON - 01NMT06135-RES TOU PILOT NET METERING</v>
      </c>
      <c r="J64" s="2501"/>
      <c r="K64" s="2886"/>
    </row>
    <row r="65" spans="1:11" ht="16.7" customHeight="1" x14ac:dyDescent="0.2">
      <c r="A65" s="2749">
        <f t="shared" si="4"/>
        <v>1.0519999999999943</v>
      </c>
      <c r="B65" s="2512" t="s">
        <v>8420</v>
      </c>
      <c r="C65" s="2530">
        <v>0</v>
      </c>
      <c r="D65" s="2530">
        <v>127628</v>
      </c>
      <c r="E65" s="2530">
        <v>230</v>
      </c>
      <c r="F65" s="2530">
        <v>0</v>
      </c>
      <c r="G65" s="2887">
        <v>0</v>
      </c>
      <c r="H65" s="2479" t="str">
        <f t="shared" si="2"/>
        <v>OREGON - 01NMT07135-OR RES NET METERING LOW INC</v>
      </c>
      <c r="J65" s="2501"/>
      <c r="K65" s="2886"/>
    </row>
    <row r="66" spans="1:11" ht="16.7" customHeight="1" x14ac:dyDescent="0.2">
      <c r="A66" s="2749">
        <f t="shared" si="4"/>
        <v>1.0529999999999942</v>
      </c>
      <c r="B66" s="2512" t="s">
        <v>8421</v>
      </c>
      <c r="C66" s="2530">
        <v>0</v>
      </c>
      <c r="D66" s="2530">
        <v>35220</v>
      </c>
      <c r="E66" s="2530">
        <v>61</v>
      </c>
      <c r="F66" s="2530">
        <v>0</v>
      </c>
      <c r="G66" s="2887">
        <v>0</v>
      </c>
      <c r="H66" s="2479" t="str">
        <f t="shared" si="2"/>
        <v>OREGON - 01NMTOU135-TOU NET METERING</v>
      </c>
      <c r="J66" s="2501"/>
      <c r="K66" s="2886"/>
    </row>
    <row r="67" spans="1:11" ht="16.7" customHeight="1" x14ac:dyDescent="0.2">
      <c r="A67" s="2749">
        <f t="shared" si="4"/>
        <v>1.0539999999999941</v>
      </c>
      <c r="B67" s="2512" t="s">
        <v>8422</v>
      </c>
      <c r="C67" s="2530">
        <v>1819</v>
      </c>
      <c r="D67" s="2530">
        <v>294383</v>
      </c>
      <c r="E67" s="2530">
        <v>2201</v>
      </c>
      <c r="F67" s="2530">
        <v>826</v>
      </c>
      <c r="G67" s="2887">
        <v>0.1618</v>
      </c>
      <c r="H67" s="2479" t="str">
        <f t="shared" si="2"/>
        <v>OREGON - 01OALTB15R-OR OUTD AR LGT RES</v>
      </c>
      <c r="J67" s="2501"/>
      <c r="K67" s="2886"/>
    </row>
    <row r="68" spans="1:11" ht="16.7" customHeight="1" x14ac:dyDescent="0.2">
      <c r="A68" s="2749">
        <f t="shared" si="4"/>
        <v>1.0549999999999939</v>
      </c>
      <c r="B68" s="2512" t="s">
        <v>8423</v>
      </c>
      <c r="C68" s="2530">
        <v>12658</v>
      </c>
      <c r="D68" s="2530">
        <v>770200</v>
      </c>
      <c r="E68" s="2530">
        <v>0</v>
      </c>
      <c r="F68" s="2530">
        <v>0</v>
      </c>
      <c r="G68" s="2887">
        <v>6.08E-2</v>
      </c>
      <c r="H68" s="2479" t="str">
        <f t="shared" si="2"/>
        <v>OREGON - 01PTOU0004 - 01RESD0004</v>
      </c>
      <c r="J68" s="2501"/>
      <c r="K68" s="2886"/>
    </row>
    <row r="69" spans="1:11" ht="16.7" customHeight="1" x14ac:dyDescent="0.2">
      <c r="A69" s="2749">
        <f t="shared" si="4"/>
        <v>1.0559999999999938</v>
      </c>
      <c r="B69" s="2512" t="s">
        <v>8424</v>
      </c>
      <c r="C69" s="2530">
        <v>31</v>
      </c>
      <c r="D69" s="2530">
        <v>1817</v>
      </c>
      <c r="E69" s="2530">
        <v>0</v>
      </c>
      <c r="F69" s="2530">
        <v>0</v>
      </c>
      <c r="G69" s="2887">
        <v>5.8599999999999999E-2</v>
      </c>
      <c r="H69" s="2479" t="str">
        <f t="shared" si="2"/>
        <v>OREGON - 01PTOURB23-RES GEN SVC; TOU SUPPLY SVC</v>
      </c>
      <c r="J69" s="2501"/>
      <c r="K69" s="2886"/>
    </row>
    <row r="70" spans="1:11" ht="16.7" customHeight="1" x14ac:dyDescent="0.2">
      <c r="A70" s="2749">
        <f t="shared" si="4"/>
        <v>1.0569999999999937</v>
      </c>
      <c r="B70" s="2512" t="s">
        <v>8425</v>
      </c>
      <c r="C70" s="2530">
        <v>513248</v>
      </c>
      <c r="D70" s="2530">
        <v>31702323</v>
      </c>
      <c r="E70" s="2530">
        <v>0</v>
      </c>
      <c r="F70" s="2530">
        <v>0</v>
      </c>
      <c r="G70" s="2887">
        <v>6.1800000000000001E-2</v>
      </c>
      <c r="H70" s="2479" t="str">
        <f t="shared" si="2"/>
        <v>OREGON - 01RENEW004 - 01RESD0004</v>
      </c>
      <c r="J70" s="2501"/>
      <c r="K70" s="2886"/>
    </row>
    <row r="71" spans="1:11" ht="16.7" customHeight="1" x14ac:dyDescent="0.2">
      <c r="A71" s="2749">
        <f t="shared" si="4"/>
        <v>1.0579999999999936</v>
      </c>
      <c r="B71" s="2512" t="s">
        <v>8426</v>
      </c>
      <c r="C71" s="2530">
        <v>620</v>
      </c>
      <c r="D71" s="2530">
        <v>37995</v>
      </c>
      <c r="E71" s="2530">
        <v>0</v>
      </c>
      <c r="F71" s="2530">
        <v>0</v>
      </c>
      <c r="G71" s="2887">
        <v>6.13E-2</v>
      </c>
      <c r="H71" s="2479" t="str">
        <f t="shared" si="2"/>
        <v>OREGON - 01RENWR023-RENEW USAGE SPLY SVC-GEN SVC</v>
      </c>
      <c r="J71" s="2501"/>
      <c r="K71" s="2886"/>
    </row>
    <row r="72" spans="1:11" ht="16.7" customHeight="1" x14ac:dyDescent="0.2">
      <c r="A72" s="2749">
        <f t="shared" si="4"/>
        <v>1.0589999999999935</v>
      </c>
      <c r="B72" s="2512" t="s">
        <v>8427</v>
      </c>
      <c r="C72" s="2530">
        <v>0</v>
      </c>
      <c r="D72" s="2530">
        <v>355460905</v>
      </c>
      <c r="E72" s="2530">
        <v>485572</v>
      </c>
      <c r="F72" s="2530">
        <v>0</v>
      </c>
      <c r="G72" s="2887">
        <v>0</v>
      </c>
      <c r="H72" s="2479" t="str">
        <f t="shared" si="2"/>
        <v xml:space="preserve">OREGON - 01RESD0004-RES SRVC                     </v>
      </c>
      <c r="J72" s="2501"/>
      <c r="K72" s="2886"/>
    </row>
    <row r="73" spans="1:11" ht="16.7" customHeight="1" x14ac:dyDescent="0.2">
      <c r="A73" s="2749">
        <f t="shared" si="4"/>
        <v>1.0599999999999934</v>
      </c>
      <c r="B73" s="2512" t="s">
        <v>8428</v>
      </c>
      <c r="C73" s="2530">
        <v>0</v>
      </c>
      <c r="D73" s="2530">
        <v>304188</v>
      </c>
      <c r="E73" s="2530">
        <v>379</v>
      </c>
      <c r="F73" s="2530">
        <v>0</v>
      </c>
      <c r="G73" s="2887">
        <v>0</v>
      </c>
      <c r="H73" s="2479" t="str">
        <f t="shared" si="2"/>
        <v xml:space="preserve">OREGON - 01RESD0006-RES TIME-OF-DA               </v>
      </c>
      <c r="J73" s="2501"/>
      <c r="K73" s="2886"/>
    </row>
    <row r="74" spans="1:11" ht="16.7" customHeight="1" x14ac:dyDescent="0.2">
      <c r="A74" s="2749">
        <f t="shared" si="4"/>
        <v>1.0609999999999933</v>
      </c>
      <c r="B74" s="2512" t="s">
        <v>8429</v>
      </c>
      <c r="C74" s="2530">
        <v>0</v>
      </c>
      <c r="D74" s="2530">
        <v>25261249</v>
      </c>
      <c r="E74" s="2530">
        <v>32810</v>
      </c>
      <c r="F74" s="2530">
        <v>0</v>
      </c>
      <c r="G74" s="2887">
        <v>0</v>
      </c>
      <c r="H74" s="2479" t="str">
        <f t="shared" si="2"/>
        <v>OREGON - 01RESD0007-OR RESIDENTIAL LOW INCOME</v>
      </c>
      <c r="J74" s="2501"/>
      <c r="K74" s="2886"/>
    </row>
    <row r="75" spans="1:11" ht="16.7" customHeight="1" x14ac:dyDescent="0.2">
      <c r="A75" s="2749">
        <f t="shared" si="4"/>
        <v>1.0619999999999932</v>
      </c>
      <c r="B75" s="2512" t="s">
        <v>8430</v>
      </c>
      <c r="C75" s="2530">
        <v>0</v>
      </c>
      <c r="D75" s="2530">
        <v>727801</v>
      </c>
      <c r="E75" s="2530">
        <v>817</v>
      </c>
      <c r="F75" s="2530">
        <v>0</v>
      </c>
      <c r="G75" s="2887">
        <v>0</v>
      </c>
      <c r="H75" s="2479" t="str">
        <f t="shared" si="2"/>
        <v>OREGON - 01RESD004T - RES Time Option</v>
      </c>
      <c r="J75" s="2501"/>
      <c r="K75" s="2886"/>
    </row>
    <row r="76" spans="1:11" ht="16.7" customHeight="1" x14ac:dyDescent="0.2">
      <c r="A76" s="2749">
        <f t="shared" si="4"/>
        <v>1.0629999999999931</v>
      </c>
      <c r="B76" s="2512" t="s">
        <v>8431</v>
      </c>
      <c r="C76" s="2530">
        <v>0</v>
      </c>
      <c r="D76" s="2530">
        <v>47289</v>
      </c>
      <c r="E76" s="2530">
        <v>56</v>
      </c>
      <c r="F76" s="2530">
        <v>0</v>
      </c>
      <c r="G76" s="2887">
        <v>0</v>
      </c>
      <c r="H76" s="2479" t="str">
        <f t="shared" si="2"/>
        <v>OREGON - 01RESD007T-OR TOU RESIDENTIAL LOW INCOME</v>
      </c>
      <c r="J76" s="2501"/>
      <c r="K76" s="2886"/>
    </row>
    <row r="77" spans="1:11" ht="16.7" customHeight="1" x14ac:dyDescent="0.2">
      <c r="A77" s="2749">
        <f t="shared" si="4"/>
        <v>1.063999999999993</v>
      </c>
      <c r="B77" s="2512" t="s">
        <v>8432</v>
      </c>
      <c r="C77" s="2530">
        <v>0</v>
      </c>
      <c r="D77" s="2530">
        <v>15870</v>
      </c>
      <c r="E77" s="2530">
        <v>21</v>
      </c>
      <c r="F77" s="2530">
        <v>0</v>
      </c>
      <c r="G77" s="2887">
        <v>0</v>
      </c>
      <c r="H77" s="2479" t="str">
        <f t="shared" si="2"/>
        <v>OREGON - 01RESD0607-OR RES TOU PILOT LOW INC</v>
      </c>
      <c r="J77" s="2501"/>
      <c r="K77" s="2886"/>
    </row>
    <row r="78" spans="1:11" ht="16.7" customHeight="1" x14ac:dyDescent="0.2">
      <c r="A78" s="2749">
        <f t="shared" si="4"/>
        <v>1.0649999999999928</v>
      </c>
      <c r="B78" s="2512" t="s">
        <v>8433</v>
      </c>
      <c r="C78" s="2530">
        <v>0</v>
      </c>
      <c r="D78" s="2530">
        <v>11183</v>
      </c>
      <c r="E78" s="2530">
        <v>1</v>
      </c>
      <c r="F78" s="2530">
        <v>0</v>
      </c>
      <c r="G78" s="2887">
        <v>0</v>
      </c>
      <c r="H78" s="2479" t="str">
        <f t="shared" si="2"/>
        <v>OREGON - 01RGNS2807-RES GEN SVC &gt; 30 KW LOW INC</v>
      </c>
      <c r="J78" s="2501"/>
      <c r="K78" s="2886"/>
    </row>
    <row r="79" spans="1:11" ht="16.7" customHeight="1" x14ac:dyDescent="0.2">
      <c r="A79" s="2749">
        <f t="shared" si="4"/>
        <v>1.0659999999999927</v>
      </c>
      <c r="B79" s="2512" t="s">
        <v>8434</v>
      </c>
      <c r="C79" s="2530">
        <v>0</v>
      </c>
      <c r="D79" s="2530">
        <v>8694398</v>
      </c>
      <c r="E79" s="2530">
        <v>16851</v>
      </c>
      <c r="F79" s="2530">
        <v>0</v>
      </c>
      <c r="G79" s="2887">
        <v>0</v>
      </c>
      <c r="H79" s="2479" t="str">
        <f t="shared" si="2"/>
        <v>OREGON - 01RGNSB023-SMALL GENERAL SVC-RES</v>
      </c>
      <c r="J79" s="2501"/>
      <c r="K79" s="2886"/>
    </row>
    <row r="80" spans="1:11" ht="16.7" customHeight="1" x14ac:dyDescent="0.2">
      <c r="A80" s="2749">
        <f t="shared" si="4"/>
        <v>1.0669999999999926</v>
      </c>
      <c r="B80" s="2512" t="s">
        <v>8435</v>
      </c>
      <c r="C80" s="2530">
        <v>0</v>
      </c>
      <c r="D80" s="2530">
        <v>1650665</v>
      </c>
      <c r="E80" s="2530">
        <v>218</v>
      </c>
      <c r="F80" s="2530">
        <v>0</v>
      </c>
      <c r="G80" s="2887">
        <v>0</v>
      </c>
      <c r="H80" s="2479" t="str">
        <f t="shared" si="2"/>
        <v>OREGON - 01RGNSB028 - GENERAL SVC &gt; 30 KW - RES</v>
      </c>
      <c r="J80" s="2501"/>
      <c r="K80" s="2886"/>
    </row>
    <row r="81" spans="1:11" ht="16.7" customHeight="1" x14ac:dyDescent="0.2">
      <c r="A81" s="2749">
        <f t="shared" si="4"/>
        <v>1.0679999999999925</v>
      </c>
      <c r="B81" s="2512" t="s">
        <v>8436</v>
      </c>
      <c r="C81" s="2530">
        <v>0</v>
      </c>
      <c r="D81" s="2530">
        <v>0</v>
      </c>
      <c r="E81" s="2530">
        <v>0.08</v>
      </c>
      <c r="F81" s="2530">
        <v>0</v>
      </c>
      <c r="G81" s="2887">
        <v>0</v>
      </c>
      <c r="H81" s="2479" t="str">
        <f t="shared" si="2"/>
        <v>OREGON - 01RGNSB029-OR RES GEN SVC TOU PILOT</v>
      </c>
      <c r="J81" s="2501"/>
      <c r="K81" s="2886"/>
    </row>
    <row r="82" spans="1:11" ht="16.7" customHeight="1" x14ac:dyDescent="0.2">
      <c r="A82" s="2749">
        <f t="shared" si="4"/>
        <v>1.0689999999999924</v>
      </c>
      <c r="B82" s="2512" t="s">
        <v>8437</v>
      </c>
      <c r="C82" s="2530">
        <v>0</v>
      </c>
      <c r="D82" s="2530">
        <v>2340</v>
      </c>
      <c r="E82" s="2530">
        <v>3</v>
      </c>
      <c r="F82" s="2530">
        <v>0</v>
      </c>
      <c r="G82" s="2887">
        <v>0</v>
      </c>
      <c r="H82" s="2479" t="str">
        <f t="shared" si="2"/>
        <v>OREGON - 01RGNSB23T-RES GEN SVC TOU PORTFOLIO</v>
      </c>
      <c r="J82" s="2501"/>
      <c r="K82" s="2886"/>
    </row>
    <row r="83" spans="1:11" ht="16.7" customHeight="1" x14ac:dyDescent="0.2">
      <c r="A83" s="2749">
        <f t="shared" si="4"/>
        <v>1.0699999999999923</v>
      </c>
      <c r="B83" s="2512" t="s">
        <v>8438</v>
      </c>
      <c r="C83" s="2530">
        <v>0</v>
      </c>
      <c r="D83" s="2530">
        <v>145225</v>
      </c>
      <c r="E83" s="2530">
        <v>341</v>
      </c>
      <c r="F83" s="2530">
        <v>0</v>
      </c>
      <c r="G83" s="2887">
        <v>0</v>
      </c>
      <c r="H83" s="2479" t="str">
        <f t="shared" si="2"/>
        <v>OREGON - 01RNETM023-NET METER RESIDENTIAL GEN SVC</v>
      </c>
      <c r="J83" s="2501"/>
      <c r="K83" s="2886"/>
    </row>
    <row r="84" spans="1:11" ht="16.7" customHeight="1" x14ac:dyDescent="0.2">
      <c r="A84" s="2749">
        <f t="shared" si="4"/>
        <v>1.0709999999999922</v>
      </c>
      <c r="B84" s="2512" t="s">
        <v>8439</v>
      </c>
      <c r="C84" s="2530">
        <v>0</v>
      </c>
      <c r="D84" s="2530">
        <v>85759</v>
      </c>
      <c r="E84" s="2530">
        <v>7</v>
      </c>
      <c r="F84" s="2530">
        <v>0</v>
      </c>
      <c r="G84" s="2887">
        <v>0</v>
      </c>
      <c r="H84" s="2479" t="str">
        <f t="shared" si="2"/>
        <v>OREGON - 01RNETM028-NET METER RESIDENTIAL GEN SVC</v>
      </c>
      <c r="J84" s="2501"/>
      <c r="K84" s="2886"/>
    </row>
    <row r="85" spans="1:11" ht="16.7" customHeight="1" x14ac:dyDescent="0.2">
      <c r="A85" s="2749">
        <f t="shared" si="4"/>
        <v>1.0719999999999921</v>
      </c>
      <c r="B85" s="2512" t="s">
        <v>8440</v>
      </c>
      <c r="C85" s="2530">
        <v>0</v>
      </c>
      <c r="D85" s="2530">
        <v>0</v>
      </c>
      <c r="E85" s="2530">
        <v>2</v>
      </c>
      <c r="F85" s="2530">
        <v>0</v>
      </c>
      <c r="G85" s="2887">
        <v>0</v>
      </c>
      <c r="H85" s="2479" t="str">
        <f t="shared" si="2"/>
        <v xml:space="preserve">OREGON - 01UPPL000R-BASE SCH FALL                </v>
      </c>
      <c r="J85" s="2501"/>
      <c r="K85" s="2886"/>
    </row>
    <row r="86" spans="1:11" ht="16.7" customHeight="1" x14ac:dyDescent="0.2">
      <c r="A86" s="2749">
        <f t="shared" si="4"/>
        <v>1.072999999999992</v>
      </c>
      <c r="B86" s="2512" t="s">
        <v>8441</v>
      </c>
      <c r="C86" s="2530">
        <v>0</v>
      </c>
      <c r="D86" s="2530">
        <v>482849</v>
      </c>
      <c r="E86" s="2530">
        <v>458</v>
      </c>
      <c r="F86" s="2530">
        <v>0</v>
      </c>
      <c r="G86" s="2887">
        <v>0</v>
      </c>
      <c r="H86" s="2479" t="str">
        <f t="shared" si="2"/>
        <v>OREGON - 01VIR04136-OR RES VOLUME INCENTIVE</v>
      </c>
      <c r="J86" s="2501"/>
      <c r="K86" s="2886"/>
    </row>
    <row r="87" spans="1:11" ht="16.7" customHeight="1" x14ac:dyDescent="0.2">
      <c r="A87" s="2749">
        <f t="shared" si="4"/>
        <v>1.0739999999999919</v>
      </c>
      <c r="B87" s="2512" t="s">
        <v>8442</v>
      </c>
      <c r="C87" s="2530">
        <v>0</v>
      </c>
      <c r="D87" s="2530">
        <v>1933</v>
      </c>
      <c r="E87" s="2530">
        <v>3</v>
      </c>
      <c r="F87" s="2530">
        <v>0</v>
      </c>
      <c r="G87" s="2887">
        <v>0</v>
      </c>
      <c r="H87" s="2479" t="str">
        <f t="shared" si="2"/>
        <v>OREGON - 01VIR06136-OR RES VOLUME INCENTIVE</v>
      </c>
      <c r="J87" s="2501"/>
      <c r="K87" s="2886"/>
    </row>
    <row r="88" spans="1:11" ht="16.7" customHeight="1" x14ac:dyDescent="0.2">
      <c r="A88" s="2749">
        <f t="shared" si="4"/>
        <v>1.0749999999999917</v>
      </c>
      <c r="B88" s="2512" t="s">
        <v>8443</v>
      </c>
      <c r="C88" s="2530">
        <v>0</v>
      </c>
      <c r="D88" s="2530">
        <v>5651</v>
      </c>
      <c r="E88" s="2530">
        <v>7</v>
      </c>
      <c r="F88" s="2530">
        <v>0</v>
      </c>
      <c r="G88" s="2887">
        <v>0</v>
      </c>
      <c r="H88" s="2479" t="str">
        <f t="shared" si="2"/>
        <v>OREGON - 01VIR07136-OR RES VOLUME INCNTV LOW INC</v>
      </c>
      <c r="J88" s="2501"/>
      <c r="K88" s="2886"/>
    </row>
    <row r="89" spans="1:11" ht="16.7" customHeight="1" x14ac:dyDescent="0.2">
      <c r="A89" s="2749">
        <f t="shared" si="4"/>
        <v>1.0759999999999916</v>
      </c>
      <c r="B89" s="2512" t="s">
        <v>8444</v>
      </c>
      <c r="C89" s="2530">
        <v>0</v>
      </c>
      <c r="D89" s="2530">
        <v>-1106712</v>
      </c>
      <c r="E89" s="2530">
        <v>0</v>
      </c>
      <c r="F89" s="2530">
        <v>0</v>
      </c>
      <c r="G89" s="2887">
        <v>0</v>
      </c>
      <c r="H89" s="2479" t="str">
        <f t="shared" si="2"/>
        <v>OREGON - REVENUE_ACCOUNTING ADJUSTMENTS</v>
      </c>
      <c r="J89" s="2501"/>
      <c r="K89" s="2886"/>
    </row>
    <row r="90" spans="1:11" ht="16.7" customHeight="1" x14ac:dyDescent="0.2">
      <c r="A90" s="2749">
        <f t="shared" si="4"/>
        <v>1.0769999999999915</v>
      </c>
      <c r="B90" s="2512" t="s">
        <v>8445</v>
      </c>
      <c r="C90" s="2530">
        <v>0</v>
      </c>
      <c r="D90" s="2530">
        <v>1916315</v>
      </c>
      <c r="E90" s="2530">
        <v>0</v>
      </c>
      <c r="F90" s="2530">
        <v>0</v>
      </c>
      <c r="G90" s="2887">
        <v>0</v>
      </c>
      <c r="H90" s="2479" t="str">
        <f t="shared" si="2"/>
        <v>OREGON - SOLAR FEED-IN REVENUE</v>
      </c>
      <c r="J90" s="2501"/>
      <c r="K90" s="2886"/>
    </row>
    <row r="91" spans="1:11" ht="16.7" customHeight="1" x14ac:dyDescent="0.2">
      <c r="A91" s="2749">
        <f t="shared" si="4"/>
        <v>1.0779999999999914</v>
      </c>
      <c r="B91" s="2512" t="s">
        <v>8446</v>
      </c>
      <c r="C91" s="2530">
        <v>0</v>
      </c>
      <c r="D91" s="2530">
        <v>941297</v>
      </c>
      <c r="E91" s="2530">
        <v>0</v>
      </c>
      <c r="F91" s="2530">
        <v>0</v>
      </c>
      <c r="G91" s="2887">
        <v>0</v>
      </c>
      <c r="H91" s="2479" t="str">
        <f t="shared" si="2"/>
        <v>OREGON - OTHER CUSTOMER RETAIL REVENUE</v>
      </c>
      <c r="J91" s="2501"/>
      <c r="K91" s="2886"/>
    </row>
    <row r="92" spans="1:11" ht="16.7" customHeight="1" x14ac:dyDescent="0.2">
      <c r="A92" s="2749">
        <f t="shared" si="4"/>
        <v>1.0789999999999913</v>
      </c>
      <c r="B92" s="2512" t="s">
        <v>8447</v>
      </c>
      <c r="C92" s="2530">
        <v>0</v>
      </c>
      <c r="D92" s="2530">
        <v>405180</v>
      </c>
      <c r="E92" s="2530">
        <v>0</v>
      </c>
      <c r="F92" s="2530">
        <v>0</v>
      </c>
      <c r="G92" s="2887">
        <v>0</v>
      </c>
      <c r="H92" s="2479" t="str">
        <f t="shared" si="2"/>
        <v>OREGON - COMMUNITY SOLAR REVENUE</v>
      </c>
      <c r="J92" s="2501"/>
      <c r="K92" s="2886"/>
    </row>
    <row r="93" spans="1:11" ht="16.7" customHeight="1" x14ac:dyDescent="0.2">
      <c r="A93" s="2749">
        <f t="shared" si="4"/>
        <v>1.0799999999999912</v>
      </c>
      <c r="B93" s="2512" t="s">
        <v>8448</v>
      </c>
      <c r="C93" s="2530">
        <v>0</v>
      </c>
      <c r="D93" s="2530">
        <v>28260766</v>
      </c>
      <c r="E93" s="2530">
        <v>0</v>
      </c>
      <c r="F93" s="2530">
        <v>0</v>
      </c>
      <c r="G93" s="2887">
        <v>0</v>
      </c>
      <c r="H93" s="2479" t="str">
        <f t="shared" si="2"/>
        <v>OREGON - DSM REVENUE-RESIDENTIAL</v>
      </c>
      <c r="J93" s="2501"/>
      <c r="K93" s="2886"/>
    </row>
    <row r="94" spans="1:11" ht="16.7" customHeight="1" x14ac:dyDescent="0.2">
      <c r="A94" s="2749">
        <f t="shared" si="4"/>
        <v>1.0809999999999911</v>
      </c>
      <c r="B94" s="2512" t="s">
        <v>8449</v>
      </c>
      <c r="C94" s="2530">
        <v>0</v>
      </c>
      <c r="D94" s="2530">
        <v>658005</v>
      </c>
      <c r="E94" s="2530">
        <v>0</v>
      </c>
      <c r="F94" s="2530">
        <v>0</v>
      </c>
      <c r="G94" s="2887">
        <v>0</v>
      </c>
      <c r="H94" s="2479" t="str">
        <f t="shared" si="2"/>
        <v>OREGON - BLUE SKY REVENUE-RESIDENTIAL</v>
      </c>
      <c r="J94" s="2501"/>
      <c r="K94" s="2886"/>
    </row>
    <row r="95" spans="1:11" ht="16.7" customHeight="1" x14ac:dyDescent="0.2">
      <c r="A95" s="2489"/>
      <c r="B95" s="2512"/>
      <c r="C95" s="2488"/>
      <c r="D95" s="2488"/>
      <c r="E95" s="2488"/>
      <c r="F95" s="2488"/>
      <c r="G95" s="2488"/>
      <c r="H95" s="2479"/>
      <c r="J95" s="2501"/>
      <c r="K95" s="2886"/>
    </row>
    <row r="96" spans="1:11" ht="16.7" customHeight="1" x14ac:dyDescent="0.2">
      <c r="A96" s="2489"/>
      <c r="B96" s="2669" t="s">
        <v>8450</v>
      </c>
      <c r="C96" s="2488"/>
      <c r="D96" s="2488"/>
      <c r="E96" s="2488"/>
      <c r="F96" s="2488"/>
      <c r="G96" s="2488"/>
      <c r="H96" s="2479" t="str">
        <f t="shared" ref="H96:H159" si="5">B96</f>
        <v>UTAH</v>
      </c>
      <c r="J96" s="2501"/>
      <c r="K96" s="2886"/>
    </row>
    <row r="97" spans="1:11" ht="16.7" customHeight="1" x14ac:dyDescent="0.2">
      <c r="A97" s="2749">
        <f>A94+0.001</f>
        <v>1.081999999999991</v>
      </c>
      <c r="B97" s="2512" t="s">
        <v>8451</v>
      </c>
      <c r="C97" s="2530">
        <v>0</v>
      </c>
      <c r="D97" s="2530">
        <v>-4</v>
      </c>
      <c r="E97" s="2530">
        <v>0</v>
      </c>
      <c r="F97" s="2530">
        <v>0</v>
      </c>
      <c r="G97" s="2887">
        <v>0</v>
      </c>
      <c r="H97" s="2479" t="str">
        <f t="shared" si="5"/>
        <v xml:space="preserve">UTAH - 08BLSKY01R-BLUESKY ENERGY               </v>
      </c>
      <c r="J97" s="2501"/>
      <c r="K97" s="2886"/>
    </row>
    <row r="98" spans="1:11" ht="16.7" customHeight="1" x14ac:dyDescent="0.2">
      <c r="A98" s="2749">
        <f t="shared" ref="A98:A154" si="6">A97+0.001</f>
        <v>1.0829999999999909</v>
      </c>
      <c r="B98" s="2512" t="s">
        <v>8452</v>
      </c>
      <c r="C98" s="2530">
        <v>0</v>
      </c>
      <c r="D98" s="2530">
        <v>568</v>
      </c>
      <c r="E98" s="2530">
        <v>0</v>
      </c>
      <c r="F98" s="2530">
        <v>0</v>
      </c>
      <c r="G98" s="2887">
        <v>0</v>
      </c>
      <c r="H98" s="2479" t="str">
        <f t="shared" si="5"/>
        <v xml:space="preserve">UTAH - 08CFR00001-MTH FACILITY S               </v>
      </c>
      <c r="J98" s="2501"/>
      <c r="K98" s="2886"/>
    </row>
    <row r="99" spans="1:11" ht="16.7" customHeight="1" x14ac:dyDescent="0.2">
      <c r="A99" s="2749">
        <f t="shared" si="6"/>
        <v>1.0839999999999907</v>
      </c>
      <c r="B99" s="2512" t="s">
        <v>8453</v>
      </c>
      <c r="C99" s="2530">
        <v>631</v>
      </c>
      <c r="D99" s="2530">
        <v>69549</v>
      </c>
      <c r="E99" s="2530">
        <v>71</v>
      </c>
      <c r="F99" s="2530">
        <v>8887</v>
      </c>
      <c r="G99" s="2887">
        <v>0.11020000000000001</v>
      </c>
      <c r="H99" s="2479" t="str">
        <f t="shared" si="5"/>
        <v>UTAH - 08CGENR136-UT RES TRANSITION GENERATION</v>
      </c>
      <c r="J99" s="2501"/>
      <c r="K99" s="2886"/>
    </row>
    <row r="100" spans="1:11" ht="16.7" customHeight="1" x14ac:dyDescent="0.2">
      <c r="A100" s="2749">
        <f t="shared" si="6"/>
        <v>1.0849999999999906</v>
      </c>
      <c r="B100" s="2512" t="s">
        <v>8454</v>
      </c>
      <c r="C100" s="2530">
        <v>3369</v>
      </c>
      <c r="D100" s="2530">
        <v>340900</v>
      </c>
      <c r="E100" s="2530">
        <v>600</v>
      </c>
      <c r="F100" s="2530">
        <v>5615</v>
      </c>
      <c r="G100" s="2887">
        <v>0.1012</v>
      </c>
      <c r="H100" s="2479" t="str">
        <f t="shared" si="5"/>
        <v>UTAH - 08CGNSL136-UT RES TRANSITION GEN-SOLEIL</v>
      </c>
      <c r="J100" s="2501"/>
      <c r="K100" s="2886"/>
    </row>
    <row r="101" spans="1:11" ht="16.7" customHeight="1" x14ac:dyDescent="0.2">
      <c r="A101" s="2749">
        <f t="shared" si="6"/>
        <v>1.0859999999999905</v>
      </c>
      <c r="B101" s="2512" t="s">
        <v>8455</v>
      </c>
      <c r="C101" s="2530">
        <v>152689</v>
      </c>
      <c r="D101" s="2530">
        <v>16619276</v>
      </c>
      <c r="E101" s="2530">
        <v>17118</v>
      </c>
      <c r="F101" s="2530">
        <v>8920</v>
      </c>
      <c r="G101" s="2887">
        <v>0.10879999999999999</v>
      </c>
      <c r="H101" s="2479" t="str">
        <f t="shared" si="5"/>
        <v>UTAH - 08CGR01136-UTAH RESIDENTIAL TRANS GEN</v>
      </c>
      <c r="J101" s="2501"/>
      <c r="K101" s="2886"/>
    </row>
    <row r="102" spans="1:11" ht="16.7" customHeight="1" x14ac:dyDescent="0.2">
      <c r="A102" s="2749">
        <f t="shared" si="6"/>
        <v>1.0869999999999904</v>
      </c>
      <c r="B102" s="2512" t="s">
        <v>8456</v>
      </c>
      <c r="C102" s="2530">
        <v>138848</v>
      </c>
      <c r="D102" s="2530">
        <v>15188106</v>
      </c>
      <c r="E102" s="2530">
        <v>17322</v>
      </c>
      <c r="F102" s="2530">
        <v>8016</v>
      </c>
      <c r="G102" s="2887">
        <v>0.1094</v>
      </c>
      <c r="H102" s="2479" t="str">
        <f t="shared" si="5"/>
        <v>UTAH - 08CGR01137-UT RES CUST GENERATION 137</v>
      </c>
      <c r="J102" s="2501"/>
      <c r="K102" s="2886"/>
    </row>
    <row r="103" spans="1:11" ht="16.7" customHeight="1" x14ac:dyDescent="0.2">
      <c r="A103" s="2749">
        <f t="shared" si="6"/>
        <v>1.0879999999999903</v>
      </c>
      <c r="B103" s="2512" t="s">
        <v>8457</v>
      </c>
      <c r="C103" s="2530">
        <v>235</v>
      </c>
      <c r="D103" s="2530">
        <v>24858</v>
      </c>
      <c r="E103" s="2530">
        <v>23</v>
      </c>
      <c r="F103" s="2530">
        <v>10217</v>
      </c>
      <c r="G103" s="2887">
        <v>0.10580000000000001</v>
      </c>
      <c r="H103" s="2479" t="str">
        <f t="shared" si="5"/>
        <v>UTAH - 08CGR02136-UT RES TOU TRANSITION GEN</v>
      </c>
      <c r="J103" s="2501"/>
      <c r="K103" s="2886"/>
    </row>
    <row r="104" spans="1:11" ht="16.7" customHeight="1" x14ac:dyDescent="0.2">
      <c r="A104" s="2749">
        <f t="shared" si="6"/>
        <v>1.0889999999999902</v>
      </c>
      <c r="B104" s="2512" t="s">
        <v>8458</v>
      </c>
      <c r="C104" s="2530">
        <v>262</v>
      </c>
      <c r="D104" s="2530">
        <v>27727</v>
      </c>
      <c r="E104" s="2530">
        <v>29</v>
      </c>
      <c r="F104" s="2530">
        <v>9034</v>
      </c>
      <c r="G104" s="2887">
        <v>0.10580000000000001</v>
      </c>
      <c r="H104" s="2479" t="str">
        <f t="shared" si="5"/>
        <v>UTAH - 08CGR02137-UT RES TOU CUST GEN 137</v>
      </c>
      <c r="J104" s="2501"/>
      <c r="K104" s="2886"/>
    </row>
    <row r="105" spans="1:11" ht="16.7" customHeight="1" x14ac:dyDescent="0.2">
      <c r="A105" s="2749">
        <f t="shared" si="6"/>
        <v>1.0899999999999901</v>
      </c>
      <c r="B105" s="2512" t="s">
        <v>8459</v>
      </c>
      <c r="C105" s="2530">
        <v>1016</v>
      </c>
      <c r="D105" s="2530">
        <v>110473</v>
      </c>
      <c r="E105" s="2672">
        <v>115</v>
      </c>
      <c r="F105" s="2530">
        <v>8835</v>
      </c>
      <c r="G105" s="2887">
        <v>0.1087</v>
      </c>
      <c r="H105" s="2479" t="str">
        <f t="shared" si="5"/>
        <v>UTAH - 08CGR03136-UTAH LOW INC RES TRANS GEN</v>
      </c>
      <c r="J105" s="2501"/>
      <c r="K105" s="2886"/>
    </row>
    <row r="106" spans="1:11" ht="16.7" customHeight="1" x14ac:dyDescent="0.2">
      <c r="A106" s="2749">
        <f t="shared" si="6"/>
        <v>1.09099999999999</v>
      </c>
      <c r="B106" s="2512" t="s">
        <v>8460</v>
      </c>
      <c r="C106" s="2530">
        <v>658</v>
      </c>
      <c r="D106" s="2530">
        <v>72162</v>
      </c>
      <c r="E106" s="2530">
        <v>83</v>
      </c>
      <c r="F106" s="2530">
        <v>7928</v>
      </c>
      <c r="G106" s="2887">
        <v>0.10970000000000001</v>
      </c>
      <c r="H106" s="2479" t="str">
        <f t="shared" si="5"/>
        <v>UTAH - 08CGR03137-UT LOW INC RES CUST GEN 137</v>
      </c>
      <c r="J106" s="2501"/>
      <c r="K106" s="2886"/>
    </row>
    <row r="107" spans="1:11" ht="16.7" customHeight="1" x14ac:dyDescent="0.2">
      <c r="A107" s="2749">
        <f t="shared" si="6"/>
        <v>1.0919999999999899</v>
      </c>
      <c r="B107" s="2512" t="s">
        <v>8461</v>
      </c>
      <c r="C107" s="2530">
        <v>241</v>
      </c>
      <c r="D107" s="2530">
        <v>23313</v>
      </c>
      <c r="E107" s="2530">
        <v>2</v>
      </c>
      <c r="F107" s="2530">
        <v>120500</v>
      </c>
      <c r="G107" s="2887">
        <v>9.6699999999999994E-2</v>
      </c>
      <c r="H107" s="2479" t="str">
        <f t="shared" si="5"/>
        <v>UTAH - 08CGR06136-RES USE, GEN SVC RATE, MANUAL</v>
      </c>
      <c r="J107" s="2501"/>
      <c r="K107" s="2886"/>
    </row>
    <row r="108" spans="1:11" ht="16.7" customHeight="1" x14ac:dyDescent="0.2">
      <c r="A108" s="2749">
        <f t="shared" si="6"/>
        <v>1.0929999999999898</v>
      </c>
      <c r="B108" s="2512" t="s">
        <v>8462</v>
      </c>
      <c r="C108" s="2530">
        <v>658</v>
      </c>
      <c r="D108" s="2530">
        <v>59395</v>
      </c>
      <c r="E108" s="2530">
        <v>9</v>
      </c>
      <c r="F108" s="2530">
        <v>73111</v>
      </c>
      <c r="G108" s="2887">
        <v>9.0300000000000005E-2</v>
      </c>
      <c r="H108" s="2479" t="str">
        <f t="shared" si="5"/>
        <v>UTAH - 08CGR23136-RESIDENTIAL SMALL GEN SVC</v>
      </c>
      <c r="J108" s="2501"/>
      <c r="K108" s="2886"/>
    </row>
    <row r="109" spans="1:11" ht="16.7" customHeight="1" x14ac:dyDescent="0.2">
      <c r="A109" s="2749">
        <f t="shared" si="6"/>
        <v>1.0939999999999896</v>
      </c>
      <c r="B109" s="2512" t="s">
        <v>8463</v>
      </c>
      <c r="C109" s="2530">
        <v>386</v>
      </c>
      <c r="D109" s="2888">
        <f>39786+1</f>
        <v>39787</v>
      </c>
      <c r="E109" s="2530">
        <v>35</v>
      </c>
      <c r="F109" s="2530">
        <v>11029</v>
      </c>
      <c r="G109" s="2887">
        <v>0.1031</v>
      </c>
      <c r="H109" s="2479" t="str">
        <f t="shared" si="5"/>
        <v>UTAH - 08CGR23137-RES SM GEN SVC - CUST GEN 137</v>
      </c>
      <c r="J109" s="2501"/>
      <c r="K109" s="2886"/>
    </row>
    <row r="110" spans="1:11" ht="16.7" customHeight="1" x14ac:dyDescent="0.2">
      <c r="A110" s="2749">
        <f t="shared" si="6"/>
        <v>1.0949999999999895</v>
      </c>
      <c r="B110" s="2512" t="s">
        <v>8464</v>
      </c>
      <c r="C110" s="2530">
        <v>361</v>
      </c>
      <c r="D110" s="2530">
        <v>29487</v>
      </c>
      <c r="E110" s="2530">
        <v>31</v>
      </c>
      <c r="F110" s="2530">
        <v>11645</v>
      </c>
      <c r="G110" s="2887">
        <v>8.1699999999999995E-2</v>
      </c>
      <c r="H110" s="2479" t="str">
        <f t="shared" si="5"/>
        <v>UTAH - 08CGR2E136-UT RES EV TOU PILOT-TRAN GEN</v>
      </c>
      <c r="J110" s="2501"/>
      <c r="K110" s="2886"/>
    </row>
    <row r="111" spans="1:11" ht="16.7" customHeight="1" x14ac:dyDescent="0.2">
      <c r="A111" s="2749">
        <f t="shared" si="6"/>
        <v>1.0959999999999894</v>
      </c>
      <c r="B111" s="2512" t="s">
        <v>8465</v>
      </c>
      <c r="C111" s="2530">
        <v>880</v>
      </c>
      <c r="D111" s="2530">
        <v>70066</v>
      </c>
      <c r="E111" s="2530">
        <v>70</v>
      </c>
      <c r="F111" s="2530">
        <v>12571</v>
      </c>
      <c r="G111" s="2887">
        <v>7.9600000000000004E-2</v>
      </c>
      <c r="H111" s="2479" t="str">
        <f t="shared" si="5"/>
        <v>UTAH - 08CGR2E137-UT RES EV TOU PILOT CUST GEN</v>
      </c>
      <c r="J111" s="2501"/>
      <c r="K111" s="2886"/>
    </row>
    <row r="112" spans="1:11" ht="16.7" customHeight="1" x14ac:dyDescent="0.2">
      <c r="A112" s="2749">
        <f t="shared" si="6"/>
        <v>1.0969999999999893</v>
      </c>
      <c r="B112" s="2512" t="s">
        <v>8466</v>
      </c>
      <c r="C112" s="2530">
        <v>271</v>
      </c>
      <c r="D112" s="2530">
        <v>30317</v>
      </c>
      <c r="E112" s="2530">
        <v>41</v>
      </c>
      <c r="F112" s="2530">
        <v>6610</v>
      </c>
      <c r="G112" s="2887">
        <v>0.1119</v>
      </c>
      <c r="H112" s="2479" t="str">
        <f t="shared" si="5"/>
        <v>UTAH - 08CGRA1137-UT RES CUST GEN AGGEGATED</v>
      </c>
      <c r="J112" s="2501"/>
      <c r="K112" s="2886"/>
    </row>
    <row r="113" spans="1:11" ht="16.7" customHeight="1" x14ac:dyDescent="0.2">
      <c r="A113" s="2749">
        <f t="shared" si="6"/>
        <v>1.0979999999999892</v>
      </c>
      <c r="B113" s="2512" t="s">
        <v>8467</v>
      </c>
      <c r="C113" s="2530">
        <v>95</v>
      </c>
      <c r="D113" s="2530">
        <v>10429</v>
      </c>
      <c r="E113" s="2530">
        <v>13</v>
      </c>
      <c r="F113" s="2530">
        <v>7308</v>
      </c>
      <c r="G113" s="2887">
        <v>0.10979999999999999</v>
      </c>
      <c r="H113" s="2479" t="str">
        <f t="shared" si="5"/>
        <v>UTAH - 08CGRW1136-UT RES TRANS GEN-WATTSMART</v>
      </c>
      <c r="J113" s="2501"/>
      <c r="K113" s="2886"/>
    </row>
    <row r="114" spans="1:11" ht="16.7" customHeight="1" x14ac:dyDescent="0.2">
      <c r="A114" s="2749">
        <f t="shared" si="6"/>
        <v>1.0989999999999891</v>
      </c>
      <c r="B114" s="2512" t="s">
        <v>8468</v>
      </c>
      <c r="C114" s="2530">
        <v>4890</v>
      </c>
      <c r="D114" s="2530">
        <v>547326</v>
      </c>
      <c r="E114" s="2530">
        <v>867</v>
      </c>
      <c r="F114" s="2530">
        <v>5640</v>
      </c>
      <c r="G114" s="2887">
        <v>0.1119</v>
      </c>
      <c r="H114" s="2479" t="str">
        <f t="shared" si="5"/>
        <v>UTAH - 08CGRW1137-UT RES CUST GEN 137-WATTSMART</v>
      </c>
      <c r="J114" s="2501"/>
      <c r="K114" s="2886"/>
    </row>
    <row r="115" spans="1:11" ht="16.7" customHeight="1" x14ac:dyDescent="0.2">
      <c r="A115" s="2749">
        <f t="shared" si="6"/>
        <v>1.099999999999989</v>
      </c>
      <c r="B115" s="2512" t="s">
        <v>8469</v>
      </c>
      <c r="C115" s="2530">
        <v>605</v>
      </c>
      <c r="D115" s="2530">
        <v>62832</v>
      </c>
      <c r="E115" s="2530">
        <v>51</v>
      </c>
      <c r="F115" s="2530">
        <v>11863</v>
      </c>
      <c r="G115" s="2887">
        <v>0.10390000000000001</v>
      </c>
      <c r="H115" s="2479" t="str">
        <f t="shared" si="5"/>
        <v>UTAH - 08CGS23136-RES SMALL GEN SVC MANUAL</v>
      </c>
      <c r="J115" s="2501"/>
      <c r="K115" s="2886"/>
    </row>
    <row r="116" spans="1:11" ht="16.7" customHeight="1" x14ac:dyDescent="0.2">
      <c r="A116" s="2749">
        <f t="shared" si="6"/>
        <v>1.1009999999999889</v>
      </c>
      <c r="B116" s="2512" t="s">
        <v>8470</v>
      </c>
      <c r="C116" s="2530">
        <v>4</v>
      </c>
      <c r="D116" s="2530">
        <v>333</v>
      </c>
      <c r="E116" s="2530">
        <v>1</v>
      </c>
      <c r="F116" s="2530">
        <v>4000</v>
      </c>
      <c r="G116" s="2887">
        <v>8.3400000000000002E-2</v>
      </c>
      <c r="H116" s="2479" t="str">
        <f t="shared" si="5"/>
        <v>UTAH - 08CGW2E137-RES EV TOU PILOT-CUST GEN 137</v>
      </c>
      <c r="J116" s="2501"/>
      <c r="K116" s="2886"/>
    </row>
    <row r="117" spans="1:11" ht="16.7" customHeight="1" x14ac:dyDescent="0.2">
      <c r="A117" s="2749">
        <f t="shared" si="6"/>
        <v>1.1019999999999888</v>
      </c>
      <c r="B117" s="2512" t="s">
        <v>8471</v>
      </c>
      <c r="C117" s="2530">
        <v>0</v>
      </c>
      <c r="D117" s="2530">
        <v>0</v>
      </c>
      <c r="E117" s="2530">
        <v>1</v>
      </c>
      <c r="F117" s="2530">
        <v>0</v>
      </c>
      <c r="G117" s="2887">
        <v>0</v>
      </c>
      <c r="H117" s="2479" t="str">
        <f t="shared" si="5"/>
        <v xml:space="preserve">UTAH - 08CHCK000R-UT RES CHECK M               </v>
      </c>
      <c r="J117" s="2501"/>
      <c r="K117" s="2886"/>
    </row>
    <row r="118" spans="1:11" ht="16.7" customHeight="1" x14ac:dyDescent="0.2">
      <c r="A118" s="2749">
        <f t="shared" si="6"/>
        <v>1.1029999999999887</v>
      </c>
      <c r="B118" s="2512" t="s">
        <v>8472</v>
      </c>
      <c r="C118" s="2530">
        <v>0</v>
      </c>
      <c r="D118" s="2530">
        <v>1</v>
      </c>
      <c r="E118" s="2530">
        <v>0</v>
      </c>
      <c r="F118" s="2530">
        <v>0</v>
      </c>
      <c r="G118" s="2887">
        <v>0</v>
      </c>
      <c r="H118" s="2479" t="str">
        <f t="shared" si="5"/>
        <v>UTAH - 08COOLKPRR - Utah Cool Keeper Program</v>
      </c>
      <c r="J118" s="2501"/>
      <c r="K118" s="2886"/>
    </row>
    <row r="119" spans="1:11" ht="16.7" customHeight="1" x14ac:dyDescent="0.2">
      <c r="A119" s="2749">
        <f t="shared" si="6"/>
        <v>1.1039999999999885</v>
      </c>
      <c r="B119" s="2512" t="s">
        <v>8473</v>
      </c>
      <c r="C119" s="2530">
        <v>5</v>
      </c>
      <c r="D119" s="2530">
        <v>654</v>
      </c>
      <c r="E119" s="2530">
        <v>1</v>
      </c>
      <c r="F119" s="2530">
        <v>5000</v>
      </c>
      <c r="G119" s="2887">
        <v>0.1308</v>
      </c>
      <c r="H119" s="2479" t="str">
        <f t="shared" si="5"/>
        <v>UTAH - 08CRA23137-UT RES SML GEN SVC 137 AGGREG</v>
      </c>
      <c r="J119" s="2501"/>
      <c r="K119" s="2886"/>
    </row>
    <row r="120" spans="1:11" ht="16.7" customHeight="1" x14ac:dyDescent="0.2">
      <c r="A120" s="2749">
        <f t="shared" si="6"/>
        <v>1.1049999999999884</v>
      </c>
      <c r="B120" s="2512" t="s">
        <v>8474</v>
      </c>
      <c r="C120" s="2530">
        <v>0</v>
      </c>
      <c r="D120" s="2530">
        <v>8215</v>
      </c>
      <c r="E120" s="2530">
        <v>0</v>
      </c>
      <c r="F120" s="2530">
        <v>0</v>
      </c>
      <c r="G120" s="2887">
        <v>0</v>
      </c>
      <c r="H120" s="2479" t="str">
        <f t="shared" si="5"/>
        <v xml:space="preserve">UTAH - 08LNX00001-MTHLY 80% GUAR               </v>
      </c>
      <c r="J120" s="2501"/>
      <c r="K120" s="2886"/>
    </row>
    <row r="121" spans="1:11" ht="16.7" customHeight="1" x14ac:dyDescent="0.2">
      <c r="A121" s="2749">
        <f t="shared" si="6"/>
        <v>1.1059999999999883</v>
      </c>
      <c r="B121" s="2512" t="s">
        <v>8475</v>
      </c>
      <c r="C121" s="2530">
        <v>0</v>
      </c>
      <c r="D121" s="2530">
        <v>24345</v>
      </c>
      <c r="E121" s="2530">
        <v>0</v>
      </c>
      <c r="F121" s="2530">
        <v>0</v>
      </c>
      <c r="G121" s="2887">
        <v>0</v>
      </c>
      <c r="H121" s="2479" t="str">
        <f t="shared" si="5"/>
        <v xml:space="preserve">UTAH - 08LNX00013-80% MNTHLY MIN               </v>
      </c>
      <c r="J121" s="2501"/>
      <c r="K121" s="2886"/>
    </row>
    <row r="122" spans="1:11" ht="16.7" customHeight="1" x14ac:dyDescent="0.2">
      <c r="A122" s="2749">
        <f t="shared" si="6"/>
        <v>1.1069999999999882</v>
      </c>
      <c r="B122" s="2512" t="s">
        <v>8476</v>
      </c>
      <c r="C122" s="2530">
        <v>0</v>
      </c>
      <c r="D122" s="2530">
        <v>1224</v>
      </c>
      <c r="E122" s="2530">
        <v>0</v>
      </c>
      <c r="F122" s="2530">
        <v>0</v>
      </c>
      <c r="G122" s="2887">
        <v>0</v>
      </c>
      <c r="H122" s="2479" t="str">
        <f t="shared" si="5"/>
        <v xml:space="preserve">UTAH - 08LNX00108-ANN COST MTHLY               </v>
      </c>
      <c r="J122" s="2501"/>
      <c r="K122" s="2886"/>
    </row>
    <row r="123" spans="1:11" ht="16.7" customHeight="1" x14ac:dyDescent="0.2">
      <c r="A123" s="2749">
        <f t="shared" si="6"/>
        <v>1.1079999999999881</v>
      </c>
      <c r="B123" s="2512" t="s">
        <v>8477</v>
      </c>
      <c r="C123" s="2530">
        <v>11104</v>
      </c>
      <c r="D123" s="2530">
        <v>838313</v>
      </c>
      <c r="E123" s="2530">
        <v>9</v>
      </c>
      <c r="F123" s="2530">
        <v>1233778</v>
      </c>
      <c r="G123" s="2887">
        <v>7.5499999999999998E-2</v>
      </c>
      <c r="H123" s="2479" t="str">
        <f t="shared" si="5"/>
        <v>UTAH - 08MHTP0006-MOBILE HOME &amp; TRAILER</v>
      </c>
      <c r="J123" s="2501"/>
      <c r="K123" s="2886"/>
    </row>
    <row r="124" spans="1:11" ht="16.7" customHeight="1" x14ac:dyDescent="0.2">
      <c r="A124" s="2749">
        <f t="shared" si="6"/>
        <v>1.108999999999988</v>
      </c>
      <c r="B124" s="2512" t="s">
        <v>8478</v>
      </c>
      <c r="C124" s="2530">
        <v>143</v>
      </c>
      <c r="D124" s="2530">
        <v>11193</v>
      </c>
      <c r="E124" s="2530">
        <v>1</v>
      </c>
      <c r="F124" s="2530">
        <v>143000</v>
      </c>
      <c r="G124" s="2887">
        <v>7.8299999999999995E-2</v>
      </c>
      <c r="H124" s="2479" t="str">
        <f t="shared" si="5"/>
        <v>UTAH - 08MHTP0023-MOBILE HOME &amp; TRAILER</v>
      </c>
      <c r="J124" s="2501"/>
      <c r="K124" s="2886"/>
    </row>
    <row r="125" spans="1:11" ht="16.7" customHeight="1" x14ac:dyDescent="0.2">
      <c r="A125" s="2749">
        <f t="shared" si="6"/>
        <v>1.1099999999999879</v>
      </c>
      <c r="B125" s="2512" t="s">
        <v>8479</v>
      </c>
      <c r="C125" s="2530">
        <v>0</v>
      </c>
      <c r="D125" s="2530">
        <v>925</v>
      </c>
      <c r="E125" s="2530">
        <v>3</v>
      </c>
      <c r="F125" s="2530">
        <v>0</v>
      </c>
      <c r="G125" s="2887">
        <v>0</v>
      </c>
      <c r="H125" s="2479" t="str">
        <f t="shared" si="5"/>
        <v>UTAH - 08NETAGFEE-&gt; 6 NET METER AGGREGATION FEE</v>
      </c>
      <c r="J125" s="2501"/>
      <c r="K125" s="2886"/>
    </row>
    <row r="126" spans="1:11" ht="16.7" customHeight="1" x14ac:dyDescent="0.2">
      <c r="A126" s="2749">
        <f t="shared" si="6"/>
        <v>1.1109999999999878</v>
      </c>
      <c r="B126" s="2512" t="s">
        <v>8480</v>
      </c>
      <c r="C126" s="2530">
        <v>164513</v>
      </c>
      <c r="D126" s="2530">
        <v>19267283</v>
      </c>
      <c r="E126" s="2530">
        <v>29546</v>
      </c>
      <c r="F126" s="2530">
        <v>5568</v>
      </c>
      <c r="G126" s="2887">
        <v>0.1171</v>
      </c>
      <c r="H126" s="2479" t="str">
        <f t="shared" si="5"/>
        <v>UTAH - 08NETMT135 - Net Metering</v>
      </c>
      <c r="J126" s="2501"/>
      <c r="K126" s="2886"/>
    </row>
    <row r="127" spans="1:11" ht="16.7" customHeight="1" x14ac:dyDescent="0.2">
      <c r="A127" s="2749">
        <f t="shared" si="6"/>
        <v>1.1119999999999877</v>
      </c>
      <c r="B127" s="2512" t="s">
        <v>8481</v>
      </c>
      <c r="C127" s="2530">
        <v>25</v>
      </c>
      <c r="D127" s="2530">
        <v>3119</v>
      </c>
      <c r="E127" s="2530">
        <v>8</v>
      </c>
      <c r="F127" s="2530">
        <v>3125</v>
      </c>
      <c r="G127" s="2887">
        <v>0.12470000000000001</v>
      </c>
      <c r="H127" s="2479" t="str">
        <f t="shared" si="5"/>
        <v>UTAH - 08NETMW135-UT RES NET METER-WATTSMART</v>
      </c>
      <c r="J127" s="2501"/>
      <c r="K127" s="2886"/>
    </row>
    <row r="128" spans="1:11" ht="16.7" customHeight="1" x14ac:dyDescent="0.2">
      <c r="A128" s="2749">
        <f t="shared" si="6"/>
        <v>1.1129999999999876</v>
      </c>
      <c r="B128" s="2512" t="s">
        <v>8482</v>
      </c>
      <c r="C128" s="2530">
        <v>1449</v>
      </c>
      <c r="D128" s="2763">
        <f>156617+1</f>
        <v>156618</v>
      </c>
      <c r="E128" s="2763">
        <f>192-1</f>
        <v>191</v>
      </c>
      <c r="F128" s="2530">
        <v>7547</v>
      </c>
      <c r="G128" s="2887">
        <v>0.1081</v>
      </c>
      <c r="H128" s="2479" t="str">
        <f t="shared" si="5"/>
        <v>UTAH - 08NMT03135-LOW INCOME RES NET METERING</v>
      </c>
      <c r="J128" s="2501"/>
      <c r="K128" s="2886"/>
    </row>
    <row r="129" spans="1:11" ht="16.7" customHeight="1" x14ac:dyDescent="0.2">
      <c r="A129" s="2749">
        <f t="shared" si="6"/>
        <v>1.1139999999999874</v>
      </c>
      <c r="B129" s="2512" t="s">
        <v>8483</v>
      </c>
      <c r="C129" s="2530">
        <v>2025</v>
      </c>
      <c r="D129" s="2530">
        <v>346222</v>
      </c>
      <c r="E129" s="2530">
        <v>2136</v>
      </c>
      <c r="F129" s="2530">
        <v>948</v>
      </c>
      <c r="G129" s="2887">
        <v>0.17100000000000001</v>
      </c>
      <c r="H129" s="2479" t="str">
        <f t="shared" si="5"/>
        <v xml:space="preserve">UTAH - 08OALT007R-SECURITY AR LG               </v>
      </c>
      <c r="J129" s="2501"/>
      <c r="K129" s="2886"/>
    </row>
    <row r="130" spans="1:11" ht="16.7" customHeight="1" x14ac:dyDescent="0.2">
      <c r="A130" s="2749">
        <f t="shared" si="6"/>
        <v>1.1149999999999873</v>
      </c>
      <c r="B130" s="2512" t="s">
        <v>8484</v>
      </c>
      <c r="C130" s="2530">
        <v>1</v>
      </c>
      <c r="D130" s="2530">
        <v>72</v>
      </c>
      <c r="E130" s="2530">
        <v>2</v>
      </c>
      <c r="F130" s="2530">
        <v>500</v>
      </c>
      <c r="G130" s="2887">
        <v>7.2099999999999997E-2</v>
      </c>
      <c r="H130" s="2479" t="str">
        <f t="shared" si="5"/>
        <v xml:space="preserve">UTAH - 08PTLD000R-POST TOP LIGHT               </v>
      </c>
      <c r="J130" s="2501"/>
      <c r="K130" s="2886"/>
    </row>
    <row r="131" spans="1:11" ht="16.7" customHeight="1" x14ac:dyDescent="0.2">
      <c r="A131" s="2749">
        <f t="shared" si="6"/>
        <v>1.1159999999999872</v>
      </c>
      <c r="B131" s="2512" t="s">
        <v>8485</v>
      </c>
      <c r="C131" s="2530">
        <v>222</v>
      </c>
      <c r="D131" s="2530">
        <v>20537</v>
      </c>
      <c r="E131" s="2530">
        <v>15</v>
      </c>
      <c r="F131" s="2530">
        <v>14800</v>
      </c>
      <c r="G131" s="2887">
        <v>9.2499999999999999E-2</v>
      </c>
      <c r="H131" s="2479" t="str">
        <f t="shared" si="5"/>
        <v>UTAH - 08RCG23136-RES NET METER, SMALL GEN SVC</v>
      </c>
      <c r="J131" s="2501"/>
      <c r="K131" s="2886"/>
    </row>
    <row r="132" spans="1:11" ht="16.7" customHeight="1" x14ac:dyDescent="0.2">
      <c r="A132" s="2749">
        <f t="shared" si="6"/>
        <v>1.1169999999999871</v>
      </c>
      <c r="B132" s="2512" t="s">
        <v>8486</v>
      </c>
      <c r="C132" s="2530">
        <v>7338621</v>
      </c>
      <c r="D132" s="2530">
        <v>799452437</v>
      </c>
      <c r="E132" s="2530">
        <v>827114</v>
      </c>
      <c r="F132" s="2530">
        <v>8873</v>
      </c>
      <c r="G132" s="2887">
        <v>0.1089</v>
      </c>
      <c r="H132" s="2479" t="str">
        <f t="shared" si="5"/>
        <v xml:space="preserve">UTAH - 08RESD0001-RES SRVC                     </v>
      </c>
      <c r="J132" s="2501"/>
      <c r="K132" s="2886"/>
    </row>
    <row r="133" spans="1:11" ht="16.7" customHeight="1" x14ac:dyDescent="0.2">
      <c r="A133" s="2749">
        <f t="shared" si="6"/>
        <v>1.117999999999987</v>
      </c>
      <c r="B133" s="2512" t="s">
        <v>8487</v>
      </c>
      <c r="C133" s="2530">
        <v>4039</v>
      </c>
      <c r="D133" s="2530">
        <v>434903</v>
      </c>
      <c r="E133" s="2530">
        <v>442</v>
      </c>
      <c r="F133" s="2530">
        <v>9138</v>
      </c>
      <c r="G133" s="2887">
        <v>0.1077</v>
      </c>
      <c r="H133" s="2479" t="str">
        <f t="shared" si="5"/>
        <v xml:space="preserve">UTAH - 08RESD0002-RES SRVC-OPTIO               </v>
      </c>
      <c r="J133" s="2501"/>
      <c r="K133" s="2886"/>
    </row>
    <row r="134" spans="1:11" ht="16.7" customHeight="1" x14ac:dyDescent="0.2">
      <c r="A134" s="2749">
        <f t="shared" si="6"/>
        <v>1.1189999999999869</v>
      </c>
      <c r="B134" s="2512" t="s">
        <v>8488</v>
      </c>
      <c r="C134" s="2530">
        <v>144229</v>
      </c>
      <c r="D134" s="2530">
        <v>15487506</v>
      </c>
      <c r="E134" s="2530">
        <v>18736</v>
      </c>
      <c r="F134" s="2530">
        <v>7698</v>
      </c>
      <c r="G134" s="2887">
        <v>0.1074</v>
      </c>
      <c r="H134" s="2479" t="str">
        <f t="shared" si="5"/>
        <v xml:space="preserve">UTAH - 08RESD0003-LIFELINE PRGRM               </v>
      </c>
      <c r="J134" s="2501"/>
      <c r="K134" s="2886"/>
    </row>
    <row r="135" spans="1:11" ht="16.7" customHeight="1" x14ac:dyDescent="0.2">
      <c r="A135" s="2749">
        <f t="shared" si="6"/>
        <v>1.1199999999999868</v>
      </c>
      <c r="B135" s="2512" t="s">
        <v>8489</v>
      </c>
      <c r="C135" s="2530">
        <v>11483</v>
      </c>
      <c r="D135" s="2530">
        <v>1046982</v>
      </c>
      <c r="E135" s="2530">
        <v>765</v>
      </c>
      <c r="F135" s="2530">
        <v>15010</v>
      </c>
      <c r="G135" s="2887">
        <v>9.1200000000000003E-2</v>
      </c>
      <c r="H135" s="2479" t="str">
        <f t="shared" si="5"/>
        <v>UTAH - 08RESD002E-RES ELCTRC VEHICLE TOU PILOT</v>
      </c>
      <c r="J135" s="2501"/>
      <c r="K135" s="2886"/>
    </row>
    <row r="136" spans="1:11" ht="16.7" customHeight="1" x14ac:dyDescent="0.2">
      <c r="A136" s="2749">
        <f t="shared" si="6"/>
        <v>1.1209999999999867</v>
      </c>
      <c r="B136" s="2512" t="s">
        <v>8490</v>
      </c>
      <c r="C136" s="2530">
        <v>37</v>
      </c>
      <c r="D136" s="2530">
        <v>3896</v>
      </c>
      <c r="E136" s="2530">
        <v>3</v>
      </c>
      <c r="F136" s="2530">
        <v>12333</v>
      </c>
      <c r="G136" s="2887">
        <v>0.1053</v>
      </c>
      <c r="H136" s="2479" t="str">
        <f t="shared" si="5"/>
        <v>UTAH - 08RESD003E-UT RES LOW INC ELEC V TOU PLT</v>
      </c>
      <c r="J136" s="2501"/>
      <c r="K136" s="2886"/>
    </row>
    <row r="137" spans="1:11" ht="16.7" customHeight="1" x14ac:dyDescent="0.2">
      <c r="A137" s="2749">
        <f t="shared" si="6"/>
        <v>1.1219999999999866</v>
      </c>
      <c r="B137" s="2512" t="s">
        <v>8491</v>
      </c>
      <c r="C137" s="2530">
        <v>126884</v>
      </c>
      <c r="D137" s="2530">
        <v>9533909</v>
      </c>
      <c r="E137" s="2530">
        <v>315</v>
      </c>
      <c r="F137" s="2530">
        <v>402806</v>
      </c>
      <c r="G137" s="2887">
        <v>7.51E-2</v>
      </c>
      <c r="H137" s="2479" t="str">
        <f t="shared" si="5"/>
        <v>UTAH - 08RGNSV006-GEN SRVC-RES</v>
      </c>
      <c r="J137" s="2501"/>
      <c r="K137" s="2886"/>
    </row>
    <row r="138" spans="1:11" ht="16.7" customHeight="1" x14ac:dyDescent="0.2">
      <c r="A138" s="2749">
        <f t="shared" si="6"/>
        <v>1.1229999999999865</v>
      </c>
      <c r="B138" s="2512" t="s">
        <v>8492</v>
      </c>
      <c r="C138" s="2530">
        <v>740</v>
      </c>
      <c r="D138" s="2530">
        <v>52534</v>
      </c>
      <c r="E138" s="2530">
        <v>1</v>
      </c>
      <c r="F138" s="2530">
        <v>740000</v>
      </c>
      <c r="G138" s="2887">
        <v>7.0999999999999994E-2</v>
      </c>
      <c r="H138" s="2479" t="str">
        <f t="shared" si="5"/>
        <v>UTAH - 08RGNSV008-UT RESIDENTIAL GENERAL SVC</v>
      </c>
      <c r="J138" s="2501"/>
      <c r="K138" s="2886"/>
    </row>
    <row r="139" spans="1:11" ht="16.7" customHeight="1" x14ac:dyDescent="0.2">
      <c r="A139" s="2749">
        <f t="shared" si="6"/>
        <v>1.1239999999999863</v>
      </c>
      <c r="B139" s="2512" t="s">
        <v>8493</v>
      </c>
      <c r="C139" s="2530">
        <v>105965</v>
      </c>
      <c r="D139" s="2530">
        <v>11278655</v>
      </c>
      <c r="E139" s="2530">
        <v>14491</v>
      </c>
      <c r="F139" s="2530">
        <v>7312</v>
      </c>
      <c r="G139" s="2887">
        <v>0.10639999999999999</v>
      </c>
      <c r="H139" s="2479" t="str">
        <f t="shared" si="5"/>
        <v>UTAH - 08RGNSV023-GEN SRVC-RES</v>
      </c>
      <c r="J139" s="2501"/>
      <c r="K139" s="2886"/>
    </row>
    <row r="140" spans="1:11" ht="16.7" customHeight="1" x14ac:dyDescent="0.2">
      <c r="A140" s="2749">
        <f t="shared" si="6"/>
        <v>1.1249999999999862</v>
      </c>
      <c r="B140" s="2512" t="s">
        <v>8494</v>
      </c>
      <c r="C140" s="2530">
        <v>8698</v>
      </c>
      <c r="D140" s="2530">
        <v>688130</v>
      </c>
      <c r="E140" s="2530">
        <v>30</v>
      </c>
      <c r="F140" s="2530">
        <v>289933</v>
      </c>
      <c r="G140" s="2887">
        <v>7.9100000000000004E-2</v>
      </c>
      <c r="H140" s="2479" t="str">
        <f t="shared" si="5"/>
        <v>UTAH - 08RGNSV06A-UT SMALL GENERAL SVC-RES-TOU</v>
      </c>
      <c r="J140" s="2501"/>
      <c r="K140" s="2886"/>
    </row>
    <row r="141" spans="1:11" ht="16.7" customHeight="1" x14ac:dyDescent="0.2">
      <c r="A141" s="2749">
        <f t="shared" si="6"/>
        <v>1.1259999999999861</v>
      </c>
      <c r="B141" s="2512" t="s">
        <v>8495</v>
      </c>
      <c r="C141" s="2530">
        <v>3529</v>
      </c>
      <c r="D141" s="2530">
        <v>288487</v>
      </c>
      <c r="E141" s="2530">
        <v>11</v>
      </c>
      <c r="F141" s="2530">
        <v>320818</v>
      </c>
      <c r="G141" s="2887">
        <v>8.1699999999999995E-2</v>
      </c>
      <c r="H141" s="2479" t="str">
        <f t="shared" si="5"/>
        <v>UTAH - 08RNM06135 - UT NET MTR, GEN SVC-RES</v>
      </c>
      <c r="J141" s="2501"/>
      <c r="K141" s="2886"/>
    </row>
    <row r="142" spans="1:11" ht="16.7" customHeight="1" x14ac:dyDescent="0.2">
      <c r="A142" s="2749">
        <f t="shared" si="6"/>
        <v>1.126999999999986</v>
      </c>
      <c r="B142" s="2512" t="s">
        <v>8496</v>
      </c>
      <c r="C142" s="2530">
        <v>1492</v>
      </c>
      <c r="D142" s="2530">
        <v>179788</v>
      </c>
      <c r="E142" s="2530">
        <v>415</v>
      </c>
      <c r="F142" s="2530">
        <v>3595</v>
      </c>
      <c r="G142" s="2887">
        <v>0.1205</v>
      </c>
      <c r="H142" s="2479" t="str">
        <f t="shared" si="5"/>
        <v>UTAH - 08RNM23135 - UT NET MTR, GEN SVC-RES</v>
      </c>
      <c r="J142" s="2501"/>
      <c r="K142" s="2886"/>
    </row>
    <row r="143" spans="1:11" ht="16.7" customHeight="1" x14ac:dyDescent="0.2">
      <c r="A143" s="2749">
        <f t="shared" si="6"/>
        <v>1.1279999999999859</v>
      </c>
      <c r="B143" s="2512" t="s">
        <v>8497</v>
      </c>
      <c r="C143" s="2530">
        <v>141</v>
      </c>
      <c r="D143" s="2530">
        <v>13069</v>
      </c>
      <c r="E143" s="2530">
        <v>3</v>
      </c>
      <c r="F143" s="2530">
        <v>47000</v>
      </c>
      <c r="G143" s="2887">
        <v>9.2700000000000005E-2</v>
      </c>
      <c r="H143" s="2479" t="str">
        <f t="shared" si="5"/>
        <v>UTAH - 08RNM6A135-RES GEN SVC NET METERING</v>
      </c>
      <c r="J143" s="2501"/>
      <c r="K143" s="2886"/>
    </row>
    <row r="144" spans="1:11" ht="16.7" customHeight="1" x14ac:dyDescent="0.2">
      <c r="A144" s="2749">
        <f t="shared" si="6"/>
        <v>1.1289999999999858</v>
      </c>
      <c r="B144" s="2512" t="s">
        <v>8498</v>
      </c>
      <c r="C144" s="2530">
        <v>0</v>
      </c>
      <c r="D144" s="2530">
        <v>1858</v>
      </c>
      <c r="E144" s="2530">
        <v>0</v>
      </c>
      <c r="F144" s="2530">
        <v>0</v>
      </c>
      <c r="G144" s="2887">
        <v>0</v>
      </c>
      <c r="H144" s="2479" t="str">
        <f t="shared" si="5"/>
        <v>UTAH - 08RTCVLNGA-TCV LNX GAR</v>
      </c>
      <c r="J144" s="2501"/>
      <c r="K144" s="2886"/>
    </row>
    <row r="145" spans="1:11" ht="16.7" customHeight="1" x14ac:dyDescent="0.2">
      <c r="A145" s="2749">
        <f t="shared" si="6"/>
        <v>1.1299999999999857</v>
      </c>
      <c r="B145" s="2512" t="s">
        <v>8499</v>
      </c>
      <c r="C145" s="2530">
        <v>27085</v>
      </c>
      <c r="D145" s="2530">
        <v>3225797</v>
      </c>
      <c r="E145" s="2530">
        <v>0</v>
      </c>
      <c r="F145" s="2530">
        <v>0</v>
      </c>
      <c r="G145" s="2887">
        <v>0.1191</v>
      </c>
      <c r="H145" s="2479" t="str">
        <f t="shared" si="5"/>
        <v>UTAH - 08SSLR0001 - RESIDENTIAL SUBSCRB SOLAR</v>
      </c>
      <c r="J145" s="2501"/>
      <c r="K145" s="2886"/>
    </row>
    <row r="146" spans="1:11" ht="16.7" customHeight="1" x14ac:dyDescent="0.2">
      <c r="A146" s="2749">
        <f t="shared" si="6"/>
        <v>1.1309999999999856</v>
      </c>
      <c r="B146" s="2512" t="s">
        <v>8500</v>
      </c>
      <c r="C146" s="2530">
        <v>272</v>
      </c>
      <c r="D146" s="2530">
        <v>32541</v>
      </c>
      <c r="E146" s="2530">
        <v>22</v>
      </c>
      <c r="F146" s="2530">
        <v>12364</v>
      </c>
      <c r="G146" s="2887">
        <v>0.1196</v>
      </c>
      <c r="H146" s="2479" t="str">
        <f t="shared" si="5"/>
        <v>UTAH - 08SSLR0003-RES LOW INC SUBSCR SOLAR</v>
      </c>
      <c r="J146" s="2501"/>
      <c r="K146" s="2886"/>
    </row>
    <row r="147" spans="1:11" ht="16.7" customHeight="1" x14ac:dyDescent="0.2">
      <c r="A147" s="2749">
        <f t="shared" si="6"/>
        <v>1.1319999999999855</v>
      </c>
      <c r="B147" s="2512" t="s">
        <v>8501</v>
      </c>
      <c r="C147" s="2530">
        <v>51</v>
      </c>
      <c r="D147" s="2530">
        <v>7394</v>
      </c>
      <c r="E147" s="2530">
        <v>17</v>
      </c>
      <c r="F147" s="2530">
        <v>3000</v>
      </c>
      <c r="G147" s="2887">
        <v>0.14499999999999999</v>
      </c>
      <c r="H147" s="2479" t="str">
        <f t="shared" si="5"/>
        <v>UTAH - 08SSLRRG23-RES SMALL GEN SV SUBSCR SOLAR</v>
      </c>
      <c r="J147" s="2501"/>
      <c r="K147" s="2886"/>
    </row>
    <row r="148" spans="1:11" ht="16.7" customHeight="1" x14ac:dyDescent="0.2">
      <c r="A148" s="2749">
        <f t="shared" si="6"/>
        <v>1.1329999999999854</v>
      </c>
      <c r="B148" s="2512" t="s">
        <v>8502</v>
      </c>
      <c r="C148" s="2530">
        <v>0</v>
      </c>
      <c r="D148" s="2530">
        <v>0</v>
      </c>
      <c r="E148" s="2530">
        <v>1</v>
      </c>
      <c r="F148" s="2530">
        <v>0</v>
      </c>
      <c r="G148" s="2887">
        <v>0</v>
      </c>
      <c r="H148" s="2479" t="str">
        <f t="shared" si="5"/>
        <v xml:space="preserve">UTAH - 08UPPL000R-BASE SCH FALL                </v>
      </c>
      <c r="J148" s="2501"/>
      <c r="K148" s="2886"/>
    </row>
    <row r="149" spans="1:11" ht="16.7" customHeight="1" x14ac:dyDescent="0.2">
      <c r="A149" s="2749">
        <f t="shared" si="6"/>
        <v>1.1339999999999852</v>
      </c>
      <c r="B149" s="2512" t="s">
        <v>8503</v>
      </c>
      <c r="C149" s="2530">
        <v>0</v>
      </c>
      <c r="D149" s="2530">
        <v>1162844</v>
      </c>
      <c r="E149" s="2530">
        <v>0</v>
      </c>
      <c r="F149" s="2530">
        <v>0</v>
      </c>
      <c r="G149" s="2887">
        <v>0</v>
      </c>
      <c r="H149" s="2479" t="str">
        <f t="shared" si="5"/>
        <v>UTAH - REVENUE_ACCOUNTING ADJUSTMENTS</v>
      </c>
      <c r="J149" s="2501"/>
      <c r="K149" s="2886"/>
    </row>
    <row r="150" spans="1:11" ht="16.7" customHeight="1" x14ac:dyDescent="0.2">
      <c r="A150" s="2749">
        <f t="shared" si="6"/>
        <v>1.1349999999999851</v>
      </c>
      <c r="B150" s="2512" t="s">
        <v>8504</v>
      </c>
      <c r="C150" s="2530">
        <v>0</v>
      </c>
      <c r="D150" s="2530">
        <v>39904316</v>
      </c>
      <c r="E150" s="2530">
        <v>0</v>
      </c>
      <c r="F150" s="2530">
        <v>0</v>
      </c>
      <c r="G150" s="2887">
        <v>0</v>
      </c>
      <c r="H150" s="2479" t="str">
        <f t="shared" si="5"/>
        <v>UTAH - REVENUE ADJUSTMENT - DEFERRED NPC</v>
      </c>
      <c r="J150" s="2501"/>
      <c r="K150" s="2886"/>
    </row>
    <row r="151" spans="1:11" ht="16.7" customHeight="1" x14ac:dyDescent="0.2">
      <c r="A151" s="2749">
        <f t="shared" si="6"/>
        <v>1.135999999999985</v>
      </c>
      <c r="B151" s="2512" t="s">
        <v>8505</v>
      </c>
      <c r="C151" s="2530">
        <v>0</v>
      </c>
      <c r="D151" s="2530">
        <v>-0.01</v>
      </c>
      <c r="E151" s="2530">
        <v>0</v>
      </c>
      <c r="F151" s="2530">
        <v>0</v>
      </c>
      <c r="G151" s="2887">
        <v>0</v>
      </c>
      <c r="H151" s="2479" t="str">
        <f t="shared" si="5"/>
        <v>UTAH - SOLAR FEED-IN REVENUE</v>
      </c>
      <c r="J151" s="2501"/>
      <c r="K151" s="2886"/>
    </row>
    <row r="152" spans="1:11" ht="16.7" customHeight="1" x14ac:dyDescent="0.2">
      <c r="A152" s="2749">
        <f t="shared" si="6"/>
        <v>1.1369999999999849</v>
      </c>
      <c r="B152" s="2512" t="s">
        <v>8506</v>
      </c>
      <c r="C152" s="2530">
        <v>0</v>
      </c>
      <c r="D152" s="2530">
        <v>671060</v>
      </c>
      <c r="E152" s="2530">
        <v>0</v>
      </c>
      <c r="F152" s="2530">
        <v>0</v>
      </c>
      <c r="G152" s="2887">
        <v>0</v>
      </c>
      <c r="H152" s="2479" t="str">
        <f t="shared" si="5"/>
        <v>UTAH - OTHER CUSTOMER RETAIL REVENUE</v>
      </c>
      <c r="J152" s="2501"/>
      <c r="K152" s="2886"/>
    </row>
    <row r="153" spans="1:11" ht="16.7" customHeight="1" x14ac:dyDescent="0.2">
      <c r="A153" s="2749">
        <f t="shared" si="6"/>
        <v>1.1379999999999848</v>
      </c>
      <c r="B153" s="2512" t="s">
        <v>8507</v>
      </c>
      <c r="C153" s="2530">
        <v>0</v>
      </c>
      <c r="D153" s="2530">
        <v>11815767</v>
      </c>
      <c r="E153" s="2530">
        <v>0</v>
      </c>
      <c r="F153" s="2530">
        <v>0</v>
      </c>
      <c r="G153" s="2887">
        <v>0</v>
      </c>
      <c r="H153" s="2479" t="str">
        <f t="shared" si="5"/>
        <v>UTAH - DSM REVENUE-RESIDENTIAL</v>
      </c>
      <c r="J153" s="2501"/>
      <c r="K153" s="2886"/>
    </row>
    <row r="154" spans="1:11" ht="16.7" customHeight="1" x14ac:dyDescent="0.2">
      <c r="A154" s="2749">
        <f t="shared" si="6"/>
        <v>1.1389999999999847</v>
      </c>
      <c r="B154" s="2512" t="s">
        <v>8508</v>
      </c>
      <c r="C154" s="2530">
        <v>0</v>
      </c>
      <c r="D154" s="2530">
        <v>1634904</v>
      </c>
      <c r="E154" s="2530">
        <v>0</v>
      </c>
      <c r="F154" s="2530">
        <v>0</v>
      </c>
      <c r="G154" s="2887">
        <v>0</v>
      </c>
      <c r="H154" s="2479" t="str">
        <f t="shared" si="5"/>
        <v>UTAH - BLUE SKY REVENUE-RESIDENTIAL</v>
      </c>
      <c r="J154" s="2501"/>
      <c r="K154" s="2886"/>
    </row>
    <row r="155" spans="1:11" ht="16.7" customHeight="1" x14ac:dyDescent="0.2">
      <c r="A155" s="2489"/>
      <c r="B155" s="2512"/>
      <c r="C155" s="2488"/>
      <c r="D155" s="2488"/>
      <c r="E155" s="2488"/>
      <c r="F155" s="2488"/>
      <c r="G155" s="2488"/>
      <c r="H155" s="2595">
        <f t="shared" si="5"/>
        <v>0</v>
      </c>
      <c r="J155" s="2501"/>
      <c r="K155" s="2886"/>
    </row>
    <row r="156" spans="1:11" ht="16.7" customHeight="1" x14ac:dyDescent="0.2">
      <c r="A156" s="2489"/>
      <c r="B156" s="2669" t="s">
        <v>8509</v>
      </c>
      <c r="C156" s="2488"/>
      <c r="D156" s="2488"/>
      <c r="E156" s="2488"/>
      <c r="F156" s="2488"/>
      <c r="G156" s="2488"/>
      <c r="H156" s="2479" t="str">
        <f t="shared" si="5"/>
        <v>WASHINGTON</v>
      </c>
      <c r="J156" s="2501"/>
      <c r="K156" s="2886"/>
    </row>
    <row r="157" spans="1:11" ht="16.7" customHeight="1" x14ac:dyDescent="0.2">
      <c r="A157" s="2749">
        <f>A154+0.001</f>
        <v>1.1399999999999846</v>
      </c>
      <c r="B157" s="2512" t="s">
        <v>8510</v>
      </c>
      <c r="C157" s="2530">
        <v>0</v>
      </c>
      <c r="D157" s="2530">
        <v>-0.08</v>
      </c>
      <c r="E157" s="2530">
        <v>0</v>
      </c>
      <c r="F157" s="2530">
        <v>0</v>
      </c>
      <c r="G157" s="2887">
        <v>0</v>
      </c>
      <c r="H157" s="2479" t="str">
        <f t="shared" si="5"/>
        <v xml:space="preserve">WASHINGTON - 02BLSKY01R-BLUESKY ENERGY               </v>
      </c>
      <c r="J157" s="2501"/>
      <c r="K157" s="2886"/>
    </row>
    <row r="158" spans="1:11" ht="16.7" customHeight="1" x14ac:dyDescent="0.2">
      <c r="A158" s="2749">
        <f t="shared" ref="A158:A180" si="7">A157+0.001</f>
        <v>1.1409999999999845</v>
      </c>
      <c r="B158" s="2512" t="s">
        <v>8511</v>
      </c>
      <c r="C158" s="2530">
        <v>0</v>
      </c>
      <c r="D158" s="2530">
        <v>0</v>
      </c>
      <c r="E158" s="2530">
        <v>1</v>
      </c>
      <c r="F158" s="2530">
        <v>0</v>
      </c>
      <c r="G158" s="2887">
        <v>0</v>
      </c>
      <c r="H158" s="2479" t="str">
        <f t="shared" si="5"/>
        <v xml:space="preserve">WASHINGTON - 02CHCK000R-WA RES CHECK M               </v>
      </c>
      <c r="J158" s="2501"/>
      <c r="K158" s="2886"/>
    </row>
    <row r="159" spans="1:11" ht="16.7" customHeight="1" x14ac:dyDescent="0.2">
      <c r="A159" s="2749">
        <f t="shared" si="7"/>
        <v>1.1419999999999844</v>
      </c>
      <c r="B159" s="2512" t="s">
        <v>8512</v>
      </c>
      <c r="C159" s="2530">
        <v>0</v>
      </c>
      <c r="D159" s="2530">
        <v>1101</v>
      </c>
      <c r="E159" s="2530">
        <v>0</v>
      </c>
      <c r="F159" s="2530">
        <v>0</v>
      </c>
      <c r="G159" s="2887">
        <v>0</v>
      </c>
      <c r="H159" s="2479" t="str">
        <f t="shared" si="5"/>
        <v xml:space="preserve">WASHINGTON - 02LNX00109-REF/NREF ADV +               </v>
      </c>
      <c r="J159" s="2501"/>
      <c r="K159" s="2886"/>
    </row>
    <row r="160" spans="1:11" ht="16.7" customHeight="1" x14ac:dyDescent="0.2">
      <c r="A160" s="2749">
        <f t="shared" si="7"/>
        <v>1.1429999999999843</v>
      </c>
      <c r="B160" s="2512" t="s">
        <v>8513</v>
      </c>
      <c r="C160" s="2530">
        <v>23346</v>
      </c>
      <c r="D160" s="2530">
        <v>2731652</v>
      </c>
      <c r="E160" s="2530">
        <v>2409</v>
      </c>
      <c r="F160" s="2530">
        <v>9691</v>
      </c>
      <c r="G160" s="2887">
        <v>0.11700000000000001</v>
      </c>
      <c r="H160" s="2479" t="str">
        <f t="shared" ref="H160:H212" si="8">B160</f>
        <v>WASHINGTON - 02NETMT135 - WA RES NET METERING</v>
      </c>
      <c r="J160" s="2501"/>
      <c r="K160" s="2886"/>
    </row>
    <row r="161" spans="1:11" ht="16.7" customHeight="1" x14ac:dyDescent="0.2">
      <c r="A161" s="2749">
        <f t="shared" si="7"/>
        <v>1.1439999999999841</v>
      </c>
      <c r="B161" s="2512" t="s">
        <v>8514</v>
      </c>
      <c r="C161" s="2530">
        <v>102</v>
      </c>
      <c r="D161" s="2530">
        <v>11689</v>
      </c>
      <c r="E161" s="2530">
        <v>12</v>
      </c>
      <c r="F161" s="2530">
        <v>8500</v>
      </c>
      <c r="G161" s="2887">
        <v>0.11459999999999999</v>
      </c>
      <c r="H161" s="2479" t="str">
        <f t="shared" si="8"/>
        <v>WASHINGTON - 02NMT17135-WA RES BILL ASSIST NET MTR</v>
      </c>
      <c r="J161" s="2501"/>
      <c r="K161" s="2886"/>
    </row>
    <row r="162" spans="1:11" ht="16.7" customHeight="1" x14ac:dyDescent="0.2">
      <c r="A162" s="2749">
        <f t="shared" si="7"/>
        <v>1.144999999999984</v>
      </c>
      <c r="B162" s="2512" t="s">
        <v>8515</v>
      </c>
      <c r="C162" s="2530">
        <v>6</v>
      </c>
      <c r="D162" s="2530">
        <v>1130</v>
      </c>
      <c r="E162" s="2530">
        <v>2</v>
      </c>
      <c r="F162" s="2530">
        <v>3000</v>
      </c>
      <c r="G162" s="2887">
        <v>0.1883</v>
      </c>
      <c r="H162" s="2479" t="str">
        <f t="shared" si="8"/>
        <v>WASHINGTON - 02NMT18135-WA 3 PHASE RES NET MTR</v>
      </c>
      <c r="J162" s="2501"/>
      <c r="K162" s="2886"/>
    </row>
    <row r="163" spans="1:11" ht="16.7" customHeight="1" x14ac:dyDescent="0.2">
      <c r="A163" s="2749">
        <f t="shared" si="7"/>
        <v>1.1459999999999839</v>
      </c>
      <c r="B163" s="2512" t="s">
        <v>8516</v>
      </c>
      <c r="C163" s="2530">
        <v>5</v>
      </c>
      <c r="D163" s="2530">
        <v>731</v>
      </c>
      <c r="E163" s="2530">
        <v>2</v>
      </c>
      <c r="F163" s="2530">
        <v>2500</v>
      </c>
      <c r="G163" s="2887">
        <v>0.14610000000000001</v>
      </c>
      <c r="H163" s="2479" t="str">
        <f t="shared" si="8"/>
        <v>WASHINGTON - 02NMT19135-RES TOU PILOT NET METERING</v>
      </c>
      <c r="J163" s="2501"/>
      <c r="K163" s="2886"/>
    </row>
    <row r="164" spans="1:11" ht="16.7" customHeight="1" x14ac:dyDescent="0.2">
      <c r="A164" s="2749">
        <f t="shared" si="7"/>
        <v>1.1469999999999838</v>
      </c>
      <c r="B164" s="2512" t="s">
        <v>8517</v>
      </c>
      <c r="C164" s="2530">
        <v>871</v>
      </c>
      <c r="D164" s="2530">
        <v>110250</v>
      </c>
      <c r="E164" s="2530">
        <v>962</v>
      </c>
      <c r="F164" s="2530">
        <v>905</v>
      </c>
      <c r="G164" s="2887">
        <v>0.12659999999999999</v>
      </c>
      <c r="H164" s="2479" t="str">
        <f t="shared" si="8"/>
        <v>WASHINGTON - 02OALTB15R-WA OUTD AR LGT RES</v>
      </c>
      <c r="J164" s="2501"/>
      <c r="K164" s="2886"/>
    </row>
    <row r="165" spans="1:11" ht="16.7" customHeight="1" x14ac:dyDescent="0.2">
      <c r="A165" s="2749">
        <f t="shared" si="7"/>
        <v>1.1479999999999837</v>
      </c>
      <c r="B165" s="2512" t="s">
        <v>8518</v>
      </c>
      <c r="C165" s="2530">
        <v>1504837</v>
      </c>
      <c r="D165" s="2530">
        <v>168208818</v>
      </c>
      <c r="E165" s="2530">
        <v>101244</v>
      </c>
      <c r="F165" s="2530">
        <v>14863</v>
      </c>
      <c r="G165" s="2887">
        <v>0.1118</v>
      </c>
      <c r="H165" s="2479" t="str">
        <f t="shared" si="8"/>
        <v xml:space="preserve">WASHINGTON - 02RESD0016-WA RES SRVC                  </v>
      </c>
      <c r="J165" s="2501"/>
      <c r="K165" s="2886"/>
    </row>
    <row r="166" spans="1:11" ht="16.7" customHeight="1" x14ac:dyDescent="0.2">
      <c r="A166" s="2749">
        <f t="shared" si="7"/>
        <v>1.1489999999999836</v>
      </c>
      <c r="B166" s="2512" t="s">
        <v>8519</v>
      </c>
      <c r="C166" s="2530">
        <v>128614</v>
      </c>
      <c r="D166" s="2530">
        <v>14403320</v>
      </c>
      <c r="E166" s="2530">
        <v>8163</v>
      </c>
      <c r="F166" s="2530">
        <v>15756</v>
      </c>
      <c r="G166" s="2887">
        <v>0.112</v>
      </c>
      <c r="H166" s="2479" t="str">
        <f t="shared" si="8"/>
        <v xml:space="preserve">WASHINGTON - 02RESD0017-BILL ASSISTANC               </v>
      </c>
      <c r="J166" s="2501"/>
      <c r="K166" s="2886"/>
    </row>
    <row r="167" spans="1:11" ht="16.7" customHeight="1" x14ac:dyDescent="0.2">
      <c r="A167" s="2749">
        <f t="shared" si="7"/>
        <v>1.1499999999999835</v>
      </c>
      <c r="B167" s="2512" t="s">
        <v>8520</v>
      </c>
      <c r="C167" s="2530">
        <v>2107</v>
      </c>
      <c r="D167" s="2530">
        <v>258790</v>
      </c>
      <c r="E167" s="2530">
        <v>73</v>
      </c>
      <c r="F167" s="2530">
        <v>28863</v>
      </c>
      <c r="G167" s="2887">
        <v>0.12280000000000001</v>
      </c>
      <c r="H167" s="2479" t="str">
        <f t="shared" si="8"/>
        <v xml:space="preserve">WASHINGTON - 02RESD0018-WA 3 PHASE RES               </v>
      </c>
      <c r="J167" s="2501"/>
      <c r="K167" s="2886"/>
    </row>
    <row r="168" spans="1:11" ht="16.7" customHeight="1" x14ac:dyDescent="0.2">
      <c r="A168" s="2749">
        <f t="shared" si="7"/>
        <v>1.1509999999999834</v>
      </c>
      <c r="B168" s="2512" t="s">
        <v>8521</v>
      </c>
      <c r="C168" s="2530">
        <v>245</v>
      </c>
      <c r="D168" s="2530">
        <v>29068</v>
      </c>
      <c r="E168" s="2530">
        <v>10</v>
      </c>
      <c r="F168" s="2530">
        <v>24500</v>
      </c>
      <c r="G168" s="2887">
        <v>0.1186</v>
      </c>
      <c r="H168" s="2479" t="str">
        <f t="shared" si="8"/>
        <v xml:space="preserve">WASHINGTON - 02RESD018X-WA 3 PHASE RES               </v>
      </c>
      <c r="J168" s="2501"/>
      <c r="K168" s="2886"/>
    </row>
    <row r="169" spans="1:11" ht="16.7" customHeight="1" x14ac:dyDescent="0.2">
      <c r="A169" s="2749">
        <f t="shared" si="7"/>
        <v>1.1519999999999833</v>
      </c>
      <c r="B169" s="2512" t="s">
        <v>8522</v>
      </c>
      <c r="C169" s="2530">
        <v>353</v>
      </c>
      <c r="D169" s="2530">
        <v>38118</v>
      </c>
      <c r="E169" s="2530">
        <v>23</v>
      </c>
      <c r="F169" s="2530">
        <v>15348</v>
      </c>
      <c r="G169" s="2887">
        <v>0.108</v>
      </c>
      <c r="H169" s="2479" t="str">
        <f t="shared" si="8"/>
        <v>WASHINGTON - 02RESD019T-WA RESIDENTIAL TOU PILOT</v>
      </c>
      <c r="J169" s="2501"/>
      <c r="K169" s="2886"/>
    </row>
    <row r="170" spans="1:11" ht="16.7" customHeight="1" x14ac:dyDescent="0.2">
      <c r="A170" s="2749">
        <f t="shared" si="7"/>
        <v>1.1529999999999831</v>
      </c>
      <c r="B170" s="2512" t="s">
        <v>8523</v>
      </c>
      <c r="C170" s="2530">
        <v>21768</v>
      </c>
      <c r="D170" s="2530">
        <v>2971665</v>
      </c>
      <c r="E170" s="2530">
        <v>3413</v>
      </c>
      <c r="F170" s="2530">
        <v>6378</v>
      </c>
      <c r="G170" s="2887">
        <v>0.13650000000000001</v>
      </c>
      <c r="H170" s="2479" t="str">
        <f t="shared" si="8"/>
        <v>WASHINGTON - 02RGNSB024-WA SMALL GENERAL SVC-RES</v>
      </c>
      <c r="J170" s="2501"/>
      <c r="K170" s="2886"/>
    </row>
    <row r="171" spans="1:11" ht="16.7" customHeight="1" x14ac:dyDescent="0.2">
      <c r="A171" s="2749">
        <f t="shared" si="7"/>
        <v>1.153999999999983</v>
      </c>
      <c r="B171" s="2512" t="s">
        <v>8524</v>
      </c>
      <c r="C171" s="2530">
        <v>4</v>
      </c>
      <c r="D171" s="2530">
        <v>705</v>
      </c>
      <c r="E171" s="2530">
        <v>1</v>
      </c>
      <c r="F171" s="2530">
        <v>4000</v>
      </c>
      <c r="G171" s="2887">
        <v>0.1762</v>
      </c>
      <c r="H171" s="2479" t="str">
        <f t="shared" si="8"/>
        <v>WASHINGTON - 02RGNSB029-RES GEN SVC TOU PILOT</v>
      </c>
      <c r="J171" s="2501"/>
      <c r="K171" s="2886"/>
    </row>
    <row r="172" spans="1:11" ht="16.7" customHeight="1" x14ac:dyDescent="0.2">
      <c r="A172" s="2749">
        <f t="shared" si="7"/>
        <v>1.1549999999999829</v>
      </c>
      <c r="B172" s="2512" t="s">
        <v>8525</v>
      </c>
      <c r="C172" s="2530">
        <v>2608</v>
      </c>
      <c r="D172" s="2530">
        <v>248918</v>
      </c>
      <c r="E172" s="2530">
        <v>5</v>
      </c>
      <c r="F172" s="2530">
        <v>521600</v>
      </c>
      <c r="G172" s="2887">
        <v>9.5399999999999999E-2</v>
      </c>
      <c r="H172" s="2479" t="str">
        <f t="shared" si="8"/>
        <v>WASHINGTON - 02RGNSB036-RES LRG GEN SVC &lt; 1000 KW</v>
      </c>
      <c r="J172" s="2501"/>
      <c r="K172" s="2886"/>
    </row>
    <row r="173" spans="1:11" ht="16.7" customHeight="1" x14ac:dyDescent="0.2">
      <c r="A173" s="2749">
        <f t="shared" si="7"/>
        <v>1.1559999999999828</v>
      </c>
      <c r="B173" s="2512" t="s">
        <v>8526</v>
      </c>
      <c r="C173" s="2530">
        <v>413</v>
      </c>
      <c r="D173" s="2530">
        <v>55914</v>
      </c>
      <c r="E173" s="2530">
        <v>67</v>
      </c>
      <c r="F173" s="2530">
        <v>6164</v>
      </c>
      <c r="G173" s="2887">
        <v>0.13539999999999999</v>
      </c>
      <c r="H173" s="2479" t="str">
        <f t="shared" si="8"/>
        <v>WASHINGTON - 02RNM24135-RES NET METER SMALL GEN SVC</v>
      </c>
      <c r="J173" s="2501"/>
      <c r="K173" s="2886"/>
    </row>
    <row r="174" spans="1:11" ht="16.7" customHeight="1" x14ac:dyDescent="0.2">
      <c r="A174" s="2749">
        <f t="shared" si="7"/>
        <v>1.1569999999999827</v>
      </c>
      <c r="B174" s="2512" t="s">
        <v>8527</v>
      </c>
      <c r="C174" s="2530">
        <v>0</v>
      </c>
      <c r="D174" s="2530">
        <v>-149770</v>
      </c>
      <c r="E174" s="2530">
        <v>0</v>
      </c>
      <c r="F174" s="2530">
        <v>0</v>
      </c>
      <c r="G174" s="2887">
        <v>0</v>
      </c>
      <c r="H174" s="2479" t="str">
        <f t="shared" si="8"/>
        <v>WASHINGTON - RESIDENTIAL CUSTOMER BILL CREDITS</v>
      </c>
      <c r="J174" s="2501"/>
      <c r="K174" s="2886"/>
    </row>
    <row r="175" spans="1:11" ht="16.7" customHeight="1" x14ac:dyDescent="0.2">
      <c r="A175" s="2749">
        <f t="shared" si="7"/>
        <v>1.1579999999999826</v>
      </c>
      <c r="B175" s="2512" t="s">
        <v>8528</v>
      </c>
      <c r="C175" s="2530">
        <v>0</v>
      </c>
      <c r="D175" s="2530">
        <v>820898</v>
      </c>
      <c r="E175" s="2530">
        <v>0</v>
      </c>
      <c r="F175" s="2530">
        <v>0</v>
      </c>
      <c r="G175" s="2887">
        <v>0</v>
      </c>
      <c r="H175" s="2479" t="str">
        <f t="shared" si="8"/>
        <v>WASHINGTON - INCOME TAX DEFERRAL ADJUSTMENTS</v>
      </c>
      <c r="J175" s="2501"/>
      <c r="K175" s="2886"/>
    </row>
    <row r="176" spans="1:11" ht="16.7" customHeight="1" x14ac:dyDescent="0.2">
      <c r="A176" s="2749">
        <f t="shared" si="7"/>
        <v>1.1589999999999825</v>
      </c>
      <c r="B176" s="2512" t="s">
        <v>8529</v>
      </c>
      <c r="C176" s="2530">
        <v>0</v>
      </c>
      <c r="D176" s="2530">
        <v>1055092</v>
      </c>
      <c r="E176" s="2530">
        <v>0</v>
      </c>
      <c r="F176" s="2530">
        <v>0</v>
      </c>
      <c r="G176" s="2887">
        <v>0</v>
      </c>
      <c r="H176" s="2479" t="str">
        <f t="shared" si="8"/>
        <v>WASHINGTON - REVENUE ADJUSTMENT - DEFERRED NPC</v>
      </c>
      <c r="J176" s="2501"/>
      <c r="K176" s="2886"/>
    </row>
    <row r="177" spans="1:11" ht="16.7" customHeight="1" x14ac:dyDescent="0.2">
      <c r="A177" s="2749">
        <f t="shared" si="7"/>
        <v>1.1599999999999824</v>
      </c>
      <c r="B177" s="2512" t="s">
        <v>8530</v>
      </c>
      <c r="C177" s="2530">
        <v>0</v>
      </c>
      <c r="D177" s="2530">
        <v>-8033556</v>
      </c>
      <c r="E177" s="2530">
        <v>0</v>
      </c>
      <c r="F177" s="2530">
        <v>0</v>
      </c>
      <c r="G177" s="2887">
        <v>0</v>
      </c>
      <c r="H177" s="2479" t="str">
        <f t="shared" si="8"/>
        <v>WASHINGTON - REVENUE_ACCOUNTING ADJUSTMENTS</v>
      </c>
      <c r="J177" s="2501"/>
      <c r="K177" s="2886"/>
    </row>
    <row r="178" spans="1:11" ht="16.7" customHeight="1" x14ac:dyDescent="0.2">
      <c r="A178" s="2749">
        <f t="shared" si="7"/>
        <v>1.1609999999999823</v>
      </c>
      <c r="B178" s="2512" t="s">
        <v>8531</v>
      </c>
      <c r="C178" s="2530">
        <v>0</v>
      </c>
      <c r="D178" s="2530">
        <v>9933366</v>
      </c>
      <c r="E178" s="2530">
        <v>0</v>
      </c>
      <c r="F178" s="2530">
        <v>0</v>
      </c>
      <c r="G178" s="2887">
        <v>0</v>
      </c>
      <c r="H178" s="2479" t="str">
        <f t="shared" si="8"/>
        <v>WASHINGTON - DSM REVENUE-RESIDENTIAL</v>
      </c>
      <c r="J178" s="2501"/>
      <c r="K178" s="2886"/>
    </row>
    <row r="179" spans="1:11" ht="16.7" customHeight="1" x14ac:dyDescent="0.2">
      <c r="A179" s="2749">
        <f t="shared" si="7"/>
        <v>1.1619999999999822</v>
      </c>
      <c r="B179" s="2512" t="s">
        <v>8532</v>
      </c>
      <c r="C179" s="2530">
        <v>0</v>
      </c>
      <c r="D179" s="2530">
        <v>304925</v>
      </c>
      <c r="E179" s="2530">
        <v>0</v>
      </c>
      <c r="F179" s="2530">
        <v>0</v>
      </c>
      <c r="G179" s="2887">
        <v>0</v>
      </c>
      <c r="H179" s="2479" t="str">
        <f t="shared" si="8"/>
        <v>WASHINGTON - BLUE SKY REVENUE-RESIDENTIAL</v>
      </c>
      <c r="J179" s="2501"/>
      <c r="K179" s="2886"/>
    </row>
    <row r="180" spans="1:11" ht="16.7" customHeight="1" x14ac:dyDescent="0.2">
      <c r="A180" s="2749">
        <f t="shared" si="7"/>
        <v>1.162999999999982</v>
      </c>
      <c r="B180" s="2512" t="s">
        <v>8533</v>
      </c>
      <c r="C180" s="2530">
        <v>0</v>
      </c>
      <c r="D180" s="2530">
        <v>14381865</v>
      </c>
      <c r="E180" s="2530">
        <v>0</v>
      </c>
      <c r="F180" s="2530">
        <v>0</v>
      </c>
      <c r="G180" s="2887">
        <v>0</v>
      </c>
      <c r="H180" s="2479" t="str">
        <f t="shared" si="8"/>
        <v>WASHINGTON - ALT REVENUE PROGRAM ADJUSTMENTS</v>
      </c>
      <c r="J180" s="2501"/>
      <c r="K180" s="2886"/>
    </row>
    <row r="181" spans="1:11" ht="16.7" customHeight="1" x14ac:dyDescent="0.2">
      <c r="A181" s="2489"/>
      <c r="B181" s="2512"/>
      <c r="C181" s="2488"/>
      <c r="D181" s="2488"/>
      <c r="E181" s="2488"/>
      <c r="F181" s="2488"/>
      <c r="G181" s="2488"/>
      <c r="H181" s="2595">
        <f t="shared" si="8"/>
        <v>0</v>
      </c>
      <c r="J181" s="2501"/>
      <c r="K181" s="2886"/>
    </row>
    <row r="182" spans="1:11" ht="16.7" customHeight="1" x14ac:dyDescent="0.2">
      <c r="A182" s="2489"/>
      <c r="B182" s="2669" t="s">
        <v>8534</v>
      </c>
      <c r="C182" s="2488"/>
      <c r="D182" s="2488"/>
      <c r="E182" s="2488"/>
      <c r="F182" s="2488"/>
      <c r="G182" s="2488"/>
      <c r="H182" s="2479" t="str">
        <f t="shared" si="8"/>
        <v>WYOMING</v>
      </c>
      <c r="J182" s="2501"/>
      <c r="K182" s="2886"/>
    </row>
    <row r="183" spans="1:11" ht="16.7" customHeight="1" x14ac:dyDescent="0.2">
      <c r="A183" s="2749">
        <f>A180+0.001</f>
        <v>1.1639999999999819</v>
      </c>
      <c r="B183" s="2512" t="s">
        <v>8535</v>
      </c>
      <c r="C183" s="2530">
        <v>0</v>
      </c>
      <c r="D183" s="2530">
        <v>581</v>
      </c>
      <c r="E183" s="2530">
        <v>0</v>
      </c>
      <c r="F183" s="2530">
        <v>0</v>
      </c>
      <c r="G183" s="2887">
        <v>0</v>
      </c>
      <c r="H183" s="2479" t="str">
        <f t="shared" si="8"/>
        <v xml:space="preserve">WYOMING - 05LNX00102-LINE EXT 80% G               </v>
      </c>
      <c r="J183" s="2501"/>
      <c r="K183" s="2886"/>
    </row>
    <row r="184" spans="1:11" ht="16.7" customHeight="1" x14ac:dyDescent="0.2">
      <c r="A184" s="2749">
        <f t="shared" ref="A184:A209" si="9">A183+0.001</f>
        <v>1.1649999999999818</v>
      </c>
      <c r="B184" s="2512" t="s">
        <v>8536</v>
      </c>
      <c r="C184" s="2530">
        <v>0</v>
      </c>
      <c r="D184" s="2530">
        <v>286</v>
      </c>
      <c r="E184" s="2530">
        <v>0</v>
      </c>
      <c r="F184" s="2530">
        <v>0</v>
      </c>
      <c r="G184" s="2887">
        <v>0</v>
      </c>
      <c r="H184" s="2479" t="str">
        <f t="shared" si="8"/>
        <v>WYOMING - 05LNX00109-REF/NREF ADV +  -A</v>
      </c>
      <c r="J184" s="2501"/>
      <c r="K184" s="2886"/>
    </row>
    <row r="185" spans="1:11" ht="16.7" customHeight="1" x14ac:dyDescent="0.2">
      <c r="A185" s="2749">
        <f t="shared" si="9"/>
        <v>1.1659999999999817</v>
      </c>
      <c r="B185" s="2512" t="s">
        <v>8537</v>
      </c>
      <c r="C185" s="2530">
        <v>3349</v>
      </c>
      <c r="D185" s="2530">
        <v>408011</v>
      </c>
      <c r="E185" s="2530">
        <v>456</v>
      </c>
      <c r="F185" s="2530">
        <v>7344</v>
      </c>
      <c r="G185" s="2887">
        <v>0.12180000000000001</v>
      </c>
      <c r="H185" s="2479" t="str">
        <f t="shared" si="8"/>
        <v>WYOMING - 05NETMT135 - EXPERIMENTAL PARTIAL REQ -A</v>
      </c>
      <c r="J185" s="2501"/>
      <c r="K185" s="2886"/>
    </row>
    <row r="186" spans="1:11" ht="16.7" customHeight="1" x14ac:dyDescent="0.2">
      <c r="A186" s="2749">
        <f t="shared" si="9"/>
        <v>1.1669999999999816</v>
      </c>
      <c r="B186" s="2512" t="s">
        <v>8538</v>
      </c>
      <c r="C186" s="2530">
        <v>11</v>
      </c>
      <c r="D186" s="2530">
        <v>1358</v>
      </c>
      <c r="E186" s="2530">
        <v>1</v>
      </c>
      <c r="F186" s="2530">
        <v>11000</v>
      </c>
      <c r="G186" s="2887">
        <v>0.1234</v>
      </c>
      <c r="H186" s="2479" t="str">
        <f t="shared" si="8"/>
        <v>WYOMING - 05NMT19135-RES NET METER TOU PILOT</v>
      </c>
      <c r="J186" s="2501"/>
      <c r="K186" s="2886"/>
    </row>
    <row r="187" spans="1:11" ht="16.7" customHeight="1" x14ac:dyDescent="0.2">
      <c r="A187" s="2749">
        <f t="shared" si="9"/>
        <v>1.1679999999999815</v>
      </c>
      <c r="B187" s="2512" t="s">
        <v>8539</v>
      </c>
      <c r="C187" s="2530">
        <v>752</v>
      </c>
      <c r="D187" s="2530">
        <v>88139</v>
      </c>
      <c r="E187" s="2530">
        <v>913</v>
      </c>
      <c r="F187" s="2530">
        <v>824</v>
      </c>
      <c r="G187" s="2887">
        <v>0.1172</v>
      </c>
      <c r="H187" s="2479" t="str">
        <f t="shared" si="8"/>
        <v xml:space="preserve">WYOMING - 05OALT015R-OUTD AR LGT SR -A              </v>
      </c>
      <c r="J187" s="2501"/>
      <c r="K187" s="2886"/>
    </row>
    <row r="188" spans="1:11" ht="16.7" customHeight="1" x14ac:dyDescent="0.2">
      <c r="A188" s="2749">
        <f t="shared" si="9"/>
        <v>1.1689999999999814</v>
      </c>
      <c r="B188" s="2512" t="s">
        <v>8540</v>
      </c>
      <c r="C188" s="2530">
        <v>918557</v>
      </c>
      <c r="D188" s="2530">
        <v>101796515</v>
      </c>
      <c r="E188" s="2763">
        <f>103823-1.08</f>
        <v>103821.92</v>
      </c>
      <c r="F188" s="2530">
        <v>8847</v>
      </c>
      <c r="G188" s="2887">
        <v>0.1108</v>
      </c>
      <c r="H188" s="2479" t="str">
        <f t="shared" si="8"/>
        <v xml:space="preserve">WYOMING - 05RESD0002-WY RES SRVC -A                </v>
      </c>
      <c r="J188" s="2501"/>
      <c r="K188" s="2886"/>
    </row>
    <row r="189" spans="1:11" ht="16.7" customHeight="1" x14ac:dyDescent="0.2">
      <c r="A189" s="2749">
        <f t="shared" si="9"/>
        <v>1.1699999999999813</v>
      </c>
      <c r="B189" s="2512" t="s">
        <v>8541</v>
      </c>
      <c r="C189" s="2530">
        <v>194</v>
      </c>
      <c r="D189" s="2530">
        <v>18938</v>
      </c>
      <c r="E189" s="2530">
        <v>15</v>
      </c>
      <c r="F189" s="2530">
        <v>12933</v>
      </c>
      <c r="G189" s="2887">
        <v>9.7600000000000006E-2</v>
      </c>
      <c r="H189" s="2479" t="str">
        <f t="shared" si="8"/>
        <v>WYOMING - 05RESD0019-WY RES TOU PILOT -A</v>
      </c>
      <c r="J189" s="2501"/>
      <c r="K189" s="2886"/>
    </row>
    <row r="190" spans="1:11" ht="15.75" customHeight="1" x14ac:dyDescent="0.2">
      <c r="A190" s="2749">
        <f t="shared" si="9"/>
        <v>1.1709999999999812</v>
      </c>
      <c r="B190" s="2512" t="s">
        <v>8542</v>
      </c>
      <c r="C190" s="2530">
        <v>10204</v>
      </c>
      <c r="D190" s="2530">
        <v>1251099</v>
      </c>
      <c r="E190" s="2530">
        <v>1561</v>
      </c>
      <c r="F190" s="2530">
        <v>6537</v>
      </c>
      <c r="G190" s="2887">
        <v>0.1226</v>
      </c>
      <c r="H190" s="2479" t="str">
        <f t="shared" si="8"/>
        <v>WYOMING - 05RGNSV025-WY SMALL GENERAL SVC-RES -A</v>
      </c>
      <c r="J190" s="2501"/>
      <c r="K190" s="2886"/>
    </row>
    <row r="191" spans="1:11" ht="16.7" customHeight="1" x14ac:dyDescent="0.2">
      <c r="A191" s="2749">
        <f t="shared" si="9"/>
        <v>1.1719999999999811</v>
      </c>
      <c r="B191" s="2512" t="s">
        <v>8543</v>
      </c>
      <c r="C191" s="2530">
        <v>0</v>
      </c>
      <c r="D191" s="2530">
        <v>401</v>
      </c>
      <c r="E191" s="2530">
        <v>1</v>
      </c>
      <c r="F191" s="2530">
        <v>0</v>
      </c>
      <c r="G191" s="2887">
        <v>0</v>
      </c>
      <c r="H191" s="2479" t="str">
        <f t="shared" si="8"/>
        <v>WYOMING - 05RNM25135-WY RES SMALL GEN SVC NET MTR</v>
      </c>
      <c r="J191" s="2501"/>
      <c r="K191" s="2886"/>
    </row>
    <row r="192" spans="1:11" ht="16.7" customHeight="1" x14ac:dyDescent="0.2">
      <c r="A192" s="2749">
        <f t="shared" si="9"/>
        <v>1.1729999999999809</v>
      </c>
      <c r="B192" s="2512" t="s">
        <v>8544</v>
      </c>
      <c r="C192" s="2530">
        <v>0</v>
      </c>
      <c r="D192" s="2530">
        <v>243539</v>
      </c>
      <c r="E192" s="2530">
        <v>0</v>
      </c>
      <c r="F192" s="2530">
        <v>0</v>
      </c>
      <c r="G192" s="2887">
        <v>0</v>
      </c>
      <c r="H192" s="2479" t="str">
        <f t="shared" si="8"/>
        <v>WYOMING - INCOME TAX DEFERRAL ADJUSTMENTS</v>
      </c>
      <c r="J192" s="2501"/>
      <c r="K192" s="2886"/>
    </row>
    <row r="193" spans="1:11" ht="16.7" customHeight="1" x14ac:dyDescent="0.2">
      <c r="A193" s="2749">
        <f t="shared" si="9"/>
        <v>1.1739999999999808</v>
      </c>
      <c r="B193" s="2512" t="s">
        <v>8545</v>
      </c>
      <c r="C193" s="2530">
        <v>0</v>
      </c>
      <c r="D193" s="2530">
        <v>-384430</v>
      </c>
      <c r="E193" s="2530">
        <v>0</v>
      </c>
      <c r="F193" s="2530">
        <v>0</v>
      </c>
      <c r="G193" s="2887">
        <v>0</v>
      </c>
      <c r="H193" s="2479" t="str">
        <f t="shared" si="8"/>
        <v>WYOMING - REVENUE ADJUSTMENT - DEFERRED NPC</v>
      </c>
      <c r="J193" s="2501"/>
      <c r="K193" s="2886"/>
    </row>
    <row r="194" spans="1:11" ht="16.7" customHeight="1" x14ac:dyDescent="0.2">
      <c r="A194" s="2749">
        <f t="shared" si="9"/>
        <v>1.1749999999999807</v>
      </c>
      <c r="B194" s="2512" t="s">
        <v>8546</v>
      </c>
      <c r="C194" s="2530">
        <v>0</v>
      </c>
      <c r="D194" s="2530">
        <v>42106</v>
      </c>
      <c r="E194" s="2530">
        <v>0</v>
      </c>
      <c r="F194" s="2530">
        <v>0</v>
      </c>
      <c r="G194" s="2887">
        <v>0</v>
      </c>
      <c r="H194" s="2479" t="str">
        <f t="shared" si="8"/>
        <v>WYOMING - REVENUE_ACCOUNTING ADJUSTMENTS</v>
      </c>
      <c r="J194" s="2501"/>
      <c r="K194" s="2886"/>
    </row>
    <row r="195" spans="1:11" ht="16.7" customHeight="1" x14ac:dyDescent="0.2">
      <c r="A195" s="2749">
        <f t="shared" si="9"/>
        <v>1.1759999999999806</v>
      </c>
      <c r="B195" s="2512" t="s">
        <v>8547</v>
      </c>
      <c r="C195" s="2530">
        <v>0</v>
      </c>
      <c r="D195" s="2530">
        <v>691256</v>
      </c>
      <c r="E195" s="2530">
        <v>0</v>
      </c>
      <c r="F195" s="2530">
        <v>0</v>
      </c>
      <c r="G195" s="2887">
        <v>0</v>
      </c>
      <c r="H195" s="2479" t="str">
        <f t="shared" si="8"/>
        <v>WYOMING - DSM REVENUE-RESIDENTIAL -A</v>
      </c>
      <c r="J195" s="2501"/>
      <c r="K195" s="2886"/>
    </row>
    <row r="196" spans="1:11" ht="16.7" customHeight="1" x14ac:dyDescent="0.2">
      <c r="A196" s="2749">
        <f t="shared" si="9"/>
        <v>1.1769999999999805</v>
      </c>
      <c r="B196" s="2512" t="s">
        <v>8548</v>
      </c>
      <c r="C196" s="2530">
        <v>0</v>
      </c>
      <c r="D196" s="2530">
        <v>45532</v>
      </c>
      <c r="E196" s="2530">
        <v>0</v>
      </c>
      <c r="F196" s="2530">
        <v>0</v>
      </c>
      <c r="G196" s="2887">
        <v>0</v>
      </c>
      <c r="H196" s="2479" t="str">
        <f t="shared" si="8"/>
        <v>WYOMING - DSM REVENUE-RESIDENTIAL GEN SVC -A</v>
      </c>
      <c r="J196" s="2501"/>
      <c r="K196" s="2886"/>
    </row>
    <row r="197" spans="1:11" ht="16.7" customHeight="1" x14ac:dyDescent="0.2">
      <c r="A197" s="2749">
        <f t="shared" si="9"/>
        <v>1.1779999999999804</v>
      </c>
      <c r="B197" s="2512" t="s">
        <v>8549</v>
      </c>
      <c r="C197" s="2530">
        <v>0</v>
      </c>
      <c r="D197" s="2530">
        <v>197711</v>
      </c>
      <c r="E197" s="2530">
        <v>0</v>
      </c>
      <c r="F197" s="2530">
        <v>0</v>
      </c>
      <c r="G197" s="2887">
        <v>0</v>
      </c>
      <c r="H197" s="2479" t="str">
        <f t="shared" si="8"/>
        <v>WYOMING - BLUE SKY REVENUE-RESIDENTIAL -A</v>
      </c>
      <c r="J197" s="2501"/>
      <c r="K197" s="2886"/>
    </row>
    <row r="198" spans="1:11" ht="16.7" customHeight="1" x14ac:dyDescent="0.2">
      <c r="A198" s="2749">
        <f t="shared" si="9"/>
        <v>1.1789999999999803</v>
      </c>
      <c r="B198" s="2512" t="s">
        <v>8550</v>
      </c>
      <c r="C198" s="2530">
        <v>0</v>
      </c>
      <c r="D198" s="2530">
        <v>89077</v>
      </c>
      <c r="E198" s="2530">
        <v>0</v>
      </c>
      <c r="F198" s="2530">
        <v>0</v>
      </c>
      <c r="G198" s="2887">
        <v>0</v>
      </c>
      <c r="H198" s="2479" t="str">
        <f t="shared" si="8"/>
        <v>WYOMING - OTHER CUSTOMER RETAIL REVENUE</v>
      </c>
      <c r="J198" s="2501"/>
      <c r="K198" s="2886"/>
    </row>
    <row r="199" spans="1:11" ht="16.7" customHeight="1" x14ac:dyDescent="0.2">
      <c r="A199" s="2749">
        <f t="shared" si="9"/>
        <v>1.1799999999999802</v>
      </c>
      <c r="B199" s="2512" t="s">
        <v>8551</v>
      </c>
      <c r="C199" s="2763">
        <f>120043-1</f>
        <v>120042</v>
      </c>
      <c r="D199" s="2530">
        <f>13335067</f>
        <v>13335067</v>
      </c>
      <c r="E199" s="2530">
        <v>12867</v>
      </c>
      <c r="F199" s="2530">
        <v>9330</v>
      </c>
      <c r="G199" s="2887">
        <v>0.1111</v>
      </c>
      <c r="H199" s="2479" t="str">
        <f t="shared" si="8"/>
        <v xml:space="preserve">WYOMING - 05RESD0002-WY RES SRVC -B                 </v>
      </c>
      <c r="J199" s="2501"/>
      <c r="K199" s="2886"/>
    </row>
    <row r="200" spans="1:11" ht="16.7" customHeight="1" x14ac:dyDescent="0.2">
      <c r="A200" s="2749">
        <f t="shared" si="9"/>
        <v>1.1809999999999801</v>
      </c>
      <c r="B200" s="2512" t="s">
        <v>8552</v>
      </c>
      <c r="C200" s="2530">
        <v>21</v>
      </c>
      <c r="D200" s="2530">
        <v>2106</v>
      </c>
      <c r="E200" s="2530">
        <v>2</v>
      </c>
      <c r="F200" s="2530">
        <v>10500</v>
      </c>
      <c r="G200" s="2887">
        <v>0.1003</v>
      </c>
      <c r="H200" s="2479" t="str">
        <f t="shared" si="8"/>
        <v>WYOMING - 05RESD0019-WY RES TOU PILOT -B</v>
      </c>
      <c r="J200" s="2501"/>
      <c r="K200" s="2886"/>
    </row>
    <row r="201" spans="1:11" ht="16.7" customHeight="1" x14ac:dyDescent="0.2">
      <c r="A201" s="2749">
        <f t="shared" si="9"/>
        <v>1.18199999999998</v>
      </c>
      <c r="B201" s="2512" t="s">
        <v>8553</v>
      </c>
      <c r="C201" s="2530">
        <v>636</v>
      </c>
      <c r="D201" s="2530">
        <v>93983</v>
      </c>
      <c r="E201" s="2530">
        <v>154</v>
      </c>
      <c r="F201" s="2530">
        <v>4130</v>
      </c>
      <c r="G201" s="2887">
        <v>0.14779999999999999</v>
      </c>
      <c r="H201" s="2479" t="str">
        <f t="shared" si="8"/>
        <v>WYOMING - 05RGNSV025-WY SMALL GENERAL SVC-RES -B</v>
      </c>
      <c r="J201" s="2501"/>
      <c r="K201" s="2886"/>
    </row>
    <row r="202" spans="1:11" ht="16.7" customHeight="1" x14ac:dyDescent="0.2">
      <c r="A202" s="2749">
        <f t="shared" si="9"/>
        <v>1.1829999999999798</v>
      </c>
      <c r="B202" s="2512" t="s">
        <v>8554</v>
      </c>
      <c r="C202" s="2530">
        <v>0</v>
      </c>
      <c r="D202" s="2530">
        <v>5880</v>
      </c>
      <c r="E202" s="2530">
        <v>0</v>
      </c>
      <c r="F202" s="2530">
        <v>0</v>
      </c>
      <c r="G202" s="2887">
        <v>0</v>
      </c>
      <c r="H202" s="2479" t="str">
        <f t="shared" si="8"/>
        <v xml:space="preserve">WYOMING - 05LNX00109-REF/NREF ADV +  -B        </v>
      </c>
      <c r="J202" s="2501"/>
      <c r="K202" s="2886"/>
    </row>
    <row r="203" spans="1:11" ht="16.7" customHeight="1" x14ac:dyDescent="0.2">
      <c r="A203" s="2749">
        <f t="shared" si="9"/>
        <v>1.1839999999999797</v>
      </c>
      <c r="B203" s="2512" t="s">
        <v>8555</v>
      </c>
      <c r="C203" s="2530">
        <v>1393</v>
      </c>
      <c r="D203" s="2530">
        <v>176649</v>
      </c>
      <c r="E203" s="2530">
        <v>220</v>
      </c>
      <c r="F203" s="2530">
        <v>6332</v>
      </c>
      <c r="G203" s="2887">
        <v>0.1268</v>
      </c>
      <c r="H203" s="2479" t="str">
        <f t="shared" si="8"/>
        <v>WYOMING - 05NETMT135 - EXPERIMENTAL PARTIAL REQ -B</v>
      </c>
      <c r="J203" s="2501"/>
      <c r="K203" s="2886"/>
    </row>
    <row r="204" spans="1:11" ht="16.7" customHeight="1" x14ac:dyDescent="0.2">
      <c r="A204" s="2749">
        <f t="shared" si="9"/>
        <v>1.1849999999999796</v>
      </c>
      <c r="B204" s="2512" t="s">
        <v>8556</v>
      </c>
      <c r="C204" s="2530">
        <v>65</v>
      </c>
      <c r="D204" s="2530">
        <v>8931</v>
      </c>
      <c r="E204" s="2530">
        <v>80</v>
      </c>
      <c r="F204" s="2530">
        <v>813</v>
      </c>
      <c r="G204" s="2887">
        <v>0.13739999999999999</v>
      </c>
      <c r="H204" s="2479" t="str">
        <f t="shared" si="8"/>
        <v xml:space="preserve">WYOMING - 05OALT015R-OUTD AR LGT SR -B               </v>
      </c>
      <c r="J204" s="2501"/>
      <c r="K204" s="2886"/>
    </row>
    <row r="205" spans="1:11" ht="16.7" customHeight="1" x14ac:dyDescent="0.2">
      <c r="A205" s="2749">
        <f t="shared" si="9"/>
        <v>1.1859999999999795</v>
      </c>
      <c r="B205" s="2512" t="s">
        <v>8557</v>
      </c>
      <c r="C205" s="2530">
        <v>0</v>
      </c>
      <c r="D205" s="2530">
        <v>0</v>
      </c>
      <c r="E205" s="2530">
        <v>1</v>
      </c>
      <c r="F205" s="2530">
        <v>0</v>
      </c>
      <c r="G205" s="2887">
        <v>0</v>
      </c>
      <c r="H205" s="2479" t="str">
        <f t="shared" si="8"/>
        <v>WYOMING - 09RES00002</v>
      </c>
      <c r="J205" s="2501"/>
      <c r="K205" s="2886"/>
    </row>
    <row r="206" spans="1:11" ht="16.7" customHeight="1" x14ac:dyDescent="0.2">
      <c r="A206" s="2749">
        <f t="shared" si="9"/>
        <v>1.1869999999999794</v>
      </c>
      <c r="B206" s="2512" t="s">
        <v>8558</v>
      </c>
      <c r="C206" s="2530">
        <v>0</v>
      </c>
      <c r="D206" s="2530">
        <v>0</v>
      </c>
      <c r="E206" s="2530">
        <v>3</v>
      </c>
      <c r="F206" s="2530">
        <v>0</v>
      </c>
      <c r="G206" s="2887">
        <v>0</v>
      </c>
      <c r="H206" s="2479" t="str">
        <f t="shared" si="8"/>
        <v>WYOMING - 09RESD0002</v>
      </c>
      <c r="J206" s="2501"/>
      <c r="K206" s="2886"/>
    </row>
    <row r="207" spans="1:11" ht="16.7" customHeight="1" x14ac:dyDescent="0.2">
      <c r="A207" s="2749">
        <f t="shared" si="9"/>
        <v>1.1879999999999793</v>
      </c>
      <c r="B207" s="2512" t="s">
        <v>8559</v>
      </c>
      <c r="C207" s="2530">
        <v>0</v>
      </c>
      <c r="D207" s="2530">
        <v>91598</v>
      </c>
      <c r="E207" s="2530">
        <v>0</v>
      </c>
      <c r="F207" s="2530">
        <v>0</v>
      </c>
      <c r="G207" s="2887">
        <v>0</v>
      </c>
      <c r="H207" s="2479" t="str">
        <f t="shared" si="8"/>
        <v>WYOMING - DSM REVENUE-RESIDENTIAL -B</v>
      </c>
      <c r="J207" s="2501"/>
      <c r="K207" s="2886"/>
    </row>
    <row r="208" spans="1:11" ht="16.7" customHeight="1" x14ac:dyDescent="0.2">
      <c r="A208" s="2749">
        <f t="shared" si="9"/>
        <v>1.1889999999999792</v>
      </c>
      <c r="B208" s="2512" t="s">
        <v>8560</v>
      </c>
      <c r="C208" s="2530">
        <v>0</v>
      </c>
      <c r="D208" s="2530">
        <v>1774</v>
      </c>
      <c r="E208" s="2530">
        <v>0</v>
      </c>
      <c r="F208" s="2530">
        <v>0</v>
      </c>
      <c r="G208" s="2887">
        <v>0</v>
      </c>
      <c r="H208" s="2479" t="str">
        <f t="shared" si="8"/>
        <v>WYOMING - DSM REVENUE-RESIDENTIAL GEN SVC -B</v>
      </c>
      <c r="J208" s="2501"/>
      <c r="K208" s="2886"/>
    </row>
    <row r="209" spans="1:11" ht="16.7" customHeight="1" x14ac:dyDescent="0.2">
      <c r="A209" s="2749">
        <f t="shared" si="9"/>
        <v>1.1899999999999791</v>
      </c>
      <c r="B209" s="2512" t="s">
        <v>8561</v>
      </c>
      <c r="C209" s="2530">
        <v>0</v>
      </c>
      <c r="D209" s="2888">
        <f>21627+0.4</f>
        <v>21627.4</v>
      </c>
      <c r="E209" s="2530">
        <v>0</v>
      </c>
      <c r="F209" s="2530">
        <v>0</v>
      </c>
      <c r="G209" s="2887">
        <v>0</v>
      </c>
      <c r="H209" s="2479" t="str">
        <f t="shared" si="8"/>
        <v>WYOMING - BLUE SKY REVENUE-RESIDENTIAL -B</v>
      </c>
      <c r="J209" s="2501"/>
      <c r="K209" s="2886"/>
    </row>
    <row r="210" spans="1:11" ht="16.7" customHeight="1" x14ac:dyDescent="0.2">
      <c r="A210" s="2489"/>
      <c r="B210" s="2512"/>
      <c r="C210" s="2488"/>
      <c r="D210" s="2488"/>
      <c r="E210" s="2488"/>
      <c r="F210" s="2488"/>
      <c r="G210" s="2488"/>
      <c r="H210" s="2595">
        <f t="shared" si="8"/>
        <v>0</v>
      </c>
      <c r="J210" s="2501"/>
      <c r="K210" s="2886"/>
    </row>
    <row r="211" spans="1:11" ht="16.7" customHeight="1" x14ac:dyDescent="0.2">
      <c r="A211" s="2749">
        <f>A209+0.001</f>
        <v>1.190999999999979</v>
      </c>
      <c r="B211" s="2512" t="s">
        <v>8562</v>
      </c>
      <c r="C211" s="2488"/>
      <c r="D211" s="2488"/>
      <c r="E211" s="2530">
        <v>-26625</v>
      </c>
      <c r="F211" s="2488"/>
      <c r="G211" s="2488"/>
      <c r="H211" s="2479" t="str">
        <f t="shared" si="8"/>
        <v>LESS MULTIPLE BILLINGS</v>
      </c>
      <c r="J211" s="2501"/>
      <c r="K211" s="2886"/>
    </row>
    <row r="212" spans="1:11" ht="16.7" customHeight="1" x14ac:dyDescent="0.2">
      <c r="A212" s="2489"/>
      <c r="B212" s="2512"/>
      <c r="C212" s="2488"/>
      <c r="D212" s="2488"/>
      <c r="E212" s="2488"/>
      <c r="F212" s="2488"/>
      <c r="G212" s="2488"/>
      <c r="H212" s="2595">
        <f t="shared" si="8"/>
        <v>0</v>
      </c>
      <c r="J212" s="2501"/>
      <c r="K212" s="2886"/>
    </row>
    <row r="213" spans="1:11" ht="16.7" customHeight="1" x14ac:dyDescent="0.2">
      <c r="A213" s="2497">
        <v>3</v>
      </c>
      <c r="B213" s="2669" t="s">
        <v>8563</v>
      </c>
      <c r="C213" s="2736">
        <f>SUM(C9:C209)</f>
        <v>18318625</v>
      </c>
      <c r="D213" s="2736">
        <f>SUM(D9:D209)</f>
        <v>2228991420.0000005</v>
      </c>
      <c r="E213" s="2736">
        <f>SUM(E9:E212)</f>
        <v>1806004</v>
      </c>
      <c r="F213" s="2736">
        <v>10055</v>
      </c>
      <c r="G213" s="2889">
        <v>0.12280000000000001</v>
      </c>
      <c r="H213" s="2479"/>
      <c r="J213" s="2501" t="s">
        <v>8564</v>
      </c>
      <c r="K213" s="2886" t="str">
        <f>"+SUM('"&amp;J213&amp;"'!$F$10:$F$50)"</f>
        <v>+SUM('304.2 - Sales of Electricity by Rate Schedules'!$F$10:$F$50)</v>
      </c>
    </row>
    <row r="214" spans="1:11" ht="16.7" customHeight="1" x14ac:dyDescent="0.2">
      <c r="A214" s="2489"/>
      <c r="B214" s="2669" t="s">
        <v>8565</v>
      </c>
      <c r="C214" s="2488"/>
      <c r="D214" s="2488"/>
      <c r="E214" s="2488"/>
      <c r="F214" s="2488"/>
      <c r="G214" s="2488"/>
      <c r="H214" s="2479"/>
      <c r="J214" s="2501"/>
      <c r="K214" s="2886"/>
    </row>
    <row r="215" spans="1:11" ht="16.7" customHeight="1" x14ac:dyDescent="0.2">
      <c r="A215" s="2489"/>
      <c r="B215" s="2488" t="s">
        <v>8566</v>
      </c>
      <c r="C215" s="2530">
        <v>-8430</v>
      </c>
      <c r="D215" s="2530">
        <f>121000</f>
        <v>121000</v>
      </c>
      <c r="E215" s="2530">
        <v>0</v>
      </c>
      <c r="F215" s="2530">
        <v>0</v>
      </c>
      <c r="G215" s="2890">
        <v>-1.44E-2</v>
      </c>
      <c r="H215" s="2479" t="str">
        <f t="shared" ref="H215:H232" si="10">B215</f>
        <v xml:space="preserve">CALIFORNIA - UNBILLED REVENUE                        </v>
      </c>
      <c r="J215" s="2501"/>
      <c r="K215" s="2886"/>
    </row>
    <row r="216" spans="1:11" ht="16.7" customHeight="1" x14ac:dyDescent="0.2">
      <c r="A216" s="2489"/>
      <c r="B216" s="2512"/>
      <c r="C216" s="2488"/>
      <c r="D216" s="2488"/>
      <c r="E216" s="2488"/>
      <c r="F216" s="2488"/>
      <c r="G216" s="2488"/>
      <c r="H216" s="2595">
        <f t="shared" si="10"/>
        <v>0</v>
      </c>
      <c r="J216" s="2501"/>
      <c r="K216" s="2886"/>
    </row>
    <row r="217" spans="1:11" ht="16.7" customHeight="1" x14ac:dyDescent="0.2">
      <c r="A217" s="2489"/>
      <c r="B217" s="2669" t="s">
        <v>8389</v>
      </c>
      <c r="C217" s="2488"/>
      <c r="D217" s="2488"/>
      <c r="E217" s="2488"/>
      <c r="F217" s="2488"/>
      <c r="G217" s="2488"/>
      <c r="H217" s="2479" t="str">
        <f t="shared" si="10"/>
        <v>IDAHO</v>
      </c>
      <c r="J217" s="2501"/>
      <c r="K217" s="2886"/>
    </row>
    <row r="218" spans="1:11" ht="16.7" customHeight="1" x14ac:dyDescent="0.2">
      <c r="A218" s="2489"/>
      <c r="B218" s="2512" t="s">
        <v>8567</v>
      </c>
      <c r="C218" s="2530">
        <v>-329</v>
      </c>
      <c r="D218" s="2530">
        <v>78000</v>
      </c>
      <c r="E218" s="2530">
        <v>0</v>
      </c>
      <c r="F218" s="2530">
        <v>0</v>
      </c>
      <c r="G218" s="2890">
        <v>-0.23710000000000001</v>
      </c>
      <c r="H218" s="2479" t="str">
        <f t="shared" si="10"/>
        <v xml:space="preserve">IDAHO - UNBILLED REVENUE                        </v>
      </c>
      <c r="J218" s="2501"/>
      <c r="K218" s="2886"/>
    </row>
    <row r="219" spans="1:11" ht="16.7" customHeight="1" x14ac:dyDescent="0.2">
      <c r="A219" s="2489"/>
      <c r="B219" s="2512"/>
      <c r="C219" s="2488"/>
      <c r="D219" s="2488"/>
      <c r="E219" s="2488"/>
      <c r="F219" s="2488"/>
      <c r="G219" s="2488"/>
      <c r="H219" s="2595">
        <f t="shared" si="10"/>
        <v>0</v>
      </c>
      <c r="J219" s="2501"/>
      <c r="K219" s="2886"/>
    </row>
    <row r="220" spans="1:11" ht="16.7" customHeight="1" x14ac:dyDescent="0.2">
      <c r="A220" s="2489"/>
      <c r="B220" s="2669" t="s">
        <v>8407</v>
      </c>
      <c r="C220" s="2488"/>
      <c r="D220" s="2488"/>
      <c r="E220" s="2488"/>
      <c r="F220" s="2488"/>
      <c r="G220" s="2488"/>
      <c r="H220" s="2479" t="str">
        <f t="shared" si="10"/>
        <v>OREGON</v>
      </c>
      <c r="J220" s="2501"/>
      <c r="K220" s="2886"/>
    </row>
    <row r="221" spans="1:11" ht="16.7" customHeight="1" x14ac:dyDescent="0.2">
      <c r="A221" s="2489"/>
      <c r="B221" s="2512" t="s">
        <v>8568</v>
      </c>
      <c r="C221" s="2530">
        <v>-98718</v>
      </c>
      <c r="D221" s="2530">
        <v>-2411000</v>
      </c>
      <c r="E221" s="2530">
        <v>0</v>
      </c>
      <c r="F221" s="2530">
        <v>0</v>
      </c>
      <c r="G221" s="2890">
        <v>2.4400000000000002E-2</v>
      </c>
      <c r="H221" s="2479" t="str">
        <f t="shared" si="10"/>
        <v xml:space="preserve">OREGON - UNBILLED REVENUE                        </v>
      </c>
      <c r="J221" s="2501"/>
      <c r="K221" s="2886"/>
    </row>
    <row r="222" spans="1:11" ht="16.7" customHeight="1" x14ac:dyDescent="0.2">
      <c r="A222" s="2489"/>
      <c r="B222" s="2512"/>
      <c r="C222" s="2488"/>
      <c r="D222" s="2488"/>
      <c r="E222" s="2488"/>
      <c r="F222" s="2488"/>
      <c r="G222" s="2488"/>
      <c r="H222" s="2595">
        <f t="shared" si="10"/>
        <v>0</v>
      </c>
      <c r="J222" s="2501"/>
      <c r="K222" s="2886"/>
    </row>
    <row r="223" spans="1:11" ht="16.7" customHeight="1" x14ac:dyDescent="0.2">
      <c r="A223" s="2489"/>
      <c r="B223" s="2669" t="s">
        <v>8450</v>
      </c>
      <c r="C223" s="2488"/>
      <c r="D223" s="2488"/>
      <c r="E223" s="2488"/>
      <c r="F223" s="2488"/>
      <c r="G223" s="2488"/>
      <c r="H223" s="2479" t="str">
        <f t="shared" si="10"/>
        <v>UTAH</v>
      </c>
      <c r="J223" s="2501"/>
      <c r="K223" s="2886"/>
    </row>
    <row r="224" spans="1:11" ht="16.7" customHeight="1" x14ac:dyDescent="0.2">
      <c r="A224" s="2489"/>
      <c r="B224" s="2512" t="s">
        <v>8569</v>
      </c>
      <c r="C224" s="2530">
        <v>23264</v>
      </c>
      <c r="D224" s="2530">
        <v>3000000</v>
      </c>
      <c r="E224" s="2530">
        <v>0</v>
      </c>
      <c r="F224" s="2530">
        <v>0</v>
      </c>
      <c r="G224" s="2890">
        <v>0.129</v>
      </c>
      <c r="H224" s="2479" t="str">
        <f t="shared" si="10"/>
        <v xml:space="preserve">UTAH - UNBILLED REVENUE                        </v>
      </c>
      <c r="J224" s="2501"/>
      <c r="K224" s="2886"/>
    </row>
    <row r="225" spans="1:11" ht="16.7" customHeight="1" x14ac:dyDescent="0.2">
      <c r="A225" s="2489"/>
      <c r="B225" s="2512"/>
      <c r="C225" s="2488"/>
      <c r="D225" s="2488"/>
      <c r="E225" s="2488"/>
      <c r="F225" s="2488"/>
      <c r="G225" s="2488"/>
      <c r="H225" s="2595">
        <f t="shared" si="10"/>
        <v>0</v>
      </c>
      <c r="J225" s="2501"/>
      <c r="K225" s="2886"/>
    </row>
    <row r="226" spans="1:11" ht="16.7" customHeight="1" x14ac:dyDescent="0.2">
      <c r="A226" s="2489"/>
      <c r="B226" s="2669" t="s">
        <v>8509</v>
      </c>
      <c r="C226" s="2488"/>
      <c r="D226" s="2488"/>
      <c r="E226" s="2488"/>
      <c r="F226" s="2488"/>
      <c r="G226" s="2488"/>
      <c r="H226" s="2479" t="str">
        <f t="shared" si="10"/>
        <v>WASHINGTON</v>
      </c>
      <c r="J226" s="2501"/>
      <c r="K226" s="2886"/>
    </row>
    <row r="227" spans="1:11" ht="16.7" customHeight="1" x14ac:dyDescent="0.2">
      <c r="A227" s="2489"/>
      <c r="B227" s="2512" t="s">
        <v>8570</v>
      </c>
      <c r="C227" s="2530">
        <v>-67020</v>
      </c>
      <c r="D227" s="2530">
        <v>697000</v>
      </c>
      <c r="E227" s="2530">
        <v>0</v>
      </c>
      <c r="F227" s="2530">
        <v>0</v>
      </c>
      <c r="G227" s="2890">
        <v>-1.04E-2</v>
      </c>
      <c r="H227" s="2479" t="str">
        <f t="shared" si="10"/>
        <v xml:space="preserve">WASHINGTON - UNBILLED REVENUE                        </v>
      </c>
      <c r="J227" s="2501"/>
      <c r="K227" s="2886"/>
    </row>
    <row r="228" spans="1:11" ht="16.7" customHeight="1" x14ac:dyDescent="0.2">
      <c r="A228" s="2489"/>
      <c r="B228" s="2512"/>
      <c r="C228" s="2488"/>
      <c r="D228" s="2488"/>
      <c r="E228" s="2488"/>
      <c r="F228" s="2488"/>
      <c r="G228" s="2488"/>
      <c r="H228" s="2595">
        <f t="shared" si="10"/>
        <v>0</v>
      </c>
      <c r="J228" s="2501"/>
      <c r="K228" s="2886"/>
    </row>
    <row r="229" spans="1:11" ht="16.7" customHeight="1" x14ac:dyDescent="0.2">
      <c r="A229" s="2489"/>
      <c r="B229" s="2669" t="s">
        <v>8534</v>
      </c>
      <c r="C229" s="2488"/>
      <c r="D229" s="2488"/>
      <c r="E229" s="2488"/>
      <c r="F229" s="2488"/>
      <c r="G229" s="2488"/>
      <c r="H229" s="2479" t="str">
        <f t="shared" si="10"/>
        <v>WYOMING</v>
      </c>
      <c r="J229" s="2501"/>
      <c r="K229" s="2886"/>
    </row>
    <row r="230" spans="1:11" ht="16.7" customHeight="1" x14ac:dyDescent="0.2">
      <c r="A230" s="2489"/>
      <c r="B230" s="2512" t="s">
        <v>8571</v>
      </c>
      <c r="C230" s="2530">
        <v>-7727</v>
      </c>
      <c r="D230" s="2530">
        <v>-290000</v>
      </c>
      <c r="E230" s="2530">
        <v>0</v>
      </c>
      <c r="F230" s="2530">
        <v>0</v>
      </c>
      <c r="G230" s="2890">
        <v>3.7499999999999999E-2</v>
      </c>
      <c r="H230" s="2479" t="str">
        <f t="shared" si="10"/>
        <v xml:space="preserve">WYOMING - UNBILLED REVENUE - A                        </v>
      </c>
      <c r="J230" s="2501"/>
      <c r="K230" s="2886"/>
    </row>
    <row r="231" spans="1:11" ht="16.7" customHeight="1" x14ac:dyDescent="0.2">
      <c r="A231" s="2489"/>
      <c r="B231" s="2512" t="s">
        <v>8572</v>
      </c>
      <c r="C231" s="2530">
        <v>-895</v>
      </c>
      <c r="D231" s="2530">
        <v>-81000</v>
      </c>
      <c r="E231" s="2530">
        <v>0</v>
      </c>
      <c r="F231" s="2530">
        <v>0</v>
      </c>
      <c r="G231" s="2890">
        <v>9.0499999999999997E-2</v>
      </c>
      <c r="H231" s="2479" t="str">
        <f t="shared" si="10"/>
        <v xml:space="preserve">WYOMING - UNBILLED REVENUE - B                        </v>
      </c>
      <c r="J231" s="2501"/>
      <c r="K231" s="2886"/>
    </row>
    <row r="232" spans="1:11" ht="16.7" customHeight="1" x14ac:dyDescent="0.2">
      <c r="A232" s="2489"/>
      <c r="B232" s="2512"/>
      <c r="C232" s="2488"/>
      <c r="D232" s="2488"/>
      <c r="E232" s="2488"/>
      <c r="F232" s="2488"/>
      <c r="G232" s="2488"/>
      <c r="H232" s="2595">
        <f t="shared" si="10"/>
        <v>0</v>
      </c>
      <c r="J232" s="2501"/>
      <c r="K232" s="2886"/>
    </row>
    <row r="233" spans="1:11" ht="16.7" customHeight="1" x14ac:dyDescent="0.2">
      <c r="A233" s="2497">
        <v>4</v>
      </c>
      <c r="B233" s="2669" t="s">
        <v>8573</v>
      </c>
      <c r="C233" s="2736">
        <f>SUM(C215:C232)</f>
        <v>-159855</v>
      </c>
      <c r="D233" s="2736">
        <f>SUM(D215:D232)</f>
        <v>1114000</v>
      </c>
      <c r="E233" s="2736">
        <f>SUM(E215:E232)</f>
        <v>0</v>
      </c>
      <c r="F233" s="2736">
        <v>0</v>
      </c>
      <c r="G233" s="2891">
        <v>1E-4</v>
      </c>
      <c r="H233" s="2479"/>
      <c r="J233" s="2501" t="s">
        <v>8574</v>
      </c>
      <c r="K233" s="2886" t="str">
        <f>"+SUM('"&amp;J233&amp;"'!$F$10:$F$50)"</f>
        <v>+SUM('304.3 - Sales of Electricity by Rate Schedules'!$F$10:$F$50)</v>
      </c>
    </row>
    <row r="234" spans="1:11" ht="16.7" customHeight="1" x14ac:dyDescent="0.2">
      <c r="A234" s="2497">
        <v>5</v>
      </c>
      <c r="B234" s="2669" t="s">
        <v>8575</v>
      </c>
      <c r="C234" s="2736">
        <f>C233+C213</f>
        <v>18158770</v>
      </c>
      <c r="D234" s="2736">
        <f>D233+D213</f>
        <v>2230105420.0000005</v>
      </c>
      <c r="E234" s="2736">
        <f>E233+E213</f>
        <v>1806004</v>
      </c>
      <c r="F234" s="2736">
        <f>F233+F213</f>
        <v>10055</v>
      </c>
      <c r="G234" s="2891">
        <f>G233+G213</f>
        <v>0.12290000000000001</v>
      </c>
      <c r="H234" s="2479"/>
      <c r="J234" s="2501" t="s">
        <v>8576</v>
      </c>
      <c r="K234" s="2886" t="str">
        <f>"+SUM('"&amp;J234&amp;"'!$F$10:$F$50)"</f>
        <v>+SUM('304.4 - Sales of Electricity by Rate Schedules'!$F$10:$F$50)</v>
      </c>
    </row>
    <row r="235" spans="1:11" ht="16.7" customHeight="1" x14ac:dyDescent="0.2">
      <c r="A235" s="2489"/>
      <c r="B235" s="2512"/>
      <c r="C235" s="2488"/>
      <c r="D235" s="2488"/>
      <c r="E235" s="2488"/>
      <c r="F235" s="2488"/>
      <c r="G235" s="2488"/>
      <c r="H235" s="2595">
        <f>B235</f>
        <v>0</v>
      </c>
    </row>
    <row r="236" spans="1:11" ht="16.7" customHeight="1" x14ac:dyDescent="0.2">
      <c r="A236" s="2489"/>
      <c r="B236" s="4044" t="s">
        <v>8577</v>
      </c>
      <c r="C236" s="4045"/>
      <c r="D236" s="4045"/>
      <c r="E236" s="4045"/>
      <c r="F236" s="4045"/>
      <c r="G236" s="4046"/>
      <c r="H236" s="2479" t="str">
        <f>B236</f>
        <v>Total Sales (all sheets)</v>
      </c>
    </row>
    <row r="237" spans="1:11" ht="16.7" customHeight="1" x14ac:dyDescent="0.2">
      <c r="A237" s="2497">
        <v>46</v>
      </c>
      <c r="B237" s="2669" t="s">
        <v>8578</v>
      </c>
      <c r="C237" s="2672">
        <f>C213+'Pg 304 - Sales of Electricity -'!C291+'Pg 304 - Sales of Electricit(1)'!C364+'Pg 304 - Sales of Electricit(2)'!C86</f>
        <v>56914738</v>
      </c>
      <c r="D237" s="2672">
        <f>ROUND(D213+'Pg 304 - Sales of Electricity -'!D291+'Pg 304 - Sales of Electricit(1)'!D364+'Pg 304 - Sales of Electricit(2)'!D86,0)</f>
        <v>5460376851</v>
      </c>
      <c r="E237" s="2672">
        <f>E213+'Pg 304 - Sales of Electricity -'!E291+'Pg 304 - Sales of Electricit(1)'!E364+'Pg 304 - Sales of Electricit(2)'!E86</f>
        <v>2069044</v>
      </c>
      <c r="F237" s="2668"/>
      <c r="G237" s="2668"/>
      <c r="H237" s="2479" t="str">
        <f>B237</f>
        <v>TOTAL Billed</v>
      </c>
    </row>
    <row r="238" spans="1:11" ht="16.7" customHeight="1" x14ac:dyDescent="0.2">
      <c r="A238" s="2497">
        <v>47</v>
      </c>
      <c r="B238" s="2669" t="s">
        <v>8579</v>
      </c>
      <c r="C238" s="2672">
        <f>ROUND(C233+'Pg 304 - Sales of Electricity -'!C311+'Pg 304 - Sales of Electricit(1)'!C403+'Pg 304 - Sales of Electricit(2)'!C106,0)</f>
        <v>-218410</v>
      </c>
      <c r="D238" s="2672">
        <f>D233+'Pg 304 - Sales of Electricity -'!D311+'Pg 304 - Sales of Electricit(1)'!D403+'Pg 304 - Sales of Electricit(2)'!D106</f>
        <v>-5522000</v>
      </c>
      <c r="E238" s="2672">
        <f>E233+'Pg 304 - Sales of Electricity -'!E311+'Pg 304 - Sales of Electricit(1)'!E403+'Pg 304 - Sales of Electricit(2)'!E106</f>
        <v>0</v>
      </c>
      <c r="F238" s="2668"/>
      <c r="G238" s="2668"/>
      <c r="H238" s="2479" t="str">
        <f>B238</f>
        <v>Total Unbilled Rev.(See Instr. 6)</v>
      </c>
    </row>
    <row r="239" spans="1:11" ht="16.7" customHeight="1" x14ac:dyDescent="0.2">
      <c r="A239" s="2497">
        <v>48</v>
      </c>
      <c r="B239" s="2669" t="s">
        <v>197</v>
      </c>
      <c r="C239" s="2736">
        <f>SUM(C237:C238)</f>
        <v>56696328</v>
      </c>
      <c r="D239" s="2736">
        <f>SUM(D237:D238)</f>
        <v>5454854851</v>
      </c>
      <c r="E239" s="2736">
        <f>SUM(E237:E238)</f>
        <v>2069044</v>
      </c>
      <c r="F239" s="2736">
        <v>28098</v>
      </c>
      <c r="G239" s="2892">
        <v>9.0700000000000003E-2</v>
      </c>
      <c r="H239" s="2479" t="str">
        <f>B239</f>
        <v>TOTAL</v>
      </c>
    </row>
    <row r="240" spans="1:11" ht="16.7" customHeight="1" x14ac:dyDescent="0.2">
      <c r="A240" s="2535"/>
      <c r="B240" s="2608"/>
      <c r="C240" s="2893"/>
      <c r="D240" s="2893"/>
      <c r="E240" s="2608"/>
      <c r="F240" s="2894"/>
      <c r="G240" s="2516"/>
    </row>
    <row r="241" spans="2:8" ht="16.7" customHeight="1" x14ac:dyDescent="0.2">
      <c r="B241" s="2895" t="s">
        <v>8580</v>
      </c>
      <c r="C241" s="2896" t="s">
        <v>8581</v>
      </c>
      <c r="D241" s="2896" t="s">
        <v>8581</v>
      </c>
    </row>
    <row r="242" spans="2:8" ht="16.7" customHeight="1" x14ac:dyDescent="0.2">
      <c r="C242" s="2897">
        <v>56696328</v>
      </c>
      <c r="D242" s="2897">
        <v>5454854851</v>
      </c>
      <c r="E242" s="4047" t="s">
        <v>8582</v>
      </c>
      <c r="F242" s="3911"/>
      <c r="G242" s="3911"/>
      <c r="H242" s="2898"/>
    </row>
    <row r="243" spans="2:8" ht="16.7" customHeight="1" x14ac:dyDescent="0.2">
      <c r="C243" s="2899">
        <f>C239-C242</f>
        <v>0</v>
      </c>
      <c r="D243" s="2899">
        <f>D239-D242</f>
        <v>0</v>
      </c>
      <c r="E243" s="3911"/>
      <c r="F243" s="3911"/>
      <c r="G243" s="3911"/>
      <c r="H243" s="2898"/>
    </row>
    <row r="244" spans="2:8" ht="16.7" customHeight="1" x14ac:dyDescent="0.2">
      <c r="C244" s="2608"/>
      <c r="D244" s="2608"/>
    </row>
    <row r="245" spans="2:8" ht="16.7" customHeight="1" x14ac:dyDescent="0.2"/>
    <row r="246" spans="2:8" ht="16.7" customHeight="1" x14ac:dyDescent="0.2">
      <c r="C246" s="2900" t="s">
        <v>8583</v>
      </c>
      <c r="D246" s="2901" t="s">
        <v>5604</v>
      </c>
      <c r="E246" s="2902" t="s">
        <v>0</v>
      </c>
      <c r="F246" s="2479"/>
    </row>
    <row r="247" spans="2:8" ht="16.7" customHeight="1" x14ac:dyDescent="0.2">
      <c r="C247" s="2595">
        <v>2023</v>
      </c>
      <c r="D247" s="2903">
        <v>295002000</v>
      </c>
      <c r="E247" s="2904">
        <v>3062910</v>
      </c>
      <c r="F247" s="4042" t="s">
        <v>8584</v>
      </c>
      <c r="G247" s="3911"/>
    </row>
    <row r="248" spans="2:8" ht="16.7" customHeight="1" x14ac:dyDescent="0.2">
      <c r="C248" s="2595">
        <v>2022</v>
      </c>
      <c r="D248" s="2903">
        <v>300524000</v>
      </c>
      <c r="E248" s="2904">
        <v>3281322</v>
      </c>
      <c r="F248" s="4043" t="s">
        <v>8585</v>
      </c>
      <c r="G248" s="3911"/>
    </row>
    <row r="249" spans="2:8" ht="16.7" customHeight="1" x14ac:dyDescent="0.2">
      <c r="C249" s="2906"/>
      <c r="D249" s="2907">
        <f>D247-D248</f>
        <v>-5522000</v>
      </c>
      <c r="E249" s="2908">
        <f>E247-E248</f>
        <v>-218412</v>
      </c>
      <c r="F249" s="2905" t="s">
        <v>8586</v>
      </c>
    </row>
    <row r="250" spans="2:8" ht="16.7" customHeight="1" x14ac:dyDescent="0.2">
      <c r="C250" s="2516"/>
      <c r="D250" s="2516"/>
      <c r="E250" s="2516"/>
    </row>
    <row r="251" spans="2:8" ht="16.7" customHeight="1" x14ac:dyDescent="0.2">
      <c r="B251" s="3206" t="s">
        <v>5459</v>
      </c>
      <c r="C251" s="4040" t="s">
        <v>11937</v>
      </c>
      <c r="D251" s="4041"/>
    </row>
    <row r="252" spans="2:8" ht="16.7" customHeight="1" x14ac:dyDescent="0.25">
      <c r="B252" s="3207" t="s">
        <v>11929</v>
      </c>
      <c r="C252" s="3208" t="s">
        <v>11930</v>
      </c>
      <c r="D252" s="3209" t="s">
        <v>11931</v>
      </c>
    </row>
    <row r="253" spans="2:8" ht="16.7" customHeight="1" x14ac:dyDescent="0.2">
      <c r="B253" s="3207" t="s">
        <v>8565</v>
      </c>
      <c r="C253" s="3210">
        <f>SUMIF($B$8:$B$239,"CALIFORNIA*",C$8:C$239)</f>
        <v>386709</v>
      </c>
      <c r="D253" s="3211">
        <f>SUMIF($B$8:$B$239,"CALIFORNIA*",D$8:D$239)</f>
        <v>45610354</v>
      </c>
    </row>
    <row r="254" spans="2:8" ht="16.7" customHeight="1" x14ac:dyDescent="0.2">
      <c r="B254" s="3207" t="s">
        <v>8389</v>
      </c>
      <c r="C254" s="3210">
        <f>SUMIF($B$8:$B$239,"IDAHO*",C$8:C$239)</f>
        <v>817962</v>
      </c>
      <c r="D254" s="3211">
        <f>SUMIF($B$8:$B$239,"IDAHO*",D$8:D$239)</f>
        <v>98772042.859999999</v>
      </c>
    </row>
    <row r="255" spans="2:8" ht="16.7" customHeight="1" x14ac:dyDescent="0.2">
      <c r="B255" s="3207" t="s">
        <v>8407</v>
      </c>
      <c r="C255" s="3210">
        <f>SUMIF($B$8:$B$239,"OREGON*",C$8:C$239)</f>
        <v>6007122</v>
      </c>
      <c r="D255" s="3211">
        <f>SUMIF($B$8:$B$239,"OREGON*",D$8:D$239)</f>
        <v>805862201.82999992</v>
      </c>
    </row>
    <row r="256" spans="2:8" ht="16.7" customHeight="1" x14ac:dyDescent="0.2">
      <c r="B256" s="3207" t="s">
        <v>8450</v>
      </c>
      <c r="C256" s="3210">
        <f>SUMIF($B$8:$B$239,"UTAH*",C$8:C$239)</f>
        <v>8282116</v>
      </c>
      <c r="D256" s="3211">
        <f>SUMIF($B$8:$B$239,"UTAH*",D$8:D$239)</f>
        <v>953922397.99000001</v>
      </c>
    </row>
    <row r="257" spans="2:4" ht="16.7" customHeight="1" x14ac:dyDescent="0.2">
      <c r="B257" s="3207" t="s">
        <v>8509</v>
      </c>
      <c r="C257" s="3210">
        <f>SUMIF($B$8:$B$239,"WASHINGTON*",C$8:C$239)</f>
        <v>1618259</v>
      </c>
      <c r="D257" s="3211">
        <f>SUMIF($B$8:$B$239,"WASHINGTON*",D$8:D$239)</f>
        <v>208081688.91999999</v>
      </c>
    </row>
    <row r="258" spans="2:4" ht="16.7" customHeight="1" x14ac:dyDescent="0.2">
      <c r="B258" s="3207" t="s">
        <v>8534</v>
      </c>
      <c r="C258" s="3212">
        <f>SUMIF($B$8:$B$239,"WYOMING*",C$8:C$239)</f>
        <v>1046602</v>
      </c>
      <c r="D258" s="3213">
        <f>SUMIF($B$8:$B$239,"WYOMING*",D$8:D$239)</f>
        <v>117856734.40000001</v>
      </c>
    </row>
    <row r="259" spans="2:4" ht="16.7" customHeight="1" x14ac:dyDescent="0.2">
      <c r="B259" s="3207" t="s">
        <v>11934</v>
      </c>
      <c r="C259" s="3210">
        <f>SUM(C253:C258)</f>
        <v>18158770</v>
      </c>
      <c r="D259" s="3211">
        <f>SUM(D253:D258)</f>
        <v>2230105420</v>
      </c>
    </row>
    <row r="260" spans="2:4" ht="16.7" customHeight="1" x14ac:dyDescent="0.2">
      <c r="B260" s="3214" t="s">
        <v>11925</v>
      </c>
      <c r="C260" s="3215">
        <f>C259-C234</f>
        <v>0</v>
      </c>
      <c r="D260" s="3216">
        <f>D259-D234</f>
        <v>0</v>
      </c>
    </row>
    <row r="261" spans="2:4" ht="16.7" customHeight="1" x14ac:dyDescent="0.2">
      <c r="B261" s="3217" t="s">
        <v>5459</v>
      </c>
      <c r="C261" s="3217" t="s">
        <v>5459</v>
      </c>
      <c r="D261" s="3218" t="s">
        <v>5459</v>
      </c>
    </row>
    <row r="262" spans="2:4" ht="16.7" customHeight="1" x14ac:dyDescent="0.2">
      <c r="B262" s="3214" t="s">
        <v>5459</v>
      </c>
      <c r="C262" s="3207" t="s">
        <v>11928</v>
      </c>
      <c r="D262" s="3219" t="s">
        <v>5459</v>
      </c>
    </row>
    <row r="263" spans="2:4" ht="16.7" customHeight="1" x14ac:dyDescent="0.25">
      <c r="B263" s="3207" t="s">
        <v>11929</v>
      </c>
      <c r="C263" s="3208" t="s">
        <v>11930</v>
      </c>
      <c r="D263" s="3209" t="s">
        <v>11931</v>
      </c>
    </row>
    <row r="264" spans="2:4" ht="16.7" customHeight="1" x14ac:dyDescent="0.2">
      <c r="B264" s="3207" t="s">
        <v>8407</v>
      </c>
      <c r="C264" s="3210">
        <f>C255</f>
        <v>6007122</v>
      </c>
      <c r="D264" s="3211">
        <f>D255</f>
        <v>805862201.82999992</v>
      </c>
    </row>
    <row r="265" spans="2:4" ht="16.7" customHeight="1" x14ac:dyDescent="0.2">
      <c r="B265" s="3207" t="s">
        <v>8509</v>
      </c>
      <c r="C265" s="3210">
        <f>C257</f>
        <v>1618259</v>
      </c>
      <c r="D265" s="3211">
        <f>D257</f>
        <v>208081688.91999999</v>
      </c>
    </row>
    <row r="266" spans="2:4" ht="16.7" customHeight="1" x14ac:dyDescent="0.2">
      <c r="B266" s="3207" t="s">
        <v>8389</v>
      </c>
      <c r="C266" s="3212">
        <f>C254</f>
        <v>817962</v>
      </c>
      <c r="D266" s="3213">
        <f>D254</f>
        <v>98772042.859999999</v>
      </c>
    </row>
    <row r="267" spans="2:4" ht="16.7" customHeight="1" x14ac:dyDescent="0.2">
      <c r="B267" s="3207" t="s">
        <v>11936</v>
      </c>
      <c r="C267" s="3210">
        <f>SUM(C264:C266)</f>
        <v>8443343</v>
      </c>
      <c r="D267" s="3211">
        <f>SUM(D264:D266)</f>
        <v>1112715933.6099999</v>
      </c>
    </row>
    <row r="268" spans="2:4" ht="16.7" customHeight="1" x14ac:dyDescent="0.2">
      <c r="B268" s="3217" t="s">
        <v>5459</v>
      </c>
      <c r="C268" s="3217" t="s">
        <v>5459</v>
      </c>
      <c r="D268" s="3218" t="s">
        <v>5459</v>
      </c>
    </row>
    <row r="269" spans="2:4" ht="16.7" customHeight="1" x14ac:dyDescent="0.2"/>
    <row r="270" spans="2:4" ht="16.7" customHeight="1" x14ac:dyDescent="0.2"/>
    <row r="271" spans="2:4" ht="16.7" customHeight="1" x14ac:dyDescent="0.2"/>
    <row r="272" spans="2:4" ht="16.7" customHeight="1" x14ac:dyDescent="0.2"/>
    <row r="273" ht="16.7" customHeight="1" x14ac:dyDescent="0.2"/>
    <row r="274" ht="16.7" customHeight="1" x14ac:dyDescent="0.2"/>
    <row r="275" ht="16.7" customHeight="1" x14ac:dyDescent="0.2"/>
    <row r="276" ht="16.7" customHeight="1" x14ac:dyDescent="0.2"/>
    <row r="277" ht="16.7" customHeight="1" x14ac:dyDescent="0.2"/>
    <row r="278" ht="16.7" customHeight="1" x14ac:dyDescent="0.2"/>
    <row r="279" ht="16.7" customHeight="1" x14ac:dyDescent="0.2"/>
    <row r="280" ht="16.7" customHeight="1" x14ac:dyDescent="0.2"/>
    <row r="281" ht="15" customHeight="1" x14ac:dyDescent="0.2"/>
    <row r="282" ht="15" customHeight="1" x14ac:dyDescent="0.2"/>
  </sheetData>
  <mergeCells count="9">
    <mergeCell ref="C251:D251"/>
    <mergeCell ref="F247:G247"/>
    <mergeCell ref="F248:G248"/>
    <mergeCell ref="A3:G3"/>
    <mergeCell ref="A4:G4"/>
    <mergeCell ref="A5:A6"/>
    <mergeCell ref="B7:G7"/>
    <mergeCell ref="B236:G236"/>
    <mergeCell ref="E242:G243"/>
  </mergeCells>
  <pageMargins left="0.75" right="0.75" top="1" bottom="1" header="0.5" footer="0.5"/>
  <customProperties>
    <customPr name="_pios_id" r:id="rId1"/>
  </customProperties>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A34BE-4CA8-47ED-8115-DBA0FA847699}">
  <sheetPr codeName="Sheet72"/>
  <dimension ref="A1:M357"/>
  <sheetViews>
    <sheetView workbookViewId="0">
      <pane ySplit="7" topLeftCell="A319" activePane="bottomLeft" state="frozen"/>
      <selection activeCell="H241" sqref="H241"/>
      <selection pane="bottomLeft" activeCell="H241" sqref="H241"/>
    </sheetView>
  </sheetViews>
  <sheetFormatPr defaultColWidth="11.5" defaultRowHeight="12.75" x14ac:dyDescent="0.2"/>
  <cols>
    <col min="1" max="1" width="6.375" style="1953" customWidth="1"/>
    <col min="2" max="2" width="46.25" style="1953" customWidth="1"/>
    <col min="3" max="3" width="12.625" style="1953" customWidth="1"/>
    <col min="4" max="5" width="12.375" style="1953" customWidth="1"/>
    <col min="6" max="7" width="12.625" style="1953" customWidth="1"/>
    <col min="8" max="8" width="46.25" style="1953" customWidth="1"/>
    <col min="9" max="9" width="17.625" style="1953" hidden="1" customWidth="1"/>
    <col min="10" max="10" width="38.375" style="1953" hidden="1" customWidth="1"/>
    <col min="11" max="11" width="57" style="1953" hidden="1" customWidth="1"/>
    <col min="12" max="12" width="17.625" style="1953" hidden="1" customWidth="1"/>
    <col min="13" max="13" width="50.125" style="1953" hidden="1" customWidth="1"/>
    <col min="14" max="26" width="17.625" style="1953" customWidth="1"/>
    <col min="27" max="16384" width="11.5" style="1953"/>
  </cols>
  <sheetData>
    <row r="1" spans="1:11" ht="15.75" customHeight="1" x14ac:dyDescent="0.2">
      <c r="F1" s="2909" t="s">
        <v>8351</v>
      </c>
    </row>
    <row r="2" spans="1:11" ht="16.7" customHeight="1" x14ac:dyDescent="0.2"/>
    <row r="3" spans="1:11" ht="16.7" customHeight="1" x14ac:dyDescent="0.2">
      <c r="A3" s="3882" t="s">
        <v>8352</v>
      </c>
      <c r="B3" s="3891"/>
      <c r="C3" s="3891"/>
      <c r="D3" s="3891"/>
      <c r="E3" s="3891"/>
      <c r="F3" s="3891"/>
      <c r="G3" s="3892"/>
      <c r="H3" s="2479"/>
    </row>
    <row r="4" spans="1:11" ht="95.85" customHeight="1" x14ac:dyDescent="0.2">
      <c r="A4" s="3878" t="s">
        <v>8353</v>
      </c>
      <c r="B4" s="3879"/>
      <c r="C4" s="3879"/>
      <c r="D4" s="3879"/>
      <c r="E4" s="3879"/>
      <c r="F4" s="3879"/>
      <c r="G4" s="3880"/>
      <c r="H4" s="2479"/>
    </row>
    <row r="5" spans="1:11" ht="39.200000000000003" customHeight="1" x14ac:dyDescent="0.2">
      <c r="A5" s="3898" t="s">
        <v>6360</v>
      </c>
      <c r="B5" s="2637" t="s">
        <v>8354</v>
      </c>
      <c r="C5" s="2637" t="s">
        <v>8355</v>
      </c>
      <c r="D5" s="2637" t="s">
        <v>8356</v>
      </c>
      <c r="E5" s="2581" t="s">
        <v>8357</v>
      </c>
      <c r="F5" s="2581" t="s">
        <v>8358</v>
      </c>
      <c r="G5" s="2581" t="s">
        <v>8359</v>
      </c>
      <c r="H5" s="2479"/>
    </row>
    <row r="6" spans="1:11" ht="16.7" customHeight="1" x14ac:dyDescent="0.2">
      <c r="A6" s="3923"/>
      <c r="B6" s="2589" t="s">
        <v>5949</v>
      </c>
      <c r="C6" s="2589" t="s">
        <v>5950</v>
      </c>
      <c r="D6" s="2589" t="s">
        <v>5951</v>
      </c>
      <c r="E6" s="2589" t="s">
        <v>5952</v>
      </c>
      <c r="F6" s="2589" t="s">
        <v>6227</v>
      </c>
      <c r="G6" s="2589" t="s">
        <v>5804</v>
      </c>
      <c r="H6" s="2479" t="s">
        <v>6324</v>
      </c>
      <c r="K6" s="2885" t="s">
        <v>8360</v>
      </c>
    </row>
    <row r="7" spans="1:11" ht="16.7" customHeight="1" x14ac:dyDescent="0.2">
      <c r="A7" s="2489"/>
      <c r="B7" s="4044" t="s">
        <v>8587</v>
      </c>
      <c r="C7" s="4045"/>
      <c r="D7" s="4045"/>
      <c r="E7" s="4045"/>
      <c r="F7" s="4045"/>
      <c r="G7" s="4046"/>
      <c r="H7" s="2479"/>
      <c r="J7" s="2501" t="s">
        <v>8588</v>
      </c>
      <c r="K7" s="2886" t="str">
        <f>"+SUM('"&amp;J7&amp;"'!$F$10:$F$50)"</f>
        <v>+SUM('304.5 - Sales of Electricity by Rate Schedules'!$F$10:$F$50)</v>
      </c>
    </row>
    <row r="8" spans="1:11" ht="16.7" customHeight="1" x14ac:dyDescent="0.2">
      <c r="A8" s="2489"/>
      <c r="B8" s="2669" t="s">
        <v>8565</v>
      </c>
      <c r="C8" s="2488"/>
      <c r="D8" s="2488"/>
      <c r="E8" s="2488"/>
      <c r="F8" s="2488"/>
      <c r="G8" s="2488"/>
      <c r="H8" s="2479" t="str">
        <f t="shared" ref="H8:H32" si="0">B8</f>
        <v>CALIFORNIA</v>
      </c>
      <c r="J8" s="2501" t="s">
        <v>8589</v>
      </c>
      <c r="K8" s="2886" t="str">
        <f>"+SUM('"&amp;J8&amp;"'!$F$10:$F$50)"</f>
        <v>+SUM('304.6 - Sales of Electricity by Rate Schedules'!$F$10:$F$50)</v>
      </c>
    </row>
    <row r="9" spans="1:11" ht="16.7" customHeight="1" x14ac:dyDescent="0.2">
      <c r="A9" s="2749">
        <v>6</v>
      </c>
      <c r="B9" s="2512" t="s">
        <v>8590</v>
      </c>
      <c r="C9" s="2530">
        <v>52852</v>
      </c>
      <c r="D9" s="2530">
        <v>6895509</v>
      </c>
      <c r="E9" s="2752">
        <v>6521</v>
      </c>
      <c r="F9" s="2530">
        <v>8105</v>
      </c>
      <c r="G9" s="2910">
        <v>0.1305</v>
      </c>
      <c r="H9" s="2479" t="str">
        <f t="shared" si="0"/>
        <v xml:space="preserve">CALIFORNIA - 06GNSV0025-CA GEN SRVC                  </v>
      </c>
      <c r="J9" s="2501" t="s">
        <v>8591</v>
      </c>
      <c r="K9" s="2886" t="str">
        <f>"+SUM('"&amp;J9&amp;"'!$F$10:$F$50)"</f>
        <v>+SUM('304.7 - Sales of Electricity by Rate Schedules'!$F$10:$F$50)</v>
      </c>
    </row>
    <row r="10" spans="1:11" ht="16.7" customHeight="1" x14ac:dyDescent="0.2">
      <c r="A10" s="2749">
        <f t="shared" ref="A10:A32" si="1">A9+0.001</f>
        <v>6.0010000000000003</v>
      </c>
      <c r="B10" s="2512" t="s">
        <v>8592</v>
      </c>
      <c r="C10" s="2530">
        <v>911</v>
      </c>
      <c r="D10" s="2530">
        <v>153910</v>
      </c>
      <c r="E10" s="2750">
        <v>83</v>
      </c>
      <c r="F10" s="2530">
        <v>10976</v>
      </c>
      <c r="G10" s="2887">
        <v>0.16889999999999999</v>
      </c>
      <c r="H10" s="2479" t="str">
        <f t="shared" si="0"/>
        <v xml:space="preserve">CALIFORNIA - 06GNSV025F-GEN SRVC-&lt; 20                </v>
      </c>
      <c r="J10" s="2501"/>
      <c r="K10" s="2886"/>
    </row>
    <row r="11" spans="1:11" ht="16.7" customHeight="1" x14ac:dyDescent="0.2">
      <c r="A11" s="2749">
        <f t="shared" si="1"/>
        <v>6.0020000000000007</v>
      </c>
      <c r="B11" s="2512" t="s">
        <v>8593</v>
      </c>
      <c r="C11" s="2530">
        <v>93908</v>
      </c>
      <c r="D11" s="2530">
        <v>14915668</v>
      </c>
      <c r="E11" s="2750">
        <v>1164</v>
      </c>
      <c r="F11" s="2530">
        <v>80677</v>
      </c>
      <c r="G11" s="2887">
        <v>0.1588</v>
      </c>
      <c r="H11" s="2479" t="str">
        <f t="shared" si="0"/>
        <v xml:space="preserve">CALIFORNIA - 06GNSV0A32-GEN SRVC-20 KW               </v>
      </c>
      <c r="J11" s="2501"/>
      <c r="K11" s="2886"/>
    </row>
    <row r="12" spans="1:11" ht="16.7" customHeight="1" x14ac:dyDescent="0.2">
      <c r="A12" s="2749">
        <f t="shared" si="1"/>
        <v>6.003000000000001</v>
      </c>
      <c r="B12" s="2512" t="s">
        <v>8594</v>
      </c>
      <c r="C12" s="2530">
        <v>26788</v>
      </c>
      <c r="D12" s="2530">
        <v>2857487</v>
      </c>
      <c r="E12" s="2750">
        <v>9</v>
      </c>
      <c r="F12" s="2530">
        <v>2976444</v>
      </c>
      <c r="G12" s="2887">
        <v>0.1067</v>
      </c>
      <c r="H12" s="2479" t="str">
        <f t="shared" si="0"/>
        <v xml:space="preserve">CALIFORNIA - 06LGSV048T-LRG GEN SERV                 </v>
      </c>
      <c r="J12" s="2501"/>
      <c r="K12" s="2886"/>
    </row>
    <row r="13" spans="1:11" ht="16.7" customHeight="1" x14ac:dyDescent="0.2">
      <c r="A13" s="2749">
        <f t="shared" si="1"/>
        <v>6.0040000000000013</v>
      </c>
      <c r="B13" s="2512" t="s">
        <v>8595</v>
      </c>
      <c r="C13" s="2530">
        <v>2612</v>
      </c>
      <c r="D13" s="2530">
        <v>261239</v>
      </c>
      <c r="E13" s="2750">
        <v>1</v>
      </c>
      <c r="F13" s="2530">
        <v>2612000</v>
      </c>
      <c r="G13" s="2887">
        <v>0.1</v>
      </c>
      <c r="H13" s="2479" t="str">
        <f t="shared" si="0"/>
        <v>CALIFORNIA - 06NMT48135-CA GEN SVC NET MTR-&gt;500 KW</v>
      </c>
      <c r="J13" s="2501"/>
      <c r="K13" s="2886"/>
    </row>
    <row r="14" spans="1:11" ht="16.7" customHeight="1" x14ac:dyDescent="0.2">
      <c r="A14" s="2749">
        <f t="shared" si="1"/>
        <v>6.0050000000000017</v>
      </c>
      <c r="B14" s="2512" t="s">
        <v>8596</v>
      </c>
      <c r="C14" s="2530">
        <v>54812</v>
      </c>
      <c r="D14" s="2530">
        <v>7321795</v>
      </c>
      <c r="E14" s="2750">
        <v>135</v>
      </c>
      <c r="F14" s="2530">
        <v>406015</v>
      </c>
      <c r="G14" s="2887">
        <v>0.1336</v>
      </c>
      <c r="H14" s="2479" t="str">
        <f t="shared" si="0"/>
        <v xml:space="preserve">CALIFORNIA - 06LGSV0A36-LRG GEN SRVC-O               </v>
      </c>
      <c r="J14" s="2501"/>
      <c r="K14" s="2886"/>
    </row>
    <row r="15" spans="1:11" ht="16.7" customHeight="1" x14ac:dyDescent="0.2">
      <c r="A15" s="2749">
        <f t="shared" si="1"/>
        <v>6.006000000000002</v>
      </c>
      <c r="B15" s="2512" t="s">
        <v>8597</v>
      </c>
      <c r="C15" s="2530">
        <v>0</v>
      </c>
      <c r="D15" s="2530">
        <v>10293</v>
      </c>
      <c r="E15" s="2750">
        <v>0</v>
      </c>
      <c r="F15" s="2530">
        <v>0</v>
      </c>
      <c r="G15" s="2887">
        <v>0</v>
      </c>
      <c r="H15" s="2479" t="str">
        <f t="shared" si="0"/>
        <v xml:space="preserve">CALIFORNIA - 06LNX00102-LINE EXT 80% G               </v>
      </c>
      <c r="J15" s="2501"/>
      <c r="K15" s="2886"/>
    </row>
    <row r="16" spans="1:11" ht="16.7" customHeight="1" x14ac:dyDescent="0.2">
      <c r="A16" s="2749">
        <f t="shared" si="1"/>
        <v>6.0070000000000023</v>
      </c>
      <c r="B16" s="2512" t="s">
        <v>8598</v>
      </c>
      <c r="C16" s="2530">
        <v>0</v>
      </c>
      <c r="D16" s="2530">
        <v>93952</v>
      </c>
      <c r="E16" s="2750">
        <v>0</v>
      </c>
      <c r="F16" s="2530">
        <v>0</v>
      </c>
      <c r="G16" s="2887">
        <v>0</v>
      </c>
      <c r="H16" s="2479" t="str">
        <f t="shared" si="0"/>
        <v xml:space="preserve">CALIFORNIA - 06LNX00109-REF/NREF ADV +               </v>
      </c>
      <c r="J16" s="2501"/>
      <c r="K16" s="2886"/>
    </row>
    <row r="17" spans="1:11" ht="16.7" customHeight="1" x14ac:dyDescent="0.2">
      <c r="A17" s="2749">
        <f t="shared" si="1"/>
        <v>6.0080000000000027</v>
      </c>
      <c r="B17" s="2512" t="s">
        <v>8599</v>
      </c>
      <c r="C17" s="2530">
        <v>0</v>
      </c>
      <c r="D17" s="2530">
        <v>1481</v>
      </c>
      <c r="E17" s="2750">
        <v>0</v>
      </c>
      <c r="F17" s="2530">
        <v>0</v>
      </c>
      <c r="G17" s="2887">
        <v>0</v>
      </c>
      <c r="H17" s="2479" t="str">
        <f t="shared" si="0"/>
        <v xml:space="preserve">CALIFORNIA - 06LNX00110-REF/NREF ADV +               </v>
      </c>
      <c r="J17" s="2501"/>
      <c r="K17" s="2886"/>
    </row>
    <row r="18" spans="1:11" ht="16.7" customHeight="1" x14ac:dyDescent="0.2">
      <c r="A18" s="2749">
        <f t="shared" si="1"/>
        <v>6.009000000000003</v>
      </c>
      <c r="B18" s="2512" t="s">
        <v>8600</v>
      </c>
      <c r="C18" s="2530">
        <v>0</v>
      </c>
      <c r="D18" s="2530">
        <v>918</v>
      </c>
      <c r="E18" s="2750">
        <v>0</v>
      </c>
      <c r="F18" s="2530">
        <v>0</v>
      </c>
      <c r="G18" s="2887">
        <v>0</v>
      </c>
      <c r="H18" s="2479" t="str">
        <f t="shared" si="0"/>
        <v>CALIFORNIA - 06LNX00300 - 80% MONTHLY MIN GUAR + 80%</v>
      </c>
      <c r="J18" s="2501"/>
      <c r="K18" s="2886"/>
    </row>
    <row r="19" spans="1:11" ht="16.7" customHeight="1" x14ac:dyDescent="0.2">
      <c r="A19" s="2749">
        <f t="shared" si="1"/>
        <v>6.0100000000000033</v>
      </c>
      <c r="B19" s="2512" t="s">
        <v>8368</v>
      </c>
      <c r="C19" s="2530">
        <v>0</v>
      </c>
      <c r="D19" s="2530">
        <v>15672</v>
      </c>
      <c r="E19" s="2750">
        <v>0</v>
      </c>
      <c r="F19" s="2530">
        <v>0</v>
      </c>
      <c r="G19" s="2887">
        <v>0</v>
      </c>
      <c r="H19" s="2479" t="str">
        <f t="shared" si="0"/>
        <v>CALIFORNIA - 06LNX00311 - LINE EXT 80% GUARANTEE</v>
      </c>
      <c r="J19" s="2501"/>
      <c r="K19" s="2886"/>
    </row>
    <row r="20" spans="1:11" ht="16.7" customHeight="1" x14ac:dyDescent="0.2">
      <c r="A20" s="2749">
        <f t="shared" si="1"/>
        <v>6.0110000000000037</v>
      </c>
      <c r="B20" s="2512" t="s">
        <v>8601</v>
      </c>
      <c r="C20" s="2530">
        <v>31</v>
      </c>
      <c r="D20" s="2530">
        <v>2584</v>
      </c>
      <c r="E20" s="2750">
        <v>7</v>
      </c>
      <c r="F20" s="2530">
        <v>4429</v>
      </c>
      <c r="G20" s="2887">
        <v>8.3299999999999999E-2</v>
      </c>
      <c r="H20" s="2479" t="str">
        <f t="shared" si="0"/>
        <v>CALIFORNIA - 06NBL25136-CA NET BILL GEN SVC &lt; 20 KW</v>
      </c>
      <c r="J20" s="2501"/>
      <c r="K20" s="2886"/>
    </row>
    <row r="21" spans="1:11" ht="16.7" customHeight="1" x14ac:dyDescent="0.2">
      <c r="A21" s="2749">
        <f t="shared" si="1"/>
        <v>6.012000000000004</v>
      </c>
      <c r="B21" s="2512" t="s">
        <v>8602</v>
      </c>
      <c r="C21" s="2530">
        <v>364</v>
      </c>
      <c r="D21" s="2530">
        <v>57008</v>
      </c>
      <c r="E21" s="2750">
        <v>5</v>
      </c>
      <c r="F21" s="2530">
        <v>72800</v>
      </c>
      <c r="G21" s="2887">
        <v>0.15659999999999999</v>
      </c>
      <c r="H21" s="2479" t="str">
        <f t="shared" si="0"/>
        <v>CALIFORNIA - 06NBL32136-CA NET BILL GEN SVC &gt;= 20 KW</v>
      </c>
      <c r="J21" s="2501"/>
      <c r="K21" s="2886"/>
    </row>
    <row r="22" spans="1:11" ht="16.7" customHeight="1" x14ac:dyDescent="0.2">
      <c r="A22" s="2749">
        <f t="shared" si="1"/>
        <v>6.0130000000000043</v>
      </c>
      <c r="B22" s="2512" t="s">
        <v>8603</v>
      </c>
      <c r="C22" s="2530">
        <v>3308</v>
      </c>
      <c r="D22" s="2888">
        <f>462439-1</f>
        <v>462438</v>
      </c>
      <c r="E22" s="2911">
        <f>6-1</f>
        <v>5</v>
      </c>
      <c r="F22" s="2530">
        <v>551333</v>
      </c>
      <c r="G22" s="2887">
        <v>0.13980000000000001</v>
      </c>
      <c r="H22" s="2479" t="str">
        <f t="shared" si="0"/>
        <v>CALIFORNIA - 06NMT36135-CA GEN SVC NET MTR-&gt;100 KW</v>
      </c>
      <c r="J22" s="2501"/>
      <c r="K22" s="2886"/>
    </row>
    <row r="23" spans="1:11" ht="16.7" customHeight="1" x14ac:dyDescent="0.2">
      <c r="A23" s="2749">
        <f t="shared" si="1"/>
        <v>6.0140000000000047</v>
      </c>
      <c r="B23" s="2512" t="s">
        <v>8604</v>
      </c>
      <c r="C23" s="2530">
        <v>568</v>
      </c>
      <c r="D23" s="2530">
        <v>165027</v>
      </c>
      <c r="E23" s="2750">
        <v>429</v>
      </c>
      <c r="F23" s="2530">
        <v>1324</v>
      </c>
      <c r="G23" s="2887">
        <v>0.29049999999999998</v>
      </c>
      <c r="H23" s="2479" t="str">
        <f t="shared" si="0"/>
        <v xml:space="preserve">CALIFORNIA - 06OALT015N-OUTD AR LGT SR               </v>
      </c>
      <c r="J23" s="2501"/>
      <c r="K23" s="2886"/>
    </row>
    <row r="24" spans="1:11" ht="16.7" customHeight="1" x14ac:dyDescent="0.2">
      <c r="A24" s="2749">
        <f t="shared" si="1"/>
        <v>6.015000000000005</v>
      </c>
      <c r="B24" s="2512" t="s">
        <v>8605</v>
      </c>
      <c r="C24" s="2530">
        <v>180</v>
      </c>
      <c r="D24" s="2530">
        <v>40745</v>
      </c>
      <c r="E24" s="2750">
        <v>37</v>
      </c>
      <c r="F24" s="2530">
        <v>4865</v>
      </c>
      <c r="G24" s="2887">
        <v>0.22639999999999999</v>
      </c>
      <c r="H24" s="2479" t="str">
        <f t="shared" si="0"/>
        <v xml:space="preserve">CALIFORNIA - 06RCFL0042-AIRWAY &amp; ATHLE               </v>
      </c>
      <c r="J24" s="2501"/>
      <c r="K24" s="2886"/>
    </row>
    <row r="25" spans="1:11" ht="16.7" customHeight="1" x14ac:dyDescent="0.2">
      <c r="A25" s="2749">
        <f t="shared" si="1"/>
        <v>6.0160000000000053</v>
      </c>
      <c r="B25" s="2512" t="s">
        <v>8606</v>
      </c>
      <c r="C25" s="2530">
        <v>273</v>
      </c>
      <c r="D25" s="2530">
        <v>32300</v>
      </c>
      <c r="E25" s="2750">
        <v>45</v>
      </c>
      <c r="F25" s="2530">
        <v>6067</v>
      </c>
      <c r="G25" s="2887">
        <v>0.1183</v>
      </c>
      <c r="H25" s="2479" t="str">
        <f t="shared" si="0"/>
        <v>CALIFORNIA - 06NMT25135-CA GEN SVC NET MTR&lt;20KW</v>
      </c>
      <c r="J25" s="2501"/>
      <c r="K25" s="2886"/>
    </row>
    <row r="26" spans="1:11" ht="16.7" customHeight="1" x14ac:dyDescent="0.2">
      <c r="A26" s="2749">
        <f t="shared" si="1"/>
        <v>6.0170000000000057</v>
      </c>
      <c r="B26" s="2512" t="s">
        <v>8607</v>
      </c>
      <c r="C26" s="2530">
        <v>3819</v>
      </c>
      <c r="D26" s="2530">
        <v>621275</v>
      </c>
      <c r="E26" s="2750">
        <v>35</v>
      </c>
      <c r="F26" s="2530">
        <v>109114</v>
      </c>
      <c r="G26" s="2887">
        <v>0.16270000000000001</v>
      </c>
      <c r="H26" s="2479" t="str">
        <f t="shared" si="0"/>
        <v>CALIFORNIA - 06NMT32135-CA GEN SVC NET MTR&gt;20KW</v>
      </c>
      <c r="J26" s="2501"/>
      <c r="K26" s="2886"/>
    </row>
    <row r="27" spans="1:11" ht="16.7" customHeight="1" x14ac:dyDescent="0.2">
      <c r="A27" s="2749">
        <f t="shared" si="1"/>
        <v>6.018000000000006</v>
      </c>
      <c r="B27" s="2512" t="s">
        <v>8382</v>
      </c>
      <c r="C27" s="2530">
        <v>0</v>
      </c>
      <c r="D27" s="2530">
        <v>92368</v>
      </c>
      <c r="E27" s="2750">
        <v>0</v>
      </c>
      <c r="F27" s="2530">
        <v>0</v>
      </c>
      <c r="G27" s="2887">
        <v>0</v>
      </c>
      <c r="H27" s="2479" t="str">
        <f t="shared" si="0"/>
        <v>CALIFORNIA - INCOME TAX DEFERRAL ADJUSTMENTS</v>
      </c>
      <c r="J27" s="2501"/>
      <c r="K27" s="2886"/>
    </row>
    <row r="28" spans="1:11" ht="16.7" customHeight="1" x14ac:dyDescent="0.2">
      <c r="A28" s="2749">
        <f t="shared" si="1"/>
        <v>6.0190000000000063</v>
      </c>
      <c r="B28" s="2512" t="s">
        <v>8383</v>
      </c>
      <c r="C28" s="2530">
        <v>0</v>
      </c>
      <c r="D28" s="2530">
        <v>-452667</v>
      </c>
      <c r="E28" s="2750">
        <v>0</v>
      </c>
      <c r="F28" s="2530">
        <v>0</v>
      </c>
      <c r="G28" s="2887">
        <v>0</v>
      </c>
      <c r="H28" s="2479" t="str">
        <f t="shared" si="0"/>
        <v>CALIFORNIA - REVENUE_ACCOUNTING ADJUSTMENTS</v>
      </c>
      <c r="J28" s="2501"/>
      <c r="K28" s="2886"/>
    </row>
    <row r="29" spans="1:11" ht="16.7" customHeight="1" x14ac:dyDescent="0.2">
      <c r="A29" s="2749">
        <f t="shared" si="1"/>
        <v>6.0200000000000067</v>
      </c>
      <c r="B29" s="2512" t="s">
        <v>8384</v>
      </c>
      <c r="C29" s="2530">
        <v>0</v>
      </c>
      <c r="D29" s="2530">
        <v>60695</v>
      </c>
      <c r="E29" s="2750">
        <v>0</v>
      </c>
      <c r="F29" s="2530">
        <v>0</v>
      </c>
      <c r="G29" s="2887">
        <v>0</v>
      </c>
      <c r="H29" s="2479" t="str">
        <f t="shared" si="0"/>
        <v>CALIFORNIA - REVENUE ADJUSTMENT - DEFERRED NPC</v>
      </c>
      <c r="J29" s="2501"/>
      <c r="K29" s="2886"/>
    </row>
    <row r="30" spans="1:11" ht="16.7" customHeight="1" x14ac:dyDescent="0.2">
      <c r="A30" s="2749">
        <f t="shared" si="1"/>
        <v>6.021000000000007</v>
      </c>
      <c r="B30" s="2512" t="s">
        <v>8608</v>
      </c>
      <c r="C30" s="2530">
        <v>0</v>
      </c>
      <c r="D30" s="2530">
        <v>197350</v>
      </c>
      <c r="E30" s="2750">
        <v>0</v>
      </c>
      <c r="F30" s="2530">
        <v>0</v>
      </c>
      <c r="G30" s="2887">
        <v>0</v>
      </c>
      <c r="H30" s="2479" t="str">
        <f t="shared" si="0"/>
        <v>CALIFORNIA - DSM REVENUE-COMMERCIAL</v>
      </c>
      <c r="J30" s="2501"/>
      <c r="K30" s="2886"/>
    </row>
    <row r="31" spans="1:11" ht="16.7" customHeight="1" x14ac:dyDescent="0.2">
      <c r="A31" s="2749">
        <f t="shared" si="1"/>
        <v>6.0220000000000073</v>
      </c>
      <c r="B31" s="2512" t="s">
        <v>8609</v>
      </c>
      <c r="C31" s="2530">
        <v>0</v>
      </c>
      <c r="D31" s="2530">
        <v>4269</v>
      </c>
      <c r="E31" s="2750">
        <v>0</v>
      </c>
      <c r="F31" s="2530">
        <v>0</v>
      </c>
      <c r="G31" s="2887">
        <v>0</v>
      </c>
      <c r="H31" s="2479" t="str">
        <f t="shared" si="0"/>
        <v>CALIFORNIA - BLUE SKY REVENUE-COMMERCIAL</v>
      </c>
      <c r="J31" s="2501"/>
      <c r="K31" s="2886"/>
    </row>
    <row r="32" spans="1:11" ht="16.7" customHeight="1" x14ac:dyDescent="0.2">
      <c r="A32" s="2749">
        <f t="shared" si="1"/>
        <v>6.0230000000000077</v>
      </c>
      <c r="B32" s="2512" t="s">
        <v>8388</v>
      </c>
      <c r="C32" s="2530">
        <v>0</v>
      </c>
      <c r="D32" s="2530">
        <v>3009</v>
      </c>
      <c r="E32" s="2750">
        <v>0</v>
      </c>
      <c r="F32" s="2530">
        <v>0</v>
      </c>
      <c r="G32" s="2887">
        <v>0</v>
      </c>
      <c r="H32" s="2479" t="str">
        <f t="shared" si="0"/>
        <v>CALIFORNIA - OTHER CUSTOMER RETAIL REVENUE</v>
      </c>
      <c r="J32" s="2501"/>
      <c r="K32" s="2886"/>
    </row>
    <row r="33" spans="1:11" ht="16.7" customHeight="1" x14ac:dyDescent="0.2">
      <c r="A33" s="2489"/>
      <c r="B33" s="2669"/>
      <c r="C33" s="2488"/>
      <c r="D33" s="2488"/>
      <c r="E33" s="2488"/>
      <c r="F33" s="2488"/>
      <c r="G33" s="2488"/>
      <c r="H33" s="2479"/>
      <c r="J33" s="2501"/>
      <c r="K33" s="2886"/>
    </row>
    <row r="34" spans="1:11" ht="16.7" customHeight="1" x14ac:dyDescent="0.2">
      <c r="A34" s="2489"/>
      <c r="B34" s="2669" t="s">
        <v>8389</v>
      </c>
      <c r="C34" s="2488"/>
      <c r="D34" s="2488"/>
      <c r="E34" s="2488"/>
      <c r="F34" s="2488"/>
      <c r="G34" s="2488"/>
      <c r="H34" s="2479" t="str">
        <f t="shared" ref="H34:H97" si="2">B34</f>
        <v>IDAHO</v>
      </c>
      <c r="J34" s="2501"/>
      <c r="K34" s="2886"/>
    </row>
    <row r="35" spans="1:11" ht="16.7" customHeight="1" x14ac:dyDescent="0.2">
      <c r="A35" s="2749">
        <v>6.024</v>
      </c>
      <c r="B35" s="2512" t="s">
        <v>8610</v>
      </c>
      <c r="C35" s="2530">
        <v>242365</v>
      </c>
      <c r="D35" s="2530">
        <v>21522931</v>
      </c>
      <c r="E35" s="2750">
        <v>1012</v>
      </c>
      <c r="F35" s="2530">
        <v>239491</v>
      </c>
      <c r="G35" s="2887">
        <v>8.8800000000000004E-2</v>
      </c>
      <c r="H35" s="2479" t="str">
        <f t="shared" si="2"/>
        <v xml:space="preserve">IDAHO - 07GNSV0006-GEN SRVC-LRG P               </v>
      </c>
      <c r="J35" s="2501"/>
      <c r="K35" s="2886"/>
    </row>
    <row r="36" spans="1:11" ht="16.7" customHeight="1" x14ac:dyDescent="0.2">
      <c r="A36" s="2749">
        <f t="shared" ref="A36:A63" si="3">A35+0.001</f>
        <v>6.0250000000000004</v>
      </c>
      <c r="B36" s="2512" t="s">
        <v>8611</v>
      </c>
      <c r="C36" s="2530">
        <v>55557</v>
      </c>
      <c r="D36" s="2530">
        <v>3722868</v>
      </c>
      <c r="E36" s="2750">
        <v>3</v>
      </c>
      <c r="F36" s="2530">
        <v>18519000</v>
      </c>
      <c r="G36" s="2887">
        <v>6.7000000000000004E-2</v>
      </c>
      <c r="H36" s="2479" t="str">
        <f t="shared" si="2"/>
        <v xml:space="preserve">IDAHO - 07GNSV0009-GEN SRVC-HI VO               </v>
      </c>
      <c r="J36" s="2501"/>
      <c r="K36" s="2886"/>
    </row>
    <row r="37" spans="1:11" ht="16.7" customHeight="1" x14ac:dyDescent="0.2">
      <c r="A37" s="2749">
        <f t="shared" si="3"/>
        <v>6.0260000000000007</v>
      </c>
      <c r="B37" s="2512" t="s">
        <v>8612</v>
      </c>
      <c r="C37" s="2530">
        <v>202852</v>
      </c>
      <c r="D37" s="2530">
        <v>20484753</v>
      </c>
      <c r="E37" s="2750">
        <v>8348</v>
      </c>
      <c r="F37" s="2530">
        <v>24299</v>
      </c>
      <c r="G37" s="2887">
        <v>0.10100000000000001</v>
      </c>
      <c r="H37" s="2479" t="str">
        <f t="shared" si="2"/>
        <v xml:space="preserve">IDAHO - 07GNSV0023-GEN SRVC-SML P               </v>
      </c>
      <c r="J37" s="2501"/>
      <c r="K37" s="2886"/>
    </row>
    <row r="38" spans="1:11" ht="16.7" customHeight="1" x14ac:dyDescent="0.2">
      <c r="A38" s="2749">
        <f t="shared" si="3"/>
        <v>6.027000000000001</v>
      </c>
      <c r="B38" s="2512" t="s">
        <v>8613</v>
      </c>
      <c r="C38" s="2530">
        <v>325</v>
      </c>
      <c r="D38" s="2530">
        <v>30811</v>
      </c>
      <c r="E38" s="2750">
        <v>3</v>
      </c>
      <c r="F38" s="2530">
        <v>108333</v>
      </c>
      <c r="G38" s="2887">
        <v>9.4799999999999995E-2</v>
      </c>
      <c r="H38" s="2479" t="str">
        <f t="shared" si="2"/>
        <v xml:space="preserve">IDAHO - 07GNSV0035-GEN SRVCOPTION               </v>
      </c>
      <c r="J38" s="2501"/>
      <c r="K38" s="2886"/>
    </row>
    <row r="39" spans="1:11" ht="16.7" customHeight="1" x14ac:dyDescent="0.2">
      <c r="A39" s="2749">
        <f t="shared" si="3"/>
        <v>6.0280000000000014</v>
      </c>
      <c r="B39" s="2512" t="s">
        <v>8614</v>
      </c>
      <c r="C39" s="2530">
        <v>19807</v>
      </c>
      <c r="D39" s="2888">
        <f>1825451-1</f>
        <v>1825450</v>
      </c>
      <c r="E39" s="2911">
        <f>159-1</f>
        <v>158</v>
      </c>
      <c r="F39" s="2530">
        <v>124572</v>
      </c>
      <c r="G39" s="2887">
        <v>9.2200000000000004E-2</v>
      </c>
      <c r="H39" s="2479" t="str">
        <f t="shared" si="2"/>
        <v xml:space="preserve">IDAHO - 07GNSV006A-GEN SRVC-LRG P               </v>
      </c>
      <c r="J39" s="2501"/>
      <c r="K39" s="2886"/>
    </row>
    <row r="40" spans="1:11" ht="16.7" customHeight="1" x14ac:dyDescent="0.2">
      <c r="A40" s="2749">
        <f t="shared" si="3"/>
        <v>6.0290000000000017</v>
      </c>
      <c r="B40" s="2512" t="s">
        <v>8615</v>
      </c>
      <c r="C40" s="2530">
        <v>30334</v>
      </c>
      <c r="D40" s="2530">
        <v>3053794</v>
      </c>
      <c r="E40" s="2750">
        <v>1268</v>
      </c>
      <c r="F40" s="2530">
        <v>23923</v>
      </c>
      <c r="G40" s="2887">
        <v>0.1007</v>
      </c>
      <c r="H40" s="2479" t="str">
        <f t="shared" si="2"/>
        <v xml:space="preserve">IDAHO - 07GNSV023A-GEN SRVC-SML P               </v>
      </c>
      <c r="J40" s="2501"/>
      <c r="K40" s="2886"/>
    </row>
    <row r="41" spans="1:11" ht="16.7" customHeight="1" x14ac:dyDescent="0.2">
      <c r="A41" s="2749">
        <f t="shared" si="3"/>
        <v>6.030000000000002</v>
      </c>
      <c r="B41" s="2512" t="s">
        <v>8616</v>
      </c>
      <c r="C41" s="2530">
        <v>6</v>
      </c>
      <c r="D41" s="2530">
        <v>1877</v>
      </c>
      <c r="E41" s="2750">
        <v>4</v>
      </c>
      <c r="F41" s="2530">
        <v>1500</v>
      </c>
      <c r="G41" s="2887">
        <v>0.31290000000000001</v>
      </c>
      <c r="H41" s="2479" t="str">
        <f t="shared" si="2"/>
        <v xml:space="preserve">IDAHO - 07GNSV023F-GEN SRVC SML P               </v>
      </c>
      <c r="J41" s="2501"/>
      <c r="K41" s="2886"/>
    </row>
    <row r="42" spans="1:11" ht="16.7" customHeight="1" x14ac:dyDescent="0.2">
      <c r="A42" s="2749">
        <f t="shared" si="3"/>
        <v>6.0310000000000024</v>
      </c>
      <c r="B42" s="2512" t="s">
        <v>8617</v>
      </c>
      <c r="C42" s="2530">
        <v>50</v>
      </c>
      <c r="D42" s="2530">
        <v>7212</v>
      </c>
      <c r="E42" s="2750">
        <v>1</v>
      </c>
      <c r="F42" s="2530">
        <v>50000</v>
      </c>
      <c r="G42" s="2887">
        <v>0.14419999999999999</v>
      </c>
      <c r="H42" s="2479" t="str">
        <f t="shared" si="2"/>
        <v xml:space="preserve">IDAHO - 07GNSV035A-GEN SRVCOPTION               </v>
      </c>
      <c r="J42" s="2501"/>
      <c r="K42" s="2886"/>
    </row>
    <row r="43" spans="1:11" ht="16.7" customHeight="1" x14ac:dyDescent="0.2">
      <c r="A43" s="2749">
        <f t="shared" si="3"/>
        <v>6.0320000000000027</v>
      </c>
      <c r="B43" s="2512" t="s">
        <v>8391</v>
      </c>
      <c r="C43" s="2530">
        <v>0</v>
      </c>
      <c r="D43" s="2530">
        <v>25091</v>
      </c>
      <c r="E43" s="2750">
        <v>0</v>
      </c>
      <c r="F43" s="2530">
        <v>0</v>
      </c>
      <c r="G43" s="2887">
        <v>0</v>
      </c>
      <c r="H43" s="2479" t="str">
        <f t="shared" si="2"/>
        <v xml:space="preserve">IDAHO - 07LNX00010-MNTHLY 80%GUAR               </v>
      </c>
      <c r="J43" s="2501"/>
      <c r="K43" s="2886"/>
    </row>
    <row r="44" spans="1:11" ht="16.7" customHeight="1" x14ac:dyDescent="0.2">
      <c r="A44" s="2749">
        <f t="shared" si="3"/>
        <v>6.033000000000003</v>
      </c>
      <c r="B44" s="2512" t="s">
        <v>8618</v>
      </c>
      <c r="C44" s="2530">
        <v>0</v>
      </c>
      <c r="D44" s="2530">
        <v>219643</v>
      </c>
      <c r="E44" s="2750">
        <v>0</v>
      </c>
      <c r="F44" s="2530">
        <v>0</v>
      </c>
      <c r="G44" s="2887">
        <v>0</v>
      </c>
      <c r="H44" s="2479" t="str">
        <f t="shared" si="2"/>
        <v xml:space="preserve">IDAHO - 07LNX00035-ADV 80%MO GUAR               </v>
      </c>
      <c r="J44" s="2501"/>
      <c r="K44" s="2886"/>
    </row>
    <row r="45" spans="1:11" ht="16.7" customHeight="1" x14ac:dyDescent="0.2">
      <c r="A45" s="2749">
        <f t="shared" si="3"/>
        <v>6.0340000000000034</v>
      </c>
      <c r="B45" s="2512" t="s">
        <v>8619</v>
      </c>
      <c r="C45" s="2530">
        <v>0</v>
      </c>
      <c r="D45" s="2530">
        <v>22830</v>
      </c>
      <c r="E45" s="2750">
        <v>0</v>
      </c>
      <c r="F45" s="2530">
        <v>0</v>
      </c>
      <c r="G45" s="2887">
        <v>0</v>
      </c>
      <c r="H45" s="2479" t="str">
        <f t="shared" si="2"/>
        <v xml:space="preserve">IDAHO - 07LNX00040-ADV+REFCHG+80%               </v>
      </c>
      <c r="J45" s="2501"/>
      <c r="K45" s="2886"/>
    </row>
    <row r="46" spans="1:11" ht="16.7" customHeight="1" x14ac:dyDescent="0.2">
      <c r="A46" s="2749">
        <f t="shared" si="3"/>
        <v>6.0350000000000037</v>
      </c>
      <c r="B46" s="2512" t="s">
        <v>8620</v>
      </c>
      <c r="C46" s="2530">
        <v>222</v>
      </c>
      <c r="D46" s="2530">
        <v>44227</v>
      </c>
      <c r="E46" s="2750">
        <v>159</v>
      </c>
      <c r="F46" s="2530">
        <v>1396</v>
      </c>
      <c r="G46" s="2887">
        <v>0.19919999999999999</v>
      </c>
      <c r="H46" s="2479" t="str">
        <f t="shared" si="2"/>
        <v xml:space="preserve">IDAHO - 07OALT007N-SECURITY AR LG               </v>
      </c>
      <c r="J46" s="2501"/>
      <c r="K46" s="2886"/>
    </row>
    <row r="47" spans="1:11" ht="16.7" customHeight="1" x14ac:dyDescent="0.2">
      <c r="A47" s="2749">
        <f t="shared" si="3"/>
        <v>6.036000000000004</v>
      </c>
      <c r="B47" s="2512" t="s">
        <v>8621</v>
      </c>
      <c r="C47" s="2530">
        <v>8</v>
      </c>
      <c r="D47" s="2530">
        <v>2269</v>
      </c>
      <c r="E47" s="2750">
        <v>11</v>
      </c>
      <c r="F47" s="2530">
        <v>727</v>
      </c>
      <c r="G47" s="2887">
        <v>0.28360000000000002</v>
      </c>
      <c r="H47" s="2479" t="str">
        <f t="shared" si="2"/>
        <v xml:space="preserve">IDAHO - 07OALT07AN-SECURITY AR LG               </v>
      </c>
      <c r="J47" s="2501"/>
      <c r="K47" s="2886"/>
    </row>
    <row r="48" spans="1:11" ht="16.7" customHeight="1" x14ac:dyDescent="0.2">
      <c r="A48" s="2749">
        <f t="shared" si="3"/>
        <v>6.0370000000000044</v>
      </c>
      <c r="B48" s="2512" t="s">
        <v>8622</v>
      </c>
      <c r="C48" s="2530">
        <v>0</v>
      </c>
      <c r="D48" s="2530">
        <v>1352</v>
      </c>
      <c r="E48" s="2750">
        <v>0</v>
      </c>
      <c r="F48" s="2530">
        <v>0</v>
      </c>
      <c r="G48" s="2887">
        <v>0</v>
      </c>
      <c r="H48" s="2479" t="str">
        <f t="shared" si="2"/>
        <v>IDAHO - 07TCVLNAGN-TCV LNX ANNUAL GAR-NON RES</v>
      </c>
      <c r="J48" s="2501"/>
      <c r="K48" s="2886"/>
    </row>
    <row r="49" spans="1:11" ht="16.7" customHeight="1" x14ac:dyDescent="0.2">
      <c r="A49" s="2749">
        <f t="shared" si="3"/>
        <v>6.0380000000000047</v>
      </c>
      <c r="B49" s="2512" t="s">
        <v>8623</v>
      </c>
      <c r="C49" s="2530">
        <v>0</v>
      </c>
      <c r="D49" s="2530">
        <v>1890</v>
      </c>
      <c r="E49" s="2750">
        <v>0</v>
      </c>
      <c r="F49" s="2530">
        <v>0</v>
      </c>
      <c r="G49" s="2887">
        <v>0</v>
      </c>
      <c r="H49" s="2479" t="str">
        <f t="shared" si="2"/>
        <v>IDAHO - 07TCVLNXGN-TCV LNX - 80% GAR - NON RES</v>
      </c>
      <c r="J49" s="2501"/>
      <c r="K49" s="2886"/>
    </row>
    <row r="50" spans="1:11" ht="16.7" customHeight="1" x14ac:dyDescent="0.2">
      <c r="A50" s="2749">
        <f t="shared" si="3"/>
        <v>6.039000000000005</v>
      </c>
      <c r="B50" s="2512" t="s">
        <v>8624</v>
      </c>
      <c r="C50" s="2530">
        <v>0</v>
      </c>
      <c r="D50" s="2530">
        <v>15251</v>
      </c>
      <c r="E50" s="2750">
        <v>0</v>
      </c>
      <c r="F50" s="2530">
        <v>0</v>
      </c>
      <c r="G50" s="2887">
        <v>0</v>
      </c>
      <c r="H50" s="2479" t="str">
        <f t="shared" si="2"/>
        <v>IDAHO - 07LNX00312 - ID LINE EXT</v>
      </c>
      <c r="J50" s="2501"/>
      <c r="K50" s="2886"/>
    </row>
    <row r="51" spans="1:11" ht="16.7" customHeight="1" x14ac:dyDescent="0.2">
      <c r="A51" s="2749">
        <f t="shared" si="3"/>
        <v>6.0400000000000054</v>
      </c>
      <c r="B51" s="2512" t="s">
        <v>8625</v>
      </c>
      <c r="C51" s="2530">
        <v>369</v>
      </c>
      <c r="D51" s="2530">
        <v>25457</v>
      </c>
      <c r="E51" s="2750">
        <v>16</v>
      </c>
      <c r="F51" s="2530">
        <v>23063</v>
      </c>
      <c r="G51" s="2887">
        <v>6.9000000000000006E-2</v>
      </c>
      <c r="H51" s="2479" t="str">
        <f t="shared" si="2"/>
        <v>IDAHO - 07NBL23136-ID NET BILLING SML GEN SVC</v>
      </c>
      <c r="J51" s="2501"/>
      <c r="K51" s="2886"/>
    </row>
    <row r="52" spans="1:11" ht="16.7" customHeight="1" x14ac:dyDescent="0.2">
      <c r="A52" s="2749">
        <f t="shared" si="3"/>
        <v>6.0410000000000057</v>
      </c>
      <c r="B52" s="2512" t="s">
        <v>8626</v>
      </c>
      <c r="C52" s="2530">
        <v>242</v>
      </c>
      <c r="D52" s="2530">
        <v>23044</v>
      </c>
      <c r="E52" s="2750">
        <v>1</v>
      </c>
      <c r="F52" s="2530">
        <v>242000</v>
      </c>
      <c r="G52" s="2887">
        <v>9.5200000000000007E-2</v>
      </c>
      <c r="H52" s="2479" t="str">
        <f t="shared" si="2"/>
        <v>IDAHO - 07NBL6A136-ID NET BILLING LRG GEN SVC</v>
      </c>
      <c r="J52" s="2501"/>
      <c r="K52" s="2886"/>
    </row>
    <row r="53" spans="1:11" ht="16.7" customHeight="1" x14ac:dyDescent="0.2">
      <c r="A53" s="2749">
        <f t="shared" si="3"/>
        <v>6.042000000000006</v>
      </c>
      <c r="B53" s="2512" t="s">
        <v>8627</v>
      </c>
      <c r="C53" s="2530">
        <v>3197</v>
      </c>
      <c r="D53" s="2530">
        <v>292938</v>
      </c>
      <c r="E53" s="2750">
        <v>8</v>
      </c>
      <c r="F53" s="2530">
        <v>399625</v>
      </c>
      <c r="G53" s="2887">
        <v>9.1600000000000001E-2</v>
      </c>
      <c r="H53" s="2479" t="str">
        <f t="shared" si="2"/>
        <v>IDAHO - 07NMT06135 - ID NET MTR - LARGE GEN SVC</v>
      </c>
      <c r="J53" s="2501"/>
      <c r="K53" s="2886"/>
    </row>
    <row r="54" spans="1:11" ht="16.7" customHeight="1" x14ac:dyDescent="0.2">
      <c r="A54" s="2749">
        <f t="shared" si="3"/>
        <v>6.0430000000000064</v>
      </c>
      <c r="B54" s="2512" t="s">
        <v>8628</v>
      </c>
      <c r="C54" s="2530">
        <v>1480</v>
      </c>
      <c r="D54" s="2530">
        <v>131417</v>
      </c>
      <c r="E54" s="2750">
        <v>43</v>
      </c>
      <c r="F54" s="2530">
        <v>34419</v>
      </c>
      <c r="G54" s="2887">
        <v>8.8800000000000004E-2</v>
      </c>
      <c r="H54" s="2479" t="str">
        <f t="shared" si="2"/>
        <v>IDAHO - 07NMT23135 - ID NET MTR - SMALL GEN SVC</v>
      </c>
      <c r="J54" s="2501"/>
      <c r="K54" s="2886"/>
    </row>
    <row r="55" spans="1:11" ht="16.7" customHeight="1" x14ac:dyDescent="0.2">
      <c r="A55" s="2749">
        <f t="shared" si="3"/>
        <v>6.0440000000000067</v>
      </c>
      <c r="B55" s="2512" t="s">
        <v>8629</v>
      </c>
      <c r="C55" s="2530">
        <v>92</v>
      </c>
      <c r="D55" s="2530">
        <v>8535</v>
      </c>
      <c r="E55" s="2750">
        <v>1</v>
      </c>
      <c r="F55" s="2530">
        <v>92000</v>
      </c>
      <c r="G55" s="2887">
        <v>9.2799999999999994E-2</v>
      </c>
      <c r="H55" s="2479" t="str">
        <f t="shared" si="2"/>
        <v>IDAHO - 07NMT6A135-NET METERING LARGE GEN SVC</v>
      </c>
      <c r="J55" s="2501"/>
      <c r="K55" s="2886"/>
    </row>
    <row r="56" spans="1:11" ht="16.7" customHeight="1" x14ac:dyDescent="0.2">
      <c r="A56" s="2749">
        <f t="shared" si="3"/>
        <v>6.045000000000007</v>
      </c>
      <c r="B56" s="2512" t="s">
        <v>8630</v>
      </c>
      <c r="C56" s="2530">
        <v>0</v>
      </c>
      <c r="D56" s="2530">
        <v>489</v>
      </c>
      <c r="E56" s="2750">
        <v>0</v>
      </c>
      <c r="F56" s="2530">
        <v>0</v>
      </c>
      <c r="G56" s="2887">
        <v>0</v>
      </c>
      <c r="H56" s="2479" t="str">
        <f t="shared" si="2"/>
        <v xml:space="preserve">IDAHO - 07LNX00015-ANNUAL 80%GUAR               </v>
      </c>
      <c r="J56" s="2501"/>
      <c r="K56" s="2886"/>
    </row>
    <row r="57" spans="1:11" ht="16.7" customHeight="1" x14ac:dyDescent="0.2">
      <c r="A57" s="2749">
        <f t="shared" si="3"/>
        <v>6.0460000000000074</v>
      </c>
      <c r="B57" s="2512" t="s">
        <v>8631</v>
      </c>
      <c r="C57" s="2530">
        <v>0</v>
      </c>
      <c r="D57" s="2530">
        <v>27273</v>
      </c>
      <c r="E57" s="2750">
        <v>0</v>
      </c>
      <c r="F57" s="2530">
        <v>0</v>
      </c>
      <c r="G57" s="2887">
        <v>0</v>
      </c>
      <c r="H57" s="2479" t="str">
        <f t="shared" si="2"/>
        <v>IDAHO - 07LNX00311 - LINE EXT 80% GUARANTEE</v>
      </c>
      <c r="J57" s="2501"/>
      <c r="K57" s="2886"/>
    </row>
    <row r="58" spans="1:11" ht="16.7" customHeight="1" x14ac:dyDescent="0.2">
      <c r="A58" s="2749">
        <f t="shared" si="3"/>
        <v>6.0470000000000077</v>
      </c>
      <c r="B58" s="2512" t="s">
        <v>8632</v>
      </c>
      <c r="C58" s="2530">
        <v>0</v>
      </c>
      <c r="D58" s="2530">
        <v>1249</v>
      </c>
      <c r="E58" s="2750">
        <v>0</v>
      </c>
      <c r="F58" s="2530">
        <v>0</v>
      </c>
      <c r="G58" s="2887">
        <v>0</v>
      </c>
      <c r="H58" s="2479" t="str">
        <f t="shared" si="2"/>
        <v>IDAHO - 07LNX00300 - 80% MONTHLY MIN GUAR + 80%</v>
      </c>
      <c r="J58" s="2501"/>
      <c r="K58" s="2886"/>
    </row>
    <row r="59" spans="1:11" ht="16.7" customHeight="1" x14ac:dyDescent="0.2">
      <c r="A59" s="2749">
        <f t="shared" si="3"/>
        <v>6.048000000000008</v>
      </c>
      <c r="B59" s="2512" t="s">
        <v>8633</v>
      </c>
      <c r="C59" s="2530">
        <v>0</v>
      </c>
      <c r="D59" s="2530">
        <v>926</v>
      </c>
      <c r="E59" s="2750">
        <v>0</v>
      </c>
      <c r="F59" s="2530">
        <v>0</v>
      </c>
      <c r="G59" s="2887">
        <v>0</v>
      </c>
      <c r="H59" s="2479" t="str">
        <f t="shared" si="2"/>
        <v>IDAHO - 07LNX00310 80% ANNUAL GUARANTEE</v>
      </c>
      <c r="J59" s="2501"/>
      <c r="K59" s="2886"/>
    </row>
    <row r="60" spans="1:11" ht="16.7" customHeight="1" x14ac:dyDescent="0.2">
      <c r="A60" s="2749">
        <f t="shared" si="3"/>
        <v>6.0490000000000084</v>
      </c>
      <c r="B60" s="2512" t="s">
        <v>8406</v>
      </c>
      <c r="C60" s="2530">
        <v>0</v>
      </c>
      <c r="D60" s="2530">
        <v>337228</v>
      </c>
      <c r="E60" s="2750">
        <v>0</v>
      </c>
      <c r="F60" s="2530">
        <v>0</v>
      </c>
      <c r="G60" s="2887">
        <v>0</v>
      </c>
      <c r="H60" s="2479" t="str">
        <f t="shared" si="2"/>
        <v>IDAHO - REVENUE_ACCOUNTING ADJUSTMENTS</v>
      </c>
      <c r="J60" s="2501"/>
      <c r="K60" s="2886"/>
    </row>
    <row r="61" spans="1:11" ht="16.7" customHeight="1" x14ac:dyDescent="0.2">
      <c r="A61" s="2749">
        <f t="shared" si="3"/>
        <v>6.0500000000000087</v>
      </c>
      <c r="B61" s="2512" t="s">
        <v>8634</v>
      </c>
      <c r="C61" s="2530">
        <v>0</v>
      </c>
      <c r="D61" s="2888">
        <f>1479138-1</f>
        <v>1479137</v>
      </c>
      <c r="E61" s="2750">
        <v>0</v>
      </c>
      <c r="F61" s="2530">
        <v>0</v>
      </c>
      <c r="G61" s="2887">
        <v>0</v>
      </c>
      <c r="H61" s="2479" t="str">
        <f t="shared" si="2"/>
        <v>IDAHO - DSM REVENUE-COMMERCIAL</v>
      </c>
      <c r="J61" s="2501"/>
      <c r="K61" s="2886"/>
    </row>
    <row r="62" spans="1:11" ht="16.7" customHeight="1" x14ac:dyDescent="0.2">
      <c r="A62" s="2749">
        <f t="shared" si="3"/>
        <v>6.051000000000009</v>
      </c>
      <c r="B62" s="2512" t="s">
        <v>8635</v>
      </c>
      <c r="C62" s="2530">
        <v>0</v>
      </c>
      <c r="D62" s="2530">
        <v>3153</v>
      </c>
      <c r="E62" s="2750">
        <v>1</v>
      </c>
      <c r="F62" s="2530">
        <v>0</v>
      </c>
      <c r="G62" s="2887">
        <v>0</v>
      </c>
      <c r="H62" s="2479" t="str">
        <f t="shared" si="2"/>
        <v>IDAHO - BLUE SKY REVENUE-COMMERCIAL</v>
      </c>
      <c r="J62" s="2501"/>
      <c r="K62" s="2886"/>
    </row>
    <row r="63" spans="1:11" ht="16.7" customHeight="1" x14ac:dyDescent="0.2">
      <c r="A63" s="2749">
        <f t="shared" si="3"/>
        <v>6.0520000000000094</v>
      </c>
      <c r="B63" s="2512"/>
      <c r="C63" s="2488"/>
      <c r="D63" s="2488"/>
      <c r="E63" s="2488"/>
      <c r="F63" s="2488"/>
      <c r="G63" s="2488"/>
      <c r="H63" s="2595">
        <f t="shared" si="2"/>
        <v>0</v>
      </c>
      <c r="J63" s="2501"/>
      <c r="K63" s="2886"/>
    </row>
    <row r="64" spans="1:11" ht="16.7" customHeight="1" x14ac:dyDescent="0.2">
      <c r="A64" s="2489"/>
      <c r="B64" s="2669" t="s">
        <v>8407</v>
      </c>
      <c r="C64" s="2488"/>
      <c r="D64" s="2488"/>
      <c r="E64" s="2488"/>
      <c r="F64" s="2488"/>
      <c r="G64" s="2488"/>
      <c r="H64" s="2479" t="str">
        <f t="shared" si="2"/>
        <v>OREGON</v>
      </c>
      <c r="J64" s="2501"/>
      <c r="K64" s="2886"/>
    </row>
    <row r="65" spans="1:11" ht="16.7" customHeight="1" x14ac:dyDescent="0.2">
      <c r="A65" s="2749">
        <v>6.0529999999999999</v>
      </c>
      <c r="B65" s="2512" t="s">
        <v>8636</v>
      </c>
      <c r="C65" s="2530">
        <v>1032809</v>
      </c>
      <c r="D65" s="2530">
        <v>60002161</v>
      </c>
      <c r="E65" s="2750">
        <v>0</v>
      </c>
      <c r="F65" s="2530">
        <v>0</v>
      </c>
      <c r="G65" s="2887">
        <v>5.8099999999999999E-2</v>
      </c>
      <c r="H65" s="2479" t="str">
        <f t="shared" si="2"/>
        <v>OREGON - 01COST0023, OR GEN SRV, COST BASED</v>
      </c>
      <c r="J65" s="2501"/>
      <c r="K65" s="2886"/>
    </row>
    <row r="66" spans="1:11" ht="16.7" customHeight="1" x14ac:dyDescent="0.2">
      <c r="A66" s="2749">
        <f t="shared" ref="A66:A129" si="4">A65+0.001</f>
        <v>6.0540000000000003</v>
      </c>
      <c r="B66" s="2512" t="s">
        <v>8637</v>
      </c>
      <c r="C66" s="2530">
        <v>1924493</v>
      </c>
      <c r="D66" s="2530">
        <v>95645095</v>
      </c>
      <c r="E66" s="2750">
        <v>0</v>
      </c>
      <c r="F66" s="2530">
        <v>0</v>
      </c>
      <c r="G66" s="2887">
        <v>4.9700000000000001E-2</v>
      </c>
      <c r="H66" s="2479" t="str">
        <f t="shared" si="2"/>
        <v>OREGON - 01COST0048 - 01LGSV0048</v>
      </c>
      <c r="J66" s="2501"/>
      <c r="K66" s="2886"/>
    </row>
    <row r="67" spans="1:11" ht="16.7" customHeight="1" x14ac:dyDescent="0.2">
      <c r="A67" s="2749">
        <f t="shared" si="4"/>
        <v>6.0550000000000006</v>
      </c>
      <c r="B67" s="2512" t="s">
        <v>8638</v>
      </c>
      <c r="C67" s="2530">
        <v>2902</v>
      </c>
      <c r="D67" s="2530">
        <v>179790</v>
      </c>
      <c r="E67" s="2750">
        <v>0</v>
      </c>
      <c r="F67" s="2530">
        <v>0</v>
      </c>
      <c r="G67" s="2887">
        <v>6.2E-2</v>
      </c>
      <c r="H67" s="2479" t="str">
        <f t="shared" si="2"/>
        <v>OREGON - 01COST023F - OR GEN SRV - COST-BASED</v>
      </c>
      <c r="J67" s="2501"/>
      <c r="K67" s="2886"/>
    </row>
    <row r="68" spans="1:11" ht="16.7" customHeight="1" x14ac:dyDescent="0.2">
      <c r="A68" s="2749">
        <f t="shared" si="4"/>
        <v>6.0560000000000009</v>
      </c>
      <c r="B68" s="2512" t="s">
        <v>8639</v>
      </c>
      <c r="C68" s="2530">
        <v>158</v>
      </c>
      <c r="D68" s="2888">
        <f>8360-1</f>
        <v>8359</v>
      </c>
      <c r="E68" s="2750">
        <v>0</v>
      </c>
      <c r="F68" s="2530">
        <v>0</v>
      </c>
      <c r="G68" s="2887">
        <v>5.2900000000000003E-2</v>
      </c>
      <c r="H68" s="2479" t="str">
        <f t="shared" si="2"/>
        <v>OREGON - 01COST23MT-OR GEN SVC COST TOU MTR</v>
      </c>
      <c r="J68" s="2501"/>
      <c r="K68" s="2886"/>
    </row>
    <row r="69" spans="1:11" ht="16.7" customHeight="1" x14ac:dyDescent="0.2">
      <c r="A69" s="2749">
        <f t="shared" si="4"/>
        <v>6.0570000000000013</v>
      </c>
      <c r="B69" s="2512" t="s">
        <v>8640</v>
      </c>
      <c r="C69" s="2530">
        <v>2053</v>
      </c>
      <c r="D69" s="2530">
        <v>118209</v>
      </c>
      <c r="E69" s="2750">
        <v>0</v>
      </c>
      <c r="F69" s="2530">
        <v>0</v>
      </c>
      <c r="G69" s="2887">
        <v>5.7599999999999998E-2</v>
      </c>
      <c r="H69" s="2479" t="str">
        <f t="shared" si="2"/>
        <v>OREGON - 01COST28MT-OR GEN SVC&gt;30KW COST TOU MTR</v>
      </c>
      <c r="J69" s="2501"/>
      <c r="K69" s="2886"/>
    </row>
    <row r="70" spans="1:11" ht="16.7" customHeight="1" x14ac:dyDescent="0.2">
      <c r="A70" s="2749">
        <f t="shared" si="4"/>
        <v>6.0580000000000016</v>
      </c>
      <c r="B70" s="2512" t="s">
        <v>8641</v>
      </c>
      <c r="C70" s="2530">
        <v>84514</v>
      </c>
      <c r="D70" s="2530">
        <v>3421688</v>
      </c>
      <c r="E70" s="2750">
        <v>0</v>
      </c>
      <c r="F70" s="2530">
        <v>0</v>
      </c>
      <c r="G70" s="2887">
        <v>4.0500000000000001E-2</v>
      </c>
      <c r="H70" s="2479" t="str">
        <f t="shared" si="2"/>
        <v>OREGON - 01COST30MT-LG GEN SVC&gt;200KW COST TOU MTR</v>
      </c>
      <c r="J70" s="2501"/>
      <c r="K70" s="2886"/>
    </row>
    <row r="71" spans="1:11" ht="16.7" customHeight="1" x14ac:dyDescent="0.2">
      <c r="A71" s="2749">
        <f t="shared" si="4"/>
        <v>6.0590000000000019</v>
      </c>
      <c r="B71" s="2512" t="s">
        <v>8642</v>
      </c>
      <c r="C71" s="2530">
        <v>22132</v>
      </c>
      <c r="D71" s="2530">
        <v>1312409</v>
      </c>
      <c r="E71" s="2750">
        <v>0</v>
      </c>
      <c r="F71" s="2530">
        <v>0</v>
      </c>
      <c r="G71" s="2887">
        <v>5.9299999999999999E-2</v>
      </c>
      <c r="H71" s="2479" t="str">
        <f t="shared" si="2"/>
        <v>OREGON - 01COSTB023 - OR GEN SRV, CST-BSD SPLY</v>
      </c>
      <c r="J71" s="2501"/>
      <c r="K71" s="2886"/>
    </row>
    <row r="72" spans="1:11" ht="16.7" customHeight="1" x14ac:dyDescent="0.2">
      <c r="A72" s="2749">
        <f t="shared" si="4"/>
        <v>6.0600000000000023</v>
      </c>
      <c r="B72" s="2512" t="s">
        <v>8643</v>
      </c>
      <c r="C72" s="2530">
        <v>10552</v>
      </c>
      <c r="D72" s="2530">
        <v>611353</v>
      </c>
      <c r="E72" s="2750">
        <v>0</v>
      </c>
      <c r="F72" s="2530">
        <v>0</v>
      </c>
      <c r="G72" s="2887">
        <v>5.79E-2</v>
      </c>
      <c r="H72" s="2479" t="str">
        <f t="shared" si="2"/>
        <v>OREGON - 01COSTEV45-ELECT VEHICLE DC FAST CHG SVC</v>
      </c>
      <c r="J72" s="2501"/>
      <c r="K72" s="2886"/>
    </row>
    <row r="73" spans="1:11" ht="16.7" customHeight="1" x14ac:dyDescent="0.2">
      <c r="A73" s="2749">
        <f t="shared" si="4"/>
        <v>6.0610000000000026</v>
      </c>
      <c r="B73" s="2512" t="s">
        <v>8644</v>
      </c>
      <c r="C73" s="2530">
        <v>1004098</v>
      </c>
      <c r="D73" s="2530">
        <v>40679766</v>
      </c>
      <c r="E73" s="2750">
        <v>0</v>
      </c>
      <c r="F73" s="2530">
        <v>0</v>
      </c>
      <c r="G73" s="2887">
        <v>4.0500000000000001E-2</v>
      </c>
      <c r="H73" s="2479" t="str">
        <f t="shared" si="2"/>
        <v>OREGON - 01COSTL030 - OR LRG GEN SRV, CST &gt;200 kW</v>
      </c>
      <c r="J73" s="2501"/>
      <c r="K73" s="2886"/>
    </row>
    <row r="74" spans="1:11" ht="16.7" customHeight="1" x14ac:dyDescent="0.2">
      <c r="A74" s="2749">
        <f t="shared" si="4"/>
        <v>6.0620000000000029</v>
      </c>
      <c r="B74" s="2512" t="s">
        <v>8645</v>
      </c>
      <c r="C74" s="2530">
        <v>1929992</v>
      </c>
      <c r="D74" s="2530">
        <v>111178355</v>
      </c>
      <c r="E74" s="2750">
        <v>0</v>
      </c>
      <c r="F74" s="2530">
        <v>0</v>
      </c>
      <c r="G74" s="2887">
        <v>5.7599999999999998E-2</v>
      </c>
      <c r="H74" s="2479" t="str">
        <f t="shared" si="2"/>
        <v>OREGON - 01COSTS028, OR GEN SERV, COST &gt; 30kW</v>
      </c>
      <c r="J74" s="2501"/>
      <c r="K74" s="2886"/>
    </row>
    <row r="75" spans="1:11" ht="16.7" customHeight="1" x14ac:dyDescent="0.2">
      <c r="A75" s="2749">
        <f t="shared" si="4"/>
        <v>6.0630000000000033</v>
      </c>
      <c r="B75" s="2512" t="s">
        <v>8646</v>
      </c>
      <c r="C75" s="2530">
        <v>2</v>
      </c>
      <c r="D75" s="2530">
        <v>118</v>
      </c>
      <c r="E75" s="2750">
        <v>0</v>
      </c>
      <c r="F75" s="2530">
        <v>0</v>
      </c>
      <c r="G75" s="2887">
        <v>5.8900000000000001E-2</v>
      </c>
      <c r="H75" s="2479" t="str">
        <f t="shared" si="2"/>
        <v>OREGON - 01COSTS029-OR GEN SVC TOU PILOT COS&gt;30KW</v>
      </c>
      <c r="J75" s="2501"/>
      <c r="K75" s="2886"/>
    </row>
    <row r="76" spans="1:11" ht="16.7" customHeight="1" x14ac:dyDescent="0.2">
      <c r="A76" s="2749">
        <f t="shared" si="4"/>
        <v>6.0640000000000036</v>
      </c>
      <c r="B76" s="2512" t="s">
        <v>8647</v>
      </c>
      <c r="C76" s="2530">
        <v>0</v>
      </c>
      <c r="D76" s="2530">
        <v>-0.14000000000000001</v>
      </c>
      <c r="E76" s="2750">
        <v>0</v>
      </c>
      <c r="F76" s="2530">
        <v>0</v>
      </c>
      <c r="G76" s="2887">
        <v>0</v>
      </c>
      <c r="H76" s="2479" t="str">
        <f t="shared" si="2"/>
        <v>OREGON - 01FXRENEWN - Fixed Renewable Blue Sky</v>
      </c>
      <c r="J76" s="2501"/>
      <c r="K76" s="2886"/>
    </row>
    <row r="77" spans="1:11" ht="16.7" customHeight="1" x14ac:dyDescent="0.2">
      <c r="A77" s="2749">
        <f t="shared" si="4"/>
        <v>6.0650000000000039</v>
      </c>
      <c r="B77" s="2512" t="s">
        <v>8648</v>
      </c>
      <c r="C77" s="2530">
        <v>0</v>
      </c>
      <c r="D77" s="2530">
        <v>4259</v>
      </c>
      <c r="E77" s="2750">
        <v>3</v>
      </c>
      <c r="F77" s="2530">
        <v>0</v>
      </c>
      <c r="G77" s="2887">
        <v>0</v>
      </c>
      <c r="H77" s="2479" t="str">
        <f t="shared" si="2"/>
        <v>OREGON - 01GNCEL23F-OR SMALL CELL FLAT RATE</v>
      </c>
      <c r="J77" s="2501"/>
      <c r="K77" s="2886"/>
    </row>
    <row r="78" spans="1:11" ht="16.7" customHeight="1" x14ac:dyDescent="0.2">
      <c r="A78" s="2749">
        <f t="shared" si="4"/>
        <v>6.0660000000000043</v>
      </c>
      <c r="B78" s="2512" t="s">
        <v>8649</v>
      </c>
      <c r="C78" s="2530">
        <v>0</v>
      </c>
      <c r="D78" s="2530">
        <v>1839729</v>
      </c>
      <c r="E78" s="2911">
        <f>2734-1</f>
        <v>2733</v>
      </c>
      <c r="F78" s="2530">
        <v>0</v>
      </c>
      <c r="G78" s="2887">
        <v>0</v>
      </c>
      <c r="H78" s="2479" t="str">
        <f t="shared" si="2"/>
        <v>OREGON - 01GNSB0023, OR GEN SRV, BPA, &lt; 30 kW</v>
      </c>
      <c r="J78" s="2501"/>
      <c r="K78" s="2886"/>
    </row>
    <row r="79" spans="1:11" ht="16.7" customHeight="1" x14ac:dyDescent="0.2">
      <c r="A79" s="2749">
        <f t="shared" si="4"/>
        <v>6.0670000000000046</v>
      </c>
      <c r="B79" s="2512" t="s">
        <v>8650</v>
      </c>
      <c r="C79" s="2530">
        <v>0</v>
      </c>
      <c r="D79" s="2530">
        <v>2191977</v>
      </c>
      <c r="E79" s="2750">
        <v>254</v>
      </c>
      <c r="F79" s="2530">
        <v>0</v>
      </c>
      <c r="G79" s="2887">
        <v>0</v>
      </c>
      <c r="H79" s="2479" t="str">
        <f t="shared" si="2"/>
        <v>OREGON - 01GNSB0028, OR GEN SRV, BPA, &gt; 30 kW</v>
      </c>
      <c r="J79" s="2501"/>
      <c r="K79" s="2886"/>
    </row>
    <row r="80" spans="1:11" ht="16.7" customHeight="1" x14ac:dyDescent="0.2">
      <c r="A80" s="2749">
        <f t="shared" si="4"/>
        <v>6.0680000000000049</v>
      </c>
      <c r="B80" s="2512" t="s">
        <v>8651</v>
      </c>
      <c r="C80" s="2530">
        <v>0</v>
      </c>
      <c r="D80" s="2530">
        <v>19821</v>
      </c>
      <c r="E80" s="2750">
        <v>33</v>
      </c>
      <c r="F80" s="2530">
        <v>0</v>
      </c>
      <c r="G80" s="2887">
        <v>0</v>
      </c>
      <c r="H80" s="2479" t="str">
        <f t="shared" si="2"/>
        <v>OREGON - 01GNSB023T - OR GEN SRV - TOU - BPA</v>
      </c>
      <c r="J80" s="2501"/>
      <c r="K80" s="2886"/>
    </row>
    <row r="81" spans="1:11" ht="16.7" customHeight="1" x14ac:dyDescent="0.2">
      <c r="A81" s="2749">
        <f t="shared" si="4"/>
        <v>6.0690000000000053</v>
      </c>
      <c r="B81" s="2512" t="s">
        <v>8652</v>
      </c>
      <c r="C81" s="2530">
        <v>0</v>
      </c>
      <c r="D81" s="2530">
        <v>771235</v>
      </c>
      <c r="E81" s="2750">
        <v>29</v>
      </c>
      <c r="F81" s="2530">
        <v>0</v>
      </c>
      <c r="G81" s="2887">
        <v>0</v>
      </c>
      <c r="H81" s="2479" t="str">
        <f t="shared" si="2"/>
        <v>OREGON - 01GNSEV45T-ELECT VEHICLE DC FAST CHG&lt;1MW</v>
      </c>
      <c r="J81" s="2501"/>
      <c r="K81" s="2886"/>
    </row>
    <row r="82" spans="1:11" ht="16.7" customHeight="1" x14ac:dyDescent="0.2">
      <c r="A82" s="2749">
        <f t="shared" si="4"/>
        <v>6.0700000000000056</v>
      </c>
      <c r="B82" s="2512" t="s">
        <v>8653</v>
      </c>
      <c r="C82" s="2530">
        <v>0</v>
      </c>
      <c r="D82" s="2530">
        <v>71658075</v>
      </c>
      <c r="E82" s="2750">
        <v>62200</v>
      </c>
      <c r="F82" s="2530">
        <v>0</v>
      </c>
      <c r="G82" s="2887">
        <v>0</v>
      </c>
      <c r="H82" s="2479" t="str">
        <f t="shared" si="2"/>
        <v>OREGON - 01GNSV0023, OR GEN SRV, &lt; 30 KW</v>
      </c>
      <c r="J82" s="2501"/>
      <c r="K82" s="2886"/>
    </row>
    <row r="83" spans="1:11" ht="16.7" customHeight="1" x14ac:dyDescent="0.2">
      <c r="A83" s="2749">
        <f t="shared" si="4"/>
        <v>6.0710000000000059</v>
      </c>
      <c r="B83" s="2512" t="s">
        <v>8654</v>
      </c>
      <c r="C83" s="2530">
        <v>0</v>
      </c>
      <c r="D83" s="2530">
        <v>71681473</v>
      </c>
      <c r="E83" s="2750">
        <v>9076</v>
      </c>
      <c r="F83" s="2530">
        <v>0</v>
      </c>
      <c r="G83" s="2887">
        <v>0</v>
      </c>
      <c r="H83" s="2479" t="str">
        <f t="shared" si="2"/>
        <v>OREGON - 01GNSV0028, OR GEN SRV &gt; 30 kW</v>
      </c>
      <c r="J83" s="2501"/>
      <c r="K83" s="2886"/>
    </row>
    <row r="84" spans="1:11" ht="16.7" customHeight="1" x14ac:dyDescent="0.2">
      <c r="A84" s="2749">
        <f t="shared" si="4"/>
        <v>6.0720000000000063</v>
      </c>
      <c r="B84" s="2512" t="s">
        <v>8655</v>
      </c>
      <c r="C84" s="2530">
        <v>0</v>
      </c>
      <c r="D84" s="2530">
        <v>649</v>
      </c>
      <c r="E84" s="2750">
        <v>1</v>
      </c>
      <c r="F84" s="2530">
        <v>0</v>
      </c>
      <c r="G84" s="2887">
        <v>0</v>
      </c>
      <c r="H84" s="2479" t="str">
        <f t="shared" si="2"/>
        <v>OREGON - 01GNSV0029-OR GEN SVC TOU PILOT &gt; 30 KW</v>
      </c>
      <c r="J84" s="2501"/>
      <c r="K84" s="2886"/>
    </row>
    <row r="85" spans="1:11" ht="16.7" customHeight="1" x14ac:dyDescent="0.2">
      <c r="A85" s="2749">
        <f t="shared" si="4"/>
        <v>6.0730000000000066</v>
      </c>
      <c r="B85" s="2512" t="s">
        <v>8656</v>
      </c>
      <c r="C85" s="2530">
        <v>9428</v>
      </c>
      <c r="D85" s="2530">
        <v>1674084</v>
      </c>
      <c r="E85" s="2750">
        <v>779</v>
      </c>
      <c r="F85" s="2530">
        <v>12103</v>
      </c>
      <c r="G85" s="2887">
        <v>0.17760000000000001</v>
      </c>
      <c r="H85" s="2479" t="str">
        <f t="shared" si="2"/>
        <v>OREGON - 01GNSV023F - OR GEN SRV - FLAT RATE</v>
      </c>
      <c r="J85" s="2501"/>
      <c r="K85" s="2886"/>
    </row>
    <row r="86" spans="1:11" ht="16.7" customHeight="1" x14ac:dyDescent="0.2">
      <c r="A86" s="2749">
        <f t="shared" si="4"/>
        <v>6.0740000000000069</v>
      </c>
      <c r="B86" s="2512" t="s">
        <v>8657</v>
      </c>
      <c r="C86" s="2530">
        <v>76</v>
      </c>
      <c r="D86" s="2530">
        <v>8803</v>
      </c>
      <c r="E86" s="2750">
        <v>2</v>
      </c>
      <c r="F86" s="2530">
        <v>38000</v>
      </c>
      <c r="G86" s="2887">
        <v>0.1158</v>
      </c>
      <c r="H86" s="2479" t="str">
        <f t="shared" si="2"/>
        <v>OREGON - 01GNSV023M - OR GEN SRV, MANUAL BILL</v>
      </c>
      <c r="J86" s="2501"/>
      <c r="K86" s="2886"/>
    </row>
    <row r="87" spans="1:11" ht="16.7" customHeight="1" x14ac:dyDescent="0.2">
      <c r="A87" s="2749">
        <f t="shared" si="4"/>
        <v>6.0750000000000073</v>
      </c>
      <c r="B87" s="2512" t="s">
        <v>8658</v>
      </c>
      <c r="C87" s="2530">
        <v>0</v>
      </c>
      <c r="D87" s="2530">
        <v>159304</v>
      </c>
      <c r="E87" s="2750">
        <v>162</v>
      </c>
      <c r="F87" s="2530">
        <v>0</v>
      </c>
      <c r="G87" s="2887">
        <v>0</v>
      </c>
      <c r="H87" s="2479" t="str">
        <f t="shared" si="2"/>
        <v>OREGON - 01GNSV023T, OR GEN SRV, TOU Option</v>
      </c>
      <c r="J87" s="2501"/>
      <c r="K87" s="2886"/>
    </row>
    <row r="88" spans="1:11" ht="16.7" customHeight="1" x14ac:dyDescent="0.2">
      <c r="A88" s="2749">
        <f t="shared" si="4"/>
        <v>6.0760000000000076</v>
      </c>
      <c r="B88" s="2512" t="s">
        <v>8659</v>
      </c>
      <c r="C88" s="2530">
        <v>2553</v>
      </c>
      <c r="D88" s="2530">
        <v>150944</v>
      </c>
      <c r="E88" s="2750">
        <v>0</v>
      </c>
      <c r="F88" s="2530">
        <v>0</v>
      </c>
      <c r="G88" s="2887">
        <v>5.91E-2</v>
      </c>
      <c r="H88" s="2479" t="str">
        <f t="shared" si="2"/>
        <v>OREGON - 01HABT0023, OR HABITAT BLENDED SPLY SRV</v>
      </c>
      <c r="J88" s="2501"/>
      <c r="K88" s="2886"/>
    </row>
    <row r="89" spans="1:11" ht="16.7" customHeight="1" x14ac:dyDescent="0.2">
      <c r="A89" s="2749">
        <f t="shared" si="4"/>
        <v>6.077000000000008</v>
      </c>
      <c r="B89" s="2512" t="s">
        <v>8660</v>
      </c>
      <c r="C89" s="2530">
        <v>10</v>
      </c>
      <c r="D89" s="2530">
        <v>600</v>
      </c>
      <c r="E89" s="2750">
        <v>0</v>
      </c>
      <c r="F89" s="2530">
        <v>0</v>
      </c>
      <c r="G89" s="2887">
        <v>0.06</v>
      </c>
      <c r="H89" s="2479" t="str">
        <f t="shared" si="2"/>
        <v>OREGON - 01HABTB023 - OR HABITAT BLENDED</v>
      </c>
      <c r="J89" s="2501"/>
      <c r="K89" s="2886"/>
    </row>
    <row r="90" spans="1:11" ht="16.7" customHeight="1" x14ac:dyDescent="0.2">
      <c r="A90" s="2749">
        <f t="shared" si="4"/>
        <v>6.0780000000000083</v>
      </c>
      <c r="B90" s="2512" t="s">
        <v>8661</v>
      </c>
      <c r="C90" s="2530">
        <v>0</v>
      </c>
      <c r="D90" s="2530">
        <v>1383765</v>
      </c>
      <c r="E90" s="2750">
        <v>19</v>
      </c>
      <c r="F90" s="2530">
        <v>0</v>
      </c>
      <c r="G90" s="2887">
        <v>0</v>
      </c>
      <c r="H90" s="2479" t="str">
        <f t="shared" si="2"/>
        <v>OREGON - 01LGSB0030, GEN DEL SRV, &gt; 200 kW(R)</v>
      </c>
      <c r="J90" s="2501"/>
      <c r="K90" s="2886"/>
    </row>
    <row r="91" spans="1:11" ht="16.7" customHeight="1" x14ac:dyDescent="0.2">
      <c r="A91" s="2749">
        <f t="shared" si="4"/>
        <v>6.0790000000000086</v>
      </c>
      <c r="B91" s="2512" t="s">
        <v>8662</v>
      </c>
      <c r="C91" s="2530">
        <v>0</v>
      </c>
      <c r="D91" s="2530">
        <v>43402400</v>
      </c>
      <c r="E91" s="2750">
        <v>613</v>
      </c>
      <c r="F91" s="2530">
        <v>0</v>
      </c>
      <c r="G91" s="2887">
        <v>0</v>
      </c>
      <c r="H91" s="2479" t="str">
        <f t="shared" si="2"/>
        <v>OREGON - 01LGSV0030 - OR LRG GEN SRV, &gt; 1000 kW</v>
      </c>
      <c r="J91" s="2501"/>
      <c r="K91" s="2886"/>
    </row>
    <row r="92" spans="1:11" ht="16.7" customHeight="1" x14ac:dyDescent="0.2">
      <c r="A92" s="2749">
        <f t="shared" si="4"/>
        <v>6.080000000000009</v>
      </c>
      <c r="B92" s="2512" t="s">
        <v>8663</v>
      </c>
      <c r="C92" s="2530">
        <v>0</v>
      </c>
      <c r="D92" s="2530">
        <v>34968594</v>
      </c>
      <c r="E92" s="2750">
        <v>81</v>
      </c>
      <c r="F92" s="2530">
        <v>0</v>
      </c>
      <c r="G92" s="2887">
        <v>0</v>
      </c>
      <c r="H92" s="2479" t="str">
        <f t="shared" si="2"/>
        <v xml:space="preserve">OREGON - 01LGSV0048-1000KW AND OVR               </v>
      </c>
      <c r="J92" s="2501"/>
      <c r="K92" s="2886"/>
    </row>
    <row r="93" spans="1:11" ht="16.7" customHeight="1" x14ac:dyDescent="0.2">
      <c r="A93" s="2749">
        <f t="shared" si="4"/>
        <v>6.0810000000000093</v>
      </c>
      <c r="B93" s="2512" t="s">
        <v>8664</v>
      </c>
      <c r="C93" s="2530">
        <v>50688</v>
      </c>
      <c r="D93" s="2530">
        <v>3495396</v>
      </c>
      <c r="E93" s="2750">
        <v>1</v>
      </c>
      <c r="F93" s="2530">
        <v>50688000</v>
      </c>
      <c r="G93" s="2887">
        <v>6.9000000000000006E-2</v>
      </c>
      <c r="H93" s="2479" t="str">
        <f t="shared" si="2"/>
        <v xml:space="preserve">OREGON - 01LGSV048M-LRG GEN SRVC 1               </v>
      </c>
      <c r="J93" s="2501"/>
      <c r="K93" s="2886"/>
    </row>
    <row r="94" spans="1:11" ht="16.7" customHeight="1" x14ac:dyDescent="0.2">
      <c r="A94" s="2749">
        <f t="shared" si="4"/>
        <v>6.0820000000000096</v>
      </c>
      <c r="B94" s="2512" t="s">
        <v>8665</v>
      </c>
      <c r="C94" s="2530">
        <v>0</v>
      </c>
      <c r="D94" s="2530">
        <v>3398943</v>
      </c>
      <c r="E94" s="2750">
        <v>28</v>
      </c>
      <c r="F94" s="2530">
        <v>0</v>
      </c>
      <c r="G94" s="2887">
        <v>0</v>
      </c>
      <c r="H94" s="2479" t="str">
        <f t="shared" si="2"/>
        <v>OREGON - 01LGSVT030-OR LG GEN SVC&gt;200KW TOU MTR</v>
      </c>
      <c r="J94" s="2501"/>
      <c r="K94" s="2886"/>
    </row>
    <row r="95" spans="1:11" ht="16.7" customHeight="1" x14ac:dyDescent="0.2">
      <c r="A95" s="2749">
        <f t="shared" si="4"/>
        <v>6.08300000000001</v>
      </c>
      <c r="B95" s="2512" t="s">
        <v>8666</v>
      </c>
      <c r="C95" s="2530">
        <v>0</v>
      </c>
      <c r="D95" s="2530">
        <v>6714</v>
      </c>
      <c r="E95" s="2750">
        <v>0</v>
      </c>
      <c r="F95" s="2530">
        <v>0</v>
      </c>
      <c r="G95" s="2887">
        <v>0</v>
      </c>
      <c r="H95" s="2479" t="str">
        <f t="shared" si="2"/>
        <v xml:space="preserve">OREGON - 01LNX00100-LINE EXT 60% G               </v>
      </c>
      <c r="J95" s="2501"/>
      <c r="K95" s="2886"/>
    </row>
    <row r="96" spans="1:11" ht="16.7" customHeight="1" x14ac:dyDescent="0.2">
      <c r="A96" s="2749">
        <f t="shared" si="4"/>
        <v>6.0840000000000103</v>
      </c>
      <c r="B96" s="2512" t="s">
        <v>8416</v>
      </c>
      <c r="C96" s="2530">
        <v>0</v>
      </c>
      <c r="D96" s="2530">
        <v>1254048</v>
      </c>
      <c r="E96" s="2750">
        <v>0</v>
      </c>
      <c r="F96" s="2530">
        <v>0</v>
      </c>
      <c r="G96" s="2887">
        <v>0</v>
      </c>
      <c r="H96" s="2479" t="str">
        <f t="shared" si="2"/>
        <v xml:space="preserve">OREGON - 01LNX00102-LINE EXT 80% G               </v>
      </c>
      <c r="J96" s="2501"/>
      <c r="K96" s="2886"/>
    </row>
    <row r="97" spans="1:11" ht="16.7" customHeight="1" x14ac:dyDescent="0.2">
      <c r="A97" s="2749">
        <f t="shared" si="4"/>
        <v>6.0850000000000106</v>
      </c>
      <c r="B97" s="2512" t="s">
        <v>8667</v>
      </c>
      <c r="C97" s="2530">
        <v>0</v>
      </c>
      <c r="D97" s="2530">
        <v>5945</v>
      </c>
      <c r="E97" s="2750">
        <v>0</v>
      </c>
      <c r="F97" s="2530">
        <v>0</v>
      </c>
      <c r="G97" s="2887">
        <v>0</v>
      </c>
      <c r="H97" s="2479" t="str">
        <f t="shared" si="2"/>
        <v xml:space="preserve">OREGON - 01LNX00103-LINE EXT 80% G               </v>
      </c>
      <c r="J97" s="2501"/>
      <c r="K97" s="2886"/>
    </row>
    <row r="98" spans="1:11" ht="16.7" customHeight="1" x14ac:dyDescent="0.2">
      <c r="A98" s="2749">
        <f t="shared" si="4"/>
        <v>6.086000000000011</v>
      </c>
      <c r="B98" s="2512" t="s">
        <v>8668</v>
      </c>
      <c r="C98" s="2530">
        <v>0</v>
      </c>
      <c r="D98" s="2530">
        <v>11657</v>
      </c>
      <c r="E98" s="2750">
        <v>0</v>
      </c>
      <c r="F98" s="2530">
        <v>0</v>
      </c>
      <c r="G98" s="2887">
        <v>0</v>
      </c>
      <c r="H98" s="2479" t="str">
        <f t="shared" ref="H98:H161" si="5">B98</f>
        <v xml:space="preserve">OREGON - 01LNX00105-CNTRCT $ MIN G               </v>
      </c>
      <c r="J98" s="2501"/>
      <c r="K98" s="2886"/>
    </row>
    <row r="99" spans="1:11" ht="16.7" customHeight="1" x14ac:dyDescent="0.2">
      <c r="A99" s="2749">
        <f t="shared" si="4"/>
        <v>6.0870000000000113</v>
      </c>
      <c r="B99" s="2512" t="s">
        <v>8417</v>
      </c>
      <c r="C99" s="2530">
        <v>0</v>
      </c>
      <c r="D99" s="2530">
        <v>1394589</v>
      </c>
      <c r="E99" s="2750">
        <v>0</v>
      </c>
      <c r="F99" s="2530">
        <v>0</v>
      </c>
      <c r="G99" s="2887">
        <v>0</v>
      </c>
      <c r="H99" s="2479" t="str">
        <f t="shared" si="5"/>
        <v xml:space="preserve">OREGON - 01LNX00109-REF/NREF ADV +               </v>
      </c>
      <c r="J99" s="2501"/>
      <c r="K99" s="2886"/>
    </row>
    <row r="100" spans="1:11" ht="16.7" customHeight="1" x14ac:dyDescent="0.2">
      <c r="A100" s="2749">
        <f t="shared" si="4"/>
        <v>6.0880000000000116</v>
      </c>
      <c r="B100" s="2512" t="s">
        <v>8669</v>
      </c>
      <c r="C100" s="2530">
        <v>0</v>
      </c>
      <c r="D100" s="2530">
        <v>12411</v>
      </c>
      <c r="E100" s="2750">
        <v>0</v>
      </c>
      <c r="F100" s="2530">
        <v>0</v>
      </c>
      <c r="G100" s="2887">
        <v>0</v>
      </c>
      <c r="H100" s="2479" t="str">
        <f t="shared" si="5"/>
        <v xml:space="preserve">OREGON - 01LNX00110-REF/NREF ADV +               </v>
      </c>
      <c r="J100" s="2501"/>
      <c r="K100" s="2886"/>
    </row>
    <row r="101" spans="1:11" ht="16.7" customHeight="1" x14ac:dyDescent="0.2">
      <c r="A101" s="2749">
        <f t="shared" si="4"/>
        <v>6.089000000000012</v>
      </c>
      <c r="B101" s="2512" t="s">
        <v>8670</v>
      </c>
      <c r="C101" s="2530">
        <v>0</v>
      </c>
      <c r="D101" s="2530">
        <v>154490</v>
      </c>
      <c r="E101" s="2750">
        <v>0</v>
      </c>
      <c r="F101" s="2530">
        <v>0</v>
      </c>
      <c r="G101" s="2887">
        <v>0</v>
      </c>
      <c r="H101" s="2479" t="str">
        <f t="shared" si="5"/>
        <v>OREGON - 01LNX00311 - LINE EXT 80% G</v>
      </c>
      <c r="J101" s="2501"/>
      <c r="K101" s="2886"/>
    </row>
    <row r="102" spans="1:11" ht="16.7" customHeight="1" x14ac:dyDescent="0.2">
      <c r="A102" s="2749">
        <f t="shared" si="4"/>
        <v>6.0900000000000123</v>
      </c>
      <c r="B102" s="2512" t="s">
        <v>8671</v>
      </c>
      <c r="C102" s="2530">
        <v>0</v>
      </c>
      <c r="D102" s="2530">
        <v>2658</v>
      </c>
      <c r="E102" s="2750">
        <v>0</v>
      </c>
      <c r="F102" s="2530">
        <v>0</v>
      </c>
      <c r="G102" s="2887">
        <v>0</v>
      </c>
      <c r="H102" s="2479" t="str">
        <f t="shared" si="5"/>
        <v>OREGON - 01LNX00312 - OR IRG LINE EXT</v>
      </c>
      <c r="J102" s="2501"/>
      <c r="K102" s="2886"/>
    </row>
    <row r="103" spans="1:11" ht="16.7" customHeight="1" x14ac:dyDescent="0.2">
      <c r="A103" s="2749">
        <f t="shared" si="4"/>
        <v>6.0910000000000126</v>
      </c>
      <c r="B103" s="2512" t="s">
        <v>8672</v>
      </c>
      <c r="C103" s="2530">
        <v>0</v>
      </c>
      <c r="D103" s="2530">
        <v>426623</v>
      </c>
      <c r="E103" s="2750">
        <v>0</v>
      </c>
      <c r="F103" s="2530">
        <v>0</v>
      </c>
      <c r="G103" s="2887">
        <v>0</v>
      </c>
      <c r="H103" s="2479" t="str">
        <f t="shared" si="5"/>
        <v>OREGON - 01LNX00120 - Line Extension 60% Gar</v>
      </c>
      <c r="J103" s="2501"/>
      <c r="K103" s="2886"/>
    </row>
    <row r="104" spans="1:11" ht="16.7" customHeight="1" x14ac:dyDescent="0.2">
      <c r="A104" s="2749">
        <f t="shared" si="4"/>
        <v>6.092000000000013</v>
      </c>
      <c r="B104" s="2512" t="s">
        <v>8673</v>
      </c>
      <c r="C104" s="2530">
        <v>0</v>
      </c>
      <c r="D104" s="2530">
        <v>330577</v>
      </c>
      <c r="E104" s="2750">
        <v>0</v>
      </c>
      <c r="F104" s="2530">
        <v>0</v>
      </c>
      <c r="G104" s="2887">
        <v>0</v>
      </c>
      <c r="H104" s="2479" t="str">
        <f t="shared" si="5"/>
        <v>OREGON - 01LNX00300 - LINE EXT 80% GUARANTEE</v>
      </c>
      <c r="J104" s="2501"/>
      <c r="K104" s="2886"/>
    </row>
    <row r="105" spans="1:11" ht="16.7" customHeight="1" x14ac:dyDescent="0.2">
      <c r="A105" s="2749">
        <f t="shared" si="4"/>
        <v>6.0930000000000133</v>
      </c>
      <c r="B105" s="2512" t="s">
        <v>8674</v>
      </c>
      <c r="C105" s="2530">
        <v>0</v>
      </c>
      <c r="D105" s="2530">
        <v>1276</v>
      </c>
      <c r="E105" s="2750">
        <v>0</v>
      </c>
      <c r="F105" s="2530">
        <v>0</v>
      </c>
      <c r="G105" s="2887">
        <v>0</v>
      </c>
      <c r="H105" s="2479" t="str">
        <f t="shared" si="5"/>
        <v>OREGON - 01LNX00310-LINE EXTENSION CONTRACT</v>
      </c>
      <c r="J105" s="2501"/>
      <c r="K105" s="2886"/>
    </row>
    <row r="106" spans="1:11" ht="16.7" customHeight="1" x14ac:dyDescent="0.2">
      <c r="A106" s="2749">
        <f t="shared" si="4"/>
        <v>6.0940000000000136</v>
      </c>
      <c r="B106" s="2512" t="s">
        <v>8675</v>
      </c>
      <c r="C106" s="2530">
        <v>45113</v>
      </c>
      <c r="D106" s="2530">
        <v>4114953</v>
      </c>
      <c r="E106" s="2750">
        <v>5</v>
      </c>
      <c r="F106" s="2530">
        <v>9022600</v>
      </c>
      <c r="G106" s="2887">
        <v>9.1200000000000003E-2</v>
      </c>
      <c r="H106" s="2479" t="str">
        <f t="shared" si="5"/>
        <v xml:space="preserve">OREGON - 01LPRS047M-PART REQ SRVC                </v>
      </c>
      <c r="J106" s="2501"/>
      <c r="K106" s="2886"/>
    </row>
    <row r="107" spans="1:11" ht="16.7" customHeight="1" x14ac:dyDescent="0.2">
      <c r="A107" s="2749">
        <f t="shared" si="4"/>
        <v>6.095000000000014</v>
      </c>
      <c r="B107" s="2512" t="s">
        <v>8676</v>
      </c>
      <c r="C107" s="2530">
        <v>0</v>
      </c>
      <c r="D107" s="2530">
        <v>3093</v>
      </c>
      <c r="E107" s="2750">
        <v>2</v>
      </c>
      <c r="F107" s="2530">
        <v>0</v>
      </c>
      <c r="G107" s="2887">
        <v>0</v>
      </c>
      <c r="H107" s="2479" t="str">
        <f t="shared" si="5"/>
        <v>OREGON - 01NM23T135-OR NET MTR TOU GEN SVC&lt;30 KW</v>
      </c>
      <c r="J107" s="2501"/>
      <c r="K107" s="2886"/>
    </row>
    <row r="108" spans="1:11" ht="16.7" customHeight="1" x14ac:dyDescent="0.2">
      <c r="A108" s="2749">
        <f t="shared" si="4"/>
        <v>6.0960000000000143</v>
      </c>
      <c r="B108" s="2512" t="s">
        <v>8677</v>
      </c>
      <c r="C108" s="2530">
        <v>0</v>
      </c>
      <c r="D108" s="2530">
        <v>27811</v>
      </c>
      <c r="E108" s="2750">
        <v>70</v>
      </c>
      <c r="F108" s="2530">
        <v>0</v>
      </c>
      <c r="G108" s="2887">
        <v>0</v>
      </c>
      <c r="H108" s="2479" t="str">
        <f t="shared" si="5"/>
        <v>OREGON - 01NMB23135-OR NET MTR GEN SVC &lt;= 30 KW</v>
      </c>
      <c r="J108" s="2501"/>
      <c r="K108" s="2886"/>
    </row>
    <row r="109" spans="1:11" ht="16.7" customHeight="1" x14ac:dyDescent="0.2">
      <c r="A109" s="2749">
        <f t="shared" si="4"/>
        <v>6.0970000000000146</v>
      </c>
      <c r="B109" s="2512" t="s">
        <v>8678</v>
      </c>
      <c r="C109" s="2530">
        <v>0</v>
      </c>
      <c r="D109" s="2530">
        <v>59915</v>
      </c>
      <c r="E109" s="2750">
        <v>6</v>
      </c>
      <c r="F109" s="2530">
        <v>0</v>
      </c>
      <c r="G109" s="2887">
        <v>0</v>
      </c>
      <c r="H109" s="2479" t="str">
        <f t="shared" si="5"/>
        <v>OREGON - 01NMB28135-OR NET MTR GEN SVC &gt; 30 KW</v>
      </c>
      <c r="J109" s="2501"/>
      <c r="K109" s="2886"/>
    </row>
    <row r="110" spans="1:11" ht="16.7" customHeight="1" x14ac:dyDescent="0.2">
      <c r="A110" s="2749">
        <f t="shared" si="4"/>
        <v>6.098000000000015</v>
      </c>
      <c r="B110" s="2512" t="s">
        <v>8679</v>
      </c>
      <c r="C110" s="2530">
        <v>0</v>
      </c>
      <c r="D110" s="2530">
        <v>663158</v>
      </c>
      <c r="E110" s="2750">
        <v>613</v>
      </c>
      <c r="F110" s="2530">
        <v>0</v>
      </c>
      <c r="G110" s="2887">
        <v>0</v>
      </c>
      <c r="H110" s="2479" t="str">
        <f t="shared" si="5"/>
        <v>OREGON - 01NMT23135 - OR NET MTR, GEN, &lt; 30 kW</v>
      </c>
      <c r="J110" s="2501"/>
      <c r="K110" s="2886"/>
    </row>
    <row r="111" spans="1:11" ht="16.7" customHeight="1" x14ac:dyDescent="0.2">
      <c r="A111" s="2749">
        <f t="shared" si="4"/>
        <v>6.0990000000000153</v>
      </c>
      <c r="B111" s="2512" t="s">
        <v>8680</v>
      </c>
      <c r="C111" s="2530">
        <v>0</v>
      </c>
      <c r="D111" s="2530">
        <v>2980722</v>
      </c>
      <c r="E111" s="2750">
        <v>339</v>
      </c>
      <c r="F111" s="2530">
        <v>0</v>
      </c>
      <c r="G111" s="2887">
        <v>0</v>
      </c>
      <c r="H111" s="2479" t="str">
        <f t="shared" si="5"/>
        <v>OREGON - 01NMT28135 - OR NET MTR, GEN, &gt; 30 kW</v>
      </c>
      <c r="J111" s="2501"/>
      <c r="K111" s="2886"/>
    </row>
    <row r="112" spans="1:11" ht="16.7" customHeight="1" x14ac:dyDescent="0.2">
      <c r="A112" s="2749">
        <f t="shared" si="4"/>
        <v>6.1000000000000156</v>
      </c>
      <c r="B112" s="2512" t="s">
        <v>8681</v>
      </c>
      <c r="C112" s="2530">
        <v>0</v>
      </c>
      <c r="D112" s="2530">
        <v>2939619</v>
      </c>
      <c r="E112" s="2750">
        <v>40</v>
      </c>
      <c r="F112" s="2530">
        <v>0</v>
      </c>
      <c r="G112" s="2887">
        <v>0</v>
      </c>
      <c r="H112" s="2479" t="str">
        <f t="shared" si="5"/>
        <v>OREGON - 01NMT30135 - OR NET MTR, GEN, &gt; 200 kW</v>
      </c>
      <c r="J112" s="2501"/>
      <c r="K112" s="2886"/>
    </row>
    <row r="113" spans="1:11" ht="16.7" customHeight="1" x14ac:dyDescent="0.2">
      <c r="A113" s="2749">
        <f t="shared" si="4"/>
        <v>6.101000000000016</v>
      </c>
      <c r="B113" s="2512" t="s">
        <v>8682</v>
      </c>
      <c r="C113" s="2530">
        <v>0</v>
      </c>
      <c r="D113" s="2530">
        <v>691539</v>
      </c>
      <c r="E113" s="2750">
        <v>5</v>
      </c>
      <c r="F113" s="2530">
        <v>0</v>
      </c>
      <c r="G113" s="2887">
        <v>0</v>
      </c>
      <c r="H113" s="2479" t="str">
        <f t="shared" si="5"/>
        <v>OREGON - 01NMT48135-NET METERING GEN SVC =&gt; 1000</v>
      </c>
      <c r="J113" s="2501"/>
      <c r="K113" s="2886"/>
    </row>
    <row r="114" spans="1:11" ht="16.7" customHeight="1" x14ac:dyDescent="0.2">
      <c r="A114" s="2749">
        <f t="shared" si="4"/>
        <v>6.1020000000000163</v>
      </c>
      <c r="B114" s="2512" t="s">
        <v>8683</v>
      </c>
      <c r="C114" s="2530">
        <v>4803</v>
      </c>
      <c r="D114" s="2530">
        <v>573417</v>
      </c>
      <c r="E114" s="2750">
        <v>2679</v>
      </c>
      <c r="F114" s="2530">
        <v>1793</v>
      </c>
      <c r="G114" s="2887">
        <v>0.11940000000000001</v>
      </c>
      <c r="H114" s="2479" t="str">
        <f t="shared" si="5"/>
        <v xml:space="preserve">OREGON - 01OALT015N-OUTD AR LGT NR               </v>
      </c>
      <c r="J114" s="2501"/>
      <c r="K114" s="2886"/>
    </row>
    <row r="115" spans="1:11" ht="16.7" customHeight="1" x14ac:dyDescent="0.2">
      <c r="A115" s="2749">
        <f t="shared" si="4"/>
        <v>6.1030000000000166</v>
      </c>
      <c r="B115" s="2512" t="s">
        <v>8684</v>
      </c>
      <c r="C115" s="2530">
        <v>1275</v>
      </c>
      <c r="D115" s="2530">
        <v>201834</v>
      </c>
      <c r="E115" s="2750">
        <v>977</v>
      </c>
      <c r="F115" s="2530">
        <v>1305</v>
      </c>
      <c r="G115" s="2887">
        <v>0.1583</v>
      </c>
      <c r="H115" s="2479" t="str">
        <f t="shared" si="5"/>
        <v>OREGON - 01OALTB15N-OR OUTD AR LGT NR</v>
      </c>
      <c r="J115" s="2501"/>
      <c r="K115" s="2886"/>
    </row>
    <row r="116" spans="1:11" ht="16.7" customHeight="1" x14ac:dyDescent="0.2">
      <c r="A116" s="2749">
        <f t="shared" si="4"/>
        <v>6.104000000000017</v>
      </c>
      <c r="B116" s="2512" t="s">
        <v>8685</v>
      </c>
      <c r="C116" s="2530">
        <v>2241</v>
      </c>
      <c r="D116" s="2530">
        <v>129505</v>
      </c>
      <c r="E116" s="2750">
        <v>0</v>
      </c>
      <c r="F116" s="2530">
        <v>0</v>
      </c>
      <c r="G116" s="2887">
        <v>5.7799999999999997E-2</v>
      </c>
      <c r="H116" s="2479" t="str">
        <f t="shared" si="5"/>
        <v>OREGON - 01PTOU0023, OR GEN SRV, TOU ENG SPLY SRV</v>
      </c>
      <c r="J116" s="2501"/>
      <c r="K116" s="2886"/>
    </row>
    <row r="117" spans="1:11" ht="16.7" customHeight="1" x14ac:dyDescent="0.2">
      <c r="A117" s="2749">
        <f t="shared" si="4"/>
        <v>6.1050000000000173</v>
      </c>
      <c r="B117" s="2512" t="s">
        <v>8686</v>
      </c>
      <c r="C117" s="2530">
        <v>228</v>
      </c>
      <c r="D117" s="2530">
        <v>13629</v>
      </c>
      <c r="E117" s="2750">
        <v>0</v>
      </c>
      <c r="F117" s="2530">
        <v>0</v>
      </c>
      <c r="G117" s="2887">
        <v>5.9799999999999999E-2</v>
      </c>
      <c r="H117" s="2479" t="str">
        <f t="shared" si="5"/>
        <v>OREGON - 01PTOUB023, OR GEN SRV, TOU SPLY SRV</v>
      </c>
      <c r="J117" s="2501"/>
      <c r="K117" s="2886"/>
    </row>
    <row r="118" spans="1:11" ht="16.7" customHeight="1" x14ac:dyDescent="0.2">
      <c r="A118" s="2749">
        <f t="shared" si="4"/>
        <v>6.1060000000000176</v>
      </c>
      <c r="B118" s="2512" t="s">
        <v>8687</v>
      </c>
      <c r="C118" s="2530">
        <v>1531</v>
      </c>
      <c r="D118" s="2530">
        <v>153750</v>
      </c>
      <c r="E118" s="2750">
        <v>98</v>
      </c>
      <c r="F118" s="2530">
        <v>15622</v>
      </c>
      <c r="G118" s="2887">
        <v>0.1004</v>
      </c>
      <c r="H118" s="2479" t="str">
        <f t="shared" si="5"/>
        <v xml:space="preserve">OREGON - 01RCFL0054-REC FIELD LGT                </v>
      </c>
      <c r="J118" s="2501"/>
      <c r="K118" s="2886"/>
    </row>
    <row r="119" spans="1:11" ht="16.7" customHeight="1" x14ac:dyDescent="0.2">
      <c r="A119" s="2749">
        <f t="shared" si="4"/>
        <v>6.107000000000018</v>
      </c>
      <c r="B119" s="2512" t="s">
        <v>8688</v>
      </c>
      <c r="C119" s="2530">
        <v>12447</v>
      </c>
      <c r="D119" s="2530">
        <v>736477</v>
      </c>
      <c r="E119" s="2750">
        <v>0</v>
      </c>
      <c r="F119" s="2530">
        <v>0</v>
      </c>
      <c r="G119" s="2887">
        <v>5.9200000000000003E-2</v>
      </c>
      <c r="H119" s="2479" t="str">
        <f t="shared" si="5"/>
        <v>OREGON - 01RENW0023, OR RENW USAGE SPLY SRV</v>
      </c>
      <c r="J119" s="2501"/>
      <c r="K119" s="2886"/>
    </row>
    <row r="120" spans="1:11" ht="16.7" customHeight="1" x14ac:dyDescent="0.2">
      <c r="A120" s="2749">
        <f t="shared" si="4"/>
        <v>6.1080000000000183</v>
      </c>
      <c r="B120" s="2512" t="s">
        <v>8689</v>
      </c>
      <c r="C120" s="2530">
        <v>74</v>
      </c>
      <c r="D120" s="2530">
        <v>4453</v>
      </c>
      <c r="E120" s="2750">
        <v>0</v>
      </c>
      <c r="F120" s="2530">
        <v>0</v>
      </c>
      <c r="G120" s="2887">
        <v>6.0199999999999997E-2</v>
      </c>
      <c r="H120" s="2479" t="str">
        <f t="shared" si="5"/>
        <v>OREGON - 01RENWB023 - OR RENEWABLE USAGE</v>
      </c>
      <c r="J120" s="2501"/>
      <c r="K120" s="2886"/>
    </row>
    <row r="121" spans="1:11" ht="16.7" customHeight="1" x14ac:dyDescent="0.2">
      <c r="A121" s="2749">
        <f t="shared" si="4"/>
        <v>6.1090000000000186</v>
      </c>
      <c r="B121" s="2512" t="s">
        <v>8690</v>
      </c>
      <c r="C121" s="2530">
        <v>3522</v>
      </c>
      <c r="D121" s="2530">
        <v>298172</v>
      </c>
      <c r="E121" s="2750">
        <v>0</v>
      </c>
      <c r="F121" s="2530">
        <v>0</v>
      </c>
      <c r="G121" s="2887">
        <v>8.4699999999999998E-2</v>
      </c>
      <c r="H121" s="2479" t="str">
        <f t="shared" si="5"/>
        <v>OREGON - 01STDAY023 - OR DAY STD OFR, SCH 23</v>
      </c>
      <c r="J121" s="2501"/>
      <c r="K121" s="2886"/>
    </row>
    <row r="122" spans="1:11" ht="16.7" customHeight="1" x14ac:dyDescent="0.2">
      <c r="A122" s="2749">
        <f t="shared" si="4"/>
        <v>6.110000000000019</v>
      </c>
      <c r="B122" s="2512" t="s">
        <v>8691</v>
      </c>
      <c r="C122" s="2530">
        <v>8405</v>
      </c>
      <c r="D122" s="2530">
        <v>713874</v>
      </c>
      <c r="E122" s="2750">
        <v>0</v>
      </c>
      <c r="F122" s="2530">
        <v>0</v>
      </c>
      <c r="G122" s="2887">
        <v>8.4900000000000003E-2</v>
      </c>
      <c r="H122" s="2479" t="str">
        <f t="shared" si="5"/>
        <v>OREGON - 01STDAY028 - OR DAY STD OFF, SCH 28</v>
      </c>
      <c r="J122" s="2501"/>
      <c r="K122" s="2886"/>
    </row>
    <row r="123" spans="1:11" ht="16.7" customHeight="1" x14ac:dyDescent="0.2">
      <c r="A123" s="2749">
        <f t="shared" si="4"/>
        <v>6.1110000000000193</v>
      </c>
      <c r="B123" s="2512" t="s">
        <v>8692</v>
      </c>
      <c r="C123" s="2530">
        <v>4193</v>
      </c>
      <c r="D123" s="2530">
        <v>280244</v>
      </c>
      <c r="E123" s="2750">
        <v>0</v>
      </c>
      <c r="F123" s="2530">
        <v>0</v>
      </c>
      <c r="G123" s="2887">
        <v>6.6799999999999998E-2</v>
      </c>
      <c r="H123" s="2479" t="str">
        <f t="shared" si="5"/>
        <v>OREGON - 01STDAY030 - OR STD DAY OFF, SCH 27</v>
      </c>
      <c r="J123" s="2501"/>
      <c r="K123" s="2886"/>
    </row>
    <row r="124" spans="1:11" ht="16.7" customHeight="1" x14ac:dyDescent="0.2">
      <c r="A124" s="2749">
        <f t="shared" si="4"/>
        <v>6.1120000000000196</v>
      </c>
      <c r="B124" s="2512" t="s">
        <v>8693</v>
      </c>
      <c r="C124" s="2530">
        <v>0</v>
      </c>
      <c r="D124" s="2530">
        <v>238139</v>
      </c>
      <c r="E124" s="2750">
        <v>124</v>
      </c>
      <c r="F124" s="2530">
        <v>0</v>
      </c>
      <c r="G124" s="2887">
        <v>0</v>
      </c>
      <c r="H124" s="2479" t="str">
        <f t="shared" si="5"/>
        <v>OREGON - 01VIR23136-OR VOLUME INCENTIVE &lt;= 30 KW</v>
      </c>
      <c r="J124" s="2501"/>
      <c r="K124" s="2886"/>
    </row>
    <row r="125" spans="1:11" ht="16.7" customHeight="1" x14ac:dyDescent="0.2">
      <c r="A125" s="2749">
        <f t="shared" si="4"/>
        <v>6.11300000000002</v>
      </c>
      <c r="B125" s="2512" t="s">
        <v>8694</v>
      </c>
      <c r="C125" s="2530">
        <v>0</v>
      </c>
      <c r="D125" s="2530">
        <v>687267</v>
      </c>
      <c r="E125" s="2750">
        <v>87</v>
      </c>
      <c r="F125" s="2530">
        <v>0</v>
      </c>
      <c r="G125" s="2887">
        <v>0</v>
      </c>
      <c r="H125" s="2479" t="str">
        <f t="shared" si="5"/>
        <v>OREGON - 01VIR28136-OR VOLUME INCENTIVE &gt; 30 KW</v>
      </c>
      <c r="J125" s="2501"/>
      <c r="K125" s="2886"/>
    </row>
    <row r="126" spans="1:11" ht="16.7" customHeight="1" x14ac:dyDescent="0.2">
      <c r="A126" s="2749">
        <f t="shared" si="4"/>
        <v>6.1140000000000203</v>
      </c>
      <c r="B126" s="2512" t="s">
        <v>8695</v>
      </c>
      <c r="C126" s="2530">
        <v>0</v>
      </c>
      <c r="D126" s="2530">
        <v>274267</v>
      </c>
      <c r="E126" s="2750">
        <v>4</v>
      </c>
      <c r="F126" s="2530">
        <v>0</v>
      </c>
      <c r="G126" s="2887">
        <v>0</v>
      </c>
      <c r="H126" s="2479" t="str">
        <f t="shared" si="5"/>
        <v>OREGON - 01VIR30136-OR VOLUME INCENTIVE &gt; 200 kW</v>
      </c>
      <c r="J126" s="2501"/>
      <c r="K126" s="2886"/>
    </row>
    <row r="127" spans="1:11" ht="16.7" customHeight="1" x14ac:dyDescent="0.2">
      <c r="A127" s="2749">
        <f t="shared" si="4"/>
        <v>6.1150000000000206</v>
      </c>
      <c r="B127" s="2512" t="s">
        <v>8696</v>
      </c>
      <c r="C127" s="2530">
        <v>0</v>
      </c>
      <c r="D127" s="2530">
        <v>118175</v>
      </c>
      <c r="E127" s="2750">
        <v>1</v>
      </c>
      <c r="F127" s="2530">
        <v>0</v>
      </c>
      <c r="G127" s="2887">
        <v>0</v>
      </c>
      <c r="H127" s="2479" t="str">
        <f t="shared" si="5"/>
        <v>OREGON - 01VIR48136-OR VOLUME INCENTIVE &gt; 1000 KW</v>
      </c>
      <c r="J127" s="2501"/>
      <c r="K127" s="2886"/>
    </row>
    <row r="128" spans="1:11" ht="16.7" customHeight="1" x14ac:dyDescent="0.2">
      <c r="A128" s="2749">
        <f t="shared" si="4"/>
        <v>6.116000000000021</v>
      </c>
      <c r="B128" s="2512" t="s">
        <v>8697</v>
      </c>
      <c r="C128" s="2530">
        <v>0</v>
      </c>
      <c r="D128" s="2530">
        <v>949721</v>
      </c>
      <c r="E128" s="2750">
        <v>2</v>
      </c>
      <c r="F128" s="2530">
        <v>0</v>
      </c>
      <c r="G128" s="2887">
        <v>0</v>
      </c>
      <c r="H128" s="2479" t="str">
        <f t="shared" si="5"/>
        <v>OREGON - 01LGSB0048 - LG GEN SVC &gt; 1000KW (R)</v>
      </c>
      <c r="J128" s="2501"/>
      <c r="K128" s="2886"/>
    </row>
    <row r="129" spans="1:11" ht="16.7" customHeight="1" x14ac:dyDescent="0.2">
      <c r="A129" s="2749">
        <f t="shared" si="4"/>
        <v>6.1170000000000213</v>
      </c>
      <c r="B129" s="2512" t="s">
        <v>8698</v>
      </c>
      <c r="C129" s="2530">
        <v>467</v>
      </c>
      <c r="D129" s="2530">
        <v>43799</v>
      </c>
      <c r="E129" s="2750">
        <v>1</v>
      </c>
      <c r="F129" s="2530">
        <v>467000</v>
      </c>
      <c r="G129" s="2887">
        <v>9.3799999999999994E-2</v>
      </c>
      <c r="H129" s="2479" t="str">
        <f t="shared" si="5"/>
        <v>OREGON - 01LGSV028M - OR LGSV, &lt;1000 kW, Manual</v>
      </c>
      <c r="J129" s="2501"/>
      <c r="K129" s="2886"/>
    </row>
    <row r="130" spans="1:11" ht="16.7" customHeight="1" x14ac:dyDescent="0.2">
      <c r="A130" s="2749">
        <f t="shared" ref="A130:A141" si="6">A129+0.001</f>
        <v>6.1180000000000216</v>
      </c>
      <c r="B130" s="2512" t="s">
        <v>8699</v>
      </c>
      <c r="C130" s="2530">
        <v>0</v>
      </c>
      <c r="D130" s="2530">
        <v>298374</v>
      </c>
      <c r="E130" s="2750">
        <v>14</v>
      </c>
      <c r="F130" s="2530">
        <v>0</v>
      </c>
      <c r="G130" s="2887">
        <v>0</v>
      </c>
      <c r="H130" s="2479" t="str">
        <f t="shared" si="5"/>
        <v>OREGON - 01GNSV0728 - OR GEN SVC DIR ACCESS &gt;30KW</v>
      </c>
      <c r="J130" s="2501"/>
      <c r="K130" s="2886"/>
    </row>
    <row r="131" spans="1:11" ht="16.7" customHeight="1" x14ac:dyDescent="0.2">
      <c r="A131" s="2749">
        <f t="shared" si="6"/>
        <v>6.119000000000022</v>
      </c>
      <c r="B131" s="2512" t="s">
        <v>8700</v>
      </c>
      <c r="C131" s="2530">
        <v>0</v>
      </c>
      <c r="D131" s="2888">
        <f>2226770-1</f>
        <v>2226769</v>
      </c>
      <c r="E131" s="2911">
        <f>19-1</f>
        <v>18</v>
      </c>
      <c r="F131" s="2530">
        <v>0</v>
      </c>
      <c r="G131" s="2887">
        <v>0</v>
      </c>
      <c r="H131" s="2479" t="str">
        <f t="shared" si="5"/>
        <v>OREGON - 01GNSV0730 -OR GEN SVC DIR ACCESS &gt;200KW</v>
      </c>
      <c r="J131" s="2501"/>
      <c r="K131" s="2886"/>
    </row>
    <row r="132" spans="1:11" ht="16.7" customHeight="1" x14ac:dyDescent="0.2">
      <c r="A132" s="2749">
        <f t="shared" si="6"/>
        <v>6.1200000000000223</v>
      </c>
      <c r="B132" s="2512" t="s">
        <v>8701</v>
      </c>
      <c r="C132" s="2530">
        <v>0</v>
      </c>
      <c r="D132" s="2530">
        <v>1598572</v>
      </c>
      <c r="E132" s="2750">
        <v>4</v>
      </c>
      <c r="F132" s="2530">
        <v>0</v>
      </c>
      <c r="G132" s="2887">
        <v>0</v>
      </c>
      <c r="H132" s="2479" t="str">
        <f t="shared" si="5"/>
        <v>OREGON - 01GNSV0748 LG GEN SVC DIR ACCESS 1000KW+</v>
      </c>
      <c r="J132" s="2501"/>
      <c r="K132" s="2886"/>
    </row>
    <row r="133" spans="1:11" ht="16.7" customHeight="1" x14ac:dyDescent="0.2">
      <c r="A133" s="2749">
        <f t="shared" si="6"/>
        <v>6.1210000000000226</v>
      </c>
      <c r="B133" s="2512" t="s">
        <v>8702</v>
      </c>
      <c r="C133" s="2530">
        <v>0</v>
      </c>
      <c r="D133" s="2530">
        <v>1209590</v>
      </c>
      <c r="E133" s="2750">
        <v>1</v>
      </c>
      <c r="F133" s="2530">
        <v>0</v>
      </c>
      <c r="G133" s="2887">
        <v>0</v>
      </c>
      <c r="H133" s="2479" t="str">
        <f t="shared" si="5"/>
        <v>OREGON - 01GNSV0848-LG GEN SVC &gt; 1000 DA DEL</v>
      </c>
      <c r="J133" s="2501"/>
      <c r="K133" s="2886"/>
    </row>
    <row r="134" spans="1:11" ht="16.7" customHeight="1" x14ac:dyDescent="0.2">
      <c r="A134" s="2749">
        <f t="shared" si="6"/>
        <v>6.122000000000023</v>
      </c>
      <c r="B134" s="2512" t="s">
        <v>8703</v>
      </c>
      <c r="C134" s="2530">
        <v>0</v>
      </c>
      <c r="D134" s="2530">
        <v>12242</v>
      </c>
      <c r="E134" s="2750">
        <v>5</v>
      </c>
      <c r="F134" s="2530">
        <v>0</v>
      </c>
      <c r="G134" s="2887">
        <v>0</v>
      </c>
      <c r="H134" s="2479" t="str">
        <f t="shared" si="5"/>
        <v>OREGON - 01GNSVT023-OR GEN SVC &lt;=30 KW TOU MTR</v>
      </c>
      <c r="J134" s="2501"/>
      <c r="K134" s="2886"/>
    </row>
    <row r="135" spans="1:11" ht="16.7" customHeight="1" x14ac:dyDescent="0.2">
      <c r="A135" s="2749">
        <f t="shared" si="6"/>
        <v>6.1230000000000233</v>
      </c>
      <c r="B135" s="2512" t="s">
        <v>8704</v>
      </c>
      <c r="C135" s="2530">
        <v>0</v>
      </c>
      <c r="D135" s="2530">
        <v>85381</v>
      </c>
      <c r="E135" s="2750">
        <v>7</v>
      </c>
      <c r="F135" s="2530">
        <v>0</v>
      </c>
      <c r="G135" s="2887">
        <v>0</v>
      </c>
      <c r="H135" s="2479" t="str">
        <f t="shared" si="5"/>
        <v>OREGON - 01GNSVT028-OR GEN SVC&gt;30KW TOU MTR</v>
      </c>
      <c r="J135" s="2501"/>
      <c r="K135" s="2886"/>
    </row>
    <row r="136" spans="1:11" ht="16.7" customHeight="1" x14ac:dyDescent="0.2">
      <c r="A136" s="2749">
        <f t="shared" si="6"/>
        <v>6.1240000000000236</v>
      </c>
      <c r="B136" s="2512" t="s">
        <v>8444</v>
      </c>
      <c r="C136" s="2530">
        <v>0</v>
      </c>
      <c r="D136" s="2530">
        <v>685051</v>
      </c>
      <c r="E136" s="2750">
        <v>0</v>
      </c>
      <c r="F136" s="2530">
        <v>0</v>
      </c>
      <c r="G136" s="2887">
        <v>0</v>
      </c>
      <c r="H136" s="2479" t="str">
        <f t="shared" si="5"/>
        <v>OREGON - REVENUE_ACCOUNTING ADJUSTMENTS</v>
      </c>
      <c r="J136" s="2501"/>
      <c r="K136" s="2886"/>
    </row>
    <row r="137" spans="1:11" ht="16.7" customHeight="1" x14ac:dyDescent="0.2">
      <c r="A137" s="2749">
        <f t="shared" si="6"/>
        <v>6.125000000000024</v>
      </c>
      <c r="B137" s="2512" t="s">
        <v>8445</v>
      </c>
      <c r="C137" s="2530">
        <v>0</v>
      </c>
      <c r="D137" s="2530">
        <v>1786993</v>
      </c>
      <c r="E137" s="2750">
        <v>0</v>
      </c>
      <c r="F137" s="2530">
        <v>0</v>
      </c>
      <c r="G137" s="2887">
        <v>0</v>
      </c>
      <c r="H137" s="2479" t="str">
        <f t="shared" si="5"/>
        <v>OREGON - SOLAR FEED-IN REVENUE</v>
      </c>
      <c r="J137" s="2501"/>
      <c r="K137" s="2886"/>
    </row>
    <row r="138" spans="1:11" ht="16.7" customHeight="1" x14ac:dyDescent="0.2">
      <c r="A138" s="2749">
        <f t="shared" si="6"/>
        <v>6.1260000000000243</v>
      </c>
      <c r="B138" s="2512" t="s">
        <v>8446</v>
      </c>
      <c r="C138" s="2530">
        <v>0</v>
      </c>
      <c r="D138" s="2530">
        <v>989145</v>
      </c>
      <c r="E138" s="2750">
        <v>0</v>
      </c>
      <c r="F138" s="2530">
        <v>0</v>
      </c>
      <c r="G138" s="2887">
        <v>0</v>
      </c>
      <c r="H138" s="2479" t="str">
        <f t="shared" si="5"/>
        <v>OREGON - OTHER CUSTOMER RETAIL REVENUE</v>
      </c>
      <c r="J138" s="2501"/>
      <c r="K138" s="2886"/>
    </row>
    <row r="139" spans="1:11" ht="16.7" customHeight="1" x14ac:dyDescent="0.2">
      <c r="A139" s="2749">
        <f t="shared" si="6"/>
        <v>6.1270000000000246</v>
      </c>
      <c r="B139" s="2512" t="s">
        <v>8447</v>
      </c>
      <c r="C139" s="2530">
        <v>0</v>
      </c>
      <c r="D139" s="2530">
        <v>374714</v>
      </c>
      <c r="E139" s="2750">
        <v>0</v>
      </c>
      <c r="F139" s="2530">
        <v>0</v>
      </c>
      <c r="G139" s="2887">
        <v>0</v>
      </c>
      <c r="H139" s="2479" t="str">
        <f t="shared" si="5"/>
        <v>OREGON - COMMUNITY SOLAR REVENUE</v>
      </c>
      <c r="J139" s="2501"/>
      <c r="K139" s="2886"/>
    </row>
    <row r="140" spans="1:11" ht="16.7" customHeight="1" x14ac:dyDescent="0.2">
      <c r="A140" s="2749">
        <f t="shared" si="6"/>
        <v>6.128000000000025</v>
      </c>
      <c r="B140" s="2512" t="s">
        <v>8705</v>
      </c>
      <c r="C140" s="2530">
        <v>0</v>
      </c>
      <c r="D140" s="2530">
        <v>27232621</v>
      </c>
      <c r="E140" s="2750">
        <v>0</v>
      </c>
      <c r="F140" s="2530">
        <v>0</v>
      </c>
      <c r="G140" s="2887">
        <v>0</v>
      </c>
      <c r="H140" s="2479" t="str">
        <f t="shared" si="5"/>
        <v>OREGON - DSM REVENUE-COMMERCIAL</v>
      </c>
      <c r="J140" s="2501"/>
      <c r="K140" s="2886"/>
    </row>
    <row r="141" spans="1:11" ht="16.7" customHeight="1" x14ac:dyDescent="0.2">
      <c r="A141" s="2749">
        <f t="shared" si="6"/>
        <v>6.1290000000000253</v>
      </c>
      <c r="B141" s="2512" t="s">
        <v>8706</v>
      </c>
      <c r="C141" s="2530">
        <v>0</v>
      </c>
      <c r="D141" s="2530">
        <v>807017</v>
      </c>
      <c r="E141" s="2750">
        <v>101</v>
      </c>
      <c r="F141" s="2530">
        <v>0</v>
      </c>
      <c r="G141" s="2887">
        <v>0</v>
      </c>
      <c r="H141" s="2479" t="str">
        <f t="shared" si="5"/>
        <v>OREGON - BLUE SKY REVENUE-COMMERCIAL</v>
      </c>
      <c r="J141" s="2501"/>
      <c r="K141" s="2886"/>
    </row>
    <row r="142" spans="1:11" ht="16.7" customHeight="1" x14ac:dyDescent="0.2">
      <c r="A142" s="2489"/>
      <c r="B142" s="2512"/>
      <c r="C142" s="2488"/>
      <c r="D142" s="2488"/>
      <c r="E142" s="2488"/>
      <c r="F142" s="2488"/>
      <c r="G142" s="2488"/>
      <c r="H142" s="2595">
        <f t="shared" si="5"/>
        <v>0</v>
      </c>
      <c r="J142" s="2501"/>
      <c r="K142" s="2886"/>
    </row>
    <row r="143" spans="1:11" ht="16.7" customHeight="1" x14ac:dyDescent="0.2">
      <c r="A143" s="2489"/>
      <c r="B143" s="2669" t="s">
        <v>8450</v>
      </c>
      <c r="C143" s="2488"/>
      <c r="D143" s="2488"/>
      <c r="E143" s="2488"/>
      <c r="F143" s="2488"/>
      <c r="G143" s="2488"/>
      <c r="H143" s="2479" t="str">
        <f t="shared" si="5"/>
        <v>UTAH</v>
      </c>
      <c r="J143" s="2501"/>
      <c r="K143" s="2886"/>
    </row>
    <row r="144" spans="1:11" ht="16.7" customHeight="1" x14ac:dyDescent="0.2">
      <c r="A144" s="2749">
        <f>A141+0.001</f>
        <v>6.1300000000000257</v>
      </c>
      <c r="B144" s="2512" t="s">
        <v>8707</v>
      </c>
      <c r="C144" s="2530">
        <v>0</v>
      </c>
      <c r="D144" s="2530">
        <v>434</v>
      </c>
      <c r="E144" s="2750">
        <v>0</v>
      </c>
      <c r="F144" s="2530">
        <v>0</v>
      </c>
      <c r="G144" s="2887">
        <v>0</v>
      </c>
      <c r="H144" s="2479" t="str">
        <f t="shared" si="5"/>
        <v>UTAH - 08ABL-NRES - APPLICANT BUILT LINE</v>
      </c>
      <c r="J144" s="2501"/>
      <c r="K144" s="2886"/>
    </row>
    <row r="145" spans="1:11" ht="16.7" customHeight="1" x14ac:dyDescent="0.2">
      <c r="A145" s="2749">
        <f t="shared" ref="A145:A205" si="7">A144+0.001</f>
        <v>6.131000000000026</v>
      </c>
      <c r="B145" s="2512" t="s">
        <v>8708</v>
      </c>
      <c r="C145" s="2530">
        <v>0</v>
      </c>
      <c r="D145" s="2530">
        <v>35752</v>
      </c>
      <c r="E145" s="2750">
        <v>0</v>
      </c>
      <c r="F145" s="2530">
        <v>0</v>
      </c>
      <c r="G145" s="2887">
        <v>0</v>
      </c>
      <c r="H145" s="2479" t="str">
        <f t="shared" si="5"/>
        <v>UTAH - 08ABTCLXGN-LINE EXT 80% CONTRACT MIN</v>
      </c>
      <c r="J145" s="2501"/>
      <c r="K145" s="2886"/>
    </row>
    <row r="146" spans="1:11" ht="16.7" customHeight="1" x14ac:dyDescent="0.2">
      <c r="A146" s="2749">
        <f t="shared" si="7"/>
        <v>6.1320000000000263</v>
      </c>
      <c r="B146" s="2512" t="s">
        <v>8709</v>
      </c>
      <c r="C146" s="2530">
        <v>0</v>
      </c>
      <c r="D146" s="2530">
        <v>22201</v>
      </c>
      <c r="E146" s="2750">
        <v>0</v>
      </c>
      <c r="F146" s="2530">
        <v>0</v>
      </c>
      <c r="G146" s="2887">
        <v>0</v>
      </c>
      <c r="H146" s="2479" t="str">
        <f t="shared" si="5"/>
        <v xml:space="preserve">UTAH - 08CFR00051-MTH FAC SRVCHG               </v>
      </c>
      <c r="J146" s="2501"/>
      <c r="K146" s="2886"/>
    </row>
    <row r="147" spans="1:11" ht="16.7" customHeight="1" x14ac:dyDescent="0.2">
      <c r="A147" s="2749">
        <f t="shared" si="7"/>
        <v>6.1330000000000267</v>
      </c>
      <c r="B147" s="2512" t="s">
        <v>8710</v>
      </c>
      <c r="C147" s="2530">
        <v>0</v>
      </c>
      <c r="D147" s="2530">
        <v>2</v>
      </c>
      <c r="E147" s="2750">
        <v>0</v>
      </c>
      <c r="F147" s="2530">
        <v>0</v>
      </c>
      <c r="G147" s="2887">
        <v>0</v>
      </c>
      <c r="H147" s="2479" t="str">
        <f t="shared" si="5"/>
        <v xml:space="preserve">UTAH - 08CFR00052-ANN FAC SVCCHG               </v>
      </c>
      <c r="J147" s="2501"/>
      <c r="K147" s="2886"/>
    </row>
    <row r="148" spans="1:11" ht="16.7" customHeight="1" x14ac:dyDescent="0.2">
      <c r="A148" s="2749">
        <f t="shared" si="7"/>
        <v>6.134000000000027</v>
      </c>
      <c r="B148" s="2512" t="s">
        <v>8711</v>
      </c>
      <c r="C148" s="2530">
        <v>85</v>
      </c>
      <c r="D148" s="2530">
        <v>11279</v>
      </c>
      <c r="E148" s="2750">
        <v>1</v>
      </c>
      <c r="F148" s="2530">
        <v>85000</v>
      </c>
      <c r="G148" s="2887">
        <v>0.13270000000000001</v>
      </c>
      <c r="H148" s="2479" t="str">
        <f t="shared" si="5"/>
        <v>UTAH - 08CGA06137-UT GEN SVC CUST GEN 137</v>
      </c>
      <c r="J148" s="2501"/>
      <c r="K148" s="2886"/>
    </row>
    <row r="149" spans="1:11" ht="16.7" customHeight="1" x14ac:dyDescent="0.2">
      <c r="A149" s="2749">
        <f t="shared" si="7"/>
        <v>6.1350000000000273</v>
      </c>
      <c r="B149" s="2512" t="s">
        <v>8712</v>
      </c>
      <c r="C149" s="2530">
        <v>341</v>
      </c>
      <c r="D149" s="2530">
        <v>33673</v>
      </c>
      <c r="E149" s="2750">
        <v>17</v>
      </c>
      <c r="F149" s="2530">
        <v>20059</v>
      </c>
      <c r="G149" s="2887">
        <v>9.8699999999999996E-2</v>
      </c>
      <c r="H149" s="2479" t="str">
        <f t="shared" si="5"/>
        <v>UTAH - 08CGA23137-UT NET MTR SMALL GEN SVC</v>
      </c>
      <c r="J149" s="2501"/>
      <c r="K149" s="2886"/>
    </row>
    <row r="150" spans="1:11" ht="16.7" customHeight="1" x14ac:dyDescent="0.2">
      <c r="A150" s="2749">
        <f t="shared" si="7"/>
        <v>6.1360000000000277</v>
      </c>
      <c r="B150" s="2512" t="s">
        <v>8713</v>
      </c>
      <c r="C150" s="2530">
        <v>7254</v>
      </c>
      <c r="D150" s="2530">
        <v>660028</v>
      </c>
      <c r="E150" s="2750">
        <v>11</v>
      </c>
      <c r="F150" s="2530">
        <v>659455</v>
      </c>
      <c r="G150" s="2887">
        <v>9.0999999999999998E-2</v>
      </c>
      <c r="H150" s="2479" t="str">
        <f t="shared" si="5"/>
        <v>UTAH - 08CGM06136-UT NET METERING GENERAL SVC</v>
      </c>
      <c r="J150" s="2501"/>
      <c r="K150" s="2886"/>
    </row>
    <row r="151" spans="1:11" ht="16.7" customHeight="1" x14ac:dyDescent="0.2">
      <c r="A151" s="2749">
        <f t="shared" si="7"/>
        <v>6.137000000000028</v>
      </c>
      <c r="B151" s="2512" t="s">
        <v>8714</v>
      </c>
      <c r="C151" s="2530">
        <v>946</v>
      </c>
      <c r="D151" s="2530">
        <v>100720</v>
      </c>
      <c r="E151" s="2750">
        <v>53</v>
      </c>
      <c r="F151" s="2530">
        <v>17849</v>
      </c>
      <c r="G151" s="2887">
        <v>0.1065</v>
      </c>
      <c r="H151" s="2479" t="str">
        <f t="shared" si="5"/>
        <v>UTAH - 08CGM23136-UTAH NET METER SM GEN SVC</v>
      </c>
      <c r="J151" s="2501"/>
      <c r="K151" s="2886"/>
    </row>
    <row r="152" spans="1:11" ht="16.7" customHeight="1" x14ac:dyDescent="0.2">
      <c r="A152" s="2749">
        <f t="shared" si="7"/>
        <v>6.1380000000000283</v>
      </c>
      <c r="B152" s="2512" t="s">
        <v>8715</v>
      </c>
      <c r="C152" s="2530">
        <v>5244</v>
      </c>
      <c r="D152" s="2530">
        <v>484115</v>
      </c>
      <c r="E152" s="2750">
        <v>22.92</v>
      </c>
      <c r="F152" s="2530">
        <v>228000</v>
      </c>
      <c r="G152" s="2887">
        <v>9.2299999999999993E-2</v>
      </c>
      <c r="H152" s="2479" t="str">
        <f t="shared" si="5"/>
        <v>UTAH - 08CGM6A136-UTAH GEN SVC TRANS GEN TOU</v>
      </c>
      <c r="J152" s="2501"/>
      <c r="K152" s="2886"/>
    </row>
    <row r="153" spans="1:11" ht="16.7" customHeight="1" x14ac:dyDescent="0.2">
      <c r="A153" s="2749">
        <f t="shared" si="7"/>
        <v>6.1390000000000287</v>
      </c>
      <c r="B153" s="2512" t="s">
        <v>8716</v>
      </c>
      <c r="C153" s="2530">
        <v>1177</v>
      </c>
      <c r="D153" s="2530">
        <v>112724</v>
      </c>
      <c r="E153" s="2750">
        <v>4.67</v>
      </c>
      <c r="F153" s="2530">
        <v>235400</v>
      </c>
      <c r="G153" s="2887">
        <v>9.5799999999999996E-2</v>
      </c>
      <c r="H153" s="2479" t="str">
        <f t="shared" si="5"/>
        <v>UTAH - 08CGM6A137-UT GEN SVC TRANS TOU MAN 137</v>
      </c>
      <c r="J153" s="2501"/>
      <c r="K153" s="2886"/>
    </row>
    <row r="154" spans="1:11" ht="16.7" customHeight="1" x14ac:dyDescent="0.2">
      <c r="A154" s="2749">
        <f t="shared" si="7"/>
        <v>6.140000000000029</v>
      </c>
      <c r="B154" s="2512" t="s">
        <v>8717</v>
      </c>
      <c r="C154" s="2530">
        <v>14958</v>
      </c>
      <c r="D154" s="2530">
        <v>1159164</v>
      </c>
      <c r="E154" s="2750">
        <v>2</v>
      </c>
      <c r="F154" s="2530">
        <v>7479000</v>
      </c>
      <c r="G154" s="2887">
        <v>7.7499999999999999E-2</v>
      </c>
      <c r="H154" s="2479" t="str">
        <f t="shared" si="5"/>
        <v>UTAH - 08CGN08136-UT NET MTR GEN SVC &gt; 1000 KW</v>
      </c>
      <c r="J154" s="2501"/>
      <c r="K154" s="2886"/>
    </row>
    <row r="155" spans="1:11" ht="16.7" customHeight="1" x14ac:dyDescent="0.2">
      <c r="A155" s="2749">
        <f t="shared" si="7"/>
        <v>6.1410000000000293</v>
      </c>
      <c r="B155" s="2512" t="s">
        <v>8718</v>
      </c>
      <c r="C155" s="2530">
        <v>44541</v>
      </c>
      <c r="D155" s="2530">
        <v>4026211</v>
      </c>
      <c r="E155" s="2750">
        <v>81</v>
      </c>
      <c r="F155" s="2530">
        <v>549889</v>
      </c>
      <c r="G155" s="2887">
        <v>9.0399999999999994E-2</v>
      </c>
      <c r="H155" s="2479" t="str">
        <f t="shared" si="5"/>
        <v>UTAH - 08CGN06136-UT GEN SVC TRANSITION GEN</v>
      </c>
      <c r="J155" s="2501"/>
      <c r="K155" s="2886"/>
    </row>
    <row r="156" spans="1:11" ht="16.7" customHeight="1" x14ac:dyDescent="0.2">
      <c r="A156" s="2749">
        <f t="shared" si="7"/>
        <v>6.1420000000000297</v>
      </c>
      <c r="B156" s="2512" t="s">
        <v>8719</v>
      </c>
      <c r="C156" s="2530">
        <v>15901</v>
      </c>
      <c r="D156" s="2530">
        <v>1535937</v>
      </c>
      <c r="E156" s="2750">
        <v>47</v>
      </c>
      <c r="F156" s="2530">
        <v>338319</v>
      </c>
      <c r="G156" s="2887">
        <v>9.6600000000000005E-2</v>
      </c>
      <c r="H156" s="2479" t="str">
        <f t="shared" si="5"/>
        <v>UTAH - 08CGN06137-UT GEN SVC CUST GEN 137</v>
      </c>
      <c r="J156" s="2501"/>
      <c r="K156" s="2886"/>
    </row>
    <row r="157" spans="1:11" ht="16.7" customHeight="1" x14ac:dyDescent="0.2">
      <c r="A157" s="2749">
        <f t="shared" si="7"/>
        <v>6.14300000000003</v>
      </c>
      <c r="B157" s="2512" t="s">
        <v>8720</v>
      </c>
      <c r="C157" s="2888">
        <f>2918+1</f>
        <v>2919</v>
      </c>
      <c r="D157" s="2888">
        <f>291818-1</f>
        <v>291817</v>
      </c>
      <c r="E157" s="2911">
        <f>141-1</f>
        <v>140</v>
      </c>
      <c r="F157" s="2530">
        <v>20695</v>
      </c>
      <c r="G157" s="2887">
        <v>0.1</v>
      </c>
      <c r="H157" s="2479" t="str">
        <f t="shared" si="5"/>
        <v>UTAH - 08CGN23136-UTAH NET METER SMALL GEN SVC</v>
      </c>
      <c r="J157" s="2501"/>
      <c r="K157" s="2886"/>
    </row>
    <row r="158" spans="1:11" ht="16.7" customHeight="1" x14ac:dyDescent="0.2">
      <c r="A158" s="2749">
        <f t="shared" si="7"/>
        <v>6.1440000000000303</v>
      </c>
      <c r="B158" s="2512" t="s">
        <v>8721</v>
      </c>
      <c r="C158" s="2530">
        <v>1892</v>
      </c>
      <c r="D158" s="2530">
        <v>186988</v>
      </c>
      <c r="E158" s="2750">
        <v>81</v>
      </c>
      <c r="F158" s="2530">
        <v>23358</v>
      </c>
      <c r="G158" s="2887">
        <v>9.8799999999999999E-2</v>
      </c>
      <c r="H158" s="2479" t="str">
        <f t="shared" si="5"/>
        <v>UTAH - 08CGN23137-UT NET MTR SMALL GEN SVC</v>
      </c>
      <c r="J158" s="2501"/>
      <c r="K158" s="2886"/>
    </row>
    <row r="159" spans="1:11" ht="16.7" customHeight="1" x14ac:dyDescent="0.2">
      <c r="A159" s="2749">
        <f t="shared" si="7"/>
        <v>6.1450000000000307</v>
      </c>
      <c r="B159" s="2512" t="s">
        <v>8722</v>
      </c>
      <c r="C159" s="2530">
        <v>5109895</v>
      </c>
      <c r="D159" s="2530">
        <v>425560292</v>
      </c>
      <c r="E159" s="2750">
        <v>11928</v>
      </c>
      <c r="F159" s="2530">
        <v>428395</v>
      </c>
      <c r="G159" s="2887">
        <v>8.3299999999999999E-2</v>
      </c>
      <c r="H159" s="2479" t="str">
        <f t="shared" si="5"/>
        <v xml:space="preserve">UTAH - 08GNSV0006-GEN SRVC-DISTR               </v>
      </c>
      <c r="J159" s="2501"/>
      <c r="K159" s="2886"/>
    </row>
    <row r="160" spans="1:11" ht="16.7" customHeight="1" x14ac:dyDescent="0.2">
      <c r="A160" s="2749">
        <f t="shared" si="7"/>
        <v>6.146000000000031</v>
      </c>
      <c r="B160" s="2512" t="s">
        <v>8723</v>
      </c>
      <c r="C160" s="2530">
        <v>965243</v>
      </c>
      <c r="D160" s="2530">
        <v>54791532</v>
      </c>
      <c r="E160" s="2750">
        <v>53</v>
      </c>
      <c r="F160" s="2530">
        <v>18212132</v>
      </c>
      <c r="G160" s="2887">
        <v>5.6800000000000003E-2</v>
      </c>
      <c r="H160" s="2479" t="str">
        <f t="shared" si="5"/>
        <v xml:space="preserve">UTAH - 08GNSV0009-GEN SRVC-HI VO               </v>
      </c>
      <c r="J160" s="2501"/>
      <c r="K160" s="2886"/>
    </row>
    <row r="161" spans="1:11" ht="16.7" customHeight="1" x14ac:dyDescent="0.2">
      <c r="A161" s="2749">
        <f t="shared" si="7"/>
        <v>6.1470000000000313</v>
      </c>
      <c r="B161" s="2512" t="s">
        <v>8724</v>
      </c>
      <c r="C161" s="2530">
        <v>1347243</v>
      </c>
      <c r="D161" s="2530">
        <v>130228235</v>
      </c>
      <c r="E161" s="2750">
        <v>80539</v>
      </c>
      <c r="F161" s="2530">
        <v>16728</v>
      </c>
      <c r="G161" s="2887">
        <v>9.6699999999999994E-2</v>
      </c>
      <c r="H161" s="2479" t="str">
        <f t="shared" si="5"/>
        <v xml:space="preserve">UTAH - 08GNSV0023-GEN SRVC-DISTR               </v>
      </c>
      <c r="J161" s="2501"/>
      <c r="K161" s="2886"/>
    </row>
    <row r="162" spans="1:11" ht="16.7" customHeight="1" x14ac:dyDescent="0.2">
      <c r="A162" s="2749">
        <f t="shared" si="7"/>
        <v>6.1480000000000317</v>
      </c>
      <c r="B162" s="2512" t="s">
        <v>8725</v>
      </c>
      <c r="C162" s="2530">
        <v>293720</v>
      </c>
      <c r="D162" s="2530">
        <v>34103602</v>
      </c>
      <c r="E162" s="2750">
        <v>2010</v>
      </c>
      <c r="F162" s="2530">
        <v>146129</v>
      </c>
      <c r="G162" s="2887">
        <v>0.11609999999999999</v>
      </c>
      <c r="H162" s="2479" t="str">
        <f t="shared" ref="H162:H225" si="8">B162</f>
        <v xml:space="preserve">UTAH - 08GNSV006A-GEN SRVC-ENERG               </v>
      </c>
      <c r="J162" s="2501"/>
      <c r="K162" s="2886"/>
    </row>
    <row r="163" spans="1:11" ht="16.7" customHeight="1" x14ac:dyDescent="0.2">
      <c r="A163" s="2749">
        <f t="shared" si="7"/>
        <v>6.149000000000032</v>
      </c>
      <c r="B163" s="2512" t="s">
        <v>8726</v>
      </c>
      <c r="C163" s="2530">
        <v>0</v>
      </c>
      <c r="D163" s="2530">
        <v>0</v>
      </c>
      <c r="E163" s="2750">
        <v>1</v>
      </c>
      <c r="F163" s="2530">
        <v>0</v>
      </c>
      <c r="G163" s="2887">
        <v>0</v>
      </c>
      <c r="H163" s="2479" t="str">
        <f t="shared" si="8"/>
        <v xml:space="preserve">UTAH - 08GNSV006M-MNL DIST VOLTG               </v>
      </c>
      <c r="J163" s="2501"/>
      <c r="K163" s="2886"/>
    </row>
    <row r="164" spans="1:11" ht="16.7" customHeight="1" x14ac:dyDescent="0.2">
      <c r="A164" s="2749">
        <f t="shared" si="7"/>
        <v>6.1500000000000323</v>
      </c>
      <c r="B164" s="2512" t="s">
        <v>8727</v>
      </c>
      <c r="C164" s="2530">
        <v>24145</v>
      </c>
      <c r="D164" s="2530">
        <v>1162990</v>
      </c>
      <c r="E164" s="2750">
        <v>2</v>
      </c>
      <c r="F164" s="2530">
        <v>12072500</v>
      </c>
      <c r="G164" s="2887">
        <v>4.82E-2</v>
      </c>
      <c r="H164" s="2479" t="str">
        <f t="shared" si="8"/>
        <v xml:space="preserve">UTAH - 08GNSV009A-GEN SRVC HI VO               </v>
      </c>
      <c r="J164" s="2501"/>
      <c r="K164" s="2886"/>
    </row>
    <row r="165" spans="1:11" ht="16.7" customHeight="1" x14ac:dyDescent="0.2">
      <c r="A165" s="2749">
        <f t="shared" si="7"/>
        <v>6.1510000000000327</v>
      </c>
      <c r="B165" s="2512" t="s">
        <v>8728</v>
      </c>
      <c r="C165" s="2530">
        <v>216609</v>
      </c>
      <c r="D165" s="2530">
        <v>12107339</v>
      </c>
      <c r="E165" s="2750">
        <v>1</v>
      </c>
      <c r="F165" s="2530">
        <v>216609000</v>
      </c>
      <c r="G165" s="2887">
        <v>5.5899999999999998E-2</v>
      </c>
      <c r="H165" s="2479" t="str">
        <f t="shared" si="8"/>
        <v xml:space="preserve">UTAH - 08GNSV009M-MANL HIGH VOLT               </v>
      </c>
      <c r="J165" s="2501"/>
      <c r="K165" s="2886"/>
    </row>
    <row r="166" spans="1:11" ht="16.7" customHeight="1" x14ac:dyDescent="0.2">
      <c r="A166" s="2749">
        <f t="shared" si="7"/>
        <v>6.152000000000033</v>
      </c>
      <c r="B166" s="2512" t="s">
        <v>8729</v>
      </c>
      <c r="C166" s="2530">
        <v>1295</v>
      </c>
      <c r="D166" s="2530">
        <v>182160</v>
      </c>
      <c r="E166" s="2750">
        <v>129</v>
      </c>
      <c r="F166" s="2530">
        <v>10039</v>
      </c>
      <c r="G166" s="2887">
        <v>0.14069999999999999</v>
      </c>
      <c r="H166" s="2479" t="str">
        <f t="shared" si="8"/>
        <v xml:space="preserve">UTAH - 08GNSV023F-GEN SRVC FIXED               </v>
      </c>
      <c r="J166" s="2501"/>
      <c r="K166" s="2886"/>
    </row>
    <row r="167" spans="1:11" ht="16.7" customHeight="1" x14ac:dyDescent="0.2">
      <c r="A167" s="2749">
        <f t="shared" si="7"/>
        <v>6.1530000000000333</v>
      </c>
      <c r="B167" s="2512" t="s">
        <v>8730</v>
      </c>
      <c r="C167" s="2530">
        <v>71</v>
      </c>
      <c r="D167" s="2530">
        <v>6481</v>
      </c>
      <c r="E167" s="2750">
        <v>1</v>
      </c>
      <c r="F167" s="2530">
        <v>71000</v>
      </c>
      <c r="G167" s="2887">
        <v>9.1300000000000006E-2</v>
      </c>
      <c r="H167" s="2479" t="str">
        <f t="shared" si="8"/>
        <v xml:space="preserve">UTAH - 08GNSV06AM-MNL ENERGY TOD               </v>
      </c>
      <c r="J167" s="2501"/>
      <c r="K167" s="2886"/>
    </row>
    <row r="168" spans="1:11" ht="16.7" customHeight="1" x14ac:dyDescent="0.2">
      <c r="A168" s="2749">
        <f t="shared" si="7"/>
        <v>6.1540000000000337</v>
      </c>
      <c r="B168" s="2512" t="s">
        <v>8731</v>
      </c>
      <c r="C168" s="2530">
        <v>28946</v>
      </c>
      <c r="D168" s="2530">
        <v>2303752</v>
      </c>
      <c r="E168" s="2750">
        <v>463</v>
      </c>
      <c r="F168" s="2530">
        <v>62518</v>
      </c>
      <c r="G168" s="2887">
        <v>7.9600000000000004E-2</v>
      </c>
      <c r="H168" s="2479" t="str">
        <f t="shared" si="8"/>
        <v xml:space="preserve">UTAH - 08GNSV06MN-GNSV DIST VOLT               </v>
      </c>
      <c r="J168" s="2501"/>
      <c r="K168" s="2886"/>
    </row>
    <row r="169" spans="1:11" ht="16.7" customHeight="1" x14ac:dyDescent="0.2">
      <c r="A169" s="2749">
        <f t="shared" si="7"/>
        <v>6.155000000000034</v>
      </c>
      <c r="B169" s="2512" t="s">
        <v>8732</v>
      </c>
      <c r="C169" s="2530">
        <v>34</v>
      </c>
      <c r="D169" s="2530">
        <v>5766</v>
      </c>
      <c r="E169" s="2750">
        <v>1</v>
      </c>
      <c r="F169" s="2530">
        <v>34000</v>
      </c>
      <c r="G169" s="2887">
        <v>0.1696</v>
      </c>
      <c r="H169" s="2479" t="str">
        <f t="shared" si="8"/>
        <v>UTAH - 08GNSVDWY6-UT GEN SVC W WYO DEDUCT MTR</v>
      </c>
      <c r="J169" s="2501"/>
      <c r="K169" s="2886"/>
    </row>
    <row r="170" spans="1:11" ht="16.7" customHeight="1" x14ac:dyDescent="0.2">
      <c r="A170" s="2749">
        <f t="shared" si="7"/>
        <v>6.1560000000000343</v>
      </c>
      <c r="B170" s="2512" t="s">
        <v>8733</v>
      </c>
      <c r="C170" s="2530">
        <v>0</v>
      </c>
      <c r="D170" s="2530">
        <v>2114807</v>
      </c>
      <c r="E170" s="2750">
        <v>0</v>
      </c>
      <c r="F170" s="2530">
        <v>0</v>
      </c>
      <c r="G170" s="2887">
        <v>0</v>
      </c>
      <c r="H170" s="2479" t="str">
        <f t="shared" si="8"/>
        <v xml:space="preserve">UTAH - 08LNX00002-MTHLY 80% GUAR               </v>
      </c>
      <c r="J170" s="2501"/>
      <c r="K170" s="2886"/>
    </row>
    <row r="171" spans="1:11" ht="16.7" customHeight="1" x14ac:dyDescent="0.2">
      <c r="A171" s="2749">
        <f t="shared" si="7"/>
        <v>6.1570000000000347</v>
      </c>
      <c r="B171" s="2512" t="s">
        <v>8734</v>
      </c>
      <c r="C171" s="2530">
        <v>0</v>
      </c>
      <c r="D171" s="2530">
        <v>187694</v>
      </c>
      <c r="E171" s="2750">
        <v>0</v>
      </c>
      <c r="F171" s="2530">
        <v>0</v>
      </c>
      <c r="G171" s="2887">
        <v>0</v>
      </c>
      <c r="H171" s="2479" t="str">
        <f t="shared" si="8"/>
        <v xml:space="preserve">UTAH - 08LNX00004-ANNUAL 80%GUAR               </v>
      </c>
      <c r="J171" s="2501"/>
      <c r="K171" s="2886"/>
    </row>
    <row r="172" spans="1:11" ht="16.7" customHeight="1" x14ac:dyDescent="0.2">
      <c r="A172" s="2749">
        <f t="shared" si="7"/>
        <v>6.158000000000035</v>
      </c>
      <c r="B172" s="2512" t="s">
        <v>8735</v>
      </c>
      <c r="C172" s="2530">
        <v>0</v>
      </c>
      <c r="D172" s="2530">
        <v>2882</v>
      </c>
      <c r="E172" s="2750">
        <v>0</v>
      </c>
      <c r="F172" s="2530">
        <v>0</v>
      </c>
      <c r="G172" s="2887">
        <v>0</v>
      </c>
      <c r="H172" s="2479" t="str">
        <f t="shared" si="8"/>
        <v xml:space="preserve">UTAH - 08LNX00006-FIXD MTHLY MIN               </v>
      </c>
      <c r="J172" s="2501"/>
      <c r="K172" s="2886"/>
    </row>
    <row r="173" spans="1:11" ht="16.7" customHeight="1" x14ac:dyDescent="0.2">
      <c r="A173" s="2749">
        <f t="shared" si="7"/>
        <v>6.1590000000000353</v>
      </c>
      <c r="B173" s="2512" t="s">
        <v>8736</v>
      </c>
      <c r="C173" s="2530">
        <v>0</v>
      </c>
      <c r="D173" s="2530">
        <v>2360686</v>
      </c>
      <c r="E173" s="2750">
        <v>0</v>
      </c>
      <c r="F173" s="2530">
        <v>0</v>
      </c>
      <c r="G173" s="2887">
        <v>0</v>
      </c>
      <c r="H173" s="2479" t="str">
        <f t="shared" si="8"/>
        <v xml:space="preserve">UTAH - 08LNX00014-80% MIN MNTHLY               </v>
      </c>
      <c r="J173" s="2501"/>
      <c r="K173" s="2886"/>
    </row>
    <row r="174" spans="1:11" ht="16.7" customHeight="1" x14ac:dyDescent="0.2">
      <c r="A174" s="2749">
        <f t="shared" si="7"/>
        <v>6.1600000000000357</v>
      </c>
      <c r="B174" s="2512" t="s">
        <v>8737</v>
      </c>
      <c r="C174" s="2530">
        <v>0</v>
      </c>
      <c r="D174" s="2530">
        <v>196983</v>
      </c>
      <c r="E174" s="2750">
        <v>0</v>
      </c>
      <c r="F174" s="2530">
        <v>0</v>
      </c>
      <c r="G174" s="2887">
        <v>0</v>
      </c>
      <c r="H174" s="2479" t="str">
        <f t="shared" si="8"/>
        <v xml:space="preserve">UTAH - 08LNX00017-ADV/REF&amp;80%ANN               </v>
      </c>
      <c r="J174" s="2501"/>
      <c r="K174" s="2886"/>
    </row>
    <row r="175" spans="1:11" ht="16.7" customHeight="1" x14ac:dyDescent="0.2">
      <c r="A175" s="2749">
        <f t="shared" si="7"/>
        <v>6.161000000000036</v>
      </c>
      <c r="B175" s="2512" t="s">
        <v>8738</v>
      </c>
      <c r="C175" s="2530">
        <v>0</v>
      </c>
      <c r="D175" s="2530">
        <v>26746</v>
      </c>
      <c r="E175" s="2750">
        <v>0</v>
      </c>
      <c r="F175" s="2530">
        <v>0</v>
      </c>
      <c r="G175" s="2887">
        <v>0</v>
      </c>
      <c r="H175" s="2479" t="str">
        <f t="shared" si="8"/>
        <v xml:space="preserve">UTAH - 08LNX00158-ANNUALCOST MTH               </v>
      </c>
      <c r="J175" s="2501"/>
      <c r="K175" s="2886"/>
    </row>
    <row r="176" spans="1:11" ht="16.7" customHeight="1" x14ac:dyDescent="0.2">
      <c r="A176" s="2749">
        <f t="shared" si="7"/>
        <v>6.1620000000000363</v>
      </c>
      <c r="B176" s="2512" t="s">
        <v>8739</v>
      </c>
      <c r="C176" s="2530">
        <v>0</v>
      </c>
      <c r="D176" s="2530">
        <v>214012</v>
      </c>
      <c r="E176" s="2750">
        <v>0</v>
      </c>
      <c r="F176" s="2530">
        <v>0</v>
      </c>
      <c r="G176" s="2887">
        <v>0</v>
      </c>
      <c r="H176" s="2479" t="str">
        <f t="shared" si="8"/>
        <v>UTAH - 08LNX00300 - LINE EXT 80% PLUS MONTHLY</v>
      </c>
      <c r="J176" s="2501"/>
      <c r="K176" s="2886"/>
    </row>
    <row r="177" spans="1:11" ht="16.7" customHeight="1" x14ac:dyDescent="0.2">
      <c r="A177" s="2749">
        <f t="shared" si="7"/>
        <v>6.1630000000000367</v>
      </c>
      <c r="B177" s="2512" t="s">
        <v>8740</v>
      </c>
      <c r="C177" s="2530">
        <v>0</v>
      </c>
      <c r="D177" s="2530">
        <v>40979</v>
      </c>
      <c r="E177" s="2750">
        <v>0</v>
      </c>
      <c r="F177" s="2530">
        <v>0</v>
      </c>
      <c r="G177" s="2887">
        <v>0</v>
      </c>
      <c r="H177" s="2479" t="str">
        <f t="shared" si="8"/>
        <v>UTAH - 08LNX00310 - IRR, 80% ANNUAL MIN + 80% ?</v>
      </c>
      <c r="J177" s="2501"/>
      <c r="K177" s="2886"/>
    </row>
    <row r="178" spans="1:11" ht="16.7" customHeight="1" x14ac:dyDescent="0.2">
      <c r="A178" s="2749">
        <f t="shared" si="7"/>
        <v>6.164000000000037</v>
      </c>
      <c r="B178" s="2512" t="s">
        <v>8741</v>
      </c>
      <c r="C178" s="2530">
        <v>0</v>
      </c>
      <c r="D178" s="2530">
        <v>9816</v>
      </c>
      <c r="E178" s="2750">
        <v>0</v>
      </c>
      <c r="F178" s="2530">
        <v>0</v>
      </c>
      <c r="G178" s="2887">
        <v>0</v>
      </c>
      <c r="H178" s="2479" t="str">
        <f t="shared" si="8"/>
        <v>UTAH - 08LNX00312 UT IRG LINE EXT</v>
      </c>
      <c r="J178" s="2501"/>
      <c r="K178" s="2886"/>
    </row>
    <row r="179" spans="1:11" ht="16.7" customHeight="1" x14ac:dyDescent="0.2">
      <c r="A179" s="2749">
        <f t="shared" si="7"/>
        <v>6.1650000000000373</v>
      </c>
      <c r="B179" s="2512" t="s">
        <v>8742</v>
      </c>
      <c r="C179" s="2530">
        <v>117872</v>
      </c>
      <c r="D179" s="2530">
        <v>10156182</v>
      </c>
      <c r="E179" s="2750">
        <v>269</v>
      </c>
      <c r="F179" s="2530">
        <v>438186</v>
      </c>
      <c r="G179" s="2887">
        <v>8.6199999999999999E-2</v>
      </c>
      <c r="H179" s="2479" t="str">
        <f t="shared" si="8"/>
        <v>UTAH - 08NMT06135-UT NET METERING GEN SVC</v>
      </c>
      <c r="J179" s="2501"/>
      <c r="K179" s="2886"/>
    </row>
    <row r="180" spans="1:11" ht="16.7" customHeight="1" x14ac:dyDescent="0.2">
      <c r="A180" s="2749">
        <f t="shared" si="7"/>
        <v>6.1660000000000377</v>
      </c>
      <c r="B180" s="2512" t="s">
        <v>8743</v>
      </c>
      <c r="C180" s="2530">
        <v>52399</v>
      </c>
      <c r="D180" s="2530">
        <v>3953655</v>
      </c>
      <c r="E180" s="2750">
        <v>12</v>
      </c>
      <c r="F180" s="2530">
        <v>4366583</v>
      </c>
      <c r="G180" s="2887">
        <v>7.5499999999999998E-2</v>
      </c>
      <c r="H180" s="2479" t="str">
        <f t="shared" si="8"/>
        <v>UTAH - 08NMT08135 - NET METERING GEN SVC</v>
      </c>
      <c r="J180" s="2501"/>
      <c r="K180" s="2886"/>
    </row>
    <row r="181" spans="1:11" ht="16.7" customHeight="1" x14ac:dyDescent="0.2">
      <c r="A181" s="2749">
        <f t="shared" si="7"/>
        <v>6.167000000000038</v>
      </c>
      <c r="B181" s="2512" t="s">
        <v>8744</v>
      </c>
      <c r="C181" s="2530">
        <v>11004</v>
      </c>
      <c r="D181" s="2530">
        <v>1111565</v>
      </c>
      <c r="E181" s="2750">
        <v>801</v>
      </c>
      <c r="F181" s="2530">
        <v>13738</v>
      </c>
      <c r="G181" s="2887">
        <v>0.10100000000000001</v>
      </c>
      <c r="H181" s="2479" t="str">
        <f t="shared" si="8"/>
        <v>UTAH - 08NMT23135 - UT NET MTR, GEN, &lt; 25 KW</v>
      </c>
      <c r="J181" s="2501"/>
      <c r="K181" s="2886"/>
    </row>
    <row r="182" spans="1:11" ht="16.7" customHeight="1" x14ac:dyDescent="0.2">
      <c r="A182" s="2749">
        <f t="shared" si="7"/>
        <v>6.1680000000000383</v>
      </c>
      <c r="B182" s="2512" t="s">
        <v>8745</v>
      </c>
      <c r="C182" s="2530">
        <v>15094</v>
      </c>
      <c r="D182" s="2530">
        <v>1509478</v>
      </c>
      <c r="E182" s="2750">
        <v>91</v>
      </c>
      <c r="F182" s="2530">
        <v>165868</v>
      </c>
      <c r="G182" s="2887">
        <v>0.1</v>
      </c>
      <c r="H182" s="2479" t="str">
        <f t="shared" si="8"/>
        <v>UTAH - 08NMT6A135-NET METERING GEN SVC TOU</v>
      </c>
      <c r="J182" s="2501"/>
      <c r="K182" s="2886"/>
    </row>
    <row r="183" spans="1:11" ht="16.7" customHeight="1" x14ac:dyDescent="0.2">
      <c r="A183" s="2749">
        <f t="shared" si="7"/>
        <v>6.1690000000000387</v>
      </c>
      <c r="B183" s="2512" t="s">
        <v>8746</v>
      </c>
      <c r="C183" s="2530">
        <v>9318</v>
      </c>
      <c r="D183" s="2530">
        <v>826118</v>
      </c>
      <c r="E183" s="2750">
        <v>1</v>
      </c>
      <c r="F183" s="2530">
        <v>9318000</v>
      </c>
      <c r="G183" s="2887">
        <v>8.8700000000000001E-2</v>
      </c>
      <c r="H183" s="2479" t="str">
        <f t="shared" si="8"/>
        <v>UTAH - 08NMT8135M - NET METERING GEN SVC MANUAL</v>
      </c>
      <c r="J183" s="2501"/>
      <c r="K183" s="2886"/>
    </row>
    <row r="184" spans="1:11" ht="16.7" customHeight="1" x14ac:dyDescent="0.2">
      <c r="A184" s="2749">
        <f t="shared" si="7"/>
        <v>6.170000000000039</v>
      </c>
      <c r="B184" s="2512" t="s">
        <v>8747</v>
      </c>
      <c r="C184" s="2530">
        <v>7104</v>
      </c>
      <c r="D184" s="2530">
        <v>917921</v>
      </c>
      <c r="E184" s="2750">
        <v>3964</v>
      </c>
      <c r="F184" s="2530">
        <v>1792</v>
      </c>
      <c r="G184" s="2887">
        <v>0.12920000000000001</v>
      </c>
      <c r="H184" s="2479" t="str">
        <f t="shared" si="8"/>
        <v xml:space="preserve">UTAH - 08OALT007N-SECURITY AR LG               </v>
      </c>
      <c r="J184" s="2501"/>
      <c r="K184" s="2886"/>
    </row>
    <row r="185" spans="1:11" ht="16.7" customHeight="1" x14ac:dyDescent="0.2">
      <c r="A185" s="2749">
        <f t="shared" si="7"/>
        <v>6.1710000000000393</v>
      </c>
      <c r="B185" s="2512" t="s">
        <v>8748</v>
      </c>
      <c r="C185" s="2530">
        <v>175594</v>
      </c>
      <c r="D185" s="2530">
        <v>9979629</v>
      </c>
      <c r="E185" s="2750">
        <v>4</v>
      </c>
      <c r="F185" s="2530">
        <v>43898500</v>
      </c>
      <c r="G185" s="2887">
        <v>5.6800000000000003E-2</v>
      </c>
      <c r="H185" s="2479" t="str">
        <f t="shared" si="8"/>
        <v xml:space="preserve">UTAH - 08PRSV031M-BKUP MNT&amp;SUPPL               </v>
      </c>
      <c r="J185" s="2501"/>
      <c r="K185" s="2886"/>
    </row>
    <row r="186" spans="1:11" ht="16.7" customHeight="1" x14ac:dyDescent="0.2">
      <c r="A186" s="2749">
        <f t="shared" si="7"/>
        <v>6.1720000000000397</v>
      </c>
      <c r="B186" s="2512" t="s">
        <v>8749</v>
      </c>
      <c r="C186" s="2530">
        <v>6</v>
      </c>
      <c r="D186" s="2530">
        <v>463</v>
      </c>
      <c r="E186" s="2750">
        <v>2</v>
      </c>
      <c r="F186" s="2530">
        <v>3000</v>
      </c>
      <c r="G186" s="2887">
        <v>7.7200000000000005E-2</v>
      </c>
      <c r="H186" s="2479" t="str">
        <f t="shared" si="8"/>
        <v xml:space="preserve">UTAH - 08PTLD000N-POST TOP LIGHT               </v>
      </c>
      <c r="J186" s="2501"/>
      <c r="K186" s="2886"/>
    </row>
    <row r="187" spans="1:11" ht="16.7" customHeight="1" x14ac:dyDescent="0.2">
      <c r="A187" s="2749">
        <f t="shared" si="7"/>
        <v>6.17300000000004</v>
      </c>
      <c r="B187" s="2512" t="s">
        <v>8750</v>
      </c>
      <c r="C187" s="2530">
        <v>757303</v>
      </c>
      <c r="D187" s="2530">
        <v>32549030</v>
      </c>
      <c r="E187" s="2750">
        <v>1</v>
      </c>
      <c r="F187" s="2530">
        <v>757303000</v>
      </c>
      <c r="G187" s="2887">
        <v>4.2999999999999997E-2</v>
      </c>
      <c r="H187" s="2479" t="str">
        <f t="shared" si="8"/>
        <v>UTAH - 08REFP034M-RENEWABLE QUAL CUST &gt; 5000 KW</v>
      </c>
      <c r="J187" s="2501"/>
      <c r="K187" s="2886"/>
    </row>
    <row r="188" spans="1:11" ht="16.7" customHeight="1" x14ac:dyDescent="0.2">
      <c r="A188" s="2749">
        <f t="shared" si="7"/>
        <v>6.1740000000000403</v>
      </c>
      <c r="B188" s="2512" t="s">
        <v>8751</v>
      </c>
      <c r="C188" s="2530">
        <v>229612</v>
      </c>
      <c r="D188" s="2530">
        <v>12482086</v>
      </c>
      <c r="E188" s="2750">
        <v>3</v>
      </c>
      <c r="F188" s="2530">
        <v>76537333</v>
      </c>
      <c r="G188" s="2887">
        <v>5.4399999999999997E-2</v>
      </c>
      <c r="H188" s="2479" t="str">
        <f t="shared" si="8"/>
        <v>UTAH - 08REFS032M-UT RENEWABLE FAC &amp; SUPP PWR</v>
      </c>
      <c r="J188" s="2501"/>
      <c r="K188" s="2886"/>
    </row>
    <row r="189" spans="1:11" ht="16.7" customHeight="1" x14ac:dyDescent="0.2">
      <c r="A189" s="2749">
        <f t="shared" si="7"/>
        <v>6.1750000000000407</v>
      </c>
      <c r="B189" s="2512" t="s">
        <v>8752</v>
      </c>
      <c r="C189" s="2530">
        <v>3942</v>
      </c>
      <c r="D189" s="2530">
        <v>423668</v>
      </c>
      <c r="E189" s="2750">
        <v>12</v>
      </c>
      <c r="F189" s="2530">
        <v>328500</v>
      </c>
      <c r="G189" s="2887">
        <v>0.1075</v>
      </c>
      <c r="H189" s="2479" t="str">
        <f t="shared" si="8"/>
        <v>UTAH - 08SSLR0006-GENERAL SVC SUBSCR SOLAR</v>
      </c>
      <c r="J189" s="2501"/>
      <c r="K189" s="2886"/>
    </row>
    <row r="190" spans="1:11" ht="16.7" customHeight="1" x14ac:dyDescent="0.2">
      <c r="A190" s="2749">
        <f t="shared" si="7"/>
        <v>6.176000000000041</v>
      </c>
      <c r="B190" s="2512" t="s">
        <v>8753</v>
      </c>
      <c r="C190" s="2530">
        <v>4227</v>
      </c>
      <c r="D190" s="2530">
        <v>457038</v>
      </c>
      <c r="E190" s="2750">
        <v>0</v>
      </c>
      <c r="F190" s="2530">
        <v>0</v>
      </c>
      <c r="G190" s="2887">
        <v>0.1081</v>
      </c>
      <c r="H190" s="2479" t="str">
        <f t="shared" si="8"/>
        <v>UTAH - 08SSLR0023-SMALL GEN SVC SUBSCR SOLAR</v>
      </c>
      <c r="J190" s="2501"/>
      <c r="K190" s="2886"/>
    </row>
    <row r="191" spans="1:11" ht="16.7" customHeight="1" x14ac:dyDescent="0.2">
      <c r="A191" s="2749">
        <f t="shared" si="7"/>
        <v>6.1770000000000413</v>
      </c>
      <c r="B191" s="2512" t="s">
        <v>8754</v>
      </c>
      <c r="C191" s="2530">
        <v>47011</v>
      </c>
      <c r="D191" s="2530">
        <v>5101122</v>
      </c>
      <c r="E191" s="2750">
        <v>359</v>
      </c>
      <c r="F191" s="2530">
        <v>130950</v>
      </c>
      <c r="G191" s="2887">
        <v>0.1085</v>
      </c>
      <c r="H191" s="2479" t="str">
        <f t="shared" si="8"/>
        <v>UTAH - 08SSLR06AM-GEN SVC TOU SOLAR SUBSCR MAN</v>
      </c>
      <c r="J191" s="2501"/>
      <c r="K191" s="2886"/>
    </row>
    <row r="192" spans="1:11" ht="16.7" customHeight="1" x14ac:dyDescent="0.2">
      <c r="A192" s="2749">
        <f t="shared" si="7"/>
        <v>6.1780000000000417</v>
      </c>
      <c r="B192" s="2512" t="s">
        <v>8755</v>
      </c>
      <c r="C192" s="2530">
        <v>0</v>
      </c>
      <c r="D192" s="2530">
        <v>6278</v>
      </c>
      <c r="E192" s="2750">
        <v>0</v>
      </c>
      <c r="F192" s="2530">
        <v>0</v>
      </c>
      <c r="G192" s="2887">
        <v>0</v>
      </c>
      <c r="H192" s="2479" t="str">
        <f t="shared" si="8"/>
        <v>UTAH - 08TCVLNAGN-UTAH LNX ANNUAL GAR NON RES</v>
      </c>
      <c r="J192" s="2501"/>
      <c r="K192" s="2886"/>
    </row>
    <row r="193" spans="1:11" ht="16.7" customHeight="1" x14ac:dyDescent="0.2">
      <c r="A193" s="2749">
        <f t="shared" si="7"/>
        <v>6.179000000000042</v>
      </c>
      <c r="B193" s="2512" t="s">
        <v>8756</v>
      </c>
      <c r="C193" s="2530">
        <v>0</v>
      </c>
      <c r="D193" s="2530">
        <v>434705</v>
      </c>
      <c r="E193" s="2750">
        <v>0</v>
      </c>
      <c r="F193" s="2530">
        <v>0</v>
      </c>
      <c r="G193" s="2887">
        <v>0</v>
      </c>
      <c r="H193" s="2479" t="str">
        <f t="shared" si="8"/>
        <v>UTAH - 08TCVLNXGN-TCV LNX - 80% GAR - NON RES</v>
      </c>
      <c r="J193" s="2501"/>
      <c r="K193" s="2886"/>
    </row>
    <row r="194" spans="1:11" ht="16.7" customHeight="1" x14ac:dyDescent="0.2">
      <c r="A194" s="2749">
        <f t="shared" si="7"/>
        <v>6.1800000000000423</v>
      </c>
      <c r="B194" s="2512" t="s">
        <v>8757</v>
      </c>
      <c r="C194" s="2530">
        <v>0</v>
      </c>
      <c r="D194" s="2530">
        <v>19737</v>
      </c>
      <c r="E194" s="2750">
        <v>0</v>
      </c>
      <c r="F194" s="2530">
        <v>0</v>
      </c>
      <c r="G194" s="2887">
        <v>0</v>
      </c>
      <c r="H194" s="2479" t="str">
        <f t="shared" si="8"/>
        <v>UTAH - 08TCVLXACN-GAR ADDED CAPACITY NON RES</v>
      </c>
      <c r="J194" s="2501"/>
      <c r="K194" s="2886"/>
    </row>
    <row r="195" spans="1:11" ht="16.7" customHeight="1" x14ac:dyDescent="0.2">
      <c r="A195" s="2749">
        <f t="shared" si="7"/>
        <v>6.1810000000000427</v>
      </c>
      <c r="B195" s="2512" t="s">
        <v>8758</v>
      </c>
      <c r="C195" s="2530">
        <v>176</v>
      </c>
      <c r="D195" s="2530">
        <v>15605</v>
      </c>
      <c r="E195" s="2750">
        <v>20</v>
      </c>
      <c r="F195" s="2530">
        <v>8800</v>
      </c>
      <c r="G195" s="2887">
        <v>8.8700000000000001E-2</v>
      </c>
      <c r="H195" s="2479" t="str">
        <f t="shared" si="8"/>
        <v>UTAH - 08TOSS015F-TRAFFIC SIG NM</v>
      </c>
      <c r="J195" s="2501"/>
      <c r="K195" s="2886"/>
    </row>
    <row r="196" spans="1:11" ht="16.7" customHeight="1" x14ac:dyDescent="0.2">
      <c r="A196" s="2749">
        <f t="shared" si="7"/>
        <v>6.182000000000043</v>
      </c>
      <c r="B196" s="2512" t="s">
        <v>8759</v>
      </c>
      <c r="C196" s="2530">
        <v>3574</v>
      </c>
      <c r="D196" s="2530">
        <v>361181</v>
      </c>
      <c r="E196" s="2750">
        <v>1182</v>
      </c>
      <c r="F196" s="2530">
        <v>3024</v>
      </c>
      <c r="G196" s="2887">
        <v>0.1011</v>
      </c>
      <c r="H196" s="2479" t="str">
        <f t="shared" si="8"/>
        <v>UTAH - 08TOSS0015-TRAF &amp; OTHER S</v>
      </c>
      <c r="J196" s="2501"/>
      <c r="K196" s="2886"/>
    </row>
    <row r="197" spans="1:11" ht="16.7" customHeight="1" x14ac:dyDescent="0.2">
      <c r="A197" s="2749">
        <f t="shared" si="7"/>
        <v>6.1830000000000434</v>
      </c>
      <c r="B197" s="2512" t="s">
        <v>8760</v>
      </c>
      <c r="C197" s="2530">
        <v>14736</v>
      </c>
      <c r="D197" s="2530">
        <v>726229</v>
      </c>
      <c r="E197" s="2750">
        <v>687</v>
      </c>
      <c r="F197" s="2530">
        <v>21450</v>
      </c>
      <c r="G197" s="2887">
        <v>4.9299999999999997E-2</v>
      </c>
      <c r="H197" s="2479" t="str">
        <f t="shared" si="8"/>
        <v>UTAH - 08MONL0015-MTR OUTDONIGHT</v>
      </c>
      <c r="J197" s="2501"/>
      <c r="K197" s="2886"/>
    </row>
    <row r="198" spans="1:11" ht="16.7" customHeight="1" x14ac:dyDescent="0.2">
      <c r="A198" s="2749">
        <f t="shared" si="7"/>
        <v>6.1840000000000437</v>
      </c>
      <c r="B198" s="2512" t="s">
        <v>8503</v>
      </c>
      <c r="C198" s="2530">
        <v>0</v>
      </c>
      <c r="D198" s="2530">
        <v>2141866</v>
      </c>
      <c r="E198" s="2750">
        <v>0</v>
      </c>
      <c r="F198" s="2530">
        <v>0</v>
      </c>
      <c r="G198" s="2887">
        <v>0</v>
      </c>
      <c r="H198" s="2479" t="str">
        <f t="shared" si="8"/>
        <v>UTAH - REVENUE_ACCOUNTING ADJUSTMENTS</v>
      </c>
      <c r="J198" s="2501"/>
      <c r="K198" s="2886"/>
    </row>
    <row r="199" spans="1:11" ht="16.7" customHeight="1" x14ac:dyDescent="0.2">
      <c r="A199" s="2749">
        <f t="shared" si="7"/>
        <v>6.185000000000044</v>
      </c>
      <c r="B199" s="2512" t="s">
        <v>8504</v>
      </c>
      <c r="C199" s="2530">
        <v>0</v>
      </c>
      <c r="D199" s="2888">
        <f>50227236-1</f>
        <v>50227235</v>
      </c>
      <c r="E199" s="2750">
        <v>0</v>
      </c>
      <c r="F199" s="2530">
        <v>0</v>
      </c>
      <c r="G199" s="2887">
        <v>0</v>
      </c>
      <c r="H199" s="2479" t="str">
        <f t="shared" si="8"/>
        <v>UTAH - REVENUE ADJUSTMENT - DEFERRED NPC</v>
      </c>
      <c r="J199" s="2501"/>
      <c r="K199" s="2886"/>
    </row>
    <row r="200" spans="1:11" ht="16.7" customHeight="1" x14ac:dyDescent="0.2">
      <c r="A200" s="2749">
        <f t="shared" si="7"/>
        <v>6.1860000000000444</v>
      </c>
      <c r="B200" s="2512" t="s">
        <v>8506</v>
      </c>
      <c r="C200" s="2530">
        <v>0</v>
      </c>
      <c r="D200" s="2530">
        <v>846504</v>
      </c>
      <c r="E200" s="2750">
        <v>0</v>
      </c>
      <c r="F200" s="2530">
        <v>0</v>
      </c>
      <c r="G200" s="2887">
        <v>0</v>
      </c>
      <c r="H200" s="2479" t="str">
        <f t="shared" si="8"/>
        <v>UTAH - OTHER CUSTOMER RETAIL REVENUE</v>
      </c>
      <c r="J200" s="2501"/>
      <c r="K200" s="2886"/>
    </row>
    <row r="201" spans="1:11" ht="16.7" customHeight="1" x14ac:dyDescent="0.2">
      <c r="A201" s="2749">
        <f t="shared" si="7"/>
        <v>6.1870000000000447</v>
      </c>
      <c r="B201" s="2512" t="s">
        <v>8761</v>
      </c>
      <c r="C201" s="2530">
        <v>0</v>
      </c>
      <c r="D201" s="2530">
        <v>284826</v>
      </c>
      <c r="E201" s="2750">
        <v>0</v>
      </c>
      <c r="F201" s="2530">
        <v>0</v>
      </c>
      <c r="G201" s="2887">
        <v>0</v>
      </c>
      <c r="H201" s="2479" t="str">
        <f t="shared" si="8"/>
        <v>UTAH - 08LNX00311 - LINE EXT 80% GUARANTEE</v>
      </c>
      <c r="J201" s="2501"/>
      <c r="K201" s="2886"/>
    </row>
    <row r="202" spans="1:11" ht="16.7" customHeight="1" x14ac:dyDescent="0.2">
      <c r="A202" s="2749">
        <f t="shared" si="7"/>
        <v>6.188000000000045</v>
      </c>
      <c r="B202" s="2512" t="s">
        <v>8762</v>
      </c>
      <c r="C202" s="2530">
        <v>924481</v>
      </c>
      <c r="D202" s="2530">
        <v>65897932</v>
      </c>
      <c r="E202" s="2911">
        <f>121-1</f>
        <v>120</v>
      </c>
      <c r="F202" s="2530">
        <v>7640339</v>
      </c>
      <c r="G202" s="2887">
        <v>7.1300000000000002E-2</v>
      </c>
      <c r="H202" s="2479" t="str">
        <f t="shared" si="8"/>
        <v>UTAH - 08GNSV0008 - UT GEN SVC TOU &gt; 1000KW</v>
      </c>
      <c r="J202" s="2501"/>
      <c r="K202" s="2886"/>
    </row>
    <row r="203" spans="1:11" ht="16.7" customHeight="1" x14ac:dyDescent="0.2">
      <c r="A203" s="2749">
        <f t="shared" si="7"/>
        <v>6.1890000000000454</v>
      </c>
      <c r="B203" s="2512" t="s">
        <v>8763</v>
      </c>
      <c r="C203" s="2530">
        <v>6291</v>
      </c>
      <c r="D203" s="2530">
        <v>412191</v>
      </c>
      <c r="E203" s="2750">
        <v>2</v>
      </c>
      <c r="F203" s="2530">
        <v>3145500</v>
      </c>
      <c r="G203" s="2887">
        <v>6.5500000000000003E-2</v>
      </c>
      <c r="H203" s="2479" t="str">
        <f t="shared" si="8"/>
        <v>UTAH - 08GNSV008M - UT GEN SVC TOU &gt; 1000KW</v>
      </c>
      <c r="J203" s="2501"/>
      <c r="K203" s="2886"/>
    </row>
    <row r="204" spans="1:11" ht="16.7" customHeight="1" x14ac:dyDescent="0.2">
      <c r="A204" s="2749">
        <f t="shared" si="7"/>
        <v>6.1900000000000457</v>
      </c>
      <c r="B204" s="2512" t="s">
        <v>8764</v>
      </c>
      <c r="C204" s="2530">
        <v>0</v>
      </c>
      <c r="D204" s="2530">
        <v>14874010</v>
      </c>
      <c r="E204" s="2750">
        <v>0</v>
      </c>
      <c r="F204" s="2530">
        <v>0</v>
      </c>
      <c r="G204" s="2887">
        <v>0</v>
      </c>
      <c r="H204" s="2479" t="str">
        <f t="shared" si="8"/>
        <v>UTAH - DSM REVENUE-COMMERCIAL</v>
      </c>
      <c r="J204" s="2501"/>
      <c r="K204" s="2886"/>
    </row>
    <row r="205" spans="1:11" ht="16.7" customHeight="1" x14ac:dyDescent="0.2">
      <c r="A205" s="2749">
        <f t="shared" si="7"/>
        <v>6.191000000000046</v>
      </c>
      <c r="B205" s="2512" t="s">
        <v>8765</v>
      </c>
      <c r="C205" s="2530">
        <v>0</v>
      </c>
      <c r="D205" s="2530">
        <v>703672</v>
      </c>
      <c r="E205" s="2750">
        <v>0</v>
      </c>
      <c r="F205" s="2530">
        <v>0</v>
      </c>
      <c r="G205" s="2887">
        <v>0</v>
      </c>
      <c r="H205" s="2479" t="str">
        <f t="shared" si="8"/>
        <v>UTAH - BLUE SKY REVENUE-COMMERCIAL</v>
      </c>
      <c r="J205" s="2501"/>
      <c r="K205" s="2886"/>
    </row>
    <row r="206" spans="1:11" ht="16.7" customHeight="1" x14ac:dyDescent="0.2">
      <c r="A206" s="2489"/>
      <c r="B206" s="2512"/>
      <c r="C206" s="2488"/>
      <c r="D206" s="2488"/>
      <c r="E206" s="2488"/>
      <c r="F206" s="2488"/>
      <c r="G206" s="2488"/>
      <c r="H206" s="2595">
        <f t="shared" si="8"/>
        <v>0</v>
      </c>
      <c r="J206" s="2501"/>
      <c r="K206" s="2886"/>
    </row>
    <row r="207" spans="1:11" ht="16.7" customHeight="1" x14ac:dyDescent="0.2">
      <c r="A207" s="2489"/>
      <c r="B207" s="2669" t="s">
        <v>8509</v>
      </c>
      <c r="C207" s="2488"/>
      <c r="D207" s="2488"/>
      <c r="E207" s="2488"/>
      <c r="F207" s="2488"/>
      <c r="G207" s="2488"/>
      <c r="H207" s="2479" t="str">
        <f t="shared" si="8"/>
        <v>WASHINGTON</v>
      </c>
      <c r="J207" s="2501"/>
      <c r="K207" s="2886"/>
    </row>
    <row r="208" spans="1:11" ht="16.7" customHeight="1" x14ac:dyDescent="0.2">
      <c r="A208" s="2749">
        <f>A205+0.001</f>
        <v>6.1920000000000464</v>
      </c>
      <c r="B208" s="2512" t="s">
        <v>8766</v>
      </c>
      <c r="C208" s="2530">
        <v>0</v>
      </c>
      <c r="D208" s="2530">
        <v>-0.26</v>
      </c>
      <c r="E208" s="2750">
        <v>0</v>
      </c>
      <c r="F208" s="2530">
        <v>0</v>
      </c>
      <c r="G208" s="2887">
        <v>0</v>
      </c>
      <c r="H208" s="2479" t="str">
        <f t="shared" si="8"/>
        <v xml:space="preserve">WASHINGTON - 02BLSKY01N-BLUESKY ENERGY               </v>
      </c>
      <c r="J208" s="2501"/>
      <c r="K208" s="2886"/>
    </row>
    <row r="209" spans="1:11" ht="16.7" customHeight="1" x14ac:dyDescent="0.2">
      <c r="A209" s="2749">
        <f t="shared" ref="A209:A242" si="9">A208+0.001</f>
        <v>6.1930000000000467</v>
      </c>
      <c r="B209" s="2512" t="s">
        <v>8767</v>
      </c>
      <c r="C209" s="2530">
        <v>317</v>
      </c>
      <c r="D209" s="2888">
        <f>45999-1</f>
        <v>45998</v>
      </c>
      <c r="E209" s="2911">
        <f>5-1</f>
        <v>4</v>
      </c>
      <c r="F209" s="2530">
        <v>63400</v>
      </c>
      <c r="G209" s="2887">
        <v>0.14510000000000001</v>
      </c>
      <c r="H209" s="2479" t="str">
        <f t="shared" si="8"/>
        <v>WASHINGTON - 02GN24EV45-WA ELECTRIC VEHICLE FAST CHG</v>
      </c>
      <c r="J209" s="2501"/>
      <c r="K209" s="2886"/>
    </row>
    <row r="210" spans="1:11" ht="16.7" customHeight="1" x14ac:dyDescent="0.2">
      <c r="A210" s="2749">
        <f t="shared" si="9"/>
        <v>6.194000000000047</v>
      </c>
      <c r="B210" s="2512" t="s">
        <v>8768</v>
      </c>
      <c r="C210" s="2530">
        <v>28019</v>
      </c>
      <c r="D210" s="2530">
        <v>3279507</v>
      </c>
      <c r="E210" s="2750">
        <v>1495</v>
      </c>
      <c r="F210" s="2530">
        <v>18742</v>
      </c>
      <c r="G210" s="2887">
        <v>0.11700000000000001</v>
      </c>
      <c r="H210" s="2479" t="str">
        <f t="shared" si="8"/>
        <v>WASHINGTON - 02GNSB0024-WA GEN SRVC DO</v>
      </c>
      <c r="J210" s="2501"/>
      <c r="K210" s="2886"/>
    </row>
    <row r="211" spans="1:11" ht="16.7" customHeight="1" x14ac:dyDescent="0.2">
      <c r="A211" s="2749">
        <f t="shared" si="9"/>
        <v>6.1950000000000474</v>
      </c>
      <c r="B211" s="2512" t="s">
        <v>8769</v>
      </c>
      <c r="C211" s="2530">
        <v>0</v>
      </c>
      <c r="D211" s="2530">
        <v>0</v>
      </c>
      <c r="E211" s="2750">
        <v>0.25</v>
      </c>
      <c r="F211" s="2530">
        <v>0</v>
      </c>
      <c r="G211" s="2887">
        <v>0</v>
      </c>
      <c r="H211" s="2479" t="str">
        <f t="shared" si="8"/>
        <v>WASHINGTON - 02GNSB0029-WA NON RES TOU PILOT</v>
      </c>
      <c r="J211" s="2501"/>
      <c r="K211" s="2886"/>
    </row>
    <row r="212" spans="1:11" ht="16.7" customHeight="1" x14ac:dyDescent="0.2">
      <c r="A212" s="2749">
        <f t="shared" si="9"/>
        <v>6.1960000000000477</v>
      </c>
      <c r="B212" s="2512" t="s">
        <v>8770</v>
      </c>
      <c r="C212" s="2530">
        <v>1</v>
      </c>
      <c r="D212" s="2530">
        <v>229</v>
      </c>
      <c r="E212" s="2750">
        <v>1</v>
      </c>
      <c r="F212" s="2530">
        <v>1000</v>
      </c>
      <c r="G212" s="2887">
        <v>0.22889999999999999</v>
      </c>
      <c r="H212" s="2479" t="str">
        <f t="shared" si="8"/>
        <v>WASHINGTON - 02GNSB024F-GEN SRVC DOM/F</v>
      </c>
      <c r="J212" s="2501"/>
      <c r="K212" s="2886"/>
    </row>
    <row r="213" spans="1:11" ht="16.7" customHeight="1" x14ac:dyDescent="0.2">
      <c r="A213" s="2749">
        <f t="shared" si="9"/>
        <v>6.197000000000048</v>
      </c>
      <c r="B213" s="2512" t="s">
        <v>8771</v>
      </c>
      <c r="C213" s="2530">
        <v>160</v>
      </c>
      <c r="D213" s="2530">
        <v>65662</v>
      </c>
      <c r="E213" s="2750">
        <v>62</v>
      </c>
      <c r="F213" s="2530">
        <v>2581</v>
      </c>
      <c r="G213" s="2887">
        <v>0.41039999999999999</v>
      </c>
      <c r="H213" s="2479" t="str">
        <f t="shared" si="8"/>
        <v>WASHINGTON - 02GNSB24FP-WA GEN SVC SEASONAL</v>
      </c>
      <c r="J213" s="2501"/>
      <c r="K213" s="2886"/>
    </row>
    <row r="214" spans="1:11" ht="16.7" customHeight="1" x14ac:dyDescent="0.2">
      <c r="A214" s="2749">
        <f t="shared" si="9"/>
        <v>6.1980000000000484</v>
      </c>
      <c r="B214" s="2512" t="s">
        <v>8772</v>
      </c>
      <c r="C214" s="2530">
        <v>479815</v>
      </c>
      <c r="D214" s="2530">
        <v>53840074</v>
      </c>
      <c r="E214" s="2750">
        <v>15087</v>
      </c>
      <c r="F214" s="2530">
        <v>31803</v>
      </c>
      <c r="G214" s="2887">
        <v>0.11219999999999999</v>
      </c>
      <c r="H214" s="2479" t="str">
        <f t="shared" si="8"/>
        <v xml:space="preserve">WASHINGTON - 02GNSV0024-WA GEN SRVC                  </v>
      </c>
      <c r="J214" s="2501"/>
      <c r="K214" s="2886"/>
    </row>
    <row r="215" spans="1:11" ht="16.7" customHeight="1" x14ac:dyDescent="0.2">
      <c r="A215" s="2749">
        <f t="shared" si="9"/>
        <v>6.1990000000000487</v>
      </c>
      <c r="B215" s="2512" t="s">
        <v>8773</v>
      </c>
      <c r="C215" s="2530">
        <v>192</v>
      </c>
      <c r="D215" s="2530">
        <v>36273</v>
      </c>
      <c r="E215" s="2750">
        <v>1</v>
      </c>
      <c r="F215" s="2530">
        <v>192000</v>
      </c>
      <c r="G215" s="2887">
        <v>0.18890000000000001</v>
      </c>
      <c r="H215" s="2479" t="str">
        <f t="shared" si="8"/>
        <v>WASHINGTON - 02GNSV0029-WA NON RES TOU PILOT</v>
      </c>
      <c r="J215" s="2501"/>
      <c r="K215" s="2886"/>
    </row>
    <row r="216" spans="1:11" ht="16.7" customHeight="1" x14ac:dyDescent="0.2">
      <c r="A216" s="2749">
        <f t="shared" si="9"/>
        <v>6.200000000000049</v>
      </c>
      <c r="B216" s="2512" t="s">
        <v>8774</v>
      </c>
      <c r="C216" s="2530">
        <v>1211</v>
      </c>
      <c r="D216" s="2530">
        <v>190083</v>
      </c>
      <c r="E216" s="2750">
        <v>106</v>
      </c>
      <c r="F216" s="2530">
        <v>11425</v>
      </c>
      <c r="G216" s="2887">
        <v>0.157</v>
      </c>
      <c r="H216" s="2479" t="str">
        <f t="shared" si="8"/>
        <v xml:space="preserve">WASHINGTON - 02GNSV024F-WA GEN SRVC-FL               </v>
      </c>
      <c r="J216" s="2501"/>
      <c r="K216" s="2886"/>
    </row>
    <row r="217" spans="1:11" ht="16.7" customHeight="1" x14ac:dyDescent="0.2">
      <c r="A217" s="2749">
        <f t="shared" si="9"/>
        <v>6.2010000000000494</v>
      </c>
      <c r="B217" s="2512" t="s">
        <v>8775</v>
      </c>
      <c r="C217" s="2530">
        <v>40089</v>
      </c>
      <c r="D217" s="2530">
        <v>3853458</v>
      </c>
      <c r="E217" s="2750">
        <v>66</v>
      </c>
      <c r="F217" s="2530">
        <v>607409</v>
      </c>
      <c r="G217" s="2887">
        <v>9.6100000000000005E-2</v>
      </c>
      <c r="H217" s="2479" t="str">
        <f t="shared" si="8"/>
        <v>WASHINGTON - 02LGSB0036-LRG GEN SVC IRG</v>
      </c>
      <c r="J217" s="2501"/>
      <c r="K217" s="2886"/>
    </row>
    <row r="218" spans="1:11" ht="16.7" customHeight="1" x14ac:dyDescent="0.2">
      <c r="A218" s="2749">
        <f t="shared" si="9"/>
        <v>6.2020000000000497</v>
      </c>
      <c r="B218" s="2512" t="s">
        <v>8776</v>
      </c>
      <c r="C218" s="2530">
        <v>801467</v>
      </c>
      <c r="D218" s="2530">
        <v>75132920</v>
      </c>
      <c r="E218" s="2750">
        <v>875</v>
      </c>
      <c r="F218" s="2530">
        <v>915962</v>
      </c>
      <c r="G218" s="2887">
        <v>9.3700000000000006E-2</v>
      </c>
      <c r="H218" s="2479" t="str">
        <f t="shared" si="8"/>
        <v xml:space="preserve">WASHINGTON - 02LGSV0036-WA LRG GEN SRV               </v>
      </c>
      <c r="J218" s="2501"/>
      <c r="K218" s="2886"/>
    </row>
    <row r="219" spans="1:11" ht="16.7" customHeight="1" x14ac:dyDescent="0.2">
      <c r="A219" s="2749">
        <f t="shared" si="9"/>
        <v>6.20300000000005</v>
      </c>
      <c r="B219" s="2512" t="s">
        <v>8777</v>
      </c>
      <c r="C219" s="2530">
        <v>152960</v>
      </c>
      <c r="D219" s="2530">
        <v>13447521</v>
      </c>
      <c r="E219" s="2750">
        <v>36</v>
      </c>
      <c r="F219" s="2530">
        <v>4248889</v>
      </c>
      <c r="G219" s="2887">
        <v>8.7900000000000006E-2</v>
      </c>
      <c r="H219" s="2479" t="str">
        <f t="shared" si="8"/>
        <v xml:space="preserve">WASHINGTON - 02LGSV048T-LRG GEN SRVC 1               </v>
      </c>
      <c r="J219" s="2501"/>
      <c r="K219" s="2886"/>
    </row>
    <row r="220" spans="1:11" ht="16.7" customHeight="1" x14ac:dyDescent="0.2">
      <c r="A220" s="2749">
        <f t="shared" si="9"/>
        <v>6.2040000000000504</v>
      </c>
      <c r="B220" s="2512" t="s">
        <v>8778</v>
      </c>
      <c r="C220" s="2530">
        <v>0</v>
      </c>
      <c r="D220" s="2530">
        <v>105147</v>
      </c>
      <c r="E220" s="2750">
        <v>0</v>
      </c>
      <c r="F220" s="2530">
        <v>0</v>
      </c>
      <c r="G220" s="2887">
        <v>0</v>
      </c>
      <c r="H220" s="2479" t="str">
        <f t="shared" si="8"/>
        <v xml:space="preserve">WASHINGTON - 02LNX00102-LINE EXT 80% G               </v>
      </c>
      <c r="J220" s="2501"/>
      <c r="K220" s="2886"/>
    </row>
    <row r="221" spans="1:11" ht="16.7" customHeight="1" x14ac:dyDescent="0.2">
      <c r="A221" s="2749">
        <f t="shared" si="9"/>
        <v>6.2050000000000507</v>
      </c>
      <c r="B221" s="2512" t="s">
        <v>8779</v>
      </c>
      <c r="C221" s="2530">
        <v>0</v>
      </c>
      <c r="D221" s="2530">
        <v>43430</v>
      </c>
      <c r="E221" s="2750">
        <v>0</v>
      </c>
      <c r="F221" s="2530">
        <v>0</v>
      </c>
      <c r="G221" s="2887">
        <v>0</v>
      </c>
      <c r="H221" s="2479" t="str">
        <f t="shared" si="8"/>
        <v xml:space="preserve">WASHINGTON - 02LNX00103-LINE EXT 80% G               </v>
      </c>
      <c r="J221" s="2501"/>
      <c r="K221" s="2886"/>
    </row>
    <row r="222" spans="1:11" ht="16.7" customHeight="1" x14ac:dyDescent="0.2">
      <c r="A222" s="2749">
        <f t="shared" si="9"/>
        <v>6.206000000000051</v>
      </c>
      <c r="B222" s="2512" t="s">
        <v>8780</v>
      </c>
      <c r="C222" s="2530">
        <v>0</v>
      </c>
      <c r="D222" s="2530">
        <v>2260</v>
      </c>
      <c r="E222" s="2750">
        <v>0</v>
      </c>
      <c r="F222" s="2530">
        <v>0</v>
      </c>
      <c r="G222" s="2887">
        <v>0</v>
      </c>
      <c r="H222" s="2479" t="str">
        <f t="shared" si="8"/>
        <v xml:space="preserve">WASHINGTON - 02LNX00105-CNTRCT $ MIN G               </v>
      </c>
      <c r="J222" s="2501"/>
      <c r="K222" s="2886"/>
    </row>
    <row r="223" spans="1:11" ht="16.7" customHeight="1" x14ac:dyDescent="0.2">
      <c r="A223" s="2749">
        <f t="shared" si="9"/>
        <v>6.2070000000000514</v>
      </c>
      <c r="B223" s="2512" t="s">
        <v>8512</v>
      </c>
      <c r="C223" s="2530">
        <v>0</v>
      </c>
      <c r="D223" s="2530">
        <v>194820</v>
      </c>
      <c r="E223" s="2750">
        <v>0</v>
      </c>
      <c r="F223" s="2530">
        <v>0</v>
      </c>
      <c r="G223" s="2887">
        <v>0</v>
      </c>
      <c r="H223" s="2479" t="str">
        <f t="shared" si="8"/>
        <v xml:space="preserve">WASHINGTON - 02LNX00109-REF/NREF ADV +               </v>
      </c>
      <c r="J223" s="2501"/>
      <c r="K223" s="2886"/>
    </row>
    <row r="224" spans="1:11" ht="16.7" customHeight="1" x14ac:dyDescent="0.2">
      <c r="A224" s="2749">
        <f t="shared" si="9"/>
        <v>6.2080000000000517</v>
      </c>
      <c r="B224" s="2512" t="s">
        <v>8781</v>
      </c>
      <c r="C224" s="2530">
        <v>0</v>
      </c>
      <c r="D224" s="2530">
        <v>16856</v>
      </c>
      <c r="E224" s="2750">
        <v>0</v>
      </c>
      <c r="F224" s="2530">
        <v>0</v>
      </c>
      <c r="G224" s="2887">
        <v>0</v>
      </c>
      <c r="H224" s="2479" t="str">
        <f t="shared" si="8"/>
        <v xml:space="preserve">WASHINGTON - 02LNX00110-REF/NREF ADV +               </v>
      </c>
      <c r="J224" s="2501"/>
      <c r="K224" s="2886"/>
    </row>
    <row r="225" spans="1:11" ht="16.7" customHeight="1" x14ac:dyDescent="0.2">
      <c r="A225" s="2749">
        <f t="shared" si="9"/>
        <v>6.209000000000052</v>
      </c>
      <c r="B225" s="2512" t="s">
        <v>8782</v>
      </c>
      <c r="C225" s="2530">
        <v>0</v>
      </c>
      <c r="D225" s="2530">
        <v>669</v>
      </c>
      <c r="E225" s="2750">
        <v>0</v>
      </c>
      <c r="F225" s="2530">
        <v>0</v>
      </c>
      <c r="G225" s="2887">
        <v>0</v>
      </c>
      <c r="H225" s="2479" t="str">
        <f t="shared" si="8"/>
        <v xml:space="preserve">WASHINGTON - 02LNX00112-YR INCURRED CH               </v>
      </c>
      <c r="J225" s="2501"/>
      <c r="K225" s="2886"/>
    </row>
    <row r="226" spans="1:11" ht="16.7" customHeight="1" x14ac:dyDescent="0.2">
      <c r="A226" s="2749">
        <f t="shared" si="9"/>
        <v>6.2100000000000524</v>
      </c>
      <c r="B226" s="2512" t="s">
        <v>8783</v>
      </c>
      <c r="C226" s="2530">
        <v>0</v>
      </c>
      <c r="D226" s="2530">
        <v>466980</v>
      </c>
      <c r="E226" s="2750">
        <v>0</v>
      </c>
      <c r="F226" s="2530">
        <v>0</v>
      </c>
      <c r="G226" s="2887">
        <v>0</v>
      </c>
      <c r="H226" s="2479" t="str">
        <f t="shared" ref="H226:H242" si="10">B226</f>
        <v>WASHINGTON - 02LNX00300-LINE EXT 80% G</v>
      </c>
      <c r="J226" s="2501"/>
      <c r="K226" s="2886"/>
    </row>
    <row r="227" spans="1:11" ht="16.7" customHeight="1" x14ac:dyDescent="0.2">
      <c r="A227" s="2749">
        <f t="shared" si="9"/>
        <v>6.2110000000000527</v>
      </c>
      <c r="B227" s="2512" t="s">
        <v>8784</v>
      </c>
      <c r="C227" s="2530">
        <v>0</v>
      </c>
      <c r="D227" s="2530">
        <v>9884</v>
      </c>
      <c r="E227" s="2750">
        <v>0</v>
      </c>
      <c r="F227" s="2530">
        <v>0</v>
      </c>
      <c r="G227" s="2887">
        <v>0</v>
      </c>
      <c r="H227" s="2479" t="str">
        <f t="shared" si="10"/>
        <v>WASHINGTON - 02LNX00310 - IRG, 80% ANNUAL MIN + 80%</v>
      </c>
      <c r="J227" s="2501"/>
      <c r="K227" s="2886"/>
    </row>
    <row r="228" spans="1:11" ht="16.7" customHeight="1" x14ac:dyDescent="0.2">
      <c r="A228" s="2749">
        <f t="shared" si="9"/>
        <v>6.212000000000053</v>
      </c>
      <c r="B228" s="2512" t="s">
        <v>8785</v>
      </c>
      <c r="C228" s="2530">
        <v>0</v>
      </c>
      <c r="D228" s="2530">
        <v>28059</v>
      </c>
      <c r="E228" s="2750">
        <v>0</v>
      </c>
      <c r="F228" s="2530">
        <v>0</v>
      </c>
      <c r="G228" s="2887">
        <v>0</v>
      </c>
      <c r="H228" s="2479" t="str">
        <f t="shared" si="10"/>
        <v>WASHINGTON - 02LNX00311 - LINE EXT 80% GUARANTEE</v>
      </c>
      <c r="J228" s="2501"/>
      <c r="K228" s="2886"/>
    </row>
    <row r="229" spans="1:11" ht="16.7" customHeight="1" x14ac:dyDescent="0.2">
      <c r="A229" s="2749">
        <f t="shared" si="9"/>
        <v>6.2130000000000534</v>
      </c>
      <c r="B229" s="2512" t="s">
        <v>8786</v>
      </c>
      <c r="C229" s="2530">
        <v>0</v>
      </c>
      <c r="D229" s="2530">
        <v>10610</v>
      </c>
      <c r="E229" s="2750">
        <v>0</v>
      </c>
      <c r="F229" s="2530">
        <v>0</v>
      </c>
      <c r="G229" s="2887">
        <v>0</v>
      </c>
      <c r="H229" s="2479" t="str">
        <f t="shared" si="10"/>
        <v>WASHINGTON - 02LNX00312 - WA IRG LINE EXT</v>
      </c>
      <c r="J229" s="2501"/>
      <c r="K229" s="2886"/>
    </row>
    <row r="230" spans="1:11" ht="16.7" customHeight="1" x14ac:dyDescent="0.2">
      <c r="A230" s="2749">
        <f t="shared" si="9"/>
        <v>6.2140000000000537</v>
      </c>
      <c r="B230" s="2512" t="s">
        <v>8787</v>
      </c>
      <c r="C230" s="2530">
        <v>144</v>
      </c>
      <c r="D230" s="2530">
        <v>28811</v>
      </c>
      <c r="E230" s="2750">
        <v>34</v>
      </c>
      <c r="F230" s="2530">
        <v>4235</v>
      </c>
      <c r="G230" s="2887">
        <v>0.2001</v>
      </c>
      <c r="H230" s="2479" t="str">
        <f t="shared" si="10"/>
        <v>WASHINGTON - 02NMB24135-WA NET METERING</v>
      </c>
      <c r="J230" s="2501"/>
      <c r="K230" s="2886"/>
    </row>
    <row r="231" spans="1:11" ht="16.7" customHeight="1" x14ac:dyDescent="0.2">
      <c r="A231" s="2749">
        <f t="shared" si="9"/>
        <v>6.215000000000054</v>
      </c>
      <c r="B231" s="2512" t="s">
        <v>8788</v>
      </c>
      <c r="C231" s="2530">
        <v>1346</v>
      </c>
      <c r="D231" s="2530">
        <v>127431</v>
      </c>
      <c r="E231" s="2750">
        <v>741</v>
      </c>
      <c r="F231" s="2530">
        <v>1816</v>
      </c>
      <c r="G231" s="2887">
        <v>9.4700000000000006E-2</v>
      </c>
      <c r="H231" s="2479" t="str">
        <f t="shared" si="10"/>
        <v xml:space="preserve">WASHINGTON - 02OALT015N-WA OUTD AR LGT               </v>
      </c>
      <c r="J231" s="2501"/>
      <c r="K231" s="2886"/>
    </row>
    <row r="232" spans="1:11" ht="16.7" customHeight="1" x14ac:dyDescent="0.2">
      <c r="A232" s="2749">
        <f t="shared" si="9"/>
        <v>6.2160000000000544</v>
      </c>
      <c r="B232" s="2512" t="s">
        <v>8789</v>
      </c>
      <c r="C232" s="2530">
        <v>466</v>
      </c>
      <c r="D232" s="2530">
        <v>57939</v>
      </c>
      <c r="E232" s="2750">
        <v>436</v>
      </c>
      <c r="F232" s="2530">
        <v>1069</v>
      </c>
      <c r="G232" s="2887">
        <v>0.12429999999999999</v>
      </c>
      <c r="H232" s="2479" t="str">
        <f t="shared" si="10"/>
        <v>WASHINGTON - 02OALTB15N-WA OUTD AR LGT NR</v>
      </c>
      <c r="J232" s="2501"/>
      <c r="K232" s="2886"/>
    </row>
    <row r="233" spans="1:11" ht="16.7" customHeight="1" x14ac:dyDescent="0.2">
      <c r="A233" s="2749">
        <f t="shared" si="9"/>
        <v>6.2170000000000547</v>
      </c>
      <c r="B233" s="2512" t="s">
        <v>8790</v>
      </c>
      <c r="C233" s="2530">
        <v>361</v>
      </c>
      <c r="D233" s="2530">
        <v>24436</v>
      </c>
      <c r="E233" s="2750">
        <v>24</v>
      </c>
      <c r="F233" s="2530">
        <v>15042</v>
      </c>
      <c r="G233" s="2887">
        <v>6.7699999999999996E-2</v>
      </c>
      <c r="H233" s="2479" t="str">
        <f t="shared" si="10"/>
        <v xml:space="preserve">WASHINGTON - 02RCFL0054-WA REC FIELD L               </v>
      </c>
      <c r="J233" s="2501"/>
      <c r="K233" s="2886"/>
    </row>
    <row r="234" spans="1:11" ht="16.7" customHeight="1" x14ac:dyDescent="0.2">
      <c r="A234" s="2749">
        <f t="shared" si="9"/>
        <v>6.218000000000055</v>
      </c>
      <c r="B234" s="2512" t="s">
        <v>8791</v>
      </c>
      <c r="C234" s="2530">
        <v>6806</v>
      </c>
      <c r="D234" s="2530">
        <v>796778</v>
      </c>
      <c r="E234" s="2750">
        <v>175</v>
      </c>
      <c r="F234" s="2530">
        <v>38891</v>
      </c>
      <c r="G234" s="2887">
        <v>0.1171</v>
      </c>
      <c r="H234" s="2479" t="str">
        <f t="shared" si="10"/>
        <v>WASHINGTON - 02NMT24135, Net metering, WA</v>
      </c>
      <c r="J234" s="2501"/>
      <c r="K234" s="2886"/>
    </row>
    <row r="235" spans="1:11" ht="16.7" customHeight="1" x14ac:dyDescent="0.2">
      <c r="A235" s="2749">
        <f t="shared" si="9"/>
        <v>6.2190000000000554</v>
      </c>
      <c r="B235" s="2512" t="s">
        <v>8792</v>
      </c>
      <c r="C235" s="2530">
        <v>14754</v>
      </c>
      <c r="D235" s="2530">
        <v>1488971</v>
      </c>
      <c r="E235" s="2750">
        <v>22</v>
      </c>
      <c r="F235" s="2530">
        <v>670636</v>
      </c>
      <c r="G235" s="2887">
        <v>0.1009</v>
      </c>
      <c r="H235" s="2479" t="str">
        <f t="shared" si="10"/>
        <v>WASHINGTON - 02NMT36135-WA NET METER LRG SVC &lt; 1000KW</v>
      </c>
      <c r="J235" s="2501"/>
      <c r="K235" s="2886"/>
    </row>
    <row r="236" spans="1:11" ht="16.7" customHeight="1" x14ac:dyDescent="0.2">
      <c r="A236" s="2749">
        <f t="shared" si="9"/>
        <v>6.2200000000000557</v>
      </c>
      <c r="B236" s="2512" t="s">
        <v>8793</v>
      </c>
      <c r="C236" s="2530">
        <v>11539</v>
      </c>
      <c r="D236" s="2530">
        <v>982163</v>
      </c>
      <c r="E236" s="2750">
        <v>2</v>
      </c>
      <c r="F236" s="2530">
        <v>5769500</v>
      </c>
      <c r="G236" s="2887">
        <v>8.5099999999999995E-2</v>
      </c>
      <c r="H236" s="2479" t="str">
        <f t="shared" si="10"/>
        <v>WASHINGTON - 02NMT48135-WA LG SVC NET METER=&gt;1000 KW</v>
      </c>
      <c r="J236" s="2501"/>
      <c r="K236" s="2886"/>
    </row>
    <row r="237" spans="1:11" ht="16.7" customHeight="1" x14ac:dyDescent="0.2">
      <c r="A237" s="2749">
        <f t="shared" si="9"/>
        <v>6.221000000000056</v>
      </c>
      <c r="B237" s="2512" t="s">
        <v>8528</v>
      </c>
      <c r="C237" s="2530">
        <v>0</v>
      </c>
      <c r="D237" s="2530">
        <v>754544</v>
      </c>
      <c r="E237" s="2750">
        <v>0</v>
      </c>
      <c r="F237" s="2530">
        <v>0</v>
      </c>
      <c r="G237" s="2887">
        <v>0</v>
      </c>
      <c r="H237" s="2479" t="str">
        <f t="shared" si="10"/>
        <v>WASHINGTON - INCOME TAX DEFERRAL ADJUSTMENTS</v>
      </c>
      <c r="J237" s="2501"/>
      <c r="K237" s="2886"/>
    </row>
    <row r="238" spans="1:11" ht="16.7" customHeight="1" x14ac:dyDescent="0.2">
      <c r="A238" s="2749">
        <f t="shared" si="9"/>
        <v>6.2220000000000564</v>
      </c>
      <c r="B238" s="2512" t="s">
        <v>8529</v>
      </c>
      <c r="C238" s="2530">
        <v>0</v>
      </c>
      <c r="D238" s="2530">
        <v>969287</v>
      </c>
      <c r="E238" s="2750">
        <v>0</v>
      </c>
      <c r="F238" s="2530">
        <v>0</v>
      </c>
      <c r="G238" s="2887">
        <v>0</v>
      </c>
      <c r="H238" s="2479" t="str">
        <f t="shared" si="10"/>
        <v>WASHINGTON - REVENUE ADJUSTMENT - DEFERRED NPC</v>
      </c>
      <c r="J238" s="2501"/>
      <c r="K238" s="2886"/>
    </row>
    <row r="239" spans="1:11" ht="16.7" customHeight="1" x14ac:dyDescent="0.2">
      <c r="A239" s="2749">
        <f t="shared" si="9"/>
        <v>6.2230000000000567</v>
      </c>
      <c r="B239" s="2512" t="s">
        <v>8530</v>
      </c>
      <c r="C239" s="2530">
        <v>0</v>
      </c>
      <c r="D239" s="2530">
        <v>-4042013</v>
      </c>
      <c r="E239" s="2750">
        <v>0</v>
      </c>
      <c r="F239" s="2530">
        <v>0</v>
      </c>
      <c r="G239" s="2887">
        <v>0</v>
      </c>
      <c r="H239" s="2479" t="str">
        <f t="shared" si="10"/>
        <v>WASHINGTON - REVENUE_ACCOUNTING ADJUSTMENTS</v>
      </c>
      <c r="J239" s="2501"/>
      <c r="K239" s="2886"/>
    </row>
    <row r="240" spans="1:11" ht="16.7" customHeight="1" x14ac:dyDescent="0.2">
      <c r="A240" s="2749">
        <f t="shared" si="9"/>
        <v>6.224000000000057</v>
      </c>
      <c r="B240" s="2512" t="s">
        <v>8794</v>
      </c>
      <c r="C240" s="2530">
        <v>0</v>
      </c>
      <c r="D240" s="2530">
        <v>7803060</v>
      </c>
      <c r="E240" s="2750">
        <v>0</v>
      </c>
      <c r="F240" s="2530">
        <v>0</v>
      </c>
      <c r="G240" s="2887">
        <v>0</v>
      </c>
      <c r="H240" s="2479" t="str">
        <f t="shared" si="10"/>
        <v>WASHINGTON - DSM REVENUE-COMMERCIAL</v>
      </c>
      <c r="J240" s="2501"/>
      <c r="K240" s="2886"/>
    </row>
    <row r="241" spans="1:11" ht="16.7" customHeight="1" x14ac:dyDescent="0.2">
      <c r="A241" s="2749">
        <f t="shared" si="9"/>
        <v>6.2250000000000574</v>
      </c>
      <c r="B241" s="2512" t="s">
        <v>8795</v>
      </c>
      <c r="C241" s="2530">
        <v>0</v>
      </c>
      <c r="D241" s="2530">
        <v>26924</v>
      </c>
      <c r="E241" s="2750">
        <v>2</v>
      </c>
      <c r="F241" s="2530">
        <v>0</v>
      </c>
      <c r="G241" s="2887">
        <v>0</v>
      </c>
      <c r="H241" s="2479" t="str">
        <f t="shared" si="10"/>
        <v>WASHINGTON - BLUE SKY REVENUE-COMMERCIAL</v>
      </c>
      <c r="J241" s="2501"/>
      <c r="K241" s="2886"/>
    </row>
    <row r="242" spans="1:11" ht="16.7" customHeight="1" x14ac:dyDescent="0.2">
      <c r="A242" s="2749">
        <f t="shared" si="9"/>
        <v>6.2260000000000577</v>
      </c>
      <c r="B242" s="2512" t="s">
        <v>8533</v>
      </c>
      <c r="C242" s="2530">
        <v>0</v>
      </c>
      <c r="D242" s="2530">
        <v>-18773989</v>
      </c>
      <c r="E242" s="2750">
        <v>0</v>
      </c>
      <c r="F242" s="2530">
        <v>0</v>
      </c>
      <c r="G242" s="2887">
        <v>0</v>
      </c>
      <c r="H242" s="2479" t="str">
        <f t="shared" si="10"/>
        <v>WASHINGTON - ALT REVENUE PROGRAM ADJUSTMENTS</v>
      </c>
      <c r="J242" s="2501"/>
      <c r="K242" s="2886"/>
    </row>
    <row r="243" spans="1:11" ht="16.7" customHeight="1" x14ac:dyDescent="0.2">
      <c r="A243" s="2489"/>
      <c r="B243" s="2669"/>
      <c r="C243" s="2488"/>
      <c r="D243" s="2488"/>
      <c r="E243" s="2488"/>
      <c r="F243" s="2488"/>
      <c r="G243" s="2488"/>
      <c r="H243" s="2479"/>
      <c r="J243" s="2501"/>
      <c r="K243" s="2886"/>
    </row>
    <row r="244" spans="1:11" ht="16.7" customHeight="1" x14ac:dyDescent="0.2">
      <c r="A244" s="2489"/>
      <c r="B244" s="2669" t="s">
        <v>8534</v>
      </c>
      <c r="C244" s="2488"/>
      <c r="D244" s="2488"/>
      <c r="E244" s="2488"/>
      <c r="F244" s="2488"/>
      <c r="G244" s="2488"/>
      <c r="H244" s="2479" t="str">
        <f t="shared" ref="H244:H287" si="11">B244</f>
        <v>WYOMING</v>
      </c>
      <c r="J244" s="2501"/>
      <c r="K244" s="2886"/>
    </row>
    <row r="245" spans="1:11" ht="16.7" customHeight="1" x14ac:dyDescent="0.2">
      <c r="A245" s="2749">
        <f>A242+0.001</f>
        <v>6.227000000000058</v>
      </c>
      <c r="B245" s="2512" t="s">
        <v>8796</v>
      </c>
      <c r="C245" s="2530">
        <v>0</v>
      </c>
      <c r="D245" s="2530">
        <v>0</v>
      </c>
      <c r="E245" s="2750">
        <v>1</v>
      </c>
      <c r="F245" s="2530">
        <v>0</v>
      </c>
      <c r="G245" s="2887">
        <v>0</v>
      </c>
      <c r="H245" s="2479" t="str">
        <f t="shared" si="11"/>
        <v xml:space="preserve">WYOMING - 05CHCK000N-WY NRES CHECK                </v>
      </c>
      <c r="J245" s="2501"/>
      <c r="K245" s="2886"/>
    </row>
    <row r="246" spans="1:11" ht="16.7" customHeight="1" x14ac:dyDescent="0.2">
      <c r="A246" s="2749">
        <f t="shared" ref="A246:A287" si="12">A245+0.001</f>
        <v>6.2280000000000584</v>
      </c>
      <c r="B246" s="2512" t="s">
        <v>8797</v>
      </c>
      <c r="C246" s="2530">
        <v>5</v>
      </c>
      <c r="D246" s="2530">
        <v>2695</v>
      </c>
      <c r="E246" s="2750">
        <v>1</v>
      </c>
      <c r="F246" s="2530">
        <v>5000</v>
      </c>
      <c r="G246" s="2887">
        <v>0.53910000000000002</v>
      </c>
      <c r="H246" s="2479" t="str">
        <f t="shared" si="11"/>
        <v>WYOMING - 05GNCEL25F-WYOMING SMALL CELL FLAT RATE</v>
      </c>
      <c r="J246" s="2501"/>
      <c r="K246" s="2886"/>
    </row>
    <row r="247" spans="1:11" ht="16.7" customHeight="1" x14ac:dyDescent="0.2">
      <c r="A247" s="2749">
        <f t="shared" si="12"/>
        <v>6.2290000000000587</v>
      </c>
      <c r="B247" s="2512" t="s">
        <v>8798</v>
      </c>
      <c r="C247" s="2888">
        <f>224617+1</f>
        <v>224618</v>
      </c>
      <c r="D247" s="2888">
        <f>23107080-1</f>
        <v>23107079</v>
      </c>
      <c r="E247" s="2911">
        <f>18544-0.84</f>
        <v>18543.16</v>
      </c>
      <c r="F247" s="2530">
        <v>12113</v>
      </c>
      <c r="G247" s="2887">
        <v>0.10290000000000001</v>
      </c>
      <c r="H247" s="2479" t="str">
        <f t="shared" si="11"/>
        <v xml:space="preserve">WYOMING - 05GNSV0025-WY GEN SRVC -A                  </v>
      </c>
      <c r="J247" s="2501"/>
      <c r="K247" s="2886"/>
    </row>
    <row r="248" spans="1:11" ht="16.7" customHeight="1" x14ac:dyDescent="0.2">
      <c r="A248" s="2749">
        <f t="shared" si="12"/>
        <v>6.230000000000059</v>
      </c>
      <c r="B248" s="2512" t="s">
        <v>8799</v>
      </c>
      <c r="C248" s="2530">
        <v>796696</v>
      </c>
      <c r="D248" s="2530">
        <v>69512024</v>
      </c>
      <c r="E248" s="2750">
        <v>3061</v>
      </c>
      <c r="F248" s="2530">
        <v>260273</v>
      </c>
      <c r="G248" s="2887">
        <v>8.7300000000000003E-2</v>
      </c>
      <c r="H248" s="2479" t="str">
        <f t="shared" si="11"/>
        <v>WYOMING - 05GNSV0028-GEN SVC &gt; 15 KW -A</v>
      </c>
      <c r="J248" s="2501"/>
      <c r="K248" s="2886"/>
    </row>
    <row r="249" spans="1:11" ht="16.7" customHeight="1" x14ac:dyDescent="0.2">
      <c r="A249" s="2749">
        <f t="shared" si="12"/>
        <v>6.2310000000000594</v>
      </c>
      <c r="B249" s="2512" t="s">
        <v>8800</v>
      </c>
      <c r="C249" s="2530">
        <v>1517</v>
      </c>
      <c r="D249" s="2530">
        <v>316656</v>
      </c>
      <c r="E249" s="2750">
        <v>5</v>
      </c>
      <c r="F249" s="2530">
        <v>303400</v>
      </c>
      <c r="G249" s="2887">
        <v>0.2087</v>
      </c>
      <c r="H249" s="2479" t="str">
        <f t="shared" si="11"/>
        <v>WYOMING - 05GNSV0029-WY GEN SVC TOU PILOT -A</v>
      </c>
      <c r="J249" s="2501"/>
      <c r="K249" s="2886"/>
    </row>
    <row r="250" spans="1:11" ht="16.7" customHeight="1" x14ac:dyDescent="0.2">
      <c r="A250" s="2749">
        <f t="shared" si="12"/>
        <v>6.2320000000000597</v>
      </c>
      <c r="B250" s="2512" t="s">
        <v>8801</v>
      </c>
      <c r="C250" s="2530">
        <v>984</v>
      </c>
      <c r="D250" s="2530">
        <v>158143</v>
      </c>
      <c r="E250" s="2750">
        <v>171</v>
      </c>
      <c r="F250" s="2530">
        <v>5754</v>
      </c>
      <c r="G250" s="2887">
        <v>0.16070000000000001</v>
      </c>
      <c r="H250" s="2479" t="str">
        <f t="shared" si="11"/>
        <v xml:space="preserve">WYOMING - 05GNSV025F-GEN SRVC-FL RA -A         </v>
      </c>
      <c r="J250" s="2501"/>
      <c r="K250" s="2886"/>
    </row>
    <row r="251" spans="1:11" ht="16.7" customHeight="1" x14ac:dyDescent="0.2">
      <c r="A251" s="2749">
        <f t="shared" si="12"/>
        <v>6.23300000000006</v>
      </c>
      <c r="B251" s="2512" t="s">
        <v>8802</v>
      </c>
      <c r="C251" s="2530">
        <v>272429</v>
      </c>
      <c r="D251" s="2530">
        <v>18830943</v>
      </c>
      <c r="E251" s="2750">
        <v>26</v>
      </c>
      <c r="F251" s="2530">
        <v>10478038</v>
      </c>
      <c r="G251" s="2887">
        <v>6.9099999999999995E-2</v>
      </c>
      <c r="H251" s="2479" t="str">
        <f t="shared" si="11"/>
        <v xml:space="preserve">WYOMING - 05LGSV0046-WY LRG GEN SRV               </v>
      </c>
      <c r="J251" s="2501"/>
      <c r="K251" s="2886"/>
    </row>
    <row r="252" spans="1:11" ht="16.7" customHeight="1" x14ac:dyDescent="0.2">
      <c r="A252" s="2749">
        <f t="shared" si="12"/>
        <v>6.2340000000000604</v>
      </c>
      <c r="B252" s="2512" t="s">
        <v>8803</v>
      </c>
      <c r="C252" s="2530">
        <v>14140</v>
      </c>
      <c r="D252" s="2530">
        <v>988963</v>
      </c>
      <c r="E252" s="2750">
        <v>1</v>
      </c>
      <c r="F252" s="2530">
        <v>14140000</v>
      </c>
      <c r="G252" s="2887">
        <v>6.9900000000000004E-2</v>
      </c>
      <c r="H252" s="2479" t="str">
        <f t="shared" si="11"/>
        <v xml:space="preserve">WYOMING - 05LGSV048T-LRG GENSRV TIM               </v>
      </c>
      <c r="J252" s="2501"/>
      <c r="K252" s="2886"/>
    </row>
    <row r="253" spans="1:11" ht="16.7" customHeight="1" x14ac:dyDescent="0.2">
      <c r="A253" s="2749">
        <f t="shared" si="12"/>
        <v>6.2350000000000607</v>
      </c>
      <c r="B253" s="2512" t="s">
        <v>8804</v>
      </c>
      <c r="C253" s="2530">
        <v>0</v>
      </c>
      <c r="D253" s="2530">
        <v>22756</v>
      </c>
      <c r="E253" s="2750">
        <v>0</v>
      </c>
      <c r="F253" s="2530">
        <v>0</v>
      </c>
      <c r="G253" s="2887">
        <v>0</v>
      </c>
      <c r="H253" s="2479" t="str">
        <f t="shared" si="11"/>
        <v xml:space="preserve">WYOMING - 05LNX00100-LINE EXT 60% G               </v>
      </c>
      <c r="J253" s="2501"/>
      <c r="K253" s="2886"/>
    </row>
    <row r="254" spans="1:11" ht="16.7" customHeight="1" x14ac:dyDescent="0.2">
      <c r="A254" s="2749">
        <f t="shared" si="12"/>
        <v>6.236000000000061</v>
      </c>
      <c r="B254" s="2512" t="s">
        <v>8805</v>
      </c>
      <c r="C254" s="2530">
        <v>0</v>
      </c>
      <c r="D254" s="2530">
        <v>941785</v>
      </c>
      <c r="E254" s="2750">
        <v>0</v>
      </c>
      <c r="F254" s="2530">
        <v>0</v>
      </c>
      <c r="G254" s="2887">
        <v>0</v>
      </c>
      <c r="H254" s="2479" t="str">
        <f t="shared" si="11"/>
        <v xml:space="preserve">WYOMING - 05LNX00102-LINE EXT 80% G  -A            </v>
      </c>
      <c r="J254" s="2501"/>
      <c r="K254" s="2886"/>
    </row>
    <row r="255" spans="1:11" ht="16.7" customHeight="1" x14ac:dyDescent="0.2">
      <c r="A255" s="2749">
        <f t="shared" si="12"/>
        <v>6.2370000000000614</v>
      </c>
      <c r="B255" s="2512" t="s">
        <v>8806</v>
      </c>
      <c r="C255" s="2530">
        <v>0</v>
      </c>
      <c r="D255" s="2530">
        <v>5685</v>
      </c>
      <c r="E255" s="2750">
        <v>0</v>
      </c>
      <c r="F255" s="2530">
        <v>0</v>
      </c>
      <c r="G255" s="2887">
        <v>0</v>
      </c>
      <c r="H255" s="2479" t="str">
        <f t="shared" si="11"/>
        <v xml:space="preserve">WYOMING - 05LNX00105-CNTRCT $ MIN G               </v>
      </c>
      <c r="J255" s="2501"/>
      <c r="K255" s="2886"/>
    </row>
    <row r="256" spans="1:11" ht="16.7" customHeight="1" x14ac:dyDescent="0.2">
      <c r="A256" s="2749">
        <f t="shared" si="12"/>
        <v>6.2380000000000617</v>
      </c>
      <c r="B256" s="2512" t="s">
        <v>8807</v>
      </c>
      <c r="C256" s="2530">
        <v>0</v>
      </c>
      <c r="D256" s="2530">
        <v>349925</v>
      </c>
      <c r="E256" s="2750">
        <v>0</v>
      </c>
      <c r="F256" s="2530">
        <v>0</v>
      </c>
      <c r="G256" s="2887">
        <v>0</v>
      </c>
      <c r="H256" s="2479" t="str">
        <f t="shared" si="11"/>
        <v xml:space="preserve">WYOMING - 05LNX00109-REF/NREF ADV +  -A              </v>
      </c>
      <c r="J256" s="2501"/>
      <c r="K256" s="2886"/>
    </row>
    <row r="257" spans="1:11" ht="16.7" customHeight="1" x14ac:dyDescent="0.2">
      <c r="A257" s="2749">
        <f t="shared" si="12"/>
        <v>6.2390000000000621</v>
      </c>
      <c r="B257" s="2512" t="s">
        <v>8808</v>
      </c>
      <c r="C257" s="2530">
        <v>0</v>
      </c>
      <c r="D257" s="2530">
        <v>3983</v>
      </c>
      <c r="E257" s="2750">
        <v>0</v>
      </c>
      <c r="F257" s="2530">
        <v>0</v>
      </c>
      <c r="G257" s="2887">
        <v>0</v>
      </c>
      <c r="H257" s="2479" t="str">
        <f t="shared" si="11"/>
        <v xml:space="preserve">WYOMING - 05LNX00110-REF/NREF ADV + -A             </v>
      </c>
      <c r="J257" s="2501"/>
      <c r="K257" s="2886"/>
    </row>
    <row r="258" spans="1:11" ht="16.7" customHeight="1" x14ac:dyDescent="0.2">
      <c r="A258" s="2749">
        <f t="shared" si="12"/>
        <v>6.2400000000000624</v>
      </c>
      <c r="B258" s="2512" t="s">
        <v>8809</v>
      </c>
      <c r="C258" s="2530">
        <v>0</v>
      </c>
      <c r="D258" s="2530">
        <v>127</v>
      </c>
      <c r="E258" s="2750">
        <v>0</v>
      </c>
      <c r="F258" s="2530">
        <v>0</v>
      </c>
      <c r="G258" s="2887">
        <v>0</v>
      </c>
      <c r="H258" s="2479" t="str">
        <f t="shared" si="11"/>
        <v xml:space="preserve">WYOMING - 05LNX00114-TEMP SVC 12MO&gt;               </v>
      </c>
      <c r="J258" s="2501"/>
      <c r="K258" s="2886"/>
    </row>
    <row r="259" spans="1:11" ht="16.7" customHeight="1" x14ac:dyDescent="0.2">
      <c r="A259" s="2749">
        <f t="shared" si="12"/>
        <v>6.2410000000000627</v>
      </c>
      <c r="B259" s="2512" t="s">
        <v>8810</v>
      </c>
      <c r="C259" s="2530">
        <v>649</v>
      </c>
      <c r="D259" s="2530">
        <v>63372</v>
      </c>
      <c r="E259" s="2750">
        <v>48</v>
      </c>
      <c r="F259" s="2530">
        <v>13521</v>
      </c>
      <c r="G259" s="2887">
        <v>9.7600000000000006E-2</v>
      </c>
      <c r="H259" s="2479" t="str">
        <f t="shared" si="11"/>
        <v>WYOMING - 05NMT25135 - WY NET MTR, GEN, &lt; 25 KW -A</v>
      </c>
      <c r="J259" s="2501"/>
      <c r="K259" s="2886"/>
    </row>
    <row r="260" spans="1:11" ht="16.7" customHeight="1" x14ac:dyDescent="0.2">
      <c r="A260" s="2749">
        <f t="shared" si="12"/>
        <v>6.2420000000000631</v>
      </c>
      <c r="B260" s="2512" t="s">
        <v>8811</v>
      </c>
      <c r="C260" s="2530">
        <v>10000</v>
      </c>
      <c r="D260" s="2530">
        <v>955082</v>
      </c>
      <c r="E260" s="2750">
        <v>30</v>
      </c>
      <c r="F260" s="2530">
        <v>333333</v>
      </c>
      <c r="G260" s="2887">
        <v>9.5500000000000002E-2</v>
      </c>
      <c r="H260" s="2479" t="str">
        <f t="shared" si="11"/>
        <v>WYOMING - 05NMT28135-NET MTR SMALL GEN SVC &gt; 15 KW -A</v>
      </c>
      <c r="J260" s="2501"/>
      <c r="K260" s="2886"/>
    </row>
    <row r="261" spans="1:11" ht="16.7" customHeight="1" x14ac:dyDescent="0.2">
      <c r="A261" s="2749">
        <f t="shared" si="12"/>
        <v>6.2430000000000634</v>
      </c>
      <c r="B261" s="2512" t="s">
        <v>8812</v>
      </c>
      <c r="C261" s="2530">
        <v>2443</v>
      </c>
      <c r="D261" s="2530">
        <v>240799</v>
      </c>
      <c r="E261" s="2750">
        <v>1514</v>
      </c>
      <c r="F261" s="2530">
        <v>1614</v>
      </c>
      <c r="G261" s="2887">
        <v>9.8599999999999993E-2</v>
      </c>
      <c r="H261" s="2479" t="str">
        <f t="shared" si="11"/>
        <v xml:space="preserve">WYOMING - 05OALT015N-OUTD AR LGT SR -A               </v>
      </c>
      <c r="J261" s="2501"/>
      <c r="K261" s="2886"/>
    </row>
    <row r="262" spans="1:11" ht="16.7" customHeight="1" x14ac:dyDescent="0.2">
      <c r="A262" s="2749">
        <f t="shared" si="12"/>
        <v>6.2440000000000637</v>
      </c>
      <c r="B262" s="2512" t="s">
        <v>8813</v>
      </c>
      <c r="C262" s="2530">
        <v>939</v>
      </c>
      <c r="D262" s="2530">
        <v>46054</v>
      </c>
      <c r="E262" s="2750">
        <v>56</v>
      </c>
      <c r="F262" s="2530">
        <v>16768</v>
      </c>
      <c r="G262" s="2887">
        <v>4.9000000000000002E-2</v>
      </c>
      <c r="H262" s="2479" t="str">
        <f t="shared" si="11"/>
        <v xml:space="preserve">WYOMING - 05RCFL0054-WY REC FIELD L -A               </v>
      </c>
      <c r="J262" s="2501"/>
      <c r="K262" s="2886"/>
    </row>
    <row r="263" spans="1:11" ht="16.7" customHeight="1" x14ac:dyDescent="0.2">
      <c r="A263" s="2749">
        <f t="shared" si="12"/>
        <v>6.2450000000000641</v>
      </c>
      <c r="B263" s="2512" t="s">
        <v>8814</v>
      </c>
      <c r="C263" s="2530">
        <v>0</v>
      </c>
      <c r="D263" s="2530">
        <v>87369</v>
      </c>
      <c r="E263" s="2750">
        <v>0</v>
      </c>
      <c r="F263" s="2530">
        <v>0</v>
      </c>
      <c r="G263" s="2887">
        <v>0</v>
      </c>
      <c r="H263" s="2479" t="str">
        <f t="shared" si="11"/>
        <v>WYOMING - 05LNX00300 - LINE EXT 80% GUARANTEE</v>
      </c>
      <c r="J263" s="2501"/>
      <c r="K263" s="2886"/>
    </row>
    <row r="264" spans="1:11" ht="16.7" customHeight="1" x14ac:dyDescent="0.2">
      <c r="A264" s="2749">
        <f t="shared" si="12"/>
        <v>6.2460000000000644</v>
      </c>
      <c r="B264" s="2512" t="s">
        <v>8815</v>
      </c>
      <c r="C264" s="2530">
        <v>0</v>
      </c>
      <c r="D264" s="2530">
        <v>44480</v>
      </c>
      <c r="E264" s="2750">
        <v>0</v>
      </c>
      <c r="F264" s="2530">
        <v>0</v>
      </c>
      <c r="G264" s="2887">
        <v>0</v>
      </c>
      <c r="H264" s="2479" t="str">
        <f t="shared" si="11"/>
        <v>WYOMING - 05LNX00311 - LINE EXT 80% GUARANTEE -A</v>
      </c>
      <c r="J264" s="2501"/>
      <c r="K264" s="2886"/>
    </row>
    <row r="265" spans="1:11" ht="16.7" customHeight="1" x14ac:dyDescent="0.2">
      <c r="A265" s="2749">
        <f t="shared" si="12"/>
        <v>6.2470000000000647</v>
      </c>
      <c r="B265" s="2512" t="s">
        <v>8544</v>
      </c>
      <c r="C265" s="2530">
        <v>0</v>
      </c>
      <c r="D265" s="2530">
        <v>329673</v>
      </c>
      <c r="E265" s="2750">
        <v>0</v>
      </c>
      <c r="F265" s="2530">
        <v>0</v>
      </c>
      <c r="G265" s="2887">
        <v>0</v>
      </c>
      <c r="H265" s="2479" t="str">
        <f t="shared" si="11"/>
        <v>WYOMING - INCOME TAX DEFERRAL ADJUSTMENTS</v>
      </c>
      <c r="J265" s="2501"/>
      <c r="K265" s="2886"/>
    </row>
    <row r="266" spans="1:11" ht="16.7" customHeight="1" x14ac:dyDescent="0.2">
      <c r="A266" s="2749">
        <f t="shared" si="12"/>
        <v>6.2480000000000651</v>
      </c>
      <c r="B266" s="2512" t="s">
        <v>8545</v>
      </c>
      <c r="C266" s="2530">
        <v>0</v>
      </c>
      <c r="D266" s="2530">
        <v>-520394</v>
      </c>
      <c r="E266" s="2750">
        <v>0</v>
      </c>
      <c r="F266" s="2530">
        <v>0</v>
      </c>
      <c r="G266" s="2887">
        <v>0</v>
      </c>
      <c r="H266" s="2479" t="str">
        <f t="shared" si="11"/>
        <v>WYOMING - REVENUE ADJUSTMENT - DEFERRED NPC</v>
      </c>
      <c r="J266" s="2501"/>
      <c r="K266" s="2886"/>
    </row>
    <row r="267" spans="1:11" ht="16.7" customHeight="1" x14ac:dyDescent="0.2">
      <c r="A267" s="2749">
        <f t="shared" si="12"/>
        <v>6.2490000000000654</v>
      </c>
      <c r="B267" s="2512" t="s">
        <v>8546</v>
      </c>
      <c r="C267" s="2530">
        <v>0</v>
      </c>
      <c r="D267" s="2530">
        <v>56488</v>
      </c>
      <c r="E267" s="2750">
        <v>0</v>
      </c>
      <c r="F267" s="2530">
        <v>0</v>
      </c>
      <c r="G267" s="2887">
        <v>0</v>
      </c>
      <c r="H267" s="2479" t="str">
        <f t="shared" si="11"/>
        <v>WYOMING - REVENUE_ACCOUNTING ADJUSTMENTS</v>
      </c>
      <c r="J267" s="2501"/>
      <c r="K267" s="2886"/>
    </row>
    <row r="268" spans="1:11" ht="16.7" customHeight="1" x14ac:dyDescent="0.2">
      <c r="A268" s="2749">
        <f t="shared" si="12"/>
        <v>6.2500000000000657</v>
      </c>
      <c r="B268" s="2512" t="s">
        <v>8816</v>
      </c>
      <c r="C268" s="2530">
        <v>0</v>
      </c>
      <c r="D268" s="2530">
        <v>3250258</v>
      </c>
      <c r="E268" s="2750">
        <v>0</v>
      </c>
      <c r="F268" s="2530">
        <v>0</v>
      </c>
      <c r="G268" s="2887">
        <v>0</v>
      </c>
      <c r="H268" s="2479" t="str">
        <f t="shared" si="11"/>
        <v>WYOMING - DSM REVENUE-SMALL COMMERCIAL -A</v>
      </c>
      <c r="J268" s="2501"/>
      <c r="K268" s="2886"/>
    </row>
    <row r="269" spans="1:11" ht="16.7" customHeight="1" x14ac:dyDescent="0.2">
      <c r="A269" s="2749">
        <f t="shared" si="12"/>
        <v>6.2510000000000661</v>
      </c>
      <c r="B269" s="2512" t="s">
        <v>8817</v>
      </c>
      <c r="C269" s="2530">
        <v>0</v>
      </c>
      <c r="D269" s="2530">
        <v>150728</v>
      </c>
      <c r="E269" s="2750">
        <v>0</v>
      </c>
      <c r="F269" s="2530">
        <v>0</v>
      </c>
      <c r="G269" s="2887">
        <v>0</v>
      </c>
      <c r="H269" s="2479" t="str">
        <f t="shared" si="11"/>
        <v>WYOMING - DSM REVENUE-LARGE COMMERCIAL</v>
      </c>
      <c r="J269" s="2501"/>
      <c r="K269" s="2886"/>
    </row>
    <row r="270" spans="1:11" ht="16.7" customHeight="1" x14ac:dyDescent="0.2">
      <c r="A270" s="2749">
        <f t="shared" si="12"/>
        <v>6.2520000000000664</v>
      </c>
      <c r="B270" s="2512" t="s">
        <v>8818</v>
      </c>
      <c r="C270" s="2530">
        <v>0</v>
      </c>
      <c r="D270" s="2530">
        <v>16683</v>
      </c>
      <c r="E270" s="2750">
        <v>1</v>
      </c>
      <c r="F270" s="2530">
        <v>0</v>
      </c>
      <c r="G270" s="2887">
        <v>0</v>
      </c>
      <c r="H270" s="2479" t="str">
        <f t="shared" si="11"/>
        <v>WYOMING - BLUE SKY REVENUE-COMMERCIAL -A</v>
      </c>
      <c r="J270" s="2501"/>
      <c r="K270" s="2886"/>
    </row>
    <row r="271" spans="1:11" ht="16.7" customHeight="1" x14ac:dyDescent="0.2">
      <c r="A271" s="2749">
        <f t="shared" si="12"/>
        <v>6.2530000000000667</v>
      </c>
      <c r="B271" s="2512" t="s">
        <v>8550</v>
      </c>
      <c r="C271" s="2530">
        <v>0</v>
      </c>
      <c r="D271" s="2530">
        <v>120582</v>
      </c>
      <c r="E271" s="2750">
        <v>0</v>
      </c>
      <c r="F271" s="2530">
        <v>0</v>
      </c>
      <c r="G271" s="2887">
        <v>0</v>
      </c>
      <c r="H271" s="2479" t="str">
        <f t="shared" si="11"/>
        <v>WYOMING - OTHER CUSTOMER RETAIL REVENUE</v>
      </c>
      <c r="J271" s="2501"/>
      <c r="K271" s="2886"/>
    </row>
    <row r="272" spans="1:11" ht="16.7" customHeight="1" x14ac:dyDescent="0.2">
      <c r="A272" s="2749">
        <f t="shared" si="12"/>
        <v>6.2540000000000671</v>
      </c>
      <c r="B272" s="2512" t="s">
        <v>8819</v>
      </c>
      <c r="C272" s="2530">
        <v>32046</v>
      </c>
      <c r="D272" s="2530">
        <v>3273933</v>
      </c>
      <c r="E272" s="2750">
        <v>2571</v>
      </c>
      <c r="F272" s="2530">
        <v>12464</v>
      </c>
      <c r="G272" s="2887">
        <v>0.1022</v>
      </c>
      <c r="H272" s="2479" t="str">
        <f t="shared" si="11"/>
        <v xml:space="preserve">WYOMING - 05GNSV0025-WY GEN SRVC -B                  </v>
      </c>
      <c r="J272" s="2501"/>
      <c r="K272" s="2886"/>
    </row>
    <row r="273" spans="1:11" ht="16.7" customHeight="1" x14ac:dyDescent="0.2">
      <c r="A273" s="2749">
        <f t="shared" si="12"/>
        <v>6.2550000000000674</v>
      </c>
      <c r="B273" s="2512" t="s">
        <v>8820</v>
      </c>
      <c r="C273" s="2530">
        <v>89922</v>
      </c>
      <c r="D273" s="2530">
        <v>7720128</v>
      </c>
      <c r="E273" s="2750">
        <v>389</v>
      </c>
      <c r="F273" s="2530">
        <v>231162</v>
      </c>
      <c r="G273" s="2887">
        <v>8.5900000000000004E-2</v>
      </c>
      <c r="H273" s="2479" t="str">
        <f t="shared" si="11"/>
        <v>WYOMING - 05GNSV0028-GEN SVC &gt; 15 KW -B</v>
      </c>
      <c r="J273" s="2501"/>
      <c r="K273" s="2886"/>
    </row>
    <row r="274" spans="1:11" ht="16.7" customHeight="1" x14ac:dyDescent="0.2">
      <c r="A274" s="2749">
        <f t="shared" si="12"/>
        <v>6.2560000000000677</v>
      </c>
      <c r="B274" s="2512" t="s">
        <v>8821</v>
      </c>
      <c r="C274" s="2530">
        <v>529</v>
      </c>
      <c r="D274" s="2530">
        <v>113903</v>
      </c>
      <c r="E274" s="2750">
        <v>3</v>
      </c>
      <c r="F274" s="2530">
        <v>176333</v>
      </c>
      <c r="G274" s="2887">
        <v>0.21529999999999999</v>
      </c>
      <c r="H274" s="2479" t="str">
        <f t="shared" si="11"/>
        <v>WYOMING - 05GNSV0029-WY GEN SVC TOU PILOT -B</v>
      </c>
      <c r="J274" s="2501"/>
      <c r="K274" s="2886"/>
    </row>
    <row r="275" spans="1:11" ht="16.7" customHeight="1" x14ac:dyDescent="0.2">
      <c r="A275" s="2749">
        <f t="shared" si="12"/>
        <v>6.2570000000000681</v>
      </c>
      <c r="B275" s="2512" t="s">
        <v>8822</v>
      </c>
      <c r="C275" s="2530">
        <v>199</v>
      </c>
      <c r="D275" s="2530">
        <v>25644</v>
      </c>
      <c r="E275" s="2750">
        <v>33</v>
      </c>
      <c r="F275" s="2530">
        <v>6030</v>
      </c>
      <c r="G275" s="2887">
        <v>0.12889999999999999</v>
      </c>
      <c r="H275" s="2479" t="str">
        <f t="shared" si="11"/>
        <v xml:space="preserve">WYOMING - 05GNSV025F-GEN SRVC-FL RA  -B              </v>
      </c>
      <c r="J275" s="2501"/>
      <c r="K275" s="2886"/>
    </row>
    <row r="276" spans="1:11" ht="16.7" customHeight="1" x14ac:dyDescent="0.2">
      <c r="A276" s="2749">
        <f t="shared" si="12"/>
        <v>6.2580000000000684</v>
      </c>
      <c r="B276" s="2512" t="s">
        <v>8823</v>
      </c>
      <c r="C276" s="2530">
        <v>0</v>
      </c>
      <c r="D276" s="2530">
        <v>110300</v>
      </c>
      <c r="E276" s="2750">
        <v>0</v>
      </c>
      <c r="F276" s="2530">
        <v>0</v>
      </c>
      <c r="G276" s="2887">
        <v>0</v>
      </c>
      <c r="H276" s="2479" t="str">
        <f t="shared" si="11"/>
        <v xml:space="preserve">WYOMING - 05LNX00102-LINE EXT 80% G -B              </v>
      </c>
      <c r="J276" s="2501"/>
      <c r="K276" s="2886"/>
    </row>
    <row r="277" spans="1:11" ht="16.7" customHeight="1" x14ac:dyDescent="0.2">
      <c r="A277" s="2749">
        <f t="shared" si="12"/>
        <v>6.2590000000000687</v>
      </c>
      <c r="B277" s="2512" t="s">
        <v>8824</v>
      </c>
      <c r="C277" s="2530">
        <v>0</v>
      </c>
      <c r="D277" s="2530">
        <v>684</v>
      </c>
      <c r="E277" s="2750">
        <v>0</v>
      </c>
      <c r="F277" s="2530">
        <v>0</v>
      </c>
      <c r="G277" s="2887">
        <v>0</v>
      </c>
      <c r="H277" s="2479" t="str">
        <f t="shared" si="11"/>
        <v xml:space="preserve">WYOMING - 05LNX00103-LINE EXT 80% G               </v>
      </c>
      <c r="J277" s="2501"/>
      <c r="K277" s="2886"/>
    </row>
    <row r="278" spans="1:11" ht="16.7" customHeight="1" x14ac:dyDescent="0.2">
      <c r="A278" s="2749">
        <f t="shared" si="12"/>
        <v>6.2600000000000691</v>
      </c>
      <c r="B278" s="2512" t="s">
        <v>8825</v>
      </c>
      <c r="C278" s="2530">
        <v>0</v>
      </c>
      <c r="D278" s="2530">
        <v>127615</v>
      </c>
      <c r="E278" s="2750">
        <v>0</v>
      </c>
      <c r="F278" s="2530">
        <v>0</v>
      </c>
      <c r="G278" s="2887">
        <v>0</v>
      </c>
      <c r="H278" s="2479" t="str">
        <f t="shared" si="11"/>
        <v xml:space="preserve">WYOMING - 05LNX00109-REF/NREF ADV +  -B             </v>
      </c>
      <c r="J278" s="2501"/>
      <c r="K278" s="2886"/>
    </row>
    <row r="279" spans="1:11" ht="16.7" customHeight="1" x14ac:dyDescent="0.2">
      <c r="A279" s="2749">
        <f t="shared" si="12"/>
        <v>6.2610000000000694</v>
      </c>
      <c r="B279" s="2512" t="s">
        <v>8826</v>
      </c>
      <c r="C279" s="2530">
        <v>0</v>
      </c>
      <c r="D279" s="2530">
        <v>8809</v>
      </c>
      <c r="E279" s="2750">
        <v>0</v>
      </c>
      <c r="F279" s="2530">
        <v>0</v>
      </c>
      <c r="G279" s="2887">
        <v>0</v>
      </c>
      <c r="H279" s="2479" t="str">
        <f t="shared" si="11"/>
        <v xml:space="preserve">WYOMING - 05LNX00110-REF/NREF ADV + -B               </v>
      </c>
      <c r="J279" s="2501"/>
      <c r="K279" s="2886"/>
    </row>
    <row r="280" spans="1:11" ht="16.7" customHeight="1" x14ac:dyDescent="0.2">
      <c r="A280" s="2749">
        <f t="shared" si="12"/>
        <v>6.2620000000000697</v>
      </c>
      <c r="B280" s="2512" t="s">
        <v>8827</v>
      </c>
      <c r="C280" s="2530">
        <v>252</v>
      </c>
      <c r="D280" s="2530">
        <v>21906</v>
      </c>
      <c r="E280" s="2750">
        <v>7</v>
      </c>
      <c r="F280" s="2530">
        <v>36000</v>
      </c>
      <c r="G280" s="2887">
        <v>8.6900000000000005E-2</v>
      </c>
      <c r="H280" s="2479" t="str">
        <f t="shared" si="11"/>
        <v>WYOMING - 05NMT25135 - WY NET MTR, GEN, &lt; 25 KW -B</v>
      </c>
      <c r="J280" s="2501"/>
      <c r="K280" s="2886"/>
    </row>
    <row r="281" spans="1:11" ht="16.7" customHeight="1" x14ac:dyDescent="0.2">
      <c r="A281" s="2749">
        <f t="shared" si="12"/>
        <v>6.2630000000000701</v>
      </c>
      <c r="B281" s="2512" t="s">
        <v>8828</v>
      </c>
      <c r="C281" s="2530">
        <v>418</v>
      </c>
      <c r="D281" s="2530">
        <v>34857</v>
      </c>
      <c r="E281" s="2750">
        <v>2</v>
      </c>
      <c r="F281" s="2530">
        <v>209000</v>
      </c>
      <c r="G281" s="2887">
        <v>8.3400000000000002E-2</v>
      </c>
      <c r="H281" s="2479" t="str">
        <f t="shared" si="11"/>
        <v>WYOMING - 05NMT28135-NET MTR SMALL GEN SVC &gt; 15 KW -B</v>
      </c>
      <c r="J281" s="2501"/>
      <c r="K281" s="2886"/>
    </row>
    <row r="282" spans="1:11" ht="16.7" customHeight="1" x14ac:dyDescent="0.2">
      <c r="A282" s="2749">
        <f t="shared" si="12"/>
        <v>6.2640000000000704</v>
      </c>
      <c r="B282" s="2512" t="s">
        <v>8829</v>
      </c>
      <c r="C282" s="2530">
        <v>256</v>
      </c>
      <c r="D282" s="2530">
        <v>27758</v>
      </c>
      <c r="E282" s="2750">
        <v>140</v>
      </c>
      <c r="F282" s="2530">
        <v>1829</v>
      </c>
      <c r="G282" s="2887">
        <v>0.1084</v>
      </c>
      <c r="H282" s="2479" t="str">
        <f t="shared" si="11"/>
        <v xml:space="preserve">WYOMING - 05OALT015N-OUTD AR LGT SR -B               </v>
      </c>
      <c r="J282" s="2501"/>
      <c r="K282" s="2886"/>
    </row>
    <row r="283" spans="1:11" ht="16.7" customHeight="1" x14ac:dyDescent="0.2">
      <c r="A283" s="2749">
        <f t="shared" si="12"/>
        <v>6.2650000000000707</v>
      </c>
      <c r="B283" s="2512" t="s">
        <v>8830</v>
      </c>
      <c r="C283" s="2530">
        <v>225</v>
      </c>
      <c r="D283" s="2888">
        <f>11021-0.6</f>
        <v>11020.4</v>
      </c>
      <c r="E283" s="2750">
        <v>14</v>
      </c>
      <c r="F283" s="2530">
        <v>16071</v>
      </c>
      <c r="G283" s="2887">
        <v>4.9000000000000002E-2</v>
      </c>
      <c r="H283" s="2479" t="str">
        <f t="shared" si="11"/>
        <v xml:space="preserve">WYOMING - 05RCFL0054-WY REC FIELD L -B              </v>
      </c>
      <c r="J283" s="2501"/>
      <c r="K283" s="2886"/>
    </row>
    <row r="284" spans="1:11" ht="16.7" customHeight="1" x14ac:dyDescent="0.2">
      <c r="A284" s="2749">
        <f t="shared" si="12"/>
        <v>6.2660000000000711</v>
      </c>
      <c r="B284" s="2512" t="s">
        <v>8831</v>
      </c>
      <c r="C284" s="2530">
        <v>0</v>
      </c>
      <c r="D284" s="2530">
        <v>3404</v>
      </c>
      <c r="E284" s="2750">
        <v>0</v>
      </c>
      <c r="F284" s="2530">
        <v>0</v>
      </c>
      <c r="G284" s="2887">
        <v>0</v>
      </c>
      <c r="H284" s="2479" t="str">
        <f t="shared" si="11"/>
        <v>WYOMING - 05LNX00311 - LINE EXT 80% GUARANTEE -B</v>
      </c>
      <c r="J284" s="2501"/>
      <c r="K284" s="2886"/>
    </row>
    <row r="285" spans="1:11" ht="16.7" customHeight="1" x14ac:dyDescent="0.2">
      <c r="A285" s="2749">
        <f t="shared" si="12"/>
        <v>6.2670000000000714</v>
      </c>
      <c r="B285" s="2512" t="s">
        <v>8832</v>
      </c>
      <c r="C285" s="2530">
        <v>0</v>
      </c>
      <c r="D285" s="2530">
        <v>195572</v>
      </c>
      <c r="E285" s="2750">
        <v>0</v>
      </c>
      <c r="F285" s="2530">
        <v>0</v>
      </c>
      <c r="G285" s="2887">
        <v>0</v>
      </c>
      <c r="H285" s="2479" t="str">
        <f t="shared" si="11"/>
        <v>WYOMING - DSM REVENUE-SMALL COMMERCIAL -B</v>
      </c>
      <c r="J285" s="2501"/>
      <c r="K285" s="2886"/>
    </row>
    <row r="286" spans="1:11" ht="16.7" customHeight="1" x14ac:dyDescent="0.2">
      <c r="A286" s="2749">
        <f t="shared" si="12"/>
        <v>6.2680000000000717</v>
      </c>
      <c r="B286" s="2512" t="s">
        <v>8833</v>
      </c>
      <c r="C286" s="2530">
        <v>0</v>
      </c>
      <c r="D286" s="2530">
        <v>753</v>
      </c>
      <c r="E286" s="2750">
        <v>0</v>
      </c>
      <c r="F286" s="2530">
        <v>0</v>
      </c>
      <c r="G286" s="2887">
        <v>0</v>
      </c>
      <c r="H286" s="2479" t="str">
        <f t="shared" si="11"/>
        <v>WYOMING - BLUE SKY REVENUE-COMMERCIAL -B</v>
      </c>
      <c r="J286" s="2501"/>
      <c r="K286" s="2886"/>
    </row>
    <row r="287" spans="1:11" ht="16.7" customHeight="1" x14ac:dyDescent="0.2">
      <c r="A287" s="2749">
        <f t="shared" si="12"/>
        <v>6.2690000000000721</v>
      </c>
      <c r="B287" s="2512"/>
      <c r="C287" s="2488"/>
      <c r="D287" s="2488"/>
      <c r="E287" s="2488"/>
      <c r="F287" s="2488"/>
      <c r="G287" s="2488"/>
      <c r="H287" s="2595">
        <f t="shared" si="11"/>
        <v>0</v>
      </c>
      <c r="J287" s="2501"/>
      <c r="K287" s="2886"/>
    </row>
    <row r="288" spans="1:11" ht="16.7" customHeight="1" x14ac:dyDescent="0.2">
      <c r="A288" s="2489"/>
      <c r="B288" s="2512"/>
      <c r="C288" s="2488"/>
      <c r="D288" s="2488"/>
      <c r="E288" s="2488"/>
      <c r="F288" s="2488"/>
      <c r="G288" s="2488"/>
      <c r="H288" s="2479"/>
      <c r="J288" s="2501"/>
      <c r="K288" s="2886"/>
    </row>
    <row r="289" spans="1:11" ht="16.7" customHeight="1" x14ac:dyDescent="0.2">
      <c r="A289" s="2749">
        <f>A287+0.001</f>
        <v>6.2700000000000724</v>
      </c>
      <c r="B289" s="2512" t="s">
        <v>8562</v>
      </c>
      <c r="C289" s="2488"/>
      <c r="D289" s="2488"/>
      <c r="E289" s="2530">
        <v>-22735</v>
      </c>
      <c r="F289" s="2488"/>
      <c r="G289" s="2488"/>
      <c r="H289" s="2479" t="str">
        <f>B289</f>
        <v>LESS MULTIPLE BILLINGS</v>
      </c>
      <c r="J289" s="2501"/>
      <c r="K289" s="2886"/>
    </row>
    <row r="290" spans="1:11" ht="16.7" customHeight="1" x14ac:dyDescent="0.2">
      <c r="A290" s="2749">
        <f>A289+0.001</f>
        <v>6.2710000000000727</v>
      </c>
      <c r="B290" s="2512"/>
      <c r="C290" s="2488"/>
      <c r="D290" s="2488"/>
      <c r="E290" s="2488"/>
      <c r="F290" s="2488"/>
      <c r="G290" s="2488"/>
      <c r="H290" s="2595">
        <f>B290</f>
        <v>0</v>
      </c>
      <c r="J290" s="2501"/>
      <c r="K290" s="2886"/>
    </row>
    <row r="291" spans="1:11" ht="16.7" customHeight="1" x14ac:dyDescent="0.2">
      <c r="A291" s="2497">
        <v>8</v>
      </c>
      <c r="B291" s="2669" t="s">
        <v>8834</v>
      </c>
      <c r="C291" s="2736">
        <f>SUM(C9:C289)</f>
        <v>20408208</v>
      </c>
      <c r="D291" s="2736">
        <f>SUM(D9:D289)</f>
        <v>1857360495.0000002</v>
      </c>
      <c r="E291" s="2736">
        <f>SUM(E9:E289)</f>
        <v>226900</v>
      </c>
      <c r="F291" s="2736">
        <v>90311</v>
      </c>
      <c r="G291" s="2889">
        <v>9.06E-2</v>
      </c>
      <c r="H291" s="2479"/>
      <c r="J291" s="2501" t="s">
        <v>8835</v>
      </c>
      <c r="K291" s="2886" t="str">
        <f>"+SUM('"&amp;J291&amp;"'!$F$10:$F$50)"</f>
        <v>+SUM('304.8 - Sales of Electricity by Rate Schedules'!$F$10:$F$50)</v>
      </c>
    </row>
    <row r="292" spans="1:11" ht="16.7" customHeight="1" x14ac:dyDescent="0.2">
      <c r="A292" s="2489"/>
      <c r="B292" s="2669" t="s">
        <v>8565</v>
      </c>
      <c r="C292" s="2488"/>
      <c r="D292" s="2488"/>
      <c r="E292" s="2488"/>
      <c r="F292" s="2488"/>
      <c r="G292" s="2488"/>
      <c r="H292" s="2479" t="str">
        <f t="shared" ref="H292:H310" si="13">B292</f>
        <v>CALIFORNIA</v>
      </c>
      <c r="J292" s="2501"/>
      <c r="K292" s="2886"/>
    </row>
    <row r="293" spans="1:11" ht="16.7" customHeight="1" x14ac:dyDescent="0.2">
      <c r="A293" s="2489"/>
      <c r="B293" s="2512" t="s">
        <v>8566</v>
      </c>
      <c r="C293" s="2530">
        <v>-5377</v>
      </c>
      <c r="D293" s="2530">
        <v>-744000</v>
      </c>
      <c r="E293" s="2530">
        <v>0</v>
      </c>
      <c r="F293" s="2530">
        <v>0</v>
      </c>
      <c r="G293" s="2887">
        <v>0.1384</v>
      </c>
      <c r="H293" s="2479" t="str">
        <f t="shared" si="13"/>
        <v xml:space="preserve">CALIFORNIA - UNBILLED REVENUE                        </v>
      </c>
      <c r="J293" s="2501"/>
      <c r="K293" s="2886"/>
    </row>
    <row r="294" spans="1:11" ht="16.7" customHeight="1" x14ac:dyDescent="0.2">
      <c r="A294" s="2489"/>
      <c r="B294" s="2512"/>
      <c r="C294" s="2488"/>
      <c r="D294" s="2488"/>
      <c r="E294" s="2488"/>
      <c r="F294" s="2488"/>
      <c r="G294" s="2488"/>
      <c r="H294" s="2595">
        <f t="shared" si="13"/>
        <v>0</v>
      </c>
      <c r="J294" s="2501"/>
      <c r="K294" s="2886"/>
    </row>
    <row r="295" spans="1:11" ht="16.7" customHeight="1" x14ac:dyDescent="0.2">
      <c r="A295" s="2489"/>
      <c r="B295" s="2669" t="s">
        <v>8389</v>
      </c>
      <c r="C295" s="2488"/>
      <c r="D295" s="2488"/>
      <c r="E295" s="2488"/>
      <c r="F295" s="2488"/>
      <c r="G295" s="2488"/>
      <c r="H295" s="2479" t="str">
        <f t="shared" si="13"/>
        <v>IDAHO</v>
      </c>
      <c r="J295" s="2501"/>
      <c r="K295" s="2886"/>
    </row>
    <row r="296" spans="1:11" ht="16.7" customHeight="1" x14ac:dyDescent="0.2">
      <c r="A296" s="2489"/>
      <c r="B296" s="2512" t="s">
        <v>8567</v>
      </c>
      <c r="C296" s="2530">
        <v>-3713</v>
      </c>
      <c r="D296" s="2530">
        <v>-272000</v>
      </c>
      <c r="E296" s="2530">
        <v>0</v>
      </c>
      <c r="F296" s="2530">
        <v>0</v>
      </c>
      <c r="G296" s="2887">
        <v>7.3300000000000004E-2</v>
      </c>
      <c r="H296" s="2479" t="str">
        <f t="shared" si="13"/>
        <v xml:space="preserve">IDAHO - UNBILLED REVENUE                        </v>
      </c>
      <c r="J296" s="2501"/>
      <c r="K296" s="2886"/>
    </row>
    <row r="297" spans="1:11" ht="16.7" customHeight="1" x14ac:dyDescent="0.2">
      <c r="A297" s="2489"/>
      <c r="B297" s="2512"/>
      <c r="C297" s="2488"/>
      <c r="D297" s="2488"/>
      <c r="E297" s="2488"/>
      <c r="F297" s="2488"/>
      <c r="G297" s="2488"/>
      <c r="H297" s="2595">
        <f t="shared" si="13"/>
        <v>0</v>
      </c>
      <c r="J297" s="2501"/>
      <c r="K297" s="2886"/>
    </row>
    <row r="298" spans="1:11" ht="16.7" customHeight="1" x14ac:dyDescent="0.2">
      <c r="A298" s="2489"/>
      <c r="B298" s="2669" t="s">
        <v>8407</v>
      </c>
      <c r="C298" s="2488"/>
      <c r="D298" s="2488"/>
      <c r="E298" s="2488"/>
      <c r="F298" s="2488"/>
      <c r="G298" s="2488"/>
      <c r="H298" s="2479" t="str">
        <f t="shared" si="13"/>
        <v>OREGON</v>
      </c>
      <c r="J298" s="2501"/>
      <c r="K298" s="2886"/>
    </row>
    <row r="299" spans="1:11" ht="16.7" customHeight="1" x14ac:dyDescent="0.2">
      <c r="A299" s="2489"/>
      <c r="B299" s="2512" t="s">
        <v>8568</v>
      </c>
      <c r="C299" s="2530">
        <v>51170</v>
      </c>
      <c r="D299" s="2530">
        <v>10309000</v>
      </c>
      <c r="E299" s="2530">
        <v>0</v>
      </c>
      <c r="F299" s="2530">
        <v>0</v>
      </c>
      <c r="G299" s="2887">
        <v>0.20150000000000001</v>
      </c>
      <c r="H299" s="2479" t="str">
        <f t="shared" si="13"/>
        <v xml:space="preserve">OREGON - UNBILLED REVENUE                        </v>
      </c>
      <c r="J299" s="2501"/>
      <c r="K299" s="2886"/>
    </row>
    <row r="300" spans="1:11" ht="16.7" customHeight="1" x14ac:dyDescent="0.2">
      <c r="A300" s="2489"/>
      <c r="B300" s="2512"/>
      <c r="C300" s="2488"/>
      <c r="D300" s="2488"/>
      <c r="E300" s="2488"/>
      <c r="F300" s="2488"/>
      <c r="G300" s="2488"/>
      <c r="H300" s="2595">
        <f t="shared" si="13"/>
        <v>0</v>
      </c>
      <c r="J300" s="2501"/>
      <c r="K300" s="2886"/>
    </row>
    <row r="301" spans="1:11" ht="16.7" customHeight="1" x14ac:dyDescent="0.2">
      <c r="A301" s="2489"/>
      <c r="B301" s="2669" t="s">
        <v>8450</v>
      </c>
      <c r="C301" s="2488"/>
      <c r="D301" s="2488"/>
      <c r="E301" s="2488"/>
      <c r="F301" s="2488"/>
      <c r="G301" s="2488"/>
      <c r="H301" s="2479" t="str">
        <f t="shared" si="13"/>
        <v>UTAH</v>
      </c>
      <c r="J301" s="2501"/>
      <c r="K301" s="2886"/>
    </row>
    <row r="302" spans="1:11" ht="16.7" customHeight="1" x14ac:dyDescent="0.2">
      <c r="A302" s="2489"/>
      <c r="B302" s="2512" t="s">
        <v>8569</v>
      </c>
      <c r="C302" s="2530">
        <v>73793</v>
      </c>
      <c r="D302" s="2530">
        <v>5900000</v>
      </c>
      <c r="E302" s="2530">
        <v>0</v>
      </c>
      <c r="F302" s="2530">
        <v>0</v>
      </c>
      <c r="G302" s="2887">
        <v>0.08</v>
      </c>
      <c r="H302" s="2479" t="str">
        <f t="shared" si="13"/>
        <v xml:space="preserve">UTAH - UNBILLED REVENUE                        </v>
      </c>
      <c r="J302" s="2501"/>
      <c r="K302" s="2886"/>
    </row>
    <row r="303" spans="1:11" ht="16.7" customHeight="1" x14ac:dyDescent="0.2">
      <c r="A303" s="2489"/>
      <c r="B303" s="2512"/>
      <c r="C303" s="2488"/>
      <c r="D303" s="2488"/>
      <c r="E303" s="2488"/>
      <c r="F303" s="2488"/>
      <c r="G303" s="2488"/>
      <c r="H303" s="2595">
        <f t="shared" si="13"/>
        <v>0</v>
      </c>
      <c r="J303" s="2501"/>
      <c r="K303" s="2886"/>
    </row>
    <row r="304" spans="1:11" ht="16.7" customHeight="1" x14ac:dyDescent="0.2">
      <c r="A304" s="2489"/>
      <c r="B304" s="2669" t="s">
        <v>8509</v>
      </c>
      <c r="C304" s="2488"/>
      <c r="D304" s="2488"/>
      <c r="E304" s="2488"/>
      <c r="F304" s="2488"/>
      <c r="G304" s="2488"/>
      <c r="H304" s="2479" t="str">
        <f t="shared" si="13"/>
        <v>WASHINGTON</v>
      </c>
      <c r="J304" s="2501"/>
      <c r="K304" s="2886"/>
    </row>
    <row r="305" spans="1:11" ht="16.7" customHeight="1" x14ac:dyDescent="0.2">
      <c r="A305" s="2489"/>
      <c r="B305" s="2512" t="s">
        <v>8570</v>
      </c>
      <c r="C305" s="2530">
        <v>-33491</v>
      </c>
      <c r="D305" s="2530">
        <v>-1854000</v>
      </c>
      <c r="E305" s="2530">
        <v>0</v>
      </c>
      <c r="F305" s="2530">
        <v>0</v>
      </c>
      <c r="G305" s="2887">
        <v>5.5399999999999998E-2</v>
      </c>
      <c r="H305" s="2479" t="str">
        <f t="shared" si="13"/>
        <v xml:space="preserve">WASHINGTON - UNBILLED REVENUE                        </v>
      </c>
      <c r="J305" s="2501"/>
      <c r="K305" s="2886"/>
    </row>
    <row r="306" spans="1:11" ht="16.7" customHeight="1" x14ac:dyDescent="0.2">
      <c r="A306" s="2489"/>
      <c r="B306" s="2512"/>
      <c r="C306" s="2488"/>
      <c r="D306" s="2488"/>
      <c r="E306" s="2488"/>
      <c r="F306" s="2488"/>
      <c r="G306" s="2488"/>
      <c r="H306" s="2595">
        <f t="shared" si="13"/>
        <v>0</v>
      </c>
      <c r="J306" s="2501"/>
      <c r="K306" s="2886"/>
    </row>
    <row r="307" spans="1:11" ht="16.7" customHeight="1" x14ac:dyDescent="0.2">
      <c r="A307" s="2489"/>
      <c r="B307" s="2669" t="s">
        <v>8534</v>
      </c>
      <c r="C307" s="2488"/>
      <c r="D307" s="2488"/>
      <c r="E307" s="2488"/>
      <c r="F307" s="2488"/>
      <c r="G307" s="2488"/>
      <c r="H307" s="2479" t="str">
        <f t="shared" si="13"/>
        <v>WYOMING</v>
      </c>
      <c r="J307" s="2501"/>
      <c r="K307" s="2886"/>
    </row>
    <row r="308" spans="1:11" ht="16.7" customHeight="1" x14ac:dyDescent="0.2">
      <c r="A308" s="2489"/>
      <c r="B308" s="2512" t="s">
        <v>8836</v>
      </c>
      <c r="C308" s="2530">
        <v>1106</v>
      </c>
      <c r="D308" s="2530">
        <v>198000</v>
      </c>
      <c r="E308" s="2530">
        <v>0</v>
      </c>
      <c r="F308" s="2530">
        <v>0</v>
      </c>
      <c r="G308" s="2887">
        <v>0.17899999999999999</v>
      </c>
      <c r="H308" s="2479" t="str">
        <f t="shared" si="13"/>
        <v xml:space="preserve">WYOMING - UNBILLED REVENUE - A                      </v>
      </c>
      <c r="J308" s="2501"/>
      <c r="K308" s="2886"/>
    </row>
    <row r="309" spans="1:11" ht="16.7" customHeight="1" x14ac:dyDescent="0.2">
      <c r="A309" s="2489"/>
      <c r="B309" s="2512" t="s">
        <v>8572</v>
      </c>
      <c r="C309" s="2530">
        <v>-216</v>
      </c>
      <c r="D309" s="2530">
        <v>-12000</v>
      </c>
      <c r="E309" s="2530">
        <v>0</v>
      </c>
      <c r="F309" s="2530">
        <v>0</v>
      </c>
      <c r="G309" s="2887">
        <v>5.5599999999999997E-2</v>
      </c>
      <c r="H309" s="2479" t="str">
        <f t="shared" si="13"/>
        <v xml:space="preserve">WYOMING - UNBILLED REVENUE - B                        </v>
      </c>
      <c r="J309" s="2501"/>
      <c r="K309" s="2886"/>
    </row>
    <row r="310" spans="1:11" ht="16.7" customHeight="1" x14ac:dyDescent="0.2">
      <c r="A310" s="2581"/>
      <c r="B310" s="2512"/>
      <c r="C310" s="2488"/>
      <c r="D310" s="2488"/>
      <c r="E310" s="2488"/>
      <c r="F310" s="2488"/>
      <c r="G310" s="2488"/>
      <c r="H310" s="2595">
        <f t="shared" si="13"/>
        <v>0</v>
      </c>
      <c r="J310" s="2501"/>
      <c r="K310" s="2886"/>
    </row>
    <row r="311" spans="1:11" ht="16.7" customHeight="1" x14ac:dyDescent="0.2">
      <c r="A311" s="2912">
        <v>9</v>
      </c>
      <c r="B311" s="2669" t="s">
        <v>8837</v>
      </c>
      <c r="C311" s="2736">
        <f>SUM(C293:C309)</f>
        <v>83272</v>
      </c>
      <c r="D311" s="2736">
        <f>SUM(D293:D309)</f>
        <v>13525000</v>
      </c>
      <c r="E311" s="2736">
        <f>SUM(E293:E309)</f>
        <v>0</v>
      </c>
      <c r="F311" s="2736">
        <v>0</v>
      </c>
      <c r="G311" s="2889">
        <v>6.9999999999999999E-4</v>
      </c>
      <c r="H311" s="2479"/>
      <c r="J311" s="2501" t="s">
        <v>8838</v>
      </c>
      <c r="K311" s="2886" t="str">
        <f>"+SUM('"&amp;J311&amp;"'!$F$10:$F$50)"</f>
        <v>+SUM('304.9 - Sales of Electricity by Rate Schedules'!$F$10:$F$50)</v>
      </c>
    </row>
    <row r="312" spans="1:11" ht="16.7" customHeight="1" x14ac:dyDescent="0.2">
      <c r="A312" s="2497">
        <v>10</v>
      </c>
      <c r="B312" s="2669" t="s">
        <v>8839</v>
      </c>
      <c r="C312" s="2736">
        <f>C291+C311</f>
        <v>20491480</v>
      </c>
      <c r="D312" s="2736">
        <f>D291+D311</f>
        <v>1870885495.0000002</v>
      </c>
      <c r="E312" s="2736">
        <f>E291+E311</f>
        <v>226900</v>
      </c>
      <c r="F312" s="2736">
        <f>F291+F311</f>
        <v>90311</v>
      </c>
      <c r="G312" s="2892">
        <f>G291+G311</f>
        <v>9.1300000000000006E-2</v>
      </c>
      <c r="H312" s="2479"/>
      <c r="J312" s="2501" t="s">
        <v>8840</v>
      </c>
      <c r="K312" s="2886" t="str">
        <f>"+SUM('"&amp;J312&amp;"'!$F$10:$F$50)"</f>
        <v>+SUM('304.10 - Sales of Electricity by Rate Schedules'!$F$10:$F$50)</v>
      </c>
    </row>
    <row r="313" spans="1:11" ht="16.7" customHeight="1" x14ac:dyDescent="0.2">
      <c r="A313" s="2489"/>
      <c r="B313" s="2512"/>
      <c r="C313" s="2488"/>
      <c r="D313" s="2488"/>
      <c r="E313" s="2488"/>
      <c r="F313" s="2488"/>
      <c r="G313" s="2488"/>
      <c r="H313" s="2479"/>
    </row>
    <row r="314" spans="1:11" ht="16.7" customHeight="1" x14ac:dyDescent="0.2">
      <c r="A314" s="2489"/>
      <c r="B314" s="4044" t="s">
        <v>8577</v>
      </c>
      <c r="C314" s="4045"/>
      <c r="D314" s="4045"/>
      <c r="E314" s="4045"/>
      <c r="F314" s="4045"/>
      <c r="G314" s="4046"/>
      <c r="H314" s="2479"/>
    </row>
    <row r="315" spans="1:11" ht="16.7" customHeight="1" x14ac:dyDescent="0.2">
      <c r="A315" s="2497">
        <v>46</v>
      </c>
      <c r="B315" s="2669" t="s">
        <v>8578</v>
      </c>
      <c r="C315" s="2672">
        <v>56914738</v>
      </c>
      <c r="D315" s="2672">
        <v>5460376851</v>
      </c>
      <c r="E315" s="2672">
        <v>2069044</v>
      </c>
      <c r="F315" s="2668"/>
      <c r="G315" s="2668"/>
      <c r="H315" s="2479"/>
    </row>
    <row r="316" spans="1:11" ht="16.7" customHeight="1" x14ac:dyDescent="0.2">
      <c r="A316" s="2497">
        <v>47</v>
      </c>
      <c r="B316" s="2669" t="s">
        <v>8579</v>
      </c>
      <c r="C316" s="2672">
        <v>-218410</v>
      </c>
      <c r="D316" s="2672">
        <v>-5522000</v>
      </c>
      <c r="E316" s="2672">
        <v>0</v>
      </c>
      <c r="F316" s="2668"/>
      <c r="G316" s="2668"/>
      <c r="H316" s="2479"/>
    </row>
    <row r="317" spans="1:11" ht="16.7" customHeight="1" x14ac:dyDescent="0.2">
      <c r="A317" s="2497">
        <v>48</v>
      </c>
      <c r="B317" s="2669" t="s">
        <v>197</v>
      </c>
      <c r="C317" s="2736">
        <v>56696328</v>
      </c>
      <c r="D317" s="2736">
        <v>5454854851</v>
      </c>
      <c r="E317" s="2736">
        <v>2069044</v>
      </c>
      <c r="F317" s="2736">
        <v>28098</v>
      </c>
      <c r="G317" s="2889">
        <v>9.0700000000000003E-2</v>
      </c>
      <c r="H317" s="2479"/>
    </row>
    <row r="318" spans="1:11" ht="16.7" customHeight="1" x14ac:dyDescent="0.2">
      <c r="A318" s="2535"/>
      <c r="B318" s="2516"/>
      <c r="C318" s="2516"/>
      <c r="D318" s="2516"/>
      <c r="E318" s="2516"/>
      <c r="F318" s="2516"/>
      <c r="G318" s="2516"/>
    </row>
    <row r="319" spans="1:11" ht="16.7" customHeight="1" x14ac:dyDescent="0.2"/>
    <row r="320" spans="1:11" ht="16.7" customHeight="1" x14ac:dyDescent="0.2">
      <c r="B320" s="3206" t="s">
        <v>5459</v>
      </c>
      <c r="C320" s="4040" t="s">
        <v>11938</v>
      </c>
      <c r="D320" s="4041"/>
    </row>
    <row r="321" spans="2:4" ht="16.7" customHeight="1" x14ac:dyDescent="0.25">
      <c r="B321" s="3207" t="s">
        <v>11929</v>
      </c>
      <c r="C321" s="3208" t="s">
        <v>11930</v>
      </c>
      <c r="D321" s="3209" t="s">
        <v>11931</v>
      </c>
    </row>
    <row r="322" spans="2:4" ht="16.7" customHeight="1" x14ac:dyDescent="0.2">
      <c r="B322" s="3207" t="s">
        <v>8565</v>
      </c>
      <c r="C322" s="3210">
        <f>SUMIF($B$8:$B$317,"CALIFORNIA*",C$8:C$317)</f>
        <v>235049</v>
      </c>
      <c r="D322" s="3211">
        <f>SUMIF($B$8:$B$317,"CALIFORNIA*",D$8:D$317)</f>
        <v>33070325</v>
      </c>
    </row>
    <row r="323" spans="2:4" ht="16.7" customHeight="1" x14ac:dyDescent="0.2">
      <c r="B323" s="3207" t="s">
        <v>8389</v>
      </c>
      <c r="C323" s="3210">
        <f>SUMIF($B$8:$B$317,"IDAHO*",C$8:C$317)</f>
        <v>553193</v>
      </c>
      <c r="D323" s="3211">
        <f>SUMIF($B$8:$B$317,"IDAHO*",D$8:D$317)</f>
        <v>53041095</v>
      </c>
    </row>
    <row r="324" spans="2:4" ht="16.7" customHeight="1" x14ac:dyDescent="0.2">
      <c r="B324" s="3207" t="s">
        <v>8407</v>
      </c>
      <c r="C324" s="3210">
        <f>SUMIF($B$8:$B$317,"OREGON*",C$8:C$317)</f>
        <v>6211929</v>
      </c>
      <c r="D324" s="3211">
        <f>SUMIF($B$8:$B$317,"OREGON*",D$8:D$317)</f>
        <v>618081343.86000001</v>
      </c>
    </row>
    <row r="325" spans="2:4" ht="16.7" customHeight="1" x14ac:dyDescent="0.2">
      <c r="B325" s="3207" t="s">
        <v>8450</v>
      </c>
      <c r="C325" s="3210">
        <f>SUMIF($B$8:$B$317,"UTAH*",C$8:C$317)</f>
        <v>10535996</v>
      </c>
      <c r="D325" s="3211">
        <f>SUMIF($B$8:$B$317,"UTAH*",D$8:D$317)</f>
        <v>896587725</v>
      </c>
    </row>
    <row r="326" spans="2:4" ht="16.7" customHeight="1" x14ac:dyDescent="0.2">
      <c r="B326" s="3207" t="s">
        <v>8509</v>
      </c>
      <c r="C326" s="3210">
        <f>SUMIF($B$8:$B$317,"WASHINGTON*",C$8:C$317)</f>
        <v>1506156</v>
      </c>
      <c r="D326" s="3211">
        <f>SUMIF($B$8:$B$317,"WASHINGTON*",D$8:D$317)</f>
        <v>139160781.74000001</v>
      </c>
    </row>
    <row r="327" spans="2:4" ht="16.7" customHeight="1" x14ac:dyDescent="0.2">
      <c r="B327" s="3207" t="s">
        <v>8534</v>
      </c>
      <c r="C327" s="3212">
        <f>SUMIF($B$8:$B$317,"WYOMING*",C$8:C$317)</f>
        <v>1449157</v>
      </c>
      <c r="D327" s="3213">
        <f>SUMIF($B$8:$B$317,"WYOMING*",D$8:D$317)</f>
        <v>130944224.40000001</v>
      </c>
    </row>
    <row r="328" spans="2:4" ht="16.7" customHeight="1" x14ac:dyDescent="0.2">
      <c r="B328" s="3207" t="s">
        <v>11934</v>
      </c>
      <c r="C328" s="3210">
        <f>SUM(C322:C327)</f>
        <v>20491480</v>
      </c>
      <c r="D328" s="3211">
        <f>SUM(D322:D327)</f>
        <v>1870885495.0000002</v>
      </c>
    </row>
    <row r="329" spans="2:4" ht="16.7" customHeight="1" x14ac:dyDescent="0.2">
      <c r="B329" s="3214" t="s">
        <v>11925</v>
      </c>
      <c r="C329" s="3215">
        <f>C328-C312</f>
        <v>0</v>
      </c>
      <c r="D329" s="3216">
        <f>D328-D312</f>
        <v>0</v>
      </c>
    </row>
    <row r="330" spans="2:4" ht="16.7" customHeight="1" x14ac:dyDescent="0.2">
      <c r="B330" s="3217" t="s">
        <v>5459</v>
      </c>
      <c r="C330" s="3217" t="s">
        <v>5459</v>
      </c>
      <c r="D330" s="3218" t="s">
        <v>5459</v>
      </c>
    </row>
    <row r="331" spans="2:4" ht="16.7" customHeight="1" x14ac:dyDescent="0.2">
      <c r="B331" s="3214" t="s">
        <v>5459</v>
      </c>
      <c r="C331" s="3207" t="s">
        <v>11928</v>
      </c>
      <c r="D331" s="3219" t="s">
        <v>5459</v>
      </c>
    </row>
    <row r="332" spans="2:4" ht="16.7" customHeight="1" x14ac:dyDescent="0.25">
      <c r="B332" s="3207" t="s">
        <v>11929</v>
      </c>
      <c r="C332" s="3208" t="s">
        <v>11930</v>
      </c>
      <c r="D332" s="3209" t="s">
        <v>11931</v>
      </c>
    </row>
    <row r="333" spans="2:4" ht="16.7" customHeight="1" x14ac:dyDescent="0.2">
      <c r="B333" s="3207" t="s">
        <v>8407</v>
      </c>
      <c r="C333" s="3210">
        <f>C324</f>
        <v>6211929</v>
      </c>
      <c r="D333" s="3211">
        <f>D324</f>
        <v>618081343.86000001</v>
      </c>
    </row>
    <row r="334" spans="2:4" ht="16.7" customHeight="1" x14ac:dyDescent="0.2">
      <c r="B334" s="3207" t="s">
        <v>8509</v>
      </c>
      <c r="C334" s="3210">
        <f>C326</f>
        <v>1506156</v>
      </c>
      <c r="D334" s="3211">
        <f>D326</f>
        <v>139160781.74000001</v>
      </c>
    </row>
    <row r="335" spans="2:4" ht="16.7" customHeight="1" x14ac:dyDescent="0.2">
      <c r="B335" s="3207" t="s">
        <v>8389</v>
      </c>
      <c r="C335" s="3212">
        <f>C323</f>
        <v>553193</v>
      </c>
      <c r="D335" s="3213">
        <f>D323</f>
        <v>53041095</v>
      </c>
    </row>
    <row r="336" spans="2:4" ht="16.7" customHeight="1" x14ac:dyDescent="0.2">
      <c r="B336" s="3207" t="s">
        <v>11936</v>
      </c>
      <c r="C336" s="3210">
        <f>SUM(C333:C335)</f>
        <v>8271278</v>
      </c>
      <c r="D336" s="3211">
        <f>SUM(D333:D335)</f>
        <v>810283220.60000002</v>
      </c>
    </row>
    <row r="337" spans="2:4" ht="16.7" customHeight="1" x14ac:dyDescent="0.2">
      <c r="B337" s="3217" t="s">
        <v>5459</v>
      </c>
      <c r="C337" s="3217" t="s">
        <v>5459</v>
      </c>
      <c r="D337" s="3218" t="s">
        <v>5459</v>
      </c>
    </row>
    <row r="338" spans="2:4" ht="16.7" customHeight="1" x14ac:dyDescent="0.2"/>
    <row r="339" spans="2:4" ht="16.7" customHeight="1" x14ac:dyDescent="0.2"/>
    <row r="340" spans="2:4" ht="16.7" customHeight="1" x14ac:dyDescent="0.2"/>
    <row r="341" spans="2:4" ht="16.7" customHeight="1" x14ac:dyDescent="0.2"/>
    <row r="342" spans="2:4" ht="16.7" customHeight="1" x14ac:dyDescent="0.2"/>
    <row r="343" spans="2:4" ht="16.7" customHeight="1" x14ac:dyDescent="0.2"/>
    <row r="344" spans="2:4" ht="16.7" customHeight="1" x14ac:dyDescent="0.2"/>
    <row r="345" spans="2:4" ht="16.7" customHeight="1" x14ac:dyDescent="0.2"/>
    <row r="346" spans="2:4" ht="16.7" customHeight="1" x14ac:dyDescent="0.2"/>
    <row r="347" spans="2:4" ht="16.7" customHeight="1" x14ac:dyDescent="0.2"/>
    <row r="348" spans="2:4" ht="16.7" customHeight="1" x14ac:dyDescent="0.2"/>
    <row r="349" spans="2:4" ht="16.7" customHeight="1" x14ac:dyDescent="0.2"/>
    <row r="350" spans="2:4" ht="16.7" customHeight="1" x14ac:dyDescent="0.2"/>
    <row r="351" spans="2:4" ht="16.7" customHeight="1" x14ac:dyDescent="0.2"/>
    <row r="352" spans="2:4" ht="16.7" customHeight="1" x14ac:dyDescent="0.2"/>
    <row r="353" ht="16.7" customHeight="1" x14ac:dyDescent="0.2"/>
    <row r="354" ht="16.7" customHeight="1" x14ac:dyDescent="0.2"/>
    <row r="355" ht="16.7" customHeight="1" x14ac:dyDescent="0.2"/>
    <row r="356" ht="15" customHeight="1" x14ac:dyDescent="0.2"/>
    <row r="357" ht="15" customHeight="1" x14ac:dyDescent="0.2"/>
  </sheetData>
  <mergeCells count="6">
    <mergeCell ref="C320:D320"/>
    <mergeCell ref="A3:G3"/>
    <mergeCell ref="A4:G4"/>
    <mergeCell ref="A5:A6"/>
    <mergeCell ref="B7:G7"/>
    <mergeCell ref="B314:G314"/>
  </mergeCells>
  <pageMargins left="0.75" right="0.75" top="1" bottom="1" header="0.5" footer="0.5"/>
  <customProperties>
    <customPr name="_pios_id" r:id="rId1"/>
  </customProperties>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4CBD81-09E9-4319-85CA-32F655902C94}">
  <sheetPr codeName="Sheet73"/>
  <dimension ref="A1:M455"/>
  <sheetViews>
    <sheetView workbookViewId="0">
      <pane ySplit="7" topLeftCell="A416" activePane="bottomLeft" state="frozen"/>
      <selection activeCell="H241" sqref="H241"/>
      <selection pane="bottomLeft" activeCell="H241" sqref="H241"/>
    </sheetView>
  </sheetViews>
  <sheetFormatPr defaultColWidth="11.5" defaultRowHeight="12.75" x14ac:dyDescent="0.2"/>
  <cols>
    <col min="1" max="1" width="7" style="1953" customWidth="1"/>
    <col min="2" max="2" width="46.25" style="1953" customWidth="1"/>
    <col min="3" max="3" width="12.625" style="1953" customWidth="1"/>
    <col min="4" max="5" width="12.375" style="1953" customWidth="1"/>
    <col min="6" max="6" width="14.125" style="1953" customWidth="1"/>
    <col min="7" max="7" width="12.625" style="1953" customWidth="1"/>
    <col min="8" max="8" width="46.25" style="1953" customWidth="1"/>
    <col min="9" max="9" width="17.625" style="1953" hidden="1" customWidth="1"/>
    <col min="10" max="10" width="38.375" style="1953" hidden="1" customWidth="1"/>
    <col min="11" max="11" width="57" style="1953" hidden="1" customWidth="1"/>
    <col min="12" max="12" width="17.625" style="1953" hidden="1" customWidth="1"/>
    <col min="13" max="13" width="50.125" style="1953" hidden="1" customWidth="1"/>
    <col min="14" max="26" width="17.625" style="1953" customWidth="1"/>
    <col min="27" max="16384" width="11.5" style="1953"/>
  </cols>
  <sheetData>
    <row r="1" spans="1:13" ht="16.7" customHeight="1" x14ac:dyDescent="0.2"/>
    <row r="2" spans="1:13" ht="16.7" customHeight="1" x14ac:dyDescent="0.2">
      <c r="F2" s="2884" t="s">
        <v>8351</v>
      </c>
    </row>
    <row r="3" spans="1:13" ht="16.7" customHeight="1" x14ac:dyDescent="0.2">
      <c r="A3" s="3882" t="s">
        <v>8352</v>
      </c>
      <c r="B3" s="3891"/>
      <c r="C3" s="3891"/>
      <c r="D3" s="3891"/>
      <c r="E3" s="3891"/>
      <c r="F3" s="3891"/>
      <c r="G3" s="3892"/>
      <c r="H3" s="2479"/>
    </row>
    <row r="4" spans="1:13" ht="99.2" customHeight="1" x14ac:dyDescent="0.2">
      <c r="A4" s="3878" t="s">
        <v>8353</v>
      </c>
      <c r="B4" s="3879"/>
      <c r="C4" s="3879"/>
      <c r="D4" s="3879"/>
      <c r="E4" s="3879"/>
      <c r="F4" s="3879"/>
      <c r="G4" s="3880"/>
      <c r="H4" s="2479"/>
    </row>
    <row r="5" spans="1:13" ht="39.200000000000003" customHeight="1" x14ac:dyDescent="0.2">
      <c r="A5" s="3898" t="s">
        <v>6360</v>
      </c>
      <c r="B5" s="2637" t="s">
        <v>8354</v>
      </c>
      <c r="C5" s="2637" t="s">
        <v>8355</v>
      </c>
      <c r="D5" s="2637" t="s">
        <v>8356</v>
      </c>
      <c r="E5" s="2581" t="s">
        <v>8357</v>
      </c>
      <c r="F5" s="2581" t="s">
        <v>8358</v>
      </c>
      <c r="G5" s="2581" t="s">
        <v>8359</v>
      </c>
      <c r="H5" s="2479"/>
    </row>
    <row r="6" spans="1:13" ht="16.7" customHeight="1" x14ac:dyDescent="0.2">
      <c r="A6" s="3923"/>
      <c r="B6" s="2589" t="s">
        <v>5949</v>
      </c>
      <c r="C6" s="2589" t="s">
        <v>5950</v>
      </c>
      <c r="D6" s="2589" t="s">
        <v>5951</v>
      </c>
      <c r="E6" s="2589" t="s">
        <v>5952</v>
      </c>
      <c r="F6" s="2589" t="s">
        <v>6227</v>
      </c>
      <c r="G6" s="2589" t="s">
        <v>5804</v>
      </c>
      <c r="H6" s="2479" t="s">
        <v>6324</v>
      </c>
      <c r="K6" s="2885" t="s">
        <v>8360</v>
      </c>
    </row>
    <row r="7" spans="1:13" ht="16.7" customHeight="1" x14ac:dyDescent="0.2">
      <c r="A7" s="2489"/>
      <c r="B7" s="4044" t="s">
        <v>8841</v>
      </c>
      <c r="C7" s="4045"/>
      <c r="D7" s="4045"/>
      <c r="E7" s="4045"/>
      <c r="F7" s="4045"/>
      <c r="G7" s="4046"/>
      <c r="H7" s="2479"/>
    </row>
    <row r="8" spans="1:13" ht="16.7" customHeight="1" x14ac:dyDescent="0.2">
      <c r="A8" s="2489"/>
      <c r="B8" s="2669" t="s">
        <v>8362</v>
      </c>
      <c r="C8" s="2488"/>
      <c r="D8" s="2488"/>
      <c r="E8" s="2488"/>
      <c r="F8" s="2488"/>
      <c r="G8" s="2488"/>
      <c r="H8" s="2479" t="str">
        <f t="shared" ref="H8:H18" si="0">B8</f>
        <v xml:space="preserve">CALIFORNIA </v>
      </c>
      <c r="I8" s="2576" t="s">
        <v>8363</v>
      </c>
      <c r="J8" s="2501" t="s">
        <v>8364</v>
      </c>
      <c r="K8" s="2886" t="str">
        <f>"=SUM('"&amp;J8&amp;"'!$F$10:$F$50)"</f>
        <v>=SUM('304 - Sales of Electricity by Rate Schedules'!$F$10:$F$50)</v>
      </c>
      <c r="M8" s="2886" t="e">
        <f>CONCATENATE(K8,K9,K364,K403,K404,#REF!,#REF!,#REF!,#REF!,#REF!,#REF!,#REF!,#REF!,#REF!,#REF!,#REF!,#REF!,#REF!,#REF!,#REF!,#REF!,#REF!,#REF!,#REF!,#REF!,#REF!,#REF!,#REF!,#REF!,#REF!)</f>
        <v>#REF!</v>
      </c>
    </row>
    <row r="9" spans="1:13" ht="16.7" customHeight="1" x14ac:dyDescent="0.2">
      <c r="A9" s="2749">
        <v>11</v>
      </c>
      <c r="B9" s="2488" t="s">
        <v>8590</v>
      </c>
      <c r="C9" s="2530">
        <v>515</v>
      </c>
      <c r="D9" s="2530">
        <v>62452</v>
      </c>
      <c r="E9" s="2530">
        <v>81</v>
      </c>
      <c r="F9" s="2530">
        <v>6358</v>
      </c>
      <c r="G9" s="2887">
        <v>0.12130000000000001</v>
      </c>
      <c r="H9" s="2479" t="str">
        <f t="shared" si="0"/>
        <v xml:space="preserve">CALIFORNIA - 06GNSV0025-CA GEN SRVC                  </v>
      </c>
      <c r="J9" s="2501" t="s">
        <v>8366</v>
      </c>
      <c r="K9" s="2886" t="str">
        <f>"+SUM('"&amp;J9&amp;"'!$F$10:$F$50)"</f>
        <v>+SUM('304.1 - Sales of Electricity by Rate Schedules'!$F$10:$F$50)</v>
      </c>
    </row>
    <row r="10" spans="1:13" ht="16.7" customHeight="1" x14ac:dyDescent="0.2">
      <c r="A10" s="2749">
        <f t="shared" ref="A10:A18" si="1">A9+0.001</f>
        <v>11.000999999999999</v>
      </c>
      <c r="B10" s="2488" t="s">
        <v>8593</v>
      </c>
      <c r="C10" s="2530">
        <v>4086</v>
      </c>
      <c r="D10" s="2530">
        <v>641269</v>
      </c>
      <c r="E10" s="2530">
        <v>22</v>
      </c>
      <c r="F10" s="2530">
        <v>185727</v>
      </c>
      <c r="G10" s="2887">
        <v>0.15690000000000001</v>
      </c>
      <c r="H10" s="2479" t="str">
        <f t="shared" si="0"/>
        <v xml:space="preserve">CALIFORNIA - 06GNSV0A32-GEN SRVC-20 KW               </v>
      </c>
      <c r="J10" s="2501"/>
      <c r="K10" s="2886"/>
    </row>
    <row r="11" spans="1:13" ht="16.7" customHeight="1" x14ac:dyDescent="0.2">
      <c r="A11" s="2749">
        <f t="shared" si="1"/>
        <v>11.001999999999999</v>
      </c>
      <c r="B11" s="2488" t="s">
        <v>8594</v>
      </c>
      <c r="C11" s="2530">
        <v>51431</v>
      </c>
      <c r="D11" s="2888">
        <f>5488319-1</f>
        <v>5488318</v>
      </c>
      <c r="E11" s="2530">
        <v>9</v>
      </c>
      <c r="F11" s="2530">
        <v>5714556</v>
      </c>
      <c r="G11" s="2887">
        <v>0.1067</v>
      </c>
      <c r="H11" s="2479" t="str">
        <f t="shared" si="0"/>
        <v xml:space="preserve">CALIFORNIA - 06LGSV048T-LRG GEN SERV                 </v>
      </c>
      <c r="J11" s="2501"/>
      <c r="K11" s="2886"/>
    </row>
    <row r="12" spans="1:13" ht="16.7" customHeight="1" x14ac:dyDescent="0.2">
      <c r="A12" s="2749">
        <f t="shared" si="1"/>
        <v>11.002999999999998</v>
      </c>
      <c r="B12" s="2488" t="s">
        <v>8596</v>
      </c>
      <c r="C12" s="2530">
        <v>5507</v>
      </c>
      <c r="D12" s="2530">
        <v>832082</v>
      </c>
      <c r="E12" s="2530">
        <v>12</v>
      </c>
      <c r="F12" s="2530">
        <v>458917</v>
      </c>
      <c r="G12" s="2887">
        <v>0.15110000000000001</v>
      </c>
      <c r="H12" s="2479" t="str">
        <f t="shared" si="0"/>
        <v xml:space="preserve">CALIFORNIA - 06LGSV0A36-LRG GEN SRVC-O               </v>
      </c>
      <c r="J12" s="2501"/>
      <c r="K12" s="2886"/>
    </row>
    <row r="13" spans="1:13" ht="16.7" customHeight="1" x14ac:dyDescent="0.2">
      <c r="A13" s="2749">
        <f t="shared" si="1"/>
        <v>11.003999999999998</v>
      </c>
      <c r="B13" s="2488" t="s">
        <v>8382</v>
      </c>
      <c r="C13" s="2530">
        <v>0</v>
      </c>
      <c r="D13" s="2530">
        <v>24374</v>
      </c>
      <c r="E13" s="2530">
        <v>0</v>
      </c>
      <c r="F13" s="2530">
        <v>0</v>
      </c>
      <c r="G13" s="2887">
        <v>0</v>
      </c>
      <c r="H13" s="2479" t="str">
        <f t="shared" si="0"/>
        <v>CALIFORNIA - INCOME TAX DEFERRAL ADJUSTMENTS</v>
      </c>
      <c r="J13" s="2501"/>
      <c r="K13" s="2886"/>
    </row>
    <row r="14" spans="1:13" ht="16.7" customHeight="1" x14ac:dyDescent="0.2">
      <c r="A14" s="2749">
        <f t="shared" si="1"/>
        <v>11.004999999999997</v>
      </c>
      <c r="B14" s="2488" t="s">
        <v>8383</v>
      </c>
      <c r="C14" s="2530">
        <v>0</v>
      </c>
      <c r="D14" s="2530">
        <v>-70579</v>
      </c>
      <c r="E14" s="2530">
        <v>0</v>
      </c>
      <c r="F14" s="2530">
        <v>0</v>
      </c>
      <c r="G14" s="2887">
        <v>0</v>
      </c>
      <c r="H14" s="2479" t="str">
        <f t="shared" si="0"/>
        <v>CALIFORNIA - REVENUE_ACCOUNTING ADJUSTMENTS</v>
      </c>
      <c r="J14" s="2501"/>
      <c r="K14" s="2886"/>
    </row>
    <row r="15" spans="1:13" ht="16.7" customHeight="1" x14ac:dyDescent="0.2">
      <c r="A15" s="2749">
        <f t="shared" si="1"/>
        <v>11.005999999999997</v>
      </c>
      <c r="B15" s="2488" t="s">
        <v>8384</v>
      </c>
      <c r="C15" s="2530">
        <v>0</v>
      </c>
      <c r="D15" s="2530">
        <v>16016</v>
      </c>
      <c r="E15" s="2530">
        <v>0</v>
      </c>
      <c r="F15" s="2530">
        <v>0</v>
      </c>
      <c r="G15" s="2887">
        <v>0</v>
      </c>
      <c r="H15" s="2479" t="str">
        <f t="shared" si="0"/>
        <v>CALIFORNIA - REVENUE ADJUSTMENT - DEFERRED NPC</v>
      </c>
      <c r="J15" s="2501"/>
      <c r="K15" s="2886"/>
    </row>
    <row r="16" spans="1:13" ht="16.7" customHeight="1" x14ac:dyDescent="0.2">
      <c r="A16" s="2749">
        <f t="shared" si="1"/>
        <v>11.006999999999996</v>
      </c>
      <c r="B16" s="2488" t="s">
        <v>8842</v>
      </c>
      <c r="C16" s="2530">
        <v>0</v>
      </c>
      <c r="D16" s="2530">
        <v>3173</v>
      </c>
      <c r="E16" s="2530">
        <v>0</v>
      </c>
      <c r="F16" s="2530">
        <v>0</v>
      </c>
      <c r="G16" s="2887">
        <v>0</v>
      </c>
      <c r="H16" s="2479" t="str">
        <f t="shared" si="0"/>
        <v>CALIFORNIA - DSM REVENUE-INDUSTRIAL</v>
      </c>
      <c r="J16" s="2501"/>
      <c r="K16" s="2886"/>
    </row>
    <row r="17" spans="1:11" ht="16.7" customHeight="1" x14ac:dyDescent="0.2">
      <c r="A17" s="2749">
        <f t="shared" si="1"/>
        <v>11.007999999999996</v>
      </c>
      <c r="B17" s="2488" t="s">
        <v>8843</v>
      </c>
      <c r="C17" s="2530">
        <v>0</v>
      </c>
      <c r="D17" s="2530">
        <v>1782</v>
      </c>
      <c r="E17" s="2530">
        <v>0</v>
      </c>
      <c r="F17" s="2530">
        <v>0</v>
      </c>
      <c r="G17" s="2887">
        <v>0</v>
      </c>
      <c r="H17" s="2479" t="str">
        <f t="shared" si="0"/>
        <v>CALIFORNIA - BLUE SKY REVENUE-INDUSTRIAL</v>
      </c>
      <c r="J17" s="2501"/>
      <c r="K17" s="2886"/>
    </row>
    <row r="18" spans="1:11" ht="16.7" customHeight="1" x14ac:dyDescent="0.2">
      <c r="A18" s="2749">
        <f t="shared" si="1"/>
        <v>11.008999999999995</v>
      </c>
      <c r="B18" s="2488" t="s">
        <v>8388</v>
      </c>
      <c r="C18" s="2530">
        <v>0</v>
      </c>
      <c r="D18" s="2530">
        <v>794</v>
      </c>
      <c r="E18" s="2530">
        <v>0</v>
      </c>
      <c r="F18" s="2530">
        <v>0</v>
      </c>
      <c r="G18" s="2887">
        <v>0</v>
      </c>
      <c r="H18" s="2479" t="str">
        <f t="shared" si="0"/>
        <v>CALIFORNIA - OTHER CUSTOMER RETAIL REVENUE</v>
      </c>
      <c r="J18" s="2501"/>
      <c r="K18" s="2886"/>
    </row>
    <row r="19" spans="1:11" ht="16.7" customHeight="1" x14ac:dyDescent="0.2">
      <c r="A19" s="2489"/>
      <c r="B19" s="2668"/>
      <c r="C19" s="2488"/>
      <c r="D19" s="2488"/>
      <c r="E19" s="2488"/>
      <c r="F19" s="2488"/>
      <c r="G19" s="2488"/>
      <c r="H19" s="2479"/>
      <c r="J19" s="2501"/>
      <c r="K19" s="2886"/>
    </row>
    <row r="20" spans="1:11" ht="16.7" customHeight="1" x14ac:dyDescent="0.2">
      <c r="A20" s="2489"/>
      <c r="B20" s="2668" t="s">
        <v>8389</v>
      </c>
      <c r="C20" s="2488"/>
      <c r="D20" s="2488"/>
      <c r="E20" s="2488"/>
      <c r="F20" s="2488"/>
      <c r="G20" s="2488"/>
      <c r="H20" s="2479" t="str">
        <f t="shared" ref="H20:H83" si="2">B20</f>
        <v>IDAHO</v>
      </c>
      <c r="J20" s="2501"/>
      <c r="K20" s="2886"/>
    </row>
    <row r="21" spans="1:11" ht="16.7" customHeight="1" x14ac:dyDescent="0.2">
      <c r="A21" s="2749">
        <v>11.01</v>
      </c>
      <c r="B21" s="2488" t="s">
        <v>8844</v>
      </c>
      <c r="C21" s="2530">
        <v>0</v>
      </c>
      <c r="D21" s="2530">
        <v>1293</v>
      </c>
      <c r="E21" s="2530">
        <v>0</v>
      </c>
      <c r="F21" s="2530">
        <v>0</v>
      </c>
      <c r="G21" s="2887">
        <v>0</v>
      </c>
      <c r="H21" s="2479" t="str">
        <f t="shared" si="2"/>
        <v xml:space="preserve">IDAHO - 07CFR00001-MTH FACILITY S               </v>
      </c>
      <c r="J21" s="2501"/>
      <c r="K21" s="2886"/>
    </row>
    <row r="22" spans="1:11" ht="16.7" customHeight="1" x14ac:dyDescent="0.2">
      <c r="A22" s="2749">
        <f t="shared" ref="A22:A38" si="3">A21+0.001</f>
        <v>11.010999999999999</v>
      </c>
      <c r="B22" s="2488" t="s">
        <v>8610</v>
      </c>
      <c r="C22" s="2530">
        <v>70089</v>
      </c>
      <c r="D22" s="2530">
        <v>5570652</v>
      </c>
      <c r="E22" s="2530">
        <v>101</v>
      </c>
      <c r="F22" s="2530">
        <v>693950</v>
      </c>
      <c r="G22" s="2887">
        <v>7.9500000000000001E-2</v>
      </c>
      <c r="H22" s="2479" t="str">
        <f t="shared" si="2"/>
        <v xml:space="preserve">IDAHO - 07GNSV0006-GEN SRVC-LRG P               </v>
      </c>
      <c r="J22" s="2501"/>
      <c r="K22" s="2886"/>
    </row>
    <row r="23" spans="1:11" ht="16.7" customHeight="1" x14ac:dyDescent="0.2">
      <c r="A23" s="2749">
        <f t="shared" si="3"/>
        <v>11.011999999999999</v>
      </c>
      <c r="B23" s="2488" t="s">
        <v>8611</v>
      </c>
      <c r="C23" s="2530">
        <v>52614</v>
      </c>
      <c r="D23" s="2530">
        <v>3907765</v>
      </c>
      <c r="E23" s="2530">
        <v>13</v>
      </c>
      <c r="F23" s="2530">
        <v>4047231</v>
      </c>
      <c r="G23" s="2887">
        <v>7.4300000000000005E-2</v>
      </c>
      <c r="H23" s="2479" t="str">
        <f t="shared" si="2"/>
        <v xml:space="preserve">IDAHO - 07GNSV0009-GEN SRVC-HI VO               </v>
      </c>
      <c r="J23" s="2501"/>
      <c r="K23" s="2886"/>
    </row>
    <row r="24" spans="1:11" ht="16.7" customHeight="1" x14ac:dyDescent="0.2">
      <c r="A24" s="2749">
        <f t="shared" si="3"/>
        <v>11.012999999999998</v>
      </c>
      <c r="B24" s="2488" t="s">
        <v>8612</v>
      </c>
      <c r="C24" s="2530">
        <v>16259</v>
      </c>
      <c r="D24" s="2888">
        <f>1573872-1</f>
        <v>1573871</v>
      </c>
      <c r="E24" s="2530">
        <v>303</v>
      </c>
      <c r="F24" s="2530">
        <v>53660</v>
      </c>
      <c r="G24" s="2887">
        <v>9.6799999999999997E-2</v>
      </c>
      <c r="H24" s="2479" t="str">
        <f t="shared" si="2"/>
        <v xml:space="preserve">IDAHO - 07GNSV0023-GEN SRVC-SML P               </v>
      </c>
      <c r="J24" s="2501"/>
      <c r="K24" s="2886"/>
    </row>
    <row r="25" spans="1:11" ht="16.7" customHeight="1" x14ac:dyDescent="0.2">
      <c r="A25" s="2749">
        <f t="shared" si="3"/>
        <v>11.013999999999998</v>
      </c>
      <c r="B25" s="2488" t="s">
        <v>8614</v>
      </c>
      <c r="C25" s="2530">
        <v>1657</v>
      </c>
      <c r="D25" s="2530">
        <v>167869</v>
      </c>
      <c r="E25" s="2530">
        <v>20</v>
      </c>
      <c r="F25" s="2530">
        <v>82850</v>
      </c>
      <c r="G25" s="2887">
        <v>0.1013</v>
      </c>
      <c r="H25" s="2479" t="str">
        <f t="shared" si="2"/>
        <v xml:space="preserve">IDAHO - 07GNSV006A-GEN SRVC-LRG P               </v>
      </c>
      <c r="J25" s="2501"/>
      <c r="K25" s="2886"/>
    </row>
    <row r="26" spans="1:11" ht="16.7" customHeight="1" x14ac:dyDescent="0.2">
      <c r="A26" s="2749">
        <f t="shared" si="3"/>
        <v>11.014999999999997</v>
      </c>
      <c r="B26" s="2488" t="s">
        <v>8845</v>
      </c>
      <c r="C26" s="2530">
        <v>134593</v>
      </c>
      <c r="D26" s="2530">
        <v>8398153</v>
      </c>
      <c r="E26" s="2530">
        <v>1</v>
      </c>
      <c r="F26" s="2530">
        <v>134593000</v>
      </c>
      <c r="G26" s="2887">
        <v>6.2399999999999997E-2</v>
      </c>
      <c r="H26" s="2479" t="str">
        <f t="shared" si="2"/>
        <v xml:space="preserve">IDAHO - 07GNSV009M-MANL HIGH VOLT               </v>
      </c>
      <c r="J26" s="2501"/>
      <c r="K26" s="2886"/>
    </row>
    <row r="27" spans="1:11" ht="16.7" customHeight="1" x14ac:dyDescent="0.2">
      <c r="A27" s="2749">
        <f t="shared" si="3"/>
        <v>11.015999999999996</v>
      </c>
      <c r="B27" s="2488" t="s">
        <v>8615</v>
      </c>
      <c r="C27" s="2530">
        <v>1875</v>
      </c>
      <c r="D27" s="2530">
        <v>201374</v>
      </c>
      <c r="E27" s="2530">
        <v>130</v>
      </c>
      <c r="F27" s="2530">
        <v>14423</v>
      </c>
      <c r="G27" s="2887">
        <v>0.1074</v>
      </c>
      <c r="H27" s="2479" t="str">
        <f t="shared" si="2"/>
        <v xml:space="preserve">IDAHO - 07GNSV023A-GEN SRVC-SML P               </v>
      </c>
      <c r="J27" s="2501"/>
      <c r="K27" s="2886"/>
    </row>
    <row r="28" spans="1:11" ht="16.7" customHeight="1" x14ac:dyDescent="0.2">
      <c r="A28" s="2749">
        <f t="shared" si="3"/>
        <v>11.016999999999996</v>
      </c>
      <c r="B28" s="2488" t="s">
        <v>8846</v>
      </c>
      <c r="C28" s="2530">
        <v>5</v>
      </c>
      <c r="D28" s="2530">
        <v>694</v>
      </c>
      <c r="E28" s="2530">
        <v>1</v>
      </c>
      <c r="F28" s="2530">
        <v>5000</v>
      </c>
      <c r="G28" s="2887">
        <v>0.13880000000000001</v>
      </c>
      <c r="H28" s="2479" t="str">
        <f t="shared" si="2"/>
        <v>IDAHO - 07GNSV023S-IDAHO TRAFFIC SIGNALS</v>
      </c>
      <c r="J28" s="2501"/>
      <c r="K28" s="2886"/>
    </row>
    <row r="29" spans="1:11" ht="16.7" customHeight="1" x14ac:dyDescent="0.2">
      <c r="A29" s="2749">
        <f t="shared" si="3"/>
        <v>11.017999999999995</v>
      </c>
      <c r="B29" s="2488" t="s">
        <v>8618</v>
      </c>
      <c r="C29" s="2530">
        <v>0</v>
      </c>
      <c r="D29" s="2530">
        <v>1675</v>
      </c>
      <c r="E29" s="2530">
        <v>0</v>
      </c>
      <c r="F29" s="2530">
        <v>0</v>
      </c>
      <c r="G29" s="2887">
        <v>0</v>
      </c>
      <c r="H29" s="2479" t="str">
        <f t="shared" si="2"/>
        <v xml:space="preserve">IDAHO - 07LNX00035-ADV 80%MO GUAR               </v>
      </c>
      <c r="J29" s="2501"/>
      <c r="K29" s="2886"/>
    </row>
    <row r="30" spans="1:11" ht="16.7" customHeight="1" x14ac:dyDescent="0.2">
      <c r="A30" s="2749">
        <f t="shared" si="3"/>
        <v>11.018999999999995</v>
      </c>
      <c r="B30" s="2488" t="s">
        <v>8847</v>
      </c>
      <c r="C30" s="2530">
        <v>0</v>
      </c>
      <c r="D30" s="2530">
        <v>1996</v>
      </c>
      <c r="E30" s="2530">
        <v>0</v>
      </c>
      <c r="F30" s="2530">
        <v>0</v>
      </c>
      <c r="G30" s="2887">
        <v>0</v>
      </c>
      <c r="H30" s="2479" t="str">
        <f t="shared" si="2"/>
        <v xml:space="preserve">IDAHO - 07LNX00108-ANN COST MTHLY               </v>
      </c>
      <c r="J30" s="2501"/>
      <c r="K30" s="2886"/>
    </row>
    <row r="31" spans="1:11" ht="16.7" customHeight="1" x14ac:dyDescent="0.2">
      <c r="A31" s="2749">
        <f t="shared" si="3"/>
        <v>11.019999999999994</v>
      </c>
      <c r="B31" s="2488" t="s">
        <v>8631</v>
      </c>
      <c r="C31" s="2530">
        <v>0</v>
      </c>
      <c r="D31" s="2530">
        <v>520</v>
      </c>
      <c r="E31" s="2530">
        <v>0</v>
      </c>
      <c r="F31" s="2530">
        <v>0</v>
      </c>
      <c r="G31" s="2887">
        <v>0</v>
      </c>
      <c r="H31" s="2479" t="str">
        <f t="shared" si="2"/>
        <v>IDAHO - 07LNX00311 - LINE EXT 80% GUARANTEE</v>
      </c>
      <c r="J31" s="2501"/>
      <c r="K31" s="2886"/>
    </row>
    <row r="32" spans="1:11" ht="16.7" customHeight="1" x14ac:dyDescent="0.2">
      <c r="A32" s="2749">
        <f t="shared" si="3"/>
        <v>11.020999999999994</v>
      </c>
      <c r="B32" s="2488" t="s">
        <v>8628</v>
      </c>
      <c r="C32" s="2530">
        <v>30</v>
      </c>
      <c r="D32" s="2530">
        <v>2949</v>
      </c>
      <c r="E32" s="2530">
        <v>1</v>
      </c>
      <c r="F32" s="2530">
        <v>30000</v>
      </c>
      <c r="G32" s="2887">
        <v>9.8299999999999998E-2</v>
      </c>
      <c r="H32" s="2479" t="str">
        <f t="shared" si="2"/>
        <v>IDAHO - 07NMT23135 - ID NET MTR - SMALL GEN SVC</v>
      </c>
      <c r="J32" s="2501"/>
      <c r="K32" s="2886"/>
    </row>
    <row r="33" spans="1:11" ht="16.7" customHeight="1" x14ac:dyDescent="0.2">
      <c r="A33" s="2749">
        <f t="shared" si="3"/>
        <v>11.021999999999993</v>
      </c>
      <c r="B33" s="2488" t="s">
        <v>8620</v>
      </c>
      <c r="C33" s="2530">
        <v>12</v>
      </c>
      <c r="D33" s="2530">
        <v>2705</v>
      </c>
      <c r="E33" s="2530">
        <v>16</v>
      </c>
      <c r="F33" s="2530">
        <v>750</v>
      </c>
      <c r="G33" s="2887">
        <v>0.22539999999999999</v>
      </c>
      <c r="H33" s="2479" t="str">
        <f t="shared" si="2"/>
        <v xml:space="preserve">IDAHO - 07OALT007N-SECURITY AR LG               </v>
      </c>
      <c r="J33" s="2501"/>
      <c r="K33" s="2886"/>
    </row>
    <row r="34" spans="1:11" ht="16.7" customHeight="1" x14ac:dyDescent="0.2">
      <c r="A34" s="2749">
        <f t="shared" si="3"/>
        <v>11.022999999999993</v>
      </c>
      <c r="B34" s="2488" t="s">
        <v>8621</v>
      </c>
      <c r="C34" s="2530">
        <v>0</v>
      </c>
      <c r="D34" s="2530">
        <v>65</v>
      </c>
      <c r="E34" s="2530">
        <v>0</v>
      </c>
      <c r="F34" s="2530">
        <v>0</v>
      </c>
      <c r="G34" s="2887">
        <v>0</v>
      </c>
      <c r="H34" s="2479" t="str">
        <f t="shared" si="2"/>
        <v xml:space="preserve">IDAHO - 07OALT07AN-SECURITY AR LG               </v>
      </c>
      <c r="J34" s="2501"/>
      <c r="K34" s="2886"/>
    </row>
    <row r="35" spans="1:11" ht="16.7" customHeight="1" x14ac:dyDescent="0.2">
      <c r="A35" s="2749">
        <f t="shared" si="3"/>
        <v>11.023999999999992</v>
      </c>
      <c r="B35" s="2488" t="s">
        <v>8848</v>
      </c>
      <c r="C35" s="2530">
        <v>1314200</v>
      </c>
      <c r="D35" s="2530">
        <v>86710909</v>
      </c>
      <c r="E35" s="2530">
        <v>1</v>
      </c>
      <c r="F35" s="2530">
        <v>1314200000</v>
      </c>
      <c r="G35" s="2887">
        <v>6.6000000000000003E-2</v>
      </c>
      <c r="H35" s="2479" t="str">
        <f t="shared" si="2"/>
        <v xml:space="preserve">IDAHO - 07SPCL0001                              </v>
      </c>
      <c r="J35" s="2501"/>
      <c r="K35" s="2886"/>
    </row>
    <row r="36" spans="1:11" ht="16.7" customHeight="1" x14ac:dyDescent="0.2">
      <c r="A36" s="2749">
        <f t="shared" si="3"/>
        <v>11.024999999999991</v>
      </c>
      <c r="B36" s="2488" t="s">
        <v>8406</v>
      </c>
      <c r="C36" s="2530">
        <v>0</v>
      </c>
      <c r="D36" s="2530">
        <v>118681</v>
      </c>
      <c r="E36" s="2530">
        <v>0</v>
      </c>
      <c r="F36" s="2530">
        <v>0</v>
      </c>
      <c r="G36" s="2887">
        <v>0</v>
      </c>
      <c r="H36" s="2479" t="str">
        <f t="shared" si="2"/>
        <v>IDAHO - REVENUE_ACCOUNTING ADJUSTMENTS</v>
      </c>
      <c r="J36" s="2501"/>
      <c r="K36" s="2886"/>
    </row>
    <row r="37" spans="1:11" ht="16.7" customHeight="1" x14ac:dyDescent="0.2">
      <c r="A37" s="2749">
        <f t="shared" si="3"/>
        <v>11.025999999999991</v>
      </c>
      <c r="B37" s="2488" t="s">
        <v>8849</v>
      </c>
      <c r="C37" s="2530">
        <v>0</v>
      </c>
      <c r="D37" s="2530">
        <v>1081184</v>
      </c>
      <c r="E37" s="2530">
        <v>0</v>
      </c>
      <c r="F37" s="2530">
        <v>0</v>
      </c>
      <c r="G37" s="2887">
        <v>0</v>
      </c>
      <c r="H37" s="2479" t="str">
        <f t="shared" si="2"/>
        <v>IDAHO - DSM REVENUE-INDUSTRIAL</v>
      </c>
      <c r="J37" s="2501"/>
      <c r="K37" s="2886"/>
    </row>
    <row r="38" spans="1:11" ht="16.7" customHeight="1" x14ac:dyDescent="0.2">
      <c r="A38" s="2749">
        <f t="shared" si="3"/>
        <v>11.02699999999999</v>
      </c>
      <c r="B38" s="2488" t="s">
        <v>8850</v>
      </c>
      <c r="C38" s="2530">
        <v>0</v>
      </c>
      <c r="D38" s="2530">
        <v>13</v>
      </c>
      <c r="E38" s="2530">
        <v>0</v>
      </c>
      <c r="F38" s="2530">
        <v>0</v>
      </c>
      <c r="G38" s="2887">
        <v>0</v>
      </c>
      <c r="H38" s="2479" t="str">
        <f t="shared" si="2"/>
        <v>IDAHO - BLUE SKY REVENUE-INDUSTRIAL</v>
      </c>
      <c r="J38" s="2501"/>
      <c r="K38" s="2886"/>
    </row>
    <row r="39" spans="1:11" ht="16.7" customHeight="1" x14ac:dyDescent="0.2">
      <c r="A39" s="2489"/>
      <c r="B39" s="2488"/>
      <c r="C39" s="2488"/>
      <c r="D39" s="2488"/>
      <c r="E39" s="2488"/>
      <c r="F39" s="2488"/>
      <c r="G39" s="2488"/>
      <c r="H39" s="2595">
        <f t="shared" si="2"/>
        <v>0</v>
      </c>
      <c r="J39" s="2501"/>
      <c r="K39" s="2886"/>
    </row>
    <row r="40" spans="1:11" ht="16.7" customHeight="1" x14ac:dyDescent="0.2">
      <c r="A40" s="2489"/>
      <c r="B40" s="2669" t="s">
        <v>8407</v>
      </c>
      <c r="C40" s="2488"/>
      <c r="D40" s="2488"/>
      <c r="E40" s="2488"/>
      <c r="F40" s="2488"/>
      <c r="G40" s="2488"/>
      <c r="H40" s="2479" t="str">
        <f t="shared" si="2"/>
        <v>OREGON</v>
      </c>
      <c r="J40" s="2501"/>
      <c r="K40" s="2886"/>
    </row>
    <row r="41" spans="1:11" ht="16.7" customHeight="1" x14ac:dyDescent="0.2">
      <c r="A41" s="2749">
        <v>11.03</v>
      </c>
      <c r="B41" s="2512" t="s">
        <v>8636</v>
      </c>
      <c r="C41" s="2530">
        <v>18065</v>
      </c>
      <c r="D41" s="2530">
        <v>1049602</v>
      </c>
      <c r="E41" s="2530">
        <v>0</v>
      </c>
      <c r="F41" s="2530">
        <v>0</v>
      </c>
      <c r="G41" s="2887">
        <v>5.8099999999999999E-2</v>
      </c>
      <c r="H41" s="2479" t="str">
        <f t="shared" si="2"/>
        <v>OREGON - 01COST0023, OR GEN SRV, COST BASED</v>
      </c>
      <c r="J41" s="2501"/>
      <c r="K41" s="2886"/>
    </row>
    <row r="42" spans="1:11" ht="16.7" customHeight="1" x14ac:dyDescent="0.2">
      <c r="A42" s="2749">
        <f t="shared" ref="A42:A82" si="4">A41+0.001</f>
        <v>11.030999999999999</v>
      </c>
      <c r="B42" s="2512" t="s">
        <v>8637</v>
      </c>
      <c r="C42" s="2530">
        <v>1159182</v>
      </c>
      <c r="D42" s="2530">
        <v>59370245</v>
      </c>
      <c r="E42" s="2530">
        <v>0</v>
      </c>
      <c r="F42" s="2530">
        <v>0</v>
      </c>
      <c r="G42" s="2887">
        <v>5.1200000000000002E-2</v>
      </c>
      <c r="H42" s="2479" t="str">
        <f t="shared" si="2"/>
        <v>OREGON - 01COST0048 - 01LGSV0048</v>
      </c>
      <c r="J42" s="2501"/>
      <c r="K42" s="2886"/>
    </row>
    <row r="43" spans="1:11" ht="16.7" customHeight="1" x14ac:dyDescent="0.2">
      <c r="A43" s="2749">
        <f t="shared" si="4"/>
        <v>11.031999999999998</v>
      </c>
      <c r="B43" s="2512" t="s">
        <v>8640</v>
      </c>
      <c r="C43" s="2530">
        <v>368</v>
      </c>
      <c r="D43" s="2530">
        <v>19328</v>
      </c>
      <c r="E43" s="2530">
        <v>0</v>
      </c>
      <c r="F43" s="2530">
        <v>0</v>
      </c>
      <c r="G43" s="2887">
        <v>5.2499999999999998E-2</v>
      </c>
      <c r="H43" s="2479" t="str">
        <f t="shared" si="2"/>
        <v>OREGON - 01COST28MT-OR GEN SVC&gt;30KW COST TOU MTR</v>
      </c>
      <c r="J43" s="2501"/>
      <c r="K43" s="2886"/>
    </row>
    <row r="44" spans="1:11" ht="16.7" customHeight="1" x14ac:dyDescent="0.2">
      <c r="A44" s="2749">
        <f t="shared" si="4"/>
        <v>11.032999999999998</v>
      </c>
      <c r="B44" s="2512" t="s">
        <v>8641</v>
      </c>
      <c r="C44" s="2530">
        <v>37678</v>
      </c>
      <c r="D44" s="2530">
        <v>1527868</v>
      </c>
      <c r="E44" s="2530">
        <v>0</v>
      </c>
      <c r="F44" s="2530">
        <v>0</v>
      </c>
      <c r="G44" s="2887">
        <v>4.0599999999999997E-2</v>
      </c>
      <c r="H44" s="2479" t="str">
        <f t="shared" si="2"/>
        <v>OREGON - 01COST30MT-LG GEN SVC&gt;200KW COST TOU MTR</v>
      </c>
      <c r="J44" s="2501"/>
      <c r="K44" s="2886"/>
    </row>
    <row r="45" spans="1:11" ht="16.7" customHeight="1" x14ac:dyDescent="0.2">
      <c r="A45" s="2749">
        <f t="shared" si="4"/>
        <v>11.033999999999997</v>
      </c>
      <c r="B45" s="2512" t="s">
        <v>8642</v>
      </c>
      <c r="C45" s="2530">
        <v>136</v>
      </c>
      <c r="D45" s="2888">
        <f>7686-1</f>
        <v>7685</v>
      </c>
      <c r="E45" s="2530">
        <v>0</v>
      </c>
      <c r="F45" s="2530">
        <v>0</v>
      </c>
      <c r="G45" s="2887">
        <v>5.6500000000000002E-2</v>
      </c>
      <c r="H45" s="2479" t="str">
        <f t="shared" si="2"/>
        <v>OREGON - 01COSTB023 - OR GEN SRV, CST-BSD SPLY</v>
      </c>
      <c r="J45" s="2501"/>
      <c r="K45" s="2886"/>
    </row>
    <row r="46" spans="1:11" ht="16.7" customHeight="1" x14ac:dyDescent="0.2">
      <c r="A46" s="2749">
        <f t="shared" si="4"/>
        <v>11.034999999999997</v>
      </c>
      <c r="B46" s="2512" t="s">
        <v>8644</v>
      </c>
      <c r="C46" s="2530">
        <v>142300</v>
      </c>
      <c r="D46" s="2530">
        <v>5762179</v>
      </c>
      <c r="E46" s="2530">
        <v>0</v>
      </c>
      <c r="F46" s="2530">
        <v>0</v>
      </c>
      <c r="G46" s="2887">
        <v>4.0500000000000001E-2</v>
      </c>
      <c r="H46" s="2479" t="str">
        <f t="shared" si="2"/>
        <v>OREGON - 01COSTL030 - OR LRG GEN SRV, CST &gt;200 kW</v>
      </c>
      <c r="J46" s="2501"/>
      <c r="K46" s="2886"/>
    </row>
    <row r="47" spans="1:11" ht="16.7" customHeight="1" x14ac:dyDescent="0.2">
      <c r="A47" s="2749">
        <f t="shared" si="4"/>
        <v>11.035999999999996</v>
      </c>
      <c r="B47" s="2512" t="s">
        <v>8645</v>
      </c>
      <c r="C47" s="2530">
        <v>77880</v>
      </c>
      <c r="D47" s="2530">
        <v>4480239</v>
      </c>
      <c r="E47" s="2530">
        <v>0</v>
      </c>
      <c r="F47" s="2530">
        <v>0</v>
      </c>
      <c r="G47" s="2887">
        <v>5.7500000000000002E-2</v>
      </c>
      <c r="H47" s="2479" t="str">
        <f t="shared" si="2"/>
        <v>OREGON - 01COSTS028, OR GEN SERV, COST &gt; 30kW</v>
      </c>
      <c r="J47" s="2501"/>
      <c r="K47" s="2886"/>
    </row>
    <row r="48" spans="1:11" ht="16.7" customHeight="1" x14ac:dyDescent="0.2">
      <c r="A48" s="2749">
        <f t="shared" si="4"/>
        <v>11.036999999999995</v>
      </c>
      <c r="B48" s="2512" t="s">
        <v>8649</v>
      </c>
      <c r="C48" s="2530">
        <v>0</v>
      </c>
      <c r="D48" s="2530">
        <v>10909</v>
      </c>
      <c r="E48" s="2530">
        <v>12</v>
      </c>
      <c r="F48" s="2530">
        <v>0</v>
      </c>
      <c r="G48" s="2887">
        <v>0</v>
      </c>
      <c r="H48" s="2479" t="str">
        <f t="shared" si="2"/>
        <v>OREGON - 01GNSB0023, OR GEN SRV, BPA, &lt; 30 kW</v>
      </c>
      <c r="J48" s="2501"/>
      <c r="K48" s="2886"/>
    </row>
    <row r="49" spans="1:11" ht="16.7" customHeight="1" x14ac:dyDescent="0.2">
      <c r="A49" s="2749">
        <f t="shared" si="4"/>
        <v>11.037999999999995</v>
      </c>
      <c r="B49" s="2512" t="s">
        <v>8650</v>
      </c>
      <c r="C49" s="2530">
        <v>0</v>
      </c>
      <c r="D49" s="2530">
        <v>5187</v>
      </c>
      <c r="E49" s="2672">
        <v>1</v>
      </c>
      <c r="F49" s="2530">
        <v>0</v>
      </c>
      <c r="G49" s="2887">
        <v>0</v>
      </c>
      <c r="H49" s="2479" t="str">
        <f t="shared" si="2"/>
        <v>OREGON - 01GNSB0028, OR GEN SRV, BPA, &gt; 30 kW</v>
      </c>
      <c r="J49" s="2501"/>
      <c r="K49" s="2886"/>
    </row>
    <row r="50" spans="1:11" ht="16.7" customHeight="1" x14ac:dyDescent="0.2">
      <c r="A50" s="2749">
        <f t="shared" si="4"/>
        <v>11.038999999999994</v>
      </c>
      <c r="B50" s="2512" t="s">
        <v>8653</v>
      </c>
      <c r="C50" s="2530">
        <v>0</v>
      </c>
      <c r="D50" s="2530">
        <v>1274831</v>
      </c>
      <c r="E50" s="2530">
        <v>936</v>
      </c>
      <c r="F50" s="2530">
        <v>0</v>
      </c>
      <c r="G50" s="2887">
        <v>0</v>
      </c>
      <c r="H50" s="2479" t="str">
        <f t="shared" si="2"/>
        <v>OREGON - 01GNSV0023, OR GEN SRV, &lt; 30 KW</v>
      </c>
      <c r="J50" s="2501"/>
      <c r="K50" s="2886"/>
    </row>
    <row r="51" spans="1:11" ht="16.7" customHeight="1" x14ac:dyDescent="0.2">
      <c r="A51" s="2749">
        <f t="shared" si="4"/>
        <v>11.039999999999994</v>
      </c>
      <c r="B51" s="2512" t="s">
        <v>8654</v>
      </c>
      <c r="C51" s="2530">
        <v>0</v>
      </c>
      <c r="D51" s="2530">
        <v>3511463</v>
      </c>
      <c r="E51" s="2530">
        <v>377</v>
      </c>
      <c r="F51" s="2530">
        <v>0</v>
      </c>
      <c r="G51" s="2887">
        <v>0</v>
      </c>
      <c r="H51" s="2479" t="str">
        <f t="shared" si="2"/>
        <v>OREGON - 01GNSV0028, OR GEN SRV &gt; 30 kW</v>
      </c>
      <c r="J51" s="2501"/>
      <c r="K51" s="2886"/>
    </row>
    <row r="52" spans="1:11" ht="16.7" customHeight="1" x14ac:dyDescent="0.2">
      <c r="A52" s="2749">
        <f t="shared" si="4"/>
        <v>11.040999999999993</v>
      </c>
      <c r="B52" s="2512" t="s">
        <v>8656</v>
      </c>
      <c r="C52" s="2530">
        <v>1</v>
      </c>
      <c r="D52" s="2530">
        <v>116</v>
      </c>
      <c r="E52" s="2530">
        <v>0</v>
      </c>
      <c r="F52" s="2530">
        <v>0</v>
      </c>
      <c r="G52" s="2887">
        <v>0.11559999999999999</v>
      </c>
      <c r="H52" s="2479" t="str">
        <f t="shared" si="2"/>
        <v>OREGON - 01GNSV023F - OR GEN SRV - FLAT RATE</v>
      </c>
      <c r="J52" s="2501"/>
      <c r="K52" s="2886"/>
    </row>
    <row r="53" spans="1:11" ht="16.7" customHeight="1" x14ac:dyDescent="0.2">
      <c r="A53" s="2749">
        <f t="shared" si="4"/>
        <v>11.041999999999993</v>
      </c>
      <c r="B53" s="2512" t="s">
        <v>8657</v>
      </c>
      <c r="C53" s="2530">
        <v>0</v>
      </c>
      <c r="D53" s="2530">
        <v>305</v>
      </c>
      <c r="E53" s="2530">
        <v>1</v>
      </c>
      <c r="F53" s="2530">
        <v>0</v>
      </c>
      <c r="G53" s="2887">
        <v>0</v>
      </c>
      <c r="H53" s="2479" t="str">
        <f t="shared" si="2"/>
        <v>OREGON - 01GNSV023M - OR GEN SRV, MANUAL BILL</v>
      </c>
      <c r="J53" s="2501"/>
      <c r="K53" s="2886"/>
    </row>
    <row r="54" spans="1:11" ht="16.7" customHeight="1" x14ac:dyDescent="0.2">
      <c r="A54" s="2749">
        <f t="shared" si="4"/>
        <v>11.042999999999992</v>
      </c>
      <c r="B54" s="2512" t="s">
        <v>8658</v>
      </c>
      <c r="C54" s="2530">
        <v>0</v>
      </c>
      <c r="D54" s="2530">
        <v>2904</v>
      </c>
      <c r="E54" s="2530">
        <v>3</v>
      </c>
      <c r="F54" s="2530">
        <v>0</v>
      </c>
      <c r="G54" s="2887">
        <v>0</v>
      </c>
      <c r="H54" s="2479" t="str">
        <f t="shared" si="2"/>
        <v>OREGON - 01GNSV023T, OR GEN SRV, TOU Option</v>
      </c>
      <c r="J54" s="2501"/>
      <c r="K54" s="2886"/>
    </row>
    <row r="55" spans="1:11" ht="16.7" customHeight="1" x14ac:dyDescent="0.2">
      <c r="A55" s="2749">
        <f t="shared" si="4"/>
        <v>11.043999999999992</v>
      </c>
      <c r="B55" s="2512" t="s">
        <v>8700</v>
      </c>
      <c r="C55" s="2530">
        <v>0</v>
      </c>
      <c r="D55" s="2530">
        <v>1697</v>
      </c>
      <c r="E55" s="2530">
        <v>0</v>
      </c>
      <c r="F55" s="2530">
        <v>0</v>
      </c>
      <c r="G55" s="2887">
        <v>0</v>
      </c>
      <c r="H55" s="2479" t="str">
        <f t="shared" si="2"/>
        <v>OREGON - 01GNSV0730 -OR GEN SVC DIR ACCESS &gt;200KW</v>
      </c>
      <c r="J55" s="2501"/>
      <c r="K55" s="2886"/>
    </row>
    <row r="56" spans="1:11" ht="16.7" customHeight="1" x14ac:dyDescent="0.2">
      <c r="A56" s="2749">
        <f t="shared" si="4"/>
        <v>11.044999999999991</v>
      </c>
      <c r="B56" s="2512" t="s">
        <v>8701</v>
      </c>
      <c r="C56" s="2530">
        <v>0</v>
      </c>
      <c r="D56" s="2530">
        <v>1314703</v>
      </c>
      <c r="E56" s="2530">
        <v>2</v>
      </c>
      <c r="F56" s="2530">
        <v>0</v>
      </c>
      <c r="G56" s="2887">
        <v>0</v>
      </c>
      <c r="H56" s="2479" t="str">
        <f t="shared" si="2"/>
        <v>OREGON - 01GNSV0748 LG GEN SVC DIR ACCESS 1000KW+</v>
      </c>
      <c r="J56" s="2501"/>
      <c r="K56" s="2886"/>
    </row>
    <row r="57" spans="1:11" ht="16.7" customHeight="1" x14ac:dyDescent="0.2">
      <c r="A57" s="2749">
        <f t="shared" si="4"/>
        <v>11.04599999999999</v>
      </c>
      <c r="B57" s="2512" t="s">
        <v>8704</v>
      </c>
      <c r="C57" s="2530">
        <v>0</v>
      </c>
      <c r="D57" s="2530">
        <v>8945</v>
      </c>
      <c r="E57" s="2530">
        <v>0</v>
      </c>
      <c r="F57" s="2530">
        <v>0</v>
      </c>
      <c r="G57" s="2887">
        <v>0</v>
      </c>
      <c r="H57" s="2479" t="str">
        <f t="shared" si="2"/>
        <v>OREGON - 01GNSVT028-OR GEN SVC&gt;30KW TOU MTR</v>
      </c>
      <c r="J57" s="2501"/>
      <c r="K57" s="2886"/>
    </row>
    <row r="58" spans="1:11" ht="16.7" customHeight="1" x14ac:dyDescent="0.2">
      <c r="A58" s="2749">
        <f t="shared" si="4"/>
        <v>11.04699999999999</v>
      </c>
      <c r="B58" s="2512" t="s">
        <v>8662</v>
      </c>
      <c r="C58" s="2530">
        <v>0</v>
      </c>
      <c r="D58" s="2530">
        <v>8353093</v>
      </c>
      <c r="E58" s="2530">
        <v>106</v>
      </c>
      <c r="F58" s="2530">
        <v>0</v>
      </c>
      <c r="G58" s="2887">
        <v>0</v>
      </c>
      <c r="H58" s="2479" t="str">
        <f t="shared" si="2"/>
        <v>OREGON - 01LGSV0030 - OR LRG GEN SRV, &gt; 1000 kW</v>
      </c>
      <c r="J58" s="2501"/>
      <c r="K58" s="2886"/>
    </row>
    <row r="59" spans="1:11" ht="16.7" customHeight="1" x14ac:dyDescent="0.2">
      <c r="A59" s="2749">
        <f t="shared" si="4"/>
        <v>11.047999999999989</v>
      </c>
      <c r="B59" s="2512" t="s">
        <v>8663</v>
      </c>
      <c r="C59" s="2530">
        <v>0</v>
      </c>
      <c r="D59" s="2530">
        <v>28065155</v>
      </c>
      <c r="E59" s="2530">
        <v>73</v>
      </c>
      <c r="F59" s="2530">
        <v>0</v>
      </c>
      <c r="G59" s="2887">
        <v>0</v>
      </c>
      <c r="H59" s="2479" t="str">
        <f t="shared" si="2"/>
        <v xml:space="preserve">OREGON - 01LGSV0048-1000KW AND OVR               </v>
      </c>
      <c r="J59" s="2501"/>
      <c r="K59" s="2886"/>
    </row>
    <row r="60" spans="1:11" ht="16.7" customHeight="1" x14ac:dyDescent="0.2">
      <c r="A60" s="2749">
        <f t="shared" si="4"/>
        <v>11.048999999999989</v>
      </c>
      <c r="B60" s="2512" t="s">
        <v>8664</v>
      </c>
      <c r="C60" s="2530">
        <v>42413</v>
      </c>
      <c r="D60" s="2530">
        <v>3387739</v>
      </c>
      <c r="E60" s="2530">
        <v>3</v>
      </c>
      <c r="F60" s="2530">
        <v>14137667</v>
      </c>
      <c r="G60" s="2887">
        <v>7.9899999999999999E-2</v>
      </c>
      <c r="H60" s="2479" t="str">
        <f t="shared" si="2"/>
        <v xml:space="preserve">OREGON - 01LGSV048M-LRG GEN SRVC 1               </v>
      </c>
      <c r="J60" s="2501"/>
      <c r="K60" s="2886"/>
    </row>
    <row r="61" spans="1:11" ht="16.7" customHeight="1" x14ac:dyDescent="0.2">
      <c r="A61" s="2749">
        <f t="shared" si="4"/>
        <v>11.049999999999988</v>
      </c>
      <c r="B61" s="2512" t="s">
        <v>8851</v>
      </c>
      <c r="C61" s="2530">
        <v>0</v>
      </c>
      <c r="D61" s="2530">
        <v>55197</v>
      </c>
      <c r="E61" s="2530">
        <v>1</v>
      </c>
      <c r="F61" s="2530">
        <v>0</v>
      </c>
      <c r="G61" s="2887">
        <v>0</v>
      </c>
      <c r="H61" s="2479" t="str">
        <f t="shared" si="2"/>
        <v>OREGON - 01LGSV30MN-OR LG GEN SVC&gt;200 KW NO AUTO</v>
      </c>
      <c r="J61" s="2501"/>
      <c r="K61" s="2886"/>
    </row>
    <row r="62" spans="1:11" ht="16.7" customHeight="1" x14ac:dyDescent="0.2">
      <c r="A62" s="2749">
        <f t="shared" si="4"/>
        <v>11.050999999999988</v>
      </c>
      <c r="B62" s="2512" t="s">
        <v>8665</v>
      </c>
      <c r="C62" s="2530">
        <v>0</v>
      </c>
      <c r="D62" s="2530">
        <v>1948170</v>
      </c>
      <c r="E62" s="2530">
        <v>12</v>
      </c>
      <c r="F62" s="2530">
        <v>0</v>
      </c>
      <c r="G62" s="2887">
        <v>0</v>
      </c>
      <c r="H62" s="2479" t="str">
        <f t="shared" si="2"/>
        <v>OREGON - 01LGSVT030-OR LG GEN SVC&gt;200KW TOU MTR</v>
      </c>
      <c r="J62" s="2501"/>
      <c r="K62" s="2886"/>
    </row>
    <row r="63" spans="1:11" ht="16.7" customHeight="1" x14ac:dyDescent="0.2">
      <c r="A63" s="2749">
        <f t="shared" si="4"/>
        <v>11.051999999999987</v>
      </c>
      <c r="B63" s="2512" t="s">
        <v>8416</v>
      </c>
      <c r="C63" s="2530">
        <v>0</v>
      </c>
      <c r="D63" s="2530">
        <v>87092</v>
      </c>
      <c r="E63" s="2530">
        <v>0</v>
      </c>
      <c r="F63" s="2530">
        <v>0</v>
      </c>
      <c r="G63" s="2887">
        <v>0</v>
      </c>
      <c r="H63" s="2479" t="str">
        <f t="shared" si="2"/>
        <v xml:space="preserve">OREGON - 01LNX00102-LINE EXT 80% G               </v>
      </c>
      <c r="J63" s="2501"/>
      <c r="K63" s="2886"/>
    </row>
    <row r="64" spans="1:11" ht="16.7" customHeight="1" x14ac:dyDescent="0.2">
      <c r="A64" s="2749">
        <f t="shared" si="4"/>
        <v>11.052999999999987</v>
      </c>
      <c r="B64" s="2512" t="s">
        <v>8417</v>
      </c>
      <c r="C64" s="2530">
        <v>0</v>
      </c>
      <c r="D64" s="2530">
        <v>106</v>
      </c>
      <c r="E64" s="2530">
        <v>0</v>
      </c>
      <c r="F64" s="2530">
        <v>0</v>
      </c>
      <c r="G64" s="2887">
        <v>0</v>
      </c>
      <c r="H64" s="2479" t="str">
        <f t="shared" si="2"/>
        <v xml:space="preserve">OREGON - 01LNX00109-REF/NREF ADV +               </v>
      </c>
      <c r="J64" s="2501"/>
      <c r="K64" s="2886"/>
    </row>
    <row r="65" spans="1:11" ht="16.7" customHeight="1" x14ac:dyDescent="0.2">
      <c r="A65" s="2749">
        <f t="shared" si="4"/>
        <v>11.053999999999986</v>
      </c>
      <c r="B65" s="2512" t="s">
        <v>8673</v>
      </c>
      <c r="C65" s="2530">
        <v>0</v>
      </c>
      <c r="D65" s="2530">
        <v>13780</v>
      </c>
      <c r="E65" s="2530">
        <v>0</v>
      </c>
      <c r="F65" s="2530">
        <v>0</v>
      </c>
      <c r="G65" s="2887">
        <v>0</v>
      </c>
      <c r="H65" s="2479" t="str">
        <f t="shared" si="2"/>
        <v>OREGON - 01LNX00300 - LINE EXT 80% GUARANTEE</v>
      </c>
      <c r="J65" s="2501"/>
      <c r="K65" s="2886"/>
    </row>
    <row r="66" spans="1:11" ht="16.7" customHeight="1" x14ac:dyDescent="0.2">
      <c r="A66" s="2749">
        <f t="shared" si="4"/>
        <v>11.054999999999986</v>
      </c>
      <c r="B66" s="2512" t="s">
        <v>8675</v>
      </c>
      <c r="C66" s="2530">
        <v>1104</v>
      </c>
      <c r="D66" s="2530">
        <v>515030</v>
      </c>
      <c r="E66" s="2530">
        <v>1</v>
      </c>
      <c r="F66" s="2530">
        <v>1104000</v>
      </c>
      <c r="G66" s="2887">
        <v>0.46650000000000003</v>
      </c>
      <c r="H66" s="2479" t="str">
        <f t="shared" si="2"/>
        <v xml:space="preserve">OREGON - 01LPRS047M-PART REQ SRVC                </v>
      </c>
      <c r="J66" s="2501"/>
      <c r="K66" s="2886"/>
    </row>
    <row r="67" spans="1:11" ht="16.7" customHeight="1" x14ac:dyDescent="0.2">
      <c r="A67" s="2749">
        <f t="shared" si="4"/>
        <v>11.055999999999985</v>
      </c>
      <c r="B67" s="2512" t="s">
        <v>8679</v>
      </c>
      <c r="C67" s="2530">
        <v>0</v>
      </c>
      <c r="D67" s="2530">
        <v>6112</v>
      </c>
      <c r="E67" s="2530">
        <v>5</v>
      </c>
      <c r="F67" s="2530">
        <v>0</v>
      </c>
      <c r="G67" s="2887">
        <v>0</v>
      </c>
      <c r="H67" s="2479" t="str">
        <f t="shared" si="2"/>
        <v>OREGON - 01NMT23135 - OR NET MTR, GEN, &lt; 30 kW</v>
      </c>
      <c r="J67" s="2501"/>
      <c r="K67" s="2886"/>
    </row>
    <row r="68" spans="1:11" ht="16.7" customHeight="1" x14ac:dyDescent="0.2">
      <c r="A68" s="2749">
        <f t="shared" si="4"/>
        <v>11.056999999999984</v>
      </c>
      <c r="B68" s="2512" t="s">
        <v>8680</v>
      </c>
      <c r="C68" s="2530">
        <v>0</v>
      </c>
      <c r="D68" s="2530">
        <v>97858</v>
      </c>
      <c r="E68" s="2530">
        <v>8</v>
      </c>
      <c r="F68" s="2530">
        <v>0</v>
      </c>
      <c r="G68" s="2887">
        <v>0</v>
      </c>
      <c r="H68" s="2479" t="str">
        <f t="shared" si="2"/>
        <v>OREGON - 01NMT28135 - OR NET MTR, GEN, &gt; 30 kW</v>
      </c>
      <c r="J68" s="2501"/>
      <c r="K68" s="2886"/>
    </row>
    <row r="69" spans="1:11" ht="16.7" customHeight="1" x14ac:dyDescent="0.2">
      <c r="A69" s="2749">
        <f t="shared" si="4"/>
        <v>11.057999999999984</v>
      </c>
      <c r="B69" s="2512" t="s">
        <v>8681</v>
      </c>
      <c r="C69" s="2530">
        <v>0</v>
      </c>
      <c r="D69" s="2530">
        <v>107494</v>
      </c>
      <c r="E69" s="2530">
        <v>2</v>
      </c>
      <c r="F69" s="2530">
        <v>0</v>
      </c>
      <c r="G69" s="2887">
        <v>0</v>
      </c>
      <c r="H69" s="2479" t="str">
        <f t="shared" si="2"/>
        <v>OREGON - 01NMT30135 - OR NET MTR, GEN, &gt; 200 kW</v>
      </c>
      <c r="J69" s="2501"/>
      <c r="K69" s="2886"/>
    </row>
    <row r="70" spans="1:11" ht="16.7" customHeight="1" x14ac:dyDescent="0.2">
      <c r="A70" s="2749">
        <f t="shared" si="4"/>
        <v>11.058999999999983</v>
      </c>
      <c r="B70" s="2512" t="s">
        <v>8683</v>
      </c>
      <c r="C70" s="2530">
        <v>240</v>
      </c>
      <c r="D70" s="2530">
        <v>24878</v>
      </c>
      <c r="E70" s="2530">
        <v>110</v>
      </c>
      <c r="F70" s="2530">
        <v>2182</v>
      </c>
      <c r="G70" s="2887">
        <v>0.1037</v>
      </c>
      <c r="H70" s="2479" t="str">
        <f t="shared" si="2"/>
        <v xml:space="preserve">OREGON - 01OALT015N-OUTD AR LGT NR               </v>
      </c>
      <c r="J70" s="2501"/>
      <c r="K70" s="2886"/>
    </row>
    <row r="71" spans="1:11" ht="16.7" customHeight="1" x14ac:dyDescent="0.2">
      <c r="A71" s="2749">
        <f t="shared" si="4"/>
        <v>11.059999999999983</v>
      </c>
      <c r="B71" s="2512" t="s">
        <v>8684</v>
      </c>
      <c r="C71" s="2530">
        <v>3</v>
      </c>
      <c r="D71" s="2530">
        <v>388</v>
      </c>
      <c r="E71" s="2530">
        <v>3</v>
      </c>
      <c r="F71" s="2530">
        <v>1000</v>
      </c>
      <c r="G71" s="2887">
        <v>0.12939999999999999</v>
      </c>
      <c r="H71" s="2479" t="str">
        <f t="shared" si="2"/>
        <v>OREGON - 01OALTB15N-OR OUTD AR LGT NR</v>
      </c>
      <c r="J71" s="2501"/>
      <c r="K71" s="2886"/>
    </row>
    <row r="72" spans="1:11" ht="16.7" customHeight="1" x14ac:dyDescent="0.2">
      <c r="A72" s="2749">
        <f t="shared" si="4"/>
        <v>11.060999999999982</v>
      </c>
      <c r="B72" s="2512" t="s">
        <v>8685</v>
      </c>
      <c r="C72" s="2530">
        <v>38</v>
      </c>
      <c r="D72" s="2530">
        <v>2162</v>
      </c>
      <c r="E72" s="2530">
        <v>0</v>
      </c>
      <c r="F72" s="2530">
        <v>0</v>
      </c>
      <c r="G72" s="2887">
        <v>5.6899999999999999E-2</v>
      </c>
      <c r="H72" s="2479" t="str">
        <f t="shared" si="2"/>
        <v>OREGON - 01PTOU0023, OR GEN SRV, TOU ENG SPLY SRV</v>
      </c>
      <c r="J72" s="2501"/>
      <c r="K72" s="2886"/>
    </row>
    <row r="73" spans="1:11" ht="16.7" customHeight="1" x14ac:dyDescent="0.2">
      <c r="A73" s="2749">
        <f t="shared" si="4"/>
        <v>11.061999999999982</v>
      </c>
      <c r="B73" s="2512" t="s">
        <v>8688</v>
      </c>
      <c r="C73" s="2530">
        <v>87</v>
      </c>
      <c r="D73" s="2530">
        <v>5310</v>
      </c>
      <c r="E73" s="2530">
        <v>0</v>
      </c>
      <c r="F73" s="2530">
        <v>0</v>
      </c>
      <c r="G73" s="2887">
        <v>6.0999999999999999E-2</v>
      </c>
      <c r="H73" s="2479" t="str">
        <f t="shared" si="2"/>
        <v>OREGON - 01RENW0023, OR RENW USAGE SPLY SRV</v>
      </c>
      <c r="J73" s="2501"/>
      <c r="K73" s="2886"/>
    </row>
    <row r="74" spans="1:11" ht="16.7" customHeight="1" x14ac:dyDescent="0.2">
      <c r="A74" s="2749">
        <f t="shared" si="4"/>
        <v>11.062999999999981</v>
      </c>
      <c r="B74" s="2512" t="s">
        <v>8693</v>
      </c>
      <c r="C74" s="2530">
        <v>0</v>
      </c>
      <c r="D74" s="2530">
        <v>1135</v>
      </c>
      <c r="E74" s="2530">
        <v>1</v>
      </c>
      <c r="F74" s="2530">
        <v>0</v>
      </c>
      <c r="G74" s="2887">
        <v>0</v>
      </c>
      <c r="H74" s="2479" t="str">
        <f t="shared" si="2"/>
        <v>OREGON - 01VIR23136-OR VOLUME INCENTIVE &lt;= 30 KW</v>
      </c>
      <c r="J74" s="2501"/>
      <c r="K74" s="2886"/>
    </row>
    <row r="75" spans="1:11" ht="16.7" customHeight="1" x14ac:dyDescent="0.2">
      <c r="A75" s="2749">
        <f t="shared" si="4"/>
        <v>11.063999999999981</v>
      </c>
      <c r="B75" s="2512" t="s">
        <v>8694</v>
      </c>
      <c r="C75" s="2530">
        <v>0</v>
      </c>
      <c r="D75" s="2530">
        <v>18672</v>
      </c>
      <c r="E75" s="2530">
        <v>2</v>
      </c>
      <c r="F75" s="2530">
        <v>0</v>
      </c>
      <c r="G75" s="2887">
        <v>0</v>
      </c>
      <c r="H75" s="2479" t="str">
        <f t="shared" si="2"/>
        <v>OREGON - 01VIR28136-OR VOLUME INCENTIVE &gt; 30 KW</v>
      </c>
      <c r="J75" s="2501"/>
      <c r="K75" s="2886"/>
    </row>
    <row r="76" spans="1:11" ht="16.7" customHeight="1" x14ac:dyDescent="0.2">
      <c r="A76" s="2749">
        <f t="shared" si="4"/>
        <v>11.06499999999998</v>
      </c>
      <c r="B76" s="2512" t="s">
        <v>8695</v>
      </c>
      <c r="C76" s="2530">
        <v>0</v>
      </c>
      <c r="D76" s="2530">
        <v>103494</v>
      </c>
      <c r="E76" s="2530">
        <v>1</v>
      </c>
      <c r="F76" s="2530">
        <v>0</v>
      </c>
      <c r="G76" s="2887">
        <v>0</v>
      </c>
      <c r="H76" s="2479" t="str">
        <f t="shared" si="2"/>
        <v>OREGON - 01VIR30136-OR VOLUME INCENTIVE &gt; 200 kW</v>
      </c>
      <c r="J76" s="2501"/>
      <c r="K76" s="2886"/>
    </row>
    <row r="77" spans="1:11" ht="16.7" customHeight="1" x14ac:dyDescent="0.2">
      <c r="A77" s="2749">
        <f t="shared" si="4"/>
        <v>11.065999999999979</v>
      </c>
      <c r="B77" s="2512" t="s">
        <v>8444</v>
      </c>
      <c r="C77" s="2530">
        <v>0</v>
      </c>
      <c r="D77" s="2530">
        <v>380004</v>
      </c>
      <c r="E77" s="2530">
        <v>0</v>
      </c>
      <c r="F77" s="2530">
        <v>0</v>
      </c>
      <c r="G77" s="2887">
        <v>0</v>
      </c>
      <c r="H77" s="2479" t="str">
        <f t="shared" si="2"/>
        <v>OREGON - REVENUE_ACCOUNTING ADJUSTMENTS</v>
      </c>
      <c r="J77" s="2501"/>
      <c r="K77" s="2886"/>
    </row>
    <row r="78" spans="1:11" ht="16.7" customHeight="1" x14ac:dyDescent="0.2">
      <c r="A78" s="2749">
        <f t="shared" si="4"/>
        <v>11.066999999999979</v>
      </c>
      <c r="B78" s="2512" t="s">
        <v>8445</v>
      </c>
      <c r="C78" s="2530">
        <v>0</v>
      </c>
      <c r="D78" s="2530">
        <v>415746</v>
      </c>
      <c r="E78" s="2530">
        <v>0</v>
      </c>
      <c r="F78" s="2530">
        <v>0</v>
      </c>
      <c r="G78" s="2887">
        <v>0</v>
      </c>
      <c r="H78" s="2479" t="str">
        <f t="shared" si="2"/>
        <v>OREGON - SOLAR FEED-IN REVENUE</v>
      </c>
      <c r="J78" s="2501"/>
      <c r="K78" s="2886"/>
    </row>
    <row r="79" spans="1:11" ht="16.7" customHeight="1" x14ac:dyDescent="0.2">
      <c r="A79" s="2749">
        <f t="shared" si="4"/>
        <v>11.067999999999978</v>
      </c>
      <c r="B79" s="2512" t="s">
        <v>8446</v>
      </c>
      <c r="C79" s="2530">
        <v>0</v>
      </c>
      <c r="D79" s="2530">
        <v>239588</v>
      </c>
      <c r="E79" s="2530">
        <v>0</v>
      </c>
      <c r="F79" s="2530">
        <v>0</v>
      </c>
      <c r="G79" s="2887">
        <v>0</v>
      </c>
      <c r="H79" s="2479" t="str">
        <f t="shared" si="2"/>
        <v>OREGON - OTHER CUSTOMER RETAIL REVENUE</v>
      </c>
      <c r="J79" s="2501"/>
      <c r="K79" s="2886"/>
    </row>
    <row r="80" spans="1:11" ht="16.7" customHeight="1" x14ac:dyDescent="0.2">
      <c r="A80" s="2749">
        <f t="shared" si="4"/>
        <v>11.068999999999978</v>
      </c>
      <c r="B80" s="2512" t="s">
        <v>8447</v>
      </c>
      <c r="C80" s="2530">
        <v>0</v>
      </c>
      <c r="D80" s="2530">
        <v>89238</v>
      </c>
      <c r="E80" s="2530">
        <v>0</v>
      </c>
      <c r="F80" s="2530">
        <v>0</v>
      </c>
      <c r="G80" s="2887">
        <v>0</v>
      </c>
      <c r="H80" s="2479" t="str">
        <f t="shared" si="2"/>
        <v>OREGON - COMMUNITY SOLAR REVENUE</v>
      </c>
      <c r="J80" s="2501"/>
      <c r="K80" s="2886"/>
    </row>
    <row r="81" spans="1:11" ht="16.7" customHeight="1" x14ac:dyDescent="0.2">
      <c r="A81" s="2749">
        <f t="shared" si="4"/>
        <v>11.069999999999977</v>
      </c>
      <c r="B81" s="2512" t="s">
        <v>8852</v>
      </c>
      <c r="C81" s="2530">
        <v>0</v>
      </c>
      <c r="D81" s="2530">
        <v>7210788</v>
      </c>
      <c r="E81" s="2530">
        <v>0</v>
      </c>
      <c r="F81" s="2530">
        <v>0</v>
      </c>
      <c r="G81" s="2887">
        <v>0</v>
      </c>
      <c r="H81" s="2479" t="str">
        <f t="shared" si="2"/>
        <v>OREGON - DSM REVENUE-INDUSTRIAL</v>
      </c>
      <c r="J81" s="2501"/>
      <c r="K81" s="2886"/>
    </row>
    <row r="82" spans="1:11" ht="16.7" customHeight="1" x14ac:dyDescent="0.2">
      <c r="A82" s="2749">
        <f t="shared" si="4"/>
        <v>11.070999999999977</v>
      </c>
      <c r="B82" s="2512" t="s">
        <v>8853</v>
      </c>
      <c r="C82" s="2530">
        <v>0</v>
      </c>
      <c r="D82" s="2530">
        <v>353381</v>
      </c>
      <c r="E82" s="2530">
        <v>4</v>
      </c>
      <c r="F82" s="2530">
        <v>0</v>
      </c>
      <c r="G82" s="2887">
        <v>0</v>
      </c>
      <c r="H82" s="2479" t="str">
        <f t="shared" si="2"/>
        <v>OREGON - BLUE SKY REVENUE-INDUSTRIAL</v>
      </c>
      <c r="J82" s="2501"/>
      <c r="K82" s="2886"/>
    </row>
    <row r="83" spans="1:11" ht="16.7" customHeight="1" x14ac:dyDescent="0.2">
      <c r="A83" s="2489"/>
      <c r="B83" s="2512"/>
      <c r="C83" s="2488"/>
      <c r="D83" s="2488"/>
      <c r="E83" s="2488"/>
      <c r="F83" s="2488"/>
      <c r="G83" s="2488"/>
      <c r="H83" s="2595">
        <f t="shared" si="2"/>
        <v>0</v>
      </c>
      <c r="J83" s="2501"/>
      <c r="K83" s="2886"/>
    </row>
    <row r="84" spans="1:11" ht="16.7" customHeight="1" x14ac:dyDescent="0.2">
      <c r="A84" s="2489"/>
      <c r="B84" s="2669" t="s">
        <v>8450</v>
      </c>
      <c r="C84" s="2488"/>
      <c r="D84" s="2488"/>
      <c r="E84" s="2488"/>
      <c r="F84" s="2488"/>
      <c r="G84" s="2488"/>
      <c r="H84" s="2479" t="str">
        <f t="shared" ref="H84:H147" si="5">B84</f>
        <v>UTAH</v>
      </c>
      <c r="J84" s="2501"/>
      <c r="K84" s="2886"/>
    </row>
    <row r="85" spans="1:11" ht="16.7" customHeight="1" x14ac:dyDescent="0.2">
      <c r="A85" s="2749">
        <f>A82+0.001</f>
        <v>11.071999999999976</v>
      </c>
      <c r="B85" s="2512" t="s">
        <v>8709</v>
      </c>
      <c r="C85" s="2530">
        <v>0</v>
      </c>
      <c r="D85" s="2530">
        <v>15065</v>
      </c>
      <c r="E85" s="2530">
        <v>0</v>
      </c>
      <c r="F85" s="2530">
        <v>0</v>
      </c>
      <c r="G85" s="2887">
        <v>0</v>
      </c>
      <c r="H85" s="2479" t="str">
        <f t="shared" si="5"/>
        <v xml:space="preserve">UTAH - 08CFR00051-MTH FAC SRVCHG               </v>
      </c>
      <c r="J85" s="2501"/>
      <c r="K85" s="2886"/>
    </row>
    <row r="86" spans="1:11" ht="16.7" customHeight="1" x14ac:dyDescent="0.2">
      <c r="A86" s="2749">
        <f t="shared" ref="A86:A127" si="6">A85+0.001</f>
        <v>11.072999999999976</v>
      </c>
      <c r="B86" s="2512" t="s">
        <v>8714</v>
      </c>
      <c r="C86" s="2530">
        <v>12</v>
      </c>
      <c r="D86" s="2530">
        <v>1395.3</v>
      </c>
      <c r="E86" s="2530">
        <v>1</v>
      </c>
      <c r="F86" s="2530">
        <v>12000</v>
      </c>
      <c r="G86" s="2887">
        <v>0.1163</v>
      </c>
      <c r="H86" s="2479" t="str">
        <f t="shared" si="5"/>
        <v>UTAH - 08CGM23136-UTAH NET METER SM GEN SVC</v>
      </c>
      <c r="J86" s="2501"/>
      <c r="K86" s="2886"/>
    </row>
    <row r="87" spans="1:11" ht="16.7" customHeight="1" x14ac:dyDescent="0.2">
      <c r="A87" s="2749">
        <f t="shared" si="6"/>
        <v>11.073999999999975</v>
      </c>
      <c r="B87" s="2512" t="s">
        <v>8718</v>
      </c>
      <c r="C87" s="2530">
        <v>1255</v>
      </c>
      <c r="D87" s="2530">
        <v>105298</v>
      </c>
      <c r="E87" s="2530">
        <v>1</v>
      </c>
      <c r="F87" s="2530">
        <v>1255000</v>
      </c>
      <c r="G87" s="2887">
        <v>8.3900000000000002E-2</v>
      </c>
      <c r="H87" s="2479" t="str">
        <f t="shared" si="5"/>
        <v>UTAH - 08CGN06136-UT GEN SVC TRANSITION GEN</v>
      </c>
      <c r="J87" s="2501"/>
      <c r="K87" s="2886"/>
    </row>
    <row r="88" spans="1:11" ht="16.7" customHeight="1" x14ac:dyDescent="0.2">
      <c r="A88" s="2749">
        <f t="shared" si="6"/>
        <v>11.074999999999974</v>
      </c>
      <c r="B88" s="2512" t="s">
        <v>8719</v>
      </c>
      <c r="C88" s="2530">
        <v>247</v>
      </c>
      <c r="D88" s="2530">
        <v>19990</v>
      </c>
      <c r="E88" s="2530">
        <v>1</v>
      </c>
      <c r="F88" s="2530">
        <v>247000</v>
      </c>
      <c r="G88" s="2887">
        <v>8.09E-2</v>
      </c>
      <c r="H88" s="2479" t="str">
        <f t="shared" si="5"/>
        <v>UTAH - 08CGN06137-UT GEN SVC CUST GEN 137</v>
      </c>
      <c r="J88" s="2501"/>
      <c r="K88" s="2886"/>
    </row>
    <row r="89" spans="1:11" ht="16.7" customHeight="1" x14ac:dyDescent="0.2">
      <c r="A89" s="2749">
        <f t="shared" si="6"/>
        <v>11.075999999999974</v>
      </c>
      <c r="B89" s="2512" t="s">
        <v>8720</v>
      </c>
      <c r="C89" s="2530">
        <v>42</v>
      </c>
      <c r="D89" s="2530">
        <v>4134</v>
      </c>
      <c r="E89" s="2530">
        <v>1</v>
      </c>
      <c r="F89" s="2530">
        <v>42000</v>
      </c>
      <c r="G89" s="2887">
        <v>9.8400000000000001E-2</v>
      </c>
      <c r="H89" s="2479" t="str">
        <f t="shared" si="5"/>
        <v>UTAH - 08CGN23136-UTAH NET METER SMALL GEN SVC</v>
      </c>
      <c r="J89" s="2501"/>
      <c r="K89" s="2886"/>
    </row>
    <row r="90" spans="1:11" ht="16.7" customHeight="1" x14ac:dyDescent="0.2">
      <c r="A90" s="2749">
        <f t="shared" si="6"/>
        <v>11.076999999999973</v>
      </c>
      <c r="B90" s="2512" t="s">
        <v>8721</v>
      </c>
      <c r="C90" s="2530">
        <v>59</v>
      </c>
      <c r="D90" s="2530">
        <v>5892</v>
      </c>
      <c r="E90" s="2530">
        <v>2</v>
      </c>
      <c r="F90" s="2530">
        <v>29500</v>
      </c>
      <c r="G90" s="2887">
        <v>9.9900000000000003E-2</v>
      </c>
      <c r="H90" s="2479" t="str">
        <f t="shared" si="5"/>
        <v>UTAH - 08CGN23137-UT NET MTR SMALL GEN SVC</v>
      </c>
      <c r="J90" s="2501"/>
      <c r="K90" s="2886"/>
    </row>
    <row r="91" spans="1:11" ht="16.7" customHeight="1" x14ac:dyDescent="0.2">
      <c r="A91" s="2749">
        <f t="shared" si="6"/>
        <v>11.077999999999973</v>
      </c>
      <c r="B91" s="2512" t="s">
        <v>8722</v>
      </c>
      <c r="C91" s="2530">
        <v>545319</v>
      </c>
      <c r="D91" s="2530">
        <v>47048446</v>
      </c>
      <c r="E91" s="2530">
        <v>879</v>
      </c>
      <c r="F91" s="2530">
        <v>620386</v>
      </c>
      <c r="G91" s="2887">
        <v>8.6300000000000002E-2</v>
      </c>
      <c r="H91" s="2479" t="str">
        <f t="shared" si="5"/>
        <v xml:space="preserve">UTAH - 08GNSV0006-GEN SRVC-DISTR               </v>
      </c>
      <c r="J91" s="2501"/>
      <c r="K91" s="2886"/>
    </row>
    <row r="92" spans="1:11" ht="16.7" customHeight="1" x14ac:dyDescent="0.2">
      <c r="A92" s="2749">
        <f t="shared" si="6"/>
        <v>11.078999999999972</v>
      </c>
      <c r="B92" s="2512" t="s">
        <v>8723</v>
      </c>
      <c r="C92" s="2530">
        <v>2773219</v>
      </c>
      <c r="D92" s="2530">
        <v>154810061</v>
      </c>
      <c r="E92" s="2530">
        <v>97</v>
      </c>
      <c r="F92" s="2530">
        <v>28589887</v>
      </c>
      <c r="G92" s="2887">
        <v>5.5800000000000002E-2</v>
      </c>
      <c r="H92" s="2479" t="str">
        <f t="shared" si="5"/>
        <v xml:space="preserve">UTAH - 08GNSV0009-GEN SRVC-HI VO               </v>
      </c>
      <c r="J92" s="2501"/>
      <c r="K92" s="2886"/>
    </row>
    <row r="93" spans="1:11" ht="16.7" customHeight="1" x14ac:dyDescent="0.2">
      <c r="A93" s="2749">
        <f t="shared" si="6"/>
        <v>11.079999999999972</v>
      </c>
      <c r="B93" s="2512" t="s">
        <v>8724</v>
      </c>
      <c r="C93" s="2530">
        <v>47968</v>
      </c>
      <c r="D93" s="2530">
        <v>4689476</v>
      </c>
      <c r="E93" s="2530">
        <v>3003</v>
      </c>
      <c r="F93" s="2530">
        <v>15973</v>
      </c>
      <c r="G93" s="2887">
        <v>9.7799999999999998E-2</v>
      </c>
      <c r="H93" s="2479" t="str">
        <f t="shared" si="5"/>
        <v xml:space="preserve">UTAH - 08GNSV0023-GEN SRVC-DISTR               </v>
      </c>
      <c r="J93" s="2501"/>
      <c r="K93" s="2886"/>
    </row>
    <row r="94" spans="1:11" ht="16.7" customHeight="1" x14ac:dyDescent="0.2">
      <c r="A94" s="2749">
        <f t="shared" si="6"/>
        <v>11.080999999999971</v>
      </c>
      <c r="B94" s="2512" t="s">
        <v>8725</v>
      </c>
      <c r="C94" s="2530">
        <v>56411</v>
      </c>
      <c r="D94" s="2530">
        <v>6544086</v>
      </c>
      <c r="E94" s="2530">
        <v>234</v>
      </c>
      <c r="F94" s="2530">
        <v>241073</v>
      </c>
      <c r="G94" s="2887">
        <v>0.11600000000000001</v>
      </c>
      <c r="H94" s="2479" t="str">
        <f t="shared" si="5"/>
        <v xml:space="preserve">UTAH - 08GNSV006A-GEN SRVC-ENERG               </v>
      </c>
      <c r="J94" s="2501"/>
      <c r="K94" s="2886"/>
    </row>
    <row r="95" spans="1:11" ht="16.7" customHeight="1" x14ac:dyDescent="0.2">
      <c r="A95" s="2749">
        <f t="shared" si="6"/>
        <v>11.081999999999971</v>
      </c>
      <c r="B95" s="2512" t="s">
        <v>8726</v>
      </c>
      <c r="C95" s="2530">
        <v>67</v>
      </c>
      <c r="D95" s="2530">
        <v>19828</v>
      </c>
      <c r="E95" s="2530">
        <v>0</v>
      </c>
      <c r="F95" s="2530">
        <v>0</v>
      </c>
      <c r="G95" s="2887">
        <v>0.2959</v>
      </c>
      <c r="H95" s="2479" t="str">
        <f t="shared" si="5"/>
        <v xml:space="preserve">UTAH - 08GNSV006M-MNL DIST VOLTG               </v>
      </c>
      <c r="J95" s="2501"/>
      <c r="K95" s="2886"/>
    </row>
    <row r="96" spans="1:11" ht="16.7" customHeight="1" x14ac:dyDescent="0.2">
      <c r="A96" s="2749">
        <f t="shared" si="6"/>
        <v>11.08299999999997</v>
      </c>
      <c r="B96" s="2512" t="s">
        <v>8727</v>
      </c>
      <c r="C96" s="2530">
        <v>17148</v>
      </c>
      <c r="D96" s="2530">
        <v>1521467</v>
      </c>
      <c r="E96" s="2530">
        <v>6</v>
      </c>
      <c r="F96" s="2530">
        <v>2858000</v>
      </c>
      <c r="G96" s="2887">
        <v>8.8700000000000001E-2</v>
      </c>
      <c r="H96" s="2479" t="str">
        <f t="shared" si="5"/>
        <v xml:space="preserve">UTAH - 08GNSV009A-GEN SRVC HI VO               </v>
      </c>
      <c r="J96" s="2501"/>
      <c r="K96" s="2886"/>
    </row>
    <row r="97" spans="1:11" ht="16.7" customHeight="1" x14ac:dyDescent="0.2">
      <c r="A97" s="2749">
        <f t="shared" si="6"/>
        <v>11.083999999999969</v>
      </c>
      <c r="B97" s="2512" t="s">
        <v>8728</v>
      </c>
      <c r="C97" s="2530">
        <v>694890</v>
      </c>
      <c r="D97" s="2530">
        <v>36932038</v>
      </c>
      <c r="E97" s="2530">
        <v>11</v>
      </c>
      <c r="F97" s="2530">
        <v>63171818</v>
      </c>
      <c r="G97" s="2887">
        <v>5.3100000000000001E-2</v>
      </c>
      <c r="H97" s="2479" t="str">
        <f t="shared" si="5"/>
        <v xml:space="preserve">UTAH - 08GNSV009M-MANL HIGH VOLT               </v>
      </c>
      <c r="J97" s="2501"/>
      <c r="K97" s="2886"/>
    </row>
    <row r="98" spans="1:11" ht="16.7" customHeight="1" x14ac:dyDescent="0.2">
      <c r="A98" s="2749">
        <f t="shared" si="6"/>
        <v>11.084999999999969</v>
      </c>
      <c r="B98" s="2512" t="s">
        <v>8729</v>
      </c>
      <c r="C98" s="2530">
        <v>1</v>
      </c>
      <c r="D98" s="2530">
        <v>635</v>
      </c>
      <c r="E98" s="2530">
        <v>0</v>
      </c>
      <c r="F98" s="2530">
        <v>0</v>
      </c>
      <c r="G98" s="2887">
        <v>0.63500000000000001</v>
      </c>
      <c r="H98" s="2479" t="str">
        <f t="shared" si="5"/>
        <v xml:space="preserve">UTAH - 08GNSV023F-GEN SRVC FIXED               </v>
      </c>
      <c r="J98" s="2501"/>
      <c r="K98" s="2886"/>
    </row>
    <row r="99" spans="1:11" ht="16.7" customHeight="1" x14ac:dyDescent="0.2">
      <c r="A99" s="2749">
        <f t="shared" si="6"/>
        <v>11.085999999999968</v>
      </c>
      <c r="B99" s="2512" t="s">
        <v>8731</v>
      </c>
      <c r="C99" s="2530">
        <v>510</v>
      </c>
      <c r="D99" s="2530">
        <v>49701</v>
      </c>
      <c r="E99" s="2530">
        <v>15</v>
      </c>
      <c r="F99" s="2530">
        <v>34000</v>
      </c>
      <c r="G99" s="2887">
        <v>9.7500000000000003E-2</v>
      </c>
      <c r="H99" s="2479" t="str">
        <f t="shared" si="5"/>
        <v xml:space="preserve">UTAH - 08GNSV06MN-GNSV DIST VOLT               </v>
      </c>
      <c r="J99" s="2501"/>
      <c r="K99" s="2886"/>
    </row>
    <row r="100" spans="1:11" ht="16.7" customHeight="1" x14ac:dyDescent="0.2">
      <c r="A100" s="2749">
        <f t="shared" si="6"/>
        <v>11.086999999999968</v>
      </c>
      <c r="B100" s="2512" t="s">
        <v>8733</v>
      </c>
      <c r="C100" s="2530">
        <v>0</v>
      </c>
      <c r="D100" s="2530">
        <v>718374</v>
      </c>
      <c r="E100" s="2530">
        <v>0</v>
      </c>
      <c r="F100" s="2530">
        <v>0</v>
      </c>
      <c r="G100" s="2887">
        <v>0</v>
      </c>
      <c r="H100" s="2479" t="str">
        <f t="shared" si="5"/>
        <v xml:space="preserve">UTAH - 08LNX00002-MTHLY 80% GUAR               </v>
      </c>
      <c r="J100" s="2501"/>
      <c r="K100" s="2886"/>
    </row>
    <row r="101" spans="1:11" ht="16.7" customHeight="1" x14ac:dyDescent="0.2">
      <c r="A101" s="2749">
        <f t="shared" si="6"/>
        <v>11.087999999999967</v>
      </c>
      <c r="B101" s="2512" t="s">
        <v>8736</v>
      </c>
      <c r="C101" s="2530">
        <v>0</v>
      </c>
      <c r="D101" s="2530">
        <v>46514</v>
      </c>
      <c r="E101" s="2530">
        <v>0</v>
      </c>
      <c r="F101" s="2530">
        <v>0</v>
      </c>
      <c r="G101" s="2887">
        <v>0</v>
      </c>
      <c r="H101" s="2479" t="str">
        <f t="shared" si="5"/>
        <v xml:space="preserve">UTAH - 08LNX00014-80% MIN MNTHLY               </v>
      </c>
      <c r="J101" s="2501"/>
      <c r="K101" s="2886"/>
    </row>
    <row r="102" spans="1:11" ht="16.7" customHeight="1" x14ac:dyDescent="0.2">
      <c r="A102" s="2749">
        <f t="shared" si="6"/>
        <v>11.088999999999967</v>
      </c>
      <c r="B102" s="2512" t="s">
        <v>8737</v>
      </c>
      <c r="C102" s="2530">
        <v>0</v>
      </c>
      <c r="D102" s="2530">
        <v>640</v>
      </c>
      <c r="E102" s="2530">
        <v>0</v>
      </c>
      <c r="F102" s="2530">
        <v>0</v>
      </c>
      <c r="G102" s="2887">
        <v>0</v>
      </c>
      <c r="H102" s="2479" t="str">
        <f t="shared" si="5"/>
        <v xml:space="preserve">UTAH - 08LNX00017-ADV/REF&amp;80%ANN               </v>
      </c>
      <c r="J102" s="2501"/>
      <c r="K102" s="2886"/>
    </row>
    <row r="103" spans="1:11" ht="16.7" customHeight="1" x14ac:dyDescent="0.2">
      <c r="A103" s="2749">
        <f t="shared" si="6"/>
        <v>11.089999999999966</v>
      </c>
      <c r="B103" s="2512" t="s">
        <v>8739</v>
      </c>
      <c r="C103" s="2530">
        <v>0</v>
      </c>
      <c r="D103" s="2530">
        <v>76461</v>
      </c>
      <c r="E103" s="2530">
        <v>0</v>
      </c>
      <c r="F103" s="2530">
        <v>0</v>
      </c>
      <c r="G103" s="2887">
        <v>0</v>
      </c>
      <c r="H103" s="2479" t="str">
        <f t="shared" si="5"/>
        <v>UTAH - 08LNX00300 - LINE EXT 80% PLUS MONTHLY</v>
      </c>
      <c r="J103" s="2501"/>
      <c r="K103" s="2886"/>
    </row>
    <row r="104" spans="1:11" ht="16.7" customHeight="1" x14ac:dyDescent="0.2">
      <c r="A104" s="2749">
        <f t="shared" si="6"/>
        <v>11.090999999999966</v>
      </c>
      <c r="B104" s="2512" t="s">
        <v>8761</v>
      </c>
      <c r="C104" s="2530">
        <v>0</v>
      </c>
      <c r="D104" s="2530">
        <v>40</v>
      </c>
      <c r="E104" s="2530">
        <v>0</v>
      </c>
      <c r="F104" s="2530">
        <v>0</v>
      </c>
      <c r="G104" s="2887">
        <v>0</v>
      </c>
      <c r="H104" s="2479" t="str">
        <f t="shared" si="5"/>
        <v>UTAH - 08LNX00311 - LINE EXT 80% GUARANTEE</v>
      </c>
      <c r="J104" s="2501"/>
      <c r="K104" s="2886"/>
    </row>
    <row r="105" spans="1:11" ht="16.7" customHeight="1" x14ac:dyDescent="0.2">
      <c r="A105" s="2749">
        <f t="shared" si="6"/>
        <v>11.091999999999965</v>
      </c>
      <c r="B105" s="2512" t="s">
        <v>8747</v>
      </c>
      <c r="C105" s="2530">
        <v>789</v>
      </c>
      <c r="D105" s="2530">
        <v>87887</v>
      </c>
      <c r="E105" s="2530">
        <v>363</v>
      </c>
      <c r="F105" s="2530">
        <v>2174</v>
      </c>
      <c r="G105" s="2887">
        <v>0.1114</v>
      </c>
      <c r="H105" s="2479" t="str">
        <f t="shared" si="5"/>
        <v xml:space="preserve">UTAH - 08OALT007N-SECURITY AR LG               </v>
      </c>
      <c r="J105" s="2501"/>
      <c r="K105" s="2886"/>
    </row>
    <row r="106" spans="1:11" ht="16.7" customHeight="1" x14ac:dyDescent="0.2">
      <c r="A106" s="2749">
        <f t="shared" si="6"/>
        <v>11.092999999999964</v>
      </c>
      <c r="B106" s="2512" t="s">
        <v>8759</v>
      </c>
      <c r="C106" s="2530">
        <v>57</v>
      </c>
      <c r="D106" s="2530">
        <v>5134</v>
      </c>
      <c r="E106" s="2530">
        <v>8</v>
      </c>
      <c r="F106" s="2530">
        <v>7125</v>
      </c>
      <c r="G106" s="2887">
        <v>9.01E-2</v>
      </c>
      <c r="H106" s="2479" t="str">
        <f t="shared" si="5"/>
        <v>UTAH - 08TOSS0015-TRAF &amp; OTHER S</v>
      </c>
      <c r="J106" s="2501"/>
      <c r="K106" s="2886"/>
    </row>
    <row r="107" spans="1:11" ht="16.7" customHeight="1" x14ac:dyDescent="0.2">
      <c r="A107" s="2749">
        <f t="shared" si="6"/>
        <v>11.093999999999964</v>
      </c>
      <c r="B107" s="2512" t="s">
        <v>8760</v>
      </c>
      <c r="C107" s="2530">
        <v>7</v>
      </c>
      <c r="D107" s="2530">
        <v>366</v>
      </c>
      <c r="E107" s="2530">
        <v>2</v>
      </c>
      <c r="F107" s="2530">
        <v>3500</v>
      </c>
      <c r="G107" s="2887">
        <v>5.2299999999999999E-2</v>
      </c>
      <c r="H107" s="2479" t="str">
        <f t="shared" si="5"/>
        <v>UTAH - 08MONL0015-MTR OUTDONIGHT</v>
      </c>
      <c r="J107" s="2501"/>
      <c r="K107" s="2886"/>
    </row>
    <row r="108" spans="1:11" ht="16.7" customHeight="1" x14ac:dyDescent="0.2">
      <c r="A108" s="2749">
        <f t="shared" si="6"/>
        <v>11.094999999999963</v>
      </c>
      <c r="B108" s="2512" t="s">
        <v>8742</v>
      </c>
      <c r="C108" s="2530">
        <v>2352</v>
      </c>
      <c r="D108" s="2530">
        <v>214282</v>
      </c>
      <c r="E108" s="2530">
        <v>6</v>
      </c>
      <c r="F108" s="2530">
        <v>392000</v>
      </c>
      <c r="G108" s="2887">
        <v>9.11E-2</v>
      </c>
      <c r="H108" s="2479" t="str">
        <f t="shared" si="5"/>
        <v>UTAH - 08NMT06135-UT NET METERING GEN SVC</v>
      </c>
      <c r="J108" s="2501"/>
      <c r="K108" s="2886"/>
    </row>
    <row r="109" spans="1:11" ht="16.7" customHeight="1" x14ac:dyDescent="0.2">
      <c r="A109" s="2749">
        <f t="shared" si="6"/>
        <v>11.095999999999963</v>
      </c>
      <c r="B109" s="2512" t="s">
        <v>8744</v>
      </c>
      <c r="C109" s="2530">
        <v>148</v>
      </c>
      <c r="D109" s="2530">
        <v>17997</v>
      </c>
      <c r="E109" s="2530">
        <v>17</v>
      </c>
      <c r="F109" s="2530">
        <v>8706</v>
      </c>
      <c r="G109" s="2887">
        <v>0.1216</v>
      </c>
      <c r="H109" s="2479" t="str">
        <f t="shared" si="5"/>
        <v>UTAH - 08NMT23135 - UT NET MTR, GEN, &lt; 25 KW</v>
      </c>
      <c r="J109" s="2501"/>
      <c r="K109" s="2886"/>
    </row>
    <row r="110" spans="1:11" ht="16.7" customHeight="1" x14ac:dyDescent="0.2">
      <c r="A110" s="2749">
        <f t="shared" si="6"/>
        <v>11.096999999999962</v>
      </c>
      <c r="B110" s="2512" t="s">
        <v>8745</v>
      </c>
      <c r="C110" s="2530">
        <v>5592</v>
      </c>
      <c r="D110" s="2530">
        <v>646727</v>
      </c>
      <c r="E110" s="2530">
        <v>14</v>
      </c>
      <c r="F110" s="2530">
        <v>399429</v>
      </c>
      <c r="G110" s="2887">
        <v>0.1157</v>
      </c>
      <c r="H110" s="2479" t="str">
        <f t="shared" si="5"/>
        <v>UTAH - 08NMT6A135-NET METERING GEN SVC TOU</v>
      </c>
      <c r="J110" s="2501"/>
      <c r="K110" s="2886"/>
    </row>
    <row r="111" spans="1:11" ht="16.7" customHeight="1" x14ac:dyDescent="0.2">
      <c r="A111" s="2749">
        <f t="shared" si="6"/>
        <v>11.097999999999962</v>
      </c>
      <c r="B111" s="2512" t="s">
        <v>8748</v>
      </c>
      <c r="C111" s="2530">
        <v>116711</v>
      </c>
      <c r="D111" s="2530">
        <v>7242375</v>
      </c>
      <c r="E111" s="2530">
        <v>3</v>
      </c>
      <c r="F111" s="2530">
        <v>38903667</v>
      </c>
      <c r="G111" s="2887">
        <v>6.2100000000000002E-2</v>
      </c>
      <c r="H111" s="2479" t="str">
        <f t="shared" si="5"/>
        <v xml:space="preserve">UTAH - 08PRSV031M-BKUP MNT&amp;SUPPL               </v>
      </c>
      <c r="J111" s="2501"/>
      <c r="K111" s="2886"/>
    </row>
    <row r="112" spans="1:11" ht="16.7" customHeight="1" x14ac:dyDescent="0.2">
      <c r="A112" s="2749">
        <f t="shared" si="6"/>
        <v>11.098999999999961</v>
      </c>
      <c r="B112" s="2512" t="s">
        <v>8854</v>
      </c>
      <c r="C112" s="2530">
        <v>582245</v>
      </c>
      <c r="D112" s="2530">
        <v>35231916</v>
      </c>
      <c r="E112" s="2530">
        <v>1</v>
      </c>
      <c r="F112" s="2530">
        <v>582245000</v>
      </c>
      <c r="G112" s="2887">
        <v>6.0499999999999998E-2</v>
      </c>
      <c r="H112" s="2479" t="str">
        <f t="shared" si="5"/>
        <v xml:space="preserve">UTAH - 08SPCL0001                              </v>
      </c>
      <c r="J112" s="2501"/>
      <c r="K112" s="2886"/>
    </row>
    <row r="113" spans="1:11" ht="16.7" customHeight="1" x14ac:dyDescent="0.2">
      <c r="A113" s="2749">
        <f t="shared" si="6"/>
        <v>11.099999999999961</v>
      </c>
      <c r="B113" s="2512" t="s">
        <v>8855</v>
      </c>
      <c r="C113" s="2530">
        <v>36716</v>
      </c>
      <c r="D113" s="2888">
        <f>1819909-1</f>
        <v>1819908</v>
      </c>
      <c r="E113" s="2530">
        <v>1</v>
      </c>
      <c r="F113" s="2530">
        <v>36716000</v>
      </c>
      <c r="G113" s="2887">
        <v>4.9599999999999998E-2</v>
      </c>
      <c r="H113" s="2479" t="str">
        <f t="shared" si="5"/>
        <v xml:space="preserve">UTAH - 08SPCL0002                              </v>
      </c>
      <c r="J113" s="2501"/>
      <c r="K113" s="2886"/>
    </row>
    <row r="114" spans="1:11" ht="16.7" customHeight="1" x14ac:dyDescent="0.2">
      <c r="A114" s="2749">
        <f t="shared" si="6"/>
        <v>11.10099999999996</v>
      </c>
      <c r="B114" s="2512" t="s">
        <v>8856</v>
      </c>
      <c r="C114" s="2530">
        <v>1164893</v>
      </c>
      <c r="D114" s="2530">
        <v>111628473</v>
      </c>
      <c r="E114" s="2530">
        <v>1</v>
      </c>
      <c r="F114" s="2530">
        <v>1164893000</v>
      </c>
      <c r="G114" s="2887">
        <v>9.5799999999999996E-2</v>
      </c>
      <c r="H114" s="2479" t="str">
        <f t="shared" si="5"/>
        <v xml:space="preserve">UTAH - 08SPCL0003                              </v>
      </c>
      <c r="J114" s="2501"/>
      <c r="K114" s="2886"/>
    </row>
    <row r="115" spans="1:11" ht="16.7" customHeight="1" x14ac:dyDescent="0.2">
      <c r="A115" s="2749">
        <f t="shared" si="6"/>
        <v>11.101999999999959</v>
      </c>
      <c r="B115" s="2512" t="s">
        <v>8752</v>
      </c>
      <c r="C115" s="2530">
        <v>315</v>
      </c>
      <c r="D115" s="2530">
        <v>25032</v>
      </c>
      <c r="E115" s="2530">
        <v>1</v>
      </c>
      <c r="F115" s="2530">
        <v>315000</v>
      </c>
      <c r="G115" s="2887">
        <v>7.9500000000000001E-2</v>
      </c>
      <c r="H115" s="2479" t="str">
        <f t="shared" si="5"/>
        <v>UTAH - 08SSLR0006-GENERAL SVC SUBSCR SOLAR</v>
      </c>
      <c r="J115" s="2501"/>
      <c r="K115" s="2886"/>
    </row>
    <row r="116" spans="1:11" ht="16.7" customHeight="1" x14ac:dyDescent="0.2">
      <c r="A116" s="2749">
        <f t="shared" si="6"/>
        <v>11.102999999999959</v>
      </c>
      <c r="B116" s="2512" t="s">
        <v>8753</v>
      </c>
      <c r="C116" s="2530">
        <v>221</v>
      </c>
      <c r="D116" s="2530">
        <v>26501</v>
      </c>
      <c r="E116" s="2530">
        <v>32</v>
      </c>
      <c r="F116" s="2530">
        <v>6906</v>
      </c>
      <c r="G116" s="2887">
        <v>0.11990000000000001</v>
      </c>
      <c r="H116" s="2479" t="str">
        <f t="shared" si="5"/>
        <v>UTAH - 08SSLR0023-SMALL GEN SVC SUBSCR SOLAR</v>
      </c>
      <c r="J116" s="2501"/>
      <c r="K116" s="2886"/>
    </row>
    <row r="117" spans="1:11" ht="16.7" customHeight="1" x14ac:dyDescent="0.2">
      <c r="A117" s="2749">
        <f t="shared" si="6"/>
        <v>11.103999999999958</v>
      </c>
      <c r="B117" s="2512" t="s">
        <v>8754</v>
      </c>
      <c r="C117" s="2530">
        <v>10270</v>
      </c>
      <c r="D117" s="2530">
        <v>999103</v>
      </c>
      <c r="E117" s="2530">
        <v>31</v>
      </c>
      <c r="F117" s="2530">
        <v>331290</v>
      </c>
      <c r="G117" s="2887">
        <v>9.7299999999999998E-2</v>
      </c>
      <c r="H117" s="2479" t="str">
        <f t="shared" si="5"/>
        <v>UTAH - 08SSLR06AM-GEN SVC TOU SOLAR SUBSCR MAN</v>
      </c>
      <c r="J117" s="2501"/>
      <c r="K117" s="2886"/>
    </row>
    <row r="118" spans="1:11" ht="16.7" customHeight="1" x14ac:dyDescent="0.2">
      <c r="A118" s="2749">
        <f t="shared" si="6"/>
        <v>11.104999999999958</v>
      </c>
      <c r="B118" s="2512" t="s">
        <v>8756</v>
      </c>
      <c r="C118" s="2530">
        <v>0</v>
      </c>
      <c r="D118" s="2530">
        <v>20887</v>
      </c>
      <c r="E118" s="2530">
        <v>0</v>
      </c>
      <c r="F118" s="2530">
        <v>0</v>
      </c>
      <c r="G118" s="2887">
        <v>0</v>
      </c>
      <c r="H118" s="2479" t="str">
        <f t="shared" si="5"/>
        <v>UTAH - 08TCVLNXGN-TCV LNX - 80% GAR - NON RES</v>
      </c>
      <c r="J118" s="2501"/>
      <c r="K118" s="2886"/>
    </row>
    <row r="119" spans="1:11" ht="16.7" customHeight="1" x14ac:dyDescent="0.2">
      <c r="A119" s="2749">
        <f t="shared" si="6"/>
        <v>11.105999999999957</v>
      </c>
      <c r="B119" s="2512" t="s">
        <v>8503</v>
      </c>
      <c r="C119" s="2530">
        <v>0</v>
      </c>
      <c r="D119" s="2530">
        <v>1096848</v>
      </c>
      <c r="E119" s="2530">
        <v>0</v>
      </c>
      <c r="F119" s="2530">
        <v>0</v>
      </c>
      <c r="G119" s="2887">
        <v>0</v>
      </c>
      <c r="H119" s="2479" t="str">
        <f t="shared" si="5"/>
        <v>UTAH - REVENUE_ACCOUNTING ADJUSTMENTS</v>
      </c>
      <c r="J119" s="2501"/>
      <c r="K119" s="2886"/>
    </row>
    <row r="120" spans="1:11" ht="16.7" customHeight="1" x14ac:dyDescent="0.2">
      <c r="A120" s="2749">
        <f t="shared" si="6"/>
        <v>11.106999999999957</v>
      </c>
      <c r="B120" s="2512" t="s">
        <v>8504</v>
      </c>
      <c r="C120" s="2530">
        <v>0</v>
      </c>
      <c r="D120" s="2530">
        <v>37639567</v>
      </c>
      <c r="E120" s="2530">
        <v>0</v>
      </c>
      <c r="F120" s="2530">
        <v>0</v>
      </c>
      <c r="G120" s="2887">
        <v>0</v>
      </c>
      <c r="H120" s="2479" t="str">
        <f t="shared" si="5"/>
        <v>UTAH - REVENUE ADJUSTMENT - DEFERRED NPC</v>
      </c>
      <c r="J120" s="2501"/>
      <c r="K120" s="2886"/>
    </row>
    <row r="121" spans="1:11" ht="16.7" customHeight="1" x14ac:dyDescent="0.2">
      <c r="A121" s="2749">
        <f t="shared" si="6"/>
        <v>11.107999999999956</v>
      </c>
      <c r="B121" s="2512" t="s">
        <v>8762</v>
      </c>
      <c r="C121" s="2530">
        <v>915771</v>
      </c>
      <c r="D121" s="2530">
        <v>67541882</v>
      </c>
      <c r="E121" s="2530">
        <v>89</v>
      </c>
      <c r="F121" s="2530">
        <v>10289562</v>
      </c>
      <c r="G121" s="2887">
        <v>7.3800000000000004E-2</v>
      </c>
      <c r="H121" s="2479" t="str">
        <f t="shared" si="5"/>
        <v>UTAH - 08GNSV0008 - UT GEN SVC TOU &gt; 1000KW</v>
      </c>
      <c r="J121" s="2501"/>
      <c r="K121" s="2886"/>
    </row>
    <row r="122" spans="1:11" ht="16.7" customHeight="1" x14ac:dyDescent="0.2">
      <c r="A122" s="2749">
        <f t="shared" si="6"/>
        <v>11.108999999999956</v>
      </c>
      <c r="B122" s="2512" t="s">
        <v>8763</v>
      </c>
      <c r="C122" s="2530">
        <v>22823</v>
      </c>
      <c r="D122" s="2530">
        <v>1811434</v>
      </c>
      <c r="E122" s="2530">
        <v>4</v>
      </c>
      <c r="F122" s="2530">
        <v>5705750</v>
      </c>
      <c r="G122" s="2887">
        <v>7.9399999999999998E-2</v>
      </c>
      <c r="H122" s="2479" t="str">
        <f t="shared" si="5"/>
        <v>UTAH - 08GNSV008M - UT GEN SVC TOU &gt; 1000KW</v>
      </c>
      <c r="J122" s="2501"/>
      <c r="K122" s="2886"/>
    </row>
    <row r="123" spans="1:11" ht="16.7" customHeight="1" x14ac:dyDescent="0.2">
      <c r="A123" s="2749">
        <f t="shared" si="6"/>
        <v>11.109999999999955</v>
      </c>
      <c r="B123" s="2512" t="s">
        <v>8505</v>
      </c>
      <c r="C123" s="2530">
        <v>0</v>
      </c>
      <c r="D123" s="2530">
        <v>-0.01</v>
      </c>
      <c r="E123" s="2530">
        <v>0</v>
      </c>
      <c r="F123" s="2530">
        <v>0</v>
      </c>
      <c r="G123" s="2887">
        <v>0</v>
      </c>
      <c r="H123" s="2479" t="str">
        <f t="shared" si="5"/>
        <v>UTAH - SOLAR FEED-IN REVENUE</v>
      </c>
      <c r="J123" s="2501"/>
      <c r="K123" s="2886"/>
    </row>
    <row r="124" spans="1:11" ht="16.7" customHeight="1" x14ac:dyDescent="0.2">
      <c r="A124" s="2749">
        <f t="shared" si="6"/>
        <v>11.110999999999954</v>
      </c>
      <c r="B124" s="2512" t="s">
        <v>8506</v>
      </c>
      <c r="C124" s="2530">
        <v>0</v>
      </c>
      <c r="D124" s="2530">
        <v>631056</v>
      </c>
      <c r="E124" s="2530">
        <v>0</v>
      </c>
      <c r="F124" s="2530">
        <v>0</v>
      </c>
      <c r="G124" s="2887">
        <v>0</v>
      </c>
      <c r="H124" s="2479" t="str">
        <f t="shared" si="5"/>
        <v>UTAH - OTHER CUSTOMER RETAIL REVENUE</v>
      </c>
      <c r="J124" s="2501"/>
      <c r="K124" s="2886"/>
    </row>
    <row r="125" spans="1:11" ht="16.7" customHeight="1" x14ac:dyDescent="0.2">
      <c r="A125" s="2749">
        <f t="shared" si="6"/>
        <v>11.111999999999954</v>
      </c>
      <c r="B125" s="2512" t="s">
        <v>8857</v>
      </c>
      <c r="C125" s="2530">
        <v>0</v>
      </c>
      <c r="D125" s="2530">
        <v>11145939</v>
      </c>
      <c r="E125" s="2530">
        <v>0</v>
      </c>
      <c r="F125" s="2530">
        <v>0</v>
      </c>
      <c r="G125" s="2887">
        <v>0</v>
      </c>
      <c r="H125" s="2479" t="str">
        <f t="shared" si="5"/>
        <v>UTAH - DSM REVENUE-INDUSTRIAL</v>
      </c>
      <c r="J125" s="2501"/>
      <c r="K125" s="2886"/>
    </row>
    <row r="126" spans="1:11" ht="16.7" customHeight="1" x14ac:dyDescent="0.2">
      <c r="A126" s="2749">
        <f t="shared" si="6"/>
        <v>11.112999999999953</v>
      </c>
      <c r="B126" s="2512" t="s">
        <v>8858</v>
      </c>
      <c r="C126" s="2530">
        <v>0</v>
      </c>
      <c r="D126" s="2530">
        <v>110262</v>
      </c>
      <c r="E126" s="2530">
        <v>6</v>
      </c>
      <c r="F126" s="2530">
        <v>0</v>
      </c>
      <c r="G126" s="2887">
        <v>0</v>
      </c>
      <c r="H126" s="2479" t="str">
        <f t="shared" si="5"/>
        <v>UTAH - BLUE SKY REVENUE-INDUSTRIAL</v>
      </c>
      <c r="J126" s="2501"/>
      <c r="K126" s="2886"/>
    </row>
    <row r="127" spans="1:11" ht="16.7" customHeight="1" x14ac:dyDescent="0.2">
      <c r="A127" s="2749">
        <f t="shared" si="6"/>
        <v>11.113999999999953</v>
      </c>
      <c r="B127" s="2512"/>
      <c r="C127" s="2488"/>
      <c r="D127" s="2488"/>
      <c r="E127" s="2488"/>
      <c r="F127" s="2488"/>
      <c r="G127" s="2488"/>
      <c r="H127" s="2595">
        <f t="shared" si="5"/>
        <v>0</v>
      </c>
      <c r="J127" s="2501"/>
      <c r="K127" s="2886"/>
    </row>
    <row r="128" spans="1:11" ht="16.7" customHeight="1" x14ac:dyDescent="0.2">
      <c r="A128" s="2489"/>
      <c r="B128" s="2669" t="s">
        <v>8509</v>
      </c>
      <c r="C128" s="2488"/>
      <c r="D128" s="2488"/>
      <c r="E128" s="2488"/>
      <c r="F128" s="2488"/>
      <c r="G128" s="2488"/>
      <c r="H128" s="2479" t="str">
        <f t="shared" si="5"/>
        <v>WASHINGTON</v>
      </c>
      <c r="J128" s="2501"/>
      <c r="K128" s="2886"/>
    </row>
    <row r="129" spans="1:11" ht="16.7" customHeight="1" x14ac:dyDescent="0.2">
      <c r="A129" s="2749">
        <f>A127+0.001</f>
        <v>11.114999999999952</v>
      </c>
      <c r="B129" s="2512" t="s">
        <v>8768</v>
      </c>
      <c r="C129" s="2530">
        <v>770</v>
      </c>
      <c r="D129" s="2530">
        <v>96545</v>
      </c>
      <c r="E129" s="2530">
        <v>41</v>
      </c>
      <c r="F129" s="2530">
        <v>18780</v>
      </c>
      <c r="G129" s="2887">
        <v>0.12540000000000001</v>
      </c>
      <c r="H129" s="2479" t="str">
        <f t="shared" si="5"/>
        <v>WASHINGTON - 02GNSB0024-WA GEN SRVC DO</v>
      </c>
      <c r="J129" s="2501"/>
      <c r="K129" s="2886"/>
    </row>
    <row r="130" spans="1:11" ht="16.7" customHeight="1" x14ac:dyDescent="0.2">
      <c r="A130" s="2749">
        <f t="shared" ref="A130:A148" si="7">A129+0.001</f>
        <v>11.115999999999952</v>
      </c>
      <c r="B130" s="2512" t="s">
        <v>8771</v>
      </c>
      <c r="C130" s="2530">
        <v>0</v>
      </c>
      <c r="D130" s="2530">
        <v>0</v>
      </c>
      <c r="E130" s="2530">
        <v>0.25</v>
      </c>
      <c r="F130" s="2530">
        <v>0</v>
      </c>
      <c r="G130" s="2887">
        <v>0</v>
      </c>
      <c r="H130" s="2479" t="str">
        <f t="shared" si="5"/>
        <v>WASHINGTON - 02GNSB24FP-WA GEN SVC SEASONAL</v>
      </c>
      <c r="J130" s="2501"/>
      <c r="K130" s="2886"/>
    </row>
    <row r="131" spans="1:11" ht="16.7" customHeight="1" x14ac:dyDescent="0.2">
      <c r="A131" s="2749">
        <f t="shared" si="7"/>
        <v>11.116999999999951</v>
      </c>
      <c r="B131" s="2512" t="s">
        <v>8772</v>
      </c>
      <c r="C131" s="2530">
        <v>15006</v>
      </c>
      <c r="D131" s="2888">
        <f>1684269-1</f>
        <v>1684268</v>
      </c>
      <c r="E131" s="2530">
        <v>319</v>
      </c>
      <c r="F131" s="2530">
        <v>47041</v>
      </c>
      <c r="G131" s="2887">
        <v>0.11219999999999999</v>
      </c>
      <c r="H131" s="2479" t="str">
        <f t="shared" si="5"/>
        <v xml:space="preserve">WASHINGTON - 02GNSV0024-WA GEN SRVC                  </v>
      </c>
      <c r="J131" s="2501"/>
      <c r="K131" s="2886"/>
    </row>
    <row r="132" spans="1:11" ht="16.7" customHeight="1" x14ac:dyDescent="0.2">
      <c r="A132" s="2749">
        <f t="shared" si="7"/>
        <v>11.117999999999951</v>
      </c>
      <c r="B132" s="2512" t="s">
        <v>8774</v>
      </c>
      <c r="C132" s="2530">
        <v>29</v>
      </c>
      <c r="D132" s="2530">
        <v>8636</v>
      </c>
      <c r="E132" s="2530">
        <v>3</v>
      </c>
      <c r="F132" s="2530">
        <v>9667</v>
      </c>
      <c r="G132" s="2887">
        <v>0.29780000000000001</v>
      </c>
      <c r="H132" s="2479" t="str">
        <f t="shared" si="5"/>
        <v xml:space="preserve">WASHINGTON - 02GNSV024F-WA GEN SRVC-FL               </v>
      </c>
      <c r="J132" s="2501"/>
      <c r="K132" s="2886"/>
    </row>
    <row r="133" spans="1:11" ht="16.7" customHeight="1" x14ac:dyDescent="0.2">
      <c r="A133" s="2749">
        <f t="shared" si="7"/>
        <v>11.11899999999995</v>
      </c>
      <c r="B133" s="2512" t="s">
        <v>8776</v>
      </c>
      <c r="C133" s="2530">
        <v>72956</v>
      </c>
      <c r="D133" s="2530">
        <v>7375531</v>
      </c>
      <c r="E133" s="2530">
        <v>82</v>
      </c>
      <c r="F133" s="2530">
        <v>889707</v>
      </c>
      <c r="G133" s="2887">
        <v>0.1011</v>
      </c>
      <c r="H133" s="2479" t="str">
        <f t="shared" si="5"/>
        <v xml:space="preserve">WASHINGTON - 02LGSV0036-WA LRG GEN SRV               </v>
      </c>
      <c r="J133" s="2501"/>
      <c r="K133" s="2886"/>
    </row>
    <row r="134" spans="1:11" ht="16.7" customHeight="1" x14ac:dyDescent="0.2">
      <c r="A134" s="2749">
        <f t="shared" si="7"/>
        <v>11.119999999999949</v>
      </c>
      <c r="B134" s="2512" t="s">
        <v>8859</v>
      </c>
      <c r="C134" s="2530">
        <v>239868</v>
      </c>
      <c r="D134" s="2530">
        <v>18792407</v>
      </c>
      <c r="E134" s="2530">
        <v>1</v>
      </c>
      <c r="F134" s="2530">
        <v>239868000</v>
      </c>
      <c r="G134" s="2887">
        <v>7.8299999999999995E-2</v>
      </c>
      <c r="H134" s="2479" t="str">
        <f t="shared" si="5"/>
        <v xml:space="preserve">WASHINGTON - 02LGSV048M-WA LRG GEN SRV               </v>
      </c>
      <c r="J134" s="2501"/>
      <c r="K134" s="2886"/>
    </row>
    <row r="135" spans="1:11" ht="16.7" customHeight="1" x14ac:dyDescent="0.2">
      <c r="A135" s="2749">
        <f t="shared" si="7"/>
        <v>11.120999999999949</v>
      </c>
      <c r="B135" s="2512" t="s">
        <v>8777</v>
      </c>
      <c r="C135" s="2530">
        <v>197393</v>
      </c>
      <c r="D135" s="2530">
        <v>17140082</v>
      </c>
      <c r="E135" s="2530">
        <v>28</v>
      </c>
      <c r="F135" s="2530">
        <v>7049750</v>
      </c>
      <c r="G135" s="2887">
        <v>8.6800000000000002E-2</v>
      </c>
      <c r="H135" s="2479" t="str">
        <f t="shared" si="5"/>
        <v xml:space="preserve">WASHINGTON - 02LGSV048T-LRG GEN SRVC 1               </v>
      </c>
      <c r="J135" s="2501"/>
      <c r="K135" s="2886"/>
    </row>
    <row r="136" spans="1:11" ht="16.7" customHeight="1" x14ac:dyDescent="0.2">
      <c r="A136" s="2749">
        <f t="shared" si="7"/>
        <v>11.121999999999948</v>
      </c>
      <c r="B136" s="2512" t="s">
        <v>8787</v>
      </c>
      <c r="C136" s="2530">
        <v>0</v>
      </c>
      <c r="D136" s="2530">
        <v>130</v>
      </c>
      <c r="E136" s="2530">
        <v>1</v>
      </c>
      <c r="F136" s="2530">
        <v>0</v>
      </c>
      <c r="G136" s="2887">
        <v>0</v>
      </c>
      <c r="H136" s="2479" t="str">
        <f t="shared" si="5"/>
        <v>WASHINGTON - 02NMB24135-WA NET METERING</v>
      </c>
      <c r="J136" s="2501"/>
      <c r="K136" s="2886"/>
    </row>
    <row r="137" spans="1:11" ht="16.7" customHeight="1" x14ac:dyDescent="0.2">
      <c r="A137" s="2749">
        <f t="shared" si="7"/>
        <v>11.122999999999948</v>
      </c>
      <c r="B137" s="2512" t="s">
        <v>8791</v>
      </c>
      <c r="C137" s="2530">
        <v>62</v>
      </c>
      <c r="D137" s="2530">
        <v>11620</v>
      </c>
      <c r="E137" s="2530">
        <v>5</v>
      </c>
      <c r="F137" s="2530">
        <v>12400</v>
      </c>
      <c r="G137" s="2887">
        <v>0.18740000000000001</v>
      </c>
      <c r="H137" s="2479" t="str">
        <f t="shared" si="5"/>
        <v>WASHINGTON - 02NMT24135, Net metering, WA</v>
      </c>
      <c r="J137" s="2501"/>
      <c r="K137" s="2886"/>
    </row>
    <row r="138" spans="1:11" ht="16.7" customHeight="1" x14ac:dyDescent="0.2">
      <c r="A138" s="2749">
        <f t="shared" si="7"/>
        <v>11.123999999999947</v>
      </c>
      <c r="B138" s="2512" t="s">
        <v>8792</v>
      </c>
      <c r="C138" s="2530">
        <v>9</v>
      </c>
      <c r="D138" s="2530">
        <v>12229</v>
      </c>
      <c r="E138" s="2530">
        <v>1</v>
      </c>
      <c r="F138" s="2530">
        <v>9000</v>
      </c>
      <c r="G138" s="2887">
        <v>1.3588</v>
      </c>
      <c r="H138" s="2479" t="str">
        <f t="shared" si="5"/>
        <v>WASHINGTON - 02NMT36135-WA NET METER LRG SVC &lt; 1000KW</v>
      </c>
      <c r="J138" s="2501"/>
      <c r="K138" s="2886"/>
    </row>
    <row r="139" spans="1:11" ht="16.7" customHeight="1" x14ac:dyDescent="0.2">
      <c r="A139" s="2749">
        <f t="shared" si="7"/>
        <v>11.124999999999947</v>
      </c>
      <c r="B139" s="2512" t="s">
        <v>8788</v>
      </c>
      <c r="C139" s="2530">
        <v>82</v>
      </c>
      <c r="D139" s="2530">
        <v>6619</v>
      </c>
      <c r="E139" s="2530">
        <v>36</v>
      </c>
      <c r="F139" s="2530">
        <v>2278</v>
      </c>
      <c r="G139" s="2887">
        <v>8.0699999999999994E-2</v>
      </c>
      <c r="H139" s="2479" t="str">
        <f t="shared" si="5"/>
        <v xml:space="preserve">WASHINGTON - 02OALT015N-WA OUTD AR LGT               </v>
      </c>
      <c r="J139" s="2501"/>
      <c r="K139" s="2886"/>
    </row>
    <row r="140" spans="1:11" ht="16.7" customHeight="1" x14ac:dyDescent="0.2">
      <c r="A140" s="2749">
        <f t="shared" si="7"/>
        <v>11.125999999999946</v>
      </c>
      <c r="B140" s="2512" t="s">
        <v>8789</v>
      </c>
      <c r="C140" s="2530">
        <v>26</v>
      </c>
      <c r="D140" s="2530">
        <v>2950</v>
      </c>
      <c r="E140" s="2530">
        <v>14</v>
      </c>
      <c r="F140" s="2530">
        <v>1857</v>
      </c>
      <c r="G140" s="2887">
        <v>0.1134</v>
      </c>
      <c r="H140" s="2479" t="str">
        <f t="shared" si="5"/>
        <v>WASHINGTON - 02OALTB15N-WA OUTD AR LGT NR</v>
      </c>
      <c r="J140" s="2501"/>
      <c r="K140" s="2886"/>
    </row>
    <row r="141" spans="1:11" ht="16.7" customHeight="1" x14ac:dyDescent="0.2">
      <c r="A141" s="2749">
        <f t="shared" si="7"/>
        <v>11.126999999999946</v>
      </c>
      <c r="B141" s="2512" t="s">
        <v>8860</v>
      </c>
      <c r="C141" s="2530">
        <v>1645</v>
      </c>
      <c r="D141" s="2530">
        <v>322115</v>
      </c>
      <c r="E141" s="2530">
        <v>1</v>
      </c>
      <c r="F141" s="2530">
        <v>1645000</v>
      </c>
      <c r="G141" s="2887">
        <v>0.1958</v>
      </c>
      <c r="H141" s="2479" t="str">
        <f t="shared" si="5"/>
        <v xml:space="preserve">WASHINGTON - 02PRSV47TM-LRG PART REQMT               </v>
      </c>
      <c r="J141" s="2501"/>
      <c r="K141" s="2886"/>
    </row>
    <row r="142" spans="1:11" ht="16.7" customHeight="1" x14ac:dyDescent="0.2">
      <c r="A142" s="2749">
        <f t="shared" si="7"/>
        <v>11.127999999999945</v>
      </c>
      <c r="B142" s="2512" t="s">
        <v>8775</v>
      </c>
      <c r="C142" s="2530">
        <v>930</v>
      </c>
      <c r="D142" s="2530">
        <v>138407</v>
      </c>
      <c r="E142" s="2530">
        <v>7</v>
      </c>
      <c r="F142" s="2530">
        <v>132857</v>
      </c>
      <c r="G142" s="2887">
        <v>0.14879999999999999</v>
      </c>
      <c r="H142" s="2479" t="str">
        <f t="shared" si="5"/>
        <v>WASHINGTON - 02LGSB0036-LRG GEN SVC IRG</v>
      </c>
      <c r="J142" s="2501"/>
      <c r="K142" s="2886"/>
    </row>
    <row r="143" spans="1:11" ht="16.7" customHeight="1" x14ac:dyDescent="0.2">
      <c r="A143" s="2749">
        <f t="shared" si="7"/>
        <v>11.128999999999944</v>
      </c>
      <c r="B143" s="2512" t="s">
        <v>8528</v>
      </c>
      <c r="C143" s="2530">
        <v>0</v>
      </c>
      <c r="D143" s="2530">
        <v>379188</v>
      </c>
      <c r="E143" s="2530">
        <v>0</v>
      </c>
      <c r="F143" s="2530">
        <v>0</v>
      </c>
      <c r="G143" s="2887">
        <v>0</v>
      </c>
      <c r="H143" s="2479" t="str">
        <f t="shared" si="5"/>
        <v>WASHINGTON - INCOME TAX DEFERRAL ADJUSTMENTS</v>
      </c>
      <c r="J143" s="2501"/>
      <c r="K143" s="2886"/>
    </row>
    <row r="144" spans="1:11" ht="16.7" customHeight="1" x14ac:dyDescent="0.2">
      <c r="A144" s="2749">
        <f t="shared" si="7"/>
        <v>11.129999999999944</v>
      </c>
      <c r="B144" s="2512" t="s">
        <v>8529</v>
      </c>
      <c r="C144" s="2530">
        <v>0</v>
      </c>
      <c r="D144" s="2530">
        <v>483694</v>
      </c>
      <c r="E144" s="2530">
        <v>0</v>
      </c>
      <c r="F144" s="2530">
        <v>0</v>
      </c>
      <c r="G144" s="2887">
        <v>0</v>
      </c>
      <c r="H144" s="2479" t="str">
        <f t="shared" si="5"/>
        <v>WASHINGTON - REVENUE ADJUSTMENT - DEFERRED NPC</v>
      </c>
      <c r="J144" s="2501"/>
      <c r="K144" s="2886"/>
    </row>
    <row r="145" spans="1:11" ht="16.7" customHeight="1" x14ac:dyDescent="0.2">
      <c r="A145" s="2749">
        <f t="shared" si="7"/>
        <v>11.130999999999943</v>
      </c>
      <c r="B145" s="2512" t="s">
        <v>8530</v>
      </c>
      <c r="C145" s="2530">
        <v>0</v>
      </c>
      <c r="D145" s="2530">
        <v>629948</v>
      </c>
      <c r="E145" s="2530">
        <v>0</v>
      </c>
      <c r="F145" s="2530">
        <v>0</v>
      </c>
      <c r="G145" s="2887">
        <v>0</v>
      </c>
      <c r="H145" s="2479" t="str">
        <f t="shared" si="5"/>
        <v>WASHINGTON - REVENUE_ACCOUNTING ADJUSTMENTS</v>
      </c>
      <c r="J145" s="2501"/>
      <c r="K145" s="2886"/>
    </row>
    <row r="146" spans="1:11" ht="16.7" customHeight="1" x14ac:dyDescent="0.2">
      <c r="A146" s="2749">
        <f t="shared" si="7"/>
        <v>11.131999999999943</v>
      </c>
      <c r="B146" s="2512" t="s">
        <v>8861</v>
      </c>
      <c r="C146" s="2530">
        <v>0</v>
      </c>
      <c r="D146" s="2530">
        <v>0.46</v>
      </c>
      <c r="E146" s="2530">
        <v>0</v>
      </c>
      <c r="F146" s="2530">
        <v>0</v>
      </c>
      <c r="G146" s="2887">
        <v>0</v>
      </c>
      <c r="H146" s="2479" t="str">
        <f t="shared" si="5"/>
        <v>WASHINGTON - BLUE SKY REVENUE-INDUSTRIAL</v>
      </c>
      <c r="J146" s="2501"/>
      <c r="K146" s="2886"/>
    </row>
    <row r="147" spans="1:11" ht="16.7" customHeight="1" x14ac:dyDescent="0.2">
      <c r="A147" s="2749">
        <f t="shared" si="7"/>
        <v>11.132999999999942</v>
      </c>
      <c r="B147" s="2512" t="s">
        <v>8862</v>
      </c>
      <c r="C147" s="2530">
        <v>0</v>
      </c>
      <c r="D147" s="2530">
        <v>2349914</v>
      </c>
      <c r="E147" s="2530">
        <v>0</v>
      </c>
      <c r="F147" s="2530">
        <v>0</v>
      </c>
      <c r="G147" s="2887">
        <v>0</v>
      </c>
      <c r="H147" s="2479" t="str">
        <f t="shared" si="5"/>
        <v>WASHINGTON - DSM REVENUE-INDUSTRIAL</v>
      </c>
      <c r="J147" s="2501"/>
      <c r="K147" s="2886"/>
    </row>
    <row r="148" spans="1:11" ht="16.7" customHeight="1" x14ac:dyDescent="0.2">
      <c r="A148" s="2749">
        <f t="shared" si="7"/>
        <v>11.133999999999942</v>
      </c>
      <c r="B148" s="2512" t="s">
        <v>8533</v>
      </c>
      <c r="C148" s="2530">
        <v>0</v>
      </c>
      <c r="D148" s="2530">
        <v>-738158</v>
      </c>
      <c r="E148" s="2530">
        <v>0</v>
      </c>
      <c r="F148" s="2530">
        <v>0</v>
      </c>
      <c r="G148" s="2887">
        <v>0</v>
      </c>
      <c r="H148" s="2479" t="str">
        <f t="shared" ref="H148:H187" si="8">B148</f>
        <v>WASHINGTON - ALT REVENUE PROGRAM ADJUSTMENTS</v>
      </c>
      <c r="J148" s="2501"/>
      <c r="K148" s="2886"/>
    </row>
    <row r="149" spans="1:11" ht="16.7" customHeight="1" x14ac:dyDescent="0.2">
      <c r="A149" s="2489"/>
      <c r="B149" s="2512"/>
      <c r="C149" s="2488"/>
      <c r="D149" s="2488"/>
      <c r="E149" s="2488"/>
      <c r="F149" s="2488"/>
      <c r="G149" s="2488"/>
      <c r="H149" s="2595">
        <f t="shared" si="8"/>
        <v>0</v>
      </c>
      <c r="J149" s="2501"/>
      <c r="K149" s="2886"/>
    </row>
    <row r="150" spans="1:11" ht="16.7" customHeight="1" x14ac:dyDescent="0.2">
      <c r="A150" s="2489"/>
      <c r="B150" s="2669" t="s">
        <v>8534</v>
      </c>
      <c r="C150" s="2488"/>
      <c r="D150" s="2488"/>
      <c r="E150" s="2488"/>
      <c r="F150" s="2488"/>
      <c r="G150" s="2488"/>
      <c r="H150" s="2479" t="str">
        <f t="shared" si="8"/>
        <v>WYOMING</v>
      </c>
      <c r="J150" s="2501"/>
      <c r="K150" s="2886"/>
    </row>
    <row r="151" spans="1:11" ht="16.7" customHeight="1" x14ac:dyDescent="0.2">
      <c r="A151" s="2749">
        <f>A148+0.001</f>
        <v>11.134999999999941</v>
      </c>
      <c r="B151" s="2512" t="s">
        <v>8798</v>
      </c>
      <c r="C151" s="2530">
        <v>18642</v>
      </c>
      <c r="D151" s="2530">
        <v>1808122</v>
      </c>
      <c r="E151" s="2530">
        <v>1095</v>
      </c>
      <c r="F151" s="2530">
        <v>17025</v>
      </c>
      <c r="G151" s="2887">
        <v>9.7000000000000003E-2</v>
      </c>
      <c r="H151" s="2479" t="str">
        <f t="shared" si="8"/>
        <v xml:space="preserve">WYOMING - 05GNSV0025-WY GEN SRVC -A                  </v>
      </c>
      <c r="J151" s="2501"/>
      <c r="K151" s="2886"/>
    </row>
    <row r="152" spans="1:11" ht="16.7" customHeight="1" x14ac:dyDescent="0.2">
      <c r="A152" s="2749">
        <f t="shared" ref="A152:A187" si="9">A151+0.001</f>
        <v>11.135999999999941</v>
      </c>
      <c r="B152" s="2512" t="s">
        <v>8799</v>
      </c>
      <c r="C152" s="2530">
        <v>238943</v>
      </c>
      <c r="D152" s="2530">
        <v>17439308</v>
      </c>
      <c r="E152" s="2530">
        <v>386</v>
      </c>
      <c r="F152" s="2530">
        <v>619023</v>
      </c>
      <c r="G152" s="2887">
        <v>7.2999999999999995E-2</v>
      </c>
      <c r="H152" s="2479" t="str">
        <f t="shared" si="8"/>
        <v>WYOMING - 05GNSV0028-GEN SVC &gt; 15 KW -A</v>
      </c>
      <c r="J152" s="2501"/>
      <c r="K152" s="2886"/>
    </row>
    <row r="153" spans="1:11" ht="16.7" customHeight="1" x14ac:dyDescent="0.2">
      <c r="A153" s="2749">
        <f t="shared" si="9"/>
        <v>11.13699999999994</v>
      </c>
      <c r="B153" s="2512" t="s">
        <v>8863</v>
      </c>
      <c r="C153" s="2530">
        <v>1049</v>
      </c>
      <c r="D153" s="2530">
        <v>86618</v>
      </c>
      <c r="E153" s="2530">
        <v>7</v>
      </c>
      <c r="F153" s="2530">
        <v>149857</v>
      </c>
      <c r="G153" s="2887">
        <v>8.2600000000000007E-2</v>
      </c>
      <c r="H153" s="2479" t="str">
        <f t="shared" si="8"/>
        <v>WYOMING - 05GNSV0029-WY GEN SVC TOU PILOT</v>
      </c>
      <c r="J153" s="2501"/>
      <c r="K153" s="2886"/>
    </row>
    <row r="154" spans="1:11" ht="16.7" customHeight="1" x14ac:dyDescent="0.2">
      <c r="A154" s="2749">
        <f t="shared" si="9"/>
        <v>11.13799999999994</v>
      </c>
      <c r="B154" s="2512" t="s">
        <v>8864</v>
      </c>
      <c r="C154" s="2530">
        <v>26</v>
      </c>
      <c r="D154" s="2530">
        <v>4326</v>
      </c>
      <c r="E154" s="2530">
        <v>8</v>
      </c>
      <c r="F154" s="2530">
        <v>3250</v>
      </c>
      <c r="G154" s="2887">
        <v>0.16639999999999999</v>
      </c>
      <c r="H154" s="2479" t="str">
        <f t="shared" si="8"/>
        <v xml:space="preserve">WYOMING - 05GNSV025F-GEN SRVC-FL RA               </v>
      </c>
      <c r="J154" s="2501"/>
      <c r="K154" s="2886"/>
    </row>
    <row r="155" spans="1:11" ht="16.7" customHeight="1" x14ac:dyDescent="0.2">
      <c r="A155" s="2749">
        <f t="shared" si="9"/>
        <v>11.138999999999939</v>
      </c>
      <c r="B155" s="2512" t="s">
        <v>8865</v>
      </c>
      <c r="C155" s="2530">
        <v>1591149</v>
      </c>
      <c r="D155" s="2530">
        <v>105579272</v>
      </c>
      <c r="E155" s="2530">
        <v>58</v>
      </c>
      <c r="F155" s="2530">
        <v>27433603</v>
      </c>
      <c r="G155" s="2887">
        <v>6.6400000000000001E-2</v>
      </c>
      <c r="H155" s="2479" t="str">
        <f t="shared" si="8"/>
        <v xml:space="preserve">WYOMING - 05LGSV0046-WY LRG GEN SRV -A              </v>
      </c>
      <c r="J155" s="2501"/>
      <c r="K155" s="2886"/>
    </row>
    <row r="156" spans="1:11" ht="16.7" customHeight="1" x14ac:dyDescent="0.2">
      <c r="A156" s="2749">
        <f t="shared" si="9"/>
        <v>11.139999999999938</v>
      </c>
      <c r="B156" s="2512" t="s">
        <v>8866</v>
      </c>
      <c r="C156" s="2530">
        <v>10364</v>
      </c>
      <c r="D156" s="2530">
        <v>786853</v>
      </c>
      <c r="E156" s="2530">
        <v>1</v>
      </c>
      <c r="F156" s="2530">
        <v>10364000</v>
      </c>
      <c r="G156" s="2887">
        <v>7.5899999999999995E-2</v>
      </c>
      <c r="H156" s="2479" t="str">
        <f t="shared" si="8"/>
        <v xml:space="preserve">WYOMING - 05LGSV046M-WY LRG GEN SRV               </v>
      </c>
      <c r="J156" s="2501"/>
      <c r="K156" s="2886"/>
    </row>
    <row r="157" spans="1:11" ht="16.7" customHeight="1" x14ac:dyDescent="0.2">
      <c r="A157" s="2749">
        <f t="shared" si="9"/>
        <v>11.140999999999938</v>
      </c>
      <c r="B157" s="2512" t="s">
        <v>8867</v>
      </c>
      <c r="C157" s="2530">
        <v>321900</v>
      </c>
      <c r="D157" s="2530">
        <v>18657717</v>
      </c>
      <c r="E157" s="2530">
        <v>1</v>
      </c>
      <c r="F157" s="2530">
        <v>321900000</v>
      </c>
      <c r="G157" s="2887">
        <v>5.8000000000000003E-2</v>
      </c>
      <c r="H157" s="2479" t="str">
        <f t="shared" si="8"/>
        <v xml:space="preserve">WYOMING - 05LGSV048M-TOU&gt;1000KW MAN -A              </v>
      </c>
      <c r="J157" s="2501"/>
      <c r="K157" s="2886"/>
    </row>
    <row r="158" spans="1:11" ht="15.75" customHeight="1" x14ac:dyDescent="0.2">
      <c r="A158" s="2749">
        <f t="shared" si="9"/>
        <v>11.141999999999937</v>
      </c>
      <c r="B158" s="2512" t="s">
        <v>8868</v>
      </c>
      <c r="C158" s="2530">
        <v>1981586</v>
      </c>
      <c r="D158" s="2530">
        <v>112507326</v>
      </c>
      <c r="E158" s="2530">
        <v>11</v>
      </c>
      <c r="F158" s="2530">
        <v>180144182</v>
      </c>
      <c r="G158" s="2887">
        <v>5.6800000000000003E-2</v>
      </c>
      <c r="H158" s="2479" t="str">
        <f t="shared" si="8"/>
        <v xml:space="preserve">WYOMING - 05LGSV048T-LRG GENSRV TIM -A              </v>
      </c>
      <c r="J158" s="2501"/>
      <c r="K158" s="2886"/>
    </row>
    <row r="159" spans="1:11" ht="16.7" customHeight="1" x14ac:dyDescent="0.2">
      <c r="A159" s="2749">
        <f t="shared" si="9"/>
        <v>11.142999999999937</v>
      </c>
      <c r="B159" s="2512" t="s">
        <v>8804</v>
      </c>
      <c r="C159" s="2530">
        <v>0</v>
      </c>
      <c r="D159" s="2530">
        <v>95319</v>
      </c>
      <c r="E159" s="2530">
        <v>0</v>
      </c>
      <c r="F159" s="2530">
        <v>0</v>
      </c>
      <c r="G159" s="2887">
        <v>0</v>
      </c>
      <c r="H159" s="2479" t="str">
        <f t="shared" si="8"/>
        <v xml:space="preserve">WYOMING - 05LNX00100-LINE EXT 60% G               </v>
      </c>
      <c r="J159" s="2501"/>
      <c r="K159" s="2886"/>
    </row>
    <row r="160" spans="1:11" ht="16.7" customHeight="1" x14ac:dyDescent="0.2">
      <c r="A160" s="2749">
        <f t="shared" si="9"/>
        <v>11.143999999999936</v>
      </c>
      <c r="B160" s="2512" t="s">
        <v>8869</v>
      </c>
      <c r="C160" s="2530">
        <v>0</v>
      </c>
      <c r="D160" s="2530">
        <v>402239</v>
      </c>
      <c r="E160" s="2530">
        <v>0</v>
      </c>
      <c r="F160" s="2530">
        <v>0</v>
      </c>
      <c r="G160" s="2887">
        <v>0</v>
      </c>
      <c r="H160" s="2479" t="str">
        <f t="shared" si="8"/>
        <v xml:space="preserve">WYOMING - 05LNX00102-LINE EXT 80% G -A              </v>
      </c>
      <c r="J160" s="2501"/>
      <c r="K160" s="2886"/>
    </row>
    <row r="161" spans="1:11" ht="16.7" customHeight="1" x14ac:dyDescent="0.2">
      <c r="A161" s="2749">
        <f t="shared" si="9"/>
        <v>11.144999999999936</v>
      </c>
      <c r="B161" s="2512" t="s">
        <v>8806</v>
      </c>
      <c r="C161" s="2530">
        <v>0</v>
      </c>
      <c r="D161" s="2530">
        <v>31126</v>
      </c>
      <c r="E161" s="2530">
        <v>0</v>
      </c>
      <c r="F161" s="2530">
        <v>0</v>
      </c>
      <c r="G161" s="2887">
        <v>0</v>
      </c>
      <c r="H161" s="2479" t="str">
        <f t="shared" si="8"/>
        <v xml:space="preserve">WYOMING - 05LNX00105-CNTRCT $ MIN G               </v>
      </c>
      <c r="J161" s="2501"/>
      <c r="K161" s="2886"/>
    </row>
    <row r="162" spans="1:11" ht="16.7" customHeight="1" x14ac:dyDescent="0.2">
      <c r="A162" s="2749">
        <f t="shared" si="9"/>
        <v>11.145999999999935</v>
      </c>
      <c r="B162" s="2512" t="s">
        <v>8870</v>
      </c>
      <c r="C162" s="2530">
        <v>0</v>
      </c>
      <c r="D162" s="2530">
        <v>108812</v>
      </c>
      <c r="E162" s="2530">
        <v>0</v>
      </c>
      <c r="F162" s="2530">
        <v>0</v>
      </c>
      <c r="G162" s="2887">
        <v>0</v>
      </c>
      <c r="H162" s="2479" t="str">
        <f t="shared" si="8"/>
        <v xml:space="preserve">WYOMING - 05LNX00109-REF/NREF ADV +  -A               </v>
      </c>
      <c r="J162" s="2501"/>
      <c r="K162" s="2886"/>
    </row>
    <row r="163" spans="1:11" ht="16.7" customHeight="1" x14ac:dyDescent="0.2">
      <c r="A163" s="2749">
        <f t="shared" si="9"/>
        <v>11.146999999999935</v>
      </c>
      <c r="B163" s="2512" t="s">
        <v>8814</v>
      </c>
      <c r="C163" s="2530">
        <v>0</v>
      </c>
      <c r="D163" s="2888">
        <f>128903-1</f>
        <v>128902</v>
      </c>
      <c r="E163" s="2530">
        <v>0</v>
      </c>
      <c r="F163" s="2530">
        <v>0</v>
      </c>
      <c r="G163" s="2887">
        <v>0</v>
      </c>
      <c r="H163" s="2479" t="str">
        <f t="shared" si="8"/>
        <v>WYOMING - 05LNX00300 - LINE EXT 80% GUARANTEE</v>
      </c>
      <c r="J163" s="2501"/>
      <c r="K163" s="2886"/>
    </row>
    <row r="164" spans="1:11" ht="16.7" customHeight="1" x14ac:dyDescent="0.2">
      <c r="A164" s="2749">
        <f t="shared" si="9"/>
        <v>11.147999999999934</v>
      </c>
      <c r="B164" s="2512" t="s">
        <v>8871</v>
      </c>
      <c r="C164" s="2530">
        <v>0</v>
      </c>
      <c r="D164" s="2530">
        <v>14599</v>
      </c>
      <c r="E164" s="2530">
        <v>0</v>
      </c>
      <c r="F164" s="2530">
        <v>0</v>
      </c>
      <c r="G164" s="2887">
        <v>0</v>
      </c>
      <c r="H164" s="2479" t="str">
        <f t="shared" si="8"/>
        <v>WYOMING - 05LNX00311 - LINE EXT 80% GUARANTEE</v>
      </c>
      <c r="J164" s="2501"/>
      <c r="K164" s="2886"/>
    </row>
    <row r="165" spans="1:11" ht="16.7" customHeight="1" x14ac:dyDescent="0.2">
      <c r="A165" s="2749">
        <f t="shared" si="9"/>
        <v>11.148999999999933</v>
      </c>
      <c r="B165" s="2512" t="s">
        <v>8812</v>
      </c>
      <c r="C165" s="2530">
        <v>64</v>
      </c>
      <c r="D165" s="2530">
        <v>5038</v>
      </c>
      <c r="E165" s="2530">
        <v>37</v>
      </c>
      <c r="F165" s="2530">
        <v>1730</v>
      </c>
      <c r="G165" s="2887">
        <v>7.8700000000000006E-2</v>
      </c>
      <c r="H165" s="2479" t="str">
        <f t="shared" si="8"/>
        <v xml:space="preserve">WYOMING - 05OALT015N-OUTD AR LGT SR -A               </v>
      </c>
      <c r="J165" s="2501"/>
      <c r="K165" s="2886"/>
    </row>
    <row r="166" spans="1:11" ht="16.7" customHeight="1" x14ac:dyDescent="0.2">
      <c r="A166" s="2749">
        <f t="shared" si="9"/>
        <v>11.149999999999933</v>
      </c>
      <c r="B166" s="2512" t="s">
        <v>8872</v>
      </c>
      <c r="C166" s="2530">
        <v>1029945</v>
      </c>
      <c r="D166" s="2530">
        <v>73484022</v>
      </c>
      <c r="E166" s="2530">
        <v>10</v>
      </c>
      <c r="F166" s="2530">
        <v>102994500</v>
      </c>
      <c r="G166" s="2887">
        <v>7.1300000000000002E-2</v>
      </c>
      <c r="H166" s="2479" t="str">
        <f t="shared" si="8"/>
        <v xml:space="preserve">WYOMING - 05PRSV033M-PART SERV REQ  -A               </v>
      </c>
      <c r="J166" s="2501"/>
      <c r="K166" s="2886"/>
    </row>
    <row r="167" spans="1:11" ht="16.7" customHeight="1" x14ac:dyDescent="0.2">
      <c r="A167" s="2749">
        <f t="shared" si="9"/>
        <v>11.150999999999932</v>
      </c>
      <c r="B167" s="2512" t="s">
        <v>8544</v>
      </c>
      <c r="C167" s="2530">
        <v>0</v>
      </c>
      <c r="D167" s="2530">
        <v>1458624</v>
      </c>
      <c r="E167" s="2530">
        <v>0</v>
      </c>
      <c r="F167" s="2530">
        <v>0</v>
      </c>
      <c r="G167" s="2887">
        <v>0</v>
      </c>
      <c r="H167" s="2479" t="str">
        <f t="shared" si="8"/>
        <v>WYOMING - INCOME TAX DEFERRAL ADJUSTMENTS</v>
      </c>
      <c r="J167" s="2501"/>
      <c r="K167" s="2886"/>
    </row>
    <row r="168" spans="1:11" ht="16.7" customHeight="1" x14ac:dyDescent="0.2">
      <c r="A168" s="2749">
        <f t="shared" si="9"/>
        <v>11.151999999999932</v>
      </c>
      <c r="B168" s="2512" t="s">
        <v>8545</v>
      </c>
      <c r="C168" s="2530">
        <v>0</v>
      </c>
      <c r="D168" s="2530">
        <v>-2302455</v>
      </c>
      <c r="E168" s="2530">
        <v>0</v>
      </c>
      <c r="F168" s="2530">
        <v>0</v>
      </c>
      <c r="G168" s="2887">
        <v>0</v>
      </c>
      <c r="H168" s="2479" t="str">
        <f t="shared" si="8"/>
        <v>WYOMING - REVENUE ADJUSTMENT - DEFERRED NPC</v>
      </c>
      <c r="J168" s="2501"/>
      <c r="K168" s="2886"/>
    </row>
    <row r="169" spans="1:11" ht="16.7" customHeight="1" x14ac:dyDescent="0.2">
      <c r="A169" s="2749">
        <f t="shared" si="9"/>
        <v>11.152999999999931</v>
      </c>
      <c r="B169" s="2512" t="s">
        <v>8546</v>
      </c>
      <c r="C169" s="2530">
        <v>0</v>
      </c>
      <c r="D169" s="2530">
        <v>250709</v>
      </c>
      <c r="E169" s="2530">
        <v>0</v>
      </c>
      <c r="F169" s="2530">
        <v>0</v>
      </c>
      <c r="G169" s="2887">
        <v>0</v>
      </c>
      <c r="H169" s="2479" t="str">
        <f t="shared" si="8"/>
        <v>WYOMING - REVENUE_ACCOUNTING ADJUSTMENTS</v>
      </c>
      <c r="J169" s="2501"/>
      <c r="K169" s="2886"/>
    </row>
    <row r="170" spans="1:11" ht="16.7" customHeight="1" x14ac:dyDescent="0.2">
      <c r="A170" s="2749">
        <f t="shared" si="9"/>
        <v>11.153999999999931</v>
      </c>
      <c r="B170" s="2512" t="s">
        <v>8873</v>
      </c>
      <c r="C170" s="2530">
        <v>0</v>
      </c>
      <c r="D170" s="2530">
        <v>700348</v>
      </c>
      <c r="E170" s="2530">
        <v>0</v>
      </c>
      <c r="F170" s="2530">
        <v>0</v>
      </c>
      <c r="G170" s="2887">
        <v>0</v>
      </c>
      <c r="H170" s="2479" t="str">
        <f t="shared" si="8"/>
        <v>WYOMING - DSM REVENUE-SMALL INDUSTRIAL -A</v>
      </c>
      <c r="J170" s="2501"/>
      <c r="K170" s="2886"/>
    </row>
    <row r="171" spans="1:11" ht="16.7" customHeight="1" x14ac:dyDescent="0.2">
      <c r="A171" s="2749">
        <f t="shared" si="9"/>
        <v>11.15499999999993</v>
      </c>
      <c r="B171" s="2512" t="s">
        <v>8874</v>
      </c>
      <c r="C171" s="2530">
        <v>0</v>
      </c>
      <c r="D171" s="2530">
        <v>2236539</v>
      </c>
      <c r="E171" s="2530">
        <v>0</v>
      </c>
      <c r="F171" s="2530">
        <v>0</v>
      </c>
      <c r="G171" s="2887">
        <v>0</v>
      </c>
      <c r="H171" s="2479" t="str">
        <f t="shared" si="8"/>
        <v>WYOMING - DSM REVENUE-LARGE INDUSTRIAL -A</v>
      </c>
      <c r="J171" s="2501"/>
      <c r="K171" s="2886"/>
    </row>
    <row r="172" spans="1:11" ht="16.7" customHeight="1" x14ac:dyDescent="0.2">
      <c r="A172" s="2749">
        <f t="shared" si="9"/>
        <v>11.15599999999993</v>
      </c>
      <c r="B172" s="2512" t="s">
        <v>8875</v>
      </c>
      <c r="C172" s="2530">
        <v>0</v>
      </c>
      <c r="D172" s="2530">
        <v>344</v>
      </c>
      <c r="E172" s="2530">
        <v>0</v>
      </c>
      <c r="F172" s="2530">
        <v>0</v>
      </c>
      <c r="G172" s="2887">
        <v>0</v>
      </c>
      <c r="H172" s="2479" t="str">
        <f t="shared" si="8"/>
        <v>WYOMING - BLUE SKY REVENUE-INDUSTRIAL -A</v>
      </c>
      <c r="J172" s="2501"/>
      <c r="K172" s="2886"/>
    </row>
    <row r="173" spans="1:11" ht="16.7" customHeight="1" x14ac:dyDescent="0.2">
      <c r="A173" s="2749">
        <f t="shared" si="9"/>
        <v>11.156999999999929</v>
      </c>
      <c r="B173" s="2512" t="s">
        <v>8550</v>
      </c>
      <c r="C173" s="2530">
        <v>0</v>
      </c>
      <c r="D173" s="2530">
        <v>533509</v>
      </c>
      <c r="E173" s="2530">
        <v>0</v>
      </c>
      <c r="F173" s="2530">
        <v>0</v>
      </c>
      <c r="G173" s="2887">
        <v>0</v>
      </c>
      <c r="H173" s="2479" t="str">
        <f t="shared" si="8"/>
        <v>WYOMING - OTHER CUSTOMER RETAIL REVENUE</v>
      </c>
      <c r="J173" s="2501"/>
      <c r="K173" s="2886"/>
    </row>
    <row r="174" spans="1:11" ht="16.7" customHeight="1" x14ac:dyDescent="0.2">
      <c r="A174" s="2749">
        <f t="shared" si="9"/>
        <v>11.157999999999928</v>
      </c>
      <c r="B174" s="2512" t="s">
        <v>8876</v>
      </c>
      <c r="C174" s="2530">
        <v>2972</v>
      </c>
      <c r="D174" s="2530">
        <v>316024</v>
      </c>
      <c r="E174" s="2530">
        <v>276</v>
      </c>
      <c r="F174" s="2530">
        <v>10768</v>
      </c>
      <c r="G174" s="2887">
        <v>0.10630000000000001</v>
      </c>
      <c r="H174" s="2479" t="str">
        <f t="shared" si="8"/>
        <v xml:space="preserve">WYOMING - 05GNSV0025-WY GEN SRVC -B               </v>
      </c>
      <c r="J174" s="2501"/>
      <c r="K174" s="2886"/>
    </row>
    <row r="175" spans="1:11" ht="16.7" customHeight="1" x14ac:dyDescent="0.2">
      <c r="A175" s="2749">
        <f t="shared" si="9"/>
        <v>11.158999999999928</v>
      </c>
      <c r="B175" s="2512" t="s">
        <v>8820</v>
      </c>
      <c r="C175" s="2530">
        <v>52435</v>
      </c>
      <c r="D175" s="2530">
        <v>3940622</v>
      </c>
      <c r="E175" s="2530">
        <v>66</v>
      </c>
      <c r="F175" s="2530">
        <v>794470</v>
      </c>
      <c r="G175" s="2887">
        <v>7.5200000000000003E-2</v>
      </c>
      <c r="H175" s="2479" t="str">
        <f t="shared" si="8"/>
        <v>WYOMING - 05GNSV0028-GEN SVC &gt; 15 KW -B</v>
      </c>
      <c r="J175" s="2501"/>
      <c r="K175" s="2886"/>
    </row>
    <row r="176" spans="1:11" ht="16.7" customHeight="1" x14ac:dyDescent="0.2">
      <c r="A176" s="2749">
        <f t="shared" si="9"/>
        <v>11.159999999999927</v>
      </c>
      <c r="B176" s="2512" t="s">
        <v>8877</v>
      </c>
      <c r="C176" s="2530">
        <v>3861</v>
      </c>
      <c r="D176" s="2530">
        <v>240181</v>
      </c>
      <c r="E176" s="2530">
        <v>3</v>
      </c>
      <c r="F176" s="2530">
        <v>1287000</v>
      </c>
      <c r="G176" s="2887">
        <v>6.2199999999999998E-2</v>
      </c>
      <c r="H176" s="2479" t="str">
        <f t="shared" si="8"/>
        <v>WYOMING - 05GNSV028M-GEN SVC &gt; 15 KW MANUAL BILL</v>
      </c>
      <c r="J176" s="2501"/>
      <c r="K176" s="2886"/>
    </row>
    <row r="177" spans="1:11" ht="16.7" customHeight="1" x14ac:dyDescent="0.2">
      <c r="A177" s="2749">
        <f t="shared" si="9"/>
        <v>11.160999999999927</v>
      </c>
      <c r="B177" s="2512" t="s">
        <v>8878</v>
      </c>
      <c r="C177" s="2530">
        <v>9345</v>
      </c>
      <c r="D177" s="2530">
        <v>646284</v>
      </c>
      <c r="E177" s="2530">
        <v>2</v>
      </c>
      <c r="F177" s="2530">
        <v>4672500</v>
      </c>
      <c r="G177" s="2887">
        <v>6.9199999999999998E-2</v>
      </c>
      <c r="H177" s="2479" t="str">
        <f t="shared" si="8"/>
        <v xml:space="preserve">WYOMING - 05LGSV0046-WY LRG GEN SRV -B               </v>
      </c>
      <c r="J177" s="2501"/>
      <c r="K177" s="2886"/>
    </row>
    <row r="178" spans="1:11" ht="16.7" customHeight="1" x14ac:dyDescent="0.2">
      <c r="A178" s="2749">
        <f t="shared" si="9"/>
        <v>11.161999999999926</v>
      </c>
      <c r="B178" s="2512" t="s">
        <v>8879</v>
      </c>
      <c r="C178" s="2530">
        <v>107844</v>
      </c>
      <c r="D178" s="2530">
        <v>7529911</v>
      </c>
      <c r="E178" s="2530">
        <v>2</v>
      </c>
      <c r="F178" s="2530">
        <v>53922000</v>
      </c>
      <c r="G178" s="2887">
        <v>6.9800000000000001E-2</v>
      </c>
      <c r="H178" s="2479" t="str">
        <f t="shared" si="8"/>
        <v xml:space="preserve">WYOMING - 05LGSV048M-TOU&gt;1000KW MAN -B               </v>
      </c>
      <c r="J178" s="2501"/>
      <c r="K178" s="2886"/>
    </row>
    <row r="179" spans="1:11" ht="16.7" customHeight="1" x14ac:dyDescent="0.2">
      <c r="A179" s="2749">
        <f t="shared" si="9"/>
        <v>11.162999999999926</v>
      </c>
      <c r="B179" s="2512" t="s">
        <v>8880</v>
      </c>
      <c r="C179" s="2530">
        <v>833995</v>
      </c>
      <c r="D179" s="2530">
        <v>53402678</v>
      </c>
      <c r="E179" s="2530">
        <v>14</v>
      </c>
      <c r="F179" s="2530">
        <v>59571071</v>
      </c>
      <c r="G179" s="2887">
        <v>6.4000000000000001E-2</v>
      </c>
      <c r="H179" s="2479" t="str">
        <f t="shared" si="8"/>
        <v xml:space="preserve">WYOMING - 05LGSV048T-LRG GENSRV TIM -B               </v>
      </c>
      <c r="J179" s="2501"/>
      <c r="K179" s="2886"/>
    </row>
    <row r="180" spans="1:11" ht="16.7" customHeight="1" x14ac:dyDescent="0.2">
      <c r="A180" s="2749">
        <f t="shared" si="9"/>
        <v>11.163999999999925</v>
      </c>
      <c r="B180" s="2512" t="s">
        <v>8823</v>
      </c>
      <c r="C180" s="2530">
        <v>0</v>
      </c>
      <c r="D180" s="2530">
        <v>2396074</v>
      </c>
      <c r="E180" s="2530">
        <v>0</v>
      </c>
      <c r="F180" s="2530">
        <v>0</v>
      </c>
      <c r="G180" s="2887">
        <v>0</v>
      </c>
      <c r="H180" s="2479" t="str">
        <f t="shared" si="8"/>
        <v xml:space="preserve">WYOMING - 05LNX00102-LINE EXT 80% G -B              </v>
      </c>
      <c r="J180" s="2501"/>
      <c r="K180" s="2886"/>
    </row>
    <row r="181" spans="1:11" ht="16.7" customHeight="1" x14ac:dyDescent="0.2">
      <c r="A181" s="2749">
        <f t="shared" si="9"/>
        <v>11.164999999999925</v>
      </c>
      <c r="B181" s="2512" t="s">
        <v>8881</v>
      </c>
      <c r="C181" s="2530">
        <v>0</v>
      </c>
      <c r="D181" s="2530">
        <v>24475</v>
      </c>
      <c r="E181" s="2530">
        <v>0</v>
      </c>
      <c r="F181" s="2530">
        <v>0</v>
      </c>
      <c r="G181" s="2887">
        <v>0</v>
      </c>
      <c r="H181" s="2479" t="str">
        <f t="shared" si="8"/>
        <v xml:space="preserve">WYOMING - 05LNX00109-REF/NREF ADV +  -B              </v>
      </c>
      <c r="J181" s="2501"/>
      <c r="K181" s="2886"/>
    </row>
    <row r="182" spans="1:11" ht="16.7" customHeight="1" x14ac:dyDescent="0.2">
      <c r="A182" s="2749">
        <f t="shared" si="9"/>
        <v>11.165999999999924</v>
      </c>
      <c r="B182" s="2512" t="s">
        <v>8882</v>
      </c>
      <c r="C182" s="2530">
        <v>44</v>
      </c>
      <c r="D182" s="2530">
        <v>3757</v>
      </c>
      <c r="E182" s="2530">
        <v>1</v>
      </c>
      <c r="F182" s="2530">
        <v>44000</v>
      </c>
      <c r="G182" s="2887">
        <v>8.5400000000000004E-2</v>
      </c>
      <c r="H182" s="2479" t="str">
        <f t="shared" si="8"/>
        <v>WYOMING - 05NMT25135 - WY NET MTR, GEN, &lt; 25 KW</v>
      </c>
      <c r="J182" s="2501"/>
      <c r="K182" s="2886"/>
    </row>
    <row r="183" spans="1:11" ht="16.7" customHeight="1" x14ac:dyDescent="0.2">
      <c r="A183" s="2749">
        <f t="shared" si="9"/>
        <v>11.166999999999923</v>
      </c>
      <c r="B183" s="2512" t="s">
        <v>8829</v>
      </c>
      <c r="C183" s="2530">
        <v>7</v>
      </c>
      <c r="D183" s="2530">
        <v>518</v>
      </c>
      <c r="E183" s="2530">
        <v>4</v>
      </c>
      <c r="F183" s="2530">
        <v>1750</v>
      </c>
      <c r="G183" s="2887">
        <v>7.4099999999999999E-2</v>
      </c>
      <c r="H183" s="2479" t="str">
        <f t="shared" si="8"/>
        <v xml:space="preserve">WYOMING - 05OALT015N-OUTD AR LGT SR -B               </v>
      </c>
      <c r="J183" s="2501"/>
      <c r="K183" s="2886"/>
    </row>
    <row r="184" spans="1:11" ht="16.7" customHeight="1" x14ac:dyDescent="0.2">
      <c r="A184" s="2749">
        <f t="shared" si="9"/>
        <v>11.167999999999923</v>
      </c>
      <c r="B184" s="2512" t="s">
        <v>8883</v>
      </c>
      <c r="C184" s="2530">
        <v>1620</v>
      </c>
      <c r="D184" s="2530">
        <v>335786</v>
      </c>
      <c r="E184" s="2530">
        <v>1</v>
      </c>
      <c r="F184" s="2530">
        <v>1620000</v>
      </c>
      <c r="G184" s="2887">
        <v>0.20730000000000001</v>
      </c>
      <c r="H184" s="2479" t="str">
        <f t="shared" si="8"/>
        <v xml:space="preserve">WYOMING - 05PRSV033M-PART SERV REQ -B               </v>
      </c>
      <c r="J184" s="2501"/>
      <c r="K184" s="2886"/>
    </row>
    <row r="185" spans="1:11" ht="16.7" customHeight="1" x14ac:dyDescent="0.2">
      <c r="A185" s="2749">
        <f t="shared" si="9"/>
        <v>11.168999999999922</v>
      </c>
      <c r="B185" s="2512" t="s">
        <v>8884</v>
      </c>
      <c r="C185" s="2530">
        <v>0</v>
      </c>
      <c r="D185" s="2530">
        <v>78902</v>
      </c>
      <c r="E185" s="2530">
        <v>0</v>
      </c>
      <c r="F185" s="2530">
        <v>0</v>
      </c>
      <c r="G185" s="2887">
        <v>0</v>
      </c>
      <c r="H185" s="2479" t="str">
        <f t="shared" si="8"/>
        <v>WYOMING - DSM REVENUE-SMALL INDUSTRIAL -B</v>
      </c>
      <c r="J185" s="2501"/>
      <c r="K185" s="2886"/>
    </row>
    <row r="186" spans="1:11" ht="16.7" customHeight="1" x14ac:dyDescent="0.2">
      <c r="A186" s="2749">
        <f t="shared" si="9"/>
        <v>11.169999999999922</v>
      </c>
      <c r="B186" s="2512" t="s">
        <v>8885</v>
      </c>
      <c r="C186" s="2530">
        <v>0</v>
      </c>
      <c r="D186" s="2530">
        <v>581637</v>
      </c>
      <c r="E186" s="2530">
        <v>0</v>
      </c>
      <c r="F186" s="2530">
        <v>0</v>
      </c>
      <c r="G186" s="2887">
        <v>0</v>
      </c>
      <c r="H186" s="2479" t="str">
        <f t="shared" si="8"/>
        <v>WYOMING - DSM REVENUE-LARGE INDUSTRIAL -B</v>
      </c>
      <c r="J186" s="2501"/>
      <c r="K186" s="2886"/>
    </row>
    <row r="187" spans="1:11" ht="16.7" customHeight="1" x14ac:dyDescent="0.2">
      <c r="A187" s="2749">
        <f t="shared" si="9"/>
        <v>11.170999999999921</v>
      </c>
      <c r="B187" s="2512" t="s">
        <v>8886</v>
      </c>
      <c r="C187" s="2530">
        <v>0</v>
      </c>
      <c r="D187" s="2530">
        <v>140</v>
      </c>
      <c r="E187" s="2530">
        <v>0</v>
      </c>
      <c r="F187" s="2530">
        <v>0</v>
      </c>
      <c r="G187" s="2887">
        <v>0</v>
      </c>
      <c r="H187" s="2479" t="str">
        <f t="shared" si="8"/>
        <v xml:space="preserve">WYOMING - BLUE SKY REVENUE-INDUSTRIAL -B </v>
      </c>
      <c r="J187" s="2501"/>
      <c r="K187" s="2886"/>
    </row>
    <row r="188" spans="1:11" ht="16.7" customHeight="1" x14ac:dyDescent="0.2">
      <c r="A188" s="2489"/>
      <c r="B188" s="2512"/>
      <c r="C188" s="2488"/>
      <c r="D188" s="2488"/>
      <c r="E188" s="2488"/>
      <c r="F188" s="2488"/>
      <c r="G188" s="2488"/>
      <c r="H188" s="2479"/>
      <c r="J188" s="2501"/>
      <c r="K188" s="2886"/>
    </row>
    <row r="189" spans="1:11" ht="16.7" customHeight="1" x14ac:dyDescent="0.2">
      <c r="A189" s="2749">
        <f>A187+0.001</f>
        <v>11.171999999999921</v>
      </c>
      <c r="B189" s="2512" t="s">
        <v>8562</v>
      </c>
      <c r="C189" s="2488"/>
      <c r="D189" s="2488"/>
      <c r="E189" s="2530">
        <v>-791</v>
      </c>
      <c r="F189" s="2488"/>
      <c r="G189" s="2488"/>
      <c r="H189" s="2479" t="str">
        <f>B189</f>
        <v>LESS MULTIPLE BILLINGS</v>
      </c>
      <c r="J189" s="2501"/>
      <c r="K189" s="2886"/>
    </row>
    <row r="190" spans="1:11" ht="16.7" customHeight="1" x14ac:dyDescent="0.2">
      <c r="A190" s="2749">
        <f>A189+0.001</f>
        <v>11.17299999999992</v>
      </c>
      <c r="B190" s="2512"/>
      <c r="C190" s="2488"/>
      <c r="D190" s="2488"/>
      <c r="E190" s="2488"/>
      <c r="F190" s="2488"/>
      <c r="G190" s="2488"/>
      <c r="H190" s="2479"/>
      <c r="J190" s="2501"/>
      <c r="K190" s="2886"/>
    </row>
    <row r="191" spans="1:11" ht="16.7" customHeight="1" x14ac:dyDescent="0.2">
      <c r="A191" s="2621"/>
      <c r="B191" s="4044" t="s">
        <v>8887</v>
      </c>
      <c r="C191" s="4045"/>
      <c r="D191" s="4045"/>
      <c r="E191" s="4045"/>
      <c r="F191" s="4045"/>
      <c r="G191" s="4046"/>
      <c r="H191" s="2479" t="str">
        <f>B191</f>
        <v>Irrigation Sales</v>
      </c>
      <c r="J191" s="2501"/>
      <c r="K191" s="2886"/>
    </row>
    <row r="192" spans="1:11" ht="16.7" customHeight="1" x14ac:dyDescent="0.2">
      <c r="A192" s="2489"/>
      <c r="B192" s="2669" t="s">
        <v>8565</v>
      </c>
      <c r="C192" s="2488"/>
      <c r="D192" s="2488"/>
      <c r="E192" s="2488"/>
      <c r="F192" s="2488"/>
      <c r="G192" s="2488"/>
      <c r="H192" s="2479" t="str">
        <f>B192</f>
        <v>CALIFORNIA</v>
      </c>
      <c r="J192" s="2501"/>
      <c r="K192" s="2886"/>
    </row>
    <row r="193" spans="1:11" ht="16.7" customHeight="1" x14ac:dyDescent="0.2">
      <c r="A193" s="2749">
        <v>12</v>
      </c>
      <c r="B193" s="2488" t="s">
        <v>8888</v>
      </c>
      <c r="C193" s="2530">
        <v>9924</v>
      </c>
      <c r="D193" s="2530">
        <v>1206796</v>
      </c>
      <c r="E193" s="2530">
        <v>798</v>
      </c>
      <c r="F193" s="2530">
        <v>12436</v>
      </c>
      <c r="G193" s="2887">
        <v>0.1216</v>
      </c>
      <c r="H193" s="2479" t="str">
        <f t="shared" ref="H193:H215" si="10">CONCATENATE($B$191," - ",B193)</f>
        <v xml:space="preserve">Irrigation Sales - CALIFORNIA - 06APSV0020-AG PMP SRVC                  </v>
      </c>
      <c r="J193" s="2501"/>
      <c r="K193" s="2886"/>
    </row>
    <row r="194" spans="1:11" ht="16.7" customHeight="1" x14ac:dyDescent="0.2">
      <c r="A194" s="2749">
        <f t="shared" ref="A194:A215" si="11">A193+0.001</f>
        <v>12.000999999999999</v>
      </c>
      <c r="B194" s="2488" t="s">
        <v>8889</v>
      </c>
      <c r="C194" s="2530">
        <v>28</v>
      </c>
      <c r="D194" s="2530">
        <v>7255</v>
      </c>
      <c r="E194" s="2530">
        <v>5</v>
      </c>
      <c r="F194" s="2530">
        <v>5600</v>
      </c>
      <c r="G194" s="2887">
        <v>0.2591</v>
      </c>
      <c r="H194" s="2479" t="str">
        <f t="shared" si="10"/>
        <v>Irrigation Sales - CALIFORNIA - 06APSV0115-CA AGRI PUMP TOU PILOT,GHG CR</v>
      </c>
      <c r="J194" s="2501"/>
      <c r="K194" s="2886"/>
    </row>
    <row r="195" spans="1:11" ht="16.7" customHeight="1" x14ac:dyDescent="0.2">
      <c r="A195" s="2749">
        <f t="shared" si="11"/>
        <v>12.001999999999999</v>
      </c>
      <c r="B195" s="2488" t="s">
        <v>8890</v>
      </c>
      <c r="C195" s="2530">
        <v>46692</v>
      </c>
      <c r="D195" s="2530">
        <v>7032420</v>
      </c>
      <c r="E195" s="2530">
        <v>546</v>
      </c>
      <c r="F195" s="2530">
        <v>85516</v>
      </c>
      <c r="G195" s="2887">
        <v>0.15060000000000001</v>
      </c>
      <c r="H195" s="2479" t="str">
        <f t="shared" si="10"/>
        <v>Irrigation Sales - CALIFORNIA - 06APSV020L-AG PMP SRVC-NO GHG CREDIT</v>
      </c>
      <c r="J195" s="2501"/>
      <c r="K195" s="2886"/>
    </row>
    <row r="196" spans="1:11" ht="16.7" customHeight="1" x14ac:dyDescent="0.2">
      <c r="A196" s="2749">
        <f t="shared" si="11"/>
        <v>12.002999999999998</v>
      </c>
      <c r="B196" s="2488" t="s">
        <v>8891</v>
      </c>
      <c r="C196" s="2530">
        <v>616</v>
      </c>
      <c r="D196" s="2888">
        <f>78594+1.26</f>
        <v>78595.259999999995</v>
      </c>
      <c r="E196" s="2530">
        <v>6</v>
      </c>
      <c r="F196" s="2530">
        <v>102667</v>
      </c>
      <c r="G196" s="2887">
        <v>0.12759999999999999</v>
      </c>
      <c r="H196" s="2479" t="str">
        <f t="shared" si="10"/>
        <v>Irrigation Sales - CALIFORNIA - 06APSV115L-CA AGRI PUMP TOU, NO GHG CR</v>
      </c>
      <c r="J196" s="2501"/>
      <c r="K196" s="2886"/>
    </row>
    <row r="197" spans="1:11" ht="16.7" customHeight="1" x14ac:dyDescent="0.2">
      <c r="A197" s="2749">
        <f t="shared" si="11"/>
        <v>12.003999999999998</v>
      </c>
      <c r="B197" s="2488" t="s">
        <v>8594</v>
      </c>
      <c r="C197" s="2530">
        <v>0</v>
      </c>
      <c r="D197" s="2530">
        <v>1404</v>
      </c>
      <c r="E197" s="2530">
        <v>0</v>
      </c>
      <c r="F197" s="2530">
        <v>0</v>
      </c>
      <c r="G197" s="2887">
        <v>0</v>
      </c>
      <c r="H197" s="2479" t="str">
        <f t="shared" si="10"/>
        <v xml:space="preserve">Irrigation Sales - CALIFORNIA - 06LGSV048T-LRG GEN SERV                 </v>
      </c>
      <c r="J197" s="2501"/>
      <c r="K197" s="2886"/>
    </row>
    <row r="198" spans="1:11" ht="16.7" customHeight="1" x14ac:dyDescent="0.2">
      <c r="A198" s="2749">
        <f t="shared" si="11"/>
        <v>12.004999999999997</v>
      </c>
      <c r="B198" s="2488" t="s">
        <v>8892</v>
      </c>
      <c r="C198" s="2530">
        <v>0</v>
      </c>
      <c r="D198" s="2530">
        <v>8684</v>
      </c>
      <c r="E198" s="2530">
        <v>0</v>
      </c>
      <c r="F198" s="2530">
        <v>0</v>
      </c>
      <c r="G198" s="2887">
        <v>0</v>
      </c>
      <c r="H198" s="2479" t="str">
        <f t="shared" si="10"/>
        <v xml:space="preserve">Irrigation Sales - CALIFORNIA - 06LNX00103-LINE EXT 80% G               </v>
      </c>
      <c r="J198" s="2501"/>
      <c r="K198" s="2886"/>
    </row>
    <row r="199" spans="1:11" ht="16.7" customHeight="1" x14ac:dyDescent="0.2">
      <c r="A199" s="2749">
        <f t="shared" si="11"/>
        <v>12.005999999999997</v>
      </c>
      <c r="B199" s="2488" t="s">
        <v>8599</v>
      </c>
      <c r="C199" s="2530">
        <v>0</v>
      </c>
      <c r="D199" s="2530">
        <v>28740</v>
      </c>
      <c r="E199" s="2530">
        <v>0</v>
      </c>
      <c r="F199" s="2530">
        <v>0</v>
      </c>
      <c r="G199" s="2887">
        <v>0</v>
      </c>
      <c r="H199" s="2479" t="str">
        <f t="shared" si="10"/>
        <v xml:space="preserve">Irrigation Sales - CALIFORNIA - 06LNX00110-REF/NREF ADV +               </v>
      </c>
      <c r="J199" s="2501"/>
      <c r="K199" s="2886"/>
    </row>
    <row r="200" spans="1:11" ht="16.7" customHeight="1" x14ac:dyDescent="0.2">
      <c r="A200" s="2749">
        <f t="shared" si="11"/>
        <v>12.006999999999996</v>
      </c>
      <c r="B200" s="2488" t="s">
        <v>8893</v>
      </c>
      <c r="C200" s="2530">
        <v>0</v>
      </c>
      <c r="D200" s="2530">
        <v>81</v>
      </c>
      <c r="E200" s="2530">
        <v>0</v>
      </c>
      <c r="F200" s="2530">
        <v>0</v>
      </c>
      <c r="G200" s="2887">
        <v>0</v>
      </c>
      <c r="H200" s="2479" t="str">
        <f t="shared" si="10"/>
        <v>Irrigation Sales - CALIFORNIA - 06LNX00310 - IRG, 80% ANNUAL MIN + 80%</v>
      </c>
      <c r="J200" s="2501"/>
      <c r="K200" s="2886"/>
    </row>
    <row r="201" spans="1:11" ht="16.7" customHeight="1" x14ac:dyDescent="0.2">
      <c r="A201" s="2749">
        <f t="shared" si="11"/>
        <v>12.007999999999996</v>
      </c>
      <c r="B201" s="2488" t="s">
        <v>8894</v>
      </c>
      <c r="C201" s="2530">
        <v>0</v>
      </c>
      <c r="D201" s="2530">
        <v>19651</v>
      </c>
      <c r="E201" s="2530">
        <v>0</v>
      </c>
      <c r="F201" s="2530">
        <v>0</v>
      </c>
      <c r="G201" s="2887">
        <v>0</v>
      </c>
      <c r="H201" s="2479" t="str">
        <f t="shared" si="10"/>
        <v>Irrigation Sales - CALIFORNIA - 06LNX00312 - CA IRG LINE EXT</v>
      </c>
      <c r="J201" s="2501"/>
      <c r="K201" s="2886"/>
    </row>
    <row r="202" spans="1:11" ht="16.7" customHeight="1" x14ac:dyDescent="0.2">
      <c r="A202" s="2749">
        <f t="shared" si="11"/>
        <v>12.008999999999995</v>
      </c>
      <c r="B202" s="2488" t="s">
        <v>8895</v>
      </c>
      <c r="C202" s="2530">
        <v>301</v>
      </c>
      <c r="D202" s="2530">
        <v>40083</v>
      </c>
      <c r="E202" s="2530">
        <v>2</v>
      </c>
      <c r="F202" s="2530">
        <v>150500</v>
      </c>
      <c r="G202" s="2887">
        <v>0.13320000000000001</v>
      </c>
      <c r="H202" s="2479" t="str">
        <f t="shared" si="10"/>
        <v>Irrigation Sales - CALIFORNIA - 06NB20L136-CA IRG NET BILL NO GHG CR</v>
      </c>
      <c r="J202" s="2501"/>
      <c r="K202" s="2886"/>
    </row>
    <row r="203" spans="1:11" ht="16.7" customHeight="1" x14ac:dyDescent="0.2">
      <c r="A203" s="2749">
        <f t="shared" si="11"/>
        <v>12.009999999999994</v>
      </c>
      <c r="B203" s="2488" t="s">
        <v>8896</v>
      </c>
      <c r="C203" s="2530">
        <v>131</v>
      </c>
      <c r="D203" s="2530">
        <v>15201</v>
      </c>
      <c r="E203" s="2530">
        <v>0</v>
      </c>
      <c r="F203" s="2530">
        <v>0</v>
      </c>
      <c r="G203" s="2887">
        <v>0.11600000000000001</v>
      </c>
      <c r="H203" s="2479" t="str">
        <f t="shared" si="10"/>
        <v>Irrigation Sales - CALIFORNIA - 06NBL20136-CA IRG NET BILLING</v>
      </c>
      <c r="J203" s="2501"/>
      <c r="K203" s="2886"/>
    </row>
    <row r="204" spans="1:11" ht="16.7" customHeight="1" x14ac:dyDescent="0.2">
      <c r="A204" s="2749">
        <f t="shared" si="11"/>
        <v>12.010999999999994</v>
      </c>
      <c r="B204" s="2488" t="s">
        <v>8897</v>
      </c>
      <c r="C204" s="2530">
        <v>1076</v>
      </c>
      <c r="D204" s="2530">
        <v>327104</v>
      </c>
      <c r="E204" s="2530">
        <v>42</v>
      </c>
      <c r="F204" s="2530">
        <v>25619</v>
      </c>
      <c r="G204" s="2887">
        <v>0.30399999999999999</v>
      </c>
      <c r="H204" s="2479" t="str">
        <f t="shared" si="10"/>
        <v>Irrigation Sales - CALIFORNIA - 06NML20135-AGRI PUMP-NET MTR NO GHG CR</v>
      </c>
      <c r="J204" s="2501"/>
      <c r="K204" s="2886"/>
    </row>
    <row r="205" spans="1:11" ht="16.7" customHeight="1" x14ac:dyDescent="0.2">
      <c r="A205" s="2749">
        <f t="shared" si="11"/>
        <v>12.011999999999993</v>
      </c>
      <c r="B205" s="2488" t="s">
        <v>8898</v>
      </c>
      <c r="C205" s="2530">
        <v>94</v>
      </c>
      <c r="D205" s="2530">
        <v>9158</v>
      </c>
      <c r="E205" s="2530">
        <v>20</v>
      </c>
      <c r="F205" s="2530">
        <v>4700</v>
      </c>
      <c r="G205" s="2887">
        <v>9.74E-2</v>
      </c>
      <c r="H205" s="2479" t="str">
        <f t="shared" si="10"/>
        <v>Irrigation Sales - CALIFORNIA - 06NMT20135-AGRICULTURAL PUMP-NET METER</v>
      </c>
      <c r="J205" s="2501"/>
      <c r="K205" s="2886"/>
    </row>
    <row r="206" spans="1:11" ht="16.7" customHeight="1" x14ac:dyDescent="0.2">
      <c r="A206" s="2749">
        <f t="shared" si="11"/>
        <v>12.012999999999993</v>
      </c>
      <c r="B206" s="2488" t="s">
        <v>8899</v>
      </c>
      <c r="C206" s="2530">
        <v>4126</v>
      </c>
      <c r="D206" s="2530">
        <v>663552</v>
      </c>
      <c r="E206" s="2530">
        <v>313</v>
      </c>
      <c r="F206" s="2530">
        <v>13182</v>
      </c>
      <c r="G206" s="2887">
        <v>0.1608</v>
      </c>
      <c r="H206" s="2479" t="str">
        <f t="shared" si="10"/>
        <v>Irrigation Sales - CALIFORNIA - 06USBR0020-KLAM IRG ONPRJ</v>
      </c>
      <c r="J206" s="2501"/>
      <c r="K206" s="2886"/>
    </row>
    <row r="207" spans="1:11" ht="16.7" customHeight="1" x14ac:dyDescent="0.2">
      <c r="A207" s="2749">
        <f t="shared" si="11"/>
        <v>12.013999999999992</v>
      </c>
      <c r="B207" s="2488" t="s">
        <v>8900</v>
      </c>
      <c r="C207" s="2530">
        <v>46</v>
      </c>
      <c r="D207" s="2530">
        <v>9924</v>
      </c>
      <c r="E207" s="2530">
        <v>3</v>
      </c>
      <c r="F207" s="2530">
        <v>15333</v>
      </c>
      <c r="G207" s="2887">
        <v>0.2157</v>
      </c>
      <c r="H207" s="2479" t="str">
        <f t="shared" si="10"/>
        <v>Irrigation Sales - CALIFORNIA - 06USBR0115-CA AGR PMP TOU PLT USBR GHG</v>
      </c>
      <c r="J207" s="2501"/>
      <c r="K207" s="2886"/>
    </row>
    <row r="208" spans="1:11" ht="16.7" customHeight="1" x14ac:dyDescent="0.2">
      <c r="A208" s="2749">
        <f t="shared" si="11"/>
        <v>12.014999999999992</v>
      </c>
      <c r="B208" s="2488" t="s">
        <v>8901</v>
      </c>
      <c r="C208" s="2530">
        <v>12392</v>
      </c>
      <c r="D208" s="2530">
        <v>2187462</v>
      </c>
      <c r="E208" s="2530">
        <v>291</v>
      </c>
      <c r="F208" s="2530">
        <v>42584</v>
      </c>
      <c r="G208" s="2887">
        <v>0.17649999999999999</v>
      </c>
      <c r="H208" s="2479" t="str">
        <f t="shared" si="10"/>
        <v>Irrigation Sales - CALIFORNIA - 06USBR020L-KLAM IRG ONPRJ-NO CHG CREDIT</v>
      </c>
      <c r="J208" s="2501"/>
      <c r="K208" s="2886"/>
    </row>
    <row r="209" spans="1:11" ht="16.7" customHeight="1" x14ac:dyDescent="0.2">
      <c r="A209" s="2749">
        <f t="shared" si="11"/>
        <v>12.015999999999991</v>
      </c>
      <c r="B209" s="2488" t="s">
        <v>8902</v>
      </c>
      <c r="C209" s="2530">
        <v>340</v>
      </c>
      <c r="D209" s="2530">
        <v>50763</v>
      </c>
      <c r="E209" s="2530">
        <v>4</v>
      </c>
      <c r="F209" s="2530">
        <v>85000</v>
      </c>
      <c r="G209" s="2887">
        <v>0.14929999999999999</v>
      </c>
      <c r="H209" s="2479" t="str">
        <f t="shared" si="10"/>
        <v>Irrigation Sales - CALIFORNIA - 06USBR115L-CA AGR PMP TOU PLT USBR NOGHG</v>
      </c>
      <c r="J209" s="2501"/>
      <c r="K209" s="2886"/>
    </row>
    <row r="210" spans="1:11" ht="16.7" customHeight="1" x14ac:dyDescent="0.2">
      <c r="A210" s="2749">
        <f t="shared" si="11"/>
        <v>12.016999999999991</v>
      </c>
      <c r="B210" s="2488" t="s">
        <v>8903</v>
      </c>
      <c r="C210" s="2530">
        <v>0</v>
      </c>
      <c r="D210" s="2530">
        <v>22368</v>
      </c>
      <c r="E210" s="2530">
        <v>0</v>
      </c>
      <c r="F210" s="2530">
        <v>0</v>
      </c>
      <c r="G210" s="2887">
        <v>0</v>
      </c>
      <c r="H210" s="2479" t="str">
        <f t="shared" si="10"/>
        <v>Irrigation Sales - CALIFORNIA - DSM REVENUE-IRRIGATION</v>
      </c>
      <c r="J210" s="2501"/>
      <c r="K210" s="2886"/>
    </row>
    <row r="211" spans="1:11" ht="16.7" customHeight="1" x14ac:dyDescent="0.2">
      <c r="A211" s="2749">
        <f t="shared" si="11"/>
        <v>12.01799999999999</v>
      </c>
      <c r="B211" s="2488" t="s">
        <v>8904</v>
      </c>
      <c r="C211" s="2530">
        <v>0</v>
      </c>
      <c r="D211" s="2530">
        <v>50</v>
      </c>
      <c r="E211" s="2530">
        <v>0</v>
      </c>
      <c r="F211" s="2530">
        <v>0</v>
      </c>
      <c r="G211" s="2887">
        <v>0</v>
      </c>
      <c r="H211" s="2479" t="str">
        <f t="shared" si="10"/>
        <v>Irrigation Sales - CALIFORNIA - BLUE SKY REVENUE-IRRIGATION</v>
      </c>
      <c r="J211" s="2501"/>
      <c r="K211" s="2886"/>
    </row>
    <row r="212" spans="1:11" ht="16.7" customHeight="1" x14ac:dyDescent="0.2">
      <c r="A212" s="2749">
        <f t="shared" si="11"/>
        <v>12.018999999999989</v>
      </c>
      <c r="B212" s="2488" t="s">
        <v>8388</v>
      </c>
      <c r="C212" s="2530">
        <v>0</v>
      </c>
      <c r="D212" s="2530">
        <v>1260</v>
      </c>
      <c r="E212" s="2530">
        <v>0</v>
      </c>
      <c r="F212" s="2530">
        <v>0</v>
      </c>
      <c r="G212" s="2887">
        <v>0</v>
      </c>
      <c r="H212" s="2479" t="str">
        <f t="shared" si="10"/>
        <v>Irrigation Sales - CALIFORNIA - OTHER CUSTOMER RETAIL REVENUE</v>
      </c>
      <c r="J212" s="2501"/>
      <c r="K212" s="2886"/>
    </row>
    <row r="213" spans="1:11" ht="16.7" customHeight="1" x14ac:dyDescent="0.2">
      <c r="A213" s="2749">
        <f t="shared" si="11"/>
        <v>12.019999999999989</v>
      </c>
      <c r="B213" s="2488" t="s">
        <v>8382</v>
      </c>
      <c r="C213" s="2530">
        <v>0</v>
      </c>
      <c r="D213" s="2530">
        <v>38686</v>
      </c>
      <c r="E213" s="2530">
        <v>0</v>
      </c>
      <c r="F213" s="2530">
        <v>0</v>
      </c>
      <c r="G213" s="2887">
        <v>0</v>
      </c>
      <c r="H213" s="2479" t="str">
        <f t="shared" si="10"/>
        <v>Irrigation Sales - CALIFORNIA - INCOME TAX DEFERRAL ADJUSTMENTS</v>
      </c>
      <c r="J213" s="2501"/>
      <c r="K213" s="2886"/>
    </row>
    <row r="214" spans="1:11" ht="16.7" customHeight="1" x14ac:dyDescent="0.2">
      <c r="A214" s="2749">
        <f t="shared" si="11"/>
        <v>12.020999999999988</v>
      </c>
      <c r="B214" s="2488" t="s">
        <v>8383</v>
      </c>
      <c r="C214" s="2530">
        <v>0</v>
      </c>
      <c r="D214" s="2530">
        <v>-129324</v>
      </c>
      <c r="E214" s="2530">
        <v>0</v>
      </c>
      <c r="F214" s="2530">
        <v>0</v>
      </c>
      <c r="G214" s="2887">
        <v>0</v>
      </c>
      <c r="H214" s="2479" t="str">
        <f t="shared" si="10"/>
        <v>Irrigation Sales - CALIFORNIA - REVENUE_ACCOUNTING ADJUSTMENTS</v>
      </c>
      <c r="J214" s="2501"/>
      <c r="K214" s="2886"/>
    </row>
    <row r="215" spans="1:11" ht="16.7" customHeight="1" x14ac:dyDescent="0.2">
      <c r="A215" s="2749">
        <f t="shared" si="11"/>
        <v>12.021999999999988</v>
      </c>
      <c r="B215" s="2488" t="s">
        <v>8384</v>
      </c>
      <c r="C215" s="2530">
        <v>0</v>
      </c>
      <c r="D215" s="2530">
        <v>25421</v>
      </c>
      <c r="E215" s="2530">
        <v>0</v>
      </c>
      <c r="F215" s="2530">
        <v>0</v>
      </c>
      <c r="G215" s="2887">
        <v>0</v>
      </c>
      <c r="H215" s="2479" t="str">
        <f t="shared" si="10"/>
        <v>Irrigation Sales - CALIFORNIA - REVENUE ADJUSTMENT - DEFERRED NPC</v>
      </c>
      <c r="J215" s="2501"/>
      <c r="K215" s="2886"/>
    </row>
    <row r="216" spans="1:11" ht="16.7" customHeight="1" x14ac:dyDescent="0.2">
      <c r="A216" s="2489"/>
      <c r="B216" s="2668"/>
      <c r="C216" s="2488"/>
      <c r="D216" s="2488"/>
      <c r="E216" s="2488"/>
      <c r="F216" s="2488"/>
      <c r="G216" s="2488"/>
      <c r="H216" s="2479"/>
      <c r="J216" s="2501"/>
      <c r="K216" s="2886"/>
    </row>
    <row r="217" spans="1:11" ht="16.7" customHeight="1" x14ac:dyDescent="0.2">
      <c r="A217" s="2489"/>
      <c r="B217" s="2668" t="s">
        <v>8389</v>
      </c>
      <c r="C217" s="2488"/>
      <c r="D217" s="2488"/>
      <c r="E217" s="2488"/>
      <c r="F217" s="2488"/>
      <c r="G217" s="2488"/>
      <c r="H217" s="2479" t="str">
        <f>B217</f>
        <v>IDAHO</v>
      </c>
      <c r="J217" s="2501"/>
      <c r="K217" s="2886"/>
    </row>
    <row r="218" spans="1:11" ht="16.7" customHeight="1" x14ac:dyDescent="0.2">
      <c r="A218" s="2749">
        <v>12.023</v>
      </c>
      <c r="B218" s="2488" t="s">
        <v>8905</v>
      </c>
      <c r="C218" s="2530">
        <v>266418</v>
      </c>
      <c r="D218" s="2530">
        <v>26413762</v>
      </c>
      <c r="E218" s="2530">
        <v>2096</v>
      </c>
      <c r="F218" s="2530">
        <v>127108</v>
      </c>
      <c r="G218" s="2887">
        <v>9.9099999999999994E-2</v>
      </c>
      <c r="H218" s="2479" t="str">
        <f t="shared" ref="H218:H239" si="12">CONCATENATE($B$191," - ",B218)</f>
        <v>Irrigation Sales - IDAHO - 07APSA010L - IRG &amp; Pump Large Load</v>
      </c>
      <c r="J218" s="2501"/>
      <c r="K218" s="2886"/>
    </row>
    <row r="219" spans="1:11" ht="16.7" customHeight="1" x14ac:dyDescent="0.2">
      <c r="A219" s="2749">
        <f t="shared" ref="A219:A240" si="13">A218+0.001</f>
        <v>12.023999999999999</v>
      </c>
      <c r="B219" s="2488" t="s">
        <v>8906</v>
      </c>
      <c r="C219" s="2530">
        <v>5068</v>
      </c>
      <c r="D219" s="2530">
        <v>573383</v>
      </c>
      <c r="E219" s="2530">
        <v>306</v>
      </c>
      <c r="F219" s="2530">
        <v>16562</v>
      </c>
      <c r="G219" s="2887">
        <v>0.11310000000000001</v>
      </c>
      <c r="H219" s="2479" t="str">
        <f t="shared" si="12"/>
        <v>Irrigation Sales - IDAHO - 07APSA010S - IRG &amp; Pump Small Load</v>
      </c>
      <c r="J219" s="2501"/>
      <c r="K219" s="2886"/>
    </row>
    <row r="220" spans="1:11" ht="16.7" customHeight="1" x14ac:dyDescent="0.2">
      <c r="A220" s="2749">
        <f t="shared" si="13"/>
        <v>12.024999999999999</v>
      </c>
      <c r="B220" s="2488" t="s">
        <v>8907</v>
      </c>
      <c r="C220" s="2530">
        <v>235232</v>
      </c>
      <c r="D220" s="2530">
        <v>23456435</v>
      </c>
      <c r="E220" s="2530">
        <v>2149</v>
      </c>
      <c r="F220" s="2530">
        <v>109461</v>
      </c>
      <c r="G220" s="2887">
        <v>9.9699999999999997E-2</v>
      </c>
      <c r="H220" s="2479" t="str">
        <f t="shared" si="12"/>
        <v>Irrigation Sales - IDAHO - 07APSAL10X - IRG &amp; PUMP - Large load</v>
      </c>
      <c r="J220" s="2501"/>
      <c r="K220" s="2886"/>
    </row>
    <row r="221" spans="1:11" ht="16.7" customHeight="1" x14ac:dyDescent="0.2">
      <c r="A221" s="2749">
        <f t="shared" si="13"/>
        <v>12.025999999999998</v>
      </c>
      <c r="B221" s="2488" t="s">
        <v>8908</v>
      </c>
      <c r="C221" s="2530">
        <v>8835</v>
      </c>
      <c r="D221" s="2530">
        <v>1042742</v>
      </c>
      <c r="E221" s="2530">
        <v>646</v>
      </c>
      <c r="F221" s="2530">
        <v>13676</v>
      </c>
      <c r="G221" s="2887">
        <v>0.11799999999999999</v>
      </c>
      <c r="H221" s="2479" t="str">
        <f t="shared" si="12"/>
        <v>Irrigation Sales - IDAHO - 07APSAS10X - IRG &amp; PUMP - Small load</v>
      </c>
      <c r="J221" s="2501"/>
      <c r="K221" s="2886"/>
    </row>
    <row r="222" spans="1:11" ht="16.7" customHeight="1" x14ac:dyDescent="0.2">
      <c r="A222" s="2749">
        <f t="shared" si="13"/>
        <v>12.026999999999997</v>
      </c>
      <c r="B222" s="2488" t="s">
        <v>8909</v>
      </c>
      <c r="C222" s="2530">
        <v>215</v>
      </c>
      <c r="D222" s="2530">
        <v>22469</v>
      </c>
      <c r="E222" s="2530">
        <v>1</v>
      </c>
      <c r="F222" s="2530">
        <v>215000</v>
      </c>
      <c r="G222" s="2887">
        <v>0.1045</v>
      </c>
      <c r="H222" s="2479" t="str">
        <f t="shared" si="12"/>
        <v>Irrigation Sales - IDAHO - 07APSV006A-LRG POWER OPTIONAL SVC - IRG</v>
      </c>
      <c r="J222" s="2501"/>
      <c r="K222" s="2886"/>
    </row>
    <row r="223" spans="1:11" ht="16.7" customHeight="1" x14ac:dyDescent="0.2">
      <c r="A223" s="2749">
        <f t="shared" si="13"/>
        <v>12.027999999999997</v>
      </c>
      <c r="B223" s="2488" t="s">
        <v>8910</v>
      </c>
      <c r="C223" s="2530">
        <v>383</v>
      </c>
      <c r="D223" s="2530">
        <v>40059</v>
      </c>
      <c r="E223" s="2530">
        <v>4</v>
      </c>
      <c r="F223" s="2530">
        <v>95750</v>
      </c>
      <c r="G223" s="2887">
        <v>0.1046</v>
      </c>
      <c r="H223" s="2479" t="str">
        <f t="shared" si="12"/>
        <v>Irrigation Sales - IDAHO - 07APSV023A-SMALL POWER OPTIONAL SVC-IRG</v>
      </c>
      <c r="J223" s="2501"/>
      <c r="K223" s="2886"/>
    </row>
    <row r="224" spans="1:11" ht="16.7" customHeight="1" x14ac:dyDescent="0.2">
      <c r="A224" s="2749">
        <f t="shared" si="13"/>
        <v>12.028999999999996</v>
      </c>
      <c r="B224" s="2488" t="s">
        <v>8911</v>
      </c>
      <c r="C224" s="2530">
        <v>10047</v>
      </c>
      <c r="D224" s="2530">
        <v>903375</v>
      </c>
      <c r="E224" s="2530">
        <v>36</v>
      </c>
      <c r="F224" s="2530">
        <v>279083</v>
      </c>
      <c r="G224" s="2887">
        <v>8.9899999999999994E-2</v>
      </c>
      <c r="H224" s="2479" t="str">
        <f t="shared" si="12"/>
        <v xml:space="preserve">Irrigation Sales - IDAHO - 07APSVCNLL-LRG LOAD CANAL               </v>
      </c>
      <c r="J224" s="2501"/>
      <c r="K224" s="2886"/>
    </row>
    <row r="225" spans="1:11" ht="16.7" customHeight="1" x14ac:dyDescent="0.2">
      <c r="A225" s="2749">
        <f t="shared" si="13"/>
        <v>12.029999999999996</v>
      </c>
      <c r="B225" s="2488" t="s">
        <v>8912</v>
      </c>
      <c r="C225" s="2530">
        <v>55</v>
      </c>
      <c r="D225" s="2530">
        <v>7321</v>
      </c>
      <c r="E225" s="2530">
        <v>11</v>
      </c>
      <c r="F225" s="2530">
        <v>5000</v>
      </c>
      <c r="G225" s="2887">
        <v>0.1331</v>
      </c>
      <c r="H225" s="2479" t="str">
        <f t="shared" si="12"/>
        <v xml:space="preserve">Irrigation Sales - IDAHO - 07APSVCNLS-SML LOAD CANAL               </v>
      </c>
      <c r="J225" s="2501"/>
      <c r="K225" s="2886"/>
    </row>
    <row r="226" spans="1:11" ht="16.7" customHeight="1" x14ac:dyDescent="0.2">
      <c r="A226" s="2749">
        <f t="shared" si="13"/>
        <v>12.030999999999995</v>
      </c>
      <c r="B226" s="2488" t="s">
        <v>8615</v>
      </c>
      <c r="C226" s="2530">
        <v>121</v>
      </c>
      <c r="D226" s="2530">
        <v>11185</v>
      </c>
      <c r="E226" s="2530">
        <v>1</v>
      </c>
      <c r="F226" s="2530">
        <v>121000</v>
      </c>
      <c r="G226" s="2887">
        <v>9.2399999999999996E-2</v>
      </c>
      <c r="H226" s="2479" t="str">
        <f t="shared" si="12"/>
        <v xml:space="preserve">Irrigation Sales - IDAHO - 07GNSV023A-GEN SRVC-SML P               </v>
      </c>
      <c r="J226" s="2501"/>
      <c r="K226" s="2886"/>
    </row>
    <row r="227" spans="1:11" ht="16.7" customHeight="1" x14ac:dyDescent="0.2">
      <c r="A227" s="2749">
        <f t="shared" si="13"/>
        <v>12.031999999999995</v>
      </c>
      <c r="B227" s="2488" t="s">
        <v>8630</v>
      </c>
      <c r="C227" s="2530">
        <v>0</v>
      </c>
      <c r="D227" s="2530">
        <v>71292</v>
      </c>
      <c r="E227" s="2530">
        <v>0</v>
      </c>
      <c r="F227" s="2530">
        <v>0</v>
      </c>
      <c r="G227" s="2887">
        <v>0</v>
      </c>
      <c r="H227" s="2479" t="str">
        <f t="shared" si="12"/>
        <v xml:space="preserve">Irrigation Sales - IDAHO - 07LNX00015-ANNUAL 80%GUAR               </v>
      </c>
      <c r="J227" s="2501"/>
      <c r="K227" s="2886"/>
    </row>
    <row r="228" spans="1:11" ht="16.7" customHeight="1" x14ac:dyDescent="0.2">
      <c r="A228" s="2749">
        <f t="shared" si="13"/>
        <v>12.032999999999994</v>
      </c>
      <c r="B228" s="2488" t="s">
        <v>8618</v>
      </c>
      <c r="C228" s="2530">
        <v>0</v>
      </c>
      <c r="D228" s="2530">
        <v>1146</v>
      </c>
      <c r="E228" s="2530">
        <v>0</v>
      </c>
      <c r="F228" s="2530">
        <v>0</v>
      </c>
      <c r="G228" s="2887">
        <v>0</v>
      </c>
      <c r="H228" s="2479" t="str">
        <f t="shared" si="12"/>
        <v xml:space="preserve">Irrigation Sales - IDAHO - 07LNX00035-ADV 80%MO GUAR               </v>
      </c>
      <c r="J228" s="2501"/>
      <c r="K228" s="2886"/>
    </row>
    <row r="229" spans="1:11" ht="16.7" customHeight="1" x14ac:dyDescent="0.2">
      <c r="A229" s="2749">
        <f t="shared" si="13"/>
        <v>12.033999999999994</v>
      </c>
      <c r="B229" s="2488" t="s">
        <v>8619</v>
      </c>
      <c r="C229" s="2530">
        <v>0</v>
      </c>
      <c r="D229" s="2530">
        <v>106057</v>
      </c>
      <c r="E229" s="2530">
        <v>0</v>
      </c>
      <c r="F229" s="2530">
        <v>0</v>
      </c>
      <c r="G229" s="2887">
        <v>0</v>
      </c>
      <c r="H229" s="2479" t="str">
        <f t="shared" si="12"/>
        <v xml:space="preserve">Irrigation Sales - IDAHO - 07LNX00040-ADV+REFCHG+80%               </v>
      </c>
      <c r="J229" s="2501"/>
      <c r="K229" s="2886"/>
    </row>
    <row r="230" spans="1:11" ht="16.7" customHeight="1" x14ac:dyDescent="0.2">
      <c r="A230" s="2749">
        <f t="shared" si="13"/>
        <v>12.034999999999993</v>
      </c>
      <c r="B230" s="2488" t="s">
        <v>8633</v>
      </c>
      <c r="C230" s="2530">
        <v>0</v>
      </c>
      <c r="D230" s="2530">
        <v>4738</v>
      </c>
      <c r="E230" s="2530">
        <v>0</v>
      </c>
      <c r="F230" s="2530">
        <v>0</v>
      </c>
      <c r="G230" s="2887">
        <v>0</v>
      </c>
      <c r="H230" s="2479" t="str">
        <f t="shared" si="12"/>
        <v>Irrigation Sales - IDAHO - 07LNX00310 80% ANNUAL GUARANTEE</v>
      </c>
      <c r="J230" s="2501"/>
      <c r="K230" s="2886"/>
    </row>
    <row r="231" spans="1:11" ht="16.7" customHeight="1" x14ac:dyDescent="0.2">
      <c r="A231" s="2749">
        <f t="shared" si="13"/>
        <v>12.035999999999992</v>
      </c>
      <c r="B231" s="2488" t="s">
        <v>8624</v>
      </c>
      <c r="C231" s="2530">
        <v>0</v>
      </c>
      <c r="D231" s="2530">
        <v>15529</v>
      </c>
      <c r="E231" s="2530">
        <v>0</v>
      </c>
      <c r="F231" s="2530">
        <v>0</v>
      </c>
      <c r="G231" s="2887">
        <v>0</v>
      </c>
      <c r="H231" s="2479" t="str">
        <f t="shared" si="12"/>
        <v>Irrigation Sales - IDAHO - 07LNX00312 - ID LINE EXT</v>
      </c>
      <c r="J231" s="2501"/>
      <c r="K231" s="2886"/>
    </row>
    <row r="232" spans="1:11" ht="16.7" customHeight="1" x14ac:dyDescent="0.2">
      <c r="A232" s="2749">
        <f t="shared" si="13"/>
        <v>12.036999999999992</v>
      </c>
      <c r="B232" s="2488" t="s">
        <v>8913</v>
      </c>
      <c r="C232" s="2530">
        <v>0</v>
      </c>
      <c r="D232" s="2530">
        <v>-2618</v>
      </c>
      <c r="E232" s="2530">
        <v>1</v>
      </c>
      <c r="F232" s="2530">
        <v>0</v>
      </c>
      <c r="G232" s="2887">
        <v>0</v>
      </c>
      <c r="H232" s="2479" t="str">
        <f t="shared" si="12"/>
        <v>Irrigation Sales - IDAHO - 07NB10X136-NON BPA ID PUMP LRG NET BILL</v>
      </c>
      <c r="J232" s="2501"/>
      <c r="K232" s="2886"/>
    </row>
    <row r="233" spans="1:11" ht="16.7" customHeight="1" x14ac:dyDescent="0.2">
      <c r="A233" s="2749">
        <f t="shared" si="13"/>
        <v>12.037999999999991</v>
      </c>
      <c r="B233" s="2488" t="s">
        <v>8914</v>
      </c>
      <c r="C233" s="2530">
        <v>25</v>
      </c>
      <c r="D233" s="2530">
        <v>3119</v>
      </c>
      <c r="E233" s="2530">
        <v>1</v>
      </c>
      <c r="F233" s="2530">
        <v>25000</v>
      </c>
      <c r="G233" s="2887">
        <v>0.12470000000000001</v>
      </c>
      <c r="H233" s="2479" t="str">
        <f t="shared" si="12"/>
        <v>Irrigation Sales - IDAHO - 07NBL10136-ID IRG LRG LOAD NET BILLING</v>
      </c>
      <c r="J233" s="2501"/>
      <c r="K233" s="2886"/>
    </row>
    <row r="234" spans="1:11" ht="16.7" customHeight="1" x14ac:dyDescent="0.2">
      <c r="A234" s="2749">
        <f t="shared" si="13"/>
        <v>12.038999999999991</v>
      </c>
      <c r="B234" s="2488" t="s">
        <v>8915</v>
      </c>
      <c r="C234" s="2530">
        <v>254</v>
      </c>
      <c r="D234" s="2530">
        <v>24056</v>
      </c>
      <c r="E234" s="2530">
        <v>3</v>
      </c>
      <c r="F234" s="2530">
        <v>84667</v>
      </c>
      <c r="G234" s="2887">
        <v>9.4700000000000006E-2</v>
      </c>
      <c r="H234" s="2479" t="str">
        <f t="shared" si="12"/>
        <v>Irrigation Sales - IDAHO - 07NM10X135-ID NET METERING - IRG</v>
      </c>
      <c r="J234" s="2501"/>
      <c r="K234" s="2886"/>
    </row>
    <row r="235" spans="1:11" ht="16.7" customHeight="1" x14ac:dyDescent="0.2">
      <c r="A235" s="2749">
        <f t="shared" si="13"/>
        <v>12.03999999999999</v>
      </c>
      <c r="B235" s="2488" t="s">
        <v>8916</v>
      </c>
      <c r="C235" s="2530">
        <v>11230</v>
      </c>
      <c r="D235" s="2530">
        <v>1055061</v>
      </c>
      <c r="E235" s="2530">
        <v>44</v>
      </c>
      <c r="F235" s="2530">
        <v>255227</v>
      </c>
      <c r="G235" s="2887">
        <v>9.4E-2</v>
      </c>
      <c r="H235" s="2479" t="str">
        <f t="shared" si="12"/>
        <v>Irrigation Sales - IDAHO - 07APSN010L - ID LG IRR &amp; PUMP</v>
      </c>
      <c r="J235" s="2501"/>
      <c r="K235" s="2886"/>
    </row>
    <row r="236" spans="1:11" ht="16.7" customHeight="1" x14ac:dyDescent="0.2">
      <c r="A236" s="2749">
        <f t="shared" si="13"/>
        <v>12.04099999999999</v>
      </c>
      <c r="B236" s="2488" t="s">
        <v>8917</v>
      </c>
      <c r="C236" s="2530">
        <v>77</v>
      </c>
      <c r="D236" s="2530">
        <v>8532</v>
      </c>
      <c r="E236" s="2530">
        <v>3</v>
      </c>
      <c r="F236" s="2530">
        <v>25667</v>
      </c>
      <c r="G236" s="2887">
        <v>0.1108</v>
      </c>
      <c r="H236" s="2479" t="str">
        <f t="shared" si="12"/>
        <v>Irrigation Sales - IDAHO - 07APSN010S - IRRIGATION, SMALL, 3 PH</v>
      </c>
      <c r="J236" s="2501"/>
      <c r="K236" s="2886"/>
    </row>
    <row r="237" spans="1:11" ht="16.7" customHeight="1" x14ac:dyDescent="0.2">
      <c r="A237" s="2749">
        <f t="shared" si="13"/>
        <v>12.041999999999989</v>
      </c>
      <c r="B237" s="2512" t="s">
        <v>8918</v>
      </c>
      <c r="C237" s="2530">
        <v>1046</v>
      </c>
      <c r="D237" s="2530">
        <v>106579</v>
      </c>
      <c r="E237" s="2530">
        <v>23</v>
      </c>
      <c r="F237" s="2530">
        <v>45478</v>
      </c>
      <c r="G237" s="2887">
        <v>0.1019</v>
      </c>
      <c r="H237" s="2479" t="str">
        <f t="shared" si="12"/>
        <v>Irrigation Sales - IDAHO - 07APSNS10X - IRRIGATION, SMALL, 3 PHASE</v>
      </c>
      <c r="J237" s="2501"/>
      <c r="K237" s="2886"/>
    </row>
    <row r="238" spans="1:11" ht="16.7" customHeight="1" x14ac:dyDescent="0.2">
      <c r="A238" s="2749">
        <f t="shared" si="13"/>
        <v>12.042999999999989</v>
      </c>
      <c r="B238" s="2512" t="s">
        <v>8406</v>
      </c>
      <c r="C238" s="2530">
        <v>0</v>
      </c>
      <c r="D238" s="2530">
        <v>412489</v>
      </c>
      <c r="E238" s="2530">
        <v>0</v>
      </c>
      <c r="F238" s="2530">
        <v>0</v>
      </c>
      <c r="G238" s="2887">
        <v>0</v>
      </c>
      <c r="H238" s="2479" t="str">
        <f t="shared" si="12"/>
        <v>Irrigation Sales - IDAHO - REVENUE_ACCOUNTING ADJUSTMENTS</v>
      </c>
      <c r="J238" s="2501"/>
      <c r="K238" s="2886"/>
    </row>
    <row r="239" spans="1:11" ht="16.7" customHeight="1" x14ac:dyDescent="0.2">
      <c r="A239" s="2749">
        <f t="shared" si="13"/>
        <v>12.043999999999988</v>
      </c>
      <c r="B239" s="2512" t="s">
        <v>8919</v>
      </c>
      <c r="C239" s="2530">
        <v>0</v>
      </c>
      <c r="D239" s="2530">
        <v>1578353</v>
      </c>
      <c r="E239" s="2530">
        <v>0</v>
      </c>
      <c r="F239" s="2530">
        <v>0</v>
      </c>
      <c r="G239" s="2887">
        <v>0</v>
      </c>
      <c r="H239" s="2479" t="str">
        <f t="shared" si="12"/>
        <v>Irrigation Sales - IDAHO - DSM REVENUE-IRRIGATION</v>
      </c>
      <c r="J239" s="2501"/>
      <c r="K239" s="2886"/>
    </row>
    <row r="240" spans="1:11" ht="16.7" customHeight="1" x14ac:dyDescent="0.2">
      <c r="A240" s="2749">
        <f t="shared" si="13"/>
        <v>12.044999999999987</v>
      </c>
      <c r="B240" s="2512" t="s">
        <v>8920</v>
      </c>
      <c r="C240" s="2530">
        <v>0</v>
      </c>
      <c r="D240" s="2530">
        <v>73</v>
      </c>
      <c r="E240" s="2530">
        <v>0</v>
      </c>
      <c r="F240" s="2530">
        <v>0</v>
      </c>
      <c r="G240" s="2887">
        <v>0</v>
      </c>
      <c r="H240" s="2479" t="str">
        <f>B240</f>
        <v>IDAHO - BLUE SKY REVENUE-IRRIGATION</v>
      </c>
      <c r="J240" s="2501"/>
      <c r="K240" s="2886"/>
    </row>
    <row r="241" spans="1:11" ht="16.7" customHeight="1" x14ac:dyDescent="0.2">
      <c r="A241" s="2489"/>
      <c r="B241" s="2669"/>
      <c r="C241" s="2488"/>
      <c r="D241" s="2488"/>
      <c r="E241" s="2488"/>
      <c r="F241" s="2488"/>
      <c r="G241" s="2488"/>
      <c r="H241" s="2479"/>
      <c r="J241" s="2501"/>
      <c r="K241" s="2886"/>
    </row>
    <row r="242" spans="1:11" ht="16.7" customHeight="1" x14ac:dyDescent="0.2">
      <c r="A242" s="2489"/>
      <c r="B242" s="2669" t="s">
        <v>8407</v>
      </c>
      <c r="C242" s="2488"/>
      <c r="D242" s="2488"/>
      <c r="E242" s="2488"/>
      <c r="F242" s="2488"/>
      <c r="G242" s="2488"/>
      <c r="H242" s="2479" t="str">
        <f>B242</f>
        <v>OREGON</v>
      </c>
      <c r="J242" s="2501"/>
      <c r="K242" s="2886"/>
    </row>
    <row r="243" spans="1:11" ht="16.7" customHeight="1" x14ac:dyDescent="0.2">
      <c r="A243" s="2749">
        <f>A240+0.001</f>
        <v>12.045999999999987</v>
      </c>
      <c r="B243" s="2512" t="s">
        <v>8921</v>
      </c>
      <c r="C243" s="2530">
        <v>0</v>
      </c>
      <c r="D243" s="2530">
        <v>56352</v>
      </c>
      <c r="E243" s="2530">
        <v>44</v>
      </c>
      <c r="F243" s="2530">
        <v>0</v>
      </c>
      <c r="G243" s="2887">
        <v>0</v>
      </c>
      <c r="H243" s="2479" t="str">
        <f t="shared" ref="H243:H291" si="14">CONCATENATE($B$191," - ",B243)</f>
        <v>Irrigation Sales - OREGON - 01APSBA41T-OR IRR TOU OPT A - 2PM-6PM</v>
      </c>
      <c r="J243" s="2501"/>
      <c r="K243" s="2886"/>
    </row>
    <row r="244" spans="1:11" ht="16.7" customHeight="1" x14ac:dyDescent="0.2">
      <c r="A244" s="2749">
        <f t="shared" ref="A244:A291" si="15">A243+0.001</f>
        <v>12.046999999999986</v>
      </c>
      <c r="B244" s="2512" t="s">
        <v>8922</v>
      </c>
      <c r="C244" s="2530">
        <v>0</v>
      </c>
      <c r="D244" s="2530">
        <v>6142</v>
      </c>
      <c r="E244" s="2530">
        <v>21</v>
      </c>
      <c r="F244" s="2530">
        <v>0</v>
      </c>
      <c r="G244" s="2887">
        <v>0</v>
      </c>
      <c r="H244" s="2479" t="str">
        <f t="shared" si="14"/>
        <v>Irrigation Sales - OREGON - 01APSBB41T-OR IRR TOU OPT B - 6PM-10PM</v>
      </c>
      <c r="J244" s="2501"/>
      <c r="K244" s="2886"/>
    </row>
    <row r="245" spans="1:11" ht="16.7" customHeight="1" x14ac:dyDescent="0.2">
      <c r="A245" s="2749">
        <f t="shared" si="15"/>
        <v>12.047999999999986</v>
      </c>
      <c r="B245" s="2512" t="s">
        <v>8923</v>
      </c>
      <c r="C245" s="2530">
        <v>0</v>
      </c>
      <c r="D245" s="2530">
        <v>96</v>
      </c>
      <c r="E245" s="2530">
        <v>1</v>
      </c>
      <c r="F245" s="2530">
        <v>0</v>
      </c>
      <c r="G245" s="2887">
        <v>0</v>
      </c>
      <c r="H245" s="2479" t="str">
        <f t="shared" si="14"/>
        <v>Irrigation Sales - OREGON - 01APSBT041-OR IRG TOU METER</v>
      </c>
      <c r="J245" s="2501"/>
      <c r="K245" s="2886"/>
    </row>
    <row r="246" spans="1:11" ht="16.7" customHeight="1" x14ac:dyDescent="0.2">
      <c r="A246" s="2749">
        <f t="shared" si="15"/>
        <v>12.048999999999985</v>
      </c>
      <c r="B246" s="2512" t="s">
        <v>8924</v>
      </c>
      <c r="C246" s="2530">
        <v>0</v>
      </c>
      <c r="D246" s="2530">
        <v>1365714</v>
      </c>
      <c r="E246" s="2530">
        <v>2132</v>
      </c>
      <c r="F246" s="2530">
        <v>0</v>
      </c>
      <c r="G246" s="2887">
        <v>0</v>
      </c>
      <c r="H246" s="2479" t="str">
        <f t="shared" si="14"/>
        <v xml:space="preserve">Irrigation Sales - OREGON - 01APSV0041-AG PMP SRVC BP               </v>
      </c>
      <c r="J246" s="2501"/>
      <c r="K246" s="2886"/>
    </row>
    <row r="247" spans="1:11" ht="16.7" customHeight="1" x14ac:dyDescent="0.2">
      <c r="A247" s="2749">
        <f t="shared" si="15"/>
        <v>12.049999999999985</v>
      </c>
      <c r="B247" s="2512" t="s">
        <v>8925</v>
      </c>
      <c r="C247" s="2530">
        <v>0</v>
      </c>
      <c r="D247" s="2530">
        <v>2160671</v>
      </c>
      <c r="E247" s="2530">
        <v>514</v>
      </c>
      <c r="F247" s="2530">
        <v>0</v>
      </c>
      <c r="G247" s="2887">
        <v>0</v>
      </c>
      <c r="H247" s="2479" t="str">
        <f t="shared" si="14"/>
        <v>Irrigation Sales - OREGON - 01APSV041L-OR Pumping Serv &gt;30KW</v>
      </c>
      <c r="J247" s="2501"/>
      <c r="K247" s="2886"/>
    </row>
    <row r="248" spans="1:11" ht="16.7" customHeight="1" x14ac:dyDescent="0.2">
      <c r="A248" s="2749">
        <f t="shared" si="15"/>
        <v>12.050999999999984</v>
      </c>
      <c r="B248" s="2512" t="s">
        <v>8926</v>
      </c>
      <c r="C248" s="2530">
        <v>0</v>
      </c>
      <c r="D248" s="2530">
        <v>23694</v>
      </c>
      <c r="E248" s="2530">
        <v>35</v>
      </c>
      <c r="F248" s="2530">
        <v>0</v>
      </c>
      <c r="G248" s="2887">
        <v>0</v>
      </c>
      <c r="H248" s="2479" t="str">
        <f t="shared" si="14"/>
        <v>Irrigation Sales - OREGON - 01APSV041T - AGR PUMP SRV-TOU OPTION</v>
      </c>
      <c r="J248" s="2501"/>
      <c r="K248" s="2886"/>
    </row>
    <row r="249" spans="1:11" ht="16.7" customHeight="1" x14ac:dyDescent="0.2">
      <c r="A249" s="2749">
        <f t="shared" si="15"/>
        <v>12.051999999999984</v>
      </c>
      <c r="B249" s="2512" t="s">
        <v>8927</v>
      </c>
      <c r="C249" s="2530">
        <v>0</v>
      </c>
      <c r="D249" s="2530">
        <v>1668427</v>
      </c>
      <c r="E249" s="2530">
        <v>2787</v>
      </c>
      <c r="F249" s="2530">
        <v>0</v>
      </c>
      <c r="G249" s="2887">
        <v>0</v>
      </c>
      <c r="H249" s="2479" t="str">
        <f t="shared" si="14"/>
        <v xml:space="preserve">Irrigation Sales - OREGON - 01APSV041X-AG PMP SRVC&lt;30 kW        </v>
      </c>
      <c r="J249" s="2501"/>
      <c r="K249" s="2886"/>
    </row>
    <row r="250" spans="1:11" ht="16.7" customHeight="1" x14ac:dyDescent="0.2">
      <c r="A250" s="2749">
        <f t="shared" si="15"/>
        <v>12.052999999999983</v>
      </c>
      <c r="B250" s="2512" t="s">
        <v>8928</v>
      </c>
      <c r="C250" s="2530">
        <v>0</v>
      </c>
      <c r="D250" s="2530">
        <v>30080</v>
      </c>
      <c r="E250" s="2530">
        <v>34</v>
      </c>
      <c r="F250" s="2530">
        <v>0</v>
      </c>
      <c r="G250" s="2887">
        <v>0</v>
      </c>
      <c r="H250" s="2479" t="str">
        <f t="shared" si="14"/>
        <v>Irrigation Sales - OREGON - 01APSV41TA-OR IRG PUMPING TOU OPT-A</v>
      </c>
      <c r="J250" s="2501"/>
      <c r="K250" s="2886"/>
    </row>
    <row r="251" spans="1:11" ht="16.7" customHeight="1" x14ac:dyDescent="0.2">
      <c r="A251" s="2749">
        <f t="shared" si="15"/>
        <v>12.053999999999983</v>
      </c>
      <c r="B251" s="2512" t="s">
        <v>8929</v>
      </c>
      <c r="C251" s="2530">
        <v>0</v>
      </c>
      <c r="D251" s="2530">
        <v>7415</v>
      </c>
      <c r="E251" s="2530">
        <v>17</v>
      </c>
      <c r="F251" s="2530">
        <v>0</v>
      </c>
      <c r="G251" s="2887">
        <v>0</v>
      </c>
      <c r="H251" s="2479" t="str">
        <f t="shared" si="14"/>
        <v>Irrigation Sales - OREGON - 01APSV41TB-OR IRG PUMPING TOU OPT-B</v>
      </c>
      <c r="J251" s="2501"/>
      <c r="K251" s="2886"/>
    </row>
    <row r="252" spans="1:11" ht="16.7" customHeight="1" x14ac:dyDescent="0.2">
      <c r="A252" s="2749">
        <f t="shared" si="15"/>
        <v>12.054999999999982</v>
      </c>
      <c r="B252" s="2512" t="s">
        <v>8930</v>
      </c>
      <c r="C252" s="2530">
        <v>0</v>
      </c>
      <c r="D252" s="2530">
        <v>2760339</v>
      </c>
      <c r="E252" s="2530">
        <v>523</v>
      </c>
      <c r="F252" s="2530">
        <v>0</v>
      </c>
      <c r="G252" s="2887">
        <v>0</v>
      </c>
      <c r="H252" s="2479" t="str">
        <f t="shared" si="14"/>
        <v>Irrigation Sales - OREGON - 01APSV41XL-OR Pumping Serv no BPA &gt;30KW</v>
      </c>
      <c r="J252" s="2501"/>
      <c r="K252" s="2886"/>
    </row>
    <row r="253" spans="1:11" ht="16.7" customHeight="1" x14ac:dyDescent="0.2">
      <c r="A253" s="2749">
        <f t="shared" si="15"/>
        <v>12.055999999999981</v>
      </c>
      <c r="B253" s="2512" t="s">
        <v>8931</v>
      </c>
      <c r="C253" s="2530">
        <v>0</v>
      </c>
      <c r="D253" s="2530">
        <v>1212</v>
      </c>
      <c r="E253" s="2530">
        <v>1</v>
      </c>
      <c r="F253" s="2530">
        <v>0</v>
      </c>
      <c r="G253" s="2887">
        <v>0</v>
      </c>
      <c r="H253" s="2479" t="str">
        <f t="shared" si="14"/>
        <v>Irrigation Sales - OREGON - 01APSVT041-OR IRG TOU METER</v>
      </c>
      <c r="J253" s="2501"/>
      <c r="K253" s="2886"/>
    </row>
    <row r="254" spans="1:11" ht="16.7" customHeight="1" x14ac:dyDescent="0.2">
      <c r="A254" s="2749">
        <f t="shared" si="15"/>
        <v>12.056999999999981</v>
      </c>
      <c r="B254" s="2512" t="s">
        <v>8932</v>
      </c>
      <c r="C254" s="2530">
        <v>0</v>
      </c>
      <c r="D254" s="2530">
        <v>64</v>
      </c>
      <c r="E254" s="2530">
        <v>0</v>
      </c>
      <c r="F254" s="2530">
        <v>0</v>
      </c>
      <c r="G254" s="2887">
        <v>0</v>
      </c>
      <c r="H254" s="2479" t="str">
        <f t="shared" si="14"/>
        <v>Irrigation Sales - OREGON - 01APSVT41L-OR AGRICULTUARL PUMPING&gt;30 KW</v>
      </c>
      <c r="J254" s="2501"/>
      <c r="K254" s="2886"/>
    </row>
    <row r="255" spans="1:11" ht="16.7" customHeight="1" x14ac:dyDescent="0.2">
      <c r="A255" s="2749">
        <f t="shared" si="15"/>
        <v>12.05799999999998</v>
      </c>
      <c r="B255" s="2512" t="s">
        <v>8933</v>
      </c>
      <c r="C255" s="2530">
        <v>128377</v>
      </c>
      <c r="D255" s="2530">
        <v>7251490</v>
      </c>
      <c r="E255" s="2530">
        <v>0</v>
      </c>
      <c r="F255" s="2530">
        <v>0</v>
      </c>
      <c r="G255" s="2887">
        <v>5.6500000000000002E-2</v>
      </c>
      <c r="H255" s="2479" t="str">
        <f t="shared" si="14"/>
        <v>Irrigation Sales - OREGON - 01COST0041 -01APSV0041-01APSV041X AG PMP</v>
      </c>
      <c r="J255" s="2501"/>
      <c r="K255" s="2886"/>
    </row>
    <row r="256" spans="1:11" ht="16.7" customHeight="1" x14ac:dyDescent="0.2">
      <c r="A256" s="2749">
        <f t="shared" si="15"/>
        <v>12.05899999999998</v>
      </c>
      <c r="B256" s="2512" t="s">
        <v>8637</v>
      </c>
      <c r="C256" s="2530">
        <v>22550</v>
      </c>
      <c r="D256" s="2530">
        <v>1170786</v>
      </c>
      <c r="E256" s="2530">
        <v>0</v>
      </c>
      <c r="F256" s="2530">
        <v>0</v>
      </c>
      <c r="G256" s="2887">
        <v>5.1900000000000002E-2</v>
      </c>
      <c r="H256" s="2479" t="str">
        <f t="shared" si="14"/>
        <v>Irrigation Sales - OREGON - 01COST0048 - 01LGSV0048</v>
      </c>
      <c r="J256" s="2501"/>
      <c r="K256" s="2886"/>
    </row>
    <row r="257" spans="1:11" ht="16.7" customHeight="1" x14ac:dyDescent="0.2">
      <c r="A257" s="2749">
        <f t="shared" si="15"/>
        <v>12.059999999999979</v>
      </c>
      <c r="B257" s="2512" t="s">
        <v>8934</v>
      </c>
      <c r="C257" s="2530">
        <v>1386</v>
      </c>
      <c r="D257" s="2530">
        <v>75256</v>
      </c>
      <c r="E257" s="2530">
        <v>0</v>
      </c>
      <c r="F257" s="2530">
        <v>0</v>
      </c>
      <c r="G257" s="2887">
        <v>5.4300000000000001E-2</v>
      </c>
      <c r="H257" s="2479" t="str">
        <f t="shared" si="14"/>
        <v>Irrigation Sales - OREGON - 01COST041T- AG IRG TOU ENERGY SUPPLY SVC</v>
      </c>
      <c r="J257" s="2501"/>
      <c r="K257" s="2886"/>
    </row>
    <row r="258" spans="1:11" ht="16.7" customHeight="1" x14ac:dyDescent="0.2">
      <c r="A258" s="2749">
        <f t="shared" si="15"/>
        <v>12.060999999999979</v>
      </c>
      <c r="B258" s="2512" t="s">
        <v>8935</v>
      </c>
      <c r="C258" s="2530">
        <v>16</v>
      </c>
      <c r="D258" s="2530">
        <v>896</v>
      </c>
      <c r="E258" s="2530">
        <v>0</v>
      </c>
      <c r="F258" s="2530">
        <v>0</v>
      </c>
      <c r="G258" s="2887">
        <v>5.6000000000000001E-2</v>
      </c>
      <c r="H258" s="2479" t="str">
        <f t="shared" si="14"/>
        <v>Irrigation Sales - OREGON - 01COST41MT-OR IRG COST SUPPLY TOU MTR</v>
      </c>
      <c r="J258" s="2501"/>
      <c r="K258" s="2886"/>
    </row>
    <row r="259" spans="1:11" ht="16.7" customHeight="1" x14ac:dyDescent="0.2">
      <c r="A259" s="2749">
        <f t="shared" si="15"/>
        <v>12.061999999999978</v>
      </c>
      <c r="B259" s="2512" t="s">
        <v>8936</v>
      </c>
      <c r="C259" s="2530">
        <v>1129</v>
      </c>
      <c r="D259" s="2530">
        <v>63794</v>
      </c>
      <c r="E259" s="2530">
        <v>0</v>
      </c>
      <c r="F259" s="2530">
        <v>0</v>
      </c>
      <c r="G259" s="2887">
        <v>5.6500000000000002E-2</v>
      </c>
      <c r="H259" s="2479" t="str">
        <f t="shared" si="14"/>
        <v>Irrigation Sales - OREGON - 01CSTU41MT-USBR IRG COST SUPPLY SVC TOU</v>
      </c>
      <c r="J259" s="2501"/>
      <c r="K259" s="2886"/>
    </row>
    <row r="260" spans="1:11" ht="16.7" customHeight="1" x14ac:dyDescent="0.2">
      <c r="A260" s="2749">
        <f t="shared" si="15"/>
        <v>12.062999999999978</v>
      </c>
      <c r="B260" s="2512" t="s">
        <v>8937</v>
      </c>
      <c r="C260" s="2530">
        <v>60543</v>
      </c>
      <c r="D260" s="2530">
        <v>3421910</v>
      </c>
      <c r="E260" s="2530">
        <v>0</v>
      </c>
      <c r="F260" s="2530">
        <v>0</v>
      </c>
      <c r="G260" s="2887">
        <v>5.6500000000000002E-2</v>
      </c>
      <c r="H260" s="2479" t="str">
        <f t="shared" si="14"/>
        <v>Irrigation Sales - OREGON - 01CSTUSB41-USBR IRRIGATION CONTRACTS CSS</v>
      </c>
      <c r="J260" s="2501"/>
      <c r="K260" s="2886"/>
    </row>
    <row r="261" spans="1:11" ht="16.7" customHeight="1" x14ac:dyDescent="0.2">
      <c r="A261" s="2749">
        <f t="shared" si="15"/>
        <v>12.063999999999977</v>
      </c>
      <c r="B261" s="2512" t="s">
        <v>8658</v>
      </c>
      <c r="C261" s="2530">
        <v>0</v>
      </c>
      <c r="D261" s="2530">
        <v>296</v>
      </c>
      <c r="E261" s="2530">
        <v>1</v>
      </c>
      <c r="F261" s="2530">
        <v>0</v>
      </c>
      <c r="G261" s="2887">
        <v>0</v>
      </c>
      <c r="H261" s="2479" t="str">
        <f t="shared" si="14"/>
        <v>Irrigation Sales - OREGON - 01GNSV023T, OR GEN SRV, TOU Option</v>
      </c>
      <c r="J261" s="2501"/>
      <c r="K261" s="2886"/>
    </row>
    <row r="262" spans="1:11" ht="16.7" customHeight="1" x14ac:dyDescent="0.2">
      <c r="A262" s="2749">
        <f t="shared" si="15"/>
        <v>12.064999999999976</v>
      </c>
      <c r="B262" s="2512" t="s">
        <v>8938</v>
      </c>
      <c r="C262" s="2530">
        <v>3</v>
      </c>
      <c r="D262" s="2530">
        <v>193</v>
      </c>
      <c r="E262" s="2530">
        <v>0</v>
      </c>
      <c r="F262" s="2530">
        <v>0</v>
      </c>
      <c r="G262" s="2887">
        <v>6.4500000000000002E-2</v>
      </c>
      <c r="H262" s="2479" t="str">
        <f t="shared" si="14"/>
        <v>Irrigation Sales - OREGON - 01HABIT041 - 01APSV0041 AG PMP SRVC</v>
      </c>
      <c r="J262" s="2501"/>
      <c r="K262" s="2886"/>
    </row>
    <row r="263" spans="1:11" ht="16.7" customHeight="1" x14ac:dyDescent="0.2">
      <c r="A263" s="2749">
        <f t="shared" si="15"/>
        <v>12.065999999999976</v>
      </c>
      <c r="B263" s="2512" t="s">
        <v>8663</v>
      </c>
      <c r="C263" s="2530">
        <v>0</v>
      </c>
      <c r="D263" s="2530">
        <v>614074</v>
      </c>
      <c r="E263" s="2530">
        <v>2</v>
      </c>
      <c r="F263" s="2530">
        <v>0</v>
      </c>
      <c r="G263" s="2887">
        <v>0</v>
      </c>
      <c r="H263" s="2479" t="str">
        <f t="shared" si="14"/>
        <v xml:space="preserve">Irrigation Sales - OREGON - 01LGSV0048-1000KW AND OVR               </v>
      </c>
      <c r="J263" s="2501"/>
      <c r="K263" s="2886"/>
    </row>
    <row r="264" spans="1:11" ht="16.7" customHeight="1" x14ac:dyDescent="0.2">
      <c r="A264" s="2749">
        <f t="shared" si="15"/>
        <v>12.066999999999975</v>
      </c>
      <c r="B264" s="2512" t="s">
        <v>8667</v>
      </c>
      <c r="C264" s="2530">
        <v>0</v>
      </c>
      <c r="D264" s="2530">
        <v>30673</v>
      </c>
      <c r="E264" s="2530">
        <v>0</v>
      </c>
      <c r="F264" s="2530">
        <v>0</v>
      </c>
      <c r="G264" s="2887">
        <v>0</v>
      </c>
      <c r="H264" s="2479" t="str">
        <f t="shared" si="14"/>
        <v xml:space="preserve">Irrigation Sales - OREGON - 01LNX00103-LINE EXT 80% G               </v>
      </c>
      <c r="J264" s="2501"/>
      <c r="K264" s="2886"/>
    </row>
    <row r="265" spans="1:11" ht="16.7" customHeight="1" x14ac:dyDescent="0.2">
      <c r="A265" s="2749">
        <f t="shared" si="15"/>
        <v>12.067999999999975</v>
      </c>
      <c r="B265" s="2512" t="s">
        <v>8417</v>
      </c>
      <c r="C265" s="2530">
        <v>0</v>
      </c>
      <c r="D265" s="2530">
        <v>72</v>
      </c>
      <c r="E265" s="2530">
        <v>0</v>
      </c>
      <c r="F265" s="2530">
        <v>0</v>
      </c>
      <c r="G265" s="2887">
        <v>0</v>
      </c>
      <c r="H265" s="2479" t="str">
        <f t="shared" si="14"/>
        <v xml:space="preserve">Irrigation Sales - OREGON - 01LNX00109-REF/NREF ADV +               </v>
      </c>
      <c r="J265" s="2501"/>
      <c r="K265" s="2886"/>
    </row>
    <row r="266" spans="1:11" ht="16.7" customHeight="1" x14ac:dyDescent="0.2">
      <c r="A266" s="2749">
        <f t="shared" si="15"/>
        <v>12.068999999999974</v>
      </c>
      <c r="B266" s="2512" t="s">
        <v>8669</v>
      </c>
      <c r="C266" s="2530">
        <v>0</v>
      </c>
      <c r="D266" s="2530">
        <v>97612</v>
      </c>
      <c r="E266" s="2530">
        <v>0</v>
      </c>
      <c r="F266" s="2530">
        <v>0</v>
      </c>
      <c r="G266" s="2887">
        <v>0</v>
      </c>
      <c r="H266" s="2479" t="str">
        <f t="shared" si="14"/>
        <v xml:space="preserve">Irrigation Sales - OREGON - 01LNX00110-REF/NREF ADV +               </v>
      </c>
      <c r="J266" s="2501"/>
      <c r="K266" s="2886"/>
    </row>
    <row r="267" spans="1:11" ht="16.7" customHeight="1" x14ac:dyDescent="0.2">
      <c r="A267" s="2749">
        <f t="shared" si="15"/>
        <v>12.069999999999974</v>
      </c>
      <c r="B267" s="2512" t="s">
        <v>8674</v>
      </c>
      <c r="C267" s="2530">
        <v>0</v>
      </c>
      <c r="D267" s="2530">
        <v>5121</v>
      </c>
      <c r="E267" s="2530">
        <v>0</v>
      </c>
      <c r="F267" s="2530">
        <v>0</v>
      </c>
      <c r="G267" s="2887">
        <v>0</v>
      </c>
      <c r="H267" s="2479" t="str">
        <f t="shared" si="14"/>
        <v>Irrigation Sales - OREGON - 01LNX00310-LINE EXTENSION CONTRACT</v>
      </c>
      <c r="J267" s="2501"/>
      <c r="K267" s="2886"/>
    </row>
    <row r="268" spans="1:11" ht="16.7" customHeight="1" x14ac:dyDescent="0.2">
      <c r="A268" s="2749">
        <f t="shared" si="15"/>
        <v>12.070999999999973</v>
      </c>
      <c r="B268" s="2512" t="s">
        <v>8685</v>
      </c>
      <c r="C268" s="2530">
        <v>2</v>
      </c>
      <c r="D268" s="2530">
        <v>102</v>
      </c>
      <c r="E268" s="2530">
        <v>0</v>
      </c>
      <c r="F268" s="2530">
        <v>0</v>
      </c>
      <c r="G268" s="2887">
        <v>5.11E-2</v>
      </c>
      <c r="H268" s="2479" t="str">
        <f t="shared" si="14"/>
        <v>Irrigation Sales - OREGON - 01PTOU0023, OR GEN SRV, TOU ENG SPLY SRV</v>
      </c>
      <c r="J268" s="2501"/>
      <c r="K268" s="2886"/>
    </row>
    <row r="269" spans="1:11" ht="16.7" customHeight="1" x14ac:dyDescent="0.2">
      <c r="A269" s="2749">
        <f t="shared" si="15"/>
        <v>12.071999999999973</v>
      </c>
      <c r="B269" s="2512" t="s">
        <v>8939</v>
      </c>
      <c r="C269" s="2530">
        <v>353</v>
      </c>
      <c r="D269" s="2530">
        <v>19369</v>
      </c>
      <c r="E269" s="2530">
        <v>0</v>
      </c>
      <c r="F269" s="2530">
        <v>0</v>
      </c>
      <c r="G269" s="2887">
        <v>5.4899999999999997E-2</v>
      </c>
      <c r="H269" s="2479" t="str">
        <f t="shared" si="14"/>
        <v>Irrigation Sales - OREGON - 01PTOU0041 - 01APSV0041 AG PMP SRVC</v>
      </c>
      <c r="J269" s="2501"/>
      <c r="K269" s="2886"/>
    </row>
    <row r="270" spans="1:11" ht="16.7" customHeight="1" x14ac:dyDescent="0.2">
      <c r="A270" s="2749">
        <f t="shared" si="15"/>
        <v>12.072999999999972</v>
      </c>
      <c r="B270" s="2512" t="s">
        <v>8940</v>
      </c>
      <c r="C270" s="2530">
        <v>83</v>
      </c>
      <c r="D270" s="2530">
        <v>4662</v>
      </c>
      <c r="E270" s="2530">
        <v>0</v>
      </c>
      <c r="F270" s="2530">
        <v>0</v>
      </c>
      <c r="G270" s="2887">
        <v>5.62E-2</v>
      </c>
      <c r="H270" s="2479" t="str">
        <f t="shared" si="14"/>
        <v>Irrigation Sales - OREGON - 01RENEW041 - 01APSV0041 AG PMP SRVC</v>
      </c>
      <c r="J270" s="2501"/>
      <c r="K270" s="2886"/>
    </row>
    <row r="271" spans="1:11" ht="16.7" customHeight="1" x14ac:dyDescent="0.2">
      <c r="A271" s="2749">
        <f t="shared" si="15"/>
        <v>12.073999999999971</v>
      </c>
      <c r="B271" s="2512" t="s">
        <v>8941</v>
      </c>
      <c r="C271" s="2530">
        <v>98</v>
      </c>
      <c r="D271" s="2530">
        <v>7488</v>
      </c>
      <c r="E271" s="2530">
        <v>0</v>
      </c>
      <c r="F271" s="2530">
        <v>0</v>
      </c>
      <c r="G271" s="2887">
        <v>7.6399999999999996E-2</v>
      </c>
      <c r="H271" s="2479" t="str">
        <f t="shared" si="14"/>
        <v>Irrigation Sales - OREGON - 01STDAY041 - Daily Standard Offer Sch 25</v>
      </c>
      <c r="J271" s="2501"/>
      <c r="K271" s="2886"/>
    </row>
    <row r="272" spans="1:11" ht="16.7" customHeight="1" x14ac:dyDescent="0.2">
      <c r="A272" s="2749">
        <f t="shared" si="15"/>
        <v>12.074999999999971</v>
      </c>
      <c r="B272" s="2512" t="s">
        <v>8942</v>
      </c>
      <c r="C272" s="2530">
        <v>0</v>
      </c>
      <c r="D272" s="2530">
        <v>7171</v>
      </c>
      <c r="E272" s="2530">
        <v>8</v>
      </c>
      <c r="F272" s="2530">
        <v>0</v>
      </c>
      <c r="G272" s="2887">
        <v>0</v>
      </c>
      <c r="H272" s="2479" t="str">
        <f t="shared" si="14"/>
        <v>Irrigation Sales - OREGON - 01USBOFT41-OR USBR IRG OFF PRJCT LND TOU</v>
      </c>
      <c r="J272" s="2501"/>
      <c r="K272" s="2886"/>
    </row>
    <row r="273" spans="1:11" ht="16.7" customHeight="1" x14ac:dyDescent="0.2">
      <c r="A273" s="2749">
        <f t="shared" si="15"/>
        <v>12.07599999999997</v>
      </c>
      <c r="B273" s="2512" t="s">
        <v>8943</v>
      </c>
      <c r="C273" s="2530">
        <v>0</v>
      </c>
      <c r="D273" s="2530">
        <v>59372</v>
      </c>
      <c r="E273" s="2530">
        <v>7</v>
      </c>
      <c r="F273" s="2530">
        <v>0</v>
      </c>
      <c r="G273" s="2887">
        <v>0</v>
      </c>
      <c r="H273" s="2479" t="str">
        <f t="shared" si="14"/>
        <v>Irrigation Sales - OREGON - 01USBONT41-USBR IRG CONTR-PRJCT LND TOU</v>
      </c>
      <c r="J273" s="2501"/>
      <c r="K273" s="2886"/>
    </row>
    <row r="274" spans="1:11" ht="16.7" customHeight="1" x14ac:dyDescent="0.2">
      <c r="A274" s="2749">
        <f t="shared" si="15"/>
        <v>12.07699999999997</v>
      </c>
      <c r="B274" s="2512" t="s">
        <v>8944</v>
      </c>
      <c r="C274" s="2530">
        <v>0</v>
      </c>
      <c r="D274" s="2530">
        <v>17709</v>
      </c>
      <c r="E274" s="2530">
        <v>9</v>
      </c>
      <c r="F274" s="2530">
        <v>0</v>
      </c>
      <c r="G274" s="2887">
        <v>0</v>
      </c>
      <c r="H274" s="2479" t="str">
        <f t="shared" si="14"/>
        <v>Irrigation Sales - OREGON - 01USBRGV41-IRG TOU W/O BPA</v>
      </c>
      <c r="J274" s="2501"/>
      <c r="K274" s="2886"/>
    </row>
    <row r="275" spans="1:11" ht="16.7" customHeight="1" x14ac:dyDescent="0.2">
      <c r="A275" s="2749">
        <f t="shared" si="15"/>
        <v>12.077999999999969</v>
      </c>
      <c r="B275" s="2512" t="s">
        <v>8945</v>
      </c>
      <c r="C275" s="2530">
        <v>0</v>
      </c>
      <c r="D275" s="2530">
        <v>1528763</v>
      </c>
      <c r="E275" s="2530">
        <v>484</v>
      </c>
      <c r="F275" s="2530">
        <v>0</v>
      </c>
      <c r="G275" s="2887">
        <v>0</v>
      </c>
      <c r="H275" s="2479" t="str">
        <f t="shared" si="14"/>
        <v>Irrigation Sales - OREGON - 01USBROF41-KLAMATH BASIN IRG OFF PRJ LND</v>
      </c>
      <c r="J275" s="2501"/>
      <c r="K275" s="2886"/>
    </row>
    <row r="276" spans="1:11" ht="16.7" customHeight="1" x14ac:dyDescent="0.2">
      <c r="A276" s="2749">
        <f t="shared" si="15"/>
        <v>12.078999999999969</v>
      </c>
      <c r="B276" s="2512" t="s">
        <v>8946</v>
      </c>
      <c r="C276" s="2530">
        <v>0</v>
      </c>
      <c r="D276" s="2530">
        <v>1911716</v>
      </c>
      <c r="E276" s="2530">
        <v>1094</v>
      </c>
      <c r="F276" s="2530">
        <v>0</v>
      </c>
      <c r="G276" s="2887">
        <v>0</v>
      </c>
      <c r="H276" s="2479" t="str">
        <f t="shared" si="14"/>
        <v>Irrigation Sales - OREGON - 01USBRON41-KLAMATH BASIN IRG ON PJT LND</v>
      </c>
      <c r="J276" s="2501"/>
      <c r="K276" s="2886"/>
    </row>
    <row r="277" spans="1:11" ht="16.7" customHeight="1" x14ac:dyDescent="0.2">
      <c r="A277" s="2749">
        <f t="shared" si="15"/>
        <v>12.079999999999968</v>
      </c>
      <c r="B277" s="2512" t="s">
        <v>8947</v>
      </c>
      <c r="C277" s="2530">
        <v>0</v>
      </c>
      <c r="D277" s="2530">
        <v>69677</v>
      </c>
      <c r="E277" s="2530">
        <v>26</v>
      </c>
      <c r="F277" s="2530">
        <v>0</v>
      </c>
      <c r="G277" s="2887">
        <v>0</v>
      </c>
      <c r="H277" s="2479" t="str">
        <f t="shared" si="14"/>
        <v>Irrigation Sales - OREGON - 01VIR41136-OR VOLUME INCENTIVE-AGRI PUMP</v>
      </c>
      <c r="J277" s="2501"/>
      <c r="K277" s="2886"/>
    </row>
    <row r="278" spans="1:11" ht="16.7" customHeight="1" x14ac:dyDescent="0.2">
      <c r="A278" s="2749">
        <f t="shared" si="15"/>
        <v>12.080999999999968</v>
      </c>
      <c r="B278" s="2512" t="s">
        <v>8948</v>
      </c>
      <c r="C278" s="2530">
        <v>0</v>
      </c>
      <c r="D278" s="2530">
        <v>435142</v>
      </c>
      <c r="E278" s="2530">
        <v>109</v>
      </c>
      <c r="F278" s="2530">
        <v>0</v>
      </c>
      <c r="G278" s="2887">
        <v>0</v>
      </c>
      <c r="H278" s="2479" t="str">
        <f t="shared" si="14"/>
        <v>Irrigation Sales - OREGON - 01VRU41136-OR VOL INCENTIVE USB CONTRACT</v>
      </c>
      <c r="J278" s="2501"/>
      <c r="K278" s="2886"/>
    </row>
    <row r="279" spans="1:11" ht="16.7" customHeight="1" x14ac:dyDescent="0.2">
      <c r="A279" s="2749">
        <f t="shared" si="15"/>
        <v>12.081999999999967</v>
      </c>
      <c r="B279" s="2512" t="s">
        <v>8445</v>
      </c>
      <c r="C279" s="2530">
        <v>0</v>
      </c>
      <c r="D279" s="2530">
        <v>59397</v>
      </c>
      <c r="E279" s="2530">
        <v>0</v>
      </c>
      <c r="F279" s="2530">
        <v>0</v>
      </c>
      <c r="G279" s="2887">
        <v>0</v>
      </c>
      <c r="H279" s="2479" t="str">
        <f t="shared" si="14"/>
        <v>Irrigation Sales - OREGON - SOLAR FEED-IN REVENUE</v>
      </c>
      <c r="J279" s="2501"/>
      <c r="K279" s="2886"/>
    </row>
    <row r="280" spans="1:11" ht="16.7" customHeight="1" x14ac:dyDescent="0.2">
      <c r="A280" s="2749">
        <f t="shared" si="15"/>
        <v>12.082999999999966</v>
      </c>
      <c r="B280" s="2512" t="s">
        <v>8446</v>
      </c>
      <c r="C280" s="2530">
        <v>0</v>
      </c>
      <c r="D280" s="2530">
        <v>31278</v>
      </c>
      <c r="E280" s="2530">
        <v>0</v>
      </c>
      <c r="F280" s="2530">
        <v>0</v>
      </c>
      <c r="G280" s="2887">
        <v>0</v>
      </c>
      <c r="H280" s="2479" t="str">
        <f t="shared" si="14"/>
        <v>Irrigation Sales - OREGON - OTHER CUSTOMER RETAIL REVENUE</v>
      </c>
      <c r="J280" s="2501"/>
      <c r="K280" s="2886"/>
    </row>
    <row r="281" spans="1:11" ht="16.7" customHeight="1" x14ac:dyDescent="0.2">
      <c r="A281" s="2749">
        <f t="shared" si="15"/>
        <v>12.083999999999966</v>
      </c>
      <c r="B281" s="2512" t="s">
        <v>8447</v>
      </c>
      <c r="C281" s="2530">
        <v>0</v>
      </c>
      <c r="D281" s="2530">
        <v>16811</v>
      </c>
      <c r="E281" s="2530">
        <v>0</v>
      </c>
      <c r="F281" s="2530">
        <v>0</v>
      </c>
      <c r="G281" s="2887">
        <v>0</v>
      </c>
      <c r="H281" s="2479" t="str">
        <f t="shared" si="14"/>
        <v>Irrigation Sales - OREGON - COMMUNITY SOLAR REVENUE</v>
      </c>
      <c r="J281" s="2501"/>
      <c r="K281" s="2886"/>
    </row>
    <row r="282" spans="1:11" ht="16.7" customHeight="1" x14ac:dyDescent="0.2">
      <c r="A282" s="2749">
        <f t="shared" si="15"/>
        <v>12.084999999999965</v>
      </c>
      <c r="B282" s="2512" t="s">
        <v>8949</v>
      </c>
      <c r="C282" s="2530">
        <v>0</v>
      </c>
      <c r="D282" s="2530">
        <v>936781</v>
      </c>
      <c r="E282" s="2530">
        <v>0</v>
      </c>
      <c r="F282" s="2530">
        <v>0</v>
      </c>
      <c r="G282" s="2887">
        <v>0</v>
      </c>
      <c r="H282" s="2479" t="str">
        <f t="shared" si="14"/>
        <v>Irrigation Sales - OREGON - DSM REVENUE-IRRIGATION</v>
      </c>
      <c r="J282" s="2501"/>
      <c r="K282" s="2886"/>
    </row>
    <row r="283" spans="1:11" ht="16.7" customHeight="1" x14ac:dyDescent="0.2">
      <c r="A283" s="2749">
        <f t="shared" si="15"/>
        <v>12.085999999999965</v>
      </c>
      <c r="B283" s="2512" t="s">
        <v>8950</v>
      </c>
      <c r="C283" s="2530">
        <v>0</v>
      </c>
      <c r="D283" s="2530">
        <v>179</v>
      </c>
      <c r="E283" s="2530">
        <v>0</v>
      </c>
      <c r="F283" s="2530">
        <v>0</v>
      </c>
      <c r="G283" s="2887">
        <v>0</v>
      </c>
      <c r="H283" s="2479" t="str">
        <f t="shared" si="14"/>
        <v>Irrigation Sales - OREGON - BLUE SKY REVENUE-IRRIGATION</v>
      </c>
      <c r="J283" s="2501"/>
      <c r="K283" s="2886"/>
    </row>
    <row r="284" spans="1:11" ht="16.7" customHeight="1" x14ac:dyDescent="0.2">
      <c r="A284" s="2749">
        <f t="shared" si="15"/>
        <v>12.086999999999964</v>
      </c>
      <c r="B284" s="2512" t="s">
        <v>8671</v>
      </c>
      <c r="C284" s="2530">
        <v>0</v>
      </c>
      <c r="D284" s="2530">
        <v>42964</v>
      </c>
      <c r="E284" s="2530">
        <v>0</v>
      </c>
      <c r="F284" s="2530">
        <v>0</v>
      </c>
      <c r="G284" s="2887">
        <v>0</v>
      </c>
      <c r="H284" s="2479" t="str">
        <f t="shared" si="14"/>
        <v>Irrigation Sales - OREGON - 01LNX00312 - OR IRG LINE EXT</v>
      </c>
      <c r="J284" s="2501"/>
      <c r="K284" s="2886"/>
    </row>
    <row r="285" spans="1:11" ht="16.7" customHeight="1" x14ac:dyDescent="0.2">
      <c r="A285" s="2749">
        <f t="shared" si="15"/>
        <v>12.087999999999964</v>
      </c>
      <c r="B285" s="2512" t="s">
        <v>8951</v>
      </c>
      <c r="C285" s="2530">
        <v>0</v>
      </c>
      <c r="D285" s="2530">
        <v>109</v>
      </c>
      <c r="E285" s="2530">
        <v>0</v>
      </c>
      <c r="F285" s="2530">
        <v>0</v>
      </c>
      <c r="G285" s="2887">
        <v>0</v>
      </c>
      <c r="H285" s="2479" t="str">
        <f t="shared" si="14"/>
        <v>Irrigation Sales - OREGON - 01LNX00316-LINE EXTENTION</v>
      </c>
      <c r="J285" s="2501"/>
      <c r="K285" s="2886"/>
    </row>
    <row r="286" spans="1:11" ht="16.7" customHeight="1" x14ac:dyDescent="0.2">
      <c r="A286" s="2749">
        <f t="shared" si="15"/>
        <v>12.088999999999963</v>
      </c>
      <c r="B286" s="2512" t="s">
        <v>8952</v>
      </c>
      <c r="C286" s="2530">
        <v>0</v>
      </c>
      <c r="D286" s="2530">
        <v>-1</v>
      </c>
      <c r="E286" s="2530">
        <v>0</v>
      </c>
      <c r="F286" s="2530">
        <v>0</v>
      </c>
      <c r="G286" s="2887">
        <v>0</v>
      </c>
      <c r="H286" s="2479" t="str">
        <f t="shared" si="14"/>
        <v>Irrigation Sales - OREGON - 01NB41A135-NET MTR IRG TOU OPT A 2-6</v>
      </c>
      <c r="J286" s="2501"/>
      <c r="K286" s="2886"/>
    </row>
    <row r="287" spans="1:11" ht="16.7" customHeight="1" x14ac:dyDescent="0.2">
      <c r="A287" s="2749">
        <f t="shared" si="15"/>
        <v>12.089999999999963</v>
      </c>
      <c r="B287" s="2512" t="s">
        <v>8953</v>
      </c>
      <c r="C287" s="2530">
        <v>0</v>
      </c>
      <c r="D287" s="2530">
        <v>36907</v>
      </c>
      <c r="E287" s="2530">
        <v>24</v>
      </c>
      <c r="F287" s="2530">
        <v>0</v>
      </c>
      <c r="G287" s="2887">
        <v>0</v>
      </c>
      <c r="H287" s="2479" t="str">
        <f t="shared" si="14"/>
        <v>Irrigation Sales - OREGON - 01NMB41135-OREGON NET METER IRRIGATION</v>
      </c>
      <c r="J287" s="2501"/>
      <c r="K287" s="2886"/>
    </row>
    <row r="288" spans="1:11" ht="16.7" customHeight="1" x14ac:dyDescent="0.2">
      <c r="A288" s="2749">
        <f t="shared" si="15"/>
        <v>12.090999999999962</v>
      </c>
      <c r="B288" s="2512" t="s">
        <v>8954</v>
      </c>
      <c r="C288" s="2530">
        <v>0</v>
      </c>
      <c r="D288" s="2530">
        <v>1148</v>
      </c>
      <c r="E288" s="2530">
        <v>1</v>
      </c>
      <c r="F288" s="2530">
        <v>0</v>
      </c>
      <c r="G288" s="2887">
        <v>0</v>
      </c>
      <c r="H288" s="2479" t="str">
        <f t="shared" si="14"/>
        <v>Irrigation Sales - OREGON - 01NMO41135-OR USBR IRG NT MTR OFF PJ LND</v>
      </c>
      <c r="J288" s="2501"/>
      <c r="K288" s="2886"/>
    </row>
    <row r="289" spans="1:11" ht="16.7" customHeight="1" x14ac:dyDescent="0.2">
      <c r="A289" s="2749">
        <f t="shared" si="15"/>
        <v>12.091999999999961</v>
      </c>
      <c r="B289" s="2512" t="s">
        <v>8955</v>
      </c>
      <c r="C289" s="2530">
        <v>0</v>
      </c>
      <c r="D289" s="2530">
        <v>36512</v>
      </c>
      <c r="E289" s="2530">
        <v>37</v>
      </c>
      <c r="F289" s="2530">
        <v>0</v>
      </c>
      <c r="G289" s="2887">
        <v>0</v>
      </c>
      <c r="H289" s="2479" t="str">
        <f t="shared" si="14"/>
        <v>Irrigation Sales - OREGON - 01NMT41135 - NETMTR AG PMP SVC</v>
      </c>
      <c r="J289" s="2501"/>
      <c r="K289" s="2886"/>
    </row>
    <row r="290" spans="1:11" ht="16.7" customHeight="1" x14ac:dyDescent="0.2">
      <c r="A290" s="2749">
        <f t="shared" si="15"/>
        <v>12.092999999999961</v>
      </c>
      <c r="B290" s="2512" t="s">
        <v>8956</v>
      </c>
      <c r="C290" s="2530">
        <v>0</v>
      </c>
      <c r="D290" s="2530">
        <v>28886</v>
      </c>
      <c r="E290" s="2530">
        <v>12</v>
      </c>
      <c r="F290" s="2530">
        <v>0</v>
      </c>
      <c r="G290" s="2887">
        <v>0</v>
      </c>
      <c r="H290" s="2479" t="str">
        <f t="shared" si="14"/>
        <v>Irrigation Sales - OREGON - 01NMU41135 - OR NET MTR - PROJECT LAND</v>
      </c>
      <c r="J290" s="2501"/>
      <c r="K290" s="2886"/>
    </row>
    <row r="291" spans="1:11" ht="16.7" customHeight="1" x14ac:dyDescent="0.2">
      <c r="A291" s="2749">
        <f t="shared" si="15"/>
        <v>12.09399999999996</v>
      </c>
      <c r="B291" s="2512" t="s">
        <v>8444</v>
      </c>
      <c r="C291" s="2530">
        <v>0</v>
      </c>
      <c r="D291" s="2530">
        <v>-14447</v>
      </c>
      <c r="E291" s="2530">
        <v>0</v>
      </c>
      <c r="F291" s="2530">
        <v>0</v>
      </c>
      <c r="G291" s="2887">
        <v>0</v>
      </c>
      <c r="H291" s="2479" t="str">
        <f t="shared" si="14"/>
        <v>Irrigation Sales - OREGON - REVENUE_ACCOUNTING ADJUSTMENTS</v>
      </c>
      <c r="J291" s="2501"/>
      <c r="K291" s="2886"/>
    </row>
    <row r="292" spans="1:11" ht="16.7" customHeight="1" x14ac:dyDescent="0.2">
      <c r="A292" s="2489"/>
      <c r="B292" s="2512"/>
      <c r="C292" s="2488"/>
      <c r="D292" s="2488"/>
      <c r="E292" s="2488"/>
      <c r="F292" s="2488"/>
      <c r="G292" s="2488"/>
      <c r="H292" s="2479"/>
      <c r="J292" s="2501"/>
      <c r="K292" s="2886"/>
    </row>
    <row r="293" spans="1:11" ht="16.7" customHeight="1" x14ac:dyDescent="0.2">
      <c r="A293" s="2489"/>
      <c r="B293" s="2669" t="s">
        <v>8450</v>
      </c>
      <c r="C293" s="2488"/>
      <c r="D293" s="2488"/>
      <c r="E293" s="2488"/>
      <c r="F293" s="2488"/>
      <c r="G293" s="2488"/>
      <c r="H293" s="2479"/>
      <c r="J293" s="2501"/>
      <c r="K293" s="2886"/>
    </row>
    <row r="294" spans="1:11" ht="16.7" customHeight="1" x14ac:dyDescent="0.2">
      <c r="A294" s="2749">
        <f>A291+0.001</f>
        <v>12.09499999999996</v>
      </c>
      <c r="B294" s="2512" t="s">
        <v>8957</v>
      </c>
      <c r="C294" s="2530">
        <v>156036</v>
      </c>
      <c r="D294" s="2530">
        <v>12322153</v>
      </c>
      <c r="E294" s="2530">
        <v>3147</v>
      </c>
      <c r="F294" s="2530">
        <v>49582</v>
      </c>
      <c r="G294" s="2887">
        <v>7.9000000000000001E-2</v>
      </c>
      <c r="H294" s="2479" t="str">
        <f t="shared" ref="H294:H318" si="16">CONCATENATE($B$191," - ",B294)</f>
        <v xml:space="preserve">Irrigation Sales - UTAH - 08APSV0010-IRR &amp; SOIL DRA               </v>
      </c>
      <c r="J294" s="2501"/>
      <c r="K294" s="2886"/>
    </row>
    <row r="295" spans="1:11" ht="16.7" customHeight="1" x14ac:dyDescent="0.2">
      <c r="A295" s="2749">
        <f t="shared" ref="A295:A318" si="17">A294+0.001</f>
        <v>12.095999999999959</v>
      </c>
      <c r="B295" s="2512" t="s">
        <v>8958</v>
      </c>
      <c r="C295" s="2530">
        <v>34855</v>
      </c>
      <c r="D295" s="2530">
        <v>2552248</v>
      </c>
      <c r="E295" s="2530">
        <v>328</v>
      </c>
      <c r="F295" s="2530">
        <v>106265</v>
      </c>
      <c r="G295" s="2887">
        <v>7.3200000000000001E-2</v>
      </c>
      <c r="H295" s="2479" t="str">
        <f t="shared" si="16"/>
        <v>Irrigation Sales - UTAH - 08APSV10NS- Irg Soil Drain Pump Non Seas</v>
      </c>
      <c r="J295" s="2501"/>
      <c r="K295" s="2886"/>
    </row>
    <row r="296" spans="1:11" ht="16.7" customHeight="1" x14ac:dyDescent="0.2">
      <c r="A296" s="2749">
        <f t="shared" si="17"/>
        <v>12.096999999999959</v>
      </c>
      <c r="B296" s="2512" t="s">
        <v>8959</v>
      </c>
      <c r="C296" s="2530">
        <v>300</v>
      </c>
      <c r="D296" s="2530">
        <v>23224</v>
      </c>
      <c r="E296" s="2530">
        <v>2</v>
      </c>
      <c r="F296" s="2530">
        <v>150000</v>
      </c>
      <c r="G296" s="2887">
        <v>7.7399999999999997E-2</v>
      </c>
      <c r="H296" s="2479" t="str">
        <f t="shared" si="16"/>
        <v>Irrigation Sales - UTAH - 08CGM10136-UT IRG NET METER MANUAL</v>
      </c>
      <c r="J296" s="2501"/>
      <c r="K296" s="2886"/>
    </row>
    <row r="297" spans="1:11" ht="16.7" customHeight="1" x14ac:dyDescent="0.2">
      <c r="A297" s="2749">
        <f t="shared" si="17"/>
        <v>12.097999999999958</v>
      </c>
      <c r="B297" s="2512" t="s">
        <v>8960</v>
      </c>
      <c r="C297" s="2530">
        <v>6</v>
      </c>
      <c r="D297" s="2530">
        <v>810</v>
      </c>
      <c r="E297" s="2530">
        <v>1</v>
      </c>
      <c r="F297" s="2530">
        <v>6000</v>
      </c>
      <c r="G297" s="2887">
        <v>0.1351</v>
      </c>
      <c r="H297" s="2479" t="str">
        <f t="shared" si="16"/>
        <v>Irrigation Sales - UTAH - 08CGN10136-UT IRG AND SOIL DRAIN NET MTR</v>
      </c>
      <c r="J297" s="2501"/>
      <c r="K297" s="2886"/>
    </row>
    <row r="298" spans="1:11" ht="16.7" customHeight="1" x14ac:dyDescent="0.2">
      <c r="A298" s="2749">
        <f t="shared" si="17"/>
        <v>12.098999999999958</v>
      </c>
      <c r="B298" s="2512" t="s">
        <v>8961</v>
      </c>
      <c r="C298" s="2530">
        <v>194</v>
      </c>
      <c r="D298" s="2530">
        <v>15500</v>
      </c>
      <c r="E298" s="2530">
        <v>1</v>
      </c>
      <c r="F298" s="2530">
        <v>194000</v>
      </c>
      <c r="G298" s="2887">
        <v>7.9899999999999999E-2</v>
      </c>
      <c r="H298" s="2479" t="str">
        <f t="shared" si="16"/>
        <v>Irrigation Sales - UTAH - 08CGN10137-UT IRRIGATION - NET METER 137</v>
      </c>
      <c r="J298" s="2501"/>
      <c r="K298" s="2886"/>
    </row>
    <row r="299" spans="1:11" ht="16.7" customHeight="1" x14ac:dyDescent="0.2">
      <c r="A299" s="2749">
        <f t="shared" si="17"/>
        <v>12.099999999999957</v>
      </c>
      <c r="B299" s="2512" t="s">
        <v>8962</v>
      </c>
      <c r="C299" s="2530">
        <v>53</v>
      </c>
      <c r="D299" s="2530">
        <v>4613</v>
      </c>
      <c r="E299" s="2530">
        <v>1</v>
      </c>
      <c r="F299" s="2530">
        <v>53000</v>
      </c>
      <c r="G299" s="2887">
        <v>8.6999999999999994E-2</v>
      </c>
      <c r="H299" s="2479" t="str">
        <f t="shared" si="16"/>
        <v>Irrigation Sales - UTAH - 08CNS10137-UT IRG NON-SEASONAL NET MTR</v>
      </c>
      <c r="J299" s="2501"/>
      <c r="K299" s="2886"/>
    </row>
    <row r="300" spans="1:11" ht="16.7" customHeight="1" x14ac:dyDescent="0.2">
      <c r="A300" s="2749">
        <f t="shared" si="17"/>
        <v>12.100999999999956</v>
      </c>
      <c r="B300" s="2512" t="s">
        <v>8733</v>
      </c>
      <c r="C300" s="2530">
        <v>0</v>
      </c>
      <c r="D300" s="2530">
        <v>436</v>
      </c>
      <c r="E300" s="2530">
        <v>0</v>
      </c>
      <c r="F300" s="2530">
        <v>0</v>
      </c>
      <c r="G300" s="2887">
        <v>0</v>
      </c>
      <c r="H300" s="2479" t="str">
        <f t="shared" si="16"/>
        <v xml:space="preserve">Irrigation Sales - UTAH - 08LNX00002-MTHLY 80% GUAR               </v>
      </c>
      <c r="J300" s="2501"/>
      <c r="K300" s="2886"/>
    </row>
    <row r="301" spans="1:11" ht="16.7" customHeight="1" x14ac:dyDescent="0.2">
      <c r="A301" s="2749">
        <f t="shared" si="17"/>
        <v>12.101999999999956</v>
      </c>
      <c r="B301" s="2512" t="s">
        <v>8734</v>
      </c>
      <c r="C301" s="2530">
        <v>0</v>
      </c>
      <c r="D301" s="2530">
        <v>8092</v>
      </c>
      <c r="E301" s="2530">
        <v>0</v>
      </c>
      <c r="F301" s="2530">
        <v>0</v>
      </c>
      <c r="G301" s="2887">
        <v>0</v>
      </c>
      <c r="H301" s="2479" t="str">
        <f t="shared" si="16"/>
        <v xml:space="preserve">Irrigation Sales - UTAH - 08LNX00004-ANNUAL 80%GUAR               </v>
      </c>
      <c r="J301" s="2501"/>
      <c r="K301" s="2886"/>
    </row>
    <row r="302" spans="1:11" ht="16.7" customHeight="1" x14ac:dyDescent="0.2">
      <c r="A302" s="2749">
        <f t="shared" si="17"/>
        <v>12.102999999999955</v>
      </c>
      <c r="B302" s="2512" t="s">
        <v>8736</v>
      </c>
      <c r="C302" s="2530">
        <v>0</v>
      </c>
      <c r="D302" s="2530">
        <v>-3123</v>
      </c>
      <c r="E302" s="2530">
        <v>0</v>
      </c>
      <c r="F302" s="2530">
        <v>0</v>
      </c>
      <c r="G302" s="2887">
        <v>0</v>
      </c>
      <c r="H302" s="2479" t="str">
        <f t="shared" si="16"/>
        <v xml:space="preserve">Irrigation Sales - UTAH - 08LNX00014-80% MIN MNTHLY               </v>
      </c>
      <c r="J302" s="2501"/>
      <c r="K302" s="2886"/>
    </row>
    <row r="303" spans="1:11" ht="16.7" customHeight="1" x14ac:dyDescent="0.2">
      <c r="A303" s="2749">
        <f t="shared" si="17"/>
        <v>12.103999999999955</v>
      </c>
      <c r="B303" s="2512" t="s">
        <v>8737</v>
      </c>
      <c r="C303" s="2530">
        <v>0</v>
      </c>
      <c r="D303" s="2530">
        <v>126189</v>
      </c>
      <c r="E303" s="2530">
        <v>0</v>
      </c>
      <c r="F303" s="2530">
        <v>0</v>
      </c>
      <c r="G303" s="2887">
        <v>0</v>
      </c>
      <c r="H303" s="2479" t="str">
        <f t="shared" si="16"/>
        <v xml:space="preserve">Irrigation Sales - UTAH - 08LNX00017-ADV/REF&amp;80%ANN               </v>
      </c>
      <c r="J303" s="2501"/>
      <c r="K303" s="2886"/>
    </row>
    <row r="304" spans="1:11" ht="16.7" customHeight="1" x14ac:dyDescent="0.2">
      <c r="A304" s="2749">
        <f t="shared" si="17"/>
        <v>12.104999999999954</v>
      </c>
      <c r="B304" s="2512" t="s">
        <v>8739</v>
      </c>
      <c r="C304" s="2530">
        <v>0</v>
      </c>
      <c r="D304" s="2530">
        <v>308</v>
      </c>
      <c r="E304" s="2530">
        <v>0</v>
      </c>
      <c r="F304" s="2530">
        <v>0</v>
      </c>
      <c r="G304" s="2887">
        <v>0</v>
      </c>
      <c r="H304" s="2479" t="str">
        <f t="shared" si="16"/>
        <v>Irrigation Sales - UTAH - 08LNX00300 - LINE EXT 80% PLUS MONTHLY</v>
      </c>
      <c r="J304" s="2501"/>
      <c r="K304" s="2886"/>
    </row>
    <row r="305" spans="1:11" ht="16.7" customHeight="1" x14ac:dyDescent="0.2">
      <c r="A305" s="2749">
        <f t="shared" si="17"/>
        <v>12.105999999999954</v>
      </c>
      <c r="B305" s="2512" t="s">
        <v>8740</v>
      </c>
      <c r="C305" s="2530">
        <v>0</v>
      </c>
      <c r="D305" s="2530">
        <v>21074</v>
      </c>
      <c r="E305" s="2530">
        <v>0</v>
      </c>
      <c r="F305" s="2530">
        <v>0</v>
      </c>
      <c r="G305" s="2887">
        <v>0</v>
      </c>
      <c r="H305" s="2479" t="str">
        <f t="shared" si="16"/>
        <v>Irrigation Sales - UTAH - 08LNX00310 - IRR, 80% ANNUAL MIN + 80% ?</v>
      </c>
      <c r="J305" s="2501"/>
      <c r="K305" s="2886"/>
    </row>
    <row r="306" spans="1:11" ht="16.7" customHeight="1" x14ac:dyDescent="0.2">
      <c r="A306" s="2749">
        <f t="shared" si="17"/>
        <v>12.106999999999953</v>
      </c>
      <c r="B306" s="2512" t="s">
        <v>8761</v>
      </c>
      <c r="C306" s="2530">
        <v>0</v>
      </c>
      <c r="D306" s="2530">
        <v>2629</v>
      </c>
      <c r="E306" s="2530">
        <v>0</v>
      </c>
      <c r="F306" s="2530">
        <v>0</v>
      </c>
      <c r="G306" s="2887">
        <v>0</v>
      </c>
      <c r="H306" s="2479" t="str">
        <f t="shared" si="16"/>
        <v>Irrigation Sales - UTAH - 08LNX00311 - LINE EXT 80% GUARANTEE</v>
      </c>
      <c r="J306" s="2501"/>
      <c r="K306" s="2886"/>
    </row>
    <row r="307" spans="1:11" ht="16.7" customHeight="1" x14ac:dyDescent="0.2">
      <c r="A307" s="2749">
        <f t="shared" si="17"/>
        <v>12.107999999999953</v>
      </c>
      <c r="B307" s="2512" t="s">
        <v>8741</v>
      </c>
      <c r="C307" s="2530">
        <v>0</v>
      </c>
      <c r="D307" s="2530">
        <v>18392</v>
      </c>
      <c r="E307" s="2530">
        <v>0</v>
      </c>
      <c r="F307" s="2530">
        <v>0</v>
      </c>
      <c r="G307" s="2887">
        <v>0</v>
      </c>
      <c r="H307" s="2479" t="str">
        <f t="shared" si="16"/>
        <v>Irrigation Sales - UTAH - 08LNX00312 UT IRG LINE EXT</v>
      </c>
      <c r="J307" s="2501"/>
      <c r="K307" s="2886"/>
    </row>
    <row r="308" spans="1:11" ht="16.7" customHeight="1" x14ac:dyDescent="0.2">
      <c r="A308" s="2749">
        <f t="shared" si="17"/>
        <v>12.108999999999952</v>
      </c>
      <c r="B308" s="2512" t="s">
        <v>8963</v>
      </c>
      <c r="C308" s="2530">
        <v>153</v>
      </c>
      <c r="D308" s="2530">
        <v>20999</v>
      </c>
      <c r="E308" s="2530">
        <v>6</v>
      </c>
      <c r="F308" s="2530">
        <v>25500</v>
      </c>
      <c r="G308" s="2887">
        <v>0.13719999999999999</v>
      </c>
      <c r="H308" s="2479" t="str">
        <f t="shared" si="16"/>
        <v>Irrigation Sales - UTAH - 08NMT010NS-IRR &amp; SOIL DRAIN NON SEASONAL</v>
      </c>
      <c r="J308" s="2501"/>
      <c r="K308" s="2886"/>
    </row>
    <row r="309" spans="1:11" ht="16.7" customHeight="1" x14ac:dyDescent="0.2">
      <c r="A309" s="2749">
        <f t="shared" si="17"/>
        <v>12.109999999999951</v>
      </c>
      <c r="B309" s="2512" t="s">
        <v>8964</v>
      </c>
      <c r="C309" s="2530">
        <v>6483</v>
      </c>
      <c r="D309" s="2530">
        <v>583710</v>
      </c>
      <c r="E309" s="2530">
        <v>76</v>
      </c>
      <c r="F309" s="2530">
        <v>85303</v>
      </c>
      <c r="G309" s="2887">
        <v>0.09</v>
      </c>
      <c r="H309" s="2479" t="str">
        <f t="shared" si="16"/>
        <v>Irrigation Sales - UTAH - 08NMT10135-UT IRR_SOIL DRNG NET MTR SVC</v>
      </c>
      <c r="J309" s="2501"/>
      <c r="K309" s="2886"/>
    </row>
    <row r="310" spans="1:11" ht="16.7" customHeight="1" x14ac:dyDescent="0.2">
      <c r="A310" s="2749">
        <f t="shared" si="17"/>
        <v>12.110999999999951</v>
      </c>
      <c r="B310" s="2512" t="s">
        <v>8965</v>
      </c>
      <c r="C310" s="2530">
        <v>0</v>
      </c>
      <c r="D310" s="2530">
        <v>3209</v>
      </c>
      <c r="E310" s="2530">
        <v>0</v>
      </c>
      <c r="F310" s="2530">
        <v>0</v>
      </c>
      <c r="G310" s="2887">
        <v>0</v>
      </c>
      <c r="H310" s="2479" t="str">
        <f t="shared" si="16"/>
        <v>Irrigation Sales - UTAH - 08TCVLAACN-UTAH TCV LNX ANNUAL GAR</v>
      </c>
      <c r="J310" s="2501"/>
      <c r="K310" s="2886"/>
    </row>
    <row r="311" spans="1:11" ht="16.7" customHeight="1" x14ac:dyDescent="0.2">
      <c r="A311" s="2749">
        <f t="shared" si="17"/>
        <v>12.11199999999995</v>
      </c>
      <c r="B311" s="2512" t="s">
        <v>8755</v>
      </c>
      <c r="C311" s="2530">
        <v>0</v>
      </c>
      <c r="D311" s="2530">
        <v>25827</v>
      </c>
      <c r="E311" s="2530">
        <v>0</v>
      </c>
      <c r="F311" s="2530">
        <v>0</v>
      </c>
      <c r="G311" s="2887">
        <v>0</v>
      </c>
      <c r="H311" s="2479" t="str">
        <f t="shared" si="16"/>
        <v>Irrigation Sales - UTAH - 08TCVLNAGN-UTAH LNX ANNUAL GAR NON RES</v>
      </c>
      <c r="J311" s="2501"/>
      <c r="K311" s="2886"/>
    </row>
    <row r="312" spans="1:11" ht="16.7" customHeight="1" x14ac:dyDescent="0.2">
      <c r="A312" s="2749">
        <f t="shared" si="17"/>
        <v>12.11299999999995</v>
      </c>
      <c r="B312" s="2512" t="s">
        <v>8756</v>
      </c>
      <c r="C312" s="2530">
        <v>0</v>
      </c>
      <c r="D312" s="2530">
        <v>124</v>
      </c>
      <c r="E312" s="2530">
        <v>0</v>
      </c>
      <c r="F312" s="2530">
        <v>0</v>
      </c>
      <c r="G312" s="2887">
        <v>0</v>
      </c>
      <c r="H312" s="2479" t="str">
        <f t="shared" si="16"/>
        <v>Irrigation Sales - UTAH - 08TCVLNXGN-TCV LNX - 80% GAR - NON RES</v>
      </c>
      <c r="J312" s="2501"/>
      <c r="K312" s="2886"/>
    </row>
    <row r="313" spans="1:11" ht="16.7" customHeight="1" x14ac:dyDescent="0.2">
      <c r="A313" s="2749">
        <f t="shared" si="17"/>
        <v>12.113999999999949</v>
      </c>
      <c r="B313" s="2512" t="s">
        <v>8503</v>
      </c>
      <c r="C313" s="2530">
        <v>0</v>
      </c>
      <c r="D313" s="2530">
        <v>35106</v>
      </c>
      <c r="E313" s="2530">
        <v>0</v>
      </c>
      <c r="F313" s="2530">
        <v>0</v>
      </c>
      <c r="G313" s="2887">
        <v>0</v>
      </c>
      <c r="H313" s="2479" t="str">
        <f t="shared" si="16"/>
        <v>Irrigation Sales - UTAH - REVENUE_ACCOUNTING ADJUSTMENTS</v>
      </c>
      <c r="J313" s="2501"/>
      <c r="K313" s="2886"/>
    </row>
    <row r="314" spans="1:11" ht="16.7" customHeight="1" x14ac:dyDescent="0.2">
      <c r="A314" s="2749">
        <f t="shared" si="17"/>
        <v>12.114999999999949</v>
      </c>
      <c r="B314" s="2512" t="s">
        <v>8504</v>
      </c>
      <c r="C314" s="2530">
        <v>0</v>
      </c>
      <c r="D314" s="2530">
        <v>1204697</v>
      </c>
      <c r="E314" s="2530">
        <v>0</v>
      </c>
      <c r="F314" s="2530">
        <v>0</v>
      </c>
      <c r="G314" s="2887">
        <v>0</v>
      </c>
      <c r="H314" s="2479" t="str">
        <f t="shared" si="16"/>
        <v>Irrigation Sales - UTAH - REVENUE ADJUSTMENT - DEFERRED NPC</v>
      </c>
      <c r="J314" s="2501"/>
      <c r="K314" s="2886"/>
    </row>
    <row r="315" spans="1:11" ht="16.7" customHeight="1" x14ac:dyDescent="0.2">
      <c r="A315" s="2749">
        <f t="shared" si="17"/>
        <v>12.115999999999948</v>
      </c>
      <c r="B315" s="2512" t="s">
        <v>8505</v>
      </c>
      <c r="C315" s="2530">
        <v>0</v>
      </c>
      <c r="D315" s="2530">
        <v>-0.01</v>
      </c>
      <c r="E315" s="2530">
        <v>0</v>
      </c>
      <c r="F315" s="2530">
        <v>0</v>
      </c>
      <c r="G315" s="2887">
        <v>0</v>
      </c>
      <c r="H315" s="2479" t="str">
        <f t="shared" si="16"/>
        <v>Irrigation Sales - UTAH - SOLAR FEED-IN REVENUE</v>
      </c>
      <c r="J315" s="2501"/>
      <c r="K315" s="2886"/>
    </row>
    <row r="316" spans="1:11" ht="16.7" customHeight="1" x14ac:dyDescent="0.2">
      <c r="A316" s="2749">
        <f t="shared" si="17"/>
        <v>12.116999999999948</v>
      </c>
      <c r="B316" s="2512" t="s">
        <v>8506</v>
      </c>
      <c r="C316" s="2530">
        <v>0</v>
      </c>
      <c r="D316" s="2530">
        <v>20136</v>
      </c>
      <c r="E316" s="2530">
        <v>0</v>
      </c>
      <c r="F316" s="2530">
        <v>0</v>
      </c>
      <c r="G316" s="2887">
        <v>0</v>
      </c>
      <c r="H316" s="2479" t="str">
        <f t="shared" si="16"/>
        <v>Irrigation Sales - UTAH - OTHER CUSTOMER RETAIL REVENUE</v>
      </c>
      <c r="J316" s="2501"/>
      <c r="K316" s="2886"/>
    </row>
    <row r="317" spans="1:11" ht="16.7" customHeight="1" x14ac:dyDescent="0.2">
      <c r="A317" s="2749">
        <f t="shared" si="17"/>
        <v>12.117999999999947</v>
      </c>
      <c r="B317" s="2512" t="s">
        <v>8966</v>
      </c>
      <c r="C317" s="2530">
        <v>0</v>
      </c>
      <c r="D317" s="2530">
        <v>355966</v>
      </c>
      <c r="E317" s="2530">
        <v>0</v>
      </c>
      <c r="F317" s="2530">
        <v>0</v>
      </c>
      <c r="G317" s="2887">
        <v>0</v>
      </c>
      <c r="H317" s="2479" t="str">
        <f t="shared" si="16"/>
        <v>Irrigation Sales - UTAH - DSM REVENUE-IRRIGATION</v>
      </c>
      <c r="J317" s="2501"/>
      <c r="K317" s="2886"/>
    </row>
    <row r="318" spans="1:11" ht="16.7" customHeight="1" x14ac:dyDescent="0.2">
      <c r="A318" s="2749">
        <f t="shared" si="17"/>
        <v>12.118999999999946</v>
      </c>
      <c r="B318" s="2512" t="s">
        <v>8967</v>
      </c>
      <c r="C318" s="2530">
        <v>0</v>
      </c>
      <c r="D318" s="2530">
        <v>112</v>
      </c>
      <c r="E318" s="2530">
        <v>0</v>
      </c>
      <c r="F318" s="2530">
        <v>0</v>
      </c>
      <c r="G318" s="2887">
        <v>0</v>
      </c>
      <c r="H318" s="2479" t="str">
        <f t="shared" si="16"/>
        <v>Irrigation Sales - UTAH - BLUE SKY REVENUE-IRRIGATION</v>
      </c>
      <c r="J318" s="2501"/>
      <c r="K318" s="2886"/>
    </row>
    <row r="319" spans="1:11" ht="16.7" customHeight="1" x14ac:dyDescent="0.2">
      <c r="A319" s="2489"/>
      <c r="B319" s="2669"/>
      <c r="C319" s="2488"/>
      <c r="D319" s="2488"/>
      <c r="E319" s="2488"/>
      <c r="F319" s="2488"/>
      <c r="G319" s="2488"/>
      <c r="H319" s="2479"/>
      <c r="J319" s="2501"/>
      <c r="K319" s="2886"/>
    </row>
    <row r="320" spans="1:11" ht="16.7" customHeight="1" x14ac:dyDescent="0.2">
      <c r="A320" s="2489"/>
      <c r="B320" s="2669" t="s">
        <v>8509</v>
      </c>
      <c r="C320" s="2488"/>
      <c r="D320" s="2488"/>
      <c r="E320" s="2488"/>
      <c r="F320" s="2488"/>
      <c r="G320" s="2488"/>
      <c r="H320" s="2479" t="str">
        <f>B320</f>
        <v>WASHINGTON</v>
      </c>
      <c r="J320" s="2501"/>
      <c r="K320" s="2886"/>
    </row>
    <row r="321" spans="1:11" ht="16.7" customHeight="1" x14ac:dyDescent="0.2">
      <c r="A321" s="2749">
        <f>A318+0.001</f>
        <v>12.119999999999946</v>
      </c>
      <c r="B321" s="2512" t="s">
        <v>8968</v>
      </c>
      <c r="C321" s="2888">
        <v>81970</v>
      </c>
      <c r="D321" s="2530">
        <v>7921750</v>
      </c>
      <c r="E321" s="2530">
        <v>2281</v>
      </c>
      <c r="F321" s="2530">
        <v>35936</v>
      </c>
      <c r="G321" s="2887">
        <v>9.6600000000000005E-2</v>
      </c>
      <c r="H321" s="2479" t="str">
        <f t="shared" ref="H321:H336" si="18">CONCATENATE($B$191," - ",B321)</f>
        <v xml:space="preserve">Irrigation Sales - WASHINGTON - 02APSV0040-WA AG PMP SRVC               </v>
      </c>
      <c r="J321" s="2501"/>
      <c r="K321" s="2886"/>
    </row>
    <row r="322" spans="1:11" ht="16.7" customHeight="1" x14ac:dyDescent="0.2">
      <c r="A322" s="2749">
        <f t="shared" ref="A322:A336" si="19">A321+0.001</f>
        <v>12.120999999999945</v>
      </c>
      <c r="B322" s="2512" t="s">
        <v>8969</v>
      </c>
      <c r="C322" s="2530">
        <v>82192</v>
      </c>
      <c r="D322" s="2530">
        <v>8002516</v>
      </c>
      <c r="E322" s="2530">
        <v>2810</v>
      </c>
      <c r="F322" s="2530">
        <v>29250</v>
      </c>
      <c r="G322" s="2887">
        <v>9.74E-2</v>
      </c>
      <c r="H322" s="2479" t="str">
        <f t="shared" si="18"/>
        <v xml:space="preserve">Irrigation Sales - WASHINGTON - 02APSV040X-WA AG PMP SRVC               </v>
      </c>
      <c r="J322" s="2501"/>
      <c r="K322" s="2886"/>
    </row>
    <row r="323" spans="1:11" ht="16.7" customHeight="1" x14ac:dyDescent="0.2">
      <c r="A323" s="2749">
        <f t="shared" si="19"/>
        <v>12.121999999999945</v>
      </c>
      <c r="B323" s="2512" t="s">
        <v>8779</v>
      </c>
      <c r="C323" s="2530">
        <v>0</v>
      </c>
      <c r="D323" s="2530">
        <v>23915</v>
      </c>
      <c r="E323" s="2530">
        <v>0</v>
      </c>
      <c r="F323" s="2530">
        <v>0</v>
      </c>
      <c r="G323" s="2887">
        <v>0</v>
      </c>
      <c r="H323" s="2479" t="str">
        <f t="shared" si="18"/>
        <v xml:space="preserve">Irrigation Sales - WASHINGTON - 02LNX00103-LINE EXT 80% G               </v>
      </c>
      <c r="J323" s="2501"/>
      <c r="K323" s="2886"/>
    </row>
    <row r="324" spans="1:11" ht="16.7" customHeight="1" x14ac:dyDescent="0.2">
      <c r="A324" s="2749">
        <f t="shared" si="19"/>
        <v>12.122999999999944</v>
      </c>
      <c r="B324" s="2512" t="s">
        <v>8780</v>
      </c>
      <c r="C324" s="2530">
        <v>0</v>
      </c>
      <c r="D324" s="2530">
        <v>76</v>
      </c>
      <c r="E324" s="2530">
        <v>0</v>
      </c>
      <c r="F324" s="2530">
        <v>0</v>
      </c>
      <c r="G324" s="2887">
        <v>0</v>
      </c>
      <c r="H324" s="2479" t="str">
        <f t="shared" si="18"/>
        <v xml:space="preserve">Irrigation Sales - WASHINGTON - 02LNX00105-CNTRCT $ MIN G               </v>
      </c>
      <c r="J324" s="2501"/>
      <c r="K324" s="2886"/>
    </row>
    <row r="325" spans="1:11" ht="16.7" customHeight="1" x14ac:dyDescent="0.2">
      <c r="A325" s="2749">
        <f t="shared" si="19"/>
        <v>12.123999999999944</v>
      </c>
      <c r="B325" s="2512" t="s">
        <v>8512</v>
      </c>
      <c r="C325" s="2530">
        <v>0</v>
      </c>
      <c r="D325" s="2530">
        <v>1632</v>
      </c>
      <c r="E325" s="2530">
        <v>0</v>
      </c>
      <c r="F325" s="2530">
        <v>0</v>
      </c>
      <c r="G325" s="2887">
        <v>0</v>
      </c>
      <c r="H325" s="2479" t="str">
        <f t="shared" si="18"/>
        <v xml:space="preserve">Irrigation Sales - WASHINGTON - 02LNX00109-REF/NREF ADV +               </v>
      </c>
      <c r="J325" s="2501"/>
      <c r="K325" s="2886"/>
    </row>
    <row r="326" spans="1:11" ht="16.7" customHeight="1" x14ac:dyDescent="0.2">
      <c r="A326" s="2749">
        <f t="shared" si="19"/>
        <v>12.124999999999943</v>
      </c>
      <c r="B326" s="2512" t="s">
        <v>8781</v>
      </c>
      <c r="C326" s="2530">
        <v>0</v>
      </c>
      <c r="D326" s="2530">
        <v>92593</v>
      </c>
      <c r="E326" s="2530">
        <v>0</v>
      </c>
      <c r="F326" s="2530">
        <v>0</v>
      </c>
      <c r="G326" s="2887">
        <v>0</v>
      </c>
      <c r="H326" s="2479" t="str">
        <f t="shared" si="18"/>
        <v xml:space="preserve">Irrigation Sales - WASHINGTON - 02LNX00110-REF/NREF ADV +               </v>
      </c>
      <c r="J326" s="2501"/>
      <c r="K326" s="2886"/>
    </row>
    <row r="327" spans="1:11" ht="16.7" customHeight="1" x14ac:dyDescent="0.2">
      <c r="A327" s="2749">
        <f t="shared" si="19"/>
        <v>12.125999999999943</v>
      </c>
      <c r="B327" s="2512" t="s">
        <v>8784</v>
      </c>
      <c r="C327" s="2530">
        <v>0</v>
      </c>
      <c r="D327" s="2530">
        <v>6218</v>
      </c>
      <c r="E327" s="2530">
        <v>0</v>
      </c>
      <c r="F327" s="2530">
        <v>0</v>
      </c>
      <c r="G327" s="2887">
        <v>0</v>
      </c>
      <c r="H327" s="2479" t="str">
        <f t="shared" si="18"/>
        <v>Irrigation Sales - WASHINGTON - 02LNX00310 - IRG, 80% ANNUAL MIN + 80%</v>
      </c>
      <c r="J327" s="2501"/>
      <c r="K327" s="2886"/>
    </row>
    <row r="328" spans="1:11" ht="16.7" customHeight="1" x14ac:dyDescent="0.2">
      <c r="A328" s="2749">
        <f t="shared" si="19"/>
        <v>12.126999999999942</v>
      </c>
      <c r="B328" s="2512" t="s">
        <v>8786</v>
      </c>
      <c r="C328" s="2530">
        <v>0</v>
      </c>
      <c r="D328" s="2530">
        <v>16123</v>
      </c>
      <c r="E328" s="2530">
        <v>0</v>
      </c>
      <c r="F328" s="2530">
        <v>0</v>
      </c>
      <c r="G328" s="2887">
        <v>0</v>
      </c>
      <c r="H328" s="2479" t="str">
        <f t="shared" si="18"/>
        <v>Irrigation Sales - WASHINGTON - 02LNX00312 - WA IRG LINE EXT</v>
      </c>
      <c r="J328" s="2501"/>
      <c r="K328" s="2886"/>
    </row>
    <row r="329" spans="1:11" ht="16.7" customHeight="1" x14ac:dyDescent="0.2">
      <c r="A329" s="2749">
        <f t="shared" si="19"/>
        <v>12.127999999999941</v>
      </c>
      <c r="B329" s="2512" t="s">
        <v>8970</v>
      </c>
      <c r="C329" s="2530">
        <v>461</v>
      </c>
      <c r="D329" s="2530">
        <v>54712</v>
      </c>
      <c r="E329" s="2530">
        <v>13</v>
      </c>
      <c r="F329" s="2530">
        <v>35462</v>
      </c>
      <c r="G329" s="2887">
        <v>0.1187</v>
      </c>
      <c r="H329" s="2479" t="str">
        <f t="shared" si="18"/>
        <v>Irrigation Sales - WASHINGTON - 02NMT40135-WA NET METERING-IRG</v>
      </c>
      <c r="J329" s="2501"/>
      <c r="K329" s="2886"/>
    </row>
    <row r="330" spans="1:11" ht="16.7" customHeight="1" x14ac:dyDescent="0.2">
      <c r="A330" s="2749">
        <f t="shared" si="19"/>
        <v>12.128999999999941</v>
      </c>
      <c r="B330" s="2512" t="s">
        <v>8971</v>
      </c>
      <c r="C330" s="2530">
        <v>79</v>
      </c>
      <c r="D330" s="2530">
        <v>12274</v>
      </c>
      <c r="E330" s="2530">
        <v>14</v>
      </c>
      <c r="F330" s="2530">
        <v>5643</v>
      </c>
      <c r="G330" s="2887">
        <v>0.15540000000000001</v>
      </c>
      <c r="H330" s="2479" t="str">
        <f t="shared" si="18"/>
        <v>Irrigation Sales - WASHINGTON - 02NMX40135-WA NET METERING-IRG</v>
      </c>
      <c r="J330" s="2501"/>
      <c r="K330" s="2886"/>
    </row>
    <row r="331" spans="1:11" ht="16.7" customHeight="1" x14ac:dyDescent="0.2">
      <c r="A331" s="2749">
        <f t="shared" si="19"/>
        <v>12.12999999999994</v>
      </c>
      <c r="B331" s="2512" t="s">
        <v>8529</v>
      </c>
      <c r="C331" s="2530">
        <v>0</v>
      </c>
      <c r="D331" s="2530">
        <v>100189</v>
      </c>
      <c r="E331" s="2530">
        <v>0</v>
      </c>
      <c r="F331" s="2530">
        <v>0</v>
      </c>
      <c r="G331" s="2887">
        <v>0</v>
      </c>
      <c r="H331" s="2479" t="str">
        <f t="shared" si="18"/>
        <v>Irrigation Sales - WASHINGTON - REVENUE ADJUSTMENT - DEFERRED NPC</v>
      </c>
      <c r="J331" s="2501"/>
      <c r="K331" s="2886"/>
    </row>
    <row r="332" spans="1:11" ht="16.7" customHeight="1" x14ac:dyDescent="0.2">
      <c r="A332" s="2749">
        <f t="shared" si="19"/>
        <v>12.13099999999994</v>
      </c>
      <c r="B332" s="2512" t="s">
        <v>8530</v>
      </c>
      <c r="C332" s="2530">
        <v>0</v>
      </c>
      <c r="D332" s="2530">
        <v>803296</v>
      </c>
      <c r="E332" s="2530">
        <v>0</v>
      </c>
      <c r="F332" s="2530">
        <v>0</v>
      </c>
      <c r="G332" s="2887">
        <v>0</v>
      </c>
      <c r="H332" s="2479" t="str">
        <f t="shared" si="18"/>
        <v>Irrigation Sales - WASHINGTON - REVENUE_ACCOUNTING ADJUSTMENTS</v>
      </c>
      <c r="J332" s="2501"/>
      <c r="K332" s="2886"/>
    </row>
    <row r="333" spans="1:11" ht="16.7" customHeight="1" x14ac:dyDescent="0.2">
      <c r="A333" s="2749">
        <f t="shared" si="19"/>
        <v>12.131999999999939</v>
      </c>
      <c r="B333" s="2512" t="s">
        <v>8528</v>
      </c>
      <c r="C333" s="2530">
        <v>0</v>
      </c>
      <c r="D333" s="2530">
        <v>78376</v>
      </c>
      <c r="E333" s="2530">
        <v>0</v>
      </c>
      <c r="F333" s="2530">
        <v>0</v>
      </c>
      <c r="G333" s="2887">
        <v>0</v>
      </c>
      <c r="H333" s="2479" t="str">
        <f t="shared" si="18"/>
        <v>Irrigation Sales - WASHINGTON - INCOME TAX DEFERRAL ADJUSTMENTS</v>
      </c>
      <c r="J333" s="2501"/>
      <c r="K333" s="2886"/>
    </row>
    <row r="334" spans="1:11" ht="16.7" customHeight="1" x14ac:dyDescent="0.2">
      <c r="A334" s="2749">
        <f t="shared" si="19"/>
        <v>12.132999999999939</v>
      </c>
      <c r="B334" s="2512" t="s">
        <v>8972</v>
      </c>
      <c r="C334" s="2530">
        <v>0</v>
      </c>
      <c r="D334" s="2530">
        <v>892633</v>
      </c>
      <c r="E334" s="2530">
        <v>0</v>
      </c>
      <c r="F334" s="2530">
        <v>0</v>
      </c>
      <c r="G334" s="2887">
        <v>0</v>
      </c>
      <c r="H334" s="2479" t="str">
        <f t="shared" si="18"/>
        <v>Irrigation Sales - WASHINGTON - DSM REVENUE-IRRIGATION</v>
      </c>
      <c r="J334" s="2501"/>
      <c r="K334" s="2886"/>
    </row>
    <row r="335" spans="1:11" ht="16.7" customHeight="1" x14ac:dyDescent="0.2">
      <c r="A335" s="2749">
        <f t="shared" si="19"/>
        <v>12.133999999999938</v>
      </c>
      <c r="B335" s="2512" t="s">
        <v>8973</v>
      </c>
      <c r="C335" s="2530">
        <v>0</v>
      </c>
      <c r="D335" s="2530">
        <v>3004</v>
      </c>
      <c r="E335" s="2530">
        <v>0</v>
      </c>
      <c r="F335" s="2530">
        <v>0</v>
      </c>
      <c r="G335" s="2887">
        <v>0</v>
      </c>
      <c r="H335" s="2479" t="str">
        <f t="shared" si="18"/>
        <v>Irrigation Sales - WASHINGTON - BLUE SKY REVENUE-IRRIGATION</v>
      </c>
      <c r="J335" s="2501"/>
      <c r="K335" s="2886"/>
    </row>
    <row r="336" spans="1:11" ht="16.7" customHeight="1" x14ac:dyDescent="0.2">
      <c r="A336" s="2749">
        <f t="shared" si="19"/>
        <v>12.134999999999938</v>
      </c>
      <c r="B336" s="2512" t="s">
        <v>8533</v>
      </c>
      <c r="C336" s="2530">
        <v>0</v>
      </c>
      <c r="D336" s="2530">
        <v>11886</v>
      </c>
      <c r="E336" s="2530">
        <v>0</v>
      </c>
      <c r="F336" s="2530">
        <v>0</v>
      </c>
      <c r="G336" s="2887">
        <v>0</v>
      </c>
      <c r="H336" s="2479" t="str">
        <f t="shared" si="18"/>
        <v>Irrigation Sales - WASHINGTON - ALT REVENUE PROGRAM ADJUSTMENTS</v>
      </c>
      <c r="J336" s="2501"/>
      <c r="K336" s="2886"/>
    </row>
    <row r="337" spans="1:11" ht="16.7" customHeight="1" x14ac:dyDescent="0.2">
      <c r="A337" s="2489"/>
      <c r="B337" s="2512"/>
      <c r="C337" s="2488"/>
      <c r="D337" s="2488"/>
      <c r="E337" s="2488"/>
      <c r="F337" s="2488"/>
      <c r="G337" s="2488"/>
      <c r="H337" s="2595">
        <f>B337</f>
        <v>0</v>
      </c>
      <c r="J337" s="2501"/>
      <c r="K337" s="2886"/>
    </row>
    <row r="338" spans="1:11" ht="16.7" customHeight="1" x14ac:dyDescent="0.2">
      <c r="A338" s="2489"/>
      <c r="B338" s="2669" t="s">
        <v>8534</v>
      </c>
      <c r="C338" s="2488"/>
      <c r="D338" s="2488"/>
      <c r="E338" s="2488"/>
      <c r="F338" s="2488"/>
      <c r="G338" s="2488"/>
      <c r="H338" s="2479" t="str">
        <f>B338</f>
        <v>WYOMING</v>
      </c>
      <c r="J338" s="2501"/>
      <c r="K338" s="2886"/>
    </row>
    <row r="339" spans="1:11" ht="16.7" customHeight="1" x14ac:dyDescent="0.2">
      <c r="A339" s="2749">
        <f>A336+0.001</f>
        <v>12.135999999999937</v>
      </c>
      <c r="B339" s="2512" t="s">
        <v>8974</v>
      </c>
      <c r="C339" s="2530">
        <v>17640</v>
      </c>
      <c r="D339" s="2530">
        <v>1745618</v>
      </c>
      <c r="E339" s="2530">
        <v>771</v>
      </c>
      <c r="F339" s="2530">
        <v>22879</v>
      </c>
      <c r="G339" s="2887">
        <v>9.9000000000000005E-2</v>
      </c>
      <c r="H339" s="2479" t="str">
        <f t="shared" ref="H339:H359" si="20">CONCATENATE($B$191," - ",B339)</f>
        <v xml:space="preserve">Irrigation Sales - WYOMING - 05APS00040-AG PUMPING SVC -A            </v>
      </c>
      <c r="J339" s="2501"/>
      <c r="K339" s="2886"/>
    </row>
    <row r="340" spans="1:11" ht="16.7" customHeight="1" x14ac:dyDescent="0.2">
      <c r="A340" s="2749">
        <f t="shared" ref="A340:A360" si="21">A339+0.001</f>
        <v>12.136999999999937</v>
      </c>
      <c r="B340" s="2512" t="s">
        <v>8975</v>
      </c>
      <c r="C340" s="2530">
        <v>22</v>
      </c>
      <c r="D340" s="2530">
        <v>3050</v>
      </c>
      <c r="E340" s="2530">
        <v>4</v>
      </c>
      <c r="F340" s="2530">
        <v>5500</v>
      </c>
      <c r="G340" s="2887">
        <v>0.1386</v>
      </c>
      <c r="H340" s="2479" t="str">
        <f t="shared" si="20"/>
        <v>Irrigation Sales - WYOMING - 05APS0040T-WY IRG TOU PILOT</v>
      </c>
      <c r="J340" s="2501"/>
      <c r="K340" s="2886"/>
    </row>
    <row r="341" spans="1:11" ht="16.7" customHeight="1" x14ac:dyDescent="0.2">
      <c r="A341" s="2749">
        <f t="shared" si="21"/>
        <v>12.137999999999936</v>
      </c>
      <c r="B341" s="2512" t="s">
        <v>8976</v>
      </c>
      <c r="C341" s="2530">
        <v>1435</v>
      </c>
      <c r="D341" s="2530">
        <v>141310</v>
      </c>
      <c r="E341" s="2530">
        <v>33</v>
      </c>
      <c r="F341" s="2530">
        <v>43485</v>
      </c>
      <c r="G341" s="2887">
        <v>9.8500000000000004E-2</v>
      </c>
      <c r="H341" s="2479" t="str">
        <f t="shared" si="20"/>
        <v>Irrigation Sales - WYOMING - 05APSNS040-AG PUMPING SVC - NON SEASON</v>
      </c>
      <c r="J341" s="2501"/>
      <c r="K341" s="2886"/>
    </row>
    <row r="342" spans="1:11" ht="16.7" customHeight="1" x14ac:dyDescent="0.2">
      <c r="A342" s="2749">
        <f t="shared" si="21"/>
        <v>12.138999999999935</v>
      </c>
      <c r="B342" s="2512" t="s">
        <v>8824</v>
      </c>
      <c r="C342" s="2530">
        <v>0</v>
      </c>
      <c r="D342" s="2530">
        <v>2723</v>
      </c>
      <c r="E342" s="2530">
        <v>0</v>
      </c>
      <c r="F342" s="2530">
        <v>0</v>
      </c>
      <c r="G342" s="2887">
        <v>0</v>
      </c>
      <c r="H342" s="2479" t="str">
        <f t="shared" si="20"/>
        <v xml:space="preserve">Irrigation Sales - WYOMING - 05LNX00103-LINE EXT 80% G               </v>
      </c>
      <c r="J342" s="2501"/>
      <c r="K342" s="2886"/>
    </row>
    <row r="343" spans="1:11" ht="16.7" customHeight="1" x14ac:dyDescent="0.2">
      <c r="A343" s="2749">
        <f t="shared" si="21"/>
        <v>12.139999999999935</v>
      </c>
      <c r="B343" s="2512" t="s">
        <v>8977</v>
      </c>
      <c r="C343" s="2530">
        <v>0</v>
      </c>
      <c r="D343" s="2530">
        <v>427</v>
      </c>
      <c r="E343" s="2530">
        <v>0</v>
      </c>
      <c r="F343" s="2530">
        <v>0</v>
      </c>
      <c r="G343" s="2887">
        <v>0</v>
      </c>
      <c r="H343" s="2479" t="str">
        <f t="shared" si="20"/>
        <v xml:space="preserve">Irrigation Sales - WYOMING - 05LNX00109-REF/NREF ADV +  -A             </v>
      </c>
      <c r="J343" s="2501"/>
      <c r="K343" s="2886"/>
    </row>
    <row r="344" spans="1:11" ht="16.7" customHeight="1" x14ac:dyDescent="0.2">
      <c r="A344" s="2749">
        <f t="shared" si="21"/>
        <v>12.140999999999934</v>
      </c>
      <c r="B344" s="2512" t="s">
        <v>8978</v>
      </c>
      <c r="C344" s="2530">
        <v>0</v>
      </c>
      <c r="D344" s="2530">
        <v>69522</v>
      </c>
      <c r="E344" s="2530">
        <v>0</v>
      </c>
      <c r="F344" s="2530">
        <v>0</v>
      </c>
      <c r="G344" s="2887">
        <v>0</v>
      </c>
      <c r="H344" s="2479" t="str">
        <f t="shared" si="20"/>
        <v xml:space="preserve">Irrigation Sales - WYOMING - 05LNX00110-REF/NREF ADV +   -A             </v>
      </c>
      <c r="J344" s="2501"/>
      <c r="K344" s="2886"/>
    </row>
    <row r="345" spans="1:11" ht="16.7" customHeight="1" x14ac:dyDescent="0.2">
      <c r="A345" s="2749">
        <f t="shared" si="21"/>
        <v>12.141999999999934</v>
      </c>
      <c r="B345" s="2512" t="s">
        <v>8979</v>
      </c>
      <c r="C345" s="2530">
        <v>0</v>
      </c>
      <c r="D345" s="2530">
        <v>1513</v>
      </c>
      <c r="E345" s="2530">
        <v>0</v>
      </c>
      <c r="F345" s="2530">
        <v>0</v>
      </c>
      <c r="G345" s="2887">
        <v>0</v>
      </c>
      <c r="H345" s="2479" t="str">
        <f t="shared" si="20"/>
        <v>Irrigation Sales - WYOMING - 05LNX00312 - WY IRG LINE EXT -A</v>
      </c>
      <c r="J345" s="2501"/>
      <c r="K345" s="2886"/>
    </row>
    <row r="346" spans="1:11" ht="16.7" customHeight="1" x14ac:dyDescent="0.2">
      <c r="A346" s="2749">
        <f t="shared" si="21"/>
        <v>12.142999999999933</v>
      </c>
      <c r="B346" s="2512" t="s">
        <v>8980</v>
      </c>
      <c r="C346" s="2530">
        <v>5</v>
      </c>
      <c r="D346" s="2530">
        <v>1140</v>
      </c>
      <c r="E346" s="2530">
        <v>1</v>
      </c>
      <c r="F346" s="2530">
        <v>5000</v>
      </c>
      <c r="G346" s="2887">
        <v>0.22800000000000001</v>
      </c>
      <c r="H346" s="2479" t="str">
        <f t="shared" si="20"/>
        <v>Irrigation Sales - WYOMING - 09APSNS210-IRR &amp; SOIL DRA - NON SEASON -A</v>
      </c>
      <c r="J346" s="2501"/>
      <c r="K346" s="2886"/>
    </row>
    <row r="347" spans="1:11" ht="16.7" customHeight="1" x14ac:dyDescent="0.2">
      <c r="A347" s="2749">
        <f t="shared" si="21"/>
        <v>12.143999999999933</v>
      </c>
      <c r="B347" s="2512" t="s">
        <v>8544</v>
      </c>
      <c r="C347" s="2530">
        <v>0</v>
      </c>
      <c r="D347" s="2530">
        <v>7488</v>
      </c>
      <c r="E347" s="2530">
        <v>0</v>
      </c>
      <c r="F347" s="2530">
        <v>0</v>
      </c>
      <c r="G347" s="2887">
        <v>0</v>
      </c>
      <c r="H347" s="2479" t="str">
        <f t="shared" si="20"/>
        <v>Irrigation Sales - WYOMING - INCOME TAX DEFERRAL ADJUSTMENTS</v>
      </c>
      <c r="J347" s="2501"/>
      <c r="K347" s="2886"/>
    </row>
    <row r="348" spans="1:11" ht="16.7" customHeight="1" x14ac:dyDescent="0.2">
      <c r="A348" s="2749">
        <f t="shared" si="21"/>
        <v>12.144999999999932</v>
      </c>
      <c r="B348" s="2512" t="s">
        <v>8546</v>
      </c>
      <c r="C348" s="2530">
        <v>0</v>
      </c>
      <c r="D348" s="2530">
        <v>1320</v>
      </c>
      <c r="E348" s="2530">
        <v>0</v>
      </c>
      <c r="F348" s="2530">
        <v>0</v>
      </c>
      <c r="G348" s="2887">
        <v>0</v>
      </c>
      <c r="H348" s="2479" t="str">
        <f t="shared" si="20"/>
        <v>Irrigation Sales - WYOMING - REVENUE_ACCOUNTING ADJUSTMENTS</v>
      </c>
      <c r="J348" s="2501"/>
      <c r="K348" s="2886"/>
    </row>
    <row r="349" spans="1:11" ht="16.7" customHeight="1" x14ac:dyDescent="0.2">
      <c r="A349" s="2749">
        <f t="shared" si="21"/>
        <v>12.145999999999932</v>
      </c>
      <c r="B349" s="2512" t="s">
        <v>8545</v>
      </c>
      <c r="C349" s="2530">
        <v>0</v>
      </c>
      <c r="D349" s="2530">
        <v>-11819</v>
      </c>
      <c r="E349" s="2530">
        <v>0</v>
      </c>
      <c r="F349" s="2530">
        <v>0</v>
      </c>
      <c r="G349" s="2887">
        <v>0</v>
      </c>
      <c r="H349" s="2479" t="str">
        <f t="shared" si="20"/>
        <v>Irrigation Sales - WYOMING - REVENUE ADJUSTMENT - DEFERRED NPC</v>
      </c>
      <c r="J349" s="2501"/>
      <c r="K349" s="2886"/>
    </row>
    <row r="350" spans="1:11" ht="16.7" customHeight="1" x14ac:dyDescent="0.2">
      <c r="A350" s="2749">
        <f t="shared" si="21"/>
        <v>12.146999999999931</v>
      </c>
      <c r="B350" s="2512" t="s">
        <v>8981</v>
      </c>
      <c r="C350" s="2530">
        <v>0</v>
      </c>
      <c r="D350" s="2530">
        <v>61377</v>
      </c>
      <c r="E350" s="2530">
        <v>0</v>
      </c>
      <c r="F350" s="2530">
        <v>0</v>
      </c>
      <c r="G350" s="2887">
        <v>0</v>
      </c>
      <c r="H350" s="2479" t="str">
        <f t="shared" si="20"/>
        <v>Irrigation Sales - WYOMING - DSM REVENUE-IRRIGATION -A</v>
      </c>
      <c r="J350" s="2501"/>
      <c r="K350" s="2886"/>
    </row>
    <row r="351" spans="1:11" ht="16.7" customHeight="1" x14ac:dyDescent="0.2">
      <c r="A351" s="2749">
        <f t="shared" si="21"/>
        <v>12.14799999999993</v>
      </c>
      <c r="B351" s="2512" t="s">
        <v>8982</v>
      </c>
      <c r="C351" s="2530">
        <v>0</v>
      </c>
      <c r="D351" s="2530">
        <v>25</v>
      </c>
      <c r="E351" s="2530">
        <v>0</v>
      </c>
      <c r="F351" s="2530">
        <v>0</v>
      </c>
      <c r="G351" s="2887">
        <v>0</v>
      </c>
      <c r="H351" s="2479" t="str">
        <f t="shared" si="20"/>
        <v>Irrigation Sales - WYOMING - BLUE SKY REVENUE-IRRIGATION -A</v>
      </c>
      <c r="J351" s="2501"/>
      <c r="K351" s="2886"/>
    </row>
    <row r="352" spans="1:11" ht="16.7" customHeight="1" x14ac:dyDescent="0.2">
      <c r="A352" s="2749">
        <f t="shared" si="21"/>
        <v>12.14899999999993</v>
      </c>
      <c r="B352" s="2512" t="s">
        <v>8550</v>
      </c>
      <c r="C352" s="2530">
        <v>0</v>
      </c>
      <c r="D352" s="2530">
        <v>2739</v>
      </c>
      <c r="E352" s="2530">
        <v>0</v>
      </c>
      <c r="F352" s="2530">
        <v>0</v>
      </c>
      <c r="G352" s="2887">
        <v>0</v>
      </c>
      <c r="H352" s="2479" t="str">
        <f t="shared" si="20"/>
        <v>Irrigation Sales - WYOMING - OTHER CUSTOMER RETAIL REVENUE</v>
      </c>
      <c r="J352" s="2501"/>
      <c r="K352" s="2886"/>
    </row>
    <row r="353" spans="1:11" ht="16.7" customHeight="1" x14ac:dyDescent="0.2">
      <c r="A353" s="2749">
        <f t="shared" si="21"/>
        <v>12.149999999999929</v>
      </c>
      <c r="B353" s="2512" t="s">
        <v>8983</v>
      </c>
      <c r="C353" s="2530">
        <v>317</v>
      </c>
      <c r="D353" s="2530">
        <v>30684</v>
      </c>
      <c r="E353" s="2530">
        <v>12</v>
      </c>
      <c r="F353" s="2530">
        <v>26417</v>
      </c>
      <c r="G353" s="2887">
        <v>9.6799999999999997E-2</v>
      </c>
      <c r="H353" s="2479" t="str">
        <f t="shared" si="20"/>
        <v xml:space="preserve">Irrigation Sales - WYOMING - 05APS00040-AG PUMPING SVC -B               </v>
      </c>
      <c r="J353" s="2501"/>
      <c r="K353" s="2886"/>
    </row>
    <row r="354" spans="1:11" ht="16.7" customHeight="1" x14ac:dyDescent="0.2">
      <c r="A354" s="2749">
        <f t="shared" si="21"/>
        <v>12.150999999999929</v>
      </c>
      <c r="B354" s="2512" t="s">
        <v>8825</v>
      </c>
      <c r="C354" s="2530">
        <v>0</v>
      </c>
      <c r="D354" s="2530">
        <v>454</v>
      </c>
      <c r="E354" s="2530">
        <v>0</v>
      </c>
      <c r="F354" s="2530">
        <v>0</v>
      </c>
      <c r="G354" s="2887">
        <v>0</v>
      </c>
      <c r="H354" s="2479" t="str">
        <f t="shared" si="20"/>
        <v xml:space="preserve">Irrigation Sales - WYOMING - 05LNX00109-REF/NREF ADV +  -B             </v>
      </c>
      <c r="J354" s="2501"/>
      <c r="K354" s="2886"/>
    </row>
    <row r="355" spans="1:11" ht="16.7" customHeight="1" x14ac:dyDescent="0.2">
      <c r="A355" s="2749">
        <f t="shared" si="21"/>
        <v>12.151999999999928</v>
      </c>
      <c r="B355" s="2512" t="s">
        <v>8984</v>
      </c>
      <c r="C355" s="2530">
        <v>0</v>
      </c>
      <c r="D355" s="2530">
        <v>11633</v>
      </c>
      <c r="E355" s="2530">
        <v>0</v>
      </c>
      <c r="F355" s="2530">
        <v>0</v>
      </c>
      <c r="G355" s="2887">
        <v>0</v>
      </c>
      <c r="H355" s="2479" t="str">
        <f t="shared" si="20"/>
        <v xml:space="preserve">Irrigation Sales - WYOMING - 05LNX00110-REF/NREF ADV +  -B             </v>
      </c>
      <c r="J355" s="2501"/>
      <c r="K355" s="2886"/>
    </row>
    <row r="356" spans="1:11" ht="16.7" customHeight="1" x14ac:dyDescent="0.2">
      <c r="A356" s="2749">
        <f t="shared" si="21"/>
        <v>12.152999999999928</v>
      </c>
      <c r="B356" s="2512" t="s">
        <v>8985</v>
      </c>
      <c r="C356" s="2530">
        <v>0</v>
      </c>
      <c r="D356" s="2530">
        <v>1377</v>
      </c>
      <c r="E356" s="2530">
        <v>0</v>
      </c>
      <c r="F356" s="2530">
        <v>0</v>
      </c>
      <c r="G356" s="2887">
        <v>0</v>
      </c>
      <c r="H356" s="2479" t="str">
        <f t="shared" si="20"/>
        <v>Irrigation Sales - WYOMING - 05LNX00312 - WY IRG LINE EXT -B</v>
      </c>
      <c r="J356" s="2501"/>
      <c r="K356" s="2886"/>
    </row>
    <row r="357" spans="1:11" ht="16.7" customHeight="1" x14ac:dyDescent="0.2">
      <c r="A357" s="2749">
        <f t="shared" si="21"/>
        <v>12.153999999999927</v>
      </c>
      <c r="B357" s="2512" t="s">
        <v>8986</v>
      </c>
      <c r="C357" s="2530">
        <v>421</v>
      </c>
      <c r="D357" s="2530">
        <v>42504</v>
      </c>
      <c r="E357" s="2888">
        <f>6+0.75</f>
        <v>6.75</v>
      </c>
      <c r="F357" s="2530">
        <v>70167</v>
      </c>
      <c r="G357" s="2887">
        <v>0.10100000000000001</v>
      </c>
      <c r="H357" s="2479" t="str">
        <f t="shared" si="20"/>
        <v>Irrigation Sales - WYOMING - 09APSNS210-IRR &amp; SOIL DRA - NON SEASON -B</v>
      </c>
      <c r="J357" s="2501"/>
      <c r="K357" s="2886"/>
    </row>
    <row r="358" spans="1:11" ht="16.7" customHeight="1" x14ac:dyDescent="0.2">
      <c r="A358" s="2749">
        <f t="shared" si="21"/>
        <v>12.154999999999927</v>
      </c>
      <c r="B358" s="2512" t="s">
        <v>8987</v>
      </c>
      <c r="C358" s="2530">
        <v>5057</v>
      </c>
      <c r="D358" s="2530">
        <f>474539</f>
        <v>474539</v>
      </c>
      <c r="E358" s="2530">
        <v>100</v>
      </c>
      <c r="F358" s="2530">
        <v>50570</v>
      </c>
      <c r="G358" s="2887">
        <v>9.3799999999999994E-2</v>
      </c>
      <c r="H358" s="2479" t="str">
        <f t="shared" si="20"/>
        <v xml:space="preserve">Irrigation Sales - WYOMING - 09APSV0210-IRR &amp; SOIL DRA               </v>
      </c>
      <c r="J358" s="2501"/>
      <c r="K358" s="2886"/>
    </row>
    <row r="359" spans="1:11" ht="16.7" customHeight="1" x14ac:dyDescent="0.2">
      <c r="A359" s="2749">
        <f t="shared" si="21"/>
        <v>12.155999999999926</v>
      </c>
      <c r="B359" s="2512" t="s">
        <v>8988</v>
      </c>
      <c r="C359" s="2530">
        <v>0</v>
      </c>
      <c r="D359" s="2530">
        <v>9532</v>
      </c>
      <c r="E359" s="2530">
        <v>0</v>
      </c>
      <c r="F359" s="2530">
        <v>0</v>
      </c>
      <c r="G359" s="2887">
        <v>0</v>
      </c>
      <c r="H359" s="2479" t="str">
        <f t="shared" si="20"/>
        <v>Irrigation Sales - WYOMING - DSM REVENUE-IRRIGATION -B</v>
      </c>
      <c r="J359" s="2501"/>
      <c r="K359" s="2886"/>
    </row>
    <row r="360" spans="1:11" ht="16.7" customHeight="1" x14ac:dyDescent="0.2">
      <c r="A360" s="2749">
        <f t="shared" si="21"/>
        <v>12.156999999999925</v>
      </c>
      <c r="B360" s="2512" t="s">
        <v>8989</v>
      </c>
      <c r="C360" s="2530">
        <v>0</v>
      </c>
      <c r="D360" s="2530">
        <v>47</v>
      </c>
      <c r="E360" s="2530">
        <v>0</v>
      </c>
      <c r="F360" s="2530">
        <v>0</v>
      </c>
      <c r="G360" s="2887">
        <v>0</v>
      </c>
      <c r="H360" s="2479" t="str">
        <f>B360</f>
        <v>WYOMING - BLUE SKY REVENUE-IRRIGATION -B</v>
      </c>
      <c r="J360" s="2501"/>
      <c r="K360" s="2886"/>
    </row>
    <row r="361" spans="1:11" ht="16.7" customHeight="1" x14ac:dyDescent="0.2">
      <c r="A361" s="2489"/>
      <c r="B361" s="2512"/>
      <c r="C361" s="2488"/>
      <c r="D361" s="2488"/>
      <c r="E361" s="2488"/>
      <c r="F361" s="2488"/>
      <c r="G361" s="2488"/>
      <c r="H361" s="2479"/>
      <c r="J361" s="2501"/>
      <c r="K361" s="2886"/>
    </row>
    <row r="362" spans="1:11" ht="16.7" customHeight="1" x14ac:dyDescent="0.2">
      <c r="A362" s="2749">
        <f>A360+0.001</f>
        <v>12.157999999999925</v>
      </c>
      <c r="B362" s="2512" t="s">
        <v>8990</v>
      </c>
      <c r="C362" s="2488"/>
      <c r="D362" s="2488"/>
      <c r="E362" s="2530">
        <v>-934</v>
      </c>
      <c r="F362" s="2488"/>
      <c r="G362" s="2488"/>
      <c r="H362" s="2479" t="str">
        <f>B362</f>
        <v>LESS MULTIPLE BILLINGS IRRIGATION</v>
      </c>
      <c r="J362" s="2501"/>
      <c r="K362" s="2886"/>
    </row>
    <row r="363" spans="1:11" ht="16.7" customHeight="1" x14ac:dyDescent="0.2">
      <c r="A363" s="2749">
        <f>A362+0.001</f>
        <v>12.158999999999924</v>
      </c>
      <c r="B363" s="2512"/>
      <c r="C363" s="2488"/>
      <c r="D363" s="2488"/>
      <c r="E363" s="2488"/>
      <c r="F363" s="2488"/>
      <c r="G363" s="2488"/>
      <c r="H363" s="2595">
        <f>B363</f>
        <v>0</v>
      </c>
      <c r="J363" s="2501"/>
      <c r="K363" s="2886"/>
    </row>
    <row r="364" spans="1:11" ht="16.7" customHeight="1" x14ac:dyDescent="0.2">
      <c r="A364" s="2497">
        <v>13</v>
      </c>
      <c r="B364" s="2669" t="s">
        <v>8991</v>
      </c>
      <c r="C364" s="2736">
        <f>SUM(C9:C362)</f>
        <v>18079984</v>
      </c>
      <c r="D364" s="2736">
        <f>SUM(D9:D362)</f>
        <v>1358846686</v>
      </c>
      <c r="E364" s="2736">
        <f>SUM(E9:E362)</f>
        <v>32888</v>
      </c>
      <c r="F364" s="2736">
        <v>1921006</v>
      </c>
      <c r="G364" s="2889">
        <v>0.18010000000000001</v>
      </c>
      <c r="H364" s="2479"/>
      <c r="J364" s="2501" t="s">
        <v>8564</v>
      </c>
      <c r="K364" s="2886" t="str">
        <f>"+SUM('"&amp;J364&amp;"'!$F$10:$F$50)"</f>
        <v>+SUM('304.2 - Sales of Electricity by Rate Schedules'!$F$10:$F$50)</v>
      </c>
    </row>
    <row r="365" spans="1:11" ht="16.7" customHeight="1" x14ac:dyDescent="0.2">
      <c r="A365" s="2489"/>
      <c r="B365" s="2669" t="s">
        <v>8565</v>
      </c>
      <c r="C365" s="2488"/>
      <c r="D365" s="2488"/>
      <c r="E365" s="2488"/>
      <c r="F365" s="2488"/>
      <c r="G365" s="2488"/>
      <c r="H365" s="2479" t="str">
        <f t="shared" ref="H365:H383" si="22">B365</f>
        <v>CALIFORNIA</v>
      </c>
      <c r="J365" s="2501"/>
      <c r="K365" s="2886"/>
    </row>
    <row r="366" spans="1:11" ht="16.7" customHeight="1" x14ac:dyDescent="0.2">
      <c r="A366" s="2489"/>
      <c r="B366" s="2512" t="s">
        <v>8992</v>
      </c>
      <c r="C366" s="2530">
        <v>-323</v>
      </c>
      <c r="D366" s="2530">
        <v>-134000</v>
      </c>
      <c r="E366" s="2530">
        <v>0</v>
      </c>
      <c r="F366" s="2530">
        <v>0</v>
      </c>
      <c r="G366" s="2887">
        <v>0.41489999999999999</v>
      </c>
      <c r="H366" s="2479" t="str">
        <f t="shared" si="22"/>
        <v xml:space="preserve">CALIFORNIA - INDUSTRIAL UNBILLED REVENUE                        </v>
      </c>
      <c r="J366" s="2501"/>
      <c r="K366" s="2886"/>
    </row>
    <row r="367" spans="1:11" ht="16.7" customHeight="1" x14ac:dyDescent="0.2">
      <c r="A367" s="2489"/>
      <c r="B367" s="2512"/>
      <c r="C367" s="2488"/>
      <c r="D367" s="2488"/>
      <c r="E367" s="2488"/>
      <c r="F367" s="2488"/>
      <c r="G367" s="2488"/>
      <c r="H367" s="2595">
        <f t="shared" si="22"/>
        <v>0</v>
      </c>
      <c r="J367" s="2501"/>
      <c r="K367" s="2886"/>
    </row>
    <row r="368" spans="1:11" ht="16.7" customHeight="1" x14ac:dyDescent="0.2">
      <c r="A368" s="2489"/>
      <c r="B368" s="2669" t="s">
        <v>8389</v>
      </c>
      <c r="C368" s="2488"/>
      <c r="D368" s="2488"/>
      <c r="E368" s="2488"/>
      <c r="F368" s="2488"/>
      <c r="G368" s="2488"/>
      <c r="H368" s="2479" t="str">
        <f t="shared" si="22"/>
        <v>IDAHO</v>
      </c>
      <c r="J368" s="2501"/>
      <c r="K368" s="2886"/>
    </row>
    <row r="369" spans="1:11" ht="16.7" customHeight="1" x14ac:dyDescent="0.2">
      <c r="A369" s="2489"/>
      <c r="B369" s="2512" t="s">
        <v>8993</v>
      </c>
      <c r="C369" s="2530">
        <v>-29769</v>
      </c>
      <c r="D369" s="2530">
        <v>-1749000</v>
      </c>
      <c r="E369" s="2530">
        <v>0</v>
      </c>
      <c r="F369" s="2530">
        <v>0</v>
      </c>
      <c r="G369" s="2887">
        <v>5.8799999999999998E-2</v>
      </c>
      <c r="H369" s="2479" t="str">
        <f t="shared" si="22"/>
        <v xml:space="preserve">IDAHO -  INDUSTRIAL UNBILLED REVENUE                        </v>
      </c>
      <c r="J369" s="2501"/>
      <c r="K369" s="2886"/>
    </row>
    <row r="370" spans="1:11" ht="16.7" customHeight="1" x14ac:dyDescent="0.2">
      <c r="A370" s="2489"/>
      <c r="B370" s="2512"/>
      <c r="C370" s="2488"/>
      <c r="D370" s="2488"/>
      <c r="E370" s="2488"/>
      <c r="F370" s="2488"/>
      <c r="G370" s="2488"/>
      <c r="H370" s="2595">
        <f t="shared" si="22"/>
        <v>0</v>
      </c>
      <c r="J370" s="2501"/>
      <c r="K370" s="2886"/>
    </row>
    <row r="371" spans="1:11" ht="16.7" customHeight="1" x14ac:dyDescent="0.2">
      <c r="A371" s="2489"/>
      <c r="B371" s="2669" t="s">
        <v>8407</v>
      </c>
      <c r="C371" s="2488"/>
      <c r="D371" s="2488"/>
      <c r="E371" s="2488"/>
      <c r="F371" s="2488"/>
      <c r="G371" s="2488"/>
      <c r="H371" s="2479" t="str">
        <f t="shared" si="22"/>
        <v>OREGON</v>
      </c>
      <c r="J371" s="2501"/>
      <c r="K371" s="2886"/>
    </row>
    <row r="372" spans="1:11" ht="16.7" customHeight="1" x14ac:dyDescent="0.2">
      <c r="A372" s="2489"/>
      <c r="B372" s="2512" t="s">
        <v>8994</v>
      </c>
      <c r="C372" s="2530">
        <v>10305</v>
      </c>
      <c r="D372" s="2530">
        <v>1469000</v>
      </c>
      <c r="E372" s="2530">
        <v>0</v>
      </c>
      <c r="F372" s="2530">
        <v>0</v>
      </c>
      <c r="G372" s="2887">
        <v>0.1426</v>
      </c>
      <c r="H372" s="2479" t="str">
        <f t="shared" si="22"/>
        <v xml:space="preserve">OREGON -  INDUSTRIAL UNBILLED REVENUE                        </v>
      </c>
      <c r="J372" s="2501"/>
      <c r="K372" s="2886"/>
    </row>
    <row r="373" spans="1:11" ht="16.7" customHeight="1" x14ac:dyDescent="0.2">
      <c r="A373" s="2489"/>
      <c r="B373" s="2512"/>
      <c r="C373" s="2488"/>
      <c r="D373" s="2488"/>
      <c r="E373" s="2488"/>
      <c r="F373" s="2488"/>
      <c r="G373" s="2488"/>
      <c r="H373" s="2595">
        <f t="shared" si="22"/>
        <v>0</v>
      </c>
      <c r="J373" s="2501"/>
      <c r="K373" s="2886"/>
    </row>
    <row r="374" spans="1:11" ht="16.7" customHeight="1" x14ac:dyDescent="0.2">
      <c r="A374" s="2489"/>
      <c r="B374" s="2669" t="s">
        <v>8450</v>
      </c>
      <c r="C374" s="2488"/>
      <c r="D374" s="2488"/>
      <c r="E374" s="2488"/>
      <c r="F374" s="2488"/>
      <c r="G374" s="2488"/>
      <c r="H374" s="2479" t="str">
        <f t="shared" si="22"/>
        <v>UTAH</v>
      </c>
      <c r="J374" s="2501"/>
      <c r="K374" s="2886"/>
    </row>
    <row r="375" spans="1:11" ht="16.7" customHeight="1" x14ac:dyDescent="0.2">
      <c r="A375" s="2489"/>
      <c r="B375" s="2512" t="s">
        <v>8995</v>
      </c>
      <c r="C375" s="2530">
        <v>-5905</v>
      </c>
      <c r="D375" s="2530">
        <v>-16217000</v>
      </c>
      <c r="E375" s="2530">
        <v>0</v>
      </c>
      <c r="F375" s="2530">
        <v>0</v>
      </c>
      <c r="G375" s="2887">
        <v>2.7463000000000002</v>
      </c>
      <c r="H375" s="2479" t="str">
        <f t="shared" si="22"/>
        <v xml:space="preserve">UTAH - INDUSTRIAL UNBILLED REVENUE                        </v>
      </c>
      <c r="J375" s="2501"/>
      <c r="K375" s="2886"/>
    </row>
    <row r="376" spans="1:11" ht="16.7" customHeight="1" x14ac:dyDescent="0.2">
      <c r="A376" s="2489"/>
      <c r="B376" s="2512"/>
      <c r="C376" s="2488"/>
      <c r="D376" s="2488"/>
      <c r="E376" s="2488"/>
      <c r="F376" s="2488"/>
      <c r="G376" s="2488"/>
      <c r="H376" s="2595">
        <f t="shared" si="22"/>
        <v>0</v>
      </c>
      <c r="J376" s="2501"/>
      <c r="K376" s="2886"/>
    </row>
    <row r="377" spans="1:11" ht="16.7" customHeight="1" x14ac:dyDescent="0.2">
      <c r="A377" s="2489"/>
      <c r="B377" s="2669" t="s">
        <v>8509</v>
      </c>
      <c r="C377" s="2488"/>
      <c r="D377" s="2488"/>
      <c r="E377" s="2488"/>
      <c r="F377" s="2488"/>
      <c r="G377" s="2488"/>
      <c r="H377" s="2479" t="str">
        <f t="shared" si="22"/>
        <v>WASHINGTON</v>
      </c>
      <c r="J377" s="2501"/>
      <c r="K377" s="2886"/>
    </row>
    <row r="378" spans="1:11" ht="16.7" customHeight="1" x14ac:dyDescent="0.2">
      <c r="A378" s="2489"/>
      <c r="B378" s="2512" t="s">
        <v>8996</v>
      </c>
      <c r="C378" s="2530">
        <v>28168</v>
      </c>
      <c r="D378" s="2530">
        <v>3510000</v>
      </c>
      <c r="E378" s="2530">
        <v>0</v>
      </c>
      <c r="F378" s="2530">
        <v>0</v>
      </c>
      <c r="G378" s="2887">
        <v>0.1246</v>
      </c>
      <c r="H378" s="2479" t="str">
        <f t="shared" si="22"/>
        <v xml:space="preserve">WASHINGTON - INDUSTRIAL UNBILLED REVENUE                        </v>
      </c>
      <c r="J378" s="2501"/>
      <c r="K378" s="2886"/>
    </row>
    <row r="379" spans="1:11" ht="16.7" customHeight="1" x14ac:dyDescent="0.2">
      <c r="A379" s="2489"/>
      <c r="B379" s="2512"/>
      <c r="C379" s="2488"/>
      <c r="D379" s="2488"/>
      <c r="E379" s="2488"/>
      <c r="F379" s="2488"/>
      <c r="G379" s="2488"/>
      <c r="H379" s="2595">
        <f t="shared" si="22"/>
        <v>0</v>
      </c>
      <c r="J379" s="2501"/>
      <c r="K379" s="2886"/>
    </row>
    <row r="380" spans="1:11" ht="16.7" customHeight="1" x14ac:dyDescent="0.2">
      <c r="A380" s="2489"/>
      <c r="B380" s="2669" t="s">
        <v>8534</v>
      </c>
      <c r="C380" s="2488"/>
      <c r="D380" s="2488"/>
      <c r="E380" s="2488"/>
      <c r="F380" s="2488"/>
      <c r="G380" s="2488"/>
      <c r="H380" s="2479" t="str">
        <f t="shared" si="22"/>
        <v>WYOMING</v>
      </c>
      <c r="J380" s="2501"/>
      <c r="K380" s="2886"/>
    </row>
    <row r="381" spans="1:11" ht="16.7" customHeight="1" x14ac:dyDescent="0.2">
      <c r="A381" s="2489"/>
      <c r="B381" s="2512" t="s">
        <v>8997</v>
      </c>
      <c r="C381" s="2530">
        <v>-148112</v>
      </c>
      <c r="D381" s="2530">
        <v>-7753000</v>
      </c>
      <c r="E381" s="2530">
        <v>0</v>
      </c>
      <c r="F381" s="2530">
        <v>0</v>
      </c>
      <c r="G381" s="2887">
        <v>5.2299999999999999E-2</v>
      </c>
      <c r="H381" s="2479" t="str">
        <f t="shared" si="22"/>
        <v xml:space="preserve">WYOMING - INDUSTRIAL UNBILLED REVENUE-A                        </v>
      </c>
      <c r="J381" s="2501"/>
      <c r="K381" s="2886"/>
    </row>
    <row r="382" spans="1:11" ht="16.7" customHeight="1" x14ac:dyDescent="0.2">
      <c r="A382" s="2489"/>
      <c r="B382" s="2512" t="s">
        <v>8998</v>
      </c>
      <c r="C382" s="2530">
        <v>-11877</v>
      </c>
      <c r="D382" s="2530">
        <v>-677000</v>
      </c>
      <c r="E382" s="2530">
        <v>0</v>
      </c>
      <c r="F382" s="2530">
        <v>0</v>
      </c>
      <c r="G382" s="2887">
        <v>5.7000000000000002E-2</v>
      </c>
      <c r="H382" s="2479" t="str">
        <f t="shared" si="22"/>
        <v xml:space="preserve">WYOMING - INDUSTRIAL UNBILLED REVENUE-B                        </v>
      </c>
      <c r="J382" s="2501"/>
      <c r="K382" s="2886"/>
    </row>
    <row r="383" spans="1:11" ht="16.7" customHeight="1" x14ac:dyDescent="0.2">
      <c r="A383" s="2489"/>
      <c r="B383" s="2512"/>
      <c r="C383" s="2488"/>
      <c r="D383" s="2488"/>
      <c r="E383" s="2488"/>
      <c r="F383" s="2488"/>
      <c r="G383" s="2488"/>
      <c r="H383" s="2595">
        <f t="shared" si="22"/>
        <v>0</v>
      </c>
      <c r="J383" s="2501"/>
      <c r="K383" s="2886"/>
    </row>
    <row r="384" spans="1:11" ht="16.7" customHeight="1" x14ac:dyDescent="0.2">
      <c r="A384" s="2489"/>
      <c r="B384" s="2669" t="s">
        <v>8565</v>
      </c>
      <c r="C384" s="2488"/>
      <c r="D384" s="2488"/>
      <c r="E384" s="2488"/>
      <c r="F384" s="2488"/>
      <c r="G384" s="2488"/>
      <c r="H384" s="2479"/>
      <c r="J384" s="2501"/>
      <c r="K384" s="2886"/>
    </row>
    <row r="385" spans="1:11" ht="16.7" customHeight="1" x14ac:dyDescent="0.2">
      <c r="A385" s="2489"/>
      <c r="B385" s="2512" t="s">
        <v>8999</v>
      </c>
      <c r="C385" s="2530">
        <v>-3</v>
      </c>
      <c r="D385" s="2530">
        <v>-1000</v>
      </c>
      <c r="E385" s="2530">
        <v>0</v>
      </c>
      <c r="F385" s="2530">
        <v>0</v>
      </c>
      <c r="G385" s="2887">
        <v>0.33329999999999999</v>
      </c>
      <c r="H385" s="2479" t="str">
        <f>B385</f>
        <v xml:space="preserve">CALIFORNIA - IRRIGATION UNBILLED                     </v>
      </c>
      <c r="J385" s="2501"/>
      <c r="K385" s="2886"/>
    </row>
    <row r="386" spans="1:11" ht="16.7" customHeight="1" x14ac:dyDescent="0.2">
      <c r="A386" s="2489"/>
      <c r="B386" s="2512"/>
      <c r="C386" s="2488"/>
      <c r="D386" s="2488"/>
      <c r="E386" s="2488"/>
      <c r="F386" s="2488"/>
      <c r="G386" s="2488"/>
      <c r="H386" s="2479"/>
      <c r="J386" s="2501"/>
      <c r="K386" s="2886"/>
    </row>
    <row r="387" spans="1:11" ht="16.7" customHeight="1" x14ac:dyDescent="0.2">
      <c r="A387" s="2489"/>
      <c r="B387" s="2669" t="s">
        <v>8389</v>
      </c>
      <c r="C387" s="2488"/>
      <c r="D387" s="2488"/>
      <c r="E387" s="2488"/>
      <c r="F387" s="2488"/>
      <c r="G387" s="2488"/>
      <c r="H387" s="2479"/>
      <c r="J387" s="2501"/>
      <c r="K387" s="2886"/>
    </row>
    <row r="388" spans="1:11" ht="16.7" customHeight="1" x14ac:dyDescent="0.2">
      <c r="A388" s="2489"/>
      <c r="B388" s="2512" t="s">
        <v>9000</v>
      </c>
      <c r="C388" s="2530">
        <v>21171</v>
      </c>
      <c r="D388" s="2530">
        <v>1171000</v>
      </c>
      <c r="E388" s="2530">
        <v>0</v>
      </c>
      <c r="F388" s="2530">
        <v>0</v>
      </c>
      <c r="G388" s="2887">
        <v>5.5300000000000002E-2</v>
      </c>
      <c r="H388" s="2479" t="str">
        <f>B388</f>
        <v xml:space="preserve">IDAHO - UNBILLED REV - IRRIGATION               </v>
      </c>
      <c r="J388" s="2501"/>
      <c r="K388" s="2886"/>
    </row>
    <row r="389" spans="1:11" ht="16.7" customHeight="1" x14ac:dyDescent="0.2">
      <c r="A389" s="2489"/>
      <c r="B389" s="2512"/>
      <c r="C389" s="2488"/>
      <c r="D389" s="2488"/>
      <c r="E389" s="2488"/>
      <c r="F389" s="2488"/>
      <c r="G389" s="2488"/>
      <c r="H389" s="2479"/>
      <c r="J389" s="2501"/>
      <c r="K389" s="2886"/>
    </row>
    <row r="390" spans="1:11" ht="16.7" customHeight="1" x14ac:dyDescent="0.2">
      <c r="A390" s="2489"/>
      <c r="B390" s="2669" t="s">
        <v>8407</v>
      </c>
      <c r="C390" s="2488"/>
      <c r="D390" s="2488"/>
      <c r="E390" s="2488"/>
      <c r="F390" s="2488"/>
      <c r="G390" s="2488"/>
      <c r="H390" s="2479"/>
      <c r="J390" s="2501"/>
      <c r="K390" s="2886"/>
    </row>
    <row r="391" spans="1:11" ht="16.7" customHeight="1" x14ac:dyDescent="0.2">
      <c r="A391" s="2489"/>
      <c r="B391" s="2512" t="s">
        <v>9001</v>
      </c>
      <c r="C391" s="2530">
        <v>-5076</v>
      </c>
      <c r="D391" s="2530">
        <v>277000</v>
      </c>
      <c r="E391" s="2530">
        <v>0</v>
      </c>
      <c r="F391" s="2530">
        <v>0</v>
      </c>
      <c r="G391" s="2887">
        <v>-5.4600000000000003E-2</v>
      </c>
      <c r="H391" s="2479" t="str">
        <f>B391</f>
        <v xml:space="preserve">OREGON - IRRIGATION UNBILLED                     </v>
      </c>
      <c r="J391" s="2501"/>
      <c r="K391" s="2886"/>
    </row>
    <row r="392" spans="1:11" ht="16.7" customHeight="1" x14ac:dyDescent="0.2">
      <c r="A392" s="2489"/>
      <c r="B392" s="2512"/>
      <c r="C392" s="2488"/>
      <c r="D392" s="2488"/>
      <c r="E392" s="2488"/>
      <c r="F392" s="2488"/>
      <c r="G392" s="2488"/>
      <c r="H392" s="2479"/>
      <c r="J392" s="2501"/>
      <c r="K392" s="2886"/>
    </row>
    <row r="393" spans="1:11" ht="16.7" customHeight="1" x14ac:dyDescent="0.2">
      <c r="A393" s="2489"/>
      <c r="B393" s="2669" t="s">
        <v>8450</v>
      </c>
      <c r="C393" s="2488"/>
      <c r="D393" s="2488"/>
      <c r="E393" s="2488"/>
      <c r="F393" s="2488"/>
      <c r="G393" s="2488"/>
      <c r="H393" s="2479"/>
      <c r="J393" s="2501"/>
      <c r="K393" s="2886"/>
    </row>
    <row r="394" spans="1:11" ht="16.7" customHeight="1" x14ac:dyDescent="0.2">
      <c r="A394" s="2489"/>
      <c r="B394" s="2512" t="s">
        <v>9002</v>
      </c>
      <c r="C394" s="2530">
        <v>9</v>
      </c>
      <c r="D394" s="2530">
        <v>-1000</v>
      </c>
      <c r="E394" s="2530">
        <v>0</v>
      </c>
      <c r="F394" s="2530">
        <v>0</v>
      </c>
      <c r="G394" s="2887">
        <v>-0.1111</v>
      </c>
      <c r="H394" s="2479" t="str">
        <f>B394</f>
        <v xml:space="preserve">UTAH - UNBILLED REV - IRRIGATION               </v>
      </c>
      <c r="J394" s="2501"/>
      <c r="K394" s="2886"/>
    </row>
    <row r="395" spans="1:11" ht="16.7" customHeight="1" x14ac:dyDescent="0.2">
      <c r="A395" s="2489"/>
      <c r="B395" s="2512"/>
      <c r="C395" s="2488"/>
      <c r="D395" s="2488"/>
      <c r="E395" s="2488"/>
      <c r="F395" s="2488"/>
      <c r="G395" s="2488"/>
      <c r="H395" s="2479"/>
      <c r="J395" s="2501"/>
      <c r="K395" s="2886"/>
    </row>
    <row r="396" spans="1:11" ht="16.7" customHeight="1" x14ac:dyDescent="0.2">
      <c r="A396" s="2489"/>
      <c r="B396" s="2669" t="s">
        <v>8509</v>
      </c>
      <c r="C396" s="2488"/>
      <c r="D396" s="2488"/>
      <c r="E396" s="2488"/>
      <c r="F396" s="2488"/>
      <c r="G396" s="2488"/>
      <c r="H396" s="2479"/>
      <c r="J396" s="2501"/>
      <c r="K396" s="2886"/>
    </row>
    <row r="397" spans="1:11" ht="16.7" customHeight="1" x14ac:dyDescent="0.2">
      <c r="A397" s="2489"/>
      <c r="B397" s="2512" t="s">
        <v>9003</v>
      </c>
      <c r="C397" s="2530">
        <v>-99</v>
      </c>
      <c r="D397" s="2530">
        <v>-100000</v>
      </c>
      <c r="E397" s="2530">
        <v>0</v>
      </c>
      <c r="F397" s="2530">
        <v>0</v>
      </c>
      <c r="G397" s="2887">
        <v>1.0101</v>
      </c>
      <c r="H397" s="2479" t="str">
        <f>B397</f>
        <v xml:space="preserve">WASHINGTON - IRRIGATION UNBILLED                     </v>
      </c>
      <c r="J397" s="2501"/>
      <c r="K397" s="2886"/>
    </row>
    <row r="398" spans="1:11" ht="16.7" customHeight="1" x14ac:dyDescent="0.2">
      <c r="A398" s="2489"/>
      <c r="B398" s="2512"/>
      <c r="C398" s="2488"/>
      <c r="D398" s="2488"/>
      <c r="E398" s="2488"/>
      <c r="F398" s="2488"/>
      <c r="G398" s="2488"/>
      <c r="H398" s="2479"/>
      <c r="J398" s="2501"/>
      <c r="K398" s="2886"/>
    </row>
    <row r="399" spans="1:11" ht="16.7" customHeight="1" x14ac:dyDescent="0.2">
      <c r="A399" s="2489"/>
      <c r="B399" s="2669" t="s">
        <v>8534</v>
      </c>
      <c r="C399" s="2488"/>
      <c r="D399" s="2488"/>
      <c r="E399" s="2488"/>
      <c r="F399" s="2488"/>
      <c r="G399" s="2488"/>
      <c r="H399" s="2479"/>
      <c r="J399" s="2501"/>
      <c r="K399" s="2886"/>
    </row>
    <row r="400" spans="1:11" ht="16.7" customHeight="1" x14ac:dyDescent="0.2">
      <c r="A400" s="2489"/>
      <c r="B400" s="2512" t="s">
        <v>9004</v>
      </c>
      <c r="C400" s="2530">
        <v>11</v>
      </c>
      <c r="D400" s="2530">
        <v>2000</v>
      </c>
      <c r="E400" s="2530">
        <v>0</v>
      </c>
      <c r="F400" s="2530">
        <v>0</v>
      </c>
      <c r="G400" s="2887">
        <v>0.18179999999999999</v>
      </c>
      <c r="H400" s="2479" t="str">
        <f>B400</f>
        <v>WYOMING - IRRIGATION UNBILLED</v>
      </c>
      <c r="J400" s="2501"/>
      <c r="K400" s="2886"/>
    </row>
    <row r="401" spans="1:11" ht="16.7" customHeight="1" x14ac:dyDescent="0.2">
      <c r="A401" s="2489"/>
      <c r="B401" s="2512" t="s">
        <v>9005</v>
      </c>
      <c r="C401" s="2530">
        <v>-18</v>
      </c>
      <c r="D401" s="2530">
        <v>2000</v>
      </c>
      <c r="E401" s="2530">
        <v>0</v>
      </c>
      <c r="F401" s="2530">
        <v>0</v>
      </c>
      <c r="G401" s="2887">
        <v>-0.1111</v>
      </c>
      <c r="H401" s="2479" t="str">
        <f>B401</f>
        <v>WYOMING - UNBILLED REV - IRRIGATION</v>
      </c>
      <c r="J401" s="2501"/>
      <c r="K401" s="2886"/>
    </row>
    <row r="402" spans="1:11" ht="16.7" customHeight="1" x14ac:dyDescent="0.2">
      <c r="A402" s="2489"/>
      <c r="B402" s="2669"/>
      <c r="C402" s="2668"/>
      <c r="D402" s="2668"/>
      <c r="E402" s="2668"/>
      <c r="F402" s="2668"/>
      <c r="G402" s="2668"/>
      <c r="H402" s="2479"/>
      <c r="J402" s="2501"/>
      <c r="K402" s="2886"/>
    </row>
    <row r="403" spans="1:11" ht="16.7" customHeight="1" x14ac:dyDescent="0.2">
      <c r="A403" s="2497">
        <v>14</v>
      </c>
      <c r="B403" s="2669" t="s">
        <v>9006</v>
      </c>
      <c r="C403" s="2736">
        <f>SUM(C366:C401)</f>
        <v>-141518</v>
      </c>
      <c r="D403" s="2736">
        <f>SUM(D366:D401)</f>
        <v>-20201000</v>
      </c>
      <c r="E403" s="2736">
        <f>SUM(E366:E383)</f>
        <v>0</v>
      </c>
      <c r="F403" s="2736">
        <v>0</v>
      </c>
      <c r="G403" s="2889">
        <v>-2.0000000000000001E-4</v>
      </c>
      <c r="H403" s="2479"/>
      <c r="J403" s="2501" t="s">
        <v>8574</v>
      </c>
      <c r="K403" s="2886" t="str">
        <f>"+SUM('"&amp;J403&amp;"'!$F$10:$F$50)"</f>
        <v>+SUM('304.3 - Sales of Electricity by Rate Schedules'!$F$10:$F$50)</v>
      </c>
    </row>
    <row r="404" spans="1:11" ht="16.7" customHeight="1" x14ac:dyDescent="0.2">
      <c r="A404" s="2497">
        <v>15</v>
      </c>
      <c r="B404" s="2669" t="s">
        <v>9007</v>
      </c>
      <c r="C404" s="2736">
        <f>C403+C364</f>
        <v>17938466</v>
      </c>
      <c r="D404" s="2736">
        <f>D403+D364</f>
        <v>1338645686</v>
      </c>
      <c r="E404" s="2736">
        <f>E403+E364</f>
        <v>32888</v>
      </c>
      <c r="F404" s="2736">
        <f>F403+F364</f>
        <v>1921006</v>
      </c>
      <c r="G404" s="2892">
        <f>G403+G364</f>
        <v>0.1799</v>
      </c>
      <c r="H404" s="2479"/>
      <c r="J404" s="2501" t="s">
        <v>8576</v>
      </c>
      <c r="K404" s="2886" t="str">
        <f>"+SUM('"&amp;J404&amp;"'!$F$10:$F$50)"</f>
        <v>+SUM('304.4 - Sales of Electricity by Rate Schedules'!$F$10:$F$50)</v>
      </c>
    </row>
    <row r="405" spans="1:11" ht="16.7" customHeight="1" x14ac:dyDescent="0.2">
      <c r="A405" s="2489"/>
      <c r="B405" s="2512"/>
      <c r="C405" s="2512"/>
      <c r="D405" s="2512"/>
      <c r="E405" s="2512"/>
      <c r="F405" s="2512"/>
      <c r="G405" s="2512"/>
      <c r="H405" s="2479"/>
    </row>
    <row r="406" spans="1:11" ht="16.7" customHeight="1" x14ac:dyDescent="0.2">
      <c r="A406" s="2489"/>
      <c r="B406" s="4044" t="s">
        <v>9008</v>
      </c>
      <c r="C406" s="4045"/>
      <c r="D406" s="4045"/>
      <c r="E406" s="4045"/>
      <c r="F406" s="4045"/>
      <c r="G406" s="4046"/>
      <c r="H406" s="2479"/>
    </row>
    <row r="407" spans="1:11" ht="16.7" customHeight="1" x14ac:dyDescent="0.2">
      <c r="A407" s="2489"/>
      <c r="B407" s="2512"/>
      <c r="C407" s="2488"/>
      <c r="D407" s="2488"/>
      <c r="E407" s="2488"/>
      <c r="F407" s="2488"/>
      <c r="G407" s="2488"/>
      <c r="H407" s="2479"/>
    </row>
    <row r="408" spans="1:11" ht="16.7" customHeight="1" x14ac:dyDescent="0.2">
      <c r="A408" s="2489"/>
      <c r="B408" s="2669" t="s">
        <v>9009</v>
      </c>
      <c r="C408" s="2913">
        <f>'Pg 304 - Sales of Electricity -'!C291+C364</f>
        <v>38488192</v>
      </c>
      <c r="D408" s="2913">
        <f>'Pg 304 - Sales of Electricity -'!D291+D364</f>
        <v>3216207181</v>
      </c>
      <c r="E408" s="2913">
        <f>'Pg 304 - Sales of Electricity -'!E291+E364</f>
        <v>259788</v>
      </c>
      <c r="F408" s="2913">
        <f>'Pg 304 - Sales of Electricity -'!F291+F364</f>
        <v>2011317</v>
      </c>
      <c r="G408" s="2914">
        <f>'Pg 304 - Sales of Electricity -'!G291+G364</f>
        <v>0.2707</v>
      </c>
      <c r="H408" s="2479"/>
    </row>
    <row r="409" spans="1:11" ht="16.7" customHeight="1" x14ac:dyDescent="0.2">
      <c r="A409" s="2489"/>
      <c r="B409" s="2669" t="s">
        <v>9010</v>
      </c>
      <c r="C409" s="2913">
        <f>'Pg 304 - Sales of Electricity -'!C311+C403</f>
        <v>-58246</v>
      </c>
      <c r="D409" s="2913">
        <f>'Pg 304 - Sales of Electricity -'!D311+D403</f>
        <v>-6676000</v>
      </c>
      <c r="E409" s="2913">
        <f>'Pg 304 - Sales of Electricity -'!E311+E403</f>
        <v>0</v>
      </c>
      <c r="F409" s="2913">
        <f>'Pg 304 - Sales of Electricity -'!F311+F403</f>
        <v>0</v>
      </c>
      <c r="G409" s="2914">
        <f>'Pg 304 - Sales of Electricity -'!G311+G403</f>
        <v>5.0000000000000001E-4</v>
      </c>
      <c r="H409" s="2479"/>
    </row>
    <row r="410" spans="1:11" ht="16.7" customHeight="1" x14ac:dyDescent="0.2">
      <c r="A410" s="2489"/>
      <c r="B410" s="2669" t="s">
        <v>9011</v>
      </c>
      <c r="C410" s="2913">
        <f>'Pg 304 - Sales of Electricity -'!C312+C404</f>
        <v>38429946</v>
      </c>
      <c r="D410" s="2913">
        <f>'Pg 304 - Sales of Electricity -'!D312+D404</f>
        <v>3209531181</v>
      </c>
      <c r="E410" s="2913">
        <f>'Pg 304 - Sales of Electricity -'!E312+E404</f>
        <v>259788</v>
      </c>
      <c r="F410" s="2913">
        <f>'Pg 304 - Sales of Electricity -'!F312+F404</f>
        <v>2011317</v>
      </c>
      <c r="G410" s="2914">
        <f>'Pg 304 - Sales of Electricity -'!G312+G404</f>
        <v>0.2712</v>
      </c>
      <c r="H410" s="2479"/>
    </row>
    <row r="411" spans="1:11" ht="16.7" customHeight="1" x14ac:dyDescent="0.2">
      <c r="A411" s="2489"/>
      <c r="B411" s="2512"/>
      <c r="C411" s="2488"/>
      <c r="D411" s="2488"/>
      <c r="E411" s="2488"/>
      <c r="F411" s="2488"/>
      <c r="G411" s="2488"/>
      <c r="H411" s="2479"/>
    </row>
    <row r="412" spans="1:11" ht="16.7" customHeight="1" x14ac:dyDescent="0.2">
      <c r="A412" s="2489"/>
      <c r="B412" s="4044" t="s">
        <v>8577</v>
      </c>
      <c r="C412" s="4045"/>
      <c r="D412" s="4045"/>
      <c r="E412" s="4045"/>
      <c r="F412" s="4045"/>
      <c r="G412" s="4046"/>
      <c r="H412" s="2479"/>
    </row>
    <row r="413" spans="1:11" ht="16.7" customHeight="1" x14ac:dyDescent="0.2">
      <c r="A413" s="2497">
        <v>46</v>
      </c>
      <c r="B413" s="2669" t="s">
        <v>8578</v>
      </c>
      <c r="C413" s="2672">
        <v>56914738</v>
      </c>
      <c r="D413" s="2672">
        <v>5460376851</v>
      </c>
      <c r="E413" s="2672">
        <v>2069044</v>
      </c>
      <c r="F413" s="2668"/>
      <c r="G413" s="2668"/>
      <c r="H413" s="2479"/>
    </row>
    <row r="414" spans="1:11" ht="16.7" customHeight="1" x14ac:dyDescent="0.2">
      <c r="A414" s="2497">
        <v>47</v>
      </c>
      <c r="B414" s="2669" t="s">
        <v>8579</v>
      </c>
      <c r="C414" s="2672">
        <v>-218410</v>
      </c>
      <c r="D414" s="2672">
        <v>-5522000</v>
      </c>
      <c r="E414" s="2672">
        <v>0</v>
      </c>
      <c r="F414" s="2668"/>
      <c r="G414" s="2668"/>
      <c r="H414" s="2479"/>
    </row>
    <row r="415" spans="1:11" ht="16.7" customHeight="1" x14ac:dyDescent="0.2">
      <c r="A415" s="2497">
        <v>48</v>
      </c>
      <c r="B415" s="2669" t="s">
        <v>197</v>
      </c>
      <c r="C415" s="2736">
        <v>56696328</v>
      </c>
      <c r="D415" s="2736">
        <v>5454854851</v>
      </c>
      <c r="E415" s="2736">
        <v>2069044</v>
      </c>
      <c r="F415" s="2736">
        <v>28098</v>
      </c>
      <c r="G415" s="2892">
        <v>9.0700000000000003E-2</v>
      </c>
      <c r="H415" s="2479"/>
    </row>
    <row r="416" spans="1:11" ht="16.7" customHeight="1" x14ac:dyDescent="0.2">
      <c r="A416" s="2535"/>
      <c r="B416" s="2516"/>
      <c r="C416" s="2516"/>
      <c r="D416" s="2516"/>
      <c r="E416" s="2516"/>
      <c r="F416" s="2516"/>
      <c r="G416" s="2516"/>
    </row>
    <row r="417" spans="2:4" ht="16.7" customHeight="1" x14ac:dyDescent="0.2"/>
    <row r="418" spans="2:4" ht="16.7" customHeight="1" x14ac:dyDescent="0.2">
      <c r="B418" s="3206" t="s">
        <v>5459</v>
      </c>
      <c r="C418" s="4040" t="s">
        <v>11939</v>
      </c>
      <c r="D418" s="4041"/>
    </row>
    <row r="419" spans="2:4" ht="16.7" customHeight="1" x14ac:dyDescent="0.25">
      <c r="B419" s="3207" t="s">
        <v>11929</v>
      </c>
      <c r="C419" s="3208" t="s">
        <v>11930</v>
      </c>
      <c r="D419" s="3209" t="s">
        <v>11931</v>
      </c>
    </row>
    <row r="420" spans="2:4" ht="16.7" customHeight="1" x14ac:dyDescent="0.2">
      <c r="B420" s="3207" t="s">
        <v>8565</v>
      </c>
      <c r="C420" s="3210">
        <f>SUMIF($B$8:$B$415,"CALIFORNIA*",C$8:C$415)</f>
        <v>136979</v>
      </c>
      <c r="D420" s="3211">
        <f>SUMIF($B$8:$B$415,"CALIFORNIA*",D$8:D$415)</f>
        <v>18510015.259999998</v>
      </c>
    </row>
    <row r="421" spans="2:4" ht="16.7" customHeight="1" x14ac:dyDescent="0.2">
      <c r="B421" s="3207" t="s">
        <v>8389</v>
      </c>
      <c r="C421" s="3210">
        <f>SUMIF($B$8:$B$415,"IDAHO*",C$8:C$415)</f>
        <v>2121742</v>
      </c>
      <c r="D421" s="3211">
        <f>SUMIF($B$8:$B$415,"IDAHO*",D$8:D$415)</f>
        <v>163019505</v>
      </c>
    </row>
    <row r="422" spans="2:4" ht="16.7" customHeight="1" x14ac:dyDescent="0.2">
      <c r="B422" s="3207" t="s">
        <v>8407</v>
      </c>
      <c r="C422" s="3210">
        <f>SUMIF($B$8:$B$415,"OREGON*",C$8:C$415)</f>
        <v>1699264</v>
      </c>
      <c r="D422" s="3211">
        <f>SUMIF($B$8:$B$415,"OREGON*",D$8:D$415)</f>
        <v>157625890</v>
      </c>
    </row>
    <row r="423" spans="2:4" ht="16.7" customHeight="1" x14ac:dyDescent="0.2">
      <c r="B423" s="3207" t="s">
        <v>8450</v>
      </c>
      <c r="C423" s="3210">
        <f>SUMIF($B$8:$B$415,"UTAH*",C$8:C$415)</f>
        <v>7188242</v>
      </c>
      <c r="D423" s="3211">
        <f>SUMIF($B$8:$B$415,"UTAH*",D$8:D$415)</f>
        <v>531677548.27999997</v>
      </c>
    </row>
    <row r="424" spans="2:4" ht="16.7" customHeight="1" x14ac:dyDescent="0.2">
      <c r="B424" s="3207" t="s">
        <v>8509</v>
      </c>
      <c r="C424" s="3210">
        <f>SUMIF($B$8:$B$415,"WASHINGTON*",C$8:C$415)</f>
        <v>721547</v>
      </c>
      <c r="D424" s="3211">
        <f>SUMIF($B$8:$B$415,"WASHINGTON*",D$8:D$415)</f>
        <v>70127318.460000008</v>
      </c>
    </row>
    <row r="425" spans="2:4" ht="16.7" customHeight="1" x14ac:dyDescent="0.2">
      <c r="B425" s="3207" t="s">
        <v>8534</v>
      </c>
      <c r="C425" s="3212">
        <f>SUMIF($B$8:$B$415,"WYOMING*",C$8:C$415)</f>
        <v>6070692</v>
      </c>
      <c r="D425" s="3213">
        <f>SUMIF($B$8:$B$415,"WYOMING*",D$8:D$415)</f>
        <v>397685409</v>
      </c>
    </row>
    <row r="426" spans="2:4" ht="16.7" customHeight="1" x14ac:dyDescent="0.2">
      <c r="B426" s="3207" t="s">
        <v>11934</v>
      </c>
      <c r="C426" s="3210">
        <f>SUM(C420:C425)</f>
        <v>17938466</v>
      </c>
      <c r="D426" s="3211">
        <f>SUM(D420:D425)</f>
        <v>1338645686</v>
      </c>
    </row>
    <row r="427" spans="2:4" ht="16.7" customHeight="1" x14ac:dyDescent="0.2">
      <c r="B427" s="3214" t="s">
        <v>11925</v>
      </c>
      <c r="C427" s="3215">
        <f>C426-C404</f>
        <v>0</v>
      </c>
      <c r="D427" s="3216">
        <f>D426-D404</f>
        <v>0</v>
      </c>
    </row>
    <row r="428" spans="2:4" ht="16.7" customHeight="1" x14ac:dyDescent="0.2">
      <c r="B428" s="3217" t="s">
        <v>5459</v>
      </c>
      <c r="C428" s="3217" t="s">
        <v>5459</v>
      </c>
      <c r="D428" s="3218" t="s">
        <v>5459</v>
      </c>
    </row>
    <row r="429" spans="2:4" ht="16.7" customHeight="1" x14ac:dyDescent="0.2">
      <c r="B429" s="3214" t="s">
        <v>5459</v>
      </c>
      <c r="C429" s="3207" t="s">
        <v>11928</v>
      </c>
      <c r="D429" s="3219" t="s">
        <v>5459</v>
      </c>
    </row>
    <row r="430" spans="2:4" ht="16.7" customHeight="1" x14ac:dyDescent="0.25">
      <c r="B430" s="3207" t="s">
        <v>11929</v>
      </c>
      <c r="C430" s="3208" t="s">
        <v>11930</v>
      </c>
      <c r="D430" s="3209" t="s">
        <v>11931</v>
      </c>
    </row>
    <row r="431" spans="2:4" ht="16.7" customHeight="1" x14ac:dyDescent="0.2">
      <c r="B431" s="3207" t="s">
        <v>8407</v>
      </c>
      <c r="C431" s="3210">
        <f>C422</f>
        <v>1699264</v>
      </c>
      <c r="D431" s="3211">
        <f>D422</f>
        <v>157625890</v>
      </c>
    </row>
    <row r="432" spans="2:4" ht="16.7" customHeight="1" x14ac:dyDescent="0.2">
      <c r="B432" s="3207" t="s">
        <v>8509</v>
      </c>
      <c r="C432" s="3210">
        <f>C424</f>
        <v>721547</v>
      </c>
      <c r="D432" s="3211">
        <f>D424</f>
        <v>70127318.460000008</v>
      </c>
    </row>
    <row r="433" spans="2:4" ht="16.7" customHeight="1" x14ac:dyDescent="0.2">
      <c r="B433" s="3207" t="s">
        <v>8389</v>
      </c>
      <c r="C433" s="3212">
        <f>C421</f>
        <v>2121742</v>
      </c>
      <c r="D433" s="3213">
        <f>D421</f>
        <v>163019505</v>
      </c>
    </row>
    <row r="434" spans="2:4" ht="16.7" customHeight="1" x14ac:dyDescent="0.2">
      <c r="B434" s="3207" t="s">
        <v>11936</v>
      </c>
      <c r="C434" s="3210">
        <f>SUM(C431:C433)</f>
        <v>4542553</v>
      </c>
      <c r="D434" s="3211">
        <f>SUM(D431:D433)</f>
        <v>390772713.46000004</v>
      </c>
    </row>
    <row r="435" spans="2:4" ht="16.7" customHeight="1" x14ac:dyDescent="0.2">
      <c r="B435" s="3217" t="s">
        <v>5459</v>
      </c>
      <c r="C435" s="3217" t="s">
        <v>5459</v>
      </c>
      <c r="D435" s="3218" t="s">
        <v>5459</v>
      </c>
    </row>
    <row r="436" spans="2:4" ht="16.7" customHeight="1" x14ac:dyDescent="0.2"/>
    <row r="437" spans="2:4" ht="16.7" customHeight="1" x14ac:dyDescent="0.2"/>
    <row r="438" spans="2:4" ht="16.7" customHeight="1" x14ac:dyDescent="0.2"/>
    <row r="439" spans="2:4" ht="16.7" customHeight="1" x14ac:dyDescent="0.2"/>
    <row r="440" spans="2:4" ht="16.7" customHeight="1" x14ac:dyDescent="0.2"/>
    <row r="441" spans="2:4" ht="16.7" customHeight="1" x14ac:dyDescent="0.2"/>
    <row r="442" spans="2:4" ht="16.7" customHeight="1" x14ac:dyDescent="0.2"/>
    <row r="443" spans="2:4" ht="16.7" customHeight="1" x14ac:dyDescent="0.2"/>
    <row r="444" spans="2:4" ht="16.7" customHeight="1" x14ac:dyDescent="0.2"/>
    <row r="445" spans="2:4" ht="16.7" customHeight="1" x14ac:dyDescent="0.2"/>
    <row r="446" spans="2:4" ht="16.7" customHeight="1" x14ac:dyDescent="0.2"/>
    <row r="447" spans="2:4" ht="16.7" customHeight="1" x14ac:dyDescent="0.2"/>
    <row r="448" spans="2:4" ht="16.7" customHeight="1" x14ac:dyDescent="0.2"/>
    <row r="449" ht="16.7" customHeight="1" x14ac:dyDescent="0.2"/>
    <row r="450" ht="16.7" customHeight="1" x14ac:dyDescent="0.2"/>
    <row r="451" ht="16.7" customHeight="1" x14ac:dyDescent="0.2"/>
    <row r="452" ht="16.7" customHeight="1" x14ac:dyDescent="0.2"/>
    <row r="453" ht="16.7" customHeight="1" x14ac:dyDescent="0.2"/>
    <row r="454" ht="15" customHeight="1" x14ac:dyDescent="0.2"/>
    <row r="455" ht="15" customHeight="1" x14ac:dyDescent="0.2"/>
  </sheetData>
  <mergeCells count="8">
    <mergeCell ref="C418:D418"/>
    <mergeCell ref="B412:G412"/>
    <mergeCell ref="A3:G3"/>
    <mergeCell ref="A4:G4"/>
    <mergeCell ref="A5:A6"/>
    <mergeCell ref="B7:G7"/>
    <mergeCell ref="B191:G191"/>
    <mergeCell ref="B406:G406"/>
  </mergeCells>
  <pageMargins left="0.75" right="0.75" top="1" bottom="1" header="0.5" footer="0.5"/>
  <customProperties>
    <customPr name="_pios_id" r:id="rId1"/>
  </customProperties>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3E1E1-6B3C-4A9E-90E0-C3F679C23325}">
  <sheetPr codeName="Sheet74"/>
  <dimension ref="A1:M152"/>
  <sheetViews>
    <sheetView workbookViewId="0">
      <pane ySplit="7" topLeftCell="A112" activePane="bottomLeft" state="frozen"/>
      <selection activeCell="H241" sqref="H241"/>
      <selection pane="bottomLeft" activeCell="H241" sqref="H241"/>
    </sheetView>
  </sheetViews>
  <sheetFormatPr defaultColWidth="11.5" defaultRowHeight="12.75" x14ac:dyDescent="0.2"/>
  <cols>
    <col min="1" max="1" width="7" style="1953" customWidth="1"/>
    <col min="2" max="2" width="49.375" style="1953" customWidth="1"/>
    <col min="3" max="3" width="12.625" style="1953" customWidth="1"/>
    <col min="4" max="5" width="12.375" style="1953" customWidth="1"/>
    <col min="6" max="6" width="14.125" style="1953" customWidth="1"/>
    <col min="7" max="7" width="12.625" style="1953" customWidth="1"/>
    <col min="8" max="8" width="36.625" style="1953" customWidth="1"/>
    <col min="9" max="9" width="17.625" style="1953" hidden="1" customWidth="1"/>
    <col min="10" max="10" width="38.375" style="1953" hidden="1" customWidth="1"/>
    <col min="11" max="11" width="57" style="1953" hidden="1" customWidth="1"/>
    <col min="12" max="12" width="17.625" style="1953" hidden="1" customWidth="1"/>
    <col min="13" max="13" width="50.125" style="1953" hidden="1" customWidth="1"/>
    <col min="14" max="26" width="17.625" style="1953" customWidth="1"/>
    <col min="27" max="16384" width="11.5" style="1953"/>
  </cols>
  <sheetData>
    <row r="1" spans="1:13" ht="16.7" customHeight="1" x14ac:dyDescent="0.2"/>
    <row r="2" spans="1:13" ht="16.7" customHeight="1" x14ac:dyDescent="0.2">
      <c r="F2" s="2884" t="s">
        <v>8351</v>
      </c>
    </row>
    <row r="3" spans="1:13" ht="16.7" customHeight="1" x14ac:dyDescent="0.2">
      <c r="A3" s="3882" t="s">
        <v>8352</v>
      </c>
      <c r="B3" s="3891"/>
      <c r="C3" s="3891"/>
      <c r="D3" s="3891"/>
      <c r="E3" s="3891"/>
      <c r="F3" s="3891"/>
      <c r="G3" s="3892"/>
      <c r="H3" s="2479"/>
    </row>
    <row r="4" spans="1:13" ht="85.7" customHeight="1" x14ac:dyDescent="0.2">
      <c r="A4" s="3878" t="s">
        <v>8353</v>
      </c>
      <c r="B4" s="3879"/>
      <c r="C4" s="3879"/>
      <c r="D4" s="3879"/>
      <c r="E4" s="3879"/>
      <c r="F4" s="3879"/>
      <c r="G4" s="3880"/>
      <c r="H4" s="2479"/>
    </row>
    <row r="5" spans="1:13" ht="23.25" customHeight="1" x14ac:dyDescent="0.2">
      <c r="A5" s="3898" t="s">
        <v>6360</v>
      </c>
      <c r="B5" s="2637" t="s">
        <v>8354</v>
      </c>
      <c r="C5" s="2637" t="s">
        <v>8355</v>
      </c>
      <c r="D5" s="2637" t="s">
        <v>8356</v>
      </c>
      <c r="E5" s="2581" t="s">
        <v>8357</v>
      </c>
      <c r="F5" s="2581" t="s">
        <v>8358</v>
      </c>
      <c r="G5" s="2581" t="s">
        <v>8359</v>
      </c>
      <c r="H5" s="2479"/>
    </row>
    <row r="6" spans="1:13" ht="16.7" customHeight="1" x14ac:dyDescent="0.2">
      <c r="A6" s="3923"/>
      <c r="B6" s="2589" t="s">
        <v>5949</v>
      </c>
      <c r="C6" s="2589" t="s">
        <v>5950</v>
      </c>
      <c r="D6" s="2589" t="s">
        <v>5951</v>
      </c>
      <c r="E6" s="2589" t="s">
        <v>5952</v>
      </c>
      <c r="F6" s="2589" t="s">
        <v>6227</v>
      </c>
      <c r="G6" s="2589" t="s">
        <v>5804</v>
      </c>
      <c r="H6" s="2479" t="s">
        <v>6324</v>
      </c>
      <c r="K6" s="2885" t="s">
        <v>8360</v>
      </c>
    </row>
    <row r="7" spans="1:13" ht="16.7" customHeight="1" x14ac:dyDescent="0.2">
      <c r="A7" s="2489"/>
      <c r="B7" s="4044" t="s">
        <v>9012</v>
      </c>
      <c r="C7" s="4045"/>
      <c r="D7" s="4045"/>
      <c r="E7" s="4045"/>
      <c r="F7" s="4045"/>
      <c r="G7" s="4046"/>
      <c r="H7" s="2479"/>
    </row>
    <row r="8" spans="1:13" ht="16.7" customHeight="1" x14ac:dyDescent="0.2">
      <c r="A8" s="2489"/>
      <c r="B8" s="2669" t="s">
        <v>8362</v>
      </c>
      <c r="C8" s="2488"/>
      <c r="D8" s="2488"/>
      <c r="E8" s="2488"/>
      <c r="F8" s="2488"/>
      <c r="G8" s="2488"/>
      <c r="H8" s="2479" t="str">
        <f t="shared" ref="H8:H67" si="0">B8</f>
        <v xml:space="preserve">CALIFORNIA </v>
      </c>
      <c r="I8" s="2576" t="s">
        <v>8363</v>
      </c>
      <c r="J8" s="2501" t="s">
        <v>8364</v>
      </c>
      <c r="K8" s="2886" t="str">
        <f>"=SUM('"&amp;J8&amp;"'!$F$10:$F$50)"</f>
        <v>=SUM('304 - Sales of Electricity by Rate Schedules'!$F$10:$F$50)</v>
      </c>
      <c r="M8" s="2886" t="e">
        <f>CONCATENATE(K8,K9,K86,K106,K107,#REF!,#REF!,#REF!,#REF!,#REF!,#REF!,#REF!,#REF!,#REF!,#REF!,#REF!,#REF!,#REF!,#REF!,#REF!,#REF!,#REF!,#REF!,#REF!,#REF!,#REF!,#REF!,#REF!,#REF!,#REF!)</f>
        <v>#REF!</v>
      </c>
    </row>
    <row r="9" spans="1:13" ht="16.7" customHeight="1" x14ac:dyDescent="0.2">
      <c r="A9" s="2749">
        <v>21</v>
      </c>
      <c r="B9" s="2488" t="s">
        <v>9013</v>
      </c>
      <c r="C9" s="2530">
        <v>1014</v>
      </c>
      <c r="D9" s="2530">
        <v>170871</v>
      </c>
      <c r="E9" s="2530">
        <v>110</v>
      </c>
      <c r="F9" s="2530">
        <v>9218</v>
      </c>
      <c r="G9" s="2887">
        <v>0.16850000000000001</v>
      </c>
      <c r="H9" s="2479" t="str">
        <f t="shared" si="0"/>
        <v xml:space="preserve">CALIFORNIA - 06CUSL053E-SPECIAL CUST O               </v>
      </c>
      <c r="J9" s="2501" t="s">
        <v>8366</v>
      </c>
      <c r="K9" s="2886" t="str">
        <f>"+SUM('"&amp;J9&amp;"'!$F$10:$F$50)"</f>
        <v>+SUM('304.1 - Sales of Electricity by Rate Schedules'!$F$10:$F$50)</v>
      </c>
    </row>
    <row r="10" spans="1:13" ht="16.7" customHeight="1" x14ac:dyDescent="0.2">
      <c r="A10" s="2749">
        <f t="shared" ref="A10:A17" si="1">A9+0.001</f>
        <v>21.001000000000001</v>
      </c>
      <c r="B10" s="2488" t="s">
        <v>9014</v>
      </c>
      <c r="C10" s="2530">
        <v>40</v>
      </c>
      <c r="D10" s="2530">
        <v>8068</v>
      </c>
      <c r="E10" s="2530">
        <v>19</v>
      </c>
      <c r="F10" s="2530">
        <v>2105</v>
      </c>
      <c r="G10" s="2887">
        <v>0.20169999999999999</v>
      </c>
      <c r="H10" s="2479" t="str">
        <f t="shared" si="0"/>
        <v xml:space="preserve">CALIFORNIA - 06CUSL058F-CUST OWND STR                </v>
      </c>
      <c r="J10" s="2501"/>
      <c r="K10" s="2886"/>
    </row>
    <row r="11" spans="1:13" ht="16.7" customHeight="1" x14ac:dyDescent="0.2">
      <c r="A11" s="2749">
        <f t="shared" si="1"/>
        <v>21.002000000000002</v>
      </c>
      <c r="B11" s="2488" t="s">
        <v>9015</v>
      </c>
      <c r="C11" s="2530">
        <v>700</v>
      </c>
      <c r="D11" s="2530">
        <v>237332</v>
      </c>
      <c r="E11" s="2530">
        <v>86</v>
      </c>
      <c r="F11" s="2530">
        <v>8140</v>
      </c>
      <c r="G11" s="2887">
        <v>0.33900000000000002</v>
      </c>
      <c r="H11" s="2479" t="str">
        <f t="shared" si="0"/>
        <v>CALIFORNIA - 06SLCO0051-COMPANY OWNED STREET LIGHTING</v>
      </c>
      <c r="J11" s="2501"/>
      <c r="K11" s="2886"/>
    </row>
    <row r="12" spans="1:13" ht="16.7" customHeight="1" x14ac:dyDescent="0.2">
      <c r="A12" s="2749">
        <f t="shared" si="1"/>
        <v>21.003000000000004</v>
      </c>
      <c r="B12" s="2488" t="s">
        <v>9016</v>
      </c>
      <c r="C12" s="2530">
        <v>0</v>
      </c>
      <c r="D12" s="2530">
        <v>3518</v>
      </c>
      <c r="E12" s="2530">
        <v>0</v>
      </c>
      <c r="F12" s="2530">
        <v>0</v>
      </c>
      <c r="G12" s="2887">
        <v>0</v>
      </c>
      <c r="H12" s="2479" t="str">
        <f t="shared" si="0"/>
        <v>CALIFORNIA - DSM REVENUE-PSHL</v>
      </c>
      <c r="J12" s="2501"/>
      <c r="K12" s="2886"/>
    </row>
    <row r="13" spans="1:13" ht="16.7" customHeight="1" x14ac:dyDescent="0.2">
      <c r="A13" s="2749">
        <f t="shared" si="1"/>
        <v>21.004000000000005</v>
      </c>
      <c r="B13" s="2488" t="s">
        <v>8388</v>
      </c>
      <c r="C13" s="2530">
        <v>0</v>
      </c>
      <c r="D13" s="2530">
        <v>23</v>
      </c>
      <c r="E13" s="2530">
        <v>0</v>
      </c>
      <c r="F13" s="2530">
        <v>0</v>
      </c>
      <c r="G13" s="2887">
        <v>0</v>
      </c>
      <c r="H13" s="2479" t="str">
        <f t="shared" si="0"/>
        <v>CALIFORNIA - OTHER CUSTOMER RETAIL REVENUE</v>
      </c>
      <c r="J13" s="2501"/>
      <c r="K13" s="2886"/>
    </row>
    <row r="14" spans="1:13" ht="16.7" customHeight="1" x14ac:dyDescent="0.2">
      <c r="A14" s="2749">
        <f t="shared" si="1"/>
        <v>21.005000000000006</v>
      </c>
      <c r="B14" s="2488" t="s">
        <v>8382</v>
      </c>
      <c r="C14" s="2530">
        <v>0</v>
      </c>
      <c r="D14" s="2530">
        <v>715</v>
      </c>
      <c r="E14" s="2530">
        <v>0</v>
      </c>
      <c r="F14" s="2530">
        <v>0</v>
      </c>
      <c r="G14" s="2887">
        <v>0</v>
      </c>
      <c r="H14" s="2479" t="str">
        <f t="shared" si="0"/>
        <v>CALIFORNIA - INCOME TAX DEFERRAL ADJUSTMENTS</v>
      </c>
      <c r="J14" s="2501"/>
      <c r="K14" s="2886"/>
    </row>
    <row r="15" spans="1:13" ht="16.7" customHeight="1" x14ac:dyDescent="0.2">
      <c r="A15" s="2749">
        <f t="shared" si="1"/>
        <v>21.006000000000007</v>
      </c>
      <c r="B15" s="2488" t="s">
        <v>8383</v>
      </c>
      <c r="C15" s="2530">
        <v>0</v>
      </c>
      <c r="D15" s="2530">
        <v>-5458</v>
      </c>
      <c r="E15" s="2530">
        <v>0</v>
      </c>
      <c r="F15" s="2530">
        <v>0</v>
      </c>
      <c r="G15" s="2887">
        <v>0</v>
      </c>
      <c r="H15" s="2479" t="str">
        <f t="shared" si="0"/>
        <v>CALIFORNIA - REVENUE_ACCOUNTING ADJUSTMENTS</v>
      </c>
      <c r="J15" s="2501"/>
      <c r="K15" s="2886"/>
    </row>
    <row r="16" spans="1:13" ht="16.7" customHeight="1" x14ac:dyDescent="0.2">
      <c r="A16" s="2749">
        <f t="shared" si="1"/>
        <v>21.007000000000009</v>
      </c>
      <c r="B16" s="2488" t="s">
        <v>8384</v>
      </c>
      <c r="C16" s="2530">
        <v>0</v>
      </c>
      <c r="D16" s="2530">
        <v>470</v>
      </c>
      <c r="E16" s="2530">
        <v>0</v>
      </c>
      <c r="F16" s="2530">
        <v>0</v>
      </c>
      <c r="G16" s="2887">
        <v>0</v>
      </c>
      <c r="H16" s="2479" t="str">
        <f t="shared" si="0"/>
        <v>CALIFORNIA - REVENUE ADJUSTMENT - DEFERRED NPC</v>
      </c>
      <c r="J16" s="2501"/>
      <c r="K16" s="2886"/>
    </row>
    <row r="17" spans="1:11" ht="16.7" customHeight="1" x14ac:dyDescent="0.2">
      <c r="A17" s="2749">
        <f t="shared" si="1"/>
        <v>21.00800000000001</v>
      </c>
      <c r="B17" s="2488"/>
      <c r="C17" s="2488"/>
      <c r="D17" s="2488"/>
      <c r="E17" s="2488"/>
      <c r="F17" s="2488"/>
      <c r="G17" s="2488"/>
      <c r="H17" s="2595">
        <f t="shared" si="0"/>
        <v>0</v>
      </c>
      <c r="J17" s="2501"/>
      <c r="K17" s="2886"/>
    </row>
    <row r="18" spans="1:11" ht="16.7" customHeight="1" x14ac:dyDescent="0.2">
      <c r="A18" s="2489"/>
      <c r="B18" s="2668" t="s">
        <v>8389</v>
      </c>
      <c r="C18" s="2488"/>
      <c r="D18" s="2488"/>
      <c r="E18" s="2488"/>
      <c r="F18" s="2488"/>
      <c r="G18" s="2488"/>
      <c r="H18" s="2479" t="str">
        <f t="shared" si="0"/>
        <v>IDAHO</v>
      </c>
      <c r="J18" s="2501"/>
      <c r="K18" s="2886"/>
    </row>
    <row r="19" spans="1:11" ht="16.7" customHeight="1" x14ac:dyDescent="0.2">
      <c r="A19" s="2749">
        <f>A17+0.001</f>
        <v>21.009000000000011</v>
      </c>
      <c r="B19" s="2488" t="s">
        <v>8846</v>
      </c>
      <c r="C19" s="2888">
        <f>147+1</f>
        <v>148</v>
      </c>
      <c r="D19" s="2530">
        <v>18678</v>
      </c>
      <c r="E19" s="2530">
        <v>24</v>
      </c>
      <c r="F19" s="2530">
        <v>6125</v>
      </c>
      <c r="G19" s="2887">
        <v>0.12709999999999999</v>
      </c>
      <c r="H19" s="2479" t="str">
        <f t="shared" si="0"/>
        <v>IDAHO - 07GNSV023S-IDAHO TRAFFIC SIGNALS</v>
      </c>
      <c r="J19" s="2501"/>
      <c r="K19" s="2886"/>
    </row>
    <row r="20" spans="1:11" ht="16.7" customHeight="1" x14ac:dyDescent="0.2">
      <c r="A20" s="2749">
        <f t="shared" ref="A20:A26" si="2">A19+0.001</f>
        <v>21.010000000000012</v>
      </c>
      <c r="B20" s="2488" t="s">
        <v>9017</v>
      </c>
      <c r="C20" s="2530">
        <v>183</v>
      </c>
      <c r="D20" s="2530">
        <v>75267</v>
      </c>
      <c r="E20" s="2530">
        <v>61</v>
      </c>
      <c r="F20" s="2530">
        <v>3000</v>
      </c>
      <c r="G20" s="2887">
        <v>0.4113</v>
      </c>
      <c r="H20" s="2479" t="str">
        <f t="shared" si="0"/>
        <v xml:space="preserve">IDAHO - 07SLCO0011-STR LGT CO-OWN               </v>
      </c>
      <c r="J20" s="2501"/>
      <c r="K20" s="2886"/>
    </row>
    <row r="21" spans="1:11" ht="16.7" customHeight="1" x14ac:dyDescent="0.2">
      <c r="A21" s="2749">
        <f t="shared" si="2"/>
        <v>21.011000000000013</v>
      </c>
      <c r="B21" s="2488" t="s">
        <v>9018</v>
      </c>
      <c r="C21" s="2530">
        <v>486</v>
      </c>
      <c r="D21" s="2530">
        <v>48354</v>
      </c>
      <c r="E21" s="2530">
        <v>64</v>
      </c>
      <c r="F21" s="2530">
        <v>7594</v>
      </c>
      <c r="G21" s="2887">
        <v>9.9500000000000005E-2</v>
      </c>
      <c r="H21" s="2479" t="str">
        <f t="shared" si="0"/>
        <v>IDAHO - 07SLCU012E-ENGY STR LGT-CUST OWN</v>
      </c>
      <c r="J21" s="2501"/>
      <c r="K21" s="2886"/>
    </row>
    <row r="22" spans="1:11" ht="16.7" customHeight="1" x14ac:dyDescent="0.2">
      <c r="A22" s="2749">
        <f t="shared" si="2"/>
        <v>21.012000000000015</v>
      </c>
      <c r="B22" s="2488" t="s">
        <v>9019</v>
      </c>
      <c r="C22" s="2530">
        <v>1695</v>
      </c>
      <c r="D22" s="2530">
        <v>303161</v>
      </c>
      <c r="E22" s="2530">
        <v>187</v>
      </c>
      <c r="F22" s="2530">
        <v>9064</v>
      </c>
      <c r="G22" s="2887">
        <v>0.1789</v>
      </c>
      <c r="H22" s="2479" t="str">
        <f t="shared" si="0"/>
        <v>IDAHO - 07SLCU012F-FULL MNT STR LGT-CUST OWN</v>
      </c>
      <c r="J22" s="2501"/>
      <c r="K22" s="2886"/>
    </row>
    <row r="23" spans="1:11" ht="16.7" customHeight="1" x14ac:dyDescent="0.2">
      <c r="A23" s="2749">
        <f t="shared" si="2"/>
        <v>21.013000000000016</v>
      </c>
      <c r="B23" s="2488" t="s">
        <v>9020</v>
      </c>
      <c r="C23" s="2530">
        <v>186</v>
      </c>
      <c r="D23" s="2530">
        <v>23987</v>
      </c>
      <c r="E23" s="2530">
        <v>15</v>
      </c>
      <c r="F23" s="2530">
        <v>12400</v>
      </c>
      <c r="G23" s="2887">
        <v>0.129</v>
      </c>
      <c r="H23" s="2479" t="str">
        <f t="shared" si="0"/>
        <v>IDAHO - 07SLCU012P-PART MNT STR LGT CUST OWN</v>
      </c>
      <c r="J23" s="2501"/>
      <c r="K23" s="2886"/>
    </row>
    <row r="24" spans="1:11" ht="16.7" customHeight="1" x14ac:dyDescent="0.2">
      <c r="A24" s="2749">
        <f t="shared" si="2"/>
        <v>21.014000000000017</v>
      </c>
      <c r="B24" s="2488" t="s">
        <v>8406</v>
      </c>
      <c r="C24" s="2530">
        <v>0</v>
      </c>
      <c r="D24" s="2530">
        <v>5789</v>
      </c>
      <c r="E24" s="2530">
        <v>0</v>
      </c>
      <c r="F24" s="2530">
        <v>0</v>
      </c>
      <c r="G24" s="2887">
        <v>0</v>
      </c>
      <c r="H24" s="2479" t="str">
        <f t="shared" si="0"/>
        <v>IDAHO - REVENUE_ACCOUNTING ADJUSTMENTS</v>
      </c>
      <c r="J24" s="2501"/>
      <c r="K24" s="2886"/>
    </row>
    <row r="25" spans="1:11" ht="16.7" customHeight="1" x14ac:dyDescent="0.2">
      <c r="A25" s="2749">
        <f t="shared" si="2"/>
        <v>21.015000000000018</v>
      </c>
      <c r="B25" s="2488" t="s">
        <v>9021</v>
      </c>
      <c r="C25" s="2530">
        <v>0</v>
      </c>
      <c r="D25" s="2530">
        <v>12983</v>
      </c>
      <c r="E25" s="2530">
        <v>0</v>
      </c>
      <c r="F25" s="2530">
        <v>0</v>
      </c>
      <c r="G25" s="2887">
        <v>0</v>
      </c>
      <c r="H25" s="2479" t="str">
        <f t="shared" si="0"/>
        <v>IDAHO - DSM REVENUE-PSHL</v>
      </c>
      <c r="J25" s="2501"/>
      <c r="K25" s="2886"/>
    </row>
    <row r="26" spans="1:11" ht="16.7" customHeight="1" x14ac:dyDescent="0.2">
      <c r="A26" s="2749">
        <f t="shared" si="2"/>
        <v>21.01600000000002</v>
      </c>
      <c r="B26" s="2512"/>
      <c r="C26" s="2488"/>
      <c r="D26" s="2488"/>
      <c r="E26" s="2488"/>
      <c r="F26" s="2488"/>
      <c r="G26" s="2488"/>
      <c r="H26" s="2595">
        <f t="shared" si="0"/>
        <v>0</v>
      </c>
      <c r="J26" s="2501"/>
      <c r="K26" s="2886"/>
    </row>
    <row r="27" spans="1:11" ht="16.7" customHeight="1" x14ac:dyDescent="0.2">
      <c r="A27" s="2489"/>
      <c r="B27" s="2669" t="s">
        <v>8407</v>
      </c>
      <c r="C27" s="2488"/>
      <c r="D27" s="2488"/>
      <c r="E27" s="2488"/>
      <c r="F27" s="2488"/>
      <c r="G27" s="2488"/>
      <c r="H27" s="2479" t="str">
        <f t="shared" si="0"/>
        <v>OREGON</v>
      </c>
      <c r="J27" s="2501"/>
      <c r="K27" s="2886"/>
    </row>
    <row r="28" spans="1:11" ht="16.7" customHeight="1" x14ac:dyDescent="0.2">
      <c r="A28" s="2749">
        <f>A26+0.001</f>
        <v>21.017000000000021</v>
      </c>
      <c r="B28" s="2512" t="s">
        <v>8638</v>
      </c>
      <c r="C28" s="2530">
        <v>602</v>
      </c>
      <c r="D28" s="2530">
        <v>37547</v>
      </c>
      <c r="E28" s="2530">
        <v>0</v>
      </c>
      <c r="F28" s="2530">
        <v>0</v>
      </c>
      <c r="G28" s="2887">
        <v>6.2399999999999997E-2</v>
      </c>
      <c r="H28" s="2479" t="str">
        <f t="shared" si="0"/>
        <v>OREGON - 01COST023F - OR GEN SRV - COST-BASED</v>
      </c>
      <c r="J28" s="2501"/>
      <c r="K28" s="2886"/>
    </row>
    <row r="29" spans="1:11" ht="16.7" customHeight="1" x14ac:dyDescent="0.2">
      <c r="A29" s="2749">
        <f t="shared" ref="A29:A41" si="3">A28+0.001</f>
        <v>21.018000000000022</v>
      </c>
      <c r="B29" s="2512" t="s">
        <v>9022</v>
      </c>
      <c r="C29" s="2530">
        <v>449</v>
      </c>
      <c r="D29" s="2530">
        <v>36779</v>
      </c>
      <c r="E29" s="2530">
        <v>71</v>
      </c>
      <c r="F29" s="2530">
        <v>6324</v>
      </c>
      <c r="G29" s="2887">
        <v>8.1900000000000001E-2</v>
      </c>
      <c r="H29" s="2479" t="str">
        <f t="shared" si="0"/>
        <v xml:space="preserve">OREGON - 01CUSL0053-CUS-OWNED MTRD               </v>
      </c>
      <c r="J29" s="2501"/>
      <c r="K29" s="2886"/>
    </row>
    <row r="30" spans="1:11" ht="16.7" customHeight="1" x14ac:dyDescent="0.2">
      <c r="A30" s="2749">
        <f t="shared" si="3"/>
        <v>21.019000000000023</v>
      </c>
      <c r="B30" s="2512" t="s">
        <v>8656</v>
      </c>
      <c r="C30" s="2530">
        <v>0</v>
      </c>
      <c r="D30" s="2530">
        <v>114422</v>
      </c>
      <c r="E30" s="2530">
        <v>15</v>
      </c>
      <c r="F30" s="2530">
        <v>0</v>
      </c>
      <c r="G30" s="2887">
        <v>0</v>
      </c>
      <c r="H30" s="2479" t="str">
        <f t="shared" si="0"/>
        <v>OREGON - 01GNSV023F - OR GEN SRV - FLAT RATE</v>
      </c>
      <c r="J30" s="2501"/>
      <c r="K30" s="2886"/>
    </row>
    <row r="31" spans="1:11" ht="16.7" customHeight="1" x14ac:dyDescent="0.2">
      <c r="A31" s="2749">
        <f t="shared" si="3"/>
        <v>21.020000000000024</v>
      </c>
      <c r="B31" s="2512" t="s">
        <v>9023</v>
      </c>
      <c r="C31" s="2530">
        <v>6898</v>
      </c>
      <c r="D31" s="2530">
        <v>567004</v>
      </c>
      <c r="E31" s="2530">
        <v>212</v>
      </c>
      <c r="F31" s="2530">
        <v>32538</v>
      </c>
      <c r="G31" s="2887">
        <v>8.2199999999999995E-2</v>
      </c>
      <c r="H31" s="2479" t="str">
        <f t="shared" si="0"/>
        <v>OREGON - 01CUSL053E-STR LGT SVC</v>
      </c>
      <c r="J31" s="2501"/>
      <c r="K31" s="2886"/>
    </row>
    <row r="32" spans="1:11" ht="16.7" customHeight="1" x14ac:dyDescent="0.2">
      <c r="A32" s="2749">
        <f t="shared" si="3"/>
        <v>21.021000000000026</v>
      </c>
      <c r="B32" s="2512" t="s">
        <v>9024</v>
      </c>
      <c r="C32" s="2530">
        <v>67</v>
      </c>
      <c r="D32" s="2530">
        <v>5935</v>
      </c>
      <c r="E32" s="2530">
        <v>5</v>
      </c>
      <c r="F32" s="2530">
        <v>13400</v>
      </c>
      <c r="G32" s="2887">
        <v>8.8599999999999998E-2</v>
      </c>
      <c r="H32" s="2479" t="str">
        <f t="shared" si="0"/>
        <v xml:space="preserve">OREGON - 01CUSL053F-STR LGT SRVC C               </v>
      </c>
      <c r="J32" s="2501"/>
      <c r="K32" s="2886"/>
    </row>
    <row r="33" spans="1:11" ht="16.7" customHeight="1" x14ac:dyDescent="0.2">
      <c r="A33" s="2749">
        <f t="shared" si="3"/>
        <v>21.022000000000027</v>
      </c>
      <c r="B33" s="2512" t="s">
        <v>9025</v>
      </c>
      <c r="C33" s="2530">
        <v>664</v>
      </c>
      <c r="D33" s="2530">
        <v>54560</v>
      </c>
      <c r="E33" s="2530">
        <v>10</v>
      </c>
      <c r="F33" s="2530">
        <v>66400</v>
      </c>
      <c r="G33" s="2887">
        <v>8.2199999999999995E-2</v>
      </c>
      <c r="H33" s="2479" t="str">
        <f t="shared" si="0"/>
        <v>OREGON - 01CUSL53E2-STR LGT SVC</v>
      </c>
      <c r="J33" s="2501"/>
      <c r="K33" s="2886"/>
    </row>
    <row r="34" spans="1:11" ht="16.7" customHeight="1" x14ac:dyDescent="0.2">
      <c r="A34" s="2749">
        <f t="shared" si="3"/>
        <v>21.023000000000028</v>
      </c>
      <c r="B34" s="2512" t="s">
        <v>9026</v>
      </c>
      <c r="C34" s="2530">
        <v>14603</v>
      </c>
      <c r="D34" s="2530">
        <v>2602672</v>
      </c>
      <c r="E34" s="2530">
        <v>705</v>
      </c>
      <c r="F34" s="2530">
        <v>20713</v>
      </c>
      <c r="G34" s="2887">
        <v>0.1782</v>
      </c>
      <c r="H34" s="2479" t="str">
        <f t="shared" si="0"/>
        <v xml:space="preserve">OREGON - 01HPSV0051-HI PRESSURE SO               </v>
      </c>
      <c r="J34" s="2501"/>
      <c r="K34" s="2886"/>
    </row>
    <row r="35" spans="1:11" ht="16.7" customHeight="1" x14ac:dyDescent="0.2">
      <c r="A35" s="2749">
        <f t="shared" si="3"/>
        <v>21.024000000000029</v>
      </c>
      <c r="B35" s="2512" t="s">
        <v>9027</v>
      </c>
      <c r="C35" s="2530">
        <v>8077</v>
      </c>
      <c r="D35" s="2530">
        <v>1729957</v>
      </c>
      <c r="E35" s="2530">
        <v>524</v>
      </c>
      <c r="F35" s="2530">
        <v>15414</v>
      </c>
      <c r="G35" s="2887">
        <v>0.2142</v>
      </c>
      <c r="H35" s="2479" t="str">
        <f t="shared" si="0"/>
        <v>OREGON - 01SLCO0051-OR COMPANY OWNED STREET LIGHT</v>
      </c>
      <c r="J35" s="2501"/>
      <c r="K35" s="2886"/>
    </row>
    <row r="36" spans="1:11" ht="16.7" customHeight="1" x14ac:dyDescent="0.2">
      <c r="A36" s="2749">
        <f t="shared" si="3"/>
        <v>21.025000000000031</v>
      </c>
      <c r="B36" s="2512" t="s">
        <v>8447</v>
      </c>
      <c r="C36" s="2530">
        <v>0</v>
      </c>
      <c r="D36" s="2530">
        <v>760</v>
      </c>
      <c r="E36" s="2530">
        <v>0</v>
      </c>
      <c r="F36" s="2530">
        <v>0</v>
      </c>
      <c r="G36" s="2887">
        <v>0</v>
      </c>
      <c r="H36" s="2479" t="str">
        <f t="shared" si="0"/>
        <v>OREGON - COMMUNITY SOLAR REVENUE</v>
      </c>
      <c r="J36" s="2501"/>
      <c r="K36" s="2886"/>
    </row>
    <row r="37" spans="1:11" ht="16.7" customHeight="1" x14ac:dyDescent="0.2">
      <c r="A37" s="2749">
        <f t="shared" si="3"/>
        <v>21.026000000000032</v>
      </c>
      <c r="B37" s="2512" t="s">
        <v>9028</v>
      </c>
      <c r="C37" s="2530">
        <v>0</v>
      </c>
      <c r="D37" s="2530">
        <v>146897</v>
      </c>
      <c r="E37" s="2530">
        <v>0</v>
      </c>
      <c r="F37" s="2530">
        <v>0</v>
      </c>
      <c r="G37" s="2887">
        <v>0</v>
      </c>
      <c r="H37" s="2479" t="str">
        <f t="shared" si="0"/>
        <v>OREGON - DSM REVENUE-PSHL</v>
      </c>
      <c r="J37" s="2501"/>
      <c r="K37" s="2886"/>
    </row>
    <row r="38" spans="1:11" ht="16.7" customHeight="1" x14ac:dyDescent="0.2">
      <c r="A38" s="2749">
        <f t="shared" si="3"/>
        <v>21.027000000000033</v>
      </c>
      <c r="B38" s="2512" t="s">
        <v>8444</v>
      </c>
      <c r="C38" s="2530">
        <v>0</v>
      </c>
      <c r="D38" s="2530">
        <v>7424</v>
      </c>
      <c r="E38" s="2530">
        <v>0</v>
      </c>
      <c r="F38" s="2530">
        <v>0</v>
      </c>
      <c r="G38" s="2887">
        <v>0</v>
      </c>
      <c r="H38" s="2479" t="str">
        <f t="shared" si="0"/>
        <v>OREGON - REVENUE_ACCOUNTING ADJUSTMENTS</v>
      </c>
      <c r="J38" s="2501"/>
      <c r="K38" s="2886"/>
    </row>
    <row r="39" spans="1:11" ht="16.7" customHeight="1" x14ac:dyDescent="0.2">
      <c r="A39" s="2749">
        <f t="shared" si="3"/>
        <v>21.028000000000034</v>
      </c>
      <c r="B39" s="2512" t="s">
        <v>8445</v>
      </c>
      <c r="C39" s="2530">
        <v>0</v>
      </c>
      <c r="D39" s="2530">
        <v>2061</v>
      </c>
      <c r="E39" s="2530">
        <v>0</v>
      </c>
      <c r="F39" s="2530">
        <v>0</v>
      </c>
      <c r="G39" s="2887">
        <v>0</v>
      </c>
      <c r="H39" s="2479" t="str">
        <f t="shared" si="0"/>
        <v>OREGON - SOLAR FEED-IN REVENUE</v>
      </c>
      <c r="J39" s="2501"/>
      <c r="K39" s="2886"/>
    </row>
    <row r="40" spans="1:11" ht="16.7" customHeight="1" x14ac:dyDescent="0.2">
      <c r="A40" s="2749">
        <f t="shared" si="3"/>
        <v>21.029000000000035</v>
      </c>
      <c r="B40" s="2512" t="s">
        <v>8446</v>
      </c>
      <c r="C40" s="2530">
        <v>0</v>
      </c>
      <c r="D40" s="2530">
        <v>4987</v>
      </c>
      <c r="E40" s="2530">
        <v>0</v>
      </c>
      <c r="F40" s="2530">
        <v>0</v>
      </c>
      <c r="G40" s="2887">
        <v>0</v>
      </c>
      <c r="H40" s="2479" t="str">
        <f t="shared" si="0"/>
        <v>OREGON - OTHER CUSTOMER RETAIL REVENUE</v>
      </c>
      <c r="J40" s="2501"/>
      <c r="K40" s="2886"/>
    </row>
    <row r="41" spans="1:11" ht="16.7" customHeight="1" x14ac:dyDescent="0.2">
      <c r="A41" s="2749">
        <f t="shared" si="3"/>
        <v>21.030000000000037</v>
      </c>
      <c r="B41" s="2512"/>
      <c r="C41" s="2488"/>
      <c r="D41" s="2488"/>
      <c r="E41" s="2488"/>
      <c r="F41" s="2488"/>
      <c r="G41" s="2488"/>
      <c r="H41" s="2595">
        <f t="shared" si="0"/>
        <v>0</v>
      </c>
      <c r="J41" s="2501"/>
      <c r="K41" s="2886"/>
    </row>
    <row r="42" spans="1:11" ht="16.7" customHeight="1" x14ac:dyDescent="0.2">
      <c r="A42" s="2489"/>
      <c r="B42" s="2669" t="s">
        <v>8450</v>
      </c>
      <c r="C42" s="2488"/>
      <c r="D42" s="2488"/>
      <c r="E42" s="2488"/>
      <c r="F42" s="2488"/>
      <c r="G42" s="2488"/>
      <c r="H42" s="2479" t="str">
        <f t="shared" si="0"/>
        <v>UTAH</v>
      </c>
      <c r="J42" s="2501"/>
      <c r="K42" s="2886"/>
    </row>
    <row r="43" spans="1:11" ht="16.7" customHeight="1" x14ac:dyDescent="0.2">
      <c r="A43" s="2749">
        <f>A41+0.001</f>
        <v>21.031000000000038</v>
      </c>
      <c r="B43" s="2512" t="s">
        <v>9029</v>
      </c>
      <c r="C43" s="2530">
        <v>0</v>
      </c>
      <c r="D43" s="2530">
        <v>54</v>
      </c>
      <c r="E43" s="2530">
        <v>0</v>
      </c>
      <c r="F43" s="2530">
        <v>0</v>
      </c>
      <c r="G43" s="2887">
        <v>0</v>
      </c>
      <c r="H43" s="2479" t="str">
        <f t="shared" si="0"/>
        <v xml:space="preserve">UTAH - 08CFR00012-STR LGTS (CONV               </v>
      </c>
      <c r="J43" s="2501"/>
      <c r="K43" s="2886"/>
    </row>
    <row r="44" spans="1:11" ht="16.7" customHeight="1" x14ac:dyDescent="0.2">
      <c r="A44" s="2749">
        <f t="shared" ref="A44:A58" si="4">A43+0.001</f>
        <v>21.032000000000039</v>
      </c>
      <c r="B44" s="2512" t="s">
        <v>8709</v>
      </c>
      <c r="C44" s="2530">
        <v>0</v>
      </c>
      <c r="D44" s="2530">
        <v>4529</v>
      </c>
      <c r="E44" s="2530">
        <v>0</v>
      </c>
      <c r="F44" s="2530">
        <v>0</v>
      </c>
      <c r="G44" s="2887">
        <v>0</v>
      </c>
      <c r="H44" s="2479" t="str">
        <f t="shared" si="0"/>
        <v xml:space="preserve">UTAH - 08CFR00051-MTH FAC SRVCHG               </v>
      </c>
      <c r="J44" s="2501"/>
      <c r="K44" s="2886"/>
    </row>
    <row r="45" spans="1:11" ht="16.7" customHeight="1" x14ac:dyDescent="0.2">
      <c r="A45" s="2749">
        <f t="shared" si="4"/>
        <v>21.03300000000004</v>
      </c>
      <c r="B45" s="2512" t="s">
        <v>9030</v>
      </c>
      <c r="C45" s="2530">
        <v>0</v>
      </c>
      <c r="D45" s="2530">
        <v>79</v>
      </c>
      <c r="E45" s="2530">
        <v>0</v>
      </c>
      <c r="F45" s="2530">
        <v>0</v>
      </c>
      <c r="G45" s="2887">
        <v>0</v>
      </c>
      <c r="H45" s="2479" t="str">
        <f t="shared" si="0"/>
        <v xml:space="preserve">UTAH - 08CFR00062-STREET LIGHTS                </v>
      </c>
      <c r="J45" s="2501"/>
      <c r="K45" s="2886"/>
    </row>
    <row r="46" spans="1:11" ht="16.7" customHeight="1" x14ac:dyDescent="0.2">
      <c r="A46" s="2749">
        <f t="shared" si="4"/>
        <v>21.034000000000042</v>
      </c>
      <c r="B46" s="2512" t="s">
        <v>8758</v>
      </c>
      <c r="C46" s="2530">
        <v>1167</v>
      </c>
      <c r="D46" s="2530">
        <v>102075</v>
      </c>
      <c r="E46" s="2530">
        <v>122</v>
      </c>
      <c r="F46" s="2530">
        <v>9566</v>
      </c>
      <c r="G46" s="2887">
        <v>8.7499999999999994E-2</v>
      </c>
      <c r="H46" s="2479" t="str">
        <f t="shared" si="0"/>
        <v>UTAH - 08TOSS015F-TRAFFIC SIG NM</v>
      </c>
      <c r="J46" s="2501"/>
      <c r="K46" s="2886"/>
    </row>
    <row r="47" spans="1:11" ht="16.7" customHeight="1" x14ac:dyDescent="0.2">
      <c r="A47" s="2749">
        <f t="shared" si="4"/>
        <v>21.035000000000043</v>
      </c>
      <c r="B47" s="2512" t="s">
        <v>9031</v>
      </c>
      <c r="C47" s="2530">
        <v>12425</v>
      </c>
      <c r="D47" s="2530">
        <v>3602637</v>
      </c>
      <c r="E47" s="2530">
        <v>796</v>
      </c>
      <c r="F47" s="2530">
        <v>15609</v>
      </c>
      <c r="G47" s="2887">
        <v>0.28999999999999998</v>
      </c>
      <c r="H47" s="2479" t="str">
        <f t="shared" si="0"/>
        <v xml:space="preserve">UTAH - 08SLCO0011-STR LGT CO-OWN               </v>
      </c>
      <c r="J47" s="2501"/>
      <c r="K47" s="2886"/>
    </row>
    <row r="48" spans="1:11" ht="16.7" customHeight="1" x14ac:dyDescent="0.2">
      <c r="A48" s="2749">
        <f t="shared" si="4"/>
        <v>21.036000000000044</v>
      </c>
      <c r="B48" s="2512" t="s">
        <v>8759</v>
      </c>
      <c r="C48" s="2888">
        <f>3265+1</f>
        <v>3266</v>
      </c>
      <c r="D48" s="2530">
        <v>351186</v>
      </c>
      <c r="E48" s="2530">
        <v>1407</v>
      </c>
      <c r="F48" s="2530">
        <v>2321</v>
      </c>
      <c r="G48" s="2887">
        <v>0.1076</v>
      </c>
      <c r="H48" s="2479" t="str">
        <f t="shared" si="0"/>
        <v>UTAH - 08TOSS0015-TRAF &amp; OTHER S</v>
      </c>
      <c r="J48" s="2501"/>
      <c r="K48" s="2886"/>
    </row>
    <row r="49" spans="1:11" ht="16.7" customHeight="1" x14ac:dyDescent="0.2">
      <c r="A49" s="2749">
        <f t="shared" si="4"/>
        <v>21.037000000000045</v>
      </c>
      <c r="B49" s="2512" t="s">
        <v>8760</v>
      </c>
      <c r="C49" s="2530">
        <v>919</v>
      </c>
      <c r="D49" s="2530">
        <v>50126</v>
      </c>
      <c r="E49" s="2530">
        <v>109</v>
      </c>
      <c r="F49" s="2530">
        <v>8431</v>
      </c>
      <c r="G49" s="2887">
        <v>5.45E-2</v>
      </c>
      <c r="H49" s="2479" t="str">
        <f t="shared" si="0"/>
        <v>UTAH - 08MONL0015-MTR OUTDONIGHT</v>
      </c>
      <c r="J49" s="2501"/>
      <c r="K49" s="2886"/>
    </row>
    <row r="50" spans="1:11" ht="16.7" customHeight="1" x14ac:dyDescent="0.2">
      <c r="A50" s="2749">
        <f t="shared" si="4"/>
        <v>21.038000000000046</v>
      </c>
      <c r="B50" s="2512" t="s">
        <v>9032</v>
      </c>
      <c r="C50" s="2530">
        <v>1494</v>
      </c>
      <c r="D50" s="2530">
        <v>129824</v>
      </c>
      <c r="E50" s="2530">
        <v>138</v>
      </c>
      <c r="F50" s="2530">
        <v>10826</v>
      </c>
      <c r="G50" s="2887">
        <v>8.6900000000000005E-2</v>
      </c>
      <c r="H50" s="2479" t="str">
        <f t="shared" si="0"/>
        <v>UTAH - 08SLCU012P-STR LGT CUST-O</v>
      </c>
      <c r="J50" s="2501"/>
      <c r="K50" s="2886"/>
    </row>
    <row r="51" spans="1:11" ht="16.7" customHeight="1" x14ac:dyDescent="0.2">
      <c r="A51" s="2749">
        <f t="shared" si="4"/>
        <v>21.039000000000048</v>
      </c>
      <c r="B51" s="2512" t="s">
        <v>9033</v>
      </c>
      <c r="C51" s="2530">
        <v>729</v>
      </c>
      <c r="D51" s="2530">
        <v>73515</v>
      </c>
      <c r="E51" s="2530">
        <v>59</v>
      </c>
      <c r="F51" s="2530">
        <v>12356</v>
      </c>
      <c r="G51" s="2887">
        <v>0.1008</v>
      </c>
      <c r="H51" s="2479" t="str">
        <f t="shared" si="0"/>
        <v>UTAH - 08SLCU012F-STR LGT CUST-O</v>
      </c>
      <c r="J51" s="2501"/>
      <c r="K51" s="2886"/>
    </row>
    <row r="52" spans="1:11" ht="16.7" customHeight="1" x14ac:dyDescent="0.2">
      <c r="A52" s="2749">
        <f t="shared" si="4"/>
        <v>21.040000000000049</v>
      </c>
      <c r="B52" s="2512" t="s">
        <v>9034</v>
      </c>
      <c r="C52" s="2530">
        <v>35907</v>
      </c>
      <c r="D52" s="2530">
        <v>1658797</v>
      </c>
      <c r="E52" s="2530">
        <v>1137</v>
      </c>
      <c r="F52" s="2530">
        <v>31580</v>
      </c>
      <c r="G52" s="2887">
        <v>4.6199999999999998E-2</v>
      </c>
      <c r="H52" s="2479" t="str">
        <f t="shared" si="0"/>
        <v>UTAH - 08SLCU012E-DECOR CUST-OWN</v>
      </c>
      <c r="J52" s="2501"/>
      <c r="K52" s="2886"/>
    </row>
    <row r="53" spans="1:11" ht="16.7" customHeight="1" x14ac:dyDescent="0.2">
      <c r="A53" s="2749">
        <f t="shared" si="4"/>
        <v>21.04100000000005</v>
      </c>
      <c r="B53" s="2512" t="s">
        <v>9035</v>
      </c>
      <c r="C53" s="2530">
        <v>0</v>
      </c>
      <c r="D53" s="2530">
        <v>84207</v>
      </c>
      <c r="E53" s="2530">
        <v>0</v>
      </c>
      <c r="F53" s="2530">
        <v>0</v>
      </c>
      <c r="G53" s="2887">
        <v>0</v>
      </c>
      <c r="H53" s="2479" t="str">
        <f t="shared" si="0"/>
        <v>UTAH - DSM REVENUE-PSHL</v>
      </c>
      <c r="J53" s="2501"/>
      <c r="K53" s="2886"/>
    </row>
    <row r="54" spans="1:11" ht="16.7" customHeight="1" x14ac:dyDescent="0.2">
      <c r="A54" s="2749">
        <f t="shared" si="4"/>
        <v>21.042000000000051</v>
      </c>
      <c r="B54" s="2512" t="s">
        <v>8503</v>
      </c>
      <c r="C54" s="2530">
        <v>0</v>
      </c>
      <c r="D54" s="2530">
        <v>8420</v>
      </c>
      <c r="E54" s="2530">
        <v>0</v>
      </c>
      <c r="F54" s="2530">
        <v>0</v>
      </c>
      <c r="G54" s="2887">
        <v>0</v>
      </c>
      <c r="H54" s="2479" t="str">
        <f t="shared" si="0"/>
        <v>UTAH - REVENUE_ACCOUNTING ADJUSTMENTS</v>
      </c>
      <c r="J54" s="2501"/>
      <c r="K54" s="2886"/>
    </row>
    <row r="55" spans="1:11" ht="16.7" customHeight="1" x14ac:dyDescent="0.2">
      <c r="A55" s="2749">
        <f t="shared" si="4"/>
        <v>21.043000000000053</v>
      </c>
      <c r="B55" s="2512" t="s">
        <v>8504</v>
      </c>
      <c r="C55" s="2530">
        <v>0</v>
      </c>
      <c r="D55" s="2530">
        <v>288940</v>
      </c>
      <c r="E55" s="2530">
        <v>0</v>
      </c>
      <c r="F55" s="2530">
        <v>0</v>
      </c>
      <c r="G55" s="2887">
        <v>0</v>
      </c>
      <c r="H55" s="2479" t="str">
        <f t="shared" si="0"/>
        <v>UTAH - REVENUE ADJUSTMENT - DEFERRED NPC</v>
      </c>
      <c r="J55" s="2501"/>
      <c r="K55" s="2886"/>
    </row>
    <row r="56" spans="1:11" ht="16.7" customHeight="1" x14ac:dyDescent="0.2">
      <c r="A56" s="2749">
        <f t="shared" si="4"/>
        <v>21.044000000000054</v>
      </c>
      <c r="B56" s="2512" t="s">
        <v>8505</v>
      </c>
      <c r="C56" s="2530">
        <v>0</v>
      </c>
      <c r="D56" s="2530">
        <v>0.03</v>
      </c>
      <c r="E56" s="2530">
        <v>0</v>
      </c>
      <c r="F56" s="2530">
        <v>0</v>
      </c>
      <c r="G56" s="2887">
        <v>0</v>
      </c>
      <c r="H56" s="2479" t="str">
        <f t="shared" si="0"/>
        <v>UTAH - SOLAR FEED-IN REVENUE</v>
      </c>
      <c r="J56" s="2501"/>
      <c r="K56" s="2886"/>
    </row>
    <row r="57" spans="1:11" ht="16.7" customHeight="1" x14ac:dyDescent="0.2">
      <c r="A57" s="2749">
        <f t="shared" si="4"/>
        <v>21.045000000000055</v>
      </c>
      <c r="B57" s="2512" t="s">
        <v>8506</v>
      </c>
      <c r="C57" s="2530">
        <v>0</v>
      </c>
      <c r="D57" s="2530">
        <v>4855</v>
      </c>
      <c r="E57" s="2530">
        <v>0</v>
      </c>
      <c r="F57" s="2530">
        <v>0</v>
      </c>
      <c r="G57" s="2887">
        <v>0</v>
      </c>
      <c r="H57" s="2479" t="str">
        <f t="shared" si="0"/>
        <v>UTAH - OTHER CUSTOMER RETAIL REVENUE</v>
      </c>
      <c r="J57" s="2501"/>
      <c r="K57" s="2886"/>
    </row>
    <row r="58" spans="1:11" ht="16.7" customHeight="1" x14ac:dyDescent="0.2">
      <c r="A58" s="2749">
        <f t="shared" si="4"/>
        <v>21.046000000000056</v>
      </c>
      <c r="B58" s="2512"/>
      <c r="C58" s="2488"/>
      <c r="D58" s="2488"/>
      <c r="E58" s="2488"/>
      <c r="F58" s="2488"/>
      <c r="G58" s="2488"/>
      <c r="H58" s="2595">
        <f t="shared" si="0"/>
        <v>0</v>
      </c>
      <c r="J58" s="2501"/>
      <c r="K58" s="2886"/>
    </row>
    <row r="59" spans="1:11" ht="16.7" customHeight="1" x14ac:dyDescent="0.2">
      <c r="A59" s="2489"/>
      <c r="B59" s="2669" t="s">
        <v>8509</v>
      </c>
      <c r="C59" s="2488"/>
      <c r="D59" s="2488"/>
      <c r="E59" s="2488"/>
      <c r="F59" s="2488"/>
      <c r="G59" s="2488"/>
      <c r="H59" s="2479" t="str">
        <f t="shared" si="0"/>
        <v>WASHINGTON</v>
      </c>
      <c r="J59" s="2501"/>
      <c r="K59" s="2886"/>
    </row>
    <row r="60" spans="1:11" ht="16.7" customHeight="1" x14ac:dyDescent="0.2">
      <c r="A60" s="2749">
        <f>A58+0.001</f>
        <v>21.047000000000057</v>
      </c>
      <c r="B60" s="2512" t="s">
        <v>9036</v>
      </c>
      <c r="C60" s="2530">
        <v>0</v>
      </c>
      <c r="D60" s="2530">
        <v>91</v>
      </c>
      <c r="E60" s="2530">
        <v>0</v>
      </c>
      <c r="F60" s="2530">
        <v>0</v>
      </c>
      <c r="G60" s="2887">
        <v>0</v>
      </c>
      <c r="H60" s="2479" t="str">
        <f t="shared" si="0"/>
        <v xml:space="preserve">WASHINGTON - 02CFR00012-STR LGTS (CONV               </v>
      </c>
      <c r="J60" s="2501"/>
      <c r="K60" s="2886"/>
    </row>
    <row r="61" spans="1:11" ht="16.7" customHeight="1" x14ac:dyDescent="0.2">
      <c r="A61" s="2749">
        <f t="shared" ref="A61:A68" si="5">A60+0.001</f>
        <v>21.048000000000059</v>
      </c>
      <c r="B61" s="2512" t="s">
        <v>9037</v>
      </c>
      <c r="C61" s="2530">
        <v>1400</v>
      </c>
      <c r="D61" s="2530">
        <v>79025</v>
      </c>
      <c r="E61" s="2530">
        <v>119</v>
      </c>
      <c r="F61" s="2530">
        <v>11765</v>
      </c>
      <c r="G61" s="2887">
        <v>5.6399999999999999E-2</v>
      </c>
      <c r="H61" s="2479" t="str">
        <f t="shared" si="0"/>
        <v xml:space="preserve">WASHINGTON - 02CUSL053F-WA STR LGT SRV               </v>
      </c>
      <c r="J61" s="2501"/>
      <c r="K61" s="2886"/>
    </row>
    <row r="62" spans="1:11" ht="16.7" customHeight="1" x14ac:dyDescent="0.2">
      <c r="A62" s="2749">
        <f t="shared" si="5"/>
        <v>21.04900000000006</v>
      </c>
      <c r="B62" s="2512" t="s">
        <v>9038</v>
      </c>
      <c r="C62" s="2530">
        <v>725</v>
      </c>
      <c r="D62" s="2530">
        <v>40813</v>
      </c>
      <c r="E62" s="2530">
        <v>115</v>
      </c>
      <c r="F62" s="2530">
        <v>6304</v>
      </c>
      <c r="G62" s="2887">
        <v>5.6300000000000003E-2</v>
      </c>
      <c r="H62" s="2479" t="str">
        <f t="shared" si="0"/>
        <v xml:space="preserve">WASHINGTON - 02CUSL053M-WA STR LGT SRV               </v>
      </c>
      <c r="J62" s="2501"/>
      <c r="K62" s="2886"/>
    </row>
    <row r="63" spans="1:11" ht="16.7" customHeight="1" x14ac:dyDescent="0.2">
      <c r="A63" s="2749">
        <f t="shared" si="5"/>
        <v>21.050000000000061</v>
      </c>
      <c r="B63" s="2512" t="s">
        <v>9039</v>
      </c>
      <c r="C63" s="2530">
        <v>1978</v>
      </c>
      <c r="D63" s="2530">
        <v>552421</v>
      </c>
      <c r="E63" s="2530">
        <v>229</v>
      </c>
      <c r="F63" s="2530">
        <v>8638</v>
      </c>
      <c r="G63" s="2887">
        <v>0.27929999999999999</v>
      </c>
      <c r="H63" s="2479" t="str">
        <f t="shared" si="0"/>
        <v>WASHINGTON - 02SLCO0051-WA COMPANY STREET LIGHTING</v>
      </c>
      <c r="J63" s="2501"/>
      <c r="K63" s="2886"/>
    </row>
    <row r="64" spans="1:11" ht="16.7" customHeight="1" x14ac:dyDescent="0.2">
      <c r="A64" s="2749">
        <f t="shared" si="5"/>
        <v>21.051000000000062</v>
      </c>
      <c r="B64" s="2512" t="s">
        <v>8528</v>
      </c>
      <c r="C64" s="2530">
        <v>0</v>
      </c>
      <c r="D64" s="2530">
        <v>1922</v>
      </c>
      <c r="E64" s="2530">
        <v>0</v>
      </c>
      <c r="F64" s="2530">
        <v>0</v>
      </c>
      <c r="G64" s="2887">
        <v>0</v>
      </c>
      <c r="H64" s="2479" t="str">
        <f t="shared" si="0"/>
        <v>WASHINGTON - INCOME TAX DEFERRAL ADJUSTMENTS</v>
      </c>
      <c r="J64" s="2501"/>
      <c r="K64" s="2886"/>
    </row>
    <row r="65" spans="1:11" ht="16.7" customHeight="1" x14ac:dyDescent="0.2">
      <c r="A65" s="2749">
        <f t="shared" si="5"/>
        <v>21.052000000000064</v>
      </c>
      <c r="B65" s="2512" t="s">
        <v>9040</v>
      </c>
      <c r="C65" s="2530">
        <v>0</v>
      </c>
      <c r="D65" s="2530">
        <v>48112</v>
      </c>
      <c r="E65" s="2530">
        <v>0</v>
      </c>
      <c r="F65" s="2530">
        <v>0</v>
      </c>
      <c r="G65" s="2887">
        <v>0</v>
      </c>
      <c r="H65" s="2479" t="str">
        <f t="shared" si="0"/>
        <v>WASHINGTON - SM REVENUE-PSHL</v>
      </c>
      <c r="J65" s="2501"/>
      <c r="K65" s="2886"/>
    </row>
    <row r="66" spans="1:11" ht="16.7" customHeight="1" x14ac:dyDescent="0.2">
      <c r="A66" s="2749">
        <f t="shared" si="5"/>
        <v>21.053000000000065</v>
      </c>
      <c r="B66" s="2512" t="s">
        <v>8530</v>
      </c>
      <c r="C66" s="2530">
        <v>0</v>
      </c>
      <c r="D66" s="2530">
        <v>-32490</v>
      </c>
      <c r="E66" s="2530">
        <v>0</v>
      </c>
      <c r="F66" s="2530">
        <v>0</v>
      </c>
      <c r="G66" s="2887">
        <v>0</v>
      </c>
      <c r="H66" s="2479" t="str">
        <f t="shared" si="0"/>
        <v>WASHINGTON - REVENUE_ACCOUNTING ADJUSTMENTS</v>
      </c>
      <c r="J66" s="2501"/>
      <c r="K66" s="2886"/>
    </row>
    <row r="67" spans="1:11" ht="16.7" customHeight="1" x14ac:dyDescent="0.2">
      <c r="A67" s="2749">
        <f t="shared" si="5"/>
        <v>21.054000000000066</v>
      </c>
      <c r="B67" s="2512" t="s">
        <v>8529</v>
      </c>
      <c r="C67" s="2530">
        <v>0</v>
      </c>
      <c r="D67" s="2530">
        <v>2663</v>
      </c>
      <c r="E67" s="2530">
        <v>0</v>
      </c>
      <c r="F67" s="2530">
        <v>0</v>
      </c>
      <c r="G67" s="2887">
        <v>0</v>
      </c>
      <c r="H67" s="2479" t="str">
        <f t="shared" si="0"/>
        <v>WASHINGTON - REVENUE ADJUSTMENT - DEFERRED NPC</v>
      </c>
      <c r="J67" s="2501"/>
      <c r="K67" s="2886"/>
    </row>
    <row r="68" spans="1:11" ht="16.7" customHeight="1" x14ac:dyDescent="0.2">
      <c r="A68" s="2749">
        <f t="shared" si="5"/>
        <v>21.055000000000067</v>
      </c>
      <c r="B68" s="2915"/>
      <c r="C68" s="2483"/>
      <c r="D68" s="2483"/>
      <c r="E68" s="2483"/>
      <c r="F68" s="2483"/>
      <c r="G68" s="2610"/>
      <c r="H68" s="2479"/>
      <c r="J68" s="2501"/>
      <c r="K68" s="2886"/>
    </row>
    <row r="69" spans="1:11" ht="16.7" customHeight="1" x14ac:dyDescent="0.2">
      <c r="A69" s="2489"/>
      <c r="B69" s="2669" t="s">
        <v>8534</v>
      </c>
      <c r="C69" s="2488"/>
      <c r="D69" s="2488"/>
      <c r="E69" s="2488"/>
      <c r="F69" s="2488"/>
      <c r="G69" s="2488"/>
      <c r="H69" s="2479" t="str">
        <f t="shared" ref="H69:H85" si="6">B69</f>
        <v>WYOMING</v>
      </c>
      <c r="J69" s="2501"/>
      <c r="K69" s="2886"/>
    </row>
    <row r="70" spans="1:11" ht="16.7" customHeight="1" x14ac:dyDescent="0.2">
      <c r="A70" s="2749">
        <f>A68+0.001</f>
        <v>21.056000000000068</v>
      </c>
      <c r="B70" s="2512" t="s">
        <v>9041</v>
      </c>
      <c r="C70" s="2530">
        <v>30</v>
      </c>
      <c r="D70" s="2530">
        <v>1353</v>
      </c>
      <c r="E70" s="2530">
        <v>8</v>
      </c>
      <c r="F70" s="2530">
        <v>3750</v>
      </c>
      <c r="G70" s="2887">
        <v>4.5100000000000001E-2</v>
      </c>
      <c r="H70" s="2479" t="str">
        <f t="shared" si="6"/>
        <v xml:space="preserve">WYOMING - 05CUSL0058-CUST OWND STR                </v>
      </c>
      <c r="J70" s="2501"/>
      <c r="K70" s="2886"/>
    </row>
    <row r="71" spans="1:11" ht="16.7" customHeight="1" x14ac:dyDescent="0.2">
      <c r="A71" s="2749">
        <f t="shared" ref="A71:A85" si="7">A70+0.001</f>
        <v>21.05700000000007</v>
      </c>
      <c r="B71" s="2512" t="s">
        <v>9042</v>
      </c>
      <c r="C71" s="2530">
        <v>1033</v>
      </c>
      <c r="D71" s="2530">
        <v>46612</v>
      </c>
      <c r="E71" s="2530">
        <v>32</v>
      </c>
      <c r="F71" s="2530">
        <v>32281</v>
      </c>
      <c r="G71" s="2887">
        <v>4.5100000000000001E-2</v>
      </c>
      <c r="H71" s="2479" t="str">
        <f t="shared" si="6"/>
        <v>WYOMING - 05CUSL0E58-WY CUST OWNED STREET LIGHT</v>
      </c>
      <c r="J71" s="2501"/>
      <c r="K71" s="2886"/>
    </row>
    <row r="72" spans="1:11" ht="16.7" customHeight="1" x14ac:dyDescent="0.2">
      <c r="A72" s="2749">
        <f t="shared" si="7"/>
        <v>21.058000000000071</v>
      </c>
      <c r="B72" s="2512" t="s">
        <v>9043</v>
      </c>
      <c r="C72" s="2530">
        <v>29</v>
      </c>
      <c r="D72" s="2530">
        <v>1765</v>
      </c>
      <c r="E72" s="2530">
        <v>3</v>
      </c>
      <c r="F72" s="2530">
        <v>9667</v>
      </c>
      <c r="G72" s="2887">
        <v>6.0900000000000003E-2</v>
      </c>
      <c r="H72" s="2479" t="str">
        <f t="shared" si="6"/>
        <v>WYOMING - 05CUSL0M58-CUST OWNED STREET LT W/MAIT -A</v>
      </c>
      <c r="J72" s="2501"/>
      <c r="K72" s="2886"/>
    </row>
    <row r="73" spans="1:11" ht="16.7" customHeight="1" x14ac:dyDescent="0.2">
      <c r="A73" s="2749">
        <f t="shared" si="7"/>
        <v>21.059000000000072</v>
      </c>
      <c r="B73" s="2512" t="s">
        <v>9044</v>
      </c>
      <c r="C73" s="2888">
        <f>9416+1</f>
        <v>9417</v>
      </c>
      <c r="D73" s="2888">
        <f>1531172+1</f>
        <v>1531173</v>
      </c>
      <c r="E73" s="2888">
        <f>435-1</f>
        <v>434</v>
      </c>
      <c r="F73" s="2530">
        <v>21646</v>
      </c>
      <c r="G73" s="2887">
        <v>0.16259999999999999</v>
      </c>
      <c r="H73" s="2479" t="str">
        <f t="shared" si="6"/>
        <v>WYOMING - 05SLCO0051-WY STREET LIGHT COMPANY OWNED -A</v>
      </c>
      <c r="J73" s="2501"/>
      <c r="K73" s="2886"/>
    </row>
    <row r="74" spans="1:11" ht="16.7" customHeight="1" x14ac:dyDescent="0.2">
      <c r="A74" s="2749">
        <f t="shared" si="7"/>
        <v>21.060000000000073</v>
      </c>
      <c r="B74" s="2512" t="s">
        <v>9045</v>
      </c>
      <c r="C74" s="2530">
        <v>0</v>
      </c>
      <c r="D74" s="2530">
        <v>54888</v>
      </c>
      <c r="E74" s="2530">
        <v>0</v>
      </c>
      <c r="F74" s="2530">
        <v>0</v>
      </c>
      <c r="G74" s="2887">
        <v>0</v>
      </c>
      <c r="H74" s="2479" t="str">
        <f t="shared" si="6"/>
        <v>WYOMING - DSM REVENUE-PSHL -A</v>
      </c>
      <c r="J74" s="2501"/>
      <c r="K74" s="2886"/>
    </row>
    <row r="75" spans="1:11" ht="16.7" customHeight="1" x14ac:dyDescent="0.2">
      <c r="A75" s="2749">
        <f t="shared" si="7"/>
        <v>21.061000000000075</v>
      </c>
      <c r="B75" s="2512" t="s">
        <v>8550</v>
      </c>
      <c r="C75" s="2530">
        <v>0</v>
      </c>
      <c r="D75" s="2530">
        <v>1082</v>
      </c>
      <c r="E75" s="2530">
        <v>0</v>
      </c>
      <c r="F75" s="2530">
        <v>0</v>
      </c>
      <c r="G75" s="2887">
        <v>0</v>
      </c>
      <c r="H75" s="2479" t="str">
        <f t="shared" si="6"/>
        <v>WYOMING - OTHER CUSTOMER RETAIL REVENUE</v>
      </c>
      <c r="J75" s="2501"/>
      <c r="K75" s="2886"/>
    </row>
    <row r="76" spans="1:11" ht="15.75" customHeight="1" x14ac:dyDescent="0.2">
      <c r="A76" s="2749">
        <f t="shared" si="7"/>
        <v>21.062000000000076</v>
      </c>
      <c r="B76" s="2512" t="s">
        <v>8544</v>
      </c>
      <c r="C76" s="2530">
        <v>0</v>
      </c>
      <c r="D76" s="2530">
        <v>2957</v>
      </c>
      <c r="E76" s="2530">
        <v>0</v>
      </c>
      <c r="F76" s="2530">
        <v>0</v>
      </c>
      <c r="G76" s="2887">
        <v>0</v>
      </c>
      <c r="H76" s="2479" t="str">
        <f t="shared" si="6"/>
        <v>WYOMING - INCOME TAX DEFERRAL ADJUSTMENTS</v>
      </c>
      <c r="J76" s="2501"/>
      <c r="K76" s="2886"/>
    </row>
    <row r="77" spans="1:11" ht="15.75" customHeight="1" x14ac:dyDescent="0.2">
      <c r="A77" s="2749">
        <f t="shared" si="7"/>
        <v>21.063000000000077</v>
      </c>
      <c r="B77" s="2512" t="s">
        <v>8546</v>
      </c>
      <c r="C77" s="2530">
        <v>0</v>
      </c>
      <c r="D77" s="2530">
        <v>495</v>
      </c>
      <c r="E77" s="2530">
        <v>0</v>
      </c>
      <c r="F77" s="2530">
        <v>0</v>
      </c>
      <c r="G77" s="2887">
        <v>0</v>
      </c>
      <c r="H77" s="2479" t="str">
        <f t="shared" si="6"/>
        <v>WYOMING - REVENUE_ACCOUNTING ADJUSTMENTS</v>
      </c>
      <c r="J77" s="2501"/>
      <c r="K77" s="2886"/>
    </row>
    <row r="78" spans="1:11" ht="16.7" customHeight="1" x14ac:dyDescent="0.2">
      <c r="A78" s="2749">
        <f t="shared" si="7"/>
        <v>21.064000000000078</v>
      </c>
      <c r="B78" s="2512" t="s">
        <v>8545</v>
      </c>
      <c r="C78" s="2530">
        <v>0</v>
      </c>
      <c r="D78" s="2530">
        <v>-4668</v>
      </c>
      <c r="E78" s="2530">
        <v>0</v>
      </c>
      <c r="F78" s="2530">
        <v>0</v>
      </c>
      <c r="G78" s="2887">
        <v>0</v>
      </c>
      <c r="H78" s="2479" t="str">
        <f t="shared" si="6"/>
        <v>WYOMING - REVENUE ADJUSTMENT - DEFERRED NPC</v>
      </c>
      <c r="J78" s="2501"/>
      <c r="K78" s="2886"/>
    </row>
    <row r="79" spans="1:11" ht="16.7" customHeight="1" x14ac:dyDescent="0.2">
      <c r="A79" s="2749">
        <f t="shared" si="7"/>
        <v>21.065000000000079</v>
      </c>
      <c r="B79" s="2512" t="s">
        <v>9046</v>
      </c>
      <c r="C79" s="2530">
        <v>34</v>
      </c>
      <c r="D79" s="2530">
        <v>4556</v>
      </c>
      <c r="E79" s="2530">
        <v>5</v>
      </c>
      <c r="F79" s="2530">
        <v>6800</v>
      </c>
      <c r="G79" s="2887">
        <v>0.13400000000000001</v>
      </c>
      <c r="H79" s="2479" t="str">
        <f t="shared" si="6"/>
        <v>WYOMING - 05CUSL0M58-CUST OWNED STREET LT W/MAIT -B</v>
      </c>
      <c r="J79" s="2501"/>
      <c r="K79" s="2886"/>
    </row>
    <row r="80" spans="1:11" ht="16.7" customHeight="1" x14ac:dyDescent="0.2">
      <c r="A80" s="2749">
        <f t="shared" si="7"/>
        <v>21.066000000000081</v>
      </c>
      <c r="B80" s="2512" t="s">
        <v>9047</v>
      </c>
      <c r="C80" s="2530">
        <v>62</v>
      </c>
      <c r="D80" s="2530">
        <v>4182</v>
      </c>
      <c r="E80" s="2530">
        <v>16</v>
      </c>
      <c r="F80" s="2530">
        <v>3875</v>
      </c>
      <c r="G80" s="2887">
        <v>6.7400000000000002E-2</v>
      </c>
      <c r="H80" s="2479" t="str">
        <f t="shared" si="6"/>
        <v xml:space="preserve">WYOMING - 05RCFL0054-WY REC FIELD L               </v>
      </c>
      <c r="J80" s="2501"/>
      <c r="K80" s="2886"/>
    </row>
    <row r="81" spans="1:11" ht="16.7" customHeight="1" x14ac:dyDescent="0.2">
      <c r="A81" s="2749">
        <f t="shared" si="7"/>
        <v>21.067000000000082</v>
      </c>
      <c r="B81" s="2512" t="s">
        <v>9048</v>
      </c>
      <c r="C81" s="2530">
        <v>1494</v>
      </c>
      <c r="D81" s="2530">
        <v>262550</v>
      </c>
      <c r="E81" s="2530">
        <v>52</v>
      </c>
      <c r="F81" s="2530">
        <v>28731</v>
      </c>
      <c r="G81" s="2887">
        <v>0.1757</v>
      </c>
      <c r="H81" s="2479" t="str">
        <f t="shared" si="6"/>
        <v>WYOMING - 05SLCO0051-WY STREET LIGHT COMPANY OWNED -B</v>
      </c>
      <c r="J81" s="2501"/>
      <c r="K81" s="2886"/>
    </row>
    <row r="82" spans="1:11" ht="16.7" customHeight="1" x14ac:dyDescent="0.2">
      <c r="A82" s="2749">
        <f t="shared" si="7"/>
        <v>21.068000000000083</v>
      </c>
      <c r="B82" s="2512" t="s">
        <v>9049</v>
      </c>
      <c r="C82" s="2530">
        <v>0</v>
      </c>
      <c r="D82" s="2530">
        <v>4741</v>
      </c>
      <c r="E82" s="2530">
        <v>0</v>
      </c>
      <c r="F82" s="2530">
        <v>0</v>
      </c>
      <c r="G82" s="2887">
        <v>0</v>
      </c>
      <c r="H82" s="2479" t="str">
        <f t="shared" si="6"/>
        <v>WYOMING - DSM REVENUE-PSHL -B</v>
      </c>
      <c r="J82" s="2501"/>
      <c r="K82" s="2886"/>
    </row>
    <row r="83" spans="1:11" ht="16.7" customHeight="1" x14ac:dyDescent="0.2">
      <c r="A83" s="2749">
        <f t="shared" si="7"/>
        <v>21.069000000000084</v>
      </c>
      <c r="B83" s="2512"/>
      <c r="C83" s="2488"/>
      <c r="D83" s="2488"/>
      <c r="E83" s="2488"/>
      <c r="F83" s="2488"/>
      <c r="G83" s="2488"/>
      <c r="H83" s="2595">
        <f t="shared" si="6"/>
        <v>0</v>
      </c>
      <c r="J83" s="2501"/>
      <c r="K83" s="2886"/>
    </row>
    <row r="84" spans="1:11" ht="16.7" customHeight="1" x14ac:dyDescent="0.2">
      <c r="A84" s="2749">
        <f t="shared" si="7"/>
        <v>21.070000000000086</v>
      </c>
      <c r="B84" s="2512" t="s">
        <v>8562</v>
      </c>
      <c r="C84" s="2488"/>
      <c r="D84" s="2488"/>
      <c r="E84" s="2530">
        <v>-3637</v>
      </c>
      <c r="F84" s="2488"/>
      <c r="G84" s="2488"/>
      <c r="H84" s="2479" t="str">
        <f t="shared" si="6"/>
        <v>LESS MULTIPLE BILLINGS</v>
      </c>
      <c r="J84" s="2501"/>
      <c r="K84" s="2886"/>
    </row>
    <row r="85" spans="1:11" ht="16.7" customHeight="1" x14ac:dyDescent="0.2">
      <c r="A85" s="2749">
        <f t="shared" si="7"/>
        <v>21.071000000000087</v>
      </c>
      <c r="B85" s="2512"/>
      <c r="C85" s="2488"/>
      <c r="D85" s="2488"/>
      <c r="E85" s="2488"/>
      <c r="F85" s="2488"/>
      <c r="G85" s="2488"/>
      <c r="H85" s="2595">
        <f t="shared" si="6"/>
        <v>0</v>
      </c>
      <c r="J85" s="2501"/>
      <c r="K85" s="2886"/>
    </row>
    <row r="86" spans="1:11" ht="16.7" customHeight="1" x14ac:dyDescent="0.2">
      <c r="A86" s="2497">
        <v>23</v>
      </c>
      <c r="B86" s="2669" t="s">
        <v>9050</v>
      </c>
      <c r="C86" s="2736">
        <f>SUM(C9:C84)</f>
        <v>107921</v>
      </c>
      <c r="D86" s="2736">
        <f>SUM(D9:D84)</f>
        <v>15178250.029999999</v>
      </c>
      <c r="E86" s="2736">
        <f>SUM(E9:E84)</f>
        <v>3252</v>
      </c>
      <c r="F86" s="2736">
        <v>33094</v>
      </c>
      <c r="G86" s="2889">
        <v>0.14099999999999999</v>
      </c>
      <c r="H86" s="2479"/>
      <c r="J86" s="2501" t="s">
        <v>8564</v>
      </c>
      <c r="K86" s="2886" t="str">
        <f>"+SUM('"&amp;J86&amp;"'!$F$10:$F$50)"</f>
        <v>+SUM('304.2 - Sales of Electricity by Rate Schedules'!$F$10:$F$50)</v>
      </c>
    </row>
    <row r="87" spans="1:11" ht="16.7" customHeight="1" x14ac:dyDescent="0.2">
      <c r="A87" s="2489"/>
      <c r="B87" s="2669" t="s">
        <v>8565</v>
      </c>
      <c r="C87" s="2488"/>
      <c r="D87" s="2488"/>
      <c r="E87" s="2488"/>
      <c r="F87" s="2488"/>
      <c r="G87" s="2488"/>
      <c r="H87" s="2479" t="str">
        <f t="shared" ref="H87:H105" si="8">B87</f>
        <v>CALIFORNIA</v>
      </c>
      <c r="J87" s="2501"/>
      <c r="K87" s="2886"/>
    </row>
    <row r="88" spans="1:11" ht="16.7" customHeight="1" x14ac:dyDescent="0.2">
      <c r="A88" s="2489"/>
      <c r="B88" s="2512" t="s">
        <v>8566</v>
      </c>
      <c r="C88" s="2530">
        <v>-79</v>
      </c>
      <c r="D88" s="2530">
        <v>-14000</v>
      </c>
      <c r="E88" s="2530">
        <v>0</v>
      </c>
      <c r="F88" s="2530">
        <v>0</v>
      </c>
      <c r="G88" s="2887">
        <v>0.1772</v>
      </c>
      <c r="H88" s="2479" t="str">
        <f t="shared" si="8"/>
        <v xml:space="preserve">CALIFORNIA - UNBILLED REVENUE                        </v>
      </c>
      <c r="J88" s="2501"/>
      <c r="K88" s="2886"/>
    </row>
    <row r="89" spans="1:11" ht="16.7" customHeight="1" x14ac:dyDescent="0.2">
      <c r="A89" s="2489"/>
      <c r="B89" s="2512"/>
      <c r="C89" s="2488"/>
      <c r="D89" s="2488"/>
      <c r="E89" s="2488"/>
      <c r="F89" s="2488"/>
      <c r="G89" s="2488"/>
      <c r="H89" s="2595">
        <f t="shared" si="8"/>
        <v>0</v>
      </c>
      <c r="J89" s="2501"/>
      <c r="K89" s="2886"/>
    </row>
    <row r="90" spans="1:11" ht="16.7" customHeight="1" x14ac:dyDescent="0.2">
      <c r="A90" s="2489"/>
      <c r="B90" s="2669" t="s">
        <v>8389</v>
      </c>
      <c r="C90" s="2488"/>
      <c r="D90" s="2488"/>
      <c r="E90" s="2488"/>
      <c r="F90" s="2488"/>
      <c r="G90" s="2488"/>
      <c r="H90" s="2479" t="str">
        <f t="shared" si="8"/>
        <v>IDAHO</v>
      </c>
      <c r="J90" s="2501"/>
      <c r="K90" s="2886"/>
    </row>
    <row r="91" spans="1:11" ht="16.7" customHeight="1" x14ac:dyDescent="0.2">
      <c r="A91" s="2489"/>
      <c r="B91" s="2512" t="s">
        <v>8567</v>
      </c>
      <c r="C91" s="2530">
        <v>-15</v>
      </c>
      <c r="D91" s="2530">
        <v>-2000</v>
      </c>
      <c r="E91" s="2530">
        <v>0</v>
      </c>
      <c r="F91" s="2530">
        <v>0</v>
      </c>
      <c r="G91" s="2887">
        <v>0.1333</v>
      </c>
      <c r="H91" s="2479" t="str">
        <f t="shared" si="8"/>
        <v xml:space="preserve">IDAHO - UNBILLED REVENUE                        </v>
      </c>
      <c r="J91" s="2501"/>
      <c r="K91" s="2886"/>
    </row>
    <row r="92" spans="1:11" ht="16.7" customHeight="1" x14ac:dyDescent="0.2">
      <c r="A92" s="2489"/>
      <c r="B92" s="2512"/>
      <c r="C92" s="2488"/>
      <c r="D92" s="2488"/>
      <c r="E92" s="2488"/>
      <c r="F92" s="2488"/>
      <c r="G92" s="2488"/>
      <c r="H92" s="2595">
        <f t="shared" si="8"/>
        <v>0</v>
      </c>
      <c r="J92" s="2501"/>
      <c r="K92" s="2886"/>
    </row>
    <row r="93" spans="1:11" ht="16.7" customHeight="1" x14ac:dyDescent="0.2">
      <c r="A93" s="2489"/>
      <c r="B93" s="2669" t="s">
        <v>8407</v>
      </c>
      <c r="C93" s="2488"/>
      <c r="D93" s="2488"/>
      <c r="E93" s="2488"/>
      <c r="F93" s="2488"/>
      <c r="G93" s="2488"/>
      <c r="H93" s="2479" t="str">
        <f t="shared" si="8"/>
        <v>OREGON</v>
      </c>
      <c r="J93" s="2501"/>
      <c r="K93" s="2886"/>
    </row>
    <row r="94" spans="1:11" ht="16.7" customHeight="1" x14ac:dyDescent="0.2">
      <c r="A94" s="2489"/>
      <c r="B94" s="2512" t="s">
        <v>8568</v>
      </c>
      <c r="C94" s="2530">
        <v>-447</v>
      </c>
      <c r="D94" s="2530">
        <v>-17000</v>
      </c>
      <c r="E94" s="2530">
        <v>0</v>
      </c>
      <c r="F94" s="2530">
        <v>0</v>
      </c>
      <c r="G94" s="2887">
        <v>3.7999999999999999E-2</v>
      </c>
      <c r="H94" s="2479" t="str">
        <f t="shared" si="8"/>
        <v xml:space="preserve">OREGON - UNBILLED REVENUE                        </v>
      </c>
      <c r="J94" s="2501"/>
      <c r="K94" s="2886"/>
    </row>
    <row r="95" spans="1:11" ht="16.7" customHeight="1" x14ac:dyDescent="0.2">
      <c r="A95" s="2489"/>
      <c r="B95" s="2512"/>
      <c r="C95" s="2488"/>
      <c r="D95" s="2488"/>
      <c r="E95" s="2488"/>
      <c r="F95" s="2488"/>
      <c r="G95" s="2488"/>
      <c r="H95" s="2595">
        <f t="shared" si="8"/>
        <v>0</v>
      </c>
      <c r="J95" s="2501"/>
      <c r="K95" s="2886"/>
    </row>
    <row r="96" spans="1:11" ht="16.7" customHeight="1" x14ac:dyDescent="0.2">
      <c r="A96" s="2489"/>
      <c r="B96" s="2669" t="s">
        <v>8450</v>
      </c>
      <c r="C96" s="2488"/>
      <c r="D96" s="2488"/>
      <c r="E96" s="2488"/>
      <c r="F96" s="2488"/>
      <c r="G96" s="2488"/>
      <c r="H96" s="2479" t="str">
        <f t="shared" si="8"/>
        <v>UTAH</v>
      </c>
      <c r="J96" s="2501"/>
      <c r="K96" s="2886"/>
    </row>
    <row r="97" spans="1:11" ht="16.7" customHeight="1" x14ac:dyDescent="0.2">
      <c r="A97" s="2489"/>
      <c r="B97" s="2512" t="s">
        <v>8569</v>
      </c>
      <c r="C97" s="2530">
        <v>75</v>
      </c>
      <c r="D97" s="2530">
        <v>8000</v>
      </c>
      <c r="E97" s="2530">
        <v>0</v>
      </c>
      <c r="F97" s="2530">
        <v>0</v>
      </c>
      <c r="G97" s="2887">
        <v>0.1067</v>
      </c>
      <c r="H97" s="2479" t="str">
        <f t="shared" si="8"/>
        <v xml:space="preserve">UTAH - UNBILLED REVENUE                        </v>
      </c>
      <c r="J97" s="2501"/>
      <c r="K97" s="2886"/>
    </row>
    <row r="98" spans="1:11" ht="16.7" customHeight="1" x14ac:dyDescent="0.2">
      <c r="A98" s="2489"/>
      <c r="B98" s="2512"/>
      <c r="C98" s="2488"/>
      <c r="D98" s="2488"/>
      <c r="E98" s="2488"/>
      <c r="F98" s="2488"/>
      <c r="G98" s="2488"/>
      <c r="H98" s="2595">
        <f t="shared" si="8"/>
        <v>0</v>
      </c>
      <c r="J98" s="2501"/>
      <c r="K98" s="2886"/>
    </row>
    <row r="99" spans="1:11" ht="16.7" customHeight="1" x14ac:dyDescent="0.2">
      <c r="A99" s="2489"/>
      <c r="B99" s="2669" t="s">
        <v>8509</v>
      </c>
      <c r="C99" s="2488"/>
      <c r="D99" s="2488"/>
      <c r="E99" s="2488"/>
      <c r="F99" s="2488"/>
      <c r="G99" s="2488"/>
      <c r="H99" s="2479" t="str">
        <f t="shared" si="8"/>
        <v>WASHINGTON</v>
      </c>
      <c r="J99" s="2501"/>
      <c r="K99" s="2886"/>
    </row>
    <row r="100" spans="1:11" ht="16.7" customHeight="1" x14ac:dyDescent="0.2">
      <c r="A100" s="2489"/>
      <c r="B100" s="2512" t="s">
        <v>8570</v>
      </c>
      <c r="C100" s="2530">
        <v>-14</v>
      </c>
      <c r="D100" s="2530">
        <v>37000</v>
      </c>
      <c r="E100" s="2530">
        <v>0</v>
      </c>
      <c r="F100" s="2530">
        <v>0</v>
      </c>
      <c r="G100" s="2887">
        <v>-2.6429</v>
      </c>
      <c r="H100" s="2479" t="str">
        <f t="shared" si="8"/>
        <v xml:space="preserve">WASHINGTON - UNBILLED REVENUE                        </v>
      </c>
      <c r="J100" s="2501"/>
      <c r="K100" s="2886"/>
    </row>
    <row r="101" spans="1:11" ht="16.7" customHeight="1" x14ac:dyDescent="0.2">
      <c r="A101" s="2489"/>
      <c r="B101" s="2512"/>
      <c r="C101" s="2488"/>
      <c r="D101" s="2488"/>
      <c r="E101" s="2488"/>
      <c r="F101" s="2488"/>
      <c r="G101" s="2488"/>
      <c r="H101" s="2595">
        <f t="shared" si="8"/>
        <v>0</v>
      </c>
      <c r="J101" s="2501"/>
      <c r="K101" s="2886"/>
    </row>
    <row r="102" spans="1:11" ht="16.7" customHeight="1" x14ac:dyDescent="0.2">
      <c r="A102" s="2489"/>
      <c r="B102" s="2669" t="s">
        <v>8534</v>
      </c>
      <c r="C102" s="2488"/>
      <c r="D102" s="2488"/>
      <c r="E102" s="2488"/>
      <c r="F102" s="2488"/>
      <c r="G102" s="2488"/>
      <c r="H102" s="2479" t="str">
        <f t="shared" si="8"/>
        <v>WYOMING</v>
      </c>
      <c r="J102" s="2501"/>
      <c r="K102" s="2886"/>
    </row>
    <row r="103" spans="1:11" ht="16.7" customHeight="1" x14ac:dyDescent="0.2">
      <c r="A103" s="2489"/>
      <c r="B103" s="2512" t="s">
        <v>9051</v>
      </c>
      <c r="C103" s="2530">
        <v>195</v>
      </c>
      <c r="D103" s="2530">
        <v>31000</v>
      </c>
      <c r="E103" s="2530">
        <v>0</v>
      </c>
      <c r="F103" s="2530">
        <v>0</v>
      </c>
      <c r="G103" s="2887">
        <v>0.159</v>
      </c>
      <c r="H103" s="2479" t="str">
        <f t="shared" si="8"/>
        <v xml:space="preserve">WYOMING - UNBILLED REVENUE-A                       </v>
      </c>
      <c r="J103" s="2501"/>
      <c r="K103" s="2886"/>
    </row>
    <row r="104" spans="1:11" ht="16.7" customHeight="1" x14ac:dyDescent="0.2">
      <c r="A104" s="2489"/>
      <c r="B104" s="2512" t="s">
        <v>9052</v>
      </c>
      <c r="C104" s="2530">
        <v>-24</v>
      </c>
      <c r="D104" s="2530">
        <v>-3000</v>
      </c>
      <c r="E104" s="2530">
        <v>0</v>
      </c>
      <c r="F104" s="2530">
        <v>0</v>
      </c>
      <c r="G104" s="2887">
        <v>0.125</v>
      </c>
      <c r="H104" s="2479" t="str">
        <f t="shared" si="8"/>
        <v xml:space="preserve">WYOMING - UNBILLED REVENUE-B                        </v>
      </c>
      <c r="J104" s="2501"/>
      <c r="K104" s="2886"/>
    </row>
    <row r="105" spans="1:11" ht="16.7" customHeight="1" x14ac:dyDescent="0.2">
      <c r="A105" s="2489"/>
      <c r="B105" s="2512"/>
      <c r="C105" s="2488"/>
      <c r="D105" s="2488"/>
      <c r="E105" s="2488"/>
      <c r="F105" s="2488"/>
      <c r="G105" s="2488"/>
      <c r="H105" s="2595">
        <f t="shared" si="8"/>
        <v>0</v>
      </c>
      <c r="J105" s="2501"/>
      <c r="K105" s="2886"/>
    </row>
    <row r="106" spans="1:11" ht="16.7" customHeight="1" x14ac:dyDescent="0.2">
      <c r="A106" s="2497">
        <v>24</v>
      </c>
      <c r="B106" s="2669" t="s">
        <v>9053</v>
      </c>
      <c r="C106" s="2736">
        <f>SUM(C88:C105)</f>
        <v>-309</v>
      </c>
      <c r="D106" s="2736">
        <f>SUM(D88:D105)</f>
        <v>40000</v>
      </c>
      <c r="E106" s="2736">
        <f>SUM(E88:E105)</f>
        <v>0</v>
      </c>
      <c r="F106" s="2736">
        <v>0</v>
      </c>
      <c r="G106" s="2889">
        <v>4.0000000000000002E-4</v>
      </c>
      <c r="H106" s="2479"/>
      <c r="J106" s="2501" t="s">
        <v>8574</v>
      </c>
      <c r="K106" s="2886" t="str">
        <f>"+SUM('"&amp;J106&amp;"'!$F$10:$F$50)"</f>
        <v>+SUM('304.3 - Sales of Electricity by Rate Schedules'!$F$10:$F$50)</v>
      </c>
    </row>
    <row r="107" spans="1:11" ht="16.7" customHeight="1" x14ac:dyDescent="0.2">
      <c r="A107" s="2497">
        <v>25</v>
      </c>
      <c r="B107" s="2669" t="s">
        <v>9054</v>
      </c>
      <c r="C107" s="2736">
        <f>C106+C86</f>
        <v>107612</v>
      </c>
      <c r="D107" s="2736">
        <f>ROUND(D106+D86,0)</f>
        <v>15218250</v>
      </c>
      <c r="E107" s="2736">
        <f>E106+E86</f>
        <v>3252</v>
      </c>
      <c r="F107" s="2736">
        <f>F106+F86</f>
        <v>33094</v>
      </c>
      <c r="G107" s="2892">
        <f>G106+G86</f>
        <v>0.1414</v>
      </c>
      <c r="H107" s="2479"/>
      <c r="J107" s="2501" t="s">
        <v>8576</v>
      </c>
      <c r="K107" s="2886" t="str">
        <f>"+SUM('"&amp;J107&amp;"'!$F$10:$F$50)"</f>
        <v>+SUM('304.4 - Sales of Electricity by Rate Schedules'!$F$10:$F$50)</v>
      </c>
    </row>
    <row r="108" spans="1:11" ht="16.7" customHeight="1" x14ac:dyDescent="0.2">
      <c r="A108" s="2489"/>
      <c r="B108" s="2512"/>
      <c r="C108" s="2488"/>
      <c r="D108" s="2488"/>
      <c r="E108" s="2488"/>
      <c r="F108" s="2488"/>
      <c r="G108" s="2488"/>
      <c r="H108" s="2479"/>
    </row>
    <row r="109" spans="1:11" ht="16.7" customHeight="1" x14ac:dyDescent="0.2">
      <c r="A109" s="2489"/>
      <c r="B109" s="4044" t="s">
        <v>8577</v>
      </c>
      <c r="C109" s="4045"/>
      <c r="D109" s="4045"/>
      <c r="E109" s="4045"/>
      <c r="F109" s="4045"/>
      <c r="G109" s="4046"/>
      <c r="H109" s="2479"/>
    </row>
    <row r="110" spans="1:11" ht="16.7" customHeight="1" x14ac:dyDescent="0.2">
      <c r="A110" s="2497">
        <v>46</v>
      </c>
      <c r="B110" s="2669" t="s">
        <v>8578</v>
      </c>
      <c r="C110" s="2672">
        <v>56914738</v>
      </c>
      <c r="D110" s="2672">
        <v>5460376851</v>
      </c>
      <c r="E110" s="2672">
        <v>2069044</v>
      </c>
      <c r="F110" s="2668"/>
      <c r="G110" s="2668"/>
      <c r="H110" s="2479"/>
    </row>
    <row r="111" spans="1:11" ht="16.7" customHeight="1" x14ac:dyDescent="0.2">
      <c r="A111" s="2497">
        <v>47</v>
      </c>
      <c r="B111" s="2669" t="s">
        <v>8579</v>
      </c>
      <c r="C111" s="2672">
        <v>-218410</v>
      </c>
      <c r="D111" s="2672">
        <v>-5522000</v>
      </c>
      <c r="E111" s="2672">
        <v>0</v>
      </c>
      <c r="F111" s="2668"/>
      <c r="G111" s="2668"/>
      <c r="H111" s="2479"/>
    </row>
    <row r="112" spans="1:11" ht="16.7" customHeight="1" x14ac:dyDescent="0.2">
      <c r="A112" s="2497">
        <v>48</v>
      </c>
      <c r="B112" s="2669" t="s">
        <v>197</v>
      </c>
      <c r="C112" s="2736">
        <v>56696328</v>
      </c>
      <c r="D112" s="2736">
        <v>5454854851</v>
      </c>
      <c r="E112" s="2736">
        <v>2069044</v>
      </c>
      <c r="F112" s="2736">
        <v>28098</v>
      </c>
      <c r="G112" s="2892">
        <v>9.0700000000000003E-2</v>
      </c>
      <c r="H112" s="2479"/>
    </row>
    <row r="113" spans="1:7" ht="16.7" customHeight="1" x14ac:dyDescent="0.2">
      <c r="A113" s="2535"/>
      <c r="B113" s="2516"/>
      <c r="C113" s="2516"/>
      <c r="D113" s="2516"/>
      <c r="E113" s="2516"/>
      <c r="F113" s="2516"/>
      <c r="G113" s="2516"/>
    </row>
    <row r="114" spans="1:7" ht="16.7" customHeight="1" x14ac:dyDescent="0.2"/>
    <row r="115" spans="1:7" ht="16.7" customHeight="1" x14ac:dyDescent="0.2">
      <c r="B115" s="3206" t="s">
        <v>5459</v>
      </c>
      <c r="C115" s="4040" t="s">
        <v>11940</v>
      </c>
      <c r="D115" s="4041"/>
    </row>
    <row r="116" spans="1:7" ht="16.7" customHeight="1" x14ac:dyDescent="0.25">
      <c r="B116" s="3207" t="s">
        <v>11929</v>
      </c>
      <c r="C116" s="3208" t="s">
        <v>11930</v>
      </c>
      <c r="D116" s="3209" t="s">
        <v>11931</v>
      </c>
    </row>
    <row r="117" spans="1:7" ht="16.7" customHeight="1" x14ac:dyDescent="0.2">
      <c r="B117" s="3207" t="s">
        <v>8565</v>
      </c>
      <c r="C117" s="3210">
        <f>SUMIF($B$8:$B$112,"CALIFORNIA*",C$8:C$112)</f>
        <v>1675</v>
      </c>
      <c r="D117" s="3211">
        <f>SUMIF($B$8:$B$112,"CALIFORNIA*",D$8:D$112)</f>
        <v>401539</v>
      </c>
    </row>
    <row r="118" spans="1:7" ht="16.7" customHeight="1" x14ac:dyDescent="0.2">
      <c r="B118" s="3207" t="s">
        <v>8389</v>
      </c>
      <c r="C118" s="3210">
        <f>SUMIF($B$8:$B$112,"IDAHO*",C$8:C$112)</f>
        <v>2683</v>
      </c>
      <c r="D118" s="3211">
        <f>SUMIF($B$8:$B$112,"IDAHO*",D$8:D$112)</f>
        <v>486219</v>
      </c>
    </row>
    <row r="119" spans="1:7" ht="16.7" customHeight="1" x14ac:dyDescent="0.2">
      <c r="B119" s="3207" t="s">
        <v>8407</v>
      </c>
      <c r="C119" s="3210">
        <f>SUMIF($B$8:$B$112,"OREGON*",C$8:C$112)</f>
        <v>30913</v>
      </c>
      <c r="D119" s="3211">
        <f>SUMIF($B$8:$B$112,"OREGON*",D$8:D$112)</f>
        <v>5294005</v>
      </c>
    </row>
    <row r="120" spans="1:7" ht="16.7" customHeight="1" x14ac:dyDescent="0.2">
      <c r="B120" s="3207" t="s">
        <v>8450</v>
      </c>
      <c r="C120" s="3210">
        <f>SUMIF($B$8:$B$112,"UTAH*",C$8:C$112)</f>
        <v>55982</v>
      </c>
      <c r="D120" s="3211">
        <f>SUMIF($B$8:$B$112,"UTAH*",D$8:D$112)</f>
        <v>6367244.0300000003</v>
      </c>
    </row>
    <row r="121" spans="1:7" ht="16.7" customHeight="1" x14ac:dyDescent="0.2">
      <c r="B121" s="3207" t="s">
        <v>8509</v>
      </c>
      <c r="C121" s="3210">
        <f>SUMIF($B$8:$B$112,"WASHINGTON*",C$8:C$112)</f>
        <v>4089</v>
      </c>
      <c r="D121" s="3211">
        <f>SUMIF($B$8:$B$112,"WASHINGTON*",D$8:D$112)</f>
        <v>729557</v>
      </c>
    </row>
    <row r="122" spans="1:7" ht="16.7" customHeight="1" x14ac:dyDescent="0.2">
      <c r="B122" s="3207" t="s">
        <v>8534</v>
      </c>
      <c r="C122" s="3212">
        <f>SUMIF($B$8:$B$112,"WYOMING*",C$8:C$112)</f>
        <v>12270</v>
      </c>
      <c r="D122" s="3213">
        <f>SUMIF($B$8:$B$112,"WYOMING*",D$8:D$112)</f>
        <v>1939686</v>
      </c>
    </row>
    <row r="123" spans="1:7" ht="16.7" customHeight="1" x14ac:dyDescent="0.2">
      <c r="B123" s="3207" t="s">
        <v>11934</v>
      </c>
      <c r="C123" s="3210">
        <f>SUM(C117:C122)</f>
        <v>107612</v>
      </c>
      <c r="D123" s="3211">
        <f>SUM(D117:D122)</f>
        <v>15218250.030000001</v>
      </c>
    </row>
    <row r="124" spans="1:7" ht="16.7" customHeight="1" x14ac:dyDescent="0.2">
      <c r="B124" s="3214" t="s">
        <v>11925</v>
      </c>
      <c r="C124" s="3215">
        <f>C123-C107</f>
        <v>0</v>
      </c>
      <c r="D124" s="3216">
        <f>D123-D107</f>
        <v>3.0000001192092896E-2</v>
      </c>
    </row>
    <row r="125" spans="1:7" ht="16.7" customHeight="1" x14ac:dyDescent="0.2">
      <c r="B125" s="3217" t="s">
        <v>5459</v>
      </c>
      <c r="C125" s="3217" t="s">
        <v>5459</v>
      </c>
      <c r="D125" s="3218" t="s">
        <v>5459</v>
      </c>
    </row>
    <row r="126" spans="1:7" ht="16.7" customHeight="1" x14ac:dyDescent="0.2">
      <c r="B126" s="3214" t="s">
        <v>5459</v>
      </c>
      <c r="C126" s="3207" t="s">
        <v>11928</v>
      </c>
      <c r="D126" s="3219" t="s">
        <v>5459</v>
      </c>
    </row>
    <row r="127" spans="1:7" ht="16.7" customHeight="1" x14ac:dyDescent="0.25">
      <c r="B127" s="3207" t="s">
        <v>11929</v>
      </c>
      <c r="C127" s="3208" t="s">
        <v>11930</v>
      </c>
      <c r="D127" s="3209" t="s">
        <v>11931</v>
      </c>
    </row>
    <row r="128" spans="1:7" ht="16.7" customHeight="1" x14ac:dyDescent="0.2">
      <c r="B128" s="3207" t="s">
        <v>8407</v>
      </c>
      <c r="C128" s="3210">
        <f>C119</f>
        <v>30913</v>
      </c>
      <c r="D128" s="3211">
        <f>D119</f>
        <v>5294005</v>
      </c>
    </row>
    <row r="129" spans="2:4" ht="16.7" customHeight="1" x14ac:dyDescent="0.2">
      <c r="B129" s="3207" t="s">
        <v>8509</v>
      </c>
      <c r="C129" s="3210">
        <f>C121</f>
        <v>4089</v>
      </c>
      <c r="D129" s="3211">
        <f>D121</f>
        <v>729557</v>
      </c>
    </row>
    <row r="130" spans="2:4" ht="16.7" customHeight="1" x14ac:dyDescent="0.2">
      <c r="B130" s="3207" t="s">
        <v>8389</v>
      </c>
      <c r="C130" s="3212">
        <f>C118</f>
        <v>2683</v>
      </c>
      <c r="D130" s="3213">
        <f>D118</f>
        <v>486219</v>
      </c>
    </row>
    <row r="131" spans="2:4" ht="16.7" customHeight="1" x14ac:dyDescent="0.2">
      <c r="B131" s="3207" t="s">
        <v>11936</v>
      </c>
      <c r="C131" s="3210">
        <f>SUM(C128:C130)</f>
        <v>37685</v>
      </c>
      <c r="D131" s="3211">
        <f>SUM(D128:D130)</f>
        <v>6509781</v>
      </c>
    </row>
    <row r="132" spans="2:4" ht="16.7" customHeight="1" x14ac:dyDescent="0.2">
      <c r="B132" s="3217" t="s">
        <v>5459</v>
      </c>
      <c r="C132" s="3217" t="s">
        <v>5459</v>
      </c>
      <c r="D132" s="3218" t="s">
        <v>5459</v>
      </c>
    </row>
    <row r="133" spans="2:4" ht="16.7" customHeight="1" x14ac:dyDescent="0.2"/>
    <row r="134" spans="2:4" ht="16.7" customHeight="1" x14ac:dyDescent="0.2"/>
    <row r="135" spans="2:4" ht="16.7" customHeight="1" x14ac:dyDescent="0.2"/>
    <row r="136" spans="2:4" ht="16.7" customHeight="1" x14ac:dyDescent="0.2"/>
    <row r="137" spans="2:4" ht="16.7" customHeight="1" x14ac:dyDescent="0.2"/>
    <row r="138" spans="2:4" ht="16.7" customHeight="1" x14ac:dyDescent="0.2"/>
    <row r="139" spans="2:4" ht="16.7" customHeight="1" x14ac:dyDescent="0.2"/>
    <row r="140" spans="2:4" ht="16.7" customHeight="1" x14ac:dyDescent="0.2"/>
    <row r="141" spans="2:4" ht="16.7" customHeight="1" x14ac:dyDescent="0.2"/>
    <row r="142" spans="2:4" ht="16.7" customHeight="1" x14ac:dyDescent="0.2"/>
    <row r="143" spans="2:4" ht="16.7" customHeight="1" x14ac:dyDescent="0.2"/>
    <row r="144" spans="2:4" ht="16.7" customHeight="1" x14ac:dyDescent="0.2"/>
    <row r="145" ht="16.7" customHeight="1" x14ac:dyDescent="0.2"/>
    <row r="146" ht="16.7" customHeight="1" x14ac:dyDescent="0.2"/>
    <row r="147" ht="16.7" customHeight="1" x14ac:dyDescent="0.2"/>
    <row r="148" ht="16.7" customHeight="1" x14ac:dyDescent="0.2"/>
    <row r="149" ht="16.7" customHeight="1" x14ac:dyDescent="0.2"/>
    <row r="150" ht="16.7" customHeight="1" x14ac:dyDescent="0.2"/>
    <row r="151" ht="15" customHeight="1" x14ac:dyDescent="0.2"/>
    <row r="152" ht="15" customHeight="1" x14ac:dyDescent="0.2"/>
  </sheetData>
  <mergeCells count="6">
    <mergeCell ref="C115:D115"/>
    <mergeCell ref="A3:G3"/>
    <mergeCell ref="A4:G4"/>
    <mergeCell ref="A5:A6"/>
    <mergeCell ref="B7:G7"/>
    <mergeCell ref="B109:G109"/>
  </mergeCells>
  <pageMargins left="0.75" right="0.75" top="1" bottom="1" header="0.5" footer="0.5"/>
  <customProperties>
    <customPr name="_pios_id" r:id="rId1"/>
  </customProperties>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E4B2B5-62B4-41CA-A6A2-293751AE6409}">
  <sheetPr codeName="Sheet75">
    <tabColor rgb="FF538DD5"/>
  </sheetPr>
  <dimension ref="A1:M143"/>
  <sheetViews>
    <sheetView showRuler="0" workbookViewId="0">
      <selection sqref="A1:B1"/>
    </sheetView>
  </sheetViews>
  <sheetFormatPr defaultColWidth="11.5" defaultRowHeight="12.75" x14ac:dyDescent="0.2"/>
  <cols>
    <col min="1" max="1" width="5.875" style="1953" customWidth="1"/>
    <col min="2" max="2" width="36.625" style="1953" customWidth="1"/>
    <col min="3" max="3" width="6.625" style="1953" customWidth="1"/>
    <col min="4" max="4" width="9.125" style="1953" customWidth="1"/>
    <col min="5" max="5" width="10" style="1953" customWidth="1"/>
    <col min="6" max="7" width="10.5" style="1953" customWidth="1"/>
    <col min="8" max="8" width="8.875" style="1953" customWidth="1"/>
    <col min="9" max="12" width="11.875" style="1953" customWidth="1"/>
    <col min="13" max="13" width="44" style="1953" customWidth="1"/>
    <col min="14" max="25" width="17.625" style="1953" customWidth="1"/>
    <col min="26" max="16384" width="11.5" style="1953"/>
  </cols>
  <sheetData>
    <row r="1" spans="1:13" ht="15.75" customHeight="1" x14ac:dyDescent="0.2">
      <c r="B1" s="2744" t="s">
        <v>7058</v>
      </c>
      <c r="C1" s="2479"/>
    </row>
    <row r="2" spans="1:13" ht="16.7" customHeight="1" x14ac:dyDescent="0.2">
      <c r="B2" s="2483"/>
    </row>
    <row r="3" spans="1:13" ht="15.75" customHeight="1" x14ac:dyDescent="0.2">
      <c r="A3" s="3990" t="s">
        <v>9055</v>
      </c>
      <c r="B3" s="3991"/>
      <c r="C3" s="3991"/>
      <c r="D3" s="3991"/>
      <c r="E3" s="3991"/>
      <c r="F3" s="3991"/>
      <c r="G3" s="3991"/>
      <c r="H3" s="3991"/>
      <c r="I3" s="3991"/>
      <c r="J3" s="3991"/>
      <c r="K3" s="3991"/>
      <c r="L3" s="3992"/>
      <c r="M3" s="2479"/>
    </row>
    <row r="4" spans="1:13" ht="15.75" customHeight="1" x14ac:dyDescent="0.2">
      <c r="A4" s="3932" t="s">
        <v>9056</v>
      </c>
      <c r="B4" s="3975"/>
      <c r="C4" s="3975"/>
      <c r="D4" s="3975"/>
      <c r="E4" s="3975"/>
      <c r="F4" s="3975"/>
      <c r="G4" s="3975"/>
      <c r="H4" s="3975"/>
      <c r="I4" s="3975"/>
      <c r="J4" s="3975"/>
      <c r="K4" s="3975"/>
      <c r="L4" s="3976"/>
      <c r="M4" s="2479"/>
    </row>
    <row r="5" spans="1:13" ht="245.85" customHeight="1" x14ac:dyDescent="0.2">
      <c r="A5" s="3878" t="s">
        <v>9057</v>
      </c>
      <c r="B5" s="4048"/>
      <c r="C5" s="4048"/>
      <c r="D5" s="4048"/>
      <c r="E5" s="4048"/>
      <c r="F5" s="4048"/>
      <c r="G5" s="4049"/>
      <c r="H5" s="3878" t="s">
        <v>9058</v>
      </c>
      <c r="I5" s="3879"/>
      <c r="J5" s="3879"/>
      <c r="K5" s="3879"/>
      <c r="L5" s="3880"/>
      <c r="M5" s="2479"/>
    </row>
    <row r="6" spans="1:13" ht="15" customHeight="1" x14ac:dyDescent="0.2">
      <c r="A6" s="4004" t="s">
        <v>6360</v>
      </c>
      <c r="B6" s="3944" t="s">
        <v>9059</v>
      </c>
      <c r="C6" s="3944" t="s">
        <v>9060</v>
      </c>
      <c r="D6" s="3944" t="s">
        <v>9061</v>
      </c>
      <c r="E6" s="3944" t="s">
        <v>9062</v>
      </c>
      <c r="F6" s="3964" t="s">
        <v>9063</v>
      </c>
      <c r="G6" s="3884"/>
      <c r="H6" s="3944" t="s">
        <v>9064</v>
      </c>
      <c r="I6" s="3882" t="s">
        <v>9065</v>
      </c>
      <c r="J6" s="3891"/>
      <c r="K6" s="3892"/>
      <c r="L6" s="3944" t="s">
        <v>9066</v>
      </c>
      <c r="M6" s="2479"/>
    </row>
    <row r="7" spans="1:13" ht="32.450000000000003" customHeight="1" x14ac:dyDescent="0.2">
      <c r="A7" s="3860"/>
      <c r="B7" s="3943"/>
      <c r="C7" s="3943"/>
      <c r="D7" s="3943"/>
      <c r="E7" s="3943"/>
      <c r="F7" s="2637" t="s">
        <v>9067</v>
      </c>
      <c r="G7" s="2637" t="s">
        <v>9068</v>
      </c>
      <c r="H7" s="3945"/>
      <c r="I7" s="2581" t="s">
        <v>9069</v>
      </c>
      <c r="J7" s="2581" t="s">
        <v>9070</v>
      </c>
      <c r="K7" s="2581" t="s">
        <v>9071</v>
      </c>
      <c r="L7" s="3945"/>
      <c r="M7" s="2479"/>
    </row>
    <row r="8" spans="1:13" ht="15.75" customHeight="1" x14ac:dyDescent="0.2">
      <c r="A8" s="3860"/>
      <c r="B8" s="2589" t="s">
        <v>5949</v>
      </c>
      <c r="C8" s="2589" t="s">
        <v>5950</v>
      </c>
      <c r="D8" s="2589" t="s">
        <v>5951</v>
      </c>
      <c r="E8" s="2589" t="s">
        <v>5952</v>
      </c>
      <c r="F8" s="2589" t="s">
        <v>6227</v>
      </c>
      <c r="G8" s="2589" t="s">
        <v>5804</v>
      </c>
      <c r="H8" s="2589" t="s">
        <v>6228</v>
      </c>
      <c r="I8" s="2589" t="s">
        <v>6229</v>
      </c>
      <c r="J8" s="2589" t="s">
        <v>6230</v>
      </c>
      <c r="K8" s="2589" t="s">
        <v>6231</v>
      </c>
      <c r="L8" s="2589" t="s">
        <v>6232</v>
      </c>
      <c r="M8" s="2479" t="s">
        <v>6324</v>
      </c>
    </row>
    <row r="9" spans="1:13" ht="15.75" customHeight="1" x14ac:dyDescent="0.2">
      <c r="A9" s="2497">
        <v>1</v>
      </c>
      <c r="B9" s="2669" t="s">
        <v>9072</v>
      </c>
      <c r="C9" s="2512"/>
      <c r="D9" s="2489"/>
      <c r="E9" s="2614"/>
      <c r="F9" s="2614"/>
      <c r="G9" s="2614"/>
      <c r="H9" s="2614"/>
      <c r="I9" s="2488"/>
      <c r="J9" s="2614"/>
      <c r="K9" s="2488"/>
      <c r="L9" s="2645">
        <f t="shared" ref="L9:L15" si="0">SUM(I9:K9)</f>
        <v>0</v>
      </c>
      <c r="M9" s="2479" t="str">
        <f t="shared" ref="M9:M72" si="1">CONCATENATE(B9,", ",C9,", ",D9)</f>
        <v xml:space="preserve">Requirement Sales:, , </v>
      </c>
    </row>
    <row r="10" spans="1:13" ht="15.75" customHeight="1" x14ac:dyDescent="0.2">
      <c r="A10" s="2497">
        <v>2</v>
      </c>
      <c r="B10" s="2512" t="s">
        <v>9073</v>
      </c>
      <c r="C10" s="2512" t="s">
        <v>187</v>
      </c>
      <c r="D10" s="2489" t="s">
        <v>9074</v>
      </c>
      <c r="E10" s="2916">
        <v>1</v>
      </c>
      <c r="F10" s="2916">
        <v>1</v>
      </c>
      <c r="G10" s="2916">
        <v>1</v>
      </c>
      <c r="H10" s="2917">
        <v>7244</v>
      </c>
      <c r="I10" s="2530">
        <v>137938</v>
      </c>
      <c r="J10" s="2530">
        <v>128007</v>
      </c>
      <c r="K10" s="2614"/>
      <c r="L10" s="2918">
        <f t="shared" si="0"/>
        <v>265945</v>
      </c>
      <c r="M10" s="2479" t="str">
        <f t="shared" si="1"/>
        <v>Helper City, RQ, T-6</v>
      </c>
    </row>
    <row r="11" spans="1:13" ht="15.75" customHeight="1" x14ac:dyDescent="0.2">
      <c r="A11" s="2497">
        <v>3</v>
      </c>
      <c r="B11" s="2512" t="s">
        <v>9075</v>
      </c>
      <c r="C11" s="2512" t="s">
        <v>187</v>
      </c>
      <c r="D11" s="2489" t="s">
        <v>9074</v>
      </c>
      <c r="E11" s="2760">
        <v>1</v>
      </c>
      <c r="F11" s="2760">
        <v>1</v>
      </c>
      <c r="G11" s="2760">
        <v>1</v>
      </c>
      <c r="H11" s="2917">
        <v>3575</v>
      </c>
      <c r="I11" s="2530">
        <v>75592</v>
      </c>
      <c r="J11" s="2530">
        <v>63181</v>
      </c>
      <c r="K11" s="2488"/>
      <c r="L11" s="2918">
        <f t="shared" si="0"/>
        <v>138773</v>
      </c>
      <c r="M11" s="2479" t="str">
        <f t="shared" si="1"/>
        <v>Helper City Annex, RQ, T-6</v>
      </c>
    </row>
    <row r="12" spans="1:13" ht="15.75" customHeight="1" x14ac:dyDescent="0.2">
      <c r="A12" s="2497">
        <v>4</v>
      </c>
      <c r="B12" s="2512" t="s">
        <v>9076</v>
      </c>
      <c r="C12" s="2512" t="s">
        <v>187</v>
      </c>
      <c r="D12" s="2489" t="s">
        <v>9077</v>
      </c>
      <c r="E12" s="2760">
        <v>35</v>
      </c>
      <c r="F12" s="2760">
        <v>35</v>
      </c>
      <c r="G12" s="2760">
        <v>33</v>
      </c>
      <c r="H12" s="2917">
        <v>294731</v>
      </c>
      <c r="I12" s="2530">
        <v>6571489</v>
      </c>
      <c r="J12" s="2530">
        <v>8496082</v>
      </c>
      <c r="K12" s="2531">
        <v>650372</v>
      </c>
      <c r="L12" s="2918">
        <f t="shared" si="0"/>
        <v>15717943</v>
      </c>
      <c r="M12" s="2479" t="str">
        <f t="shared" si="1"/>
        <v>Navajo Tribal Utility Authority, RQ, T-12</v>
      </c>
    </row>
    <row r="13" spans="1:13" ht="15.75" customHeight="1" x14ac:dyDescent="0.2">
      <c r="A13" s="2497">
        <v>5</v>
      </c>
      <c r="B13" s="2512" t="s">
        <v>9078</v>
      </c>
      <c r="C13" s="2512" t="s">
        <v>187</v>
      </c>
      <c r="D13" s="2489" t="s">
        <v>9074</v>
      </c>
      <c r="E13" s="2760">
        <v>0</v>
      </c>
      <c r="F13" s="2760">
        <v>0</v>
      </c>
      <c r="G13" s="2760">
        <v>0</v>
      </c>
      <c r="H13" s="2917">
        <v>870</v>
      </c>
      <c r="I13" s="2530">
        <v>14856</v>
      </c>
      <c r="J13" s="2530">
        <v>15151</v>
      </c>
      <c r="K13" s="2488"/>
      <c r="L13" s="2918">
        <f t="shared" si="0"/>
        <v>30007</v>
      </c>
      <c r="M13" s="2479" t="str">
        <f t="shared" si="1"/>
        <v>Navajo Tribal Utility Authority (Mexican Hat), RQ, T-6</v>
      </c>
    </row>
    <row r="14" spans="1:13" ht="15.75" customHeight="1" x14ac:dyDescent="0.2">
      <c r="A14" s="2497">
        <v>6</v>
      </c>
      <c r="B14" s="2512" t="s">
        <v>9079</v>
      </c>
      <c r="C14" s="2512" t="s">
        <v>187</v>
      </c>
      <c r="D14" s="2489" t="s">
        <v>9074</v>
      </c>
      <c r="E14" s="2760">
        <v>2</v>
      </c>
      <c r="F14" s="2760">
        <v>2</v>
      </c>
      <c r="G14" s="2760">
        <v>1</v>
      </c>
      <c r="H14" s="2917">
        <v>1865</v>
      </c>
      <c r="I14" s="2530">
        <v>53574</v>
      </c>
      <c r="J14" s="2530">
        <v>32493</v>
      </c>
      <c r="K14" s="2488"/>
      <c r="L14" s="2918">
        <f t="shared" si="0"/>
        <v>86067</v>
      </c>
      <c r="M14" s="2479" t="str">
        <f t="shared" si="1"/>
        <v>Navajo Tribal Utility Authority (Red Mesa), RQ, T-6</v>
      </c>
    </row>
    <row r="15" spans="1:13" ht="15.75" customHeight="1" x14ac:dyDescent="0.2">
      <c r="A15" s="2497">
        <v>7</v>
      </c>
      <c r="B15" s="2512" t="s">
        <v>9080</v>
      </c>
      <c r="C15" s="2512" t="s">
        <v>187</v>
      </c>
      <c r="D15" s="2489"/>
      <c r="E15" s="2614"/>
      <c r="F15" s="2614"/>
      <c r="G15" s="2614"/>
      <c r="H15" s="2917">
        <v>-286</v>
      </c>
      <c r="I15" s="2488"/>
      <c r="J15" s="2614"/>
      <c r="K15" s="2531">
        <v>-230570</v>
      </c>
      <c r="L15" s="2919">
        <f t="shared" si="0"/>
        <v>-230570</v>
      </c>
      <c r="M15" s="2479" t="str">
        <f t="shared" si="1"/>
        <v xml:space="preserve">Accrual, RQ, </v>
      </c>
    </row>
    <row r="16" spans="1:13" ht="15.75" customHeight="1" x14ac:dyDescent="0.2">
      <c r="A16" s="2497">
        <v>8</v>
      </c>
      <c r="B16" s="2512"/>
      <c r="C16" s="2512"/>
      <c r="D16" s="2489"/>
      <c r="E16" s="2488"/>
      <c r="F16" s="2488"/>
      <c r="G16" s="2488"/>
      <c r="H16" s="2614"/>
      <c r="I16" s="2488"/>
      <c r="J16" s="2614"/>
      <c r="K16" s="2488"/>
      <c r="L16" s="2675"/>
      <c r="M16" s="2479" t="str">
        <f t="shared" si="1"/>
        <v xml:space="preserve">, , </v>
      </c>
    </row>
    <row r="17" spans="1:13" ht="15.75" customHeight="1" x14ac:dyDescent="0.2">
      <c r="A17" s="2497">
        <v>9</v>
      </c>
      <c r="B17" s="2669" t="s">
        <v>9081</v>
      </c>
      <c r="C17" s="2512"/>
      <c r="D17" s="2489"/>
      <c r="E17" s="2488"/>
      <c r="F17" s="2488"/>
      <c r="G17" s="2488"/>
      <c r="H17" s="2614"/>
      <c r="I17" s="2488"/>
      <c r="J17" s="2614"/>
      <c r="K17" s="2488"/>
      <c r="L17" s="2562"/>
      <c r="M17" s="2479" t="str">
        <f t="shared" si="1"/>
        <v xml:space="preserve">Non-Requirement Sales:, , </v>
      </c>
    </row>
    <row r="18" spans="1:13" ht="15.75" customHeight="1" x14ac:dyDescent="0.2">
      <c r="A18" s="2497">
        <v>10</v>
      </c>
      <c r="B18" s="2512" t="s">
        <v>9082</v>
      </c>
      <c r="C18" s="2512" t="s">
        <v>190</v>
      </c>
      <c r="D18" s="2489" t="s">
        <v>9077</v>
      </c>
      <c r="E18" s="2614"/>
      <c r="F18" s="2614"/>
      <c r="G18" s="2614"/>
      <c r="H18" s="2917">
        <v>1047</v>
      </c>
      <c r="I18" s="2488"/>
      <c r="J18" s="2530">
        <v>74542</v>
      </c>
      <c r="K18" s="2488"/>
      <c r="L18" s="2918">
        <f t="shared" ref="L18:L81" si="2">SUM(I18:K18)</f>
        <v>74542</v>
      </c>
      <c r="M18" s="2479" t="str">
        <f t="shared" si="1"/>
        <v>Altop Energy Trading, LLC, SF, T-12</v>
      </c>
    </row>
    <row r="19" spans="1:13" ht="15.75" customHeight="1" x14ac:dyDescent="0.2">
      <c r="A19" s="2497">
        <v>11</v>
      </c>
      <c r="B19" s="2512" t="s">
        <v>9083</v>
      </c>
      <c r="C19" s="2512" t="s">
        <v>190</v>
      </c>
      <c r="D19" s="2489" t="s">
        <v>9077</v>
      </c>
      <c r="E19" s="2614"/>
      <c r="F19" s="2614"/>
      <c r="G19" s="2614"/>
      <c r="H19" s="2917">
        <v>500</v>
      </c>
      <c r="I19" s="2488"/>
      <c r="J19" s="2530">
        <v>55540</v>
      </c>
      <c r="K19" s="2488"/>
      <c r="L19" s="2918">
        <f t="shared" si="2"/>
        <v>55540</v>
      </c>
      <c r="M19" s="2479" t="str">
        <f t="shared" si="1"/>
        <v>Arizona Electric Power Cooperative, Inc., SF, T-12</v>
      </c>
    </row>
    <row r="20" spans="1:13" ht="15.75" customHeight="1" x14ac:dyDescent="0.2">
      <c r="A20" s="2497">
        <v>12</v>
      </c>
      <c r="B20" s="2512" t="s">
        <v>9084</v>
      </c>
      <c r="C20" s="2512" t="s">
        <v>190</v>
      </c>
      <c r="D20" s="2489" t="s">
        <v>9077</v>
      </c>
      <c r="E20" s="2614"/>
      <c r="F20" s="2614"/>
      <c r="G20" s="2614"/>
      <c r="H20" s="2917">
        <v>2246</v>
      </c>
      <c r="I20" s="2488"/>
      <c r="J20" s="2530">
        <v>118650</v>
      </c>
      <c r="K20" s="2488"/>
      <c r="L20" s="2918">
        <f t="shared" si="2"/>
        <v>118650</v>
      </c>
      <c r="M20" s="2479" t="str">
        <f t="shared" si="1"/>
        <v>Arizona Public Service Company, SF, T-12</v>
      </c>
    </row>
    <row r="21" spans="1:13" ht="15.75" customHeight="1" x14ac:dyDescent="0.2">
      <c r="A21" s="2497">
        <v>13</v>
      </c>
      <c r="B21" s="2512" t="s">
        <v>9085</v>
      </c>
      <c r="C21" s="2512" t="s">
        <v>190</v>
      </c>
      <c r="D21" s="2489" t="s">
        <v>9077</v>
      </c>
      <c r="E21" s="2614"/>
      <c r="F21" s="2614"/>
      <c r="G21" s="2614"/>
      <c r="H21" s="2917">
        <v>20618</v>
      </c>
      <c r="I21" s="2488"/>
      <c r="J21" s="2530">
        <v>1550757</v>
      </c>
      <c r="K21" s="2488"/>
      <c r="L21" s="2918">
        <f t="shared" si="2"/>
        <v>1550757</v>
      </c>
      <c r="M21" s="2479" t="str">
        <f t="shared" si="1"/>
        <v>Avangrid Renewables, LLC, SF, T-12</v>
      </c>
    </row>
    <row r="22" spans="1:13" ht="15.75" customHeight="1" x14ac:dyDescent="0.2">
      <c r="A22" s="2497">
        <v>14</v>
      </c>
      <c r="B22" s="2512" t="s">
        <v>9085</v>
      </c>
      <c r="C22" s="2512" t="s">
        <v>190</v>
      </c>
      <c r="D22" s="2489" t="s">
        <v>9086</v>
      </c>
      <c r="E22" s="2614"/>
      <c r="F22" s="2614"/>
      <c r="G22" s="2614"/>
      <c r="H22" s="2917">
        <v>21</v>
      </c>
      <c r="I22" s="2488"/>
      <c r="J22" s="2614"/>
      <c r="K22" s="2920">
        <v>1662</v>
      </c>
      <c r="L22" s="2918">
        <f t="shared" si="2"/>
        <v>1662</v>
      </c>
      <c r="M22" s="2479" t="str">
        <f t="shared" si="1"/>
        <v>Avangrid Renewables, LLC, SF, T-13</v>
      </c>
    </row>
    <row r="23" spans="1:13" ht="15.75" customHeight="1" x14ac:dyDescent="0.2">
      <c r="A23" s="2921">
        <f t="shared" ref="A23:A86" si="3">A22+0.001</f>
        <v>14.000999999999999</v>
      </c>
      <c r="B23" s="2512" t="s">
        <v>9085</v>
      </c>
      <c r="C23" s="2512" t="s">
        <v>190</v>
      </c>
      <c r="D23" s="2489" t="s">
        <v>9087</v>
      </c>
      <c r="E23" s="2614"/>
      <c r="F23" s="2614"/>
      <c r="G23" s="2614"/>
      <c r="H23" s="2917">
        <v>650</v>
      </c>
      <c r="I23" s="2488"/>
      <c r="J23" s="2530">
        <v>32500</v>
      </c>
      <c r="K23" s="2488"/>
      <c r="L23" s="2918">
        <f t="shared" si="2"/>
        <v>32500</v>
      </c>
      <c r="M23" s="2479" t="str">
        <f t="shared" si="1"/>
        <v>Avangrid Renewables, LLC, SF, WSPP-Q</v>
      </c>
    </row>
    <row r="24" spans="1:13" ht="15.75" customHeight="1" x14ac:dyDescent="0.2">
      <c r="A24" s="2921">
        <f t="shared" si="3"/>
        <v>14.001999999999999</v>
      </c>
      <c r="B24" s="2512" t="s">
        <v>9088</v>
      </c>
      <c r="C24" s="2512" t="s">
        <v>190</v>
      </c>
      <c r="D24" s="2489" t="s">
        <v>9077</v>
      </c>
      <c r="E24" s="2614"/>
      <c r="F24" s="2614"/>
      <c r="G24" s="2614"/>
      <c r="H24" s="2917">
        <v>1415</v>
      </c>
      <c r="I24" s="2488"/>
      <c r="J24" s="2530">
        <v>46375</v>
      </c>
      <c r="K24" s="2614"/>
      <c r="L24" s="2918">
        <f t="shared" si="2"/>
        <v>46375</v>
      </c>
      <c r="M24" s="2479" t="str">
        <f t="shared" si="1"/>
        <v>Avista Corporation, SF, T-12</v>
      </c>
    </row>
    <row r="25" spans="1:13" ht="15.75" customHeight="1" x14ac:dyDescent="0.2">
      <c r="A25" s="2921">
        <f t="shared" si="3"/>
        <v>14.002999999999998</v>
      </c>
      <c r="B25" s="2512" t="s">
        <v>9088</v>
      </c>
      <c r="C25" s="2512" t="s">
        <v>190</v>
      </c>
      <c r="D25" s="2489" t="s">
        <v>9086</v>
      </c>
      <c r="E25" s="2614"/>
      <c r="F25" s="2614"/>
      <c r="G25" s="2614"/>
      <c r="H25" s="2917">
        <v>31</v>
      </c>
      <c r="I25" s="2488"/>
      <c r="J25" s="2614"/>
      <c r="K25" s="2920">
        <v>1995</v>
      </c>
      <c r="L25" s="2918">
        <f t="shared" si="2"/>
        <v>1995</v>
      </c>
      <c r="M25" s="2479" t="str">
        <f t="shared" si="1"/>
        <v>Avista Corporation, SF, T-13</v>
      </c>
    </row>
    <row r="26" spans="1:13" ht="15.75" customHeight="1" x14ac:dyDescent="0.2">
      <c r="A26" s="2921">
        <f t="shared" si="3"/>
        <v>14.003999999999998</v>
      </c>
      <c r="B26" s="2512" t="s">
        <v>9089</v>
      </c>
      <c r="C26" s="2512" t="s">
        <v>190</v>
      </c>
      <c r="D26" s="2489" t="s">
        <v>9077</v>
      </c>
      <c r="E26" s="2614"/>
      <c r="F26" s="2614"/>
      <c r="G26" s="2614"/>
      <c r="H26" s="2917">
        <v>11249</v>
      </c>
      <c r="I26" s="2488"/>
      <c r="J26" s="2530">
        <v>521593</v>
      </c>
      <c r="K26" s="2614"/>
      <c r="L26" s="2918">
        <f t="shared" si="2"/>
        <v>521593</v>
      </c>
      <c r="M26" s="2479" t="str">
        <f t="shared" si="1"/>
        <v>Basin Electric Power Cooperative, SF, T-12</v>
      </c>
    </row>
    <row r="27" spans="1:13" ht="15.75" customHeight="1" x14ac:dyDescent="0.2">
      <c r="A27" s="2921">
        <f t="shared" si="3"/>
        <v>14.004999999999997</v>
      </c>
      <c r="B27" s="2512" t="s">
        <v>9090</v>
      </c>
      <c r="C27" s="2744" t="s">
        <v>188</v>
      </c>
      <c r="D27" s="2748">
        <v>441</v>
      </c>
      <c r="E27" s="2771">
        <v>50</v>
      </c>
      <c r="F27" s="2771">
        <v>50</v>
      </c>
      <c r="G27" s="2771">
        <v>48</v>
      </c>
      <c r="H27" s="2917">
        <v>334125</v>
      </c>
      <c r="I27" s="2530">
        <v>905976</v>
      </c>
      <c r="J27" s="2530">
        <v>8989815</v>
      </c>
      <c r="K27" s="2488"/>
      <c r="L27" s="2918">
        <f t="shared" si="2"/>
        <v>9895791</v>
      </c>
      <c r="M27" s="2479" t="str">
        <f t="shared" si="1"/>
        <v>Black Hills Power, Inc., LF, 441</v>
      </c>
    </row>
    <row r="28" spans="1:13" ht="15.75" customHeight="1" x14ac:dyDescent="0.2">
      <c r="A28" s="2921">
        <f t="shared" si="3"/>
        <v>14.005999999999997</v>
      </c>
      <c r="B28" s="2512" t="s">
        <v>9090</v>
      </c>
      <c r="C28" s="2512" t="s">
        <v>190</v>
      </c>
      <c r="D28" s="2489" t="s">
        <v>9077</v>
      </c>
      <c r="E28" s="2614"/>
      <c r="F28" s="2614"/>
      <c r="G28" s="2614"/>
      <c r="H28" s="2917">
        <v>82144</v>
      </c>
      <c r="I28" s="2488"/>
      <c r="J28" s="2530">
        <v>3828288</v>
      </c>
      <c r="K28" s="2488"/>
      <c r="L28" s="2918">
        <f t="shared" si="2"/>
        <v>3828288</v>
      </c>
      <c r="M28" s="2479" t="str">
        <f t="shared" si="1"/>
        <v>Black Hills Power, Inc., SF, T-12</v>
      </c>
    </row>
    <row r="29" spans="1:13" ht="15.75" customHeight="1" x14ac:dyDescent="0.2">
      <c r="A29" s="2921">
        <f t="shared" si="3"/>
        <v>14.006999999999996</v>
      </c>
      <c r="B29" s="2512" t="s">
        <v>9091</v>
      </c>
      <c r="C29" s="2512" t="s">
        <v>190</v>
      </c>
      <c r="D29" s="2489" t="s">
        <v>9077</v>
      </c>
      <c r="E29" s="2614"/>
      <c r="F29" s="2614"/>
      <c r="G29" s="2614"/>
      <c r="H29" s="2917">
        <v>91220</v>
      </c>
      <c r="I29" s="2488"/>
      <c r="J29" s="2530">
        <v>6028159</v>
      </c>
      <c r="K29" s="2614"/>
      <c r="L29" s="2918">
        <f t="shared" si="2"/>
        <v>6028159</v>
      </c>
      <c r="M29" s="2479" t="str">
        <f t="shared" si="1"/>
        <v>Bonneville Power Administration, SF, T-12</v>
      </c>
    </row>
    <row r="30" spans="1:13" ht="15.75" customHeight="1" x14ac:dyDescent="0.2">
      <c r="A30" s="2921">
        <f t="shared" si="3"/>
        <v>14.007999999999996</v>
      </c>
      <c r="B30" s="2512" t="s">
        <v>9091</v>
      </c>
      <c r="C30" s="2512" t="s">
        <v>190</v>
      </c>
      <c r="D30" s="2489" t="s">
        <v>9086</v>
      </c>
      <c r="E30" s="2614"/>
      <c r="F30" s="2614"/>
      <c r="G30" s="2614"/>
      <c r="H30" s="2917">
        <v>72</v>
      </c>
      <c r="I30" s="2488"/>
      <c r="J30" s="2614"/>
      <c r="K30" s="2920">
        <v>3282</v>
      </c>
      <c r="L30" s="2918">
        <f t="shared" si="2"/>
        <v>3282</v>
      </c>
      <c r="M30" s="2479" t="str">
        <f t="shared" si="1"/>
        <v>Bonneville Power Administration, SF, T-13</v>
      </c>
    </row>
    <row r="31" spans="1:13" ht="15.75" customHeight="1" x14ac:dyDescent="0.2">
      <c r="A31" s="2921">
        <f t="shared" si="3"/>
        <v>14.008999999999995</v>
      </c>
      <c r="B31" s="2512" t="s">
        <v>9091</v>
      </c>
      <c r="C31" s="2512" t="s">
        <v>190</v>
      </c>
      <c r="D31" s="2489" t="s">
        <v>9087</v>
      </c>
      <c r="E31" s="2614"/>
      <c r="F31" s="2614"/>
      <c r="G31" s="2614"/>
      <c r="H31" s="2917">
        <v>58700</v>
      </c>
      <c r="I31" s="2488"/>
      <c r="J31" s="2530">
        <v>8087325</v>
      </c>
      <c r="K31" s="2488"/>
      <c r="L31" s="2918">
        <f t="shared" si="2"/>
        <v>8087325</v>
      </c>
      <c r="M31" s="2479" t="str">
        <f t="shared" si="1"/>
        <v>Bonneville Power Administration, SF, WSPP-Q</v>
      </c>
    </row>
    <row r="32" spans="1:13" ht="15.75" customHeight="1" x14ac:dyDescent="0.2">
      <c r="A32" s="2921">
        <f t="shared" si="3"/>
        <v>14.009999999999994</v>
      </c>
      <c r="B32" s="2512" t="s">
        <v>9092</v>
      </c>
      <c r="C32" s="2512" t="s">
        <v>190</v>
      </c>
      <c r="D32" s="2489" t="s">
        <v>9077</v>
      </c>
      <c r="E32" s="2614"/>
      <c r="F32" s="2614"/>
      <c r="G32" s="2614"/>
      <c r="H32" s="2917">
        <v>45901</v>
      </c>
      <c r="I32" s="2488"/>
      <c r="J32" s="2530">
        <v>5348678</v>
      </c>
      <c r="K32" s="2488"/>
      <c r="L32" s="2918">
        <f t="shared" si="2"/>
        <v>5348678</v>
      </c>
      <c r="M32" s="2479" t="str">
        <f t="shared" si="1"/>
        <v>BP Energy Company, SF, T-12</v>
      </c>
    </row>
    <row r="33" spans="1:13" ht="15.75" customHeight="1" x14ac:dyDescent="0.2">
      <c r="A33" s="2921">
        <f t="shared" si="3"/>
        <v>14.010999999999994</v>
      </c>
      <c r="B33" s="2512" t="s">
        <v>9093</v>
      </c>
      <c r="C33" s="2512" t="s">
        <v>190</v>
      </c>
      <c r="D33" s="2489" t="s">
        <v>9086</v>
      </c>
      <c r="E33" s="2614"/>
      <c r="F33" s="2614"/>
      <c r="G33" s="2614"/>
      <c r="H33" s="2917">
        <v>19</v>
      </c>
      <c r="I33" s="2488"/>
      <c r="J33" s="2614"/>
      <c r="K33" s="2920">
        <v>1392</v>
      </c>
      <c r="L33" s="2918">
        <f t="shared" si="2"/>
        <v>1392</v>
      </c>
      <c r="M33" s="2479" t="str">
        <f t="shared" si="1"/>
        <v>British Columbia Hydro and Power Authority, SF, T-13</v>
      </c>
    </row>
    <row r="34" spans="1:13" ht="15.75" customHeight="1" x14ac:dyDescent="0.2">
      <c r="A34" s="2921">
        <f t="shared" si="3"/>
        <v>14.011999999999993</v>
      </c>
      <c r="B34" s="2512" t="s">
        <v>9094</v>
      </c>
      <c r="C34" s="2922" t="s">
        <v>196</v>
      </c>
      <c r="D34" s="2489" t="s">
        <v>9077</v>
      </c>
      <c r="E34" s="2614"/>
      <c r="F34" s="2614"/>
      <c r="G34" s="2614"/>
      <c r="H34" s="2917">
        <v>2</v>
      </c>
      <c r="I34" s="2488"/>
      <c r="J34" s="2614"/>
      <c r="K34" s="2839">
        <v>104</v>
      </c>
      <c r="L34" s="2918">
        <f t="shared" si="2"/>
        <v>104</v>
      </c>
      <c r="M34" s="2479" t="str">
        <f t="shared" si="1"/>
        <v>Brookfield Renewable Trading and Marketing LP, AD, T-12</v>
      </c>
    </row>
    <row r="35" spans="1:13" ht="15.75" customHeight="1" x14ac:dyDescent="0.2">
      <c r="A35" s="2921">
        <f t="shared" si="3"/>
        <v>14.012999999999993</v>
      </c>
      <c r="B35" s="2512" t="s">
        <v>9094</v>
      </c>
      <c r="C35" s="2512" t="s">
        <v>190</v>
      </c>
      <c r="D35" s="2489" t="s">
        <v>9077</v>
      </c>
      <c r="E35" s="2614"/>
      <c r="F35" s="2614"/>
      <c r="G35" s="2614"/>
      <c r="H35" s="2917">
        <v>5520</v>
      </c>
      <c r="I35" s="2488"/>
      <c r="J35" s="2530">
        <v>722215</v>
      </c>
      <c r="K35" s="2488"/>
      <c r="L35" s="2918">
        <f t="shared" si="2"/>
        <v>722215</v>
      </c>
      <c r="M35" s="2479" t="str">
        <f t="shared" si="1"/>
        <v>Brookfield Renewable Trading and Marketing LP, SF, T-12</v>
      </c>
    </row>
    <row r="36" spans="1:13" ht="15.75" customHeight="1" x14ac:dyDescent="0.2">
      <c r="A36" s="2921">
        <f t="shared" si="3"/>
        <v>14.013999999999992</v>
      </c>
      <c r="B36" s="2512" t="s">
        <v>9094</v>
      </c>
      <c r="C36" s="2512" t="s">
        <v>190</v>
      </c>
      <c r="D36" s="2489" t="s">
        <v>9087</v>
      </c>
      <c r="E36" s="2614"/>
      <c r="F36" s="2614"/>
      <c r="G36" s="2614"/>
      <c r="H36" s="2917">
        <v>400</v>
      </c>
      <c r="I36" s="2488"/>
      <c r="J36" s="2530">
        <v>25112</v>
      </c>
      <c r="K36" s="2488"/>
      <c r="L36" s="2918">
        <f t="shared" si="2"/>
        <v>25112</v>
      </c>
      <c r="M36" s="2479" t="str">
        <f t="shared" si="1"/>
        <v>Brookfield Renewable Trading and Marketing LP, SF, WSPP-Q</v>
      </c>
    </row>
    <row r="37" spans="1:13" ht="15.75" customHeight="1" x14ac:dyDescent="0.2">
      <c r="A37" s="2921">
        <f t="shared" si="3"/>
        <v>14.014999999999992</v>
      </c>
      <c r="B37" s="2512" t="s">
        <v>9095</v>
      </c>
      <c r="C37" s="2512" t="s">
        <v>190</v>
      </c>
      <c r="D37" s="2489" t="s">
        <v>9077</v>
      </c>
      <c r="E37" s="2614"/>
      <c r="F37" s="2614"/>
      <c r="G37" s="2614"/>
      <c r="H37" s="2917">
        <v>6327</v>
      </c>
      <c r="I37" s="2488"/>
      <c r="J37" s="2530">
        <v>187972</v>
      </c>
      <c r="K37" s="2488"/>
      <c r="L37" s="2918">
        <f t="shared" si="2"/>
        <v>187972</v>
      </c>
      <c r="M37" s="2479" t="str">
        <f t="shared" si="1"/>
        <v>Calpine Energy Services, L.P., SF, T-12</v>
      </c>
    </row>
    <row r="38" spans="1:13" ht="15.75" customHeight="1" x14ac:dyDescent="0.2">
      <c r="A38" s="2921">
        <f t="shared" si="3"/>
        <v>14.015999999999991</v>
      </c>
      <c r="B38" s="2512" t="s">
        <v>9096</v>
      </c>
      <c r="C38" s="2922" t="s">
        <v>196</v>
      </c>
      <c r="D38" s="2489" t="s">
        <v>9077</v>
      </c>
      <c r="E38" s="2614"/>
      <c r="F38" s="2614"/>
      <c r="G38" s="2614"/>
      <c r="H38" s="2917">
        <v>177</v>
      </c>
      <c r="I38" s="2488"/>
      <c r="J38" s="2614"/>
      <c r="K38" s="2839">
        <v>24196</v>
      </c>
      <c r="L38" s="2918">
        <f t="shared" si="2"/>
        <v>24196</v>
      </c>
      <c r="M38" s="2479" t="str">
        <f t="shared" si="1"/>
        <v>Citigroup Energy Inc., AD, T-12</v>
      </c>
    </row>
    <row r="39" spans="1:13" ht="15.75" customHeight="1" x14ac:dyDescent="0.2">
      <c r="A39" s="2921">
        <f t="shared" si="3"/>
        <v>14.016999999999991</v>
      </c>
      <c r="B39" s="2512" t="s">
        <v>9096</v>
      </c>
      <c r="C39" s="2512" t="s">
        <v>190</v>
      </c>
      <c r="D39" s="2489" t="s">
        <v>9077</v>
      </c>
      <c r="E39" s="2614"/>
      <c r="F39" s="2614"/>
      <c r="G39" s="2614"/>
      <c r="H39" s="2917">
        <v>293347</v>
      </c>
      <c r="I39" s="2488"/>
      <c r="J39" s="2530">
        <v>18983556</v>
      </c>
      <c r="K39" s="2614"/>
      <c r="L39" s="2918">
        <f t="shared" si="2"/>
        <v>18983556</v>
      </c>
      <c r="M39" s="2479" t="str">
        <f t="shared" si="1"/>
        <v>Citigroup Energy Inc., SF, T-12</v>
      </c>
    </row>
    <row r="40" spans="1:13" ht="15.75" customHeight="1" x14ac:dyDescent="0.2">
      <c r="A40" s="2921">
        <f t="shared" si="3"/>
        <v>14.01799999999999</v>
      </c>
      <c r="B40" s="2512" t="s">
        <v>9097</v>
      </c>
      <c r="C40" s="2512" t="s">
        <v>190</v>
      </c>
      <c r="D40" s="2489" t="s">
        <v>9077</v>
      </c>
      <c r="E40" s="2614"/>
      <c r="F40" s="2614"/>
      <c r="G40" s="2614"/>
      <c r="H40" s="2917">
        <v>1692</v>
      </c>
      <c r="I40" s="2488"/>
      <c r="J40" s="2530">
        <v>144377</v>
      </c>
      <c r="K40" s="2488"/>
      <c r="L40" s="2918">
        <f t="shared" si="2"/>
        <v>144377</v>
      </c>
      <c r="M40" s="2479" t="str">
        <f t="shared" si="1"/>
        <v>City of Burbank, SF, T-12</v>
      </c>
    </row>
    <row r="41" spans="1:13" ht="15.75" customHeight="1" x14ac:dyDescent="0.2">
      <c r="A41" s="2921">
        <f t="shared" si="3"/>
        <v>14.018999999999989</v>
      </c>
      <c r="B41" s="2512" t="s">
        <v>9098</v>
      </c>
      <c r="C41" s="2512" t="s">
        <v>190</v>
      </c>
      <c r="D41" s="2489" t="s">
        <v>9077</v>
      </c>
      <c r="E41" s="2614"/>
      <c r="F41" s="2614"/>
      <c r="G41" s="2614"/>
      <c r="H41" s="2917">
        <v>800</v>
      </c>
      <c r="I41" s="2488"/>
      <c r="J41" s="2530">
        <v>114600</v>
      </c>
      <c r="K41" s="2488"/>
      <c r="L41" s="2918">
        <f t="shared" si="2"/>
        <v>114600</v>
      </c>
      <c r="M41" s="2479" t="str">
        <f t="shared" si="1"/>
        <v>City of Glendale, SF, T-12</v>
      </c>
    </row>
    <row r="42" spans="1:13" ht="15.75" customHeight="1" x14ac:dyDescent="0.2">
      <c r="A42" s="2921">
        <f t="shared" si="3"/>
        <v>14.019999999999989</v>
      </c>
      <c r="B42" s="2512" t="s">
        <v>9099</v>
      </c>
      <c r="C42" s="2512" t="s">
        <v>189</v>
      </c>
      <c r="D42" s="2748">
        <v>560</v>
      </c>
      <c r="E42" s="2614"/>
      <c r="F42" s="2614"/>
      <c r="G42" s="2614"/>
      <c r="H42" s="2917">
        <v>175</v>
      </c>
      <c r="I42" s="2488"/>
      <c r="J42" s="2530">
        <v>22846</v>
      </c>
      <c r="K42" s="2614"/>
      <c r="L42" s="2918">
        <f t="shared" si="2"/>
        <v>22846</v>
      </c>
      <c r="M42" s="2479" t="str">
        <f t="shared" si="1"/>
        <v>City of Hurricane, IF, 560</v>
      </c>
    </row>
    <row r="43" spans="1:13" ht="15.75" customHeight="1" x14ac:dyDescent="0.2">
      <c r="A43" s="2921">
        <f t="shared" si="3"/>
        <v>14.020999999999988</v>
      </c>
      <c r="B43" s="2512" t="s">
        <v>9100</v>
      </c>
      <c r="C43" s="2512" t="s">
        <v>190</v>
      </c>
      <c r="D43" s="2489" t="s">
        <v>9077</v>
      </c>
      <c r="E43" s="2614"/>
      <c r="F43" s="2614"/>
      <c r="G43" s="2614"/>
      <c r="H43" s="2917">
        <v>6200</v>
      </c>
      <c r="I43" s="2488"/>
      <c r="J43" s="2530">
        <v>606220</v>
      </c>
      <c r="K43" s="2488"/>
      <c r="L43" s="2918">
        <f t="shared" si="2"/>
        <v>606220</v>
      </c>
      <c r="M43" s="2479" t="str">
        <f t="shared" si="1"/>
        <v>City of Roseville, SF, T-12</v>
      </c>
    </row>
    <row r="44" spans="1:13" ht="15.75" customHeight="1" x14ac:dyDescent="0.2">
      <c r="A44" s="2921">
        <f t="shared" si="3"/>
        <v>14.021999999999988</v>
      </c>
      <c r="B44" s="2512" t="s">
        <v>9101</v>
      </c>
      <c r="C44" s="2512" t="s">
        <v>190</v>
      </c>
      <c r="D44" s="2489" t="s">
        <v>9077</v>
      </c>
      <c r="E44" s="2614"/>
      <c r="F44" s="2614"/>
      <c r="G44" s="2614"/>
      <c r="H44" s="2917">
        <v>70</v>
      </c>
      <c r="I44" s="2488"/>
      <c r="J44" s="2530">
        <v>3325</v>
      </c>
      <c r="K44" s="2488"/>
      <c r="L44" s="2918">
        <f t="shared" si="2"/>
        <v>3325</v>
      </c>
      <c r="M44" s="2479" t="str">
        <f t="shared" si="1"/>
        <v>City of St. George, Utah, SF, T-12</v>
      </c>
    </row>
    <row r="45" spans="1:13" ht="15.75" customHeight="1" x14ac:dyDescent="0.2">
      <c r="A45" s="2921">
        <f t="shared" si="3"/>
        <v>14.022999999999987</v>
      </c>
      <c r="B45" s="2512" t="s">
        <v>9102</v>
      </c>
      <c r="C45" s="2512" t="s">
        <v>190</v>
      </c>
      <c r="D45" s="2489" t="s">
        <v>9077</v>
      </c>
      <c r="E45" s="2614"/>
      <c r="F45" s="2614"/>
      <c r="G45" s="2614"/>
      <c r="H45" s="2917">
        <v>2551</v>
      </c>
      <c r="I45" s="2488"/>
      <c r="J45" s="2530">
        <v>131124</v>
      </c>
      <c r="K45" s="2488"/>
      <c r="L45" s="2918">
        <f t="shared" si="2"/>
        <v>131124</v>
      </c>
      <c r="M45" s="2479" t="str">
        <f t="shared" si="1"/>
        <v>Clatskanie People's Utility District, SF, T-12</v>
      </c>
    </row>
    <row r="46" spans="1:13" ht="15.75" customHeight="1" x14ac:dyDescent="0.2">
      <c r="A46" s="2921">
        <f t="shared" si="3"/>
        <v>14.023999999999987</v>
      </c>
      <c r="B46" s="2512" t="s">
        <v>9103</v>
      </c>
      <c r="C46" s="2512" t="s">
        <v>190</v>
      </c>
      <c r="D46" s="2489" t="s">
        <v>9077</v>
      </c>
      <c r="E46" s="2614"/>
      <c r="F46" s="2614"/>
      <c r="G46" s="2614"/>
      <c r="H46" s="2917">
        <v>11662</v>
      </c>
      <c r="I46" s="2488"/>
      <c r="J46" s="2530">
        <v>845453</v>
      </c>
      <c r="K46" s="2614"/>
      <c r="L46" s="2918">
        <f t="shared" si="2"/>
        <v>845453</v>
      </c>
      <c r="M46" s="2479" t="str">
        <f t="shared" si="1"/>
        <v>ConocoPhillips Company, SF, T-12</v>
      </c>
    </row>
    <row r="47" spans="1:13" ht="15.75" customHeight="1" x14ac:dyDescent="0.2">
      <c r="A47" s="2921">
        <f t="shared" si="3"/>
        <v>14.024999999999986</v>
      </c>
      <c r="B47" s="2512" t="s">
        <v>9104</v>
      </c>
      <c r="C47" s="2512" t="s">
        <v>190</v>
      </c>
      <c r="D47" s="2489" t="s">
        <v>9077</v>
      </c>
      <c r="E47" s="2614"/>
      <c r="F47" s="2614"/>
      <c r="G47" s="2614"/>
      <c r="H47" s="2917">
        <v>5703</v>
      </c>
      <c r="I47" s="2488"/>
      <c r="J47" s="2530">
        <v>472864</v>
      </c>
      <c r="K47" s="2614"/>
      <c r="L47" s="2918">
        <f t="shared" si="2"/>
        <v>472864</v>
      </c>
      <c r="M47" s="2479" t="str">
        <f t="shared" si="1"/>
        <v>Constellation Energy Generation, LLC, SF, T-12</v>
      </c>
    </row>
    <row r="48" spans="1:13" ht="15.75" customHeight="1" x14ac:dyDescent="0.2">
      <c r="A48" s="2921">
        <f t="shared" si="3"/>
        <v>14.025999999999986</v>
      </c>
      <c r="B48" s="2512" t="s">
        <v>9104</v>
      </c>
      <c r="C48" s="2512" t="s">
        <v>190</v>
      </c>
      <c r="D48" s="2489" t="s">
        <v>9087</v>
      </c>
      <c r="E48" s="2614"/>
      <c r="F48" s="2614"/>
      <c r="G48" s="2614"/>
      <c r="H48" s="2917">
        <v>40</v>
      </c>
      <c r="I48" s="2488"/>
      <c r="J48" s="2530">
        <v>6800</v>
      </c>
      <c r="K48" s="2488"/>
      <c r="L48" s="2918">
        <f t="shared" si="2"/>
        <v>6800</v>
      </c>
      <c r="M48" s="2479" t="str">
        <f t="shared" si="1"/>
        <v>Constellation Energy Generation, LLC, SF, WSPP-Q</v>
      </c>
    </row>
    <row r="49" spans="1:13" ht="15.75" customHeight="1" x14ac:dyDescent="0.2">
      <c r="A49" s="2921">
        <f t="shared" si="3"/>
        <v>14.026999999999985</v>
      </c>
      <c r="B49" s="2512" t="s">
        <v>9105</v>
      </c>
      <c r="C49" s="2512" t="s">
        <v>190</v>
      </c>
      <c r="D49" s="2489" t="s">
        <v>9077</v>
      </c>
      <c r="E49" s="2614"/>
      <c r="F49" s="2614"/>
      <c r="G49" s="2614"/>
      <c r="H49" s="2917">
        <v>4</v>
      </c>
      <c r="I49" s="2488"/>
      <c r="J49" s="2530">
        <v>265</v>
      </c>
      <c r="K49" s="2488"/>
      <c r="L49" s="2918">
        <f t="shared" si="2"/>
        <v>265</v>
      </c>
      <c r="M49" s="2479" t="str">
        <f t="shared" si="1"/>
        <v>CP Energy Marketing (US) Inc., SF, T-12</v>
      </c>
    </row>
    <row r="50" spans="1:13" ht="15.75" customHeight="1" x14ac:dyDescent="0.2">
      <c r="A50" s="2921">
        <f t="shared" si="3"/>
        <v>14.027999999999984</v>
      </c>
      <c r="B50" s="2512" t="s">
        <v>9106</v>
      </c>
      <c r="C50" s="2512" t="s">
        <v>190</v>
      </c>
      <c r="D50" s="2489" t="s">
        <v>9077</v>
      </c>
      <c r="E50" s="2614"/>
      <c r="F50" s="2614"/>
      <c r="G50" s="2614"/>
      <c r="H50" s="2917">
        <v>124856</v>
      </c>
      <c r="I50" s="2488"/>
      <c r="J50" s="2530">
        <v>13100942</v>
      </c>
      <c r="K50" s="2614"/>
      <c r="L50" s="2918">
        <f t="shared" si="2"/>
        <v>13100942</v>
      </c>
      <c r="M50" s="2479" t="str">
        <f t="shared" si="1"/>
        <v>Dynasty Power Inc., SF, T-12</v>
      </c>
    </row>
    <row r="51" spans="1:13" ht="15.75" customHeight="1" x14ac:dyDescent="0.2">
      <c r="A51" s="2921">
        <f t="shared" si="3"/>
        <v>14.028999999999984</v>
      </c>
      <c r="B51" s="2512" t="s">
        <v>9106</v>
      </c>
      <c r="C51" s="2512" t="s">
        <v>190</v>
      </c>
      <c r="D51" s="2489" t="s">
        <v>9087</v>
      </c>
      <c r="E51" s="2614"/>
      <c r="F51" s="2614"/>
      <c r="G51" s="2614"/>
      <c r="H51" s="2917">
        <v>1209</v>
      </c>
      <c r="I51" s="2488"/>
      <c r="J51" s="2530">
        <v>75696</v>
      </c>
      <c r="K51" s="2488"/>
      <c r="L51" s="2918">
        <f t="shared" si="2"/>
        <v>75696</v>
      </c>
      <c r="M51" s="2479" t="str">
        <f t="shared" si="1"/>
        <v>Dynasty Power Inc., SF, WSPP-Q</v>
      </c>
    </row>
    <row r="52" spans="1:13" ht="15.75" customHeight="1" x14ac:dyDescent="0.2">
      <c r="A52" s="2921">
        <f t="shared" si="3"/>
        <v>14.029999999999983</v>
      </c>
      <c r="B52" s="2512" t="s">
        <v>9107</v>
      </c>
      <c r="C52" s="2512" t="s">
        <v>190</v>
      </c>
      <c r="D52" s="2489" t="s">
        <v>9077</v>
      </c>
      <c r="E52" s="2614"/>
      <c r="F52" s="2614"/>
      <c r="G52" s="2614"/>
      <c r="H52" s="2917">
        <v>169</v>
      </c>
      <c r="I52" s="2488"/>
      <c r="J52" s="2530">
        <v>7882</v>
      </c>
      <c r="K52" s="2614"/>
      <c r="L52" s="2918">
        <f t="shared" si="2"/>
        <v>7882</v>
      </c>
      <c r="M52" s="2479" t="str">
        <f t="shared" si="1"/>
        <v>EDF Trading North America, LLC, SF, T-12</v>
      </c>
    </row>
    <row r="53" spans="1:13" ht="15.75" customHeight="1" x14ac:dyDescent="0.2">
      <c r="A53" s="2921">
        <f t="shared" si="3"/>
        <v>14.030999999999983</v>
      </c>
      <c r="B53" s="2512" t="s">
        <v>9108</v>
      </c>
      <c r="C53" s="2922" t="s">
        <v>196</v>
      </c>
      <c r="D53" s="2489" t="s">
        <v>9077</v>
      </c>
      <c r="E53" s="2614"/>
      <c r="F53" s="2614"/>
      <c r="G53" s="2614"/>
      <c r="H53" s="2917">
        <v>67</v>
      </c>
      <c r="I53" s="2488"/>
      <c r="J53" s="2614"/>
      <c r="K53" s="2839">
        <v>7401</v>
      </c>
      <c r="L53" s="2918">
        <f t="shared" si="2"/>
        <v>7401</v>
      </c>
      <c r="M53" s="2479" t="str">
        <f t="shared" si="1"/>
        <v>El Paso Electric Company, AD, T-12</v>
      </c>
    </row>
    <row r="54" spans="1:13" ht="15.75" customHeight="1" x14ac:dyDescent="0.2">
      <c r="A54" s="2921">
        <f t="shared" si="3"/>
        <v>14.031999999999982</v>
      </c>
      <c r="B54" s="2512" t="s">
        <v>9108</v>
      </c>
      <c r="C54" s="2512" t="s">
        <v>190</v>
      </c>
      <c r="D54" s="2489" t="s">
        <v>9077</v>
      </c>
      <c r="E54" s="2614"/>
      <c r="F54" s="2614"/>
      <c r="G54" s="2614"/>
      <c r="H54" s="2917">
        <v>3099</v>
      </c>
      <c r="I54" s="2488"/>
      <c r="J54" s="2530">
        <v>245086</v>
      </c>
      <c r="K54" s="2614"/>
      <c r="L54" s="2918">
        <f t="shared" si="2"/>
        <v>245086</v>
      </c>
      <c r="M54" s="2479" t="str">
        <f t="shared" si="1"/>
        <v>El Paso Electric Company, SF, T-12</v>
      </c>
    </row>
    <row r="55" spans="1:13" ht="15.75" customHeight="1" x14ac:dyDescent="0.2">
      <c r="A55" s="2921">
        <f t="shared" si="3"/>
        <v>14.032999999999982</v>
      </c>
      <c r="B55" s="2512" t="s">
        <v>9109</v>
      </c>
      <c r="C55" s="2512" t="s">
        <v>190</v>
      </c>
      <c r="D55" s="2489" t="s">
        <v>9077</v>
      </c>
      <c r="E55" s="2614"/>
      <c r="F55" s="2614"/>
      <c r="G55" s="2614"/>
      <c r="H55" s="2917">
        <v>1997</v>
      </c>
      <c r="I55" s="2488"/>
      <c r="J55" s="2530">
        <v>108332</v>
      </c>
      <c r="K55" s="2488"/>
      <c r="L55" s="2918">
        <f t="shared" si="2"/>
        <v>108332</v>
      </c>
      <c r="M55" s="2479" t="str">
        <f t="shared" si="1"/>
        <v>Energy Keepers, Inc., SF, T-12</v>
      </c>
    </row>
    <row r="56" spans="1:13" ht="15.75" customHeight="1" x14ac:dyDescent="0.2">
      <c r="A56" s="2921">
        <f t="shared" si="3"/>
        <v>14.033999999999981</v>
      </c>
      <c r="B56" s="2512" t="s">
        <v>9110</v>
      </c>
      <c r="C56" s="2512" t="s">
        <v>190</v>
      </c>
      <c r="D56" s="2489" t="s">
        <v>9077</v>
      </c>
      <c r="E56" s="2614"/>
      <c r="F56" s="2614"/>
      <c r="G56" s="2614"/>
      <c r="H56" s="2917">
        <v>4518</v>
      </c>
      <c r="I56" s="2488"/>
      <c r="J56" s="2530">
        <v>234713</v>
      </c>
      <c r="K56" s="2488"/>
      <c r="L56" s="2918">
        <f t="shared" si="2"/>
        <v>234713</v>
      </c>
      <c r="M56" s="2479" t="str">
        <f t="shared" si="1"/>
        <v>Eugene Water &amp; Electric Board, SF, T-12</v>
      </c>
    </row>
    <row r="57" spans="1:13" ht="15.75" customHeight="1" x14ac:dyDescent="0.2">
      <c r="A57" s="2921">
        <f t="shared" si="3"/>
        <v>14.034999999999981</v>
      </c>
      <c r="B57" s="2512" t="s">
        <v>9111</v>
      </c>
      <c r="C57" s="2922" t="s">
        <v>196</v>
      </c>
      <c r="D57" s="2489" t="s">
        <v>9086</v>
      </c>
      <c r="E57" s="2614"/>
      <c r="F57" s="2614"/>
      <c r="G57" s="2614"/>
      <c r="H57" s="2614"/>
      <c r="I57" s="2488"/>
      <c r="J57" s="2614"/>
      <c r="K57" s="2839">
        <v>491</v>
      </c>
      <c r="L57" s="2918">
        <f t="shared" si="2"/>
        <v>491</v>
      </c>
      <c r="M57" s="2479" t="str">
        <f t="shared" si="1"/>
        <v>Gridforce Energy Management, LLC, AD, T-13</v>
      </c>
    </row>
    <row r="58" spans="1:13" ht="15.75" customHeight="1" x14ac:dyDescent="0.2">
      <c r="A58" s="2921">
        <f t="shared" si="3"/>
        <v>14.03599999999998</v>
      </c>
      <c r="B58" s="2512" t="s">
        <v>9111</v>
      </c>
      <c r="C58" s="2512" t="s">
        <v>190</v>
      </c>
      <c r="D58" s="2489" t="s">
        <v>9086</v>
      </c>
      <c r="E58" s="2614"/>
      <c r="F58" s="2614"/>
      <c r="G58" s="2614"/>
      <c r="H58" s="2917">
        <v>580</v>
      </c>
      <c r="I58" s="2488"/>
      <c r="J58" s="2614"/>
      <c r="K58" s="2920">
        <v>45770</v>
      </c>
      <c r="L58" s="2918">
        <f t="shared" si="2"/>
        <v>45770</v>
      </c>
      <c r="M58" s="2479" t="str">
        <f t="shared" si="1"/>
        <v>Gridforce Energy Management, LLC, SF, T-13</v>
      </c>
    </row>
    <row r="59" spans="1:13" ht="15.75" customHeight="1" x14ac:dyDescent="0.2">
      <c r="A59" s="2921">
        <f t="shared" si="3"/>
        <v>14.036999999999979</v>
      </c>
      <c r="B59" s="2512" t="s">
        <v>9112</v>
      </c>
      <c r="C59" s="2512" t="s">
        <v>190</v>
      </c>
      <c r="D59" s="2489" t="s">
        <v>9077</v>
      </c>
      <c r="E59" s="2614"/>
      <c r="F59" s="2614"/>
      <c r="G59" s="2614"/>
      <c r="H59" s="2917">
        <v>18476</v>
      </c>
      <c r="I59" s="2488"/>
      <c r="J59" s="2530">
        <v>949678</v>
      </c>
      <c r="K59" s="2614"/>
      <c r="L59" s="2918">
        <f t="shared" si="2"/>
        <v>949678</v>
      </c>
      <c r="M59" s="2479" t="str">
        <f t="shared" si="1"/>
        <v>Guzman Energy, LLC, SF, T-12</v>
      </c>
    </row>
    <row r="60" spans="1:13" ht="15.75" customHeight="1" x14ac:dyDescent="0.2">
      <c r="A60" s="2921">
        <f t="shared" si="3"/>
        <v>14.037999999999979</v>
      </c>
      <c r="B60" s="2512" t="s">
        <v>9113</v>
      </c>
      <c r="C60" s="2512" t="s">
        <v>190</v>
      </c>
      <c r="D60" s="2489" t="s">
        <v>9086</v>
      </c>
      <c r="E60" s="2614"/>
      <c r="F60" s="2614"/>
      <c r="G60" s="2614"/>
      <c r="H60" s="2917">
        <v>237</v>
      </c>
      <c r="I60" s="2488"/>
      <c r="J60" s="2614"/>
      <c r="K60" s="2920">
        <v>11733</v>
      </c>
      <c r="L60" s="2918">
        <f t="shared" si="2"/>
        <v>11733</v>
      </c>
      <c r="M60" s="2479" t="str">
        <f t="shared" si="1"/>
        <v>Idaho Power Company, SF, T-13</v>
      </c>
    </row>
    <row r="61" spans="1:13" ht="15.75" customHeight="1" x14ac:dyDescent="0.2">
      <c r="A61" s="2921">
        <f t="shared" si="3"/>
        <v>14.038999999999978</v>
      </c>
      <c r="B61" s="2512" t="s">
        <v>9113</v>
      </c>
      <c r="C61" s="2512" t="s">
        <v>190</v>
      </c>
      <c r="D61" s="2489" t="s">
        <v>9087</v>
      </c>
      <c r="E61" s="2614"/>
      <c r="F61" s="2614"/>
      <c r="G61" s="2614"/>
      <c r="H61" s="2917">
        <v>40</v>
      </c>
      <c r="I61" s="2488"/>
      <c r="J61" s="2530">
        <v>1400</v>
      </c>
      <c r="K61" s="2614"/>
      <c r="L61" s="2918">
        <f t="shared" si="2"/>
        <v>1400</v>
      </c>
      <c r="M61" s="2479" t="str">
        <f t="shared" si="1"/>
        <v>Idaho Power Company, SF, WSPP-Q</v>
      </c>
    </row>
    <row r="62" spans="1:13" ht="15.75" customHeight="1" x14ac:dyDescent="0.2">
      <c r="A62" s="2921">
        <f t="shared" si="3"/>
        <v>14.039999999999978</v>
      </c>
      <c r="B62" s="2512" t="s">
        <v>9114</v>
      </c>
      <c r="C62" s="2922" t="s">
        <v>196</v>
      </c>
      <c r="D62" s="2489" t="s">
        <v>9077</v>
      </c>
      <c r="E62" s="2614"/>
      <c r="F62" s="2614"/>
      <c r="G62" s="2614"/>
      <c r="H62" s="2917">
        <v>110</v>
      </c>
      <c r="I62" s="2488"/>
      <c r="J62" s="2614"/>
      <c r="K62" s="2839">
        <v>13111</v>
      </c>
      <c r="L62" s="2918">
        <f t="shared" si="2"/>
        <v>13111</v>
      </c>
      <c r="M62" s="2479" t="str">
        <f t="shared" si="1"/>
        <v>Macquarie Energy LLC, AD, T-12</v>
      </c>
    </row>
    <row r="63" spans="1:13" ht="15.75" customHeight="1" x14ac:dyDescent="0.2">
      <c r="A63" s="2921">
        <f t="shared" si="3"/>
        <v>14.040999999999977</v>
      </c>
      <c r="B63" s="2512" t="s">
        <v>9114</v>
      </c>
      <c r="C63" s="2922" t="s">
        <v>196</v>
      </c>
      <c r="D63" s="2489" t="s">
        <v>9087</v>
      </c>
      <c r="E63" s="2614"/>
      <c r="F63" s="2614"/>
      <c r="G63" s="2614"/>
      <c r="H63" s="2917">
        <v>58</v>
      </c>
      <c r="I63" s="2488"/>
      <c r="J63" s="2614"/>
      <c r="K63" s="2839">
        <v>4930</v>
      </c>
      <c r="L63" s="2918">
        <f t="shared" si="2"/>
        <v>4930</v>
      </c>
      <c r="M63" s="2479" t="str">
        <f t="shared" si="1"/>
        <v>Macquarie Energy LLC, AD, WSPP-Q</v>
      </c>
    </row>
    <row r="64" spans="1:13" ht="15.75" customHeight="1" x14ac:dyDescent="0.2">
      <c r="A64" s="2921">
        <f t="shared" si="3"/>
        <v>14.041999999999977</v>
      </c>
      <c r="B64" s="2512" t="s">
        <v>9114</v>
      </c>
      <c r="C64" s="2512" t="s">
        <v>190</v>
      </c>
      <c r="D64" s="2489" t="s">
        <v>9077</v>
      </c>
      <c r="E64" s="2614"/>
      <c r="F64" s="2614"/>
      <c r="G64" s="2614"/>
      <c r="H64" s="2917">
        <v>15942</v>
      </c>
      <c r="I64" s="2488"/>
      <c r="J64" s="2530">
        <v>1035260</v>
      </c>
      <c r="K64" s="2488"/>
      <c r="L64" s="2918">
        <f t="shared" si="2"/>
        <v>1035260</v>
      </c>
      <c r="M64" s="2479" t="str">
        <f t="shared" si="1"/>
        <v>Macquarie Energy LLC, SF, T-12</v>
      </c>
    </row>
    <row r="65" spans="1:13" ht="15.75" customHeight="1" x14ac:dyDescent="0.2">
      <c r="A65" s="2921">
        <f t="shared" si="3"/>
        <v>14.042999999999976</v>
      </c>
      <c r="B65" s="2512" t="s">
        <v>9114</v>
      </c>
      <c r="C65" s="2512" t="s">
        <v>190</v>
      </c>
      <c r="D65" s="2489" t="s">
        <v>9087</v>
      </c>
      <c r="E65" s="2614"/>
      <c r="F65" s="2614"/>
      <c r="G65" s="2614"/>
      <c r="H65" s="2917">
        <v>836</v>
      </c>
      <c r="I65" s="2488"/>
      <c r="J65" s="2530">
        <v>63708</v>
      </c>
      <c r="K65" s="2614"/>
      <c r="L65" s="2918">
        <f t="shared" si="2"/>
        <v>63708</v>
      </c>
      <c r="M65" s="2479" t="str">
        <f t="shared" si="1"/>
        <v>Macquarie Energy LLC, SF, WSPP-Q</v>
      </c>
    </row>
    <row r="66" spans="1:13" ht="15.75" customHeight="1" x14ac:dyDescent="0.2">
      <c r="A66" s="2921">
        <f t="shared" si="3"/>
        <v>14.043999999999976</v>
      </c>
      <c r="B66" s="2512" t="s">
        <v>9115</v>
      </c>
      <c r="C66" s="2512" t="s">
        <v>190</v>
      </c>
      <c r="D66" s="2489" t="s">
        <v>9087</v>
      </c>
      <c r="E66" s="2614"/>
      <c r="F66" s="2614"/>
      <c r="G66" s="2614"/>
      <c r="H66" s="2917">
        <v>3</v>
      </c>
      <c r="I66" s="2488"/>
      <c r="J66" s="2530">
        <v>135</v>
      </c>
      <c r="K66" s="2614"/>
      <c r="L66" s="2918">
        <f t="shared" si="2"/>
        <v>135</v>
      </c>
      <c r="M66" s="2479" t="str">
        <f t="shared" si="1"/>
        <v>Mag Energy Solutions Inc, SF, WSPP-Q</v>
      </c>
    </row>
    <row r="67" spans="1:13" ht="15.75" customHeight="1" x14ac:dyDescent="0.2">
      <c r="A67" s="2921">
        <f t="shared" si="3"/>
        <v>14.044999999999975</v>
      </c>
      <c r="B67" s="2512" t="s">
        <v>9116</v>
      </c>
      <c r="C67" s="2922" t="s">
        <v>196</v>
      </c>
      <c r="D67" s="2489" t="s">
        <v>9077</v>
      </c>
      <c r="E67" s="2614"/>
      <c r="F67" s="2614"/>
      <c r="G67" s="2614"/>
      <c r="H67" s="2917">
        <v>134</v>
      </c>
      <c r="I67" s="2488"/>
      <c r="J67" s="2614"/>
      <c r="K67" s="2839">
        <v>15625</v>
      </c>
      <c r="L67" s="2918">
        <f t="shared" si="2"/>
        <v>15625</v>
      </c>
      <c r="M67" s="2479" t="str">
        <f t="shared" si="1"/>
        <v>Mercuria Energy America, LLC, AD, T-12</v>
      </c>
    </row>
    <row r="68" spans="1:13" ht="15.75" customHeight="1" x14ac:dyDescent="0.2">
      <c r="A68" s="2921">
        <f t="shared" si="3"/>
        <v>14.045999999999975</v>
      </c>
      <c r="B68" s="2512" t="s">
        <v>9116</v>
      </c>
      <c r="C68" s="2512" t="s">
        <v>190</v>
      </c>
      <c r="D68" s="2489" t="s">
        <v>9077</v>
      </c>
      <c r="E68" s="2614"/>
      <c r="F68" s="2614"/>
      <c r="G68" s="2614"/>
      <c r="H68" s="2917">
        <v>97932</v>
      </c>
      <c r="I68" s="2488"/>
      <c r="J68" s="2530">
        <v>7806165</v>
      </c>
      <c r="K68" s="2488"/>
      <c r="L68" s="2918">
        <f t="shared" si="2"/>
        <v>7806165</v>
      </c>
      <c r="M68" s="2479" t="str">
        <f t="shared" si="1"/>
        <v>Mercuria Energy America, LLC, SF, T-12</v>
      </c>
    </row>
    <row r="69" spans="1:13" ht="15.75" customHeight="1" x14ac:dyDescent="0.2">
      <c r="A69" s="2921">
        <f t="shared" si="3"/>
        <v>14.046999999999974</v>
      </c>
      <c r="B69" s="2512" t="s">
        <v>9117</v>
      </c>
      <c r="C69" s="2512" t="s">
        <v>190</v>
      </c>
      <c r="D69" s="2489" t="s">
        <v>9077</v>
      </c>
      <c r="E69" s="2614"/>
      <c r="F69" s="2614"/>
      <c r="G69" s="2614"/>
      <c r="H69" s="2917">
        <v>4640</v>
      </c>
      <c r="I69" s="2488"/>
      <c r="J69" s="2530">
        <v>502640</v>
      </c>
      <c r="K69" s="2614"/>
      <c r="L69" s="2918">
        <f t="shared" si="2"/>
        <v>502640</v>
      </c>
      <c r="M69" s="2479" t="str">
        <f t="shared" si="1"/>
        <v>Modesto Irrigation District, SF, T-12</v>
      </c>
    </row>
    <row r="70" spans="1:13" ht="15.75" customHeight="1" x14ac:dyDescent="0.2">
      <c r="A70" s="2921">
        <f t="shared" si="3"/>
        <v>14.047999999999973</v>
      </c>
      <c r="B70" s="2512" t="s">
        <v>9118</v>
      </c>
      <c r="C70" s="2512" t="s">
        <v>190</v>
      </c>
      <c r="D70" s="2489" t="s">
        <v>9077</v>
      </c>
      <c r="E70" s="2614"/>
      <c r="F70" s="2614"/>
      <c r="G70" s="2614"/>
      <c r="H70" s="2917">
        <v>10728</v>
      </c>
      <c r="I70" s="2488"/>
      <c r="J70" s="2530">
        <v>819100</v>
      </c>
      <c r="K70" s="2488"/>
      <c r="L70" s="2918">
        <f t="shared" si="2"/>
        <v>819100</v>
      </c>
      <c r="M70" s="2479" t="str">
        <f t="shared" si="1"/>
        <v>Morgan Stanley Capital Group Inc., SF, T-12</v>
      </c>
    </row>
    <row r="71" spans="1:13" ht="15.75" customHeight="1" x14ac:dyDescent="0.2">
      <c r="A71" s="2921">
        <f t="shared" si="3"/>
        <v>14.048999999999973</v>
      </c>
      <c r="B71" s="2512" t="s">
        <v>9118</v>
      </c>
      <c r="C71" s="2512" t="s">
        <v>190</v>
      </c>
      <c r="D71" s="2489" t="s">
        <v>9087</v>
      </c>
      <c r="E71" s="2614"/>
      <c r="F71" s="2614"/>
      <c r="G71" s="2614"/>
      <c r="H71" s="2917">
        <v>844</v>
      </c>
      <c r="I71" s="2488"/>
      <c r="J71" s="2530">
        <v>72650</v>
      </c>
      <c r="K71" s="2488"/>
      <c r="L71" s="2918">
        <f t="shared" si="2"/>
        <v>72650</v>
      </c>
      <c r="M71" s="2479" t="str">
        <f t="shared" si="1"/>
        <v>Morgan Stanley Capital Group Inc., SF, WSPP-Q</v>
      </c>
    </row>
    <row r="72" spans="1:13" ht="15.75" customHeight="1" x14ac:dyDescent="0.2">
      <c r="A72" s="2921">
        <f t="shared" si="3"/>
        <v>14.049999999999972</v>
      </c>
      <c r="B72" s="2512" t="s">
        <v>9119</v>
      </c>
      <c r="C72" s="2512" t="s">
        <v>190</v>
      </c>
      <c r="D72" s="2489" t="s">
        <v>9086</v>
      </c>
      <c r="E72" s="2614"/>
      <c r="F72" s="2614"/>
      <c r="G72" s="2614"/>
      <c r="H72" s="2917">
        <v>40</v>
      </c>
      <c r="I72" s="2488"/>
      <c r="J72" s="2614"/>
      <c r="K72" s="2920">
        <v>2645</v>
      </c>
      <c r="L72" s="2918">
        <f t="shared" si="2"/>
        <v>2645</v>
      </c>
      <c r="M72" s="2479" t="str">
        <f t="shared" si="1"/>
        <v>NaturEner Power Watch, LLC, SF, T-13</v>
      </c>
    </row>
    <row r="73" spans="1:13" ht="15.75" customHeight="1" x14ac:dyDescent="0.2">
      <c r="A73" s="2921">
        <f t="shared" si="3"/>
        <v>14.050999999999972</v>
      </c>
      <c r="B73" s="2744" t="s">
        <v>9120</v>
      </c>
      <c r="C73" s="2512" t="s">
        <v>190</v>
      </c>
      <c r="D73" s="2489" t="s">
        <v>9087</v>
      </c>
      <c r="E73" s="2614"/>
      <c r="F73" s="2614"/>
      <c r="G73" s="2614"/>
      <c r="H73" s="2917">
        <v>714</v>
      </c>
      <c r="I73" s="2488"/>
      <c r="J73" s="2530">
        <v>60797</v>
      </c>
      <c r="K73" s="2488"/>
      <c r="L73" s="2918">
        <f t="shared" si="2"/>
        <v>60797</v>
      </c>
      <c r="M73" s="2479" t="str">
        <f t="shared" ref="M73:M136" si="4">CONCATENATE(B73,", ",C73,", ",D73)</f>
        <v>Nevada Power Company, SF, WSPP-Q</v>
      </c>
    </row>
    <row r="74" spans="1:13" ht="15.75" customHeight="1" x14ac:dyDescent="0.2">
      <c r="A74" s="2921">
        <f t="shared" si="3"/>
        <v>14.051999999999971</v>
      </c>
      <c r="B74" s="2512" t="s">
        <v>9121</v>
      </c>
      <c r="C74" s="2512" t="s">
        <v>190</v>
      </c>
      <c r="D74" s="2489" t="s">
        <v>9086</v>
      </c>
      <c r="E74" s="2614"/>
      <c r="F74" s="2614"/>
      <c r="G74" s="2614"/>
      <c r="H74" s="2917">
        <v>82</v>
      </c>
      <c r="I74" s="2488"/>
      <c r="J74" s="2614"/>
      <c r="K74" s="2920">
        <v>5106</v>
      </c>
      <c r="L74" s="2918">
        <f t="shared" si="2"/>
        <v>5106</v>
      </c>
      <c r="M74" s="2479" t="str">
        <f t="shared" si="4"/>
        <v>NorthWestern Energy, SF, T-13</v>
      </c>
    </row>
    <row r="75" spans="1:13" ht="15.75" customHeight="1" x14ac:dyDescent="0.2">
      <c r="A75" s="2921">
        <f t="shared" si="3"/>
        <v>14.052999999999971</v>
      </c>
      <c r="B75" s="2512" t="s">
        <v>9121</v>
      </c>
      <c r="C75" s="2512" t="s">
        <v>190</v>
      </c>
      <c r="D75" s="2489" t="s">
        <v>9087</v>
      </c>
      <c r="E75" s="2614"/>
      <c r="F75" s="2614"/>
      <c r="G75" s="2614"/>
      <c r="H75" s="2917">
        <v>1930</v>
      </c>
      <c r="I75" s="2488"/>
      <c r="J75" s="2530">
        <v>108691</v>
      </c>
      <c r="K75" s="2488"/>
      <c r="L75" s="2918">
        <f t="shared" si="2"/>
        <v>108691</v>
      </c>
      <c r="M75" s="2479" t="str">
        <f t="shared" si="4"/>
        <v>NorthWestern Energy, SF, WSPP-Q</v>
      </c>
    </row>
    <row r="76" spans="1:13" ht="15.75" customHeight="1" x14ac:dyDescent="0.2">
      <c r="A76" s="2921">
        <f t="shared" si="3"/>
        <v>14.05399999999997</v>
      </c>
      <c r="B76" s="2512" t="s">
        <v>9122</v>
      </c>
      <c r="C76" s="2512" t="s">
        <v>190</v>
      </c>
      <c r="D76" s="2489" t="s">
        <v>9077</v>
      </c>
      <c r="E76" s="2614"/>
      <c r="F76" s="2614"/>
      <c r="G76" s="2614"/>
      <c r="H76" s="2917">
        <v>11880</v>
      </c>
      <c r="I76" s="2488"/>
      <c r="J76" s="2530">
        <v>836943</v>
      </c>
      <c r="K76" s="2488"/>
      <c r="L76" s="2918">
        <f t="shared" si="2"/>
        <v>836943</v>
      </c>
      <c r="M76" s="2479" t="str">
        <f t="shared" si="4"/>
        <v>Phillips 66 Energy Trading, LLC, SF, T-12</v>
      </c>
    </row>
    <row r="77" spans="1:13" ht="15.75" customHeight="1" x14ac:dyDescent="0.2">
      <c r="A77" s="2921">
        <f t="shared" si="3"/>
        <v>14.05499999999997</v>
      </c>
      <c r="B77" s="2512" t="s">
        <v>9122</v>
      </c>
      <c r="C77" s="2512" t="s">
        <v>190</v>
      </c>
      <c r="D77" s="2489" t="s">
        <v>9087</v>
      </c>
      <c r="E77" s="2614"/>
      <c r="F77" s="2614"/>
      <c r="G77" s="2614"/>
      <c r="H77" s="2917">
        <v>105130</v>
      </c>
      <c r="I77" s="2488"/>
      <c r="J77" s="2530">
        <v>7520549</v>
      </c>
      <c r="K77" s="2488"/>
      <c r="L77" s="2918">
        <f t="shared" si="2"/>
        <v>7520549</v>
      </c>
      <c r="M77" s="2479" t="str">
        <f t="shared" si="4"/>
        <v>Phillips 66 Energy Trading, LLC, SF, WSPP-Q</v>
      </c>
    </row>
    <row r="78" spans="1:13" ht="15.75" customHeight="1" x14ac:dyDescent="0.2">
      <c r="A78" s="2921">
        <f t="shared" si="3"/>
        <v>14.055999999999969</v>
      </c>
      <c r="B78" s="2512" t="s">
        <v>9123</v>
      </c>
      <c r="C78" s="2512" t="s">
        <v>190</v>
      </c>
      <c r="D78" s="2489" t="s">
        <v>9077</v>
      </c>
      <c r="E78" s="2614"/>
      <c r="F78" s="2614"/>
      <c r="G78" s="2614"/>
      <c r="H78" s="2917">
        <v>11287</v>
      </c>
      <c r="I78" s="2488"/>
      <c r="J78" s="2530">
        <v>512943</v>
      </c>
      <c r="K78" s="2614"/>
      <c r="L78" s="2918">
        <f t="shared" si="2"/>
        <v>512943</v>
      </c>
      <c r="M78" s="2479" t="str">
        <f t="shared" si="4"/>
        <v>Portland General Electric Company, SF, T-12</v>
      </c>
    </row>
    <row r="79" spans="1:13" ht="15.75" customHeight="1" x14ac:dyDescent="0.2">
      <c r="A79" s="2921">
        <f t="shared" si="3"/>
        <v>14.056999999999968</v>
      </c>
      <c r="B79" s="2512" t="s">
        <v>9123</v>
      </c>
      <c r="C79" s="2512" t="s">
        <v>190</v>
      </c>
      <c r="D79" s="2489" t="s">
        <v>9086</v>
      </c>
      <c r="E79" s="2614"/>
      <c r="F79" s="2614"/>
      <c r="G79" s="2614"/>
      <c r="H79" s="2917">
        <v>43</v>
      </c>
      <c r="I79" s="2488"/>
      <c r="J79" s="2614"/>
      <c r="K79" s="2920">
        <v>2962</v>
      </c>
      <c r="L79" s="2918">
        <f t="shared" si="2"/>
        <v>2962</v>
      </c>
      <c r="M79" s="2479" t="str">
        <f t="shared" si="4"/>
        <v>Portland General Electric Company, SF, T-13</v>
      </c>
    </row>
    <row r="80" spans="1:13" ht="15.75" customHeight="1" x14ac:dyDescent="0.2">
      <c r="A80" s="2921">
        <f t="shared" si="3"/>
        <v>14.057999999999968</v>
      </c>
      <c r="B80" s="2512" t="s">
        <v>9124</v>
      </c>
      <c r="C80" s="2512" t="s">
        <v>190</v>
      </c>
      <c r="D80" s="2489" t="s">
        <v>9077</v>
      </c>
      <c r="E80" s="2614"/>
      <c r="F80" s="2614"/>
      <c r="G80" s="2614"/>
      <c r="H80" s="2917">
        <v>36225</v>
      </c>
      <c r="I80" s="2488"/>
      <c r="J80" s="2530">
        <v>1890286</v>
      </c>
      <c r="K80" s="2488"/>
      <c r="L80" s="2918">
        <f t="shared" si="2"/>
        <v>1890286</v>
      </c>
      <c r="M80" s="2479" t="str">
        <f t="shared" si="4"/>
        <v>Powerex Corporation, SF, T-12</v>
      </c>
    </row>
    <row r="81" spans="1:13" ht="15.75" customHeight="1" x14ac:dyDescent="0.2">
      <c r="A81" s="2921">
        <f t="shared" si="3"/>
        <v>14.058999999999967</v>
      </c>
      <c r="B81" s="2512" t="s">
        <v>9124</v>
      </c>
      <c r="C81" s="2512" t="s">
        <v>190</v>
      </c>
      <c r="D81" s="2489" t="s">
        <v>9087</v>
      </c>
      <c r="E81" s="2614"/>
      <c r="F81" s="2614"/>
      <c r="G81" s="2614"/>
      <c r="H81" s="2917">
        <v>21488</v>
      </c>
      <c r="I81" s="2488"/>
      <c r="J81" s="2530">
        <v>1093033</v>
      </c>
      <c r="K81" s="2488"/>
      <c r="L81" s="2918">
        <f t="shared" si="2"/>
        <v>1093033</v>
      </c>
      <c r="M81" s="2479" t="str">
        <f t="shared" si="4"/>
        <v>Powerex Corporation, SF, WSPP-Q</v>
      </c>
    </row>
    <row r="82" spans="1:13" ht="15.75" customHeight="1" x14ac:dyDescent="0.2">
      <c r="A82" s="2921">
        <f t="shared" si="3"/>
        <v>14.059999999999967</v>
      </c>
      <c r="B82" s="2512" t="s">
        <v>9125</v>
      </c>
      <c r="C82" s="2512" t="s">
        <v>189</v>
      </c>
      <c r="D82" s="2489" t="s">
        <v>9077</v>
      </c>
      <c r="E82" s="2614"/>
      <c r="F82" s="2614"/>
      <c r="G82" s="2614"/>
      <c r="H82" s="2917">
        <v>307977</v>
      </c>
      <c r="I82" s="2488"/>
      <c r="J82" s="2530">
        <v>10785901</v>
      </c>
      <c r="K82" s="2488"/>
      <c r="L82" s="2918">
        <f t="shared" ref="L82:L137" si="5">SUM(I82:K82)</f>
        <v>10785901</v>
      </c>
      <c r="M82" s="2479" t="str">
        <f t="shared" si="4"/>
        <v>Public Service Company of Colorado, IF, T-12</v>
      </c>
    </row>
    <row r="83" spans="1:13" ht="15.75" customHeight="1" x14ac:dyDescent="0.2">
      <c r="A83" s="2921">
        <f t="shared" si="3"/>
        <v>14.060999999999966</v>
      </c>
      <c r="B83" s="2512" t="s">
        <v>9125</v>
      </c>
      <c r="C83" s="2922" t="s">
        <v>196</v>
      </c>
      <c r="D83" s="2489" t="s">
        <v>9077</v>
      </c>
      <c r="E83" s="2614"/>
      <c r="F83" s="2614"/>
      <c r="G83" s="2614"/>
      <c r="H83" s="2917">
        <v>155</v>
      </c>
      <c r="I83" s="2488"/>
      <c r="J83" s="2614"/>
      <c r="K83" s="2839">
        <v>83873</v>
      </c>
      <c r="L83" s="2918">
        <f t="shared" si="5"/>
        <v>83873</v>
      </c>
      <c r="M83" s="2479" t="str">
        <f t="shared" si="4"/>
        <v>Public Service Company of Colorado, AD, T-12</v>
      </c>
    </row>
    <row r="84" spans="1:13" ht="15.75" customHeight="1" x14ac:dyDescent="0.2">
      <c r="A84" s="2921">
        <f t="shared" si="3"/>
        <v>14.061999999999966</v>
      </c>
      <c r="B84" s="2512" t="s">
        <v>9125</v>
      </c>
      <c r="C84" s="2512" t="s">
        <v>190</v>
      </c>
      <c r="D84" s="2489" t="s">
        <v>9077</v>
      </c>
      <c r="E84" s="2614"/>
      <c r="F84" s="2614"/>
      <c r="G84" s="2614"/>
      <c r="H84" s="2917">
        <v>5477</v>
      </c>
      <c r="I84" s="2488"/>
      <c r="J84" s="2530">
        <v>340920</v>
      </c>
      <c r="K84" s="2488"/>
      <c r="L84" s="2918">
        <f t="shared" si="5"/>
        <v>340920</v>
      </c>
      <c r="M84" s="2479" t="str">
        <f t="shared" si="4"/>
        <v>Public Service Company of Colorado, SF, T-12</v>
      </c>
    </row>
    <row r="85" spans="1:13" ht="15.75" customHeight="1" x14ac:dyDescent="0.2">
      <c r="A85" s="2921">
        <f t="shared" si="3"/>
        <v>14.062999999999965</v>
      </c>
      <c r="B85" s="2512" t="s">
        <v>9125</v>
      </c>
      <c r="C85" s="2512" t="s">
        <v>190</v>
      </c>
      <c r="D85" s="2489" t="s">
        <v>9086</v>
      </c>
      <c r="E85" s="2614"/>
      <c r="F85" s="2614"/>
      <c r="G85" s="2614"/>
      <c r="H85" s="2917">
        <v>197</v>
      </c>
      <c r="I85" s="2488"/>
      <c r="J85" s="2614"/>
      <c r="K85" s="2920">
        <v>16658</v>
      </c>
      <c r="L85" s="2918">
        <f t="shared" si="5"/>
        <v>16658</v>
      </c>
      <c r="M85" s="2479" t="str">
        <f t="shared" si="4"/>
        <v>Public Service Company of Colorado, SF, T-13</v>
      </c>
    </row>
    <row r="86" spans="1:13" ht="15.75" customHeight="1" x14ac:dyDescent="0.2">
      <c r="A86" s="2921">
        <f t="shared" si="3"/>
        <v>14.063999999999965</v>
      </c>
      <c r="B86" s="2512" t="s">
        <v>9126</v>
      </c>
      <c r="C86" s="2512" t="s">
        <v>190</v>
      </c>
      <c r="D86" s="2489" t="s">
        <v>9077</v>
      </c>
      <c r="E86" s="2614"/>
      <c r="F86" s="2614"/>
      <c r="G86" s="2614"/>
      <c r="H86" s="2917">
        <v>11789</v>
      </c>
      <c r="I86" s="2488"/>
      <c r="J86" s="2530">
        <v>855220</v>
      </c>
      <c r="K86" s="2614"/>
      <c r="L86" s="2918">
        <f t="shared" si="5"/>
        <v>855220</v>
      </c>
      <c r="M86" s="2479" t="str">
        <f t="shared" si="4"/>
        <v>Public Service Company of New Mexico, SF, T-12</v>
      </c>
    </row>
    <row r="87" spans="1:13" ht="15.75" customHeight="1" x14ac:dyDescent="0.2">
      <c r="A87" s="2921">
        <f t="shared" ref="A87:A137" si="6">A86+0.001</f>
        <v>14.064999999999964</v>
      </c>
      <c r="B87" s="2512" t="s">
        <v>9127</v>
      </c>
      <c r="C87" s="2512" t="s">
        <v>190</v>
      </c>
      <c r="D87" s="2489" t="s">
        <v>9077</v>
      </c>
      <c r="E87" s="2614"/>
      <c r="F87" s="2614"/>
      <c r="G87" s="2614"/>
      <c r="H87" s="2917">
        <v>34</v>
      </c>
      <c r="I87" s="2488"/>
      <c r="J87" s="2530">
        <v>2356</v>
      </c>
      <c r="K87" s="2614"/>
      <c r="L87" s="2918">
        <f t="shared" si="5"/>
        <v>2356</v>
      </c>
      <c r="M87" s="2479" t="str">
        <f t="shared" si="4"/>
        <v>Public Utility District No. 1 of Chelan County, SF, T-12</v>
      </c>
    </row>
    <row r="88" spans="1:13" ht="15.75" customHeight="1" x14ac:dyDescent="0.2">
      <c r="A88" s="2921">
        <f t="shared" si="6"/>
        <v>14.065999999999963</v>
      </c>
      <c r="B88" s="2512" t="s">
        <v>9127</v>
      </c>
      <c r="C88" s="2512" t="s">
        <v>190</v>
      </c>
      <c r="D88" s="2489" t="s">
        <v>9086</v>
      </c>
      <c r="E88" s="2614"/>
      <c r="F88" s="2614"/>
      <c r="G88" s="2614"/>
      <c r="H88" s="2917">
        <v>13</v>
      </c>
      <c r="I88" s="2488"/>
      <c r="J88" s="2614"/>
      <c r="K88" s="2920">
        <v>1620</v>
      </c>
      <c r="L88" s="2918">
        <f t="shared" si="5"/>
        <v>1620</v>
      </c>
      <c r="M88" s="2479" t="str">
        <f t="shared" si="4"/>
        <v>Public Utility District No. 1 of Chelan County, SF, T-13</v>
      </c>
    </row>
    <row r="89" spans="1:13" ht="15.75" customHeight="1" x14ac:dyDescent="0.2">
      <c r="A89" s="2921">
        <f t="shared" si="6"/>
        <v>14.066999999999963</v>
      </c>
      <c r="B89" s="2512" t="s">
        <v>9128</v>
      </c>
      <c r="C89" s="2512" t="s">
        <v>190</v>
      </c>
      <c r="D89" s="2489" t="s">
        <v>9077</v>
      </c>
      <c r="E89" s="2614"/>
      <c r="F89" s="2614"/>
      <c r="G89" s="2614"/>
      <c r="H89" s="2917">
        <v>580</v>
      </c>
      <c r="I89" s="2488"/>
      <c r="J89" s="2530">
        <v>39175</v>
      </c>
      <c r="K89" s="2488"/>
      <c r="L89" s="2918">
        <f t="shared" si="5"/>
        <v>39175</v>
      </c>
      <c r="M89" s="2479" t="str">
        <f t="shared" si="4"/>
        <v>Public Utility District No. 1 of Snohomish County, SF, T-12</v>
      </c>
    </row>
    <row r="90" spans="1:13" ht="15.75" customHeight="1" x14ac:dyDescent="0.2">
      <c r="A90" s="2921">
        <f t="shared" si="6"/>
        <v>14.067999999999962</v>
      </c>
      <c r="B90" s="2512" t="s">
        <v>9129</v>
      </c>
      <c r="C90" s="2512" t="s">
        <v>190</v>
      </c>
      <c r="D90" s="2489" t="s">
        <v>9086</v>
      </c>
      <c r="E90" s="2614"/>
      <c r="F90" s="2614"/>
      <c r="G90" s="2614"/>
      <c r="H90" s="2917">
        <v>20</v>
      </c>
      <c r="I90" s="2488"/>
      <c r="J90" s="2614"/>
      <c r="K90" s="2920">
        <v>1081</v>
      </c>
      <c r="L90" s="2918">
        <f t="shared" si="5"/>
        <v>1081</v>
      </c>
      <c r="M90" s="2479" t="str">
        <f t="shared" si="4"/>
        <v>Public Utility District No. 2 of Grant County, SF, T-13</v>
      </c>
    </row>
    <row r="91" spans="1:13" ht="15.75" customHeight="1" x14ac:dyDescent="0.2">
      <c r="A91" s="2921">
        <f t="shared" si="6"/>
        <v>14.068999999999962</v>
      </c>
      <c r="B91" s="2512" t="s">
        <v>9130</v>
      </c>
      <c r="C91" s="2512" t="s">
        <v>190</v>
      </c>
      <c r="D91" s="2489" t="s">
        <v>9077</v>
      </c>
      <c r="E91" s="2614"/>
      <c r="F91" s="2614"/>
      <c r="G91" s="2614"/>
      <c r="H91" s="2917">
        <v>11054</v>
      </c>
      <c r="I91" s="2488"/>
      <c r="J91" s="2530">
        <v>681011</v>
      </c>
      <c r="K91" s="2488"/>
      <c r="L91" s="2918">
        <f t="shared" si="5"/>
        <v>681011</v>
      </c>
      <c r="M91" s="2479" t="str">
        <f t="shared" si="4"/>
        <v>Puget Sound Energy, Inc., SF, T-12</v>
      </c>
    </row>
    <row r="92" spans="1:13" ht="15.75" customHeight="1" x14ac:dyDescent="0.2">
      <c r="A92" s="2921">
        <f t="shared" si="6"/>
        <v>14.069999999999961</v>
      </c>
      <c r="B92" s="2512" t="s">
        <v>9130</v>
      </c>
      <c r="C92" s="2512" t="s">
        <v>190</v>
      </c>
      <c r="D92" s="2489" t="s">
        <v>9086</v>
      </c>
      <c r="E92" s="2614"/>
      <c r="F92" s="2614"/>
      <c r="G92" s="2614"/>
      <c r="H92" s="2917">
        <v>27</v>
      </c>
      <c r="I92" s="2488"/>
      <c r="J92" s="2614"/>
      <c r="K92" s="2920">
        <v>2383</v>
      </c>
      <c r="L92" s="2918">
        <f t="shared" si="5"/>
        <v>2383</v>
      </c>
      <c r="M92" s="2479" t="str">
        <f t="shared" si="4"/>
        <v>Puget Sound Energy, Inc., SF, T-13</v>
      </c>
    </row>
    <row r="93" spans="1:13" ht="15.75" customHeight="1" x14ac:dyDescent="0.2">
      <c r="A93" s="2921">
        <f t="shared" si="6"/>
        <v>14.070999999999961</v>
      </c>
      <c r="B93" s="2512" t="s">
        <v>9131</v>
      </c>
      <c r="C93" s="2512" t="s">
        <v>190</v>
      </c>
      <c r="D93" s="2489" t="s">
        <v>9077</v>
      </c>
      <c r="E93" s="2614"/>
      <c r="F93" s="2614"/>
      <c r="G93" s="2614"/>
      <c r="H93" s="2917">
        <v>1712</v>
      </c>
      <c r="I93" s="2488"/>
      <c r="J93" s="2530">
        <v>94382</v>
      </c>
      <c r="K93" s="2488"/>
      <c r="L93" s="2918">
        <f t="shared" si="5"/>
        <v>94382</v>
      </c>
      <c r="M93" s="2479" t="str">
        <f t="shared" si="4"/>
        <v>Rainbow Energy Marketing Corporation, SF, T-12</v>
      </c>
    </row>
    <row r="94" spans="1:13" ht="15.75" customHeight="1" x14ac:dyDescent="0.2">
      <c r="A94" s="2921">
        <f t="shared" si="6"/>
        <v>14.07199999999996</v>
      </c>
      <c r="B94" s="2512" t="s">
        <v>9131</v>
      </c>
      <c r="C94" s="2512" t="s">
        <v>190</v>
      </c>
      <c r="D94" s="2489" t="s">
        <v>9087</v>
      </c>
      <c r="E94" s="2614"/>
      <c r="F94" s="2614"/>
      <c r="G94" s="2614"/>
      <c r="H94" s="2917">
        <v>1600</v>
      </c>
      <c r="I94" s="2488"/>
      <c r="J94" s="2530">
        <v>240000</v>
      </c>
      <c r="K94" s="2614"/>
      <c r="L94" s="2918">
        <f t="shared" si="5"/>
        <v>240000</v>
      </c>
      <c r="M94" s="2479" t="str">
        <f t="shared" si="4"/>
        <v>Rainbow Energy Marketing Corporation, SF, WSPP-Q</v>
      </c>
    </row>
    <row r="95" spans="1:13" ht="15.75" customHeight="1" x14ac:dyDescent="0.2">
      <c r="A95" s="2921">
        <f t="shared" si="6"/>
        <v>14.07299999999996</v>
      </c>
      <c r="B95" s="2512" t="s">
        <v>9132</v>
      </c>
      <c r="C95" s="2512" t="s">
        <v>190</v>
      </c>
      <c r="D95" s="2489" t="s">
        <v>9077</v>
      </c>
      <c r="E95" s="2614"/>
      <c r="F95" s="2614"/>
      <c r="G95" s="2614"/>
      <c r="H95" s="2917">
        <v>400</v>
      </c>
      <c r="I95" s="2488"/>
      <c r="J95" s="2530">
        <v>64000</v>
      </c>
      <c r="K95" s="2488"/>
      <c r="L95" s="2918">
        <f t="shared" si="5"/>
        <v>64000</v>
      </c>
      <c r="M95" s="2479" t="str">
        <f t="shared" si="4"/>
        <v>Sacramento Municipal Utility District, SF, T-12</v>
      </c>
    </row>
    <row r="96" spans="1:13" ht="15.75" customHeight="1" x14ac:dyDescent="0.2">
      <c r="A96" s="2921">
        <f t="shared" si="6"/>
        <v>14.073999999999959</v>
      </c>
      <c r="B96" s="2512" t="s">
        <v>9132</v>
      </c>
      <c r="C96" s="2512" t="s">
        <v>190</v>
      </c>
      <c r="D96" s="2489" t="s">
        <v>9086</v>
      </c>
      <c r="E96" s="2614"/>
      <c r="F96" s="2614"/>
      <c r="G96" s="2614"/>
      <c r="H96" s="2917">
        <v>41</v>
      </c>
      <c r="I96" s="2488"/>
      <c r="J96" s="2614"/>
      <c r="K96" s="2920">
        <v>2620</v>
      </c>
      <c r="L96" s="2918">
        <f t="shared" si="5"/>
        <v>2620</v>
      </c>
      <c r="M96" s="2479" t="str">
        <f t="shared" si="4"/>
        <v>Sacramento Municipal Utility District, SF, T-13</v>
      </c>
    </row>
    <row r="97" spans="1:13" ht="15.75" customHeight="1" x14ac:dyDescent="0.2">
      <c r="A97" s="2921">
        <f t="shared" si="6"/>
        <v>14.074999999999958</v>
      </c>
      <c r="B97" s="2512" t="s">
        <v>9133</v>
      </c>
      <c r="C97" s="2512" t="s">
        <v>190</v>
      </c>
      <c r="D97" s="2489" t="s">
        <v>9077</v>
      </c>
      <c r="E97" s="2614"/>
      <c r="F97" s="2614"/>
      <c r="G97" s="2614"/>
      <c r="H97" s="2917">
        <v>2348</v>
      </c>
      <c r="I97" s="2488"/>
      <c r="J97" s="2530">
        <v>237714</v>
      </c>
      <c r="K97" s="2488"/>
      <c r="L97" s="2918">
        <f t="shared" si="5"/>
        <v>237714</v>
      </c>
      <c r="M97" s="2479" t="str">
        <f t="shared" si="4"/>
        <v>Salt River Project, SF, T-12</v>
      </c>
    </row>
    <row r="98" spans="1:13" ht="15.75" customHeight="1" x14ac:dyDescent="0.2">
      <c r="A98" s="2921">
        <f t="shared" si="6"/>
        <v>14.075999999999958</v>
      </c>
      <c r="B98" s="2512" t="s">
        <v>9134</v>
      </c>
      <c r="C98" s="2512" t="s">
        <v>190</v>
      </c>
      <c r="D98" s="2489" t="s">
        <v>9077</v>
      </c>
      <c r="E98" s="2614"/>
      <c r="F98" s="2614"/>
      <c r="G98" s="2614"/>
      <c r="H98" s="2917">
        <v>1715</v>
      </c>
      <c r="I98" s="2488"/>
      <c r="J98" s="2530">
        <v>104800</v>
      </c>
      <c r="K98" s="2488"/>
      <c r="L98" s="2918">
        <f t="shared" si="5"/>
        <v>104800</v>
      </c>
      <c r="M98" s="2479" t="str">
        <f t="shared" si="4"/>
        <v>Seattle City Light, SF, T-12</v>
      </c>
    </row>
    <row r="99" spans="1:13" ht="15.75" customHeight="1" x14ac:dyDescent="0.2">
      <c r="A99" s="2921">
        <f t="shared" si="6"/>
        <v>14.076999999999957</v>
      </c>
      <c r="B99" s="2512" t="s">
        <v>9134</v>
      </c>
      <c r="C99" s="2512" t="s">
        <v>190</v>
      </c>
      <c r="D99" s="2489" t="s">
        <v>9086</v>
      </c>
      <c r="E99" s="2614"/>
      <c r="F99" s="2614"/>
      <c r="G99" s="2614"/>
      <c r="H99" s="2917">
        <v>7</v>
      </c>
      <c r="I99" s="2488"/>
      <c r="J99" s="2614"/>
      <c r="K99" s="2920">
        <v>489</v>
      </c>
      <c r="L99" s="2918">
        <f t="shared" si="5"/>
        <v>489</v>
      </c>
      <c r="M99" s="2479" t="str">
        <f t="shared" si="4"/>
        <v>Seattle City Light, SF, T-13</v>
      </c>
    </row>
    <row r="100" spans="1:13" ht="15.75" customHeight="1" x14ac:dyDescent="0.2">
      <c r="A100" s="2921">
        <f t="shared" si="6"/>
        <v>14.077999999999957</v>
      </c>
      <c r="B100" s="2512" t="s">
        <v>9135</v>
      </c>
      <c r="C100" s="2922" t="s">
        <v>196</v>
      </c>
      <c r="D100" s="2489" t="s">
        <v>9077</v>
      </c>
      <c r="E100" s="2614"/>
      <c r="F100" s="2614"/>
      <c r="G100" s="2614"/>
      <c r="H100" s="2917">
        <v>194</v>
      </c>
      <c r="I100" s="2488"/>
      <c r="J100" s="2614"/>
      <c r="K100" s="2839">
        <v>20362</v>
      </c>
      <c r="L100" s="2918">
        <f t="shared" si="5"/>
        <v>20362</v>
      </c>
      <c r="M100" s="2479" t="str">
        <f t="shared" si="4"/>
        <v>Shell Energy North America (US), L.P., AD, T-12</v>
      </c>
    </row>
    <row r="101" spans="1:13" ht="15.75" customHeight="1" x14ac:dyDescent="0.2">
      <c r="A101" s="2921">
        <f t="shared" si="6"/>
        <v>14.078999999999956</v>
      </c>
      <c r="B101" s="2512" t="s">
        <v>9135</v>
      </c>
      <c r="C101" s="2922" t="s">
        <v>196</v>
      </c>
      <c r="D101" s="2489" t="s">
        <v>9087</v>
      </c>
      <c r="E101" s="2614"/>
      <c r="F101" s="2614"/>
      <c r="G101" s="2614"/>
      <c r="H101" s="2614"/>
      <c r="I101" s="2488"/>
      <c r="J101" s="2614"/>
      <c r="K101" s="2839">
        <v>477850</v>
      </c>
      <c r="L101" s="2918">
        <f t="shared" si="5"/>
        <v>477850</v>
      </c>
      <c r="M101" s="2479" t="str">
        <f t="shared" si="4"/>
        <v>Shell Energy North America (US), L.P., AD, WSPP-Q</v>
      </c>
    </row>
    <row r="102" spans="1:13" ht="15.75" customHeight="1" x14ac:dyDescent="0.2">
      <c r="A102" s="2921">
        <f t="shared" si="6"/>
        <v>14.079999999999956</v>
      </c>
      <c r="B102" s="2512" t="s">
        <v>9135</v>
      </c>
      <c r="C102" s="2512" t="s">
        <v>190</v>
      </c>
      <c r="D102" s="2489" t="s">
        <v>9077</v>
      </c>
      <c r="E102" s="2614"/>
      <c r="F102" s="2614"/>
      <c r="G102" s="2614"/>
      <c r="H102" s="2917">
        <v>379438</v>
      </c>
      <c r="I102" s="2488"/>
      <c r="J102" s="2530">
        <v>31576680</v>
      </c>
      <c r="K102" s="2614"/>
      <c r="L102" s="2918">
        <f t="shared" si="5"/>
        <v>31576680</v>
      </c>
      <c r="M102" s="2479" t="str">
        <f t="shared" si="4"/>
        <v>Shell Energy North America (US), L.P., SF, T-12</v>
      </c>
    </row>
    <row r="103" spans="1:13" ht="15.75" customHeight="1" x14ac:dyDescent="0.2">
      <c r="A103" s="2921">
        <f t="shared" si="6"/>
        <v>14.080999999999955</v>
      </c>
      <c r="B103" s="2512" t="s">
        <v>9135</v>
      </c>
      <c r="C103" s="2512" t="s">
        <v>190</v>
      </c>
      <c r="D103" s="2489" t="s">
        <v>9087</v>
      </c>
      <c r="E103" s="2614"/>
      <c r="F103" s="2614"/>
      <c r="G103" s="2614"/>
      <c r="H103" s="2917">
        <v>112795</v>
      </c>
      <c r="I103" s="2488"/>
      <c r="J103" s="2530">
        <v>7935195</v>
      </c>
      <c r="K103" s="2488"/>
      <c r="L103" s="2918">
        <f t="shared" si="5"/>
        <v>7935195</v>
      </c>
      <c r="M103" s="2479" t="str">
        <f t="shared" si="4"/>
        <v>Shell Energy North America (US), L.P., SF, WSPP-Q</v>
      </c>
    </row>
    <row r="104" spans="1:13" ht="15.75" customHeight="1" x14ac:dyDescent="0.2">
      <c r="A104" s="2921">
        <f t="shared" si="6"/>
        <v>14.081999999999955</v>
      </c>
      <c r="B104" s="2744" t="s">
        <v>9136</v>
      </c>
      <c r="C104" s="2512" t="s">
        <v>190</v>
      </c>
      <c r="D104" s="2489" t="s">
        <v>9086</v>
      </c>
      <c r="E104" s="2614"/>
      <c r="F104" s="2614"/>
      <c r="G104" s="2614"/>
      <c r="H104" s="2917">
        <v>114</v>
      </c>
      <c r="I104" s="2488"/>
      <c r="J104" s="2614"/>
      <c r="K104" s="2920">
        <v>8030</v>
      </c>
      <c r="L104" s="2918">
        <f t="shared" si="5"/>
        <v>8030</v>
      </c>
      <c r="M104" s="2479" t="str">
        <f t="shared" si="4"/>
        <v>Sierra Pacific Power Company, SF, T-13</v>
      </c>
    </row>
    <row r="105" spans="1:13" ht="15.75" customHeight="1" x14ac:dyDescent="0.2">
      <c r="A105" s="2921">
        <f t="shared" si="6"/>
        <v>14.082999999999954</v>
      </c>
      <c r="B105" s="2512" t="s">
        <v>9137</v>
      </c>
      <c r="C105" s="2512" t="s">
        <v>190</v>
      </c>
      <c r="D105" s="2489" t="s">
        <v>9077</v>
      </c>
      <c r="E105" s="2614"/>
      <c r="F105" s="2614"/>
      <c r="G105" s="2614"/>
      <c r="H105" s="2917">
        <v>1225</v>
      </c>
      <c r="I105" s="2488"/>
      <c r="J105" s="2530">
        <v>64750</v>
      </c>
      <c r="K105" s="2614"/>
      <c r="L105" s="2918">
        <f t="shared" si="5"/>
        <v>64750</v>
      </c>
      <c r="M105" s="2479" t="str">
        <f t="shared" si="4"/>
        <v>Tacoma Power, SF, T-12</v>
      </c>
    </row>
    <row r="106" spans="1:13" ht="15.75" customHeight="1" x14ac:dyDescent="0.2">
      <c r="A106" s="2921">
        <f t="shared" si="6"/>
        <v>14.083999999999953</v>
      </c>
      <c r="B106" s="2512" t="s">
        <v>9137</v>
      </c>
      <c r="C106" s="2512" t="s">
        <v>190</v>
      </c>
      <c r="D106" s="2489" t="s">
        <v>9086</v>
      </c>
      <c r="E106" s="2614"/>
      <c r="F106" s="2614"/>
      <c r="G106" s="2614"/>
      <c r="H106" s="2917">
        <v>18</v>
      </c>
      <c r="I106" s="2488"/>
      <c r="J106" s="2614"/>
      <c r="K106" s="2920">
        <v>564</v>
      </c>
      <c r="L106" s="2918">
        <f t="shared" si="5"/>
        <v>564</v>
      </c>
      <c r="M106" s="2479" t="str">
        <f t="shared" si="4"/>
        <v>Tacoma Power, SF, T-13</v>
      </c>
    </row>
    <row r="107" spans="1:13" ht="15.75" customHeight="1" x14ac:dyDescent="0.2">
      <c r="A107" s="2921">
        <f t="shared" si="6"/>
        <v>14.084999999999953</v>
      </c>
      <c r="B107" s="2512" t="s">
        <v>9138</v>
      </c>
      <c r="C107" s="2922" t="s">
        <v>196</v>
      </c>
      <c r="D107" s="2489" t="s">
        <v>9077</v>
      </c>
      <c r="E107" s="2614"/>
      <c r="F107" s="2614"/>
      <c r="G107" s="2614"/>
      <c r="H107" s="2614"/>
      <c r="I107" s="2488"/>
      <c r="J107" s="2614"/>
      <c r="K107" s="2839">
        <v>-500</v>
      </c>
      <c r="L107" s="2918">
        <f t="shared" si="5"/>
        <v>-500</v>
      </c>
      <c r="M107" s="2479" t="str">
        <f t="shared" si="4"/>
        <v>Tenaska Power Services Co., AD, T-12</v>
      </c>
    </row>
    <row r="108" spans="1:13" ht="15.75" customHeight="1" x14ac:dyDescent="0.2">
      <c r="A108" s="2921">
        <f t="shared" si="6"/>
        <v>14.085999999999952</v>
      </c>
      <c r="B108" s="2512" t="s">
        <v>9138</v>
      </c>
      <c r="C108" s="2512" t="s">
        <v>190</v>
      </c>
      <c r="D108" s="2489" t="s">
        <v>9077</v>
      </c>
      <c r="E108" s="2614"/>
      <c r="F108" s="2614"/>
      <c r="G108" s="2614"/>
      <c r="H108" s="2917">
        <v>16392</v>
      </c>
      <c r="I108" s="2488"/>
      <c r="J108" s="2530">
        <v>1188528</v>
      </c>
      <c r="K108" s="2488"/>
      <c r="L108" s="2918">
        <f t="shared" si="5"/>
        <v>1188528</v>
      </c>
      <c r="M108" s="2479" t="str">
        <f t="shared" si="4"/>
        <v>Tenaska Power Services Co., SF, T-12</v>
      </c>
    </row>
    <row r="109" spans="1:13" ht="15.75" customHeight="1" x14ac:dyDescent="0.2">
      <c r="A109" s="2921">
        <f t="shared" si="6"/>
        <v>14.086999999999952</v>
      </c>
      <c r="B109" s="2512" t="s">
        <v>9138</v>
      </c>
      <c r="C109" s="2512" t="s">
        <v>190</v>
      </c>
      <c r="D109" s="2489" t="s">
        <v>9087</v>
      </c>
      <c r="E109" s="2614"/>
      <c r="F109" s="2614"/>
      <c r="G109" s="2614"/>
      <c r="H109" s="2917">
        <v>302</v>
      </c>
      <c r="I109" s="2488"/>
      <c r="J109" s="2530">
        <v>40695</v>
      </c>
      <c r="K109" s="2488"/>
      <c r="L109" s="2918">
        <f t="shared" si="5"/>
        <v>40695</v>
      </c>
      <c r="M109" s="2479" t="str">
        <f t="shared" si="4"/>
        <v>Tenaska Power Services Co., SF, WSPP-Q</v>
      </c>
    </row>
    <row r="110" spans="1:13" ht="15.75" customHeight="1" x14ac:dyDescent="0.2">
      <c r="A110" s="2921">
        <f t="shared" si="6"/>
        <v>14.087999999999951</v>
      </c>
      <c r="B110" s="2512" t="s">
        <v>9139</v>
      </c>
      <c r="C110" s="2512" t="s">
        <v>190</v>
      </c>
      <c r="D110" s="2489" t="s">
        <v>9077</v>
      </c>
      <c r="E110" s="2614"/>
      <c r="F110" s="2614"/>
      <c r="G110" s="2614"/>
      <c r="H110" s="2917">
        <v>16707</v>
      </c>
      <c r="I110" s="2488"/>
      <c r="J110" s="2530">
        <v>1440037</v>
      </c>
      <c r="K110" s="2614"/>
      <c r="L110" s="2918">
        <f t="shared" si="5"/>
        <v>1440037</v>
      </c>
      <c r="M110" s="2479" t="str">
        <f t="shared" si="4"/>
        <v>The Energy Authority, Inc., SF, T-12</v>
      </c>
    </row>
    <row r="111" spans="1:13" ht="15.75" customHeight="1" x14ac:dyDescent="0.2">
      <c r="A111" s="2921">
        <f t="shared" si="6"/>
        <v>14.088999999999951</v>
      </c>
      <c r="B111" s="2512" t="s">
        <v>9139</v>
      </c>
      <c r="C111" s="2512" t="s">
        <v>190</v>
      </c>
      <c r="D111" s="2489" t="s">
        <v>9087</v>
      </c>
      <c r="E111" s="2614"/>
      <c r="F111" s="2614"/>
      <c r="G111" s="2614"/>
      <c r="H111" s="2917">
        <v>1010</v>
      </c>
      <c r="I111" s="2488"/>
      <c r="J111" s="2530">
        <v>181750</v>
      </c>
      <c r="K111" s="2488"/>
      <c r="L111" s="2918">
        <f t="shared" si="5"/>
        <v>181750</v>
      </c>
      <c r="M111" s="2479" t="str">
        <f t="shared" si="4"/>
        <v>The Energy Authority, Inc., SF, WSPP-Q</v>
      </c>
    </row>
    <row r="112" spans="1:13" ht="15.75" customHeight="1" x14ac:dyDescent="0.2">
      <c r="A112" s="2921">
        <f t="shared" si="6"/>
        <v>14.08999999999995</v>
      </c>
      <c r="B112" s="2512" t="s">
        <v>9140</v>
      </c>
      <c r="C112" s="2512" t="s">
        <v>190</v>
      </c>
      <c r="D112" s="2489" t="s">
        <v>9077</v>
      </c>
      <c r="E112" s="2614"/>
      <c r="F112" s="2614"/>
      <c r="G112" s="2614"/>
      <c r="H112" s="2917">
        <v>15939</v>
      </c>
      <c r="I112" s="2488"/>
      <c r="J112" s="2530">
        <v>1214954</v>
      </c>
      <c r="K112" s="2488"/>
      <c r="L112" s="2918">
        <f t="shared" si="5"/>
        <v>1214954</v>
      </c>
      <c r="M112" s="2479" t="str">
        <f t="shared" si="4"/>
        <v>TransAlta Energy Marketing (U.S.) Inc., SF, T-12</v>
      </c>
    </row>
    <row r="113" spans="1:13" ht="15.75" customHeight="1" x14ac:dyDescent="0.2">
      <c r="A113" s="2921">
        <f t="shared" si="6"/>
        <v>14.09099999999995</v>
      </c>
      <c r="B113" s="2512" t="s">
        <v>9140</v>
      </c>
      <c r="C113" s="2512" t="s">
        <v>190</v>
      </c>
      <c r="D113" s="2489" t="s">
        <v>9087</v>
      </c>
      <c r="E113" s="2614"/>
      <c r="F113" s="2614"/>
      <c r="G113" s="2614"/>
      <c r="H113" s="2917">
        <v>1013</v>
      </c>
      <c r="I113" s="2488"/>
      <c r="J113" s="2530">
        <v>50140</v>
      </c>
      <c r="K113" s="2488"/>
      <c r="L113" s="2918">
        <f t="shared" si="5"/>
        <v>50140</v>
      </c>
      <c r="M113" s="2479" t="str">
        <f t="shared" si="4"/>
        <v>TransAlta Energy Marketing (U.S.) Inc., SF, WSPP-Q</v>
      </c>
    </row>
    <row r="114" spans="1:13" ht="15.75" customHeight="1" x14ac:dyDescent="0.2">
      <c r="A114" s="2921">
        <f t="shared" si="6"/>
        <v>14.091999999999949</v>
      </c>
      <c r="B114" s="2512" t="s">
        <v>9141</v>
      </c>
      <c r="C114" s="2512" t="s">
        <v>190</v>
      </c>
      <c r="D114" s="2489" t="s">
        <v>9077</v>
      </c>
      <c r="E114" s="2614"/>
      <c r="F114" s="2614"/>
      <c r="G114" s="2614"/>
      <c r="H114" s="2917">
        <v>12085</v>
      </c>
      <c r="I114" s="2488"/>
      <c r="J114" s="2530">
        <v>641474</v>
      </c>
      <c r="K114" s="2614"/>
      <c r="L114" s="2918">
        <f t="shared" si="5"/>
        <v>641474</v>
      </c>
      <c r="M114" s="2479" t="str">
        <f t="shared" si="4"/>
        <v>Tri-State Generation and Transmission Association, Inc., SF, T-12</v>
      </c>
    </row>
    <row r="115" spans="1:13" ht="15.75" customHeight="1" x14ac:dyDescent="0.2">
      <c r="A115" s="2921">
        <f t="shared" si="6"/>
        <v>14.092999999999948</v>
      </c>
      <c r="B115" s="2512" t="s">
        <v>9142</v>
      </c>
      <c r="C115" s="2512" t="s">
        <v>190</v>
      </c>
      <c r="D115" s="2489" t="s">
        <v>9077</v>
      </c>
      <c r="E115" s="2614"/>
      <c r="F115" s="2614"/>
      <c r="G115" s="2614"/>
      <c r="H115" s="2917">
        <v>10599</v>
      </c>
      <c r="I115" s="2488"/>
      <c r="J115" s="2530">
        <v>965540</v>
      </c>
      <c r="K115" s="2488"/>
      <c r="L115" s="2918">
        <f t="shared" si="5"/>
        <v>965540</v>
      </c>
      <c r="M115" s="2479" t="str">
        <f t="shared" si="4"/>
        <v>Tucson Electric Power Company, SF, T-12</v>
      </c>
    </row>
    <row r="116" spans="1:13" ht="15.75" customHeight="1" x14ac:dyDescent="0.2">
      <c r="A116" s="2921">
        <f t="shared" si="6"/>
        <v>14.093999999999948</v>
      </c>
      <c r="B116" s="2512" t="s">
        <v>9142</v>
      </c>
      <c r="C116" s="2512" t="s">
        <v>190</v>
      </c>
      <c r="D116" s="2489" t="s">
        <v>9087</v>
      </c>
      <c r="E116" s="2614"/>
      <c r="F116" s="2614"/>
      <c r="G116" s="2614"/>
      <c r="H116" s="2917">
        <v>70</v>
      </c>
      <c r="I116" s="2488"/>
      <c r="J116" s="2530">
        <v>9800</v>
      </c>
      <c r="K116" s="2488"/>
      <c r="L116" s="2918">
        <f t="shared" si="5"/>
        <v>9800</v>
      </c>
      <c r="M116" s="2479" t="str">
        <f t="shared" si="4"/>
        <v>Tucson Electric Power Company, SF, WSPP-Q</v>
      </c>
    </row>
    <row r="117" spans="1:13" ht="15.75" customHeight="1" x14ac:dyDescent="0.2">
      <c r="A117" s="2921">
        <f t="shared" si="6"/>
        <v>14.094999999999947</v>
      </c>
      <c r="B117" s="2512" t="s">
        <v>9143</v>
      </c>
      <c r="C117" s="2512" t="s">
        <v>190</v>
      </c>
      <c r="D117" s="2489" t="s">
        <v>9077</v>
      </c>
      <c r="E117" s="2614"/>
      <c r="F117" s="2614"/>
      <c r="G117" s="2614"/>
      <c r="H117" s="2917">
        <v>65485</v>
      </c>
      <c r="I117" s="2488"/>
      <c r="J117" s="2530">
        <v>6683575</v>
      </c>
      <c r="K117" s="2488"/>
      <c r="L117" s="2918">
        <f t="shared" si="5"/>
        <v>6683575</v>
      </c>
      <c r="M117" s="2479" t="str">
        <f t="shared" si="4"/>
        <v>Turlock Irrigation District, SF, T-12</v>
      </c>
    </row>
    <row r="118" spans="1:13" ht="15.75" customHeight="1" x14ac:dyDescent="0.2">
      <c r="A118" s="2921">
        <f t="shared" si="6"/>
        <v>14.095999999999947</v>
      </c>
      <c r="B118" s="2512" t="s">
        <v>9144</v>
      </c>
      <c r="C118" s="2922" t="s">
        <v>196</v>
      </c>
      <c r="D118" s="2489" t="s">
        <v>9077</v>
      </c>
      <c r="E118" s="2614"/>
      <c r="F118" s="2614"/>
      <c r="G118" s="2614"/>
      <c r="H118" s="2917">
        <v>23</v>
      </c>
      <c r="I118" s="2488"/>
      <c r="J118" s="2614"/>
      <c r="K118" s="2839">
        <v>1371</v>
      </c>
      <c r="L118" s="2918">
        <f t="shared" si="5"/>
        <v>1371</v>
      </c>
      <c r="M118" s="2479" t="str">
        <f t="shared" si="4"/>
        <v>Uniper Global Commodities North America LLC, AD, T-12</v>
      </c>
    </row>
    <row r="119" spans="1:13" ht="15.75" customHeight="1" x14ac:dyDescent="0.2">
      <c r="A119" s="2921">
        <f t="shared" si="6"/>
        <v>14.096999999999946</v>
      </c>
      <c r="B119" s="2512" t="s">
        <v>9144</v>
      </c>
      <c r="C119" s="2512" t="s">
        <v>190</v>
      </c>
      <c r="D119" s="2489" t="s">
        <v>9077</v>
      </c>
      <c r="E119" s="2614"/>
      <c r="F119" s="2614"/>
      <c r="G119" s="2614"/>
      <c r="H119" s="2917">
        <v>8748</v>
      </c>
      <c r="I119" s="2488"/>
      <c r="J119" s="2530">
        <v>1003447</v>
      </c>
      <c r="K119" s="2488"/>
      <c r="L119" s="2918">
        <f t="shared" si="5"/>
        <v>1003447</v>
      </c>
      <c r="M119" s="2479" t="str">
        <f t="shared" si="4"/>
        <v>Uniper Global Commodities North America LLC, SF, T-12</v>
      </c>
    </row>
    <row r="120" spans="1:13" ht="15.75" customHeight="1" x14ac:dyDescent="0.2">
      <c r="A120" s="2921">
        <f t="shared" si="6"/>
        <v>14.097999999999946</v>
      </c>
      <c r="B120" s="2512" t="s">
        <v>9145</v>
      </c>
      <c r="C120" s="2512" t="s">
        <v>190</v>
      </c>
      <c r="D120" s="2489" t="s">
        <v>9077</v>
      </c>
      <c r="E120" s="2614"/>
      <c r="F120" s="2614"/>
      <c r="G120" s="2614"/>
      <c r="H120" s="2917">
        <v>1224</v>
      </c>
      <c r="I120" s="2488"/>
      <c r="J120" s="2530">
        <v>70740</v>
      </c>
      <c r="K120" s="2488"/>
      <c r="L120" s="2918">
        <f t="shared" si="5"/>
        <v>70740</v>
      </c>
      <c r="M120" s="2479" t="str">
        <f t="shared" si="4"/>
        <v>UNS Electric, Inc., SF, T-12</v>
      </c>
    </row>
    <row r="121" spans="1:13" ht="15.75" customHeight="1" x14ac:dyDescent="0.2">
      <c r="A121" s="2921">
        <f t="shared" si="6"/>
        <v>14.098999999999945</v>
      </c>
      <c r="B121" s="2512" t="s">
        <v>9146</v>
      </c>
      <c r="C121" s="2922" t="s">
        <v>196</v>
      </c>
      <c r="D121" s="2489" t="s">
        <v>9087</v>
      </c>
      <c r="E121" s="2614"/>
      <c r="F121" s="2614"/>
      <c r="G121" s="2614"/>
      <c r="H121" s="2614"/>
      <c r="I121" s="2488"/>
      <c r="J121" s="2614"/>
      <c r="K121" s="2839">
        <v>-1724</v>
      </c>
      <c r="L121" s="2918">
        <f t="shared" si="5"/>
        <v>-1724</v>
      </c>
      <c r="M121" s="2479" t="str">
        <f t="shared" si="4"/>
        <v>Utah Associated Municipal Power Systems, AD, WSPP-Q</v>
      </c>
    </row>
    <row r="122" spans="1:13" ht="15.75" customHeight="1" x14ac:dyDescent="0.2">
      <c r="A122" s="2921">
        <f t="shared" si="6"/>
        <v>14.099999999999945</v>
      </c>
      <c r="B122" s="2512" t="s">
        <v>9146</v>
      </c>
      <c r="C122" s="2512" t="s">
        <v>190</v>
      </c>
      <c r="D122" s="2489" t="s">
        <v>9087</v>
      </c>
      <c r="E122" s="2614"/>
      <c r="F122" s="2614"/>
      <c r="G122" s="2614"/>
      <c r="H122" s="2917">
        <v>4060</v>
      </c>
      <c r="I122" s="2488"/>
      <c r="J122" s="2530">
        <v>496577</v>
      </c>
      <c r="K122" s="2614"/>
      <c r="L122" s="2918">
        <f t="shared" si="5"/>
        <v>496577</v>
      </c>
      <c r="M122" s="2479" t="str">
        <f t="shared" si="4"/>
        <v>Utah Associated Municipal Power Systems, SF, WSPP-Q</v>
      </c>
    </row>
    <row r="123" spans="1:13" ht="15.75" customHeight="1" x14ac:dyDescent="0.2">
      <c r="A123" s="2921">
        <f t="shared" si="6"/>
        <v>14.100999999999944</v>
      </c>
      <c r="B123" s="2512" t="s">
        <v>9147</v>
      </c>
      <c r="C123" s="2512" t="s">
        <v>190</v>
      </c>
      <c r="D123" s="2489" t="s">
        <v>9087</v>
      </c>
      <c r="E123" s="2614"/>
      <c r="F123" s="2614"/>
      <c r="G123" s="2614"/>
      <c r="H123" s="2917">
        <v>1600</v>
      </c>
      <c r="I123" s="2488"/>
      <c r="J123" s="2530">
        <v>126964</v>
      </c>
      <c r="K123" s="2488"/>
      <c r="L123" s="2918">
        <f t="shared" si="5"/>
        <v>126964</v>
      </c>
      <c r="M123" s="2479" t="str">
        <f t="shared" si="4"/>
        <v>Utah Municipal Power Agency, SF, WSPP-Q</v>
      </c>
    </row>
    <row r="124" spans="1:13" ht="15.75" customHeight="1" x14ac:dyDescent="0.2">
      <c r="A124" s="2921">
        <f t="shared" si="6"/>
        <v>14.101999999999943</v>
      </c>
      <c r="B124" s="2512" t="s">
        <v>9148</v>
      </c>
      <c r="C124" s="2512" t="s">
        <v>190</v>
      </c>
      <c r="D124" s="2489" t="s">
        <v>9077</v>
      </c>
      <c r="E124" s="2614"/>
      <c r="F124" s="2614"/>
      <c r="G124" s="2614"/>
      <c r="H124" s="2917">
        <v>105188</v>
      </c>
      <c r="I124" s="2488"/>
      <c r="J124" s="2530">
        <v>8832809</v>
      </c>
      <c r="K124" s="2488"/>
      <c r="L124" s="2918">
        <f t="shared" si="5"/>
        <v>8832809</v>
      </c>
      <c r="M124" s="2479" t="str">
        <f t="shared" si="4"/>
        <v>Vitol Inc., SF, T-12</v>
      </c>
    </row>
    <row r="125" spans="1:13" ht="15.75" customHeight="1" x14ac:dyDescent="0.2">
      <c r="A125" s="2921">
        <f t="shared" si="6"/>
        <v>14.102999999999943</v>
      </c>
      <c r="B125" s="2512" t="s">
        <v>9148</v>
      </c>
      <c r="C125" s="2512" t="s">
        <v>190</v>
      </c>
      <c r="D125" s="2489" t="s">
        <v>9087</v>
      </c>
      <c r="E125" s="2614"/>
      <c r="F125" s="2614"/>
      <c r="G125" s="2614"/>
      <c r="H125" s="2917">
        <v>3200</v>
      </c>
      <c r="I125" s="2488"/>
      <c r="J125" s="2530">
        <v>93928</v>
      </c>
      <c r="K125" s="2488"/>
      <c r="L125" s="2918">
        <f t="shared" si="5"/>
        <v>93928</v>
      </c>
      <c r="M125" s="2479" t="str">
        <f t="shared" si="4"/>
        <v>Vitol Inc., SF, WSPP-Q</v>
      </c>
    </row>
    <row r="126" spans="1:13" ht="15.75" customHeight="1" x14ac:dyDescent="0.2">
      <c r="A126" s="2921">
        <f t="shared" si="6"/>
        <v>14.103999999999942</v>
      </c>
      <c r="B126" s="2512" t="s">
        <v>9149</v>
      </c>
      <c r="C126" s="2512" t="s">
        <v>190</v>
      </c>
      <c r="D126" s="2489" t="s">
        <v>9077</v>
      </c>
      <c r="E126" s="2614"/>
      <c r="F126" s="2614"/>
      <c r="G126" s="2614"/>
      <c r="H126" s="2917">
        <v>31031</v>
      </c>
      <c r="I126" s="2488"/>
      <c r="J126" s="2530">
        <v>3919790</v>
      </c>
      <c r="K126" s="2488"/>
      <c r="L126" s="2918">
        <f t="shared" si="5"/>
        <v>3919790</v>
      </c>
      <c r="M126" s="2479" t="str">
        <f t="shared" si="4"/>
        <v>Western Area Power Administration - Colorado Missouri, SF, T-12</v>
      </c>
    </row>
    <row r="127" spans="1:13" ht="15.75" customHeight="1" x14ac:dyDescent="0.2">
      <c r="A127" s="2921">
        <f t="shared" si="6"/>
        <v>14.104999999999942</v>
      </c>
      <c r="B127" s="2512" t="s">
        <v>9149</v>
      </c>
      <c r="C127" s="2512" t="s">
        <v>190</v>
      </c>
      <c r="D127" s="2489" t="s">
        <v>9086</v>
      </c>
      <c r="E127" s="2614"/>
      <c r="F127" s="2614"/>
      <c r="G127" s="2614"/>
      <c r="H127" s="2917">
        <v>828</v>
      </c>
      <c r="I127" s="2488"/>
      <c r="J127" s="2614"/>
      <c r="K127" s="2920">
        <v>66253</v>
      </c>
      <c r="L127" s="2918">
        <f t="shared" si="5"/>
        <v>66253</v>
      </c>
      <c r="M127" s="2479" t="str">
        <f t="shared" si="4"/>
        <v>Western Area Power Administration - Colorado Missouri, SF, T-13</v>
      </c>
    </row>
    <row r="128" spans="1:13" ht="15.75" customHeight="1" x14ac:dyDescent="0.2">
      <c r="A128" s="2921">
        <f t="shared" si="6"/>
        <v>14.105999999999941</v>
      </c>
      <c r="B128" s="2512" t="s">
        <v>9150</v>
      </c>
      <c r="C128" s="2512" t="s">
        <v>190</v>
      </c>
      <c r="D128" s="2489" t="s">
        <v>9077</v>
      </c>
      <c r="E128" s="2614"/>
      <c r="F128" s="2614"/>
      <c r="G128" s="2614"/>
      <c r="H128" s="2917">
        <v>2400</v>
      </c>
      <c r="I128" s="2488"/>
      <c r="J128" s="2530">
        <v>347200</v>
      </c>
      <c r="K128" s="2488"/>
      <c r="L128" s="2918">
        <f t="shared" si="5"/>
        <v>347200</v>
      </c>
      <c r="M128" s="2479" t="str">
        <f t="shared" si="4"/>
        <v>Western Area Power Administration - Sierra Nevada, SF, T-12</v>
      </c>
    </row>
    <row r="129" spans="1:13" ht="15.75" customHeight="1" x14ac:dyDescent="0.2">
      <c r="A129" s="2921">
        <f t="shared" si="6"/>
        <v>14.106999999999941</v>
      </c>
      <c r="B129" s="2512" t="s">
        <v>9151</v>
      </c>
      <c r="C129" s="2512" t="s">
        <v>190</v>
      </c>
      <c r="D129" s="2489" t="s">
        <v>9077</v>
      </c>
      <c r="E129" s="2614"/>
      <c r="F129" s="2614"/>
      <c r="G129" s="2614"/>
      <c r="H129" s="2917">
        <v>56373</v>
      </c>
      <c r="I129" s="2488"/>
      <c r="J129" s="2530">
        <v>6871937</v>
      </c>
      <c r="K129" s="2488"/>
      <c r="L129" s="2918">
        <f t="shared" si="5"/>
        <v>6871937</v>
      </c>
      <c r="M129" s="2479" t="str">
        <f t="shared" si="4"/>
        <v>Western Area Power Administration - Upper Colorado, SF, T-12</v>
      </c>
    </row>
    <row r="130" spans="1:13" ht="15.75" customHeight="1" x14ac:dyDescent="0.2">
      <c r="A130" s="2921">
        <f t="shared" si="6"/>
        <v>14.10799999999994</v>
      </c>
      <c r="B130" s="2512" t="s">
        <v>9151</v>
      </c>
      <c r="C130" s="2512" t="s">
        <v>190</v>
      </c>
      <c r="D130" s="2489" t="s">
        <v>9087</v>
      </c>
      <c r="E130" s="2614"/>
      <c r="F130" s="2614"/>
      <c r="G130" s="2614"/>
      <c r="H130" s="2917">
        <v>140</v>
      </c>
      <c r="I130" s="2488"/>
      <c r="J130" s="2530">
        <v>18690</v>
      </c>
      <c r="K130" s="2614"/>
      <c r="L130" s="2918">
        <f t="shared" si="5"/>
        <v>18690</v>
      </c>
      <c r="M130" s="2479" t="str">
        <f t="shared" si="4"/>
        <v>Western Area Power Administration - Upper Colorado, SF, WSPP-Q</v>
      </c>
    </row>
    <row r="131" spans="1:13" ht="15.75" customHeight="1" x14ac:dyDescent="0.2">
      <c r="A131" s="2921">
        <f t="shared" si="6"/>
        <v>14.10899999999994</v>
      </c>
      <c r="B131" s="2512" t="s">
        <v>9152</v>
      </c>
      <c r="C131" s="2512" t="s">
        <v>193</v>
      </c>
      <c r="D131" s="2489" t="s">
        <v>195</v>
      </c>
      <c r="E131" s="2614"/>
      <c r="F131" s="2614"/>
      <c r="G131" s="2614"/>
      <c r="H131" s="2917">
        <v>-9355</v>
      </c>
      <c r="I131" s="2488"/>
      <c r="J131" s="2614"/>
      <c r="K131" s="2531">
        <v>-521838</v>
      </c>
      <c r="L131" s="2918">
        <f t="shared" si="5"/>
        <v>-521838</v>
      </c>
      <c r="M131" s="2479" t="str">
        <f t="shared" si="4"/>
        <v>Test Generation, OS, NA</v>
      </c>
    </row>
    <row r="132" spans="1:13" ht="15.75" customHeight="1" x14ac:dyDescent="0.2">
      <c r="A132" s="2921">
        <f t="shared" si="6"/>
        <v>14.109999999999939</v>
      </c>
      <c r="B132" s="2512" t="s">
        <v>9153</v>
      </c>
      <c r="C132" s="2922" t="s">
        <v>196</v>
      </c>
      <c r="D132" s="2489" t="s">
        <v>9154</v>
      </c>
      <c r="E132" s="2614"/>
      <c r="F132" s="2614"/>
      <c r="G132" s="2614"/>
      <c r="H132" s="2917">
        <v>236</v>
      </c>
      <c r="I132" s="2488"/>
      <c r="J132" s="2614"/>
      <c r="K132" s="2839">
        <v>12381</v>
      </c>
      <c r="L132" s="2918">
        <f t="shared" si="5"/>
        <v>12381</v>
      </c>
      <c r="M132" s="2479" t="str">
        <f t="shared" si="4"/>
        <v>Transmission Loss Sales Revenue, AD, T-11</v>
      </c>
    </row>
    <row r="133" spans="1:13" ht="15.75" customHeight="1" x14ac:dyDescent="0.2">
      <c r="A133" s="2921">
        <f t="shared" si="6"/>
        <v>14.110999999999938</v>
      </c>
      <c r="B133" s="2512" t="s">
        <v>9153</v>
      </c>
      <c r="C133" s="2512" t="s">
        <v>193</v>
      </c>
      <c r="D133" s="2489" t="s">
        <v>9154</v>
      </c>
      <c r="E133" s="2614"/>
      <c r="F133" s="2614"/>
      <c r="G133" s="2614"/>
      <c r="H133" s="2917">
        <v>351550</v>
      </c>
      <c r="I133" s="2488"/>
      <c r="J133" s="2614"/>
      <c r="K133" s="2531">
        <v>17628544</v>
      </c>
      <c r="L133" s="2918">
        <f t="shared" si="5"/>
        <v>17628544</v>
      </c>
      <c r="M133" s="2479" t="str">
        <f t="shared" si="4"/>
        <v>Transmission Loss Sales Revenue, OS, T-11</v>
      </c>
    </row>
    <row r="134" spans="1:13" ht="15.75" customHeight="1" x14ac:dyDescent="0.2">
      <c r="A134" s="2921">
        <f t="shared" si="6"/>
        <v>14.111999999999938</v>
      </c>
      <c r="B134" s="2512" t="s">
        <v>9155</v>
      </c>
      <c r="C134" s="2512"/>
      <c r="D134" s="2489" t="s">
        <v>195</v>
      </c>
      <c r="E134" s="2614"/>
      <c r="F134" s="2614"/>
      <c r="G134" s="2614"/>
      <c r="H134" s="2917">
        <v>-413724</v>
      </c>
      <c r="I134" s="2488"/>
      <c r="J134" s="2614"/>
      <c r="K134" s="2531">
        <v>-25199653</v>
      </c>
      <c r="L134" s="2918">
        <f t="shared" si="5"/>
        <v>-25199653</v>
      </c>
      <c r="M134" s="2479" t="str">
        <f t="shared" si="4"/>
        <v>Netting-Bookouts, , NA</v>
      </c>
    </row>
    <row r="135" spans="1:13" ht="15.75" customHeight="1" x14ac:dyDescent="0.2">
      <c r="A135" s="2921">
        <f t="shared" si="6"/>
        <v>14.112999999999937</v>
      </c>
      <c r="B135" s="2512" t="s">
        <v>9156</v>
      </c>
      <c r="C135" s="2512"/>
      <c r="D135" s="2489" t="s">
        <v>195</v>
      </c>
      <c r="E135" s="2614"/>
      <c r="F135" s="2614"/>
      <c r="G135" s="2614"/>
      <c r="H135" s="2614"/>
      <c r="I135" s="2488"/>
      <c r="J135" s="2614"/>
      <c r="K135" s="2531">
        <v>-807799</v>
      </c>
      <c r="L135" s="2918">
        <f t="shared" si="5"/>
        <v>-807799</v>
      </c>
      <c r="M135" s="2479" t="str">
        <f t="shared" si="4"/>
        <v>Netting-Trading, , NA</v>
      </c>
    </row>
    <row r="136" spans="1:13" ht="15.75" customHeight="1" x14ac:dyDescent="0.2">
      <c r="A136" s="2921">
        <f t="shared" si="6"/>
        <v>14.113999999999937</v>
      </c>
      <c r="B136" s="2512" t="s">
        <v>9080</v>
      </c>
      <c r="C136" s="2512"/>
      <c r="D136" s="2489" t="s">
        <v>195</v>
      </c>
      <c r="E136" s="2614"/>
      <c r="F136" s="2614"/>
      <c r="G136" s="2614"/>
      <c r="H136" s="2917">
        <v>20694</v>
      </c>
      <c r="I136" s="2488"/>
      <c r="J136" s="2614"/>
      <c r="K136" s="2531">
        <v>2149160</v>
      </c>
      <c r="L136" s="2918">
        <f t="shared" si="5"/>
        <v>2149160</v>
      </c>
      <c r="M136" s="2479" t="str">
        <f t="shared" si="4"/>
        <v>Accrual, , NA</v>
      </c>
    </row>
    <row r="137" spans="1:13" ht="15.75" customHeight="1" x14ac:dyDescent="0.2">
      <c r="A137" s="2921">
        <f t="shared" si="6"/>
        <v>14.114999999999936</v>
      </c>
      <c r="B137" s="2512"/>
      <c r="C137" s="2512"/>
      <c r="D137" s="2489"/>
      <c r="E137" s="2614"/>
      <c r="F137" s="2614"/>
      <c r="G137" s="2614"/>
      <c r="H137" s="2614"/>
      <c r="I137" s="2488"/>
      <c r="J137" s="2614"/>
      <c r="K137" s="2488"/>
      <c r="L137" s="2918">
        <f t="shared" si="5"/>
        <v>0</v>
      </c>
      <c r="M137" s="2479" t="str">
        <f t="shared" ref="M137:M140" si="7">CONCATENATE(B137,", ",C137,", ",D137)</f>
        <v xml:space="preserve">, , </v>
      </c>
    </row>
    <row r="138" spans="1:13" ht="15.75" customHeight="1" x14ac:dyDescent="0.2">
      <c r="A138" s="2748">
        <v>15</v>
      </c>
      <c r="B138" s="2669" t="s">
        <v>9157</v>
      </c>
      <c r="C138" s="2668"/>
      <c r="D138" s="2668"/>
      <c r="E138" s="2668"/>
      <c r="F138" s="2668"/>
      <c r="G138" s="2668"/>
      <c r="H138" s="2923">
        <f>SUM(H10:H15)</f>
        <v>307999</v>
      </c>
      <c r="I138" s="2923">
        <f>SUM(I10:I15)</f>
        <v>6853449</v>
      </c>
      <c r="J138" s="2923">
        <f>SUM(J10:J15)</f>
        <v>8734914</v>
      </c>
      <c r="K138" s="2923">
        <f>SUM(K10:K15)</f>
        <v>419802</v>
      </c>
      <c r="L138" s="2923">
        <f>SUM(L10:L15)</f>
        <v>16008165</v>
      </c>
      <c r="M138" s="2479" t="str">
        <f t="shared" si="7"/>
        <v xml:space="preserve">Subtotal RQ, , </v>
      </c>
    </row>
    <row r="139" spans="1:13" ht="15.75" customHeight="1" x14ac:dyDescent="0.2">
      <c r="A139" s="2748">
        <v>16</v>
      </c>
      <c r="B139" s="2669" t="s">
        <v>9158</v>
      </c>
      <c r="C139" s="2668"/>
      <c r="D139" s="2668"/>
      <c r="E139" s="2668"/>
      <c r="F139" s="2668"/>
      <c r="G139" s="2668"/>
      <c r="H139" s="2923">
        <f>SUM(H18:H137)</f>
        <v>2602670</v>
      </c>
      <c r="I139" s="2923">
        <f>SUM(I18:I137)</f>
        <v>905976</v>
      </c>
      <c r="J139" s="2923">
        <f>SUM(J18:J137)</f>
        <v>181216259</v>
      </c>
      <c r="K139" s="2923">
        <f>SUM(K18:K137)</f>
        <v>-5915870</v>
      </c>
      <c r="L139" s="2923">
        <f>SUM(L18:L137)</f>
        <v>176206365</v>
      </c>
      <c r="M139" s="2479" t="str">
        <f t="shared" si="7"/>
        <v xml:space="preserve">Subtotal non-RQ, , </v>
      </c>
    </row>
    <row r="140" spans="1:13" ht="15.75" customHeight="1" x14ac:dyDescent="0.2">
      <c r="A140" s="2748">
        <v>17</v>
      </c>
      <c r="B140" s="2669" t="s">
        <v>104</v>
      </c>
      <c r="C140" s="2668"/>
      <c r="D140" s="2668"/>
      <c r="E140" s="2668"/>
      <c r="F140" s="2668"/>
      <c r="G140" s="2668"/>
      <c r="H140" s="2923">
        <f>H138+H139</f>
        <v>2910669</v>
      </c>
      <c r="I140" s="2923">
        <f>I138+I139</f>
        <v>7759425</v>
      </c>
      <c r="J140" s="2923">
        <f>J138+J139</f>
        <v>189951173</v>
      </c>
      <c r="K140" s="2923">
        <f>K138+K139</f>
        <v>-5496068</v>
      </c>
      <c r="L140" s="2923">
        <f>L138+L139</f>
        <v>192214530</v>
      </c>
      <c r="M140" s="2479" t="str">
        <f t="shared" si="7"/>
        <v xml:space="preserve">Total, , </v>
      </c>
    </row>
    <row r="141" spans="1:13" ht="15" customHeight="1" x14ac:dyDescent="0.2">
      <c r="A141" s="2535"/>
      <c r="B141" s="2924"/>
      <c r="C141" s="2516"/>
      <c r="D141" s="2516"/>
      <c r="E141" s="2516"/>
      <c r="F141" s="2516"/>
      <c r="G141" s="2516"/>
      <c r="H141" s="2516"/>
      <c r="I141" s="2516"/>
      <c r="J141" s="2516"/>
      <c r="K141" s="2516"/>
      <c r="L141" s="2516"/>
    </row>
    <row r="142" spans="1:13" ht="15" customHeight="1" x14ac:dyDescent="0.2"/>
    <row r="143" spans="1:13" ht="15" customHeight="1" x14ac:dyDescent="0.2"/>
  </sheetData>
  <mergeCells count="13">
    <mergeCell ref="H6:H7"/>
    <mergeCell ref="I6:K6"/>
    <mergeCell ref="L6:L7"/>
    <mergeCell ref="A3:L3"/>
    <mergeCell ref="A4:L4"/>
    <mergeCell ref="A5:G5"/>
    <mergeCell ref="H5:L5"/>
    <mergeCell ref="A6:A8"/>
    <mergeCell ref="B6:B7"/>
    <mergeCell ref="C6:C7"/>
    <mergeCell ref="D6:D7"/>
    <mergeCell ref="E6:E7"/>
    <mergeCell ref="F6:G6"/>
  </mergeCells>
  <pageMargins left="0.75" right="0.75" top="1" bottom="1" header="0.5" footer="0.5"/>
  <customProperties>
    <customPr name="_pios_id" r:id="rId1"/>
  </customProperties>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63D7A2-7640-486B-B4AD-ED1D9CCD3553}">
  <sheetPr>
    <tabColor rgb="FF538DD5"/>
  </sheetPr>
  <dimension ref="A1:M139"/>
  <sheetViews>
    <sheetView showRuler="0" workbookViewId="0">
      <selection sqref="A1:B1"/>
    </sheetView>
  </sheetViews>
  <sheetFormatPr defaultColWidth="12" defaultRowHeight="12.75" x14ac:dyDescent="0.2"/>
  <cols>
    <col min="1" max="1" width="5.875" style="1953" customWidth="1"/>
    <col min="2" max="2" width="36.625" style="1953" customWidth="1"/>
    <col min="3" max="3" width="6.625" style="1953" customWidth="1"/>
    <col min="4" max="4" width="9.125" style="1953" customWidth="1"/>
    <col min="5" max="5" width="9.875" style="1953" customWidth="1"/>
    <col min="6" max="7" width="10.5" style="1953" customWidth="1"/>
    <col min="8" max="8" width="8.875" style="1953" customWidth="1"/>
    <col min="9" max="12" width="11.875" style="1953" customWidth="1"/>
    <col min="13" max="13" width="44" style="1953" customWidth="1"/>
    <col min="14" max="25" width="17.625" style="1953" customWidth="1"/>
    <col min="26" max="16384" width="12" style="1953"/>
  </cols>
  <sheetData>
    <row r="1" spans="1:13" ht="15.75" customHeight="1" x14ac:dyDescent="0.2">
      <c r="C1" s="2479"/>
    </row>
    <row r="2" spans="1:13" ht="16.7" customHeight="1" x14ac:dyDescent="0.2">
      <c r="B2" s="2483"/>
    </row>
    <row r="3" spans="1:13" ht="15.75" customHeight="1" x14ac:dyDescent="0.2">
      <c r="A3" s="3990" t="s">
        <v>9055</v>
      </c>
      <c r="B3" s="3991"/>
      <c r="C3" s="3991"/>
      <c r="D3" s="3991"/>
      <c r="E3" s="3991"/>
      <c r="F3" s="3991"/>
      <c r="G3" s="3991"/>
      <c r="H3" s="3991"/>
      <c r="I3" s="3991"/>
      <c r="J3" s="3991"/>
      <c r="K3" s="3991"/>
      <c r="L3" s="3992"/>
      <c r="M3" s="2479"/>
    </row>
    <row r="4" spans="1:13" ht="15.75" customHeight="1" x14ac:dyDescent="0.2">
      <c r="A4" s="3932" t="s">
        <v>9056</v>
      </c>
      <c r="B4" s="3975"/>
      <c r="C4" s="3975"/>
      <c r="D4" s="3975"/>
      <c r="E4" s="3975"/>
      <c r="F4" s="3975"/>
      <c r="G4" s="3975"/>
      <c r="H4" s="3975"/>
      <c r="I4" s="3975"/>
      <c r="J4" s="3975"/>
      <c r="K4" s="3975"/>
      <c r="L4" s="3976"/>
      <c r="M4" s="2479"/>
    </row>
    <row r="5" spans="1:13" ht="245.85" customHeight="1" x14ac:dyDescent="0.2">
      <c r="A5" s="3878" t="s">
        <v>9057</v>
      </c>
      <c r="B5" s="4048"/>
      <c r="C5" s="4048"/>
      <c r="D5" s="4048"/>
      <c r="E5" s="4048"/>
      <c r="F5" s="4048"/>
      <c r="G5" s="4049"/>
      <c r="H5" s="3878" t="s">
        <v>9058</v>
      </c>
      <c r="I5" s="3879"/>
      <c r="J5" s="3879"/>
      <c r="K5" s="3879"/>
      <c r="L5" s="3880"/>
      <c r="M5" s="2479"/>
    </row>
    <row r="6" spans="1:13" ht="15" customHeight="1" x14ac:dyDescent="0.2">
      <c r="A6" s="4004" t="s">
        <v>6360</v>
      </c>
      <c r="B6" s="3944" t="s">
        <v>9059</v>
      </c>
      <c r="C6" s="3944" t="s">
        <v>9060</v>
      </c>
      <c r="D6" s="3944" t="s">
        <v>9061</v>
      </c>
      <c r="E6" s="3944" t="s">
        <v>9062</v>
      </c>
      <c r="F6" s="3964" t="s">
        <v>9063</v>
      </c>
      <c r="G6" s="3884"/>
      <c r="H6" s="3944" t="s">
        <v>9064</v>
      </c>
      <c r="I6" s="3882" t="s">
        <v>9065</v>
      </c>
      <c r="J6" s="3891"/>
      <c r="K6" s="3892"/>
      <c r="L6" s="3944" t="s">
        <v>9066</v>
      </c>
      <c r="M6" s="2479"/>
    </row>
    <row r="7" spans="1:13" ht="32.450000000000003" customHeight="1" x14ac:dyDescent="0.2">
      <c r="A7" s="3860"/>
      <c r="B7" s="3943"/>
      <c r="C7" s="3943"/>
      <c r="D7" s="3943"/>
      <c r="E7" s="3943"/>
      <c r="F7" s="2637" t="s">
        <v>9067</v>
      </c>
      <c r="G7" s="2637" t="s">
        <v>9068</v>
      </c>
      <c r="H7" s="3945"/>
      <c r="I7" s="2581" t="s">
        <v>9069</v>
      </c>
      <c r="J7" s="2581" t="s">
        <v>9070</v>
      </c>
      <c r="K7" s="2581" t="s">
        <v>9071</v>
      </c>
      <c r="L7" s="3945"/>
      <c r="M7" s="2479"/>
    </row>
    <row r="8" spans="1:13" ht="15.75" customHeight="1" x14ac:dyDescent="0.2">
      <c r="A8" s="3860"/>
      <c r="B8" s="2589" t="s">
        <v>5949</v>
      </c>
      <c r="C8" s="2589" t="s">
        <v>5950</v>
      </c>
      <c r="D8" s="2589" t="s">
        <v>5951</v>
      </c>
      <c r="E8" s="2589" t="s">
        <v>5952</v>
      </c>
      <c r="F8" s="2589" t="s">
        <v>6227</v>
      </c>
      <c r="G8" s="2589" t="s">
        <v>5804</v>
      </c>
      <c r="H8" s="2589" t="s">
        <v>6228</v>
      </c>
      <c r="I8" s="2589" t="s">
        <v>6229</v>
      </c>
      <c r="J8" s="2589" t="s">
        <v>6230</v>
      </c>
      <c r="K8" s="2589" t="s">
        <v>6231</v>
      </c>
      <c r="L8" s="2589" t="s">
        <v>6232</v>
      </c>
      <c r="M8" s="2479" t="s">
        <v>6324</v>
      </c>
    </row>
    <row r="9" spans="1:13" ht="15.75" customHeight="1" x14ac:dyDescent="0.2">
      <c r="A9" s="2497">
        <v>1</v>
      </c>
      <c r="B9" s="2669" t="s">
        <v>9072</v>
      </c>
      <c r="C9" s="2512"/>
      <c r="D9" s="2489"/>
      <c r="E9" s="2488"/>
      <c r="F9" s="2488"/>
      <c r="G9" s="2488"/>
      <c r="H9" s="2614"/>
      <c r="I9" s="2488"/>
      <c r="J9" s="2488"/>
      <c r="K9" s="2488"/>
      <c r="L9" s="2645">
        <f t="shared" ref="L9:L15" si="0">SUM(I9:K9)</f>
        <v>0</v>
      </c>
      <c r="M9" s="2479" t="str">
        <f t="shared" ref="M9:M72" si="1">CONCATENATE(B9,", ",C9,", ",D9)</f>
        <v xml:space="preserve">Requirement Sales:, , </v>
      </c>
    </row>
    <row r="10" spans="1:13" ht="15.75" customHeight="1" x14ac:dyDescent="0.2">
      <c r="A10" s="2497">
        <v>2</v>
      </c>
      <c r="B10" s="2512" t="s">
        <v>9073</v>
      </c>
      <c r="C10" s="2488" t="s">
        <v>187</v>
      </c>
      <c r="D10" s="2489" t="s">
        <v>9074</v>
      </c>
      <c r="E10" s="2916">
        <v>1</v>
      </c>
      <c r="F10" s="2916">
        <v>1</v>
      </c>
      <c r="G10" s="2916">
        <v>1</v>
      </c>
      <c r="H10" s="2917">
        <v>7673</v>
      </c>
      <c r="I10" s="2917">
        <v>136210</v>
      </c>
      <c r="J10" s="2917">
        <v>135578</v>
      </c>
      <c r="K10" s="2614"/>
      <c r="L10" s="2918">
        <f t="shared" si="0"/>
        <v>271788</v>
      </c>
      <c r="M10" s="2479" t="str">
        <f t="shared" si="1"/>
        <v>Helper City, RQ, T-6</v>
      </c>
    </row>
    <row r="11" spans="1:13" ht="15.75" customHeight="1" x14ac:dyDescent="0.2">
      <c r="A11" s="2497">
        <v>3</v>
      </c>
      <c r="B11" s="2512" t="s">
        <v>9075</v>
      </c>
      <c r="C11" s="2488" t="s">
        <v>187</v>
      </c>
      <c r="D11" s="2489" t="s">
        <v>9074</v>
      </c>
      <c r="E11" s="2760">
        <v>1</v>
      </c>
      <c r="F11" s="2760">
        <v>1</v>
      </c>
      <c r="G11" s="2760">
        <v>1</v>
      </c>
      <c r="H11" s="2917">
        <v>6454</v>
      </c>
      <c r="I11" s="3220">
        <v>114086</v>
      </c>
      <c r="J11" s="2917">
        <v>114046</v>
      </c>
      <c r="K11" s="2488"/>
      <c r="L11" s="2918">
        <f t="shared" si="0"/>
        <v>228132</v>
      </c>
      <c r="M11" s="2479" t="str">
        <f t="shared" si="1"/>
        <v>Helper City Annex, RQ, T-6</v>
      </c>
    </row>
    <row r="12" spans="1:13" ht="15.75" customHeight="1" x14ac:dyDescent="0.2">
      <c r="A12" s="2497">
        <v>4</v>
      </c>
      <c r="B12" s="2512" t="s">
        <v>9076</v>
      </c>
      <c r="C12" s="2488" t="s">
        <v>187</v>
      </c>
      <c r="D12" s="2489" t="s">
        <v>9077</v>
      </c>
      <c r="E12" s="2760">
        <v>31</v>
      </c>
      <c r="F12" s="2760">
        <v>31</v>
      </c>
      <c r="G12" s="2760">
        <v>29</v>
      </c>
      <c r="H12" s="2917">
        <v>250114</v>
      </c>
      <c r="I12" s="3220">
        <v>5694270</v>
      </c>
      <c r="J12" s="2917">
        <v>7223748</v>
      </c>
      <c r="K12" s="3221">
        <v>-215678</v>
      </c>
      <c r="L12" s="2918">
        <f t="shared" si="0"/>
        <v>12702340</v>
      </c>
      <c r="M12" s="2479" t="str">
        <f t="shared" si="1"/>
        <v>Navajo Tribal Utility Authority, RQ, T-12</v>
      </c>
    </row>
    <row r="13" spans="1:13" ht="15.75" customHeight="1" x14ac:dyDescent="0.2">
      <c r="A13" s="2497">
        <v>5</v>
      </c>
      <c r="B13" s="2512" t="s">
        <v>9078</v>
      </c>
      <c r="C13" s="2488" t="s">
        <v>187</v>
      </c>
      <c r="D13" s="2489" t="s">
        <v>9074</v>
      </c>
      <c r="E13" s="2760">
        <v>0</v>
      </c>
      <c r="F13" s="2760">
        <v>0</v>
      </c>
      <c r="G13" s="2760">
        <v>0</v>
      </c>
      <c r="H13" s="2917">
        <v>905</v>
      </c>
      <c r="I13" s="3220">
        <v>15183</v>
      </c>
      <c r="J13" s="2917">
        <v>15764</v>
      </c>
      <c r="K13" s="2488"/>
      <c r="L13" s="2918">
        <f t="shared" si="0"/>
        <v>30947</v>
      </c>
      <c r="M13" s="2479" t="str">
        <f t="shared" si="1"/>
        <v>Navajo Tribal Utility Authority (Mexican Hat), RQ, T-6</v>
      </c>
    </row>
    <row r="14" spans="1:13" ht="15.75" customHeight="1" x14ac:dyDescent="0.2">
      <c r="A14" s="2497">
        <v>6</v>
      </c>
      <c r="B14" s="2512" t="s">
        <v>9079</v>
      </c>
      <c r="C14" s="2488" t="s">
        <v>187</v>
      </c>
      <c r="D14" s="2489" t="s">
        <v>9074</v>
      </c>
      <c r="E14" s="2760">
        <v>2</v>
      </c>
      <c r="F14" s="2760">
        <v>2</v>
      </c>
      <c r="G14" s="2760">
        <v>1</v>
      </c>
      <c r="H14" s="2917">
        <v>9594</v>
      </c>
      <c r="I14" s="3220">
        <v>160862</v>
      </c>
      <c r="J14" s="2917">
        <v>167134</v>
      </c>
      <c r="K14" s="2488"/>
      <c r="L14" s="2918">
        <f t="shared" si="0"/>
        <v>327996</v>
      </c>
      <c r="M14" s="2479" t="str">
        <f t="shared" si="1"/>
        <v>Navajo Tribal Utility Authority (Red Mesa), RQ, T-6</v>
      </c>
    </row>
    <row r="15" spans="1:13" ht="15.75" customHeight="1" x14ac:dyDescent="0.2">
      <c r="A15" s="2497">
        <v>7</v>
      </c>
      <c r="B15" s="2512" t="s">
        <v>9080</v>
      </c>
      <c r="C15" s="2488" t="s">
        <v>187</v>
      </c>
      <c r="D15" s="2489"/>
      <c r="E15" s="2614"/>
      <c r="F15" s="2614"/>
      <c r="G15" s="2614"/>
      <c r="H15" s="2917">
        <v>-1470</v>
      </c>
      <c r="I15" s="2488"/>
      <c r="J15" s="2614"/>
      <c r="K15" s="3221">
        <v>-59569</v>
      </c>
      <c r="L15" s="2919">
        <f t="shared" si="0"/>
        <v>-59569</v>
      </c>
      <c r="M15" s="2479" t="str">
        <f t="shared" si="1"/>
        <v xml:space="preserve">Accrual, RQ, </v>
      </c>
    </row>
    <row r="16" spans="1:13" ht="15.75" customHeight="1" x14ac:dyDescent="0.2">
      <c r="A16" s="2497">
        <v>8</v>
      </c>
      <c r="B16" s="2512"/>
      <c r="C16" s="2512"/>
      <c r="D16" s="2489"/>
      <c r="E16" s="2488"/>
      <c r="F16" s="2488"/>
      <c r="G16" s="2488"/>
      <c r="H16" s="2614"/>
      <c r="I16" s="2488"/>
      <c r="J16" s="2614"/>
      <c r="K16" s="2488"/>
      <c r="L16" s="2675"/>
      <c r="M16" s="2479" t="str">
        <f t="shared" si="1"/>
        <v xml:space="preserve">, , </v>
      </c>
    </row>
    <row r="17" spans="1:13" ht="15.75" customHeight="1" x14ac:dyDescent="0.2">
      <c r="A17" s="2497">
        <v>9</v>
      </c>
      <c r="B17" s="2669" t="s">
        <v>9081</v>
      </c>
      <c r="C17" s="2488"/>
      <c r="D17" s="2489"/>
      <c r="E17" s="2488"/>
      <c r="F17" s="2488"/>
      <c r="G17" s="2488"/>
      <c r="H17" s="2614"/>
      <c r="I17" s="2488"/>
      <c r="J17" s="2614"/>
      <c r="K17" s="2488"/>
      <c r="L17" s="2562"/>
      <c r="M17" s="2479" t="str">
        <f t="shared" si="1"/>
        <v xml:space="preserve">Non-Requirement Sales:, , </v>
      </c>
    </row>
    <row r="18" spans="1:13" ht="15.75" customHeight="1" x14ac:dyDescent="0.2">
      <c r="A18" s="2497">
        <v>10</v>
      </c>
      <c r="B18" s="2512" t="s">
        <v>9083</v>
      </c>
      <c r="C18" s="2488" t="s">
        <v>190</v>
      </c>
      <c r="D18" s="2489" t="s">
        <v>9077</v>
      </c>
      <c r="E18" s="2614"/>
      <c r="F18" s="2614"/>
      <c r="G18" s="2614"/>
      <c r="H18" s="2917">
        <v>4395</v>
      </c>
      <c r="I18" s="2488"/>
      <c r="J18" s="2917">
        <v>339191</v>
      </c>
      <c r="K18" s="2488"/>
      <c r="L18" s="2918">
        <f t="shared" ref="L18:L81" si="2">SUM(I18:K18)</f>
        <v>339191</v>
      </c>
      <c r="M18" s="2479" t="str">
        <f t="shared" si="1"/>
        <v>Arizona Electric Power Cooperative, Inc., SF, T-12</v>
      </c>
    </row>
    <row r="19" spans="1:13" ht="15.75" customHeight="1" x14ac:dyDescent="0.2">
      <c r="A19" s="2497">
        <v>11</v>
      </c>
      <c r="B19" s="2512" t="s">
        <v>9084</v>
      </c>
      <c r="C19" s="2478" t="s">
        <v>196</v>
      </c>
      <c r="D19" s="2489" t="s">
        <v>9077</v>
      </c>
      <c r="E19" s="2614"/>
      <c r="F19" s="2614"/>
      <c r="G19" s="2614"/>
      <c r="H19" s="2614"/>
      <c r="I19" s="2488"/>
      <c r="J19" s="2614"/>
      <c r="K19" s="3221">
        <v>-16000</v>
      </c>
      <c r="L19" s="2918">
        <f t="shared" si="2"/>
        <v>-16000</v>
      </c>
      <c r="M19" s="2479" t="str">
        <f t="shared" si="1"/>
        <v>Arizona Public Service Company, AD, T-12</v>
      </c>
    </row>
    <row r="20" spans="1:13" ht="15.75" customHeight="1" x14ac:dyDescent="0.2">
      <c r="A20" s="2497">
        <v>12</v>
      </c>
      <c r="B20" s="2512" t="s">
        <v>9084</v>
      </c>
      <c r="C20" s="2488" t="s">
        <v>190</v>
      </c>
      <c r="D20" s="2489" t="s">
        <v>9077</v>
      </c>
      <c r="E20" s="2614"/>
      <c r="F20" s="2614"/>
      <c r="G20" s="2614"/>
      <c r="H20" s="2917">
        <v>21060</v>
      </c>
      <c r="I20" s="2488"/>
      <c r="J20" s="2917">
        <v>1687565</v>
      </c>
      <c r="K20" s="2488"/>
      <c r="L20" s="2918">
        <f t="shared" si="2"/>
        <v>1687565</v>
      </c>
      <c r="M20" s="2479" t="str">
        <f t="shared" si="1"/>
        <v>Arizona Public Service Company, SF, T-12</v>
      </c>
    </row>
    <row r="21" spans="1:13" ht="15.75" customHeight="1" x14ac:dyDescent="0.2">
      <c r="A21" s="2497">
        <v>13</v>
      </c>
      <c r="B21" s="2512" t="s">
        <v>9085</v>
      </c>
      <c r="C21" s="2478" t="s">
        <v>196</v>
      </c>
      <c r="D21" s="2489" t="s">
        <v>9077</v>
      </c>
      <c r="E21" s="2614"/>
      <c r="F21" s="2614"/>
      <c r="G21" s="2614"/>
      <c r="H21" s="2614"/>
      <c r="I21" s="2488"/>
      <c r="J21" s="2614"/>
      <c r="K21" s="3221">
        <v>-60000</v>
      </c>
      <c r="L21" s="2918">
        <f t="shared" si="2"/>
        <v>-60000</v>
      </c>
      <c r="M21" s="2479" t="str">
        <f t="shared" si="1"/>
        <v>Avangrid Renewables, LLC, AD, T-12</v>
      </c>
    </row>
    <row r="22" spans="1:13" ht="15.75" customHeight="1" x14ac:dyDescent="0.2">
      <c r="A22" s="2497">
        <v>14</v>
      </c>
      <c r="B22" s="2512" t="s">
        <v>9085</v>
      </c>
      <c r="C22" s="2488" t="s">
        <v>190</v>
      </c>
      <c r="D22" s="2489" t="s">
        <v>9077</v>
      </c>
      <c r="E22" s="2614"/>
      <c r="F22" s="2614"/>
      <c r="G22" s="2614"/>
      <c r="H22" s="2917">
        <v>137517</v>
      </c>
      <c r="I22" s="2488"/>
      <c r="J22" s="2917">
        <v>12234729</v>
      </c>
      <c r="K22" s="2488"/>
      <c r="L22" s="2918">
        <f t="shared" si="2"/>
        <v>12234729</v>
      </c>
      <c r="M22" s="2479" t="str">
        <f t="shared" si="1"/>
        <v>Avangrid Renewables, LLC, SF, T-12</v>
      </c>
    </row>
    <row r="23" spans="1:13" ht="15.75" customHeight="1" x14ac:dyDescent="0.2">
      <c r="A23" s="2921">
        <f t="shared" ref="A23:A86" si="3">A22+0.001</f>
        <v>14.000999999999999</v>
      </c>
      <c r="B23" s="2512" t="s">
        <v>9085</v>
      </c>
      <c r="C23" s="2488" t="s">
        <v>190</v>
      </c>
      <c r="D23" s="2489" t="s">
        <v>9086</v>
      </c>
      <c r="E23" s="2614"/>
      <c r="F23" s="2614"/>
      <c r="G23" s="2614"/>
      <c r="H23" s="2917">
        <v>78</v>
      </c>
      <c r="I23" s="2488"/>
      <c r="J23" s="2614"/>
      <c r="K23" s="3221">
        <v>7970</v>
      </c>
      <c r="L23" s="2918">
        <f t="shared" si="2"/>
        <v>7970</v>
      </c>
      <c r="M23" s="2479" t="str">
        <f t="shared" si="1"/>
        <v>Avangrid Renewables, LLC, SF, T-13</v>
      </c>
    </row>
    <row r="24" spans="1:13" ht="15.75" customHeight="1" x14ac:dyDescent="0.2">
      <c r="A24" s="2921">
        <f t="shared" si="3"/>
        <v>14.001999999999999</v>
      </c>
      <c r="B24" s="2512" t="s">
        <v>9088</v>
      </c>
      <c r="C24" s="2488" t="s">
        <v>190</v>
      </c>
      <c r="D24" s="2489" t="s">
        <v>9077</v>
      </c>
      <c r="E24" s="2614"/>
      <c r="F24" s="2614"/>
      <c r="G24" s="2614"/>
      <c r="H24" s="2917">
        <v>7125</v>
      </c>
      <c r="I24" s="2488"/>
      <c r="J24" s="2917">
        <v>592171</v>
      </c>
      <c r="K24" s="2488"/>
      <c r="L24" s="2918">
        <f t="shared" si="2"/>
        <v>592171</v>
      </c>
      <c r="M24" s="2479" t="str">
        <f t="shared" si="1"/>
        <v>Avista Corporation, SF, T-12</v>
      </c>
    </row>
    <row r="25" spans="1:13" ht="15.75" customHeight="1" x14ac:dyDescent="0.2">
      <c r="A25" s="2921">
        <f t="shared" si="3"/>
        <v>14.002999999999998</v>
      </c>
      <c r="B25" s="2512" t="s">
        <v>9088</v>
      </c>
      <c r="C25" s="2488" t="s">
        <v>190</v>
      </c>
      <c r="D25" s="2489" t="s">
        <v>9086</v>
      </c>
      <c r="E25" s="2614"/>
      <c r="F25" s="2614"/>
      <c r="G25" s="2614"/>
      <c r="H25" s="2917">
        <v>37</v>
      </c>
      <c r="I25" s="2488"/>
      <c r="J25" s="2614"/>
      <c r="K25" s="3222">
        <v>4697</v>
      </c>
      <c r="L25" s="2918">
        <f t="shared" si="2"/>
        <v>4697</v>
      </c>
      <c r="M25" s="2479" t="str">
        <f t="shared" si="1"/>
        <v>Avista Corporation, SF, T-13</v>
      </c>
    </row>
    <row r="26" spans="1:13" ht="15.75" customHeight="1" x14ac:dyDescent="0.2">
      <c r="A26" s="2921">
        <f t="shared" si="3"/>
        <v>14.003999999999998</v>
      </c>
      <c r="B26" s="2512" t="s">
        <v>9088</v>
      </c>
      <c r="C26" s="2488" t="s">
        <v>190</v>
      </c>
      <c r="D26" s="2489" t="s">
        <v>9087</v>
      </c>
      <c r="E26" s="2614"/>
      <c r="F26" s="2614"/>
      <c r="G26" s="2614"/>
      <c r="H26" s="2917">
        <v>100</v>
      </c>
      <c r="I26" s="2488"/>
      <c r="J26" s="2917">
        <v>1000</v>
      </c>
      <c r="K26" s="2488"/>
      <c r="L26" s="2918">
        <f t="shared" si="2"/>
        <v>1000</v>
      </c>
      <c r="M26" s="2479" t="str">
        <f t="shared" si="1"/>
        <v>Avista Corporation, SF, WSPP-Q</v>
      </c>
    </row>
    <row r="27" spans="1:13" ht="15.75" customHeight="1" x14ac:dyDescent="0.2">
      <c r="A27" s="2921">
        <f t="shared" si="3"/>
        <v>14.004999999999997</v>
      </c>
      <c r="B27" s="2512" t="s">
        <v>9089</v>
      </c>
      <c r="C27" s="2488" t="s">
        <v>190</v>
      </c>
      <c r="D27" s="2489" t="s">
        <v>9077</v>
      </c>
      <c r="E27" s="2614"/>
      <c r="F27" s="2614"/>
      <c r="G27" s="2614"/>
      <c r="H27" s="2917">
        <v>19957</v>
      </c>
      <c r="I27" s="2488"/>
      <c r="J27" s="2917">
        <v>2208470</v>
      </c>
      <c r="K27" s="2488"/>
      <c r="L27" s="2918">
        <f t="shared" si="2"/>
        <v>2208470</v>
      </c>
      <c r="M27" s="2479" t="str">
        <f t="shared" si="1"/>
        <v>Basin Electric Power Cooperative, SF, T-12</v>
      </c>
    </row>
    <row r="28" spans="1:13" ht="15.75" customHeight="1" x14ac:dyDescent="0.2">
      <c r="A28" s="2921">
        <f t="shared" si="3"/>
        <v>14.005999999999997</v>
      </c>
      <c r="B28" s="2512" t="s">
        <v>9090</v>
      </c>
      <c r="C28" s="2478" t="s">
        <v>188</v>
      </c>
      <c r="D28" s="2748">
        <v>441</v>
      </c>
      <c r="E28" s="2771">
        <v>50</v>
      </c>
      <c r="F28" s="2771">
        <v>50</v>
      </c>
      <c r="G28" s="2771">
        <v>50</v>
      </c>
      <c r="H28" s="2917">
        <v>342102</v>
      </c>
      <c r="I28" s="3220">
        <v>1041262</v>
      </c>
      <c r="J28" s="2917">
        <v>8800028</v>
      </c>
      <c r="K28" s="2614"/>
      <c r="L28" s="2918">
        <f t="shared" si="2"/>
        <v>9841290</v>
      </c>
      <c r="M28" s="2479" t="str">
        <f t="shared" si="1"/>
        <v>Black Hills Power, Inc., LF, 441</v>
      </c>
    </row>
    <row r="29" spans="1:13" ht="15.75" customHeight="1" x14ac:dyDescent="0.2">
      <c r="A29" s="2921">
        <f t="shared" si="3"/>
        <v>14.006999999999996</v>
      </c>
      <c r="B29" s="2512" t="s">
        <v>9090</v>
      </c>
      <c r="C29" s="2488" t="s">
        <v>190</v>
      </c>
      <c r="D29" s="2489" t="s">
        <v>9077</v>
      </c>
      <c r="E29" s="2614"/>
      <c r="F29" s="2614"/>
      <c r="G29" s="2614"/>
      <c r="H29" s="2917">
        <v>109876</v>
      </c>
      <c r="I29" s="2488"/>
      <c r="J29" s="2917">
        <v>6703038</v>
      </c>
      <c r="K29" s="2488"/>
      <c r="L29" s="2918">
        <f t="shared" si="2"/>
        <v>6703038</v>
      </c>
      <c r="M29" s="2479" t="str">
        <f t="shared" si="1"/>
        <v>Black Hills Power, Inc., SF, T-12</v>
      </c>
    </row>
    <row r="30" spans="1:13" ht="15.75" customHeight="1" x14ac:dyDescent="0.2">
      <c r="A30" s="2921">
        <f t="shared" si="3"/>
        <v>14.007999999999996</v>
      </c>
      <c r="B30" s="2512" t="s">
        <v>9090</v>
      </c>
      <c r="C30" s="2488" t="s">
        <v>190</v>
      </c>
      <c r="D30" s="2489" t="s">
        <v>9087</v>
      </c>
      <c r="E30" s="2614"/>
      <c r="F30" s="2614"/>
      <c r="G30" s="2614"/>
      <c r="H30" s="2917">
        <v>131</v>
      </c>
      <c r="I30" s="2488"/>
      <c r="J30" s="2917">
        <v>10645</v>
      </c>
      <c r="K30" s="2488"/>
      <c r="L30" s="2918">
        <f t="shared" si="2"/>
        <v>10645</v>
      </c>
      <c r="M30" s="2479" t="str">
        <f t="shared" si="1"/>
        <v>Black Hills Power, Inc., SF, WSPP-Q</v>
      </c>
    </row>
    <row r="31" spans="1:13" ht="15.75" customHeight="1" x14ac:dyDescent="0.2">
      <c r="A31" s="2921">
        <f t="shared" si="3"/>
        <v>14.008999999999995</v>
      </c>
      <c r="B31" s="2512" t="s">
        <v>9091</v>
      </c>
      <c r="C31" s="2488" t="s">
        <v>190</v>
      </c>
      <c r="D31" s="2489" t="s">
        <v>9077</v>
      </c>
      <c r="E31" s="2614"/>
      <c r="F31" s="2614"/>
      <c r="G31" s="2614"/>
      <c r="H31" s="2917">
        <v>241463</v>
      </c>
      <c r="I31" s="2488"/>
      <c r="J31" s="2917">
        <v>16068828</v>
      </c>
      <c r="K31" s="2614"/>
      <c r="L31" s="2918">
        <f t="shared" si="2"/>
        <v>16068828</v>
      </c>
      <c r="M31" s="2479" t="str">
        <f t="shared" si="1"/>
        <v>Bonneville Power Administration, SF, T-12</v>
      </c>
    </row>
    <row r="32" spans="1:13" ht="15.75" customHeight="1" x14ac:dyDescent="0.2">
      <c r="A32" s="2921">
        <f t="shared" si="3"/>
        <v>14.009999999999994</v>
      </c>
      <c r="B32" s="2512" t="s">
        <v>9091</v>
      </c>
      <c r="C32" s="2488" t="s">
        <v>190</v>
      </c>
      <c r="D32" s="2489" t="s">
        <v>9086</v>
      </c>
      <c r="E32" s="2614"/>
      <c r="F32" s="2614"/>
      <c r="G32" s="2614"/>
      <c r="H32" s="2917">
        <v>78</v>
      </c>
      <c r="I32" s="2488"/>
      <c r="J32" s="2614"/>
      <c r="K32" s="3221">
        <v>4060</v>
      </c>
      <c r="L32" s="2918">
        <f t="shared" si="2"/>
        <v>4060</v>
      </c>
      <c r="M32" s="2479" t="str">
        <f t="shared" si="1"/>
        <v>Bonneville Power Administration, SF, T-13</v>
      </c>
    </row>
    <row r="33" spans="1:13" ht="15.75" customHeight="1" x14ac:dyDescent="0.2">
      <c r="A33" s="2921">
        <f t="shared" si="3"/>
        <v>14.010999999999994</v>
      </c>
      <c r="B33" s="2512" t="s">
        <v>9091</v>
      </c>
      <c r="C33" s="2488" t="s">
        <v>190</v>
      </c>
      <c r="D33" s="2489" t="s">
        <v>9087</v>
      </c>
      <c r="E33" s="2614"/>
      <c r="F33" s="2614"/>
      <c r="G33" s="2614"/>
      <c r="H33" s="2917">
        <v>24496</v>
      </c>
      <c r="I33" s="2488"/>
      <c r="J33" s="2917">
        <v>1745652</v>
      </c>
      <c r="K33" s="3221">
        <v>-170</v>
      </c>
      <c r="L33" s="2918">
        <f t="shared" si="2"/>
        <v>1745482</v>
      </c>
      <c r="M33" s="2479" t="str">
        <f t="shared" si="1"/>
        <v>Bonneville Power Administration, SF, WSPP-Q</v>
      </c>
    </row>
    <row r="34" spans="1:13" ht="15.75" customHeight="1" x14ac:dyDescent="0.2">
      <c r="A34" s="2921">
        <f t="shared" si="3"/>
        <v>14.011999999999993</v>
      </c>
      <c r="B34" s="2512" t="s">
        <v>9092</v>
      </c>
      <c r="C34" s="2478" t="s">
        <v>196</v>
      </c>
      <c r="D34" s="2489" t="s">
        <v>9077</v>
      </c>
      <c r="E34" s="2614"/>
      <c r="F34" s="2614"/>
      <c r="G34" s="2614"/>
      <c r="H34" s="2614"/>
      <c r="I34" s="2488"/>
      <c r="J34" s="2614"/>
      <c r="K34" s="3222">
        <v>37740</v>
      </c>
      <c r="L34" s="2918">
        <f t="shared" si="2"/>
        <v>37740</v>
      </c>
      <c r="M34" s="2479" t="str">
        <f t="shared" si="1"/>
        <v>BP Energy Company, AD, T-12</v>
      </c>
    </row>
    <row r="35" spans="1:13" ht="15.75" customHeight="1" x14ac:dyDescent="0.2">
      <c r="A35" s="2921">
        <f t="shared" si="3"/>
        <v>14.012999999999993</v>
      </c>
      <c r="B35" s="2512" t="s">
        <v>9092</v>
      </c>
      <c r="C35" s="2488" t="s">
        <v>190</v>
      </c>
      <c r="D35" s="2489" t="s">
        <v>9077</v>
      </c>
      <c r="E35" s="2614"/>
      <c r="F35" s="2614"/>
      <c r="G35" s="2614"/>
      <c r="H35" s="2917">
        <v>65128</v>
      </c>
      <c r="I35" s="2488"/>
      <c r="J35" s="2917">
        <v>4582996</v>
      </c>
      <c r="K35" s="2488"/>
      <c r="L35" s="2918">
        <f t="shared" si="2"/>
        <v>4582996</v>
      </c>
      <c r="M35" s="2479" t="str">
        <f t="shared" si="1"/>
        <v>BP Energy Company, SF, T-12</v>
      </c>
    </row>
    <row r="36" spans="1:13" ht="15.75" customHeight="1" x14ac:dyDescent="0.2">
      <c r="A36" s="2921">
        <f t="shared" si="3"/>
        <v>14.013999999999992</v>
      </c>
      <c r="B36" s="2512" t="s">
        <v>9093</v>
      </c>
      <c r="C36" s="2488" t="s">
        <v>190</v>
      </c>
      <c r="D36" s="2489" t="s">
        <v>9086</v>
      </c>
      <c r="E36" s="2614"/>
      <c r="F36" s="2614"/>
      <c r="G36" s="2614"/>
      <c r="H36" s="2917">
        <v>84</v>
      </c>
      <c r="I36" s="2488"/>
      <c r="J36" s="2614"/>
      <c r="K36" s="3221">
        <v>5255</v>
      </c>
      <c r="L36" s="2918">
        <f t="shared" si="2"/>
        <v>5255</v>
      </c>
      <c r="M36" s="2479" t="str">
        <f t="shared" si="1"/>
        <v>British Columbia Hydro and Power Authority, SF, T-13</v>
      </c>
    </row>
    <row r="37" spans="1:13" ht="15.75" customHeight="1" x14ac:dyDescent="0.2">
      <c r="A37" s="2921">
        <f t="shared" si="3"/>
        <v>14.014999999999992</v>
      </c>
      <c r="B37" s="2512" t="s">
        <v>9094</v>
      </c>
      <c r="C37" s="2488" t="s">
        <v>190</v>
      </c>
      <c r="D37" s="2489" t="s">
        <v>9077</v>
      </c>
      <c r="E37" s="2614"/>
      <c r="F37" s="2614"/>
      <c r="G37" s="2614"/>
      <c r="H37" s="2917">
        <v>44723</v>
      </c>
      <c r="I37" s="2488"/>
      <c r="J37" s="2917">
        <v>3348382</v>
      </c>
      <c r="K37" s="2614"/>
      <c r="L37" s="2918">
        <f t="shared" si="2"/>
        <v>3348382</v>
      </c>
      <c r="M37" s="2479" t="str">
        <f t="shared" si="1"/>
        <v>Brookfield Renewable Trading and Marketing LP, SF, T-12</v>
      </c>
    </row>
    <row r="38" spans="1:13" ht="15.75" customHeight="1" x14ac:dyDescent="0.2">
      <c r="A38" s="2921">
        <f t="shared" si="3"/>
        <v>14.015999999999991</v>
      </c>
      <c r="B38" s="2512" t="s">
        <v>9406</v>
      </c>
      <c r="C38" s="2478" t="s">
        <v>196</v>
      </c>
      <c r="D38" s="2489" t="s">
        <v>9077</v>
      </c>
      <c r="E38" s="2614"/>
      <c r="F38" s="2614"/>
      <c r="G38" s="2614"/>
      <c r="H38" s="2917">
        <v>1</v>
      </c>
      <c r="I38" s="2488"/>
      <c r="J38" s="2614"/>
      <c r="K38" s="3221">
        <v>16</v>
      </c>
      <c r="L38" s="2918">
        <f t="shared" si="2"/>
        <v>16</v>
      </c>
      <c r="M38" s="2479" t="str">
        <f t="shared" si="1"/>
        <v>California Independent System Operator Corporation, AD, T-12</v>
      </c>
    </row>
    <row r="39" spans="1:13" ht="15.75" customHeight="1" x14ac:dyDescent="0.2">
      <c r="A39" s="2921">
        <f t="shared" si="3"/>
        <v>14.016999999999991</v>
      </c>
      <c r="B39" s="2512" t="s">
        <v>9095</v>
      </c>
      <c r="C39" s="2488" t="s">
        <v>190</v>
      </c>
      <c r="D39" s="2489" t="s">
        <v>9077</v>
      </c>
      <c r="E39" s="2614"/>
      <c r="F39" s="2614"/>
      <c r="G39" s="2614"/>
      <c r="H39" s="2917">
        <v>3173</v>
      </c>
      <c r="I39" s="2488"/>
      <c r="J39" s="2917">
        <v>186007</v>
      </c>
      <c r="K39" s="2488"/>
      <c r="L39" s="2918">
        <f t="shared" si="2"/>
        <v>186007</v>
      </c>
      <c r="M39" s="2479" t="str">
        <f t="shared" si="1"/>
        <v>Calpine Energy Services, L.P., SF, T-12</v>
      </c>
    </row>
    <row r="40" spans="1:13" ht="15.75" customHeight="1" x14ac:dyDescent="0.2">
      <c r="A40" s="2921">
        <f t="shared" si="3"/>
        <v>14.01799999999999</v>
      </c>
      <c r="B40" s="2512" t="s">
        <v>9096</v>
      </c>
      <c r="C40" s="2478" t="s">
        <v>196</v>
      </c>
      <c r="D40" s="2489" t="s">
        <v>9077</v>
      </c>
      <c r="E40" s="2614"/>
      <c r="F40" s="2614"/>
      <c r="G40" s="2614"/>
      <c r="H40" s="2614"/>
      <c r="I40" s="2488"/>
      <c r="J40" s="2614"/>
      <c r="K40" s="3222">
        <v>-8000</v>
      </c>
      <c r="L40" s="2918">
        <f t="shared" si="2"/>
        <v>-8000</v>
      </c>
      <c r="M40" s="2479" t="str">
        <f t="shared" si="1"/>
        <v>Citigroup Energy Inc., AD, T-12</v>
      </c>
    </row>
    <row r="41" spans="1:13" ht="15.75" customHeight="1" x14ac:dyDescent="0.2">
      <c r="A41" s="2921">
        <f t="shared" si="3"/>
        <v>14.018999999999989</v>
      </c>
      <c r="B41" s="2512" t="s">
        <v>9096</v>
      </c>
      <c r="C41" s="2488" t="s">
        <v>190</v>
      </c>
      <c r="D41" s="2489" t="s">
        <v>9077</v>
      </c>
      <c r="E41" s="2614"/>
      <c r="F41" s="2614"/>
      <c r="G41" s="2614"/>
      <c r="H41" s="2917">
        <v>695403</v>
      </c>
      <c r="I41" s="2488"/>
      <c r="J41" s="2917">
        <v>29426574</v>
      </c>
      <c r="K41" s="2488"/>
      <c r="L41" s="2918">
        <f t="shared" si="2"/>
        <v>29426574</v>
      </c>
      <c r="M41" s="2479" t="str">
        <f t="shared" si="1"/>
        <v>Citigroup Energy Inc., SF, T-12</v>
      </c>
    </row>
    <row r="42" spans="1:13" ht="15.75" customHeight="1" x14ac:dyDescent="0.2">
      <c r="A42" s="2921">
        <f t="shared" si="3"/>
        <v>14.019999999999989</v>
      </c>
      <c r="B42" s="2512" t="s">
        <v>9097</v>
      </c>
      <c r="C42" s="2488" t="s">
        <v>190</v>
      </c>
      <c r="D42" s="2489" t="s">
        <v>9077</v>
      </c>
      <c r="E42" s="2614"/>
      <c r="F42" s="2614"/>
      <c r="G42" s="2614"/>
      <c r="H42" s="2917">
        <v>3912</v>
      </c>
      <c r="I42" s="2488"/>
      <c r="J42" s="2917">
        <v>398620</v>
      </c>
      <c r="K42" s="2488"/>
      <c r="L42" s="2918">
        <f t="shared" si="2"/>
        <v>398620</v>
      </c>
      <c r="M42" s="2479" t="str">
        <f t="shared" si="1"/>
        <v>City of Burbank, SF, T-12</v>
      </c>
    </row>
    <row r="43" spans="1:13" ht="15.75" customHeight="1" x14ac:dyDescent="0.2">
      <c r="A43" s="2921">
        <f t="shared" si="3"/>
        <v>14.020999999999988</v>
      </c>
      <c r="B43" s="2512" t="s">
        <v>9098</v>
      </c>
      <c r="C43" s="2488" t="s">
        <v>190</v>
      </c>
      <c r="D43" s="2489" t="s">
        <v>9077</v>
      </c>
      <c r="E43" s="2614"/>
      <c r="F43" s="2614"/>
      <c r="G43" s="2614"/>
      <c r="H43" s="2917">
        <v>28</v>
      </c>
      <c r="I43" s="2488"/>
      <c r="J43" s="2917">
        <v>2750</v>
      </c>
      <c r="K43" s="2614"/>
      <c r="L43" s="2918">
        <f t="shared" si="2"/>
        <v>2750</v>
      </c>
      <c r="M43" s="2479" t="str">
        <f t="shared" si="1"/>
        <v>City of Glendale, SF, T-12</v>
      </c>
    </row>
    <row r="44" spans="1:13" ht="15.75" customHeight="1" x14ac:dyDescent="0.2">
      <c r="A44" s="2921">
        <f t="shared" si="3"/>
        <v>14.021999999999988</v>
      </c>
      <c r="B44" s="2512" t="s">
        <v>9099</v>
      </c>
      <c r="C44" s="2488" t="s">
        <v>189</v>
      </c>
      <c r="D44" s="2748">
        <v>560</v>
      </c>
      <c r="E44" s="2614"/>
      <c r="F44" s="2614"/>
      <c r="G44" s="2614"/>
      <c r="H44" s="2917">
        <v>270</v>
      </c>
      <c r="I44" s="2488"/>
      <c r="J44" s="2917">
        <v>22855</v>
      </c>
      <c r="K44" s="2488"/>
      <c r="L44" s="2918">
        <f t="shared" si="2"/>
        <v>22855</v>
      </c>
      <c r="M44" s="2479" t="str">
        <f t="shared" si="1"/>
        <v>City of Hurricane, IF, 560</v>
      </c>
    </row>
    <row r="45" spans="1:13" ht="15.75" customHeight="1" x14ac:dyDescent="0.2">
      <c r="A45" s="2921">
        <f t="shared" si="3"/>
        <v>14.022999999999987</v>
      </c>
      <c r="B45" s="2512" t="s">
        <v>11941</v>
      </c>
      <c r="C45" s="2488" t="s">
        <v>190</v>
      </c>
      <c r="D45" s="2489" t="s">
        <v>9077</v>
      </c>
      <c r="E45" s="2614"/>
      <c r="F45" s="2614"/>
      <c r="G45" s="2614"/>
      <c r="H45" s="2917">
        <v>2758</v>
      </c>
      <c r="I45" s="2488"/>
      <c r="J45" s="2917">
        <v>200570</v>
      </c>
      <c r="K45" s="2488"/>
      <c r="L45" s="2918">
        <f t="shared" si="2"/>
        <v>200570</v>
      </c>
      <c r="M45" s="2479" t="str">
        <f t="shared" si="1"/>
        <v>City of Redding, SF, T-12</v>
      </c>
    </row>
    <row r="46" spans="1:13" ht="15.75" customHeight="1" x14ac:dyDescent="0.2">
      <c r="A46" s="2921">
        <f t="shared" si="3"/>
        <v>14.023999999999987</v>
      </c>
      <c r="B46" s="2512" t="s">
        <v>9100</v>
      </c>
      <c r="C46" s="2488" t="s">
        <v>190</v>
      </c>
      <c r="D46" s="2489" t="s">
        <v>9077</v>
      </c>
      <c r="E46" s="2614"/>
      <c r="F46" s="2614"/>
      <c r="G46" s="2614"/>
      <c r="H46" s="2917">
        <v>41882</v>
      </c>
      <c r="I46" s="2488"/>
      <c r="J46" s="2917">
        <v>3950799</v>
      </c>
      <c r="K46" s="2614"/>
      <c r="L46" s="2918">
        <f t="shared" si="2"/>
        <v>3950799</v>
      </c>
      <c r="M46" s="2479" t="str">
        <f t="shared" si="1"/>
        <v>City of Roseville, SF, T-12</v>
      </c>
    </row>
    <row r="47" spans="1:13" ht="15.75" customHeight="1" x14ac:dyDescent="0.2">
      <c r="A47" s="2921">
        <f t="shared" si="3"/>
        <v>14.024999999999986</v>
      </c>
      <c r="B47" s="2512" t="s">
        <v>11942</v>
      </c>
      <c r="C47" s="2488" t="s">
        <v>190</v>
      </c>
      <c r="D47" s="2489" t="s">
        <v>9077</v>
      </c>
      <c r="E47" s="2614"/>
      <c r="F47" s="2614"/>
      <c r="G47" s="2614"/>
      <c r="H47" s="2917">
        <v>398</v>
      </c>
      <c r="I47" s="2488"/>
      <c r="J47" s="2917">
        <v>20199</v>
      </c>
      <c r="K47" s="2488"/>
      <c r="L47" s="2918">
        <f t="shared" si="2"/>
        <v>20199</v>
      </c>
      <c r="M47" s="2479" t="str">
        <f t="shared" si="1"/>
        <v>City of Santa Clara, SF, T-12</v>
      </c>
    </row>
    <row r="48" spans="1:13" ht="15.75" customHeight="1" x14ac:dyDescent="0.2">
      <c r="A48" s="2921">
        <f t="shared" si="3"/>
        <v>14.025999999999986</v>
      </c>
      <c r="B48" s="2512" t="s">
        <v>9101</v>
      </c>
      <c r="C48" s="2488" t="s">
        <v>190</v>
      </c>
      <c r="D48" s="2489" t="s">
        <v>9077</v>
      </c>
      <c r="E48" s="2614"/>
      <c r="F48" s="2614"/>
      <c r="G48" s="2614"/>
      <c r="H48" s="2917">
        <v>690</v>
      </c>
      <c r="I48" s="2488"/>
      <c r="J48" s="2917">
        <v>31050</v>
      </c>
      <c r="K48" s="2488"/>
      <c r="L48" s="2918">
        <f t="shared" si="2"/>
        <v>31050</v>
      </c>
      <c r="M48" s="2479" t="str">
        <f t="shared" si="1"/>
        <v>City of St. George, Utah, SF, T-12</v>
      </c>
    </row>
    <row r="49" spans="1:13" ht="15.75" customHeight="1" x14ac:dyDescent="0.2">
      <c r="A49" s="2921">
        <f t="shared" si="3"/>
        <v>14.026999999999985</v>
      </c>
      <c r="B49" s="2512" t="s">
        <v>9102</v>
      </c>
      <c r="C49" s="2488" t="s">
        <v>190</v>
      </c>
      <c r="D49" s="2489" t="s">
        <v>9077</v>
      </c>
      <c r="E49" s="2614"/>
      <c r="F49" s="2614"/>
      <c r="G49" s="2614"/>
      <c r="H49" s="2917">
        <v>301</v>
      </c>
      <c r="I49" s="2488"/>
      <c r="J49" s="2917">
        <v>21025</v>
      </c>
      <c r="K49" s="2614"/>
      <c r="L49" s="2918">
        <f t="shared" si="2"/>
        <v>21025</v>
      </c>
      <c r="M49" s="2479" t="str">
        <f t="shared" si="1"/>
        <v>Clatskanie People's Utility District, SF, T-12</v>
      </c>
    </row>
    <row r="50" spans="1:13" ht="15.75" customHeight="1" x14ac:dyDescent="0.2">
      <c r="A50" s="2921">
        <f t="shared" si="3"/>
        <v>14.027999999999984</v>
      </c>
      <c r="B50" s="2512" t="s">
        <v>9103</v>
      </c>
      <c r="C50" s="2488" t="s">
        <v>190</v>
      </c>
      <c r="D50" s="2489" t="s">
        <v>9077</v>
      </c>
      <c r="E50" s="2614"/>
      <c r="F50" s="2614"/>
      <c r="G50" s="2614"/>
      <c r="H50" s="2917">
        <v>32104</v>
      </c>
      <c r="I50" s="2488"/>
      <c r="J50" s="2917">
        <v>1479289</v>
      </c>
      <c r="K50" s="2488"/>
      <c r="L50" s="2918">
        <f t="shared" si="2"/>
        <v>1479289</v>
      </c>
      <c r="M50" s="2479" t="str">
        <f t="shared" si="1"/>
        <v>ConocoPhillips Company, SF, T-12</v>
      </c>
    </row>
    <row r="51" spans="1:13" ht="15.75" customHeight="1" x14ac:dyDescent="0.2">
      <c r="A51" s="2921">
        <f t="shared" si="3"/>
        <v>14.028999999999984</v>
      </c>
      <c r="B51" s="2512" t="s">
        <v>9103</v>
      </c>
      <c r="C51" s="2488" t="s">
        <v>190</v>
      </c>
      <c r="D51" s="2489" t="s">
        <v>9087</v>
      </c>
      <c r="E51" s="2614"/>
      <c r="F51" s="2614"/>
      <c r="G51" s="2614"/>
      <c r="H51" s="2917">
        <v>280</v>
      </c>
      <c r="I51" s="2488"/>
      <c r="J51" s="2917">
        <v>16700</v>
      </c>
      <c r="K51" s="2488"/>
      <c r="L51" s="2918">
        <f t="shared" si="2"/>
        <v>16700</v>
      </c>
      <c r="M51" s="2479" t="str">
        <f t="shared" si="1"/>
        <v>ConocoPhillips Company, SF, WSPP-Q</v>
      </c>
    </row>
    <row r="52" spans="1:13" ht="15.75" customHeight="1" x14ac:dyDescent="0.2">
      <c r="A52" s="2921">
        <f t="shared" si="3"/>
        <v>14.029999999999983</v>
      </c>
      <c r="B52" s="2512" t="s">
        <v>9104</v>
      </c>
      <c r="C52" s="2478" t="s">
        <v>196</v>
      </c>
      <c r="D52" s="2489" t="s">
        <v>9077</v>
      </c>
      <c r="E52" s="2614"/>
      <c r="F52" s="2614"/>
      <c r="G52" s="2614"/>
      <c r="H52" s="2917">
        <v>166</v>
      </c>
      <c r="I52" s="2488"/>
      <c r="J52" s="2614"/>
      <c r="K52" s="3222">
        <v>9858</v>
      </c>
      <c r="L52" s="2918">
        <f t="shared" si="2"/>
        <v>9858</v>
      </c>
      <c r="M52" s="2479" t="str">
        <f t="shared" si="1"/>
        <v>Constellation Energy Generation, LLC, AD, T-12</v>
      </c>
    </row>
    <row r="53" spans="1:13" ht="15.75" customHeight="1" x14ac:dyDescent="0.2">
      <c r="A53" s="2921">
        <f t="shared" si="3"/>
        <v>14.030999999999983</v>
      </c>
      <c r="B53" s="2512" t="s">
        <v>9104</v>
      </c>
      <c r="C53" s="2488" t="s">
        <v>190</v>
      </c>
      <c r="D53" s="2489" t="s">
        <v>9077</v>
      </c>
      <c r="E53" s="2614"/>
      <c r="F53" s="2614"/>
      <c r="G53" s="2614"/>
      <c r="H53" s="2917">
        <v>102500</v>
      </c>
      <c r="I53" s="2488"/>
      <c r="J53" s="2917">
        <v>5873335</v>
      </c>
      <c r="K53" s="2488"/>
      <c r="L53" s="2918">
        <f t="shared" si="2"/>
        <v>5873335</v>
      </c>
      <c r="M53" s="2479" t="str">
        <f t="shared" si="1"/>
        <v>Constellation Energy Generation, LLC, SF, T-12</v>
      </c>
    </row>
    <row r="54" spans="1:13" ht="15.75" customHeight="1" x14ac:dyDescent="0.2">
      <c r="A54" s="2921">
        <f t="shared" si="3"/>
        <v>14.031999999999982</v>
      </c>
      <c r="B54" s="2512" t="s">
        <v>9106</v>
      </c>
      <c r="C54" s="2488" t="s">
        <v>190</v>
      </c>
      <c r="D54" s="2489" t="s">
        <v>9077</v>
      </c>
      <c r="E54" s="2614"/>
      <c r="F54" s="2614"/>
      <c r="G54" s="2614"/>
      <c r="H54" s="2917">
        <v>47283</v>
      </c>
      <c r="I54" s="2488"/>
      <c r="J54" s="2917">
        <v>6359070</v>
      </c>
      <c r="K54" s="2488"/>
      <c r="L54" s="2918">
        <f t="shared" si="2"/>
        <v>6359070</v>
      </c>
      <c r="M54" s="2479" t="str">
        <f t="shared" si="1"/>
        <v>Dynasty Power Inc., SF, T-12</v>
      </c>
    </row>
    <row r="55" spans="1:13" ht="15.75" customHeight="1" x14ac:dyDescent="0.2">
      <c r="A55" s="2921">
        <f t="shared" si="3"/>
        <v>14.032999999999982</v>
      </c>
      <c r="B55" s="2512" t="s">
        <v>9107</v>
      </c>
      <c r="C55" s="2478" t="s">
        <v>196</v>
      </c>
      <c r="D55" s="2489" t="s">
        <v>9077</v>
      </c>
      <c r="E55" s="2614"/>
      <c r="F55" s="2614"/>
      <c r="G55" s="2614"/>
      <c r="H55" s="2614"/>
      <c r="I55" s="2488"/>
      <c r="J55" s="2614"/>
      <c r="K55" s="3222">
        <v>-4965</v>
      </c>
      <c r="L55" s="2918">
        <f t="shared" si="2"/>
        <v>-4965</v>
      </c>
      <c r="M55" s="2479" t="str">
        <f t="shared" si="1"/>
        <v>EDF Trading North America, LLC, AD, T-12</v>
      </c>
    </row>
    <row r="56" spans="1:13" ht="15.75" customHeight="1" x14ac:dyDescent="0.2">
      <c r="A56" s="2921">
        <f t="shared" si="3"/>
        <v>14.033999999999981</v>
      </c>
      <c r="B56" s="2512" t="s">
        <v>9107</v>
      </c>
      <c r="C56" s="2488" t="s">
        <v>190</v>
      </c>
      <c r="D56" s="2489" t="s">
        <v>9077</v>
      </c>
      <c r="E56" s="2614"/>
      <c r="F56" s="2614"/>
      <c r="G56" s="2614"/>
      <c r="H56" s="2917">
        <v>33102</v>
      </c>
      <c r="I56" s="2488"/>
      <c r="J56" s="2917">
        <v>1996708</v>
      </c>
      <c r="K56" s="2488"/>
      <c r="L56" s="2918">
        <f t="shared" si="2"/>
        <v>1996708</v>
      </c>
      <c r="M56" s="2479" t="str">
        <f t="shared" si="1"/>
        <v>EDF Trading North America, LLC, SF, T-12</v>
      </c>
    </row>
    <row r="57" spans="1:13" ht="15.75" customHeight="1" x14ac:dyDescent="0.2">
      <c r="A57" s="2921">
        <f t="shared" si="3"/>
        <v>14.034999999999981</v>
      </c>
      <c r="B57" s="2512" t="s">
        <v>9108</v>
      </c>
      <c r="C57" s="2488" t="s">
        <v>190</v>
      </c>
      <c r="D57" s="2489" t="s">
        <v>9077</v>
      </c>
      <c r="E57" s="2614"/>
      <c r="F57" s="2614"/>
      <c r="G57" s="2614"/>
      <c r="H57" s="2917">
        <v>13222</v>
      </c>
      <c r="I57" s="2488"/>
      <c r="J57" s="2917">
        <v>775329</v>
      </c>
      <c r="K57" s="2488"/>
      <c r="L57" s="2918">
        <f t="shared" si="2"/>
        <v>775329</v>
      </c>
      <c r="M57" s="2479" t="str">
        <f t="shared" si="1"/>
        <v>El Paso Electric Company, SF, T-12</v>
      </c>
    </row>
    <row r="58" spans="1:13" ht="15.75" customHeight="1" x14ac:dyDescent="0.2">
      <c r="A58" s="2921">
        <f t="shared" si="3"/>
        <v>14.03599999999998</v>
      </c>
      <c r="B58" s="2512" t="s">
        <v>9109</v>
      </c>
      <c r="C58" s="2488" t="s">
        <v>190</v>
      </c>
      <c r="D58" s="2489" t="s">
        <v>9087</v>
      </c>
      <c r="E58" s="2614"/>
      <c r="F58" s="2614"/>
      <c r="G58" s="2614"/>
      <c r="H58" s="2917">
        <v>600</v>
      </c>
      <c r="I58" s="2488"/>
      <c r="J58" s="2917">
        <v>43000</v>
      </c>
      <c r="K58" s="2614"/>
      <c r="L58" s="2918">
        <f t="shared" si="2"/>
        <v>43000</v>
      </c>
      <c r="M58" s="2479" t="str">
        <f t="shared" si="1"/>
        <v>Energy Keepers, Inc., SF, WSPP-Q</v>
      </c>
    </row>
    <row r="59" spans="1:13" ht="15.75" customHeight="1" x14ac:dyDescent="0.2">
      <c r="A59" s="2921">
        <f t="shared" si="3"/>
        <v>14.036999999999979</v>
      </c>
      <c r="B59" s="2512" t="s">
        <v>9110</v>
      </c>
      <c r="C59" s="2488" t="s">
        <v>190</v>
      </c>
      <c r="D59" s="2489" t="s">
        <v>9077</v>
      </c>
      <c r="E59" s="2614"/>
      <c r="F59" s="2614"/>
      <c r="G59" s="2614"/>
      <c r="H59" s="2917">
        <v>4503</v>
      </c>
      <c r="I59" s="2488"/>
      <c r="J59" s="2917">
        <v>297013</v>
      </c>
      <c r="K59" s="2488"/>
      <c r="L59" s="2918">
        <f t="shared" si="2"/>
        <v>297013</v>
      </c>
      <c r="M59" s="2479" t="str">
        <f t="shared" si="1"/>
        <v>Eugene Water &amp; Electric Board, SF, T-12</v>
      </c>
    </row>
    <row r="60" spans="1:13" ht="15.75" customHeight="1" x14ac:dyDescent="0.2">
      <c r="A60" s="2921">
        <f t="shared" si="3"/>
        <v>14.037999999999979</v>
      </c>
      <c r="B60" s="2512" t="s">
        <v>9111</v>
      </c>
      <c r="C60" s="2488" t="s">
        <v>190</v>
      </c>
      <c r="D60" s="2489" t="s">
        <v>9086</v>
      </c>
      <c r="E60" s="2614"/>
      <c r="F60" s="2614"/>
      <c r="G60" s="2614"/>
      <c r="H60" s="2917">
        <v>575</v>
      </c>
      <c r="I60" s="2488"/>
      <c r="J60" s="2614"/>
      <c r="K60" s="3221">
        <v>34969</v>
      </c>
      <c r="L60" s="2918">
        <f t="shared" si="2"/>
        <v>34969</v>
      </c>
      <c r="M60" s="2479" t="str">
        <f t="shared" si="1"/>
        <v>Gridforce Energy Management, LLC, SF, T-13</v>
      </c>
    </row>
    <row r="61" spans="1:13" ht="15.75" customHeight="1" x14ac:dyDescent="0.2">
      <c r="A61" s="2921">
        <f t="shared" si="3"/>
        <v>14.038999999999978</v>
      </c>
      <c r="B61" s="2512" t="s">
        <v>9112</v>
      </c>
      <c r="C61" s="2488" t="s">
        <v>190</v>
      </c>
      <c r="D61" s="2489" t="s">
        <v>9077</v>
      </c>
      <c r="E61" s="2614"/>
      <c r="F61" s="2614"/>
      <c r="G61" s="2614"/>
      <c r="H61" s="2917">
        <v>24355</v>
      </c>
      <c r="I61" s="2488"/>
      <c r="J61" s="2917">
        <v>1534698</v>
      </c>
      <c r="K61" s="2614"/>
      <c r="L61" s="2918">
        <f t="shared" si="2"/>
        <v>1534698</v>
      </c>
      <c r="M61" s="2479" t="str">
        <f t="shared" si="1"/>
        <v>Guzman Energy, LLC, SF, T-12</v>
      </c>
    </row>
    <row r="62" spans="1:13" ht="15.75" customHeight="1" x14ac:dyDescent="0.2">
      <c r="A62" s="2921">
        <f t="shared" si="3"/>
        <v>14.039999999999978</v>
      </c>
      <c r="B62" s="2512" t="s">
        <v>9113</v>
      </c>
      <c r="C62" s="2488" t="s">
        <v>190</v>
      </c>
      <c r="D62" s="2489" t="s">
        <v>9086</v>
      </c>
      <c r="E62" s="2614"/>
      <c r="F62" s="2614"/>
      <c r="G62" s="2614"/>
      <c r="H62" s="2917">
        <v>246</v>
      </c>
      <c r="I62" s="2488"/>
      <c r="J62" s="2614"/>
      <c r="K62" s="3221">
        <v>33132</v>
      </c>
      <c r="L62" s="2918">
        <f t="shared" si="2"/>
        <v>33132</v>
      </c>
      <c r="M62" s="2479" t="str">
        <f t="shared" si="1"/>
        <v>Idaho Power Company, SF, T-13</v>
      </c>
    </row>
    <row r="63" spans="1:13" ht="15.75" customHeight="1" x14ac:dyDescent="0.2">
      <c r="A63" s="2921">
        <f t="shared" si="3"/>
        <v>14.040999999999977</v>
      </c>
      <c r="B63" s="2512" t="s">
        <v>9113</v>
      </c>
      <c r="C63" s="2488" t="s">
        <v>190</v>
      </c>
      <c r="D63" s="2489" t="s">
        <v>9087</v>
      </c>
      <c r="E63" s="2614"/>
      <c r="F63" s="2614"/>
      <c r="G63" s="2614"/>
      <c r="H63" s="2917">
        <v>12200</v>
      </c>
      <c r="I63" s="2488"/>
      <c r="J63" s="2917">
        <v>540824</v>
      </c>
      <c r="K63" s="2488"/>
      <c r="L63" s="2918">
        <f t="shared" si="2"/>
        <v>540824</v>
      </c>
      <c r="M63" s="2479" t="str">
        <f t="shared" si="1"/>
        <v>Idaho Power Company, SF, WSPP-Q</v>
      </c>
    </row>
    <row r="64" spans="1:13" ht="15.75" customHeight="1" x14ac:dyDescent="0.2">
      <c r="A64" s="2921">
        <f t="shared" si="3"/>
        <v>14.041999999999977</v>
      </c>
      <c r="B64" s="2512" t="s">
        <v>11943</v>
      </c>
      <c r="C64" s="2488" t="s">
        <v>190</v>
      </c>
      <c r="D64" s="2489" t="s">
        <v>9077</v>
      </c>
      <c r="E64" s="2614"/>
      <c r="F64" s="2614"/>
      <c r="G64" s="2614"/>
      <c r="H64" s="2917">
        <v>400</v>
      </c>
      <c r="I64" s="2488"/>
      <c r="J64" s="2917">
        <v>35912</v>
      </c>
      <c r="K64" s="2614"/>
      <c r="L64" s="2918">
        <f t="shared" si="2"/>
        <v>35912</v>
      </c>
      <c r="M64" s="2479" t="str">
        <f t="shared" si="1"/>
        <v>Imperial Irrigation District, SF, T-12</v>
      </c>
    </row>
    <row r="65" spans="1:13" ht="15.75" customHeight="1" x14ac:dyDescent="0.2">
      <c r="A65" s="2921">
        <f t="shared" si="3"/>
        <v>14.042999999999976</v>
      </c>
      <c r="B65" s="2512" t="s">
        <v>9470</v>
      </c>
      <c r="C65" s="2488" t="s">
        <v>190</v>
      </c>
      <c r="D65" s="2489" t="s">
        <v>9077</v>
      </c>
      <c r="E65" s="2614"/>
      <c r="F65" s="2614"/>
      <c r="G65" s="2614"/>
      <c r="H65" s="2917">
        <v>9217</v>
      </c>
      <c r="I65" s="2488"/>
      <c r="J65" s="2917">
        <v>876673</v>
      </c>
      <c r="K65" s="2488"/>
      <c r="L65" s="2918">
        <f t="shared" si="2"/>
        <v>876673</v>
      </c>
      <c r="M65" s="2479" t="str">
        <f t="shared" si="1"/>
        <v>Los Angeles Department of Water and Power, SF, T-12</v>
      </c>
    </row>
    <row r="66" spans="1:13" ht="15.75" customHeight="1" x14ac:dyDescent="0.2">
      <c r="A66" s="2921">
        <f t="shared" si="3"/>
        <v>14.043999999999976</v>
      </c>
      <c r="B66" s="2512" t="s">
        <v>9114</v>
      </c>
      <c r="C66" s="2478" t="s">
        <v>196</v>
      </c>
      <c r="D66" s="2489" t="s">
        <v>9077</v>
      </c>
      <c r="E66" s="2614"/>
      <c r="F66" s="2614"/>
      <c r="G66" s="2614"/>
      <c r="H66" s="2917">
        <v>11</v>
      </c>
      <c r="I66" s="2488"/>
      <c r="J66" s="2614"/>
      <c r="K66" s="3221">
        <v>8410</v>
      </c>
      <c r="L66" s="2918">
        <f t="shared" si="2"/>
        <v>8410</v>
      </c>
      <c r="M66" s="2479" t="str">
        <f t="shared" si="1"/>
        <v>Macquarie Energy LLC, AD, T-12</v>
      </c>
    </row>
    <row r="67" spans="1:13" ht="15.75" customHeight="1" x14ac:dyDescent="0.2">
      <c r="A67" s="2921">
        <f t="shared" si="3"/>
        <v>14.044999999999975</v>
      </c>
      <c r="B67" s="2512" t="s">
        <v>9114</v>
      </c>
      <c r="C67" s="2488" t="s">
        <v>190</v>
      </c>
      <c r="D67" s="2489" t="s">
        <v>9077</v>
      </c>
      <c r="E67" s="2614"/>
      <c r="F67" s="2614"/>
      <c r="G67" s="2614"/>
      <c r="H67" s="2917">
        <v>116548</v>
      </c>
      <c r="I67" s="2488"/>
      <c r="J67" s="2917">
        <v>8834680</v>
      </c>
      <c r="K67" s="2614"/>
      <c r="L67" s="2918">
        <f t="shared" si="2"/>
        <v>8834680</v>
      </c>
      <c r="M67" s="2479" t="str">
        <f t="shared" si="1"/>
        <v>Macquarie Energy LLC, SF, T-12</v>
      </c>
    </row>
    <row r="68" spans="1:13" ht="15.75" customHeight="1" x14ac:dyDescent="0.2">
      <c r="A68" s="2921">
        <f t="shared" si="3"/>
        <v>14.045999999999975</v>
      </c>
      <c r="B68" s="2512" t="s">
        <v>9114</v>
      </c>
      <c r="C68" s="2488" t="s">
        <v>190</v>
      </c>
      <c r="D68" s="2489" t="s">
        <v>9087</v>
      </c>
      <c r="E68" s="2614"/>
      <c r="F68" s="2614"/>
      <c r="G68" s="2614"/>
      <c r="H68" s="2917">
        <v>182</v>
      </c>
      <c r="I68" s="2488"/>
      <c r="J68" s="2917">
        <v>14510</v>
      </c>
      <c r="K68" s="2488"/>
      <c r="L68" s="2918">
        <f t="shared" si="2"/>
        <v>14510</v>
      </c>
      <c r="M68" s="2479" t="str">
        <f t="shared" si="1"/>
        <v>Macquarie Energy LLC, SF, WSPP-Q</v>
      </c>
    </row>
    <row r="69" spans="1:13" ht="15.75" customHeight="1" x14ac:dyDescent="0.2">
      <c r="A69" s="2921">
        <f t="shared" si="3"/>
        <v>14.046999999999974</v>
      </c>
      <c r="B69" s="2512" t="s">
        <v>9116</v>
      </c>
      <c r="C69" s="2488" t="s">
        <v>190</v>
      </c>
      <c r="D69" s="2489" t="s">
        <v>9077</v>
      </c>
      <c r="E69" s="2614"/>
      <c r="F69" s="2614"/>
      <c r="G69" s="2614"/>
      <c r="H69" s="2917">
        <v>142236</v>
      </c>
      <c r="I69" s="2488"/>
      <c r="J69" s="2917">
        <v>12922898</v>
      </c>
      <c r="K69" s="2488"/>
      <c r="L69" s="2918">
        <f t="shared" si="2"/>
        <v>12922898</v>
      </c>
      <c r="M69" s="2479" t="str">
        <f t="shared" si="1"/>
        <v>Mercuria Energy America, LLC, SF, T-12</v>
      </c>
    </row>
    <row r="70" spans="1:13" ht="15.75" customHeight="1" x14ac:dyDescent="0.2">
      <c r="A70" s="2921">
        <f t="shared" si="3"/>
        <v>14.047999999999973</v>
      </c>
      <c r="B70" s="2512" t="s">
        <v>9117</v>
      </c>
      <c r="C70" s="2488" t="s">
        <v>190</v>
      </c>
      <c r="D70" s="2489" t="s">
        <v>9077</v>
      </c>
      <c r="E70" s="2614"/>
      <c r="F70" s="2614"/>
      <c r="G70" s="2614"/>
      <c r="H70" s="2917">
        <v>30318</v>
      </c>
      <c r="I70" s="2488"/>
      <c r="J70" s="2917">
        <v>2897555</v>
      </c>
      <c r="K70" s="2614"/>
      <c r="L70" s="2918">
        <f t="shared" si="2"/>
        <v>2897555</v>
      </c>
      <c r="M70" s="2479" t="str">
        <f t="shared" si="1"/>
        <v>Modesto Irrigation District, SF, T-12</v>
      </c>
    </row>
    <row r="71" spans="1:13" ht="15.75" customHeight="1" x14ac:dyDescent="0.2">
      <c r="A71" s="2921">
        <f t="shared" si="3"/>
        <v>14.048999999999973</v>
      </c>
      <c r="B71" s="2512" t="s">
        <v>9118</v>
      </c>
      <c r="C71" s="2478" t="s">
        <v>196</v>
      </c>
      <c r="D71" s="2489" t="s">
        <v>9077</v>
      </c>
      <c r="E71" s="2614"/>
      <c r="F71" s="2614"/>
      <c r="G71" s="2614"/>
      <c r="H71" s="2917">
        <v>9</v>
      </c>
      <c r="I71" s="2488"/>
      <c r="J71" s="2614"/>
      <c r="K71" s="3221">
        <v>250</v>
      </c>
      <c r="L71" s="2918">
        <f t="shared" si="2"/>
        <v>250</v>
      </c>
      <c r="M71" s="2479" t="str">
        <f t="shared" si="1"/>
        <v>Morgan Stanley Capital Group Inc., AD, T-12</v>
      </c>
    </row>
    <row r="72" spans="1:13" ht="15.75" customHeight="1" x14ac:dyDescent="0.2">
      <c r="A72" s="2921">
        <f t="shared" si="3"/>
        <v>14.049999999999972</v>
      </c>
      <c r="B72" s="2512" t="s">
        <v>9118</v>
      </c>
      <c r="C72" s="2488" t="s">
        <v>190</v>
      </c>
      <c r="D72" s="2489" t="s">
        <v>9077</v>
      </c>
      <c r="E72" s="2614"/>
      <c r="F72" s="2614"/>
      <c r="G72" s="2614"/>
      <c r="H72" s="2917">
        <v>111075</v>
      </c>
      <c r="I72" s="2488"/>
      <c r="J72" s="2917">
        <v>7224809</v>
      </c>
      <c r="K72" s="2488"/>
      <c r="L72" s="2918">
        <f t="shared" si="2"/>
        <v>7224809</v>
      </c>
      <c r="M72" s="2479" t="str">
        <f t="shared" si="1"/>
        <v>Morgan Stanley Capital Group Inc., SF, T-12</v>
      </c>
    </row>
    <row r="73" spans="1:13" ht="15.75" customHeight="1" x14ac:dyDescent="0.2">
      <c r="A73" s="2921">
        <f t="shared" si="3"/>
        <v>14.050999999999972</v>
      </c>
      <c r="B73" s="2512" t="s">
        <v>9118</v>
      </c>
      <c r="C73" s="2488" t="s">
        <v>190</v>
      </c>
      <c r="D73" s="2489" t="s">
        <v>9087</v>
      </c>
      <c r="E73" s="2614"/>
      <c r="F73" s="2614"/>
      <c r="G73" s="2614"/>
      <c r="H73" s="2917">
        <v>655</v>
      </c>
      <c r="I73" s="2488"/>
      <c r="J73" s="2917">
        <v>79800</v>
      </c>
      <c r="K73" s="2614"/>
      <c r="L73" s="2918">
        <f t="shared" si="2"/>
        <v>79800</v>
      </c>
      <c r="M73" s="2479" t="str">
        <f t="shared" ref="M73:M136" si="4">CONCATENATE(B73,", ",C73,", ",D73)</f>
        <v>Morgan Stanley Capital Group Inc., SF, WSPP-Q</v>
      </c>
    </row>
    <row r="74" spans="1:13" ht="15.75" customHeight="1" x14ac:dyDescent="0.2">
      <c r="A74" s="2921">
        <f t="shared" si="3"/>
        <v>14.051999999999971</v>
      </c>
      <c r="B74" s="2512" t="s">
        <v>9119</v>
      </c>
      <c r="C74" s="2488" t="s">
        <v>190</v>
      </c>
      <c r="D74" s="2489" t="s">
        <v>9086</v>
      </c>
      <c r="E74" s="2614"/>
      <c r="F74" s="2614"/>
      <c r="G74" s="2614"/>
      <c r="H74" s="2917">
        <v>48</v>
      </c>
      <c r="I74" s="2488"/>
      <c r="J74" s="2614"/>
      <c r="K74" s="3221">
        <v>1516</v>
      </c>
      <c r="L74" s="2918">
        <f t="shared" si="2"/>
        <v>1516</v>
      </c>
      <c r="M74" s="2479" t="str">
        <f t="shared" si="4"/>
        <v>NaturEner Power Watch, LLC, SF, T-13</v>
      </c>
    </row>
    <row r="75" spans="1:13" ht="15.75" customHeight="1" x14ac:dyDescent="0.2">
      <c r="A75" s="2921">
        <f t="shared" si="3"/>
        <v>14.052999999999971</v>
      </c>
      <c r="B75" s="2744" t="s">
        <v>9120</v>
      </c>
      <c r="C75" s="2488" t="s">
        <v>190</v>
      </c>
      <c r="D75" s="2489" t="s">
        <v>9087</v>
      </c>
      <c r="E75" s="2614"/>
      <c r="F75" s="2614"/>
      <c r="G75" s="2614"/>
      <c r="H75" s="2917">
        <v>375</v>
      </c>
      <c r="I75" s="2488"/>
      <c r="J75" s="2917">
        <v>46750</v>
      </c>
      <c r="K75" s="2488"/>
      <c r="L75" s="2918">
        <f t="shared" si="2"/>
        <v>46750</v>
      </c>
      <c r="M75" s="2479" t="str">
        <f t="shared" si="4"/>
        <v>Nevada Power Company, SF, WSPP-Q</v>
      </c>
    </row>
    <row r="76" spans="1:13" ht="15.75" customHeight="1" x14ac:dyDescent="0.2">
      <c r="A76" s="2921">
        <f t="shared" si="3"/>
        <v>14.05399999999997</v>
      </c>
      <c r="B76" s="2512" t="s">
        <v>11944</v>
      </c>
      <c r="C76" s="2488" t="s">
        <v>190</v>
      </c>
      <c r="D76" s="2489" t="s">
        <v>9077</v>
      </c>
      <c r="E76" s="2614"/>
      <c r="F76" s="2614"/>
      <c r="G76" s="2614"/>
      <c r="H76" s="2917">
        <v>12779</v>
      </c>
      <c r="I76" s="2488"/>
      <c r="J76" s="2917">
        <v>685537</v>
      </c>
      <c r="K76" s="2614"/>
      <c r="L76" s="2918">
        <f t="shared" si="2"/>
        <v>685537</v>
      </c>
      <c r="M76" s="2479" t="str">
        <f t="shared" si="4"/>
        <v>NextEra Energy Marketing, LLC, SF, T-12</v>
      </c>
    </row>
    <row r="77" spans="1:13" ht="15.75" customHeight="1" x14ac:dyDescent="0.2">
      <c r="A77" s="2921">
        <f t="shared" si="3"/>
        <v>14.05499999999997</v>
      </c>
      <c r="B77" s="2512" t="s">
        <v>11945</v>
      </c>
      <c r="C77" s="2488" t="s">
        <v>190</v>
      </c>
      <c r="D77" s="2489" t="s">
        <v>9077</v>
      </c>
      <c r="E77" s="2614"/>
      <c r="F77" s="2614"/>
      <c r="G77" s="2614"/>
      <c r="H77" s="2917">
        <v>400</v>
      </c>
      <c r="I77" s="2488"/>
      <c r="J77" s="2917">
        <v>87980</v>
      </c>
      <c r="K77" s="2488"/>
      <c r="L77" s="2918">
        <f t="shared" si="2"/>
        <v>87980</v>
      </c>
      <c r="M77" s="2479" t="str">
        <f t="shared" si="4"/>
        <v>Northern California Power Agency, SF, T-12</v>
      </c>
    </row>
    <row r="78" spans="1:13" ht="15.75" customHeight="1" x14ac:dyDescent="0.2">
      <c r="A78" s="2921">
        <f t="shared" si="3"/>
        <v>14.055999999999969</v>
      </c>
      <c r="B78" s="2512" t="s">
        <v>9121</v>
      </c>
      <c r="C78" s="2488" t="s">
        <v>190</v>
      </c>
      <c r="D78" s="2489" t="s">
        <v>9086</v>
      </c>
      <c r="E78" s="2614"/>
      <c r="F78" s="2614"/>
      <c r="G78" s="2614"/>
      <c r="H78" s="2917">
        <v>112</v>
      </c>
      <c r="I78" s="2488"/>
      <c r="J78" s="2614"/>
      <c r="K78" s="3221">
        <v>9326</v>
      </c>
      <c r="L78" s="2918">
        <f t="shared" si="2"/>
        <v>9326</v>
      </c>
      <c r="M78" s="2479" t="str">
        <f t="shared" si="4"/>
        <v>NorthWestern Energy, SF, T-13</v>
      </c>
    </row>
    <row r="79" spans="1:13" ht="15.75" customHeight="1" x14ac:dyDescent="0.2">
      <c r="A79" s="2921">
        <f t="shared" si="3"/>
        <v>14.056999999999968</v>
      </c>
      <c r="B79" s="2512" t="s">
        <v>9121</v>
      </c>
      <c r="C79" s="2488" t="s">
        <v>190</v>
      </c>
      <c r="D79" s="2489" t="s">
        <v>9087</v>
      </c>
      <c r="E79" s="2614"/>
      <c r="F79" s="2614"/>
      <c r="G79" s="2614"/>
      <c r="H79" s="2917">
        <v>1441</v>
      </c>
      <c r="I79" s="2488"/>
      <c r="J79" s="2917">
        <v>90965</v>
      </c>
      <c r="K79" s="2614"/>
      <c r="L79" s="2918">
        <f t="shared" si="2"/>
        <v>90965</v>
      </c>
      <c r="M79" s="2479" t="str">
        <f t="shared" si="4"/>
        <v>NorthWestern Energy, SF, WSPP-Q</v>
      </c>
    </row>
    <row r="80" spans="1:13" ht="15.75" customHeight="1" x14ac:dyDescent="0.2">
      <c r="A80" s="2921">
        <f t="shared" si="3"/>
        <v>14.057999999999968</v>
      </c>
      <c r="B80" s="2512" t="s">
        <v>9123</v>
      </c>
      <c r="C80" s="2488" t="s">
        <v>190</v>
      </c>
      <c r="D80" s="2489" t="s">
        <v>9077</v>
      </c>
      <c r="E80" s="2614"/>
      <c r="F80" s="2614"/>
      <c r="G80" s="2614"/>
      <c r="H80" s="2917">
        <v>21336</v>
      </c>
      <c r="I80" s="2488"/>
      <c r="J80" s="2917">
        <v>1289518</v>
      </c>
      <c r="K80" s="2488"/>
      <c r="L80" s="2918">
        <f t="shared" si="2"/>
        <v>1289518</v>
      </c>
      <c r="M80" s="2479" t="str">
        <f t="shared" si="4"/>
        <v>Portland General Electric Company, SF, T-12</v>
      </c>
    </row>
    <row r="81" spans="1:13" ht="15.75" customHeight="1" x14ac:dyDescent="0.2">
      <c r="A81" s="2921">
        <f t="shared" si="3"/>
        <v>14.058999999999967</v>
      </c>
      <c r="B81" s="2512" t="s">
        <v>9123</v>
      </c>
      <c r="C81" s="2488" t="s">
        <v>190</v>
      </c>
      <c r="D81" s="2489" t="s">
        <v>9086</v>
      </c>
      <c r="E81" s="2614"/>
      <c r="F81" s="2614"/>
      <c r="G81" s="2614"/>
      <c r="H81" s="2917">
        <v>34</v>
      </c>
      <c r="I81" s="2488"/>
      <c r="J81" s="2614"/>
      <c r="K81" s="3221">
        <v>1703</v>
      </c>
      <c r="L81" s="2918">
        <f t="shared" si="2"/>
        <v>1703</v>
      </c>
      <c r="M81" s="2479" t="str">
        <f t="shared" si="4"/>
        <v>Portland General Electric Company, SF, T-13</v>
      </c>
    </row>
    <row r="82" spans="1:13" ht="15.75" customHeight="1" x14ac:dyDescent="0.2">
      <c r="A82" s="2921">
        <f t="shared" si="3"/>
        <v>14.059999999999967</v>
      </c>
      <c r="B82" s="2512" t="s">
        <v>9124</v>
      </c>
      <c r="C82" s="2488" t="s">
        <v>190</v>
      </c>
      <c r="D82" s="2489" t="s">
        <v>9077</v>
      </c>
      <c r="E82" s="2614"/>
      <c r="F82" s="2614"/>
      <c r="G82" s="2614"/>
      <c r="H82" s="2917">
        <v>98051</v>
      </c>
      <c r="I82" s="2488"/>
      <c r="J82" s="2917">
        <v>6978027</v>
      </c>
      <c r="K82" s="2614"/>
      <c r="L82" s="2918">
        <f t="shared" ref="L82:L133" si="5">SUM(I82:K82)</f>
        <v>6978027</v>
      </c>
      <c r="M82" s="2479" t="str">
        <f t="shared" si="4"/>
        <v>Powerex Corporation, SF, T-12</v>
      </c>
    </row>
    <row r="83" spans="1:13" ht="15.75" customHeight="1" x14ac:dyDescent="0.2">
      <c r="A83" s="2921">
        <f t="shared" si="3"/>
        <v>14.060999999999966</v>
      </c>
      <c r="B83" s="2512" t="s">
        <v>9125</v>
      </c>
      <c r="C83" s="2488" t="s">
        <v>189</v>
      </c>
      <c r="D83" s="2489" t="s">
        <v>9077</v>
      </c>
      <c r="E83" s="2614"/>
      <c r="F83" s="2614"/>
      <c r="G83" s="2614"/>
      <c r="H83" s="2917">
        <v>57474</v>
      </c>
      <c r="I83" s="2488"/>
      <c r="J83" s="2917">
        <v>1298880</v>
      </c>
      <c r="K83" s="2488"/>
      <c r="L83" s="2918">
        <f t="shared" si="5"/>
        <v>1298880</v>
      </c>
      <c r="M83" s="2479" t="str">
        <f t="shared" si="4"/>
        <v>Public Service Company of Colorado, IF, T-12</v>
      </c>
    </row>
    <row r="84" spans="1:13" ht="15.75" customHeight="1" x14ac:dyDescent="0.2">
      <c r="A84" s="2921">
        <f t="shared" si="3"/>
        <v>14.061999999999966</v>
      </c>
      <c r="B84" s="2512" t="s">
        <v>9125</v>
      </c>
      <c r="C84" s="2478" t="s">
        <v>196</v>
      </c>
      <c r="D84" s="2489" t="s">
        <v>9077</v>
      </c>
      <c r="E84" s="2614"/>
      <c r="F84" s="2614"/>
      <c r="G84" s="2614"/>
      <c r="H84" s="2917">
        <v>207</v>
      </c>
      <c r="I84" s="2488"/>
      <c r="J84" s="2614"/>
      <c r="K84" s="3221">
        <v>20323</v>
      </c>
      <c r="L84" s="2918">
        <f t="shared" si="5"/>
        <v>20323</v>
      </c>
      <c r="M84" s="2479" t="str">
        <f t="shared" si="4"/>
        <v>Public Service Company of Colorado, AD, T-12</v>
      </c>
    </row>
    <row r="85" spans="1:13" ht="15.75" customHeight="1" x14ac:dyDescent="0.2">
      <c r="A85" s="2921">
        <f t="shared" si="3"/>
        <v>14.062999999999965</v>
      </c>
      <c r="B85" s="2512" t="s">
        <v>9125</v>
      </c>
      <c r="C85" s="2488" t="s">
        <v>190</v>
      </c>
      <c r="D85" s="2489" t="s">
        <v>9077</v>
      </c>
      <c r="E85" s="2614"/>
      <c r="F85" s="2614"/>
      <c r="G85" s="2614"/>
      <c r="H85" s="2917">
        <v>54312</v>
      </c>
      <c r="I85" s="2488"/>
      <c r="J85" s="2917">
        <v>3440438</v>
      </c>
      <c r="K85" s="2614"/>
      <c r="L85" s="2918">
        <f t="shared" si="5"/>
        <v>3440438</v>
      </c>
      <c r="M85" s="2479" t="str">
        <f t="shared" si="4"/>
        <v>Public Service Company of Colorado, SF, T-12</v>
      </c>
    </row>
    <row r="86" spans="1:13" ht="15.75" customHeight="1" x14ac:dyDescent="0.2">
      <c r="A86" s="2921">
        <f t="shared" si="3"/>
        <v>14.063999999999965</v>
      </c>
      <c r="B86" s="2512" t="s">
        <v>9125</v>
      </c>
      <c r="C86" s="2488" t="s">
        <v>190</v>
      </c>
      <c r="D86" s="2489" t="s">
        <v>9086</v>
      </c>
      <c r="E86" s="2614"/>
      <c r="F86" s="2614"/>
      <c r="G86" s="2614"/>
      <c r="H86" s="2917">
        <v>364</v>
      </c>
      <c r="I86" s="2488"/>
      <c r="J86" s="2614"/>
      <c r="K86" s="3221">
        <v>21710</v>
      </c>
      <c r="L86" s="2918">
        <f t="shared" si="5"/>
        <v>21710</v>
      </c>
      <c r="M86" s="2479" t="str">
        <f t="shared" si="4"/>
        <v>Public Service Company of Colorado, SF, T-13</v>
      </c>
    </row>
    <row r="87" spans="1:13" ht="15.75" customHeight="1" x14ac:dyDescent="0.2">
      <c r="A87" s="2921">
        <f t="shared" ref="A87:A133" si="6">A86+0.001</f>
        <v>14.064999999999964</v>
      </c>
      <c r="B87" s="2512" t="s">
        <v>9126</v>
      </c>
      <c r="C87" s="2488" t="s">
        <v>190</v>
      </c>
      <c r="D87" s="2489" t="s">
        <v>9077</v>
      </c>
      <c r="E87" s="2614"/>
      <c r="F87" s="2614"/>
      <c r="G87" s="2614"/>
      <c r="H87" s="2917">
        <v>11699</v>
      </c>
      <c r="I87" s="2488"/>
      <c r="J87" s="2917">
        <v>840384</v>
      </c>
      <c r="K87" s="2488"/>
      <c r="L87" s="2918">
        <f t="shared" si="5"/>
        <v>840384</v>
      </c>
      <c r="M87" s="2479" t="str">
        <f t="shared" si="4"/>
        <v>Public Service Company of New Mexico, SF, T-12</v>
      </c>
    </row>
    <row r="88" spans="1:13" ht="15.75" customHeight="1" x14ac:dyDescent="0.2">
      <c r="A88" s="2921">
        <f t="shared" si="6"/>
        <v>14.065999999999963</v>
      </c>
      <c r="B88" s="2512" t="s">
        <v>9127</v>
      </c>
      <c r="C88" s="2488" t="s">
        <v>190</v>
      </c>
      <c r="D88" s="2489" t="s">
        <v>9086</v>
      </c>
      <c r="E88" s="2614"/>
      <c r="F88" s="2614"/>
      <c r="G88" s="2614"/>
      <c r="H88" s="2917">
        <v>11</v>
      </c>
      <c r="I88" s="2488"/>
      <c r="J88" s="2614"/>
      <c r="K88" s="3222">
        <v>458</v>
      </c>
      <c r="L88" s="2918">
        <f t="shared" si="5"/>
        <v>458</v>
      </c>
      <c r="M88" s="2479" t="str">
        <f t="shared" si="4"/>
        <v>Public Utility District No. 1 of Chelan County, SF, T-13</v>
      </c>
    </row>
    <row r="89" spans="1:13" ht="15.75" customHeight="1" x14ac:dyDescent="0.2">
      <c r="A89" s="2921">
        <f t="shared" si="6"/>
        <v>14.066999999999963</v>
      </c>
      <c r="B89" s="2512" t="s">
        <v>9128</v>
      </c>
      <c r="C89" s="2488" t="s">
        <v>190</v>
      </c>
      <c r="D89" s="2489" t="s">
        <v>9077</v>
      </c>
      <c r="E89" s="2614"/>
      <c r="F89" s="2614"/>
      <c r="G89" s="2614"/>
      <c r="H89" s="2917">
        <v>3045</v>
      </c>
      <c r="I89" s="2488"/>
      <c r="J89" s="2917">
        <v>292693</v>
      </c>
      <c r="K89" s="2488"/>
      <c r="L89" s="2918">
        <f t="shared" si="5"/>
        <v>292693</v>
      </c>
      <c r="M89" s="2479" t="str">
        <f t="shared" si="4"/>
        <v>Public Utility District No. 1 of Snohomish County, SF, T-12</v>
      </c>
    </row>
    <row r="90" spans="1:13" ht="15.75" customHeight="1" x14ac:dyDescent="0.2">
      <c r="A90" s="2921">
        <f t="shared" si="6"/>
        <v>14.067999999999962</v>
      </c>
      <c r="B90" s="2512" t="s">
        <v>9130</v>
      </c>
      <c r="C90" s="2488" t="s">
        <v>190</v>
      </c>
      <c r="D90" s="2489" t="s">
        <v>9077</v>
      </c>
      <c r="E90" s="2614"/>
      <c r="F90" s="2614"/>
      <c r="G90" s="2614"/>
      <c r="H90" s="2917">
        <v>12921</v>
      </c>
      <c r="I90" s="2488"/>
      <c r="J90" s="2917">
        <v>983899</v>
      </c>
      <c r="K90" s="2488"/>
      <c r="L90" s="2918">
        <f t="shared" si="5"/>
        <v>983899</v>
      </c>
      <c r="M90" s="2479" t="str">
        <f t="shared" si="4"/>
        <v>Puget Sound Energy, Inc., SF, T-12</v>
      </c>
    </row>
    <row r="91" spans="1:13" ht="15.75" customHeight="1" x14ac:dyDescent="0.2">
      <c r="A91" s="2921">
        <f t="shared" si="6"/>
        <v>14.068999999999962</v>
      </c>
      <c r="B91" s="2512" t="s">
        <v>9130</v>
      </c>
      <c r="C91" s="2488" t="s">
        <v>190</v>
      </c>
      <c r="D91" s="2489" t="s">
        <v>9086</v>
      </c>
      <c r="E91" s="2614"/>
      <c r="F91" s="2614"/>
      <c r="G91" s="2614"/>
      <c r="H91" s="2917">
        <v>21</v>
      </c>
      <c r="I91" s="2488"/>
      <c r="J91" s="2614"/>
      <c r="K91" s="3222">
        <v>2893</v>
      </c>
      <c r="L91" s="2918">
        <f t="shared" si="5"/>
        <v>2893</v>
      </c>
      <c r="M91" s="2479" t="str">
        <f t="shared" si="4"/>
        <v>Puget Sound Energy, Inc., SF, T-13</v>
      </c>
    </row>
    <row r="92" spans="1:13" ht="15.75" customHeight="1" x14ac:dyDescent="0.2">
      <c r="A92" s="2921">
        <f t="shared" si="6"/>
        <v>14.069999999999961</v>
      </c>
      <c r="B92" s="2512" t="s">
        <v>9131</v>
      </c>
      <c r="C92" s="2488" t="s">
        <v>190</v>
      </c>
      <c r="D92" s="2489" t="s">
        <v>9077</v>
      </c>
      <c r="E92" s="2614"/>
      <c r="F92" s="2614"/>
      <c r="G92" s="2614"/>
      <c r="H92" s="2917">
        <v>5746</v>
      </c>
      <c r="I92" s="2488"/>
      <c r="J92" s="2917">
        <v>423874</v>
      </c>
      <c r="K92" s="2488"/>
      <c r="L92" s="2918">
        <f t="shared" si="5"/>
        <v>423874</v>
      </c>
      <c r="M92" s="2479" t="str">
        <f t="shared" si="4"/>
        <v>Rainbow Energy Marketing Corporation, SF, T-12</v>
      </c>
    </row>
    <row r="93" spans="1:13" ht="15.75" customHeight="1" x14ac:dyDescent="0.2">
      <c r="A93" s="2921">
        <f t="shared" si="6"/>
        <v>14.070999999999961</v>
      </c>
      <c r="B93" s="2512" t="s">
        <v>9131</v>
      </c>
      <c r="C93" s="2488" t="s">
        <v>190</v>
      </c>
      <c r="D93" s="2489" t="s">
        <v>9087</v>
      </c>
      <c r="E93" s="2614"/>
      <c r="F93" s="2614"/>
      <c r="G93" s="2614"/>
      <c r="H93" s="2917">
        <v>13600</v>
      </c>
      <c r="I93" s="2488"/>
      <c r="J93" s="2917">
        <v>945600</v>
      </c>
      <c r="K93" s="2488"/>
      <c r="L93" s="2918">
        <f t="shared" si="5"/>
        <v>945600</v>
      </c>
      <c r="M93" s="2479" t="str">
        <f t="shared" si="4"/>
        <v>Rainbow Energy Marketing Corporation, SF, WSPP-Q</v>
      </c>
    </row>
    <row r="94" spans="1:13" ht="15.75" customHeight="1" x14ac:dyDescent="0.2">
      <c r="A94" s="2921">
        <f t="shared" si="6"/>
        <v>14.07199999999996</v>
      </c>
      <c r="B94" s="2512" t="s">
        <v>9132</v>
      </c>
      <c r="C94" s="2488" t="s">
        <v>190</v>
      </c>
      <c r="D94" s="2489" t="s">
        <v>9077</v>
      </c>
      <c r="E94" s="2614"/>
      <c r="F94" s="2614"/>
      <c r="G94" s="2614"/>
      <c r="H94" s="2917">
        <v>163565</v>
      </c>
      <c r="I94" s="2488"/>
      <c r="J94" s="2917">
        <v>27347678</v>
      </c>
      <c r="K94" s="2614"/>
      <c r="L94" s="2918">
        <f t="shared" si="5"/>
        <v>27347678</v>
      </c>
      <c r="M94" s="2479" t="str">
        <f t="shared" si="4"/>
        <v>Sacramento Municipal Utility District, SF, T-12</v>
      </c>
    </row>
    <row r="95" spans="1:13" ht="15.75" customHeight="1" x14ac:dyDescent="0.2">
      <c r="A95" s="2921">
        <f t="shared" si="6"/>
        <v>14.07299999999996</v>
      </c>
      <c r="B95" s="2512" t="s">
        <v>9132</v>
      </c>
      <c r="C95" s="2488" t="s">
        <v>190</v>
      </c>
      <c r="D95" s="2489" t="s">
        <v>9086</v>
      </c>
      <c r="E95" s="2614"/>
      <c r="F95" s="2614"/>
      <c r="G95" s="2614"/>
      <c r="H95" s="2917">
        <v>21</v>
      </c>
      <c r="I95" s="2488"/>
      <c r="J95" s="2614"/>
      <c r="K95" s="3221">
        <v>1080</v>
      </c>
      <c r="L95" s="2918">
        <f t="shared" si="5"/>
        <v>1080</v>
      </c>
      <c r="M95" s="2479" t="str">
        <f t="shared" si="4"/>
        <v>Sacramento Municipal Utility District, SF, T-13</v>
      </c>
    </row>
    <row r="96" spans="1:13" ht="15.75" customHeight="1" x14ac:dyDescent="0.2">
      <c r="A96" s="2921">
        <f t="shared" si="6"/>
        <v>14.073999999999959</v>
      </c>
      <c r="B96" s="2512" t="s">
        <v>9133</v>
      </c>
      <c r="C96" s="2478" t="s">
        <v>196</v>
      </c>
      <c r="D96" s="2489" t="s">
        <v>9077</v>
      </c>
      <c r="E96" s="2614"/>
      <c r="F96" s="2614"/>
      <c r="G96" s="2614"/>
      <c r="H96" s="2614"/>
      <c r="I96" s="2488"/>
      <c r="J96" s="2614"/>
      <c r="K96" s="3221">
        <v>-33010</v>
      </c>
      <c r="L96" s="2918">
        <f t="shared" si="5"/>
        <v>-33010</v>
      </c>
      <c r="M96" s="2479" t="str">
        <f t="shared" si="4"/>
        <v>Salt River Project, AD, T-12</v>
      </c>
    </row>
    <row r="97" spans="1:13" ht="15.75" customHeight="1" x14ac:dyDescent="0.2">
      <c r="A97" s="2921">
        <f t="shared" si="6"/>
        <v>14.074999999999958</v>
      </c>
      <c r="B97" s="2512" t="s">
        <v>9133</v>
      </c>
      <c r="C97" s="2488" t="s">
        <v>190</v>
      </c>
      <c r="D97" s="2489" t="s">
        <v>9077</v>
      </c>
      <c r="E97" s="2614"/>
      <c r="F97" s="2614"/>
      <c r="G97" s="2614"/>
      <c r="H97" s="2917">
        <v>30012</v>
      </c>
      <c r="I97" s="2488"/>
      <c r="J97" s="2917">
        <v>1818854</v>
      </c>
      <c r="K97" s="2614"/>
      <c r="L97" s="2918">
        <f t="shared" si="5"/>
        <v>1818854</v>
      </c>
      <c r="M97" s="2479" t="str">
        <f t="shared" si="4"/>
        <v>Salt River Project, SF, T-12</v>
      </c>
    </row>
    <row r="98" spans="1:13" ht="15.75" customHeight="1" x14ac:dyDescent="0.2">
      <c r="A98" s="2921">
        <f t="shared" si="6"/>
        <v>14.075999999999958</v>
      </c>
      <c r="B98" s="2512" t="s">
        <v>9134</v>
      </c>
      <c r="C98" s="2488" t="s">
        <v>190</v>
      </c>
      <c r="D98" s="2489" t="s">
        <v>9077</v>
      </c>
      <c r="E98" s="2614"/>
      <c r="F98" s="2614"/>
      <c r="G98" s="2614"/>
      <c r="H98" s="2917">
        <v>4745</v>
      </c>
      <c r="I98" s="2488"/>
      <c r="J98" s="2917">
        <v>535150</v>
      </c>
      <c r="K98" s="2488"/>
      <c r="L98" s="2918">
        <f t="shared" si="5"/>
        <v>535150</v>
      </c>
      <c r="M98" s="2479" t="str">
        <f t="shared" si="4"/>
        <v>Seattle City Light, SF, T-12</v>
      </c>
    </row>
    <row r="99" spans="1:13" ht="15.75" customHeight="1" x14ac:dyDescent="0.2">
      <c r="A99" s="2921">
        <f t="shared" si="6"/>
        <v>14.076999999999957</v>
      </c>
      <c r="B99" s="2512" t="s">
        <v>9135</v>
      </c>
      <c r="C99" s="2488" t="s">
        <v>190</v>
      </c>
      <c r="D99" s="2489" t="s">
        <v>9077</v>
      </c>
      <c r="E99" s="2614"/>
      <c r="F99" s="2614"/>
      <c r="G99" s="2614"/>
      <c r="H99" s="2917">
        <v>643141</v>
      </c>
      <c r="I99" s="2488"/>
      <c r="J99" s="2917">
        <v>34245332</v>
      </c>
      <c r="K99" s="2488"/>
      <c r="L99" s="2918">
        <f t="shared" si="5"/>
        <v>34245332</v>
      </c>
      <c r="M99" s="2479" t="str">
        <f t="shared" si="4"/>
        <v>Shell Energy North America (US), L.P., SF, T-12</v>
      </c>
    </row>
    <row r="100" spans="1:13" ht="15.75" customHeight="1" x14ac:dyDescent="0.2">
      <c r="A100" s="2921">
        <f t="shared" si="6"/>
        <v>14.077999999999957</v>
      </c>
      <c r="B100" s="2512" t="s">
        <v>9135</v>
      </c>
      <c r="C100" s="2488" t="s">
        <v>190</v>
      </c>
      <c r="D100" s="2489" t="s">
        <v>9087</v>
      </c>
      <c r="E100" s="2614"/>
      <c r="F100" s="2614"/>
      <c r="G100" s="2614"/>
      <c r="H100" s="2917">
        <v>424482</v>
      </c>
      <c r="I100" s="2488"/>
      <c r="J100" s="2917">
        <v>22094556</v>
      </c>
      <c r="K100" s="2614"/>
      <c r="L100" s="2918">
        <f t="shared" si="5"/>
        <v>22094556</v>
      </c>
      <c r="M100" s="2479" t="str">
        <f t="shared" si="4"/>
        <v>Shell Energy North America (US), L.P., SF, WSPP-Q</v>
      </c>
    </row>
    <row r="101" spans="1:13" ht="15.75" customHeight="1" x14ac:dyDescent="0.2">
      <c r="A101" s="2921">
        <f t="shared" si="6"/>
        <v>14.078999999999956</v>
      </c>
      <c r="B101" s="2744" t="s">
        <v>9136</v>
      </c>
      <c r="C101" s="2488" t="s">
        <v>190</v>
      </c>
      <c r="D101" s="2489" t="s">
        <v>9086</v>
      </c>
      <c r="E101" s="2614"/>
      <c r="F101" s="2614"/>
      <c r="G101" s="2614"/>
      <c r="H101" s="2917">
        <v>95</v>
      </c>
      <c r="I101" s="2488"/>
      <c r="J101" s="2614"/>
      <c r="K101" s="3221">
        <v>7824</v>
      </c>
      <c r="L101" s="2918">
        <f t="shared" si="5"/>
        <v>7824</v>
      </c>
      <c r="M101" s="2479" t="str">
        <f t="shared" si="4"/>
        <v>Sierra Pacific Power Company, SF, T-13</v>
      </c>
    </row>
    <row r="102" spans="1:13" ht="15.75" customHeight="1" x14ac:dyDescent="0.2">
      <c r="A102" s="2921">
        <f t="shared" si="6"/>
        <v>14.079999999999956</v>
      </c>
      <c r="B102" s="2512" t="s">
        <v>9137</v>
      </c>
      <c r="C102" s="2488" t="s">
        <v>190</v>
      </c>
      <c r="D102" s="2489" t="s">
        <v>9077</v>
      </c>
      <c r="E102" s="2614"/>
      <c r="F102" s="2614"/>
      <c r="G102" s="2614"/>
      <c r="H102" s="2917">
        <v>1072</v>
      </c>
      <c r="I102" s="2488"/>
      <c r="J102" s="2917">
        <v>97725</v>
      </c>
      <c r="K102" s="2488"/>
      <c r="L102" s="2918">
        <f t="shared" si="5"/>
        <v>97725</v>
      </c>
      <c r="M102" s="2479" t="str">
        <f t="shared" si="4"/>
        <v>Tacoma Power, SF, T-12</v>
      </c>
    </row>
    <row r="103" spans="1:13" ht="15.75" customHeight="1" x14ac:dyDescent="0.2">
      <c r="A103" s="2921">
        <f t="shared" si="6"/>
        <v>14.080999999999955</v>
      </c>
      <c r="B103" s="2512" t="s">
        <v>9138</v>
      </c>
      <c r="C103" s="2478" t="s">
        <v>196</v>
      </c>
      <c r="D103" s="2489" t="s">
        <v>9077</v>
      </c>
      <c r="E103" s="2614"/>
      <c r="F103" s="2614"/>
      <c r="G103" s="2614"/>
      <c r="H103" s="2614"/>
      <c r="I103" s="2488"/>
      <c r="J103" s="2614"/>
      <c r="K103" s="3222">
        <v>-320</v>
      </c>
      <c r="L103" s="2918">
        <f t="shared" si="5"/>
        <v>-320</v>
      </c>
      <c r="M103" s="2479" t="str">
        <f t="shared" si="4"/>
        <v>Tenaska Power Services Co., AD, T-12</v>
      </c>
    </row>
    <row r="104" spans="1:13" ht="15.75" customHeight="1" x14ac:dyDescent="0.2">
      <c r="A104" s="2921">
        <f t="shared" si="6"/>
        <v>14.081999999999955</v>
      </c>
      <c r="B104" s="2512" t="s">
        <v>9138</v>
      </c>
      <c r="C104" s="2488" t="s">
        <v>190</v>
      </c>
      <c r="D104" s="2489" t="s">
        <v>9077</v>
      </c>
      <c r="E104" s="2614"/>
      <c r="F104" s="2614"/>
      <c r="G104" s="2614"/>
      <c r="H104" s="2917">
        <v>224993</v>
      </c>
      <c r="I104" s="2488"/>
      <c r="J104" s="2917">
        <v>11043693</v>
      </c>
      <c r="K104" s="2488"/>
      <c r="L104" s="2918">
        <f t="shared" si="5"/>
        <v>11043693</v>
      </c>
      <c r="M104" s="2479" t="str">
        <f t="shared" si="4"/>
        <v>Tenaska Power Services Co., SF, T-12</v>
      </c>
    </row>
    <row r="105" spans="1:13" ht="15.75" customHeight="1" x14ac:dyDescent="0.2">
      <c r="A105" s="2921">
        <f t="shared" si="6"/>
        <v>14.082999999999954</v>
      </c>
      <c r="B105" s="2512" t="s">
        <v>9138</v>
      </c>
      <c r="C105" s="2488" t="s">
        <v>190</v>
      </c>
      <c r="D105" s="2489" t="s">
        <v>9087</v>
      </c>
      <c r="E105" s="2614"/>
      <c r="F105" s="2614"/>
      <c r="G105" s="2614"/>
      <c r="H105" s="2917">
        <v>131454</v>
      </c>
      <c r="I105" s="2488"/>
      <c r="J105" s="2917">
        <v>7257690</v>
      </c>
      <c r="K105" s="2488"/>
      <c r="L105" s="2918">
        <f t="shared" si="5"/>
        <v>7257690</v>
      </c>
      <c r="M105" s="2479" t="str">
        <f t="shared" si="4"/>
        <v>Tenaska Power Services Co., SF, WSPP-Q</v>
      </c>
    </row>
    <row r="106" spans="1:13" ht="15.75" customHeight="1" x14ac:dyDescent="0.2">
      <c r="A106" s="2921">
        <f t="shared" si="6"/>
        <v>14.083999999999953</v>
      </c>
      <c r="B106" s="2512" t="s">
        <v>9139</v>
      </c>
      <c r="C106" s="2488" t="s">
        <v>190</v>
      </c>
      <c r="D106" s="2489" t="s">
        <v>9077</v>
      </c>
      <c r="E106" s="2614"/>
      <c r="F106" s="2614"/>
      <c r="G106" s="2614"/>
      <c r="H106" s="2917">
        <v>53221</v>
      </c>
      <c r="I106" s="2488"/>
      <c r="J106" s="2917">
        <v>2918650</v>
      </c>
      <c r="K106" s="2614"/>
      <c r="L106" s="2918">
        <f t="shared" si="5"/>
        <v>2918650</v>
      </c>
      <c r="M106" s="2479" t="str">
        <f t="shared" si="4"/>
        <v>The Energy Authority, Inc., SF, T-12</v>
      </c>
    </row>
    <row r="107" spans="1:13" ht="15.75" customHeight="1" x14ac:dyDescent="0.2">
      <c r="A107" s="2921">
        <f t="shared" si="6"/>
        <v>14.084999999999953</v>
      </c>
      <c r="B107" s="2512" t="s">
        <v>9140</v>
      </c>
      <c r="C107" s="2488" t="s">
        <v>190</v>
      </c>
      <c r="D107" s="2489" t="s">
        <v>9077</v>
      </c>
      <c r="E107" s="2614"/>
      <c r="F107" s="2614"/>
      <c r="G107" s="2614"/>
      <c r="H107" s="2917">
        <v>69197</v>
      </c>
      <c r="I107" s="2488"/>
      <c r="J107" s="2917">
        <v>7252961</v>
      </c>
      <c r="K107" s="2488"/>
      <c r="L107" s="2918">
        <f t="shared" si="5"/>
        <v>7252961</v>
      </c>
      <c r="M107" s="2479" t="str">
        <f t="shared" si="4"/>
        <v>TransAlta Energy Marketing (U.S.) Inc., SF, T-12</v>
      </c>
    </row>
    <row r="108" spans="1:13" ht="15.75" customHeight="1" x14ac:dyDescent="0.2">
      <c r="A108" s="2921">
        <f t="shared" si="6"/>
        <v>14.085999999999952</v>
      </c>
      <c r="B108" s="2512" t="s">
        <v>9141</v>
      </c>
      <c r="C108" s="2488" t="s">
        <v>190</v>
      </c>
      <c r="D108" s="2489" t="s">
        <v>9077</v>
      </c>
      <c r="E108" s="2614"/>
      <c r="F108" s="2614"/>
      <c r="G108" s="2614"/>
      <c r="H108" s="2917">
        <v>31530</v>
      </c>
      <c r="I108" s="2488"/>
      <c r="J108" s="2917">
        <v>1857956</v>
      </c>
      <c r="K108" s="2488"/>
      <c r="L108" s="2918">
        <f t="shared" si="5"/>
        <v>1857956</v>
      </c>
      <c r="M108" s="2479" t="str">
        <f t="shared" si="4"/>
        <v>Tri-State Generation and Transmission Association, Inc., SF, T-12</v>
      </c>
    </row>
    <row r="109" spans="1:13" ht="15.75" customHeight="1" x14ac:dyDescent="0.2">
      <c r="A109" s="2921">
        <f t="shared" si="6"/>
        <v>14.086999999999952</v>
      </c>
      <c r="B109" s="2512" t="s">
        <v>9141</v>
      </c>
      <c r="C109" s="2488" t="s">
        <v>190</v>
      </c>
      <c r="D109" s="2489" t="s">
        <v>9087</v>
      </c>
      <c r="E109" s="2614"/>
      <c r="F109" s="2614"/>
      <c r="G109" s="2614"/>
      <c r="H109" s="2917">
        <v>120</v>
      </c>
      <c r="I109" s="2488"/>
      <c r="J109" s="2917">
        <v>9000</v>
      </c>
      <c r="K109" s="2614"/>
      <c r="L109" s="2918">
        <f t="shared" si="5"/>
        <v>9000</v>
      </c>
      <c r="M109" s="2479" t="str">
        <f t="shared" si="4"/>
        <v>Tri-State Generation and Transmission Association, Inc., SF, WSPP-Q</v>
      </c>
    </row>
    <row r="110" spans="1:13" ht="15.75" customHeight="1" x14ac:dyDescent="0.2">
      <c r="A110" s="2921">
        <f t="shared" si="6"/>
        <v>14.087999999999951</v>
      </c>
      <c r="B110" s="2512" t="s">
        <v>9142</v>
      </c>
      <c r="C110" s="2488" t="s">
        <v>190</v>
      </c>
      <c r="D110" s="2489" t="s">
        <v>9077</v>
      </c>
      <c r="E110" s="2614"/>
      <c r="F110" s="2614"/>
      <c r="G110" s="2614"/>
      <c r="H110" s="2917">
        <v>18117</v>
      </c>
      <c r="I110" s="2488"/>
      <c r="J110" s="2917">
        <v>1181490</v>
      </c>
      <c r="K110" s="2488"/>
      <c r="L110" s="2918">
        <f t="shared" si="5"/>
        <v>1181490</v>
      </c>
      <c r="M110" s="2479" t="str">
        <f t="shared" si="4"/>
        <v>Tucson Electric Power Company, SF, T-12</v>
      </c>
    </row>
    <row r="111" spans="1:13" ht="15.75" customHeight="1" x14ac:dyDescent="0.2">
      <c r="A111" s="2921">
        <f t="shared" si="6"/>
        <v>14.088999999999951</v>
      </c>
      <c r="B111" s="2512" t="s">
        <v>9142</v>
      </c>
      <c r="C111" s="2488" t="s">
        <v>190</v>
      </c>
      <c r="D111" s="2489" t="s">
        <v>9087</v>
      </c>
      <c r="E111" s="2614"/>
      <c r="F111" s="2614"/>
      <c r="G111" s="2614"/>
      <c r="H111" s="2917">
        <v>510</v>
      </c>
      <c r="I111" s="2488"/>
      <c r="J111" s="2917">
        <v>45575</v>
      </c>
      <c r="K111" s="2488"/>
      <c r="L111" s="2918">
        <f t="shared" si="5"/>
        <v>45575</v>
      </c>
      <c r="M111" s="2479" t="str">
        <f t="shared" si="4"/>
        <v>Tucson Electric Power Company, SF, WSPP-Q</v>
      </c>
    </row>
    <row r="112" spans="1:13" ht="15.75" customHeight="1" x14ac:dyDescent="0.2">
      <c r="A112" s="2921">
        <f t="shared" si="6"/>
        <v>14.08999999999995</v>
      </c>
      <c r="B112" s="2512" t="s">
        <v>9143</v>
      </c>
      <c r="C112" s="2488" t="s">
        <v>190</v>
      </c>
      <c r="D112" s="2489" t="s">
        <v>9077</v>
      </c>
      <c r="E112" s="2614"/>
      <c r="F112" s="2614"/>
      <c r="G112" s="2614"/>
      <c r="H112" s="2917">
        <v>82638</v>
      </c>
      <c r="I112" s="2488"/>
      <c r="J112" s="2917">
        <v>6023964</v>
      </c>
      <c r="K112" s="2614"/>
      <c r="L112" s="2918">
        <f t="shared" si="5"/>
        <v>6023964</v>
      </c>
      <c r="M112" s="2479" t="str">
        <f t="shared" si="4"/>
        <v>Turlock Irrigation District, SF, T-12</v>
      </c>
    </row>
    <row r="113" spans="1:13" ht="15.75" customHeight="1" x14ac:dyDescent="0.2">
      <c r="A113" s="2921">
        <f t="shared" si="6"/>
        <v>14.09099999999995</v>
      </c>
      <c r="B113" s="2512" t="s">
        <v>9144</v>
      </c>
      <c r="C113" s="2488" t="s">
        <v>190</v>
      </c>
      <c r="D113" s="2489" t="s">
        <v>9077</v>
      </c>
      <c r="E113" s="2614"/>
      <c r="F113" s="2614"/>
      <c r="G113" s="2614"/>
      <c r="H113" s="2917">
        <v>146095</v>
      </c>
      <c r="I113" s="2488"/>
      <c r="J113" s="2917">
        <v>9782389</v>
      </c>
      <c r="K113" s="2488"/>
      <c r="L113" s="2918">
        <f t="shared" si="5"/>
        <v>9782389</v>
      </c>
      <c r="M113" s="2479" t="str">
        <f t="shared" si="4"/>
        <v>Uniper Global Commodities North America LLC, SF, T-12</v>
      </c>
    </row>
    <row r="114" spans="1:13" ht="15.75" customHeight="1" x14ac:dyDescent="0.2">
      <c r="A114" s="2921">
        <f t="shared" si="6"/>
        <v>14.091999999999949</v>
      </c>
      <c r="B114" s="2512" t="s">
        <v>9145</v>
      </c>
      <c r="C114" s="2488" t="s">
        <v>190</v>
      </c>
      <c r="D114" s="2489" t="s">
        <v>9077</v>
      </c>
      <c r="E114" s="2614"/>
      <c r="F114" s="2614"/>
      <c r="G114" s="2614"/>
      <c r="H114" s="2917">
        <v>11992</v>
      </c>
      <c r="I114" s="2488"/>
      <c r="J114" s="2917">
        <v>789566</v>
      </c>
      <c r="K114" s="2488"/>
      <c r="L114" s="2918">
        <f t="shared" si="5"/>
        <v>789566</v>
      </c>
      <c r="M114" s="2479" t="str">
        <f t="shared" si="4"/>
        <v>UNS Electric, Inc., SF, T-12</v>
      </c>
    </row>
    <row r="115" spans="1:13" ht="15.75" customHeight="1" x14ac:dyDescent="0.2">
      <c r="A115" s="2921">
        <f t="shared" si="6"/>
        <v>14.092999999999948</v>
      </c>
      <c r="B115" s="2512" t="s">
        <v>9146</v>
      </c>
      <c r="C115" s="2488" t="s">
        <v>190</v>
      </c>
      <c r="D115" s="2489" t="s">
        <v>9077</v>
      </c>
      <c r="E115" s="2614"/>
      <c r="F115" s="2614"/>
      <c r="G115" s="2614"/>
      <c r="H115" s="2917">
        <v>35</v>
      </c>
      <c r="I115" s="2488"/>
      <c r="J115" s="2917">
        <v>7350</v>
      </c>
      <c r="K115" s="2614"/>
      <c r="L115" s="2918">
        <f t="shared" si="5"/>
        <v>7350</v>
      </c>
      <c r="M115" s="2479" t="str">
        <f t="shared" si="4"/>
        <v>Utah Associated Municipal Power Systems, SF, T-12</v>
      </c>
    </row>
    <row r="116" spans="1:13" ht="15.75" customHeight="1" x14ac:dyDescent="0.2">
      <c r="A116" s="2921">
        <f t="shared" si="6"/>
        <v>14.093999999999948</v>
      </c>
      <c r="B116" s="2512" t="s">
        <v>9146</v>
      </c>
      <c r="C116" s="2488" t="s">
        <v>190</v>
      </c>
      <c r="D116" s="2489" t="s">
        <v>9087</v>
      </c>
      <c r="E116" s="2614"/>
      <c r="F116" s="2614"/>
      <c r="G116" s="2614"/>
      <c r="H116" s="2917">
        <v>11724</v>
      </c>
      <c r="I116" s="2488"/>
      <c r="J116" s="2917">
        <v>809498</v>
      </c>
      <c r="K116" s="2488"/>
      <c r="L116" s="2918">
        <f t="shared" si="5"/>
        <v>809498</v>
      </c>
      <c r="M116" s="2479" t="str">
        <f t="shared" si="4"/>
        <v>Utah Associated Municipal Power Systems, SF, WSPP-Q</v>
      </c>
    </row>
    <row r="117" spans="1:13" ht="15.75" customHeight="1" x14ac:dyDescent="0.2">
      <c r="A117" s="2921">
        <f t="shared" si="6"/>
        <v>14.094999999999947</v>
      </c>
      <c r="B117" s="2512" t="s">
        <v>9147</v>
      </c>
      <c r="C117" s="2488" t="s">
        <v>190</v>
      </c>
      <c r="D117" s="2489" t="s">
        <v>9077</v>
      </c>
      <c r="E117" s="2614"/>
      <c r="F117" s="2614"/>
      <c r="G117" s="2614"/>
      <c r="H117" s="2917">
        <v>3864</v>
      </c>
      <c r="I117" s="2488"/>
      <c r="J117" s="2917">
        <v>61824</v>
      </c>
      <c r="K117" s="2614"/>
      <c r="L117" s="2918">
        <f t="shared" si="5"/>
        <v>61824</v>
      </c>
      <c r="M117" s="2479" t="str">
        <f t="shared" si="4"/>
        <v>Utah Municipal Power Agency, SF, T-12</v>
      </c>
    </row>
    <row r="118" spans="1:13" ht="15.75" customHeight="1" x14ac:dyDescent="0.2">
      <c r="A118" s="2921">
        <f t="shared" si="6"/>
        <v>14.095999999999947</v>
      </c>
      <c r="B118" s="2512" t="s">
        <v>9147</v>
      </c>
      <c r="C118" s="2488" t="s">
        <v>190</v>
      </c>
      <c r="D118" s="2489" t="s">
        <v>9087</v>
      </c>
      <c r="E118" s="2614"/>
      <c r="F118" s="2614"/>
      <c r="G118" s="2614"/>
      <c r="H118" s="2917">
        <v>7973</v>
      </c>
      <c r="I118" s="2488"/>
      <c r="J118" s="2917">
        <v>382041</v>
      </c>
      <c r="K118" s="2614"/>
      <c r="L118" s="2918">
        <f t="shared" si="5"/>
        <v>382041</v>
      </c>
      <c r="M118" s="2479" t="str">
        <f t="shared" si="4"/>
        <v>Utah Municipal Power Agency, SF, WSPP-Q</v>
      </c>
    </row>
    <row r="119" spans="1:13" ht="15.75" customHeight="1" x14ac:dyDescent="0.2">
      <c r="A119" s="2921">
        <f t="shared" si="6"/>
        <v>14.096999999999946</v>
      </c>
      <c r="B119" s="2512" t="s">
        <v>9148</v>
      </c>
      <c r="C119" s="2488" t="s">
        <v>190</v>
      </c>
      <c r="D119" s="2489" t="s">
        <v>9077</v>
      </c>
      <c r="E119" s="2614"/>
      <c r="F119" s="2614"/>
      <c r="G119" s="2614"/>
      <c r="H119" s="2917">
        <v>378223</v>
      </c>
      <c r="I119" s="2488"/>
      <c r="J119" s="2917">
        <v>16898920</v>
      </c>
      <c r="K119" s="2614"/>
      <c r="L119" s="2918">
        <f t="shared" si="5"/>
        <v>16898920</v>
      </c>
      <c r="M119" s="2479" t="str">
        <f t="shared" si="4"/>
        <v>Vitol Inc., SF, T-12</v>
      </c>
    </row>
    <row r="120" spans="1:13" ht="15.75" customHeight="1" x14ac:dyDescent="0.2">
      <c r="A120" s="2921">
        <f t="shared" si="6"/>
        <v>14.097999999999946</v>
      </c>
      <c r="B120" s="2512" t="s">
        <v>9148</v>
      </c>
      <c r="C120" s="2488" t="s">
        <v>190</v>
      </c>
      <c r="D120" s="2489" t="s">
        <v>9087</v>
      </c>
      <c r="E120" s="2614"/>
      <c r="F120" s="2614"/>
      <c r="G120" s="2614"/>
      <c r="H120" s="2917">
        <v>7564</v>
      </c>
      <c r="I120" s="2488"/>
      <c r="J120" s="2917">
        <v>518383</v>
      </c>
      <c r="K120" s="2488"/>
      <c r="L120" s="2918">
        <f t="shared" si="5"/>
        <v>518383</v>
      </c>
      <c r="M120" s="2479" t="str">
        <f t="shared" si="4"/>
        <v>Vitol Inc., SF, WSPP-Q</v>
      </c>
    </row>
    <row r="121" spans="1:13" ht="15.75" customHeight="1" x14ac:dyDescent="0.2">
      <c r="A121" s="2921">
        <f t="shared" si="6"/>
        <v>14.098999999999945</v>
      </c>
      <c r="B121" s="2512" t="s">
        <v>11946</v>
      </c>
      <c r="C121" s="2488" t="s">
        <v>190</v>
      </c>
      <c r="D121" s="2489" t="s">
        <v>9077</v>
      </c>
      <c r="E121" s="2614"/>
      <c r="F121" s="2614"/>
      <c r="G121" s="2614"/>
      <c r="H121" s="2917">
        <v>1000</v>
      </c>
      <c r="I121" s="2488"/>
      <c r="J121" s="2917">
        <v>84000</v>
      </c>
      <c r="K121" s="2614"/>
      <c r="L121" s="2918">
        <f t="shared" si="5"/>
        <v>84000</v>
      </c>
      <c r="M121" s="2479" t="str">
        <f t="shared" si="4"/>
        <v>Western Area Power Administration - SW Region, SF, T-12</v>
      </c>
    </row>
    <row r="122" spans="1:13" ht="15.75" customHeight="1" x14ac:dyDescent="0.2">
      <c r="A122" s="2921">
        <f t="shared" si="6"/>
        <v>14.099999999999945</v>
      </c>
      <c r="B122" s="2512" t="s">
        <v>9149</v>
      </c>
      <c r="C122" s="2488" t="s">
        <v>190</v>
      </c>
      <c r="D122" s="2489" t="s">
        <v>9077</v>
      </c>
      <c r="E122" s="2614"/>
      <c r="F122" s="2614"/>
      <c r="G122" s="2614"/>
      <c r="H122" s="2917">
        <v>302571</v>
      </c>
      <c r="I122" s="2488"/>
      <c r="J122" s="2917">
        <v>21102217</v>
      </c>
      <c r="K122" s="2488"/>
      <c r="L122" s="2918">
        <f t="shared" si="5"/>
        <v>21102217</v>
      </c>
      <c r="M122" s="2479" t="str">
        <f t="shared" si="4"/>
        <v>Western Area Power Administration - Colorado Missouri, SF, T-12</v>
      </c>
    </row>
    <row r="123" spans="1:13" ht="15.75" customHeight="1" x14ac:dyDescent="0.2">
      <c r="A123" s="2921">
        <f t="shared" si="6"/>
        <v>14.100999999999944</v>
      </c>
      <c r="B123" s="2512" t="s">
        <v>9149</v>
      </c>
      <c r="C123" s="2488" t="s">
        <v>190</v>
      </c>
      <c r="D123" s="2489" t="s">
        <v>9086</v>
      </c>
      <c r="E123" s="2614"/>
      <c r="F123" s="2614"/>
      <c r="G123" s="2614"/>
      <c r="H123" s="2917">
        <v>949</v>
      </c>
      <c r="I123" s="2488"/>
      <c r="J123" s="2614"/>
      <c r="K123" s="3221">
        <v>84570</v>
      </c>
      <c r="L123" s="2918">
        <f t="shared" si="5"/>
        <v>84570</v>
      </c>
      <c r="M123" s="2479" t="str">
        <f t="shared" si="4"/>
        <v>Western Area Power Administration - Colorado Missouri, SF, T-13</v>
      </c>
    </row>
    <row r="124" spans="1:13" ht="15.75" customHeight="1" x14ac:dyDescent="0.2">
      <c r="A124" s="2921">
        <f t="shared" si="6"/>
        <v>14.101999999999943</v>
      </c>
      <c r="B124" s="2512" t="s">
        <v>11947</v>
      </c>
      <c r="C124" s="2488" t="s">
        <v>190</v>
      </c>
      <c r="D124" s="2489" t="s">
        <v>9077</v>
      </c>
      <c r="E124" s="2614"/>
      <c r="F124" s="2614"/>
      <c r="G124" s="2614"/>
      <c r="H124" s="2917">
        <v>200</v>
      </c>
      <c r="I124" s="2488"/>
      <c r="J124" s="2917">
        <v>8400</v>
      </c>
      <c r="K124" s="2488"/>
      <c r="L124" s="2918">
        <f t="shared" si="5"/>
        <v>8400</v>
      </c>
      <c r="M124" s="2479" t="str">
        <f t="shared" si="4"/>
        <v>Western Area Power Administration - Lower Colorado, SF, T-12</v>
      </c>
    </row>
    <row r="125" spans="1:13" ht="15.75" customHeight="1" x14ac:dyDescent="0.2">
      <c r="A125" s="2921">
        <f t="shared" si="6"/>
        <v>14.102999999999943</v>
      </c>
      <c r="B125" s="2512" t="s">
        <v>9150</v>
      </c>
      <c r="C125" s="2488" t="s">
        <v>190</v>
      </c>
      <c r="D125" s="2489" t="s">
        <v>9077</v>
      </c>
      <c r="E125" s="2614"/>
      <c r="F125" s="2614"/>
      <c r="G125" s="2614"/>
      <c r="H125" s="2917">
        <v>44319</v>
      </c>
      <c r="I125" s="2488"/>
      <c r="J125" s="2917">
        <v>2640721</v>
      </c>
      <c r="K125" s="2488"/>
      <c r="L125" s="2918">
        <f t="shared" si="5"/>
        <v>2640721</v>
      </c>
      <c r="M125" s="2479" t="str">
        <f t="shared" si="4"/>
        <v>Western Area Power Administration - Sierra Nevada, SF, T-12</v>
      </c>
    </row>
    <row r="126" spans="1:13" ht="15.75" customHeight="1" x14ac:dyDescent="0.2">
      <c r="A126" s="2921">
        <f t="shared" si="6"/>
        <v>14.103999999999942</v>
      </c>
      <c r="B126" s="2512" t="s">
        <v>9151</v>
      </c>
      <c r="C126" s="2488" t="s">
        <v>190</v>
      </c>
      <c r="D126" s="2489" t="s">
        <v>9077</v>
      </c>
      <c r="E126" s="2614"/>
      <c r="F126" s="2614"/>
      <c r="G126" s="2614"/>
      <c r="H126" s="2917">
        <v>118682</v>
      </c>
      <c r="I126" s="2488"/>
      <c r="J126" s="2917">
        <v>12183538</v>
      </c>
      <c r="K126" s="2488"/>
      <c r="L126" s="2918">
        <f t="shared" si="5"/>
        <v>12183538</v>
      </c>
      <c r="M126" s="2479" t="str">
        <f t="shared" si="4"/>
        <v>Western Area Power Administration - Upper Colorado, SF, T-12</v>
      </c>
    </row>
    <row r="127" spans="1:13" ht="15.75" customHeight="1" x14ac:dyDescent="0.2">
      <c r="A127" s="2921">
        <f t="shared" si="6"/>
        <v>14.104999999999942</v>
      </c>
      <c r="B127" s="2512" t="s">
        <v>9151</v>
      </c>
      <c r="C127" s="2488" t="s">
        <v>190</v>
      </c>
      <c r="D127" s="2489" t="s">
        <v>9087</v>
      </c>
      <c r="E127" s="2614"/>
      <c r="F127" s="2614"/>
      <c r="G127" s="2614"/>
      <c r="H127" s="2917">
        <v>15</v>
      </c>
      <c r="I127" s="2488"/>
      <c r="J127" s="2917">
        <v>1500</v>
      </c>
      <c r="K127" s="2488"/>
      <c r="L127" s="2918">
        <f t="shared" si="5"/>
        <v>1500</v>
      </c>
      <c r="M127" s="2479" t="str">
        <f t="shared" si="4"/>
        <v>Western Area Power Administration - Upper Colorado, SF, WSPP-Q</v>
      </c>
    </row>
    <row r="128" spans="1:13" ht="15.75" customHeight="1" x14ac:dyDescent="0.2">
      <c r="A128" s="2921">
        <f t="shared" si="6"/>
        <v>14.105999999999941</v>
      </c>
      <c r="B128" s="2512" t="s">
        <v>9153</v>
      </c>
      <c r="C128" s="2478" t="s">
        <v>196</v>
      </c>
      <c r="D128" s="2489" t="s">
        <v>9154</v>
      </c>
      <c r="E128" s="2614"/>
      <c r="F128" s="2614"/>
      <c r="G128" s="2614"/>
      <c r="H128" s="2917">
        <v>124134</v>
      </c>
      <c r="I128" s="2488"/>
      <c r="J128" s="2614"/>
      <c r="K128" s="3221">
        <v>3663428</v>
      </c>
      <c r="L128" s="2918">
        <f t="shared" si="5"/>
        <v>3663428</v>
      </c>
      <c r="M128" s="2479" t="str">
        <f t="shared" si="4"/>
        <v>Transmission Loss Sales Revenue, AD, T-11</v>
      </c>
    </row>
    <row r="129" spans="1:13" ht="15.75" customHeight="1" x14ac:dyDescent="0.2">
      <c r="A129" s="2921">
        <f t="shared" si="6"/>
        <v>14.106999999999941</v>
      </c>
      <c r="B129" s="2512" t="s">
        <v>9153</v>
      </c>
      <c r="C129" s="2478" t="s">
        <v>193</v>
      </c>
      <c r="D129" s="2489" t="s">
        <v>9154</v>
      </c>
      <c r="E129" s="2614"/>
      <c r="F129" s="2614"/>
      <c r="G129" s="2614"/>
      <c r="H129" s="2917">
        <v>367386</v>
      </c>
      <c r="I129" s="2488"/>
      <c r="J129" s="2614"/>
      <c r="K129" s="3221">
        <v>23781969</v>
      </c>
      <c r="L129" s="2918">
        <f t="shared" si="5"/>
        <v>23781969</v>
      </c>
      <c r="M129" s="2479" t="str">
        <f t="shared" si="4"/>
        <v>Transmission Loss Sales Revenue, OS, T-11</v>
      </c>
    </row>
    <row r="130" spans="1:13" ht="15.75" customHeight="1" x14ac:dyDescent="0.2">
      <c r="A130" s="2921">
        <f t="shared" si="6"/>
        <v>14.10799999999994</v>
      </c>
      <c r="B130" s="2512" t="s">
        <v>9155</v>
      </c>
      <c r="C130" s="2488"/>
      <c r="D130" s="2489" t="s">
        <v>195</v>
      </c>
      <c r="E130" s="2614"/>
      <c r="F130" s="2614"/>
      <c r="G130" s="2614"/>
      <c r="H130" s="2917">
        <v>-1557053</v>
      </c>
      <c r="I130" s="2488"/>
      <c r="J130" s="2614"/>
      <c r="K130" s="3221">
        <v>-93805625</v>
      </c>
      <c r="L130" s="2918">
        <f t="shared" si="5"/>
        <v>-93805625</v>
      </c>
      <c r="M130" s="2479" t="str">
        <f t="shared" si="4"/>
        <v>Netting-Bookouts, , NA</v>
      </c>
    </row>
    <row r="131" spans="1:13" ht="15.75" customHeight="1" x14ac:dyDescent="0.2">
      <c r="A131" s="2921">
        <f t="shared" si="6"/>
        <v>14.10899999999994</v>
      </c>
      <c r="B131" s="2512" t="s">
        <v>9156</v>
      </c>
      <c r="C131" s="2488"/>
      <c r="D131" s="2489" t="s">
        <v>195</v>
      </c>
      <c r="E131" s="2614"/>
      <c r="F131" s="2614"/>
      <c r="G131" s="2614"/>
      <c r="H131" s="2614"/>
      <c r="I131" s="2488"/>
      <c r="J131" s="2614"/>
      <c r="K131" s="3221">
        <v>-3711472</v>
      </c>
      <c r="L131" s="2918">
        <f t="shared" si="5"/>
        <v>-3711472</v>
      </c>
      <c r="M131" s="2479" t="str">
        <f t="shared" si="4"/>
        <v>Netting-Trading, , NA</v>
      </c>
    </row>
    <row r="132" spans="1:13" ht="15.75" customHeight="1" x14ac:dyDescent="0.2">
      <c r="A132" s="2921">
        <f t="shared" si="6"/>
        <v>14.109999999999939</v>
      </c>
      <c r="B132" s="2512" t="s">
        <v>9080</v>
      </c>
      <c r="C132" s="2488"/>
      <c r="D132" s="2489" t="s">
        <v>195</v>
      </c>
      <c r="E132" s="2614"/>
      <c r="F132" s="2614"/>
      <c r="G132" s="2614"/>
      <c r="H132" s="2917">
        <v>-28493</v>
      </c>
      <c r="I132" s="2488"/>
      <c r="J132" s="2614"/>
      <c r="K132" s="3221">
        <v>-1770877</v>
      </c>
      <c r="L132" s="2918">
        <f t="shared" si="5"/>
        <v>-1770877</v>
      </c>
      <c r="M132" s="2479" t="str">
        <f t="shared" si="4"/>
        <v>Accrual, , NA</v>
      </c>
    </row>
    <row r="133" spans="1:13" ht="15.75" customHeight="1" x14ac:dyDescent="0.2">
      <c r="A133" s="2921">
        <f t="shared" si="6"/>
        <v>14.110999999999938</v>
      </c>
      <c r="B133" s="2512"/>
      <c r="C133" s="2512"/>
      <c r="D133" s="2489"/>
      <c r="E133" s="2614"/>
      <c r="F133" s="2614"/>
      <c r="G133" s="2614"/>
      <c r="H133" s="2614"/>
      <c r="I133" s="2488"/>
      <c r="J133" s="2614"/>
      <c r="K133" s="2488"/>
      <c r="L133" s="2918">
        <f t="shared" si="5"/>
        <v>0</v>
      </c>
      <c r="M133" s="2479" t="str">
        <f t="shared" si="4"/>
        <v xml:space="preserve">, , </v>
      </c>
    </row>
    <row r="134" spans="1:13" ht="15.75" customHeight="1" x14ac:dyDescent="0.2">
      <c r="A134" s="2748">
        <v>15</v>
      </c>
      <c r="B134" s="2669" t="s">
        <v>9157</v>
      </c>
      <c r="C134" s="2668"/>
      <c r="D134" s="2668"/>
      <c r="E134" s="2668"/>
      <c r="F134" s="2668"/>
      <c r="G134" s="2668"/>
      <c r="H134" s="2923">
        <f>SUM(H10:H15)</f>
        <v>273270</v>
      </c>
      <c r="I134" s="2923">
        <f>SUM(I10:I15)</f>
        <v>6120611</v>
      </c>
      <c r="J134" s="2923">
        <f>SUM(J10:J15)</f>
        <v>7656270</v>
      </c>
      <c r="K134" s="2923">
        <f>SUM(K10:K15)</f>
        <v>-275247</v>
      </c>
      <c r="L134" s="2923">
        <f>SUM(L10:L15)</f>
        <v>13501634</v>
      </c>
      <c r="M134" s="2479" t="str">
        <f t="shared" si="4"/>
        <v xml:space="preserve">Subtotal RQ, , </v>
      </c>
    </row>
    <row r="135" spans="1:13" ht="15.75" customHeight="1" x14ac:dyDescent="0.2">
      <c r="A135" s="2748">
        <v>16</v>
      </c>
      <c r="B135" s="2669" t="s">
        <v>9158</v>
      </c>
      <c r="C135" s="2668"/>
      <c r="D135" s="2668"/>
      <c r="E135" s="2668"/>
      <c r="F135" s="2668"/>
      <c r="G135" s="2668"/>
      <c r="H135" s="2923">
        <f>SUM(H18:H133)</f>
        <v>4563022</v>
      </c>
      <c r="I135" s="2923">
        <f>SUM(I18:I133)</f>
        <v>1041262</v>
      </c>
      <c r="J135" s="2923">
        <f>SUM(J18:J133)</f>
        <v>350791113</v>
      </c>
      <c r="K135" s="2923">
        <f>SUM(K18:K133)</f>
        <v>-71667282</v>
      </c>
      <c r="L135" s="2923">
        <f>SUM(L18:L133)</f>
        <v>280165093</v>
      </c>
      <c r="M135" s="2479" t="str">
        <f t="shared" si="4"/>
        <v xml:space="preserve">Subtotal non-RQ, , </v>
      </c>
    </row>
    <row r="136" spans="1:13" ht="15.75" customHeight="1" x14ac:dyDescent="0.2">
      <c r="A136" s="2748">
        <v>17</v>
      </c>
      <c r="B136" s="2669" t="s">
        <v>104</v>
      </c>
      <c r="C136" s="2668"/>
      <c r="D136" s="2668"/>
      <c r="E136" s="2668"/>
      <c r="F136" s="2668"/>
      <c r="G136" s="2668"/>
      <c r="H136" s="2923">
        <f>H134+H135</f>
        <v>4836292</v>
      </c>
      <c r="I136" s="2923">
        <f>I134+I135</f>
        <v>7161873</v>
      </c>
      <c r="J136" s="2923">
        <f>J134+J135</f>
        <v>358447383</v>
      </c>
      <c r="K136" s="2923">
        <f>K134+K135</f>
        <v>-71942529</v>
      </c>
      <c r="L136" s="2923">
        <f>L134+L135</f>
        <v>293666727</v>
      </c>
      <c r="M136" s="2479" t="str">
        <f t="shared" si="4"/>
        <v xml:space="preserve">Total, , </v>
      </c>
    </row>
    <row r="137" spans="1:13" ht="15" customHeight="1" x14ac:dyDescent="0.2">
      <c r="A137" s="2535"/>
      <c r="B137" s="2924"/>
      <c r="C137" s="2516"/>
      <c r="D137" s="2516"/>
      <c r="E137" s="2516"/>
      <c r="F137" s="2516"/>
      <c r="G137" s="2516"/>
      <c r="H137" s="2516"/>
      <c r="I137" s="2516"/>
      <c r="J137" s="2516"/>
      <c r="K137" s="2516"/>
      <c r="L137" s="2516"/>
    </row>
    <row r="138" spans="1:13" ht="15" customHeight="1" x14ac:dyDescent="0.2"/>
    <row r="139" spans="1:13" ht="15" customHeight="1" x14ac:dyDescent="0.2"/>
  </sheetData>
  <mergeCells count="13">
    <mergeCell ref="H6:H7"/>
    <mergeCell ref="I6:K6"/>
    <mergeCell ref="L6:L7"/>
    <mergeCell ref="A3:L3"/>
    <mergeCell ref="A4:L4"/>
    <mergeCell ref="A5:G5"/>
    <mergeCell ref="H5:L5"/>
    <mergeCell ref="A6:A8"/>
    <mergeCell ref="B6:B7"/>
    <mergeCell ref="C6:C7"/>
    <mergeCell ref="D6:D7"/>
    <mergeCell ref="E6:E7"/>
    <mergeCell ref="F6:G6"/>
  </mergeCells>
  <pageMargins left="0.75" right="0.75" top="1" bottom="1" header="0.5" footer="0.5"/>
  <customProperties>
    <customPr name="_pios_id" r:id="rId1"/>
  </customProperties>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CFB59B-58AE-488B-8DD9-3EE9B9E203D8}">
  <sheetPr>
    <tabColor rgb="FF538DD5"/>
  </sheetPr>
  <dimension ref="A1:AB130"/>
  <sheetViews>
    <sheetView showRuler="0" workbookViewId="0">
      <selection sqref="A1:B1"/>
    </sheetView>
  </sheetViews>
  <sheetFormatPr defaultColWidth="12.625" defaultRowHeight="12.75" x14ac:dyDescent="0.2"/>
  <cols>
    <col min="1" max="1" width="6.125" style="1953" customWidth="1"/>
    <col min="2" max="2" width="38.375" style="1953" customWidth="1"/>
    <col min="3" max="3" width="6.875" style="1953" customWidth="1"/>
    <col min="4" max="4" width="9.625" style="1953" customWidth="1"/>
    <col min="5" max="5" width="10.375" style="1953" customWidth="1"/>
    <col min="6" max="7" width="11" style="1953" customWidth="1"/>
    <col min="8" max="8" width="9.375" style="1953" customWidth="1"/>
    <col min="9" max="12" width="12.375" style="1953" customWidth="1"/>
    <col min="13" max="13" width="46.125" style="1953" customWidth="1"/>
    <col min="14" max="25" width="18.5" style="1953" customWidth="1"/>
    <col min="26" max="16384" width="12.625" style="1953"/>
  </cols>
  <sheetData>
    <row r="1" spans="1:13" ht="15.75" customHeight="1" x14ac:dyDescent="0.2">
      <c r="C1" s="2479"/>
      <c r="E1" s="2775"/>
    </row>
    <row r="2" spans="1:13" ht="16.7" customHeight="1" x14ac:dyDescent="0.2">
      <c r="B2" s="2483"/>
    </row>
    <row r="3" spans="1:13" ht="15.75" customHeight="1" x14ac:dyDescent="0.2">
      <c r="A3" s="3990" t="s">
        <v>9055</v>
      </c>
      <c r="B3" s="3991"/>
      <c r="C3" s="3991"/>
      <c r="D3" s="3991"/>
      <c r="E3" s="3991"/>
      <c r="F3" s="3991"/>
      <c r="G3" s="3991"/>
      <c r="H3" s="3991"/>
      <c r="I3" s="3991"/>
      <c r="J3" s="3991"/>
      <c r="K3" s="3991"/>
      <c r="L3" s="3992"/>
      <c r="M3" s="2479"/>
    </row>
    <row r="4" spans="1:13" ht="15.75" customHeight="1" x14ac:dyDescent="0.2">
      <c r="A4" s="3932" t="s">
        <v>9056</v>
      </c>
      <c r="B4" s="3975"/>
      <c r="C4" s="3975"/>
      <c r="D4" s="3975"/>
      <c r="E4" s="3975"/>
      <c r="F4" s="3975"/>
      <c r="G4" s="3975"/>
      <c r="H4" s="3975"/>
      <c r="I4" s="3975"/>
      <c r="J4" s="3975"/>
      <c r="K4" s="3975"/>
      <c r="L4" s="3976"/>
      <c r="M4" s="2479"/>
    </row>
    <row r="5" spans="1:13" ht="245.85" customHeight="1" x14ac:dyDescent="0.2">
      <c r="A5" s="3878" t="s">
        <v>9057</v>
      </c>
      <c r="B5" s="4048"/>
      <c r="C5" s="4048"/>
      <c r="D5" s="4048"/>
      <c r="E5" s="4048"/>
      <c r="F5" s="4048"/>
      <c r="G5" s="4049"/>
      <c r="H5" s="3878" t="s">
        <v>9058</v>
      </c>
      <c r="I5" s="3879"/>
      <c r="J5" s="3879"/>
      <c r="K5" s="3879"/>
      <c r="L5" s="3880"/>
      <c r="M5" s="2479"/>
    </row>
    <row r="6" spans="1:13" ht="15" customHeight="1" x14ac:dyDescent="0.2">
      <c r="A6" s="4004" t="s">
        <v>6360</v>
      </c>
      <c r="B6" s="3944" t="s">
        <v>9059</v>
      </c>
      <c r="C6" s="3944" t="s">
        <v>9060</v>
      </c>
      <c r="D6" s="3944" t="s">
        <v>9061</v>
      </c>
      <c r="E6" s="3944" t="s">
        <v>9062</v>
      </c>
      <c r="F6" s="3964" t="s">
        <v>9063</v>
      </c>
      <c r="G6" s="3884"/>
      <c r="H6" s="3944" t="s">
        <v>9064</v>
      </c>
      <c r="I6" s="3882" t="s">
        <v>9065</v>
      </c>
      <c r="J6" s="3891"/>
      <c r="K6" s="3892"/>
      <c r="L6" s="3944" t="s">
        <v>9066</v>
      </c>
      <c r="M6" s="2479"/>
    </row>
    <row r="7" spans="1:13" ht="32.450000000000003" customHeight="1" x14ac:dyDescent="0.2">
      <c r="A7" s="3860"/>
      <c r="B7" s="3943"/>
      <c r="C7" s="3943"/>
      <c r="D7" s="3943"/>
      <c r="E7" s="3943"/>
      <c r="F7" s="2637" t="s">
        <v>9067</v>
      </c>
      <c r="G7" s="2637" t="s">
        <v>9068</v>
      </c>
      <c r="H7" s="3945"/>
      <c r="I7" s="2581" t="s">
        <v>9069</v>
      </c>
      <c r="J7" s="2581" t="s">
        <v>9070</v>
      </c>
      <c r="K7" s="2581" t="s">
        <v>9071</v>
      </c>
      <c r="L7" s="3945"/>
      <c r="M7" s="2479"/>
    </row>
    <row r="8" spans="1:13" ht="15.75" customHeight="1" x14ac:dyDescent="0.2">
      <c r="A8" s="3860"/>
      <c r="B8" s="2589" t="s">
        <v>5949</v>
      </c>
      <c r="C8" s="2589" t="s">
        <v>5950</v>
      </c>
      <c r="D8" s="2589" t="s">
        <v>5951</v>
      </c>
      <c r="E8" s="2589" t="s">
        <v>5952</v>
      </c>
      <c r="F8" s="2589" t="s">
        <v>6227</v>
      </c>
      <c r="G8" s="2589" t="s">
        <v>5804</v>
      </c>
      <c r="H8" s="2589" t="s">
        <v>6228</v>
      </c>
      <c r="I8" s="2589" t="s">
        <v>6229</v>
      </c>
      <c r="J8" s="2589" t="s">
        <v>6230</v>
      </c>
      <c r="K8" s="2589" t="s">
        <v>6231</v>
      </c>
      <c r="L8" s="2589" t="s">
        <v>6232</v>
      </c>
      <c r="M8" s="2479" t="s">
        <v>6324</v>
      </c>
    </row>
    <row r="9" spans="1:13" ht="15.75" customHeight="1" x14ac:dyDescent="0.2">
      <c r="A9" s="2497">
        <v>1</v>
      </c>
      <c r="B9" s="2669" t="s">
        <v>9072</v>
      </c>
      <c r="C9" s="2512"/>
      <c r="D9" s="2489"/>
      <c r="E9" s="2488"/>
      <c r="F9" s="2488"/>
      <c r="G9" s="2488"/>
      <c r="H9" s="2614"/>
      <c r="I9" s="2488"/>
      <c r="J9" s="2488"/>
      <c r="K9" s="2488"/>
      <c r="L9" s="3223">
        <v>0</v>
      </c>
      <c r="M9" s="2479" t="s">
        <v>11948</v>
      </c>
    </row>
    <row r="10" spans="1:13" ht="15.75" customHeight="1" x14ac:dyDescent="0.2">
      <c r="A10" s="2497">
        <v>2</v>
      </c>
      <c r="B10" s="2512" t="s">
        <v>9073</v>
      </c>
      <c r="C10" s="2488" t="s">
        <v>187</v>
      </c>
      <c r="D10" s="2489" t="s">
        <v>9074</v>
      </c>
      <c r="E10" s="2916">
        <v>1</v>
      </c>
      <c r="F10" s="2916">
        <v>1</v>
      </c>
      <c r="G10" s="2916">
        <v>1</v>
      </c>
      <c r="H10" s="3224">
        <v>6364</v>
      </c>
      <c r="I10" s="3224">
        <v>130724</v>
      </c>
      <c r="J10" s="3224">
        <v>112475</v>
      </c>
      <c r="K10" s="2614"/>
      <c r="L10" s="3225">
        <v>243199</v>
      </c>
      <c r="M10" s="2479" t="s">
        <v>11949</v>
      </c>
    </row>
    <row r="11" spans="1:13" ht="15.75" customHeight="1" x14ac:dyDescent="0.2">
      <c r="A11" s="2497">
        <v>3</v>
      </c>
      <c r="B11" s="2512" t="s">
        <v>9075</v>
      </c>
      <c r="C11" s="2488" t="s">
        <v>187</v>
      </c>
      <c r="D11" s="2489" t="s">
        <v>9074</v>
      </c>
      <c r="E11" s="2760">
        <v>1</v>
      </c>
      <c r="F11" s="2760">
        <v>1</v>
      </c>
      <c r="G11" s="2760">
        <v>1</v>
      </c>
      <c r="H11" s="3224">
        <v>3574</v>
      </c>
      <c r="I11" s="3226">
        <v>71412</v>
      </c>
      <c r="J11" s="3224">
        <v>63179</v>
      </c>
      <c r="K11" s="2488"/>
      <c r="L11" s="3225">
        <v>134591</v>
      </c>
      <c r="M11" s="2479" t="s">
        <v>11950</v>
      </c>
    </row>
    <row r="12" spans="1:13" ht="15.75" customHeight="1" x14ac:dyDescent="0.2">
      <c r="A12" s="2497">
        <v>4</v>
      </c>
      <c r="B12" s="2512" t="s">
        <v>9076</v>
      </c>
      <c r="C12" s="2488" t="s">
        <v>187</v>
      </c>
      <c r="D12" s="2489" t="s">
        <v>9077</v>
      </c>
      <c r="E12" s="2760">
        <v>31</v>
      </c>
      <c r="F12" s="2760">
        <v>31</v>
      </c>
      <c r="G12" s="2760">
        <v>29</v>
      </c>
      <c r="H12" s="3224">
        <v>258726</v>
      </c>
      <c r="I12" s="3226">
        <v>5785847</v>
      </c>
      <c r="J12" s="3224">
        <v>7482649</v>
      </c>
      <c r="K12" s="3227">
        <v>-621244</v>
      </c>
      <c r="L12" s="3225">
        <v>12647252</v>
      </c>
      <c r="M12" s="2479" t="s">
        <v>11951</v>
      </c>
    </row>
    <row r="13" spans="1:13" ht="15.75" customHeight="1" x14ac:dyDescent="0.2">
      <c r="A13" s="2497">
        <v>5</v>
      </c>
      <c r="B13" s="2512" t="s">
        <v>9078</v>
      </c>
      <c r="C13" s="2488" t="s">
        <v>187</v>
      </c>
      <c r="D13" s="2489" t="s">
        <v>9074</v>
      </c>
      <c r="E13" s="2760">
        <v>0</v>
      </c>
      <c r="F13" s="2760">
        <v>0</v>
      </c>
      <c r="G13" s="2760">
        <v>0</v>
      </c>
      <c r="H13" s="3224">
        <v>871</v>
      </c>
      <c r="I13" s="3226">
        <v>17824</v>
      </c>
      <c r="J13" s="3224">
        <v>15192</v>
      </c>
      <c r="K13" s="2488"/>
      <c r="L13" s="3225">
        <v>33016</v>
      </c>
      <c r="M13" s="2479" t="s">
        <v>11952</v>
      </c>
    </row>
    <row r="14" spans="1:13" ht="15.75" customHeight="1" x14ac:dyDescent="0.2">
      <c r="A14" s="2497">
        <v>6</v>
      </c>
      <c r="B14" s="2512" t="s">
        <v>9079</v>
      </c>
      <c r="C14" s="2488" t="s">
        <v>187</v>
      </c>
      <c r="D14" s="2489" t="s">
        <v>9074</v>
      </c>
      <c r="E14" s="2760">
        <v>2</v>
      </c>
      <c r="F14" s="2760">
        <v>2</v>
      </c>
      <c r="G14" s="2760">
        <v>1</v>
      </c>
      <c r="H14" s="3224">
        <v>9848</v>
      </c>
      <c r="I14" s="3226">
        <v>160155</v>
      </c>
      <c r="J14" s="3224">
        <v>174004</v>
      </c>
      <c r="K14" s="2488"/>
      <c r="L14" s="3225">
        <v>334159</v>
      </c>
      <c r="M14" s="2479" t="s">
        <v>11953</v>
      </c>
    </row>
    <row r="15" spans="1:13" ht="15.75" customHeight="1" x14ac:dyDescent="0.2">
      <c r="A15" s="2497">
        <v>7</v>
      </c>
      <c r="B15" s="2512" t="s">
        <v>9080</v>
      </c>
      <c r="C15" s="2488" t="s">
        <v>187</v>
      </c>
      <c r="D15" s="2489"/>
      <c r="E15" s="2614"/>
      <c r="F15" s="2614"/>
      <c r="G15" s="2614"/>
      <c r="H15" s="3224">
        <v>-550</v>
      </c>
      <c r="I15" s="2488"/>
      <c r="J15" s="2614"/>
      <c r="K15" s="3227">
        <v>-148152</v>
      </c>
      <c r="L15" s="3228">
        <v>-148152</v>
      </c>
      <c r="M15" s="2479" t="s">
        <v>11954</v>
      </c>
    </row>
    <row r="16" spans="1:13" ht="15.75" customHeight="1" x14ac:dyDescent="0.2">
      <c r="A16" s="2497">
        <v>8</v>
      </c>
      <c r="B16" s="2512"/>
      <c r="C16" s="2488"/>
      <c r="D16" s="2489"/>
      <c r="E16" s="2488"/>
      <c r="F16" s="2488"/>
      <c r="G16" s="2488"/>
      <c r="H16" s="2614"/>
      <c r="I16" s="2488"/>
      <c r="J16" s="2614"/>
      <c r="K16" s="2488"/>
      <c r="L16" s="2675"/>
      <c r="M16" s="2479" t="s">
        <v>11955</v>
      </c>
    </row>
    <row r="17" spans="1:13" ht="15.75" customHeight="1" x14ac:dyDescent="0.2">
      <c r="A17" s="2497">
        <v>9</v>
      </c>
      <c r="B17" s="2669" t="s">
        <v>9081</v>
      </c>
      <c r="C17" s="2488"/>
      <c r="D17" s="2489"/>
      <c r="E17" s="2488"/>
      <c r="F17" s="2488"/>
      <c r="G17" s="2488"/>
      <c r="H17" s="2614"/>
      <c r="I17" s="2488"/>
      <c r="J17" s="2614"/>
      <c r="K17" s="2488"/>
      <c r="L17" s="2562"/>
      <c r="M17" s="2479" t="s">
        <v>11956</v>
      </c>
    </row>
    <row r="18" spans="1:13" ht="15.75" customHeight="1" x14ac:dyDescent="0.2">
      <c r="A18" s="2497">
        <v>10</v>
      </c>
      <c r="B18" s="2512" t="s">
        <v>9083</v>
      </c>
      <c r="C18" s="2488" t="s">
        <v>190</v>
      </c>
      <c r="D18" s="2489" t="s">
        <v>9077</v>
      </c>
      <c r="E18" s="2614"/>
      <c r="F18" s="2614"/>
      <c r="G18" s="2614"/>
      <c r="H18" s="3224">
        <v>53887</v>
      </c>
      <c r="I18" s="2488"/>
      <c r="J18" s="3224">
        <v>1967097</v>
      </c>
      <c r="K18" s="2488"/>
      <c r="L18" s="3225">
        <v>1967097</v>
      </c>
      <c r="M18" s="2479" t="s">
        <v>11957</v>
      </c>
    </row>
    <row r="19" spans="1:13" ht="15.75" customHeight="1" x14ac:dyDescent="0.2">
      <c r="A19" s="2497">
        <v>11</v>
      </c>
      <c r="B19" s="2512" t="s">
        <v>9084</v>
      </c>
      <c r="C19" s="2488" t="s">
        <v>190</v>
      </c>
      <c r="D19" s="2489" t="s">
        <v>9077</v>
      </c>
      <c r="E19" s="2614"/>
      <c r="F19" s="2614"/>
      <c r="G19" s="2614"/>
      <c r="H19" s="3224">
        <v>6637</v>
      </c>
      <c r="I19" s="2488"/>
      <c r="J19" s="3224">
        <v>464978</v>
      </c>
      <c r="K19" s="2488"/>
      <c r="L19" s="3225">
        <v>464978</v>
      </c>
      <c r="M19" s="2479" t="s">
        <v>11958</v>
      </c>
    </row>
    <row r="20" spans="1:13" ht="15.75" customHeight="1" x14ac:dyDescent="0.2">
      <c r="A20" s="2497">
        <v>12</v>
      </c>
      <c r="B20" s="2512" t="s">
        <v>9085</v>
      </c>
      <c r="C20" s="2478" t="s">
        <v>196</v>
      </c>
      <c r="D20" s="2489" t="s">
        <v>9077</v>
      </c>
      <c r="E20" s="2614"/>
      <c r="F20" s="2614"/>
      <c r="G20" s="2614"/>
      <c r="H20" s="3224">
        <v>10</v>
      </c>
      <c r="I20" s="2488"/>
      <c r="J20" s="2614"/>
      <c r="K20" s="3227">
        <v>343</v>
      </c>
      <c r="L20" s="3225">
        <v>343</v>
      </c>
      <c r="M20" s="2479" t="s">
        <v>11959</v>
      </c>
    </row>
    <row r="21" spans="1:13" ht="15.75" customHeight="1" x14ac:dyDescent="0.2">
      <c r="A21" s="2497">
        <v>13</v>
      </c>
      <c r="B21" s="2512" t="s">
        <v>9085</v>
      </c>
      <c r="C21" s="2488" t="s">
        <v>190</v>
      </c>
      <c r="D21" s="2489" t="s">
        <v>9077</v>
      </c>
      <c r="E21" s="2614"/>
      <c r="F21" s="2614"/>
      <c r="G21" s="2614"/>
      <c r="H21" s="3224">
        <v>95756</v>
      </c>
      <c r="I21" s="2488"/>
      <c r="J21" s="3224">
        <v>4329190</v>
      </c>
      <c r="K21" s="2488"/>
      <c r="L21" s="3225">
        <v>4329190</v>
      </c>
      <c r="M21" s="2479" t="s">
        <v>11960</v>
      </c>
    </row>
    <row r="22" spans="1:13" ht="15.75" customHeight="1" x14ac:dyDescent="0.2">
      <c r="A22" s="2497">
        <v>14</v>
      </c>
      <c r="B22" s="2512" t="s">
        <v>9085</v>
      </c>
      <c r="C22" s="2488" t="s">
        <v>190</v>
      </c>
      <c r="D22" s="2489" t="s">
        <v>9086</v>
      </c>
      <c r="E22" s="2614"/>
      <c r="F22" s="2614"/>
      <c r="G22" s="2614"/>
      <c r="H22" s="3224">
        <v>74</v>
      </c>
      <c r="I22" s="2488"/>
      <c r="J22" s="2614"/>
      <c r="K22" s="3227">
        <v>1634</v>
      </c>
      <c r="L22" s="3225">
        <v>1634</v>
      </c>
      <c r="M22" s="2479" t="s">
        <v>11961</v>
      </c>
    </row>
    <row r="23" spans="1:13" ht="15.75" customHeight="1" x14ac:dyDescent="0.2">
      <c r="A23" s="2921">
        <v>14.000999999999999</v>
      </c>
      <c r="B23" s="2512" t="s">
        <v>9088</v>
      </c>
      <c r="C23" s="2488" t="s">
        <v>190</v>
      </c>
      <c r="D23" s="2489" t="s">
        <v>9077</v>
      </c>
      <c r="E23" s="2614"/>
      <c r="F23" s="2614"/>
      <c r="G23" s="2614"/>
      <c r="H23" s="3224">
        <v>19310</v>
      </c>
      <c r="I23" s="2488"/>
      <c r="J23" s="3224">
        <v>898755</v>
      </c>
      <c r="K23" s="2488"/>
      <c r="L23" s="3225">
        <v>898755</v>
      </c>
      <c r="M23" s="2479" t="s">
        <v>11962</v>
      </c>
    </row>
    <row r="24" spans="1:13" ht="15.75" customHeight="1" x14ac:dyDescent="0.2">
      <c r="A24" s="2921">
        <v>14.002000000000001</v>
      </c>
      <c r="B24" s="2512" t="s">
        <v>9088</v>
      </c>
      <c r="C24" s="2488" t="s">
        <v>190</v>
      </c>
      <c r="D24" s="2489" t="s">
        <v>9086</v>
      </c>
      <c r="E24" s="2614"/>
      <c r="F24" s="2614"/>
      <c r="G24" s="2614"/>
      <c r="H24" s="3224">
        <v>68</v>
      </c>
      <c r="I24" s="2488"/>
      <c r="J24" s="2614"/>
      <c r="K24" s="3227">
        <v>3072</v>
      </c>
      <c r="L24" s="3225">
        <v>3072</v>
      </c>
      <c r="M24" s="2479" t="s">
        <v>11963</v>
      </c>
    </row>
    <row r="25" spans="1:13" ht="15.75" customHeight="1" x14ac:dyDescent="0.2">
      <c r="A25" s="2921">
        <v>14.003</v>
      </c>
      <c r="B25" s="2512" t="s">
        <v>9089</v>
      </c>
      <c r="C25" s="2488" t="s">
        <v>190</v>
      </c>
      <c r="D25" s="2489" t="s">
        <v>9077</v>
      </c>
      <c r="E25" s="2614"/>
      <c r="F25" s="2614"/>
      <c r="G25" s="2614"/>
      <c r="H25" s="3224">
        <v>24140</v>
      </c>
      <c r="I25" s="2488"/>
      <c r="J25" s="3224">
        <v>1390639</v>
      </c>
      <c r="K25" s="2614"/>
      <c r="L25" s="3225">
        <v>1390639</v>
      </c>
      <c r="M25" s="2479" t="s">
        <v>11964</v>
      </c>
    </row>
    <row r="26" spans="1:13" ht="15.75" customHeight="1" x14ac:dyDescent="0.2">
      <c r="A26" s="2921">
        <v>14.004</v>
      </c>
      <c r="B26" s="2512" t="s">
        <v>9090</v>
      </c>
      <c r="C26" s="2478" t="s">
        <v>188</v>
      </c>
      <c r="D26" s="2748">
        <v>441</v>
      </c>
      <c r="E26" s="2771">
        <v>50</v>
      </c>
      <c r="F26" s="2771">
        <v>50</v>
      </c>
      <c r="G26" s="2771">
        <v>48</v>
      </c>
      <c r="H26" s="3224">
        <v>342281</v>
      </c>
      <c r="I26" s="3226">
        <v>1042864</v>
      </c>
      <c r="J26" s="3224">
        <v>7940889</v>
      </c>
      <c r="K26" s="2488"/>
      <c r="L26" s="3225">
        <v>8983753</v>
      </c>
      <c r="M26" s="2479" t="s">
        <v>11965</v>
      </c>
    </row>
    <row r="27" spans="1:13" ht="15.75" customHeight="1" x14ac:dyDescent="0.2">
      <c r="A27" s="2921">
        <v>14.005000000000001</v>
      </c>
      <c r="B27" s="2512" t="s">
        <v>9090</v>
      </c>
      <c r="C27" s="2488" t="s">
        <v>190</v>
      </c>
      <c r="D27" s="2489" t="s">
        <v>9077</v>
      </c>
      <c r="E27" s="2614"/>
      <c r="F27" s="2614"/>
      <c r="G27" s="2614"/>
      <c r="H27" s="3224">
        <v>140402</v>
      </c>
      <c r="I27" s="2488"/>
      <c r="J27" s="3224">
        <v>5487726</v>
      </c>
      <c r="K27" s="2488"/>
      <c r="L27" s="3225">
        <v>5487726</v>
      </c>
      <c r="M27" s="2479" t="s">
        <v>11966</v>
      </c>
    </row>
    <row r="28" spans="1:13" ht="15.75" customHeight="1" x14ac:dyDescent="0.2">
      <c r="A28" s="2921">
        <v>14.006</v>
      </c>
      <c r="B28" s="2512" t="s">
        <v>9091</v>
      </c>
      <c r="C28" s="2488" t="s">
        <v>190</v>
      </c>
      <c r="D28" s="2489" t="s">
        <v>9077</v>
      </c>
      <c r="E28" s="2614"/>
      <c r="F28" s="2614"/>
      <c r="G28" s="2614"/>
      <c r="H28" s="3224">
        <v>94968</v>
      </c>
      <c r="I28" s="2488"/>
      <c r="J28" s="3224">
        <v>3819686</v>
      </c>
      <c r="K28" s="2614"/>
      <c r="L28" s="3225">
        <v>3819686</v>
      </c>
      <c r="M28" s="2479" t="s">
        <v>11967</v>
      </c>
    </row>
    <row r="29" spans="1:13" ht="15.75" customHeight="1" x14ac:dyDescent="0.2">
      <c r="A29" s="2921">
        <v>14.007</v>
      </c>
      <c r="B29" s="2512" t="s">
        <v>9091</v>
      </c>
      <c r="C29" s="2488" t="s">
        <v>190</v>
      </c>
      <c r="D29" s="2489" t="s">
        <v>9086</v>
      </c>
      <c r="E29" s="2614"/>
      <c r="F29" s="2614"/>
      <c r="G29" s="2614"/>
      <c r="H29" s="3224">
        <v>116</v>
      </c>
      <c r="I29" s="2488"/>
      <c r="J29" s="2614"/>
      <c r="K29" s="3227">
        <v>3248</v>
      </c>
      <c r="L29" s="3225">
        <v>3248</v>
      </c>
      <c r="M29" s="2479" t="s">
        <v>11968</v>
      </c>
    </row>
    <row r="30" spans="1:13" ht="15.75" customHeight="1" x14ac:dyDescent="0.2">
      <c r="A30" s="2921">
        <v>14.007999999999999</v>
      </c>
      <c r="B30" s="2512" t="s">
        <v>9091</v>
      </c>
      <c r="C30" s="2488" t="s">
        <v>190</v>
      </c>
      <c r="D30" s="2489" t="s">
        <v>9087</v>
      </c>
      <c r="E30" s="2614"/>
      <c r="F30" s="2614"/>
      <c r="G30" s="2614"/>
      <c r="H30" s="3224">
        <v>5740</v>
      </c>
      <c r="I30" s="2488"/>
      <c r="J30" s="3224">
        <v>196726</v>
      </c>
      <c r="K30" s="2488"/>
      <c r="L30" s="3225">
        <v>196726</v>
      </c>
      <c r="M30" s="2479" t="s">
        <v>11969</v>
      </c>
    </row>
    <row r="31" spans="1:13" ht="15.75" customHeight="1" x14ac:dyDescent="0.2">
      <c r="A31" s="2921">
        <v>14.009</v>
      </c>
      <c r="B31" s="2512" t="s">
        <v>9092</v>
      </c>
      <c r="C31" s="2488" t="s">
        <v>190</v>
      </c>
      <c r="D31" s="2489" t="s">
        <v>9077</v>
      </c>
      <c r="E31" s="2614"/>
      <c r="F31" s="2614"/>
      <c r="G31" s="2614"/>
      <c r="H31" s="3224">
        <v>88962</v>
      </c>
      <c r="I31" s="2488"/>
      <c r="J31" s="3224">
        <v>3295335</v>
      </c>
      <c r="K31" s="2614"/>
      <c r="L31" s="3225">
        <v>3295335</v>
      </c>
      <c r="M31" s="2479" t="s">
        <v>11970</v>
      </c>
    </row>
    <row r="32" spans="1:13" ht="15.75" customHeight="1" x14ac:dyDescent="0.2">
      <c r="A32" s="2921">
        <v>14.01</v>
      </c>
      <c r="B32" s="2512" t="s">
        <v>9093</v>
      </c>
      <c r="C32" s="2488" t="s">
        <v>190</v>
      </c>
      <c r="D32" s="2489" t="s">
        <v>9086</v>
      </c>
      <c r="E32" s="2614"/>
      <c r="F32" s="2614"/>
      <c r="G32" s="2614"/>
      <c r="H32" s="3224">
        <v>283</v>
      </c>
      <c r="I32" s="2488"/>
      <c r="J32" s="2614"/>
      <c r="K32" s="3227">
        <v>21706</v>
      </c>
      <c r="L32" s="3225">
        <v>21706</v>
      </c>
      <c r="M32" s="2479" t="s">
        <v>11971</v>
      </c>
    </row>
    <row r="33" spans="1:13" ht="15.75" customHeight="1" x14ac:dyDescent="0.2">
      <c r="A33" s="2921">
        <v>14.010999999999999</v>
      </c>
      <c r="B33" s="2512" t="s">
        <v>9094</v>
      </c>
      <c r="C33" s="2488" t="s">
        <v>190</v>
      </c>
      <c r="D33" s="2489" t="s">
        <v>9077</v>
      </c>
      <c r="E33" s="2614"/>
      <c r="F33" s="2614"/>
      <c r="G33" s="2614"/>
      <c r="H33" s="3224">
        <v>31902</v>
      </c>
      <c r="I33" s="2488"/>
      <c r="J33" s="3224">
        <v>1299897</v>
      </c>
      <c r="K33" s="2488"/>
      <c r="L33" s="3225">
        <v>1299897</v>
      </c>
      <c r="M33" s="2479" t="s">
        <v>11972</v>
      </c>
    </row>
    <row r="34" spans="1:13" ht="15.75" customHeight="1" x14ac:dyDescent="0.2">
      <c r="A34" s="2921">
        <v>14.012</v>
      </c>
      <c r="B34" s="2512" t="s">
        <v>9406</v>
      </c>
      <c r="C34" s="2488" t="s">
        <v>190</v>
      </c>
      <c r="D34" s="2489" t="s">
        <v>9077</v>
      </c>
      <c r="E34" s="2614"/>
      <c r="F34" s="2614"/>
      <c r="G34" s="2614"/>
      <c r="H34" s="3224">
        <v>564</v>
      </c>
      <c r="I34" s="2488"/>
      <c r="J34" s="3224">
        <v>13152</v>
      </c>
      <c r="K34" s="2614"/>
      <c r="L34" s="3225">
        <v>13152</v>
      </c>
      <c r="M34" s="2479" t="s">
        <v>11973</v>
      </c>
    </row>
    <row r="35" spans="1:13" ht="15.75" customHeight="1" x14ac:dyDescent="0.2">
      <c r="A35" s="2921">
        <v>14.013</v>
      </c>
      <c r="B35" s="2512" t="s">
        <v>9095</v>
      </c>
      <c r="C35" s="2488" t="s">
        <v>190</v>
      </c>
      <c r="D35" s="2489" t="s">
        <v>9077</v>
      </c>
      <c r="E35" s="2614"/>
      <c r="F35" s="2614"/>
      <c r="G35" s="2614"/>
      <c r="H35" s="3224">
        <v>3455</v>
      </c>
      <c r="I35" s="2488"/>
      <c r="J35" s="3224">
        <v>107463</v>
      </c>
      <c r="K35" s="2488"/>
      <c r="L35" s="3225">
        <v>107463</v>
      </c>
      <c r="M35" s="2479" t="s">
        <v>11974</v>
      </c>
    </row>
    <row r="36" spans="1:13" ht="15.75" customHeight="1" x14ac:dyDescent="0.2">
      <c r="A36" s="2921">
        <v>14.013999999999999</v>
      </c>
      <c r="B36" s="2512" t="s">
        <v>9096</v>
      </c>
      <c r="C36" s="2478" t="s">
        <v>196</v>
      </c>
      <c r="D36" s="2489" t="s">
        <v>9077</v>
      </c>
      <c r="E36" s="2614"/>
      <c r="F36" s="2614"/>
      <c r="G36" s="2614"/>
      <c r="H36" s="3224">
        <v>6</v>
      </c>
      <c r="I36" s="2488"/>
      <c r="J36" s="2614"/>
      <c r="K36" s="3227">
        <v>200</v>
      </c>
      <c r="L36" s="3225">
        <v>200</v>
      </c>
      <c r="M36" s="2479" t="s">
        <v>11975</v>
      </c>
    </row>
    <row r="37" spans="1:13" ht="15.75" customHeight="1" x14ac:dyDescent="0.2">
      <c r="A37" s="2921">
        <v>14.015000000000001</v>
      </c>
      <c r="B37" s="2512" t="s">
        <v>9096</v>
      </c>
      <c r="C37" s="2488" t="s">
        <v>190</v>
      </c>
      <c r="D37" s="2489" t="s">
        <v>9077</v>
      </c>
      <c r="E37" s="2614"/>
      <c r="F37" s="2614"/>
      <c r="G37" s="2614"/>
      <c r="H37" s="3224">
        <v>806783</v>
      </c>
      <c r="I37" s="2488"/>
      <c r="J37" s="3224">
        <v>23105055</v>
      </c>
      <c r="K37" s="2614"/>
      <c r="L37" s="3225">
        <v>23105055</v>
      </c>
      <c r="M37" s="2479" t="s">
        <v>11976</v>
      </c>
    </row>
    <row r="38" spans="1:13" ht="15.75" customHeight="1" x14ac:dyDescent="0.2">
      <c r="A38" s="2921">
        <v>14.016</v>
      </c>
      <c r="B38" s="2512" t="s">
        <v>9097</v>
      </c>
      <c r="C38" s="2488" t="s">
        <v>190</v>
      </c>
      <c r="D38" s="2489" t="s">
        <v>9077</v>
      </c>
      <c r="E38" s="2614"/>
      <c r="F38" s="2614"/>
      <c r="G38" s="2614"/>
      <c r="H38" s="3224">
        <v>24732</v>
      </c>
      <c r="I38" s="2488"/>
      <c r="J38" s="3224">
        <v>902280</v>
      </c>
      <c r="K38" s="2488"/>
      <c r="L38" s="3225">
        <v>902280</v>
      </c>
      <c r="M38" s="2479" t="s">
        <v>11977</v>
      </c>
    </row>
    <row r="39" spans="1:13" ht="15.75" customHeight="1" x14ac:dyDescent="0.2">
      <c r="A39" s="2921">
        <v>14.016999999999999</v>
      </c>
      <c r="B39" s="2512" t="s">
        <v>9097</v>
      </c>
      <c r="C39" s="2488" t="s">
        <v>190</v>
      </c>
      <c r="D39" s="2489" t="s">
        <v>9087</v>
      </c>
      <c r="E39" s="2614"/>
      <c r="F39" s="2614"/>
      <c r="G39" s="2614"/>
      <c r="H39" s="3224">
        <v>480</v>
      </c>
      <c r="I39" s="2488"/>
      <c r="J39" s="3224">
        <v>17280</v>
      </c>
      <c r="K39" s="2488"/>
      <c r="L39" s="3225">
        <v>17280</v>
      </c>
      <c r="M39" s="2479" t="s">
        <v>11978</v>
      </c>
    </row>
    <row r="40" spans="1:13" ht="15.75" customHeight="1" x14ac:dyDescent="0.2">
      <c r="A40" s="2921">
        <v>14.018000000000001</v>
      </c>
      <c r="B40" s="2512" t="s">
        <v>9098</v>
      </c>
      <c r="C40" s="2488" t="s">
        <v>190</v>
      </c>
      <c r="D40" s="2489" t="s">
        <v>9077</v>
      </c>
      <c r="E40" s="2614"/>
      <c r="F40" s="2614"/>
      <c r="G40" s="2614"/>
      <c r="H40" s="3224">
        <v>599</v>
      </c>
      <c r="I40" s="2488"/>
      <c r="J40" s="3224">
        <v>22073</v>
      </c>
      <c r="K40" s="2614"/>
      <c r="L40" s="3225">
        <v>22073</v>
      </c>
      <c r="M40" s="2479" t="s">
        <v>11979</v>
      </c>
    </row>
    <row r="41" spans="1:13" ht="15.75" customHeight="1" x14ac:dyDescent="0.2">
      <c r="A41" s="2921">
        <v>14.019</v>
      </c>
      <c r="B41" s="2512" t="s">
        <v>9099</v>
      </c>
      <c r="C41" s="2488" t="s">
        <v>189</v>
      </c>
      <c r="D41" s="2748">
        <v>560</v>
      </c>
      <c r="E41" s="2614"/>
      <c r="F41" s="2614"/>
      <c r="G41" s="2614"/>
      <c r="H41" s="3224">
        <v>270</v>
      </c>
      <c r="I41" s="2488"/>
      <c r="J41" s="3224">
        <v>15813</v>
      </c>
      <c r="K41" s="2488"/>
      <c r="L41" s="3225">
        <v>15813</v>
      </c>
      <c r="M41" s="2479" t="s">
        <v>11980</v>
      </c>
    </row>
    <row r="42" spans="1:13" ht="15.75" customHeight="1" x14ac:dyDescent="0.2">
      <c r="A42" s="2921">
        <v>14.02</v>
      </c>
      <c r="B42" s="2512" t="s">
        <v>11981</v>
      </c>
      <c r="C42" s="2488" t="s">
        <v>190</v>
      </c>
      <c r="D42" s="2489" t="s">
        <v>9087</v>
      </c>
      <c r="E42" s="2614"/>
      <c r="F42" s="2614"/>
      <c r="G42" s="2614"/>
      <c r="H42" s="3224">
        <v>4405</v>
      </c>
      <c r="I42" s="2488"/>
      <c r="J42" s="3224">
        <v>103500</v>
      </c>
      <c r="K42" s="2488"/>
      <c r="L42" s="3225">
        <v>103500</v>
      </c>
      <c r="M42" s="2479" t="s">
        <v>11982</v>
      </c>
    </row>
    <row r="43" spans="1:13" ht="15.75" customHeight="1" x14ac:dyDescent="0.2">
      <c r="A43" s="2921">
        <v>14.021000000000001</v>
      </c>
      <c r="B43" s="2512" t="s">
        <v>11941</v>
      </c>
      <c r="C43" s="2488" t="s">
        <v>190</v>
      </c>
      <c r="D43" s="2489" t="s">
        <v>9077</v>
      </c>
      <c r="E43" s="2614"/>
      <c r="F43" s="2614"/>
      <c r="G43" s="2614"/>
      <c r="H43" s="3224">
        <v>2195</v>
      </c>
      <c r="I43" s="2488"/>
      <c r="J43" s="3224">
        <v>115630</v>
      </c>
      <c r="K43" s="2614"/>
      <c r="L43" s="3225">
        <v>115630</v>
      </c>
      <c r="M43" s="2479" t="s">
        <v>11983</v>
      </c>
    </row>
    <row r="44" spans="1:13" ht="15.75" customHeight="1" x14ac:dyDescent="0.2">
      <c r="A44" s="2921">
        <v>14.022</v>
      </c>
      <c r="B44" s="2512" t="s">
        <v>9100</v>
      </c>
      <c r="C44" s="2488" t="s">
        <v>190</v>
      </c>
      <c r="D44" s="2489" t="s">
        <v>9077</v>
      </c>
      <c r="E44" s="2614"/>
      <c r="F44" s="2614"/>
      <c r="G44" s="2614"/>
      <c r="H44" s="3224">
        <v>9819</v>
      </c>
      <c r="I44" s="2488"/>
      <c r="J44" s="3224">
        <v>441270</v>
      </c>
      <c r="K44" s="2488"/>
      <c r="L44" s="3225">
        <v>441270</v>
      </c>
      <c r="M44" s="2479" t="s">
        <v>11984</v>
      </c>
    </row>
    <row r="45" spans="1:13" ht="15.75" customHeight="1" x14ac:dyDescent="0.2">
      <c r="A45" s="2921">
        <v>14.023</v>
      </c>
      <c r="B45" s="2512" t="s">
        <v>9101</v>
      </c>
      <c r="C45" s="2488" t="s">
        <v>190</v>
      </c>
      <c r="D45" s="2489" t="s">
        <v>9077</v>
      </c>
      <c r="E45" s="2614"/>
      <c r="F45" s="2614"/>
      <c r="G45" s="2614"/>
      <c r="H45" s="3224">
        <v>700</v>
      </c>
      <c r="I45" s="2488"/>
      <c r="J45" s="3224">
        <v>32365</v>
      </c>
      <c r="K45" s="2488"/>
      <c r="L45" s="3225">
        <v>32365</v>
      </c>
      <c r="M45" s="2479" t="s">
        <v>11985</v>
      </c>
    </row>
    <row r="46" spans="1:13" ht="15.75" customHeight="1" x14ac:dyDescent="0.2">
      <c r="A46" s="2921">
        <v>14.023999999999999</v>
      </c>
      <c r="B46" s="2512" t="s">
        <v>9102</v>
      </c>
      <c r="C46" s="2488" t="s">
        <v>190</v>
      </c>
      <c r="D46" s="2489" t="s">
        <v>9077</v>
      </c>
      <c r="E46" s="2614"/>
      <c r="F46" s="2614"/>
      <c r="G46" s="2614"/>
      <c r="H46" s="3224">
        <v>1380</v>
      </c>
      <c r="I46" s="2488"/>
      <c r="J46" s="3224">
        <v>58907</v>
      </c>
      <c r="K46" s="2614"/>
      <c r="L46" s="3225">
        <v>58907</v>
      </c>
      <c r="M46" s="2479" t="s">
        <v>11986</v>
      </c>
    </row>
    <row r="47" spans="1:13" ht="15.75" customHeight="1" x14ac:dyDescent="0.2">
      <c r="A47" s="2921">
        <v>14.025</v>
      </c>
      <c r="B47" s="2512" t="s">
        <v>9103</v>
      </c>
      <c r="C47" s="2488" t="s">
        <v>190</v>
      </c>
      <c r="D47" s="2489" t="s">
        <v>9077</v>
      </c>
      <c r="E47" s="2614"/>
      <c r="F47" s="2614"/>
      <c r="G47" s="2614"/>
      <c r="H47" s="3224">
        <v>43197</v>
      </c>
      <c r="I47" s="2488"/>
      <c r="J47" s="3224">
        <v>1865121</v>
      </c>
      <c r="K47" s="2488"/>
      <c r="L47" s="3225">
        <v>1865121</v>
      </c>
      <c r="M47" s="2479" t="s">
        <v>11987</v>
      </c>
    </row>
    <row r="48" spans="1:13" ht="15.75" customHeight="1" x14ac:dyDescent="0.2">
      <c r="A48" s="2921">
        <v>14.026</v>
      </c>
      <c r="B48" s="2512" t="s">
        <v>9105</v>
      </c>
      <c r="C48" s="2488" t="s">
        <v>190</v>
      </c>
      <c r="D48" s="2489" t="s">
        <v>9077</v>
      </c>
      <c r="E48" s="2614"/>
      <c r="F48" s="2614"/>
      <c r="G48" s="2614"/>
      <c r="H48" s="3224">
        <v>450</v>
      </c>
      <c r="I48" s="2488"/>
      <c r="J48" s="3224">
        <v>17100</v>
      </c>
      <c r="K48" s="2488"/>
      <c r="L48" s="3225">
        <v>17100</v>
      </c>
      <c r="M48" s="2479" t="s">
        <v>11988</v>
      </c>
    </row>
    <row r="49" spans="1:13" ht="15.75" customHeight="1" x14ac:dyDescent="0.2">
      <c r="A49" s="2921">
        <v>14.026999999999999</v>
      </c>
      <c r="B49" s="2512" t="s">
        <v>11989</v>
      </c>
      <c r="C49" s="2488" t="s">
        <v>190</v>
      </c>
      <c r="D49" s="2489" t="s">
        <v>9077</v>
      </c>
      <c r="E49" s="2614"/>
      <c r="F49" s="2614"/>
      <c r="G49" s="2614"/>
      <c r="H49" s="3224">
        <v>189161</v>
      </c>
      <c r="I49" s="2488"/>
      <c r="J49" s="3224">
        <v>6308852</v>
      </c>
      <c r="K49" s="2614"/>
      <c r="L49" s="3225">
        <v>6308852</v>
      </c>
      <c r="M49" s="2479" t="s">
        <v>11990</v>
      </c>
    </row>
    <row r="50" spans="1:13" ht="15.75" customHeight="1" x14ac:dyDescent="0.2">
      <c r="A50" s="2921">
        <v>14.028</v>
      </c>
      <c r="B50" s="2512" t="s">
        <v>9106</v>
      </c>
      <c r="C50" s="2488" t="s">
        <v>190</v>
      </c>
      <c r="D50" s="2489" t="s">
        <v>9077</v>
      </c>
      <c r="E50" s="2614"/>
      <c r="F50" s="2614"/>
      <c r="G50" s="2614"/>
      <c r="H50" s="3224">
        <v>1726</v>
      </c>
      <c r="I50" s="2488"/>
      <c r="J50" s="3224">
        <v>127748</v>
      </c>
      <c r="K50" s="2488"/>
      <c r="L50" s="3225">
        <v>127748</v>
      </c>
      <c r="M50" s="2479" t="s">
        <v>11991</v>
      </c>
    </row>
    <row r="51" spans="1:13" ht="15.75" customHeight="1" x14ac:dyDescent="0.2">
      <c r="A51" s="2921">
        <v>14.029</v>
      </c>
      <c r="B51" s="2512" t="s">
        <v>9107</v>
      </c>
      <c r="C51" s="2488" t="s">
        <v>190</v>
      </c>
      <c r="D51" s="2489" t="s">
        <v>9077</v>
      </c>
      <c r="E51" s="2614"/>
      <c r="F51" s="2614"/>
      <c r="G51" s="2614"/>
      <c r="H51" s="3224">
        <v>22439</v>
      </c>
      <c r="I51" s="2488"/>
      <c r="J51" s="3224">
        <v>1292529</v>
      </c>
      <c r="K51" s="2488"/>
      <c r="L51" s="3225">
        <v>1292529</v>
      </c>
      <c r="M51" s="2479" t="s">
        <v>11992</v>
      </c>
    </row>
    <row r="52" spans="1:13" ht="15.75" customHeight="1" x14ac:dyDescent="0.2">
      <c r="A52" s="2921">
        <v>14.03</v>
      </c>
      <c r="B52" s="2512" t="s">
        <v>9108</v>
      </c>
      <c r="C52" s="2488" t="s">
        <v>190</v>
      </c>
      <c r="D52" s="2489" t="s">
        <v>9077</v>
      </c>
      <c r="E52" s="2614"/>
      <c r="F52" s="2614"/>
      <c r="G52" s="2614"/>
      <c r="H52" s="3224">
        <v>4416</v>
      </c>
      <c r="I52" s="2488"/>
      <c r="J52" s="3224">
        <v>347120</v>
      </c>
      <c r="K52" s="2614"/>
      <c r="L52" s="3225">
        <v>347120</v>
      </c>
      <c r="M52" s="2479" t="s">
        <v>11993</v>
      </c>
    </row>
    <row r="53" spans="1:13" ht="15.75" customHeight="1" x14ac:dyDescent="0.2">
      <c r="A53" s="2921">
        <v>14.031000000000001</v>
      </c>
      <c r="B53" s="2512" t="s">
        <v>9109</v>
      </c>
      <c r="C53" s="2488" t="s">
        <v>190</v>
      </c>
      <c r="D53" s="2489" t="s">
        <v>9077</v>
      </c>
      <c r="E53" s="2614"/>
      <c r="F53" s="2614"/>
      <c r="G53" s="2614"/>
      <c r="H53" s="3224">
        <v>9268</v>
      </c>
      <c r="I53" s="2488"/>
      <c r="J53" s="3224">
        <v>301067</v>
      </c>
      <c r="K53" s="2488"/>
      <c r="L53" s="3225">
        <v>301067</v>
      </c>
      <c r="M53" s="2479" t="s">
        <v>11994</v>
      </c>
    </row>
    <row r="54" spans="1:13" ht="15.75" customHeight="1" x14ac:dyDescent="0.2">
      <c r="A54" s="2921">
        <v>14.032</v>
      </c>
      <c r="B54" s="2512" t="s">
        <v>9110</v>
      </c>
      <c r="C54" s="2488" t="s">
        <v>190</v>
      </c>
      <c r="D54" s="2489" t="s">
        <v>9077</v>
      </c>
      <c r="E54" s="2614"/>
      <c r="F54" s="2614"/>
      <c r="G54" s="2614"/>
      <c r="H54" s="3224">
        <v>6577</v>
      </c>
      <c r="I54" s="2488"/>
      <c r="J54" s="3224">
        <v>278001</v>
      </c>
      <c r="K54" s="2488"/>
      <c r="L54" s="3225">
        <v>278001</v>
      </c>
      <c r="M54" s="2479" t="s">
        <v>11995</v>
      </c>
    </row>
    <row r="55" spans="1:13" ht="15.75" customHeight="1" x14ac:dyDescent="0.2">
      <c r="A55" s="2921">
        <v>14.032999999999999</v>
      </c>
      <c r="B55" s="2512" t="s">
        <v>9730</v>
      </c>
      <c r="C55" s="2488" t="s">
        <v>190</v>
      </c>
      <c r="D55" s="2489" t="s">
        <v>9077</v>
      </c>
      <c r="E55" s="2614"/>
      <c r="F55" s="2614"/>
      <c r="G55" s="2614"/>
      <c r="H55" s="3224">
        <v>549718</v>
      </c>
      <c r="I55" s="2488"/>
      <c r="J55" s="3224">
        <v>24232649</v>
      </c>
      <c r="K55" s="2614"/>
      <c r="L55" s="3225">
        <v>24232649</v>
      </c>
      <c r="M55" s="2479" t="s">
        <v>11996</v>
      </c>
    </row>
    <row r="56" spans="1:13" ht="15.75" customHeight="1" x14ac:dyDescent="0.2">
      <c r="A56" s="2921">
        <v>14.034000000000001</v>
      </c>
      <c r="B56" s="2512" t="s">
        <v>9730</v>
      </c>
      <c r="C56" s="2488" t="s">
        <v>190</v>
      </c>
      <c r="D56" s="2489" t="s">
        <v>9087</v>
      </c>
      <c r="E56" s="2614"/>
      <c r="F56" s="2614"/>
      <c r="G56" s="2614"/>
      <c r="H56" s="3224">
        <v>25</v>
      </c>
      <c r="I56" s="2488"/>
      <c r="J56" s="3224">
        <v>1875</v>
      </c>
      <c r="K56" s="2488"/>
      <c r="L56" s="3225">
        <v>1875</v>
      </c>
      <c r="M56" s="2479" t="s">
        <v>11997</v>
      </c>
    </row>
    <row r="57" spans="1:13" ht="15.75" customHeight="1" x14ac:dyDescent="0.2">
      <c r="A57" s="2921">
        <v>14.035</v>
      </c>
      <c r="B57" s="2512" t="s">
        <v>9111</v>
      </c>
      <c r="C57" s="2488" t="s">
        <v>190</v>
      </c>
      <c r="D57" s="2489" t="s">
        <v>9086</v>
      </c>
      <c r="E57" s="2614"/>
      <c r="F57" s="2614"/>
      <c r="G57" s="2614"/>
      <c r="H57" s="3224">
        <v>337</v>
      </c>
      <c r="I57" s="2488"/>
      <c r="J57" s="2614"/>
      <c r="K57" s="3227">
        <v>13988</v>
      </c>
      <c r="L57" s="3225">
        <v>13988</v>
      </c>
      <c r="M57" s="2479" t="s">
        <v>11998</v>
      </c>
    </row>
    <row r="58" spans="1:13" ht="15.75" customHeight="1" x14ac:dyDescent="0.2">
      <c r="A58" s="2921">
        <v>14.036</v>
      </c>
      <c r="B58" s="2512" t="s">
        <v>9112</v>
      </c>
      <c r="C58" s="2488" t="s">
        <v>190</v>
      </c>
      <c r="D58" s="2489" t="s">
        <v>9077</v>
      </c>
      <c r="E58" s="2614"/>
      <c r="F58" s="2614"/>
      <c r="G58" s="2614"/>
      <c r="H58" s="3224">
        <v>2322</v>
      </c>
      <c r="I58" s="2488"/>
      <c r="J58" s="3224">
        <v>139428</v>
      </c>
      <c r="K58" s="2614"/>
      <c r="L58" s="3225">
        <v>139428</v>
      </c>
      <c r="M58" s="2479" t="s">
        <v>11999</v>
      </c>
    </row>
    <row r="59" spans="1:13" ht="15.75" customHeight="1" x14ac:dyDescent="0.2">
      <c r="A59" s="2921">
        <v>14.037000000000001</v>
      </c>
      <c r="B59" s="2512" t="s">
        <v>9113</v>
      </c>
      <c r="C59" s="2488" t="s">
        <v>190</v>
      </c>
      <c r="D59" s="2489" t="s">
        <v>9077</v>
      </c>
      <c r="E59" s="2614"/>
      <c r="F59" s="2614"/>
      <c r="G59" s="2614"/>
      <c r="H59" s="3224">
        <v>400</v>
      </c>
      <c r="I59" s="2488"/>
      <c r="J59" s="3224">
        <v>20000</v>
      </c>
      <c r="K59" s="2488"/>
      <c r="L59" s="3225">
        <v>20000</v>
      </c>
      <c r="M59" s="2479" t="s">
        <v>12000</v>
      </c>
    </row>
    <row r="60" spans="1:13" ht="15.75" customHeight="1" x14ac:dyDescent="0.2">
      <c r="A60" s="2921">
        <v>14.038</v>
      </c>
      <c r="B60" s="2512" t="s">
        <v>9113</v>
      </c>
      <c r="C60" s="2488" t="s">
        <v>190</v>
      </c>
      <c r="D60" s="2489" t="s">
        <v>9086</v>
      </c>
      <c r="E60" s="2614"/>
      <c r="F60" s="2614"/>
      <c r="G60" s="2614"/>
      <c r="H60" s="3224">
        <v>79</v>
      </c>
      <c r="I60" s="2488"/>
      <c r="J60" s="2614"/>
      <c r="K60" s="3227">
        <v>4106</v>
      </c>
      <c r="L60" s="3225">
        <v>4106</v>
      </c>
      <c r="M60" s="2479" t="s">
        <v>12001</v>
      </c>
    </row>
    <row r="61" spans="1:13" ht="15.75" customHeight="1" x14ac:dyDescent="0.2">
      <c r="A61" s="2921">
        <v>14.039</v>
      </c>
      <c r="B61" s="2512" t="s">
        <v>9113</v>
      </c>
      <c r="C61" s="2488" t="s">
        <v>190</v>
      </c>
      <c r="D61" s="2489" t="s">
        <v>9087</v>
      </c>
      <c r="E61" s="2614"/>
      <c r="F61" s="2614"/>
      <c r="G61" s="2614"/>
      <c r="H61" s="3224">
        <v>25157</v>
      </c>
      <c r="I61" s="2488"/>
      <c r="J61" s="3224">
        <v>803930</v>
      </c>
      <c r="K61" s="2614"/>
      <c r="L61" s="3225">
        <v>803930</v>
      </c>
      <c r="M61" s="2479" t="s">
        <v>12002</v>
      </c>
    </row>
    <row r="62" spans="1:13" ht="15.75" customHeight="1" x14ac:dyDescent="0.2">
      <c r="A62" s="2921">
        <v>14.04</v>
      </c>
      <c r="B62" s="2512" t="s">
        <v>9470</v>
      </c>
      <c r="C62" s="2488" t="s">
        <v>190</v>
      </c>
      <c r="D62" s="2489" t="s">
        <v>9077</v>
      </c>
      <c r="E62" s="2614"/>
      <c r="F62" s="2614"/>
      <c r="G62" s="2614"/>
      <c r="H62" s="3224">
        <v>7000</v>
      </c>
      <c r="I62" s="2488"/>
      <c r="J62" s="3224">
        <v>257870</v>
      </c>
      <c r="K62" s="2488"/>
      <c r="L62" s="3225">
        <v>257870</v>
      </c>
      <c r="M62" s="2479" t="s">
        <v>12003</v>
      </c>
    </row>
    <row r="63" spans="1:13" ht="15.75" customHeight="1" x14ac:dyDescent="0.2">
      <c r="A63" s="2921">
        <v>14.041</v>
      </c>
      <c r="B63" s="2512" t="s">
        <v>9114</v>
      </c>
      <c r="C63" s="2488" t="s">
        <v>190</v>
      </c>
      <c r="D63" s="2489" t="s">
        <v>9077</v>
      </c>
      <c r="E63" s="2614"/>
      <c r="F63" s="2614"/>
      <c r="G63" s="2614"/>
      <c r="H63" s="3224">
        <v>102848</v>
      </c>
      <c r="I63" s="2488"/>
      <c r="J63" s="3224">
        <v>5950424</v>
      </c>
      <c r="K63" s="2488"/>
      <c r="L63" s="3225">
        <v>5950424</v>
      </c>
      <c r="M63" s="2479" t="s">
        <v>12004</v>
      </c>
    </row>
    <row r="64" spans="1:13" ht="15.75" customHeight="1" x14ac:dyDescent="0.2">
      <c r="A64" s="2921">
        <v>14.042</v>
      </c>
      <c r="B64" s="2512" t="s">
        <v>9114</v>
      </c>
      <c r="C64" s="2488" t="s">
        <v>190</v>
      </c>
      <c r="D64" s="2489" t="s">
        <v>9087</v>
      </c>
      <c r="E64" s="2614"/>
      <c r="F64" s="2614"/>
      <c r="G64" s="2614"/>
      <c r="H64" s="3224">
        <v>9858</v>
      </c>
      <c r="I64" s="2488"/>
      <c r="J64" s="3224">
        <v>300319</v>
      </c>
      <c r="K64" s="2614"/>
      <c r="L64" s="3225">
        <v>300319</v>
      </c>
      <c r="M64" s="2479" t="s">
        <v>12005</v>
      </c>
    </row>
    <row r="65" spans="1:13" ht="15.75" customHeight="1" x14ac:dyDescent="0.2">
      <c r="A65" s="2921">
        <v>14.042999999999999</v>
      </c>
      <c r="B65" s="2512" t="s">
        <v>12006</v>
      </c>
      <c r="C65" s="2488" t="s">
        <v>190</v>
      </c>
      <c r="D65" s="2489" t="s">
        <v>9077</v>
      </c>
      <c r="E65" s="2614"/>
      <c r="F65" s="2614"/>
      <c r="G65" s="2614"/>
      <c r="H65" s="3224">
        <v>1000</v>
      </c>
      <c r="I65" s="2488"/>
      <c r="J65" s="3224">
        <v>37600</v>
      </c>
      <c r="K65" s="2488"/>
      <c r="L65" s="3225">
        <v>37600</v>
      </c>
      <c r="M65" s="2479" t="s">
        <v>12007</v>
      </c>
    </row>
    <row r="66" spans="1:13" ht="15.75" customHeight="1" x14ac:dyDescent="0.2">
      <c r="A66" s="2921">
        <v>14.044</v>
      </c>
      <c r="B66" s="2512" t="s">
        <v>9117</v>
      </c>
      <c r="C66" s="2488" t="s">
        <v>190</v>
      </c>
      <c r="D66" s="2489" t="s">
        <v>9077</v>
      </c>
      <c r="E66" s="2614"/>
      <c r="F66" s="2614"/>
      <c r="G66" s="2614"/>
      <c r="H66" s="3224">
        <v>50716</v>
      </c>
      <c r="I66" s="2488"/>
      <c r="J66" s="3224">
        <v>1998046</v>
      </c>
      <c r="K66" s="2488"/>
      <c r="L66" s="3225">
        <v>1998046</v>
      </c>
      <c r="M66" s="2479" t="s">
        <v>12008</v>
      </c>
    </row>
    <row r="67" spans="1:13" ht="15.75" customHeight="1" x14ac:dyDescent="0.2">
      <c r="A67" s="2921">
        <v>14.045</v>
      </c>
      <c r="B67" s="2512" t="s">
        <v>9118</v>
      </c>
      <c r="C67" s="2478" t="s">
        <v>196</v>
      </c>
      <c r="D67" s="2489" t="s">
        <v>9077</v>
      </c>
      <c r="E67" s="2614"/>
      <c r="F67" s="2614"/>
      <c r="G67" s="2614"/>
      <c r="H67" s="3224">
        <v>2</v>
      </c>
      <c r="I67" s="2488"/>
      <c r="J67" s="2614"/>
      <c r="K67" s="3229">
        <v>48</v>
      </c>
      <c r="L67" s="3225">
        <v>48</v>
      </c>
      <c r="M67" s="2479" t="s">
        <v>12009</v>
      </c>
    </row>
    <row r="68" spans="1:13" ht="15.75" customHeight="1" x14ac:dyDescent="0.2">
      <c r="A68" s="2921">
        <v>14.045999999999999</v>
      </c>
      <c r="B68" s="2512" t="s">
        <v>9118</v>
      </c>
      <c r="C68" s="2488" t="s">
        <v>190</v>
      </c>
      <c r="D68" s="2489" t="s">
        <v>9077</v>
      </c>
      <c r="E68" s="2614"/>
      <c r="F68" s="2614"/>
      <c r="G68" s="2614"/>
      <c r="H68" s="3224">
        <v>591049</v>
      </c>
      <c r="I68" s="2488"/>
      <c r="J68" s="3224">
        <v>19098805</v>
      </c>
      <c r="K68" s="2488"/>
      <c r="L68" s="3225">
        <v>19098805</v>
      </c>
      <c r="M68" s="2479" t="s">
        <v>12010</v>
      </c>
    </row>
    <row r="69" spans="1:13" ht="15.75" customHeight="1" x14ac:dyDescent="0.2">
      <c r="A69" s="2921">
        <v>14.047000000000001</v>
      </c>
      <c r="B69" s="2512" t="s">
        <v>9118</v>
      </c>
      <c r="C69" s="2488" t="s">
        <v>190</v>
      </c>
      <c r="D69" s="2489" t="s">
        <v>9087</v>
      </c>
      <c r="E69" s="2614"/>
      <c r="F69" s="2614"/>
      <c r="G69" s="2614"/>
      <c r="H69" s="3224">
        <v>275</v>
      </c>
      <c r="I69" s="2488"/>
      <c r="J69" s="3224">
        <v>15574</v>
      </c>
      <c r="K69" s="2488"/>
      <c r="L69" s="3225">
        <v>15574</v>
      </c>
      <c r="M69" s="2479" t="s">
        <v>12011</v>
      </c>
    </row>
    <row r="70" spans="1:13" ht="15.75" customHeight="1" x14ac:dyDescent="0.2">
      <c r="A70" s="2921">
        <v>14.048</v>
      </c>
      <c r="B70" s="2512" t="s">
        <v>9119</v>
      </c>
      <c r="C70" s="2488" t="s">
        <v>190</v>
      </c>
      <c r="D70" s="2489" t="s">
        <v>9086</v>
      </c>
      <c r="E70" s="2614"/>
      <c r="F70" s="2614"/>
      <c r="G70" s="2614"/>
      <c r="H70" s="3224">
        <v>204</v>
      </c>
      <c r="I70" s="2488"/>
      <c r="J70" s="2614"/>
      <c r="K70" s="3229">
        <v>5170</v>
      </c>
      <c r="L70" s="3225">
        <v>5170</v>
      </c>
      <c r="M70" s="2479" t="s">
        <v>12012</v>
      </c>
    </row>
    <row r="71" spans="1:13" ht="15.75" customHeight="1" x14ac:dyDescent="0.2">
      <c r="A71" s="2921">
        <v>14.048999999999999</v>
      </c>
      <c r="B71" s="2744" t="s">
        <v>9120</v>
      </c>
      <c r="C71" s="2488" t="s">
        <v>190</v>
      </c>
      <c r="D71" s="2489" t="s">
        <v>9087</v>
      </c>
      <c r="E71" s="2614"/>
      <c r="F71" s="2614"/>
      <c r="G71" s="2614"/>
      <c r="H71" s="3224">
        <v>2413</v>
      </c>
      <c r="I71" s="2488"/>
      <c r="J71" s="3224">
        <v>134166</v>
      </c>
      <c r="K71" s="2488"/>
      <c r="L71" s="3225">
        <v>134166</v>
      </c>
      <c r="M71" s="2479" t="s">
        <v>12013</v>
      </c>
    </row>
    <row r="72" spans="1:13" ht="15.75" customHeight="1" x14ac:dyDescent="0.2">
      <c r="A72" s="2921">
        <v>14.05</v>
      </c>
      <c r="B72" s="2512" t="s">
        <v>11944</v>
      </c>
      <c r="C72" s="2488" t="s">
        <v>190</v>
      </c>
      <c r="D72" s="2489" t="s">
        <v>9077</v>
      </c>
      <c r="E72" s="2614"/>
      <c r="F72" s="2614"/>
      <c r="G72" s="2614"/>
      <c r="H72" s="3224">
        <v>20733</v>
      </c>
      <c r="I72" s="2488"/>
      <c r="J72" s="3224">
        <v>678211</v>
      </c>
      <c r="K72" s="2488"/>
      <c r="L72" s="3225">
        <v>678211</v>
      </c>
      <c r="M72" s="2479" t="s">
        <v>12014</v>
      </c>
    </row>
    <row r="73" spans="1:13" ht="15.75" customHeight="1" x14ac:dyDescent="0.2">
      <c r="A73" s="2921">
        <v>14.051</v>
      </c>
      <c r="B73" s="2512" t="s">
        <v>11945</v>
      </c>
      <c r="C73" s="2488" t="s">
        <v>190</v>
      </c>
      <c r="D73" s="2489" t="s">
        <v>9077</v>
      </c>
      <c r="E73" s="2614"/>
      <c r="F73" s="2614"/>
      <c r="G73" s="2614"/>
      <c r="H73" s="3224">
        <v>400</v>
      </c>
      <c r="I73" s="2488"/>
      <c r="J73" s="3224">
        <v>42400</v>
      </c>
      <c r="K73" s="2614"/>
      <c r="L73" s="3225">
        <v>42400</v>
      </c>
      <c r="M73" s="2479" t="s">
        <v>12015</v>
      </c>
    </row>
    <row r="74" spans="1:13" ht="15.75" customHeight="1" x14ac:dyDescent="0.2">
      <c r="A74" s="2921">
        <v>14.052</v>
      </c>
      <c r="B74" s="2512" t="s">
        <v>9121</v>
      </c>
      <c r="C74" s="2488" t="s">
        <v>190</v>
      </c>
      <c r="D74" s="2489" t="s">
        <v>9086</v>
      </c>
      <c r="E74" s="2614"/>
      <c r="F74" s="2614"/>
      <c r="G74" s="2614"/>
      <c r="H74" s="3224">
        <v>155</v>
      </c>
      <c r="I74" s="2488"/>
      <c r="J74" s="2614"/>
      <c r="K74" s="3227">
        <v>4249</v>
      </c>
      <c r="L74" s="3225">
        <v>4249</v>
      </c>
      <c r="M74" s="2479" t="s">
        <v>12016</v>
      </c>
    </row>
    <row r="75" spans="1:13" ht="15.75" customHeight="1" x14ac:dyDescent="0.2">
      <c r="A75" s="2921">
        <v>14.053000000000001</v>
      </c>
      <c r="B75" s="2512" t="s">
        <v>9121</v>
      </c>
      <c r="C75" s="2488" t="s">
        <v>190</v>
      </c>
      <c r="D75" s="2489" t="s">
        <v>9087</v>
      </c>
      <c r="E75" s="2614"/>
      <c r="F75" s="2614"/>
      <c r="G75" s="2614"/>
      <c r="H75" s="3224">
        <v>4042</v>
      </c>
      <c r="I75" s="2488"/>
      <c r="J75" s="3224">
        <v>153448</v>
      </c>
      <c r="K75" s="2488"/>
      <c r="L75" s="3225">
        <v>153448</v>
      </c>
      <c r="M75" s="2479" t="s">
        <v>12017</v>
      </c>
    </row>
    <row r="76" spans="1:13" ht="15.75" customHeight="1" x14ac:dyDescent="0.2">
      <c r="A76" s="2921">
        <v>14.054</v>
      </c>
      <c r="B76" s="2512" t="s">
        <v>9123</v>
      </c>
      <c r="C76" s="2488" t="s">
        <v>190</v>
      </c>
      <c r="D76" s="2489" t="s">
        <v>9077</v>
      </c>
      <c r="E76" s="2614"/>
      <c r="F76" s="2614"/>
      <c r="G76" s="2614"/>
      <c r="H76" s="3224">
        <v>55203</v>
      </c>
      <c r="I76" s="2488"/>
      <c r="J76" s="3224">
        <v>2798201</v>
      </c>
      <c r="K76" s="2614"/>
      <c r="L76" s="3225">
        <v>2798201</v>
      </c>
      <c r="M76" s="2479" t="s">
        <v>12018</v>
      </c>
    </row>
    <row r="77" spans="1:13" ht="15.75" customHeight="1" x14ac:dyDescent="0.2">
      <c r="A77" s="2921">
        <v>14.055</v>
      </c>
      <c r="B77" s="2512" t="s">
        <v>9123</v>
      </c>
      <c r="C77" s="2488" t="s">
        <v>190</v>
      </c>
      <c r="D77" s="2489" t="s">
        <v>9086</v>
      </c>
      <c r="E77" s="2614"/>
      <c r="F77" s="2614"/>
      <c r="G77" s="2614"/>
      <c r="H77" s="3224">
        <v>96</v>
      </c>
      <c r="I77" s="2488"/>
      <c r="J77" s="2614"/>
      <c r="K77" s="3227">
        <v>3887</v>
      </c>
      <c r="L77" s="3225">
        <v>3887</v>
      </c>
      <c r="M77" s="2479" t="s">
        <v>12019</v>
      </c>
    </row>
    <row r="78" spans="1:13" ht="15.75" customHeight="1" x14ac:dyDescent="0.2">
      <c r="A78" s="2921">
        <v>14.055999999999999</v>
      </c>
      <c r="B78" s="2512" t="s">
        <v>9124</v>
      </c>
      <c r="C78" s="2488" t="s">
        <v>190</v>
      </c>
      <c r="D78" s="2489" t="s">
        <v>9077</v>
      </c>
      <c r="E78" s="2614"/>
      <c r="F78" s="2614"/>
      <c r="G78" s="2614"/>
      <c r="H78" s="3224">
        <v>60741</v>
      </c>
      <c r="I78" s="2488"/>
      <c r="J78" s="3224">
        <v>2184261</v>
      </c>
      <c r="K78" s="2488"/>
      <c r="L78" s="3225">
        <v>2184261</v>
      </c>
      <c r="M78" s="2479" t="s">
        <v>12020</v>
      </c>
    </row>
    <row r="79" spans="1:13" ht="15.75" customHeight="1" x14ac:dyDescent="0.2">
      <c r="A79" s="2921">
        <v>14.057</v>
      </c>
      <c r="B79" s="2512" t="s">
        <v>9124</v>
      </c>
      <c r="C79" s="2488" t="s">
        <v>190</v>
      </c>
      <c r="D79" s="2489" t="s">
        <v>9087</v>
      </c>
      <c r="E79" s="2614"/>
      <c r="F79" s="2614"/>
      <c r="G79" s="2614"/>
      <c r="H79" s="3224">
        <v>2389</v>
      </c>
      <c r="I79" s="2488"/>
      <c r="J79" s="3224">
        <v>52558</v>
      </c>
      <c r="K79" s="2614"/>
      <c r="L79" s="3225">
        <v>52558</v>
      </c>
      <c r="M79" s="2479" t="s">
        <v>12021</v>
      </c>
    </row>
    <row r="80" spans="1:13" ht="15.75" customHeight="1" x14ac:dyDescent="0.2">
      <c r="A80" s="2921">
        <v>14.058</v>
      </c>
      <c r="B80" s="2512" t="s">
        <v>9125</v>
      </c>
      <c r="C80" s="2488" t="s">
        <v>190</v>
      </c>
      <c r="D80" s="2489" t="s">
        <v>9077</v>
      </c>
      <c r="E80" s="2614"/>
      <c r="F80" s="2614"/>
      <c r="G80" s="2614"/>
      <c r="H80" s="3224">
        <v>223784</v>
      </c>
      <c r="I80" s="2488"/>
      <c r="J80" s="3224">
        <v>7131199</v>
      </c>
      <c r="K80" s="2488"/>
      <c r="L80" s="3225">
        <v>7131199</v>
      </c>
      <c r="M80" s="2479" t="s">
        <v>12022</v>
      </c>
    </row>
    <row r="81" spans="1:13" ht="15.75" customHeight="1" x14ac:dyDescent="0.2">
      <c r="A81" s="2921">
        <v>14.058999999999999</v>
      </c>
      <c r="B81" s="2512" t="s">
        <v>9125</v>
      </c>
      <c r="C81" s="2488" t="s">
        <v>190</v>
      </c>
      <c r="D81" s="2489" t="s">
        <v>9086</v>
      </c>
      <c r="E81" s="2614"/>
      <c r="F81" s="2614"/>
      <c r="G81" s="2614"/>
      <c r="H81" s="3224">
        <v>158</v>
      </c>
      <c r="I81" s="2488"/>
      <c r="J81" s="2614"/>
      <c r="K81" s="3227">
        <v>8074</v>
      </c>
      <c r="L81" s="3225">
        <v>8074</v>
      </c>
      <c r="M81" s="2479" t="s">
        <v>12023</v>
      </c>
    </row>
    <row r="82" spans="1:13" ht="15.75" customHeight="1" x14ac:dyDescent="0.2">
      <c r="A82" s="2921">
        <v>14.06</v>
      </c>
      <c r="B82" s="2512" t="s">
        <v>9126</v>
      </c>
      <c r="C82" s="2488" t="s">
        <v>190</v>
      </c>
      <c r="D82" s="2489" t="s">
        <v>9077</v>
      </c>
      <c r="E82" s="2614"/>
      <c r="F82" s="2614"/>
      <c r="G82" s="2614"/>
      <c r="H82" s="3224">
        <v>35461</v>
      </c>
      <c r="I82" s="2488"/>
      <c r="J82" s="3224">
        <v>2127228</v>
      </c>
      <c r="K82" s="2614"/>
      <c r="L82" s="3225">
        <v>2127228</v>
      </c>
      <c r="M82" s="2479" t="s">
        <v>12024</v>
      </c>
    </row>
    <row r="83" spans="1:13" ht="15.75" customHeight="1" x14ac:dyDescent="0.2">
      <c r="A83" s="2921">
        <v>14.061</v>
      </c>
      <c r="B83" s="2512" t="s">
        <v>9127</v>
      </c>
      <c r="C83" s="2488" t="s">
        <v>190</v>
      </c>
      <c r="D83" s="2489" t="s">
        <v>9086</v>
      </c>
      <c r="E83" s="2614"/>
      <c r="F83" s="2614"/>
      <c r="G83" s="2614"/>
      <c r="H83" s="3224">
        <v>13</v>
      </c>
      <c r="I83" s="2488"/>
      <c r="J83" s="2614"/>
      <c r="K83" s="3227">
        <v>333</v>
      </c>
      <c r="L83" s="3225">
        <v>333</v>
      </c>
      <c r="M83" s="2479" t="s">
        <v>12025</v>
      </c>
    </row>
    <row r="84" spans="1:13" ht="15.75" customHeight="1" x14ac:dyDescent="0.2">
      <c r="A84" s="2921">
        <v>14.061999999999999</v>
      </c>
      <c r="B84" s="2512" t="s">
        <v>9128</v>
      </c>
      <c r="C84" s="2488" t="s">
        <v>190</v>
      </c>
      <c r="D84" s="2489" t="s">
        <v>9077</v>
      </c>
      <c r="E84" s="2614"/>
      <c r="F84" s="2614"/>
      <c r="G84" s="2614"/>
      <c r="H84" s="3224">
        <v>4809</v>
      </c>
      <c r="I84" s="2488"/>
      <c r="J84" s="3224">
        <v>246200</v>
      </c>
      <c r="K84" s="2488"/>
      <c r="L84" s="3225">
        <v>246200</v>
      </c>
      <c r="M84" s="2479" t="s">
        <v>12026</v>
      </c>
    </row>
    <row r="85" spans="1:13" ht="15.75" customHeight="1" x14ac:dyDescent="0.2">
      <c r="A85" s="2921">
        <v>14.063000000000001</v>
      </c>
      <c r="B85" s="2512" t="s">
        <v>9129</v>
      </c>
      <c r="C85" s="2488" t="s">
        <v>190</v>
      </c>
      <c r="D85" s="2489" t="s">
        <v>9086</v>
      </c>
      <c r="E85" s="2614"/>
      <c r="F85" s="2614"/>
      <c r="G85" s="2614"/>
      <c r="H85" s="3224">
        <v>3</v>
      </c>
      <c r="I85" s="2488"/>
      <c r="J85" s="2614"/>
      <c r="K85" s="3229">
        <v>69</v>
      </c>
      <c r="L85" s="3225">
        <v>69</v>
      </c>
      <c r="M85" s="2479" t="s">
        <v>12027</v>
      </c>
    </row>
    <row r="86" spans="1:13" ht="15.75" customHeight="1" x14ac:dyDescent="0.2">
      <c r="A86" s="2921">
        <v>14.064</v>
      </c>
      <c r="B86" s="2512" t="s">
        <v>9130</v>
      </c>
      <c r="C86" s="2488" t="s">
        <v>190</v>
      </c>
      <c r="D86" s="2489" t="s">
        <v>9077</v>
      </c>
      <c r="E86" s="2614"/>
      <c r="F86" s="2614"/>
      <c r="G86" s="2614"/>
      <c r="H86" s="3224">
        <v>26485</v>
      </c>
      <c r="I86" s="2488"/>
      <c r="J86" s="3224">
        <v>931397</v>
      </c>
      <c r="K86" s="2488"/>
      <c r="L86" s="3225">
        <v>931397</v>
      </c>
      <c r="M86" s="2479" t="s">
        <v>12028</v>
      </c>
    </row>
    <row r="87" spans="1:13" ht="15.75" customHeight="1" x14ac:dyDescent="0.2">
      <c r="A87" s="2921">
        <v>14.065</v>
      </c>
      <c r="B87" s="2512" t="s">
        <v>9130</v>
      </c>
      <c r="C87" s="2488" t="s">
        <v>190</v>
      </c>
      <c r="D87" s="2489" t="s">
        <v>9086</v>
      </c>
      <c r="E87" s="2614"/>
      <c r="F87" s="2614"/>
      <c r="G87" s="2614"/>
      <c r="H87" s="3224">
        <v>14</v>
      </c>
      <c r="I87" s="2488"/>
      <c r="J87" s="2614"/>
      <c r="K87" s="3227">
        <v>701</v>
      </c>
      <c r="L87" s="3225">
        <v>701</v>
      </c>
      <c r="M87" s="2479" t="s">
        <v>12029</v>
      </c>
    </row>
    <row r="88" spans="1:13" ht="15.75" customHeight="1" x14ac:dyDescent="0.2">
      <c r="A88" s="2921">
        <v>14.066000000000001</v>
      </c>
      <c r="B88" s="2512" t="s">
        <v>9131</v>
      </c>
      <c r="C88" s="2488" t="s">
        <v>190</v>
      </c>
      <c r="D88" s="2489" t="s">
        <v>9077</v>
      </c>
      <c r="E88" s="2614"/>
      <c r="F88" s="2614"/>
      <c r="G88" s="2614"/>
      <c r="H88" s="3224">
        <v>51372</v>
      </c>
      <c r="I88" s="2488"/>
      <c r="J88" s="3224">
        <v>1914968</v>
      </c>
      <c r="K88" s="2614"/>
      <c r="L88" s="3225">
        <v>1914968</v>
      </c>
      <c r="M88" s="2479" t="s">
        <v>12030</v>
      </c>
    </row>
    <row r="89" spans="1:13" ht="15.75" customHeight="1" x14ac:dyDescent="0.2">
      <c r="A89" s="2921">
        <v>14.067</v>
      </c>
      <c r="B89" s="2512" t="s">
        <v>9132</v>
      </c>
      <c r="C89" s="2488" t="s">
        <v>190</v>
      </c>
      <c r="D89" s="2489" t="s">
        <v>9077</v>
      </c>
      <c r="E89" s="2614"/>
      <c r="F89" s="2614"/>
      <c r="G89" s="2614"/>
      <c r="H89" s="3224">
        <v>18776</v>
      </c>
      <c r="I89" s="2488"/>
      <c r="J89" s="3224">
        <v>791456</v>
      </c>
      <c r="K89" s="2488"/>
      <c r="L89" s="3225">
        <v>791456</v>
      </c>
      <c r="M89" s="2479" t="s">
        <v>12031</v>
      </c>
    </row>
    <row r="90" spans="1:13" ht="15.75" customHeight="1" x14ac:dyDescent="0.2">
      <c r="A90" s="2921">
        <v>14.068</v>
      </c>
      <c r="B90" s="2512" t="s">
        <v>9132</v>
      </c>
      <c r="C90" s="2488" t="s">
        <v>190</v>
      </c>
      <c r="D90" s="2489" t="s">
        <v>9086</v>
      </c>
      <c r="E90" s="2614"/>
      <c r="F90" s="2614"/>
      <c r="G90" s="2614"/>
      <c r="H90" s="3224">
        <v>16</v>
      </c>
      <c r="I90" s="2488"/>
      <c r="J90" s="2614"/>
      <c r="K90" s="3227">
        <v>503</v>
      </c>
      <c r="L90" s="3225">
        <v>503</v>
      </c>
      <c r="M90" s="2479" t="s">
        <v>12032</v>
      </c>
    </row>
    <row r="91" spans="1:13" ht="15.75" customHeight="1" x14ac:dyDescent="0.2">
      <c r="A91" s="2921">
        <v>14.069000000000001</v>
      </c>
      <c r="B91" s="2512" t="s">
        <v>9133</v>
      </c>
      <c r="C91" s="2488" t="s">
        <v>190</v>
      </c>
      <c r="D91" s="2489" t="s">
        <v>9077</v>
      </c>
      <c r="E91" s="2614"/>
      <c r="F91" s="2614"/>
      <c r="G91" s="2614"/>
      <c r="H91" s="3224">
        <v>5068</v>
      </c>
      <c r="I91" s="2488"/>
      <c r="J91" s="3224">
        <v>138349</v>
      </c>
      <c r="K91" s="2614"/>
      <c r="L91" s="3225">
        <v>138349</v>
      </c>
      <c r="M91" s="2479" t="s">
        <v>12033</v>
      </c>
    </row>
    <row r="92" spans="1:13" ht="15.75" customHeight="1" x14ac:dyDescent="0.2">
      <c r="A92" s="2921">
        <v>14.07</v>
      </c>
      <c r="B92" s="2512" t="s">
        <v>9134</v>
      </c>
      <c r="C92" s="2488" t="s">
        <v>190</v>
      </c>
      <c r="D92" s="2489" t="s">
        <v>9077</v>
      </c>
      <c r="E92" s="2614"/>
      <c r="F92" s="2614"/>
      <c r="G92" s="2614"/>
      <c r="H92" s="3224">
        <v>12775</v>
      </c>
      <c r="I92" s="2488"/>
      <c r="J92" s="3224">
        <v>409175</v>
      </c>
      <c r="K92" s="2488"/>
      <c r="L92" s="3225">
        <v>409175</v>
      </c>
      <c r="M92" s="2479" t="s">
        <v>12034</v>
      </c>
    </row>
    <row r="93" spans="1:13" ht="15.75" customHeight="1" x14ac:dyDescent="0.2">
      <c r="A93" s="2921">
        <v>14.071</v>
      </c>
      <c r="B93" s="2512" t="s">
        <v>9134</v>
      </c>
      <c r="C93" s="2488" t="s">
        <v>190</v>
      </c>
      <c r="D93" s="2489" t="s">
        <v>9086</v>
      </c>
      <c r="E93" s="2614"/>
      <c r="F93" s="2614"/>
      <c r="G93" s="2614"/>
      <c r="H93" s="3224">
        <v>131</v>
      </c>
      <c r="I93" s="2488"/>
      <c r="J93" s="2614"/>
      <c r="K93" s="3227">
        <v>13742</v>
      </c>
      <c r="L93" s="3225">
        <v>13742</v>
      </c>
      <c r="M93" s="2479" t="s">
        <v>12035</v>
      </c>
    </row>
    <row r="94" spans="1:13" ht="15.75" customHeight="1" x14ac:dyDescent="0.2">
      <c r="A94" s="2921">
        <v>14.071999999999999</v>
      </c>
      <c r="B94" s="2512" t="s">
        <v>9135</v>
      </c>
      <c r="C94" s="2488" t="s">
        <v>190</v>
      </c>
      <c r="D94" s="2489" t="s">
        <v>9077</v>
      </c>
      <c r="E94" s="2614"/>
      <c r="F94" s="2614"/>
      <c r="G94" s="2614"/>
      <c r="H94" s="3224">
        <v>1068778</v>
      </c>
      <c r="I94" s="2488"/>
      <c r="J94" s="3224">
        <v>36779430</v>
      </c>
      <c r="K94" s="2614"/>
      <c r="L94" s="3225">
        <v>36779430</v>
      </c>
      <c r="M94" s="2479" t="s">
        <v>12036</v>
      </c>
    </row>
    <row r="95" spans="1:13" ht="15.75" customHeight="1" x14ac:dyDescent="0.2">
      <c r="A95" s="2921">
        <v>14.073</v>
      </c>
      <c r="B95" s="2512" t="s">
        <v>9135</v>
      </c>
      <c r="C95" s="2488" t="s">
        <v>190</v>
      </c>
      <c r="D95" s="2489" t="s">
        <v>9087</v>
      </c>
      <c r="E95" s="2614"/>
      <c r="F95" s="2614"/>
      <c r="G95" s="2614"/>
      <c r="H95" s="3224">
        <v>173324</v>
      </c>
      <c r="I95" s="2488"/>
      <c r="J95" s="3224">
        <v>5755686</v>
      </c>
      <c r="K95" s="2488"/>
      <c r="L95" s="3225">
        <v>5755686</v>
      </c>
      <c r="M95" s="2479" t="s">
        <v>12037</v>
      </c>
    </row>
    <row r="96" spans="1:13" ht="15.75" customHeight="1" x14ac:dyDescent="0.2">
      <c r="A96" s="2921">
        <v>14.074</v>
      </c>
      <c r="B96" s="2744" t="s">
        <v>9136</v>
      </c>
      <c r="C96" s="2488" t="s">
        <v>190</v>
      </c>
      <c r="D96" s="2489" t="s">
        <v>9086</v>
      </c>
      <c r="E96" s="2614"/>
      <c r="F96" s="2614"/>
      <c r="G96" s="2614"/>
      <c r="H96" s="3224">
        <v>53</v>
      </c>
      <c r="I96" s="2488"/>
      <c r="J96" s="2614"/>
      <c r="K96" s="3227">
        <v>4351</v>
      </c>
      <c r="L96" s="3225">
        <v>4351</v>
      </c>
      <c r="M96" s="2479" t="s">
        <v>12038</v>
      </c>
    </row>
    <row r="97" spans="1:28" ht="15.75" customHeight="1" x14ac:dyDescent="0.2">
      <c r="A97" s="2921">
        <v>14.074999999999999</v>
      </c>
      <c r="B97" s="2512" t="s">
        <v>9137</v>
      </c>
      <c r="C97" s="2488" t="s">
        <v>190</v>
      </c>
      <c r="D97" s="2489" t="s">
        <v>9077</v>
      </c>
      <c r="E97" s="2614"/>
      <c r="F97" s="2614"/>
      <c r="G97" s="2614"/>
      <c r="H97" s="3224">
        <v>6280</v>
      </c>
      <c r="I97" s="2488"/>
      <c r="J97" s="3224">
        <v>208562</v>
      </c>
      <c r="K97" s="2614"/>
      <c r="L97" s="3225">
        <v>208562</v>
      </c>
      <c r="M97" s="2479" t="s">
        <v>12039</v>
      </c>
    </row>
    <row r="98" spans="1:28" ht="15.75" customHeight="1" x14ac:dyDescent="0.2">
      <c r="A98" s="2921">
        <v>14.076000000000001</v>
      </c>
      <c r="B98" s="2512" t="s">
        <v>9138</v>
      </c>
      <c r="C98" s="2488" t="s">
        <v>190</v>
      </c>
      <c r="D98" s="2489" t="s">
        <v>9077</v>
      </c>
      <c r="E98" s="2614"/>
      <c r="F98" s="2614"/>
      <c r="G98" s="2614"/>
      <c r="H98" s="3224">
        <v>220213</v>
      </c>
      <c r="I98" s="2488"/>
      <c r="J98" s="3224">
        <v>9630370</v>
      </c>
      <c r="K98" s="2488"/>
      <c r="L98" s="3225">
        <v>9630370</v>
      </c>
      <c r="M98" s="2479" t="s">
        <v>12040</v>
      </c>
    </row>
    <row r="99" spans="1:28" ht="15.75" customHeight="1" x14ac:dyDescent="0.2">
      <c r="A99" s="2921">
        <v>14.077</v>
      </c>
      <c r="B99" s="2512" t="s">
        <v>9138</v>
      </c>
      <c r="C99" s="2488" t="s">
        <v>190</v>
      </c>
      <c r="D99" s="2489" t="s">
        <v>9087</v>
      </c>
      <c r="E99" s="2614"/>
      <c r="F99" s="2614"/>
      <c r="G99" s="2614"/>
      <c r="H99" s="3224">
        <v>75701</v>
      </c>
      <c r="I99" s="2488"/>
      <c r="J99" s="3224">
        <v>2689706</v>
      </c>
      <c r="K99" s="2488"/>
      <c r="L99" s="3225">
        <v>2689706</v>
      </c>
      <c r="M99" s="2479" t="s">
        <v>12041</v>
      </c>
    </row>
    <row r="100" spans="1:28" ht="15.75" customHeight="1" x14ac:dyDescent="0.2">
      <c r="A100" s="2921">
        <v>14.077999999999999</v>
      </c>
      <c r="B100" s="2512" t="s">
        <v>9139</v>
      </c>
      <c r="C100" s="2488" t="s">
        <v>190</v>
      </c>
      <c r="D100" s="2489" t="s">
        <v>9077</v>
      </c>
      <c r="E100" s="2614"/>
      <c r="F100" s="2614"/>
      <c r="G100" s="2614"/>
      <c r="H100" s="3224">
        <v>34109</v>
      </c>
      <c r="I100" s="2488"/>
      <c r="J100" s="3224">
        <v>1265186</v>
      </c>
      <c r="K100" s="2614"/>
      <c r="L100" s="3225">
        <v>1265186</v>
      </c>
      <c r="M100" s="2479" t="s">
        <v>12042</v>
      </c>
    </row>
    <row r="101" spans="1:28" ht="15.75" customHeight="1" x14ac:dyDescent="0.2">
      <c r="A101" s="2921">
        <v>14.079000000000001</v>
      </c>
      <c r="B101" s="2512" t="s">
        <v>9140</v>
      </c>
      <c r="C101" s="2488" t="s">
        <v>190</v>
      </c>
      <c r="D101" s="2489" t="s">
        <v>9077</v>
      </c>
      <c r="E101" s="2614"/>
      <c r="F101" s="2614"/>
      <c r="G101" s="2614"/>
      <c r="H101" s="3224">
        <v>103642</v>
      </c>
      <c r="I101" s="2488"/>
      <c r="J101" s="3224">
        <v>4692274</v>
      </c>
      <c r="K101" s="2488"/>
      <c r="L101" s="3225">
        <v>4692274</v>
      </c>
      <c r="M101" s="2479" t="s">
        <v>12043</v>
      </c>
    </row>
    <row r="102" spans="1:28" ht="15.75" customHeight="1" x14ac:dyDescent="0.2">
      <c r="A102" s="2921">
        <v>14.08</v>
      </c>
      <c r="B102" s="2512" t="s">
        <v>9140</v>
      </c>
      <c r="C102" s="2488" t="s">
        <v>190</v>
      </c>
      <c r="D102" s="2489" t="s">
        <v>9087</v>
      </c>
      <c r="E102" s="2614"/>
      <c r="F102" s="2614"/>
      <c r="G102" s="2614"/>
      <c r="H102" s="3224">
        <v>25</v>
      </c>
      <c r="I102" s="2488"/>
      <c r="J102" s="3224">
        <v>800</v>
      </c>
      <c r="K102" s="2488"/>
      <c r="L102" s="3225">
        <v>800</v>
      </c>
      <c r="M102" s="2479" t="s">
        <v>12044</v>
      </c>
    </row>
    <row r="103" spans="1:28" ht="15.75" customHeight="1" x14ac:dyDescent="0.2">
      <c r="A103" s="2921">
        <v>14.081</v>
      </c>
      <c r="B103" s="2512" t="s">
        <v>9141</v>
      </c>
      <c r="C103" s="2488" t="s">
        <v>190</v>
      </c>
      <c r="D103" s="2489" t="s">
        <v>9077</v>
      </c>
      <c r="E103" s="2614"/>
      <c r="F103" s="2614"/>
      <c r="G103" s="2614"/>
      <c r="H103" s="3224">
        <v>43601</v>
      </c>
      <c r="I103" s="2488"/>
      <c r="J103" s="3224">
        <v>2025810</v>
      </c>
      <c r="K103" s="2614"/>
      <c r="L103" s="3225">
        <v>2025810</v>
      </c>
      <c r="M103" s="2479" t="s">
        <v>12045</v>
      </c>
    </row>
    <row r="104" spans="1:28" ht="15.75" customHeight="1" x14ac:dyDescent="0.2">
      <c r="A104" s="2921">
        <v>14.082000000000001</v>
      </c>
      <c r="B104" s="2512" t="s">
        <v>9142</v>
      </c>
      <c r="C104" s="2488" t="s">
        <v>190</v>
      </c>
      <c r="D104" s="2489" t="s">
        <v>9077</v>
      </c>
      <c r="E104" s="2614"/>
      <c r="F104" s="2614"/>
      <c r="G104" s="2614"/>
      <c r="H104" s="3224">
        <v>119121</v>
      </c>
      <c r="I104" s="2488"/>
      <c r="J104" s="3224">
        <v>5091558</v>
      </c>
      <c r="K104" s="2488"/>
      <c r="L104" s="3225">
        <v>5091558</v>
      </c>
      <c r="M104" s="2479" t="s">
        <v>12046</v>
      </c>
    </row>
    <row r="105" spans="1:28" ht="15.75" customHeight="1" x14ac:dyDescent="0.2">
      <c r="A105" s="2921">
        <v>14.083</v>
      </c>
      <c r="B105" s="2512" t="s">
        <v>9143</v>
      </c>
      <c r="C105" s="2488" t="s">
        <v>190</v>
      </c>
      <c r="D105" s="2489" t="s">
        <v>9077</v>
      </c>
      <c r="E105" s="2614"/>
      <c r="F105" s="2614"/>
      <c r="G105" s="2614"/>
      <c r="H105" s="3224">
        <v>70504</v>
      </c>
      <c r="I105" s="2488"/>
      <c r="J105" s="3224">
        <v>2622457</v>
      </c>
      <c r="K105" s="2488"/>
      <c r="L105" s="3225">
        <v>2622457</v>
      </c>
      <c r="M105" s="2479" t="s">
        <v>12047</v>
      </c>
    </row>
    <row r="106" spans="1:28" ht="15.75" customHeight="1" x14ac:dyDescent="0.2">
      <c r="A106" s="2921">
        <v>14.084</v>
      </c>
      <c r="B106" s="2512" t="s">
        <v>9143</v>
      </c>
      <c r="C106" s="2488" t="s">
        <v>190</v>
      </c>
      <c r="D106" s="2489" t="s">
        <v>9086</v>
      </c>
      <c r="E106" s="2614"/>
      <c r="F106" s="2614"/>
      <c r="G106" s="2614"/>
      <c r="H106" s="3224">
        <v>5</v>
      </c>
      <c r="I106" s="2488"/>
      <c r="J106" s="2614"/>
      <c r="K106" s="3229">
        <v>339</v>
      </c>
      <c r="L106" s="3225">
        <v>339</v>
      </c>
      <c r="M106" s="2479" t="s">
        <v>12048</v>
      </c>
    </row>
    <row r="107" spans="1:28" ht="15.75" customHeight="1" x14ac:dyDescent="0.2">
      <c r="A107" s="2921">
        <v>14.085000000000001</v>
      </c>
      <c r="B107" s="2512" t="s">
        <v>9144</v>
      </c>
      <c r="C107" s="2488" t="s">
        <v>190</v>
      </c>
      <c r="D107" s="2489" t="s">
        <v>9077</v>
      </c>
      <c r="E107" s="2614"/>
      <c r="F107" s="2614"/>
      <c r="G107" s="2614"/>
      <c r="H107" s="3224">
        <v>6758</v>
      </c>
      <c r="I107" s="2488"/>
      <c r="J107" s="3224">
        <v>404671</v>
      </c>
      <c r="K107" s="2488"/>
      <c r="L107" s="3225">
        <v>404671</v>
      </c>
      <c r="M107" s="2479" t="s">
        <v>12049</v>
      </c>
    </row>
    <row r="108" spans="1:28" ht="15.75" customHeight="1" x14ac:dyDescent="0.2">
      <c r="A108" s="2921">
        <v>14.086</v>
      </c>
      <c r="B108" s="2512" t="s">
        <v>9145</v>
      </c>
      <c r="C108" s="2488" t="s">
        <v>190</v>
      </c>
      <c r="D108" s="2489" t="s">
        <v>9077</v>
      </c>
      <c r="E108" s="2614"/>
      <c r="F108" s="2614"/>
      <c r="G108" s="2614"/>
      <c r="H108" s="3224">
        <v>39334</v>
      </c>
      <c r="I108" s="2488"/>
      <c r="J108" s="3224">
        <v>1519440</v>
      </c>
      <c r="K108" s="2488"/>
      <c r="L108" s="3225">
        <v>1519440</v>
      </c>
      <c r="M108" s="2479" t="s">
        <v>12050</v>
      </c>
      <c r="N108" s="2576"/>
      <c r="O108" s="2576"/>
      <c r="P108" s="2576"/>
      <c r="Q108" s="2576"/>
      <c r="R108" s="2576"/>
      <c r="S108" s="2576"/>
      <c r="T108" s="2576"/>
      <c r="U108" s="2576"/>
      <c r="V108" s="2576"/>
      <c r="W108" s="2576"/>
      <c r="X108" s="2576"/>
      <c r="Y108" s="2576"/>
      <c r="Z108" s="2576"/>
      <c r="AA108" s="2576"/>
      <c r="AB108" s="2576"/>
    </row>
    <row r="109" spans="1:28" ht="15.75" customHeight="1" x14ac:dyDescent="0.2">
      <c r="A109" s="2921">
        <v>14.087</v>
      </c>
      <c r="B109" s="2512" t="s">
        <v>9146</v>
      </c>
      <c r="C109" s="2488" t="s">
        <v>190</v>
      </c>
      <c r="D109" s="2489" t="s">
        <v>9087</v>
      </c>
      <c r="E109" s="2614"/>
      <c r="F109" s="2614"/>
      <c r="G109" s="2614"/>
      <c r="H109" s="3224">
        <v>56357</v>
      </c>
      <c r="I109" s="2488"/>
      <c r="J109" s="3224">
        <v>1587338</v>
      </c>
      <c r="K109" s="2614"/>
      <c r="L109" s="3225">
        <v>1587338</v>
      </c>
      <c r="M109" s="2479" t="s">
        <v>12051</v>
      </c>
    </row>
    <row r="110" spans="1:28" ht="15.75" customHeight="1" x14ac:dyDescent="0.2">
      <c r="A110" s="2921">
        <v>14.087999999999999</v>
      </c>
      <c r="B110" s="2512" t="s">
        <v>9147</v>
      </c>
      <c r="C110" s="2488" t="s">
        <v>190</v>
      </c>
      <c r="D110" s="2489" t="s">
        <v>9087</v>
      </c>
      <c r="E110" s="2614"/>
      <c r="F110" s="2614"/>
      <c r="G110" s="2614"/>
      <c r="H110" s="3224">
        <v>73725</v>
      </c>
      <c r="I110" s="2488"/>
      <c r="J110" s="3224">
        <v>3020181</v>
      </c>
      <c r="K110" s="2488"/>
      <c r="L110" s="3225">
        <v>3020181</v>
      </c>
      <c r="M110" s="2479" t="s">
        <v>12052</v>
      </c>
    </row>
    <row r="111" spans="1:28" ht="15.75" customHeight="1" x14ac:dyDescent="0.2">
      <c r="A111" s="2921">
        <v>14.089</v>
      </c>
      <c r="B111" s="2512" t="s">
        <v>9148</v>
      </c>
      <c r="C111" s="2488" t="s">
        <v>190</v>
      </c>
      <c r="D111" s="2489" t="s">
        <v>9077</v>
      </c>
      <c r="E111" s="2614"/>
      <c r="F111" s="2614"/>
      <c r="G111" s="2614"/>
      <c r="H111" s="3224">
        <v>3398</v>
      </c>
      <c r="I111" s="2488"/>
      <c r="J111" s="3224">
        <v>115020</v>
      </c>
      <c r="K111" s="2488"/>
      <c r="L111" s="3225">
        <v>115020</v>
      </c>
      <c r="M111" s="2479" t="s">
        <v>12053</v>
      </c>
    </row>
    <row r="112" spans="1:28" ht="15.75" customHeight="1" x14ac:dyDescent="0.2">
      <c r="A112" s="2921">
        <v>14.09</v>
      </c>
      <c r="B112" s="2512" t="s">
        <v>12054</v>
      </c>
      <c r="C112" s="2488" t="s">
        <v>190</v>
      </c>
      <c r="D112" s="2489" t="s">
        <v>9077</v>
      </c>
      <c r="E112" s="2614"/>
      <c r="F112" s="2614"/>
      <c r="G112" s="2614"/>
      <c r="H112" s="3224">
        <v>169884</v>
      </c>
      <c r="I112" s="2488"/>
      <c r="J112" s="3224">
        <v>7332930</v>
      </c>
      <c r="K112" s="2614"/>
      <c r="L112" s="3225">
        <v>7332930</v>
      </c>
      <c r="M112" s="2479" t="s">
        <v>12055</v>
      </c>
    </row>
    <row r="113" spans="1:13" ht="15.75" customHeight="1" x14ac:dyDescent="0.2">
      <c r="A113" s="2921">
        <v>14.0909999999999</v>
      </c>
      <c r="B113" s="2512" t="s">
        <v>12054</v>
      </c>
      <c r="C113" s="2488" t="s">
        <v>190</v>
      </c>
      <c r="D113" s="2489" t="s">
        <v>9086</v>
      </c>
      <c r="E113" s="2614"/>
      <c r="F113" s="2614"/>
      <c r="G113" s="2614"/>
      <c r="H113" s="3224">
        <v>861</v>
      </c>
      <c r="I113" s="2488"/>
      <c r="J113" s="2614"/>
      <c r="K113" s="3227">
        <v>52950</v>
      </c>
      <c r="L113" s="3225">
        <v>52950</v>
      </c>
      <c r="M113" s="2479" t="s">
        <v>12056</v>
      </c>
    </row>
    <row r="114" spans="1:13" ht="15.75" customHeight="1" x14ac:dyDescent="0.2">
      <c r="A114" s="2921">
        <v>14.091999999999899</v>
      </c>
      <c r="B114" s="2512" t="s">
        <v>12057</v>
      </c>
      <c r="C114" s="2488" t="s">
        <v>190</v>
      </c>
      <c r="D114" s="2489" t="s">
        <v>9077</v>
      </c>
      <c r="E114" s="2614"/>
      <c r="F114" s="2614"/>
      <c r="G114" s="2614"/>
      <c r="H114" s="3224">
        <v>400</v>
      </c>
      <c r="I114" s="2488"/>
      <c r="J114" s="3224">
        <v>9840</v>
      </c>
      <c r="K114" s="2488"/>
      <c r="L114" s="3225">
        <v>9840</v>
      </c>
      <c r="M114" s="2479" t="s">
        <v>12058</v>
      </c>
    </row>
    <row r="115" spans="1:13" ht="15.75" customHeight="1" x14ac:dyDescent="0.2">
      <c r="A115" s="2921">
        <v>14.0929999999999</v>
      </c>
      <c r="B115" s="2512" t="s">
        <v>12059</v>
      </c>
      <c r="C115" s="2488" t="s">
        <v>190</v>
      </c>
      <c r="D115" s="2489" t="s">
        <v>9077</v>
      </c>
      <c r="E115" s="2614"/>
      <c r="F115" s="2614"/>
      <c r="G115" s="2614"/>
      <c r="H115" s="3224">
        <v>34508</v>
      </c>
      <c r="I115" s="2488"/>
      <c r="J115" s="3224">
        <v>946367</v>
      </c>
      <c r="K115" s="2614"/>
      <c r="L115" s="3225">
        <v>946367</v>
      </c>
      <c r="M115" s="2479" t="s">
        <v>12060</v>
      </c>
    </row>
    <row r="116" spans="1:13" ht="15.75" customHeight="1" x14ac:dyDescent="0.2">
      <c r="A116" s="2921">
        <v>14.0939999999999</v>
      </c>
      <c r="B116" s="2512" t="s">
        <v>12061</v>
      </c>
      <c r="C116" s="2488" t="s">
        <v>190</v>
      </c>
      <c r="D116" s="2489" t="s">
        <v>9077</v>
      </c>
      <c r="E116" s="2614"/>
      <c r="F116" s="2614"/>
      <c r="G116" s="2614"/>
      <c r="H116" s="3224">
        <v>212763</v>
      </c>
      <c r="I116" s="2488"/>
      <c r="J116" s="3224">
        <v>8602961</v>
      </c>
      <c r="K116" s="2488"/>
      <c r="L116" s="3225">
        <v>8602961</v>
      </c>
      <c r="M116" s="2479" t="s">
        <v>12062</v>
      </c>
    </row>
    <row r="117" spans="1:13" ht="15.75" customHeight="1" x14ac:dyDescent="0.2">
      <c r="A117" s="2921">
        <v>14.094999999999899</v>
      </c>
      <c r="B117" s="2512" t="s">
        <v>9152</v>
      </c>
      <c r="C117" s="2478" t="s">
        <v>196</v>
      </c>
      <c r="D117" s="2489"/>
      <c r="E117" s="2614"/>
      <c r="F117" s="2614"/>
      <c r="G117" s="2614"/>
      <c r="H117" s="3224">
        <v>8692</v>
      </c>
      <c r="I117" s="2488"/>
      <c r="J117" s="2614"/>
      <c r="K117" s="3229">
        <v>159757</v>
      </c>
      <c r="L117" s="3225">
        <v>159757</v>
      </c>
      <c r="M117" s="2479" t="s">
        <v>12063</v>
      </c>
    </row>
    <row r="118" spans="1:13" ht="15.75" customHeight="1" x14ac:dyDescent="0.2">
      <c r="A118" s="2921">
        <v>14.095999999999901</v>
      </c>
      <c r="B118" s="2512" t="s">
        <v>9152</v>
      </c>
      <c r="C118" s="2478" t="s">
        <v>193</v>
      </c>
      <c r="D118" s="2489"/>
      <c r="E118" s="2614"/>
      <c r="F118" s="2614"/>
      <c r="G118" s="2614"/>
      <c r="H118" s="3224">
        <v>-76753</v>
      </c>
      <c r="I118" s="2488"/>
      <c r="J118" s="2614"/>
      <c r="K118" s="3229">
        <v>-1432278</v>
      </c>
      <c r="L118" s="3225">
        <v>-1432278</v>
      </c>
      <c r="M118" s="2479" t="s">
        <v>12064</v>
      </c>
    </row>
    <row r="119" spans="1:13" ht="15.75" customHeight="1" x14ac:dyDescent="0.2">
      <c r="A119" s="2921">
        <v>14.0969999999999</v>
      </c>
      <c r="B119" s="2512" t="s">
        <v>9153</v>
      </c>
      <c r="C119" s="2478" t="s">
        <v>196</v>
      </c>
      <c r="D119" s="2489" t="s">
        <v>9154</v>
      </c>
      <c r="E119" s="2614"/>
      <c r="F119" s="2614"/>
      <c r="G119" s="2614"/>
      <c r="H119" s="3224">
        <v>6</v>
      </c>
      <c r="I119" s="2488"/>
      <c r="J119" s="2614"/>
      <c r="K119" s="3229">
        <v>1241</v>
      </c>
      <c r="L119" s="3225">
        <v>1241</v>
      </c>
      <c r="M119" s="2479" t="s">
        <v>12065</v>
      </c>
    </row>
    <row r="120" spans="1:13" ht="15.75" customHeight="1" x14ac:dyDescent="0.2">
      <c r="A120" s="2921">
        <v>14.0979999999999</v>
      </c>
      <c r="B120" s="2512" t="s">
        <v>9153</v>
      </c>
      <c r="C120" s="2478" t="s">
        <v>193</v>
      </c>
      <c r="D120" s="2489" t="s">
        <v>9154</v>
      </c>
      <c r="E120" s="2614"/>
      <c r="F120" s="2614"/>
      <c r="G120" s="2614"/>
      <c r="H120" s="3224">
        <v>266743</v>
      </c>
      <c r="I120" s="2488"/>
      <c r="J120" s="2614"/>
      <c r="K120" s="3227">
        <v>10567702</v>
      </c>
      <c r="L120" s="3225">
        <v>10567702</v>
      </c>
      <c r="M120" s="2479" t="s">
        <v>12066</v>
      </c>
    </row>
    <row r="121" spans="1:13" ht="15.75" customHeight="1" x14ac:dyDescent="0.2">
      <c r="A121" s="2921">
        <v>14.098999999999901</v>
      </c>
      <c r="B121" s="2512" t="s">
        <v>9155</v>
      </c>
      <c r="C121" s="2488"/>
      <c r="D121" s="2489"/>
      <c r="E121" s="2614"/>
      <c r="F121" s="2614"/>
      <c r="G121" s="2614"/>
      <c r="H121" s="3224">
        <v>-1776035</v>
      </c>
      <c r="I121" s="2488"/>
      <c r="J121" s="2614"/>
      <c r="K121" s="3229">
        <v>-61513064</v>
      </c>
      <c r="L121" s="3225">
        <v>-61513064</v>
      </c>
      <c r="M121" s="2479" t="s">
        <v>12067</v>
      </c>
    </row>
    <row r="122" spans="1:13" ht="15.75" customHeight="1" x14ac:dyDescent="0.2">
      <c r="A122" s="2921">
        <v>14.0999999999999</v>
      </c>
      <c r="B122" s="2512" t="s">
        <v>9156</v>
      </c>
      <c r="C122" s="2488"/>
      <c r="D122" s="2489"/>
      <c r="E122" s="2614"/>
      <c r="F122" s="2614"/>
      <c r="G122" s="2614"/>
      <c r="H122" s="2614"/>
      <c r="I122" s="2488"/>
      <c r="J122" s="2614"/>
      <c r="K122" s="3227">
        <v>-1049308</v>
      </c>
      <c r="L122" s="3225">
        <v>-1049308</v>
      </c>
      <c r="M122" s="2479" t="s">
        <v>12068</v>
      </c>
    </row>
    <row r="123" spans="1:13" ht="15.75" customHeight="1" x14ac:dyDescent="0.2">
      <c r="A123" s="2921">
        <v>14.1009999999999</v>
      </c>
      <c r="B123" s="2512" t="s">
        <v>9080</v>
      </c>
      <c r="C123" s="2488"/>
      <c r="D123" s="2489"/>
      <c r="E123" s="2614"/>
      <c r="F123" s="2614"/>
      <c r="G123" s="2614"/>
      <c r="H123" s="3224">
        <v>-5218</v>
      </c>
      <c r="I123" s="2488"/>
      <c r="J123" s="2614"/>
      <c r="K123" s="3227">
        <v>-856145</v>
      </c>
      <c r="L123" s="3225">
        <v>-856145</v>
      </c>
      <c r="M123" s="2479" t="s">
        <v>12069</v>
      </c>
    </row>
    <row r="124" spans="1:13" ht="15.75" customHeight="1" x14ac:dyDescent="0.2">
      <c r="A124" s="2921">
        <v>14.101999999999901</v>
      </c>
      <c r="B124" s="2512"/>
      <c r="C124" s="2488"/>
      <c r="D124" s="2489"/>
      <c r="E124" s="2488"/>
      <c r="F124" s="2488"/>
      <c r="G124" s="2488"/>
      <c r="H124" s="2614"/>
      <c r="I124" s="2488"/>
      <c r="J124" s="2614"/>
      <c r="K124" s="2614"/>
      <c r="L124" s="2562"/>
      <c r="M124" s="2479" t="s">
        <v>11955</v>
      </c>
    </row>
    <row r="125" spans="1:13" ht="15.75" customHeight="1" x14ac:dyDescent="0.2">
      <c r="A125" s="2748">
        <v>15</v>
      </c>
      <c r="B125" s="2669" t="s">
        <v>9157</v>
      </c>
      <c r="C125" s="2668"/>
      <c r="D125" s="2668"/>
      <c r="E125" s="2668"/>
      <c r="F125" s="2668"/>
      <c r="G125" s="2668"/>
      <c r="H125" s="3230">
        <v>278833</v>
      </c>
      <c r="I125" s="3230">
        <v>6165962</v>
      </c>
      <c r="J125" s="3230">
        <v>7847499</v>
      </c>
      <c r="K125" s="3230">
        <v>-769396</v>
      </c>
      <c r="L125" s="3230">
        <v>13244065</v>
      </c>
      <c r="M125" s="2479" t="s">
        <v>12070</v>
      </c>
    </row>
    <row r="126" spans="1:13" ht="15.75" customHeight="1" x14ac:dyDescent="0.2">
      <c r="A126" s="2748">
        <v>16</v>
      </c>
      <c r="B126" s="2669" t="s">
        <v>9158</v>
      </c>
      <c r="C126" s="2668"/>
      <c r="D126" s="2668"/>
      <c r="E126" s="2668"/>
      <c r="F126" s="2668"/>
      <c r="G126" s="2668"/>
      <c r="H126" s="3230">
        <v>4833964</v>
      </c>
      <c r="I126" s="3230">
        <v>1042864</v>
      </c>
      <c r="J126" s="3230">
        <v>233453568</v>
      </c>
      <c r="K126" s="3230">
        <v>-53979382</v>
      </c>
      <c r="L126" s="3230">
        <v>180517050</v>
      </c>
      <c r="M126" s="2479" t="s">
        <v>12071</v>
      </c>
    </row>
    <row r="127" spans="1:13" ht="15.75" customHeight="1" x14ac:dyDescent="0.2">
      <c r="A127" s="2748">
        <v>17</v>
      </c>
      <c r="B127" s="2669" t="s">
        <v>104</v>
      </c>
      <c r="C127" s="2668"/>
      <c r="D127" s="2668"/>
      <c r="E127" s="2668"/>
      <c r="F127" s="2668"/>
      <c r="G127" s="2668"/>
      <c r="H127" s="3230">
        <v>5112797</v>
      </c>
      <c r="I127" s="3230">
        <v>7208826</v>
      </c>
      <c r="J127" s="3230">
        <v>241301067</v>
      </c>
      <c r="K127" s="3230">
        <v>-54748778</v>
      </c>
      <c r="L127" s="3230">
        <v>193761115</v>
      </c>
      <c r="M127" s="2479" t="s">
        <v>12072</v>
      </c>
    </row>
    <row r="128" spans="1:13" ht="15" customHeight="1" x14ac:dyDescent="0.2">
      <c r="A128" s="2535"/>
      <c r="B128" s="2924"/>
      <c r="C128" s="2516"/>
      <c r="D128" s="2516"/>
      <c r="E128" s="2516"/>
      <c r="F128" s="2516"/>
      <c r="G128" s="2516"/>
      <c r="H128" s="2516"/>
      <c r="I128" s="2516"/>
      <c r="J128" s="2516"/>
      <c r="K128" s="2516"/>
      <c r="L128" s="2516"/>
      <c r="M128" s="2775"/>
    </row>
    <row r="129" spans="12:12" ht="15" customHeight="1" x14ac:dyDescent="0.2">
      <c r="L129" s="2576"/>
    </row>
    <row r="130" spans="12:12" ht="15" customHeight="1" x14ac:dyDescent="0.2"/>
  </sheetData>
  <mergeCells count="13">
    <mergeCell ref="H6:H7"/>
    <mergeCell ref="I6:K6"/>
    <mergeCell ref="L6:L7"/>
    <mergeCell ref="A3:L3"/>
    <mergeCell ref="A4:L4"/>
    <mergeCell ref="A5:G5"/>
    <mergeCell ref="H5:L5"/>
    <mergeCell ref="A6:A8"/>
    <mergeCell ref="B6:B7"/>
    <mergeCell ref="C6:C7"/>
    <mergeCell ref="D6:D7"/>
    <mergeCell ref="E6:E7"/>
    <mergeCell ref="F6:G6"/>
  </mergeCells>
  <pageMargins left="0.75" right="0.75" top="1" bottom="1" header="0.5" footer="0.5"/>
  <pageSetup orientation="portrait" r:id="rId1"/>
  <customProperties>
    <customPr name="_pios_id" r:id="rId2"/>
  </customProperties>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65C9B-E7A3-43A5-8F6F-AAB64659484C}">
  <sheetPr codeName="Sheet76"/>
  <dimension ref="A1:T234"/>
  <sheetViews>
    <sheetView workbookViewId="0">
      <pane ySplit="8" topLeftCell="A209" activePane="bottomLeft" state="frozen"/>
      <selection sqref="A1:B1"/>
      <selection pane="bottomLeft" sqref="A1:B1"/>
    </sheetView>
  </sheetViews>
  <sheetFormatPr defaultColWidth="11.5" defaultRowHeight="12.75" x14ac:dyDescent="0.2"/>
  <cols>
    <col min="1" max="1" width="9.625" style="1953" customWidth="1"/>
    <col min="2" max="2" width="68.125" style="1953" customWidth="1"/>
    <col min="3" max="3" width="17.875" style="1953" customWidth="1"/>
    <col min="4" max="4" width="19.75" style="1953" customWidth="1"/>
    <col min="5" max="6" width="17.625" style="1953" customWidth="1"/>
    <col min="7" max="7" width="17.625" style="1953" hidden="1" customWidth="1"/>
    <col min="8" max="8" width="6.375" style="1953" hidden="1" customWidth="1"/>
    <col min="9" max="9" width="13.5" style="1953" hidden="1" customWidth="1"/>
    <col min="10" max="20" width="17.625" style="1953" hidden="1" customWidth="1"/>
    <col min="21" max="26" width="17.625" style="1953" customWidth="1"/>
    <col min="27" max="16384" width="11.5" style="1953"/>
  </cols>
  <sheetData>
    <row r="1" spans="1:20" ht="16.7" customHeight="1" x14ac:dyDescent="0.2">
      <c r="C1" s="2744" t="s">
        <v>7058</v>
      </c>
      <c r="D1" s="2479"/>
      <c r="G1" s="2590"/>
      <c r="H1" s="2578"/>
      <c r="I1" s="2511"/>
      <c r="J1" s="2482"/>
      <c r="K1" s="2482"/>
      <c r="L1" s="2482"/>
      <c r="M1" s="2482"/>
      <c r="N1" s="2482"/>
      <c r="O1" s="2482"/>
      <c r="P1" s="2482"/>
      <c r="Q1" s="2482"/>
      <c r="R1" s="2482"/>
      <c r="S1" s="2482"/>
      <c r="T1" s="2482"/>
    </row>
    <row r="2" spans="1:20" ht="16.7" customHeight="1" x14ac:dyDescent="0.2">
      <c r="C2" s="2483"/>
      <c r="G2" s="2579"/>
      <c r="H2" s="2578"/>
      <c r="I2" s="2511"/>
      <c r="J2" s="2482"/>
      <c r="K2" s="2482"/>
      <c r="L2" s="2482"/>
      <c r="M2" s="2482"/>
      <c r="N2" s="2482"/>
      <c r="O2" s="2482"/>
      <c r="P2" s="2482"/>
      <c r="Q2" s="2482"/>
      <c r="R2" s="2482"/>
      <c r="S2" s="2482"/>
      <c r="T2" s="2482"/>
    </row>
    <row r="3" spans="1:20" ht="15.75" customHeight="1" x14ac:dyDescent="0.2">
      <c r="A3" s="3890" t="s">
        <v>9159</v>
      </c>
      <c r="B3" s="3890"/>
      <c r="C3" s="3890"/>
      <c r="D3" s="3890"/>
      <c r="E3" s="2925"/>
      <c r="G3" s="2579"/>
      <c r="H3" s="2578"/>
      <c r="I3" s="2511"/>
      <c r="J3" s="2482"/>
      <c r="K3" s="2482"/>
      <c r="L3" s="2482"/>
      <c r="M3" s="2482"/>
      <c r="N3" s="2482"/>
      <c r="O3" s="2482"/>
      <c r="P3" s="2482"/>
      <c r="Q3" s="2482"/>
      <c r="R3" s="2482"/>
      <c r="S3" s="2482"/>
      <c r="T3" s="2482"/>
    </row>
    <row r="4" spans="1:20" ht="15.75" customHeight="1" x14ac:dyDescent="0.2">
      <c r="A4" s="3882" t="s">
        <v>9160</v>
      </c>
      <c r="B4" s="3883"/>
      <c r="C4" s="3883"/>
      <c r="D4" s="3884"/>
      <c r="E4" s="2925"/>
      <c r="G4" s="2579"/>
      <c r="H4" s="2578"/>
      <c r="I4" s="2511"/>
      <c r="J4" s="2482"/>
      <c r="K4" s="2482"/>
      <c r="L4" s="2482"/>
      <c r="M4" s="2482"/>
      <c r="N4" s="2482"/>
      <c r="O4" s="2482"/>
      <c r="P4" s="2482"/>
      <c r="Q4" s="2482"/>
      <c r="R4" s="2482"/>
      <c r="S4" s="2482"/>
      <c r="T4" s="2482"/>
    </row>
    <row r="5" spans="1:20" ht="15.75" customHeight="1" x14ac:dyDescent="0.2">
      <c r="A5" s="3878" t="s">
        <v>9161</v>
      </c>
      <c r="B5" s="3883"/>
      <c r="C5" s="3883"/>
      <c r="D5" s="3884"/>
      <c r="E5" s="2925"/>
      <c r="G5" s="2579"/>
      <c r="H5" s="2578"/>
      <c r="I5" s="2511"/>
      <c r="J5" s="2482"/>
      <c r="K5" s="2482"/>
      <c r="L5" s="2482"/>
      <c r="M5" s="2482"/>
      <c r="N5" s="2482"/>
      <c r="O5" s="2482"/>
      <c r="P5" s="2482"/>
      <c r="Q5" s="2482"/>
      <c r="R5" s="2482"/>
      <c r="S5" s="2482"/>
      <c r="T5" s="2482"/>
    </row>
    <row r="6" spans="1:20" ht="23.25" customHeight="1" x14ac:dyDescent="0.2">
      <c r="A6" s="3922" t="s">
        <v>5945</v>
      </c>
      <c r="B6" s="2581" t="s">
        <v>96</v>
      </c>
      <c r="C6" s="2581" t="s">
        <v>9162</v>
      </c>
      <c r="D6" s="2581" t="s">
        <v>9163</v>
      </c>
      <c r="E6" s="2925"/>
      <c r="G6" s="2579"/>
      <c r="H6" s="2578"/>
      <c r="I6" s="2511"/>
      <c r="J6" s="2482"/>
      <c r="K6" s="2482"/>
      <c r="L6" s="2482"/>
      <c r="M6" s="2482"/>
      <c r="N6" s="2482"/>
      <c r="O6" s="2482"/>
      <c r="P6" s="2482"/>
      <c r="Q6" s="2482"/>
      <c r="R6" s="2482"/>
      <c r="S6" s="2482"/>
      <c r="T6" s="2482"/>
    </row>
    <row r="7" spans="1:20" ht="15.75" customHeight="1" x14ac:dyDescent="0.2">
      <c r="A7" s="3943"/>
      <c r="B7" s="2586" t="s">
        <v>5949</v>
      </c>
      <c r="C7" s="2586" t="s">
        <v>5950</v>
      </c>
      <c r="D7" s="2586" t="s">
        <v>5951</v>
      </c>
      <c r="E7" s="2925"/>
      <c r="G7" s="2579"/>
      <c r="H7" s="2578"/>
      <c r="I7" s="2511"/>
      <c r="J7" s="2482"/>
      <c r="K7" s="2482"/>
      <c r="L7" s="2482"/>
      <c r="M7" s="2482"/>
      <c r="N7" s="2482"/>
      <c r="O7" s="2482"/>
      <c r="P7" s="2482"/>
      <c r="Q7" s="2482"/>
      <c r="R7" s="2482"/>
      <c r="S7" s="2482"/>
      <c r="T7" s="2482"/>
    </row>
    <row r="8" spans="1:20" ht="15.75" customHeight="1" x14ac:dyDescent="0.2">
      <c r="A8" s="2588"/>
      <c r="B8" s="2589"/>
      <c r="C8" s="2638">
        <v>45291</v>
      </c>
      <c r="D8" s="2638">
        <v>44926</v>
      </c>
      <c r="E8" s="2925"/>
      <c r="G8" s="2579"/>
      <c r="H8" s="2485" t="s">
        <v>5945</v>
      </c>
      <c r="I8" s="2547">
        <v>44196</v>
      </c>
      <c r="J8" s="2547">
        <v>43830</v>
      </c>
      <c r="K8" s="2482"/>
      <c r="L8" s="2482"/>
      <c r="M8" s="2482"/>
      <c r="N8" s="2482"/>
      <c r="O8" s="2482"/>
      <c r="P8" s="2482"/>
      <c r="Q8" s="2482"/>
      <c r="R8" s="2482"/>
      <c r="S8" s="2482"/>
      <c r="T8" s="2482"/>
    </row>
    <row r="9" spans="1:20" ht="15.75" customHeight="1" x14ac:dyDescent="0.2">
      <c r="A9" s="2677">
        <v>1</v>
      </c>
      <c r="B9" s="2669" t="s">
        <v>9164</v>
      </c>
      <c r="C9" s="3907"/>
      <c r="D9" s="4050"/>
      <c r="E9" s="2925"/>
      <c r="G9" s="2579"/>
      <c r="H9" s="2881">
        <v>1</v>
      </c>
      <c r="I9" s="2511"/>
      <c r="J9" s="2482"/>
      <c r="K9" s="2482"/>
      <c r="L9" s="2482"/>
      <c r="M9" s="2482"/>
      <c r="N9" s="2482"/>
      <c r="O9" s="2482"/>
      <c r="P9" s="2482"/>
      <c r="Q9" s="2482"/>
      <c r="R9" s="2482"/>
      <c r="S9" s="2482"/>
      <c r="T9" s="2482"/>
    </row>
    <row r="10" spans="1:20" ht="15.75" customHeight="1" x14ac:dyDescent="0.2">
      <c r="A10" s="2677">
        <v>2</v>
      </c>
      <c r="B10" s="2669" t="s">
        <v>9165</v>
      </c>
      <c r="C10" s="3907"/>
      <c r="D10" s="4050"/>
      <c r="E10" s="2925"/>
      <c r="G10" s="2579"/>
      <c r="H10" s="2881">
        <v>2</v>
      </c>
      <c r="I10" s="2511"/>
      <c r="J10" s="2482"/>
      <c r="K10" s="2482"/>
      <c r="L10" s="2482"/>
      <c r="M10" s="2482"/>
      <c r="N10" s="2482"/>
      <c r="O10" s="2482"/>
      <c r="P10" s="2482"/>
      <c r="Q10" s="2482"/>
      <c r="R10" s="2482"/>
      <c r="S10" s="2482"/>
      <c r="T10" s="2482"/>
    </row>
    <row r="11" spans="1:20" ht="15.75" customHeight="1" x14ac:dyDescent="0.2">
      <c r="A11" s="2677">
        <v>3</v>
      </c>
      <c r="B11" s="2669" t="s">
        <v>437</v>
      </c>
      <c r="C11" s="3907"/>
      <c r="D11" s="4050"/>
      <c r="E11" s="2925"/>
      <c r="G11" s="2579"/>
      <c r="H11" s="2881">
        <v>3</v>
      </c>
      <c r="I11" s="2511"/>
      <c r="J11" s="2482"/>
      <c r="K11" s="2482"/>
      <c r="L11" s="2482"/>
      <c r="M11" s="2482"/>
      <c r="N11" s="2482"/>
      <c r="O11" s="2482"/>
      <c r="P11" s="2482"/>
      <c r="Q11" s="2482"/>
      <c r="R11" s="2482"/>
      <c r="S11" s="2482"/>
      <c r="T11" s="2482"/>
    </row>
    <row r="12" spans="1:20" ht="15.75" customHeight="1" x14ac:dyDescent="0.2">
      <c r="A12" s="2677">
        <v>4</v>
      </c>
      <c r="B12" s="2512" t="s">
        <v>9166</v>
      </c>
      <c r="C12" s="2527">
        <v>16006755</v>
      </c>
      <c r="D12" s="2527">
        <v>13620311</v>
      </c>
      <c r="E12" s="2925"/>
      <c r="G12" s="2579"/>
      <c r="H12" s="2881">
        <v>4</v>
      </c>
      <c r="I12" s="2507">
        <v>16129284</v>
      </c>
      <c r="J12" s="2507">
        <v>17825121</v>
      </c>
      <c r="K12" s="2482"/>
      <c r="L12" s="2482"/>
      <c r="M12" s="2482"/>
      <c r="N12" s="2482"/>
      <c r="O12" s="2482"/>
      <c r="P12" s="2482"/>
      <c r="Q12" s="2482"/>
      <c r="R12" s="2482"/>
      <c r="S12" s="2482"/>
      <c r="T12" s="2482"/>
    </row>
    <row r="13" spans="1:20" ht="15.75" customHeight="1" x14ac:dyDescent="0.2">
      <c r="A13" s="2677">
        <v>5</v>
      </c>
      <c r="B13" s="2512" t="s">
        <v>9167</v>
      </c>
      <c r="C13" s="2527">
        <v>671791677</v>
      </c>
      <c r="D13" s="2527">
        <v>669378298</v>
      </c>
      <c r="E13" s="2925"/>
      <c r="G13" s="2579"/>
      <c r="H13" s="2881">
        <v>5</v>
      </c>
      <c r="I13" s="2507">
        <v>681801669</v>
      </c>
      <c r="J13" s="2507">
        <v>757097162</v>
      </c>
      <c r="K13" s="2482"/>
      <c r="L13" s="2482"/>
      <c r="M13" s="2482"/>
      <c r="N13" s="2482"/>
      <c r="O13" s="2482"/>
      <c r="P13" s="2482"/>
      <c r="Q13" s="2482"/>
      <c r="R13" s="2482"/>
      <c r="S13" s="2482"/>
      <c r="T13" s="2482"/>
    </row>
    <row r="14" spans="1:20" ht="15.75" customHeight="1" x14ac:dyDescent="0.2">
      <c r="A14" s="2677">
        <v>6</v>
      </c>
      <c r="B14" s="2512" t="s">
        <v>9168</v>
      </c>
      <c r="C14" s="2527">
        <v>73969627</v>
      </c>
      <c r="D14" s="2527">
        <v>81215880</v>
      </c>
      <c r="E14" s="2925"/>
      <c r="G14" s="2579"/>
      <c r="H14" s="2881">
        <v>6</v>
      </c>
      <c r="I14" s="2507">
        <v>76240280</v>
      </c>
      <c r="J14" s="2507">
        <v>80249325</v>
      </c>
      <c r="K14" s="2482"/>
      <c r="L14" s="2482"/>
      <c r="M14" s="2482"/>
      <c r="N14" s="2482"/>
      <c r="O14" s="2482"/>
      <c r="P14" s="2482"/>
      <c r="Q14" s="2482"/>
      <c r="R14" s="2482"/>
      <c r="S14" s="2482"/>
      <c r="T14" s="2482"/>
    </row>
    <row r="15" spans="1:20" ht="15.75" customHeight="1" x14ac:dyDescent="0.2">
      <c r="A15" s="2677">
        <v>7</v>
      </c>
      <c r="B15" s="2512" t="s">
        <v>9169</v>
      </c>
      <c r="C15" s="2527">
        <v>10794276</v>
      </c>
      <c r="D15" s="2527">
        <v>6037863</v>
      </c>
      <c r="E15" s="2925"/>
      <c r="G15" s="2579"/>
      <c r="H15" s="2881">
        <v>7</v>
      </c>
      <c r="I15" s="2507">
        <v>6509105</v>
      </c>
      <c r="J15" s="2507">
        <v>4836772</v>
      </c>
      <c r="K15" s="2482"/>
      <c r="L15" s="2482"/>
      <c r="M15" s="2482"/>
      <c r="N15" s="2482"/>
      <c r="O15" s="2482"/>
      <c r="P15" s="2482"/>
      <c r="Q15" s="2482"/>
      <c r="R15" s="2482"/>
      <c r="S15" s="2482"/>
      <c r="T15" s="2482"/>
    </row>
    <row r="16" spans="1:20" ht="15.75" customHeight="1" x14ac:dyDescent="0.2">
      <c r="A16" s="2677">
        <v>8</v>
      </c>
      <c r="B16" s="2512" t="s">
        <v>9170</v>
      </c>
      <c r="C16" s="2527">
        <v>0</v>
      </c>
      <c r="D16" s="2527">
        <v>0</v>
      </c>
      <c r="E16" s="2925"/>
      <c r="G16" s="2579"/>
      <c r="H16" s="2881">
        <v>8</v>
      </c>
      <c r="I16" s="2507">
        <v>0</v>
      </c>
      <c r="J16" s="2507">
        <v>0</v>
      </c>
      <c r="K16" s="2482"/>
      <c r="L16" s="2482"/>
      <c r="M16" s="2482"/>
      <c r="N16" s="2482"/>
      <c r="O16" s="2482"/>
      <c r="P16" s="2482"/>
      <c r="Q16" s="2482"/>
      <c r="R16" s="2482"/>
      <c r="S16" s="2482"/>
      <c r="T16" s="2482"/>
    </row>
    <row r="17" spans="1:20" ht="15.75" customHeight="1" x14ac:dyDescent="0.2">
      <c r="A17" s="2677">
        <v>9</v>
      </c>
      <c r="B17" s="2512" t="s">
        <v>9171</v>
      </c>
      <c r="C17" s="2527">
        <v>745881</v>
      </c>
      <c r="D17" s="2527">
        <v>726226</v>
      </c>
      <c r="E17" s="2925"/>
      <c r="G17" s="2579"/>
      <c r="H17" s="2881">
        <v>9</v>
      </c>
      <c r="I17" s="2507">
        <v>1537510</v>
      </c>
      <c r="J17" s="2507">
        <v>1532522</v>
      </c>
      <c r="K17" s="2482"/>
      <c r="L17" s="2482"/>
      <c r="M17" s="2482"/>
      <c r="N17" s="2482"/>
      <c r="O17" s="2482"/>
      <c r="P17" s="2482"/>
      <c r="Q17" s="2482"/>
      <c r="R17" s="2482"/>
      <c r="S17" s="2482"/>
      <c r="T17" s="2482"/>
    </row>
    <row r="18" spans="1:20" ht="15.75" customHeight="1" x14ac:dyDescent="0.2">
      <c r="A18" s="2677">
        <v>10</v>
      </c>
      <c r="B18" s="2512" t="s">
        <v>9172</v>
      </c>
      <c r="C18" s="2527">
        <v>35504828</v>
      </c>
      <c r="D18" s="2527">
        <v>35516373</v>
      </c>
      <c r="E18" s="2925"/>
      <c r="G18" s="2579"/>
      <c r="H18" s="2881">
        <v>10</v>
      </c>
      <c r="I18" s="2507">
        <v>60013889</v>
      </c>
      <c r="J18" s="2507">
        <v>27042769</v>
      </c>
      <c r="K18" s="2482"/>
      <c r="L18" s="2482"/>
      <c r="M18" s="2482"/>
      <c r="N18" s="2482"/>
      <c r="O18" s="2482"/>
      <c r="P18" s="2482"/>
      <c r="Q18" s="2482"/>
      <c r="R18" s="2482"/>
      <c r="S18" s="2482"/>
      <c r="T18" s="2482"/>
    </row>
    <row r="19" spans="1:20" ht="15.75" customHeight="1" x14ac:dyDescent="0.2">
      <c r="A19" s="2677">
        <v>11</v>
      </c>
      <c r="B19" s="2512" t="s">
        <v>9173</v>
      </c>
      <c r="C19" s="2527">
        <v>373329</v>
      </c>
      <c r="D19" s="2527">
        <v>412916</v>
      </c>
      <c r="E19" s="2925"/>
      <c r="G19" s="2579"/>
      <c r="H19" s="2881">
        <v>11</v>
      </c>
      <c r="I19" s="2507">
        <v>471449</v>
      </c>
      <c r="J19" s="2507">
        <v>492466</v>
      </c>
      <c r="K19" s="2482"/>
      <c r="L19" s="2482"/>
      <c r="M19" s="2482"/>
      <c r="N19" s="2482"/>
      <c r="O19" s="2482"/>
      <c r="P19" s="2482"/>
      <c r="Q19" s="2482"/>
      <c r="R19" s="2482"/>
      <c r="S19" s="2482"/>
      <c r="T19" s="2482"/>
    </row>
    <row r="20" spans="1:20" ht="15.75" customHeight="1" thickBot="1" x14ac:dyDescent="0.25">
      <c r="A20" s="2677">
        <v>12</v>
      </c>
      <c r="B20" s="2512" t="s">
        <v>9174</v>
      </c>
      <c r="C20" s="2566">
        <v>0</v>
      </c>
      <c r="D20" s="2566">
        <v>0</v>
      </c>
      <c r="E20" s="2925"/>
      <c r="G20" s="2579"/>
      <c r="H20" s="2881">
        <v>12</v>
      </c>
      <c r="I20" s="2507">
        <v>0</v>
      </c>
      <c r="J20" s="2507">
        <v>0</v>
      </c>
      <c r="K20" s="2482"/>
      <c r="L20" s="2482"/>
      <c r="M20" s="2482"/>
      <c r="N20" s="2482"/>
      <c r="O20" s="2482"/>
      <c r="P20" s="2482"/>
      <c r="Q20" s="2482"/>
      <c r="R20" s="2482"/>
      <c r="S20" s="2482"/>
      <c r="T20" s="2482"/>
    </row>
    <row r="21" spans="1:20" ht="15.75" customHeight="1" thickBot="1" x14ac:dyDescent="0.25">
      <c r="A21" s="2677">
        <v>13</v>
      </c>
      <c r="B21" s="2669" t="s">
        <v>9175</v>
      </c>
      <c r="C21" s="2926">
        <f>SUM(C12:C15,C17:C20)-C16</f>
        <v>809186373</v>
      </c>
      <c r="D21" s="2926">
        <f>SUM(D12:D15,D17:D20)-D16</f>
        <v>806907867</v>
      </c>
      <c r="E21" s="2925"/>
      <c r="G21" s="2579"/>
      <c r="H21" s="2881">
        <v>13</v>
      </c>
      <c r="I21" s="2507">
        <v>842703186</v>
      </c>
      <c r="J21" s="2507">
        <v>889076137</v>
      </c>
      <c r="K21" s="2482"/>
      <c r="L21" s="2482"/>
      <c r="M21" s="2482"/>
      <c r="N21" s="2482"/>
      <c r="O21" s="2482"/>
      <c r="P21" s="2482"/>
      <c r="Q21" s="2482"/>
      <c r="R21" s="2482"/>
      <c r="S21" s="2482"/>
      <c r="T21" s="2482"/>
    </row>
    <row r="22" spans="1:20" ht="15.75" customHeight="1" x14ac:dyDescent="0.2">
      <c r="A22" s="2677">
        <v>14</v>
      </c>
      <c r="B22" s="2669" t="s">
        <v>438</v>
      </c>
      <c r="C22" s="4051"/>
      <c r="D22" s="4052"/>
      <c r="E22" s="2925"/>
      <c r="G22" s="2579"/>
      <c r="H22" s="2881">
        <v>14</v>
      </c>
      <c r="I22" s="2511"/>
      <c r="J22" s="2511"/>
      <c r="K22" s="2482"/>
      <c r="L22" s="2482"/>
      <c r="M22" s="2482"/>
      <c r="N22" s="2482"/>
      <c r="O22" s="2482"/>
      <c r="P22" s="2482"/>
      <c r="Q22" s="2482"/>
      <c r="R22" s="2482"/>
      <c r="S22" s="2482"/>
      <c r="T22" s="2482"/>
    </row>
    <row r="23" spans="1:20" ht="15.75" customHeight="1" x14ac:dyDescent="0.2">
      <c r="A23" s="2677">
        <v>15</v>
      </c>
      <c r="B23" s="2512" t="s">
        <v>9176</v>
      </c>
      <c r="C23" s="2527">
        <v>4970662</v>
      </c>
      <c r="D23" s="2527">
        <v>4940219</v>
      </c>
      <c r="E23" s="2925"/>
      <c r="G23" s="2579"/>
      <c r="H23" s="2881">
        <v>15</v>
      </c>
      <c r="I23" s="2507">
        <v>8206527</v>
      </c>
      <c r="J23" s="2507">
        <v>7293482</v>
      </c>
      <c r="K23" s="2482"/>
      <c r="L23" s="2482"/>
      <c r="M23" s="2482"/>
      <c r="N23" s="2482"/>
      <c r="O23" s="2482"/>
      <c r="P23" s="2482"/>
      <c r="Q23" s="2482"/>
      <c r="R23" s="2482"/>
      <c r="S23" s="2482"/>
      <c r="T23" s="2482"/>
    </row>
    <row r="24" spans="1:20" ht="15.75" customHeight="1" x14ac:dyDescent="0.2">
      <c r="A24" s="2677">
        <v>16</v>
      </c>
      <c r="B24" s="2512" t="s">
        <v>9177</v>
      </c>
      <c r="C24" s="2527">
        <v>24643333</v>
      </c>
      <c r="D24" s="2527">
        <v>21967025</v>
      </c>
      <c r="E24" s="2925"/>
      <c r="G24" s="2579"/>
      <c r="H24" s="2881">
        <v>16</v>
      </c>
      <c r="I24" s="2507">
        <v>31374467</v>
      </c>
      <c r="J24" s="2507">
        <v>27614737</v>
      </c>
      <c r="K24" s="2482"/>
      <c r="L24" s="2482"/>
      <c r="M24" s="2482"/>
      <c r="N24" s="2482"/>
      <c r="O24" s="2482"/>
      <c r="P24" s="2482"/>
      <c r="Q24" s="2482"/>
      <c r="R24" s="2482"/>
      <c r="S24" s="2482"/>
      <c r="T24" s="2482"/>
    </row>
    <row r="25" spans="1:20" ht="15.75" customHeight="1" x14ac:dyDescent="0.2">
      <c r="A25" s="2677">
        <v>17</v>
      </c>
      <c r="B25" s="2512" t="s">
        <v>9178</v>
      </c>
      <c r="C25" s="2527">
        <v>87870198</v>
      </c>
      <c r="D25" s="2527">
        <v>87554667</v>
      </c>
      <c r="E25" s="2925"/>
      <c r="G25" s="2579"/>
      <c r="H25" s="2881">
        <v>17</v>
      </c>
      <c r="I25" s="2507">
        <v>70714383</v>
      </c>
      <c r="J25" s="2507">
        <v>89039742</v>
      </c>
      <c r="K25" s="2482"/>
      <c r="L25" s="2482"/>
      <c r="M25" s="2482"/>
      <c r="N25" s="2482"/>
      <c r="O25" s="2482"/>
      <c r="P25" s="2482"/>
      <c r="Q25" s="2482"/>
      <c r="R25" s="2482"/>
      <c r="S25" s="2482"/>
      <c r="T25" s="2482"/>
    </row>
    <row r="26" spans="1:20" ht="15.75" customHeight="1" x14ac:dyDescent="0.2">
      <c r="A26" s="2677">
        <v>18</v>
      </c>
      <c r="B26" s="2512" t="s">
        <v>9179</v>
      </c>
      <c r="C26" s="2527">
        <v>37663318</v>
      </c>
      <c r="D26" s="2527">
        <v>45590218</v>
      </c>
      <c r="E26" s="2925"/>
      <c r="G26" s="2579"/>
      <c r="H26" s="2881">
        <v>18</v>
      </c>
      <c r="I26" s="2507">
        <v>26678095</v>
      </c>
      <c r="J26" s="2507">
        <v>39509020</v>
      </c>
      <c r="K26" s="2482"/>
      <c r="L26" s="2482"/>
      <c r="M26" s="2482"/>
      <c r="N26" s="2482"/>
      <c r="O26" s="2482"/>
      <c r="P26" s="2482"/>
      <c r="Q26" s="2482"/>
      <c r="R26" s="2482"/>
      <c r="S26" s="2482"/>
      <c r="T26" s="2482"/>
    </row>
    <row r="27" spans="1:20" ht="15.75" customHeight="1" thickBot="1" x14ac:dyDescent="0.25">
      <c r="A27" s="2677">
        <v>19</v>
      </c>
      <c r="B27" s="2512" t="s">
        <v>9180</v>
      </c>
      <c r="C27" s="2566">
        <v>14630607</v>
      </c>
      <c r="D27" s="2566">
        <v>13641562</v>
      </c>
      <c r="E27" s="2925"/>
      <c r="G27" s="2579"/>
      <c r="H27" s="2881">
        <v>19</v>
      </c>
      <c r="I27" s="2507">
        <v>9600799</v>
      </c>
      <c r="J27" s="2507">
        <v>10456723</v>
      </c>
      <c r="K27" s="2482"/>
      <c r="L27" s="2482"/>
      <c r="M27" s="2482"/>
      <c r="N27" s="2482"/>
      <c r="O27" s="2482"/>
      <c r="P27" s="2482"/>
      <c r="Q27" s="2482"/>
      <c r="R27" s="2482"/>
      <c r="S27" s="2482"/>
      <c r="T27" s="2482"/>
    </row>
    <row r="28" spans="1:20" ht="15.75" customHeight="1" thickBot="1" x14ac:dyDescent="0.25">
      <c r="A28" s="2677">
        <v>20</v>
      </c>
      <c r="B28" s="2669" t="s">
        <v>9181</v>
      </c>
      <c r="C28" s="2926">
        <f>SUM(C23:C27)</f>
        <v>169778118</v>
      </c>
      <c r="D28" s="2926">
        <f>SUM(D23:D27)</f>
        <v>173693691</v>
      </c>
      <c r="E28" s="2925"/>
      <c r="G28" s="2579"/>
      <c r="H28" s="2881">
        <v>20</v>
      </c>
      <c r="I28" s="2507">
        <v>146574271</v>
      </c>
      <c r="J28" s="2507">
        <v>173913704</v>
      </c>
      <c r="K28" s="2482"/>
      <c r="L28" s="2482"/>
      <c r="M28" s="2482"/>
      <c r="N28" s="2482"/>
      <c r="O28" s="2482"/>
      <c r="P28" s="2482"/>
      <c r="Q28" s="2482"/>
      <c r="R28" s="2482"/>
      <c r="S28" s="2482"/>
      <c r="T28" s="2482"/>
    </row>
    <row r="29" spans="1:20" ht="15.75" customHeight="1" thickBot="1" x14ac:dyDescent="0.25">
      <c r="A29" s="2677">
        <v>21</v>
      </c>
      <c r="B29" s="2669" t="s">
        <v>9182</v>
      </c>
      <c r="C29" s="2926">
        <f>SUM(C21,C28)</f>
        <v>978964491</v>
      </c>
      <c r="D29" s="2926">
        <f>SUM(D21,D28)</f>
        <v>980601558</v>
      </c>
      <c r="E29" s="2925"/>
      <c r="G29" s="2579"/>
      <c r="H29" s="2881">
        <v>21</v>
      </c>
      <c r="I29" s="2507">
        <v>989277457</v>
      </c>
      <c r="J29" s="2507">
        <v>1062989841</v>
      </c>
      <c r="K29" s="2482"/>
      <c r="L29" s="2482"/>
      <c r="M29" s="2482"/>
      <c r="N29" s="2482"/>
      <c r="O29" s="2482"/>
      <c r="P29" s="2482"/>
      <c r="Q29" s="2482"/>
      <c r="R29" s="2482"/>
      <c r="S29" s="2482"/>
      <c r="T29" s="2482"/>
    </row>
    <row r="30" spans="1:20" ht="15.75" customHeight="1" x14ac:dyDescent="0.2">
      <c r="A30" s="2677">
        <v>22</v>
      </c>
      <c r="B30" s="2669" t="s">
        <v>9183</v>
      </c>
      <c r="C30" s="4053"/>
      <c r="D30" s="4053"/>
      <c r="E30" s="2925"/>
      <c r="G30" s="2579"/>
      <c r="H30" s="2881">
        <v>22</v>
      </c>
      <c r="I30" s="2511"/>
      <c r="J30" s="2511"/>
      <c r="K30" s="2482"/>
      <c r="L30" s="2482"/>
      <c r="M30" s="2482"/>
      <c r="N30" s="2482"/>
      <c r="O30" s="2482"/>
      <c r="P30" s="2482"/>
      <c r="Q30" s="2482"/>
      <c r="R30" s="2482"/>
      <c r="S30" s="2482"/>
      <c r="T30" s="2482"/>
    </row>
    <row r="31" spans="1:20" ht="15.75" customHeight="1" x14ac:dyDescent="0.2">
      <c r="A31" s="2677">
        <v>23</v>
      </c>
      <c r="B31" s="2669" t="s">
        <v>437</v>
      </c>
      <c r="C31" s="4054"/>
      <c r="D31" s="4054"/>
      <c r="E31" s="2925"/>
      <c r="G31" s="2579"/>
      <c r="H31" s="2881">
        <v>23</v>
      </c>
      <c r="I31" s="2511"/>
      <c r="J31" s="2511"/>
      <c r="K31" s="2482"/>
      <c r="L31" s="2482"/>
      <c r="M31" s="2482"/>
      <c r="N31" s="2482"/>
      <c r="O31" s="2482"/>
      <c r="P31" s="2482"/>
      <c r="Q31" s="2482"/>
      <c r="R31" s="2482"/>
      <c r="S31" s="2482"/>
      <c r="T31" s="2482"/>
    </row>
    <row r="32" spans="1:20" ht="15.75" customHeight="1" x14ac:dyDescent="0.2">
      <c r="A32" s="2677">
        <v>24</v>
      </c>
      <c r="B32" s="2512" t="s">
        <v>9184</v>
      </c>
      <c r="C32" s="2927">
        <v>0</v>
      </c>
      <c r="D32" s="2927">
        <v>0</v>
      </c>
      <c r="E32" s="2925"/>
      <c r="G32" s="2579"/>
      <c r="H32" s="2881">
        <v>24</v>
      </c>
      <c r="I32" s="2507">
        <v>0</v>
      </c>
      <c r="J32" s="2511"/>
      <c r="K32" s="2482"/>
      <c r="L32" s="2482"/>
      <c r="M32" s="2482"/>
      <c r="N32" s="2482"/>
      <c r="O32" s="2482"/>
      <c r="P32" s="2482"/>
      <c r="Q32" s="2482"/>
      <c r="R32" s="2482"/>
      <c r="S32" s="2482"/>
      <c r="T32" s="2482"/>
    </row>
    <row r="33" spans="1:20" ht="15.75" customHeight="1" x14ac:dyDescent="0.2">
      <c r="A33" s="2677">
        <v>25</v>
      </c>
      <c r="B33" s="2512" t="s">
        <v>9185</v>
      </c>
      <c r="C33" s="2927">
        <v>0</v>
      </c>
      <c r="D33" s="2927">
        <v>0</v>
      </c>
      <c r="E33" s="2925"/>
      <c r="G33" s="2579"/>
      <c r="H33" s="2881">
        <v>25</v>
      </c>
      <c r="I33" s="2507">
        <v>0</v>
      </c>
      <c r="J33" s="2511"/>
      <c r="K33" s="2482"/>
      <c r="L33" s="2482"/>
      <c r="M33" s="2482"/>
      <c r="N33" s="2482"/>
      <c r="O33" s="2482"/>
      <c r="P33" s="2482"/>
      <c r="Q33" s="2482"/>
      <c r="R33" s="2482"/>
      <c r="S33" s="2482"/>
      <c r="T33" s="2482"/>
    </row>
    <row r="34" spans="1:20" ht="15.75" customHeight="1" x14ac:dyDescent="0.2">
      <c r="A34" s="2677">
        <v>26</v>
      </c>
      <c r="B34" s="2512" t="s">
        <v>9186</v>
      </c>
      <c r="C34" s="2927">
        <v>0</v>
      </c>
      <c r="D34" s="2927">
        <v>0</v>
      </c>
      <c r="E34" s="2925"/>
      <c r="G34" s="2579"/>
      <c r="H34" s="2881">
        <v>26</v>
      </c>
      <c r="I34" s="2507">
        <v>0</v>
      </c>
      <c r="J34" s="2511"/>
      <c r="K34" s="2482"/>
      <c r="L34" s="2482"/>
      <c r="M34" s="2482"/>
      <c r="N34" s="2482"/>
      <c r="O34" s="2482"/>
      <c r="P34" s="2482"/>
      <c r="Q34" s="2482"/>
      <c r="R34" s="2482"/>
      <c r="S34" s="2482"/>
      <c r="T34" s="2482"/>
    </row>
    <row r="35" spans="1:20" ht="15.75" customHeight="1" x14ac:dyDescent="0.2">
      <c r="A35" s="2677">
        <v>27</v>
      </c>
      <c r="B35" s="2512" t="s">
        <v>9187</v>
      </c>
      <c r="C35" s="2927">
        <v>0</v>
      </c>
      <c r="D35" s="2927">
        <v>0</v>
      </c>
      <c r="E35" s="2925"/>
      <c r="G35" s="2579"/>
      <c r="H35" s="2881">
        <v>27</v>
      </c>
      <c r="I35" s="2507">
        <v>0</v>
      </c>
      <c r="J35" s="2511"/>
      <c r="K35" s="2482"/>
      <c r="L35" s="2482"/>
      <c r="M35" s="2482"/>
      <c r="N35" s="2482"/>
      <c r="O35" s="2482"/>
      <c r="P35" s="2482"/>
      <c r="Q35" s="2482"/>
      <c r="R35" s="2482"/>
      <c r="S35" s="2482"/>
      <c r="T35" s="2482"/>
    </row>
    <row r="36" spans="1:20" ht="15.75" customHeight="1" x14ac:dyDescent="0.2">
      <c r="A36" s="2677">
        <v>28</v>
      </c>
      <c r="B36" s="2512" t="s">
        <v>9188</v>
      </c>
      <c r="C36" s="2927">
        <v>0</v>
      </c>
      <c r="D36" s="2927">
        <v>0</v>
      </c>
      <c r="E36" s="2925"/>
      <c r="G36" s="2579"/>
      <c r="H36" s="2881">
        <v>28</v>
      </c>
      <c r="I36" s="2507">
        <v>0</v>
      </c>
      <c r="J36" s="2511"/>
      <c r="K36" s="2482"/>
      <c r="L36" s="2482"/>
      <c r="M36" s="2482"/>
      <c r="N36" s="2482"/>
      <c r="O36" s="2482"/>
      <c r="P36" s="2482"/>
      <c r="Q36" s="2482"/>
      <c r="R36" s="2482"/>
      <c r="S36" s="2482"/>
      <c r="T36" s="2482"/>
    </row>
    <row r="37" spans="1:20" ht="15.75" customHeight="1" x14ac:dyDescent="0.2">
      <c r="A37" s="2677">
        <v>29</v>
      </c>
      <c r="B37" s="2512" t="s">
        <v>9189</v>
      </c>
      <c r="C37" s="2927">
        <v>0</v>
      </c>
      <c r="D37" s="2927">
        <v>0</v>
      </c>
      <c r="E37" s="2925"/>
      <c r="G37" s="2579"/>
      <c r="H37" s="2881">
        <v>29</v>
      </c>
      <c r="I37" s="2507">
        <v>0</v>
      </c>
      <c r="J37" s="2511"/>
      <c r="K37" s="2482"/>
      <c r="L37" s="2482"/>
      <c r="M37" s="2482"/>
      <c r="N37" s="2482"/>
      <c r="O37" s="2482"/>
      <c r="P37" s="2482"/>
      <c r="Q37" s="2482"/>
      <c r="R37" s="2482"/>
      <c r="S37" s="2482"/>
      <c r="T37" s="2482"/>
    </row>
    <row r="38" spans="1:20" ht="15.75" customHeight="1" x14ac:dyDescent="0.2">
      <c r="A38" s="2677">
        <v>30</v>
      </c>
      <c r="B38" s="2512" t="s">
        <v>9190</v>
      </c>
      <c r="C38" s="2927">
        <v>0</v>
      </c>
      <c r="D38" s="2927">
        <v>0</v>
      </c>
      <c r="E38" s="2925"/>
      <c r="G38" s="2579"/>
      <c r="H38" s="2881">
        <v>30</v>
      </c>
      <c r="I38" s="2507">
        <v>0</v>
      </c>
      <c r="J38" s="2511"/>
      <c r="K38" s="2482"/>
      <c r="L38" s="2482"/>
      <c r="M38" s="2482"/>
      <c r="N38" s="2482"/>
      <c r="O38" s="2482"/>
      <c r="P38" s="2482"/>
      <c r="Q38" s="2482"/>
      <c r="R38" s="2482"/>
      <c r="S38" s="2482"/>
      <c r="T38" s="2482"/>
    </row>
    <row r="39" spans="1:20" ht="15.75" customHeight="1" x14ac:dyDescent="0.2">
      <c r="A39" s="2677">
        <v>31</v>
      </c>
      <c r="B39" s="2512" t="s">
        <v>9191</v>
      </c>
      <c r="C39" s="2927">
        <v>0</v>
      </c>
      <c r="D39" s="2927">
        <v>0</v>
      </c>
      <c r="E39" s="2925"/>
      <c r="G39" s="2579"/>
      <c r="H39" s="2881">
        <v>31</v>
      </c>
      <c r="I39" s="2507">
        <v>0</v>
      </c>
      <c r="J39" s="2511"/>
      <c r="K39" s="2482"/>
      <c r="L39" s="2482"/>
      <c r="M39" s="2482"/>
      <c r="N39" s="2482"/>
      <c r="O39" s="2482"/>
      <c r="P39" s="2482"/>
      <c r="Q39" s="2482"/>
      <c r="R39" s="2482"/>
      <c r="S39" s="2482"/>
      <c r="T39" s="2482"/>
    </row>
    <row r="40" spans="1:20" ht="15.75" customHeight="1" thickBot="1" x14ac:dyDescent="0.25">
      <c r="A40" s="2677">
        <v>32</v>
      </c>
      <c r="B40" s="2512" t="s">
        <v>9192</v>
      </c>
      <c r="C40" s="2928">
        <v>0</v>
      </c>
      <c r="D40" s="2928">
        <v>0</v>
      </c>
      <c r="E40" s="2925"/>
      <c r="G40" s="2579"/>
      <c r="H40" s="2881">
        <v>32</v>
      </c>
      <c r="I40" s="2507">
        <v>0</v>
      </c>
      <c r="J40" s="2511"/>
      <c r="K40" s="2482"/>
      <c r="L40" s="2482"/>
      <c r="M40" s="2482"/>
      <c r="N40" s="2482"/>
      <c r="O40" s="2482"/>
      <c r="P40" s="2482"/>
      <c r="Q40" s="2482"/>
      <c r="R40" s="2482"/>
      <c r="S40" s="2482"/>
      <c r="T40" s="2482"/>
    </row>
    <row r="41" spans="1:20" ht="15.75" customHeight="1" thickBot="1" x14ac:dyDescent="0.25">
      <c r="A41" s="2738">
        <v>33</v>
      </c>
      <c r="B41" s="2735" t="s">
        <v>9193</v>
      </c>
      <c r="C41" s="2926">
        <f>SUM(C32:C36,C38:C40)-C37</f>
        <v>0</v>
      </c>
      <c r="D41" s="2926">
        <f>SUM(D32:D36,D38:D40)-D37</f>
        <v>0</v>
      </c>
      <c r="E41" s="2925"/>
      <c r="G41" s="2579"/>
      <c r="H41" s="2881">
        <v>33</v>
      </c>
      <c r="I41" s="2507">
        <v>0</v>
      </c>
      <c r="J41" s="2511"/>
      <c r="K41" s="2482"/>
      <c r="L41" s="2482"/>
      <c r="M41" s="2482"/>
      <c r="N41" s="2482"/>
      <c r="O41" s="2482"/>
      <c r="P41" s="2482"/>
      <c r="Q41" s="2482"/>
      <c r="R41" s="2482"/>
      <c r="S41" s="2482"/>
      <c r="T41" s="2482"/>
    </row>
    <row r="42" spans="1:20" ht="15.75" customHeight="1" x14ac:dyDescent="0.2">
      <c r="A42" s="2677">
        <v>34</v>
      </c>
      <c r="B42" s="2669" t="s">
        <v>438</v>
      </c>
      <c r="C42" s="4051"/>
      <c r="D42" s="4052"/>
      <c r="E42" s="2925"/>
      <c r="G42" s="2579"/>
      <c r="H42" s="2881">
        <v>34</v>
      </c>
      <c r="I42" s="2511"/>
      <c r="J42" s="2511"/>
      <c r="K42" s="2482"/>
      <c r="L42" s="2482"/>
      <c r="M42" s="2482"/>
      <c r="N42" s="2482"/>
      <c r="O42" s="2482"/>
      <c r="P42" s="2482"/>
      <c r="Q42" s="2482"/>
      <c r="R42" s="2482"/>
      <c r="S42" s="2482"/>
      <c r="T42" s="2482"/>
    </row>
    <row r="43" spans="1:20" ht="15.75" customHeight="1" x14ac:dyDescent="0.2">
      <c r="A43" s="2677">
        <v>35</v>
      </c>
      <c r="B43" s="2512" t="s">
        <v>9194</v>
      </c>
      <c r="C43" s="2927">
        <v>0</v>
      </c>
      <c r="D43" s="2927">
        <v>0</v>
      </c>
      <c r="E43" s="2925"/>
      <c r="G43" s="2579"/>
      <c r="H43" s="2881">
        <v>35</v>
      </c>
      <c r="I43" s="2507">
        <v>0</v>
      </c>
      <c r="J43" s="2511"/>
      <c r="K43" s="2482"/>
      <c r="L43" s="2482"/>
      <c r="M43" s="2482"/>
      <c r="N43" s="2482"/>
      <c r="O43" s="2482"/>
      <c r="P43" s="2482"/>
      <c r="Q43" s="2482"/>
      <c r="R43" s="2482"/>
      <c r="S43" s="2482"/>
      <c r="T43" s="2482"/>
    </row>
    <row r="44" spans="1:20" ht="15.75" customHeight="1" x14ac:dyDescent="0.2">
      <c r="A44" s="2677">
        <v>36</v>
      </c>
      <c r="B44" s="2512" t="s">
        <v>9195</v>
      </c>
      <c r="C44" s="2927">
        <v>0</v>
      </c>
      <c r="D44" s="2927">
        <v>0</v>
      </c>
      <c r="E44" s="2925"/>
      <c r="G44" s="2579"/>
      <c r="H44" s="2881">
        <v>36</v>
      </c>
      <c r="I44" s="2507">
        <v>0</v>
      </c>
      <c r="J44" s="2511"/>
      <c r="K44" s="2482"/>
      <c r="L44" s="2482"/>
      <c r="M44" s="2482"/>
      <c r="N44" s="2482"/>
      <c r="O44" s="2482"/>
      <c r="P44" s="2482"/>
      <c r="Q44" s="2482"/>
      <c r="R44" s="2482"/>
      <c r="S44" s="2482"/>
      <c r="T44" s="2482"/>
    </row>
    <row r="45" spans="1:20" ht="15.75" customHeight="1" x14ac:dyDescent="0.2">
      <c r="A45" s="2677">
        <v>37</v>
      </c>
      <c r="B45" s="2512" t="s">
        <v>9196</v>
      </c>
      <c r="C45" s="2927">
        <v>0</v>
      </c>
      <c r="D45" s="2927">
        <v>0</v>
      </c>
      <c r="E45" s="2925"/>
      <c r="G45" s="2579"/>
      <c r="H45" s="2881">
        <v>37</v>
      </c>
      <c r="I45" s="2507">
        <v>0</v>
      </c>
      <c r="J45" s="2511"/>
      <c r="K45" s="2482"/>
      <c r="L45" s="2482"/>
      <c r="M45" s="2482"/>
      <c r="N45" s="2482"/>
      <c r="O45" s="2482"/>
      <c r="P45" s="2482"/>
      <c r="Q45" s="2482"/>
      <c r="R45" s="2482"/>
      <c r="S45" s="2482"/>
      <c r="T45" s="2482"/>
    </row>
    <row r="46" spans="1:20" ht="15.75" customHeight="1" x14ac:dyDescent="0.2">
      <c r="A46" s="2677">
        <v>38</v>
      </c>
      <c r="B46" s="2512" t="s">
        <v>9197</v>
      </c>
      <c r="C46" s="2927">
        <v>0</v>
      </c>
      <c r="D46" s="2927">
        <v>0</v>
      </c>
      <c r="E46" s="2925"/>
      <c r="G46" s="2579"/>
      <c r="H46" s="2881">
        <v>38</v>
      </c>
      <c r="I46" s="2507">
        <v>0</v>
      </c>
      <c r="J46" s="2511"/>
      <c r="K46" s="2482"/>
      <c r="L46" s="2482"/>
      <c r="M46" s="2482"/>
      <c r="N46" s="2482"/>
      <c r="O46" s="2482"/>
      <c r="P46" s="2482"/>
      <c r="Q46" s="2482"/>
      <c r="R46" s="2482"/>
      <c r="S46" s="2482"/>
      <c r="T46" s="2482"/>
    </row>
    <row r="47" spans="1:20" ht="15.75" customHeight="1" thickBot="1" x14ac:dyDescent="0.25">
      <c r="A47" s="2677">
        <v>39</v>
      </c>
      <c r="B47" s="2512" t="s">
        <v>9198</v>
      </c>
      <c r="C47" s="2928">
        <v>0</v>
      </c>
      <c r="D47" s="2928">
        <v>0</v>
      </c>
      <c r="E47" s="2925"/>
      <c r="G47" s="2579"/>
      <c r="H47" s="2881">
        <v>39</v>
      </c>
      <c r="I47" s="2507">
        <v>0</v>
      </c>
      <c r="J47" s="2511"/>
      <c r="K47" s="2482"/>
      <c r="L47" s="2482"/>
      <c r="M47" s="2482"/>
      <c r="N47" s="2482"/>
      <c r="O47" s="2482"/>
      <c r="P47" s="2482"/>
      <c r="Q47" s="2482"/>
      <c r="R47" s="2482"/>
      <c r="S47" s="2482"/>
      <c r="T47" s="2482"/>
    </row>
    <row r="48" spans="1:20" ht="15.75" customHeight="1" thickBot="1" x14ac:dyDescent="0.25">
      <c r="A48" s="2677">
        <v>40</v>
      </c>
      <c r="B48" s="2669" t="s">
        <v>9199</v>
      </c>
      <c r="C48" s="2926">
        <f>SUM(C43:C47)</f>
        <v>0</v>
      </c>
      <c r="D48" s="2926">
        <f>SUM(D43:D47)</f>
        <v>0</v>
      </c>
      <c r="E48" s="2925"/>
      <c r="G48" s="2579"/>
      <c r="H48" s="2881">
        <v>40</v>
      </c>
      <c r="I48" s="2507">
        <v>0</v>
      </c>
      <c r="J48" s="2511"/>
      <c r="K48" s="2482"/>
      <c r="L48" s="2482"/>
      <c r="M48" s="2482"/>
      <c r="N48" s="2482"/>
      <c r="O48" s="2482"/>
      <c r="P48" s="2482"/>
      <c r="Q48" s="2482"/>
      <c r="R48" s="2482"/>
      <c r="S48" s="2482"/>
      <c r="T48" s="2482"/>
    </row>
    <row r="49" spans="1:20" ht="15.75" customHeight="1" thickBot="1" x14ac:dyDescent="0.25">
      <c r="A49" s="2677">
        <v>41</v>
      </c>
      <c r="B49" s="2669" t="s">
        <v>9200</v>
      </c>
      <c r="C49" s="2926">
        <f>C41+C48</f>
        <v>0</v>
      </c>
      <c r="D49" s="2926">
        <f>D41+D48</f>
        <v>0</v>
      </c>
      <c r="E49" s="2925"/>
      <c r="G49" s="2579"/>
      <c r="H49" s="2881">
        <v>41</v>
      </c>
      <c r="I49" s="2507">
        <v>0</v>
      </c>
      <c r="J49" s="2511"/>
      <c r="K49" s="2482"/>
      <c r="L49" s="2482"/>
      <c r="M49" s="2482"/>
      <c r="N49" s="2482"/>
      <c r="O49" s="2482"/>
      <c r="P49" s="2482"/>
      <c r="Q49" s="2482"/>
      <c r="R49" s="2482"/>
      <c r="S49" s="2482"/>
      <c r="T49" s="2482"/>
    </row>
    <row r="50" spans="1:20" ht="15.75" customHeight="1" x14ac:dyDescent="0.2">
      <c r="A50" s="2677">
        <v>42</v>
      </c>
      <c r="B50" s="2669" t="s">
        <v>9201</v>
      </c>
      <c r="C50" s="4051"/>
      <c r="D50" s="4052"/>
      <c r="E50" s="2925"/>
      <c r="G50" s="2579"/>
      <c r="H50" s="2881">
        <v>42</v>
      </c>
      <c r="I50" s="2511"/>
      <c r="J50" s="2511"/>
      <c r="K50" s="2482"/>
      <c r="L50" s="2482"/>
      <c r="M50" s="2482"/>
      <c r="N50" s="2482"/>
      <c r="O50" s="2482"/>
      <c r="P50" s="2482"/>
      <c r="Q50" s="2482"/>
      <c r="R50" s="2482"/>
      <c r="S50" s="2482"/>
      <c r="T50" s="2482"/>
    </row>
    <row r="51" spans="1:20" ht="15.75" customHeight="1" x14ac:dyDescent="0.2">
      <c r="A51" s="2677">
        <v>43</v>
      </c>
      <c r="B51" s="2669" t="s">
        <v>437</v>
      </c>
      <c r="C51" s="3907"/>
      <c r="D51" s="3909"/>
      <c r="E51" s="2925"/>
      <c r="G51" s="2579"/>
      <c r="H51" s="2881">
        <v>43</v>
      </c>
      <c r="I51" s="2511"/>
      <c r="J51" s="2511"/>
      <c r="K51" s="2482"/>
      <c r="L51" s="2482"/>
      <c r="M51" s="2482"/>
      <c r="N51" s="2482"/>
      <c r="O51" s="2482"/>
      <c r="P51" s="2482"/>
      <c r="Q51" s="2482"/>
      <c r="R51" s="2482"/>
      <c r="S51" s="2482"/>
      <c r="T51" s="2482"/>
    </row>
    <row r="52" spans="1:20" ht="15.75" customHeight="1" x14ac:dyDescent="0.2">
      <c r="A52" s="2677">
        <v>44</v>
      </c>
      <c r="B52" s="2512" t="s">
        <v>9202</v>
      </c>
      <c r="C52" s="2527">
        <v>12849226</v>
      </c>
      <c r="D52" s="2527">
        <v>11944971</v>
      </c>
      <c r="E52" s="2925"/>
      <c r="G52" s="2579"/>
      <c r="H52" s="2881">
        <v>44</v>
      </c>
      <c r="I52" s="2507">
        <v>9728617</v>
      </c>
      <c r="J52" s="2507">
        <v>9462766</v>
      </c>
      <c r="K52" s="2482"/>
      <c r="L52" s="2482"/>
      <c r="M52" s="2482"/>
      <c r="N52" s="2482"/>
      <c r="O52" s="2482"/>
      <c r="P52" s="2482"/>
      <c r="Q52" s="2482"/>
      <c r="R52" s="2482"/>
      <c r="S52" s="2482"/>
      <c r="T52" s="2482"/>
    </row>
    <row r="53" spans="1:20" ht="15.75" customHeight="1" x14ac:dyDescent="0.2">
      <c r="A53" s="2677">
        <v>45</v>
      </c>
      <c r="B53" s="2512" t="s">
        <v>9203</v>
      </c>
      <c r="C53" s="2527">
        <v>331925</v>
      </c>
      <c r="D53" s="2527">
        <v>342132</v>
      </c>
      <c r="E53" s="2925"/>
      <c r="G53" s="2579"/>
      <c r="H53" s="2881">
        <v>45</v>
      </c>
      <c r="I53" s="2507">
        <v>155554</v>
      </c>
      <c r="J53" s="2507">
        <v>36194</v>
      </c>
      <c r="K53" s="2482"/>
      <c r="L53" s="2482"/>
      <c r="M53" s="2482"/>
      <c r="N53" s="2482"/>
      <c r="O53" s="2482"/>
      <c r="P53" s="2482"/>
      <c r="Q53" s="2482"/>
      <c r="R53" s="2482"/>
      <c r="S53" s="2482"/>
      <c r="T53" s="2482"/>
    </row>
    <row r="54" spans="1:20" ht="15.75" customHeight="1" x14ac:dyDescent="0.2">
      <c r="A54" s="2677">
        <v>46</v>
      </c>
      <c r="B54" s="2512" t="s">
        <v>9204</v>
      </c>
      <c r="C54" s="2527">
        <v>5263074</v>
      </c>
      <c r="D54" s="2527">
        <v>4545360</v>
      </c>
      <c r="E54" s="2925"/>
      <c r="G54" s="2579"/>
      <c r="H54" s="2881">
        <v>46</v>
      </c>
      <c r="I54" s="2507">
        <v>4805592</v>
      </c>
      <c r="J54" s="2507">
        <v>4073308</v>
      </c>
      <c r="K54" s="2482"/>
      <c r="L54" s="2482"/>
      <c r="M54" s="2482"/>
      <c r="N54" s="2482"/>
      <c r="O54" s="2482"/>
      <c r="P54" s="2482"/>
      <c r="Q54" s="2482"/>
      <c r="R54" s="2482"/>
      <c r="S54" s="2482"/>
      <c r="T54" s="2482"/>
    </row>
    <row r="55" spans="1:20" ht="15.75" customHeight="1" x14ac:dyDescent="0.2">
      <c r="A55" s="2677">
        <v>47</v>
      </c>
      <c r="B55" s="2512" t="s">
        <v>9205</v>
      </c>
      <c r="C55" s="2527">
        <v>0</v>
      </c>
      <c r="D55" s="2527">
        <v>0</v>
      </c>
      <c r="E55" s="2925"/>
      <c r="G55" s="2579"/>
      <c r="H55" s="2881">
        <v>47</v>
      </c>
      <c r="I55" s="2507">
        <v>0</v>
      </c>
      <c r="J55" s="2507">
        <v>0</v>
      </c>
      <c r="K55" s="2482"/>
      <c r="L55" s="2482"/>
      <c r="M55" s="2482"/>
      <c r="N55" s="2482"/>
      <c r="O55" s="2482"/>
      <c r="P55" s="2482"/>
      <c r="Q55" s="2482"/>
      <c r="R55" s="2482"/>
      <c r="S55" s="2482"/>
      <c r="T55" s="2482"/>
    </row>
    <row r="56" spans="1:20" ht="15.75" customHeight="1" x14ac:dyDescent="0.2">
      <c r="A56" s="2677">
        <v>48</v>
      </c>
      <c r="B56" s="2512" t="s">
        <v>9206</v>
      </c>
      <c r="C56" s="2527">
        <v>22272349</v>
      </c>
      <c r="D56" s="2527">
        <v>18320087</v>
      </c>
      <c r="E56" s="2925"/>
      <c r="G56" s="2579"/>
      <c r="H56" s="2881">
        <v>48</v>
      </c>
      <c r="I56" s="2507">
        <v>16386285</v>
      </c>
      <c r="J56" s="2507">
        <v>18007655</v>
      </c>
      <c r="K56" s="2482"/>
      <c r="L56" s="2482"/>
      <c r="M56" s="2482"/>
      <c r="N56" s="2482"/>
      <c r="O56" s="2482"/>
      <c r="P56" s="2482"/>
      <c r="Q56" s="2482"/>
      <c r="R56" s="2482"/>
      <c r="S56" s="2482"/>
      <c r="T56" s="2482"/>
    </row>
    <row r="57" spans="1:20" ht="15.75" customHeight="1" thickBot="1" x14ac:dyDescent="0.25">
      <c r="A57" s="2677">
        <v>49</v>
      </c>
      <c r="B57" s="2512" t="s">
        <v>9207</v>
      </c>
      <c r="C57" s="2566">
        <v>2193124</v>
      </c>
      <c r="D57" s="2566">
        <v>1840856</v>
      </c>
      <c r="E57" s="2925"/>
      <c r="G57" s="2579"/>
      <c r="H57" s="2881">
        <v>49</v>
      </c>
      <c r="I57" s="2507">
        <v>1781762</v>
      </c>
      <c r="J57" s="2507">
        <v>1696372</v>
      </c>
      <c r="K57" s="2482"/>
      <c r="L57" s="2482"/>
      <c r="M57" s="2482"/>
      <c r="N57" s="2482"/>
      <c r="O57" s="2482"/>
      <c r="P57" s="2482"/>
      <c r="Q57" s="2482"/>
      <c r="R57" s="2482"/>
      <c r="S57" s="2482"/>
      <c r="T57" s="2482"/>
    </row>
    <row r="58" spans="1:20" ht="15.75" customHeight="1" thickBot="1" x14ac:dyDescent="0.25">
      <c r="A58" s="2677">
        <v>50</v>
      </c>
      <c r="B58" s="2669" t="s">
        <v>9208</v>
      </c>
      <c r="C58" s="2926">
        <f>SUM(C52:C57)</f>
        <v>42909698</v>
      </c>
      <c r="D58" s="2926">
        <f>SUM(D52:D57)</f>
        <v>36993406</v>
      </c>
      <c r="E58" s="2925"/>
      <c r="G58" s="2579"/>
      <c r="H58" s="2881">
        <v>50</v>
      </c>
      <c r="I58" s="2507">
        <v>32857810</v>
      </c>
      <c r="J58" s="2507">
        <v>33276295</v>
      </c>
      <c r="K58" s="2482"/>
      <c r="L58" s="2482"/>
      <c r="M58" s="2482"/>
      <c r="N58" s="2482"/>
      <c r="O58" s="2482"/>
      <c r="P58" s="2482"/>
      <c r="Q58" s="2482"/>
      <c r="R58" s="2482"/>
      <c r="S58" s="2482"/>
      <c r="T58" s="2482"/>
    </row>
    <row r="59" spans="1:20" ht="15.75" customHeight="1" x14ac:dyDescent="0.2">
      <c r="A59" s="2677">
        <v>51</v>
      </c>
      <c r="B59" s="2669" t="s">
        <v>9209</v>
      </c>
      <c r="C59" s="4051"/>
      <c r="D59" s="4052"/>
      <c r="E59" s="2925"/>
      <c r="G59" s="2579"/>
      <c r="H59" s="2881">
        <v>51</v>
      </c>
      <c r="I59" s="2511"/>
      <c r="J59" s="2511"/>
      <c r="K59" s="2482"/>
      <c r="L59" s="2482"/>
      <c r="M59" s="2482"/>
      <c r="N59" s="2482"/>
      <c r="O59" s="2482"/>
      <c r="P59" s="2482"/>
      <c r="Q59" s="2482"/>
      <c r="R59" s="2482"/>
      <c r="S59" s="2482"/>
      <c r="T59" s="2482"/>
    </row>
    <row r="60" spans="1:20" ht="15.75" customHeight="1" x14ac:dyDescent="0.2">
      <c r="A60" s="2677">
        <v>52</v>
      </c>
      <c r="B60" s="2669" t="s">
        <v>438</v>
      </c>
      <c r="C60" s="3907"/>
      <c r="D60" s="3909"/>
      <c r="E60" s="2925"/>
      <c r="G60" s="2579"/>
      <c r="H60" s="2881">
        <v>52</v>
      </c>
      <c r="I60" s="2511"/>
      <c r="J60" s="2511"/>
      <c r="K60" s="2482"/>
      <c r="L60" s="2482"/>
      <c r="M60" s="2482"/>
      <c r="N60" s="2482"/>
      <c r="O60" s="2482"/>
      <c r="P60" s="2482"/>
      <c r="Q60" s="2482"/>
      <c r="R60" s="2482"/>
      <c r="S60" s="2482"/>
      <c r="T60" s="2482"/>
    </row>
    <row r="61" spans="1:20" ht="15.75" customHeight="1" x14ac:dyDescent="0.2">
      <c r="A61" s="2677">
        <v>53</v>
      </c>
      <c r="B61" s="2512" t="s">
        <v>9210</v>
      </c>
      <c r="C61" s="2527">
        <v>28212</v>
      </c>
      <c r="D61" s="2527">
        <v>381</v>
      </c>
      <c r="E61" s="2925"/>
      <c r="G61" s="2579"/>
      <c r="H61" s="2881">
        <v>53</v>
      </c>
      <c r="I61" s="2507">
        <v>394</v>
      </c>
      <c r="J61" s="2507">
        <v>381</v>
      </c>
      <c r="K61" s="2482"/>
      <c r="L61" s="2482"/>
      <c r="M61" s="2482"/>
      <c r="N61" s="2482"/>
      <c r="O61" s="2482"/>
      <c r="P61" s="2482"/>
      <c r="Q61" s="2482"/>
      <c r="R61" s="2482"/>
      <c r="S61" s="2482"/>
      <c r="T61" s="2482"/>
    </row>
    <row r="62" spans="1:20" ht="15.75" customHeight="1" x14ac:dyDescent="0.2">
      <c r="A62" s="2677">
        <v>54</v>
      </c>
      <c r="B62" s="2512" t="s">
        <v>9211</v>
      </c>
      <c r="C62" s="2527">
        <v>708345</v>
      </c>
      <c r="D62" s="2527">
        <v>751998</v>
      </c>
      <c r="E62" s="2925"/>
      <c r="G62" s="2579"/>
      <c r="H62" s="2881">
        <v>54</v>
      </c>
      <c r="I62" s="2507">
        <v>696412</v>
      </c>
      <c r="J62" s="2507">
        <v>646717</v>
      </c>
      <c r="K62" s="2482"/>
      <c r="L62" s="2482"/>
      <c r="M62" s="2482"/>
      <c r="N62" s="2482"/>
      <c r="O62" s="2482"/>
      <c r="P62" s="2482"/>
      <c r="Q62" s="2482"/>
      <c r="R62" s="2482"/>
      <c r="S62" s="2482"/>
      <c r="T62" s="2482"/>
    </row>
    <row r="63" spans="1:20" ht="15.75" customHeight="1" x14ac:dyDescent="0.2">
      <c r="A63" s="2677">
        <v>55</v>
      </c>
      <c r="B63" s="2512" t="s">
        <v>9212</v>
      </c>
      <c r="C63" s="2527">
        <v>1392317</v>
      </c>
      <c r="D63" s="2527">
        <v>1254804</v>
      </c>
      <c r="E63" s="2925"/>
      <c r="G63" s="2579"/>
      <c r="H63" s="2881">
        <v>55</v>
      </c>
      <c r="I63" s="2507">
        <v>1417042</v>
      </c>
      <c r="J63" s="2507">
        <v>1770311</v>
      </c>
      <c r="K63" s="2482"/>
      <c r="L63" s="2482"/>
      <c r="M63" s="2482"/>
      <c r="N63" s="2482"/>
      <c r="O63" s="2482"/>
      <c r="P63" s="2482"/>
      <c r="Q63" s="2482"/>
      <c r="R63" s="2482"/>
      <c r="S63" s="2482"/>
      <c r="T63" s="2482"/>
    </row>
    <row r="64" spans="1:20" ht="15.75" customHeight="1" x14ac:dyDescent="0.2">
      <c r="A64" s="2677">
        <v>56</v>
      </c>
      <c r="B64" s="2512" t="s">
        <v>9213</v>
      </c>
      <c r="C64" s="2527">
        <v>1145838</v>
      </c>
      <c r="D64" s="2527">
        <v>1697404</v>
      </c>
      <c r="E64" s="2925"/>
      <c r="G64" s="2579"/>
      <c r="H64" s="2881">
        <v>56</v>
      </c>
      <c r="I64" s="2507">
        <v>1680183</v>
      </c>
      <c r="J64" s="2507">
        <v>2013122</v>
      </c>
      <c r="K64" s="2482"/>
      <c r="L64" s="2482"/>
      <c r="M64" s="2482"/>
      <c r="N64" s="2482"/>
      <c r="O64" s="2482"/>
      <c r="P64" s="2482"/>
      <c r="Q64" s="2482"/>
      <c r="R64" s="2482"/>
      <c r="S64" s="2482"/>
      <c r="T64" s="2482"/>
    </row>
    <row r="65" spans="1:20" ht="15.75" customHeight="1" thickBot="1" x14ac:dyDescent="0.25">
      <c r="A65" s="2677">
        <v>57</v>
      </c>
      <c r="B65" s="2512" t="s">
        <v>9214</v>
      </c>
      <c r="C65" s="2929">
        <v>4953894</v>
      </c>
      <c r="D65" s="2930">
        <v>-3200022</v>
      </c>
      <c r="E65" s="2925"/>
      <c r="G65" s="2579"/>
      <c r="H65" s="2881">
        <v>57</v>
      </c>
      <c r="I65" s="2507">
        <v>37153349</v>
      </c>
      <c r="J65" s="2507">
        <v>4378310</v>
      </c>
      <c r="K65" s="2482"/>
      <c r="L65" s="2482"/>
      <c r="M65" s="2482"/>
      <c r="N65" s="2482"/>
      <c r="O65" s="2482"/>
      <c r="P65" s="2482"/>
      <c r="Q65" s="2482"/>
      <c r="R65" s="2482"/>
      <c r="S65" s="2482"/>
      <c r="T65" s="2482"/>
    </row>
    <row r="66" spans="1:20" ht="15.75" customHeight="1" thickBot="1" x14ac:dyDescent="0.25">
      <c r="A66" s="2677">
        <v>58</v>
      </c>
      <c r="B66" s="2669" t="s">
        <v>9215</v>
      </c>
      <c r="C66" s="2926">
        <f>SUM(C61:C65)</f>
        <v>8228606</v>
      </c>
      <c r="D66" s="2926">
        <f>SUM(D61:D65)</f>
        <v>504565</v>
      </c>
      <c r="E66" s="2925"/>
      <c r="G66" s="2579"/>
      <c r="H66" s="2881">
        <v>58</v>
      </c>
      <c r="I66" s="2507">
        <v>40947380</v>
      </c>
      <c r="J66" s="2507">
        <v>8808841</v>
      </c>
      <c r="K66" s="2482"/>
      <c r="L66" s="2482"/>
      <c r="M66" s="2482"/>
      <c r="N66" s="2482"/>
      <c r="O66" s="2482"/>
      <c r="P66" s="2482"/>
      <c r="Q66" s="2482"/>
      <c r="R66" s="2482"/>
      <c r="S66" s="2482"/>
      <c r="T66" s="2482"/>
    </row>
    <row r="67" spans="1:20" ht="15.75" customHeight="1" thickBot="1" x14ac:dyDescent="0.25">
      <c r="A67" s="2677">
        <v>59</v>
      </c>
      <c r="B67" s="2669" t="s">
        <v>9216</v>
      </c>
      <c r="C67" s="2926">
        <f>C58+C66</f>
        <v>51138304</v>
      </c>
      <c r="D67" s="2926">
        <f>D58+D66</f>
        <v>37497971</v>
      </c>
      <c r="E67" s="2925"/>
      <c r="G67" s="2579"/>
      <c r="H67" s="2881">
        <v>59</v>
      </c>
      <c r="I67" s="2507">
        <v>73805190</v>
      </c>
      <c r="J67" s="2507">
        <v>42085136</v>
      </c>
      <c r="K67" s="2482"/>
      <c r="L67" s="2482"/>
      <c r="M67" s="2482"/>
      <c r="N67" s="2482"/>
      <c r="O67" s="2482"/>
      <c r="P67" s="2482"/>
      <c r="Q67" s="2482"/>
      <c r="R67" s="2482"/>
      <c r="S67" s="2482"/>
      <c r="T67" s="2482"/>
    </row>
    <row r="68" spans="1:20" ht="15.75" customHeight="1" x14ac:dyDescent="0.2">
      <c r="A68" s="2677">
        <v>60</v>
      </c>
      <c r="B68" s="2669" t="s">
        <v>9217</v>
      </c>
      <c r="C68" s="4055"/>
      <c r="D68" s="4055"/>
      <c r="E68" s="2925"/>
      <c r="G68" s="2579"/>
      <c r="H68" s="2881">
        <v>60</v>
      </c>
      <c r="I68" s="2511"/>
      <c r="J68" s="2511"/>
      <c r="K68" s="2482"/>
      <c r="L68" s="2482"/>
      <c r="M68" s="2482"/>
      <c r="N68" s="2482"/>
      <c r="O68" s="2482"/>
      <c r="P68" s="2482"/>
      <c r="Q68" s="2482"/>
      <c r="R68" s="2482"/>
      <c r="S68" s="2482"/>
      <c r="T68" s="2482"/>
    </row>
    <row r="69" spans="1:20" ht="15.75" customHeight="1" x14ac:dyDescent="0.2">
      <c r="A69" s="2677">
        <v>61</v>
      </c>
      <c r="B69" s="2669" t="s">
        <v>437</v>
      </c>
      <c r="C69" s="4056"/>
      <c r="D69" s="4056"/>
      <c r="E69" s="2925"/>
      <c r="G69" s="2579"/>
      <c r="H69" s="2881">
        <v>61</v>
      </c>
      <c r="I69" s="2511"/>
      <c r="J69" s="2511"/>
      <c r="K69" s="2482"/>
      <c r="L69" s="2482"/>
      <c r="M69" s="2482"/>
      <c r="N69" s="2482"/>
      <c r="O69" s="2482"/>
      <c r="P69" s="2482"/>
      <c r="Q69" s="2482"/>
      <c r="R69" s="2482"/>
      <c r="S69" s="2482"/>
      <c r="T69" s="2482"/>
    </row>
    <row r="70" spans="1:20" ht="15.75" customHeight="1" x14ac:dyDescent="0.2">
      <c r="A70" s="2677">
        <v>62</v>
      </c>
      <c r="B70" s="2512" t="s">
        <v>9218</v>
      </c>
      <c r="C70" s="2527">
        <v>577165</v>
      </c>
      <c r="D70" s="2527">
        <v>470211</v>
      </c>
      <c r="E70" s="2925"/>
      <c r="G70" s="2579"/>
      <c r="H70" s="2881">
        <v>62</v>
      </c>
      <c r="I70" s="2507">
        <v>350785</v>
      </c>
      <c r="J70" s="2507">
        <v>355808</v>
      </c>
      <c r="K70" s="2482"/>
      <c r="L70" s="2482"/>
      <c r="M70" s="2482"/>
      <c r="N70" s="2482"/>
      <c r="O70" s="2482"/>
      <c r="P70" s="2482"/>
      <c r="Q70" s="2482"/>
      <c r="R70" s="2482"/>
      <c r="S70" s="2482"/>
      <c r="T70" s="2482"/>
    </row>
    <row r="71" spans="1:20" ht="15.75" customHeight="1" x14ac:dyDescent="0.2">
      <c r="A71" s="2677">
        <v>63</v>
      </c>
      <c r="B71" s="2512" t="s">
        <v>9219</v>
      </c>
      <c r="C71" s="2527">
        <v>486505378</v>
      </c>
      <c r="D71" s="2527">
        <v>562162331</v>
      </c>
      <c r="E71" s="2925"/>
      <c r="G71" s="2579"/>
      <c r="H71" s="2881">
        <v>63</v>
      </c>
      <c r="I71" s="2507">
        <v>252620782</v>
      </c>
      <c r="J71" s="2507">
        <v>280208082</v>
      </c>
      <c r="K71" s="2482"/>
      <c r="L71" s="2482"/>
      <c r="M71" s="2482"/>
      <c r="N71" s="2482"/>
      <c r="O71" s="2482"/>
      <c r="P71" s="2482"/>
      <c r="Q71" s="2482"/>
      <c r="R71" s="2482"/>
      <c r="S71" s="2482"/>
      <c r="T71" s="2482"/>
    </row>
    <row r="72" spans="1:20" ht="15.75" customHeight="1" x14ac:dyDescent="0.2">
      <c r="A72" s="2771" t="s">
        <v>6085</v>
      </c>
      <c r="B72" s="2512" t="s">
        <v>9220</v>
      </c>
      <c r="C72" s="2527">
        <v>29884779</v>
      </c>
      <c r="D72" s="2527">
        <v>21750565</v>
      </c>
      <c r="E72" s="2925"/>
      <c r="G72" s="2579"/>
      <c r="H72" s="2881">
        <v>64</v>
      </c>
      <c r="I72" s="2507">
        <v>19594249</v>
      </c>
      <c r="J72" s="2507">
        <v>17253968</v>
      </c>
      <c r="K72" s="2482"/>
      <c r="L72" s="2482"/>
      <c r="M72" s="2482"/>
      <c r="N72" s="2482"/>
      <c r="O72" s="2482"/>
      <c r="P72" s="2482"/>
      <c r="Q72" s="2482"/>
      <c r="R72" s="2482"/>
      <c r="S72" s="2482"/>
      <c r="T72" s="2482"/>
    </row>
    <row r="73" spans="1:20" ht="15.75" customHeight="1" x14ac:dyDescent="0.2">
      <c r="A73" s="2771" t="s">
        <v>9221</v>
      </c>
      <c r="B73" s="2512" t="s">
        <v>9222</v>
      </c>
      <c r="C73" s="2527">
        <v>0</v>
      </c>
      <c r="D73" s="2527">
        <v>0</v>
      </c>
      <c r="E73" s="2925"/>
      <c r="G73" s="2579"/>
      <c r="H73" s="2881">
        <v>65</v>
      </c>
      <c r="I73" s="2507">
        <v>0</v>
      </c>
      <c r="J73" s="2507">
        <v>0</v>
      </c>
      <c r="K73" s="2482"/>
      <c r="L73" s="2482"/>
      <c r="M73" s="2482"/>
      <c r="N73" s="2482"/>
      <c r="O73" s="2482"/>
      <c r="P73" s="2482"/>
      <c r="Q73" s="2482"/>
      <c r="R73" s="2482"/>
      <c r="S73" s="2482"/>
      <c r="T73" s="2482"/>
    </row>
    <row r="74" spans="1:20" ht="15.75" customHeight="1" x14ac:dyDescent="0.2">
      <c r="A74" s="2771" t="s">
        <v>6087</v>
      </c>
      <c r="B74" s="2512" t="s">
        <v>9223</v>
      </c>
      <c r="C74" s="2527">
        <v>10168786</v>
      </c>
      <c r="D74" s="2527">
        <v>9956030</v>
      </c>
      <c r="E74" s="2925"/>
      <c r="G74" s="2579"/>
      <c r="H74" s="2881">
        <v>66</v>
      </c>
      <c r="I74" s="2507">
        <v>8625877</v>
      </c>
      <c r="J74" s="2507">
        <v>7815446</v>
      </c>
      <c r="K74" s="2482"/>
      <c r="L74" s="2482"/>
      <c r="M74" s="2482"/>
      <c r="N74" s="2482"/>
      <c r="O74" s="2482"/>
      <c r="P74" s="2482"/>
      <c r="Q74" s="2482"/>
      <c r="R74" s="2482"/>
      <c r="S74" s="2482"/>
      <c r="T74" s="2482"/>
    </row>
    <row r="75" spans="1:20" ht="15.75" customHeight="1" thickBot="1" x14ac:dyDescent="0.25">
      <c r="A75" s="2771" t="s">
        <v>6089</v>
      </c>
      <c r="B75" s="2512" t="s">
        <v>9224</v>
      </c>
      <c r="C75" s="2566">
        <v>11220095</v>
      </c>
      <c r="D75" s="2566">
        <v>11209398</v>
      </c>
      <c r="E75" s="2925"/>
      <c r="G75" s="2579"/>
      <c r="H75" s="2881">
        <v>67</v>
      </c>
      <c r="I75" s="2507">
        <v>5102234</v>
      </c>
      <c r="J75" s="2507">
        <v>3234050</v>
      </c>
      <c r="K75" s="2482"/>
      <c r="L75" s="2482"/>
      <c r="M75" s="2482"/>
      <c r="N75" s="2482"/>
      <c r="O75" s="2482"/>
      <c r="P75" s="2482"/>
      <c r="Q75" s="2482"/>
      <c r="R75" s="2482"/>
      <c r="S75" s="2482"/>
      <c r="T75" s="2482"/>
    </row>
    <row r="76" spans="1:20" ht="15.75" customHeight="1" thickBot="1" x14ac:dyDescent="0.25">
      <c r="A76" s="2771" t="s">
        <v>6091</v>
      </c>
      <c r="B76" s="2669" t="s">
        <v>9225</v>
      </c>
      <c r="C76" s="2926">
        <f>SUM(C70:C75)</f>
        <v>538356203</v>
      </c>
      <c r="D76" s="2926">
        <f>SUM(D70:D75)</f>
        <v>605548535</v>
      </c>
      <c r="E76" s="2925"/>
      <c r="G76" s="2579"/>
      <c r="H76" s="2881">
        <v>68</v>
      </c>
      <c r="I76" s="2507">
        <v>286293927</v>
      </c>
      <c r="J76" s="2507">
        <v>308867354</v>
      </c>
      <c r="K76" s="2482"/>
      <c r="L76" s="2482"/>
      <c r="M76" s="2482"/>
      <c r="N76" s="2482"/>
      <c r="O76" s="2482"/>
      <c r="P76" s="2482"/>
      <c r="Q76" s="2482"/>
      <c r="R76" s="2482"/>
      <c r="S76" s="2482"/>
      <c r="T76" s="2482"/>
    </row>
    <row r="77" spans="1:20" ht="15.75" customHeight="1" x14ac:dyDescent="0.2">
      <c r="A77" s="2771" t="s">
        <v>6093</v>
      </c>
      <c r="B77" s="2669" t="s">
        <v>438</v>
      </c>
      <c r="C77" s="4051"/>
      <c r="D77" s="4052"/>
      <c r="E77" s="2925"/>
      <c r="G77" s="2579"/>
      <c r="H77" s="2881">
        <v>69</v>
      </c>
      <c r="I77" s="2511"/>
      <c r="J77" s="2511"/>
      <c r="K77" s="2482"/>
      <c r="L77" s="2482"/>
      <c r="M77" s="2482"/>
      <c r="N77" s="2482"/>
      <c r="O77" s="2482"/>
      <c r="P77" s="2482"/>
      <c r="Q77" s="2482"/>
      <c r="R77" s="2482"/>
      <c r="S77" s="2482"/>
      <c r="T77" s="2482"/>
    </row>
    <row r="78" spans="1:20" ht="15.75" customHeight="1" x14ac:dyDescent="0.2">
      <c r="A78" s="2771" t="s">
        <v>6095</v>
      </c>
      <c r="B78" s="2512" t="s">
        <v>9226</v>
      </c>
      <c r="C78" s="2527">
        <v>0</v>
      </c>
      <c r="D78" s="2527">
        <v>0</v>
      </c>
      <c r="E78" s="2925"/>
      <c r="G78" s="2579"/>
      <c r="H78" s="2881">
        <v>70</v>
      </c>
      <c r="I78" s="2507">
        <v>0</v>
      </c>
      <c r="J78" s="2507">
        <v>0</v>
      </c>
      <c r="K78" s="2482"/>
      <c r="L78" s="2482"/>
      <c r="M78" s="2482"/>
      <c r="N78" s="2482"/>
      <c r="O78" s="2482"/>
      <c r="P78" s="2482"/>
      <c r="Q78" s="2482"/>
      <c r="R78" s="2482"/>
      <c r="S78" s="2482"/>
      <c r="T78" s="2482"/>
    </row>
    <row r="79" spans="1:20" ht="15.75" customHeight="1" x14ac:dyDescent="0.2">
      <c r="A79" s="2771" t="s">
        <v>6098</v>
      </c>
      <c r="B79" s="2512" t="s">
        <v>9227</v>
      </c>
      <c r="C79" s="2527">
        <v>4718702</v>
      </c>
      <c r="D79" s="2527">
        <v>3017477</v>
      </c>
      <c r="E79" s="2925"/>
      <c r="G79" s="2579"/>
      <c r="H79" s="2881">
        <v>71</v>
      </c>
      <c r="I79" s="2507">
        <v>4362235</v>
      </c>
      <c r="J79" s="2507">
        <v>2374413</v>
      </c>
      <c r="K79" s="2482"/>
      <c r="L79" s="2482"/>
      <c r="M79" s="2482"/>
      <c r="N79" s="2482"/>
      <c r="O79" s="2482"/>
      <c r="P79" s="2482"/>
      <c r="Q79" s="2482"/>
      <c r="R79" s="2482"/>
      <c r="S79" s="2482"/>
      <c r="T79" s="2482"/>
    </row>
    <row r="80" spans="1:20" ht="15.75" customHeight="1" x14ac:dyDescent="0.2">
      <c r="A80" s="2771" t="s">
        <v>6101</v>
      </c>
      <c r="B80" s="2512" t="s">
        <v>9228</v>
      </c>
      <c r="C80" s="2527">
        <v>29305442</v>
      </c>
      <c r="D80" s="2527">
        <v>24419168</v>
      </c>
      <c r="E80" s="2925"/>
      <c r="G80" s="2579"/>
      <c r="H80" s="2881">
        <v>72</v>
      </c>
      <c r="I80" s="2507">
        <v>16030141</v>
      </c>
      <c r="J80" s="2507">
        <v>12239103</v>
      </c>
      <c r="K80" s="2482"/>
      <c r="L80" s="2482"/>
      <c r="M80" s="2482"/>
      <c r="N80" s="2482"/>
      <c r="O80" s="2482"/>
      <c r="P80" s="2482"/>
      <c r="Q80" s="2482"/>
      <c r="R80" s="2482"/>
      <c r="S80" s="2482"/>
      <c r="T80" s="2482"/>
    </row>
    <row r="81" spans="1:20" ht="15.75" customHeight="1" x14ac:dyDescent="0.2">
      <c r="A81" s="2771" t="s">
        <v>9229</v>
      </c>
      <c r="B81" s="2512" t="s">
        <v>9230</v>
      </c>
      <c r="C81" s="2527">
        <v>0</v>
      </c>
      <c r="D81" s="2527">
        <v>0</v>
      </c>
      <c r="E81" s="2925"/>
      <c r="G81" s="2579"/>
      <c r="H81" s="2881">
        <v>73</v>
      </c>
      <c r="I81" s="2507">
        <v>0</v>
      </c>
      <c r="J81" s="2507">
        <v>0</v>
      </c>
      <c r="K81" s="2482"/>
      <c r="L81" s="2482"/>
      <c r="M81" s="2482"/>
      <c r="N81" s="2482"/>
      <c r="O81" s="2482"/>
      <c r="P81" s="2482"/>
      <c r="Q81" s="2482"/>
      <c r="R81" s="2482"/>
      <c r="S81" s="2482"/>
      <c r="T81" s="2482"/>
    </row>
    <row r="82" spans="1:20" ht="15.75" customHeight="1" thickBot="1" x14ac:dyDescent="0.25">
      <c r="A82" s="2771" t="s">
        <v>6103</v>
      </c>
      <c r="B82" s="2512" t="s">
        <v>9231</v>
      </c>
      <c r="C82" s="2566">
        <v>4631097</v>
      </c>
      <c r="D82" s="2566">
        <v>3540853</v>
      </c>
      <c r="E82" s="2925"/>
      <c r="G82" s="2579"/>
      <c r="H82" s="2881">
        <v>74</v>
      </c>
      <c r="I82" s="2507">
        <v>2900157</v>
      </c>
      <c r="J82" s="2507">
        <v>2982747</v>
      </c>
      <c r="K82" s="2482"/>
      <c r="L82" s="2482"/>
      <c r="M82" s="2482"/>
      <c r="N82" s="2482"/>
      <c r="O82" s="2482"/>
      <c r="P82" s="2482"/>
      <c r="Q82" s="2482"/>
      <c r="R82" s="2482"/>
      <c r="S82" s="2482"/>
      <c r="T82" s="2482"/>
    </row>
    <row r="83" spans="1:20" ht="15.75" customHeight="1" thickBot="1" x14ac:dyDescent="0.25">
      <c r="A83" s="2771" t="s">
        <v>6105</v>
      </c>
      <c r="B83" s="2669" t="s">
        <v>9232</v>
      </c>
      <c r="C83" s="2926">
        <f>SUM(C78:C82)</f>
        <v>38655241</v>
      </c>
      <c r="D83" s="2926">
        <f>SUM(D78:D82)</f>
        <v>30977498</v>
      </c>
      <c r="E83" s="2925"/>
      <c r="G83" s="2579"/>
      <c r="H83" s="2881">
        <v>75</v>
      </c>
      <c r="I83" s="2507">
        <v>23292533</v>
      </c>
      <c r="J83" s="2507">
        <v>17596263</v>
      </c>
      <c r="K83" s="2482"/>
      <c r="L83" s="2482"/>
      <c r="M83" s="2482"/>
      <c r="N83" s="2482"/>
      <c r="O83" s="2482"/>
      <c r="P83" s="2482"/>
      <c r="Q83" s="2482"/>
      <c r="R83" s="2482"/>
      <c r="S83" s="2482"/>
      <c r="T83" s="2482"/>
    </row>
    <row r="84" spans="1:20" ht="15.75" customHeight="1" thickBot="1" x14ac:dyDescent="0.25">
      <c r="A84" s="2771" t="s">
        <v>6107</v>
      </c>
      <c r="B84" s="2669" t="s">
        <v>9233</v>
      </c>
      <c r="C84" s="2926">
        <f>C76+C83</f>
        <v>577011444</v>
      </c>
      <c r="D84" s="2926">
        <f>D76+D83</f>
        <v>636526033</v>
      </c>
      <c r="E84" s="2925"/>
      <c r="G84" s="2579"/>
      <c r="H84" s="2881">
        <v>76</v>
      </c>
      <c r="I84" s="2507">
        <v>309586460</v>
      </c>
      <c r="J84" s="2507">
        <v>326463617</v>
      </c>
      <c r="K84" s="2482"/>
      <c r="L84" s="2482"/>
      <c r="M84" s="2482"/>
      <c r="N84" s="2482"/>
      <c r="O84" s="2482"/>
      <c r="P84" s="2482"/>
      <c r="Q84" s="2482"/>
      <c r="R84" s="2482"/>
      <c r="S84" s="2482"/>
      <c r="T84" s="2482"/>
    </row>
    <row r="85" spans="1:20" ht="15.75" customHeight="1" x14ac:dyDescent="0.2">
      <c r="A85" s="2771" t="s">
        <v>6109</v>
      </c>
      <c r="B85" s="2669" t="s">
        <v>9234</v>
      </c>
      <c r="C85" s="4053"/>
      <c r="D85" s="4053"/>
      <c r="E85" s="2925"/>
      <c r="G85" s="2579"/>
      <c r="H85" s="2881">
        <v>77</v>
      </c>
      <c r="I85" s="2511"/>
      <c r="J85" s="2511"/>
      <c r="K85" s="2482"/>
      <c r="L85" s="2482"/>
      <c r="M85" s="2482"/>
      <c r="N85" s="2482"/>
      <c r="O85" s="2482"/>
      <c r="P85" s="2482"/>
      <c r="Q85" s="2482"/>
      <c r="R85" s="2482"/>
      <c r="S85" s="2482"/>
      <c r="T85" s="2482"/>
    </row>
    <row r="86" spans="1:20" ht="15.75" customHeight="1" x14ac:dyDescent="0.2">
      <c r="A86" s="2771" t="s">
        <v>6111</v>
      </c>
      <c r="B86" s="2512" t="s">
        <v>9235</v>
      </c>
      <c r="C86" s="2527">
        <v>937845148</v>
      </c>
      <c r="D86" s="2527">
        <v>601324862</v>
      </c>
      <c r="E86" s="2925"/>
      <c r="G86" s="2579"/>
      <c r="H86" s="2881">
        <v>78</v>
      </c>
      <c r="I86" s="2507">
        <v>707124705</v>
      </c>
      <c r="J86" s="2507">
        <v>633195384</v>
      </c>
      <c r="K86" s="2482"/>
      <c r="L86" s="2482"/>
      <c r="M86" s="2482"/>
      <c r="N86" s="2482"/>
      <c r="O86" s="2482"/>
      <c r="P86" s="2482"/>
      <c r="Q86" s="2482"/>
      <c r="R86" s="2482"/>
      <c r="S86" s="2482"/>
      <c r="T86" s="2482"/>
    </row>
    <row r="87" spans="1:20" ht="15.75" customHeight="1" x14ac:dyDescent="0.2">
      <c r="A87" s="2771" t="s">
        <v>6443</v>
      </c>
      <c r="B87" s="2512" t="s">
        <v>9236</v>
      </c>
      <c r="C87" s="2527">
        <v>0</v>
      </c>
      <c r="D87" s="2527">
        <v>0</v>
      </c>
      <c r="E87" s="2925"/>
      <c r="G87" s="2579"/>
      <c r="H87" s="2881">
        <v>79</v>
      </c>
      <c r="I87" s="2507">
        <v>0</v>
      </c>
      <c r="J87" s="2507">
        <v>0</v>
      </c>
      <c r="K87" s="2482"/>
      <c r="L87" s="2482"/>
      <c r="M87" s="2482"/>
      <c r="N87" s="2482"/>
      <c r="O87" s="2482"/>
      <c r="P87" s="2482"/>
      <c r="Q87" s="2482"/>
      <c r="R87" s="2482"/>
      <c r="S87" s="2482"/>
      <c r="T87" s="2482"/>
    </row>
    <row r="88" spans="1:20" ht="15.75" customHeight="1" x14ac:dyDescent="0.2">
      <c r="A88" s="2771" t="s">
        <v>6113</v>
      </c>
      <c r="B88" s="2512" t="s">
        <v>9237</v>
      </c>
      <c r="C88" s="2527">
        <v>3499644</v>
      </c>
      <c r="D88" s="2527">
        <v>1682317</v>
      </c>
      <c r="E88" s="2925"/>
      <c r="G88" s="2579"/>
      <c r="H88" s="2881">
        <v>80</v>
      </c>
      <c r="I88" s="2507">
        <v>677650</v>
      </c>
      <c r="J88" s="2507">
        <v>770619</v>
      </c>
      <c r="K88" s="2482"/>
      <c r="L88" s="2482"/>
      <c r="M88" s="2482"/>
      <c r="N88" s="2482"/>
      <c r="O88" s="2482"/>
      <c r="P88" s="2482"/>
      <c r="Q88" s="2482"/>
      <c r="R88" s="2482"/>
      <c r="S88" s="2482"/>
      <c r="T88" s="2482"/>
    </row>
    <row r="89" spans="1:20" ht="15.75" customHeight="1" thickBot="1" x14ac:dyDescent="0.25">
      <c r="A89" s="2771" t="s">
        <v>6115</v>
      </c>
      <c r="B89" s="2512" t="s">
        <v>9238</v>
      </c>
      <c r="C89" s="2566">
        <v>49729786</v>
      </c>
      <c r="D89" s="2566">
        <v>44289597</v>
      </c>
      <c r="E89" s="2925"/>
      <c r="G89" s="2579"/>
      <c r="H89" s="2881">
        <v>81</v>
      </c>
      <c r="I89" s="2507">
        <v>41143081</v>
      </c>
      <c r="J89" s="2507">
        <v>44593260</v>
      </c>
      <c r="K89" s="2482"/>
      <c r="L89" s="2482"/>
      <c r="M89" s="2482"/>
      <c r="N89" s="2482"/>
      <c r="O89" s="2482"/>
      <c r="P89" s="2482"/>
      <c r="Q89" s="2482"/>
      <c r="R89" s="2482"/>
      <c r="S89" s="2482"/>
      <c r="T89" s="2482"/>
    </row>
    <row r="90" spans="1:20" ht="15.75" customHeight="1" thickBot="1" x14ac:dyDescent="0.25">
      <c r="A90" s="2771" t="s">
        <v>6117</v>
      </c>
      <c r="B90" s="2669" t="s">
        <v>9239</v>
      </c>
      <c r="C90" s="2926">
        <f>SUM(C86:C89)</f>
        <v>991074578</v>
      </c>
      <c r="D90" s="2926">
        <f>SUM(D86:D89)</f>
        <v>647296776</v>
      </c>
      <c r="E90" s="2925"/>
      <c r="G90" s="2579"/>
      <c r="H90" s="2881">
        <v>82</v>
      </c>
      <c r="I90" s="2507">
        <v>748945436</v>
      </c>
      <c r="J90" s="2507">
        <v>678559263</v>
      </c>
      <c r="K90" s="2482"/>
      <c r="L90" s="2482"/>
      <c r="M90" s="2482"/>
      <c r="N90" s="2482"/>
      <c r="O90" s="2482"/>
      <c r="P90" s="2482"/>
      <c r="Q90" s="2482"/>
      <c r="R90" s="2482"/>
      <c r="S90" s="2482"/>
      <c r="T90" s="2482"/>
    </row>
    <row r="91" spans="1:20" ht="15.75" customHeight="1" thickBot="1" x14ac:dyDescent="0.25">
      <c r="A91" s="2771" t="s">
        <v>6120</v>
      </c>
      <c r="B91" s="2669" t="s">
        <v>9240</v>
      </c>
      <c r="C91" s="2926">
        <f>C29+C49+C67+C84+C90</f>
        <v>2598188817</v>
      </c>
      <c r="D91" s="2926">
        <f>D29+D49+D67+D84+D90</f>
        <v>2301922338</v>
      </c>
      <c r="E91" s="2925"/>
      <c r="G91" s="2579"/>
      <c r="H91" s="2881">
        <v>83</v>
      </c>
      <c r="I91" s="2507">
        <v>2121614543</v>
      </c>
      <c r="J91" s="2507">
        <v>2110097857</v>
      </c>
      <c r="K91" s="2482"/>
      <c r="L91" s="2482"/>
      <c r="M91" s="2482"/>
      <c r="N91" s="2482"/>
      <c r="O91" s="2482"/>
      <c r="P91" s="2482"/>
      <c r="Q91" s="2482"/>
      <c r="R91" s="2482"/>
      <c r="S91" s="2482"/>
      <c r="T91" s="2482"/>
    </row>
    <row r="92" spans="1:20" ht="15.75" customHeight="1" x14ac:dyDescent="0.2">
      <c r="A92" s="2771" t="s">
        <v>6122</v>
      </c>
      <c r="B92" s="2669" t="s">
        <v>9241</v>
      </c>
      <c r="C92" s="4055"/>
      <c r="D92" s="4055"/>
      <c r="E92" s="2925"/>
      <c r="G92" s="2579"/>
      <c r="H92" s="2881">
        <v>84</v>
      </c>
      <c r="I92" s="2511"/>
      <c r="J92" s="2511"/>
      <c r="K92" s="2482"/>
      <c r="L92" s="2482"/>
      <c r="M92" s="2482"/>
      <c r="N92" s="2482"/>
      <c r="O92" s="2482"/>
      <c r="P92" s="2482"/>
      <c r="Q92" s="2482"/>
      <c r="R92" s="2482"/>
      <c r="S92" s="2482"/>
      <c r="T92" s="2482"/>
    </row>
    <row r="93" spans="1:20" ht="15.75" customHeight="1" x14ac:dyDescent="0.2">
      <c r="A93" s="2771" t="s">
        <v>6124</v>
      </c>
      <c r="B93" s="2669" t="s">
        <v>437</v>
      </c>
      <c r="C93" s="4056"/>
      <c r="D93" s="4056"/>
      <c r="E93" s="2925"/>
      <c r="G93" s="2579"/>
      <c r="H93" s="2881">
        <v>85</v>
      </c>
      <c r="I93" s="2511"/>
      <c r="J93" s="2511"/>
      <c r="K93" s="2482"/>
      <c r="L93" s="2482"/>
      <c r="M93" s="2482"/>
      <c r="N93" s="2482"/>
      <c r="O93" s="2482"/>
      <c r="P93" s="2482"/>
      <c r="Q93" s="2482"/>
      <c r="R93" s="2482"/>
      <c r="S93" s="2482"/>
      <c r="T93" s="2482"/>
    </row>
    <row r="94" spans="1:20" ht="15.75" customHeight="1" x14ac:dyDescent="0.2">
      <c r="A94" s="2771" t="s">
        <v>6126</v>
      </c>
      <c r="B94" s="2512" t="s">
        <v>9242</v>
      </c>
      <c r="C94" s="2527">
        <v>11540431</v>
      </c>
      <c r="D94" s="2527">
        <v>10931628</v>
      </c>
      <c r="E94" s="2925"/>
      <c r="G94" s="2579"/>
      <c r="H94" s="2881">
        <v>86</v>
      </c>
      <c r="I94" s="2507">
        <v>8359068</v>
      </c>
      <c r="J94" s="2507">
        <v>7360740</v>
      </c>
      <c r="K94" s="2482"/>
      <c r="L94" s="2482"/>
      <c r="M94" s="2482"/>
      <c r="N94" s="2482"/>
      <c r="O94" s="2482"/>
      <c r="P94" s="2482"/>
      <c r="Q94" s="2482"/>
      <c r="R94" s="2482"/>
      <c r="S94" s="2482"/>
      <c r="T94" s="2482"/>
    </row>
    <row r="95" spans="1:20" ht="15.75" customHeight="1" x14ac:dyDescent="0.2">
      <c r="A95" s="2771" t="s">
        <v>6130</v>
      </c>
      <c r="B95" s="2512" t="s">
        <v>9243</v>
      </c>
      <c r="C95" s="2527">
        <v>0</v>
      </c>
      <c r="D95" s="2527">
        <v>0</v>
      </c>
      <c r="E95" s="2925"/>
      <c r="G95" s="2579"/>
      <c r="H95" s="2881">
        <v>88</v>
      </c>
      <c r="I95" s="2511"/>
      <c r="J95" s="2511"/>
      <c r="K95" s="2482"/>
      <c r="L95" s="2482"/>
      <c r="M95" s="2482"/>
      <c r="N95" s="2482"/>
      <c r="O95" s="2482"/>
      <c r="P95" s="2482"/>
      <c r="Q95" s="2482"/>
      <c r="R95" s="2482"/>
      <c r="S95" s="2482"/>
      <c r="T95" s="2482"/>
    </row>
    <row r="96" spans="1:20" ht="15.75" customHeight="1" x14ac:dyDescent="0.2">
      <c r="A96" s="2771" t="s">
        <v>6455</v>
      </c>
      <c r="B96" s="2512" t="s">
        <v>9244</v>
      </c>
      <c r="C96" s="2527">
        <v>7195043</v>
      </c>
      <c r="D96" s="2527">
        <v>7448335</v>
      </c>
      <c r="E96" s="2925"/>
      <c r="G96" s="2579"/>
      <c r="H96" s="2881">
        <v>89</v>
      </c>
      <c r="I96" s="2507">
        <v>7719651</v>
      </c>
      <c r="J96" s="2507">
        <v>7813567</v>
      </c>
      <c r="K96" s="2482"/>
      <c r="L96" s="2482"/>
      <c r="M96" s="2482"/>
      <c r="N96" s="2482"/>
      <c r="O96" s="2482"/>
      <c r="P96" s="2482"/>
      <c r="Q96" s="2482"/>
      <c r="R96" s="2482"/>
      <c r="S96" s="2482"/>
      <c r="T96" s="2482"/>
    </row>
    <row r="97" spans="1:20" ht="15.75" customHeight="1" x14ac:dyDescent="0.2">
      <c r="A97" s="2771" t="s">
        <v>6456</v>
      </c>
      <c r="B97" s="2512" t="s">
        <v>9245</v>
      </c>
      <c r="C97" s="2527">
        <v>0</v>
      </c>
      <c r="D97" s="2527">
        <v>0</v>
      </c>
      <c r="E97" s="2925"/>
      <c r="G97" s="2579"/>
      <c r="H97" s="2881">
        <v>90</v>
      </c>
      <c r="I97" s="2507">
        <v>0</v>
      </c>
      <c r="J97" s="2507">
        <v>0</v>
      </c>
      <c r="K97" s="2482"/>
      <c r="L97" s="2482"/>
      <c r="M97" s="2482"/>
      <c r="N97" s="2482"/>
      <c r="O97" s="2482"/>
      <c r="P97" s="2482"/>
      <c r="Q97" s="2482"/>
      <c r="R97" s="2482"/>
      <c r="S97" s="2482"/>
      <c r="T97" s="2482"/>
    </row>
    <row r="98" spans="1:20" ht="15.75" customHeight="1" x14ac:dyDescent="0.2">
      <c r="A98" s="2771" t="s">
        <v>6458</v>
      </c>
      <c r="B98" s="2512" t="s">
        <v>9246</v>
      </c>
      <c r="C98" s="2527">
        <v>909952</v>
      </c>
      <c r="D98" s="2527">
        <v>884337</v>
      </c>
      <c r="E98" s="2925"/>
      <c r="G98" s="2579"/>
      <c r="H98" s="2881">
        <v>91</v>
      </c>
      <c r="I98" s="2507">
        <v>1198333</v>
      </c>
      <c r="J98" s="2507">
        <v>1250888</v>
      </c>
      <c r="K98" s="2482"/>
      <c r="L98" s="2482"/>
      <c r="M98" s="2482"/>
      <c r="N98" s="2482"/>
      <c r="O98" s="2482"/>
      <c r="P98" s="2482"/>
      <c r="Q98" s="2482"/>
      <c r="R98" s="2482"/>
      <c r="S98" s="2482"/>
      <c r="T98" s="2482"/>
    </row>
    <row r="99" spans="1:20" ht="15.75" customHeight="1" x14ac:dyDescent="0.2">
      <c r="A99" s="2771" t="s">
        <v>6459</v>
      </c>
      <c r="B99" s="2512" t="s">
        <v>9247</v>
      </c>
      <c r="C99" s="2527">
        <v>3000366</v>
      </c>
      <c r="D99" s="2527">
        <v>2516573</v>
      </c>
      <c r="E99" s="2925"/>
      <c r="G99" s="2579"/>
      <c r="H99" s="2881">
        <v>92</v>
      </c>
      <c r="I99" s="2507">
        <v>2375511</v>
      </c>
      <c r="J99" s="2507">
        <v>1962101</v>
      </c>
      <c r="K99" s="2482"/>
      <c r="L99" s="2482"/>
      <c r="M99" s="2482"/>
      <c r="N99" s="2482"/>
      <c r="O99" s="2482"/>
      <c r="P99" s="2482"/>
      <c r="Q99" s="2482"/>
      <c r="R99" s="2482"/>
      <c r="S99" s="2482"/>
      <c r="T99" s="2482"/>
    </row>
    <row r="100" spans="1:20" ht="15.75" customHeight="1" x14ac:dyDescent="0.2">
      <c r="A100" s="2771" t="s">
        <v>6461</v>
      </c>
      <c r="B100" s="2512" t="s">
        <v>9248</v>
      </c>
      <c r="C100" s="2527">
        <v>159306</v>
      </c>
      <c r="D100" s="2527">
        <v>137750</v>
      </c>
      <c r="E100" s="2925"/>
      <c r="G100" s="2579"/>
      <c r="H100" s="2881">
        <v>93</v>
      </c>
      <c r="I100" s="2507">
        <v>139663</v>
      </c>
      <c r="J100" s="2507">
        <v>82323</v>
      </c>
      <c r="K100" s="2482"/>
      <c r="L100" s="2482"/>
      <c r="M100" s="2482"/>
      <c r="N100" s="2482"/>
      <c r="O100" s="2482"/>
      <c r="P100" s="2482"/>
      <c r="Q100" s="2482"/>
      <c r="R100" s="2482"/>
      <c r="S100" s="2482"/>
      <c r="T100" s="2482"/>
    </row>
    <row r="101" spans="1:20" ht="15.75" customHeight="1" x14ac:dyDescent="0.2">
      <c r="A101" s="2771" t="s">
        <v>6635</v>
      </c>
      <c r="B101" s="2512" t="s">
        <v>9249</v>
      </c>
      <c r="C101" s="2527">
        <v>2372399</v>
      </c>
      <c r="D101" s="2527">
        <v>1557787</v>
      </c>
      <c r="E101" s="2925"/>
      <c r="G101" s="2579"/>
      <c r="H101" s="2881">
        <v>94</v>
      </c>
      <c r="I101" s="2507">
        <v>829798</v>
      </c>
      <c r="J101" s="2507">
        <v>504815</v>
      </c>
      <c r="K101" s="2482"/>
      <c r="L101" s="2482"/>
      <c r="M101" s="2482"/>
      <c r="N101" s="2482"/>
      <c r="O101" s="2482"/>
      <c r="P101" s="2482"/>
      <c r="Q101" s="2482"/>
      <c r="R101" s="2482"/>
      <c r="S101" s="2482"/>
      <c r="T101" s="2482"/>
    </row>
    <row r="102" spans="1:20" ht="15.75" customHeight="1" x14ac:dyDescent="0.2">
      <c r="A102" s="2931" t="s">
        <v>6637</v>
      </c>
      <c r="B102" s="2512" t="s">
        <v>9250</v>
      </c>
      <c r="C102" s="2527">
        <v>5572334</v>
      </c>
      <c r="D102" s="2527">
        <v>5576135</v>
      </c>
      <c r="E102" s="2925"/>
      <c r="G102" s="2579"/>
      <c r="H102" s="2881">
        <v>95</v>
      </c>
      <c r="I102" s="2507">
        <v>4780276</v>
      </c>
      <c r="J102" s="2507">
        <v>8800994</v>
      </c>
      <c r="K102" s="2482"/>
      <c r="L102" s="2482"/>
      <c r="M102" s="2482"/>
      <c r="N102" s="2482"/>
      <c r="O102" s="2482"/>
      <c r="P102" s="2482"/>
      <c r="Q102" s="2482"/>
      <c r="R102" s="2482"/>
      <c r="S102" s="2482"/>
      <c r="T102" s="2482"/>
    </row>
    <row r="103" spans="1:20" ht="15.75" customHeight="1" x14ac:dyDescent="0.2">
      <c r="A103" s="2771" t="s">
        <v>6639</v>
      </c>
      <c r="B103" s="2512" t="s">
        <v>9251</v>
      </c>
      <c r="C103" s="2527">
        <v>4571617</v>
      </c>
      <c r="D103" s="2527">
        <v>3905171</v>
      </c>
      <c r="E103" s="2925"/>
      <c r="G103" s="2579"/>
      <c r="H103" s="2881">
        <v>96</v>
      </c>
      <c r="I103" s="2507">
        <v>3412615</v>
      </c>
      <c r="J103" s="2507">
        <v>3124100</v>
      </c>
      <c r="K103" s="2482"/>
      <c r="L103" s="2482"/>
      <c r="M103" s="2482"/>
      <c r="N103" s="2482"/>
      <c r="O103" s="2482"/>
      <c r="P103" s="2482"/>
      <c r="Q103" s="2482"/>
      <c r="R103" s="2482"/>
      <c r="S103" s="2482"/>
      <c r="T103" s="2482"/>
    </row>
    <row r="104" spans="1:20" ht="15.75" customHeight="1" x14ac:dyDescent="0.2">
      <c r="A104" s="2771" t="s">
        <v>9252</v>
      </c>
      <c r="B104" s="2512" t="s">
        <v>9253</v>
      </c>
      <c r="C104" s="2527">
        <v>0</v>
      </c>
      <c r="D104" s="2527">
        <v>0</v>
      </c>
      <c r="E104" s="2925"/>
      <c r="G104" s="2579"/>
      <c r="H104" s="2881">
        <v>97</v>
      </c>
      <c r="I104" s="2507">
        <v>0</v>
      </c>
      <c r="J104" s="2507">
        <v>0</v>
      </c>
      <c r="K104" s="2482"/>
      <c r="L104" s="2482"/>
      <c r="M104" s="2482"/>
      <c r="N104" s="2482"/>
      <c r="O104" s="2482"/>
      <c r="P104" s="2482"/>
      <c r="Q104" s="2482"/>
      <c r="R104" s="2482"/>
      <c r="S104" s="2482"/>
      <c r="T104" s="2482"/>
    </row>
    <row r="105" spans="1:20" ht="15.75" customHeight="1" x14ac:dyDescent="0.2">
      <c r="A105" s="2771" t="s">
        <v>6641</v>
      </c>
      <c r="B105" s="2512" t="s">
        <v>9254</v>
      </c>
      <c r="C105" s="2527">
        <v>1947377</v>
      </c>
      <c r="D105" s="2527">
        <v>1227690</v>
      </c>
      <c r="E105" s="2925"/>
      <c r="G105" s="2579"/>
      <c r="H105" s="2881">
        <v>98</v>
      </c>
      <c r="I105" s="2507">
        <v>1038503</v>
      </c>
      <c r="J105" s="2507">
        <v>1089585</v>
      </c>
      <c r="K105" s="2482"/>
      <c r="L105" s="2482"/>
      <c r="M105" s="2482"/>
      <c r="N105" s="2482"/>
      <c r="O105" s="2482"/>
      <c r="P105" s="2482"/>
      <c r="Q105" s="2482"/>
      <c r="R105" s="2482"/>
      <c r="S105" s="2482"/>
      <c r="T105" s="2482"/>
    </row>
    <row r="106" spans="1:20" ht="15.75" customHeight="1" x14ac:dyDescent="0.2">
      <c r="A106" s="2771" t="s">
        <v>6643</v>
      </c>
      <c r="B106" s="2512" t="s">
        <v>9255</v>
      </c>
      <c r="C106" s="2527">
        <v>0</v>
      </c>
      <c r="D106" s="2527">
        <v>0</v>
      </c>
      <c r="E106" s="2925"/>
      <c r="G106" s="2579"/>
      <c r="H106" s="2881">
        <v>99</v>
      </c>
      <c r="I106" s="2507">
        <v>0</v>
      </c>
      <c r="J106" s="2507">
        <v>0</v>
      </c>
      <c r="K106" s="2482"/>
      <c r="L106" s="2482"/>
      <c r="M106" s="2482"/>
      <c r="N106" s="2482"/>
      <c r="O106" s="2482"/>
      <c r="P106" s="2482"/>
      <c r="Q106" s="2482"/>
      <c r="R106" s="2482"/>
      <c r="S106" s="2482"/>
      <c r="T106" s="2482"/>
    </row>
    <row r="107" spans="1:20" ht="15.75" customHeight="1" x14ac:dyDescent="0.2">
      <c r="A107" s="2771" t="s">
        <v>6645</v>
      </c>
      <c r="B107" s="2512" t="s">
        <v>9256</v>
      </c>
      <c r="C107" s="2527">
        <v>165141904</v>
      </c>
      <c r="D107" s="2527">
        <v>163235255</v>
      </c>
      <c r="E107" s="2925"/>
      <c r="G107" s="2579"/>
      <c r="H107" s="2881">
        <v>100</v>
      </c>
      <c r="I107" s="2507">
        <v>141188225</v>
      </c>
      <c r="J107" s="2507">
        <v>145825268</v>
      </c>
      <c r="K107" s="2482"/>
      <c r="L107" s="2482"/>
      <c r="M107" s="2482"/>
      <c r="N107" s="2482"/>
      <c r="O107" s="2482"/>
      <c r="P107" s="2482"/>
      <c r="Q107" s="2482"/>
      <c r="R107" s="2482"/>
      <c r="S107" s="2482"/>
      <c r="T107" s="2482"/>
    </row>
    <row r="108" spans="1:20" ht="15.75" customHeight="1" x14ac:dyDescent="0.2">
      <c r="A108" s="2771" t="s">
        <v>6647</v>
      </c>
      <c r="B108" s="2512" t="s">
        <v>9257</v>
      </c>
      <c r="C108" s="2527">
        <v>3576199</v>
      </c>
      <c r="D108" s="2527">
        <v>3619001</v>
      </c>
      <c r="E108" s="2925"/>
      <c r="G108" s="2579"/>
      <c r="H108" s="2881">
        <v>101</v>
      </c>
      <c r="I108" s="2507">
        <v>3041748</v>
      </c>
      <c r="J108" s="2507">
        <v>3006329</v>
      </c>
      <c r="K108" s="2482"/>
      <c r="L108" s="2482"/>
      <c r="M108" s="2482"/>
      <c r="N108" s="2482"/>
      <c r="O108" s="2482"/>
      <c r="P108" s="2482"/>
      <c r="Q108" s="2482"/>
      <c r="R108" s="2482"/>
      <c r="S108" s="2482"/>
      <c r="T108" s="2482"/>
    </row>
    <row r="109" spans="1:20" ht="15.75" customHeight="1" thickBot="1" x14ac:dyDescent="0.25">
      <c r="A109" s="2771" t="s">
        <v>6649</v>
      </c>
      <c r="B109" s="2512" t="s">
        <v>9258</v>
      </c>
      <c r="C109" s="2566">
        <v>1826421</v>
      </c>
      <c r="D109" s="2566">
        <v>2595723</v>
      </c>
      <c r="E109" s="2925"/>
      <c r="G109" s="2579"/>
      <c r="H109" s="2881">
        <v>102</v>
      </c>
      <c r="I109" s="2507">
        <v>2217342</v>
      </c>
      <c r="J109" s="2507">
        <v>2244063</v>
      </c>
      <c r="K109" s="2482"/>
      <c r="L109" s="2482"/>
      <c r="M109" s="2482"/>
      <c r="N109" s="2482"/>
      <c r="O109" s="2482"/>
      <c r="P109" s="2482"/>
      <c r="Q109" s="2482"/>
      <c r="R109" s="2482"/>
      <c r="S109" s="2482"/>
      <c r="T109" s="2482"/>
    </row>
    <row r="110" spans="1:20" ht="15.75" customHeight="1" thickBot="1" x14ac:dyDescent="0.25">
      <c r="A110" s="2771" t="s">
        <v>6651</v>
      </c>
      <c r="B110" s="2669" t="s">
        <v>9259</v>
      </c>
      <c r="C110" s="2926">
        <f>SUM(C94:C109)</f>
        <v>207813349</v>
      </c>
      <c r="D110" s="2926">
        <f>SUM(D94:D109)</f>
        <v>203635385</v>
      </c>
      <c r="E110" s="2925"/>
      <c r="G110" s="2579"/>
      <c r="H110" s="2881">
        <v>103</v>
      </c>
      <c r="I110" s="2507">
        <v>176300733</v>
      </c>
      <c r="J110" s="2507">
        <v>183064773</v>
      </c>
      <c r="K110" s="2482"/>
      <c r="L110" s="2482"/>
      <c r="M110" s="2482"/>
      <c r="N110" s="2482"/>
      <c r="O110" s="2482"/>
      <c r="P110" s="2482"/>
      <c r="Q110" s="2482"/>
      <c r="R110" s="2482"/>
      <c r="S110" s="2482"/>
      <c r="T110" s="2482"/>
    </row>
    <row r="111" spans="1:20" ht="15.75" customHeight="1" x14ac:dyDescent="0.2">
      <c r="A111" s="2771" t="s">
        <v>6653</v>
      </c>
      <c r="B111" s="2669" t="s">
        <v>438</v>
      </c>
      <c r="C111" s="4053"/>
      <c r="D111" s="4053"/>
      <c r="E111" s="2925"/>
      <c r="G111" s="2579"/>
      <c r="H111" s="2881">
        <v>104</v>
      </c>
      <c r="I111" s="2511"/>
      <c r="J111" s="2511"/>
      <c r="K111" s="2482"/>
      <c r="L111" s="2482"/>
      <c r="M111" s="2482"/>
      <c r="N111" s="2482"/>
      <c r="O111" s="2482"/>
      <c r="P111" s="2482"/>
      <c r="Q111" s="2482"/>
      <c r="R111" s="2482"/>
      <c r="S111" s="2482"/>
      <c r="T111" s="2482"/>
    </row>
    <row r="112" spans="1:20" ht="15.75" customHeight="1" x14ac:dyDescent="0.2">
      <c r="A112" s="2771" t="s">
        <v>6655</v>
      </c>
      <c r="B112" s="2512" t="s">
        <v>9260</v>
      </c>
      <c r="C112" s="2527">
        <v>1398118</v>
      </c>
      <c r="D112" s="2527">
        <v>1214070</v>
      </c>
      <c r="E112" s="2925"/>
      <c r="G112" s="2579"/>
      <c r="H112" s="2881">
        <v>105</v>
      </c>
      <c r="I112" s="2507">
        <v>939674</v>
      </c>
      <c r="J112" s="2507">
        <v>1304375</v>
      </c>
      <c r="K112" s="2482"/>
      <c r="L112" s="2482"/>
      <c r="M112" s="2482"/>
      <c r="N112" s="2482"/>
      <c r="O112" s="2482"/>
      <c r="P112" s="2482"/>
      <c r="Q112" s="2482"/>
      <c r="R112" s="2482"/>
      <c r="S112" s="2482"/>
      <c r="T112" s="2482"/>
    </row>
    <row r="113" spans="1:20" ht="15.75" customHeight="1" x14ac:dyDescent="0.2">
      <c r="A113" s="2771" t="s">
        <v>6657</v>
      </c>
      <c r="B113" s="2512" t="s">
        <v>9261</v>
      </c>
      <c r="C113" s="2527">
        <v>360460</v>
      </c>
      <c r="D113" s="2527">
        <v>89870</v>
      </c>
      <c r="E113" s="2925"/>
      <c r="G113" s="2579"/>
      <c r="H113" s="2881">
        <v>106</v>
      </c>
      <c r="I113" s="2507">
        <v>90224</v>
      </c>
      <c r="J113" s="2507">
        <v>105140</v>
      </c>
      <c r="K113" s="2482"/>
      <c r="L113" s="2482"/>
      <c r="M113" s="2482"/>
      <c r="N113" s="2482"/>
      <c r="O113" s="2482"/>
      <c r="P113" s="2482"/>
      <c r="Q113" s="2482"/>
      <c r="R113" s="2482"/>
      <c r="S113" s="2482"/>
      <c r="T113" s="2482"/>
    </row>
    <row r="114" spans="1:20" ht="15.75" customHeight="1" x14ac:dyDescent="0.2">
      <c r="A114" s="2771" t="s">
        <v>6659</v>
      </c>
      <c r="B114" s="2512" t="s">
        <v>9262</v>
      </c>
      <c r="C114" s="2527">
        <v>0</v>
      </c>
      <c r="D114" s="2527">
        <v>23548</v>
      </c>
      <c r="E114" s="2925"/>
      <c r="G114" s="2579"/>
      <c r="H114" s="2881">
        <v>107</v>
      </c>
      <c r="I114" s="2507">
        <v>0</v>
      </c>
      <c r="J114" s="2507">
        <v>0</v>
      </c>
      <c r="K114" s="2482"/>
      <c r="L114" s="2482"/>
      <c r="M114" s="2482"/>
      <c r="N114" s="2482"/>
      <c r="O114" s="2482"/>
      <c r="P114" s="2482"/>
      <c r="Q114" s="2482"/>
      <c r="R114" s="2482"/>
      <c r="S114" s="2482"/>
      <c r="T114" s="2482"/>
    </row>
    <row r="115" spans="1:20" ht="15.75" customHeight="1" x14ac:dyDescent="0.2">
      <c r="A115" s="2771" t="s">
        <v>6661</v>
      </c>
      <c r="B115" s="2512" t="s">
        <v>9263</v>
      </c>
      <c r="C115" s="2530">
        <v>92938</v>
      </c>
      <c r="D115" s="2527">
        <v>133217</v>
      </c>
      <c r="E115" s="2925"/>
      <c r="G115" s="2579"/>
      <c r="H115" s="2881">
        <v>108</v>
      </c>
      <c r="I115" s="2507">
        <v>838778</v>
      </c>
      <c r="J115" s="2507">
        <v>951021</v>
      </c>
      <c r="K115" s="2482"/>
      <c r="L115" s="2482"/>
      <c r="M115" s="2482"/>
      <c r="N115" s="2482"/>
      <c r="O115" s="2482"/>
      <c r="P115" s="2482"/>
      <c r="Q115" s="2482"/>
      <c r="R115" s="2482"/>
      <c r="S115" s="2482"/>
      <c r="T115" s="2482"/>
    </row>
    <row r="116" spans="1:20" ht="15.75" customHeight="1" x14ac:dyDescent="0.2">
      <c r="A116" s="2771" t="s">
        <v>6663</v>
      </c>
      <c r="B116" s="2512" t="s">
        <v>9264</v>
      </c>
      <c r="C116" s="2530">
        <v>5771194</v>
      </c>
      <c r="D116" s="2527">
        <v>5920439</v>
      </c>
      <c r="E116" s="2925"/>
      <c r="G116" s="2579"/>
      <c r="H116" s="2881">
        <v>109</v>
      </c>
      <c r="I116" s="2507">
        <v>4700965</v>
      </c>
      <c r="J116" s="2507">
        <v>4732027</v>
      </c>
      <c r="K116" s="2482"/>
      <c r="L116" s="2482"/>
      <c r="M116" s="2482"/>
      <c r="N116" s="2482"/>
      <c r="O116" s="2482"/>
      <c r="P116" s="2482"/>
      <c r="Q116" s="2482"/>
      <c r="R116" s="2482"/>
      <c r="S116" s="2482"/>
      <c r="T116" s="2482"/>
    </row>
    <row r="117" spans="1:20" ht="15.75" customHeight="1" x14ac:dyDescent="0.2">
      <c r="A117" s="2771" t="s">
        <v>9265</v>
      </c>
      <c r="B117" s="2512" t="s">
        <v>9266</v>
      </c>
      <c r="C117" s="2530">
        <v>0</v>
      </c>
      <c r="D117" s="2527">
        <v>0</v>
      </c>
      <c r="E117" s="2925"/>
      <c r="G117" s="2579"/>
      <c r="H117" s="2881">
        <v>110</v>
      </c>
      <c r="I117" s="2507">
        <v>0</v>
      </c>
      <c r="J117" s="2507">
        <v>0</v>
      </c>
      <c r="K117" s="2482"/>
      <c r="L117" s="2482"/>
      <c r="M117" s="2482"/>
      <c r="N117" s="2482"/>
      <c r="O117" s="2482"/>
      <c r="P117" s="2482"/>
      <c r="Q117" s="2482"/>
      <c r="R117" s="2482"/>
      <c r="S117" s="2482"/>
      <c r="T117" s="2482"/>
    </row>
    <row r="118" spans="1:20" ht="15.75" customHeight="1" x14ac:dyDescent="0.2">
      <c r="A118" s="2771" t="s">
        <v>9267</v>
      </c>
      <c r="B118" s="2512" t="s">
        <v>9268</v>
      </c>
      <c r="C118" s="2530">
        <v>13778550</v>
      </c>
      <c r="D118" s="2527">
        <v>13778397</v>
      </c>
      <c r="E118" s="2925"/>
      <c r="G118" s="2579"/>
      <c r="H118" s="2881">
        <v>111</v>
      </c>
      <c r="I118" s="2507">
        <v>11205549</v>
      </c>
      <c r="J118" s="2507">
        <v>11796851</v>
      </c>
      <c r="K118" s="2482"/>
      <c r="L118" s="2482"/>
      <c r="M118" s="2482"/>
      <c r="N118" s="2482"/>
      <c r="O118" s="2482"/>
      <c r="P118" s="2482"/>
      <c r="Q118" s="2482"/>
      <c r="R118" s="2482"/>
      <c r="S118" s="2482"/>
      <c r="T118" s="2482"/>
    </row>
    <row r="119" spans="1:20" ht="15.75" customHeight="1" x14ac:dyDescent="0.2">
      <c r="A119" s="2771" t="s">
        <v>9269</v>
      </c>
      <c r="B119" s="2512" t="s">
        <v>9270</v>
      </c>
      <c r="C119" s="2530">
        <v>0</v>
      </c>
      <c r="D119" s="2527">
        <v>0</v>
      </c>
      <c r="E119" s="2925"/>
      <c r="G119" s="2579"/>
      <c r="H119" s="2881">
        <v>112</v>
      </c>
      <c r="I119" s="2507">
        <v>0</v>
      </c>
      <c r="J119" s="2507">
        <v>0</v>
      </c>
      <c r="K119" s="2482"/>
      <c r="L119" s="2482"/>
      <c r="M119" s="2482"/>
      <c r="N119" s="2482"/>
      <c r="O119" s="2482"/>
      <c r="P119" s="2482"/>
      <c r="Q119" s="2482"/>
      <c r="R119" s="2482"/>
      <c r="S119" s="2482"/>
      <c r="T119" s="2482"/>
    </row>
    <row r="120" spans="1:20" ht="15.75" customHeight="1" x14ac:dyDescent="0.2">
      <c r="A120" s="2677">
        <v>108</v>
      </c>
      <c r="B120" s="2512" t="s">
        <v>9271</v>
      </c>
      <c r="C120" s="2530">
        <v>28947306</v>
      </c>
      <c r="D120" s="2527">
        <v>14478129</v>
      </c>
      <c r="E120" s="2925"/>
      <c r="G120" s="2579"/>
      <c r="H120" s="2881">
        <v>113</v>
      </c>
      <c r="I120" s="2507">
        <v>16393049</v>
      </c>
      <c r="J120" s="2507">
        <v>16201425</v>
      </c>
      <c r="K120" s="2482"/>
      <c r="L120" s="2482"/>
      <c r="M120" s="2482"/>
      <c r="N120" s="2482"/>
      <c r="O120" s="2482"/>
      <c r="P120" s="2482"/>
      <c r="Q120" s="2482"/>
      <c r="R120" s="2482"/>
      <c r="S120" s="2482"/>
      <c r="T120" s="2482"/>
    </row>
    <row r="121" spans="1:20" ht="15.75" customHeight="1" x14ac:dyDescent="0.2">
      <c r="A121" s="2677">
        <v>109</v>
      </c>
      <c r="B121" s="2512" t="s">
        <v>9272</v>
      </c>
      <c r="C121" s="2530">
        <v>207200</v>
      </c>
      <c r="D121" s="2527">
        <v>140445</v>
      </c>
      <c r="E121" s="2925"/>
      <c r="G121" s="2579"/>
      <c r="H121" s="2881">
        <v>114</v>
      </c>
      <c r="I121" s="2507">
        <v>229967</v>
      </c>
      <c r="J121" s="2507">
        <v>57535</v>
      </c>
      <c r="K121" s="2482"/>
      <c r="L121" s="2482"/>
      <c r="M121" s="2482"/>
      <c r="N121" s="2482"/>
      <c r="O121" s="2482"/>
      <c r="P121" s="2482"/>
      <c r="Q121" s="2482"/>
      <c r="R121" s="2482"/>
      <c r="S121" s="2482"/>
      <c r="T121" s="2482"/>
    </row>
    <row r="122" spans="1:20" ht="15.75" customHeight="1" thickBot="1" x14ac:dyDescent="0.25">
      <c r="A122" s="2677">
        <v>110</v>
      </c>
      <c r="B122" s="2512" t="s">
        <v>9273</v>
      </c>
      <c r="C122" s="2929">
        <v>224842</v>
      </c>
      <c r="D122" s="2566">
        <v>120543</v>
      </c>
      <c r="E122" s="2925"/>
      <c r="G122" s="2579"/>
      <c r="H122" s="2881">
        <v>115</v>
      </c>
      <c r="I122" s="2507">
        <v>192730</v>
      </c>
      <c r="J122" s="2507">
        <v>153479</v>
      </c>
      <c r="K122" s="2482"/>
      <c r="L122" s="2482"/>
      <c r="M122" s="2482"/>
      <c r="N122" s="2482"/>
      <c r="O122" s="2482"/>
      <c r="P122" s="2482"/>
      <c r="Q122" s="2482"/>
      <c r="R122" s="2482"/>
      <c r="S122" s="2482"/>
      <c r="T122" s="2482"/>
    </row>
    <row r="123" spans="1:20" ht="15.75" customHeight="1" thickBot="1" x14ac:dyDescent="0.25">
      <c r="A123" s="2677">
        <v>111</v>
      </c>
      <c r="B123" s="2669" t="s">
        <v>9274</v>
      </c>
      <c r="C123" s="2926">
        <f>SUM(C112:C122)</f>
        <v>50780608</v>
      </c>
      <c r="D123" s="2926">
        <f>SUM(D112:D122)</f>
        <v>35898658</v>
      </c>
      <c r="E123" s="2925"/>
      <c r="G123" s="2579"/>
      <c r="H123" s="2881">
        <v>116</v>
      </c>
      <c r="I123" s="2507">
        <v>34590936</v>
      </c>
      <c r="J123" s="2507">
        <v>35301853</v>
      </c>
      <c r="K123" s="2482"/>
      <c r="L123" s="2482"/>
      <c r="M123" s="2482"/>
      <c r="N123" s="2482"/>
      <c r="O123" s="2482"/>
      <c r="P123" s="2482"/>
      <c r="Q123" s="2482"/>
      <c r="R123" s="2482"/>
      <c r="S123" s="2482"/>
      <c r="T123" s="2482"/>
    </row>
    <row r="124" spans="1:20" ht="15.75" customHeight="1" thickBot="1" x14ac:dyDescent="0.25">
      <c r="A124" s="2677">
        <v>112</v>
      </c>
      <c r="B124" s="2669" t="s">
        <v>9275</v>
      </c>
      <c r="C124" s="2926">
        <f>C110+C123</f>
        <v>258593957</v>
      </c>
      <c r="D124" s="2926">
        <f>D110+D123</f>
        <v>239534043</v>
      </c>
      <c r="E124" s="2925"/>
      <c r="G124" s="2579"/>
      <c r="H124" s="2881">
        <v>117</v>
      </c>
      <c r="I124" s="2507">
        <v>210891669</v>
      </c>
      <c r="J124" s="2507">
        <v>218366626</v>
      </c>
      <c r="K124" s="2482"/>
      <c r="L124" s="2482"/>
      <c r="M124" s="2482"/>
      <c r="N124" s="2482"/>
      <c r="O124" s="2482"/>
      <c r="P124" s="2482"/>
      <c r="Q124" s="2482"/>
      <c r="R124" s="2482"/>
      <c r="S124" s="2482"/>
      <c r="T124" s="2482"/>
    </row>
    <row r="125" spans="1:20" ht="15.75" customHeight="1" x14ac:dyDescent="0.2">
      <c r="A125" s="2677">
        <v>113</v>
      </c>
      <c r="B125" s="2669" t="s">
        <v>9276</v>
      </c>
      <c r="C125" s="4051"/>
      <c r="D125" s="4052"/>
      <c r="E125" s="2925"/>
      <c r="G125" s="2579"/>
      <c r="H125" s="2881">
        <v>118</v>
      </c>
      <c r="I125" s="2511"/>
      <c r="J125" s="2511"/>
      <c r="K125" s="2482"/>
      <c r="L125" s="2482"/>
      <c r="M125" s="2482"/>
      <c r="N125" s="2482"/>
      <c r="O125" s="2482"/>
      <c r="P125" s="2482"/>
      <c r="Q125" s="2482"/>
      <c r="R125" s="2482"/>
      <c r="S125" s="2482"/>
      <c r="T125" s="2482"/>
    </row>
    <row r="126" spans="1:20" ht="15.75" customHeight="1" x14ac:dyDescent="0.2">
      <c r="A126" s="2677">
        <v>114</v>
      </c>
      <c r="B126" s="2669" t="s">
        <v>437</v>
      </c>
      <c r="C126" s="3907"/>
      <c r="D126" s="3909"/>
      <c r="E126" s="2925"/>
      <c r="G126" s="2579"/>
      <c r="H126" s="2881">
        <v>119</v>
      </c>
      <c r="I126" s="2511"/>
      <c r="J126" s="2511"/>
      <c r="K126" s="2482"/>
      <c r="L126" s="2482"/>
      <c r="M126" s="2482"/>
      <c r="N126" s="2482"/>
      <c r="O126" s="2482"/>
      <c r="P126" s="2482"/>
      <c r="Q126" s="2482"/>
      <c r="R126" s="2482"/>
      <c r="S126" s="2482"/>
      <c r="T126" s="2482"/>
    </row>
    <row r="127" spans="1:20" ht="15.75" customHeight="1" x14ac:dyDescent="0.2">
      <c r="A127" s="2677">
        <v>115</v>
      </c>
      <c r="B127" s="2512" t="s">
        <v>9277</v>
      </c>
      <c r="C127" s="2530">
        <v>0</v>
      </c>
      <c r="D127" s="2527">
        <v>0</v>
      </c>
      <c r="E127" s="2925"/>
      <c r="G127" s="2579"/>
      <c r="H127" s="2881">
        <v>120</v>
      </c>
      <c r="I127" s="2511"/>
      <c r="J127" s="2511"/>
      <c r="K127" s="2482"/>
      <c r="L127" s="2482"/>
      <c r="M127" s="2482"/>
      <c r="N127" s="2482"/>
      <c r="O127" s="2482"/>
      <c r="P127" s="2482"/>
      <c r="Q127" s="2482"/>
      <c r="R127" s="2482"/>
      <c r="S127" s="2482"/>
      <c r="T127" s="2482"/>
    </row>
    <row r="128" spans="1:20" ht="15.75" customHeight="1" x14ac:dyDescent="0.2">
      <c r="A128" s="2677">
        <v>116</v>
      </c>
      <c r="B128" s="2512" t="s">
        <v>9278</v>
      </c>
      <c r="C128" s="2530">
        <v>0</v>
      </c>
      <c r="D128" s="2527">
        <v>0</v>
      </c>
      <c r="E128" s="2925"/>
      <c r="G128" s="2579"/>
      <c r="H128" s="2881">
        <v>121</v>
      </c>
      <c r="I128" s="2511"/>
      <c r="J128" s="2511"/>
      <c r="K128" s="2482"/>
      <c r="L128" s="2482"/>
      <c r="M128" s="2482"/>
      <c r="N128" s="2482"/>
      <c r="O128" s="2482"/>
      <c r="P128" s="2482"/>
      <c r="Q128" s="2482"/>
      <c r="R128" s="2482"/>
      <c r="S128" s="2482"/>
      <c r="T128" s="2482"/>
    </row>
    <row r="129" spans="1:20" ht="15.75" customHeight="1" x14ac:dyDescent="0.2">
      <c r="A129" s="2677">
        <v>117</v>
      </c>
      <c r="B129" s="2512" t="s">
        <v>9279</v>
      </c>
      <c r="C129" s="2530">
        <v>0</v>
      </c>
      <c r="D129" s="2527">
        <v>0</v>
      </c>
      <c r="E129" s="2925"/>
      <c r="G129" s="2579"/>
      <c r="H129" s="2881">
        <v>122</v>
      </c>
      <c r="I129" s="2511"/>
      <c r="J129" s="2511"/>
      <c r="K129" s="2482"/>
      <c r="L129" s="2482"/>
      <c r="M129" s="2482"/>
      <c r="N129" s="2482"/>
      <c r="O129" s="2482"/>
      <c r="P129" s="2482"/>
      <c r="Q129" s="2482"/>
      <c r="R129" s="2482"/>
      <c r="S129" s="2482"/>
      <c r="T129" s="2482"/>
    </row>
    <row r="130" spans="1:20" ht="15.75" customHeight="1" x14ac:dyDescent="0.2">
      <c r="A130" s="2677">
        <v>118</v>
      </c>
      <c r="B130" s="2512" t="s">
        <v>9280</v>
      </c>
      <c r="C130" s="2530">
        <v>0</v>
      </c>
      <c r="D130" s="2527">
        <v>0</v>
      </c>
      <c r="E130" s="2925"/>
      <c r="G130" s="2579"/>
      <c r="H130" s="2881">
        <v>123</v>
      </c>
      <c r="I130" s="2511"/>
      <c r="J130" s="2511"/>
      <c r="K130" s="2482"/>
      <c r="L130" s="2482"/>
      <c r="M130" s="2482"/>
      <c r="N130" s="2482"/>
      <c r="O130" s="2482"/>
      <c r="P130" s="2482"/>
      <c r="Q130" s="2482"/>
      <c r="R130" s="2482"/>
      <c r="S130" s="2482"/>
      <c r="T130" s="2482"/>
    </row>
    <row r="131" spans="1:20" ht="15.75" customHeight="1" x14ac:dyDescent="0.2">
      <c r="A131" s="2677">
        <v>119</v>
      </c>
      <c r="B131" s="2512" t="s">
        <v>9281</v>
      </c>
      <c r="C131" s="2530">
        <v>0</v>
      </c>
      <c r="D131" s="2527">
        <v>0</v>
      </c>
      <c r="E131" s="2925"/>
      <c r="G131" s="2579"/>
      <c r="H131" s="2881">
        <v>124</v>
      </c>
      <c r="I131" s="2511"/>
      <c r="J131" s="2511"/>
      <c r="K131" s="2482"/>
      <c r="L131" s="2482"/>
      <c r="M131" s="2482"/>
      <c r="N131" s="2482"/>
      <c r="O131" s="2482"/>
      <c r="P131" s="2482"/>
      <c r="Q131" s="2482"/>
      <c r="R131" s="2482"/>
      <c r="S131" s="2482"/>
      <c r="T131" s="2482"/>
    </row>
    <row r="132" spans="1:20" ht="15.75" customHeight="1" x14ac:dyDescent="0.2">
      <c r="A132" s="2677">
        <v>120</v>
      </c>
      <c r="B132" s="2512" t="s">
        <v>9282</v>
      </c>
      <c r="C132" s="2527">
        <v>0</v>
      </c>
      <c r="D132" s="2527">
        <v>0</v>
      </c>
      <c r="E132" s="2925"/>
      <c r="G132" s="2579"/>
      <c r="H132" s="2881">
        <v>125</v>
      </c>
      <c r="I132" s="2511"/>
      <c r="J132" s="2511"/>
      <c r="K132" s="2482"/>
      <c r="L132" s="2482"/>
      <c r="M132" s="2482"/>
      <c r="N132" s="2482"/>
      <c r="O132" s="2482"/>
      <c r="P132" s="2482"/>
      <c r="Q132" s="2482"/>
      <c r="R132" s="2482"/>
      <c r="S132" s="2482"/>
      <c r="T132" s="2482"/>
    </row>
    <row r="133" spans="1:20" ht="15.75" customHeight="1" x14ac:dyDescent="0.2">
      <c r="A133" s="2677">
        <v>121</v>
      </c>
      <c r="B133" s="2512" t="s">
        <v>9283</v>
      </c>
      <c r="C133" s="2527">
        <v>0</v>
      </c>
      <c r="D133" s="2527">
        <v>0</v>
      </c>
      <c r="E133" s="2925"/>
      <c r="G133" s="2579"/>
      <c r="H133" s="2881">
        <v>126</v>
      </c>
      <c r="I133" s="2511"/>
      <c r="J133" s="2511"/>
      <c r="K133" s="2482"/>
      <c r="L133" s="2482"/>
      <c r="M133" s="2482"/>
      <c r="N133" s="2482"/>
      <c r="O133" s="2482"/>
      <c r="P133" s="2482"/>
      <c r="Q133" s="2482"/>
      <c r="R133" s="2482"/>
      <c r="S133" s="2482"/>
      <c r="T133" s="2482"/>
    </row>
    <row r="134" spans="1:20" ht="15.75" customHeight="1" thickBot="1" x14ac:dyDescent="0.25">
      <c r="A134" s="2677">
        <v>122</v>
      </c>
      <c r="B134" s="2512" t="s">
        <v>9284</v>
      </c>
      <c r="C134" s="2566">
        <v>0</v>
      </c>
      <c r="D134" s="2566">
        <v>0</v>
      </c>
      <c r="E134" s="2925"/>
      <c r="G134" s="2579"/>
      <c r="H134" s="2881">
        <v>127</v>
      </c>
      <c r="I134" s="2511"/>
      <c r="J134" s="2511"/>
      <c r="K134" s="2482"/>
      <c r="L134" s="2482"/>
      <c r="M134" s="2482"/>
      <c r="N134" s="2482"/>
      <c r="O134" s="2482"/>
      <c r="P134" s="2482"/>
      <c r="Q134" s="2482"/>
      <c r="R134" s="2482"/>
      <c r="S134" s="2482"/>
      <c r="T134" s="2482"/>
    </row>
    <row r="135" spans="1:20" ht="15.75" customHeight="1" thickBot="1" x14ac:dyDescent="0.25">
      <c r="A135" s="2677">
        <v>123</v>
      </c>
      <c r="B135" s="2669" t="s">
        <v>9285</v>
      </c>
      <c r="C135" s="2926">
        <f>SUM(C127:C134)</f>
        <v>0</v>
      </c>
      <c r="D135" s="2926">
        <f>SUM(D127:D134)</f>
        <v>0</v>
      </c>
      <c r="E135" s="2925"/>
      <c r="G135" s="2579"/>
      <c r="H135" s="2881">
        <v>128</v>
      </c>
      <c r="I135" s="2511"/>
      <c r="J135" s="2511"/>
      <c r="K135" s="2482"/>
      <c r="L135" s="2482"/>
      <c r="M135" s="2482"/>
      <c r="N135" s="2482"/>
      <c r="O135" s="2482"/>
      <c r="P135" s="2482"/>
      <c r="Q135" s="2482"/>
      <c r="R135" s="2482"/>
      <c r="S135" s="2482"/>
      <c r="T135" s="2482"/>
    </row>
    <row r="136" spans="1:20" ht="15.75" customHeight="1" x14ac:dyDescent="0.2">
      <c r="A136" s="2677">
        <v>124</v>
      </c>
      <c r="B136" s="2669" t="s">
        <v>438</v>
      </c>
      <c r="C136" s="4051"/>
      <c r="D136" s="4052"/>
      <c r="E136" s="2925"/>
      <c r="G136" s="2579"/>
      <c r="H136" s="2881">
        <v>129</v>
      </c>
      <c r="I136" s="2511"/>
      <c r="J136" s="2511"/>
      <c r="K136" s="2482"/>
      <c r="L136" s="2482"/>
      <c r="M136" s="2482"/>
      <c r="N136" s="2482"/>
      <c r="O136" s="2482"/>
      <c r="P136" s="2482"/>
      <c r="Q136" s="2482"/>
      <c r="R136" s="2482"/>
      <c r="S136" s="2482"/>
      <c r="T136" s="2482"/>
    </row>
    <row r="137" spans="1:20" ht="15.75" customHeight="1" x14ac:dyDescent="0.2">
      <c r="A137" s="2677">
        <v>125</v>
      </c>
      <c r="B137" s="2512" t="s">
        <v>9286</v>
      </c>
      <c r="C137" s="2527">
        <v>0</v>
      </c>
      <c r="D137" s="2527">
        <v>0</v>
      </c>
      <c r="E137" s="2925"/>
      <c r="G137" s="2579"/>
      <c r="H137" s="2881">
        <v>130</v>
      </c>
      <c r="I137" s="2511"/>
      <c r="J137" s="2511"/>
      <c r="K137" s="2482"/>
      <c r="L137" s="2482"/>
      <c r="M137" s="2482"/>
      <c r="N137" s="2482"/>
      <c r="O137" s="2482"/>
      <c r="P137" s="2482"/>
      <c r="Q137" s="2482"/>
      <c r="R137" s="2482"/>
      <c r="S137" s="2482"/>
      <c r="T137" s="2482"/>
    </row>
    <row r="138" spans="1:20" ht="15.75" customHeight="1" x14ac:dyDescent="0.2">
      <c r="A138" s="2677">
        <v>126</v>
      </c>
      <c r="B138" s="2512" t="s">
        <v>9287</v>
      </c>
      <c r="C138" s="2527">
        <v>0</v>
      </c>
      <c r="D138" s="2527">
        <v>0</v>
      </c>
      <c r="E138" s="2925"/>
      <c r="G138" s="2579"/>
      <c r="H138" s="2881">
        <v>131</v>
      </c>
      <c r="I138" s="2511"/>
      <c r="J138" s="2511"/>
      <c r="K138" s="2482"/>
      <c r="L138" s="2482"/>
      <c r="M138" s="2482"/>
      <c r="N138" s="2482"/>
      <c r="O138" s="2482"/>
      <c r="P138" s="2482"/>
      <c r="Q138" s="2482"/>
      <c r="R138" s="2482"/>
      <c r="S138" s="2482"/>
      <c r="T138" s="2482"/>
    </row>
    <row r="139" spans="1:20" ht="15.75" customHeight="1" x14ac:dyDescent="0.2">
      <c r="A139" s="2677">
        <v>127</v>
      </c>
      <c r="B139" s="2512" t="s">
        <v>9288</v>
      </c>
      <c r="C139" s="2527">
        <v>0</v>
      </c>
      <c r="D139" s="2527">
        <v>0</v>
      </c>
      <c r="E139" s="2925"/>
      <c r="G139" s="2579"/>
      <c r="H139" s="2881">
        <v>132</v>
      </c>
      <c r="I139" s="2511"/>
      <c r="J139" s="2511"/>
      <c r="K139" s="2482"/>
      <c r="L139" s="2482"/>
      <c r="M139" s="2482"/>
      <c r="N139" s="2482"/>
      <c r="O139" s="2482"/>
      <c r="P139" s="2482"/>
      <c r="Q139" s="2482"/>
      <c r="R139" s="2482"/>
      <c r="S139" s="2482"/>
      <c r="T139" s="2482"/>
    </row>
    <row r="140" spans="1:20" ht="15.75" customHeight="1" x14ac:dyDescent="0.2">
      <c r="A140" s="2677">
        <v>128</v>
      </c>
      <c r="B140" s="2512" t="s">
        <v>9289</v>
      </c>
      <c r="C140" s="2527">
        <v>0</v>
      </c>
      <c r="D140" s="2527">
        <v>0</v>
      </c>
      <c r="E140" s="2925"/>
      <c r="G140" s="2579"/>
      <c r="H140" s="2881">
        <v>133</v>
      </c>
      <c r="I140" s="2511"/>
      <c r="J140" s="2511"/>
      <c r="K140" s="2482"/>
      <c r="L140" s="2482"/>
      <c r="M140" s="2482"/>
      <c r="N140" s="2482"/>
      <c r="O140" s="2482"/>
      <c r="P140" s="2482"/>
      <c r="Q140" s="2482"/>
      <c r="R140" s="2482"/>
      <c r="S140" s="2482"/>
      <c r="T140" s="2482"/>
    </row>
    <row r="141" spans="1:20" ht="15.75" customHeight="1" thickBot="1" x14ac:dyDescent="0.25">
      <c r="A141" s="2677">
        <v>129</v>
      </c>
      <c r="B141" s="2512" t="s">
        <v>9290</v>
      </c>
      <c r="C141" s="2566">
        <v>0</v>
      </c>
      <c r="D141" s="2566">
        <v>0</v>
      </c>
      <c r="E141" s="2925"/>
      <c r="G141" s="2579"/>
      <c r="H141" s="2881">
        <v>134</v>
      </c>
      <c r="I141" s="2511"/>
      <c r="J141" s="2511"/>
      <c r="K141" s="2482"/>
      <c r="L141" s="2482"/>
      <c r="M141" s="2482"/>
      <c r="N141" s="2482"/>
      <c r="O141" s="2482"/>
      <c r="P141" s="2482"/>
      <c r="Q141" s="2482"/>
      <c r="R141" s="2482"/>
      <c r="S141" s="2482"/>
      <c r="T141" s="2482"/>
    </row>
    <row r="142" spans="1:20" ht="15.75" customHeight="1" thickBot="1" x14ac:dyDescent="0.25">
      <c r="A142" s="2677">
        <v>130</v>
      </c>
      <c r="B142" s="2669" t="s">
        <v>9291</v>
      </c>
      <c r="C142" s="2926">
        <f>SUM(C137:C141)</f>
        <v>0</v>
      </c>
      <c r="D142" s="2926">
        <f>SUM(D137:D141)</f>
        <v>0</v>
      </c>
      <c r="E142" s="2925"/>
      <c r="G142" s="2579"/>
      <c r="H142" s="2881">
        <v>135</v>
      </c>
      <c r="I142" s="2511"/>
      <c r="J142" s="2511"/>
      <c r="K142" s="2482"/>
      <c r="L142" s="2482"/>
      <c r="M142" s="2482"/>
      <c r="N142" s="2482"/>
      <c r="O142" s="2482"/>
      <c r="P142" s="2482"/>
      <c r="Q142" s="2482"/>
      <c r="R142" s="2482"/>
      <c r="S142" s="2482"/>
      <c r="T142" s="2482"/>
    </row>
    <row r="143" spans="1:20" ht="15.75" customHeight="1" thickBot="1" x14ac:dyDescent="0.25">
      <c r="A143" s="2677">
        <v>131</v>
      </c>
      <c r="B143" s="2669" t="s">
        <v>9292</v>
      </c>
      <c r="C143" s="2926">
        <f>C135+C142</f>
        <v>0</v>
      </c>
      <c r="D143" s="2926">
        <f>D135+D142</f>
        <v>0</v>
      </c>
      <c r="E143" s="2925"/>
      <c r="G143" s="2579"/>
      <c r="H143" s="2881">
        <v>136</v>
      </c>
      <c r="I143" s="2511"/>
      <c r="J143" s="2511"/>
      <c r="K143" s="2482"/>
      <c r="L143" s="2482"/>
      <c r="M143" s="2482"/>
      <c r="N143" s="2482"/>
      <c r="O143" s="2482"/>
      <c r="P143" s="2482"/>
      <c r="Q143" s="2482"/>
      <c r="R143" s="2482"/>
      <c r="S143" s="2482"/>
      <c r="T143" s="2482"/>
    </row>
    <row r="144" spans="1:20" ht="15.75" customHeight="1" x14ac:dyDescent="0.2">
      <c r="A144" s="2677">
        <v>132</v>
      </c>
      <c r="B144" s="2669" t="s">
        <v>9293</v>
      </c>
      <c r="C144" s="4051"/>
      <c r="D144" s="4052"/>
      <c r="E144" s="2925"/>
      <c r="G144" s="2579"/>
      <c r="H144" s="2881">
        <v>137</v>
      </c>
      <c r="I144" s="2511"/>
      <c r="J144" s="2511"/>
      <c r="K144" s="2482"/>
      <c r="L144" s="2482"/>
      <c r="M144" s="2482"/>
      <c r="N144" s="2482"/>
      <c r="O144" s="2482"/>
      <c r="P144" s="2482"/>
      <c r="Q144" s="2482"/>
      <c r="R144" s="2482"/>
      <c r="S144" s="2482"/>
      <c r="T144" s="2482"/>
    </row>
    <row r="145" spans="1:20" ht="15.75" customHeight="1" x14ac:dyDescent="0.2">
      <c r="A145" s="2677">
        <v>133</v>
      </c>
      <c r="B145" s="2669" t="s">
        <v>437</v>
      </c>
      <c r="C145" s="3907"/>
      <c r="D145" s="3909"/>
      <c r="E145" s="2925"/>
      <c r="G145" s="2579"/>
      <c r="H145" s="2881">
        <v>138</v>
      </c>
      <c r="I145" s="2511"/>
      <c r="J145" s="2511"/>
      <c r="K145" s="2482"/>
      <c r="L145" s="2482"/>
      <c r="M145" s="2482"/>
      <c r="N145" s="2482"/>
      <c r="O145" s="2482"/>
      <c r="P145" s="2482"/>
      <c r="Q145" s="2482"/>
      <c r="R145" s="2482"/>
      <c r="S145" s="2482"/>
      <c r="T145" s="2482"/>
    </row>
    <row r="146" spans="1:20" ht="15.75" customHeight="1" x14ac:dyDescent="0.2">
      <c r="A146" s="2677">
        <v>134</v>
      </c>
      <c r="B146" s="2512" t="s">
        <v>9294</v>
      </c>
      <c r="C146" s="2527">
        <v>21593220</v>
      </c>
      <c r="D146" s="2527">
        <v>15162245</v>
      </c>
      <c r="E146" s="2925"/>
      <c r="G146" s="2579"/>
      <c r="H146" s="2881">
        <v>139</v>
      </c>
      <c r="I146" s="2507">
        <v>9310152</v>
      </c>
      <c r="J146" s="2507">
        <v>9520507</v>
      </c>
      <c r="K146" s="2482"/>
      <c r="L146" s="2482"/>
      <c r="M146" s="2482"/>
      <c r="N146" s="2482"/>
      <c r="O146" s="2482"/>
      <c r="P146" s="2482"/>
      <c r="Q146" s="2482"/>
      <c r="R146" s="2482"/>
      <c r="S146" s="2482"/>
      <c r="T146" s="2482"/>
    </row>
    <row r="147" spans="1:20" ht="15.75" customHeight="1" x14ac:dyDescent="0.2">
      <c r="A147" s="2677">
        <v>135</v>
      </c>
      <c r="B147" s="2512" t="s">
        <v>9295</v>
      </c>
      <c r="C147" s="2527">
        <v>16872057</v>
      </c>
      <c r="D147" s="2527">
        <v>15291590</v>
      </c>
      <c r="E147" s="2925"/>
      <c r="G147" s="2579"/>
      <c r="H147" s="2881">
        <v>140</v>
      </c>
      <c r="I147" s="2507">
        <v>12577822</v>
      </c>
      <c r="J147" s="2507">
        <v>12160239</v>
      </c>
      <c r="K147" s="2482"/>
      <c r="L147" s="2482"/>
      <c r="M147" s="2482"/>
      <c r="N147" s="2482"/>
      <c r="O147" s="2482"/>
      <c r="P147" s="2482"/>
      <c r="Q147" s="2482"/>
      <c r="R147" s="2482"/>
      <c r="S147" s="2482"/>
      <c r="T147" s="2482"/>
    </row>
    <row r="148" spans="1:20" ht="15.75" customHeight="1" x14ac:dyDescent="0.2">
      <c r="A148" s="2677">
        <v>136</v>
      </c>
      <c r="B148" s="2512" t="s">
        <v>9296</v>
      </c>
      <c r="C148" s="2527">
        <v>5975604</v>
      </c>
      <c r="D148" s="2527">
        <v>4834720</v>
      </c>
      <c r="E148" s="2925"/>
      <c r="G148" s="2579"/>
      <c r="H148" s="2881">
        <v>141</v>
      </c>
      <c r="I148" s="2507">
        <v>4767498</v>
      </c>
      <c r="J148" s="2507">
        <v>4707948</v>
      </c>
      <c r="K148" s="2482"/>
      <c r="L148" s="2482"/>
      <c r="M148" s="2482"/>
      <c r="N148" s="2482"/>
      <c r="O148" s="2482"/>
      <c r="P148" s="2482"/>
      <c r="Q148" s="2482"/>
      <c r="R148" s="2482"/>
      <c r="S148" s="2482"/>
      <c r="T148" s="2482"/>
    </row>
    <row r="149" spans="1:20" ht="15.75" customHeight="1" x14ac:dyDescent="0.2">
      <c r="A149" s="2677">
        <v>137</v>
      </c>
      <c r="B149" s="2512" t="s">
        <v>9297</v>
      </c>
      <c r="C149" s="2527">
        <v>11558803</v>
      </c>
      <c r="D149" s="2527">
        <v>9790876</v>
      </c>
      <c r="E149" s="2925"/>
      <c r="G149" s="2579"/>
      <c r="H149" s="2881">
        <v>142</v>
      </c>
      <c r="I149" s="2507">
        <v>9423680</v>
      </c>
      <c r="J149" s="2507">
        <v>9956347</v>
      </c>
      <c r="K149" s="2482"/>
      <c r="L149" s="2482"/>
      <c r="M149" s="2482"/>
      <c r="N149" s="2482"/>
      <c r="O149" s="2482"/>
      <c r="P149" s="2482"/>
      <c r="Q149" s="2482"/>
      <c r="R149" s="2482"/>
      <c r="S149" s="2482"/>
      <c r="T149" s="2482"/>
    </row>
    <row r="150" spans="1:20" ht="15.75" customHeight="1" x14ac:dyDescent="0.2">
      <c r="A150" s="2771" t="s">
        <v>9298</v>
      </c>
      <c r="B150" s="2512" t="s">
        <v>9299</v>
      </c>
      <c r="C150" s="2527">
        <v>0</v>
      </c>
      <c r="D150" s="2527">
        <v>0</v>
      </c>
      <c r="E150" s="2925"/>
      <c r="G150" s="2579"/>
      <c r="H150" s="2881">
        <v>143</v>
      </c>
      <c r="I150" s="2507">
        <v>417</v>
      </c>
      <c r="J150" s="2507">
        <v>621</v>
      </c>
      <c r="K150" s="2482"/>
      <c r="L150" s="2482"/>
      <c r="M150" s="2482"/>
      <c r="N150" s="2482"/>
      <c r="O150" s="2482"/>
      <c r="P150" s="2482"/>
      <c r="Q150" s="2482"/>
      <c r="R150" s="2482"/>
      <c r="S150" s="2482"/>
      <c r="T150" s="2482"/>
    </row>
    <row r="151" spans="1:20" ht="15.75" customHeight="1" x14ac:dyDescent="0.2">
      <c r="A151" s="2771" t="s">
        <v>9300</v>
      </c>
      <c r="B151" s="2512" t="s">
        <v>9301</v>
      </c>
      <c r="C151" s="2527">
        <v>0</v>
      </c>
      <c r="D151" s="2527">
        <v>0</v>
      </c>
      <c r="E151" s="2925"/>
      <c r="G151" s="2579"/>
      <c r="H151" s="2881">
        <v>144</v>
      </c>
      <c r="I151" s="2507">
        <v>0</v>
      </c>
      <c r="J151" s="2507">
        <v>0</v>
      </c>
      <c r="K151" s="2482"/>
      <c r="L151" s="2482"/>
      <c r="M151" s="2482"/>
      <c r="N151" s="2482"/>
      <c r="O151" s="2482"/>
      <c r="P151" s="2482"/>
      <c r="Q151" s="2482"/>
      <c r="R151" s="2482"/>
      <c r="S151" s="2482"/>
      <c r="T151" s="2482"/>
    </row>
    <row r="152" spans="1:20" ht="15.75" customHeight="1" x14ac:dyDescent="0.2">
      <c r="A152" s="2771" t="s">
        <v>9302</v>
      </c>
      <c r="B152" s="2512" t="s">
        <v>9303</v>
      </c>
      <c r="C152" s="2527">
        <v>268155</v>
      </c>
      <c r="D152" s="2527">
        <v>278823</v>
      </c>
      <c r="E152" s="2925"/>
      <c r="G152" s="2579"/>
      <c r="H152" s="2881">
        <v>145</v>
      </c>
      <c r="I152" s="2507">
        <v>276304</v>
      </c>
      <c r="J152" s="2507">
        <v>224138</v>
      </c>
      <c r="K152" s="2482"/>
      <c r="L152" s="2482"/>
      <c r="M152" s="2482"/>
      <c r="N152" s="2482"/>
      <c r="O152" s="2482"/>
      <c r="P152" s="2482"/>
      <c r="Q152" s="2482"/>
      <c r="R152" s="2482"/>
      <c r="S152" s="2482"/>
      <c r="T152" s="2482"/>
    </row>
    <row r="153" spans="1:20" ht="15.75" customHeight="1" x14ac:dyDescent="0.2">
      <c r="A153" s="2771" t="s">
        <v>9304</v>
      </c>
      <c r="B153" s="2512" t="s">
        <v>9305</v>
      </c>
      <c r="C153" s="2527">
        <v>2750008</v>
      </c>
      <c r="D153" s="2527">
        <v>2761699</v>
      </c>
      <c r="E153" s="2925"/>
      <c r="G153" s="2579"/>
      <c r="H153" s="2881">
        <v>146</v>
      </c>
      <c r="I153" s="2507">
        <v>2835348</v>
      </c>
      <c r="J153" s="2507">
        <v>2526289</v>
      </c>
      <c r="K153" s="2482"/>
      <c r="L153" s="2482"/>
      <c r="M153" s="2482"/>
      <c r="N153" s="2482"/>
      <c r="O153" s="2482"/>
      <c r="P153" s="2482"/>
      <c r="Q153" s="2482"/>
      <c r="R153" s="2482"/>
      <c r="S153" s="2482"/>
      <c r="T153" s="2482"/>
    </row>
    <row r="154" spans="1:20" ht="15.75" customHeight="1" x14ac:dyDescent="0.2">
      <c r="A154" s="2771" t="s">
        <v>9306</v>
      </c>
      <c r="B154" s="2512" t="s">
        <v>9307</v>
      </c>
      <c r="C154" s="2527">
        <v>21176374</v>
      </c>
      <c r="D154" s="2527">
        <v>19851739</v>
      </c>
      <c r="E154" s="2925"/>
      <c r="G154" s="2579"/>
      <c r="H154" s="2881">
        <v>147</v>
      </c>
      <c r="I154" s="2507">
        <v>16782395</v>
      </c>
      <c r="J154" s="2507">
        <v>15268629</v>
      </c>
      <c r="K154" s="2482"/>
      <c r="L154" s="2482"/>
      <c r="M154" s="2482"/>
      <c r="N154" s="2482"/>
      <c r="O154" s="2482"/>
      <c r="P154" s="2482"/>
      <c r="Q154" s="2482"/>
      <c r="R154" s="2482"/>
      <c r="S154" s="2482"/>
      <c r="T154" s="2482"/>
    </row>
    <row r="155" spans="1:20" ht="15.75" customHeight="1" x14ac:dyDescent="0.2">
      <c r="A155" s="2771" t="s">
        <v>9308</v>
      </c>
      <c r="B155" s="2512" t="s">
        <v>9309</v>
      </c>
      <c r="C155" s="2527">
        <v>3699565</v>
      </c>
      <c r="D155" s="2527">
        <v>1031506</v>
      </c>
      <c r="E155" s="2925"/>
      <c r="G155" s="2579"/>
      <c r="H155" s="2881">
        <v>148</v>
      </c>
      <c r="I155" s="2507">
        <v>510308</v>
      </c>
      <c r="J155" s="2507">
        <v>649377</v>
      </c>
      <c r="K155" s="2482"/>
      <c r="L155" s="2482"/>
      <c r="M155" s="2482"/>
      <c r="N155" s="2482"/>
      <c r="O155" s="2482"/>
      <c r="P155" s="2482"/>
      <c r="Q155" s="2482"/>
      <c r="R155" s="2482"/>
      <c r="S155" s="2482"/>
      <c r="T155" s="2482"/>
    </row>
    <row r="156" spans="1:20" ht="15.75" customHeight="1" thickBot="1" x14ac:dyDescent="0.25">
      <c r="A156" s="2771" t="s">
        <v>9310</v>
      </c>
      <c r="B156" s="2512" t="s">
        <v>9311</v>
      </c>
      <c r="C156" s="2566">
        <v>3720526</v>
      </c>
      <c r="D156" s="2566">
        <v>3208385</v>
      </c>
      <c r="E156" s="2925"/>
      <c r="G156" s="2579"/>
      <c r="H156" s="2881">
        <v>149</v>
      </c>
      <c r="I156" s="2507">
        <v>3335443</v>
      </c>
      <c r="J156" s="2507">
        <v>2874305</v>
      </c>
      <c r="K156" s="2482"/>
      <c r="L156" s="2482"/>
      <c r="M156" s="2482"/>
      <c r="N156" s="2482"/>
      <c r="O156" s="2482"/>
      <c r="P156" s="2482"/>
      <c r="Q156" s="2482"/>
      <c r="R156" s="2482"/>
      <c r="S156" s="2482"/>
      <c r="T156" s="2482"/>
    </row>
    <row r="157" spans="1:20" ht="15.75" customHeight="1" thickBot="1" x14ac:dyDescent="0.25">
      <c r="A157" s="2771" t="s">
        <v>9312</v>
      </c>
      <c r="B157" s="2669" t="s">
        <v>9313</v>
      </c>
      <c r="C157" s="2926">
        <f>SUM(C146:C156)</f>
        <v>87614312</v>
      </c>
      <c r="D157" s="2926">
        <f>SUM(D146:D156)</f>
        <v>72211583</v>
      </c>
      <c r="E157" s="2925"/>
      <c r="G157" s="2579"/>
      <c r="H157" s="2881">
        <v>150</v>
      </c>
      <c r="I157" s="2507">
        <v>59819367</v>
      </c>
      <c r="J157" s="2507">
        <v>57888400</v>
      </c>
      <c r="K157" s="2482"/>
      <c r="L157" s="2482"/>
      <c r="M157" s="2482"/>
      <c r="N157" s="2482"/>
      <c r="O157" s="2482"/>
      <c r="P157" s="2482"/>
      <c r="Q157" s="2482"/>
      <c r="R157" s="2482"/>
      <c r="S157" s="2482"/>
      <c r="T157" s="2482"/>
    </row>
    <row r="158" spans="1:20" ht="15.75" customHeight="1" x14ac:dyDescent="0.2">
      <c r="A158" s="2771" t="s">
        <v>9314</v>
      </c>
      <c r="B158" s="2669" t="s">
        <v>438</v>
      </c>
      <c r="C158" s="4051"/>
      <c r="D158" s="4052"/>
      <c r="E158" s="2925"/>
      <c r="G158" s="2579"/>
      <c r="H158" s="2881">
        <v>151</v>
      </c>
      <c r="I158" s="2511"/>
      <c r="J158" s="2511"/>
      <c r="K158" s="2482"/>
      <c r="L158" s="2482"/>
      <c r="M158" s="2482"/>
      <c r="N158" s="2482"/>
      <c r="O158" s="2482"/>
      <c r="P158" s="2482"/>
      <c r="Q158" s="2482"/>
      <c r="R158" s="2482"/>
      <c r="S158" s="2482"/>
      <c r="T158" s="2482"/>
    </row>
    <row r="159" spans="1:20" ht="15.75" customHeight="1" x14ac:dyDescent="0.2">
      <c r="A159" s="2931" t="s">
        <v>9315</v>
      </c>
      <c r="B159" s="2512" t="s">
        <v>9316</v>
      </c>
      <c r="C159" s="2530">
        <v>13317313</v>
      </c>
      <c r="D159" s="2531">
        <v>-120037</v>
      </c>
      <c r="E159" s="2925"/>
      <c r="G159" s="2579"/>
      <c r="H159" s="2881">
        <v>152</v>
      </c>
      <c r="I159" s="2507">
        <v>5561808</v>
      </c>
      <c r="J159" s="2507">
        <v>6381190</v>
      </c>
      <c r="K159" s="2482"/>
      <c r="L159" s="2482"/>
      <c r="M159" s="2482"/>
      <c r="N159" s="2482"/>
      <c r="O159" s="2482"/>
      <c r="P159" s="2482"/>
      <c r="Q159" s="2482"/>
      <c r="R159" s="2482"/>
      <c r="S159" s="2482"/>
      <c r="T159" s="2482"/>
    </row>
    <row r="160" spans="1:20" ht="15.75" customHeight="1" x14ac:dyDescent="0.2">
      <c r="A160" s="2771" t="s">
        <v>9317</v>
      </c>
      <c r="B160" s="2512" t="s">
        <v>9318</v>
      </c>
      <c r="C160" s="2527">
        <v>2617893</v>
      </c>
      <c r="D160" s="2527">
        <v>2031776</v>
      </c>
      <c r="E160" s="2925"/>
      <c r="G160" s="2579"/>
      <c r="H160" s="2881">
        <v>153</v>
      </c>
      <c r="I160" s="2507">
        <v>1806802</v>
      </c>
      <c r="J160" s="2507">
        <v>2358542</v>
      </c>
      <c r="K160" s="2482"/>
      <c r="L160" s="2482"/>
      <c r="M160" s="2482"/>
      <c r="N160" s="2482"/>
      <c r="O160" s="2482"/>
      <c r="P160" s="2482"/>
      <c r="Q160" s="2482"/>
      <c r="R160" s="2482"/>
      <c r="S160" s="2482"/>
      <c r="T160" s="2482"/>
    </row>
    <row r="161" spans="1:20" ht="15.75" customHeight="1" x14ac:dyDescent="0.2">
      <c r="A161" s="2771" t="s">
        <v>9319</v>
      </c>
      <c r="B161" s="2512" t="s">
        <v>9320</v>
      </c>
      <c r="C161" s="2527">
        <v>11034515</v>
      </c>
      <c r="D161" s="2527">
        <v>8874412</v>
      </c>
      <c r="E161" s="2925"/>
      <c r="G161" s="2579"/>
      <c r="H161" s="2881">
        <v>154</v>
      </c>
      <c r="I161" s="2507">
        <v>9853811</v>
      </c>
      <c r="J161" s="2507">
        <v>9665348</v>
      </c>
      <c r="K161" s="2482"/>
      <c r="L161" s="2482"/>
      <c r="M161" s="2482"/>
      <c r="N161" s="2482"/>
      <c r="O161" s="2482"/>
      <c r="P161" s="2482"/>
      <c r="Q161" s="2482"/>
      <c r="R161" s="2482"/>
      <c r="S161" s="2482"/>
      <c r="T161" s="2482"/>
    </row>
    <row r="162" spans="1:20" ht="15.75" customHeight="1" x14ac:dyDescent="0.2">
      <c r="A162" s="2771" t="s">
        <v>9321</v>
      </c>
      <c r="B162" s="2512" t="s">
        <v>9322</v>
      </c>
      <c r="C162" s="2527">
        <v>0</v>
      </c>
      <c r="D162" s="2527">
        <v>0</v>
      </c>
      <c r="E162" s="2925"/>
      <c r="G162" s="2579"/>
      <c r="H162" s="2881">
        <v>155</v>
      </c>
      <c r="I162" s="2507">
        <v>0</v>
      </c>
      <c r="J162" s="2507">
        <v>0</v>
      </c>
      <c r="K162" s="2482"/>
      <c r="L162" s="2482"/>
      <c r="M162" s="2482"/>
      <c r="N162" s="2482"/>
      <c r="O162" s="2482"/>
      <c r="P162" s="2482"/>
      <c r="Q162" s="2482"/>
      <c r="R162" s="2482"/>
      <c r="S162" s="2482"/>
      <c r="T162" s="2482"/>
    </row>
    <row r="163" spans="1:20" ht="15.75" customHeight="1" x14ac:dyDescent="0.2">
      <c r="A163" s="2771" t="s">
        <v>9323</v>
      </c>
      <c r="B163" s="2512" t="s">
        <v>9324</v>
      </c>
      <c r="C163" s="2527">
        <v>0</v>
      </c>
      <c r="D163" s="2527">
        <v>0</v>
      </c>
      <c r="E163" s="2925"/>
      <c r="G163" s="2579"/>
      <c r="H163" s="2881">
        <v>156</v>
      </c>
      <c r="I163" s="2507">
        <v>0</v>
      </c>
      <c r="J163" s="2507">
        <v>0</v>
      </c>
      <c r="K163" s="2482"/>
      <c r="L163" s="2482"/>
      <c r="M163" s="2482"/>
      <c r="N163" s="2482"/>
      <c r="O163" s="2482"/>
      <c r="P163" s="2482"/>
      <c r="Q163" s="2482"/>
      <c r="R163" s="2482"/>
      <c r="S163" s="2482"/>
      <c r="T163" s="2482"/>
    </row>
    <row r="164" spans="1:20" ht="15.75" customHeight="1" x14ac:dyDescent="0.2">
      <c r="A164" s="2677">
        <v>149</v>
      </c>
      <c r="B164" s="2512" t="s">
        <v>9325</v>
      </c>
      <c r="C164" s="2527">
        <v>188912870</v>
      </c>
      <c r="D164" s="2527">
        <v>98222980</v>
      </c>
      <c r="E164" s="2925"/>
      <c r="G164" s="2579"/>
      <c r="H164" s="2881">
        <v>157</v>
      </c>
      <c r="I164" s="2507">
        <v>98989449</v>
      </c>
      <c r="J164" s="2507">
        <v>88649749</v>
      </c>
      <c r="K164" s="2482"/>
      <c r="L164" s="2482"/>
      <c r="M164" s="2482"/>
      <c r="N164" s="2482"/>
      <c r="O164" s="2482"/>
      <c r="P164" s="2482"/>
      <c r="Q164" s="2482"/>
      <c r="R164" s="2482"/>
      <c r="S164" s="2482"/>
      <c r="T164" s="2482"/>
    </row>
    <row r="165" spans="1:20" ht="15.75" customHeight="1" x14ac:dyDescent="0.2">
      <c r="A165" s="2677">
        <v>150</v>
      </c>
      <c r="B165" s="2512" t="s">
        <v>9326</v>
      </c>
      <c r="C165" s="2527">
        <v>42982112</v>
      </c>
      <c r="D165" s="2527">
        <v>35886919</v>
      </c>
      <c r="E165" s="2925"/>
      <c r="G165" s="2579"/>
      <c r="H165" s="2881">
        <v>158</v>
      </c>
      <c r="I165" s="2507">
        <v>27804232</v>
      </c>
      <c r="J165" s="2507">
        <v>27326536</v>
      </c>
      <c r="K165" s="2482"/>
      <c r="L165" s="2482"/>
      <c r="M165" s="2482"/>
      <c r="N165" s="2482"/>
      <c r="O165" s="2482"/>
      <c r="P165" s="2482"/>
      <c r="Q165" s="2482"/>
      <c r="R165" s="2482"/>
      <c r="S165" s="2482"/>
      <c r="T165" s="2482"/>
    </row>
    <row r="166" spans="1:20" ht="15.75" customHeight="1" x14ac:dyDescent="0.2">
      <c r="A166" s="2677">
        <v>151</v>
      </c>
      <c r="B166" s="2512" t="s">
        <v>9327</v>
      </c>
      <c r="C166" s="2527">
        <v>1173446</v>
      </c>
      <c r="D166" s="2527">
        <v>963955</v>
      </c>
      <c r="E166" s="2925"/>
      <c r="G166" s="2579"/>
      <c r="H166" s="2881">
        <v>159</v>
      </c>
      <c r="I166" s="2507">
        <v>1002821</v>
      </c>
      <c r="J166" s="2507">
        <v>1003084</v>
      </c>
      <c r="K166" s="2482"/>
      <c r="L166" s="2482"/>
      <c r="M166" s="2482"/>
      <c r="N166" s="2482"/>
      <c r="O166" s="2482"/>
      <c r="P166" s="2482"/>
      <c r="Q166" s="2482"/>
      <c r="R166" s="2482"/>
      <c r="S166" s="2482"/>
      <c r="T166" s="2482"/>
    </row>
    <row r="167" spans="1:20" ht="15.75" customHeight="1" x14ac:dyDescent="0.2">
      <c r="A167" s="2677">
        <v>152</v>
      </c>
      <c r="B167" s="2512" t="s">
        <v>9328</v>
      </c>
      <c r="C167" s="2527">
        <v>2420043</v>
      </c>
      <c r="D167" s="2527">
        <v>2451203</v>
      </c>
      <c r="E167" s="2925"/>
      <c r="G167" s="2579"/>
      <c r="H167" s="2881">
        <v>160</v>
      </c>
      <c r="I167" s="2507">
        <v>2100061</v>
      </c>
      <c r="J167" s="2507">
        <v>2503642</v>
      </c>
      <c r="K167" s="2482"/>
      <c r="L167" s="2482"/>
      <c r="M167" s="2482"/>
      <c r="N167" s="2482"/>
      <c r="O167" s="2482"/>
      <c r="P167" s="2482"/>
      <c r="Q167" s="2482"/>
      <c r="R167" s="2482"/>
      <c r="S167" s="2482"/>
      <c r="T167" s="2482"/>
    </row>
    <row r="168" spans="1:20" ht="15.75" customHeight="1" x14ac:dyDescent="0.2">
      <c r="A168" s="2677">
        <v>153</v>
      </c>
      <c r="B168" s="2512" t="s">
        <v>9329</v>
      </c>
      <c r="C168" s="2527">
        <v>612575</v>
      </c>
      <c r="D168" s="2527">
        <v>616630</v>
      </c>
      <c r="E168" s="2925"/>
      <c r="G168" s="2579"/>
      <c r="H168" s="2881">
        <v>161</v>
      </c>
      <c r="I168" s="2507">
        <v>696559</v>
      </c>
      <c r="J168" s="2507">
        <v>529287</v>
      </c>
      <c r="K168" s="2482"/>
      <c r="L168" s="2482"/>
      <c r="M168" s="2482"/>
      <c r="N168" s="2482"/>
      <c r="O168" s="2482"/>
      <c r="P168" s="2482"/>
      <c r="Q168" s="2482"/>
      <c r="R168" s="2482"/>
      <c r="S168" s="2482"/>
      <c r="T168" s="2482"/>
    </row>
    <row r="169" spans="1:20" ht="15.75" customHeight="1" thickBot="1" x14ac:dyDescent="0.25">
      <c r="A169" s="2677">
        <v>154</v>
      </c>
      <c r="B169" s="2512" t="s">
        <v>9330</v>
      </c>
      <c r="C169" s="2566">
        <v>10190475</v>
      </c>
      <c r="D169" s="2566">
        <v>4797944</v>
      </c>
      <c r="E169" s="2925"/>
      <c r="G169" s="2579"/>
      <c r="H169" s="2881">
        <v>162</v>
      </c>
      <c r="I169" s="2507">
        <v>7655412</v>
      </c>
      <c r="J169" s="2507">
        <v>6497561</v>
      </c>
      <c r="K169" s="2482"/>
      <c r="L169" s="2482"/>
      <c r="M169" s="2482"/>
      <c r="N169" s="2482"/>
      <c r="O169" s="2482"/>
      <c r="P169" s="2482"/>
      <c r="Q169" s="2482"/>
      <c r="R169" s="2482"/>
      <c r="S169" s="2482"/>
      <c r="T169" s="2482"/>
    </row>
    <row r="170" spans="1:20" ht="15.75" customHeight="1" thickBot="1" x14ac:dyDescent="0.25">
      <c r="A170" s="2677">
        <v>155</v>
      </c>
      <c r="B170" s="2669" t="s">
        <v>9331</v>
      </c>
      <c r="C170" s="2926">
        <f>SUM(C159:C169)</f>
        <v>273261242</v>
      </c>
      <c r="D170" s="2926">
        <f>SUM(D159:D169)</f>
        <v>153725782</v>
      </c>
      <c r="E170" s="2925"/>
      <c r="G170" s="2579"/>
      <c r="H170" s="2881">
        <v>163</v>
      </c>
      <c r="I170" s="2507">
        <v>155470955</v>
      </c>
      <c r="J170" s="2507">
        <v>144914939</v>
      </c>
      <c r="K170" s="2482"/>
      <c r="L170" s="2482"/>
      <c r="M170" s="2482"/>
      <c r="N170" s="2482"/>
      <c r="O170" s="2482"/>
      <c r="P170" s="2482"/>
      <c r="Q170" s="2482"/>
      <c r="R170" s="2482"/>
      <c r="S170" s="2482"/>
      <c r="T170" s="2482"/>
    </row>
    <row r="171" spans="1:20" ht="15.75" customHeight="1" thickBot="1" x14ac:dyDescent="0.25">
      <c r="A171" s="2677">
        <v>156</v>
      </c>
      <c r="B171" s="2669" t="s">
        <v>9332</v>
      </c>
      <c r="C171" s="2926">
        <f>C157+C170</f>
        <v>360875554</v>
      </c>
      <c r="D171" s="2926">
        <f>D157+D170</f>
        <v>225937365</v>
      </c>
      <c r="E171" s="2925"/>
      <c r="G171" s="2579"/>
      <c r="H171" s="2932">
        <v>163.1</v>
      </c>
      <c r="I171" s="2507">
        <v>215290322</v>
      </c>
      <c r="J171" s="2507">
        <v>202803339</v>
      </c>
      <c r="K171" s="2482"/>
      <c r="L171" s="2482"/>
      <c r="M171" s="2482"/>
      <c r="N171" s="2482"/>
      <c r="O171" s="2482"/>
      <c r="P171" s="2482"/>
      <c r="Q171" s="2482"/>
      <c r="R171" s="2482"/>
      <c r="S171" s="2482"/>
      <c r="T171" s="2482"/>
    </row>
    <row r="172" spans="1:20" ht="15.75" customHeight="1" x14ac:dyDescent="0.2">
      <c r="A172" s="2677">
        <v>157</v>
      </c>
      <c r="B172" s="2669" t="s">
        <v>9333</v>
      </c>
      <c r="C172" s="4053"/>
      <c r="D172" s="4053"/>
      <c r="E172" s="2925"/>
      <c r="G172" s="2579"/>
      <c r="H172" s="2881">
        <v>164</v>
      </c>
      <c r="I172" s="2511"/>
      <c r="J172" s="2511"/>
      <c r="K172" s="2482"/>
      <c r="L172" s="2482"/>
      <c r="M172" s="2482"/>
      <c r="N172" s="2482"/>
      <c r="O172" s="2482"/>
      <c r="P172" s="2482"/>
      <c r="Q172" s="2482"/>
      <c r="R172" s="2482"/>
      <c r="S172" s="2482"/>
      <c r="T172" s="2482"/>
    </row>
    <row r="173" spans="1:20" ht="15.75" customHeight="1" x14ac:dyDescent="0.2">
      <c r="A173" s="2677">
        <v>158</v>
      </c>
      <c r="B173" s="2669" t="s">
        <v>437</v>
      </c>
      <c r="C173" s="3907"/>
      <c r="D173" s="3909"/>
      <c r="E173" s="2925"/>
      <c r="G173" s="2579"/>
      <c r="H173" s="2881">
        <v>165</v>
      </c>
      <c r="I173" s="2511"/>
      <c r="J173" s="2511"/>
      <c r="K173" s="2482"/>
      <c r="L173" s="2482"/>
      <c r="M173" s="2482"/>
      <c r="N173" s="2482"/>
      <c r="O173" s="2482"/>
      <c r="P173" s="2482"/>
      <c r="Q173" s="2482"/>
      <c r="R173" s="2482"/>
      <c r="S173" s="2482"/>
      <c r="T173" s="2482"/>
    </row>
    <row r="174" spans="1:20" ht="15.75" customHeight="1" x14ac:dyDescent="0.2">
      <c r="A174" s="2677">
        <v>159</v>
      </c>
      <c r="B174" s="2512" t="s">
        <v>9334</v>
      </c>
      <c r="C174" s="2527">
        <v>2406795</v>
      </c>
      <c r="D174" s="2527">
        <v>2854050</v>
      </c>
      <c r="E174" s="2925"/>
      <c r="G174" s="2579"/>
      <c r="H174" s="2881">
        <v>166</v>
      </c>
      <c r="I174" s="2507">
        <v>2273700</v>
      </c>
      <c r="J174" s="2507">
        <v>2282185</v>
      </c>
      <c r="K174" s="2482"/>
      <c r="L174" s="2482"/>
      <c r="M174" s="2482"/>
      <c r="N174" s="2482"/>
      <c r="O174" s="2482"/>
      <c r="P174" s="2482"/>
      <c r="Q174" s="2482"/>
      <c r="R174" s="2482"/>
      <c r="S174" s="2482"/>
      <c r="T174" s="2482"/>
    </row>
    <row r="175" spans="1:20" ht="15.75" customHeight="1" x14ac:dyDescent="0.2">
      <c r="A175" s="2677">
        <v>160</v>
      </c>
      <c r="B175" s="2512" t="s">
        <v>9335</v>
      </c>
      <c r="C175" s="2527">
        <v>10977236</v>
      </c>
      <c r="D175" s="2527">
        <v>13510987</v>
      </c>
      <c r="E175" s="2925"/>
      <c r="G175" s="2579"/>
      <c r="H175" s="2881">
        <v>167</v>
      </c>
      <c r="I175" s="2507">
        <v>12950694</v>
      </c>
      <c r="J175" s="2507">
        <v>14595821</v>
      </c>
      <c r="K175" s="2482"/>
      <c r="L175" s="2482"/>
      <c r="M175" s="2482"/>
      <c r="N175" s="2482"/>
      <c r="O175" s="2482"/>
      <c r="P175" s="2482"/>
      <c r="Q175" s="2482"/>
      <c r="R175" s="2482"/>
      <c r="S175" s="2482"/>
      <c r="T175" s="2482"/>
    </row>
    <row r="176" spans="1:20" ht="15.75" customHeight="1" x14ac:dyDescent="0.2">
      <c r="A176" s="2677">
        <v>161</v>
      </c>
      <c r="B176" s="2512" t="s">
        <v>9336</v>
      </c>
      <c r="C176" s="2527">
        <v>43316483</v>
      </c>
      <c r="D176" s="2527">
        <v>40915077</v>
      </c>
      <c r="E176" s="2925"/>
      <c r="G176" s="2579"/>
      <c r="H176" s="2881">
        <v>168</v>
      </c>
      <c r="I176" s="2507">
        <v>42975871</v>
      </c>
      <c r="J176" s="2507">
        <v>46565556</v>
      </c>
      <c r="K176" s="2482"/>
      <c r="L176" s="2482"/>
      <c r="M176" s="2482"/>
      <c r="N176" s="2482"/>
      <c r="O176" s="2482"/>
      <c r="P176" s="2482"/>
      <c r="Q176" s="2482"/>
      <c r="R176" s="2482"/>
      <c r="S176" s="2482"/>
      <c r="T176" s="2482"/>
    </row>
    <row r="177" spans="1:20" ht="15.75" customHeight="1" x14ac:dyDescent="0.2">
      <c r="A177" s="2677">
        <v>162</v>
      </c>
      <c r="B177" s="2512" t="s">
        <v>9337</v>
      </c>
      <c r="C177" s="2527">
        <v>34324811</v>
      </c>
      <c r="D177" s="2527">
        <v>17701894</v>
      </c>
      <c r="E177" s="2925"/>
      <c r="G177" s="2579"/>
      <c r="H177" s="2881">
        <v>169</v>
      </c>
      <c r="I177" s="2507">
        <v>18138836</v>
      </c>
      <c r="J177" s="2507">
        <v>13068251</v>
      </c>
      <c r="K177" s="2482"/>
      <c r="L177" s="2482"/>
      <c r="M177" s="2482"/>
      <c r="N177" s="2482"/>
      <c r="O177" s="2482"/>
      <c r="P177" s="2482"/>
      <c r="Q177" s="2482"/>
      <c r="R177" s="2482"/>
      <c r="S177" s="2482"/>
      <c r="T177" s="2482"/>
    </row>
    <row r="178" spans="1:20" ht="15.75" customHeight="1" thickBot="1" x14ac:dyDescent="0.25">
      <c r="A178" s="2677">
        <v>163</v>
      </c>
      <c r="B178" s="2512" t="s">
        <v>9338</v>
      </c>
      <c r="C178" s="2566">
        <v>0</v>
      </c>
      <c r="D178" s="2566">
        <v>381</v>
      </c>
      <c r="E178" s="2925"/>
      <c r="G178" s="2579"/>
      <c r="H178" s="2881">
        <v>170</v>
      </c>
      <c r="I178" s="2507">
        <v>30955</v>
      </c>
      <c r="J178" s="2507">
        <v>347870</v>
      </c>
      <c r="K178" s="2482"/>
      <c r="L178" s="2482"/>
      <c r="M178" s="2482"/>
      <c r="N178" s="2482"/>
      <c r="O178" s="2482"/>
      <c r="P178" s="2482"/>
      <c r="Q178" s="2482"/>
      <c r="R178" s="2482"/>
      <c r="S178" s="2482"/>
      <c r="T178" s="2482"/>
    </row>
    <row r="179" spans="1:20" ht="15.75" customHeight="1" thickBot="1" x14ac:dyDescent="0.25">
      <c r="A179" s="2677">
        <v>164</v>
      </c>
      <c r="B179" s="2669" t="s">
        <v>9339</v>
      </c>
      <c r="C179" s="2926">
        <f>SUM(C174:C178)</f>
        <v>91025325</v>
      </c>
      <c r="D179" s="2926">
        <f>SUM(D174:D178)</f>
        <v>74982389</v>
      </c>
      <c r="E179" s="2925"/>
      <c r="G179" s="2579"/>
      <c r="H179" s="2881">
        <v>171</v>
      </c>
      <c r="I179" s="2507">
        <v>76370056</v>
      </c>
      <c r="J179" s="2507">
        <v>76859683</v>
      </c>
      <c r="K179" s="2482"/>
      <c r="L179" s="2482"/>
      <c r="M179" s="2482"/>
      <c r="N179" s="2482"/>
      <c r="O179" s="2482"/>
      <c r="P179" s="2482"/>
      <c r="Q179" s="2482"/>
      <c r="R179" s="2482"/>
      <c r="S179" s="2482"/>
      <c r="T179" s="2482"/>
    </row>
    <row r="180" spans="1:20" ht="15.75" customHeight="1" x14ac:dyDescent="0.2">
      <c r="A180" s="2677">
        <v>165</v>
      </c>
      <c r="B180" s="2669" t="s">
        <v>9340</v>
      </c>
      <c r="C180" s="4053"/>
      <c r="D180" s="4053"/>
      <c r="E180" s="2925"/>
      <c r="G180" s="2579"/>
      <c r="H180" s="2881">
        <v>172</v>
      </c>
      <c r="I180" s="2511"/>
      <c r="J180" s="2511"/>
      <c r="K180" s="2482"/>
      <c r="L180" s="2482"/>
      <c r="M180" s="2482"/>
      <c r="N180" s="2482"/>
      <c r="O180" s="2482"/>
      <c r="P180" s="2482"/>
      <c r="Q180" s="2482"/>
      <c r="R180" s="2482"/>
      <c r="S180" s="2482"/>
      <c r="T180" s="2482"/>
    </row>
    <row r="181" spans="1:20" ht="15.75" customHeight="1" x14ac:dyDescent="0.2">
      <c r="A181" s="2677">
        <v>166</v>
      </c>
      <c r="B181" s="2669" t="s">
        <v>437</v>
      </c>
      <c r="C181" s="3907"/>
      <c r="D181" s="3909"/>
      <c r="E181" s="2925"/>
      <c r="G181" s="2579"/>
      <c r="H181" s="2881">
        <v>173</v>
      </c>
      <c r="I181" s="2511"/>
      <c r="J181" s="2511"/>
      <c r="K181" s="2482"/>
      <c r="L181" s="2482"/>
      <c r="M181" s="2482"/>
      <c r="N181" s="2482"/>
      <c r="O181" s="2482"/>
      <c r="P181" s="2482"/>
      <c r="Q181" s="2482"/>
      <c r="R181" s="2482"/>
      <c r="S181" s="2482"/>
      <c r="T181" s="2482"/>
    </row>
    <row r="182" spans="1:20" ht="15.75" customHeight="1" x14ac:dyDescent="0.2">
      <c r="A182" s="2677">
        <v>167</v>
      </c>
      <c r="B182" s="2512" t="s">
        <v>9341</v>
      </c>
      <c r="C182" s="2527">
        <v>0</v>
      </c>
      <c r="D182" s="2527">
        <v>1581</v>
      </c>
      <c r="E182" s="2925"/>
      <c r="G182" s="2579"/>
      <c r="H182" s="2881">
        <v>174</v>
      </c>
      <c r="I182" s="2507">
        <v>670</v>
      </c>
      <c r="J182" s="2507">
        <v>6737</v>
      </c>
      <c r="K182" s="2482"/>
      <c r="L182" s="2482"/>
      <c r="M182" s="2482"/>
      <c r="N182" s="2482"/>
      <c r="O182" s="2482"/>
      <c r="P182" s="2482"/>
      <c r="Q182" s="2482"/>
      <c r="R182" s="2482"/>
      <c r="S182" s="2482"/>
      <c r="T182" s="2482"/>
    </row>
    <row r="183" spans="1:20" ht="15.75" customHeight="1" x14ac:dyDescent="0.2">
      <c r="A183" s="2677">
        <v>168</v>
      </c>
      <c r="B183" s="2512" t="s">
        <v>9342</v>
      </c>
      <c r="C183" s="2527">
        <v>170514759</v>
      </c>
      <c r="D183" s="2527">
        <v>138037944</v>
      </c>
      <c r="E183" s="2925"/>
      <c r="G183" s="2579"/>
      <c r="H183" s="2881">
        <v>175</v>
      </c>
      <c r="I183" s="2507">
        <v>104747958</v>
      </c>
      <c r="J183" s="2507">
        <v>95221065</v>
      </c>
      <c r="K183" s="2482"/>
      <c r="L183" s="2482"/>
      <c r="M183" s="2482"/>
      <c r="N183" s="2482"/>
      <c r="O183" s="2482"/>
      <c r="P183" s="2482"/>
      <c r="Q183" s="2482"/>
      <c r="R183" s="2482"/>
      <c r="S183" s="2482"/>
      <c r="T183" s="2482"/>
    </row>
    <row r="184" spans="1:20" ht="15.75" customHeight="1" x14ac:dyDescent="0.2">
      <c r="A184" s="2677">
        <v>169</v>
      </c>
      <c r="B184" s="2512" t="s">
        <v>9343</v>
      </c>
      <c r="C184" s="2527">
        <v>5703041</v>
      </c>
      <c r="D184" s="2527">
        <v>4393603</v>
      </c>
      <c r="E184" s="2925"/>
      <c r="G184" s="2579"/>
      <c r="H184" s="2881">
        <v>176</v>
      </c>
      <c r="I184" s="2507">
        <v>5453497</v>
      </c>
      <c r="J184" s="2507">
        <v>6310516</v>
      </c>
      <c r="K184" s="2482"/>
      <c r="L184" s="2482"/>
      <c r="M184" s="2482"/>
      <c r="N184" s="2482"/>
      <c r="O184" s="2482"/>
      <c r="P184" s="2482"/>
      <c r="Q184" s="2482"/>
      <c r="R184" s="2482"/>
      <c r="S184" s="2482"/>
      <c r="T184" s="2482"/>
    </row>
    <row r="185" spans="1:20" ht="15.75" customHeight="1" thickBot="1" x14ac:dyDescent="0.25">
      <c r="A185" s="2677">
        <v>170</v>
      </c>
      <c r="B185" s="2512" t="s">
        <v>9344</v>
      </c>
      <c r="C185" s="2566">
        <v>7205</v>
      </c>
      <c r="D185" s="2566">
        <v>4002</v>
      </c>
      <c r="E185" s="2925"/>
      <c r="G185" s="2579"/>
      <c r="H185" s="2881">
        <v>177</v>
      </c>
      <c r="I185" s="2507">
        <v>1747</v>
      </c>
      <c r="J185" s="2507">
        <v>4533</v>
      </c>
      <c r="K185" s="2482"/>
      <c r="L185" s="2482"/>
      <c r="M185" s="2482"/>
      <c r="N185" s="2482"/>
      <c r="O185" s="2482"/>
      <c r="P185" s="2482"/>
      <c r="Q185" s="2482"/>
      <c r="R185" s="2482"/>
      <c r="S185" s="2482"/>
      <c r="T185" s="2482"/>
    </row>
    <row r="186" spans="1:20" ht="15.75" customHeight="1" thickBot="1" x14ac:dyDescent="0.25">
      <c r="A186" s="2677">
        <v>171</v>
      </c>
      <c r="B186" s="2669" t="s">
        <v>9345</v>
      </c>
      <c r="C186" s="2926">
        <f>SUM(C182:C185)</f>
        <v>176225005</v>
      </c>
      <c r="D186" s="2926">
        <f>SUM(D182:D185)</f>
        <v>142437130</v>
      </c>
      <c r="E186" s="2925"/>
      <c r="G186" s="2579"/>
      <c r="H186" s="2881">
        <v>178</v>
      </c>
      <c r="I186" s="2507">
        <v>110203872</v>
      </c>
      <c r="J186" s="2507">
        <v>101542851</v>
      </c>
      <c r="K186" s="2482"/>
      <c r="L186" s="2482"/>
      <c r="M186" s="2482"/>
      <c r="N186" s="2482"/>
      <c r="O186" s="2482"/>
      <c r="P186" s="2482"/>
      <c r="Q186" s="2482"/>
      <c r="R186" s="2482"/>
      <c r="S186" s="2482"/>
      <c r="T186" s="2482"/>
    </row>
    <row r="187" spans="1:20" ht="15.75" customHeight="1" x14ac:dyDescent="0.2">
      <c r="A187" s="2677">
        <v>172</v>
      </c>
      <c r="B187" s="2669" t="s">
        <v>9346</v>
      </c>
      <c r="C187" s="4053"/>
      <c r="D187" s="4053"/>
      <c r="E187" s="2925"/>
      <c r="G187" s="2579"/>
      <c r="H187" s="2881">
        <v>179</v>
      </c>
      <c r="I187" s="2511"/>
      <c r="J187" s="2511"/>
      <c r="K187" s="2482"/>
      <c r="L187" s="2482"/>
      <c r="M187" s="2482"/>
      <c r="N187" s="2482"/>
      <c r="O187" s="2482"/>
      <c r="P187" s="2482"/>
      <c r="Q187" s="2482"/>
      <c r="R187" s="2482"/>
      <c r="S187" s="2482"/>
      <c r="T187" s="2482"/>
    </row>
    <row r="188" spans="1:20" ht="15.75" customHeight="1" x14ac:dyDescent="0.2">
      <c r="A188" s="2677">
        <v>173</v>
      </c>
      <c r="B188" s="2669" t="s">
        <v>437</v>
      </c>
      <c r="C188" s="3907"/>
      <c r="D188" s="3909"/>
      <c r="E188" s="2925"/>
      <c r="G188" s="2579"/>
      <c r="H188" s="2881">
        <v>180</v>
      </c>
      <c r="I188" s="2511"/>
      <c r="J188" s="2511"/>
      <c r="K188" s="2482"/>
      <c r="L188" s="2482"/>
      <c r="M188" s="2482"/>
      <c r="N188" s="2482"/>
      <c r="O188" s="2482"/>
      <c r="P188" s="2482"/>
      <c r="Q188" s="2482"/>
      <c r="R188" s="2482"/>
      <c r="S188" s="2482"/>
      <c r="T188" s="2482"/>
    </row>
    <row r="189" spans="1:20" ht="15.75" customHeight="1" x14ac:dyDescent="0.2">
      <c r="A189" s="2677">
        <v>174</v>
      </c>
      <c r="B189" s="2512" t="s">
        <v>9347</v>
      </c>
      <c r="C189" s="2527">
        <v>0</v>
      </c>
      <c r="D189" s="2527">
        <v>0</v>
      </c>
      <c r="E189" s="2925"/>
      <c r="G189" s="2579"/>
      <c r="H189" s="2881">
        <v>181</v>
      </c>
      <c r="I189" s="2511"/>
      <c r="J189" s="2511"/>
      <c r="K189" s="2482"/>
      <c r="L189" s="2482"/>
      <c r="M189" s="2482"/>
      <c r="N189" s="2482"/>
      <c r="O189" s="2482"/>
      <c r="P189" s="2482"/>
      <c r="Q189" s="2482"/>
      <c r="R189" s="2482"/>
      <c r="S189" s="2482"/>
      <c r="T189" s="2482"/>
    </row>
    <row r="190" spans="1:20" ht="15.75" customHeight="1" x14ac:dyDescent="0.2">
      <c r="A190" s="2677">
        <v>175</v>
      </c>
      <c r="B190" s="2512" t="s">
        <v>9348</v>
      </c>
      <c r="C190" s="2527">
        <v>0</v>
      </c>
      <c r="D190" s="2527">
        <v>0</v>
      </c>
      <c r="E190" s="2925"/>
      <c r="G190" s="2579"/>
      <c r="H190" s="2881">
        <v>182</v>
      </c>
      <c r="I190" s="2511"/>
      <c r="J190" s="2511"/>
      <c r="K190" s="2482"/>
      <c r="L190" s="2482"/>
      <c r="M190" s="2482"/>
      <c r="N190" s="2482"/>
      <c r="O190" s="2482"/>
      <c r="P190" s="2482"/>
      <c r="Q190" s="2482"/>
      <c r="R190" s="2482"/>
      <c r="S190" s="2482"/>
      <c r="T190" s="2482"/>
    </row>
    <row r="191" spans="1:20" ht="15.75" customHeight="1" x14ac:dyDescent="0.2">
      <c r="A191" s="2677">
        <v>176</v>
      </c>
      <c r="B191" s="2512" t="s">
        <v>9349</v>
      </c>
      <c r="C191" s="2527">
        <v>0</v>
      </c>
      <c r="D191" s="2527">
        <v>0</v>
      </c>
      <c r="E191" s="2925"/>
      <c r="G191" s="2579"/>
      <c r="H191" s="2881">
        <v>183</v>
      </c>
      <c r="I191" s="2511"/>
      <c r="J191" s="2511"/>
      <c r="K191" s="2482"/>
      <c r="L191" s="2482"/>
      <c r="M191" s="2482"/>
      <c r="N191" s="2482"/>
      <c r="O191" s="2482"/>
      <c r="P191" s="2482"/>
      <c r="Q191" s="2482"/>
      <c r="R191" s="2482"/>
      <c r="S191" s="2482"/>
      <c r="T191" s="2482"/>
    </row>
    <row r="192" spans="1:20" ht="15.75" customHeight="1" thickBot="1" x14ac:dyDescent="0.25">
      <c r="A192" s="2677">
        <v>177</v>
      </c>
      <c r="B192" s="2512" t="s">
        <v>9350</v>
      </c>
      <c r="C192" s="2566">
        <v>0</v>
      </c>
      <c r="D192" s="2566">
        <v>0</v>
      </c>
      <c r="E192" s="2925"/>
      <c r="G192" s="2579"/>
      <c r="H192" s="2881">
        <v>184</v>
      </c>
      <c r="I192" s="2511"/>
      <c r="J192" s="2511"/>
      <c r="K192" s="2482"/>
      <c r="L192" s="2482"/>
      <c r="M192" s="2482"/>
      <c r="N192" s="2482"/>
      <c r="O192" s="2482"/>
      <c r="P192" s="2482"/>
      <c r="Q192" s="2482"/>
      <c r="R192" s="2482"/>
      <c r="S192" s="2482"/>
      <c r="T192" s="2482"/>
    </row>
    <row r="193" spans="1:20" ht="15.75" customHeight="1" thickBot="1" x14ac:dyDescent="0.25">
      <c r="A193" s="2677">
        <v>178</v>
      </c>
      <c r="B193" s="2669" t="s">
        <v>9351</v>
      </c>
      <c r="C193" s="2926">
        <f>SUM(C189:C192)</f>
        <v>0</v>
      </c>
      <c r="D193" s="2926">
        <f>SUM(D189:D192)</f>
        <v>0</v>
      </c>
      <c r="E193" s="2925"/>
      <c r="G193" s="2579"/>
      <c r="H193" s="2881">
        <v>185</v>
      </c>
      <c r="I193" s="2511"/>
      <c r="J193" s="2511"/>
      <c r="K193" s="2482"/>
      <c r="L193" s="2482"/>
      <c r="M193" s="2482"/>
      <c r="N193" s="2482"/>
      <c r="O193" s="2482"/>
      <c r="P193" s="2482"/>
      <c r="Q193" s="2482"/>
      <c r="R193" s="2482"/>
      <c r="S193" s="2482"/>
      <c r="T193" s="2482"/>
    </row>
    <row r="194" spans="1:20" ht="15.75" customHeight="1" x14ac:dyDescent="0.2">
      <c r="A194" s="2677">
        <v>179</v>
      </c>
      <c r="B194" s="2669" t="s">
        <v>9352</v>
      </c>
      <c r="C194" s="4053"/>
      <c r="D194" s="4053"/>
      <c r="E194" s="2925"/>
      <c r="G194" s="2579"/>
      <c r="H194" s="2881">
        <v>186</v>
      </c>
      <c r="I194" s="2511"/>
      <c r="J194" s="2511"/>
      <c r="K194" s="2482"/>
      <c r="L194" s="2482"/>
      <c r="M194" s="2482"/>
      <c r="N194" s="2482"/>
      <c r="O194" s="2482"/>
      <c r="P194" s="2482"/>
      <c r="Q194" s="2482"/>
      <c r="R194" s="2482"/>
      <c r="S194" s="2482"/>
      <c r="T194" s="2482"/>
    </row>
    <row r="195" spans="1:20" ht="15.75" customHeight="1" x14ac:dyDescent="0.2">
      <c r="A195" s="2677">
        <v>180</v>
      </c>
      <c r="B195" s="2669" t="s">
        <v>437</v>
      </c>
      <c r="C195" s="3907"/>
      <c r="D195" s="3909"/>
      <c r="E195" s="2925"/>
      <c r="G195" s="2579"/>
      <c r="H195" s="2881">
        <v>187</v>
      </c>
      <c r="I195" s="2511"/>
      <c r="J195" s="2511"/>
      <c r="K195" s="2482"/>
      <c r="L195" s="2482"/>
      <c r="M195" s="2482"/>
      <c r="N195" s="2482"/>
      <c r="O195" s="2482"/>
      <c r="P195" s="2482"/>
      <c r="Q195" s="2482"/>
      <c r="R195" s="2482"/>
      <c r="S195" s="2482"/>
      <c r="T195" s="2482"/>
    </row>
    <row r="196" spans="1:20" ht="15.75" customHeight="1" x14ac:dyDescent="0.2">
      <c r="A196" s="2677">
        <v>181</v>
      </c>
      <c r="B196" s="2512" t="s">
        <v>9353</v>
      </c>
      <c r="C196" s="2531">
        <v>83531125</v>
      </c>
      <c r="D196" s="2527">
        <v>74576063</v>
      </c>
      <c r="E196" s="2925"/>
      <c r="G196" s="2579"/>
      <c r="H196" s="2881">
        <v>188</v>
      </c>
      <c r="I196" s="2507">
        <v>79083452</v>
      </c>
      <c r="J196" s="2507">
        <v>76578659</v>
      </c>
      <c r="K196" s="2482"/>
      <c r="L196" s="2482"/>
      <c r="M196" s="2482"/>
      <c r="N196" s="2482"/>
      <c r="O196" s="2482"/>
      <c r="P196" s="2482"/>
      <c r="Q196" s="2482"/>
      <c r="R196" s="2482"/>
      <c r="S196" s="2482"/>
      <c r="T196" s="2482"/>
    </row>
    <row r="197" spans="1:20" ht="15.75" customHeight="1" x14ac:dyDescent="0.2">
      <c r="A197" s="2677">
        <v>182</v>
      </c>
      <c r="B197" s="2512" t="s">
        <v>9354</v>
      </c>
      <c r="C197" s="2527">
        <v>15081973</v>
      </c>
      <c r="D197" s="2527">
        <v>16284032</v>
      </c>
      <c r="E197" s="2925"/>
      <c r="G197" s="2579"/>
      <c r="H197" s="2881">
        <v>189</v>
      </c>
      <c r="I197" s="2507">
        <v>11377137</v>
      </c>
      <c r="J197" s="2507">
        <v>9594354</v>
      </c>
      <c r="K197" s="2482"/>
      <c r="L197" s="2482"/>
      <c r="M197" s="2482"/>
      <c r="N197" s="2482"/>
      <c r="O197" s="2482"/>
      <c r="P197" s="2482"/>
      <c r="Q197" s="2482"/>
      <c r="R197" s="2482"/>
      <c r="S197" s="2482"/>
      <c r="T197" s="2482"/>
    </row>
    <row r="198" spans="1:20" ht="15.75" customHeight="1" x14ac:dyDescent="0.2">
      <c r="A198" s="2677">
        <v>183</v>
      </c>
      <c r="B198" s="2512" t="s">
        <v>9355</v>
      </c>
      <c r="C198" s="2527">
        <v>51620742</v>
      </c>
      <c r="D198" s="2527">
        <v>42850057</v>
      </c>
      <c r="E198" s="2925"/>
      <c r="G198" s="2579"/>
      <c r="H198" s="2881">
        <v>190</v>
      </c>
      <c r="I198" s="2507">
        <v>37851096</v>
      </c>
      <c r="J198" s="2507">
        <v>34578091</v>
      </c>
      <c r="K198" s="2482"/>
      <c r="L198" s="2482"/>
      <c r="M198" s="2482"/>
      <c r="N198" s="2482"/>
      <c r="O198" s="2482"/>
      <c r="P198" s="2482"/>
      <c r="Q198" s="2482"/>
      <c r="R198" s="2482"/>
      <c r="S198" s="2482"/>
      <c r="T198" s="2482"/>
    </row>
    <row r="199" spans="1:20" ht="15.75" customHeight="1" x14ac:dyDescent="0.2">
      <c r="A199" s="2677">
        <v>184</v>
      </c>
      <c r="B199" s="2512" t="s">
        <v>9356</v>
      </c>
      <c r="C199" s="2527">
        <v>49202851</v>
      </c>
      <c r="D199" s="2527">
        <v>41115943</v>
      </c>
      <c r="E199" s="2925"/>
      <c r="G199" s="2579"/>
      <c r="H199" s="2881">
        <v>191</v>
      </c>
      <c r="I199" s="2507">
        <v>20941909</v>
      </c>
      <c r="J199" s="2507">
        <v>22040045</v>
      </c>
      <c r="K199" s="2482"/>
      <c r="L199" s="2482"/>
      <c r="M199" s="2482"/>
      <c r="N199" s="2482"/>
      <c r="O199" s="2482"/>
      <c r="P199" s="2482"/>
      <c r="Q199" s="2482"/>
      <c r="R199" s="2482"/>
      <c r="S199" s="2482"/>
      <c r="T199" s="2482"/>
    </row>
    <row r="200" spans="1:20" ht="15.75" customHeight="1" x14ac:dyDescent="0.2">
      <c r="A200" s="2677">
        <v>185</v>
      </c>
      <c r="B200" s="2512" t="s">
        <v>9357</v>
      </c>
      <c r="C200" s="2531">
        <v>20017590</v>
      </c>
      <c r="D200" s="2527">
        <v>16635876</v>
      </c>
      <c r="E200" s="2925"/>
      <c r="G200" s="2579"/>
      <c r="H200" s="2881">
        <v>192</v>
      </c>
      <c r="I200" s="2507">
        <v>16363750</v>
      </c>
      <c r="J200" s="2507">
        <v>14929761</v>
      </c>
      <c r="K200" s="2482"/>
      <c r="L200" s="2482"/>
      <c r="M200" s="2482"/>
      <c r="N200" s="2482"/>
      <c r="O200" s="2482"/>
      <c r="P200" s="2482"/>
      <c r="Q200" s="2482"/>
      <c r="R200" s="2482"/>
      <c r="S200" s="2482"/>
      <c r="T200" s="2482"/>
    </row>
    <row r="201" spans="1:20" ht="15.75" customHeight="1" x14ac:dyDescent="0.2">
      <c r="A201" s="2677">
        <v>186</v>
      </c>
      <c r="B201" s="2512" t="s">
        <v>9358</v>
      </c>
      <c r="C201" s="2527">
        <v>1785095432</v>
      </c>
      <c r="D201" s="2527">
        <v>102109509</v>
      </c>
      <c r="E201" s="2925"/>
      <c r="G201" s="2579"/>
      <c r="H201" s="2881">
        <v>193</v>
      </c>
      <c r="I201" s="2507">
        <v>149445957</v>
      </c>
      <c r="J201" s="2507">
        <v>8096669</v>
      </c>
      <c r="K201" s="2482"/>
      <c r="L201" s="2482"/>
      <c r="M201" s="2482"/>
      <c r="N201" s="2482"/>
      <c r="O201" s="2482"/>
      <c r="P201" s="2482"/>
      <c r="Q201" s="2482"/>
      <c r="R201" s="2482"/>
      <c r="S201" s="2482"/>
      <c r="T201" s="2482"/>
    </row>
    <row r="202" spans="1:20" ht="15.75" customHeight="1" x14ac:dyDescent="0.2">
      <c r="A202" s="2677">
        <v>187</v>
      </c>
      <c r="B202" s="2512" t="s">
        <v>9359</v>
      </c>
      <c r="C202" s="2531">
        <v>123037471</v>
      </c>
      <c r="D202" s="2527">
        <v>130712787</v>
      </c>
      <c r="E202" s="2925"/>
      <c r="G202" s="2579"/>
      <c r="H202" s="2881">
        <v>194</v>
      </c>
      <c r="I202" s="2507">
        <v>118191960</v>
      </c>
      <c r="J202" s="2507">
        <v>102224372</v>
      </c>
      <c r="K202" s="2482"/>
      <c r="L202" s="2482"/>
      <c r="M202" s="2482"/>
      <c r="N202" s="2482"/>
      <c r="O202" s="2482"/>
      <c r="P202" s="2482"/>
      <c r="Q202" s="2482"/>
      <c r="R202" s="2482"/>
      <c r="S202" s="2482"/>
      <c r="T202" s="2482"/>
    </row>
    <row r="203" spans="1:20" ht="15.75" customHeight="1" x14ac:dyDescent="0.2">
      <c r="A203" s="2677">
        <v>188</v>
      </c>
      <c r="B203" s="2512" t="s">
        <v>9360</v>
      </c>
      <c r="C203" s="2527">
        <v>0</v>
      </c>
      <c r="D203" s="2527">
        <v>0</v>
      </c>
      <c r="E203" s="2925"/>
      <c r="G203" s="2579"/>
      <c r="H203" s="2881">
        <v>195</v>
      </c>
      <c r="I203" s="2507">
        <v>0</v>
      </c>
      <c r="J203" s="2507">
        <v>0</v>
      </c>
      <c r="K203" s="2482"/>
      <c r="L203" s="2482"/>
      <c r="M203" s="2482"/>
      <c r="N203" s="2482"/>
      <c r="O203" s="2482"/>
      <c r="P203" s="2482"/>
      <c r="Q203" s="2482"/>
      <c r="R203" s="2482"/>
      <c r="S203" s="2482"/>
      <c r="T203" s="2482"/>
    </row>
    <row r="204" spans="1:20" ht="15.75" customHeight="1" x14ac:dyDescent="0.2">
      <c r="A204" s="2677">
        <v>189</v>
      </c>
      <c r="B204" s="2512" t="s">
        <v>9361</v>
      </c>
      <c r="C204" s="2527">
        <v>32148662</v>
      </c>
      <c r="D204" s="2527">
        <v>26166699</v>
      </c>
      <c r="E204" s="2925"/>
      <c r="G204" s="2579"/>
      <c r="H204" s="2881">
        <v>196</v>
      </c>
      <c r="I204" s="2507">
        <v>25986830</v>
      </c>
      <c r="J204" s="2507">
        <v>25605836</v>
      </c>
      <c r="K204" s="2482"/>
      <c r="L204" s="2482"/>
      <c r="M204" s="2482"/>
      <c r="N204" s="2482"/>
      <c r="O204" s="2482"/>
      <c r="P204" s="2482"/>
      <c r="Q204" s="2482"/>
      <c r="R204" s="2482"/>
      <c r="S204" s="2482"/>
      <c r="T204" s="2482"/>
    </row>
    <row r="205" spans="1:20" ht="15.75" customHeight="1" x14ac:dyDescent="0.2">
      <c r="A205" s="2677">
        <v>190</v>
      </c>
      <c r="B205" s="2512" t="s">
        <v>9362</v>
      </c>
      <c r="C205" s="2531">
        <v>144383626</v>
      </c>
      <c r="D205" s="2527">
        <v>132843856</v>
      </c>
      <c r="E205" s="2925"/>
      <c r="G205" s="2579"/>
      <c r="H205" s="2881">
        <v>197</v>
      </c>
      <c r="I205" s="2507">
        <v>122425535</v>
      </c>
      <c r="J205" s="2507">
        <v>130646461</v>
      </c>
      <c r="K205" s="2482"/>
      <c r="L205" s="2482"/>
      <c r="M205" s="2482"/>
      <c r="N205" s="2482"/>
      <c r="O205" s="2482"/>
      <c r="P205" s="2482"/>
      <c r="Q205" s="2482"/>
      <c r="R205" s="2482"/>
      <c r="S205" s="2482"/>
      <c r="T205" s="2482"/>
    </row>
    <row r="206" spans="1:20" ht="15.75" customHeight="1" x14ac:dyDescent="0.2">
      <c r="A206" s="2677">
        <v>191</v>
      </c>
      <c r="B206" s="2512" t="s">
        <v>9363</v>
      </c>
      <c r="C206" s="2527">
        <v>48947</v>
      </c>
      <c r="D206" s="2527">
        <v>15720</v>
      </c>
      <c r="E206" s="2925"/>
      <c r="G206" s="2579"/>
      <c r="H206" s="2881">
        <v>198</v>
      </c>
      <c r="I206" s="2507">
        <v>14951</v>
      </c>
      <c r="J206" s="2507">
        <v>55028</v>
      </c>
      <c r="K206" s="2482"/>
      <c r="L206" s="2482"/>
      <c r="M206" s="2482"/>
      <c r="N206" s="2482"/>
      <c r="O206" s="2482"/>
      <c r="P206" s="2482"/>
      <c r="Q206" s="2482"/>
      <c r="R206" s="2482"/>
      <c r="S206" s="2482"/>
      <c r="T206" s="2482"/>
    </row>
    <row r="207" spans="1:20" ht="15.75" customHeight="1" x14ac:dyDescent="0.2">
      <c r="A207" s="2677">
        <v>192</v>
      </c>
      <c r="B207" s="2512" t="s">
        <v>9364</v>
      </c>
      <c r="C207" s="2527">
        <v>2805595</v>
      </c>
      <c r="D207" s="2527">
        <v>2440024</v>
      </c>
      <c r="E207" s="2925"/>
      <c r="G207" s="2579"/>
      <c r="H207" s="2881">
        <v>199</v>
      </c>
      <c r="I207" s="2507">
        <v>2242565</v>
      </c>
      <c r="J207" s="2507">
        <v>2244072</v>
      </c>
      <c r="K207" s="2482"/>
      <c r="L207" s="2482"/>
      <c r="M207" s="2482"/>
      <c r="N207" s="2482"/>
      <c r="O207" s="2482"/>
      <c r="P207" s="2482"/>
      <c r="Q207" s="2482"/>
      <c r="R207" s="2482"/>
      <c r="S207" s="2482"/>
      <c r="T207" s="2482"/>
    </row>
    <row r="208" spans="1:20" ht="15.75" customHeight="1" thickBot="1" x14ac:dyDescent="0.25">
      <c r="A208" s="2677">
        <v>193</v>
      </c>
      <c r="B208" s="2512" t="s">
        <v>9365</v>
      </c>
      <c r="C208" s="2930">
        <v>1510492</v>
      </c>
      <c r="D208" s="2566">
        <v>-278308</v>
      </c>
      <c r="E208" s="2925"/>
      <c r="G208" s="2579"/>
      <c r="H208" s="2881">
        <v>200</v>
      </c>
      <c r="I208" s="2507">
        <v>3449336</v>
      </c>
      <c r="J208" s="2507">
        <v>2541299</v>
      </c>
      <c r="K208" s="2482"/>
      <c r="L208" s="2482"/>
      <c r="M208" s="2482"/>
      <c r="N208" s="2482"/>
      <c r="O208" s="2482"/>
      <c r="P208" s="2482"/>
      <c r="Q208" s="2482"/>
      <c r="R208" s="2482"/>
      <c r="S208" s="2482"/>
      <c r="T208" s="2482"/>
    </row>
    <row r="209" spans="1:20" ht="15.75" customHeight="1" x14ac:dyDescent="0.2">
      <c r="A209" s="2677">
        <v>194</v>
      </c>
      <c r="B209" s="2669" t="s">
        <v>9366</v>
      </c>
      <c r="C209" s="2933">
        <f>SUM(C196:C197,C199:C204,C206:C208)-C198-C205</f>
        <v>1916475770</v>
      </c>
      <c r="D209" s="2933">
        <f>SUM(D196:D197,D199:D204,D206:D208)-D198-D205</f>
        <v>234084432</v>
      </c>
      <c r="E209" s="2925"/>
      <c r="G209" s="2579"/>
      <c r="H209" s="2881">
        <v>201</v>
      </c>
      <c r="I209" s="2507">
        <v>266821216</v>
      </c>
      <c r="J209" s="2507">
        <v>98685543</v>
      </c>
      <c r="K209" s="2482"/>
      <c r="L209" s="2482"/>
      <c r="M209" s="2482"/>
      <c r="N209" s="2482"/>
      <c r="O209" s="2482"/>
      <c r="P209" s="2482"/>
      <c r="Q209" s="2482"/>
      <c r="R209" s="2482"/>
      <c r="S209" s="2482"/>
      <c r="T209" s="2482"/>
    </row>
    <row r="210" spans="1:20" ht="15.75" customHeight="1" x14ac:dyDescent="0.2">
      <c r="A210" s="2677">
        <v>195</v>
      </c>
      <c r="B210" s="2669" t="s">
        <v>438</v>
      </c>
      <c r="C210" s="3907"/>
      <c r="D210" s="3909"/>
      <c r="E210" s="2925"/>
      <c r="G210" s="2579"/>
      <c r="H210" s="2881">
        <v>202</v>
      </c>
      <c r="I210" s="2511"/>
      <c r="J210" s="2511"/>
      <c r="K210" s="2482"/>
      <c r="L210" s="2482"/>
      <c r="M210" s="2482"/>
      <c r="N210" s="2482"/>
      <c r="O210" s="2482"/>
      <c r="P210" s="2482"/>
      <c r="Q210" s="2482"/>
      <c r="R210" s="2482"/>
      <c r="S210" s="2482"/>
      <c r="T210" s="2482"/>
    </row>
    <row r="211" spans="1:20" ht="15.75" customHeight="1" thickBot="1" x14ac:dyDescent="0.25">
      <c r="A211" s="2677">
        <v>196</v>
      </c>
      <c r="B211" s="2512" t="s">
        <v>9367</v>
      </c>
      <c r="C211" s="2930">
        <v>37142082</v>
      </c>
      <c r="D211" s="2566">
        <v>26105037</v>
      </c>
      <c r="E211" s="2925"/>
      <c r="G211" s="2579"/>
      <c r="H211" s="2881">
        <v>203</v>
      </c>
      <c r="I211" s="2507">
        <v>25099866</v>
      </c>
      <c r="J211" s="2507">
        <v>24451060</v>
      </c>
      <c r="K211" s="2482"/>
      <c r="L211" s="2482"/>
      <c r="M211" s="2482"/>
      <c r="N211" s="2482"/>
      <c r="O211" s="2482"/>
      <c r="P211" s="2482"/>
      <c r="Q211" s="2482"/>
      <c r="R211" s="2482"/>
      <c r="S211" s="2482"/>
      <c r="T211" s="2482"/>
    </row>
    <row r="212" spans="1:20" ht="15.75" customHeight="1" thickBot="1" x14ac:dyDescent="0.25">
      <c r="A212" s="2677">
        <v>197</v>
      </c>
      <c r="B212" s="2669" t="s">
        <v>9368</v>
      </c>
      <c r="C212" s="2934">
        <f>C209+C211</f>
        <v>1953617852</v>
      </c>
      <c r="D212" s="2926">
        <f>D209+D211</f>
        <v>260189469</v>
      </c>
      <c r="E212" s="2925"/>
      <c r="G212" s="2579"/>
      <c r="H212" s="2881">
        <v>204</v>
      </c>
      <c r="I212" s="2507">
        <v>291921082</v>
      </c>
      <c r="J212" s="2507">
        <v>123136603</v>
      </c>
      <c r="K212" s="2482"/>
      <c r="L212" s="2482"/>
      <c r="M212" s="2482"/>
      <c r="N212" s="2482"/>
      <c r="O212" s="2482"/>
      <c r="P212" s="2482"/>
      <c r="Q212" s="2482"/>
      <c r="R212" s="2482"/>
      <c r="S212" s="2482"/>
      <c r="T212" s="2482"/>
    </row>
    <row r="213" spans="1:20" ht="23.25" customHeight="1" x14ac:dyDescent="0.2">
      <c r="A213" s="2677">
        <v>198</v>
      </c>
      <c r="B213" s="2669" t="s">
        <v>9369</v>
      </c>
      <c r="C213" s="2933">
        <f>C91+C124+C143+C171+C179+C186+C193+C212</f>
        <v>5438526510</v>
      </c>
      <c r="D213" s="2933">
        <f>D91+D124+D143+D171+D179+D186+D193+D212</f>
        <v>3245002734</v>
      </c>
      <c r="E213" s="2925"/>
      <c r="G213" s="2579"/>
      <c r="H213" s="2881">
        <v>205</v>
      </c>
      <c r="I213" s="2507">
        <v>3026291544</v>
      </c>
      <c r="J213" s="2507">
        <v>2832806959</v>
      </c>
      <c r="K213" s="2482"/>
      <c r="L213" s="2482"/>
      <c r="M213" s="2482"/>
      <c r="N213" s="2482"/>
      <c r="O213" s="2482"/>
      <c r="P213" s="2482"/>
      <c r="Q213" s="2482"/>
      <c r="R213" s="2482"/>
      <c r="S213" s="2482"/>
      <c r="T213" s="2482"/>
    </row>
    <row r="214" spans="1:20" ht="15.75" customHeight="1" x14ac:dyDescent="0.2">
      <c r="A214" s="2537"/>
      <c r="B214" s="2608"/>
      <c r="C214" s="2935"/>
      <c r="D214" s="2935"/>
      <c r="G214" s="2579"/>
      <c r="K214" s="2482"/>
      <c r="L214" s="2482"/>
      <c r="M214" s="2482"/>
      <c r="N214" s="2482"/>
      <c r="O214" s="2482"/>
      <c r="P214" s="2482"/>
      <c r="Q214" s="2482"/>
      <c r="R214" s="2482"/>
      <c r="S214" s="2482"/>
      <c r="T214" s="2482"/>
    </row>
    <row r="215" spans="1:20" ht="15.75" customHeight="1" x14ac:dyDescent="0.25">
      <c r="B215" s="3094" t="s">
        <v>12073</v>
      </c>
      <c r="C215" s="2077"/>
      <c r="D215" s="2936"/>
      <c r="G215" s="2579"/>
      <c r="K215" s="2482"/>
      <c r="L215" s="2482"/>
      <c r="M215" s="2482"/>
      <c r="N215" s="2482"/>
      <c r="O215" s="2482"/>
      <c r="P215" s="2482"/>
      <c r="Q215" s="2482"/>
      <c r="R215" s="2482"/>
      <c r="S215" s="2482"/>
      <c r="T215" s="2482"/>
    </row>
    <row r="216" spans="1:20" ht="15.75" customHeight="1" x14ac:dyDescent="0.25">
      <c r="B216" s="3165" t="s">
        <v>200</v>
      </c>
      <c r="C216" s="3166">
        <f>C86</f>
        <v>937845148</v>
      </c>
      <c r="D216" s="2936"/>
      <c r="G216" s="2579"/>
      <c r="K216" s="2482"/>
      <c r="L216" s="2482"/>
      <c r="M216" s="2482"/>
      <c r="N216" s="2482"/>
      <c r="O216" s="2482"/>
      <c r="P216" s="2482"/>
      <c r="Q216" s="2482"/>
      <c r="R216" s="2482"/>
      <c r="S216" s="2482"/>
      <c r="T216" s="2482"/>
    </row>
    <row r="217" spans="1:20" ht="15.75" customHeight="1" x14ac:dyDescent="0.25">
      <c r="B217" s="3165" t="s">
        <v>12074</v>
      </c>
      <c r="C217" s="3166">
        <f>'PPC Charge'!E341</f>
        <v>24259860.620000005</v>
      </c>
      <c r="D217" s="2936"/>
      <c r="G217" s="2579"/>
      <c r="K217" s="2482"/>
      <c r="L217" s="2482"/>
      <c r="M217" s="2482"/>
      <c r="N217" s="2482"/>
      <c r="O217" s="2482"/>
      <c r="P217" s="2482"/>
      <c r="Q217" s="2482"/>
      <c r="R217" s="2482"/>
      <c r="S217" s="2482"/>
      <c r="T217" s="2482"/>
    </row>
    <row r="218" spans="1:20" ht="15.75" customHeight="1" x14ac:dyDescent="0.25">
      <c r="B218" s="3165" t="s">
        <v>12075</v>
      </c>
      <c r="C218" s="3231">
        <v>0</v>
      </c>
      <c r="D218" s="2936"/>
      <c r="G218" s="2579"/>
      <c r="K218" s="2482"/>
      <c r="L218" s="2482"/>
      <c r="M218" s="2482"/>
      <c r="N218" s="2482"/>
      <c r="O218" s="2482"/>
      <c r="P218" s="2482"/>
      <c r="Q218" s="2482"/>
      <c r="R218" s="2482"/>
      <c r="S218" s="2482"/>
      <c r="T218" s="2482"/>
    </row>
    <row r="219" spans="1:20" ht="25.7" customHeight="1" x14ac:dyDescent="0.25">
      <c r="B219" s="3165" t="s">
        <v>12076</v>
      </c>
      <c r="C219" s="3166">
        <f>C14+C33+C71</f>
        <v>560475005</v>
      </c>
      <c r="D219" s="2936"/>
      <c r="G219" s="2579"/>
      <c r="K219" s="2482"/>
      <c r="L219" s="2482"/>
      <c r="M219" s="2482"/>
      <c r="N219" s="2482"/>
      <c r="O219" s="2482"/>
      <c r="P219" s="2482"/>
      <c r="Q219" s="2482"/>
      <c r="R219" s="2482"/>
      <c r="S219" s="2482"/>
      <c r="T219" s="2482"/>
    </row>
    <row r="220" spans="1:20" ht="15.75" customHeight="1" x14ac:dyDescent="0.25">
      <c r="B220" s="3165"/>
      <c r="C220" s="2077"/>
      <c r="G220" s="2756"/>
      <c r="H220" s="2578"/>
      <c r="I220" s="2511"/>
      <c r="J220" s="2482"/>
      <c r="K220" s="2482"/>
      <c r="L220" s="2482"/>
      <c r="M220" s="2482"/>
      <c r="N220" s="2482"/>
      <c r="O220" s="2482"/>
      <c r="P220" s="2482"/>
      <c r="Q220" s="2482"/>
      <c r="R220" s="2482"/>
      <c r="S220" s="2482"/>
      <c r="T220" s="2482"/>
    </row>
    <row r="221" spans="1:20" ht="15" customHeight="1" x14ac:dyDescent="0.25">
      <c r="B221" s="3165" t="s">
        <v>12077</v>
      </c>
      <c r="C221" s="3166">
        <f>C213-SUM(C216:C219)</f>
        <v>3915946496.3800001</v>
      </c>
      <c r="H221" s="2937"/>
    </row>
    <row r="222" spans="1:20" ht="15" customHeight="1" thickBot="1" x14ac:dyDescent="0.25">
      <c r="B222" s="3232"/>
      <c r="C222" s="2077"/>
      <c r="H222" s="2937"/>
    </row>
    <row r="223" spans="1:20" ht="15" customHeight="1" thickBot="1" x14ac:dyDescent="0.3">
      <c r="B223" s="3233" t="s">
        <v>12078</v>
      </c>
      <c r="C223" s="3234">
        <f>C221/8</f>
        <v>489493312.04750001</v>
      </c>
      <c r="H223" s="2937"/>
    </row>
    <row r="224" spans="1:20" ht="15" customHeight="1" x14ac:dyDescent="0.2">
      <c r="H224" s="2937"/>
    </row>
    <row r="225" spans="8:8" ht="15" customHeight="1" x14ac:dyDescent="0.2">
      <c r="H225" s="2937"/>
    </row>
    <row r="226" spans="8:8" ht="15" customHeight="1" x14ac:dyDescent="0.2">
      <c r="H226" s="2937"/>
    </row>
    <row r="227" spans="8:8" ht="15" customHeight="1" x14ac:dyDescent="0.2">
      <c r="H227" s="2937"/>
    </row>
    <row r="228" spans="8:8" ht="15" customHeight="1" x14ac:dyDescent="0.2">
      <c r="H228" s="2937"/>
    </row>
    <row r="229" spans="8:8" ht="15" customHeight="1" x14ac:dyDescent="0.2">
      <c r="H229" s="2937"/>
    </row>
    <row r="230" spans="8:8" ht="15" customHeight="1" x14ac:dyDescent="0.2">
      <c r="H230" s="2937"/>
    </row>
    <row r="231" spans="8:8" ht="15" customHeight="1" x14ac:dyDescent="0.2">
      <c r="H231" s="2937"/>
    </row>
    <row r="232" spans="8:8" ht="15" customHeight="1" x14ac:dyDescent="0.2">
      <c r="H232" s="2937"/>
    </row>
    <row r="233" spans="8:8" ht="15" customHeight="1" x14ac:dyDescent="0.2">
      <c r="H233" s="2937"/>
    </row>
    <row r="234" spans="8:8" ht="15" customHeight="1" x14ac:dyDescent="0.2">
      <c r="H234" s="2937"/>
    </row>
  </sheetData>
  <mergeCells count="37">
    <mergeCell ref="C210:D210"/>
    <mergeCell ref="C180:D180"/>
    <mergeCell ref="C181:D181"/>
    <mergeCell ref="C187:D187"/>
    <mergeCell ref="C188:D188"/>
    <mergeCell ref="C194:D194"/>
    <mergeCell ref="C195:D195"/>
    <mergeCell ref="C173:D173"/>
    <mergeCell ref="C85:D85"/>
    <mergeCell ref="C92:D92"/>
    <mergeCell ref="C93:D93"/>
    <mergeCell ref="C111:D111"/>
    <mergeCell ref="C125:D125"/>
    <mergeCell ref="C126:D126"/>
    <mergeCell ref="C136:D136"/>
    <mergeCell ref="C144:D144"/>
    <mergeCell ref="C145:D145"/>
    <mergeCell ref="C158:D158"/>
    <mergeCell ref="C172:D172"/>
    <mergeCell ref="C77:D77"/>
    <mergeCell ref="C11:D11"/>
    <mergeCell ref="C22:D22"/>
    <mergeCell ref="C30:D30"/>
    <mergeCell ref="C31:D31"/>
    <mergeCell ref="C42:D42"/>
    <mergeCell ref="C50:D50"/>
    <mergeCell ref="C51:D51"/>
    <mergeCell ref="C59:D59"/>
    <mergeCell ref="C60:D60"/>
    <mergeCell ref="C68:D68"/>
    <mergeCell ref="C69:D69"/>
    <mergeCell ref="C10:D10"/>
    <mergeCell ref="A3:D3"/>
    <mergeCell ref="A4:D4"/>
    <mergeCell ref="A5:D5"/>
    <mergeCell ref="A6:A7"/>
    <mergeCell ref="C9:D9"/>
  </mergeCells>
  <pageMargins left="0.75" right="0.75" top="1" bottom="1" header="0.5" footer="0.5"/>
  <customProperties>
    <customPr name="_pios_id" r:id="rId1"/>
  </customProperties>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35CEE1-0D8F-4C0C-ABBE-9718764C9C8E}">
  <sheetPr codeName="Sheet77">
    <tabColor rgb="FF538DD5"/>
  </sheetPr>
  <dimension ref="A1:P337"/>
  <sheetViews>
    <sheetView workbookViewId="0">
      <pane xSplit="2" ySplit="6" topLeftCell="C7" activePane="bottomRight" state="frozen"/>
      <selection sqref="A1:B1"/>
      <selection pane="topRight" sqref="A1:B1"/>
      <selection pane="bottomLeft" sqref="A1:B1"/>
      <selection pane="bottomRight" sqref="A1:B1"/>
    </sheetView>
  </sheetViews>
  <sheetFormatPr defaultColWidth="11.5" defaultRowHeight="12.75" x14ac:dyDescent="0.2"/>
  <cols>
    <col min="1" max="1" width="3.875" style="1953" customWidth="1"/>
    <col min="2" max="2" width="44.625" style="1953" customWidth="1"/>
    <col min="3" max="3" width="8.625" style="1953" customWidth="1"/>
    <col min="4" max="5" width="10.125" style="1953" customWidth="1"/>
    <col min="6" max="6" width="15.875" style="1953" customWidth="1"/>
    <col min="7" max="7" width="14.125" style="1953" customWidth="1"/>
    <col min="8" max="15" width="13" style="1953" customWidth="1"/>
    <col min="16" max="26" width="17.625" style="1953" customWidth="1"/>
    <col min="27" max="16384" width="11.5" style="1953"/>
  </cols>
  <sheetData>
    <row r="1" spans="1:16" ht="15" customHeight="1" x14ac:dyDescent="0.2">
      <c r="A1" s="4059" t="s">
        <v>7058</v>
      </c>
      <c r="B1" s="4060"/>
    </row>
    <row r="2" spans="1:16" ht="27.6" customHeight="1" x14ac:dyDescent="0.2">
      <c r="A2" s="3860" t="s">
        <v>9370</v>
      </c>
      <c r="B2" s="3860"/>
      <c r="C2" s="3923"/>
      <c r="D2" s="3923"/>
      <c r="E2" s="3923"/>
      <c r="F2" s="3923"/>
      <c r="G2" s="3923"/>
      <c r="H2" s="3882" t="s">
        <v>9370</v>
      </c>
      <c r="I2" s="3891"/>
      <c r="J2" s="3891"/>
      <c r="K2" s="3891"/>
      <c r="L2" s="3891"/>
      <c r="M2" s="3891"/>
      <c r="N2" s="3891"/>
      <c r="O2" s="3892"/>
      <c r="P2" s="2479"/>
    </row>
    <row r="3" spans="1:16" ht="245.85" customHeight="1" x14ac:dyDescent="0.2">
      <c r="A3" s="3878" t="s">
        <v>9371</v>
      </c>
      <c r="B3" s="3879"/>
      <c r="C3" s="3879"/>
      <c r="D3" s="3879"/>
      <c r="E3" s="3879"/>
      <c r="F3" s="3879"/>
      <c r="G3" s="3880"/>
      <c r="H3" s="4061" t="s">
        <v>9372</v>
      </c>
      <c r="I3" s="4061"/>
      <c r="J3" s="4061"/>
      <c r="K3" s="4061"/>
      <c r="L3" s="4061"/>
      <c r="M3" s="4061"/>
      <c r="N3" s="4061"/>
      <c r="O3" s="4061"/>
      <c r="P3" s="2479"/>
    </row>
    <row r="4" spans="1:16" ht="15" customHeight="1" x14ac:dyDescent="0.2">
      <c r="A4" s="3860" t="s">
        <v>6360</v>
      </c>
      <c r="B4" s="4057" t="s">
        <v>9059</v>
      </c>
      <c r="C4" s="4058" t="s">
        <v>9373</v>
      </c>
      <c r="D4" s="3898" t="s">
        <v>9374</v>
      </c>
      <c r="E4" s="3898" t="s">
        <v>9375</v>
      </c>
      <c r="F4" s="3882" t="s">
        <v>9063</v>
      </c>
      <c r="G4" s="3884"/>
      <c r="H4" s="4062" t="s">
        <v>9376</v>
      </c>
      <c r="I4" s="4062" t="s">
        <v>9377</v>
      </c>
      <c r="J4" s="3882" t="s">
        <v>9378</v>
      </c>
      <c r="K4" s="3892"/>
      <c r="L4" s="3882" t="s">
        <v>9379</v>
      </c>
      <c r="M4" s="3891"/>
      <c r="N4" s="3891"/>
      <c r="O4" s="3892"/>
      <c r="P4" s="2479"/>
    </row>
    <row r="5" spans="1:16" ht="23.25" customHeight="1" x14ac:dyDescent="0.2">
      <c r="A5" s="3860"/>
      <c r="B5" s="4043"/>
      <c r="C5" s="3911"/>
      <c r="D5" s="3943"/>
      <c r="E5" s="3943"/>
      <c r="F5" s="2581" t="s">
        <v>9067</v>
      </c>
      <c r="G5" s="2581" t="s">
        <v>9068</v>
      </c>
      <c r="H5" s="4063"/>
      <c r="I5" s="4063"/>
      <c r="J5" s="2581" t="s">
        <v>9380</v>
      </c>
      <c r="K5" s="2581" t="s">
        <v>9381</v>
      </c>
      <c r="L5" s="2581" t="s">
        <v>9069</v>
      </c>
      <c r="M5" s="2581" t="s">
        <v>9070</v>
      </c>
      <c r="N5" s="2938" t="s">
        <v>9071</v>
      </c>
      <c r="O5" s="2939" t="s">
        <v>9382</v>
      </c>
      <c r="P5" s="2479"/>
    </row>
    <row r="6" spans="1:16" ht="13.35" customHeight="1" x14ac:dyDescent="0.2">
      <c r="A6" s="3860"/>
      <c r="B6" s="2940" t="s">
        <v>5949</v>
      </c>
      <c r="C6" s="2941" t="s">
        <v>5950</v>
      </c>
      <c r="D6" s="2589" t="s">
        <v>5951</v>
      </c>
      <c r="E6" s="2589" t="s">
        <v>5952</v>
      </c>
      <c r="F6" s="2589" t="s">
        <v>6227</v>
      </c>
      <c r="G6" s="2589" t="s">
        <v>5804</v>
      </c>
      <c r="H6" s="2633" t="s">
        <v>6228</v>
      </c>
      <c r="I6" s="2633" t="s">
        <v>6229</v>
      </c>
      <c r="J6" s="2589" t="s">
        <v>6230</v>
      </c>
      <c r="K6" s="2589" t="s">
        <v>6231</v>
      </c>
      <c r="L6" s="2589" t="s">
        <v>6232</v>
      </c>
      <c r="M6" s="2589" t="s">
        <v>6233</v>
      </c>
      <c r="N6" s="2940" t="s">
        <v>7035</v>
      </c>
      <c r="O6" s="2941" t="s">
        <v>8045</v>
      </c>
      <c r="P6" s="2479" t="s">
        <v>6324</v>
      </c>
    </row>
    <row r="7" spans="1:16" ht="16.7" customHeight="1" x14ac:dyDescent="0.2">
      <c r="A7" s="2634">
        <v>1</v>
      </c>
      <c r="B7" s="2512" t="s">
        <v>9383</v>
      </c>
      <c r="C7" s="2942" t="s">
        <v>196</v>
      </c>
      <c r="D7" s="2614"/>
      <c r="E7" s="2614"/>
      <c r="F7" s="2614"/>
      <c r="G7" s="2614"/>
      <c r="H7" s="2614"/>
      <c r="I7" s="2488"/>
      <c r="J7" s="2488"/>
      <c r="K7" s="2488"/>
      <c r="L7" s="2614"/>
      <c r="M7" s="2614"/>
      <c r="N7" s="2838">
        <v>15452</v>
      </c>
      <c r="O7" s="2527">
        <f t="shared" ref="O7:O70" si="0">SUM(L7:N7)</f>
        <v>15452</v>
      </c>
      <c r="P7" s="2479" t="str">
        <f t="shared" ref="P7:P70" si="1">CONCATENATE(A7,", ",B7,", ",C7)</f>
        <v>1, Adams Solar Center, LLC, AD</v>
      </c>
    </row>
    <row r="8" spans="1:16" ht="16.7" customHeight="1" x14ac:dyDescent="0.2">
      <c r="A8" s="2769">
        <f t="shared" ref="A8:A71" si="2">ROUND(A7+0.01,2)</f>
        <v>1.01</v>
      </c>
      <c r="B8" s="2512" t="s">
        <v>9383</v>
      </c>
      <c r="C8" s="2489" t="s">
        <v>191</v>
      </c>
      <c r="D8" s="2614"/>
      <c r="E8" s="2614"/>
      <c r="F8" s="2614"/>
      <c r="G8" s="2614"/>
      <c r="H8" s="2752">
        <v>20199</v>
      </c>
      <c r="I8" s="2488"/>
      <c r="J8" s="2488"/>
      <c r="K8" s="2488"/>
      <c r="L8" s="2488"/>
      <c r="M8" s="2530">
        <v>1510737</v>
      </c>
      <c r="N8" s="2943">
        <v>12133</v>
      </c>
      <c r="O8" s="2527">
        <f t="shared" si="0"/>
        <v>1522870</v>
      </c>
      <c r="P8" s="2479" t="str">
        <f t="shared" si="1"/>
        <v>1.01, Adams Solar Center, LLC, LU</v>
      </c>
    </row>
    <row r="9" spans="1:16" ht="16.7" customHeight="1" x14ac:dyDescent="0.2">
      <c r="A9" s="2769">
        <f t="shared" si="2"/>
        <v>1.02</v>
      </c>
      <c r="B9" s="2512" t="s">
        <v>9384</v>
      </c>
      <c r="C9" s="2489" t="s">
        <v>193</v>
      </c>
      <c r="D9" s="2614"/>
      <c r="E9" s="2614"/>
      <c r="F9" s="2614"/>
      <c r="G9" s="2614"/>
      <c r="H9" s="2614"/>
      <c r="I9" s="2488"/>
      <c r="J9" s="2488"/>
      <c r="K9" s="2488"/>
      <c r="L9" s="2488"/>
      <c r="M9" s="2614"/>
      <c r="N9" s="2531">
        <v>376250</v>
      </c>
      <c r="O9" s="2527">
        <f t="shared" si="0"/>
        <v>376250</v>
      </c>
      <c r="P9" s="2479" t="str">
        <f t="shared" si="1"/>
        <v>1.02, Airport Solar, LLC, OS</v>
      </c>
    </row>
    <row r="10" spans="1:16" ht="16.7" customHeight="1" x14ac:dyDescent="0.2">
      <c r="A10" s="2769">
        <f t="shared" si="2"/>
        <v>1.03</v>
      </c>
      <c r="B10" s="2512" t="s">
        <v>9082</v>
      </c>
      <c r="C10" s="2489" t="s">
        <v>190</v>
      </c>
      <c r="D10" s="2614"/>
      <c r="E10" s="2614"/>
      <c r="F10" s="2614"/>
      <c r="G10" s="2614"/>
      <c r="H10" s="2752">
        <v>22204</v>
      </c>
      <c r="I10" s="2488"/>
      <c r="J10" s="2488"/>
      <c r="K10" s="2488"/>
      <c r="L10" s="2488"/>
      <c r="M10" s="2530">
        <v>3561492</v>
      </c>
      <c r="N10" s="2488"/>
      <c r="O10" s="2527">
        <f t="shared" si="0"/>
        <v>3561492</v>
      </c>
      <c r="P10" s="2479" t="str">
        <f t="shared" si="1"/>
        <v>1.03, Altop Energy Trading, LLC, SF</v>
      </c>
    </row>
    <row r="11" spans="1:16" ht="16.7" customHeight="1" x14ac:dyDescent="0.2">
      <c r="A11" s="2769">
        <f t="shared" si="2"/>
        <v>1.04</v>
      </c>
      <c r="B11" s="2512" t="s">
        <v>9385</v>
      </c>
      <c r="C11" s="2489" t="s">
        <v>191</v>
      </c>
      <c r="D11" s="2614"/>
      <c r="E11" s="2614"/>
      <c r="F11" s="2614"/>
      <c r="G11" s="2614"/>
      <c r="H11" s="2752">
        <v>110923</v>
      </c>
      <c r="I11" s="2488"/>
      <c r="J11" s="2488"/>
      <c r="K11" s="2488"/>
      <c r="L11" s="2488"/>
      <c r="M11" s="2530">
        <v>6635224</v>
      </c>
      <c r="N11" s="2488"/>
      <c r="O11" s="2527">
        <f t="shared" si="0"/>
        <v>6635224</v>
      </c>
      <c r="P11" s="2479" t="str">
        <f t="shared" si="1"/>
        <v>1.04, Amor IX LLC, LU</v>
      </c>
    </row>
    <row r="12" spans="1:16" ht="16.7" customHeight="1" x14ac:dyDescent="0.2">
      <c r="A12" s="2769">
        <f t="shared" si="2"/>
        <v>1.05</v>
      </c>
      <c r="B12" s="2512" t="s">
        <v>9386</v>
      </c>
      <c r="C12" s="2489" t="s">
        <v>191</v>
      </c>
      <c r="D12" s="2614"/>
      <c r="E12" s="2614"/>
      <c r="F12" s="2614"/>
      <c r="G12" s="2614"/>
      <c r="H12" s="2752">
        <v>6422</v>
      </c>
      <c r="I12" s="2488"/>
      <c r="J12" s="2488"/>
      <c r="K12" s="2488"/>
      <c r="L12" s="2488"/>
      <c r="M12" s="2530">
        <v>141843</v>
      </c>
      <c r="N12" s="2839">
        <v>-368000</v>
      </c>
      <c r="O12" s="2527">
        <f t="shared" si="0"/>
        <v>-226157</v>
      </c>
      <c r="P12" s="2479" t="str">
        <f t="shared" si="1"/>
        <v>1.05, Appaloosa Solar I, LLC, LU</v>
      </c>
    </row>
    <row r="13" spans="1:16" ht="16.7" customHeight="1" x14ac:dyDescent="0.2">
      <c r="A13" s="2769">
        <f t="shared" si="2"/>
        <v>1.06</v>
      </c>
      <c r="B13" s="2512" t="s">
        <v>9387</v>
      </c>
      <c r="C13" s="2489" t="s">
        <v>191</v>
      </c>
      <c r="D13" s="2614"/>
      <c r="E13" s="2614"/>
      <c r="F13" s="2614"/>
      <c r="G13" s="2614"/>
      <c r="H13" s="2752">
        <v>3842</v>
      </c>
      <c r="I13" s="2488"/>
      <c r="J13" s="2488"/>
      <c r="K13" s="2488"/>
      <c r="L13" s="2488"/>
      <c r="M13" s="2530">
        <v>321651</v>
      </c>
      <c r="N13" s="2488"/>
      <c r="O13" s="2527">
        <f t="shared" si="0"/>
        <v>321651</v>
      </c>
      <c r="P13" s="2479" t="str">
        <f t="shared" si="1"/>
        <v>1.06, Apple, Inc., LU</v>
      </c>
    </row>
    <row r="14" spans="1:16" ht="16.7" customHeight="1" x14ac:dyDescent="0.2">
      <c r="A14" s="2769">
        <f t="shared" si="2"/>
        <v>1.07</v>
      </c>
      <c r="B14" s="2512" t="s">
        <v>9083</v>
      </c>
      <c r="C14" s="2489" t="s">
        <v>190</v>
      </c>
      <c r="D14" s="2614"/>
      <c r="E14" s="2614"/>
      <c r="F14" s="2614"/>
      <c r="G14" s="2614"/>
      <c r="H14" s="2752">
        <v>13859</v>
      </c>
      <c r="I14" s="2488"/>
      <c r="J14" s="2488"/>
      <c r="K14" s="2488"/>
      <c r="L14" s="2488"/>
      <c r="M14" s="2530">
        <v>649007</v>
      </c>
      <c r="N14" s="2488"/>
      <c r="O14" s="2527">
        <f t="shared" si="0"/>
        <v>649007</v>
      </c>
      <c r="P14" s="2479" t="str">
        <f t="shared" si="1"/>
        <v>1.07, Arizona Electric Power Cooperative, Inc., SF</v>
      </c>
    </row>
    <row r="15" spans="1:16" ht="16.7" customHeight="1" x14ac:dyDescent="0.2">
      <c r="A15" s="2769">
        <f t="shared" si="2"/>
        <v>1.08</v>
      </c>
      <c r="B15" s="2512" t="s">
        <v>9084</v>
      </c>
      <c r="C15" s="2489" t="s">
        <v>190</v>
      </c>
      <c r="D15" s="2614"/>
      <c r="E15" s="2614"/>
      <c r="F15" s="2614"/>
      <c r="G15" s="2614"/>
      <c r="H15" s="2752">
        <v>52141</v>
      </c>
      <c r="I15" s="2488"/>
      <c r="J15" s="2488"/>
      <c r="K15" s="2488"/>
      <c r="L15" s="2488"/>
      <c r="M15" s="2530">
        <v>2777810</v>
      </c>
      <c r="N15" s="2614"/>
      <c r="O15" s="2527">
        <f t="shared" si="0"/>
        <v>2777810</v>
      </c>
      <c r="P15" s="2479" t="str">
        <f t="shared" si="1"/>
        <v>1.08, Arizona Public Service Company, SF</v>
      </c>
    </row>
    <row r="16" spans="1:16" ht="16.7" customHeight="1" x14ac:dyDescent="0.2">
      <c r="A16" s="2769">
        <f t="shared" si="2"/>
        <v>1.0900000000000001</v>
      </c>
      <c r="B16" s="2512" t="s">
        <v>9084</v>
      </c>
      <c r="C16" s="2942" t="s">
        <v>196</v>
      </c>
      <c r="D16" s="2614"/>
      <c r="E16" s="2614"/>
      <c r="F16" s="2614"/>
      <c r="G16" s="2614"/>
      <c r="H16" s="2488"/>
      <c r="I16" s="2488"/>
      <c r="J16" s="2488"/>
      <c r="K16" s="2488"/>
      <c r="L16" s="2488"/>
      <c r="M16" s="2614"/>
      <c r="N16" s="2838">
        <v>-4635</v>
      </c>
      <c r="O16" s="2527">
        <f t="shared" si="0"/>
        <v>-4635</v>
      </c>
      <c r="P16" s="2479" t="str">
        <f t="shared" si="1"/>
        <v>1.09, Arizona Public Service Company, AD</v>
      </c>
    </row>
    <row r="17" spans="1:16" ht="16.7" customHeight="1" x14ac:dyDescent="0.2">
      <c r="A17" s="2769">
        <f t="shared" si="2"/>
        <v>1.1000000000000001</v>
      </c>
      <c r="B17" s="2512" t="s">
        <v>9085</v>
      </c>
      <c r="C17" s="2489" t="s">
        <v>190</v>
      </c>
      <c r="D17" s="2614"/>
      <c r="E17" s="2614"/>
      <c r="F17" s="2614"/>
      <c r="G17" s="2614"/>
      <c r="H17" s="2752">
        <v>1712608</v>
      </c>
      <c r="I17" s="2488"/>
      <c r="J17" s="2488"/>
      <c r="K17" s="2488"/>
      <c r="L17" s="2488"/>
      <c r="M17" s="2530">
        <v>159300962</v>
      </c>
      <c r="N17" s="2944">
        <v>945</v>
      </c>
      <c r="O17" s="2527">
        <f t="shared" si="0"/>
        <v>159301907</v>
      </c>
      <c r="P17" s="2479" t="str">
        <f t="shared" si="1"/>
        <v>1.1, Avangrid Renewables, LLC, SF</v>
      </c>
    </row>
    <row r="18" spans="1:16" ht="16.7" customHeight="1" x14ac:dyDescent="0.2">
      <c r="A18" s="2769">
        <f t="shared" si="2"/>
        <v>1.1100000000000001</v>
      </c>
      <c r="B18" s="2512" t="s">
        <v>9088</v>
      </c>
      <c r="C18" s="2489" t="s">
        <v>190</v>
      </c>
      <c r="D18" s="2614"/>
      <c r="E18" s="2614"/>
      <c r="F18" s="2614"/>
      <c r="G18" s="2614"/>
      <c r="H18" s="2752">
        <v>236930</v>
      </c>
      <c r="I18" s="2488"/>
      <c r="J18" s="2488"/>
      <c r="K18" s="2488"/>
      <c r="L18" s="2488"/>
      <c r="M18" s="2530">
        <v>23993203</v>
      </c>
      <c r="N18" s="2944">
        <v>4250</v>
      </c>
      <c r="O18" s="2527">
        <f t="shared" si="0"/>
        <v>23997453</v>
      </c>
      <c r="P18" s="2479" t="str">
        <f t="shared" si="1"/>
        <v>1.11, Avista Corporation, SF</v>
      </c>
    </row>
    <row r="19" spans="1:16" ht="16.7" customHeight="1" x14ac:dyDescent="0.2">
      <c r="A19" s="2769">
        <f t="shared" si="2"/>
        <v>1.1200000000000001</v>
      </c>
      <c r="B19" s="2512" t="s">
        <v>9388</v>
      </c>
      <c r="C19" s="2489" t="s">
        <v>190</v>
      </c>
      <c r="D19" s="2614"/>
      <c r="E19" s="2614"/>
      <c r="F19" s="2614"/>
      <c r="G19" s="2614"/>
      <c r="H19" s="2752">
        <v>8235</v>
      </c>
      <c r="I19" s="2488"/>
      <c r="J19" s="2488"/>
      <c r="K19" s="2488"/>
      <c r="L19" s="2488"/>
      <c r="M19" s="2530">
        <v>2742568</v>
      </c>
      <c r="N19" s="2488"/>
      <c r="O19" s="2527">
        <f t="shared" si="0"/>
        <v>2742568</v>
      </c>
      <c r="P19" s="2479" t="str">
        <f t="shared" si="1"/>
        <v>1.12, Basin Electric Power Cooperative, Inc., SF</v>
      </c>
    </row>
    <row r="20" spans="1:16" ht="16.7" customHeight="1" x14ac:dyDescent="0.2">
      <c r="A20" s="2769">
        <f t="shared" si="2"/>
        <v>1.1299999999999999</v>
      </c>
      <c r="B20" s="2512" t="s">
        <v>9389</v>
      </c>
      <c r="C20" s="2489" t="s">
        <v>191</v>
      </c>
      <c r="D20" s="2614"/>
      <c r="E20" s="2614"/>
      <c r="F20" s="2614"/>
      <c r="G20" s="2614"/>
      <c r="H20" s="2752">
        <v>16996</v>
      </c>
      <c r="I20" s="2488"/>
      <c r="J20" s="2488"/>
      <c r="K20" s="2488"/>
      <c r="L20" s="2488"/>
      <c r="M20" s="2530">
        <v>1276474</v>
      </c>
      <c r="N20" s="2488"/>
      <c r="O20" s="2527">
        <f t="shared" si="0"/>
        <v>1276474</v>
      </c>
      <c r="P20" s="2479" t="str">
        <f t="shared" si="1"/>
        <v>1.13, BC Solar, LLC, LU</v>
      </c>
    </row>
    <row r="21" spans="1:16" ht="14.1" customHeight="1" x14ac:dyDescent="0.2">
      <c r="A21" s="2769">
        <f t="shared" si="2"/>
        <v>1.1399999999999999</v>
      </c>
      <c r="B21" s="2512" t="s">
        <v>9390</v>
      </c>
      <c r="C21" s="2942" t="s">
        <v>196</v>
      </c>
      <c r="D21" s="2614"/>
      <c r="E21" s="2614"/>
      <c r="F21" s="2614"/>
      <c r="G21" s="2614"/>
      <c r="H21" s="2614"/>
      <c r="I21" s="2488"/>
      <c r="J21" s="2488"/>
      <c r="K21" s="2488"/>
      <c r="L21" s="2614"/>
      <c r="M21" s="2614"/>
      <c r="N21" s="2838">
        <v>15798</v>
      </c>
      <c r="O21" s="2527">
        <f t="shared" si="0"/>
        <v>15798</v>
      </c>
      <c r="P21" s="2479" t="str">
        <f t="shared" si="1"/>
        <v>1.14, Bear Creek Solar Center, LLC, AD</v>
      </c>
    </row>
    <row r="22" spans="1:16" ht="14.1" customHeight="1" x14ac:dyDescent="0.2">
      <c r="A22" s="2769">
        <f t="shared" si="2"/>
        <v>1.1499999999999999</v>
      </c>
      <c r="B22" s="2512" t="s">
        <v>9390</v>
      </c>
      <c r="C22" s="2489" t="s">
        <v>191</v>
      </c>
      <c r="D22" s="2614"/>
      <c r="E22" s="2614"/>
      <c r="F22" s="2614"/>
      <c r="G22" s="2614"/>
      <c r="H22" s="2752">
        <v>21953</v>
      </c>
      <c r="I22" s="2488"/>
      <c r="J22" s="2488"/>
      <c r="K22" s="2488"/>
      <c r="L22" s="2488"/>
      <c r="M22" s="2530">
        <v>1643068</v>
      </c>
      <c r="N22" s="2943">
        <v>16009</v>
      </c>
      <c r="O22" s="2527">
        <f t="shared" si="0"/>
        <v>1659077</v>
      </c>
      <c r="P22" s="2479" t="str">
        <f t="shared" si="1"/>
        <v>1.15, Bear Creek Solar Center, LLC, LU</v>
      </c>
    </row>
    <row r="23" spans="1:16" ht="14.1" customHeight="1" x14ac:dyDescent="0.2">
      <c r="A23" s="2769">
        <f t="shared" si="2"/>
        <v>1.1599999999999999</v>
      </c>
      <c r="B23" s="2512" t="s">
        <v>9391</v>
      </c>
      <c r="C23" s="2945" t="s">
        <v>188</v>
      </c>
      <c r="D23" s="2614"/>
      <c r="E23" s="2614"/>
      <c r="F23" s="2614"/>
      <c r="G23" s="2614"/>
      <c r="H23" s="2752">
        <v>17</v>
      </c>
      <c r="I23" s="2488"/>
      <c r="J23" s="2488"/>
      <c r="K23" s="2488"/>
      <c r="L23" s="2488"/>
      <c r="M23" s="2530">
        <v>3229</v>
      </c>
      <c r="N23" s="2488"/>
      <c r="O23" s="2527">
        <f t="shared" si="0"/>
        <v>3229</v>
      </c>
      <c r="P23" s="2479" t="str">
        <f t="shared" si="1"/>
        <v>1.16, Beaver City Corporation, LF</v>
      </c>
    </row>
    <row r="24" spans="1:16" ht="14.1" customHeight="1" x14ac:dyDescent="0.2">
      <c r="A24" s="2769">
        <f t="shared" si="2"/>
        <v>1.17</v>
      </c>
      <c r="B24" s="2512" t="s">
        <v>9392</v>
      </c>
      <c r="C24" s="2489" t="s">
        <v>191</v>
      </c>
      <c r="D24" s="2614"/>
      <c r="E24" s="2614"/>
      <c r="F24" s="2614"/>
      <c r="G24" s="2614"/>
      <c r="H24" s="2752">
        <v>577</v>
      </c>
      <c r="I24" s="2488"/>
      <c r="J24" s="2488"/>
      <c r="K24" s="2488"/>
      <c r="L24" s="2488"/>
      <c r="M24" s="2530">
        <v>50818</v>
      </c>
      <c r="N24" s="2488"/>
      <c r="O24" s="2527">
        <f t="shared" si="0"/>
        <v>50818</v>
      </c>
      <c r="P24" s="2479" t="str">
        <f t="shared" si="1"/>
        <v>1.17, Bell Mountain Hydro, LLC, LU</v>
      </c>
    </row>
    <row r="25" spans="1:16" ht="14.1" customHeight="1" x14ac:dyDescent="0.2">
      <c r="A25" s="2769">
        <f t="shared" si="2"/>
        <v>1.18</v>
      </c>
      <c r="B25" s="2512" t="s">
        <v>9393</v>
      </c>
      <c r="C25" s="2489" t="s">
        <v>191</v>
      </c>
      <c r="D25" s="2614"/>
      <c r="E25" s="2771">
        <v>3</v>
      </c>
      <c r="F25" s="2530">
        <v>3</v>
      </c>
      <c r="G25" s="2530">
        <v>1</v>
      </c>
      <c r="H25" s="2752">
        <v>6079</v>
      </c>
      <c r="I25" s="2488"/>
      <c r="J25" s="2488"/>
      <c r="K25" s="2488"/>
      <c r="L25" s="2530">
        <v>461065</v>
      </c>
      <c r="M25" s="2530">
        <v>362318</v>
      </c>
      <c r="N25" s="2488"/>
      <c r="O25" s="2527">
        <f t="shared" si="0"/>
        <v>823383</v>
      </c>
      <c r="P25" s="2479" t="str">
        <f t="shared" si="1"/>
        <v>1.18, Beryl Solar, LLC, LU</v>
      </c>
    </row>
    <row r="26" spans="1:16" ht="14.1" customHeight="1" x14ac:dyDescent="0.2">
      <c r="A26" s="2769">
        <f t="shared" si="2"/>
        <v>1.19</v>
      </c>
      <c r="B26" s="2512" t="s">
        <v>9394</v>
      </c>
      <c r="C26" s="2489" t="s">
        <v>191</v>
      </c>
      <c r="D26" s="2614"/>
      <c r="E26" s="2614"/>
      <c r="F26" s="2614"/>
      <c r="G26" s="2614"/>
      <c r="H26" s="2752">
        <v>3198</v>
      </c>
      <c r="I26" s="2488"/>
      <c r="J26" s="2488"/>
      <c r="K26" s="2488"/>
      <c r="L26" s="2488"/>
      <c r="M26" s="2530">
        <v>251966</v>
      </c>
      <c r="N26" s="2488"/>
      <c r="O26" s="2527">
        <f t="shared" si="0"/>
        <v>251966</v>
      </c>
      <c r="P26" s="2479" t="str">
        <f t="shared" si="1"/>
        <v>1.19, Big Top, LLC, LU</v>
      </c>
    </row>
    <row r="27" spans="1:16" ht="14.1" customHeight="1" x14ac:dyDescent="0.2">
      <c r="A27" s="2769">
        <f t="shared" si="2"/>
        <v>1.2</v>
      </c>
      <c r="B27" s="2512" t="s">
        <v>9395</v>
      </c>
      <c r="C27" s="2489" t="s">
        <v>191</v>
      </c>
      <c r="D27" s="2614"/>
      <c r="E27" s="2614"/>
      <c r="F27" s="2614"/>
      <c r="G27" s="2614"/>
      <c r="H27" s="2752">
        <v>136323</v>
      </c>
      <c r="I27" s="2488"/>
      <c r="J27" s="2488"/>
      <c r="K27" s="2488"/>
      <c r="L27" s="2488"/>
      <c r="M27" s="2530">
        <v>11642292</v>
      </c>
      <c r="N27" s="2488"/>
      <c r="O27" s="2527">
        <f t="shared" si="0"/>
        <v>11642292</v>
      </c>
      <c r="P27" s="2479" t="str">
        <f t="shared" si="1"/>
        <v>1.2, Biomass One, L.P., LU</v>
      </c>
    </row>
    <row r="28" spans="1:16" ht="14.1" customHeight="1" x14ac:dyDescent="0.2">
      <c r="A28" s="2769">
        <f t="shared" si="2"/>
        <v>1.21</v>
      </c>
      <c r="B28" s="2512" t="s">
        <v>9395</v>
      </c>
      <c r="C28" s="2942" t="s">
        <v>196</v>
      </c>
      <c r="D28" s="2614"/>
      <c r="E28" s="2614"/>
      <c r="F28" s="2614"/>
      <c r="G28" s="2614"/>
      <c r="H28" s="2752">
        <v>-558</v>
      </c>
      <c r="I28" s="2488"/>
      <c r="J28" s="2488"/>
      <c r="K28" s="2488"/>
      <c r="L28" s="2488"/>
      <c r="M28" s="2614"/>
      <c r="N28" s="2838">
        <v>-55600</v>
      </c>
      <c r="O28" s="2527">
        <f t="shared" si="0"/>
        <v>-55600</v>
      </c>
      <c r="P28" s="2479" t="str">
        <f t="shared" si="1"/>
        <v>1.21, Biomass One, L.P., AD</v>
      </c>
    </row>
    <row r="29" spans="1:16" ht="14.1" customHeight="1" x14ac:dyDescent="0.2">
      <c r="A29" s="2769">
        <f t="shared" si="2"/>
        <v>1.22</v>
      </c>
      <c r="B29" s="2512" t="s">
        <v>9395</v>
      </c>
      <c r="C29" s="2489" t="s">
        <v>193</v>
      </c>
      <c r="D29" s="2614"/>
      <c r="E29" s="2614"/>
      <c r="F29" s="2614"/>
      <c r="G29" s="2614"/>
      <c r="H29" s="2614"/>
      <c r="I29" s="2488"/>
      <c r="J29" s="2488"/>
      <c r="K29" s="2488"/>
      <c r="L29" s="2488"/>
      <c r="M29" s="2614"/>
      <c r="N29" s="2943">
        <v>262060</v>
      </c>
      <c r="O29" s="2527">
        <f t="shared" si="0"/>
        <v>262060</v>
      </c>
      <c r="P29" s="2479" t="str">
        <f t="shared" si="1"/>
        <v>1.22, Biomass One, L.P., OS</v>
      </c>
    </row>
    <row r="30" spans="1:16" ht="14.1" customHeight="1" x14ac:dyDescent="0.2">
      <c r="A30" s="2769">
        <f t="shared" si="2"/>
        <v>1.23</v>
      </c>
      <c r="B30" s="2512" t="s">
        <v>9396</v>
      </c>
      <c r="C30" s="2489" t="s">
        <v>191</v>
      </c>
      <c r="D30" s="2614"/>
      <c r="E30" s="2614"/>
      <c r="F30" s="2614"/>
      <c r="G30" s="2614"/>
      <c r="H30" s="2750">
        <v>21628</v>
      </c>
      <c r="I30" s="2488"/>
      <c r="J30" s="2488"/>
      <c r="K30" s="2488"/>
      <c r="L30" s="2488"/>
      <c r="M30" s="2530">
        <v>1172535</v>
      </c>
      <c r="N30" s="2488"/>
      <c r="O30" s="2527">
        <f t="shared" si="0"/>
        <v>1172535</v>
      </c>
      <c r="P30" s="2479" t="str">
        <f t="shared" si="1"/>
        <v>1.23, Birch Power Company, Inc., LU</v>
      </c>
    </row>
    <row r="31" spans="1:16" ht="14.1" customHeight="1" x14ac:dyDescent="0.2">
      <c r="A31" s="2769">
        <f t="shared" si="2"/>
        <v>1.24</v>
      </c>
      <c r="B31" s="2744" t="s">
        <v>9397</v>
      </c>
      <c r="C31" s="2489" t="s">
        <v>191</v>
      </c>
      <c r="D31" s="2614"/>
      <c r="E31" s="2614"/>
      <c r="F31" s="2614"/>
      <c r="G31" s="2614"/>
      <c r="H31" s="2752">
        <v>535</v>
      </c>
      <c r="I31" s="2488"/>
      <c r="J31" s="2488"/>
      <c r="K31" s="2488"/>
      <c r="L31" s="2488"/>
      <c r="M31" s="2530">
        <v>44448</v>
      </c>
      <c r="N31" s="2488"/>
      <c r="O31" s="2527">
        <f t="shared" si="0"/>
        <v>44448</v>
      </c>
      <c r="P31" s="2479" t="str">
        <f t="shared" si="1"/>
        <v>1.24, Black Cap Solar, LLC, LU</v>
      </c>
    </row>
    <row r="32" spans="1:16" ht="14.1" customHeight="1" x14ac:dyDescent="0.2">
      <c r="A32" s="2769">
        <f t="shared" si="2"/>
        <v>1.25</v>
      </c>
      <c r="B32" s="2512" t="s">
        <v>9090</v>
      </c>
      <c r="C32" s="2489" t="s">
        <v>190</v>
      </c>
      <c r="D32" s="2614"/>
      <c r="E32" s="2614"/>
      <c r="F32" s="2614"/>
      <c r="G32" s="2614"/>
      <c r="H32" s="2752">
        <v>22608</v>
      </c>
      <c r="I32" s="2488"/>
      <c r="J32" s="2488"/>
      <c r="K32" s="2488"/>
      <c r="L32" s="2488"/>
      <c r="M32" s="2530">
        <v>2372099</v>
      </c>
      <c r="N32" s="2488"/>
      <c r="O32" s="2527">
        <f t="shared" si="0"/>
        <v>2372099</v>
      </c>
      <c r="P32" s="2479" t="str">
        <f t="shared" si="1"/>
        <v>1.25, Black Hills Power, Inc., SF</v>
      </c>
    </row>
    <row r="33" spans="1:16" ht="14.1" customHeight="1" x14ac:dyDescent="0.2">
      <c r="A33" s="2769">
        <f t="shared" si="2"/>
        <v>1.26</v>
      </c>
      <c r="B33" s="2512" t="s">
        <v>9398</v>
      </c>
      <c r="C33" s="2942" t="s">
        <v>196</v>
      </c>
      <c r="D33" s="2614"/>
      <c r="E33" s="2614"/>
      <c r="F33" s="2614"/>
      <c r="G33" s="2614"/>
      <c r="H33" s="2614"/>
      <c r="I33" s="2488"/>
      <c r="J33" s="2488"/>
      <c r="K33" s="2488"/>
      <c r="L33" s="2488"/>
      <c r="M33" s="2614"/>
      <c r="N33" s="2838">
        <v>13628</v>
      </c>
      <c r="O33" s="2527">
        <f t="shared" si="0"/>
        <v>13628</v>
      </c>
      <c r="P33" s="2479" t="str">
        <f t="shared" si="1"/>
        <v>1.26, Bly Solar Center, LLC, AD</v>
      </c>
    </row>
    <row r="34" spans="1:16" ht="14.1" customHeight="1" x14ac:dyDescent="0.2">
      <c r="A34" s="2769">
        <f t="shared" si="2"/>
        <v>1.27</v>
      </c>
      <c r="B34" s="2512" t="s">
        <v>9398</v>
      </c>
      <c r="C34" s="2489" t="s">
        <v>191</v>
      </c>
      <c r="D34" s="2614"/>
      <c r="E34" s="2614"/>
      <c r="F34" s="2614"/>
      <c r="G34" s="2614"/>
      <c r="H34" s="2752">
        <v>18342</v>
      </c>
      <c r="I34" s="2488"/>
      <c r="J34" s="2488"/>
      <c r="K34" s="2488"/>
      <c r="L34" s="2488"/>
      <c r="M34" s="2530">
        <v>1373222</v>
      </c>
      <c r="N34" s="2943">
        <v>13509</v>
      </c>
      <c r="O34" s="2527">
        <f t="shared" si="0"/>
        <v>1386731</v>
      </c>
      <c r="P34" s="2479" t="str">
        <f t="shared" si="1"/>
        <v>1.27, Bly Solar Center, LLC, LU</v>
      </c>
    </row>
    <row r="35" spans="1:16" ht="14.1" customHeight="1" x14ac:dyDescent="0.2">
      <c r="A35" s="2769">
        <f t="shared" si="2"/>
        <v>1.28</v>
      </c>
      <c r="B35" s="2512" t="s">
        <v>9091</v>
      </c>
      <c r="C35" s="2489" t="s">
        <v>193</v>
      </c>
      <c r="D35" s="2614"/>
      <c r="E35" s="2614"/>
      <c r="F35" s="2614"/>
      <c r="G35" s="2614"/>
      <c r="H35" s="2614"/>
      <c r="I35" s="2488"/>
      <c r="J35" s="2488"/>
      <c r="K35" s="2488"/>
      <c r="L35" s="2614"/>
      <c r="M35" s="2614"/>
      <c r="N35" s="2946">
        <v>180914</v>
      </c>
      <c r="O35" s="2527">
        <f t="shared" si="0"/>
        <v>180914</v>
      </c>
      <c r="P35" s="2479" t="str">
        <f t="shared" si="1"/>
        <v>1.28, Bonneville Power Administration, OS</v>
      </c>
    </row>
    <row r="36" spans="1:16" ht="14.1" customHeight="1" x14ac:dyDescent="0.2">
      <c r="A36" s="2769">
        <f t="shared" si="2"/>
        <v>1.29</v>
      </c>
      <c r="B36" s="2512" t="s">
        <v>9091</v>
      </c>
      <c r="C36" s="2489" t="s">
        <v>190</v>
      </c>
      <c r="D36" s="2614"/>
      <c r="E36" s="2614"/>
      <c r="F36" s="2614"/>
      <c r="G36" s="2614"/>
      <c r="H36" s="2752">
        <v>367746</v>
      </c>
      <c r="I36" s="2488"/>
      <c r="J36" s="2488"/>
      <c r="K36" s="2488"/>
      <c r="L36" s="2488"/>
      <c r="M36" s="2530">
        <v>44166663</v>
      </c>
      <c r="N36" s="2944">
        <v>21675</v>
      </c>
      <c r="O36" s="2527">
        <f t="shared" si="0"/>
        <v>44188338</v>
      </c>
      <c r="P36" s="2479" t="str">
        <f t="shared" si="1"/>
        <v>1.29, Bonneville Power Administration, SF</v>
      </c>
    </row>
    <row r="37" spans="1:16" ht="14.1" customHeight="1" x14ac:dyDescent="0.2">
      <c r="A37" s="2769">
        <f t="shared" si="2"/>
        <v>1.3</v>
      </c>
      <c r="B37" s="2512" t="s">
        <v>9399</v>
      </c>
      <c r="C37" s="2489" t="s">
        <v>191</v>
      </c>
      <c r="D37" s="2614"/>
      <c r="E37" s="2614"/>
      <c r="F37" s="2614"/>
      <c r="G37" s="2614"/>
      <c r="H37" s="2752">
        <v>167</v>
      </c>
      <c r="I37" s="2488"/>
      <c r="J37" s="2488"/>
      <c r="K37" s="2488"/>
      <c r="L37" s="2488"/>
      <c r="M37" s="2530">
        <v>14274</v>
      </c>
      <c r="N37" s="2488"/>
      <c r="O37" s="2527">
        <f t="shared" si="0"/>
        <v>14274</v>
      </c>
      <c r="P37" s="2479" t="str">
        <f t="shared" si="1"/>
        <v>1.3, Bourdet, Peter M, LU</v>
      </c>
    </row>
    <row r="38" spans="1:16" ht="14.1" customHeight="1" x14ac:dyDescent="0.2">
      <c r="A38" s="2769">
        <f t="shared" si="2"/>
        <v>1.31</v>
      </c>
      <c r="B38" s="2512" t="s">
        <v>9400</v>
      </c>
      <c r="C38" s="2489" t="s">
        <v>191</v>
      </c>
      <c r="D38" s="2614"/>
      <c r="E38" s="2771">
        <v>0</v>
      </c>
      <c r="F38" s="2530">
        <v>5</v>
      </c>
      <c r="G38" s="2530">
        <v>2</v>
      </c>
      <c r="H38" s="2752">
        <v>17436</v>
      </c>
      <c r="I38" s="2488"/>
      <c r="J38" s="2488"/>
      <c r="K38" s="2488"/>
      <c r="L38" s="2488"/>
      <c r="M38" s="2530">
        <v>1060385</v>
      </c>
      <c r="N38" s="2488"/>
      <c r="O38" s="2527">
        <f t="shared" si="0"/>
        <v>1060385</v>
      </c>
      <c r="P38" s="2479" t="str">
        <f t="shared" si="1"/>
        <v>1.31, Box Canyon Limited Partnership, LU</v>
      </c>
    </row>
    <row r="39" spans="1:16" ht="14.1" customHeight="1" x14ac:dyDescent="0.2">
      <c r="A39" s="2769">
        <f t="shared" si="2"/>
        <v>1.32</v>
      </c>
      <c r="B39" s="2512" t="s">
        <v>9092</v>
      </c>
      <c r="C39" s="2489" t="s">
        <v>190</v>
      </c>
      <c r="D39" s="2614"/>
      <c r="E39" s="2614"/>
      <c r="F39" s="2614"/>
      <c r="G39" s="2614"/>
      <c r="H39" s="2752">
        <v>120126</v>
      </c>
      <c r="I39" s="2488"/>
      <c r="J39" s="2488"/>
      <c r="K39" s="2488"/>
      <c r="L39" s="2488"/>
      <c r="M39" s="2530">
        <v>8757698</v>
      </c>
      <c r="N39" s="2488"/>
      <c r="O39" s="2527">
        <f t="shared" si="0"/>
        <v>8757698</v>
      </c>
      <c r="P39" s="2479" t="str">
        <f t="shared" si="1"/>
        <v>1.32, BP Energy Company, SF</v>
      </c>
    </row>
    <row r="40" spans="1:16" ht="14.1" customHeight="1" x14ac:dyDescent="0.2">
      <c r="A40" s="2769">
        <f t="shared" si="2"/>
        <v>1.33</v>
      </c>
      <c r="B40" s="2512" t="s">
        <v>9401</v>
      </c>
      <c r="C40" s="2489" t="s">
        <v>192</v>
      </c>
      <c r="D40" s="2614"/>
      <c r="E40" s="2614"/>
      <c r="F40" s="2614"/>
      <c r="G40" s="2614"/>
      <c r="H40" s="2752">
        <v>38912</v>
      </c>
      <c r="I40" s="2488"/>
      <c r="J40" s="2488"/>
      <c r="K40" s="2488"/>
      <c r="L40" s="2488"/>
      <c r="M40" s="2530">
        <v>2444623</v>
      </c>
      <c r="N40" s="2488"/>
      <c r="O40" s="2527">
        <f t="shared" si="0"/>
        <v>2444623</v>
      </c>
      <c r="P40" s="2479" t="str">
        <f t="shared" si="1"/>
        <v>1.33, Brigham Young University - Idaho, IU</v>
      </c>
    </row>
    <row r="41" spans="1:16" ht="14.1" customHeight="1" x14ac:dyDescent="0.2">
      <c r="A41" s="2769">
        <f t="shared" si="2"/>
        <v>1.34</v>
      </c>
      <c r="B41" s="2512" t="s">
        <v>9094</v>
      </c>
      <c r="C41" s="2489" t="s">
        <v>190</v>
      </c>
      <c r="D41" s="2614"/>
      <c r="E41" s="2614"/>
      <c r="F41" s="2614"/>
      <c r="G41" s="2614"/>
      <c r="H41" s="2752">
        <v>8224</v>
      </c>
      <c r="I41" s="2488"/>
      <c r="J41" s="2488"/>
      <c r="K41" s="2488"/>
      <c r="L41" s="2488"/>
      <c r="M41" s="2530">
        <v>711380</v>
      </c>
      <c r="N41" s="2488"/>
      <c r="O41" s="2527">
        <f t="shared" si="0"/>
        <v>711380</v>
      </c>
      <c r="P41" s="2479" t="str">
        <f t="shared" si="1"/>
        <v>1.34, Brookfield Renewable Trading and Marketing LP, SF</v>
      </c>
    </row>
    <row r="42" spans="1:16" ht="14.1" customHeight="1" x14ac:dyDescent="0.2">
      <c r="A42" s="2769">
        <f t="shared" si="2"/>
        <v>1.35</v>
      </c>
      <c r="B42" s="2512" t="s">
        <v>9094</v>
      </c>
      <c r="C42" s="2942" t="s">
        <v>196</v>
      </c>
      <c r="D42" s="2614"/>
      <c r="E42" s="2614"/>
      <c r="F42" s="2614"/>
      <c r="G42" s="2614"/>
      <c r="H42" s="2614"/>
      <c r="I42" s="2488"/>
      <c r="J42" s="2488"/>
      <c r="K42" s="2488"/>
      <c r="L42" s="2488"/>
      <c r="M42" s="2614"/>
      <c r="N42" s="2838">
        <v>5</v>
      </c>
      <c r="O42" s="2527">
        <f t="shared" si="0"/>
        <v>5</v>
      </c>
      <c r="P42" s="2479" t="str">
        <f t="shared" si="1"/>
        <v>1.35, Brookfield Renewable Trading and Marketing LP, AD</v>
      </c>
    </row>
    <row r="43" spans="1:16" ht="14.1" customHeight="1" x14ac:dyDescent="0.2">
      <c r="A43" s="2769">
        <f t="shared" si="2"/>
        <v>1.36</v>
      </c>
      <c r="B43" s="2512" t="s">
        <v>9402</v>
      </c>
      <c r="C43" s="2489" t="s">
        <v>191</v>
      </c>
      <c r="D43" s="2614"/>
      <c r="E43" s="2771">
        <v>3</v>
      </c>
      <c r="F43" s="2530">
        <v>3</v>
      </c>
      <c r="G43" s="2530">
        <v>1</v>
      </c>
      <c r="H43" s="2752">
        <v>5901</v>
      </c>
      <c r="I43" s="2488"/>
      <c r="J43" s="2488"/>
      <c r="K43" s="2488"/>
      <c r="L43" s="2530">
        <v>463861</v>
      </c>
      <c r="M43" s="2530">
        <v>351727</v>
      </c>
      <c r="N43" s="2614"/>
      <c r="O43" s="2527">
        <f t="shared" si="0"/>
        <v>815588</v>
      </c>
      <c r="P43" s="2479" t="str">
        <f t="shared" si="1"/>
        <v>1.36, Buckhorn Solar, LLC, LU</v>
      </c>
    </row>
    <row r="44" spans="1:16" ht="14.1" customHeight="1" x14ac:dyDescent="0.2">
      <c r="A44" s="2769">
        <f t="shared" si="2"/>
        <v>1.37</v>
      </c>
      <c r="B44" s="2512" t="s">
        <v>9403</v>
      </c>
      <c r="C44" s="2489" t="s">
        <v>191</v>
      </c>
      <c r="D44" s="2614"/>
      <c r="E44" s="2614"/>
      <c r="F44" s="2614"/>
      <c r="G44" s="2614"/>
      <c r="H44" s="2750">
        <v>10511</v>
      </c>
      <c r="I44" s="2488"/>
      <c r="J44" s="2488"/>
      <c r="K44" s="2488"/>
      <c r="L44" s="2488"/>
      <c r="M44" s="2530">
        <v>826691</v>
      </c>
      <c r="N44" s="2488"/>
      <c r="O44" s="2527">
        <f t="shared" si="0"/>
        <v>826691</v>
      </c>
      <c r="P44" s="2479" t="str">
        <f t="shared" si="1"/>
        <v>1.37, Butter Creek Power, LLC, LU</v>
      </c>
    </row>
    <row r="45" spans="1:16" ht="14.1" customHeight="1" x14ac:dyDescent="0.2">
      <c r="A45" s="2769">
        <f t="shared" si="2"/>
        <v>1.38</v>
      </c>
      <c r="B45" s="2512" t="s">
        <v>9404</v>
      </c>
      <c r="C45" s="2489" t="s">
        <v>191</v>
      </c>
      <c r="D45" s="2614"/>
      <c r="E45" s="2614"/>
      <c r="F45" s="2614"/>
      <c r="G45" s="2614"/>
      <c r="H45" s="2752">
        <v>1081</v>
      </c>
      <c r="I45" s="2488"/>
      <c r="J45" s="2488"/>
      <c r="K45" s="2488"/>
      <c r="L45" s="2488"/>
      <c r="M45" s="2530">
        <v>91293</v>
      </c>
      <c r="N45" s="2488"/>
      <c r="O45" s="2527">
        <f t="shared" si="0"/>
        <v>91293</v>
      </c>
      <c r="P45" s="2479" t="str">
        <f t="shared" si="1"/>
        <v>1.38, C Drop Hydro, LLC, LU</v>
      </c>
    </row>
    <row r="46" spans="1:16" ht="14.1" customHeight="1" x14ac:dyDescent="0.2">
      <c r="A46" s="2769">
        <f t="shared" si="2"/>
        <v>1.39</v>
      </c>
      <c r="B46" s="2512" t="s">
        <v>9405</v>
      </c>
      <c r="C46" s="2489" t="s">
        <v>191</v>
      </c>
      <c r="D46" s="2614"/>
      <c r="E46" s="2614"/>
      <c r="F46" s="2614"/>
      <c r="G46" s="2614"/>
      <c r="H46" s="2752">
        <v>766</v>
      </c>
      <c r="I46" s="2488"/>
      <c r="J46" s="2488"/>
      <c r="K46" s="2488"/>
      <c r="L46" s="2488"/>
      <c r="M46" s="2530">
        <v>34438</v>
      </c>
      <c r="N46" s="2488"/>
      <c r="O46" s="2527">
        <f t="shared" si="0"/>
        <v>34438</v>
      </c>
      <c r="P46" s="2479" t="str">
        <f t="shared" si="1"/>
        <v>1.39, California schedule 136 Solar Customers, LU</v>
      </c>
    </row>
    <row r="47" spans="1:16" ht="14.1" customHeight="1" x14ac:dyDescent="0.2">
      <c r="A47" s="2769">
        <f t="shared" si="2"/>
        <v>1.4</v>
      </c>
      <c r="B47" s="2512" t="s">
        <v>9406</v>
      </c>
      <c r="C47" s="2489" t="s">
        <v>190</v>
      </c>
      <c r="D47" s="2614"/>
      <c r="E47" s="2614"/>
      <c r="F47" s="2614"/>
      <c r="G47" s="2614"/>
      <c r="H47" s="2752">
        <v>1897</v>
      </c>
      <c r="I47" s="2488"/>
      <c r="J47" s="2488"/>
      <c r="K47" s="2488"/>
      <c r="L47" s="2488"/>
      <c r="M47" s="2530">
        <v>166051</v>
      </c>
      <c r="N47" s="2488"/>
      <c r="O47" s="2527">
        <f t="shared" si="0"/>
        <v>166051</v>
      </c>
      <c r="P47" s="2479" t="str">
        <f t="shared" si="1"/>
        <v>1.4, California Independent System Operator Corporation, SF</v>
      </c>
    </row>
    <row r="48" spans="1:16" ht="14.1" customHeight="1" x14ac:dyDescent="0.2">
      <c r="A48" s="2769">
        <f t="shared" si="2"/>
        <v>1.41</v>
      </c>
      <c r="B48" s="2512" t="s">
        <v>9095</v>
      </c>
      <c r="C48" s="2489" t="s">
        <v>190</v>
      </c>
      <c r="D48" s="2614"/>
      <c r="E48" s="2614"/>
      <c r="F48" s="2614"/>
      <c r="G48" s="2614"/>
      <c r="H48" s="2752">
        <v>76706</v>
      </c>
      <c r="I48" s="2488"/>
      <c r="J48" s="2488"/>
      <c r="K48" s="2488"/>
      <c r="L48" s="2488"/>
      <c r="M48" s="2530">
        <v>3493213</v>
      </c>
      <c r="N48" s="2488"/>
      <c r="O48" s="2527">
        <f t="shared" si="0"/>
        <v>3493213</v>
      </c>
      <c r="P48" s="2479" t="str">
        <f t="shared" si="1"/>
        <v>1.41, Calpine Energy Services, L.P., SF</v>
      </c>
    </row>
    <row r="49" spans="1:16" ht="14.1" customHeight="1" x14ac:dyDescent="0.2">
      <c r="A49" s="2769">
        <f t="shared" si="2"/>
        <v>1.42</v>
      </c>
      <c r="B49" s="2512" t="s">
        <v>9407</v>
      </c>
      <c r="C49" s="2489" t="s">
        <v>193</v>
      </c>
      <c r="D49" s="2614"/>
      <c r="E49" s="2614"/>
      <c r="F49" s="2614"/>
      <c r="G49" s="2614"/>
      <c r="H49" s="2614"/>
      <c r="I49" s="2488"/>
      <c r="J49" s="2488"/>
      <c r="K49" s="2488"/>
      <c r="L49" s="2614"/>
      <c r="M49" s="2614"/>
      <c r="N49" s="2943">
        <v>133500</v>
      </c>
      <c r="O49" s="2527">
        <f t="shared" si="0"/>
        <v>133500</v>
      </c>
      <c r="P49" s="2479" t="str">
        <f t="shared" si="1"/>
        <v>1.42, Carbon Solutions, LLC, OS</v>
      </c>
    </row>
    <row r="50" spans="1:16" ht="14.1" customHeight="1" x14ac:dyDescent="0.2">
      <c r="A50" s="2769">
        <f t="shared" si="2"/>
        <v>1.43</v>
      </c>
      <c r="B50" s="2512" t="s">
        <v>9408</v>
      </c>
      <c r="C50" s="2489" t="s">
        <v>191</v>
      </c>
      <c r="D50" s="2614"/>
      <c r="E50" s="2614"/>
      <c r="F50" s="2614"/>
      <c r="G50" s="2614"/>
      <c r="H50" s="2752">
        <v>541217</v>
      </c>
      <c r="I50" s="2488"/>
      <c r="J50" s="2488"/>
      <c r="K50" s="2488"/>
      <c r="L50" s="2488"/>
      <c r="M50" s="2530">
        <v>9579542</v>
      </c>
      <c r="N50" s="2488"/>
      <c r="O50" s="2527">
        <f t="shared" si="0"/>
        <v>9579542</v>
      </c>
      <c r="P50" s="2479" t="str">
        <f t="shared" si="1"/>
        <v>1.43, Cedar Springs III, LLC, LU</v>
      </c>
    </row>
    <row r="51" spans="1:16" ht="14.1" customHeight="1" x14ac:dyDescent="0.2">
      <c r="A51" s="2769">
        <f t="shared" si="2"/>
        <v>1.44</v>
      </c>
      <c r="B51" s="2512" t="s">
        <v>9408</v>
      </c>
      <c r="C51" s="2942" t="s">
        <v>196</v>
      </c>
      <c r="D51" s="2614"/>
      <c r="E51" s="2614"/>
      <c r="F51" s="2614"/>
      <c r="G51" s="2614"/>
      <c r="H51" s="2614"/>
      <c r="I51" s="2488"/>
      <c r="J51" s="2488"/>
      <c r="K51" s="2488"/>
      <c r="L51" s="2488"/>
      <c r="M51" s="2614"/>
      <c r="N51" s="2838">
        <v>188127</v>
      </c>
      <c r="O51" s="2527">
        <f t="shared" si="0"/>
        <v>188127</v>
      </c>
      <c r="P51" s="2479" t="str">
        <f t="shared" si="1"/>
        <v>1.44, Cedar Springs III, LLC, AD</v>
      </c>
    </row>
    <row r="52" spans="1:16" ht="14.1" customHeight="1" x14ac:dyDescent="0.2">
      <c r="A52" s="2769">
        <f t="shared" si="2"/>
        <v>1.45</v>
      </c>
      <c r="B52" s="2512" t="s">
        <v>9409</v>
      </c>
      <c r="C52" s="2489" t="s">
        <v>191</v>
      </c>
      <c r="D52" s="2614"/>
      <c r="E52" s="2614"/>
      <c r="F52" s="2614"/>
      <c r="G52" s="2614"/>
      <c r="H52" s="2752">
        <v>763561</v>
      </c>
      <c r="I52" s="2488"/>
      <c r="J52" s="2488"/>
      <c r="K52" s="2488"/>
      <c r="L52" s="2488"/>
      <c r="M52" s="2530">
        <v>11835191</v>
      </c>
      <c r="N52" s="2488"/>
      <c r="O52" s="2527">
        <f t="shared" si="0"/>
        <v>11835191</v>
      </c>
      <c r="P52" s="2479" t="str">
        <f t="shared" si="1"/>
        <v>1.45, Cedar Springs Wind, LLC, LU</v>
      </c>
    </row>
    <row r="53" spans="1:16" ht="14.1" customHeight="1" x14ac:dyDescent="0.2">
      <c r="A53" s="2769">
        <f t="shared" si="2"/>
        <v>1.46</v>
      </c>
      <c r="B53" s="2512" t="s">
        <v>9409</v>
      </c>
      <c r="C53" s="2942" t="s">
        <v>196</v>
      </c>
      <c r="D53" s="2614"/>
      <c r="E53" s="2614"/>
      <c r="F53" s="2614"/>
      <c r="G53" s="2614"/>
      <c r="H53" s="2614"/>
      <c r="I53" s="2488"/>
      <c r="J53" s="2488"/>
      <c r="K53" s="2488"/>
      <c r="L53" s="2488"/>
      <c r="M53" s="2614"/>
      <c r="N53" s="2838">
        <v>481383</v>
      </c>
      <c r="O53" s="2527">
        <f t="shared" si="0"/>
        <v>481383</v>
      </c>
      <c r="P53" s="2479" t="str">
        <f t="shared" si="1"/>
        <v>1.46, Cedar Springs Wind, LLC, AD</v>
      </c>
    </row>
    <row r="54" spans="1:16" ht="14.1" customHeight="1" x14ac:dyDescent="0.2">
      <c r="A54" s="2769">
        <f t="shared" si="2"/>
        <v>1.47</v>
      </c>
      <c r="B54" s="2512" t="s">
        <v>9410</v>
      </c>
      <c r="C54" s="2489" t="s">
        <v>191</v>
      </c>
      <c r="D54" s="2614"/>
      <c r="E54" s="2771">
        <v>3</v>
      </c>
      <c r="F54" s="2530">
        <v>3</v>
      </c>
      <c r="G54" s="2530">
        <v>1</v>
      </c>
      <c r="H54" s="2752">
        <v>5889</v>
      </c>
      <c r="I54" s="2488"/>
      <c r="J54" s="2488"/>
      <c r="K54" s="2488"/>
      <c r="L54" s="2530">
        <v>458822</v>
      </c>
      <c r="M54" s="2530">
        <v>350977</v>
      </c>
      <c r="N54" s="2488"/>
      <c r="O54" s="2527">
        <f t="shared" si="0"/>
        <v>809799</v>
      </c>
      <c r="P54" s="2479" t="str">
        <f t="shared" si="1"/>
        <v>1.47, Cedar Valley Solar, LLC, LU</v>
      </c>
    </row>
    <row r="55" spans="1:16" ht="14.1" customHeight="1" x14ac:dyDescent="0.2">
      <c r="A55" s="2769">
        <f t="shared" si="2"/>
        <v>1.48</v>
      </c>
      <c r="B55" s="2512" t="s">
        <v>9411</v>
      </c>
      <c r="C55" s="2489" t="s">
        <v>191</v>
      </c>
      <c r="D55" s="2614"/>
      <c r="E55" s="2771">
        <v>0</v>
      </c>
      <c r="F55" s="2530">
        <v>3</v>
      </c>
      <c r="G55" s="2530">
        <v>3</v>
      </c>
      <c r="H55" s="2752">
        <v>27668</v>
      </c>
      <c r="I55" s="2488"/>
      <c r="J55" s="2488"/>
      <c r="K55" s="2488"/>
      <c r="L55" s="2488"/>
      <c r="M55" s="2530">
        <v>2534841</v>
      </c>
      <c r="N55" s="2488"/>
      <c r="O55" s="2527">
        <f t="shared" si="0"/>
        <v>2534841</v>
      </c>
      <c r="P55" s="2479" t="str">
        <f t="shared" si="1"/>
        <v>1.48, Central Oregon Irrigation District, LU</v>
      </c>
    </row>
    <row r="56" spans="1:16" ht="14.1" customHeight="1" x14ac:dyDescent="0.2">
      <c r="A56" s="2769">
        <f t="shared" si="2"/>
        <v>1.49</v>
      </c>
      <c r="B56" s="2512" t="s">
        <v>9411</v>
      </c>
      <c r="C56" s="2942" t="s">
        <v>196</v>
      </c>
      <c r="D56" s="2614"/>
      <c r="E56" s="2614"/>
      <c r="F56" s="2614"/>
      <c r="G56" s="2614"/>
      <c r="H56" s="2614"/>
      <c r="I56" s="2488"/>
      <c r="J56" s="2488"/>
      <c r="K56" s="2488"/>
      <c r="L56" s="2488"/>
      <c r="M56" s="2614"/>
      <c r="N56" s="2838">
        <v>4647</v>
      </c>
      <c r="O56" s="2527">
        <f t="shared" si="0"/>
        <v>4647</v>
      </c>
      <c r="P56" s="2479" t="str">
        <f t="shared" si="1"/>
        <v>1.49, Central Oregon Irrigation District, AD</v>
      </c>
    </row>
    <row r="57" spans="1:16" ht="14.1" customHeight="1" x14ac:dyDescent="0.2">
      <c r="A57" s="2769">
        <f t="shared" si="2"/>
        <v>1.5</v>
      </c>
      <c r="B57" s="2512" t="s">
        <v>9412</v>
      </c>
      <c r="C57" s="2489" t="s">
        <v>191</v>
      </c>
      <c r="D57" s="2614"/>
      <c r="E57" s="2614"/>
      <c r="F57" s="2614"/>
      <c r="G57" s="2614"/>
      <c r="H57" s="2752">
        <v>10962</v>
      </c>
      <c r="I57" s="2488"/>
      <c r="J57" s="2488"/>
      <c r="K57" s="2488"/>
      <c r="L57" s="2488"/>
      <c r="M57" s="2530">
        <v>462132</v>
      </c>
      <c r="N57" s="2614"/>
      <c r="O57" s="2527">
        <f t="shared" si="0"/>
        <v>462132</v>
      </c>
      <c r="P57" s="2479" t="str">
        <f t="shared" si="1"/>
        <v>1.5, Central Rivers Power US, LLC, LU</v>
      </c>
    </row>
    <row r="58" spans="1:16" ht="14.1" customHeight="1" x14ac:dyDescent="0.2">
      <c r="A58" s="2769">
        <f t="shared" si="2"/>
        <v>1.51</v>
      </c>
      <c r="B58" s="2512" t="s">
        <v>9413</v>
      </c>
      <c r="C58" s="2489" t="s">
        <v>191</v>
      </c>
      <c r="D58" s="2614"/>
      <c r="E58" s="2614"/>
      <c r="F58" s="2614"/>
      <c r="G58" s="2614"/>
      <c r="H58" s="2750">
        <v>416</v>
      </c>
      <c r="I58" s="2488"/>
      <c r="J58" s="2488"/>
      <c r="K58" s="2488"/>
      <c r="L58" s="2488"/>
      <c r="M58" s="2530">
        <v>40351</v>
      </c>
      <c r="N58" s="2488"/>
      <c r="O58" s="2527">
        <f t="shared" si="0"/>
        <v>40351</v>
      </c>
      <c r="P58" s="2479" t="str">
        <f t="shared" si="1"/>
        <v>1.51, Cherry Creek Solar, LLC, LU</v>
      </c>
    </row>
    <row r="59" spans="1:16" ht="14.1" customHeight="1" x14ac:dyDescent="0.2">
      <c r="A59" s="2769">
        <f t="shared" si="2"/>
        <v>1.52</v>
      </c>
      <c r="B59" s="2512" t="s">
        <v>9414</v>
      </c>
      <c r="C59" s="2489" t="s">
        <v>191</v>
      </c>
      <c r="D59" s="2614"/>
      <c r="E59" s="2614"/>
      <c r="F59" s="2614"/>
      <c r="G59" s="2614"/>
      <c r="H59" s="2752">
        <v>19277</v>
      </c>
      <c r="I59" s="2488"/>
      <c r="J59" s="2488"/>
      <c r="K59" s="2488"/>
      <c r="L59" s="2488"/>
      <c r="M59" s="2530">
        <v>1093189</v>
      </c>
      <c r="N59" s="2488"/>
      <c r="O59" s="2527">
        <f t="shared" si="0"/>
        <v>1093189</v>
      </c>
      <c r="P59" s="2479" t="str">
        <f t="shared" si="1"/>
        <v>1.52, Chiloquin Solar LLC, LU</v>
      </c>
    </row>
    <row r="60" spans="1:16" ht="14.1" customHeight="1" x14ac:dyDescent="0.2">
      <c r="A60" s="2769">
        <f t="shared" si="2"/>
        <v>1.53</v>
      </c>
      <c r="B60" s="2512" t="s">
        <v>9415</v>
      </c>
      <c r="C60" s="2489" t="s">
        <v>191</v>
      </c>
      <c r="D60" s="2614"/>
      <c r="E60" s="2614"/>
      <c r="F60" s="2614"/>
      <c r="G60" s="2614"/>
      <c r="H60" s="2752">
        <v>47797</v>
      </c>
      <c r="I60" s="2488"/>
      <c r="J60" s="2488"/>
      <c r="K60" s="2488"/>
      <c r="L60" s="2488"/>
      <c r="M60" s="2530">
        <v>3059825</v>
      </c>
      <c r="N60" s="2488"/>
      <c r="O60" s="2527">
        <f t="shared" si="0"/>
        <v>3059825</v>
      </c>
      <c r="P60" s="2479" t="str">
        <f t="shared" si="1"/>
        <v>1.53, Chopin Wind, LLC, LU</v>
      </c>
    </row>
    <row r="61" spans="1:16" ht="14.1" customHeight="1" x14ac:dyDescent="0.2">
      <c r="A61" s="2769">
        <f t="shared" si="2"/>
        <v>1.54</v>
      </c>
      <c r="B61" s="2512" t="s">
        <v>9096</v>
      </c>
      <c r="C61" s="2489" t="s">
        <v>190</v>
      </c>
      <c r="D61" s="2614"/>
      <c r="E61" s="2614"/>
      <c r="F61" s="2614"/>
      <c r="G61" s="2614"/>
      <c r="H61" s="2752">
        <v>425147</v>
      </c>
      <c r="I61" s="2488"/>
      <c r="J61" s="2488"/>
      <c r="K61" s="2488"/>
      <c r="L61" s="2488"/>
      <c r="M61" s="2530">
        <v>36706322</v>
      </c>
      <c r="N61" s="2488"/>
      <c r="O61" s="2527">
        <f t="shared" si="0"/>
        <v>36706322</v>
      </c>
      <c r="P61" s="2479" t="str">
        <f t="shared" si="1"/>
        <v>1.54, Citigroup Energy Inc., SF</v>
      </c>
    </row>
    <row r="62" spans="1:16" ht="14.1" customHeight="1" x14ac:dyDescent="0.2">
      <c r="A62" s="2769">
        <f t="shared" si="2"/>
        <v>1.55</v>
      </c>
      <c r="B62" s="2512" t="s">
        <v>9096</v>
      </c>
      <c r="C62" s="2942" t="s">
        <v>196</v>
      </c>
      <c r="D62" s="2614"/>
      <c r="E62" s="2614"/>
      <c r="F62" s="2614"/>
      <c r="G62" s="2614"/>
      <c r="H62" s="2752">
        <v>122</v>
      </c>
      <c r="I62" s="2488"/>
      <c r="J62" s="2488"/>
      <c r="K62" s="2488"/>
      <c r="L62" s="2488"/>
      <c r="M62" s="2488"/>
      <c r="N62" s="2838">
        <v>16497</v>
      </c>
      <c r="O62" s="2527">
        <f t="shared" si="0"/>
        <v>16497</v>
      </c>
      <c r="P62" s="2479" t="str">
        <f t="shared" si="1"/>
        <v>1.55, Citigroup Energy Inc., AD</v>
      </c>
    </row>
    <row r="63" spans="1:16" ht="14.1" customHeight="1" x14ac:dyDescent="0.2">
      <c r="A63" s="2769">
        <f t="shared" si="2"/>
        <v>1.56</v>
      </c>
      <c r="B63" s="2512" t="s">
        <v>9416</v>
      </c>
      <c r="C63" s="2489" t="s">
        <v>191</v>
      </c>
      <c r="D63" s="2614"/>
      <c r="E63" s="2614"/>
      <c r="F63" s="2614"/>
      <c r="G63" s="2614"/>
      <c r="H63" s="2752">
        <v>514</v>
      </c>
      <c r="I63" s="2488"/>
      <c r="J63" s="2488"/>
      <c r="K63" s="2488"/>
      <c r="L63" s="2614"/>
      <c r="M63" s="2530">
        <v>41825</v>
      </c>
      <c r="N63" s="2614"/>
      <c r="O63" s="2527">
        <f t="shared" si="0"/>
        <v>41825</v>
      </c>
      <c r="P63" s="2479" t="str">
        <f t="shared" si="1"/>
        <v>1.56, City of Albany, LU</v>
      </c>
    </row>
    <row r="64" spans="1:16" ht="14.1" customHeight="1" x14ac:dyDescent="0.2">
      <c r="A64" s="2769">
        <f t="shared" si="2"/>
        <v>1.57</v>
      </c>
      <c r="B64" s="2512" t="s">
        <v>9417</v>
      </c>
      <c r="C64" s="2489" t="s">
        <v>191</v>
      </c>
      <c r="D64" s="2614"/>
      <c r="E64" s="2614"/>
      <c r="F64" s="2614"/>
      <c r="G64" s="2614"/>
      <c r="H64" s="2752">
        <v>53</v>
      </c>
      <c r="I64" s="2488"/>
      <c r="J64" s="2488"/>
      <c r="K64" s="2488"/>
      <c r="L64" s="2488"/>
      <c r="M64" s="2530">
        <v>2905</v>
      </c>
      <c r="N64" s="2488"/>
      <c r="O64" s="2527">
        <f t="shared" si="0"/>
        <v>2905</v>
      </c>
      <c r="P64" s="2479" t="str">
        <f t="shared" si="1"/>
        <v>1.57, City of Astoria, LU</v>
      </c>
    </row>
    <row r="65" spans="1:16" ht="14.1" customHeight="1" x14ac:dyDescent="0.2">
      <c r="A65" s="2769">
        <f t="shared" si="2"/>
        <v>1.58</v>
      </c>
      <c r="B65" s="2512" t="s">
        <v>9097</v>
      </c>
      <c r="C65" s="2489" t="s">
        <v>190</v>
      </c>
      <c r="D65" s="2614"/>
      <c r="E65" s="2614"/>
      <c r="F65" s="2614"/>
      <c r="G65" s="2614"/>
      <c r="H65" s="2752">
        <v>11900</v>
      </c>
      <c r="I65" s="2488"/>
      <c r="J65" s="2488"/>
      <c r="K65" s="2488"/>
      <c r="L65" s="2488"/>
      <c r="M65" s="2530">
        <v>863052</v>
      </c>
      <c r="N65" s="2488"/>
      <c r="O65" s="2527">
        <f t="shared" si="0"/>
        <v>863052</v>
      </c>
      <c r="P65" s="2479" t="str">
        <f t="shared" si="1"/>
        <v>1.58, City of Burbank, SF</v>
      </c>
    </row>
    <row r="66" spans="1:16" ht="14.1" customHeight="1" x14ac:dyDescent="0.2">
      <c r="A66" s="2769">
        <f t="shared" si="2"/>
        <v>1.59</v>
      </c>
      <c r="B66" s="2512" t="s">
        <v>9099</v>
      </c>
      <c r="C66" s="2942" t="s">
        <v>196</v>
      </c>
      <c r="D66" s="2614"/>
      <c r="E66" s="2614"/>
      <c r="F66" s="2614"/>
      <c r="G66" s="2614"/>
      <c r="H66" s="2614"/>
      <c r="I66" s="2488"/>
      <c r="J66" s="2488"/>
      <c r="K66" s="2488"/>
      <c r="L66" s="2488"/>
      <c r="M66" s="2614"/>
      <c r="N66" s="2838">
        <v>-653</v>
      </c>
      <c r="O66" s="2527">
        <f t="shared" si="0"/>
        <v>-653</v>
      </c>
      <c r="P66" s="2479" t="str">
        <f t="shared" si="1"/>
        <v>1.59, City of Hurricane, AD</v>
      </c>
    </row>
    <row r="67" spans="1:16" ht="14.1" customHeight="1" x14ac:dyDescent="0.2">
      <c r="A67" s="2769">
        <f t="shared" si="2"/>
        <v>1.6</v>
      </c>
      <c r="B67" s="2512" t="s">
        <v>9099</v>
      </c>
      <c r="C67" s="2947" t="s">
        <v>188</v>
      </c>
      <c r="D67" s="2614"/>
      <c r="E67" s="2614"/>
      <c r="F67" s="2614"/>
      <c r="G67" s="2614"/>
      <c r="H67" s="2752">
        <v>2789</v>
      </c>
      <c r="I67" s="2488"/>
      <c r="J67" s="2488"/>
      <c r="K67" s="2488"/>
      <c r="L67" s="2488"/>
      <c r="M67" s="2530">
        <v>516724</v>
      </c>
      <c r="N67" s="2488"/>
      <c r="O67" s="2527">
        <f t="shared" si="0"/>
        <v>516724</v>
      </c>
      <c r="P67" s="2479" t="str">
        <f t="shared" si="1"/>
        <v>1.6, City of Hurricane, LF</v>
      </c>
    </row>
    <row r="68" spans="1:16" ht="14.1" customHeight="1" x14ac:dyDescent="0.2">
      <c r="A68" s="2769">
        <f t="shared" si="2"/>
        <v>1.61</v>
      </c>
      <c r="B68" s="2512" t="s">
        <v>9418</v>
      </c>
      <c r="C68" s="2489" t="s">
        <v>191</v>
      </c>
      <c r="D68" s="2614"/>
      <c r="E68" s="2614"/>
      <c r="F68" s="2614"/>
      <c r="G68" s="2614"/>
      <c r="H68" s="2752">
        <v>41444</v>
      </c>
      <c r="I68" s="2488"/>
      <c r="J68" s="2488"/>
      <c r="K68" s="2488"/>
      <c r="L68" s="2488"/>
      <c r="M68" s="2614"/>
      <c r="N68" s="2531">
        <v>2024268</v>
      </c>
      <c r="O68" s="2527">
        <f t="shared" si="0"/>
        <v>2024268</v>
      </c>
      <c r="P68" s="2479" t="str">
        <f t="shared" si="1"/>
        <v>1.61, City of Idaho Falls, Idaho, LU</v>
      </c>
    </row>
    <row r="69" spans="1:16" ht="14.1" customHeight="1" x14ac:dyDescent="0.2">
      <c r="A69" s="2769">
        <f t="shared" si="2"/>
        <v>1.62</v>
      </c>
      <c r="B69" s="2512" t="s">
        <v>9419</v>
      </c>
      <c r="C69" s="2489" t="s">
        <v>191</v>
      </c>
      <c r="D69" s="2614"/>
      <c r="E69" s="2614"/>
      <c r="F69" s="2614"/>
      <c r="G69" s="2614"/>
      <c r="H69" s="2752">
        <v>171</v>
      </c>
      <c r="I69" s="2488"/>
      <c r="J69" s="2488"/>
      <c r="K69" s="2488"/>
      <c r="L69" s="2488"/>
      <c r="M69" s="2530">
        <v>14303</v>
      </c>
      <c r="N69" s="2488"/>
      <c r="O69" s="2527">
        <f t="shared" si="0"/>
        <v>14303</v>
      </c>
      <c r="P69" s="2479" t="str">
        <f t="shared" si="1"/>
        <v>1.62, City of Portland, Portland Water Bureau, LU</v>
      </c>
    </row>
    <row r="70" spans="1:16" ht="14.1" customHeight="1" x14ac:dyDescent="0.2">
      <c r="A70" s="2769">
        <f t="shared" si="2"/>
        <v>1.63</v>
      </c>
      <c r="B70" s="2512" t="s">
        <v>9420</v>
      </c>
      <c r="C70" s="2489" t="s">
        <v>191</v>
      </c>
      <c r="D70" s="2614"/>
      <c r="E70" s="2614"/>
      <c r="F70" s="2614"/>
      <c r="G70" s="2614"/>
      <c r="H70" s="2752">
        <v>2247</v>
      </c>
      <c r="I70" s="2488"/>
      <c r="J70" s="2488"/>
      <c r="K70" s="2488"/>
      <c r="L70" s="2488"/>
      <c r="M70" s="2530">
        <v>152275</v>
      </c>
      <c r="N70" s="2488"/>
      <c r="O70" s="2527">
        <f t="shared" si="0"/>
        <v>152275</v>
      </c>
      <c r="P70" s="2479" t="str">
        <f t="shared" si="1"/>
        <v>1.63, City of Preston Idaho, LU</v>
      </c>
    </row>
    <row r="71" spans="1:16" ht="14.1" customHeight="1" x14ac:dyDescent="0.2">
      <c r="A71" s="2769">
        <f t="shared" si="2"/>
        <v>1.64</v>
      </c>
      <c r="B71" s="2512" t="s">
        <v>9101</v>
      </c>
      <c r="C71" s="2489" t="s">
        <v>190</v>
      </c>
      <c r="D71" s="2614"/>
      <c r="E71" s="2614"/>
      <c r="F71" s="2614"/>
      <c r="G71" s="2614"/>
      <c r="H71" s="2752">
        <v>500</v>
      </c>
      <c r="I71" s="2488"/>
      <c r="J71" s="2488"/>
      <c r="K71" s="2488"/>
      <c r="L71" s="2488"/>
      <c r="M71" s="2530">
        <v>27225</v>
      </c>
      <c r="N71" s="2614"/>
      <c r="O71" s="2527">
        <f t="shared" ref="O71:O134" si="3">SUM(L71:N71)</f>
        <v>27225</v>
      </c>
      <c r="P71" s="2479" t="str">
        <f t="shared" ref="P71:P134" si="4">CONCATENATE(A71,", ",B71,", ",C71)</f>
        <v>1.64, City of St. George, Utah, SF</v>
      </c>
    </row>
    <row r="72" spans="1:16" ht="14.1" customHeight="1" x14ac:dyDescent="0.2">
      <c r="A72" s="2769">
        <f t="shared" ref="A72:A135" si="5">ROUND(A71+0.01,2)</f>
        <v>1.65</v>
      </c>
      <c r="B72" s="2512" t="s">
        <v>9102</v>
      </c>
      <c r="C72" s="2489" t="s">
        <v>190</v>
      </c>
      <c r="D72" s="2614"/>
      <c r="E72" s="2614"/>
      <c r="F72" s="2614"/>
      <c r="G72" s="2614"/>
      <c r="H72" s="2750">
        <v>2000</v>
      </c>
      <c r="I72" s="2488"/>
      <c r="J72" s="2488"/>
      <c r="K72" s="2488"/>
      <c r="L72" s="2488"/>
      <c r="M72" s="2530">
        <v>166375</v>
      </c>
      <c r="N72" s="2488"/>
      <c r="O72" s="2527">
        <f t="shared" si="3"/>
        <v>166375</v>
      </c>
      <c r="P72" s="2479" t="str">
        <f t="shared" si="4"/>
        <v>1.65, Clatskanie People's Utility District, SF</v>
      </c>
    </row>
    <row r="73" spans="1:16" ht="14.1" customHeight="1" x14ac:dyDescent="0.2">
      <c r="A73" s="2769">
        <f t="shared" si="5"/>
        <v>1.66</v>
      </c>
      <c r="B73" s="2512" t="s">
        <v>9421</v>
      </c>
      <c r="C73" s="2489" t="s">
        <v>191</v>
      </c>
      <c r="D73" s="2614"/>
      <c r="E73" s="2614"/>
      <c r="F73" s="2614"/>
      <c r="G73" s="2614"/>
      <c r="H73" s="2752">
        <v>1624</v>
      </c>
      <c r="I73" s="2488"/>
      <c r="J73" s="2488"/>
      <c r="K73" s="2488"/>
      <c r="L73" s="2488"/>
      <c r="M73" s="2530">
        <v>78903</v>
      </c>
      <c r="N73" s="2488"/>
      <c r="O73" s="2527">
        <f t="shared" si="3"/>
        <v>78903</v>
      </c>
      <c r="P73" s="2479" t="str">
        <f t="shared" si="4"/>
        <v>1.66, Commercial Energy Management Inc., LU</v>
      </c>
    </row>
    <row r="74" spans="1:16" ht="14.1" customHeight="1" x14ac:dyDescent="0.2">
      <c r="A74" s="2769">
        <f t="shared" si="5"/>
        <v>1.67</v>
      </c>
      <c r="B74" s="2512" t="s">
        <v>9421</v>
      </c>
      <c r="C74" s="2942" t="s">
        <v>196</v>
      </c>
      <c r="D74" s="2614"/>
      <c r="E74" s="2614"/>
      <c r="F74" s="2614"/>
      <c r="G74" s="2614"/>
      <c r="H74" s="2614"/>
      <c r="I74" s="2488"/>
      <c r="J74" s="2488"/>
      <c r="K74" s="2488"/>
      <c r="L74" s="2488"/>
      <c r="M74" s="2614"/>
      <c r="N74" s="2838">
        <v>-4380</v>
      </c>
      <c r="O74" s="2527">
        <f t="shared" si="3"/>
        <v>-4380</v>
      </c>
      <c r="P74" s="2479" t="str">
        <f t="shared" si="4"/>
        <v>1.67, Commercial Energy Management Inc., AD</v>
      </c>
    </row>
    <row r="75" spans="1:16" ht="14.1" customHeight="1" x14ac:dyDescent="0.2">
      <c r="A75" s="2769">
        <f t="shared" si="5"/>
        <v>1.68</v>
      </c>
      <c r="B75" s="2512" t="s">
        <v>9422</v>
      </c>
      <c r="C75" s="2489" t="s">
        <v>191</v>
      </c>
      <c r="D75" s="2614"/>
      <c r="E75" s="2614"/>
      <c r="F75" s="2614"/>
      <c r="G75" s="2614"/>
      <c r="H75" s="2752">
        <v>201</v>
      </c>
      <c r="I75" s="2488"/>
      <c r="J75" s="2488"/>
      <c r="K75" s="2488"/>
      <c r="L75" s="2488"/>
      <c r="M75" s="2530">
        <v>16432</v>
      </c>
      <c r="N75" s="2488"/>
      <c r="O75" s="2527">
        <f t="shared" si="3"/>
        <v>16432</v>
      </c>
      <c r="P75" s="2479" t="str">
        <f t="shared" si="4"/>
        <v>1.68, Confederate Tribes of Warm Springs, LU</v>
      </c>
    </row>
    <row r="76" spans="1:16" ht="14.1" customHeight="1" x14ac:dyDescent="0.2">
      <c r="A76" s="2769">
        <f t="shared" si="5"/>
        <v>1.69</v>
      </c>
      <c r="B76" s="2512" t="s">
        <v>9103</v>
      </c>
      <c r="C76" s="2489" t="s">
        <v>190</v>
      </c>
      <c r="D76" s="2614"/>
      <c r="E76" s="2614"/>
      <c r="F76" s="2614"/>
      <c r="G76" s="2614"/>
      <c r="H76" s="2752">
        <v>226189</v>
      </c>
      <c r="I76" s="2488"/>
      <c r="J76" s="2488"/>
      <c r="K76" s="2488"/>
      <c r="L76" s="2488"/>
      <c r="M76" s="2530">
        <v>32559444</v>
      </c>
      <c r="N76" s="2488"/>
      <c r="O76" s="2527">
        <f t="shared" si="3"/>
        <v>32559444</v>
      </c>
      <c r="P76" s="2479" t="str">
        <f t="shared" si="4"/>
        <v>1.69, ConocoPhillips Company, SF</v>
      </c>
    </row>
    <row r="77" spans="1:16" ht="14.1" customHeight="1" x14ac:dyDescent="0.2">
      <c r="A77" s="2769">
        <f t="shared" si="5"/>
        <v>1.7</v>
      </c>
      <c r="B77" s="2512" t="s">
        <v>9423</v>
      </c>
      <c r="C77" s="2489" t="s">
        <v>191</v>
      </c>
      <c r="D77" s="2614"/>
      <c r="E77" s="2614"/>
      <c r="F77" s="2614"/>
      <c r="G77" s="2614"/>
      <c r="H77" s="2752">
        <v>1755</v>
      </c>
      <c r="I77" s="2488"/>
      <c r="J77" s="2488"/>
      <c r="K77" s="2488"/>
      <c r="L77" s="2614"/>
      <c r="M77" s="2530">
        <v>136960</v>
      </c>
      <c r="N77" s="2614"/>
      <c r="O77" s="2527">
        <f t="shared" si="3"/>
        <v>136960</v>
      </c>
      <c r="P77" s="2479" t="str">
        <f t="shared" si="4"/>
        <v>1.7, Consolidated Irrigation Company, LU</v>
      </c>
    </row>
    <row r="78" spans="1:16" ht="14.1" customHeight="1" x14ac:dyDescent="0.2">
      <c r="A78" s="2769">
        <f t="shared" si="5"/>
        <v>1.71</v>
      </c>
      <c r="B78" s="2512" t="s">
        <v>9423</v>
      </c>
      <c r="C78" s="2942" t="s">
        <v>196</v>
      </c>
      <c r="D78" s="2614"/>
      <c r="E78" s="2614"/>
      <c r="F78" s="2614"/>
      <c r="G78" s="2614"/>
      <c r="H78" s="2614"/>
      <c r="I78" s="2488"/>
      <c r="J78" s="2488"/>
      <c r="K78" s="2488"/>
      <c r="L78" s="2488"/>
      <c r="M78" s="2488"/>
      <c r="N78" s="2838">
        <v>-8315</v>
      </c>
      <c r="O78" s="2527">
        <f t="shared" si="3"/>
        <v>-8315</v>
      </c>
      <c r="P78" s="2479" t="str">
        <f t="shared" si="4"/>
        <v>1.71, Consolidated Irrigation Company, AD</v>
      </c>
    </row>
    <row r="79" spans="1:16" ht="14.1" customHeight="1" x14ac:dyDescent="0.2">
      <c r="A79" s="2769">
        <f t="shared" si="5"/>
        <v>1.72</v>
      </c>
      <c r="B79" s="2512" t="s">
        <v>9104</v>
      </c>
      <c r="C79" s="2489" t="s">
        <v>190</v>
      </c>
      <c r="D79" s="2614"/>
      <c r="E79" s="2614"/>
      <c r="F79" s="2614"/>
      <c r="G79" s="2614"/>
      <c r="H79" s="2752">
        <v>100601</v>
      </c>
      <c r="I79" s="2488"/>
      <c r="J79" s="2488"/>
      <c r="K79" s="2488"/>
      <c r="L79" s="2488"/>
      <c r="M79" s="2530">
        <v>11601018</v>
      </c>
      <c r="N79" s="2488"/>
      <c r="O79" s="2527">
        <f t="shared" si="3"/>
        <v>11601018</v>
      </c>
      <c r="P79" s="2479" t="str">
        <f t="shared" si="4"/>
        <v>1.72, Constellation Energy Generation, LLC, SF</v>
      </c>
    </row>
    <row r="80" spans="1:16" ht="14.1" customHeight="1" x14ac:dyDescent="0.2">
      <c r="A80" s="2769">
        <f t="shared" si="5"/>
        <v>1.73</v>
      </c>
      <c r="B80" s="2512" t="s">
        <v>9424</v>
      </c>
      <c r="C80" s="2489" t="s">
        <v>192</v>
      </c>
      <c r="D80" s="2614"/>
      <c r="E80" s="2614"/>
      <c r="F80" s="2614"/>
      <c r="G80" s="2614"/>
      <c r="H80" s="2752">
        <v>3624</v>
      </c>
      <c r="I80" s="2488"/>
      <c r="J80" s="2488"/>
      <c r="K80" s="2488"/>
      <c r="L80" s="2488"/>
      <c r="M80" s="2530">
        <v>174260</v>
      </c>
      <c r="N80" s="2488"/>
      <c r="O80" s="2527">
        <f t="shared" si="3"/>
        <v>174260</v>
      </c>
      <c r="P80" s="2479" t="str">
        <f t="shared" si="4"/>
        <v>1.73, Cottonwood Hydro, LLC, IU</v>
      </c>
    </row>
    <row r="81" spans="1:16" ht="14.1" customHeight="1" x14ac:dyDescent="0.2">
      <c r="A81" s="2769">
        <f t="shared" si="5"/>
        <v>1.74</v>
      </c>
      <c r="B81" s="2512" t="s">
        <v>9425</v>
      </c>
      <c r="C81" s="2489" t="s">
        <v>191</v>
      </c>
      <c r="D81" s="2614"/>
      <c r="E81" s="2614"/>
      <c r="F81" s="2614"/>
      <c r="G81" s="2614"/>
      <c r="H81" s="2752">
        <v>329850</v>
      </c>
      <c r="I81" s="2488"/>
      <c r="J81" s="2488"/>
      <c r="K81" s="2488"/>
      <c r="L81" s="2488"/>
      <c r="M81" s="2530">
        <v>9413916</v>
      </c>
      <c r="N81" s="2488"/>
      <c r="O81" s="2527">
        <f t="shared" si="3"/>
        <v>9413916</v>
      </c>
      <c r="P81" s="2479" t="str">
        <f t="shared" si="4"/>
        <v>1.74, Cove Mountain Solar 2, LLC, LU</v>
      </c>
    </row>
    <row r="82" spans="1:16" ht="14.1" customHeight="1" x14ac:dyDescent="0.2">
      <c r="A82" s="2769">
        <f t="shared" si="5"/>
        <v>1.75</v>
      </c>
      <c r="B82" s="2512" t="s">
        <v>9426</v>
      </c>
      <c r="C82" s="2489" t="s">
        <v>191</v>
      </c>
      <c r="D82" s="2614"/>
      <c r="E82" s="2614"/>
      <c r="F82" s="2614"/>
      <c r="G82" s="2614"/>
      <c r="H82" s="2752">
        <v>157959</v>
      </c>
      <c r="I82" s="2488"/>
      <c r="J82" s="2488"/>
      <c r="K82" s="2488"/>
      <c r="L82" s="2488"/>
      <c r="M82" s="2530">
        <v>3814700</v>
      </c>
      <c r="N82" s="2943">
        <v>2348792</v>
      </c>
      <c r="O82" s="2527">
        <f t="shared" si="3"/>
        <v>6163492</v>
      </c>
      <c r="P82" s="2479" t="str">
        <f t="shared" si="4"/>
        <v>1.75, Cove Mountain Solar, LLC, LU</v>
      </c>
    </row>
    <row r="83" spans="1:16" ht="14.1" customHeight="1" x14ac:dyDescent="0.2">
      <c r="A83" s="2769">
        <f t="shared" si="5"/>
        <v>1.76</v>
      </c>
      <c r="B83" s="2512" t="s">
        <v>9105</v>
      </c>
      <c r="C83" s="2489" t="s">
        <v>190</v>
      </c>
      <c r="D83" s="2614"/>
      <c r="E83" s="2614"/>
      <c r="F83" s="2614"/>
      <c r="G83" s="2614"/>
      <c r="H83" s="2752">
        <v>13509</v>
      </c>
      <c r="I83" s="2488"/>
      <c r="J83" s="2488"/>
      <c r="K83" s="2488"/>
      <c r="L83" s="2488"/>
      <c r="M83" s="2530">
        <v>1977451</v>
      </c>
      <c r="N83" s="2488"/>
      <c r="O83" s="2527">
        <f t="shared" si="3"/>
        <v>1977451</v>
      </c>
      <c r="P83" s="2479" t="str">
        <f t="shared" si="4"/>
        <v>1.76, CP Energy Marketing (US) Inc., SF</v>
      </c>
    </row>
    <row r="84" spans="1:16" ht="14.1" customHeight="1" x14ac:dyDescent="0.2">
      <c r="A84" s="2769">
        <f t="shared" si="5"/>
        <v>1.77</v>
      </c>
      <c r="B84" s="2512" t="s">
        <v>9427</v>
      </c>
      <c r="C84" s="2489" t="s">
        <v>191</v>
      </c>
      <c r="D84" s="2614"/>
      <c r="E84" s="2614"/>
      <c r="F84" s="2614"/>
      <c r="G84" s="2614"/>
      <c r="H84" s="2752">
        <v>1000</v>
      </c>
      <c r="I84" s="2488"/>
      <c r="J84" s="2488"/>
      <c r="K84" s="2488"/>
      <c r="L84" s="2488"/>
      <c r="M84" s="2530">
        <v>84556</v>
      </c>
      <c r="N84" s="2488"/>
      <c r="O84" s="2527">
        <f t="shared" si="3"/>
        <v>84556</v>
      </c>
      <c r="P84" s="2479" t="str">
        <f t="shared" si="4"/>
        <v>1.77, Crook County Solar 1, LLC, LU</v>
      </c>
    </row>
    <row r="85" spans="1:16" ht="14.1" customHeight="1" x14ac:dyDescent="0.2">
      <c r="A85" s="2769">
        <f t="shared" si="5"/>
        <v>1.78</v>
      </c>
      <c r="B85" s="2512" t="s">
        <v>9428</v>
      </c>
      <c r="C85" s="2489" t="s">
        <v>191</v>
      </c>
      <c r="D85" s="2614"/>
      <c r="E85" s="2771">
        <v>0</v>
      </c>
      <c r="F85" s="2530">
        <v>3</v>
      </c>
      <c r="G85" s="2530">
        <v>3</v>
      </c>
      <c r="H85" s="2752">
        <v>24337</v>
      </c>
      <c r="I85" s="2488"/>
      <c r="J85" s="2488"/>
      <c r="K85" s="2488"/>
      <c r="L85" s="2488"/>
      <c r="M85" s="2530">
        <v>751773</v>
      </c>
      <c r="N85" s="2614"/>
      <c r="O85" s="2527">
        <f t="shared" si="3"/>
        <v>751773</v>
      </c>
      <c r="P85" s="2479" t="str">
        <f t="shared" si="4"/>
        <v>1.78, Deschutes Valley Water District, LU</v>
      </c>
    </row>
    <row r="86" spans="1:16" ht="14.1" customHeight="1" x14ac:dyDescent="0.2">
      <c r="A86" s="2769">
        <f t="shared" si="5"/>
        <v>1.79</v>
      </c>
      <c r="B86" s="2512" t="s">
        <v>9429</v>
      </c>
      <c r="C86" s="2947" t="s">
        <v>191</v>
      </c>
      <c r="D86" s="2614"/>
      <c r="E86" s="2771">
        <v>100</v>
      </c>
      <c r="F86" s="2530">
        <v>100</v>
      </c>
      <c r="G86" s="2530">
        <v>100</v>
      </c>
      <c r="H86" s="2750">
        <v>665719</v>
      </c>
      <c r="I86" s="2488"/>
      <c r="J86" s="2488"/>
      <c r="K86" s="2488"/>
      <c r="L86" s="2530">
        <v>20256000</v>
      </c>
      <c r="M86" s="2530">
        <v>17203044</v>
      </c>
      <c r="N86" s="2531">
        <v>5160000</v>
      </c>
      <c r="O86" s="2527">
        <f t="shared" si="3"/>
        <v>42619044</v>
      </c>
      <c r="P86" s="2479" t="str">
        <f t="shared" si="4"/>
        <v>1.79, Deseret Generation &amp; Transmission Cooperative, LU</v>
      </c>
    </row>
    <row r="87" spans="1:16" ht="14.1" customHeight="1" x14ac:dyDescent="0.2">
      <c r="A87" s="2769">
        <f t="shared" si="5"/>
        <v>1.8</v>
      </c>
      <c r="B87" s="2512" t="s">
        <v>9430</v>
      </c>
      <c r="C87" s="2489" t="s">
        <v>191</v>
      </c>
      <c r="D87" s="2614"/>
      <c r="E87" s="2614"/>
      <c r="F87" s="2614"/>
      <c r="G87" s="2614"/>
      <c r="H87" s="2752">
        <v>11139</v>
      </c>
      <c r="I87" s="2488"/>
      <c r="J87" s="2488"/>
      <c r="K87" s="2488"/>
      <c r="L87" s="2488"/>
      <c r="M87" s="2530">
        <v>933461</v>
      </c>
      <c r="N87" s="2488"/>
      <c r="O87" s="2527">
        <f t="shared" si="3"/>
        <v>933461</v>
      </c>
      <c r="P87" s="2479" t="str">
        <f t="shared" si="4"/>
        <v>1.8, Dorena Hydro, LLC, LU</v>
      </c>
    </row>
    <row r="88" spans="1:16" ht="14.1" customHeight="1" x14ac:dyDescent="0.2">
      <c r="A88" s="2769">
        <f t="shared" si="5"/>
        <v>1.81</v>
      </c>
      <c r="B88" s="2512" t="s">
        <v>9431</v>
      </c>
      <c r="C88" s="2489" t="s">
        <v>191</v>
      </c>
      <c r="D88" s="2614"/>
      <c r="E88" s="2614"/>
      <c r="F88" s="2614"/>
      <c r="G88" s="2614"/>
      <c r="H88" s="2752">
        <v>897</v>
      </c>
      <c r="I88" s="2488"/>
      <c r="J88" s="2488"/>
      <c r="K88" s="2488"/>
      <c r="L88" s="2488"/>
      <c r="M88" s="2530">
        <v>73666</v>
      </c>
      <c r="N88" s="2488"/>
      <c r="O88" s="2527">
        <f t="shared" si="3"/>
        <v>73666</v>
      </c>
      <c r="P88" s="2479" t="str">
        <f t="shared" si="4"/>
        <v>1.81, Douglas Co., Inc. dba Douglas Co. Forest Products, LU</v>
      </c>
    </row>
    <row r="89" spans="1:16" ht="14.1" customHeight="1" x14ac:dyDescent="0.2">
      <c r="A89" s="2769">
        <f t="shared" si="5"/>
        <v>1.82</v>
      </c>
      <c r="B89" s="2512" t="s">
        <v>9432</v>
      </c>
      <c r="C89" s="2489" t="s">
        <v>192</v>
      </c>
      <c r="D89" s="2614"/>
      <c r="E89" s="2614"/>
      <c r="F89" s="2614"/>
      <c r="G89" s="2614"/>
      <c r="H89" s="2752">
        <v>555</v>
      </c>
      <c r="I89" s="2488"/>
      <c r="J89" s="2488"/>
      <c r="K89" s="2488"/>
      <c r="L89" s="2488"/>
      <c r="M89" s="2530">
        <v>44552</v>
      </c>
      <c r="N89" s="2488"/>
      <c r="O89" s="2527">
        <f t="shared" si="3"/>
        <v>44552</v>
      </c>
      <c r="P89" s="2479" t="str">
        <f t="shared" si="4"/>
        <v>1.82, Draper Irrigation Company, IU</v>
      </c>
    </row>
    <row r="90" spans="1:16" ht="14.1" customHeight="1" x14ac:dyDescent="0.2">
      <c r="A90" s="2769">
        <f t="shared" si="5"/>
        <v>1.83</v>
      </c>
      <c r="B90" s="2512" t="s">
        <v>9106</v>
      </c>
      <c r="C90" s="2489" t="s">
        <v>190</v>
      </c>
      <c r="D90" s="2614"/>
      <c r="E90" s="2614"/>
      <c r="F90" s="2614"/>
      <c r="G90" s="2614"/>
      <c r="H90" s="2752">
        <v>326615</v>
      </c>
      <c r="I90" s="2488"/>
      <c r="J90" s="2488"/>
      <c r="K90" s="2488"/>
      <c r="L90" s="2488"/>
      <c r="M90" s="2530">
        <v>44871995</v>
      </c>
      <c r="N90" s="2488"/>
      <c r="O90" s="2527">
        <f t="shared" si="3"/>
        <v>44871995</v>
      </c>
      <c r="P90" s="2479" t="str">
        <f t="shared" si="4"/>
        <v>1.83, Dynasty Power Inc., SF</v>
      </c>
    </row>
    <row r="91" spans="1:16" ht="14.1" customHeight="1" x14ac:dyDescent="0.2">
      <c r="A91" s="2769">
        <f t="shared" si="5"/>
        <v>1.84</v>
      </c>
      <c r="B91" s="2512" t="s">
        <v>9433</v>
      </c>
      <c r="C91" s="2942" t="s">
        <v>196</v>
      </c>
      <c r="D91" s="2614"/>
      <c r="E91" s="2614"/>
      <c r="F91" s="2614"/>
      <c r="G91" s="2614"/>
      <c r="H91" s="2614"/>
      <c r="I91" s="2488"/>
      <c r="J91" s="2488"/>
      <c r="K91" s="2488"/>
      <c r="L91" s="2614"/>
      <c r="M91" s="2614"/>
      <c r="N91" s="2838">
        <v>-16385</v>
      </c>
      <c r="O91" s="2527">
        <f t="shared" si="3"/>
        <v>-16385</v>
      </c>
      <c r="P91" s="2479" t="str">
        <f t="shared" si="4"/>
        <v>1.84, eBay Inc., AD</v>
      </c>
    </row>
    <row r="92" spans="1:16" ht="14.1" customHeight="1" x14ac:dyDescent="0.2">
      <c r="A92" s="2769">
        <f t="shared" si="5"/>
        <v>1.85</v>
      </c>
      <c r="B92" s="2512" t="s">
        <v>9107</v>
      </c>
      <c r="C92" s="2489" t="s">
        <v>190</v>
      </c>
      <c r="D92" s="2614"/>
      <c r="E92" s="2614"/>
      <c r="F92" s="2614"/>
      <c r="G92" s="2614"/>
      <c r="H92" s="2752">
        <v>11027</v>
      </c>
      <c r="I92" s="2488"/>
      <c r="J92" s="2488"/>
      <c r="K92" s="2488"/>
      <c r="L92" s="2488"/>
      <c r="M92" s="2530">
        <v>876818</v>
      </c>
      <c r="N92" s="2488"/>
      <c r="O92" s="2527">
        <f t="shared" si="3"/>
        <v>876818</v>
      </c>
      <c r="P92" s="2479" t="str">
        <f t="shared" si="4"/>
        <v>1.85, EDF Trading North America, LLC, SF</v>
      </c>
    </row>
    <row r="93" spans="1:16" ht="14.1" customHeight="1" x14ac:dyDescent="0.2">
      <c r="A93" s="2769">
        <f t="shared" si="5"/>
        <v>1.86</v>
      </c>
      <c r="B93" s="2512" t="s">
        <v>9108</v>
      </c>
      <c r="C93" s="2489" t="s">
        <v>190</v>
      </c>
      <c r="D93" s="2614"/>
      <c r="E93" s="2614"/>
      <c r="F93" s="2614"/>
      <c r="G93" s="2614"/>
      <c r="H93" s="2752">
        <v>81738</v>
      </c>
      <c r="I93" s="2488"/>
      <c r="J93" s="2488"/>
      <c r="K93" s="2488"/>
      <c r="L93" s="2488"/>
      <c r="M93" s="2530">
        <v>4190185</v>
      </c>
      <c r="N93" s="2488"/>
      <c r="O93" s="2527">
        <f t="shared" si="3"/>
        <v>4190185</v>
      </c>
      <c r="P93" s="2479" t="str">
        <f t="shared" si="4"/>
        <v>1.86, El Paso Electric Company, SF</v>
      </c>
    </row>
    <row r="94" spans="1:16" ht="14.1" customHeight="1" x14ac:dyDescent="0.2">
      <c r="A94" s="2769">
        <f t="shared" si="5"/>
        <v>1.87</v>
      </c>
      <c r="B94" s="2512" t="s">
        <v>9108</v>
      </c>
      <c r="C94" s="2942" t="s">
        <v>196</v>
      </c>
      <c r="D94" s="2614"/>
      <c r="E94" s="2614"/>
      <c r="F94" s="2614"/>
      <c r="G94" s="2614"/>
      <c r="H94" s="2752">
        <v>67</v>
      </c>
      <c r="I94" s="2488"/>
      <c r="J94" s="2488"/>
      <c r="K94" s="2488"/>
      <c r="L94" s="2488"/>
      <c r="M94" s="2614"/>
      <c r="N94" s="2838">
        <v>19509</v>
      </c>
      <c r="O94" s="2527">
        <f t="shared" si="3"/>
        <v>19509</v>
      </c>
      <c r="P94" s="2479" t="str">
        <f t="shared" si="4"/>
        <v>1.87, El Paso Electric Company, AD</v>
      </c>
    </row>
    <row r="95" spans="1:16" ht="14.1" customHeight="1" x14ac:dyDescent="0.2">
      <c r="A95" s="2769">
        <f t="shared" si="5"/>
        <v>1.88</v>
      </c>
      <c r="B95" s="2512" t="s">
        <v>9434</v>
      </c>
      <c r="C95" s="2942" t="s">
        <v>196</v>
      </c>
      <c r="D95" s="2614"/>
      <c r="E95" s="2614"/>
      <c r="F95" s="2614"/>
      <c r="G95" s="2614"/>
      <c r="H95" s="2614"/>
      <c r="I95" s="2488"/>
      <c r="J95" s="2488"/>
      <c r="K95" s="2488"/>
      <c r="L95" s="2488"/>
      <c r="M95" s="2614"/>
      <c r="N95" s="2838">
        <v>15840</v>
      </c>
      <c r="O95" s="2527">
        <f t="shared" si="3"/>
        <v>15840</v>
      </c>
      <c r="P95" s="2479" t="str">
        <f t="shared" si="4"/>
        <v>1.88, Elbe Solar Center, LLC, AD</v>
      </c>
    </row>
    <row r="96" spans="1:16" ht="14.1" customHeight="1" x14ac:dyDescent="0.2">
      <c r="A96" s="2769">
        <f t="shared" si="5"/>
        <v>1.89</v>
      </c>
      <c r="B96" s="2512" t="s">
        <v>9434</v>
      </c>
      <c r="C96" s="2489" t="s">
        <v>191</v>
      </c>
      <c r="D96" s="2614"/>
      <c r="E96" s="2614"/>
      <c r="F96" s="2614"/>
      <c r="G96" s="2614"/>
      <c r="H96" s="2752">
        <v>21935</v>
      </c>
      <c r="I96" s="2488"/>
      <c r="J96" s="2488"/>
      <c r="K96" s="2488"/>
      <c r="L96" s="2488"/>
      <c r="M96" s="2530">
        <v>1642907</v>
      </c>
      <c r="N96" s="2943">
        <v>7372</v>
      </c>
      <c r="O96" s="2527">
        <f t="shared" si="3"/>
        <v>1650279</v>
      </c>
      <c r="P96" s="2479" t="str">
        <f t="shared" si="4"/>
        <v>1.89, Elbe Solar Center, LLC, LU</v>
      </c>
    </row>
    <row r="97" spans="1:16" ht="14.1" customHeight="1" x14ac:dyDescent="0.2">
      <c r="A97" s="2769">
        <f t="shared" si="5"/>
        <v>1.9</v>
      </c>
      <c r="B97" s="2512" t="s">
        <v>9109</v>
      </c>
      <c r="C97" s="2489" t="s">
        <v>190</v>
      </c>
      <c r="D97" s="2614"/>
      <c r="E97" s="2614"/>
      <c r="F97" s="2614"/>
      <c r="G97" s="2614"/>
      <c r="H97" s="2752">
        <v>27158</v>
      </c>
      <c r="I97" s="2488"/>
      <c r="J97" s="2488"/>
      <c r="K97" s="2488"/>
      <c r="L97" s="2488"/>
      <c r="M97" s="2530">
        <v>2299833</v>
      </c>
      <c r="N97" s="2488"/>
      <c r="O97" s="2527">
        <f t="shared" si="3"/>
        <v>2299833</v>
      </c>
      <c r="P97" s="2479" t="str">
        <f t="shared" si="4"/>
        <v>1.9, Energy Keepers, Inc., SF</v>
      </c>
    </row>
    <row r="98" spans="1:16" ht="14.1" customHeight="1" x14ac:dyDescent="0.2">
      <c r="A98" s="2769">
        <f t="shared" si="5"/>
        <v>1.91</v>
      </c>
      <c r="B98" s="2512" t="s">
        <v>9435</v>
      </c>
      <c r="C98" s="2942" t="s">
        <v>196</v>
      </c>
      <c r="D98" s="2614"/>
      <c r="E98" s="2614"/>
      <c r="F98" s="2614"/>
      <c r="G98" s="2614"/>
      <c r="H98" s="2614"/>
      <c r="I98" s="2488"/>
      <c r="J98" s="2488"/>
      <c r="K98" s="2488"/>
      <c r="L98" s="2488"/>
      <c r="M98" s="2614"/>
      <c r="N98" s="2838">
        <v>197102</v>
      </c>
      <c r="O98" s="2527">
        <f t="shared" si="3"/>
        <v>197102</v>
      </c>
      <c r="P98" s="2479" t="str">
        <f t="shared" si="4"/>
        <v>1.91, Enterprise Solar, LLC, AD</v>
      </c>
    </row>
    <row r="99" spans="1:16" ht="14.1" customHeight="1" x14ac:dyDescent="0.2">
      <c r="A99" s="2769">
        <f t="shared" si="5"/>
        <v>1.92</v>
      </c>
      <c r="B99" s="2512" t="s">
        <v>9435</v>
      </c>
      <c r="C99" s="2489" t="s">
        <v>191</v>
      </c>
      <c r="D99" s="2614"/>
      <c r="E99" s="2614"/>
      <c r="F99" s="2614"/>
      <c r="G99" s="2614"/>
      <c r="H99" s="2752">
        <v>221863</v>
      </c>
      <c r="I99" s="2488"/>
      <c r="J99" s="2488"/>
      <c r="K99" s="2488"/>
      <c r="L99" s="2488"/>
      <c r="M99" s="2530">
        <v>12113499</v>
      </c>
      <c r="N99" s="2943">
        <v>208816</v>
      </c>
      <c r="O99" s="2527">
        <f t="shared" si="3"/>
        <v>12322315</v>
      </c>
      <c r="P99" s="2479" t="str">
        <f t="shared" si="4"/>
        <v>1.92, Enterprise Solar, LLC, LU</v>
      </c>
    </row>
    <row r="100" spans="1:16" ht="15" customHeight="1" x14ac:dyDescent="0.2">
      <c r="A100" s="2769">
        <f t="shared" si="5"/>
        <v>1.93</v>
      </c>
      <c r="B100" s="2512" t="s">
        <v>9436</v>
      </c>
      <c r="C100" s="2489" t="s">
        <v>191</v>
      </c>
      <c r="D100" s="2614"/>
      <c r="E100" s="2614"/>
      <c r="F100" s="2614"/>
      <c r="G100" s="2614"/>
      <c r="H100" s="2750">
        <v>208985</v>
      </c>
      <c r="I100" s="2488"/>
      <c r="J100" s="2488"/>
      <c r="K100" s="2488"/>
      <c r="L100" s="2488"/>
      <c r="M100" s="2530">
        <v>11179306</v>
      </c>
      <c r="N100" s="2488"/>
      <c r="O100" s="2527">
        <f t="shared" si="3"/>
        <v>11179306</v>
      </c>
      <c r="P100" s="2479" t="str">
        <f t="shared" si="4"/>
        <v>1.93, Escalante Solar I, LLC, LU</v>
      </c>
    </row>
    <row r="101" spans="1:16" ht="15" customHeight="1" x14ac:dyDescent="0.2">
      <c r="A101" s="2769">
        <f t="shared" si="5"/>
        <v>1.94</v>
      </c>
      <c r="B101" s="2512" t="s">
        <v>9437</v>
      </c>
      <c r="C101" s="2489" t="s">
        <v>191</v>
      </c>
      <c r="D101" s="2614"/>
      <c r="E101" s="2614"/>
      <c r="F101" s="2614"/>
      <c r="G101" s="2614"/>
      <c r="H101" s="2752">
        <v>207458</v>
      </c>
      <c r="I101" s="2488"/>
      <c r="J101" s="2488"/>
      <c r="K101" s="2488"/>
      <c r="L101" s="2488"/>
      <c r="M101" s="2530">
        <v>10547757</v>
      </c>
      <c r="N101" s="2488"/>
      <c r="O101" s="2527">
        <f t="shared" si="3"/>
        <v>10547757</v>
      </c>
      <c r="P101" s="2479" t="str">
        <f t="shared" si="4"/>
        <v>1.94, Escalante Solar II, LLC, LU</v>
      </c>
    </row>
    <row r="102" spans="1:16" ht="15" customHeight="1" x14ac:dyDescent="0.2">
      <c r="A102" s="2769">
        <f t="shared" si="5"/>
        <v>1.95</v>
      </c>
      <c r="B102" s="2512" t="s">
        <v>9438</v>
      </c>
      <c r="C102" s="2489" t="s">
        <v>191</v>
      </c>
      <c r="D102" s="2614"/>
      <c r="E102" s="2614"/>
      <c r="F102" s="2614"/>
      <c r="G102" s="2614"/>
      <c r="H102" s="2752">
        <v>208114</v>
      </c>
      <c r="I102" s="2488"/>
      <c r="J102" s="2488"/>
      <c r="K102" s="2488"/>
      <c r="L102" s="2488"/>
      <c r="M102" s="2530">
        <v>10209823</v>
      </c>
      <c r="N102" s="2948">
        <v>102000</v>
      </c>
      <c r="O102" s="2527">
        <f t="shared" si="3"/>
        <v>10311823</v>
      </c>
      <c r="P102" s="2479" t="str">
        <f t="shared" si="4"/>
        <v>1.95, Escalante Solar III, LLC, LU</v>
      </c>
    </row>
    <row r="103" spans="1:16" ht="15" customHeight="1" x14ac:dyDescent="0.2">
      <c r="A103" s="2769">
        <f t="shared" si="5"/>
        <v>1.96</v>
      </c>
      <c r="B103" s="2512" t="s">
        <v>9438</v>
      </c>
      <c r="C103" s="2942" t="s">
        <v>196</v>
      </c>
      <c r="D103" s="2614"/>
      <c r="E103" s="2614"/>
      <c r="F103" s="2614"/>
      <c r="G103" s="2614"/>
      <c r="H103" s="2614"/>
      <c r="I103" s="2488"/>
      <c r="J103" s="2488"/>
      <c r="K103" s="2488"/>
      <c r="L103" s="2488"/>
      <c r="M103" s="2614"/>
      <c r="N103" s="2838">
        <v>51000</v>
      </c>
      <c r="O103" s="2527">
        <f t="shared" si="3"/>
        <v>51000</v>
      </c>
      <c r="P103" s="2479" t="str">
        <f t="shared" si="4"/>
        <v>1.96, Escalante Solar III, LLC, AD</v>
      </c>
    </row>
    <row r="104" spans="1:16" ht="15" customHeight="1" x14ac:dyDescent="0.2">
      <c r="A104" s="2769">
        <f t="shared" si="5"/>
        <v>1.97</v>
      </c>
      <c r="B104" s="2512" t="s">
        <v>9110</v>
      </c>
      <c r="C104" s="2489" t="s">
        <v>190</v>
      </c>
      <c r="D104" s="2614"/>
      <c r="E104" s="2614"/>
      <c r="F104" s="2614"/>
      <c r="G104" s="2614"/>
      <c r="H104" s="2752">
        <v>10852</v>
      </c>
      <c r="I104" s="2488"/>
      <c r="J104" s="2488"/>
      <c r="K104" s="2488"/>
      <c r="L104" s="2488"/>
      <c r="M104" s="2530">
        <v>639177</v>
      </c>
      <c r="N104" s="2488"/>
      <c r="O104" s="2527">
        <f t="shared" si="3"/>
        <v>639177</v>
      </c>
      <c r="P104" s="2479" t="str">
        <f t="shared" si="4"/>
        <v>1.97, Eugene Water &amp; Electric Board, SF</v>
      </c>
    </row>
    <row r="105" spans="1:16" ht="15" customHeight="1" x14ac:dyDescent="0.2">
      <c r="A105" s="2769">
        <f t="shared" si="5"/>
        <v>1.98</v>
      </c>
      <c r="B105" s="2512" t="s">
        <v>9439</v>
      </c>
      <c r="C105" s="2489" t="s">
        <v>191</v>
      </c>
      <c r="D105" s="2614"/>
      <c r="E105" s="2614"/>
      <c r="F105" s="2614"/>
      <c r="G105" s="2614"/>
      <c r="H105" s="2752">
        <v>74670</v>
      </c>
      <c r="I105" s="2488"/>
      <c r="J105" s="2488"/>
      <c r="K105" s="2488"/>
      <c r="L105" s="2614"/>
      <c r="M105" s="2530">
        <v>3922407</v>
      </c>
      <c r="N105" s="2614"/>
      <c r="O105" s="2527">
        <f t="shared" si="3"/>
        <v>3922407</v>
      </c>
      <c r="P105" s="2479" t="str">
        <f t="shared" si="4"/>
        <v>1.98, Eurus Combine Hills I, LLC, LU</v>
      </c>
    </row>
    <row r="106" spans="1:16" ht="15" customHeight="1" x14ac:dyDescent="0.2">
      <c r="A106" s="2769">
        <f t="shared" si="5"/>
        <v>1.99</v>
      </c>
      <c r="B106" s="2512" t="s">
        <v>9440</v>
      </c>
      <c r="C106" s="2489" t="s">
        <v>191</v>
      </c>
      <c r="D106" s="2614"/>
      <c r="E106" s="2614"/>
      <c r="F106" s="2614"/>
      <c r="G106" s="2614"/>
      <c r="H106" s="2752">
        <v>507</v>
      </c>
      <c r="I106" s="2488"/>
      <c r="J106" s="2488"/>
      <c r="K106" s="2488"/>
      <c r="L106" s="2488"/>
      <c r="M106" s="2530">
        <v>19496</v>
      </c>
      <c r="N106" s="2488"/>
      <c r="O106" s="2527">
        <f t="shared" si="3"/>
        <v>19496</v>
      </c>
      <c r="P106" s="2479" t="str">
        <f t="shared" si="4"/>
        <v>1.99, ExxonMobil Production Company, LU</v>
      </c>
    </row>
    <row r="107" spans="1:16" ht="15" customHeight="1" x14ac:dyDescent="0.2">
      <c r="A107" s="2769">
        <f t="shared" si="5"/>
        <v>2</v>
      </c>
      <c r="B107" s="2512" t="s">
        <v>9441</v>
      </c>
      <c r="C107" s="2489" t="s">
        <v>191</v>
      </c>
      <c r="D107" s="2614"/>
      <c r="E107" s="2614"/>
      <c r="F107" s="2614"/>
      <c r="G107" s="2614"/>
      <c r="H107" s="2752">
        <v>26652</v>
      </c>
      <c r="I107" s="2488"/>
      <c r="J107" s="2488"/>
      <c r="K107" s="2488"/>
      <c r="L107" s="2488"/>
      <c r="M107" s="2530">
        <v>1472281</v>
      </c>
      <c r="N107" s="2488"/>
      <c r="O107" s="2527">
        <f t="shared" si="3"/>
        <v>1472281</v>
      </c>
      <c r="P107" s="2479" t="str">
        <f t="shared" si="4"/>
        <v>2, Fall River Rural Electric Cooperative, Inc., LU</v>
      </c>
    </row>
    <row r="108" spans="1:16" ht="15" customHeight="1" x14ac:dyDescent="0.2">
      <c r="A108" s="2769">
        <f t="shared" si="5"/>
        <v>2.0099999999999998</v>
      </c>
      <c r="B108" s="2512" t="s">
        <v>9442</v>
      </c>
      <c r="C108" s="2489" t="s">
        <v>191</v>
      </c>
      <c r="D108" s="2614"/>
      <c r="E108" s="2614"/>
      <c r="F108" s="2614"/>
      <c r="G108" s="2614"/>
      <c r="H108" s="2752">
        <v>2279</v>
      </c>
      <c r="I108" s="2488"/>
      <c r="J108" s="2488"/>
      <c r="K108" s="2488"/>
      <c r="L108" s="2488"/>
      <c r="M108" s="2530">
        <v>192441</v>
      </c>
      <c r="N108" s="2488"/>
      <c r="O108" s="2527">
        <f t="shared" si="3"/>
        <v>192441</v>
      </c>
      <c r="P108" s="2479" t="str">
        <f t="shared" si="4"/>
        <v>2.01, Farm Power Misty Meadow, LLC, LU</v>
      </c>
    </row>
    <row r="109" spans="1:16" ht="15" customHeight="1" x14ac:dyDescent="0.2">
      <c r="A109" s="2769">
        <f t="shared" si="5"/>
        <v>2.02</v>
      </c>
      <c r="B109" s="2512" t="s">
        <v>9443</v>
      </c>
      <c r="C109" s="2489" t="s">
        <v>191</v>
      </c>
      <c r="D109" s="2614"/>
      <c r="E109" s="2614"/>
      <c r="F109" s="2614"/>
      <c r="G109" s="2614"/>
      <c r="H109" s="2752">
        <v>21865</v>
      </c>
      <c r="I109" s="2488"/>
      <c r="J109" s="2488"/>
      <c r="K109" s="2488"/>
      <c r="L109" s="2488"/>
      <c r="M109" s="2530">
        <v>1827481</v>
      </c>
      <c r="N109" s="2488"/>
      <c r="O109" s="2527">
        <f t="shared" si="3"/>
        <v>1827481</v>
      </c>
      <c r="P109" s="2479" t="str">
        <f t="shared" si="4"/>
        <v>2.02, Farmers Irrigation District, LU</v>
      </c>
    </row>
    <row r="110" spans="1:16" ht="15" customHeight="1" x14ac:dyDescent="0.2">
      <c r="A110" s="2769">
        <f t="shared" si="5"/>
        <v>2.0299999999999998</v>
      </c>
      <c r="B110" s="2512" t="s">
        <v>9444</v>
      </c>
      <c r="C110" s="2945" t="s">
        <v>188</v>
      </c>
      <c r="D110" s="2614"/>
      <c r="E110" s="2614"/>
      <c r="F110" s="2614"/>
      <c r="G110" s="2614"/>
      <c r="H110" s="2752">
        <v>29</v>
      </c>
      <c r="I110" s="2488"/>
      <c r="J110" s="2488"/>
      <c r="K110" s="2488"/>
      <c r="L110" s="2488"/>
      <c r="M110" s="2530">
        <v>2732</v>
      </c>
      <c r="N110" s="2488"/>
      <c r="O110" s="2527">
        <f t="shared" si="3"/>
        <v>2732</v>
      </c>
      <c r="P110" s="2479" t="str">
        <f t="shared" si="4"/>
        <v>2.03, Fillmore City Corporation, LF</v>
      </c>
    </row>
    <row r="111" spans="1:16" ht="15" customHeight="1" x14ac:dyDescent="0.2">
      <c r="A111" s="2769">
        <f t="shared" si="5"/>
        <v>2.04</v>
      </c>
      <c r="B111" s="2512" t="s">
        <v>9445</v>
      </c>
      <c r="C111" s="2947" t="s">
        <v>188</v>
      </c>
      <c r="D111" s="2614"/>
      <c r="E111" s="2614"/>
      <c r="F111" s="2614"/>
      <c r="G111" s="2614"/>
      <c r="H111" s="2752">
        <v>352</v>
      </c>
      <c r="I111" s="2488"/>
      <c r="J111" s="2488"/>
      <c r="K111" s="2488"/>
      <c r="L111" s="2488"/>
      <c r="M111" s="2530">
        <v>24686</v>
      </c>
      <c r="N111" s="2488"/>
      <c r="O111" s="2527">
        <f t="shared" si="3"/>
        <v>24686</v>
      </c>
      <c r="P111" s="2479" t="str">
        <f t="shared" si="4"/>
        <v>2.04, Flathead Electric Cooperative, Inc., LF</v>
      </c>
    </row>
    <row r="112" spans="1:16" ht="15" customHeight="1" x14ac:dyDescent="0.2">
      <c r="A112" s="2769">
        <f t="shared" si="5"/>
        <v>2.0499999999999998</v>
      </c>
      <c r="B112" s="2512" t="s">
        <v>9446</v>
      </c>
      <c r="C112" s="2489" t="s">
        <v>191</v>
      </c>
      <c r="D112" s="2614"/>
      <c r="E112" s="2614"/>
      <c r="F112" s="2614"/>
      <c r="G112" s="2614"/>
      <c r="H112" s="2752">
        <v>17019</v>
      </c>
      <c r="I112" s="2488"/>
      <c r="J112" s="2488"/>
      <c r="K112" s="2488"/>
      <c r="L112" s="2488"/>
      <c r="M112" s="2530">
        <v>1340180</v>
      </c>
      <c r="N112" s="2614"/>
      <c r="O112" s="2527">
        <f t="shared" si="3"/>
        <v>1340180</v>
      </c>
      <c r="P112" s="2479" t="str">
        <f t="shared" si="4"/>
        <v>2.05, Four Corners Windfarm, LLC, LU</v>
      </c>
    </row>
    <row r="113" spans="1:16" ht="15" customHeight="1" x14ac:dyDescent="0.2">
      <c r="A113" s="2769">
        <f t="shared" si="5"/>
        <v>2.06</v>
      </c>
      <c r="B113" s="2512" t="s">
        <v>9447</v>
      </c>
      <c r="C113" s="2489" t="s">
        <v>191</v>
      </c>
      <c r="D113" s="2614"/>
      <c r="E113" s="2614"/>
      <c r="F113" s="2614"/>
      <c r="G113" s="2614"/>
      <c r="H113" s="2750">
        <v>17296</v>
      </c>
      <c r="I113" s="2488"/>
      <c r="J113" s="2488"/>
      <c r="K113" s="2488"/>
      <c r="L113" s="2488"/>
      <c r="M113" s="2530">
        <v>1366846</v>
      </c>
      <c r="N113" s="2488"/>
      <c r="O113" s="2527">
        <f t="shared" si="3"/>
        <v>1366846</v>
      </c>
      <c r="P113" s="2479" t="str">
        <f t="shared" si="4"/>
        <v>2.06, Four Mile Canyon Windfarm, LLC, LU</v>
      </c>
    </row>
    <row r="114" spans="1:16" ht="15" customHeight="1" x14ac:dyDescent="0.2">
      <c r="A114" s="2769">
        <f t="shared" si="5"/>
        <v>2.0699999999999998</v>
      </c>
      <c r="B114" s="2512" t="s">
        <v>9448</v>
      </c>
      <c r="C114" s="2489" t="s">
        <v>191</v>
      </c>
      <c r="D114" s="2614"/>
      <c r="E114" s="2614"/>
      <c r="F114" s="2614"/>
      <c r="G114" s="2614"/>
      <c r="H114" s="2752">
        <v>1976</v>
      </c>
      <c r="I114" s="2488"/>
      <c r="J114" s="2488"/>
      <c r="K114" s="2488"/>
      <c r="L114" s="2488"/>
      <c r="M114" s="2530">
        <v>93913</v>
      </c>
      <c r="N114" s="2488"/>
      <c r="O114" s="2527">
        <f t="shared" si="3"/>
        <v>93913</v>
      </c>
      <c r="P114" s="2479" t="str">
        <f t="shared" si="4"/>
        <v>2.07, Georgetown Irrigation Company, LU</v>
      </c>
    </row>
    <row r="115" spans="1:16" ht="15" customHeight="1" x14ac:dyDescent="0.2">
      <c r="A115" s="2769">
        <f t="shared" si="5"/>
        <v>2.08</v>
      </c>
      <c r="B115" s="2512" t="s">
        <v>9448</v>
      </c>
      <c r="C115" s="2942" t="s">
        <v>196</v>
      </c>
      <c r="D115" s="2614"/>
      <c r="E115" s="2614"/>
      <c r="F115" s="2614"/>
      <c r="G115" s="2614"/>
      <c r="H115" s="2614"/>
      <c r="I115" s="2488"/>
      <c r="J115" s="2488"/>
      <c r="K115" s="2488"/>
      <c r="L115" s="2488"/>
      <c r="M115" s="2614"/>
      <c r="N115" s="2838">
        <v>-19951</v>
      </c>
      <c r="O115" s="2527">
        <f t="shared" si="3"/>
        <v>-19951</v>
      </c>
      <c r="P115" s="2479" t="str">
        <f t="shared" si="4"/>
        <v>2.08, Georgetown Irrigation Company, AD</v>
      </c>
    </row>
    <row r="116" spans="1:16" ht="15" customHeight="1" x14ac:dyDescent="0.2">
      <c r="A116" s="2769">
        <f t="shared" si="5"/>
        <v>2.09</v>
      </c>
      <c r="B116" s="2512" t="s">
        <v>9449</v>
      </c>
      <c r="C116" s="2945" t="s">
        <v>188</v>
      </c>
      <c r="D116" s="2614"/>
      <c r="E116" s="2614"/>
      <c r="F116" s="2614"/>
      <c r="G116" s="2614"/>
      <c r="H116" s="2752">
        <v>64</v>
      </c>
      <c r="I116" s="2488"/>
      <c r="J116" s="2488"/>
      <c r="K116" s="2488"/>
      <c r="L116" s="2488"/>
      <c r="M116" s="2530">
        <v>11526</v>
      </c>
      <c r="N116" s="2488"/>
      <c r="O116" s="2527">
        <f t="shared" si="3"/>
        <v>11526</v>
      </c>
      <c r="P116" s="2479" t="str">
        <f t="shared" si="4"/>
        <v>2.09, Grand Valley Power, LF</v>
      </c>
    </row>
    <row r="117" spans="1:16" ht="15" customHeight="1" x14ac:dyDescent="0.2">
      <c r="A117" s="2769">
        <f t="shared" si="5"/>
        <v>2.1</v>
      </c>
      <c r="B117" s="2512" t="s">
        <v>9450</v>
      </c>
      <c r="C117" s="2489" t="s">
        <v>191</v>
      </c>
      <c r="D117" s="2614"/>
      <c r="E117" s="2614"/>
      <c r="F117" s="2614"/>
      <c r="G117" s="2614"/>
      <c r="H117" s="2752">
        <v>197195</v>
      </c>
      <c r="I117" s="2488"/>
      <c r="J117" s="2488"/>
      <c r="K117" s="2488"/>
      <c r="L117" s="2488"/>
      <c r="M117" s="2530">
        <v>10206073</v>
      </c>
      <c r="N117" s="2488"/>
      <c r="O117" s="2527">
        <f t="shared" si="3"/>
        <v>10206073</v>
      </c>
      <c r="P117" s="2479" t="str">
        <f t="shared" si="4"/>
        <v>2.1, Granite Mountain Solar East, LLC, LU</v>
      </c>
    </row>
    <row r="118" spans="1:16" ht="15" customHeight="1" x14ac:dyDescent="0.2">
      <c r="A118" s="2769">
        <f t="shared" si="5"/>
        <v>2.11</v>
      </c>
      <c r="B118" s="2512" t="s">
        <v>9451</v>
      </c>
      <c r="C118" s="2489" t="s">
        <v>191</v>
      </c>
      <c r="D118" s="2614"/>
      <c r="E118" s="2614"/>
      <c r="F118" s="2614"/>
      <c r="G118" s="2614"/>
      <c r="H118" s="2752">
        <v>121442</v>
      </c>
      <c r="I118" s="2488"/>
      <c r="J118" s="2488"/>
      <c r="K118" s="2488"/>
      <c r="L118" s="2488"/>
      <c r="M118" s="2530">
        <v>6606381</v>
      </c>
      <c r="N118" s="2488"/>
      <c r="O118" s="2527">
        <f t="shared" si="3"/>
        <v>6606381</v>
      </c>
      <c r="P118" s="2479" t="str">
        <f t="shared" si="4"/>
        <v>2.11, Granite Mountain Solar West, LLC, LU</v>
      </c>
    </row>
    <row r="119" spans="1:16" ht="15" customHeight="1" x14ac:dyDescent="0.2">
      <c r="A119" s="2769">
        <f t="shared" si="5"/>
        <v>2.12</v>
      </c>
      <c r="B119" s="2512" t="s">
        <v>9452</v>
      </c>
      <c r="C119" s="2489" t="s">
        <v>191</v>
      </c>
      <c r="D119" s="2614"/>
      <c r="E119" s="2771">
        <v>3</v>
      </c>
      <c r="F119" s="2530">
        <v>3</v>
      </c>
      <c r="G119" s="2530">
        <v>1</v>
      </c>
      <c r="H119" s="2752">
        <v>6106</v>
      </c>
      <c r="I119" s="2488"/>
      <c r="J119" s="2488"/>
      <c r="K119" s="2488"/>
      <c r="L119" s="2530">
        <v>295327</v>
      </c>
      <c r="M119" s="2530">
        <v>357620</v>
      </c>
      <c r="N119" s="2488"/>
      <c r="O119" s="2527">
        <f t="shared" si="3"/>
        <v>652947</v>
      </c>
      <c r="P119" s="2479" t="str">
        <f t="shared" si="4"/>
        <v>2.12, Granite Peak Solar, LLC, LU</v>
      </c>
    </row>
    <row r="120" spans="1:16" ht="15" customHeight="1" x14ac:dyDescent="0.2">
      <c r="A120" s="2769">
        <f t="shared" si="5"/>
        <v>2.13</v>
      </c>
      <c r="B120" s="2512" t="s">
        <v>9453</v>
      </c>
      <c r="C120" s="2489" t="s">
        <v>191</v>
      </c>
      <c r="D120" s="2614"/>
      <c r="E120" s="2614"/>
      <c r="F120" s="2614"/>
      <c r="G120" s="2614"/>
      <c r="H120" s="2752">
        <v>197185</v>
      </c>
      <c r="I120" s="2488"/>
      <c r="J120" s="2488"/>
      <c r="K120" s="2488"/>
      <c r="L120" s="2488"/>
      <c r="M120" s="2530">
        <v>5511307</v>
      </c>
      <c r="N120" s="2488"/>
      <c r="O120" s="2527">
        <f t="shared" si="3"/>
        <v>5511307</v>
      </c>
      <c r="P120" s="2479" t="str">
        <f t="shared" si="4"/>
        <v>2.13, Graphite Solar I, LLC, LU</v>
      </c>
    </row>
    <row r="121" spans="1:16" ht="15" customHeight="1" x14ac:dyDescent="0.2">
      <c r="A121" s="2769">
        <f t="shared" si="5"/>
        <v>2.14</v>
      </c>
      <c r="B121" s="2512" t="s">
        <v>9454</v>
      </c>
      <c r="C121" s="2489" t="s">
        <v>191</v>
      </c>
      <c r="D121" s="2614"/>
      <c r="E121" s="2771">
        <v>2</v>
      </c>
      <c r="F121" s="2530">
        <v>2</v>
      </c>
      <c r="G121" s="2530">
        <v>0</v>
      </c>
      <c r="H121" s="2752">
        <v>4313</v>
      </c>
      <c r="I121" s="2488"/>
      <c r="J121" s="2488"/>
      <c r="K121" s="2488"/>
      <c r="L121" s="2530">
        <v>364856</v>
      </c>
      <c r="M121" s="2530">
        <v>257056</v>
      </c>
      <c r="N121" s="2488"/>
      <c r="O121" s="2527">
        <f t="shared" si="3"/>
        <v>621912</v>
      </c>
      <c r="P121" s="2479" t="str">
        <f t="shared" si="4"/>
        <v>2.14, Greenville Solar, LLC, LU</v>
      </c>
    </row>
    <row r="122" spans="1:16" ht="15" customHeight="1" x14ac:dyDescent="0.2">
      <c r="A122" s="2769">
        <f t="shared" si="5"/>
        <v>2.15</v>
      </c>
      <c r="B122" s="2512" t="s">
        <v>9111</v>
      </c>
      <c r="C122" s="2489" t="s">
        <v>190</v>
      </c>
      <c r="D122" s="2614"/>
      <c r="E122" s="2614"/>
      <c r="F122" s="2614"/>
      <c r="G122" s="2614"/>
      <c r="H122" s="2752">
        <v>10</v>
      </c>
      <c r="I122" s="2488"/>
      <c r="J122" s="2488"/>
      <c r="K122" s="2488"/>
      <c r="L122" s="2488"/>
      <c r="M122" s="2530">
        <v>1284</v>
      </c>
      <c r="N122" s="2488"/>
      <c r="O122" s="2527">
        <f t="shared" si="3"/>
        <v>1284</v>
      </c>
      <c r="P122" s="2479" t="str">
        <f t="shared" si="4"/>
        <v>2.15, Gridforce Energy Management, LLC, SF</v>
      </c>
    </row>
    <row r="123" spans="1:16" ht="15" customHeight="1" x14ac:dyDescent="0.2">
      <c r="A123" s="2769">
        <f t="shared" si="5"/>
        <v>2.16</v>
      </c>
      <c r="B123" s="2512" t="s">
        <v>9112</v>
      </c>
      <c r="C123" s="2489" t="s">
        <v>190</v>
      </c>
      <c r="D123" s="2614"/>
      <c r="E123" s="2614"/>
      <c r="F123" s="2614"/>
      <c r="G123" s="2614"/>
      <c r="H123" s="2752">
        <v>37392</v>
      </c>
      <c r="I123" s="2488"/>
      <c r="J123" s="2488"/>
      <c r="K123" s="2488"/>
      <c r="L123" s="2488"/>
      <c r="M123" s="2530">
        <v>3629893</v>
      </c>
      <c r="N123" s="2488"/>
      <c r="O123" s="2527">
        <f t="shared" si="3"/>
        <v>3629893</v>
      </c>
      <c r="P123" s="2479" t="str">
        <f t="shared" si="4"/>
        <v>2.16, Guzman Energy, LLC, SF</v>
      </c>
    </row>
    <row r="124" spans="1:16" ht="15" customHeight="1" x14ac:dyDescent="0.2">
      <c r="A124" s="2769">
        <f t="shared" si="5"/>
        <v>2.17</v>
      </c>
      <c r="B124" s="2512" t="s">
        <v>9455</v>
      </c>
      <c r="C124" s="2489" t="s">
        <v>191</v>
      </c>
      <c r="D124" s="2614"/>
      <c r="E124" s="2614"/>
      <c r="F124" s="2614"/>
      <c r="G124" s="2614"/>
      <c r="H124" s="2752">
        <v>801</v>
      </c>
      <c r="I124" s="2488"/>
      <c r="J124" s="2488"/>
      <c r="K124" s="2488"/>
      <c r="L124" s="2488"/>
      <c r="M124" s="2530">
        <v>65453</v>
      </c>
      <c r="N124" s="2488"/>
      <c r="O124" s="2527">
        <f t="shared" si="3"/>
        <v>65453</v>
      </c>
      <c r="P124" s="2479" t="str">
        <f t="shared" si="4"/>
        <v>2.17, Hammerich 1&amp;2, LU</v>
      </c>
    </row>
    <row r="125" spans="1:16" ht="15" customHeight="1" x14ac:dyDescent="0.2">
      <c r="A125" s="2769">
        <f t="shared" si="5"/>
        <v>2.1800000000000002</v>
      </c>
      <c r="B125" s="2512" t="s">
        <v>9456</v>
      </c>
      <c r="C125" s="2489" t="s">
        <v>191</v>
      </c>
      <c r="D125" s="2614"/>
      <c r="E125" s="2614"/>
      <c r="F125" s="2614"/>
      <c r="G125" s="2614"/>
      <c r="H125" s="2752">
        <v>101</v>
      </c>
      <c r="I125" s="2488"/>
      <c r="J125" s="2488"/>
      <c r="K125" s="2488"/>
      <c r="L125" s="2488"/>
      <c r="M125" s="2530">
        <v>9506</v>
      </c>
      <c r="N125" s="2488"/>
      <c r="O125" s="2527">
        <f t="shared" si="3"/>
        <v>9506</v>
      </c>
      <c r="P125" s="2479" t="str">
        <f t="shared" si="4"/>
        <v>2.18, Hay Creek Community Solar, LU</v>
      </c>
    </row>
    <row r="126" spans="1:16" ht="15" customHeight="1" x14ac:dyDescent="0.2">
      <c r="A126" s="2769">
        <f t="shared" si="5"/>
        <v>2.19</v>
      </c>
      <c r="B126" s="2512" t="s">
        <v>9457</v>
      </c>
      <c r="C126" s="2489" t="s">
        <v>191</v>
      </c>
      <c r="D126" s="2614"/>
      <c r="E126" s="2614"/>
      <c r="F126" s="2614"/>
      <c r="G126" s="2614"/>
      <c r="H126" s="2752">
        <v>204</v>
      </c>
      <c r="I126" s="2488"/>
      <c r="J126" s="2488"/>
      <c r="K126" s="2488"/>
      <c r="L126" s="2488"/>
      <c r="M126" s="2530">
        <v>8126</v>
      </c>
      <c r="N126" s="2488"/>
      <c r="O126" s="2527">
        <f t="shared" si="3"/>
        <v>8126</v>
      </c>
      <c r="P126" s="2479" t="str">
        <f t="shared" si="4"/>
        <v>2.19, Hayward Paul Luckey and Joanne Luckey Revocable Trust of 2005, LU</v>
      </c>
    </row>
    <row r="127" spans="1:16" ht="15" customHeight="1" x14ac:dyDescent="0.2">
      <c r="A127" s="2769">
        <f t="shared" si="5"/>
        <v>2.2000000000000002</v>
      </c>
      <c r="B127" s="2512" t="s">
        <v>9457</v>
      </c>
      <c r="C127" s="2942" t="s">
        <v>196</v>
      </c>
      <c r="D127" s="2614"/>
      <c r="E127" s="2614"/>
      <c r="F127" s="2614"/>
      <c r="G127" s="2614"/>
      <c r="H127" s="2752">
        <v>6</v>
      </c>
      <c r="I127" s="2488"/>
      <c r="J127" s="2488"/>
      <c r="K127" s="2488"/>
      <c r="L127" s="2488"/>
      <c r="M127" s="2614"/>
      <c r="N127" s="2838">
        <v>243</v>
      </c>
      <c r="O127" s="2527">
        <f t="shared" si="3"/>
        <v>243</v>
      </c>
      <c r="P127" s="2479" t="str">
        <f t="shared" si="4"/>
        <v>2.2, Hayward Paul Luckey and Joanne Luckey Revocable Trust of 2005, AD</v>
      </c>
    </row>
    <row r="128" spans="1:16" ht="15" customHeight="1" x14ac:dyDescent="0.2">
      <c r="A128" s="2769">
        <f t="shared" si="5"/>
        <v>2.21</v>
      </c>
      <c r="B128" s="2512" t="s">
        <v>9458</v>
      </c>
      <c r="C128" s="2489" t="s">
        <v>191</v>
      </c>
      <c r="D128" s="2614"/>
      <c r="E128" s="2614"/>
      <c r="F128" s="2614"/>
      <c r="G128" s="2614"/>
      <c r="H128" s="2750">
        <v>272263</v>
      </c>
      <c r="I128" s="2488"/>
      <c r="J128" s="2488"/>
      <c r="K128" s="2488"/>
      <c r="L128" s="2488"/>
      <c r="M128" s="2530">
        <v>6861039</v>
      </c>
      <c r="N128" s="2943">
        <v>985599</v>
      </c>
      <c r="O128" s="2527">
        <f t="shared" si="3"/>
        <v>7846638</v>
      </c>
      <c r="P128" s="2479" t="str">
        <f t="shared" si="4"/>
        <v>2.21, Hunter Solar LLC, LU</v>
      </c>
    </row>
    <row r="129" spans="1:16" ht="15" customHeight="1" x14ac:dyDescent="0.2">
      <c r="A129" s="2769">
        <f t="shared" si="5"/>
        <v>2.2200000000000002</v>
      </c>
      <c r="B129" s="2512" t="s">
        <v>9113</v>
      </c>
      <c r="C129" s="2489" t="s">
        <v>190</v>
      </c>
      <c r="D129" s="2614"/>
      <c r="E129" s="2614"/>
      <c r="F129" s="2614"/>
      <c r="G129" s="2614"/>
      <c r="H129" s="2752">
        <v>77378</v>
      </c>
      <c r="I129" s="2488"/>
      <c r="J129" s="2488"/>
      <c r="K129" s="2488"/>
      <c r="L129" s="2488"/>
      <c r="M129" s="2530">
        <v>5370473</v>
      </c>
      <c r="N129" s="2944">
        <v>4321</v>
      </c>
      <c r="O129" s="2527">
        <f t="shared" si="3"/>
        <v>5374794</v>
      </c>
      <c r="P129" s="2479" t="str">
        <f t="shared" si="4"/>
        <v>2.22, Idaho Power Company, SF</v>
      </c>
    </row>
    <row r="130" spans="1:16" ht="15" customHeight="1" x14ac:dyDescent="0.2">
      <c r="A130" s="2769">
        <f t="shared" si="5"/>
        <v>2.23</v>
      </c>
      <c r="B130" s="2512" t="s">
        <v>9113</v>
      </c>
      <c r="C130" s="2942" t="s">
        <v>196</v>
      </c>
      <c r="D130" s="2614"/>
      <c r="E130" s="2614"/>
      <c r="F130" s="2614"/>
      <c r="G130" s="2614"/>
      <c r="H130" s="2752">
        <v>51943</v>
      </c>
      <c r="I130" s="2488"/>
      <c r="J130" s="2488"/>
      <c r="K130" s="2488"/>
      <c r="L130" s="2488"/>
      <c r="M130" s="2614"/>
      <c r="N130" s="2838">
        <v>3010455</v>
      </c>
      <c r="O130" s="2527">
        <f t="shared" si="3"/>
        <v>3010455</v>
      </c>
      <c r="P130" s="2479" t="str">
        <f t="shared" si="4"/>
        <v>2.23, Idaho Power Company, AD</v>
      </c>
    </row>
    <row r="131" spans="1:16" ht="15" customHeight="1" x14ac:dyDescent="0.2">
      <c r="A131" s="2769">
        <f t="shared" si="5"/>
        <v>2.2400000000000002</v>
      </c>
      <c r="B131" s="2512" t="s">
        <v>9459</v>
      </c>
      <c r="C131" s="2489" t="s">
        <v>191</v>
      </c>
      <c r="D131" s="2614"/>
      <c r="E131" s="2614"/>
      <c r="F131" s="2614"/>
      <c r="G131" s="2614"/>
      <c r="H131" s="2752">
        <v>208143</v>
      </c>
      <c r="I131" s="2488"/>
      <c r="J131" s="2488"/>
      <c r="K131" s="2488"/>
      <c r="L131" s="2488"/>
      <c r="M131" s="2530">
        <v>11156733</v>
      </c>
      <c r="N131" s="2488"/>
      <c r="O131" s="2527">
        <f t="shared" si="3"/>
        <v>11156733</v>
      </c>
      <c r="P131" s="2479" t="str">
        <f t="shared" si="4"/>
        <v>2.24, Iron Springs Solar, LLC, LU</v>
      </c>
    </row>
    <row r="132" spans="1:16" ht="15" customHeight="1" x14ac:dyDescent="0.2">
      <c r="A132" s="2769">
        <f t="shared" si="5"/>
        <v>2.25</v>
      </c>
      <c r="B132" s="2512" t="s">
        <v>9460</v>
      </c>
      <c r="C132" s="2489" t="s">
        <v>191</v>
      </c>
      <c r="D132" s="2614"/>
      <c r="E132" s="2614"/>
      <c r="F132" s="2614"/>
      <c r="G132" s="2614"/>
      <c r="H132" s="2752">
        <v>43</v>
      </c>
      <c r="I132" s="2488"/>
      <c r="J132" s="2488"/>
      <c r="K132" s="2488"/>
      <c r="L132" s="2488"/>
      <c r="M132" s="2530">
        <v>299</v>
      </c>
      <c r="N132" s="2488"/>
      <c r="O132" s="2527">
        <f t="shared" si="3"/>
        <v>299</v>
      </c>
      <c r="P132" s="2479" t="str">
        <f t="shared" si="4"/>
        <v>2.25, J Bar 9 Ranch, Inc., LU</v>
      </c>
    </row>
    <row r="133" spans="1:16" ht="15" customHeight="1" x14ac:dyDescent="0.2">
      <c r="A133" s="2769">
        <f t="shared" si="5"/>
        <v>2.2599999999999998</v>
      </c>
      <c r="B133" s="2512" t="s">
        <v>9461</v>
      </c>
      <c r="C133" s="2489" t="s">
        <v>190</v>
      </c>
      <c r="D133" s="2614"/>
      <c r="E133" s="2614"/>
      <c r="F133" s="2614"/>
      <c r="G133" s="2614"/>
      <c r="H133" s="2752">
        <v>400</v>
      </c>
      <c r="I133" s="2488"/>
      <c r="J133" s="2488"/>
      <c r="K133" s="2488"/>
      <c r="L133" s="2614"/>
      <c r="M133" s="2530">
        <v>11000</v>
      </c>
      <c r="N133" s="2614"/>
      <c r="O133" s="2527">
        <f t="shared" si="3"/>
        <v>11000</v>
      </c>
      <c r="P133" s="2479" t="str">
        <f t="shared" si="4"/>
        <v>2.26, J . Aron &amp; Company, SF</v>
      </c>
    </row>
    <row r="134" spans="1:16" ht="15" customHeight="1" x14ac:dyDescent="0.2">
      <c r="A134" s="2769">
        <f t="shared" si="5"/>
        <v>2.27</v>
      </c>
      <c r="B134" s="2512" t="s">
        <v>9462</v>
      </c>
      <c r="C134" s="2489" t="s">
        <v>191</v>
      </c>
      <c r="D134" s="2614"/>
      <c r="E134" s="2614"/>
      <c r="F134" s="2614"/>
      <c r="G134" s="2614"/>
      <c r="H134" s="2752">
        <v>1292</v>
      </c>
      <c r="I134" s="2488"/>
      <c r="J134" s="2488"/>
      <c r="K134" s="2488"/>
      <c r="L134" s="2488"/>
      <c r="M134" s="2530">
        <v>70533</v>
      </c>
      <c r="N134" s="2488"/>
      <c r="O134" s="2527">
        <f t="shared" si="3"/>
        <v>70533</v>
      </c>
      <c r="P134" s="2479" t="str">
        <f t="shared" si="4"/>
        <v>2.27, Jake Amy, LU</v>
      </c>
    </row>
    <row r="135" spans="1:16" ht="15" customHeight="1" x14ac:dyDescent="0.2">
      <c r="A135" s="2769">
        <f t="shared" si="5"/>
        <v>2.2799999999999998</v>
      </c>
      <c r="B135" s="2512" t="s">
        <v>9463</v>
      </c>
      <c r="C135" s="2489" t="s">
        <v>191</v>
      </c>
      <c r="D135" s="2614"/>
      <c r="E135" s="2614"/>
      <c r="F135" s="2614"/>
      <c r="G135" s="2614"/>
      <c r="H135" s="2752">
        <v>586</v>
      </c>
      <c r="I135" s="2488"/>
      <c r="J135" s="2488"/>
      <c r="K135" s="2488"/>
      <c r="L135" s="2488"/>
      <c r="M135" s="2530">
        <v>46087</v>
      </c>
      <c r="N135" s="2488"/>
      <c r="O135" s="2527">
        <f t="shared" ref="O135:O198" si="6">SUM(L135:N135)</f>
        <v>46087</v>
      </c>
      <c r="P135" s="2479" t="str">
        <f t="shared" ref="P135:P198" si="7">CONCATENATE(A135,", ",B135,", ",C135)</f>
        <v>2.28, Joseph Community Solar, LLC, LU</v>
      </c>
    </row>
    <row r="136" spans="1:16" ht="15" customHeight="1" x14ac:dyDescent="0.2">
      <c r="A136" s="2769">
        <f t="shared" ref="A136:A199" si="8">ROUND(A135+0.01,2)</f>
        <v>2.29</v>
      </c>
      <c r="B136" s="2512" t="s">
        <v>9464</v>
      </c>
      <c r="C136" s="2489" t="s">
        <v>191</v>
      </c>
      <c r="D136" s="2614"/>
      <c r="E136" s="2614"/>
      <c r="F136" s="2614"/>
      <c r="G136" s="2614"/>
      <c r="H136" s="2752">
        <v>249</v>
      </c>
      <c r="I136" s="2488"/>
      <c r="J136" s="2488"/>
      <c r="K136" s="2488"/>
      <c r="L136" s="2488"/>
      <c r="M136" s="2530">
        <v>20206</v>
      </c>
      <c r="N136" s="2488"/>
      <c r="O136" s="2527">
        <f t="shared" si="6"/>
        <v>20206</v>
      </c>
      <c r="P136" s="2479" t="str">
        <f t="shared" si="7"/>
        <v>2.29, Keeton 1 &amp; 2, LU</v>
      </c>
    </row>
    <row r="137" spans="1:16" ht="15" customHeight="1" x14ac:dyDescent="0.2">
      <c r="A137" s="2769">
        <f t="shared" si="8"/>
        <v>2.2999999999999998</v>
      </c>
      <c r="B137" s="2512" t="s">
        <v>9465</v>
      </c>
      <c r="C137" s="2489" t="s">
        <v>191</v>
      </c>
      <c r="D137" s="2614"/>
      <c r="E137" s="2614"/>
      <c r="F137" s="2614"/>
      <c r="G137" s="2614"/>
      <c r="H137" s="2752">
        <v>1261</v>
      </c>
      <c r="I137" s="2488"/>
      <c r="J137" s="2488"/>
      <c r="K137" s="2488"/>
      <c r="L137" s="2488"/>
      <c r="M137" s="2530">
        <v>94479</v>
      </c>
      <c r="N137" s="2488"/>
      <c r="O137" s="2527">
        <f t="shared" si="6"/>
        <v>94479</v>
      </c>
      <c r="P137" s="2479" t="str">
        <f t="shared" si="7"/>
        <v>2.3, Klamath Falls Solar 1, LLC, LU</v>
      </c>
    </row>
    <row r="138" spans="1:16" ht="15" customHeight="1" x14ac:dyDescent="0.2">
      <c r="A138" s="2769">
        <f t="shared" si="8"/>
        <v>2.31</v>
      </c>
      <c r="B138" s="2512" t="s">
        <v>9466</v>
      </c>
      <c r="C138" s="2489" t="s">
        <v>192</v>
      </c>
      <c r="D138" s="2614"/>
      <c r="E138" s="2614"/>
      <c r="F138" s="2614"/>
      <c r="G138" s="2614"/>
      <c r="H138" s="2752">
        <v>6193</v>
      </c>
      <c r="I138" s="2488"/>
      <c r="J138" s="2488"/>
      <c r="K138" s="2488"/>
      <c r="L138" s="2488"/>
      <c r="M138" s="2530">
        <v>351076</v>
      </c>
      <c r="N138" s="2488"/>
      <c r="O138" s="2527">
        <f t="shared" si="6"/>
        <v>351076</v>
      </c>
      <c r="P138" s="2479" t="str">
        <f t="shared" si="7"/>
        <v>2.31, Klamath Falls Solar 2, LLC, IU</v>
      </c>
    </row>
    <row r="139" spans="1:16" ht="15" customHeight="1" x14ac:dyDescent="0.2">
      <c r="A139" s="2769">
        <f t="shared" si="8"/>
        <v>2.3199999999999998</v>
      </c>
      <c r="B139" s="2512" t="s">
        <v>9467</v>
      </c>
      <c r="C139" s="2489" t="s">
        <v>191</v>
      </c>
      <c r="D139" s="2614"/>
      <c r="E139" s="2614"/>
      <c r="F139" s="2614"/>
      <c r="G139" s="2614"/>
      <c r="H139" s="2752">
        <v>4169</v>
      </c>
      <c r="I139" s="2488"/>
      <c r="J139" s="2488"/>
      <c r="K139" s="2488"/>
      <c r="L139" s="2488"/>
      <c r="M139" s="2530">
        <v>256058</v>
      </c>
      <c r="N139" s="2488"/>
      <c r="O139" s="2527">
        <f t="shared" si="6"/>
        <v>256058</v>
      </c>
      <c r="P139" s="2479" t="str">
        <f t="shared" si="7"/>
        <v>2.32, Lacomb Irrigation District, LU</v>
      </c>
    </row>
    <row r="140" spans="1:16" ht="15" customHeight="1" x14ac:dyDescent="0.2">
      <c r="A140" s="2769">
        <f t="shared" si="8"/>
        <v>2.33</v>
      </c>
      <c r="B140" s="2512" t="s">
        <v>9468</v>
      </c>
      <c r="C140" s="2489" t="s">
        <v>191</v>
      </c>
      <c r="D140" s="2614"/>
      <c r="E140" s="2771">
        <v>3</v>
      </c>
      <c r="F140" s="2530">
        <v>3</v>
      </c>
      <c r="G140" s="2530">
        <v>1</v>
      </c>
      <c r="H140" s="2752">
        <v>6203</v>
      </c>
      <c r="I140" s="2488"/>
      <c r="J140" s="2488"/>
      <c r="K140" s="2488"/>
      <c r="L140" s="2530">
        <v>295103</v>
      </c>
      <c r="M140" s="2530">
        <v>363283</v>
      </c>
      <c r="N140" s="2488"/>
      <c r="O140" s="2527">
        <f t="shared" si="6"/>
        <v>658386</v>
      </c>
      <c r="P140" s="2479" t="str">
        <f t="shared" si="7"/>
        <v>2.33, Laho Solar, LLC, LU</v>
      </c>
    </row>
    <row r="141" spans="1:16" ht="15" customHeight="1" x14ac:dyDescent="0.2">
      <c r="A141" s="2769">
        <f t="shared" si="8"/>
        <v>2.34</v>
      </c>
      <c r="B141" s="2512" t="s">
        <v>9469</v>
      </c>
      <c r="C141" s="2489" t="s">
        <v>191</v>
      </c>
      <c r="D141" s="2614"/>
      <c r="E141" s="2614"/>
      <c r="F141" s="2614"/>
      <c r="G141" s="2614"/>
      <c r="H141" s="2752">
        <v>151710</v>
      </c>
      <c r="I141" s="2488"/>
      <c r="J141" s="2488"/>
      <c r="K141" s="2488"/>
      <c r="L141" s="2488"/>
      <c r="M141" s="2530">
        <v>9202430</v>
      </c>
      <c r="N141" s="2614"/>
      <c r="O141" s="2527">
        <f t="shared" si="6"/>
        <v>9202430</v>
      </c>
      <c r="P141" s="2479" t="str">
        <f t="shared" si="7"/>
        <v>2.34, Latigo Wind Park, LLC, LU</v>
      </c>
    </row>
    <row r="142" spans="1:16" ht="15" customHeight="1" x14ac:dyDescent="0.2">
      <c r="A142" s="2769">
        <f t="shared" si="8"/>
        <v>2.35</v>
      </c>
      <c r="B142" s="2512" t="s">
        <v>9470</v>
      </c>
      <c r="C142" s="2489" t="s">
        <v>190</v>
      </c>
      <c r="D142" s="2614"/>
      <c r="E142" s="2614"/>
      <c r="F142" s="2614"/>
      <c r="G142" s="2614"/>
      <c r="H142" s="2750">
        <v>24631</v>
      </c>
      <c r="I142" s="2488"/>
      <c r="J142" s="2488"/>
      <c r="K142" s="2488"/>
      <c r="L142" s="2488"/>
      <c r="M142" s="2530">
        <v>1898405</v>
      </c>
      <c r="N142" s="2488"/>
      <c r="O142" s="2527">
        <f t="shared" si="6"/>
        <v>1898405</v>
      </c>
      <c r="P142" s="2479" t="str">
        <f t="shared" si="7"/>
        <v>2.35, Los Angeles Department of Water and Power, SF</v>
      </c>
    </row>
    <row r="143" spans="1:16" ht="15" customHeight="1" x14ac:dyDescent="0.2">
      <c r="A143" s="2769">
        <f t="shared" si="8"/>
        <v>2.36</v>
      </c>
      <c r="B143" s="2512" t="s">
        <v>9471</v>
      </c>
      <c r="C143" s="2489" t="s">
        <v>191</v>
      </c>
      <c r="D143" s="2614"/>
      <c r="E143" s="2614"/>
      <c r="F143" s="2614"/>
      <c r="G143" s="2614"/>
      <c r="H143" s="2752">
        <v>183</v>
      </c>
      <c r="I143" s="2488"/>
      <c r="J143" s="2488"/>
      <c r="K143" s="2488"/>
      <c r="L143" s="2488"/>
      <c r="M143" s="2530">
        <v>5098</v>
      </c>
      <c r="N143" s="2488"/>
      <c r="O143" s="2527">
        <f t="shared" si="6"/>
        <v>5098</v>
      </c>
      <c r="P143" s="2479" t="str">
        <f t="shared" si="7"/>
        <v>2.36, Loyd Fery, LU</v>
      </c>
    </row>
    <row r="144" spans="1:16" ht="15" customHeight="1" x14ac:dyDescent="0.2">
      <c r="A144" s="2769">
        <f t="shared" si="8"/>
        <v>2.37</v>
      </c>
      <c r="B144" s="2512" t="s">
        <v>9114</v>
      </c>
      <c r="C144" s="2489" t="s">
        <v>190</v>
      </c>
      <c r="D144" s="2614"/>
      <c r="E144" s="2614"/>
      <c r="F144" s="2614"/>
      <c r="G144" s="2614"/>
      <c r="H144" s="2752">
        <v>385757</v>
      </c>
      <c r="I144" s="2488"/>
      <c r="J144" s="2488"/>
      <c r="K144" s="2488"/>
      <c r="L144" s="2488"/>
      <c r="M144" s="2530">
        <v>39400106</v>
      </c>
      <c r="N144" s="2488"/>
      <c r="O144" s="2527">
        <f t="shared" si="6"/>
        <v>39400106</v>
      </c>
      <c r="P144" s="2479" t="str">
        <f t="shared" si="7"/>
        <v>2.37, Macquarie Energy LLC, SF</v>
      </c>
    </row>
    <row r="145" spans="1:16" ht="15" customHeight="1" x14ac:dyDescent="0.2">
      <c r="A145" s="2769">
        <f t="shared" si="8"/>
        <v>2.38</v>
      </c>
      <c r="B145" s="2512" t="s">
        <v>9114</v>
      </c>
      <c r="C145" s="2942" t="s">
        <v>196</v>
      </c>
      <c r="D145" s="2614"/>
      <c r="E145" s="2614"/>
      <c r="F145" s="2614"/>
      <c r="G145" s="2614"/>
      <c r="H145" s="2752">
        <v>293</v>
      </c>
      <c r="I145" s="2488"/>
      <c r="J145" s="2488"/>
      <c r="K145" s="2488"/>
      <c r="L145" s="2488"/>
      <c r="M145" s="2614"/>
      <c r="N145" s="2838">
        <v>-105720</v>
      </c>
      <c r="O145" s="2527">
        <f t="shared" si="6"/>
        <v>-105720</v>
      </c>
      <c r="P145" s="2479" t="str">
        <f t="shared" si="7"/>
        <v>2.38, Macquarie Energy LLC, AD</v>
      </c>
    </row>
    <row r="146" spans="1:16" ht="15" customHeight="1" x14ac:dyDescent="0.2">
      <c r="A146" s="2769">
        <f t="shared" si="8"/>
        <v>2.39</v>
      </c>
      <c r="B146" s="2512" t="s">
        <v>9472</v>
      </c>
      <c r="C146" s="2489" t="s">
        <v>190</v>
      </c>
      <c r="D146" s="2614"/>
      <c r="E146" s="2614"/>
      <c r="F146" s="2614"/>
      <c r="G146" s="2614"/>
      <c r="H146" s="2752">
        <v>160</v>
      </c>
      <c r="I146" s="2488"/>
      <c r="J146" s="2488"/>
      <c r="K146" s="2488"/>
      <c r="L146" s="2488"/>
      <c r="M146" s="2530">
        <v>6400</v>
      </c>
      <c r="N146" s="2488"/>
      <c r="O146" s="2527">
        <f t="shared" si="6"/>
        <v>6400</v>
      </c>
      <c r="P146" s="2479" t="str">
        <f t="shared" si="7"/>
        <v>2.39, Mag Energy Solutions, SF</v>
      </c>
    </row>
    <row r="147" spans="1:16" ht="15" customHeight="1" x14ac:dyDescent="0.2">
      <c r="A147" s="2769">
        <f t="shared" si="8"/>
        <v>2.4</v>
      </c>
      <c r="B147" s="2512" t="s">
        <v>9473</v>
      </c>
      <c r="C147" s="2489" t="s">
        <v>191</v>
      </c>
      <c r="D147" s="2614"/>
      <c r="E147" s="2614"/>
      <c r="F147" s="2614"/>
      <c r="G147" s="2614"/>
      <c r="H147" s="2752">
        <v>6934</v>
      </c>
      <c r="I147" s="2488"/>
      <c r="J147" s="2488"/>
      <c r="K147" s="2488"/>
      <c r="L147" s="2614"/>
      <c r="M147" s="2530">
        <v>443153</v>
      </c>
      <c r="N147" s="2614"/>
      <c r="O147" s="2527">
        <f t="shared" si="6"/>
        <v>443153</v>
      </c>
      <c r="P147" s="2479" t="str">
        <f t="shared" si="7"/>
        <v>2.4, Marsh Valley Hydro Electric Company, LU</v>
      </c>
    </row>
    <row r="148" spans="1:16" ht="15" customHeight="1" x14ac:dyDescent="0.2">
      <c r="A148" s="2769">
        <f t="shared" si="8"/>
        <v>2.41</v>
      </c>
      <c r="B148" s="2512" t="s">
        <v>9474</v>
      </c>
      <c r="C148" s="2489" t="s">
        <v>191</v>
      </c>
      <c r="D148" s="2614"/>
      <c r="E148" s="2614"/>
      <c r="F148" s="2614"/>
      <c r="G148" s="2614"/>
      <c r="H148" s="2752">
        <v>266174</v>
      </c>
      <c r="I148" s="2488"/>
      <c r="J148" s="2488"/>
      <c r="K148" s="2488"/>
      <c r="L148" s="2488"/>
      <c r="M148" s="2530">
        <v>23971466</v>
      </c>
      <c r="N148" s="2488"/>
      <c r="O148" s="2527">
        <f t="shared" si="6"/>
        <v>23971466</v>
      </c>
      <c r="P148" s="2479" t="str">
        <f t="shared" si="7"/>
        <v>2.41, Meadow Creek Project Company LLC, LU</v>
      </c>
    </row>
    <row r="149" spans="1:16" ht="15" customHeight="1" x14ac:dyDescent="0.2">
      <c r="A149" s="2769">
        <f t="shared" si="8"/>
        <v>2.42</v>
      </c>
      <c r="B149" s="2512" t="s">
        <v>9116</v>
      </c>
      <c r="C149" s="2489" t="s">
        <v>190</v>
      </c>
      <c r="D149" s="2614"/>
      <c r="E149" s="2614"/>
      <c r="F149" s="2614"/>
      <c r="G149" s="2614"/>
      <c r="H149" s="2752">
        <v>376255</v>
      </c>
      <c r="I149" s="2488"/>
      <c r="J149" s="2488"/>
      <c r="K149" s="2488"/>
      <c r="L149" s="2488"/>
      <c r="M149" s="2530">
        <v>70620236</v>
      </c>
      <c r="N149" s="2488"/>
      <c r="O149" s="2527">
        <f t="shared" si="6"/>
        <v>70620236</v>
      </c>
      <c r="P149" s="2479" t="str">
        <f t="shared" si="7"/>
        <v>2.42, Mercuria Energy America, LLC, SF</v>
      </c>
    </row>
    <row r="150" spans="1:16" ht="15" customHeight="1" x14ac:dyDescent="0.2">
      <c r="A150" s="2769">
        <f t="shared" si="8"/>
        <v>2.4300000000000002</v>
      </c>
      <c r="B150" s="2512" t="s">
        <v>9116</v>
      </c>
      <c r="C150" s="2942" t="s">
        <v>196</v>
      </c>
      <c r="D150" s="2614"/>
      <c r="E150" s="2614"/>
      <c r="F150" s="2614"/>
      <c r="G150" s="2614"/>
      <c r="H150" s="2752">
        <v>9</v>
      </c>
      <c r="I150" s="2488"/>
      <c r="J150" s="2488"/>
      <c r="K150" s="2488"/>
      <c r="L150" s="2488"/>
      <c r="M150" s="2614"/>
      <c r="N150" s="2838">
        <v>4515</v>
      </c>
      <c r="O150" s="2527">
        <f t="shared" si="6"/>
        <v>4515</v>
      </c>
      <c r="P150" s="2479" t="str">
        <f t="shared" si="7"/>
        <v>2.43, Mercuria Energy America, LLC, AD</v>
      </c>
    </row>
    <row r="151" spans="1:16" ht="15" customHeight="1" x14ac:dyDescent="0.2">
      <c r="A151" s="2769">
        <f t="shared" si="8"/>
        <v>2.44</v>
      </c>
      <c r="B151" s="2512" t="s">
        <v>9475</v>
      </c>
      <c r="C151" s="2489" t="s">
        <v>191</v>
      </c>
      <c r="D151" s="2614"/>
      <c r="E151" s="2614"/>
      <c r="F151" s="2614"/>
      <c r="G151" s="2614"/>
      <c r="H151" s="2752">
        <v>2767</v>
      </c>
      <c r="I151" s="2488"/>
      <c r="J151" s="2488"/>
      <c r="K151" s="2488"/>
      <c r="L151" s="2488"/>
      <c r="M151" s="2530">
        <v>88055</v>
      </c>
      <c r="N151" s="2488"/>
      <c r="O151" s="2527">
        <f t="shared" si="6"/>
        <v>88055</v>
      </c>
      <c r="P151" s="2479" t="str">
        <f t="shared" si="7"/>
        <v>2.44, Middle Fork Irrigation District, LU</v>
      </c>
    </row>
    <row r="152" spans="1:16" ht="15" customHeight="1" x14ac:dyDescent="0.2">
      <c r="A152" s="2769">
        <f t="shared" si="8"/>
        <v>2.4500000000000002</v>
      </c>
      <c r="B152" s="2512" t="s">
        <v>9476</v>
      </c>
      <c r="C152" s="2489" t="s">
        <v>191</v>
      </c>
      <c r="D152" s="2614"/>
      <c r="E152" s="2771">
        <v>3</v>
      </c>
      <c r="F152" s="2530">
        <v>3</v>
      </c>
      <c r="G152" s="2530">
        <v>1</v>
      </c>
      <c r="H152" s="2752">
        <v>6180</v>
      </c>
      <c r="I152" s="2488"/>
      <c r="J152" s="2488"/>
      <c r="K152" s="2488"/>
      <c r="L152" s="2530">
        <v>296662</v>
      </c>
      <c r="M152" s="2530">
        <v>361946</v>
      </c>
      <c r="N152" s="2488"/>
      <c r="O152" s="2527">
        <f t="shared" si="6"/>
        <v>658608</v>
      </c>
      <c r="P152" s="2479" t="str">
        <f t="shared" si="7"/>
        <v>2.45, Milford Flat Solar, LLC, LU</v>
      </c>
    </row>
    <row r="153" spans="1:16" ht="15" customHeight="1" x14ac:dyDescent="0.2">
      <c r="A153" s="2769">
        <f t="shared" si="8"/>
        <v>2.46</v>
      </c>
      <c r="B153" s="2512" t="s">
        <v>9477</v>
      </c>
      <c r="C153" s="2489" t="s">
        <v>191</v>
      </c>
      <c r="D153" s="2614"/>
      <c r="E153" s="2614"/>
      <c r="F153" s="2614"/>
      <c r="G153" s="2614"/>
      <c r="H153" s="2752">
        <v>260782</v>
      </c>
      <c r="I153" s="2488"/>
      <c r="J153" s="2488"/>
      <c r="K153" s="2488"/>
      <c r="L153" s="2488"/>
      <c r="M153" s="2530">
        <v>6798580</v>
      </c>
      <c r="N153" s="2943">
        <v>1024877</v>
      </c>
      <c r="O153" s="2527">
        <f t="shared" si="6"/>
        <v>7823457</v>
      </c>
      <c r="P153" s="2479" t="str">
        <f t="shared" si="7"/>
        <v>2.46, Milford Solar I, LLC, LU</v>
      </c>
    </row>
    <row r="154" spans="1:16" ht="15" customHeight="1" x14ac:dyDescent="0.2">
      <c r="A154" s="2769">
        <f t="shared" si="8"/>
        <v>2.4700000000000002</v>
      </c>
      <c r="B154" s="2512" t="s">
        <v>9477</v>
      </c>
      <c r="C154" s="2942" t="s">
        <v>196</v>
      </c>
      <c r="D154" s="2614"/>
      <c r="E154" s="2614"/>
      <c r="F154" s="2614"/>
      <c r="G154" s="2614"/>
      <c r="H154" s="2614"/>
      <c r="I154" s="2488"/>
      <c r="J154" s="2488"/>
      <c r="K154" s="2488"/>
      <c r="L154" s="2488"/>
      <c r="M154" s="2614"/>
      <c r="N154" s="2838">
        <v>4</v>
      </c>
      <c r="O154" s="2527">
        <f t="shared" si="6"/>
        <v>4</v>
      </c>
      <c r="P154" s="2479" t="str">
        <f t="shared" si="7"/>
        <v>2.47, Milford Solar I, LLC, AD</v>
      </c>
    </row>
    <row r="155" spans="1:16" ht="15" customHeight="1" x14ac:dyDescent="0.2">
      <c r="A155" s="2769">
        <f t="shared" si="8"/>
        <v>2.48</v>
      </c>
      <c r="B155" s="2512" t="s">
        <v>9478</v>
      </c>
      <c r="C155" s="2489" t="s">
        <v>191</v>
      </c>
      <c r="D155" s="2614"/>
      <c r="E155" s="2614"/>
      <c r="F155" s="2614"/>
      <c r="G155" s="2614"/>
      <c r="H155" s="2752">
        <v>138957</v>
      </c>
      <c r="I155" s="2488"/>
      <c r="J155" s="2488"/>
      <c r="K155" s="2488"/>
      <c r="L155" s="2488"/>
      <c r="M155" s="2530">
        <v>2715213</v>
      </c>
      <c r="N155" s="2943">
        <v>1768910</v>
      </c>
      <c r="O155" s="2527">
        <f t="shared" si="6"/>
        <v>4484123</v>
      </c>
      <c r="P155" s="2479" t="str">
        <f t="shared" si="7"/>
        <v>2.48, Millican Solar Energy LLC, LU</v>
      </c>
    </row>
    <row r="156" spans="1:16" ht="15" customHeight="1" x14ac:dyDescent="0.2">
      <c r="A156" s="2769">
        <f t="shared" si="8"/>
        <v>2.4900000000000002</v>
      </c>
      <c r="B156" s="2512" t="s">
        <v>9479</v>
      </c>
      <c r="C156" s="2489" t="s">
        <v>191</v>
      </c>
      <c r="D156" s="2614"/>
      <c r="E156" s="2614"/>
      <c r="F156" s="2614"/>
      <c r="G156" s="2614"/>
      <c r="H156" s="2750">
        <v>10513</v>
      </c>
      <c r="I156" s="2488"/>
      <c r="J156" s="2488"/>
      <c r="K156" s="2488"/>
      <c r="L156" s="2488"/>
      <c r="M156" s="2530">
        <v>485062</v>
      </c>
      <c r="N156" s="2488"/>
      <c r="O156" s="2527">
        <f t="shared" si="6"/>
        <v>485062</v>
      </c>
      <c r="P156" s="2479" t="str">
        <f t="shared" si="7"/>
        <v>2.49, Mink Creek Hydro LLC, LU</v>
      </c>
    </row>
    <row r="157" spans="1:16" ht="15" customHeight="1" x14ac:dyDescent="0.2">
      <c r="A157" s="2769">
        <f t="shared" si="8"/>
        <v>2.5</v>
      </c>
      <c r="B157" s="2512" t="s">
        <v>9480</v>
      </c>
      <c r="C157" s="2489" t="s">
        <v>191</v>
      </c>
      <c r="D157" s="2614"/>
      <c r="E157" s="2614"/>
      <c r="F157" s="2614"/>
      <c r="G157" s="2614"/>
      <c r="H157" s="2752">
        <v>746</v>
      </c>
      <c r="I157" s="2488"/>
      <c r="J157" s="2488"/>
      <c r="K157" s="2488"/>
      <c r="L157" s="2488"/>
      <c r="M157" s="2530">
        <v>62635</v>
      </c>
      <c r="N157" s="2488"/>
      <c r="O157" s="2527">
        <f t="shared" si="6"/>
        <v>62635</v>
      </c>
      <c r="P157" s="2479" t="str">
        <f t="shared" si="7"/>
        <v>2.5, Monroe Hydro, LLC, LU</v>
      </c>
    </row>
    <row r="158" spans="1:16" ht="15" customHeight="1" x14ac:dyDescent="0.2">
      <c r="A158" s="2769">
        <f t="shared" si="8"/>
        <v>2.5099999999999998</v>
      </c>
      <c r="B158" s="2512" t="s">
        <v>9481</v>
      </c>
      <c r="C158" s="2945" t="s">
        <v>188</v>
      </c>
      <c r="D158" s="2614"/>
      <c r="E158" s="2614"/>
      <c r="F158" s="2614"/>
      <c r="G158" s="2614"/>
      <c r="H158" s="2752">
        <v>8</v>
      </c>
      <c r="I158" s="2488"/>
      <c r="J158" s="2488"/>
      <c r="K158" s="2488"/>
      <c r="L158" s="2488"/>
      <c r="M158" s="2530">
        <v>921</v>
      </c>
      <c r="N158" s="2488"/>
      <c r="O158" s="2527">
        <f t="shared" si="6"/>
        <v>921</v>
      </c>
      <c r="P158" s="2479" t="str">
        <f t="shared" si="7"/>
        <v>2.51, Morgan City Corporation, LF</v>
      </c>
    </row>
    <row r="159" spans="1:16" ht="15" customHeight="1" x14ac:dyDescent="0.2">
      <c r="A159" s="2769">
        <f t="shared" si="8"/>
        <v>2.52</v>
      </c>
      <c r="B159" s="2512" t="s">
        <v>9118</v>
      </c>
      <c r="C159" s="2489" t="s">
        <v>190</v>
      </c>
      <c r="D159" s="2614"/>
      <c r="E159" s="2614"/>
      <c r="F159" s="2614"/>
      <c r="G159" s="2614"/>
      <c r="H159" s="2752">
        <v>291521</v>
      </c>
      <c r="I159" s="2488"/>
      <c r="J159" s="2488"/>
      <c r="K159" s="2488"/>
      <c r="L159" s="2488"/>
      <c r="M159" s="2530">
        <v>22054068</v>
      </c>
      <c r="N159" s="2488"/>
      <c r="O159" s="2527">
        <f t="shared" si="6"/>
        <v>22054068</v>
      </c>
      <c r="P159" s="2479" t="str">
        <f t="shared" si="7"/>
        <v>2.52, Morgan Stanley Capital Group Inc., SF</v>
      </c>
    </row>
    <row r="160" spans="1:16" ht="15" customHeight="1" x14ac:dyDescent="0.2">
      <c r="A160" s="2769">
        <f t="shared" si="8"/>
        <v>2.5299999999999998</v>
      </c>
      <c r="B160" s="2512" t="s">
        <v>9118</v>
      </c>
      <c r="C160" s="2942" t="s">
        <v>196</v>
      </c>
      <c r="D160" s="2614"/>
      <c r="E160" s="2614"/>
      <c r="F160" s="2614"/>
      <c r="G160" s="2614"/>
      <c r="H160" s="2614"/>
      <c r="I160" s="2488"/>
      <c r="J160" s="2488"/>
      <c r="K160" s="2488"/>
      <c r="L160" s="2488"/>
      <c r="M160" s="2488"/>
      <c r="N160" s="2838">
        <v>92</v>
      </c>
      <c r="O160" s="2527">
        <f t="shared" si="6"/>
        <v>92</v>
      </c>
      <c r="P160" s="2479" t="str">
        <f t="shared" si="7"/>
        <v>2.53, Morgan Stanley Capital Group Inc., AD</v>
      </c>
    </row>
    <row r="161" spans="1:16" ht="15" customHeight="1" x14ac:dyDescent="0.2">
      <c r="A161" s="2769">
        <f t="shared" si="8"/>
        <v>2.54</v>
      </c>
      <c r="B161" s="2512" t="s">
        <v>9482</v>
      </c>
      <c r="C161" s="2489" t="s">
        <v>191</v>
      </c>
      <c r="D161" s="2614"/>
      <c r="E161" s="2614"/>
      <c r="F161" s="2614"/>
      <c r="G161" s="2614"/>
      <c r="H161" s="2752">
        <v>152730</v>
      </c>
      <c r="I161" s="2488"/>
      <c r="J161" s="2488"/>
      <c r="K161" s="2488"/>
      <c r="L161" s="2614"/>
      <c r="M161" s="2530">
        <v>9861257</v>
      </c>
      <c r="N161" s="2614"/>
      <c r="O161" s="2527">
        <f t="shared" si="6"/>
        <v>9861257</v>
      </c>
      <c r="P161" s="2479" t="str">
        <f t="shared" si="7"/>
        <v>2.54, Mountain Wind Power II, LLC, LU</v>
      </c>
    </row>
    <row r="162" spans="1:16" ht="15" customHeight="1" x14ac:dyDescent="0.2">
      <c r="A162" s="2769">
        <f t="shared" si="8"/>
        <v>2.5499999999999998</v>
      </c>
      <c r="B162" s="2512" t="s">
        <v>9483</v>
      </c>
      <c r="C162" s="2489" t="s">
        <v>191</v>
      </c>
      <c r="D162" s="2614"/>
      <c r="E162" s="2614"/>
      <c r="F162" s="2614"/>
      <c r="G162" s="2614"/>
      <c r="H162" s="2752">
        <v>115889</v>
      </c>
      <c r="I162" s="2488"/>
      <c r="J162" s="2488"/>
      <c r="K162" s="2488"/>
      <c r="L162" s="2488"/>
      <c r="M162" s="2530">
        <v>6476277</v>
      </c>
      <c r="N162" s="2488"/>
      <c r="O162" s="2527">
        <f t="shared" si="6"/>
        <v>6476277</v>
      </c>
      <c r="P162" s="2479" t="str">
        <f t="shared" si="7"/>
        <v>2.55, Mountain Wind Power, LLC, LU</v>
      </c>
    </row>
    <row r="163" spans="1:16" ht="15" customHeight="1" x14ac:dyDescent="0.2">
      <c r="A163" s="2769">
        <f t="shared" si="8"/>
        <v>2.56</v>
      </c>
      <c r="B163" s="2512" t="s">
        <v>9484</v>
      </c>
      <c r="C163" s="2489" t="s">
        <v>191</v>
      </c>
      <c r="D163" s="2614"/>
      <c r="E163" s="2614"/>
      <c r="F163" s="2614"/>
      <c r="G163" s="2614"/>
      <c r="H163" s="2752">
        <v>665</v>
      </c>
      <c r="I163" s="2488"/>
      <c r="J163" s="2488"/>
      <c r="K163" s="2488"/>
      <c r="L163" s="2488"/>
      <c r="M163" s="2530">
        <v>35018</v>
      </c>
      <c r="N163" s="2488"/>
      <c r="O163" s="2527">
        <f t="shared" si="6"/>
        <v>35018</v>
      </c>
      <c r="P163" s="2479" t="str">
        <f t="shared" si="7"/>
        <v>2.56, Myron Jones, Nola Jones, Larry Oja and Christie Oja, LU</v>
      </c>
    </row>
    <row r="164" spans="1:16" ht="15" customHeight="1" x14ac:dyDescent="0.2">
      <c r="A164" s="2769">
        <f t="shared" si="8"/>
        <v>2.57</v>
      </c>
      <c r="B164" s="2744" t="s">
        <v>9120</v>
      </c>
      <c r="C164" s="2489" t="s">
        <v>190</v>
      </c>
      <c r="D164" s="2614"/>
      <c r="E164" s="2614"/>
      <c r="F164" s="2614"/>
      <c r="G164" s="2614"/>
      <c r="H164" s="2752">
        <v>5362</v>
      </c>
      <c r="I164" s="2488"/>
      <c r="J164" s="2488"/>
      <c r="K164" s="2488"/>
      <c r="L164" s="2488"/>
      <c r="M164" s="2530">
        <v>397490</v>
      </c>
      <c r="N164" s="2488"/>
      <c r="O164" s="2527">
        <f t="shared" si="6"/>
        <v>397490</v>
      </c>
      <c r="P164" s="2479" t="str">
        <f t="shared" si="7"/>
        <v>2.57, Nevada Power Company, SF</v>
      </c>
    </row>
    <row r="165" spans="1:16" ht="15" customHeight="1" x14ac:dyDescent="0.2">
      <c r="A165" s="2769">
        <f t="shared" si="8"/>
        <v>2.58</v>
      </c>
      <c r="B165" s="2512" t="s">
        <v>9485</v>
      </c>
      <c r="C165" s="2489" t="s">
        <v>191</v>
      </c>
      <c r="D165" s="2614"/>
      <c r="E165" s="2771">
        <v>0</v>
      </c>
      <c r="F165" s="2530">
        <v>8</v>
      </c>
      <c r="G165" s="2530">
        <v>3</v>
      </c>
      <c r="H165" s="2752">
        <v>2647</v>
      </c>
      <c r="I165" s="2488"/>
      <c r="J165" s="2488"/>
      <c r="K165" s="2488"/>
      <c r="L165" s="2488"/>
      <c r="M165" s="2530">
        <v>160659</v>
      </c>
      <c r="N165" s="2488"/>
      <c r="O165" s="2527">
        <f t="shared" si="6"/>
        <v>160659</v>
      </c>
      <c r="P165" s="2479" t="str">
        <f t="shared" si="7"/>
        <v>2.58, Nichols Gap Limited Partnership, LU</v>
      </c>
    </row>
    <row r="166" spans="1:16" ht="15" customHeight="1" x14ac:dyDescent="0.2">
      <c r="A166" s="2769">
        <f t="shared" si="8"/>
        <v>2.59</v>
      </c>
      <c r="B166" s="2512" t="s">
        <v>9121</v>
      </c>
      <c r="C166" s="2489" t="s">
        <v>190</v>
      </c>
      <c r="D166" s="2614"/>
      <c r="E166" s="2614"/>
      <c r="F166" s="2614"/>
      <c r="G166" s="2614"/>
      <c r="H166" s="2752">
        <v>4471</v>
      </c>
      <c r="I166" s="2488"/>
      <c r="J166" s="2488"/>
      <c r="K166" s="2488"/>
      <c r="L166" s="2488"/>
      <c r="M166" s="2530">
        <v>330004</v>
      </c>
      <c r="N166" s="2944">
        <v>3612</v>
      </c>
      <c r="O166" s="2527">
        <f t="shared" si="6"/>
        <v>333616</v>
      </c>
      <c r="P166" s="2479" t="str">
        <f t="shared" si="7"/>
        <v>2.59, NorthWestern Energy, SF</v>
      </c>
    </row>
    <row r="167" spans="1:16" ht="15" customHeight="1" x14ac:dyDescent="0.2">
      <c r="A167" s="2769">
        <f t="shared" si="8"/>
        <v>2.6</v>
      </c>
      <c r="B167" s="2512" t="s">
        <v>9121</v>
      </c>
      <c r="C167" s="2942" t="s">
        <v>196</v>
      </c>
      <c r="D167" s="2614"/>
      <c r="E167" s="2614"/>
      <c r="F167" s="2614"/>
      <c r="G167" s="2614"/>
      <c r="H167" s="2752">
        <v>27</v>
      </c>
      <c r="I167" s="2488"/>
      <c r="J167" s="2488"/>
      <c r="K167" s="2488"/>
      <c r="L167" s="2488"/>
      <c r="M167" s="2614"/>
      <c r="N167" s="2838">
        <v>2044</v>
      </c>
      <c r="O167" s="2527">
        <f t="shared" si="6"/>
        <v>2044</v>
      </c>
      <c r="P167" s="2479" t="str">
        <f t="shared" si="7"/>
        <v>2.6, NorthWestern Energy, AD</v>
      </c>
    </row>
    <row r="168" spans="1:16" ht="15" customHeight="1" x14ac:dyDescent="0.2">
      <c r="A168" s="2769">
        <f t="shared" si="8"/>
        <v>2.61</v>
      </c>
      <c r="B168" s="2512" t="s">
        <v>9486</v>
      </c>
      <c r="C168" s="2489" t="s">
        <v>192</v>
      </c>
      <c r="D168" s="2614"/>
      <c r="E168" s="2614"/>
      <c r="F168" s="2614"/>
      <c r="G168" s="2614"/>
      <c r="H168" s="2752">
        <v>19690</v>
      </c>
      <c r="I168" s="2488"/>
      <c r="J168" s="2488"/>
      <c r="K168" s="2488"/>
      <c r="L168" s="2488"/>
      <c r="M168" s="2530">
        <v>1474639</v>
      </c>
      <c r="N168" s="2488"/>
      <c r="O168" s="2527">
        <f t="shared" si="6"/>
        <v>1474639</v>
      </c>
      <c r="P168" s="2479" t="str">
        <f t="shared" si="7"/>
        <v>2.61, NorWest Energy 2, LLC, IU</v>
      </c>
    </row>
    <row r="169" spans="1:16" ht="15" customHeight="1" x14ac:dyDescent="0.2">
      <c r="A169" s="2769">
        <f t="shared" si="8"/>
        <v>2.62</v>
      </c>
      <c r="B169" s="2512" t="s">
        <v>9487</v>
      </c>
      <c r="C169" s="2489" t="s">
        <v>192</v>
      </c>
      <c r="D169" s="2614"/>
      <c r="E169" s="2614"/>
      <c r="F169" s="2614"/>
      <c r="G169" s="2614"/>
      <c r="H169" s="2752">
        <v>9835</v>
      </c>
      <c r="I169" s="2488"/>
      <c r="J169" s="2488"/>
      <c r="K169" s="2488"/>
      <c r="L169" s="2488"/>
      <c r="M169" s="2530">
        <v>738141</v>
      </c>
      <c r="N169" s="2614"/>
      <c r="O169" s="2527">
        <f t="shared" si="6"/>
        <v>738141</v>
      </c>
      <c r="P169" s="2479" t="str">
        <f t="shared" si="7"/>
        <v>2.62, NorWest Energy 4, LLC, IU</v>
      </c>
    </row>
    <row r="170" spans="1:16" ht="15" customHeight="1" x14ac:dyDescent="0.2">
      <c r="A170" s="2769">
        <f t="shared" si="8"/>
        <v>2.63</v>
      </c>
      <c r="B170" s="2512" t="s">
        <v>9488</v>
      </c>
      <c r="C170" s="2489" t="s">
        <v>192</v>
      </c>
      <c r="D170" s="2614"/>
      <c r="E170" s="2614"/>
      <c r="F170" s="2614"/>
      <c r="G170" s="2614"/>
      <c r="H170" s="2750">
        <v>18129</v>
      </c>
      <c r="I170" s="2488"/>
      <c r="J170" s="2488"/>
      <c r="K170" s="2488"/>
      <c r="L170" s="2488"/>
      <c r="M170" s="2530">
        <v>1358919</v>
      </c>
      <c r="N170" s="2488"/>
      <c r="O170" s="2527">
        <f t="shared" si="6"/>
        <v>1358919</v>
      </c>
      <c r="P170" s="2479" t="str">
        <f t="shared" si="7"/>
        <v>2.63, NorWest Energy 7, LLC, IU</v>
      </c>
    </row>
    <row r="171" spans="1:16" ht="15" customHeight="1" x14ac:dyDescent="0.2">
      <c r="A171" s="2769">
        <f t="shared" si="8"/>
        <v>2.64</v>
      </c>
      <c r="B171" s="2512" t="s">
        <v>9489</v>
      </c>
      <c r="C171" s="2489" t="s">
        <v>192</v>
      </c>
      <c r="D171" s="2614"/>
      <c r="E171" s="2614"/>
      <c r="F171" s="2614"/>
      <c r="G171" s="2614"/>
      <c r="H171" s="2752">
        <v>11415</v>
      </c>
      <c r="I171" s="2488"/>
      <c r="J171" s="2488"/>
      <c r="K171" s="2488"/>
      <c r="L171" s="2488"/>
      <c r="M171" s="2530">
        <v>647083</v>
      </c>
      <c r="N171" s="2488"/>
      <c r="O171" s="2527">
        <f t="shared" si="6"/>
        <v>647083</v>
      </c>
      <c r="P171" s="2479" t="str">
        <f t="shared" si="7"/>
        <v>2.64, NorWest Energy 9, LLC, IU</v>
      </c>
    </row>
    <row r="172" spans="1:16" ht="15" customHeight="1" x14ac:dyDescent="0.2">
      <c r="A172" s="2769">
        <f t="shared" si="8"/>
        <v>2.65</v>
      </c>
      <c r="B172" s="2512" t="s">
        <v>9490</v>
      </c>
      <c r="C172" s="2489" t="s">
        <v>192</v>
      </c>
      <c r="D172" s="2614"/>
      <c r="E172" s="2614"/>
      <c r="F172" s="2614"/>
      <c r="G172" s="2614"/>
      <c r="H172" s="2614"/>
      <c r="I172" s="2488"/>
      <c r="J172" s="2488"/>
      <c r="K172" s="2488"/>
      <c r="L172" s="2488"/>
      <c r="M172" s="2614"/>
      <c r="N172" s="2946">
        <v>8160000</v>
      </c>
      <c r="O172" s="2527">
        <f t="shared" si="6"/>
        <v>8160000</v>
      </c>
      <c r="P172" s="2479" t="str">
        <f t="shared" si="7"/>
        <v>2.65, Nucor Corporation, IU</v>
      </c>
    </row>
    <row r="173" spans="1:16" ht="15" customHeight="1" x14ac:dyDescent="0.2">
      <c r="A173" s="2769">
        <f t="shared" si="8"/>
        <v>2.66</v>
      </c>
      <c r="B173" s="2512" t="s">
        <v>9491</v>
      </c>
      <c r="C173" s="2489" t="s">
        <v>191</v>
      </c>
      <c r="D173" s="2614"/>
      <c r="E173" s="2614"/>
      <c r="F173" s="2614"/>
      <c r="G173" s="2614"/>
      <c r="H173" s="2752">
        <v>702</v>
      </c>
      <c r="I173" s="2488"/>
      <c r="J173" s="2488"/>
      <c r="K173" s="2488"/>
      <c r="L173" s="2488"/>
      <c r="M173" s="2530">
        <v>58902</v>
      </c>
      <c r="N173" s="2614"/>
      <c r="O173" s="2527">
        <f t="shared" si="6"/>
        <v>58902</v>
      </c>
      <c r="P173" s="2479" t="str">
        <f t="shared" si="7"/>
        <v>2.66, Oak Lea Digester LLC, LU</v>
      </c>
    </row>
    <row r="174" spans="1:16" ht="15" customHeight="1" x14ac:dyDescent="0.2">
      <c r="A174" s="2769">
        <f t="shared" si="8"/>
        <v>2.67</v>
      </c>
      <c r="B174" s="2512" t="s">
        <v>9492</v>
      </c>
      <c r="C174" s="2489" t="s">
        <v>191</v>
      </c>
      <c r="D174" s="2614"/>
      <c r="E174" s="2614"/>
      <c r="F174" s="2614"/>
      <c r="G174" s="2614"/>
      <c r="H174" s="2752">
        <v>741</v>
      </c>
      <c r="I174" s="2488"/>
      <c r="J174" s="2488"/>
      <c r="K174" s="2488"/>
      <c r="L174" s="2488"/>
      <c r="M174" s="2530">
        <v>61823</v>
      </c>
      <c r="N174" s="2488"/>
      <c r="O174" s="2527">
        <f t="shared" si="6"/>
        <v>61823</v>
      </c>
      <c r="P174" s="2479" t="str">
        <f t="shared" si="7"/>
        <v>2.67, Obsidian Finance Group, LLC, LU</v>
      </c>
    </row>
    <row r="175" spans="1:16" ht="15" customHeight="1" x14ac:dyDescent="0.2">
      <c r="A175" s="2769">
        <f t="shared" si="8"/>
        <v>2.68</v>
      </c>
      <c r="B175" s="2512" t="s">
        <v>9493</v>
      </c>
      <c r="C175" s="2489" t="s">
        <v>193</v>
      </c>
      <c r="D175" s="2614"/>
      <c r="E175" s="2614"/>
      <c r="F175" s="2614"/>
      <c r="G175" s="2614"/>
      <c r="H175" s="2614"/>
      <c r="I175" s="2488"/>
      <c r="J175" s="2488"/>
      <c r="K175" s="2488"/>
      <c r="L175" s="2614"/>
      <c r="M175" s="2614"/>
      <c r="N175" s="2839">
        <v>-457607</v>
      </c>
      <c r="O175" s="2527">
        <f t="shared" si="6"/>
        <v>-457607</v>
      </c>
      <c r="P175" s="2479" t="str">
        <f t="shared" si="7"/>
        <v>2.68, OneEnergy, Inc., OS</v>
      </c>
    </row>
    <row r="176" spans="1:16" ht="15" customHeight="1" x14ac:dyDescent="0.2">
      <c r="A176" s="2769">
        <f t="shared" si="8"/>
        <v>2.69</v>
      </c>
      <c r="B176" s="2512" t="s">
        <v>9494</v>
      </c>
      <c r="C176" s="2489" t="s">
        <v>191</v>
      </c>
      <c r="D176" s="2614"/>
      <c r="E176" s="2614"/>
      <c r="F176" s="2614"/>
      <c r="G176" s="2614"/>
      <c r="H176" s="2752">
        <v>7775</v>
      </c>
      <c r="I176" s="2488"/>
      <c r="J176" s="2488"/>
      <c r="K176" s="2488"/>
      <c r="L176" s="2488"/>
      <c r="M176" s="2530">
        <v>583092</v>
      </c>
      <c r="N176" s="2488"/>
      <c r="O176" s="2527">
        <f t="shared" si="6"/>
        <v>583092</v>
      </c>
      <c r="P176" s="2479" t="str">
        <f t="shared" si="7"/>
        <v>2.69, Old Mill Solar, LLC, LU</v>
      </c>
    </row>
    <row r="177" spans="1:16" ht="15" customHeight="1" x14ac:dyDescent="0.2">
      <c r="A177" s="2769">
        <f t="shared" si="8"/>
        <v>2.7</v>
      </c>
      <c r="B177" s="2512" t="s">
        <v>9495</v>
      </c>
      <c r="C177" s="2489" t="s">
        <v>191</v>
      </c>
      <c r="D177" s="2614"/>
      <c r="E177" s="2614"/>
      <c r="F177" s="2614"/>
      <c r="G177" s="2614"/>
      <c r="H177" s="2752">
        <v>21435</v>
      </c>
      <c r="I177" s="2488"/>
      <c r="J177" s="2488"/>
      <c r="K177" s="2488"/>
      <c r="L177" s="2488"/>
      <c r="M177" s="2530">
        <v>1214779</v>
      </c>
      <c r="N177" s="2488"/>
      <c r="O177" s="2527">
        <f t="shared" si="6"/>
        <v>1214779</v>
      </c>
      <c r="P177" s="2479" t="str">
        <f t="shared" si="7"/>
        <v>2.7, OR Solar 2, LLC, LU</v>
      </c>
    </row>
    <row r="178" spans="1:16" ht="15" customHeight="1" x14ac:dyDescent="0.2">
      <c r="A178" s="2769">
        <f t="shared" si="8"/>
        <v>2.71</v>
      </c>
      <c r="B178" s="2512" t="s">
        <v>9496</v>
      </c>
      <c r="C178" s="2489" t="s">
        <v>191</v>
      </c>
      <c r="D178" s="2614"/>
      <c r="E178" s="2614"/>
      <c r="F178" s="2614"/>
      <c r="G178" s="2614"/>
      <c r="H178" s="2752">
        <v>23358</v>
      </c>
      <c r="I178" s="2488"/>
      <c r="J178" s="2488"/>
      <c r="K178" s="2488"/>
      <c r="L178" s="2488"/>
      <c r="M178" s="2530">
        <v>1323781</v>
      </c>
      <c r="N178" s="2488"/>
      <c r="O178" s="2527">
        <f t="shared" si="6"/>
        <v>1323781</v>
      </c>
      <c r="P178" s="2479" t="str">
        <f t="shared" si="7"/>
        <v>2.71, OR Solar 3, LLC, LU</v>
      </c>
    </row>
    <row r="179" spans="1:16" ht="15" customHeight="1" x14ac:dyDescent="0.2">
      <c r="A179" s="2769">
        <f t="shared" si="8"/>
        <v>2.72</v>
      </c>
      <c r="B179" s="2512" t="s">
        <v>9497</v>
      </c>
      <c r="C179" s="2489" t="s">
        <v>191</v>
      </c>
      <c r="D179" s="2614"/>
      <c r="E179" s="2614"/>
      <c r="F179" s="2614"/>
      <c r="G179" s="2614"/>
      <c r="H179" s="2752">
        <v>18346</v>
      </c>
      <c r="I179" s="2488"/>
      <c r="J179" s="2488"/>
      <c r="K179" s="2488"/>
      <c r="L179" s="2488"/>
      <c r="M179" s="2530">
        <v>1039753</v>
      </c>
      <c r="N179" s="2488"/>
      <c r="O179" s="2527">
        <f t="shared" si="6"/>
        <v>1039753</v>
      </c>
      <c r="P179" s="2479" t="str">
        <f t="shared" si="7"/>
        <v>2.72, OR Solar 5, LLC, LU</v>
      </c>
    </row>
    <row r="180" spans="1:16" ht="15" customHeight="1" x14ac:dyDescent="0.2">
      <c r="A180" s="2769">
        <f t="shared" si="8"/>
        <v>2.73</v>
      </c>
      <c r="B180" s="2512" t="s">
        <v>9498</v>
      </c>
      <c r="C180" s="2489" t="s">
        <v>191</v>
      </c>
      <c r="D180" s="2614"/>
      <c r="E180" s="2614"/>
      <c r="F180" s="2614"/>
      <c r="G180" s="2614"/>
      <c r="H180" s="2752">
        <v>23397</v>
      </c>
      <c r="I180" s="2488"/>
      <c r="J180" s="2488"/>
      <c r="K180" s="2488"/>
      <c r="L180" s="2488"/>
      <c r="M180" s="2530">
        <v>1326967</v>
      </c>
      <c r="N180" s="2488"/>
      <c r="O180" s="2527">
        <f t="shared" si="6"/>
        <v>1326967</v>
      </c>
      <c r="P180" s="2479" t="str">
        <f t="shared" si="7"/>
        <v>2.73, OR Solar 6, LLC, LU</v>
      </c>
    </row>
    <row r="181" spans="1:16" ht="15" customHeight="1" x14ac:dyDescent="0.2">
      <c r="A181" s="2769">
        <f t="shared" si="8"/>
        <v>2.74</v>
      </c>
      <c r="B181" s="2512" t="s">
        <v>9499</v>
      </c>
      <c r="C181" s="2489" t="s">
        <v>191</v>
      </c>
      <c r="D181" s="2614"/>
      <c r="E181" s="2614"/>
      <c r="F181" s="2614"/>
      <c r="G181" s="2614"/>
      <c r="H181" s="2752">
        <v>24194</v>
      </c>
      <c r="I181" s="2488"/>
      <c r="J181" s="2488"/>
      <c r="K181" s="2488"/>
      <c r="L181" s="2488"/>
      <c r="M181" s="2530">
        <v>1371757</v>
      </c>
      <c r="N181" s="2488"/>
      <c r="O181" s="2527">
        <f t="shared" si="6"/>
        <v>1371757</v>
      </c>
      <c r="P181" s="2479" t="str">
        <f t="shared" si="7"/>
        <v>2.74, OR Solar 8, LLC, LU</v>
      </c>
    </row>
    <row r="182" spans="1:16" ht="15" customHeight="1" x14ac:dyDescent="0.2">
      <c r="A182" s="2769">
        <f t="shared" si="8"/>
        <v>2.75</v>
      </c>
      <c r="B182" s="2512" t="s">
        <v>9500</v>
      </c>
      <c r="C182" s="2489" t="s">
        <v>191</v>
      </c>
      <c r="D182" s="2614"/>
      <c r="E182" s="2614"/>
      <c r="F182" s="2614"/>
      <c r="G182" s="2614"/>
      <c r="H182" s="2752">
        <v>25544</v>
      </c>
      <c r="I182" s="2488"/>
      <c r="J182" s="2488"/>
      <c r="K182" s="2488"/>
      <c r="L182" s="2488"/>
      <c r="M182" s="2530">
        <v>988879</v>
      </c>
      <c r="N182" s="2488"/>
      <c r="O182" s="2527">
        <f t="shared" si="6"/>
        <v>988879</v>
      </c>
      <c r="P182" s="2479" t="str">
        <f t="shared" si="7"/>
        <v>2.75, Orchard Windfarm 1, LLC, LU</v>
      </c>
    </row>
    <row r="183" spans="1:16" ht="15" customHeight="1" x14ac:dyDescent="0.2">
      <c r="A183" s="2769">
        <f t="shared" si="8"/>
        <v>2.76</v>
      </c>
      <c r="B183" s="2512" t="s">
        <v>9501</v>
      </c>
      <c r="C183" s="2489" t="s">
        <v>191</v>
      </c>
      <c r="D183" s="2614"/>
      <c r="E183" s="2614"/>
      <c r="F183" s="2614"/>
      <c r="G183" s="2614"/>
      <c r="H183" s="2752">
        <v>25571</v>
      </c>
      <c r="I183" s="2488"/>
      <c r="J183" s="2488"/>
      <c r="K183" s="2488"/>
      <c r="L183" s="2488"/>
      <c r="M183" s="2530">
        <v>989983</v>
      </c>
      <c r="N183" s="2614"/>
      <c r="O183" s="2527">
        <f t="shared" si="6"/>
        <v>989983</v>
      </c>
      <c r="P183" s="2479" t="str">
        <f t="shared" si="7"/>
        <v>2.76, Orchard Windfarm 2, LLC, LU</v>
      </c>
    </row>
    <row r="184" spans="1:16" ht="15" customHeight="1" x14ac:dyDescent="0.2">
      <c r="A184" s="2769">
        <f t="shared" si="8"/>
        <v>2.77</v>
      </c>
      <c r="B184" s="2512" t="s">
        <v>9502</v>
      </c>
      <c r="C184" s="2489" t="s">
        <v>191</v>
      </c>
      <c r="D184" s="2614"/>
      <c r="E184" s="2614"/>
      <c r="F184" s="2614"/>
      <c r="G184" s="2614"/>
      <c r="H184" s="2750">
        <v>25441</v>
      </c>
      <c r="I184" s="2488"/>
      <c r="J184" s="2488"/>
      <c r="K184" s="2488"/>
      <c r="L184" s="2488"/>
      <c r="M184" s="2530">
        <v>985978</v>
      </c>
      <c r="N184" s="2488"/>
      <c r="O184" s="2527">
        <f t="shared" si="6"/>
        <v>985978</v>
      </c>
      <c r="P184" s="2479" t="str">
        <f t="shared" si="7"/>
        <v>2.77, Orchard Windfarm 3, LLC, LU</v>
      </c>
    </row>
    <row r="185" spans="1:16" ht="15" customHeight="1" x14ac:dyDescent="0.2">
      <c r="A185" s="2769">
        <f t="shared" si="8"/>
        <v>2.78</v>
      </c>
      <c r="B185" s="2512" t="s">
        <v>9503</v>
      </c>
      <c r="C185" s="2489" t="s">
        <v>191</v>
      </c>
      <c r="D185" s="2614"/>
      <c r="E185" s="2614"/>
      <c r="F185" s="2614"/>
      <c r="G185" s="2614"/>
      <c r="H185" s="2752">
        <v>25570</v>
      </c>
      <c r="I185" s="2488"/>
      <c r="J185" s="2488"/>
      <c r="K185" s="2488"/>
      <c r="L185" s="2488"/>
      <c r="M185" s="2530">
        <v>990236</v>
      </c>
      <c r="N185" s="2488"/>
      <c r="O185" s="2527">
        <f t="shared" si="6"/>
        <v>990236</v>
      </c>
      <c r="P185" s="2479" t="str">
        <f t="shared" si="7"/>
        <v>2.78, Orchard Windfarm 4, LLC, LU</v>
      </c>
    </row>
    <row r="186" spans="1:16" ht="15" customHeight="1" x14ac:dyDescent="0.2">
      <c r="A186" s="2769">
        <f t="shared" si="8"/>
        <v>2.79</v>
      </c>
      <c r="B186" s="2512" t="s">
        <v>9504</v>
      </c>
      <c r="C186" s="2489" t="s">
        <v>191</v>
      </c>
      <c r="D186" s="2614"/>
      <c r="E186" s="2614"/>
      <c r="F186" s="2614"/>
      <c r="G186" s="2614"/>
      <c r="H186" s="2752">
        <v>13497</v>
      </c>
      <c r="I186" s="2488"/>
      <c r="J186" s="2488"/>
      <c r="K186" s="2488"/>
      <c r="L186" s="2488"/>
      <c r="M186" s="2530">
        <v>816876</v>
      </c>
      <c r="N186" s="2488"/>
      <c r="O186" s="2527">
        <f t="shared" si="6"/>
        <v>816876</v>
      </c>
      <c r="P186" s="2479" t="str">
        <f t="shared" si="7"/>
        <v>2.79, Oregon Environmental Industries, LLC, LU</v>
      </c>
    </row>
    <row r="187" spans="1:16" ht="15" customHeight="1" x14ac:dyDescent="0.2">
      <c r="A187" s="2769">
        <f t="shared" si="8"/>
        <v>2.8</v>
      </c>
      <c r="B187" s="2512" t="s">
        <v>9504</v>
      </c>
      <c r="C187" s="2942" t="s">
        <v>196</v>
      </c>
      <c r="D187" s="2614"/>
      <c r="E187" s="2614"/>
      <c r="F187" s="2614"/>
      <c r="G187" s="2614"/>
      <c r="H187" s="2752">
        <v>-1733</v>
      </c>
      <c r="I187" s="2488"/>
      <c r="J187" s="2488"/>
      <c r="K187" s="2488"/>
      <c r="L187" s="2488"/>
      <c r="M187" s="2614"/>
      <c r="N187" s="2838">
        <v>-138923</v>
      </c>
      <c r="O187" s="2527">
        <f t="shared" si="6"/>
        <v>-138923</v>
      </c>
      <c r="P187" s="2479" t="str">
        <f t="shared" si="7"/>
        <v>2.8, Oregon Environmental Industries, LLC, AD</v>
      </c>
    </row>
    <row r="188" spans="1:16" ht="15" customHeight="1" x14ac:dyDescent="0.2">
      <c r="A188" s="2769">
        <f t="shared" si="8"/>
        <v>2.81</v>
      </c>
      <c r="B188" s="2512" t="s">
        <v>9505</v>
      </c>
      <c r="C188" s="2489" t="s">
        <v>191</v>
      </c>
      <c r="D188" s="2614"/>
      <c r="E188" s="2614"/>
      <c r="F188" s="2614"/>
      <c r="G188" s="2614"/>
      <c r="H188" s="2752">
        <v>8976</v>
      </c>
      <c r="I188" s="2488"/>
      <c r="J188" s="2488"/>
      <c r="K188" s="2488"/>
      <c r="L188" s="2488"/>
      <c r="M188" s="2530">
        <v>738933</v>
      </c>
      <c r="N188" s="2488"/>
      <c r="O188" s="2527">
        <f t="shared" si="6"/>
        <v>738933</v>
      </c>
      <c r="P188" s="2479" t="str">
        <f t="shared" si="7"/>
        <v>2.81, Oregon Solar Incentive, LU</v>
      </c>
    </row>
    <row r="189" spans="1:16" ht="15" customHeight="1" x14ac:dyDescent="0.2">
      <c r="A189" s="2769">
        <f t="shared" si="8"/>
        <v>2.82</v>
      </c>
      <c r="B189" s="2512" t="s">
        <v>9506</v>
      </c>
      <c r="C189" s="2489" t="s">
        <v>191</v>
      </c>
      <c r="D189" s="2614"/>
      <c r="E189" s="2614"/>
      <c r="F189" s="2614"/>
      <c r="G189" s="2614"/>
      <c r="H189" s="2752">
        <v>21222</v>
      </c>
      <c r="I189" s="2488"/>
      <c r="J189" s="2488"/>
      <c r="K189" s="2488"/>
      <c r="L189" s="2614"/>
      <c r="M189" s="2530">
        <v>1668207</v>
      </c>
      <c r="N189" s="2614"/>
      <c r="O189" s="2527">
        <f t="shared" si="6"/>
        <v>1668207</v>
      </c>
      <c r="P189" s="2479" t="str">
        <f t="shared" si="7"/>
        <v>2.82, Oregon Trail Windfarm, LLC, LU</v>
      </c>
    </row>
    <row r="190" spans="1:16" ht="15" customHeight="1" x14ac:dyDescent="0.2">
      <c r="A190" s="2769">
        <f t="shared" si="8"/>
        <v>2.83</v>
      </c>
      <c r="B190" s="2512" t="s">
        <v>9507</v>
      </c>
      <c r="C190" s="2489" t="s">
        <v>192</v>
      </c>
      <c r="D190" s="2614"/>
      <c r="E190" s="2614"/>
      <c r="F190" s="2614"/>
      <c r="G190" s="2614"/>
      <c r="H190" s="2752">
        <v>22396</v>
      </c>
      <c r="I190" s="2488"/>
      <c r="J190" s="2488"/>
      <c r="K190" s="2488"/>
      <c r="L190" s="2488"/>
      <c r="M190" s="2530">
        <v>1268740</v>
      </c>
      <c r="N190" s="2488"/>
      <c r="O190" s="2527">
        <f t="shared" si="6"/>
        <v>1268740</v>
      </c>
      <c r="P190" s="2479" t="str">
        <f t="shared" si="7"/>
        <v>2.83, OSLH, LLC, IU</v>
      </c>
    </row>
    <row r="191" spans="1:16" ht="15" customHeight="1" x14ac:dyDescent="0.2">
      <c r="A191" s="2769">
        <f t="shared" si="8"/>
        <v>2.84</v>
      </c>
      <c r="B191" s="2512" t="s">
        <v>9508</v>
      </c>
      <c r="C191" s="2489" t="s">
        <v>189</v>
      </c>
      <c r="D191" s="2614"/>
      <c r="E191" s="2614"/>
      <c r="F191" s="2614"/>
      <c r="G191" s="2614"/>
      <c r="H191" s="2614"/>
      <c r="I191" s="2488"/>
      <c r="J191" s="2488"/>
      <c r="K191" s="2488"/>
      <c r="L191" s="2488"/>
      <c r="M191" s="2614"/>
      <c r="N191" s="2531">
        <v>20600000</v>
      </c>
      <c r="O191" s="2527">
        <f t="shared" si="6"/>
        <v>20600000</v>
      </c>
      <c r="P191" s="2479" t="str">
        <f t="shared" si="7"/>
        <v>2.84, P4 Production, LLC, IF</v>
      </c>
    </row>
    <row r="192" spans="1:16" ht="15" customHeight="1" x14ac:dyDescent="0.2">
      <c r="A192" s="2769">
        <f t="shared" si="8"/>
        <v>2.85</v>
      </c>
      <c r="B192" s="2512" t="s">
        <v>9509</v>
      </c>
      <c r="C192" s="2489" t="s">
        <v>191</v>
      </c>
      <c r="D192" s="2614"/>
      <c r="E192" s="2614"/>
      <c r="F192" s="2614"/>
      <c r="G192" s="2614"/>
      <c r="H192" s="2752">
        <v>16030</v>
      </c>
      <c r="I192" s="2488"/>
      <c r="J192" s="2488"/>
      <c r="K192" s="2488"/>
      <c r="L192" s="2488"/>
      <c r="M192" s="2530">
        <v>1262483</v>
      </c>
      <c r="N192" s="2488"/>
      <c r="O192" s="2527">
        <f t="shared" si="6"/>
        <v>1262483</v>
      </c>
      <c r="P192" s="2479" t="str">
        <f t="shared" si="7"/>
        <v>2.85, Pacific Canyon Windfarm, LLC, LU</v>
      </c>
    </row>
    <row r="193" spans="1:16" ht="15" customHeight="1" x14ac:dyDescent="0.2">
      <c r="A193" s="2769">
        <f t="shared" si="8"/>
        <v>2.86</v>
      </c>
      <c r="B193" s="2512" t="s">
        <v>9510</v>
      </c>
      <c r="C193" s="2489" t="s">
        <v>191</v>
      </c>
      <c r="D193" s="2614"/>
      <c r="E193" s="2614"/>
      <c r="F193" s="2614"/>
      <c r="G193" s="2614"/>
      <c r="H193" s="2752">
        <v>102442</v>
      </c>
      <c r="I193" s="2488"/>
      <c r="J193" s="2488"/>
      <c r="K193" s="2488"/>
      <c r="L193" s="2488"/>
      <c r="M193" s="2530">
        <v>3906708</v>
      </c>
      <c r="N193" s="2488"/>
      <c r="O193" s="2527">
        <f t="shared" si="6"/>
        <v>3906708</v>
      </c>
      <c r="P193" s="2479" t="str">
        <f t="shared" si="7"/>
        <v>2.86, Pavant Solar II LLC, LU</v>
      </c>
    </row>
    <row r="194" spans="1:16" ht="15" customHeight="1" x14ac:dyDescent="0.2">
      <c r="A194" s="2769">
        <f t="shared" si="8"/>
        <v>2.87</v>
      </c>
      <c r="B194" s="2512" t="s">
        <v>9511</v>
      </c>
      <c r="C194" s="2489" t="s">
        <v>191</v>
      </c>
      <c r="D194" s="2614"/>
      <c r="E194" s="2614"/>
      <c r="F194" s="2614"/>
      <c r="G194" s="2614"/>
      <c r="H194" s="2752">
        <v>40759</v>
      </c>
      <c r="I194" s="2488"/>
      <c r="J194" s="2488"/>
      <c r="K194" s="2488"/>
      <c r="L194" s="2488"/>
      <c r="M194" s="2530">
        <v>2152073</v>
      </c>
      <c r="N194" s="2488"/>
      <c r="O194" s="2527">
        <f t="shared" si="6"/>
        <v>2152073</v>
      </c>
      <c r="P194" s="2479" t="str">
        <f t="shared" si="7"/>
        <v>2.87, Pavant Solar III LLC, LU</v>
      </c>
    </row>
    <row r="195" spans="1:16" ht="15" customHeight="1" x14ac:dyDescent="0.2">
      <c r="A195" s="2769">
        <f t="shared" si="8"/>
        <v>2.88</v>
      </c>
      <c r="B195" s="2512" t="s">
        <v>9512</v>
      </c>
      <c r="C195" s="2489" t="s">
        <v>191</v>
      </c>
      <c r="D195" s="2614"/>
      <c r="E195" s="2614"/>
      <c r="F195" s="2614"/>
      <c r="G195" s="2614"/>
      <c r="H195" s="2752">
        <v>99047</v>
      </c>
      <c r="I195" s="2488"/>
      <c r="J195" s="2488"/>
      <c r="K195" s="2488"/>
      <c r="L195" s="2488"/>
      <c r="M195" s="2530">
        <v>6115122</v>
      </c>
      <c r="N195" s="2943">
        <v>148571</v>
      </c>
      <c r="O195" s="2527">
        <f t="shared" si="6"/>
        <v>6263693</v>
      </c>
      <c r="P195" s="2479" t="str">
        <f t="shared" si="7"/>
        <v>2.88, Pavant Solar LLC, LU</v>
      </c>
    </row>
    <row r="196" spans="1:16" ht="15" customHeight="1" x14ac:dyDescent="0.2">
      <c r="A196" s="2769">
        <f t="shared" si="8"/>
        <v>2.89</v>
      </c>
      <c r="B196" s="2512" t="s">
        <v>9512</v>
      </c>
      <c r="C196" s="2942" t="s">
        <v>196</v>
      </c>
      <c r="D196" s="2614"/>
      <c r="E196" s="2614"/>
      <c r="F196" s="2614"/>
      <c r="G196" s="2614"/>
      <c r="H196" s="2614"/>
      <c r="I196" s="2488"/>
      <c r="J196" s="2488"/>
      <c r="K196" s="2488"/>
      <c r="L196" s="2488"/>
      <c r="M196" s="2614"/>
      <c r="N196" s="2838">
        <v>-3</v>
      </c>
      <c r="O196" s="2527">
        <f t="shared" si="6"/>
        <v>-3</v>
      </c>
      <c r="P196" s="2479" t="str">
        <f t="shared" si="7"/>
        <v>2.89, Pavant Solar LLC, AD</v>
      </c>
    </row>
    <row r="197" spans="1:16" ht="15" customHeight="1" x14ac:dyDescent="0.2">
      <c r="A197" s="2769">
        <f t="shared" si="8"/>
        <v>2.9</v>
      </c>
      <c r="B197" s="2512" t="s">
        <v>9122</v>
      </c>
      <c r="C197" s="2489" t="s">
        <v>190</v>
      </c>
      <c r="D197" s="2614"/>
      <c r="E197" s="2614"/>
      <c r="F197" s="2614"/>
      <c r="G197" s="2614"/>
      <c r="H197" s="2752">
        <v>122805</v>
      </c>
      <c r="I197" s="2488"/>
      <c r="J197" s="2488"/>
      <c r="K197" s="2488"/>
      <c r="L197" s="2488"/>
      <c r="M197" s="2530">
        <v>10279030</v>
      </c>
      <c r="N197" s="2614"/>
      <c r="O197" s="2527">
        <f t="shared" si="6"/>
        <v>10279030</v>
      </c>
      <c r="P197" s="2479" t="str">
        <f t="shared" si="7"/>
        <v>2.9, Phillips 66 Energy Trading, LLC, SF</v>
      </c>
    </row>
    <row r="198" spans="1:16" ht="15" customHeight="1" x14ac:dyDescent="0.2">
      <c r="A198" s="2769">
        <f t="shared" si="8"/>
        <v>2.91</v>
      </c>
      <c r="B198" s="2512" t="s">
        <v>9513</v>
      </c>
      <c r="C198" s="2489" t="s">
        <v>191</v>
      </c>
      <c r="D198" s="2614"/>
      <c r="E198" s="2614"/>
      <c r="F198" s="2614"/>
      <c r="G198" s="2614"/>
      <c r="H198" s="2750">
        <v>226332</v>
      </c>
      <c r="I198" s="2488"/>
      <c r="J198" s="2488"/>
      <c r="K198" s="2488"/>
      <c r="L198" s="2488"/>
      <c r="M198" s="2530">
        <v>9442925</v>
      </c>
      <c r="N198" s="2839">
        <v>-844167</v>
      </c>
      <c r="O198" s="2527">
        <f t="shared" si="6"/>
        <v>8598758</v>
      </c>
      <c r="P198" s="2479" t="str">
        <f t="shared" si="7"/>
        <v>2.91, Pioneer Wind Park I, LLC, LU</v>
      </c>
    </row>
    <row r="199" spans="1:16" ht="15" customHeight="1" x14ac:dyDescent="0.2">
      <c r="A199" s="2769">
        <f t="shared" si="8"/>
        <v>2.92</v>
      </c>
      <c r="B199" s="2512" t="s">
        <v>9513</v>
      </c>
      <c r="C199" s="2942" t="s">
        <v>196</v>
      </c>
      <c r="D199" s="2614"/>
      <c r="E199" s="2614"/>
      <c r="F199" s="2614"/>
      <c r="G199" s="2614"/>
      <c r="H199" s="2614"/>
      <c r="I199" s="2488"/>
      <c r="J199" s="2488"/>
      <c r="K199" s="2488"/>
      <c r="L199" s="2488"/>
      <c r="M199" s="2614"/>
      <c r="N199" s="2838">
        <v>-376403</v>
      </c>
      <c r="O199" s="2527">
        <f t="shared" ref="O199:O262" si="9">SUM(L199:N199)</f>
        <v>-376403</v>
      </c>
      <c r="P199" s="2479" t="str">
        <f t="shared" ref="P199:P262" si="10">CONCATENATE(A199,", ",B199,", ",C199)</f>
        <v>2.92, Pioneer Wind Park I, LLC, AD</v>
      </c>
    </row>
    <row r="200" spans="1:16" ht="15" customHeight="1" x14ac:dyDescent="0.2">
      <c r="A200" s="2769">
        <f t="shared" ref="A200:A263" si="11">ROUND(A199+0.01,2)</f>
        <v>2.93</v>
      </c>
      <c r="B200" s="2512" t="s">
        <v>9514</v>
      </c>
      <c r="C200" s="2489" t="s">
        <v>190</v>
      </c>
      <c r="D200" s="2614"/>
      <c r="E200" s="2614"/>
      <c r="F200" s="2614"/>
      <c r="G200" s="2614"/>
      <c r="H200" s="2752">
        <v>3628</v>
      </c>
      <c r="I200" s="2488"/>
      <c r="J200" s="2488"/>
      <c r="K200" s="2488"/>
      <c r="L200" s="2488"/>
      <c r="M200" s="2530">
        <v>55558</v>
      </c>
      <c r="N200" s="2488"/>
      <c r="O200" s="2527">
        <f t="shared" si="9"/>
        <v>55558</v>
      </c>
      <c r="P200" s="2479" t="str">
        <f t="shared" si="10"/>
        <v>2.93, Platte River Power Authority, SF</v>
      </c>
    </row>
    <row r="201" spans="1:16" ht="15" customHeight="1" x14ac:dyDescent="0.2">
      <c r="A201" s="2769">
        <f t="shared" si="11"/>
        <v>2.94</v>
      </c>
      <c r="B201" s="2512" t="s">
        <v>9123</v>
      </c>
      <c r="C201" s="2947" t="s">
        <v>188</v>
      </c>
      <c r="D201" s="2614"/>
      <c r="E201" s="2614"/>
      <c r="F201" s="2614"/>
      <c r="G201" s="2614"/>
      <c r="H201" s="2752">
        <v>12234</v>
      </c>
      <c r="I201" s="2488"/>
      <c r="J201" s="2488"/>
      <c r="K201" s="2488"/>
      <c r="L201" s="2530">
        <v>158154</v>
      </c>
      <c r="M201" s="2530">
        <v>10065</v>
      </c>
      <c r="N201" s="2488"/>
      <c r="O201" s="2527">
        <f t="shared" si="9"/>
        <v>168219</v>
      </c>
      <c r="P201" s="2479" t="str">
        <f t="shared" si="10"/>
        <v>2.94, Portland General Electric Company, LF</v>
      </c>
    </row>
    <row r="202" spans="1:16" ht="15" customHeight="1" x14ac:dyDescent="0.2">
      <c r="A202" s="2769">
        <f t="shared" si="11"/>
        <v>2.95</v>
      </c>
      <c r="B202" s="2512" t="s">
        <v>9123</v>
      </c>
      <c r="C202" s="2942" t="s">
        <v>196</v>
      </c>
      <c r="D202" s="2614"/>
      <c r="E202" s="2614"/>
      <c r="F202" s="2614"/>
      <c r="G202" s="2614"/>
      <c r="H202" s="2614"/>
      <c r="I202" s="2488"/>
      <c r="J202" s="2488"/>
      <c r="K202" s="2488"/>
      <c r="L202" s="2488"/>
      <c r="M202" s="2488"/>
      <c r="N202" s="2838">
        <v>44471</v>
      </c>
      <c r="O202" s="2527">
        <f t="shared" si="9"/>
        <v>44471</v>
      </c>
      <c r="P202" s="2479" t="str">
        <f t="shared" si="10"/>
        <v>2.95, Portland General Electric Company, AD</v>
      </c>
    </row>
    <row r="203" spans="1:16" ht="15" customHeight="1" x14ac:dyDescent="0.2">
      <c r="A203" s="2769">
        <f t="shared" si="11"/>
        <v>2.96</v>
      </c>
      <c r="B203" s="2512" t="s">
        <v>9123</v>
      </c>
      <c r="C203" s="2489" t="s">
        <v>190</v>
      </c>
      <c r="D203" s="2614"/>
      <c r="E203" s="2614"/>
      <c r="F203" s="2614"/>
      <c r="G203" s="2614"/>
      <c r="H203" s="2752">
        <v>104711</v>
      </c>
      <c r="I203" s="2488"/>
      <c r="J203" s="2488"/>
      <c r="K203" s="2488"/>
      <c r="L203" s="2614"/>
      <c r="M203" s="2530">
        <v>6151251</v>
      </c>
      <c r="N203" s="2944">
        <v>7024</v>
      </c>
      <c r="O203" s="2527">
        <f t="shared" si="9"/>
        <v>6158275</v>
      </c>
      <c r="P203" s="2479" t="str">
        <f t="shared" si="10"/>
        <v>2.96, Portland General Electric Company, SF</v>
      </c>
    </row>
    <row r="204" spans="1:16" ht="15" customHeight="1" x14ac:dyDescent="0.2">
      <c r="A204" s="2769">
        <f t="shared" si="11"/>
        <v>2.97</v>
      </c>
      <c r="B204" s="2512" t="s">
        <v>9515</v>
      </c>
      <c r="C204" s="2489" t="s">
        <v>191</v>
      </c>
      <c r="D204" s="2614"/>
      <c r="E204" s="2614"/>
      <c r="F204" s="2614"/>
      <c r="G204" s="2614"/>
      <c r="H204" s="2752">
        <v>48081</v>
      </c>
      <c r="I204" s="2488"/>
      <c r="J204" s="2488"/>
      <c r="K204" s="2488"/>
      <c r="L204" s="2488"/>
      <c r="M204" s="2530">
        <v>4308904</v>
      </c>
      <c r="N204" s="2488"/>
      <c r="O204" s="2527">
        <f t="shared" si="9"/>
        <v>4308904</v>
      </c>
      <c r="P204" s="2479" t="str">
        <f t="shared" si="10"/>
        <v>2.97, Power County Wind Park North, LLC, LU</v>
      </c>
    </row>
    <row r="205" spans="1:16" ht="15" customHeight="1" x14ac:dyDescent="0.2">
      <c r="A205" s="2769">
        <f t="shared" si="11"/>
        <v>2.98</v>
      </c>
      <c r="B205" s="2512" t="s">
        <v>9515</v>
      </c>
      <c r="C205" s="2942" t="s">
        <v>196</v>
      </c>
      <c r="D205" s="2614"/>
      <c r="E205" s="2614"/>
      <c r="F205" s="2614"/>
      <c r="G205" s="2614"/>
      <c r="H205" s="2752">
        <v>409</v>
      </c>
      <c r="I205" s="2488"/>
      <c r="J205" s="2488"/>
      <c r="K205" s="2488"/>
      <c r="L205" s="2488"/>
      <c r="M205" s="2614"/>
      <c r="N205" s="2838">
        <v>37860</v>
      </c>
      <c r="O205" s="2527">
        <f t="shared" si="9"/>
        <v>37860</v>
      </c>
      <c r="P205" s="2479" t="str">
        <f t="shared" si="10"/>
        <v>2.98, Power County Wind Park North, LLC, AD</v>
      </c>
    </row>
    <row r="206" spans="1:16" ht="15" customHeight="1" x14ac:dyDescent="0.2">
      <c r="A206" s="2769">
        <f t="shared" si="11"/>
        <v>2.99</v>
      </c>
      <c r="B206" s="2512" t="s">
        <v>9516</v>
      </c>
      <c r="C206" s="2489" t="s">
        <v>191</v>
      </c>
      <c r="D206" s="2614"/>
      <c r="E206" s="2614"/>
      <c r="F206" s="2614"/>
      <c r="G206" s="2614"/>
      <c r="H206" s="2752">
        <v>41239</v>
      </c>
      <c r="I206" s="2488"/>
      <c r="J206" s="2488"/>
      <c r="K206" s="2488"/>
      <c r="L206" s="2488"/>
      <c r="M206" s="2530">
        <v>3720311</v>
      </c>
      <c r="N206" s="2488"/>
      <c r="O206" s="2527">
        <f t="shared" si="9"/>
        <v>3720311</v>
      </c>
      <c r="P206" s="2479" t="str">
        <f t="shared" si="10"/>
        <v>2.99, Power County Wind Park South, LLC, LU</v>
      </c>
    </row>
    <row r="207" spans="1:16" ht="15" customHeight="1" x14ac:dyDescent="0.2">
      <c r="A207" s="2769">
        <f t="shared" si="11"/>
        <v>3</v>
      </c>
      <c r="B207" s="2512" t="s">
        <v>9516</v>
      </c>
      <c r="C207" s="2942" t="s">
        <v>196</v>
      </c>
      <c r="D207" s="2614"/>
      <c r="E207" s="2614"/>
      <c r="F207" s="2614"/>
      <c r="G207" s="2614"/>
      <c r="H207" s="2752">
        <v>-120</v>
      </c>
      <c r="I207" s="2488"/>
      <c r="J207" s="2488"/>
      <c r="K207" s="2488"/>
      <c r="L207" s="2488"/>
      <c r="M207" s="2614"/>
      <c r="N207" s="2838">
        <v>-11415</v>
      </c>
      <c r="O207" s="2527">
        <f t="shared" si="9"/>
        <v>-11415</v>
      </c>
      <c r="P207" s="2479" t="str">
        <f t="shared" si="10"/>
        <v>3, Power County Wind Park South, LLC, AD</v>
      </c>
    </row>
    <row r="208" spans="1:16" ht="15" customHeight="1" x14ac:dyDescent="0.2">
      <c r="A208" s="2769">
        <f t="shared" si="11"/>
        <v>3.01</v>
      </c>
      <c r="B208" s="2512" t="s">
        <v>9124</v>
      </c>
      <c r="C208" s="2489" t="s">
        <v>190</v>
      </c>
      <c r="D208" s="2614"/>
      <c r="E208" s="2614"/>
      <c r="F208" s="2614"/>
      <c r="G208" s="2614"/>
      <c r="H208" s="2752">
        <v>58086</v>
      </c>
      <c r="I208" s="2488"/>
      <c r="J208" s="2488"/>
      <c r="K208" s="2488"/>
      <c r="L208" s="2488"/>
      <c r="M208" s="2530">
        <v>14575405</v>
      </c>
      <c r="N208" s="2488"/>
      <c r="O208" s="2527">
        <f t="shared" si="9"/>
        <v>14575405</v>
      </c>
      <c r="P208" s="2479" t="str">
        <f t="shared" si="10"/>
        <v>3.01, Powerex Corporation, SF</v>
      </c>
    </row>
    <row r="209" spans="1:16" ht="15" customHeight="1" x14ac:dyDescent="0.2">
      <c r="A209" s="2769">
        <f t="shared" si="11"/>
        <v>3.02</v>
      </c>
      <c r="B209" s="2512" t="s">
        <v>9517</v>
      </c>
      <c r="C209" s="2489" t="s">
        <v>191</v>
      </c>
      <c r="D209" s="2614"/>
      <c r="E209" s="2614"/>
      <c r="F209" s="2614"/>
      <c r="G209" s="2614"/>
      <c r="H209" s="2752">
        <v>92946</v>
      </c>
      <c r="I209" s="2488"/>
      <c r="J209" s="2488"/>
      <c r="K209" s="2488"/>
      <c r="L209" s="2488"/>
      <c r="M209" s="2530">
        <v>1816172</v>
      </c>
      <c r="N209" s="2943">
        <v>1183203</v>
      </c>
      <c r="O209" s="2527">
        <f t="shared" si="9"/>
        <v>2999375</v>
      </c>
      <c r="P209" s="2479" t="str">
        <f t="shared" si="10"/>
        <v>3.02, Prineville Solar Energy LLC, LU</v>
      </c>
    </row>
    <row r="210" spans="1:16" ht="15" customHeight="1" x14ac:dyDescent="0.2">
      <c r="A210" s="2769">
        <f t="shared" si="11"/>
        <v>3.03</v>
      </c>
      <c r="B210" s="2512" t="s">
        <v>9518</v>
      </c>
      <c r="C210" s="2945" t="s">
        <v>188</v>
      </c>
      <c r="D210" s="2614"/>
      <c r="E210" s="2614"/>
      <c r="F210" s="2614"/>
      <c r="G210" s="2614"/>
      <c r="H210" s="2752">
        <v>44</v>
      </c>
      <c r="I210" s="2488"/>
      <c r="J210" s="2488"/>
      <c r="K210" s="2488"/>
      <c r="L210" s="2488"/>
      <c r="M210" s="2530">
        <v>3895</v>
      </c>
      <c r="N210" s="2614"/>
      <c r="O210" s="2527">
        <f t="shared" si="9"/>
        <v>3895</v>
      </c>
      <c r="P210" s="2479" t="str">
        <f t="shared" si="10"/>
        <v>3.03, Provo City Corporation, LF</v>
      </c>
    </row>
    <row r="211" spans="1:16" ht="15" customHeight="1" x14ac:dyDescent="0.2">
      <c r="A211" s="2769">
        <f t="shared" si="11"/>
        <v>3.04</v>
      </c>
      <c r="B211" s="2512" t="s">
        <v>9125</v>
      </c>
      <c r="C211" s="2489" t="s">
        <v>190</v>
      </c>
      <c r="D211" s="2614"/>
      <c r="E211" s="2614"/>
      <c r="F211" s="2614"/>
      <c r="G211" s="2614"/>
      <c r="H211" s="2750">
        <v>18958</v>
      </c>
      <c r="I211" s="2488"/>
      <c r="J211" s="2488"/>
      <c r="K211" s="2488"/>
      <c r="L211" s="2488"/>
      <c r="M211" s="2530">
        <v>1061862</v>
      </c>
      <c r="N211" s="2530">
        <v>18339</v>
      </c>
      <c r="O211" s="2527">
        <f t="shared" si="9"/>
        <v>1080201</v>
      </c>
      <c r="P211" s="2479" t="str">
        <f t="shared" si="10"/>
        <v>3.04, Public Service Company of Colorado, SF</v>
      </c>
    </row>
    <row r="212" spans="1:16" ht="15" customHeight="1" x14ac:dyDescent="0.2">
      <c r="A212" s="2769">
        <f t="shared" si="11"/>
        <v>3.05</v>
      </c>
      <c r="B212" s="2512" t="s">
        <v>9125</v>
      </c>
      <c r="C212" s="2942" t="s">
        <v>196</v>
      </c>
      <c r="D212" s="2614"/>
      <c r="E212" s="2614"/>
      <c r="F212" s="2614"/>
      <c r="G212" s="2614"/>
      <c r="H212" s="2752">
        <v>22</v>
      </c>
      <c r="I212" s="2488"/>
      <c r="J212" s="2488"/>
      <c r="K212" s="2488"/>
      <c r="L212" s="2488"/>
      <c r="M212" s="2614"/>
      <c r="N212" s="2838">
        <v>154234</v>
      </c>
      <c r="O212" s="2527">
        <f t="shared" si="9"/>
        <v>154234</v>
      </c>
      <c r="P212" s="2479" t="str">
        <f t="shared" si="10"/>
        <v>3.05, Public Service Company of Colorado, AD</v>
      </c>
    </row>
    <row r="213" spans="1:16" ht="15" customHeight="1" x14ac:dyDescent="0.2">
      <c r="A213" s="2769">
        <f t="shared" si="11"/>
        <v>3.06</v>
      </c>
      <c r="B213" s="2512" t="s">
        <v>9126</v>
      </c>
      <c r="C213" s="2489" t="s">
        <v>190</v>
      </c>
      <c r="D213" s="2614"/>
      <c r="E213" s="2614"/>
      <c r="F213" s="2614"/>
      <c r="G213" s="2614"/>
      <c r="H213" s="2752">
        <v>51214</v>
      </c>
      <c r="I213" s="2488"/>
      <c r="J213" s="2488"/>
      <c r="K213" s="2488"/>
      <c r="L213" s="2488"/>
      <c r="M213" s="2530">
        <v>2971630</v>
      </c>
      <c r="N213" s="2488"/>
      <c r="O213" s="2527">
        <f t="shared" si="9"/>
        <v>2971630</v>
      </c>
      <c r="P213" s="2479" t="str">
        <f t="shared" si="10"/>
        <v>3.06, Public Service Company of New Mexico, SF</v>
      </c>
    </row>
    <row r="214" spans="1:16" ht="15" customHeight="1" x14ac:dyDescent="0.2">
      <c r="A214" s="2769">
        <f t="shared" si="11"/>
        <v>3.07</v>
      </c>
      <c r="B214" s="2512" t="s">
        <v>9127</v>
      </c>
      <c r="C214" s="2489" t="s">
        <v>190</v>
      </c>
      <c r="D214" s="2614"/>
      <c r="E214" s="2614"/>
      <c r="F214" s="2614"/>
      <c r="G214" s="2614"/>
      <c r="H214" s="2752">
        <v>99585</v>
      </c>
      <c r="I214" s="2488"/>
      <c r="J214" s="2488"/>
      <c r="K214" s="2488"/>
      <c r="L214" s="2488"/>
      <c r="M214" s="2530">
        <v>11206603</v>
      </c>
      <c r="N214" s="2944">
        <v>632</v>
      </c>
      <c r="O214" s="2527">
        <f t="shared" si="9"/>
        <v>11207235</v>
      </c>
      <c r="P214" s="2479" t="str">
        <f t="shared" si="10"/>
        <v>3.07, Public Utility District No. 1 of Chelan County, SF</v>
      </c>
    </row>
    <row r="215" spans="1:16" ht="15" customHeight="1" x14ac:dyDescent="0.2">
      <c r="A215" s="2769">
        <f t="shared" si="11"/>
        <v>3.08</v>
      </c>
      <c r="B215" s="2512" t="s">
        <v>9519</v>
      </c>
      <c r="C215" s="2489" t="s">
        <v>190</v>
      </c>
      <c r="D215" s="2614"/>
      <c r="E215" s="2614"/>
      <c r="F215" s="2614"/>
      <c r="G215" s="2614"/>
      <c r="H215" s="2614"/>
      <c r="I215" s="2488"/>
      <c r="J215" s="2488"/>
      <c r="K215" s="2488"/>
      <c r="L215" s="2488"/>
      <c r="M215" s="2488"/>
      <c r="N215" s="2531">
        <v>125000</v>
      </c>
      <c r="O215" s="2527">
        <f t="shared" si="9"/>
        <v>125000</v>
      </c>
      <c r="P215" s="2479" t="str">
        <f t="shared" si="10"/>
        <v>3.08, Public Utility District No. 1 of Cowlitz County, SF</v>
      </c>
    </row>
    <row r="216" spans="1:16" ht="15" customHeight="1" x14ac:dyDescent="0.2">
      <c r="A216" s="2769">
        <f t="shared" si="11"/>
        <v>3.09</v>
      </c>
      <c r="B216" s="2512" t="s">
        <v>9128</v>
      </c>
      <c r="C216" s="2489" t="s">
        <v>190</v>
      </c>
      <c r="D216" s="2614"/>
      <c r="E216" s="2614"/>
      <c r="F216" s="2614"/>
      <c r="G216" s="2614"/>
      <c r="H216" s="2752">
        <v>28690</v>
      </c>
      <c r="I216" s="2488"/>
      <c r="J216" s="2488"/>
      <c r="K216" s="2488"/>
      <c r="L216" s="2614"/>
      <c r="M216" s="2530">
        <v>1590591</v>
      </c>
      <c r="N216" s="2614"/>
      <c r="O216" s="2527">
        <f t="shared" si="9"/>
        <v>1590591</v>
      </c>
      <c r="P216" s="2479" t="str">
        <f t="shared" si="10"/>
        <v>3.09, Public Utility District No. 1 of Snohomish County, SF</v>
      </c>
    </row>
    <row r="217" spans="1:16" ht="15" customHeight="1" x14ac:dyDescent="0.2">
      <c r="A217" s="2769">
        <f t="shared" si="11"/>
        <v>3.1</v>
      </c>
      <c r="B217" s="2512" t="s">
        <v>9129</v>
      </c>
      <c r="C217" s="2489" t="s">
        <v>191</v>
      </c>
      <c r="D217" s="2614"/>
      <c r="E217" s="2614"/>
      <c r="F217" s="2614"/>
      <c r="G217" s="2614"/>
      <c r="H217" s="2752">
        <v>74201</v>
      </c>
      <c r="I217" s="2488"/>
      <c r="J217" s="2488"/>
      <c r="K217" s="2488"/>
      <c r="L217" s="2488"/>
      <c r="M217" s="2488"/>
      <c r="N217" s="2531">
        <v>5519956</v>
      </c>
      <c r="O217" s="2527">
        <f t="shared" si="9"/>
        <v>5519956</v>
      </c>
      <c r="P217" s="2479" t="str">
        <f t="shared" si="10"/>
        <v>3.1, Public Utility District No. 2 of Grant County, LU</v>
      </c>
    </row>
    <row r="218" spans="1:16" ht="15" customHeight="1" x14ac:dyDescent="0.2">
      <c r="A218" s="2769">
        <f t="shared" si="11"/>
        <v>3.11</v>
      </c>
      <c r="B218" s="2512" t="s">
        <v>9129</v>
      </c>
      <c r="C218" s="2489" t="s">
        <v>190</v>
      </c>
      <c r="D218" s="2614"/>
      <c r="E218" s="2614"/>
      <c r="F218" s="2614"/>
      <c r="G218" s="2614"/>
      <c r="H218" s="2752">
        <v>1141527</v>
      </c>
      <c r="I218" s="2488"/>
      <c r="J218" s="2488"/>
      <c r="K218" s="2488"/>
      <c r="L218" s="2488"/>
      <c r="M218" s="2530">
        <v>1633</v>
      </c>
      <c r="N218" s="2531">
        <v>216871523</v>
      </c>
      <c r="O218" s="2527">
        <f t="shared" si="9"/>
        <v>216873156</v>
      </c>
      <c r="P218" s="2479" t="str">
        <f t="shared" si="10"/>
        <v>3.11, Public Utility District No. 2 of Grant County, SF</v>
      </c>
    </row>
    <row r="219" spans="1:16" ht="15" customHeight="1" x14ac:dyDescent="0.2">
      <c r="A219" s="2769">
        <f t="shared" si="11"/>
        <v>3.12</v>
      </c>
      <c r="B219" s="2512" t="s">
        <v>9129</v>
      </c>
      <c r="C219" s="2489" t="s">
        <v>191</v>
      </c>
      <c r="D219" s="2614"/>
      <c r="E219" s="2614"/>
      <c r="F219" s="2614"/>
      <c r="G219" s="2614"/>
      <c r="H219" s="2614"/>
      <c r="I219" s="2488"/>
      <c r="J219" s="2488"/>
      <c r="K219" s="2488"/>
      <c r="L219" s="2488"/>
      <c r="M219" s="2614"/>
      <c r="N219" s="2948">
        <v>-21016616</v>
      </c>
      <c r="O219" s="2527">
        <f t="shared" si="9"/>
        <v>-21016616</v>
      </c>
      <c r="P219" s="2479" t="str">
        <f t="shared" si="10"/>
        <v>3.12, Public Utility District No. 2 of Grant County, LU</v>
      </c>
    </row>
    <row r="220" spans="1:16" ht="15" customHeight="1" x14ac:dyDescent="0.2">
      <c r="A220" s="2769">
        <f t="shared" si="11"/>
        <v>3.13</v>
      </c>
      <c r="B220" s="2512" t="s">
        <v>9129</v>
      </c>
      <c r="C220" s="2942" t="s">
        <v>196</v>
      </c>
      <c r="D220" s="2614"/>
      <c r="E220" s="2614"/>
      <c r="F220" s="2614"/>
      <c r="G220" s="2614"/>
      <c r="H220" s="2614"/>
      <c r="I220" s="2488"/>
      <c r="J220" s="2488"/>
      <c r="K220" s="2488"/>
      <c r="L220" s="2488"/>
      <c r="M220" s="2614"/>
      <c r="N220" s="2838">
        <v>347455</v>
      </c>
      <c r="O220" s="2527">
        <f t="shared" si="9"/>
        <v>347455</v>
      </c>
      <c r="P220" s="2479" t="str">
        <f t="shared" si="10"/>
        <v>3.13, Public Utility District No. 2 of Grant County, AD</v>
      </c>
    </row>
    <row r="221" spans="1:16" ht="15" customHeight="1" x14ac:dyDescent="0.2">
      <c r="A221" s="2769">
        <f t="shared" si="11"/>
        <v>3.14</v>
      </c>
      <c r="B221" s="2512" t="s">
        <v>9130</v>
      </c>
      <c r="C221" s="2489" t="s">
        <v>190</v>
      </c>
      <c r="D221" s="2614"/>
      <c r="E221" s="2614"/>
      <c r="F221" s="2614"/>
      <c r="G221" s="2614"/>
      <c r="H221" s="2752">
        <v>93749</v>
      </c>
      <c r="I221" s="2488"/>
      <c r="J221" s="2488"/>
      <c r="K221" s="2488"/>
      <c r="L221" s="2488"/>
      <c r="M221" s="2530">
        <v>6898679</v>
      </c>
      <c r="N221" s="2944">
        <v>8297</v>
      </c>
      <c r="O221" s="2527">
        <f t="shared" si="9"/>
        <v>6906976</v>
      </c>
      <c r="P221" s="2479" t="str">
        <f t="shared" si="10"/>
        <v>3.14, Puget Sound Energy, Inc., SF</v>
      </c>
    </row>
    <row r="222" spans="1:16" ht="15" customHeight="1" x14ac:dyDescent="0.2">
      <c r="A222" s="2769">
        <f t="shared" si="11"/>
        <v>3.15</v>
      </c>
      <c r="B222" s="2512" t="s">
        <v>9520</v>
      </c>
      <c r="C222" s="2489" t="s">
        <v>191</v>
      </c>
      <c r="D222" s="2614"/>
      <c r="E222" s="2771">
        <v>3</v>
      </c>
      <c r="F222" s="2530">
        <v>3</v>
      </c>
      <c r="G222" s="2530">
        <v>1</v>
      </c>
      <c r="H222" s="2752">
        <v>7641</v>
      </c>
      <c r="I222" s="2488"/>
      <c r="J222" s="2488"/>
      <c r="K222" s="2488"/>
      <c r="L222" s="2530">
        <v>290897</v>
      </c>
      <c r="M222" s="2530">
        <v>445689</v>
      </c>
      <c r="N222" s="2488"/>
      <c r="O222" s="2527">
        <f t="shared" si="9"/>
        <v>736586</v>
      </c>
      <c r="P222" s="2479" t="str">
        <f t="shared" si="10"/>
        <v>3.15, Quichapa 1, LLC, LU</v>
      </c>
    </row>
    <row r="223" spans="1:16" ht="15" customHeight="1" x14ac:dyDescent="0.2">
      <c r="A223" s="2769">
        <f t="shared" si="11"/>
        <v>3.16</v>
      </c>
      <c r="B223" s="2512" t="s">
        <v>9521</v>
      </c>
      <c r="C223" s="2489" t="s">
        <v>191</v>
      </c>
      <c r="D223" s="2614"/>
      <c r="E223" s="2771">
        <v>3</v>
      </c>
      <c r="F223" s="2530">
        <v>3</v>
      </c>
      <c r="G223" s="2530">
        <v>1</v>
      </c>
      <c r="H223" s="2752">
        <v>7373</v>
      </c>
      <c r="I223" s="2488"/>
      <c r="J223" s="2488"/>
      <c r="K223" s="2488"/>
      <c r="L223" s="2530">
        <v>285231</v>
      </c>
      <c r="M223" s="2530">
        <v>429564</v>
      </c>
      <c r="N223" s="2488"/>
      <c r="O223" s="2527">
        <f t="shared" si="9"/>
        <v>714795</v>
      </c>
      <c r="P223" s="2479" t="str">
        <f t="shared" si="10"/>
        <v>3.16, Quichapa 2, LLC, LU</v>
      </c>
    </row>
    <row r="224" spans="1:16" ht="15" customHeight="1" x14ac:dyDescent="0.2">
      <c r="A224" s="2769">
        <f t="shared" si="11"/>
        <v>3.17</v>
      </c>
      <c r="B224" s="2512" t="s">
        <v>9522</v>
      </c>
      <c r="C224" s="2489" t="s">
        <v>191</v>
      </c>
      <c r="D224" s="2614"/>
      <c r="E224" s="2771">
        <v>3</v>
      </c>
      <c r="F224" s="2530">
        <v>3</v>
      </c>
      <c r="G224" s="2530">
        <v>1</v>
      </c>
      <c r="H224" s="2752">
        <v>7502</v>
      </c>
      <c r="I224" s="2488"/>
      <c r="J224" s="2488"/>
      <c r="K224" s="2488"/>
      <c r="L224" s="2530">
        <v>289909</v>
      </c>
      <c r="M224" s="2530">
        <v>437854</v>
      </c>
      <c r="N224" s="2614"/>
      <c r="O224" s="2527">
        <f t="shared" si="9"/>
        <v>727763</v>
      </c>
      <c r="P224" s="2479" t="str">
        <f t="shared" si="10"/>
        <v>3.17, Quichapa 3, LLC, LU</v>
      </c>
    </row>
    <row r="225" spans="1:16" ht="15" customHeight="1" x14ac:dyDescent="0.2">
      <c r="A225" s="2769">
        <f t="shared" si="11"/>
        <v>3.18</v>
      </c>
      <c r="B225" s="2512" t="s">
        <v>9131</v>
      </c>
      <c r="C225" s="2489" t="s">
        <v>190</v>
      </c>
      <c r="D225" s="2614"/>
      <c r="E225" s="2614"/>
      <c r="F225" s="2614"/>
      <c r="G225" s="2614"/>
      <c r="H225" s="2750">
        <v>24139</v>
      </c>
      <c r="I225" s="2488"/>
      <c r="J225" s="2488"/>
      <c r="K225" s="2488"/>
      <c r="L225" s="2488"/>
      <c r="M225" s="2530">
        <v>1585215</v>
      </c>
      <c r="N225" s="2488"/>
      <c r="O225" s="2527">
        <f t="shared" si="9"/>
        <v>1585215</v>
      </c>
      <c r="P225" s="2479" t="str">
        <f t="shared" si="10"/>
        <v>3.18, Rainbow Energy Marketing Corporation, SF</v>
      </c>
    </row>
    <row r="226" spans="1:16" ht="15" customHeight="1" x14ac:dyDescent="0.2">
      <c r="A226" s="2769">
        <f t="shared" si="11"/>
        <v>3.19</v>
      </c>
      <c r="B226" s="2512" t="s">
        <v>9523</v>
      </c>
      <c r="C226" s="2489" t="s">
        <v>191</v>
      </c>
      <c r="D226" s="2614"/>
      <c r="E226" s="2614"/>
      <c r="F226" s="2614"/>
      <c r="G226" s="2614"/>
      <c r="H226" s="2752">
        <v>5506</v>
      </c>
      <c r="I226" s="2488"/>
      <c r="J226" s="2488"/>
      <c r="K226" s="2488"/>
      <c r="L226" s="2488"/>
      <c r="M226" s="2530">
        <v>132278</v>
      </c>
      <c r="N226" s="2488"/>
      <c r="O226" s="2527">
        <f t="shared" si="9"/>
        <v>132278</v>
      </c>
      <c r="P226" s="2479" t="str">
        <f t="shared" si="10"/>
        <v>3.19, Rocket Solar I, LLC, LU</v>
      </c>
    </row>
    <row r="227" spans="1:16" ht="15" customHeight="1" x14ac:dyDescent="0.2">
      <c r="A227" s="2769">
        <f t="shared" si="11"/>
        <v>3.2</v>
      </c>
      <c r="B227" s="2512" t="s">
        <v>9524</v>
      </c>
      <c r="C227" s="2489" t="s">
        <v>191</v>
      </c>
      <c r="D227" s="2614"/>
      <c r="E227" s="2614"/>
      <c r="F227" s="2614"/>
      <c r="G227" s="2614"/>
      <c r="H227" s="2752">
        <v>100806</v>
      </c>
      <c r="I227" s="2488"/>
      <c r="J227" s="2488"/>
      <c r="K227" s="2488"/>
      <c r="L227" s="2488"/>
      <c r="M227" s="2530">
        <v>4544684</v>
      </c>
      <c r="N227" s="2488"/>
      <c r="O227" s="2527">
        <f t="shared" si="9"/>
        <v>4544684</v>
      </c>
      <c r="P227" s="2479" t="str">
        <f t="shared" si="10"/>
        <v>3.2, Roseburg Forest Products Company, LU</v>
      </c>
    </row>
    <row r="228" spans="1:16" ht="15" customHeight="1" x14ac:dyDescent="0.2">
      <c r="A228" s="2769">
        <f t="shared" si="11"/>
        <v>3.21</v>
      </c>
      <c r="B228" s="2512" t="s">
        <v>9525</v>
      </c>
      <c r="C228" s="2489" t="s">
        <v>191</v>
      </c>
      <c r="D228" s="2614"/>
      <c r="E228" s="2614"/>
      <c r="F228" s="2614"/>
      <c r="G228" s="2614"/>
      <c r="H228" s="2752">
        <v>6075</v>
      </c>
      <c r="I228" s="2488"/>
      <c r="J228" s="2488"/>
      <c r="K228" s="2488"/>
      <c r="L228" s="2488"/>
      <c r="M228" s="2530">
        <v>508140</v>
      </c>
      <c r="N228" s="2488"/>
      <c r="O228" s="2527">
        <f t="shared" si="9"/>
        <v>508140</v>
      </c>
      <c r="P228" s="2479" t="str">
        <f t="shared" si="10"/>
        <v>3.21, Roseburg LFG Energy, LLC, LU</v>
      </c>
    </row>
    <row r="229" spans="1:16" ht="15" customHeight="1" x14ac:dyDescent="0.2">
      <c r="A229" s="2769">
        <f t="shared" si="11"/>
        <v>3.22</v>
      </c>
      <c r="B229" s="2512" t="s">
        <v>9526</v>
      </c>
      <c r="C229" s="2489" t="s">
        <v>191</v>
      </c>
      <c r="D229" s="2614"/>
      <c r="E229" s="2614"/>
      <c r="F229" s="2614"/>
      <c r="G229" s="2614"/>
      <c r="H229" s="2752">
        <v>41297</v>
      </c>
      <c r="I229" s="2488"/>
      <c r="J229" s="2488"/>
      <c r="K229" s="2488"/>
      <c r="L229" s="2488"/>
      <c r="M229" s="2530">
        <v>1941356</v>
      </c>
      <c r="N229" s="2839">
        <v>-67803</v>
      </c>
      <c r="O229" s="2527">
        <f t="shared" si="9"/>
        <v>1873553</v>
      </c>
      <c r="P229" s="2479" t="str">
        <f t="shared" si="10"/>
        <v>3.22, Sage Solar I LLC, LU</v>
      </c>
    </row>
    <row r="230" spans="1:16" ht="15" customHeight="1" x14ac:dyDescent="0.2">
      <c r="A230" s="2769">
        <f t="shared" si="11"/>
        <v>3.23</v>
      </c>
      <c r="B230" s="2512" t="s">
        <v>9527</v>
      </c>
      <c r="C230" s="2489" t="s">
        <v>191</v>
      </c>
      <c r="D230" s="2614"/>
      <c r="E230" s="2614"/>
      <c r="F230" s="2614"/>
      <c r="G230" s="2614"/>
      <c r="H230" s="2752">
        <v>37796</v>
      </c>
      <c r="I230" s="2488"/>
      <c r="J230" s="2488"/>
      <c r="K230" s="2488"/>
      <c r="L230" s="2614"/>
      <c r="M230" s="2530">
        <v>1761592</v>
      </c>
      <c r="N230" s="2839">
        <v>-82085</v>
      </c>
      <c r="O230" s="2527">
        <f t="shared" si="9"/>
        <v>1679507</v>
      </c>
      <c r="P230" s="2479" t="str">
        <f t="shared" si="10"/>
        <v>3.23, Sage Solar II LLC, LU</v>
      </c>
    </row>
    <row r="231" spans="1:16" ht="15" customHeight="1" x14ac:dyDescent="0.2">
      <c r="A231" s="2769">
        <f t="shared" si="11"/>
        <v>3.24</v>
      </c>
      <c r="B231" s="2512" t="s">
        <v>9528</v>
      </c>
      <c r="C231" s="2489" t="s">
        <v>191</v>
      </c>
      <c r="D231" s="2614"/>
      <c r="E231" s="2614"/>
      <c r="F231" s="2614"/>
      <c r="G231" s="2614"/>
      <c r="H231" s="2752">
        <v>41446</v>
      </c>
      <c r="I231" s="2488"/>
      <c r="J231" s="2488"/>
      <c r="K231" s="2488"/>
      <c r="L231" s="2488"/>
      <c r="M231" s="2530">
        <v>1929319</v>
      </c>
      <c r="N231" s="2488"/>
      <c r="O231" s="2527">
        <f t="shared" si="9"/>
        <v>1929319</v>
      </c>
      <c r="P231" s="2479" t="str">
        <f t="shared" si="10"/>
        <v>3.24, Sage Solar III LLC, LU</v>
      </c>
    </row>
    <row r="232" spans="1:16" ht="15" customHeight="1" x14ac:dyDescent="0.2">
      <c r="A232" s="2769">
        <f t="shared" si="11"/>
        <v>3.25</v>
      </c>
      <c r="B232" s="2512" t="s">
        <v>9133</v>
      </c>
      <c r="C232" s="2489" t="s">
        <v>190</v>
      </c>
      <c r="D232" s="2614"/>
      <c r="E232" s="2614"/>
      <c r="F232" s="2614"/>
      <c r="G232" s="2614"/>
      <c r="H232" s="2752">
        <v>120258</v>
      </c>
      <c r="I232" s="2488"/>
      <c r="J232" s="2488"/>
      <c r="K232" s="2488"/>
      <c r="L232" s="2488"/>
      <c r="M232" s="2530">
        <v>6941942</v>
      </c>
      <c r="N232" s="2488"/>
      <c r="O232" s="2527">
        <f t="shared" si="9"/>
        <v>6941942</v>
      </c>
      <c r="P232" s="2479" t="str">
        <f t="shared" si="10"/>
        <v>3.25, Salt River Project, SF</v>
      </c>
    </row>
    <row r="233" spans="1:16" ht="15" customHeight="1" x14ac:dyDescent="0.2">
      <c r="A233" s="2769">
        <f t="shared" si="11"/>
        <v>3.26</v>
      </c>
      <c r="B233" s="2512" t="s">
        <v>9133</v>
      </c>
      <c r="C233" s="2942" t="s">
        <v>196</v>
      </c>
      <c r="D233" s="2614"/>
      <c r="E233" s="2614"/>
      <c r="F233" s="2614"/>
      <c r="G233" s="2614"/>
      <c r="H233" s="2614"/>
      <c r="I233" s="2488"/>
      <c r="J233" s="2488"/>
      <c r="K233" s="2488"/>
      <c r="L233" s="2488"/>
      <c r="M233" s="2614"/>
      <c r="N233" s="2838">
        <v>492</v>
      </c>
      <c r="O233" s="2527">
        <f t="shared" si="9"/>
        <v>492</v>
      </c>
      <c r="P233" s="2479" t="str">
        <f t="shared" si="10"/>
        <v>3.26, Salt River Project, AD</v>
      </c>
    </row>
    <row r="234" spans="1:16" ht="15" customHeight="1" x14ac:dyDescent="0.2">
      <c r="A234" s="2769">
        <f t="shared" si="11"/>
        <v>3.27</v>
      </c>
      <c r="B234" s="2512" t="s">
        <v>9529</v>
      </c>
      <c r="C234" s="2489" t="s">
        <v>191</v>
      </c>
      <c r="D234" s="2614"/>
      <c r="E234" s="2614"/>
      <c r="F234" s="2614"/>
      <c r="G234" s="2614"/>
      <c r="H234" s="2752">
        <v>19206</v>
      </c>
      <c r="I234" s="2488"/>
      <c r="J234" s="2488"/>
      <c r="K234" s="2488"/>
      <c r="L234" s="2488"/>
      <c r="M234" s="2530">
        <v>1512944</v>
      </c>
      <c r="N234" s="2488"/>
      <c r="O234" s="2527">
        <f t="shared" si="9"/>
        <v>1512944</v>
      </c>
      <c r="P234" s="2479" t="str">
        <f t="shared" si="10"/>
        <v>3.27, Sand Ranch Windfarm, LLC, LU</v>
      </c>
    </row>
    <row r="235" spans="1:16" ht="15" customHeight="1" x14ac:dyDescent="0.2">
      <c r="A235" s="2769">
        <f t="shared" si="11"/>
        <v>3.28</v>
      </c>
      <c r="B235" s="2512" t="s">
        <v>9134</v>
      </c>
      <c r="C235" s="2489" t="s">
        <v>190</v>
      </c>
      <c r="D235" s="2614"/>
      <c r="E235" s="2614"/>
      <c r="F235" s="2614"/>
      <c r="G235" s="2614"/>
      <c r="H235" s="2752">
        <v>29016</v>
      </c>
      <c r="I235" s="2488"/>
      <c r="J235" s="2488"/>
      <c r="K235" s="2488"/>
      <c r="L235" s="2488"/>
      <c r="M235" s="2530">
        <v>2309551</v>
      </c>
      <c r="N235" s="2944">
        <v>127363</v>
      </c>
      <c r="O235" s="2527">
        <f t="shared" si="9"/>
        <v>2436914</v>
      </c>
      <c r="P235" s="2479" t="str">
        <f t="shared" si="10"/>
        <v>3.28, Seattle City Light, SF</v>
      </c>
    </row>
    <row r="236" spans="1:16" ht="15" customHeight="1" x14ac:dyDescent="0.2">
      <c r="A236" s="2769">
        <f t="shared" si="11"/>
        <v>3.29</v>
      </c>
      <c r="B236" s="2512" t="s">
        <v>9135</v>
      </c>
      <c r="C236" s="2489" t="s">
        <v>190</v>
      </c>
      <c r="D236" s="2614"/>
      <c r="E236" s="2614"/>
      <c r="F236" s="2614"/>
      <c r="G236" s="2614"/>
      <c r="H236" s="2752">
        <v>626196</v>
      </c>
      <c r="I236" s="2488"/>
      <c r="J236" s="2488"/>
      <c r="K236" s="2488"/>
      <c r="L236" s="2488"/>
      <c r="M236" s="2530">
        <v>64314593</v>
      </c>
      <c r="N236" s="2488"/>
      <c r="O236" s="2527">
        <f t="shared" si="9"/>
        <v>64314593</v>
      </c>
      <c r="P236" s="2479" t="str">
        <f t="shared" si="10"/>
        <v>3.29, Shell Energy North America (US), L.P., SF</v>
      </c>
    </row>
    <row r="237" spans="1:16" ht="15" customHeight="1" x14ac:dyDescent="0.2">
      <c r="A237" s="2769">
        <f t="shared" si="11"/>
        <v>3.3</v>
      </c>
      <c r="B237" s="2512" t="s">
        <v>9135</v>
      </c>
      <c r="C237" s="2942" t="s">
        <v>196</v>
      </c>
      <c r="D237" s="2614"/>
      <c r="E237" s="2614"/>
      <c r="F237" s="2614"/>
      <c r="G237" s="2614"/>
      <c r="H237" s="2530">
        <v>-1339</v>
      </c>
      <c r="I237" s="2488"/>
      <c r="J237" s="2488"/>
      <c r="K237" s="2488"/>
      <c r="L237" s="2488"/>
      <c r="M237" s="2614"/>
      <c r="N237" s="2838">
        <v>-135186</v>
      </c>
      <c r="O237" s="2527">
        <f t="shared" si="9"/>
        <v>-135186</v>
      </c>
      <c r="P237" s="2479" t="str">
        <f t="shared" si="10"/>
        <v>3.3, Shell Energy North America (US), L.P., AD</v>
      </c>
    </row>
    <row r="238" spans="1:16" ht="15" customHeight="1" x14ac:dyDescent="0.2">
      <c r="A238" s="2769">
        <f t="shared" si="11"/>
        <v>3.31</v>
      </c>
      <c r="B238" s="2744" t="s">
        <v>9136</v>
      </c>
      <c r="C238" s="2489" t="s">
        <v>190</v>
      </c>
      <c r="D238" s="2614"/>
      <c r="E238" s="2614"/>
      <c r="F238" s="2614"/>
      <c r="G238" s="2614"/>
      <c r="H238" s="2752">
        <v>347</v>
      </c>
      <c r="I238" s="2488"/>
      <c r="J238" s="2488"/>
      <c r="K238" s="2488"/>
      <c r="L238" s="2488"/>
      <c r="M238" s="2530">
        <v>6131</v>
      </c>
      <c r="N238" s="2944">
        <v>13180</v>
      </c>
      <c r="O238" s="2527">
        <f t="shared" si="9"/>
        <v>19311</v>
      </c>
      <c r="P238" s="2479" t="str">
        <f t="shared" si="10"/>
        <v>3.31, Sierra Pacific Power Company, SF</v>
      </c>
    </row>
    <row r="239" spans="1:16" ht="15" customHeight="1" x14ac:dyDescent="0.2">
      <c r="A239" s="2769">
        <f t="shared" si="11"/>
        <v>3.32</v>
      </c>
      <c r="B239" s="2512" t="s">
        <v>9530</v>
      </c>
      <c r="C239" s="2489" t="s">
        <v>191</v>
      </c>
      <c r="D239" s="2614"/>
      <c r="E239" s="2614"/>
      <c r="F239" s="2614"/>
      <c r="G239" s="2614"/>
      <c r="H239" s="2750">
        <v>199194</v>
      </c>
      <c r="I239" s="2488"/>
      <c r="J239" s="2488"/>
      <c r="K239" s="2488"/>
      <c r="L239" s="2488"/>
      <c r="M239" s="2530">
        <v>5382215</v>
      </c>
      <c r="N239" s="2943">
        <v>848566</v>
      </c>
      <c r="O239" s="2527">
        <f t="shared" si="9"/>
        <v>6230781</v>
      </c>
      <c r="P239" s="2479" t="str">
        <f t="shared" si="10"/>
        <v>3.32, Sigurd Solar LLC, LU</v>
      </c>
    </row>
    <row r="240" spans="1:16" ht="15" customHeight="1" x14ac:dyDescent="0.2">
      <c r="A240" s="2769">
        <f t="shared" si="11"/>
        <v>3.33</v>
      </c>
      <c r="B240" s="2512" t="s">
        <v>9531</v>
      </c>
      <c r="C240" s="2489" t="s">
        <v>191</v>
      </c>
      <c r="D240" s="2614"/>
      <c r="E240" s="2614"/>
      <c r="F240" s="2614"/>
      <c r="G240" s="2614"/>
      <c r="H240" s="2752">
        <v>61</v>
      </c>
      <c r="I240" s="2488"/>
      <c r="J240" s="2488"/>
      <c r="K240" s="2488"/>
      <c r="L240" s="2488"/>
      <c r="M240" s="2530">
        <v>3584</v>
      </c>
      <c r="N240" s="2488"/>
      <c r="O240" s="2527">
        <f t="shared" si="9"/>
        <v>3584</v>
      </c>
      <c r="P240" s="2479" t="str">
        <f t="shared" si="10"/>
        <v>3.33, Simplot Phosphates LLC, LU</v>
      </c>
    </row>
    <row r="241" spans="1:16" ht="15" customHeight="1" x14ac:dyDescent="0.2">
      <c r="A241" s="2769">
        <f t="shared" si="11"/>
        <v>3.34</v>
      </c>
      <c r="B241" s="2512" t="s">
        <v>9532</v>
      </c>
      <c r="C241" s="2489" t="s">
        <v>191</v>
      </c>
      <c r="D241" s="2614"/>
      <c r="E241" s="2614"/>
      <c r="F241" s="2614"/>
      <c r="G241" s="2614"/>
      <c r="H241" s="2752">
        <v>3025</v>
      </c>
      <c r="I241" s="2488"/>
      <c r="J241" s="2488"/>
      <c r="K241" s="2488"/>
      <c r="L241" s="2488"/>
      <c r="M241" s="2530">
        <v>150398</v>
      </c>
      <c r="N241" s="2839">
        <v>-1085827</v>
      </c>
      <c r="O241" s="2527">
        <f t="shared" si="9"/>
        <v>-935429</v>
      </c>
      <c r="P241" s="2479" t="str">
        <f t="shared" si="10"/>
        <v>3.34, Skysol Solar, LLC, LU</v>
      </c>
    </row>
    <row r="242" spans="1:16" ht="15" customHeight="1" x14ac:dyDescent="0.2">
      <c r="A242" s="2769">
        <f t="shared" si="11"/>
        <v>3.35</v>
      </c>
      <c r="B242" s="2512" t="s">
        <v>9533</v>
      </c>
      <c r="C242" s="2489" t="s">
        <v>191</v>
      </c>
      <c r="D242" s="2614"/>
      <c r="E242" s="2614"/>
      <c r="F242" s="2614"/>
      <c r="G242" s="2614"/>
      <c r="H242" s="2752">
        <v>152</v>
      </c>
      <c r="I242" s="2488"/>
      <c r="J242" s="2488"/>
      <c r="K242" s="2488"/>
      <c r="L242" s="2488"/>
      <c r="M242" s="2530">
        <v>14812</v>
      </c>
      <c r="N242" s="2488"/>
      <c r="O242" s="2527">
        <f t="shared" si="9"/>
        <v>14812</v>
      </c>
      <c r="P242" s="2479" t="str">
        <f t="shared" si="10"/>
        <v>3.35, Solarize Rogue LLC, LU</v>
      </c>
    </row>
    <row r="243" spans="1:16" ht="15" customHeight="1" x14ac:dyDescent="0.2">
      <c r="A243" s="2769">
        <f t="shared" si="11"/>
        <v>3.36</v>
      </c>
      <c r="B243" s="2512" t="s">
        <v>9534</v>
      </c>
      <c r="C243" s="2489" t="s">
        <v>191</v>
      </c>
      <c r="D243" s="2614"/>
      <c r="E243" s="2614"/>
      <c r="F243" s="2614"/>
      <c r="G243" s="2614"/>
      <c r="H243" s="2752">
        <v>802</v>
      </c>
      <c r="I243" s="2488"/>
      <c r="J243" s="2488"/>
      <c r="K243" s="2488"/>
      <c r="L243" s="2488"/>
      <c r="M243" s="2530">
        <v>65453</v>
      </c>
      <c r="N243" s="2488"/>
      <c r="O243" s="2527">
        <f t="shared" si="9"/>
        <v>65453</v>
      </c>
      <c r="P243" s="2479" t="str">
        <f t="shared" si="10"/>
        <v>3.36, Solwatt, LLC, LU</v>
      </c>
    </row>
    <row r="244" spans="1:16" ht="15" customHeight="1" x14ac:dyDescent="0.2">
      <c r="A244" s="2769">
        <f t="shared" si="11"/>
        <v>3.37</v>
      </c>
      <c r="B244" s="2512" t="s">
        <v>9535</v>
      </c>
      <c r="C244" s="2489" t="s">
        <v>191</v>
      </c>
      <c r="D244" s="2614"/>
      <c r="E244" s="2614"/>
      <c r="F244" s="2614"/>
      <c r="G244" s="2614"/>
      <c r="H244" s="2752">
        <v>45304</v>
      </c>
      <c r="I244" s="2488"/>
      <c r="J244" s="2488"/>
      <c r="K244" s="2488"/>
      <c r="L244" s="2614"/>
      <c r="M244" s="2530">
        <v>2830252</v>
      </c>
      <c r="N244" s="2614"/>
      <c r="O244" s="2527">
        <f t="shared" si="9"/>
        <v>2830252</v>
      </c>
      <c r="P244" s="2479" t="str">
        <f t="shared" si="10"/>
        <v>3.37, Spanish Fork Wind Park 2, LLC, LU</v>
      </c>
    </row>
    <row r="245" spans="1:16" ht="15" customHeight="1" x14ac:dyDescent="0.2">
      <c r="A245" s="2769">
        <f t="shared" si="11"/>
        <v>3.38</v>
      </c>
      <c r="B245" s="2512" t="s">
        <v>9536</v>
      </c>
      <c r="C245" s="2489" t="s">
        <v>191</v>
      </c>
      <c r="D245" s="2614"/>
      <c r="E245" s="2771">
        <v>221</v>
      </c>
      <c r="F245" s="2530">
        <v>1</v>
      </c>
      <c r="G245" s="2530">
        <v>0</v>
      </c>
      <c r="H245" s="2752">
        <v>1942</v>
      </c>
      <c r="I245" s="2488"/>
      <c r="J245" s="2488"/>
      <c r="K245" s="2488"/>
      <c r="L245" s="2530">
        <v>20213</v>
      </c>
      <c r="M245" s="2530">
        <v>327160</v>
      </c>
      <c r="N245" s="2488"/>
      <c r="O245" s="2527">
        <f t="shared" si="9"/>
        <v>347373</v>
      </c>
      <c r="P245" s="2479" t="str">
        <f t="shared" si="10"/>
        <v>3.38, Sprague Hydro LLC, LU</v>
      </c>
    </row>
    <row r="246" spans="1:16" ht="15" customHeight="1" x14ac:dyDescent="0.2">
      <c r="A246" s="2769">
        <f t="shared" si="11"/>
        <v>3.39</v>
      </c>
      <c r="B246" s="2512" t="s">
        <v>9537</v>
      </c>
      <c r="C246" s="2489" t="s">
        <v>191</v>
      </c>
      <c r="D246" s="2614"/>
      <c r="E246" s="2614"/>
      <c r="F246" s="2614"/>
      <c r="G246" s="2614"/>
      <c r="H246" s="2752">
        <v>4793</v>
      </c>
      <c r="I246" s="2488"/>
      <c r="J246" s="2488"/>
      <c r="K246" s="2488"/>
      <c r="L246" s="2488"/>
      <c r="M246" s="2530">
        <v>369298</v>
      </c>
      <c r="N246" s="2488"/>
      <c r="O246" s="2527">
        <f t="shared" si="9"/>
        <v>369298</v>
      </c>
      <c r="P246" s="2479" t="str">
        <f t="shared" si="10"/>
        <v>3.39, St. Anthony Hydro, LLC, LU</v>
      </c>
    </row>
    <row r="247" spans="1:16" ht="15" customHeight="1" x14ac:dyDescent="0.2">
      <c r="A247" s="2769">
        <f t="shared" si="11"/>
        <v>3.4</v>
      </c>
      <c r="B247" s="2512" t="s">
        <v>9538</v>
      </c>
      <c r="C247" s="2489" t="s">
        <v>192</v>
      </c>
      <c r="D247" s="2614"/>
      <c r="E247" s="2614"/>
      <c r="F247" s="2614"/>
      <c r="G247" s="2614"/>
      <c r="H247" s="2752">
        <v>1214</v>
      </c>
      <c r="I247" s="2488"/>
      <c r="J247" s="2488"/>
      <c r="K247" s="2488"/>
      <c r="L247" s="2488"/>
      <c r="M247" s="2530">
        <v>71263</v>
      </c>
      <c r="N247" s="2488"/>
      <c r="O247" s="2527">
        <f t="shared" si="9"/>
        <v>71263</v>
      </c>
      <c r="P247" s="2479" t="str">
        <f t="shared" si="10"/>
        <v>3.4, Stahlbush Island Farms, Inc., IU</v>
      </c>
    </row>
    <row r="248" spans="1:16" ht="15" customHeight="1" x14ac:dyDescent="0.2">
      <c r="A248" s="2769">
        <f t="shared" si="11"/>
        <v>3.41</v>
      </c>
      <c r="B248" s="2512" t="s">
        <v>9539</v>
      </c>
      <c r="C248" s="2945" t="s">
        <v>188</v>
      </c>
      <c r="D248" s="2614"/>
      <c r="E248" s="2614"/>
      <c r="F248" s="2614"/>
      <c r="G248" s="2614"/>
      <c r="H248" s="2752">
        <v>8</v>
      </c>
      <c r="I248" s="2488"/>
      <c r="J248" s="2488"/>
      <c r="K248" s="2488"/>
      <c r="L248" s="2488"/>
      <c r="M248" s="2530">
        <v>550</v>
      </c>
      <c r="N248" s="2488"/>
      <c r="O248" s="2527">
        <f t="shared" si="9"/>
        <v>550</v>
      </c>
      <c r="P248" s="2479" t="str">
        <f t="shared" si="10"/>
        <v>3.41, Strawberry Electric Service District, LF</v>
      </c>
    </row>
    <row r="249" spans="1:16" ht="15" customHeight="1" x14ac:dyDescent="0.2">
      <c r="A249" s="2769">
        <f t="shared" si="11"/>
        <v>3.42</v>
      </c>
      <c r="B249" s="2512" t="s">
        <v>9540</v>
      </c>
      <c r="C249" s="2489" t="s">
        <v>193</v>
      </c>
      <c r="D249" s="2614"/>
      <c r="E249" s="2614"/>
      <c r="F249" s="2614"/>
      <c r="G249" s="2614"/>
      <c r="H249" s="2614"/>
      <c r="I249" s="2488"/>
      <c r="J249" s="2488"/>
      <c r="K249" s="2488"/>
      <c r="L249" s="2488"/>
      <c r="M249" s="2614"/>
      <c r="N249" s="2943">
        <v>102750</v>
      </c>
      <c r="O249" s="2527">
        <f t="shared" si="9"/>
        <v>102750</v>
      </c>
      <c r="P249" s="2479" t="str">
        <f t="shared" si="10"/>
        <v>3.42, STX Commodities B.V., OS</v>
      </c>
    </row>
    <row r="250" spans="1:16" ht="15" customHeight="1" x14ac:dyDescent="0.2">
      <c r="A250" s="2769">
        <f t="shared" si="11"/>
        <v>3.43</v>
      </c>
      <c r="B250" s="2512" t="s">
        <v>9541</v>
      </c>
      <c r="C250" s="2489" t="s">
        <v>191</v>
      </c>
      <c r="D250" s="2614"/>
      <c r="E250" s="2771">
        <v>3</v>
      </c>
      <c r="F250" s="2530">
        <v>3</v>
      </c>
      <c r="G250" s="2530">
        <v>1</v>
      </c>
      <c r="H250" s="2752">
        <v>7157</v>
      </c>
      <c r="I250" s="2488"/>
      <c r="J250" s="2488"/>
      <c r="K250" s="2488"/>
      <c r="L250" s="2530">
        <v>455370</v>
      </c>
      <c r="M250" s="2530">
        <v>426585</v>
      </c>
      <c r="N250" s="2488"/>
      <c r="O250" s="2527">
        <f t="shared" si="9"/>
        <v>881955</v>
      </c>
      <c r="P250" s="2479" t="str">
        <f t="shared" si="10"/>
        <v>3.43, SunE DB18, LLC, LU</v>
      </c>
    </row>
    <row r="251" spans="1:16" ht="15" customHeight="1" x14ac:dyDescent="0.2">
      <c r="A251" s="2769">
        <f t="shared" si="11"/>
        <v>3.44</v>
      </c>
      <c r="B251" s="2512" t="s">
        <v>9542</v>
      </c>
      <c r="C251" s="2489" t="s">
        <v>191</v>
      </c>
      <c r="D251" s="2614"/>
      <c r="E251" s="2771">
        <v>2</v>
      </c>
      <c r="F251" s="2530">
        <v>3</v>
      </c>
      <c r="G251" s="2530">
        <v>4</v>
      </c>
      <c r="H251" s="2752">
        <v>6575</v>
      </c>
      <c r="I251" s="2488"/>
      <c r="J251" s="2488"/>
      <c r="K251" s="2488"/>
      <c r="L251" s="2530">
        <v>259256</v>
      </c>
      <c r="M251" s="2530">
        <v>385082</v>
      </c>
      <c r="N251" s="2488"/>
      <c r="O251" s="2527">
        <f t="shared" si="9"/>
        <v>644338</v>
      </c>
      <c r="P251" s="2479" t="str">
        <f t="shared" si="10"/>
        <v>3.44, SunE DB24, LLC, LU</v>
      </c>
    </row>
    <row r="252" spans="1:16" ht="15" customHeight="1" x14ac:dyDescent="0.2">
      <c r="A252" s="2769">
        <f t="shared" si="11"/>
        <v>3.45</v>
      </c>
      <c r="B252" s="2512" t="s">
        <v>9543</v>
      </c>
      <c r="C252" s="2489" t="s">
        <v>191</v>
      </c>
      <c r="D252" s="2614"/>
      <c r="E252" s="2771">
        <v>3</v>
      </c>
      <c r="F252" s="2530">
        <v>8</v>
      </c>
      <c r="G252" s="2530">
        <v>3</v>
      </c>
      <c r="H252" s="2752">
        <v>6941</v>
      </c>
      <c r="I252" s="2488"/>
      <c r="J252" s="2488"/>
      <c r="K252" s="2488"/>
      <c r="L252" s="2530">
        <v>434977</v>
      </c>
      <c r="M252" s="2530">
        <v>413702</v>
      </c>
      <c r="N252" s="2614"/>
      <c r="O252" s="2527">
        <f t="shared" si="9"/>
        <v>848679</v>
      </c>
      <c r="P252" s="2479" t="str">
        <f t="shared" si="10"/>
        <v>3.45, SunE Solar XVII Project1, LLC, LU</v>
      </c>
    </row>
    <row r="253" spans="1:16" ht="15" customHeight="1" x14ac:dyDescent="0.2">
      <c r="A253" s="2769">
        <f t="shared" si="11"/>
        <v>3.46</v>
      </c>
      <c r="B253" s="2512" t="s">
        <v>9543</v>
      </c>
      <c r="C253" s="2942" t="s">
        <v>196</v>
      </c>
      <c r="D253" s="2614"/>
      <c r="E253" s="2614"/>
      <c r="F253" s="2614"/>
      <c r="G253" s="2614"/>
      <c r="H253" s="2488"/>
      <c r="I253" s="2488"/>
      <c r="J253" s="2488"/>
      <c r="K253" s="2488"/>
      <c r="L253" s="2488"/>
      <c r="M253" s="2614"/>
      <c r="N253" s="2838">
        <v>-29487</v>
      </c>
      <c r="O253" s="2527">
        <f t="shared" si="9"/>
        <v>-29487</v>
      </c>
      <c r="P253" s="2479" t="str">
        <f t="shared" si="10"/>
        <v>3.46, SunE Solar XVII Project1, LLC, AD</v>
      </c>
    </row>
    <row r="254" spans="1:16" ht="15" customHeight="1" x14ac:dyDescent="0.2">
      <c r="A254" s="2769">
        <f t="shared" si="11"/>
        <v>3.47</v>
      </c>
      <c r="B254" s="2512" t="s">
        <v>9544</v>
      </c>
      <c r="C254" s="2489" t="s">
        <v>191</v>
      </c>
      <c r="D254" s="2614"/>
      <c r="E254" s="2771">
        <v>3</v>
      </c>
      <c r="F254" s="2530">
        <v>8</v>
      </c>
      <c r="G254" s="2530">
        <v>3</v>
      </c>
      <c r="H254" s="2752">
        <v>6981</v>
      </c>
      <c r="I254" s="2488"/>
      <c r="J254" s="2488"/>
      <c r="K254" s="2488"/>
      <c r="L254" s="2530">
        <v>431559</v>
      </c>
      <c r="M254" s="2530">
        <v>416096</v>
      </c>
      <c r="N254" s="2488"/>
      <c r="O254" s="2527">
        <f t="shared" si="9"/>
        <v>847655</v>
      </c>
      <c r="P254" s="2479" t="str">
        <f t="shared" si="10"/>
        <v>3.47, SunE Solar XVII Project2, LLC, LU</v>
      </c>
    </row>
    <row r="255" spans="1:16" ht="15" customHeight="1" x14ac:dyDescent="0.2">
      <c r="A255" s="2769">
        <f t="shared" si="11"/>
        <v>3.48</v>
      </c>
      <c r="B255" s="2512" t="s">
        <v>9545</v>
      </c>
      <c r="C255" s="2489" t="s">
        <v>191</v>
      </c>
      <c r="D255" s="2614"/>
      <c r="E255" s="2771">
        <v>3</v>
      </c>
      <c r="F255" s="2530">
        <v>8</v>
      </c>
      <c r="G255" s="2530">
        <v>3</v>
      </c>
      <c r="H255" s="2752">
        <v>7351</v>
      </c>
      <c r="I255" s="2488"/>
      <c r="J255" s="2488"/>
      <c r="K255" s="2488"/>
      <c r="L255" s="2530">
        <v>284473</v>
      </c>
      <c r="M255" s="2530">
        <v>430519</v>
      </c>
      <c r="N255" s="2488"/>
      <c r="O255" s="2527">
        <f t="shared" si="9"/>
        <v>714992</v>
      </c>
      <c r="P255" s="2479" t="str">
        <f t="shared" si="10"/>
        <v>3.48, SunE Solar XVII Project3, LLC, LU</v>
      </c>
    </row>
    <row r="256" spans="1:16" ht="15" customHeight="1" x14ac:dyDescent="0.2">
      <c r="A256" s="2769">
        <f t="shared" si="11"/>
        <v>3.49</v>
      </c>
      <c r="B256" s="2512" t="s">
        <v>9546</v>
      </c>
      <c r="C256" s="2489" t="s">
        <v>191</v>
      </c>
      <c r="D256" s="2614"/>
      <c r="E256" s="2614"/>
      <c r="F256" s="2614"/>
      <c r="G256" s="2614"/>
      <c r="H256" s="2752">
        <v>1995</v>
      </c>
      <c r="I256" s="2488"/>
      <c r="J256" s="2488"/>
      <c r="K256" s="2488"/>
      <c r="L256" s="2488"/>
      <c r="M256" s="2530">
        <v>101726</v>
      </c>
      <c r="N256" s="2488"/>
      <c r="O256" s="2527">
        <f t="shared" si="9"/>
        <v>101726</v>
      </c>
      <c r="P256" s="2479" t="str">
        <f t="shared" si="10"/>
        <v>3.49, Sunny Bar Ranch LLLP, LU</v>
      </c>
    </row>
    <row r="257" spans="1:16" ht="15" customHeight="1" x14ac:dyDescent="0.2">
      <c r="A257" s="2769">
        <f t="shared" si="11"/>
        <v>3.5</v>
      </c>
      <c r="B257" s="2512" t="s">
        <v>9547</v>
      </c>
      <c r="C257" s="2489" t="s">
        <v>191</v>
      </c>
      <c r="D257" s="2614"/>
      <c r="E257" s="2771">
        <v>48</v>
      </c>
      <c r="F257" s="2771">
        <v>50</v>
      </c>
      <c r="G257" s="2771">
        <v>51</v>
      </c>
      <c r="H257" s="2752">
        <v>246379</v>
      </c>
      <c r="I257" s="2488"/>
      <c r="J257" s="2488"/>
      <c r="K257" s="2488"/>
      <c r="L257" s="2530">
        <v>7770693</v>
      </c>
      <c r="M257" s="2530">
        <v>13357402</v>
      </c>
      <c r="N257" s="2488"/>
      <c r="O257" s="2527">
        <f t="shared" si="9"/>
        <v>21128095</v>
      </c>
      <c r="P257" s="2479" t="str">
        <f t="shared" si="10"/>
        <v>3.5, Sunnyside Cogeneration Associates, LU</v>
      </c>
    </row>
    <row r="258" spans="1:16" ht="15" customHeight="1" x14ac:dyDescent="0.2">
      <c r="A258" s="2769">
        <f t="shared" si="11"/>
        <v>3.51</v>
      </c>
      <c r="B258" s="2512" t="s">
        <v>9547</v>
      </c>
      <c r="C258" s="2942" t="s">
        <v>196</v>
      </c>
      <c r="D258" s="2614"/>
      <c r="E258" s="2614"/>
      <c r="F258" s="2614"/>
      <c r="G258" s="2614"/>
      <c r="H258" s="2614"/>
      <c r="I258" s="2488"/>
      <c r="J258" s="2488"/>
      <c r="K258" s="2488"/>
      <c r="L258" s="2614"/>
      <c r="M258" s="2614"/>
      <c r="N258" s="2838">
        <v>259772</v>
      </c>
      <c r="O258" s="2527">
        <f t="shared" si="9"/>
        <v>259772</v>
      </c>
      <c r="P258" s="2479" t="str">
        <f t="shared" si="10"/>
        <v>3.51, Sunnyside Cogeneration Associates, AD</v>
      </c>
    </row>
    <row r="259" spans="1:16" ht="15" customHeight="1" x14ac:dyDescent="0.2">
      <c r="A259" s="2769">
        <f t="shared" si="11"/>
        <v>3.52</v>
      </c>
      <c r="B259" s="2512" t="s">
        <v>9548</v>
      </c>
      <c r="C259" s="2489" t="s">
        <v>191</v>
      </c>
      <c r="D259" s="2614"/>
      <c r="E259" s="2614"/>
      <c r="F259" s="2614"/>
      <c r="G259" s="2614"/>
      <c r="H259" s="2752">
        <v>2089</v>
      </c>
      <c r="I259" s="2488"/>
      <c r="J259" s="2488"/>
      <c r="K259" s="2488"/>
      <c r="L259" s="2488"/>
      <c r="M259" s="2530">
        <v>168607</v>
      </c>
      <c r="N259" s="2488"/>
      <c r="O259" s="2527">
        <f t="shared" si="9"/>
        <v>168607</v>
      </c>
      <c r="P259" s="2479" t="str">
        <f t="shared" si="10"/>
        <v>3.52, Swalley Irrigation District, LU</v>
      </c>
    </row>
    <row r="260" spans="1:16" ht="15" customHeight="1" x14ac:dyDescent="0.2">
      <c r="A260" s="2769">
        <f t="shared" si="11"/>
        <v>3.53</v>
      </c>
      <c r="B260" s="2512" t="s">
        <v>9549</v>
      </c>
      <c r="C260" s="2489" t="s">
        <v>191</v>
      </c>
      <c r="D260" s="2614"/>
      <c r="E260" s="2614"/>
      <c r="F260" s="2614"/>
      <c r="G260" s="2614"/>
      <c r="H260" s="2752">
        <v>174324</v>
      </c>
      <c r="I260" s="2488"/>
      <c r="J260" s="2488"/>
      <c r="K260" s="2488"/>
      <c r="L260" s="2488"/>
      <c r="M260" s="2530">
        <v>7504295</v>
      </c>
      <c r="N260" s="2488"/>
      <c r="O260" s="2527">
        <f t="shared" si="9"/>
        <v>7504295</v>
      </c>
      <c r="P260" s="2479" t="str">
        <f t="shared" si="10"/>
        <v>3.53, Sweetwater Solar LLC, LU</v>
      </c>
    </row>
    <row r="261" spans="1:16" ht="15" customHeight="1" x14ac:dyDescent="0.2">
      <c r="A261" s="2769">
        <f t="shared" si="11"/>
        <v>3.54</v>
      </c>
      <c r="B261" s="2512" t="s">
        <v>9137</v>
      </c>
      <c r="C261" s="2489" t="s">
        <v>190</v>
      </c>
      <c r="D261" s="2614"/>
      <c r="E261" s="2614"/>
      <c r="F261" s="2614"/>
      <c r="G261" s="2614"/>
      <c r="H261" s="2752">
        <v>16011</v>
      </c>
      <c r="I261" s="2488"/>
      <c r="J261" s="2488"/>
      <c r="K261" s="2488"/>
      <c r="L261" s="2488"/>
      <c r="M261" s="2530">
        <v>2164114</v>
      </c>
      <c r="N261" s="2944">
        <v>200812</v>
      </c>
      <c r="O261" s="2527">
        <f t="shared" si="9"/>
        <v>2364926</v>
      </c>
      <c r="P261" s="2479" t="str">
        <f t="shared" si="10"/>
        <v>3.54, Tacoma Power, SF</v>
      </c>
    </row>
    <row r="262" spans="1:16" ht="15" customHeight="1" x14ac:dyDescent="0.2">
      <c r="A262" s="2769">
        <f t="shared" si="11"/>
        <v>3.55</v>
      </c>
      <c r="B262" s="2512" t="s">
        <v>9550</v>
      </c>
      <c r="C262" s="2489" t="s">
        <v>191</v>
      </c>
      <c r="D262" s="2614"/>
      <c r="E262" s="2614"/>
      <c r="F262" s="2614"/>
      <c r="G262" s="2614"/>
      <c r="H262" s="2752">
        <v>1713</v>
      </c>
      <c r="I262" s="2488"/>
      <c r="J262" s="2488"/>
      <c r="K262" s="2488"/>
      <c r="L262" s="2488"/>
      <c r="M262" s="2530">
        <v>55053</v>
      </c>
      <c r="N262" s="2488"/>
      <c r="O262" s="2527">
        <f t="shared" si="9"/>
        <v>55053</v>
      </c>
      <c r="P262" s="2479" t="str">
        <f t="shared" si="10"/>
        <v>3.55, Tata Chemicals (Soda Ash) Partners, LU</v>
      </c>
    </row>
    <row r="263" spans="1:16" ht="15" customHeight="1" x14ac:dyDescent="0.2">
      <c r="A263" s="2769">
        <f t="shared" si="11"/>
        <v>3.56</v>
      </c>
      <c r="B263" s="2512" t="s">
        <v>9138</v>
      </c>
      <c r="C263" s="2489" t="s">
        <v>190</v>
      </c>
      <c r="D263" s="2614"/>
      <c r="E263" s="2614"/>
      <c r="F263" s="2614"/>
      <c r="G263" s="2614"/>
      <c r="H263" s="2752">
        <v>63587</v>
      </c>
      <c r="I263" s="2488"/>
      <c r="J263" s="2488"/>
      <c r="K263" s="2488"/>
      <c r="L263" s="2488"/>
      <c r="M263" s="2530">
        <v>4942760</v>
      </c>
      <c r="N263" s="2488"/>
      <c r="O263" s="2527">
        <f t="shared" ref="O263:O326" si="12">SUM(L263:N263)</f>
        <v>4942760</v>
      </c>
      <c r="P263" s="2479" t="str">
        <f t="shared" ref="P263:P326" si="13">CONCATENATE(A263,", ",B263,", ",C263)</f>
        <v>3.56, Tenaska Power Services Co., SF</v>
      </c>
    </row>
    <row r="264" spans="1:16" ht="15" customHeight="1" x14ac:dyDescent="0.2">
      <c r="A264" s="2769">
        <f t="shared" ref="A264:A327" si="14">ROUND(A263+0.01,2)</f>
        <v>3.57</v>
      </c>
      <c r="B264" s="2512" t="s">
        <v>9551</v>
      </c>
      <c r="C264" s="2489" t="s">
        <v>191</v>
      </c>
      <c r="D264" s="2614"/>
      <c r="E264" s="2614"/>
      <c r="F264" s="2614"/>
      <c r="G264" s="2614"/>
      <c r="H264" s="2752">
        <v>3674</v>
      </c>
      <c r="I264" s="2488"/>
      <c r="J264" s="2488"/>
      <c r="K264" s="2488"/>
      <c r="L264" s="2488"/>
      <c r="M264" s="2530">
        <v>144979</v>
      </c>
      <c r="N264" s="2488"/>
      <c r="O264" s="2527">
        <f t="shared" si="12"/>
        <v>144979</v>
      </c>
      <c r="P264" s="2479" t="str">
        <f t="shared" si="13"/>
        <v>3.57, Tesoro Refining &amp; Marketing Company, LLC, LU</v>
      </c>
    </row>
    <row r="265" spans="1:16" ht="15" customHeight="1" x14ac:dyDescent="0.2">
      <c r="A265" s="2769">
        <f t="shared" si="14"/>
        <v>3.58</v>
      </c>
      <c r="B265" s="2512" t="s">
        <v>9552</v>
      </c>
      <c r="C265" s="2489" t="s">
        <v>191</v>
      </c>
      <c r="D265" s="2614"/>
      <c r="E265" s="2771">
        <v>0</v>
      </c>
      <c r="F265" s="2530">
        <v>1</v>
      </c>
      <c r="G265" s="2530">
        <v>1</v>
      </c>
      <c r="H265" s="2752">
        <v>4014</v>
      </c>
      <c r="I265" s="2488"/>
      <c r="J265" s="2488"/>
      <c r="K265" s="2488"/>
      <c r="L265" s="2488"/>
      <c r="M265" s="2530">
        <v>222478</v>
      </c>
      <c r="N265" s="2488"/>
      <c r="O265" s="2527">
        <f t="shared" si="12"/>
        <v>222478</v>
      </c>
      <c r="P265" s="2479" t="str">
        <f t="shared" si="13"/>
        <v>3.58, Thayn Hydro LLC, LU</v>
      </c>
    </row>
    <row r="266" spans="1:16" ht="15" customHeight="1" x14ac:dyDescent="0.2">
      <c r="A266" s="2769">
        <f t="shared" si="14"/>
        <v>3.59</v>
      </c>
      <c r="B266" s="2512" t="s">
        <v>9139</v>
      </c>
      <c r="C266" s="2489" t="s">
        <v>190</v>
      </c>
      <c r="D266" s="2614"/>
      <c r="E266" s="2614"/>
      <c r="F266" s="2614"/>
      <c r="G266" s="2614"/>
      <c r="H266" s="2752">
        <v>68421</v>
      </c>
      <c r="I266" s="2488"/>
      <c r="J266" s="2488"/>
      <c r="K266" s="2488"/>
      <c r="L266" s="2488"/>
      <c r="M266" s="2530">
        <v>6076845</v>
      </c>
      <c r="N266" s="2614"/>
      <c r="O266" s="2527">
        <f t="shared" si="12"/>
        <v>6076845</v>
      </c>
      <c r="P266" s="2479" t="str">
        <f t="shared" si="13"/>
        <v>3.59, The Energy Authority, Inc., SF</v>
      </c>
    </row>
    <row r="267" spans="1:16" ht="15" customHeight="1" x14ac:dyDescent="0.2">
      <c r="A267" s="2769">
        <f t="shared" si="14"/>
        <v>3.6</v>
      </c>
      <c r="B267" s="2512" t="s">
        <v>9553</v>
      </c>
      <c r="C267" s="2489" t="s">
        <v>191</v>
      </c>
      <c r="D267" s="2614"/>
      <c r="E267" s="2614"/>
      <c r="F267" s="2614"/>
      <c r="G267" s="2614"/>
      <c r="H267" s="2750">
        <v>296059</v>
      </c>
      <c r="I267" s="2488"/>
      <c r="J267" s="2488"/>
      <c r="K267" s="2488"/>
      <c r="L267" s="2488"/>
      <c r="M267" s="2530">
        <v>18888547</v>
      </c>
      <c r="N267" s="2488"/>
      <c r="O267" s="2527">
        <f t="shared" si="12"/>
        <v>18888547</v>
      </c>
      <c r="P267" s="2479" t="str">
        <f t="shared" si="13"/>
        <v>3.6, Three Buttes Windpower, LLC, LU</v>
      </c>
    </row>
    <row r="268" spans="1:16" ht="15" customHeight="1" x14ac:dyDescent="0.2">
      <c r="A268" s="2769">
        <f t="shared" si="14"/>
        <v>3.61</v>
      </c>
      <c r="B268" s="2512" t="s">
        <v>9554</v>
      </c>
      <c r="C268" s="2489" t="s">
        <v>191</v>
      </c>
      <c r="D268" s="2614"/>
      <c r="E268" s="2614"/>
      <c r="F268" s="2614"/>
      <c r="G268" s="2614"/>
      <c r="H268" s="2752">
        <v>201301</v>
      </c>
      <c r="I268" s="2488"/>
      <c r="J268" s="2488"/>
      <c r="K268" s="2488"/>
      <c r="L268" s="2488"/>
      <c r="M268" s="2530">
        <v>8572959</v>
      </c>
      <c r="N268" s="2488"/>
      <c r="O268" s="2527">
        <f t="shared" si="12"/>
        <v>8572959</v>
      </c>
      <c r="P268" s="2479" t="str">
        <f t="shared" si="13"/>
        <v>3.61, Three Peaks Power, LLC, LU</v>
      </c>
    </row>
    <row r="269" spans="1:16" ht="15" customHeight="1" x14ac:dyDescent="0.2">
      <c r="A269" s="2769">
        <f t="shared" si="14"/>
        <v>3.62</v>
      </c>
      <c r="B269" s="2512" t="s">
        <v>9555</v>
      </c>
      <c r="C269" s="2489" t="s">
        <v>191</v>
      </c>
      <c r="D269" s="2614"/>
      <c r="E269" s="2614"/>
      <c r="F269" s="2614"/>
      <c r="G269" s="2614"/>
      <c r="H269" s="2752">
        <v>2419</v>
      </c>
      <c r="I269" s="2488"/>
      <c r="J269" s="2488"/>
      <c r="K269" s="2488"/>
      <c r="L269" s="2488"/>
      <c r="M269" s="2530">
        <v>143282</v>
      </c>
      <c r="N269" s="2488"/>
      <c r="O269" s="2527">
        <f t="shared" si="12"/>
        <v>143282</v>
      </c>
      <c r="P269" s="2479" t="str">
        <f t="shared" si="13"/>
        <v>3.62, Three Sisters Irrigation District, LU</v>
      </c>
    </row>
    <row r="270" spans="1:16" ht="15" customHeight="1" x14ac:dyDescent="0.2">
      <c r="A270" s="2769">
        <f t="shared" si="14"/>
        <v>3.63</v>
      </c>
      <c r="B270" s="2512" t="s">
        <v>9555</v>
      </c>
      <c r="C270" s="2942" t="s">
        <v>196</v>
      </c>
      <c r="D270" s="2614"/>
      <c r="E270" s="2614"/>
      <c r="F270" s="2614"/>
      <c r="G270" s="2614"/>
      <c r="H270" s="2614"/>
      <c r="I270" s="2488"/>
      <c r="J270" s="2488"/>
      <c r="K270" s="2488"/>
      <c r="L270" s="2488"/>
      <c r="M270" s="2614"/>
      <c r="N270" s="2838">
        <v>814</v>
      </c>
      <c r="O270" s="2527">
        <f t="shared" si="12"/>
        <v>814</v>
      </c>
      <c r="P270" s="2479" t="str">
        <f t="shared" si="13"/>
        <v>3.63, Three Sisters Irrigation District, AD</v>
      </c>
    </row>
    <row r="271" spans="1:16" ht="15" customHeight="1" x14ac:dyDescent="0.2">
      <c r="A271" s="2769">
        <f t="shared" si="14"/>
        <v>3.64</v>
      </c>
      <c r="B271" s="2512" t="s">
        <v>9556</v>
      </c>
      <c r="C271" s="2489" t="s">
        <v>191</v>
      </c>
      <c r="D271" s="2614"/>
      <c r="E271" s="2614"/>
      <c r="F271" s="2614"/>
      <c r="G271" s="2614"/>
      <c r="H271" s="2752">
        <v>20267</v>
      </c>
      <c r="I271" s="2488"/>
      <c r="J271" s="2488"/>
      <c r="K271" s="2488"/>
      <c r="L271" s="2488"/>
      <c r="M271" s="2530">
        <v>1623382</v>
      </c>
      <c r="N271" s="2488"/>
      <c r="O271" s="2527">
        <f t="shared" si="12"/>
        <v>1623382</v>
      </c>
      <c r="P271" s="2479" t="str">
        <f t="shared" si="13"/>
        <v>3.64, Threemile Canyon Wind I, LLC, LU</v>
      </c>
    </row>
    <row r="272" spans="1:16" ht="15" customHeight="1" x14ac:dyDescent="0.2">
      <c r="A272" s="2769">
        <f t="shared" si="14"/>
        <v>3.65</v>
      </c>
      <c r="B272" s="2512" t="s">
        <v>9557</v>
      </c>
      <c r="C272" s="2489" t="s">
        <v>191</v>
      </c>
      <c r="D272" s="2614"/>
      <c r="E272" s="2614"/>
      <c r="F272" s="2614"/>
      <c r="G272" s="2614"/>
      <c r="H272" s="2752">
        <v>37601</v>
      </c>
      <c r="I272" s="2488"/>
      <c r="J272" s="2488"/>
      <c r="K272" s="2488"/>
      <c r="L272" s="2614"/>
      <c r="M272" s="2530">
        <v>2477351</v>
      </c>
      <c r="N272" s="2614"/>
      <c r="O272" s="2527">
        <f t="shared" si="12"/>
        <v>2477351</v>
      </c>
      <c r="P272" s="2479" t="str">
        <f t="shared" si="13"/>
        <v>3.65, TMF Biofuels, LLC, LU</v>
      </c>
    </row>
    <row r="273" spans="1:16" ht="15" customHeight="1" x14ac:dyDescent="0.2">
      <c r="A273" s="2769">
        <f t="shared" si="14"/>
        <v>3.66</v>
      </c>
      <c r="B273" s="2512" t="s">
        <v>9558</v>
      </c>
      <c r="C273" s="2489" t="s">
        <v>191</v>
      </c>
      <c r="D273" s="2614"/>
      <c r="E273" s="2614"/>
      <c r="F273" s="2614"/>
      <c r="G273" s="2614"/>
      <c r="H273" s="2752">
        <v>278</v>
      </c>
      <c r="I273" s="2488"/>
      <c r="J273" s="2488"/>
      <c r="K273" s="2488"/>
      <c r="L273" s="2488"/>
      <c r="M273" s="2530">
        <v>7575</v>
      </c>
      <c r="N273" s="2488"/>
      <c r="O273" s="2527">
        <f t="shared" si="12"/>
        <v>7575</v>
      </c>
      <c r="P273" s="2479" t="str">
        <f t="shared" si="13"/>
        <v>3.66, Tooele Army Depot, LU</v>
      </c>
    </row>
    <row r="274" spans="1:16" ht="15" customHeight="1" x14ac:dyDescent="0.2">
      <c r="A274" s="2769">
        <f t="shared" si="14"/>
        <v>3.67</v>
      </c>
      <c r="B274" s="2512" t="s">
        <v>9559</v>
      </c>
      <c r="C274" s="2489" t="s">
        <v>191</v>
      </c>
      <c r="D274" s="2614"/>
      <c r="E274" s="2614"/>
      <c r="F274" s="2614"/>
      <c r="G274" s="2614"/>
      <c r="H274" s="2752">
        <v>254849</v>
      </c>
      <c r="I274" s="2488"/>
      <c r="J274" s="2488"/>
      <c r="K274" s="2488"/>
      <c r="L274" s="2488"/>
      <c r="M274" s="2530">
        <v>16820063</v>
      </c>
      <c r="N274" s="2531">
        <v>22030392</v>
      </c>
      <c r="O274" s="2527">
        <f t="shared" si="12"/>
        <v>38850455</v>
      </c>
      <c r="P274" s="2479" t="str">
        <f t="shared" si="13"/>
        <v>3.67, Top of the World Wind Energy LLC, LU</v>
      </c>
    </row>
    <row r="275" spans="1:16" ht="15" customHeight="1" x14ac:dyDescent="0.2">
      <c r="A275" s="2769">
        <f t="shared" si="14"/>
        <v>3.68</v>
      </c>
      <c r="B275" s="2512" t="s">
        <v>9140</v>
      </c>
      <c r="C275" s="2489" t="s">
        <v>190</v>
      </c>
      <c r="D275" s="2614"/>
      <c r="E275" s="2614"/>
      <c r="F275" s="2614"/>
      <c r="G275" s="2614"/>
      <c r="H275" s="2752">
        <v>113825</v>
      </c>
      <c r="I275" s="2488"/>
      <c r="J275" s="2488"/>
      <c r="K275" s="2488"/>
      <c r="L275" s="2488"/>
      <c r="M275" s="2530">
        <v>12177482</v>
      </c>
      <c r="N275" s="2488"/>
      <c r="O275" s="2527">
        <f t="shared" si="12"/>
        <v>12177482</v>
      </c>
      <c r="P275" s="2479" t="str">
        <f t="shared" si="13"/>
        <v>3.68, TransAlta Energy Marketing (U.S.) Inc., SF</v>
      </c>
    </row>
    <row r="276" spans="1:16" ht="15" customHeight="1" x14ac:dyDescent="0.2">
      <c r="A276" s="2769">
        <f t="shared" si="14"/>
        <v>3.69</v>
      </c>
      <c r="B276" s="2512" t="s">
        <v>9560</v>
      </c>
      <c r="C276" s="2489" t="s">
        <v>190</v>
      </c>
      <c r="D276" s="2614"/>
      <c r="E276" s="2614"/>
      <c r="F276" s="2614"/>
      <c r="G276" s="2614"/>
      <c r="H276" s="2752">
        <v>4478</v>
      </c>
      <c r="I276" s="2488"/>
      <c r="J276" s="2488"/>
      <c r="K276" s="2488"/>
      <c r="L276" s="2488"/>
      <c r="M276" s="2530">
        <v>380490</v>
      </c>
      <c r="N276" s="2488"/>
      <c r="O276" s="2527">
        <f t="shared" si="12"/>
        <v>380490</v>
      </c>
      <c r="P276" s="2479" t="str">
        <f t="shared" si="13"/>
        <v>3.69, TransCanada Energy Sales Ltd., SF</v>
      </c>
    </row>
    <row r="277" spans="1:16" ht="15" customHeight="1" x14ac:dyDescent="0.2">
      <c r="A277" s="2769">
        <f t="shared" si="14"/>
        <v>3.7</v>
      </c>
      <c r="B277" s="2512" t="s">
        <v>9141</v>
      </c>
      <c r="C277" s="2489" t="s">
        <v>190</v>
      </c>
      <c r="D277" s="2614"/>
      <c r="E277" s="2614"/>
      <c r="F277" s="2614"/>
      <c r="G277" s="2614"/>
      <c r="H277" s="2752">
        <v>9421</v>
      </c>
      <c r="I277" s="2488"/>
      <c r="J277" s="2488"/>
      <c r="K277" s="2488"/>
      <c r="L277" s="2488"/>
      <c r="M277" s="2530">
        <v>807753</v>
      </c>
      <c r="N277" s="2488"/>
      <c r="O277" s="2527">
        <f t="shared" si="12"/>
        <v>807753</v>
      </c>
      <c r="P277" s="2479" t="str">
        <f t="shared" si="13"/>
        <v>3.7, Tri-State Generation and Transmission Association, Inc., SF</v>
      </c>
    </row>
    <row r="278" spans="1:16" ht="15" customHeight="1" x14ac:dyDescent="0.2">
      <c r="A278" s="2769">
        <f t="shared" si="14"/>
        <v>3.71</v>
      </c>
      <c r="B278" s="2512" t="s">
        <v>9141</v>
      </c>
      <c r="C278" s="2942" t="s">
        <v>196</v>
      </c>
      <c r="D278" s="2614"/>
      <c r="E278" s="2614"/>
      <c r="F278" s="2614"/>
      <c r="G278" s="2614"/>
      <c r="H278" s="2752">
        <v>99</v>
      </c>
      <c r="I278" s="2488"/>
      <c r="J278" s="2488"/>
      <c r="K278" s="2488"/>
      <c r="L278" s="2488"/>
      <c r="M278" s="2614"/>
      <c r="N278" s="2838">
        <v>8285</v>
      </c>
      <c r="O278" s="2527">
        <f t="shared" si="12"/>
        <v>8285</v>
      </c>
      <c r="P278" s="2479" t="str">
        <f t="shared" si="13"/>
        <v>3.71, Tri-State Generation and Transmission Association, Inc., AD</v>
      </c>
    </row>
    <row r="279" spans="1:16" ht="15" customHeight="1" x14ac:dyDescent="0.2">
      <c r="A279" s="2769">
        <f t="shared" si="14"/>
        <v>3.72</v>
      </c>
      <c r="B279" s="2512" t="s">
        <v>9142</v>
      </c>
      <c r="C279" s="2489" t="s">
        <v>190</v>
      </c>
      <c r="D279" s="2614"/>
      <c r="E279" s="2614"/>
      <c r="F279" s="2614"/>
      <c r="G279" s="2614"/>
      <c r="H279" s="2752">
        <v>37819</v>
      </c>
      <c r="I279" s="2488"/>
      <c r="J279" s="2488"/>
      <c r="K279" s="2488"/>
      <c r="L279" s="2488"/>
      <c r="M279" s="2530">
        <v>2172266</v>
      </c>
      <c r="N279" s="2488"/>
      <c r="O279" s="2527">
        <f t="shared" si="12"/>
        <v>2172266</v>
      </c>
      <c r="P279" s="2479" t="str">
        <f t="shared" si="13"/>
        <v>3.72, Tucson Electric Power Company, SF</v>
      </c>
    </row>
    <row r="280" spans="1:16" ht="15" customHeight="1" x14ac:dyDescent="0.2">
      <c r="A280" s="2769">
        <f t="shared" si="14"/>
        <v>3.73</v>
      </c>
      <c r="B280" s="2512" t="s">
        <v>9561</v>
      </c>
      <c r="C280" s="2489" t="s">
        <v>191</v>
      </c>
      <c r="D280" s="2614"/>
      <c r="E280" s="2614"/>
      <c r="F280" s="2614"/>
      <c r="G280" s="2614"/>
      <c r="H280" s="2752">
        <v>18855</v>
      </c>
      <c r="I280" s="2488"/>
      <c r="J280" s="2488"/>
      <c r="K280" s="2488"/>
      <c r="L280" s="2488"/>
      <c r="M280" s="2530">
        <v>1068459</v>
      </c>
      <c r="N280" s="2614"/>
      <c r="O280" s="2527">
        <f t="shared" si="12"/>
        <v>1068459</v>
      </c>
      <c r="P280" s="2479" t="str">
        <f t="shared" si="13"/>
        <v>3.73, Tumbleweed Solar LLC, LU</v>
      </c>
    </row>
    <row r="281" spans="1:16" ht="15" customHeight="1" x14ac:dyDescent="0.2">
      <c r="A281" s="2769">
        <f t="shared" si="14"/>
        <v>3.74</v>
      </c>
      <c r="B281" s="2512" t="s">
        <v>9562</v>
      </c>
      <c r="C281" s="2489" t="s">
        <v>191</v>
      </c>
      <c r="D281" s="2614"/>
      <c r="E281" s="2614"/>
      <c r="F281" s="2614"/>
      <c r="G281" s="2614"/>
      <c r="H281" s="2750">
        <v>7</v>
      </c>
      <c r="I281" s="2488"/>
      <c r="J281" s="2488"/>
      <c r="K281" s="2488"/>
      <c r="L281" s="2488"/>
      <c r="M281" s="2530">
        <v>841</v>
      </c>
      <c r="N281" s="2488"/>
      <c r="O281" s="2527">
        <f t="shared" si="12"/>
        <v>841</v>
      </c>
      <c r="P281" s="2479" t="str">
        <f t="shared" si="13"/>
        <v>3.74, U.S. Department of the Interior - Bureau of Land Management, LU</v>
      </c>
    </row>
    <row r="282" spans="1:16" ht="15" customHeight="1" x14ac:dyDescent="0.2">
      <c r="A282" s="2769">
        <f t="shared" si="14"/>
        <v>3.75</v>
      </c>
      <c r="B282" s="2512" t="s">
        <v>9563</v>
      </c>
      <c r="C282" s="2489" t="s">
        <v>190</v>
      </c>
      <c r="D282" s="2614"/>
      <c r="E282" s="2614"/>
      <c r="F282" s="2614"/>
      <c r="G282" s="2614"/>
      <c r="H282" s="2752">
        <v>43984</v>
      </c>
      <c r="I282" s="2488"/>
      <c r="J282" s="2488"/>
      <c r="K282" s="2488"/>
      <c r="L282" s="2488"/>
      <c r="M282" s="2530">
        <v>6446513</v>
      </c>
      <c r="N282" s="2488"/>
      <c r="O282" s="2527">
        <f t="shared" si="12"/>
        <v>6446513</v>
      </c>
      <c r="P282" s="2479" t="str">
        <f t="shared" si="13"/>
        <v>3.75, Uniper Global Commodities, SF</v>
      </c>
    </row>
    <row r="283" spans="1:16" ht="15" customHeight="1" x14ac:dyDescent="0.2">
      <c r="A283" s="2769">
        <f t="shared" si="14"/>
        <v>3.76</v>
      </c>
      <c r="B283" s="2512" t="s">
        <v>9563</v>
      </c>
      <c r="C283" s="2942" t="s">
        <v>196</v>
      </c>
      <c r="D283" s="2614"/>
      <c r="E283" s="2614"/>
      <c r="F283" s="2614"/>
      <c r="G283" s="2614"/>
      <c r="H283" s="2752">
        <v>48</v>
      </c>
      <c r="I283" s="2488"/>
      <c r="J283" s="2488"/>
      <c r="K283" s="2488"/>
      <c r="L283" s="2488"/>
      <c r="M283" s="2614"/>
      <c r="N283" s="2838">
        <v>4282</v>
      </c>
      <c r="O283" s="2527">
        <f t="shared" si="12"/>
        <v>4282</v>
      </c>
      <c r="P283" s="2479" t="str">
        <f t="shared" si="13"/>
        <v>3.76, Uniper Global Commodities, AD</v>
      </c>
    </row>
    <row r="284" spans="1:16" ht="15" customHeight="1" x14ac:dyDescent="0.2">
      <c r="A284" s="2769">
        <f t="shared" si="14"/>
        <v>3.77</v>
      </c>
      <c r="B284" s="2512" t="s">
        <v>9564</v>
      </c>
      <c r="C284" s="2489" t="s">
        <v>191</v>
      </c>
      <c r="D284" s="2614"/>
      <c r="E284" s="2614"/>
      <c r="F284" s="2614"/>
      <c r="G284" s="2614"/>
      <c r="H284" s="2752">
        <v>13554</v>
      </c>
      <c r="I284" s="2488"/>
      <c r="J284" s="2488"/>
      <c r="K284" s="2488"/>
      <c r="L284" s="2488"/>
      <c r="M284" s="2530">
        <v>852851</v>
      </c>
      <c r="N284" s="2488"/>
      <c r="O284" s="2527">
        <f t="shared" si="12"/>
        <v>852851</v>
      </c>
      <c r="P284" s="2479" t="str">
        <f t="shared" si="13"/>
        <v>3.77, United States Air Force at Hill Air Force Base, LU</v>
      </c>
    </row>
    <row r="285" spans="1:16" ht="15" customHeight="1" x14ac:dyDescent="0.2">
      <c r="A285" s="2769">
        <f t="shared" si="14"/>
        <v>3.78</v>
      </c>
      <c r="B285" s="2512" t="s">
        <v>9145</v>
      </c>
      <c r="C285" s="2489" t="s">
        <v>190</v>
      </c>
      <c r="D285" s="2614"/>
      <c r="E285" s="2614"/>
      <c r="F285" s="2614"/>
      <c r="G285" s="2614"/>
      <c r="H285" s="2752">
        <v>7443</v>
      </c>
      <c r="I285" s="2488"/>
      <c r="J285" s="2488"/>
      <c r="K285" s="2488"/>
      <c r="L285" s="2488"/>
      <c r="M285" s="2530">
        <v>311752</v>
      </c>
      <c r="N285" s="2488"/>
      <c r="O285" s="2527">
        <f t="shared" si="12"/>
        <v>311752</v>
      </c>
      <c r="P285" s="2479" t="str">
        <f t="shared" si="13"/>
        <v>3.78, UNS Electric, Inc., SF</v>
      </c>
    </row>
    <row r="286" spans="1:16" ht="15" customHeight="1" x14ac:dyDescent="0.2">
      <c r="A286" s="2769">
        <f t="shared" si="14"/>
        <v>3.79</v>
      </c>
      <c r="B286" s="2512" t="s">
        <v>9565</v>
      </c>
      <c r="C286" s="2489" t="s">
        <v>191</v>
      </c>
      <c r="D286" s="2614"/>
      <c r="E286" s="2614"/>
      <c r="F286" s="2614"/>
      <c r="G286" s="2614"/>
      <c r="H286" s="2614"/>
      <c r="I286" s="2488"/>
      <c r="J286" s="2488"/>
      <c r="K286" s="2488"/>
      <c r="L286" s="2614"/>
      <c r="M286" s="2614"/>
      <c r="N286" s="2946">
        <v>316250</v>
      </c>
      <c r="O286" s="2527">
        <f t="shared" si="12"/>
        <v>316250</v>
      </c>
      <c r="P286" s="2479" t="str">
        <f t="shared" si="13"/>
        <v>3.79, US Magnesium LLC, LU</v>
      </c>
    </row>
    <row r="287" spans="1:16" ht="15" customHeight="1" x14ac:dyDescent="0.2">
      <c r="A287" s="2769">
        <f t="shared" si="14"/>
        <v>3.8</v>
      </c>
      <c r="B287" s="2512" t="s">
        <v>9146</v>
      </c>
      <c r="C287" s="2489" t="s">
        <v>190</v>
      </c>
      <c r="D287" s="2614"/>
      <c r="E287" s="2614"/>
      <c r="F287" s="2614"/>
      <c r="G287" s="2614"/>
      <c r="H287" s="2949">
        <v>380</v>
      </c>
      <c r="I287" s="2488"/>
      <c r="J287" s="2488"/>
      <c r="K287" s="2488"/>
      <c r="L287" s="2488"/>
      <c r="M287" s="2530">
        <v>16800</v>
      </c>
      <c r="N287" s="2488"/>
      <c r="O287" s="2527">
        <f t="shared" si="12"/>
        <v>16800</v>
      </c>
      <c r="P287" s="2479" t="str">
        <f t="shared" si="13"/>
        <v>3.8, Utah Associated Municipal Power Systems, SF</v>
      </c>
    </row>
    <row r="288" spans="1:16" ht="15" customHeight="1" x14ac:dyDescent="0.2">
      <c r="A288" s="2769">
        <f t="shared" si="14"/>
        <v>3.81</v>
      </c>
      <c r="B288" s="2512" t="s">
        <v>9147</v>
      </c>
      <c r="C288" s="2489" t="s">
        <v>190</v>
      </c>
      <c r="D288" s="2614"/>
      <c r="E288" s="2614"/>
      <c r="F288" s="2614"/>
      <c r="G288" s="2614"/>
      <c r="H288" s="2752">
        <v>73417</v>
      </c>
      <c r="I288" s="2488"/>
      <c r="J288" s="2488"/>
      <c r="K288" s="2488"/>
      <c r="L288" s="2488"/>
      <c r="M288" s="2530">
        <v>8385844</v>
      </c>
      <c r="N288" s="2488"/>
      <c r="O288" s="2527">
        <f t="shared" si="12"/>
        <v>8385844</v>
      </c>
      <c r="P288" s="2479" t="str">
        <f t="shared" si="13"/>
        <v>3.81, Utah Municipal Power Agency, SF</v>
      </c>
    </row>
    <row r="289" spans="1:16" ht="15" customHeight="1" x14ac:dyDescent="0.2">
      <c r="A289" s="2769">
        <f t="shared" si="14"/>
        <v>3.82</v>
      </c>
      <c r="B289" s="2512" t="s">
        <v>9566</v>
      </c>
      <c r="C289" s="2489" t="s">
        <v>191</v>
      </c>
      <c r="D289" s="2614"/>
      <c r="E289" s="2614"/>
      <c r="F289" s="2614"/>
      <c r="G289" s="2614"/>
      <c r="H289" s="2752">
        <v>191056</v>
      </c>
      <c r="I289" s="2488"/>
      <c r="J289" s="2488"/>
      <c r="K289" s="2488"/>
      <c r="L289" s="2488"/>
      <c r="M289" s="2530">
        <v>11096177</v>
      </c>
      <c r="N289" s="2488"/>
      <c r="O289" s="2527">
        <f t="shared" si="12"/>
        <v>11096177</v>
      </c>
      <c r="P289" s="2479" t="str">
        <f t="shared" si="13"/>
        <v>3.82, Utah Red Hills Renewable Park, LLC, LU</v>
      </c>
    </row>
    <row r="290" spans="1:16" ht="15" customHeight="1" x14ac:dyDescent="0.2">
      <c r="A290" s="2769">
        <f t="shared" si="14"/>
        <v>3.83</v>
      </c>
      <c r="B290" s="2512" t="s">
        <v>9567</v>
      </c>
      <c r="C290" s="2489" t="s">
        <v>191</v>
      </c>
      <c r="D290" s="2614"/>
      <c r="E290" s="2614"/>
      <c r="F290" s="2614"/>
      <c r="G290" s="2614"/>
      <c r="H290" s="2752">
        <v>207809</v>
      </c>
      <c r="I290" s="2488"/>
      <c r="J290" s="2488"/>
      <c r="K290" s="2488"/>
      <c r="L290" s="2488"/>
      <c r="M290" s="2530">
        <v>14300060</v>
      </c>
      <c r="N290" s="2488"/>
      <c r="O290" s="2527">
        <f t="shared" si="12"/>
        <v>14300060</v>
      </c>
      <c r="P290" s="2479" t="str">
        <f t="shared" si="13"/>
        <v>3.83, Utah schedule 136 / 137 Solar Customers, LU</v>
      </c>
    </row>
    <row r="291" spans="1:16" ht="15" customHeight="1" x14ac:dyDescent="0.2">
      <c r="A291" s="2769">
        <f t="shared" si="14"/>
        <v>3.84</v>
      </c>
      <c r="B291" s="2512" t="s">
        <v>9567</v>
      </c>
      <c r="C291" s="2942" t="s">
        <v>196</v>
      </c>
      <c r="D291" s="2614"/>
      <c r="E291" s="2614"/>
      <c r="F291" s="2614"/>
      <c r="G291" s="2614"/>
      <c r="H291" s="2752">
        <v>66062</v>
      </c>
      <c r="I291" s="2488"/>
      <c r="J291" s="2488"/>
      <c r="K291" s="2488"/>
      <c r="L291" s="2488"/>
      <c r="M291" s="2614"/>
      <c r="N291" s="2838">
        <v>3471323</v>
      </c>
      <c r="O291" s="2527">
        <f t="shared" si="12"/>
        <v>3471323</v>
      </c>
      <c r="P291" s="2479" t="str">
        <f t="shared" si="13"/>
        <v>3.84, Utah schedule 136 / 137 Solar Customers, AD</v>
      </c>
    </row>
    <row r="292" spans="1:16" ht="15" customHeight="1" x14ac:dyDescent="0.2">
      <c r="A292" s="2769">
        <f t="shared" si="14"/>
        <v>3.85</v>
      </c>
      <c r="B292" s="2512" t="s">
        <v>9148</v>
      </c>
      <c r="C292" s="2489" t="s">
        <v>190</v>
      </c>
      <c r="D292" s="2614"/>
      <c r="E292" s="2614"/>
      <c r="F292" s="2614"/>
      <c r="G292" s="2614"/>
      <c r="H292" s="2752">
        <v>28304</v>
      </c>
      <c r="I292" s="2488"/>
      <c r="J292" s="2488"/>
      <c r="K292" s="2488"/>
      <c r="L292" s="2488"/>
      <c r="M292" s="2530">
        <v>2108881</v>
      </c>
      <c r="N292" s="2488"/>
      <c r="O292" s="2527">
        <f t="shared" si="12"/>
        <v>2108881</v>
      </c>
      <c r="P292" s="2479" t="str">
        <f t="shared" si="13"/>
        <v>3.85, Vitol Inc., SF</v>
      </c>
    </row>
    <row r="293" spans="1:16" ht="15" customHeight="1" x14ac:dyDescent="0.2">
      <c r="A293" s="2769">
        <f t="shared" si="14"/>
        <v>3.86</v>
      </c>
      <c r="B293" s="2669" t="s">
        <v>9148</v>
      </c>
      <c r="C293" s="2489" t="s">
        <v>193</v>
      </c>
      <c r="D293" s="2614"/>
      <c r="E293" s="2614"/>
      <c r="F293" s="2614"/>
      <c r="G293" s="2614"/>
      <c r="H293" s="2614"/>
      <c r="I293" s="2488"/>
      <c r="J293" s="2488"/>
      <c r="K293" s="2488"/>
      <c r="L293" s="2488"/>
      <c r="M293" s="2614"/>
      <c r="N293" s="2943">
        <v>386421</v>
      </c>
      <c r="O293" s="2527">
        <f t="shared" si="12"/>
        <v>386421</v>
      </c>
      <c r="P293" s="2479" t="str">
        <f t="shared" si="13"/>
        <v>3.86, Vitol Inc., OS</v>
      </c>
    </row>
    <row r="294" spans="1:16" ht="15" customHeight="1" x14ac:dyDescent="0.2">
      <c r="A294" s="2769">
        <f t="shared" si="14"/>
        <v>3.87</v>
      </c>
      <c r="B294" s="2512" t="s">
        <v>9568</v>
      </c>
      <c r="C294" s="2489" t="s">
        <v>191</v>
      </c>
      <c r="D294" s="2614"/>
      <c r="E294" s="2614"/>
      <c r="F294" s="2614"/>
      <c r="G294" s="2614"/>
      <c r="H294" s="2752">
        <v>6237</v>
      </c>
      <c r="I294" s="2488"/>
      <c r="J294" s="2488"/>
      <c r="K294" s="2488"/>
      <c r="L294" s="2488"/>
      <c r="M294" s="2530">
        <v>491633</v>
      </c>
      <c r="N294" s="2614"/>
      <c r="O294" s="2527">
        <f t="shared" si="12"/>
        <v>491633</v>
      </c>
      <c r="P294" s="2479" t="str">
        <f t="shared" si="13"/>
        <v>3.87, Wagon Trail, LLC, LU</v>
      </c>
    </row>
    <row r="295" spans="1:16" ht="15" customHeight="1" x14ac:dyDescent="0.2">
      <c r="A295" s="2769">
        <f t="shared" si="14"/>
        <v>3.88</v>
      </c>
      <c r="B295" s="2512" t="s">
        <v>9569</v>
      </c>
      <c r="C295" s="2489" t="s">
        <v>191</v>
      </c>
      <c r="D295" s="2614"/>
      <c r="E295" s="2614"/>
      <c r="F295" s="2614"/>
      <c r="G295" s="2614"/>
      <c r="H295" s="2750">
        <v>740</v>
      </c>
      <c r="I295" s="2488"/>
      <c r="J295" s="2488"/>
      <c r="K295" s="2488"/>
      <c r="L295" s="2488"/>
      <c r="M295" s="2530">
        <v>71608</v>
      </c>
      <c r="N295" s="2488"/>
      <c r="O295" s="2527">
        <f t="shared" si="12"/>
        <v>71608</v>
      </c>
      <c r="P295" s="2479" t="str">
        <f t="shared" si="13"/>
        <v>3.88, Wallowa County Community Solar, LU</v>
      </c>
    </row>
    <row r="296" spans="1:16" ht="15" customHeight="1" x14ac:dyDescent="0.2">
      <c r="A296" s="2769">
        <f t="shared" si="14"/>
        <v>3.89</v>
      </c>
      <c r="B296" s="2512" t="s">
        <v>9570</v>
      </c>
      <c r="C296" s="2489" t="s">
        <v>191</v>
      </c>
      <c r="D296" s="2614"/>
      <c r="E296" s="2614"/>
      <c r="F296" s="2614"/>
      <c r="G296" s="2614"/>
      <c r="H296" s="2752">
        <v>14227</v>
      </c>
      <c r="I296" s="2488"/>
      <c r="J296" s="2488"/>
      <c r="K296" s="2488"/>
      <c r="L296" s="2488"/>
      <c r="M296" s="2530">
        <v>1117412</v>
      </c>
      <c r="N296" s="2488"/>
      <c r="O296" s="2527">
        <f t="shared" si="12"/>
        <v>1117412</v>
      </c>
      <c r="P296" s="2479" t="str">
        <f t="shared" si="13"/>
        <v>3.89, Ward Butte Windfarm, LLC, LU</v>
      </c>
    </row>
    <row r="297" spans="1:16" ht="15" customHeight="1" x14ac:dyDescent="0.2">
      <c r="A297" s="2769">
        <f t="shared" si="14"/>
        <v>3.9</v>
      </c>
      <c r="B297" s="2512" t="s">
        <v>9571</v>
      </c>
      <c r="C297" s="2942" t="s">
        <v>196</v>
      </c>
      <c r="D297" s="2614"/>
      <c r="E297" s="2614"/>
      <c r="F297" s="2614"/>
      <c r="G297" s="2614"/>
      <c r="H297" s="2614"/>
      <c r="I297" s="2488"/>
      <c r="J297" s="2488"/>
      <c r="K297" s="2488"/>
      <c r="L297" s="2488"/>
      <c r="M297" s="2614"/>
      <c r="N297" s="2838">
        <v>4385</v>
      </c>
      <c r="O297" s="2527">
        <f t="shared" si="12"/>
        <v>4385</v>
      </c>
      <c r="P297" s="2479" t="str">
        <f t="shared" si="13"/>
        <v>3.9, Weber County, AD</v>
      </c>
    </row>
    <row r="298" spans="1:16" ht="15" customHeight="1" x14ac:dyDescent="0.2">
      <c r="A298" s="2769">
        <f t="shared" si="14"/>
        <v>3.91</v>
      </c>
      <c r="B298" s="2512" t="s">
        <v>9572</v>
      </c>
      <c r="C298" s="2947" t="s">
        <v>188</v>
      </c>
      <c r="D298" s="2614"/>
      <c r="E298" s="2614"/>
      <c r="F298" s="2614"/>
      <c r="G298" s="2614"/>
      <c r="H298" s="2752">
        <v>70</v>
      </c>
      <c r="I298" s="2488"/>
      <c r="J298" s="2488"/>
      <c r="K298" s="2488"/>
      <c r="L298" s="2488"/>
      <c r="M298" s="2530">
        <v>6919</v>
      </c>
      <c r="N298" s="2488"/>
      <c r="O298" s="2527">
        <f t="shared" si="12"/>
        <v>6919</v>
      </c>
      <c r="P298" s="2479" t="str">
        <f t="shared" si="13"/>
        <v>3.91, Western Area Power Administration, LF</v>
      </c>
    </row>
    <row r="299" spans="1:16" ht="15" customHeight="1" x14ac:dyDescent="0.2">
      <c r="A299" s="2769">
        <f t="shared" si="14"/>
        <v>3.92</v>
      </c>
      <c r="B299" s="2512" t="s">
        <v>9572</v>
      </c>
      <c r="C299" s="2489" t="s">
        <v>190</v>
      </c>
      <c r="D299" s="2614"/>
      <c r="E299" s="2614"/>
      <c r="F299" s="2614"/>
      <c r="G299" s="2614"/>
      <c r="H299" s="2752">
        <v>90437</v>
      </c>
      <c r="I299" s="2488"/>
      <c r="J299" s="2488"/>
      <c r="K299" s="2488"/>
      <c r="L299" s="2488"/>
      <c r="M299" s="2530">
        <v>3195525</v>
      </c>
      <c r="N299" s="2944">
        <v>12627</v>
      </c>
      <c r="O299" s="2527">
        <f t="shared" si="12"/>
        <v>3208152</v>
      </c>
      <c r="P299" s="2479" t="str">
        <f t="shared" si="13"/>
        <v>3.92, Western Area Power Administration, SF</v>
      </c>
    </row>
    <row r="300" spans="1:16" ht="15" customHeight="1" x14ac:dyDescent="0.2">
      <c r="A300" s="2769">
        <f t="shared" si="14"/>
        <v>3.93</v>
      </c>
      <c r="B300" s="2512" t="s">
        <v>9573</v>
      </c>
      <c r="C300" s="2489" t="s">
        <v>191</v>
      </c>
      <c r="D300" s="2614"/>
      <c r="E300" s="2614"/>
      <c r="F300" s="2614"/>
      <c r="G300" s="2614"/>
      <c r="H300" s="2752">
        <v>161</v>
      </c>
      <c r="I300" s="2488"/>
      <c r="J300" s="2488"/>
      <c r="K300" s="2488"/>
      <c r="L300" s="2614"/>
      <c r="M300" s="2530">
        <v>15314</v>
      </c>
      <c r="N300" s="2614"/>
      <c r="O300" s="2527">
        <f t="shared" si="12"/>
        <v>15314</v>
      </c>
      <c r="P300" s="2479" t="str">
        <f t="shared" si="13"/>
        <v>3.93, Whisky Creek Community Solar, LU</v>
      </c>
    </row>
    <row r="301" spans="1:16" ht="15" customHeight="1" x14ac:dyDescent="0.2">
      <c r="A301" s="2769">
        <f t="shared" si="14"/>
        <v>3.94</v>
      </c>
      <c r="B301" s="2512" t="s">
        <v>9574</v>
      </c>
      <c r="C301" s="2489" t="s">
        <v>191</v>
      </c>
      <c r="D301" s="2614"/>
      <c r="E301" s="2614"/>
      <c r="F301" s="2614"/>
      <c r="G301" s="2614"/>
      <c r="H301" s="2752">
        <v>862</v>
      </c>
      <c r="I301" s="2488"/>
      <c r="J301" s="2488"/>
      <c r="K301" s="2488"/>
      <c r="L301" s="2488"/>
      <c r="M301" s="2530">
        <v>83102</v>
      </c>
      <c r="N301" s="2488"/>
      <c r="O301" s="2527">
        <f t="shared" si="12"/>
        <v>83102</v>
      </c>
      <c r="P301" s="2479" t="str">
        <f t="shared" si="13"/>
        <v>3.94, Wocus Marsh Community Solar, LU</v>
      </c>
    </row>
    <row r="302" spans="1:16" ht="15" customHeight="1" x14ac:dyDescent="0.2">
      <c r="A302" s="2769">
        <f t="shared" si="14"/>
        <v>3.95</v>
      </c>
      <c r="B302" s="2512" t="s">
        <v>9575</v>
      </c>
      <c r="C302" s="2489" t="s">
        <v>191</v>
      </c>
      <c r="D302" s="2614"/>
      <c r="E302" s="2614"/>
      <c r="F302" s="2614"/>
      <c r="G302" s="2614"/>
      <c r="H302" s="2752">
        <v>134639</v>
      </c>
      <c r="I302" s="2488"/>
      <c r="J302" s="2488"/>
      <c r="K302" s="2488"/>
      <c r="L302" s="2488"/>
      <c r="M302" s="2530">
        <v>8556332</v>
      </c>
      <c r="N302" s="2488"/>
      <c r="O302" s="2527">
        <f t="shared" si="12"/>
        <v>8556332</v>
      </c>
      <c r="P302" s="2479" t="str">
        <f t="shared" si="13"/>
        <v>3.95, Wolverine Creek Energy, LLC, LU</v>
      </c>
    </row>
    <row r="303" spans="1:16" ht="15" customHeight="1" x14ac:dyDescent="0.2">
      <c r="A303" s="2769">
        <f t="shared" si="14"/>
        <v>3.96</v>
      </c>
      <c r="B303" s="2512" t="s">
        <v>9576</v>
      </c>
      <c r="C303" s="2489" t="s">
        <v>192</v>
      </c>
      <c r="D303" s="2614"/>
      <c r="E303" s="2614"/>
      <c r="F303" s="2614"/>
      <c r="G303" s="2614"/>
      <c r="H303" s="2752">
        <v>17398</v>
      </c>
      <c r="I303" s="2488"/>
      <c r="J303" s="2488"/>
      <c r="K303" s="2488"/>
      <c r="L303" s="2488"/>
      <c r="M303" s="2530">
        <v>986499</v>
      </c>
      <c r="N303" s="2488"/>
      <c r="O303" s="2527">
        <f t="shared" si="12"/>
        <v>986499</v>
      </c>
      <c r="P303" s="2479" t="str">
        <f t="shared" si="13"/>
        <v>3.96, Woodline Solar, LLC, IU</v>
      </c>
    </row>
    <row r="304" spans="1:16" ht="15" customHeight="1" x14ac:dyDescent="0.2">
      <c r="A304" s="2769">
        <f t="shared" si="14"/>
        <v>3.97</v>
      </c>
      <c r="B304" s="2512" t="s">
        <v>9577</v>
      </c>
      <c r="C304" s="2489" t="s">
        <v>191</v>
      </c>
      <c r="D304" s="2614"/>
      <c r="E304" s="2614"/>
      <c r="F304" s="2614"/>
      <c r="G304" s="2614"/>
      <c r="H304" s="2752">
        <v>5224</v>
      </c>
      <c r="I304" s="2488"/>
      <c r="J304" s="2488"/>
      <c r="K304" s="2488"/>
      <c r="L304" s="2488"/>
      <c r="M304" s="2530">
        <v>352244</v>
      </c>
      <c r="N304" s="2488"/>
      <c r="O304" s="2527">
        <f t="shared" si="12"/>
        <v>352244</v>
      </c>
      <c r="P304" s="2479" t="str">
        <f t="shared" si="13"/>
        <v>3.97, Yakima-Tieton Irrigation District, LU</v>
      </c>
    </row>
    <row r="305" spans="1:16" ht="15" customHeight="1" x14ac:dyDescent="0.2">
      <c r="A305" s="2769">
        <f t="shared" si="14"/>
        <v>3.98</v>
      </c>
      <c r="B305" s="2512" t="s">
        <v>9578</v>
      </c>
      <c r="C305" s="2489"/>
      <c r="D305" s="2614"/>
      <c r="E305" s="2614"/>
      <c r="F305" s="2614"/>
      <c r="G305" s="2614"/>
      <c r="H305" s="2614"/>
      <c r="I305" s="2488"/>
      <c r="J305" s="2488"/>
      <c r="K305" s="2488"/>
      <c r="L305" s="2488"/>
      <c r="M305" s="2614"/>
      <c r="N305" s="2839">
        <v>-3432151</v>
      </c>
      <c r="O305" s="2527">
        <f t="shared" si="12"/>
        <v>-3432151</v>
      </c>
      <c r="P305" s="2479" t="str">
        <f t="shared" si="13"/>
        <v xml:space="preserve">3.98, Liquidated Damages, </v>
      </c>
    </row>
    <row r="306" spans="1:16" ht="15" customHeight="1" x14ac:dyDescent="0.2">
      <c r="A306" s="2769">
        <f t="shared" si="14"/>
        <v>3.99</v>
      </c>
      <c r="B306" s="2512" t="s">
        <v>9578</v>
      </c>
      <c r="C306" s="2942" t="s">
        <v>196</v>
      </c>
      <c r="D306" s="2614"/>
      <c r="E306" s="2614"/>
      <c r="F306" s="2614"/>
      <c r="G306" s="2614"/>
      <c r="H306" s="2614"/>
      <c r="I306" s="2488"/>
      <c r="J306" s="2488"/>
      <c r="K306" s="2488"/>
      <c r="L306" s="2488"/>
      <c r="M306" s="2614"/>
      <c r="N306" s="2838">
        <v>-2125739</v>
      </c>
      <c r="O306" s="2527">
        <f t="shared" si="12"/>
        <v>-2125739</v>
      </c>
      <c r="P306" s="2479" t="str">
        <f t="shared" si="13"/>
        <v>3.99, Liquidated Damages, AD</v>
      </c>
    </row>
    <row r="307" spans="1:16" ht="15" customHeight="1" x14ac:dyDescent="0.2">
      <c r="A307" s="2769">
        <f t="shared" si="14"/>
        <v>4</v>
      </c>
      <c r="B307" s="2512" t="s">
        <v>9579</v>
      </c>
      <c r="C307" s="2489"/>
      <c r="D307" s="2614"/>
      <c r="E307" s="2614"/>
      <c r="F307" s="2614"/>
      <c r="G307" s="2614"/>
      <c r="H307" s="2614"/>
      <c r="I307" s="2488"/>
      <c r="J307" s="2488"/>
      <c r="K307" s="2488"/>
      <c r="L307" s="2488"/>
      <c r="M307" s="2614"/>
      <c r="N307" s="2531">
        <v>2845333</v>
      </c>
      <c r="O307" s="2527">
        <f t="shared" si="12"/>
        <v>2845333</v>
      </c>
      <c r="P307" s="2479" t="str">
        <f t="shared" si="13"/>
        <v xml:space="preserve">4, California GHG Allowance Purchases - Wholesale Program, </v>
      </c>
    </row>
    <row r="308" spans="1:16" ht="15" customHeight="1" x14ac:dyDescent="0.2">
      <c r="A308" s="2769">
        <f t="shared" si="14"/>
        <v>4.01</v>
      </c>
      <c r="B308" s="2512" t="s">
        <v>9580</v>
      </c>
      <c r="C308" s="2489"/>
      <c r="D308" s="2614"/>
      <c r="E308" s="2614"/>
      <c r="F308" s="2614"/>
      <c r="G308" s="2614"/>
      <c r="H308" s="2614"/>
      <c r="I308" s="2488"/>
      <c r="J308" s="2488"/>
      <c r="K308" s="2488"/>
      <c r="L308" s="2488"/>
      <c r="M308" s="2614"/>
      <c r="N308" s="2531">
        <v>10877375</v>
      </c>
      <c r="O308" s="2527">
        <f t="shared" si="12"/>
        <v>10877375</v>
      </c>
      <c r="P308" s="2479" t="str">
        <f t="shared" si="13"/>
        <v xml:space="preserve">4.01, California GHG Allowance Purchases - Retail Program, </v>
      </c>
    </row>
    <row r="309" spans="1:16" ht="15" customHeight="1" x14ac:dyDescent="0.2">
      <c r="A309" s="2769">
        <f t="shared" si="14"/>
        <v>4.0199999999999996</v>
      </c>
      <c r="B309" s="2512" t="s">
        <v>9581</v>
      </c>
      <c r="C309" s="2489"/>
      <c r="D309" s="2614"/>
      <c r="E309" s="2614"/>
      <c r="F309" s="2614"/>
      <c r="G309" s="2614"/>
      <c r="H309" s="2488"/>
      <c r="I309" s="2488"/>
      <c r="J309" s="2488"/>
      <c r="K309" s="2488"/>
      <c r="L309" s="2488"/>
      <c r="M309" s="2614"/>
      <c r="N309" s="2531">
        <v>42054785</v>
      </c>
      <c r="O309" s="2527">
        <f t="shared" si="12"/>
        <v>42054785</v>
      </c>
      <c r="P309" s="2479" t="str">
        <f t="shared" si="13"/>
        <v xml:space="preserve">4.02, Washington GHG Allowance Purchases – Wholesale Program, </v>
      </c>
    </row>
    <row r="310" spans="1:16" ht="15" customHeight="1" x14ac:dyDescent="0.2">
      <c r="A310" s="2769">
        <f t="shared" si="14"/>
        <v>4.03</v>
      </c>
      <c r="B310" s="2512" t="s">
        <v>9582</v>
      </c>
      <c r="C310" s="2489"/>
      <c r="D310" s="2614"/>
      <c r="E310" s="2614"/>
      <c r="F310" s="2614"/>
      <c r="G310" s="2614"/>
      <c r="H310" s="2614"/>
      <c r="I310" s="2488"/>
      <c r="J310" s="2488"/>
      <c r="K310" s="2488"/>
      <c r="L310" s="2488"/>
      <c r="M310" s="2614"/>
      <c r="N310" s="2531">
        <v>-521199290</v>
      </c>
      <c r="O310" s="2527">
        <f t="shared" si="12"/>
        <v>-521199290</v>
      </c>
      <c r="P310" s="2479" t="str">
        <f t="shared" si="13"/>
        <v xml:space="preserve">4.03, Net Power Cost Deferrals, </v>
      </c>
    </row>
    <row r="311" spans="1:16" ht="15" customHeight="1" x14ac:dyDescent="0.2">
      <c r="A311" s="2769">
        <f t="shared" si="14"/>
        <v>4.04</v>
      </c>
      <c r="B311" s="2512" t="s">
        <v>9583</v>
      </c>
      <c r="C311" s="2489"/>
      <c r="D311" s="2614"/>
      <c r="E311" s="2614"/>
      <c r="F311" s="2614"/>
      <c r="G311" s="2614"/>
      <c r="H311" s="2752">
        <v>-413724</v>
      </c>
      <c r="I311" s="2488"/>
      <c r="J311" s="2488"/>
      <c r="K311" s="2488"/>
      <c r="L311" s="2488"/>
      <c r="M311" s="2614"/>
      <c r="N311" s="2531">
        <v>-25199654</v>
      </c>
      <c r="O311" s="2527">
        <f t="shared" si="12"/>
        <v>-25199654</v>
      </c>
      <c r="P311" s="2479" t="str">
        <f t="shared" si="13"/>
        <v xml:space="preserve">4.04, Netting - Bookouts, </v>
      </c>
    </row>
    <row r="312" spans="1:16" ht="15" customHeight="1" x14ac:dyDescent="0.2">
      <c r="A312" s="2769">
        <f t="shared" si="14"/>
        <v>4.05</v>
      </c>
      <c r="B312" s="2512" t="s">
        <v>9584</v>
      </c>
      <c r="C312" s="2489"/>
      <c r="D312" s="2614"/>
      <c r="E312" s="2614"/>
      <c r="F312" s="2614"/>
      <c r="G312" s="2614"/>
      <c r="H312" s="2614"/>
      <c r="I312" s="2488"/>
      <c r="J312" s="2488"/>
      <c r="K312" s="2488"/>
      <c r="L312" s="2488"/>
      <c r="M312" s="2614"/>
      <c r="N312" s="2531">
        <v>-807799</v>
      </c>
      <c r="O312" s="2527">
        <f t="shared" si="12"/>
        <v>-807799</v>
      </c>
      <c r="P312" s="2479" t="str">
        <f t="shared" si="13"/>
        <v xml:space="preserve">4.05, Netting - Trading, </v>
      </c>
    </row>
    <row r="313" spans="1:16" ht="15" customHeight="1" x14ac:dyDescent="0.2">
      <c r="A313" s="2769">
        <f t="shared" si="14"/>
        <v>4.0599999999999996</v>
      </c>
      <c r="B313" s="2512" t="s">
        <v>9585</v>
      </c>
      <c r="C313" s="2489"/>
      <c r="D313" s="2614"/>
      <c r="E313" s="2614"/>
      <c r="F313" s="2614"/>
      <c r="G313" s="2614"/>
      <c r="H313" s="2752">
        <v>7277</v>
      </c>
      <c r="I313" s="2488"/>
      <c r="J313" s="2488"/>
      <c r="K313" s="2488"/>
      <c r="L313" s="2488"/>
      <c r="M313" s="2488"/>
      <c r="N313" s="2488"/>
      <c r="O313" s="2527">
        <f t="shared" si="12"/>
        <v>0</v>
      </c>
      <c r="P313" s="2479" t="str">
        <f t="shared" si="13"/>
        <v xml:space="preserve">4.06, System Deviation, </v>
      </c>
    </row>
    <row r="314" spans="1:16" ht="15" customHeight="1" x14ac:dyDescent="0.2">
      <c r="A314" s="2769">
        <f t="shared" si="14"/>
        <v>4.07</v>
      </c>
      <c r="B314" s="2512" t="s">
        <v>9080</v>
      </c>
      <c r="C314" s="2489"/>
      <c r="D314" s="2614"/>
      <c r="E314" s="2614"/>
      <c r="F314" s="2614"/>
      <c r="G314" s="2614"/>
      <c r="H314" s="2614"/>
      <c r="I314" s="2488"/>
      <c r="J314" s="2488"/>
      <c r="K314" s="2488"/>
      <c r="L314" s="2614"/>
      <c r="M314" s="2614"/>
      <c r="N314" s="2531">
        <v>-3082609</v>
      </c>
      <c r="O314" s="2527">
        <f t="shared" si="12"/>
        <v>-3082609</v>
      </c>
      <c r="P314" s="2479" t="str">
        <f t="shared" si="13"/>
        <v xml:space="preserve">4.07, Accrual, </v>
      </c>
    </row>
    <row r="315" spans="1:16" ht="15" customHeight="1" x14ac:dyDescent="0.2">
      <c r="A315" s="2769">
        <f t="shared" si="14"/>
        <v>4.08</v>
      </c>
      <c r="B315" s="2512"/>
      <c r="C315" s="2489"/>
      <c r="D315" s="2614"/>
      <c r="E315" s="2614"/>
      <c r="F315" s="2614"/>
      <c r="G315" s="2614"/>
      <c r="H315" s="2614"/>
      <c r="I315" s="2488"/>
      <c r="J315" s="2488"/>
      <c r="K315" s="2488"/>
      <c r="L315" s="2488"/>
      <c r="M315" s="2488"/>
      <c r="N315" s="2488"/>
      <c r="O315" s="2527">
        <f t="shared" si="12"/>
        <v>0</v>
      </c>
      <c r="P315" s="2479" t="str">
        <f t="shared" si="13"/>
        <v xml:space="preserve">4.08, , </v>
      </c>
    </row>
    <row r="316" spans="1:16" ht="15" customHeight="1" x14ac:dyDescent="0.2">
      <c r="A316" s="2769">
        <f t="shared" si="14"/>
        <v>4.09</v>
      </c>
      <c r="B316" s="2512" t="s">
        <v>9586</v>
      </c>
      <c r="C316" s="2489"/>
      <c r="D316" s="2614"/>
      <c r="E316" s="2614"/>
      <c r="F316" s="2614"/>
      <c r="G316" s="2614"/>
      <c r="H316" s="2614"/>
      <c r="I316" s="2488"/>
      <c r="J316" s="2488"/>
      <c r="K316" s="2488"/>
      <c r="L316" s="2488"/>
      <c r="M316" s="2614"/>
      <c r="N316" s="2488"/>
      <c r="O316" s="2527">
        <f t="shared" si="12"/>
        <v>0</v>
      </c>
      <c r="P316" s="2479" t="str">
        <f t="shared" si="13"/>
        <v xml:space="preserve">4.09, Power Exchanges:, </v>
      </c>
    </row>
    <row r="317" spans="1:16" ht="15" customHeight="1" x14ac:dyDescent="0.2">
      <c r="A317" s="2769">
        <f t="shared" si="14"/>
        <v>4.0999999999999996</v>
      </c>
      <c r="B317" s="2512" t="s">
        <v>9088</v>
      </c>
      <c r="C317" s="2489" t="s">
        <v>194</v>
      </c>
      <c r="D317" s="2771">
        <v>382</v>
      </c>
      <c r="E317" s="2614"/>
      <c r="F317" s="2614"/>
      <c r="G317" s="2614"/>
      <c r="H317" s="2614"/>
      <c r="I317" s="2488"/>
      <c r="J317" s="2488"/>
      <c r="K317" s="2750">
        <v>1186</v>
      </c>
      <c r="L317" s="2488"/>
      <c r="M317" s="2614"/>
      <c r="N317" s="2488"/>
      <c r="O317" s="2527">
        <f t="shared" si="12"/>
        <v>0</v>
      </c>
      <c r="P317" s="2479" t="str">
        <f t="shared" si="13"/>
        <v>4.1, Avista Corporation, EX</v>
      </c>
    </row>
    <row r="318" spans="1:16" ht="15" customHeight="1" x14ac:dyDescent="0.2">
      <c r="A318" s="2769">
        <f t="shared" si="14"/>
        <v>4.1100000000000003</v>
      </c>
      <c r="B318" s="2512" t="s">
        <v>9091</v>
      </c>
      <c r="C318" s="2489" t="s">
        <v>194</v>
      </c>
      <c r="D318" s="2614" t="s">
        <v>9587</v>
      </c>
      <c r="E318" s="2614"/>
      <c r="F318" s="2614"/>
      <c r="G318" s="2614"/>
      <c r="H318" s="2614"/>
      <c r="I318" s="2488"/>
      <c r="J318" s="2750">
        <v>343407</v>
      </c>
      <c r="K318" s="2750">
        <v>4411</v>
      </c>
      <c r="L318" s="2488"/>
      <c r="M318" s="2614"/>
      <c r="N318" s="2488"/>
      <c r="O318" s="2527">
        <f t="shared" si="12"/>
        <v>0</v>
      </c>
      <c r="P318" s="2479" t="str">
        <f t="shared" si="13"/>
        <v>4.11, Bonneville Power Administration, EX</v>
      </c>
    </row>
    <row r="319" spans="1:16" ht="15" customHeight="1" x14ac:dyDescent="0.2">
      <c r="A319" s="2769">
        <f t="shared" si="14"/>
        <v>4.12</v>
      </c>
      <c r="B319" s="2512" t="s">
        <v>9091</v>
      </c>
      <c r="C319" s="2489" t="s">
        <v>194</v>
      </c>
      <c r="D319" s="2771">
        <v>237</v>
      </c>
      <c r="E319" s="2614"/>
      <c r="F319" s="2614"/>
      <c r="G319" s="2614"/>
      <c r="H319" s="2614"/>
      <c r="I319" s="2488"/>
      <c r="J319" s="2750">
        <v>1559460</v>
      </c>
      <c r="K319" s="2750">
        <v>1565591</v>
      </c>
      <c r="L319" s="2488"/>
      <c r="M319" s="2614"/>
      <c r="N319" s="2531">
        <v>-15379</v>
      </c>
      <c r="O319" s="2527">
        <f t="shared" si="12"/>
        <v>-15379</v>
      </c>
      <c r="P319" s="2479" t="str">
        <f t="shared" si="13"/>
        <v>4.12, Bonneville Power Administration, EX</v>
      </c>
    </row>
    <row r="320" spans="1:16" ht="15" customHeight="1" x14ac:dyDescent="0.2">
      <c r="A320" s="2769">
        <f t="shared" si="14"/>
        <v>4.13</v>
      </c>
      <c r="B320" s="2512" t="s">
        <v>9588</v>
      </c>
      <c r="C320" s="2489" t="s">
        <v>194</v>
      </c>
      <c r="D320" s="2614" t="s">
        <v>9077</v>
      </c>
      <c r="E320" s="2614"/>
      <c r="F320" s="2614"/>
      <c r="G320" s="2614"/>
      <c r="H320" s="2614"/>
      <c r="I320" s="2488"/>
      <c r="J320" s="2750">
        <v>4543360</v>
      </c>
      <c r="K320" s="2750">
        <v>4328622</v>
      </c>
      <c r="L320" s="2488"/>
      <c r="M320" s="2614"/>
      <c r="N320" s="2531">
        <v>-3721191</v>
      </c>
      <c r="O320" s="2527">
        <f t="shared" si="12"/>
        <v>-3721191</v>
      </c>
      <c r="P320" s="2479" t="str">
        <f t="shared" si="13"/>
        <v>4.13, California Independent System Operator, EX</v>
      </c>
    </row>
    <row r="321" spans="1:16" ht="15" customHeight="1" x14ac:dyDescent="0.2">
      <c r="A321" s="2769">
        <f t="shared" si="14"/>
        <v>4.1399999999999997</v>
      </c>
      <c r="B321" s="2512" t="s">
        <v>9588</v>
      </c>
      <c r="C321" s="2489" t="s">
        <v>194</v>
      </c>
      <c r="D321" s="2614" t="s">
        <v>9154</v>
      </c>
      <c r="E321" s="2614"/>
      <c r="F321" s="2614"/>
      <c r="G321" s="2614"/>
      <c r="H321" s="2614"/>
      <c r="I321" s="2488"/>
      <c r="J321" s="2488"/>
      <c r="K321" s="2488"/>
      <c r="L321" s="2488"/>
      <c r="M321" s="2614"/>
      <c r="N321" s="2531">
        <v>-31090075</v>
      </c>
      <c r="O321" s="2527">
        <f t="shared" si="12"/>
        <v>-31090075</v>
      </c>
      <c r="P321" s="2479" t="str">
        <f t="shared" si="13"/>
        <v>4.14, California Independent System Operator, EX</v>
      </c>
    </row>
    <row r="322" spans="1:16" ht="15.75" customHeight="1" x14ac:dyDescent="0.2">
      <c r="A322" s="2769">
        <f t="shared" si="14"/>
        <v>4.1500000000000004</v>
      </c>
      <c r="B322" s="2512" t="s">
        <v>9588</v>
      </c>
      <c r="C322" s="2942" t="s">
        <v>196</v>
      </c>
      <c r="D322" s="2614" t="s">
        <v>9154</v>
      </c>
      <c r="E322" s="2614"/>
      <c r="F322" s="2614"/>
      <c r="G322" s="2614"/>
      <c r="H322" s="2614"/>
      <c r="I322" s="2488"/>
      <c r="J322" s="2488"/>
      <c r="K322" s="2488"/>
      <c r="L322" s="2488"/>
      <c r="M322" s="2614"/>
      <c r="N322" s="2838">
        <v>-156089</v>
      </c>
      <c r="O322" s="2527">
        <f t="shared" si="12"/>
        <v>-156089</v>
      </c>
      <c r="P322" s="2479" t="str">
        <f t="shared" si="13"/>
        <v>4.15, California Independent System Operator, AD</v>
      </c>
    </row>
    <row r="323" spans="1:16" ht="15.75" customHeight="1" x14ac:dyDescent="0.2">
      <c r="A323" s="2769">
        <f t="shared" si="14"/>
        <v>4.16</v>
      </c>
      <c r="B323" s="2512" t="s">
        <v>9589</v>
      </c>
      <c r="C323" s="2489" t="s">
        <v>194</v>
      </c>
      <c r="D323" s="2614" t="s">
        <v>9074</v>
      </c>
      <c r="E323" s="2614"/>
      <c r="F323" s="2614"/>
      <c r="G323" s="2614"/>
      <c r="H323" s="2488"/>
      <c r="I323" s="2488"/>
      <c r="J323" s="2488"/>
      <c r="K323" s="2750">
        <v>933</v>
      </c>
      <c r="L323" s="2488"/>
      <c r="M323" s="2614"/>
      <c r="N323" s="2531">
        <v>-23622</v>
      </c>
      <c r="O323" s="2527">
        <f t="shared" si="12"/>
        <v>-23622</v>
      </c>
      <c r="P323" s="2479" t="str">
        <f t="shared" si="13"/>
        <v>4.16, Emerald People's Utility District, EX</v>
      </c>
    </row>
    <row r="324" spans="1:16" ht="15.75" customHeight="1" x14ac:dyDescent="0.2">
      <c r="A324" s="2769">
        <f t="shared" si="14"/>
        <v>4.17</v>
      </c>
      <c r="B324" s="2512" t="s">
        <v>9113</v>
      </c>
      <c r="C324" s="2489" t="s">
        <v>194</v>
      </c>
      <c r="D324" s="2614" t="s">
        <v>9074</v>
      </c>
      <c r="E324" s="2614"/>
      <c r="F324" s="2614"/>
      <c r="G324" s="2614"/>
      <c r="H324" s="2614"/>
      <c r="I324" s="2488"/>
      <c r="J324" s="2750">
        <v>2212</v>
      </c>
      <c r="K324" s="2750">
        <v>2313</v>
      </c>
      <c r="L324" s="2488"/>
      <c r="M324" s="2614"/>
      <c r="N324" s="2488"/>
      <c r="O324" s="2527">
        <f t="shared" si="12"/>
        <v>0</v>
      </c>
      <c r="P324" s="2479" t="str">
        <f t="shared" si="13"/>
        <v>4.17, Idaho Power Company, EX</v>
      </c>
    </row>
    <row r="325" spans="1:16" ht="15.75" customHeight="1" x14ac:dyDescent="0.2">
      <c r="A325" s="2769">
        <f t="shared" si="14"/>
        <v>4.18</v>
      </c>
      <c r="B325" s="2512" t="s">
        <v>9113</v>
      </c>
      <c r="C325" s="2489" t="s">
        <v>194</v>
      </c>
      <c r="D325" s="2771">
        <v>708</v>
      </c>
      <c r="E325" s="2614"/>
      <c r="F325" s="2614"/>
      <c r="G325" s="2614"/>
      <c r="H325" s="2614"/>
      <c r="I325" s="2488"/>
      <c r="J325" s="2750">
        <v>133911</v>
      </c>
      <c r="K325" s="2750">
        <v>119262</v>
      </c>
      <c r="L325" s="2488"/>
      <c r="M325" s="2614"/>
      <c r="N325" s="2488"/>
      <c r="O325" s="2527">
        <f t="shared" si="12"/>
        <v>0</v>
      </c>
      <c r="P325" s="2479" t="str">
        <f t="shared" si="13"/>
        <v>4.18, Idaho Power Company, EX</v>
      </c>
    </row>
    <row r="326" spans="1:16" ht="15.75" customHeight="1" x14ac:dyDescent="0.2">
      <c r="A326" s="2769">
        <f t="shared" si="14"/>
        <v>4.1900000000000004</v>
      </c>
      <c r="B326" s="2512" t="s">
        <v>9470</v>
      </c>
      <c r="C326" s="2489" t="s">
        <v>194</v>
      </c>
      <c r="D326" s="2614" t="s">
        <v>9590</v>
      </c>
      <c r="E326" s="2614"/>
      <c r="F326" s="2614"/>
      <c r="G326" s="2614"/>
      <c r="H326" s="2614"/>
      <c r="I326" s="2488"/>
      <c r="J326" s="2750">
        <v>2693</v>
      </c>
      <c r="K326" s="2488"/>
      <c r="L326" s="2488"/>
      <c r="M326" s="2614"/>
      <c r="N326" s="2531">
        <v>309153</v>
      </c>
      <c r="O326" s="2527">
        <f t="shared" si="12"/>
        <v>309153</v>
      </c>
      <c r="P326" s="2479" t="str">
        <f t="shared" si="13"/>
        <v>4.19, Los Angeles Department of Water and Power, EX</v>
      </c>
    </row>
    <row r="327" spans="1:16" ht="15.75" customHeight="1" x14ac:dyDescent="0.2">
      <c r="A327" s="2769">
        <f t="shared" si="14"/>
        <v>4.2</v>
      </c>
      <c r="B327" s="2512" t="s">
        <v>9591</v>
      </c>
      <c r="C327" s="2489" t="s">
        <v>194</v>
      </c>
      <c r="D327" s="2614" t="s">
        <v>9590</v>
      </c>
      <c r="E327" s="2614"/>
      <c r="F327" s="2614"/>
      <c r="G327" s="2614"/>
      <c r="H327" s="2614"/>
      <c r="I327" s="2488"/>
      <c r="J327" s="2488"/>
      <c r="K327" s="2750">
        <v>1792</v>
      </c>
      <c r="L327" s="2488"/>
      <c r="M327" s="2488"/>
      <c r="N327" s="2531">
        <v>-206102</v>
      </c>
      <c r="O327" s="2527">
        <f t="shared" ref="O327:O335" si="15">SUM(L327:N327)</f>
        <v>-206102</v>
      </c>
      <c r="P327" s="2479" t="str">
        <f t="shared" ref="P327:P335" si="16">CONCATENATE(A327,", ",B327,", ",C327)</f>
        <v>4.2, Milford Wind Corridor Phase I, LLC, EX</v>
      </c>
    </row>
    <row r="328" spans="1:16" ht="15.75" customHeight="1" x14ac:dyDescent="0.2">
      <c r="A328" s="2769">
        <f t="shared" ref="A328:A335" si="17">ROUND(A327+0.01,2)</f>
        <v>4.21</v>
      </c>
      <c r="B328" s="2512" t="s">
        <v>9592</v>
      </c>
      <c r="C328" s="2489" t="s">
        <v>194</v>
      </c>
      <c r="D328" s="2614" t="s">
        <v>9590</v>
      </c>
      <c r="E328" s="2614"/>
      <c r="F328" s="2614"/>
      <c r="G328" s="2614"/>
      <c r="H328" s="2614"/>
      <c r="I328" s="2488"/>
      <c r="J328" s="2488"/>
      <c r="K328" s="2750">
        <v>901</v>
      </c>
      <c r="L328" s="2614"/>
      <c r="M328" s="2614"/>
      <c r="N328" s="2531">
        <v>-103051</v>
      </c>
      <c r="O328" s="2527">
        <f t="shared" si="15"/>
        <v>-103051</v>
      </c>
      <c r="P328" s="2479" t="str">
        <f t="shared" si="16"/>
        <v>4.21, Milford Wind Corridor Phase II, LLC, EX</v>
      </c>
    </row>
    <row r="329" spans="1:16" ht="15.75" customHeight="1" x14ac:dyDescent="0.2">
      <c r="A329" s="2769">
        <f t="shared" si="17"/>
        <v>4.22</v>
      </c>
      <c r="B329" s="2512" t="s">
        <v>9593</v>
      </c>
      <c r="C329" s="2489" t="s">
        <v>194</v>
      </c>
      <c r="D329" s="2677" t="s">
        <v>9594</v>
      </c>
      <c r="E329" s="2614"/>
      <c r="F329" s="2614"/>
      <c r="G329" s="2614"/>
      <c r="H329" s="2614"/>
      <c r="I329" s="2488"/>
      <c r="J329" s="2750">
        <v>26349</v>
      </c>
      <c r="K329" s="2488"/>
      <c r="L329" s="2488"/>
      <c r="M329" s="2488"/>
      <c r="N329" s="2488"/>
      <c r="O329" s="2527">
        <f t="shared" si="15"/>
        <v>0</v>
      </c>
      <c r="P329" s="2479" t="str">
        <f t="shared" si="16"/>
        <v>4.22, NorthWestern Corporation, EX</v>
      </c>
    </row>
    <row r="330" spans="1:16" ht="15.75" customHeight="1" x14ac:dyDescent="0.2">
      <c r="A330" s="2769">
        <f t="shared" si="17"/>
        <v>4.2300000000000004</v>
      </c>
      <c r="B330" s="2512" t="s">
        <v>9123</v>
      </c>
      <c r="C330" s="2489" t="s">
        <v>194</v>
      </c>
      <c r="D330" s="2614" t="s">
        <v>9595</v>
      </c>
      <c r="E330" s="2614"/>
      <c r="F330" s="2614"/>
      <c r="G330" s="2614"/>
      <c r="H330" s="2614"/>
      <c r="I330" s="2488"/>
      <c r="J330" s="2750">
        <v>3199</v>
      </c>
      <c r="K330" s="2488"/>
      <c r="L330" s="2488"/>
      <c r="M330" s="2614"/>
      <c r="N330" s="2488"/>
      <c r="O330" s="2527">
        <f t="shared" si="15"/>
        <v>0</v>
      </c>
      <c r="P330" s="2479" t="str">
        <f t="shared" si="16"/>
        <v>4.23, Portland General Electric Company, EX</v>
      </c>
    </row>
    <row r="331" spans="1:16" ht="15.75" customHeight="1" x14ac:dyDescent="0.2">
      <c r="A331" s="2769">
        <f t="shared" si="17"/>
        <v>4.24</v>
      </c>
      <c r="B331" s="2512" t="s">
        <v>9519</v>
      </c>
      <c r="C331" s="2489" t="s">
        <v>194</v>
      </c>
      <c r="D331" s="2771">
        <v>442</v>
      </c>
      <c r="E331" s="2614"/>
      <c r="F331" s="2614"/>
      <c r="G331" s="2614"/>
      <c r="H331" s="2614"/>
      <c r="I331" s="2488"/>
      <c r="J331" s="2750">
        <v>198051</v>
      </c>
      <c r="K331" s="2750">
        <v>207092</v>
      </c>
      <c r="L331" s="2488"/>
      <c r="M331" s="2614"/>
      <c r="N331" s="2488"/>
      <c r="O331" s="2527">
        <f t="shared" si="15"/>
        <v>0</v>
      </c>
      <c r="P331" s="2479" t="str">
        <f t="shared" si="16"/>
        <v>4.24, Public Utility District No. 1 of Cowlitz County, EX</v>
      </c>
    </row>
    <row r="332" spans="1:16" ht="15.75" customHeight="1" x14ac:dyDescent="0.2">
      <c r="A332" s="2769">
        <f t="shared" si="17"/>
        <v>4.25</v>
      </c>
      <c r="B332" s="2512" t="s">
        <v>9572</v>
      </c>
      <c r="C332" s="2489" t="s">
        <v>194</v>
      </c>
      <c r="D332" s="2614" t="s">
        <v>9596</v>
      </c>
      <c r="E332" s="2614"/>
      <c r="F332" s="2614"/>
      <c r="G332" s="2614"/>
      <c r="H332" s="2614"/>
      <c r="I332" s="2488"/>
      <c r="J332" s="2750">
        <v>185047</v>
      </c>
      <c r="K332" s="2750">
        <v>87575</v>
      </c>
      <c r="L332" s="2488"/>
      <c r="M332" s="2614"/>
      <c r="N332" s="2531">
        <v>393905</v>
      </c>
      <c r="O332" s="2527">
        <f t="shared" si="15"/>
        <v>393905</v>
      </c>
      <c r="P332" s="2479" t="str">
        <f t="shared" si="16"/>
        <v>4.25, Western Area Power Administration, EX</v>
      </c>
    </row>
    <row r="333" spans="1:16" ht="15.75" customHeight="1" x14ac:dyDescent="0.2">
      <c r="A333" s="2769">
        <f t="shared" si="17"/>
        <v>4.26</v>
      </c>
      <c r="B333" s="2512" t="s">
        <v>9572</v>
      </c>
      <c r="C333" s="2942" t="s">
        <v>196</v>
      </c>
      <c r="D333" s="2614" t="s">
        <v>9596</v>
      </c>
      <c r="E333" s="2614"/>
      <c r="F333" s="2614"/>
      <c r="G333" s="2614"/>
      <c r="H333" s="2614"/>
      <c r="I333" s="2488"/>
      <c r="J333" s="2530">
        <v>-1982</v>
      </c>
      <c r="K333" s="2488"/>
      <c r="L333" s="2488"/>
      <c r="M333" s="2614"/>
      <c r="N333" s="2838">
        <v>11023</v>
      </c>
      <c r="O333" s="2527">
        <f t="shared" si="15"/>
        <v>11023</v>
      </c>
      <c r="P333" s="2479" t="str">
        <f t="shared" si="16"/>
        <v>4.26, Western Area Power Administration, AD</v>
      </c>
    </row>
    <row r="334" spans="1:16" ht="15.75" customHeight="1" x14ac:dyDescent="0.2">
      <c r="A334" s="2769">
        <f t="shared" si="17"/>
        <v>4.2699999999999996</v>
      </c>
      <c r="B334" s="2512" t="s">
        <v>9597</v>
      </c>
      <c r="C334" s="2489" t="s">
        <v>194</v>
      </c>
      <c r="D334" s="2614" t="s">
        <v>9154</v>
      </c>
      <c r="E334" s="2614"/>
      <c r="F334" s="2614"/>
      <c r="G334" s="2614"/>
      <c r="H334" s="2614"/>
      <c r="I334" s="2488"/>
      <c r="J334" s="2530">
        <v>416832</v>
      </c>
      <c r="K334" s="2488"/>
      <c r="L334" s="2488"/>
      <c r="M334" s="2614"/>
      <c r="N334" s="2531">
        <v>15247794</v>
      </c>
      <c r="O334" s="2527">
        <f t="shared" si="15"/>
        <v>15247794</v>
      </c>
      <c r="P334" s="2479" t="str">
        <f t="shared" si="16"/>
        <v>4.27, Imbalance Energy Accrual, EX</v>
      </c>
    </row>
    <row r="335" spans="1:16" ht="15.75" customHeight="1" x14ac:dyDescent="0.2">
      <c r="A335" s="2778">
        <f t="shared" si="17"/>
        <v>4.28</v>
      </c>
      <c r="B335" s="2512" t="s">
        <v>9597</v>
      </c>
      <c r="C335" s="2942" t="s">
        <v>196</v>
      </c>
      <c r="D335" s="2614" t="s">
        <v>9154</v>
      </c>
      <c r="E335" s="2614"/>
      <c r="F335" s="2614"/>
      <c r="G335" s="2614"/>
      <c r="H335" s="2614"/>
      <c r="I335" s="2488"/>
      <c r="J335" s="2530">
        <v>-17653</v>
      </c>
      <c r="K335" s="2488"/>
      <c r="L335" s="2488"/>
      <c r="M335" s="2614"/>
      <c r="N335" s="2838">
        <v>-2455857</v>
      </c>
      <c r="O335" s="2527">
        <f t="shared" si="15"/>
        <v>-2455857</v>
      </c>
      <c r="P335" s="2479" t="str">
        <f t="shared" si="16"/>
        <v>4.28, Imbalance Energy Accrual, AD</v>
      </c>
    </row>
    <row r="336" spans="1:16" ht="25.7" customHeight="1" x14ac:dyDescent="0.2">
      <c r="A336" s="2950">
        <v>15</v>
      </c>
      <c r="B336" s="2669" t="s">
        <v>104</v>
      </c>
      <c r="C336" s="2951"/>
      <c r="D336" s="2812"/>
      <c r="E336" s="2812"/>
      <c r="F336" s="2812"/>
      <c r="G336" s="2668"/>
      <c r="H336" s="2672">
        <f t="shared" ref="H336:O336" si="18">SUM(H7:H335)</f>
        <v>17677912</v>
      </c>
      <c r="I336" s="2672">
        <f t="shared" si="18"/>
        <v>0</v>
      </c>
      <c r="J336" s="2672">
        <f t="shared" si="18"/>
        <v>7394886</v>
      </c>
      <c r="K336" s="2672">
        <f t="shared" si="18"/>
        <v>6319678</v>
      </c>
      <c r="L336" s="2672">
        <f t="shared" si="18"/>
        <v>33572428</v>
      </c>
      <c r="M336" s="2672">
        <f t="shared" si="18"/>
        <v>1151270689</v>
      </c>
      <c r="N336" s="2672">
        <f t="shared" si="18"/>
        <v>-246997969</v>
      </c>
      <c r="O336" s="2672">
        <f t="shared" si="18"/>
        <v>937845148</v>
      </c>
      <c r="P336" s="2855"/>
    </row>
    <row r="337" spans="2:15" ht="15" customHeight="1" x14ac:dyDescent="0.2">
      <c r="B337" s="2536"/>
      <c r="C337" s="2952"/>
      <c r="D337" s="2537"/>
      <c r="E337" s="2537"/>
      <c r="F337" s="2537"/>
      <c r="G337" s="2537"/>
      <c r="H337" s="2537"/>
      <c r="I337" s="2516"/>
      <c r="J337" s="2516"/>
      <c r="K337" s="2516"/>
      <c r="L337" s="2516"/>
      <c r="M337" s="2516"/>
      <c r="N337" s="2516"/>
      <c r="O337" s="2516"/>
    </row>
  </sheetData>
  <mergeCells count="15">
    <mergeCell ref="F4:G4"/>
    <mergeCell ref="H4:H5"/>
    <mergeCell ref="I4:I5"/>
    <mergeCell ref="J4:K4"/>
    <mergeCell ref="L4:O4"/>
    <mergeCell ref="A1:B1"/>
    <mergeCell ref="A2:G2"/>
    <mergeCell ref="H2:O2"/>
    <mergeCell ref="A3:G3"/>
    <mergeCell ref="H3:O3"/>
    <mergeCell ref="A4:A6"/>
    <mergeCell ref="B4:B5"/>
    <mergeCell ref="C4:C5"/>
    <mergeCell ref="D4:D5"/>
    <mergeCell ref="E4:E5"/>
  </mergeCells>
  <pageMargins left="0.75" right="0.75" top="1" bottom="1" header="0.5" footer="0.5"/>
  <customProperties>
    <customPr name="_pios_id" r:id="rId1"/>
  </customProperties>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418D4B-D8D4-4902-9506-8AF4722EF46A}">
  <sheetPr>
    <tabColor rgb="FF538DD5"/>
  </sheetPr>
  <dimension ref="A1:P340"/>
  <sheetViews>
    <sheetView workbookViewId="0">
      <pane xSplit="2" ySplit="6" topLeftCell="C7" activePane="bottomRight" state="frozen"/>
      <selection pane="topRight"/>
      <selection pane="bottomLeft"/>
      <selection pane="bottomRight" sqref="A1:B1"/>
    </sheetView>
  </sheetViews>
  <sheetFormatPr defaultColWidth="12" defaultRowHeight="12.75" x14ac:dyDescent="0.2"/>
  <cols>
    <col min="1" max="1" width="3.875" style="1953" customWidth="1"/>
    <col min="2" max="2" width="44.625" style="1953" customWidth="1"/>
    <col min="3" max="3" width="8.625" style="1953" customWidth="1"/>
    <col min="4" max="5" width="10.25" style="1953" customWidth="1"/>
    <col min="6" max="6" width="15.875" style="1953" customWidth="1"/>
    <col min="7" max="7" width="14" style="1953" customWidth="1"/>
    <col min="8" max="15" width="13" style="1953" customWidth="1"/>
    <col min="16" max="26" width="17.625" style="1953" customWidth="1"/>
    <col min="27" max="16384" width="12" style="1953"/>
  </cols>
  <sheetData>
    <row r="1" spans="1:16" ht="15" customHeight="1" x14ac:dyDescent="0.2">
      <c r="A1" s="3882"/>
      <c r="B1" s="3891"/>
    </row>
    <row r="2" spans="1:16" ht="27.6" customHeight="1" x14ac:dyDescent="0.2">
      <c r="A2" s="3860" t="s">
        <v>9370</v>
      </c>
      <c r="B2" s="3860"/>
      <c r="C2" s="3923"/>
      <c r="D2" s="3923"/>
      <c r="E2" s="3923"/>
      <c r="F2" s="3923"/>
      <c r="G2" s="3923"/>
      <c r="H2" s="3882" t="s">
        <v>9370</v>
      </c>
      <c r="I2" s="3891"/>
      <c r="J2" s="3891"/>
      <c r="K2" s="3891"/>
      <c r="L2" s="3891"/>
      <c r="M2" s="3891"/>
      <c r="N2" s="3891"/>
      <c r="O2" s="3892"/>
      <c r="P2" s="2479"/>
    </row>
    <row r="3" spans="1:16" ht="245.85" customHeight="1" x14ac:dyDescent="0.2">
      <c r="A3" s="3878" t="s">
        <v>9371</v>
      </c>
      <c r="B3" s="3879"/>
      <c r="C3" s="3879"/>
      <c r="D3" s="3879"/>
      <c r="E3" s="3879"/>
      <c r="F3" s="3879"/>
      <c r="G3" s="3880"/>
      <c r="H3" s="4061" t="s">
        <v>9372</v>
      </c>
      <c r="I3" s="4061"/>
      <c r="J3" s="4061"/>
      <c r="K3" s="4061"/>
      <c r="L3" s="4061"/>
      <c r="M3" s="4061"/>
      <c r="N3" s="4061"/>
      <c r="O3" s="4061"/>
      <c r="P3" s="2479"/>
    </row>
    <row r="4" spans="1:16" ht="15" customHeight="1" x14ac:dyDescent="0.2">
      <c r="A4" s="3860" t="s">
        <v>6360</v>
      </c>
      <c r="B4" s="4057" t="s">
        <v>9059</v>
      </c>
      <c r="C4" s="4058" t="s">
        <v>9373</v>
      </c>
      <c r="D4" s="3898" t="s">
        <v>9374</v>
      </c>
      <c r="E4" s="3898" t="s">
        <v>9375</v>
      </c>
      <c r="F4" s="3882" t="s">
        <v>9063</v>
      </c>
      <c r="G4" s="3884"/>
      <c r="H4" s="4062" t="s">
        <v>9376</v>
      </c>
      <c r="I4" s="4062" t="s">
        <v>9377</v>
      </c>
      <c r="J4" s="3882" t="s">
        <v>9378</v>
      </c>
      <c r="K4" s="3892"/>
      <c r="L4" s="3882" t="s">
        <v>9379</v>
      </c>
      <c r="M4" s="3891"/>
      <c r="N4" s="3891"/>
      <c r="O4" s="3892"/>
      <c r="P4" s="2479"/>
    </row>
    <row r="5" spans="1:16" ht="23.25" customHeight="1" x14ac:dyDescent="0.2">
      <c r="A5" s="3860"/>
      <c r="B5" s="4043"/>
      <c r="C5" s="3911"/>
      <c r="D5" s="3943"/>
      <c r="E5" s="3943"/>
      <c r="F5" s="2581" t="s">
        <v>9067</v>
      </c>
      <c r="G5" s="2581" t="s">
        <v>9068</v>
      </c>
      <c r="H5" s="4063"/>
      <c r="I5" s="4063"/>
      <c r="J5" s="2581" t="s">
        <v>9380</v>
      </c>
      <c r="K5" s="2581" t="s">
        <v>9381</v>
      </c>
      <c r="L5" s="2581" t="s">
        <v>9069</v>
      </c>
      <c r="M5" s="2581" t="s">
        <v>9070</v>
      </c>
      <c r="N5" s="2938" t="s">
        <v>9071</v>
      </c>
      <c r="O5" s="2939" t="s">
        <v>9382</v>
      </c>
      <c r="P5" s="2479"/>
    </row>
    <row r="6" spans="1:16" ht="13.35" customHeight="1" x14ac:dyDescent="0.2">
      <c r="A6" s="3860"/>
      <c r="B6" s="2940" t="s">
        <v>5949</v>
      </c>
      <c r="C6" s="2941" t="s">
        <v>5950</v>
      </c>
      <c r="D6" s="2589" t="s">
        <v>5951</v>
      </c>
      <c r="E6" s="2589" t="s">
        <v>5952</v>
      </c>
      <c r="F6" s="2589" t="s">
        <v>6227</v>
      </c>
      <c r="G6" s="2589" t="s">
        <v>5804</v>
      </c>
      <c r="H6" s="2633" t="s">
        <v>6228</v>
      </c>
      <c r="I6" s="2633" t="s">
        <v>6229</v>
      </c>
      <c r="J6" s="2589" t="s">
        <v>6230</v>
      </c>
      <c r="K6" s="2589" t="s">
        <v>6231</v>
      </c>
      <c r="L6" s="2589" t="s">
        <v>6232</v>
      </c>
      <c r="M6" s="2589" t="s">
        <v>6233</v>
      </c>
      <c r="N6" s="2940" t="s">
        <v>7035</v>
      </c>
      <c r="O6" s="2941" t="s">
        <v>8045</v>
      </c>
      <c r="P6" s="2479" t="s">
        <v>6324</v>
      </c>
    </row>
    <row r="7" spans="1:16" ht="16.7" customHeight="1" x14ac:dyDescent="0.2">
      <c r="A7" s="2634">
        <v>1</v>
      </c>
      <c r="B7" s="2512" t="s">
        <v>9383</v>
      </c>
      <c r="C7" s="2947" t="s">
        <v>196</v>
      </c>
      <c r="D7" s="2614"/>
      <c r="E7" s="2614"/>
      <c r="F7" s="2488"/>
      <c r="G7" s="2488"/>
      <c r="H7" s="2752">
        <v>0</v>
      </c>
      <c r="I7" s="2488"/>
      <c r="J7" s="2488"/>
      <c r="K7" s="2488"/>
      <c r="L7" s="2488"/>
      <c r="M7" s="2530">
        <v>0</v>
      </c>
      <c r="N7" s="2531">
        <v>14136</v>
      </c>
      <c r="O7" s="2527">
        <f t="shared" ref="O7:O70" si="0">SUM(L7:N7)</f>
        <v>14136</v>
      </c>
      <c r="P7" s="2479" t="str">
        <f t="shared" ref="P7:P70" si="1">CONCATENATE(A7,", ",B7,", ",C7)</f>
        <v>1, Adams Solar Center, LLC, AD</v>
      </c>
    </row>
    <row r="8" spans="1:16" ht="16.7" customHeight="1" x14ac:dyDescent="0.2">
      <c r="A8" s="2769">
        <f t="shared" ref="A8:A71" si="2">ROUND(A7+0.01,2)</f>
        <v>1.01</v>
      </c>
      <c r="B8" s="2512" t="s">
        <v>9383</v>
      </c>
      <c r="C8" s="2489" t="s">
        <v>191</v>
      </c>
      <c r="D8" s="2614"/>
      <c r="E8" s="2614"/>
      <c r="F8" s="2488"/>
      <c r="G8" s="2488"/>
      <c r="H8" s="2752">
        <v>22069</v>
      </c>
      <c r="I8" s="2488"/>
      <c r="J8" s="2488"/>
      <c r="K8" s="2488"/>
      <c r="L8" s="2488"/>
      <c r="M8" s="2530">
        <v>1598706</v>
      </c>
      <c r="N8" s="2531">
        <v>13909</v>
      </c>
      <c r="O8" s="2527">
        <f t="shared" si="0"/>
        <v>1612615</v>
      </c>
      <c r="P8" s="2479" t="str">
        <f t="shared" si="1"/>
        <v>1.01, Adams Solar Center, LLC, LU</v>
      </c>
    </row>
    <row r="9" spans="1:16" ht="16.7" customHeight="1" x14ac:dyDescent="0.2">
      <c r="A9" s="2769">
        <f t="shared" si="2"/>
        <v>1.02</v>
      </c>
      <c r="B9" s="2512" t="s">
        <v>9384</v>
      </c>
      <c r="C9" s="2947" t="s">
        <v>193</v>
      </c>
      <c r="D9" s="2614"/>
      <c r="E9" s="2614"/>
      <c r="F9" s="2488"/>
      <c r="G9" s="2488"/>
      <c r="H9" s="2752">
        <v>0</v>
      </c>
      <c r="I9" s="2488"/>
      <c r="J9" s="2488"/>
      <c r="K9" s="2488"/>
      <c r="L9" s="2488"/>
      <c r="M9" s="2530">
        <v>0</v>
      </c>
      <c r="N9" s="2531">
        <v>376250</v>
      </c>
      <c r="O9" s="2527">
        <f t="shared" si="0"/>
        <v>376250</v>
      </c>
      <c r="P9" s="2479" t="str">
        <f t="shared" si="1"/>
        <v>1.02, Airport Solar, LLC, OS</v>
      </c>
    </row>
    <row r="10" spans="1:16" ht="16.7" customHeight="1" x14ac:dyDescent="0.2">
      <c r="A10" s="2769">
        <f t="shared" si="2"/>
        <v>1.03</v>
      </c>
      <c r="B10" s="2512" t="s">
        <v>9385</v>
      </c>
      <c r="C10" s="2489" t="s">
        <v>191</v>
      </c>
      <c r="D10" s="2614"/>
      <c r="E10" s="2614"/>
      <c r="F10" s="2488"/>
      <c r="G10" s="2488"/>
      <c r="H10" s="2752">
        <v>127386</v>
      </c>
      <c r="I10" s="2488"/>
      <c r="J10" s="2488"/>
      <c r="K10" s="2488"/>
      <c r="L10" s="2488"/>
      <c r="M10" s="2530">
        <v>7347934</v>
      </c>
      <c r="N10" s="2530">
        <v>0</v>
      </c>
      <c r="O10" s="2527">
        <f t="shared" si="0"/>
        <v>7347934</v>
      </c>
      <c r="P10" s="2479" t="str">
        <f t="shared" si="1"/>
        <v>1.03, Amor IX LLC, LU</v>
      </c>
    </row>
    <row r="11" spans="1:16" ht="16.7" customHeight="1" x14ac:dyDescent="0.2">
      <c r="A11" s="2769">
        <f t="shared" si="2"/>
        <v>1.04</v>
      </c>
      <c r="B11" s="2512" t="s">
        <v>9387</v>
      </c>
      <c r="C11" s="2489" t="s">
        <v>191</v>
      </c>
      <c r="D11" s="2614"/>
      <c r="E11" s="2614"/>
      <c r="F11" s="2488"/>
      <c r="G11" s="2488"/>
      <c r="H11" s="2752">
        <v>3054</v>
      </c>
      <c r="I11" s="2488"/>
      <c r="J11" s="2488"/>
      <c r="K11" s="2488"/>
      <c r="L11" s="2488"/>
      <c r="M11" s="2530">
        <v>272159</v>
      </c>
      <c r="N11" s="2530">
        <v>0</v>
      </c>
      <c r="O11" s="2527">
        <f t="shared" si="0"/>
        <v>272159</v>
      </c>
      <c r="P11" s="2479" t="str">
        <f t="shared" si="1"/>
        <v>1.04, Apple, Inc., LU</v>
      </c>
    </row>
    <row r="12" spans="1:16" ht="16.7" customHeight="1" x14ac:dyDescent="0.2">
      <c r="A12" s="2769">
        <f t="shared" si="2"/>
        <v>1.05</v>
      </c>
      <c r="B12" s="2502" t="s">
        <v>9083</v>
      </c>
      <c r="C12" s="2489" t="s">
        <v>190</v>
      </c>
      <c r="D12" s="2614"/>
      <c r="E12" s="2614"/>
      <c r="F12" s="2488"/>
      <c r="G12" s="2488"/>
      <c r="H12" s="2752">
        <v>3926</v>
      </c>
      <c r="I12" s="2488"/>
      <c r="J12" s="2488"/>
      <c r="K12" s="2488"/>
      <c r="L12" s="2488"/>
      <c r="M12" s="2530">
        <v>402926</v>
      </c>
      <c r="N12" s="2530">
        <v>0</v>
      </c>
      <c r="O12" s="2527">
        <f t="shared" si="0"/>
        <v>402926</v>
      </c>
      <c r="P12" s="2479" t="str">
        <f t="shared" si="1"/>
        <v>1.05, Arizona Electric Power Cooperative, Inc., SF</v>
      </c>
    </row>
    <row r="13" spans="1:16" ht="16.7" customHeight="1" x14ac:dyDescent="0.2">
      <c r="A13" s="2769">
        <f t="shared" si="2"/>
        <v>1.06</v>
      </c>
      <c r="B13" s="2502" t="s">
        <v>9084</v>
      </c>
      <c r="C13" s="2489" t="s">
        <v>190</v>
      </c>
      <c r="D13" s="2614"/>
      <c r="E13" s="2614"/>
      <c r="F13" s="2488"/>
      <c r="G13" s="2488"/>
      <c r="H13" s="2752">
        <v>67787</v>
      </c>
      <c r="I13" s="2488"/>
      <c r="J13" s="2488"/>
      <c r="K13" s="2488"/>
      <c r="L13" s="2488"/>
      <c r="M13" s="2530">
        <v>11559276</v>
      </c>
      <c r="N13" s="2530">
        <v>0</v>
      </c>
      <c r="O13" s="2527">
        <f t="shared" si="0"/>
        <v>11559276</v>
      </c>
      <c r="P13" s="2479" t="str">
        <f t="shared" si="1"/>
        <v>1.06, Arizona Public Service Company, SF</v>
      </c>
    </row>
    <row r="14" spans="1:16" ht="16.7" customHeight="1" x14ac:dyDescent="0.2">
      <c r="A14" s="2769">
        <f t="shared" si="2"/>
        <v>1.07</v>
      </c>
      <c r="B14" s="2502" t="s">
        <v>9084</v>
      </c>
      <c r="C14" s="2947" t="s">
        <v>196</v>
      </c>
      <c r="D14" s="2614"/>
      <c r="E14" s="2614"/>
      <c r="F14" s="2488"/>
      <c r="G14" s="2488"/>
      <c r="H14" s="2752">
        <v>0</v>
      </c>
      <c r="I14" s="2488"/>
      <c r="J14" s="2488"/>
      <c r="K14" s="2488"/>
      <c r="L14" s="2488"/>
      <c r="M14" s="2530">
        <v>0</v>
      </c>
      <c r="N14" s="2531">
        <v>1763</v>
      </c>
      <c r="O14" s="2527">
        <f t="shared" si="0"/>
        <v>1763</v>
      </c>
      <c r="P14" s="2479" t="str">
        <f t="shared" si="1"/>
        <v>1.07, Arizona Public Service Company, AD</v>
      </c>
    </row>
    <row r="15" spans="1:16" ht="16.7" customHeight="1" x14ac:dyDescent="0.2">
      <c r="A15" s="2769">
        <f t="shared" si="2"/>
        <v>1.08</v>
      </c>
      <c r="B15" s="2502" t="s">
        <v>9085</v>
      </c>
      <c r="C15" s="2489" t="s">
        <v>190</v>
      </c>
      <c r="D15" s="2614"/>
      <c r="E15" s="2614"/>
      <c r="F15" s="2488"/>
      <c r="G15" s="2488"/>
      <c r="H15" s="2752">
        <v>1219560</v>
      </c>
      <c r="I15" s="2488"/>
      <c r="J15" s="2488"/>
      <c r="K15" s="2488"/>
      <c r="L15" s="2488"/>
      <c r="M15" s="2530">
        <v>105757079</v>
      </c>
      <c r="N15" s="2531">
        <v>910</v>
      </c>
      <c r="O15" s="2527">
        <f t="shared" si="0"/>
        <v>105757989</v>
      </c>
      <c r="P15" s="2479" t="str">
        <f t="shared" si="1"/>
        <v>1.08, Avangrid Renewables, LLC, SF</v>
      </c>
    </row>
    <row r="16" spans="1:16" ht="16.7" customHeight="1" x14ac:dyDescent="0.2">
      <c r="A16" s="2769">
        <f t="shared" si="2"/>
        <v>1.0900000000000001</v>
      </c>
      <c r="B16" s="2512" t="s">
        <v>9088</v>
      </c>
      <c r="C16" s="2489" t="s">
        <v>190</v>
      </c>
      <c r="D16" s="2614"/>
      <c r="E16" s="2614"/>
      <c r="F16" s="2488"/>
      <c r="G16" s="2488"/>
      <c r="H16" s="2750">
        <v>146442</v>
      </c>
      <c r="I16" s="2488"/>
      <c r="J16" s="2488"/>
      <c r="K16" s="2488"/>
      <c r="L16" s="2488"/>
      <c r="M16" s="2530">
        <v>9021066</v>
      </c>
      <c r="N16" s="2531">
        <v>4329</v>
      </c>
      <c r="O16" s="2527">
        <f t="shared" si="0"/>
        <v>9025395</v>
      </c>
      <c r="P16" s="2479" t="str">
        <f t="shared" si="1"/>
        <v>1.09, Avista Corporation, SF</v>
      </c>
    </row>
    <row r="17" spans="1:16" ht="16.7" customHeight="1" x14ac:dyDescent="0.2">
      <c r="A17" s="2769">
        <f t="shared" si="2"/>
        <v>1.1000000000000001</v>
      </c>
      <c r="B17" s="2512" t="s">
        <v>9388</v>
      </c>
      <c r="C17" s="2489" t="s">
        <v>190</v>
      </c>
      <c r="D17" s="2614"/>
      <c r="E17" s="2614"/>
      <c r="F17" s="2488"/>
      <c r="G17" s="2488"/>
      <c r="H17" s="2752">
        <v>39018</v>
      </c>
      <c r="I17" s="2488"/>
      <c r="J17" s="2488"/>
      <c r="K17" s="2488"/>
      <c r="L17" s="2488"/>
      <c r="M17" s="2530">
        <v>9983063</v>
      </c>
      <c r="N17" s="2530">
        <v>0</v>
      </c>
      <c r="O17" s="2527">
        <f t="shared" si="0"/>
        <v>9983063</v>
      </c>
      <c r="P17" s="2479" t="str">
        <f t="shared" si="1"/>
        <v>1.1, Basin Electric Power Cooperative, Inc., SF</v>
      </c>
    </row>
    <row r="18" spans="1:16" ht="16.7" customHeight="1" x14ac:dyDescent="0.2">
      <c r="A18" s="2769">
        <f t="shared" si="2"/>
        <v>1.1100000000000001</v>
      </c>
      <c r="B18" s="2512" t="s">
        <v>9389</v>
      </c>
      <c r="C18" s="2489" t="s">
        <v>191</v>
      </c>
      <c r="D18" s="2614"/>
      <c r="E18" s="2614"/>
      <c r="F18" s="2488"/>
      <c r="G18" s="2488"/>
      <c r="H18" s="2752">
        <v>18369</v>
      </c>
      <c r="I18" s="2488"/>
      <c r="J18" s="2488"/>
      <c r="K18" s="2488"/>
      <c r="L18" s="2488"/>
      <c r="M18" s="2530">
        <v>1335146</v>
      </c>
      <c r="N18" s="2530">
        <v>0</v>
      </c>
      <c r="O18" s="2527">
        <f t="shared" si="0"/>
        <v>1335146</v>
      </c>
      <c r="P18" s="2479" t="str">
        <f t="shared" si="1"/>
        <v>1.11, BC Solar, LLC, LU</v>
      </c>
    </row>
    <row r="19" spans="1:16" ht="16.7" customHeight="1" x14ac:dyDescent="0.2">
      <c r="A19" s="2769">
        <f t="shared" si="2"/>
        <v>1.1200000000000001</v>
      </c>
      <c r="B19" s="2512" t="s">
        <v>9390</v>
      </c>
      <c r="C19" s="2947" t="s">
        <v>196</v>
      </c>
      <c r="D19" s="2614"/>
      <c r="E19" s="2614"/>
      <c r="F19" s="2488"/>
      <c r="G19" s="2488"/>
      <c r="H19" s="2752">
        <v>0</v>
      </c>
      <c r="I19" s="2488"/>
      <c r="J19" s="2488"/>
      <c r="K19" s="2488"/>
      <c r="L19" s="2488"/>
      <c r="M19" s="2530">
        <v>0</v>
      </c>
      <c r="N19" s="2531">
        <v>15354</v>
      </c>
      <c r="O19" s="2527">
        <f t="shared" si="0"/>
        <v>15354</v>
      </c>
      <c r="P19" s="2479" t="str">
        <f t="shared" si="1"/>
        <v>1.12, Bear Creek Solar Center, LLC, AD</v>
      </c>
    </row>
    <row r="20" spans="1:16" ht="16.7" customHeight="1" x14ac:dyDescent="0.2">
      <c r="A20" s="2769">
        <f t="shared" si="2"/>
        <v>1.1299999999999999</v>
      </c>
      <c r="B20" s="2512" t="s">
        <v>9390</v>
      </c>
      <c r="C20" s="2489" t="s">
        <v>191</v>
      </c>
      <c r="D20" s="2614"/>
      <c r="E20" s="2614"/>
      <c r="F20" s="2614"/>
      <c r="G20" s="2614"/>
      <c r="H20" s="2752">
        <v>23024</v>
      </c>
      <c r="I20" s="2488"/>
      <c r="J20" s="2488"/>
      <c r="K20" s="2488"/>
      <c r="L20" s="2488"/>
      <c r="M20" s="2530">
        <v>1671568</v>
      </c>
      <c r="N20" s="2531">
        <v>16437</v>
      </c>
      <c r="O20" s="2527">
        <f t="shared" si="0"/>
        <v>1688005</v>
      </c>
      <c r="P20" s="2479" t="str">
        <f t="shared" si="1"/>
        <v>1.13, Bear Creek Solar Center, LLC, LU</v>
      </c>
    </row>
    <row r="21" spans="1:16" ht="14.1" customHeight="1" x14ac:dyDescent="0.2">
      <c r="A21" s="2769">
        <f t="shared" si="2"/>
        <v>1.1399999999999999</v>
      </c>
      <c r="B21" s="2512" t="s">
        <v>9391</v>
      </c>
      <c r="C21" s="2947" t="s">
        <v>188</v>
      </c>
      <c r="D21" s="2614"/>
      <c r="E21" s="2614"/>
      <c r="F21" s="2488"/>
      <c r="G21" s="2488"/>
      <c r="H21" s="2752">
        <v>21</v>
      </c>
      <c r="I21" s="2488"/>
      <c r="J21" s="2488"/>
      <c r="K21" s="2488"/>
      <c r="L21" s="2488"/>
      <c r="M21" s="2530">
        <v>2486</v>
      </c>
      <c r="N21" s="2530">
        <v>0</v>
      </c>
      <c r="O21" s="2527">
        <f t="shared" si="0"/>
        <v>2486</v>
      </c>
      <c r="P21" s="2479" t="str">
        <f t="shared" si="1"/>
        <v>1.14, Beaver City Corporation, LF</v>
      </c>
    </row>
    <row r="22" spans="1:16" ht="14.1" customHeight="1" x14ac:dyDescent="0.2">
      <c r="A22" s="2769">
        <f t="shared" si="2"/>
        <v>1.1499999999999999</v>
      </c>
      <c r="B22" s="2512" t="s">
        <v>9392</v>
      </c>
      <c r="C22" s="2489" t="s">
        <v>191</v>
      </c>
      <c r="D22" s="2614"/>
      <c r="E22" s="2614"/>
      <c r="F22" s="2488"/>
      <c r="G22" s="2488"/>
      <c r="H22" s="2752">
        <v>469</v>
      </c>
      <c r="I22" s="2488"/>
      <c r="J22" s="2488"/>
      <c r="K22" s="2488"/>
      <c r="L22" s="2488"/>
      <c r="M22" s="2530">
        <v>46860</v>
      </c>
      <c r="N22" s="2530">
        <v>0</v>
      </c>
      <c r="O22" s="2527">
        <f t="shared" si="0"/>
        <v>46860</v>
      </c>
      <c r="P22" s="2479" t="str">
        <f t="shared" si="1"/>
        <v>1.15, Bell Mountain Hydro, LLC, LU</v>
      </c>
    </row>
    <row r="23" spans="1:16" ht="14.1" customHeight="1" x14ac:dyDescent="0.2">
      <c r="A23" s="2769">
        <f t="shared" si="2"/>
        <v>1.1599999999999999</v>
      </c>
      <c r="B23" s="2512" t="s">
        <v>9393</v>
      </c>
      <c r="C23" s="2489" t="s">
        <v>191</v>
      </c>
      <c r="D23" s="2614"/>
      <c r="E23" s="2771">
        <v>3</v>
      </c>
      <c r="F23" s="2530">
        <v>3</v>
      </c>
      <c r="G23" s="2530">
        <v>1</v>
      </c>
      <c r="H23" s="2752">
        <v>6376</v>
      </c>
      <c r="I23" s="2488"/>
      <c r="J23" s="2488"/>
      <c r="K23" s="2488"/>
      <c r="L23" s="2530">
        <v>453711</v>
      </c>
      <c r="M23" s="2530">
        <v>358320</v>
      </c>
      <c r="N23" s="2530">
        <v>0</v>
      </c>
      <c r="O23" s="2527">
        <f t="shared" si="0"/>
        <v>812031</v>
      </c>
      <c r="P23" s="2479" t="str">
        <f t="shared" si="1"/>
        <v>1.16, Beryl Solar, LLC, LU</v>
      </c>
    </row>
    <row r="24" spans="1:16" ht="14.1" customHeight="1" x14ac:dyDescent="0.2">
      <c r="A24" s="2769">
        <f t="shared" si="2"/>
        <v>1.17</v>
      </c>
      <c r="B24" s="2512" t="s">
        <v>9394</v>
      </c>
      <c r="C24" s="2489" t="s">
        <v>191</v>
      </c>
      <c r="D24" s="2614"/>
      <c r="E24" s="2614"/>
      <c r="F24" s="2488"/>
      <c r="G24" s="2488"/>
      <c r="H24" s="2752">
        <v>3156</v>
      </c>
      <c r="I24" s="2488"/>
      <c r="J24" s="2488"/>
      <c r="K24" s="2488"/>
      <c r="L24" s="2530">
        <v>0</v>
      </c>
      <c r="M24" s="2530">
        <v>251162</v>
      </c>
      <c r="N24" s="2530">
        <v>0</v>
      </c>
      <c r="O24" s="2527">
        <f t="shared" si="0"/>
        <v>251162</v>
      </c>
      <c r="P24" s="2479" t="str">
        <f t="shared" si="1"/>
        <v>1.17, Big Top, LLC, LU</v>
      </c>
    </row>
    <row r="25" spans="1:16" ht="14.1" customHeight="1" x14ac:dyDescent="0.2">
      <c r="A25" s="2769">
        <f t="shared" si="2"/>
        <v>1.18</v>
      </c>
      <c r="B25" s="2512" t="s">
        <v>9395</v>
      </c>
      <c r="C25" s="2489" t="s">
        <v>191</v>
      </c>
      <c r="D25" s="2614"/>
      <c r="E25" s="2614"/>
      <c r="F25" s="2488"/>
      <c r="G25" s="2488"/>
      <c r="H25" s="2752">
        <v>187222</v>
      </c>
      <c r="I25" s="2488"/>
      <c r="J25" s="2488"/>
      <c r="K25" s="2488"/>
      <c r="L25" s="2530">
        <v>0</v>
      </c>
      <c r="M25" s="2530">
        <v>16484147</v>
      </c>
      <c r="N25" s="2531">
        <v>2174002</v>
      </c>
      <c r="O25" s="2527">
        <f t="shared" si="0"/>
        <v>18658149</v>
      </c>
      <c r="P25" s="2479" t="str">
        <f t="shared" si="1"/>
        <v>1.18, Biomass One, L.P., LU</v>
      </c>
    </row>
    <row r="26" spans="1:16" ht="14.1" customHeight="1" x14ac:dyDescent="0.2">
      <c r="A26" s="2769">
        <f t="shared" si="2"/>
        <v>1.19</v>
      </c>
      <c r="B26" s="2502" t="s">
        <v>9395</v>
      </c>
      <c r="C26" s="2947" t="s">
        <v>196</v>
      </c>
      <c r="D26" s="2614"/>
      <c r="E26" s="2614"/>
      <c r="F26" s="2488"/>
      <c r="G26" s="2488"/>
      <c r="H26" s="2752">
        <v>0</v>
      </c>
      <c r="I26" s="2488"/>
      <c r="J26" s="2488"/>
      <c r="K26" s="2488"/>
      <c r="L26" s="2530">
        <v>0</v>
      </c>
      <c r="M26" s="2530">
        <v>0</v>
      </c>
      <c r="N26" s="2531">
        <v>-151378</v>
      </c>
      <c r="O26" s="2527">
        <f t="shared" si="0"/>
        <v>-151378</v>
      </c>
      <c r="P26" s="2479" t="str">
        <f t="shared" si="1"/>
        <v>1.19, Biomass One, L.P., AD</v>
      </c>
    </row>
    <row r="27" spans="1:16" ht="14.1" customHeight="1" x14ac:dyDescent="0.2">
      <c r="A27" s="2769">
        <f t="shared" si="2"/>
        <v>1.2</v>
      </c>
      <c r="B27" s="2502" t="s">
        <v>9395</v>
      </c>
      <c r="C27" s="2489" t="s">
        <v>193</v>
      </c>
      <c r="D27" s="2614"/>
      <c r="E27" s="2614"/>
      <c r="F27" s="2488"/>
      <c r="G27" s="2488"/>
      <c r="H27" s="2752">
        <v>0</v>
      </c>
      <c r="I27" s="2488"/>
      <c r="J27" s="2488"/>
      <c r="K27" s="2488"/>
      <c r="L27" s="2530">
        <v>0</v>
      </c>
      <c r="M27" s="2530">
        <v>0</v>
      </c>
      <c r="N27" s="2531">
        <v>235738</v>
      </c>
      <c r="O27" s="2527">
        <f t="shared" si="0"/>
        <v>235738</v>
      </c>
      <c r="P27" s="2479" t="str">
        <f t="shared" si="1"/>
        <v>1.2, Biomass One, L.P., OS</v>
      </c>
    </row>
    <row r="28" spans="1:16" ht="14.1" customHeight="1" x14ac:dyDescent="0.2">
      <c r="A28" s="2769">
        <f t="shared" si="2"/>
        <v>1.21</v>
      </c>
      <c r="B28" s="2502" t="s">
        <v>9395</v>
      </c>
      <c r="C28" s="2947" t="s">
        <v>196</v>
      </c>
      <c r="D28" s="2614"/>
      <c r="E28" s="2614"/>
      <c r="F28" s="2488"/>
      <c r="G28" s="2488"/>
      <c r="H28" s="2752">
        <v>0</v>
      </c>
      <c r="I28" s="2488"/>
      <c r="J28" s="2488"/>
      <c r="K28" s="2488"/>
      <c r="L28" s="2530">
        <v>0</v>
      </c>
      <c r="M28" s="2530">
        <v>0</v>
      </c>
      <c r="N28" s="2531">
        <v>182202</v>
      </c>
      <c r="O28" s="2527">
        <f t="shared" si="0"/>
        <v>182202</v>
      </c>
      <c r="P28" s="2479" t="str">
        <f t="shared" si="1"/>
        <v>1.21, Biomass One, L.P., AD</v>
      </c>
    </row>
    <row r="29" spans="1:16" ht="14.1" customHeight="1" x14ac:dyDescent="0.2">
      <c r="A29" s="2769">
        <f t="shared" si="2"/>
        <v>1.22</v>
      </c>
      <c r="B29" s="2502" t="s">
        <v>9396</v>
      </c>
      <c r="C29" s="2489" t="s">
        <v>191</v>
      </c>
      <c r="D29" s="2614"/>
      <c r="E29" s="2614"/>
      <c r="F29" s="2488"/>
      <c r="G29" s="2488"/>
      <c r="H29" s="2752">
        <v>11170</v>
      </c>
      <c r="I29" s="2488"/>
      <c r="J29" s="2488"/>
      <c r="K29" s="2488"/>
      <c r="L29" s="2530">
        <v>0</v>
      </c>
      <c r="M29" s="2530">
        <v>653426</v>
      </c>
      <c r="N29" s="2530">
        <v>0</v>
      </c>
      <c r="O29" s="2527">
        <f t="shared" si="0"/>
        <v>653426</v>
      </c>
      <c r="P29" s="2479" t="str">
        <f t="shared" si="1"/>
        <v>1.22, Birch Power Company, Inc., LU</v>
      </c>
    </row>
    <row r="30" spans="1:16" ht="14.1" customHeight="1" x14ac:dyDescent="0.2">
      <c r="A30" s="2769">
        <f t="shared" si="2"/>
        <v>1.23</v>
      </c>
      <c r="B30" s="2744" t="s">
        <v>9397</v>
      </c>
      <c r="C30" s="2489" t="s">
        <v>191</v>
      </c>
      <c r="D30" s="2614"/>
      <c r="E30" s="2614"/>
      <c r="F30" s="2488"/>
      <c r="G30" s="2488"/>
      <c r="H30" s="2750">
        <v>561</v>
      </c>
      <c r="I30" s="2488"/>
      <c r="J30" s="2488"/>
      <c r="K30" s="2488"/>
      <c r="L30" s="2530">
        <v>0</v>
      </c>
      <c r="M30" s="2530">
        <v>50438</v>
      </c>
      <c r="N30" s="2530">
        <v>0</v>
      </c>
      <c r="O30" s="2527">
        <f t="shared" si="0"/>
        <v>50438</v>
      </c>
      <c r="P30" s="2479" t="str">
        <f t="shared" si="1"/>
        <v>1.23, Black Cap Solar, LLC, LU</v>
      </c>
    </row>
    <row r="31" spans="1:16" ht="14.1" customHeight="1" x14ac:dyDescent="0.2">
      <c r="A31" s="2769">
        <f t="shared" si="2"/>
        <v>1.24</v>
      </c>
      <c r="B31" s="2512" t="s">
        <v>9090</v>
      </c>
      <c r="C31" s="2489" t="s">
        <v>190</v>
      </c>
      <c r="D31" s="2614"/>
      <c r="E31" s="2614"/>
      <c r="F31" s="2488"/>
      <c r="G31" s="2488"/>
      <c r="H31" s="2752">
        <v>8423</v>
      </c>
      <c r="I31" s="2488"/>
      <c r="J31" s="2488"/>
      <c r="K31" s="2488"/>
      <c r="L31" s="2530">
        <v>0</v>
      </c>
      <c r="M31" s="2530">
        <v>587376</v>
      </c>
      <c r="N31" s="2530">
        <v>0</v>
      </c>
      <c r="O31" s="2527">
        <f t="shared" si="0"/>
        <v>587376</v>
      </c>
      <c r="P31" s="2479" t="str">
        <f t="shared" si="1"/>
        <v>1.24, Black Hills Power, Inc., SF</v>
      </c>
    </row>
    <row r="32" spans="1:16" ht="14.1" customHeight="1" x14ac:dyDescent="0.2">
      <c r="A32" s="2769">
        <f t="shared" si="2"/>
        <v>1.25</v>
      </c>
      <c r="B32" s="2512" t="s">
        <v>9398</v>
      </c>
      <c r="C32" s="2947" t="s">
        <v>196</v>
      </c>
      <c r="D32" s="2614"/>
      <c r="E32" s="2614"/>
      <c r="F32" s="2488"/>
      <c r="G32" s="2488"/>
      <c r="H32" s="2752">
        <v>0</v>
      </c>
      <c r="I32" s="2488"/>
      <c r="J32" s="2488"/>
      <c r="K32" s="2488"/>
      <c r="L32" s="2530">
        <v>0</v>
      </c>
      <c r="M32" s="2530">
        <v>0</v>
      </c>
      <c r="N32" s="2531">
        <v>12547</v>
      </c>
      <c r="O32" s="2527">
        <f t="shared" si="0"/>
        <v>12547</v>
      </c>
      <c r="P32" s="2479" t="str">
        <f t="shared" si="1"/>
        <v>1.25, Bly Solar Center, LLC, AD</v>
      </c>
    </row>
    <row r="33" spans="1:16" ht="14.1" customHeight="1" x14ac:dyDescent="0.2">
      <c r="A33" s="2769">
        <f t="shared" si="2"/>
        <v>1.26</v>
      </c>
      <c r="B33" s="2512" t="s">
        <v>9398</v>
      </c>
      <c r="C33" s="2489" t="s">
        <v>191</v>
      </c>
      <c r="D33" s="2614"/>
      <c r="E33" s="2614"/>
      <c r="F33" s="2488"/>
      <c r="G33" s="2488"/>
      <c r="H33" s="2752">
        <v>20259</v>
      </c>
      <c r="I33" s="2488"/>
      <c r="J33" s="2488"/>
      <c r="K33" s="2488"/>
      <c r="L33" s="2530">
        <v>0</v>
      </c>
      <c r="M33" s="2530">
        <v>1472081</v>
      </c>
      <c r="N33" s="2531">
        <v>14736</v>
      </c>
      <c r="O33" s="2527">
        <f t="shared" si="0"/>
        <v>1486817</v>
      </c>
      <c r="P33" s="2479" t="str">
        <f t="shared" si="1"/>
        <v>1.26, Bly Solar Center, LLC, LU</v>
      </c>
    </row>
    <row r="34" spans="1:16" ht="14.1" customHeight="1" x14ac:dyDescent="0.2">
      <c r="A34" s="2769">
        <f t="shared" si="2"/>
        <v>1.27</v>
      </c>
      <c r="B34" s="2512" t="s">
        <v>9091</v>
      </c>
      <c r="C34" s="2947" t="s">
        <v>188</v>
      </c>
      <c r="D34" s="2614"/>
      <c r="E34" s="2614"/>
      <c r="F34" s="2614"/>
      <c r="G34" s="2614"/>
      <c r="H34" s="2752">
        <v>0</v>
      </c>
      <c r="I34" s="2488"/>
      <c r="J34" s="2488"/>
      <c r="K34" s="2488"/>
      <c r="L34" s="2530">
        <v>0</v>
      </c>
      <c r="M34" s="2530">
        <v>0</v>
      </c>
      <c r="N34" s="2531">
        <v>183690</v>
      </c>
      <c r="O34" s="2527">
        <f t="shared" si="0"/>
        <v>183690</v>
      </c>
      <c r="P34" s="2479" t="str">
        <f t="shared" si="1"/>
        <v>1.27, Bonneville Power Administration, LF</v>
      </c>
    </row>
    <row r="35" spans="1:16" ht="14.1" customHeight="1" x14ac:dyDescent="0.2">
      <c r="A35" s="2769">
        <f t="shared" si="2"/>
        <v>1.28</v>
      </c>
      <c r="B35" s="2512" t="s">
        <v>9091</v>
      </c>
      <c r="C35" s="2489" t="s">
        <v>190</v>
      </c>
      <c r="D35" s="2614"/>
      <c r="E35" s="2614"/>
      <c r="F35" s="2488"/>
      <c r="G35" s="2488"/>
      <c r="H35" s="2752">
        <v>1174490</v>
      </c>
      <c r="I35" s="2488"/>
      <c r="J35" s="2488"/>
      <c r="K35" s="2488"/>
      <c r="L35" s="2530">
        <v>0</v>
      </c>
      <c r="M35" s="2530">
        <v>108072551</v>
      </c>
      <c r="N35" s="2531">
        <v>24480</v>
      </c>
      <c r="O35" s="2527">
        <f t="shared" si="0"/>
        <v>108097031</v>
      </c>
      <c r="P35" s="2479" t="str">
        <f t="shared" si="1"/>
        <v>1.28, Bonneville Power Administration, SF</v>
      </c>
    </row>
    <row r="36" spans="1:16" ht="14.1" customHeight="1" x14ac:dyDescent="0.2">
      <c r="A36" s="2769">
        <f t="shared" si="2"/>
        <v>1.29</v>
      </c>
      <c r="B36" s="2512" t="s">
        <v>9091</v>
      </c>
      <c r="C36" s="2947" t="s">
        <v>196</v>
      </c>
      <c r="D36" s="2614"/>
      <c r="E36" s="2614"/>
      <c r="F36" s="2488"/>
      <c r="G36" s="2488"/>
      <c r="H36" s="2752">
        <v>0</v>
      </c>
      <c r="I36" s="2488"/>
      <c r="J36" s="2488"/>
      <c r="K36" s="2488"/>
      <c r="L36" s="2530">
        <v>0</v>
      </c>
      <c r="M36" s="2530">
        <v>0</v>
      </c>
      <c r="N36" s="2531">
        <v>248561</v>
      </c>
      <c r="O36" s="2527">
        <f t="shared" si="0"/>
        <v>248561</v>
      </c>
      <c r="P36" s="2479" t="str">
        <f t="shared" si="1"/>
        <v>1.29, Bonneville Power Administration, AD</v>
      </c>
    </row>
    <row r="37" spans="1:16" ht="14.1" customHeight="1" x14ac:dyDescent="0.2">
      <c r="A37" s="2769">
        <f t="shared" si="2"/>
        <v>1.3</v>
      </c>
      <c r="B37" s="2512" t="s">
        <v>9399</v>
      </c>
      <c r="C37" s="2489" t="s">
        <v>191</v>
      </c>
      <c r="D37" s="2614"/>
      <c r="E37" s="2614"/>
      <c r="F37" s="2488"/>
      <c r="G37" s="2488"/>
      <c r="H37" s="2752">
        <v>288</v>
      </c>
      <c r="I37" s="2488"/>
      <c r="J37" s="2488"/>
      <c r="K37" s="2488"/>
      <c r="L37" s="2530">
        <v>0</v>
      </c>
      <c r="M37" s="2530">
        <v>22800</v>
      </c>
      <c r="N37" s="2530">
        <v>0</v>
      </c>
      <c r="O37" s="2527">
        <f t="shared" si="0"/>
        <v>22800</v>
      </c>
      <c r="P37" s="2479" t="str">
        <f t="shared" si="1"/>
        <v>1.3, Bourdet, Peter M, LU</v>
      </c>
    </row>
    <row r="38" spans="1:16" ht="14.1" customHeight="1" x14ac:dyDescent="0.2">
      <c r="A38" s="2769">
        <f t="shared" si="2"/>
        <v>1.31</v>
      </c>
      <c r="B38" s="2512" t="s">
        <v>9400</v>
      </c>
      <c r="C38" s="2489" t="s">
        <v>191</v>
      </c>
      <c r="D38" s="2614"/>
      <c r="E38" s="2771">
        <v>0</v>
      </c>
      <c r="F38" s="2530">
        <v>1</v>
      </c>
      <c r="G38" s="2530">
        <v>1</v>
      </c>
      <c r="H38" s="2752">
        <v>6170</v>
      </c>
      <c r="I38" s="2488"/>
      <c r="J38" s="2488"/>
      <c r="K38" s="2488"/>
      <c r="L38" s="2530">
        <v>0</v>
      </c>
      <c r="M38" s="2530">
        <v>170249</v>
      </c>
      <c r="N38" s="2530">
        <v>0</v>
      </c>
      <c r="O38" s="2527">
        <f t="shared" si="0"/>
        <v>170249</v>
      </c>
      <c r="P38" s="2479" t="str">
        <f t="shared" si="1"/>
        <v>1.31, Box Canyon Limited Partnership, LU</v>
      </c>
    </row>
    <row r="39" spans="1:16" ht="14.1" customHeight="1" x14ac:dyDescent="0.2">
      <c r="A39" s="2769">
        <f t="shared" si="2"/>
        <v>1.32</v>
      </c>
      <c r="B39" s="2512" t="s">
        <v>9092</v>
      </c>
      <c r="C39" s="2489" t="s">
        <v>190</v>
      </c>
      <c r="D39" s="2614"/>
      <c r="E39" s="2614"/>
      <c r="F39" s="2488"/>
      <c r="G39" s="2488"/>
      <c r="H39" s="2752">
        <v>264649</v>
      </c>
      <c r="I39" s="2488"/>
      <c r="J39" s="2488"/>
      <c r="K39" s="2488"/>
      <c r="L39" s="2530">
        <v>0</v>
      </c>
      <c r="M39" s="2530">
        <v>17800957</v>
      </c>
      <c r="N39" s="2530">
        <v>0</v>
      </c>
      <c r="O39" s="2527">
        <f t="shared" si="0"/>
        <v>17800957</v>
      </c>
      <c r="P39" s="2479" t="str">
        <f t="shared" si="1"/>
        <v>1.32, BP Energy Company, SF</v>
      </c>
    </row>
    <row r="40" spans="1:16" ht="14.1" customHeight="1" x14ac:dyDescent="0.2">
      <c r="A40" s="2769">
        <f t="shared" si="2"/>
        <v>1.33</v>
      </c>
      <c r="B40" s="2502" t="s">
        <v>9092</v>
      </c>
      <c r="C40" s="2947" t="s">
        <v>196</v>
      </c>
      <c r="D40" s="2614"/>
      <c r="E40" s="2614"/>
      <c r="F40" s="2488"/>
      <c r="G40" s="2488"/>
      <c r="H40" s="2752">
        <v>0</v>
      </c>
      <c r="I40" s="2488"/>
      <c r="J40" s="2488"/>
      <c r="K40" s="2488"/>
      <c r="L40" s="2530">
        <v>0</v>
      </c>
      <c r="M40" s="2530">
        <v>0</v>
      </c>
      <c r="N40" s="2531">
        <v>2072</v>
      </c>
      <c r="O40" s="2527">
        <f t="shared" si="0"/>
        <v>2072</v>
      </c>
      <c r="P40" s="2479" t="str">
        <f t="shared" si="1"/>
        <v>1.33, BP Energy Company, AD</v>
      </c>
    </row>
    <row r="41" spans="1:16" ht="14.1" customHeight="1" x14ac:dyDescent="0.2">
      <c r="A41" s="2769">
        <f t="shared" si="2"/>
        <v>1.34</v>
      </c>
      <c r="B41" s="2502" t="s">
        <v>9401</v>
      </c>
      <c r="C41" s="2489" t="s">
        <v>192</v>
      </c>
      <c r="D41" s="2614"/>
      <c r="E41" s="2614"/>
      <c r="F41" s="2488"/>
      <c r="G41" s="2488"/>
      <c r="H41" s="2752">
        <v>37356</v>
      </c>
      <c r="I41" s="2488"/>
      <c r="J41" s="2488"/>
      <c r="K41" s="2488"/>
      <c r="L41" s="2530">
        <v>0</v>
      </c>
      <c r="M41" s="2530">
        <v>2184941</v>
      </c>
      <c r="N41" s="2530">
        <v>0</v>
      </c>
      <c r="O41" s="2527">
        <f t="shared" si="0"/>
        <v>2184941</v>
      </c>
      <c r="P41" s="2479" t="str">
        <f t="shared" si="1"/>
        <v>1.34, Brigham Young University - Idaho, IU</v>
      </c>
    </row>
    <row r="42" spans="1:16" ht="14.1" customHeight="1" x14ac:dyDescent="0.2">
      <c r="A42" s="2769">
        <f t="shared" si="2"/>
        <v>1.35</v>
      </c>
      <c r="B42" s="2502" t="s">
        <v>9094</v>
      </c>
      <c r="C42" s="2489" t="s">
        <v>190</v>
      </c>
      <c r="D42" s="2614"/>
      <c r="E42" s="2614"/>
      <c r="F42" s="2488"/>
      <c r="G42" s="2488"/>
      <c r="H42" s="2752">
        <v>81823</v>
      </c>
      <c r="I42" s="2488"/>
      <c r="J42" s="2488"/>
      <c r="K42" s="2488"/>
      <c r="L42" s="2530">
        <v>0</v>
      </c>
      <c r="M42" s="2530">
        <v>6726224</v>
      </c>
      <c r="N42" s="2530">
        <v>0</v>
      </c>
      <c r="O42" s="2527">
        <f t="shared" si="0"/>
        <v>6726224</v>
      </c>
      <c r="P42" s="2479" t="str">
        <f t="shared" si="1"/>
        <v>1.35, Brookfield Renewable Trading and Marketing LP, SF</v>
      </c>
    </row>
    <row r="43" spans="1:16" ht="14.1" customHeight="1" x14ac:dyDescent="0.2">
      <c r="A43" s="2769">
        <f t="shared" si="2"/>
        <v>1.36</v>
      </c>
      <c r="B43" s="2502" t="s">
        <v>9402</v>
      </c>
      <c r="C43" s="2489" t="s">
        <v>191</v>
      </c>
      <c r="D43" s="2614"/>
      <c r="E43" s="2771">
        <v>3</v>
      </c>
      <c r="F43" s="2530">
        <v>3</v>
      </c>
      <c r="G43" s="2530">
        <v>1</v>
      </c>
      <c r="H43" s="2752">
        <v>5900</v>
      </c>
      <c r="I43" s="2488"/>
      <c r="J43" s="2488"/>
      <c r="K43" s="2488"/>
      <c r="L43" s="2530">
        <v>454908</v>
      </c>
      <c r="M43" s="2530">
        <v>331562</v>
      </c>
      <c r="N43" s="2530">
        <v>0</v>
      </c>
      <c r="O43" s="2527">
        <f t="shared" si="0"/>
        <v>786470</v>
      </c>
      <c r="P43" s="2479" t="str">
        <f t="shared" si="1"/>
        <v>1.36, Buckhorn Solar, LLC, LU</v>
      </c>
    </row>
    <row r="44" spans="1:16" ht="14.1" customHeight="1" x14ac:dyDescent="0.2">
      <c r="A44" s="2769">
        <f t="shared" si="2"/>
        <v>1.37</v>
      </c>
      <c r="B44" s="2512" t="s">
        <v>9403</v>
      </c>
      <c r="C44" s="2489" t="s">
        <v>191</v>
      </c>
      <c r="D44" s="2614"/>
      <c r="E44" s="2614"/>
      <c r="F44" s="2488"/>
      <c r="G44" s="2488"/>
      <c r="H44" s="2750">
        <v>10377</v>
      </c>
      <c r="I44" s="2488"/>
      <c r="J44" s="2488"/>
      <c r="K44" s="2488"/>
      <c r="L44" s="2530">
        <v>0</v>
      </c>
      <c r="M44" s="2530">
        <v>819976</v>
      </c>
      <c r="N44" s="2530">
        <v>0</v>
      </c>
      <c r="O44" s="2527">
        <f t="shared" si="0"/>
        <v>819976</v>
      </c>
      <c r="P44" s="2479" t="str">
        <f t="shared" si="1"/>
        <v>1.37, Butter Creek Power, LLC, LU</v>
      </c>
    </row>
    <row r="45" spans="1:16" ht="14.1" customHeight="1" x14ac:dyDescent="0.2">
      <c r="A45" s="2769">
        <f t="shared" si="2"/>
        <v>1.38</v>
      </c>
      <c r="B45" s="2512" t="s">
        <v>9406</v>
      </c>
      <c r="C45" s="2489" t="s">
        <v>190</v>
      </c>
      <c r="D45" s="2614"/>
      <c r="E45" s="2614"/>
      <c r="F45" s="2488"/>
      <c r="G45" s="2488"/>
      <c r="H45" s="2752">
        <v>2319</v>
      </c>
      <c r="I45" s="2488"/>
      <c r="J45" s="2488"/>
      <c r="K45" s="2488"/>
      <c r="L45" s="2530">
        <v>0</v>
      </c>
      <c r="M45" s="2530">
        <v>344570</v>
      </c>
      <c r="N45" s="2488"/>
      <c r="O45" s="2527">
        <f t="shared" si="0"/>
        <v>344570</v>
      </c>
      <c r="P45" s="2479" t="str">
        <f t="shared" si="1"/>
        <v>1.38, California Independent System Operator Corporation, SF</v>
      </c>
    </row>
    <row r="46" spans="1:16" ht="14.1" customHeight="1" x14ac:dyDescent="0.2">
      <c r="A46" s="2769">
        <f t="shared" si="2"/>
        <v>1.39</v>
      </c>
      <c r="B46" s="2512" t="s">
        <v>9095</v>
      </c>
      <c r="C46" s="2489" t="s">
        <v>190</v>
      </c>
      <c r="D46" s="2614"/>
      <c r="E46" s="2614"/>
      <c r="F46" s="2488"/>
      <c r="G46" s="2488"/>
      <c r="H46" s="2752">
        <v>75109</v>
      </c>
      <c r="I46" s="2488"/>
      <c r="J46" s="2488"/>
      <c r="K46" s="2488"/>
      <c r="L46" s="2530">
        <v>0</v>
      </c>
      <c r="M46" s="2530">
        <v>5081330</v>
      </c>
      <c r="N46" s="2530">
        <v>0</v>
      </c>
      <c r="O46" s="2527">
        <f t="shared" si="0"/>
        <v>5081330</v>
      </c>
      <c r="P46" s="2479" t="str">
        <f t="shared" si="1"/>
        <v>1.39, Calpine Energy Services, L.P., SF</v>
      </c>
    </row>
    <row r="47" spans="1:16" ht="14.1" customHeight="1" x14ac:dyDescent="0.2">
      <c r="A47" s="2769">
        <f t="shared" si="2"/>
        <v>1.4</v>
      </c>
      <c r="B47" s="2512" t="s">
        <v>9408</v>
      </c>
      <c r="C47" s="2489" t="s">
        <v>191</v>
      </c>
      <c r="D47" s="2614"/>
      <c r="E47" s="2614"/>
      <c r="F47" s="2488"/>
      <c r="G47" s="2488"/>
      <c r="H47" s="2752">
        <v>568195</v>
      </c>
      <c r="I47" s="2488"/>
      <c r="J47" s="2488"/>
      <c r="K47" s="2488"/>
      <c r="L47" s="2530">
        <v>0</v>
      </c>
      <c r="M47" s="2530">
        <v>10057037</v>
      </c>
      <c r="N47" s="2530">
        <v>0</v>
      </c>
      <c r="O47" s="2527">
        <f t="shared" si="0"/>
        <v>10057037</v>
      </c>
      <c r="P47" s="2479" t="str">
        <f t="shared" si="1"/>
        <v>1.4, Cedar Springs III, LLC, LU</v>
      </c>
    </row>
    <row r="48" spans="1:16" ht="14.1" customHeight="1" x14ac:dyDescent="0.2">
      <c r="A48" s="2769">
        <f t="shared" si="2"/>
        <v>1.41</v>
      </c>
      <c r="B48" s="2512" t="s">
        <v>9409</v>
      </c>
      <c r="C48" s="2489" t="s">
        <v>191</v>
      </c>
      <c r="D48" s="2614"/>
      <c r="E48" s="2614"/>
      <c r="F48" s="2614"/>
      <c r="G48" s="2614"/>
      <c r="H48" s="2752">
        <v>821087</v>
      </c>
      <c r="I48" s="2488"/>
      <c r="J48" s="2488"/>
      <c r="K48" s="2488"/>
      <c r="L48" s="2530">
        <v>0</v>
      </c>
      <c r="M48" s="2530">
        <v>12726833</v>
      </c>
      <c r="N48" s="2530">
        <v>0</v>
      </c>
      <c r="O48" s="2527">
        <f t="shared" si="0"/>
        <v>12726833</v>
      </c>
      <c r="P48" s="2479" t="str">
        <f t="shared" si="1"/>
        <v>1.41, Cedar Springs Wind, LLC, LU</v>
      </c>
    </row>
    <row r="49" spans="1:16" ht="14.1" customHeight="1" x14ac:dyDescent="0.2">
      <c r="A49" s="2769">
        <f t="shared" si="2"/>
        <v>1.42</v>
      </c>
      <c r="B49" s="2512" t="s">
        <v>9410</v>
      </c>
      <c r="C49" s="2489" t="s">
        <v>191</v>
      </c>
      <c r="D49" s="2614"/>
      <c r="E49" s="2771">
        <v>3</v>
      </c>
      <c r="F49" s="2530">
        <v>3</v>
      </c>
      <c r="G49" s="2530">
        <v>1</v>
      </c>
      <c r="H49" s="2752">
        <v>6358</v>
      </c>
      <c r="I49" s="2488"/>
      <c r="J49" s="2488"/>
      <c r="K49" s="2488"/>
      <c r="L49" s="2530">
        <v>451592</v>
      </c>
      <c r="M49" s="2530">
        <v>357343</v>
      </c>
      <c r="N49" s="2530">
        <v>0</v>
      </c>
      <c r="O49" s="2527">
        <f t="shared" si="0"/>
        <v>808935</v>
      </c>
      <c r="P49" s="2479" t="str">
        <f t="shared" si="1"/>
        <v>1.42, Cedar Valley Solar, LLC, LU</v>
      </c>
    </row>
    <row r="50" spans="1:16" ht="14.1" customHeight="1" x14ac:dyDescent="0.2">
      <c r="A50" s="2769">
        <f t="shared" si="2"/>
        <v>1.43</v>
      </c>
      <c r="B50" s="2512" t="s">
        <v>9411</v>
      </c>
      <c r="C50" s="2489" t="s">
        <v>191</v>
      </c>
      <c r="D50" s="2614"/>
      <c r="E50" s="2771">
        <v>0</v>
      </c>
      <c r="F50" s="2530">
        <v>4</v>
      </c>
      <c r="G50" s="2530">
        <v>3</v>
      </c>
      <c r="H50" s="2752">
        <v>24616</v>
      </c>
      <c r="I50" s="2488"/>
      <c r="J50" s="2488"/>
      <c r="K50" s="2488"/>
      <c r="L50" s="2530">
        <v>0</v>
      </c>
      <c r="M50" s="2530">
        <v>2241805</v>
      </c>
      <c r="N50" s="2530">
        <v>0</v>
      </c>
      <c r="O50" s="2527">
        <f t="shared" si="0"/>
        <v>2241805</v>
      </c>
      <c r="P50" s="2479" t="str">
        <f t="shared" si="1"/>
        <v>1.43, Central Oregon Irrigation District, LU</v>
      </c>
    </row>
    <row r="51" spans="1:16" ht="14.1" customHeight="1" x14ac:dyDescent="0.2">
      <c r="A51" s="2769">
        <f t="shared" si="2"/>
        <v>1.44</v>
      </c>
      <c r="B51" s="2512" t="s">
        <v>12079</v>
      </c>
      <c r="C51" s="2489" t="s">
        <v>191</v>
      </c>
      <c r="D51" s="2614"/>
      <c r="E51" s="2614"/>
      <c r="F51" s="2488"/>
      <c r="G51" s="2488"/>
      <c r="H51" s="2752">
        <v>4919</v>
      </c>
      <c r="I51" s="2488"/>
      <c r="J51" s="2488"/>
      <c r="K51" s="2488"/>
      <c r="L51" s="2530">
        <v>0</v>
      </c>
      <c r="M51" s="2530">
        <v>203450</v>
      </c>
      <c r="N51" s="2530">
        <v>0</v>
      </c>
      <c r="O51" s="2527">
        <f t="shared" si="0"/>
        <v>203450</v>
      </c>
      <c r="P51" s="2479" t="str">
        <f t="shared" si="1"/>
        <v>1.44, Central Rivers Power, LLC, LU</v>
      </c>
    </row>
    <row r="52" spans="1:16" ht="14.1" customHeight="1" x14ac:dyDescent="0.2">
      <c r="A52" s="2769">
        <f t="shared" si="2"/>
        <v>1.45</v>
      </c>
      <c r="B52" s="2512" t="s">
        <v>9414</v>
      </c>
      <c r="C52" s="2489" t="s">
        <v>191</v>
      </c>
      <c r="D52" s="2614"/>
      <c r="E52" s="2614"/>
      <c r="F52" s="2488"/>
      <c r="G52" s="2488"/>
      <c r="H52" s="2752">
        <v>20434</v>
      </c>
      <c r="I52" s="2488"/>
      <c r="J52" s="2488"/>
      <c r="K52" s="2488"/>
      <c r="L52" s="2530">
        <v>0</v>
      </c>
      <c r="M52" s="2530">
        <v>1116178</v>
      </c>
      <c r="N52" s="2530">
        <v>0</v>
      </c>
      <c r="O52" s="2527">
        <f t="shared" si="0"/>
        <v>1116178</v>
      </c>
      <c r="P52" s="2479" t="str">
        <f t="shared" si="1"/>
        <v>1.45, Chiloquin Solar LLC, LU</v>
      </c>
    </row>
    <row r="53" spans="1:16" ht="14.1" customHeight="1" x14ac:dyDescent="0.2">
      <c r="A53" s="2769">
        <f t="shared" si="2"/>
        <v>1.46</v>
      </c>
      <c r="B53" s="2512" t="s">
        <v>9415</v>
      </c>
      <c r="C53" s="2489" t="s">
        <v>191</v>
      </c>
      <c r="D53" s="2614"/>
      <c r="E53" s="2614"/>
      <c r="F53" s="2488"/>
      <c r="G53" s="2488"/>
      <c r="H53" s="2752">
        <v>31603</v>
      </c>
      <c r="I53" s="2488"/>
      <c r="J53" s="2488"/>
      <c r="K53" s="2488"/>
      <c r="L53" s="2530">
        <v>0</v>
      </c>
      <c r="M53" s="2530">
        <v>2191158</v>
      </c>
      <c r="N53" s="2530">
        <v>0</v>
      </c>
      <c r="O53" s="2527">
        <f t="shared" si="0"/>
        <v>2191158</v>
      </c>
      <c r="P53" s="2479" t="str">
        <f t="shared" si="1"/>
        <v>1.46, Chopin Wind, LLC, LU</v>
      </c>
    </row>
    <row r="54" spans="1:16" ht="14.1" customHeight="1" x14ac:dyDescent="0.2">
      <c r="A54" s="2769">
        <f t="shared" si="2"/>
        <v>1.47</v>
      </c>
      <c r="B54" s="2502" t="s">
        <v>9096</v>
      </c>
      <c r="C54" s="2489" t="s">
        <v>190</v>
      </c>
      <c r="D54" s="2614"/>
      <c r="E54" s="2614"/>
      <c r="F54" s="2488"/>
      <c r="G54" s="2488"/>
      <c r="H54" s="2752">
        <v>534642</v>
      </c>
      <c r="I54" s="2488"/>
      <c r="J54" s="2488"/>
      <c r="K54" s="2488"/>
      <c r="L54" s="2530">
        <v>0</v>
      </c>
      <c r="M54" s="2530">
        <v>46740361</v>
      </c>
      <c r="N54" s="2530">
        <v>0</v>
      </c>
      <c r="O54" s="2527">
        <f t="shared" si="0"/>
        <v>46740361</v>
      </c>
      <c r="P54" s="2479" t="str">
        <f t="shared" si="1"/>
        <v>1.47, Citigroup Energy Inc., SF</v>
      </c>
    </row>
    <row r="55" spans="1:16" ht="14.1" customHeight="1" x14ac:dyDescent="0.2">
      <c r="A55" s="2769">
        <f t="shared" si="2"/>
        <v>1.48</v>
      </c>
      <c r="B55" s="2502" t="s">
        <v>9416</v>
      </c>
      <c r="C55" s="2489" t="s">
        <v>191</v>
      </c>
      <c r="D55" s="2614"/>
      <c r="E55" s="2614"/>
      <c r="F55" s="2488"/>
      <c r="G55" s="2488"/>
      <c r="H55" s="2752">
        <v>496</v>
      </c>
      <c r="I55" s="2488"/>
      <c r="J55" s="2488"/>
      <c r="K55" s="2488"/>
      <c r="L55" s="2530">
        <v>0</v>
      </c>
      <c r="M55" s="2530">
        <v>40065</v>
      </c>
      <c r="N55" s="2530">
        <v>0</v>
      </c>
      <c r="O55" s="2527">
        <f t="shared" si="0"/>
        <v>40065</v>
      </c>
      <c r="P55" s="2479" t="str">
        <f t="shared" si="1"/>
        <v>1.48, City of Albany, LU</v>
      </c>
    </row>
    <row r="56" spans="1:16" ht="14.1" customHeight="1" x14ac:dyDescent="0.2">
      <c r="A56" s="2769">
        <f t="shared" si="2"/>
        <v>1.49</v>
      </c>
      <c r="B56" s="2502" t="s">
        <v>12080</v>
      </c>
      <c r="C56" s="2489" t="s">
        <v>190</v>
      </c>
      <c r="D56" s="2614"/>
      <c r="E56" s="2614"/>
      <c r="F56" s="2488"/>
      <c r="G56" s="2488"/>
      <c r="H56" s="2752">
        <v>3215</v>
      </c>
      <c r="I56" s="2488"/>
      <c r="J56" s="2488"/>
      <c r="K56" s="2488"/>
      <c r="L56" s="2530">
        <v>0</v>
      </c>
      <c r="M56" s="2530">
        <v>31617</v>
      </c>
      <c r="N56" s="2530">
        <v>0</v>
      </c>
      <c r="O56" s="2527">
        <f t="shared" si="0"/>
        <v>31617</v>
      </c>
      <c r="P56" s="2479" t="str">
        <f t="shared" si="1"/>
        <v>1.49, City of Anaheim, SF</v>
      </c>
    </row>
    <row r="57" spans="1:16" ht="14.1" customHeight="1" x14ac:dyDescent="0.2">
      <c r="A57" s="2769">
        <f t="shared" si="2"/>
        <v>1.5</v>
      </c>
      <c r="B57" s="2502" t="s">
        <v>9417</v>
      </c>
      <c r="C57" s="2489" t="s">
        <v>191</v>
      </c>
      <c r="D57" s="2614"/>
      <c r="E57" s="2614"/>
      <c r="F57" s="2488"/>
      <c r="G57" s="2488"/>
      <c r="H57" s="2752">
        <v>57</v>
      </c>
      <c r="I57" s="2488"/>
      <c r="J57" s="2488"/>
      <c r="K57" s="2488"/>
      <c r="L57" s="2530">
        <v>0</v>
      </c>
      <c r="M57" s="2530">
        <v>3015</v>
      </c>
      <c r="N57" s="2530">
        <v>0</v>
      </c>
      <c r="O57" s="2527">
        <f t="shared" si="0"/>
        <v>3015</v>
      </c>
      <c r="P57" s="2479" t="str">
        <f t="shared" si="1"/>
        <v>1.5, City of Astoria, LU</v>
      </c>
    </row>
    <row r="58" spans="1:16" ht="14.1" customHeight="1" x14ac:dyDescent="0.2">
      <c r="A58" s="2769">
        <f t="shared" si="2"/>
        <v>1.51</v>
      </c>
      <c r="B58" s="2512" t="s">
        <v>9097</v>
      </c>
      <c r="C58" s="2489" t="s">
        <v>190</v>
      </c>
      <c r="D58" s="2614"/>
      <c r="E58" s="2614"/>
      <c r="F58" s="2488"/>
      <c r="G58" s="2488"/>
      <c r="H58" s="2750">
        <v>6467</v>
      </c>
      <c r="I58" s="2488"/>
      <c r="J58" s="2488"/>
      <c r="K58" s="2488"/>
      <c r="L58" s="2530">
        <v>0</v>
      </c>
      <c r="M58" s="2530">
        <v>666469</v>
      </c>
      <c r="N58" s="2530">
        <v>0</v>
      </c>
      <c r="O58" s="2527">
        <f t="shared" si="0"/>
        <v>666469</v>
      </c>
      <c r="P58" s="2479" t="str">
        <f t="shared" si="1"/>
        <v>1.51, City of Burbank, SF</v>
      </c>
    </row>
    <row r="59" spans="1:16" ht="14.1" customHeight="1" x14ac:dyDescent="0.2">
      <c r="A59" s="2769">
        <f t="shared" si="2"/>
        <v>1.52</v>
      </c>
      <c r="B59" s="2512" t="s">
        <v>9098</v>
      </c>
      <c r="C59" s="2489" t="s">
        <v>190</v>
      </c>
      <c r="D59" s="2614"/>
      <c r="E59" s="2614"/>
      <c r="F59" s="2488"/>
      <c r="G59" s="2488"/>
      <c r="H59" s="2752">
        <v>800</v>
      </c>
      <c r="I59" s="2488"/>
      <c r="J59" s="2488"/>
      <c r="K59" s="2488"/>
      <c r="L59" s="2530">
        <v>0</v>
      </c>
      <c r="M59" s="2530">
        <v>46000</v>
      </c>
      <c r="N59" s="2530">
        <v>0</v>
      </c>
      <c r="O59" s="2527">
        <f t="shared" si="0"/>
        <v>46000</v>
      </c>
      <c r="P59" s="2479" t="str">
        <f t="shared" si="1"/>
        <v>1.52, City of Glendale, SF</v>
      </c>
    </row>
    <row r="60" spans="1:16" ht="14.1" customHeight="1" x14ac:dyDescent="0.2">
      <c r="A60" s="2769">
        <f t="shared" si="2"/>
        <v>1.53</v>
      </c>
      <c r="B60" s="2512" t="s">
        <v>9099</v>
      </c>
      <c r="C60" s="2947" t="s">
        <v>188</v>
      </c>
      <c r="D60" s="2614"/>
      <c r="E60" s="2614"/>
      <c r="F60" s="2488"/>
      <c r="G60" s="2488"/>
      <c r="H60" s="2752">
        <v>3335</v>
      </c>
      <c r="I60" s="2488"/>
      <c r="J60" s="2488"/>
      <c r="K60" s="2488"/>
      <c r="L60" s="2530">
        <v>0</v>
      </c>
      <c r="M60" s="2530">
        <v>287004</v>
      </c>
      <c r="N60" s="2530">
        <v>0</v>
      </c>
      <c r="O60" s="2527">
        <f t="shared" si="0"/>
        <v>287004</v>
      </c>
      <c r="P60" s="2479" t="str">
        <f t="shared" si="1"/>
        <v>1.53, City of Hurricane, LF</v>
      </c>
    </row>
    <row r="61" spans="1:16" ht="14.1" customHeight="1" x14ac:dyDescent="0.2">
      <c r="A61" s="2769">
        <f t="shared" si="2"/>
        <v>1.54</v>
      </c>
      <c r="B61" s="2512" t="s">
        <v>9418</v>
      </c>
      <c r="C61" s="2489" t="s">
        <v>191</v>
      </c>
      <c r="D61" s="2614"/>
      <c r="E61" s="2614"/>
      <c r="F61" s="2488"/>
      <c r="G61" s="2488"/>
      <c r="H61" s="2752">
        <v>34438</v>
      </c>
      <c r="I61" s="2488"/>
      <c r="J61" s="2488"/>
      <c r="K61" s="2488"/>
      <c r="L61" s="2530">
        <v>0</v>
      </c>
      <c r="M61" s="2530">
        <v>0</v>
      </c>
      <c r="N61" s="2531">
        <v>1820447</v>
      </c>
      <c r="O61" s="2527">
        <f t="shared" si="0"/>
        <v>1820447</v>
      </c>
      <c r="P61" s="2479" t="str">
        <f t="shared" si="1"/>
        <v>1.54, City of Idaho Falls, Idaho, LU</v>
      </c>
    </row>
    <row r="62" spans="1:16" ht="14.1" customHeight="1" x14ac:dyDescent="0.2">
      <c r="A62" s="2769">
        <f t="shared" si="2"/>
        <v>1.55</v>
      </c>
      <c r="B62" s="2512" t="s">
        <v>9419</v>
      </c>
      <c r="C62" s="2489" t="s">
        <v>191</v>
      </c>
      <c r="D62" s="2614"/>
      <c r="E62" s="2614"/>
      <c r="F62" s="2614"/>
      <c r="G62" s="2614"/>
      <c r="H62" s="2752">
        <v>181</v>
      </c>
      <c r="I62" s="2488"/>
      <c r="J62" s="2488"/>
      <c r="K62" s="2488"/>
      <c r="L62" s="2530">
        <v>0</v>
      </c>
      <c r="M62" s="2530">
        <v>16039</v>
      </c>
      <c r="N62" s="2530">
        <v>0</v>
      </c>
      <c r="O62" s="2527">
        <f t="shared" si="0"/>
        <v>16039</v>
      </c>
      <c r="P62" s="2479" t="str">
        <f t="shared" si="1"/>
        <v>1.55, City of Portland, Portland Water Bureau, LU</v>
      </c>
    </row>
    <row r="63" spans="1:16" ht="14.1" customHeight="1" x14ac:dyDescent="0.2">
      <c r="A63" s="2769">
        <f t="shared" si="2"/>
        <v>1.56</v>
      </c>
      <c r="B63" s="2512" t="s">
        <v>9420</v>
      </c>
      <c r="C63" s="2489" t="s">
        <v>191</v>
      </c>
      <c r="D63" s="2614"/>
      <c r="E63" s="2614"/>
      <c r="F63" s="2488"/>
      <c r="G63" s="2488"/>
      <c r="H63" s="2752">
        <v>2399</v>
      </c>
      <c r="I63" s="2488"/>
      <c r="J63" s="2488"/>
      <c r="K63" s="2488"/>
      <c r="L63" s="2530">
        <v>0</v>
      </c>
      <c r="M63" s="2530">
        <v>154594</v>
      </c>
      <c r="N63" s="2530">
        <v>0</v>
      </c>
      <c r="O63" s="2527">
        <f t="shared" si="0"/>
        <v>154594</v>
      </c>
      <c r="P63" s="2479" t="str">
        <f t="shared" si="1"/>
        <v>1.56, City of Preston Idaho, LU</v>
      </c>
    </row>
    <row r="64" spans="1:16" ht="14.1" customHeight="1" x14ac:dyDescent="0.2">
      <c r="A64" s="2769">
        <f t="shared" si="2"/>
        <v>1.57</v>
      </c>
      <c r="B64" s="2512" t="s">
        <v>9102</v>
      </c>
      <c r="C64" s="2489" t="s">
        <v>190</v>
      </c>
      <c r="D64" s="2614"/>
      <c r="E64" s="2614"/>
      <c r="F64" s="2488"/>
      <c r="G64" s="2488"/>
      <c r="H64" s="2752">
        <v>1023</v>
      </c>
      <c r="I64" s="2488"/>
      <c r="J64" s="2488"/>
      <c r="K64" s="2488"/>
      <c r="L64" s="2530">
        <v>0</v>
      </c>
      <c r="M64" s="2530">
        <v>41290</v>
      </c>
      <c r="N64" s="2530">
        <v>0</v>
      </c>
      <c r="O64" s="2527">
        <f t="shared" si="0"/>
        <v>41290</v>
      </c>
      <c r="P64" s="2479" t="str">
        <f t="shared" si="1"/>
        <v>1.57, Clatskanie People's Utility District, SF</v>
      </c>
    </row>
    <row r="65" spans="1:16" ht="14.1" customHeight="1" x14ac:dyDescent="0.2">
      <c r="A65" s="2769">
        <f t="shared" si="2"/>
        <v>1.58</v>
      </c>
      <c r="B65" s="2512" t="s">
        <v>9421</v>
      </c>
      <c r="C65" s="2489" t="s">
        <v>191</v>
      </c>
      <c r="D65" s="2614"/>
      <c r="E65" s="2614"/>
      <c r="F65" s="2488"/>
      <c r="G65" s="2488"/>
      <c r="H65" s="2752">
        <v>1131</v>
      </c>
      <c r="I65" s="2488"/>
      <c r="J65" s="2488"/>
      <c r="K65" s="2488"/>
      <c r="L65" s="2530">
        <v>0</v>
      </c>
      <c r="M65" s="2530">
        <v>57644</v>
      </c>
      <c r="N65" s="2530">
        <v>0</v>
      </c>
      <c r="O65" s="2527">
        <f t="shared" si="0"/>
        <v>57644</v>
      </c>
      <c r="P65" s="2479" t="str">
        <f t="shared" si="1"/>
        <v>1.58, Commercial Energy Management Inc., LU</v>
      </c>
    </row>
    <row r="66" spans="1:16" ht="14.1" customHeight="1" x14ac:dyDescent="0.2">
      <c r="A66" s="2769">
        <f t="shared" si="2"/>
        <v>1.59</v>
      </c>
      <c r="B66" s="2512" t="s">
        <v>9422</v>
      </c>
      <c r="C66" s="2489" t="s">
        <v>191</v>
      </c>
      <c r="D66" s="2614"/>
      <c r="E66" s="2614"/>
      <c r="F66" s="2488"/>
      <c r="G66" s="2488"/>
      <c r="H66" s="2752">
        <v>186</v>
      </c>
      <c r="I66" s="2488"/>
      <c r="J66" s="2488"/>
      <c r="K66" s="2488"/>
      <c r="L66" s="2530">
        <v>0</v>
      </c>
      <c r="M66" s="2530">
        <v>16192</v>
      </c>
      <c r="N66" s="2530">
        <v>0</v>
      </c>
      <c r="O66" s="2527">
        <f t="shared" si="0"/>
        <v>16192</v>
      </c>
      <c r="P66" s="2479" t="str">
        <f t="shared" si="1"/>
        <v>1.59, Confederate Tribes of Warm Springs, LU</v>
      </c>
    </row>
    <row r="67" spans="1:16" ht="14.1" customHeight="1" x14ac:dyDescent="0.2">
      <c r="A67" s="2769">
        <f t="shared" si="2"/>
        <v>1.6</v>
      </c>
      <c r="B67" s="2512" t="s">
        <v>9103</v>
      </c>
      <c r="C67" s="2489" t="s">
        <v>190</v>
      </c>
      <c r="D67" s="2614"/>
      <c r="E67" s="2614"/>
      <c r="F67" s="2488"/>
      <c r="G67" s="2488"/>
      <c r="H67" s="2752">
        <v>182978</v>
      </c>
      <c r="I67" s="2488"/>
      <c r="J67" s="2488"/>
      <c r="K67" s="2488"/>
      <c r="L67" s="2530">
        <v>0</v>
      </c>
      <c r="M67" s="2530">
        <v>19058774</v>
      </c>
      <c r="N67" s="2530">
        <v>0</v>
      </c>
      <c r="O67" s="2527">
        <f t="shared" si="0"/>
        <v>19058774</v>
      </c>
      <c r="P67" s="2479" t="str">
        <f t="shared" si="1"/>
        <v>1.6, ConocoPhillips Company, SF</v>
      </c>
    </row>
    <row r="68" spans="1:16" ht="14.1" customHeight="1" x14ac:dyDescent="0.2">
      <c r="A68" s="2769">
        <f t="shared" si="2"/>
        <v>1.61</v>
      </c>
      <c r="B68" s="2502" t="s">
        <v>9423</v>
      </c>
      <c r="C68" s="2489" t="s">
        <v>191</v>
      </c>
      <c r="D68" s="2614"/>
      <c r="E68" s="2614"/>
      <c r="F68" s="2488"/>
      <c r="G68" s="2488"/>
      <c r="H68" s="2752">
        <v>1662</v>
      </c>
      <c r="I68" s="2488"/>
      <c r="J68" s="2488"/>
      <c r="K68" s="2488"/>
      <c r="L68" s="2530">
        <v>0</v>
      </c>
      <c r="M68" s="2530">
        <v>117930</v>
      </c>
      <c r="N68" s="2530">
        <v>0</v>
      </c>
      <c r="O68" s="2527">
        <f t="shared" si="0"/>
        <v>117930</v>
      </c>
      <c r="P68" s="2479" t="str">
        <f t="shared" si="1"/>
        <v>1.61, Consolidated Irrigation Company, LU</v>
      </c>
    </row>
    <row r="69" spans="1:16" ht="14.1" customHeight="1" x14ac:dyDescent="0.2">
      <c r="A69" s="2769">
        <f t="shared" si="2"/>
        <v>1.62</v>
      </c>
      <c r="B69" s="2502" t="s">
        <v>9104</v>
      </c>
      <c r="C69" s="2489" t="s">
        <v>190</v>
      </c>
      <c r="D69" s="2614"/>
      <c r="E69" s="2614"/>
      <c r="F69" s="2488"/>
      <c r="G69" s="2488"/>
      <c r="H69" s="2752">
        <v>98101</v>
      </c>
      <c r="I69" s="2488"/>
      <c r="J69" s="2488"/>
      <c r="K69" s="2488"/>
      <c r="L69" s="2530">
        <v>0</v>
      </c>
      <c r="M69" s="2530">
        <v>9070581</v>
      </c>
      <c r="N69" s="2530">
        <v>0</v>
      </c>
      <c r="O69" s="2527">
        <f t="shared" si="0"/>
        <v>9070581</v>
      </c>
      <c r="P69" s="2479" t="str">
        <f t="shared" si="1"/>
        <v>1.62, Constellation Energy Generation, LLC, SF</v>
      </c>
    </row>
    <row r="70" spans="1:16" ht="14.1" customHeight="1" x14ac:dyDescent="0.2">
      <c r="A70" s="2769">
        <f t="shared" si="2"/>
        <v>1.63</v>
      </c>
      <c r="B70" s="2502" t="s">
        <v>9104</v>
      </c>
      <c r="C70" s="2947" t="s">
        <v>196</v>
      </c>
      <c r="D70" s="2614"/>
      <c r="E70" s="2614"/>
      <c r="F70" s="2488"/>
      <c r="G70" s="2488"/>
      <c r="H70" s="2752">
        <v>94</v>
      </c>
      <c r="I70" s="2488"/>
      <c r="J70" s="2488"/>
      <c r="K70" s="2488"/>
      <c r="L70" s="2530">
        <v>0</v>
      </c>
      <c r="M70" s="2530">
        <v>0</v>
      </c>
      <c r="N70" s="2531">
        <v>3766</v>
      </c>
      <c r="O70" s="2527">
        <f t="shared" si="0"/>
        <v>3766</v>
      </c>
      <c r="P70" s="2479" t="str">
        <f t="shared" si="1"/>
        <v>1.63, Constellation Energy Generation, LLC, AD</v>
      </c>
    </row>
    <row r="71" spans="1:16" ht="14.1" customHeight="1" x14ac:dyDescent="0.2">
      <c r="A71" s="2769">
        <f t="shared" si="2"/>
        <v>1.64</v>
      </c>
      <c r="B71" s="2502" t="s">
        <v>9424</v>
      </c>
      <c r="C71" s="2489" t="s">
        <v>192</v>
      </c>
      <c r="D71" s="2614"/>
      <c r="E71" s="2614"/>
      <c r="F71" s="2488"/>
      <c r="G71" s="2488"/>
      <c r="H71" s="2752">
        <v>3366</v>
      </c>
      <c r="I71" s="2488"/>
      <c r="J71" s="2488"/>
      <c r="K71" s="2488"/>
      <c r="L71" s="2530">
        <v>0</v>
      </c>
      <c r="M71" s="2530">
        <v>162230</v>
      </c>
      <c r="N71" s="2530">
        <v>0</v>
      </c>
      <c r="O71" s="2527">
        <f t="shared" ref="O71:O134" si="3">SUM(L71:N71)</f>
        <v>162230</v>
      </c>
      <c r="P71" s="2479" t="str">
        <f t="shared" ref="P71:P134" si="4">CONCATENATE(A71,", ",B71,", ",C71)</f>
        <v>1.64, Cottonwood Hydro, LLC, IU</v>
      </c>
    </row>
    <row r="72" spans="1:16" ht="14.1" customHeight="1" x14ac:dyDescent="0.2">
      <c r="A72" s="2769">
        <f t="shared" ref="A72:A135" si="5">ROUND(A71+0.01,2)</f>
        <v>1.65</v>
      </c>
      <c r="B72" s="2512" t="s">
        <v>9425</v>
      </c>
      <c r="C72" s="2489" t="s">
        <v>191</v>
      </c>
      <c r="D72" s="2614"/>
      <c r="E72" s="2614"/>
      <c r="F72" s="2488"/>
      <c r="G72" s="2488"/>
      <c r="H72" s="2750">
        <v>331287</v>
      </c>
      <c r="I72" s="2488"/>
      <c r="J72" s="2488"/>
      <c r="K72" s="2488"/>
      <c r="L72" s="2530">
        <v>0</v>
      </c>
      <c r="M72" s="2530">
        <v>9454940</v>
      </c>
      <c r="N72" s="2530">
        <v>0</v>
      </c>
      <c r="O72" s="2527">
        <f t="shared" si="3"/>
        <v>9454940</v>
      </c>
      <c r="P72" s="2479" t="str">
        <f t="shared" si="4"/>
        <v>1.65, Cove Mountain Solar 2, LLC, LU</v>
      </c>
    </row>
    <row r="73" spans="1:16" ht="14.1" customHeight="1" x14ac:dyDescent="0.2">
      <c r="A73" s="2769">
        <f t="shared" si="5"/>
        <v>1.66</v>
      </c>
      <c r="B73" s="2512" t="s">
        <v>9426</v>
      </c>
      <c r="C73" s="2947" t="s">
        <v>191</v>
      </c>
      <c r="D73" s="2614"/>
      <c r="E73" s="2614"/>
      <c r="F73" s="2488"/>
      <c r="G73" s="2488"/>
      <c r="H73" s="2752">
        <v>161568</v>
      </c>
      <c r="I73" s="2488"/>
      <c r="J73" s="2488"/>
      <c r="K73" s="2488"/>
      <c r="L73" s="2530">
        <v>0</v>
      </c>
      <c r="M73" s="2530">
        <v>3901856</v>
      </c>
      <c r="N73" s="2531">
        <v>979750</v>
      </c>
      <c r="O73" s="2527">
        <f t="shared" si="3"/>
        <v>4881606</v>
      </c>
      <c r="P73" s="2479" t="str">
        <f t="shared" si="4"/>
        <v>1.66, Cove Mountain Solar, LLC, LU</v>
      </c>
    </row>
    <row r="74" spans="1:16" ht="14.1" customHeight="1" x14ac:dyDescent="0.2">
      <c r="A74" s="2769">
        <f t="shared" si="5"/>
        <v>1.67</v>
      </c>
      <c r="B74" s="2512" t="s">
        <v>9105</v>
      </c>
      <c r="C74" s="2489" t="s">
        <v>190</v>
      </c>
      <c r="D74" s="2614"/>
      <c r="E74" s="2614"/>
      <c r="F74" s="2488"/>
      <c r="G74" s="2488"/>
      <c r="H74" s="2752">
        <v>4414</v>
      </c>
      <c r="I74" s="2488"/>
      <c r="J74" s="2488"/>
      <c r="K74" s="2488"/>
      <c r="L74" s="2530">
        <v>0</v>
      </c>
      <c r="M74" s="2530">
        <v>1231250</v>
      </c>
      <c r="N74" s="2530">
        <v>0</v>
      </c>
      <c r="O74" s="2527">
        <f t="shared" si="3"/>
        <v>1231250</v>
      </c>
      <c r="P74" s="2479" t="str">
        <f t="shared" si="4"/>
        <v>1.67, CP Energy Marketing (US) Inc., SF</v>
      </c>
    </row>
    <row r="75" spans="1:16" ht="14.1" customHeight="1" x14ac:dyDescent="0.2">
      <c r="A75" s="2769">
        <f t="shared" si="5"/>
        <v>1.68</v>
      </c>
      <c r="B75" s="2512" t="s">
        <v>9427</v>
      </c>
      <c r="C75" s="2489" t="s">
        <v>191</v>
      </c>
      <c r="D75" s="2614"/>
      <c r="E75" s="2614"/>
      <c r="F75" s="2488"/>
      <c r="G75" s="2488"/>
      <c r="H75" s="2752">
        <v>1052</v>
      </c>
      <c r="I75" s="2488"/>
      <c r="J75" s="2488"/>
      <c r="K75" s="2488"/>
      <c r="L75" s="2530">
        <v>0</v>
      </c>
      <c r="M75" s="2530">
        <v>96547</v>
      </c>
      <c r="N75" s="2530">
        <v>0</v>
      </c>
      <c r="O75" s="2527">
        <f t="shared" si="3"/>
        <v>96547</v>
      </c>
      <c r="P75" s="2479" t="str">
        <f t="shared" si="4"/>
        <v>1.68, Crook County Solar 1, LLC, LU</v>
      </c>
    </row>
    <row r="76" spans="1:16" ht="14.1" customHeight="1" x14ac:dyDescent="0.2">
      <c r="A76" s="2769">
        <f t="shared" si="5"/>
        <v>1.69</v>
      </c>
      <c r="B76" s="2512" t="s">
        <v>9428</v>
      </c>
      <c r="C76" s="2489" t="s">
        <v>191</v>
      </c>
      <c r="D76" s="2614"/>
      <c r="E76" s="2771">
        <v>0</v>
      </c>
      <c r="F76" s="2771">
        <v>3</v>
      </c>
      <c r="G76" s="2771">
        <v>2</v>
      </c>
      <c r="H76" s="2752">
        <v>21213</v>
      </c>
      <c r="I76" s="2488"/>
      <c r="J76" s="2488"/>
      <c r="K76" s="2488"/>
      <c r="L76" s="2530">
        <v>0</v>
      </c>
      <c r="M76" s="2530">
        <v>593974</v>
      </c>
      <c r="N76" s="2530">
        <v>0</v>
      </c>
      <c r="O76" s="2527">
        <f t="shared" si="3"/>
        <v>593974</v>
      </c>
      <c r="P76" s="2479" t="str">
        <f t="shared" si="4"/>
        <v>1.69, Deschutes Valley Water District, LU</v>
      </c>
    </row>
    <row r="77" spans="1:16" ht="14.1" customHeight="1" x14ac:dyDescent="0.2">
      <c r="A77" s="2769">
        <f t="shared" si="5"/>
        <v>1.7</v>
      </c>
      <c r="B77" s="2512" t="s">
        <v>9429</v>
      </c>
      <c r="C77" s="2947" t="s">
        <v>191</v>
      </c>
      <c r="D77" s="2614"/>
      <c r="E77" s="2771">
        <v>100</v>
      </c>
      <c r="F77" s="2530">
        <v>100</v>
      </c>
      <c r="G77" s="2530">
        <v>93</v>
      </c>
      <c r="H77" s="2752">
        <v>650838</v>
      </c>
      <c r="I77" s="2488"/>
      <c r="J77" s="2488"/>
      <c r="K77" s="2488"/>
      <c r="L77" s="2530">
        <v>19716000</v>
      </c>
      <c r="M77" s="2530">
        <v>16360580</v>
      </c>
      <c r="N77" s="2531">
        <v>5040000</v>
      </c>
      <c r="O77" s="2527">
        <f t="shared" si="3"/>
        <v>41116580</v>
      </c>
      <c r="P77" s="2479" t="str">
        <f t="shared" si="4"/>
        <v>1.7, Deseret Generation &amp; Transmission Cooperative, LU</v>
      </c>
    </row>
    <row r="78" spans="1:16" ht="14.1" customHeight="1" x14ac:dyDescent="0.2">
      <c r="A78" s="2769">
        <f t="shared" si="5"/>
        <v>1.71</v>
      </c>
      <c r="B78" s="2512" t="s">
        <v>9430</v>
      </c>
      <c r="C78" s="2489" t="s">
        <v>191</v>
      </c>
      <c r="D78" s="2614"/>
      <c r="E78" s="2614"/>
      <c r="F78" s="2488"/>
      <c r="G78" s="2488"/>
      <c r="H78" s="2752">
        <v>13599</v>
      </c>
      <c r="I78" s="2488"/>
      <c r="J78" s="2488"/>
      <c r="K78" s="2488"/>
      <c r="L78" s="2530">
        <v>0</v>
      </c>
      <c r="M78" s="2530">
        <v>1212163</v>
      </c>
      <c r="N78" s="2530">
        <v>0</v>
      </c>
      <c r="O78" s="2527">
        <f t="shared" si="3"/>
        <v>1212163</v>
      </c>
      <c r="P78" s="2479" t="str">
        <f t="shared" si="4"/>
        <v>1.71, Dorena Hydro, LLC, LU</v>
      </c>
    </row>
    <row r="79" spans="1:16" ht="14.1" customHeight="1" x14ac:dyDescent="0.2">
      <c r="A79" s="2769">
        <f t="shared" si="5"/>
        <v>1.72</v>
      </c>
      <c r="B79" s="2512" t="s">
        <v>9431</v>
      </c>
      <c r="C79" s="2489" t="s">
        <v>191</v>
      </c>
      <c r="D79" s="2614"/>
      <c r="E79" s="2614"/>
      <c r="F79" s="2488"/>
      <c r="G79" s="2488"/>
      <c r="H79" s="2752">
        <v>3315</v>
      </c>
      <c r="I79" s="2488"/>
      <c r="J79" s="2488"/>
      <c r="K79" s="2488"/>
      <c r="L79" s="2530">
        <v>0</v>
      </c>
      <c r="M79" s="2530">
        <v>290235</v>
      </c>
      <c r="N79" s="2530">
        <v>0</v>
      </c>
      <c r="O79" s="2527">
        <f t="shared" si="3"/>
        <v>290235</v>
      </c>
      <c r="P79" s="2479" t="str">
        <f t="shared" si="4"/>
        <v>1.72, Douglas Co., Inc. dba Douglas Co. Forest Products, LU</v>
      </c>
    </row>
    <row r="80" spans="1:16" ht="14.1" customHeight="1" x14ac:dyDescent="0.2">
      <c r="A80" s="2769">
        <f t="shared" si="5"/>
        <v>1.73</v>
      </c>
      <c r="B80" s="2512" t="s">
        <v>9432</v>
      </c>
      <c r="C80" s="2489" t="s">
        <v>192</v>
      </c>
      <c r="D80" s="2614"/>
      <c r="E80" s="2614"/>
      <c r="F80" s="2488"/>
      <c r="G80" s="2488"/>
      <c r="H80" s="2752">
        <v>221</v>
      </c>
      <c r="I80" s="2488"/>
      <c r="J80" s="2488"/>
      <c r="K80" s="2488"/>
      <c r="L80" s="2530">
        <v>0</v>
      </c>
      <c r="M80" s="2530">
        <v>16811</v>
      </c>
      <c r="N80" s="2530">
        <v>0</v>
      </c>
      <c r="O80" s="2527">
        <f t="shared" si="3"/>
        <v>16811</v>
      </c>
      <c r="P80" s="2479" t="str">
        <f t="shared" si="4"/>
        <v>1.73, Draper Irrigation Company, IU</v>
      </c>
    </row>
    <row r="81" spans="1:16" ht="14.1" customHeight="1" x14ac:dyDescent="0.2">
      <c r="A81" s="2769">
        <f t="shared" si="5"/>
        <v>1.74</v>
      </c>
      <c r="B81" s="2512" t="s">
        <v>12081</v>
      </c>
      <c r="C81" s="2489" t="s">
        <v>191</v>
      </c>
      <c r="D81" s="2614"/>
      <c r="E81" s="2614"/>
      <c r="F81" s="2488"/>
      <c r="G81" s="2488"/>
      <c r="H81" s="2752">
        <v>6162</v>
      </c>
      <c r="I81" s="2488"/>
      <c r="J81" s="2488"/>
      <c r="K81" s="2488"/>
      <c r="L81" s="2530">
        <v>0</v>
      </c>
      <c r="M81" s="2530">
        <v>331816</v>
      </c>
      <c r="N81" s="2488"/>
      <c r="O81" s="2527">
        <f t="shared" si="3"/>
        <v>331816</v>
      </c>
      <c r="P81" s="2479" t="str">
        <f t="shared" si="4"/>
        <v>1.74, Dry Creek, LLC, LU</v>
      </c>
    </row>
    <row r="82" spans="1:16" ht="14.1" customHeight="1" x14ac:dyDescent="0.2">
      <c r="A82" s="2769">
        <f t="shared" si="5"/>
        <v>1.75</v>
      </c>
      <c r="B82" s="2502" t="s">
        <v>12081</v>
      </c>
      <c r="C82" s="2947" t="s">
        <v>196</v>
      </c>
      <c r="D82" s="2614"/>
      <c r="E82" s="2614"/>
      <c r="F82" s="2488"/>
      <c r="G82" s="2488"/>
      <c r="H82" s="2530">
        <v>-10</v>
      </c>
      <c r="I82" s="2488"/>
      <c r="J82" s="2488"/>
      <c r="K82" s="2488"/>
      <c r="L82" s="2530">
        <v>0</v>
      </c>
      <c r="M82" s="2530">
        <v>0</v>
      </c>
      <c r="N82" s="2531">
        <v>-638</v>
      </c>
      <c r="O82" s="2527">
        <f t="shared" si="3"/>
        <v>-638</v>
      </c>
      <c r="P82" s="2479" t="str">
        <f t="shared" si="4"/>
        <v>1.75, Dry Creek, LLC, AD</v>
      </c>
    </row>
    <row r="83" spans="1:16" ht="14.1" customHeight="1" x14ac:dyDescent="0.2">
      <c r="A83" s="2769">
        <f t="shared" si="5"/>
        <v>1.76</v>
      </c>
      <c r="B83" s="2502" t="s">
        <v>11989</v>
      </c>
      <c r="C83" s="2489" t="s">
        <v>190</v>
      </c>
      <c r="D83" s="2614"/>
      <c r="E83" s="2614"/>
      <c r="F83" s="2488"/>
      <c r="G83" s="2488"/>
      <c r="H83" s="2752">
        <v>107950</v>
      </c>
      <c r="I83" s="2488"/>
      <c r="J83" s="2488"/>
      <c r="K83" s="2488"/>
      <c r="L83" s="2530">
        <v>0</v>
      </c>
      <c r="M83" s="2530">
        <v>3002873</v>
      </c>
      <c r="N83" s="2530">
        <v>0</v>
      </c>
      <c r="O83" s="2527">
        <f t="shared" si="3"/>
        <v>3002873</v>
      </c>
      <c r="P83" s="2479" t="str">
        <f t="shared" si="4"/>
        <v>1.76, DTE Energy Trading, Inc., SF</v>
      </c>
    </row>
    <row r="84" spans="1:16" ht="14.1" customHeight="1" x14ac:dyDescent="0.2">
      <c r="A84" s="2769">
        <f t="shared" si="5"/>
        <v>1.77</v>
      </c>
      <c r="B84" s="2502" t="s">
        <v>9106</v>
      </c>
      <c r="C84" s="2489" t="s">
        <v>190</v>
      </c>
      <c r="D84" s="2614"/>
      <c r="E84" s="2614"/>
      <c r="F84" s="2488"/>
      <c r="G84" s="2488"/>
      <c r="H84" s="2752">
        <v>248622</v>
      </c>
      <c r="I84" s="2488"/>
      <c r="J84" s="2488"/>
      <c r="K84" s="2488"/>
      <c r="L84" s="2530">
        <v>0</v>
      </c>
      <c r="M84" s="2530">
        <v>51053087</v>
      </c>
      <c r="N84" s="2530">
        <v>0</v>
      </c>
      <c r="O84" s="2527">
        <f t="shared" si="3"/>
        <v>51053087</v>
      </c>
      <c r="P84" s="2479" t="str">
        <f t="shared" si="4"/>
        <v>1.77, Dynasty Power Inc., SF</v>
      </c>
    </row>
    <row r="85" spans="1:16" ht="14.1" customHeight="1" x14ac:dyDescent="0.2">
      <c r="A85" s="2769">
        <f t="shared" si="5"/>
        <v>1.78</v>
      </c>
      <c r="B85" s="2502" t="s">
        <v>9433</v>
      </c>
      <c r="C85" s="2489" t="s">
        <v>191</v>
      </c>
      <c r="D85" s="2614"/>
      <c r="E85" s="2614"/>
      <c r="F85" s="2488"/>
      <c r="G85" s="2488"/>
      <c r="H85" s="2752">
        <v>0</v>
      </c>
      <c r="I85" s="2488"/>
      <c r="J85" s="2488"/>
      <c r="K85" s="2488"/>
      <c r="L85" s="2530">
        <v>0</v>
      </c>
      <c r="M85" s="2530">
        <v>1</v>
      </c>
      <c r="N85" s="2530">
        <v>0</v>
      </c>
      <c r="O85" s="2527">
        <f t="shared" si="3"/>
        <v>1</v>
      </c>
      <c r="P85" s="2479" t="str">
        <f t="shared" si="4"/>
        <v>1.78, eBay Inc., LU</v>
      </c>
    </row>
    <row r="86" spans="1:16" ht="14.1" customHeight="1" x14ac:dyDescent="0.2">
      <c r="A86" s="2769">
        <f t="shared" si="5"/>
        <v>1.79</v>
      </c>
      <c r="B86" s="2512" t="s">
        <v>9107</v>
      </c>
      <c r="C86" s="2489" t="s">
        <v>190</v>
      </c>
      <c r="D86" s="2614"/>
      <c r="E86" s="2614"/>
      <c r="F86" s="2488"/>
      <c r="G86" s="2488"/>
      <c r="H86" s="2750">
        <v>174282</v>
      </c>
      <c r="I86" s="2488"/>
      <c r="J86" s="2488"/>
      <c r="K86" s="2488"/>
      <c r="L86" s="2530">
        <v>0</v>
      </c>
      <c r="M86" s="2530">
        <v>14889249</v>
      </c>
      <c r="N86" s="2530">
        <v>0</v>
      </c>
      <c r="O86" s="2527">
        <f t="shared" si="3"/>
        <v>14889249</v>
      </c>
      <c r="P86" s="2479" t="str">
        <f t="shared" si="4"/>
        <v>1.79, EDF Trading North America, LLC, SF</v>
      </c>
    </row>
    <row r="87" spans="1:16" ht="14.1" customHeight="1" x14ac:dyDescent="0.2">
      <c r="A87" s="2769">
        <f t="shared" si="5"/>
        <v>1.8</v>
      </c>
      <c r="B87" s="2512" t="s">
        <v>9108</v>
      </c>
      <c r="C87" s="2489" t="s">
        <v>190</v>
      </c>
      <c r="D87" s="2614"/>
      <c r="E87" s="2614"/>
      <c r="F87" s="2488"/>
      <c r="G87" s="2488"/>
      <c r="H87" s="2752">
        <v>37855</v>
      </c>
      <c r="I87" s="2488"/>
      <c r="J87" s="2488"/>
      <c r="K87" s="2488"/>
      <c r="L87" s="2530">
        <v>0</v>
      </c>
      <c r="M87" s="2530">
        <v>3679861</v>
      </c>
      <c r="N87" s="2530">
        <v>0</v>
      </c>
      <c r="O87" s="2527">
        <f t="shared" si="3"/>
        <v>3679861</v>
      </c>
      <c r="P87" s="2479" t="str">
        <f t="shared" si="4"/>
        <v>1.8, El Paso Electric Company, SF</v>
      </c>
    </row>
    <row r="88" spans="1:16" ht="14.1" customHeight="1" x14ac:dyDescent="0.2">
      <c r="A88" s="2769">
        <f t="shared" si="5"/>
        <v>1.81</v>
      </c>
      <c r="B88" s="2512" t="s">
        <v>9434</v>
      </c>
      <c r="C88" s="2947" t="s">
        <v>196</v>
      </c>
      <c r="D88" s="2614"/>
      <c r="E88" s="2614"/>
      <c r="F88" s="2488"/>
      <c r="G88" s="2488"/>
      <c r="H88" s="2752">
        <v>0</v>
      </c>
      <c r="I88" s="2488"/>
      <c r="J88" s="2488"/>
      <c r="K88" s="2488"/>
      <c r="L88" s="2530">
        <v>0</v>
      </c>
      <c r="M88" s="2530">
        <v>0</v>
      </c>
      <c r="N88" s="2531">
        <v>13502</v>
      </c>
      <c r="O88" s="2527">
        <f t="shared" si="3"/>
        <v>13502</v>
      </c>
      <c r="P88" s="2479" t="str">
        <f t="shared" si="4"/>
        <v>1.81, Elbe Solar Center, LLC, AD</v>
      </c>
    </row>
    <row r="89" spans="1:16" ht="14.1" customHeight="1" x14ac:dyDescent="0.2">
      <c r="A89" s="2769">
        <f t="shared" si="5"/>
        <v>1.82</v>
      </c>
      <c r="B89" s="2512" t="s">
        <v>9434</v>
      </c>
      <c r="C89" s="2489" t="s">
        <v>191</v>
      </c>
      <c r="D89" s="2614"/>
      <c r="E89" s="2614"/>
      <c r="F89" s="2488"/>
      <c r="G89" s="2488"/>
      <c r="H89" s="2752">
        <v>22449</v>
      </c>
      <c r="I89" s="2488"/>
      <c r="J89" s="2488"/>
      <c r="K89" s="2488"/>
      <c r="L89" s="2530">
        <v>0</v>
      </c>
      <c r="M89" s="2530">
        <v>1623622</v>
      </c>
      <c r="N89" s="2531">
        <v>15589</v>
      </c>
      <c r="O89" s="2527">
        <f t="shared" si="3"/>
        <v>1639211</v>
      </c>
      <c r="P89" s="2479" t="str">
        <f t="shared" si="4"/>
        <v>1.82, Elbe Solar Center, LLC, LU</v>
      </c>
    </row>
    <row r="90" spans="1:16" ht="14.1" customHeight="1" x14ac:dyDescent="0.2">
      <c r="A90" s="2769">
        <f t="shared" si="5"/>
        <v>1.83</v>
      </c>
      <c r="B90" s="2512" t="s">
        <v>9109</v>
      </c>
      <c r="C90" s="2489" t="s">
        <v>190</v>
      </c>
      <c r="D90" s="2614"/>
      <c r="E90" s="2614"/>
      <c r="F90" s="2614"/>
      <c r="G90" s="2614"/>
      <c r="H90" s="2752">
        <v>3616</v>
      </c>
      <c r="I90" s="2488"/>
      <c r="J90" s="2488"/>
      <c r="K90" s="2488"/>
      <c r="L90" s="2530">
        <v>0</v>
      </c>
      <c r="M90" s="2530">
        <v>809234</v>
      </c>
      <c r="N90" s="2530">
        <v>0</v>
      </c>
      <c r="O90" s="2527">
        <f t="shared" si="3"/>
        <v>809234</v>
      </c>
      <c r="P90" s="2479" t="str">
        <f t="shared" si="4"/>
        <v>1.83, Energy Keepers, Inc., SF</v>
      </c>
    </row>
    <row r="91" spans="1:16" ht="14.1" customHeight="1" x14ac:dyDescent="0.2">
      <c r="A91" s="2769">
        <f t="shared" si="5"/>
        <v>1.84</v>
      </c>
      <c r="B91" s="2512" t="s">
        <v>9435</v>
      </c>
      <c r="C91" s="2947" t="s">
        <v>196</v>
      </c>
      <c r="D91" s="2614"/>
      <c r="E91" s="2614"/>
      <c r="F91" s="2488"/>
      <c r="G91" s="2488"/>
      <c r="H91" s="2752">
        <v>0</v>
      </c>
      <c r="I91" s="2488"/>
      <c r="J91" s="2488"/>
      <c r="K91" s="2488"/>
      <c r="L91" s="2530">
        <v>0</v>
      </c>
      <c r="M91" s="2530">
        <v>0</v>
      </c>
      <c r="N91" s="2531">
        <v>200213</v>
      </c>
      <c r="O91" s="2527">
        <f t="shared" si="3"/>
        <v>200213</v>
      </c>
      <c r="P91" s="2479" t="str">
        <f t="shared" si="4"/>
        <v>1.84, Enterprise Solar, LLC, AD</v>
      </c>
    </row>
    <row r="92" spans="1:16" ht="14.1" customHeight="1" x14ac:dyDescent="0.2">
      <c r="A92" s="2769">
        <f t="shared" si="5"/>
        <v>1.85</v>
      </c>
      <c r="B92" s="2512" t="s">
        <v>9435</v>
      </c>
      <c r="C92" s="2489" t="s">
        <v>191</v>
      </c>
      <c r="D92" s="2614"/>
      <c r="E92" s="2614"/>
      <c r="F92" s="2488"/>
      <c r="G92" s="2488"/>
      <c r="H92" s="2752">
        <v>227719</v>
      </c>
      <c r="I92" s="2488"/>
      <c r="J92" s="2488"/>
      <c r="K92" s="2488"/>
      <c r="L92" s="2530">
        <v>0</v>
      </c>
      <c r="M92" s="2530">
        <v>12341019</v>
      </c>
      <c r="N92" s="2531">
        <v>235562</v>
      </c>
      <c r="O92" s="2527">
        <f t="shared" si="3"/>
        <v>12576581</v>
      </c>
      <c r="P92" s="2479" t="str">
        <f t="shared" si="4"/>
        <v>1.85, Enterprise Solar, LLC, LU</v>
      </c>
    </row>
    <row r="93" spans="1:16" ht="14.1" customHeight="1" x14ac:dyDescent="0.2">
      <c r="A93" s="2769">
        <f t="shared" si="5"/>
        <v>1.86</v>
      </c>
      <c r="B93" s="2512" t="s">
        <v>9436</v>
      </c>
      <c r="C93" s="2489" t="s">
        <v>191</v>
      </c>
      <c r="D93" s="2614"/>
      <c r="E93" s="2614"/>
      <c r="F93" s="2488"/>
      <c r="G93" s="2488"/>
      <c r="H93" s="2752">
        <v>209449</v>
      </c>
      <c r="I93" s="2488"/>
      <c r="J93" s="2488"/>
      <c r="K93" s="2488"/>
      <c r="L93" s="2530">
        <v>0</v>
      </c>
      <c r="M93" s="2530">
        <v>11158731</v>
      </c>
      <c r="N93" s="2530">
        <v>0</v>
      </c>
      <c r="O93" s="2527">
        <f t="shared" si="3"/>
        <v>11158731</v>
      </c>
      <c r="P93" s="2479" t="str">
        <f t="shared" si="4"/>
        <v>1.86, Escalante Solar I, LLC, LU</v>
      </c>
    </row>
    <row r="94" spans="1:16" ht="14.1" customHeight="1" x14ac:dyDescent="0.2">
      <c r="A94" s="2769">
        <f t="shared" si="5"/>
        <v>1.87</v>
      </c>
      <c r="B94" s="2512" t="s">
        <v>9437</v>
      </c>
      <c r="C94" s="2489" t="s">
        <v>191</v>
      </c>
      <c r="D94" s="2614"/>
      <c r="E94" s="2614"/>
      <c r="F94" s="2488"/>
      <c r="G94" s="2488"/>
      <c r="H94" s="2752">
        <v>208205</v>
      </c>
      <c r="I94" s="2488"/>
      <c r="J94" s="2488"/>
      <c r="K94" s="2488"/>
      <c r="L94" s="2530">
        <v>0</v>
      </c>
      <c r="M94" s="2530">
        <v>10550951</v>
      </c>
      <c r="N94" s="2530">
        <v>0</v>
      </c>
      <c r="O94" s="2527">
        <f t="shared" si="3"/>
        <v>10550951</v>
      </c>
      <c r="P94" s="2479" t="str">
        <f t="shared" si="4"/>
        <v>1.87, Escalante Solar II, LLC, LU</v>
      </c>
    </row>
    <row r="95" spans="1:16" ht="14.1" customHeight="1" x14ac:dyDescent="0.2">
      <c r="A95" s="2769">
        <f t="shared" si="5"/>
        <v>1.88</v>
      </c>
      <c r="B95" s="2512" t="s">
        <v>9438</v>
      </c>
      <c r="C95" s="2489" t="s">
        <v>191</v>
      </c>
      <c r="D95" s="2614"/>
      <c r="E95" s="2614"/>
      <c r="F95" s="2488"/>
      <c r="G95" s="2488"/>
      <c r="H95" s="2752">
        <v>209076</v>
      </c>
      <c r="I95" s="2488"/>
      <c r="J95" s="2488"/>
      <c r="K95" s="2488"/>
      <c r="L95" s="2530">
        <v>0</v>
      </c>
      <c r="M95" s="2530">
        <v>10241715</v>
      </c>
      <c r="N95" s="2530">
        <v>0</v>
      </c>
      <c r="O95" s="2527">
        <f t="shared" si="3"/>
        <v>10241715</v>
      </c>
      <c r="P95" s="2479" t="str">
        <f t="shared" si="4"/>
        <v>1.88, Escalante Solar III, LLC, LU</v>
      </c>
    </row>
    <row r="96" spans="1:16" ht="14.1" customHeight="1" x14ac:dyDescent="0.2">
      <c r="A96" s="2769">
        <f t="shared" si="5"/>
        <v>1.89</v>
      </c>
      <c r="B96" s="2502" t="s">
        <v>9110</v>
      </c>
      <c r="C96" s="2489" t="s">
        <v>190</v>
      </c>
      <c r="D96" s="2614"/>
      <c r="E96" s="2614"/>
      <c r="F96" s="2488"/>
      <c r="G96" s="2488"/>
      <c r="H96" s="2752">
        <v>14203</v>
      </c>
      <c r="I96" s="2488"/>
      <c r="J96" s="2488"/>
      <c r="K96" s="2488"/>
      <c r="L96" s="2530">
        <v>0</v>
      </c>
      <c r="M96" s="2530">
        <v>564120</v>
      </c>
      <c r="N96" s="2531">
        <v>40000</v>
      </c>
      <c r="O96" s="2527">
        <f t="shared" si="3"/>
        <v>604120</v>
      </c>
      <c r="P96" s="2479" t="str">
        <f t="shared" si="4"/>
        <v>1.89, Eugene Water &amp; Electric Board, SF</v>
      </c>
    </row>
    <row r="97" spans="1:16" ht="14.1" customHeight="1" x14ac:dyDescent="0.2">
      <c r="A97" s="2769">
        <f t="shared" si="5"/>
        <v>1.9</v>
      </c>
      <c r="B97" s="2502" t="s">
        <v>9439</v>
      </c>
      <c r="C97" s="2489" t="s">
        <v>191</v>
      </c>
      <c r="D97" s="2614"/>
      <c r="E97" s="2614"/>
      <c r="F97" s="2488"/>
      <c r="G97" s="2488"/>
      <c r="H97" s="2752">
        <v>79086</v>
      </c>
      <c r="I97" s="2488"/>
      <c r="J97" s="2488"/>
      <c r="K97" s="2488"/>
      <c r="L97" s="2530">
        <v>0</v>
      </c>
      <c r="M97" s="2530">
        <v>4053171</v>
      </c>
      <c r="N97" s="2530">
        <v>0</v>
      </c>
      <c r="O97" s="2527">
        <f t="shared" si="3"/>
        <v>4053171</v>
      </c>
      <c r="P97" s="2479" t="str">
        <f t="shared" si="4"/>
        <v>1.9, Eurus Combine Hills I, LLC, LU</v>
      </c>
    </row>
    <row r="98" spans="1:16" ht="14.1" customHeight="1" x14ac:dyDescent="0.2">
      <c r="A98" s="2769">
        <f t="shared" si="5"/>
        <v>1.91</v>
      </c>
      <c r="B98" s="2502" t="s">
        <v>9440</v>
      </c>
      <c r="C98" s="2489" t="s">
        <v>191</v>
      </c>
      <c r="D98" s="2614"/>
      <c r="E98" s="2614"/>
      <c r="F98" s="2488"/>
      <c r="G98" s="2488"/>
      <c r="H98" s="2752">
        <v>947</v>
      </c>
      <c r="I98" s="2488"/>
      <c r="J98" s="2488"/>
      <c r="K98" s="2488"/>
      <c r="L98" s="2530">
        <v>0</v>
      </c>
      <c r="M98" s="2530">
        <v>28027</v>
      </c>
      <c r="N98" s="2530">
        <v>0</v>
      </c>
      <c r="O98" s="2527">
        <f t="shared" si="3"/>
        <v>28027</v>
      </c>
      <c r="P98" s="2479" t="str">
        <f t="shared" si="4"/>
        <v>1.91, ExxonMobil Production Company, LU</v>
      </c>
    </row>
    <row r="99" spans="1:16" ht="14.1" customHeight="1" x14ac:dyDescent="0.2">
      <c r="A99" s="2769">
        <f t="shared" si="5"/>
        <v>1.92</v>
      </c>
      <c r="B99" s="2502" t="s">
        <v>9441</v>
      </c>
      <c r="C99" s="2489" t="s">
        <v>191</v>
      </c>
      <c r="D99" s="2614"/>
      <c r="E99" s="2614"/>
      <c r="F99" s="2488"/>
      <c r="G99" s="2488"/>
      <c r="H99" s="2752">
        <v>21861</v>
      </c>
      <c r="I99" s="2488"/>
      <c r="J99" s="2488"/>
      <c r="K99" s="2488"/>
      <c r="L99" s="2530">
        <v>0</v>
      </c>
      <c r="M99" s="2530">
        <v>1238934</v>
      </c>
      <c r="N99" s="2530">
        <v>0</v>
      </c>
      <c r="O99" s="2527">
        <f t="shared" si="3"/>
        <v>1238934</v>
      </c>
      <c r="P99" s="2479" t="str">
        <f t="shared" si="4"/>
        <v>1.92, Fall River Rural Electric Cooperative, Inc., LU</v>
      </c>
    </row>
    <row r="100" spans="1:16" ht="15" customHeight="1" x14ac:dyDescent="0.2">
      <c r="A100" s="2769">
        <f t="shared" si="5"/>
        <v>1.93</v>
      </c>
      <c r="B100" s="2512" t="s">
        <v>9442</v>
      </c>
      <c r="C100" s="2489" t="s">
        <v>191</v>
      </c>
      <c r="D100" s="2614"/>
      <c r="E100" s="2614"/>
      <c r="F100" s="2488"/>
      <c r="G100" s="2488"/>
      <c r="H100" s="2750">
        <v>2542</v>
      </c>
      <c r="I100" s="2488"/>
      <c r="J100" s="2488"/>
      <c r="K100" s="2488"/>
      <c r="L100" s="2530">
        <v>0</v>
      </c>
      <c r="M100" s="2530">
        <v>226979</v>
      </c>
      <c r="N100" s="2530">
        <v>0</v>
      </c>
      <c r="O100" s="2527">
        <f t="shared" si="3"/>
        <v>226979</v>
      </c>
      <c r="P100" s="2479" t="str">
        <f t="shared" si="4"/>
        <v>1.93, Farm Power Misty Meadow, LLC, LU</v>
      </c>
    </row>
    <row r="101" spans="1:16" ht="15" customHeight="1" x14ac:dyDescent="0.2">
      <c r="A101" s="2769">
        <f t="shared" si="5"/>
        <v>1.94</v>
      </c>
      <c r="B101" s="2512" t="s">
        <v>9443</v>
      </c>
      <c r="C101" s="2489" t="s">
        <v>191</v>
      </c>
      <c r="D101" s="2614"/>
      <c r="E101" s="2614"/>
      <c r="F101" s="2488"/>
      <c r="G101" s="2488"/>
      <c r="H101" s="2752">
        <v>24235</v>
      </c>
      <c r="I101" s="2488"/>
      <c r="J101" s="2488"/>
      <c r="K101" s="2488"/>
      <c r="L101" s="2530">
        <v>0</v>
      </c>
      <c r="M101" s="2530">
        <v>2026956</v>
      </c>
      <c r="N101" s="2530">
        <v>0</v>
      </c>
      <c r="O101" s="2527">
        <f t="shared" si="3"/>
        <v>2026956</v>
      </c>
      <c r="P101" s="2479" t="str">
        <f t="shared" si="4"/>
        <v>1.94, Farmers Irrigation District, LU</v>
      </c>
    </row>
    <row r="102" spans="1:16" ht="15" customHeight="1" x14ac:dyDescent="0.2">
      <c r="A102" s="2769">
        <f t="shared" si="5"/>
        <v>1.95</v>
      </c>
      <c r="B102" s="2512" t="s">
        <v>9444</v>
      </c>
      <c r="C102" s="2947" t="s">
        <v>188</v>
      </c>
      <c r="D102" s="2614"/>
      <c r="E102" s="2614"/>
      <c r="F102" s="2488"/>
      <c r="G102" s="2488"/>
      <c r="H102" s="2752">
        <v>30</v>
      </c>
      <c r="I102" s="2488"/>
      <c r="J102" s="2488"/>
      <c r="K102" s="2488"/>
      <c r="L102" s="2530">
        <v>0</v>
      </c>
      <c r="M102" s="2530">
        <v>2140</v>
      </c>
      <c r="N102" s="2530">
        <v>0</v>
      </c>
      <c r="O102" s="2527">
        <f t="shared" si="3"/>
        <v>2140</v>
      </c>
      <c r="P102" s="2479" t="str">
        <f t="shared" si="4"/>
        <v>1.95, Fillmore City Corporation, LF</v>
      </c>
    </row>
    <row r="103" spans="1:16" ht="15" customHeight="1" x14ac:dyDescent="0.2">
      <c r="A103" s="2769">
        <f t="shared" si="5"/>
        <v>1.96</v>
      </c>
      <c r="B103" s="2512" t="s">
        <v>12082</v>
      </c>
      <c r="C103" s="2489" t="s">
        <v>191</v>
      </c>
      <c r="D103" s="2614"/>
      <c r="E103" s="2614"/>
      <c r="F103" s="2488"/>
      <c r="G103" s="2488"/>
      <c r="H103" s="2752">
        <v>31851</v>
      </c>
      <c r="I103" s="2488"/>
      <c r="J103" s="2488"/>
      <c r="K103" s="2488"/>
      <c r="L103" s="2530">
        <v>0</v>
      </c>
      <c r="M103" s="2530">
        <v>2565439</v>
      </c>
      <c r="N103" s="2530">
        <v>0</v>
      </c>
      <c r="O103" s="2527">
        <f t="shared" si="3"/>
        <v>2565439</v>
      </c>
      <c r="P103" s="2479" t="str">
        <f t="shared" si="4"/>
        <v>1.96, Finley BioEnergy, LLC, LU</v>
      </c>
    </row>
    <row r="104" spans="1:16" ht="15" customHeight="1" x14ac:dyDescent="0.2">
      <c r="A104" s="2769">
        <f t="shared" si="5"/>
        <v>1.97</v>
      </c>
      <c r="B104" s="2512" t="s">
        <v>9445</v>
      </c>
      <c r="C104" s="2947" t="s">
        <v>188</v>
      </c>
      <c r="D104" s="2614"/>
      <c r="E104" s="2614"/>
      <c r="F104" s="2614"/>
      <c r="G104" s="2614"/>
      <c r="H104" s="2752">
        <v>370</v>
      </c>
      <c r="I104" s="2488"/>
      <c r="J104" s="2488"/>
      <c r="K104" s="2488"/>
      <c r="L104" s="2530">
        <v>0</v>
      </c>
      <c r="M104" s="2530">
        <v>28460</v>
      </c>
      <c r="N104" s="2530">
        <v>0</v>
      </c>
      <c r="O104" s="2527">
        <f t="shared" si="3"/>
        <v>28460</v>
      </c>
      <c r="P104" s="2479" t="str">
        <f t="shared" si="4"/>
        <v>1.97, Flathead Electric Cooperative, Inc., LF</v>
      </c>
    </row>
    <row r="105" spans="1:16" ht="15" customHeight="1" x14ac:dyDescent="0.2">
      <c r="A105" s="2769">
        <f t="shared" si="5"/>
        <v>1.98</v>
      </c>
      <c r="B105" s="2512" t="s">
        <v>9445</v>
      </c>
      <c r="C105" s="2947" t="s">
        <v>196</v>
      </c>
      <c r="D105" s="2614"/>
      <c r="E105" s="2614"/>
      <c r="F105" s="2488"/>
      <c r="G105" s="2488"/>
      <c r="H105" s="2752">
        <v>39</v>
      </c>
      <c r="I105" s="2488"/>
      <c r="J105" s="2488"/>
      <c r="K105" s="2488"/>
      <c r="L105" s="2530">
        <v>0</v>
      </c>
      <c r="M105" s="2530">
        <v>0</v>
      </c>
      <c r="N105" s="2531">
        <v>1728</v>
      </c>
      <c r="O105" s="2527">
        <f t="shared" si="3"/>
        <v>1728</v>
      </c>
      <c r="P105" s="2479" t="str">
        <f t="shared" si="4"/>
        <v>1.98, Flathead Electric Cooperative, Inc., AD</v>
      </c>
    </row>
    <row r="106" spans="1:16" ht="15" customHeight="1" x14ac:dyDescent="0.2">
      <c r="A106" s="2769">
        <f t="shared" si="5"/>
        <v>1.99</v>
      </c>
      <c r="B106" s="2512" t="s">
        <v>9446</v>
      </c>
      <c r="C106" s="2489" t="s">
        <v>191</v>
      </c>
      <c r="D106" s="2614"/>
      <c r="E106" s="2614"/>
      <c r="F106" s="2488"/>
      <c r="G106" s="2488"/>
      <c r="H106" s="2752">
        <v>18053</v>
      </c>
      <c r="I106" s="2488"/>
      <c r="J106" s="2488"/>
      <c r="K106" s="2488"/>
      <c r="L106" s="2530">
        <v>0</v>
      </c>
      <c r="M106" s="2530">
        <v>1428378</v>
      </c>
      <c r="N106" s="2530">
        <v>0</v>
      </c>
      <c r="O106" s="2527">
        <f t="shared" si="3"/>
        <v>1428378</v>
      </c>
      <c r="P106" s="2479" t="str">
        <f t="shared" si="4"/>
        <v>1.99, Four Corners Windfarm, LLC, LU</v>
      </c>
    </row>
    <row r="107" spans="1:16" ht="15" customHeight="1" x14ac:dyDescent="0.2">
      <c r="A107" s="2769">
        <f t="shared" si="5"/>
        <v>2</v>
      </c>
      <c r="B107" s="2512" t="s">
        <v>9447</v>
      </c>
      <c r="C107" s="2489" t="s">
        <v>191</v>
      </c>
      <c r="D107" s="2614"/>
      <c r="E107" s="2614"/>
      <c r="F107" s="2488"/>
      <c r="G107" s="2488"/>
      <c r="H107" s="2752">
        <v>19193</v>
      </c>
      <c r="I107" s="2488"/>
      <c r="J107" s="2488"/>
      <c r="K107" s="2488"/>
      <c r="L107" s="2530">
        <v>0</v>
      </c>
      <c r="M107" s="2530">
        <v>1525886</v>
      </c>
      <c r="N107" s="2530">
        <v>0</v>
      </c>
      <c r="O107" s="2527">
        <f t="shared" si="3"/>
        <v>1525886</v>
      </c>
      <c r="P107" s="2479" t="str">
        <f t="shared" si="4"/>
        <v>2, Four Mile Canyon Windfarm, LLC, LU</v>
      </c>
    </row>
    <row r="108" spans="1:16" ht="15" customHeight="1" x14ac:dyDescent="0.2">
      <c r="A108" s="2769">
        <f t="shared" si="5"/>
        <v>2.0099999999999998</v>
      </c>
      <c r="B108" s="2512" t="s">
        <v>9448</v>
      </c>
      <c r="C108" s="2489" t="s">
        <v>191</v>
      </c>
      <c r="D108" s="2614"/>
      <c r="E108" s="2614"/>
      <c r="F108" s="2488"/>
      <c r="G108" s="2488"/>
      <c r="H108" s="2752">
        <v>1342</v>
      </c>
      <c r="I108" s="2488"/>
      <c r="J108" s="2488"/>
      <c r="K108" s="2488"/>
      <c r="L108" s="2530">
        <v>0</v>
      </c>
      <c r="M108" s="2530">
        <v>78825</v>
      </c>
      <c r="N108" s="2530">
        <v>0</v>
      </c>
      <c r="O108" s="2527">
        <f t="shared" si="3"/>
        <v>78825</v>
      </c>
      <c r="P108" s="2479" t="str">
        <f t="shared" si="4"/>
        <v>2.01, Georgetown Irrigation Company, LU</v>
      </c>
    </row>
    <row r="109" spans="1:16" ht="15" customHeight="1" x14ac:dyDescent="0.2">
      <c r="A109" s="2769">
        <f t="shared" si="5"/>
        <v>2.02</v>
      </c>
      <c r="B109" s="2502" t="s">
        <v>9449</v>
      </c>
      <c r="C109" s="2947" t="s">
        <v>188</v>
      </c>
      <c r="D109" s="2614"/>
      <c r="E109" s="2614"/>
      <c r="F109" s="2488"/>
      <c r="G109" s="2488"/>
      <c r="H109" s="2752">
        <v>57</v>
      </c>
      <c r="I109" s="2488"/>
      <c r="J109" s="2488"/>
      <c r="K109" s="2488"/>
      <c r="L109" s="2530">
        <v>0</v>
      </c>
      <c r="M109" s="2530">
        <v>11829</v>
      </c>
      <c r="N109" s="2530">
        <v>0</v>
      </c>
      <c r="O109" s="2527">
        <f t="shared" si="3"/>
        <v>11829</v>
      </c>
      <c r="P109" s="2479" t="str">
        <f t="shared" si="4"/>
        <v>2.02, Grand Valley Power, LF</v>
      </c>
    </row>
    <row r="110" spans="1:16" ht="15" customHeight="1" x14ac:dyDescent="0.2">
      <c r="A110" s="2769">
        <f t="shared" si="5"/>
        <v>2.0299999999999998</v>
      </c>
      <c r="B110" s="2502" t="s">
        <v>9450</v>
      </c>
      <c r="C110" s="2489" t="s">
        <v>191</v>
      </c>
      <c r="D110" s="2614"/>
      <c r="E110" s="2614"/>
      <c r="F110" s="2488"/>
      <c r="G110" s="2488"/>
      <c r="H110" s="2752">
        <v>205575</v>
      </c>
      <c r="I110" s="2488"/>
      <c r="J110" s="2488"/>
      <c r="K110" s="2488"/>
      <c r="L110" s="2530">
        <v>0</v>
      </c>
      <c r="M110" s="2530">
        <v>10599452</v>
      </c>
      <c r="N110" s="2530">
        <v>0</v>
      </c>
      <c r="O110" s="2527">
        <f t="shared" si="3"/>
        <v>10599452</v>
      </c>
      <c r="P110" s="2479" t="str">
        <f t="shared" si="4"/>
        <v>2.03, Granite Mountain Solar East, LLC, LU</v>
      </c>
    </row>
    <row r="111" spans="1:16" ht="15" customHeight="1" x14ac:dyDescent="0.2">
      <c r="A111" s="2769">
        <f t="shared" si="5"/>
        <v>2.04</v>
      </c>
      <c r="B111" s="2502" t="s">
        <v>9451</v>
      </c>
      <c r="C111" s="2489" t="s">
        <v>191</v>
      </c>
      <c r="D111" s="2614"/>
      <c r="E111" s="2614"/>
      <c r="F111" s="2488"/>
      <c r="G111" s="2488"/>
      <c r="H111" s="2752">
        <v>116268</v>
      </c>
      <c r="I111" s="2488"/>
      <c r="J111" s="2488"/>
      <c r="K111" s="2488"/>
      <c r="L111" s="2530">
        <v>0</v>
      </c>
      <c r="M111" s="2530">
        <v>6333247</v>
      </c>
      <c r="N111" s="2530">
        <v>0</v>
      </c>
      <c r="O111" s="2527">
        <f t="shared" si="3"/>
        <v>6333247</v>
      </c>
      <c r="P111" s="2479" t="str">
        <f t="shared" si="4"/>
        <v>2.04, Granite Mountain Solar West, LLC, LU</v>
      </c>
    </row>
    <row r="112" spans="1:16" ht="15" customHeight="1" x14ac:dyDescent="0.2">
      <c r="A112" s="2769">
        <f t="shared" si="5"/>
        <v>2.0499999999999998</v>
      </c>
      <c r="B112" s="2502" t="s">
        <v>9452</v>
      </c>
      <c r="C112" s="2489" t="s">
        <v>191</v>
      </c>
      <c r="D112" s="2614"/>
      <c r="E112" s="2771">
        <v>3</v>
      </c>
      <c r="F112" s="2530">
        <v>3</v>
      </c>
      <c r="G112" s="2530">
        <v>1</v>
      </c>
      <c r="H112" s="2752">
        <v>6365</v>
      </c>
      <c r="I112" s="2488"/>
      <c r="J112" s="2488"/>
      <c r="K112" s="2488"/>
      <c r="L112" s="2530">
        <v>322927</v>
      </c>
      <c r="M112" s="2530">
        <v>339850</v>
      </c>
      <c r="N112" s="2530">
        <v>0</v>
      </c>
      <c r="O112" s="2527">
        <f t="shared" si="3"/>
        <v>662777</v>
      </c>
      <c r="P112" s="2479" t="str">
        <f t="shared" si="4"/>
        <v>2.05, Granite Peak Solar, LLC, LU</v>
      </c>
    </row>
    <row r="113" spans="1:16" ht="15" customHeight="1" x14ac:dyDescent="0.2">
      <c r="A113" s="2769">
        <f t="shared" si="5"/>
        <v>2.06</v>
      </c>
      <c r="B113" s="2512" t="s">
        <v>9453</v>
      </c>
      <c r="C113" s="2489" t="s">
        <v>191</v>
      </c>
      <c r="D113" s="2614"/>
      <c r="E113" s="2614"/>
      <c r="F113" s="2488"/>
      <c r="G113" s="2488"/>
      <c r="H113" s="2750">
        <v>108618</v>
      </c>
      <c r="I113" s="2488"/>
      <c r="J113" s="2488"/>
      <c r="K113" s="2488"/>
      <c r="L113" s="2530">
        <v>0</v>
      </c>
      <c r="M113" s="2530">
        <v>2825788</v>
      </c>
      <c r="N113" s="2530">
        <v>0</v>
      </c>
      <c r="O113" s="2527">
        <f t="shared" si="3"/>
        <v>2825788</v>
      </c>
      <c r="P113" s="2479" t="str">
        <f t="shared" si="4"/>
        <v>2.06, Graphite Solar I, LLC, LU</v>
      </c>
    </row>
    <row r="114" spans="1:16" ht="15" customHeight="1" x14ac:dyDescent="0.2">
      <c r="A114" s="2769">
        <f t="shared" si="5"/>
        <v>2.0699999999999998</v>
      </c>
      <c r="B114" s="2512" t="s">
        <v>9454</v>
      </c>
      <c r="C114" s="2489" t="s">
        <v>191</v>
      </c>
      <c r="D114" s="2614"/>
      <c r="E114" s="2771">
        <v>2</v>
      </c>
      <c r="F114" s="2530">
        <v>2</v>
      </c>
      <c r="G114" s="2530">
        <v>1</v>
      </c>
      <c r="H114" s="2752">
        <v>4676</v>
      </c>
      <c r="I114" s="2488"/>
      <c r="J114" s="2488"/>
      <c r="K114" s="2488"/>
      <c r="L114" s="2530">
        <v>353644</v>
      </c>
      <c r="M114" s="2530">
        <v>262811</v>
      </c>
      <c r="N114" s="2488"/>
      <c r="O114" s="2527">
        <f t="shared" si="3"/>
        <v>616455</v>
      </c>
      <c r="P114" s="2479" t="str">
        <f t="shared" si="4"/>
        <v>2.07, Greenville Solar, LLC, LU</v>
      </c>
    </row>
    <row r="115" spans="1:16" ht="15" customHeight="1" x14ac:dyDescent="0.2">
      <c r="A115" s="2769">
        <f t="shared" si="5"/>
        <v>2.08</v>
      </c>
      <c r="B115" s="2512" t="s">
        <v>9111</v>
      </c>
      <c r="C115" s="2489" t="s">
        <v>190</v>
      </c>
      <c r="D115" s="2614"/>
      <c r="E115" s="2614"/>
      <c r="F115" s="2488"/>
      <c r="G115" s="2488"/>
      <c r="H115" s="2752">
        <v>7</v>
      </c>
      <c r="I115" s="2488"/>
      <c r="J115" s="2488"/>
      <c r="K115" s="2488"/>
      <c r="L115" s="2488"/>
      <c r="M115" s="2488"/>
      <c r="N115" s="2531">
        <v>733</v>
      </c>
      <c r="O115" s="2527">
        <f t="shared" si="3"/>
        <v>733</v>
      </c>
      <c r="P115" s="2479" t="str">
        <f t="shared" si="4"/>
        <v>2.08, Gridforce Energy Management, LLC, SF</v>
      </c>
    </row>
    <row r="116" spans="1:16" ht="15" customHeight="1" x14ac:dyDescent="0.2">
      <c r="A116" s="2769">
        <f t="shared" si="5"/>
        <v>2.09</v>
      </c>
      <c r="B116" s="2512" t="s">
        <v>9112</v>
      </c>
      <c r="C116" s="2489" t="s">
        <v>190</v>
      </c>
      <c r="D116" s="2614"/>
      <c r="E116" s="2614"/>
      <c r="F116" s="2488"/>
      <c r="G116" s="2488"/>
      <c r="H116" s="2752">
        <v>27995</v>
      </c>
      <c r="I116" s="2488"/>
      <c r="J116" s="2488"/>
      <c r="K116" s="2488"/>
      <c r="L116" s="2530">
        <v>0</v>
      </c>
      <c r="M116" s="2530">
        <v>3958690</v>
      </c>
      <c r="N116" s="2530">
        <v>0</v>
      </c>
      <c r="O116" s="2527">
        <f t="shared" si="3"/>
        <v>3958690</v>
      </c>
      <c r="P116" s="2479" t="str">
        <f t="shared" si="4"/>
        <v>2.09, Guzman Energy, LLC, SF</v>
      </c>
    </row>
    <row r="117" spans="1:16" ht="15" customHeight="1" x14ac:dyDescent="0.2">
      <c r="A117" s="2769">
        <f t="shared" si="5"/>
        <v>2.1</v>
      </c>
      <c r="B117" s="2512" t="s">
        <v>9455</v>
      </c>
      <c r="C117" s="2489" t="s">
        <v>191</v>
      </c>
      <c r="D117" s="2614"/>
      <c r="E117" s="2614"/>
      <c r="F117" s="2488"/>
      <c r="G117" s="2488"/>
      <c r="H117" s="2752">
        <v>1000</v>
      </c>
      <c r="I117" s="2488"/>
      <c r="J117" s="2488"/>
      <c r="K117" s="2488"/>
      <c r="L117" s="2530">
        <v>0</v>
      </c>
      <c r="M117" s="2530">
        <v>81674</v>
      </c>
      <c r="N117" s="2530">
        <v>0</v>
      </c>
      <c r="O117" s="2527">
        <f t="shared" si="3"/>
        <v>81674</v>
      </c>
      <c r="P117" s="2479" t="str">
        <f t="shared" si="4"/>
        <v>2.1, Hammerich 1&amp;2, LU</v>
      </c>
    </row>
    <row r="118" spans="1:16" ht="15" customHeight="1" x14ac:dyDescent="0.2">
      <c r="A118" s="2769">
        <f t="shared" si="5"/>
        <v>2.11</v>
      </c>
      <c r="B118" s="2512" t="s">
        <v>9457</v>
      </c>
      <c r="C118" s="2489" t="s">
        <v>191</v>
      </c>
      <c r="D118" s="2614"/>
      <c r="E118" s="2614"/>
      <c r="F118" s="2614"/>
      <c r="G118" s="2614"/>
      <c r="H118" s="2752">
        <v>218</v>
      </c>
      <c r="I118" s="2488"/>
      <c r="J118" s="2488"/>
      <c r="K118" s="2488"/>
      <c r="L118" s="2530">
        <v>0</v>
      </c>
      <c r="M118" s="2530">
        <v>9476</v>
      </c>
      <c r="N118" s="2530">
        <v>0</v>
      </c>
      <c r="O118" s="2527">
        <f t="shared" si="3"/>
        <v>9476</v>
      </c>
      <c r="P118" s="2479" t="str">
        <f t="shared" si="4"/>
        <v>2.11, Hayward Paul Luckey and Joanne Luckey Revocable Trust of 2005, LU</v>
      </c>
    </row>
    <row r="119" spans="1:16" ht="15" customHeight="1" x14ac:dyDescent="0.2">
      <c r="A119" s="2769">
        <f t="shared" si="5"/>
        <v>2.12</v>
      </c>
      <c r="B119" s="2512" t="s">
        <v>9458</v>
      </c>
      <c r="C119" s="2489" t="s">
        <v>191</v>
      </c>
      <c r="D119" s="2614"/>
      <c r="E119" s="2614"/>
      <c r="F119" s="2488"/>
      <c r="G119" s="2488"/>
      <c r="H119" s="2752">
        <v>272814</v>
      </c>
      <c r="I119" s="2488"/>
      <c r="J119" s="2488"/>
      <c r="K119" s="2488"/>
      <c r="L119" s="2530">
        <v>0</v>
      </c>
      <c r="M119" s="2530">
        <v>6874903</v>
      </c>
      <c r="N119" s="2531">
        <v>987579</v>
      </c>
      <c r="O119" s="2527">
        <f t="shared" si="3"/>
        <v>7862482</v>
      </c>
      <c r="P119" s="2479" t="str">
        <f t="shared" si="4"/>
        <v>2.12, Hunter Solar LLC, LU</v>
      </c>
    </row>
    <row r="120" spans="1:16" ht="15" customHeight="1" x14ac:dyDescent="0.2">
      <c r="A120" s="2769">
        <f t="shared" si="5"/>
        <v>2.13</v>
      </c>
      <c r="B120" s="2512" t="s">
        <v>9113</v>
      </c>
      <c r="C120" s="2489" t="s">
        <v>190</v>
      </c>
      <c r="D120" s="2614"/>
      <c r="E120" s="2614"/>
      <c r="F120" s="2488"/>
      <c r="G120" s="2488"/>
      <c r="H120" s="2752">
        <v>81088</v>
      </c>
      <c r="I120" s="2488"/>
      <c r="J120" s="2488"/>
      <c r="K120" s="2488"/>
      <c r="L120" s="2530">
        <v>0</v>
      </c>
      <c r="M120" s="2530">
        <v>5594683</v>
      </c>
      <c r="N120" s="2531">
        <v>6715</v>
      </c>
      <c r="O120" s="2527">
        <f t="shared" si="3"/>
        <v>5601398</v>
      </c>
      <c r="P120" s="2479" t="str">
        <f t="shared" si="4"/>
        <v>2.13, Idaho Power Company, SF</v>
      </c>
    </row>
    <row r="121" spans="1:16" ht="15" customHeight="1" x14ac:dyDescent="0.2">
      <c r="A121" s="2769">
        <f t="shared" si="5"/>
        <v>2.14</v>
      </c>
      <c r="B121" s="2512" t="s">
        <v>9113</v>
      </c>
      <c r="C121" s="2947" t="s">
        <v>196</v>
      </c>
      <c r="D121" s="2614"/>
      <c r="E121" s="2614"/>
      <c r="F121" s="2488"/>
      <c r="G121" s="2488"/>
      <c r="H121" s="2752">
        <v>6960</v>
      </c>
      <c r="I121" s="2488"/>
      <c r="J121" s="2488"/>
      <c r="K121" s="2488"/>
      <c r="L121" s="2530">
        <v>0</v>
      </c>
      <c r="M121" s="2530">
        <v>0</v>
      </c>
      <c r="N121" s="2531">
        <v>344368</v>
      </c>
      <c r="O121" s="2527">
        <f t="shared" si="3"/>
        <v>344368</v>
      </c>
      <c r="P121" s="2479" t="str">
        <f t="shared" si="4"/>
        <v>2.14, Idaho Power Company, AD</v>
      </c>
    </row>
    <row r="122" spans="1:16" ht="15" customHeight="1" x14ac:dyDescent="0.2">
      <c r="A122" s="2769">
        <f t="shared" si="5"/>
        <v>2.15</v>
      </c>
      <c r="B122" s="2512" t="s">
        <v>9459</v>
      </c>
      <c r="C122" s="2489" t="s">
        <v>191</v>
      </c>
      <c r="D122" s="2614"/>
      <c r="E122" s="2614"/>
      <c r="F122" s="2488"/>
      <c r="G122" s="2488"/>
      <c r="H122" s="2752">
        <v>204204</v>
      </c>
      <c r="I122" s="2488"/>
      <c r="J122" s="2488"/>
      <c r="K122" s="2488"/>
      <c r="L122" s="2530">
        <v>0</v>
      </c>
      <c r="M122" s="2530">
        <v>10913602</v>
      </c>
      <c r="N122" s="2530">
        <v>0</v>
      </c>
      <c r="O122" s="2527">
        <f t="shared" si="3"/>
        <v>10913602</v>
      </c>
      <c r="P122" s="2479" t="str">
        <f t="shared" si="4"/>
        <v>2.15, Iron Springs Solar, LLC, LU</v>
      </c>
    </row>
    <row r="123" spans="1:16" ht="15" customHeight="1" x14ac:dyDescent="0.2">
      <c r="A123" s="2769">
        <f t="shared" si="5"/>
        <v>2.16</v>
      </c>
      <c r="B123" s="2512" t="s">
        <v>9460</v>
      </c>
      <c r="C123" s="2489" t="s">
        <v>191</v>
      </c>
      <c r="D123" s="2614"/>
      <c r="E123" s="2614"/>
      <c r="F123" s="2488"/>
      <c r="G123" s="2488"/>
      <c r="H123" s="2752">
        <v>59</v>
      </c>
      <c r="I123" s="2488"/>
      <c r="J123" s="2488"/>
      <c r="K123" s="2488"/>
      <c r="L123" s="2530">
        <v>0</v>
      </c>
      <c r="M123" s="2530">
        <v>371</v>
      </c>
      <c r="N123" s="2530">
        <v>0</v>
      </c>
      <c r="O123" s="2527">
        <f t="shared" si="3"/>
        <v>371</v>
      </c>
      <c r="P123" s="2479" t="str">
        <f t="shared" si="4"/>
        <v>2.16, J Bar 9 Ranch, Inc., LU</v>
      </c>
    </row>
    <row r="124" spans="1:16" ht="15" customHeight="1" x14ac:dyDescent="0.2">
      <c r="A124" s="2769">
        <f t="shared" si="5"/>
        <v>2.17</v>
      </c>
      <c r="B124" s="2502" t="s">
        <v>9462</v>
      </c>
      <c r="C124" s="2489" t="s">
        <v>191</v>
      </c>
      <c r="D124" s="2614"/>
      <c r="E124" s="2614"/>
      <c r="F124" s="2488"/>
      <c r="G124" s="2488"/>
      <c r="H124" s="2752">
        <v>1154</v>
      </c>
      <c r="I124" s="2488"/>
      <c r="J124" s="2488"/>
      <c r="K124" s="2488"/>
      <c r="L124" s="2530">
        <v>0</v>
      </c>
      <c r="M124" s="2530">
        <v>55095</v>
      </c>
      <c r="N124" s="2530">
        <v>0</v>
      </c>
      <c r="O124" s="2527">
        <f t="shared" si="3"/>
        <v>55095</v>
      </c>
      <c r="P124" s="2479" t="str">
        <f t="shared" si="4"/>
        <v>2.17, Jake Amy, LU</v>
      </c>
    </row>
    <row r="125" spans="1:16" ht="15" customHeight="1" x14ac:dyDescent="0.2">
      <c r="A125" s="2769">
        <f t="shared" si="5"/>
        <v>2.1800000000000002</v>
      </c>
      <c r="B125" s="2502" t="s">
        <v>9462</v>
      </c>
      <c r="C125" s="2947" t="s">
        <v>196</v>
      </c>
      <c r="D125" s="2614"/>
      <c r="E125" s="2614"/>
      <c r="F125" s="2488"/>
      <c r="G125" s="2488"/>
      <c r="H125" s="2530">
        <v>-13</v>
      </c>
      <c r="I125" s="2488"/>
      <c r="J125" s="2488"/>
      <c r="K125" s="2488"/>
      <c r="L125" s="2530">
        <v>0</v>
      </c>
      <c r="M125" s="2530">
        <v>0</v>
      </c>
      <c r="N125" s="2531">
        <v>-805</v>
      </c>
      <c r="O125" s="2527">
        <f t="shared" si="3"/>
        <v>-805</v>
      </c>
      <c r="P125" s="2479" t="str">
        <f t="shared" si="4"/>
        <v>2.18, Jake Amy, AD</v>
      </c>
    </row>
    <row r="126" spans="1:16" ht="15" customHeight="1" x14ac:dyDescent="0.2">
      <c r="A126" s="2769">
        <f t="shared" si="5"/>
        <v>2.19</v>
      </c>
      <c r="B126" s="2502" t="s">
        <v>9463</v>
      </c>
      <c r="C126" s="2489" t="s">
        <v>191</v>
      </c>
      <c r="D126" s="2614"/>
      <c r="E126" s="2614"/>
      <c r="F126" s="2488"/>
      <c r="G126" s="2488"/>
      <c r="H126" s="2752">
        <v>618</v>
      </c>
      <c r="I126" s="2488"/>
      <c r="J126" s="2488"/>
      <c r="K126" s="2488"/>
      <c r="L126" s="2530">
        <v>0</v>
      </c>
      <c r="M126" s="2530">
        <v>52040</v>
      </c>
      <c r="N126" s="2530">
        <v>0</v>
      </c>
      <c r="O126" s="2527">
        <f t="shared" si="3"/>
        <v>52040</v>
      </c>
      <c r="P126" s="2479" t="str">
        <f t="shared" si="4"/>
        <v>2.19, Joseph Community Solar, LLC, LU</v>
      </c>
    </row>
    <row r="127" spans="1:16" ht="15" customHeight="1" x14ac:dyDescent="0.2">
      <c r="A127" s="2769">
        <f t="shared" si="5"/>
        <v>2.2000000000000002</v>
      </c>
      <c r="B127" s="2502" t="s">
        <v>9464</v>
      </c>
      <c r="C127" s="2489" t="s">
        <v>191</v>
      </c>
      <c r="D127" s="2614"/>
      <c r="E127" s="2614"/>
      <c r="F127" s="2488"/>
      <c r="G127" s="2488"/>
      <c r="H127" s="2752">
        <v>345</v>
      </c>
      <c r="I127" s="2488"/>
      <c r="J127" s="2488"/>
      <c r="K127" s="2488"/>
      <c r="L127" s="2530">
        <v>0</v>
      </c>
      <c r="M127" s="2530">
        <v>28403</v>
      </c>
      <c r="N127" s="2530">
        <v>0</v>
      </c>
      <c r="O127" s="2527">
        <f t="shared" si="3"/>
        <v>28403</v>
      </c>
      <c r="P127" s="2479" t="str">
        <f t="shared" si="4"/>
        <v>2.2, Keeton 1 &amp; 2, LU</v>
      </c>
    </row>
    <row r="128" spans="1:16" ht="15" customHeight="1" x14ac:dyDescent="0.2">
      <c r="A128" s="2769">
        <f t="shared" si="5"/>
        <v>2.21</v>
      </c>
      <c r="B128" s="2512" t="s">
        <v>9465</v>
      </c>
      <c r="C128" s="2489" t="s">
        <v>191</v>
      </c>
      <c r="D128" s="2614"/>
      <c r="E128" s="2614"/>
      <c r="F128" s="2488"/>
      <c r="G128" s="2488"/>
      <c r="H128" s="2750">
        <v>1514</v>
      </c>
      <c r="I128" s="2488"/>
      <c r="J128" s="2488"/>
      <c r="K128" s="2488"/>
      <c r="L128" s="2530">
        <v>0</v>
      </c>
      <c r="M128" s="2530">
        <v>110154</v>
      </c>
      <c r="N128" s="2530">
        <v>0</v>
      </c>
      <c r="O128" s="2527">
        <f t="shared" si="3"/>
        <v>110154</v>
      </c>
      <c r="P128" s="2479" t="str">
        <f t="shared" si="4"/>
        <v>2.21, Klamath Falls Solar 1, LLC, LU</v>
      </c>
    </row>
    <row r="129" spans="1:16" ht="15" customHeight="1" x14ac:dyDescent="0.2">
      <c r="A129" s="2769">
        <f t="shared" si="5"/>
        <v>2.2200000000000002</v>
      </c>
      <c r="B129" s="2512" t="s">
        <v>9466</v>
      </c>
      <c r="C129" s="2489" t="s">
        <v>192</v>
      </c>
      <c r="D129" s="2614"/>
      <c r="E129" s="2614"/>
      <c r="F129" s="2488"/>
      <c r="G129" s="2488"/>
      <c r="H129" s="2752">
        <v>6792</v>
      </c>
      <c r="I129" s="2488"/>
      <c r="J129" s="2488"/>
      <c r="K129" s="2488"/>
      <c r="L129" s="2530">
        <v>0</v>
      </c>
      <c r="M129" s="2530">
        <v>371182</v>
      </c>
      <c r="N129" s="2530">
        <v>0</v>
      </c>
      <c r="O129" s="2527">
        <f t="shared" si="3"/>
        <v>371182</v>
      </c>
      <c r="P129" s="2479" t="str">
        <f t="shared" si="4"/>
        <v>2.22, Klamath Falls Solar 2, LLC, IU</v>
      </c>
    </row>
    <row r="130" spans="1:16" ht="15" customHeight="1" x14ac:dyDescent="0.2">
      <c r="A130" s="2769">
        <f t="shared" si="5"/>
        <v>2.23</v>
      </c>
      <c r="B130" s="2512" t="s">
        <v>9467</v>
      </c>
      <c r="C130" s="2489" t="s">
        <v>191</v>
      </c>
      <c r="D130" s="2614"/>
      <c r="E130" s="2614"/>
      <c r="F130" s="2488"/>
      <c r="G130" s="2488"/>
      <c r="H130" s="2752">
        <v>4761</v>
      </c>
      <c r="I130" s="2488"/>
      <c r="J130" s="2488"/>
      <c r="K130" s="2488"/>
      <c r="L130" s="2530">
        <v>0</v>
      </c>
      <c r="M130" s="2530">
        <v>237656</v>
      </c>
      <c r="N130" s="2531">
        <v>47663</v>
      </c>
      <c r="O130" s="2527">
        <f t="shared" si="3"/>
        <v>285319</v>
      </c>
      <c r="P130" s="2479" t="str">
        <f t="shared" si="4"/>
        <v>2.23, Lacomb Irrigation District, LU</v>
      </c>
    </row>
    <row r="131" spans="1:16" ht="15" customHeight="1" x14ac:dyDescent="0.2">
      <c r="A131" s="2769">
        <f t="shared" si="5"/>
        <v>2.2400000000000002</v>
      </c>
      <c r="B131" s="2512" t="s">
        <v>9468</v>
      </c>
      <c r="C131" s="2489" t="s">
        <v>191</v>
      </c>
      <c r="D131" s="2614"/>
      <c r="E131" s="2771">
        <v>3</v>
      </c>
      <c r="F131" s="2530">
        <v>3</v>
      </c>
      <c r="G131" s="2530">
        <v>1</v>
      </c>
      <c r="H131" s="2752">
        <v>5742</v>
      </c>
      <c r="I131" s="2488"/>
      <c r="J131" s="2488"/>
      <c r="K131" s="2488"/>
      <c r="L131" s="2530">
        <v>311257</v>
      </c>
      <c r="M131" s="2530">
        <v>306548</v>
      </c>
      <c r="N131" s="2530">
        <v>0</v>
      </c>
      <c r="O131" s="2527">
        <f t="shared" si="3"/>
        <v>617805</v>
      </c>
      <c r="P131" s="2479" t="str">
        <f t="shared" si="4"/>
        <v>2.24, Laho Solar, LLC, LU</v>
      </c>
    </row>
    <row r="132" spans="1:16" ht="15" customHeight="1" x14ac:dyDescent="0.2">
      <c r="A132" s="2769">
        <f t="shared" si="5"/>
        <v>2.25</v>
      </c>
      <c r="B132" s="2512" t="s">
        <v>9469</v>
      </c>
      <c r="C132" s="2489" t="s">
        <v>191</v>
      </c>
      <c r="D132" s="2614"/>
      <c r="E132" s="2614"/>
      <c r="F132" s="2614"/>
      <c r="G132" s="2614"/>
      <c r="H132" s="2752">
        <v>156115</v>
      </c>
      <c r="I132" s="2488"/>
      <c r="J132" s="2488"/>
      <c r="K132" s="2488"/>
      <c r="L132" s="2530">
        <v>0</v>
      </c>
      <c r="M132" s="2530">
        <v>9325660</v>
      </c>
      <c r="N132" s="2530">
        <v>0</v>
      </c>
      <c r="O132" s="2527">
        <f t="shared" si="3"/>
        <v>9325660</v>
      </c>
      <c r="P132" s="2479" t="str">
        <f t="shared" si="4"/>
        <v>2.25, Latigo Wind Park, LLC, LU</v>
      </c>
    </row>
    <row r="133" spans="1:16" ht="15" customHeight="1" x14ac:dyDescent="0.2">
      <c r="A133" s="2769">
        <f t="shared" si="5"/>
        <v>2.2599999999999998</v>
      </c>
      <c r="B133" s="2512" t="s">
        <v>9470</v>
      </c>
      <c r="C133" s="2489" t="s">
        <v>190</v>
      </c>
      <c r="D133" s="2614"/>
      <c r="E133" s="2614"/>
      <c r="F133" s="2488"/>
      <c r="G133" s="2488"/>
      <c r="H133" s="2752">
        <v>132104</v>
      </c>
      <c r="I133" s="2488"/>
      <c r="J133" s="2488"/>
      <c r="K133" s="2488"/>
      <c r="L133" s="2530">
        <v>0</v>
      </c>
      <c r="M133" s="2530">
        <v>7579456</v>
      </c>
      <c r="N133" s="2530">
        <v>0</v>
      </c>
      <c r="O133" s="2527">
        <f t="shared" si="3"/>
        <v>7579456</v>
      </c>
      <c r="P133" s="2479" t="str">
        <f t="shared" si="4"/>
        <v>2.26, Los Angeles Department of Water and Power, SF</v>
      </c>
    </row>
    <row r="134" spans="1:16" ht="15" customHeight="1" x14ac:dyDescent="0.2">
      <c r="A134" s="2769">
        <f t="shared" si="5"/>
        <v>2.27</v>
      </c>
      <c r="B134" s="2512" t="s">
        <v>9471</v>
      </c>
      <c r="C134" s="2489" t="s">
        <v>191</v>
      </c>
      <c r="D134" s="2614"/>
      <c r="E134" s="2614"/>
      <c r="F134" s="2488"/>
      <c r="G134" s="2488"/>
      <c r="H134" s="2752">
        <v>250</v>
      </c>
      <c r="I134" s="2488"/>
      <c r="J134" s="2488"/>
      <c r="K134" s="2488"/>
      <c r="L134" s="2530">
        <v>0</v>
      </c>
      <c r="M134" s="2530">
        <v>6888</v>
      </c>
      <c r="N134" s="2530">
        <v>0</v>
      </c>
      <c r="O134" s="2527">
        <f t="shared" si="3"/>
        <v>6888</v>
      </c>
      <c r="P134" s="2479" t="str">
        <f t="shared" si="4"/>
        <v>2.27, Loyd Fery, LU</v>
      </c>
    </row>
    <row r="135" spans="1:16" ht="15" customHeight="1" x14ac:dyDescent="0.2">
      <c r="A135" s="2769">
        <f t="shared" si="5"/>
        <v>2.2799999999999998</v>
      </c>
      <c r="B135" s="2512" t="s">
        <v>9114</v>
      </c>
      <c r="C135" s="2489" t="s">
        <v>190</v>
      </c>
      <c r="D135" s="2614"/>
      <c r="E135" s="2614"/>
      <c r="F135" s="2488"/>
      <c r="G135" s="2488"/>
      <c r="H135" s="2752">
        <v>206678</v>
      </c>
      <c r="I135" s="2488"/>
      <c r="J135" s="2488"/>
      <c r="K135" s="2488"/>
      <c r="L135" s="2530">
        <v>0</v>
      </c>
      <c r="M135" s="2530">
        <v>21934792</v>
      </c>
      <c r="N135" s="2530">
        <v>0</v>
      </c>
      <c r="O135" s="2527">
        <f t="shared" ref="O135:O198" si="6">SUM(L135:N135)</f>
        <v>21934792</v>
      </c>
      <c r="P135" s="2479" t="str">
        <f t="shared" ref="P135:P198" si="7">CONCATENATE(A135,", ",B135,", ",C135)</f>
        <v>2.28, Macquarie Energy LLC, SF</v>
      </c>
    </row>
    <row r="136" spans="1:16" ht="15" customHeight="1" x14ac:dyDescent="0.2">
      <c r="A136" s="2769">
        <f t="shared" ref="A136:A199" si="8">ROUND(A135+0.01,2)</f>
        <v>2.29</v>
      </c>
      <c r="B136" s="2512" t="s">
        <v>9473</v>
      </c>
      <c r="C136" s="2489" t="s">
        <v>191</v>
      </c>
      <c r="D136" s="2614"/>
      <c r="E136" s="2614"/>
      <c r="F136" s="2488"/>
      <c r="G136" s="2488"/>
      <c r="H136" s="2752">
        <v>3726</v>
      </c>
      <c r="I136" s="2488"/>
      <c r="J136" s="2488"/>
      <c r="K136" s="2488"/>
      <c r="L136" s="2530">
        <v>0</v>
      </c>
      <c r="M136" s="2530">
        <v>235957</v>
      </c>
      <c r="N136" s="2530">
        <v>0</v>
      </c>
      <c r="O136" s="2527">
        <f t="shared" si="6"/>
        <v>235957</v>
      </c>
      <c r="P136" s="2479" t="str">
        <f t="shared" si="7"/>
        <v>2.29, Marsh Valley Hydro Electric Company, LU</v>
      </c>
    </row>
    <row r="137" spans="1:16" ht="15" customHeight="1" x14ac:dyDescent="0.2">
      <c r="A137" s="2769">
        <f t="shared" si="8"/>
        <v>2.2999999999999998</v>
      </c>
      <c r="B137" s="2512" t="s">
        <v>9474</v>
      </c>
      <c r="C137" s="2489" t="s">
        <v>191</v>
      </c>
      <c r="D137" s="2614"/>
      <c r="E137" s="2614"/>
      <c r="F137" s="2488"/>
      <c r="G137" s="2488"/>
      <c r="H137" s="2752">
        <v>288298</v>
      </c>
      <c r="I137" s="2488"/>
      <c r="J137" s="2488"/>
      <c r="K137" s="2488"/>
      <c r="L137" s="2530">
        <v>0</v>
      </c>
      <c r="M137" s="2530">
        <v>24658395</v>
      </c>
      <c r="N137" s="2530">
        <v>0</v>
      </c>
      <c r="O137" s="2527">
        <f t="shared" si="6"/>
        <v>24658395</v>
      </c>
      <c r="P137" s="2479" t="str">
        <f t="shared" si="7"/>
        <v>2.3, Meadow Creek Project Company LLC, LU</v>
      </c>
    </row>
    <row r="138" spans="1:16" ht="15" customHeight="1" x14ac:dyDescent="0.2">
      <c r="A138" s="2769">
        <f t="shared" si="8"/>
        <v>2.31</v>
      </c>
      <c r="B138" s="2502" t="s">
        <v>9116</v>
      </c>
      <c r="C138" s="2489" t="s">
        <v>190</v>
      </c>
      <c r="D138" s="2614"/>
      <c r="E138" s="2614"/>
      <c r="F138" s="2488"/>
      <c r="G138" s="2488"/>
      <c r="H138" s="2752">
        <v>150961</v>
      </c>
      <c r="I138" s="2488"/>
      <c r="J138" s="2488"/>
      <c r="K138" s="2488"/>
      <c r="L138" s="2530">
        <v>0</v>
      </c>
      <c r="M138" s="2530">
        <v>32413972</v>
      </c>
      <c r="N138" s="2530">
        <v>0</v>
      </c>
      <c r="O138" s="2527">
        <f t="shared" si="6"/>
        <v>32413972</v>
      </c>
      <c r="P138" s="2479" t="str">
        <f t="shared" si="7"/>
        <v>2.31, Mercuria Energy America, LLC, SF</v>
      </c>
    </row>
    <row r="139" spans="1:16" ht="15" customHeight="1" x14ac:dyDescent="0.2">
      <c r="A139" s="2769">
        <f t="shared" si="8"/>
        <v>2.3199999999999998</v>
      </c>
      <c r="B139" s="2502" t="s">
        <v>9475</v>
      </c>
      <c r="C139" s="2489" t="s">
        <v>191</v>
      </c>
      <c r="D139" s="2614"/>
      <c r="E139" s="2614"/>
      <c r="F139" s="2488"/>
      <c r="G139" s="2488"/>
      <c r="H139" s="2752">
        <v>4857</v>
      </c>
      <c r="I139" s="2488"/>
      <c r="J139" s="2488"/>
      <c r="K139" s="2488"/>
      <c r="L139" s="2530">
        <v>0</v>
      </c>
      <c r="M139" s="2530">
        <v>133075</v>
      </c>
      <c r="N139" s="2530">
        <v>0</v>
      </c>
      <c r="O139" s="2527">
        <f t="shared" si="6"/>
        <v>133075</v>
      </c>
      <c r="P139" s="2479" t="str">
        <f t="shared" si="7"/>
        <v>2.32, Middle Fork Irrigation District, LU</v>
      </c>
    </row>
    <row r="140" spans="1:16" ht="15" customHeight="1" x14ac:dyDescent="0.2">
      <c r="A140" s="2769">
        <f t="shared" si="8"/>
        <v>2.33</v>
      </c>
      <c r="B140" s="2502" t="s">
        <v>9475</v>
      </c>
      <c r="C140" s="2947" t="s">
        <v>196</v>
      </c>
      <c r="D140" s="2614"/>
      <c r="E140" s="2614"/>
      <c r="F140" s="2488"/>
      <c r="G140" s="2488"/>
      <c r="H140" s="2752">
        <v>0</v>
      </c>
      <c r="I140" s="2488"/>
      <c r="J140" s="2488"/>
      <c r="K140" s="2488"/>
      <c r="L140" s="2530">
        <v>0</v>
      </c>
      <c r="M140" s="2530">
        <v>0</v>
      </c>
      <c r="N140" s="2531">
        <v>6056</v>
      </c>
      <c r="O140" s="2527">
        <f t="shared" si="6"/>
        <v>6056</v>
      </c>
      <c r="P140" s="2479" t="str">
        <f t="shared" si="7"/>
        <v>2.33, Middle Fork Irrigation District, AD</v>
      </c>
    </row>
    <row r="141" spans="1:16" ht="15" customHeight="1" x14ac:dyDescent="0.2">
      <c r="A141" s="2769">
        <f t="shared" si="8"/>
        <v>2.34</v>
      </c>
      <c r="B141" s="2502" t="s">
        <v>9476</v>
      </c>
      <c r="C141" s="2489" t="s">
        <v>191</v>
      </c>
      <c r="D141" s="2614"/>
      <c r="E141" s="2771">
        <v>3</v>
      </c>
      <c r="F141" s="2530">
        <v>3</v>
      </c>
      <c r="G141" s="2530">
        <v>1</v>
      </c>
      <c r="H141" s="2752">
        <v>6258</v>
      </c>
      <c r="I141" s="2488"/>
      <c r="J141" s="2488"/>
      <c r="K141" s="2488"/>
      <c r="L141" s="2530">
        <v>323991</v>
      </c>
      <c r="M141" s="2530">
        <v>334140</v>
      </c>
      <c r="N141" s="2530">
        <v>0</v>
      </c>
      <c r="O141" s="2527">
        <f t="shared" si="6"/>
        <v>658131</v>
      </c>
      <c r="P141" s="2479" t="str">
        <f t="shared" si="7"/>
        <v>2.34, Milford Flat Solar, LLC, LU</v>
      </c>
    </row>
    <row r="142" spans="1:16" ht="15" customHeight="1" x14ac:dyDescent="0.2">
      <c r="A142" s="2769">
        <f t="shared" si="8"/>
        <v>2.35</v>
      </c>
      <c r="B142" s="2512" t="s">
        <v>9477</v>
      </c>
      <c r="C142" s="2489" t="s">
        <v>191</v>
      </c>
      <c r="D142" s="2614"/>
      <c r="E142" s="2614"/>
      <c r="F142" s="2488"/>
      <c r="G142" s="2488"/>
      <c r="H142" s="2750">
        <v>259395</v>
      </c>
      <c r="I142" s="2488"/>
      <c r="J142" s="2488"/>
      <c r="K142" s="2488"/>
      <c r="L142" s="2530">
        <v>0</v>
      </c>
      <c r="M142" s="2530">
        <v>6762422</v>
      </c>
      <c r="N142" s="2531">
        <v>1019418</v>
      </c>
      <c r="O142" s="2527">
        <f t="shared" si="6"/>
        <v>7781840</v>
      </c>
      <c r="P142" s="2479" t="str">
        <f t="shared" si="7"/>
        <v>2.35, Milford Solar I, LLC, LU</v>
      </c>
    </row>
    <row r="143" spans="1:16" ht="15" customHeight="1" x14ac:dyDescent="0.2">
      <c r="A143" s="2769">
        <f t="shared" si="8"/>
        <v>2.36</v>
      </c>
      <c r="B143" s="2512" t="s">
        <v>9478</v>
      </c>
      <c r="C143" s="2489" t="s">
        <v>191</v>
      </c>
      <c r="D143" s="2614"/>
      <c r="E143" s="2614"/>
      <c r="F143" s="2488"/>
      <c r="G143" s="2488"/>
      <c r="H143" s="2752">
        <v>141640</v>
      </c>
      <c r="I143" s="2488"/>
      <c r="J143" s="2488"/>
      <c r="K143" s="2488"/>
      <c r="L143" s="2530">
        <v>0</v>
      </c>
      <c r="M143" s="2530">
        <v>2678413</v>
      </c>
      <c r="N143" s="2531">
        <v>1803077</v>
      </c>
      <c r="O143" s="2527">
        <f t="shared" si="6"/>
        <v>4481490</v>
      </c>
      <c r="P143" s="2479" t="str">
        <f t="shared" si="7"/>
        <v>2.36, Millican Solar Energy LLC, LU</v>
      </c>
    </row>
    <row r="144" spans="1:16" ht="15" customHeight="1" x14ac:dyDescent="0.2">
      <c r="A144" s="2769">
        <f t="shared" si="8"/>
        <v>2.37</v>
      </c>
      <c r="B144" s="2512" t="s">
        <v>9479</v>
      </c>
      <c r="C144" s="2489" t="s">
        <v>191</v>
      </c>
      <c r="D144" s="2614"/>
      <c r="E144" s="2614"/>
      <c r="F144" s="2488"/>
      <c r="G144" s="2488"/>
      <c r="H144" s="2752">
        <v>7367</v>
      </c>
      <c r="I144" s="2488"/>
      <c r="J144" s="2488"/>
      <c r="K144" s="2488"/>
      <c r="L144" s="2530">
        <v>0</v>
      </c>
      <c r="M144" s="2530">
        <v>369010</v>
      </c>
      <c r="N144" s="2488"/>
      <c r="O144" s="2527">
        <f t="shared" si="6"/>
        <v>369010</v>
      </c>
      <c r="P144" s="2479" t="str">
        <f t="shared" si="7"/>
        <v>2.37, Mink Creek Hydro LLC, LU</v>
      </c>
    </row>
    <row r="145" spans="1:16" ht="15" customHeight="1" x14ac:dyDescent="0.2">
      <c r="A145" s="2769">
        <f t="shared" si="8"/>
        <v>2.38</v>
      </c>
      <c r="B145" s="2512" t="s">
        <v>9480</v>
      </c>
      <c r="C145" s="2489" t="s">
        <v>191</v>
      </c>
      <c r="D145" s="2614"/>
      <c r="E145" s="2614"/>
      <c r="F145" s="2488"/>
      <c r="G145" s="2488"/>
      <c r="H145" s="2752">
        <v>709</v>
      </c>
      <c r="I145" s="2488"/>
      <c r="J145" s="2488"/>
      <c r="K145" s="2488"/>
      <c r="L145" s="2530">
        <v>0</v>
      </c>
      <c r="M145" s="2530">
        <v>63044</v>
      </c>
      <c r="N145" s="2530">
        <v>0</v>
      </c>
      <c r="O145" s="2527">
        <f t="shared" si="6"/>
        <v>63044</v>
      </c>
      <c r="P145" s="2479" t="str">
        <f t="shared" si="7"/>
        <v>2.38, Monroe Hydro, LLC, LU</v>
      </c>
    </row>
    <row r="146" spans="1:16" ht="15" customHeight="1" x14ac:dyDescent="0.2">
      <c r="A146" s="2769">
        <f t="shared" si="8"/>
        <v>2.39</v>
      </c>
      <c r="B146" s="2512" t="s">
        <v>12083</v>
      </c>
      <c r="C146" s="2489" t="s">
        <v>192</v>
      </c>
      <c r="D146" s="2614"/>
      <c r="E146" s="2614"/>
      <c r="F146" s="2614"/>
      <c r="G146" s="2614"/>
      <c r="H146" s="2752">
        <v>0</v>
      </c>
      <c r="I146" s="2488"/>
      <c r="J146" s="2488"/>
      <c r="K146" s="2488"/>
      <c r="L146" s="2530">
        <v>0</v>
      </c>
      <c r="M146" s="2530">
        <v>0</v>
      </c>
      <c r="N146" s="2531">
        <v>374244</v>
      </c>
      <c r="O146" s="2527">
        <f t="shared" si="6"/>
        <v>374244</v>
      </c>
      <c r="P146" s="2479" t="str">
        <f t="shared" si="7"/>
        <v>2.39, Monsanto Company, IU</v>
      </c>
    </row>
    <row r="147" spans="1:16" ht="15" customHeight="1" x14ac:dyDescent="0.2">
      <c r="A147" s="2769">
        <f t="shared" si="8"/>
        <v>2.4</v>
      </c>
      <c r="B147" s="2512" t="s">
        <v>9481</v>
      </c>
      <c r="C147" s="2947" t="s">
        <v>188</v>
      </c>
      <c r="D147" s="2614"/>
      <c r="E147" s="2614"/>
      <c r="F147" s="2488"/>
      <c r="G147" s="2488"/>
      <c r="H147" s="2752">
        <v>7</v>
      </c>
      <c r="I147" s="2488"/>
      <c r="J147" s="2488"/>
      <c r="K147" s="2488"/>
      <c r="L147" s="2530">
        <v>0</v>
      </c>
      <c r="M147" s="2530">
        <v>679</v>
      </c>
      <c r="N147" s="2530">
        <v>0</v>
      </c>
      <c r="O147" s="2527">
        <f t="shared" si="6"/>
        <v>679</v>
      </c>
      <c r="P147" s="2479" t="str">
        <f t="shared" si="7"/>
        <v>2.4, Morgan City Corporation, LF</v>
      </c>
    </row>
    <row r="148" spans="1:16" ht="15" customHeight="1" x14ac:dyDescent="0.2">
      <c r="A148" s="2769">
        <f t="shared" si="8"/>
        <v>2.41</v>
      </c>
      <c r="B148" s="2512" t="s">
        <v>9118</v>
      </c>
      <c r="C148" s="2489" t="s">
        <v>190</v>
      </c>
      <c r="D148" s="2614"/>
      <c r="E148" s="2614"/>
      <c r="F148" s="2488"/>
      <c r="G148" s="2488"/>
      <c r="H148" s="2752">
        <v>141470</v>
      </c>
      <c r="I148" s="2488"/>
      <c r="J148" s="2488"/>
      <c r="K148" s="2488"/>
      <c r="L148" s="2530">
        <v>0</v>
      </c>
      <c r="M148" s="2530">
        <v>18516829</v>
      </c>
      <c r="N148" s="2530">
        <v>0</v>
      </c>
      <c r="O148" s="2527">
        <f t="shared" si="6"/>
        <v>18516829</v>
      </c>
      <c r="P148" s="2479" t="str">
        <f t="shared" si="7"/>
        <v>2.41, Morgan Stanley Capital Group Inc., SF</v>
      </c>
    </row>
    <row r="149" spans="1:16" ht="15" customHeight="1" x14ac:dyDescent="0.2">
      <c r="A149" s="2769">
        <f t="shared" si="8"/>
        <v>2.42</v>
      </c>
      <c r="B149" s="2512" t="s">
        <v>9118</v>
      </c>
      <c r="C149" s="2947" t="s">
        <v>196</v>
      </c>
      <c r="D149" s="2614"/>
      <c r="E149" s="2614"/>
      <c r="F149" s="2488"/>
      <c r="G149" s="2488"/>
      <c r="H149" s="2752">
        <v>20</v>
      </c>
      <c r="I149" s="2488"/>
      <c r="J149" s="2488"/>
      <c r="K149" s="2488"/>
      <c r="L149" s="2530">
        <v>0</v>
      </c>
      <c r="M149" s="2530">
        <v>0</v>
      </c>
      <c r="N149" s="2531">
        <v>1460</v>
      </c>
      <c r="O149" s="2527">
        <f t="shared" si="6"/>
        <v>1460</v>
      </c>
      <c r="P149" s="2479" t="str">
        <f t="shared" si="7"/>
        <v>2.42, Morgan Stanley Capital Group Inc., AD</v>
      </c>
    </row>
    <row r="150" spans="1:16" ht="15" customHeight="1" x14ac:dyDescent="0.2">
      <c r="A150" s="2769">
        <f t="shared" si="8"/>
        <v>2.4300000000000002</v>
      </c>
      <c r="B150" s="2512" t="s">
        <v>9482</v>
      </c>
      <c r="C150" s="2489" t="s">
        <v>191</v>
      </c>
      <c r="D150" s="2614"/>
      <c r="E150" s="2614"/>
      <c r="F150" s="2488"/>
      <c r="G150" s="2488"/>
      <c r="H150" s="2752">
        <v>206687</v>
      </c>
      <c r="I150" s="2488"/>
      <c r="J150" s="2488"/>
      <c r="K150" s="2488"/>
      <c r="L150" s="2530">
        <v>0</v>
      </c>
      <c r="M150" s="2530">
        <v>13116745</v>
      </c>
      <c r="N150" s="2530">
        <v>0</v>
      </c>
      <c r="O150" s="2527">
        <f t="shared" si="6"/>
        <v>13116745</v>
      </c>
      <c r="P150" s="2479" t="str">
        <f t="shared" si="7"/>
        <v>2.43, Mountain Wind Power II, LLC, LU</v>
      </c>
    </row>
    <row r="151" spans="1:16" ht="15" customHeight="1" x14ac:dyDescent="0.2">
      <c r="A151" s="2769">
        <f t="shared" si="8"/>
        <v>2.44</v>
      </c>
      <c r="B151" s="2512" t="s">
        <v>9483</v>
      </c>
      <c r="C151" s="2489" t="s">
        <v>191</v>
      </c>
      <c r="D151" s="2614"/>
      <c r="E151" s="2614"/>
      <c r="F151" s="2488"/>
      <c r="G151" s="2488"/>
      <c r="H151" s="2752">
        <v>152625</v>
      </c>
      <c r="I151" s="2488"/>
      <c r="J151" s="2488"/>
      <c r="K151" s="2488"/>
      <c r="L151" s="2530">
        <v>0</v>
      </c>
      <c r="M151" s="2530">
        <v>8416551</v>
      </c>
      <c r="N151" s="2530">
        <v>0</v>
      </c>
      <c r="O151" s="2527">
        <f t="shared" si="6"/>
        <v>8416551</v>
      </c>
      <c r="P151" s="2479" t="str">
        <f t="shared" si="7"/>
        <v>2.44, Mountain Wind Power, LLC, LU</v>
      </c>
    </row>
    <row r="152" spans="1:16" ht="15" customHeight="1" x14ac:dyDescent="0.2">
      <c r="A152" s="2769">
        <f t="shared" si="8"/>
        <v>2.4500000000000002</v>
      </c>
      <c r="B152" s="2502" t="s">
        <v>9484</v>
      </c>
      <c r="C152" s="2489" t="s">
        <v>191</v>
      </c>
      <c r="D152" s="2614"/>
      <c r="E152" s="2614"/>
      <c r="F152" s="2488"/>
      <c r="G152" s="2488"/>
      <c r="H152" s="2752">
        <v>288</v>
      </c>
      <c r="I152" s="2488"/>
      <c r="J152" s="2488"/>
      <c r="K152" s="2488"/>
      <c r="L152" s="2530">
        <v>0</v>
      </c>
      <c r="M152" s="2530">
        <v>16165</v>
      </c>
      <c r="N152" s="2488"/>
      <c r="O152" s="2527">
        <f t="shared" si="6"/>
        <v>16165</v>
      </c>
      <c r="P152" s="2479" t="str">
        <f t="shared" si="7"/>
        <v>2.45, Myron Jones, Nola Jones, Larry Oja and Christie Oja, LU</v>
      </c>
    </row>
    <row r="153" spans="1:16" ht="15" customHeight="1" x14ac:dyDescent="0.2">
      <c r="A153" s="2769">
        <f t="shared" si="8"/>
        <v>2.46</v>
      </c>
      <c r="B153" s="2744" t="s">
        <v>9120</v>
      </c>
      <c r="C153" s="2489" t="s">
        <v>190</v>
      </c>
      <c r="D153" s="2614"/>
      <c r="E153" s="2614"/>
      <c r="F153" s="2488"/>
      <c r="G153" s="2488"/>
      <c r="H153" s="2752">
        <v>44275</v>
      </c>
      <c r="I153" s="2488"/>
      <c r="J153" s="2488"/>
      <c r="K153" s="2488"/>
      <c r="L153" s="2530">
        <v>0</v>
      </c>
      <c r="M153" s="2530">
        <v>2832809</v>
      </c>
      <c r="N153" s="2530">
        <v>0</v>
      </c>
      <c r="O153" s="2527">
        <f t="shared" si="6"/>
        <v>2832809</v>
      </c>
      <c r="P153" s="2479" t="str">
        <f t="shared" si="7"/>
        <v>2.46, Nevada Power Company, SF</v>
      </c>
    </row>
    <row r="154" spans="1:16" ht="15" customHeight="1" x14ac:dyDescent="0.2">
      <c r="A154" s="2769">
        <f t="shared" si="8"/>
        <v>2.4700000000000002</v>
      </c>
      <c r="B154" s="2502" t="s">
        <v>11944</v>
      </c>
      <c r="C154" s="2489" t="s">
        <v>190</v>
      </c>
      <c r="D154" s="2614"/>
      <c r="E154" s="2614"/>
      <c r="F154" s="2488"/>
      <c r="G154" s="2488"/>
      <c r="H154" s="2752">
        <v>12560</v>
      </c>
      <c r="I154" s="2488"/>
      <c r="J154" s="2488"/>
      <c r="K154" s="2488"/>
      <c r="L154" s="2530">
        <v>0</v>
      </c>
      <c r="M154" s="2530">
        <v>467284</v>
      </c>
      <c r="N154" s="2530">
        <v>0</v>
      </c>
      <c r="O154" s="2527">
        <f t="shared" si="6"/>
        <v>467284</v>
      </c>
      <c r="P154" s="2479" t="str">
        <f t="shared" si="7"/>
        <v>2.47, NextEra Energy Marketing, LLC, SF</v>
      </c>
    </row>
    <row r="155" spans="1:16" ht="15" customHeight="1" x14ac:dyDescent="0.2">
      <c r="A155" s="2769">
        <f t="shared" si="8"/>
        <v>2.48</v>
      </c>
      <c r="B155" s="2502" t="s">
        <v>9485</v>
      </c>
      <c r="C155" s="2489" t="s">
        <v>191</v>
      </c>
      <c r="D155" s="2614"/>
      <c r="E155" s="2614"/>
      <c r="F155" s="2488"/>
      <c r="G155" s="2488"/>
      <c r="H155" s="2752">
        <v>2628</v>
      </c>
      <c r="I155" s="2488"/>
      <c r="J155" s="2488"/>
      <c r="K155" s="2488"/>
      <c r="L155" s="2530">
        <v>0</v>
      </c>
      <c r="M155" s="2530">
        <v>104660</v>
      </c>
      <c r="N155" s="2530">
        <v>0</v>
      </c>
      <c r="O155" s="2527">
        <f t="shared" si="6"/>
        <v>104660</v>
      </c>
      <c r="P155" s="2479" t="str">
        <f t="shared" si="7"/>
        <v>2.48, Nichols Gap Limited Partnership, LU</v>
      </c>
    </row>
    <row r="156" spans="1:16" ht="15" customHeight="1" x14ac:dyDescent="0.2">
      <c r="A156" s="2769">
        <f t="shared" si="8"/>
        <v>2.4900000000000002</v>
      </c>
      <c r="B156" s="2512" t="s">
        <v>9121</v>
      </c>
      <c r="C156" s="2489" t="s">
        <v>190</v>
      </c>
      <c r="D156" s="2614"/>
      <c r="E156" s="2614"/>
      <c r="F156" s="2488"/>
      <c r="G156" s="2488"/>
      <c r="H156" s="2750">
        <v>5799</v>
      </c>
      <c r="I156" s="2488"/>
      <c r="J156" s="2488"/>
      <c r="K156" s="2488"/>
      <c r="L156" s="2530">
        <v>0</v>
      </c>
      <c r="M156" s="2530">
        <v>565636</v>
      </c>
      <c r="N156" s="2531">
        <v>3151</v>
      </c>
      <c r="O156" s="2527">
        <f t="shared" si="6"/>
        <v>568787</v>
      </c>
      <c r="P156" s="2479" t="str">
        <f t="shared" si="7"/>
        <v>2.49, NorthWestern Energy, SF</v>
      </c>
    </row>
    <row r="157" spans="1:16" ht="15" customHeight="1" x14ac:dyDescent="0.2">
      <c r="A157" s="2769">
        <f t="shared" si="8"/>
        <v>2.5</v>
      </c>
      <c r="B157" s="2512" t="s">
        <v>9486</v>
      </c>
      <c r="C157" s="2489" t="s">
        <v>192</v>
      </c>
      <c r="D157" s="2614"/>
      <c r="E157" s="2614"/>
      <c r="F157" s="2488"/>
      <c r="G157" s="2488"/>
      <c r="H157" s="2752">
        <v>20263</v>
      </c>
      <c r="I157" s="2488"/>
      <c r="J157" s="2488"/>
      <c r="K157" s="2488"/>
      <c r="L157" s="2530">
        <v>0</v>
      </c>
      <c r="M157" s="2530">
        <v>1473694</v>
      </c>
      <c r="N157" s="2530">
        <v>0</v>
      </c>
      <c r="O157" s="2527">
        <f t="shared" si="6"/>
        <v>1473694</v>
      </c>
      <c r="P157" s="2479" t="str">
        <f t="shared" si="7"/>
        <v>2.5, NorWest Energy 2, LLC, IU</v>
      </c>
    </row>
    <row r="158" spans="1:16" ht="15" customHeight="1" x14ac:dyDescent="0.2">
      <c r="A158" s="2769">
        <f t="shared" si="8"/>
        <v>2.5099999999999998</v>
      </c>
      <c r="B158" s="2512" t="s">
        <v>9487</v>
      </c>
      <c r="C158" s="2489" t="s">
        <v>192</v>
      </c>
      <c r="D158" s="2614"/>
      <c r="E158" s="2614"/>
      <c r="F158" s="2488"/>
      <c r="G158" s="2488"/>
      <c r="H158" s="2752">
        <v>11387</v>
      </c>
      <c r="I158" s="2488"/>
      <c r="J158" s="2488"/>
      <c r="K158" s="2488"/>
      <c r="L158" s="2530">
        <v>0</v>
      </c>
      <c r="M158" s="2530">
        <v>827579</v>
      </c>
      <c r="N158" s="2530">
        <v>0</v>
      </c>
      <c r="O158" s="2527">
        <f t="shared" si="6"/>
        <v>827579</v>
      </c>
      <c r="P158" s="2479" t="str">
        <f t="shared" si="7"/>
        <v>2.51, NorWest Energy 4, LLC, IU</v>
      </c>
    </row>
    <row r="159" spans="1:16" ht="15" customHeight="1" x14ac:dyDescent="0.2">
      <c r="A159" s="2769">
        <f t="shared" si="8"/>
        <v>2.52</v>
      </c>
      <c r="B159" s="2512" t="s">
        <v>9488</v>
      </c>
      <c r="C159" s="2489" t="s">
        <v>192</v>
      </c>
      <c r="D159" s="2614"/>
      <c r="E159" s="2614"/>
      <c r="F159" s="2488"/>
      <c r="G159" s="2488"/>
      <c r="H159" s="2752">
        <v>18272</v>
      </c>
      <c r="I159" s="2488"/>
      <c r="J159" s="2488"/>
      <c r="K159" s="2488"/>
      <c r="L159" s="2530">
        <v>0</v>
      </c>
      <c r="M159" s="2530">
        <v>1326045</v>
      </c>
      <c r="N159" s="2530">
        <v>0</v>
      </c>
      <c r="O159" s="2527">
        <f t="shared" si="6"/>
        <v>1326045</v>
      </c>
      <c r="P159" s="2479" t="str">
        <f t="shared" si="7"/>
        <v>2.52, NorWest Energy 7, LLC, IU</v>
      </c>
    </row>
    <row r="160" spans="1:16" ht="15" customHeight="1" x14ac:dyDescent="0.2">
      <c r="A160" s="2769">
        <f t="shared" si="8"/>
        <v>2.5299999999999998</v>
      </c>
      <c r="B160" s="2512" t="s">
        <v>9489</v>
      </c>
      <c r="C160" s="2489" t="s">
        <v>192</v>
      </c>
      <c r="D160" s="2614"/>
      <c r="E160" s="2614"/>
      <c r="F160" s="2614"/>
      <c r="G160" s="2614"/>
      <c r="H160" s="2752">
        <v>11470</v>
      </c>
      <c r="I160" s="2488"/>
      <c r="J160" s="2488"/>
      <c r="K160" s="2488"/>
      <c r="L160" s="2530">
        <v>0</v>
      </c>
      <c r="M160" s="2530">
        <v>626762</v>
      </c>
      <c r="N160" s="2530">
        <v>0</v>
      </c>
      <c r="O160" s="2527">
        <f t="shared" si="6"/>
        <v>626762</v>
      </c>
      <c r="P160" s="2479" t="str">
        <f t="shared" si="7"/>
        <v>2.53, NorWest Energy 9, LLC, IU</v>
      </c>
    </row>
    <row r="161" spans="1:16" ht="15" customHeight="1" x14ac:dyDescent="0.2">
      <c r="A161" s="2769">
        <f t="shared" si="8"/>
        <v>2.54</v>
      </c>
      <c r="B161" s="2512" t="s">
        <v>9490</v>
      </c>
      <c r="C161" s="2947" t="s">
        <v>192</v>
      </c>
      <c r="D161" s="2614"/>
      <c r="E161" s="2614"/>
      <c r="F161" s="2488"/>
      <c r="G161" s="2488"/>
      <c r="H161" s="2752">
        <v>0</v>
      </c>
      <c r="I161" s="2488"/>
      <c r="J161" s="2488"/>
      <c r="K161" s="2488"/>
      <c r="L161" s="2530">
        <v>0</v>
      </c>
      <c r="M161" s="2530">
        <v>0</v>
      </c>
      <c r="N161" s="2531">
        <v>8018900</v>
      </c>
      <c r="O161" s="2527">
        <f t="shared" si="6"/>
        <v>8018900</v>
      </c>
      <c r="P161" s="2479" t="str">
        <f t="shared" si="7"/>
        <v>2.54, Nucor Corporation, IU</v>
      </c>
    </row>
    <row r="162" spans="1:16" ht="15" customHeight="1" x14ac:dyDescent="0.2">
      <c r="A162" s="2769">
        <f t="shared" si="8"/>
        <v>2.5499999999999998</v>
      </c>
      <c r="B162" s="2512" t="s">
        <v>9491</v>
      </c>
      <c r="C162" s="2489" t="s">
        <v>191</v>
      </c>
      <c r="D162" s="2614"/>
      <c r="E162" s="2614"/>
      <c r="F162" s="2488"/>
      <c r="G162" s="2488"/>
      <c r="H162" s="2752">
        <v>910</v>
      </c>
      <c r="I162" s="2488"/>
      <c r="J162" s="2488"/>
      <c r="K162" s="2488"/>
      <c r="L162" s="2530">
        <v>0</v>
      </c>
      <c r="M162" s="2530">
        <v>81194</v>
      </c>
      <c r="N162" s="2530">
        <v>0</v>
      </c>
      <c r="O162" s="2527">
        <f t="shared" si="6"/>
        <v>81194</v>
      </c>
      <c r="P162" s="2479" t="str">
        <f t="shared" si="7"/>
        <v>2.55, Oak Lea Digester LLC, LU</v>
      </c>
    </row>
    <row r="163" spans="1:16" ht="15" customHeight="1" x14ac:dyDescent="0.2">
      <c r="A163" s="2769">
        <f t="shared" si="8"/>
        <v>2.56</v>
      </c>
      <c r="B163" s="2512" t="s">
        <v>9492</v>
      </c>
      <c r="C163" s="2489" t="s">
        <v>191</v>
      </c>
      <c r="D163" s="2614"/>
      <c r="E163" s="2614"/>
      <c r="F163" s="2488"/>
      <c r="G163" s="2488"/>
      <c r="H163" s="2752">
        <v>869</v>
      </c>
      <c r="I163" s="2488"/>
      <c r="J163" s="2488"/>
      <c r="K163" s="2488"/>
      <c r="L163" s="2530">
        <v>0</v>
      </c>
      <c r="M163" s="2530">
        <v>76678</v>
      </c>
      <c r="N163" s="2530">
        <v>0</v>
      </c>
      <c r="O163" s="2527">
        <f t="shared" si="6"/>
        <v>76678</v>
      </c>
      <c r="P163" s="2479" t="str">
        <f t="shared" si="7"/>
        <v>2.56, Obsidian Finance Group, LLC, LU</v>
      </c>
    </row>
    <row r="164" spans="1:16" ht="15" customHeight="1" x14ac:dyDescent="0.2">
      <c r="A164" s="2769">
        <f t="shared" si="8"/>
        <v>2.57</v>
      </c>
      <c r="B164" s="2512" t="s">
        <v>9494</v>
      </c>
      <c r="C164" s="2489" t="s">
        <v>191</v>
      </c>
      <c r="D164" s="2614"/>
      <c r="E164" s="2614"/>
      <c r="F164" s="2488"/>
      <c r="G164" s="2488"/>
      <c r="H164" s="2752">
        <v>7781</v>
      </c>
      <c r="I164" s="2488"/>
      <c r="J164" s="2488"/>
      <c r="K164" s="2488"/>
      <c r="L164" s="2530">
        <v>0</v>
      </c>
      <c r="M164" s="2530">
        <v>583547</v>
      </c>
      <c r="N164" s="2530">
        <v>0</v>
      </c>
      <c r="O164" s="2527">
        <f t="shared" si="6"/>
        <v>583547</v>
      </c>
      <c r="P164" s="2479" t="str">
        <f t="shared" si="7"/>
        <v>2.57, Old Mill Solar, LLC, LU</v>
      </c>
    </row>
    <row r="165" spans="1:16" ht="15" customHeight="1" x14ac:dyDescent="0.2">
      <c r="A165" s="2769">
        <f t="shared" si="8"/>
        <v>2.58</v>
      </c>
      <c r="B165" s="2512" t="s">
        <v>9495</v>
      </c>
      <c r="C165" s="2489" t="s">
        <v>191</v>
      </c>
      <c r="D165" s="2614"/>
      <c r="E165" s="2614"/>
      <c r="F165" s="2488"/>
      <c r="G165" s="2488"/>
      <c r="H165" s="2752">
        <v>22367</v>
      </c>
      <c r="I165" s="2488"/>
      <c r="J165" s="2488"/>
      <c r="K165" s="2488"/>
      <c r="L165" s="2530">
        <v>0</v>
      </c>
      <c r="M165" s="2530">
        <v>1221823</v>
      </c>
      <c r="N165" s="2530">
        <v>0</v>
      </c>
      <c r="O165" s="2527">
        <f t="shared" si="6"/>
        <v>1221823</v>
      </c>
      <c r="P165" s="2479" t="str">
        <f t="shared" si="7"/>
        <v>2.58, OR Solar 2, LLC, LU</v>
      </c>
    </row>
    <row r="166" spans="1:16" ht="15" customHeight="1" x14ac:dyDescent="0.2">
      <c r="A166" s="2769">
        <f t="shared" si="8"/>
        <v>2.59</v>
      </c>
      <c r="B166" s="2502" t="s">
        <v>9496</v>
      </c>
      <c r="C166" s="2489" t="s">
        <v>191</v>
      </c>
      <c r="D166" s="2614"/>
      <c r="E166" s="2614"/>
      <c r="F166" s="2488"/>
      <c r="G166" s="2488"/>
      <c r="H166" s="2752">
        <v>25018</v>
      </c>
      <c r="I166" s="2488"/>
      <c r="J166" s="2488"/>
      <c r="K166" s="2488"/>
      <c r="L166" s="2530">
        <v>0</v>
      </c>
      <c r="M166" s="2530">
        <v>1367185</v>
      </c>
      <c r="N166" s="2530">
        <v>0</v>
      </c>
      <c r="O166" s="2527">
        <f t="shared" si="6"/>
        <v>1367185</v>
      </c>
      <c r="P166" s="2479" t="str">
        <f t="shared" si="7"/>
        <v>2.59, OR Solar 3, LLC, LU</v>
      </c>
    </row>
    <row r="167" spans="1:16" ht="15" customHeight="1" x14ac:dyDescent="0.2">
      <c r="A167" s="2769">
        <f t="shared" si="8"/>
        <v>2.6</v>
      </c>
      <c r="B167" s="2502" t="s">
        <v>9497</v>
      </c>
      <c r="C167" s="2489" t="s">
        <v>191</v>
      </c>
      <c r="D167" s="2614"/>
      <c r="E167" s="2614"/>
      <c r="F167" s="2488"/>
      <c r="G167" s="2488"/>
      <c r="H167" s="2752">
        <v>19741</v>
      </c>
      <c r="I167" s="2488"/>
      <c r="J167" s="2488"/>
      <c r="K167" s="2488"/>
      <c r="L167" s="2530">
        <v>0</v>
      </c>
      <c r="M167" s="2530">
        <v>1079086</v>
      </c>
      <c r="N167" s="2530">
        <v>0</v>
      </c>
      <c r="O167" s="2527">
        <f t="shared" si="6"/>
        <v>1079086</v>
      </c>
      <c r="P167" s="2479" t="str">
        <f t="shared" si="7"/>
        <v>2.6, OR Solar 5, LLC, LU</v>
      </c>
    </row>
    <row r="168" spans="1:16" ht="15" customHeight="1" x14ac:dyDescent="0.2">
      <c r="A168" s="2769">
        <f t="shared" si="8"/>
        <v>2.61</v>
      </c>
      <c r="B168" s="2502" t="s">
        <v>9498</v>
      </c>
      <c r="C168" s="2489" t="s">
        <v>191</v>
      </c>
      <c r="D168" s="2614"/>
      <c r="E168" s="2614"/>
      <c r="F168" s="2488"/>
      <c r="G168" s="2488"/>
      <c r="H168" s="2752">
        <v>24967</v>
      </c>
      <c r="I168" s="2488"/>
      <c r="J168" s="2488"/>
      <c r="K168" s="2488"/>
      <c r="L168" s="2530">
        <v>0</v>
      </c>
      <c r="M168" s="2530">
        <v>1364231</v>
      </c>
      <c r="N168" s="2530">
        <v>0</v>
      </c>
      <c r="O168" s="2527">
        <f t="shared" si="6"/>
        <v>1364231</v>
      </c>
      <c r="P168" s="2479" t="str">
        <f t="shared" si="7"/>
        <v>2.61, OR Solar 6, LLC, LU</v>
      </c>
    </row>
    <row r="169" spans="1:16" ht="15" customHeight="1" x14ac:dyDescent="0.2">
      <c r="A169" s="2769">
        <f t="shared" si="8"/>
        <v>2.62</v>
      </c>
      <c r="B169" s="2502" t="s">
        <v>9499</v>
      </c>
      <c r="C169" s="2489" t="s">
        <v>191</v>
      </c>
      <c r="D169" s="2614"/>
      <c r="E169" s="2614"/>
      <c r="F169" s="2488"/>
      <c r="G169" s="2488"/>
      <c r="H169" s="2752">
        <v>26989</v>
      </c>
      <c r="I169" s="2488"/>
      <c r="J169" s="2488"/>
      <c r="K169" s="2488"/>
      <c r="L169" s="2530">
        <v>0</v>
      </c>
      <c r="M169" s="2530">
        <v>1474986</v>
      </c>
      <c r="N169" s="2530">
        <v>0</v>
      </c>
      <c r="O169" s="2527">
        <f t="shared" si="6"/>
        <v>1474986</v>
      </c>
      <c r="P169" s="2479" t="str">
        <f t="shared" si="7"/>
        <v>2.62, OR Solar 8, LLC, LU</v>
      </c>
    </row>
    <row r="170" spans="1:16" ht="15" customHeight="1" x14ac:dyDescent="0.2">
      <c r="A170" s="2769">
        <f t="shared" si="8"/>
        <v>2.63</v>
      </c>
      <c r="B170" s="2512" t="s">
        <v>9500</v>
      </c>
      <c r="C170" s="2489" t="s">
        <v>191</v>
      </c>
      <c r="D170" s="2614"/>
      <c r="E170" s="2614"/>
      <c r="F170" s="2488"/>
      <c r="G170" s="2488"/>
      <c r="H170" s="2750">
        <v>15926</v>
      </c>
      <c r="I170" s="2488"/>
      <c r="J170" s="2488"/>
      <c r="K170" s="2488"/>
      <c r="L170" s="2530">
        <v>0</v>
      </c>
      <c r="M170" s="2530">
        <v>582126</v>
      </c>
      <c r="N170" s="2530">
        <v>0</v>
      </c>
      <c r="O170" s="2527">
        <f t="shared" si="6"/>
        <v>582126</v>
      </c>
      <c r="P170" s="2479" t="str">
        <f t="shared" si="7"/>
        <v>2.63, Orchard Windfarm 1, LLC, LU</v>
      </c>
    </row>
    <row r="171" spans="1:16" ht="15" customHeight="1" x14ac:dyDescent="0.2">
      <c r="A171" s="2769">
        <f t="shared" si="8"/>
        <v>2.64</v>
      </c>
      <c r="B171" s="2512" t="s">
        <v>9500</v>
      </c>
      <c r="C171" s="2947" t="s">
        <v>196</v>
      </c>
      <c r="D171" s="2614"/>
      <c r="E171" s="2614"/>
      <c r="F171" s="2488"/>
      <c r="G171" s="2488"/>
      <c r="H171" s="2752">
        <v>0</v>
      </c>
      <c r="I171" s="2488"/>
      <c r="J171" s="2488"/>
      <c r="K171" s="2488"/>
      <c r="L171" s="2530">
        <v>0</v>
      </c>
      <c r="M171" s="2530">
        <v>0</v>
      </c>
      <c r="N171" s="2531">
        <v>5234</v>
      </c>
      <c r="O171" s="2527">
        <f t="shared" si="6"/>
        <v>5234</v>
      </c>
      <c r="P171" s="2479" t="str">
        <f t="shared" si="7"/>
        <v>2.64, Orchard Windfarm 1, LLC, AD</v>
      </c>
    </row>
    <row r="172" spans="1:16" ht="15" customHeight="1" x14ac:dyDescent="0.2">
      <c r="A172" s="2769">
        <f t="shared" si="8"/>
        <v>2.65</v>
      </c>
      <c r="B172" s="2512" t="s">
        <v>9501</v>
      </c>
      <c r="C172" s="2489" t="s">
        <v>191</v>
      </c>
      <c r="D172" s="2614"/>
      <c r="E172" s="2614"/>
      <c r="F172" s="2488"/>
      <c r="G172" s="2488"/>
      <c r="H172" s="2752">
        <v>16796</v>
      </c>
      <c r="I172" s="2488"/>
      <c r="J172" s="2488"/>
      <c r="K172" s="2488"/>
      <c r="L172" s="2530">
        <v>0</v>
      </c>
      <c r="M172" s="2530">
        <v>612747</v>
      </c>
      <c r="N172" s="2530">
        <v>0</v>
      </c>
      <c r="O172" s="2527">
        <f t="shared" si="6"/>
        <v>612747</v>
      </c>
      <c r="P172" s="2479" t="str">
        <f t="shared" si="7"/>
        <v>2.65, Orchard Windfarm 2, LLC, LU</v>
      </c>
    </row>
    <row r="173" spans="1:16" ht="15" customHeight="1" x14ac:dyDescent="0.2">
      <c r="A173" s="2769">
        <f t="shared" si="8"/>
        <v>2.66</v>
      </c>
      <c r="B173" s="2512" t="s">
        <v>9501</v>
      </c>
      <c r="C173" s="2947" t="s">
        <v>196</v>
      </c>
      <c r="D173" s="2614"/>
      <c r="E173" s="2614"/>
      <c r="F173" s="2488"/>
      <c r="G173" s="2488"/>
      <c r="H173" s="2752">
        <v>0</v>
      </c>
      <c r="I173" s="2488"/>
      <c r="J173" s="2488"/>
      <c r="K173" s="2488"/>
      <c r="L173" s="2530">
        <v>0</v>
      </c>
      <c r="M173" s="2530">
        <v>0</v>
      </c>
      <c r="N173" s="2531">
        <v>5839</v>
      </c>
      <c r="O173" s="2527">
        <f t="shared" si="6"/>
        <v>5839</v>
      </c>
      <c r="P173" s="2479" t="str">
        <f t="shared" si="7"/>
        <v>2.66, Orchard Windfarm 2, LLC, AD</v>
      </c>
    </row>
    <row r="174" spans="1:16" ht="15" customHeight="1" x14ac:dyDescent="0.2">
      <c r="A174" s="2769">
        <f t="shared" si="8"/>
        <v>2.67</v>
      </c>
      <c r="B174" s="2512" t="s">
        <v>9502</v>
      </c>
      <c r="C174" s="2489" t="s">
        <v>191</v>
      </c>
      <c r="D174" s="2614"/>
      <c r="E174" s="2614"/>
      <c r="F174" s="2614"/>
      <c r="G174" s="2614"/>
      <c r="H174" s="2752">
        <v>17019</v>
      </c>
      <c r="I174" s="2488"/>
      <c r="J174" s="2488"/>
      <c r="K174" s="2488"/>
      <c r="L174" s="2530">
        <v>0</v>
      </c>
      <c r="M174" s="2530">
        <v>623684</v>
      </c>
      <c r="N174" s="2530">
        <v>0</v>
      </c>
      <c r="O174" s="2527">
        <f t="shared" si="6"/>
        <v>623684</v>
      </c>
      <c r="P174" s="2479" t="str">
        <f t="shared" si="7"/>
        <v>2.67, Orchard Windfarm 3, LLC, LU</v>
      </c>
    </row>
    <row r="175" spans="1:16" ht="15" customHeight="1" x14ac:dyDescent="0.2">
      <c r="A175" s="2769">
        <f t="shared" si="8"/>
        <v>2.68</v>
      </c>
      <c r="B175" s="2512" t="s">
        <v>9502</v>
      </c>
      <c r="C175" s="2947" t="s">
        <v>196</v>
      </c>
      <c r="D175" s="2614"/>
      <c r="E175" s="2614"/>
      <c r="F175" s="2488"/>
      <c r="G175" s="2488"/>
      <c r="H175" s="2752">
        <v>0</v>
      </c>
      <c r="I175" s="2488"/>
      <c r="J175" s="2488"/>
      <c r="K175" s="2488"/>
      <c r="L175" s="2530">
        <v>0</v>
      </c>
      <c r="M175" s="2530">
        <v>0</v>
      </c>
      <c r="N175" s="2531">
        <v>5212</v>
      </c>
      <c r="O175" s="2527">
        <f t="shared" si="6"/>
        <v>5212</v>
      </c>
      <c r="P175" s="2479" t="str">
        <f t="shared" si="7"/>
        <v>2.68, Orchard Windfarm 3, LLC, AD</v>
      </c>
    </row>
    <row r="176" spans="1:16" ht="15" customHeight="1" x14ac:dyDescent="0.2">
      <c r="A176" s="2769">
        <f t="shared" si="8"/>
        <v>2.69</v>
      </c>
      <c r="B176" s="2512" t="s">
        <v>9503</v>
      </c>
      <c r="C176" s="2489" t="s">
        <v>191</v>
      </c>
      <c r="D176" s="2614"/>
      <c r="E176" s="2614"/>
      <c r="F176" s="2488"/>
      <c r="G176" s="2488"/>
      <c r="H176" s="2752">
        <v>18047</v>
      </c>
      <c r="I176" s="2488"/>
      <c r="J176" s="2488"/>
      <c r="K176" s="2488"/>
      <c r="L176" s="2530">
        <v>0</v>
      </c>
      <c r="M176" s="2530">
        <v>660732</v>
      </c>
      <c r="N176" s="2530">
        <v>0</v>
      </c>
      <c r="O176" s="2527">
        <f t="shared" si="6"/>
        <v>660732</v>
      </c>
      <c r="P176" s="2479" t="str">
        <f t="shared" si="7"/>
        <v>2.69, Orchard Windfarm 4, LLC, LU</v>
      </c>
    </row>
    <row r="177" spans="1:16" ht="15" customHeight="1" x14ac:dyDescent="0.2">
      <c r="A177" s="2769">
        <f t="shared" si="8"/>
        <v>2.7</v>
      </c>
      <c r="B177" s="2512" t="s">
        <v>9503</v>
      </c>
      <c r="C177" s="2947" t="s">
        <v>196</v>
      </c>
      <c r="D177" s="2614"/>
      <c r="E177" s="2614"/>
      <c r="F177" s="2488"/>
      <c r="G177" s="2488"/>
      <c r="H177" s="2752">
        <v>59</v>
      </c>
      <c r="I177" s="2488"/>
      <c r="J177" s="2488"/>
      <c r="K177" s="2488"/>
      <c r="L177" s="2530">
        <v>0</v>
      </c>
      <c r="M177" s="2530">
        <v>0</v>
      </c>
      <c r="N177" s="2531">
        <v>1800</v>
      </c>
      <c r="O177" s="2527">
        <f t="shared" si="6"/>
        <v>1800</v>
      </c>
      <c r="P177" s="2479" t="str">
        <f t="shared" si="7"/>
        <v>2.7, Orchard Windfarm 4, LLC, AD</v>
      </c>
    </row>
    <row r="178" spans="1:16" ht="15" customHeight="1" x14ac:dyDescent="0.2">
      <c r="A178" s="2769">
        <f t="shared" si="8"/>
        <v>2.71</v>
      </c>
      <c r="B178" s="2512" t="s">
        <v>9504</v>
      </c>
      <c r="C178" s="2489" t="s">
        <v>191</v>
      </c>
      <c r="D178" s="2614"/>
      <c r="E178" s="2614"/>
      <c r="F178" s="2488"/>
      <c r="G178" s="2488"/>
      <c r="H178" s="2752">
        <v>12933</v>
      </c>
      <c r="I178" s="2488"/>
      <c r="J178" s="2488"/>
      <c r="K178" s="2488"/>
      <c r="L178" s="2530">
        <v>0</v>
      </c>
      <c r="M178" s="2530">
        <v>1036422</v>
      </c>
      <c r="N178" s="2530">
        <v>0</v>
      </c>
      <c r="O178" s="2527">
        <f t="shared" si="6"/>
        <v>1036422</v>
      </c>
      <c r="P178" s="2479" t="str">
        <f t="shared" si="7"/>
        <v>2.71, Oregon Environmental Industries, LLC, LU</v>
      </c>
    </row>
    <row r="179" spans="1:16" ht="15" customHeight="1" x14ac:dyDescent="0.2">
      <c r="A179" s="2769">
        <f t="shared" si="8"/>
        <v>2.72</v>
      </c>
      <c r="B179" s="2512" t="s">
        <v>9505</v>
      </c>
      <c r="C179" s="2489" t="s">
        <v>191</v>
      </c>
      <c r="D179" s="2614"/>
      <c r="E179" s="2614"/>
      <c r="F179" s="2488"/>
      <c r="G179" s="2488"/>
      <c r="H179" s="2752">
        <v>8951</v>
      </c>
      <c r="I179" s="2488"/>
      <c r="J179" s="2488"/>
      <c r="K179" s="2488"/>
      <c r="L179" s="2530">
        <v>0</v>
      </c>
      <c r="M179" s="2530">
        <v>776143</v>
      </c>
      <c r="N179" s="2530">
        <v>0</v>
      </c>
      <c r="O179" s="2527">
        <f t="shared" si="6"/>
        <v>776143</v>
      </c>
      <c r="P179" s="2479" t="str">
        <f t="shared" si="7"/>
        <v>2.72, Oregon Solar Incentive, LU</v>
      </c>
    </row>
    <row r="180" spans="1:16" ht="15" customHeight="1" x14ac:dyDescent="0.2">
      <c r="A180" s="2769">
        <f t="shared" si="8"/>
        <v>2.73</v>
      </c>
      <c r="B180" s="2502" t="s">
        <v>12084</v>
      </c>
      <c r="C180" s="2489" t="s">
        <v>191</v>
      </c>
      <c r="D180" s="2614"/>
      <c r="E180" s="2614"/>
      <c r="F180" s="2488"/>
      <c r="G180" s="2488"/>
      <c r="H180" s="2752">
        <v>0</v>
      </c>
      <c r="I180" s="2488"/>
      <c r="J180" s="2488"/>
      <c r="K180" s="2488"/>
      <c r="L180" s="2530">
        <v>0</v>
      </c>
      <c r="M180" s="2530">
        <v>2</v>
      </c>
      <c r="N180" s="2530">
        <v>0</v>
      </c>
      <c r="O180" s="2527">
        <f t="shared" si="6"/>
        <v>2</v>
      </c>
      <c r="P180" s="2479" t="str">
        <f t="shared" si="7"/>
        <v>2.73, Oregon State University, LU</v>
      </c>
    </row>
    <row r="181" spans="1:16" ht="15" customHeight="1" x14ac:dyDescent="0.2">
      <c r="A181" s="2769">
        <f t="shared" si="8"/>
        <v>2.74</v>
      </c>
      <c r="B181" s="2502" t="s">
        <v>9506</v>
      </c>
      <c r="C181" s="2489" t="s">
        <v>191</v>
      </c>
      <c r="D181" s="2614"/>
      <c r="E181" s="2614"/>
      <c r="F181" s="2488"/>
      <c r="G181" s="2488"/>
      <c r="H181" s="2752">
        <v>18704</v>
      </c>
      <c r="I181" s="2488"/>
      <c r="J181" s="2488"/>
      <c r="K181" s="2488"/>
      <c r="L181" s="2530">
        <v>0</v>
      </c>
      <c r="M181" s="2530">
        <v>1478360</v>
      </c>
      <c r="N181" s="2530">
        <v>0</v>
      </c>
      <c r="O181" s="2527">
        <f t="shared" si="6"/>
        <v>1478360</v>
      </c>
      <c r="P181" s="2479" t="str">
        <f t="shared" si="7"/>
        <v>2.74, Oregon Trail Windfarm, LLC, LU</v>
      </c>
    </row>
    <row r="182" spans="1:16" ht="15" customHeight="1" x14ac:dyDescent="0.2">
      <c r="A182" s="2769">
        <f t="shared" si="8"/>
        <v>2.75</v>
      </c>
      <c r="B182" s="2502" t="s">
        <v>9507</v>
      </c>
      <c r="C182" s="2489" t="s">
        <v>192</v>
      </c>
      <c r="D182" s="2614"/>
      <c r="E182" s="2614"/>
      <c r="F182" s="2488"/>
      <c r="G182" s="2488"/>
      <c r="H182" s="2752">
        <v>22773</v>
      </c>
      <c r="I182" s="2488"/>
      <c r="J182" s="2488"/>
      <c r="K182" s="2488"/>
      <c r="L182" s="2530">
        <v>0</v>
      </c>
      <c r="M182" s="2530">
        <v>1244174</v>
      </c>
      <c r="N182" s="2530">
        <v>0</v>
      </c>
      <c r="O182" s="2527">
        <f t="shared" si="6"/>
        <v>1244174</v>
      </c>
      <c r="P182" s="2479" t="str">
        <f t="shared" si="7"/>
        <v>2.75, OSLH, LLC, IU</v>
      </c>
    </row>
    <row r="183" spans="1:16" ht="15" customHeight="1" x14ac:dyDescent="0.2">
      <c r="A183" s="2769">
        <f t="shared" si="8"/>
        <v>2.76</v>
      </c>
      <c r="B183" s="2502" t="s">
        <v>9508</v>
      </c>
      <c r="C183" s="2489" t="s">
        <v>192</v>
      </c>
      <c r="D183" s="2614"/>
      <c r="E183" s="2614"/>
      <c r="F183" s="2488"/>
      <c r="G183" s="2488"/>
      <c r="H183" s="2752">
        <v>0</v>
      </c>
      <c r="I183" s="2488"/>
      <c r="J183" s="2488"/>
      <c r="K183" s="2488"/>
      <c r="L183" s="2530">
        <v>0</v>
      </c>
      <c r="M183" s="2530">
        <v>0</v>
      </c>
      <c r="N183" s="2531">
        <v>20600000</v>
      </c>
      <c r="O183" s="2527">
        <f t="shared" si="6"/>
        <v>20600000</v>
      </c>
      <c r="P183" s="2479" t="str">
        <f t="shared" si="7"/>
        <v>2.76, P4 Production, LLC, IU</v>
      </c>
    </row>
    <row r="184" spans="1:16" ht="15" customHeight="1" x14ac:dyDescent="0.2">
      <c r="A184" s="2769">
        <f t="shared" si="8"/>
        <v>2.77</v>
      </c>
      <c r="B184" s="2512" t="s">
        <v>9509</v>
      </c>
      <c r="C184" s="2489" t="s">
        <v>191</v>
      </c>
      <c r="D184" s="2614"/>
      <c r="E184" s="2614"/>
      <c r="F184" s="2488"/>
      <c r="G184" s="2488"/>
      <c r="H184" s="2750">
        <v>16121</v>
      </c>
      <c r="I184" s="2488"/>
      <c r="J184" s="2488"/>
      <c r="K184" s="2488"/>
      <c r="L184" s="2530">
        <v>0</v>
      </c>
      <c r="M184" s="2530">
        <v>1281550</v>
      </c>
      <c r="N184" s="2530">
        <v>0</v>
      </c>
      <c r="O184" s="2527">
        <f t="shared" si="6"/>
        <v>1281550</v>
      </c>
      <c r="P184" s="2479" t="str">
        <f t="shared" si="7"/>
        <v>2.77, Pacific Canyon Windfarm, LLC, LU</v>
      </c>
    </row>
    <row r="185" spans="1:16" ht="15" customHeight="1" x14ac:dyDescent="0.2">
      <c r="A185" s="2769">
        <f t="shared" si="8"/>
        <v>2.78</v>
      </c>
      <c r="B185" s="2512" t="s">
        <v>9510</v>
      </c>
      <c r="C185" s="2489" t="s">
        <v>191</v>
      </c>
      <c r="D185" s="2614"/>
      <c r="E185" s="2614"/>
      <c r="F185" s="2488"/>
      <c r="G185" s="2488"/>
      <c r="H185" s="2752">
        <v>116432</v>
      </c>
      <c r="I185" s="2488"/>
      <c r="J185" s="2488"/>
      <c r="K185" s="2488"/>
      <c r="L185" s="2530">
        <v>0</v>
      </c>
      <c r="M185" s="2530">
        <v>4583486</v>
      </c>
      <c r="N185" s="2530">
        <v>0</v>
      </c>
      <c r="O185" s="2527">
        <f t="shared" si="6"/>
        <v>4583486</v>
      </c>
      <c r="P185" s="2479" t="str">
        <f t="shared" si="7"/>
        <v>2.78, Pavant Solar II LLC, LU</v>
      </c>
    </row>
    <row r="186" spans="1:16" ht="15" customHeight="1" x14ac:dyDescent="0.2">
      <c r="A186" s="2769">
        <f t="shared" si="8"/>
        <v>2.79</v>
      </c>
      <c r="B186" s="2512" t="s">
        <v>9511</v>
      </c>
      <c r="C186" s="2489" t="s">
        <v>191</v>
      </c>
      <c r="D186" s="2614"/>
      <c r="E186" s="2614"/>
      <c r="F186" s="2488"/>
      <c r="G186" s="2488"/>
      <c r="H186" s="2752">
        <v>46040</v>
      </c>
      <c r="I186" s="2488"/>
      <c r="J186" s="2488"/>
      <c r="K186" s="2488"/>
      <c r="L186" s="2530">
        <v>0</v>
      </c>
      <c r="M186" s="2530">
        <v>2430917</v>
      </c>
      <c r="N186" s="2530">
        <v>0</v>
      </c>
      <c r="O186" s="2527">
        <f t="shared" si="6"/>
        <v>2430917</v>
      </c>
      <c r="P186" s="2479" t="str">
        <f t="shared" si="7"/>
        <v>2.79, Pavant Solar III LLC, LU</v>
      </c>
    </row>
    <row r="187" spans="1:16" ht="15" customHeight="1" x14ac:dyDescent="0.2">
      <c r="A187" s="2769">
        <f t="shared" si="8"/>
        <v>2.8</v>
      </c>
      <c r="B187" s="2512" t="s">
        <v>9512</v>
      </c>
      <c r="C187" s="2489" t="s">
        <v>191</v>
      </c>
      <c r="D187" s="2614"/>
      <c r="E187" s="2614"/>
      <c r="F187" s="2488"/>
      <c r="G187" s="2488"/>
      <c r="H187" s="2752">
        <v>102006</v>
      </c>
      <c r="I187" s="2488"/>
      <c r="J187" s="2488"/>
      <c r="K187" s="2488"/>
      <c r="L187" s="2530">
        <v>0</v>
      </c>
      <c r="M187" s="2530">
        <v>5469965</v>
      </c>
      <c r="N187" s="2531">
        <v>153012</v>
      </c>
      <c r="O187" s="2527">
        <f t="shared" si="6"/>
        <v>5622977</v>
      </c>
      <c r="P187" s="2479" t="str">
        <f t="shared" si="7"/>
        <v>2.8, Pavant Solar LLC, LU</v>
      </c>
    </row>
    <row r="188" spans="1:16" ht="15" customHeight="1" x14ac:dyDescent="0.2">
      <c r="A188" s="2769">
        <f t="shared" si="8"/>
        <v>2.81</v>
      </c>
      <c r="B188" s="2512" t="s">
        <v>9513</v>
      </c>
      <c r="C188" s="2489" t="s">
        <v>191</v>
      </c>
      <c r="D188" s="2614"/>
      <c r="E188" s="2614"/>
      <c r="F188" s="2614"/>
      <c r="G188" s="2614"/>
      <c r="H188" s="2752">
        <v>218846</v>
      </c>
      <c r="I188" s="2488"/>
      <c r="J188" s="2488"/>
      <c r="K188" s="2488"/>
      <c r="L188" s="2530">
        <v>0</v>
      </c>
      <c r="M188" s="2530">
        <v>9170570</v>
      </c>
      <c r="N188" s="2530">
        <v>0</v>
      </c>
      <c r="O188" s="2527">
        <f t="shared" si="6"/>
        <v>9170570</v>
      </c>
      <c r="P188" s="2479" t="str">
        <f t="shared" si="7"/>
        <v>2.81, Pioneer Wind Park I, LLC, LU</v>
      </c>
    </row>
    <row r="189" spans="1:16" ht="15" customHeight="1" x14ac:dyDescent="0.2">
      <c r="A189" s="2769">
        <f t="shared" si="8"/>
        <v>2.82</v>
      </c>
      <c r="B189" s="2512" t="s">
        <v>9514</v>
      </c>
      <c r="C189" s="2489" t="s">
        <v>190</v>
      </c>
      <c r="D189" s="2614"/>
      <c r="E189" s="2614"/>
      <c r="F189" s="2488"/>
      <c r="G189" s="2488"/>
      <c r="H189" s="2752">
        <v>2385</v>
      </c>
      <c r="I189" s="2488"/>
      <c r="J189" s="2488"/>
      <c r="K189" s="2488"/>
      <c r="L189" s="2530">
        <v>0</v>
      </c>
      <c r="M189" s="2530">
        <v>125074</v>
      </c>
      <c r="N189" s="2530">
        <v>0</v>
      </c>
      <c r="O189" s="2527">
        <f t="shared" si="6"/>
        <v>125074</v>
      </c>
      <c r="P189" s="2479" t="str">
        <f t="shared" si="7"/>
        <v>2.82, Platte River Power Authority, SF</v>
      </c>
    </row>
    <row r="190" spans="1:16" ht="15" customHeight="1" x14ac:dyDescent="0.2">
      <c r="A190" s="2769">
        <f t="shared" si="8"/>
        <v>2.83</v>
      </c>
      <c r="B190" s="2512" t="s">
        <v>9123</v>
      </c>
      <c r="C190" s="2947" t="s">
        <v>188</v>
      </c>
      <c r="D190" s="2614"/>
      <c r="E190" s="2614"/>
      <c r="F190" s="2488"/>
      <c r="G190" s="2488"/>
      <c r="H190" s="2752">
        <v>11213</v>
      </c>
      <c r="I190" s="2488"/>
      <c r="J190" s="2488"/>
      <c r="K190" s="2488"/>
      <c r="L190" s="2530">
        <v>0</v>
      </c>
      <c r="M190" s="2530">
        <v>0</v>
      </c>
      <c r="N190" s="2531">
        <v>205771</v>
      </c>
      <c r="O190" s="2527">
        <f t="shared" si="6"/>
        <v>205771</v>
      </c>
      <c r="P190" s="2479" t="str">
        <f t="shared" si="7"/>
        <v>2.83, Portland General Electric Company, LF</v>
      </c>
    </row>
    <row r="191" spans="1:16" ht="15" customHeight="1" x14ac:dyDescent="0.2">
      <c r="A191" s="2769">
        <f t="shared" si="8"/>
        <v>2.84</v>
      </c>
      <c r="B191" s="2512" t="s">
        <v>9123</v>
      </c>
      <c r="C191" s="2947" t="s">
        <v>196</v>
      </c>
      <c r="D191" s="2614"/>
      <c r="E191" s="2614"/>
      <c r="F191" s="2488"/>
      <c r="G191" s="2488"/>
      <c r="H191" s="2752">
        <v>0</v>
      </c>
      <c r="I191" s="2488"/>
      <c r="J191" s="2488"/>
      <c r="K191" s="2488"/>
      <c r="L191" s="2530">
        <v>0</v>
      </c>
      <c r="M191" s="2530">
        <v>0</v>
      </c>
      <c r="N191" s="2531">
        <v>-195</v>
      </c>
      <c r="O191" s="2527">
        <f t="shared" si="6"/>
        <v>-195</v>
      </c>
      <c r="P191" s="2479" t="str">
        <f t="shared" si="7"/>
        <v>2.84, Portland General Electric Company, AD</v>
      </c>
    </row>
    <row r="192" spans="1:16" ht="15" customHeight="1" x14ac:dyDescent="0.2">
      <c r="A192" s="2769">
        <f t="shared" si="8"/>
        <v>2.85</v>
      </c>
      <c r="B192" s="2512" t="s">
        <v>9123</v>
      </c>
      <c r="C192" s="2489" t="s">
        <v>190</v>
      </c>
      <c r="D192" s="2614"/>
      <c r="E192" s="2614"/>
      <c r="F192" s="2488"/>
      <c r="G192" s="2488"/>
      <c r="H192" s="2752">
        <v>69401</v>
      </c>
      <c r="I192" s="2488"/>
      <c r="J192" s="2488"/>
      <c r="K192" s="2488"/>
      <c r="L192" s="2530">
        <v>0</v>
      </c>
      <c r="M192" s="2530">
        <v>7585231</v>
      </c>
      <c r="N192" s="2531">
        <v>6443</v>
      </c>
      <c r="O192" s="2527">
        <f t="shared" si="6"/>
        <v>7591674</v>
      </c>
      <c r="P192" s="2479" t="str">
        <f t="shared" si="7"/>
        <v>2.85, Portland General Electric Company, SF</v>
      </c>
    </row>
    <row r="193" spans="1:16" ht="15" customHeight="1" x14ac:dyDescent="0.2">
      <c r="A193" s="2769">
        <f t="shared" si="8"/>
        <v>2.86</v>
      </c>
      <c r="B193" s="2512" t="s">
        <v>9515</v>
      </c>
      <c r="C193" s="2489" t="s">
        <v>191</v>
      </c>
      <c r="D193" s="2614"/>
      <c r="E193" s="2614"/>
      <c r="F193" s="2488"/>
      <c r="G193" s="2488"/>
      <c r="H193" s="2752">
        <v>60666</v>
      </c>
      <c r="I193" s="2488"/>
      <c r="J193" s="2488"/>
      <c r="K193" s="2488"/>
      <c r="L193" s="2530">
        <v>0</v>
      </c>
      <c r="M193" s="2530">
        <v>5182408</v>
      </c>
      <c r="N193" s="2530">
        <v>0</v>
      </c>
      <c r="O193" s="2527">
        <f t="shared" si="6"/>
        <v>5182408</v>
      </c>
      <c r="P193" s="2479" t="str">
        <f t="shared" si="7"/>
        <v>2.86, Power County Wind Park North, LLC, LU</v>
      </c>
    </row>
    <row r="194" spans="1:16" ht="15" customHeight="1" x14ac:dyDescent="0.2">
      <c r="A194" s="2769">
        <f t="shared" si="8"/>
        <v>2.87</v>
      </c>
      <c r="B194" s="2502" t="s">
        <v>9516</v>
      </c>
      <c r="C194" s="2489" t="s">
        <v>191</v>
      </c>
      <c r="D194" s="2614"/>
      <c r="E194" s="2614"/>
      <c r="F194" s="2488"/>
      <c r="G194" s="2488"/>
      <c r="H194" s="2752">
        <v>54713</v>
      </c>
      <c r="I194" s="2488"/>
      <c r="J194" s="2488"/>
      <c r="K194" s="2488"/>
      <c r="L194" s="2530">
        <v>0</v>
      </c>
      <c r="M194" s="2530">
        <v>4706666</v>
      </c>
      <c r="N194" s="2530">
        <v>0</v>
      </c>
      <c r="O194" s="2527">
        <f t="shared" si="6"/>
        <v>4706666</v>
      </c>
      <c r="P194" s="2479" t="str">
        <f t="shared" si="7"/>
        <v>2.87, Power County Wind Park South, LLC, LU</v>
      </c>
    </row>
    <row r="195" spans="1:16" ht="15" customHeight="1" x14ac:dyDescent="0.2">
      <c r="A195" s="2769">
        <f t="shared" si="8"/>
        <v>2.88</v>
      </c>
      <c r="B195" s="2502" t="s">
        <v>9124</v>
      </c>
      <c r="C195" s="2489" t="s">
        <v>190</v>
      </c>
      <c r="D195" s="2614"/>
      <c r="E195" s="2614"/>
      <c r="F195" s="2488"/>
      <c r="G195" s="2488"/>
      <c r="H195" s="2752">
        <v>247032</v>
      </c>
      <c r="I195" s="2488"/>
      <c r="J195" s="2488"/>
      <c r="K195" s="2488"/>
      <c r="L195" s="2530">
        <v>0</v>
      </c>
      <c r="M195" s="2530">
        <v>33686690</v>
      </c>
      <c r="N195" s="2530">
        <v>0</v>
      </c>
      <c r="O195" s="2527">
        <f t="shared" si="6"/>
        <v>33686690</v>
      </c>
      <c r="P195" s="2479" t="str">
        <f t="shared" si="7"/>
        <v>2.88, Powerex Corporation, SF</v>
      </c>
    </row>
    <row r="196" spans="1:16" ht="15" customHeight="1" x14ac:dyDescent="0.2">
      <c r="A196" s="2769">
        <f t="shared" si="8"/>
        <v>2.89</v>
      </c>
      <c r="B196" s="2502" t="s">
        <v>9517</v>
      </c>
      <c r="C196" s="2489" t="s">
        <v>191</v>
      </c>
      <c r="D196" s="2614"/>
      <c r="E196" s="2614"/>
      <c r="F196" s="2488"/>
      <c r="G196" s="2488"/>
      <c r="H196" s="2752">
        <v>97149</v>
      </c>
      <c r="I196" s="2488"/>
      <c r="J196" s="2488"/>
      <c r="K196" s="2488"/>
      <c r="L196" s="2530">
        <v>0</v>
      </c>
      <c r="M196" s="2530">
        <v>1837081</v>
      </c>
      <c r="N196" s="2531">
        <v>1236707</v>
      </c>
      <c r="O196" s="2527">
        <f t="shared" si="6"/>
        <v>3073788</v>
      </c>
      <c r="P196" s="2479" t="str">
        <f t="shared" si="7"/>
        <v>2.89, Prineville Solar Energy LLC, LU</v>
      </c>
    </row>
    <row r="197" spans="1:16" ht="15" customHeight="1" x14ac:dyDescent="0.2">
      <c r="A197" s="2769">
        <f t="shared" si="8"/>
        <v>2.9</v>
      </c>
      <c r="B197" s="2502" t="s">
        <v>9518</v>
      </c>
      <c r="C197" s="2947" t="s">
        <v>188</v>
      </c>
      <c r="D197" s="2614"/>
      <c r="E197" s="2614"/>
      <c r="F197" s="2488"/>
      <c r="G197" s="2488"/>
      <c r="H197" s="2752">
        <v>36</v>
      </c>
      <c r="I197" s="2488"/>
      <c r="J197" s="2488"/>
      <c r="K197" s="2488"/>
      <c r="L197" s="2530">
        <v>0</v>
      </c>
      <c r="M197" s="2530">
        <v>4255</v>
      </c>
      <c r="N197" s="2530">
        <v>0</v>
      </c>
      <c r="O197" s="2527">
        <f t="shared" si="6"/>
        <v>4255</v>
      </c>
      <c r="P197" s="2479" t="str">
        <f t="shared" si="7"/>
        <v>2.9, Provo City Corporation, LF</v>
      </c>
    </row>
    <row r="198" spans="1:16" ht="15" customHeight="1" x14ac:dyDescent="0.2">
      <c r="A198" s="2769">
        <f t="shared" si="8"/>
        <v>2.91</v>
      </c>
      <c r="B198" s="2512" t="s">
        <v>9125</v>
      </c>
      <c r="C198" s="2489" t="s">
        <v>190</v>
      </c>
      <c r="D198" s="2614"/>
      <c r="E198" s="2614"/>
      <c r="F198" s="2488"/>
      <c r="G198" s="2488"/>
      <c r="H198" s="2750">
        <v>34115</v>
      </c>
      <c r="I198" s="2488"/>
      <c r="J198" s="2488"/>
      <c r="K198" s="2488"/>
      <c r="L198" s="2530">
        <v>0</v>
      </c>
      <c r="M198" s="2530">
        <v>3136007</v>
      </c>
      <c r="N198" s="2531">
        <v>25504</v>
      </c>
      <c r="O198" s="2527">
        <f t="shared" si="6"/>
        <v>3161511</v>
      </c>
      <c r="P198" s="2479" t="str">
        <f t="shared" si="7"/>
        <v>2.91, Public Service Company of Colorado, SF</v>
      </c>
    </row>
    <row r="199" spans="1:16" ht="15" customHeight="1" x14ac:dyDescent="0.2">
      <c r="A199" s="2769">
        <f t="shared" si="8"/>
        <v>2.92</v>
      </c>
      <c r="B199" s="2512" t="s">
        <v>9126</v>
      </c>
      <c r="C199" s="2489" t="s">
        <v>190</v>
      </c>
      <c r="D199" s="2614"/>
      <c r="E199" s="2614"/>
      <c r="F199" s="2488"/>
      <c r="G199" s="2488"/>
      <c r="H199" s="2752">
        <v>19329</v>
      </c>
      <c r="I199" s="2488"/>
      <c r="J199" s="2488"/>
      <c r="K199" s="2488"/>
      <c r="L199" s="2530">
        <v>0</v>
      </c>
      <c r="M199" s="2530">
        <v>3775172</v>
      </c>
      <c r="N199" s="2530">
        <v>0</v>
      </c>
      <c r="O199" s="2527">
        <f t="shared" ref="O199:O262" si="9">SUM(L199:N199)</f>
        <v>3775172</v>
      </c>
      <c r="P199" s="2479" t="str">
        <f t="shared" ref="P199:P262" si="10">CONCATENATE(A199,", ",B199,", ",C199)</f>
        <v>2.92, Public Service Company of New Mexico, SF</v>
      </c>
    </row>
    <row r="200" spans="1:16" ht="15" customHeight="1" x14ac:dyDescent="0.2">
      <c r="A200" s="2769">
        <f t="shared" ref="A200:A263" si="11">ROUND(A199+0.01,2)</f>
        <v>2.93</v>
      </c>
      <c r="B200" s="2512" t="s">
        <v>9127</v>
      </c>
      <c r="C200" s="2489" t="s">
        <v>190</v>
      </c>
      <c r="D200" s="2614"/>
      <c r="E200" s="2614"/>
      <c r="F200" s="2488"/>
      <c r="G200" s="2488"/>
      <c r="H200" s="2752">
        <v>65694</v>
      </c>
      <c r="I200" s="2488"/>
      <c r="J200" s="2488"/>
      <c r="K200" s="2488"/>
      <c r="L200" s="2530">
        <v>0</v>
      </c>
      <c r="M200" s="2530">
        <v>2948065</v>
      </c>
      <c r="N200" s="2531">
        <v>1065</v>
      </c>
      <c r="O200" s="2527">
        <f t="shared" si="9"/>
        <v>2949130</v>
      </c>
      <c r="P200" s="2479" t="str">
        <f t="shared" si="10"/>
        <v>2.93, Public Utility District No. 1 of Chelan County, SF</v>
      </c>
    </row>
    <row r="201" spans="1:16" ht="15" customHeight="1" x14ac:dyDescent="0.2">
      <c r="A201" s="2769">
        <f t="shared" si="11"/>
        <v>2.94</v>
      </c>
      <c r="B201" s="2512" t="s">
        <v>9519</v>
      </c>
      <c r="C201" s="2489" t="s">
        <v>190</v>
      </c>
      <c r="D201" s="2614"/>
      <c r="E201" s="2614"/>
      <c r="F201" s="2488"/>
      <c r="G201" s="2488"/>
      <c r="H201" s="2752">
        <v>0</v>
      </c>
      <c r="I201" s="2488"/>
      <c r="J201" s="2488"/>
      <c r="K201" s="2488"/>
      <c r="L201" s="2530">
        <v>0</v>
      </c>
      <c r="M201" s="2530">
        <v>0</v>
      </c>
      <c r="N201" s="2531">
        <v>48000</v>
      </c>
      <c r="O201" s="2527">
        <f t="shared" si="9"/>
        <v>48000</v>
      </c>
      <c r="P201" s="2479" t="str">
        <f t="shared" si="10"/>
        <v>2.94, Public Utility District No. 1 of Cowlitz County, SF</v>
      </c>
    </row>
    <row r="202" spans="1:16" ht="15" customHeight="1" x14ac:dyDescent="0.2">
      <c r="A202" s="2769">
        <f t="shared" si="11"/>
        <v>2.95</v>
      </c>
      <c r="B202" s="2512" t="s">
        <v>12085</v>
      </c>
      <c r="C202" s="2489" t="s">
        <v>190</v>
      </c>
      <c r="D202" s="2614"/>
      <c r="E202" s="2614"/>
      <c r="F202" s="2614"/>
      <c r="G202" s="2614"/>
      <c r="H202" s="2752">
        <v>1</v>
      </c>
      <c r="I202" s="2488"/>
      <c r="J202" s="2488"/>
      <c r="K202" s="2488"/>
      <c r="L202" s="2530">
        <v>0</v>
      </c>
      <c r="M202" s="2530">
        <v>0</v>
      </c>
      <c r="N202" s="2531">
        <v>77</v>
      </c>
      <c r="O202" s="2527">
        <f t="shared" si="9"/>
        <v>77</v>
      </c>
      <c r="P202" s="2479" t="str">
        <f t="shared" si="10"/>
        <v>2.95, Public Utility District No. 1 of Douglas County, SF</v>
      </c>
    </row>
    <row r="203" spans="1:16" ht="15" customHeight="1" x14ac:dyDescent="0.2">
      <c r="A203" s="2769">
        <f t="shared" si="11"/>
        <v>2.96</v>
      </c>
      <c r="B203" s="2512" t="s">
        <v>9128</v>
      </c>
      <c r="C203" s="2489" t="s">
        <v>190</v>
      </c>
      <c r="D203" s="2614"/>
      <c r="E203" s="2614"/>
      <c r="F203" s="2488"/>
      <c r="G203" s="2488"/>
      <c r="H203" s="2752">
        <v>9710</v>
      </c>
      <c r="I203" s="2488"/>
      <c r="J203" s="2488"/>
      <c r="K203" s="2488"/>
      <c r="L203" s="2530">
        <v>0</v>
      </c>
      <c r="M203" s="2530">
        <v>455867</v>
      </c>
      <c r="N203" s="2530">
        <v>0</v>
      </c>
      <c r="O203" s="2527">
        <f t="shared" si="9"/>
        <v>455867</v>
      </c>
      <c r="P203" s="2479" t="str">
        <f t="shared" si="10"/>
        <v>2.96, Public Utility District No. 1 of Snohomish County, SF</v>
      </c>
    </row>
    <row r="204" spans="1:16" ht="15" customHeight="1" x14ac:dyDescent="0.2">
      <c r="A204" s="2769">
        <f t="shared" si="11"/>
        <v>2.97</v>
      </c>
      <c r="B204" s="2512" t="s">
        <v>9129</v>
      </c>
      <c r="C204" s="2489" t="s">
        <v>191</v>
      </c>
      <c r="D204" s="2614"/>
      <c r="E204" s="2614"/>
      <c r="F204" s="2488"/>
      <c r="G204" s="2488"/>
      <c r="H204" s="2752">
        <v>100478</v>
      </c>
      <c r="I204" s="2488"/>
      <c r="J204" s="2488"/>
      <c r="K204" s="2488"/>
      <c r="L204" s="2530">
        <v>0</v>
      </c>
      <c r="M204" s="2530">
        <v>0</v>
      </c>
      <c r="N204" s="2531">
        <v>2189840</v>
      </c>
      <c r="O204" s="2527">
        <f t="shared" si="9"/>
        <v>2189840</v>
      </c>
      <c r="P204" s="2479" t="str">
        <f t="shared" si="10"/>
        <v>2.97, Public Utility District No. 2 of Grant County, LU</v>
      </c>
    </row>
    <row r="205" spans="1:16" ht="15" customHeight="1" x14ac:dyDescent="0.2">
      <c r="A205" s="2769">
        <f t="shared" si="11"/>
        <v>2.98</v>
      </c>
      <c r="B205" s="2512" t="s">
        <v>9129</v>
      </c>
      <c r="C205" s="2489" t="s">
        <v>190</v>
      </c>
      <c r="D205" s="2614"/>
      <c r="E205" s="2614"/>
      <c r="F205" s="2488"/>
      <c r="G205" s="2488"/>
      <c r="H205" s="2752">
        <v>1291277</v>
      </c>
      <c r="I205" s="2488"/>
      <c r="J205" s="2488"/>
      <c r="K205" s="2488"/>
      <c r="L205" s="2530">
        <v>0</v>
      </c>
      <c r="M205" s="2530">
        <v>0</v>
      </c>
      <c r="N205" s="2531">
        <v>78709440</v>
      </c>
      <c r="O205" s="2527">
        <f t="shared" si="9"/>
        <v>78709440</v>
      </c>
      <c r="P205" s="2479" t="str">
        <f t="shared" si="10"/>
        <v>2.98, Public Utility District No. 2 of Grant County, SF</v>
      </c>
    </row>
    <row r="206" spans="1:16" ht="15" customHeight="1" x14ac:dyDescent="0.2">
      <c r="A206" s="2769">
        <f t="shared" si="11"/>
        <v>2.99</v>
      </c>
      <c r="B206" s="2512" t="s">
        <v>9129</v>
      </c>
      <c r="C206" s="2489" t="s">
        <v>190</v>
      </c>
      <c r="D206" s="2614"/>
      <c r="E206" s="2614"/>
      <c r="F206" s="2488"/>
      <c r="G206" s="2488"/>
      <c r="H206" s="2752">
        <v>21</v>
      </c>
      <c r="I206" s="2488"/>
      <c r="J206" s="2488"/>
      <c r="K206" s="2488"/>
      <c r="L206" s="2530">
        <v>0</v>
      </c>
      <c r="M206" s="2530">
        <v>0</v>
      </c>
      <c r="N206" s="2531">
        <v>1630</v>
      </c>
      <c r="O206" s="2527">
        <f t="shared" si="9"/>
        <v>1630</v>
      </c>
      <c r="P206" s="2479" t="str">
        <f t="shared" si="10"/>
        <v>2.99, Public Utility District No. 2 of Grant County, SF</v>
      </c>
    </row>
    <row r="207" spans="1:16" ht="15" customHeight="1" x14ac:dyDescent="0.2">
      <c r="A207" s="2769">
        <f t="shared" si="11"/>
        <v>3</v>
      </c>
      <c r="B207" s="2502" t="s">
        <v>9129</v>
      </c>
      <c r="C207" s="2947" t="s">
        <v>196</v>
      </c>
      <c r="D207" s="2614"/>
      <c r="E207" s="2614"/>
      <c r="F207" s="2488"/>
      <c r="G207" s="2488"/>
      <c r="H207" s="2752">
        <v>0</v>
      </c>
      <c r="I207" s="2488"/>
      <c r="J207" s="2488"/>
      <c r="K207" s="2488"/>
      <c r="L207" s="2530">
        <v>0</v>
      </c>
      <c r="M207" s="2530">
        <v>0</v>
      </c>
      <c r="N207" s="2531">
        <v>112439</v>
      </c>
      <c r="O207" s="2527">
        <f t="shared" si="9"/>
        <v>112439</v>
      </c>
      <c r="P207" s="2479" t="str">
        <f t="shared" si="10"/>
        <v>3, Public Utility District No. 2 of Grant County, AD</v>
      </c>
    </row>
    <row r="208" spans="1:16" ht="15" customHeight="1" x14ac:dyDescent="0.2">
      <c r="A208" s="2769">
        <f t="shared" si="11"/>
        <v>3.01</v>
      </c>
      <c r="B208" s="2502" t="s">
        <v>9130</v>
      </c>
      <c r="C208" s="2489" t="s">
        <v>190</v>
      </c>
      <c r="D208" s="2614"/>
      <c r="E208" s="2614"/>
      <c r="F208" s="2488"/>
      <c r="G208" s="2488"/>
      <c r="H208" s="2752">
        <v>150280</v>
      </c>
      <c r="I208" s="2488"/>
      <c r="J208" s="2488"/>
      <c r="K208" s="2488"/>
      <c r="L208" s="2530">
        <v>0</v>
      </c>
      <c r="M208" s="2530">
        <v>14792800</v>
      </c>
      <c r="N208" s="2531">
        <v>6656</v>
      </c>
      <c r="O208" s="2527">
        <f t="shared" si="9"/>
        <v>14799456</v>
      </c>
      <c r="P208" s="2479" t="str">
        <f t="shared" si="10"/>
        <v>3.01, Puget Sound Energy, Inc., SF</v>
      </c>
    </row>
    <row r="209" spans="1:16" ht="15" customHeight="1" x14ac:dyDescent="0.2">
      <c r="A209" s="2769">
        <f t="shared" si="11"/>
        <v>3.02</v>
      </c>
      <c r="B209" s="2502" t="s">
        <v>9520</v>
      </c>
      <c r="C209" s="2489" t="s">
        <v>191</v>
      </c>
      <c r="D209" s="2614"/>
      <c r="E209" s="2771">
        <v>3</v>
      </c>
      <c r="F209" s="2530">
        <v>3</v>
      </c>
      <c r="G209" s="2530">
        <v>2</v>
      </c>
      <c r="H209" s="2752">
        <v>7821</v>
      </c>
      <c r="I209" s="2488"/>
      <c r="J209" s="2488"/>
      <c r="K209" s="2488"/>
      <c r="L209" s="2530">
        <v>319506</v>
      </c>
      <c r="M209" s="2530">
        <v>415219</v>
      </c>
      <c r="N209" s="2530">
        <v>0</v>
      </c>
      <c r="O209" s="2527">
        <f t="shared" si="9"/>
        <v>734725</v>
      </c>
      <c r="P209" s="2479" t="str">
        <f t="shared" si="10"/>
        <v>3.02, Quichapa 1, LLC, LU</v>
      </c>
    </row>
    <row r="210" spans="1:16" ht="15" customHeight="1" x14ac:dyDescent="0.2">
      <c r="A210" s="2769">
        <f t="shared" si="11"/>
        <v>3.03</v>
      </c>
      <c r="B210" s="2502" t="s">
        <v>9521</v>
      </c>
      <c r="C210" s="2489" t="s">
        <v>191</v>
      </c>
      <c r="D210" s="2614"/>
      <c r="E210" s="2771">
        <v>3</v>
      </c>
      <c r="F210" s="2530">
        <v>3</v>
      </c>
      <c r="G210" s="2530">
        <v>2</v>
      </c>
      <c r="H210" s="2752">
        <v>7834</v>
      </c>
      <c r="I210" s="2488"/>
      <c r="J210" s="2488"/>
      <c r="K210" s="2488"/>
      <c r="L210" s="2530">
        <v>321007</v>
      </c>
      <c r="M210" s="2530">
        <v>415360</v>
      </c>
      <c r="N210" s="2530">
        <v>0</v>
      </c>
      <c r="O210" s="2527">
        <f t="shared" si="9"/>
        <v>736367</v>
      </c>
      <c r="P210" s="2479" t="str">
        <f t="shared" si="10"/>
        <v>3.03, Quichapa 2, LLC, LU</v>
      </c>
    </row>
    <row r="211" spans="1:16" ht="15" customHeight="1" x14ac:dyDescent="0.2">
      <c r="A211" s="2769">
        <f t="shared" si="11"/>
        <v>3.04</v>
      </c>
      <c r="B211" s="2512" t="s">
        <v>9522</v>
      </c>
      <c r="C211" s="2489" t="s">
        <v>191</v>
      </c>
      <c r="D211" s="2614"/>
      <c r="E211" s="2771">
        <v>3</v>
      </c>
      <c r="F211" s="2530">
        <v>3</v>
      </c>
      <c r="G211" s="2530">
        <v>1</v>
      </c>
      <c r="H211" s="2750">
        <v>7340</v>
      </c>
      <c r="I211" s="2488"/>
      <c r="J211" s="2488"/>
      <c r="K211" s="2488"/>
      <c r="L211" s="2530">
        <v>318080</v>
      </c>
      <c r="M211" s="2530">
        <v>389898</v>
      </c>
      <c r="N211" s="2530">
        <v>0</v>
      </c>
      <c r="O211" s="2527">
        <f t="shared" si="9"/>
        <v>707978</v>
      </c>
      <c r="P211" s="2479" t="str">
        <f t="shared" si="10"/>
        <v>3.04, Quichapa 3, LLC, LU</v>
      </c>
    </row>
    <row r="212" spans="1:16" ht="15" customHeight="1" x14ac:dyDescent="0.2">
      <c r="A212" s="2769">
        <f t="shared" si="11"/>
        <v>3.05</v>
      </c>
      <c r="B212" s="2512" t="s">
        <v>9131</v>
      </c>
      <c r="C212" s="2489" t="s">
        <v>190</v>
      </c>
      <c r="D212" s="2614"/>
      <c r="E212" s="2614"/>
      <c r="F212" s="2488"/>
      <c r="G212" s="2488"/>
      <c r="H212" s="2752">
        <v>9510</v>
      </c>
      <c r="I212" s="2488"/>
      <c r="J212" s="2488"/>
      <c r="K212" s="2488"/>
      <c r="L212" s="2530">
        <v>0</v>
      </c>
      <c r="M212" s="2530">
        <v>1272968</v>
      </c>
      <c r="N212" s="2530">
        <v>0</v>
      </c>
      <c r="O212" s="2527">
        <f t="shared" si="9"/>
        <v>1272968</v>
      </c>
      <c r="P212" s="2479" t="str">
        <f t="shared" si="10"/>
        <v>3.05, Rainbow Energy Marketing Corporation, SF</v>
      </c>
    </row>
    <row r="213" spans="1:16" ht="15" customHeight="1" x14ac:dyDescent="0.2">
      <c r="A213" s="2769">
        <f t="shared" si="11"/>
        <v>3.06</v>
      </c>
      <c r="B213" s="2512" t="s">
        <v>9524</v>
      </c>
      <c r="C213" s="2489" t="s">
        <v>191</v>
      </c>
      <c r="D213" s="2614"/>
      <c r="E213" s="2614"/>
      <c r="F213" s="2488"/>
      <c r="G213" s="2488"/>
      <c r="H213" s="2752">
        <v>75771</v>
      </c>
      <c r="I213" s="2488"/>
      <c r="J213" s="2488"/>
      <c r="K213" s="2488"/>
      <c r="L213" s="2530">
        <v>0</v>
      </c>
      <c r="M213" s="2530">
        <v>4168151</v>
      </c>
      <c r="N213" s="2530">
        <v>0</v>
      </c>
      <c r="O213" s="2527">
        <f t="shared" si="9"/>
        <v>4168151</v>
      </c>
      <c r="P213" s="2479" t="str">
        <f t="shared" si="10"/>
        <v>3.06, Roseburg Forest Products Company, LU</v>
      </c>
    </row>
    <row r="214" spans="1:16" ht="15" customHeight="1" x14ac:dyDescent="0.2">
      <c r="A214" s="2769">
        <f t="shared" si="11"/>
        <v>3.07</v>
      </c>
      <c r="B214" s="2512" t="s">
        <v>9525</v>
      </c>
      <c r="C214" s="2489" t="s">
        <v>191</v>
      </c>
      <c r="D214" s="2614"/>
      <c r="E214" s="2614"/>
      <c r="F214" s="2488"/>
      <c r="G214" s="2488"/>
      <c r="H214" s="2752">
        <v>7504</v>
      </c>
      <c r="I214" s="2488"/>
      <c r="J214" s="2488"/>
      <c r="K214" s="2488"/>
      <c r="L214" s="2530">
        <v>0</v>
      </c>
      <c r="M214" s="2530">
        <v>668151</v>
      </c>
      <c r="N214" s="2530">
        <v>0</v>
      </c>
      <c r="O214" s="2527">
        <f t="shared" si="9"/>
        <v>668151</v>
      </c>
      <c r="P214" s="2479" t="str">
        <f t="shared" si="10"/>
        <v>3.07, Roseburg LFG Energy, LLC, LU</v>
      </c>
    </row>
    <row r="215" spans="1:16" ht="15" customHeight="1" x14ac:dyDescent="0.2">
      <c r="A215" s="2769">
        <f t="shared" si="11"/>
        <v>3.08</v>
      </c>
      <c r="B215" s="2512" t="s">
        <v>9132</v>
      </c>
      <c r="C215" s="2489" t="s">
        <v>190</v>
      </c>
      <c r="D215" s="2614"/>
      <c r="E215" s="2614"/>
      <c r="F215" s="2614"/>
      <c r="G215" s="2614"/>
      <c r="H215" s="2752">
        <v>25552</v>
      </c>
      <c r="I215" s="2488"/>
      <c r="J215" s="2488"/>
      <c r="K215" s="2488"/>
      <c r="L215" s="2530">
        <v>0</v>
      </c>
      <c r="M215" s="2530">
        <v>2040472</v>
      </c>
      <c r="N215" s="2530">
        <v>0</v>
      </c>
      <c r="O215" s="2527">
        <f t="shared" si="9"/>
        <v>2040472</v>
      </c>
      <c r="P215" s="2479" t="str">
        <f t="shared" si="10"/>
        <v>3.08, Sacramento Municipal Utility District, SF</v>
      </c>
    </row>
    <row r="216" spans="1:16" ht="15" customHeight="1" x14ac:dyDescent="0.2">
      <c r="A216" s="2769">
        <f t="shared" si="11"/>
        <v>3.09</v>
      </c>
      <c r="B216" s="2512" t="s">
        <v>9526</v>
      </c>
      <c r="C216" s="2489" t="s">
        <v>191</v>
      </c>
      <c r="D216" s="2614"/>
      <c r="E216" s="2614"/>
      <c r="F216" s="2488"/>
      <c r="G216" s="2488"/>
      <c r="H216" s="2752">
        <v>43607</v>
      </c>
      <c r="I216" s="2488"/>
      <c r="J216" s="2488"/>
      <c r="K216" s="2488"/>
      <c r="L216" s="2530">
        <v>0</v>
      </c>
      <c r="M216" s="2530">
        <v>2028387</v>
      </c>
      <c r="N216" s="2530">
        <v>0</v>
      </c>
      <c r="O216" s="2527">
        <f t="shared" si="9"/>
        <v>2028387</v>
      </c>
      <c r="P216" s="2479" t="str">
        <f t="shared" si="10"/>
        <v>3.09, Sage Solar I LLC, LU</v>
      </c>
    </row>
    <row r="217" spans="1:16" ht="15" customHeight="1" x14ac:dyDescent="0.2">
      <c r="A217" s="2769">
        <f t="shared" si="11"/>
        <v>3.1</v>
      </c>
      <c r="B217" s="2512" t="s">
        <v>9527</v>
      </c>
      <c r="C217" s="2489" t="s">
        <v>191</v>
      </c>
      <c r="D217" s="2614"/>
      <c r="E217" s="2614"/>
      <c r="F217" s="2488"/>
      <c r="G217" s="2488"/>
      <c r="H217" s="2752">
        <v>42991</v>
      </c>
      <c r="I217" s="2488"/>
      <c r="J217" s="2488"/>
      <c r="K217" s="2488"/>
      <c r="L217" s="2530">
        <v>0</v>
      </c>
      <c r="M217" s="2530">
        <v>2008695</v>
      </c>
      <c r="N217" s="2530">
        <v>0</v>
      </c>
      <c r="O217" s="2527">
        <f t="shared" si="9"/>
        <v>2008695</v>
      </c>
      <c r="P217" s="2479" t="str">
        <f t="shared" si="10"/>
        <v>3.1, Sage Solar II LLC, LU</v>
      </c>
    </row>
    <row r="218" spans="1:16" ht="15" customHeight="1" x14ac:dyDescent="0.2">
      <c r="A218" s="2769">
        <f t="shared" si="11"/>
        <v>3.11</v>
      </c>
      <c r="B218" s="2512" t="s">
        <v>9528</v>
      </c>
      <c r="C218" s="2489" t="s">
        <v>191</v>
      </c>
      <c r="D218" s="2614"/>
      <c r="E218" s="2614"/>
      <c r="F218" s="2488"/>
      <c r="G218" s="2488"/>
      <c r="H218" s="2752">
        <v>38861</v>
      </c>
      <c r="I218" s="2488"/>
      <c r="J218" s="2488"/>
      <c r="K218" s="2488"/>
      <c r="L218" s="2530">
        <v>0</v>
      </c>
      <c r="M218" s="2530">
        <v>1817124</v>
      </c>
      <c r="N218" s="2530">
        <v>0</v>
      </c>
      <c r="O218" s="2527">
        <f t="shared" si="9"/>
        <v>1817124</v>
      </c>
      <c r="P218" s="2479" t="str">
        <f t="shared" si="10"/>
        <v>3.11, Sage Solar III LLC, LU</v>
      </c>
    </row>
    <row r="219" spans="1:16" ht="15" customHeight="1" x14ac:dyDescent="0.2">
      <c r="A219" s="2769">
        <f t="shared" si="11"/>
        <v>3.12</v>
      </c>
      <c r="B219" s="2512" t="s">
        <v>9133</v>
      </c>
      <c r="C219" s="2489" t="s">
        <v>190</v>
      </c>
      <c r="D219" s="2614"/>
      <c r="E219" s="2614"/>
      <c r="F219" s="2488"/>
      <c r="G219" s="2488"/>
      <c r="H219" s="2752">
        <v>75250</v>
      </c>
      <c r="I219" s="2488"/>
      <c r="J219" s="2488"/>
      <c r="K219" s="2488"/>
      <c r="L219" s="2530">
        <v>0</v>
      </c>
      <c r="M219" s="2530">
        <v>10438965</v>
      </c>
      <c r="N219" s="2530">
        <v>0</v>
      </c>
      <c r="O219" s="2527">
        <f t="shared" si="9"/>
        <v>10438965</v>
      </c>
      <c r="P219" s="2479" t="str">
        <f t="shared" si="10"/>
        <v>3.12, Salt River Project, SF</v>
      </c>
    </row>
    <row r="220" spans="1:16" ht="15" customHeight="1" x14ac:dyDescent="0.2">
      <c r="A220" s="2769">
        <f t="shared" si="11"/>
        <v>3.13</v>
      </c>
      <c r="B220" s="2512" t="s">
        <v>9529</v>
      </c>
      <c r="C220" s="2489" t="s">
        <v>191</v>
      </c>
      <c r="D220" s="2614"/>
      <c r="E220" s="2614"/>
      <c r="F220" s="2488"/>
      <c r="G220" s="2488"/>
      <c r="H220" s="2752">
        <v>19781</v>
      </c>
      <c r="I220" s="2488"/>
      <c r="J220" s="2488"/>
      <c r="K220" s="2488"/>
      <c r="L220" s="2530">
        <v>0</v>
      </c>
      <c r="M220" s="2530">
        <v>1570228</v>
      </c>
      <c r="N220" s="2530">
        <v>0</v>
      </c>
      <c r="O220" s="2527">
        <f t="shared" si="9"/>
        <v>1570228</v>
      </c>
      <c r="P220" s="2479" t="str">
        <f t="shared" si="10"/>
        <v>3.13, Sand Ranch Windfarm, LLC, LU</v>
      </c>
    </row>
    <row r="221" spans="1:16" ht="15" customHeight="1" x14ac:dyDescent="0.2">
      <c r="A221" s="2769">
        <f t="shared" si="11"/>
        <v>3.14</v>
      </c>
      <c r="B221" s="2502" t="s">
        <v>9134</v>
      </c>
      <c r="C221" s="2489" t="s">
        <v>190</v>
      </c>
      <c r="D221" s="2614"/>
      <c r="E221" s="2614"/>
      <c r="F221" s="2488"/>
      <c r="G221" s="2488"/>
      <c r="H221" s="2752">
        <v>109624</v>
      </c>
      <c r="I221" s="2488"/>
      <c r="J221" s="2488"/>
      <c r="K221" s="2488"/>
      <c r="L221" s="2530">
        <v>0</v>
      </c>
      <c r="M221" s="2530">
        <v>6261212</v>
      </c>
      <c r="N221" s="2531">
        <v>2394</v>
      </c>
      <c r="O221" s="2527">
        <f t="shared" si="9"/>
        <v>6263606</v>
      </c>
      <c r="P221" s="2479" t="str">
        <f t="shared" si="10"/>
        <v>3.14, Seattle City Light, SF</v>
      </c>
    </row>
    <row r="222" spans="1:16" ht="15" customHeight="1" x14ac:dyDescent="0.2">
      <c r="A222" s="2769">
        <f t="shared" si="11"/>
        <v>3.15</v>
      </c>
      <c r="B222" s="2502" t="s">
        <v>12086</v>
      </c>
      <c r="C222" s="2489" t="s">
        <v>190</v>
      </c>
      <c r="D222" s="2614"/>
      <c r="E222" s="2614"/>
      <c r="F222" s="2488"/>
      <c r="G222" s="2488"/>
      <c r="H222" s="2752">
        <v>1400</v>
      </c>
      <c r="I222" s="2488"/>
      <c r="J222" s="2488"/>
      <c r="K222" s="2488"/>
      <c r="L222" s="2530">
        <v>0</v>
      </c>
      <c r="M222" s="2530">
        <v>181400</v>
      </c>
      <c r="N222" s="2530">
        <v>0</v>
      </c>
      <c r="O222" s="2527">
        <f t="shared" si="9"/>
        <v>181400</v>
      </c>
      <c r="P222" s="2479" t="str">
        <f t="shared" si="10"/>
        <v>3.15, Sempra Gas &amp; Power Marketing, LLC, SF</v>
      </c>
    </row>
    <row r="223" spans="1:16" ht="15" customHeight="1" x14ac:dyDescent="0.2">
      <c r="A223" s="2769">
        <f t="shared" si="11"/>
        <v>3.16</v>
      </c>
      <c r="B223" s="2502" t="s">
        <v>9135</v>
      </c>
      <c r="C223" s="2489" t="s">
        <v>190</v>
      </c>
      <c r="D223" s="2614"/>
      <c r="E223" s="2614"/>
      <c r="F223" s="2488"/>
      <c r="G223" s="2488"/>
      <c r="H223" s="2752">
        <v>323865</v>
      </c>
      <c r="I223" s="2488"/>
      <c r="J223" s="2488"/>
      <c r="K223" s="2488"/>
      <c r="L223" s="2530">
        <v>0</v>
      </c>
      <c r="M223" s="2530">
        <v>31656232</v>
      </c>
      <c r="N223" s="2530">
        <v>0</v>
      </c>
      <c r="O223" s="2527">
        <f t="shared" si="9"/>
        <v>31656232</v>
      </c>
      <c r="P223" s="2479" t="str">
        <f t="shared" si="10"/>
        <v>3.16, Shell Energy North America (US), L.P., SF</v>
      </c>
    </row>
    <row r="224" spans="1:16" ht="15" customHeight="1" x14ac:dyDescent="0.2">
      <c r="A224" s="2769">
        <f t="shared" si="11"/>
        <v>3.17</v>
      </c>
      <c r="B224" s="2744" t="s">
        <v>9136</v>
      </c>
      <c r="C224" s="2489" t="s">
        <v>190</v>
      </c>
      <c r="D224" s="2614"/>
      <c r="E224" s="2614"/>
      <c r="F224" s="2488"/>
      <c r="G224" s="2488"/>
      <c r="H224" s="2752">
        <v>277</v>
      </c>
      <c r="I224" s="2488"/>
      <c r="J224" s="2488"/>
      <c r="K224" s="2488"/>
      <c r="L224" s="2530">
        <v>0</v>
      </c>
      <c r="M224" s="2530">
        <v>7684</v>
      </c>
      <c r="N224" s="2531">
        <v>19487</v>
      </c>
      <c r="O224" s="2527">
        <f t="shared" si="9"/>
        <v>27171</v>
      </c>
      <c r="P224" s="2479" t="str">
        <f t="shared" si="10"/>
        <v>3.17, Sierra Pacific Power Company, SF</v>
      </c>
    </row>
    <row r="225" spans="1:16" ht="15" customHeight="1" x14ac:dyDescent="0.2">
      <c r="A225" s="2769">
        <f t="shared" si="11"/>
        <v>3.18</v>
      </c>
      <c r="B225" s="2512" t="s">
        <v>9530</v>
      </c>
      <c r="C225" s="2489" t="s">
        <v>191</v>
      </c>
      <c r="D225" s="2614"/>
      <c r="E225" s="2614"/>
      <c r="F225" s="2488"/>
      <c r="G225" s="2488"/>
      <c r="H225" s="2750">
        <v>203870</v>
      </c>
      <c r="I225" s="2488"/>
      <c r="J225" s="2488"/>
      <c r="K225" s="2488"/>
      <c r="L225" s="2530">
        <v>0</v>
      </c>
      <c r="M225" s="2530">
        <v>5508554</v>
      </c>
      <c r="N225" s="2531">
        <v>868486</v>
      </c>
      <c r="O225" s="2527">
        <f t="shared" si="9"/>
        <v>6377040</v>
      </c>
      <c r="P225" s="2479" t="str">
        <f t="shared" si="10"/>
        <v>3.18, Sigurd Solar LLC, LU</v>
      </c>
    </row>
    <row r="226" spans="1:16" ht="15" customHeight="1" x14ac:dyDescent="0.2">
      <c r="A226" s="2769">
        <f t="shared" si="11"/>
        <v>3.19</v>
      </c>
      <c r="B226" s="2512" t="s">
        <v>9531</v>
      </c>
      <c r="C226" s="2489" t="s">
        <v>191</v>
      </c>
      <c r="D226" s="2614"/>
      <c r="E226" s="2614"/>
      <c r="F226" s="2488"/>
      <c r="G226" s="2488"/>
      <c r="H226" s="2752">
        <v>123</v>
      </c>
      <c r="I226" s="2488"/>
      <c r="J226" s="2488"/>
      <c r="K226" s="2488"/>
      <c r="L226" s="2530">
        <v>0</v>
      </c>
      <c r="M226" s="2530">
        <v>3561</v>
      </c>
      <c r="N226" s="2530">
        <v>0</v>
      </c>
      <c r="O226" s="2527">
        <f t="shared" si="9"/>
        <v>3561</v>
      </c>
      <c r="P226" s="2479" t="str">
        <f t="shared" si="10"/>
        <v>3.19, Simplot Phosphates LLC, LU</v>
      </c>
    </row>
    <row r="227" spans="1:16" ht="15" customHeight="1" x14ac:dyDescent="0.2">
      <c r="A227" s="2769">
        <f t="shared" si="11"/>
        <v>3.2</v>
      </c>
      <c r="B227" s="2512" t="s">
        <v>9533</v>
      </c>
      <c r="C227" s="2489" t="s">
        <v>191</v>
      </c>
      <c r="D227" s="2614"/>
      <c r="E227" s="2614"/>
      <c r="F227" s="2488"/>
      <c r="G227" s="2488"/>
      <c r="H227" s="2752">
        <v>160</v>
      </c>
      <c r="I227" s="2488"/>
      <c r="J227" s="2488"/>
      <c r="K227" s="2488"/>
      <c r="L227" s="2530">
        <v>0</v>
      </c>
      <c r="M227" s="2530">
        <v>15375</v>
      </c>
      <c r="N227" s="2530">
        <v>0</v>
      </c>
      <c r="O227" s="2527">
        <f t="shared" si="9"/>
        <v>15375</v>
      </c>
      <c r="P227" s="2479" t="str">
        <f t="shared" si="10"/>
        <v>3.2, Solarize Rogue LLC, LU</v>
      </c>
    </row>
    <row r="228" spans="1:16" ht="15" customHeight="1" x14ac:dyDescent="0.2">
      <c r="A228" s="2769">
        <f t="shared" si="11"/>
        <v>3.21</v>
      </c>
      <c r="B228" s="2512" t="s">
        <v>9534</v>
      </c>
      <c r="C228" s="2489" t="s">
        <v>191</v>
      </c>
      <c r="D228" s="2614"/>
      <c r="E228" s="2614"/>
      <c r="F228" s="2488"/>
      <c r="G228" s="2488"/>
      <c r="H228" s="2752">
        <v>814</v>
      </c>
      <c r="I228" s="2488"/>
      <c r="J228" s="2488"/>
      <c r="K228" s="2488"/>
      <c r="L228" s="2530">
        <v>0</v>
      </c>
      <c r="M228" s="2530">
        <v>69931</v>
      </c>
      <c r="N228" s="2530">
        <v>0</v>
      </c>
      <c r="O228" s="2527">
        <f t="shared" si="9"/>
        <v>69931</v>
      </c>
      <c r="P228" s="2479" t="str">
        <f t="shared" si="10"/>
        <v>3.21, Solwatt, LLC, LU</v>
      </c>
    </row>
    <row r="229" spans="1:16" ht="15" customHeight="1" x14ac:dyDescent="0.2">
      <c r="A229" s="2769">
        <f t="shared" si="11"/>
        <v>3.22</v>
      </c>
      <c r="B229" s="2512" t="s">
        <v>9535</v>
      </c>
      <c r="C229" s="2489" t="s">
        <v>191</v>
      </c>
      <c r="D229" s="2614"/>
      <c r="E229" s="2614"/>
      <c r="F229" s="2614"/>
      <c r="G229" s="2614"/>
      <c r="H229" s="2752">
        <v>42585</v>
      </c>
      <c r="I229" s="2488"/>
      <c r="J229" s="2488"/>
      <c r="K229" s="2488"/>
      <c r="L229" s="2530">
        <v>0</v>
      </c>
      <c r="M229" s="2530">
        <v>2618369</v>
      </c>
      <c r="N229" s="2530">
        <v>0</v>
      </c>
      <c r="O229" s="2527">
        <f t="shared" si="9"/>
        <v>2618369</v>
      </c>
      <c r="P229" s="2479" t="str">
        <f t="shared" si="10"/>
        <v>3.22, Spanish Fork Wind Park 2, LLC, LU</v>
      </c>
    </row>
    <row r="230" spans="1:16" ht="15" customHeight="1" x14ac:dyDescent="0.2">
      <c r="A230" s="2769">
        <f t="shared" si="11"/>
        <v>3.23</v>
      </c>
      <c r="B230" s="2512" t="s">
        <v>9536</v>
      </c>
      <c r="C230" s="2489" t="s">
        <v>191</v>
      </c>
      <c r="D230" s="2614"/>
      <c r="E230" s="2771">
        <v>1</v>
      </c>
      <c r="F230" s="2530">
        <v>0</v>
      </c>
      <c r="G230" s="2530">
        <v>0</v>
      </c>
      <c r="H230" s="2752">
        <v>378</v>
      </c>
      <c r="I230" s="2488"/>
      <c r="J230" s="2488"/>
      <c r="K230" s="2488"/>
      <c r="L230" s="2530">
        <v>6619</v>
      </c>
      <c r="M230" s="2530">
        <v>61338</v>
      </c>
      <c r="N230" s="2530">
        <v>0</v>
      </c>
      <c r="O230" s="2527">
        <f t="shared" si="9"/>
        <v>67957</v>
      </c>
      <c r="P230" s="2479" t="str">
        <f t="shared" si="10"/>
        <v>3.23, Sprague Hydro LLC, LU</v>
      </c>
    </row>
    <row r="231" spans="1:16" ht="15" customHeight="1" x14ac:dyDescent="0.2">
      <c r="A231" s="2769">
        <f t="shared" si="11"/>
        <v>3.24</v>
      </c>
      <c r="B231" s="2512" t="s">
        <v>9537</v>
      </c>
      <c r="C231" s="2489" t="s">
        <v>191</v>
      </c>
      <c r="D231" s="2614"/>
      <c r="E231" s="2614"/>
      <c r="F231" s="2488"/>
      <c r="G231" s="2488"/>
      <c r="H231" s="2752">
        <v>5125</v>
      </c>
      <c r="I231" s="2488"/>
      <c r="J231" s="2488"/>
      <c r="K231" s="2488"/>
      <c r="L231" s="2530">
        <v>0</v>
      </c>
      <c r="M231" s="2530">
        <v>366425</v>
      </c>
      <c r="N231" s="2530">
        <v>0</v>
      </c>
      <c r="O231" s="2527">
        <f t="shared" si="9"/>
        <v>366425</v>
      </c>
      <c r="P231" s="2479" t="str">
        <f t="shared" si="10"/>
        <v>3.24, St. Anthony Hydro, LLC, LU</v>
      </c>
    </row>
    <row r="232" spans="1:16" ht="15" customHeight="1" x14ac:dyDescent="0.2">
      <c r="A232" s="2769">
        <f t="shared" si="11"/>
        <v>3.25</v>
      </c>
      <c r="B232" s="2512" t="s">
        <v>9538</v>
      </c>
      <c r="C232" s="2489" t="s">
        <v>192</v>
      </c>
      <c r="D232" s="2614"/>
      <c r="E232" s="2614"/>
      <c r="F232" s="2488"/>
      <c r="G232" s="2488"/>
      <c r="H232" s="2752">
        <v>955</v>
      </c>
      <c r="I232" s="2488"/>
      <c r="J232" s="2488"/>
      <c r="K232" s="2488"/>
      <c r="L232" s="2530">
        <v>0</v>
      </c>
      <c r="M232" s="2530">
        <v>68269</v>
      </c>
      <c r="N232" s="2530">
        <v>0</v>
      </c>
      <c r="O232" s="2527">
        <f t="shared" si="9"/>
        <v>68269</v>
      </c>
      <c r="P232" s="2479" t="str">
        <f t="shared" si="10"/>
        <v>3.25, Stahlbush Island Farms, Inc., IU</v>
      </c>
    </row>
    <row r="233" spans="1:16" ht="15" customHeight="1" x14ac:dyDescent="0.2">
      <c r="A233" s="2769">
        <f t="shared" si="11"/>
        <v>3.26</v>
      </c>
      <c r="B233" s="2512" t="s">
        <v>9541</v>
      </c>
      <c r="C233" s="2489" t="s">
        <v>191</v>
      </c>
      <c r="D233" s="2614"/>
      <c r="E233" s="2771">
        <v>3</v>
      </c>
      <c r="F233" s="2530">
        <v>3</v>
      </c>
      <c r="G233" s="2530">
        <v>1</v>
      </c>
      <c r="H233" s="2752">
        <v>6321</v>
      </c>
      <c r="I233" s="2488"/>
      <c r="J233" s="2488"/>
      <c r="K233" s="2488"/>
      <c r="L233" s="2530">
        <v>433561</v>
      </c>
      <c r="M233" s="2530">
        <v>355238</v>
      </c>
      <c r="N233" s="2530">
        <v>0</v>
      </c>
      <c r="O233" s="2527">
        <f t="shared" si="9"/>
        <v>788799</v>
      </c>
      <c r="P233" s="2479" t="str">
        <f t="shared" si="10"/>
        <v>3.26, SunE DB18, LLC, LU</v>
      </c>
    </row>
    <row r="234" spans="1:16" ht="15" customHeight="1" x14ac:dyDescent="0.2">
      <c r="A234" s="2769">
        <f t="shared" si="11"/>
        <v>3.27</v>
      </c>
      <c r="B234" s="2512" t="s">
        <v>9542</v>
      </c>
      <c r="C234" s="2489" t="s">
        <v>191</v>
      </c>
      <c r="D234" s="2614"/>
      <c r="E234" s="2771">
        <v>3</v>
      </c>
      <c r="F234" s="2530">
        <v>2</v>
      </c>
      <c r="G234" s="2530">
        <v>1</v>
      </c>
      <c r="H234" s="2752">
        <v>6641</v>
      </c>
      <c r="I234" s="2488"/>
      <c r="J234" s="2488"/>
      <c r="K234" s="2488"/>
      <c r="L234" s="2530">
        <v>259095</v>
      </c>
      <c r="M234" s="2530">
        <v>354583</v>
      </c>
      <c r="N234" s="2530">
        <v>0</v>
      </c>
      <c r="O234" s="2527">
        <f t="shared" si="9"/>
        <v>613678</v>
      </c>
      <c r="P234" s="2479" t="str">
        <f t="shared" si="10"/>
        <v>3.27, SunE DB24, LLC, LU</v>
      </c>
    </row>
    <row r="235" spans="1:16" ht="15" customHeight="1" x14ac:dyDescent="0.2">
      <c r="A235" s="2769">
        <f t="shared" si="11"/>
        <v>3.28</v>
      </c>
      <c r="B235" s="2502" t="s">
        <v>9543</v>
      </c>
      <c r="C235" s="2489" t="s">
        <v>191</v>
      </c>
      <c r="D235" s="2614"/>
      <c r="E235" s="2771">
        <v>3</v>
      </c>
      <c r="F235" s="2530">
        <v>8</v>
      </c>
      <c r="G235" s="2530">
        <v>4</v>
      </c>
      <c r="H235" s="2752">
        <v>6242</v>
      </c>
      <c r="I235" s="2488"/>
      <c r="J235" s="2488"/>
      <c r="K235" s="2488"/>
      <c r="L235" s="2530">
        <v>401026</v>
      </c>
      <c r="M235" s="2530">
        <v>350801</v>
      </c>
      <c r="N235" s="2530">
        <v>0</v>
      </c>
      <c r="O235" s="2527">
        <f t="shared" si="9"/>
        <v>751827</v>
      </c>
      <c r="P235" s="2479" t="str">
        <f t="shared" si="10"/>
        <v>3.28, SunE Solar XVII Project1, LLC, LU</v>
      </c>
    </row>
    <row r="236" spans="1:16" ht="15" customHeight="1" x14ac:dyDescent="0.2">
      <c r="A236" s="2769">
        <f t="shared" si="11"/>
        <v>3.29</v>
      </c>
      <c r="B236" s="2502" t="s">
        <v>9544</v>
      </c>
      <c r="C236" s="2489" t="s">
        <v>191</v>
      </c>
      <c r="D236" s="2614"/>
      <c r="E236" s="2771">
        <v>3</v>
      </c>
      <c r="F236" s="2530">
        <v>8</v>
      </c>
      <c r="G236" s="2530">
        <v>4</v>
      </c>
      <c r="H236" s="2752">
        <v>6480</v>
      </c>
      <c r="I236" s="2488"/>
      <c r="J236" s="2488"/>
      <c r="K236" s="2488"/>
      <c r="L236" s="2530">
        <v>405473</v>
      </c>
      <c r="M236" s="2530">
        <v>364195</v>
      </c>
      <c r="N236" s="2530">
        <v>0</v>
      </c>
      <c r="O236" s="2527">
        <f t="shared" si="9"/>
        <v>769668</v>
      </c>
      <c r="P236" s="2479" t="str">
        <f t="shared" si="10"/>
        <v>3.29, SunE Solar XVII Project2, LLC, LU</v>
      </c>
    </row>
    <row r="237" spans="1:16" ht="15" customHeight="1" x14ac:dyDescent="0.2">
      <c r="A237" s="2769">
        <f t="shared" si="11"/>
        <v>3.3</v>
      </c>
      <c r="B237" s="2502" t="s">
        <v>9545</v>
      </c>
      <c r="C237" s="2489" t="s">
        <v>191</v>
      </c>
      <c r="D237" s="2614"/>
      <c r="E237" s="2771">
        <v>3</v>
      </c>
      <c r="F237" s="2530">
        <v>8</v>
      </c>
      <c r="G237" s="2530">
        <v>4</v>
      </c>
      <c r="H237" s="2752">
        <v>7068</v>
      </c>
      <c r="I237" s="2488"/>
      <c r="J237" s="2488"/>
      <c r="K237" s="2488"/>
      <c r="L237" s="2530">
        <v>299828</v>
      </c>
      <c r="M237" s="2530">
        <v>377360</v>
      </c>
      <c r="N237" s="2530">
        <v>0</v>
      </c>
      <c r="O237" s="2527">
        <f t="shared" si="9"/>
        <v>677188</v>
      </c>
      <c r="P237" s="2479" t="str">
        <f t="shared" si="10"/>
        <v>3.3, SunE Solar XVII Project3, LLC, LU</v>
      </c>
    </row>
    <row r="238" spans="1:16" ht="15" customHeight="1" x14ac:dyDescent="0.2">
      <c r="A238" s="2769">
        <f t="shared" si="11"/>
        <v>3.31</v>
      </c>
      <c r="B238" s="2502" t="s">
        <v>9546</v>
      </c>
      <c r="C238" s="2489" t="s">
        <v>191</v>
      </c>
      <c r="D238" s="2614"/>
      <c r="E238" s="2614"/>
      <c r="F238" s="2488"/>
      <c r="G238" s="2488"/>
      <c r="H238" s="2752">
        <v>1447</v>
      </c>
      <c r="I238" s="2488"/>
      <c r="J238" s="2488"/>
      <c r="K238" s="2488"/>
      <c r="L238" s="2530">
        <v>0</v>
      </c>
      <c r="M238" s="2530">
        <v>71994</v>
      </c>
      <c r="N238" s="2530">
        <v>0</v>
      </c>
      <c r="O238" s="2527">
        <f t="shared" si="9"/>
        <v>71994</v>
      </c>
      <c r="P238" s="2479" t="str">
        <f t="shared" si="10"/>
        <v>3.31, Sunny Bar Ranch LLLP, LU</v>
      </c>
    </row>
    <row r="239" spans="1:16" ht="15" customHeight="1" x14ac:dyDescent="0.2">
      <c r="A239" s="2769">
        <f t="shared" si="11"/>
        <v>3.32</v>
      </c>
      <c r="B239" s="2512" t="s">
        <v>9547</v>
      </c>
      <c r="C239" s="2489" t="s">
        <v>191</v>
      </c>
      <c r="D239" s="2614"/>
      <c r="E239" s="2771">
        <v>55</v>
      </c>
      <c r="F239" s="2530">
        <v>53</v>
      </c>
      <c r="G239" s="2530">
        <v>52</v>
      </c>
      <c r="H239" s="2750">
        <v>404896</v>
      </c>
      <c r="I239" s="2488"/>
      <c r="J239" s="2488"/>
      <c r="K239" s="2488"/>
      <c r="L239" s="2530">
        <v>11626560</v>
      </c>
      <c r="M239" s="2530">
        <v>21418784</v>
      </c>
      <c r="N239" s="2488"/>
      <c r="O239" s="2527">
        <f t="shared" si="9"/>
        <v>33045344</v>
      </c>
      <c r="P239" s="2479" t="str">
        <f t="shared" si="10"/>
        <v>3.32, Sunnyside Cogeneration Associates, LU</v>
      </c>
    </row>
    <row r="240" spans="1:16" ht="15" customHeight="1" x14ac:dyDescent="0.2">
      <c r="A240" s="2769">
        <f t="shared" si="11"/>
        <v>3.33</v>
      </c>
      <c r="B240" s="2512" t="s">
        <v>9548</v>
      </c>
      <c r="C240" s="2489" t="s">
        <v>191</v>
      </c>
      <c r="D240" s="2614"/>
      <c r="E240" s="2614"/>
      <c r="F240" s="2488"/>
      <c r="G240" s="2488"/>
      <c r="H240" s="2752">
        <v>2069</v>
      </c>
      <c r="I240" s="2488"/>
      <c r="J240" s="2488"/>
      <c r="K240" s="2488"/>
      <c r="L240" s="2530">
        <v>0</v>
      </c>
      <c r="M240" s="2530">
        <v>166680</v>
      </c>
      <c r="N240" s="2530">
        <v>0</v>
      </c>
      <c r="O240" s="2527">
        <f t="shared" si="9"/>
        <v>166680</v>
      </c>
      <c r="P240" s="2479" t="str">
        <f t="shared" si="10"/>
        <v>3.33, Swalley Irrigation District, LU</v>
      </c>
    </row>
    <row r="241" spans="1:16" ht="15" customHeight="1" x14ac:dyDescent="0.2">
      <c r="A241" s="2769">
        <f t="shared" si="11"/>
        <v>3.34</v>
      </c>
      <c r="B241" s="2512" t="s">
        <v>9549</v>
      </c>
      <c r="C241" s="2489" t="s">
        <v>191</v>
      </c>
      <c r="D241" s="2614"/>
      <c r="E241" s="2614"/>
      <c r="F241" s="2488"/>
      <c r="G241" s="2488"/>
      <c r="H241" s="2752">
        <v>186499</v>
      </c>
      <c r="I241" s="2488"/>
      <c r="J241" s="2488"/>
      <c r="K241" s="2488"/>
      <c r="L241" s="2530">
        <v>0</v>
      </c>
      <c r="M241" s="2530">
        <v>8008595</v>
      </c>
      <c r="N241" s="2530">
        <v>0</v>
      </c>
      <c r="O241" s="2527">
        <f t="shared" si="9"/>
        <v>8008595</v>
      </c>
      <c r="P241" s="2479" t="str">
        <f t="shared" si="10"/>
        <v>3.34, Sweetwater Solar LLC, LU</v>
      </c>
    </row>
    <row r="242" spans="1:16" ht="15" customHeight="1" x14ac:dyDescent="0.2">
      <c r="A242" s="2769">
        <f t="shared" si="11"/>
        <v>3.35</v>
      </c>
      <c r="B242" s="2512" t="s">
        <v>9137</v>
      </c>
      <c r="C242" s="2489" t="s">
        <v>190</v>
      </c>
      <c r="D242" s="2614"/>
      <c r="E242" s="2614"/>
      <c r="F242" s="2488"/>
      <c r="G242" s="2488"/>
      <c r="H242" s="2752">
        <v>39231</v>
      </c>
      <c r="I242" s="2488"/>
      <c r="J242" s="2488"/>
      <c r="K242" s="2488"/>
      <c r="L242" s="2530">
        <v>0</v>
      </c>
      <c r="M242" s="2530">
        <v>4239239</v>
      </c>
      <c r="N242" s="2531">
        <v>1249</v>
      </c>
      <c r="O242" s="2527">
        <f t="shared" si="9"/>
        <v>4240488</v>
      </c>
      <c r="P242" s="2479" t="str">
        <f t="shared" si="10"/>
        <v>3.35, Tacoma Power, SF</v>
      </c>
    </row>
    <row r="243" spans="1:16" ht="15" customHeight="1" x14ac:dyDescent="0.2">
      <c r="A243" s="2769">
        <f t="shared" si="11"/>
        <v>3.36</v>
      </c>
      <c r="B243" s="2512" t="s">
        <v>9550</v>
      </c>
      <c r="C243" s="2489" t="s">
        <v>191</v>
      </c>
      <c r="D243" s="2614"/>
      <c r="E243" s="2614"/>
      <c r="F243" s="2614"/>
      <c r="G243" s="2614"/>
      <c r="H243" s="2752">
        <v>1194</v>
      </c>
      <c r="I243" s="2488"/>
      <c r="J243" s="2488"/>
      <c r="K243" s="2488"/>
      <c r="L243" s="2530">
        <v>0</v>
      </c>
      <c r="M243" s="2530">
        <v>24947</v>
      </c>
      <c r="N243" s="2530">
        <v>0</v>
      </c>
      <c r="O243" s="2527">
        <f t="shared" si="9"/>
        <v>24947</v>
      </c>
      <c r="P243" s="2479" t="str">
        <f t="shared" si="10"/>
        <v>3.36, Tata Chemicals (Soda Ash) Partners, LU</v>
      </c>
    </row>
    <row r="244" spans="1:16" ht="15" customHeight="1" x14ac:dyDescent="0.2">
      <c r="A244" s="2769">
        <f t="shared" si="11"/>
        <v>3.37</v>
      </c>
      <c r="B244" s="2512" t="s">
        <v>9138</v>
      </c>
      <c r="C244" s="2489" t="s">
        <v>190</v>
      </c>
      <c r="D244" s="2614"/>
      <c r="E244" s="2614"/>
      <c r="F244" s="2488"/>
      <c r="G244" s="2488"/>
      <c r="H244" s="2752">
        <v>43633</v>
      </c>
      <c r="I244" s="2488"/>
      <c r="J244" s="2488"/>
      <c r="K244" s="2488"/>
      <c r="L244" s="2530">
        <v>0</v>
      </c>
      <c r="M244" s="2530">
        <v>7841870</v>
      </c>
      <c r="N244" s="2530">
        <v>0</v>
      </c>
      <c r="O244" s="2527">
        <f t="shared" si="9"/>
        <v>7841870</v>
      </c>
      <c r="P244" s="2479" t="str">
        <f t="shared" si="10"/>
        <v>3.37, Tenaska Power Services Co., SF</v>
      </c>
    </row>
    <row r="245" spans="1:16" ht="15" customHeight="1" x14ac:dyDescent="0.2">
      <c r="A245" s="2769">
        <f t="shared" si="11"/>
        <v>3.38</v>
      </c>
      <c r="B245" s="2512" t="s">
        <v>9551</v>
      </c>
      <c r="C245" s="2489" t="s">
        <v>191</v>
      </c>
      <c r="D245" s="2614"/>
      <c r="E245" s="2614"/>
      <c r="F245" s="2488"/>
      <c r="G245" s="2488"/>
      <c r="H245" s="2752">
        <v>1423</v>
      </c>
      <c r="I245" s="2488"/>
      <c r="J245" s="2488"/>
      <c r="K245" s="2488"/>
      <c r="L245" s="2530">
        <v>0</v>
      </c>
      <c r="M245" s="2530">
        <v>39763</v>
      </c>
      <c r="N245" s="2530">
        <v>0</v>
      </c>
      <c r="O245" s="2527">
        <f t="shared" si="9"/>
        <v>39763</v>
      </c>
      <c r="P245" s="2479" t="str">
        <f t="shared" si="10"/>
        <v>3.38, Tesoro Refining &amp; Marketing Company, LLC, LU</v>
      </c>
    </row>
    <row r="246" spans="1:16" ht="15" customHeight="1" x14ac:dyDescent="0.2">
      <c r="A246" s="2769">
        <f t="shared" si="11"/>
        <v>3.39</v>
      </c>
      <c r="B246" s="2512" t="s">
        <v>9552</v>
      </c>
      <c r="C246" s="2489" t="s">
        <v>191</v>
      </c>
      <c r="D246" s="2614"/>
      <c r="E246" s="2771">
        <v>0</v>
      </c>
      <c r="F246" s="2530">
        <v>1</v>
      </c>
      <c r="G246" s="2530">
        <v>0</v>
      </c>
      <c r="H246" s="2752">
        <v>4133</v>
      </c>
      <c r="I246" s="2488"/>
      <c r="J246" s="2488"/>
      <c r="K246" s="2488"/>
      <c r="L246" s="2530">
        <v>0</v>
      </c>
      <c r="M246" s="2530">
        <v>222193</v>
      </c>
      <c r="N246" s="2530">
        <v>0</v>
      </c>
      <c r="O246" s="2527">
        <f t="shared" si="9"/>
        <v>222193</v>
      </c>
      <c r="P246" s="2479" t="str">
        <f t="shared" si="10"/>
        <v>3.39, Thayn Hydro LLC, LU</v>
      </c>
    </row>
    <row r="247" spans="1:16" ht="15" customHeight="1" x14ac:dyDescent="0.2">
      <c r="A247" s="2769">
        <f t="shared" si="11"/>
        <v>3.4</v>
      </c>
      <c r="B247" s="2512" t="s">
        <v>9139</v>
      </c>
      <c r="C247" s="2489" t="s">
        <v>190</v>
      </c>
      <c r="D247" s="2614"/>
      <c r="E247" s="2614"/>
      <c r="F247" s="2488"/>
      <c r="G247" s="2488"/>
      <c r="H247" s="2752">
        <v>83180</v>
      </c>
      <c r="I247" s="2488"/>
      <c r="J247" s="2488"/>
      <c r="K247" s="2488"/>
      <c r="L247" s="2530">
        <v>0</v>
      </c>
      <c r="M247" s="2530">
        <v>8772073</v>
      </c>
      <c r="N247" s="2530">
        <v>0</v>
      </c>
      <c r="O247" s="2527">
        <f t="shared" si="9"/>
        <v>8772073</v>
      </c>
      <c r="P247" s="2479" t="str">
        <f t="shared" si="10"/>
        <v>3.4, The Energy Authority, Inc., SF</v>
      </c>
    </row>
    <row r="248" spans="1:16" ht="15" customHeight="1" x14ac:dyDescent="0.2">
      <c r="A248" s="2769">
        <f t="shared" si="11"/>
        <v>3.41</v>
      </c>
      <c r="B248" s="2512" t="s">
        <v>9553</v>
      </c>
      <c r="C248" s="2489" t="s">
        <v>191</v>
      </c>
      <c r="D248" s="2614"/>
      <c r="E248" s="2614"/>
      <c r="F248" s="2488"/>
      <c r="G248" s="2488"/>
      <c r="H248" s="2752">
        <v>317724</v>
      </c>
      <c r="I248" s="2488"/>
      <c r="J248" s="2488"/>
      <c r="K248" s="2488"/>
      <c r="L248" s="2530">
        <v>0</v>
      </c>
      <c r="M248" s="2530">
        <v>20269304</v>
      </c>
      <c r="N248" s="2530">
        <v>0</v>
      </c>
      <c r="O248" s="2527">
        <f t="shared" si="9"/>
        <v>20269304</v>
      </c>
      <c r="P248" s="2479" t="str">
        <f t="shared" si="10"/>
        <v>3.41, Three Buttes Windpower, LLC, LU</v>
      </c>
    </row>
    <row r="249" spans="1:16" ht="15" customHeight="1" x14ac:dyDescent="0.2">
      <c r="A249" s="2769">
        <f t="shared" si="11"/>
        <v>3.42</v>
      </c>
      <c r="B249" s="2502" t="s">
        <v>9554</v>
      </c>
      <c r="C249" s="2489" t="s">
        <v>191</v>
      </c>
      <c r="D249" s="2614"/>
      <c r="E249" s="2614"/>
      <c r="F249" s="2488"/>
      <c r="G249" s="2488"/>
      <c r="H249" s="2752">
        <v>216136</v>
      </c>
      <c r="I249" s="2488"/>
      <c r="J249" s="2488"/>
      <c r="K249" s="2488"/>
      <c r="L249" s="2530">
        <v>0</v>
      </c>
      <c r="M249" s="2530">
        <v>9141290</v>
      </c>
      <c r="N249" s="2530">
        <v>0</v>
      </c>
      <c r="O249" s="2527">
        <f t="shared" si="9"/>
        <v>9141290</v>
      </c>
      <c r="P249" s="2479" t="str">
        <f t="shared" si="10"/>
        <v>3.42, Three Peaks Power, LLC, LU</v>
      </c>
    </row>
    <row r="250" spans="1:16" ht="15" customHeight="1" x14ac:dyDescent="0.2">
      <c r="A250" s="2769">
        <f t="shared" si="11"/>
        <v>3.43</v>
      </c>
      <c r="B250" s="2502" t="s">
        <v>9555</v>
      </c>
      <c r="C250" s="2489" t="s">
        <v>191</v>
      </c>
      <c r="D250" s="2614"/>
      <c r="E250" s="2614"/>
      <c r="F250" s="2488"/>
      <c r="G250" s="2488"/>
      <c r="H250" s="2752">
        <v>1851</v>
      </c>
      <c r="I250" s="2488"/>
      <c r="J250" s="2488"/>
      <c r="K250" s="2488"/>
      <c r="L250" s="2530">
        <v>0</v>
      </c>
      <c r="M250" s="2530">
        <v>118530</v>
      </c>
      <c r="N250" s="2530">
        <v>0</v>
      </c>
      <c r="O250" s="2527">
        <f t="shared" si="9"/>
        <v>118530</v>
      </c>
      <c r="P250" s="2479" t="str">
        <f t="shared" si="10"/>
        <v>3.43, Three Sisters Irrigation District, LU</v>
      </c>
    </row>
    <row r="251" spans="1:16" ht="15" customHeight="1" x14ac:dyDescent="0.2">
      <c r="A251" s="2769">
        <f t="shared" si="11"/>
        <v>3.44</v>
      </c>
      <c r="B251" s="2502" t="s">
        <v>9556</v>
      </c>
      <c r="C251" s="2489" t="s">
        <v>191</v>
      </c>
      <c r="D251" s="2614"/>
      <c r="E251" s="2614"/>
      <c r="F251" s="2488"/>
      <c r="G251" s="2488"/>
      <c r="H251" s="2752">
        <v>19954</v>
      </c>
      <c r="I251" s="2488"/>
      <c r="J251" s="2488"/>
      <c r="K251" s="2488"/>
      <c r="L251" s="2530">
        <v>0</v>
      </c>
      <c r="M251" s="2530">
        <v>1610859</v>
      </c>
      <c r="N251" s="2530">
        <v>0</v>
      </c>
      <c r="O251" s="2527">
        <f t="shared" si="9"/>
        <v>1610859</v>
      </c>
      <c r="P251" s="2479" t="str">
        <f t="shared" si="10"/>
        <v>3.44, Threemile Canyon Wind I, LLC, LU</v>
      </c>
    </row>
    <row r="252" spans="1:16" ht="15" customHeight="1" x14ac:dyDescent="0.2">
      <c r="A252" s="2769">
        <f t="shared" si="11"/>
        <v>3.45</v>
      </c>
      <c r="B252" s="2502" t="s">
        <v>9557</v>
      </c>
      <c r="C252" s="2489" t="s">
        <v>191</v>
      </c>
      <c r="D252" s="2614"/>
      <c r="E252" s="2614"/>
      <c r="F252" s="2488"/>
      <c r="G252" s="2488"/>
      <c r="H252" s="2752">
        <v>34431</v>
      </c>
      <c r="I252" s="2488"/>
      <c r="J252" s="2488"/>
      <c r="K252" s="2488"/>
      <c r="L252" s="2530">
        <v>0</v>
      </c>
      <c r="M252" s="2530">
        <v>2916657</v>
      </c>
      <c r="N252" s="2530">
        <v>0</v>
      </c>
      <c r="O252" s="2527">
        <f t="shared" si="9"/>
        <v>2916657</v>
      </c>
      <c r="P252" s="2479" t="str">
        <f t="shared" si="10"/>
        <v>3.45, TMF Biofuels, LLC, LU</v>
      </c>
    </row>
    <row r="253" spans="1:16" ht="15" customHeight="1" x14ac:dyDescent="0.2">
      <c r="A253" s="2769">
        <f t="shared" si="11"/>
        <v>3.46</v>
      </c>
      <c r="B253" s="2512" t="s">
        <v>9558</v>
      </c>
      <c r="C253" s="2489" t="s">
        <v>191</v>
      </c>
      <c r="D253" s="2614"/>
      <c r="E253" s="2614"/>
      <c r="F253" s="2488"/>
      <c r="G253" s="2488"/>
      <c r="H253" s="2750">
        <v>533</v>
      </c>
      <c r="I253" s="2488"/>
      <c r="J253" s="2488"/>
      <c r="K253" s="2488"/>
      <c r="L253" s="2530">
        <v>0</v>
      </c>
      <c r="M253" s="2530">
        <v>20446</v>
      </c>
      <c r="N253" s="2530">
        <v>0</v>
      </c>
      <c r="O253" s="2527">
        <f t="shared" si="9"/>
        <v>20446</v>
      </c>
      <c r="P253" s="2479" t="str">
        <f t="shared" si="10"/>
        <v>3.46, Tooele Army Depot, LU</v>
      </c>
    </row>
    <row r="254" spans="1:16" ht="15" customHeight="1" x14ac:dyDescent="0.2">
      <c r="A254" s="2769">
        <f t="shared" si="11"/>
        <v>3.47</v>
      </c>
      <c r="B254" s="2512" t="s">
        <v>9559</v>
      </c>
      <c r="C254" s="2489" t="s">
        <v>191</v>
      </c>
      <c r="D254" s="2614"/>
      <c r="E254" s="2614"/>
      <c r="F254" s="2488"/>
      <c r="G254" s="2488"/>
      <c r="H254" s="2752">
        <v>394511</v>
      </c>
      <c r="I254" s="2488"/>
      <c r="J254" s="2488"/>
      <c r="K254" s="2488"/>
      <c r="L254" s="2530">
        <v>0</v>
      </c>
      <c r="M254" s="2530">
        <v>26037659</v>
      </c>
      <c r="N254" s="2531">
        <v>15090203</v>
      </c>
      <c r="O254" s="2527">
        <f t="shared" si="9"/>
        <v>41127862</v>
      </c>
      <c r="P254" s="2479" t="str">
        <f t="shared" si="10"/>
        <v>3.47, Top of the World Wind Energy LLC, LU</v>
      </c>
    </row>
    <row r="255" spans="1:16" ht="15" customHeight="1" x14ac:dyDescent="0.2">
      <c r="A255" s="2769">
        <f t="shared" si="11"/>
        <v>3.48</v>
      </c>
      <c r="B255" s="2512" t="s">
        <v>9140</v>
      </c>
      <c r="C255" s="2489" t="s">
        <v>190</v>
      </c>
      <c r="D255" s="2614"/>
      <c r="E255" s="2614"/>
      <c r="F255" s="2488"/>
      <c r="G255" s="2488"/>
      <c r="H255" s="2752">
        <v>223285</v>
      </c>
      <c r="I255" s="2488"/>
      <c r="J255" s="2488"/>
      <c r="K255" s="2488"/>
      <c r="L255" s="2530">
        <v>0</v>
      </c>
      <c r="M255" s="2530">
        <v>20721329</v>
      </c>
      <c r="N255" s="2530">
        <v>0</v>
      </c>
      <c r="O255" s="2527">
        <f t="shared" si="9"/>
        <v>20721329</v>
      </c>
      <c r="P255" s="2479" t="str">
        <f t="shared" si="10"/>
        <v>3.48, TransAlta Energy Marketing (U.S.) Inc., SF</v>
      </c>
    </row>
    <row r="256" spans="1:16" ht="15" customHeight="1" x14ac:dyDescent="0.2">
      <c r="A256" s="2769">
        <f t="shared" si="11"/>
        <v>3.49</v>
      </c>
      <c r="B256" s="2512" t="s">
        <v>9560</v>
      </c>
      <c r="C256" s="2489" t="s">
        <v>190</v>
      </c>
      <c r="D256" s="2614"/>
      <c r="E256" s="2614"/>
      <c r="F256" s="2488"/>
      <c r="G256" s="2488"/>
      <c r="H256" s="2752">
        <v>5200</v>
      </c>
      <c r="I256" s="2488"/>
      <c r="J256" s="2488"/>
      <c r="K256" s="2488"/>
      <c r="L256" s="2530">
        <v>0</v>
      </c>
      <c r="M256" s="2530">
        <v>670200</v>
      </c>
      <c r="N256" s="2530">
        <v>0</v>
      </c>
      <c r="O256" s="2527">
        <f t="shared" si="9"/>
        <v>670200</v>
      </c>
      <c r="P256" s="2479" t="str">
        <f t="shared" si="10"/>
        <v>3.49, TransCanada Energy Sales Ltd., SF</v>
      </c>
    </row>
    <row r="257" spans="1:16" ht="15" customHeight="1" x14ac:dyDescent="0.2">
      <c r="A257" s="2769">
        <f t="shared" si="11"/>
        <v>3.5</v>
      </c>
      <c r="B257" s="2512" t="s">
        <v>9141</v>
      </c>
      <c r="C257" s="2489" t="s">
        <v>190</v>
      </c>
      <c r="D257" s="2614"/>
      <c r="E257" s="2614"/>
      <c r="F257" s="2614"/>
      <c r="G257" s="2614"/>
      <c r="H257" s="2752">
        <v>24109</v>
      </c>
      <c r="I257" s="2488"/>
      <c r="J257" s="2488"/>
      <c r="K257" s="2488"/>
      <c r="L257" s="2530">
        <v>0</v>
      </c>
      <c r="M257" s="2530">
        <v>4922508</v>
      </c>
      <c r="N257" s="2530">
        <v>0</v>
      </c>
      <c r="O257" s="2527">
        <f t="shared" si="9"/>
        <v>4922508</v>
      </c>
      <c r="P257" s="2479" t="str">
        <f t="shared" si="10"/>
        <v>3.5, Tri-State Generation and Transmission Association, Inc., SF</v>
      </c>
    </row>
    <row r="258" spans="1:16" ht="15" customHeight="1" x14ac:dyDescent="0.2">
      <c r="A258" s="2769">
        <f t="shared" si="11"/>
        <v>3.51</v>
      </c>
      <c r="B258" s="2512" t="s">
        <v>9142</v>
      </c>
      <c r="C258" s="2489" t="s">
        <v>190</v>
      </c>
      <c r="D258" s="2614"/>
      <c r="E258" s="2614"/>
      <c r="F258" s="2488"/>
      <c r="G258" s="2488"/>
      <c r="H258" s="2752">
        <v>22089</v>
      </c>
      <c r="I258" s="2488"/>
      <c r="J258" s="2488"/>
      <c r="K258" s="2488"/>
      <c r="L258" s="2530">
        <v>0</v>
      </c>
      <c r="M258" s="2530">
        <v>2503385</v>
      </c>
      <c r="N258" s="2530">
        <v>0</v>
      </c>
      <c r="O258" s="2527">
        <f t="shared" si="9"/>
        <v>2503385</v>
      </c>
      <c r="P258" s="2479" t="str">
        <f t="shared" si="10"/>
        <v>3.51, Tucson Electric Power Company, SF</v>
      </c>
    </row>
    <row r="259" spans="1:16" ht="15" customHeight="1" x14ac:dyDescent="0.2">
      <c r="A259" s="2769">
        <f t="shared" si="11"/>
        <v>3.52</v>
      </c>
      <c r="B259" s="2512" t="s">
        <v>9561</v>
      </c>
      <c r="C259" s="2489" t="s">
        <v>191</v>
      </c>
      <c r="D259" s="2614"/>
      <c r="E259" s="2614"/>
      <c r="F259" s="2488"/>
      <c r="G259" s="2488"/>
      <c r="H259" s="2752">
        <v>20252</v>
      </c>
      <c r="I259" s="2488"/>
      <c r="J259" s="2488"/>
      <c r="K259" s="2488"/>
      <c r="L259" s="2530">
        <v>0</v>
      </c>
      <c r="M259" s="2530">
        <v>1105904</v>
      </c>
      <c r="N259" s="2530">
        <v>0</v>
      </c>
      <c r="O259" s="2527">
        <f t="shared" si="9"/>
        <v>1105904</v>
      </c>
      <c r="P259" s="2479" t="str">
        <f t="shared" si="10"/>
        <v>3.52, Tumbleweed Solar LLC, LU</v>
      </c>
    </row>
    <row r="260" spans="1:16" ht="15" customHeight="1" x14ac:dyDescent="0.2">
      <c r="A260" s="2769">
        <f t="shared" si="11"/>
        <v>3.53</v>
      </c>
      <c r="B260" s="2512" t="s">
        <v>9143</v>
      </c>
      <c r="C260" s="2489" t="s">
        <v>190</v>
      </c>
      <c r="D260" s="2614"/>
      <c r="E260" s="2614"/>
      <c r="F260" s="2488"/>
      <c r="G260" s="2488"/>
      <c r="H260" s="2752">
        <v>400</v>
      </c>
      <c r="I260" s="2488"/>
      <c r="J260" s="2488"/>
      <c r="K260" s="2488"/>
      <c r="L260" s="2530">
        <v>0</v>
      </c>
      <c r="M260" s="2530">
        <v>6180</v>
      </c>
      <c r="N260" s="2530">
        <v>0</v>
      </c>
      <c r="O260" s="2527">
        <f t="shared" si="9"/>
        <v>6180</v>
      </c>
      <c r="P260" s="2479" t="str">
        <f t="shared" si="10"/>
        <v>3.53, Turlock Irrigation District, SF</v>
      </c>
    </row>
    <row r="261" spans="1:16" ht="15" customHeight="1" x14ac:dyDescent="0.2">
      <c r="A261" s="2769">
        <f t="shared" si="11"/>
        <v>3.54</v>
      </c>
      <c r="B261" s="2512" t="s">
        <v>9562</v>
      </c>
      <c r="C261" s="2489" t="s">
        <v>191</v>
      </c>
      <c r="D261" s="2614"/>
      <c r="E261" s="2614"/>
      <c r="F261" s="2488"/>
      <c r="G261" s="2488"/>
      <c r="H261" s="2752">
        <v>13</v>
      </c>
      <c r="I261" s="2488"/>
      <c r="J261" s="2488"/>
      <c r="K261" s="2488"/>
      <c r="L261" s="2530">
        <v>0</v>
      </c>
      <c r="M261" s="2530">
        <v>1005</v>
      </c>
      <c r="N261" s="2530">
        <v>0</v>
      </c>
      <c r="O261" s="2527">
        <f t="shared" si="9"/>
        <v>1005</v>
      </c>
      <c r="P261" s="2479" t="str">
        <f t="shared" si="10"/>
        <v>3.54, U.S. Department of the Interior - Bureau of Land Management, LU</v>
      </c>
    </row>
    <row r="262" spans="1:16" ht="15" customHeight="1" x14ac:dyDescent="0.2">
      <c r="A262" s="2769">
        <f t="shared" si="11"/>
        <v>3.55</v>
      </c>
      <c r="B262" s="2512" t="s">
        <v>9563</v>
      </c>
      <c r="C262" s="2489" t="s">
        <v>190</v>
      </c>
      <c r="D262" s="2614"/>
      <c r="E262" s="2614"/>
      <c r="F262" s="2488"/>
      <c r="G262" s="2488"/>
      <c r="H262" s="2752">
        <v>112366</v>
      </c>
      <c r="I262" s="2488"/>
      <c r="J262" s="2488"/>
      <c r="K262" s="2488"/>
      <c r="L262" s="2530">
        <v>0</v>
      </c>
      <c r="M262" s="2530">
        <v>7455480</v>
      </c>
      <c r="N262" s="2530">
        <v>0</v>
      </c>
      <c r="O262" s="2527">
        <f t="shared" si="9"/>
        <v>7455480</v>
      </c>
      <c r="P262" s="2479" t="str">
        <f t="shared" si="10"/>
        <v>3.55, Uniper Global Commodities, SF</v>
      </c>
    </row>
    <row r="263" spans="1:16" ht="15" customHeight="1" x14ac:dyDescent="0.2">
      <c r="A263" s="2769">
        <f t="shared" si="11"/>
        <v>3.56</v>
      </c>
      <c r="B263" s="2502" t="s">
        <v>9564</v>
      </c>
      <c r="C263" s="2489" t="s">
        <v>191</v>
      </c>
      <c r="D263" s="2614"/>
      <c r="E263" s="2614"/>
      <c r="F263" s="2488"/>
      <c r="G263" s="2488"/>
      <c r="H263" s="2752">
        <v>10601</v>
      </c>
      <c r="I263" s="2488"/>
      <c r="J263" s="2488"/>
      <c r="K263" s="2488"/>
      <c r="L263" s="2530">
        <v>0</v>
      </c>
      <c r="M263" s="2530">
        <v>729548</v>
      </c>
      <c r="N263" s="2530">
        <v>0</v>
      </c>
      <c r="O263" s="2527">
        <f t="shared" ref="O263:O326" si="12">SUM(L263:N263)</f>
        <v>729548</v>
      </c>
      <c r="P263" s="2479" t="str">
        <f t="shared" ref="P263:P326" si="13">CONCATENATE(A263,", ",B263,", ",C263)</f>
        <v>3.56, United States Air Force at Hill Air Force Base, LU</v>
      </c>
    </row>
    <row r="264" spans="1:16" ht="15" customHeight="1" x14ac:dyDescent="0.2">
      <c r="A264" s="2769">
        <f t="shared" ref="A264:A327" si="14">ROUND(A263+0.01,2)</f>
        <v>3.57</v>
      </c>
      <c r="B264" s="2502" t="s">
        <v>12087</v>
      </c>
      <c r="C264" s="2489" t="s">
        <v>193</v>
      </c>
      <c r="D264" s="2614"/>
      <c r="E264" s="2614"/>
      <c r="F264" s="2488"/>
      <c r="G264" s="2488"/>
      <c r="H264" s="2752">
        <v>0</v>
      </c>
      <c r="I264" s="2488"/>
      <c r="J264" s="2488"/>
      <c r="K264" s="2488"/>
      <c r="L264" s="2530">
        <v>0</v>
      </c>
      <c r="M264" s="2530">
        <v>27968</v>
      </c>
      <c r="N264" s="2530">
        <v>0</v>
      </c>
      <c r="O264" s="2527">
        <f t="shared" si="12"/>
        <v>27968</v>
      </c>
      <c r="P264" s="2479" t="str">
        <f t="shared" si="13"/>
        <v>3.57, University of Utah, OS</v>
      </c>
    </row>
    <row r="265" spans="1:16" ht="15" customHeight="1" x14ac:dyDescent="0.2">
      <c r="A265" s="2769">
        <f t="shared" si="14"/>
        <v>3.58</v>
      </c>
      <c r="B265" s="2502" t="s">
        <v>9145</v>
      </c>
      <c r="C265" s="2489" t="s">
        <v>190</v>
      </c>
      <c r="D265" s="2614"/>
      <c r="E265" s="2614"/>
      <c r="F265" s="2488"/>
      <c r="G265" s="2488"/>
      <c r="H265" s="2752">
        <v>950</v>
      </c>
      <c r="I265" s="2488"/>
      <c r="J265" s="2488"/>
      <c r="K265" s="2488"/>
      <c r="L265" s="2530">
        <v>0</v>
      </c>
      <c r="M265" s="2530">
        <v>53150</v>
      </c>
      <c r="N265" s="2530">
        <v>0</v>
      </c>
      <c r="O265" s="2527">
        <f t="shared" si="12"/>
        <v>53150</v>
      </c>
      <c r="P265" s="2479" t="str">
        <f t="shared" si="13"/>
        <v>3.58, UNS Electric, Inc., SF</v>
      </c>
    </row>
    <row r="266" spans="1:16" ht="15" customHeight="1" x14ac:dyDescent="0.2">
      <c r="A266" s="2769">
        <f t="shared" si="14"/>
        <v>3.59</v>
      </c>
      <c r="B266" s="2502" t="s">
        <v>9565</v>
      </c>
      <c r="C266" s="2489" t="s">
        <v>191</v>
      </c>
      <c r="D266" s="2614"/>
      <c r="E266" s="2614"/>
      <c r="F266" s="2488"/>
      <c r="G266" s="2488"/>
      <c r="H266" s="2752">
        <v>0</v>
      </c>
      <c r="I266" s="2488"/>
      <c r="J266" s="2488"/>
      <c r="K266" s="2488"/>
      <c r="L266" s="2530">
        <v>0</v>
      </c>
      <c r="M266" s="2530">
        <v>0</v>
      </c>
      <c r="N266" s="2531">
        <v>2011735</v>
      </c>
      <c r="O266" s="2527">
        <f t="shared" si="12"/>
        <v>2011735</v>
      </c>
      <c r="P266" s="2479" t="str">
        <f t="shared" si="13"/>
        <v>3.59, US Magnesium LLC, LU</v>
      </c>
    </row>
    <row r="267" spans="1:16" ht="15" customHeight="1" x14ac:dyDescent="0.2">
      <c r="A267" s="2769">
        <f t="shared" si="14"/>
        <v>3.6</v>
      </c>
      <c r="B267" s="2512" t="s">
        <v>9146</v>
      </c>
      <c r="C267" s="2947" t="s">
        <v>188</v>
      </c>
      <c r="D267" s="2614"/>
      <c r="E267" s="2614"/>
      <c r="F267" s="2488"/>
      <c r="G267" s="2488"/>
      <c r="H267" s="2750">
        <v>11172</v>
      </c>
      <c r="I267" s="2488"/>
      <c r="J267" s="2488"/>
      <c r="K267" s="2488"/>
      <c r="L267" s="2530">
        <v>0</v>
      </c>
      <c r="M267" s="2530">
        <v>542109</v>
      </c>
      <c r="N267" s="2530">
        <v>0</v>
      </c>
      <c r="O267" s="2527">
        <f t="shared" si="12"/>
        <v>542109</v>
      </c>
      <c r="P267" s="2479" t="str">
        <f t="shared" si="13"/>
        <v>3.6, Utah Associated Municipal Power Systems, LF</v>
      </c>
    </row>
    <row r="268" spans="1:16" ht="15" customHeight="1" x14ac:dyDescent="0.2">
      <c r="A268" s="2769">
        <f t="shared" si="14"/>
        <v>3.61</v>
      </c>
      <c r="B268" s="2512" t="s">
        <v>9146</v>
      </c>
      <c r="C268" s="2489" t="s">
        <v>190</v>
      </c>
      <c r="D268" s="2614"/>
      <c r="E268" s="2614"/>
      <c r="F268" s="2488"/>
      <c r="G268" s="2488"/>
      <c r="H268" s="2752">
        <v>20</v>
      </c>
      <c r="I268" s="2488"/>
      <c r="J268" s="2488"/>
      <c r="K268" s="2488"/>
      <c r="L268" s="2530">
        <v>0</v>
      </c>
      <c r="M268" s="2530">
        <v>1600</v>
      </c>
      <c r="N268" s="2530">
        <v>0</v>
      </c>
      <c r="O268" s="2527">
        <f t="shared" si="12"/>
        <v>1600</v>
      </c>
      <c r="P268" s="2479" t="str">
        <f t="shared" si="13"/>
        <v>3.61, Utah Associated Municipal Power Systems, SF</v>
      </c>
    </row>
    <row r="269" spans="1:16" ht="15" customHeight="1" x14ac:dyDescent="0.2">
      <c r="A269" s="2769">
        <f t="shared" si="14"/>
        <v>3.62</v>
      </c>
      <c r="B269" s="2512" t="s">
        <v>9147</v>
      </c>
      <c r="C269" s="2489" t="s">
        <v>190</v>
      </c>
      <c r="D269" s="2614"/>
      <c r="E269" s="2614"/>
      <c r="F269" s="2488"/>
      <c r="G269" s="2488"/>
      <c r="H269" s="2752">
        <v>28159</v>
      </c>
      <c r="I269" s="2488"/>
      <c r="J269" s="2488"/>
      <c r="K269" s="2488"/>
      <c r="L269" s="2530">
        <v>0</v>
      </c>
      <c r="M269" s="2530">
        <v>5604022</v>
      </c>
      <c r="N269" s="2530">
        <v>0</v>
      </c>
      <c r="O269" s="2527">
        <f t="shared" si="12"/>
        <v>5604022</v>
      </c>
      <c r="P269" s="2479" t="str">
        <f t="shared" si="13"/>
        <v>3.62, Utah Municipal Power Agency, SF</v>
      </c>
    </row>
    <row r="270" spans="1:16" ht="15" customHeight="1" x14ac:dyDescent="0.2">
      <c r="A270" s="2769">
        <f t="shared" si="14"/>
        <v>3.63</v>
      </c>
      <c r="B270" s="2512" t="s">
        <v>9566</v>
      </c>
      <c r="C270" s="2489" t="s">
        <v>191</v>
      </c>
      <c r="D270" s="2614"/>
      <c r="E270" s="2614"/>
      <c r="F270" s="2488"/>
      <c r="G270" s="2488"/>
      <c r="H270" s="2752">
        <v>205141</v>
      </c>
      <c r="I270" s="2488"/>
      <c r="J270" s="2488"/>
      <c r="K270" s="2488"/>
      <c r="L270" s="2530">
        <v>0</v>
      </c>
      <c r="M270" s="2530">
        <v>11888239</v>
      </c>
      <c r="N270" s="2530">
        <v>0</v>
      </c>
      <c r="O270" s="2527">
        <f t="shared" si="12"/>
        <v>11888239</v>
      </c>
      <c r="P270" s="2479" t="str">
        <f t="shared" si="13"/>
        <v>3.63, Utah Red Hills Renewable Park, LLC, LU</v>
      </c>
    </row>
    <row r="271" spans="1:16" ht="15" customHeight="1" x14ac:dyDescent="0.2">
      <c r="A271" s="2769">
        <f t="shared" si="14"/>
        <v>3.64</v>
      </c>
      <c r="B271" s="2512" t="s">
        <v>12088</v>
      </c>
      <c r="C271" s="2489" t="s">
        <v>191</v>
      </c>
      <c r="D271" s="2614"/>
      <c r="E271" s="2614"/>
      <c r="F271" s="2614"/>
      <c r="G271" s="2614"/>
      <c r="H271" s="2752">
        <v>93667</v>
      </c>
      <c r="I271" s="2488"/>
      <c r="J271" s="2488"/>
      <c r="K271" s="2488"/>
      <c r="L271" s="2530">
        <v>0</v>
      </c>
      <c r="M271" s="2530">
        <v>8202859</v>
      </c>
      <c r="N271" s="2530">
        <v>0</v>
      </c>
      <c r="O271" s="2527">
        <f t="shared" si="12"/>
        <v>8202859</v>
      </c>
      <c r="P271" s="2479" t="str">
        <f t="shared" si="13"/>
        <v>3.64, Utah Retail Solar customers, LU</v>
      </c>
    </row>
    <row r="272" spans="1:16" ht="15" customHeight="1" x14ac:dyDescent="0.2">
      <c r="A272" s="2769">
        <f t="shared" si="14"/>
        <v>3.65</v>
      </c>
      <c r="B272" s="2512" t="s">
        <v>12088</v>
      </c>
      <c r="C272" s="2947" t="s">
        <v>196</v>
      </c>
      <c r="D272" s="2614"/>
      <c r="E272" s="2614"/>
      <c r="F272" s="2488"/>
      <c r="G272" s="2488"/>
      <c r="H272" s="2752">
        <v>47</v>
      </c>
      <c r="I272" s="2488"/>
      <c r="J272" s="2488"/>
      <c r="K272" s="2488"/>
      <c r="L272" s="2530">
        <v>0</v>
      </c>
      <c r="M272" s="2530">
        <v>0</v>
      </c>
      <c r="N272" s="2531">
        <v>4291</v>
      </c>
      <c r="O272" s="2527">
        <f t="shared" si="12"/>
        <v>4291</v>
      </c>
      <c r="P272" s="2479" t="str">
        <f t="shared" si="13"/>
        <v>3.65, Utah Retail Solar customers, AD</v>
      </c>
    </row>
    <row r="273" spans="1:16" ht="15" customHeight="1" x14ac:dyDescent="0.2">
      <c r="A273" s="2769">
        <f t="shared" si="14"/>
        <v>3.66</v>
      </c>
      <c r="B273" s="2512" t="s">
        <v>9148</v>
      </c>
      <c r="C273" s="2489" t="s">
        <v>190</v>
      </c>
      <c r="D273" s="2614"/>
      <c r="E273" s="2614"/>
      <c r="F273" s="2488"/>
      <c r="G273" s="2488"/>
      <c r="H273" s="2752">
        <v>87367</v>
      </c>
      <c r="I273" s="2488"/>
      <c r="J273" s="2488"/>
      <c r="K273" s="2488"/>
      <c r="L273" s="2530">
        <v>0</v>
      </c>
      <c r="M273" s="2530">
        <v>3987711</v>
      </c>
      <c r="N273" s="2530">
        <v>0</v>
      </c>
      <c r="O273" s="2527">
        <f t="shared" si="12"/>
        <v>3987711</v>
      </c>
      <c r="P273" s="2479" t="str">
        <f t="shared" si="13"/>
        <v>3.66, Vitol Inc., SF</v>
      </c>
    </row>
    <row r="274" spans="1:16" ht="15" customHeight="1" x14ac:dyDescent="0.2">
      <c r="A274" s="2769">
        <f t="shared" si="14"/>
        <v>3.67</v>
      </c>
      <c r="B274" s="2512" t="s">
        <v>9568</v>
      </c>
      <c r="C274" s="2489" t="s">
        <v>191</v>
      </c>
      <c r="D274" s="2614"/>
      <c r="E274" s="2614"/>
      <c r="F274" s="2488"/>
      <c r="G274" s="2488"/>
      <c r="H274" s="2752">
        <v>5926</v>
      </c>
      <c r="I274" s="2488"/>
      <c r="J274" s="2488"/>
      <c r="K274" s="2488"/>
      <c r="L274" s="2530">
        <v>0</v>
      </c>
      <c r="M274" s="2530">
        <v>471199</v>
      </c>
      <c r="N274" s="2530">
        <v>0</v>
      </c>
      <c r="O274" s="2527">
        <f t="shared" si="12"/>
        <v>471199</v>
      </c>
      <c r="P274" s="2479" t="str">
        <f t="shared" si="13"/>
        <v>3.67, Wagon Trail, LLC, LU</v>
      </c>
    </row>
    <row r="275" spans="1:16" ht="15" customHeight="1" x14ac:dyDescent="0.2">
      <c r="A275" s="2769">
        <f t="shared" si="14"/>
        <v>3.68</v>
      </c>
      <c r="B275" s="2512" t="s">
        <v>9570</v>
      </c>
      <c r="C275" s="2489" t="s">
        <v>191</v>
      </c>
      <c r="D275" s="2614"/>
      <c r="E275" s="2614"/>
      <c r="F275" s="2488"/>
      <c r="G275" s="2488"/>
      <c r="H275" s="2752">
        <v>13717</v>
      </c>
      <c r="I275" s="2488"/>
      <c r="J275" s="2488"/>
      <c r="K275" s="2488"/>
      <c r="L275" s="2530">
        <v>0</v>
      </c>
      <c r="M275" s="2530">
        <v>1083622</v>
      </c>
      <c r="N275" s="2530">
        <v>0</v>
      </c>
      <c r="O275" s="2527">
        <f t="shared" si="12"/>
        <v>1083622</v>
      </c>
      <c r="P275" s="2479" t="str">
        <f t="shared" si="13"/>
        <v>3.68, Ward Butte Windfarm, LLC, LU</v>
      </c>
    </row>
    <row r="276" spans="1:16" ht="15" customHeight="1" x14ac:dyDescent="0.2">
      <c r="A276" s="2769">
        <f t="shared" si="14"/>
        <v>3.69</v>
      </c>
      <c r="B276" s="2512" t="s">
        <v>9571</v>
      </c>
      <c r="C276" s="2489" t="s">
        <v>191</v>
      </c>
      <c r="D276" s="2614"/>
      <c r="E276" s="2614"/>
      <c r="F276" s="2488"/>
      <c r="G276" s="2488"/>
      <c r="H276" s="2752">
        <v>-4</v>
      </c>
      <c r="I276" s="2488"/>
      <c r="J276" s="2488"/>
      <c r="K276" s="2488"/>
      <c r="L276" s="2530">
        <v>0</v>
      </c>
      <c r="M276" s="2530">
        <v>2376</v>
      </c>
      <c r="N276" s="2530">
        <v>0</v>
      </c>
      <c r="O276" s="2527">
        <f t="shared" si="12"/>
        <v>2376</v>
      </c>
      <c r="P276" s="2479" t="str">
        <f t="shared" si="13"/>
        <v>3.69, Weber County, LU</v>
      </c>
    </row>
    <row r="277" spans="1:16" ht="15" customHeight="1" x14ac:dyDescent="0.2">
      <c r="A277" s="2769">
        <f t="shared" si="14"/>
        <v>3.7</v>
      </c>
      <c r="B277" s="2502" t="s">
        <v>9572</v>
      </c>
      <c r="C277" s="2947" t="s">
        <v>188</v>
      </c>
      <c r="D277" s="2614"/>
      <c r="E277" s="2614"/>
      <c r="F277" s="2488"/>
      <c r="G277" s="2488"/>
      <c r="H277" s="2752">
        <v>1494</v>
      </c>
      <c r="I277" s="2488"/>
      <c r="J277" s="2488"/>
      <c r="K277" s="2488"/>
      <c r="L277" s="2530">
        <v>0</v>
      </c>
      <c r="M277" s="2530">
        <v>146648</v>
      </c>
      <c r="N277" s="2530">
        <v>0</v>
      </c>
      <c r="O277" s="2527">
        <f t="shared" si="12"/>
        <v>146648</v>
      </c>
      <c r="P277" s="2479" t="str">
        <f t="shared" si="13"/>
        <v>3.7, Western Area Power Administration, LF</v>
      </c>
    </row>
    <row r="278" spans="1:16" ht="15" customHeight="1" x14ac:dyDescent="0.2">
      <c r="A278" s="2769">
        <f t="shared" si="14"/>
        <v>3.71</v>
      </c>
      <c r="B278" s="2502" t="s">
        <v>9572</v>
      </c>
      <c r="C278" s="2489" t="s">
        <v>191</v>
      </c>
      <c r="D278" s="2614"/>
      <c r="E278" s="2614"/>
      <c r="F278" s="2488"/>
      <c r="G278" s="2488"/>
      <c r="H278" s="2752">
        <v>358</v>
      </c>
      <c r="I278" s="2488"/>
      <c r="J278" s="2488"/>
      <c r="K278" s="2488"/>
      <c r="L278" s="2530">
        <v>0</v>
      </c>
      <c r="M278" s="2530">
        <v>33129</v>
      </c>
      <c r="N278" s="2530">
        <v>0</v>
      </c>
      <c r="O278" s="2527">
        <f t="shared" si="12"/>
        <v>33129</v>
      </c>
      <c r="P278" s="2479" t="str">
        <f t="shared" si="13"/>
        <v>3.71, Western Area Power Administration, LU</v>
      </c>
    </row>
    <row r="279" spans="1:16" ht="15" customHeight="1" x14ac:dyDescent="0.2">
      <c r="A279" s="2769">
        <f t="shared" si="14"/>
        <v>3.72</v>
      </c>
      <c r="B279" s="2502" t="s">
        <v>9572</v>
      </c>
      <c r="C279" s="2489" t="s">
        <v>190</v>
      </c>
      <c r="D279" s="2614"/>
      <c r="E279" s="2614"/>
      <c r="F279" s="2488"/>
      <c r="G279" s="2488"/>
      <c r="H279" s="2752">
        <v>49026</v>
      </c>
      <c r="I279" s="2488"/>
      <c r="J279" s="2488"/>
      <c r="K279" s="2488"/>
      <c r="L279" s="2530">
        <v>0</v>
      </c>
      <c r="M279" s="2530">
        <v>1967270</v>
      </c>
      <c r="N279" s="2531">
        <v>15356</v>
      </c>
      <c r="O279" s="2527">
        <f t="shared" si="12"/>
        <v>1982626</v>
      </c>
      <c r="P279" s="2479" t="str">
        <f t="shared" si="13"/>
        <v>3.72, Western Area Power Administration, SF</v>
      </c>
    </row>
    <row r="280" spans="1:16" ht="15" customHeight="1" x14ac:dyDescent="0.2">
      <c r="A280" s="2769">
        <f t="shared" si="14"/>
        <v>3.73</v>
      </c>
      <c r="B280" s="2502" t="s">
        <v>9575</v>
      </c>
      <c r="C280" s="2489" t="s">
        <v>191</v>
      </c>
      <c r="D280" s="2614"/>
      <c r="E280" s="2614"/>
      <c r="F280" s="2488"/>
      <c r="G280" s="2488"/>
      <c r="H280" s="2752">
        <v>145937</v>
      </c>
      <c r="I280" s="2488"/>
      <c r="J280" s="2488"/>
      <c r="K280" s="2488"/>
      <c r="L280" s="2530">
        <v>0</v>
      </c>
      <c r="M280" s="2530">
        <v>9161926</v>
      </c>
      <c r="N280" s="2530">
        <v>0</v>
      </c>
      <c r="O280" s="2527">
        <f t="shared" si="12"/>
        <v>9161926</v>
      </c>
      <c r="P280" s="2479" t="str">
        <f t="shared" si="13"/>
        <v>3.73, Wolverine Creek Energy, LLC, LU</v>
      </c>
    </row>
    <row r="281" spans="1:16" ht="15" customHeight="1" x14ac:dyDescent="0.2">
      <c r="A281" s="2769">
        <f t="shared" si="14"/>
        <v>3.74</v>
      </c>
      <c r="B281" s="2512" t="s">
        <v>9576</v>
      </c>
      <c r="C281" s="2489" t="s">
        <v>192</v>
      </c>
      <c r="D281" s="2614"/>
      <c r="E281" s="2614"/>
      <c r="F281" s="2488"/>
      <c r="G281" s="2488"/>
      <c r="H281" s="2750">
        <v>19931</v>
      </c>
      <c r="I281" s="2488"/>
      <c r="J281" s="2488"/>
      <c r="K281" s="2488"/>
      <c r="L281" s="2530">
        <v>0</v>
      </c>
      <c r="M281" s="2530">
        <v>1089526</v>
      </c>
      <c r="N281" s="2530">
        <v>0</v>
      </c>
      <c r="O281" s="2527">
        <f t="shared" si="12"/>
        <v>1089526</v>
      </c>
      <c r="P281" s="2479" t="str">
        <f t="shared" si="13"/>
        <v>3.74, Woodline Solar, LLC, IU</v>
      </c>
    </row>
    <row r="282" spans="1:16" ht="15" customHeight="1" x14ac:dyDescent="0.2">
      <c r="A282" s="2769">
        <f t="shared" si="14"/>
        <v>3.75</v>
      </c>
      <c r="B282" s="2512" t="s">
        <v>9577</v>
      </c>
      <c r="C282" s="2489" t="s">
        <v>191</v>
      </c>
      <c r="D282" s="2614"/>
      <c r="E282" s="2614"/>
      <c r="F282" s="2488"/>
      <c r="G282" s="2488"/>
      <c r="H282" s="2752">
        <v>5152</v>
      </c>
      <c r="I282" s="2488"/>
      <c r="J282" s="2488"/>
      <c r="K282" s="2488"/>
      <c r="L282" s="2530">
        <v>0</v>
      </c>
      <c r="M282" s="2530">
        <v>338738</v>
      </c>
      <c r="N282" s="2530">
        <v>0</v>
      </c>
      <c r="O282" s="2527">
        <f t="shared" si="12"/>
        <v>338738</v>
      </c>
      <c r="P282" s="2479" t="str">
        <f t="shared" si="13"/>
        <v>3.75, Yakima-Tieton Irrigation District, LU</v>
      </c>
    </row>
    <row r="283" spans="1:16" ht="15" customHeight="1" x14ac:dyDescent="0.2">
      <c r="A283" s="2769">
        <f t="shared" si="14"/>
        <v>3.76</v>
      </c>
      <c r="B283" s="2512" t="s">
        <v>9578</v>
      </c>
      <c r="C283" s="2489"/>
      <c r="D283" s="2614"/>
      <c r="E283" s="2614"/>
      <c r="F283" s="2488"/>
      <c r="G283" s="2488"/>
      <c r="H283" s="2614"/>
      <c r="I283" s="2488"/>
      <c r="J283" s="2488"/>
      <c r="K283" s="2488"/>
      <c r="L283" s="2488"/>
      <c r="M283" s="2488"/>
      <c r="N283" s="2531">
        <v>-4980894</v>
      </c>
      <c r="O283" s="2527">
        <f t="shared" si="12"/>
        <v>-4980894</v>
      </c>
      <c r="P283" s="2479" t="str">
        <f t="shared" si="13"/>
        <v xml:space="preserve">3.76, Liquidated Damages, </v>
      </c>
    </row>
    <row r="284" spans="1:16" ht="15" customHeight="1" x14ac:dyDescent="0.2">
      <c r="A284" s="2769">
        <f t="shared" si="14"/>
        <v>3.77</v>
      </c>
      <c r="B284" s="2512" t="s">
        <v>12089</v>
      </c>
      <c r="C284" s="2489"/>
      <c r="D284" s="2614"/>
      <c r="E284" s="2614"/>
      <c r="F284" s="2488"/>
      <c r="G284" s="2488"/>
      <c r="H284" s="2614"/>
      <c r="I284" s="2488"/>
      <c r="J284" s="2488"/>
      <c r="K284" s="2488"/>
      <c r="L284" s="2488"/>
      <c r="M284" s="2488"/>
      <c r="N284" s="2531">
        <v>5300422</v>
      </c>
      <c r="O284" s="2527">
        <f t="shared" si="12"/>
        <v>5300422</v>
      </c>
      <c r="P284" s="2479" t="str">
        <f t="shared" si="13"/>
        <v xml:space="preserve">3.77, CA Greenhouse Gas Allowances Purchases - Wholesale Program, </v>
      </c>
    </row>
    <row r="285" spans="1:16" ht="15" customHeight="1" x14ac:dyDescent="0.2">
      <c r="A285" s="2769">
        <f t="shared" si="14"/>
        <v>3.78</v>
      </c>
      <c r="B285" s="2512" t="s">
        <v>12090</v>
      </c>
      <c r="C285" s="2489"/>
      <c r="D285" s="2614"/>
      <c r="E285" s="2614"/>
      <c r="F285" s="2614"/>
      <c r="G285" s="2614"/>
      <c r="H285" s="2614"/>
      <c r="I285" s="2488"/>
      <c r="J285" s="2488"/>
      <c r="K285" s="2488"/>
      <c r="L285" s="2488"/>
      <c r="M285" s="2488"/>
      <c r="N285" s="2531">
        <v>15092657</v>
      </c>
      <c r="O285" s="2527">
        <f t="shared" si="12"/>
        <v>15092657</v>
      </c>
      <c r="P285" s="2479" t="str">
        <f t="shared" si="13"/>
        <v xml:space="preserve">3.78, CA Greenhouse Gas Allowances Purchases - Retail Program, </v>
      </c>
    </row>
    <row r="286" spans="1:16" ht="15" customHeight="1" x14ac:dyDescent="0.2">
      <c r="A286" s="2769">
        <f t="shared" si="14"/>
        <v>3.79</v>
      </c>
      <c r="B286" s="2512" t="s">
        <v>9582</v>
      </c>
      <c r="C286" s="2489"/>
      <c r="D286" s="2614"/>
      <c r="E286" s="2614"/>
      <c r="F286" s="2488"/>
      <c r="G286" s="2488"/>
      <c r="H286" s="2614"/>
      <c r="I286" s="2488"/>
      <c r="J286" s="2488"/>
      <c r="K286" s="2488"/>
      <c r="L286" s="2488"/>
      <c r="M286" s="2488"/>
      <c r="N286" s="2531">
        <v>-401579717</v>
      </c>
      <c r="O286" s="2527">
        <f t="shared" si="12"/>
        <v>-401579717</v>
      </c>
      <c r="P286" s="2479" t="str">
        <f t="shared" si="13"/>
        <v xml:space="preserve">3.79, Net Power Cost Deferrals, </v>
      </c>
    </row>
    <row r="287" spans="1:16" ht="15" customHeight="1" x14ac:dyDescent="0.2">
      <c r="A287" s="2769">
        <f t="shared" si="14"/>
        <v>3.8</v>
      </c>
      <c r="B287" s="2512" t="s">
        <v>9583</v>
      </c>
      <c r="C287" s="2489"/>
      <c r="D287" s="2614"/>
      <c r="E287" s="2614"/>
      <c r="F287" s="2488"/>
      <c r="G287" s="2488"/>
      <c r="H287" s="2949">
        <v>-1557053</v>
      </c>
      <c r="I287" s="2488"/>
      <c r="J287" s="2488"/>
      <c r="K287" s="2488"/>
      <c r="L287" s="2488"/>
      <c r="M287" s="2488"/>
      <c r="N287" s="2531">
        <v>-93805625</v>
      </c>
      <c r="O287" s="2527">
        <f t="shared" si="12"/>
        <v>-93805625</v>
      </c>
      <c r="P287" s="2479" t="str">
        <f t="shared" si="13"/>
        <v xml:space="preserve">3.8, Netting - Bookouts, </v>
      </c>
    </row>
    <row r="288" spans="1:16" ht="15" customHeight="1" x14ac:dyDescent="0.2">
      <c r="A288" s="2769">
        <f t="shared" si="14"/>
        <v>3.81</v>
      </c>
      <c r="B288" s="2512" t="s">
        <v>9584</v>
      </c>
      <c r="C288" s="2489"/>
      <c r="D288" s="2614"/>
      <c r="E288" s="2614"/>
      <c r="F288" s="2488"/>
      <c r="G288" s="2488"/>
      <c r="H288" s="2752">
        <v>0</v>
      </c>
      <c r="I288" s="2488"/>
      <c r="J288" s="2488"/>
      <c r="K288" s="2488"/>
      <c r="L288" s="2488"/>
      <c r="M288" s="2488"/>
      <c r="N288" s="2531">
        <v>-3711472</v>
      </c>
      <c r="O288" s="2527">
        <f t="shared" si="12"/>
        <v>-3711472</v>
      </c>
      <c r="P288" s="2479" t="str">
        <f t="shared" si="13"/>
        <v xml:space="preserve">3.81, Netting - Trading, </v>
      </c>
    </row>
    <row r="289" spans="1:16" ht="15" customHeight="1" x14ac:dyDescent="0.2">
      <c r="A289" s="2769">
        <f t="shared" si="14"/>
        <v>3.82</v>
      </c>
      <c r="B289" s="2512" t="s">
        <v>9585</v>
      </c>
      <c r="C289" s="2489"/>
      <c r="D289" s="2614"/>
      <c r="E289" s="2614"/>
      <c r="F289" s="2488"/>
      <c r="G289" s="2488"/>
      <c r="H289" s="2558">
        <v>7353</v>
      </c>
      <c r="I289" s="2488"/>
      <c r="J289" s="2488"/>
      <c r="K289" s="2488"/>
      <c r="L289" s="2488"/>
      <c r="M289" s="2488"/>
      <c r="N289" s="2488"/>
      <c r="O289" s="2527">
        <f t="shared" si="12"/>
        <v>0</v>
      </c>
      <c r="P289" s="2479" t="str">
        <f t="shared" si="13"/>
        <v xml:space="preserve">3.82, System Deviation, </v>
      </c>
    </row>
    <row r="290" spans="1:16" ht="15" customHeight="1" x14ac:dyDescent="0.2">
      <c r="A290" s="2769">
        <f t="shared" si="14"/>
        <v>3.83</v>
      </c>
      <c r="B290" s="2512" t="s">
        <v>12091</v>
      </c>
      <c r="C290" s="2489"/>
      <c r="D290" s="2614"/>
      <c r="E290" s="2614"/>
      <c r="F290" s="2488"/>
      <c r="G290" s="2488"/>
      <c r="H290" s="2614"/>
      <c r="I290" s="2488"/>
      <c r="J290" s="2488"/>
      <c r="K290" s="2488"/>
      <c r="L290" s="2488"/>
      <c r="M290" s="2488"/>
      <c r="N290" s="2531">
        <v>-201953</v>
      </c>
      <c r="O290" s="2527">
        <f t="shared" si="12"/>
        <v>-201953</v>
      </c>
      <c r="P290" s="2479" t="str">
        <f t="shared" si="13"/>
        <v xml:space="preserve">3.83, Legal Contingencies, </v>
      </c>
    </row>
    <row r="291" spans="1:16" ht="15" customHeight="1" x14ac:dyDescent="0.2">
      <c r="A291" s="2769">
        <f t="shared" si="14"/>
        <v>3.84</v>
      </c>
      <c r="B291" s="2502" t="s">
        <v>9080</v>
      </c>
      <c r="C291" s="2489"/>
      <c r="D291" s="2614"/>
      <c r="E291" s="2614"/>
      <c r="F291" s="2488"/>
      <c r="G291" s="2488"/>
      <c r="H291" s="2614"/>
      <c r="I291" s="2488"/>
      <c r="J291" s="2488"/>
      <c r="K291" s="2488"/>
      <c r="L291" s="2488"/>
      <c r="M291" s="2488"/>
      <c r="N291" s="2531">
        <v>20967761</v>
      </c>
      <c r="O291" s="2527">
        <f t="shared" si="12"/>
        <v>20967761</v>
      </c>
      <c r="P291" s="2479" t="str">
        <f t="shared" si="13"/>
        <v xml:space="preserve">3.84, Accrual, </v>
      </c>
    </row>
    <row r="292" spans="1:16" ht="15" customHeight="1" x14ac:dyDescent="0.2">
      <c r="A292" s="2769">
        <f t="shared" si="14"/>
        <v>3.85</v>
      </c>
      <c r="B292" s="2502"/>
      <c r="C292" s="2489"/>
      <c r="D292" s="2614"/>
      <c r="E292" s="2614"/>
      <c r="F292" s="2488"/>
      <c r="G292" s="2488"/>
      <c r="H292" s="2614"/>
      <c r="I292" s="2488"/>
      <c r="J292" s="2488"/>
      <c r="K292" s="2488"/>
      <c r="L292" s="2488"/>
      <c r="M292" s="2488"/>
      <c r="N292" s="2488"/>
      <c r="O292" s="2527">
        <f t="shared" si="12"/>
        <v>0</v>
      </c>
      <c r="P292" s="2479" t="str">
        <f t="shared" si="13"/>
        <v xml:space="preserve">3.85, , </v>
      </c>
    </row>
    <row r="293" spans="1:16" ht="15" customHeight="1" x14ac:dyDescent="0.2">
      <c r="A293" s="2769">
        <f t="shared" si="14"/>
        <v>3.86</v>
      </c>
      <c r="B293" s="2773" t="s">
        <v>9586</v>
      </c>
      <c r="C293" s="2489"/>
      <c r="D293" s="2614"/>
      <c r="E293" s="2614"/>
      <c r="F293" s="2488"/>
      <c r="G293" s="2488"/>
      <c r="H293" s="2614"/>
      <c r="I293" s="2488"/>
      <c r="J293" s="2488"/>
      <c r="K293" s="2488"/>
      <c r="L293" s="2488"/>
      <c r="M293" s="2488"/>
      <c r="N293" s="2488"/>
      <c r="O293" s="2527">
        <f t="shared" si="12"/>
        <v>0</v>
      </c>
      <c r="P293" s="2479" t="str">
        <f t="shared" si="13"/>
        <v xml:space="preserve">3.86, Power Exchanges:, </v>
      </c>
    </row>
    <row r="294" spans="1:16" ht="15" customHeight="1" x14ac:dyDescent="0.2">
      <c r="A294" s="2769">
        <f t="shared" si="14"/>
        <v>3.87</v>
      </c>
      <c r="B294" s="2502" t="s">
        <v>9088</v>
      </c>
      <c r="C294" s="2489" t="s">
        <v>194</v>
      </c>
      <c r="D294" s="2771">
        <v>382</v>
      </c>
      <c r="E294" s="2614"/>
      <c r="F294" s="2488"/>
      <c r="G294" s="2488"/>
      <c r="H294" s="2614"/>
      <c r="I294" s="2488"/>
      <c r="J294" s="2750">
        <v>0</v>
      </c>
      <c r="K294" s="2750">
        <v>733</v>
      </c>
      <c r="L294" s="2488"/>
      <c r="M294" s="2488"/>
      <c r="N294" s="2488"/>
      <c r="O294" s="2527">
        <f t="shared" si="12"/>
        <v>0</v>
      </c>
      <c r="P294" s="2479" t="str">
        <f t="shared" si="13"/>
        <v>3.87, Avista Corporation, EX</v>
      </c>
    </row>
    <row r="295" spans="1:16" ht="15" customHeight="1" x14ac:dyDescent="0.2">
      <c r="A295" s="2769">
        <f t="shared" si="14"/>
        <v>3.88</v>
      </c>
      <c r="B295" s="2512" t="s">
        <v>9091</v>
      </c>
      <c r="C295" s="2489" t="s">
        <v>194</v>
      </c>
      <c r="D295" s="2614" t="s">
        <v>9587</v>
      </c>
      <c r="E295" s="2614"/>
      <c r="F295" s="2488"/>
      <c r="G295" s="2488"/>
      <c r="H295" s="2488"/>
      <c r="I295" s="2488"/>
      <c r="J295" s="2750">
        <v>350832</v>
      </c>
      <c r="K295" s="2750">
        <v>5052</v>
      </c>
      <c r="L295" s="2488"/>
      <c r="M295" s="2488"/>
      <c r="N295" s="2531">
        <v>210916</v>
      </c>
      <c r="O295" s="2527">
        <f t="shared" si="12"/>
        <v>210916</v>
      </c>
      <c r="P295" s="2479" t="str">
        <f t="shared" si="13"/>
        <v>3.88, Bonneville Power Administration, EX</v>
      </c>
    </row>
    <row r="296" spans="1:16" ht="15" customHeight="1" x14ac:dyDescent="0.2">
      <c r="A296" s="2769">
        <f t="shared" si="14"/>
        <v>3.89</v>
      </c>
      <c r="B296" s="2512" t="s">
        <v>9091</v>
      </c>
      <c r="C296" s="2947" t="s">
        <v>196</v>
      </c>
      <c r="D296" s="2614" t="s">
        <v>9587</v>
      </c>
      <c r="E296" s="2614"/>
      <c r="F296" s="2488"/>
      <c r="G296" s="2488"/>
      <c r="H296" s="2614"/>
      <c r="I296" s="2488"/>
      <c r="J296" s="2750">
        <v>2809</v>
      </c>
      <c r="K296" s="2488"/>
      <c r="L296" s="2488"/>
      <c r="M296" s="2488"/>
      <c r="N296" s="2488"/>
      <c r="O296" s="2527">
        <f t="shared" si="12"/>
        <v>0</v>
      </c>
      <c r="P296" s="2479" t="str">
        <f t="shared" si="13"/>
        <v>3.89, Bonneville Power Administration, AD</v>
      </c>
    </row>
    <row r="297" spans="1:16" ht="15" customHeight="1" x14ac:dyDescent="0.2">
      <c r="A297" s="2769">
        <f t="shared" si="14"/>
        <v>3.9</v>
      </c>
      <c r="B297" s="2512" t="s">
        <v>9091</v>
      </c>
      <c r="C297" s="2489" t="s">
        <v>194</v>
      </c>
      <c r="D297" s="2771">
        <v>237</v>
      </c>
      <c r="E297" s="2614"/>
      <c r="F297" s="2488"/>
      <c r="G297" s="2488"/>
      <c r="H297" s="2614"/>
      <c r="I297" s="2488"/>
      <c r="J297" s="2750">
        <v>1448648</v>
      </c>
      <c r="K297" s="2750">
        <v>1442765</v>
      </c>
      <c r="L297" s="2488"/>
      <c r="M297" s="2488"/>
      <c r="N297" s="2531">
        <v>-530970</v>
      </c>
      <c r="O297" s="2527">
        <f t="shared" si="12"/>
        <v>-530970</v>
      </c>
      <c r="P297" s="2479" t="str">
        <f t="shared" si="13"/>
        <v>3.9, Bonneville Power Administration, EX</v>
      </c>
    </row>
    <row r="298" spans="1:16" ht="15" customHeight="1" x14ac:dyDescent="0.2">
      <c r="A298" s="2769">
        <f t="shared" si="14"/>
        <v>3.91</v>
      </c>
      <c r="B298" s="2512" t="s">
        <v>9091</v>
      </c>
      <c r="C298" s="2947" t="s">
        <v>196</v>
      </c>
      <c r="D298" s="2771">
        <v>237</v>
      </c>
      <c r="E298" s="2614"/>
      <c r="F298" s="2488"/>
      <c r="G298" s="2488"/>
      <c r="H298" s="2614"/>
      <c r="I298" s="2488"/>
      <c r="J298" s="2750">
        <v>125972</v>
      </c>
      <c r="K298" s="2750">
        <v>121639</v>
      </c>
      <c r="L298" s="2488"/>
      <c r="M298" s="2488"/>
      <c r="N298" s="2531">
        <v>-332541</v>
      </c>
      <c r="O298" s="2527">
        <f t="shared" si="12"/>
        <v>-332541</v>
      </c>
      <c r="P298" s="2479" t="str">
        <f t="shared" si="13"/>
        <v>3.91, Bonneville Power Administration, AD</v>
      </c>
    </row>
    <row r="299" spans="1:16" ht="15" customHeight="1" x14ac:dyDescent="0.2">
      <c r="A299" s="2769">
        <f t="shared" si="14"/>
        <v>3.92</v>
      </c>
      <c r="B299" s="2512" t="s">
        <v>9588</v>
      </c>
      <c r="C299" s="2489" t="s">
        <v>194</v>
      </c>
      <c r="D299" s="2614" t="s">
        <v>9077</v>
      </c>
      <c r="E299" s="2614"/>
      <c r="F299" s="2614"/>
      <c r="G299" s="2614"/>
      <c r="H299" s="2614"/>
      <c r="I299" s="2488"/>
      <c r="J299" s="2750">
        <v>2668367</v>
      </c>
      <c r="K299" s="2750">
        <v>6126531</v>
      </c>
      <c r="L299" s="2488"/>
      <c r="M299" s="2488"/>
      <c r="N299" s="2531">
        <v>-261479689</v>
      </c>
      <c r="O299" s="2527">
        <f t="shared" si="12"/>
        <v>-261479689</v>
      </c>
      <c r="P299" s="2479" t="str">
        <f t="shared" si="13"/>
        <v>3.92, California Independent System Operator, EX</v>
      </c>
    </row>
    <row r="300" spans="1:16" ht="15" customHeight="1" x14ac:dyDescent="0.2">
      <c r="A300" s="2769">
        <f t="shared" si="14"/>
        <v>3.93</v>
      </c>
      <c r="B300" s="2512" t="s">
        <v>9588</v>
      </c>
      <c r="C300" s="2947" t="s">
        <v>196</v>
      </c>
      <c r="D300" s="2614" t="s">
        <v>9077</v>
      </c>
      <c r="E300" s="2614"/>
      <c r="F300" s="2488"/>
      <c r="G300" s="2488"/>
      <c r="H300" s="2614"/>
      <c r="I300" s="2488"/>
      <c r="J300" s="2750">
        <v>11751</v>
      </c>
      <c r="K300" s="2750">
        <v>-11751</v>
      </c>
      <c r="L300" s="2488"/>
      <c r="M300" s="2488"/>
      <c r="N300" s="2531">
        <v>-5331</v>
      </c>
      <c r="O300" s="2527">
        <f t="shared" si="12"/>
        <v>-5331</v>
      </c>
      <c r="P300" s="2479" t="str">
        <f t="shared" si="13"/>
        <v>3.93, California Independent System Operator, AD</v>
      </c>
    </row>
    <row r="301" spans="1:16" ht="15" customHeight="1" x14ac:dyDescent="0.2">
      <c r="A301" s="2769">
        <f t="shared" si="14"/>
        <v>3.94</v>
      </c>
      <c r="B301" s="2512" t="s">
        <v>9588</v>
      </c>
      <c r="C301" s="2489" t="s">
        <v>194</v>
      </c>
      <c r="D301" s="2614" t="s">
        <v>9154</v>
      </c>
      <c r="E301" s="2614"/>
      <c r="F301" s="2488"/>
      <c r="G301" s="2488"/>
      <c r="H301" s="2614"/>
      <c r="I301" s="2488"/>
      <c r="J301" s="2488"/>
      <c r="K301" s="2488"/>
      <c r="L301" s="2488"/>
      <c r="M301" s="2488"/>
      <c r="N301" s="2531">
        <v>-30633187</v>
      </c>
      <c r="O301" s="2527">
        <f t="shared" si="12"/>
        <v>-30633187</v>
      </c>
      <c r="P301" s="2479" t="str">
        <f t="shared" si="13"/>
        <v>3.94, California Independent System Operator, EX</v>
      </c>
    </row>
    <row r="302" spans="1:16" ht="15" customHeight="1" x14ac:dyDescent="0.2">
      <c r="A302" s="2769">
        <f t="shared" si="14"/>
        <v>3.95</v>
      </c>
      <c r="B302" s="2512" t="s">
        <v>9588</v>
      </c>
      <c r="C302" s="2947" t="s">
        <v>196</v>
      </c>
      <c r="D302" s="2614" t="s">
        <v>9154</v>
      </c>
      <c r="E302" s="2614"/>
      <c r="F302" s="2488"/>
      <c r="G302" s="2488"/>
      <c r="H302" s="2614"/>
      <c r="I302" s="2488"/>
      <c r="J302" s="2488"/>
      <c r="K302" s="2488"/>
      <c r="L302" s="2488"/>
      <c r="M302" s="2488"/>
      <c r="N302" s="2531">
        <v>-2585358</v>
      </c>
      <c r="O302" s="2527">
        <f t="shared" si="12"/>
        <v>-2585358</v>
      </c>
      <c r="P302" s="2479" t="str">
        <f t="shared" si="13"/>
        <v>3.95, California Independent System Operator, AD</v>
      </c>
    </row>
    <row r="303" spans="1:16" ht="15" customHeight="1" x14ac:dyDescent="0.2">
      <c r="A303" s="2769">
        <f t="shared" si="14"/>
        <v>3.96</v>
      </c>
      <c r="B303" s="2512" t="s">
        <v>9589</v>
      </c>
      <c r="C303" s="2489" t="s">
        <v>194</v>
      </c>
      <c r="D303" s="2614" t="s">
        <v>9074</v>
      </c>
      <c r="E303" s="2614"/>
      <c r="F303" s="2488"/>
      <c r="G303" s="2488"/>
      <c r="H303" s="2614"/>
      <c r="I303" s="2488"/>
      <c r="J303" s="2750">
        <v>0</v>
      </c>
      <c r="K303" s="2750">
        <v>884</v>
      </c>
      <c r="L303" s="2488"/>
      <c r="M303" s="2488"/>
      <c r="N303" s="2531">
        <v>-22056</v>
      </c>
      <c r="O303" s="2527">
        <f t="shared" si="12"/>
        <v>-22056</v>
      </c>
      <c r="P303" s="2479" t="str">
        <f t="shared" si="13"/>
        <v>3.96, Emerald People's Utility District, EX</v>
      </c>
    </row>
    <row r="304" spans="1:16" ht="15" customHeight="1" x14ac:dyDescent="0.2">
      <c r="A304" s="2769">
        <f t="shared" si="14"/>
        <v>3.97</v>
      </c>
      <c r="B304" s="2512" t="s">
        <v>9113</v>
      </c>
      <c r="C304" s="2489" t="s">
        <v>194</v>
      </c>
      <c r="D304" s="2614" t="s">
        <v>9074</v>
      </c>
      <c r="E304" s="2614"/>
      <c r="F304" s="2488"/>
      <c r="G304" s="2488"/>
      <c r="H304" s="2614"/>
      <c r="I304" s="2488"/>
      <c r="J304" s="2750">
        <v>2178</v>
      </c>
      <c r="K304" s="2750">
        <v>2079</v>
      </c>
      <c r="L304" s="2488"/>
      <c r="M304" s="2488"/>
      <c r="N304" s="2488"/>
      <c r="O304" s="2527">
        <f t="shared" si="12"/>
        <v>0</v>
      </c>
      <c r="P304" s="2479" t="str">
        <f t="shared" si="13"/>
        <v>3.97, Idaho Power Company, EX</v>
      </c>
    </row>
    <row r="305" spans="1:16" ht="15" customHeight="1" x14ac:dyDescent="0.2">
      <c r="A305" s="2769">
        <f t="shared" si="14"/>
        <v>3.98</v>
      </c>
      <c r="B305" s="2502" t="s">
        <v>9113</v>
      </c>
      <c r="C305" s="2489" t="s">
        <v>194</v>
      </c>
      <c r="D305" s="2771">
        <v>708</v>
      </c>
      <c r="E305" s="2614"/>
      <c r="F305" s="2488"/>
      <c r="G305" s="2488"/>
      <c r="H305" s="2614"/>
      <c r="I305" s="2488"/>
      <c r="J305" s="2750">
        <v>124135</v>
      </c>
      <c r="K305" s="2750">
        <v>127122</v>
      </c>
      <c r="L305" s="2488"/>
      <c r="M305" s="2488"/>
      <c r="N305" s="2488"/>
      <c r="O305" s="2527">
        <f t="shared" si="12"/>
        <v>0</v>
      </c>
      <c r="P305" s="2479" t="str">
        <f t="shared" si="13"/>
        <v>3.98, Idaho Power Company, EX</v>
      </c>
    </row>
    <row r="306" spans="1:16" ht="15" customHeight="1" x14ac:dyDescent="0.2">
      <c r="A306" s="2769">
        <f t="shared" si="14"/>
        <v>3.99</v>
      </c>
      <c r="B306" s="2502" t="s">
        <v>9470</v>
      </c>
      <c r="C306" s="2489" t="s">
        <v>194</v>
      </c>
      <c r="D306" s="2614" t="s">
        <v>12092</v>
      </c>
      <c r="E306" s="2614"/>
      <c r="F306" s="2488"/>
      <c r="G306" s="2488"/>
      <c r="H306" s="2614"/>
      <c r="I306" s="2488"/>
      <c r="J306" s="2750">
        <v>2940</v>
      </c>
      <c r="K306" s="2488"/>
      <c r="L306" s="2488"/>
      <c r="M306" s="2488"/>
      <c r="N306" s="2531">
        <v>404452</v>
      </c>
      <c r="O306" s="2527">
        <f t="shared" si="12"/>
        <v>404452</v>
      </c>
      <c r="P306" s="2479" t="str">
        <f t="shared" si="13"/>
        <v>3.99, Los Angeles Department of Water and Power, EX</v>
      </c>
    </row>
    <row r="307" spans="1:16" ht="15" customHeight="1" x14ac:dyDescent="0.2">
      <c r="A307" s="2769">
        <f t="shared" si="14"/>
        <v>4</v>
      </c>
      <c r="B307" s="2502" t="s">
        <v>9591</v>
      </c>
      <c r="C307" s="2489" t="s">
        <v>194</v>
      </c>
      <c r="D307" s="2614" t="s">
        <v>12092</v>
      </c>
      <c r="E307" s="2614"/>
      <c r="F307" s="2488"/>
      <c r="G307" s="2488"/>
      <c r="H307" s="2614"/>
      <c r="I307" s="2488"/>
      <c r="J307" s="2488"/>
      <c r="K307" s="2750">
        <v>1926</v>
      </c>
      <c r="L307" s="2488"/>
      <c r="M307" s="2488"/>
      <c r="N307" s="2531">
        <v>-269635</v>
      </c>
      <c r="O307" s="2527">
        <f t="shared" si="12"/>
        <v>-269635</v>
      </c>
      <c r="P307" s="2479" t="str">
        <f t="shared" si="13"/>
        <v>4, Milford Wind Corridor Phase I, LLC, EX</v>
      </c>
    </row>
    <row r="308" spans="1:16" ht="15" customHeight="1" x14ac:dyDescent="0.2">
      <c r="A308" s="2769">
        <f t="shared" si="14"/>
        <v>4.01</v>
      </c>
      <c r="B308" s="2502" t="s">
        <v>9592</v>
      </c>
      <c r="C308" s="2489" t="s">
        <v>194</v>
      </c>
      <c r="D308" s="2614" t="s">
        <v>12092</v>
      </c>
      <c r="E308" s="2614"/>
      <c r="F308" s="2488"/>
      <c r="G308" s="2488"/>
      <c r="H308" s="2614"/>
      <c r="I308" s="2488"/>
      <c r="J308" s="2488"/>
      <c r="K308" s="2750">
        <v>1014</v>
      </c>
      <c r="L308" s="2488"/>
      <c r="M308" s="2488"/>
      <c r="N308" s="2531">
        <v>-134817</v>
      </c>
      <c r="O308" s="2527">
        <f t="shared" si="12"/>
        <v>-134817</v>
      </c>
      <c r="P308" s="2479" t="str">
        <f t="shared" si="13"/>
        <v>4.01, Milford Wind Corridor Phase II, LLC, EX</v>
      </c>
    </row>
    <row r="309" spans="1:16" ht="15" customHeight="1" x14ac:dyDescent="0.2">
      <c r="A309" s="2769">
        <f t="shared" si="14"/>
        <v>4.0199999999999996</v>
      </c>
      <c r="B309" s="2512" t="s">
        <v>9593</v>
      </c>
      <c r="C309" s="2489" t="s">
        <v>194</v>
      </c>
      <c r="D309" s="2771">
        <v>160</v>
      </c>
      <c r="E309" s="2614"/>
      <c r="F309" s="2488"/>
      <c r="G309" s="2488"/>
      <c r="H309" s="2488"/>
      <c r="I309" s="2488"/>
      <c r="J309" s="2750">
        <v>25315</v>
      </c>
      <c r="K309" s="2488"/>
      <c r="L309" s="2488"/>
      <c r="M309" s="2488"/>
      <c r="N309" s="2488"/>
      <c r="O309" s="2527">
        <f t="shared" si="12"/>
        <v>0</v>
      </c>
      <c r="P309" s="2479" t="str">
        <f t="shared" si="13"/>
        <v>4.02, NorthWestern Corporation, EX</v>
      </c>
    </row>
    <row r="310" spans="1:16" ht="15" customHeight="1" x14ac:dyDescent="0.2">
      <c r="A310" s="2769">
        <f t="shared" si="14"/>
        <v>4.03</v>
      </c>
      <c r="B310" s="2512" t="s">
        <v>9123</v>
      </c>
      <c r="C310" s="2489" t="s">
        <v>194</v>
      </c>
      <c r="D310" s="2614" t="s">
        <v>9595</v>
      </c>
      <c r="E310" s="2614"/>
      <c r="F310" s="2488"/>
      <c r="G310" s="2488"/>
      <c r="H310" s="2614"/>
      <c r="I310" s="2488"/>
      <c r="J310" s="2750">
        <v>3557</v>
      </c>
      <c r="K310" s="2488"/>
      <c r="L310" s="2488"/>
      <c r="M310" s="2488"/>
      <c r="N310" s="2488"/>
      <c r="O310" s="2527">
        <f t="shared" si="12"/>
        <v>0</v>
      </c>
      <c r="P310" s="2479" t="str">
        <f t="shared" si="13"/>
        <v>4.03, Portland General Electric Company, EX</v>
      </c>
    </row>
    <row r="311" spans="1:16" ht="15" customHeight="1" x14ac:dyDescent="0.2">
      <c r="A311" s="2769">
        <f t="shared" si="14"/>
        <v>4.04</v>
      </c>
      <c r="B311" s="2512" t="s">
        <v>9125</v>
      </c>
      <c r="C311" s="2489" t="s">
        <v>194</v>
      </c>
      <c r="D311" s="2771">
        <v>334</v>
      </c>
      <c r="E311" s="2614"/>
      <c r="F311" s="2488"/>
      <c r="G311" s="2488"/>
      <c r="H311" s="2614"/>
      <c r="I311" s="2488"/>
      <c r="J311" s="2750">
        <v>1093354</v>
      </c>
      <c r="K311" s="2750">
        <v>1093052</v>
      </c>
      <c r="L311" s="2488"/>
      <c r="M311" s="2488"/>
      <c r="N311" s="2531">
        <v>4495381</v>
      </c>
      <c r="O311" s="2527">
        <f t="shared" si="12"/>
        <v>4495381</v>
      </c>
      <c r="P311" s="2479" t="str">
        <f t="shared" si="13"/>
        <v>4.04, Public Service Company of Colorado, EX</v>
      </c>
    </row>
    <row r="312" spans="1:16" ht="15" customHeight="1" x14ac:dyDescent="0.2">
      <c r="A312" s="2769">
        <f t="shared" si="14"/>
        <v>4.05</v>
      </c>
      <c r="B312" s="2512" t="s">
        <v>9125</v>
      </c>
      <c r="C312" s="2947" t="s">
        <v>196</v>
      </c>
      <c r="D312" s="2771">
        <v>334</v>
      </c>
      <c r="E312" s="2614"/>
      <c r="F312" s="2488"/>
      <c r="G312" s="2488"/>
      <c r="H312" s="2614"/>
      <c r="I312" s="2488"/>
      <c r="J312" s="2750">
        <v>149</v>
      </c>
      <c r="K312" s="2488"/>
      <c r="L312" s="2488"/>
      <c r="M312" s="2488"/>
      <c r="N312" s="2531">
        <v>4619</v>
      </c>
      <c r="O312" s="2527">
        <f t="shared" si="12"/>
        <v>4619</v>
      </c>
      <c r="P312" s="2479" t="str">
        <f t="shared" si="13"/>
        <v>4.05, Public Service Company of Colorado, AD</v>
      </c>
    </row>
    <row r="313" spans="1:16" ht="15" customHeight="1" x14ac:dyDescent="0.2">
      <c r="A313" s="2769">
        <f t="shared" si="14"/>
        <v>4.0599999999999996</v>
      </c>
      <c r="B313" s="2512" t="s">
        <v>9519</v>
      </c>
      <c r="C313" s="2489" t="s">
        <v>194</v>
      </c>
      <c r="D313" s="2771">
        <v>442</v>
      </c>
      <c r="E313" s="2614"/>
      <c r="F313" s="2614"/>
      <c r="G313" s="2614"/>
      <c r="H313" s="2614"/>
      <c r="I313" s="2488"/>
      <c r="J313" s="2750">
        <v>201548</v>
      </c>
      <c r="K313" s="2750">
        <v>223361</v>
      </c>
      <c r="L313" s="2488"/>
      <c r="M313" s="2488"/>
      <c r="N313" s="2488"/>
      <c r="O313" s="2527">
        <f t="shared" si="12"/>
        <v>0</v>
      </c>
      <c r="P313" s="2479" t="str">
        <f t="shared" si="13"/>
        <v>4.06, Public Utility District No. 1 of Cowlitz County, EX</v>
      </c>
    </row>
    <row r="314" spans="1:16" ht="15" customHeight="1" x14ac:dyDescent="0.2">
      <c r="A314" s="2769">
        <f t="shared" si="14"/>
        <v>4.07</v>
      </c>
      <c r="B314" s="2512" t="s">
        <v>9134</v>
      </c>
      <c r="C314" s="2489" t="s">
        <v>194</v>
      </c>
      <c r="D314" s="2677" t="s">
        <v>12093</v>
      </c>
      <c r="E314" s="2614"/>
      <c r="F314" s="2488"/>
      <c r="G314" s="2488"/>
      <c r="H314" s="2614"/>
      <c r="I314" s="2488"/>
      <c r="J314" s="2750">
        <v>0</v>
      </c>
      <c r="K314" s="2750">
        <v>73345</v>
      </c>
      <c r="L314" s="2488"/>
      <c r="M314" s="2488"/>
      <c r="N314" s="2531">
        <v>-2849832</v>
      </c>
      <c r="O314" s="2527">
        <f t="shared" si="12"/>
        <v>-2849832</v>
      </c>
      <c r="P314" s="2479" t="str">
        <f t="shared" si="13"/>
        <v>4.07, Seattle City Light, EX</v>
      </c>
    </row>
    <row r="315" spans="1:16" ht="15" customHeight="1" x14ac:dyDescent="0.2">
      <c r="A315" s="2769">
        <f t="shared" si="14"/>
        <v>4.08</v>
      </c>
      <c r="B315" s="2512" t="s">
        <v>9572</v>
      </c>
      <c r="C315" s="2489" t="s">
        <v>194</v>
      </c>
      <c r="D315" s="2614" t="s">
        <v>9596</v>
      </c>
      <c r="E315" s="2614"/>
      <c r="F315" s="2488"/>
      <c r="G315" s="2488"/>
      <c r="H315" s="2614"/>
      <c r="I315" s="2488"/>
      <c r="J315" s="2750">
        <v>181516</v>
      </c>
      <c r="K315" s="2750">
        <v>94146</v>
      </c>
      <c r="L315" s="2488"/>
      <c r="M315" s="2488"/>
      <c r="N315" s="2531">
        <v>534517</v>
      </c>
      <c r="O315" s="2527">
        <f t="shared" si="12"/>
        <v>534517</v>
      </c>
      <c r="P315" s="2479" t="str">
        <f t="shared" si="13"/>
        <v>4.08, Western Area Power Administration, EX</v>
      </c>
    </row>
    <row r="316" spans="1:16" ht="15" customHeight="1" x14ac:dyDescent="0.2">
      <c r="A316" s="2769">
        <f t="shared" si="14"/>
        <v>4.09</v>
      </c>
      <c r="B316" s="2512" t="s">
        <v>9572</v>
      </c>
      <c r="C316" s="2947" t="s">
        <v>196</v>
      </c>
      <c r="D316" s="2614" t="s">
        <v>9596</v>
      </c>
      <c r="E316" s="2614"/>
      <c r="F316" s="2488"/>
      <c r="G316" s="2488"/>
      <c r="H316" s="2614"/>
      <c r="I316" s="2488"/>
      <c r="J316" s="2750">
        <v>25980</v>
      </c>
      <c r="K316" s="2488"/>
      <c r="L316" s="2488"/>
      <c r="M316" s="2488"/>
      <c r="N316" s="2531">
        <v>45251</v>
      </c>
      <c r="O316" s="2527">
        <f t="shared" si="12"/>
        <v>45251</v>
      </c>
      <c r="P316" s="2479" t="str">
        <f t="shared" si="13"/>
        <v>4.09, Western Area Power Administration, AD</v>
      </c>
    </row>
    <row r="317" spans="1:16" ht="15" customHeight="1" x14ac:dyDescent="0.2">
      <c r="A317" s="2769">
        <f t="shared" si="14"/>
        <v>4.0999999999999996</v>
      </c>
      <c r="B317" s="2512" t="s">
        <v>9597</v>
      </c>
      <c r="C317" s="2489" t="s">
        <v>194</v>
      </c>
      <c r="D317" s="2614" t="s">
        <v>9154</v>
      </c>
      <c r="E317" s="2614"/>
      <c r="F317" s="2488"/>
      <c r="G317" s="2488"/>
      <c r="H317" s="2614"/>
      <c r="I317" s="2488"/>
      <c r="J317" s="2750">
        <v>177031</v>
      </c>
      <c r="K317" s="2488"/>
      <c r="L317" s="2488"/>
      <c r="M317" s="2488"/>
      <c r="N317" s="2531">
        <v>4942947</v>
      </c>
      <c r="O317" s="2527">
        <f t="shared" si="12"/>
        <v>4942947</v>
      </c>
      <c r="P317" s="2479" t="str">
        <f t="shared" si="13"/>
        <v>4.1, Imbalance Energy Accrual, EX</v>
      </c>
    </row>
    <row r="318" spans="1:16" ht="15" customHeight="1" x14ac:dyDescent="0.2">
      <c r="A318" s="2769">
        <f t="shared" si="14"/>
        <v>4.1100000000000003</v>
      </c>
      <c r="B318" s="2512" t="s">
        <v>9597</v>
      </c>
      <c r="C318" s="2947" t="s">
        <v>196</v>
      </c>
      <c r="D318" s="2614" t="s">
        <v>9154</v>
      </c>
      <c r="E318" s="2614"/>
      <c r="F318" s="2488"/>
      <c r="G318" s="2488"/>
      <c r="H318" s="2614"/>
      <c r="I318" s="2488"/>
      <c r="J318" s="2530">
        <v>-51252</v>
      </c>
      <c r="K318" s="2488"/>
      <c r="L318" s="2488"/>
      <c r="M318" s="2488"/>
      <c r="N318" s="2531">
        <v>-1093177</v>
      </c>
      <c r="O318" s="2527">
        <f t="shared" si="12"/>
        <v>-1093177</v>
      </c>
      <c r="P318" s="2479" t="str">
        <f t="shared" si="13"/>
        <v>4.11, Imbalance Energy Accrual, AD</v>
      </c>
    </row>
    <row r="319" spans="1:16" ht="15" customHeight="1" x14ac:dyDescent="0.2">
      <c r="A319" s="2769">
        <f t="shared" si="14"/>
        <v>4.12</v>
      </c>
      <c r="B319" s="2502"/>
      <c r="C319" s="2489"/>
      <c r="D319" s="2614"/>
      <c r="E319" s="2614"/>
      <c r="F319" s="2488"/>
      <c r="G319" s="2488"/>
      <c r="H319" s="2614"/>
      <c r="I319" s="2488"/>
      <c r="J319" s="2488"/>
      <c r="K319" s="2488"/>
      <c r="L319" s="2488"/>
      <c r="M319" s="2488"/>
      <c r="N319" s="2488"/>
      <c r="O319" s="2527">
        <f t="shared" si="12"/>
        <v>0</v>
      </c>
      <c r="P319" s="2479" t="str">
        <f t="shared" si="13"/>
        <v xml:space="preserve">4.12, , </v>
      </c>
    </row>
    <row r="320" spans="1:16" ht="15" customHeight="1" x14ac:dyDescent="0.2">
      <c r="A320" s="2769">
        <f t="shared" si="14"/>
        <v>4.13</v>
      </c>
      <c r="B320" s="2502"/>
      <c r="C320" s="2489"/>
      <c r="D320" s="2614"/>
      <c r="E320" s="2614"/>
      <c r="F320" s="2488"/>
      <c r="G320" s="2488"/>
      <c r="H320" s="2614"/>
      <c r="I320" s="2488"/>
      <c r="J320" s="2488"/>
      <c r="K320" s="2488"/>
      <c r="L320" s="2488"/>
      <c r="M320" s="2488"/>
      <c r="N320" s="2488"/>
      <c r="O320" s="2527">
        <f t="shared" si="12"/>
        <v>0</v>
      </c>
      <c r="P320" s="2479" t="str">
        <f t="shared" si="13"/>
        <v xml:space="preserve">4.13, , </v>
      </c>
    </row>
    <row r="321" spans="1:16" ht="15" customHeight="1" x14ac:dyDescent="0.2">
      <c r="A321" s="2769">
        <f t="shared" si="14"/>
        <v>4.1399999999999997</v>
      </c>
      <c r="B321" s="2502"/>
      <c r="C321" s="2489"/>
      <c r="D321" s="2614"/>
      <c r="E321" s="2614"/>
      <c r="F321" s="2488"/>
      <c r="G321" s="2488"/>
      <c r="H321" s="2614"/>
      <c r="I321" s="2488"/>
      <c r="J321" s="2488"/>
      <c r="K321" s="2488"/>
      <c r="L321" s="2488"/>
      <c r="M321" s="2488"/>
      <c r="N321" s="2488"/>
      <c r="O321" s="2527">
        <f t="shared" si="12"/>
        <v>0</v>
      </c>
      <c r="P321" s="2479" t="str">
        <f t="shared" si="13"/>
        <v xml:space="preserve">4.14, , </v>
      </c>
    </row>
    <row r="322" spans="1:16" ht="5.85" customHeight="1" x14ac:dyDescent="0.2">
      <c r="A322" s="2769">
        <f t="shared" si="14"/>
        <v>4.1500000000000004</v>
      </c>
      <c r="B322" s="2502"/>
      <c r="C322" s="2503"/>
      <c r="D322" s="2614"/>
      <c r="E322" s="2614"/>
      <c r="F322" s="2488"/>
      <c r="G322" s="2488"/>
      <c r="H322" s="2614"/>
      <c r="I322" s="2488"/>
      <c r="J322" s="2488"/>
      <c r="K322" s="2488"/>
      <c r="L322" s="2488"/>
      <c r="M322" s="2488"/>
      <c r="N322" s="2488"/>
      <c r="O322" s="2527">
        <f t="shared" si="12"/>
        <v>0</v>
      </c>
      <c r="P322" s="2479" t="str">
        <f t="shared" si="13"/>
        <v xml:space="preserve">4.15, , </v>
      </c>
    </row>
    <row r="323" spans="1:16" ht="5.85" customHeight="1" x14ac:dyDescent="0.2">
      <c r="A323" s="2769">
        <f t="shared" si="14"/>
        <v>4.16</v>
      </c>
      <c r="B323" s="2512"/>
      <c r="C323" s="2503"/>
      <c r="D323" s="2614"/>
      <c r="E323" s="2614"/>
      <c r="F323" s="2488"/>
      <c r="G323" s="2488"/>
      <c r="H323" s="2488"/>
      <c r="I323" s="2488"/>
      <c r="J323" s="2488"/>
      <c r="K323" s="2488"/>
      <c r="L323" s="2488"/>
      <c r="M323" s="2488"/>
      <c r="N323" s="2488"/>
      <c r="O323" s="2527">
        <f t="shared" si="12"/>
        <v>0</v>
      </c>
      <c r="P323" s="2479" t="str">
        <f t="shared" si="13"/>
        <v xml:space="preserve">4.16, , </v>
      </c>
    </row>
    <row r="324" spans="1:16" ht="5.85" customHeight="1" x14ac:dyDescent="0.2">
      <c r="A324" s="2769">
        <f t="shared" si="14"/>
        <v>4.17</v>
      </c>
      <c r="B324" s="2512"/>
      <c r="C324" s="2503"/>
      <c r="D324" s="2614"/>
      <c r="E324" s="2614"/>
      <c r="F324" s="2488"/>
      <c r="G324" s="2488"/>
      <c r="H324" s="2614"/>
      <c r="I324" s="2488"/>
      <c r="J324" s="2488"/>
      <c r="K324" s="2488"/>
      <c r="L324" s="2488"/>
      <c r="M324" s="2488"/>
      <c r="N324" s="2488"/>
      <c r="O324" s="2527">
        <f t="shared" si="12"/>
        <v>0</v>
      </c>
      <c r="P324" s="2479" t="str">
        <f t="shared" si="13"/>
        <v xml:space="preserve">4.17, , </v>
      </c>
    </row>
    <row r="325" spans="1:16" ht="5.85" customHeight="1" x14ac:dyDescent="0.2">
      <c r="A325" s="2769">
        <f t="shared" si="14"/>
        <v>4.18</v>
      </c>
      <c r="B325" s="2512"/>
      <c r="C325" s="2503"/>
      <c r="D325" s="2614"/>
      <c r="E325" s="2614"/>
      <c r="F325" s="2488"/>
      <c r="G325" s="2488"/>
      <c r="H325" s="2614"/>
      <c r="I325" s="2488"/>
      <c r="J325" s="2488"/>
      <c r="K325" s="2488"/>
      <c r="L325" s="2488"/>
      <c r="M325" s="2488"/>
      <c r="N325" s="2488"/>
      <c r="O325" s="2527">
        <f t="shared" si="12"/>
        <v>0</v>
      </c>
      <c r="P325" s="2479" t="str">
        <f t="shared" si="13"/>
        <v xml:space="preserve">4.18, , </v>
      </c>
    </row>
    <row r="326" spans="1:16" ht="5.85" customHeight="1" x14ac:dyDescent="0.2">
      <c r="A326" s="2769">
        <f t="shared" si="14"/>
        <v>4.1900000000000004</v>
      </c>
      <c r="B326" s="2512"/>
      <c r="C326" s="2503"/>
      <c r="D326" s="2614"/>
      <c r="E326" s="2614"/>
      <c r="F326" s="2488"/>
      <c r="G326" s="2488"/>
      <c r="H326" s="2614"/>
      <c r="I326" s="2488"/>
      <c r="J326" s="2488"/>
      <c r="K326" s="2488"/>
      <c r="L326" s="2488"/>
      <c r="M326" s="2488"/>
      <c r="N326" s="2488"/>
      <c r="O326" s="2527">
        <f t="shared" si="12"/>
        <v>0</v>
      </c>
      <c r="P326" s="2479" t="str">
        <f t="shared" si="13"/>
        <v xml:space="preserve">4.19, , </v>
      </c>
    </row>
    <row r="327" spans="1:16" ht="5.85" customHeight="1" x14ac:dyDescent="0.2">
      <c r="A327" s="2769">
        <f t="shared" si="14"/>
        <v>4.2</v>
      </c>
      <c r="B327" s="2512"/>
      <c r="C327" s="2503"/>
      <c r="D327" s="2614"/>
      <c r="E327" s="2614"/>
      <c r="F327" s="2614"/>
      <c r="G327" s="2614"/>
      <c r="H327" s="2614"/>
      <c r="I327" s="2488"/>
      <c r="J327" s="2488"/>
      <c r="K327" s="2488"/>
      <c r="L327" s="2488"/>
      <c r="M327" s="2488"/>
      <c r="N327" s="2488"/>
      <c r="O327" s="2527">
        <f t="shared" ref="O327:O338" si="15">SUM(L327:N327)</f>
        <v>0</v>
      </c>
      <c r="P327" s="2479" t="str">
        <f t="shared" ref="P327:P338" si="16">CONCATENATE(A327,", ",B327,", ",C327)</f>
        <v xml:space="preserve">4.2, , </v>
      </c>
    </row>
    <row r="328" spans="1:16" ht="5.85" customHeight="1" x14ac:dyDescent="0.2">
      <c r="A328" s="2769">
        <f t="shared" ref="A328:A338" si="17">ROUND(A327+0.01,2)</f>
        <v>4.21</v>
      </c>
      <c r="B328" s="2512"/>
      <c r="C328" s="2489"/>
      <c r="D328" s="2614"/>
      <c r="E328" s="2614"/>
      <c r="F328" s="2488"/>
      <c r="G328" s="2488"/>
      <c r="H328" s="2614"/>
      <c r="I328" s="2488"/>
      <c r="J328" s="2488"/>
      <c r="K328" s="2488"/>
      <c r="L328" s="2488"/>
      <c r="M328" s="2488"/>
      <c r="N328" s="2488"/>
      <c r="O328" s="2527">
        <f t="shared" si="15"/>
        <v>0</v>
      </c>
      <c r="P328" s="2479" t="str">
        <f t="shared" si="16"/>
        <v xml:space="preserve">4.21, , </v>
      </c>
    </row>
    <row r="329" spans="1:16" ht="5.85" customHeight="1" x14ac:dyDescent="0.2">
      <c r="A329" s="2769">
        <f t="shared" si="17"/>
        <v>4.22</v>
      </c>
      <c r="B329" s="2512"/>
      <c r="C329" s="2503"/>
      <c r="D329" s="2614"/>
      <c r="E329" s="2614"/>
      <c r="F329" s="2488"/>
      <c r="G329" s="2488"/>
      <c r="H329" s="2614"/>
      <c r="I329" s="2488"/>
      <c r="J329" s="2488"/>
      <c r="K329" s="2488"/>
      <c r="L329" s="2488"/>
      <c r="M329" s="2488"/>
      <c r="N329" s="2488"/>
      <c r="O329" s="2527">
        <f t="shared" si="15"/>
        <v>0</v>
      </c>
      <c r="P329" s="2479" t="str">
        <f t="shared" si="16"/>
        <v xml:space="preserve">4.22, , </v>
      </c>
    </row>
    <row r="330" spans="1:16" ht="5.85" customHeight="1" x14ac:dyDescent="0.2">
      <c r="A330" s="2769">
        <f t="shared" si="17"/>
        <v>4.2300000000000004</v>
      </c>
      <c r="B330" s="2512"/>
      <c r="C330" s="2503"/>
      <c r="D330" s="2614"/>
      <c r="E330" s="2614"/>
      <c r="F330" s="2488"/>
      <c r="G330" s="2488"/>
      <c r="H330" s="2614"/>
      <c r="I330" s="2488"/>
      <c r="J330" s="2488"/>
      <c r="K330" s="2488"/>
      <c r="L330" s="2488"/>
      <c r="M330" s="2488"/>
      <c r="N330" s="2488"/>
      <c r="O330" s="2527">
        <f t="shared" si="15"/>
        <v>0</v>
      </c>
      <c r="P330" s="2479" t="str">
        <f t="shared" si="16"/>
        <v xml:space="preserve">4.23, , </v>
      </c>
    </row>
    <row r="331" spans="1:16" ht="5.85" customHeight="1" x14ac:dyDescent="0.2">
      <c r="A331" s="2769">
        <f t="shared" si="17"/>
        <v>4.24</v>
      </c>
      <c r="B331" s="2512"/>
      <c r="C331" s="2503"/>
      <c r="D331" s="2614"/>
      <c r="E331" s="2614"/>
      <c r="F331" s="2488"/>
      <c r="G331" s="2488"/>
      <c r="H331" s="2614"/>
      <c r="I331" s="2488"/>
      <c r="J331" s="2488"/>
      <c r="K331" s="2488"/>
      <c r="L331" s="2488"/>
      <c r="M331" s="2488"/>
      <c r="N331" s="2488"/>
      <c r="O331" s="2527">
        <f t="shared" si="15"/>
        <v>0</v>
      </c>
      <c r="P331" s="2479" t="str">
        <f t="shared" si="16"/>
        <v xml:space="preserve">4.24, , </v>
      </c>
    </row>
    <row r="332" spans="1:16" ht="5.85" customHeight="1" x14ac:dyDescent="0.2">
      <c r="A332" s="2769">
        <f t="shared" si="17"/>
        <v>4.25</v>
      </c>
      <c r="B332" s="2512"/>
      <c r="C332" s="2503"/>
      <c r="D332" s="2614"/>
      <c r="E332" s="2614"/>
      <c r="F332" s="2488"/>
      <c r="G332" s="2488"/>
      <c r="H332" s="2614"/>
      <c r="I332" s="2488"/>
      <c r="J332" s="2488"/>
      <c r="K332" s="2488"/>
      <c r="L332" s="2488"/>
      <c r="M332" s="2488"/>
      <c r="N332" s="2488"/>
      <c r="O332" s="2527">
        <f t="shared" si="15"/>
        <v>0</v>
      </c>
      <c r="P332" s="2479" t="str">
        <f t="shared" si="16"/>
        <v xml:space="preserve">4.25, , </v>
      </c>
    </row>
    <row r="333" spans="1:16" ht="5.85" customHeight="1" x14ac:dyDescent="0.2">
      <c r="A333" s="2769">
        <f t="shared" si="17"/>
        <v>4.26</v>
      </c>
      <c r="B333" s="2502"/>
      <c r="C333" s="2503"/>
      <c r="D333" s="2614"/>
      <c r="E333" s="2614"/>
      <c r="F333" s="2488"/>
      <c r="G333" s="2488"/>
      <c r="H333" s="2614"/>
      <c r="I333" s="2488"/>
      <c r="J333" s="2488"/>
      <c r="K333" s="2488"/>
      <c r="L333" s="2488"/>
      <c r="M333" s="2488"/>
      <c r="N333" s="2488"/>
      <c r="O333" s="2527">
        <f t="shared" si="15"/>
        <v>0</v>
      </c>
      <c r="P333" s="2479" t="str">
        <f t="shared" si="16"/>
        <v xml:space="preserve">4.26, , </v>
      </c>
    </row>
    <row r="334" spans="1:16" ht="5.85" customHeight="1" x14ac:dyDescent="0.2">
      <c r="A334" s="2769">
        <f t="shared" si="17"/>
        <v>4.2699999999999996</v>
      </c>
      <c r="B334" s="2502"/>
      <c r="C334" s="2503"/>
      <c r="D334" s="2614"/>
      <c r="E334" s="2614"/>
      <c r="F334" s="2488"/>
      <c r="G334" s="2488"/>
      <c r="H334" s="2614"/>
      <c r="I334" s="2488"/>
      <c r="J334" s="2488"/>
      <c r="K334" s="2488"/>
      <c r="L334" s="2488"/>
      <c r="M334" s="2488"/>
      <c r="N334" s="2488"/>
      <c r="O334" s="2527">
        <f t="shared" si="15"/>
        <v>0</v>
      </c>
      <c r="P334" s="2479" t="str">
        <f t="shared" si="16"/>
        <v xml:space="preserve">4.27, , </v>
      </c>
    </row>
    <row r="335" spans="1:16" ht="5.85" customHeight="1" x14ac:dyDescent="0.2">
      <c r="A335" s="2769">
        <f t="shared" si="17"/>
        <v>4.28</v>
      </c>
      <c r="B335" s="2502"/>
      <c r="C335" s="2503"/>
      <c r="D335" s="2614"/>
      <c r="E335" s="2614"/>
      <c r="F335" s="2488"/>
      <c r="G335" s="2488"/>
      <c r="H335" s="2614"/>
      <c r="I335" s="2488"/>
      <c r="J335" s="2488"/>
      <c r="K335" s="2488"/>
      <c r="L335" s="2488"/>
      <c r="M335" s="2488"/>
      <c r="N335" s="2488"/>
      <c r="O335" s="2527">
        <f t="shared" si="15"/>
        <v>0</v>
      </c>
      <c r="P335" s="2479" t="str">
        <f t="shared" si="16"/>
        <v xml:space="preserve">4.28, , </v>
      </c>
    </row>
    <row r="336" spans="1:16" ht="5.85" customHeight="1" x14ac:dyDescent="0.2">
      <c r="A336" s="2769">
        <f t="shared" si="17"/>
        <v>4.29</v>
      </c>
      <c r="B336" s="2502"/>
      <c r="C336" s="2503"/>
      <c r="D336" s="2614"/>
      <c r="E336" s="2614"/>
      <c r="F336" s="2488"/>
      <c r="G336" s="2488"/>
      <c r="H336" s="2614"/>
      <c r="I336" s="2488"/>
      <c r="J336" s="2488"/>
      <c r="K336" s="2488"/>
      <c r="L336" s="2488"/>
      <c r="M336" s="2488"/>
      <c r="N336" s="2488"/>
      <c r="O336" s="2527">
        <f t="shared" si="15"/>
        <v>0</v>
      </c>
      <c r="P336" s="2479" t="str">
        <f t="shared" si="16"/>
        <v xml:space="preserve">4.29, , </v>
      </c>
    </row>
    <row r="337" spans="1:16" ht="5.85" customHeight="1" x14ac:dyDescent="0.2">
      <c r="A337" s="2769">
        <f t="shared" si="17"/>
        <v>4.3</v>
      </c>
      <c r="B337" s="2512"/>
      <c r="C337" s="2503"/>
      <c r="D337" s="2614"/>
      <c r="E337" s="2614"/>
      <c r="F337" s="2488"/>
      <c r="G337" s="2488"/>
      <c r="H337" s="2488"/>
      <c r="I337" s="2488"/>
      <c r="J337" s="2488"/>
      <c r="K337" s="2488"/>
      <c r="L337" s="2488"/>
      <c r="M337" s="2488"/>
      <c r="N337" s="2488"/>
      <c r="O337" s="2527">
        <f t="shared" si="15"/>
        <v>0</v>
      </c>
      <c r="P337" s="2479" t="str">
        <f t="shared" si="16"/>
        <v xml:space="preserve">4.3, , </v>
      </c>
    </row>
    <row r="338" spans="1:16" ht="5.85" customHeight="1" x14ac:dyDescent="0.2">
      <c r="A338" s="2769">
        <f t="shared" si="17"/>
        <v>4.3099999999999996</v>
      </c>
      <c r="B338" s="2512"/>
      <c r="C338" s="2503"/>
      <c r="D338" s="2614"/>
      <c r="E338" s="2614"/>
      <c r="F338" s="2488"/>
      <c r="G338" s="2488"/>
      <c r="H338" s="2614"/>
      <c r="I338" s="2488"/>
      <c r="J338" s="2488"/>
      <c r="K338" s="2488"/>
      <c r="L338" s="2488"/>
      <c r="M338" s="2488"/>
      <c r="N338" s="2488"/>
      <c r="O338" s="2527">
        <f t="shared" si="15"/>
        <v>0</v>
      </c>
      <c r="P338" s="2479" t="str">
        <f t="shared" si="16"/>
        <v xml:space="preserve">4.31, , </v>
      </c>
    </row>
    <row r="339" spans="1:16" ht="25.9" customHeight="1" x14ac:dyDescent="0.2">
      <c r="A339" s="3235">
        <v>15</v>
      </c>
      <c r="B339" s="2669" t="s">
        <v>104</v>
      </c>
      <c r="C339" s="2951"/>
      <c r="D339" s="2812"/>
      <c r="E339" s="2812"/>
      <c r="F339" s="2812"/>
      <c r="G339" s="3236"/>
      <c r="H339" s="2561">
        <f t="shared" ref="H339:O339" si="18">SUM(H7:H338)</f>
        <v>17164181</v>
      </c>
      <c r="I339" s="2561">
        <f t="shared" si="18"/>
        <v>0</v>
      </c>
      <c r="J339" s="2561">
        <f t="shared" si="18"/>
        <v>6394830</v>
      </c>
      <c r="K339" s="2561">
        <f t="shared" si="18"/>
        <v>9301898</v>
      </c>
      <c r="L339" s="2561">
        <f t="shared" si="18"/>
        <v>36778785</v>
      </c>
      <c r="M339" s="2561">
        <f t="shared" si="18"/>
        <v>1171103517</v>
      </c>
      <c r="N339" s="2561">
        <f t="shared" si="18"/>
        <v>-606557440</v>
      </c>
      <c r="O339" s="2561">
        <f t="shared" si="18"/>
        <v>601324862</v>
      </c>
      <c r="P339" s="2855"/>
    </row>
    <row r="340" spans="1:16" ht="15" customHeight="1" x14ac:dyDescent="0.2">
      <c r="B340" s="2536"/>
      <c r="C340" s="2952"/>
      <c r="D340" s="2537"/>
      <c r="E340" s="2537"/>
      <c r="F340" s="2537"/>
      <c r="G340" s="2537"/>
      <c r="H340" s="2537"/>
      <c r="I340" s="2516"/>
      <c r="J340" s="2516"/>
      <c r="K340" s="2516"/>
      <c r="L340" s="2516"/>
      <c r="M340" s="2516"/>
      <c r="N340" s="2516"/>
      <c r="O340" s="3237"/>
    </row>
  </sheetData>
  <mergeCells count="15">
    <mergeCell ref="A4:A6"/>
    <mergeCell ref="B4:B5"/>
    <mergeCell ref="C4:C5"/>
    <mergeCell ref="D4:D5"/>
    <mergeCell ref="E4:E5"/>
    <mergeCell ref="A1:B1"/>
    <mergeCell ref="A2:G2"/>
    <mergeCell ref="H2:O2"/>
    <mergeCell ref="A3:G3"/>
    <mergeCell ref="H3:O3"/>
    <mergeCell ref="F4:G4"/>
    <mergeCell ref="H4:H5"/>
    <mergeCell ref="I4:I5"/>
    <mergeCell ref="J4:K4"/>
    <mergeCell ref="L4:O4"/>
  </mergeCells>
  <pageMargins left="0.75" right="0.75" top="1" bottom="1" header="0.5" footer="0.5"/>
  <customProperties>
    <customPr name="_pios_id" r:id="rId1"/>
  </customProperties>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7061BB-4A07-4EBD-A229-13A97E702D5F}">
  <sheetPr>
    <tabColor rgb="FF538DD5"/>
  </sheetPr>
  <dimension ref="A1:P341"/>
  <sheetViews>
    <sheetView workbookViewId="0">
      <pane xSplit="2" ySplit="6" topLeftCell="C7" activePane="bottomRight" state="frozen"/>
      <selection activeCell="C1" sqref="C1"/>
      <selection pane="topRight" activeCell="C1" sqref="C1"/>
      <selection pane="bottomLeft" activeCell="C1" sqref="C1"/>
      <selection pane="bottomRight" activeCell="C1" sqref="C1"/>
    </sheetView>
  </sheetViews>
  <sheetFormatPr defaultColWidth="12.625" defaultRowHeight="12.75" x14ac:dyDescent="0.2"/>
  <cols>
    <col min="1" max="1" width="4.125" style="1953" customWidth="1"/>
    <col min="2" max="2" width="46.75" style="1953" customWidth="1"/>
    <col min="3" max="3" width="9" style="1953" customWidth="1"/>
    <col min="4" max="5" width="10.75" style="1953" customWidth="1"/>
    <col min="6" max="6" width="16.625" style="1953" customWidth="1"/>
    <col min="7" max="7" width="14.625" style="1953" customWidth="1"/>
    <col min="8" max="15" width="13.625" style="1953" customWidth="1"/>
    <col min="16" max="26" width="18.5" style="1953" customWidth="1"/>
    <col min="27" max="16384" width="12.625" style="1953"/>
  </cols>
  <sheetData>
    <row r="1" spans="1:16" ht="15" customHeight="1" x14ac:dyDescent="0.2">
      <c r="A1" s="2806"/>
      <c r="B1" s="2610"/>
      <c r="C1" s="2479"/>
    </row>
    <row r="2" spans="1:16" ht="27.6" customHeight="1" x14ac:dyDescent="0.2">
      <c r="A2" s="3860" t="s">
        <v>9370</v>
      </c>
      <c r="B2" s="3860"/>
      <c r="C2" s="3923"/>
      <c r="D2" s="3923"/>
      <c r="E2" s="3923"/>
      <c r="F2" s="3923"/>
      <c r="G2" s="3923"/>
      <c r="H2" s="3882" t="s">
        <v>9370</v>
      </c>
      <c r="I2" s="3891"/>
      <c r="J2" s="3891"/>
      <c r="K2" s="3891"/>
      <c r="L2" s="3891"/>
      <c r="M2" s="3891"/>
      <c r="N2" s="3891"/>
      <c r="O2" s="3892"/>
      <c r="P2" s="2479"/>
    </row>
    <row r="3" spans="1:16" ht="245.85" customHeight="1" x14ac:dyDescent="0.2">
      <c r="A3" s="3878" t="s">
        <v>9371</v>
      </c>
      <c r="B3" s="3879"/>
      <c r="C3" s="3879"/>
      <c r="D3" s="3879"/>
      <c r="E3" s="3879"/>
      <c r="F3" s="3879"/>
      <c r="G3" s="3880"/>
      <c r="H3" s="4061" t="s">
        <v>9372</v>
      </c>
      <c r="I3" s="4061"/>
      <c r="J3" s="4061"/>
      <c r="K3" s="4061"/>
      <c r="L3" s="4061"/>
      <c r="M3" s="4061"/>
      <c r="N3" s="4061"/>
      <c r="O3" s="4061"/>
      <c r="P3" s="2479"/>
    </row>
    <row r="4" spans="1:16" ht="15" customHeight="1" x14ac:dyDescent="0.2">
      <c r="A4" s="3860" t="s">
        <v>6360</v>
      </c>
      <c r="B4" s="4057" t="s">
        <v>9059</v>
      </c>
      <c r="C4" s="4058" t="s">
        <v>9373</v>
      </c>
      <c r="D4" s="3898" t="s">
        <v>9374</v>
      </c>
      <c r="E4" s="3898" t="s">
        <v>9375</v>
      </c>
      <c r="F4" s="3882" t="s">
        <v>9063</v>
      </c>
      <c r="G4" s="3884"/>
      <c r="H4" s="4062" t="s">
        <v>9376</v>
      </c>
      <c r="I4" s="4062" t="s">
        <v>9377</v>
      </c>
      <c r="J4" s="3882" t="s">
        <v>9378</v>
      </c>
      <c r="K4" s="3892"/>
      <c r="L4" s="3882" t="s">
        <v>9379</v>
      </c>
      <c r="M4" s="3891"/>
      <c r="N4" s="3891"/>
      <c r="O4" s="3892"/>
      <c r="P4" s="2479"/>
    </row>
    <row r="5" spans="1:16" ht="23.25" customHeight="1" x14ac:dyDescent="0.2">
      <c r="A5" s="3860"/>
      <c r="B5" s="4043"/>
      <c r="C5" s="3911"/>
      <c r="D5" s="3943"/>
      <c r="E5" s="3943"/>
      <c r="F5" s="2581" t="s">
        <v>9067</v>
      </c>
      <c r="G5" s="2581" t="s">
        <v>9068</v>
      </c>
      <c r="H5" s="4063"/>
      <c r="I5" s="4063"/>
      <c r="J5" s="2581" t="s">
        <v>9380</v>
      </c>
      <c r="K5" s="2581" t="s">
        <v>9381</v>
      </c>
      <c r="L5" s="2581" t="s">
        <v>9069</v>
      </c>
      <c r="M5" s="2581" t="s">
        <v>9070</v>
      </c>
      <c r="N5" s="2938" t="s">
        <v>9071</v>
      </c>
      <c r="O5" s="2939" t="s">
        <v>9382</v>
      </c>
      <c r="P5" s="2479"/>
    </row>
    <row r="6" spans="1:16" ht="13.35" customHeight="1" x14ac:dyDescent="0.2">
      <c r="A6" s="3860"/>
      <c r="B6" s="2940" t="s">
        <v>5949</v>
      </c>
      <c r="C6" s="2941" t="s">
        <v>5950</v>
      </c>
      <c r="D6" s="2589" t="s">
        <v>5951</v>
      </c>
      <c r="E6" s="2589" t="s">
        <v>5952</v>
      </c>
      <c r="F6" s="2589" t="s">
        <v>6227</v>
      </c>
      <c r="G6" s="2589" t="s">
        <v>5804</v>
      </c>
      <c r="H6" s="2633" t="s">
        <v>6228</v>
      </c>
      <c r="I6" s="2633" t="s">
        <v>6229</v>
      </c>
      <c r="J6" s="2589" t="s">
        <v>6230</v>
      </c>
      <c r="K6" s="2589" t="s">
        <v>6231</v>
      </c>
      <c r="L6" s="2589" t="s">
        <v>6232</v>
      </c>
      <c r="M6" s="2589" t="s">
        <v>6233</v>
      </c>
      <c r="N6" s="2940" t="s">
        <v>7035</v>
      </c>
      <c r="O6" s="2941" t="s">
        <v>8045</v>
      </c>
      <c r="P6" s="2479" t="s">
        <v>6324</v>
      </c>
    </row>
    <row r="7" spans="1:16" ht="16.7" customHeight="1" x14ac:dyDescent="0.2">
      <c r="A7" s="2634">
        <v>1</v>
      </c>
      <c r="B7" s="2512" t="s">
        <v>12094</v>
      </c>
      <c r="C7" s="2489" t="s">
        <v>196</v>
      </c>
      <c r="D7" s="2614"/>
      <c r="E7" s="2614"/>
      <c r="F7" s="2488"/>
      <c r="G7" s="2488"/>
      <c r="H7" s="3224">
        <v>0</v>
      </c>
      <c r="I7" s="2488"/>
      <c r="J7" s="2488"/>
      <c r="K7" s="2488"/>
      <c r="L7" s="2488"/>
      <c r="M7" s="2513">
        <v>0</v>
      </c>
      <c r="N7" s="2513">
        <v>0</v>
      </c>
      <c r="O7" s="2559"/>
      <c r="P7" s="2479" t="s">
        <v>12095</v>
      </c>
    </row>
    <row r="8" spans="1:16" ht="16.7" customHeight="1" x14ac:dyDescent="0.2">
      <c r="A8" s="2769">
        <v>1.01</v>
      </c>
      <c r="B8" s="2512" t="s">
        <v>9383</v>
      </c>
      <c r="C8" s="2947" t="s">
        <v>196</v>
      </c>
      <c r="D8" s="2614"/>
      <c r="E8" s="2614"/>
      <c r="F8" s="2488"/>
      <c r="G8" s="2488"/>
      <c r="H8" s="3224">
        <v>0</v>
      </c>
      <c r="I8" s="2488"/>
      <c r="J8" s="2488"/>
      <c r="K8" s="2488"/>
      <c r="L8" s="2488"/>
      <c r="M8" s="2513">
        <v>0</v>
      </c>
      <c r="N8" s="2514">
        <v>15536</v>
      </c>
      <c r="O8" s="2505">
        <v>15536</v>
      </c>
      <c r="P8" s="2479" t="s">
        <v>12096</v>
      </c>
    </row>
    <row r="9" spans="1:16" ht="16.7" customHeight="1" x14ac:dyDescent="0.2">
      <c r="A9" s="2769">
        <v>1.02</v>
      </c>
      <c r="B9" s="2512" t="s">
        <v>9383</v>
      </c>
      <c r="C9" s="2503" t="s">
        <v>191</v>
      </c>
      <c r="D9" s="2614"/>
      <c r="E9" s="2614"/>
      <c r="F9" s="2488"/>
      <c r="G9" s="2488"/>
      <c r="H9" s="3224">
        <v>21889</v>
      </c>
      <c r="I9" s="2488"/>
      <c r="J9" s="2488"/>
      <c r="K9" s="2488"/>
      <c r="L9" s="2488"/>
      <c r="M9" s="2513">
        <v>1490867</v>
      </c>
      <c r="N9" s="2514">
        <v>16519</v>
      </c>
      <c r="O9" s="2505">
        <v>1507386</v>
      </c>
      <c r="P9" s="2479" t="s">
        <v>12097</v>
      </c>
    </row>
    <row r="10" spans="1:16" ht="16.7" customHeight="1" x14ac:dyDescent="0.2">
      <c r="A10" s="2769">
        <v>1.03</v>
      </c>
      <c r="B10" s="2512" t="s">
        <v>9384</v>
      </c>
      <c r="C10" s="2947" t="s">
        <v>193</v>
      </c>
      <c r="D10" s="2614"/>
      <c r="E10" s="2614"/>
      <c r="F10" s="2488"/>
      <c r="G10" s="2488"/>
      <c r="H10" s="3224">
        <v>0</v>
      </c>
      <c r="I10" s="2488"/>
      <c r="J10" s="2488"/>
      <c r="K10" s="2488"/>
      <c r="L10" s="2488"/>
      <c r="M10" s="2513">
        <v>0</v>
      </c>
      <c r="N10" s="2514">
        <v>376250</v>
      </c>
      <c r="O10" s="2505">
        <v>376250</v>
      </c>
      <c r="P10" s="2479" t="s">
        <v>12098</v>
      </c>
    </row>
    <row r="11" spans="1:16" ht="16.7" customHeight="1" x14ac:dyDescent="0.2">
      <c r="A11" s="2769">
        <v>1.04</v>
      </c>
      <c r="B11" s="2512" t="s">
        <v>9384</v>
      </c>
      <c r="C11" s="2947" t="s">
        <v>196</v>
      </c>
      <c r="D11" s="2614"/>
      <c r="E11" s="2614"/>
      <c r="F11" s="2488"/>
      <c r="G11" s="2488"/>
      <c r="H11" s="3224">
        <v>0</v>
      </c>
      <c r="I11" s="2488"/>
      <c r="J11" s="2488"/>
      <c r="K11" s="2488"/>
      <c r="L11" s="2488"/>
      <c r="M11" s="2513">
        <v>0</v>
      </c>
      <c r="N11" s="2514">
        <v>-213651</v>
      </c>
      <c r="O11" s="2505">
        <v>-213651</v>
      </c>
      <c r="P11" s="2479" t="s">
        <v>12099</v>
      </c>
    </row>
    <row r="12" spans="1:16" ht="16.7" customHeight="1" x14ac:dyDescent="0.2">
      <c r="A12" s="2769">
        <v>1.05</v>
      </c>
      <c r="B12" s="2502" t="s">
        <v>9385</v>
      </c>
      <c r="C12" s="2503" t="s">
        <v>191</v>
      </c>
      <c r="D12" s="2614"/>
      <c r="E12" s="2614"/>
      <c r="F12" s="2488"/>
      <c r="G12" s="2488"/>
      <c r="H12" s="3224">
        <v>130602</v>
      </c>
      <c r="I12" s="2488"/>
      <c r="J12" s="2488"/>
      <c r="K12" s="2488"/>
      <c r="L12" s="2488"/>
      <c r="M12" s="2513">
        <v>7307568</v>
      </c>
      <c r="N12" s="2513">
        <v>0</v>
      </c>
      <c r="O12" s="2505">
        <v>7307568</v>
      </c>
      <c r="P12" s="2479" t="s">
        <v>12100</v>
      </c>
    </row>
    <row r="13" spans="1:16" ht="16.7" customHeight="1" x14ac:dyDescent="0.2">
      <c r="A13" s="2769">
        <v>1.06</v>
      </c>
      <c r="B13" s="2502" t="s">
        <v>9387</v>
      </c>
      <c r="C13" s="2503" t="s">
        <v>191</v>
      </c>
      <c r="D13" s="2614"/>
      <c r="E13" s="2614"/>
      <c r="F13" s="2488"/>
      <c r="G13" s="2488"/>
      <c r="H13" s="3224">
        <v>2677</v>
      </c>
      <c r="I13" s="2488"/>
      <c r="J13" s="2488"/>
      <c r="K13" s="2488"/>
      <c r="L13" s="2488"/>
      <c r="M13" s="2513">
        <v>224833</v>
      </c>
      <c r="N13" s="2513">
        <v>0</v>
      </c>
      <c r="O13" s="2505">
        <v>224833</v>
      </c>
      <c r="P13" s="2479" t="s">
        <v>12101</v>
      </c>
    </row>
    <row r="14" spans="1:16" ht="16.7" customHeight="1" x14ac:dyDescent="0.2">
      <c r="A14" s="2769">
        <v>1.07</v>
      </c>
      <c r="B14" s="2502" t="s">
        <v>9083</v>
      </c>
      <c r="C14" s="2503" t="s">
        <v>190</v>
      </c>
      <c r="D14" s="2614"/>
      <c r="E14" s="2614"/>
      <c r="F14" s="2488"/>
      <c r="G14" s="2488"/>
      <c r="H14" s="3224">
        <v>7700</v>
      </c>
      <c r="I14" s="2488"/>
      <c r="J14" s="2488"/>
      <c r="K14" s="2488"/>
      <c r="L14" s="2488"/>
      <c r="M14" s="2513">
        <v>1154754</v>
      </c>
      <c r="N14" s="2513">
        <v>0</v>
      </c>
      <c r="O14" s="2505">
        <v>1154754</v>
      </c>
      <c r="P14" s="2479" t="s">
        <v>12102</v>
      </c>
    </row>
    <row r="15" spans="1:16" ht="16.7" customHeight="1" x14ac:dyDescent="0.2">
      <c r="A15" s="2769">
        <v>1.08</v>
      </c>
      <c r="B15" s="2502" t="s">
        <v>9084</v>
      </c>
      <c r="C15" s="2503" t="s">
        <v>190</v>
      </c>
      <c r="D15" s="2614"/>
      <c r="E15" s="2614"/>
      <c r="F15" s="2488"/>
      <c r="G15" s="2488"/>
      <c r="H15" s="3224">
        <v>34099</v>
      </c>
      <c r="I15" s="2488"/>
      <c r="J15" s="2488"/>
      <c r="K15" s="2488"/>
      <c r="L15" s="2488"/>
      <c r="M15" s="2513">
        <v>2813626</v>
      </c>
      <c r="N15" s="2513">
        <v>0</v>
      </c>
      <c r="O15" s="2505">
        <v>2813626</v>
      </c>
      <c r="P15" s="2479" t="s">
        <v>12103</v>
      </c>
    </row>
    <row r="16" spans="1:16" ht="16.7" customHeight="1" x14ac:dyDescent="0.2">
      <c r="A16" s="2769">
        <v>1.0900000000000001</v>
      </c>
      <c r="B16" s="2512" t="s">
        <v>9084</v>
      </c>
      <c r="C16" s="2947" t="s">
        <v>196</v>
      </c>
      <c r="D16" s="2614"/>
      <c r="E16" s="2614"/>
      <c r="F16" s="2488"/>
      <c r="G16" s="2488"/>
      <c r="H16" s="3226">
        <v>-439</v>
      </c>
      <c r="I16" s="2488"/>
      <c r="J16" s="2488"/>
      <c r="K16" s="2488"/>
      <c r="L16" s="2488"/>
      <c r="M16" s="2513">
        <v>0</v>
      </c>
      <c r="N16" s="2514">
        <v>38490</v>
      </c>
      <c r="O16" s="2505">
        <v>38490</v>
      </c>
      <c r="P16" s="2479" t="s">
        <v>12104</v>
      </c>
    </row>
    <row r="17" spans="1:16" ht="16.7" customHeight="1" x14ac:dyDescent="0.2">
      <c r="A17" s="2769">
        <v>1.1000000000000001</v>
      </c>
      <c r="B17" s="2512" t="s">
        <v>9085</v>
      </c>
      <c r="C17" s="2503" t="s">
        <v>190</v>
      </c>
      <c r="D17" s="2614"/>
      <c r="E17" s="2614"/>
      <c r="F17" s="2488"/>
      <c r="G17" s="2488"/>
      <c r="H17" s="3224">
        <v>1034002</v>
      </c>
      <c r="I17" s="2488"/>
      <c r="J17" s="2488"/>
      <c r="K17" s="2488"/>
      <c r="L17" s="2488"/>
      <c r="M17" s="2513">
        <v>69857438</v>
      </c>
      <c r="N17" s="2514">
        <v>921</v>
      </c>
      <c r="O17" s="2505">
        <v>69858359</v>
      </c>
      <c r="P17" s="2479" t="s">
        <v>12105</v>
      </c>
    </row>
    <row r="18" spans="1:16" ht="16.7" customHeight="1" x14ac:dyDescent="0.2">
      <c r="A18" s="2769">
        <v>1.1100000000000001</v>
      </c>
      <c r="B18" s="2512" t="s">
        <v>9085</v>
      </c>
      <c r="C18" s="2947" t="s">
        <v>196</v>
      </c>
      <c r="D18" s="2614"/>
      <c r="E18" s="2614"/>
      <c r="F18" s="2488"/>
      <c r="G18" s="2488"/>
      <c r="H18" s="3224">
        <v>12</v>
      </c>
      <c r="I18" s="2488"/>
      <c r="J18" s="2488"/>
      <c r="K18" s="2488"/>
      <c r="L18" s="2488"/>
      <c r="M18" s="2488"/>
      <c r="N18" s="2514">
        <v>315</v>
      </c>
      <c r="O18" s="2505">
        <v>315</v>
      </c>
      <c r="P18" s="2479" t="s">
        <v>12106</v>
      </c>
    </row>
    <row r="19" spans="1:16" ht="16.7" customHeight="1" x14ac:dyDescent="0.2">
      <c r="A19" s="2769">
        <v>1.1200000000000001</v>
      </c>
      <c r="B19" s="2512" t="s">
        <v>9088</v>
      </c>
      <c r="C19" s="2503" t="s">
        <v>190</v>
      </c>
      <c r="D19" s="2614"/>
      <c r="E19" s="2614"/>
      <c r="F19" s="2488"/>
      <c r="G19" s="2488"/>
      <c r="H19" s="3224">
        <v>113151</v>
      </c>
      <c r="I19" s="2488"/>
      <c r="J19" s="2488"/>
      <c r="K19" s="2488"/>
      <c r="L19" s="2488"/>
      <c r="M19" s="2513">
        <v>5590888</v>
      </c>
      <c r="N19" s="2514">
        <v>2619</v>
      </c>
      <c r="O19" s="2505">
        <v>5593507</v>
      </c>
      <c r="P19" s="2479" t="s">
        <v>12107</v>
      </c>
    </row>
    <row r="20" spans="1:16" ht="16.7" customHeight="1" x14ac:dyDescent="0.2">
      <c r="A20" s="2769">
        <v>1.1299999999999999</v>
      </c>
      <c r="B20" s="2512" t="s">
        <v>9388</v>
      </c>
      <c r="C20" s="2503" t="s">
        <v>190</v>
      </c>
      <c r="D20" s="2614"/>
      <c r="E20" s="2614"/>
      <c r="F20" s="2614"/>
      <c r="G20" s="2614"/>
      <c r="H20" s="3224">
        <v>13311</v>
      </c>
      <c r="I20" s="2488"/>
      <c r="J20" s="2488"/>
      <c r="K20" s="2488"/>
      <c r="L20" s="2488"/>
      <c r="M20" s="2513">
        <v>963614</v>
      </c>
      <c r="N20" s="2513">
        <v>0</v>
      </c>
      <c r="O20" s="2505">
        <v>963614</v>
      </c>
      <c r="P20" s="2479" t="s">
        <v>12108</v>
      </c>
    </row>
    <row r="21" spans="1:16" ht="14.1" customHeight="1" x14ac:dyDescent="0.2">
      <c r="A21" s="2769">
        <v>1.1399999999999999</v>
      </c>
      <c r="B21" s="2512" t="s">
        <v>9389</v>
      </c>
      <c r="C21" s="2489" t="s">
        <v>191</v>
      </c>
      <c r="D21" s="2614"/>
      <c r="E21" s="2614"/>
      <c r="F21" s="2488"/>
      <c r="G21" s="2488"/>
      <c r="H21" s="3224">
        <v>17875</v>
      </c>
      <c r="I21" s="2488"/>
      <c r="J21" s="2488"/>
      <c r="K21" s="2488"/>
      <c r="L21" s="2488"/>
      <c r="M21" s="2513">
        <v>1218976</v>
      </c>
      <c r="N21" s="2513">
        <v>0</v>
      </c>
      <c r="O21" s="2505">
        <v>1218976</v>
      </c>
      <c r="P21" s="2479" t="s">
        <v>12109</v>
      </c>
    </row>
    <row r="22" spans="1:16" ht="14.1" customHeight="1" x14ac:dyDescent="0.2">
      <c r="A22" s="2769">
        <v>1.1499999999999999</v>
      </c>
      <c r="B22" s="2512" t="s">
        <v>9390</v>
      </c>
      <c r="C22" s="2947" t="s">
        <v>196</v>
      </c>
      <c r="D22" s="2614"/>
      <c r="E22" s="2614"/>
      <c r="F22" s="2488"/>
      <c r="G22" s="2488"/>
      <c r="H22" s="3224">
        <v>0</v>
      </c>
      <c r="I22" s="2488"/>
      <c r="J22" s="2488"/>
      <c r="K22" s="2488"/>
      <c r="L22" s="2488"/>
      <c r="M22" s="2513">
        <v>0</v>
      </c>
      <c r="N22" s="2514">
        <v>16568</v>
      </c>
      <c r="O22" s="2505">
        <v>16568</v>
      </c>
      <c r="P22" s="2479" t="s">
        <v>12110</v>
      </c>
    </row>
    <row r="23" spans="1:16" ht="14.1" customHeight="1" x14ac:dyDescent="0.2">
      <c r="A23" s="2769">
        <v>1.1599999999999999</v>
      </c>
      <c r="B23" s="2512" t="s">
        <v>9390</v>
      </c>
      <c r="C23" s="2503" t="s">
        <v>191</v>
      </c>
      <c r="D23" s="2614"/>
      <c r="E23" s="2614"/>
      <c r="F23" s="2488"/>
      <c r="G23" s="2488"/>
      <c r="H23" s="3224">
        <v>23903</v>
      </c>
      <c r="I23" s="2488"/>
      <c r="J23" s="2488"/>
      <c r="K23" s="2488"/>
      <c r="L23" s="2488"/>
      <c r="M23" s="2513">
        <v>1632794</v>
      </c>
      <c r="N23" s="2514">
        <v>18109</v>
      </c>
      <c r="O23" s="2505">
        <v>1650903</v>
      </c>
      <c r="P23" s="2479" t="s">
        <v>12111</v>
      </c>
    </row>
    <row r="24" spans="1:16" ht="14.1" customHeight="1" x14ac:dyDescent="0.2">
      <c r="A24" s="2769">
        <v>1.17</v>
      </c>
      <c r="B24" s="2512" t="s">
        <v>9391</v>
      </c>
      <c r="C24" s="2947" t="s">
        <v>188</v>
      </c>
      <c r="D24" s="2614"/>
      <c r="E24" s="2614"/>
      <c r="F24" s="2488"/>
      <c r="G24" s="2488"/>
      <c r="H24" s="3224">
        <v>27</v>
      </c>
      <c r="I24" s="2488"/>
      <c r="J24" s="2488"/>
      <c r="K24" s="2488"/>
      <c r="L24" s="2488"/>
      <c r="M24" s="2513">
        <v>2889</v>
      </c>
      <c r="N24" s="2513">
        <v>0</v>
      </c>
      <c r="O24" s="2505">
        <v>2889</v>
      </c>
      <c r="P24" s="2479" t="s">
        <v>12112</v>
      </c>
    </row>
    <row r="25" spans="1:16" ht="14.1" customHeight="1" x14ac:dyDescent="0.2">
      <c r="A25" s="2769">
        <v>1.18</v>
      </c>
      <c r="B25" s="2512" t="s">
        <v>9392</v>
      </c>
      <c r="C25" s="2503" t="s">
        <v>191</v>
      </c>
      <c r="D25" s="2614"/>
      <c r="E25" s="2614"/>
      <c r="F25" s="2488"/>
      <c r="G25" s="2488"/>
      <c r="H25" s="3224">
        <v>403</v>
      </c>
      <c r="I25" s="2488"/>
      <c r="J25" s="2488"/>
      <c r="K25" s="2488"/>
      <c r="L25" s="2488"/>
      <c r="M25" s="2513">
        <v>37757</v>
      </c>
      <c r="N25" s="2513">
        <v>0</v>
      </c>
      <c r="O25" s="2505">
        <v>37757</v>
      </c>
      <c r="P25" s="2479" t="s">
        <v>12113</v>
      </c>
    </row>
    <row r="26" spans="1:16" ht="14.1" customHeight="1" x14ac:dyDescent="0.2">
      <c r="A26" s="2769">
        <v>1.19</v>
      </c>
      <c r="B26" s="2502" t="s">
        <v>9393</v>
      </c>
      <c r="C26" s="2503" t="s">
        <v>191</v>
      </c>
      <c r="D26" s="2614"/>
      <c r="E26" s="2771">
        <v>3</v>
      </c>
      <c r="F26" s="2513">
        <v>3</v>
      </c>
      <c r="G26" s="2513">
        <v>1</v>
      </c>
      <c r="H26" s="3224">
        <v>6376</v>
      </c>
      <c r="I26" s="2488"/>
      <c r="J26" s="2488"/>
      <c r="K26" s="2488"/>
      <c r="L26" s="2513">
        <v>446137</v>
      </c>
      <c r="M26" s="2513">
        <v>348766</v>
      </c>
      <c r="N26" s="2513">
        <v>0</v>
      </c>
      <c r="O26" s="2505">
        <v>794903</v>
      </c>
      <c r="P26" s="2479" t="s">
        <v>12114</v>
      </c>
    </row>
    <row r="27" spans="1:16" ht="14.1" customHeight="1" x14ac:dyDescent="0.2">
      <c r="A27" s="2769">
        <v>1.2</v>
      </c>
      <c r="B27" s="2502" t="s">
        <v>9394</v>
      </c>
      <c r="C27" s="2503" t="s">
        <v>191</v>
      </c>
      <c r="D27" s="2614"/>
      <c r="E27" s="2614"/>
      <c r="F27" s="2488"/>
      <c r="G27" s="2488"/>
      <c r="H27" s="3224">
        <v>3968</v>
      </c>
      <c r="I27" s="2488"/>
      <c r="J27" s="2488"/>
      <c r="K27" s="2488"/>
      <c r="L27" s="2488"/>
      <c r="M27" s="2513">
        <v>314792</v>
      </c>
      <c r="N27" s="2513">
        <v>0</v>
      </c>
      <c r="O27" s="2505">
        <v>314792</v>
      </c>
      <c r="P27" s="2479" t="s">
        <v>12115</v>
      </c>
    </row>
    <row r="28" spans="1:16" ht="14.1" customHeight="1" x14ac:dyDescent="0.2">
      <c r="A28" s="2769">
        <v>1.21</v>
      </c>
      <c r="B28" s="2502" t="s">
        <v>9395</v>
      </c>
      <c r="C28" s="2503" t="s">
        <v>191</v>
      </c>
      <c r="D28" s="2614"/>
      <c r="E28" s="2614"/>
      <c r="F28" s="2488"/>
      <c r="G28" s="2488"/>
      <c r="H28" s="3224">
        <v>193564</v>
      </c>
      <c r="I28" s="2488"/>
      <c r="J28" s="2488"/>
      <c r="K28" s="2488"/>
      <c r="L28" s="2488"/>
      <c r="M28" s="2513">
        <v>15834907</v>
      </c>
      <c r="N28" s="2514">
        <v>2069797</v>
      </c>
      <c r="O28" s="2505">
        <v>17904704</v>
      </c>
      <c r="P28" s="2479" t="s">
        <v>12116</v>
      </c>
    </row>
    <row r="29" spans="1:16" ht="14.1" customHeight="1" x14ac:dyDescent="0.2">
      <c r="A29" s="2769">
        <v>1.22</v>
      </c>
      <c r="B29" s="2502" t="s">
        <v>9396</v>
      </c>
      <c r="C29" s="2503" t="s">
        <v>191</v>
      </c>
      <c r="D29" s="2614"/>
      <c r="E29" s="2614"/>
      <c r="F29" s="2488"/>
      <c r="G29" s="2488"/>
      <c r="H29" s="3224">
        <v>12336</v>
      </c>
      <c r="I29" s="2488"/>
      <c r="J29" s="2488"/>
      <c r="K29" s="2488"/>
      <c r="L29" s="2488"/>
      <c r="M29" s="2513">
        <v>781953</v>
      </c>
      <c r="N29" s="2513">
        <v>0</v>
      </c>
      <c r="O29" s="2505">
        <v>781953</v>
      </c>
      <c r="P29" s="2479" t="s">
        <v>12117</v>
      </c>
    </row>
    <row r="30" spans="1:16" ht="14.1" customHeight="1" x14ac:dyDescent="0.2">
      <c r="A30" s="2769">
        <v>1.23</v>
      </c>
      <c r="B30" s="2744" t="s">
        <v>9397</v>
      </c>
      <c r="C30" s="2503" t="s">
        <v>191</v>
      </c>
      <c r="D30" s="2614"/>
      <c r="E30" s="2614"/>
      <c r="F30" s="2488"/>
      <c r="G30" s="2488"/>
      <c r="H30" s="3226">
        <v>668</v>
      </c>
      <c r="I30" s="2488"/>
      <c r="J30" s="2488"/>
      <c r="K30" s="2488"/>
      <c r="L30" s="2488"/>
      <c r="M30" s="2513">
        <v>43864</v>
      </c>
      <c r="N30" s="2513">
        <v>0</v>
      </c>
      <c r="O30" s="2505">
        <v>43864</v>
      </c>
      <c r="P30" s="2479" t="s">
        <v>12118</v>
      </c>
    </row>
    <row r="31" spans="1:16" ht="14.1" customHeight="1" x14ac:dyDescent="0.2">
      <c r="A31" s="2769">
        <v>1.24</v>
      </c>
      <c r="B31" s="2512" t="s">
        <v>9090</v>
      </c>
      <c r="C31" s="2503" t="s">
        <v>190</v>
      </c>
      <c r="D31" s="2614"/>
      <c r="E31" s="2614"/>
      <c r="F31" s="2488"/>
      <c r="G31" s="2488"/>
      <c r="H31" s="3224">
        <v>4734</v>
      </c>
      <c r="I31" s="2488"/>
      <c r="J31" s="2488"/>
      <c r="K31" s="2488"/>
      <c r="L31" s="2488"/>
      <c r="M31" s="2513">
        <v>374565</v>
      </c>
      <c r="N31" s="2513">
        <v>0</v>
      </c>
      <c r="O31" s="2505">
        <v>374565</v>
      </c>
      <c r="P31" s="2479" t="s">
        <v>12119</v>
      </c>
    </row>
    <row r="32" spans="1:16" ht="14.1" customHeight="1" x14ac:dyDescent="0.2">
      <c r="A32" s="2769">
        <v>1.25</v>
      </c>
      <c r="B32" s="2512" t="s">
        <v>9398</v>
      </c>
      <c r="C32" s="2947" t="s">
        <v>196</v>
      </c>
      <c r="D32" s="2614"/>
      <c r="E32" s="2614"/>
      <c r="F32" s="2488"/>
      <c r="G32" s="2488"/>
      <c r="H32" s="3224">
        <v>0</v>
      </c>
      <c r="I32" s="2488"/>
      <c r="J32" s="2488"/>
      <c r="K32" s="2488"/>
      <c r="L32" s="2488"/>
      <c r="M32" s="2513">
        <v>0</v>
      </c>
      <c r="N32" s="2514">
        <v>14578</v>
      </c>
      <c r="O32" s="2505">
        <v>14578</v>
      </c>
      <c r="P32" s="2479" t="s">
        <v>12120</v>
      </c>
    </row>
    <row r="33" spans="1:16" ht="14.1" customHeight="1" x14ac:dyDescent="0.2">
      <c r="A33" s="2769">
        <v>1.26</v>
      </c>
      <c r="B33" s="2512" t="s">
        <v>9398</v>
      </c>
      <c r="C33" s="2503" t="s">
        <v>191</v>
      </c>
      <c r="D33" s="2614"/>
      <c r="E33" s="2614"/>
      <c r="F33" s="2488"/>
      <c r="G33" s="2488"/>
      <c r="H33" s="3224">
        <v>20443</v>
      </c>
      <c r="I33" s="2488"/>
      <c r="J33" s="2488"/>
      <c r="K33" s="2488"/>
      <c r="L33" s="2488"/>
      <c r="M33" s="2513">
        <v>1394645</v>
      </c>
      <c r="N33" s="2514">
        <v>16072</v>
      </c>
      <c r="O33" s="2505">
        <v>1410717</v>
      </c>
      <c r="P33" s="2479" t="s">
        <v>12121</v>
      </c>
    </row>
    <row r="34" spans="1:16" ht="14.1" customHeight="1" x14ac:dyDescent="0.2">
      <c r="A34" s="2769">
        <v>1.27</v>
      </c>
      <c r="B34" s="2512" t="s">
        <v>9091</v>
      </c>
      <c r="C34" s="2947" t="s">
        <v>188</v>
      </c>
      <c r="D34" s="2614"/>
      <c r="E34" s="2614"/>
      <c r="F34" s="2614"/>
      <c r="G34" s="2614"/>
      <c r="H34" s="3224">
        <v>0</v>
      </c>
      <c r="I34" s="2488"/>
      <c r="J34" s="2488"/>
      <c r="K34" s="2488"/>
      <c r="L34" s="2488"/>
      <c r="M34" s="2513">
        <v>0</v>
      </c>
      <c r="N34" s="2514">
        <v>138281</v>
      </c>
      <c r="O34" s="2505">
        <v>138281</v>
      </c>
      <c r="P34" s="2479" t="s">
        <v>12122</v>
      </c>
    </row>
    <row r="35" spans="1:16" ht="14.1" customHeight="1" x14ac:dyDescent="0.2">
      <c r="A35" s="2769">
        <v>1.28</v>
      </c>
      <c r="B35" s="2512" t="s">
        <v>9091</v>
      </c>
      <c r="C35" s="2947" t="s">
        <v>190</v>
      </c>
      <c r="D35" s="2614"/>
      <c r="E35" s="2614"/>
      <c r="F35" s="2488"/>
      <c r="G35" s="2488"/>
      <c r="H35" s="3224">
        <v>454090</v>
      </c>
      <c r="I35" s="2488"/>
      <c r="J35" s="2488"/>
      <c r="K35" s="2488"/>
      <c r="L35" s="2488"/>
      <c r="M35" s="2513">
        <v>28770205</v>
      </c>
      <c r="N35" s="2514">
        <v>16062</v>
      </c>
      <c r="O35" s="2505">
        <v>28786267</v>
      </c>
      <c r="P35" s="2479" t="s">
        <v>12123</v>
      </c>
    </row>
    <row r="36" spans="1:16" ht="14.1" customHeight="1" x14ac:dyDescent="0.2">
      <c r="A36" s="2769">
        <v>1.29</v>
      </c>
      <c r="B36" s="2512" t="s">
        <v>9399</v>
      </c>
      <c r="C36" s="2503" t="s">
        <v>191</v>
      </c>
      <c r="D36" s="2614"/>
      <c r="E36" s="2614"/>
      <c r="F36" s="2488"/>
      <c r="G36" s="2488"/>
      <c r="H36" s="3224">
        <v>307</v>
      </c>
      <c r="I36" s="2488"/>
      <c r="J36" s="2488"/>
      <c r="K36" s="2488"/>
      <c r="L36" s="2488"/>
      <c r="M36" s="2513">
        <v>18925</v>
      </c>
      <c r="N36" s="2513">
        <v>0</v>
      </c>
      <c r="O36" s="2505">
        <v>18925</v>
      </c>
      <c r="P36" s="2479" t="s">
        <v>12124</v>
      </c>
    </row>
    <row r="37" spans="1:16" ht="14.1" customHeight="1" x14ac:dyDescent="0.2">
      <c r="A37" s="2769">
        <v>1.3</v>
      </c>
      <c r="B37" s="2512" t="s">
        <v>9400</v>
      </c>
      <c r="C37" s="2503" t="s">
        <v>191</v>
      </c>
      <c r="D37" s="2614"/>
      <c r="E37" s="2614"/>
      <c r="F37" s="2488"/>
      <c r="G37" s="2488"/>
      <c r="H37" s="3224">
        <v>5124</v>
      </c>
      <c r="I37" s="2488"/>
      <c r="J37" s="2488"/>
      <c r="K37" s="2488"/>
      <c r="L37" s="2488"/>
      <c r="M37" s="2513">
        <v>139429</v>
      </c>
      <c r="N37" s="2513">
        <v>0</v>
      </c>
      <c r="O37" s="2505">
        <v>139429</v>
      </c>
      <c r="P37" s="2479" t="s">
        <v>12125</v>
      </c>
    </row>
    <row r="38" spans="1:16" ht="14.1" customHeight="1" x14ac:dyDescent="0.2">
      <c r="A38" s="2769">
        <v>1.31</v>
      </c>
      <c r="B38" s="2512" t="s">
        <v>9092</v>
      </c>
      <c r="C38" s="2503" t="s">
        <v>190</v>
      </c>
      <c r="D38" s="2614"/>
      <c r="E38" s="2614"/>
      <c r="F38" s="2488"/>
      <c r="G38" s="2488"/>
      <c r="H38" s="3224">
        <v>372760</v>
      </c>
      <c r="I38" s="2488"/>
      <c r="J38" s="2488"/>
      <c r="K38" s="2488"/>
      <c r="L38" s="2488"/>
      <c r="M38" s="2513">
        <v>23210891</v>
      </c>
      <c r="N38" s="2513">
        <v>0</v>
      </c>
      <c r="O38" s="2505">
        <v>23210891</v>
      </c>
      <c r="P38" s="2479" t="s">
        <v>12126</v>
      </c>
    </row>
    <row r="39" spans="1:16" ht="14.1" customHeight="1" x14ac:dyDescent="0.2">
      <c r="A39" s="2769">
        <v>1.32</v>
      </c>
      <c r="B39" s="2512" t="s">
        <v>9401</v>
      </c>
      <c r="C39" s="2503" t="s">
        <v>192</v>
      </c>
      <c r="D39" s="2614"/>
      <c r="E39" s="2614"/>
      <c r="F39" s="2488"/>
      <c r="G39" s="2488"/>
      <c r="H39" s="3224">
        <v>38057</v>
      </c>
      <c r="I39" s="2488"/>
      <c r="J39" s="2488"/>
      <c r="K39" s="2488"/>
      <c r="L39" s="2488"/>
      <c r="M39" s="2513">
        <v>2149919</v>
      </c>
      <c r="N39" s="2513">
        <v>0</v>
      </c>
      <c r="O39" s="2505">
        <v>2149919</v>
      </c>
      <c r="P39" s="2479" t="s">
        <v>12127</v>
      </c>
    </row>
    <row r="40" spans="1:16" ht="14.1" customHeight="1" x14ac:dyDescent="0.2">
      <c r="A40" s="2769">
        <v>1.33</v>
      </c>
      <c r="B40" s="2502" t="s">
        <v>9094</v>
      </c>
      <c r="C40" s="2503" t="s">
        <v>190</v>
      </c>
      <c r="D40" s="2614"/>
      <c r="E40" s="2614"/>
      <c r="F40" s="2488"/>
      <c r="G40" s="2488"/>
      <c r="H40" s="3224">
        <v>28599</v>
      </c>
      <c r="I40" s="2488"/>
      <c r="J40" s="2488"/>
      <c r="K40" s="2488"/>
      <c r="L40" s="2488"/>
      <c r="M40" s="2513">
        <v>2689492</v>
      </c>
      <c r="N40" s="2513">
        <v>0</v>
      </c>
      <c r="O40" s="2505">
        <v>2689492</v>
      </c>
      <c r="P40" s="2479" t="s">
        <v>12128</v>
      </c>
    </row>
    <row r="41" spans="1:16" ht="14.1" customHeight="1" x14ac:dyDescent="0.2">
      <c r="A41" s="2769">
        <v>1.34</v>
      </c>
      <c r="B41" s="2502" t="s">
        <v>9402</v>
      </c>
      <c r="C41" s="2503" t="s">
        <v>191</v>
      </c>
      <c r="D41" s="2614"/>
      <c r="E41" s="2771">
        <v>3</v>
      </c>
      <c r="F41" s="2513">
        <v>3</v>
      </c>
      <c r="G41" s="2513">
        <v>1</v>
      </c>
      <c r="H41" s="3224">
        <v>5965</v>
      </c>
      <c r="I41" s="2488"/>
      <c r="J41" s="2488"/>
      <c r="K41" s="2488"/>
      <c r="L41" s="2513">
        <v>446881</v>
      </c>
      <c r="M41" s="2513">
        <v>326297</v>
      </c>
      <c r="N41" s="2513">
        <v>0</v>
      </c>
      <c r="O41" s="2505">
        <v>773178</v>
      </c>
      <c r="P41" s="2479" t="s">
        <v>12129</v>
      </c>
    </row>
    <row r="42" spans="1:16" ht="14.1" customHeight="1" x14ac:dyDescent="0.2">
      <c r="A42" s="2769">
        <v>1.35</v>
      </c>
      <c r="B42" s="2502" t="s">
        <v>9403</v>
      </c>
      <c r="C42" s="2503" t="s">
        <v>191</v>
      </c>
      <c r="D42" s="2614"/>
      <c r="E42" s="2614"/>
      <c r="F42" s="2488"/>
      <c r="G42" s="2488"/>
      <c r="H42" s="3224">
        <v>12806</v>
      </c>
      <c r="I42" s="2488"/>
      <c r="J42" s="2488"/>
      <c r="K42" s="2488"/>
      <c r="L42" s="2488"/>
      <c r="M42" s="2513">
        <v>1015044</v>
      </c>
      <c r="N42" s="2513">
        <v>0</v>
      </c>
      <c r="O42" s="2505">
        <v>1015044</v>
      </c>
      <c r="P42" s="2479" t="s">
        <v>12130</v>
      </c>
    </row>
    <row r="43" spans="1:16" ht="14.1" customHeight="1" x14ac:dyDescent="0.2">
      <c r="A43" s="2769">
        <v>1.36</v>
      </c>
      <c r="B43" s="2502" t="s">
        <v>9406</v>
      </c>
      <c r="C43" s="2503" t="s">
        <v>190</v>
      </c>
      <c r="D43" s="2614"/>
      <c r="E43" s="2614"/>
      <c r="F43" s="2488"/>
      <c r="G43" s="2488"/>
      <c r="H43" s="3224">
        <v>22206</v>
      </c>
      <c r="I43" s="2488"/>
      <c r="J43" s="2488"/>
      <c r="K43" s="2488"/>
      <c r="L43" s="2488"/>
      <c r="M43" s="2513">
        <v>4180698</v>
      </c>
      <c r="N43" s="2513">
        <v>0</v>
      </c>
      <c r="O43" s="2505">
        <v>4180698</v>
      </c>
      <c r="P43" s="2479" t="s">
        <v>12131</v>
      </c>
    </row>
    <row r="44" spans="1:16" ht="14.1" customHeight="1" x14ac:dyDescent="0.2">
      <c r="A44" s="2769">
        <v>1.37</v>
      </c>
      <c r="B44" s="2512" t="s">
        <v>9095</v>
      </c>
      <c r="C44" s="2503" t="s">
        <v>190</v>
      </c>
      <c r="D44" s="2614"/>
      <c r="E44" s="2614"/>
      <c r="F44" s="2488"/>
      <c r="G44" s="2488"/>
      <c r="H44" s="3226">
        <v>18117</v>
      </c>
      <c r="I44" s="2488"/>
      <c r="J44" s="2488"/>
      <c r="K44" s="2488"/>
      <c r="L44" s="2488"/>
      <c r="M44" s="2513">
        <v>990248</v>
      </c>
      <c r="N44" s="2513">
        <v>0</v>
      </c>
      <c r="O44" s="2505">
        <v>990248</v>
      </c>
      <c r="P44" s="2479" t="s">
        <v>12132</v>
      </c>
    </row>
    <row r="45" spans="1:16" ht="14.1" customHeight="1" x14ac:dyDescent="0.2">
      <c r="A45" s="2769">
        <v>1.38</v>
      </c>
      <c r="B45" s="2512" t="s">
        <v>9408</v>
      </c>
      <c r="C45" s="2503" t="s">
        <v>191</v>
      </c>
      <c r="D45" s="2614"/>
      <c r="E45" s="2614"/>
      <c r="F45" s="2488"/>
      <c r="G45" s="2488"/>
      <c r="H45" s="3224">
        <v>528019</v>
      </c>
      <c r="I45" s="2488"/>
      <c r="J45" s="2488"/>
      <c r="K45" s="2488"/>
      <c r="L45" s="2488"/>
      <c r="M45" s="2513">
        <v>9345935</v>
      </c>
      <c r="N45" s="2513">
        <v>0</v>
      </c>
      <c r="O45" s="2505">
        <v>9345935</v>
      </c>
      <c r="P45" s="2479" t="s">
        <v>12133</v>
      </c>
    </row>
    <row r="46" spans="1:16" ht="14.1" customHeight="1" x14ac:dyDescent="0.2">
      <c r="A46" s="2769">
        <v>1.39</v>
      </c>
      <c r="B46" s="2512" t="s">
        <v>9409</v>
      </c>
      <c r="C46" s="2503" t="s">
        <v>191</v>
      </c>
      <c r="D46" s="2614"/>
      <c r="E46" s="2614"/>
      <c r="F46" s="2488"/>
      <c r="G46" s="2488"/>
      <c r="H46" s="3224">
        <v>762075</v>
      </c>
      <c r="I46" s="2488"/>
      <c r="J46" s="2488"/>
      <c r="K46" s="2488"/>
      <c r="L46" s="2488"/>
      <c r="M46" s="2513">
        <v>11812145</v>
      </c>
      <c r="N46" s="2513">
        <v>0</v>
      </c>
      <c r="O46" s="2505">
        <v>11812145</v>
      </c>
      <c r="P46" s="2479" t="s">
        <v>12134</v>
      </c>
    </row>
    <row r="47" spans="1:16" ht="14.1" customHeight="1" x14ac:dyDescent="0.2">
      <c r="A47" s="2769">
        <v>1.4</v>
      </c>
      <c r="B47" s="2512" t="s">
        <v>9410</v>
      </c>
      <c r="C47" s="2503" t="s">
        <v>191</v>
      </c>
      <c r="D47" s="2614"/>
      <c r="E47" s="2771">
        <v>3</v>
      </c>
      <c r="F47" s="2513">
        <v>3</v>
      </c>
      <c r="G47" s="2513">
        <v>1</v>
      </c>
      <c r="H47" s="3224">
        <v>6086</v>
      </c>
      <c r="I47" s="2488"/>
      <c r="J47" s="2488"/>
      <c r="K47" s="2488"/>
      <c r="L47" s="2513">
        <v>444076</v>
      </c>
      <c r="M47" s="2513">
        <v>332929</v>
      </c>
      <c r="N47" s="2513">
        <v>0</v>
      </c>
      <c r="O47" s="2505">
        <v>777005</v>
      </c>
      <c r="P47" s="2479" t="s">
        <v>12135</v>
      </c>
    </row>
    <row r="48" spans="1:16" ht="14.1" customHeight="1" x14ac:dyDescent="0.2">
      <c r="A48" s="2769">
        <v>1.41</v>
      </c>
      <c r="B48" s="2512" t="s">
        <v>9411</v>
      </c>
      <c r="C48" s="2503" t="s">
        <v>191</v>
      </c>
      <c r="D48" s="2614"/>
      <c r="E48" s="2614"/>
      <c r="F48" s="2614"/>
      <c r="G48" s="2614"/>
      <c r="H48" s="3224">
        <v>25962</v>
      </c>
      <c r="I48" s="2488"/>
      <c r="J48" s="2488"/>
      <c r="K48" s="2488"/>
      <c r="L48" s="2488"/>
      <c r="M48" s="2513">
        <v>2384908</v>
      </c>
      <c r="N48" s="2513">
        <v>0</v>
      </c>
      <c r="O48" s="2505">
        <v>2384908</v>
      </c>
      <c r="P48" s="2479" t="s">
        <v>12136</v>
      </c>
    </row>
    <row r="49" spans="1:16" ht="14.1" customHeight="1" x14ac:dyDescent="0.2">
      <c r="A49" s="2769">
        <v>1.42</v>
      </c>
      <c r="B49" s="2512" t="s">
        <v>12079</v>
      </c>
      <c r="C49" s="2489" t="s">
        <v>191</v>
      </c>
      <c r="D49" s="2614"/>
      <c r="E49" s="2614"/>
      <c r="F49" s="2488"/>
      <c r="G49" s="2488"/>
      <c r="H49" s="3224">
        <v>6097</v>
      </c>
      <c r="I49" s="2488"/>
      <c r="J49" s="2488"/>
      <c r="K49" s="2488"/>
      <c r="L49" s="2488"/>
      <c r="M49" s="2513">
        <v>245390</v>
      </c>
      <c r="N49" s="2513">
        <v>0</v>
      </c>
      <c r="O49" s="2505">
        <v>245390</v>
      </c>
      <c r="P49" s="2479" t="s">
        <v>12137</v>
      </c>
    </row>
    <row r="50" spans="1:16" ht="14.1" customHeight="1" x14ac:dyDescent="0.2">
      <c r="A50" s="2769">
        <v>1.43</v>
      </c>
      <c r="B50" s="2512" t="s">
        <v>9414</v>
      </c>
      <c r="C50" s="2503" t="s">
        <v>191</v>
      </c>
      <c r="D50" s="2614"/>
      <c r="E50" s="2614"/>
      <c r="F50" s="2488"/>
      <c r="G50" s="2488"/>
      <c r="H50" s="3224">
        <v>19447</v>
      </c>
      <c r="I50" s="2488"/>
      <c r="J50" s="2488"/>
      <c r="K50" s="2488"/>
      <c r="L50" s="2488"/>
      <c r="M50" s="2513">
        <v>936525</v>
      </c>
      <c r="N50" s="2513">
        <v>0</v>
      </c>
      <c r="O50" s="2505">
        <v>936525</v>
      </c>
      <c r="P50" s="2479" t="s">
        <v>12138</v>
      </c>
    </row>
    <row r="51" spans="1:16" ht="14.1" customHeight="1" x14ac:dyDescent="0.2">
      <c r="A51" s="2769">
        <v>1.44</v>
      </c>
      <c r="B51" s="2512" t="s">
        <v>9415</v>
      </c>
      <c r="C51" s="2503" t="s">
        <v>191</v>
      </c>
      <c r="D51" s="2614"/>
      <c r="E51" s="2614"/>
      <c r="F51" s="2488"/>
      <c r="G51" s="2488"/>
      <c r="H51" s="3224">
        <v>31670</v>
      </c>
      <c r="I51" s="2488"/>
      <c r="J51" s="2488"/>
      <c r="K51" s="2488"/>
      <c r="L51" s="2488"/>
      <c r="M51" s="2513">
        <v>1881961</v>
      </c>
      <c r="N51" s="2488"/>
      <c r="O51" s="2505">
        <v>1881961</v>
      </c>
      <c r="P51" s="2479" t="s">
        <v>12139</v>
      </c>
    </row>
    <row r="52" spans="1:16" ht="14.1" customHeight="1" x14ac:dyDescent="0.2">
      <c r="A52" s="2769">
        <v>1.45</v>
      </c>
      <c r="B52" s="2512" t="s">
        <v>9096</v>
      </c>
      <c r="C52" s="2503" t="s">
        <v>190</v>
      </c>
      <c r="D52" s="2614"/>
      <c r="E52" s="2614"/>
      <c r="F52" s="2488"/>
      <c r="G52" s="2488"/>
      <c r="H52" s="3224">
        <v>211569</v>
      </c>
      <c r="I52" s="2488"/>
      <c r="J52" s="2488"/>
      <c r="K52" s="2488"/>
      <c r="L52" s="2488"/>
      <c r="M52" s="2513">
        <v>8960422</v>
      </c>
      <c r="N52" s="2513">
        <v>0</v>
      </c>
      <c r="O52" s="2505">
        <v>8960422</v>
      </c>
      <c r="P52" s="2479" t="s">
        <v>12140</v>
      </c>
    </row>
    <row r="53" spans="1:16" ht="14.1" customHeight="1" x14ac:dyDescent="0.2">
      <c r="A53" s="2769">
        <v>1.46</v>
      </c>
      <c r="B53" s="2512" t="s">
        <v>9096</v>
      </c>
      <c r="C53" s="2947" t="s">
        <v>196</v>
      </c>
      <c r="D53" s="2614"/>
      <c r="E53" s="2614"/>
      <c r="F53" s="2488"/>
      <c r="G53" s="2488"/>
      <c r="H53" s="3224">
        <v>-26</v>
      </c>
      <c r="I53" s="2488"/>
      <c r="J53" s="2488"/>
      <c r="K53" s="2488"/>
      <c r="L53" s="2488"/>
      <c r="M53" s="2488"/>
      <c r="N53" s="2514">
        <v>-747</v>
      </c>
      <c r="O53" s="2505">
        <v>-747</v>
      </c>
      <c r="P53" s="2479" t="s">
        <v>12141</v>
      </c>
    </row>
    <row r="54" spans="1:16" ht="14.1" customHeight="1" x14ac:dyDescent="0.2">
      <c r="A54" s="2769">
        <v>1.47</v>
      </c>
      <c r="B54" s="2502" t="s">
        <v>9416</v>
      </c>
      <c r="C54" s="2503" t="s">
        <v>191</v>
      </c>
      <c r="D54" s="2614"/>
      <c r="E54" s="2614"/>
      <c r="F54" s="2488"/>
      <c r="G54" s="2488"/>
      <c r="H54" s="3224">
        <v>626</v>
      </c>
      <c r="I54" s="2488"/>
      <c r="J54" s="2488"/>
      <c r="K54" s="2488"/>
      <c r="L54" s="2488"/>
      <c r="M54" s="2513">
        <v>50512</v>
      </c>
      <c r="N54" s="2513">
        <v>0</v>
      </c>
      <c r="O54" s="2505">
        <v>50512</v>
      </c>
      <c r="P54" s="2479" t="s">
        <v>12142</v>
      </c>
    </row>
    <row r="55" spans="1:16" ht="14.1" customHeight="1" x14ac:dyDescent="0.2">
      <c r="A55" s="2769">
        <v>1.48</v>
      </c>
      <c r="B55" s="2502" t="s">
        <v>12080</v>
      </c>
      <c r="C55" s="2503" t="s">
        <v>190</v>
      </c>
      <c r="D55" s="2614"/>
      <c r="E55" s="2614"/>
      <c r="F55" s="2488"/>
      <c r="G55" s="2488"/>
      <c r="H55" s="3224">
        <v>307</v>
      </c>
      <c r="I55" s="2488"/>
      <c r="J55" s="2488"/>
      <c r="K55" s="2488"/>
      <c r="L55" s="2488"/>
      <c r="M55" s="2513">
        <v>1952</v>
      </c>
      <c r="N55" s="2513">
        <v>0</v>
      </c>
      <c r="O55" s="2505">
        <v>1952</v>
      </c>
      <c r="P55" s="2479" t="s">
        <v>12143</v>
      </c>
    </row>
    <row r="56" spans="1:16" ht="14.1" customHeight="1" x14ac:dyDescent="0.2">
      <c r="A56" s="2769">
        <v>1.49</v>
      </c>
      <c r="B56" s="2502" t="s">
        <v>9097</v>
      </c>
      <c r="C56" s="2503" t="s">
        <v>190</v>
      </c>
      <c r="D56" s="2614"/>
      <c r="E56" s="2614"/>
      <c r="F56" s="2488"/>
      <c r="G56" s="2488"/>
      <c r="H56" s="3224">
        <v>8504</v>
      </c>
      <c r="I56" s="2488"/>
      <c r="J56" s="2488"/>
      <c r="K56" s="2488"/>
      <c r="L56" s="2488"/>
      <c r="M56" s="2513">
        <v>747080</v>
      </c>
      <c r="N56" s="2513">
        <v>0</v>
      </c>
      <c r="O56" s="2505">
        <v>747080</v>
      </c>
      <c r="P56" s="2479" t="s">
        <v>12144</v>
      </c>
    </row>
    <row r="57" spans="1:16" ht="14.1" customHeight="1" x14ac:dyDescent="0.2">
      <c r="A57" s="2769">
        <v>1.5</v>
      </c>
      <c r="B57" s="2502" t="s">
        <v>9098</v>
      </c>
      <c r="C57" s="2503" t="s">
        <v>190</v>
      </c>
      <c r="D57" s="2614"/>
      <c r="E57" s="2614"/>
      <c r="F57" s="2488"/>
      <c r="G57" s="2488"/>
      <c r="H57" s="3224">
        <v>1695</v>
      </c>
      <c r="I57" s="2488"/>
      <c r="J57" s="2488"/>
      <c r="K57" s="2488"/>
      <c r="L57" s="2488"/>
      <c r="M57" s="2513">
        <v>254280</v>
      </c>
      <c r="N57" s="2513">
        <v>0</v>
      </c>
      <c r="O57" s="2505">
        <v>254280</v>
      </c>
      <c r="P57" s="2479" t="s">
        <v>12145</v>
      </c>
    </row>
    <row r="58" spans="1:16" ht="14.1" customHeight="1" x14ac:dyDescent="0.2">
      <c r="A58" s="2769">
        <v>1.51</v>
      </c>
      <c r="B58" s="2512" t="s">
        <v>9099</v>
      </c>
      <c r="C58" s="2947" t="s">
        <v>188</v>
      </c>
      <c r="D58" s="2614"/>
      <c r="E58" s="2614"/>
      <c r="F58" s="2488"/>
      <c r="G58" s="2488"/>
      <c r="H58" s="3226">
        <v>2833</v>
      </c>
      <c r="I58" s="2488"/>
      <c r="J58" s="2488"/>
      <c r="K58" s="2488"/>
      <c r="L58" s="2488"/>
      <c r="M58" s="2513">
        <v>194933</v>
      </c>
      <c r="N58" s="2513">
        <v>0</v>
      </c>
      <c r="O58" s="2505">
        <v>194933</v>
      </c>
      <c r="P58" s="2479" t="s">
        <v>12146</v>
      </c>
    </row>
    <row r="59" spans="1:16" ht="14.1" customHeight="1" x14ac:dyDescent="0.2">
      <c r="A59" s="2769">
        <v>1.52</v>
      </c>
      <c r="B59" s="2512" t="s">
        <v>9418</v>
      </c>
      <c r="C59" s="2503" t="s">
        <v>191</v>
      </c>
      <c r="D59" s="2614"/>
      <c r="E59" s="2614"/>
      <c r="F59" s="2488"/>
      <c r="G59" s="2488"/>
      <c r="H59" s="3224">
        <v>52833</v>
      </c>
      <c r="I59" s="2488"/>
      <c r="J59" s="2488"/>
      <c r="K59" s="2488"/>
      <c r="L59" s="2488"/>
      <c r="M59" s="2513">
        <v>0</v>
      </c>
      <c r="N59" s="2514">
        <v>1800708</v>
      </c>
      <c r="O59" s="2505">
        <v>1800708</v>
      </c>
      <c r="P59" s="2479" t="s">
        <v>12147</v>
      </c>
    </row>
    <row r="60" spans="1:16" ht="14.1" customHeight="1" x14ac:dyDescent="0.2">
      <c r="A60" s="2769">
        <v>1.53</v>
      </c>
      <c r="B60" s="2512" t="s">
        <v>9418</v>
      </c>
      <c r="C60" s="2947" t="s">
        <v>196</v>
      </c>
      <c r="D60" s="2614"/>
      <c r="E60" s="2614"/>
      <c r="F60" s="2488"/>
      <c r="G60" s="2488"/>
      <c r="H60" s="3224">
        <v>0</v>
      </c>
      <c r="I60" s="2488"/>
      <c r="J60" s="2488"/>
      <c r="K60" s="2488"/>
      <c r="L60" s="2488"/>
      <c r="M60" s="2513">
        <v>0</v>
      </c>
      <c r="N60" s="2514">
        <v>-49449</v>
      </c>
      <c r="O60" s="2505">
        <v>-49449</v>
      </c>
      <c r="P60" s="2479" t="s">
        <v>12148</v>
      </c>
    </row>
    <row r="61" spans="1:16" ht="14.1" customHeight="1" x14ac:dyDescent="0.2">
      <c r="A61" s="2769">
        <v>1.54</v>
      </c>
      <c r="B61" s="2512" t="s">
        <v>9418</v>
      </c>
      <c r="C61" s="2503" t="s">
        <v>190</v>
      </c>
      <c r="D61" s="2614"/>
      <c r="E61" s="2614"/>
      <c r="F61" s="2488"/>
      <c r="G61" s="2488"/>
      <c r="H61" s="3224">
        <v>240</v>
      </c>
      <c r="I61" s="2488"/>
      <c r="J61" s="2488"/>
      <c r="K61" s="2488"/>
      <c r="L61" s="2488"/>
      <c r="M61" s="2513">
        <v>6880</v>
      </c>
      <c r="N61" s="2513">
        <v>0</v>
      </c>
      <c r="O61" s="2505">
        <v>6880</v>
      </c>
      <c r="P61" s="2479" t="s">
        <v>12149</v>
      </c>
    </row>
    <row r="62" spans="1:16" ht="14.1" customHeight="1" x14ac:dyDescent="0.2">
      <c r="A62" s="2769">
        <v>1.55</v>
      </c>
      <c r="B62" s="2512" t="s">
        <v>9419</v>
      </c>
      <c r="C62" s="2503" t="s">
        <v>191</v>
      </c>
      <c r="D62" s="2614"/>
      <c r="E62" s="2614"/>
      <c r="F62" s="2614"/>
      <c r="G62" s="2614"/>
      <c r="H62" s="3224">
        <v>172</v>
      </c>
      <c r="I62" s="2488"/>
      <c r="J62" s="2488"/>
      <c r="K62" s="2488"/>
      <c r="L62" s="2488"/>
      <c r="M62" s="2513">
        <v>14449</v>
      </c>
      <c r="N62" s="2513">
        <v>0</v>
      </c>
      <c r="O62" s="2505">
        <v>14449</v>
      </c>
      <c r="P62" s="2479" t="s">
        <v>12150</v>
      </c>
    </row>
    <row r="63" spans="1:16" ht="14.1" customHeight="1" x14ac:dyDescent="0.2">
      <c r="A63" s="2769">
        <v>1.56</v>
      </c>
      <c r="B63" s="2512" t="s">
        <v>9420</v>
      </c>
      <c r="C63" s="2489" t="s">
        <v>191</v>
      </c>
      <c r="D63" s="2614"/>
      <c r="E63" s="2614"/>
      <c r="F63" s="2488"/>
      <c r="G63" s="2488"/>
      <c r="H63" s="3224">
        <v>2161</v>
      </c>
      <c r="I63" s="2488"/>
      <c r="J63" s="2488"/>
      <c r="K63" s="2488"/>
      <c r="L63" s="2488"/>
      <c r="M63" s="2513">
        <v>143581</v>
      </c>
      <c r="N63" s="2513">
        <v>0</v>
      </c>
      <c r="O63" s="2505">
        <v>143581</v>
      </c>
      <c r="P63" s="2479" t="s">
        <v>12151</v>
      </c>
    </row>
    <row r="64" spans="1:16" ht="14.1" customHeight="1" x14ac:dyDescent="0.2">
      <c r="A64" s="2769">
        <v>1.57</v>
      </c>
      <c r="B64" s="2512" t="s">
        <v>9102</v>
      </c>
      <c r="C64" s="2503" t="s">
        <v>190</v>
      </c>
      <c r="D64" s="2614"/>
      <c r="E64" s="2614"/>
      <c r="F64" s="2488"/>
      <c r="G64" s="2488"/>
      <c r="H64" s="3224">
        <v>466</v>
      </c>
      <c r="I64" s="2488"/>
      <c r="J64" s="2488"/>
      <c r="K64" s="2488"/>
      <c r="L64" s="2488"/>
      <c r="M64" s="2513">
        <v>42653</v>
      </c>
      <c r="N64" s="2513">
        <v>0</v>
      </c>
      <c r="O64" s="2505">
        <v>42653</v>
      </c>
      <c r="P64" s="2479" t="s">
        <v>12152</v>
      </c>
    </row>
    <row r="65" spans="1:16" ht="14.1" customHeight="1" x14ac:dyDescent="0.2">
      <c r="A65" s="2769">
        <v>1.58</v>
      </c>
      <c r="B65" s="2512" t="s">
        <v>12153</v>
      </c>
      <c r="C65" s="2503" t="s">
        <v>191</v>
      </c>
      <c r="D65" s="2614"/>
      <c r="E65" s="2614"/>
      <c r="F65" s="2488"/>
      <c r="G65" s="2488"/>
      <c r="H65" s="3224">
        <v>1302</v>
      </c>
      <c r="I65" s="2488"/>
      <c r="J65" s="2488"/>
      <c r="K65" s="2488"/>
      <c r="L65" s="2488"/>
      <c r="M65" s="2513">
        <v>55060</v>
      </c>
      <c r="N65" s="2513">
        <v>0</v>
      </c>
      <c r="O65" s="2505">
        <v>55060</v>
      </c>
      <c r="P65" s="2479" t="s">
        <v>12154</v>
      </c>
    </row>
    <row r="66" spans="1:16" ht="14.1" customHeight="1" x14ac:dyDescent="0.2">
      <c r="A66" s="2769">
        <v>1.59</v>
      </c>
      <c r="B66" s="2512" t="s">
        <v>9422</v>
      </c>
      <c r="C66" s="2503" t="s">
        <v>191</v>
      </c>
      <c r="D66" s="2614"/>
      <c r="E66" s="2614"/>
      <c r="F66" s="2488"/>
      <c r="G66" s="2488"/>
      <c r="H66" s="3224">
        <v>193</v>
      </c>
      <c r="I66" s="2488"/>
      <c r="J66" s="2488"/>
      <c r="K66" s="2488"/>
      <c r="L66" s="2488"/>
      <c r="M66" s="2513">
        <v>11919</v>
      </c>
      <c r="N66" s="2513">
        <v>0</v>
      </c>
      <c r="O66" s="2505">
        <v>11919</v>
      </c>
      <c r="P66" s="2479" t="s">
        <v>12155</v>
      </c>
    </row>
    <row r="67" spans="1:16" ht="14.1" customHeight="1" x14ac:dyDescent="0.2">
      <c r="A67" s="2769">
        <v>1.6</v>
      </c>
      <c r="B67" s="2512" t="s">
        <v>9103</v>
      </c>
      <c r="C67" s="2503" t="s">
        <v>190</v>
      </c>
      <c r="D67" s="2614"/>
      <c r="E67" s="2614"/>
      <c r="F67" s="2488"/>
      <c r="G67" s="2488"/>
      <c r="H67" s="3224">
        <v>180208</v>
      </c>
      <c r="I67" s="2488"/>
      <c r="J67" s="2488"/>
      <c r="K67" s="2488"/>
      <c r="L67" s="2488"/>
      <c r="M67" s="2513">
        <v>11732151</v>
      </c>
      <c r="N67" s="2513">
        <v>0</v>
      </c>
      <c r="O67" s="2505">
        <v>11732151</v>
      </c>
      <c r="P67" s="2479" t="s">
        <v>12156</v>
      </c>
    </row>
    <row r="68" spans="1:16" ht="14.1" customHeight="1" x14ac:dyDescent="0.2">
      <c r="A68" s="2769">
        <v>1.61</v>
      </c>
      <c r="B68" s="2502" t="s">
        <v>9423</v>
      </c>
      <c r="C68" s="2503" t="s">
        <v>191</v>
      </c>
      <c r="D68" s="2614"/>
      <c r="E68" s="2614"/>
      <c r="F68" s="2488"/>
      <c r="G68" s="2488"/>
      <c r="H68" s="3224">
        <v>871</v>
      </c>
      <c r="I68" s="2488"/>
      <c r="J68" s="2488"/>
      <c r="K68" s="2488"/>
      <c r="L68" s="2488"/>
      <c r="M68" s="2513">
        <v>51418</v>
      </c>
      <c r="N68" s="2513">
        <v>0</v>
      </c>
      <c r="O68" s="2505">
        <v>51418</v>
      </c>
      <c r="P68" s="2479" t="s">
        <v>12157</v>
      </c>
    </row>
    <row r="69" spans="1:16" ht="14.1" customHeight="1" x14ac:dyDescent="0.2">
      <c r="A69" s="2769">
        <v>1.62</v>
      </c>
      <c r="B69" s="2502" t="s">
        <v>9424</v>
      </c>
      <c r="C69" s="2503" t="s">
        <v>192</v>
      </c>
      <c r="D69" s="2614"/>
      <c r="E69" s="2614"/>
      <c r="F69" s="2488"/>
      <c r="G69" s="2488"/>
      <c r="H69" s="3224">
        <v>3352</v>
      </c>
      <c r="I69" s="2488"/>
      <c r="J69" s="2488"/>
      <c r="K69" s="2488"/>
      <c r="L69" s="2488"/>
      <c r="M69" s="2513">
        <v>161294</v>
      </c>
      <c r="N69" s="2513">
        <v>0</v>
      </c>
      <c r="O69" s="2505">
        <v>161294</v>
      </c>
      <c r="P69" s="2479" t="s">
        <v>12158</v>
      </c>
    </row>
    <row r="70" spans="1:16" ht="14.1" customHeight="1" x14ac:dyDescent="0.2">
      <c r="A70" s="2769">
        <v>1.63</v>
      </c>
      <c r="B70" s="2502" t="s">
        <v>9425</v>
      </c>
      <c r="C70" s="2503" t="s">
        <v>191</v>
      </c>
      <c r="D70" s="2614"/>
      <c r="E70" s="2614"/>
      <c r="F70" s="2488"/>
      <c r="G70" s="2488"/>
      <c r="H70" s="3224">
        <v>331360</v>
      </c>
      <c r="I70" s="2488"/>
      <c r="J70" s="2488"/>
      <c r="K70" s="2488"/>
      <c r="L70" s="2488"/>
      <c r="M70" s="2513">
        <v>9457021</v>
      </c>
      <c r="N70" s="2513">
        <v>0</v>
      </c>
      <c r="O70" s="2505">
        <v>9457021</v>
      </c>
      <c r="P70" s="2479" t="s">
        <v>12159</v>
      </c>
    </row>
    <row r="71" spans="1:16" ht="14.1" customHeight="1" x14ac:dyDescent="0.2">
      <c r="A71" s="2769">
        <v>1.64</v>
      </c>
      <c r="B71" s="2502" t="s">
        <v>9426</v>
      </c>
      <c r="C71" s="2503" t="s">
        <v>191</v>
      </c>
      <c r="D71" s="2614"/>
      <c r="E71" s="2614"/>
      <c r="F71" s="2488"/>
      <c r="G71" s="2488"/>
      <c r="H71" s="3224">
        <v>159142</v>
      </c>
      <c r="I71" s="2488"/>
      <c r="J71" s="2488"/>
      <c r="K71" s="2488"/>
      <c r="L71" s="2488"/>
      <c r="M71" s="2513">
        <v>3843279</v>
      </c>
      <c r="N71" s="2514">
        <v>905518</v>
      </c>
      <c r="O71" s="2505">
        <v>4748797</v>
      </c>
      <c r="P71" s="2479" t="s">
        <v>12160</v>
      </c>
    </row>
    <row r="72" spans="1:16" ht="14.1" customHeight="1" x14ac:dyDescent="0.2">
      <c r="A72" s="2769">
        <v>1.65</v>
      </c>
      <c r="B72" s="2512" t="s">
        <v>9426</v>
      </c>
      <c r="C72" s="2947" t="s">
        <v>196</v>
      </c>
      <c r="D72" s="2614"/>
      <c r="E72" s="2614"/>
      <c r="F72" s="2488"/>
      <c r="G72" s="2488"/>
      <c r="H72" s="3226">
        <v>0</v>
      </c>
      <c r="I72" s="2488"/>
      <c r="J72" s="2488"/>
      <c r="K72" s="2488"/>
      <c r="L72" s="2488"/>
      <c r="M72" s="2513">
        <v>0</v>
      </c>
      <c r="N72" s="2514">
        <v>279163</v>
      </c>
      <c r="O72" s="2505">
        <v>279163</v>
      </c>
      <c r="P72" s="2479" t="s">
        <v>12161</v>
      </c>
    </row>
    <row r="73" spans="1:16" ht="14.1" customHeight="1" x14ac:dyDescent="0.2">
      <c r="A73" s="2769">
        <v>1.66</v>
      </c>
      <c r="B73" s="2512" t="s">
        <v>9105</v>
      </c>
      <c r="C73" s="2503" t="s">
        <v>190</v>
      </c>
      <c r="D73" s="2614"/>
      <c r="E73" s="2614"/>
      <c r="F73" s="2488"/>
      <c r="G73" s="2488"/>
      <c r="H73" s="3224">
        <v>1130</v>
      </c>
      <c r="I73" s="2488"/>
      <c r="J73" s="2488"/>
      <c r="K73" s="2488"/>
      <c r="L73" s="2488"/>
      <c r="M73" s="2513">
        <v>159300</v>
      </c>
      <c r="N73" s="2513">
        <v>0</v>
      </c>
      <c r="O73" s="2505">
        <v>159300</v>
      </c>
      <c r="P73" s="2479" t="s">
        <v>12162</v>
      </c>
    </row>
    <row r="74" spans="1:16" ht="14.1" customHeight="1" x14ac:dyDescent="0.2">
      <c r="A74" s="2769">
        <v>1.67</v>
      </c>
      <c r="B74" s="2512" t="s">
        <v>9427</v>
      </c>
      <c r="C74" s="2503" t="s">
        <v>191</v>
      </c>
      <c r="D74" s="2614"/>
      <c r="E74" s="2614"/>
      <c r="F74" s="2488"/>
      <c r="G74" s="2488"/>
      <c r="H74" s="3224">
        <v>1112</v>
      </c>
      <c r="I74" s="2488"/>
      <c r="J74" s="2488"/>
      <c r="K74" s="2488"/>
      <c r="L74" s="2488"/>
      <c r="M74" s="2513">
        <v>70132</v>
      </c>
      <c r="N74" s="2513">
        <v>0</v>
      </c>
      <c r="O74" s="2505">
        <v>70132</v>
      </c>
      <c r="P74" s="2479" t="s">
        <v>12163</v>
      </c>
    </row>
    <row r="75" spans="1:16" ht="14.1" customHeight="1" x14ac:dyDescent="0.2">
      <c r="A75" s="2769">
        <v>1.68</v>
      </c>
      <c r="B75" s="2512" t="s">
        <v>9428</v>
      </c>
      <c r="C75" s="2503" t="s">
        <v>191</v>
      </c>
      <c r="D75" s="2614"/>
      <c r="E75" s="2614"/>
      <c r="F75" s="2488"/>
      <c r="G75" s="2488"/>
      <c r="H75" s="3224">
        <v>20028</v>
      </c>
      <c r="I75" s="2488"/>
      <c r="J75" s="2488"/>
      <c r="K75" s="2488"/>
      <c r="L75" s="2488"/>
      <c r="M75" s="2513">
        <v>506329</v>
      </c>
      <c r="N75" s="2513">
        <v>0</v>
      </c>
      <c r="O75" s="2505">
        <v>506329</v>
      </c>
      <c r="P75" s="2479" t="s">
        <v>12164</v>
      </c>
    </row>
    <row r="76" spans="1:16" ht="14.1" customHeight="1" x14ac:dyDescent="0.2">
      <c r="A76" s="2769">
        <v>1.69</v>
      </c>
      <c r="B76" s="2512" t="s">
        <v>9428</v>
      </c>
      <c r="C76" s="2947" t="s">
        <v>196</v>
      </c>
      <c r="D76" s="2614"/>
      <c r="E76" s="2614"/>
      <c r="F76" s="2614"/>
      <c r="G76" s="2614"/>
      <c r="H76" s="3224">
        <v>49</v>
      </c>
      <c r="I76" s="2488"/>
      <c r="J76" s="2488"/>
      <c r="K76" s="2488"/>
      <c r="L76" s="2488"/>
      <c r="M76" s="2513">
        <v>0</v>
      </c>
      <c r="N76" s="2514">
        <v>7079</v>
      </c>
      <c r="O76" s="2505">
        <v>7079</v>
      </c>
      <c r="P76" s="2479" t="s">
        <v>12165</v>
      </c>
    </row>
    <row r="77" spans="1:16" ht="14.1" customHeight="1" x14ac:dyDescent="0.2">
      <c r="A77" s="2769">
        <v>1.7</v>
      </c>
      <c r="B77" s="2512" t="s">
        <v>9429</v>
      </c>
      <c r="C77" s="2947" t="s">
        <v>188</v>
      </c>
      <c r="D77" s="2614"/>
      <c r="E77" s="2771">
        <v>100</v>
      </c>
      <c r="F77" s="2513">
        <v>100</v>
      </c>
      <c r="G77" s="2513">
        <v>88</v>
      </c>
      <c r="H77" s="3224">
        <v>467255</v>
      </c>
      <c r="I77" s="2488"/>
      <c r="J77" s="2488"/>
      <c r="K77" s="2488"/>
      <c r="L77" s="2513">
        <v>19212455</v>
      </c>
      <c r="M77" s="2513">
        <v>11406014</v>
      </c>
      <c r="N77" s="2514">
        <v>4918341</v>
      </c>
      <c r="O77" s="2505">
        <v>35536810</v>
      </c>
      <c r="P77" s="2479" t="s">
        <v>12166</v>
      </c>
    </row>
    <row r="78" spans="1:16" ht="14.1" customHeight="1" x14ac:dyDescent="0.2">
      <c r="A78" s="2769">
        <v>1.71</v>
      </c>
      <c r="B78" s="2512" t="s">
        <v>9430</v>
      </c>
      <c r="C78" s="2503" t="s">
        <v>191</v>
      </c>
      <c r="D78" s="2614"/>
      <c r="E78" s="2614"/>
      <c r="F78" s="2488"/>
      <c r="G78" s="2488"/>
      <c r="H78" s="3224">
        <v>5473</v>
      </c>
      <c r="I78" s="2488"/>
      <c r="J78" s="2488"/>
      <c r="K78" s="2488"/>
      <c r="L78" s="2488"/>
      <c r="M78" s="2513">
        <v>461637</v>
      </c>
      <c r="N78" s="2513">
        <v>0</v>
      </c>
      <c r="O78" s="2505">
        <v>461637</v>
      </c>
      <c r="P78" s="2479" t="s">
        <v>12167</v>
      </c>
    </row>
    <row r="79" spans="1:16" ht="14.1" customHeight="1" x14ac:dyDescent="0.2">
      <c r="A79" s="2769">
        <v>1.72</v>
      </c>
      <c r="B79" s="2512" t="s">
        <v>9431</v>
      </c>
      <c r="C79" s="2503" t="s">
        <v>191</v>
      </c>
      <c r="D79" s="2614"/>
      <c r="E79" s="2614"/>
      <c r="F79" s="2488"/>
      <c r="G79" s="2488"/>
      <c r="H79" s="3224">
        <v>848</v>
      </c>
      <c r="I79" s="2488"/>
      <c r="J79" s="2488"/>
      <c r="K79" s="2488"/>
      <c r="L79" s="2488"/>
      <c r="M79" s="2513">
        <v>40059</v>
      </c>
      <c r="N79" s="2513">
        <v>0</v>
      </c>
      <c r="O79" s="2505">
        <v>40059</v>
      </c>
      <c r="P79" s="2479" t="s">
        <v>12168</v>
      </c>
    </row>
    <row r="80" spans="1:16" ht="14.1" customHeight="1" x14ac:dyDescent="0.2">
      <c r="A80" s="2769">
        <v>1.73</v>
      </c>
      <c r="B80" s="2512" t="s">
        <v>12169</v>
      </c>
      <c r="C80" s="2503" t="s">
        <v>191</v>
      </c>
      <c r="D80" s="2614"/>
      <c r="E80" s="2513">
        <v>0</v>
      </c>
      <c r="F80" s="2513">
        <v>0</v>
      </c>
      <c r="G80" s="2513">
        <v>0</v>
      </c>
      <c r="H80" s="3224">
        <v>2517</v>
      </c>
      <c r="I80" s="2488"/>
      <c r="J80" s="2488"/>
      <c r="K80" s="2488"/>
      <c r="L80" s="2513">
        <v>34393</v>
      </c>
      <c r="M80" s="2513">
        <v>426957</v>
      </c>
      <c r="N80" s="2513">
        <v>0</v>
      </c>
      <c r="O80" s="2505">
        <v>461350</v>
      </c>
      <c r="P80" s="2479" t="s">
        <v>12170</v>
      </c>
    </row>
    <row r="81" spans="1:16" ht="14.1" customHeight="1" x14ac:dyDescent="0.2">
      <c r="A81" s="2769">
        <v>1.74</v>
      </c>
      <c r="B81" s="2512" t="s">
        <v>9432</v>
      </c>
      <c r="C81" s="2503" t="s">
        <v>192</v>
      </c>
      <c r="D81" s="2614"/>
      <c r="E81" s="2614"/>
      <c r="F81" s="2488"/>
      <c r="G81" s="2488"/>
      <c r="H81" s="3224">
        <v>28</v>
      </c>
      <c r="I81" s="2488"/>
      <c r="J81" s="2488"/>
      <c r="K81" s="2488"/>
      <c r="L81" s="2488"/>
      <c r="M81" s="2513">
        <v>3732</v>
      </c>
      <c r="N81" s="2513">
        <v>0</v>
      </c>
      <c r="O81" s="2505">
        <v>3732</v>
      </c>
      <c r="P81" s="2479" t="s">
        <v>12171</v>
      </c>
    </row>
    <row r="82" spans="1:16" ht="14.1" customHeight="1" x14ac:dyDescent="0.2">
      <c r="A82" s="2769">
        <v>1.75</v>
      </c>
      <c r="B82" s="2502" t="s">
        <v>12172</v>
      </c>
      <c r="C82" s="2503" t="s">
        <v>191</v>
      </c>
      <c r="D82" s="2614"/>
      <c r="E82" s="2614"/>
      <c r="F82" s="2488"/>
      <c r="G82" s="2488"/>
      <c r="H82" s="3224">
        <v>3335</v>
      </c>
      <c r="I82" s="2488"/>
      <c r="J82" s="2488"/>
      <c r="K82" s="2488"/>
      <c r="L82" s="2488"/>
      <c r="M82" s="2513">
        <v>172334</v>
      </c>
      <c r="N82" s="2513">
        <v>0</v>
      </c>
      <c r="O82" s="2505">
        <v>172334</v>
      </c>
      <c r="P82" s="2479" t="s">
        <v>12173</v>
      </c>
    </row>
    <row r="83" spans="1:16" ht="14.1" customHeight="1" x14ac:dyDescent="0.2">
      <c r="A83" s="2769">
        <v>1.76</v>
      </c>
      <c r="B83" s="2502" t="s">
        <v>12172</v>
      </c>
      <c r="C83" s="2947" t="s">
        <v>196</v>
      </c>
      <c r="D83" s="2614"/>
      <c r="E83" s="2614"/>
      <c r="F83" s="2488"/>
      <c r="G83" s="2488"/>
      <c r="H83" s="3224">
        <v>50</v>
      </c>
      <c r="I83" s="2488"/>
      <c r="J83" s="2488"/>
      <c r="K83" s="2488"/>
      <c r="L83" s="2488"/>
      <c r="M83" s="2513">
        <v>0</v>
      </c>
      <c r="N83" s="2514">
        <v>3157</v>
      </c>
      <c r="O83" s="2505">
        <v>3157</v>
      </c>
      <c r="P83" s="2479" t="s">
        <v>12174</v>
      </c>
    </row>
    <row r="84" spans="1:16" ht="14.1" customHeight="1" x14ac:dyDescent="0.2">
      <c r="A84" s="2769">
        <v>1.77</v>
      </c>
      <c r="B84" s="2502" t="s">
        <v>11989</v>
      </c>
      <c r="C84" s="2503" t="s">
        <v>190</v>
      </c>
      <c r="D84" s="2614"/>
      <c r="E84" s="2614"/>
      <c r="F84" s="2488"/>
      <c r="G84" s="2488"/>
      <c r="H84" s="3224">
        <v>3515</v>
      </c>
      <c r="I84" s="2488"/>
      <c r="J84" s="2488"/>
      <c r="K84" s="2488"/>
      <c r="L84" s="2488"/>
      <c r="M84" s="2513">
        <v>487925</v>
      </c>
      <c r="N84" s="2513">
        <v>0</v>
      </c>
      <c r="O84" s="2505">
        <v>487925</v>
      </c>
      <c r="P84" s="2479" t="s">
        <v>12175</v>
      </c>
    </row>
    <row r="85" spans="1:16" ht="14.1" customHeight="1" x14ac:dyDescent="0.2">
      <c r="A85" s="2769">
        <v>1.78</v>
      </c>
      <c r="B85" s="2502" t="s">
        <v>9106</v>
      </c>
      <c r="C85" s="2503" t="s">
        <v>190</v>
      </c>
      <c r="D85" s="2614"/>
      <c r="E85" s="2614"/>
      <c r="F85" s="2488"/>
      <c r="G85" s="2488"/>
      <c r="H85" s="3224">
        <v>40209</v>
      </c>
      <c r="I85" s="2488"/>
      <c r="J85" s="2488"/>
      <c r="K85" s="2488"/>
      <c r="L85" s="2488"/>
      <c r="M85" s="2513">
        <v>6636374</v>
      </c>
      <c r="N85" s="2513">
        <v>0</v>
      </c>
      <c r="O85" s="2505">
        <v>6636374</v>
      </c>
      <c r="P85" s="2479" t="s">
        <v>12176</v>
      </c>
    </row>
    <row r="86" spans="1:16" ht="14.1" customHeight="1" x14ac:dyDescent="0.2">
      <c r="A86" s="2769">
        <v>1.79</v>
      </c>
      <c r="B86" s="2512" t="s">
        <v>9107</v>
      </c>
      <c r="C86" s="2503" t="s">
        <v>190</v>
      </c>
      <c r="D86" s="2614"/>
      <c r="E86" s="2614"/>
      <c r="F86" s="2488"/>
      <c r="G86" s="2488"/>
      <c r="H86" s="3226">
        <v>89385</v>
      </c>
      <c r="I86" s="2488"/>
      <c r="J86" s="2488"/>
      <c r="K86" s="2488"/>
      <c r="L86" s="2488"/>
      <c r="M86" s="2513">
        <v>6482252</v>
      </c>
      <c r="N86" s="2513">
        <v>0</v>
      </c>
      <c r="O86" s="2505">
        <v>6482252</v>
      </c>
      <c r="P86" s="2479" t="s">
        <v>12177</v>
      </c>
    </row>
    <row r="87" spans="1:16" ht="14.1" customHeight="1" x14ac:dyDescent="0.2">
      <c r="A87" s="2769">
        <v>1.8</v>
      </c>
      <c r="B87" s="2512" t="s">
        <v>9108</v>
      </c>
      <c r="C87" s="2503" t="s">
        <v>190</v>
      </c>
      <c r="D87" s="2614"/>
      <c r="E87" s="2614"/>
      <c r="F87" s="2488"/>
      <c r="G87" s="2488"/>
      <c r="H87" s="3224">
        <v>26488</v>
      </c>
      <c r="I87" s="2488"/>
      <c r="J87" s="2488"/>
      <c r="K87" s="2488"/>
      <c r="L87" s="2488"/>
      <c r="M87" s="2513">
        <v>1117872</v>
      </c>
      <c r="N87" s="2513">
        <v>0</v>
      </c>
      <c r="O87" s="2505">
        <v>1117872</v>
      </c>
      <c r="P87" s="2479" t="s">
        <v>12178</v>
      </c>
    </row>
    <row r="88" spans="1:16" ht="14.1" customHeight="1" x14ac:dyDescent="0.2">
      <c r="A88" s="2769">
        <v>1.81</v>
      </c>
      <c r="B88" s="2512" t="s">
        <v>9434</v>
      </c>
      <c r="C88" s="2947" t="s">
        <v>196</v>
      </c>
      <c r="D88" s="2614"/>
      <c r="E88" s="2614"/>
      <c r="F88" s="2488"/>
      <c r="G88" s="2488"/>
      <c r="H88" s="3224">
        <v>0</v>
      </c>
      <c r="I88" s="2488"/>
      <c r="J88" s="2488"/>
      <c r="K88" s="2488"/>
      <c r="L88" s="2488"/>
      <c r="M88" s="2513">
        <v>0</v>
      </c>
      <c r="N88" s="2514">
        <v>15873</v>
      </c>
      <c r="O88" s="2505">
        <v>15873</v>
      </c>
      <c r="P88" s="2479" t="s">
        <v>12179</v>
      </c>
    </row>
    <row r="89" spans="1:16" ht="14.1" customHeight="1" x14ac:dyDescent="0.2">
      <c r="A89" s="2769">
        <v>1.82</v>
      </c>
      <c r="B89" s="2512" t="s">
        <v>9434</v>
      </c>
      <c r="C89" s="2503" t="s">
        <v>191</v>
      </c>
      <c r="D89" s="2614"/>
      <c r="E89" s="2614"/>
      <c r="F89" s="2488"/>
      <c r="G89" s="2488"/>
      <c r="H89" s="3224">
        <v>22281</v>
      </c>
      <c r="I89" s="2488"/>
      <c r="J89" s="2488"/>
      <c r="K89" s="2488"/>
      <c r="L89" s="2488"/>
      <c r="M89" s="2513">
        <v>1515685</v>
      </c>
      <c r="N89" s="2514">
        <v>17692</v>
      </c>
      <c r="O89" s="2505">
        <v>1533377</v>
      </c>
      <c r="P89" s="2479" t="s">
        <v>12180</v>
      </c>
    </row>
    <row r="90" spans="1:16" ht="14.1" customHeight="1" x14ac:dyDescent="0.2">
      <c r="A90" s="2769">
        <v>1.83</v>
      </c>
      <c r="B90" s="2512" t="s">
        <v>9109</v>
      </c>
      <c r="C90" s="2503" t="s">
        <v>190</v>
      </c>
      <c r="D90" s="2614"/>
      <c r="E90" s="2614"/>
      <c r="F90" s="2614"/>
      <c r="G90" s="2614"/>
      <c r="H90" s="3224">
        <v>14160</v>
      </c>
      <c r="I90" s="2488"/>
      <c r="J90" s="2488"/>
      <c r="K90" s="2488"/>
      <c r="L90" s="2488"/>
      <c r="M90" s="2513">
        <v>1252863</v>
      </c>
      <c r="N90" s="2513">
        <v>0</v>
      </c>
      <c r="O90" s="2505">
        <v>1252863</v>
      </c>
      <c r="P90" s="2479" t="s">
        <v>12181</v>
      </c>
    </row>
    <row r="91" spans="1:16" ht="14.1" customHeight="1" x14ac:dyDescent="0.2">
      <c r="A91" s="2769">
        <v>1.84</v>
      </c>
      <c r="B91" s="2512" t="s">
        <v>9435</v>
      </c>
      <c r="C91" s="2947" t="s">
        <v>196</v>
      </c>
      <c r="D91" s="2614"/>
      <c r="E91" s="2614"/>
      <c r="F91" s="2488"/>
      <c r="G91" s="2488"/>
      <c r="H91" s="3224">
        <v>0</v>
      </c>
      <c r="I91" s="2488"/>
      <c r="J91" s="2488"/>
      <c r="K91" s="2488"/>
      <c r="L91" s="2488"/>
      <c r="M91" s="2513">
        <v>0</v>
      </c>
      <c r="N91" s="2514">
        <v>216121</v>
      </c>
      <c r="O91" s="2505">
        <v>216121</v>
      </c>
      <c r="P91" s="2479" t="s">
        <v>12182</v>
      </c>
    </row>
    <row r="92" spans="1:16" ht="14.1" customHeight="1" x14ac:dyDescent="0.2">
      <c r="A92" s="2769">
        <v>1.85</v>
      </c>
      <c r="B92" s="2512" t="s">
        <v>9435</v>
      </c>
      <c r="C92" s="2503" t="s">
        <v>191</v>
      </c>
      <c r="D92" s="2614"/>
      <c r="E92" s="2614"/>
      <c r="F92" s="2488"/>
      <c r="G92" s="2488"/>
      <c r="H92" s="3224">
        <v>222436</v>
      </c>
      <c r="I92" s="2488"/>
      <c r="J92" s="2488"/>
      <c r="K92" s="2488"/>
      <c r="L92" s="2488"/>
      <c r="M92" s="2513">
        <v>12083947</v>
      </c>
      <c r="N92" s="2514">
        <v>222418</v>
      </c>
      <c r="O92" s="2505">
        <v>12306365</v>
      </c>
      <c r="P92" s="2479" t="s">
        <v>12183</v>
      </c>
    </row>
    <row r="93" spans="1:16" ht="14.1" customHeight="1" x14ac:dyDescent="0.2">
      <c r="A93" s="2769">
        <v>1.86</v>
      </c>
      <c r="B93" s="2512" t="s">
        <v>9436</v>
      </c>
      <c r="C93" s="2503" t="s">
        <v>191</v>
      </c>
      <c r="D93" s="2614"/>
      <c r="E93" s="2614"/>
      <c r="F93" s="2488"/>
      <c r="G93" s="2488"/>
      <c r="H93" s="3224">
        <v>207267</v>
      </c>
      <c r="I93" s="2488"/>
      <c r="J93" s="2488"/>
      <c r="K93" s="2488"/>
      <c r="L93" s="2488"/>
      <c r="M93" s="2513">
        <v>11047216</v>
      </c>
      <c r="N93" s="2513">
        <v>0</v>
      </c>
      <c r="O93" s="2505">
        <v>11047216</v>
      </c>
      <c r="P93" s="2479" t="s">
        <v>12184</v>
      </c>
    </row>
    <row r="94" spans="1:16" ht="14.1" customHeight="1" x14ac:dyDescent="0.2">
      <c r="A94" s="2769">
        <v>1.87</v>
      </c>
      <c r="B94" s="2512" t="s">
        <v>9437</v>
      </c>
      <c r="C94" s="2503" t="s">
        <v>191</v>
      </c>
      <c r="D94" s="2614"/>
      <c r="E94" s="2614"/>
      <c r="F94" s="2488"/>
      <c r="G94" s="2488"/>
      <c r="H94" s="3224">
        <v>209333</v>
      </c>
      <c r="I94" s="2488"/>
      <c r="J94" s="2488"/>
      <c r="K94" s="2488"/>
      <c r="L94" s="2488"/>
      <c r="M94" s="2513">
        <v>10603396</v>
      </c>
      <c r="N94" s="2513">
        <v>0</v>
      </c>
      <c r="O94" s="2505">
        <v>10603396</v>
      </c>
      <c r="P94" s="2479" t="s">
        <v>12185</v>
      </c>
    </row>
    <row r="95" spans="1:16" ht="14.1" customHeight="1" x14ac:dyDescent="0.2">
      <c r="A95" s="2769">
        <v>1.88</v>
      </c>
      <c r="B95" s="2512" t="s">
        <v>9438</v>
      </c>
      <c r="C95" s="2503" t="s">
        <v>191</v>
      </c>
      <c r="D95" s="2614"/>
      <c r="E95" s="2614"/>
      <c r="F95" s="2488"/>
      <c r="G95" s="2488"/>
      <c r="H95" s="3224">
        <v>195324</v>
      </c>
      <c r="I95" s="2488"/>
      <c r="J95" s="2488"/>
      <c r="K95" s="2488"/>
      <c r="L95" s="2488"/>
      <c r="M95" s="2513">
        <v>9559221</v>
      </c>
      <c r="N95" s="2513">
        <v>0</v>
      </c>
      <c r="O95" s="2505">
        <v>9559221</v>
      </c>
      <c r="P95" s="2479" t="s">
        <v>12186</v>
      </c>
    </row>
    <row r="96" spans="1:16" ht="14.1" customHeight="1" x14ac:dyDescent="0.2">
      <c r="A96" s="2769">
        <v>1.89</v>
      </c>
      <c r="B96" s="2502" t="s">
        <v>9110</v>
      </c>
      <c r="C96" s="2503" t="s">
        <v>190</v>
      </c>
      <c r="D96" s="2614"/>
      <c r="E96" s="2614"/>
      <c r="F96" s="2488"/>
      <c r="G96" s="2488"/>
      <c r="H96" s="3224">
        <v>4984</v>
      </c>
      <c r="I96" s="2488"/>
      <c r="J96" s="2488"/>
      <c r="K96" s="2488"/>
      <c r="L96" s="2488"/>
      <c r="M96" s="2513">
        <v>288607</v>
      </c>
      <c r="N96" s="2514">
        <v>20000</v>
      </c>
      <c r="O96" s="2505">
        <v>308607</v>
      </c>
      <c r="P96" s="2479" t="s">
        <v>12187</v>
      </c>
    </row>
    <row r="97" spans="1:16" ht="14.1" customHeight="1" x14ac:dyDescent="0.2">
      <c r="A97" s="2769">
        <v>1.9</v>
      </c>
      <c r="B97" s="2502" t="s">
        <v>9439</v>
      </c>
      <c r="C97" s="2503" t="s">
        <v>191</v>
      </c>
      <c r="D97" s="2614"/>
      <c r="E97" s="2614"/>
      <c r="F97" s="2488"/>
      <c r="G97" s="2488"/>
      <c r="H97" s="3224">
        <v>104909</v>
      </c>
      <c r="I97" s="2488"/>
      <c r="J97" s="2488"/>
      <c r="K97" s="2488"/>
      <c r="L97" s="2488"/>
      <c r="M97" s="2513">
        <v>5245440</v>
      </c>
      <c r="N97" s="2513">
        <v>0</v>
      </c>
      <c r="O97" s="2505">
        <v>5245440</v>
      </c>
      <c r="P97" s="2479" t="s">
        <v>12188</v>
      </c>
    </row>
    <row r="98" spans="1:16" ht="14.1" customHeight="1" x14ac:dyDescent="0.2">
      <c r="A98" s="2769">
        <v>1.91</v>
      </c>
      <c r="B98" s="2502" t="s">
        <v>9730</v>
      </c>
      <c r="C98" s="2503" t="s">
        <v>190</v>
      </c>
      <c r="D98" s="2614"/>
      <c r="E98" s="2614"/>
      <c r="F98" s="2488"/>
      <c r="G98" s="2488"/>
      <c r="H98" s="3224">
        <v>97989</v>
      </c>
      <c r="I98" s="2488"/>
      <c r="J98" s="2488"/>
      <c r="K98" s="2488"/>
      <c r="L98" s="2488"/>
      <c r="M98" s="2513">
        <v>5268482</v>
      </c>
      <c r="N98" s="2513">
        <v>0</v>
      </c>
      <c r="O98" s="2505">
        <v>5268482</v>
      </c>
      <c r="P98" s="2479" t="s">
        <v>12189</v>
      </c>
    </row>
    <row r="99" spans="1:16" ht="14.1" customHeight="1" x14ac:dyDescent="0.2">
      <c r="A99" s="2769">
        <v>1.92</v>
      </c>
      <c r="B99" s="2502" t="s">
        <v>9440</v>
      </c>
      <c r="C99" s="2503" t="s">
        <v>191</v>
      </c>
      <c r="D99" s="2614"/>
      <c r="E99" s="2614"/>
      <c r="F99" s="2488"/>
      <c r="G99" s="2488"/>
      <c r="H99" s="3224">
        <v>51</v>
      </c>
      <c r="I99" s="2488"/>
      <c r="J99" s="2488"/>
      <c r="K99" s="2488"/>
      <c r="L99" s="2488"/>
      <c r="M99" s="2513">
        <v>827</v>
      </c>
      <c r="N99" s="2513">
        <v>0</v>
      </c>
      <c r="O99" s="2505">
        <v>827</v>
      </c>
      <c r="P99" s="2479" t="s">
        <v>12190</v>
      </c>
    </row>
    <row r="100" spans="1:16" ht="15" customHeight="1" x14ac:dyDescent="0.2">
      <c r="A100" s="2769">
        <v>1.93</v>
      </c>
      <c r="B100" s="2512" t="s">
        <v>9441</v>
      </c>
      <c r="C100" s="2503" t="s">
        <v>191</v>
      </c>
      <c r="D100" s="2614"/>
      <c r="E100" s="2614"/>
      <c r="F100" s="2488"/>
      <c r="G100" s="2488"/>
      <c r="H100" s="3226">
        <v>22777</v>
      </c>
      <c r="I100" s="2488"/>
      <c r="J100" s="2488"/>
      <c r="K100" s="2488"/>
      <c r="L100" s="2488"/>
      <c r="M100" s="2513">
        <v>1301632</v>
      </c>
      <c r="N100" s="2513">
        <v>0</v>
      </c>
      <c r="O100" s="2505">
        <v>1301632</v>
      </c>
      <c r="P100" s="2479" t="s">
        <v>12191</v>
      </c>
    </row>
    <row r="101" spans="1:16" ht="15" customHeight="1" x14ac:dyDescent="0.2">
      <c r="A101" s="2769">
        <v>1.94</v>
      </c>
      <c r="B101" s="2512" t="s">
        <v>9442</v>
      </c>
      <c r="C101" s="2503" t="s">
        <v>191</v>
      </c>
      <c r="D101" s="2614"/>
      <c r="E101" s="2614"/>
      <c r="F101" s="2488"/>
      <c r="G101" s="2488"/>
      <c r="H101" s="3224">
        <v>3220</v>
      </c>
      <c r="I101" s="2488"/>
      <c r="J101" s="2488"/>
      <c r="K101" s="2488"/>
      <c r="L101" s="2488"/>
      <c r="M101" s="2513">
        <v>271903</v>
      </c>
      <c r="N101" s="2513">
        <v>0</v>
      </c>
      <c r="O101" s="2505">
        <v>271903</v>
      </c>
      <c r="P101" s="2479" t="s">
        <v>12192</v>
      </c>
    </row>
    <row r="102" spans="1:16" ht="15" customHeight="1" x14ac:dyDescent="0.2">
      <c r="A102" s="2769">
        <v>1.95</v>
      </c>
      <c r="B102" s="2512" t="s">
        <v>9443</v>
      </c>
      <c r="C102" s="2503" t="s">
        <v>191</v>
      </c>
      <c r="D102" s="2614"/>
      <c r="E102" s="2614"/>
      <c r="F102" s="2488"/>
      <c r="G102" s="2488"/>
      <c r="H102" s="3224">
        <v>21535</v>
      </c>
      <c r="I102" s="2488"/>
      <c r="J102" s="2488"/>
      <c r="K102" s="2488"/>
      <c r="L102" s="2488"/>
      <c r="M102" s="2513">
        <v>1800418</v>
      </c>
      <c r="N102" s="2513">
        <v>0</v>
      </c>
      <c r="O102" s="2505">
        <v>1800418</v>
      </c>
      <c r="P102" s="2479" t="s">
        <v>12193</v>
      </c>
    </row>
    <row r="103" spans="1:16" ht="15" customHeight="1" x14ac:dyDescent="0.2">
      <c r="A103" s="2769">
        <v>1.96</v>
      </c>
      <c r="B103" s="2512" t="s">
        <v>9444</v>
      </c>
      <c r="C103" s="2947" t="s">
        <v>188</v>
      </c>
      <c r="D103" s="2614"/>
      <c r="E103" s="2614"/>
      <c r="F103" s="2488"/>
      <c r="G103" s="2488"/>
      <c r="H103" s="3224">
        <v>31</v>
      </c>
      <c r="I103" s="2488"/>
      <c r="J103" s="2488"/>
      <c r="K103" s="2488"/>
      <c r="L103" s="2488"/>
      <c r="M103" s="2513">
        <v>2134</v>
      </c>
      <c r="N103" s="2513">
        <v>0</v>
      </c>
      <c r="O103" s="2505">
        <v>2134</v>
      </c>
      <c r="P103" s="2479" t="s">
        <v>12194</v>
      </c>
    </row>
    <row r="104" spans="1:16" ht="15" customHeight="1" x14ac:dyDescent="0.2">
      <c r="A104" s="2769">
        <v>1.97</v>
      </c>
      <c r="B104" s="2512" t="s">
        <v>12082</v>
      </c>
      <c r="C104" s="2503" t="s">
        <v>191</v>
      </c>
      <c r="D104" s="2614"/>
      <c r="E104" s="2614"/>
      <c r="F104" s="2614"/>
      <c r="G104" s="2614"/>
      <c r="H104" s="3224">
        <v>37965</v>
      </c>
      <c r="I104" s="2488"/>
      <c r="J104" s="2488"/>
      <c r="K104" s="2488"/>
      <c r="L104" s="2488"/>
      <c r="M104" s="2513">
        <v>3057705</v>
      </c>
      <c r="N104" s="2513">
        <v>0</v>
      </c>
      <c r="O104" s="2505">
        <v>3057705</v>
      </c>
      <c r="P104" s="2479" t="s">
        <v>12195</v>
      </c>
    </row>
    <row r="105" spans="1:16" ht="15" customHeight="1" x14ac:dyDescent="0.2">
      <c r="A105" s="2769">
        <v>1.98</v>
      </c>
      <c r="B105" s="2512" t="s">
        <v>9445</v>
      </c>
      <c r="C105" s="2947" t="s">
        <v>188</v>
      </c>
      <c r="D105" s="2614"/>
      <c r="E105" s="2614"/>
      <c r="F105" s="2488"/>
      <c r="G105" s="2488"/>
      <c r="H105" s="3224">
        <v>359</v>
      </c>
      <c r="I105" s="2488"/>
      <c r="J105" s="2488"/>
      <c r="K105" s="2488"/>
      <c r="L105" s="2488"/>
      <c r="M105" s="2513">
        <v>17357</v>
      </c>
      <c r="N105" s="2513">
        <v>0</v>
      </c>
      <c r="O105" s="2505">
        <v>17357</v>
      </c>
      <c r="P105" s="2479" t="s">
        <v>12196</v>
      </c>
    </row>
    <row r="106" spans="1:16" ht="15" customHeight="1" x14ac:dyDescent="0.2">
      <c r="A106" s="2769">
        <v>1.99</v>
      </c>
      <c r="B106" s="2512" t="s">
        <v>9446</v>
      </c>
      <c r="C106" s="2503" t="s">
        <v>191</v>
      </c>
      <c r="D106" s="2614"/>
      <c r="E106" s="2614"/>
      <c r="F106" s="2488"/>
      <c r="G106" s="2488"/>
      <c r="H106" s="3224">
        <v>18171</v>
      </c>
      <c r="I106" s="2488"/>
      <c r="J106" s="2488"/>
      <c r="K106" s="2488"/>
      <c r="L106" s="2488"/>
      <c r="M106" s="2513">
        <v>1444801</v>
      </c>
      <c r="N106" s="2513">
        <v>0</v>
      </c>
      <c r="O106" s="2505">
        <v>1444801</v>
      </c>
      <c r="P106" s="2479" t="s">
        <v>12197</v>
      </c>
    </row>
    <row r="107" spans="1:16" ht="15" customHeight="1" x14ac:dyDescent="0.2">
      <c r="A107" s="2769">
        <v>2</v>
      </c>
      <c r="B107" s="2512" t="s">
        <v>9447</v>
      </c>
      <c r="C107" s="2503" t="s">
        <v>191</v>
      </c>
      <c r="D107" s="2614"/>
      <c r="E107" s="2614"/>
      <c r="F107" s="2488"/>
      <c r="G107" s="2488"/>
      <c r="H107" s="3224">
        <v>22096</v>
      </c>
      <c r="I107" s="2488"/>
      <c r="J107" s="2488"/>
      <c r="K107" s="2488"/>
      <c r="L107" s="2488"/>
      <c r="M107" s="2513">
        <v>1749931</v>
      </c>
      <c r="N107" s="2513">
        <v>0</v>
      </c>
      <c r="O107" s="2505">
        <v>1749931</v>
      </c>
      <c r="P107" s="2479" t="s">
        <v>12198</v>
      </c>
    </row>
    <row r="108" spans="1:16" ht="15" customHeight="1" x14ac:dyDescent="0.2">
      <c r="A108" s="2769">
        <v>2.0099999999999998</v>
      </c>
      <c r="B108" s="2512" t="s">
        <v>9448</v>
      </c>
      <c r="C108" s="2503" t="s">
        <v>191</v>
      </c>
      <c r="D108" s="2614"/>
      <c r="E108" s="2614"/>
      <c r="F108" s="2488"/>
      <c r="G108" s="2488"/>
      <c r="H108" s="3224">
        <v>1684</v>
      </c>
      <c r="I108" s="2488"/>
      <c r="J108" s="2488"/>
      <c r="K108" s="2488"/>
      <c r="L108" s="2488"/>
      <c r="M108" s="2513">
        <v>68162</v>
      </c>
      <c r="N108" s="2513">
        <v>0</v>
      </c>
      <c r="O108" s="2505">
        <v>68162</v>
      </c>
      <c r="P108" s="2479" t="s">
        <v>12199</v>
      </c>
    </row>
    <row r="109" spans="1:16" ht="15" customHeight="1" x14ac:dyDescent="0.2">
      <c r="A109" s="2769">
        <v>2.02</v>
      </c>
      <c r="B109" s="2512" t="s">
        <v>9449</v>
      </c>
      <c r="C109" s="2947" t="s">
        <v>188</v>
      </c>
      <c r="D109" s="2614"/>
      <c r="E109" s="2614"/>
      <c r="F109" s="2488"/>
      <c r="G109" s="2488"/>
      <c r="H109" s="3224">
        <v>49</v>
      </c>
      <c r="I109" s="2488"/>
      <c r="J109" s="2488"/>
      <c r="K109" s="2488"/>
      <c r="L109" s="2488"/>
      <c r="M109" s="2513">
        <v>8318</v>
      </c>
      <c r="N109" s="2513">
        <v>0</v>
      </c>
      <c r="O109" s="2505">
        <v>8318</v>
      </c>
      <c r="P109" s="2479" t="s">
        <v>12200</v>
      </c>
    </row>
    <row r="110" spans="1:16" ht="15" customHeight="1" x14ac:dyDescent="0.2">
      <c r="A110" s="2769">
        <v>2.0299999999999998</v>
      </c>
      <c r="B110" s="2502" t="s">
        <v>9450</v>
      </c>
      <c r="C110" s="2503" t="s">
        <v>191</v>
      </c>
      <c r="D110" s="2614"/>
      <c r="E110" s="2614"/>
      <c r="F110" s="2488"/>
      <c r="G110" s="2488"/>
      <c r="H110" s="3224">
        <v>208003</v>
      </c>
      <c r="I110" s="2488"/>
      <c r="J110" s="2488"/>
      <c r="K110" s="2488"/>
      <c r="L110" s="2488"/>
      <c r="M110" s="2513">
        <v>10723432</v>
      </c>
      <c r="N110" s="2513">
        <v>0</v>
      </c>
      <c r="O110" s="2505">
        <v>10723432</v>
      </c>
      <c r="P110" s="2479" t="s">
        <v>12201</v>
      </c>
    </row>
    <row r="111" spans="1:16" ht="15" customHeight="1" x14ac:dyDescent="0.2">
      <c r="A111" s="2769">
        <v>2.04</v>
      </c>
      <c r="B111" s="2502" t="s">
        <v>9451</v>
      </c>
      <c r="C111" s="2503" t="s">
        <v>191</v>
      </c>
      <c r="D111" s="2614"/>
      <c r="E111" s="2614"/>
      <c r="F111" s="2488"/>
      <c r="G111" s="2488"/>
      <c r="H111" s="3224">
        <v>125008</v>
      </c>
      <c r="I111" s="2488"/>
      <c r="J111" s="2488"/>
      <c r="K111" s="2488"/>
      <c r="L111" s="2488"/>
      <c r="M111" s="2513">
        <v>6780427</v>
      </c>
      <c r="N111" s="2513">
        <v>0</v>
      </c>
      <c r="O111" s="2505">
        <v>6780427</v>
      </c>
      <c r="P111" s="2479" t="s">
        <v>12202</v>
      </c>
    </row>
    <row r="112" spans="1:16" ht="15" customHeight="1" x14ac:dyDescent="0.2">
      <c r="A112" s="2769">
        <v>2.0499999999999998</v>
      </c>
      <c r="B112" s="2502" t="s">
        <v>9452</v>
      </c>
      <c r="C112" s="2503" t="s">
        <v>191</v>
      </c>
      <c r="D112" s="2614"/>
      <c r="E112" s="2771">
        <v>3</v>
      </c>
      <c r="F112" s="2513">
        <v>3</v>
      </c>
      <c r="G112" s="2513">
        <v>0</v>
      </c>
      <c r="H112" s="3224">
        <v>6290</v>
      </c>
      <c r="I112" s="2488"/>
      <c r="J112" s="2488"/>
      <c r="K112" s="2488"/>
      <c r="L112" s="2513">
        <v>285278</v>
      </c>
      <c r="M112" s="2513">
        <v>293732</v>
      </c>
      <c r="N112" s="2513">
        <v>0</v>
      </c>
      <c r="O112" s="2505">
        <v>579010</v>
      </c>
      <c r="P112" s="2479" t="s">
        <v>12203</v>
      </c>
    </row>
    <row r="113" spans="1:16" ht="15" customHeight="1" x14ac:dyDescent="0.2">
      <c r="A113" s="2769">
        <v>2.06</v>
      </c>
      <c r="B113" s="2502" t="s">
        <v>9454</v>
      </c>
      <c r="C113" s="2503" t="s">
        <v>191</v>
      </c>
      <c r="D113" s="2614"/>
      <c r="E113" s="2771">
        <v>2</v>
      </c>
      <c r="F113" s="2513">
        <v>2</v>
      </c>
      <c r="G113" s="2513">
        <v>0</v>
      </c>
      <c r="H113" s="3224">
        <v>4159</v>
      </c>
      <c r="I113" s="2488"/>
      <c r="J113" s="2488"/>
      <c r="K113" s="2488"/>
      <c r="L113" s="2513">
        <v>336908</v>
      </c>
      <c r="M113" s="2513">
        <v>227500</v>
      </c>
      <c r="N113" s="2513">
        <v>0</v>
      </c>
      <c r="O113" s="2505">
        <v>564408</v>
      </c>
      <c r="P113" s="2479" t="s">
        <v>12204</v>
      </c>
    </row>
    <row r="114" spans="1:16" ht="15" customHeight="1" x14ac:dyDescent="0.2">
      <c r="A114" s="2769">
        <v>2.0699999999999998</v>
      </c>
      <c r="B114" s="2512" t="s">
        <v>12205</v>
      </c>
      <c r="C114" s="2503" t="s">
        <v>190</v>
      </c>
      <c r="D114" s="2614"/>
      <c r="E114" s="2614"/>
      <c r="F114" s="2488"/>
      <c r="G114" s="2488"/>
      <c r="H114" s="3226">
        <v>17</v>
      </c>
      <c r="I114" s="2488"/>
      <c r="J114" s="2488"/>
      <c r="K114" s="2488"/>
      <c r="L114" s="2488"/>
      <c r="M114" s="2513">
        <v>0</v>
      </c>
      <c r="N114" s="2514">
        <v>826</v>
      </c>
      <c r="O114" s="2505">
        <v>826</v>
      </c>
      <c r="P114" s="2479" t="s">
        <v>12206</v>
      </c>
    </row>
    <row r="115" spans="1:16" ht="15" customHeight="1" x14ac:dyDescent="0.2">
      <c r="A115" s="2769">
        <v>2.08</v>
      </c>
      <c r="B115" s="2512" t="s">
        <v>9112</v>
      </c>
      <c r="C115" s="2503" t="s">
        <v>190</v>
      </c>
      <c r="D115" s="2614"/>
      <c r="E115" s="2614"/>
      <c r="F115" s="2488"/>
      <c r="G115" s="2488"/>
      <c r="H115" s="3224">
        <v>4113</v>
      </c>
      <c r="I115" s="2488"/>
      <c r="J115" s="2488"/>
      <c r="K115" s="2488"/>
      <c r="L115" s="2488"/>
      <c r="M115" s="2513">
        <v>577620</v>
      </c>
      <c r="N115" s="2513">
        <v>0</v>
      </c>
      <c r="O115" s="2505">
        <v>577620</v>
      </c>
      <c r="P115" s="2479" t="s">
        <v>12207</v>
      </c>
    </row>
    <row r="116" spans="1:16" ht="15" customHeight="1" x14ac:dyDescent="0.2">
      <c r="A116" s="2769">
        <v>2.09</v>
      </c>
      <c r="B116" s="2512" t="s">
        <v>12208</v>
      </c>
      <c r="C116" s="2503" t="s">
        <v>191</v>
      </c>
      <c r="D116" s="2614"/>
      <c r="E116" s="2614"/>
      <c r="F116" s="2488"/>
      <c r="G116" s="2488"/>
      <c r="H116" s="3224">
        <v>1142</v>
      </c>
      <c r="I116" s="2488"/>
      <c r="J116" s="2488"/>
      <c r="K116" s="2488"/>
      <c r="L116" s="2488"/>
      <c r="M116" s="2513">
        <v>72386</v>
      </c>
      <c r="N116" s="2513">
        <v>0</v>
      </c>
      <c r="O116" s="2505">
        <v>72386</v>
      </c>
      <c r="P116" s="2479" t="s">
        <v>12209</v>
      </c>
    </row>
    <row r="117" spans="1:16" ht="15" customHeight="1" x14ac:dyDescent="0.2">
      <c r="A117" s="2769">
        <v>2.1</v>
      </c>
      <c r="B117" s="2512" t="s">
        <v>9457</v>
      </c>
      <c r="C117" s="2503" t="s">
        <v>191</v>
      </c>
      <c r="D117" s="2614"/>
      <c r="E117" s="2614"/>
      <c r="F117" s="2488"/>
      <c r="G117" s="2488"/>
      <c r="H117" s="3224">
        <v>15</v>
      </c>
      <c r="I117" s="2488"/>
      <c r="J117" s="2488"/>
      <c r="K117" s="2488"/>
      <c r="L117" s="2488"/>
      <c r="M117" s="2513">
        <v>672</v>
      </c>
      <c r="N117" s="2513">
        <v>0</v>
      </c>
      <c r="O117" s="2505">
        <v>672</v>
      </c>
      <c r="P117" s="2479" t="s">
        <v>12210</v>
      </c>
    </row>
    <row r="118" spans="1:16" ht="15" customHeight="1" x14ac:dyDescent="0.2">
      <c r="A118" s="2769">
        <v>2.11</v>
      </c>
      <c r="B118" s="2512" t="s">
        <v>9458</v>
      </c>
      <c r="C118" s="2503" t="s">
        <v>191</v>
      </c>
      <c r="D118" s="2614"/>
      <c r="E118" s="2614"/>
      <c r="F118" s="2614"/>
      <c r="G118" s="2614"/>
      <c r="H118" s="3224">
        <v>249980</v>
      </c>
      <c r="I118" s="2488"/>
      <c r="J118" s="2488"/>
      <c r="K118" s="2488"/>
      <c r="L118" s="2488"/>
      <c r="M118" s="2513">
        <v>6796195</v>
      </c>
      <c r="N118" s="2514">
        <v>904924</v>
      </c>
      <c r="O118" s="2505">
        <v>7701119</v>
      </c>
      <c r="P118" s="2479" t="s">
        <v>12211</v>
      </c>
    </row>
    <row r="119" spans="1:16" ht="15" customHeight="1" x14ac:dyDescent="0.2">
      <c r="A119" s="2769">
        <v>2.12</v>
      </c>
      <c r="B119" s="2512" t="s">
        <v>9458</v>
      </c>
      <c r="C119" s="2947" t="s">
        <v>196</v>
      </c>
      <c r="D119" s="2614"/>
      <c r="E119" s="2614"/>
      <c r="F119" s="2488"/>
      <c r="G119" s="2488"/>
      <c r="H119" s="3224">
        <v>751</v>
      </c>
      <c r="I119" s="2488"/>
      <c r="J119" s="2488"/>
      <c r="K119" s="2488"/>
      <c r="L119" s="2488"/>
      <c r="M119" s="2513">
        <v>0</v>
      </c>
      <c r="N119" s="2514">
        <v>16570</v>
      </c>
      <c r="O119" s="2505">
        <v>16570</v>
      </c>
      <c r="P119" s="2479" t="s">
        <v>12212</v>
      </c>
    </row>
    <row r="120" spans="1:16" ht="15" customHeight="1" x14ac:dyDescent="0.2">
      <c r="A120" s="2769">
        <v>2.13</v>
      </c>
      <c r="B120" s="2512" t="s">
        <v>9113</v>
      </c>
      <c r="C120" s="2503" t="s">
        <v>190</v>
      </c>
      <c r="D120" s="2614"/>
      <c r="E120" s="2614"/>
      <c r="F120" s="2488"/>
      <c r="G120" s="2488"/>
      <c r="H120" s="3224">
        <v>150594</v>
      </c>
      <c r="I120" s="2488"/>
      <c r="J120" s="2488"/>
      <c r="K120" s="2488"/>
      <c r="L120" s="2488"/>
      <c r="M120" s="2513">
        <v>5116971</v>
      </c>
      <c r="N120" s="2514">
        <v>9010</v>
      </c>
      <c r="O120" s="2505">
        <v>5125981</v>
      </c>
      <c r="P120" s="2479" t="s">
        <v>12213</v>
      </c>
    </row>
    <row r="121" spans="1:16" ht="15" customHeight="1" x14ac:dyDescent="0.2">
      <c r="A121" s="2769">
        <v>2.14</v>
      </c>
      <c r="B121" s="2512" t="s">
        <v>9113</v>
      </c>
      <c r="C121" s="2947" t="s">
        <v>196</v>
      </c>
      <c r="D121" s="2614"/>
      <c r="E121" s="2614"/>
      <c r="F121" s="2488"/>
      <c r="G121" s="2488"/>
      <c r="H121" s="3224">
        <v>1609</v>
      </c>
      <c r="I121" s="2488"/>
      <c r="J121" s="2488"/>
      <c r="K121" s="2488"/>
      <c r="L121" s="2488"/>
      <c r="M121" s="2513">
        <v>0</v>
      </c>
      <c r="N121" s="2514">
        <v>48780</v>
      </c>
      <c r="O121" s="2505">
        <v>48780</v>
      </c>
      <c r="P121" s="2479" t="s">
        <v>12214</v>
      </c>
    </row>
    <row r="122" spans="1:16" ht="15" customHeight="1" x14ac:dyDescent="0.2">
      <c r="A122" s="2769">
        <v>2.15</v>
      </c>
      <c r="B122" s="2512" t="s">
        <v>9459</v>
      </c>
      <c r="C122" s="2503" t="s">
        <v>191</v>
      </c>
      <c r="D122" s="2614"/>
      <c r="E122" s="2614"/>
      <c r="F122" s="2488"/>
      <c r="G122" s="2488"/>
      <c r="H122" s="3224">
        <v>207983</v>
      </c>
      <c r="I122" s="2488"/>
      <c r="J122" s="2488"/>
      <c r="K122" s="2488"/>
      <c r="L122" s="2488"/>
      <c r="M122" s="2513">
        <v>11104044</v>
      </c>
      <c r="N122" s="2513">
        <v>0</v>
      </c>
      <c r="O122" s="2505">
        <v>11104044</v>
      </c>
      <c r="P122" s="2479" t="s">
        <v>12215</v>
      </c>
    </row>
    <row r="123" spans="1:16" ht="15" customHeight="1" x14ac:dyDescent="0.2">
      <c r="A123" s="2769">
        <v>2.16</v>
      </c>
      <c r="B123" s="2512" t="s">
        <v>9460</v>
      </c>
      <c r="C123" s="2503" t="s">
        <v>191</v>
      </c>
      <c r="D123" s="2614"/>
      <c r="E123" s="2614"/>
      <c r="F123" s="2488"/>
      <c r="G123" s="2488"/>
      <c r="H123" s="3224">
        <v>67</v>
      </c>
      <c r="I123" s="2488"/>
      <c r="J123" s="2488"/>
      <c r="K123" s="2488"/>
      <c r="L123" s="2488"/>
      <c r="M123" s="2513">
        <v>454</v>
      </c>
      <c r="N123" s="2513">
        <v>0</v>
      </c>
      <c r="O123" s="2505">
        <v>454</v>
      </c>
      <c r="P123" s="2479" t="s">
        <v>12216</v>
      </c>
    </row>
    <row r="124" spans="1:16" ht="15" customHeight="1" x14ac:dyDescent="0.2">
      <c r="A124" s="2769">
        <v>2.17</v>
      </c>
      <c r="B124" s="2502" t="s">
        <v>9462</v>
      </c>
      <c r="C124" s="2503" t="s">
        <v>191</v>
      </c>
      <c r="D124" s="2614"/>
      <c r="E124" s="2614"/>
      <c r="F124" s="2488"/>
      <c r="G124" s="2488"/>
      <c r="H124" s="3224">
        <v>1154</v>
      </c>
      <c r="I124" s="2488"/>
      <c r="J124" s="2488"/>
      <c r="K124" s="2488"/>
      <c r="L124" s="2488"/>
      <c r="M124" s="2513">
        <v>68504</v>
      </c>
      <c r="N124" s="2513">
        <v>0</v>
      </c>
      <c r="O124" s="2505">
        <v>68504</v>
      </c>
      <c r="P124" s="2479" t="s">
        <v>12217</v>
      </c>
    </row>
    <row r="125" spans="1:16" ht="15" customHeight="1" x14ac:dyDescent="0.2">
      <c r="A125" s="2769">
        <v>2.1800000000000002</v>
      </c>
      <c r="B125" s="2502" t="s">
        <v>9463</v>
      </c>
      <c r="C125" s="2503" t="s">
        <v>191</v>
      </c>
      <c r="D125" s="2614"/>
      <c r="E125" s="2614"/>
      <c r="F125" s="2488"/>
      <c r="G125" s="2488"/>
      <c r="H125" s="3224">
        <v>691</v>
      </c>
      <c r="I125" s="2488"/>
      <c r="J125" s="2488"/>
      <c r="K125" s="2488"/>
      <c r="L125" s="2488"/>
      <c r="M125" s="2513">
        <v>43890</v>
      </c>
      <c r="N125" s="2513">
        <v>0</v>
      </c>
      <c r="O125" s="2505">
        <v>43890</v>
      </c>
      <c r="P125" s="2479" t="s">
        <v>12218</v>
      </c>
    </row>
    <row r="126" spans="1:16" ht="15" customHeight="1" x14ac:dyDescent="0.2">
      <c r="A126" s="2769">
        <v>2.19</v>
      </c>
      <c r="B126" s="2502" t="s">
        <v>9464</v>
      </c>
      <c r="C126" s="2503" t="s">
        <v>191</v>
      </c>
      <c r="D126" s="2614"/>
      <c r="E126" s="2614"/>
      <c r="F126" s="2488"/>
      <c r="G126" s="2488"/>
      <c r="H126" s="3224">
        <v>381</v>
      </c>
      <c r="I126" s="2488"/>
      <c r="J126" s="2488"/>
      <c r="K126" s="2488"/>
      <c r="L126" s="2488"/>
      <c r="M126" s="2513">
        <v>24190</v>
      </c>
      <c r="N126" s="2513">
        <v>0</v>
      </c>
      <c r="O126" s="2505">
        <v>24190</v>
      </c>
      <c r="P126" s="2479" t="s">
        <v>12219</v>
      </c>
    </row>
    <row r="127" spans="1:16" ht="15" customHeight="1" x14ac:dyDescent="0.2">
      <c r="A127" s="2769">
        <v>2.2000000000000002</v>
      </c>
      <c r="B127" s="2502" t="s">
        <v>12220</v>
      </c>
      <c r="C127" s="2503" t="s">
        <v>191</v>
      </c>
      <c r="D127" s="2614"/>
      <c r="E127" s="2614"/>
      <c r="F127" s="2488"/>
      <c r="G127" s="2488"/>
      <c r="H127" s="3224">
        <v>7</v>
      </c>
      <c r="I127" s="2488"/>
      <c r="J127" s="2488"/>
      <c r="K127" s="2488"/>
      <c r="L127" s="2488"/>
      <c r="M127" s="2513">
        <v>146</v>
      </c>
      <c r="N127" s="2513">
        <v>0</v>
      </c>
      <c r="O127" s="2505">
        <v>146</v>
      </c>
      <c r="P127" s="2479" t="s">
        <v>12221</v>
      </c>
    </row>
    <row r="128" spans="1:16" ht="15" customHeight="1" x14ac:dyDescent="0.2">
      <c r="A128" s="2769">
        <v>2.21</v>
      </c>
      <c r="B128" s="2512" t="s">
        <v>9465</v>
      </c>
      <c r="C128" s="2503" t="s">
        <v>191</v>
      </c>
      <c r="D128" s="2614"/>
      <c r="E128" s="2614"/>
      <c r="F128" s="2488"/>
      <c r="G128" s="2488"/>
      <c r="H128" s="3226">
        <v>1402</v>
      </c>
      <c r="I128" s="2488"/>
      <c r="J128" s="2488"/>
      <c r="K128" s="2488"/>
      <c r="L128" s="2488"/>
      <c r="M128" s="2513">
        <v>95520</v>
      </c>
      <c r="N128" s="2513">
        <v>0</v>
      </c>
      <c r="O128" s="2505">
        <v>95520</v>
      </c>
      <c r="P128" s="2479" t="s">
        <v>12222</v>
      </c>
    </row>
    <row r="129" spans="1:16" ht="15" customHeight="1" x14ac:dyDescent="0.2">
      <c r="A129" s="2769">
        <v>2.2200000000000002</v>
      </c>
      <c r="B129" s="2512" t="s">
        <v>9466</v>
      </c>
      <c r="C129" s="2503" t="s">
        <v>192</v>
      </c>
      <c r="D129" s="2614"/>
      <c r="E129" s="2614"/>
      <c r="F129" s="2488"/>
      <c r="G129" s="2488"/>
      <c r="H129" s="3224">
        <v>6474</v>
      </c>
      <c r="I129" s="2488"/>
      <c r="J129" s="2488"/>
      <c r="K129" s="2488"/>
      <c r="L129" s="2488"/>
      <c r="M129" s="2513">
        <v>311744</v>
      </c>
      <c r="N129" s="2513">
        <v>0</v>
      </c>
      <c r="O129" s="2505">
        <v>311744</v>
      </c>
      <c r="P129" s="2479" t="s">
        <v>12223</v>
      </c>
    </row>
    <row r="130" spans="1:16" ht="15" customHeight="1" x14ac:dyDescent="0.2">
      <c r="A130" s="2769">
        <v>2.23</v>
      </c>
      <c r="B130" s="2512" t="s">
        <v>9467</v>
      </c>
      <c r="C130" s="2503" t="s">
        <v>191</v>
      </c>
      <c r="D130" s="2614"/>
      <c r="E130" s="2614"/>
      <c r="F130" s="2488"/>
      <c r="G130" s="2488"/>
      <c r="H130" s="3224">
        <v>4151</v>
      </c>
      <c r="I130" s="2488"/>
      <c r="J130" s="2488"/>
      <c r="K130" s="2488"/>
      <c r="L130" s="2488"/>
      <c r="M130" s="2513">
        <v>152418</v>
      </c>
      <c r="N130" s="2514">
        <v>46320</v>
      </c>
      <c r="O130" s="2505">
        <v>198738</v>
      </c>
      <c r="P130" s="2479" t="s">
        <v>12224</v>
      </c>
    </row>
    <row r="131" spans="1:16" ht="15" customHeight="1" x14ac:dyDescent="0.2">
      <c r="A131" s="2769">
        <v>2.2400000000000002</v>
      </c>
      <c r="B131" s="2512" t="s">
        <v>9468</v>
      </c>
      <c r="C131" s="2503" t="s">
        <v>191</v>
      </c>
      <c r="D131" s="2614"/>
      <c r="E131" s="2771">
        <v>3</v>
      </c>
      <c r="F131" s="2513">
        <v>3</v>
      </c>
      <c r="G131" s="2513">
        <v>0</v>
      </c>
      <c r="H131" s="3224">
        <v>5917</v>
      </c>
      <c r="I131" s="2488"/>
      <c r="J131" s="2488"/>
      <c r="K131" s="2488"/>
      <c r="L131" s="2513">
        <v>274868</v>
      </c>
      <c r="M131" s="2513">
        <v>276326</v>
      </c>
      <c r="N131" s="2513">
        <v>0</v>
      </c>
      <c r="O131" s="2505">
        <v>551194</v>
      </c>
      <c r="P131" s="2479" t="s">
        <v>12225</v>
      </c>
    </row>
    <row r="132" spans="1:16" ht="15" customHeight="1" x14ac:dyDescent="0.2">
      <c r="A132" s="2769">
        <v>2.25</v>
      </c>
      <c r="B132" s="2512" t="s">
        <v>9469</v>
      </c>
      <c r="C132" s="2503" t="s">
        <v>191</v>
      </c>
      <c r="D132" s="2614"/>
      <c r="E132" s="2614"/>
      <c r="F132" s="2614"/>
      <c r="G132" s="2614"/>
      <c r="H132" s="3224">
        <v>161054</v>
      </c>
      <c r="I132" s="2488"/>
      <c r="J132" s="2488"/>
      <c r="K132" s="2488"/>
      <c r="L132" s="2488"/>
      <c r="M132" s="2513">
        <v>9732379</v>
      </c>
      <c r="N132" s="2513">
        <v>0</v>
      </c>
      <c r="O132" s="2505">
        <v>9732379</v>
      </c>
      <c r="P132" s="2479" t="s">
        <v>12226</v>
      </c>
    </row>
    <row r="133" spans="1:16" ht="15" customHeight="1" x14ac:dyDescent="0.2">
      <c r="A133" s="2769">
        <v>2.2599999999999998</v>
      </c>
      <c r="B133" s="2512" t="s">
        <v>9470</v>
      </c>
      <c r="C133" s="2489" t="s">
        <v>190</v>
      </c>
      <c r="D133" s="2614"/>
      <c r="E133" s="2614"/>
      <c r="F133" s="2488"/>
      <c r="G133" s="2488"/>
      <c r="H133" s="3224">
        <v>100596</v>
      </c>
      <c r="I133" s="2488"/>
      <c r="J133" s="2488"/>
      <c r="K133" s="2488"/>
      <c r="L133" s="2488"/>
      <c r="M133" s="2513">
        <v>11483786</v>
      </c>
      <c r="N133" s="2513">
        <v>0</v>
      </c>
      <c r="O133" s="2505">
        <v>11483786</v>
      </c>
      <c r="P133" s="2479" t="s">
        <v>12227</v>
      </c>
    </row>
    <row r="134" spans="1:16" ht="15" customHeight="1" x14ac:dyDescent="0.2">
      <c r="A134" s="2769">
        <v>2.27</v>
      </c>
      <c r="B134" s="2512" t="s">
        <v>9471</v>
      </c>
      <c r="C134" s="2503" t="s">
        <v>191</v>
      </c>
      <c r="D134" s="2614"/>
      <c r="E134" s="2614"/>
      <c r="F134" s="2488"/>
      <c r="G134" s="2488"/>
      <c r="H134" s="3224">
        <v>237</v>
      </c>
      <c r="I134" s="2488"/>
      <c r="J134" s="2488"/>
      <c r="K134" s="2488"/>
      <c r="L134" s="2488"/>
      <c r="M134" s="2513">
        <v>6591</v>
      </c>
      <c r="N134" s="2513">
        <v>0</v>
      </c>
      <c r="O134" s="2505">
        <v>6591</v>
      </c>
      <c r="P134" s="2479" t="s">
        <v>12228</v>
      </c>
    </row>
    <row r="135" spans="1:16" ht="15" customHeight="1" x14ac:dyDescent="0.2">
      <c r="A135" s="2769">
        <v>2.2799999999999998</v>
      </c>
      <c r="B135" s="2512" t="s">
        <v>9471</v>
      </c>
      <c r="C135" s="2947" t="s">
        <v>196</v>
      </c>
      <c r="D135" s="2614"/>
      <c r="E135" s="2614"/>
      <c r="F135" s="2488"/>
      <c r="G135" s="2488"/>
      <c r="H135" s="3224">
        <v>0</v>
      </c>
      <c r="I135" s="2488"/>
      <c r="J135" s="2488"/>
      <c r="K135" s="2488"/>
      <c r="L135" s="2488"/>
      <c r="M135" s="2513">
        <v>0</v>
      </c>
      <c r="N135" s="2514">
        <v>5</v>
      </c>
      <c r="O135" s="2505">
        <v>5</v>
      </c>
      <c r="P135" s="2479" t="s">
        <v>12229</v>
      </c>
    </row>
    <row r="136" spans="1:16" ht="15" customHeight="1" x14ac:dyDescent="0.2">
      <c r="A136" s="2769">
        <v>2.29</v>
      </c>
      <c r="B136" s="2512" t="s">
        <v>9114</v>
      </c>
      <c r="C136" s="2503" t="s">
        <v>190</v>
      </c>
      <c r="D136" s="2614"/>
      <c r="E136" s="2614"/>
      <c r="F136" s="2488"/>
      <c r="G136" s="2488"/>
      <c r="H136" s="3224">
        <v>212626</v>
      </c>
      <c r="I136" s="2488"/>
      <c r="J136" s="2488"/>
      <c r="K136" s="2488"/>
      <c r="L136" s="2488"/>
      <c r="M136" s="2513">
        <v>18797243</v>
      </c>
      <c r="N136" s="2513">
        <v>0</v>
      </c>
      <c r="O136" s="2505">
        <v>18797243</v>
      </c>
      <c r="P136" s="2479" t="s">
        <v>12230</v>
      </c>
    </row>
    <row r="137" spans="1:16" ht="15" customHeight="1" x14ac:dyDescent="0.2">
      <c r="A137" s="2769">
        <v>2.2999999999999998</v>
      </c>
      <c r="B137" s="2512" t="s">
        <v>9473</v>
      </c>
      <c r="C137" s="2503" t="s">
        <v>191</v>
      </c>
      <c r="D137" s="2614"/>
      <c r="E137" s="2614"/>
      <c r="F137" s="2488"/>
      <c r="G137" s="2488"/>
      <c r="H137" s="3224">
        <v>3981</v>
      </c>
      <c r="I137" s="2488"/>
      <c r="J137" s="2488"/>
      <c r="K137" s="2488"/>
      <c r="L137" s="2488"/>
      <c r="M137" s="2513">
        <v>253003</v>
      </c>
      <c r="N137" s="2513">
        <v>0</v>
      </c>
      <c r="O137" s="2505">
        <v>253003</v>
      </c>
      <c r="P137" s="2479" t="s">
        <v>12231</v>
      </c>
    </row>
    <row r="138" spans="1:16" ht="15" customHeight="1" x14ac:dyDescent="0.2">
      <c r="A138" s="2769">
        <v>2.31</v>
      </c>
      <c r="B138" s="2502" t="s">
        <v>9474</v>
      </c>
      <c r="C138" s="2503" t="s">
        <v>191</v>
      </c>
      <c r="D138" s="2614"/>
      <c r="E138" s="2614"/>
      <c r="F138" s="2488"/>
      <c r="G138" s="2488"/>
      <c r="H138" s="3224">
        <v>305297</v>
      </c>
      <c r="I138" s="2488"/>
      <c r="J138" s="2488"/>
      <c r="K138" s="2488"/>
      <c r="L138" s="2488"/>
      <c r="M138" s="2513">
        <v>26199461</v>
      </c>
      <c r="N138" s="2513">
        <v>0</v>
      </c>
      <c r="O138" s="2505">
        <v>26199461</v>
      </c>
      <c r="P138" s="2479" t="s">
        <v>12232</v>
      </c>
    </row>
    <row r="139" spans="1:16" ht="15" customHeight="1" x14ac:dyDescent="0.2">
      <c r="A139" s="2769">
        <v>2.3199999999999998</v>
      </c>
      <c r="B139" s="2502" t="s">
        <v>9474</v>
      </c>
      <c r="C139" s="2947" t="s">
        <v>196</v>
      </c>
      <c r="D139" s="2614"/>
      <c r="E139" s="2614"/>
      <c r="F139" s="2488"/>
      <c r="G139" s="2488"/>
      <c r="H139" s="3224">
        <v>37</v>
      </c>
      <c r="I139" s="2488"/>
      <c r="J139" s="2488"/>
      <c r="K139" s="2488"/>
      <c r="L139" s="2488"/>
      <c r="M139" s="2513">
        <v>0</v>
      </c>
      <c r="N139" s="2514">
        <v>3856</v>
      </c>
      <c r="O139" s="2505">
        <v>3856</v>
      </c>
      <c r="P139" s="2479" t="s">
        <v>12233</v>
      </c>
    </row>
    <row r="140" spans="1:16" ht="15" customHeight="1" x14ac:dyDescent="0.2">
      <c r="A140" s="2769">
        <v>2.33</v>
      </c>
      <c r="B140" s="2502" t="s">
        <v>9475</v>
      </c>
      <c r="C140" s="2503" t="s">
        <v>191</v>
      </c>
      <c r="D140" s="2614"/>
      <c r="E140" s="2614"/>
      <c r="F140" s="2488"/>
      <c r="G140" s="2488"/>
      <c r="H140" s="3224">
        <v>21258</v>
      </c>
      <c r="I140" s="2488"/>
      <c r="J140" s="2488"/>
      <c r="K140" s="2488"/>
      <c r="L140" s="2488"/>
      <c r="M140" s="2513">
        <v>1653583</v>
      </c>
      <c r="N140" s="2513">
        <v>0</v>
      </c>
      <c r="O140" s="2505">
        <v>1653583</v>
      </c>
      <c r="P140" s="2479" t="s">
        <v>12234</v>
      </c>
    </row>
    <row r="141" spans="1:16" ht="15" customHeight="1" x14ac:dyDescent="0.2">
      <c r="A141" s="2769">
        <v>2.34</v>
      </c>
      <c r="B141" s="2502" t="s">
        <v>9476</v>
      </c>
      <c r="C141" s="2503" t="s">
        <v>191</v>
      </c>
      <c r="D141" s="2614"/>
      <c r="E141" s="2771">
        <v>3</v>
      </c>
      <c r="F141" s="2513">
        <v>3</v>
      </c>
      <c r="G141" s="2513">
        <v>1</v>
      </c>
      <c r="H141" s="3224">
        <v>6310</v>
      </c>
      <c r="I141" s="2488"/>
      <c r="J141" s="2488"/>
      <c r="K141" s="2488"/>
      <c r="L141" s="2513">
        <v>285266</v>
      </c>
      <c r="M141" s="2513">
        <v>294680</v>
      </c>
      <c r="N141" s="2513">
        <v>0</v>
      </c>
      <c r="O141" s="2505">
        <v>579946</v>
      </c>
      <c r="P141" s="2479" t="s">
        <v>12235</v>
      </c>
    </row>
    <row r="142" spans="1:16" ht="15" customHeight="1" x14ac:dyDescent="0.2">
      <c r="A142" s="2769">
        <v>2.35</v>
      </c>
      <c r="B142" s="2512" t="s">
        <v>9477</v>
      </c>
      <c r="C142" s="2503" t="s">
        <v>191</v>
      </c>
      <c r="D142" s="2614"/>
      <c r="E142" s="2614"/>
      <c r="F142" s="2488"/>
      <c r="G142" s="2488"/>
      <c r="H142" s="3226">
        <v>268900</v>
      </c>
      <c r="I142" s="2488"/>
      <c r="J142" s="2488"/>
      <c r="K142" s="2488"/>
      <c r="L142" s="2488"/>
      <c r="M142" s="2513">
        <v>7010236</v>
      </c>
      <c r="N142" s="2514">
        <v>1056777</v>
      </c>
      <c r="O142" s="2505">
        <v>8067013</v>
      </c>
      <c r="P142" s="2479" t="s">
        <v>12236</v>
      </c>
    </row>
    <row r="143" spans="1:16" ht="15" customHeight="1" x14ac:dyDescent="0.2">
      <c r="A143" s="2769">
        <v>2.36</v>
      </c>
      <c r="B143" s="2512" t="s">
        <v>9477</v>
      </c>
      <c r="C143" s="2947" t="s">
        <v>196</v>
      </c>
      <c r="D143" s="2614"/>
      <c r="E143" s="2614"/>
      <c r="F143" s="2488"/>
      <c r="G143" s="2488"/>
      <c r="H143" s="3224">
        <v>0</v>
      </c>
      <c r="I143" s="2488"/>
      <c r="J143" s="2488"/>
      <c r="K143" s="2488"/>
      <c r="L143" s="2488"/>
      <c r="M143" s="2513">
        <v>0</v>
      </c>
      <c r="N143" s="2514">
        <v>227567</v>
      </c>
      <c r="O143" s="2505">
        <v>227567</v>
      </c>
      <c r="P143" s="2479" t="s">
        <v>12237</v>
      </c>
    </row>
    <row r="144" spans="1:16" ht="15" customHeight="1" x14ac:dyDescent="0.2">
      <c r="A144" s="2769">
        <v>2.37</v>
      </c>
      <c r="B144" s="2512" t="s">
        <v>9478</v>
      </c>
      <c r="C144" s="2503" t="s">
        <v>191</v>
      </c>
      <c r="D144" s="2614"/>
      <c r="E144" s="2614"/>
      <c r="F144" s="2488"/>
      <c r="G144" s="2488"/>
      <c r="H144" s="3224">
        <v>118751</v>
      </c>
      <c r="I144" s="2488"/>
      <c r="J144" s="2488"/>
      <c r="K144" s="2488"/>
      <c r="L144" s="2488"/>
      <c r="M144" s="2513">
        <v>2312345</v>
      </c>
      <c r="N144" s="2514">
        <v>1511688</v>
      </c>
      <c r="O144" s="2505">
        <v>3824033</v>
      </c>
      <c r="P144" s="2479" t="s">
        <v>12238</v>
      </c>
    </row>
    <row r="145" spans="1:16" ht="15" customHeight="1" x14ac:dyDescent="0.2">
      <c r="A145" s="2769">
        <v>2.38</v>
      </c>
      <c r="B145" s="2512" t="s">
        <v>9479</v>
      </c>
      <c r="C145" s="2503" t="s">
        <v>191</v>
      </c>
      <c r="D145" s="2614"/>
      <c r="E145" s="2614"/>
      <c r="F145" s="2488"/>
      <c r="G145" s="2488"/>
      <c r="H145" s="3224">
        <v>5629</v>
      </c>
      <c r="I145" s="2488"/>
      <c r="J145" s="2488"/>
      <c r="K145" s="2488"/>
      <c r="L145" s="2488"/>
      <c r="M145" s="2513">
        <v>339824</v>
      </c>
      <c r="N145" s="2513">
        <v>0</v>
      </c>
      <c r="O145" s="2505">
        <v>339824</v>
      </c>
      <c r="P145" s="2479" t="s">
        <v>12239</v>
      </c>
    </row>
    <row r="146" spans="1:16" ht="15" customHeight="1" x14ac:dyDescent="0.2">
      <c r="A146" s="2769">
        <v>2.39</v>
      </c>
      <c r="B146" s="2512" t="s">
        <v>9480</v>
      </c>
      <c r="C146" s="2503" t="s">
        <v>191</v>
      </c>
      <c r="D146" s="2614"/>
      <c r="E146" s="2614"/>
      <c r="F146" s="2614"/>
      <c r="G146" s="2614"/>
      <c r="H146" s="3224">
        <v>704</v>
      </c>
      <c r="I146" s="2488"/>
      <c r="J146" s="2488"/>
      <c r="K146" s="2488"/>
      <c r="L146" s="2488"/>
      <c r="M146" s="2513">
        <v>59370</v>
      </c>
      <c r="N146" s="2513">
        <v>0</v>
      </c>
      <c r="O146" s="2505">
        <v>59370</v>
      </c>
      <c r="P146" s="2479" t="s">
        <v>12240</v>
      </c>
    </row>
    <row r="147" spans="1:16" ht="15" customHeight="1" x14ac:dyDescent="0.2">
      <c r="A147" s="2769">
        <v>2.4</v>
      </c>
      <c r="B147" s="2512" t="s">
        <v>12083</v>
      </c>
      <c r="C147" s="2489" t="s">
        <v>192</v>
      </c>
      <c r="D147" s="2614"/>
      <c r="E147" s="2614"/>
      <c r="F147" s="2488"/>
      <c r="G147" s="2488"/>
      <c r="H147" s="3224">
        <v>0</v>
      </c>
      <c r="I147" s="2488"/>
      <c r="J147" s="2488"/>
      <c r="K147" s="2488"/>
      <c r="L147" s="2488"/>
      <c r="M147" s="2513">
        <v>0</v>
      </c>
      <c r="N147" s="2514">
        <v>20100019</v>
      </c>
      <c r="O147" s="2505">
        <v>20100019</v>
      </c>
      <c r="P147" s="2479" t="s">
        <v>12241</v>
      </c>
    </row>
    <row r="148" spans="1:16" ht="15" customHeight="1" x14ac:dyDescent="0.2">
      <c r="A148" s="2769">
        <v>2.41</v>
      </c>
      <c r="B148" s="2512" t="s">
        <v>12083</v>
      </c>
      <c r="C148" s="2947" t="s">
        <v>196</v>
      </c>
      <c r="D148" s="2614"/>
      <c r="E148" s="2614"/>
      <c r="F148" s="2488"/>
      <c r="G148" s="2488"/>
      <c r="H148" s="3224">
        <v>0</v>
      </c>
      <c r="I148" s="2488"/>
      <c r="J148" s="2488"/>
      <c r="K148" s="2488"/>
      <c r="L148" s="2488"/>
      <c r="M148" s="2513">
        <v>0</v>
      </c>
      <c r="N148" s="2514">
        <v>-6000</v>
      </c>
      <c r="O148" s="2505">
        <v>-6000</v>
      </c>
      <c r="P148" s="2479" t="s">
        <v>12242</v>
      </c>
    </row>
    <row r="149" spans="1:16" ht="15" customHeight="1" x14ac:dyDescent="0.2">
      <c r="A149" s="2769">
        <v>2.42</v>
      </c>
      <c r="B149" s="2512" t="s">
        <v>9481</v>
      </c>
      <c r="C149" s="2947" t="s">
        <v>188</v>
      </c>
      <c r="D149" s="2614"/>
      <c r="E149" s="2614"/>
      <c r="F149" s="2488"/>
      <c r="G149" s="2488"/>
      <c r="H149" s="3224">
        <v>8</v>
      </c>
      <c r="I149" s="2488"/>
      <c r="J149" s="2488"/>
      <c r="K149" s="2488"/>
      <c r="L149" s="2488"/>
      <c r="M149" s="2513">
        <v>677</v>
      </c>
      <c r="N149" s="2513">
        <v>0</v>
      </c>
      <c r="O149" s="2505">
        <v>677</v>
      </c>
      <c r="P149" s="2479" t="s">
        <v>12243</v>
      </c>
    </row>
    <row r="150" spans="1:16" ht="15" customHeight="1" x14ac:dyDescent="0.2">
      <c r="A150" s="2769">
        <v>2.4300000000000002</v>
      </c>
      <c r="B150" s="2512" t="s">
        <v>9118</v>
      </c>
      <c r="C150" s="2503" t="s">
        <v>190</v>
      </c>
      <c r="D150" s="2614"/>
      <c r="E150" s="2614"/>
      <c r="F150" s="2488"/>
      <c r="G150" s="2488"/>
      <c r="H150" s="3224">
        <v>180740</v>
      </c>
      <c r="I150" s="2488"/>
      <c r="J150" s="2488"/>
      <c r="K150" s="2488"/>
      <c r="L150" s="2488"/>
      <c r="M150" s="2513">
        <v>28375097</v>
      </c>
      <c r="N150" s="2513">
        <v>0</v>
      </c>
      <c r="O150" s="2505">
        <v>28375097</v>
      </c>
      <c r="P150" s="2479" t="s">
        <v>12244</v>
      </c>
    </row>
    <row r="151" spans="1:16" ht="15" customHeight="1" x14ac:dyDescent="0.2">
      <c r="A151" s="2769">
        <v>2.44</v>
      </c>
      <c r="B151" s="2512" t="s">
        <v>9482</v>
      </c>
      <c r="C151" s="2503" t="s">
        <v>191</v>
      </c>
      <c r="D151" s="2614"/>
      <c r="E151" s="2614"/>
      <c r="F151" s="2488"/>
      <c r="G151" s="2488"/>
      <c r="H151" s="3224">
        <v>204398</v>
      </c>
      <c r="I151" s="2488"/>
      <c r="J151" s="2488"/>
      <c r="K151" s="2488"/>
      <c r="L151" s="2488"/>
      <c r="M151" s="2513">
        <v>13134508</v>
      </c>
      <c r="N151" s="2513">
        <v>0</v>
      </c>
      <c r="O151" s="2505">
        <v>13134508</v>
      </c>
      <c r="P151" s="2479" t="s">
        <v>12245</v>
      </c>
    </row>
    <row r="152" spans="1:16" ht="15" customHeight="1" x14ac:dyDescent="0.2">
      <c r="A152" s="2769">
        <v>2.4500000000000002</v>
      </c>
      <c r="B152" s="2502" t="s">
        <v>9483</v>
      </c>
      <c r="C152" s="2503" t="s">
        <v>191</v>
      </c>
      <c r="D152" s="2614"/>
      <c r="E152" s="2614"/>
      <c r="F152" s="2488"/>
      <c r="G152" s="2488"/>
      <c r="H152" s="3224">
        <v>158073</v>
      </c>
      <c r="I152" s="2488"/>
      <c r="J152" s="2488"/>
      <c r="K152" s="2488"/>
      <c r="L152" s="2488"/>
      <c r="M152" s="2513">
        <v>8848446</v>
      </c>
      <c r="N152" s="2513">
        <v>0</v>
      </c>
      <c r="O152" s="2505">
        <v>8848446</v>
      </c>
      <c r="P152" s="2479" t="s">
        <v>12246</v>
      </c>
    </row>
    <row r="153" spans="1:16" ht="15" customHeight="1" x14ac:dyDescent="0.2">
      <c r="A153" s="2769">
        <v>2.46</v>
      </c>
      <c r="B153" s="2502" t="s">
        <v>9484</v>
      </c>
      <c r="C153" s="2503" t="s">
        <v>191</v>
      </c>
      <c r="D153" s="2614"/>
      <c r="E153" s="2614"/>
      <c r="F153" s="2488"/>
      <c r="G153" s="2488"/>
      <c r="H153" s="3224">
        <v>327</v>
      </c>
      <c r="I153" s="2488"/>
      <c r="J153" s="2488"/>
      <c r="K153" s="2488"/>
      <c r="L153" s="2488"/>
      <c r="M153" s="2513">
        <v>17144</v>
      </c>
      <c r="N153" s="2513">
        <v>0</v>
      </c>
      <c r="O153" s="2505">
        <v>17144</v>
      </c>
      <c r="P153" s="2479" t="s">
        <v>12247</v>
      </c>
    </row>
    <row r="154" spans="1:16" ht="15" customHeight="1" x14ac:dyDescent="0.2">
      <c r="A154" s="2769">
        <v>2.4700000000000002</v>
      </c>
      <c r="B154" s="2744" t="s">
        <v>9120</v>
      </c>
      <c r="C154" s="2489" t="s">
        <v>190</v>
      </c>
      <c r="D154" s="2614"/>
      <c r="E154" s="2614"/>
      <c r="F154" s="2488"/>
      <c r="G154" s="2488"/>
      <c r="H154" s="3224">
        <v>29593</v>
      </c>
      <c r="I154" s="2488"/>
      <c r="J154" s="2488"/>
      <c r="K154" s="2488"/>
      <c r="L154" s="2488"/>
      <c r="M154" s="2513">
        <v>1522370</v>
      </c>
      <c r="N154" s="2513">
        <v>0</v>
      </c>
      <c r="O154" s="2505">
        <v>1522370</v>
      </c>
      <c r="P154" s="2479" t="s">
        <v>12248</v>
      </c>
    </row>
    <row r="155" spans="1:16" ht="15" customHeight="1" x14ac:dyDescent="0.2">
      <c r="A155" s="2769">
        <v>2.48</v>
      </c>
      <c r="B155" s="2502" t="s">
        <v>11944</v>
      </c>
      <c r="C155" s="2503" t="s">
        <v>190</v>
      </c>
      <c r="D155" s="2614"/>
      <c r="E155" s="2614"/>
      <c r="F155" s="2488"/>
      <c r="G155" s="2488"/>
      <c r="H155" s="3224">
        <v>10680</v>
      </c>
      <c r="I155" s="2488"/>
      <c r="J155" s="2488"/>
      <c r="K155" s="2488"/>
      <c r="L155" s="2488"/>
      <c r="M155" s="2513">
        <v>453195</v>
      </c>
      <c r="N155" s="2513">
        <v>0</v>
      </c>
      <c r="O155" s="2505">
        <v>453195</v>
      </c>
      <c r="P155" s="2479" t="s">
        <v>12249</v>
      </c>
    </row>
    <row r="156" spans="1:16" ht="15" customHeight="1" x14ac:dyDescent="0.2">
      <c r="A156" s="2769">
        <v>2.4900000000000002</v>
      </c>
      <c r="B156" s="2512" t="s">
        <v>9485</v>
      </c>
      <c r="C156" s="2503" t="s">
        <v>191</v>
      </c>
      <c r="D156" s="2614"/>
      <c r="E156" s="2771">
        <v>1</v>
      </c>
      <c r="F156" s="2513">
        <v>0</v>
      </c>
      <c r="G156" s="2513">
        <v>0</v>
      </c>
      <c r="H156" s="3226">
        <v>2343</v>
      </c>
      <c r="I156" s="2488"/>
      <c r="J156" s="2488"/>
      <c r="K156" s="2488"/>
      <c r="L156" s="2513">
        <v>30497</v>
      </c>
      <c r="M156" s="2513">
        <v>375128</v>
      </c>
      <c r="N156" s="2513">
        <v>0</v>
      </c>
      <c r="O156" s="2505">
        <v>405625</v>
      </c>
      <c r="P156" s="2479" t="s">
        <v>12250</v>
      </c>
    </row>
    <row r="157" spans="1:16" ht="15" customHeight="1" x14ac:dyDescent="0.2">
      <c r="A157" s="2769">
        <v>2.5</v>
      </c>
      <c r="B157" s="2512" t="s">
        <v>12251</v>
      </c>
      <c r="C157" s="2503" t="s">
        <v>190</v>
      </c>
      <c r="D157" s="2614"/>
      <c r="E157" s="2614"/>
      <c r="F157" s="2488"/>
      <c r="G157" s="2488"/>
      <c r="H157" s="3224">
        <v>86</v>
      </c>
      <c r="I157" s="2488"/>
      <c r="J157" s="2488"/>
      <c r="K157" s="2488"/>
      <c r="L157" s="2488"/>
      <c r="M157" s="2513">
        <v>50022</v>
      </c>
      <c r="N157" s="2514">
        <v>2093</v>
      </c>
      <c r="O157" s="2505">
        <v>52115</v>
      </c>
      <c r="P157" s="2479" t="s">
        <v>12252</v>
      </c>
    </row>
    <row r="158" spans="1:16" ht="15" customHeight="1" x14ac:dyDescent="0.2">
      <c r="A158" s="2769">
        <v>2.5099999999999998</v>
      </c>
      <c r="B158" s="2512" t="s">
        <v>12251</v>
      </c>
      <c r="C158" s="2947" t="s">
        <v>196</v>
      </c>
      <c r="D158" s="2614"/>
      <c r="E158" s="2614"/>
      <c r="F158" s="2488"/>
      <c r="G158" s="2488"/>
      <c r="H158" s="3224">
        <v>-150</v>
      </c>
      <c r="I158" s="2488"/>
      <c r="J158" s="2488"/>
      <c r="K158" s="2488"/>
      <c r="L158" s="2488"/>
      <c r="M158" s="2513">
        <v>0</v>
      </c>
      <c r="N158" s="2514">
        <v>-2473</v>
      </c>
      <c r="O158" s="2505">
        <v>-2473</v>
      </c>
      <c r="P158" s="2479" t="s">
        <v>12253</v>
      </c>
    </row>
    <row r="159" spans="1:16" ht="15" customHeight="1" x14ac:dyDescent="0.2">
      <c r="A159" s="2769">
        <v>2.52</v>
      </c>
      <c r="B159" s="2512" t="s">
        <v>9486</v>
      </c>
      <c r="C159" s="2503" t="s">
        <v>192</v>
      </c>
      <c r="D159" s="2614"/>
      <c r="E159" s="2614"/>
      <c r="F159" s="2488"/>
      <c r="G159" s="2488"/>
      <c r="H159" s="3224">
        <v>22249</v>
      </c>
      <c r="I159" s="2488"/>
      <c r="J159" s="2488"/>
      <c r="K159" s="2488"/>
      <c r="L159" s="2488"/>
      <c r="M159" s="2513">
        <v>1520903</v>
      </c>
      <c r="N159" s="2513">
        <v>0</v>
      </c>
      <c r="O159" s="2505">
        <v>1520903</v>
      </c>
      <c r="P159" s="2479" t="s">
        <v>12254</v>
      </c>
    </row>
    <row r="160" spans="1:16" ht="15" customHeight="1" x14ac:dyDescent="0.2">
      <c r="A160" s="2769">
        <v>2.5299999999999998</v>
      </c>
      <c r="B160" s="2512" t="s">
        <v>9487</v>
      </c>
      <c r="C160" s="2503" t="s">
        <v>192</v>
      </c>
      <c r="D160" s="2614"/>
      <c r="E160" s="2614"/>
      <c r="F160" s="2614"/>
      <c r="G160" s="2614"/>
      <c r="H160" s="3224">
        <v>9908</v>
      </c>
      <c r="I160" s="2488"/>
      <c r="J160" s="2488"/>
      <c r="K160" s="2488"/>
      <c r="L160" s="2488"/>
      <c r="M160" s="2513">
        <v>685970</v>
      </c>
      <c r="N160" s="2513">
        <v>0</v>
      </c>
      <c r="O160" s="2505">
        <v>685970</v>
      </c>
      <c r="P160" s="2479" t="s">
        <v>12255</v>
      </c>
    </row>
    <row r="161" spans="1:16" ht="15" customHeight="1" x14ac:dyDescent="0.2">
      <c r="A161" s="2769">
        <v>2.54</v>
      </c>
      <c r="B161" s="2512" t="s">
        <v>9488</v>
      </c>
      <c r="C161" s="2489" t="s">
        <v>192</v>
      </c>
      <c r="D161" s="2614"/>
      <c r="E161" s="2614"/>
      <c r="F161" s="2488"/>
      <c r="G161" s="2488"/>
      <c r="H161" s="3224">
        <v>15538</v>
      </c>
      <c r="I161" s="2488"/>
      <c r="J161" s="2488"/>
      <c r="K161" s="2488"/>
      <c r="L161" s="2488"/>
      <c r="M161" s="2513">
        <v>1060745</v>
      </c>
      <c r="N161" s="2513">
        <v>0</v>
      </c>
      <c r="O161" s="2505">
        <v>1060745</v>
      </c>
      <c r="P161" s="2479" t="s">
        <v>12256</v>
      </c>
    </row>
    <row r="162" spans="1:16" ht="15" customHeight="1" x14ac:dyDescent="0.2">
      <c r="A162" s="2769">
        <v>2.5499999999999998</v>
      </c>
      <c r="B162" s="2512" t="s">
        <v>9489</v>
      </c>
      <c r="C162" s="2503" t="s">
        <v>192</v>
      </c>
      <c r="D162" s="2614"/>
      <c r="E162" s="2614"/>
      <c r="F162" s="2488"/>
      <c r="G162" s="2488"/>
      <c r="H162" s="3224">
        <v>11923</v>
      </c>
      <c r="I162" s="2488"/>
      <c r="J162" s="2488"/>
      <c r="K162" s="2488"/>
      <c r="L162" s="2488"/>
      <c r="M162" s="2513">
        <v>574036</v>
      </c>
      <c r="N162" s="2513">
        <v>0</v>
      </c>
      <c r="O162" s="2505">
        <v>574036</v>
      </c>
      <c r="P162" s="2479" t="s">
        <v>12257</v>
      </c>
    </row>
    <row r="163" spans="1:16" ht="15" customHeight="1" x14ac:dyDescent="0.2">
      <c r="A163" s="2769">
        <v>2.56</v>
      </c>
      <c r="B163" s="2512" t="s">
        <v>9490</v>
      </c>
      <c r="C163" s="2947" t="s">
        <v>192</v>
      </c>
      <c r="D163" s="2614"/>
      <c r="E163" s="2614"/>
      <c r="F163" s="2488"/>
      <c r="G163" s="2488"/>
      <c r="H163" s="3224">
        <v>0</v>
      </c>
      <c r="I163" s="2488"/>
      <c r="J163" s="2488"/>
      <c r="K163" s="2488"/>
      <c r="L163" s="2488"/>
      <c r="M163" s="2513">
        <v>0</v>
      </c>
      <c r="N163" s="2514">
        <v>7313400</v>
      </c>
      <c r="O163" s="2505">
        <v>7313400</v>
      </c>
      <c r="P163" s="2479" t="s">
        <v>12258</v>
      </c>
    </row>
    <row r="164" spans="1:16" ht="15" customHeight="1" x14ac:dyDescent="0.2">
      <c r="A164" s="2769">
        <v>2.57</v>
      </c>
      <c r="B164" s="2512" t="s">
        <v>9491</v>
      </c>
      <c r="C164" s="2503" t="s">
        <v>191</v>
      </c>
      <c r="D164" s="2614"/>
      <c r="E164" s="2614"/>
      <c r="F164" s="2488"/>
      <c r="G164" s="2488"/>
      <c r="H164" s="3224">
        <v>807</v>
      </c>
      <c r="I164" s="2488"/>
      <c r="J164" s="2488"/>
      <c r="K164" s="2488"/>
      <c r="L164" s="2488"/>
      <c r="M164" s="2513">
        <v>68135</v>
      </c>
      <c r="N164" s="2513">
        <v>0</v>
      </c>
      <c r="O164" s="2505">
        <v>68135</v>
      </c>
      <c r="P164" s="2479" t="s">
        <v>12259</v>
      </c>
    </row>
    <row r="165" spans="1:16" ht="15" customHeight="1" x14ac:dyDescent="0.2">
      <c r="A165" s="2769">
        <v>2.58</v>
      </c>
      <c r="B165" s="2512" t="s">
        <v>12260</v>
      </c>
      <c r="C165" s="2503" t="s">
        <v>191</v>
      </c>
      <c r="D165" s="2614"/>
      <c r="E165" s="2614"/>
      <c r="F165" s="2488"/>
      <c r="G165" s="2488"/>
      <c r="H165" s="3224">
        <v>897</v>
      </c>
      <c r="I165" s="2488"/>
      <c r="J165" s="2488"/>
      <c r="K165" s="2488"/>
      <c r="L165" s="2488"/>
      <c r="M165" s="2513">
        <v>59204</v>
      </c>
      <c r="N165" s="2513">
        <v>0</v>
      </c>
      <c r="O165" s="2505">
        <v>59204</v>
      </c>
      <c r="P165" s="2479" t="s">
        <v>12261</v>
      </c>
    </row>
    <row r="166" spans="1:16" ht="15" customHeight="1" x14ac:dyDescent="0.2">
      <c r="A166" s="2769">
        <v>2.59</v>
      </c>
      <c r="B166" s="2502" t="s">
        <v>9494</v>
      </c>
      <c r="C166" s="2503" t="s">
        <v>191</v>
      </c>
      <c r="D166" s="2614"/>
      <c r="E166" s="2614"/>
      <c r="F166" s="2488"/>
      <c r="G166" s="2488"/>
      <c r="H166" s="3224">
        <v>10498</v>
      </c>
      <c r="I166" s="2488"/>
      <c r="J166" s="2488"/>
      <c r="K166" s="2488"/>
      <c r="L166" s="2488"/>
      <c r="M166" s="2513">
        <v>787326</v>
      </c>
      <c r="N166" s="2513">
        <v>0</v>
      </c>
      <c r="O166" s="2505">
        <v>787326</v>
      </c>
      <c r="P166" s="2479" t="s">
        <v>12262</v>
      </c>
    </row>
    <row r="167" spans="1:16" ht="15" customHeight="1" x14ac:dyDescent="0.2">
      <c r="A167" s="2769">
        <v>2.6</v>
      </c>
      <c r="B167" s="2502" t="s">
        <v>9495</v>
      </c>
      <c r="C167" s="2503" t="s">
        <v>191</v>
      </c>
      <c r="D167" s="2614"/>
      <c r="E167" s="2614"/>
      <c r="F167" s="2488"/>
      <c r="G167" s="2488"/>
      <c r="H167" s="3224">
        <v>19729</v>
      </c>
      <c r="I167" s="2488"/>
      <c r="J167" s="2488"/>
      <c r="K167" s="2488"/>
      <c r="L167" s="2488"/>
      <c r="M167" s="2513">
        <v>950719</v>
      </c>
      <c r="N167" s="2513">
        <v>0</v>
      </c>
      <c r="O167" s="2505">
        <v>950719</v>
      </c>
      <c r="P167" s="2479" t="s">
        <v>12263</v>
      </c>
    </row>
    <row r="168" spans="1:16" ht="15" customHeight="1" x14ac:dyDescent="0.2">
      <c r="A168" s="2769">
        <v>2.61</v>
      </c>
      <c r="B168" s="2502" t="s">
        <v>9495</v>
      </c>
      <c r="C168" s="2947" t="s">
        <v>196</v>
      </c>
      <c r="D168" s="2614"/>
      <c r="E168" s="2614"/>
      <c r="F168" s="2488"/>
      <c r="G168" s="2488"/>
      <c r="H168" s="3224">
        <v>842</v>
      </c>
      <c r="I168" s="2488"/>
      <c r="J168" s="2488"/>
      <c r="K168" s="2488"/>
      <c r="L168" s="2488"/>
      <c r="M168" s="2513">
        <v>0</v>
      </c>
      <c r="N168" s="2514">
        <v>39230</v>
      </c>
      <c r="O168" s="2505">
        <v>39230</v>
      </c>
      <c r="P168" s="2479" t="s">
        <v>12264</v>
      </c>
    </row>
    <row r="169" spans="1:16" ht="15" customHeight="1" x14ac:dyDescent="0.2">
      <c r="A169" s="2769">
        <v>2.62</v>
      </c>
      <c r="B169" s="2502" t="s">
        <v>9496</v>
      </c>
      <c r="C169" s="2503" t="s">
        <v>191</v>
      </c>
      <c r="D169" s="2614"/>
      <c r="E169" s="2614"/>
      <c r="F169" s="2488"/>
      <c r="G169" s="2488"/>
      <c r="H169" s="3224">
        <v>24721</v>
      </c>
      <c r="I169" s="2488"/>
      <c r="J169" s="2488"/>
      <c r="K169" s="2488"/>
      <c r="L169" s="2488"/>
      <c r="M169" s="2513">
        <v>1189940</v>
      </c>
      <c r="N169" s="2513">
        <v>0</v>
      </c>
      <c r="O169" s="2505">
        <v>1189940</v>
      </c>
      <c r="P169" s="2479" t="s">
        <v>12265</v>
      </c>
    </row>
    <row r="170" spans="1:16" ht="15" customHeight="1" x14ac:dyDescent="0.2">
      <c r="A170" s="2769">
        <v>2.63</v>
      </c>
      <c r="B170" s="2512" t="s">
        <v>9497</v>
      </c>
      <c r="C170" s="2503" t="s">
        <v>191</v>
      </c>
      <c r="D170" s="2614"/>
      <c r="E170" s="2614"/>
      <c r="F170" s="2488"/>
      <c r="G170" s="2488"/>
      <c r="H170" s="3226">
        <v>19481</v>
      </c>
      <c r="I170" s="2488"/>
      <c r="J170" s="2488"/>
      <c r="K170" s="2488"/>
      <c r="L170" s="2488"/>
      <c r="M170" s="2513">
        <v>937643</v>
      </c>
      <c r="N170" s="2513">
        <v>0</v>
      </c>
      <c r="O170" s="2505">
        <v>937643</v>
      </c>
      <c r="P170" s="2479" t="s">
        <v>12266</v>
      </c>
    </row>
    <row r="171" spans="1:16" ht="15" customHeight="1" x14ac:dyDescent="0.2">
      <c r="A171" s="2769">
        <v>2.64</v>
      </c>
      <c r="B171" s="2512" t="s">
        <v>9498</v>
      </c>
      <c r="C171" s="2503" t="s">
        <v>191</v>
      </c>
      <c r="D171" s="2614"/>
      <c r="E171" s="2614"/>
      <c r="F171" s="2488"/>
      <c r="G171" s="2488"/>
      <c r="H171" s="3224">
        <v>24905</v>
      </c>
      <c r="I171" s="2488"/>
      <c r="J171" s="2488"/>
      <c r="K171" s="2488"/>
      <c r="L171" s="2488"/>
      <c r="M171" s="2513">
        <v>1199183</v>
      </c>
      <c r="N171" s="2513">
        <v>0</v>
      </c>
      <c r="O171" s="2505">
        <v>1199183</v>
      </c>
      <c r="P171" s="2479" t="s">
        <v>12267</v>
      </c>
    </row>
    <row r="172" spans="1:16" ht="15" customHeight="1" x14ac:dyDescent="0.2">
      <c r="A172" s="2769">
        <v>2.65</v>
      </c>
      <c r="B172" s="2512" t="s">
        <v>9499</v>
      </c>
      <c r="C172" s="2503" t="s">
        <v>191</v>
      </c>
      <c r="D172" s="2614"/>
      <c r="E172" s="2614"/>
      <c r="F172" s="2488"/>
      <c r="G172" s="2488"/>
      <c r="H172" s="3224">
        <v>26220</v>
      </c>
      <c r="I172" s="2488"/>
      <c r="J172" s="2488"/>
      <c r="K172" s="2488"/>
      <c r="L172" s="2488"/>
      <c r="M172" s="2513">
        <v>1262319</v>
      </c>
      <c r="N172" s="2513">
        <v>0</v>
      </c>
      <c r="O172" s="2505">
        <v>1262319</v>
      </c>
      <c r="P172" s="2479" t="s">
        <v>12268</v>
      </c>
    </row>
    <row r="173" spans="1:16" ht="15" customHeight="1" x14ac:dyDescent="0.2">
      <c r="A173" s="2769">
        <v>2.66</v>
      </c>
      <c r="B173" s="2512" t="s">
        <v>9500</v>
      </c>
      <c r="C173" s="2503" t="s">
        <v>191</v>
      </c>
      <c r="D173" s="2614"/>
      <c r="E173" s="2614"/>
      <c r="F173" s="2488"/>
      <c r="G173" s="2488"/>
      <c r="H173" s="3224">
        <v>15325</v>
      </c>
      <c r="I173" s="2488"/>
      <c r="J173" s="2488"/>
      <c r="K173" s="2488"/>
      <c r="L173" s="2488"/>
      <c r="M173" s="2513">
        <v>516071</v>
      </c>
      <c r="N173" s="2513">
        <v>0</v>
      </c>
      <c r="O173" s="2505">
        <v>516071</v>
      </c>
      <c r="P173" s="2479" t="s">
        <v>12269</v>
      </c>
    </row>
    <row r="174" spans="1:16" ht="15" customHeight="1" x14ac:dyDescent="0.2">
      <c r="A174" s="2769">
        <v>2.67</v>
      </c>
      <c r="B174" s="2512" t="s">
        <v>9501</v>
      </c>
      <c r="C174" s="2503" t="s">
        <v>191</v>
      </c>
      <c r="D174" s="2614"/>
      <c r="E174" s="2614"/>
      <c r="F174" s="2614"/>
      <c r="G174" s="2614"/>
      <c r="H174" s="3224">
        <v>14919</v>
      </c>
      <c r="I174" s="2488"/>
      <c r="J174" s="2488"/>
      <c r="K174" s="2488"/>
      <c r="L174" s="2488"/>
      <c r="M174" s="2513">
        <v>502411</v>
      </c>
      <c r="N174" s="2513">
        <v>0</v>
      </c>
      <c r="O174" s="2505">
        <v>502411</v>
      </c>
      <c r="P174" s="2479" t="s">
        <v>12270</v>
      </c>
    </row>
    <row r="175" spans="1:16" ht="15" customHeight="1" x14ac:dyDescent="0.2">
      <c r="A175" s="2769">
        <v>2.68</v>
      </c>
      <c r="B175" s="2512" t="s">
        <v>9502</v>
      </c>
      <c r="C175" s="2489" t="s">
        <v>191</v>
      </c>
      <c r="D175" s="2614"/>
      <c r="E175" s="2614"/>
      <c r="F175" s="2488"/>
      <c r="G175" s="2488"/>
      <c r="H175" s="3224">
        <v>14574</v>
      </c>
      <c r="I175" s="2488"/>
      <c r="J175" s="2488"/>
      <c r="K175" s="2488"/>
      <c r="L175" s="2488"/>
      <c r="M175" s="2513">
        <v>490721</v>
      </c>
      <c r="N175" s="2513">
        <v>0</v>
      </c>
      <c r="O175" s="2505">
        <v>490721</v>
      </c>
      <c r="P175" s="2479" t="s">
        <v>12271</v>
      </c>
    </row>
    <row r="176" spans="1:16" ht="15" customHeight="1" x14ac:dyDescent="0.2">
      <c r="A176" s="2769">
        <v>2.69</v>
      </c>
      <c r="B176" s="2512" t="s">
        <v>9503</v>
      </c>
      <c r="C176" s="2503" t="s">
        <v>191</v>
      </c>
      <c r="D176" s="2614"/>
      <c r="E176" s="2614"/>
      <c r="F176" s="2488"/>
      <c r="G176" s="2488"/>
      <c r="H176" s="3224">
        <v>15095</v>
      </c>
      <c r="I176" s="2488"/>
      <c r="J176" s="2488"/>
      <c r="K176" s="2488"/>
      <c r="L176" s="2488"/>
      <c r="M176" s="2513">
        <v>507935</v>
      </c>
      <c r="N176" s="2513">
        <v>0</v>
      </c>
      <c r="O176" s="2505">
        <v>507935</v>
      </c>
      <c r="P176" s="2479" t="s">
        <v>12272</v>
      </c>
    </row>
    <row r="177" spans="1:16" ht="15" customHeight="1" x14ac:dyDescent="0.2">
      <c r="A177" s="2769">
        <v>2.7</v>
      </c>
      <c r="B177" s="2512" t="s">
        <v>9504</v>
      </c>
      <c r="C177" s="2503" t="s">
        <v>191</v>
      </c>
      <c r="D177" s="2614"/>
      <c r="E177" s="2614"/>
      <c r="F177" s="2488"/>
      <c r="G177" s="2488"/>
      <c r="H177" s="3224">
        <v>20724</v>
      </c>
      <c r="I177" s="2488"/>
      <c r="J177" s="2488"/>
      <c r="K177" s="2488"/>
      <c r="L177" s="2488"/>
      <c r="M177" s="2513">
        <v>1617210</v>
      </c>
      <c r="N177" s="2513">
        <v>0</v>
      </c>
      <c r="O177" s="2505">
        <v>1617210</v>
      </c>
      <c r="P177" s="2479" t="s">
        <v>12273</v>
      </c>
    </row>
    <row r="178" spans="1:16" ht="15" customHeight="1" x14ac:dyDescent="0.2">
      <c r="A178" s="2769">
        <v>2.71</v>
      </c>
      <c r="B178" s="2512" t="s">
        <v>9505</v>
      </c>
      <c r="C178" s="2503" t="s">
        <v>191</v>
      </c>
      <c r="D178" s="2614"/>
      <c r="E178" s="2614"/>
      <c r="F178" s="2488"/>
      <c r="G178" s="2488"/>
      <c r="H178" s="3224">
        <v>9963</v>
      </c>
      <c r="I178" s="2488"/>
      <c r="J178" s="2488"/>
      <c r="K178" s="2488"/>
      <c r="L178" s="2488"/>
      <c r="M178" s="2513">
        <v>643174</v>
      </c>
      <c r="N178" s="2513">
        <v>0</v>
      </c>
      <c r="O178" s="2505">
        <v>643174</v>
      </c>
      <c r="P178" s="2479" t="s">
        <v>12274</v>
      </c>
    </row>
    <row r="179" spans="1:16" ht="15" customHeight="1" x14ac:dyDescent="0.2">
      <c r="A179" s="2769">
        <v>2.72</v>
      </c>
      <c r="B179" s="2512" t="s">
        <v>12084</v>
      </c>
      <c r="C179" s="2503" t="s">
        <v>191</v>
      </c>
      <c r="D179" s="2614"/>
      <c r="E179" s="2614"/>
      <c r="F179" s="2488"/>
      <c r="G179" s="2488"/>
      <c r="H179" s="3224">
        <v>211</v>
      </c>
      <c r="I179" s="2488"/>
      <c r="J179" s="2488"/>
      <c r="K179" s="2488"/>
      <c r="L179" s="2488"/>
      <c r="M179" s="2513">
        <v>7184</v>
      </c>
      <c r="N179" s="2513">
        <v>0</v>
      </c>
      <c r="O179" s="2505">
        <v>7184</v>
      </c>
      <c r="P179" s="2479" t="s">
        <v>12275</v>
      </c>
    </row>
    <row r="180" spans="1:16" ht="15" customHeight="1" x14ac:dyDescent="0.2">
      <c r="A180" s="2769">
        <v>2.73</v>
      </c>
      <c r="B180" s="2502" t="s">
        <v>9506</v>
      </c>
      <c r="C180" s="2503" t="s">
        <v>191</v>
      </c>
      <c r="D180" s="2614"/>
      <c r="E180" s="2614"/>
      <c r="F180" s="2488"/>
      <c r="G180" s="2488"/>
      <c r="H180" s="3224">
        <v>26209</v>
      </c>
      <c r="I180" s="2488"/>
      <c r="J180" s="2488"/>
      <c r="K180" s="2488"/>
      <c r="L180" s="2488"/>
      <c r="M180" s="2513">
        <v>2074729</v>
      </c>
      <c r="N180" s="2513">
        <v>0</v>
      </c>
      <c r="O180" s="2505">
        <v>2074729</v>
      </c>
      <c r="P180" s="2479" t="s">
        <v>12276</v>
      </c>
    </row>
    <row r="181" spans="1:16" ht="15" customHeight="1" x14ac:dyDescent="0.2">
      <c r="A181" s="2769">
        <v>2.74</v>
      </c>
      <c r="B181" s="2502" t="s">
        <v>9507</v>
      </c>
      <c r="C181" s="2503" t="s">
        <v>192</v>
      </c>
      <c r="D181" s="2614"/>
      <c r="E181" s="2614"/>
      <c r="F181" s="2488"/>
      <c r="G181" s="2488"/>
      <c r="H181" s="3224">
        <v>23721</v>
      </c>
      <c r="I181" s="2488"/>
      <c r="J181" s="2488"/>
      <c r="K181" s="2488"/>
      <c r="L181" s="2488"/>
      <c r="M181" s="2513">
        <v>1142323</v>
      </c>
      <c r="N181" s="2513">
        <v>0</v>
      </c>
      <c r="O181" s="2505">
        <v>1142323</v>
      </c>
      <c r="P181" s="2479" t="s">
        <v>12277</v>
      </c>
    </row>
    <row r="182" spans="1:16" ht="15" customHeight="1" x14ac:dyDescent="0.2">
      <c r="A182" s="2769">
        <v>2.75</v>
      </c>
      <c r="B182" s="2502" t="s">
        <v>9509</v>
      </c>
      <c r="C182" s="2503" t="s">
        <v>191</v>
      </c>
      <c r="D182" s="2614"/>
      <c r="E182" s="2614"/>
      <c r="F182" s="2488"/>
      <c r="G182" s="2488"/>
      <c r="H182" s="3224">
        <v>19285</v>
      </c>
      <c r="I182" s="2488"/>
      <c r="J182" s="2488"/>
      <c r="K182" s="2488"/>
      <c r="L182" s="2488"/>
      <c r="M182" s="2513">
        <v>1530558</v>
      </c>
      <c r="N182" s="2513">
        <v>0</v>
      </c>
      <c r="O182" s="2505">
        <v>1530558</v>
      </c>
      <c r="P182" s="2479" t="s">
        <v>12278</v>
      </c>
    </row>
    <row r="183" spans="1:16" ht="15" customHeight="1" x14ac:dyDescent="0.2">
      <c r="A183" s="2769">
        <v>2.76</v>
      </c>
      <c r="B183" s="2502" t="s">
        <v>9510</v>
      </c>
      <c r="C183" s="2503" t="s">
        <v>191</v>
      </c>
      <c r="D183" s="2614"/>
      <c r="E183" s="2614"/>
      <c r="F183" s="2488"/>
      <c r="G183" s="2488"/>
      <c r="H183" s="3224">
        <v>118178</v>
      </c>
      <c r="I183" s="2488"/>
      <c r="J183" s="2488"/>
      <c r="K183" s="2488"/>
      <c r="L183" s="2488"/>
      <c r="M183" s="2513">
        <v>4029820</v>
      </c>
      <c r="N183" s="2513">
        <v>0</v>
      </c>
      <c r="O183" s="2505">
        <v>4029820</v>
      </c>
      <c r="P183" s="2479" t="s">
        <v>12279</v>
      </c>
    </row>
    <row r="184" spans="1:16" ht="15" customHeight="1" x14ac:dyDescent="0.2">
      <c r="A184" s="2769">
        <v>2.77</v>
      </c>
      <c r="B184" s="2512" t="s">
        <v>9511</v>
      </c>
      <c r="C184" s="2503" t="s">
        <v>191</v>
      </c>
      <c r="D184" s="2614"/>
      <c r="E184" s="2614"/>
      <c r="F184" s="2488"/>
      <c r="G184" s="2488"/>
      <c r="H184" s="3226">
        <v>48263</v>
      </c>
      <c r="I184" s="2488"/>
      <c r="J184" s="2488"/>
      <c r="K184" s="2488"/>
      <c r="L184" s="2488"/>
      <c r="M184" s="2513">
        <v>2548308</v>
      </c>
      <c r="N184" s="2513">
        <v>0</v>
      </c>
      <c r="O184" s="2505">
        <v>2548308</v>
      </c>
      <c r="P184" s="2479" t="s">
        <v>12280</v>
      </c>
    </row>
    <row r="185" spans="1:16" ht="15" customHeight="1" x14ac:dyDescent="0.2">
      <c r="A185" s="2769">
        <v>2.78</v>
      </c>
      <c r="B185" s="2512" t="s">
        <v>9512</v>
      </c>
      <c r="C185" s="2503" t="s">
        <v>191</v>
      </c>
      <c r="D185" s="2614"/>
      <c r="E185" s="2614"/>
      <c r="F185" s="2488"/>
      <c r="G185" s="2488"/>
      <c r="H185" s="3224">
        <v>108767</v>
      </c>
      <c r="I185" s="2488"/>
      <c r="J185" s="2488"/>
      <c r="K185" s="2488"/>
      <c r="L185" s="2488"/>
      <c r="M185" s="2513">
        <v>5032570</v>
      </c>
      <c r="N185" s="2514">
        <v>163149</v>
      </c>
      <c r="O185" s="2505">
        <v>5195719</v>
      </c>
      <c r="P185" s="2479" t="s">
        <v>12281</v>
      </c>
    </row>
    <row r="186" spans="1:16" ht="15" customHeight="1" x14ac:dyDescent="0.2">
      <c r="A186" s="2769">
        <v>2.79</v>
      </c>
      <c r="B186" s="2512" t="s">
        <v>9513</v>
      </c>
      <c r="C186" s="2503" t="s">
        <v>191</v>
      </c>
      <c r="D186" s="2614"/>
      <c r="E186" s="2614"/>
      <c r="F186" s="2488"/>
      <c r="G186" s="2488"/>
      <c r="H186" s="3224">
        <v>243192</v>
      </c>
      <c r="I186" s="2488"/>
      <c r="J186" s="2488"/>
      <c r="K186" s="2488"/>
      <c r="L186" s="2488"/>
      <c r="M186" s="2513">
        <v>10155959</v>
      </c>
      <c r="N186" s="2513">
        <v>0</v>
      </c>
      <c r="O186" s="2505">
        <v>10155959</v>
      </c>
      <c r="P186" s="2479" t="s">
        <v>12282</v>
      </c>
    </row>
    <row r="187" spans="1:16" ht="15" customHeight="1" x14ac:dyDescent="0.2">
      <c r="A187" s="2769">
        <v>2.8</v>
      </c>
      <c r="B187" s="2512" t="s">
        <v>9513</v>
      </c>
      <c r="C187" s="2947" t="s">
        <v>196</v>
      </c>
      <c r="D187" s="2614"/>
      <c r="E187" s="2614"/>
      <c r="F187" s="2488"/>
      <c r="G187" s="2488"/>
      <c r="H187" s="3224">
        <v>3861</v>
      </c>
      <c r="I187" s="2488"/>
      <c r="J187" s="2488"/>
      <c r="K187" s="2488"/>
      <c r="L187" s="2488"/>
      <c r="M187" s="2513">
        <v>0</v>
      </c>
      <c r="N187" s="2514">
        <v>157556</v>
      </c>
      <c r="O187" s="2505">
        <v>157556</v>
      </c>
      <c r="P187" s="2479" t="s">
        <v>12283</v>
      </c>
    </row>
    <row r="188" spans="1:16" ht="15" customHeight="1" x14ac:dyDescent="0.2">
      <c r="A188" s="2769">
        <v>2.81</v>
      </c>
      <c r="B188" s="2512" t="s">
        <v>9514</v>
      </c>
      <c r="C188" s="2503" t="s">
        <v>190</v>
      </c>
      <c r="D188" s="2614"/>
      <c r="E188" s="2614"/>
      <c r="F188" s="2614"/>
      <c r="G188" s="2614"/>
      <c r="H188" s="3224">
        <v>2968</v>
      </c>
      <c r="I188" s="2488"/>
      <c r="J188" s="2488"/>
      <c r="K188" s="2488"/>
      <c r="L188" s="2488"/>
      <c r="M188" s="2513">
        <v>141582</v>
      </c>
      <c r="N188" s="2513">
        <v>0</v>
      </c>
      <c r="O188" s="2505">
        <v>141582</v>
      </c>
      <c r="P188" s="2479" t="s">
        <v>12284</v>
      </c>
    </row>
    <row r="189" spans="1:16" ht="15" customHeight="1" x14ac:dyDescent="0.2">
      <c r="A189" s="2769">
        <v>2.82</v>
      </c>
      <c r="B189" s="2512" t="s">
        <v>9123</v>
      </c>
      <c r="C189" s="2947" t="s">
        <v>188</v>
      </c>
      <c r="D189" s="2614"/>
      <c r="E189" s="2614"/>
      <c r="F189" s="2488"/>
      <c r="G189" s="2488"/>
      <c r="H189" s="3224">
        <v>12037</v>
      </c>
      <c r="I189" s="2488"/>
      <c r="J189" s="2488"/>
      <c r="K189" s="2488"/>
      <c r="L189" s="2513">
        <v>0</v>
      </c>
      <c r="M189" s="2513">
        <v>0</v>
      </c>
      <c r="N189" s="2514">
        <v>148524</v>
      </c>
      <c r="O189" s="2505">
        <v>148524</v>
      </c>
      <c r="P189" s="2479" t="s">
        <v>12285</v>
      </c>
    </row>
    <row r="190" spans="1:16" ht="15" customHeight="1" x14ac:dyDescent="0.2">
      <c r="A190" s="2769">
        <v>2.83</v>
      </c>
      <c r="B190" s="2512" t="s">
        <v>9123</v>
      </c>
      <c r="C190" s="2947" t="s">
        <v>196</v>
      </c>
      <c r="D190" s="2614"/>
      <c r="E190" s="2614"/>
      <c r="F190" s="2488"/>
      <c r="G190" s="2488"/>
      <c r="H190" s="3224">
        <v>0</v>
      </c>
      <c r="I190" s="2488"/>
      <c r="J190" s="2488"/>
      <c r="K190" s="2488"/>
      <c r="L190" s="2513">
        <v>0</v>
      </c>
      <c r="M190" s="2513">
        <v>0</v>
      </c>
      <c r="N190" s="2514">
        <v>-58276</v>
      </c>
      <c r="O190" s="2505">
        <v>-58276</v>
      </c>
      <c r="P190" s="2479" t="s">
        <v>12286</v>
      </c>
    </row>
    <row r="191" spans="1:16" ht="15" customHeight="1" x14ac:dyDescent="0.2">
      <c r="A191" s="2769">
        <v>2.84</v>
      </c>
      <c r="B191" s="2512" t="s">
        <v>9123</v>
      </c>
      <c r="C191" s="2503" t="s">
        <v>190</v>
      </c>
      <c r="D191" s="2614"/>
      <c r="E191" s="2614"/>
      <c r="F191" s="2488"/>
      <c r="G191" s="2488"/>
      <c r="H191" s="3224">
        <v>126555</v>
      </c>
      <c r="I191" s="2488"/>
      <c r="J191" s="2488"/>
      <c r="K191" s="2488"/>
      <c r="L191" s="2488"/>
      <c r="M191" s="2513">
        <v>6566569</v>
      </c>
      <c r="N191" s="2514">
        <v>4408</v>
      </c>
      <c r="O191" s="2505">
        <v>6570977</v>
      </c>
      <c r="P191" s="2479" t="s">
        <v>12287</v>
      </c>
    </row>
    <row r="192" spans="1:16" ht="15" customHeight="1" x14ac:dyDescent="0.2">
      <c r="A192" s="2769">
        <v>2.85</v>
      </c>
      <c r="B192" s="2512" t="s">
        <v>9515</v>
      </c>
      <c r="C192" s="2503" t="s">
        <v>191</v>
      </c>
      <c r="D192" s="2614"/>
      <c r="E192" s="2614"/>
      <c r="F192" s="2488"/>
      <c r="G192" s="2488"/>
      <c r="H192" s="3224">
        <v>66127</v>
      </c>
      <c r="I192" s="2488"/>
      <c r="J192" s="2488"/>
      <c r="K192" s="2488"/>
      <c r="L192" s="2488"/>
      <c r="M192" s="2513">
        <v>5407101</v>
      </c>
      <c r="N192" s="2513">
        <v>0</v>
      </c>
      <c r="O192" s="2505">
        <v>5407101</v>
      </c>
      <c r="P192" s="2479" t="s">
        <v>12288</v>
      </c>
    </row>
    <row r="193" spans="1:16" ht="15" customHeight="1" x14ac:dyDescent="0.2">
      <c r="A193" s="2769">
        <v>2.86</v>
      </c>
      <c r="B193" s="2512" t="s">
        <v>9516</v>
      </c>
      <c r="C193" s="2503" t="s">
        <v>191</v>
      </c>
      <c r="D193" s="2614"/>
      <c r="E193" s="2614"/>
      <c r="F193" s="2488"/>
      <c r="G193" s="2488"/>
      <c r="H193" s="3224">
        <v>60838</v>
      </c>
      <c r="I193" s="2488"/>
      <c r="J193" s="2488"/>
      <c r="K193" s="2488"/>
      <c r="L193" s="2488"/>
      <c r="M193" s="2513">
        <v>5056675</v>
      </c>
      <c r="N193" s="2513">
        <v>0</v>
      </c>
      <c r="O193" s="2505">
        <v>5056675</v>
      </c>
      <c r="P193" s="2479" t="s">
        <v>12289</v>
      </c>
    </row>
    <row r="194" spans="1:16" ht="15" customHeight="1" x14ac:dyDescent="0.2">
      <c r="A194" s="2769">
        <v>2.87</v>
      </c>
      <c r="B194" s="2502" t="s">
        <v>9124</v>
      </c>
      <c r="C194" s="2503" t="s">
        <v>190</v>
      </c>
      <c r="D194" s="2614"/>
      <c r="E194" s="2614"/>
      <c r="F194" s="2488"/>
      <c r="G194" s="2488"/>
      <c r="H194" s="3224">
        <v>396595</v>
      </c>
      <c r="I194" s="2488"/>
      <c r="J194" s="2488"/>
      <c r="K194" s="2488"/>
      <c r="L194" s="2488"/>
      <c r="M194" s="2513">
        <v>39497392</v>
      </c>
      <c r="N194" s="2513">
        <v>0</v>
      </c>
      <c r="O194" s="2505">
        <v>39497392</v>
      </c>
      <c r="P194" s="2479" t="s">
        <v>12290</v>
      </c>
    </row>
    <row r="195" spans="1:16" ht="15" customHeight="1" x14ac:dyDescent="0.2">
      <c r="A195" s="2769">
        <v>2.88</v>
      </c>
      <c r="B195" s="2502" t="s">
        <v>9517</v>
      </c>
      <c r="C195" s="2503" t="s">
        <v>191</v>
      </c>
      <c r="D195" s="2614"/>
      <c r="E195" s="2614"/>
      <c r="F195" s="2488"/>
      <c r="G195" s="2488"/>
      <c r="H195" s="3224">
        <v>96822</v>
      </c>
      <c r="I195" s="2488"/>
      <c r="J195" s="2488"/>
      <c r="K195" s="2488"/>
      <c r="L195" s="2488"/>
      <c r="M195" s="2513">
        <v>1770871</v>
      </c>
      <c r="N195" s="2514">
        <v>1232557</v>
      </c>
      <c r="O195" s="2505">
        <v>3003428</v>
      </c>
      <c r="P195" s="2479" t="s">
        <v>12291</v>
      </c>
    </row>
    <row r="196" spans="1:16" ht="15" customHeight="1" x14ac:dyDescent="0.2">
      <c r="A196" s="2769">
        <v>2.89</v>
      </c>
      <c r="B196" s="2502" t="s">
        <v>9517</v>
      </c>
      <c r="C196" s="2947" t="s">
        <v>196</v>
      </c>
      <c r="D196" s="2614"/>
      <c r="E196" s="2614"/>
      <c r="F196" s="2488"/>
      <c r="G196" s="2488"/>
      <c r="H196" s="3224">
        <v>1069</v>
      </c>
      <c r="I196" s="2488"/>
      <c r="J196" s="2488"/>
      <c r="K196" s="2488"/>
      <c r="L196" s="2488"/>
      <c r="M196" s="2513">
        <v>23857</v>
      </c>
      <c r="N196" s="2514">
        <v>13608</v>
      </c>
      <c r="O196" s="2505">
        <v>37465</v>
      </c>
      <c r="P196" s="2479" t="s">
        <v>12292</v>
      </c>
    </row>
    <row r="197" spans="1:16" ht="15" customHeight="1" x14ac:dyDescent="0.2">
      <c r="A197" s="2769">
        <v>2.9</v>
      </c>
      <c r="B197" s="2502" t="s">
        <v>9518</v>
      </c>
      <c r="C197" s="2947" t="s">
        <v>188</v>
      </c>
      <c r="D197" s="2614"/>
      <c r="E197" s="2614"/>
      <c r="F197" s="2488"/>
      <c r="G197" s="2488"/>
      <c r="H197" s="3224">
        <v>6</v>
      </c>
      <c r="I197" s="2488"/>
      <c r="J197" s="2488"/>
      <c r="K197" s="2488"/>
      <c r="L197" s="2488"/>
      <c r="M197" s="2513">
        <v>6867</v>
      </c>
      <c r="N197" s="2513">
        <v>0</v>
      </c>
      <c r="O197" s="2505">
        <v>6867</v>
      </c>
      <c r="P197" s="2479" t="s">
        <v>12293</v>
      </c>
    </row>
    <row r="198" spans="1:16" ht="15" customHeight="1" x14ac:dyDescent="0.2">
      <c r="A198" s="2769">
        <v>2.91</v>
      </c>
      <c r="B198" s="2512" t="s">
        <v>9518</v>
      </c>
      <c r="C198" s="2947" t="s">
        <v>196</v>
      </c>
      <c r="D198" s="2614"/>
      <c r="E198" s="2614"/>
      <c r="F198" s="2488"/>
      <c r="G198" s="2488"/>
      <c r="H198" s="3226">
        <v>-93</v>
      </c>
      <c r="I198" s="2488"/>
      <c r="J198" s="2488"/>
      <c r="K198" s="2488"/>
      <c r="L198" s="2488"/>
      <c r="M198" s="2513">
        <v>0</v>
      </c>
      <c r="N198" s="2514">
        <v>-4166</v>
      </c>
      <c r="O198" s="2505">
        <v>-4166</v>
      </c>
      <c r="P198" s="2479" t="s">
        <v>12294</v>
      </c>
    </row>
    <row r="199" spans="1:16" ht="15" customHeight="1" x14ac:dyDescent="0.2">
      <c r="A199" s="2769">
        <v>2.92</v>
      </c>
      <c r="B199" s="2512" t="s">
        <v>9125</v>
      </c>
      <c r="C199" s="2503" t="s">
        <v>190</v>
      </c>
      <c r="D199" s="2614"/>
      <c r="E199" s="2614"/>
      <c r="F199" s="2488"/>
      <c r="G199" s="2488"/>
      <c r="H199" s="3224">
        <v>34426</v>
      </c>
      <c r="I199" s="2488"/>
      <c r="J199" s="2488"/>
      <c r="K199" s="2488"/>
      <c r="L199" s="2488"/>
      <c r="M199" s="2513">
        <v>1707365</v>
      </c>
      <c r="N199" s="2514">
        <v>24975</v>
      </c>
      <c r="O199" s="2505">
        <v>1732340</v>
      </c>
      <c r="P199" s="2479" t="s">
        <v>12295</v>
      </c>
    </row>
    <row r="200" spans="1:16" ht="15" customHeight="1" x14ac:dyDescent="0.2">
      <c r="A200" s="2769">
        <v>2.93</v>
      </c>
      <c r="B200" s="2512" t="s">
        <v>9126</v>
      </c>
      <c r="C200" s="2503" t="s">
        <v>190</v>
      </c>
      <c r="D200" s="2614"/>
      <c r="E200" s="2614"/>
      <c r="F200" s="2488"/>
      <c r="G200" s="2488"/>
      <c r="H200" s="3224">
        <v>16036</v>
      </c>
      <c r="I200" s="2488"/>
      <c r="J200" s="2488"/>
      <c r="K200" s="2488"/>
      <c r="L200" s="2488"/>
      <c r="M200" s="2513">
        <v>964806</v>
      </c>
      <c r="N200" s="2513">
        <v>0</v>
      </c>
      <c r="O200" s="2505">
        <v>964806</v>
      </c>
      <c r="P200" s="2479" t="s">
        <v>12296</v>
      </c>
    </row>
    <row r="201" spans="1:16" ht="15" customHeight="1" x14ac:dyDescent="0.2">
      <c r="A201" s="2769">
        <v>2.94</v>
      </c>
      <c r="B201" s="2512" t="s">
        <v>9127</v>
      </c>
      <c r="C201" s="2503" t="s">
        <v>190</v>
      </c>
      <c r="D201" s="2614"/>
      <c r="E201" s="2614"/>
      <c r="F201" s="2488"/>
      <c r="G201" s="2488"/>
      <c r="H201" s="3224">
        <v>119216</v>
      </c>
      <c r="I201" s="2488"/>
      <c r="J201" s="2488"/>
      <c r="K201" s="2488"/>
      <c r="L201" s="2488"/>
      <c r="M201" s="2513">
        <v>6277862</v>
      </c>
      <c r="N201" s="2514">
        <v>727</v>
      </c>
      <c r="O201" s="2505">
        <v>6278589</v>
      </c>
      <c r="P201" s="2479" t="s">
        <v>12297</v>
      </c>
    </row>
    <row r="202" spans="1:16" ht="15" customHeight="1" x14ac:dyDescent="0.2">
      <c r="A202" s="2769">
        <v>2.95</v>
      </c>
      <c r="B202" s="2512" t="s">
        <v>12085</v>
      </c>
      <c r="C202" s="2503" t="s">
        <v>190</v>
      </c>
      <c r="D202" s="2614"/>
      <c r="E202" s="2614"/>
      <c r="F202" s="2614"/>
      <c r="G202" s="2614"/>
      <c r="H202" s="3224">
        <v>3</v>
      </c>
      <c r="I202" s="2488"/>
      <c r="J202" s="2488"/>
      <c r="K202" s="2488"/>
      <c r="L202" s="2488"/>
      <c r="M202" s="2513">
        <v>0</v>
      </c>
      <c r="N202" s="2514">
        <v>166</v>
      </c>
      <c r="O202" s="2505">
        <v>166</v>
      </c>
      <c r="P202" s="2479" t="s">
        <v>12298</v>
      </c>
    </row>
    <row r="203" spans="1:16" ht="15" customHeight="1" x14ac:dyDescent="0.2">
      <c r="A203" s="2769">
        <v>2.96</v>
      </c>
      <c r="B203" s="2512" t="s">
        <v>9128</v>
      </c>
      <c r="C203" s="2489" t="s">
        <v>190</v>
      </c>
      <c r="D203" s="2614"/>
      <c r="E203" s="2614"/>
      <c r="F203" s="2488"/>
      <c r="G203" s="2488"/>
      <c r="H203" s="3224">
        <v>34800</v>
      </c>
      <c r="I203" s="2488"/>
      <c r="J203" s="2488"/>
      <c r="K203" s="2488"/>
      <c r="L203" s="2488"/>
      <c r="M203" s="2513">
        <v>2299875</v>
      </c>
      <c r="N203" s="2513">
        <v>0</v>
      </c>
      <c r="O203" s="2505">
        <v>2299875</v>
      </c>
      <c r="P203" s="2479" t="s">
        <v>12299</v>
      </c>
    </row>
    <row r="204" spans="1:16" ht="15" customHeight="1" x14ac:dyDescent="0.2">
      <c r="A204" s="2769">
        <v>2.97</v>
      </c>
      <c r="B204" s="2512" t="s">
        <v>9129</v>
      </c>
      <c r="C204" s="2503" t="s">
        <v>191</v>
      </c>
      <c r="D204" s="2614"/>
      <c r="E204" s="2614"/>
      <c r="F204" s="2488"/>
      <c r="G204" s="2488"/>
      <c r="H204" s="3224">
        <v>75206</v>
      </c>
      <c r="I204" s="2488"/>
      <c r="J204" s="2488"/>
      <c r="K204" s="2488"/>
      <c r="L204" s="2488"/>
      <c r="M204" s="2513">
        <v>0</v>
      </c>
      <c r="N204" s="2514">
        <v>24855</v>
      </c>
      <c r="O204" s="2505">
        <v>24855</v>
      </c>
      <c r="P204" s="2479" t="s">
        <v>12300</v>
      </c>
    </row>
    <row r="205" spans="1:16" ht="15" customHeight="1" x14ac:dyDescent="0.2">
      <c r="A205" s="2769">
        <v>2.98</v>
      </c>
      <c r="B205" s="2512" t="s">
        <v>9129</v>
      </c>
      <c r="C205" s="2947" t="s">
        <v>196</v>
      </c>
      <c r="D205" s="2614"/>
      <c r="E205" s="2614"/>
      <c r="F205" s="2488"/>
      <c r="G205" s="2488"/>
      <c r="H205" s="3224">
        <v>0</v>
      </c>
      <c r="I205" s="2488"/>
      <c r="J205" s="2488"/>
      <c r="K205" s="2488"/>
      <c r="L205" s="2488"/>
      <c r="M205" s="2513">
        <v>0</v>
      </c>
      <c r="N205" s="2514">
        <v>8036</v>
      </c>
      <c r="O205" s="2505">
        <v>8036</v>
      </c>
      <c r="P205" s="2479" t="s">
        <v>12301</v>
      </c>
    </row>
    <row r="206" spans="1:16" ht="15" customHeight="1" x14ac:dyDescent="0.2">
      <c r="A206" s="2769">
        <v>2.99</v>
      </c>
      <c r="B206" s="2512" t="s">
        <v>9129</v>
      </c>
      <c r="C206" s="2503" t="s">
        <v>190</v>
      </c>
      <c r="D206" s="2614"/>
      <c r="E206" s="2614"/>
      <c r="F206" s="2488"/>
      <c r="G206" s="2488"/>
      <c r="H206" s="3224">
        <v>677504</v>
      </c>
      <c r="I206" s="2488"/>
      <c r="J206" s="2488"/>
      <c r="K206" s="2488"/>
      <c r="L206" s="2488"/>
      <c r="M206" s="2513">
        <v>0</v>
      </c>
      <c r="N206" s="2514">
        <v>28756206</v>
      </c>
      <c r="O206" s="2505">
        <v>28756206</v>
      </c>
      <c r="P206" s="2479" t="s">
        <v>12302</v>
      </c>
    </row>
    <row r="207" spans="1:16" ht="15" customHeight="1" x14ac:dyDescent="0.2">
      <c r="A207" s="2769">
        <v>3</v>
      </c>
      <c r="B207" s="2512" t="s">
        <v>9129</v>
      </c>
      <c r="C207" s="2503" t="s">
        <v>190</v>
      </c>
      <c r="D207" s="2614"/>
      <c r="E207" s="2614"/>
      <c r="F207" s="2488"/>
      <c r="G207" s="2488"/>
      <c r="H207" s="3224">
        <v>26</v>
      </c>
      <c r="I207" s="2488"/>
      <c r="J207" s="2488"/>
      <c r="K207" s="2488"/>
      <c r="L207" s="2488"/>
      <c r="M207" s="2513">
        <v>0</v>
      </c>
      <c r="N207" s="2514">
        <v>1206</v>
      </c>
      <c r="O207" s="2505">
        <v>1206</v>
      </c>
      <c r="P207" s="2479" t="s">
        <v>12303</v>
      </c>
    </row>
    <row r="208" spans="1:16" ht="15" customHeight="1" x14ac:dyDescent="0.2">
      <c r="A208" s="2769">
        <v>3.01</v>
      </c>
      <c r="B208" s="2502" t="s">
        <v>9130</v>
      </c>
      <c r="C208" s="2503" t="s">
        <v>190</v>
      </c>
      <c r="D208" s="2614"/>
      <c r="E208" s="2614"/>
      <c r="F208" s="2488"/>
      <c r="G208" s="2488"/>
      <c r="H208" s="3224">
        <v>262469</v>
      </c>
      <c r="I208" s="2488"/>
      <c r="J208" s="2488"/>
      <c r="K208" s="2488"/>
      <c r="L208" s="2488"/>
      <c r="M208" s="2513">
        <v>14596474</v>
      </c>
      <c r="N208" s="2514">
        <v>4851</v>
      </c>
      <c r="O208" s="2505">
        <v>14601325</v>
      </c>
      <c r="P208" s="2479" t="s">
        <v>12304</v>
      </c>
    </row>
    <row r="209" spans="1:16" ht="15" customHeight="1" x14ac:dyDescent="0.2">
      <c r="A209" s="2769">
        <v>3.02</v>
      </c>
      <c r="B209" s="2502" t="s">
        <v>9520</v>
      </c>
      <c r="C209" s="2503" t="s">
        <v>191</v>
      </c>
      <c r="D209" s="2614"/>
      <c r="E209" s="2771">
        <v>3</v>
      </c>
      <c r="F209" s="2513">
        <v>3</v>
      </c>
      <c r="G209" s="2513">
        <v>1</v>
      </c>
      <c r="H209" s="3224">
        <v>7913</v>
      </c>
      <c r="I209" s="2488"/>
      <c r="J209" s="2488"/>
      <c r="K209" s="2488"/>
      <c r="L209" s="2513">
        <v>286712</v>
      </c>
      <c r="M209" s="2513">
        <v>369539</v>
      </c>
      <c r="N209" s="2513">
        <v>0</v>
      </c>
      <c r="O209" s="2505">
        <v>656251</v>
      </c>
      <c r="P209" s="2479" t="s">
        <v>12305</v>
      </c>
    </row>
    <row r="210" spans="1:16" ht="15" customHeight="1" x14ac:dyDescent="0.2">
      <c r="A210" s="2769">
        <v>3.03</v>
      </c>
      <c r="B210" s="2502" t="s">
        <v>9521</v>
      </c>
      <c r="C210" s="2503" t="s">
        <v>191</v>
      </c>
      <c r="D210" s="2614"/>
      <c r="E210" s="2771">
        <v>3</v>
      </c>
      <c r="F210" s="2513">
        <v>3</v>
      </c>
      <c r="G210" s="2513">
        <v>1</v>
      </c>
      <c r="H210" s="3224">
        <v>7785</v>
      </c>
      <c r="I210" s="2488"/>
      <c r="J210" s="2488"/>
      <c r="K210" s="2488"/>
      <c r="L210" s="2513">
        <v>284484</v>
      </c>
      <c r="M210" s="2513">
        <v>363534</v>
      </c>
      <c r="N210" s="2513">
        <v>0</v>
      </c>
      <c r="O210" s="2505">
        <v>648018</v>
      </c>
      <c r="P210" s="2479" t="s">
        <v>12306</v>
      </c>
    </row>
    <row r="211" spans="1:16" ht="15" customHeight="1" x14ac:dyDescent="0.2">
      <c r="A211" s="2769">
        <v>3.04</v>
      </c>
      <c r="B211" s="2502" t="s">
        <v>9522</v>
      </c>
      <c r="C211" s="2503" t="s">
        <v>191</v>
      </c>
      <c r="D211" s="2614"/>
      <c r="E211" s="2771">
        <v>3</v>
      </c>
      <c r="F211" s="2513">
        <v>3</v>
      </c>
      <c r="G211" s="2513">
        <v>1</v>
      </c>
      <c r="H211" s="3224">
        <v>7751</v>
      </c>
      <c r="I211" s="2488"/>
      <c r="J211" s="2488"/>
      <c r="K211" s="2488"/>
      <c r="L211" s="2513">
        <v>285505</v>
      </c>
      <c r="M211" s="2513">
        <v>361968</v>
      </c>
      <c r="N211" s="2513">
        <v>0</v>
      </c>
      <c r="O211" s="2505">
        <v>647473</v>
      </c>
      <c r="P211" s="2479" t="s">
        <v>12307</v>
      </c>
    </row>
    <row r="212" spans="1:16" ht="15" customHeight="1" x14ac:dyDescent="0.2">
      <c r="A212" s="2769">
        <v>3.05</v>
      </c>
      <c r="B212" s="2512" t="s">
        <v>9131</v>
      </c>
      <c r="C212" s="2503" t="s">
        <v>190</v>
      </c>
      <c r="D212" s="2614"/>
      <c r="E212" s="2614"/>
      <c r="F212" s="2488"/>
      <c r="G212" s="2488"/>
      <c r="H212" s="3226">
        <v>2200</v>
      </c>
      <c r="I212" s="2488"/>
      <c r="J212" s="2488"/>
      <c r="K212" s="2488"/>
      <c r="L212" s="2488"/>
      <c r="M212" s="2513">
        <v>121692</v>
      </c>
      <c r="N212" s="2513">
        <v>0</v>
      </c>
      <c r="O212" s="2505">
        <v>121692</v>
      </c>
      <c r="P212" s="2479" t="s">
        <v>12308</v>
      </c>
    </row>
    <row r="213" spans="1:16" ht="15" customHeight="1" x14ac:dyDescent="0.2">
      <c r="A213" s="2769">
        <v>3.06</v>
      </c>
      <c r="B213" s="2512" t="s">
        <v>12309</v>
      </c>
      <c r="C213" s="2503" t="s">
        <v>191</v>
      </c>
      <c r="D213" s="2614"/>
      <c r="E213" s="2614"/>
      <c r="F213" s="2488"/>
      <c r="G213" s="2488"/>
      <c r="H213" s="3224">
        <v>108381</v>
      </c>
      <c r="I213" s="2488"/>
      <c r="J213" s="2488"/>
      <c r="K213" s="2488"/>
      <c r="L213" s="2488"/>
      <c r="M213" s="2513">
        <v>3845352</v>
      </c>
      <c r="N213" s="2513">
        <v>0</v>
      </c>
      <c r="O213" s="2505">
        <v>3845352</v>
      </c>
      <c r="P213" s="2479" t="s">
        <v>12310</v>
      </c>
    </row>
    <row r="214" spans="1:16" ht="15" customHeight="1" x14ac:dyDescent="0.2">
      <c r="A214" s="2769">
        <v>3.07</v>
      </c>
      <c r="B214" s="2512" t="s">
        <v>9524</v>
      </c>
      <c r="C214" s="2503" t="s">
        <v>191</v>
      </c>
      <c r="D214" s="2614"/>
      <c r="E214" s="2614"/>
      <c r="F214" s="2488"/>
      <c r="G214" s="2488"/>
      <c r="H214" s="3224">
        <v>74187</v>
      </c>
      <c r="I214" s="2488"/>
      <c r="J214" s="2488"/>
      <c r="K214" s="2488"/>
      <c r="L214" s="2488"/>
      <c r="M214" s="2513">
        <v>3240791</v>
      </c>
      <c r="N214" s="2513">
        <v>0</v>
      </c>
      <c r="O214" s="2505">
        <v>3240791</v>
      </c>
      <c r="P214" s="2479" t="s">
        <v>12311</v>
      </c>
    </row>
    <row r="215" spans="1:16" ht="15" customHeight="1" x14ac:dyDescent="0.2">
      <c r="A215" s="2769">
        <v>3.08</v>
      </c>
      <c r="B215" s="2512" t="s">
        <v>9525</v>
      </c>
      <c r="C215" s="2503" t="s">
        <v>191</v>
      </c>
      <c r="D215" s="2614"/>
      <c r="E215" s="2614"/>
      <c r="F215" s="2488"/>
      <c r="G215" s="2488"/>
      <c r="H215" s="3224">
        <v>9483</v>
      </c>
      <c r="I215" s="2488"/>
      <c r="J215" s="2488"/>
      <c r="K215" s="2488"/>
      <c r="L215" s="2488"/>
      <c r="M215" s="2513">
        <v>796041</v>
      </c>
      <c r="N215" s="2513">
        <v>0</v>
      </c>
      <c r="O215" s="2505">
        <v>796041</v>
      </c>
      <c r="P215" s="2479" t="s">
        <v>12312</v>
      </c>
    </row>
    <row r="216" spans="1:16" ht="15" customHeight="1" x14ac:dyDescent="0.2">
      <c r="A216" s="2769">
        <v>3.09</v>
      </c>
      <c r="B216" s="2512" t="s">
        <v>9132</v>
      </c>
      <c r="C216" s="2503" t="s">
        <v>190</v>
      </c>
      <c r="D216" s="2614"/>
      <c r="E216" s="2614"/>
      <c r="F216" s="2614"/>
      <c r="G216" s="2614"/>
      <c r="H216" s="3224">
        <v>3200</v>
      </c>
      <c r="I216" s="2488"/>
      <c r="J216" s="2488"/>
      <c r="K216" s="2488"/>
      <c r="L216" s="2488"/>
      <c r="M216" s="2513">
        <v>203200</v>
      </c>
      <c r="N216" s="2513">
        <v>0</v>
      </c>
      <c r="O216" s="2505">
        <v>203200</v>
      </c>
      <c r="P216" s="2479" t="s">
        <v>12313</v>
      </c>
    </row>
    <row r="217" spans="1:16" ht="15" customHeight="1" x14ac:dyDescent="0.2">
      <c r="A217" s="2769">
        <v>3.1</v>
      </c>
      <c r="B217" s="2512" t="s">
        <v>9526</v>
      </c>
      <c r="C217" s="2489" t="s">
        <v>191</v>
      </c>
      <c r="D217" s="2614"/>
      <c r="E217" s="2614"/>
      <c r="F217" s="2488"/>
      <c r="G217" s="2488"/>
      <c r="H217" s="3224">
        <v>40662</v>
      </c>
      <c r="I217" s="2488"/>
      <c r="J217" s="2488"/>
      <c r="K217" s="2488"/>
      <c r="L217" s="2488"/>
      <c r="M217" s="2513">
        <v>1878458</v>
      </c>
      <c r="N217" s="2513">
        <v>0</v>
      </c>
      <c r="O217" s="2505">
        <v>1878458</v>
      </c>
      <c r="P217" s="2479" t="s">
        <v>12314</v>
      </c>
    </row>
    <row r="218" spans="1:16" ht="15" customHeight="1" x14ac:dyDescent="0.2">
      <c r="A218" s="2769">
        <v>3.11</v>
      </c>
      <c r="B218" s="2512" t="s">
        <v>9527</v>
      </c>
      <c r="C218" s="2503" t="s">
        <v>191</v>
      </c>
      <c r="D218" s="2614"/>
      <c r="E218" s="2614"/>
      <c r="F218" s="2488"/>
      <c r="G218" s="2488"/>
      <c r="H218" s="3224">
        <v>40325</v>
      </c>
      <c r="I218" s="2488"/>
      <c r="J218" s="2488"/>
      <c r="K218" s="2488"/>
      <c r="L218" s="2488"/>
      <c r="M218" s="2513">
        <v>1856970</v>
      </c>
      <c r="N218" s="2513">
        <v>0</v>
      </c>
      <c r="O218" s="2505">
        <v>1856970</v>
      </c>
      <c r="P218" s="2479" t="s">
        <v>12315</v>
      </c>
    </row>
    <row r="219" spans="1:16" ht="15" customHeight="1" x14ac:dyDescent="0.2">
      <c r="A219" s="2769">
        <v>3.12</v>
      </c>
      <c r="B219" s="2512" t="s">
        <v>9528</v>
      </c>
      <c r="C219" s="2503" t="s">
        <v>191</v>
      </c>
      <c r="D219" s="2614"/>
      <c r="E219" s="2614"/>
      <c r="F219" s="2488"/>
      <c r="G219" s="2488"/>
      <c r="H219" s="3224">
        <v>39909</v>
      </c>
      <c r="I219" s="2488"/>
      <c r="J219" s="2488"/>
      <c r="K219" s="2488"/>
      <c r="L219" s="2488"/>
      <c r="M219" s="2513">
        <v>1828130</v>
      </c>
      <c r="N219" s="2513">
        <v>0</v>
      </c>
      <c r="O219" s="2505">
        <v>1828130</v>
      </c>
      <c r="P219" s="2479" t="s">
        <v>12316</v>
      </c>
    </row>
    <row r="220" spans="1:16" ht="15" customHeight="1" x14ac:dyDescent="0.2">
      <c r="A220" s="2769">
        <v>3.13</v>
      </c>
      <c r="B220" s="2512" t="s">
        <v>9133</v>
      </c>
      <c r="C220" s="2503" t="s">
        <v>190</v>
      </c>
      <c r="D220" s="2614"/>
      <c r="E220" s="2614"/>
      <c r="F220" s="2488"/>
      <c r="G220" s="2488"/>
      <c r="H220" s="3224">
        <v>37129</v>
      </c>
      <c r="I220" s="2488"/>
      <c r="J220" s="2488"/>
      <c r="K220" s="2488"/>
      <c r="L220" s="2488"/>
      <c r="M220" s="2513">
        <v>2283767</v>
      </c>
      <c r="N220" s="2513">
        <v>0</v>
      </c>
      <c r="O220" s="2505">
        <v>2283767</v>
      </c>
      <c r="P220" s="2479" t="s">
        <v>12317</v>
      </c>
    </row>
    <row r="221" spans="1:16" ht="15" customHeight="1" x14ac:dyDescent="0.2">
      <c r="A221" s="2769">
        <v>3.14</v>
      </c>
      <c r="B221" s="2512" t="s">
        <v>9133</v>
      </c>
      <c r="C221" s="2947" t="s">
        <v>196</v>
      </c>
      <c r="D221" s="2614"/>
      <c r="E221" s="2614"/>
      <c r="F221" s="2488"/>
      <c r="G221" s="2488"/>
      <c r="H221" s="3224">
        <v>0</v>
      </c>
      <c r="I221" s="2488"/>
      <c r="J221" s="2488"/>
      <c r="K221" s="2488"/>
      <c r="L221" s="2488"/>
      <c r="M221" s="2513">
        <v>0</v>
      </c>
      <c r="N221" s="2514">
        <v>2</v>
      </c>
      <c r="O221" s="2505">
        <v>2</v>
      </c>
      <c r="P221" s="2479" t="s">
        <v>12318</v>
      </c>
    </row>
    <row r="222" spans="1:16" ht="15" customHeight="1" x14ac:dyDescent="0.2">
      <c r="A222" s="2769">
        <v>3.15</v>
      </c>
      <c r="B222" s="2502" t="s">
        <v>9529</v>
      </c>
      <c r="C222" s="2503" t="s">
        <v>191</v>
      </c>
      <c r="D222" s="2614"/>
      <c r="E222" s="2614"/>
      <c r="F222" s="2488"/>
      <c r="G222" s="2488"/>
      <c r="H222" s="3224">
        <v>24845</v>
      </c>
      <c r="I222" s="2488"/>
      <c r="J222" s="2488"/>
      <c r="K222" s="2488"/>
      <c r="L222" s="2488"/>
      <c r="M222" s="2513">
        <v>1969981</v>
      </c>
      <c r="N222" s="2513">
        <v>0</v>
      </c>
      <c r="O222" s="2505">
        <v>1969981</v>
      </c>
      <c r="P222" s="2479" t="s">
        <v>12319</v>
      </c>
    </row>
    <row r="223" spans="1:16" ht="15" customHeight="1" x14ac:dyDescent="0.2">
      <c r="A223" s="2769">
        <v>3.16</v>
      </c>
      <c r="B223" s="2502" t="s">
        <v>9134</v>
      </c>
      <c r="C223" s="2503" t="s">
        <v>190</v>
      </c>
      <c r="D223" s="2614"/>
      <c r="E223" s="2614"/>
      <c r="F223" s="2488"/>
      <c r="G223" s="2488"/>
      <c r="H223" s="3224">
        <v>35830</v>
      </c>
      <c r="I223" s="2488"/>
      <c r="J223" s="2488"/>
      <c r="K223" s="2488"/>
      <c r="L223" s="2488"/>
      <c r="M223" s="2513">
        <v>1889679</v>
      </c>
      <c r="N223" s="2514">
        <v>1698</v>
      </c>
      <c r="O223" s="2505">
        <v>1891377</v>
      </c>
      <c r="P223" s="2479" t="s">
        <v>12320</v>
      </c>
    </row>
    <row r="224" spans="1:16" ht="15" customHeight="1" x14ac:dyDescent="0.2">
      <c r="A224" s="2769">
        <v>3.17</v>
      </c>
      <c r="B224" s="2502" t="s">
        <v>9135</v>
      </c>
      <c r="C224" s="2503" t="s">
        <v>190</v>
      </c>
      <c r="D224" s="2614"/>
      <c r="E224" s="2614"/>
      <c r="F224" s="2488"/>
      <c r="G224" s="2488"/>
      <c r="H224" s="3224">
        <v>333964</v>
      </c>
      <c r="I224" s="2488"/>
      <c r="J224" s="2488"/>
      <c r="K224" s="2488"/>
      <c r="L224" s="2488"/>
      <c r="M224" s="2513">
        <v>23458298</v>
      </c>
      <c r="N224" s="2513">
        <v>0</v>
      </c>
      <c r="O224" s="2505">
        <v>23458298</v>
      </c>
      <c r="P224" s="2479" t="s">
        <v>12321</v>
      </c>
    </row>
    <row r="225" spans="1:16" ht="15" customHeight="1" x14ac:dyDescent="0.2">
      <c r="A225" s="2769">
        <v>3.18</v>
      </c>
      <c r="B225" s="2502" t="s">
        <v>12322</v>
      </c>
      <c r="C225" s="2503" t="s">
        <v>191</v>
      </c>
      <c r="D225" s="2614"/>
      <c r="E225" s="2614"/>
      <c r="F225" s="2488"/>
      <c r="G225" s="2488"/>
      <c r="H225" s="3224">
        <v>408</v>
      </c>
      <c r="I225" s="2488"/>
      <c r="J225" s="2488"/>
      <c r="K225" s="2488"/>
      <c r="L225" s="2488"/>
      <c r="M225" s="2513">
        <v>25949</v>
      </c>
      <c r="N225" s="2513">
        <v>0</v>
      </c>
      <c r="O225" s="2505">
        <v>25949</v>
      </c>
      <c r="P225" s="2479" t="s">
        <v>12323</v>
      </c>
    </row>
    <row r="226" spans="1:16" ht="15" customHeight="1" x14ac:dyDescent="0.2">
      <c r="A226" s="2769">
        <v>3.19</v>
      </c>
      <c r="B226" s="2744" t="s">
        <v>9136</v>
      </c>
      <c r="C226" s="2489" t="s">
        <v>190</v>
      </c>
      <c r="D226" s="2614"/>
      <c r="E226" s="2614"/>
      <c r="F226" s="2488"/>
      <c r="G226" s="2488"/>
      <c r="H226" s="3226">
        <v>452</v>
      </c>
      <c r="I226" s="2488"/>
      <c r="J226" s="2488"/>
      <c r="K226" s="2488"/>
      <c r="L226" s="2488"/>
      <c r="M226" s="2513">
        <v>3107</v>
      </c>
      <c r="N226" s="2514">
        <v>20519</v>
      </c>
      <c r="O226" s="2505">
        <v>23626</v>
      </c>
      <c r="P226" s="2479" t="s">
        <v>12324</v>
      </c>
    </row>
    <row r="227" spans="1:16" ht="15" customHeight="1" x14ac:dyDescent="0.2">
      <c r="A227" s="2769">
        <v>3.2</v>
      </c>
      <c r="B227" s="2512" t="s">
        <v>9530</v>
      </c>
      <c r="C227" s="2503" t="s">
        <v>191</v>
      </c>
      <c r="D227" s="2614"/>
      <c r="E227" s="2614"/>
      <c r="F227" s="2488"/>
      <c r="G227" s="2488"/>
      <c r="H227" s="3224">
        <v>178716</v>
      </c>
      <c r="I227" s="2488"/>
      <c r="J227" s="2488"/>
      <c r="K227" s="2488"/>
      <c r="L227" s="2488"/>
      <c r="M227" s="2513">
        <v>4813163</v>
      </c>
      <c r="N227" s="2514">
        <v>761339</v>
      </c>
      <c r="O227" s="2505">
        <v>5574502</v>
      </c>
      <c r="P227" s="2479" t="s">
        <v>12325</v>
      </c>
    </row>
    <row r="228" spans="1:16" ht="15" customHeight="1" x14ac:dyDescent="0.2">
      <c r="A228" s="2769">
        <v>3.21</v>
      </c>
      <c r="B228" s="2512" t="s">
        <v>9531</v>
      </c>
      <c r="C228" s="2503" t="s">
        <v>191</v>
      </c>
      <c r="D228" s="2614"/>
      <c r="E228" s="2614"/>
      <c r="F228" s="2488"/>
      <c r="G228" s="2488"/>
      <c r="H228" s="3224">
        <v>49</v>
      </c>
      <c r="I228" s="2488"/>
      <c r="J228" s="2488"/>
      <c r="K228" s="2488"/>
      <c r="L228" s="2488"/>
      <c r="M228" s="2513">
        <v>882</v>
      </c>
      <c r="N228" s="2513">
        <v>0</v>
      </c>
      <c r="O228" s="2505">
        <v>882</v>
      </c>
      <c r="P228" s="2479" t="s">
        <v>12326</v>
      </c>
    </row>
    <row r="229" spans="1:16" ht="15" customHeight="1" x14ac:dyDescent="0.2">
      <c r="A229" s="2769">
        <v>3.22</v>
      </c>
      <c r="B229" s="2512" t="s">
        <v>9534</v>
      </c>
      <c r="C229" s="2503" t="s">
        <v>191</v>
      </c>
      <c r="D229" s="2614"/>
      <c r="E229" s="2614"/>
      <c r="F229" s="2488"/>
      <c r="G229" s="2488"/>
      <c r="H229" s="3224">
        <v>847</v>
      </c>
      <c r="I229" s="2488"/>
      <c r="J229" s="2488"/>
      <c r="K229" s="2488"/>
      <c r="L229" s="2488"/>
      <c r="M229" s="2513">
        <v>54047</v>
      </c>
      <c r="N229" s="2513">
        <v>0</v>
      </c>
      <c r="O229" s="2505">
        <v>54047</v>
      </c>
      <c r="P229" s="2479" t="s">
        <v>12327</v>
      </c>
    </row>
    <row r="230" spans="1:16" ht="15" customHeight="1" x14ac:dyDescent="0.2">
      <c r="A230" s="2769">
        <v>3.23</v>
      </c>
      <c r="B230" s="2512" t="s">
        <v>9825</v>
      </c>
      <c r="C230" s="2503" t="s">
        <v>190</v>
      </c>
      <c r="D230" s="2614"/>
      <c r="E230" s="2614"/>
      <c r="F230" s="2614"/>
      <c r="G230" s="2614"/>
      <c r="H230" s="3224">
        <v>2400</v>
      </c>
      <c r="I230" s="2488"/>
      <c r="J230" s="2488"/>
      <c r="K230" s="2488"/>
      <c r="L230" s="2488"/>
      <c r="M230" s="2513">
        <v>81200</v>
      </c>
      <c r="N230" s="2513">
        <v>0</v>
      </c>
      <c r="O230" s="2505">
        <v>81200</v>
      </c>
      <c r="P230" s="2479" t="s">
        <v>12328</v>
      </c>
    </row>
    <row r="231" spans="1:16" ht="15" customHeight="1" x14ac:dyDescent="0.2">
      <c r="A231" s="2769">
        <v>3.24</v>
      </c>
      <c r="B231" s="2512" t="s">
        <v>9535</v>
      </c>
      <c r="C231" s="2489" t="s">
        <v>191</v>
      </c>
      <c r="D231" s="2614"/>
      <c r="E231" s="2614"/>
      <c r="F231" s="2488"/>
      <c r="G231" s="2488"/>
      <c r="H231" s="3224">
        <v>45396</v>
      </c>
      <c r="I231" s="2488"/>
      <c r="J231" s="2488"/>
      <c r="K231" s="2488"/>
      <c r="L231" s="2488"/>
      <c r="M231" s="2513">
        <v>2751149</v>
      </c>
      <c r="N231" s="2513">
        <v>0</v>
      </c>
      <c r="O231" s="2505">
        <v>2751149</v>
      </c>
      <c r="P231" s="2479" t="s">
        <v>12329</v>
      </c>
    </row>
    <row r="232" spans="1:16" ht="15" customHeight="1" x14ac:dyDescent="0.2">
      <c r="A232" s="2769">
        <v>3.25</v>
      </c>
      <c r="B232" s="2512" t="s">
        <v>9536</v>
      </c>
      <c r="C232" s="2503" t="s">
        <v>191</v>
      </c>
      <c r="D232" s="2614"/>
      <c r="E232" s="2513">
        <v>0</v>
      </c>
      <c r="F232" s="2513">
        <v>0</v>
      </c>
      <c r="G232" s="2513">
        <v>0</v>
      </c>
      <c r="H232" s="3224">
        <v>822</v>
      </c>
      <c r="I232" s="2488"/>
      <c r="J232" s="2488"/>
      <c r="K232" s="2488"/>
      <c r="L232" s="2513">
        <v>22505</v>
      </c>
      <c r="M232" s="2513">
        <v>128962</v>
      </c>
      <c r="N232" s="2513">
        <v>0</v>
      </c>
      <c r="O232" s="2505">
        <v>151467</v>
      </c>
      <c r="P232" s="2479" t="s">
        <v>12330</v>
      </c>
    </row>
    <row r="233" spans="1:16" ht="15" customHeight="1" x14ac:dyDescent="0.2">
      <c r="A233" s="2769">
        <v>3.26</v>
      </c>
      <c r="B233" s="2512" t="s">
        <v>9537</v>
      </c>
      <c r="C233" s="2503" t="s">
        <v>191</v>
      </c>
      <c r="D233" s="2614"/>
      <c r="E233" s="2614"/>
      <c r="F233" s="2488"/>
      <c r="G233" s="2488"/>
      <c r="H233" s="3224">
        <v>5492</v>
      </c>
      <c r="I233" s="2488"/>
      <c r="J233" s="2488"/>
      <c r="K233" s="2488"/>
      <c r="L233" s="2488"/>
      <c r="M233" s="2513">
        <v>386850</v>
      </c>
      <c r="N233" s="2513">
        <v>0</v>
      </c>
      <c r="O233" s="2505">
        <v>386850</v>
      </c>
      <c r="P233" s="2479" t="s">
        <v>12331</v>
      </c>
    </row>
    <row r="234" spans="1:16" ht="15" customHeight="1" x14ac:dyDescent="0.2">
      <c r="A234" s="2769">
        <v>3.27</v>
      </c>
      <c r="B234" s="2512" t="s">
        <v>9537</v>
      </c>
      <c r="C234" s="2947" t="s">
        <v>196</v>
      </c>
      <c r="D234" s="2614"/>
      <c r="E234" s="2614"/>
      <c r="F234" s="2488"/>
      <c r="G234" s="2488"/>
      <c r="H234" s="3224">
        <v>413</v>
      </c>
      <c r="I234" s="2488"/>
      <c r="J234" s="2488"/>
      <c r="K234" s="2488"/>
      <c r="L234" s="2488"/>
      <c r="M234" s="2513">
        <v>0</v>
      </c>
      <c r="N234" s="2514">
        <v>25616</v>
      </c>
      <c r="O234" s="2505">
        <v>25616</v>
      </c>
      <c r="P234" s="2479" t="s">
        <v>12332</v>
      </c>
    </row>
    <row r="235" spans="1:16" ht="15" customHeight="1" x14ac:dyDescent="0.2">
      <c r="A235" s="2769">
        <v>3.28</v>
      </c>
      <c r="B235" s="2512" t="s">
        <v>9538</v>
      </c>
      <c r="C235" s="2503" t="s">
        <v>192</v>
      </c>
      <c r="D235" s="2614"/>
      <c r="E235" s="2614"/>
      <c r="F235" s="2488"/>
      <c r="G235" s="2488"/>
      <c r="H235" s="3224">
        <v>1540</v>
      </c>
      <c r="I235" s="2488"/>
      <c r="J235" s="2488"/>
      <c r="K235" s="2488"/>
      <c r="L235" s="2488"/>
      <c r="M235" s="2513">
        <v>55268</v>
      </c>
      <c r="N235" s="2513">
        <v>0</v>
      </c>
      <c r="O235" s="2505">
        <v>55268</v>
      </c>
      <c r="P235" s="2479" t="s">
        <v>12333</v>
      </c>
    </row>
    <row r="236" spans="1:16" ht="15" customHeight="1" x14ac:dyDescent="0.2">
      <c r="A236" s="2769">
        <v>3.29</v>
      </c>
      <c r="B236" s="2502" t="s">
        <v>9541</v>
      </c>
      <c r="C236" s="2503" t="s">
        <v>191</v>
      </c>
      <c r="D236" s="2614"/>
      <c r="E236" s="2771">
        <v>2</v>
      </c>
      <c r="F236" s="2513">
        <v>2</v>
      </c>
      <c r="G236" s="2513">
        <v>1</v>
      </c>
      <c r="H236" s="3224">
        <v>5469</v>
      </c>
      <c r="I236" s="2488"/>
      <c r="J236" s="2488"/>
      <c r="K236" s="2488"/>
      <c r="L236" s="2513">
        <v>347748</v>
      </c>
      <c r="M236" s="2513">
        <v>299175</v>
      </c>
      <c r="N236" s="2513">
        <v>0</v>
      </c>
      <c r="O236" s="2505">
        <v>646923</v>
      </c>
      <c r="P236" s="2479" t="s">
        <v>12334</v>
      </c>
    </row>
    <row r="237" spans="1:16" ht="15" customHeight="1" x14ac:dyDescent="0.2">
      <c r="A237" s="2769">
        <v>3.3</v>
      </c>
      <c r="B237" s="2502" t="s">
        <v>9542</v>
      </c>
      <c r="C237" s="2503" t="s">
        <v>191</v>
      </c>
      <c r="D237" s="2614"/>
      <c r="E237" s="2771">
        <v>3</v>
      </c>
      <c r="F237" s="2513">
        <v>3</v>
      </c>
      <c r="G237" s="2513">
        <v>1</v>
      </c>
      <c r="H237" s="3224">
        <v>7058</v>
      </c>
      <c r="I237" s="2488"/>
      <c r="J237" s="2488"/>
      <c r="K237" s="2488"/>
      <c r="L237" s="2513">
        <v>253435</v>
      </c>
      <c r="M237" s="2513">
        <v>329613</v>
      </c>
      <c r="N237" s="2513">
        <v>0</v>
      </c>
      <c r="O237" s="2505">
        <v>583048</v>
      </c>
      <c r="P237" s="2479" t="s">
        <v>12335</v>
      </c>
    </row>
    <row r="238" spans="1:16" ht="15" customHeight="1" x14ac:dyDescent="0.2">
      <c r="A238" s="2769">
        <v>3.31</v>
      </c>
      <c r="B238" s="2502" t="s">
        <v>9543</v>
      </c>
      <c r="C238" s="2503" t="s">
        <v>191</v>
      </c>
      <c r="D238" s="2614"/>
      <c r="E238" s="2771">
        <v>2</v>
      </c>
      <c r="F238" s="2513">
        <v>7</v>
      </c>
      <c r="G238" s="2513">
        <v>3</v>
      </c>
      <c r="H238" s="3224">
        <v>6217</v>
      </c>
      <c r="I238" s="2488"/>
      <c r="J238" s="2488"/>
      <c r="K238" s="2488"/>
      <c r="L238" s="2513">
        <v>360732</v>
      </c>
      <c r="M238" s="2513">
        <v>340092</v>
      </c>
      <c r="N238" s="2513">
        <v>0</v>
      </c>
      <c r="O238" s="2505">
        <v>700824</v>
      </c>
      <c r="P238" s="2479" t="s">
        <v>12336</v>
      </c>
    </row>
    <row r="239" spans="1:16" ht="15" customHeight="1" x14ac:dyDescent="0.2">
      <c r="A239" s="2769">
        <v>3.32</v>
      </c>
      <c r="B239" s="2502" t="s">
        <v>9544</v>
      </c>
      <c r="C239" s="2503" t="s">
        <v>191</v>
      </c>
      <c r="D239" s="2614"/>
      <c r="E239" s="2771">
        <v>3</v>
      </c>
      <c r="F239" s="2513">
        <v>7</v>
      </c>
      <c r="G239" s="2513">
        <v>3</v>
      </c>
      <c r="H239" s="3224">
        <v>6028</v>
      </c>
      <c r="I239" s="2488"/>
      <c r="J239" s="2488"/>
      <c r="K239" s="2488"/>
      <c r="L239" s="2513">
        <v>384661</v>
      </c>
      <c r="M239" s="2513">
        <v>329733</v>
      </c>
      <c r="N239" s="2513">
        <v>0</v>
      </c>
      <c r="O239" s="2505">
        <v>714394</v>
      </c>
      <c r="P239" s="2479" t="s">
        <v>12337</v>
      </c>
    </row>
    <row r="240" spans="1:16" ht="15" customHeight="1" x14ac:dyDescent="0.2">
      <c r="A240" s="2769">
        <v>3.33</v>
      </c>
      <c r="B240" s="2512" t="s">
        <v>9545</v>
      </c>
      <c r="C240" s="2503" t="s">
        <v>191</v>
      </c>
      <c r="D240" s="2614"/>
      <c r="E240" s="2771">
        <v>3</v>
      </c>
      <c r="F240" s="2513">
        <v>7</v>
      </c>
      <c r="G240" s="2513">
        <v>3</v>
      </c>
      <c r="H240" s="3226">
        <v>7103</v>
      </c>
      <c r="I240" s="2488"/>
      <c r="J240" s="2488"/>
      <c r="K240" s="2488"/>
      <c r="L240" s="2513">
        <v>258581</v>
      </c>
      <c r="M240" s="2513">
        <v>331690</v>
      </c>
      <c r="N240" s="2513">
        <v>0</v>
      </c>
      <c r="O240" s="2505">
        <v>590271</v>
      </c>
      <c r="P240" s="2479" t="s">
        <v>12338</v>
      </c>
    </row>
    <row r="241" spans="1:16" ht="15" customHeight="1" x14ac:dyDescent="0.2">
      <c r="A241" s="2769">
        <v>3.34</v>
      </c>
      <c r="B241" s="2512" t="s">
        <v>9546</v>
      </c>
      <c r="C241" s="2503" t="s">
        <v>191</v>
      </c>
      <c r="D241" s="2614"/>
      <c r="E241" s="2614"/>
      <c r="F241" s="2488"/>
      <c r="G241" s="2488"/>
      <c r="H241" s="3224">
        <v>1543</v>
      </c>
      <c r="I241" s="2488"/>
      <c r="J241" s="2488"/>
      <c r="K241" s="2488"/>
      <c r="L241" s="2488"/>
      <c r="M241" s="2513">
        <v>88311</v>
      </c>
      <c r="N241" s="2488"/>
      <c r="O241" s="2505">
        <v>88311</v>
      </c>
      <c r="P241" s="2479" t="s">
        <v>12339</v>
      </c>
    </row>
    <row r="242" spans="1:16" ht="15" customHeight="1" x14ac:dyDescent="0.2">
      <c r="A242" s="2769">
        <v>3.35</v>
      </c>
      <c r="B242" s="2512" t="s">
        <v>9547</v>
      </c>
      <c r="C242" s="2503" t="s">
        <v>191</v>
      </c>
      <c r="D242" s="2614"/>
      <c r="E242" s="2771">
        <v>55</v>
      </c>
      <c r="F242" s="2513">
        <v>53</v>
      </c>
      <c r="G242" s="2513">
        <v>51</v>
      </c>
      <c r="H242" s="3224">
        <v>400956</v>
      </c>
      <c r="I242" s="2488"/>
      <c r="J242" s="2488"/>
      <c r="K242" s="2488"/>
      <c r="L242" s="2513">
        <v>11574588</v>
      </c>
      <c r="M242" s="2513">
        <v>20087636</v>
      </c>
      <c r="N242" s="2513">
        <v>0</v>
      </c>
      <c r="O242" s="2505">
        <v>31662224</v>
      </c>
      <c r="P242" s="2479" t="s">
        <v>12340</v>
      </c>
    </row>
    <row r="243" spans="1:16" ht="15" customHeight="1" x14ac:dyDescent="0.2">
      <c r="A243" s="2769">
        <v>3.36</v>
      </c>
      <c r="B243" s="2512" t="s">
        <v>12341</v>
      </c>
      <c r="C243" s="2947" t="s">
        <v>196</v>
      </c>
      <c r="D243" s="2614"/>
      <c r="E243" s="2614"/>
      <c r="F243" s="2488"/>
      <c r="G243" s="2488"/>
      <c r="H243" s="3224">
        <v>0</v>
      </c>
      <c r="I243" s="2488"/>
      <c r="J243" s="2488"/>
      <c r="K243" s="2488"/>
      <c r="L243" s="2488"/>
      <c r="M243" s="2513">
        <v>0</v>
      </c>
      <c r="N243" s="2514">
        <v>-28892</v>
      </c>
      <c r="O243" s="2505">
        <v>-28892</v>
      </c>
      <c r="P243" s="2479" t="s">
        <v>12342</v>
      </c>
    </row>
    <row r="244" spans="1:16" ht="15" customHeight="1" x14ac:dyDescent="0.2">
      <c r="A244" s="2769">
        <v>3.37</v>
      </c>
      <c r="B244" s="2512" t="s">
        <v>9548</v>
      </c>
      <c r="C244" s="2503" t="s">
        <v>191</v>
      </c>
      <c r="D244" s="2614"/>
      <c r="E244" s="2614"/>
      <c r="F244" s="2614"/>
      <c r="G244" s="2614"/>
      <c r="H244" s="3224">
        <v>2133</v>
      </c>
      <c r="I244" s="2488"/>
      <c r="J244" s="2488"/>
      <c r="K244" s="2488"/>
      <c r="L244" s="2488"/>
      <c r="M244" s="2513">
        <v>171867</v>
      </c>
      <c r="N244" s="2513">
        <v>0</v>
      </c>
      <c r="O244" s="2505">
        <v>171867</v>
      </c>
      <c r="P244" s="2479" t="s">
        <v>12343</v>
      </c>
    </row>
    <row r="245" spans="1:16" ht="15" customHeight="1" x14ac:dyDescent="0.2">
      <c r="A245" s="2769">
        <v>3.38</v>
      </c>
      <c r="B245" s="2512" t="s">
        <v>9549</v>
      </c>
      <c r="C245" s="2489" t="s">
        <v>191</v>
      </c>
      <c r="D245" s="2614"/>
      <c r="E245" s="2614"/>
      <c r="F245" s="2488"/>
      <c r="G245" s="2488"/>
      <c r="H245" s="3224">
        <v>179694</v>
      </c>
      <c r="I245" s="2488"/>
      <c r="J245" s="2488"/>
      <c r="K245" s="2488"/>
      <c r="L245" s="2488"/>
      <c r="M245" s="2513">
        <v>7686198</v>
      </c>
      <c r="N245" s="2513">
        <v>0</v>
      </c>
      <c r="O245" s="2505">
        <v>7686198</v>
      </c>
      <c r="P245" s="2479" t="s">
        <v>12344</v>
      </c>
    </row>
    <row r="246" spans="1:16" ht="15" customHeight="1" x14ac:dyDescent="0.2">
      <c r="A246" s="2769">
        <v>3.39</v>
      </c>
      <c r="B246" s="2512" t="s">
        <v>9137</v>
      </c>
      <c r="C246" s="2503" t="s">
        <v>190</v>
      </c>
      <c r="D246" s="2614"/>
      <c r="E246" s="2614"/>
      <c r="F246" s="2488"/>
      <c r="G246" s="2488"/>
      <c r="H246" s="3224">
        <v>75150</v>
      </c>
      <c r="I246" s="2488"/>
      <c r="J246" s="2488"/>
      <c r="K246" s="2488"/>
      <c r="L246" s="2488"/>
      <c r="M246" s="2513">
        <v>5335471</v>
      </c>
      <c r="N246" s="2514">
        <v>45000</v>
      </c>
      <c r="O246" s="2505">
        <v>5380471</v>
      </c>
      <c r="P246" s="2479" t="s">
        <v>12345</v>
      </c>
    </row>
    <row r="247" spans="1:16" ht="15" customHeight="1" x14ac:dyDescent="0.2">
      <c r="A247" s="2769">
        <v>3.4</v>
      </c>
      <c r="B247" s="2512" t="s">
        <v>9137</v>
      </c>
      <c r="C247" s="2503" t="s">
        <v>190</v>
      </c>
      <c r="D247" s="2614"/>
      <c r="E247" s="2614"/>
      <c r="F247" s="2488"/>
      <c r="G247" s="2488"/>
      <c r="H247" s="3224">
        <v>15</v>
      </c>
      <c r="I247" s="2488"/>
      <c r="J247" s="2488"/>
      <c r="K247" s="2488"/>
      <c r="L247" s="2488"/>
      <c r="M247" s="2513">
        <v>0</v>
      </c>
      <c r="N247" s="2514">
        <v>734</v>
      </c>
      <c r="O247" s="2505">
        <v>734</v>
      </c>
      <c r="P247" s="2479" t="s">
        <v>12346</v>
      </c>
    </row>
    <row r="248" spans="1:16" ht="15" customHeight="1" x14ac:dyDescent="0.2">
      <c r="A248" s="2769">
        <v>3.41</v>
      </c>
      <c r="B248" s="2512" t="s">
        <v>9550</v>
      </c>
      <c r="C248" s="2503" t="s">
        <v>191</v>
      </c>
      <c r="D248" s="2614"/>
      <c r="E248" s="2614"/>
      <c r="F248" s="2488"/>
      <c r="G248" s="2488"/>
      <c r="H248" s="3224">
        <v>1487</v>
      </c>
      <c r="I248" s="2488"/>
      <c r="J248" s="2488"/>
      <c r="K248" s="2488"/>
      <c r="L248" s="2488"/>
      <c r="M248" s="2513">
        <v>20772</v>
      </c>
      <c r="N248" s="2513">
        <v>0</v>
      </c>
      <c r="O248" s="2505">
        <v>20772</v>
      </c>
      <c r="P248" s="2479" t="s">
        <v>12347</v>
      </c>
    </row>
    <row r="249" spans="1:16" ht="15" customHeight="1" x14ac:dyDescent="0.2">
      <c r="A249" s="2769">
        <v>3.42</v>
      </c>
      <c r="B249" s="2512" t="s">
        <v>9138</v>
      </c>
      <c r="C249" s="2503" t="s">
        <v>190</v>
      </c>
      <c r="D249" s="2614"/>
      <c r="E249" s="2614"/>
      <c r="F249" s="2488"/>
      <c r="G249" s="2488"/>
      <c r="H249" s="3224">
        <v>33057</v>
      </c>
      <c r="I249" s="2488"/>
      <c r="J249" s="2488"/>
      <c r="K249" s="2488"/>
      <c r="L249" s="2488"/>
      <c r="M249" s="2513">
        <v>2396563</v>
      </c>
      <c r="N249" s="2513">
        <v>0</v>
      </c>
      <c r="O249" s="2505">
        <v>2396563</v>
      </c>
      <c r="P249" s="2479" t="s">
        <v>12348</v>
      </c>
    </row>
    <row r="250" spans="1:16" ht="15" customHeight="1" x14ac:dyDescent="0.2">
      <c r="A250" s="2769">
        <v>3.43</v>
      </c>
      <c r="B250" s="2502" t="s">
        <v>9551</v>
      </c>
      <c r="C250" s="2503" t="s">
        <v>191</v>
      </c>
      <c r="D250" s="2614"/>
      <c r="E250" s="2614"/>
      <c r="F250" s="2488"/>
      <c r="G250" s="2488"/>
      <c r="H250" s="3224">
        <v>1598</v>
      </c>
      <c r="I250" s="2488"/>
      <c r="J250" s="2488"/>
      <c r="K250" s="2488"/>
      <c r="L250" s="2488"/>
      <c r="M250" s="2513">
        <v>24978</v>
      </c>
      <c r="N250" s="2513">
        <v>0</v>
      </c>
      <c r="O250" s="2505">
        <v>24978</v>
      </c>
      <c r="P250" s="2479" t="s">
        <v>12349</v>
      </c>
    </row>
    <row r="251" spans="1:16" ht="15" customHeight="1" x14ac:dyDescent="0.2">
      <c r="A251" s="2769">
        <v>3.44</v>
      </c>
      <c r="B251" s="2502" t="s">
        <v>9552</v>
      </c>
      <c r="C251" s="2503" t="s">
        <v>191</v>
      </c>
      <c r="D251" s="2614"/>
      <c r="E251" s="2614"/>
      <c r="F251" s="2488"/>
      <c r="G251" s="2488"/>
      <c r="H251" s="3224">
        <v>4229</v>
      </c>
      <c r="I251" s="2488"/>
      <c r="J251" s="2488"/>
      <c r="K251" s="2488"/>
      <c r="L251" s="2488"/>
      <c r="M251" s="2513">
        <v>222983</v>
      </c>
      <c r="N251" s="2513">
        <v>0</v>
      </c>
      <c r="O251" s="2505">
        <v>222983</v>
      </c>
      <c r="P251" s="2479" t="s">
        <v>12350</v>
      </c>
    </row>
    <row r="252" spans="1:16" ht="15" customHeight="1" x14ac:dyDescent="0.2">
      <c r="A252" s="2769">
        <v>3.45</v>
      </c>
      <c r="B252" s="2502" t="s">
        <v>9139</v>
      </c>
      <c r="C252" s="2503" t="s">
        <v>190</v>
      </c>
      <c r="D252" s="2614"/>
      <c r="E252" s="2614"/>
      <c r="F252" s="2488"/>
      <c r="G252" s="2488"/>
      <c r="H252" s="3224">
        <v>101829</v>
      </c>
      <c r="I252" s="2488"/>
      <c r="J252" s="2488"/>
      <c r="K252" s="2488"/>
      <c r="L252" s="2488"/>
      <c r="M252" s="2513">
        <v>6796753</v>
      </c>
      <c r="N252" s="2513">
        <v>0</v>
      </c>
      <c r="O252" s="2505">
        <v>6796753</v>
      </c>
      <c r="P252" s="2479" t="s">
        <v>12351</v>
      </c>
    </row>
    <row r="253" spans="1:16" ht="15" customHeight="1" x14ac:dyDescent="0.2">
      <c r="A253" s="2769">
        <v>3.46</v>
      </c>
      <c r="B253" s="2502" t="s">
        <v>9553</v>
      </c>
      <c r="C253" s="2503" t="s">
        <v>191</v>
      </c>
      <c r="D253" s="2614"/>
      <c r="E253" s="2614"/>
      <c r="F253" s="2488"/>
      <c r="G253" s="2488"/>
      <c r="H253" s="3224">
        <v>301476</v>
      </c>
      <c r="I253" s="2488"/>
      <c r="J253" s="2488"/>
      <c r="K253" s="2488"/>
      <c r="L253" s="2488"/>
      <c r="M253" s="2513">
        <v>19230724</v>
      </c>
      <c r="N253" s="2513">
        <v>0</v>
      </c>
      <c r="O253" s="2505">
        <v>19230724</v>
      </c>
      <c r="P253" s="2479" t="s">
        <v>12352</v>
      </c>
    </row>
    <row r="254" spans="1:16" ht="15" customHeight="1" x14ac:dyDescent="0.2">
      <c r="A254" s="2769">
        <v>3.47</v>
      </c>
      <c r="B254" s="2512" t="s">
        <v>9554</v>
      </c>
      <c r="C254" s="2503" t="s">
        <v>191</v>
      </c>
      <c r="D254" s="2614"/>
      <c r="E254" s="2614"/>
      <c r="F254" s="2488"/>
      <c r="G254" s="2488"/>
      <c r="H254" s="3226">
        <v>225081</v>
      </c>
      <c r="I254" s="2488"/>
      <c r="J254" s="2488"/>
      <c r="K254" s="2488"/>
      <c r="L254" s="2488"/>
      <c r="M254" s="2513">
        <v>9531646</v>
      </c>
      <c r="N254" s="2513">
        <v>0</v>
      </c>
      <c r="O254" s="2505">
        <v>9531646</v>
      </c>
      <c r="P254" s="2479" t="s">
        <v>12353</v>
      </c>
    </row>
    <row r="255" spans="1:16" ht="15" customHeight="1" x14ac:dyDescent="0.2">
      <c r="A255" s="2769">
        <v>3.48</v>
      </c>
      <c r="B255" s="2512" t="s">
        <v>9555</v>
      </c>
      <c r="C255" s="2503" t="s">
        <v>191</v>
      </c>
      <c r="D255" s="2614"/>
      <c r="E255" s="2614"/>
      <c r="F255" s="2488"/>
      <c r="G255" s="2488"/>
      <c r="H255" s="3224">
        <v>1862</v>
      </c>
      <c r="I255" s="2488"/>
      <c r="J255" s="2488"/>
      <c r="K255" s="2488"/>
      <c r="L255" s="2488"/>
      <c r="M255" s="2513">
        <v>100438</v>
      </c>
      <c r="N255" s="2513">
        <v>0</v>
      </c>
      <c r="O255" s="2505">
        <v>100438</v>
      </c>
      <c r="P255" s="2479" t="s">
        <v>12354</v>
      </c>
    </row>
    <row r="256" spans="1:16" ht="15" customHeight="1" x14ac:dyDescent="0.2">
      <c r="A256" s="2769">
        <v>3.49</v>
      </c>
      <c r="B256" s="2512" t="s">
        <v>9556</v>
      </c>
      <c r="C256" s="2503" t="s">
        <v>191</v>
      </c>
      <c r="D256" s="2614"/>
      <c r="E256" s="2614"/>
      <c r="F256" s="2488"/>
      <c r="G256" s="2488"/>
      <c r="H256" s="3224">
        <v>22869</v>
      </c>
      <c r="I256" s="2488"/>
      <c r="J256" s="2488"/>
      <c r="K256" s="2488"/>
      <c r="L256" s="2488"/>
      <c r="M256" s="2513">
        <v>1845660</v>
      </c>
      <c r="N256" s="2513">
        <v>0</v>
      </c>
      <c r="O256" s="2505">
        <v>1845660</v>
      </c>
      <c r="P256" s="2479" t="s">
        <v>12355</v>
      </c>
    </row>
    <row r="257" spans="1:16" ht="15" customHeight="1" x14ac:dyDescent="0.2">
      <c r="A257" s="2769">
        <v>3.5</v>
      </c>
      <c r="B257" s="2512" t="s">
        <v>9557</v>
      </c>
      <c r="C257" s="2503" t="s">
        <v>191</v>
      </c>
      <c r="D257" s="2614"/>
      <c r="E257" s="2614"/>
      <c r="F257" s="2488"/>
      <c r="G257" s="2488"/>
      <c r="H257" s="3224">
        <v>36313</v>
      </c>
      <c r="I257" s="2488"/>
      <c r="J257" s="2488"/>
      <c r="K257" s="2488"/>
      <c r="L257" s="2488"/>
      <c r="M257" s="2513">
        <v>2896205</v>
      </c>
      <c r="N257" s="2513">
        <v>0</v>
      </c>
      <c r="O257" s="2505">
        <v>2896205</v>
      </c>
      <c r="P257" s="2479" t="s">
        <v>12356</v>
      </c>
    </row>
    <row r="258" spans="1:16" ht="15" customHeight="1" x14ac:dyDescent="0.2">
      <c r="A258" s="2769">
        <v>3.51</v>
      </c>
      <c r="B258" s="2512" t="s">
        <v>9558</v>
      </c>
      <c r="C258" s="2503" t="s">
        <v>191</v>
      </c>
      <c r="D258" s="2614"/>
      <c r="E258" s="2614"/>
      <c r="F258" s="2614"/>
      <c r="G258" s="2614"/>
      <c r="H258" s="3224">
        <v>2482</v>
      </c>
      <c r="I258" s="2488"/>
      <c r="J258" s="2488"/>
      <c r="K258" s="2488"/>
      <c r="L258" s="2488"/>
      <c r="M258" s="2513">
        <v>68577</v>
      </c>
      <c r="N258" s="2513">
        <v>0</v>
      </c>
      <c r="O258" s="2505">
        <v>68577</v>
      </c>
      <c r="P258" s="2479" t="s">
        <v>12357</v>
      </c>
    </row>
    <row r="259" spans="1:16" ht="15" customHeight="1" x14ac:dyDescent="0.2">
      <c r="A259" s="2769">
        <v>3.52</v>
      </c>
      <c r="B259" s="2512" t="s">
        <v>9559</v>
      </c>
      <c r="C259" s="2489" t="s">
        <v>191</v>
      </c>
      <c r="D259" s="2614"/>
      <c r="E259" s="2614"/>
      <c r="F259" s="2488"/>
      <c r="G259" s="2488"/>
      <c r="H259" s="3224">
        <v>392340</v>
      </c>
      <c r="I259" s="2488"/>
      <c r="J259" s="2488"/>
      <c r="K259" s="2488"/>
      <c r="L259" s="2488"/>
      <c r="M259" s="2513">
        <v>25894240</v>
      </c>
      <c r="N259" s="2514">
        <v>12350384</v>
      </c>
      <c r="O259" s="2505">
        <v>38244624</v>
      </c>
      <c r="P259" s="2479" t="s">
        <v>12358</v>
      </c>
    </row>
    <row r="260" spans="1:16" ht="15" customHeight="1" x14ac:dyDescent="0.2">
      <c r="A260" s="2769">
        <v>3.53</v>
      </c>
      <c r="B260" s="2512" t="s">
        <v>9559</v>
      </c>
      <c r="C260" s="2947" t="s">
        <v>196</v>
      </c>
      <c r="D260" s="2614"/>
      <c r="E260" s="2614"/>
      <c r="F260" s="2488"/>
      <c r="G260" s="2488"/>
      <c r="H260" s="3224">
        <v>0</v>
      </c>
      <c r="I260" s="2488"/>
      <c r="J260" s="2488"/>
      <c r="K260" s="2488"/>
      <c r="L260" s="2488"/>
      <c r="M260" s="2513">
        <v>0</v>
      </c>
      <c r="N260" s="2514">
        <v>94101</v>
      </c>
      <c r="O260" s="2505">
        <v>94101</v>
      </c>
      <c r="P260" s="2479" t="s">
        <v>12359</v>
      </c>
    </row>
    <row r="261" spans="1:16" ht="15" customHeight="1" x14ac:dyDescent="0.2">
      <c r="A261" s="2769">
        <v>3.54</v>
      </c>
      <c r="B261" s="2512" t="s">
        <v>9140</v>
      </c>
      <c r="C261" s="2503" t="s">
        <v>190</v>
      </c>
      <c r="D261" s="2614"/>
      <c r="E261" s="2614"/>
      <c r="F261" s="2488"/>
      <c r="G261" s="2488"/>
      <c r="H261" s="3224">
        <v>239715</v>
      </c>
      <c r="I261" s="2488"/>
      <c r="J261" s="2488"/>
      <c r="K261" s="2488"/>
      <c r="L261" s="2488"/>
      <c r="M261" s="2513">
        <v>19702189</v>
      </c>
      <c r="N261" s="2513">
        <v>0</v>
      </c>
      <c r="O261" s="2505">
        <v>19702189</v>
      </c>
      <c r="P261" s="2479" t="s">
        <v>12360</v>
      </c>
    </row>
    <row r="262" spans="1:16" ht="15" customHeight="1" x14ac:dyDescent="0.2">
      <c r="A262" s="2769">
        <v>3.55</v>
      </c>
      <c r="B262" s="2512" t="s">
        <v>12361</v>
      </c>
      <c r="C262" s="2503" t="s">
        <v>190</v>
      </c>
      <c r="D262" s="2614"/>
      <c r="E262" s="2614"/>
      <c r="F262" s="2488"/>
      <c r="G262" s="2488"/>
      <c r="H262" s="3224">
        <v>5900</v>
      </c>
      <c r="I262" s="2488"/>
      <c r="J262" s="2488"/>
      <c r="K262" s="2488"/>
      <c r="L262" s="2488"/>
      <c r="M262" s="2513">
        <v>609200</v>
      </c>
      <c r="N262" s="2513">
        <v>0</v>
      </c>
      <c r="O262" s="2505">
        <v>609200</v>
      </c>
      <c r="P262" s="2479" t="s">
        <v>12362</v>
      </c>
    </row>
    <row r="263" spans="1:16" ht="15" customHeight="1" x14ac:dyDescent="0.2">
      <c r="A263" s="2769">
        <v>3.56</v>
      </c>
      <c r="B263" s="2512" t="s">
        <v>9141</v>
      </c>
      <c r="C263" s="2503" t="s">
        <v>190</v>
      </c>
      <c r="D263" s="2614"/>
      <c r="E263" s="2614"/>
      <c r="F263" s="2488"/>
      <c r="G263" s="2488"/>
      <c r="H263" s="3224">
        <v>5238</v>
      </c>
      <c r="I263" s="2488"/>
      <c r="J263" s="2488"/>
      <c r="K263" s="2488"/>
      <c r="L263" s="2488"/>
      <c r="M263" s="2513">
        <v>258313</v>
      </c>
      <c r="N263" s="2513">
        <v>0</v>
      </c>
      <c r="O263" s="2505">
        <v>258313</v>
      </c>
      <c r="P263" s="2479" t="s">
        <v>12363</v>
      </c>
    </row>
    <row r="264" spans="1:16" ht="15" customHeight="1" x14ac:dyDescent="0.2">
      <c r="A264" s="2769">
        <v>3.57</v>
      </c>
      <c r="B264" s="2502" t="s">
        <v>9142</v>
      </c>
      <c r="C264" s="2503" t="s">
        <v>190</v>
      </c>
      <c r="D264" s="2614"/>
      <c r="E264" s="2614"/>
      <c r="F264" s="2488"/>
      <c r="G264" s="2488"/>
      <c r="H264" s="3224">
        <v>49143</v>
      </c>
      <c r="I264" s="2488"/>
      <c r="J264" s="2488"/>
      <c r="K264" s="2488"/>
      <c r="L264" s="2488"/>
      <c r="M264" s="2513">
        <v>2733483</v>
      </c>
      <c r="N264" s="2513">
        <v>0</v>
      </c>
      <c r="O264" s="2505">
        <v>2733483</v>
      </c>
      <c r="P264" s="2479" t="s">
        <v>12364</v>
      </c>
    </row>
    <row r="265" spans="1:16" ht="15" customHeight="1" x14ac:dyDescent="0.2">
      <c r="A265" s="2769">
        <v>3.58</v>
      </c>
      <c r="B265" s="2502" t="s">
        <v>9561</v>
      </c>
      <c r="C265" s="2503" t="s">
        <v>191</v>
      </c>
      <c r="D265" s="2614"/>
      <c r="E265" s="2614"/>
      <c r="F265" s="2488"/>
      <c r="G265" s="2488"/>
      <c r="H265" s="3224">
        <v>19175</v>
      </c>
      <c r="I265" s="2488"/>
      <c r="J265" s="2488"/>
      <c r="K265" s="2488"/>
      <c r="L265" s="2488"/>
      <c r="M265" s="2513">
        <v>923215</v>
      </c>
      <c r="N265" s="2513">
        <v>0</v>
      </c>
      <c r="O265" s="2505">
        <v>923215</v>
      </c>
      <c r="P265" s="2479" t="s">
        <v>12365</v>
      </c>
    </row>
    <row r="266" spans="1:16" ht="15" customHeight="1" x14ac:dyDescent="0.2">
      <c r="A266" s="2769">
        <v>3.59</v>
      </c>
      <c r="B266" s="2502" t="s">
        <v>9143</v>
      </c>
      <c r="C266" s="2503" t="s">
        <v>190</v>
      </c>
      <c r="D266" s="2614"/>
      <c r="E266" s="2614"/>
      <c r="F266" s="2488"/>
      <c r="G266" s="2488"/>
      <c r="H266" s="3224">
        <v>300</v>
      </c>
      <c r="I266" s="2488"/>
      <c r="J266" s="2488"/>
      <c r="K266" s="2488"/>
      <c r="L266" s="2488"/>
      <c r="M266" s="2513">
        <v>22500</v>
      </c>
      <c r="N266" s="2513">
        <v>0</v>
      </c>
      <c r="O266" s="2505">
        <v>22500</v>
      </c>
      <c r="P266" s="2479" t="s">
        <v>12366</v>
      </c>
    </row>
    <row r="267" spans="1:16" ht="15" customHeight="1" x14ac:dyDescent="0.2">
      <c r="A267" s="2769">
        <v>3.6</v>
      </c>
      <c r="B267" s="2502" t="s">
        <v>12367</v>
      </c>
      <c r="C267" s="2503" t="s">
        <v>191</v>
      </c>
      <c r="D267" s="2614"/>
      <c r="E267" s="2614"/>
      <c r="F267" s="2488"/>
      <c r="G267" s="2488"/>
      <c r="H267" s="3224">
        <v>26</v>
      </c>
      <c r="I267" s="2488"/>
      <c r="J267" s="2488"/>
      <c r="K267" s="2488"/>
      <c r="L267" s="2488"/>
      <c r="M267" s="2513">
        <v>1867</v>
      </c>
      <c r="N267" s="2513">
        <v>0</v>
      </c>
      <c r="O267" s="2505">
        <v>1867</v>
      </c>
      <c r="P267" s="2479" t="s">
        <v>12368</v>
      </c>
    </row>
    <row r="268" spans="1:16" ht="15" customHeight="1" x14ac:dyDescent="0.2">
      <c r="A268" s="2769">
        <v>3.61</v>
      </c>
      <c r="B268" s="2512" t="s">
        <v>9563</v>
      </c>
      <c r="C268" s="2503" t="s">
        <v>190</v>
      </c>
      <c r="D268" s="2614"/>
      <c r="E268" s="2614"/>
      <c r="F268" s="2488"/>
      <c r="G268" s="2488"/>
      <c r="H268" s="3226">
        <v>1500</v>
      </c>
      <c r="I268" s="2488"/>
      <c r="J268" s="2488"/>
      <c r="K268" s="2488"/>
      <c r="L268" s="2488"/>
      <c r="M268" s="2513">
        <v>171000</v>
      </c>
      <c r="N268" s="2513">
        <v>0</v>
      </c>
      <c r="O268" s="2505">
        <v>171000</v>
      </c>
      <c r="P268" s="2479" t="s">
        <v>12369</v>
      </c>
    </row>
    <row r="269" spans="1:16" ht="15" customHeight="1" x14ac:dyDescent="0.2">
      <c r="A269" s="2769">
        <v>3.62</v>
      </c>
      <c r="B269" s="2512" t="s">
        <v>9564</v>
      </c>
      <c r="C269" s="2503" t="s">
        <v>191</v>
      </c>
      <c r="D269" s="2614"/>
      <c r="E269" s="2614"/>
      <c r="F269" s="2488"/>
      <c r="G269" s="2488"/>
      <c r="H269" s="3224">
        <v>14469</v>
      </c>
      <c r="I269" s="2488"/>
      <c r="J269" s="2488"/>
      <c r="K269" s="2488"/>
      <c r="L269" s="2488"/>
      <c r="M269" s="2513">
        <v>861626</v>
      </c>
      <c r="N269" s="2513">
        <v>0</v>
      </c>
      <c r="O269" s="2505">
        <v>861626</v>
      </c>
      <c r="P269" s="2479" t="s">
        <v>12370</v>
      </c>
    </row>
    <row r="270" spans="1:16" ht="15" customHeight="1" x14ac:dyDescent="0.2">
      <c r="A270" s="2769">
        <v>3.63</v>
      </c>
      <c r="B270" s="2512" t="s">
        <v>9145</v>
      </c>
      <c r="C270" s="2503" t="s">
        <v>190</v>
      </c>
      <c r="D270" s="2614"/>
      <c r="E270" s="2614"/>
      <c r="F270" s="2488"/>
      <c r="G270" s="2488"/>
      <c r="H270" s="3224">
        <v>4006</v>
      </c>
      <c r="I270" s="2488"/>
      <c r="J270" s="2488"/>
      <c r="K270" s="2488"/>
      <c r="L270" s="2488"/>
      <c r="M270" s="2513">
        <v>303540</v>
      </c>
      <c r="N270" s="2513">
        <v>0</v>
      </c>
      <c r="O270" s="2505">
        <v>303540</v>
      </c>
      <c r="P270" s="2479" t="s">
        <v>12371</v>
      </c>
    </row>
    <row r="271" spans="1:16" ht="15" customHeight="1" x14ac:dyDescent="0.2">
      <c r="A271" s="2769">
        <v>3.64</v>
      </c>
      <c r="B271" s="2512" t="s">
        <v>9565</v>
      </c>
      <c r="C271" s="2503" t="s">
        <v>191</v>
      </c>
      <c r="D271" s="2614"/>
      <c r="E271" s="2614"/>
      <c r="F271" s="2488"/>
      <c r="G271" s="2488"/>
      <c r="H271" s="3224">
        <v>0</v>
      </c>
      <c r="I271" s="2488"/>
      <c r="J271" s="2488"/>
      <c r="K271" s="2488"/>
      <c r="L271" s="2488"/>
      <c r="M271" s="2513">
        <v>0</v>
      </c>
      <c r="N271" s="2514">
        <v>3699014</v>
      </c>
      <c r="O271" s="2505">
        <v>3699014</v>
      </c>
      <c r="P271" s="2479" t="s">
        <v>12372</v>
      </c>
    </row>
    <row r="272" spans="1:16" ht="15" customHeight="1" x14ac:dyDescent="0.2">
      <c r="A272" s="2769">
        <v>3.65</v>
      </c>
      <c r="B272" s="2512" t="s">
        <v>9146</v>
      </c>
      <c r="C272" s="2947" t="s">
        <v>188</v>
      </c>
      <c r="D272" s="2614"/>
      <c r="E272" s="2614"/>
      <c r="F272" s="2614"/>
      <c r="G272" s="2614"/>
      <c r="H272" s="3224">
        <v>60816</v>
      </c>
      <c r="I272" s="2488"/>
      <c r="J272" s="2488"/>
      <c r="K272" s="2488"/>
      <c r="L272" s="2488"/>
      <c r="M272" s="2513">
        <v>3097449</v>
      </c>
      <c r="N272" s="2513">
        <v>0</v>
      </c>
      <c r="O272" s="2505">
        <v>3097449</v>
      </c>
      <c r="P272" s="2479" t="s">
        <v>12373</v>
      </c>
    </row>
    <row r="273" spans="1:16" ht="15" customHeight="1" x14ac:dyDescent="0.2">
      <c r="A273" s="2769">
        <v>3.66</v>
      </c>
      <c r="B273" s="2512" t="s">
        <v>9146</v>
      </c>
      <c r="C273" s="2489" t="s">
        <v>190</v>
      </c>
      <c r="D273" s="2614"/>
      <c r="E273" s="2614"/>
      <c r="F273" s="2488"/>
      <c r="G273" s="2488"/>
      <c r="H273" s="3224">
        <v>400</v>
      </c>
      <c r="I273" s="2488"/>
      <c r="J273" s="2488"/>
      <c r="K273" s="2488"/>
      <c r="L273" s="2488"/>
      <c r="M273" s="2513">
        <v>16000</v>
      </c>
      <c r="N273" s="2513">
        <v>0</v>
      </c>
      <c r="O273" s="2505">
        <v>16000</v>
      </c>
      <c r="P273" s="2479" t="s">
        <v>12374</v>
      </c>
    </row>
    <row r="274" spans="1:16" ht="15" customHeight="1" x14ac:dyDescent="0.2">
      <c r="A274" s="2769">
        <v>3.67</v>
      </c>
      <c r="B274" s="2512" t="s">
        <v>9147</v>
      </c>
      <c r="C274" s="2503" t="s">
        <v>190</v>
      </c>
      <c r="D274" s="2614"/>
      <c r="E274" s="2614"/>
      <c r="F274" s="2488"/>
      <c r="G274" s="2488"/>
      <c r="H274" s="3224">
        <v>74192</v>
      </c>
      <c r="I274" s="2488"/>
      <c r="J274" s="2488"/>
      <c r="K274" s="2488"/>
      <c r="L274" s="2488"/>
      <c r="M274" s="2513">
        <v>13001506</v>
      </c>
      <c r="N274" s="2513">
        <v>0</v>
      </c>
      <c r="O274" s="2505">
        <v>13001506</v>
      </c>
      <c r="P274" s="2479" t="s">
        <v>12375</v>
      </c>
    </row>
    <row r="275" spans="1:16" ht="15" customHeight="1" x14ac:dyDescent="0.2">
      <c r="A275" s="2769">
        <v>3.68</v>
      </c>
      <c r="B275" s="2512" t="s">
        <v>9566</v>
      </c>
      <c r="C275" s="2503" t="s">
        <v>191</v>
      </c>
      <c r="D275" s="2614"/>
      <c r="E275" s="2614"/>
      <c r="F275" s="2488"/>
      <c r="G275" s="2488"/>
      <c r="H275" s="3224">
        <v>209050</v>
      </c>
      <c r="I275" s="2488"/>
      <c r="J275" s="2488"/>
      <c r="K275" s="2488"/>
      <c r="L275" s="2488"/>
      <c r="M275" s="2513">
        <v>12183125</v>
      </c>
      <c r="N275" s="2513">
        <v>0</v>
      </c>
      <c r="O275" s="2505">
        <v>12183125</v>
      </c>
      <c r="P275" s="2479" t="s">
        <v>12376</v>
      </c>
    </row>
    <row r="276" spans="1:16" ht="15" customHeight="1" x14ac:dyDescent="0.2">
      <c r="A276" s="2769">
        <v>3.69</v>
      </c>
      <c r="B276" s="2512" t="s">
        <v>12088</v>
      </c>
      <c r="C276" s="2503" t="s">
        <v>191</v>
      </c>
      <c r="D276" s="2614"/>
      <c r="E276" s="2614"/>
      <c r="F276" s="2488"/>
      <c r="G276" s="2488"/>
      <c r="H276" s="3224">
        <v>100452</v>
      </c>
      <c r="I276" s="2488"/>
      <c r="J276" s="2488"/>
      <c r="K276" s="2488"/>
      <c r="L276" s="2488"/>
      <c r="M276" s="2513">
        <v>8845435</v>
      </c>
      <c r="N276" s="2513">
        <v>0</v>
      </c>
      <c r="O276" s="2505">
        <v>8845435</v>
      </c>
      <c r="P276" s="2479" t="s">
        <v>12377</v>
      </c>
    </row>
    <row r="277" spans="1:16" ht="15" customHeight="1" x14ac:dyDescent="0.2">
      <c r="A277" s="2769">
        <v>3.7</v>
      </c>
      <c r="B277" s="2512" t="s">
        <v>12088</v>
      </c>
      <c r="C277" s="2947" t="s">
        <v>196</v>
      </c>
      <c r="D277" s="2614"/>
      <c r="E277" s="2614"/>
      <c r="F277" s="2488"/>
      <c r="G277" s="2488"/>
      <c r="H277" s="3224">
        <v>139</v>
      </c>
      <c r="I277" s="2488"/>
      <c r="J277" s="2488"/>
      <c r="K277" s="2488"/>
      <c r="L277" s="2488"/>
      <c r="M277" s="2513">
        <v>0</v>
      </c>
      <c r="N277" s="2514">
        <v>12630</v>
      </c>
      <c r="O277" s="2505">
        <v>12630</v>
      </c>
      <c r="P277" s="2479" t="s">
        <v>12378</v>
      </c>
    </row>
    <row r="278" spans="1:16" ht="15" customHeight="1" x14ac:dyDescent="0.2">
      <c r="A278" s="2769">
        <v>3.71</v>
      </c>
      <c r="B278" s="2502" t="s">
        <v>9148</v>
      </c>
      <c r="C278" s="2503" t="s">
        <v>190</v>
      </c>
      <c r="D278" s="2614"/>
      <c r="E278" s="2614"/>
      <c r="F278" s="2488"/>
      <c r="G278" s="2488"/>
      <c r="H278" s="3224">
        <v>500</v>
      </c>
      <c r="I278" s="2488"/>
      <c r="J278" s="2488"/>
      <c r="K278" s="2488"/>
      <c r="L278" s="2488"/>
      <c r="M278" s="2513">
        <v>11000</v>
      </c>
      <c r="N278" s="2513">
        <v>0</v>
      </c>
      <c r="O278" s="2505">
        <v>11000</v>
      </c>
      <c r="P278" s="2479" t="s">
        <v>12379</v>
      </c>
    </row>
    <row r="279" spans="1:16" ht="15" customHeight="1" x14ac:dyDescent="0.2">
      <c r="A279" s="2769">
        <v>3.72</v>
      </c>
      <c r="B279" s="2502" t="s">
        <v>9568</v>
      </c>
      <c r="C279" s="2503" t="s">
        <v>191</v>
      </c>
      <c r="D279" s="2614"/>
      <c r="E279" s="2614"/>
      <c r="F279" s="2488"/>
      <c r="G279" s="2488"/>
      <c r="H279" s="3224">
        <v>7640</v>
      </c>
      <c r="I279" s="2488"/>
      <c r="J279" s="2488"/>
      <c r="K279" s="2488"/>
      <c r="L279" s="2488"/>
      <c r="M279" s="2513">
        <v>606613</v>
      </c>
      <c r="N279" s="2513">
        <v>0</v>
      </c>
      <c r="O279" s="2505">
        <v>606613</v>
      </c>
      <c r="P279" s="2479" t="s">
        <v>12380</v>
      </c>
    </row>
    <row r="280" spans="1:16" ht="15" customHeight="1" x14ac:dyDescent="0.2">
      <c r="A280" s="2769">
        <v>3.73</v>
      </c>
      <c r="B280" s="2502" t="s">
        <v>9570</v>
      </c>
      <c r="C280" s="2503" t="s">
        <v>191</v>
      </c>
      <c r="D280" s="2614"/>
      <c r="E280" s="2614"/>
      <c r="F280" s="2488"/>
      <c r="G280" s="2488"/>
      <c r="H280" s="3224">
        <v>17059</v>
      </c>
      <c r="I280" s="2488"/>
      <c r="J280" s="2488"/>
      <c r="K280" s="2488"/>
      <c r="L280" s="2488"/>
      <c r="M280" s="2513">
        <v>1350386</v>
      </c>
      <c r="N280" s="2513">
        <v>0</v>
      </c>
      <c r="O280" s="2505">
        <v>1350386</v>
      </c>
      <c r="P280" s="2479" t="s">
        <v>12381</v>
      </c>
    </row>
    <row r="281" spans="1:16" ht="15" customHeight="1" x14ac:dyDescent="0.2">
      <c r="A281" s="2769">
        <v>3.74</v>
      </c>
      <c r="B281" s="2502" t="s">
        <v>9571</v>
      </c>
      <c r="C281" s="2503" t="s">
        <v>191</v>
      </c>
      <c r="D281" s="2614"/>
      <c r="E281" s="2614"/>
      <c r="F281" s="2488"/>
      <c r="G281" s="2488"/>
      <c r="H281" s="3224">
        <v>-48</v>
      </c>
      <c r="I281" s="2488"/>
      <c r="J281" s="2488"/>
      <c r="K281" s="2488"/>
      <c r="L281" s="2488"/>
      <c r="M281" s="2513">
        <v>-3116</v>
      </c>
      <c r="N281" s="2513">
        <v>0</v>
      </c>
      <c r="O281" s="2505">
        <v>-3116</v>
      </c>
      <c r="P281" s="2479" t="s">
        <v>12382</v>
      </c>
    </row>
    <row r="282" spans="1:16" ht="15" customHeight="1" x14ac:dyDescent="0.2">
      <c r="A282" s="2769">
        <v>3.75</v>
      </c>
      <c r="B282" s="2512" t="s">
        <v>9575</v>
      </c>
      <c r="C282" s="2503" t="s">
        <v>191</v>
      </c>
      <c r="D282" s="2614"/>
      <c r="E282" s="2614"/>
      <c r="F282" s="2488"/>
      <c r="G282" s="2488"/>
      <c r="H282" s="3226">
        <v>168800</v>
      </c>
      <c r="I282" s="2488"/>
      <c r="J282" s="2488"/>
      <c r="K282" s="2488"/>
      <c r="L282" s="2488"/>
      <c r="M282" s="2513">
        <v>10470678</v>
      </c>
      <c r="N282" s="2513">
        <v>0</v>
      </c>
      <c r="O282" s="2505">
        <v>10470678</v>
      </c>
      <c r="P282" s="2479" t="s">
        <v>12383</v>
      </c>
    </row>
    <row r="283" spans="1:16" ht="15" customHeight="1" x14ac:dyDescent="0.2">
      <c r="A283" s="2769">
        <v>3.76</v>
      </c>
      <c r="B283" s="2512" t="s">
        <v>9576</v>
      </c>
      <c r="C283" s="2503" t="s">
        <v>192</v>
      </c>
      <c r="D283" s="2614"/>
      <c r="E283" s="2614"/>
      <c r="F283" s="2488"/>
      <c r="G283" s="2488"/>
      <c r="H283" s="3224">
        <v>17063</v>
      </c>
      <c r="I283" s="2488"/>
      <c r="J283" s="2488"/>
      <c r="K283" s="2488"/>
      <c r="L283" s="2488"/>
      <c r="M283" s="2513">
        <v>821604</v>
      </c>
      <c r="N283" s="2513">
        <v>0</v>
      </c>
      <c r="O283" s="2505">
        <v>821604</v>
      </c>
      <c r="P283" s="2479" t="s">
        <v>12384</v>
      </c>
    </row>
    <row r="284" spans="1:16" ht="15" customHeight="1" x14ac:dyDescent="0.2">
      <c r="A284" s="2769">
        <v>3.77</v>
      </c>
      <c r="B284" s="2512" t="s">
        <v>9577</v>
      </c>
      <c r="C284" s="2503" t="s">
        <v>191</v>
      </c>
      <c r="D284" s="2614"/>
      <c r="E284" s="2614"/>
      <c r="F284" s="2488"/>
      <c r="G284" s="2488"/>
      <c r="H284" s="3224">
        <v>6131</v>
      </c>
      <c r="I284" s="2488"/>
      <c r="J284" s="2488"/>
      <c r="K284" s="2488"/>
      <c r="L284" s="2488"/>
      <c r="M284" s="2513">
        <v>370977</v>
      </c>
      <c r="N284" s="2513">
        <v>0</v>
      </c>
      <c r="O284" s="2505">
        <v>370977</v>
      </c>
      <c r="P284" s="2479" t="s">
        <v>12385</v>
      </c>
    </row>
    <row r="285" spans="1:16" ht="15" customHeight="1" x14ac:dyDescent="0.2">
      <c r="A285" s="2769">
        <v>3.78</v>
      </c>
      <c r="B285" s="2512" t="s">
        <v>9572</v>
      </c>
      <c r="C285" s="2503" t="s">
        <v>190</v>
      </c>
      <c r="D285" s="2614"/>
      <c r="E285" s="2614"/>
      <c r="F285" s="2488"/>
      <c r="G285" s="2488"/>
      <c r="H285" s="3224">
        <v>37832</v>
      </c>
      <c r="I285" s="2488"/>
      <c r="J285" s="2488"/>
      <c r="K285" s="2488"/>
      <c r="L285" s="2488"/>
      <c r="M285" s="2513">
        <v>1528027</v>
      </c>
      <c r="N285" s="2514">
        <v>11350</v>
      </c>
      <c r="O285" s="2505">
        <v>1539377</v>
      </c>
      <c r="P285" s="2479" t="s">
        <v>12386</v>
      </c>
    </row>
    <row r="286" spans="1:16" ht="15" customHeight="1" x14ac:dyDescent="0.2">
      <c r="A286" s="2769">
        <v>3.79</v>
      </c>
      <c r="B286" s="2512" t="s">
        <v>9572</v>
      </c>
      <c r="C286" s="2947" t="s">
        <v>188</v>
      </c>
      <c r="D286" s="2614"/>
      <c r="E286" s="2614"/>
      <c r="F286" s="2614"/>
      <c r="G286" s="2614"/>
      <c r="H286" s="3224">
        <v>10827</v>
      </c>
      <c r="I286" s="2488"/>
      <c r="J286" s="2488"/>
      <c r="K286" s="2488"/>
      <c r="L286" s="2488"/>
      <c r="M286" s="2513">
        <v>251859</v>
      </c>
      <c r="N286" s="2488"/>
      <c r="O286" s="2505">
        <v>251859</v>
      </c>
      <c r="P286" s="2479" t="s">
        <v>12387</v>
      </c>
    </row>
    <row r="287" spans="1:16" ht="15" customHeight="1" x14ac:dyDescent="0.2">
      <c r="A287" s="2769">
        <v>3.8</v>
      </c>
      <c r="B287" s="2512" t="s">
        <v>9578</v>
      </c>
      <c r="C287" s="2489" t="s">
        <v>193</v>
      </c>
      <c r="D287" s="2614"/>
      <c r="E287" s="2614"/>
      <c r="F287" s="2488"/>
      <c r="G287" s="2488"/>
      <c r="H287" s="3224">
        <v>0</v>
      </c>
      <c r="I287" s="2488"/>
      <c r="J287" s="2488"/>
      <c r="K287" s="2488"/>
      <c r="L287" s="2488"/>
      <c r="M287" s="2513">
        <v>0</v>
      </c>
      <c r="N287" s="2514">
        <v>-437037</v>
      </c>
      <c r="O287" s="2505">
        <v>-437037</v>
      </c>
      <c r="P287" s="2479" t="s">
        <v>12388</v>
      </c>
    </row>
    <row r="288" spans="1:16" ht="15" customHeight="1" x14ac:dyDescent="0.2">
      <c r="A288" s="2769">
        <v>3.81</v>
      </c>
      <c r="B288" s="2512" t="s">
        <v>12389</v>
      </c>
      <c r="C288" s="2503"/>
      <c r="D288" s="2614"/>
      <c r="E288" s="2614"/>
      <c r="F288" s="2488"/>
      <c r="G288" s="2488"/>
      <c r="H288" s="3224">
        <v>0</v>
      </c>
      <c r="I288" s="2488"/>
      <c r="J288" s="2488"/>
      <c r="K288" s="2488"/>
      <c r="L288" s="2488"/>
      <c r="M288" s="2513">
        <v>0</v>
      </c>
      <c r="N288" s="2514">
        <v>7009270</v>
      </c>
      <c r="O288" s="2505">
        <v>7009270</v>
      </c>
      <c r="P288" s="2479" t="s">
        <v>12390</v>
      </c>
    </row>
    <row r="289" spans="1:16" ht="15" customHeight="1" x14ac:dyDescent="0.2">
      <c r="A289" s="2769">
        <v>3.82</v>
      </c>
      <c r="B289" s="2512" t="s">
        <v>9582</v>
      </c>
      <c r="C289" s="2503"/>
      <c r="D289" s="2614"/>
      <c r="E289" s="2614"/>
      <c r="F289" s="2488"/>
      <c r="G289" s="2488"/>
      <c r="H289" s="2614"/>
      <c r="I289" s="2488"/>
      <c r="J289" s="2488"/>
      <c r="K289" s="2488"/>
      <c r="L289" s="2488"/>
      <c r="M289" s="2514">
        <v>-97064618</v>
      </c>
      <c r="N289" s="2488"/>
      <c r="O289" s="2505">
        <v>-97064618</v>
      </c>
      <c r="P289" s="2479" t="s">
        <v>12391</v>
      </c>
    </row>
    <row r="290" spans="1:16" ht="15" customHeight="1" x14ac:dyDescent="0.2">
      <c r="A290" s="2769">
        <v>3.83</v>
      </c>
      <c r="B290" s="2512" t="s">
        <v>9583</v>
      </c>
      <c r="C290" s="2503"/>
      <c r="D290" s="2614"/>
      <c r="E290" s="2614"/>
      <c r="F290" s="2488"/>
      <c r="G290" s="2488"/>
      <c r="H290" s="3224">
        <v>-1776035</v>
      </c>
      <c r="I290" s="2488"/>
      <c r="J290" s="2488"/>
      <c r="K290" s="2488"/>
      <c r="L290" s="2488"/>
      <c r="M290" s="2488"/>
      <c r="N290" s="2514">
        <v>-61513064</v>
      </c>
      <c r="O290" s="2505">
        <v>-61513064</v>
      </c>
      <c r="P290" s="2479" t="s">
        <v>12392</v>
      </c>
    </row>
    <row r="291" spans="1:16" ht="15" customHeight="1" x14ac:dyDescent="0.2">
      <c r="A291" s="2769">
        <v>3.84</v>
      </c>
      <c r="B291" s="2512" t="s">
        <v>9584</v>
      </c>
      <c r="C291" s="2503"/>
      <c r="D291" s="2614"/>
      <c r="E291" s="2614"/>
      <c r="F291" s="2488"/>
      <c r="G291" s="2488"/>
      <c r="H291" s="2614"/>
      <c r="I291" s="2488"/>
      <c r="J291" s="2488"/>
      <c r="K291" s="2488"/>
      <c r="L291" s="2488"/>
      <c r="M291" s="2488"/>
      <c r="N291" s="2514">
        <v>-1049308</v>
      </c>
      <c r="O291" s="2505">
        <v>-1049308</v>
      </c>
      <c r="P291" s="2479" t="s">
        <v>12393</v>
      </c>
    </row>
    <row r="292" spans="1:16" ht="15" customHeight="1" x14ac:dyDescent="0.2">
      <c r="A292" s="2769">
        <v>3.85</v>
      </c>
      <c r="B292" s="2502" t="s">
        <v>9585</v>
      </c>
      <c r="C292" s="2489"/>
      <c r="D292" s="2614"/>
      <c r="E292" s="2614"/>
      <c r="F292" s="2488"/>
      <c r="G292" s="2488"/>
      <c r="H292" s="3229">
        <v>-5565</v>
      </c>
      <c r="I292" s="2488"/>
      <c r="J292" s="2488"/>
      <c r="K292" s="2488"/>
      <c r="L292" s="2488"/>
      <c r="M292" s="2488"/>
      <c r="N292" s="2488"/>
      <c r="O292" s="2505">
        <v>0</v>
      </c>
      <c r="P292" s="2479" t="s">
        <v>12394</v>
      </c>
    </row>
    <row r="293" spans="1:16" ht="15" customHeight="1" x14ac:dyDescent="0.2">
      <c r="A293" s="2769">
        <v>3.86</v>
      </c>
      <c r="B293" s="2502" t="s">
        <v>9080</v>
      </c>
      <c r="C293" s="2503"/>
      <c r="D293" s="2614"/>
      <c r="E293" s="2614"/>
      <c r="F293" s="2488"/>
      <c r="G293" s="2488"/>
      <c r="H293" s="2614"/>
      <c r="I293" s="2488"/>
      <c r="J293" s="2488"/>
      <c r="K293" s="2488"/>
      <c r="L293" s="2488"/>
      <c r="M293" s="2488"/>
      <c r="N293" s="2514">
        <v>12054289</v>
      </c>
      <c r="O293" s="2505">
        <v>12054289</v>
      </c>
      <c r="P293" s="2479" t="s">
        <v>12395</v>
      </c>
    </row>
    <row r="294" spans="1:16" ht="15" customHeight="1" x14ac:dyDescent="0.2">
      <c r="A294" s="2769">
        <v>3.87</v>
      </c>
      <c r="B294" s="2502"/>
      <c r="C294" s="2503"/>
      <c r="D294" s="2614"/>
      <c r="E294" s="2614"/>
      <c r="F294" s="2488"/>
      <c r="G294" s="2488"/>
      <c r="H294" s="2614"/>
      <c r="I294" s="2488"/>
      <c r="J294" s="2488"/>
      <c r="K294" s="2488"/>
      <c r="L294" s="2488"/>
      <c r="M294" s="2488"/>
      <c r="N294" s="2488"/>
      <c r="O294" s="2505">
        <v>0</v>
      </c>
      <c r="P294" s="2479" t="s">
        <v>12396</v>
      </c>
    </row>
    <row r="295" spans="1:16" ht="15" customHeight="1" x14ac:dyDescent="0.2">
      <c r="A295" s="2769">
        <v>3.88</v>
      </c>
      <c r="B295" s="2773" t="s">
        <v>9586</v>
      </c>
      <c r="C295" s="2503"/>
      <c r="D295" s="2614"/>
      <c r="E295" s="2614"/>
      <c r="F295" s="2488"/>
      <c r="G295" s="2488"/>
      <c r="H295" s="2614"/>
      <c r="I295" s="2488"/>
      <c r="J295" s="2488"/>
      <c r="K295" s="2488"/>
      <c r="L295" s="2488"/>
      <c r="M295" s="2488"/>
      <c r="N295" s="2488"/>
      <c r="O295" s="2505">
        <v>0</v>
      </c>
      <c r="P295" s="2479" t="s">
        <v>12397</v>
      </c>
    </row>
    <row r="296" spans="1:16" ht="15" customHeight="1" x14ac:dyDescent="0.2">
      <c r="A296" s="2769">
        <v>3.89</v>
      </c>
      <c r="B296" s="2512" t="s">
        <v>9084</v>
      </c>
      <c r="C296" s="2503" t="s">
        <v>194</v>
      </c>
      <c r="D296" s="2771">
        <v>307</v>
      </c>
      <c r="E296" s="2614"/>
      <c r="F296" s="2488"/>
      <c r="G296" s="2488"/>
      <c r="H296" s="2488"/>
      <c r="I296" s="2488"/>
      <c r="J296" s="2750">
        <v>211766</v>
      </c>
      <c r="K296" s="2488"/>
      <c r="L296" s="2488"/>
      <c r="M296" s="2488"/>
      <c r="N296" s="2514">
        <v>6667280</v>
      </c>
      <c r="O296" s="2505">
        <v>6667280</v>
      </c>
      <c r="P296" s="2479" t="s">
        <v>12398</v>
      </c>
    </row>
    <row r="297" spans="1:16" ht="15" customHeight="1" x14ac:dyDescent="0.2">
      <c r="A297" s="2769">
        <v>3.9</v>
      </c>
      <c r="B297" s="2512" t="s">
        <v>9088</v>
      </c>
      <c r="C297" s="2503" t="s">
        <v>194</v>
      </c>
      <c r="D297" s="2771">
        <v>382</v>
      </c>
      <c r="E297" s="2614"/>
      <c r="F297" s="2488"/>
      <c r="G297" s="2488"/>
      <c r="H297" s="2614"/>
      <c r="I297" s="2488"/>
      <c r="J297" s="2488"/>
      <c r="K297" s="2750">
        <v>988</v>
      </c>
      <c r="L297" s="2488"/>
      <c r="M297" s="2488"/>
      <c r="N297" s="2488"/>
      <c r="O297" s="2505">
        <v>0</v>
      </c>
      <c r="P297" s="2479" t="s">
        <v>12399</v>
      </c>
    </row>
    <row r="298" spans="1:16" ht="15" customHeight="1" x14ac:dyDescent="0.2">
      <c r="A298" s="2769">
        <v>3.91</v>
      </c>
      <c r="B298" s="2512" t="s">
        <v>9091</v>
      </c>
      <c r="C298" s="2503" t="s">
        <v>194</v>
      </c>
      <c r="D298" s="2614" t="s">
        <v>9587</v>
      </c>
      <c r="E298" s="2614"/>
      <c r="F298" s="2488"/>
      <c r="G298" s="2488"/>
      <c r="H298" s="2614"/>
      <c r="I298" s="2488"/>
      <c r="J298" s="2750">
        <v>270999</v>
      </c>
      <c r="K298" s="2750">
        <v>4430</v>
      </c>
      <c r="L298" s="2488"/>
      <c r="M298" s="2488"/>
      <c r="N298" s="2514">
        <v>206414</v>
      </c>
      <c r="O298" s="2505">
        <v>206414</v>
      </c>
      <c r="P298" s="2479" t="s">
        <v>12400</v>
      </c>
    </row>
    <row r="299" spans="1:16" ht="15" customHeight="1" x14ac:dyDescent="0.2">
      <c r="A299" s="2769">
        <v>3.92</v>
      </c>
      <c r="B299" s="2512" t="s">
        <v>9091</v>
      </c>
      <c r="C299" s="2503" t="s">
        <v>194</v>
      </c>
      <c r="D299" s="2771">
        <v>237</v>
      </c>
      <c r="E299" s="2614"/>
      <c r="F299" s="2488"/>
      <c r="G299" s="2488"/>
      <c r="H299" s="2614"/>
      <c r="I299" s="2488"/>
      <c r="J299" s="2750">
        <v>1469905</v>
      </c>
      <c r="K299" s="2750">
        <v>1456908</v>
      </c>
      <c r="L299" s="2488"/>
      <c r="M299" s="2488"/>
      <c r="N299" s="2514">
        <v>32745</v>
      </c>
      <c r="O299" s="2505">
        <v>32745</v>
      </c>
      <c r="P299" s="2479" t="s">
        <v>12401</v>
      </c>
    </row>
    <row r="300" spans="1:16" ht="15" customHeight="1" x14ac:dyDescent="0.2">
      <c r="A300" s="2769">
        <v>3.93</v>
      </c>
      <c r="B300" s="2512" t="s">
        <v>9406</v>
      </c>
      <c r="C300" s="2503" t="s">
        <v>194</v>
      </c>
      <c r="D300" s="2614" t="s">
        <v>9077</v>
      </c>
      <c r="E300" s="2614"/>
      <c r="F300" s="2614"/>
      <c r="G300" s="2614"/>
      <c r="H300" s="2614"/>
      <c r="I300" s="2488"/>
      <c r="J300" s="2750">
        <v>2543813</v>
      </c>
      <c r="K300" s="2750">
        <v>6367060</v>
      </c>
      <c r="L300" s="2488"/>
      <c r="M300" s="2488"/>
      <c r="N300" s="2514">
        <v>-164973661</v>
      </c>
      <c r="O300" s="2505">
        <v>-164973661</v>
      </c>
      <c r="P300" s="2479" t="s">
        <v>12402</v>
      </c>
    </row>
    <row r="301" spans="1:16" ht="15" customHeight="1" x14ac:dyDescent="0.2">
      <c r="A301" s="2769">
        <v>3.94</v>
      </c>
      <c r="B301" s="2512" t="s">
        <v>9406</v>
      </c>
      <c r="C301" s="2947" t="s">
        <v>196</v>
      </c>
      <c r="D301" s="2614" t="s">
        <v>9077</v>
      </c>
      <c r="E301" s="2614"/>
      <c r="F301" s="2488"/>
      <c r="G301" s="2488"/>
      <c r="H301" s="2614"/>
      <c r="I301" s="2488"/>
      <c r="J301" s="2488"/>
      <c r="K301" s="2750">
        <v>0</v>
      </c>
      <c r="L301" s="2488"/>
      <c r="M301" s="2488"/>
      <c r="N301" s="2514">
        <v>168</v>
      </c>
      <c r="O301" s="2505">
        <v>168</v>
      </c>
      <c r="P301" s="2479" t="s">
        <v>12403</v>
      </c>
    </row>
    <row r="302" spans="1:16" ht="15" customHeight="1" x14ac:dyDescent="0.2">
      <c r="A302" s="2769">
        <v>3.95</v>
      </c>
      <c r="B302" s="2512" t="s">
        <v>9406</v>
      </c>
      <c r="C302" s="2503" t="s">
        <v>194</v>
      </c>
      <c r="D302" s="2614" t="s">
        <v>9154</v>
      </c>
      <c r="E302" s="2614"/>
      <c r="F302" s="2488"/>
      <c r="G302" s="2488"/>
      <c r="H302" s="2614"/>
      <c r="I302" s="2488"/>
      <c r="J302" s="2488"/>
      <c r="K302" s="2488"/>
      <c r="L302" s="2488"/>
      <c r="M302" s="2488"/>
      <c r="N302" s="2514">
        <v>-26191224</v>
      </c>
      <c r="O302" s="2505">
        <v>-26191224</v>
      </c>
      <c r="P302" s="2479" t="s">
        <v>12404</v>
      </c>
    </row>
    <row r="303" spans="1:16" ht="15" customHeight="1" x14ac:dyDescent="0.2">
      <c r="A303" s="2769">
        <v>3.96</v>
      </c>
      <c r="B303" s="2512" t="s">
        <v>9406</v>
      </c>
      <c r="C303" s="2947" t="s">
        <v>196</v>
      </c>
      <c r="D303" s="2614" t="s">
        <v>9154</v>
      </c>
      <c r="E303" s="2614"/>
      <c r="F303" s="2488"/>
      <c r="G303" s="2488"/>
      <c r="H303" s="2614"/>
      <c r="I303" s="2488"/>
      <c r="J303" s="2488"/>
      <c r="K303" s="2488"/>
      <c r="L303" s="2488"/>
      <c r="M303" s="2488"/>
      <c r="N303" s="2514">
        <v>-334126</v>
      </c>
      <c r="O303" s="2505">
        <v>-334126</v>
      </c>
      <c r="P303" s="2479" t="s">
        <v>12405</v>
      </c>
    </row>
    <row r="304" spans="1:16" ht="15" customHeight="1" x14ac:dyDescent="0.2">
      <c r="A304" s="2769">
        <v>3.97</v>
      </c>
      <c r="B304" s="2512" t="s">
        <v>9589</v>
      </c>
      <c r="C304" s="2503" t="s">
        <v>194</v>
      </c>
      <c r="D304" s="2614" t="s">
        <v>9074</v>
      </c>
      <c r="E304" s="2614"/>
      <c r="F304" s="2488"/>
      <c r="G304" s="2488"/>
      <c r="H304" s="2614"/>
      <c r="I304" s="2488"/>
      <c r="J304" s="2488"/>
      <c r="K304" s="2750">
        <v>870</v>
      </c>
      <c r="L304" s="2488"/>
      <c r="M304" s="2488"/>
      <c r="N304" s="2514">
        <v>-21752</v>
      </c>
      <c r="O304" s="2505">
        <v>-21752</v>
      </c>
      <c r="P304" s="2479" t="s">
        <v>12406</v>
      </c>
    </row>
    <row r="305" spans="1:16" ht="15" customHeight="1" x14ac:dyDescent="0.2">
      <c r="A305" s="2769">
        <v>3.98</v>
      </c>
      <c r="B305" s="2512" t="s">
        <v>9113</v>
      </c>
      <c r="C305" s="2503" t="s">
        <v>194</v>
      </c>
      <c r="D305" s="2614" t="s">
        <v>9074</v>
      </c>
      <c r="E305" s="2614"/>
      <c r="F305" s="2488"/>
      <c r="G305" s="2488"/>
      <c r="H305" s="2614"/>
      <c r="I305" s="2488"/>
      <c r="J305" s="2750">
        <v>2104</v>
      </c>
      <c r="K305" s="2750">
        <v>2096</v>
      </c>
      <c r="L305" s="2488"/>
      <c r="M305" s="2488"/>
      <c r="N305" s="2488"/>
      <c r="O305" s="2505">
        <v>0</v>
      </c>
      <c r="P305" s="2479" t="s">
        <v>12407</v>
      </c>
    </row>
    <row r="306" spans="1:16" ht="15" customHeight="1" x14ac:dyDescent="0.2">
      <c r="A306" s="2769">
        <v>3.99</v>
      </c>
      <c r="B306" s="2502" t="s">
        <v>9113</v>
      </c>
      <c r="C306" s="2503" t="s">
        <v>194</v>
      </c>
      <c r="D306" s="2771">
        <v>708</v>
      </c>
      <c r="E306" s="2614"/>
      <c r="F306" s="2488"/>
      <c r="G306" s="2488"/>
      <c r="H306" s="2614"/>
      <c r="I306" s="2488"/>
      <c r="J306" s="2750">
        <v>116053</v>
      </c>
      <c r="K306" s="2750">
        <v>111632</v>
      </c>
      <c r="L306" s="2488"/>
      <c r="M306" s="2488"/>
      <c r="N306" s="2488"/>
      <c r="O306" s="2505">
        <v>0</v>
      </c>
      <c r="P306" s="2479" t="s">
        <v>12408</v>
      </c>
    </row>
    <row r="307" spans="1:16" ht="15" customHeight="1" x14ac:dyDescent="0.2">
      <c r="A307" s="2769">
        <v>4</v>
      </c>
      <c r="B307" s="2502" t="s">
        <v>9470</v>
      </c>
      <c r="C307" s="2503" t="s">
        <v>194</v>
      </c>
      <c r="D307" s="2614" t="s">
        <v>12092</v>
      </c>
      <c r="E307" s="2614"/>
      <c r="F307" s="2488"/>
      <c r="G307" s="2488"/>
      <c r="H307" s="2614"/>
      <c r="I307" s="2488"/>
      <c r="J307" s="2750">
        <v>2459</v>
      </c>
      <c r="K307" s="2488"/>
      <c r="L307" s="2488"/>
      <c r="M307" s="2488"/>
      <c r="N307" s="2514">
        <v>245401</v>
      </c>
      <c r="O307" s="2505">
        <v>245401</v>
      </c>
      <c r="P307" s="2479" t="s">
        <v>12409</v>
      </c>
    </row>
    <row r="308" spans="1:16" ht="15" customHeight="1" x14ac:dyDescent="0.2">
      <c r="A308" s="2769">
        <v>4.01</v>
      </c>
      <c r="B308" s="2502" t="s">
        <v>9470</v>
      </c>
      <c r="C308" s="2947" t="s">
        <v>196</v>
      </c>
      <c r="D308" s="2614" t="s">
        <v>12092</v>
      </c>
      <c r="E308" s="2614"/>
      <c r="F308" s="2488"/>
      <c r="G308" s="2488"/>
      <c r="H308" s="2614"/>
      <c r="I308" s="2488"/>
      <c r="J308" s="2750">
        <v>346</v>
      </c>
      <c r="K308" s="2488"/>
      <c r="L308" s="2488"/>
      <c r="M308" s="2488"/>
      <c r="N308" s="2514">
        <v>19736</v>
      </c>
      <c r="O308" s="2505">
        <v>19736</v>
      </c>
      <c r="P308" s="2479" t="s">
        <v>12410</v>
      </c>
    </row>
    <row r="309" spans="1:16" ht="15" customHeight="1" x14ac:dyDescent="0.2">
      <c r="A309" s="2769">
        <v>4.0199999999999996</v>
      </c>
      <c r="B309" s="2502" t="s">
        <v>9591</v>
      </c>
      <c r="C309" s="2503" t="s">
        <v>194</v>
      </c>
      <c r="D309" s="2614" t="s">
        <v>12092</v>
      </c>
      <c r="E309" s="2614"/>
      <c r="F309" s="2488"/>
      <c r="G309" s="2488"/>
      <c r="H309" s="2614"/>
      <c r="I309" s="2488"/>
      <c r="J309" s="2488"/>
      <c r="K309" s="2750">
        <v>1639</v>
      </c>
      <c r="L309" s="2488"/>
      <c r="M309" s="2488"/>
      <c r="N309" s="2514">
        <v>-162891</v>
      </c>
      <c r="O309" s="2505">
        <v>-162891</v>
      </c>
      <c r="P309" s="2479" t="s">
        <v>12411</v>
      </c>
    </row>
    <row r="310" spans="1:16" ht="15" customHeight="1" x14ac:dyDescent="0.2">
      <c r="A310" s="2769">
        <v>4.03</v>
      </c>
      <c r="B310" s="2512" t="s">
        <v>9591</v>
      </c>
      <c r="C310" s="2947" t="s">
        <v>196</v>
      </c>
      <c r="D310" s="2614" t="s">
        <v>12092</v>
      </c>
      <c r="E310" s="2614"/>
      <c r="F310" s="2488"/>
      <c r="G310" s="2488"/>
      <c r="H310" s="2488"/>
      <c r="I310" s="2488"/>
      <c r="J310" s="2488"/>
      <c r="K310" s="2750">
        <v>206</v>
      </c>
      <c r="L310" s="2488"/>
      <c r="M310" s="2488"/>
      <c r="N310" s="2514">
        <v>-13609</v>
      </c>
      <c r="O310" s="2505">
        <v>-13609</v>
      </c>
      <c r="P310" s="2479" t="s">
        <v>12412</v>
      </c>
    </row>
    <row r="311" spans="1:16" ht="15" customHeight="1" x14ac:dyDescent="0.2">
      <c r="A311" s="2769">
        <v>4.04</v>
      </c>
      <c r="B311" s="2512" t="s">
        <v>9592</v>
      </c>
      <c r="C311" s="2503" t="s">
        <v>194</v>
      </c>
      <c r="D311" s="2614" t="s">
        <v>12092</v>
      </c>
      <c r="E311" s="2614"/>
      <c r="F311" s="2488"/>
      <c r="G311" s="2488"/>
      <c r="H311" s="2614"/>
      <c r="I311" s="2488"/>
      <c r="J311" s="2488"/>
      <c r="K311" s="2750">
        <v>820</v>
      </c>
      <c r="L311" s="2488"/>
      <c r="M311" s="2488"/>
      <c r="N311" s="2514">
        <v>-82510</v>
      </c>
      <c r="O311" s="2505">
        <v>-82510</v>
      </c>
      <c r="P311" s="2479" t="s">
        <v>12413</v>
      </c>
    </row>
    <row r="312" spans="1:16" ht="15" customHeight="1" x14ac:dyDescent="0.2">
      <c r="A312" s="2769">
        <v>4.05</v>
      </c>
      <c r="B312" s="2512" t="s">
        <v>9592</v>
      </c>
      <c r="C312" s="2947" t="s">
        <v>196</v>
      </c>
      <c r="D312" s="2614" t="s">
        <v>12092</v>
      </c>
      <c r="E312" s="2614"/>
      <c r="F312" s="2488"/>
      <c r="G312" s="2488"/>
      <c r="H312" s="2614"/>
      <c r="I312" s="2488"/>
      <c r="J312" s="2488"/>
      <c r="K312" s="2750">
        <v>140</v>
      </c>
      <c r="L312" s="2488"/>
      <c r="M312" s="2488"/>
      <c r="N312" s="2514">
        <v>-6127</v>
      </c>
      <c r="O312" s="2505">
        <v>-6127</v>
      </c>
      <c r="P312" s="2479" t="s">
        <v>12414</v>
      </c>
    </row>
    <row r="313" spans="1:16" ht="15" customHeight="1" x14ac:dyDescent="0.2">
      <c r="A313" s="2769">
        <v>4.0599999999999996</v>
      </c>
      <c r="B313" s="2512" t="s">
        <v>9593</v>
      </c>
      <c r="C313" s="2503" t="s">
        <v>194</v>
      </c>
      <c r="D313" s="2771">
        <v>160</v>
      </c>
      <c r="E313" s="2614"/>
      <c r="F313" s="2488"/>
      <c r="G313" s="2488"/>
      <c r="H313" s="2614"/>
      <c r="I313" s="2488"/>
      <c r="J313" s="2750">
        <v>11403</v>
      </c>
      <c r="K313" s="2488"/>
      <c r="L313" s="2488"/>
      <c r="M313" s="2488"/>
      <c r="N313" s="2488"/>
      <c r="O313" s="2505">
        <v>0</v>
      </c>
      <c r="P313" s="2479" t="s">
        <v>12415</v>
      </c>
    </row>
    <row r="314" spans="1:16" ht="15" customHeight="1" x14ac:dyDescent="0.2">
      <c r="A314" s="2769">
        <v>4.07</v>
      </c>
      <c r="B314" s="2512" t="s">
        <v>9123</v>
      </c>
      <c r="C314" s="2503" t="s">
        <v>194</v>
      </c>
      <c r="D314" s="2614" t="s">
        <v>9595</v>
      </c>
      <c r="E314" s="2614"/>
      <c r="F314" s="2614"/>
      <c r="G314" s="2614"/>
      <c r="H314" s="2614"/>
      <c r="I314" s="2488"/>
      <c r="J314" s="2750">
        <v>3480</v>
      </c>
      <c r="K314" s="2488"/>
      <c r="L314" s="2488"/>
      <c r="M314" s="2488"/>
      <c r="N314" s="2488"/>
      <c r="O314" s="2505">
        <v>0</v>
      </c>
      <c r="P314" s="2479" t="s">
        <v>12416</v>
      </c>
    </row>
    <row r="315" spans="1:16" ht="15" customHeight="1" x14ac:dyDescent="0.2">
      <c r="A315" s="2769">
        <v>4.08</v>
      </c>
      <c r="B315" s="2512" t="s">
        <v>9125</v>
      </c>
      <c r="C315" s="2489" t="s">
        <v>194</v>
      </c>
      <c r="D315" s="2677" t="s">
        <v>12417</v>
      </c>
      <c r="E315" s="2614"/>
      <c r="F315" s="2488"/>
      <c r="G315" s="2488"/>
      <c r="H315" s="2614"/>
      <c r="I315" s="2488"/>
      <c r="J315" s="2750">
        <v>1311985</v>
      </c>
      <c r="K315" s="2750">
        <v>1312543</v>
      </c>
      <c r="L315" s="2488"/>
      <c r="M315" s="2488"/>
      <c r="N315" s="2514">
        <v>5397660</v>
      </c>
      <c r="O315" s="2505">
        <v>5397660</v>
      </c>
      <c r="P315" s="2479" t="s">
        <v>12418</v>
      </c>
    </row>
    <row r="316" spans="1:16" ht="15" customHeight="1" x14ac:dyDescent="0.2">
      <c r="A316" s="2769">
        <v>4.09</v>
      </c>
      <c r="B316" s="2512" t="s">
        <v>9125</v>
      </c>
      <c r="C316" s="2947" t="s">
        <v>196</v>
      </c>
      <c r="D316" s="2677" t="s">
        <v>12417</v>
      </c>
      <c r="E316" s="2614"/>
      <c r="F316" s="2488"/>
      <c r="G316" s="2488"/>
      <c r="H316" s="2614"/>
      <c r="I316" s="2488"/>
      <c r="J316" s="2750">
        <v>39</v>
      </c>
      <c r="K316" s="2488"/>
      <c r="L316" s="2488"/>
      <c r="M316" s="2488"/>
      <c r="N316" s="2514">
        <v>2340</v>
      </c>
      <c r="O316" s="2505">
        <v>2340</v>
      </c>
      <c r="P316" s="2479" t="s">
        <v>12419</v>
      </c>
    </row>
    <row r="317" spans="1:16" ht="15" customHeight="1" x14ac:dyDescent="0.2">
      <c r="A317" s="2769">
        <v>4.0999999999999996</v>
      </c>
      <c r="B317" s="2512" t="s">
        <v>9519</v>
      </c>
      <c r="C317" s="2503" t="s">
        <v>194</v>
      </c>
      <c r="D317" s="2771">
        <v>442</v>
      </c>
      <c r="E317" s="2614"/>
      <c r="F317" s="2488"/>
      <c r="G317" s="2488"/>
      <c r="H317" s="2614"/>
      <c r="I317" s="2488"/>
      <c r="J317" s="2750">
        <v>199060</v>
      </c>
      <c r="K317" s="2750">
        <v>213182</v>
      </c>
      <c r="L317" s="2488"/>
      <c r="M317" s="2488"/>
      <c r="N317" s="2488"/>
      <c r="O317" s="2505">
        <v>0</v>
      </c>
      <c r="P317" s="2479" t="s">
        <v>12420</v>
      </c>
    </row>
    <row r="318" spans="1:16" ht="15" customHeight="1" x14ac:dyDescent="0.2">
      <c r="A318" s="2769">
        <v>4.1100000000000003</v>
      </c>
      <c r="B318" s="2512" t="s">
        <v>9134</v>
      </c>
      <c r="C318" s="2503" t="s">
        <v>194</v>
      </c>
      <c r="D318" s="2771">
        <v>554</v>
      </c>
      <c r="E318" s="2614"/>
      <c r="F318" s="2488"/>
      <c r="G318" s="2488"/>
      <c r="H318" s="2614"/>
      <c r="I318" s="2488"/>
      <c r="J318" s="2750">
        <v>377372</v>
      </c>
      <c r="K318" s="2750">
        <v>360103</v>
      </c>
      <c r="L318" s="2488"/>
      <c r="M318" s="2488"/>
      <c r="N318" s="2514">
        <v>890723</v>
      </c>
      <c r="O318" s="2505">
        <v>890723</v>
      </c>
      <c r="P318" s="2479" t="s">
        <v>12421</v>
      </c>
    </row>
    <row r="319" spans="1:16" ht="15" customHeight="1" x14ac:dyDescent="0.2">
      <c r="A319" s="2769">
        <v>4.12</v>
      </c>
      <c r="B319" s="2512" t="s">
        <v>9572</v>
      </c>
      <c r="C319" s="2503" t="s">
        <v>194</v>
      </c>
      <c r="D319" s="2614" t="s">
        <v>9596</v>
      </c>
      <c r="E319" s="2614"/>
      <c r="F319" s="2488"/>
      <c r="G319" s="2488"/>
      <c r="H319" s="2614"/>
      <c r="I319" s="2488"/>
      <c r="J319" s="2750">
        <v>181570</v>
      </c>
      <c r="K319" s="2750">
        <v>107878</v>
      </c>
      <c r="L319" s="2488"/>
      <c r="M319" s="2488"/>
      <c r="N319" s="2514">
        <v>676444</v>
      </c>
      <c r="O319" s="2505">
        <v>676444</v>
      </c>
      <c r="P319" s="2479" t="s">
        <v>12422</v>
      </c>
    </row>
    <row r="320" spans="1:16" ht="15" customHeight="1" x14ac:dyDescent="0.2">
      <c r="A320" s="2769">
        <v>4.13</v>
      </c>
      <c r="B320" s="2502" t="s">
        <v>9572</v>
      </c>
      <c r="C320" s="2947" t="s">
        <v>196</v>
      </c>
      <c r="D320" s="2614" t="s">
        <v>9596</v>
      </c>
      <c r="E320" s="2614"/>
      <c r="F320" s="2488"/>
      <c r="G320" s="2488"/>
      <c r="H320" s="2614"/>
      <c r="I320" s="2488"/>
      <c r="J320" s="2750">
        <v>210</v>
      </c>
      <c r="K320" s="2750">
        <v>3943</v>
      </c>
      <c r="L320" s="2488"/>
      <c r="M320" s="2488"/>
      <c r="N320" s="2514">
        <v>-188617</v>
      </c>
      <c r="O320" s="2505">
        <v>-188617</v>
      </c>
      <c r="P320" s="2479" t="s">
        <v>12423</v>
      </c>
    </row>
    <row r="321" spans="1:16" ht="15" customHeight="1" x14ac:dyDescent="0.2">
      <c r="A321" s="2769">
        <v>4.1399999999999997</v>
      </c>
      <c r="B321" s="2502" t="s">
        <v>9597</v>
      </c>
      <c r="C321" s="2503" t="s">
        <v>194</v>
      </c>
      <c r="D321" s="2614" t="s">
        <v>9154</v>
      </c>
      <c r="E321" s="2614"/>
      <c r="F321" s="2488"/>
      <c r="G321" s="2488"/>
      <c r="H321" s="2614"/>
      <c r="I321" s="2488"/>
      <c r="J321" s="2750">
        <v>153513</v>
      </c>
      <c r="K321" s="2750">
        <v>-551</v>
      </c>
      <c r="L321" s="2488"/>
      <c r="M321" s="2488"/>
      <c r="N321" s="2514">
        <v>7716507</v>
      </c>
      <c r="O321" s="2505">
        <v>7716507</v>
      </c>
      <c r="P321" s="2479" t="s">
        <v>12424</v>
      </c>
    </row>
    <row r="322" spans="1:16" ht="15" customHeight="1" x14ac:dyDescent="0.2">
      <c r="A322" s="2769">
        <v>4.1500000000000004</v>
      </c>
      <c r="B322" s="2502" t="s">
        <v>9597</v>
      </c>
      <c r="C322" s="2947" t="s">
        <v>196</v>
      </c>
      <c r="D322" s="2614" t="s">
        <v>9154</v>
      </c>
      <c r="E322" s="2614"/>
      <c r="F322" s="2488"/>
      <c r="G322" s="2488"/>
      <c r="H322" s="2614"/>
      <c r="I322" s="2488"/>
      <c r="J322" s="2488"/>
      <c r="K322" s="2750">
        <v>3583</v>
      </c>
      <c r="L322" s="2488"/>
      <c r="M322" s="2488"/>
      <c r="N322" s="2514">
        <v>1944819</v>
      </c>
      <c r="O322" s="2505">
        <v>1944819</v>
      </c>
      <c r="P322" s="2479" t="s">
        <v>12425</v>
      </c>
    </row>
    <row r="323" spans="1:16" ht="5.85" customHeight="1" x14ac:dyDescent="0.2">
      <c r="A323" s="2769">
        <v>4.16</v>
      </c>
      <c r="B323" s="2502"/>
      <c r="C323" s="2503"/>
      <c r="D323" s="2614"/>
      <c r="E323" s="2614"/>
      <c r="F323" s="2488"/>
      <c r="G323" s="2488"/>
      <c r="H323" s="2614"/>
      <c r="I323" s="2488"/>
      <c r="J323" s="2488"/>
      <c r="K323" s="2488"/>
      <c r="L323" s="2488"/>
      <c r="M323" s="2488"/>
      <c r="N323" s="2488"/>
      <c r="O323" s="2505">
        <v>0</v>
      </c>
      <c r="P323" s="2479" t="s">
        <v>12426</v>
      </c>
    </row>
    <row r="324" spans="1:16" ht="5.85" customHeight="1" x14ac:dyDescent="0.2">
      <c r="A324" s="2769">
        <v>4.17</v>
      </c>
      <c r="B324" s="2512"/>
      <c r="C324" s="2503"/>
      <c r="D324" s="2614"/>
      <c r="E324" s="2614"/>
      <c r="F324" s="2488"/>
      <c r="G324" s="2488"/>
      <c r="H324" s="2488"/>
      <c r="I324" s="2488"/>
      <c r="J324" s="2488"/>
      <c r="K324" s="2488"/>
      <c r="L324" s="2488"/>
      <c r="M324" s="2488"/>
      <c r="N324" s="2488"/>
      <c r="O324" s="2505">
        <v>0</v>
      </c>
      <c r="P324" s="2479" t="s">
        <v>12427</v>
      </c>
    </row>
    <row r="325" spans="1:16" ht="5.85" customHeight="1" x14ac:dyDescent="0.2">
      <c r="A325" s="2769">
        <v>4.18</v>
      </c>
      <c r="B325" s="2512"/>
      <c r="C325" s="2503"/>
      <c r="D325" s="2614"/>
      <c r="E325" s="2614"/>
      <c r="F325" s="2488"/>
      <c r="G325" s="2488"/>
      <c r="H325" s="2614"/>
      <c r="I325" s="2488"/>
      <c r="J325" s="2488"/>
      <c r="K325" s="2488"/>
      <c r="L325" s="2488"/>
      <c r="M325" s="2488"/>
      <c r="N325" s="2488"/>
      <c r="O325" s="2505">
        <v>0</v>
      </c>
      <c r="P325" s="2479" t="s">
        <v>12428</v>
      </c>
    </row>
    <row r="326" spans="1:16" ht="5.85" customHeight="1" x14ac:dyDescent="0.2">
      <c r="A326" s="2769">
        <v>4.1900000000000004</v>
      </c>
      <c r="B326" s="2512"/>
      <c r="C326" s="2503"/>
      <c r="D326" s="2614"/>
      <c r="E326" s="2614"/>
      <c r="F326" s="2488"/>
      <c r="G326" s="2488"/>
      <c r="H326" s="2614"/>
      <c r="I326" s="2488"/>
      <c r="J326" s="2488"/>
      <c r="K326" s="2488"/>
      <c r="L326" s="2488"/>
      <c r="M326" s="2488"/>
      <c r="N326" s="2488"/>
      <c r="O326" s="2505">
        <v>0</v>
      </c>
      <c r="P326" s="2479" t="s">
        <v>12429</v>
      </c>
    </row>
    <row r="327" spans="1:16" ht="5.85" customHeight="1" x14ac:dyDescent="0.2">
      <c r="A327" s="2769">
        <v>4.2</v>
      </c>
      <c r="B327" s="2512"/>
      <c r="C327" s="2503"/>
      <c r="D327" s="2614"/>
      <c r="E327" s="2614"/>
      <c r="F327" s="2488"/>
      <c r="G327" s="2488"/>
      <c r="H327" s="2614"/>
      <c r="I327" s="2488"/>
      <c r="J327" s="2488"/>
      <c r="K327" s="2488"/>
      <c r="L327" s="2488"/>
      <c r="M327" s="2488"/>
      <c r="N327" s="2488"/>
      <c r="O327" s="2505">
        <v>0</v>
      </c>
      <c r="P327" s="2479" t="s">
        <v>12430</v>
      </c>
    </row>
    <row r="328" spans="1:16" ht="5.85" customHeight="1" x14ac:dyDescent="0.2">
      <c r="A328" s="2769">
        <v>4.21</v>
      </c>
      <c r="B328" s="2512"/>
      <c r="C328" s="2503"/>
      <c r="D328" s="2614"/>
      <c r="E328" s="2614"/>
      <c r="F328" s="2614"/>
      <c r="G328" s="2614"/>
      <c r="H328" s="2614"/>
      <c r="I328" s="2488"/>
      <c r="J328" s="2488"/>
      <c r="K328" s="2488"/>
      <c r="L328" s="2488"/>
      <c r="M328" s="2488"/>
      <c r="N328" s="2488"/>
      <c r="O328" s="2505">
        <v>0</v>
      </c>
      <c r="P328" s="2479" t="s">
        <v>12431</v>
      </c>
    </row>
    <row r="329" spans="1:16" ht="5.85" customHeight="1" x14ac:dyDescent="0.2">
      <c r="A329" s="2769">
        <v>4.22</v>
      </c>
      <c r="B329" s="2512"/>
      <c r="C329" s="2489"/>
      <c r="D329" s="2614"/>
      <c r="E329" s="2614"/>
      <c r="F329" s="2488"/>
      <c r="G329" s="2488"/>
      <c r="H329" s="2614"/>
      <c r="I329" s="2488"/>
      <c r="J329" s="2488"/>
      <c r="K329" s="2488"/>
      <c r="L329" s="2488"/>
      <c r="M329" s="2488"/>
      <c r="N329" s="2488"/>
      <c r="O329" s="2505">
        <v>0</v>
      </c>
      <c r="P329" s="2479" t="s">
        <v>12432</v>
      </c>
    </row>
    <row r="330" spans="1:16" ht="5.85" customHeight="1" x14ac:dyDescent="0.2">
      <c r="A330" s="2769">
        <v>4.2300000000000004</v>
      </c>
      <c r="B330" s="2512"/>
      <c r="C330" s="2503"/>
      <c r="D330" s="2614"/>
      <c r="E330" s="2614"/>
      <c r="F330" s="2488"/>
      <c r="G330" s="2488"/>
      <c r="H330" s="2614"/>
      <c r="I330" s="2488"/>
      <c r="J330" s="2488"/>
      <c r="K330" s="2488"/>
      <c r="L330" s="2488"/>
      <c r="M330" s="2488"/>
      <c r="N330" s="2488"/>
      <c r="O330" s="2505">
        <v>0</v>
      </c>
      <c r="P330" s="2479" t="s">
        <v>12433</v>
      </c>
    </row>
    <row r="331" spans="1:16" ht="5.85" customHeight="1" x14ac:dyDescent="0.2">
      <c r="A331" s="2769">
        <v>4.24</v>
      </c>
      <c r="B331" s="2512"/>
      <c r="C331" s="2503"/>
      <c r="D331" s="2614"/>
      <c r="E331" s="2614"/>
      <c r="F331" s="2488"/>
      <c r="G331" s="2488"/>
      <c r="H331" s="2614"/>
      <c r="I331" s="2488"/>
      <c r="J331" s="2488"/>
      <c r="K331" s="2488"/>
      <c r="L331" s="2488"/>
      <c r="M331" s="2488"/>
      <c r="N331" s="2488"/>
      <c r="O331" s="2505">
        <v>0</v>
      </c>
      <c r="P331" s="2479" t="s">
        <v>12434</v>
      </c>
    </row>
    <row r="332" spans="1:16" ht="5.85" customHeight="1" x14ac:dyDescent="0.2">
      <c r="A332" s="2769">
        <v>4.25</v>
      </c>
      <c r="B332" s="2512"/>
      <c r="C332" s="2503"/>
      <c r="D332" s="2614"/>
      <c r="E332" s="2614"/>
      <c r="F332" s="2488"/>
      <c r="G332" s="2488"/>
      <c r="H332" s="2614"/>
      <c r="I332" s="2488"/>
      <c r="J332" s="2488"/>
      <c r="K332" s="2488"/>
      <c r="L332" s="2488"/>
      <c r="M332" s="2488"/>
      <c r="N332" s="2488"/>
      <c r="O332" s="2505">
        <v>0</v>
      </c>
      <c r="P332" s="2479" t="s">
        <v>12435</v>
      </c>
    </row>
    <row r="333" spans="1:16" ht="5.85" customHeight="1" x14ac:dyDescent="0.2">
      <c r="A333" s="2769">
        <v>4.26</v>
      </c>
      <c r="B333" s="2512"/>
      <c r="C333" s="2503"/>
      <c r="D333" s="2614"/>
      <c r="E333" s="2614"/>
      <c r="F333" s="2488"/>
      <c r="G333" s="2488"/>
      <c r="H333" s="2614"/>
      <c r="I333" s="2488"/>
      <c r="J333" s="2488"/>
      <c r="K333" s="2488"/>
      <c r="L333" s="2488"/>
      <c r="M333" s="2488"/>
      <c r="N333" s="2488"/>
      <c r="O333" s="2505">
        <v>0</v>
      </c>
      <c r="P333" s="2479" t="s">
        <v>12436</v>
      </c>
    </row>
    <row r="334" spans="1:16" ht="5.85" customHeight="1" x14ac:dyDescent="0.2">
      <c r="A334" s="2769">
        <v>4.2699999999999996</v>
      </c>
      <c r="B334" s="2502"/>
      <c r="C334" s="2503"/>
      <c r="D334" s="2614"/>
      <c r="E334" s="2614"/>
      <c r="F334" s="2488"/>
      <c r="G334" s="2488"/>
      <c r="H334" s="2614"/>
      <c r="I334" s="2488"/>
      <c r="J334" s="2488"/>
      <c r="K334" s="2488"/>
      <c r="L334" s="2488"/>
      <c r="M334" s="2488"/>
      <c r="N334" s="2488"/>
      <c r="O334" s="2505">
        <v>0</v>
      </c>
      <c r="P334" s="2479" t="s">
        <v>12437</v>
      </c>
    </row>
    <row r="335" spans="1:16" ht="5.85" customHeight="1" x14ac:dyDescent="0.2">
      <c r="A335" s="2769">
        <v>4.28</v>
      </c>
      <c r="B335" s="2502"/>
      <c r="C335" s="2503"/>
      <c r="D335" s="2614"/>
      <c r="E335" s="2614"/>
      <c r="F335" s="2488"/>
      <c r="G335" s="2488"/>
      <c r="H335" s="2614"/>
      <c r="I335" s="2488"/>
      <c r="J335" s="2488"/>
      <c r="K335" s="2488"/>
      <c r="L335" s="2488"/>
      <c r="M335" s="2488"/>
      <c r="N335" s="2488"/>
      <c r="O335" s="2505">
        <v>0</v>
      </c>
      <c r="P335" s="2479" t="s">
        <v>12438</v>
      </c>
    </row>
    <row r="336" spans="1:16" ht="5.85" customHeight="1" x14ac:dyDescent="0.2">
      <c r="A336" s="2769">
        <v>4.29</v>
      </c>
      <c r="B336" s="2502"/>
      <c r="C336" s="2503"/>
      <c r="D336" s="2614"/>
      <c r="E336" s="2614"/>
      <c r="F336" s="2488"/>
      <c r="G336" s="2488"/>
      <c r="H336" s="2614"/>
      <c r="I336" s="2488"/>
      <c r="J336" s="2488"/>
      <c r="K336" s="2488"/>
      <c r="L336" s="2488"/>
      <c r="M336" s="2488"/>
      <c r="N336" s="2488"/>
      <c r="O336" s="2505">
        <v>0</v>
      </c>
      <c r="P336" s="2479" t="s">
        <v>12439</v>
      </c>
    </row>
    <row r="337" spans="1:16" ht="5.85" customHeight="1" x14ac:dyDescent="0.2">
      <c r="A337" s="2769">
        <v>4.3</v>
      </c>
      <c r="B337" s="2502"/>
      <c r="C337" s="2503"/>
      <c r="D337" s="2614"/>
      <c r="E337" s="2614"/>
      <c r="F337" s="2488"/>
      <c r="G337" s="2488"/>
      <c r="H337" s="2614"/>
      <c r="I337" s="2488"/>
      <c r="J337" s="2488"/>
      <c r="K337" s="2488"/>
      <c r="L337" s="2488"/>
      <c r="M337" s="2488"/>
      <c r="N337" s="2488"/>
      <c r="O337" s="2505">
        <v>0</v>
      </c>
      <c r="P337" s="2479" t="s">
        <v>12440</v>
      </c>
    </row>
    <row r="338" spans="1:16" ht="5.85" customHeight="1" x14ac:dyDescent="0.2">
      <c r="A338" s="2769">
        <v>4.3099999999999996</v>
      </c>
      <c r="B338" s="2512"/>
      <c r="C338" s="2503"/>
      <c r="D338" s="2614"/>
      <c r="E338" s="2614"/>
      <c r="F338" s="2488"/>
      <c r="G338" s="2488"/>
      <c r="H338" s="2488"/>
      <c r="I338" s="2488"/>
      <c r="J338" s="2488"/>
      <c r="K338" s="2488"/>
      <c r="L338" s="2488"/>
      <c r="M338" s="2488"/>
      <c r="N338" s="2488"/>
      <c r="O338" s="2505">
        <v>0</v>
      </c>
      <c r="P338" s="2479" t="s">
        <v>12441</v>
      </c>
    </row>
    <row r="339" spans="1:16" ht="5.85" customHeight="1" x14ac:dyDescent="0.2">
      <c r="A339" s="2769">
        <v>4.32</v>
      </c>
      <c r="B339" s="2512"/>
      <c r="C339" s="2503"/>
      <c r="D339" s="2614"/>
      <c r="E339" s="2614"/>
      <c r="F339" s="2488"/>
      <c r="G339" s="2488"/>
      <c r="H339" s="2614"/>
      <c r="I339" s="2488"/>
      <c r="J339" s="2488"/>
      <c r="K339" s="2488"/>
      <c r="L339" s="2488"/>
      <c r="M339" s="2488"/>
      <c r="N339" s="2488"/>
      <c r="O339" s="2505">
        <v>0</v>
      </c>
      <c r="P339" s="2479" t="s">
        <v>12442</v>
      </c>
    </row>
    <row r="340" spans="1:16" ht="25.9" customHeight="1" x14ac:dyDescent="0.2">
      <c r="A340" s="3235">
        <v>15</v>
      </c>
      <c r="B340" s="2669" t="s">
        <v>104</v>
      </c>
      <c r="C340" s="2951"/>
      <c r="D340" s="2812"/>
      <c r="E340" s="2812"/>
      <c r="F340" s="2812"/>
      <c r="G340" s="3236"/>
      <c r="H340" s="3238">
        <v>14523353</v>
      </c>
      <c r="I340" s="3238">
        <v>0</v>
      </c>
      <c r="J340" s="3238">
        <v>6856077</v>
      </c>
      <c r="K340" s="3238">
        <v>9947470</v>
      </c>
      <c r="L340" s="3238">
        <v>35855710</v>
      </c>
      <c r="M340" s="3238">
        <v>768977094</v>
      </c>
      <c r="N340" s="3238">
        <v>-122483321</v>
      </c>
      <c r="O340" s="3238">
        <v>682349483</v>
      </c>
      <c r="P340" s="2855"/>
    </row>
    <row r="341" spans="1:16" ht="15" customHeight="1" x14ac:dyDescent="0.2">
      <c r="B341" s="2536"/>
      <c r="C341" s="2952"/>
      <c r="D341" s="2537"/>
      <c r="E341" s="2537"/>
      <c r="F341" s="2537"/>
      <c r="G341" s="2537"/>
      <c r="H341" s="2537"/>
      <c r="I341" s="2516"/>
      <c r="J341" s="2516"/>
      <c r="K341" s="2516"/>
      <c r="L341" s="2516"/>
      <c r="M341" s="2516"/>
      <c r="N341" s="2516"/>
      <c r="O341" s="3237"/>
    </row>
  </sheetData>
  <mergeCells count="14">
    <mergeCell ref="H4:H5"/>
    <mergeCell ref="I4:I5"/>
    <mergeCell ref="J4:K4"/>
    <mergeCell ref="L4:O4"/>
    <mergeCell ref="A2:G2"/>
    <mergeCell ref="H2:O2"/>
    <mergeCell ref="A3:G3"/>
    <mergeCell ref="H3:O3"/>
    <mergeCell ref="A4:A6"/>
    <mergeCell ref="B4:B5"/>
    <mergeCell ref="C4:C5"/>
    <mergeCell ref="D4:D5"/>
    <mergeCell ref="E4:E5"/>
    <mergeCell ref="F4:G4"/>
  </mergeCells>
  <pageMargins left="0.75" right="0.75" top="1" bottom="1" header="0.5" footer="0.5"/>
  <pageSetup orientation="portrait" r:id="rId1"/>
  <customProperties>
    <customPr name="_pios_id" r:id="rId2"/>
  </customProperties>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9BDF1F-8C74-42D4-8F9F-CCD8D77A37EF}">
  <sheetPr codeName="Sheet78"/>
  <dimension ref="A1:Q264"/>
  <sheetViews>
    <sheetView workbookViewId="0">
      <pane xSplit="2" ySplit="8" topLeftCell="C9" activePane="bottomRight" state="frozen"/>
      <selection activeCell="C1" sqref="C1"/>
      <selection pane="topRight" activeCell="C1" sqref="C1"/>
      <selection pane="bottomLeft" activeCell="C1" sqref="C1"/>
      <selection pane="bottomRight" activeCell="C1" sqref="C1"/>
    </sheetView>
  </sheetViews>
  <sheetFormatPr defaultColWidth="11.5" defaultRowHeight="12.75" x14ac:dyDescent="0.2"/>
  <cols>
    <col min="1" max="1" width="5.75" style="1953" customWidth="1"/>
    <col min="2" max="2" width="40.625" style="1953" customWidth="1"/>
    <col min="3" max="3" width="44.125" style="1953" customWidth="1"/>
    <col min="4" max="4" width="39.5" style="1953" customWidth="1"/>
    <col min="5" max="5" width="10.5" style="1953" customWidth="1"/>
    <col min="6" max="6" width="9.125" style="1953" customWidth="1"/>
    <col min="7" max="7" width="32.875" style="1953" customWidth="1"/>
    <col min="8" max="8" width="23.375" style="1953" customWidth="1"/>
    <col min="9" max="9" width="6.625" style="1953" customWidth="1"/>
    <col min="10" max="11" width="10.5" style="1953" customWidth="1"/>
    <col min="12" max="15" width="10.875" style="1953" customWidth="1"/>
    <col min="16" max="16" width="82.625" style="1953" customWidth="1"/>
    <col min="17" max="17" width="3.75" style="1953" customWidth="1"/>
    <col min="18" max="26" width="17.625" style="1953" customWidth="1"/>
    <col min="27" max="16384" width="11.5" style="1953"/>
  </cols>
  <sheetData>
    <row r="1" spans="1:17" ht="16.7" customHeight="1" x14ac:dyDescent="0.2">
      <c r="B1" s="2845" t="s">
        <v>5937</v>
      </c>
      <c r="Q1" s="2953"/>
    </row>
    <row r="2" spans="1:17" ht="16.7" customHeight="1" x14ac:dyDescent="0.2">
      <c r="B2" s="2483"/>
      <c r="Q2" s="2953"/>
    </row>
    <row r="3" spans="1:17" ht="15.75" customHeight="1" x14ac:dyDescent="0.2">
      <c r="A3" s="3900" t="s">
        <v>9598</v>
      </c>
      <c r="B3" s="3901"/>
      <c r="C3" s="3901"/>
      <c r="D3" s="3901"/>
      <c r="E3" s="3902"/>
      <c r="F3" s="3870" t="s">
        <v>9599</v>
      </c>
      <c r="G3" s="3870"/>
      <c r="H3" s="3870"/>
      <c r="I3" s="3870"/>
      <c r="J3" s="3870"/>
      <c r="K3" s="3870"/>
      <c r="L3" s="3870" t="s">
        <v>9600</v>
      </c>
      <c r="M3" s="3870"/>
      <c r="N3" s="3870"/>
      <c r="O3" s="3870"/>
      <c r="P3" s="2954"/>
      <c r="Q3" s="2953"/>
    </row>
    <row r="4" spans="1:17" ht="23.25" customHeight="1" x14ac:dyDescent="0.2">
      <c r="A4" s="3882" t="s">
        <v>9601</v>
      </c>
      <c r="B4" s="3891"/>
      <c r="C4" s="3891"/>
      <c r="D4" s="3891"/>
      <c r="E4" s="3892"/>
      <c r="F4" s="3860" t="s">
        <v>9602</v>
      </c>
      <c r="G4" s="3860"/>
      <c r="H4" s="3860"/>
      <c r="I4" s="3860"/>
      <c r="J4" s="3860"/>
      <c r="K4" s="3860"/>
      <c r="L4" s="3882" t="s">
        <v>9602</v>
      </c>
      <c r="M4" s="3891"/>
      <c r="N4" s="3891"/>
      <c r="O4" s="3892"/>
      <c r="P4" s="2954"/>
      <c r="Q4" s="2953"/>
    </row>
    <row r="5" spans="1:17" ht="76.7" customHeight="1" x14ac:dyDescent="0.2">
      <c r="A5" s="3916" t="s">
        <v>9603</v>
      </c>
      <c r="B5" s="4067"/>
      <c r="C5" s="4067"/>
      <c r="D5" s="4067"/>
      <c r="E5" s="4068"/>
      <c r="F5" s="4069" t="s">
        <v>9604</v>
      </c>
      <c r="G5" s="4069"/>
      <c r="H5" s="4069"/>
      <c r="I5" s="4069"/>
      <c r="J5" s="4069"/>
      <c r="K5" s="4069"/>
      <c r="L5" s="4069" t="s">
        <v>9605</v>
      </c>
      <c r="M5" s="4069"/>
      <c r="N5" s="4069"/>
      <c r="O5" s="4069"/>
      <c r="P5" s="2955"/>
      <c r="Q5" s="2953"/>
    </row>
    <row r="6" spans="1:17" ht="15.75" customHeight="1" x14ac:dyDescent="0.2">
      <c r="A6" s="3898" t="s">
        <v>6133</v>
      </c>
      <c r="B6" s="3898" t="s">
        <v>9606</v>
      </c>
      <c r="C6" s="3898" t="s">
        <v>9607</v>
      </c>
      <c r="D6" s="3898" t="s">
        <v>9608</v>
      </c>
      <c r="E6" s="3898" t="s">
        <v>9609</v>
      </c>
      <c r="F6" s="4064" t="s">
        <v>9610</v>
      </c>
      <c r="G6" s="4064" t="s">
        <v>9611</v>
      </c>
      <c r="H6" s="4064" t="s">
        <v>9612</v>
      </c>
      <c r="I6" s="4064" t="s">
        <v>9613</v>
      </c>
      <c r="J6" s="4066" t="s">
        <v>9614</v>
      </c>
      <c r="K6" s="4066"/>
      <c r="L6" s="3860" t="s">
        <v>9615</v>
      </c>
      <c r="M6" s="3860"/>
      <c r="N6" s="3860"/>
      <c r="O6" s="3860"/>
      <c r="P6" s="2954"/>
      <c r="Q6" s="2953"/>
    </row>
    <row r="7" spans="1:17" ht="32.450000000000003" customHeight="1" x14ac:dyDescent="0.2">
      <c r="A7" s="3987"/>
      <c r="B7" s="3987"/>
      <c r="C7" s="3987"/>
      <c r="D7" s="3987"/>
      <c r="E7" s="3987"/>
      <c r="F7" s="4065"/>
      <c r="G7" s="4065"/>
      <c r="H7" s="4065"/>
      <c r="I7" s="4065"/>
      <c r="J7" s="2956" t="s">
        <v>9616</v>
      </c>
      <c r="K7" s="2956" t="s">
        <v>9617</v>
      </c>
      <c r="L7" s="2581" t="s">
        <v>9618</v>
      </c>
      <c r="M7" s="2581" t="s">
        <v>9619</v>
      </c>
      <c r="N7" s="2581" t="s">
        <v>9620</v>
      </c>
      <c r="O7" s="2489" t="s">
        <v>9621</v>
      </c>
      <c r="P7" s="2954"/>
      <c r="Q7" s="2953"/>
    </row>
    <row r="8" spans="1:17" ht="16.7" customHeight="1" x14ac:dyDescent="0.2">
      <c r="A8" s="2589"/>
      <c r="B8" s="2589" t="s">
        <v>5949</v>
      </c>
      <c r="C8" s="2589" t="s">
        <v>5950</v>
      </c>
      <c r="D8" s="2589" t="s">
        <v>5951</v>
      </c>
      <c r="E8" s="2589" t="s">
        <v>5952</v>
      </c>
      <c r="F8" s="2957" t="s">
        <v>6227</v>
      </c>
      <c r="G8" s="2957" t="s">
        <v>5804</v>
      </c>
      <c r="H8" s="2957" t="s">
        <v>6228</v>
      </c>
      <c r="I8" s="2957" t="s">
        <v>6229</v>
      </c>
      <c r="J8" s="2957" t="s">
        <v>6230</v>
      </c>
      <c r="K8" s="2957" t="s">
        <v>6231</v>
      </c>
      <c r="L8" s="2589" t="s">
        <v>6232</v>
      </c>
      <c r="M8" s="2589" t="s">
        <v>6233</v>
      </c>
      <c r="N8" s="2589" t="s">
        <v>7035</v>
      </c>
      <c r="O8" s="2489" t="s">
        <v>8045</v>
      </c>
      <c r="P8" s="2958" t="s">
        <v>6324</v>
      </c>
      <c r="Q8" s="2953"/>
    </row>
    <row r="9" spans="1:17" ht="16.7" customHeight="1" x14ac:dyDescent="0.2">
      <c r="A9" s="2497">
        <v>1</v>
      </c>
      <c r="B9" s="2512" t="s">
        <v>9622</v>
      </c>
      <c r="C9" s="2512" t="s">
        <v>9622</v>
      </c>
      <c r="D9" s="2512" t="s">
        <v>9123</v>
      </c>
      <c r="E9" s="2947" t="s">
        <v>9623</v>
      </c>
      <c r="F9" s="2487" t="s">
        <v>9624</v>
      </c>
      <c r="G9" s="2631" t="s">
        <v>9625</v>
      </c>
      <c r="H9" s="2631" t="s">
        <v>9626</v>
      </c>
      <c r="I9" s="2766">
        <v>50</v>
      </c>
      <c r="J9" s="2766">
        <v>109056</v>
      </c>
      <c r="K9" s="2766">
        <v>109056</v>
      </c>
      <c r="L9" s="2766">
        <v>1703375</v>
      </c>
      <c r="M9" s="2766">
        <v>0</v>
      </c>
      <c r="N9" s="2959">
        <v>383788</v>
      </c>
      <c r="O9" s="2530">
        <f t="shared" ref="O9:O72" si="0">SUM(L9:N9)</f>
        <v>2087163</v>
      </c>
      <c r="P9" s="2960" t="str">
        <f t="shared" ref="P9:P72" si="1">CONCATENATE(B9," ",C9," ",D9," ",E9," ",F9)</f>
        <v>Airport Solar LLC Airport Solar LLC Portland General Electric Company LFP SA 965</v>
      </c>
      <c r="Q9" s="2961"/>
    </row>
    <row r="10" spans="1:17" ht="16.7" customHeight="1" x14ac:dyDescent="0.2">
      <c r="A10" s="2497">
        <v>2</v>
      </c>
      <c r="B10" s="2512" t="s">
        <v>9622</v>
      </c>
      <c r="C10" s="2512" t="s">
        <v>9622</v>
      </c>
      <c r="D10" s="2512" t="s">
        <v>9123</v>
      </c>
      <c r="E10" s="2947" t="s">
        <v>196</v>
      </c>
      <c r="F10" s="2487" t="s">
        <v>9624</v>
      </c>
      <c r="G10" s="2631" t="s">
        <v>9625</v>
      </c>
      <c r="H10" s="2631" t="s">
        <v>9626</v>
      </c>
      <c r="I10" s="2766">
        <v>52</v>
      </c>
      <c r="J10" s="2766">
        <v>2819</v>
      </c>
      <c r="K10" s="2766">
        <v>2819</v>
      </c>
      <c r="L10" s="2766">
        <v>0</v>
      </c>
      <c r="M10" s="2766">
        <v>0</v>
      </c>
      <c r="N10" s="2962">
        <v>103916</v>
      </c>
      <c r="O10" s="2530">
        <f t="shared" si="0"/>
        <v>103916</v>
      </c>
      <c r="P10" s="2960" t="str">
        <f t="shared" si="1"/>
        <v>Airport Solar LLC Airport Solar LLC Portland General Electric Company AD SA 965</v>
      </c>
      <c r="Q10" s="2953"/>
    </row>
    <row r="11" spans="1:17" ht="16.7" customHeight="1" x14ac:dyDescent="0.2">
      <c r="A11" s="2497">
        <v>3</v>
      </c>
      <c r="B11" s="2512" t="s">
        <v>9627</v>
      </c>
      <c r="C11" s="2512" t="s">
        <v>9628</v>
      </c>
      <c r="D11" s="2512" t="s">
        <v>9628</v>
      </c>
      <c r="E11" s="2489" t="s">
        <v>9629</v>
      </c>
      <c r="F11" s="2487" t="s">
        <v>9630</v>
      </c>
      <c r="G11" s="2631" t="s">
        <v>9631</v>
      </c>
      <c r="H11" s="2631" t="s">
        <v>9631</v>
      </c>
      <c r="I11" s="2854"/>
      <c r="J11" s="2766">
        <v>480</v>
      </c>
      <c r="K11" s="2766">
        <v>480</v>
      </c>
      <c r="L11" s="2766">
        <v>0</v>
      </c>
      <c r="M11" s="2766">
        <v>6422</v>
      </c>
      <c r="N11" s="2963">
        <v>407</v>
      </c>
      <c r="O11" s="2530">
        <f t="shared" si="0"/>
        <v>6829</v>
      </c>
      <c r="P11" s="2960" t="str">
        <f t="shared" si="1"/>
        <v>Altop Energy Trading LLC various signatories various signatories NF SA 1059</v>
      </c>
      <c r="Q11" s="2953"/>
    </row>
    <row r="12" spans="1:17" ht="16.7" customHeight="1" x14ac:dyDescent="0.2">
      <c r="A12" s="2497">
        <v>4</v>
      </c>
      <c r="B12" s="2512" t="s">
        <v>9083</v>
      </c>
      <c r="C12" s="2512" t="s">
        <v>9628</v>
      </c>
      <c r="D12" s="2512" t="s">
        <v>9628</v>
      </c>
      <c r="E12" s="2489" t="s">
        <v>9632</v>
      </c>
      <c r="F12" s="2487" t="s">
        <v>9633</v>
      </c>
      <c r="G12" s="2631" t="s">
        <v>9631</v>
      </c>
      <c r="H12" s="2631" t="s">
        <v>9631</v>
      </c>
      <c r="I12" s="2854"/>
      <c r="J12" s="2766">
        <v>295</v>
      </c>
      <c r="K12" s="2766">
        <v>295</v>
      </c>
      <c r="L12" s="2766">
        <v>0</v>
      </c>
      <c r="M12" s="2766">
        <v>2446</v>
      </c>
      <c r="N12" s="2963">
        <v>154</v>
      </c>
      <c r="O12" s="2530">
        <f t="shared" si="0"/>
        <v>2600</v>
      </c>
      <c r="P12" s="2960" t="str">
        <f t="shared" si="1"/>
        <v>Arizona Electric Power Cooperative, Inc. various signatories various signatories SFP SA 1010</v>
      </c>
      <c r="Q12" s="2953"/>
    </row>
    <row r="13" spans="1:17" ht="16.7" customHeight="1" x14ac:dyDescent="0.2">
      <c r="A13" s="2497">
        <v>5</v>
      </c>
      <c r="B13" s="2512" t="s">
        <v>9083</v>
      </c>
      <c r="C13" s="2512" t="s">
        <v>9628</v>
      </c>
      <c r="D13" s="2512" t="s">
        <v>9628</v>
      </c>
      <c r="E13" s="2964" t="s">
        <v>196</v>
      </c>
      <c r="F13" s="2487" t="s">
        <v>9633</v>
      </c>
      <c r="G13" s="2631" t="s">
        <v>9631</v>
      </c>
      <c r="H13" s="2631" t="s">
        <v>9631</v>
      </c>
      <c r="I13" s="2854"/>
      <c r="J13" s="2766">
        <v>10</v>
      </c>
      <c r="K13" s="2766">
        <v>10</v>
      </c>
      <c r="L13" s="2766">
        <v>0</v>
      </c>
      <c r="M13" s="2766">
        <v>0</v>
      </c>
      <c r="N13" s="2962">
        <v>99</v>
      </c>
      <c r="O13" s="2530">
        <f t="shared" si="0"/>
        <v>99</v>
      </c>
      <c r="P13" s="2960" t="str">
        <f t="shared" si="1"/>
        <v>Arizona Electric Power Cooperative, Inc. various signatories various signatories AD SA 1010</v>
      </c>
      <c r="Q13" s="2953"/>
    </row>
    <row r="14" spans="1:17" ht="16.7" customHeight="1" x14ac:dyDescent="0.2">
      <c r="A14" s="2497">
        <v>6</v>
      </c>
      <c r="B14" s="2512" t="s">
        <v>9084</v>
      </c>
      <c r="C14" s="2512" t="s">
        <v>9628</v>
      </c>
      <c r="D14" s="2512" t="s">
        <v>9628</v>
      </c>
      <c r="E14" s="2964" t="s">
        <v>196</v>
      </c>
      <c r="F14" s="2487" t="s">
        <v>9634</v>
      </c>
      <c r="G14" s="2631" t="s">
        <v>9631</v>
      </c>
      <c r="H14" s="2631" t="s">
        <v>9631</v>
      </c>
      <c r="I14" s="2854"/>
      <c r="J14" s="2766">
        <v>72</v>
      </c>
      <c r="K14" s="2766">
        <v>72</v>
      </c>
      <c r="L14" s="2766">
        <v>0</v>
      </c>
      <c r="M14" s="2766">
        <v>0</v>
      </c>
      <c r="N14" s="2962">
        <v>395</v>
      </c>
      <c r="O14" s="2530">
        <f t="shared" si="0"/>
        <v>395</v>
      </c>
      <c r="P14" s="2960" t="str">
        <f t="shared" si="1"/>
        <v>Arizona Public Service Company various signatories various signatories AD SA 042</v>
      </c>
      <c r="Q14" s="2953"/>
    </row>
    <row r="15" spans="1:17" ht="16.7" customHeight="1" x14ac:dyDescent="0.2">
      <c r="A15" s="2497">
        <v>7</v>
      </c>
      <c r="B15" s="2512" t="s">
        <v>9085</v>
      </c>
      <c r="C15" s="2512" t="s">
        <v>9628</v>
      </c>
      <c r="D15" s="2512" t="s">
        <v>9628</v>
      </c>
      <c r="E15" s="2489" t="s">
        <v>9629</v>
      </c>
      <c r="F15" s="2487" t="s">
        <v>9635</v>
      </c>
      <c r="G15" s="2631" t="s">
        <v>9631</v>
      </c>
      <c r="H15" s="2631" t="s">
        <v>9631</v>
      </c>
      <c r="I15" s="2854"/>
      <c r="J15" s="2766">
        <v>147548</v>
      </c>
      <c r="K15" s="2766">
        <v>147548</v>
      </c>
      <c r="L15" s="2766">
        <v>0</v>
      </c>
      <c r="M15" s="2766">
        <v>1999645</v>
      </c>
      <c r="N15" s="2965">
        <v>125914</v>
      </c>
      <c r="O15" s="2530">
        <f t="shared" si="0"/>
        <v>2125559</v>
      </c>
      <c r="P15" s="2960" t="str">
        <f t="shared" si="1"/>
        <v>Avangrid Renewables, LLC various signatories various signatories NF SA 121</v>
      </c>
      <c r="Q15" s="2953"/>
    </row>
    <row r="16" spans="1:17" ht="16.7" customHeight="1" x14ac:dyDescent="0.2">
      <c r="A16" s="2497">
        <v>8</v>
      </c>
      <c r="B16" s="2512" t="s">
        <v>9085</v>
      </c>
      <c r="C16" s="2512" t="s">
        <v>9628</v>
      </c>
      <c r="D16" s="2512" t="s">
        <v>9628</v>
      </c>
      <c r="E16" s="2964" t="s">
        <v>196</v>
      </c>
      <c r="F16" s="2487" t="s">
        <v>9635</v>
      </c>
      <c r="G16" s="2631" t="s">
        <v>9631</v>
      </c>
      <c r="H16" s="2631" t="s">
        <v>9631</v>
      </c>
      <c r="I16" s="2854"/>
      <c r="J16" s="2766">
        <v>25849</v>
      </c>
      <c r="K16" s="2766">
        <v>25849</v>
      </c>
      <c r="L16" s="2766">
        <v>0</v>
      </c>
      <c r="M16" s="2766">
        <v>0</v>
      </c>
      <c r="N16" s="2962">
        <v>185556</v>
      </c>
      <c r="O16" s="2530">
        <f t="shared" si="0"/>
        <v>185556</v>
      </c>
      <c r="P16" s="2960" t="str">
        <f t="shared" si="1"/>
        <v>Avangrid Renewables, LLC various signatories various signatories AD SA 121</v>
      </c>
      <c r="Q16" s="2953"/>
    </row>
    <row r="17" spans="1:17" ht="16.7" customHeight="1" x14ac:dyDescent="0.2">
      <c r="A17" s="2497">
        <v>9</v>
      </c>
      <c r="B17" s="2512" t="s">
        <v>9085</v>
      </c>
      <c r="C17" s="2512" t="s">
        <v>9628</v>
      </c>
      <c r="D17" s="2512" t="s">
        <v>9628</v>
      </c>
      <c r="E17" s="2489" t="s">
        <v>9632</v>
      </c>
      <c r="F17" s="2487" t="s">
        <v>9636</v>
      </c>
      <c r="G17" s="2631" t="s">
        <v>9631</v>
      </c>
      <c r="H17" s="2631" t="s">
        <v>9631</v>
      </c>
      <c r="I17" s="2854"/>
      <c r="J17" s="2766">
        <v>47662</v>
      </c>
      <c r="K17" s="2766">
        <v>47662</v>
      </c>
      <c r="L17" s="2766">
        <v>0</v>
      </c>
      <c r="M17" s="2766">
        <v>448615</v>
      </c>
      <c r="N17" s="2963">
        <v>28268</v>
      </c>
      <c r="O17" s="2530">
        <f t="shared" si="0"/>
        <v>476883</v>
      </c>
      <c r="P17" s="2960" t="str">
        <f t="shared" si="1"/>
        <v>Avangrid Renewables, LLC various signatories various signatories SFP SA 122</v>
      </c>
      <c r="Q17" s="2953"/>
    </row>
    <row r="18" spans="1:17" ht="16.7" customHeight="1" x14ac:dyDescent="0.2">
      <c r="A18" s="2497">
        <v>10</v>
      </c>
      <c r="B18" s="2512" t="s">
        <v>9085</v>
      </c>
      <c r="C18" s="2512" t="s">
        <v>9628</v>
      </c>
      <c r="D18" s="2512" t="s">
        <v>9628</v>
      </c>
      <c r="E18" s="2966" t="s">
        <v>196</v>
      </c>
      <c r="F18" s="2487" t="s">
        <v>9636</v>
      </c>
      <c r="G18" s="2631" t="s">
        <v>9631</v>
      </c>
      <c r="H18" s="2631" t="s">
        <v>9631</v>
      </c>
      <c r="I18" s="2854"/>
      <c r="J18" s="2766">
        <v>3510</v>
      </c>
      <c r="K18" s="2766">
        <v>3510</v>
      </c>
      <c r="L18" s="2766">
        <v>0</v>
      </c>
      <c r="M18" s="2766">
        <v>0</v>
      </c>
      <c r="N18" s="2962">
        <v>38743</v>
      </c>
      <c r="O18" s="2530">
        <f t="shared" si="0"/>
        <v>38743</v>
      </c>
      <c r="P18" s="2960" t="str">
        <f t="shared" si="1"/>
        <v>Avangrid Renewables, LLC various signatories various signatories AD SA 122</v>
      </c>
      <c r="Q18" s="2953"/>
    </row>
    <row r="19" spans="1:17" ht="16.7" customHeight="1" x14ac:dyDescent="0.2">
      <c r="A19" s="2497">
        <v>11</v>
      </c>
      <c r="B19" s="2512" t="s">
        <v>9085</v>
      </c>
      <c r="C19" s="2512" t="s">
        <v>9637</v>
      </c>
      <c r="D19" s="2512" t="s">
        <v>9637</v>
      </c>
      <c r="E19" s="2947" t="s">
        <v>193</v>
      </c>
      <c r="F19" s="2487" t="s">
        <v>9638</v>
      </c>
      <c r="G19" s="2631" t="s">
        <v>9639</v>
      </c>
      <c r="H19" s="2631" t="s">
        <v>9639</v>
      </c>
      <c r="I19" s="2854"/>
      <c r="J19" s="2854"/>
      <c r="K19" s="2766">
        <v>0</v>
      </c>
      <c r="L19" s="2766">
        <v>0</v>
      </c>
      <c r="M19" s="2766">
        <v>0</v>
      </c>
      <c r="N19" s="2599">
        <v>195720</v>
      </c>
      <c r="O19" s="2530">
        <f t="shared" si="0"/>
        <v>195720</v>
      </c>
      <c r="P19" s="2960" t="str">
        <f t="shared" si="1"/>
        <v>Avangrid Renewables, LLC Avangrid Renewables, LLC and Utah Associated Municipal Power Systems Avangrid Renewables, LLC and Utah Associated Municipal Power Systems OS SA 476</v>
      </c>
      <c r="Q19" s="2953"/>
    </row>
    <row r="20" spans="1:17" ht="16.7" customHeight="1" x14ac:dyDescent="0.2">
      <c r="A20" s="2497">
        <v>12</v>
      </c>
      <c r="B20" s="2512" t="s">
        <v>9085</v>
      </c>
      <c r="C20" s="2512" t="s">
        <v>9637</v>
      </c>
      <c r="D20" s="2512" t="s">
        <v>9637</v>
      </c>
      <c r="E20" s="2947" t="s">
        <v>196</v>
      </c>
      <c r="F20" s="2487" t="s">
        <v>9638</v>
      </c>
      <c r="G20" s="2631" t="s">
        <v>9639</v>
      </c>
      <c r="H20" s="2631" t="s">
        <v>9639</v>
      </c>
      <c r="I20" s="2854"/>
      <c r="J20" s="2766">
        <v>0</v>
      </c>
      <c r="K20" s="2766">
        <v>0</v>
      </c>
      <c r="L20" s="2766">
        <v>0</v>
      </c>
      <c r="M20" s="2766">
        <v>0</v>
      </c>
      <c r="N20" s="2962">
        <v>25775</v>
      </c>
      <c r="O20" s="2530">
        <f t="shared" si="0"/>
        <v>25775</v>
      </c>
      <c r="P20" s="2960" t="str">
        <f t="shared" si="1"/>
        <v>Avangrid Renewables, LLC Avangrid Renewables, LLC and Utah Associated Municipal Power Systems Avangrid Renewables, LLC and Utah Associated Municipal Power Systems AD SA 476</v>
      </c>
      <c r="Q20" s="2953"/>
    </row>
    <row r="21" spans="1:17" ht="16.7" customHeight="1" x14ac:dyDescent="0.2">
      <c r="A21" s="2497">
        <v>13</v>
      </c>
      <c r="B21" s="2512" t="s">
        <v>9085</v>
      </c>
      <c r="C21" s="2512" t="s">
        <v>9640</v>
      </c>
      <c r="D21" s="2512" t="s">
        <v>9120</v>
      </c>
      <c r="E21" s="2947" t="s">
        <v>9623</v>
      </c>
      <c r="F21" s="2487" t="s">
        <v>9641</v>
      </c>
      <c r="G21" s="2631" t="s">
        <v>9625</v>
      </c>
      <c r="H21" s="2631" t="s">
        <v>9626</v>
      </c>
      <c r="I21" s="2766">
        <v>31</v>
      </c>
      <c r="J21" s="2766">
        <v>51183</v>
      </c>
      <c r="K21" s="2766">
        <v>51183</v>
      </c>
      <c r="L21" s="2766">
        <v>1064609</v>
      </c>
      <c r="M21" s="2766">
        <v>0</v>
      </c>
      <c r="N21" s="2963">
        <v>67043</v>
      </c>
      <c r="O21" s="2530">
        <f t="shared" si="0"/>
        <v>1131652</v>
      </c>
      <c r="P21" s="2960" t="str">
        <f t="shared" si="1"/>
        <v>Avangrid Renewables, LLC Exxon Mobil Nevada Power Company LFP SA 895</v>
      </c>
      <c r="Q21" s="2953"/>
    </row>
    <row r="22" spans="1:17" ht="16.7" customHeight="1" x14ac:dyDescent="0.2">
      <c r="A22" s="2497">
        <v>14</v>
      </c>
      <c r="B22" s="2512" t="s">
        <v>9085</v>
      </c>
      <c r="C22" s="2512" t="s">
        <v>9640</v>
      </c>
      <c r="D22" s="2512" t="s">
        <v>9120</v>
      </c>
      <c r="E22" s="2947" t="s">
        <v>196</v>
      </c>
      <c r="F22" s="2487" t="s">
        <v>9641</v>
      </c>
      <c r="G22" s="2631" t="s">
        <v>9625</v>
      </c>
      <c r="H22" s="2631" t="s">
        <v>9626</v>
      </c>
      <c r="I22" s="2854"/>
      <c r="J22" s="2766">
        <v>9754</v>
      </c>
      <c r="K22" s="2766">
        <v>9754</v>
      </c>
      <c r="L22" s="2766">
        <v>0</v>
      </c>
      <c r="M22" s="2766">
        <v>0</v>
      </c>
      <c r="N22" s="2962">
        <v>93818</v>
      </c>
      <c r="O22" s="2530">
        <f t="shared" si="0"/>
        <v>93818</v>
      </c>
      <c r="P22" s="2960" t="str">
        <f t="shared" si="1"/>
        <v>Avangrid Renewables, LLC Exxon Mobil Nevada Power Company AD SA 895</v>
      </c>
      <c r="Q22" s="2953"/>
    </row>
    <row r="23" spans="1:17" ht="16.7" customHeight="1" x14ac:dyDescent="0.2">
      <c r="A23" s="2497">
        <v>15</v>
      </c>
      <c r="B23" s="2512" t="s">
        <v>9085</v>
      </c>
      <c r="C23" s="2512" t="s">
        <v>9091</v>
      </c>
      <c r="D23" s="2512" t="s">
        <v>9642</v>
      </c>
      <c r="E23" s="2489" t="s">
        <v>9643</v>
      </c>
      <c r="F23" s="2487" t="s">
        <v>9644</v>
      </c>
      <c r="G23" s="2631" t="s">
        <v>9645</v>
      </c>
      <c r="H23" s="2631" t="s">
        <v>9631</v>
      </c>
      <c r="I23" s="2766">
        <v>34</v>
      </c>
      <c r="J23" s="2766">
        <v>265043</v>
      </c>
      <c r="K23" s="2766">
        <v>265043</v>
      </c>
      <c r="L23" s="2766">
        <v>1159984</v>
      </c>
      <c r="M23" s="2766">
        <v>0</v>
      </c>
      <c r="N23" s="2599">
        <v>530031</v>
      </c>
      <c r="O23" s="2530">
        <f t="shared" si="0"/>
        <v>1690015</v>
      </c>
      <c r="P23" s="2960" t="str">
        <f t="shared" si="1"/>
        <v>Avangrid Renewables, LLC Bonneville Power Administration Oregon Direct Access FNO SA 742</v>
      </c>
      <c r="Q23" s="2953"/>
    </row>
    <row r="24" spans="1:17" ht="16.7" customHeight="1" x14ac:dyDescent="0.2">
      <c r="A24" s="2497">
        <v>16</v>
      </c>
      <c r="B24" s="2512" t="s">
        <v>9085</v>
      </c>
      <c r="C24" s="2512" t="s">
        <v>9085</v>
      </c>
      <c r="D24" s="2512" t="s">
        <v>9628</v>
      </c>
      <c r="E24" s="2947" t="s">
        <v>196</v>
      </c>
      <c r="F24" s="2487" t="s">
        <v>9644</v>
      </c>
      <c r="G24" s="2631" t="s">
        <v>9645</v>
      </c>
      <c r="H24" s="2631" t="s">
        <v>9631</v>
      </c>
      <c r="I24" s="2766">
        <v>35</v>
      </c>
      <c r="J24" s="2766">
        <v>25157</v>
      </c>
      <c r="K24" s="2766">
        <v>25157</v>
      </c>
      <c r="L24" s="2766">
        <v>0</v>
      </c>
      <c r="M24" s="2766">
        <v>0</v>
      </c>
      <c r="N24" s="2962">
        <v>95585</v>
      </c>
      <c r="O24" s="2530">
        <f t="shared" si="0"/>
        <v>95585</v>
      </c>
      <c r="P24" s="2960" t="str">
        <f t="shared" si="1"/>
        <v>Avangrid Renewables, LLC Avangrid Renewables, LLC various signatories AD SA 742</v>
      </c>
      <c r="Q24" s="2953"/>
    </row>
    <row r="25" spans="1:17" ht="16.7" customHeight="1" x14ac:dyDescent="0.2">
      <c r="A25" s="2497">
        <v>17</v>
      </c>
      <c r="B25" s="2512" t="s">
        <v>9088</v>
      </c>
      <c r="C25" s="2512" t="s">
        <v>9628</v>
      </c>
      <c r="D25" s="2512" t="s">
        <v>9628</v>
      </c>
      <c r="E25" s="2489" t="s">
        <v>9629</v>
      </c>
      <c r="F25" s="2487" t="s">
        <v>9646</v>
      </c>
      <c r="G25" s="2631" t="s">
        <v>9631</v>
      </c>
      <c r="H25" s="2631" t="s">
        <v>9631</v>
      </c>
      <c r="I25" s="2854"/>
      <c r="J25" s="2766">
        <v>30</v>
      </c>
      <c r="K25" s="2766">
        <v>30</v>
      </c>
      <c r="L25" s="2766">
        <v>0</v>
      </c>
      <c r="M25" s="2766">
        <v>133</v>
      </c>
      <c r="N25" s="2963">
        <v>8</v>
      </c>
      <c r="O25" s="2530">
        <f t="shared" si="0"/>
        <v>141</v>
      </c>
      <c r="P25" s="2960" t="str">
        <f t="shared" si="1"/>
        <v>Avista Corporation various signatories various signatories NF SA 887</v>
      </c>
      <c r="Q25" s="2953"/>
    </row>
    <row r="26" spans="1:17" ht="16.7" customHeight="1" x14ac:dyDescent="0.2">
      <c r="A26" s="2497">
        <v>18</v>
      </c>
      <c r="B26" s="2512" t="s">
        <v>9388</v>
      </c>
      <c r="C26" s="2512" t="s">
        <v>9572</v>
      </c>
      <c r="D26" s="2512" t="s">
        <v>9647</v>
      </c>
      <c r="E26" s="2489" t="s">
        <v>9643</v>
      </c>
      <c r="F26" s="2487" t="s">
        <v>9648</v>
      </c>
      <c r="G26" s="2631" t="s">
        <v>9649</v>
      </c>
      <c r="H26" s="2631" t="s">
        <v>9650</v>
      </c>
      <c r="I26" s="2766">
        <v>10</v>
      </c>
      <c r="J26" s="2766">
        <v>68594</v>
      </c>
      <c r="K26" s="2766">
        <v>68594</v>
      </c>
      <c r="L26" s="2766">
        <v>345345</v>
      </c>
      <c r="M26" s="2766">
        <v>0</v>
      </c>
      <c r="N26" s="2599">
        <v>52370</v>
      </c>
      <c r="O26" s="2530">
        <f t="shared" si="0"/>
        <v>397715</v>
      </c>
      <c r="P26" s="2960" t="str">
        <f t="shared" si="1"/>
        <v>Basin Electric Power Cooperative, Inc. Western Area Power Administration Powder River Energy Corporation FNO SA 505</v>
      </c>
      <c r="Q26" s="2953"/>
    </row>
    <row r="27" spans="1:17" ht="16.7" customHeight="1" x14ac:dyDescent="0.2">
      <c r="A27" s="2497">
        <v>19</v>
      </c>
      <c r="B27" s="2512" t="s">
        <v>9388</v>
      </c>
      <c r="C27" s="2512" t="s">
        <v>9572</v>
      </c>
      <c r="D27" s="2512" t="s">
        <v>9647</v>
      </c>
      <c r="E27" s="2947" t="s">
        <v>196</v>
      </c>
      <c r="F27" s="2487" t="s">
        <v>9648</v>
      </c>
      <c r="G27" s="2631" t="s">
        <v>9649</v>
      </c>
      <c r="H27" s="2631" t="s">
        <v>9650</v>
      </c>
      <c r="I27" s="2766">
        <v>13</v>
      </c>
      <c r="J27" s="2766">
        <v>7798</v>
      </c>
      <c r="K27" s="2766">
        <v>7798</v>
      </c>
      <c r="L27" s="2766">
        <v>0</v>
      </c>
      <c r="M27" s="2766">
        <v>0</v>
      </c>
      <c r="N27" s="2962">
        <v>29740</v>
      </c>
      <c r="O27" s="2530">
        <f t="shared" si="0"/>
        <v>29740</v>
      </c>
      <c r="P27" s="2960" t="str">
        <f t="shared" si="1"/>
        <v>Basin Electric Power Cooperative, Inc. Western Area Power Administration Powder River Energy Corporation AD SA 505</v>
      </c>
      <c r="Q27" s="2953"/>
    </row>
    <row r="28" spans="1:17" ht="16.7" customHeight="1" x14ac:dyDescent="0.2">
      <c r="A28" s="2497">
        <v>20</v>
      </c>
      <c r="B28" s="2512" t="s">
        <v>9388</v>
      </c>
      <c r="C28" s="2512" t="s">
        <v>9572</v>
      </c>
      <c r="D28" s="2512" t="s">
        <v>9647</v>
      </c>
      <c r="E28" s="2489" t="s">
        <v>9629</v>
      </c>
      <c r="F28" s="2487" t="s">
        <v>9651</v>
      </c>
      <c r="G28" s="2631" t="s">
        <v>9631</v>
      </c>
      <c r="H28" s="2631" t="s">
        <v>9631</v>
      </c>
      <c r="I28" s="2854"/>
      <c r="J28" s="2766">
        <v>89059</v>
      </c>
      <c r="K28" s="2766">
        <v>89059</v>
      </c>
      <c r="L28" s="2766">
        <v>0</v>
      </c>
      <c r="M28" s="2766">
        <v>933125</v>
      </c>
      <c r="N28" s="2963">
        <v>58889</v>
      </c>
      <c r="O28" s="2530">
        <f t="shared" si="0"/>
        <v>992014</v>
      </c>
      <c r="P28" s="2960" t="str">
        <f t="shared" si="1"/>
        <v>Basin Electric Power Cooperative, Inc. Western Area Power Administration Powder River Energy Corporation NF SA 607</v>
      </c>
      <c r="Q28" s="2953"/>
    </row>
    <row r="29" spans="1:17" ht="16.7" customHeight="1" x14ac:dyDescent="0.2">
      <c r="A29" s="2497">
        <v>21</v>
      </c>
      <c r="B29" s="2512" t="s">
        <v>9388</v>
      </c>
      <c r="C29" s="2512" t="s">
        <v>9572</v>
      </c>
      <c r="D29" s="2512" t="s">
        <v>9647</v>
      </c>
      <c r="E29" s="2966" t="s">
        <v>196</v>
      </c>
      <c r="F29" s="2487" t="s">
        <v>9651</v>
      </c>
      <c r="G29" s="2631" t="s">
        <v>9631</v>
      </c>
      <c r="H29" s="2631" t="s">
        <v>9631</v>
      </c>
      <c r="I29" s="2854"/>
      <c r="J29" s="2766">
        <v>2386</v>
      </c>
      <c r="K29" s="2766">
        <v>2386</v>
      </c>
      <c r="L29" s="2766">
        <v>0</v>
      </c>
      <c r="M29" s="2766">
        <v>0</v>
      </c>
      <c r="N29" s="2962">
        <v>156114</v>
      </c>
      <c r="O29" s="2530">
        <f t="shared" si="0"/>
        <v>156114</v>
      </c>
      <c r="P29" s="2960" t="str">
        <f t="shared" si="1"/>
        <v>Basin Electric Power Cooperative, Inc. Western Area Power Administration Powder River Energy Corporation AD SA 607</v>
      </c>
      <c r="Q29" s="2953"/>
    </row>
    <row r="30" spans="1:17" ht="16.7" customHeight="1" x14ac:dyDescent="0.2">
      <c r="A30" s="2497">
        <v>22</v>
      </c>
      <c r="B30" s="2512" t="s">
        <v>9388</v>
      </c>
      <c r="C30" s="2512" t="s">
        <v>9572</v>
      </c>
      <c r="D30" s="2512" t="s">
        <v>9647</v>
      </c>
      <c r="E30" s="2489" t="s">
        <v>9632</v>
      </c>
      <c r="F30" s="2487" t="s">
        <v>9652</v>
      </c>
      <c r="G30" s="2631" t="s">
        <v>9631</v>
      </c>
      <c r="H30" s="2631" t="s">
        <v>9631</v>
      </c>
      <c r="I30" s="2854"/>
      <c r="J30" s="2766">
        <v>3860</v>
      </c>
      <c r="K30" s="2766">
        <v>3860</v>
      </c>
      <c r="L30" s="2766">
        <v>0</v>
      </c>
      <c r="M30" s="2766">
        <v>26759</v>
      </c>
      <c r="N30" s="2963">
        <v>1669</v>
      </c>
      <c r="O30" s="2530">
        <f t="shared" si="0"/>
        <v>28428</v>
      </c>
      <c r="P30" s="2960" t="str">
        <f t="shared" si="1"/>
        <v>Basin Electric Power Cooperative, Inc. Western Area Power Administration Powder River Energy Corporation SFP SA 606</v>
      </c>
      <c r="Q30" s="2953"/>
    </row>
    <row r="31" spans="1:17" ht="16.7" customHeight="1" x14ac:dyDescent="0.2">
      <c r="A31" s="2497">
        <v>23</v>
      </c>
      <c r="B31" s="2512" t="s">
        <v>9388</v>
      </c>
      <c r="C31" s="2512" t="s">
        <v>9572</v>
      </c>
      <c r="D31" s="2512" t="s">
        <v>9647</v>
      </c>
      <c r="E31" s="2966" t="s">
        <v>196</v>
      </c>
      <c r="F31" s="2487" t="s">
        <v>9652</v>
      </c>
      <c r="G31" s="2631" t="s">
        <v>9631</v>
      </c>
      <c r="H31" s="2631" t="s">
        <v>9631</v>
      </c>
      <c r="I31" s="2854"/>
      <c r="J31" s="2766">
        <v>428</v>
      </c>
      <c r="K31" s="2766">
        <v>428</v>
      </c>
      <c r="L31" s="2766">
        <v>0</v>
      </c>
      <c r="M31" s="2766">
        <v>0</v>
      </c>
      <c r="N31" s="2962">
        <v>4569</v>
      </c>
      <c r="O31" s="2530">
        <f t="shared" si="0"/>
        <v>4569</v>
      </c>
      <c r="P31" s="2960" t="str">
        <f t="shared" si="1"/>
        <v>Basin Electric Power Cooperative, Inc. Western Area Power Administration Powder River Energy Corporation AD SA 606</v>
      </c>
      <c r="Q31" s="2953"/>
    </row>
    <row r="32" spans="1:17" ht="16.7" customHeight="1" x14ac:dyDescent="0.2">
      <c r="A32" s="2497">
        <v>24</v>
      </c>
      <c r="B32" s="2512" t="s">
        <v>9653</v>
      </c>
      <c r="C32" s="2512" t="s">
        <v>9628</v>
      </c>
      <c r="D32" s="2512" t="s">
        <v>9628</v>
      </c>
      <c r="E32" s="2489" t="s">
        <v>9629</v>
      </c>
      <c r="F32" s="2487" t="s">
        <v>9654</v>
      </c>
      <c r="G32" s="2631" t="s">
        <v>9631</v>
      </c>
      <c r="H32" s="2631" t="s">
        <v>9631</v>
      </c>
      <c r="I32" s="2854"/>
      <c r="J32" s="2766">
        <v>0</v>
      </c>
      <c r="K32" s="2766">
        <v>0</v>
      </c>
      <c r="L32" s="2766">
        <v>0</v>
      </c>
      <c r="M32" s="2766">
        <v>559</v>
      </c>
      <c r="N32" s="2963">
        <v>35</v>
      </c>
      <c r="O32" s="2530">
        <f t="shared" si="0"/>
        <v>594</v>
      </c>
      <c r="P32" s="2960" t="str">
        <f t="shared" si="1"/>
        <v>Black Hills/Colorado Electric Utility Company, L.P. various signatories various signatories NF SA 563</v>
      </c>
      <c r="Q32" s="2953"/>
    </row>
    <row r="33" spans="1:17" ht="16.7" customHeight="1" x14ac:dyDescent="0.2">
      <c r="A33" s="2497">
        <v>25</v>
      </c>
      <c r="B33" s="2512" t="s">
        <v>9653</v>
      </c>
      <c r="C33" s="2967" t="s">
        <v>9628</v>
      </c>
      <c r="D33" s="2967" t="s">
        <v>9628</v>
      </c>
      <c r="E33" s="2489" t="s">
        <v>9632</v>
      </c>
      <c r="F33" s="2487" t="s">
        <v>9655</v>
      </c>
      <c r="G33" s="2631" t="s">
        <v>9631</v>
      </c>
      <c r="H33" s="2631" t="s">
        <v>9631</v>
      </c>
      <c r="I33" s="2854"/>
      <c r="J33" s="2854"/>
      <c r="K33" s="2766">
        <v>0</v>
      </c>
      <c r="L33" s="2766">
        <v>0</v>
      </c>
      <c r="M33" s="2766">
        <v>930</v>
      </c>
      <c r="N33" s="2963">
        <v>59</v>
      </c>
      <c r="O33" s="2530">
        <f t="shared" si="0"/>
        <v>989</v>
      </c>
      <c r="P33" s="2960" t="str">
        <f t="shared" si="1"/>
        <v>Black Hills/Colorado Electric Utility Company, L.P. various signatories various signatories SFP SA 562</v>
      </c>
      <c r="Q33" s="2953"/>
    </row>
    <row r="34" spans="1:17" ht="16.7" customHeight="1" x14ac:dyDescent="0.2">
      <c r="A34" s="2497">
        <v>26</v>
      </c>
      <c r="B34" s="2512" t="s">
        <v>9656</v>
      </c>
      <c r="C34" s="2512" t="s">
        <v>872</v>
      </c>
      <c r="D34" s="2512" t="s">
        <v>9657</v>
      </c>
      <c r="E34" s="2489" t="s">
        <v>9643</v>
      </c>
      <c r="F34" s="2487" t="s">
        <v>9658</v>
      </c>
      <c r="G34" s="2631" t="s">
        <v>9631</v>
      </c>
      <c r="H34" s="2631" t="s">
        <v>9650</v>
      </c>
      <c r="I34" s="2766">
        <v>47</v>
      </c>
      <c r="J34" s="2766">
        <v>274312</v>
      </c>
      <c r="K34" s="2766">
        <v>274312</v>
      </c>
      <c r="L34" s="2766">
        <v>1589804</v>
      </c>
      <c r="M34" s="2766">
        <v>0</v>
      </c>
      <c r="N34" s="2599">
        <v>100128</v>
      </c>
      <c r="O34" s="2530">
        <f t="shared" si="0"/>
        <v>1689932</v>
      </c>
      <c r="P34" s="2960" t="str">
        <f t="shared" si="1"/>
        <v xml:space="preserve">Black Hills Corporation PacifiCorp Montana-Dakota Utilities FNO SA 347 </v>
      </c>
      <c r="Q34" s="2953"/>
    </row>
    <row r="35" spans="1:17" ht="16.7" customHeight="1" x14ac:dyDescent="0.2">
      <c r="A35" s="2497">
        <v>27</v>
      </c>
      <c r="B35" s="2512" t="s">
        <v>9656</v>
      </c>
      <c r="C35" s="2512" t="s">
        <v>872</v>
      </c>
      <c r="D35" s="2512" t="s">
        <v>9657</v>
      </c>
      <c r="E35" s="2947" t="s">
        <v>196</v>
      </c>
      <c r="F35" s="2487" t="s">
        <v>9658</v>
      </c>
      <c r="G35" s="2631" t="s">
        <v>9631</v>
      </c>
      <c r="H35" s="2631" t="s">
        <v>9650</v>
      </c>
      <c r="I35" s="2766">
        <v>64</v>
      </c>
      <c r="J35" s="2766">
        <v>32830</v>
      </c>
      <c r="K35" s="2766">
        <v>32830</v>
      </c>
      <c r="L35" s="2766">
        <v>0</v>
      </c>
      <c r="M35" s="2766">
        <v>0</v>
      </c>
      <c r="N35" s="2962">
        <v>137664</v>
      </c>
      <c r="O35" s="2530">
        <f t="shared" si="0"/>
        <v>137664</v>
      </c>
      <c r="P35" s="2960" t="str">
        <f t="shared" si="1"/>
        <v xml:space="preserve">Black Hills Corporation PacifiCorp Montana-Dakota Utilities AD SA 347 </v>
      </c>
      <c r="Q35" s="2953"/>
    </row>
    <row r="36" spans="1:17" ht="16.7" customHeight="1" x14ac:dyDescent="0.2">
      <c r="A36" s="2497">
        <v>28</v>
      </c>
      <c r="B36" s="2512" t="s">
        <v>9656</v>
      </c>
      <c r="C36" s="2512" t="s">
        <v>872</v>
      </c>
      <c r="D36" s="2512" t="s">
        <v>9656</v>
      </c>
      <c r="E36" s="2947" t="s">
        <v>9623</v>
      </c>
      <c r="F36" s="2487" t="s">
        <v>9659</v>
      </c>
      <c r="G36" s="2631" t="s">
        <v>9631</v>
      </c>
      <c r="H36" s="2631" t="s">
        <v>9660</v>
      </c>
      <c r="I36" s="2766">
        <v>52</v>
      </c>
      <c r="J36" s="2766">
        <v>96758</v>
      </c>
      <c r="K36" s="2766">
        <v>96758</v>
      </c>
      <c r="L36" s="2766">
        <v>1771916</v>
      </c>
      <c r="M36" s="2766">
        <v>0</v>
      </c>
      <c r="N36" s="2963">
        <v>112321</v>
      </c>
      <c r="O36" s="2530">
        <f t="shared" si="0"/>
        <v>1884237</v>
      </c>
      <c r="P36" s="2960" t="str">
        <f t="shared" si="1"/>
        <v xml:space="preserve">Black Hills Corporation PacifiCorp Black Hills Corporation LFP SA 67 </v>
      </c>
      <c r="Q36" s="2953"/>
    </row>
    <row r="37" spans="1:17" ht="16.7" customHeight="1" x14ac:dyDescent="0.2">
      <c r="A37" s="2497">
        <v>29</v>
      </c>
      <c r="B37" s="2512" t="s">
        <v>9656</v>
      </c>
      <c r="C37" s="2512" t="s">
        <v>872</v>
      </c>
      <c r="D37" s="2512" t="s">
        <v>9656</v>
      </c>
      <c r="E37" s="2947" t="s">
        <v>196</v>
      </c>
      <c r="F37" s="2487" t="s">
        <v>9659</v>
      </c>
      <c r="G37" s="2631" t="s">
        <v>9631</v>
      </c>
      <c r="H37" s="2631" t="s">
        <v>9660</v>
      </c>
      <c r="I37" s="2766">
        <v>52</v>
      </c>
      <c r="J37" s="2766">
        <v>18688</v>
      </c>
      <c r="K37" s="2766">
        <v>18688</v>
      </c>
      <c r="L37" s="2766">
        <v>0</v>
      </c>
      <c r="M37" s="2766">
        <v>0</v>
      </c>
      <c r="N37" s="2962">
        <v>84874</v>
      </c>
      <c r="O37" s="2530">
        <f t="shared" si="0"/>
        <v>84874</v>
      </c>
      <c r="P37" s="2960" t="str">
        <f t="shared" si="1"/>
        <v xml:space="preserve">Black Hills Corporation PacifiCorp Black Hills Corporation AD SA 67 </v>
      </c>
      <c r="Q37" s="2953"/>
    </row>
    <row r="38" spans="1:17" ht="16.7" customHeight="1" x14ac:dyDescent="0.2">
      <c r="A38" s="2497">
        <v>30</v>
      </c>
      <c r="B38" s="2512" t="s">
        <v>9656</v>
      </c>
      <c r="C38" s="2512" t="s">
        <v>9628</v>
      </c>
      <c r="D38" s="2512" t="s">
        <v>9628</v>
      </c>
      <c r="E38" s="2489" t="s">
        <v>9629</v>
      </c>
      <c r="F38" s="2487" t="s">
        <v>9661</v>
      </c>
      <c r="G38" s="2631" t="s">
        <v>9631</v>
      </c>
      <c r="H38" s="2631" t="s">
        <v>9631</v>
      </c>
      <c r="I38" s="2854"/>
      <c r="J38" s="2766">
        <v>1080</v>
      </c>
      <c r="K38" s="2766">
        <v>1080</v>
      </c>
      <c r="L38" s="2766">
        <v>0</v>
      </c>
      <c r="M38" s="2766">
        <v>11986</v>
      </c>
      <c r="N38" s="2963">
        <v>759</v>
      </c>
      <c r="O38" s="2530">
        <f t="shared" si="0"/>
        <v>12745</v>
      </c>
      <c r="P38" s="2960" t="str">
        <f t="shared" si="1"/>
        <v>Black Hills Corporation various signatories various signatories NF SA 768</v>
      </c>
      <c r="Q38" s="2953"/>
    </row>
    <row r="39" spans="1:17" ht="16.7" customHeight="1" x14ac:dyDescent="0.2">
      <c r="A39" s="2497">
        <v>31</v>
      </c>
      <c r="B39" s="2512" t="s">
        <v>9656</v>
      </c>
      <c r="C39" s="2512" t="s">
        <v>9628</v>
      </c>
      <c r="D39" s="2512" t="s">
        <v>9628</v>
      </c>
      <c r="E39" s="2966" t="s">
        <v>196</v>
      </c>
      <c r="F39" s="2487" t="s">
        <v>9661</v>
      </c>
      <c r="G39" s="2631" t="s">
        <v>9631</v>
      </c>
      <c r="H39" s="2631" t="s">
        <v>9631</v>
      </c>
      <c r="I39" s="2854"/>
      <c r="J39" s="2766">
        <v>65</v>
      </c>
      <c r="K39" s="2766">
        <v>65</v>
      </c>
      <c r="L39" s="2766">
        <v>0</v>
      </c>
      <c r="M39" s="2766">
        <v>0</v>
      </c>
      <c r="N39" s="2962">
        <v>643</v>
      </c>
      <c r="O39" s="2530">
        <f t="shared" si="0"/>
        <v>643</v>
      </c>
      <c r="P39" s="2960" t="str">
        <f t="shared" si="1"/>
        <v>Black Hills Corporation various signatories various signatories AD SA 768</v>
      </c>
      <c r="Q39" s="2953"/>
    </row>
    <row r="40" spans="1:17" ht="16.7" customHeight="1" x14ac:dyDescent="0.2">
      <c r="A40" s="2497">
        <v>32</v>
      </c>
      <c r="B40" s="2512" t="s">
        <v>9662</v>
      </c>
      <c r="C40" s="2512" t="s">
        <v>9628</v>
      </c>
      <c r="D40" s="2512" t="s">
        <v>9628</v>
      </c>
      <c r="E40" s="2489" t="s">
        <v>9629</v>
      </c>
      <c r="F40" s="2487" t="s">
        <v>9663</v>
      </c>
      <c r="G40" s="2631" t="s">
        <v>9631</v>
      </c>
      <c r="H40" s="2631" t="s">
        <v>9631</v>
      </c>
      <c r="I40" s="2854"/>
      <c r="J40" s="2766">
        <v>562</v>
      </c>
      <c r="K40" s="2766">
        <v>562</v>
      </c>
      <c r="L40" s="2766">
        <v>0</v>
      </c>
      <c r="M40" s="2766">
        <v>2864</v>
      </c>
      <c r="N40" s="2963">
        <v>181</v>
      </c>
      <c r="O40" s="2530">
        <f t="shared" si="0"/>
        <v>3045</v>
      </c>
      <c r="P40" s="2960" t="str">
        <f t="shared" si="1"/>
        <v>Black Hills Power Marketing various signatories various signatories NF SA 43</v>
      </c>
      <c r="Q40" s="2953"/>
    </row>
    <row r="41" spans="1:17" ht="16.7" customHeight="1" x14ac:dyDescent="0.2">
      <c r="A41" s="2497">
        <v>33</v>
      </c>
      <c r="B41" s="2512" t="s">
        <v>9662</v>
      </c>
      <c r="C41" s="2512" t="s">
        <v>9628</v>
      </c>
      <c r="D41" s="2512" t="s">
        <v>9628</v>
      </c>
      <c r="E41" s="2966" t="s">
        <v>196</v>
      </c>
      <c r="F41" s="2487" t="s">
        <v>9664</v>
      </c>
      <c r="G41" s="2631" t="s">
        <v>9631</v>
      </c>
      <c r="H41" s="2631" t="s">
        <v>9631</v>
      </c>
      <c r="I41" s="2854"/>
      <c r="J41" s="2766">
        <v>20</v>
      </c>
      <c r="K41" s="2766">
        <v>20</v>
      </c>
      <c r="L41" s="2766">
        <v>0</v>
      </c>
      <c r="M41" s="2766">
        <v>0</v>
      </c>
      <c r="N41" s="2962">
        <v>141</v>
      </c>
      <c r="O41" s="2530">
        <f t="shared" si="0"/>
        <v>141</v>
      </c>
      <c r="P41" s="2960" t="str">
        <f t="shared" si="1"/>
        <v>Black Hills Power Marketing various signatories various signatories AD SA 112</v>
      </c>
      <c r="Q41" s="2953"/>
    </row>
    <row r="42" spans="1:17" ht="16.7" customHeight="1" x14ac:dyDescent="0.2">
      <c r="A42" s="2749">
        <v>34</v>
      </c>
      <c r="B42" s="2512" t="s">
        <v>9662</v>
      </c>
      <c r="C42" s="2512" t="s">
        <v>9628</v>
      </c>
      <c r="D42" s="2512" t="s">
        <v>9628</v>
      </c>
      <c r="E42" s="2489" t="s">
        <v>9632</v>
      </c>
      <c r="F42" s="2487" t="s">
        <v>9665</v>
      </c>
      <c r="G42" s="2631" t="s">
        <v>9631</v>
      </c>
      <c r="H42" s="2631" t="s">
        <v>9631</v>
      </c>
      <c r="I42" s="2854"/>
      <c r="J42" s="2766">
        <v>154</v>
      </c>
      <c r="K42" s="2766">
        <v>154</v>
      </c>
      <c r="L42" s="2766">
        <v>0</v>
      </c>
      <c r="M42" s="2766">
        <v>1121</v>
      </c>
      <c r="N42" s="2963">
        <v>164</v>
      </c>
      <c r="O42" s="2530">
        <f t="shared" si="0"/>
        <v>1285</v>
      </c>
      <c r="P42" s="2960" t="str">
        <f t="shared" si="1"/>
        <v>Black Hills Power Marketing various signatories various signatories SFP SA 111</v>
      </c>
      <c r="Q42" s="2953"/>
    </row>
    <row r="43" spans="1:17" ht="16.7" customHeight="1" x14ac:dyDescent="0.2">
      <c r="A43" s="2749">
        <v>34.000999999999998</v>
      </c>
      <c r="B43" s="2512" t="s">
        <v>9091</v>
      </c>
      <c r="C43" s="2512" t="s">
        <v>9666</v>
      </c>
      <c r="D43" s="2512" t="s">
        <v>9666</v>
      </c>
      <c r="E43" s="2947" t="s">
        <v>193</v>
      </c>
      <c r="F43" s="2487" t="s">
        <v>9667</v>
      </c>
      <c r="G43" s="2631" t="s">
        <v>9668</v>
      </c>
      <c r="H43" s="2631" t="s">
        <v>9669</v>
      </c>
      <c r="I43" s="2854"/>
      <c r="J43" s="2854"/>
      <c r="K43" s="2766">
        <v>0</v>
      </c>
      <c r="L43" s="2766">
        <v>0</v>
      </c>
      <c r="M43" s="2766">
        <v>0</v>
      </c>
      <c r="N43" s="2766">
        <v>0</v>
      </c>
      <c r="O43" s="2530">
        <f t="shared" si="0"/>
        <v>0</v>
      </c>
      <c r="P43" s="2960" t="str">
        <f t="shared" si="1"/>
        <v>Bonneville Power Administration Capacity exchanged and operated by each transmission provider with no receipt or delivery of energy. Capacity exchanged and operated by each transmission provider with no receipt or delivery of energy. OS RS 369</v>
      </c>
      <c r="Q43" s="2953"/>
    </row>
    <row r="44" spans="1:17" ht="16.7" customHeight="1" x14ac:dyDescent="0.2">
      <c r="A44" s="2749">
        <v>34.002000000000002</v>
      </c>
      <c r="B44" s="2512" t="s">
        <v>9091</v>
      </c>
      <c r="C44" s="2512" t="s">
        <v>9091</v>
      </c>
      <c r="D44" s="2512" t="s">
        <v>9091</v>
      </c>
      <c r="E44" s="2947" t="s">
        <v>193</v>
      </c>
      <c r="F44" s="2487" t="s">
        <v>9670</v>
      </c>
      <c r="G44" s="2631" t="s">
        <v>9631</v>
      </c>
      <c r="H44" s="2631" t="s">
        <v>9631</v>
      </c>
      <c r="I44" s="2766">
        <v>426</v>
      </c>
      <c r="J44" s="2766">
        <v>1057064</v>
      </c>
      <c r="K44" s="2766">
        <v>1057064</v>
      </c>
      <c r="L44" s="2766">
        <v>4328265</v>
      </c>
      <c r="M44" s="2766">
        <v>0</v>
      </c>
      <c r="N44" s="2968">
        <v>67947</v>
      </c>
      <c r="O44" s="2530">
        <f t="shared" si="0"/>
        <v>4396212</v>
      </c>
      <c r="P44" s="2960" t="str">
        <f t="shared" si="1"/>
        <v>Bonneville Power Administration Bonneville Power Administration Bonneville Power Administration OS RS 237</v>
      </c>
      <c r="Q44" s="2953"/>
    </row>
    <row r="45" spans="1:17" ht="16.7" customHeight="1" x14ac:dyDescent="0.2">
      <c r="A45" s="2749">
        <v>34.003</v>
      </c>
      <c r="B45" s="2512" t="s">
        <v>9091</v>
      </c>
      <c r="C45" s="2512" t="s">
        <v>9091</v>
      </c>
      <c r="D45" s="2512" t="s">
        <v>9091</v>
      </c>
      <c r="E45" s="2947" t="s">
        <v>196</v>
      </c>
      <c r="F45" s="2487" t="s">
        <v>9670</v>
      </c>
      <c r="G45" s="2631" t="s">
        <v>9631</v>
      </c>
      <c r="H45" s="2631" t="s">
        <v>9631</v>
      </c>
      <c r="I45" s="2766">
        <v>428</v>
      </c>
      <c r="J45" s="2766">
        <v>99406</v>
      </c>
      <c r="K45" s="2766">
        <v>99406</v>
      </c>
      <c r="L45" s="2766">
        <v>0</v>
      </c>
      <c r="M45" s="2766">
        <v>0</v>
      </c>
      <c r="N45" s="2962">
        <v>406946</v>
      </c>
      <c r="O45" s="2530">
        <f t="shared" si="0"/>
        <v>406946</v>
      </c>
      <c r="P45" s="2960" t="str">
        <f t="shared" si="1"/>
        <v>Bonneville Power Administration Bonneville Power Administration Bonneville Power Administration AD RS 237</v>
      </c>
      <c r="Q45" s="2953"/>
    </row>
    <row r="46" spans="1:17" ht="16.7" customHeight="1" x14ac:dyDescent="0.2">
      <c r="A46" s="2749">
        <v>34.003999999999998</v>
      </c>
      <c r="B46" s="2512" t="s">
        <v>9091</v>
      </c>
      <c r="C46" s="2512" t="s">
        <v>9091</v>
      </c>
      <c r="D46" s="2512" t="s">
        <v>9091</v>
      </c>
      <c r="E46" s="2947" t="s">
        <v>9623</v>
      </c>
      <c r="F46" s="2487" t="s">
        <v>9671</v>
      </c>
      <c r="G46" s="2631" t="s">
        <v>9672</v>
      </c>
      <c r="H46" s="2631" t="s">
        <v>9673</v>
      </c>
      <c r="I46" s="2766">
        <v>58</v>
      </c>
      <c r="J46" s="2766">
        <v>205048</v>
      </c>
      <c r="K46" s="2766">
        <v>205048</v>
      </c>
      <c r="L46" s="2766">
        <v>1987271</v>
      </c>
      <c r="M46" s="2766">
        <v>0</v>
      </c>
      <c r="N46" s="2599">
        <v>44415</v>
      </c>
      <c r="O46" s="2530">
        <f t="shared" si="0"/>
        <v>2031686</v>
      </c>
      <c r="P46" s="2960" t="str">
        <f t="shared" si="1"/>
        <v xml:space="preserve">Bonneville Power Administration Bonneville Power Administration Bonneville Power Administration LFP SA 656 </v>
      </c>
      <c r="Q46" s="2953"/>
    </row>
    <row r="47" spans="1:17" ht="16.7" customHeight="1" x14ac:dyDescent="0.2">
      <c r="A47" s="2749">
        <v>34.005000000000003</v>
      </c>
      <c r="B47" s="2512" t="s">
        <v>9091</v>
      </c>
      <c r="C47" s="2512" t="s">
        <v>9091</v>
      </c>
      <c r="D47" s="2512" t="s">
        <v>9091</v>
      </c>
      <c r="E47" s="2947" t="s">
        <v>196</v>
      </c>
      <c r="F47" s="2487" t="s">
        <v>9671</v>
      </c>
      <c r="G47" s="2631" t="s">
        <v>9672</v>
      </c>
      <c r="H47" s="2631" t="s">
        <v>9673</v>
      </c>
      <c r="I47" s="2766">
        <v>58</v>
      </c>
      <c r="J47" s="2766">
        <v>13941</v>
      </c>
      <c r="K47" s="2766">
        <v>13941</v>
      </c>
      <c r="L47" s="2766">
        <v>0</v>
      </c>
      <c r="M47" s="2766">
        <v>0</v>
      </c>
      <c r="N47" s="2962">
        <v>90929</v>
      </c>
      <c r="O47" s="2530">
        <f t="shared" si="0"/>
        <v>90929</v>
      </c>
      <c r="P47" s="2960" t="str">
        <f t="shared" si="1"/>
        <v xml:space="preserve">Bonneville Power Administration Bonneville Power Administration Bonneville Power Administration AD SA 656 </v>
      </c>
      <c r="Q47" s="2953"/>
    </row>
    <row r="48" spans="1:17" ht="16.7" customHeight="1" x14ac:dyDescent="0.2">
      <c r="A48" s="2749">
        <v>34.006</v>
      </c>
      <c r="B48" s="2512" t="s">
        <v>9091</v>
      </c>
      <c r="C48" s="2512" t="s">
        <v>9091</v>
      </c>
      <c r="D48" s="2512" t="s">
        <v>9674</v>
      </c>
      <c r="E48" s="2489" t="s">
        <v>9643</v>
      </c>
      <c r="F48" s="2487" t="s">
        <v>9675</v>
      </c>
      <c r="G48" s="2631" t="s">
        <v>9091</v>
      </c>
      <c r="H48" s="2631" t="s">
        <v>9676</v>
      </c>
      <c r="I48" s="2766">
        <v>3</v>
      </c>
      <c r="J48" s="2766">
        <v>22822</v>
      </c>
      <c r="K48" s="2766">
        <v>22822</v>
      </c>
      <c r="L48" s="2766">
        <v>117442</v>
      </c>
      <c r="M48" s="2766">
        <v>0</v>
      </c>
      <c r="N48" s="2599">
        <v>157194</v>
      </c>
      <c r="O48" s="2530">
        <f t="shared" si="0"/>
        <v>274636</v>
      </c>
      <c r="P48" s="2960" t="str">
        <f t="shared" si="1"/>
        <v>Bonneville Power Administration Bonneville Power Administration Umpqua Indian Utility Cooperative FNO SA 229</v>
      </c>
      <c r="Q48" s="2953"/>
    </row>
    <row r="49" spans="1:17" ht="16.7" customHeight="1" x14ac:dyDescent="0.2">
      <c r="A49" s="2749">
        <v>34.006999999999998</v>
      </c>
      <c r="B49" s="2512" t="s">
        <v>9091</v>
      </c>
      <c r="C49" s="2512" t="s">
        <v>9091</v>
      </c>
      <c r="D49" s="2512" t="s">
        <v>9674</v>
      </c>
      <c r="E49" s="2947" t="s">
        <v>196</v>
      </c>
      <c r="F49" s="2487" t="s">
        <v>9675</v>
      </c>
      <c r="G49" s="2631" t="s">
        <v>9091</v>
      </c>
      <c r="H49" s="2631" t="s">
        <v>9676</v>
      </c>
      <c r="I49" s="2766">
        <v>3</v>
      </c>
      <c r="J49" s="2766">
        <v>2190</v>
      </c>
      <c r="K49" s="2766">
        <v>2190</v>
      </c>
      <c r="L49" s="2766">
        <v>0</v>
      </c>
      <c r="M49" s="2766">
        <v>0</v>
      </c>
      <c r="N49" s="2962">
        <v>20263</v>
      </c>
      <c r="O49" s="2530">
        <f t="shared" si="0"/>
        <v>20263</v>
      </c>
      <c r="P49" s="2960" t="str">
        <f t="shared" si="1"/>
        <v>Bonneville Power Administration Bonneville Power Administration Umpqua Indian Utility Cooperative AD SA 229</v>
      </c>
      <c r="Q49" s="2953"/>
    </row>
    <row r="50" spans="1:17" ht="16.7" customHeight="1" x14ac:dyDescent="0.2">
      <c r="A50" s="2749">
        <v>34.008000000000003</v>
      </c>
      <c r="B50" s="2512" t="s">
        <v>9091</v>
      </c>
      <c r="C50" s="2512" t="s">
        <v>9091</v>
      </c>
      <c r="D50" s="2512" t="s">
        <v>9677</v>
      </c>
      <c r="E50" s="2489" t="s">
        <v>9643</v>
      </c>
      <c r="F50" s="2487" t="s">
        <v>9678</v>
      </c>
      <c r="G50" s="2631" t="s">
        <v>9091</v>
      </c>
      <c r="H50" s="2631" t="s">
        <v>9679</v>
      </c>
      <c r="I50" s="2766">
        <v>1</v>
      </c>
      <c r="J50" s="2766">
        <v>6445</v>
      </c>
      <c r="K50" s="2766">
        <v>6445</v>
      </c>
      <c r="L50" s="2766">
        <v>34625</v>
      </c>
      <c r="M50" s="2766">
        <v>0</v>
      </c>
      <c r="N50" s="2969">
        <v>4477</v>
      </c>
      <c r="O50" s="2530">
        <f t="shared" si="0"/>
        <v>39102</v>
      </c>
      <c r="P50" s="2960" t="str">
        <f t="shared" si="1"/>
        <v xml:space="preserve">Bonneville Power Administration Bonneville Power Administration Benton Rural Electric Association FNO SA 539 </v>
      </c>
      <c r="Q50" s="2953"/>
    </row>
    <row r="51" spans="1:17" ht="16.7" customHeight="1" x14ac:dyDescent="0.2">
      <c r="A51" s="2749">
        <v>34.009</v>
      </c>
      <c r="B51" s="2512" t="s">
        <v>9091</v>
      </c>
      <c r="C51" s="2512" t="s">
        <v>9091</v>
      </c>
      <c r="D51" s="2512" t="s">
        <v>9677</v>
      </c>
      <c r="E51" s="2947" t="s">
        <v>196</v>
      </c>
      <c r="F51" s="2487" t="s">
        <v>9678</v>
      </c>
      <c r="G51" s="2631" t="s">
        <v>9091</v>
      </c>
      <c r="H51" s="2631" t="s">
        <v>9679</v>
      </c>
      <c r="I51" s="2766">
        <v>2</v>
      </c>
      <c r="J51" s="2766">
        <v>1023</v>
      </c>
      <c r="K51" s="2766">
        <v>1023</v>
      </c>
      <c r="L51" s="2766">
        <v>0</v>
      </c>
      <c r="M51" s="2766">
        <v>0</v>
      </c>
      <c r="N51" s="2962">
        <v>-1807</v>
      </c>
      <c r="O51" s="2530">
        <f t="shared" si="0"/>
        <v>-1807</v>
      </c>
      <c r="P51" s="2960" t="str">
        <f t="shared" si="1"/>
        <v xml:space="preserve">Bonneville Power Administration Bonneville Power Administration Benton Rural Electric Association AD SA 539 </v>
      </c>
      <c r="Q51" s="2953"/>
    </row>
    <row r="52" spans="1:17" ht="16.7" customHeight="1" x14ac:dyDescent="0.2">
      <c r="A52" s="2749">
        <v>34.01</v>
      </c>
      <c r="B52" s="2512" t="s">
        <v>9091</v>
      </c>
      <c r="C52" s="2512" t="s">
        <v>9091</v>
      </c>
      <c r="D52" s="2512" t="s">
        <v>9680</v>
      </c>
      <c r="E52" s="2489" t="s">
        <v>9643</v>
      </c>
      <c r="F52" s="2487" t="s">
        <v>9681</v>
      </c>
      <c r="G52" s="2631" t="s">
        <v>9682</v>
      </c>
      <c r="H52" s="2631" t="s">
        <v>9683</v>
      </c>
      <c r="I52" s="2766">
        <v>1</v>
      </c>
      <c r="J52" s="2766">
        <v>1371</v>
      </c>
      <c r="K52" s="2766">
        <v>1371</v>
      </c>
      <c r="L52" s="2766">
        <v>8920</v>
      </c>
      <c r="M52" s="2766">
        <v>0</v>
      </c>
      <c r="N52" s="2969">
        <v>970</v>
      </c>
      <c r="O52" s="2530">
        <f t="shared" si="0"/>
        <v>9890</v>
      </c>
      <c r="P52" s="2960" t="str">
        <f t="shared" si="1"/>
        <v xml:space="preserve">Bonneville Power Administration Bonneville Power Administration Umatilla Electric Cooperative Association and Columbia Basin Electric Cooperative, Inc. FNO SA 538 </v>
      </c>
      <c r="Q52" s="2953"/>
    </row>
    <row r="53" spans="1:17" ht="16.7" customHeight="1" x14ac:dyDescent="0.2">
      <c r="A53" s="2749">
        <v>34.011000000000003</v>
      </c>
      <c r="B53" s="2512" t="s">
        <v>9091</v>
      </c>
      <c r="C53" s="2512" t="s">
        <v>9091</v>
      </c>
      <c r="D53" s="2512" t="s">
        <v>9680</v>
      </c>
      <c r="E53" s="2947" t="s">
        <v>196</v>
      </c>
      <c r="F53" s="2487" t="s">
        <v>9681</v>
      </c>
      <c r="G53" s="2631" t="s">
        <v>9682</v>
      </c>
      <c r="H53" s="2631" t="s">
        <v>9683</v>
      </c>
      <c r="I53" s="2766">
        <v>1</v>
      </c>
      <c r="J53" s="2766">
        <v>203</v>
      </c>
      <c r="K53" s="2766">
        <v>203</v>
      </c>
      <c r="L53" s="2766">
        <v>0</v>
      </c>
      <c r="M53" s="2766">
        <v>0</v>
      </c>
      <c r="N53" s="2962">
        <v>-1210</v>
      </c>
      <c r="O53" s="2530">
        <f t="shared" si="0"/>
        <v>-1210</v>
      </c>
      <c r="P53" s="2960" t="str">
        <f t="shared" si="1"/>
        <v xml:space="preserve">Bonneville Power Administration Bonneville Power Administration Umatilla Electric Cooperative Association and Columbia Basin Electric Cooperative, Inc. AD SA 538 </v>
      </c>
      <c r="Q53" s="2953"/>
    </row>
    <row r="54" spans="1:17" ht="16.7" customHeight="1" x14ac:dyDescent="0.2">
      <c r="A54" s="2749">
        <v>34.012</v>
      </c>
      <c r="B54" s="2512" t="s">
        <v>9091</v>
      </c>
      <c r="C54" s="2512" t="s">
        <v>9684</v>
      </c>
      <c r="D54" s="2512" t="s">
        <v>9091</v>
      </c>
      <c r="E54" s="2947" t="s">
        <v>9623</v>
      </c>
      <c r="F54" s="2487" t="s">
        <v>9675</v>
      </c>
      <c r="G54" s="2631" t="s">
        <v>9685</v>
      </c>
      <c r="H54" s="2631" t="s">
        <v>9686</v>
      </c>
      <c r="I54" s="2854"/>
      <c r="J54" s="2854"/>
      <c r="K54" s="2766">
        <v>0</v>
      </c>
      <c r="L54" s="2766">
        <v>0</v>
      </c>
      <c r="M54" s="2766">
        <v>0</v>
      </c>
      <c r="N54" s="2599">
        <v>61064</v>
      </c>
      <c r="O54" s="2530">
        <f t="shared" si="0"/>
        <v>61064</v>
      </c>
      <c r="P54" s="2960" t="str">
        <f t="shared" si="1"/>
        <v>Bonneville Power Administration United States Department of Interior, Bureau of Reclamation Bonneville Power Administration LFP SA 229</v>
      </c>
      <c r="Q54" s="2953"/>
    </row>
    <row r="55" spans="1:17" ht="16.7" customHeight="1" x14ac:dyDescent="0.2">
      <c r="A55" s="2749">
        <v>34.012999999999998</v>
      </c>
      <c r="B55" s="2512" t="s">
        <v>9091</v>
      </c>
      <c r="C55" s="2512" t="s">
        <v>9684</v>
      </c>
      <c r="D55" s="2512" t="s">
        <v>9091</v>
      </c>
      <c r="E55" s="2947" t="s">
        <v>196</v>
      </c>
      <c r="F55" s="2487" t="s">
        <v>9675</v>
      </c>
      <c r="G55" s="2631" t="s">
        <v>9685</v>
      </c>
      <c r="H55" s="2631" t="s">
        <v>9686</v>
      </c>
      <c r="I55" s="2854"/>
      <c r="J55" s="2766">
        <v>0</v>
      </c>
      <c r="K55" s="2766">
        <v>0</v>
      </c>
      <c r="L55" s="2766">
        <v>0</v>
      </c>
      <c r="M55" s="2766">
        <v>0</v>
      </c>
      <c r="N55" s="2962">
        <v>-838</v>
      </c>
      <c r="O55" s="2530">
        <f t="shared" si="0"/>
        <v>-838</v>
      </c>
      <c r="P55" s="2960" t="str">
        <f t="shared" si="1"/>
        <v>Bonneville Power Administration United States Department of Interior, Bureau of Reclamation Bonneville Power Administration AD SA 229</v>
      </c>
      <c r="Q55" s="2953"/>
    </row>
    <row r="56" spans="1:17" ht="16.7" customHeight="1" x14ac:dyDescent="0.2">
      <c r="A56" s="2749">
        <v>34.014000000000003</v>
      </c>
      <c r="B56" s="2512" t="s">
        <v>9091</v>
      </c>
      <c r="C56" s="2512" t="s">
        <v>9091</v>
      </c>
      <c r="D56" s="2512" t="s">
        <v>9091</v>
      </c>
      <c r="E56" s="2947" t="s">
        <v>193</v>
      </c>
      <c r="F56" s="2487" t="s">
        <v>9687</v>
      </c>
      <c r="G56" s="2631" t="s">
        <v>9688</v>
      </c>
      <c r="H56" s="2631" t="s">
        <v>9688</v>
      </c>
      <c r="I56" s="2854"/>
      <c r="J56" s="2766">
        <v>468434</v>
      </c>
      <c r="K56" s="2766">
        <v>468434</v>
      </c>
      <c r="L56" s="2766">
        <v>0</v>
      </c>
      <c r="M56" s="2766">
        <v>0</v>
      </c>
      <c r="N56" s="2599">
        <v>232452</v>
      </c>
      <c r="O56" s="2530">
        <f t="shared" si="0"/>
        <v>232452</v>
      </c>
      <c r="P56" s="2960" t="str">
        <f t="shared" si="1"/>
        <v>Bonneville Power Administration Bonneville Power Administration Bonneville Power Administration OS RS 368</v>
      </c>
      <c r="Q56" s="2953"/>
    </row>
    <row r="57" spans="1:17" ht="16.7" customHeight="1" x14ac:dyDescent="0.2">
      <c r="A57" s="2749">
        <v>34.015000000000001</v>
      </c>
      <c r="B57" s="2512" t="s">
        <v>9091</v>
      </c>
      <c r="C57" s="2512" t="s">
        <v>9091</v>
      </c>
      <c r="D57" s="2512" t="s">
        <v>9091</v>
      </c>
      <c r="E57" s="2947" t="s">
        <v>196</v>
      </c>
      <c r="F57" s="2487" t="s">
        <v>9687</v>
      </c>
      <c r="G57" s="2631" t="s">
        <v>9688</v>
      </c>
      <c r="H57" s="2631" t="s">
        <v>9688</v>
      </c>
      <c r="I57" s="2854"/>
      <c r="J57" s="2766">
        <v>34594</v>
      </c>
      <c r="K57" s="2766">
        <v>34594</v>
      </c>
      <c r="L57" s="2766">
        <v>0</v>
      </c>
      <c r="M57" s="2766">
        <v>0</v>
      </c>
      <c r="N57" s="2962">
        <v>21132</v>
      </c>
      <c r="O57" s="2530">
        <f t="shared" si="0"/>
        <v>21132</v>
      </c>
      <c r="P57" s="2960" t="str">
        <f t="shared" si="1"/>
        <v>Bonneville Power Administration Bonneville Power Administration Bonneville Power Administration AD RS 368</v>
      </c>
      <c r="Q57" s="2953"/>
    </row>
    <row r="58" spans="1:17" ht="16.7" customHeight="1" x14ac:dyDescent="0.2">
      <c r="A58" s="2749">
        <v>34.015999999999998</v>
      </c>
      <c r="B58" s="2512" t="s">
        <v>9091</v>
      </c>
      <c r="C58" s="2512" t="s">
        <v>9091</v>
      </c>
      <c r="D58" s="2512" t="s">
        <v>9689</v>
      </c>
      <c r="E58" s="2489" t="s">
        <v>9643</v>
      </c>
      <c r="F58" s="2487" t="s">
        <v>9690</v>
      </c>
      <c r="G58" s="2631" t="s">
        <v>9091</v>
      </c>
      <c r="H58" s="2631" t="s">
        <v>9691</v>
      </c>
      <c r="I58" s="2766">
        <v>7</v>
      </c>
      <c r="J58" s="2766">
        <v>45112</v>
      </c>
      <c r="K58" s="2766">
        <v>45112</v>
      </c>
      <c r="L58" s="2766">
        <v>252765</v>
      </c>
      <c r="M58" s="2766">
        <v>0</v>
      </c>
      <c r="N58" s="2599">
        <v>124011</v>
      </c>
      <c r="O58" s="2530">
        <f t="shared" si="0"/>
        <v>376776</v>
      </c>
      <c r="P58" s="2960" t="str">
        <f t="shared" si="1"/>
        <v>Bonneville Power Administration Bonneville Power Administration Yakama Power FNO SA 328</v>
      </c>
      <c r="Q58" s="2953"/>
    </row>
    <row r="59" spans="1:17" ht="16.7" customHeight="1" x14ac:dyDescent="0.2">
      <c r="A59" s="2749">
        <v>34.017000000000003</v>
      </c>
      <c r="B59" s="2512" t="s">
        <v>9091</v>
      </c>
      <c r="C59" s="2512" t="s">
        <v>9091</v>
      </c>
      <c r="D59" s="2512" t="s">
        <v>9689</v>
      </c>
      <c r="E59" s="2947" t="s">
        <v>196</v>
      </c>
      <c r="F59" s="2487" t="s">
        <v>9690</v>
      </c>
      <c r="G59" s="2631" t="s">
        <v>9091</v>
      </c>
      <c r="H59" s="2631" t="s">
        <v>9691</v>
      </c>
      <c r="I59" s="2766">
        <v>7</v>
      </c>
      <c r="J59" s="2766">
        <v>3791</v>
      </c>
      <c r="K59" s="2766">
        <v>3791</v>
      </c>
      <c r="L59" s="2766">
        <v>0</v>
      </c>
      <c r="M59" s="2766">
        <v>0</v>
      </c>
      <c r="N59" s="2962">
        <v>17182</v>
      </c>
      <c r="O59" s="2530">
        <f t="shared" si="0"/>
        <v>17182</v>
      </c>
      <c r="P59" s="2960" t="str">
        <f t="shared" si="1"/>
        <v>Bonneville Power Administration Bonneville Power Administration Yakama Power AD SA 328</v>
      </c>
      <c r="Q59" s="2953"/>
    </row>
    <row r="60" spans="1:17" ht="16.7" customHeight="1" x14ac:dyDescent="0.2">
      <c r="A60" s="2749">
        <v>34.018000000000001</v>
      </c>
      <c r="B60" s="2512" t="s">
        <v>9091</v>
      </c>
      <c r="C60" s="2512" t="s">
        <v>9091</v>
      </c>
      <c r="D60" s="2512" t="s">
        <v>9091</v>
      </c>
      <c r="E60" s="2489" t="s">
        <v>9643</v>
      </c>
      <c r="F60" s="2487" t="s">
        <v>9692</v>
      </c>
      <c r="G60" s="2631" t="s">
        <v>9091</v>
      </c>
      <c r="H60" s="2631" t="s">
        <v>9693</v>
      </c>
      <c r="I60" s="2766">
        <v>4</v>
      </c>
      <c r="J60" s="2766">
        <v>694</v>
      </c>
      <c r="K60" s="2766">
        <v>694</v>
      </c>
      <c r="L60" s="2766">
        <v>888</v>
      </c>
      <c r="M60" s="2766">
        <v>0</v>
      </c>
      <c r="N60" s="2965">
        <v>284</v>
      </c>
      <c r="O60" s="2530">
        <f t="shared" si="0"/>
        <v>1172</v>
      </c>
      <c r="P60" s="2960" t="str">
        <f t="shared" si="1"/>
        <v>Bonneville Power Administration Bonneville Power Administration Bonneville Power Administration FNO SA 827</v>
      </c>
      <c r="Q60" s="2953"/>
    </row>
    <row r="61" spans="1:17" ht="16.7" customHeight="1" x14ac:dyDescent="0.2">
      <c r="A61" s="2749">
        <v>34.018999999999998</v>
      </c>
      <c r="B61" s="2512" t="s">
        <v>9091</v>
      </c>
      <c r="C61" s="2512" t="s">
        <v>9091</v>
      </c>
      <c r="D61" s="2512" t="s">
        <v>9091</v>
      </c>
      <c r="E61" s="2947" t="s">
        <v>196</v>
      </c>
      <c r="F61" s="2487" t="s">
        <v>9692</v>
      </c>
      <c r="G61" s="2631" t="s">
        <v>9091</v>
      </c>
      <c r="H61" s="2631" t="s">
        <v>9693</v>
      </c>
      <c r="I61" s="2766">
        <v>3</v>
      </c>
      <c r="J61" s="2766">
        <v>92</v>
      </c>
      <c r="K61" s="2766">
        <v>92</v>
      </c>
      <c r="L61" s="2766">
        <v>0</v>
      </c>
      <c r="M61" s="2766">
        <v>0</v>
      </c>
      <c r="N61" s="2962">
        <v>602</v>
      </c>
      <c r="O61" s="2530">
        <f t="shared" si="0"/>
        <v>602</v>
      </c>
      <c r="P61" s="2960" t="str">
        <f t="shared" si="1"/>
        <v>Bonneville Power Administration Bonneville Power Administration Bonneville Power Administration AD SA 827</v>
      </c>
      <c r="Q61" s="2953"/>
    </row>
    <row r="62" spans="1:17" ht="16.7" customHeight="1" x14ac:dyDescent="0.2">
      <c r="A62" s="2749">
        <v>34.020000000000003</v>
      </c>
      <c r="B62" s="2512" t="s">
        <v>9091</v>
      </c>
      <c r="C62" s="2512" t="s">
        <v>9091</v>
      </c>
      <c r="D62" s="2512" t="s">
        <v>9091</v>
      </c>
      <c r="E62" s="2489" t="s">
        <v>9643</v>
      </c>
      <c r="F62" s="2487" t="s">
        <v>9694</v>
      </c>
      <c r="G62" s="2631" t="s">
        <v>9695</v>
      </c>
      <c r="H62" s="2631" t="s">
        <v>9631</v>
      </c>
      <c r="I62" s="2766">
        <v>237</v>
      </c>
      <c r="J62" s="2766">
        <v>1426077</v>
      </c>
      <c r="K62" s="2766">
        <v>1426077</v>
      </c>
      <c r="L62" s="2766">
        <v>8167379</v>
      </c>
      <c r="M62" s="2766">
        <v>0</v>
      </c>
      <c r="N62" s="2599">
        <v>1862996</v>
      </c>
      <c r="O62" s="2530">
        <f t="shared" si="0"/>
        <v>10030375</v>
      </c>
      <c r="P62" s="2960" t="str">
        <f t="shared" si="1"/>
        <v>Bonneville Power Administration Bonneville Power Administration Bonneville Power Administration FNO SA 746</v>
      </c>
      <c r="Q62" s="2953"/>
    </row>
    <row r="63" spans="1:17" ht="16.7" customHeight="1" x14ac:dyDescent="0.2">
      <c r="A63" s="2749">
        <v>34.021000000000001</v>
      </c>
      <c r="B63" s="2512" t="s">
        <v>9091</v>
      </c>
      <c r="C63" s="2512" t="s">
        <v>9091</v>
      </c>
      <c r="D63" s="2512" t="s">
        <v>9091</v>
      </c>
      <c r="E63" s="2947" t="s">
        <v>196</v>
      </c>
      <c r="F63" s="2487" t="s">
        <v>9694</v>
      </c>
      <c r="G63" s="2631" t="s">
        <v>9695</v>
      </c>
      <c r="H63" s="2631" t="s">
        <v>9631</v>
      </c>
      <c r="I63" s="2766">
        <v>375</v>
      </c>
      <c r="J63" s="2766">
        <v>198767</v>
      </c>
      <c r="K63" s="2766">
        <v>198767</v>
      </c>
      <c r="L63" s="2766">
        <v>0</v>
      </c>
      <c r="M63" s="2766">
        <v>0</v>
      </c>
      <c r="N63" s="2962">
        <v>796904</v>
      </c>
      <c r="O63" s="2530">
        <f t="shared" si="0"/>
        <v>796904</v>
      </c>
      <c r="P63" s="2960" t="str">
        <f t="shared" si="1"/>
        <v>Bonneville Power Administration Bonneville Power Administration Bonneville Power Administration AD SA 746</v>
      </c>
      <c r="Q63" s="2953"/>
    </row>
    <row r="64" spans="1:17" ht="16.7" customHeight="1" x14ac:dyDescent="0.2">
      <c r="A64" s="2749">
        <v>34.021999999999998</v>
      </c>
      <c r="B64" s="2512" t="s">
        <v>9091</v>
      </c>
      <c r="C64" s="2512" t="s">
        <v>9628</v>
      </c>
      <c r="D64" s="2512" t="s">
        <v>9628</v>
      </c>
      <c r="E64" s="2489" t="s">
        <v>9629</v>
      </c>
      <c r="F64" s="2487" t="s">
        <v>9696</v>
      </c>
      <c r="G64" s="2631" t="s">
        <v>9631</v>
      </c>
      <c r="H64" s="2631" t="s">
        <v>9631</v>
      </c>
      <c r="I64" s="2854"/>
      <c r="J64" s="2854"/>
      <c r="K64" s="2766">
        <v>0</v>
      </c>
      <c r="L64" s="2766">
        <v>0</v>
      </c>
      <c r="M64" s="2766">
        <v>317525</v>
      </c>
      <c r="N64" s="2963">
        <v>20143</v>
      </c>
      <c r="O64" s="2530">
        <f t="shared" si="0"/>
        <v>337668</v>
      </c>
      <c r="P64" s="2960" t="str">
        <f t="shared" si="1"/>
        <v>Bonneville Power Administration various signatories various signatories NF SA 44</v>
      </c>
      <c r="Q64" s="2953"/>
    </row>
    <row r="65" spans="1:17" ht="16.7" customHeight="1" x14ac:dyDescent="0.2">
      <c r="A65" s="2749">
        <v>34.023000000000003</v>
      </c>
      <c r="B65" s="2512" t="s">
        <v>9091</v>
      </c>
      <c r="C65" s="2512" t="s">
        <v>9628</v>
      </c>
      <c r="D65" s="2512" t="s">
        <v>9628</v>
      </c>
      <c r="E65" s="2489" t="s">
        <v>9643</v>
      </c>
      <c r="F65" s="2487" t="s">
        <v>9697</v>
      </c>
      <c r="G65" s="2631" t="s">
        <v>9695</v>
      </c>
      <c r="H65" s="2631" t="s">
        <v>9631</v>
      </c>
      <c r="I65" s="2766">
        <v>114</v>
      </c>
      <c r="J65" s="2766">
        <v>700955</v>
      </c>
      <c r="K65" s="2766">
        <v>700955</v>
      </c>
      <c r="L65" s="2766">
        <v>3551194</v>
      </c>
      <c r="M65" s="2766">
        <v>0</v>
      </c>
      <c r="N65" s="2965">
        <v>661366</v>
      </c>
      <c r="O65" s="2530">
        <f t="shared" si="0"/>
        <v>4212560</v>
      </c>
      <c r="P65" s="2960" t="str">
        <f t="shared" si="1"/>
        <v>Bonneville Power Administration various signatories various signatories FNO SA 747</v>
      </c>
      <c r="Q65" s="2953"/>
    </row>
    <row r="66" spans="1:17" ht="16.7" customHeight="1" x14ac:dyDescent="0.2">
      <c r="A66" s="2749">
        <v>34.024000000000001</v>
      </c>
      <c r="B66" s="2512" t="s">
        <v>9091</v>
      </c>
      <c r="C66" s="2512" t="s">
        <v>9628</v>
      </c>
      <c r="D66" s="2512" t="s">
        <v>9628</v>
      </c>
      <c r="E66" s="2947" t="s">
        <v>196</v>
      </c>
      <c r="F66" s="2487" t="s">
        <v>9697</v>
      </c>
      <c r="G66" s="2631" t="s">
        <v>9695</v>
      </c>
      <c r="H66" s="2631" t="s">
        <v>9631</v>
      </c>
      <c r="I66" s="2766">
        <v>121</v>
      </c>
      <c r="J66" s="2766">
        <v>76118</v>
      </c>
      <c r="K66" s="2766">
        <v>76118</v>
      </c>
      <c r="L66" s="2766">
        <v>0</v>
      </c>
      <c r="M66" s="2766">
        <v>0</v>
      </c>
      <c r="N66" s="2962">
        <v>232853</v>
      </c>
      <c r="O66" s="2530">
        <f t="shared" si="0"/>
        <v>232853</v>
      </c>
      <c r="P66" s="2960" t="str">
        <f t="shared" si="1"/>
        <v>Bonneville Power Administration various signatories various signatories AD SA 747</v>
      </c>
      <c r="Q66" s="2953"/>
    </row>
    <row r="67" spans="1:17" ht="16.7" customHeight="1" x14ac:dyDescent="0.2">
      <c r="A67" s="2749">
        <v>34.024999999999999</v>
      </c>
      <c r="B67" s="2512" t="s">
        <v>9091</v>
      </c>
      <c r="C67" s="2512" t="s">
        <v>9091</v>
      </c>
      <c r="D67" s="2512" t="s">
        <v>9698</v>
      </c>
      <c r="E67" s="2489" t="s">
        <v>9643</v>
      </c>
      <c r="F67" s="2487" t="s">
        <v>9699</v>
      </c>
      <c r="G67" s="2631" t="s">
        <v>9700</v>
      </c>
      <c r="H67" s="2631" t="s">
        <v>9701</v>
      </c>
      <c r="I67" s="2766">
        <v>22</v>
      </c>
      <c r="J67" s="2766">
        <v>116714</v>
      </c>
      <c r="K67" s="2766">
        <v>116714</v>
      </c>
      <c r="L67" s="2766">
        <v>765246</v>
      </c>
      <c r="M67" s="2766">
        <v>0</v>
      </c>
      <c r="N67" s="2969">
        <v>82797</v>
      </c>
      <c r="O67" s="2530">
        <f t="shared" si="0"/>
        <v>848043</v>
      </c>
      <c r="P67" s="2479" t="str">
        <f t="shared" si="1"/>
        <v>Bonneville Power Administration Bonneville Power Administration Public Utility District No. 1 of Clark County FNO SA 735</v>
      </c>
    </row>
    <row r="68" spans="1:17" ht="16.7" customHeight="1" x14ac:dyDescent="0.2">
      <c r="A68" s="2749">
        <v>34.026000000000003</v>
      </c>
      <c r="B68" s="2512" t="s">
        <v>9091</v>
      </c>
      <c r="C68" s="2512" t="s">
        <v>9091</v>
      </c>
      <c r="D68" s="2512" t="s">
        <v>9698</v>
      </c>
      <c r="E68" s="2947" t="s">
        <v>196</v>
      </c>
      <c r="F68" s="2487" t="s">
        <v>9699</v>
      </c>
      <c r="G68" s="2631" t="s">
        <v>9700</v>
      </c>
      <c r="H68" s="2631" t="s">
        <v>9701</v>
      </c>
      <c r="I68" s="2766">
        <v>22</v>
      </c>
      <c r="J68" s="2766">
        <v>16607</v>
      </c>
      <c r="K68" s="2766">
        <v>16607</v>
      </c>
      <c r="L68" s="2766">
        <v>0</v>
      </c>
      <c r="M68" s="2766">
        <v>0</v>
      </c>
      <c r="N68" s="2962">
        <v>100654</v>
      </c>
      <c r="O68" s="2530">
        <f t="shared" si="0"/>
        <v>100654</v>
      </c>
      <c r="P68" s="2960" t="str">
        <f t="shared" si="1"/>
        <v>Bonneville Power Administration Bonneville Power Administration Public Utility District No. 1 of Clark County AD SA 735</v>
      </c>
      <c r="Q68" s="2953"/>
    </row>
    <row r="69" spans="1:17" ht="16.7" customHeight="1" x14ac:dyDescent="0.2">
      <c r="A69" s="2749">
        <v>34.027000000000001</v>
      </c>
      <c r="B69" s="2512" t="s">
        <v>9091</v>
      </c>
      <c r="C69" s="2512" t="s">
        <v>9091</v>
      </c>
      <c r="D69" s="2512" t="s">
        <v>9091</v>
      </c>
      <c r="E69" s="2489" t="s">
        <v>9643</v>
      </c>
      <c r="F69" s="2487" t="s">
        <v>9702</v>
      </c>
      <c r="G69" s="2631" t="s">
        <v>9695</v>
      </c>
      <c r="H69" s="2631" t="s">
        <v>9631</v>
      </c>
      <c r="I69" s="2766">
        <v>1</v>
      </c>
      <c r="J69" s="2766">
        <v>551</v>
      </c>
      <c r="K69" s="2766">
        <v>551</v>
      </c>
      <c r="L69" s="2766">
        <v>969</v>
      </c>
      <c r="M69" s="2766">
        <v>0</v>
      </c>
      <c r="N69" s="2965">
        <v>241</v>
      </c>
      <c r="O69" s="2530">
        <f t="shared" si="0"/>
        <v>1210</v>
      </c>
      <c r="P69" s="2960" t="str">
        <f t="shared" si="1"/>
        <v>Bonneville Power Administration Bonneville Power Administration Bonneville Power Administration FNO SA 865</v>
      </c>
      <c r="Q69" s="2953"/>
    </row>
    <row r="70" spans="1:17" ht="16.7" customHeight="1" x14ac:dyDescent="0.2">
      <c r="A70" s="2749">
        <v>34.027999999999999</v>
      </c>
      <c r="B70" s="2512" t="s">
        <v>9091</v>
      </c>
      <c r="C70" s="2512" t="s">
        <v>9091</v>
      </c>
      <c r="D70" s="2512" t="s">
        <v>9091</v>
      </c>
      <c r="E70" s="2947" t="s">
        <v>196</v>
      </c>
      <c r="F70" s="2487" t="s">
        <v>9702</v>
      </c>
      <c r="G70" s="2631" t="s">
        <v>9695</v>
      </c>
      <c r="H70" s="2631" t="s">
        <v>9631</v>
      </c>
      <c r="I70" s="2766">
        <v>1</v>
      </c>
      <c r="J70" s="2766">
        <v>71</v>
      </c>
      <c r="K70" s="2766">
        <v>71</v>
      </c>
      <c r="L70" s="2766">
        <v>0</v>
      </c>
      <c r="M70" s="2766">
        <v>0</v>
      </c>
      <c r="N70" s="2962">
        <v>512</v>
      </c>
      <c r="O70" s="2530">
        <f t="shared" si="0"/>
        <v>512</v>
      </c>
      <c r="P70" s="2960" t="str">
        <f t="shared" si="1"/>
        <v>Bonneville Power Administration Bonneville Power Administration Bonneville Power Administration AD SA 865</v>
      </c>
      <c r="Q70" s="2953"/>
    </row>
    <row r="71" spans="1:17" ht="16.7" customHeight="1" x14ac:dyDescent="0.2">
      <c r="A71" s="2749">
        <v>34.029000000000003</v>
      </c>
      <c r="B71" s="2512" t="s">
        <v>9091</v>
      </c>
      <c r="C71" s="2512" t="s">
        <v>9091</v>
      </c>
      <c r="D71" s="2512" t="s">
        <v>9091</v>
      </c>
      <c r="E71" s="2489" t="s">
        <v>9643</v>
      </c>
      <c r="F71" s="2487" t="s">
        <v>9703</v>
      </c>
      <c r="G71" s="2631" t="s">
        <v>9091</v>
      </c>
      <c r="H71" s="2631" t="s">
        <v>9631</v>
      </c>
      <c r="I71" s="2766">
        <v>1</v>
      </c>
      <c r="J71" s="2766">
        <v>3780</v>
      </c>
      <c r="K71" s="2766">
        <v>3780</v>
      </c>
      <c r="L71" s="2766">
        <v>15656</v>
      </c>
      <c r="M71" s="2766">
        <v>0</v>
      </c>
      <c r="N71" s="2965">
        <v>2169</v>
      </c>
      <c r="O71" s="2530">
        <f t="shared" si="0"/>
        <v>17825</v>
      </c>
      <c r="P71" s="2960" t="str">
        <f t="shared" si="1"/>
        <v>Bonneville Power Administration Bonneville Power Administration Bonneville Power Administration FNO SA 975</v>
      </c>
      <c r="Q71" s="2953"/>
    </row>
    <row r="72" spans="1:17" ht="16.7" customHeight="1" x14ac:dyDescent="0.2">
      <c r="A72" s="2749">
        <v>34.03</v>
      </c>
      <c r="B72" s="2512" t="s">
        <v>9091</v>
      </c>
      <c r="C72" s="2512" t="s">
        <v>9091</v>
      </c>
      <c r="D72" s="2512" t="s">
        <v>9091</v>
      </c>
      <c r="E72" s="2947" t="s">
        <v>196</v>
      </c>
      <c r="F72" s="2487" t="s">
        <v>9703</v>
      </c>
      <c r="G72" s="2631" t="s">
        <v>9091</v>
      </c>
      <c r="H72" s="2631" t="s">
        <v>9631</v>
      </c>
      <c r="I72" s="2766">
        <v>1</v>
      </c>
      <c r="J72" s="2766">
        <v>8</v>
      </c>
      <c r="K72" s="2766">
        <v>8</v>
      </c>
      <c r="L72" s="2766">
        <v>0</v>
      </c>
      <c r="M72" s="2766">
        <v>0</v>
      </c>
      <c r="N72" s="2962">
        <v>-641</v>
      </c>
      <c r="O72" s="2530">
        <f t="shared" si="0"/>
        <v>-641</v>
      </c>
      <c r="P72" s="2960" t="str">
        <f t="shared" si="1"/>
        <v>Bonneville Power Administration Bonneville Power Administration Bonneville Power Administration AD SA 975</v>
      </c>
      <c r="Q72" s="2953"/>
    </row>
    <row r="73" spans="1:17" ht="16.7" customHeight="1" x14ac:dyDescent="0.2">
      <c r="A73" s="2749">
        <v>34.030999999999999</v>
      </c>
      <c r="B73" s="2512" t="s">
        <v>9092</v>
      </c>
      <c r="C73" s="2512" t="s">
        <v>9628</v>
      </c>
      <c r="D73" s="2512" t="s">
        <v>9628</v>
      </c>
      <c r="E73" s="2489" t="s">
        <v>9632</v>
      </c>
      <c r="F73" s="2487" t="s">
        <v>9704</v>
      </c>
      <c r="G73" s="2631" t="s">
        <v>9631</v>
      </c>
      <c r="H73" s="2631" t="s">
        <v>9631</v>
      </c>
      <c r="I73" s="2854"/>
      <c r="J73" s="2766">
        <v>2425</v>
      </c>
      <c r="K73" s="2766">
        <v>2425</v>
      </c>
      <c r="L73" s="2766">
        <v>0</v>
      </c>
      <c r="M73" s="2766">
        <v>13819</v>
      </c>
      <c r="N73" s="2963">
        <v>876</v>
      </c>
      <c r="O73" s="2530">
        <f t="shared" ref="O73:O136" si="2">SUM(L73:N73)</f>
        <v>14695</v>
      </c>
      <c r="P73" s="2960" t="str">
        <f t="shared" ref="P73:P136" si="3">CONCATENATE(B73," ",C73," ",D73," ",E73," ",F73)</f>
        <v>BP Energy Company various signatories various signatories SFP SA 1083</v>
      </c>
      <c r="Q73" s="2953"/>
    </row>
    <row r="74" spans="1:17" ht="16.7" customHeight="1" x14ac:dyDescent="0.2">
      <c r="A74" s="2749">
        <v>34.031999999999996</v>
      </c>
      <c r="B74" s="2512" t="s">
        <v>9092</v>
      </c>
      <c r="C74" s="2512" t="s">
        <v>9628</v>
      </c>
      <c r="D74" s="2512" t="s">
        <v>9628</v>
      </c>
      <c r="E74" s="2489" t="s">
        <v>9629</v>
      </c>
      <c r="F74" s="2487" t="s">
        <v>9705</v>
      </c>
      <c r="G74" s="2631" t="s">
        <v>9631</v>
      </c>
      <c r="H74" s="2631" t="s">
        <v>9631</v>
      </c>
      <c r="I74" s="2854"/>
      <c r="J74" s="2766">
        <v>30032</v>
      </c>
      <c r="K74" s="2766">
        <v>30032</v>
      </c>
      <c r="L74" s="2766">
        <v>0</v>
      </c>
      <c r="M74" s="2766">
        <v>360059</v>
      </c>
      <c r="N74" s="2963">
        <v>22830</v>
      </c>
      <c r="O74" s="2530">
        <f t="shared" si="2"/>
        <v>382889</v>
      </c>
      <c r="P74" s="2960" t="str">
        <f t="shared" si="3"/>
        <v>BP Energy Company various signatories various signatories NF SA 1084</v>
      </c>
      <c r="Q74" s="2953"/>
    </row>
    <row r="75" spans="1:17" ht="16.7" customHeight="1" x14ac:dyDescent="0.2">
      <c r="A75" s="2749">
        <v>34.033000000000001</v>
      </c>
      <c r="B75" s="2512" t="s">
        <v>9094</v>
      </c>
      <c r="C75" s="2512" t="s">
        <v>9628</v>
      </c>
      <c r="D75" s="2512" t="s">
        <v>9628</v>
      </c>
      <c r="E75" s="2489" t="s">
        <v>9629</v>
      </c>
      <c r="F75" s="2487" t="s">
        <v>9706</v>
      </c>
      <c r="G75" s="2631" t="s">
        <v>9631</v>
      </c>
      <c r="H75" s="2631" t="s">
        <v>9631</v>
      </c>
      <c r="I75" s="2854"/>
      <c r="J75" s="2766">
        <v>325</v>
      </c>
      <c r="K75" s="2766">
        <v>325</v>
      </c>
      <c r="L75" s="2766">
        <v>0</v>
      </c>
      <c r="M75" s="2766">
        <v>15816</v>
      </c>
      <c r="N75" s="2963">
        <v>992</v>
      </c>
      <c r="O75" s="2530">
        <f t="shared" si="2"/>
        <v>16808</v>
      </c>
      <c r="P75" s="2960" t="str">
        <f t="shared" si="3"/>
        <v>Brookfield Renewable Trading and Marketing LP various signatories various signatories NF SA 941</v>
      </c>
      <c r="Q75" s="2953"/>
    </row>
    <row r="76" spans="1:17" ht="16.7" customHeight="1" x14ac:dyDescent="0.2">
      <c r="A76" s="2749">
        <v>34.033999999999999</v>
      </c>
      <c r="B76" s="2512" t="s">
        <v>9094</v>
      </c>
      <c r="C76" s="2512" t="s">
        <v>9628</v>
      </c>
      <c r="D76" s="2512" t="s">
        <v>9628</v>
      </c>
      <c r="E76" s="2489" t="s">
        <v>9632</v>
      </c>
      <c r="F76" s="2487" t="s">
        <v>9707</v>
      </c>
      <c r="G76" s="2631" t="s">
        <v>9631</v>
      </c>
      <c r="H76" s="2631" t="s">
        <v>9631</v>
      </c>
      <c r="I76" s="2854"/>
      <c r="J76" s="2766">
        <v>2808</v>
      </c>
      <c r="K76" s="2766">
        <v>2808</v>
      </c>
      <c r="L76" s="2766">
        <v>0</v>
      </c>
      <c r="M76" s="2766">
        <v>39482</v>
      </c>
      <c r="N76" s="2963">
        <v>2463</v>
      </c>
      <c r="O76" s="2530">
        <f t="shared" si="2"/>
        <v>41945</v>
      </c>
      <c r="P76" s="2960" t="str">
        <f t="shared" si="3"/>
        <v>Brookfield Renewable Trading and Marketing LP various signatories various signatories SFP SA 940</v>
      </c>
      <c r="Q76" s="2953"/>
    </row>
    <row r="77" spans="1:17" ht="16.7" customHeight="1" x14ac:dyDescent="0.2">
      <c r="A77" s="2749">
        <v>34.034999999999997</v>
      </c>
      <c r="B77" s="2512" t="s">
        <v>9094</v>
      </c>
      <c r="C77" s="2512" t="s">
        <v>9628</v>
      </c>
      <c r="D77" s="2512" t="s">
        <v>9628</v>
      </c>
      <c r="E77" s="2966" t="s">
        <v>196</v>
      </c>
      <c r="F77" s="2487" t="s">
        <v>9707</v>
      </c>
      <c r="G77" s="2631" t="s">
        <v>9631</v>
      </c>
      <c r="H77" s="2631" t="s">
        <v>9631</v>
      </c>
      <c r="I77" s="2854"/>
      <c r="J77" s="2766">
        <v>6800</v>
      </c>
      <c r="K77" s="2766">
        <v>6800</v>
      </c>
      <c r="L77" s="2766">
        <v>0</v>
      </c>
      <c r="M77" s="2766">
        <v>0</v>
      </c>
      <c r="N77" s="2962">
        <v>47483</v>
      </c>
      <c r="O77" s="2530">
        <f t="shared" si="2"/>
        <v>47483</v>
      </c>
      <c r="P77" s="2960" t="str">
        <f t="shared" si="3"/>
        <v>Brookfield Renewable Trading and Marketing LP various signatories various signatories AD SA 940</v>
      </c>
      <c r="Q77" s="2953"/>
    </row>
    <row r="78" spans="1:17" ht="16.7" customHeight="1" x14ac:dyDescent="0.2">
      <c r="A78" s="2749">
        <v>34.036000000000001</v>
      </c>
      <c r="B78" s="2512" t="s">
        <v>9708</v>
      </c>
      <c r="C78" s="2512" t="s">
        <v>9091</v>
      </c>
      <c r="D78" s="2512" t="s">
        <v>9642</v>
      </c>
      <c r="E78" s="2489" t="s">
        <v>9643</v>
      </c>
      <c r="F78" s="2487" t="s">
        <v>9709</v>
      </c>
      <c r="G78" s="2631" t="s">
        <v>9091</v>
      </c>
      <c r="H78" s="2631" t="s">
        <v>9631</v>
      </c>
      <c r="I78" s="2766">
        <v>18</v>
      </c>
      <c r="J78" s="2766">
        <v>124245</v>
      </c>
      <c r="K78" s="2766">
        <v>124245</v>
      </c>
      <c r="L78" s="2766">
        <v>608891</v>
      </c>
      <c r="M78" s="2766">
        <v>0</v>
      </c>
      <c r="N78" s="2965">
        <v>102757</v>
      </c>
      <c r="O78" s="2530">
        <f t="shared" si="2"/>
        <v>711648</v>
      </c>
      <c r="P78" s="2960" t="str">
        <f t="shared" si="3"/>
        <v xml:space="preserve">Calpine Energy Solutions, LLC Bonneville Power Administration Oregon Direct Access FNO SA 299 </v>
      </c>
      <c r="Q78" s="2953"/>
    </row>
    <row r="79" spans="1:17" ht="16.7" customHeight="1" x14ac:dyDescent="0.2">
      <c r="A79" s="2749">
        <v>34.036999999999999</v>
      </c>
      <c r="B79" s="2512" t="s">
        <v>9708</v>
      </c>
      <c r="C79" s="2512" t="s">
        <v>9091</v>
      </c>
      <c r="D79" s="2512" t="s">
        <v>9642</v>
      </c>
      <c r="E79" s="2947" t="s">
        <v>196</v>
      </c>
      <c r="F79" s="2487" t="s">
        <v>9709</v>
      </c>
      <c r="G79" s="2631" t="s">
        <v>9091</v>
      </c>
      <c r="H79" s="2631" t="s">
        <v>9631</v>
      </c>
      <c r="I79" s="2766">
        <v>17</v>
      </c>
      <c r="J79" s="2766">
        <v>11453</v>
      </c>
      <c r="K79" s="2766">
        <v>11453</v>
      </c>
      <c r="L79" s="2766">
        <v>0</v>
      </c>
      <c r="M79" s="2766">
        <v>0</v>
      </c>
      <c r="N79" s="2962">
        <v>31679</v>
      </c>
      <c r="O79" s="2530">
        <f t="shared" si="2"/>
        <v>31679</v>
      </c>
      <c r="P79" s="2960" t="str">
        <f t="shared" si="3"/>
        <v xml:space="preserve">Calpine Energy Solutions, LLC Bonneville Power Administration Oregon Direct Access AD SA 299 </v>
      </c>
      <c r="Q79" s="2953"/>
    </row>
    <row r="80" spans="1:17" ht="16.7" customHeight="1" x14ac:dyDescent="0.2">
      <c r="A80" s="2749">
        <v>34.037999999999997</v>
      </c>
      <c r="B80" s="2512" t="s">
        <v>9100</v>
      </c>
      <c r="C80" s="2512" t="s">
        <v>9100</v>
      </c>
      <c r="D80" s="2512" t="s">
        <v>9100</v>
      </c>
      <c r="E80" s="2947" t="s">
        <v>9623</v>
      </c>
      <c r="F80" s="2487" t="s">
        <v>9710</v>
      </c>
      <c r="G80" s="2631" t="s">
        <v>9711</v>
      </c>
      <c r="H80" s="2631" t="s">
        <v>9712</v>
      </c>
      <c r="I80" s="2766">
        <v>50</v>
      </c>
      <c r="J80" s="2854"/>
      <c r="K80" s="2766">
        <v>0</v>
      </c>
      <c r="L80" s="2766">
        <v>1701197</v>
      </c>
      <c r="M80" s="2766">
        <v>0</v>
      </c>
      <c r="N80" s="2970">
        <v>33663</v>
      </c>
      <c r="O80" s="2530">
        <f t="shared" si="2"/>
        <v>1734860</v>
      </c>
      <c r="P80" s="2960" t="str">
        <f t="shared" si="3"/>
        <v>City of Roseville City of Roseville City of Roseville LFP SA 881</v>
      </c>
      <c r="Q80" s="2953"/>
    </row>
    <row r="81" spans="1:17" ht="16.7" customHeight="1" x14ac:dyDescent="0.2">
      <c r="A81" s="2749">
        <v>34.039000000000001</v>
      </c>
      <c r="B81" s="2512" t="s">
        <v>9100</v>
      </c>
      <c r="C81" s="2512" t="s">
        <v>9100</v>
      </c>
      <c r="D81" s="2512" t="s">
        <v>9100</v>
      </c>
      <c r="E81" s="2947" t="s">
        <v>196</v>
      </c>
      <c r="F81" s="2487" t="s">
        <v>9710</v>
      </c>
      <c r="G81" s="2631" t="s">
        <v>9711</v>
      </c>
      <c r="H81" s="2631" t="s">
        <v>9712</v>
      </c>
      <c r="I81" s="2766">
        <v>50</v>
      </c>
      <c r="J81" s="2766">
        <v>0</v>
      </c>
      <c r="K81" s="2766">
        <v>0</v>
      </c>
      <c r="L81" s="2766">
        <v>0</v>
      </c>
      <c r="M81" s="2766">
        <v>0</v>
      </c>
      <c r="N81" s="2962">
        <v>75544</v>
      </c>
      <c r="O81" s="2530">
        <f t="shared" si="2"/>
        <v>75544</v>
      </c>
      <c r="P81" s="2960" t="str">
        <f t="shared" si="3"/>
        <v>City of Roseville City of Roseville City of Roseville AD SA 881</v>
      </c>
      <c r="Q81" s="2953"/>
    </row>
    <row r="82" spans="1:17" ht="16.7" customHeight="1" x14ac:dyDescent="0.2">
      <c r="A82" s="2749">
        <v>34.04</v>
      </c>
      <c r="B82" s="2512" t="s">
        <v>9102</v>
      </c>
      <c r="C82" s="2512" t="s">
        <v>9102</v>
      </c>
      <c r="D82" s="2512" t="s">
        <v>9102</v>
      </c>
      <c r="E82" s="2947" t="s">
        <v>9623</v>
      </c>
      <c r="F82" s="2487" t="s">
        <v>9713</v>
      </c>
      <c r="G82" s="2631" t="s">
        <v>9714</v>
      </c>
      <c r="H82" s="2631" t="s">
        <v>9631</v>
      </c>
      <c r="I82" s="2766">
        <v>14</v>
      </c>
      <c r="J82" s="2766">
        <v>60863</v>
      </c>
      <c r="K82" s="2766">
        <v>60863</v>
      </c>
      <c r="L82" s="2766">
        <v>461332</v>
      </c>
      <c r="M82" s="2766">
        <v>0</v>
      </c>
      <c r="N82" s="2963">
        <v>29053</v>
      </c>
      <c r="O82" s="2530">
        <f t="shared" si="2"/>
        <v>490385</v>
      </c>
      <c r="P82" s="2960" t="str">
        <f t="shared" si="3"/>
        <v>Clatskanie People's Utility District Clatskanie People's Utility District Clatskanie People's Utility District LFP SA 899</v>
      </c>
      <c r="Q82" s="2953"/>
    </row>
    <row r="83" spans="1:17" ht="16.7" customHeight="1" x14ac:dyDescent="0.2">
      <c r="A83" s="2749">
        <v>34.040999999999997</v>
      </c>
      <c r="B83" s="2512" t="s">
        <v>9102</v>
      </c>
      <c r="C83" s="2512" t="s">
        <v>9102</v>
      </c>
      <c r="D83" s="2512" t="s">
        <v>9102</v>
      </c>
      <c r="E83" s="2947" t="s">
        <v>196</v>
      </c>
      <c r="F83" s="2487" t="s">
        <v>9713</v>
      </c>
      <c r="G83" s="2631" t="s">
        <v>9714</v>
      </c>
      <c r="H83" s="2631" t="s">
        <v>9631</v>
      </c>
      <c r="I83" s="2854"/>
      <c r="J83" s="2766">
        <v>6403</v>
      </c>
      <c r="K83" s="2766">
        <v>6403</v>
      </c>
      <c r="L83" s="2766">
        <v>0</v>
      </c>
      <c r="M83" s="2766">
        <v>0</v>
      </c>
      <c r="N83" s="2962">
        <v>18930</v>
      </c>
      <c r="O83" s="2530">
        <f t="shared" si="2"/>
        <v>18930</v>
      </c>
      <c r="P83" s="2960" t="str">
        <f t="shared" si="3"/>
        <v>Clatskanie People's Utility District Clatskanie People's Utility District Clatskanie People's Utility District AD SA 899</v>
      </c>
      <c r="Q83" s="2953"/>
    </row>
    <row r="84" spans="1:17" ht="16.7" customHeight="1" x14ac:dyDescent="0.2">
      <c r="A84" s="2749">
        <v>34.042000000000002</v>
      </c>
      <c r="B84" s="2512" t="s">
        <v>9102</v>
      </c>
      <c r="C84" s="2512" t="s">
        <v>9102</v>
      </c>
      <c r="D84" s="2512" t="s">
        <v>9102</v>
      </c>
      <c r="E84" s="2947" t="s">
        <v>9623</v>
      </c>
      <c r="F84" s="2487" t="s">
        <v>9715</v>
      </c>
      <c r="G84" s="2631" t="s">
        <v>9714</v>
      </c>
      <c r="H84" s="2631" t="s">
        <v>9631</v>
      </c>
      <c r="I84" s="2766">
        <v>2</v>
      </c>
      <c r="J84" s="2766">
        <v>13107</v>
      </c>
      <c r="K84" s="2766">
        <v>13107</v>
      </c>
      <c r="L84" s="2766">
        <v>58076</v>
      </c>
      <c r="M84" s="2766">
        <v>0</v>
      </c>
      <c r="N84" s="2963">
        <v>3651</v>
      </c>
      <c r="O84" s="2530">
        <f t="shared" si="2"/>
        <v>61727</v>
      </c>
      <c r="P84" s="2960" t="str">
        <f t="shared" si="3"/>
        <v>Clatskanie People's Utility District Clatskanie People's Utility District Clatskanie People's Utility District LFP SA 901</v>
      </c>
      <c r="Q84" s="2953"/>
    </row>
    <row r="85" spans="1:17" ht="16.7" customHeight="1" x14ac:dyDescent="0.2">
      <c r="A85" s="2749">
        <v>34.042999999999999</v>
      </c>
      <c r="B85" s="2512" t="s">
        <v>9102</v>
      </c>
      <c r="C85" s="2512" t="s">
        <v>9102</v>
      </c>
      <c r="D85" s="2512" t="s">
        <v>9102</v>
      </c>
      <c r="E85" s="2947" t="s">
        <v>196</v>
      </c>
      <c r="F85" s="2487" t="s">
        <v>9715</v>
      </c>
      <c r="G85" s="2631" t="s">
        <v>9714</v>
      </c>
      <c r="H85" s="2631" t="s">
        <v>9631</v>
      </c>
      <c r="I85" s="2854"/>
      <c r="J85" s="2766">
        <v>0</v>
      </c>
      <c r="K85" s="2766">
        <v>0</v>
      </c>
      <c r="L85" s="2766">
        <v>0</v>
      </c>
      <c r="M85" s="2766">
        <v>0</v>
      </c>
      <c r="N85" s="2962">
        <v>6859</v>
      </c>
      <c r="O85" s="2530">
        <f t="shared" si="2"/>
        <v>6859</v>
      </c>
      <c r="P85" s="2960" t="str">
        <f t="shared" si="3"/>
        <v>Clatskanie People's Utility District Clatskanie People's Utility District Clatskanie People's Utility District AD SA 901</v>
      </c>
      <c r="Q85" s="2953"/>
    </row>
    <row r="86" spans="1:17" ht="16.7" customHeight="1" x14ac:dyDescent="0.2">
      <c r="A86" s="2749">
        <v>34.043999999999997</v>
      </c>
      <c r="B86" s="2512" t="s">
        <v>9716</v>
      </c>
      <c r="C86" s="2512" t="s">
        <v>9628</v>
      </c>
      <c r="D86" s="2512" t="s">
        <v>9628</v>
      </c>
      <c r="E86" s="2489" t="s">
        <v>9629</v>
      </c>
      <c r="F86" s="2487" t="s">
        <v>9717</v>
      </c>
      <c r="G86" s="2631" t="s">
        <v>9631</v>
      </c>
      <c r="H86" s="2631" t="s">
        <v>9631</v>
      </c>
      <c r="I86" s="2854"/>
      <c r="J86" s="2766">
        <v>1170</v>
      </c>
      <c r="K86" s="2766">
        <v>1170</v>
      </c>
      <c r="L86" s="2766">
        <v>0</v>
      </c>
      <c r="M86" s="2766">
        <v>10906</v>
      </c>
      <c r="N86" s="2963">
        <v>678</v>
      </c>
      <c r="O86" s="2530">
        <f t="shared" si="2"/>
        <v>11584</v>
      </c>
      <c r="P86" s="2960" t="str">
        <f t="shared" si="3"/>
        <v>ConocoPhillps Company various signatories various signatories NF SA 280</v>
      </c>
      <c r="Q86" s="2953"/>
    </row>
    <row r="87" spans="1:17" ht="16.7" customHeight="1" x14ac:dyDescent="0.2">
      <c r="A87" s="2749">
        <v>34.045000000000002</v>
      </c>
      <c r="B87" s="2512" t="s">
        <v>9105</v>
      </c>
      <c r="C87" s="2512" t="s">
        <v>9628</v>
      </c>
      <c r="D87" s="2512" t="s">
        <v>9628</v>
      </c>
      <c r="E87" s="2489" t="s">
        <v>9629</v>
      </c>
      <c r="F87" s="2487" t="s">
        <v>9718</v>
      </c>
      <c r="G87" s="2631" t="s">
        <v>9631</v>
      </c>
      <c r="H87" s="2631" t="s">
        <v>9631</v>
      </c>
      <c r="I87" s="2854"/>
      <c r="J87" s="2766">
        <v>4230</v>
      </c>
      <c r="K87" s="2766">
        <v>4230</v>
      </c>
      <c r="L87" s="2766">
        <v>0</v>
      </c>
      <c r="M87" s="2766">
        <v>39930</v>
      </c>
      <c r="N87" s="2963">
        <v>2532</v>
      </c>
      <c r="O87" s="2530">
        <f t="shared" si="2"/>
        <v>42462</v>
      </c>
      <c r="P87" s="2960" t="str">
        <f t="shared" si="3"/>
        <v>CP Energy Marketing (US) Inc. various signatories various signatories NF SA 968</v>
      </c>
      <c r="Q87" s="2953"/>
    </row>
    <row r="88" spans="1:17" ht="16.7" customHeight="1" x14ac:dyDescent="0.2">
      <c r="A88" s="2749">
        <v>34.045999999999999</v>
      </c>
      <c r="B88" s="2512" t="s">
        <v>9105</v>
      </c>
      <c r="C88" s="2512" t="s">
        <v>9628</v>
      </c>
      <c r="D88" s="2512" t="s">
        <v>9628</v>
      </c>
      <c r="E88" s="2966" t="s">
        <v>196</v>
      </c>
      <c r="F88" s="2487" t="s">
        <v>9718</v>
      </c>
      <c r="G88" s="2631" t="s">
        <v>9631</v>
      </c>
      <c r="H88" s="2631" t="s">
        <v>9631</v>
      </c>
      <c r="I88" s="2854"/>
      <c r="J88" s="2766">
        <v>0</v>
      </c>
      <c r="K88" s="2766">
        <v>0</v>
      </c>
      <c r="L88" s="2766">
        <v>0</v>
      </c>
      <c r="M88" s="2766">
        <v>0</v>
      </c>
      <c r="N88" s="2962">
        <v>4462</v>
      </c>
      <c r="O88" s="2530">
        <f t="shared" si="2"/>
        <v>4462</v>
      </c>
      <c r="P88" s="2960" t="str">
        <f t="shared" si="3"/>
        <v>CP Energy Marketing (US) Inc. various signatories various signatories AD SA 968</v>
      </c>
      <c r="Q88" s="2953"/>
    </row>
    <row r="89" spans="1:17" ht="16.7" customHeight="1" x14ac:dyDescent="0.2">
      <c r="A89" s="2749">
        <v>34.046999999999997</v>
      </c>
      <c r="B89" s="2512" t="s">
        <v>9105</v>
      </c>
      <c r="C89" s="2512" t="s">
        <v>9628</v>
      </c>
      <c r="D89" s="2512" t="s">
        <v>9628</v>
      </c>
      <c r="E89" s="2489" t="s">
        <v>9632</v>
      </c>
      <c r="F89" s="2487" t="s">
        <v>9719</v>
      </c>
      <c r="G89" s="2631" t="s">
        <v>9631</v>
      </c>
      <c r="H89" s="2631" t="s">
        <v>9631</v>
      </c>
      <c r="I89" s="2854"/>
      <c r="J89" s="2854"/>
      <c r="K89" s="2766">
        <v>0</v>
      </c>
      <c r="L89" s="2766">
        <v>0</v>
      </c>
      <c r="M89" s="2766">
        <v>399</v>
      </c>
      <c r="N89" s="2963">
        <v>26</v>
      </c>
      <c r="O89" s="2530">
        <f t="shared" si="2"/>
        <v>425</v>
      </c>
      <c r="P89" s="2960" t="str">
        <f t="shared" si="3"/>
        <v>CP Energy Marketing (US) Inc. various signatories various signatories SFP SA 967</v>
      </c>
      <c r="Q89" s="2953"/>
    </row>
    <row r="90" spans="1:17" ht="16.7" customHeight="1" x14ac:dyDescent="0.2">
      <c r="A90" s="2749">
        <v>34.048000000000002</v>
      </c>
      <c r="B90" s="2512" t="s">
        <v>9720</v>
      </c>
      <c r="C90" s="2512" t="s">
        <v>9720</v>
      </c>
      <c r="D90" s="2512" t="s">
        <v>9720</v>
      </c>
      <c r="E90" s="2947" t="s">
        <v>193</v>
      </c>
      <c r="F90" s="2487" t="s">
        <v>9721</v>
      </c>
      <c r="G90" s="2631" t="s">
        <v>9631</v>
      </c>
      <c r="H90" s="2631" t="s">
        <v>9631</v>
      </c>
      <c r="I90" s="2766">
        <v>143</v>
      </c>
      <c r="J90" s="2766">
        <v>1068333</v>
      </c>
      <c r="K90" s="2766">
        <v>1068333</v>
      </c>
      <c r="L90" s="2766">
        <v>4922165</v>
      </c>
      <c r="M90" s="2766">
        <v>0</v>
      </c>
      <c r="N90" s="2599">
        <v>1499427</v>
      </c>
      <c r="O90" s="2530">
        <f t="shared" si="2"/>
        <v>6421592</v>
      </c>
      <c r="P90" s="2960" t="str">
        <f t="shared" si="3"/>
        <v>Deseret Generation and Transmission Co-operative Deseret Generation and Transmission Co-operative Deseret Generation and Transmission Co-operative OS RS 280</v>
      </c>
      <c r="Q90" s="2953"/>
    </row>
    <row r="91" spans="1:17" ht="16.7" customHeight="1" x14ac:dyDescent="0.2">
      <c r="A91" s="2749">
        <v>34.048999999999999</v>
      </c>
      <c r="B91" s="2512" t="s">
        <v>9720</v>
      </c>
      <c r="C91" s="2512" t="s">
        <v>9720</v>
      </c>
      <c r="D91" s="2512" t="s">
        <v>9720</v>
      </c>
      <c r="E91" s="2947" t="s">
        <v>196</v>
      </c>
      <c r="F91" s="2487" t="s">
        <v>9721</v>
      </c>
      <c r="G91" s="2631" t="s">
        <v>9631</v>
      </c>
      <c r="H91" s="2631" t="s">
        <v>9631</v>
      </c>
      <c r="I91" s="2766">
        <v>109</v>
      </c>
      <c r="J91" s="2766">
        <v>89844</v>
      </c>
      <c r="K91" s="2766">
        <v>89844</v>
      </c>
      <c r="L91" s="2766">
        <v>0</v>
      </c>
      <c r="M91" s="2766">
        <v>0</v>
      </c>
      <c r="N91" s="2962">
        <v>385368</v>
      </c>
      <c r="O91" s="2530">
        <f t="shared" si="2"/>
        <v>385368</v>
      </c>
      <c r="P91" s="2960" t="str">
        <f t="shared" si="3"/>
        <v>Deseret Generation and Transmission Co-operative Deseret Generation and Transmission Co-operative Deseret Generation and Transmission Co-operative AD RS 280</v>
      </c>
      <c r="Q91" s="2953"/>
    </row>
    <row r="92" spans="1:17" ht="16.7" customHeight="1" x14ac:dyDescent="0.2">
      <c r="A92" s="2749">
        <v>34.049999999999997</v>
      </c>
      <c r="B92" s="2512" t="s">
        <v>9720</v>
      </c>
      <c r="C92" s="2512" t="s">
        <v>9628</v>
      </c>
      <c r="D92" s="2512" t="s">
        <v>9628</v>
      </c>
      <c r="E92" s="2489" t="s">
        <v>9629</v>
      </c>
      <c r="F92" s="2487" t="s">
        <v>9722</v>
      </c>
      <c r="G92" s="2631" t="s">
        <v>9631</v>
      </c>
      <c r="H92" s="2631" t="s">
        <v>9631</v>
      </c>
      <c r="I92" s="2854"/>
      <c r="J92" s="2766">
        <v>12743</v>
      </c>
      <c r="K92" s="2766">
        <v>12743</v>
      </c>
      <c r="L92" s="2766">
        <v>0</v>
      </c>
      <c r="M92" s="2766">
        <v>96011</v>
      </c>
      <c r="N92" s="2963">
        <v>25565</v>
      </c>
      <c r="O92" s="2530">
        <f t="shared" si="2"/>
        <v>121576</v>
      </c>
      <c r="P92" s="2960" t="str">
        <f t="shared" si="3"/>
        <v>Deseret Generation and Transmission Co-operative various signatories various signatories NF SA 156</v>
      </c>
      <c r="Q92" s="2953"/>
    </row>
    <row r="93" spans="1:17" ht="16.7" customHeight="1" x14ac:dyDescent="0.2">
      <c r="A93" s="2749">
        <v>34.051000000000002</v>
      </c>
      <c r="B93" s="2512" t="s">
        <v>9720</v>
      </c>
      <c r="C93" s="2512" t="s">
        <v>9628</v>
      </c>
      <c r="D93" s="2512" t="s">
        <v>9628</v>
      </c>
      <c r="E93" s="2966" t="s">
        <v>196</v>
      </c>
      <c r="F93" s="2487" t="s">
        <v>9722</v>
      </c>
      <c r="G93" s="2631" t="s">
        <v>9631</v>
      </c>
      <c r="H93" s="2631" t="s">
        <v>9631</v>
      </c>
      <c r="I93" s="2854"/>
      <c r="J93" s="2766">
        <v>1387</v>
      </c>
      <c r="K93" s="2766">
        <v>1387</v>
      </c>
      <c r="L93" s="2766">
        <v>0</v>
      </c>
      <c r="M93" s="2766">
        <v>0</v>
      </c>
      <c r="N93" s="2962">
        <v>11926</v>
      </c>
      <c r="O93" s="2530">
        <f t="shared" si="2"/>
        <v>11926</v>
      </c>
      <c r="P93" s="2960" t="str">
        <f t="shared" si="3"/>
        <v>Deseret Generation and Transmission Co-operative various signatories various signatories AD SA 156</v>
      </c>
      <c r="Q93" s="2953"/>
    </row>
    <row r="94" spans="1:17" ht="16.7" customHeight="1" x14ac:dyDescent="0.2">
      <c r="A94" s="2749">
        <v>34.052</v>
      </c>
      <c r="B94" s="2512" t="s">
        <v>9106</v>
      </c>
      <c r="C94" s="2512" t="s">
        <v>9628</v>
      </c>
      <c r="D94" s="2512" t="s">
        <v>9628</v>
      </c>
      <c r="E94" s="2489" t="s">
        <v>9629</v>
      </c>
      <c r="F94" s="2487" t="s">
        <v>9723</v>
      </c>
      <c r="G94" s="2631" t="s">
        <v>9631</v>
      </c>
      <c r="H94" s="2631" t="s">
        <v>9631</v>
      </c>
      <c r="I94" s="2854"/>
      <c r="J94" s="2766">
        <v>103498</v>
      </c>
      <c r="K94" s="2766">
        <v>103498</v>
      </c>
      <c r="L94" s="2766">
        <v>0</v>
      </c>
      <c r="M94" s="2766">
        <v>918379</v>
      </c>
      <c r="N94" s="2963">
        <v>57855</v>
      </c>
      <c r="O94" s="2530">
        <f t="shared" si="2"/>
        <v>976234</v>
      </c>
      <c r="P94" s="2960" t="str">
        <f t="shared" si="3"/>
        <v>Dynasty Power Inc. various signatories various signatories NF SA 1014</v>
      </c>
      <c r="Q94" s="2953"/>
    </row>
    <row r="95" spans="1:17" ht="16.7" customHeight="1" x14ac:dyDescent="0.2">
      <c r="A95" s="2749">
        <v>34.052999999999997</v>
      </c>
      <c r="B95" s="2512" t="s">
        <v>9106</v>
      </c>
      <c r="C95" s="2512"/>
      <c r="D95" s="2512"/>
      <c r="E95" s="2966" t="s">
        <v>196</v>
      </c>
      <c r="F95" s="2487" t="s">
        <v>9723</v>
      </c>
      <c r="G95" s="2631" t="s">
        <v>9631</v>
      </c>
      <c r="H95" s="2631" t="s">
        <v>9631</v>
      </c>
      <c r="I95" s="2854"/>
      <c r="J95" s="2766">
        <v>10854</v>
      </c>
      <c r="K95" s="2766">
        <v>10854</v>
      </c>
      <c r="L95" s="2766">
        <v>0</v>
      </c>
      <c r="M95" s="2766">
        <v>0</v>
      </c>
      <c r="N95" s="2962">
        <v>190308</v>
      </c>
      <c r="O95" s="2530">
        <f t="shared" si="2"/>
        <v>190308</v>
      </c>
      <c r="P95" s="2960" t="str">
        <f t="shared" si="3"/>
        <v>Dynasty Power Inc.   AD SA 1014</v>
      </c>
      <c r="Q95" s="2953"/>
    </row>
    <row r="96" spans="1:17" ht="16.7" customHeight="1" x14ac:dyDescent="0.2">
      <c r="A96" s="2749">
        <v>34.054000000000002</v>
      </c>
      <c r="B96" s="2512" t="s">
        <v>9106</v>
      </c>
      <c r="C96" s="2512" t="s">
        <v>9628</v>
      </c>
      <c r="D96" s="2512" t="s">
        <v>9628</v>
      </c>
      <c r="E96" s="2489" t="s">
        <v>9632</v>
      </c>
      <c r="F96" s="2487" t="s">
        <v>9724</v>
      </c>
      <c r="G96" s="2631" t="s">
        <v>9631</v>
      </c>
      <c r="H96" s="2631" t="s">
        <v>9631</v>
      </c>
      <c r="I96" s="2854"/>
      <c r="J96" s="2766">
        <v>45362</v>
      </c>
      <c r="K96" s="2766">
        <v>45362</v>
      </c>
      <c r="L96" s="2766">
        <v>0</v>
      </c>
      <c r="M96" s="2766">
        <v>309569</v>
      </c>
      <c r="N96" s="2963">
        <v>45889</v>
      </c>
      <c r="O96" s="2530">
        <f t="shared" si="2"/>
        <v>355458</v>
      </c>
      <c r="P96" s="2960" t="str">
        <f t="shared" si="3"/>
        <v>Dynasty Power Inc. various signatories various signatories SFP SA 1013</v>
      </c>
      <c r="Q96" s="2953"/>
    </row>
    <row r="97" spans="1:17" ht="16.7" customHeight="1" x14ac:dyDescent="0.2">
      <c r="A97" s="2749">
        <v>34.055</v>
      </c>
      <c r="B97" s="2512" t="s">
        <v>9106</v>
      </c>
      <c r="C97" s="2512"/>
      <c r="D97" s="2512"/>
      <c r="E97" s="2966" t="s">
        <v>196</v>
      </c>
      <c r="F97" s="2487" t="s">
        <v>9724</v>
      </c>
      <c r="G97" s="2631" t="s">
        <v>9631</v>
      </c>
      <c r="H97" s="2631" t="s">
        <v>9631</v>
      </c>
      <c r="I97" s="2854"/>
      <c r="J97" s="2766">
        <v>14667</v>
      </c>
      <c r="K97" s="2766">
        <v>14667</v>
      </c>
      <c r="L97" s="2766">
        <v>0</v>
      </c>
      <c r="M97" s="2766">
        <v>0</v>
      </c>
      <c r="N97" s="2962">
        <v>161949</v>
      </c>
      <c r="O97" s="2530">
        <f t="shared" si="2"/>
        <v>161949</v>
      </c>
      <c r="P97" s="2960" t="str">
        <f t="shared" si="3"/>
        <v>Dynasty Power Inc.   AD SA 1013</v>
      </c>
      <c r="Q97" s="2953"/>
    </row>
    <row r="98" spans="1:17" ht="16.7" customHeight="1" x14ac:dyDescent="0.2">
      <c r="A98" s="2749">
        <v>34.055999999999997</v>
      </c>
      <c r="B98" s="2512" t="s">
        <v>9109</v>
      </c>
      <c r="C98" s="2512" t="s">
        <v>9628</v>
      </c>
      <c r="D98" s="2512" t="s">
        <v>9628</v>
      </c>
      <c r="E98" s="2489" t="s">
        <v>9629</v>
      </c>
      <c r="F98" s="2487" t="s">
        <v>9725</v>
      </c>
      <c r="G98" s="2512" t="s">
        <v>9631</v>
      </c>
      <c r="H98" s="2631" t="s">
        <v>9631</v>
      </c>
      <c r="I98" s="2854"/>
      <c r="J98" s="2766">
        <v>101525</v>
      </c>
      <c r="K98" s="2766">
        <v>101525</v>
      </c>
      <c r="L98" s="2766">
        <v>0</v>
      </c>
      <c r="M98" s="2766">
        <v>631842</v>
      </c>
      <c r="N98" s="2963">
        <v>39644</v>
      </c>
      <c r="O98" s="2530">
        <f t="shared" si="2"/>
        <v>671486</v>
      </c>
      <c r="P98" s="2960" t="str">
        <f t="shared" si="3"/>
        <v>Energy Keepers, Inc. various signatories various signatories NF SA 814</v>
      </c>
      <c r="Q98" s="2953"/>
    </row>
    <row r="99" spans="1:17" ht="16.7" customHeight="1" x14ac:dyDescent="0.2">
      <c r="A99" s="2749">
        <v>34.057000000000002</v>
      </c>
      <c r="B99" s="2512" t="s">
        <v>9109</v>
      </c>
      <c r="C99" s="2512" t="s">
        <v>9628</v>
      </c>
      <c r="D99" s="2512" t="s">
        <v>9628</v>
      </c>
      <c r="E99" s="2489" t="s">
        <v>9632</v>
      </c>
      <c r="F99" s="2487" t="s">
        <v>9726</v>
      </c>
      <c r="G99" s="2512" t="s">
        <v>9631</v>
      </c>
      <c r="H99" s="2631" t="s">
        <v>9631</v>
      </c>
      <c r="I99" s="2854"/>
      <c r="J99" s="2766">
        <v>3108</v>
      </c>
      <c r="K99" s="2766">
        <v>3108</v>
      </c>
      <c r="L99" s="2766">
        <v>0</v>
      </c>
      <c r="M99" s="2766">
        <v>237136</v>
      </c>
      <c r="N99" s="2599">
        <v>15037</v>
      </c>
      <c r="O99" s="2530">
        <f t="shared" si="2"/>
        <v>252173</v>
      </c>
      <c r="P99" s="2960" t="str">
        <f t="shared" si="3"/>
        <v>Energy Keepers, Inc. various signatories various signatories SFP SA 815</v>
      </c>
      <c r="Q99" s="2953"/>
    </row>
    <row r="100" spans="1:17" ht="16.7" customHeight="1" x14ac:dyDescent="0.2">
      <c r="A100" s="2749">
        <v>34.058</v>
      </c>
      <c r="B100" s="2512" t="s">
        <v>9727</v>
      </c>
      <c r="C100" s="2512" t="s">
        <v>9728</v>
      </c>
      <c r="D100" s="2512" t="s">
        <v>9628</v>
      </c>
      <c r="E100" s="2947" t="s">
        <v>9623</v>
      </c>
      <c r="F100" s="2487" t="s">
        <v>9729</v>
      </c>
      <c r="G100" s="2631" t="s">
        <v>9631</v>
      </c>
      <c r="H100" s="2631" t="s">
        <v>9631</v>
      </c>
      <c r="I100" s="2766">
        <v>10</v>
      </c>
      <c r="J100" s="2766">
        <v>34781</v>
      </c>
      <c r="K100" s="2766">
        <v>34781</v>
      </c>
      <c r="L100" s="2766">
        <v>354869</v>
      </c>
      <c r="M100" s="2766">
        <v>0</v>
      </c>
      <c r="N100" s="2959">
        <v>62563</v>
      </c>
      <c r="O100" s="2530">
        <f t="shared" si="2"/>
        <v>417432</v>
      </c>
      <c r="P100" s="2960" t="str">
        <f t="shared" si="3"/>
        <v>Evergreen Biopower LLC NextEra Energy Resources, LLC various signatories LFP SA 874</v>
      </c>
      <c r="Q100" s="2953"/>
    </row>
    <row r="101" spans="1:17" ht="16.7" customHeight="1" x14ac:dyDescent="0.2">
      <c r="A101" s="2749">
        <v>34.058999999999997</v>
      </c>
      <c r="B101" s="2512" t="s">
        <v>9727</v>
      </c>
      <c r="C101" s="2512" t="s">
        <v>9728</v>
      </c>
      <c r="D101" s="2512" t="s">
        <v>9129</v>
      </c>
      <c r="E101" s="2947" t="s">
        <v>196</v>
      </c>
      <c r="F101" s="2487" t="s">
        <v>9729</v>
      </c>
      <c r="G101" s="2631" t="s">
        <v>9631</v>
      </c>
      <c r="H101" s="2631" t="s">
        <v>9631</v>
      </c>
      <c r="I101" s="2766">
        <v>10</v>
      </c>
      <c r="J101" s="2766">
        <v>4333</v>
      </c>
      <c r="K101" s="2766">
        <v>4333</v>
      </c>
      <c r="L101" s="2766">
        <v>0</v>
      </c>
      <c r="M101" s="2766">
        <v>0</v>
      </c>
      <c r="N101" s="2962">
        <v>21242</v>
      </c>
      <c r="O101" s="2530">
        <f t="shared" si="2"/>
        <v>21242</v>
      </c>
      <c r="P101" s="2960" t="str">
        <f t="shared" si="3"/>
        <v>Evergreen Biopower LLC NextEra Energy Resources, LLC Public Utility District No. 2 of Grant County AD SA 874</v>
      </c>
      <c r="Q101" s="2953"/>
    </row>
    <row r="102" spans="1:17" ht="16.7" customHeight="1" x14ac:dyDescent="0.2">
      <c r="A102" s="2749">
        <v>34.06</v>
      </c>
      <c r="B102" s="2512" t="s">
        <v>9730</v>
      </c>
      <c r="C102" s="2512" t="s">
        <v>9091</v>
      </c>
      <c r="D102" s="2512" t="s">
        <v>9642</v>
      </c>
      <c r="E102" s="2489" t="s">
        <v>9643</v>
      </c>
      <c r="F102" s="2487" t="s">
        <v>9731</v>
      </c>
      <c r="G102" s="2631" t="s">
        <v>9091</v>
      </c>
      <c r="H102" s="2631" t="s">
        <v>9631</v>
      </c>
      <c r="I102" s="2766">
        <v>1</v>
      </c>
      <c r="J102" s="2766">
        <v>3969</v>
      </c>
      <c r="K102" s="2766">
        <v>3969</v>
      </c>
      <c r="L102" s="2766">
        <v>21233</v>
      </c>
      <c r="M102" s="2766">
        <v>0</v>
      </c>
      <c r="N102" s="2965">
        <v>3461</v>
      </c>
      <c r="O102" s="2530">
        <f t="shared" si="2"/>
        <v>24694</v>
      </c>
      <c r="P102" s="2960" t="str">
        <f t="shared" si="3"/>
        <v>Exelon Generation Company, LLC Bonneville Power Administration Oregon Direct Access FNO SA 943</v>
      </c>
      <c r="Q102" s="2953"/>
    </row>
    <row r="103" spans="1:17" ht="16.7" customHeight="1" x14ac:dyDescent="0.2">
      <c r="A103" s="2749">
        <v>34.061</v>
      </c>
      <c r="B103" s="2512" t="s">
        <v>9730</v>
      </c>
      <c r="C103" s="2512" t="s">
        <v>9091</v>
      </c>
      <c r="D103" s="2512" t="s">
        <v>9642</v>
      </c>
      <c r="E103" s="2947" t="s">
        <v>196</v>
      </c>
      <c r="F103" s="2487" t="s">
        <v>9731</v>
      </c>
      <c r="G103" s="2631" t="s">
        <v>9091</v>
      </c>
      <c r="H103" s="2631" t="s">
        <v>9631</v>
      </c>
      <c r="I103" s="2766">
        <v>1</v>
      </c>
      <c r="J103" s="2766">
        <v>415</v>
      </c>
      <c r="K103" s="2766">
        <v>415</v>
      </c>
      <c r="L103" s="2766">
        <v>0</v>
      </c>
      <c r="M103" s="2766">
        <v>0</v>
      </c>
      <c r="N103" s="2962">
        <v>-300</v>
      </c>
      <c r="O103" s="2530">
        <f t="shared" si="2"/>
        <v>-300</v>
      </c>
      <c r="P103" s="2960" t="str">
        <f t="shared" si="3"/>
        <v>Exelon Generation Company, LLC Bonneville Power Administration Oregon Direct Access AD SA 943</v>
      </c>
      <c r="Q103" s="2953"/>
    </row>
    <row r="104" spans="1:17" ht="16.7" customHeight="1" x14ac:dyDescent="0.2">
      <c r="A104" s="2749">
        <v>34.061999999999998</v>
      </c>
      <c r="B104" s="2512" t="s">
        <v>9730</v>
      </c>
      <c r="C104" s="2512" t="s">
        <v>9628</v>
      </c>
      <c r="D104" s="2512" t="s">
        <v>9628</v>
      </c>
      <c r="E104" s="2489" t="s">
        <v>9629</v>
      </c>
      <c r="F104" s="2487" t="s">
        <v>9732</v>
      </c>
      <c r="G104" s="2631" t="s">
        <v>9631</v>
      </c>
      <c r="H104" s="2631" t="s">
        <v>9631</v>
      </c>
      <c r="I104" s="2854"/>
      <c r="J104" s="2766">
        <v>90006</v>
      </c>
      <c r="K104" s="2766">
        <v>90006</v>
      </c>
      <c r="L104" s="2766">
        <v>0</v>
      </c>
      <c r="M104" s="2766">
        <v>1866263</v>
      </c>
      <c r="N104" s="2971">
        <v>3397141</v>
      </c>
      <c r="O104" s="2530">
        <f t="shared" si="2"/>
        <v>5263404</v>
      </c>
      <c r="P104" s="2960" t="str">
        <f t="shared" si="3"/>
        <v>Exelon Generation Company, LLC various signatories various signatories NF SA 759</v>
      </c>
      <c r="Q104" s="2953"/>
    </row>
    <row r="105" spans="1:17" ht="16.7" customHeight="1" x14ac:dyDescent="0.2">
      <c r="A105" s="2749">
        <v>34.063000000000002</v>
      </c>
      <c r="B105" s="2512" t="s">
        <v>9730</v>
      </c>
      <c r="C105" s="2512" t="s">
        <v>9628</v>
      </c>
      <c r="D105" s="2512" t="s">
        <v>9628</v>
      </c>
      <c r="E105" s="2966" t="s">
        <v>196</v>
      </c>
      <c r="F105" s="2487" t="s">
        <v>9732</v>
      </c>
      <c r="G105" s="2631" t="s">
        <v>9631</v>
      </c>
      <c r="H105" s="2631" t="s">
        <v>9631</v>
      </c>
      <c r="I105" s="2854"/>
      <c r="J105" s="2766">
        <v>20074</v>
      </c>
      <c r="K105" s="2766">
        <v>20074</v>
      </c>
      <c r="L105" s="2766">
        <v>0</v>
      </c>
      <c r="M105" s="2766">
        <v>0</v>
      </c>
      <c r="N105" s="2962">
        <v>962317</v>
      </c>
      <c r="O105" s="2530">
        <f t="shared" si="2"/>
        <v>962317</v>
      </c>
      <c r="P105" s="2960" t="str">
        <f t="shared" si="3"/>
        <v>Exelon Generation Company, LLC various signatories various signatories AD SA 759</v>
      </c>
      <c r="Q105" s="2953"/>
    </row>
    <row r="106" spans="1:17" ht="16.7" customHeight="1" x14ac:dyDescent="0.2">
      <c r="A106" s="2749">
        <v>34.064</v>
      </c>
      <c r="B106" s="2512" t="s">
        <v>9730</v>
      </c>
      <c r="C106" s="2512" t="s">
        <v>9628</v>
      </c>
      <c r="D106" s="2512" t="s">
        <v>9628</v>
      </c>
      <c r="E106" s="2489" t="s">
        <v>9632</v>
      </c>
      <c r="F106" s="2487" t="s">
        <v>9733</v>
      </c>
      <c r="G106" s="2631" t="s">
        <v>9631</v>
      </c>
      <c r="H106" s="2631" t="s">
        <v>9631</v>
      </c>
      <c r="I106" s="2854"/>
      <c r="J106" s="2766">
        <v>161076</v>
      </c>
      <c r="K106" s="2766">
        <v>161076</v>
      </c>
      <c r="L106" s="2766">
        <v>0</v>
      </c>
      <c r="M106" s="2766">
        <v>599263</v>
      </c>
      <c r="N106" s="2963">
        <v>60306</v>
      </c>
      <c r="O106" s="2530">
        <f t="shared" si="2"/>
        <v>659569</v>
      </c>
      <c r="P106" s="2960" t="str">
        <f t="shared" si="3"/>
        <v>Exelon Generation Company, LLC various signatories various signatories SFP SA 760</v>
      </c>
      <c r="Q106" s="2953"/>
    </row>
    <row r="107" spans="1:17" ht="16.7" customHeight="1" x14ac:dyDescent="0.2">
      <c r="A107" s="2749">
        <v>34.064999999999998</v>
      </c>
      <c r="B107" s="2512" t="s">
        <v>9730</v>
      </c>
      <c r="C107" s="2512" t="s">
        <v>9628</v>
      </c>
      <c r="D107" s="2512" t="s">
        <v>9628</v>
      </c>
      <c r="E107" s="2966" t="s">
        <v>196</v>
      </c>
      <c r="F107" s="2487" t="s">
        <v>9733</v>
      </c>
      <c r="G107" s="2631" t="s">
        <v>9631</v>
      </c>
      <c r="H107" s="2631" t="s">
        <v>9631</v>
      </c>
      <c r="I107" s="2854"/>
      <c r="J107" s="2766">
        <v>3557</v>
      </c>
      <c r="K107" s="2766">
        <v>3557</v>
      </c>
      <c r="L107" s="2766">
        <v>0</v>
      </c>
      <c r="M107" s="2766">
        <v>0</v>
      </c>
      <c r="N107" s="2962">
        <v>32662</v>
      </c>
      <c r="O107" s="2530">
        <f t="shared" si="2"/>
        <v>32662</v>
      </c>
      <c r="P107" s="2960" t="str">
        <f t="shared" si="3"/>
        <v>Exelon Generation Company, LLC various signatories various signatories AD SA 760</v>
      </c>
      <c r="Q107" s="2953"/>
    </row>
    <row r="108" spans="1:17" ht="16.7" customHeight="1" x14ac:dyDescent="0.2">
      <c r="A108" s="2749">
        <v>34.066000000000003</v>
      </c>
      <c r="B108" s="2512" t="s">
        <v>9441</v>
      </c>
      <c r="C108" s="2512" t="s">
        <v>9734</v>
      </c>
      <c r="D108" s="2512" t="s">
        <v>9113</v>
      </c>
      <c r="E108" s="2947" t="s">
        <v>193</v>
      </c>
      <c r="F108" s="2487" t="s">
        <v>9735</v>
      </c>
      <c r="G108" s="2631" t="s">
        <v>9736</v>
      </c>
      <c r="H108" s="2631" t="s">
        <v>9695</v>
      </c>
      <c r="I108" s="2854"/>
      <c r="J108" s="2854"/>
      <c r="K108" s="2766">
        <v>0</v>
      </c>
      <c r="L108" s="2766">
        <v>0</v>
      </c>
      <c r="M108" s="2766">
        <v>0</v>
      </c>
      <c r="N108" s="2599">
        <v>138699</v>
      </c>
      <c r="O108" s="2530">
        <f t="shared" si="2"/>
        <v>138699</v>
      </c>
      <c r="P108" s="2960" t="str">
        <f t="shared" si="3"/>
        <v>Fall River Rural Electric Cooperative, Inc. Marysville Hydro Partners Idaho Power Company OS RS 322</v>
      </c>
      <c r="Q108" s="2953"/>
    </row>
    <row r="109" spans="1:17" ht="16.7" customHeight="1" x14ac:dyDescent="0.2">
      <c r="A109" s="2749">
        <v>34.067</v>
      </c>
      <c r="B109" s="2512" t="s">
        <v>9441</v>
      </c>
      <c r="C109" s="2512" t="s">
        <v>9734</v>
      </c>
      <c r="D109" s="2512" t="s">
        <v>9113</v>
      </c>
      <c r="E109" s="2947" t="s">
        <v>196</v>
      </c>
      <c r="F109" s="2487" t="s">
        <v>9735</v>
      </c>
      <c r="G109" s="2631" t="s">
        <v>9736</v>
      </c>
      <c r="H109" s="2631" t="s">
        <v>9695</v>
      </c>
      <c r="I109" s="2854"/>
      <c r="J109" s="2766">
        <v>0</v>
      </c>
      <c r="K109" s="2766">
        <v>0</v>
      </c>
      <c r="L109" s="2766">
        <v>0</v>
      </c>
      <c r="M109" s="2766">
        <v>0</v>
      </c>
      <c r="N109" s="2962">
        <v>12609</v>
      </c>
      <c r="O109" s="2530">
        <f t="shared" si="2"/>
        <v>12609</v>
      </c>
      <c r="P109" s="2960" t="str">
        <f t="shared" si="3"/>
        <v>Fall River Rural Electric Cooperative, Inc. Marysville Hydro Partners Idaho Power Company AD RS 322</v>
      </c>
      <c r="Q109" s="2953"/>
    </row>
    <row r="110" spans="1:17" ht="16.7" customHeight="1" x14ac:dyDescent="0.2">
      <c r="A110" s="2749">
        <v>34.067999999999998</v>
      </c>
      <c r="B110" s="2512" t="s">
        <v>9737</v>
      </c>
      <c r="C110" s="2512" t="s">
        <v>9738</v>
      </c>
      <c r="D110" s="2512" t="s">
        <v>9739</v>
      </c>
      <c r="E110" s="2947" t="s">
        <v>9623</v>
      </c>
      <c r="F110" s="2487" t="s">
        <v>9740</v>
      </c>
      <c r="G110" s="2631" t="s">
        <v>9737</v>
      </c>
      <c r="H110" s="2631" t="s">
        <v>9091</v>
      </c>
      <c r="I110" s="2766">
        <v>4</v>
      </c>
      <c r="J110" s="2766">
        <v>13387</v>
      </c>
      <c r="K110" s="2766">
        <v>13387</v>
      </c>
      <c r="L110" s="2766">
        <v>145189</v>
      </c>
      <c r="M110" s="2766">
        <v>0</v>
      </c>
      <c r="N110" s="2963">
        <v>21673</v>
      </c>
      <c r="O110" s="2530">
        <f t="shared" si="2"/>
        <v>166862</v>
      </c>
      <c r="P110" s="2960" t="str">
        <f t="shared" si="3"/>
        <v>Falls Creek H.P. Limited Partnership Lakeview Airport 10 Portland General Electric LFP SA 868</v>
      </c>
      <c r="Q110" s="2953"/>
    </row>
    <row r="111" spans="1:17" ht="16.7" customHeight="1" x14ac:dyDescent="0.2">
      <c r="A111" s="2749">
        <v>34.069000000000003</v>
      </c>
      <c r="B111" s="2512" t="s">
        <v>9737</v>
      </c>
      <c r="C111" s="2512" t="s">
        <v>9738</v>
      </c>
      <c r="D111" s="2512" t="s">
        <v>9739</v>
      </c>
      <c r="E111" s="2947" t="s">
        <v>196</v>
      </c>
      <c r="F111" s="2487" t="s">
        <v>9740</v>
      </c>
      <c r="G111" s="2631" t="s">
        <v>9737</v>
      </c>
      <c r="H111" s="2631" t="s">
        <v>9091</v>
      </c>
      <c r="I111" s="2766">
        <v>3</v>
      </c>
      <c r="J111" s="2766">
        <v>1302</v>
      </c>
      <c r="K111" s="2766">
        <v>1302</v>
      </c>
      <c r="L111" s="2766">
        <v>0</v>
      </c>
      <c r="M111" s="2766">
        <v>0</v>
      </c>
      <c r="N111" s="2962">
        <v>11591</v>
      </c>
      <c r="O111" s="2530">
        <f t="shared" si="2"/>
        <v>11591</v>
      </c>
      <c r="P111" s="2960" t="str">
        <f t="shared" si="3"/>
        <v>Falls Creek H.P. Limited Partnership Lakeview Airport 10 Portland General Electric AD SA 868</v>
      </c>
      <c r="Q111" s="2953"/>
    </row>
    <row r="112" spans="1:17" ht="16.7" customHeight="1" x14ac:dyDescent="0.2">
      <c r="A112" s="2749">
        <v>34.07</v>
      </c>
      <c r="B112" s="2512" t="s">
        <v>9741</v>
      </c>
      <c r="C112" s="2512" t="s">
        <v>9741</v>
      </c>
      <c r="D112" s="2512" t="s">
        <v>9739</v>
      </c>
      <c r="E112" s="2947" t="s">
        <v>9623</v>
      </c>
      <c r="F112" s="2487" t="s">
        <v>9742</v>
      </c>
      <c r="G112" s="2631" t="s">
        <v>9743</v>
      </c>
      <c r="H112" s="2631" t="s">
        <v>9744</v>
      </c>
      <c r="I112" s="2766">
        <v>10</v>
      </c>
      <c r="J112" s="2766">
        <v>24852</v>
      </c>
      <c r="K112" s="2766">
        <v>24852</v>
      </c>
      <c r="L112" s="2766">
        <v>354869</v>
      </c>
      <c r="M112" s="2766">
        <v>0</v>
      </c>
      <c r="N112" s="2959">
        <v>81174</v>
      </c>
      <c r="O112" s="2530">
        <f t="shared" si="2"/>
        <v>436043</v>
      </c>
      <c r="P112" s="2960" t="str">
        <f t="shared" si="3"/>
        <v>Garrett Solar LLC  Garrett Solar LLC  Portland General Electric LFP SA 966</v>
      </c>
      <c r="Q112" s="2953"/>
    </row>
    <row r="113" spans="1:17" ht="16.7" customHeight="1" x14ac:dyDescent="0.2">
      <c r="A113" s="2749">
        <v>34.070999999999998</v>
      </c>
      <c r="B113" s="2512" t="s">
        <v>9745</v>
      </c>
      <c r="C113" s="2512" t="s">
        <v>9745</v>
      </c>
      <c r="D113" s="2512" t="s">
        <v>9739</v>
      </c>
      <c r="E113" s="2947" t="s">
        <v>196</v>
      </c>
      <c r="F113" s="2487" t="s">
        <v>9742</v>
      </c>
      <c r="G113" s="2631" t="s">
        <v>9743</v>
      </c>
      <c r="H113" s="2631" t="s">
        <v>9744</v>
      </c>
      <c r="I113" s="2766">
        <v>10</v>
      </c>
      <c r="J113" s="2766">
        <v>915</v>
      </c>
      <c r="K113" s="2766">
        <v>915</v>
      </c>
      <c r="L113" s="2766">
        <v>0</v>
      </c>
      <c r="M113" s="2766">
        <v>0</v>
      </c>
      <c r="N113" s="2962">
        <v>22086</v>
      </c>
      <c r="O113" s="2530">
        <f t="shared" si="2"/>
        <v>22086</v>
      </c>
      <c r="P113" s="2960" t="str">
        <f t="shared" si="3"/>
        <v>Garrett Solar LLC Garrett Solar LLC Portland General Electric AD SA 966</v>
      </c>
      <c r="Q113" s="2953"/>
    </row>
    <row r="114" spans="1:17" ht="16.7" customHeight="1" x14ac:dyDescent="0.2">
      <c r="A114" s="2749">
        <v>34.072000000000003</v>
      </c>
      <c r="B114" s="2512" t="s">
        <v>9746</v>
      </c>
      <c r="C114" s="2512" t="s">
        <v>9628</v>
      </c>
      <c r="D114" s="2512" t="s">
        <v>9628</v>
      </c>
      <c r="E114" s="2489" t="s">
        <v>9629</v>
      </c>
      <c r="F114" s="2487" t="s">
        <v>9747</v>
      </c>
      <c r="G114" s="2631" t="s">
        <v>9631</v>
      </c>
      <c r="H114" s="2631" t="s">
        <v>9631</v>
      </c>
      <c r="I114" s="2854"/>
      <c r="J114" s="2766">
        <v>299193</v>
      </c>
      <c r="K114" s="2766">
        <v>299193</v>
      </c>
      <c r="L114" s="2766">
        <v>0</v>
      </c>
      <c r="M114" s="2766">
        <v>2603853</v>
      </c>
      <c r="N114" s="2963">
        <v>163376</v>
      </c>
      <c r="O114" s="2530">
        <f t="shared" si="2"/>
        <v>2767229</v>
      </c>
      <c r="P114" s="2960" t="str">
        <f t="shared" si="3"/>
        <v>Guzman Energy LLC various signatories various signatories NF SA 786</v>
      </c>
      <c r="Q114" s="2953"/>
    </row>
    <row r="115" spans="1:17" ht="16.7" customHeight="1" x14ac:dyDescent="0.2">
      <c r="A115" s="2749">
        <v>34.073</v>
      </c>
      <c r="B115" s="2512" t="s">
        <v>9746</v>
      </c>
      <c r="C115" s="2512" t="s">
        <v>9628</v>
      </c>
      <c r="D115" s="2512" t="s">
        <v>9628</v>
      </c>
      <c r="E115" s="2966" t="s">
        <v>196</v>
      </c>
      <c r="F115" s="2487" t="s">
        <v>9747</v>
      </c>
      <c r="G115" s="2631" t="s">
        <v>9631</v>
      </c>
      <c r="H115" s="2631" t="s">
        <v>9631</v>
      </c>
      <c r="I115" s="2854"/>
      <c r="J115" s="2766">
        <v>33643</v>
      </c>
      <c r="K115" s="2766">
        <v>33643</v>
      </c>
      <c r="L115" s="2766">
        <v>0</v>
      </c>
      <c r="M115" s="2766">
        <v>0</v>
      </c>
      <c r="N115" s="2962">
        <v>299529</v>
      </c>
      <c r="O115" s="2530">
        <f t="shared" si="2"/>
        <v>299529</v>
      </c>
      <c r="P115" s="2960" t="str">
        <f t="shared" si="3"/>
        <v>Guzman Energy LLC various signatories various signatories AD SA 786</v>
      </c>
      <c r="Q115" s="2953"/>
    </row>
    <row r="116" spans="1:17" ht="16.7" customHeight="1" x14ac:dyDescent="0.2">
      <c r="A116" s="2749">
        <v>34.073999999999998</v>
      </c>
      <c r="B116" s="2512" t="s">
        <v>9746</v>
      </c>
      <c r="C116" s="2512" t="s">
        <v>9628</v>
      </c>
      <c r="D116" s="2512" t="s">
        <v>9628</v>
      </c>
      <c r="E116" s="2489" t="s">
        <v>9632</v>
      </c>
      <c r="F116" s="2487" t="s">
        <v>9748</v>
      </c>
      <c r="G116" s="2631" t="s">
        <v>9631</v>
      </c>
      <c r="H116" s="2631" t="s">
        <v>9631</v>
      </c>
      <c r="I116" s="2854"/>
      <c r="J116" s="2766">
        <v>49244</v>
      </c>
      <c r="K116" s="2766">
        <v>49244</v>
      </c>
      <c r="L116" s="2766">
        <v>0</v>
      </c>
      <c r="M116" s="2766">
        <v>396711</v>
      </c>
      <c r="N116" s="2963">
        <v>26300</v>
      </c>
      <c r="O116" s="2530">
        <f t="shared" si="2"/>
        <v>423011</v>
      </c>
      <c r="P116" s="2960" t="str">
        <f t="shared" si="3"/>
        <v>Guzman Energy LLC various signatories various signatories SFP SA 785</v>
      </c>
      <c r="Q116" s="2953"/>
    </row>
    <row r="117" spans="1:17" ht="16.7" customHeight="1" x14ac:dyDescent="0.2">
      <c r="A117" s="2749">
        <v>34.075000000000003</v>
      </c>
      <c r="B117" s="2512" t="s">
        <v>9746</v>
      </c>
      <c r="C117" s="2512" t="s">
        <v>9628</v>
      </c>
      <c r="D117" s="2512" t="s">
        <v>9628</v>
      </c>
      <c r="E117" s="2966" t="s">
        <v>196</v>
      </c>
      <c r="F117" s="2487" t="s">
        <v>9748</v>
      </c>
      <c r="G117" s="2631" t="s">
        <v>9631</v>
      </c>
      <c r="H117" s="2631" t="s">
        <v>9631</v>
      </c>
      <c r="I117" s="2854"/>
      <c r="J117" s="2766">
        <v>25</v>
      </c>
      <c r="K117" s="2766">
        <v>25</v>
      </c>
      <c r="L117" s="2766">
        <v>0</v>
      </c>
      <c r="M117" s="2766">
        <v>0</v>
      </c>
      <c r="N117" s="2962">
        <v>414</v>
      </c>
      <c r="O117" s="2530">
        <f t="shared" si="2"/>
        <v>414</v>
      </c>
      <c r="P117" s="2960" t="str">
        <f t="shared" si="3"/>
        <v>Guzman Energy LLC various signatories various signatories AD SA 785</v>
      </c>
      <c r="Q117" s="2953"/>
    </row>
    <row r="118" spans="1:17" ht="16.7" customHeight="1" x14ac:dyDescent="0.2">
      <c r="A118" s="2749">
        <v>34.076000000000001</v>
      </c>
      <c r="B118" s="2512" t="s">
        <v>9113</v>
      </c>
      <c r="C118" s="2512" t="s">
        <v>9640</v>
      </c>
      <c r="D118" s="2512" t="s">
        <v>9120</v>
      </c>
      <c r="E118" s="2947" t="s">
        <v>9623</v>
      </c>
      <c r="F118" s="2487" t="s">
        <v>9749</v>
      </c>
      <c r="G118" s="2631" t="s">
        <v>9625</v>
      </c>
      <c r="H118" s="2631" t="s">
        <v>9626</v>
      </c>
      <c r="I118" s="2766">
        <v>52</v>
      </c>
      <c r="J118" s="2766">
        <v>38866</v>
      </c>
      <c r="K118" s="2766">
        <v>38866</v>
      </c>
      <c r="L118" s="2766">
        <v>806119</v>
      </c>
      <c r="M118" s="2766">
        <v>0</v>
      </c>
      <c r="N118" s="2963">
        <v>51126</v>
      </c>
      <c r="O118" s="2530">
        <f t="shared" si="2"/>
        <v>857245</v>
      </c>
      <c r="P118" s="2960" t="str">
        <f t="shared" si="3"/>
        <v xml:space="preserve">Idaho Power Company Exxon Mobil Nevada Power Company LFP SA 212 </v>
      </c>
      <c r="Q118" s="2953"/>
    </row>
    <row r="119" spans="1:17" ht="16.7" customHeight="1" x14ac:dyDescent="0.2">
      <c r="A119" s="2749">
        <v>34.076999999999998</v>
      </c>
      <c r="B119" s="2512" t="s">
        <v>9113</v>
      </c>
      <c r="C119" s="2512" t="s">
        <v>9640</v>
      </c>
      <c r="D119" s="2512" t="s">
        <v>9120</v>
      </c>
      <c r="E119" s="2947" t="s">
        <v>196</v>
      </c>
      <c r="F119" s="2487" t="s">
        <v>9749</v>
      </c>
      <c r="G119" s="2631" t="s">
        <v>9625</v>
      </c>
      <c r="H119" s="2631" t="s">
        <v>9626</v>
      </c>
      <c r="I119" s="2854"/>
      <c r="J119" s="2766">
        <v>0</v>
      </c>
      <c r="K119" s="2766">
        <v>0</v>
      </c>
      <c r="L119" s="2766">
        <v>0</v>
      </c>
      <c r="M119" s="2766">
        <v>0</v>
      </c>
      <c r="N119" s="2962">
        <v>-32914</v>
      </c>
      <c r="O119" s="2530">
        <f t="shared" si="2"/>
        <v>-32914</v>
      </c>
      <c r="P119" s="2960" t="str">
        <f t="shared" si="3"/>
        <v xml:space="preserve">Idaho Power Company Exxon Mobil Nevada Power Company AD SA 212 </v>
      </c>
      <c r="Q119" s="2953"/>
    </row>
    <row r="120" spans="1:17" ht="16.7" customHeight="1" x14ac:dyDescent="0.2">
      <c r="A120" s="2749">
        <v>34.078000000000003</v>
      </c>
      <c r="B120" s="2512" t="s">
        <v>9113</v>
      </c>
      <c r="C120" s="2512" t="s">
        <v>9640</v>
      </c>
      <c r="D120" s="2512" t="s">
        <v>9120</v>
      </c>
      <c r="E120" s="2947" t="s">
        <v>9623</v>
      </c>
      <c r="F120" s="2487" t="s">
        <v>9750</v>
      </c>
      <c r="G120" s="2631" t="s">
        <v>9625</v>
      </c>
      <c r="H120" s="2631" t="s">
        <v>9626</v>
      </c>
      <c r="I120" s="2766">
        <v>82</v>
      </c>
      <c r="J120" s="2854"/>
      <c r="K120" s="2766">
        <v>0</v>
      </c>
      <c r="L120" s="2766">
        <v>1700334</v>
      </c>
      <c r="M120" s="2766">
        <v>0</v>
      </c>
      <c r="N120" s="2963">
        <v>107047</v>
      </c>
      <c r="O120" s="2530">
        <f t="shared" si="2"/>
        <v>1807381</v>
      </c>
      <c r="P120" s="2960" t="str">
        <f t="shared" si="3"/>
        <v>Idaho Power Company Exxon Mobil Nevada Power Company LFP SA 1023</v>
      </c>
      <c r="Q120" s="2953"/>
    </row>
    <row r="121" spans="1:17" ht="16.7" customHeight="1" x14ac:dyDescent="0.2">
      <c r="A121" s="2749">
        <v>34.079000000000001</v>
      </c>
      <c r="B121" s="2512"/>
      <c r="C121" s="2512"/>
      <c r="D121" s="2512"/>
      <c r="E121" s="2947"/>
      <c r="F121" s="2487"/>
      <c r="G121" s="2631"/>
      <c r="H121" s="2631"/>
      <c r="I121" s="2854"/>
      <c r="J121" s="2854"/>
      <c r="K121" s="2854"/>
      <c r="L121" s="2854"/>
      <c r="M121" s="2854"/>
      <c r="N121" s="2854"/>
      <c r="O121" s="2530">
        <f t="shared" si="2"/>
        <v>0</v>
      </c>
      <c r="P121" s="2960" t="str">
        <f t="shared" si="3"/>
        <v xml:space="preserve">    </v>
      </c>
      <c r="Q121" s="2953"/>
    </row>
    <row r="122" spans="1:17" ht="16.7" customHeight="1" x14ac:dyDescent="0.2">
      <c r="A122" s="2749">
        <v>34.08</v>
      </c>
      <c r="B122" s="2512" t="s">
        <v>9113</v>
      </c>
      <c r="C122" s="2512" t="s">
        <v>9628</v>
      </c>
      <c r="D122" s="2512" t="s">
        <v>9628</v>
      </c>
      <c r="E122" s="2489" t="s">
        <v>9629</v>
      </c>
      <c r="F122" s="2487" t="s">
        <v>9751</v>
      </c>
      <c r="G122" s="2631" t="s">
        <v>9631</v>
      </c>
      <c r="H122" s="2631" t="s">
        <v>9631</v>
      </c>
      <c r="I122" s="2854"/>
      <c r="J122" s="2766">
        <v>675</v>
      </c>
      <c r="K122" s="2766">
        <v>675</v>
      </c>
      <c r="L122" s="2766">
        <v>0</v>
      </c>
      <c r="M122" s="2766">
        <v>84667</v>
      </c>
      <c r="N122" s="2963">
        <v>5356</v>
      </c>
      <c r="O122" s="2530">
        <f t="shared" si="2"/>
        <v>90023</v>
      </c>
      <c r="P122" s="2960" t="str">
        <f t="shared" si="3"/>
        <v>Idaho Power Company various signatories various signatories NF SA 14</v>
      </c>
      <c r="Q122" s="2953"/>
    </row>
    <row r="123" spans="1:17" ht="16.7" customHeight="1" x14ac:dyDescent="0.2">
      <c r="A123" s="2749">
        <v>34.081000000000003</v>
      </c>
      <c r="B123" s="2512" t="s">
        <v>9113</v>
      </c>
      <c r="C123" s="2512" t="s">
        <v>9628</v>
      </c>
      <c r="D123" s="2512" t="s">
        <v>9628</v>
      </c>
      <c r="E123" s="2966" t="s">
        <v>196</v>
      </c>
      <c r="F123" s="2487" t="s">
        <v>9751</v>
      </c>
      <c r="G123" s="2631" t="s">
        <v>9631</v>
      </c>
      <c r="H123" s="2631" t="s">
        <v>9631</v>
      </c>
      <c r="I123" s="2766">
        <v>82</v>
      </c>
      <c r="J123" s="2766">
        <v>8845</v>
      </c>
      <c r="K123" s="2766">
        <v>8845</v>
      </c>
      <c r="L123" s="2766">
        <v>0</v>
      </c>
      <c r="M123" s="2766">
        <v>0</v>
      </c>
      <c r="N123" s="2962">
        <v>73537</v>
      </c>
      <c r="O123" s="2530">
        <f t="shared" si="2"/>
        <v>73537</v>
      </c>
      <c r="P123" s="2960" t="str">
        <f t="shared" si="3"/>
        <v>Idaho Power Company various signatories various signatories AD SA 14</v>
      </c>
      <c r="Q123" s="2953"/>
    </row>
    <row r="124" spans="1:17" ht="16.7" customHeight="1" x14ac:dyDescent="0.2">
      <c r="A124" s="2749">
        <v>34.082000000000001</v>
      </c>
      <c r="B124" s="2512"/>
      <c r="C124" s="2512"/>
      <c r="D124" s="2512"/>
      <c r="E124" s="2489"/>
      <c r="F124" s="2487"/>
      <c r="G124" s="2631"/>
      <c r="H124" s="2631"/>
      <c r="I124" s="2854"/>
      <c r="J124" s="2854"/>
      <c r="K124" s="2854"/>
      <c r="L124" s="2854"/>
      <c r="M124" s="2854"/>
      <c r="N124" s="2854"/>
      <c r="O124" s="2530">
        <f t="shared" si="2"/>
        <v>0</v>
      </c>
      <c r="P124" s="2960" t="str">
        <f t="shared" si="3"/>
        <v xml:space="preserve">    </v>
      </c>
      <c r="Q124" s="2953"/>
    </row>
    <row r="125" spans="1:17" ht="16.7" customHeight="1" x14ac:dyDescent="0.2">
      <c r="A125" s="2749">
        <v>34.082999999999998</v>
      </c>
      <c r="B125" s="2512" t="s">
        <v>9752</v>
      </c>
      <c r="C125" s="2512" t="s">
        <v>9628</v>
      </c>
      <c r="D125" s="2512" t="s">
        <v>9628</v>
      </c>
      <c r="E125" s="2489" t="s">
        <v>9629</v>
      </c>
      <c r="F125" s="2487" t="s">
        <v>9753</v>
      </c>
      <c r="G125" s="2631" t="s">
        <v>9631</v>
      </c>
      <c r="H125" s="2631" t="s">
        <v>9631</v>
      </c>
      <c r="I125" s="2854"/>
      <c r="J125" s="2766">
        <v>9830</v>
      </c>
      <c r="K125" s="2766">
        <v>9830</v>
      </c>
      <c r="L125" s="2766">
        <v>0</v>
      </c>
      <c r="M125" s="2766">
        <v>12417</v>
      </c>
      <c r="N125" s="2963">
        <v>773</v>
      </c>
      <c r="O125" s="2530">
        <f t="shared" si="2"/>
        <v>13190</v>
      </c>
      <c r="P125" s="2960" t="str">
        <f t="shared" si="3"/>
        <v>Idaho Power Marketing Operations various signatories various signatories NF SA 725</v>
      </c>
      <c r="Q125" s="2953"/>
    </row>
    <row r="126" spans="1:17" ht="16.7" customHeight="1" x14ac:dyDescent="0.2">
      <c r="A126" s="2749">
        <v>34.084000000000003</v>
      </c>
      <c r="B126" s="2512" t="s">
        <v>9754</v>
      </c>
      <c r="C126" s="2512" t="s">
        <v>9628</v>
      </c>
      <c r="D126" s="2512" t="s">
        <v>9628</v>
      </c>
      <c r="E126" s="2489" t="s">
        <v>9632</v>
      </c>
      <c r="F126" s="2487" t="s">
        <v>9755</v>
      </c>
      <c r="G126" s="2631" t="s">
        <v>9631</v>
      </c>
      <c r="H126" s="2631" t="s">
        <v>9631</v>
      </c>
      <c r="I126" s="2854"/>
      <c r="J126" s="2766">
        <v>677</v>
      </c>
      <c r="K126" s="2766">
        <v>677</v>
      </c>
      <c r="L126" s="2766">
        <v>0</v>
      </c>
      <c r="M126" s="2766">
        <v>6299</v>
      </c>
      <c r="N126" s="2963">
        <v>399</v>
      </c>
      <c r="O126" s="2530">
        <f t="shared" si="2"/>
        <v>6698</v>
      </c>
      <c r="P126" s="2960" t="str">
        <f t="shared" si="3"/>
        <v xml:space="preserve">Los Angeles Department of Water &amp; Power various signatories various signatories SFP SA 143 </v>
      </c>
      <c r="Q126" s="2953"/>
    </row>
    <row r="127" spans="1:17" ht="16.7" customHeight="1" x14ac:dyDescent="0.2">
      <c r="A127" s="2749">
        <v>34.085000000000001</v>
      </c>
      <c r="B127" s="2512" t="s">
        <v>9114</v>
      </c>
      <c r="C127" s="2512" t="s">
        <v>9628</v>
      </c>
      <c r="D127" s="2512" t="s">
        <v>9628</v>
      </c>
      <c r="E127" s="2489" t="s">
        <v>9629</v>
      </c>
      <c r="F127" s="2487" t="s">
        <v>9756</v>
      </c>
      <c r="G127" s="2631" t="s">
        <v>9631</v>
      </c>
      <c r="H127" s="2631" t="s">
        <v>9631</v>
      </c>
      <c r="I127" s="2854"/>
      <c r="J127" s="2766">
        <v>127064</v>
      </c>
      <c r="K127" s="2766">
        <v>127064</v>
      </c>
      <c r="L127" s="2766">
        <v>0</v>
      </c>
      <c r="M127" s="2766">
        <v>1227003</v>
      </c>
      <c r="N127" s="2963">
        <v>77207</v>
      </c>
      <c r="O127" s="2530">
        <f t="shared" si="2"/>
        <v>1304210</v>
      </c>
      <c r="P127" s="2960" t="str">
        <f t="shared" si="3"/>
        <v>Macquarie Energy LLC various signatories various signatories NF SA 755</v>
      </c>
      <c r="Q127" s="2953"/>
    </row>
    <row r="128" spans="1:17" ht="16.7" customHeight="1" x14ac:dyDescent="0.2">
      <c r="A128" s="2749">
        <v>34.085999999999999</v>
      </c>
      <c r="B128" s="2512" t="s">
        <v>9114</v>
      </c>
      <c r="C128" s="2512" t="s">
        <v>9628</v>
      </c>
      <c r="D128" s="2512" t="s">
        <v>9628</v>
      </c>
      <c r="E128" s="2966" t="s">
        <v>196</v>
      </c>
      <c r="F128" s="2487" t="s">
        <v>9756</v>
      </c>
      <c r="G128" s="2631" t="s">
        <v>9631</v>
      </c>
      <c r="H128" s="2631" t="s">
        <v>9631</v>
      </c>
      <c r="I128" s="2854"/>
      <c r="J128" s="2766">
        <v>14837</v>
      </c>
      <c r="K128" s="2766">
        <v>14837</v>
      </c>
      <c r="L128" s="2766">
        <v>0</v>
      </c>
      <c r="M128" s="2766">
        <v>0</v>
      </c>
      <c r="N128" s="2962">
        <v>334465</v>
      </c>
      <c r="O128" s="2530">
        <f t="shared" si="2"/>
        <v>334465</v>
      </c>
      <c r="P128" s="2960" t="str">
        <f t="shared" si="3"/>
        <v>Macquarie Energy LLC various signatories various signatories AD SA 755</v>
      </c>
      <c r="Q128" s="2953"/>
    </row>
    <row r="129" spans="1:17" ht="16.7" customHeight="1" x14ac:dyDescent="0.2">
      <c r="A129" s="2749">
        <v>34.087000000000003</v>
      </c>
      <c r="B129" s="2512" t="s">
        <v>9114</v>
      </c>
      <c r="C129" s="2512" t="s">
        <v>9628</v>
      </c>
      <c r="D129" s="2512" t="s">
        <v>9628</v>
      </c>
      <c r="E129" s="2489" t="s">
        <v>9632</v>
      </c>
      <c r="F129" s="2487" t="s">
        <v>9757</v>
      </c>
      <c r="G129" s="2631" t="s">
        <v>9631</v>
      </c>
      <c r="H129" s="2631" t="s">
        <v>9631</v>
      </c>
      <c r="I129" s="2854"/>
      <c r="J129" s="2766">
        <v>2168</v>
      </c>
      <c r="K129" s="2766">
        <v>2168</v>
      </c>
      <c r="L129" s="2766">
        <v>0</v>
      </c>
      <c r="M129" s="2766">
        <v>46651</v>
      </c>
      <c r="N129" s="2963">
        <v>2952</v>
      </c>
      <c r="O129" s="2530">
        <f t="shared" si="2"/>
        <v>49603</v>
      </c>
      <c r="P129" s="2960" t="str">
        <f t="shared" si="3"/>
        <v>Macquarie Energy LLC various signatories various signatories SFP SA 754</v>
      </c>
      <c r="Q129" s="2953"/>
    </row>
    <row r="130" spans="1:17" ht="16.7" customHeight="1" x14ac:dyDescent="0.2">
      <c r="A130" s="2749">
        <v>34.088000000000001</v>
      </c>
      <c r="B130" s="2512" t="s">
        <v>9114</v>
      </c>
      <c r="C130" s="2512" t="s">
        <v>9628</v>
      </c>
      <c r="D130" s="2512" t="s">
        <v>9628</v>
      </c>
      <c r="E130" s="2966" t="s">
        <v>196</v>
      </c>
      <c r="F130" s="2487" t="s">
        <v>9757</v>
      </c>
      <c r="G130" s="2631" t="s">
        <v>9631</v>
      </c>
      <c r="H130" s="2631" t="s">
        <v>9631</v>
      </c>
      <c r="I130" s="2854"/>
      <c r="J130" s="2766">
        <v>1277</v>
      </c>
      <c r="K130" s="2766">
        <v>1277</v>
      </c>
      <c r="L130" s="2766">
        <v>0</v>
      </c>
      <c r="M130" s="2766">
        <v>0</v>
      </c>
      <c r="N130" s="2962">
        <v>9119</v>
      </c>
      <c r="O130" s="2530">
        <f t="shared" si="2"/>
        <v>9119</v>
      </c>
      <c r="P130" s="2960" t="str">
        <f t="shared" si="3"/>
        <v>Macquarie Energy LLC various signatories various signatories AD SA 754</v>
      </c>
      <c r="Q130" s="2953"/>
    </row>
    <row r="131" spans="1:17" ht="16.7" customHeight="1" x14ac:dyDescent="0.2">
      <c r="A131" s="2749">
        <v>34.088999999999999</v>
      </c>
      <c r="B131" s="2512" t="s">
        <v>9758</v>
      </c>
      <c r="C131" s="2512" t="s">
        <v>9628</v>
      </c>
      <c r="D131" s="2512" t="s">
        <v>9628</v>
      </c>
      <c r="E131" s="2489" t="s">
        <v>9629</v>
      </c>
      <c r="F131" s="2487" t="s">
        <v>9759</v>
      </c>
      <c r="G131" s="2631" t="s">
        <v>9631</v>
      </c>
      <c r="H131" s="2631" t="s">
        <v>9631</v>
      </c>
      <c r="I131" s="2854"/>
      <c r="J131" s="2766">
        <v>6738</v>
      </c>
      <c r="K131" s="2766">
        <v>6738</v>
      </c>
      <c r="L131" s="2766">
        <v>0</v>
      </c>
      <c r="M131" s="2766">
        <v>146285</v>
      </c>
      <c r="N131" s="2963">
        <v>9138</v>
      </c>
      <c r="O131" s="2530">
        <f t="shared" si="2"/>
        <v>155423</v>
      </c>
      <c r="P131" s="2960" t="str">
        <f t="shared" si="3"/>
        <v>MAG Energy Solutions, Inc. various signatories various signatories NF SA 903</v>
      </c>
      <c r="Q131" s="2953"/>
    </row>
    <row r="132" spans="1:17" ht="16.7" customHeight="1" x14ac:dyDescent="0.2">
      <c r="A132" s="2749">
        <v>34.090000000000003</v>
      </c>
      <c r="B132" s="2512" t="s">
        <v>9758</v>
      </c>
      <c r="C132" s="2512" t="s">
        <v>9628</v>
      </c>
      <c r="D132" s="2512" t="s">
        <v>9628</v>
      </c>
      <c r="E132" s="2966" t="s">
        <v>196</v>
      </c>
      <c r="F132" s="2487" t="s">
        <v>9759</v>
      </c>
      <c r="G132" s="2631" t="s">
        <v>9631</v>
      </c>
      <c r="H132" s="2631" t="s">
        <v>9631</v>
      </c>
      <c r="I132" s="2854"/>
      <c r="J132" s="2766">
        <v>8291</v>
      </c>
      <c r="K132" s="2766">
        <v>8291</v>
      </c>
      <c r="L132" s="2766">
        <v>0</v>
      </c>
      <c r="M132" s="2766">
        <v>0</v>
      </c>
      <c r="N132" s="2962">
        <v>189655</v>
      </c>
      <c r="O132" s="2530">
        <f t="shared" si="2"/>
        <v>189655</v>
      </c>
      <c r="P132" s="2960" t="str">
        <f t="shared" si="3"/>
        <v>MAG Energy Solutions, Inc. various signatories various signatories AD SA 903</v>
      </c>
      <c r="Q132" s="2953"/>
    </row>
    <row r="133" spans="1:17" ht="16.7" customHeight="1" x14ac:dyDescent="0.2">
      <c r="A133" s="2749">
        <v>34.091000000000001</v>
      </c>
      <c r="B133" s="2512" t="s">
        <v>9758</v>
      </c>
      <c r="C133" s="2512" t="s">
        <v>9628</v>
      </c>
      <c r="D133" s="2512" t="s">
        <v>9628</v>
      </c>
      <c r="E133" s="2489" t="s">
        <v>9632</v>
      </c>
      <c r="F133" s="2487" t="s">
        <v>9760</v>
      </c>
      <c r="G133" s="2631" t="s">
        <v>9631</v>
      </c>
      <c r="H133" s="2631" t="s">
        <v>9631</v>
      </c>
      <c r="I133" s="2854"/>
      <c r="J133" s="2766">
        <v>110</v>
      </c>
      <c r="K133" s="2766">
        <v>110</v>
      </c>
      <c r="L133" s="2766">
        <v>0</v>
      </c>
      <c r="M133" s="2766">
        <v>10756</v>
      </c>
      <c r="N133" s="2963">
        <v>668</v>
      </c>
      <c r="O133" s="2530">
        <f t="shared" si="2"/>
        <v>11424</v>
      </c>
      <c r="P133" s="2960" t="str">
        <f t="shared" si="3"/>
        <v>MAG Energy Solutions, Inc. various signatories various signatories SFP SA 902</v>
      </c>
      <c r="Q133" s="2953"/>
    </row>
    <row r="134" spans="1:17" ht="16.7" customHeight="1" x14ac:dyDescent="0.2">
      <c r="A134" s="2749">
        <v>34.091999999999999</v>
      </c>
      <c r="B134" s="2512" t="s">
        <v>9761</v>
      </c>
      <c r="C134" s="2512" t="s">
        <v>9628</v>
      </c>
      <c r="D134" s="2512" t="s">
        <v>9628</v>
      </c>
      <c r="E134" s="2489" t="s">
        <v>9629</v>
      </c>
      <c r="F134" s="2487" t="s">
        <v>9762</v>
      </c>
      <c r="G134" s="2631" t="s">
        <v>9631</v>
      </c>
      <c r="H134" s="2631" t="s">
        <v>9631</v>
      </c>
      <c r="I134" s="2854"/>
      <c r="J134" s="2766">
        <v>76089</v>
      </c>
      <c r="K134" s="2766">
        <v>76089</v>
      </c>
      <c r="L134" s="2766">
        <v>0</v>
      </c>
      <c r="M134" s="2766">
        <v>666710</v>
      </c>
      <c r="N134" s="2963">
        <v>41982</v>
      </c>
      <c r="O134" s="2530">
        <f t="shared" si="2"/>
        <v>708692</v>
      </c>
      <c r="P134" s="2960" t="str">
        <f t="shared" si="3"/>
        <v>Mercuria Energy America LLC various signatories various signatories NF SA 998</v>
      </c>
      <c r="Q134" s="2953"/>
    </row>
    <row r="135" spans="1:17" ht="16.7" customHeight="1" x14ac:dyDescent="0.2">
      <c r="A135" s="2749">
        <v>34.093000000000004</v>
      </c>
      <c r="B135" s="2512" t="s">
        <v>9761</v>
      </c>
      <c r="C135" s="2512" t="s">
        <v>9628</v>
      </c>
      <c r="D135" s="2512" t="s">
        <v>9628</v>
      </c>
      <c r="E135" s="2966" t="s">
        <v>196</v>
      </c>
      <c r="F135" s="2487" t="s">
        <v>9762</v>
      </c>
      <c r="G135" s="2631" t="s">
        <v>9631</v>
      </c>
      <c r="H135" s="2631" t="s">
        <v>9631</v>
      </c>
      <c r="I135" s="2854"/>
      <c r="J135" s="2766">
        <v>1173</v>
      </c>
      <c r="K135" s="2766">
        <v>1173</v>
      </c>
      <c r="L135" s="2766">
        <v>0</v>
      </c>
      <c r="M135" s="2766">
        <v>0</v>
      </c>
      <c r="N135" s="2962">
        <v>24224</v>
      </c>
      <c r="O135" s="2530">
        <f t="shared" si="2"/>
        <v>24224</v>
      </c>
      <c r="P135" s="2960" t="str">
        <f t="shared" si="3"/>
        <v>Mercuria Energy America LLC various signatories various signatories AD SA 998</v>
      </c>
      <c r="Q135" s="2953"/>
    </row>
    <row r="136" spans="1:17" ht="16.7" customHeight="1" x14ac:dyDescent="0.2">
      <c r="A136" s="2749">
        <v>34.094000000000001</v>
      </c>
      <c r="B136" s="2512" t="s">
        <v>9761</v>
      </c>
      <c r="C136" s="2512" t="s">
        <v>9628</v>
      </c>
      <c r="D136" s="2512" t="s">
        <v>9628</v>
      </c>
      <c r="E136" s="2489" t="s">
        <v>9632</v>
      </c>
      <c r="F136" s="2487" t="s">
        <v>9763</v>
      </c>
      <c r="G136" s="2631" t="s">
        <v>9631</v>
      </c>
      <c r="H136" s="2631" t="s">
        <v>9631</v>
      </c>
      <c r="I136" s="2854"/>
      <c r="J136" s="2766">
        <v>70450</v>
      </c>
      <c r="K136" s="2766">
        <v>70450</v>
      </c>
      <c r="L136" s="2766">
        <v>0</v>
      </c>
      <c r="M136" s="2766">
        <v>376728</v>
      </c>
      <c r="N136" s="2963">
        <v>23935</v>
      </c>
      <c r="O136" s="2530">
        <f t="shared" si="2"/>
        <v>400663</v>
      </c>
      <c r="P136" s="2960" t="str">
        <f t="shared" si="3"/>
        <v>Mercuria Energy America LLC various signatories various signatories SFP SA 997</v>
      </c>
      <c r="Q136" s="2953"/>
    </row>
    <row r="137" spans="1:17" ht="16.7" customHeight="1" x14ac:dyDescent="0.2">
      <c r="A137" s="2749">
        <v>34.094999999999999</v>
      </c>
      <c r="B137" s="2512" t="s">
        <v>9761</v>
      </c>
      <c r="C137" s="2512" t="s">
        <v>9628</v>
      </c>
      <c r="D137" s="2512" t="s">
        <v>9628</v>
      </c>
      <c r="E137" s="2966" t="s">
        <v>196</v>
      </c>
      <c r="F137" s="2487" t="s">
        <v>9763</v>
      </c>
      <c r="G137" s="2631" t="s">
        <v>9631</v>
      </c>
      <c r="H137" s="2631" t="s">
        <v>9631</v>
      </c>
      <c r="I137" s="2854"/>
      <c r="J137" s="2766">
        <v>750</v>
      </c>
      <c r="K137" s="2766">
        <v>750</v>
      </c>
      <c r="L137" s="2766">
        <v>0</v>
      </c>
      <c r="M137" s="2766">
        <v>0</v>
      </c>
      <c r="N137" s="2962">
        <v>6784</v>
      </c>
      <c r="O137" s="2530">
        <f t="shared" ref="O137:O200" si="4">SUM(L137:N137)</f>
        <v>6784</v>
      </c>
      <c r="P137" s="2960" t="str">
        <f t="shared" ref="P137:P200" si="5">CONCATENATE(B137," ",C137," ",D137," ",E137," ",F137)</f>
        <v>Mercuria Energy America LLC various signatories various signatories AD SA 997</v>
      </c>
      <c r="Q137" s="2953"/>
    </row>
    <row r="138" spans="1:17" ht="16.7" customHeight="1" x14ac:dyDescent="0.2">
      <c r="A138" s="2749">
        <v>34.095999999999997</v>
      </c>
      <c r="B138" s="2512" t="s">
        <v>9764</v>
      </c>
      <c r="C138" s="2512" t="s">
        <v>9765</v>
      </c>
      <c r="D138" s="2512" t="s">
        <v>9765</v>
      </c>
      <c r="E138" s="2947" t="s">
        <v>193</v>
      </c>
      <c r="F138" s="2487" t="s">
        <v>9766</v>
      </c>
      <c r="G138" s="2631" t="s">
        <v>9767</v>
      </c>
      <c r="H138" s="2631" t="s">
        <v>9767</v>
      </c>
      <c r="I138" s="2854"/>
      <c r="J138" s="2766">
        <v>20143</v>
      </c>
      <c r="K138" s="2766">
        <v>20143</v>
      </c>
      <c r="L138" s="2766">
        <v>0</v>
      </c>
      <c r="M138" s="2766">
        <v>0</v>
      </c>
      <c r="N138" s="2972">
        <v>18722</v>
      </c>
      <c r="O138" s="2530">
        <f t="shared" si="4"/>
        <v>18722</v>
      </c>
      <c r="P138" s="2960" t="str">
        <f t="shared" si="5"/>
        <v>Moon Lake Electric Association Inc. Moon Lake Electric Association Moon Lake Electric Association OS RS 302</v>
      </c>
      <c r="Q138" s="2953"/>
    </row>
    <row r="139" spans="1:17" ht="16.7" customHeight="1" x14ac:dyDescent="0.2">
      <c r="A139" s="2749">
        <v>34.097000000000001</v>
      </c>
      <c r="B139" s="2512" t="s">
        <v>9764</v>
      </c>
      <c r="C139" s="2512" t="s">
        <v>9765</v>
      </c>
      <c r="D139" s="2512" t="s">
        <v>9765</v>
      </c>
      <c r="E139" s="2947" t="s">
        <v>196</v>
      </c>
      <c r="F139" s="2487" t="s">
        <v>9766</v>
      </c>
      <c r="G139" s="2631" t="s">
        <v>9767</v>
      </c>
      <c r="H139" s="2631" t="s">
        <v>9767</v>
      </c>
      <c r="I139" s="2854"/>
      <c r="J139" s="2766">
        <v>2180</v>
      </c>
      <c r="K139" s="2766">
        <v>2180</v>
      </c>
      <c r="L139" s="2766">
        <v>0</v>
      </c>
      <c r="M139" s="2766">
        <v>0</v>
      </c>
      <c r="N139" s="2962">
        <v>1702</v>
      </c>
      <c r="O139" s="2530">
        <f t="shared" si="4"/>
        <v>1702</v>
      </c>
      <c r="P139" s="2960" t="str">
        <f t="shared" si="5"/>
        <v>Moon Lake Electric Association Inc. Moon Lake Electric Association Moon Lake Electric Association AD RS 302</v>
      </c>
      <c r="Q139" s="2953"/>
    </row>
    <row r="140" spans="1:17" ht="16.7" customHeight="1" x14ac:dyDescent="0.2">
      <c r="A140" s="2749">
        <v>34.097999999999999</v>
      </c>
      <c r="B140" s="2512" t="s">
        <v>9768</v>
      </c>
      <c r="C140" s="2512" t="s">
        <v>9628</v>
      </c>
      <c r="D140" s="2512" t="s">
        <v>9628</v>
      </c>
      <c r="E140" s="2489" t="s">
        <v>9629</v>
      </c>
      <c r="F140" s="2487" t="s">
        <v>9769</v>
      </c>
      <c r="G140" s="2631" t="s">
        <v>9631</v>
      </c>
      <c r="H140" s="2631" t="s">
        <v>9631</v>
      </c>
      <c r="I140" s="2854"/>
      <c r="J140" s="2766">
        <v>202361</v>
      </c>
      <c r="K140" s="2766">
        <v>202361</v>
      </c>
      <c r="L140" s="2766">
        <v>0</v>
      </c>
      <c r="M140" s="2766">
        <v>2020366</v>
      </c>
      <c r="N140" s="2963">
        <v>127272</v>
      </c>
      <c r="O140" s="2530">
        <f t="shared" si="4"/>
        <v>2147638</v>
      </c>
      <c r="P140" s="2960" t="str">
        <f t="shared" si="5"/>
        <v>Morgan Stanley Capital Group, Inc. various signatories various signatories NF SA 157</v>
      </c>
      <c r="Q140" s="2953"/>
    </row>
    <row r="141" spans="1:17" ht="16.7" customHeight="1" x14ac:dyDescent="0.2">
      <c r="A141" s="2749">
        <v>34.098999999999997</v>
      </c>
      <c r="B141" s="2512" t="s">
        <v>9768</v>
      </c>
      <c r="C141" s="2512" t="s">
        <v>9628</v>
      </c>
      <c r="D141" s="2512" t="s">
        <v>9628</v>
      </c>
      <c r="E141" s="2966" t="s">
        <v>196</v>
      </c>
      <c r="F141" s="2487" t="s">
        <v>9769</v>
      </c>
      <c r="G141" s="2631" t="s">
        <v>9631</v>
      </c>
      <c r="H141" s="2631" t="s">
        <v>9631</v>
      </c>
      <c r="I141" s="2854"/>
      <c r="J141" s="2766">
        <v>10943</v>
      </c>
      <c r="K141" s="2766">
        <v>10943</v>
      </c>
      <c r="L141" s="2766">
        <v>0</v>
      </c>
      <c r="M141" s="2766">
        <v>0</v>
      </c>
      <c r="N141" s="2962">
        <v>94985</v>
      </c>
      <c r="O141" s="2530">
        <f t="shared" si="4"/>
        <v>94985</v>
      </c>
      <c r="P141" s="2960" t="str">
        <f t="shared" si="5"/>
        <v>Morgan Stanley Capital Group, Inc. various signatories various signatories AD SA 157</v>
      </c>
      <c r="Q141" s="2953"/>
    </row>
    <row r="142" spans="1:17" ht="16.7" customHeight="1" x14ac:dyDescent="0.2">
      <c r="A142" s="2749">
        <v>34.1</v>
      </c>
      <c r="B142" s="2512" t="s">
        <v>9768</v>
      </c>
      <c r="C142" s="2512" t="s">
        <v>9628</v>
      </c>
      <c r="D142" s="2512" t="s">
        <v>9628</v>
      </c>
      <c r="E142" s="2489" t="s">
        <v>9632</v>
      </c>
      <c r="F142" s="2487" t="s">
        <v>9770</v>
      </c>
      <c r="G142" s="2631" t="s">
        <v>9631</v>
      </c>
      <c r="H142" s="2631" t="s">
        <v>9631</v>
      </c>
      <c r="I142" s="2854"/>
      <c r="J142" s="2766">
        <v>103423</v>
      </c>
      <c r="K142" s="2766">
        <v>103423</v>
      </c>
      <c r="L142" s="2766">
        <v>0</v>
      </c>
      <c r="M142" s="2766">
        <v>548939</v>
      </c>
      <c r="N142" s="2963">
        <v>34808</v>
      </c>
      <c r="O142" s="2530">
        <f t="shared" si="4"/>
        <v>583747</v>
      </c>
      <c r="P142" s="2960" t="str">
        <f t="shared" si="5"/>
        <v>Morgan Stanley Capital Group, Inc. various signatories various signatories SFP SA 160</v>
      </c>
      <c r="Q142" s="2953"/>
    </row>
    <row r="143" spans="1:17" ht="16.7" customHeight="1" x14ac:dyDescent="0.2">
      <c r="A143" s="2749">
        <v>34.100999999999999</v>
      </c>
      <c r="B143" s="2512" t="s">
        <v>9768</v>
      </c>
      <c r="C143" s="2967" t="s">
        <v>9628</v>
      </c>
      <c r="D143" s="2967" t="s">
        <v>9628</v>
      </c>
      <c r="E143" s="2966" t="s">
        <v>196</v>
      </c>
      <c r="F143" s="2487" t="s">
        <v>9770</v>
      </c>
      <c r="G143" s="2631" t="s">
        <v>9631</v>
      </c>
      <c r="H143" s="2631" t="s">
        <v>9631</v>
      </c>
      <c r="I143" s="2854"/>
      <c r="J143" s="2766">
        <v>3731</v>
      </c>
      <c r="K143" s="2766">
        <v>3731</v>
      </c>
      <c r="L143" s="2766">
        <v>0</v>
      </c>
      <c r="M143" s="2766">
        <v>0</v>
      </c>
      <c r="N143" s="2962">
        <v>65588</v>
      </c>
      <c r="O143" s="2530">
        <f t="shared" si="4"/>
        <v>65588</v>
      </c>
      <c r="P143" s="2960" t="str">
        <f t="shared" si="5"/>
        <v>Morgan Stanley Capital Group, Inc. various signatories various signatories AD SA 160</v>
      </c>
      <c r="Q143" s="2953"/>
    </row>
    <row r="144" spans="1:17" ht="16.7" customHeight="1" x14ac:dyDescent="0.2">
      <c r="A144" s="2749">
        <v>34.101999999999997</v>
      </c>
      <c r="B144" s="2512" t="s">
        <v>9076</v>
      </c>
      <c r="C144" s="2512" t="s">
        <v>9076</v>
      </c>
      <c r="D144" s="2512" t="s">
        <v>9076</v>
      </c>
      <c r="E144" s="2489" t="s">
        <v>9643</v>
      </c>
      <c r="F144" s="2487" t="s">
        <v>9771</v>
      </c>
      <c r="G144" s="2631" t="s">
        <v>9772</v>
      </c>
      <c r="H144" s="2631" t="s">
        <v>9773</v>
      </c>
      <c r="I144" s="2766">
        <v>4</v>
      </c>
      <c r="J144" s="2766">
        <v>25690</v>
      </c>
      <c r="K144" s="2766">
        <v>25690</v>
      </c>
      <c r="L144" s="2766">
        <v>137843</v>
      </c>
      <c r="M144" s="2766">
        <v>0</v>
      </c>
      <c r="N144" s="2965">
        <v>316112</v>
      </c>
      <c r="O144" s="2530">
        <f t="shared" si="4"/>
        <v>453955</v>
      </c>
      <c r="P144" s="2960" t="str">
        <f t="shared" si="5"/>
        <v>Navajo Tribal Utility Authority Navajo Tribal Utility Authority Navajo Tribal Utility Authority FNO SA 894</v>
      </c>
      <c r="Q144" s="2953"/>
    </row>
    <row r="145" spans="1:17" ht="16.7" customHeight="1" x14ac:dyDescent="0.2">
      <c r="A145" s="2749">
        <v>34.103000000000002</v>
      </c>
      <c r="B145" s="2512" t="s">
        <v>9076</v>
      </c>
      <c r="C145" s="2512" t="s">
        <v>9076</v>
      </c>
      <c r="D145" s="2512" t="s">
        <v>9076</v>
      </c>
      <c r="E145" s="2947" t="s">
        <v>196</v>
      </c>
      <c r="F145" s="2487" t="s">
        <v>9771</v>
      </c>
      <c r="G145" s="2631" t="s">
        <v>9772</v>
      </c>
      <c r="H145" s="2631" t="s">
        <v>9773</v>
      </c>
      <c r="I145" s="2766">
        <v>1</v>
      </c>
      <c r="J145" s="2766">
        <v>1673</v>
      </c>
      <c r="K145" s="2766">
        <v>1673</v>
      </c>
      <c r="L145" s="2766">
        <v>0</v>
      </c>
      <c r="M145" s="2766">
        <v>0</v>
      </c>
      <c r="N145" s="2962">
        <v>5122</v>
      </c>
      <c r="O145" s="2530">
        <f t="shared" si="4"/>
        <v>5122</v>
      </c>
      <c r="P145" s="2960" t="str">
        <f t="shared" si="5"/>
        <v>Navajo Tribal Utility Authority Navajo Tribal Utility Authority Navajo Tribal Utility Authority AD SA 894</v>
      </c>
      <c r="Q145" s="2953"/>
    </row>
    <row r="146" spans="1:17" ht="16.7" customHeight="1" x14ac:dyDescent="0.2">
      <c r="A146" s="2749">
        <v>34.103999999999999</v>
      </c>
      <c r="B146" s="2744" t="s">
        <v>9120</v>
      </c>
      <c r="C146" s="2512" t="s">
        <v>9628</v>
      </c>
      <c r="D146" s="2512" t="s">
        <v>9628</v>
      </c>
      <c r="E146" s="2489" t="s">
        <v>9629</v>
      </c>
      <c r="F146" s="2487" t="s">
        <v>9774</v>
      </c>
      <c r="G146" s="2631" t="s">
        <v>9631</v>
      </c>
      <c r="H146" s="2631" t="s">
        <v>9631</v>
      </c>
      <c r="I146" s="2854"/>
      <c r="J146" s="2766">
        <v>52498</v>
      </c>
      <c r="K146" s="2766">
        <v>52498</v>
      </c>
      <c r="L146" s="2766">
        <v>0</v>
      </c>
      <c r="M146" s="2766">
        <v>288472</v>
      </c>
      <c r="N146" s="2963">
        <v>18184</v>
      </c>
      <c r="O146" s="2530">
        <f t="shared" si="4"/>
        <v>306656</v>
      </c>
      <c r="P146" s="2960" t="str">
        <f t="shared" si="5"/>
        <v>Nevada Power Company various signatories various signatories NF SA 455</v>
      </c>
      <c r="Q146" s="2953"/>
    </row>
    <row r="147" spans="1:17" ht="16.7" customHeight="1" x14ac:dyDescent="0.2">
      <c r="A147" s="2749">
        <v>34.104999999999997</v>
      </c>
      <c r="B147" s="2512" t="s">
        <v>9120</v>
      </c>
      <c r="C147" s="2512" t="s">
        <v>9628</v>
      </c>
      <c r="D147" s="2512" t="s">
        <v>9628</v>
      </c>
      <c r="E147" s="2489" t="s">
        <v>9632</v>
      </c>
      <c r="F147" s="2487" t="s">
        <v>9775</v>
      </c>
      <c r="G147" s="2631" t="s">
        <v>9631</v>
      </c>
      <c r="H147" s="2631" t="s">
        <v>9631</v>
      </c>
      <c r="I147" s="2854"/>
      <c r="J147" s="2766">
        <v>4707</v>
      </c>
      <c r="K147" s="2766">
        <v>4707</v>
      </c>
      <c r="L147" s="2766">
        <v>0</v>
      </c>
      <c r="M147" s="2766">
        <v>25778</v>
      </c>
      <c r="N147" s="2963">
        <v>1626</v>
      </c>
      <c r="O147" s="2530">
        <f t="shared" si="4"/>
        <v>27404</v>
      </c>
      <c r="P147" s="2960" t="str">
        <f t="shared" si="5"/>
        <v>Nevada Power Company various signatories various signatories SFP SA 454</v>
      </c>
      <c r="Q147" s="2953"/>
    </row>
    <row r="148" spans="1:17" ht="16.7" customHeight="1" x14ac:dyDescent="0.2">
      <c r="A148" s="2749">
        <v>34.106000000000002</v>
      </c>
      <c r="B148" s="2512" t="s">
        <v>9728</v>
      </c>
      <c r="C148" s="2512" t="s">
        <v>9728</v>
      </c>
      <c r="D148" s="2512" t="s">
        <v>9129</v>
      </c>
      <c r="E148" s="2947" t="s">
        <v>9623</v>
      </c>
      <c r="F148" s="2487" t="s">
        <v>9776</v>
      </c>
      <c r="G148" s="2631" t="s">
        <v>9743</v>
      </c>
      <c r="H148" s="2631" t="s">
        <v>9744</v>
      </c>
      <c r="I148" s="2766">
        <v>94</v>
      </c>
      <c r="J148" s="2766">
        <v>432</v>
      </c>
      <c r="K148" s="2766">
        <v>432</v>
      </c>
      <c r="L148" s="2766">
        <v>1154713</v>
      </c>
      <c r="M148" s="2766">
        <v>0</v>
      </c>
      <c r="N148" s="2959">
        <v>-199124</v>
      </c>
      <c r="O148" s="2530">
        <f t="shared" si="4"/>
        <v>955589</v>
      </c>
      <c r="P148" s="2960" t="str">
        <f t="shared" si="5"/>
        <v>NextEra Energy Resources, LLC NextEra Energy Resources, LLC Public Utility District No. 2 of Grant County LFP SA 733</v>
      </c>
      <c r="Q148" s="2953"/>
    </row>
    <row r="149" spans="1:17" ht="16.7" customHeight="1" x14ac:dyDescent="0.2">
      <c r="A149" s="2749">
        <v>34.106999999999999</v>
      </c>
      <c r="B149" s="2512" t="s">
        <v>9728</v>
      </c>
      <c r="C149" s="2512" t="s">
        <v>9728</v>
      </c>
      <c r="D149" s="2512" t="s">
        <v>9129</v>
      </c>
      <c r="E149" s="2947" t="s">
        <v>196</v>
      </c>
      <c r="F149" s="2487" t="s">
        <v>9776</v>
      </c>
      <c r="G149" s="2631" t="s">
        <v>9743</v>
      </c>
      <c r="H149" s="2631" t="s">
        <v>9744</v>
      </c>
      <c r="I149" s="2766">
        <v>103</v>
      </c>
      <c r="J149" s="2766">
        <v>1488</v>
      </c>
      <c r="K149" s="2766">
        <v>1488</v>
      </c>
      <c r="L149" s="2766">
        <v>0</v>
      </c>
      <c r="M149" s="2766">
        <v>0</v>
      </c>
      <c r="N149" s="2962">
        <v>238161</v>
      </c>
      <c r="O149" s="2530">
        <f t="shared" si="4"/>
        <v>238161</v>
      </c>
      <c r="P149" s="2960" t="str">
        <f t="shared" si="5"/>
        <v>NextEra Energy Resources, LLC NextEra Energy Resources, LLC Public Utility District No. 2 of Grant County AD SA 733</v>
      </c>
      <c r="Q149" s="2953"/>
    </row>
    <row r="150" spans="1:17" ht="16.7" customHeight="1" x14ac:dyDescent="0.2">
      <c r="A150" s="2749">
        <v>34.107999999999997</v>
      </c>
      <c r="B150" s="2512" t="s">
        <v>9777</v>
      </c>
      <c r="C150" s="2512" t="s">
        <v>9628</v>
      </c>
      <c r="D150" s="2512" t="s">
        <v>9628</v>
      </c>
      <c r="E150" s="2489" t="s">
        <v>9629</v>
      </c>
      <c r="F150" s="2487" t="s">
        <v>9778</v>
      </c>
      <c r="G150" s="2631" t="s">
        <v>9631</v>
      </c>
      <c r="H150" s="2631" t="s">
        <v>9631</v>
      </c>
      <c r="I150" s="2854"/>
      <c r="J150" s="2766">
        <v>1108</v>
      </c>
      <c r="K150" s="2766">
        <v>1108</v>
      </c>
      <c r="L150" s="2766">
        <v>0</v>
      </c>
      <c r="M150" s="2766">
        <v>9101</v>
      </c>
      <c r="N150" s="2963">
        <v>578</v>
      </c>
      <c r="O150" s="2530">
        <f t="shared" si="4"/>
        <v>9679</v>
      </c>
      <c r="P150" s="2960" t="str">
        <f t="shared" si="5"/>
        <v>Pacific Gas &amp; Electric Company various signatories various signatories NF SA 338</v>
      </c>
      <c r="Q150" s="2953"/>
    </row>
    <row r="151" spans="1:17" ht="16.7" customHeight="1" x14ac:dyDescent="0.2">
      <c r="A151" s="2749">
        <v>34.109000000000002</v>
      </c>
      <c r="B151" s="2512" t="s">
        <v>9779</v>
      </c>
      <c r="C151" s="2512" t="s">
        <v>9628</v>
      </c>
      <c r="D151" s="2512" t="s">
        <v>9628</v>
      </c>
      <c r="E151" s="2489" t="s">
        <v>9629</v>
      </c>
      <c r="F151" s="2487" t="s">
        <v>9780</v>
      </c>
      <c r="G151" s="2631" t="s">
        <v>9631</v>
      </c>
      <c r="H151" s="2631" t="s">
        <v>9631</v>
      </c>
      <c r="I151" s="2854"/>
      <c r="J151" s="2766">
        <v>20770</v>
      </c>
      <c r="K151" s="2766">
        <v>20770</v>
      </c>
      <c r="L151" s="2766">
        <v>0</v>
      </c>
      <c r="M151" s="2766">
        <v>149640</v>
      </c>
      <c r="N151" s="2963">
        <v>9504</v>
      </c>
      <c r="O151" s="2530">
        <f t="shared" si="4"/>
        <v>159144</v>
      </c>
      <c r="P151" s="2960" t="str">
        <f t="shared" si="5"/>
        <v>Phillips 66 Energy Trading various signatories various signatories NF SA 1081</v>
      </c>
      <c r="Q151" s="2953"/>
    </row>
    <row r="152" spans="1:17" ht="16.7" customHeight="1" x14ac:dyDescent="0.2">
      <c r="A152" s="2749">
        <v>34.11</v>
      </c>
      <c r="B152" s="2512" t="s">
        <v>9779</v>
      </c>
      <c r="C152" s="2512" t="s">
        <v>9628</v>
      </c>
      <c r="D152" s="2512" t="s">
        <v>9628</v>
      </c>
      <c r="E152" s="2489" t="s">
        <v>9632</v>
      </c>
      <c r="F152" s="2487" t="s">
        <v>9781</v>
      </c>
      <c r="G152" s="2631" t="s">
        <v>9631</v>
      </c>
      <c r="H152" s="2631" t="s">
        <v>9631</v>
      </c>
      <c r="I152" s="2854"/>
      <c r="J152" s="2766">
        <v>27347</v>
      </c>
      <c r="K152" s="2766">
        <v>27347</v>
      </c>
      <c r="L152" s="2766">
        <v>0</v>
      </c>
      <c r="M152" s="2766">
        <v>249500</v>
      </c>
      <c r="N152" s="2963">
        <v>80620</v>
      </c>
      <c r="O152" s="2530">
        <f t="shared" si="4"/>
        <v>330120</v>
      </c>
      <c r="P152" s="2960" t="str">
        <f t="shared" si="5"/>
        <v>Phillips 66 Energy Trading various signatories various signatories SFP SA 1080</v>
      </c>
      <c r="Q152" s="2953"/>
    </row>
    <row r="153" spans="1:17" ht="16.7" customHeight="1" x14ac:dyDescent="0.2">
      <c r="A153" s="2749">
        <v>34.110999999999997</v>
      </c>
      <c r="B153" s="2512" t="s">
        <v>9123</v>
      </c>
      <c r="C153" s="2512" t="s">
        <v>9782</v>
      </c>
      <c r="D153" s="2512" t="s">
        <v>9782</v>
      </c>
      <c r="E153" s="2947" t="s">
        <v>193</v>
      </c>
      <c r="F153" s="2487" t="s">
        <v>9783</v>
      </c>
      <c r="G153" s="2631" t="s">
        <v>9631</v>
      </c>
      <c r="H153" s="2631" t="s">
        <v>9631</v>
      </c>
      <c r="I153" s="2854"/>
      <c r="J153" s="2854"/>
      <c r="K153" s="2766">
        <v>0</v>
      </c>
      <c r="L153" s="2766">
        <v>0</v>
      </c>
      <c r="M153" s="2766">
        <v>0</v>
      </c>
      <c r="N153" s="2968">
        <v>3314</v>
      </c>
      <c r="O153" s="2530">
        <f t="shared" si="4"/>
        <v>3314</v>
      </c>
      <c r="P153" s="2960" t="str">
        <f t="shared" si="5"/>
        <v>Portland General Electric Company Operation, maintenance or facility lease services with no receipt or delivery of energy. Operation, maintenance or facility lease services with no receipt or delivery of energy. OS RS 137</v>
      </c>
      <c r="Q153" s="2953"/>
    </row>
    <row r="154" spans="1:17" ht="16.7" customHeight="1" x14ac:dyDescent="0.2">
      <c r="A154" s="2749">
        <v>34.112000000000002</v>
      </c>
      <c r="B154" s="2512" t="s">
        <v>9123</v>
      </c>
      <c r="C154" s="2512" t="s">
        <v>9628</v>
      </c>
      <c r="D154" s="2512" t="s">
        <v>9628</v>
      </c>
      <c r="E154" s="2489" t="s">
        <v>9629</v>
      </c>
      <c r="F154" s="2487" t="s">
        <v>9784</v>
      </c>
      <c r="G154" s="2631" t="s">
        <v>9631</v>
      </c>
      <c r="H154" s="2631" t="s">
        <v>9631</v>
      </c>
      <c r="I154" s="2854"/>
      <c r="J154" s="2766">
        <v>11155</v>
      </c>
      <c r="K154" s="2766">
        <v>11155</v>
      </c>
      <c r="L154" s="2766">
        <v>0</v>
      </c>
      <c r="M154" s="2766">
        <v>126052</v>
      </c>
      <c r="N154" s="2963">
        <v>7903</v>
      </c>
      <c r="O154" s="2530">
        <f t="shared" si="4"/>
        <v>133955</v>
      </c>
      <c r="P154" s="2960" t="str">
        <f t="shared" si="5"/>
        <v>Portland General Electric Company various signatories various signatories NF SA 8</v>
      </c>
      <c r="Q154" s="2953"/>
    </row>
    <row r="155" spans="1:17" ht="16.7" customHeight="1" x14ac:dyDescent="0.2">
      <c r="A155" s="2749">
        <v>34.113</v>
      </c>
      <c r="B155" s="2512" t="s">
        <v>9123</v>
      </c>
      <c r="C155" s="2512" t="s">
        <v>9628</v>
      </c>
      <c r="D155" s="2512" t="s">
        <v>9628</v>
      </c>
      <c r="E155" s="2966" t="s">
        <v>196</v>
      </c>
      <c r="F155" s="2487" t="s">
        <v>9784</v>
      </c>
      <c r="G155" s="2631" t="s">
        <v>9631</v>
      </c>
      <c r="H155" s="2631" t="s">
        <v>9631</v>
      </c>
      <c r="I155" s="2854"/>
      <c r="J155" s="2766">
        <v>370</v>
      </c>
      <c r="K155" s="2766">
        <v>370</v>
      </c>
      <c r="L155" s="2766">
        <v>0</v>
      </c>
      <c r="M155" s="2766">
        <v>0</v>
      </c>
      <c r="N155" s="2962">
        <v>4855</v>
      </c>
      <c r="O155" s="2530">
        <f t="shared" si="4"/>
        <v>4855</v>
      </c>
      <c r="P155" s="2960" t="str">
        <f t="shared" si="5"/>
        <v>Portland General Electric Company various signatories various signatories AD SA 8</v>
      </c>
      <c r="Q155" s="2953"/>
    </row>
    <row r="156" spans="1:17" ht="16.7" customHeight="1" x14ac:dyDescent="0.2">
      <c r="A156" s="2749">
        <v>34.113999999999997</v>
      </c>
      <c r="B156" s="2512" t="s">
        <v>9124</v>
      </c>
      <c r="C156" s="2512" t="s">
        <v>9091</v>
      </c>
      <c r="D156" s="2512" t="s">
        <v>9406</v>
      </c>
      <c r="E156" s="2947" t="s">
        <v>9623</v>
      </c>
      <c r="F156" s="2487" t="s">
        <v>9785</v>
      </c>
      <c r="G156" s="2631" t="s">
        <v>9091</v>
      </c>
      <c r="H156" s="2631" t="s">
        <v>9786</v>
      </c>
      <c r="I156" s="2766">
        <v>83</v>
      </c>
      <c r="J156" s="2766">
        <v>618432</v>
      </c>
      <c r="K156" s="2766">
        <v>618432</v>
      </c>
      <c r="L156" s="2766">
        <v>2838957</v>
      </c>
      <c r="M156" s="2766">
        <v>0</v>
      </c>
      <c r="N156" s="2963">
        <v>178783</v>
      </c>
      <c r="O156" s="2530">
        <f t="shared" si="4"/>
        <v>3017740</v>
      </c>
      <c r="P156" s="2960" t="str">
        <f t="shared" si="5"/>
        <v>Powerex Corporation Bonneville Power Administration California Independent System Operator Corporation LFP SA 169</v>
      </c>
      <c r="Q156" s="2953"/>
    </row>
    <row r="157" spans="1:17" ht="16.7" customHeight="1" x14ac:dyDescent="0.2">
      <c r="A157" s="2749">
        <v>34.115000000000002</v>
      </c>
      <c r="B157" s="2512" t="s">
        <v>9124</v>
      </c>
      <c r="C157" s="2512" t="s">
        <v>9091</v>
      </c>
      <c r="D157" s="2512" t="s">
        <v>9406</v>
      </c>
      <c r="E157" s="2947" t="s">
        <v>196</v>
      </c>
      <c r="F157" s="2487" t="s">
        <v>9785</v>
      </c>
      <c r="G157" s="2631" t="s">
        <v>9091</v>
      </c>
      <c r="H157" s="2631" t="s">
        <v>9786</v>
      </c>
      <c r="I157" s="2766">
        <v>83</v>
      </c>
      <c r="J157" s="2766">
        <v>3881</v>
      </c>
      <c r="K157" s="2766">
        <v>3881</v>
      </c>
      <c r="L157" s="2766">
        <v>0</v>
      </c>
      <c r="M157" s="2766">
        <v>0</v>
      </c>
      <c r="N157" s="2962">
        <v>137549</v>
      </c>
      <c r="O157" s="2530">
        <f t="shared" si="4"/>
        <v>137549</v>
      </c>
      <c r="P157" s="2960" t="str">
        <f t="shared" si="5"/>
        <v>Powerex Corporation Bonneville Power Administration California Independent System Operator Corporation AD SA 169</v>
      </c>
      <c r="Q157" s="2953"/>
    </row>
    <row r="158" spans="1:17" ht="16.7" customHeight="1" x14ac:dyDescent="0.2">
      <c r="A158" s="2749">
        <v>34.116</v>
      </c>
      <c r="B158" s="2512" t="s">
        <v>9124</v>
      </c>
      <c r="C158" s="2967" t="s">
        <v>9124</v>
      </c>
      <c r="D158" s="2967" t="s">
        <v>9406</v>
      </c>
      <c r="E158" s="2947" t="s">
        <v>9623</v>
      </c>
      <c r="F158" s="2487" t="s">
        <v>9787</v>
      </c>
      <c r="G158" s="2631" t="s">
        <v>9788</v>
      </c>
      <c r="H158" s="2631" t="s">
        <v>9626</v>
      </c>
      <c r="I158" s="2766">
        <v>104</v>
      </c>
      <c r="J158" s="2766">
        <v>99784</v>
      </c>
      <c r="K158" s="2766">
        <v>99784</v>
      </c>
      <c r="L158" s="2766">
        <v>3548697</v>
      </c>
      <c r="M158" s="2766">
        <v>0</v>
      </c>
      <c r="N158" s="2963">
        <v>223479</v>
      </c>
      <c r="O158" s="2530">
        <f t="shared" si="4"/>
        <v>3772176</v>
      </c>
      <c r="P158" s="2960" t="str">
        <f t="shared" si="5"/>
        <v>Powerex Corporation Powerex Corporation California Independent System Operator Corporation LFP SA 1016</v>
      </c>
      <c r="Q158" s="2953"/>
    </row>
    <row r="159" spans="1:17" ht="16.7" customHeight="1" x14ac:dyDescent="0.2">
      <c r="A159" s="2749">
        <v>34.116999999999997</v>
      </c>
      <c r="B159" s="2512" t="s">
        <v>9124</v>
      </c>
      <c r="C159" s="2512" t="s">
        <v>9124</v>
      </c>
      <c r="D159" s="2512" t="s">
        <v>9406</v>
      </c>
      <c r="E159" s="2947" t="s">
        <v>196</v>
      </c>
      <c r="F159" s="2487" t="s">
        <v>9787</v>
      </c>
      <c r="G159" s="2631" t="s">
        <v>9788</v>
      </c>
      <c r="H159" s="2631" t="s">
        <v>9626</v>
      </c>
      <c r="I159" s="2766">
        <v>104</v>
      </c>
      <c r="J159" s="2766">
        <v>0</v>
      </c>
      <c r="K159" s="2766">
        <v>0</v>
      </c>
      <c r="L159" s="2766">
        <v>0</v>
      </c>
      <c r="M159" s="2766">
        <v>0</v>
      </c>
      <c r="N159" s="2962">
        <v>171999</v>
      </c>
      <c r="O159" s="2530">
        <f t="shared" si="4"/>
        <v>171999</v>
      </c>
      <c r="P159" s="2960" t="str">
        <f t="shared" si="5"/>
        <v>Powerex Corporation Powerex Corporation California Independent System Operator Corporation AD SA 1016</v>
      </c>
      <c r="Q159" s="2953"/>
    </row>
    <row r="160" spans="1:17" ht="16.7" customHeight="1" x14ac:dyDescent="0.2">
      <c r="A160" s="2749">
        <v>34.118000000000002</v>
      </c>
      <c r="B160" s="2512" t="s">
        <v>9124</v>
      </c>
      <c r="C160" s="2512" t="s">
        <v>9124</v>
      </c>
      <c r="D160" s="2512" t="s">
        <v>9406</v>
      </c>
      <c r="E160" s="2947" t="s">
        <v>9623</v>
      </c>
      <c r="F160" s="2487" t="s">
        <v>9789</v>
      </c>
      <c r="G160" s="2631" t="s">
        <v>9788</v>
      </c>
      <c r="H160" s="2631" t="s">
        <v>9626</v>
      </c>
      <c r="I160" s="2766">
        <v>104</v>
      </c>
      <c r="J160" s="2766">
        <v>96595</v>
      </c>
      <c r="K160" s="2766">
        <v>96595</v>
      </c>
      <c r="L160" s="2766">
        <v>3548697</v>
      </c>
      <c r="M160" s="2766">
        <v>0</v>
      </c>
      <c r="N160" s="2963">
        <v>223479</v>
      </c>
      <c r="O160" s="2530">
        <f t="shared" si="4"/>
        <v>3772176</v>
      </c>
      <c r="P160" s="2960" t="str">
        <f t="shared" si="5"/>
        <v>Powerex Corporation Powerex Corporation California Independent System Operator Corporation LFP SA 1017</v>
      </c>
      <c r="Q160" s="2953"/>
    </row>
    <row r="161" spans="1:17" ht="16.7" customHeight="1" x14ac:dyDescent="0.2">
      <c r="A161" s="2749">
        <v>34.119</v>
      </c>
      <c r="B161" s="2512" t="s">
        <v>9124</v>
      </c>
      <c r="C161" s="2512" t="s">
        <v>9124</v>
      </c>
      <c r="D161" s="2512" t="s">
        <v>9406</v>
      </c>
      <c r="E161" s="2947" t="s">
        <v>196</v>
      </c>
      <c r="F161" s="2487" t="s">
        <v>9789</v>
      </c>
      <c r="G161" s="2631" t="s">
        <v>9788</v>
      </c>
      <c r="H161" s="2631" t="s">
        <v>9626</v>
      </c>
      <c r="I161" s="2766">
        <v>104</v>
      </c>
      <c r="J161" s="2766">
        <v>0</v>
      </c>
      <c r="K161" s="2766">
        <v>0</v>
      </c>
      <c r="L161" s="2766">
        <v>0</v>
      </c>
      <c r="M161" s="2766">
        <v>0</v>
      </c>
      <c r="N161" s="2962">
        <v>171999</v>
      </c>
      <c r="O161" s="2530">
        <f t="shared" si="4"/>
        <v>171999</v>
      </c>
      <c r="P161" s="2960" t="str">
        <f t="shared" si="5"/>
        <v>Powerex Corporation Powerex Corporation California Independent System Operator Corporation AD SA 1017</v>
      </c>
      <c r="Q161" s="2953"/>
    </row>
    <row r="162" spans="1:17" ht="16.7" customHeight="1" x14ac:dyDescent="0.2">
      <c r="A162" s="2749">
        <v>34.119999999999997</v>
      </c>
      <c r="B162" s="2512" t="s">
        <v>9124</v>
      </c>
      <c r="C162" s="2512" t="s">
        <v>9124</v>
      </c>
      <c r="D162" s="2512" t="s">
        <v>9406</v>
      </c>
      <c r="E162" s="2947" t="s">
        <v>9623</v>
      </c>
      <c r="F162" s="2487" t="s">
        <v>9790</v>
      </c>
      <c r="G162" s="2631" t="s">
        <v>9711</v>
      </c>
      <c r="H162" s="2631" t="s">
        <v>9712</v>
      </c>
      <c r="I162" s="2766">
        <v>100</v>
      </c>
      <c r="J162" s="2854"/>
      <c r="K162" s="2766">
        <v>0</v>
      </c>
      <c r="L162" s="2766">
        <v>2903802</v>
      </c>
      <c r="M162" s="2766">
        <v>0</v>
      </c>
      <c r="N162" s="2963">
        <v>182578</v>
      </c>
      <c r="O162" s="2530">
        <f t="shared" si="4"/>
        <v>3086380</v>
      </c>
      <c r="P162" s="2960" t="str">
        <f t="shared" si="5"/>
        <v>Powerex Corporation Powerex Corporation California Independent System Operator Corporation LFP SA 1040</v>
      </c>
      <c r="Q162" s="2953"/>
    </row>
    <row r="163" spans="1:17" ht="16.7" customHeight="1" x14ac:dyDescent="0.2">
      <c r="A163" s="2749">
        <v>34.121000000000002</v>
      </c>
      <c r="B163" s="2512" t="s">
        <v>9124</v>
      </c>
      <c r="C163" s="2512" t="s">
        <v>9124</v>
      </c>
      <c r="D163" s="2512" t="s">
        <v>9406</v>
      </c>
      <c r="E163" s="2947" t="s">
        <v>196</v>
      </c>
      <c r="F163" s="2487" t="s">
        <v>9790</v>
      </c>
      <c r="G163" s="2631" t="s">
        <v>9711</v>
      </c>
      <c r="H163" s="2631" t="s">
        <v>9712</v>
      </c>
      <c r="I163" s="2766">
        <v>100</v>
      </c>
      <c r="J163" s="2766">
        <v>0</v>
      </c>
      <c r="K163" s="2766">
        <v>0</v>
      </c>
      <c r="L163" s="2766">
        <v>0</v>
      </c>
      <c r="M163" s="2766">
        <v>0</v>
      </c>
      <c r="N163" s="2963">
        <v>235108</v>
      </c>
      <c r="O163" s="2530">
        <f t="shared" si="4"/>
        <v>235108</v>
      </c>
      <c r="P163" s="2960" t="str">
        <f t="shared" si="5"/>
        <v>Powerex Corporation Powerex Corporation California Independent System Operator Corporation AD SA 1040</v>
      </c>
      <c r="Q163" s="2953"/>
    </row>
    <row r="164" spans="1:17" ht="16.7" customHeight="1" x14ac:dyDescent="0.2">
      <c r="A164" s="2749">
        <v>34.122</v>
      </c>
      <c r="B164" s="2512" t="s">
        <v>9124</v>
      </c>
      <c r="C164" s="2512" t="s">
        <v>9124</v>
      </c>
      <c r="D164" s="2512" t="s">
        <v>9406</v>
      </c>
      <c r="E164" s="2947" t="s">
        <v>9623</v>
      </c>
      <c r="F164" s="2487" t="s">
        <v>9791</v>
      </c>
      <c r="G164" s="2631" t="s">
        <v>9711</v>
      </c>
      <c r="H164" s="2631" t="s">
        <v>9712</v>
      </c>
      <c r="I164" s="2766">
        <v>100</v>
      </c>
      <c r="J164" s="2854"/>
      <c r="K164" s="2766">
        <v>0</v>
      </c>
      <c r="L164" s="2766">
        <v>3402394</v>
      </c>
      <c r="M164" s="2766">
        <v>0</v>
      </c>
      <c r="N164" s="2970">
        <v>67324</v>
      </c>
      <c r="O164" s="2530">
        <f t="shared" si="4"/>
        <v>3469718</v>
      </c>
      <c r="P164" s="2960" t="str">
        <f t="shared" si="5"/>
        <v>Powerex Corporation Powerex Corporation California Independent System Operator Corporation LFP SA 700</v>
      </c>
      <c r="Q164" s="2953"/>
    </row>
    <row r="165" spans="1:17" ht="16.7" customHeight="1" x14ac:dyDescent="0.2">
      <c r="A165" s="2749">
        <v>34.122999999999998</v>
      </c>
      <c r="B165" s="2512" t="s">
        <v>9124</v>
      </c>
      <c r="C165" s="2512" t="s">
        <v>9124</v>
      </c>
      <c r="D165" s="2512" t="s">
        <v>9406</v>
      </c>
      <c r="E165" s="2947" t="s">
        <v>196</v>
      </c>
      <c r="F165" s="2487" t="s">
        <v>9791</v>
      </c>
      <c r="G165" s="2631" t="s">
        <v>9711</v>
      </c>
      <c r="H165" s="2631" t="s">
        <v>9712</v>
      </c>
      <c r="I165" s="2766">
        <v>100</v>
      </c>
      <c r="J165" s="2766">
        <v>0</v>
      </c>
      <c r="K165" s="2766">
        <v>0</v>
      </c>
      <c r="L165" s="2766">
        <v>0</v>
      </c>
      <c r="M165" s="2766">
        <v>0</v>
      </c>
      <c r="N165" s="2962">
        <v>151089</v>
      </c>
      <c r="O165" s="2530">
        <f t="shared" si="4"/>
        <v>151089</v>
      </c>
      <c r="P165" s="2960" t="str">
        <f t="shared" si="5"/>
        <v>Powerex Corporation Powerex Corporation California Independent System Operator Corporation AD SA 700</v>
      </c>
      <c r="Q165" s="2953"/>
    </row>
    <row r="166" spans="1:17" ht="16.7" customHeight="1" x14ac:dyDescent="0.2">
      <c r="A166" s="2749">
        <v>34.124000000000002</v>
      </c>
      <c r="B166" s="2512" t="s">
        <v>9124</v>
      </c>
      <c r="C166" s="2512" t="s">
        <v>9124</v>
      </c>
      <c r="D166" s="2512" t="s">
        <v>9406</v>
      </c>
      <c r="E166" s="2947" t="s">
        <v>9623</v>
      </c>
      <c r="F166" s="2487" t="s">
        <v>9792</v>
      </c>
      <c r="G166" s="2631" t="s">
        <v>9711</v>
      </c>
      <c r="H166" s="2631" t="s">
        <v>9712</v>
      </c>
      <c r="I166" s="2766">
        <v>100</v>
      </c>
      <c r="J166" s="2854"/>
      <c r="K166" s="2766">
        <v>0</v>
      </c>
      <c r="L166" s="2766">
        <v>3402394</v>
      </c>
      <c r="M166" s="2766">
        <v>0</v>
      </c>
      <c r="N166" s="2970">
        <v>67324</v>
      </c>
      <c r="O166" s="2530">
        <f t="shared" si="4"/>
        <v>3469718</v>
      </c>
      <c r="P166" s="2960" t="str">
        <f t="shared" si="5"/>
        <v>Powerex Corporation Powerex Corporation California Independent System Operator Corporation LFP SA 701</v>
      </c>
      <c r="Q166" s="2953"/>
    </row>
    <row r="167" spans="1:17" ht="16.7" customHeight="1" x14ac:dyDescent="0.2">
      <c r="A167" s="2749">
        <v>34.125</v>
      </c>
      <c r="B167" s="2512" t="s">
        <v>9124</v>
      </c>
      <c r="C167" s="2512" t="s">
        <v>9124</v>
      </c>
      <c r="D167" s="2512" t="s">
        <v>9406</v>
      </c>
      <c r="E167" s="2947" t="s">
        <v>196</v>
      </c>
      <c r="F167" s="2487" t="s">
        <v>9792</v>
      </c>
      <c r="G167" s="2631" t="s">
        <v>9711</v>
      </c>
      <c r="H167" s="2631" t="s">
        <v>9712</v>
      </c>
      <c r="I167" s="2766">
        <v>100</v>
      </c>
      <c r="J167" s="2766">
        <v>0</v>
      </c>
      <c r="K167" s="2766">
        <v>0</v>
      </c>
      <c r="L167" s="2766">
        <v>0</v>
      </c>
      <c r="M167" s="2766">
        <v>0</v>
      </c>
      <c r="N167" s="2962">
        <v>151089</v>
      </c>
      <c r="O167" s="2530">
        <f t="shared" si="4"/>
        <v>151089</v>
      </c>
      <c r="P167" s="2960" t="str">
        <f t="shared" si="5"/>
        <v>Powerex Corporation Powerex Corporation California Independent System Operator Corporation AD SA 701</v>
      </c>
      <c r="Q167" s="2953"/>
    </row>
    <row r="168" spans="1:17" ht="16.7" customHeight="1" x14ac:dyDescent="0.2">
      <c r="A168" s="2749">
        <v>34.125999999999998</v>
      </c>
      <c r="B168" s="2512" t="s">
        <v>9124</v>
      </c>
      <c r="C168" s="2512" t="s">
        <v>9124</v>
      </c>
      <c r="D168" s="2512" t="s">
        <v>9406</v>
      </c>
      <c r="E168" s="2947" t="s">
        <v>9623</v>
      </c>
      <c r="F168" s="2487" t="s">
        <v>9793</v>
      </c>
      <c r="G168" s="2631" t="s">
        <v>9711</v>
      </c>
      <c r="H168" s="2631" t="s">
        <v>9712</v>
      </c>
      <c r="I168" s="2766">
        <v>100</v>
      </c>
      <c r="J168" s="2854"/>
      <c r="K168" s="2766">
        <v>0</v>
      </c>
      <c r="L168" s="2766">
        <v>3402394</v>
      </c>
      <c r="M168" s="2766">
        <v>0</v>
      </c>
      <c r="N168" s="2970">
        <v>67324</v>
      </c>
      <c r="O168" s="2530">
        <f t="shared" si="4"/>
        <v>3469718</v>
      </c>
      <c r="P168" s="2960" t="str">
        <f t="shared" si="5"/>
        <v>Powerex Corporation Powerex Corporation California Independent System Operator Corporation LFP SA 702</v>
      </c>
      <c r="Q168" s="2953"/>
    </row>
    <row r="169" spans="1:17" ht="16.7" customHeight="1" x14ac:dyDescent="0.2">
      <c r="A169" s="2749">
        <v>34.127000000000002</v>
      </c>
      <c r="B169" s="2512" t="s">
        <v>9124</v>
      </c>
      <c r="C169" s="2512" t="s">
        <v>9124</v>
      </c>
      <c r="D169" s="2512" t="s">
        <v>9406</v>
      </c>
      <c r="E169" s="2947" t="s">
        <v>196</v>
      </c>
      <c r="F169" s="2487" t="s">
        <v>9793</v>
      </c>
      <c r="G169" s="2631" t="s">
        <v>9711</v>
      </c>
      <c r="H169" s="2631" t="s">
        <v>9712</v>
      </c>
      <c r="I169" s="2766">
        <v>100</v>
      </c>
      <c r="J169" s="2766">
        <v>0</v>
      </c>
      <c r="K169" s="2766">
        <v>0</v>
      </c>
      <c r="L169" s="2766">
        <v>0</v>
      </c>
      <c r="M169" s="2766">
        <v>0</v>
      </c>
      <c r="N169" s="2962">
        <v>151089</v>
      </c>
      <c r="O169" s="2530">
        <f t="shared" si="4"/>
        <v>151089</v>
      </c>
      <c r="P169" s="2960" t="str">
        <f t="shared" si="5"/>
        <v>Powerex Corporation Powerex Corporation California Independent System Operator Corporation AD SA 702</v>
      </c>
      <c r="Q169" s="2953"/>
    </row>
    <row r="170" spans="1:17" ht="16.7" customHeight="1" x14ac:dyDescent="0.2">
      <c r="A170" s="2749">
        <v>34.128</v>
      </c>
      <c r="B170" s="2512" t="s">
        <v>9124</v>
      </c>
      <c r="C170" s="2512" t="s">
        <v>9124</v>
      </c>
      <c r="D170" s="2512" t="s">
        <v>9406</v>
      </c>
      <c r="E170" s="2947" t="s">
        <v>9623</v>
      </c>
      <c r="F170" s="2487" t="s">
        <v>9794</v>
      </c>
      <c r="G170" s="2631" t="s">
        <v>9711</v>
      </c>
      <c r="H170" s="2631" t="s">
        <v>9712</v>
      </c>
      <c r="I170" s="2766">
        <v>50</v>
      </c>
      <c r="J170" s="2854"/>
      <c r="K170" s="2766">
        <v>0</v>
      </c>
      <c r="L170" s="2766">
        <v>2628659</v>
      </c>
      <c r="M170" s="2766">
        <v>0</v>
      </c>
      <c r="N170" s="2970">
        <v>52410</v>
      </c>
      <c r="O170" s="2530">
        <f t="shared" si="4"/>
        <v>2681069</v>
      </c>
      <c r="P170" s="2960" t="str">
        <f t="shared" si="5"/>
        <v xml:space="preserve">Powerex Corporation Powerex Corporation California Independent System Operator Corporation LFP SA 748 </v>
      </c>
      <c r="Q170" s="2953"/>
    </row>
    <row r="171" spans="1:17" ht="16.7" customHeight="1" x14ac:dyDescent="0.2">
      <c r="A171" s="2749">
        <v>34.128999999999998</v>
      </c>
      <c r="B171" s="2512" t="s">
        <v>9124</v>
      </c>
      <c r="C171" s="2512" t="s">
        <v>9124</v>
      </c>
      <c r="D171" s="2967" t="s">
        <v>9406</v>
      </c>
      <c r="E171" s="2947" t="s">
        <v>196</v>
      </c>
      <c r="F171" s="2487" t="s">
        <v>9794</v>
      </c>
      <c r="G171" s="2631" t="s">
        <v>9711</v>
      </c>
      <c r="H171" s="2631" t="s">
        <v>9712</v>
      </c>
      <c r="I171" s="2766">
        <v>50</v>
      </c>
      <c r="J171" s="2766">
        <v>0</v>
      </c>
      <c r="K171" s="2766">
        <v>0</v>
      </c>
      <c r="L171" s="2766">
        <v>0</v>
      </c>
      <c r="M171" s="2766">
        <v>0</v>
      </c>
      <c r="N171" s="2962">
        <v>391004</v>
      </c>
      <c r="O171" s="2530">
        <f t="shared" si="4"/>
        <v>391004</v>
      </c>
      <c r="P171" s="2960" t="str">
        <f t="shared" si="5"/>
        <v xml:space="preserve">Powerex Corporation Powerex Corporation California Independent System Operator Corporation AD SA 748 </v>
      </c>
      <c r="Q171" s="2953"/>
    </row>
    <row r="172" spans="1:17" ht="16.7" customHeight="1" x14ac:dyDescent="0.2">
      <c r="A172" s="2749">
        <v>34.130000000000003</v>
      </c>
      <c r="B172" s="2512" t="s">
        <v>9124</v>
      </c>
      <c r="C172" s="2512" t="s">
        <v>9124</v>
      </c>
      <c r="D172" s="2967" t="s">
        <v>9406</v>
      </c>
      <c r="E172" s="2947" t="s">
        <v>9623</v>
      </c>
      <c r="F172" s="2487" t="s">
        <v>9795</v>
      </c>
      <c r="G172" s="2631" t="s">
        <v>9711</v>
      </c>
      <c r="H172" s="2631" t="s">
        <v>9712</v>
      </c>
      <c r="I172" s="2766">
        <v>150</v>
      </c>
      <c r="J172" s="2854"/>
      <c r="K172" s="2766">
        <v>0</v>
      </c>
      <c r="L172" s="2766">
        <v>4176129</v>
      </c>
      <c r="M172" s="2766">
        <v>0</v>
      </c>
      <c r="N172" s="2970">
        <v>82240</v>
      </c>
      <c r="O172" s="2530">
        <f t="shared" si="4"/>
        <v>4258369</v>
      </c>
      <c r="P172" s="2960" t="str">
        <f t="shared" si="5"/>
        <v>Powerex Corporation Powerex Corporation California Independent System Operator Corporation LFP SA 749</v>
      </c>
      <c r="Q172" s="2953"/>
    </row>
    <row r="173" spans="1:17" ht="16.7" customHeight="1" x14ac:dyDescent="0.2">
      <c r="A173" s="2749">
        <v>34.131</v>
      </c>
      <c r="B173" s="2512" t="s">
        <v>9124</v>
      </c>
      <c r="C173" s="2512" t="s">
        <v>9124</v>
      </c>
      <c r="D173" s="2512" t="s">
        <v>9406</v>
      </c>
      <c r="E173" s="2947" t="s">
        <v>196</v>
      </c>
      <c r="F173" s="2487" t="s">
        <v>9795</v>
      </c>
      <c r="G173" s="2631" t="s">
        <v>9711</v>
      </c>
      <c r="H173" s="2631" t="s">
        <v>9712</v>
      </c>
      <c r="I173" s="2766">
        <v>150</v>
      </c>
      <c r="J173" s="2766">
        <v>0</v>
      </c>
      <c r="K173" s="2766">
        <v>0</v>
      </c>
      <c r="L173" s="2766">
        <v>0</v>
      </c>
      <c r="M173" s="2766">
        <v>0</v>
      </c>
      <c r="N173" s="2962">
        <v>-88827</v>
      </c>
      <c r="O173" s="2530">
        <f t="shared" si="4"/>
        <v>-88827</v>
      </c>
      <c r="P173" s="2960" t="str">
        <f t="shared" si="5"/>
        <v>Powerex Corporation Powerex Corporation California Independent System Operator Corporation AD SA 749</v>
      </c>
      <c r="Q173" s="2953"/>
    </row>
    <row r="174" spans="1:17" ht="16.7" customHeight="1" x14ac:dyDescent="0.2">
      <c r="A174" s="2749">
        <v>34.131999999999998</v>
      </c>
      <c r="B174" s="2512" t="s">
        <v>9124</v>
      </c>
      <c r="C174" s="2512" t="s">
        <v>9124</v>
      </c>
      <c r="D174" s="2512" t="s">
        <v>9406</v>
      </c>
      <c r="E174" s="2947" t="s">
        <v>9623</v>
      </c>
      <c r="F174" s="2487" t="s">
        <v>9796</v>
      </c>
      <c r="G174" s="2631" t="s">
        <v>9711</v>
      </c>
      <c r="H174" s="2631" t="s">
        <v>9712</v>
      </c>
      <c r="I174" s="2766">
        <v>100</v>
      </c>
      <c r="J174" s="2854"/>
      <c r="K174" s="2766">
        <v>0</v>
      </c>
      <c r="L174" s="2766">
        <v>3402394</v>
      </c>
      <c r="M174" s="2766">
        <v>0</v>
      </c>
      <c r="N174" s="2970">
        <v>67324</v>
      </c>
      <c r="O174" s="2530">
        <f t="shared" si="4"/>
        <v>3469718</v>
      </c>
      <c r="P174" s="2960" t="str">
        <f t="shared" si="5"/>
        <v>Powerex Corporation Powerex Corporation California Independent System Operator Corporation LFP SA 995</v>
      </c>
      <c r="Q174" s="2953"/>
    </row>
    <row r="175" spans="1:17" ht="16.7" customHeight="1" x14ac:dyDescent="0.2">
      <c r="A175" s="2749">
        <v>34.133000000000003</v>
      </c>
      <c r="B175" s="2512" t="s">
        <v>9124</v>
      </c>
      <c r="C175" s="2512" t="s">
        <v>9124</v>
      </c>
      <c r="D175" s="2512" t="s">
        <v>9406</v>
      </c>
      <c r="E175" s="2947" t="s">
        <v>196</v>
      </c>
      <c r="F175" s="2487" t="s">
        <v>9796</v>
      </c>
      <c r="G175" s="2631" t="s">
        <v>9711</v>
      </c>
      <c r="H175" s="2631" t="s">
        <v>9712</v>
      </c>
      <c r="I175" s="2766">
        <v>100</v>
      </c>
      <c r="J175" s="2766">
        <v>0</v>
      </c>
      <c r="K175" s="2766">
        <v>0</v>
      </c>
      <c r="L175" s="2766">
        <v>0</v>
      </c>
      <c r="M175" s="2766">
        <v>0</v>
      </c>
      <c r="N175" s="2962">
        <v>151089</v>
      </c>
      <c r="O175" s="2530">
        <f t="shared" si="4"/>
        <v>151089</v>
      </c>
      <c r="P175" s="2960" t="str">
        <f t="shared" si="5"/>
        <v>Powerex Corporation Powerex Corporation California Independent System Operator Corporation AD SA 995</v>
      </c>
      <c r="Q175" s="2953"/>
    </row>
    <row r="176" spans="1:17" ht="16.7" customHeight="1" x14ac:dyDescent="0.2">
      <c r="A176" s="2749">
        <v>34.134</v>
      </c>
      <c r="B176" s="2512" t="s">
        <v>9124</v>
      </c>
      <c r="C176" s="2967" t="s">
        <v>9124</v>
      </c>
      <c r="D176" s="2967" t="s">
        <v>9406</v>
      </c>
      <c r="E176" s="2947" t="s">
        <v>9623</v>
      </c>
      <c r="F176" s="2487" t="s">
        <v>9797</v>
      </c>
      <c r="G176" s="2631" t="s">
        <v>9711</v>
      </c>
      <c r="H176" s="2631" t="s">
        <v>9712</v>
      </c>
      <c r="I176" s="2766">
        <v>100</v>
      </c>
      <c r="J176" s="2854"/>
      <c r="K176" s="2766">
        <v>0</v>
      </c>
      <c r="L176" s="2766">
        <v>3402394</v>
      </c>
      <c r="M176" s="2766">
        <v>0</v>
      </c>
      <c r="N176" s="2970">
        <v>67324</v>
      </c>
      <c r="O176" s="2530">
        <f t="shared" si="4"/>
        <v>3469718</v>
      </c>
      <c r="P176" s="2960" t="str">
        <f t="shared" si="5"/>
        <v>Powerex Corporation Powerex Corporation California Independent System Operator Corporation LFP SA 996</v>
      </c>
      <c r="Q176" s="2953"/>
    </row>
    <row r="177" spans="1:17" ht="16.7" customHeight="1" x14ac:dyDescent="0.2">
      <c r="A177" s="2973">
        <v>34.134999999999998</v>
      </c>
      <c r="B177" s="2512" t="s">
        <v>9124</v>
      </c>
      <c r="C177" s="2967" t="s">
        <v>9124</v>
      </c>
      <c r="D177" s="2967" t="s">
        <v>9406</v>
      </c>
      <c r="E177" s="2947" t="s">
        <v>196</v>
      </c>
      <c r="F177" s="2487" t="s">
        <v>9797</v>
      </c>
      <c r="G177" s="2631" t="s">
        <v>9711</v>
      </c>
      <c r="H177" s="2631" t="s">
        <v>9712</v>
      </c>
      <c r="I177" s="2766">
        <v>100</v>
      </c>
      <c r="J177" s="2766">
        <v>0</v>
      </c>
      <c r="K177" s="2766">
        <v>0</v>
      </c>
      <c r="L177" s="2766">
        <v>0</v>
      </c>
      <c r="M177" s="2766">
        <v>0</v>
      </c>
      <c r="N177" s="2962">
        <v>151089</v>
      </c>
      <c r="O177" s="2530">
        <f t="shared" si="4"/>
        <v>151089</v>
      </c>
      <c r="P177" s="2960" t="str">
        <f t="shared" si="5"/>
        <v>Powerex Corporation Powerex Corporation California Independent System Operator Corporation AD SA 996</v>
      </c>
      <c r="Q177" s="2953"/>
    </row>
    <row r="178" spans="1:17" ht="16.7" customHeight="1" x14ac:dyDescent="0.2">
      <c r="A178" s="2974">
        <v>34.136000000000003</v>
      </c>
      <c r="B178" s="2512" t="s">
        <v>9124</v>
      </c>
      <c r="C178" s="2512" t="s">
        <v>9628</v>
      </c>
      <c r="D178" s="2512" t="s">
        <v>9628</v>
      </c>
      <c r="E178" s="2489" t="s">
        <v>9629</v>
      </c>
      <c r="F178" s="2487" t="s">
        <v>9798</v>
      </c>
      <c r="G178" s="2631" t="s">
        <v>9631</v>
      </c>
      <c r="H178" s="2631" t="s">
        <v>9631</v>
      </c>
      <c r="I178" s="2854"/>
      <c r="J178" s="2766">
        <v>241275</v>
      </c>
      <c r="K178" s="2766">
        <v>241275</v>
      </c>
      <c r="L178" s="2766">
        <v>0</v>
      </c>
      <c r="M178" s="2766">
        <v>3739989</v>
      </c>
      <c r="N178" s="2963">
        <v>236621</v>
      </c>
      <c r="O178" s="2530">
        <f t="shared" si="4"/>
        <v>3976610</v>
      </c>
      <c r="P178" s="2960" t="str">
        <f t="shared" si="5"/>
        <v>Powerex Corporation various signatories various signatories NF SA 47</v>
      </c>
      <c r="Q178" s="2953"/>
    </row>
    <row r="179" spans="1:17" ht="16.7" customHeight="1" x14ac:dyDescent="0.2">
      <c r="A179" s="2975">
        <v>34.137</v>
      </c>
      <c r="B179" s="2512" t="s">
        <v>9124</v>
      </c>
      <c r="C179" s="2512" t="s">
        <v>9628</v>
      </c>
      <c r="D179" s="2512" t="s">
        <v>9628</v>
      </c>
      <c r="E179" s="2966" t="s">
        <v>196</v>
      </c>
      <c r="F179" s="2487" t="s">
        <v>9798</v>
      </c>
      <c r="G179" s="2631" t="s">
        <v>9631</v>
      </c>
      <c r="H179" s="2631" t="s">
        <v>9631</v>
      </c>
      <c r="I179" s="2854"/>
      <c r="J179" s="2766">
        <v>11246</v>
      </c>
      <c r="K179" s="2766">
        <v>11246</v>
      </c>
      <c r="L179" s="2766">
        <v>0</v>
      </c>
      <c r="M179" s="2766">
        <v>0</v>
      </c>
      <c r="N179" s="2962">
        <v>169953</v>
      </c>
      <c r="O179" s="2530">
        <f t="shared" si="4"/>
        <v>169953</v>
      </c>
      <c r="P179" s="2960" t="str">
        <f t="shared" si="5"/>
        <v>Powerex Corporation various signatories various signatories AD SA 47</v>
      </c>
      <c r="Q179" s="2953"/>
    </row>
    <row r="180" spans="1:17" ht="16.7" customHeight="1" x14ac:dyDescent="0.2">
      <c r="A180" s="2975">
        <v>34.137999999999998</v>
      </c>
      <c r="B180" s="2512" t="s">
        <v>9124</v>
      </c>
      <c r="C180" s="2512" t="s">
        <v>9628</v>
      </c>
      <c r="D180" s="2512" t="s">
        <v>9132</v>
      </c>
      <c r="E180" s="2489" t="s">
        <v>9632</v>
      </c>
      <c r="F180" s="2487" t="s">
        <v>9799</v>
      </c>
      <c r="G180" s="2631" t="s">
        <v>9631</v>
      </c>
      <c r="H180" s="2631" t="s">
        <v>9631</v>
      </c>
      <c r="I180" s="2854"/>
      <c r="J180" s="2766">
        <v>273848</v>
      </c>
      <c r="K180" s="2766">
        <v>273848</v>
      </c>
      <c r="L180" s="2766">
        <v>0</v>
      </c>
      <c r="M180" s="2766">
        <v>553646</v>
      </c>
      <c r="N180" s="2963">
        <v>35105</v>
      </c>
      <c r="O180" s="2530">
        <f t="shared" si="4"/>
        <v>588751</v>
      </c>
      <c r="P180" s="2960" t="str">
        <f t="shared" si="5"/>
        <v>Powerex Corporation various signatories Sacramento Municipal Utility District SFP SA 151</v>
      </c>
      <c r="Q180" s="2953"/>
    </row>
    <row r="181" spans="1:17" ht="16.7" customHeight="1" x14ac:dyDescent="0.2">
      <c r="A181" s="2975">
        <v>34.139000000000003</v>
      </c>
      <c r="B181" s="2512" t="s">
        <v>9124</v>
      </c>
      <c r="C181" s="2512" t="s">
        <v>9628</v>
      </c>
      <c r="D181" s="2512" t="s">
        <v>9628</v>
      </c>
      <c r="E181" s="2966" t="s">
        <v>196</v>
      </c>
      <c r="F181" s="2487" t="s">
        <v>9799</v>
      </c>
      <c r="G181" s="2631" t="s">
        <v>9631</v>
      </c>
      <c r="H181" s="2631" t="s">
        <v>9631</v>
      </c>
      <c r="I181" s="2854"/>
      <c r="J181" s="2766">
        <v>2875</v>
      </c>
      <c r="K181" s="2766">
        <v>2875</v>
      </c>
      <c r="L181" s="2766">
        <v>0</v>
      </c>
      <c r="M181" s="2766">
        <v>0</v>
      </c>
      <c r="N181" s="2962">
        <v>372</v>
      </c>
      <c r="O181" s="2527">
        <f t="shared" si="4"/>
        <v>372</v>
      </c>
      <c r="P181" s="2960" t="str">
        <f t="shared" si="5"/>
        <v>Powerex Corporation various signatories various signatories AD SA 151</v>
      </c>
      <c r="Q181" s="2953"/>
    </row>
    <row r="182" spans="1:17" ht="16.7" customHeight="1" x14ac:dyDescent="0.2">
      <c r="A182" s="2975">
        <v>34.14</v>
      </c>
      <c r="B182" s="2512" t="s">
        <v>9800</v>
      </c>
      <c r="C182" s="2512" t="s">
        <v>9801</v>
      </c>
      <c r="D182" s="2512" t="s">
        <v>9801</v>
      </c>
      <c r="E182" s="2966" t="s">
        <v>9632</v>
      </c>
      <c r="F182" s="2487" t="s">
        <v>9802</v>
      </c>
      <c r="G182" s="2631" t="s">
        <v>9803</v>
      </c>
      <c r="H182" s="2631" t="s">
        <v>9803</v>
      </c>
      <c r="I182" s="2854"/>
      <c r="J182" s="2766">
        <v>250</v>
      </c>
      <c r="K182" s="2766">
        <v>250</v>
      </c>
      <c r="L182" s="2766">
        <v>0</v>
      </c>
      <c r="M182" s="2766">
        <v>2329</v>
      </c>
      <c r="N182" s="2963">
        <v>145</v>
      </c>
      <c r="O182" s="2527">
        <f t="shared" si="4"/>
        <v>2474</v>
      </c>
      <c r="P182" s="2960" t="str">
        <f t="shared" si="5"/>
        <v>Public Service Co of Co Various signatories to the Volume 11 Point-to-Point Transmission Tariff. Various signatories to the Volume 11 Point-to-Point Transmission Tariff. SFP SA 665</v>
      </c>
      <c r="Q182" s="2953"/>
    </row>
    <row r="183" spans="1:17" ht="16.7" customHeight="1" x14ac:dyDescent="0.2">
      <c r="A183" s="2975">
        <v>34.140999999999899</v>
      </c>
      <c r="B183" s="2512" t="s">
        <v>9804</v>
      </c>
      <c r="C183" s="2512" t="s">
        <v>9801</v>
      </c>
      <c r="D183" s="2512" t="s">
        <v>9801</v>
      </c>
      <c r="E183" s="2966" t="s">
        <v>9632</v>
      </c>
      <c r="F183" s="2487" t="s">
        <v>9802</v>
      </c>
      <c r="G183" s="2631" t="s">
        <v>9803</v>
      </c>
      <c r="H183" s="2631" t="s">
        <v>9803</v>
      </c>
      <c r="I183" s="2854"/>
      <c r="J183" s="2854"/>
      <c r="K183" s="2766">
        <v>0</v>
      </c>
      <c r="L183" s="2766">
        <v>0</v>
      </c>
      <c r="M183" s="2766">
        <v>222</v>
      </c>
      <c r="N183" s="2962">
        <v>14</v>
      </c>
      <c r="O183" s="2527">
        <f t="shared" si="4"/>
        <v>236</v>
      </c>
      <c r="P183" s="2960" t="str">
        <f t="shared" si="5"/>
        <v>Public Service of New Mexico Various signatories to the Volume 11 Point-to-Point Transmission Tariff. Various signatories to the Volume 11 Point-to-Point Transmission Tariff. SFP SA 665</v>
      </c>
      <c r="Q183" s="2953"/>
    </row>
    <row r="184" spans="1:17" ht="16.7" customHeight="1" x14ac:dyDescent="0.2">
      <c r="A184" s="2975">
        <v>34.141999999999904</v>
      </c>
      <c r="B184" s="2512" t="s">
        <v>9519</v>
      </c>
      <c r="C184" s="2512" t="s">
        <v>9519</v>
      </c>
      <c r="D184" s="2512" t="s">
        <v>9091</v>
      </c>
      <c r="E184" s="2947" t="s">
        <v>193</v>
      </c>
      <c r="F184" s="2487" t="s">
        <v>9805</v>
      </c>
      <c r="G184" s="2631" t="s">
        <v>9806</v>
      </c>
      <c r="H184" s="2631" t="s">
        <v>9807</v>
      </c>
      <c r="I184" s="2854"/>
      <c r="J184" s="2854"/>
      <c r="K184" s="2766">
        <v>0</v>
      </c>
      <c r="L184" s="2766">
        <v>0</v>
      </c>
      <c r="M184" s="2766">
        <v>0</v>
      </c>
      <c r="N184" s="2972">
        <v>202790</v>
      </c>
      <c r="O184" s="2527">
        <f t="shared" si="4"/>
        <v>202790</v>
      </c>
      <c r="P184" s="2960" t="str">
        <f t="shared" si="5"/>
        <v>Public Utility District No. 1 of Cowlitz County Public Utility District No. 1 of Cowlitz County Bonneville Power Administration OS RS 234</v>
      </c>
      <c r="Q184" s="2953"/>
    </row>
    <row r="185" spans="1:17" ht="16.7" customHeight="1" x14ac:dyDescent="0.2">
      <c r="A185" s="2975">
        <v>34.142999999999901</v>
      </c>
      <c r="B185" s="2512" t="s">
        <v>9519</v>
      </c>
      <c r="C185" s="2512" t="s">
        <v>9519</v>
      </c>
      <c r="D185" s="2512" t="s">
        <v>9091</v>
      </c>
      <c r="E185" s="2947" t="s">
        <v>196</v>
      </c>
      <c r="F185" s="2487" t="s">
        <v>9805</v>
      </c>
      <c r="G185" s="2631" t="s">
        <v>9806</v>
      </c>
      <c r="H185" s="2631" t="s">
        <v>9807</v>
      </c>
      <c r="I185" s="2854"/>
      <c r="J185" s="2854"/>
      <c r="K185" s="2766">
        <v>0</v>
      </c>
      <c r="L185" s="2766">
        <v>0</v>
      </c>
      <c r="M185" s="2766">
        <v>0</v>
      </c>
      <c r="N185" s="2972">
        <v>18273</v>
      </c>
      <c r="O185" s="2527">
        <f t="shared" si="4"/>
        <v>18273</v>
      </c>
      <c r="P185" s="2960" t="str">
        <f t="shared" si="5"/>
        <v>Public Utility District No. 1 of Cowlitz County Public Utility District No. 1 of Cowlitz County Bonneville Power Administration AD RS 234</v>
      </c>
      <c r="Q185" s="2953"/>
    </row>
    <row r="186" spans="1:17" ht="16.7" customHeight="1" x14ac:dyDescent="0.2">
      <c r="A186" s="2975">
        <v>34.143999999999899</v>
      </c>
      <c r="B186" s="2512" t="s">
        <v>9808</v>
      </c>
      <c r="C186" s="2512" t="s">
        <v>9628</v>
      </c>
      <c r="D186" s="2512" t="s">
        <v>9628</v>
      </c>
      <c r="E186" s="2489" t="s">
        <v>9629</v>
      </c>
      <c r="F186" s="2487" t="s">
        <v>9809</v>
      </c>
      <c r="G186" s="2631" t="s">
        <v>9631</v>
      </c>
      <c r="H186" s="2631" t="s">
        <v>9631</v>
      </c>
      <c r="I186" s="2854"/>
      <c r="J186" s="2854"/>
      <c r="K186" s="2766">
        <v>0</v>
      </c>
      <c r="L186" s="2766">
        <v>0</v>
      </c>
      <c r="M186" s="2766">
        <v>2679</v>
      </c>
      <c r="N186" s="2963">
        <v>170</v>
      </c>
      <c r="O186" s="2527">
        <f t="shared" si="4"/>
        <v>2849</v>
      </c>
      <c r="P186" s="2960" t="str">
        <f t="shared" si="5"/>
        <v>Puget Sound Energy various signatories various signatories NF SA 693</v>
      </c>
      <c r="Q186" s="2953"/>
    </row>
    <row r="187" spans="1:17" ht="16.7" customHeight="1" x14ac:dyDescent="0.2">
      <c r="A187" s="2975">
        <v>34.144999999999897</v>
      </c>
      <c r="B187" s="2512" t="s">
        <v>9808</v>
      </c>
      <c r="C187" s="2512" t="s">
        <v>9628</v>
      </c>
      <c r="D187" s="2512" t="s">
        <v>9628</v>
      </c>
      <c r="E187" s="2489" t="s">
        <v>9632</v>
      </c>
      <c r="F187" s="2487" t="s">
        <v>9810</v>
      </c>
      <c r="G187" s="2631" t="s">
        <v>9631</v>
      </c>
      <c r="H187" s="2631" t="s">
        <v>9631</v>
      </c>
      <c r="I187" s="2854"/>
      <c r="J187" s="2854"/>
      <c r="K187" s="2766">
        <v>0</v>
      </c>
      <c r="L187" s="2766">
        <v>0</v>
      </c>
      <c r="M187" s="2766">
        <v>3721</v>
      </c>
      <c r="N187" s="2963">
        <v>236</v>
      </c>
      <c r="O187" s="2527">
        <f t="shared" si="4"/>
        <v>3957</v>
      </c>
      <c r="P187" s="2960" t="str">
        <f t="shared" si="5"/>
        <v>Puget Sound Energy various signatories various signatories SFP SA 694</v>
      </c>
      <c r="Q187" s="2953"/>
    </row>
    <row r="188" spans="1:17" ht="16.7" customHeight="1" x14ac:dyDescent="0.2">
      <c r="A188" s="2975">
        <v>34.145999999999901</v>
      </c>
      <c r="B188" s="2512" t="s">
        <v>9131</v>
      </c>
      <c r="C188" s="2512" t="s">
        <v>9628</v>
      </c>
      <c r="D188" s="2512" t="s">
        <v>9628</v>
      </c>
      <c r="E188" s="2489" t="s">
        <v>9629</v>
      </c>
      <c r="F188" s="2487" t="s">
        <v>9811</v>
      </c>
      <c r="G188" s="2631" t="s">
        <v>9631</v>
      </c>
      <c r="H188" s="2631" t="s">
        <v>9631</v>
      </c>
      <c r="I188" s="2854"/>
      <c r="J188" s="2766">
        <v>111491</v>
      </c>
      <c r="K188" s="2766">
        <v>111491</v>
      </c>
      <c r="L188" s="2766">
        <v>0</v>
      </c>
      <c r="M188" s="2766">
        <v>1232411</v>
      </c>
      <c r="N188" s="2963">
        <v>77582</v>
      </c>
      <c r="O188" s="2527">
        <f t="shared" si="4"/>
        <v>1309993</v>
      </c>
      <c r="P188" s="2960" t="str">
        <f t="shared" si="5"/>
        <v>Rainbow Energy Marketing Corporation various signatories various signatories NF SA 316</v>
      </c>
      <c r="Q188" s="2953"/>
    </row>
    <row r="189" spans="1:17" ht="16.7" customHeight="1" x14ac:dyDescent="0.2">
      <c r="A189" s="2975">
        <v>34.146999999999899</v>
      </c>
      <c r="B189" s="2512" t="s">
        <v>9131</v>
      </c>
      <c r="C189" s="2512" t="s">
        <v>9628</v>
      </c>
      <c r="D189" s="2512" t="s">
        <v>9628</v>
      </c>
      <c r="E189" s="2966" t="s">
        <v>196</v>
      </c>
      <c r="F189" s="2487" t="s">
        <v>9811</v>
      </c>
      <c r="G189" s="2631" t="s">
        <v>9631</v>
      </c>
      <c r="H189" s="2631" t="s">
        <v>9631</v>
      </c>
      <c r="I189" s="2854"/>
      <c r="J189" s="2766">
        <v>4354</v>
      </c>
      <c r="K189" s="2766">
        <v>4354</v>
      </c>
      <c r="L189" s="2766">
        <v>0</v>
      </c>
      <c r="M189" s="2766">
        <v>0</v>
      </c>
      <c r="N189" s="2962">
        <v>106215</v>
      </c>
      <c r="O189" s="2527">
        <f t="shared" si="4"/>
        <v>106215</v>
      </c>
      <c r="P189" s="2960" t="str">
        <f t="shared" si="5"/>
        <v>Rainbow Energy Marketing Corporation various signatories various signatories AD SA 316</v>
      </c>
      <c r="Q189" s="2953"/>
    </row>
    <row r="190" spans="1:17" ht="16.7" customHeight="1" x14ac:dyDescent="0.2">
      <c r="A190" s="2975">
        <v>34.147999999999897</v>
      </c>
      <c r="B190" s="2512" t="s">
        <v>9131</v>
      </c>
      <c r="C190" s="2512" t="s">
        <v>9628</v>
      </c>
      <c r="D190" s="2512" t="s">
        <v>9628</v>
      </c>
      <c r="E190" s="2489" t="s">
        <v>9632</v>
      </c>
      <c r="F190" s="2487" t="s">
        <v>9812</v>
      </c>
      <c r="G190" s="2631" t="s">
        <v>9631</v>
      </c>
      <c r="H190" s="2631" t="s">
        <v>9631</v>
      </c>
      <c r="I190" s="2854"/>
      <c r="J190" s="2766">
        <v>33034</v>
      </c>
      <c r="K190" s="2766">
        <v>33034</v>
      </c>
      <c r="L190" s="2766">
        <v>0</v>
      </c>
      <c r="M190" s="2766">
        <v>316822</v>
      </c>
      <c r="N190" s="2963">
        <v>35825</v>
      </c>
      <c r="O190" s="2527">
        <f t="shared" si="4"/>
        <v>352647</v>
      </c>
      <c r="P190" s="2960" t="str">
        <f t="shared" si="5"/>
        <v>Rainbow Energy Marketing Corporation various signatories various signatories SFP SA 261</v>
      </c>
      <c r="Q190" s="2953"/>
    </row>
    <row r="191" spans="1:17" ht="16.7" customHeight="1" x14ac:dyDescent="0.2">
      <c r="A191" s="2975">
        <v>34.148999999999901</v>
      </c>
      <c r="B191" s="2512" t="s">
        <v>9131</v>
      </c>
      <c r="C191" s="2512" t="s">
        <v>9628</v>
      </c>
      <c r="D191" s="2512" t="s">
        <v>9628</v>
      </c>
      <c r="E191" s="2966" t="s">
        <v>196</v>
      </c>
      <c r="F191" s="2487" t="s">
        <v>9812</v>
      </c>
      <c r="G191" s="2631" t="s">
        <v>9631</v>
      </c>
      <c r="H191" s="2631" t="s">
        <v>9631</v>
      </c>
      <c r="I191" s="2854"/>
      <c r="J191" s="2766">
        <v>5948</v>
      </c>
      <c r="K191" s="2766">
        <v>5948</v>
      </c>
      <c r="L191" s="2766">
        <v>0</v>
      </c>
      <c r="M191" s="2766">
        <v>0</v>
      </c>
      <c r="N191" s="2962">
        <v>40391</v>
      </c>
      <c r="O191" s="2527">
        <f t="shared" si="4"/>
        <v>40391</v>
      </c>
      <c r="P191" s="2960" t="str">
        <f t="shared" si="5"/>
        <v>Rainbow Energy Marketing Corporation various signatories various signatories AD SA 261</v>
      </c>
      <c r="Q191" s="2953"/>
    </row>
    <row r="192" spans="1:17" ht="16.7" customHeight="1" x14ac:dyDescent="0.2">
      <c r="A192" s="2975">
        <v>34.149999999999899</v>
      </c>
      <c r="B192" s="2512" t="s">
        <v>9132</v>
      </c>
      <c r="C192" s="2512" t="s">
        <v>9132</v>
      </c>
      <c r="D192" s="2512" t="s">
        <v>9132</v>
      </c>
      <c r="E192" s="2947" t="s">
        <v>9623</v>
      </c>
      <c r="F192" s="2487" t="s">
        <v>9813</v>
      </c>
      <c r="G192" s="2631" t="s">
        <v>9688</v>
      </c>
      <c r="H192" s="2631" t="s">
        <v>9688</v>
      </c>
      <c r="I192" s="2766">
        <v>20</v>
      </c>
      <c r="J192" s="2766">
        <v>120063</v>
      </c>
      <c r="K192" s="2766">
        <v>120063</v>
      </c>
      <c r="L192" s="2766">
        <v>674252</v>
      </c>
      <c r="M192" s="2766">
        <v>0</v>
      </c>
      <c r="N192" s="2963">
        <v>42461</v>
      </c>
      <c r="O192" s="2527">
        <f t="shared" si="4"/>
        <v>716713</v>
      </c>
      <c r="P192" s="2960" t="str">
        <f t="shared" si="5"/>
        <v>Sacramento Municipal Utility District Sacramento Municipal Utility District Sacramento Municipal Utility District LFP SA 863</v>
      </c>
      <c r="Q192" s="2953"/>
    </row>
    <row r="193" spans="1:17" ht="16.7" customHeight="1" x14ac:dyDescent="0.2">
      <c r="A193" s="2975">
        <v>34.150999999999897</v>
      </c>
      <c r="B193" s="2512" t="s">
        <v>9132</v>
      </c>
      <c r="C193" s="2512" t="s">
        <v>9132</v>
      </c>
      <c r="D193" s="2512" t="s">
        <v>9132</v>
      </c>
      <c r="E193" s="2947" t="s">
        <v>196</v>
      </c>
      <c r="F193" s="2487" t="s">
        <v>9813</v>
      </c>
      <c r="G193" s="2631" t="s">
        <v>9688</v>
      </c>
      <c r="H193" s="2631" t="s">
        <v>9688</v>
      </c>
      <c r="I193" s="2766">
        <v>20</v>
      </c>
      <c r="J193" s="2766">
        <v>12719</v>
      </c>
      <c r="K193" s="2766">
        <v>12719</v>
      </c>
      <c r="L193" s="2766">
        <v>0</v>
      </c>
      <c r="M193" s="2766">
        <v>0</v>
      </c>
      <c r="N193" s="2962">
        <v>100061</v>
      </c>
      <c r="O193" s="2527">
        <f t="shared" si="4"/>
        <v>100061</v>
      </c>
      <c r="P193" s="2960" t="str">
        <f t="shared" si="5"/>
        <v>Sacramento Municipal Utility District Sacramento Municipal Utility District Sacramento Municipal Utility District AD SA 863</v>
      </c>
      <c r="Q193" s="2953"/>
    </row>
    <row r="194" spans="1:17" ht="16.7" customHeight="1" x14ac:dyDescent="0.2">
      <c r="A194" s="2975">
        <v>34.151999999999902</v>
      </c>
      <c r="B194" s="2512" t="s">
        <v>9814</v>
      </c>
      <c r="C194" s="2512" t="s">
        <v>9814</v>
      </c>
      <c r="D194" s="2512" t="s">
        <v>9814</v>
      </c>
      <c r="E194" s="2947" t="s">
        <v>9623</v>
      </c>
      <c r="F194" s="2487" t="s">
        <v>9815</v>
      </c>
      <c r="G194" s="2631" t="s">
        <v>9816</v>
      </c>
      <c r="H194" s="2631" t="s">
        <v>9817</v>
      </c>
      <c r="I194" s="2766">
        <v>26</v>
      </c>
      <c r="J194" s="2766">
        <v>139331</v>
      </c>
      <c r="K194" s="2766">
        <v>139331</v>
      </c>
      <c r="L194" s="2766">
        <v>887175</v>
      </c>
      <c r="M194" s="2766">
        <v>0</v>
      </c>
      <c r="N194" s="2963">
        <v>55870</v>
      </c>
      <c r="O194" s="2527">
        <f t="shared" si="4"/>
        <v>943045</v>
      </c>
      <c r="P194" s="2960" t="str">
        <f t="shared" si="5"/>
        <v>Salt River Project Agricultural Improvement and Power District Salt River Project Agricultural Improvement and Power District Salt River Project Agricultural Improvement and Power District LFP SA 809</v>
      </c>
      <c r="Q194" s="2953"/>
    </row>
    <row r="195" spans="1:17" ht="16.7" customHeight="1" x14ac:dyDescent="0.2">
      <c r="A195" s="2975">
        <v>34.152999999999899</v>
      </c>
      <c r="B195" s="2512" t="s">
        <v>9814</v>
      </c>
      <c r="C195" s="2512" t="s">
        <v>9814</v>
      </c>
      <c r="D195" s="2512" t="s">
        <v>9814</v>
      </c>
      <c r="E195" s="2947" t="s">
        <v>196</v>
      </c>
      <c r="F195" s="2487" t="s">
        <v>9815</v>
      </c>
      <c r="G195" s="2631" t="s">
        <v>9816</v>
      </c>
      <c r="H195" s="2631" t="s">
        <v>9817</v>
      </c>
      <c r="I195" s="2766">
        <v>26</v>
      </c>
      <c r="J195" s="2766">
        <v>14534</v>
      </c>
      <c r="K195" s="2766">
        <v>14534</v>
      </c>
      <c r="L195" s="2766">
        <v>0</v>
      </c>
      <c r="M195" s="2766">
        <v>0</v>
      </c>
      <c r="N195" s="2962">
        <v>42984</v>
      </c>
      <c r="O195" s="2527">
        <f t="shared" si="4"/>
        <v>42984</v>
      </c>
      <c r="P195" s="2960" t="str">
        <f t="shared" si="5"/>
        <v>Salt River Project Agricultural Improvement and Power District Salt River Project Agricultural Improvement and Power District Salt River Project Agricultural Improvement and Power District AD SA 809</v>
      </c>
      <c r="Q195" s="2953"/>
    </row>
    <row r="196" spans="1:17" ht="16.7" customHeight="1" x14ac:dyDescent="0.2">
      <c r="A196" s="2975">
        <v>34.153999999999897</v>
      </c>
      <c r="B196" s="2488" t="s">
        <v>9814</v>
      </c>
      <c r="C196" s="2512" t="s">
        <v>9628</v>
      </c>
      <c r="D196" s="2512" t="s">
        <v>9628</v>
      </c>
      <c r="E196" s="2489" t="s">
        <v>9632</v>
      </c>
      <c r="F196" s="2487" t="s">
        <v>9818</v>
      </c>
      <c r="G196" s="2631" t="s">
        <v>9631</v>
      </c>
      <c r="H196" s="2631" t="s">
        <v>9631</v>
      </c>
      <c r="I196" s="2854"/>
      <c r="J196" s="2766">
        <v>334</v>
      </c>
      <c r="K196" s="2766">
        <v>334</v>
      </c>
      <c r="L196" s="2766">
        <v>0</v>
      </c>
      <c r="M196" s="2766">
        <v>4142</v>
      </c>
      <c r="N196" s="2963">
        <v>258</v>
      </c>
      <c r="O196" s="2527">
        <f t="shared" si="4"/>
        <v>4400</v>
      </c>
      <c r="P196" s="2960" t="str">
        <f t="shared" si="5"/>
        <v>Salt River Project Agricultural Improvement and Power District various signatories various signatories SFP SA 556</v>
      </c>
      <c r="Q196" s="2953"/>
    </row>
    <row r="197" spans="1:17" ht="16.7" customHeight="1" x14ac:dyDescent="0.2">
      <c r="A197" s="2975">
        <v>34.154999999999902</v>
      </c>
      <c r="B197" s="2488" t="s">
        <v>9135</v>
      </c>
      <c r="C197" s="2512" t="s">
        <v>9728</v>
      </c>
      <c r="D197" s="2512" t="s">
        <v>9129</v>
      </c>
      <c r="E197" s="2947" t="s">
        <v>9623</v>
      </c>
      <c r="F197" s="2487" t="s">
        <v>9819</v>
      </c>
      <c r="G197" s="2631" t="s">
        <v>9743</v>
      </c>
      <c r="H197" s="2631" t="s">
        <v>9744</v>
      </c>
      <c r="I197" s="2766">
        <v>110</v>
      </c>
      <c r="J197" s="2766">
        <v>245333</v>
      </c>
      <c r="K197" s="2766">
        <v>245333</v>
      </c>
      <c r="L197" s="2766">
        <v>2697509</v>
      </c>
      <c r="M197" s="2766">
        <v>0</v>
      </c>
      <c r="N197" s="2963">
        <v>1314708</v>
      </c>
      <c r="O197" s="2527">
        <f t="shared" si="4"/>
        <v>4012217</v>
      </c>
      <c r="P197" s="2960" t="str">
        <f t="shared" si="5"/>
        <v>Shell Energy North America (US), L.P. NextEra Energy Resources, LLC Public Utility District No. 2 of Grant County LFP SA 791</v>
      </c>
      <c r="Q197" s="2953"/>
    </row>
    <row r="198" spans="1:17" ht="16.7" customHeight="1" x14ac:dyDescent="0.2">
      <c r="A198" s="2975">
        <v>34.155999999999899</v>
      </c>
      <c r="B198" s="2488" t="s">
        <v>9135</v>
      </c>
      <c r="C198" s="2512" t="s">
        <v>9728</v>
      </c>
      <c r="D198" s="2512" t="s">
        <v>9129</v>
      </c>
      <c r="E198" s="2947" t="s">
        <v>196</v>
      </c>
      <c r="F198" s="2487" t="s">
        <v>9819</v>
      </c>
      <c r="G198" s="2631" t="s">
        <v>9743</v>
      </c>
      <c r="H198" s="2631" t="s">
        <v>9744</v>
      </c>
      <c r="I198" s="2766">
        <v>25</v>
      </c>
      <c r="J198" s="2766">
        <v>5415</v>
      </c>
      <c r="K198" s="2766">
        <v>5415</v>
      </c>
      <c r="L198" s="2766">
        <v>0</v>
      </c>
      <c r="M198" s="2766">
        <v>0</v>
      </c>
      <c r="N198" s="2962">
        <v>42984</v>
      </c>
      <c r="O198" s="2527">
        <f t="shared" si="4"/>
        <v>42984</v>
      </c>
      <c r="P198" s="2960" t="str">
        <f t="shared" si="5"/>
        <v>Shell Energy North America (US), L.P. NextEra Energy Resources, LLC Public Utility District No. 2 of Grant County AD SA 791</v>
      </c>
      <c r="Q198" s="2953"/>
    </row>
    <row r="199" spans="1:17" ht="16.7" customHeight="1" x14ac:dyDescent="0.2">
      <c r="A199" s="2975">
        <v>34.156999999999897</v>
      </c>
      <c r="B199" s="2488" t="s">
        <v>9135</v>
      </c>
      <c r="C199" s="2512" t="s">
        <v>9628</v>
      </c>
      <c r="D199" s="2512" t="s">
        <v>9628</v>
      </c>
      <c r="E199" s="2489" t="s">
        <v>9629</v>
      </c>
      <c r="F199" s="2487" t="s">
        <v>9820</v>
      </c>
      <c r="G199" s="2631" t="s">
        <v>9631</v>
      </c>
      <c r="H199" s="2631" t="s">
        <v>9631</v>
      </c>
      <c r="I199" s="2854"/>
      <c r="J199" s="2766">
        <v>50836</v>
      </c>
      <c r="K199" s="2766">
        <v>50836</v>
      </c>
      <c r="L199" s="2766">
        <v>0</v>
      </c>
      <c r="M199" s="2766">
        <v>685646</v>
      </c>
      <c r="N199" s="2971">
        <v>136413</v>
      </c>
      <c r="O199" s="2527">
        <f t="shared" si="4"/>
        <v>822059</v>
      </c>
      <c r="P199" s="2960" t="str">
        <f t="shared" si="5"/>
        <v>Shell Energy North America (US), L.P. various signatories various signatories NF SA 23</v>
      </c>
      <c r="Q199" s="2953"/>
    </row>
    <row r="200" spans="1:17" ht="16.7" customHeight="1" x14ac:dyDescent="0.2">
      <c r="A200" s="2975">
        <v>34.157999999999902</v>
      </c>
      <c r="B200" s="2488" t="s">
        <v>9135</v>
      </c>
      <c r="C200" s="2512" t="s">
        <v>9628</v>
      </c>
      <c r="D200" s="2512" t="s">
        <v>9628</v>
      </c>
      <c r="E200" s="2966" t="s">
        <v>196</v>
      </c>
      <c r="F200" s="2487" t="s">
        <v>9820</v>
      </c>
      <c r="G200" s="2631" t="s">
        <v>9631</v>
      </c>
      <c r="H200" s="2631" t="s">
        <v>9631</v>
      </c>
      <c r="I200" s="2854"/>
      <c r="J200" s="2766">
        <v>5341</v>
      </c>
      <c r="K200" s="2766">
        <v>5341</v>
      </c>
      <c r="L200" s="2766">
        <v>0</v>
      </c>
      <c r="M200" s="2766">
        <v>0</v>
      </c>
      <c r="N200" s="2962">
        <v>56465</v>
      </c>
      <c r="O200" s="2527">
        <f t="shared" si="4"/>
        <v>56465</v>
      </c>
      <c r="P200" s="2960" t="str">
        <f t="shared" si="5"/>
        <v>Shell Energy North America (US), L.P. various signatories various signatories AD SA 23</v>
      </c>
      <c r="Q200" s="2953"/>
    </row>
    <row r="201" spans="1:17" ht="16.7" customHeight="1" x14ac:dyDescent="0.2">
      <c r="A201" s="2975">
        <v>34.158999999999899</v>
      </c>
      <c r="B201" s="2488" t="s">
        <v>9135</v>
      </c>
      <c r="C201" s="2512" t="s">
        <v>9628</v>
      </c>
      <c r="D201" s="2512" t="s">
        <v>9628</v>
      </c>
      <c r="E201" s="2489" t="s">
        <v>9632</v>
      </c>
      <c r="F201" s="2487" t="s">
        <v>9821</v>
      </c>
      <c r="G201" s="2631" t="s">
        <v>9631</v>
      </c>
      <c r="H201" s="2631" t="s">
        <v>9631</v>
      </c>
      <c r="I201" s="2854"/>
      <c r="J201" s="2766">
        <v>99441</v>
      </c>
      <c r="K201" s="2766">
        <v>99441</v>
      </c>
      <c r="L201" s="2766">
        <v>0</v>
      </c>
      <c r="M201" s="2766">
        <v>1100752</v>
      </c>
      <c r="N201" s="2963">
        <v>69214</v>
      </c>
      <c r="O201" s="2527">
        <f t="shared" ref="O201:O262" si="6">SUM(L201:N201)</f>
        <v>1169966</v>
      </c>
      <c r="P201" s="2960" t="str">
        <f t="shared" ref="P201:P263" si="7">CONCATENATE(B201," ",C201," ",D201," ",E201," ",F201)</f>
        <v>Shell Energy North America (US), L.P. various signatories various signatories SFP SA 162</v>
      </c>
      <c r="Q201" s="2953"/>
    </row>
    <row r="202" spans="1:17" ht="16.7" customHeight="1" x14ac:dyDescent="0.2">
      <c r="A202" s="2975">
        <v>34.159999999999897</v>
      </c>
      <c r="B202" s="2488" t="s">
        <v>9135</v>
      </c>
      <c r="C202" s="2512" t="s">
        <v>9628</v>
      </c>
      <c r="D202" s="2512" t="s">
        <v>9628</v>
      </c>
      <c r="E202" s="2966" t="s">
        <v>196</v>
      </c>
      <c r="F202" s="2487" t="s">
        <v>9821</v>
      </c>
      <c r="G202" s="2631" t="s">
        <v>9631</v>
      </c>
      <c r="H202" s="2631" t="s">
        <v>9631</v>
      </c>
      <c r="I202" s="2854"/>
      <c r="J202" s="2766">
        <v>836</v>
      </c>
      <c r="K202" s="2766">
        <v>836</v>
      </c>
      <c r="L202" s="2766">
        <v>0</v>
      </c>
      <c r="M202" s="2766">
        <v>0</v>
      </c>
      <c r="N202" s="2962">
        <v>3963</v>
      </c>
      <c r="O202" s="2527">
        <f t="shared" si="6"/>
        <v>3963</v>
      </c>
      <c r="P202" s="2960" t="str">
        <f t="shared" si="7"/>
        <v>Shell Energy North America (US), L.P. various signatories various signatories AD SA 162</v>
      </c>
      <c r="Q202" s="2953"/>
    </row>
    <row r="203" spans="1:17" ht="16.7" customHeight="1" x14ac:dyDescent="0.2">
      <c r="A203" s="2975">
        <v>34.160999999999902</v>
      </c>
      <c r="B203" s="2478" t="s">
        <v>9136</v>
      </c>
      <c r="C203" s="2512" t="s">
        <v>9782</v>
      </c>
      <c r="D203" s="2512" t="s">
        <v>9782</v>
      </c>
      <c r="E203" s="2947" t="s">
        <v>193</v>
      </c>
      <c r="F203" s="2487" t="s">
        <v>9822</v>
      </c>
      <c r="G203" s="2631" t="s">
        <v>9823</v>
      </c>
      <c r="H203" s="2631" t="s">
        <v>9824</v>
      </c>
      <c r="I203" s="2854"/>
      <c r="J203" s="2854"/>
      <c r="K203" s="2766">
        <v>0</v>
      </c>
      <c r="L203" s="2766">
        <v>0</v>
      </c>
      <c r="M203" s="2766">
        <v>0</v>
      </c>
      <c r="N203" s="2968">
        <v>33147</v>
      </c>
      <c r="O203" s="2527">
        <f t="shared" si="6"/>
        <v>33147</v>
      </c>
      <c r="P203" s="2960" t="str">
        <f t="shared" si="7"/>
        <v>Sierra Pacific Power Company Operation, maintenance or facility lease services with no receipt or delivery of energy. Operation, maintenance or facility lease services with no receipt or delivery of energy. OS RS 674</v>
      </c>
      <c r="Q203" s="2953"/>
    </row>
    <row r="204" spans="1:17" ht="16.7" customHeight="1" x14ac:dyDescent="0.2">
      <c r="A204" s="2975">
        <v>34.1619999999999</v>
      </c>
      <c r="B204" s="2488" t="s">
        <v>9136</v>
      </c>
      <c r="C204" s="2512" t="s">
        <v>9782</v>
      </c>
      <c r="D204" s="2512" t="s">
        <v>9782</v>
      </c>
      <c r="E204" s="2947" t="s">
        <v>196</v>
      </c>
      <c r="F204" s="2487" t="s">
        <v>9822</v>
      </c>
      <c r="G204" s="2631" t="s">
        <v>9823</v>
      </c>
      <c r="H204" s="2631" t="s">
        <v>9824</v>
      </c>
      <c r="I204" s="2854"/>
      <c r="J204" s="2766">
        <v>0</v>
      </c>
      <c r="K204" s="2766">
        <v>0</v>
      </c>
      <c r="L204" s="2766">
        <v>0</v>
      </c>
      <c r="M204" s="2766">
        <v>0</v>
      </c>
      <c r="N204" s="2962">
        <v>3013</v>
      </c>
      <c r="O204" s="2527">
        <f t="shared" si="6"/>
        <v>3013</v>
      </c>
      <c r="P204" s="2960" t="str">
        <f t="shared" si="7"/>
        <v>Sierra Pacific Power Company Operation, maintenance or facility lease services with no receipt or delivery of energy. Operation, maintenance or facility lease services with no receipt or delivery of energy. AD RS 674</v>
      </c>
      <c r="Q204" s="2953"/>
    </row>
    <row r="205" spans="1:17" ht="16.7" customHeight="1" x14ac:dyDescent="0.2">
      <c r="A205" s="2975">
        <v>34.162999999999897</v>
      </c>
      <c r="B205" s="2488" t="s">
        <v>9825</v>
      </c>
      <c r="C205" s="2512" t="s">
        <v>9628</v>
      </c>
      <c r="D205" s="2512" t="s">
        <v>9628</v>
      </c>
      <c r="E205" s="2489" t="s">
        <v>9629</v>
      </c>
      <c r="F205" s="2487" t="s">
        <v>9826</v>
      </c>
      <c r="G205" s="2631" t="s">
        <v>9631</v>
      </c>
      <c r="H205" s="2631" t="s">
        <v>9631</v>
      </c>
      <c r="I205" s="2854"/>
      <c r="J205" s="2766">
        <v>263600</v>
      </c>
      <c r="K205" s="2766">
        <v>263600</v>
      </c>
      <c r="L205" s="2766">
        <v>0</v>
      </c>
      <c r="M205" s="2766">
        <v>2662023</v>
      </c>
      <c r="N205" s="2971">
        <v>1033139</v>
      </c>
      <c r="O205" s="2527">
        <f t="shared" si="6"/>
        <v>3695162</v>
      </c>
      <c r="P205" s="2960" t="str">
        <f t="shared" si="7"/>
        <v>Southern California Edison Company various signatories various signatories NF SA 642</v>
      </c>
      <c r="Q205" s="2953"/>
    </row>
    <row r="206" spans="1:17" ht="16.7" customHeight="1" x14ac:dyDescent="0.2">
      <c r="A206" s="2975">
        <v>34.163999999999902</v>
      </c>
      <c r="B206" s="2488" t="s">
        <v>9825</v>
      </c>
      <c r="C206" s="2512" t="s">
        <v>9628</v>
      </c>
      <c r="D206" s="2512" t="s">
        <v>9628</v>
      </c>
      <c r="E206" s="2966" t="s">
        <v>196</v>
      </c>
      <c r="F206" s="2487" t="s">
        <v>9826</v>
      </c>
      <c r="G206" s="2631" t="s">
        <v>9631</v>
      </c>
      <c r="H206" s="2631" t="s">
        <v>9631</v>
      </c>
      <c r="I206" s="2854"/>
      <c r="J206" s="2766">
        <v>44058</v>
      </c>
      <c r="K206" s="2766">
        <v>44058</v>
      </c>
      <c r="L206" s="2766">
        <v>0</v>
      </c>
      <c r="M206" s="2766">
        <v>0</v>
      </c>
      <c r="N206" s="2962">
        <v>420299</v>
      </c>
      <c r="O206" s="2527">
        <f t="shared" si="6"/>
        <v>420299</v>
      </c>
      <c r="P206" s="2960" t="str">
        <f t="shared" si="7"/>
        <v>Southern California Edison Company various signatories various signatories AD SA 642</v>
      </c>
      <c r="Q206" s="2953"/>
    </row>
    <row r="207" spans="1:17" ht="16.7" customHeight="1" x14ac:dyDescent="0.2">
      <c r="A207" s="2975">
        <v>34.1649999999999</v>
      </c>
      <c r="B207" s="2488" t="s">
        <v>9825</v>
      </c>
      <c r="C207" s="2512" t="s">
        <v>9628</v>
      </c>
      <c r="D207" s="2512" t="s">
        <v>9628</v>
      </c>
      <c r="E207" s="2489" t="s">
        <v>9632</v>
      </c>
      <c r="F207" s="2487" t="s">
        <v>9827</v>
      </c>
      <c r="G207" s="2631" t="s">
        <v>9631</v>
      </c>
      <c r="H207" s="2631" t="s">
        <v>9631</v>
      </c>
      <c r="I207" s="2854"/>
      <c r="J207" s="2854"/>
      <c r="K207" s="2766">
        <v>0</v>
      </c>
      <c r="L207" s="2766">
        <v>0</v>
      </c>
      <c r="M207" s="2766">
        <v>671</v>
      </c>
      <c r="N207" s="2963">
        <v>42</v>
      </c>
      <c r="O207" s="2527">
        <f t="shared" si="6"/>
        <v>713</v>
      </c>
      <c r="P207" s="2960" t="str">
        <f t="shared" si="7"/>
        <v>Southern California Edison Company various signatories various signatories SFP SA 643</v>
      </c>
      <c r="Q207" s="2953"/>
    </row>
    <row r="208" spans="1:17" ht="16.7" customHeight="1" x14ac:dyDescent="0.2">
      <c r="A208" s="2975">
        <v>34.165999999999897</v>
      </c>
      <c r="B208" s="2488" t="s">
        <v>9825</v>
      </c>
      <c r="C208" s="2512" t="s">
        <v>9628</v>
      </c>
      <c r="D208" s="2512" t="s">
        <v>9628</v>
      </c>
      <c r="E208" s="2966" t="s">
        <v>196</v>
      </c>
      <c r="F208" s="2487" t="s">
        <v>9827</v>
      </c>
      <c r="G208" s="2631" t="s">
        <v>9631</v>
      </c>
      <c r="H208" s="2631" t="s">
        <v>9631</v>
      </c>
      <c r="I208" s="2854"/>
      <c r="J208" s="2766">
        <v>0</v>
      </c>
      <c r="K208" s="2766">
        <v>0</v>
      </c>
      <c r="L208" s="2766">
        <v>0</v>
      </c>
      <c r="M208" s="2766">
        <v>0</v>
      </c>
      <c r="N208" s="2962">
        <v>578</v>
      </c>
      <c r="O208" s="2527">
        <f t="shared" si="6"/>
        <v>578</v>
      </c>
      <c r="P208" s="2960" t="str">
        <f t="shared" si="7"/>
        <v>Southern California Edison Company various signatories various signatories AD SA 643</v>
      </c>
      <c r="Q208" s="2953"/>
    </row>
    <row r="209" spans="1:17" ht="16.7" customHeight="1" x14ac:dyDescent="0.2">
      <c r="A209" s="2975">
        <v>34.166999999999902</v>
      </c>
      <c r="B209" s="2488" t="s">
        <v>9828</v>
      </c>
      <c r="C209" s="2512" t="s">
        <v>9124</v>
      </c>
      <c r="D209" s="2512" t="s">
        <v>9828</v>
      </c>
      <c r="E209" s="2489" t="s">
        <v>9629</v>
      </c>
      <c r="F209" s="2487" t="s">
        <v>9829</v>
      </c>
      <c r="G209" s="2631" t="s">
        <v>9679</v>
      </c>
      <c r="H209" s="2631" t="s">
        <v>9631</v>
      </c>
      <c r="I209" s="2854"/>
      <c r="J209" s="2854"/>
      <c r="K209" s="2766">
        <v>0</v>
      </c>
      <c r="L209" s="2766">
        <v>0</v>
      </c>
      <c r="M209" s="2766">
        <v>0</v>
      </c>
      <c r="N209" s="2599">
        <v>50524</v>
      </c>
      <c r="O209" s="2527">
        <f t="shared" si="6"/>
        <v>50524</v>
      </c>
      <c r="P209" s="2960" t="str">
        <f t="shared" si="7"/>
        <v>Southern California Public Power Authority Powerex Corporation Southern California Public Power Authority NF SA 629</v>
      </c>
      <c r="Q209" s="2953"/>
    </row>
    <row r="210" spans="1:17" ht="16.7" customHeight="1" x14ac:dyDescent="0.2">
      <c r="A210" s="2975">
        <v>34.1679999999999</v>
      </c>
      <c r="B210" s="2488" t="s">
        <v>9830</v>
      </c>
      <c r="C210" s="2512" t="s">
        <v>9572</v>
      </c>
      <c r="D210" s="2512" t="s">
        <v>9656</v>
      </c>
      <c r="E210" s="2947" t="s">
        <v>9623</v>
      </c>
      <c r="F210" s="2487" t="s">
        <v>9831</v>
      </c>
      <c r="G210" s="2631" t="s">
        <v>9649</v>
      </c>
      <c r="H210" s="2631" t="s">
        <v>9660</v>
      </c>
      <c r="I210" s="2766">
        <v>4</v>
      </c>
      <c r="J210" s="2766">
        <v>17141</v>
      </c>
      <c r="K210" s="2766">
        <v>17141</v>
      </c>
      <c r="L210" s="2766">
        <v>141948</v>
      </c>
      <c r="M210" s="2766">
        <v>0</v>
      </c>
      <c r="N210" s="2963">
        <v>8939</v>
      </c>
      <c r="O210" s="2527">
        <f t="shared" si="6"/>
        <v>150887</v>
      </c>
      <c r="P210" s="2960" t="str">
        <f t="shared" si="7"/>
        <v>State of South Dakota Western Area Power Administration Black Hills Corporation LFP SA 779</v>
      </c>
      <c r="Q210" s="2953"/>
    </row>
    <row r="211" spans="1:17" ht="16.7" customHeight="1" x14ac:dyDescent="0.2">
      <c r="A211" s="2975">
        <v>34.168999999999897</v>
      </c>
      <c r="B211" s="2488" t="s">
        <v>9830</v>
      </c>
      <c r="C211" s="2512" t="s">
        <v>9572</v>
      </c>
      <c r="D211" s="2512" t="s">
        <v>9656</v>
      </c>
      <c r="E211" s="2947" t="s">
        <v>196</v>
      </c>
      <c r="F211" s="2487" t="s">
        <v>9831</v>
      </c>
      <c r="G211" s="2631" t="s">
        <v>9649</v>
      </c>
      <c r="H211" s="2631" t="s">
        <v>9660</v>
      </c>
      <c r="I211" s="2766">
        <v>4</v>
      </c>
      <c r="J211" s="2766">
        <v>1524</v>
      </c>
      <c r="K211" s="2766">
        <v>1524</v>
      </c>
      <c r="L211" s="2766">
        <v>0</v>
      </c>
      <c r="M211" s="2766">
        <v>0</v>
      </c>
      <c r="N211" s="2962">
        <v>6877</v>
      </c>
      <c r="O211" s="2527">
        <f t="shared" si="6"/>
        <v>6877</v>
      </c>
      <c r="P211" s="2960" t="str">
        <f t="shared" si="7"/>
        <v>State of South Dakota Western Area Power Administration Black Hills Corporation AD SA 779</v>
      </c>
      <c r="Q211" s="2953"/>
    </row>
    <row r="212" spans="1:17" ht="16.7" customHeight="1" x14ac:dyDescent="0.2">
      <c r="A212" s="2975">
        <v>34.169999999999902</v>
      </c>
      <c r="B212" s="2488" t="s">
        <v>9832</v>
      </c>
      <c r="C212" s="2512" t="s">
        <v>9628</v>
      </c>
      <c r="D212" s="2512" t="s">
        <v>9628</v>
      </c>
      <c r="E212" s="2489" t="s">
        <v>9629</v>
      </c>
      <c r="F212" s="2487" t="s">
        <v>9833</v>
      </c>
      <c r="G212" s="2631" t="s">
        <v>9631</v>
      </c>
      <c r="H212" s="2631" t="s">
        <v>9631</v>
      </c>
      <c r="I212" s="2854"/>
      <c r="J212" s="2766">
        <v>70</v>
      </c>
      <c r="K212" s="2766">
        <v>70</v>
      </c>
      <c r="L212" s="2766">
        <v>0</v>
      </c>
      <c r="M212" s="2766">
        <v>1209</v>
      </c>
      <c r="N212" s="2963">
        <v>77</v>
      </c>
      <c r="O212" s="2527">
        <f t="shared" si="6"/>
        <v>1286</v>
      </c>
      <c r="P212" s="2960" t="str">
        <f t="shared" si="7"/>
        <v>TEC Energy Inc. various signatories various signatories NF SA 1001</v>
      </c>
      <c r="Q212" s="2953"/>
    </row>
    <row r="213" spans="1:17" ht="16.7" customHeight="1" x14ac:dyDescent="0.2">
      <c r="A213" s="2975">
        <v>34.1709999999999</v>
      </c>
      <c r="B213" s="2488" t="s">
        <v>9138</v>
      </c>
      <c r="C213" s="2512" t="s">
        <v>9628</v>
      </c>
      <c r="D213" s="2512" t="s">
        <v>9628</v>
      </c>
      <c r="E213" s="2489" t="s">
        <v>9629</v>
      </c>
      <c r="F213" s="2487" t="s">
        <v>9834</v>
      </c>
      <c r="G213" s="2631" t="s">
        <v>9631</v>
      </c>
      <c r="H213" s="2631" t="s">
        <v>9631</v>
      </c>
      <c r="I213" s="2854"/>
      <c r="J213" s="2766">
        <v>33690</v>
      </c>
      <c r="K213" s="2766">
        <v>33690</v>
      </c>
      <c r="L213" s="2766">
        <v>0</v>
      </c>
      <c r="M213" s="2766">
        <v>244020</v>
      </c>
      <c r="N213" s="2963">
        <v>151181</v>
      </c>
      <c r="O213" s="2527">
        <f t="shared" si="6"/>
        <v>395201</v>
      </c>
      <c r="P213" s="2960" t="str">
        <f t="shared" si="7"/>
        <v>Tenaska Power Services Co. various signatories various signatories NF SA 125</v>
      </c>
      <c r="Q213" s="2953"/>
    </row>
    <row r="214" spans="1:17" ht="16.7" customHeight="1" x14ac:dyDescent="0.2">
      <c r="A214" s="2975">
        <v>34.171999999999898</v>
      </c>
      <c r="B214" s="2488" t="s">
        <v>9138</v>
      </c>
      <c r="C214" s="2512" t="s">
        <v>9628</v>
      </c>
      <c r="D214" s="2512" t="s">
        <v>9628</v>
      </c>
      <c r="E214" s="2966" t="s">
        <v>196</v>
      </c>
      <c r="F214" s="2487" t="s">
        <v>9834</v>
      </c>
      <c r="G214" s="2631" t="s">
        <v>9631</v>
      </c>
      <c r="H214" s="2631" t="s">
        <v>9631</v>
      </c>
      <c r="I214" s="2854"/>
      <c r="J214" s="2766">
        <v>4396</v>
      </c>
      <c r="K214" s="2766">
        <v>4396</v>
      </c>
      <c r="L214" s="2766">
        <v>0</v>
      </c>
      <c r="M214" s="2766">
        <v>0</v>
      </c>
      <c r="N214" s="2962">
        <v>45120</v>
      </c>
      <c r="O214" s="2527">
        <f t="shared" si="6"/>
        <v>45120</v>
      </c>
      <c r="P214" s="2960" t="str">
        <f t="shared" si="7"/>
        <v>Tenaska Power Services Co. various signatories various signatories AD SA 125</v>
      </c>
      <c r="Q214" s="2953"/>
    </row>
    <row r="215" spans="1:17" ht="16.7" customHeight="1" x14ac:dyDescent="0.2">
      <c r="A215" s="2975">
        <v>34.172999999999902</v>
      </c>
      <c r="B215" s="2488" t="s">
        <v>9138</v>
      </c>
      <c r="C215" s="2512" t="s">
        <v>9628</v>
      </c>
      <c r="D215" s="2512" t="s">
        <v>9628</v>
      </c>
      <c r="E215" s="2489" t="s">
        <v>9632</v>
      </c>
      <c r="F215" s="2487" t="s">
        <v>9835</v>
      </c>
      <c r="G215" s="2631" t="s">
        <v>9631</v>
      </c>
      <c r="H215" s="2631" t="s">
        <v>9631</v>
      </c>
      <c r="I215" s="2854"/>
      <c r="J215" s="2766">
        <v>12532</v>
      </c>
      <c r="K215" s="2766">
        <v>12532</v>
      </c>
      <c r="L215" s="2766">
        <v>0</v>
      </c>
      <c r="M215" s="2766">
        <v>78918</v>
      </c>
      <c r="N215" s="2963">
        <v>4988</v>
      </c>
      <c r="O215" s="2527">
        <f t="shared" si="6"/>
        <v>83906</v>
      </c>
      <c r="P215" s="2960" t="str">
        <f t="shared" si="7"/>
        <v>Tenaska Power Services Co. various signatories various signatories SFP SA 126</v>
      </c>
      <c r="Q215" s="2953"/>
    </row>
    <row r="216" spans="1:17" ht="16.7" customHeight="1" x14ac:dyDescent="0.2">
      <c r="A216" s="2975">
        <v>34.1739999999999</v>
      </c>
      <c r="B216" s="2488" t="s">
        <v>9138</v>
      </c>
      <c r="C216" s="2512" t="s">
        <v>9628</v>
      </c>
      <c r="D216" s="2967" t="s">
        <v>9628</v>
      </c>
      <c r="E216" s="2966" t="s">
        <v>196</v>
      </c>
      <c r="F216" s="2487" t="s">
        <v>9835</v>
      </c>
      <c r="G216" s="2631" t="s">
        <v>9631</v>
      </c>
      <c r="H216" s="2631" t="s">
        <v>9631</v>
      </c>
      <c r="I216" s="2854"/>
      <c r="J216" s="2766">
        <v>337</v>
      </c>
      <c r="K216" s="2766">
        <v>337</v>
      </c>
      <c r="L216" s="2766">
        <v>0</v>
      </c>
      <c r="M216" s="2766">
        <v>0</v>
      </c>
      <c r="N216" s="2962">
        <v>3334</v>
      </c>
      <c r="O216" s="2527">
        <f t="shared" si="6"/>
        <v>3334</v>
      </c>
      <c r="P216" s="2960" t="str">
        <f t="shared" si="7"/>
        <v>Tenaska Power Services Co. various signatories various signatories AD SA 126</v>
      </c>
      <c r="Q216" s="2953"/>
    </row>
    <row r="217" spans="1:17" ht="16.7" customHeight="1" x14ac:dyDescent="0.2">
      <c r="A217" s="2975">
        <v>34.174999999999898</v>
      </c>
      <c r="B217" s="2488" t="s">
        <v>9139</v>
      </c>
      <c r="C217" s="2512" t="s">
        <v>9628</v>
      </c>
      <c r="D217" s="2967" t="s">
        <v>9628</v>
      </c>
      <c r="E217" s="2489" t="s">
        <v>9629</v>
      </c>
      <c r="F217" s="2487" t="s">
        <v>9836</v>
      </c>
      <c r="G217" s="2631" t="s">
        <v>9631</v>
      </c>
      <c r="H217" s="2631" t="s">
        <v>9631</v>
      </c>
      <c r="I217" s="2854"/>
      <c r="J217" s="2766">
        <v>85945</v>
      </c>
      <c r="K217" s="2766">
        <v>85945</v>
      </c>
      <c r="L217" s="2766">
        <v>0</v>
      </c>
      <c r="M217" s="2766">
        <v>870708</v>
      </c>
      <c r="N217" s="2963">
        <v>54675</v>
      </c>
      <c r="O217" s="2527">
        <f t="shared" si="6"/>
        <v>925383</v>
      </c>
      <c r="P217" s="2960" t="str">
        <f t="shared" si="7"/>
        <v>The Energy Authority, Inc. various signatories various signatories NF SA 310</v>
      </c>
      <c r="Q217" s="2953"/>
    </row>
    <row r="218" spans="1:17" ht="16.7" customHeight="1" x14ac:dyDescent="0.2">
      <c r="A218" s="2975">
        <v>34.175999999999902</v>
      </c>
      <c r="B218" s="2488" t="s">
        <v>9139</v>
      </c>
      <c r="C218" s="2512" t="s">
        <v>9628</v>
      </c>
      <c r="D218" s="2967" t="s">
        <v>9628</v>
      </c>
      <c r="E218" s="2966" t="s">
        <v>196</v>
      </c>
      <c r="F218" s="2487" t="s">
        <v>9836</v>
      </c>
      <c r="G218" s="2631" t="s">
        <v>9631</v>
      </c>
      <c r="H218" s="2631" t="s">
        <v>9631</v>
      </c>
      <c r="I218" s="2854"/>
      <c r="J218" s="2766">
        <v>10799</v>
      </c>
      <c r="K218" s="2766">
        <v>10799</v>
      </c>
      <c r="L218" s="2766">
        <v>0</v>
      </c>
      <c r="M218" s="2766">
        <v>0</v>
      </c>
      <c r="N218" s="2962">
        <v>130174</v>
      </c>
      <c r="O218" s="2527">
        <f t="shared" si="6"/>
        <v>130174</v>
      </c>
      <c r="P218" s="2960" t="str">
        <f t="shared" si="7"/>
        <v>The Energy Authority, Inc. various signatories various signatories AD SA 310</v>
      </c>
      <c r="Q218" s="2953"/>
    </row>
    <row r="219" spans="1:17" ht="16.7" customHeight="1" x14ac:dyDescent="0.2">
      <c r="A219" s="2975">
        <v>34.1769999999999</v>
      </c>
      <c r="B219" s="2488" t="s">
        <v>9139</v>
      </c>
      <c r="C219" s="2512" t="s">
        <v>9628</v>
      </c>
      <c r="D219" s="2967" t="s">
        <v>9628</v>
      </c>
      <c r="E219" s="2489" t="s">
        <v>9632</v>
      </c>
      <c r="F219" s="2487" t="s">
        <v>9837</v>
      </c>
      <c r="G219" s="2631" t="s">
        <v>9631</v>
      </c>
      <c r="H219" s="2631" t="s">
        <v>9631</v>
      </c>
      <c r="I219" s="2854"/>
      <c r="J219" s="2766">
        <v>18467</v>
      </c>
      <c r="K219" s="2766">
        <v>18467</v>
      </c>
      <c r="L219" s="2766">
        <v>0</v>
      </c>
      <c r="M219" s="2766">
        <v>142452</v>
      </c>
      <c r="N219" s="2963">
        <v>8996</v>
      </c>
      <c r="O219" s="2527">
        <f t="shared" si="6"/>
        <v>151448</v>
      </c>
      <c r="P219" s="2960" t="str">
        <f t="shared" si="7"/>
        <v>The Energy Authority, Inc. various signatories various signatories SFP SA 311</v>
      </c>
      <c r="Q219" s="2953"/>
    </row>
    <row r="220" spans="1:17" ht="16.7" customHeight="1" x14ac:dyDescent="0.2">
      <c r="A220" s="2975">
        <v>34.177999999999898</v>
      </c>
      <c r="B220" s="2488" t="s">
        <v>9139</v>
      </c>
      <c r="C220" s="2512" t="s">
        <v>9628</v>
      </c>
      <c r="D220" s="2512" t="s">
        <v>9628</v>
      </c>
      <c r="E220" s="2966" t="s">
        <v>196</v>
      </c>
      <c r="F220" s="2487" t="s">
        <v>9837</v>
      </c>
      <c r="G220" s="2631" t="s">
        <v>9631</v>
      </c>
      <c r="H220" s="2631" t="s">
        <v>9631</v>
      </c>
      <c r="I220" s="2854"/>
      <c r="J220" s="2766">
        <v>1262</v>
      </c>
      <c r="K220" s="2766">
        <v>1262</v>
      </c>
      <c r="L220" s="2766">
        <v>0</v>
      </c>
      <c r="M220" s="2766">
        <v>0</v>
      </c>
      <c r="N220" s="2962">
        <v>13047</v>
      </c>
      <c r="O220" s="2527">
        <f t="shared" si="6"/>
        <v>13047</v>
      </c>
      <c r="P220" s="2960" t="str">
        <f t="shared" si="7"/>
        <v>The Energy Authority, Inc. various signatories various signatories AD SA 311</v>
      </c>
      <c r="Q220" s="2953"/>
    </row>
    <row r="221" spans="1:17" ht="16.7" customHeight="1" x14ac:dyDescent="0.2">
      <c r="A221" s="2975">
        <v>34.178999999999903</v>
      </c>
      <c r="B221" s="2488" t="s">
        <v>9838</v>
      </c>
      <c r="C221" s="2512" t="s">
        <v>9839</v>
      </c>
      <c r="D221" s="2512" t="s">
        <v>9628</v>
      </c>
      <c r="E221" s="2947" t="s">
        <v>9623</v>
      </c>
      <c r="F221" s="2487" t="s">
        <v>9840</v>
      </c>
      <c r="G221" s="2631" t="s">
        <v>9841</v>
      </c>
      <c r="H221" s="2631" t="s">
        <v>9842</v>
      </c>
      <c r="I221" s="2766">
        <v>11</v>
      </c>
      <c r="J221" s="2766">
        <v>48442</v>
      </c>
      <c r="K221" s="2766">
        <v>48442</v>
      </c>
      <c r="L221" s="2766">
        <v>390358</v>
      </c>
      <c r="M221" s="2766">
        <v>0</v>
      </c>
      <c r="N221" s="2599">
        <v>72789</v>
      </c>
      <c r="O221" s="2527">
        <f t="shared" si="6"/>
        <v>463147</v>
      </c>
      <c r="P221" s="2960" t="str">
        <f t="shared" si="7"/>
        <v>Thermo No. 1 BE-01, LLC Thermo Geothermal Project various signatories LFP SA 568</v>
      </c>
      <c r="Q221" s="2953"/>
    </row>
    <row r="222" spans="1:17" ht="16.7" customHeight="1" x14ac:dyDescent="0.2">
      <c r="A222" s="2975">
        <v>34.1799999999999</v>
      </c>
      <c r="B222" s="2488" t="s">
        <v>9838</v>
      </c>
      <c r="C222" s="2512" t="s">
        <v>9839</v>
      </c>
      <c r="D222" s="2512" t="s">
        <v>9628</v>
      </c>
      <c r="E222" s="2947" t="s">
        <v>196</v>
      </c>
      <c r="F222" s="2487" t="s">
        <v>9840</v>
      </c>
      <c r="G222" s="2631" t="s">
        <v>9841</v>
      </c>
      <c r="H222" s="2631" t="s">
        <v>9842</v>
      </c>
      <c r="I222" s="2766">
        <v>11</v>
      </c>
      <c r="J222" s="2766">
        <v>5290</v>
      </c>
      <c r="K222" s="2766">
        <v>5290</v>
      </c>
      <c r="L222" s="2766">
        <v>0</v>
      </c>
      <c r="M222" s="2766">
        <v>0</v>
      </c>
      <c r="N222" s="2962">
        <v>23554</v>
      </c>
      <c r="O222" s="2527">
        <f t="shared" si="6"/>
        <v>23554</v>
      </c>
      <c r="P222" s="2960" t="str">
        <f t="shared" si="7"/>
        <v>Thermo No. 1 BE-01, LLC Thermo Geothermal Project various signatories AD SA 568</v>
      </c>
      <c r="Q222" s="2953"/>
    </row>
    <row r="223" spans="1:17" ht="16.7" customHeight="1" x14ac:dyDescent="0.2">
      <c r="A223" s="2975">
        <v>34.180999999999898</v>
      </c>
      <c r="B223" s="2488" t="s">
        <v>9140</v>
      </c>
      <c r="C223" s="2512" t="s">
        <v>9628</v>
      </c>
      <c r="D223" s="2512" t="s">
        <v>9628</v>
      </c>
      <c r="E223" s="2489" t="s">
        <v>9629</v>
      </c>
      <c r="F223" s="2487" t="s">
        <v>9843</v>
      </c>
      <c r="G223" s="2631" t="s">
        <v>9631</v>
      </c>
      <c r="H223" s="2631" t="s">
        <v>9631</v>
      </c>
      <c r="I223" s="2854"/>
      <c r="J223" s="2766">
        <v>68724</v>
      </c>
      <c r="K223" s="2766">
        <v>68724</v>
      </c>
      <c r="L223" s="2766">
        <v>0</v>
      </c>
      <c r="M223" s="2766">
        <v>785685</v>
      </c>
      <c r="N223" s="2963">
        <v>49277</v>
      </c>
      <c r="O223" s="2527">
        <f t="shared" si="6"/>
        <v>834962</v>
      </c>
      <c r="P223" s="2960" t="str">
        <f t="shared" si="7"/>
        <v>TransAlta Energy Marketing (U.S.) Inc. various signatories various signatories NF SA 127</v>
      </c>
      <c r="Q223" s="2953"/>
    </row>
    <row r="224" spans="1:17" ht="16.7" customHeight="1" x14ac:dyDescent="0.2">
      <c r="A224" s="2975">
        <v>34.181999999999903</v>
      </c>
      <c r="B224" s="2488" t="s">
        <v>9140</v>
      </c>
      <c r="C224" s="2512" t="s">
        <v>9628</v>
      </c>
      <c r="D224" s="2512" t="s">
        <v>9628</v>
      </c>
      <c r="E224" s="2966" t="s">
        <v>196</v>
      </c>
      <c r="F224" s="2487" t="s">
        <v>9843</v>
      </c>
      <c r="G224" s="2631" t="s">
        <v>9631</v>
      </c>
      <c r="H224" s="2631" t="s">
        <v>9631</v>
      </c>
      <c r="I224" s="2854"/>
      <c r="J224" s="2766">
        <v>6355</v>
      </c>
      <c r="K224" s="2766">
        <v>6355</v>
      </c>
      <c r="L224" s="2766">
        <v>0</v>
      </c>
      <c r="M224" s="2766">
        <v>0</v>
      </c>
      <c r="N224" s="2962">
        <v>243069</v>
      </c>
      <c r="O224" s="2527">
        <f t="shared" si="6"/>
        <v>243069</v>
      </c>
      <c r="P224" s="2960" t="str">
        <f t="shared" si="7"/>
        <v>TransAlta Energy Marketing (U.S.) Inc. various signatories various signatories AD SA 127</v>
      </c>
      <c r="Q224" s="2953"/>
    </row>
    <row r="225" spans="1:17" ht="16.7" customHeight="1" x14ac:dyDescent="0.2">
      <c r="A225" s="2975">
        <v>34.1829999999999</v>
      </c>
      <c r="B225" s="2488" t="s">
        <v>9140</v>
      </c>
      <c r="C225" s="2512" t="s">
        <v>9628</v>
      </c>
      <c r="D225" s="2512" t="s">
        <v>9628</v>
      </c>
      <c r="E225" s="2489" t="s">
        <v>9632</v>
      </c>
      <c r="F225" s="2489" t="s">
        <v>9844</v>
      </c>
      <c r="G225" s="2512" t="s">
        <v>9631</v>
      </c>
      <c r="H225" s="2512" t="s">
        <v>9631</v>
      </c>
      <c r="I225" s="2854"/>
      <c r="J225" s="2766">
        <v>14182</v>
      </c>
      <c r="K225" s="2766">
        <v>14182</v>
      </c>
      <c r="L225" s="2766">
        <v>0</v>
      </c>
      <c r="M225" s="2766">
        <v>127645</v>
      </c>
      <c r="N225" s="2963">
        <v>8566</v>
      </c>
      <c r="O225" s="2527">
        <f t="shared" si="6"/>
        <v>136211</v>
      </c>
      <c r="P225" s="2960" t="str">
        <f t="shared" si="7"/>
        <v>TransAlta Energy Marketing (U.S.) Inc. various signatories various signatories SFP SA 128</v>
      </c>
      <c r="Q225" s="2953"/>
    </row>
    <row r="226" spans="1:17" ht="16.7" customHeight="1" x14ac:dyDescent="0.2">
      <c r="A226" s="2975">
        <v>34.183999999999799</v>
      </c>
      <c r="B226" s="2488" t="s">
        <v>9140</v>
      </c>
      <c r="C226" s="2512" t="s">
        <v>9628</v>
      </c>
      <c r="D226" s="2512" t="s">
        <v>9628</v>
      </c>
      <c r="E226" s="2966" t="s">
        <v>196</v>
      </c>
      <c r="F226" s="2489" t="s">
        <v>9844</v>
      </c>
      <c r="G226" s="2512" t="s">
        <v>9631</v>
      </c>
      <c r="H226" s="2512" t="s">
        <v>9631</v>
      </c>
      <c r="I226" s="2614"/>
      <c r="J226" s="2530">
        <v>2248</v>
      </c>
      <c r="K226" s="2530">
        <v>2248</v>
      </c>
      <c r="L226" s="2530">
        <v>0</v>
      </c>
      <c r="M226" s="2530">
        <v>0</v>
      </c>
      <c r="N226" s="2946">
        <v>22891</v>
      </c>
      <c r="O226" s="2527">
        <f t="shared" si="6"/>
        <v>22891</v>
      </c>
      <c r="P226" s="2960" t="str">
        <f t="shared" si="7"/>
        <v>TransAlta Energy Marketing (U.S.) Inc. various signatories various signatories AD SA 128</v>
      </c>
      <c r="Q226" s="2953"/>
    </row>
    <row r="227" spans="1:17" ht="16.7" customHeight="1" x14ac:dyDescent="0.2">
      <c r="A227" s="2975">
        <v>34.184999999999803</v>
      </c>
      <c r="B227" s="2488" t="s">
        <v>9845</v>
      </c>
      <c r="C227" s="2512" t="s">
        <v>9628</v>
      </c>
      <c r="D227" s="2512" t="s">
        <v>9845</v>
      </c>
      <c r="E227" s="2489" t="s">
        <v>9643</v>
      </c>
      <c r="F227" s="2489" t="s">
        <v>9846</v>
      </c>
      <c r="G227" s="2512" t="s">
        <v>9847</v>
      </c>
      <c r="H227" s="2512" t="s">
        <v>9848</v>
      </c>
      <c r="I227" s="2530">
        <v>16</v>
      </c>
      <c r="J227" s="2530">
        <v>112178</v>
      </c>
      <c r="K227" s="2530">
        <v>112178</v>
      </c>
      <c r="L227" s="2530">
        <v>555068</v>
      </c>
      <c r="M227" s="2530">
        <v>0</v>
      </c>
      <c r="N227" s="2976">
        <v>93285</v>
      </c>
      <c r="O227" s="2527">
        <f t="shared" si="6"/>
        <v>648353</v>
      </c>
      <c r="P227" s="2960" t="str">
        <f t="shared" si="7"/>
        <v>Tri-State Generation and Transmission Association, Inc.   various signatories Tri-State Generation and Transmission Association, Inc.   FNO SA 628</v>
      </c>
      <c r="Q227" s="2953"/>
    </row>
    <row r="228" spans="1:17" ht="16.7" customHeight="1" x14ac:dyDescent="0.2">
      <c r="A228" s="2975">
        <v>34.185999999999801</v>
      </c>
      <c r="B228" s="2488" t="s">
        <v>9845</v>
      </c>
      <c r="C228" s="2512" t="s">
        <v>9628</v>
      </c>
      <c r="D228" s="2512" t="s">
        <v>9845</v>
      </c>
      <c r="E228" s="2947" t="s">
        <v>196</v>
      </c>
      <c r="F228" s="2489" t="s">
        <v>9846</v>
      </c>
      <c r="G228" s="2512" t="s">
        <v>9847</v>
      </c>
      <c r="H228" s="2512" t="s">
        <v>9848</v>
      </c>
      <c r="I228" s="2530">
        <v>19</v>
      </c>
      <c r="J228" s="2530">
        <v>11920</v>
      </c>
      <c r="K228" s="2530">
        <v>11920</v>
      </c>
      <c r="L228" s="2530">
        <v>0</v>
      </c>
      <c r="M228" s="2530">
        <v>0</v>
      </c>
      <c r="N228" s="2946">
        <v>26546</v>
      </c>
      <c r="O228" s="2527">
        <f t="shared" si="6"/>
        <v>26546</v>
      </c>
      <c r="P228" s="2960" t="str">
        <f t="shared" si="7"/>
        <v>Tri-State Generation and Transmission Association, Inc.   various signatories Tri-State Generation and Transmission Association, Inc.   AD SA 628</v>
      </c>
      <c r="Q228" s="2953"/>
    </row>
    <row r="229" spans="1:17" ht="16.7" customHeight="1" x14ac:dyDescent="0.2">
      <c r="A229" s="2975">
        <v>34.186999999999799</v>
      </c>
      <c r="B229" s="2488" t="s">
        <v>9845</v>
      </c>
      <c r="C229" s="2512" t="s">
        <v>9628</v>
      </c>
      <c r="D229" s="2512" t="s">
        <v>9628</v>
      </c>
      <c r="E229" s="2489" t="s">
        <v>9629</v>
      </c>
      <c r="F229" s="2489" t="s">
        <v>9849</v>
      </c>
      <c r="G229" s="2512" t="s">
        <v>9631</v>
      </c>
      <c r="H229" s="2512" t="s">
        <v>9631</v>
      </c>
      <c r="I229" s="2614"/>
      <c r="J229" s="2530">
        <v>10948</v>
      </c>
      <c r="K229" s="2530">
        <v>10948</v>
      </c>
      <c r="L229" s="2530">
        <v>0</v>
      </c>
      <c r="M229" s="2530">
        <v>69763</v>
      </c>
      <c r="N229" s="2944">
        <v>4364</v>
      </c>
      <c r="O229" s="2527">
        <f t="shared" si="6"/>
        <v>74127</v>
      </c>
      <c r="P229" s="2960" t="str">
        <f t="shared" si="7"/>
        <v>Tri-State Generation and Transmission Association, Inc.   various signatories various signatories NF SA 33</v>
      </c>
      <c r="Q229" s="2953"/>
    </row>
    <row r="230" spans="1:17" ht="16.7" customHeight="1" x14ac:dyDescent="0.2">
      <c r="A230" s="2975">
        <v>34.187999999999803</v>
      </c>
      <c r="B230" s="2488" t="s">
        <v>9845</v>
      </c>
      <c r="C230" s="2512" t="s">
        <v>9628</v>
      </c>
      <c r="D230" s="2512" t="s">
        <v>9628</v>
      </c>
      <c r="E230" s="2966" t="s">
        <v>196</v>
      </c>
      <c r="F230" s="2489" t="s">
        <v>9849</v>
      </c>
      <c r="G230" s="2512" t="s">
        <v>9631</v>
      </c>
      <c r="H230" s="2512" t="s">
        <v>9631</v>
      </c>
      <c r="I230" s="2614"/>
      <c r="J230" s="2530">
        <v>80</v>
      </c>
      <c r="K230" s="2530">
        <v>80</v>
      </c>
      <c r="L230" s="2530">
        <v>0</v>
      </c>
      <c r="M230" s="2530">
        <v>0</v>
      </c>
      <c r="N230" s="2946">
        <v>377</v>
      </c>
      <c r="O230" s="2527">
        <f t="shared" si="6"/>
        <v>377</v>
      </c>
      <c r="P230" s="2960" t="str">
        <f t="shared" si="7"/>
        <v>Tri-State Generation and Transmission Association, Inc.   various signatories various signatories AD SA 33</v>
      </c>
      <c r="Q230" s="2953"/>
    </row>
    <row r="231" spans="1:17" ht="16.7" customHeight="1" x14ac:dyDescent="0.2">
      <c r="A231" s="2749">
        <v>34.188999999999801</v>
      </c>
      <c r="B231" s="2488" t="s">
        <v>9850</v>
      </c>
      <c r="C231" s="2512" t="s">
        <v>9628</v>
      </c>
      <c r="D231" s="2512" t="s">
        <v>9628</v>
      </c>
      <c r="E231" s="2489" t="s">
        <v>9629</v>
      </c>
      <c r="F231" s="2489" t="s">
        <v>9851</v>
      </c>
      <c r="G231" s="2512" t="s">
        <v>9631</v>
      </c>
      <c r="H231" s="2512" t="s">
        <v>9631</v>
      </c>
      <c r="I231" s="2614"/>
      <c r="J231" s="2530">
        <v>1388</v>
      </c>
      <c r="K231" s="2530">
        <v>1388</v>
      </c>
      <c r="L231" s="2530">
        <v>0</v>
      </c>
      <c r="M231" s="2530">
        <v>58441</v>
      </c>
      <c r="N231" s="2944">
        <v>3648</v>
      </c>
      <c r="O231" s="2527">
        <f t="shared" si="6"/>
        <v>62089</v>
      </c>
      <c r="P231" s="2960" t="str">
        <f t="shared" si="7"/>
        <v>Uniper Global Commodoties various signatories various signatories NF SA 992</v>
      </c>
      <c r="Q231" s="2953"/>
    </row>
    <row r="232" spans="1:17" ht="16.7" customHeight="1" x14ac:dyDescent="0.2">
      <c r="A232" s="2749">
        <v>34.189999999999799</v>
      </c>
      <c r="B232" s="2488" t="s">
        <v>9850</v>
      </c>
      <c r="C232" s="2512" t="s">
        <v>9628</v>
      </c>
      <c r="D232" s="2512" t="s">
        <v>9628</v>
      </c>
      <c r="E232" s="2966" t="s">
        <v>196</v>
      </c>
      <c r="F232" s="2489" t="s">
        <v>9851</v>
      </c>
      <c r="G232" s="2512" t="s">
        <v>9631</v>
      </c>
      <c r="H232" s="2512" t="s">
        <v>9631</v>
      </c>
      <c r="I232" s="2614"/>
      <c r="J232" s="2530">
        <v>4934</v>
      </c>
      <c r="K232" s="2530">
        <v>4934</v>
      </c>
      <c r="L232" s="2530">
        <v>0</v>
      </c>
      <c r="M232" s="2530">
        <v>25824</v>
      </c>
      <c r="N232" s="2946">
        <v>27587</v>
      </c>
      <c r="O232" s="2527">
        <f t="shared" si="6"/>
        <v>53411</v>
      </c>
      <c r="P232" s="2960" t="str">
        <f t="shared" si="7"/>
        <v>Uniper Global Commodoties various signatories various signatories AD SA 992</v>
      </c>
      <c r="Q232" s="2953"/>
    </row>
    <row r="233" spans="1:17" ht="16.7" customHeight="1" x14ac:dyDescent="0.2">
      <c r="A233" s="2749">
        <v>34.190999999999804</v>
      </c>
      <c r="B233" s="2488" t="s">
        <v>9850</v>
      </c>
      <c r="C233" s="2512" t="s">
        <v>9628</v>
      </c>
      <c r="D233" s="2512" t="s">
        <v>9628</v>
      </c>
      <c r="E233" s="2489" t="s">
        <v>9632</v>
      </c>
      <c r="F233" s="2489" t="s">
        <v>9852</v>
      </c>
      <c r="G233" s="2512" t="s">
        <v>9631</v>
      </c>
      <c r="H233" s="2512" t="s">
        <v>9631</v>
      </c>
      <c r="I233" s="2614"/>
      <c r="J233" s="2530">
        <v>26</v>
      </c>
      <c r="K233" s="2530">
        <v>26</v>
      </c>
      <c r="L233" s="2530">
        <v>0</v>
      </c>
      <c r="M233" s="2530">
        <v>223</v>
      </c>
      <c r="N233" s="2944">
        <v>14</v>
      </c>
      <c r="O233" s="2527">
        <f t="shared" si="6"/>
        <v>237</v>
      </c>
      <c r="P233" s="2960" t="str">
        <f t="shared" si="7"/>
        <v>Uniper Global Commodoties various signatories various signatories SFP SA 991</v>
      </c>
      <c r="Q233" s="2953"/>
    </row>
    <row r="234" spans="1:17" ht="16.7" customHeight="1" x14ac:dyDescent="0.2">
      <c r="A234" s="2749">
        <v>34.191999999999801</v>
      </c>
      <c r="B234" s="2488" t="s">
        <v>9853</v>
      </c>
      <c r="C234" s="2512" t="s">
        <v>9091</v>
      </c>
      <c r="D234" s="2512" t="s">
        <v>9853</v>
      </c>
      <c r="E234" s="2489" t="s">
        <v>9643</v>
      </c>
      <c r="F234" s="2489" t="s">
        <v>9854</v>
      </c>
      <c r="G234" s="2512" t="s">
        <v>9855</v>
      </c>
      <c r="H234" s="2512" t="s">
        <v>9856</v>
      </c>
      <c r="I234" s="2530">
        <v>1</v>
      </c>
      <c r="J234" s="2530">
        <v>2244</v>
      </c>
      <c r="K234" s="2530">
        <v>2244</v>
      </c>
      <c r="L234" s="2530">
        <v>9141</v>
      </c>
      <c r="M234" s="2530">
        <v>0</v>
      </c>
      <c r="N234" s="2976">
        <v>10405</v>
      </c>
      <c r="O234" s="2527">
        <f t="shared" si="6"/>
        <v>19546</v>
      </c>
      <c r="P234" s="2960" t="str">
        <f t="shared" si="7"/>
        <v>U.S. Bureau of Reclamation Bonneville Power Administration U.S. Bureau of Reclamation FNO SA 506</v>
      </c>
      <c r="Q234" s="2953"/>
    </row>
    <row r="235" spans="1:17" ht="16.7" customHeight="1" x14ac:dyDescent="0.2">
      <c r="A235" s="2749">
        <v>34.192999999999799</v>
      </c>
      <c r="B235" s="2488" t="s">
        <v>9853</v>
      </c>
      <c r="C235" s="2512" t="s">
        <v>9091</v>
      </c>
      <c r="D235" s="2512" t="s">
        <v>9853</v>
      </c>
      <c r="E235" s="2947" t="s">
        <v>196</v>
      </c>
      <c r="F235" s="2489" t="s">
        <v>9854</v>
      </c>
      <c r="G235" s="2512" t="s">
        <v>9855</v>
      </c>
      <c r="H235" s="2512" t="s">
        <v>9856</v>
      </c>
      <c r="I235" s="2530">
        <v>1</v>
      </c>
      <c r="J235" s="2530">
        <v>0</v>
      </c>
      <c r="K235" s="2530">
        <v>0</v>
      </c>
      <c r="L235" s="2530">
        <v>0</v>
      </c>
      <c r="M235" s="2530">
        <v>0</v>
      </c>
      <c r="N235" s="2946">
        <v>-782</v>
      </c>
      <c r="O235" s="2527">
        <f t="shared" si="6"/>
        <v>-782</v>
      </c>
      <c r="P235" s="2960" t="str">
        <f t="shared" si="7"/>
        <v>U.S. Bureau of Reclamation Bonneville Power Administration U.S. Bureau of Reclamation AD SA 506</v>
      </c>
      <c r="Q235" s="2953"/>
    </row>
    <row r="236" spans="1:17" ht="16.7" customHeight="1" x14ac:dyDescent="0.2">
      <c r="A236" s="2749">
        <v>34.193999999999797</v>
      </c>
      <c r="B236" s="2488" t="s">
        <v>9853</v>
      </c>
      <c r="C236" s="2512" t="s">
        <v>9572</v>
      </c>
      <c r="D236" s="2512" t="s">
        <v>9857</v>
      </c>
      <c r="E236" s="2947" t="s">
        <v>193</v>
      </c>
      <c r="F236" s="2489" t="s">
        <v>9858</v>
      </c>
      <c r="G236" s="2512" t="s">
        <v>9631</v>
      </c>
      <c r="H236" s="2512" t="s">
        <v>9631</v>
      </c>
      <c r="I236" s="2614"/>
      <c r="J236" s="2530">
        <v>10008</v>
      </c>
      <c r="K236" s="2530">
        <v>10008</v>
      </c>
      <c r="L236" s="2530">
        <v>0</v>
      </c>
      <c r="M236" s="2530">
        <v>0</v>
      </c>
      <c r="N236" s="2531">
        <v>21871</v>
      </c>
      <c r="O236" s="2527">
        <f t="shared" si="6"/>
        <v>21871</v>
      </c>
      <c r="P236" s="2960" t="str">
        <f t="shared" si="7"/>
        <v>U.S. Bureau of Reclamation Western Area Power Administration Weber Basin Water Conservancy District OS RS 286</v>
      </c>
      <c r="Q236" s="2953"/>
    </row>
    <row r="237" spans="1:17" ht="16.7" customHeight="1" x14ac:dyDescent="0.2">
      <c r="A237" s="2749">
        <v>34.194999999999801</v>
      </c>
      <c r="B237" s="2488" t="s">
        <v>9853</v>
      </c>
      <c r="C237" s="2512" t="s">
        <v>9572</v>
      </c>
      <c r="D237" s="2512" t="s">
        <v>9857</v>
      </c>
      <c r="E237" s="2947" t="s">
        <v>196</v>
      </c>
      <c r="F237" s="2489" t="s">
        <v>9858</v>
      </c>
      <c r="G237" s="2512" t="s">
        <v>9631</v>
      </c>
      <c r="H237" s="2512" t="s">
        <v>9631</v>
      </c>
      <c r="I237" s="2614"/>
      <c r="J237" s="2530">
        <v>1308</v>
      </c>
      <c r="K237" s="2530">
        <v>1308</v>
      </c>
      <c r="L237" s="2530">
        <v>0</v>
      </c>
      <c r="M237" s="2530">
        <v>0</v>
      </c>
      <c r="N237" s="2946">
        <v>1308</v>
      </c>
      <c r="O237" s="2527">
        <f t="shared" si="6"/>
        <v>1308</v>
      </c>
      <c r="P237" s="2960" t="str">
        <f t="shared" si="7"/>
        <v>U.S. Bureau of Reclamation Western Area Power Administration Weber Basin Water Conservancy District AD RS 286</v>
      </c>
      <c r="Q237" s="2953"/>
    </row>
    <row r="238" spans="1:17" ht="16.7" customHeight="1" x14ac:dyDescent="0.2">
      <c r="A238" s="2749">
        <v>34.195999999999799</v>
      </c>
      <c r="B238" s="2488" t="s">
        <v>9853</v>
      </c>
      <c r="C238" s="2512" t="s">
        <v>9091</v>
      </c>
      <c r="D238" s="2512" t="s">
        <v>9859</v>
      </c>
      <c r="E238" s="2947" t="s">
        <v>193</v>
      </c>
      <c r="F238" s="2489" t="s">
        <v>9860</v>
      </c>
      <c r="G238" s="2512" t="s">
        <v>9861</v>
      </c>
      <c r="H238" s="2512" t="s">
        <v>9862</v>
      </c>
      <c r="I238" s="2614"/>
      <c r="J238" s="2530">
        <v>21870</v>
      </c>
      <c r="K238" s="2530">
        <v>21870</v>
      </c>
      <c r="L238" s="2530">
        <v>11058</v>
      </c>
      <c r="M238" s="2530">
        <v>0</v>
      </c>
      <c r="N238" s="2530">
        <v>0</v>
      </c>
      <c r="O238" s="2527">
        <f t="shared" si="6"/>
        <v>11058</v>
      </c>
      <c r="P238" s="2960" t="str">
        <f t="shared" si="7"/>
        <v>U.S. Bureau of Reclamation Bonneville Power Administration Crooked River Irrigation District OS RS 67</v>
      </c>
      <c r="Q238" s="2953"/>
    </row>
    <row r="239" spans="1:17" ht="16.7" customHeight="1" x14ac:dyDescent="0.2">
      <c r="A239" s="2749">
        <v>34.196999999999797</v>
      </c>
      <c r="B239" s="2488" t="s">
        <v>9146</v>
      </c>
      <c r="C239" s="2512" t="s">
        <v>9146</v>
      </c>
      <c r="D239" s="2512" t="s">
        <v>9146</v>
      </c>
      <c r="E239" s="2947" t="s">
        <v>193</v>
      </c>
      <c r="F239" s="2489" t="s">
        <v>9863</v>
      </c>
      <c r="G239" s="2512" t="s">
        <v>9631</v>
      </c>
      <c r="H239" s="2512" t="s">
        <v>9631</v>
      </c>
      <c r="I239" s="2530">
        <v>551</v>
      </c>
      <c r="J239" s="2530">
        <v>3134517</v>
      </c>
      <c r="K239" s="2530">
        <v>3134517</v>
      </c>
      <c r="L239" s="2530">
        <v>18885649</v>
      </c>
      <c r="M239" s="2530">
        <v>0</v>
      </c>
      <c r="N239" s="2531">
        <v>3354818</v>
      </c>
      <c r="O239" s="2527">
        <f t="shared" si="6"/>
        <v>22240467</v>
      </c>
      <c r="P239" s="2960" t="str">
        <f t="shared" si="7"/>
        <v>Utah Associated Municipal Power Systems Utah Associated Municipal Power Systems Utah Associated Municipal Power Systems OS RS 297</v>
      </c>
      <c r="Q239" s="2953"/>
    </row>
    <row r="240" spans="1:17" ht="16.7" customHeight="1" x14ac:dyDescent="0.2">
      <c r="A240" s="2749">
        <v>34.197999999999801</v>
      </c>
      <c r="B240" s="2488" t="s">
        <v>9146</v>
      </c>
      <c r="C240" s="2512" t="s">
        <v>9146</v>
      </c>
      <c r="D240" s="2512" t="s">
        <v>9146</v>
      </c>
      <c r="E240" s="2947" t="s">
        <v>196</v>
      </c>
      <c r="F240" s="2489" t="s">
        <v>9863</v>
      </c>
      <c r="G240" s="2512" t="s">
        <v>9631</v>
      </c>
      <c r="H240" s="2512" t="s">
        <v>9631</v>
      </c>
      <c r="I240" s="2530">
        <v>436</v>
      </c>
      <c r="J240" s="2530">
        <v>262336</v>
      </c>
      <c r="K240" s="2530">
        <v>262336</v>
      </c>
      <c r="L240" s="2530">
        <v>0</v>
      </c>
      <c r="M240" s="2530">
        <v>0</v>
      </c>
      <c r="N240" s="2946">
        <v>844868</v>
      </c>
      <c r="O240" s="2527">
        <f t="shared" si="6"/>
        <v>844868</v>
      </c>
      <c r="P240" s="2960" t="str">
        <f t="shared" si="7"/>
        <v>Utah Associated Municipal Power Systems Utah Associated Municipal Power Systems Utah Associated Municipal Power Systems AD RS 297</v>
      </c>
      <c r="Q240" s="2953"/>
    </row>
    <row r="241" spans="1:17" ht="16.7" customHeight="1" x14ac:dyDescent="0.2">
      <c r="A241" s="2749">
        <v>34.198999999999799</v>
      </c>
      <c r="B241" s="2488" t="s">
        <v>9146</v>
      </c>
      <c r="C241" s="2512" t="s">
        <v>9628</v>
      </c>
      <c r="D241" s="2967" t="s">
        <v>9628</v>
      </c>
      <c r="E241" s="2489" t="s">
        <v>9629</v>
      </c>
      <c r="F241" s="2489" t="s">
        <v>9864</v>
      </c>
      <c r="G241" s="2512" t="s">
        <v>9631</v>
      </c>
      <c r="H241" s="2512" t="s">
        <v>9631</v>
      </c>
      <c r="I241" s="2614"/>
      <c r="J241" s="2530">
        <v>50</v>
      </c>
      <c r="K241" s="2530">
        <v>50</v>
      </c>
      <c r="L241" s="2530">
        <v>0</v>
      </c>
      <c r="M241" s="2530">
        <v>2697</v>
      </c>
      <c r="N241" s="2944">
        <v>171</v>
      </c>
      <c r="O241" s="2527">
        <f t="shared" si="6"/>
        <v>2868</v>
      </c>
      <c r="P241" s="2960" t="str">
        <f t="shared" si="7"/>
        <v>Utah Associated Municipal Power Systems various signatories various signatories NF SA 009</v>
      </c>
      <c r="Q241" s="2953"/>
    </row>
    <row r="242" spans="1:17" ht="16.7" customHeight="1" x14ac:dyDescent="0.2">
      <c r="A242" s="2749">
        <v>34.199999999999797</v>
      </c>
      <c r="B242" s="2488" t="s">
        <v>9147</v>
      </c>
      <c r="C242" s="2488" t="s">
        <v>9147</v>
      </c>
      <c r="D242" s="2967" t="s">
        <v>9147</v>
      </c>
      <c r="E242" s="2947" t="s">
        <v>193</v>
      </c>
      <c r="F242" s="2489" t="s">
        <v>9865</v>
      </c>
      <c r="G242" s="2512" t="s">
        <v>9631</v>
      </c>
      <c r="H242" s="2512" t="s">
        <v>9631</v>
      </c>
      <c r="I242" s="2530">
        <v>88</v>
      </c>
      <c r="J242" s="2530">
        <v>754410</v>
      </c>
      <c r="K242" s="2530">
        <v>754410</v>
      </c>
      <c r="L242" s="2530">
        <v>2798503</v>
      </c>
      <c r="M242" s="2530">
        <v>0</v>
      </c>
      <c r="N242" s="2976">
        <v>520391</v>
      </c>
      <c r="O242" s="2527">
        <f t="shared" si="6"/>
        <v>3318894</v>
      </c>
      <c r="P242" s="2960" t="str">
        <f t="shared" si="7"/>
        <v>Utah Municipal Power Agency Utah Municipal Power Agency Utah Municipal Power Agency OS RS 637</v>
      </c>
      <c r="Q242" s="2953"/>
    </row>
    <row r="243" spans="1:17" ht="16.7" customHeight="1" x14ac:dyDescent="0.2">
      <c r="A243" s="2749">
        <v>34.200999999999802</v>
      </c>
      <c r="B243" s="2488" t="s">
        <v>9147</v>
      </c>
      <c r="C243" s="2488" t="s">
        <v>9147</v>
      </c>
      <c r="D243" s="2967" t="s">
        <v>9147</v>
      </c>
      <c r="E243" s="2947" t="s">
        <v>196</v>
      </c>
      <c r="F243" s="2489" t="s">
        <v>9865</v>
      </c>
      <c r="G243" s="2512" t="s">
        <v>9631</v>
      </c>
      <c r="H243" s="2512" t="s">
        <v>9631</v>
      </c>
      <c r="I243" s="2530">
        <v>53</v>
      </c>
      <c r="J243" s="2530">
        <v>61376</v>
      </c>
      <c r="K243" s="2530">
        <v>61376</v>
      </c>
      <c r="L243" s="2530">
        <v>0</v>
      </c>
      <c r="M243" s="2530">
        <v>0</v>
      </c>
      <c r="N243" s="2946">
        <v>114838</v>
      </c>
      <c r="O243" s="2527">
        <f t="shared" si="6"/>
        <v>114838</v>
      </c>
      <c r="P243" s="2960" t="str">
        <f t="shared" si="7"/>
        <v>Utah Municipal Power Agency Utah Municipal Power Agency Utah Municipal Power Agency AD RS 637</v>
      </c>
      <c r="Q243" s="2953"/>
    </row>
    <row r="244" spans="1:17" ht="16.7" customHeight="1" x14ac:dyDescent="0.2">
      <c r="A244" s="2749">
        <v>34.201999999999799</v>
      </c>
      <c r="B244" s="2488" t="s">
        <v>9147</v>
      </c>
      <c r="C244" s="2512" t="s">
        <v>9628</v>
      </c>
      <c r="D244" s="2967" t="s">
        <v>9628</v>
      </c>
      <c r="E244" s="2489" t="s">
        <v>9629</v>
      </c>
      <c r="F244" s="2489" t="s">
        <v>9866</v>
      </c>
      <c r="G244" s="2512" t="s">
        <v>9631</v>
      </c>
      <c r="H244" s="2512" t="s">
        <v>9631</v>
      </c>
      <c r="I244" s="2614"/>
      <c r="J244" s="2530">
        <v>185859</v>
      </c>
      <c r="K244" s="2530">
        <v>185859</v>
      </c>
      <c r="L244" s="2530">
        <v>0</v>
      </c>
      <c r="M244" s="2530">
        <v>1259028</v>
      </c>
      <c r="N244" s="2944">
        <v>79842</v>
      </c>
      <c r="O244" s="2527">
        <f t="shared" si="6"/>
        <v>1338870</v>
      </c>
      <c r="P244" s="2960" t="str">
        <f t="shared" si="7"/>
        <v>Utah Municipal Power Agency various signatories various signatories NF SA 20</v>
      </c>
      <c r="Q244" s="2953"/>
    </row>
    <row r="245" spans="1:17" ht="16.7" customHeight="1" x14ac:dyDescent="0.2">
      <c r="A245" s="2749">
        <v>34.202999999999797</v>
      </c>
      <c r="B245" s="2488" t="s">
        <v>9147</v>
      </c>
      <c r="C245" s="2512" t="s">
        <v>9628</v>
      </c>
      <c r="D245" s="2512" t="s">
        <v>9628</v>
      </c>
      <c r="E245" s="2966" t="s">
        <v>196</v>
      </c>
      <c r="F245" s="2489" t="s">
        <v>9866</v>
      </c>
      <c r="G245" s="2512" t="s">
        <v>9631</v>
      </c>
      <c r="H245" s="2512" t="s">
        <v>9631</v>
      </c>
      <c r="I245" s="2614"/>
      <c r="J245" s="2530">
        <v>497</v>
      </c>
      <c r="K245" s="2530">
        <v>497</v>
      </c>
      <c r="L245" s="2530">
        <v>0</v>
      </c>
      <c r="M245" s="2530">
        <v>0</v>
      </c>
      <c r="N245" s="2946">
        <v>4785</v>
      </c>
      <c r="O245" s="2527">
        <f t="shared" si="6"/>
        <v>4785</v>
      </c>
      <c r="P245" s="2960" t="str">
        <f t="shared" si="7"/>
        <v>Utah Municipal Power Agency various signatories various signatories AD SA 20</v>
      </c>
      <c r="Q245" s="2953"/>
    </row>
    <row r="246" spans="1:17" ht="16.7" customHeight="1" x14ac:dyDescent="0.2">
      <c r="A246" s="2749">
        <v>34.203999999999802</v>
      </c>
      <c r="B246" s="2488" t="s">
        <v>9147</v>
      </c>
      <c r="C246" s="2512" t="s">
        <v>9628</v>
      </c>
      <c r="D246" s="2512" t="s">
        <v>9628</v>
      </c>
      <c r="E246" s="2966" t="s">
        <v>196</v>
      </c>
      <c r="F246" s="2489" t="s">
        <v>9867</v>
      </c>
      <c r="G246" s="2512" t="s">
        <v>9631</v>
      </c>
      <c r="H246" s="2512" t="s">
        <v>9631</v>
      </c>
      <c r="I246" s="2614"/>
      <c r="J246" s="2530">
        <v>50</v>
      </c>
      <c r="K246" s="2530">
        <v>50</v>
      </c>
      <c r="L246" s="2530">
        <v>0</v>
      </c>
      <c r="M246" s="2530">
        <v>0</v>
      </c>
      <c r="N246" s="2946">
        <v>235</v>
      </c>
      <c r="O246" s="2527">
        <f t="shared" si="6"/>
        <v>235</v>
      </c>
      <c r="P246" s="2960" t="str">
        <f t="shared" si="7"/>
        <v>Utah Municipal Power Agency various signatories various signatories AD SA 135</v>
      </c>
      <c r="Q246" s="2953"/>
    </row>
    <row r="247" spans="1:17" ht="16.7" customHeight="1" x14ac:dyDescent="0.2">
      <c r="A247" s="2749">
        <v>34.204999999999799</v>
      </c>
      <c r="B247" s="2488" t="s">
        <v>9868</v>
      </c>
      <c r="C247" s="2512" t="s">
        <v>9628</v>
      </c>
      <c r="D247" s="2512" t="s">
        <v>9628</v>
      </c>
      <c r="E247" s="2489" t="s">
        <v>9629</v>
      </c>
      <c r="F247" s="2489" t="s">
        <v>9869</v>
      </c>
      <c r="G247" s="2512" t="s">
        <v>9631</v>
      </c>
      <c r="H247" s="2512" t="s">
        <v>9631</v>
      </c>
      <c r="I247" s="2614"/>
      <c r="J247" s="2530">
        <v>105</v>
      </c>
      <c r="K247" s="2530">
        <v>105</v>
      </c>
      <c r="L247" s="2530">
        <v>0</v>
      </c>
      <c r="M247" s="2530">
        <v>28353</v>
      </c>
      <c r="N247" s="2944">
        <v>1798</v>
      </c>
      <c r="O247" s="2527">
        <f t="shared" si="6"/>
        <v>30151</v>
      </c>
      <c r="P247" s="2960" t="str">
        <f t="shared" si="7"/>
        <v>Vitol, Inc various signatories various signatories NF SA 1027</v>
      </c>
      <c r="Q247" s="2953"/>
    </row>
    <row r="248" spans="1:17" ht="16.7" customHeight="1" x14ac:dyDescent="0.2">
      <c r="A248" s="2749">
        <v>34.205999999999797</v>
      </c>
      <c r="B248" s="2488" t="s">
        <v>9868</v>
      </c>
      <c r="C248" s="2512" t="s">
        <v>9628</v>
      </c>
      <c r="D248" s="2512" t="s">
        <v>9628</v>
      </c>
      <c r="E248" s="2489" t="s">
        <v>9632</v>
      </c>
      <c r="F248" s="2489" t="s">
        <v>9870</v>
      </c>
      <c r="G248" s="2512" t="s">
        <v>9631</v>
      </c>
      <c r="H248" s="2512" t="s">
        <v>9631</v>
      </c>
      <c r="I248" s="2614"/>
      <c r="J248" s="2530">
        <v>109671</v>
      </c>
      <c r="K248" s="2530">
        <v>109671</v>
      </c>
      <c r="L248" s="2530">
        <v>0</v>
      </c>
      <c r="M248" s="2530">
        <v>865489</v>
      </c>
      <c r="N248" s="2944">
        <v>54855</v>
      </c>
      <c r="O248" s="2527">
        <f t="shared" si="6"/>
        <v>920344</v>
      </c>
      <c r="P248" s="2960" t="str">
        <f t="shared" si="7"/>
        <v>Vitol, Inc various signatories various signatories SFP SA 1026</v>
      </c>
      <c r="Q248" s="2953"/>
    </row>
    <row r="249" spans="1:17" ht="16.7" customHeight="1" x14ac:dyDescent="0.2">
      <c r="A249" s="2749">
        <v>34.206999999999802</v>
      </c>
      <c r="B249" s="2488" t="s">
        <v>9871</v>
      </c>
      <c r="C249" s="2512" t="s">
        <v>9871</v>
      </c>
      <c r="D249" s="2512" t="s">
        <v>9739</v>
      </c>
      <c r="E249" s="2947" t="s">
        <v>193</v>
      </c>
      <c r="F249" s="2489" t="s">
        <v>9872</v>
      </c>
      <c r="G249" s="2512" t="s">
        <v>9873</v>
      </c>
      <c r="H249" s="2512" t="s">
        <v>9874</v>
      </c>
      <c r="I249" s="2614"/>
      <c r="J249" s="2530">
        <v>44634</v>
      </c>
      <c r="K249" s="2530">
        <v>44634</v>
      </c>
      <c r="L249" s="2530">
        <v>0</v>
      </c>
      <c r="M249" s="2530">
        <v>0</v>
      </c>
      <c r="N249" s="2841">
        <v>109725</v>
      </c>
      <c r="O249" s="2527">
        <f t="shared" si="6"/>
        <v>109725</v>
      </c>
      <c r="P249" s="2960" t="str">
        <f t="shared" si="7"/>
        <v>Warm Springs Power Enterprises Warm Springs Power Enterprises Portland General Electric OS RS 591</v>
      </c>
      <c r="Q249" s="2953"/>
    </row>
    <row r="250" spans="1:17" ht="16.7" customHeight="1" x14ac:dyDescent="0.2">
      <c r="A250" s="2749">
        <v>34.207999999999799</v>
      </c>
      <c r="B250" s="2488" t="s">
        <v>9871</v>
      </c>
      <c r="C250" s="2512" t="s">
        <v>9871</v>
      </c>
      <c r="D250" s="2512" t="s">
        <v>9739</v>
      </c>
      <c r="E250" s="2947" t="s">
        <v>196</v>
      </c>
      <c r="F250" s="2489" t="s">
        <v>9872</v>
      </c>
      <c r="G250" s="2512" t="s">
        <v>9873</v>
      </c>
      <c r="H250" s="2512" t="s">
        <v>9874</v>
      </c>
      <c r="I250" s="2614"/>
      <c r="J250" s="2530">
        <v>5907</v>
      </c>
      <c r="K250" s="2530">
        <v>5907</v>
      </c>
      <c r="L250" s="2530">
        <v>0</v>
      </c>
      <c r="M250" s="2530">
        <v>0</v>
      </c>
      <c r="N250" s="2946">
        <v>9975</v>
      </c>
      <c r="O250" s="2527">
        <f t="shared" si="6"/>
        <v>9975</v>
      </c>
      <c r="P250" s="2960" t="str">
        <f t="shared" si="7"/>
        <v>Warm Springs Power Enterprises Warm Springs Power Enterprises Portland General Electric AD RS 591</v>
      </c>
      <c r="Q250" s="2953"/>
    </row>
    <row r="251" spans="1:17" ht="16.7" customHeight="1" x14ac:dyDescent="0.2">
      <c r="A251" s="2749">
        <v>34.208999999999797</v>
      </c>
      <c r="B251" s="2488" t="s">
        <v>9572</v>
      </c>
      <c r="C251" s="2512" t="s">
        <v>9572</v>
      </c>
      <c r="D251" s="2512" t="s">
        <v>9875</v>
      </c>
      <c r="E251" s="2947" t="s">
        <v>193</v>
      </c>
      <c r="F251" s="2489" t="s">
        <v>9876</v>
      </c>
      <c r="G251" s="2512" t="s">
        <v>9631</v>
      </c>
      <c r="H251" s="2512" t="s">
        <v>9631</v>
      </c>
      <c r="I251" s="2530">
        <v>330</v>
      </c>
      <c r="J251" s="2530">
        <v>1333469</v>
      </c>
      <c r="K251" s="2530">
        <v>1253461</v>
      </c>
      <c r="L251" s="2530">
        <v>2160895</v>
      </c>
      <c r="M251" s="2530">
        <v>0</v>
      </c>
      <c r="N251" s="2531">
        <v>550000</v>
      </c>
      <c r="O251" s="2527">
        <f t="shared" si="6"/>
        <v>2710895</v>
      </c>
      <c r="P251" s="2960" t="str">
        <f t="shared" si="7"/>
        <v>Western Area Power Administration Western Area Power Administration Various Western Area Power Administration customers in PacifiCorp's control area. OS RS 262</v>
      </c>
      <c r="Q251" s="2953"/>
    </row>
    <row r="252" spans="1:17" ht="16.7" customHeight="1" x14ac:dyDescent="0.2">
      <c r="A252" s="2749">
        <v>34.209999999999802</v>
      </c>
      <c r="B252" s="2488" t="s">
        <v>9572</v>
      </c>
      <c r="C252" s="2512" t="s">
        <v>9572</v>
      </c>
      <c r="D252" s="2512" t="s">
        <v>9875</v>
      </c>
      <c r="E252" s="2947" t="s">
        <v>196</v>
      </c>
      <c r="F252" s="2489" t="s">
        <v>9876</v>
      </c>
      <c r="G252" s="2512" t="s">
        <v>9631</v>
      </c>
      <c r="H252" s="2512" t="s">
        <v>9631</v>
      </c>
      <c r="I252" s="2530">
        <v>330</v>
      </c>
      <c r="J252" s="2530">
        <v>170138</v>
      </c>
      <c r="K252" s="2530">
        <v>159931</v>
      </c>
      <c r="L252" s="2530">
        <v>0</v>
      </c>
      <c r="M252" s="2530">
        <v>0</v>
      </c>
      <c r="N252" s="2531">
        <v>241284</v>
      </c>
      <c r="O252" s="2527">
        <f t="shared" si="6"/>
        <v>241284</v>
      </c>
      <c r="P252" s="2960" t="str">
        <f t="shared" si="7"/>
        <v>Western Area Power Administration Western Area Power Administration Various Western Area Power Administration customers in PacifiCorp's control area. AD RS 262</v>
      </c>
      <c r="Q252" s="2953"/>
    </row>
    <row r="253" spans="1:17" ht="16.7" customHeight="1" x14ac:dyDescent="0.2">
      <c r="A253" s="2749">
        <v>34.2109999999998</v>
      </c>
      <c r="B253" s="2488" t="s">
        <v>9572</v>
      </c>
      <c r="C253" s="2512" t="s">
        <v>9572</v>
      </c>
      <c r="D253" s="2512" t="s">
        <v>9875</v>
      </c>
      <c r="E253" s="2947" t="s">
        <v>193</v>
      </c>
      <c r="F253" s="2489" t="s">
        <v>9877</v>
      </c>
      <c r="G253" s="2512" t="s">
        <v>9631</v>
      </c>
      <c r="H253" s="2512" t="s">
        <v>9631</v>
      </c>
      <c r="I253" s="2614"/>
      <c r="J253" s="2530">
        <v>33776</v>
      </c>
      <c r="K253" s="2530">
        <v>31747</v>
      </c>
      <c r="L253" s="2530">
        <v>22148</v>
      </c>
      <c r="M253" s="2530">
        <v>0</v>
      </c>
      <c r="N253" s="2531">
        <v>7251</v>
      </c>
      <c r="O253" s="2527">
        <f t="shared" si="6"/>
        <v>29399</v>
      </c>
      <c r="P253" s="2960" t="str">
        <f t="shared" si="7"/>
        <v>Western Area Power Administration Western Area Power Administration Various Western Area Power Administration customers in PacifiCorp's control area. OS RS 263</v>
      </c>
      <c r="Q253" s="2953"/>
    </row>
    <row r="254" spans="1:17" ht="16.7" customHeight="1" x14ac:dyDescent="0.2">
      <c r="A254" s="2749">
        <v>34.211999999999797</v>
      </c>
      <c r="B254" s="2488" t="s">
        <v>9572</v>
      </c>
      <c r="C254" s="2512" t="s">
        <v>9572</v>
      </c>
      <c r="D254" s="2512" t="s">
        <v>9875</v>
      </c>
      <c r="E254" s="2947" t="s">
        <v>196</v>
      </c>
      <c r="F254" s="2489" t="s">
        <v>9877</v>
      </c>
      <c r="G254" s="2512" t="s">
        <v>9631</v>
      </c>
      <c r="H254" s="2512" t="s">
        <v>9631</v>
      </c>
      <c r="I254" s="2614"/>
      <c r="J254" s="2530">
        <v>2273</v>
      </c>
      <c r="K254" s="2530">
        <v>2137</v>
      </c>
      <c r="L254" s="2530">
        <v>0</v>
      </c>
      <c r="M254" s="2530">
        <v>0</v>
      </c>
      <c r="N254" s="2531">
        <v>2263</v>
      </c>
      <c r="O254" s="2527">
        <f t="shared" si="6"/>
        <v>2263</v>
      </c>
      <c r="P254" s="2960" t="str">
        <f t="shared" si="7"/>
        <v>Western Area Power Administration Western Area Power Administration Various Western Area Power Administration customers in PacifiCorp's control area. AD RS 263</v>
      </c>
      <c r="Q254" s="2953"/>
    </row>
    <row r="255" spans="1:17" ht="16.7" customHeight="1" x14ac:dyDescent="0.2">
      <c r="A255" s="2749">
        <v>34.212999999999802</v>
      </c>
      <c r="B255" s="2488" t="s">
        <v>9572</v>
      </c>
      <c r="C255" s="2512" t="s">
        <v>9572</v>
      </c>
      <c r="D255" s="2512" t="s">
        <v>9628</v>
      </c>
      <c r="E255" s="2947" t="s">
        <v>193</v>
      </c>
      <c r="F255" s="2489" t="s">
        <v>9878</v>
      </c>
      <c r="G255" s="2512" t="s">
        <v>9847</v>
      </c>
      <c r="H255" s="2512" t="s">
        <v>9631</v>
      </c>
      <c r="I255" s="2614"/>
      <c r="J255" s="2614"/>
      <c r="K255" s="2530">
        <v>0</v>
      </c>
      <c r="L255" s="2530">
        <v>0</v>
      </c>
      <c r="M255" s="2530">
        <v>0</v>
      </c>
      <c r="N255" s="2530">
        <v>0</v>
      </c>
      <c r="O255" s="2527">
        <f t="shared" si="6"/>
        <v>0</v>
      </c>
      <c r="P255" s="2960" t="str">
        <f t="shared" si="7"/>
        <v>Western Area Power Administration Western Area Power Administration various signatories OS RS 684</v>
      </c>
      <c r="Q255" s="2953"/>
    </row>
    <row r="256" spans="1:17" ht="16.7" customHeight="1" x14ac:dyDescent="0.2">
      <c r="A256" s="2749">
        <v>34.2139999999998</v>
      </c>
      <c r="B256" s="2488" t="s">
        <v>9572</v>
      </c>
      <c r="C256" s="2512" t="s">
        <v>9572</v>
      </c>
      <c r="D256" s="2512" t="s">
        <v>9572</v>
      </c>
      <c r="E256" s="2489" t="s">
        <v>9643</v>
      </c>
      <c r="F256" s="2489" t="s">
        <v>9879</v>
      </c>
      <c r="G256" s="2512" t="s">
        <v>9880</v>
      </c>
      <c r="H256" s="2512" t="s">
        <v>9880</v>
      </c>
      <c r="I256" s="2530">
        <v>1</v>
      </c>
      <c r="J256" s="2530">
        <v>8979</v>
      </c>
      <c r="K256" s="2530">
        <v>8979</v>
      </c>
      <c r="L256" s="2530">
        <v>36127</v>
      </c>
      <c r="M256" s="2530">
        <v>0</v>
      </c>
      <c r="N256" s="2531">
        <v>33709</v>
      </c>
      <c r="O256" s="2527">
        <f t="shared" si="6"/>
        <v>69836</v>
      </c>
      <c r="P256" s="2960" t="str">
        <f t="shared" si="7"/>
        <v>Western Area Power Administration Western Area Power Administration Western Area Power Administration FNO SA 175</v>
      </c>
      <c r="Q256" s="2953"/>
    </row>
    <row r="257" spans="1:17" ht="16.7" customHeight="1" x14ac:dyDescent="0.2">
      <c r="A257" s="2749">
        <v>34.214999999999797</v>
      </c>
      <c r="B257" s="2488" t="s">
        <v>9572</v>
      </c>
      <c r="C257" s="2512" t="s">
        <v>9881</v>
      </c>
      <c r="D257" s="2512" t="s">
        <v>9572</v>
      </c>
      <c r="E257" s="2947" t="s">
        <v>196</v>
      </c>
      <c r="F257" s="2489" t="s">
        <v>9879</v>
      </c>
      <c r="G257" s="2512" t="s">
        <v>9631</v>
      </c>
      <c r="H257" s="2512" t="s">
        <v>9880</v>
      </c>
      <c r="I257" s="2530">
        <v>1</v>
      </c>
      <c r="J257" s="2530">
        <v>9</v>
      </c>
      <c r="K257" s="2530">
        <v>9</v>
      </c>
      <c r="L257" s="2530">
        <v>0</v>
      </c>
      <c r="M257" s="2530">
        <v>0</v>
      </c>
      <c r="N257" s="2946">
        <v>-1954</v>
      </c>
      <c r="O257" s="2527">
        <f t="shared" si="6"/>
        <v>-1954</v>
      </c>
      <c r="P257" s="2960" t="str">
        <f t="shared" si="7"/>
        <v>Western Area Power Administration Western Area Power Administration Colorado River Storage Project Western Area Power Administration AD SA 175</v>
      </c>
      <c r="Q257" s="2953"/>
    </row>
    <row r="258" spans="1:17" ht="16.7" customHeight="1" x14ac:dyDescent="0.2">
      <c r="A258" s="2749">
        <v>34.215999999999802</v>
      </c>
      <c r="B258" s="2488" t="s">
        <v>9572</v>
      </c>
      <c r="C258" s="2512" t="s">
        <v>9881</v>
      </c>
      <c r="D258" s="2512" t="s">
        <v>9628</v>
      </c>
      <c r="E258" s="2489" t="s">
        <v>9629</v>
      </c>
      <c r="F258" s="2489" t="s">
        <v>9882</v>
      </c>
      <c r="G258" s="2512" t="s">
        <v>9631</v>
      </c>
      <c r="H258" s="2512" t="s">
        <v>9631</v>
      </c>
      <c r="I258" s="2614"/>
      <c r="J258" s="2614"/>
      <c r="K258" s="2530">
        <v>0</v>
      </c>
      <c r="L258" s="2530">
        <v>0</v>
      </c>
      <c r="M258" s="2530">
        <v>0</v>
      </c>
      <c r="N258" s="2944">
        <v>5</v>
      </c>
      <c r="O258" s="2527">
        <f t="shared" si="6"/>
        <v>5</v>
      </c>
      <c r="P258" s="2960" t="str">
        <f t="shared" si="7"/>
        <v>Western Area Power Administration Western Area Power Administration Colorado River Storage Project various signatories NF SA 137</v>
      </c>
      <c r="Q258" s="2953"/>
    </row>
    <row r="259" spans="1:17" ht="16.7" customHeight="1" x14ac:dyDescent="0.2">
      <c r="A259" s="2749">
        <v>34.2169999999998</v>
      </c>
      <c r="B259" s="2488" t="s">
        <v>9881</v>
      </c>
      <c r="C259" s="2512" t="s">
        <v>9881</v>
      </c>
      <c r="D259" s="2512" t="s">
        <v>9628</v>
      </c>
      <c r="E259" s="2489" t="s">
        <v>9629</v>
      </c>
      <c r="F259" s="2489" t="s">
        <v>9883</v>
      </c>
      <c r="G259" s="2512" t="s">
        <v>9631</v>
      </c>
      <c r="H259" s="2512" t="s">
        <v>9631</v>
      </c>
      <c r="I259" s="2614"/>
      <c r="J259" s="2614"/>
      <c r="K259" s="2530">
        <v>0</v>
      </c>
      <c r="L259" s="2530">
        <v>0</v>
      </c>
      <c r="M259" s="2530">
        <v>247007</v>
      </c>
      <c r="N259" s="2944">
        <v>15396</v>
      </c>
      <c r="O259" s="2527">
        <f t="shared" si="6"/>
        <v>262403</v>
      </c>
      <c r="P259" s="2960" t="str">
        <f t="shared" si="7"/>
        <v>Western Area Power Administration Colorado River Storage Project Western Area Power Administration Colorado River Storage Project various signatories NF SA 132</v>
      </c>
      <c r="Q259" s="2953"/>
    </row>
    <row r="260" spans="1:17" ht="16.7" customHeight="1" x14ac:dyDescent="0.2">
      <c r="A260" s="2749">
        <v>34.217999999999797</v>
      </c>
      <c r="B260" s="2488" t="s">
        <v>9881</v>
      </c>
      <c r="C260" s="2512" t="s">
        <v>9881</v>
      </c>
      <c r="D260" s="2512" t="s">
        <v>9628</v>
      </c>
      <c r="E260" s="2966" t="s">
        <v>196</v>
      </c>
      <c r="F260" s="2489" t="s">
        <v>9883</v>
      </c>
      <c r="G260" s="2512" t="s">
        <v>9631</v>
      </c>
      <c r="H260" s="2512" t="s">
        <v>9631</v>
      </c>
      <c r="I260" s="2614"/>
      <c r="J260" s="2530">
        <v>294</v>
      </c>
      <c r="K260" s="2530">
        <v>294</v>
      </c>
      <c r="L260" s="2530">
        <v>0</v>
      </c>
      <c r="M260" s="2530">
        <v>0</v>
      </c>
      <c r="N260" s="2946">
        <v>2074</v>
      </c>
      <c r="O260" s="2527">
        <f t="shared" si="6"/>
        <v>2074</v>
      </c>
      <c r="P260" s="2960" t="str">
        <f t="shared" si="7"/>
        <v>Western Area Power Administration Colorado River Storage Project Western Area Power Administration Colorado River Storage Project various signatories AD SA 132</v>
      </c>
      <c r="Q260" s="2953"/>
    </row>
    <row r="261" spans="1:17" ht="16.7" customHeight="1" x14ac:dyDescent="0.2">
      <c r="A261" s="2749">
        <v>34.218999999999802</v>
      </c>
      <c r="B261" s="2488" t="s">
        <v>9884</v>
      </c>
      <c r="C261" s="2512" t="s">
        <v>9881</v>
      </c>
      <c r="D261" s="2512" t="s">
        <v>9628</v>
      </c>
      <c r="E261" s="2489" t="s">
        <v>9629</v>
      </c>
      <c r="F261" s="2489" t="s">
        <v>9885</v>
      </c>
      <c r="G261" s="2512" t="s">
        <v>9631</v>
      </c>
      <c r="H261" s="2512" t="s">
        <v>9631</v>
      </c>
      <c r="I261" s="2614"/>
      <c r="J261" s="2530">
        <v>83315</v>
      </c>
      <c r="K261" s="2530">
        <v>83315</v>
      </c>
      <c r="L261" s="2530">
        <v>0</v>
      </c>
      <c r="M261" s="2530">
        <v>483671</v>
      </c>
      <c r="N261" s="2944">
        <v>30676</v>
      </c>
      <c r="O261" s="2527">
        <f t="shared" si="6"/>
        <v>514347</v>
      </c>
      <c r="P261" s="2960" t="str">
        <f t="shared" si="7"/>
        <v>Western Area Power Administration Colorado Missouri Western Area Power Administration Colorado River Storage Project various signatories NF SA 724</v>
      </c>
      <c r="Q261" s="2953"/>
    </row>
    <row r="262" spans="1:17" ht="16.7" customHeight="1" x14ac:dyDescent="0.2">
      <c r="A262" s="2749">
        <v>34.2199999999998</v>
      </c>
      <c r="B262" s="2488" t="s">
        <v>9080</v>
      </c>
      <c r="C262" s="2512"/>
      <c r="D262" s="2512"/>
      <c r="E262" s="2489"/>
      <c r="F262" s="2489"/>
      <c r="G262" s="2512"/>
      <c r="H262" s="2512"/>
      <c r="I262" s="2614"/>
      <c r="J262" s="2530">
        <v>-487088</v>
      </c>
      <c r="K262" s="2530">
        <v>-482283</v>
      </c>
      <c r="L262" s="2530">
        <v>0</v>
      </c>
      <c r="M262" s="2530">
        <v>0</v>
      </c>
      <c r="N262" s="2531">
        <v>-403627</v>
      </c>
      <c r="O262" s="2527">
        <f t="shared" si="6"/>
        <v>-403627</v>
      </c>
      <c r="P262" s="2960" t="str">
        <f t="shared" si="7"/>
        <v xml:space="preserve">Accrual    </v>
      </c>
      <c r="Q262" s="2953"/>
    </row>
    <row r="263" spans="1:17" ht="16.7" customHeight="1" x14ac:dyDescent="0.2">
      <c r="A263" s="2497">
        <v>35</v>
      </c>
      <c r="B263" s="2669" t="s">
        <v>104</v>
      </c>
      <c r="C263" s="2512"/>
      <c r="D263" s="2512"/>
      <c r="E263" s="2489"/>
      <c r="F263" s="2489"/>
      <c r="G263" s="2502"/>
      <c r="H263" s="2502"/>
      <c r="I263" s="2736">
        <f t="shared" ref="I263:O263" si="8">SUM(I6:I262)</f>
        <v>7473</v>
      </c>
      <c r="J263" s="2736">
        <f t="shared" si="8"/>
        <v>17818492</v>
      </c>
      <c r="K263" s="2736">
        <f t="shared" si="8"/>
        <v>17730917</v>
      </c>
      <c r="L263" s="2736">
        <f t="shared" si="8"/>
        <v>105219225</v>
      </c>
      <c r="M263" s="2736">
        <f t="shared" si="8"/>
        <v>33483118</v>
      </c>
      <c r="N263" s="2736">
        <f t="shared" si="8"/>
        <v>31504457</v>
      </c>
      <c r="O263" s="2736">
        <f t="shared" si="8"/>
        <v>170206800</v>
      </c>
      <c r="P263" s="2960" t="str">
        <f t="shared" si="7"/>
        <v xml:space="preserve">Total    </v>
      </c>
      <c r="Q263" s="2953"/>
    </row>
    <row r="264" spans="1:17" x14ac:dyDescent="0.2">
      <c r="A264" s="2608"/>
      <c r="B264" s="2608"/>
      <c r="C264" s="2608"/>
      <c r="D264" s="2608"/>
      <c r="E264" s="2608"/>
      <c r="F264" s="2608"/>
      <c r="G264" s="2608"/>
      <c r="H264" s="2608"/>
      <c r="I264" s="2608"/>
      <c r="J264" s="2608"/>
      <c r="K264" s="2608"/>
      <c r="L264" s="2608"/>
      <c r="M264" s="2608"/>
      <c r="N264" s="2608"/>
      <c r="O264" s="2608"/>
    </row>
  </sheetData>
  <mergeCells count="20">
    <mergeCell ref="H6:H7"/>
    <mergeCell ref="I6:I7"/>
    <mergeCell ref="J6:K6"/>
    <mergeCell ref="L6:O6"/>
    <mergeCell ref="A5:E5"/>
    <mergeCell ref="F5:K5"/>
    <mergeCell ref="L5:O5"/>
    <mergeCell ref="A6:A7"/>
    <mergeCell ref="B6:B7"/>
    <mergeCell ref="C6:C7"/>
    <mergeCell ref="D6:D7"/>
    <mergeCell ref="E6:E7"/>
    <mergeCell ref="F6:F7"/>
    <mergeCell ref="G6:G7"/>
    <mergeCell ref="A3:E3"/>
    <mergeCell ref="F3:K3"/>
    <mergeCell ref="L3:O3"/>
    <mergeCell ref="A4:E4"/>
    <mergeCell ref="F4:K4"/>
    <mergeCell ref="L4:O4"/>
  </mergeCells>
  <pageMargins left="0.75" right="0.75" top="1" bottom="1" header="0.5" footer="0.5"/>
  <customProperties>
    <customPr name="_pios_id" r:id="rId1"/>
  </customProperties>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0B1F68-E78B-49A2-93ED-45BA48173883}">
  <sheetPr codeName="Sheet79"/>
  <dimension ref="A1:J259"/>
  <sheetViews>
    <sheetView workbookViewId="0">
      <pane xSplit="2" ySplit="6" topLeftCell="C7" activePane="bottomRight" state="frozen"/>
      <selection activeCell="C1" sqref="C1"/>
      <selection pane="topRight" activeCell="C1" sqref="C1"/>
      <selection pane="bottomLeft" activeCell="C1" sqref="C1"/>
      <selection pane="bottomRight" activeCell="C1" sqref="C1"/>
    </sheetView>
  </sheetViews>
  <sheetFormatPr defaultColWidth="11.5" defaultRowHeight="12.75" x14ac:dyDescent="0.2"/>
  <cols>
    <col min="1" max="1" width="4.25" style="1953" customWidth="1"/>
    <col min="2" max="2" width="36.625" style="1953" customWidth="1"/>
    <col min="3" max="3" width="10.5" style="1953" customWidth="1"/>
    <col min="4" max="9" width="12.625" style="1953" customWidth="1"/>
    <col min="10" max="10" width="11.5" style="1953" customWidth="1"/>
    <col min="11" max="17" width="17.625" style="1953" customWidth="1"/>
    <col min="18" max="16384" width="11.5" style="1953"/>
  </cols>
  <sheetData>
    <row r="1" spans="1:10" ht="16.7" customHeight="1" x14ac:dyDescent="0.2">
      <c r="B1" s="2845" t="s">
        <v>5937</v>
      </c>
    </row>
    <row r="2" spans="1:10" ht="27.6" customHeight="1" x14ac:dyDescent="0.2">
      <c r="A2" s="3932" t="s">
        <v>9886</v>
      </c>
      <c r="B2" s="3975"/>
      <c r="C2" s="3975"/>
      <c r="D2" s="3975"/>
      <c r="E2" s="3975"/>
      <c r="F2" s="3975"/>
      <c r="G2" s="3975"/>
      <c r="H2" s="3975"/>
      <c r="I2" s="3976"/>
      <c r="J2" s="2954"/>
    </row>
    <row r="3" spans="1:10" ht="136.69999999999999" customHeight="1" x14ac:dyDescent="0.2">
      <c r="A3" s="3953" t="s">
        <v>9887</v>
      </c>
      <c r="B3" s="3954"/>
      <c r="C3" s="3954"/>
      <c r="D3" s="3954"/>
      <c r="E3" s="3954"/>
      <c r="F3" s="3954"/>
      <c r="G3" s="3954"/>
      <c r="H3" s="3954"/>
      <c r="I3" s="3955"/>
      <c r="J3" s="2977"/>
    </row>
    <row r="4" spans="1:10" ht="30.75" customHeight="1" x14ac:dyDescent="0.2">
      <c r="A4" s="4070" t="s">
        <v>6133</v>
      </c>
      <c r="B4" s="4070" t="s">
        <v>9888</v>
      </c>
      <c r="C4" s="4070" t="s">
        <v>9889</v>
      </c>
      <c r="D4" s="3932" t="s">
        <v>9890</v>
      </c>
      <c r="E4" s="3976"/>
      <c r="F4" s="3932" t="s">
        <v>9891</v>
      </c>
      <c r="G4" s="3975"/>
      <c r="H4" s="3975"/>
      <c r="I4" s="3976"/>
      <c r="J4" s="2954"/>
    </row>
    <row r="5" spans="1:10" ht="39.200000000000003" customHeight="1" x14ac:dyDescent="0.2">
      <c r="A5" s="4071"/>
      <c r="B5" s="4071"/>
      <c r="C5" s="4071"/>
      <c r="D5" s="2978" t="s">
        <v>9616</v>
      </c>
      <c r="E5" s="2978" t="s">
        <v>9617</v>
      </c>
      <c r="F5" s="2978" t="s">
        <v>9892</v>
      </c>
      <c r="G5" s="2978" t="s">
        <v>9893</v>
      </c>
      <c r="H5" s="2900" t="s">
        <v>9894</v>
      </c>
      <c r="I5" s="2902" t="s">
        <v>9895</v>
      </c>
      <c r="J5" s="2958"/>
    </row>
    <row r="6" spans="1:10" ht="15.75" customHeight="1" x14ac:dyDescent="0.2">
      <c r="A6" s="2980"/>
      <c r="B6" s="2980" t="s">
        <v>5949</v>
      </c>
      <c r="C6" s="2980" t="s">
        <v>5950</v>
      </c>
      <c r="D6" s="2980" t="s">
        <v>5951</v>
      </c>
      <c r="E6" s="2980" t="s">
        <v>5952</v>
      </c>
      <c r="F6" s="2980" t="s">
        <v>6227</v>
      </c>
      <c r="G6" s="2980" t="s">
        <v>5804</v>
      </c>
      <c r="H6" s="2981" t="s">
        <v>6228</v>
      </c>
      <c r="I6" s="2982" t="s">
        <v>6229</v>
      </c>
      <c r="J6" s="2958" t="s">
        <v>6324</v>
      </c>
    </row>
    <row r="7" spans="1:10" ht="16.7" customHeight="1" x14ac:dyDescent="0.2">
      <c r="A7" s="2497">
        <v>1</v>
      </c>
      <c r="B7" s="2693" t="s">
        <v>9383</v>
      </c>
      <c r="C7" s="2983" t="s">
        <v>196</v>
      </c>
      <c r="D7" s="2693"/>
      <c r="E7" s="2693"/>
      <c r="F7" s="2693"/>
      <c r="G7" s="2693"/>
      <c r="H7" s="2984">
        <v>39</v>
      </c>
      <c r="I7" s="2530">
        <f t="shared" ref="I7:I38" si="0">SUM(F7:H7)</f>
        <v>39</v>
      </c>
      <c r="J7" s="2985" t="str">
        <f t="shared" ref="J7:J70" si="1">CONCATENATE(B7," ",C7)</f>
        <v>Adams Solar Center, LLC AD</v>
      </c>
    </row>
    <row r="8" spans="1:10" ht="16.7" customHeight="1" x14ac:dyDescent="0.2">
      <c r="A8" s="2497">
        <v>2</v>
      </c>
      <c r="B8" s="2693" t="s">
        <v>9383</v>
      </c>
      <c r="C8" s="2986" t="s">
        <v>9623</v>
      </c>
      <c r="D8" s="2693"/>
      <c r="E8" s="2693"/>
      <c r="F8" s="2693"/>
      <c r="G8" s="2693"/>
      <c r="H8" s="2962">
        <v>-55304</v>
      </c>
      <c r="I8" s="2530">
        <f t="shared" si="0"/>
        <v>-55304</v>
      </c>
      <c r="J8" s="2985" t="str">
        <f t="shared" si="1"/>
        <v>Adams Solar Center, LLC LFP</v>
      </c>
    </row>
    <row r="9" spans="1:10" ht="16.7" customHeight="1" x14ac:dyDescent="0.2">
      <c r="A9" s="2497">
        <v>3</v>
      </c>
      <c r="B9" s="2693" t="s">
        <v>9383</v>
      </c>
      <c r="C9" s="2987" t="s">
        <v>193</v>
      </c>
      <c r="D9" s="2693"/>
      <c r="E9" s="2693"/>
      <c r="F9" s="2693"/>
      <c r="G9" s="2693"/>
      <c r="H9" s="2988">
        <v>-10704</v>
      </c>
      <c r="I9" s="2530">
        <f t="shared" si="0"/>
        <v>-10704</v>
      </c>
      <c r="J9" s="2985" t="str">
        <f t="shared" si="1"/>
        <v>Adams Solar Center, LLC OS</v>
      </c>
    </row>
    <row r="10" spans="1:10" ht="16.7" customHeight="1" x14ac:dyDescent="0.2">
      <c r="A10" s="2497">
        <v>4</v>
      </c>
      <c r="B10" s="2693" t="s">
        <v>9896</v>
      </c>
      <c r="C10" s="2986" t="s">
        <v>9623</v>
      </c>
      <c r="D10" s="2693"/>
      <c r="E10" s="2693"/>
      <c r="F10" s="2693"/>
      <c r="G10" s="2693"/>
      <c r="H10" s="2962">
        <v>-61758</v>
      </c>
      <c r="I10" s="2530">
        <f t="shared" si="0"/>
        <v>-61758</v>
      </c>
      <c r="J10" s="2985" t="str">
        <f t="shared" si="1"/>
        <v>American Gilsonite Company LFP</v>
      </c>
    </row>
    <row r="11" spans="1:10" ht="16.7" customHeight="1" x14ac:dyDescent="0.2">
      <c r="A11" s="2497">
        <v>5</v>
      </c>
      <c r="B11" s="2693" t="s">
        <v>9896</v>
      </c>
      <c r="C11" s="2987" t="s">
        <v>193</v>
      </c>
      <c r="D11" s="2693"/>
      <c r="E11" s="2693"/>
      <c r="F11" s="2693"/>
      <c r="G11" s="2693"/>
      <c r="H11" s="2988">
        <v>-462</v>
      </c>
      <c r="I11" s="2530">
        <f t="shared" si="0"/>
        <v>-462</v>
      </c>
      <c r="J11" s="2985" t="str">
        <f t="shared" si="1"/>
        <v>American Gilsonite Company OS</v>
      </c>
    </row>
    <row r="12" spans="1:10" ht="16.7" customHeight="1" x14ac:dyDescent="0.2">
      <c r="A12" s="2497">
        <v>6</v>
      </c>
      <c r="B12" s="2693" t="s">
        <v>9084</v>
      </c>
      <c r="C12" s="2983" t="s">
        <v>196</v>
      </c>
      <c r="D12" s="2693"/>
      <c r="E12" s="2693"/>
      <c r="F12" s="2693"/>
      <c r="G12" s="2693"/>
      <c r="H12" s="2984">
        <v>66652</v>
      </c>
      <c r="I12" s="2530">
        <f t="shared" si="0"/>
        <v>66652</v>
      </c>
      <c r="J12" s="2985" t="str">
        <f t="shared" si="1"/>
        <v>Arizona Public Service Company AD</v>
      </c>
    </row>
    <row r="13" spans="1:10" ht="16.7" customHeight="1" x14ac:dyDescent="0.2">
      <c r="A13" s="2497">
        <v>7</v>
      </c>
      <c r="B13" s="2693" t="s">
        <v>9084</v>
      </c>
      <c r="C13" s="2487" t="s">
        <v>9629</v>
      </c>
      <c r="D13" s="2766">
        <v>7370</v>
      </c>
      <c r="E13" s="2766">
        <v>7370</v>
      </c>
      <c r="F13" s="2766">
        <v>32701</v>
      </c>
      <c r="G13" s="2693"/>
      <c r="H13" s="2693"/>
      <c r="I13" s="2530">
        <f t="shared" si="0"/>
        <v>32701</v>
      </c>
      <c r="J13" s="2985" t="str">
        <f t="shared" si="1"/>
        <v>Arizona Public Service Company NF</v>
      </c>
    </row>
    <row r="14" spans="1:10" ht="16.7" customHeight="1" x14ac:dyDescent="0.2">
      <c r="A14" s="2497">
        <v>8</v>
      </c>
      <c r="B14" s="2693" t="s">
        <v>9084</v>
      </c>
      <c r="C14" s="2987" t="s">
        <v>193</v>
      </c>
      <c r="D14" s="2693"/>
      <c r="E14" s="2693"/>
      <c r="F14" s="2693"/>
      <c r="G14" s="2693"/>
      <c r="H14" s="2988">
        <v>251399</v>
      </c>
      <c r="I14" s="2530">
        <f t="shared" si="0"/>
        <v>251399</v>
      </c>
      <c r="J14" s="2985" t="str">
        <f t="shared" si="1"/>
        <v>Arizona Public Service Company OS</v>
      </c>
    </row>
    <row r="15" spans="1:10" ht="16.7" customHeight="1" x14ac:dyDescent="0.2">
      <c r="A15" s="2497">
        <v>9</v>
      </c>
      <c r="B15" s="2693" t="s">
        <v>9084</v>
      </c>
      <c r="C15" s="2487" t="s">
        <v>9632</v>
      </c>
      <c r="D15" s="2766">
        <v>1529750</v>
      </c>
      <c r="E15" s="2766">
        <v>1529750</v>
      </c>
      <c r="F15" s="2766">
        <v>8531167</v>
      </c>
      <c r="G15" s="2693"/>
      <c r="H15" s="2693"/>
      <c r="I15" s="2530">
        <f t="shared" si="0"/>
        <v>8531167</v>
      </c>
      <c r="J15" s="2985" t="str">
        <f t="shared" si="1"/>
        <v>Arizona Public Service Company SFP</v>
      </c>
    </row>
    <row r="16" spans="1:10" ht="16.7" customHeight="1" x14ac:dyDescent="0.2">
      <c r="A16" s="2497">
        <v>10</v>
      </c>
      <c r="B16" s="2693" t="s">
        <v>9897</v>
      </c>
      <c r="C16" s="2487" t="s">
        <v>9898</v>
      </c>
      <c r="D16" s="2766">
        <v>2666</v>
      </c>
      <c r="E16" s="2766">
        <v>2666</v>
      </c>
      <c r="F16" s="2693"/>
      <c r="G16" s="2766">
        <v>26663</v>
      </c>
      <c r="H16" s="2693"/>
      <c r="I16" s="2530">
        <f t="shared" si="0"/>
        <v>26663</v>
      </c>
      <c r="J16" s="2985" t="str">
        <f t="shared" si="1"/>
        <v>Ashland, City of FNS</v>
      </c>
    </row>
    <row r="17" spans="1:10" ht="16.7" customHeight="1" x14ac:dyDescent="0.2">
      <c r="A17" s="2497">
        <v>11</v>
      </c>
      <c r="B17" s="2693" t="s">
        <v>9088</v>
      </c>
      <c r="C17" s="2983" t="s">
        <v>196</v>
      </c>
      <c r="D17" s="2693"/>
      <c r="E17" s="2693"/>
      <c r="F17" s="2693"/>
      <c r="G17" s="2693"/>
      <c r="H17" s="2984">
        <v>-1772</v>
      </c>
      <c r="I17" s="2530">
        <f t="shared" si="0"/>
        <v>-1772</v>
      </c>
      <c r="J17" s="2985" t="str">
        <f t="shared" si="1"/>
        <v>Avista Corporation AD</v>
      </c>
    </row>
    <row r="18" spans="1:10" ht="16.7" customHeight="1" x14ac:dyDescent="0.2">
      <c r="A18" s="2497">
        <v>12</v>
      </c>
      <c r="B18" s="2693" t="s">
        <v>9088</v>
      </c>
      <c r="C18" s="2487" t="s">
        <v>9898</v>
      </c>
      <c r="D18" s="2766">
        <v>41620</v>
      </c>
      <c r="E18" s="2766">
        <v>40404</v>
      </c>
      <c r="F18" s="2766">
        <v>196137</v>
      </c>
      <c r="G18" s="2693"/>
      <c r="H18" s="2693"/>
      <c r="I18" s="2530">
        <f t="shared" si="0"/>
        <v>196137</v>
      </c>
      <c r="J18" s="2985" t="str">
        <f t="shared" si="1"/>
        <v>Avista Corporation FNS</v>
      </c>
    </row>
    <row r="19" spans="1:10" ht="16.7" customHeight="1" x14ac:dyDescent="0.2">
      <c r="A19" s="2497">
        <v>13</v>
      </c>
      <c r="B19" s="2693" t="s">
        <v>9088</v>
      </c>
      <c r="C19" s="2487" t="s">
        <v>9629</v>
      </c>
      <c r="D19" s="2766">
        <v>48142</v>
      </c>
      <c r="E19" s="2766">
        <v>48142</v>
      </c>
      <c r="F19" s="2766">
        <v>332664</v>
      </c>
      <c r="G19" s="2693"/>
      <c r="H19" s="2693"/>
      <c r="I19" s="2530">
        <f t="shared" si="0"/>
        <v>332664</v>
      </c>
      <c r="J19" s="2985" t="str">
        <f t="shared" si="1"/>
        <v>Avista Corporation NF</v>
      </c>
    </row>
    <row r="20" spans="1:10" ht="16.7" customHeight="1" x14ac:dyDescent="0.2">
      <c r="A20" s="2497">
        <v>14</v>
      </c>
      <c r="B20" s="2693" t="s">
        <v>9088</v>
      </c>
      <c r="C20" s="2987" t="s">
        <v>193</v>
      </c>
      <c r="D20" s="2693"/>
      <c r="E20" s="2693"/>
      <c r="F20" s="2693"/>
      <c r="G20" s="2693"/>
      <c r="H20" s="2988">
        <v>8060</v>
      </c>
      <c r="I20" s="2530">
        <f t="shared" si="0"/>
        <v>8060</v>
      </c>
      <c r="J20" s="2985" t="str">
        <f t="shared" si="1"/>
        <v>Avista Corporation OS</v>
      </c>
    </row>
    <row r="21" spans="1:10" ht="16.7" customHeight="1" x14ac:dyDescent="0.2">
      <c r="A21" s="2497">
        <v>15</v>
      </c>
      <c r="B21" s="2693" t="s">
        <v>9088</v>
      </c>
      <c r="C21" s="2487" t="s">
        <v>9632</v>
      </c>
      <c r="D21" s="2766">
        <v>41443</v>
      </c>
      <c r="E21" s="2766">
        <v>41443</v>
      </c>
      <c r="F21" s="2766">
        <v>218349</v>
      </c>
      <c r="G21" s="2693"/>
      <c r="H21" s="2693"/>
      <c r="I21" s="2530">
        <f t="shared" si="0"/>
        <v>218349</v>
      </c>
      <c r="J21" s="2985" t="str">
        <f t="shared" si="1"/>
        <v>Avista Corporation SFP</v>
      </c>
    </row>
    <row r="22" spans="1:10" ht="16.7" customHeight="1" x14ac:dyDescent="0.2">
      <c r="A22" s="2497">
        <v>16</v>
      </c>
      <c r="B22" s="2693" t="s">
        <v>9388</v>
      </c>
      <c r="C22" s="2487" t="s">
        <v>9629</v>
      </c>
      <c r="D22" s="2766">
        <v>324</v>
      </c>
      <c r="E22" s="2766">
        <v>324</v>
      </c>
      <c r="F22" s="2766">
        <v>483</v>
      </c>
      <c r="G22" s="2693"/>
      <c r="H22" s="2693"/>
      <c r="I22" s="2530">
        <f t="shared" si="0"/>
        <v>483</v>
      </c>
      <c r="J22" s="2985" t="str">
        <f t="shared" si="1"/>
        <v>Basin Electric Power Cooperative, Inc. NF</v>
      </c>
    </row>
    <row r="23" spans="1:10" ht="16.7" customHeight="1" x14ac:dyDescent="0.2">
      <c r="A23" s="2989">
        <v>16.010000000000002</v>
      </c>
      <c r="B23" s="2693" t="s">
        <v>9388</v>
      </c>
      <c r="C23" s="2987" t="s">
        <v>193</v>
      </c>
      <c r="D23" s="2693"/>
      <c r="E23" s="2693"/>
      <c r="F23" s="2693"/>
      <c r="G23" s="2693"/>
      <c r="H23" s="2988">
        <v>136</v>
      </c>
      <c r="I23" s="2530">
        <f t="shared" si="0"/>
        <v>136</v>
      </c>
      <c r="J23" s="2985" t="str">
        <f t="shared" si="1"/>
        <v>Basin Electric Power Cooperative, Inc. OS</v>
      </c>
    </row>
    <row r="24" spans="1:10" ht="16.7" customHeight="1" x14ac:dyDescent="0.2">
      <c r="A24" s="2989">
        <v>16.02</v>
      </c>
      <c r="B24" s="2693" t="s">
        <v>9899</v>
      </c>
      <c r="C24" s="2983" t="s">
        <v>196</v>
      </c>
      <c r="D24" s="2693"/>
      <c r="E24" s="2693"/>
      <c r="F24" s="2693"/>
      <c r="G24" s="2693"/>
      <c r="H24" s="2984">
        <v>156</v>
      </c>
      <c r="I24" s="2530">
        <f t="shared" si="0"/>
        <v>156</v>
      </c>
      <c r="J24" s="2985" t="str">
        <f t="shared" si="1"/>
        <v>Big Horn Rural Electric Company AD</v>
      </c>
    </row>
    <row r="25" spans="1:10" ht="16.7" customHeight="1" x14ac:dyDescent="0.2">
      <c r="A25" s="2989">
        <v>16.03</v>
      </c>
      <c r="B25" s="2693" t="s">
        <v>9899</v>
      </c>
      <c r="C25" s="2990" t="s">
        <v>9900</v>
      </c>
      <c r="D25" s="2766">
        <v>30845</v>
      </c>
      <c r="E25" s="2766">
        <v>30845</v>
      </c>
      <c r="F25" s="2693"/>
      <c r="G25" s="2693"/>
      <c r="H25" s="2991">
        <v>140405</v>
      </c>
      <c r="I25" s="2530">
        <f t="shared" si="0"/>
        <v>140405</v>
      </c>
      <c r="J25" s="2985" t="str">
        <f t="shared" si="1"/>
        <v>Big Horn Rural Electric Company OLF</v>
      </c>
    </row>
    <row r="26" spans="1:10" ht="16.7" customHeight="1" x14ac:dyDescent="0.2">
      <c r="A26" s="2989">
        <v>16.04</v>
      </c>
      <c r="B26" s="2693" t="s">
        <v>9090</v>
      </c>
      <c r="C26" s="2983" t="s">
        <v>196</v>
      </c>
      <c r="D26" s="2693"/>
      <c r="E26" s="2693"/>
      <c r="F26" s="2693"/>
      <c r="G26" s="2693"/>
      <c r="H26" s="2984">
        <v>-625</v>
      </c>
      <c r="I26" s="2530">
        <f t="shared" si="0"/>
        <v>-625</v>
      </c>
      <c r="J26" s="2985" t="str">
        <f t="shared" si="1"/>
        <v>Black Hills Power, Inc. AD</v>
      </c>
    </row>
    <row r="27" spans="1:10" ht="16.7" customHeight="1" x14ac:dyDescent="0.2">
      <c r="A27" s="2989">
        <v>16.05</v>
      </c>
      <c r="B27" s="2693" t="s">
        <v>9090</v>
      </c>
      <c r="C27" s="2487" t="s">
        <v>9629</v>
      </c>
      <c r="D27" s="2766">
        <v>1138</v>
      </c>
      <c r="E27" s="2766">
        <v>1138</v>
      </c>
      <c r="F27" s="2766">
        <v>1138</v>
      </c>
      <c r="G27" s="2693"/>
      <c r="H27" s="2693"/>
      <c r="I27" s="2530">
        <f t="shared" si="0"/>
        <v>1138</v>
      </c>
      <c r="J27" s="2985" t="str">
        <f t="shared" si="1"/>
        <v>Black Hills Power, Inc. NF</v>
      </c>
    </row>
    <row r="28" spans="1:10" ht="16.7" customHeight="1" x14ac:dyDescent="0.2">
      <c r="A28" s="2989">
        <v>16.059999999999999</v>
      </c>
      <c r="B28" s="2693" t="s">
        <v>9090</v>
      </c>
      <c r="C28" s="2987" t="s">
        <v>193</v>
      </c>
      <c r="D28" s="2693"/>
      <c r="E28" s="2693"/>
      <c r="F28" s="2693"/>
      <c r="G28" s="2693"/>
      <c r="H28" s="2988">
        <v>1143</v>
      </c>
      <c r="I28" s="2530">
        <f t="shared" si="0"/>
        <v>1143</v>
      </c>
      <c r="J28" s="2985" t="str">
        <f t="shared" si="1"/>
        <v>Black Hills Power, Inc. OS</v>
      </c>
    </row>
    <row r="29" spans="1:10" ht="16.7" customHeight="1" x14ac:dyDescent="0.2">
      <c r="A29" s="2989">
        <v>16.07</v>
      </c>
      <c r="B29" s="2693" t="s">
        <v>9090</v>
      </c>
      <c r="C29" s="2487" t="s">
        <v>9632</v>
      </c>
      <c r="D29" s="2766">
        <v>288</v>
      </c>
      <c r="E29" s="2766">
        <v>288</v>
      </c>
      <c r="F29" s="2766">
        <v>2572</v>
      </c>
      <c r="G29" s="2693"/>
      <c r="H29" s="2693"/>
      <c r="I29" s="2530">
        <f t="shared" si="0"/>
        <v>2572</v>
      </c>
      <c r="J29" s="2985" t="str">
        <f t="shared" si="1"/>
        <v>Black Hills Power, Inc. SFP</v>
      </c>
    </row>
    <row r="30" spans="1:10" ht="16.7" customHeight="1" x14ac:dyDescent="0.2">
      <c r="A30" s="2989">
        <v>16.079999999999998</v>
      </c>
      <c r="B30" s="2693" t="s">
        <v>9091</v>
      </c>
      <c r="C30" s="2983" t="s">
        <v>196</v>
      </c>
      <c r="D30" s="2693"/>
      <c r="E30" s="2693"/>
      <c r="F30" s="2693"/>
      <c r="G30" s="2693"/>
      <c r="H30" s="2984">
        <v>233076</v>
      </c>
      <c r="I30" s="2530">
        <f t="shared" si="0"/>
        <v>233076</v>
      </c>
      <c r="J30" s="2985" t="str">
        <f t="shared" si="1"/>
        <v>Bonneville Power Administration AD</v>
      </c>
    </row>
    <row r="31" spans="1:10" ht="16.7" customHeight="1" x14ac:dyDescent="0.2">
      <c r="A31" s="2989">
        <v>16.09</v>
      </c>
      <c r="B31" s="2693" t="s">
        <v>9091</v>
      </c>
      <c r="C31" s="2487" t="s">
        <v>9898</v>
      </c>
      <c r="D31" s="2766">
        <v>4148</v>
      </c>
      <c r="E31" s="2766">
        <v>4311</v>
      </c>
      <c r="F31" s="2766">
        <v>8326258</v>
      </c>
      <c r="G31" s="2693"/>
      <c r="H31" s="2693"/>
      <c r="I31" s="2530">
        <f t="shared" si="0"/>
        <v>8326258</v>
      </c>
      <c r="J31" s="2985" t="str">
        <f t="shared" si="1"/>
        <v>Bonneville Power Administration FNS</v>
      </c>
    </row>
    <row r="32" spans="1:10" ht="16.7" customHeight="1" x14ac:dyDescent="0.2">
      <c r="A32" s="2989">
        <v>16.100000000000001</v>
      </c>
      <c r="B32" s="2693" t="s">
        <v>9091</v>
      </c>
      <c r="C32" s="2992" t="s">
        <v>9623</v>
      </c>
      <c r="D32" s="2766">
        <v>5120827</v>
      </c>
      <c r="E32" s="2766">
        <v>5321699</v>
      </c>
      <c r="F32" s="2766">
        <v>68730715</v>
      </c>
      <c r="G32" s="2693"/>
      <c r="H32" s="2693"/>
      <c r="I32" s="2530">
        <f t="shared" si="0"/>
        <v>68730715</v>
      </c>
      <c r="J32" s="2985" t="str">
        <f t="shared" si="1"/>
        <v>Bonneville Power Administration LFP</v>
      </c>
    </row>
    <row r="33" spans="1:10" ht="16.7" customHeight="1" x14ac:dyDescent="0.2">
      <c r="A33" s="2989">
        <v>16.11</v>
      </c>
      <c r="B33" s="2693" t="s">
        <v>9091</v>
      </c>
      <c r="C33" s="2487" t="s">
        <v>9629</v>
      </c>
      <c r="D33" s="2766">
        <v>975768</v>
      </c>
      <c r="E33" s="2766">
        <v>1014760</v>
      </c>
      <c r="F33" s="2766">
        <v>5541263</v>
      </c>
      <c r="G33" s="2693"/>
      <c r="H33" s="2693"/>
      <c r="I33" s="2530">
        <f t="shared" si="0"/>
        <v>5541263</v>
      </c>
      <c r="J33" s="2985" t="str">
        <f t="shared" si="1"/>
        <v>Bonneville Power Administration NF</v>
      </c>
    </row>
    <row r="34" spans="1:10" ht="16.7" customHeight="1" x14ac:dyDescent="0.2">
      <c r="A34" s="2989">
        <v>16.12</v>
      </c>
      <c r="B34" s="2693" t="s">
        <v>9091</v>
      </c>
      <c r="C34" s="2992" t="s">
        <v>9900</v>
      </c>
      <c r="D34" s="2766">
        <v>2450747</v>
      </c>
      <c r="E34" s="2766">
        <v>2546869</v>
      </c>
      <c r="F34" s="2766">
        <v>2654400</v>
      </c>
      <c r="G34" s="2693"/>
      <c r="H34" s="2693"/>
      <c r="I34" s="2530">
        <f t="shared" si="0"/>
        <v>2654400</v>
      </c>
      <c r="J34" s="2985" t="str">
        <f t="shared" si="1"/>
        <v>Bonneville Power Administration OLF</v>
      </c>
    </row>
    <row r="35" spans="1:10" ht="16.7" customHeight="1" x14ac:dyDescent="0.2">
      <c r="A35" s="2989">
        <v>16.13</v>
      </c>
      <c r="B35" s="2693" t="s">
        <v>9091</v>
      </c>
      <c r="C35" s="2990" t="s">
        <v>193</v>
      </c>
      <c r="D35" s="2693"/>
      <c r="E35" s="2693"/>
      <c r="F35" s="2693"/>
      <c r="G35" s="2693"/>
      <c r="H35" s="2991">
        <v>18563807</v>
      </c>
      <c r="I35" s="2530">
        <f t="shared" si="0"/>
        <v>18563807</v>
      </c>
      <c r="J35" s="2985" t="str">
        <f t="shared" si="1"/>
        <v>Bonneville Power Administration OS</v>
      </c>
    </row>
    <row r="36" spans="1:10" ht="16.7" customHeight="1" x14ac:dyDescent="0.2">
      <c r="A36" s="2989">
        <v>16.14</v>
      </c>
      <c r="B36" s="2693" t="s">
        <v>9091</v>
      </c>
      <c r="C36" s="2487" t="s">
        <v>9632</v>
      </c>
      <c r="D36" s="2766">
        <v>69127</v>
      </c>
      <c r="E36" s="2766">
        <v>71901</v>
      </c>
      <c r="F36" s="2766">
        <v>3045243</v>
      </c>
      <c r="G36" s="2693"/>
      <c r="H36" s="2693"/>
      <c r="I36" s="2530">
        <f t="shared" si="0"/>
        <v>3045243</v>
      </c>
      <c r="J36" s="2985" t="str">
        <f t="shared" si="1"/>
        <v>Bonneville Power Administration SFP</v>
      </c>
    </row>
    <row r="37" spans="1:10" ht="16.7" customHeight="1" x14ac:dyDescent="0.2">
      <c r="A37" s="2989">
        <v>16.149999999999999</v>
      </c>
      <c r="B37" s="2693" t="s">
        <v>9901</v>
      </c>
      <c r="C37" s="2986" t="s">
        <v>9623</v>
      </c>
      <c r="D37" s="2693"/>
      <c r="E37" s="2693"/>
      <c r="F37" s="2693"/>
      <c r="G37" s="2693"/>
      <c r="H37" s="2962">
        <v>-231594</v>
      </c>
      <c r="I37" s="2530">
        <f t="shared" si="0"/>
        <v>-231594</v>
      </c>
      <c r="J37" s="2985" t="str">
        <f t="shared" si="1"/>
        <v>Caerus Uinta LLC LFP</v>
      </c>
    </row>
    <row r="38" spans="1:10" ht="16.7" customHeight="1" x14ac:dyDescent="0.2">
      <c r="A38" s="2989">
        <v>16.16</v>
      </c>
      <c r="B38" s="2693" t="s">
        <v>9901</v>
      </c>
      <c r="C38" s="2987" t="s">
        <v>193</v>
      </c>
      <c r="D38" s="2693"/>
      <c r="E38" s="2693"/>
      <c r="F38" s="2693"/>
      <c r="G38" s="2693"/>
      <c r="H38" s="2988">
        <v>-1730</v>
      </c>
      <c r="I38" s="2530">
        <f t="shared" si="0"/>
        <v>-1730</v>
      </c>
      <c r="J38" s="2985" t="str">
        <f t="shared" si="1"/>
        <v>Caerus Uinta LLC OS</v>
      </c>
    </row>
    <row r="39" spans="1:10" ht="16.7" customHeight="1" x14ac:dyDescent="0.2">
      <c r="A39" s="2989">
        <v>16.170000000000002</v>
      </c>
      <c r="B39" s="2693" t="s">
        <v>9406</v>
      </c>
      <c r="C39" s="2983" t="s">
        <v>196</v>
      </c>
      <c r="D39" s="2693"/>
      <c r="E39" s="2693"/>
      <c r="F39" s="2693"/>
      <c r="G39" s="2693"/>
      <c r="H39" s="2984">
        <v>-574</v>
      </c>
      <c r="I39" s="2530">
        <f t="shared" ref="I39:I102" si="2">SUM(F39:H39)</f>
        <v>-574</v>
      </c>
      <c r="J39" s="2985" t="str">
        <f t="shared" si="1"/>
        <v>California Independent System Operator Corporation AD</v>
      </c>
    </row>
    <row r="40" spans="1:10" ht="16.7" customHeight="1" x14ac:dyDescent="0.2">
      <c r="A40" s="2989">
        <v>16.18</v>
      </c>
      <c r="B40" s="2693" t="s">
        <v>9406</v>
      </c>
      <c r="C40" s="2987" t="s">
        <v>193</v>
      </c>
      <c r="D40" s="2693"/>
      <c r="E40" s="2693"/>
      <c r="F40" s="2693"/>
      <c r="G40" s="2693"/>
      <c r="H40" s="2988">
        <v>11344062</v>
      </c>
      <c r="I40" s="2530">
        <f t="shared" si="2"/>
        <v>11344062</v>
      </c>
      <c r="J40" s="2985" t="str">
        <f t="shared" si="1"/>
        <v>California Independent System Operator Corporation OS</v>
      </c>
    </row>
    <row r="41" spans="1:10" ht="16.7" customHeight="1" x14ac:dyDescent="0.2">
      <c r="A41" s="2989">
        <v>16.190000000000001</v>
      </c>
      <c r="B41" s="2693" t="s">
        <v>9406</v>
      </c>
      <c r="C41" s="2487" t="s">
        <v>9632</v>
      </c>
      <c r="D41" s="2693"/>
      <c r="E41" s="2693"/>
      <c r="F41" s="2693"/>
      <c r="G41" s="2766">
        <v>34107</v>
      </c>
      <c r="H41" s="2693"/>
      <c r="I41" s="2530">
        <f t="shared" si="2"/>
        <v>34107</v>
      </c>
      <c r="J41" s="2985" t="str">
        <f t="shared" si="1"/>
        <v>California Independent System Operator Corporation SFP</v>
      </c>
    </row>
    <row r="42" spans="1:10" ht="16.7" customHeight="1" x14ac:dyDescent="0.2">
      <c r="A42" s="2989">
        <v>16.2</v>
      </c>
      <c r="B42" s="2693" t="s">
        <v>9902</v>
      </c>
      <c r="C42" s="2986" t="s">
        <v>9623</v>
      </c>
      <c r="D42" s="2693"/>
      <c r="E42" s="2693"/>
      <c r="F42" s="2693"/>
      <c r="G42" s="2693"/>
      <c r="H42" s="2962">
        <v>-509508</v>
      </c>
      <c r="I42" s="2530">
        <f t="shared" si="2"/>
        <v>-509508</v>
      </c>
      <c r="J42" s="2985" t="str">
        <f t="shared" si="1"/>
        <v>Chipeta Gas Processing LLC LFP</v>
      </c>
    </row>
    <row r="43" spans="1:10" ht="16.7" customHeight="1" x14ac:dyDescent="0.2">
      <c r="A43" s="2989">
        <v>16.21</v>
      </c>
      <c r="B43" s="2693" t="s">
        <v>9902</v>
      </c>
      <c r="C43" s="2987" t="s">
        <v>193</v>
      </c>
      <c r="D43" s="2693"/>
      <c r="E43" s="2693"/>
      <c r="F43" s="2693"/>
      <c r="G43" s="2693"/>
      <c r="H43" s="2988">
        <v>-3808</v>
      </c>
      <c r="I43" s="2530">
        <f t="shared" si="2"/>
        <v>-3808</v>
      </c>
      <c r="J43" s="2985" t="str">
        <f t="shared" si="1"/>
        <v>Chipeta Gas Processing LLC OS</v>
      </c>
    </row>
    <row r="44" spans="1:10" ht="16.7" customHeight="1" x14ac:dyDescent="0.2">
      <c r="A44" s="2989">
        <v>16.22</v>
      </c>
      <c r="B44" s="2693" t="s">
        <v>9429</v>
      </c>
      <c r="C44" s="2992" t="s">
        <v>9623</v>
      </c>
      <c r="D44" s="2766">
        <v>674520</v>
      </c>
      <c r="E44" s="2766">
        <v>674520</v>
      </c>
      <c r="F44" s="2766">
        <v>2377701</v>
      </c>
      <c r="G44" s="2693"/>
      <c r="H44" s="2693"/>
      <c r="I44" s="2530">
        <f t="shared" si="2"/>
        <v>2377701</v>
      </c>
      <c r="J44" s="2985" t="str">
        <f t="shared" si="1"/>
        <v>Deseret Generation &amp; Transmission Cooperative LFP</v>
      </c>
    </row>
    <row r="45" spans="1:10" ht="16.7" customHeight="1" x14ac:dyDescent="0.2">
      <c r="A45" s="2989">
        <v>16.23</v>
      </c>
      <c r="B45" s="2693" t="s">
        <v>9429</v>
      </c>
      <c r="C45" s="2487" t="s">
        <v>9629</v>
      </c>
      <c r="D45" s="2766">
        <v>3653</v>
      </c>
      <c r="E45" s="2766">
        <v>3653</v>
      </c>
      <c r="F45" s="2766">
        <v>21088</v>
      </c>
      <c r="G45" s="2693"/>
      <c r="H45" s="2693"/>
      <c r="I45" s="2530">
        <f t="shared" si="2"/>
        <v>21088</v>
      </c>
      <c r="J45" s="2985" t="str">
        <f t="shared" si="1"/>
        <v>Deseret Generation &amp; Transmission Cooperative NF</v>
      </c>
    </row>
    <row r="46" spans="1:10" ht="16.7" customHeight="1" x14ac:dyDescent="0.2">
      <c r="A46" s="2989">
        <v>16.239999999999998</v>
      </c>
      <c r="B46" s="2693" t="s">
        <v>9434</v>
      </c>
      <c r="C46" s="2983" t="s">
        <v>196</v>
      </c>
      <c r="D46" s="2693"/>
      <c r="E46" s="2693"/>
      <c r="F46" s="2693"/>
      <c r="G46" s="2693"/>
      <c r="H46" s="2984">
        <v>194</v>
      </c>
      <c r="I46" s="2530">
        <f t="shared" si="2"/>
        <v>194</v>
      </c>
      <c r="J46" s="2985" t="str">
        <f t="shared" si="1"/>
        <v>Elbe Solar Center, LLC AD</v>
      </c>
    </row>
    <row r="47" spans="1:10" ht="16.7" customHeight="1" x14ac:dyDescent="0.2">
      <c r="A47" s="2989">
        <v>16.25</v>
      </c>
      <c r="B47" s="2693" t="s">
        <v>9434</v>
      </c>
      <c r="C47" s="2986" t="s">
        <v>9623</v>
      </c>
      <c r="D47" s="2693"/>
      <c r="E47" s="2693"/>
      <c r="F47" s="2693"/>
      <c r="G47" s="2693"/>
      <c r="H47" s="2962">
        <v>-253272</v>
      </c>
      <c r="I47" s="2530">
        <f t="shared" si="2"/>
        <v>-253272</v>
      </c>
      <c r="J47" s="2985" t="str">
        <f t="shared" si="1"/>
        <v>Elbe Solar Center, LLC LFP</v>
      </c>
    </row>
    <row r="48" spans="1:10" ht="16.7" customHeight="1" x14ac:dyDescent="0.2">
      <c r="A48" s="2989">
        <v>16.260000000000002</v>
      </c>
      <c r="B48" s="2693" t="s">
        <v>9434</v>
      </c>
      <c r="C48" s="2987" t="s">
        <v>193</v>
      </c>
      <c r="D48" s="2693"/>
      <c r="E48" s="2693"/>
      <c r="F48" s="2693"/>
      <c r="G48" s="2693"/>
      <c r="H48" s="2988">
        <v>-50698</v>
      </c>
      <c r="I48" s="2530">
        <f t="shared" si="2"/>
        <v>-50698</v>
      </c>
      <c r="J48" s="2985" t="str">
        <f t="shared" si="1"/>
        <v>Elbe Solar Center, LLC OS</v>
      </c>
    </row>
    <row r="49" spans="1:10" ht="16.7" customHeight="1" x14ac:dyDescent="0.2">
      <c r="A49" s="2989">
        <v>16.27</v>
      </c>
      <c r="B49" s="2693" t="s">
        <v>9445</v>
      </c>
      <c r="C49" s="2990" t="s">
        <v>193</v>
      </c>
      <c r="D49" s="2693"/>
      <c r="E49" s="2693"/>
      <c r="F49" s="2693"/>
      <c r="G49" s="2693"/>
      <c r="H49" s="2991">
        <v>72867</v>
      </c>
      <c r="I49" s="2530">
        <f t="shared" si="2"/>
        <v>72867</v>
      </c>
      <c r="J49" s="2985" t="str">
        <f t="shared" si="1"/>
        <v>Flathead Electric Cooperative, Inc. OS</v>
      </c>
    </row>
    <row r="50" spans="1:10" ht="16.7" customHeight="1" x14ac:dyDescent="0.2">
      <c r="A50" s="2989">
        <v>16.28</v>
      </c>
      <c r="B50" s="2993" t="s">
        <v>9903</v>
      </c>
      <c r="C50" s="2990" t="s">
        <v>193</v>
      </c>
      <c r="D50" s="2693"/>
      <c r="E50" s="2693"/>
      <c r="F50" s="2693"/>
      <c r="G50" s="2693"/>
      <c r="H50" s="2991">
        <v>240039</v>
      </c>
      <c r="I50" s="2530">
        <f t="shared" si="2"/>
        <v>240039</v>
      </c>
      <c r="J50" s="2985" t="str">
        <f t="shared" si="1"/>
        <v>Hermiston Generating Company, L.P. OS</v>
      </c>
    </row>
    <row r="51" spans="1:10" ht="16.7" customHeight="1" x14ac:dyDescent="0.2">
      <c r="A51" s="2989">
        <v>16.29</v>
      </c>
      <c r="B51" s="2693" t="s">
        <v>9113</v>
      </c>
      <c r="C51" s="2983" t="s">
        <v>196</v>
      </c>
      <c r="D51" s="2693"/>
      <c r="E51" s="2693"/>
      <c r="F51" s="2693"/>
      <c r="G51" s="2693"/>
      <c r="H51" s="2984">
        <v>14620</v>
      </c>
      <c r="I51" s="2530">
        <f t="shared" si="2"/>
        <v>14620</v>
      </c>
      <c r="J51" s="2985" t="str">
        <f t="shared" si="1"/>
        <v>Idaho Power Company AD</v>
      </c>
    </row>
    <row r="52" spans="1:10" ht="16.7" customHeight="1" x14ac:dyDescent="0.2">
      <c r="A52" s="2989">
        <v>16.3</v>
      </c>
      <c r="B52" s="2693" t="s">
        <v>9113</v>
      </c>
      <c r="C52" s="2487" t="s">
        <v>9898</v>
      </c>
      <c r="D52" s="2693"/>
      <c r="E52" s="2693"/>
      <c r="F52" s="2766">
        <v>13839</v>
      </c>
      <c r="G52" s="2693"/>
      <c r="H52" s="2693"/>
      <c r="I52" s="2530">
        <f t="shared" si="2"/>
        <v>13839</v>
      </c>
      <c r="J52" s="2985" t="str">
        <f t="shared" si="1"/>
        <v>Idaho Power Company FNS</v>
      </c>
    </row>
    <row r="53" spans="1:10" ht="16.7" customHeight="1" x14ac:dyDescent="0.2">
      <c r="A53" s="2989">
        <v>16.309999999999999</v>
      </c>
      <c r="B53" s="2693" t="s">
        <v>9113</v>
      </c>
      <c r="C53" s="2992" t="s">
        <v>9623</v>
      </c>
      <c r="D53" s="2766">
        <v>4467600</v>
      </c>
      <c r="E53" s="2766">
        <v>4467600</v>
      </c>
      <c r="F53" s="2766">
        <v>15937398</v>
      </c>
      <c r="G53" s="2693"/>
      <c r="H53" s="2693"/>
      <c r="I53" s="2530">
        <f t="shared" si="2"/>
        <v>15937398</v>
      </c>
      <c r="J53" s="2985" t="str">
        <f t="shared" si="1"/>
        <v>Idaho Power Company LFP</v>
      </c>
    </row>
    <row r="54" spans="1:10" ht="16.7" customHeight="1" x14ac:dyDescent="0.2">
      <c r="A54" s="2989">
        <v>16.3200000000001</v>
      </c>
      <c r="B54" s="2693" t="s">
        <v>9113</v>
      </c>
      <c r="C54" s="2487" t="s">
        <v>9629</v>
      </c>
      <c r="D54" s="2766">
        <v>83421</v>
      </c>
      <c r="E54" s="2766">
        <v>83421</v>
      </c>
      <c r="F54" s="2766">
        <v>422272</v>
      </c>
      <c r="G54" s="2693"/>
      <c r="H54" s="2693"/>
      <c r="I54" s="2530">
        <f t="shared" si="2"/>
        <v>422272</v>
      </c>
      <c r="J54" s="2985" t="str">
        <f t="shared" si="1"/>
        <v>Idaho Power Company NF</v>
      </c>
    </row>
    <row r="55" spans="1:10" ht="16.7" customHeight="1" x14ac:dyDescent="0.2">
      <c r="A55" s="2989">
        <v>16.330000000000101</v>
      </c>
      <c r="B55" s="2693" t="s">
        <v>9113</v>
      </c>
      <c r="C55" s="2990" t="s">
        <v>9900</v>
      </c>
      <c r="D55" s="2693"/>
      <c r="E55" s="2693"/>
      <c r="F55" s="2693"/>
      <c r="G55" s="2693"/>
      <c r="H55" s="2991">
        <v>29760</v>
      </c>
      <c r="I55" s="2530">
        <f t="shared" si="2"/>
        <v>29760</v>
      </c>
      <c r="J55" s="2985" t="str">
        <f t="shared" si="1"/>
        <v>Idaho Power Company OLF</v>
      </c>
    </row>
    <row r="56" spans="1:10" ht="16.7" customHeight="1" x14ac:dyDescent="0.2">
      <c r="A56" s="2989">
        <v>16.340000000000099</v>
      </c>
      <c r="B56" s="2693" t="s">
        <v>9113</v>
      </c>
      <c r="C56" s="2987" t="s">
        <v>193</v>
      </c>
      <c r="D56" s="2693"/>
      <c r="E56" s="2693"/>
      <c r="F56" s="2693"/>
      <c r="G56" s="2693"/>
      <c r="H56" s="2988">
        <v>30357</v>
      </c>
      <c r="I56" s="2530">
        <f t="shared" si="2"/>
        <v>30357</v>
      </c>
      <c r="J56" s="2985" t="str">
        <f t="shared" si="1"/>
        <v>Idaho Power Company OS</v>
      </c>
    </row>
    <row r="57" spans="1:10" ht="16.7" customHeight="1" x14ac:dyDescent="0.2">
      <c r="A57" s="2989">
        <v>16.350000000000101</v>
      </c>
      <c r="B57" s="2693" t="s">
        <v>9113</v>
      </c>
      <c r="C57" s="2487" t="s">
        <v>9632</v>
      </c>
      <c r="D57" s="2766">
        <v>68880</v>
      </c>
      <c r="E57" s="2766">
        <v>68880</v>
      </c>
      <c r="F57" s="2766">
        <v>287821</v>
      </c>
      <c r="G57" s="2693"/>
      <c r="H57" s="2693"/>
      <c r="I57" s="2530">
        <f t="shared" si="2"/>
        <v>287821</v>
      </c>
      <c r="J57" s="2985" t="str">
        <f t="shared" si="1"/>
        <v>Idaho Power Company SFP</v>
      </c>
    </row>
    <row r="58" spans="1:10" ht="16.7" customHeight="1" x14ac:dyDescent="0.2">
      <c r="A58" s="2989">
        <v>16.360000000000099</v>
      </c>
      <c r="B58" s="2693" t="s">
        <v>9470</v>
      </c>
      <c r="C58" s="2983" t="s">
        <v>196</v>
      </c>
      <c r="D58" s="2693"/>
      <c r="E58" s="2693"/>
      <c r="F58" s="2693"/>
      <c r="G58" s="2693"/>
      <c r="H58" s="2984">
        <v>1645</v>
      </c>
      <c r="I58" s="2530">
        <f t="shared" si="2"/>
        <v>1645</v>
      </c>
      <c r="J58" s="2985" t="str">
        <f t="shared" si="1"/>
        <v>Los Angeles Department of Water and Power AD</v>
      </c>
    </row>
    <row r="59" spans="1:10" ht="16.7" customHeight="1" x14ac:dyDescent="0.2">
      <c r="A59" s="2989">
        <v>16.3700000000001</v>
      </c>
      <c r="B59" s="2693" t="s">
        <v>9470</v>
      </c>
      <c r="C59" s="2487" t="s">
        <v>9629</v>
      </c>
      <c r="D59" s="2766">
        <v>10548</v>
      </c>
      <c r="E59" s="2766">
        <v>10548</v>
      </c>
      <c r="F59" s="2766">
        <v>83471</v>
      </c>
      <c r="G59" s="2693"/>
      <c r="H59" s="2693"/>
      <c r="I59" s="2530">
        <f t="shared" si="2"/>
        <v>83471</v>
      </c>
      <c r="J59" s="2985" t="str">
        <f t="shared" si="1"/>
        <v>Los Angeles Department of Water and Power NF</v>
      </c>
    </row>
    <row r="60" spans="1:10" ht="16.7" customHeight="1" x14ac:dyDescent="0.2">
      <c r="A60" s="2989">
        <v>16.380000000000098</v>
      </c>
      <c r="B60" s="2693" t="s">
        <v>9470</v>
      </c>
      <c r="C60" s="2987" t="s">
        <v>193</v>
      </c>
      <c r="D60" s="2693"/>
      <c r="E60" s="2693"/>
      <c r="F60" s="2693"/>
      <c r="G60" s="2693"/>
      <c r="H60" s="2988">
        <v>8380</v>
      </c>
      <c r="I60" s="2530">
        <f t="shared" si="2"/>
        <v>8380</v>
      </c>
      <c r="J60" s="2985" t="str">
        <f t="shared" si="1"/>
        <v>Los Angeles Department of Water and Power OS</v>
      </c>
    </row>
    <row r="61" spans="1:10" ht="16.7" customHeight="1" x14ac:dyDescent="0.2">
      <c r="A61" s="2989">
        <v>16.3900000000001</v>
      </c>
      <c r="B61" s="2693" t="s">
        <v>9904</v>
      </c>
      <c r="C61" s="2990" t="s">
        <v>9898</v>
      </c>
      <c r="D61" s="2766">
        <v>22</v>
      </c>
      <c r="E61" s="2766">
        <v>22</v>
      </c>
      <c r="F61" s="2693"/>
      <c r="G61" s="2693"/>
      <c r="H61" s="2991">
        <v>287698</v>
      </c>
      <c r="I61" s="2530">
        <f t="shared" si="2"/>
        <v>287698</v>
      </c>
      <c r="J61" s="2985" t="str">
        <f t="shared" si="1"/>
        <v>Moon Lake Electric Association, Inc. FNS</v>
      </c>
    </row>
    <row r="62" spans="1:10" ht="16.7" customHeight="1" x14ac:dyDescent="0.2">
      <c r="A62" s="2989">
        <v>16.400000000000102</v>
      </c>
      <c r="B62" s="2693" t="s">
        <v>9481</v>
      </c>
      <c r="C62" s="2992" t="s">
        <v>9623</v>
      </c>
      <c r="D62" s="2693"/>
      <c r="E62" s="2693"/>
      <c r="F62" s="2693"/>
      <c r="G62" s="2766">
        <v>1419</v>
      </c>
      <c r="H62" s="2693"/>
      <c r="I62" s="2530">
        <f t="shared" si="2"/>
        <v>1419</v>
      </c>
      <c r="J62" s="2985" t="str">
        <f t="shared" si="1"/>
        <v>Morgan City Corporation LFP</v>
      </c>
    </row>
    <row r="63" spans="1:10" ht="16.7" customHeight="1" x14ac:dyDescent="0.2">
      <c r="A63" s="2989">
        <v>16.4100000000001</v>
      </c>
      <c r="B63" s="2993" t="s">
        <v>9120</v>
      </c>
      <c r="C63" s="2983" t="s">
        <v>196</v>
      </c>
      <c r="D63" s="2693"/>
      <c r="E63" s="2693"/>
      <c r="F63" s="2693"/>
      <c r="G63" s="2693"/>
      <c r="H63" s="2984">
        <v>-13939</v>
      </c>
      <c r="I63" s="2530">
        <f t="shared" si="2"/>
        <v>-13939</v>
      </c>
      <c r="J63" s="2985" t="str">
        <f t="shared" si="1"/>
        <v>Nevada Power Company AD</v>
      </c>
    </row>
    <row r="64" spans="1:10" ht="16.7" customHeight="1" x14ac:dyDescent="0.2">
      <c r="A64" s="2989">
        <v>16.420000000000101</v>
      </c>
      <c r="B64" s="2993" t="s">
        <v>9120</v>
      </c>
      <c r="C64" s="2487" t="s">
        <v>9629</v>
      </c>
      <c r="D64" s="2766">
        <v>22285</v>
      </c>
      <c r="E64" s="2766">
        <v>22285</v>
      </c>
      <c r="F64" s="2766">
        <v>119678</v>
      </c>
      <c r="G64" s="2693"/>
      <c r="H64" s="2693"/>
      <c r="I64" s="2530">
        <f t="shared" si="2"/>
        <v>119678</v>
      </c>
      <c r="J64" s="2985" t="str">
        <f t="shared" si="1"/>
        <v>Nevada Power Company NF</v>
      </c>
    </row>
    <row r="65" spans="1:10" ht="16.7" customHeight="1" x14ac:dyDescent="0.2">
      <c r="A65" s="2989">
        <v>16.430000000000099</v>
      </c>
      <c r="B65" s="2993" t="s">
        <v>9120</v>
      </c>
      <c r="C65" s="2987" t="s">
        <v>193</v>
      </c>
      <c r="D65" s="2693"/>
      <c r="E65" s="2693"/>
      <c r="F65" s="2693"/>
      <c r="G65" s="2693"/>
      <c r="H65" s="2988">
        <v>27015</v>
      </c>
      <c r="I65" s="2530">
        <f t="shared" si="2"/>
        <v>27015</v>
      </c>
      <c r="J65" s="2985" t="str">
        <f t="shared" si="1"/>
        <v>Nevada Power Company OS</v>
      </c>
    </row>
    <row r="66" spans="1:10" ht="16.7" customHeight="1" x14ac:dyDescent="0.2">
      <c r="A66" s="2989">
        <v>16.440000000000101</v>
      </c>
      <c r="B66" s="2993" t="s">
        <v>9120</v>
      </c>
      <c r="C66" s="2487" t="s">
        <v>9632</v>
      </c>
      <c r="D66" s="2766">
        <v>210312</v>
      </c>
      <c r="E66" s="2766">
        <v>210312</v>
      </c>
      <c r="F66" s="2766">
        <v>768720</v>
      </c>
      <c r="G66" s="2693"/>
      <c r="H66" s="2693"/>
      <c r="I66" s="2530">
        <f t="shared" si="2"/>
        <v>768720</v>
      </c>
      <c r="J66" s="2985" t="str">
        <f t="shared" si="1"/>
        <v>Nevada Power Company SFP</v>
      </c>
    </row>
    <row r="67" spans="1:10" ht="16.7" customHeight="1" x14ac:dyDescent="0.2">
      <c r="A67" s="2989">
        <v>16.450000000000099</v>
      </c>
      <c r="B67" s="2693" t="s">
        <v>9593</v>
      </c>
      <c r="C67" s="2983" t="s">
        <v>196</v>
      </c>
      <c r="D67" s="2693"/>
      <c r="E67" s="2693"/>
      <c r="F67" s="2693"/>
      <c r="G67" s="2693"/>
      <c r="H67" s="2984">
        <v>1982</v>
      </c>
      <c r="I67" s="2530">
        <f t="shared" si="2"/>
        <v>1982</v>
      </c>
      <c r="J67" s="2985" t="str">
        <f t="shared" si="1"/>
        <v>NorthWestern Corporation AD</v>
      </c>
    </row>
    <row r="68" spans="1:10" ht="16.7" customHeight="1" x14ac:dyDescent="0.2">
      <c r="A68" s="2989">
        <v>16.4600000000001</v>
      </c>
      <c r="B68" s="2693" t="s">
        <v>9593</v>
      </c>
      <c r="C68" s="2487" t="s">
        <v>9629</v>
      </c>
      <c r="D68" s="2766">
        <v>70300</v>
      </c>
      <c r="E68" s="2766">
        <v>70300</v>
      </c>
      <c r="F68" s="2766">
        <v>114516</v>
      </c>
      <c r="G68" s="2693"/>
      <c r="H68" s="2693"/>
      <c r="I68" s="2530">
        <f t="shared" si="2"/>
        <v>114516</v>
      </c>
      <c r="J68" s="2985" t="str">
        <f t="shared" si="1"/>
        <v>NorthWestern Corporation NF</v>
      </c>
    </row>
    <row r="69" spans="1:10" ht="16.7" customHeight="1" x14ac:dyDescent="0.2">
      <c r="A69" s="2989">
        <v>16.470000000000098</v>
      </c>
      <c r="B69" s="2693" t="s">
        <v>9593</v>
      </c>
      <c r="C69" s="2987" t="s">
        <v>193</v>
      </c>
      <c r="D69" s="2693"/>
      <c r="E69" s="2693"/>
      <c r="F69" s="2693"/>
      <c r="G69" s="2693"/>
      <c r="H69" s="2988">
        <v>258027</v>
      </c>
      <c r="I69" s="2530">
        <f t="shared" si="2"/>
        <v>258027</v>
      </c>
      <c r="J69" s="2985" t="str">
        <f t="shared" si="1"/>
        <v>NorthWestern Corporation OS</v>
      </c>
    </row>
    <row r="70" spans="1:10" ht="16.7" customHeight="1" x14ac:dyDescent="0.2">
      <c r="A70" s="2989">
        <v>16.4800000000001</v>
      </c>
      <c r="B70" s="2693" t="s">
        <v>9593</v>
      </c>
      <c r="C70" s="2487" t="s">
        <v>9632</v>
      </c>
      <c r="D70" s="2766">
        <v>9216</v>
      </c>
      <c r="E70" s="2766">
        <v>35565</v>
      </c>
      <c r="F70" s="2766">
        <v>49920</v>
      </c>
      <c r="G70" s="2693"/>
      <c r="H70" s="2693"/>
      <c r="I70" s="2530">
        <f t="shared" si="2"/>
        <v>49920</v>
      </c>
      <c r="J70" s="2985" t="str">
        <f t="shared" si="1"/>
        <v>NorthWestern Corporation SFP</v>
      </c>
    </row>
    <row r="71" spans="1:10" ht="16.7" customHeight="1" x14ac:dyDescent="0.2">
      <c r="A71" s="2989">
        <v>16.490000000000101</v>
      </c>
      <c r="B71" s="2693" t="s">
        <v>9514</v>
      </c>
      <c r="C71" s="2992" t="s">
        <v>9623</v>
      </c>
      <c r="D71" s="2766">
        <v>219000</v>
      </c>
      <c r="E71" s="2766">
        <v>219000</v>
      </c>
      <c r="F71" s="2766">
        <v>998065</v>
      </c>
      <c r="G71" s="2693"/>
      <c r="H71" s="2693"/>
      <c r="I71" s="2530">
        <f t="shared" si="2"/>
        <v>998065</v>
      </c>
      <c r="J71" s="2985" t="str">
        <f t="shared" ref="J71:J102" si="3">CONCATENATE(B71," ",C71)</f>
        <v>Platte River Power Authority LFP</v>
      </c>
    </row>
    <row r="72" spans="1:10" ht="16.7" customHeight="1" x14ac:dyDescent="0.2">
      <c r="A72" s="2989">
        <v>16.500000000000099</v>
      </c>
      <c r="B72" s="2693" t="s">
        <v>9514</v>
      </c>
      <c r="C72" s="2487" t="s">
        <v>9629</v>
      </c>
      <c r="D72" s="2766">
        <v>159</v>
      </c>
      <c r="E72" s="2766">
        <v>159</v>
      </c>
      <c r="F72" s="2766">
        <v>906</v>
      </c>
      <c r="G72" s="2693"/>
      <c r="H72" s="2693"/>
      <c r="I72" s="2530">
        <f t="shared" si="2"/>
        <v>906</v>
      </c>
      <c r="J72" s="2985" t="str">
        <f t="shared" si="3"/>
        <v>Platte River Power Authority NF</v>
      </c>
    </row>
    <row r="73" spans="1:10" ht="16.7" customHeight="1" x14ac:dyDescent="0.2">
      <c r="A73" s="2989">
        <v>16.510000000000101</v>
      </c>
      <c r="B73" s="2693" t="s">
        <v>9514</v>
      </c>
      <c r="C73" s="2987" t="s">
        <v>193</v>
      </c>
      <c r="D73" s="2693"/>
      <c r="E73" s="2693"/>
      <c r="F73" s="2693"/>
      <c r="G73" s="2693"/>
      <c r="H73" s="2988">
        <v>40931</v>
      </c>
      <c r="I73" s="2530">
        <f t="shared" si="2"/>
        <v>40931</v>
      </c>
      <c r="J73" s="2985" t="str">
        <f t="shared" si="3"/>
        <v>Platte River Power Authority OS</v>
      </c>
    </row>
    <row r="74" spans="1:10" ht="16.7" customHeight="1" x14ac:dyDescent="0.2">
      <c r="A74" s="2989">
        <v>16.520000000000099</v>
      </c>
      <c r="B74" s="2693" t="s">
        <v>9123</v>
      </c>
      <c r="C74" s="2983" t="s">
        <v>196</v>
      </c>
      <c r="D74" s="2693"/>
      <c r="E74" s="2693"/>
      <c r="F74" s="2693"/>
      <c r="G74" s="2693"/>
      <c r="H74" s="2984">
        <v>-21952</v>
      </c>
      <c r="I74" s="2530">
        <f t="shared" si="2"/>
        <v>-21952</v>
      </c>
      <c r="J74" s="2985" t="str">
        <f t="shared" si="3"/>
        <v>Portland General Electric Company AD</v>
      </c>
    </row>
    <row r="75" spans="1:10" ht="16.7" customHeight="1" x14ac:dyDescent="0.2">
      <c r="A75" s="2989">
        <v>16.530000000000101</v>
      </c>
      <c r="B75" s="2693" t="s">
        <v>9123</v>
      </c>
      <c r="C75" s="2992" t="s">
        <v>9623</v>
      </c>
      <c r="D75" s="2766">
        <v>105120</v>
      </c>
      <c r="E75" s="2766">
        <v>105120</v>
      </c>
      <c r="F75" s="2766">
        <v>163092</v>
      </c>
      <c r="G75" s="2693"/>
      <c r="H75" s="2693"/>
      <c r="I75" s="2530">
        <f t="shared" si="2"/>
        <v>163092</v>
      </c>
      <c r="J75" s="2985" t="str">
        <f t="shared" si="3"/>
        <v>Portland General Electric Company LFP</v>
      </c>
    </row>
    <row r="76" spans="1:10" ht="16.7" customHeight="1" x14ac:dyDescent="0.2">
      <c r="A76" s="2989">
        <v>16.540000000000099</v>
      </c>
      <c r="B76" s="2693" t="s">
        <v>9123</v>
      </c>
      <c r="C76" s="2487" t="s">
        <v>9629</v>
      </c>
      <c r="D76" s="2766">
        <v>2924</v>
      </c>
      <c r="E76" s="2766">
        <v>2924</v>
      </c>
      <c r="F76" s="2766">
        <v>4812</v>
      </c>
      <c r="G76" s="2693"/>
      <c r="H76" s="2693"/>
      <c r="I76" s="2530">
        <f t="shared" si="2"/>
        <v>4812</v>
      </c>
      <c r="J76" s="2985" t="str">
        <f t="shared" si="3"/>
        <v>Portland General Electric Company NF</v>
      </c>
    </row>
    <row r="77" spans="1:10" ht="16.7" customHeight="1" x14ac:dyDescent="0.2">
      <c r="A77" s="2989">
        <v>16.5500000000001</v>
      </c>
      <c r="B77" s="2693" t="s">
        <v>9123</v>
      </c>
      <c r="C77" s="2990" t="s">
        <v>9900</v>
      </c>
      <c r="D77" s="2693"/>
      <c r="E77" s="2693"/>
      <c r="F77" s="2693"/>
      <c r="G77" s="2693"/>
      <c r="H77" s="2991">
        <v>705</v>
      </c>
      <c r="I77" s="2530">
        <f t="shared" si="2"/>
        <v>705</v>
      </c>
      <c r="J77" s="2985" t="str">
        <f t="shared" si="3"/>
        <v>Portland General Electric Company OLF</v>
      </c>
    </row>
    <row r="78" spans="1:10" ht="16.7" customHeight="1" x14ac:dyDescent="0.2">
      <c r="A78" s="2989">
        <v>16.560000000000102</v>
      </c>
      <c r="B78" s="2693" t="s">
        <v>9123</v>
      </c>
      <c r="C78" s="2987" t="s">
        <v>193</v>
      </c>
      <c r="D78" s="2693"/>
      <c r="E78" s="2766">
        <v>2180</v>
      </c>
      <c r="F78" s="2693"/>
      <c r="G78" s="2693"/>
      <c r="H78" s="2988">
        <v>16171</v>
      </c>
      <c r="I78" s="2530">
        <f t="shared" si="2"/>
        <v>16171</v>
      </c>
      <c r="J78" s="2985" t="str">
        <f t="shared" si="3"/>
        <v>Portland General Electric Company OS</v>
      </c>
    </row>
    <row r="79" spans="1:10" ht="16.7" customHeight="1" x14ac:dyDescent="0.2">
      <c r="A79" s="2989">
        <v>16.5700000000001</v>
      </c>
      <c r="B79" s="2693" t="s">
        <v>9125</v>
      </c>
      <c r="C79" s="2983" t="s">
        <v>196</v>
      </c>
      <c r="D79" s="2693"/>
      <c r="E79" s="2693"/>
      <c r="F79" s="2693"/>
      <c r="G79" s="2693"/>
      <c r="H79" s="2984">
        <v>-127763</v>
      </c>
      <c r="I79" s="2530">
        <f t="shared" si="2"/>
        <v>-127763</v>
      </c>
      <c r="J79" s="2985" t="str">
        <f t="shared" si="3"/>
        <v>Public Service Company of Colorado AD</v>
      </c>
    </row>
    <row r="80" spans="1:10" ht="16.7" customHeight="1" x14ac:dyDescent="0.2">
      <c r="A80" s="2989">
        <v>16.580000000000101</v>
      </c>
      <c r="B80" s="2693" t="s">
        <v>9125</v>
      </c>
      <c r="C80" s="2992" t="s">
        <v>9623</v>
      </c>
      <c r="D80" s="2766">
        <v>394943</v>
      </c>
      <c r="E80" s="2766">
        <v>394943</v>
      </c>
      <c r="F80" s="2766">
        <v>2288661</v>
      </c>
      <c r="G80" s="2693"/>
      <c r="H80" s="2693"/>
      <c r="I80" s="2530">
        <f t="shared" si="2"/>
        <v>2288661</v>
      </c>
      <c r="J80" s="2985" t="str">
        <f t="shared" si="3"/>
        <v>Public Service Company of Colorado LFP</v>
      </c>
    </row>
    <row r="81" spans="1:10" ht="16.7" customHeight="1" x14ac:dyDescent="0.2">
      <c r="A81" s="2989">
        <v>16.590000000000099</v>
      </c>
      <c r="B81" s="2693" t="s">
        <v>9125</v>
      </c>
      <c r="C81" s="2487" t="s">
        <v>9629</v>
      </c>
      <c r="D81" s="2766">
        <v>366384</v>
      </c>
      <c r="E81" s="2766">
        <v>366384</v>
      </c>
      <c r="F81" s="2766">
        <v>3066529</v>
      </c>
      <c r="G81" s="2693"/>
      <c r="H81" s="2693"/>
      <c r="I81" s="2530">
        <f t="shared" si="2"/>
        <v>3066529</v>
      </c>
      <c r="J81" s="2985" t="str">
        <f t="shared" si="3"/>
        <v>Public Service Company of Colorado NF</v>
      </c>
    </row>
    <row r="82" spans="1:10" ht="16.7" customHeight="1" x14ac:dyDescent="0.2">
      <c r="A82" s="2989">
        <v>16.600000000000101</v>
      </c>
      <c r="B82" s="2693" t="s">
        <v>9125</v>
      </c>
      <c r="C82" s="2987" t="s">
        <v>193</v>
      </c>
      <c r="D82" s="2693"/>
      <c r="E82" s="2693"/>
      <c r="F82" s="2693"/>
      <c r="G82" s="2693"/>
      <c r="H82" s="2988">
        <v>429831</v>
      </c>
      <c r="I82" s="2530">
        <f t="shared" si="2"/>
        <v>429831</v>
      </c>
      <c r="J82" s="2985" t="str">
        <f t="shared" si="3"/>
        <v>Public Service Company of Colorado OS</v>
      </c>
    </row>
    <row r="83" spans="1:10" ht="16.7" customHeight="1" x14ac:dyDescent="0.2">
      <c r="A83" s="2989">
        <v>16.610000000000099</v>
      </c>
      <c r="B83" s="2693" t="s">
        <v>9126</v>
      </c>
      <c r="C83" s="2983" t="s">
        <v>196</v>
      </c>
      <c r="D83" s="2693"/>
      <c r="E83" s="2693"/>
      <c r="F83" s="2693"/>
      <c r="G83" s="2693"/>
      <c r="H83" s="2984">
        <v>-880</v>
      </c>
      <c r="I83" s="2530">
        <f t="shared" si="2"/>
        <v>-880</v>
      </c>
      <c r="J83" s="2985" t="str">
        <f t="shared" si="3"/>
        <v>Public Service Company of New Mexico AD</v>
      </c>
    </row>
    <row r="84" spans="1:10" ht="16.7" customHeight="1" x14ac:dyDescent="0.2">
      <c r="A84" s="2989">
        <v>16.6200000000001</v>
      </c>
      <c r="B84" s="2693" t="s">
        <v>9133</v>
      </c>
      <c r="C84" s="2983" t="s">
        <v>196</v>
      </c>
      <c r="D84" s="2693"/>
      <c r="E84" s="2693"/>
      <c r="F84" s="2693"/>
      <c r="G84" s="2693"/>
      <c r="H84" s="2984">
        <v>-735</v>
      </c>
      <c r="I84" s="2530">
        <f t="shared" si="2"/>
        <v>-735</v>
      </c>
      <c r="J84" s="2985" t="str">
        <f t="shared" si="3"/>
        <v>Salt River Project AD</v>
      </c>
    </row>
    <row r="85" spans="1:10" ht="16.7" customHeight="1" x14ac:dyDescent="0.2">
      <c r="A85" s="2989">
        <v>16.630000000000098</v>
      </c>
      <c r="B85" s="2993" t="s">
        <v>9136</v>
      </c>
      <c r="C85" s="2487" t="s">
        <v>9629</v>
      </c>
      <c r="D85" s="2766">
        <v>11033</v>
      </c>
      <c r="E85" s="2766">
        <v>11033</v>
      </c>
      <c r="F85" s="2766">
        <v>29023</v>
      </c>
      <c r="G85" s="2766">
        <v>16433</v>
      </c>
      <c r="H85" s="2693"/>
      <c r="I85" s="2530">
        <f t="shared" si="2"/>
        <v>45456</v>
      </c>
      <c r="J85" s="2985" t="str">
        <f t="shared" si="3"/>
        <v>Sierra Pacific Power Company NF</v>
      </c>
    </row>
    <row r="86" spans="1:10" ht="16.7" customHeight="1" x14ac:dyDescent="0.2">
      <c r="A86" s="2989">
        <v>16.6400000000001</v>
      </c>
      <c r="B86" s="2993" t="s">
        <v>9136</v>
      </c>
      <c r="C86" s="2987" t="s">
        <v>193</v>
      </c>
      <c r="D86" s="2693"/>
      <c r="E86" s="2693"/>
      <c r="F86" s="2693"/>
      <c r="G86" s="2693"/>
      <c r="H86" s="2988">
        <v>1166</v>
      </c>
      <c r="I86" s="2530">
        <f t="shared" si="2"/>
        <v>1166</v>
      </c>
      <c r="J86" s="2985" t="str">
        <f t="shared" si="3"/>
        <v>Sierra Pacific Power Company OS</v>
      </c>
    </row>
    <row r="87" spans="1:10" ht="16.7" customHeight="1" x14ac:dyDescent="0.2">
      <c r="A87" s="2989">
        <v>16.650000000000102</v>
      </c>
      <c r="B87" s="2693" t="s">
        <v>9905</v>
      </c>
      <c r="C87" s="2990" t="s">
        <v>9900</v>
      </c>
      <c r="D87" s="2693"/>
      <c r="E87" s="2693"/>
      <c r="F87" s="2693"/>
      <c r="G87" s="2693"/>
      <c r="H87" s="2991">
        <v>7524</v>
      </c>
      <c r="I87" s="2530">
        <f t="shared" si="2"/>
        <v>7524</v>
      </c>
      <c r="J87" s="2985" t="str">
        <f t="shared" si="3"/>
        <v>Surprise Valley Electrification Corp. OLF</v>
      </c>
    </row>
    <row r="88" spans="1:10" ht="16.7" customHeight="1" x14ac:dyDescent="0.2">
      <c r="A88" s="2989">
        <v>16.6600000000001</v>
      </c>
      <c r="B88" s="2693" t="s">
        <v>9141</v>
      </c>
      <c r="C88" s="2983" t="s">
        <v>196</v>
      </c>
      <c r="D88" s="2693"/>
      <c r="E88" s="2693"/>
      <c r="F88" s="2693"/>
      <c r="G88" s="2693"/>
      <c r="H88" s="2984">
        <v>-180484</v>
      </c>
      <c r="I88" s="2530">
        <f t="shared" si="2"/>
        <v>-180484</v>
      </c>
      <c r="J88" s="2985" t="str">
        <f t="shared" si="3"/>
        <v>Tri-State Generation and Transmission Association, Inc. AD</v>
      </c>
    </row>
    <row r="89" spans="1:10" ht="16.7" customHeight="1" x14ac:dyDescent="0.2">
      <c r="A89" s="2989">
        <v>16.670000000000101</v>
      </c>
      <c r="B89" s="2693" t="s">
        <v>9141</v>
      </c>
      <c r="C89" s="2992" t="s">
        <v>9623</v>
      </c>
      <c r="D89" s="2766">
        <v>420480</v>
      </c>
      <c r="E89" s="2766">
        <v>420480</v>
      </c>
      <c r="F89" s="2766">
        <v>1187676</v>
      </c>
      <c r="G89" s="2693"/>
      <c r="H89" s="2693"/>
      <c r="I89" s="2530">
        <f t="shared" si="2"/>
        <v>1187676</v>
      </c>
      <c r="J89" s="2985" t="str">
        <f t="shared" si="3"/>
        <v>Tri-State Generation and Transmission Association, Inc. LFP</v>
      </c>
    </row>
    <row r="90" spans="1:10" ht="16.7" customHeight="1" x14ac:dyDescent="0.2">
      <c r="A90" s="2989">
        <v>16.680000000000099</v>
      </c>
      <c r="B90" s="2693" t="s">
        <v>9141</v>
      </c>
      <c r="C90" s="2487" t="s">
        <v>9629</v>
      </c>
      <c r="D90" s="2766">
        <v>10613</v>
      </c>
      <c r="E90" s="2766">
        <v>10613</v>
      </c>
      <c r="F90" s="2766">
        <v>117519</v>
      </c>
      <c r="G90" s="2693"/>
      <c r="H90" s="2693"/>
      <c r="I90" s="2530">
        <f t="shared" si="2"/>
        <v>117519</v>
      </c>
      <c r="J90" s="2985" t="str">
        <f t="shared" si="3"/>
        <v>Tri-State Generation and Transmission Association, Inc. NF</v>
      </c>
    </row>
    <row r="91" spans="1:10" ht="16.7" customHeight="1" x14ac:dyDescent="0.2">
      <c r="A91" s="2989">
        <v>16.690000000000101</v>
      </c>
      <c r="B91" s="2693" t="s">
        <v>9141</v>
      </c>
      <c r="C91" s="2987" t="s">
        <v>193</v>
      </c>
      <c r="D91" s="2693"/>
      <c r="E91" s="2693"/>
      <c r="F91" s="2693"/>
      <c r="G91" s="2693"/>
      <c r="H91" s="2988">
        <v>21462</v>
      </c>
      <c r="I91" s="2530">
        <f t="shared" si="2"/>
        <v>21462</v>
      </c>
      <c r="J91" s="2985" t="str">
        <f t="shared" si="3"/>
        <v>Tri-State Generation and Transmission Association, Inc. OS</v>
      </c>
    </row>
    <row r="92" spans="1:10" ht="16.7" customHeight="1" x14ac:dyDescent="0.2">
      <c r="A92" s="2989">
        <v>16.700000000000099</v>
      </c>
      <c r="B92" s="2693" t="s">
        <v>9141</v>
      </c>
      <c r="C92" s="2487" t="s">
        <v>9632</v>
      </c>
      <c r="D92" s="2766">
        <v>60</v>
      </c>
      <c r="E92" s="2766">
        <v>60</v>
      </c>
      <c r="F92" s="2766">
        <v>881</v>
      </c>
      <c r="G92" s="2693"/>
      <c r="H92" s="2693"/>
      <c r="I92" s="2530">
        <f t="shared" si="2"/>
        <v>881</v>
      </c>
      <c r="J92" s="2985" t="str">
        <f t="shared" si="3"/>
        <v>Tri-State Generation and Transmission Association, Inc. SFP</v>
      </c>
    </row>
    <row r="93" spans="1:10" ht="19.149999999999999" customHeight="1" x14ac:dyDescent="0.2">
      <c r="A93" s="2989">
        <v>16.7100000000001</v>
      </c>
      <c r="B93" s="2693" t="s">
        <v>9142</v>
      </c>
      <c r="C93" s="2987" t="s">
        <v>193</v>
      </c>
      <c r="D93" s="2693"/>
      <c r="E93" s="2693"/>
      <c r="F93" s="2693"/>
      <c r="G93" s="2693"/>
      <c r="H93" s="2988">
        <v>933</v>
      </c>
      <c r="I93" s="2530">
        <f t="shared" si="2"/>
        <v>933</v>
      </c>
      <c r="J93" s="2985" t="str">
        <f t="shared" si="3"/>
        <v>Tucson Electric Power Company OS</v>
      </c>
    </row>
    <row r="94" spans="1:10" ht="16.7" customHeight="1" x14ac:dyDescent="0.2">
      <c r="A94" s="2989">
        <v>16.720000000000098</v>
      </c>
      <c r="B94" s="2693" t="s">
        <v>9142</v>
      </c>
      <c r="C94" s="2487" t="s">
        <v>9632</v>
      </c>
      <c r="D94" s="2766">
        <v>1600</v>
      </c>
      <c r="E94" s="2766">
        <v>1600</v>
      </c>
      <c r="F94" s="2766">
        <v>4286</v>
      </c>
      <c r="G94" s="2693"/>
      <c r="H94" s="2693"/>
      <c r="I94" s="2530">
        <f t="shared" si="2"/>
        <v>4286</v>
      </c>
      <c r="J94" s="2985" t="str">
        <f t="shared" si="3"/>
        <v>Tucson Electric Power Company SFP</v>
      </c>
    </row>
    <row r="95" spans="1:10" ht="16.7" customHeight="1" x14ac:dyDescent="0.2">
      <c r="A95" s="2989">
        <v>16.7300000000001</v>
      </c>
      <c r="B95" s="2693" t="s">
        <v>9572</v>
      </c>
      <c r="C95" s="2983" t="s">
        <v>196</v>
      </c>
      <c r="D95" s="2693"/>
      <c r="E95" s="2693"/>
      <c r="F95" s="2693"/>
      <c r="G95" s="2693"/>
      <c r="H95" s="2984">
        <v>-192</v>
      </c>
      <c r="I95" s="2530">
        <f t="shared" si="2"/>
        <v>-192</v>
      </c>
      <c r="J95" s="2985" t="str">
        <f t="shared" si="3"/>
        <v>Western Area Power Administration AD</v>
      </c>
    </row>
    <row r="96" spans="1:10" ht="16.7" customHeight="1" x14ac:dyDescent="0.2">
      <c r="A96" s="2989">
        <v>16.740000000000101</v>
      </c>
      <c r="B96" s="2693" t="s">
        <v>9572</v>
      </c>
      <c r="C96" s="2487" t="s">
        <v>9898</v>
      </c>
      <c r="D96" s="2766">
        <v>923161</v>
      </c>
      <c r="E96" s="2766">
        <v>923161</v>
      </c>
      <c r="F96" s="2766">
        <v>5388969</v>
      </c>
      <c r="G96" s="2693"/>
      <c r="H96" s="2693"/>
      <c r="I96" s="2530">
        <f t="shared" si="2"/>
        <v>5388969</v>
      </c>
      <c r="J96" s="2985" t="str">
        <f t="shared" si="3"/>
        <v>Western Area Power Administration FNS</v>
      </c>
    </row>
    <row r="97" spans="1:10" ht="16.7" customHeight="1" x14ac:dyDescent="0.2">
      <c r="A97" s="2989">
        <v>16.750000000000099</v>
      </c>
      <c r="B97" s="2693" t="s">
        <v>9572</v>
      </c>
      <c r="C97" s="2487" t="s">
        <v>9629</v>
      </c>
      <c r="D97" s="2766">
        <v>1145481</v>
      </c>
      <c r="E97" s="2766">
        <v>1145481</v>
      </c>
      <c r="F97" s="2766">
        <v>3528832</v>
      </c>
      <c r="G97" s="2693"/>
      <c r="H97" s="2693"/>
      <c r="I97" s="2530">
        <f t="shared" si="2"/>
        <v>3528832</v>
      </c>
      <c r="J97" s="2985" t="str">
        <f t="shared" si="3"/>
        <v>Western Area Power Administration NF</v>
      </c>
    </row>
    <row r="98" spans="1:10" ht="16.7" customHeight="1" x14ac:dyDescent="0.2">
      <c r="A98" s="2989">
        <v>16.760000000000101</v>
      </c>
      <c r="B98" s="2693" t="s">
        <v>9572</v>
      </c>
      <c r="C98" s="2990" t="s">
        <v>193</v>
      </c>
      <c r="D98" s="2693"/>
      <c r="E98" s="2693"/>
      <c r="F98" s="2693"/>
      <c r="G98" s="2693"/>
      <c r="H98" s="2991">
        <v>842756</v>
      </c>
      <c r="I98" s="2530">
        <f t="shared" si="2"/>
        <v>842756</v>
      </c>
      <c r="J98" s="2985" t="str">
        <f t="shared" si="3"/>
        <v>Western Area Power Administration OS</v>
      </c>
    </row>
    <row r="99" spans="1:10" ht="16.7" customHeight="1" x14ac:dyDescent="0.2">
      <c r="A99" s="2989">
        <v>16.770000000000099</v>
      </c>
      <c r="B99" s="2693" t="s">
        <v>9572</v>
      </c>
      <c r="C99" s="2487" t="s">
        <v>9632</v>
      </c>
      <c r="D99" s="2766">
        <v>4384</v>
      </c>
      <c r="E99" s="2766">
        <v>4384</v>
      </c>
      <c r="F99" s="2766">
        <v>10496</v>
      </c>
      <c r="G99" s="2693"/>
      <c r="H99" s="2693"/>
      <c r="I99" s="2530">
        <f t="shared" si="2"/>
        <v>10496</v>
      </c>
      <c r="J99" s="2985" t="str">
        <f t="shared" si="3"/>
        <v>Western Area Power Administration SFP</v>
      </c>
    </row>
    <row r="100" spans="1:10" ht="16.7" customHeight="1" x14ac:dyDescent="0.2">
      <c r="A100" s="2989">
        <v>16.780000000000101</v>
      </c>
      <c r="B100" s="2693" t="s">
        <v>9906</v>
      </c>
      <c r="C100" s="2986" t="s">
        <v>9623</v>
      </c>
      <c r="D100" s="2693"/>
      <c r="E100" s="2693"/>
      <c r="F100" s="2693"/>
      <c r="G100" s="2693"/>
      <c r="H100" s="2962">
        <v>-802860</v>
      </c>
      <c r="I100" s="2530">
        <f t="shared" si="2"/>
        <v>-802860</v>
      </c>
      <c r="J100" s="2985" t="str">
        <f t="shared" si="3"/>
        <v>Westport Field Services, LLC LFP</v>
      </c>
    </row>
    <row r="101" spans="1:10" ht="16.7" customHeight="1" x14ac:dyDescent="0.2">
      <c r="A101" s="2989">
        <v>16.790000000000099</v>
      </c>
      <c r="B101" s="2994" t="s">
        <v>9907</v>
      </c>
      <c r="C101" s="2487"/>
      <c r="D101" s="2693"/>
      <c r="E101" s="2693"/>
      <c r="F101" s="2693"/>
      <c r="G101" s="2693"/>
      <c r="H101" s="2599">
        <v>-148363</v>
      </c>
      <c r="I101" s="2530">
        <f t="shared" si="2"/>
        <v>-148363</v>
      </c>
      <c r="J101" s="2985" t="str">
        <f t="shared" si="3"/>
        <v xml:space="preserve">Accrual </v>
      </c>
    </row>
    <row r="102" spans="1:10" ht="16.7" customHeight="1" x14ac:dyDescent="0.2">
      <c r="A102" s="2989">
        <v>16.8000000000001</v>
      </c>
      <c r="B102" s="2693"/>
      <c r="C102" s="2487"/>
      <c r="D102" s="2614"/>
      <c r="E102" s="2614"/>
      <c r="F102" s="2614"/>
      <c r="G102" s="2614"/>
      <c r="H102" s="2614"/>
      <c r="I102" s="2530">
        <f t="shared" si="2"/>
        <v>0</v>
      </c>
      <c r="J102" s="2985" t="str">
        <f t="shared" si="3"/>
        <v xml:space="preserve"> </v>
      </c>
    </row>
    <row r="103" spans="1:10" ht="16.7" customHeight="1" x14ac:dyDescent="0.2">
      <c r="A103" s="2497">
        <v>17</v>
      </c>
      <c r="B103" s="2668" t="s">
        <v>197</v>
      </c>
      <c r="C103" s="2498"/>
      <c r="D103" s="2672">
        <f t="shared" ref="D103:I103" si="4">SUM(D7:D102)</f>
        <v>19550302</v>
      </c>
      <c r="E103" s="2672">
        <f t="shared" si="4"/>
        <v>19916538</v>
      </c>
      <c r="F103" s="2672">
        <f t="shared" si="4"/>
        <v>134599261</v>
      </c>
      <c r="G103" s="2672">
        <f t="shared" si="4"/>
        <v>78622</v>
      </c>
      <c r="H103" s="2672">
        <f t="shared" si="4"/>
        <v>30464021</v>
      </c>
      <c r="I103" s="2561">
        <f t="shared" si="4"/>
        <v>165141904</v>
      </c>
      <c r="J103" s="2960"/>
    </row>
    <row r="104" spans="1:10" ht="16.7" customHeight="1" x14ac:dyDescent="0.2">
      <c r="A104" s="2516"/>
      <c r="B104" s="2516"/>
      <c r="C104" s="2516"/>
      <c r="D104" s="2516"/>
      <c r="E104" s="2516"/>
      <c r="F104" s="2516"/>
      <c r="G104" s="2516"/>
      <c r="H104" s="2516"/>
      <c r="I104" s="2516"/>
    </row>
    <row r="105" spans="1:10" ht="16.7" customHeight="1" x14ac:dyDescent="0.2"/>
    <row r="106" spans="1:10" ht="16.7" customHeight="1" x14ac:dyDescent="0.2"/>
    <row r="107" spans="1:10" ht="16.7" customHeight="1" x14ac:dyDescent="0.2"/>
    <row r="108" spans="1:10" ht="16.7" customHeight="1" x14ac:dyDescent="0.2"/>
    <row r="109" spans="1:10" ht="16.7" customHeight="1" x14ac:dyDescent="0.2"/>
    <row r="110" spans="1:10" ht="16.7" customHeight="1" x14ac:dyDescent="0.2"/>
    <row r="111" spans="1:10" ht="16.7" customHeight="1" x14ac:dyDescent="0.2"/>
    <row r="112" spans="1:10" ht="16.7" customHeight="1" x14ac:dyDescent="0.2"/>
    <row r="113" ht="16.7" customHeight="1" x14ac:dyDescent="0.2"/>
    <row r="114" ht="16.7" customHeight="1" x14ac:dyDescent="0.2"/>
    <row r="115" ht="16.7" customHeight="1" x14ac:dyDescent="0.2"/>
    <row r="116" ht="16.7" customHeight="1" x14ac:dyDescent="0.2"/>
    <row r="117" ht="16.7" customHeight="1" x14ac:dyDescent="0.2"/>
    <row r="118" ht="16.7" customHeight="1" x14ac:dyDescent="0.2"/>
    <row r="119" ht="16.7" customHeight="1" x14ac:dyDescent="0.2"/>
    <row r="120" ht="16.7" customHeight="1" x14ac:dyDescent="0.2"/>
    <row r="121" ht="16.7" customHeight="1" x14ac:dyDescent="0.2"/>
    <row r="122" ht="16.7" customHeight="1" x14ac:dyDescent="0.2"/>
    <row r="123" ht="16.7" customHeight="1" x14ac:dyDescent="0.2"/>
    <row r="124" ht="16.7" customHeight="1" x14ac:dyDescent="0.2"/>
    <row r="125" ht="16.7" customHeight="1" x14ac:dyDescent="0.2"/>
    <row r="126" ht="16.7" customHeight="1" x14ac:dyDescent="0.2"/>
    <row r="127" ht="16.7" customHeight="1" x14ac:dyDescent="0.2"/>
    <row r="128" ht="16.7" customHeight="1" x14ac:dyDescent="0.2"/>
    <row r="129" ht="16.7" customHeight="1" x14ac:dyDescent="0.2"/>
    <row r="130" ht="16.7" customHeight="1" x14ac:dyDescent="0.2"/>
    <row r="131" ht="16.7" customHeight="1" x14ac:dyDescent="0.2"/>
    <row r="132" ht="16.7" customHeight="1" x14ac:dyDescent="0.2"/>
    <row r="133" ht="16.7" customHeight="1" x14ac:dyDescent="0.2"/>
    <row r="134" ht="16.7" customHeight="1" x14ac:dyDescent="0.2"/>
    <row r="135" ht="16.7" customHeight="1" x14ac:dyDescent="0.2"/>
    <row r="136" ht="16.7" customHeight="1" x14ac:dyDescent="0.2"/>
    <row r="137" ht="16.7" customHeight="1" x14ac:dyDescent="0.2"/>
    <row r="138" ht="16.7" customHeight="1" x14ac:dyDescent="0.2"/>
    <row r="139" ht="16.7" customHeight="1" x14ac:dyDescent="0.2"/>
    <row r="140" ht="16.7" customHeight="1" x14ac:dyDescent="0.2"/>
    <row r="141" ht="16.7" customHeight="1" x14ac:dyDescent="0.2"/>
    <row r="142" ht="16.7" customHeight="1" x14ac:dyDescent="0.2"/>
    <row r="143" ht="16.7" customHeight="1" x14ac:dyDescent="0.2"/>
    <row r="144" ht="16.7" customHeight="1" x14ac:dyDescent="0.2"/>
    <row r="145" ht="16.7" customHeight="1" x14ac:dyDescent="0.2"/>
    <row r="146" ht="16.7" customHeight="1" x14ac:dyDescent="0.2"/>
    <row r="147" ht="16.7" customHeight="1" x14ac:dyDescent="0.2"/>
    <row r="148" ht="16.7" customHeight="1" x14ac:dyDescent="0.2"/>
    <row r="149" ht="16.7" customHeight="1" x14ac:dyDescent="0.2"/>
    <row r="150" ht="16.7" customHeight="1" x14ac:dyDescent="0.2"/>
    <row r="151" ht="16.7" customHeight="1" x14ac:dyDescent="0.2"/>
    <row r="152" ht="16.7" customHeight="1" x14ac:dyDescent="0.2"/>
    <row r="153" ht="16.7" customHeight="1" x14ac:dyDescent="0.2"/>
    <row r="154" ht="16.7" customHeight="1" x14ac:dyDescent="0.2"/>
    <row r="155" ht="16.7" customHeight="1" x14ac:dyDescent="0.2"/>
    <row r="156" ht="16.7" customHeight="1" x14ac:dyDescent="0.2"/>
    <row r="157" ht="16.7" customHeight="1" x14ac:dyDescent="0.2"/>
    <row r="158" ht="16.7" customHeight="1" x14ac:dyDescent="0.2"/>
    <row r="159" ht="16.7" customHeight="1" x14ac:dyDescent="0.2"/>
    <row r="160" ht="16.7" customHeight="1" x14ac:dyDescent="0.2"/>
    <row r="161" ht="16.7" customHeight="1" x14ac:dyDescent="0.2"/>
    <row r="162" ht="16.7" customHeight="1" x14ac:dyDescent="0.2"/>
    <row r="163" ht="16.7" customHeight="1" x14ac:dyDescent="0.2"/>
    <row r="164" ht="16.7" customHeight="1" x14ac:dyDescent="0.2"/>
    <row r="165" ht="16.7" customHeight="1" x14ac:dyDescent="0.2"/>
    <row r="166" ht="16.7" customHeight="1" x14ac:dyDescent="0.2"/>
    <row r="167" ht="16.7" customHeight="1" x14ac:dyDescent="0.2"/>
    <row r="168" ht="16.7" customHeight="1" x14ac:dyDescent="0.2"/>
    <row r="169" ht="16.7" customHeight="1" x14ac:dyDescent="0.2"/>
    <row r="170" ht="16.7" customHeight="1" x14ac:dyDescent="0.2"/>
    <row r="171" ht="16.7" customHeight="1" x14ac:dyDescent="0.2"/>
    <row r="172" ht="16.7" customHeight="1" x14ac:dyDescent="0.2"/>
    <row r="173" ht="16.7" customHeight="1" x14ac:dyDescent="0.2"/>
    <row r="174" ht="16.7" customHeight="1" x14ac:dyDescent="0.2"/>
    <row r="175" ht="16.7" customHeight="1" x14ac:dyDescent="0.2"/>
    <row r="176" ht="16.7" customHeight="1" x14ac:dyDescent="0.2"/>
    <row r="177" ht="16.7" customHeight="1" x14ac:dyDescent="0.2"/>
    <row r="178" ht="16.7" customHeight="1" x14ac:dyDescent="0.2"/>
    <row r="179" ht="16.7" customHeight="1" x14ac:dyDescent="0.2"/>
    <row r="180" ht="16.7" customHeight="1" x14ac:dyDescent="0.2"/>
    <row r="181" ht="16.7" customHeight="1" x14ac:dyDescent="0.2"/>
    <row r="182" ht="16.7" customHeight="1" x14ac:dyDescent="0.2"/>
    <row r="183" ht="16.7" customHeight="1" x14ac:dyDescent="0.2"/>
    <row r="184" ht="16.7" customHeight="1" x14ac:dyDescent="0.2"/>
    <row r="185" ht="16.7" customHeight="1" x14ac:dyDescent="0.2"/>
    <row r="186" ht="16.7" customHeight="1" x14ac:dyDescent="0.2"/>
    <row r="187" ht="16.7" customHeight="1" x14ac:dyDescent="0.2"/>
    <row r="188" ht="16.7" customHeight="1" x14ac:dyDescent="0.2"/>
    <row r="189" ht="16.7" customHeight="1" x14ac:dyDescent="0.2"/>
    <row r="190" ht="16.7" customHeight="1" x14ac:dyDescent="0.2"/>
    <row r="191" ht="16.7" customHeight="1" x14ac:dyDescent="0.2"/>
    <row r="192" ht="16.7" customHeight="1" x14ac:dyDescent="0.2"/>
    <row r="193" ht="16.7" customHeight="1" x14ac:dyDescent="0.2"/>
    <row r="194" ht="16.7" customHeight="1" x14ac:dyDescent="0.2"/>
    <row r="195" ht="16.7" customHeight="1" x14ac:dyDescent="0.2"/>
    <row r="196" ht="16.7" customHeight="1" x14ac:dyDescent="0.2"/>
    <row r="197" ht="16.7" customHeight="1" x14ac:dyDescent="0.2"/>
    <row r="198" ht="16.7" customHeight="1" x14ac:dyDescent="0.2"/>
    <row r="199" ht="16.7" customHeight="1" x14ac:dyDescent="0.2"/>
    <row r="200" ht="16.7" customHeight="1" x14ac:dyDescent="0.2"/>
    <row r="201" ht="16.7" customHeight="1" x14ac:dyDescent="0.2"/>
    <row r="202" ht="16.7" customHeight="1" x14ac:dyDescent="0.2"/>
    <row r="203" ht="16.7" customHeight="1" x14ac:dyDescent="0.2"/>
    <row r="204" ht="16.7" customHeight="1" x14ac:dyDescent="0.2"/>
    <row r="205" ht="16.7" customHeight="1" x14ac:dyDescent="0.2"/>
    <row r="206" ht="16.7" customHeight="1" x14ac:dyDescent="0.2"/>
    <row r="207" ht="16.7" customHeight="1" x14ac:dyDescent="0.2"/>
    <row r="208" ht="16.7" customHeight="1" x14ac:dyDescent="0.2"/>
    <row r="209" ht="16.7" customHeight="1" x14ac:dyDescent="0.2"/>
    <row r="210" ht="16.7" customHeight="1" x14ac:dyDescent="0.2"/>
    <row r="211" ht="16.7" customHeight="1" x14ac:dyDescent="0.2"/>
    <row r="212" ht="16.7" customHeight="1" x14ac:dyDescent="0.2"/>
    <row r="213" ht="16.7" customHeight="1" x14ac:dyDescent="0.2"/>
    <row r="214" ht="16.7" customHeight="1" x14ac:dyDescent="0.2"/>
    <row r="215" ht="16.7" customHeight="1" x14ac:dyDescent="0.2"/>
    <row r="216" ht="16.7" customHeight="1" x14ac:dyDescent="0.2"/>
    <row r="217" ht="16.7" customHeight="1" x14ac:dyDescent="0.2"/>
    <row r="218" ht="16.7" customHeight="1" x14ac:dyDescent="0.2"/>
    <row r="219" ht="16.7" customHeight="1" x14ac:dyDescent="0.2"/>
    <row r="220" ht="16.7" customHeight="1" x14ac:dyDescent="0.2"/>
    <row r="221" ht="16.7" customHeight="1" x14ac:dyDescent="0.2"/>
    <row r="222" ht="16.7" customHeight="1" x14ac:dyDescent="0.2"/>
    <row r="223" ht="16.7" customHeight="1" x14ac:dyDescent="0.2"/>
    <row r="224" ht="16.7" customHeight="1" x14ac:dyDescent="0.2"/>
    <row r="225" ht="15" customHeight="1" x14ac:dyDescent="0.2"/>
    <row r="226" ht="15" customHeight="1" x14ac:dyDescent="0.2"/>
    <row r="227" ht="15" customHeight="1" x14ac:dyDescent="0.2"/>
    <row r="228" ht="15" customHeight="1" x14ac:dyDescent="0.2"/>
    <row r="229" ht="15" customHeight="1" x14ac:dyDescent="0.2"/>
    <row r="230" ht="15" customHeight="1" x14ac:dyDescent="0.2"/>
    <row r="231" ht="15" customHeight="1" x14ac:dyDescent="0.2"/>
    <row r="232" ht="15" customHeight="1" x14ac:dyDescent="0.2"/>
    <row r="233" ht="15" customHeight="1" x14ac:dyDescent="0.2"/>
    <row r="234" ht="15" customHeight="1" x14ac:dyDescent="0.2"/>
    <row r="235" ht="15" customHeight="1" x14ac:dyDescent="0.2"/>
    <row r="236" ht="15" customHeight="1" x14ac:dyDescent="0.2"/>
    <row r="237" ht="15" customHeight="1" x14ac:dyDescent="0.2"/>
    <row r="238" ht="15" customHeight="1" x14ac:dyDescent="0.2"/>
    <row r="239" ht="15" customHeight="1" x14ac:dyDescent="0.2"/>
    <row r="240" ht="15" customHeight="1" x14ac:dyDescent="0.2"/>
    <row r="241" ht="15" customHeight="1" x14ac:dyDescent="0.2"/>
    <row r="242" ht="15" customHeight="1" x14ac:dyDescent="0.2"/>
    <row r="243" ht="15" customHeight="1" x14ac:dyDescent="0.2"/>
    <row r="244" ht="15" customHeight="1" x14ac:dyDescent="0.2"/>
    <row r="245" ht="15" customHeight="1" x14ac:dyDescent="0.2"/>
    <row r="246" ht="15" customHeight="1" x14ac:dyDescent="0.2"/>
    <row r="247" ht="15" customHeight="1" x14ac:dyDescent="0.2"/>
    <row r="248" ht="15" customHeight="1" x14ac:dyDescent="0.2"/>
    <row r="249" ht="15" customHeight="1" x14ac:dyDescent="0.2"/>
    <row r="250" ht="15" customHeight="1" x14ac:dyDescent="0.2"/>
    <row r="251" ht="15" customHeight="1" x14ac:dyDescent="0.2"/>
    <row r="252" ht="15" customHeight="1" x14ac:dyDescent="0.2"/>
    <row r="253" ht="15" customHeight="1" x14ac:dyDescent="0.2"/>
    <row r="254" ht="15" customHeight="1" x14ac:dyDescent="0.2"/>
    <row r="255" ht="15" customHeight="1" x14ac:dyDescent="0.2"/>
    <row r="256" ht="15" customHeight="1" x14ac:dyDescent="0.2"/>
    <row r="257" ht="15" customHeight="1" x14ac:dyDescent="0.2"/>
    <row r="258" ht="15" customHeight="1" x14ac:dyDescent="0.2"/>
    <row r="259" ht="15" customHeight="1" x14ac:dyDescent="0.2"/>
  </sheetData>
  <mergeCells count="7">
    <mergeCell ref="A2:I2"/>
    <mergeCell ref="A3:I3"/>
    <mergeCell ref="A4:A5"/>
    <mergeCell ref="B4:B5"/>
    <mergeCell ref="C4:C5"/>
    <mergeCell ref="D4:E4"/>
    <mergeCell ref="F4:I4"/>
  </mergeCells>
  <pageMargins left="0.75" right="0.75" top="1" bottom="1" header="0.5" footer="0.5"/>
  <customProperties>
    <customPr name="_pios_id" r:id="rId1"/>
  </customProperties>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1B6761-D612-4C8F-9497-7893576BE28D}">
  <sheetPr codeName="Sheet80"/>
  <dimension ref="A1:D108"/>
  <sheetViews>
    <sheetView showRuler="0" workbookViewId="0">
      <selection activeCell="C1" sqref="C1"/>
    </sheetView>
  </sheetViews>
  <sheetFormatPr defaultColWidth="11.5" defaultRowHeight="12.75" x14ac:dyDescent="0.2"/>
  <cols>
    <col min="1" max="1" width="4.875" style="1953" customWidth="1"/>
    <col min="2" max="2" width="77.375" style="1953" customWidth="1"/>
    <col min="3" max="3" width="16.375" style="1953" customWidth="1"/>
    <col min="4" max="4" width="59.875" style="1953" customWidth="1"/>
    <col min="5" max="12" width="17.625" style="1953" customWidth="1"/>
    <col min="13" max="16384" width="11.5" style="1953"/>
  </cols>
  <sheetData>
    <row r="1" spans="1:4" ht="16.7" customHeight="1" x14ac:dyDescent="0.2"/>
    <row r="2" spans="1:4" ht="16.7" customHeight="1" x14ac:dyDescent="0.2"/>
    <row r="3" spans="1:4" ht="16.7" customHeight="1" x14ac:dyDescent="0.2">
      <c r="A3" s="3932" t="s">
        <v>9908</v>
      </c>
      <c r="B3" s="3975"/>
      <c r="C3" s="3976"/>
      <c r="D3" s="2486"/>
    </row>
    <row r="4" spans="1:4" ht="16.7" customHeight="1" x14ac:dyDescent="0.2">
      <c r="A4" s="3882" t="s">
        <v>9909</v>
      </c>
      <c r="B4" s="3891"/>
      <c r="C4" s="3892"/>
      <c r="D4" s="2479"/>
    </row>
    <row r="5" spans="1:4" ht="27.6" customHeight="1" x14ac:dyDescent="0.2">
      <c r="A5" s="2835" t="s">
        <v>6360</v>
      </c>
      <c r="B5" s="2581" t="s">
        <v>231</v>
      </c>
      <c r="C5" s="2581" t="s">
        <v>441</v>
      </c>
      <c r="D5" s="2479"/>
    </row>
    <row r="6" spans="1:4" ht="16.7" customHeight="1" x14ac:dyDescent="0.2">
      <c r="A6" s="2995"/>
      <c r="B6" s="2589" t="s">
        <v>5949</v>
      </c>
      <c r="C6" s="2589" t="s">
        <v>5950</v>
      </c>
      <c r="D6" s="2479" t="s">
        <v>6324</v>
      </c>
    </row>
    <row r="7" spans="1:4" ht="16.7" customHeight="1" x14ac:dyDescent="0.2">
      <c r="A7" s="2996">
        <v>1</v>
      </c>
      <c r="B7" s="2512" t="s">
        <v>9910</v>
      </c>
      <c r="C7" s="2530">
        <v>1878799</v>
      </c>
      <c r="D7" s="2479"/>
    </row>
    <row r="8" spans="1:4" ht="16.7" customHeight="1" x14ac:dyDescent="0.2">
      <c r="A8" s="2996">
        <v>2</v>
      </c>
      <c r="B8" s="2512" t="s">
        <v>9911</v>
      </c>
      <c r="C8" s="2488"/>
      <c r="D8" s="2479"/>
    </row>
    <row r="9" spans="1:4" ht="16.7" customHeight="1" x14ac:dyDescent="0.2">
      <c r="A9" s="2996">
        <v>3</v>
      </c>
      <c r="B9" s="2512" t="s">
        <v>9912</v>
      </c>
      <c r="C9" s="2488"/>
      <c r="D9" s="2479"/>
    </row>
    <row r="10" spans="1:4" ht="16.7" customHeight="1" x14ac:dyDescent="0.2">
      <c r="A10" s="2996">
        <v>4</v>
      </c>
      <c r="B10" s="2512" t="s">
        <v>9913</v>
      </c>
      <c r="C10" s="2488"/>
      <c r="D10" s="2479"/>
    </row>
    <row r="11" spans="1:4" ht="16.7" customHeight="1" x14ac:dyDescent="0.2">
      <c r="A11" s="2996">
        <v>5</v>
      </c>
      <c r="B11" s="2512" t="s">
        <v>9914</v>
      </c>
      <c r="C11" s="2488"/>
      <c r="D11" s="2479"/>
    </row>
    <row r="12" spans="1:4" ht="16.7" customHeight="1" x14ac:dyDescent="0.2">
      <c r="A12" s="2996">
        <v>6</v>
      </c>
      <c r="B12" s="2512"/>
      <c r="C12" s="2614"/>
      <c r="D12" s="2595">
        <f t="shared" ref="D12:D52" si="0">B12</f>
        <v>0</v>
      </c>
    </row>
    <row r="13" spans="1:4" ht="16.7" customHeight="1" x14ac:dyDescent="0.2">
      <c r="A13" s="2996">
        <v>7</v>
      </c>
      <c r="B13" s="2512" t="s">
        <v>9915</v>
      </c>
      <c r="C13" s="2614"/>
      <c r="D13" s="2479" t="str">
        <f t="shared" si="0"/>
        <v>Business &amp; Economic Development and Corporate Memberships &amp; Subscriptions:</v>
      </c>
    </row>
    <row r="14" spans="1:4" ht="16.7" customHeight="1" x14ac:dyDescent="0.2">
      <c r="A14" s="2996">
        <v>8</v>
      </c>
      <c r="B14" s="2512" t="s">
        <v>9916</v>
      </c>
      <c r="C14" s="2530">
        <v>5000</v>
      </c>
      <c r="D14" s="2479" t="str">
        <f t="shared" si="0"/>
        <v>American Fork Chamber of Commerce</v>
      </c>
    </row>
    <row r="15" spans="1:4" ht="16.7" customHeight="1" x14ac:dyDescent="0.2">
      <c r="A15" s="2996">
        <v>9</v>
      </c>
      <c r="B15" s="2512" t="s">
        <v>9917</v>
      </c>
      <c r="C15" s="2530">
        <v>6196</v>
      </c>
      <c r="D15" s="2479" t="str">
        <f t="shared" si="0"/>
        <v>Arlington Club</v>
      </c>
    </row>
    <row r="16" spans="1:4" ht="16.7" customHeight="1" x14ac:dyDescent="0.2">
      <c r="A16" s="2996">
        <v>10</v>
      </c>
      <c r="B16" s="2488" t="s">
        <v>9918</v>
      </c>
      <c r="C16" s="2530">
        <v>5000</v>
      </c>
      <c r="D16" s="2479" t="str">
        <f t="shared" si="0"/>
        <v>Carbon County Economic Development Corporation</v>
      </c>
    </row>
    <row r="17" spans="1:4" ht="16.7" customHeight="1" x14ac:dyDescent="0.2">
      <c r="A17" s="2996">
        <v>11</v>
      </c>
      <c r="B17" s="2488" t="s">
        <v>9919</v>
      </c>
      <c r="C17" s="2530">
        <v>7500</v>
      </c>
      <c r="D17" s="2479" t="str">
        <f t="shared" si="0"/>
        <v>ChamberWest</v>
      </c>
    </row>
    <row r="18" spans="1:4" ht="16.7" customHeight="1" x14ac:dyDescent="0.2">
      <c r="A18" s="2996">
        <v>12</v>
      </c>
      <c r="B18" s="2488" t="s">
        <v>9920</v>
      </c>
      <c r="C18" s="2530">
        <v>5000</v>
      </c>
      <c r="D18" s="2479" t="str">
        <f t="shared" si="0"/>
        <v>Clatsop Economic Development Resources</v>
      </c>
    </row>
    <row r="19" spans="1:4" ht="16.7" customHeight="1" x14ac:dyDescent="0.2">
      <c r="A19" s="2996">
        <v>13</v>
      </c>
      <c r="B19" s="2488" t="s">
        <v>9921</v>
      </c>
      <c r="C19" s="2530">
        <v>10000</v>
      </c>
      <c r="D19" s="2479" t="str">
        <f t="shared" si="0"/>
        <v>Economic Development for Central Oregon</v>
      </c>
    </row>
    <row r="20" spans="1:4" ht="16.7" customHeight="1" x14ac:dyDescent="0.2">
      <c r="A20" s="2996">
        <v>14</v>
      </c>
      <c r="B20" s="2488" t="s">
        <v>9922</v>
      </c>
      <c r="C20" s="2530">
        <v>6000</v>
      </c>
      <c r="D20" s="2479" t="str">
        <f t="shared" si="0"/>
        <v>Greater Portland, Inc.</v>
      </c>
    </row>
    <row r="21" spans="1:4" ht="16.7" customHeight="1" x14ac:dyDescent="0.2">
      <c r="A21" s="2996">
        <v>15</v>
      </c>
      <c r="B21" s="2488" t="s">
        <v>9923</v>
      </c>
      <c r="C21" s="2530">
        <v>5000</v>
      </c>
      <c r="D21" s="2479" t="str">
        <f t="shared" si="0"/>
        <v>Greater Yakima Chamber of Commerce</v>
      </c>
    </row>
    <row r="22" spans="1:4" ht="16.7" customHeight="1" x14ac:dyDescent="0.2">
      <c r="A22" s="2996">
        <v>16</v>
      </c>
      <c r="B22" s="2488" t="s">
        <v>9924</v>
      </c>
      <c r="C22" s="2530">
        <v>7500</v>
      </c>
      <c r="D22" s="2479" t="str">
        <f t="shared" si="0"/>
        <v>Jordan River Commission</v>
      </c>
    </row>
    <row r="23" spans="1:4" ht="16.7" customHeight="1" x14ac:dyDescent="0.2">
      <c r="A23" s="2996">
        <v>17</v>
      </c>
      <c r="B23" s="2488" t="s">
        <v>9925</v>
      </c>
      <c r="C23" s="2530">
        <v>5000</v>
      </c>
      <c r="D23" s="2479" t="str">
        <f t="shared" si="0"/>
        <v>Klamath County Economic Development Association</v>
      </c>
    </row>
    <row r="24" spans="1:4" ht="16.7" customHeight="1" x14ac:dyDescent="0.2">
      <c r="A24" s="2996">
        <v>18</v>
      </c>
      <c r="B24" s="2488" t="s">
        <v>9926</v>
      </c>
      <c r="C24" s="2530">
        <v>5000</v>
      </c>
      <c r="D24" s="2479" t="str">
        <f t="shared" si="0"/>
        <v>Lander Chamber of Commerce</v>
      </c>
    </row>
    <row r="25" spans="1:4" ht="16.7" customHeight="1" x14ac:dyDescent="0.2">
      <c r="A25" s="2996">
        <v>19</v>
      </c>
      <c r="B25" s="2488" t="s">
        <v>9927</v>
      </c>
      <c r="C25" s="2530">
        <v>6000</v>
      </c>
      <c r="D25" s="2479" t="str">
        <f t="shared" si="0"/>
        <v>Ogden-Weber Chamber of Commerce</v>
      </c>
    </row>
    <row r="26" spans="1:4" ht="16.7" customHeight="1" x14ac:dyDescent="0.2">
      <c r="A26" s="2996">
        <v>20</v>
      </c>
      <c r="B26" s="2488" t="s">
        <v>9928</v>
      </c>
      <c r="C26" s="2530">
        <v>38708</v>
      </c>
      <c r="D26" s="2479" t="str">
        <f t="shared" si="0"/>
        <v>Oregon Business Council</v>
      </c>
    </row>
    <row r="27" spans="1:4" ht="16.7" customHeight="1" x14ac:dyDescent="0.2">
      <c r="A27" s="2996">
        <v>21</v>
      </c>
      <c r="B27" s="2488" t="s">
        <v>9929</v>
      </c>
      <c r="C27" s="2530">
        <v>5000</v>
      </c>
      <c r="D27" s="2479" t="str">
        <f t="shared" si="0"/>
        <v>Oregon Economic Development Association</v>
      </c>
    </row>
    <row r="28" spans="1:4" ht="16.7" customHeight="1" x14ac:dyDescent="0.2">
      <c r="A28" s="2996">
        <v>22</v>
      </c>
      <c r="B28" s="2488" t="s">
        <v>9930</v>
      </c>
      <c r="C28" s="2530">
        <v>15000</v>
      </c>
      <c r="D28" s="2479" t="str">
        <f t="shared" si="0"/>
        <v>Oregon State University, Utility Pole Research Cooperative</v>
      </c>
    </row>
    <row r="29" spans="1:4" ht="16.7" customHeight="1" x14ac:dyDescent="0.2">
      <c r="A29" s="2996">
        <v>23</v>
      </c>
      <c r="B29" s="2488" t="s">
        <v>9931</v>
      </c>
      <c r="C29" s="2530">
        <v>38320</v>
      </c>
      <c r="D29" s="2479" t="str">
        <f t="shared" si="0"/>
        <v>Portland Business Alliance</v>
      </c>
    </row>
    <row r="30" spans="1:4" ht="16.7" customHeight="1" x14ac:dyDescent="0.2">
      <c r="A30" s="2996">
        <v>24</v>
      </c>
      <c r="B30" s="2488" t="s">
        <v>9932</v>
      </c>
      <c r="C30" s="2530">
        <v>35245</v>
      </c>
      <c r="D30" s="2479" t="str">
        <f t="shared" si="0"/>
        <v>Portland Metro Chamber</v>
      </c>
    </row>
    <row r="31" spans="1:4" ht="16.7" customHeight="1" x14ac:dyDescent="0.2">
      <c r="A31" s="2996">
        <v>25</v>
      </c>
      <c r="B31" s="2488" t="s">
        <v>9933</v>
      </c>
      <c r="C31" s="2530">
        <v>5000</v>
      </c>
      <c r="D31" s="2479" t="str">
        <f t="shared" si="0"/>
        <v>Redmond Economic Development, Inc.</v>
      </c>
    </row>
    <row r="32" spans="1:4" ht="16.7" customHeight="1" x14ac:dyDescent="0.2">
      <c r="A32" s="2996">
        <v>26</v>
      </c>
      <c r="B32" s="2488" t="s">
        <v>9934</v>
      </c>
      <c r="C32" s="2530">
        <v>27000</v>
      </c>
      <c r="D32" s="2479" t="str">
        <f t="shared" si="0"/>
        <v>Salt Lake Chamber</v>
      </c>
    </row>
    <row r="33" spans="1:4" ht="16.7" customHeight="1" x14ac:dyDescent="0.2">
      <c r="A33" s="2996">
        <v>27</v>
      </c>
      <c r="B33" s="2488" t="s">
        <v>9935</v>
      </c>
      <c r="C33" s="2530">
        <v>5000</v>
      </c>
      <c r="D33" s="2479" t="str">
        <f t="shared" si="0"/>
        <v>South Coast Development Council, Inc</v>
      </c>
    </row>
    <row r="34" spans="1:4" ht="16.7" customHeight="1" x14ac:dyDescent="0.2">
      <c r="A34" s="2996">
        <v>28</v>
      </c>
      <c r="B34" s="2488" t="s">
        <v>9936</v>
      </c>
      <c r="C34" s="2530">
        <v>5000</v>
      </c>
      <c r="D34" s="2479" t="str">
        <f t="shared" si="0"/>
        <v>South Valley Chamber</v>
      </c>
    </row>
    <row r="35" spans="1:4" ht="16.7" customHeight="1" x14ac:dyDescent="0.2">
      <c r="A35" s="2996">
        <v>29</v>
      </c>
      <c r="B35" s="2488" t="s">
        <v>9937</v>
      </c>
      <c r="C35" s="2530">
        <v>7500</v>
      </c>
      <c r="D35" s="2479" t="str">
        <f t="shared" si="0"/>
        <v>Sport Oregon</v>
      </c>
    </row>
    <row r="36" spans="1:4" ht="16.7" customHeight="1" x14ac:dyDescent="0.2">
      <c r="A36" s="2996">
        <v>30</v>
      </c>
      <c r="B36" s="2488" t="s">
        <v>9938</v>
      </c>
      <c r="C36" s="2530">
        <v>5000</v>
      </c>
      <c r="D36" s="2479" t="str">
        <f t="shared" si="0"/>
        <v>Stayton-Sublimity Chamber of Commerce</v>
      </c>
    </row>
    <row r="37" spans="1:4" ht="16.7" customHeight="1" x14ac:dyDescent="0.2">
      <c r="A37" s="2996">
        <v>31</v>
      </c>
      <c r="B37" s="2488" t="s">
        <v>9939</v>
      </c>
      <c r="C37" s="2530">
        <v>18700</v>
      </c>
      <c r="D37" s="2479" t="str">
        <f t="shared" si="0"/>
        <v>Utah Taxpayers Association</v>
      </c>
    </row>
    <row r="38" spans="1:4" ht="16.7" customHeight="1" x14ac:dyDescent="0.2">
      <c r="A38" s="2996">
        <v>32</v>
      </c>
      <c r="B38" s="2488" t="s">
        <v>9940</v>
      </c>
      <c r="C38" s="2530">
        <v>10000</v>
      </c>
      <c r="D38" s="2479" t="str">
        <f t="shared" si="0"/>
        <v>Utah Valley Chamber of Commerce</v>
      </c>
    </row>
    <row r="39" spans="1:4" ht="16.7" customHeight="1" x14ac:dyDescent="0.2">
      <c r="A39" s="2996">
        <v>33</v>
      </c>
      <c r="B39" s="2488" t="s">
        <v>9941</v>
      </c>
      <c r="C39" s="2530">
        <v>10000</v>
      </c>
      <c r="D39" s="2479" t="str">
        <f t="shared" si="0"/>
        <v>Walla Walla Valley Chamber of Commerce</v>
      </c>
    </row>
    <row r="40" spans="1:4" ht="16.7" customHeight="1" x14ac:dyDescent="0.2">
      <c r="A40" s="2996">
        <v>34</v>
      </c>
      <c r="B40" s="2488" t="s">
        <v>9942</v>
      </c>
      <c r="C40" s="2530">
        <v>5500</v>
      </c>
      <c r="D40" s="2479" t="str">
        <f t="shared" si="0"/>
        <v>Wyoming Construction Coalition, Inc.</v>
      </c>
    </row>
    <row r="41" spans="1:4" ht="16.7" customHeight="1" x14ac:dyDescent="0.2">
      <c r="A41" s="2996">
        <v>35</v>
      </c>
      <c r="B41" s="2488" t="s">
        <v>9943</v>
      </c>
      <c r="C41" s="2530">
        <v>7500</v>
      </c>
      <c r="D41" s="2479" t="str">
        <f t="shared" si="0"/>
        <v>Yakima County Development Association</v>
      </c>
    </row>
    <row r="42" spans="1:4" ht="16.7" customHeight="1" x14ac:dyDescent="0.2">
      <c r="A42" s="2996">
        <v>36</v>
      </c>
      <c r="B42" s="2488" t="s">
        <v>9944</v>
      </c>
      <c r="C42" s="2530">
        <v>118984</v>
      </c>
      <c r="D42" s="2479" t="str">
        <f t="shared" si="0"/>
        <v>Other (Individually &lt; $5,000)</v>
      </c>
    </row>
    <row r="43" spans="1:4" ht="16.7" customHeight="1" x14ac:dyDescent="0.2">
      <c r="A43" s="2996">
        <v>37</v>
      </c>
      <c r="B43" s="2488"/>
      <c r="C43" s="2488"/>
      <c r="D43" s="2595">
        <f t="shared" si="0"/>
        <v>0</v>
      </c>
    </row>
    <row r="44" spans="1:4" ht="16.7" customHeight="1" x14ac:dyDescent="0.2">
      <c r="A44" s="2996">
        <v>38</v>
      </c>
      <c r="B44" s="2488" t="s">
        <v>9945</v>
      </c>
      <c r="C44" s="2488"/>
      <c r="D44" s="2479" t="str">
        <f t="shared" si="0"/>
        <v>Rating Agency and Trustee Fees:</v>
      </c>
    </row>
    <row r="45" spans="1:4" ht="16.7" customHeight="1" x14ac:dyDescent="0.2">
      <c r="A45" s="2996">
        <v>39</v>
      </c>
      <c r="B45" s="2488" t="s">
        <v>9946</v>
      </c>
      <c r="C45" s="2530">
        <v>26692</v>
      </c>
      <c r="D45" s="2479" t="str">
        <f t="shared" si="0"/>
        <v>Computershare Shareowner Services, LLC</v>
      </c>
    </row>
    <row r="46" spans="1:4" ht="16.7" customHeight="1" x14ac:dyDescent="0.2">
      <c r="A46" s="2996">
        <v>40</v>
      </c>
      <c r="B46" s="2488" t="s">
        <v>9947</v>
      </c>
      <c r="C46" s="2530">
        <v>116132</v>
      </c>
      <c r="D46" s="2479" t="str">
        <f t="shared" si="0"/>
        <v>Moody's Investors Service</v>
      </c>
    </row>
    <row r="47" spans="1:4" ht="16.7" customHeight="1" x14ac:dyDescent="0.2">
      <c r="A47" s="2996">
        <v>41</v>
      </c>
      <c r="B47" s="2488" t="s">
        <v>9948</v>
      </c>
      <c r="C47" s="2530">
        <v>202647</v>
      </c>
      <c r="D47" s="2479" t="str">
        <f t="shared" si="0"/>
        <v>Standard and Poor's Financial Services, LLC</v>
      </c>
    </row>
    <row r="48" spans="1:4" ht="16.7" customHeight="1" x14ac:dyDescent="0.2">
      <c r="A48" s="2996">
        <v>42</v>
      </c>
      <c r="B48" s="2488" t="s">
        <v>9949</v>
      </c>
      <c r="C48" s="2530">
        <v>136814</v>
      </c>
      <c r="D48" s="2479" t="str">
        <f t="shared" si="0"/>
        <v>The Bank of New York Mellon</v>
      </c>
    </row>
    <row r="49" spans="1:4" ht="16.7" customHeight="1" x14ac:dyDescent="0.2">
      <c r="A49" s="2996">
        <v>43</v>
      </c>
      <c r="B49" s="2488" t="s">
        <v>9950</v>
      </c>
      <c r="C49" s="2530">
        <v>13858</v>
      </c>
      <c r="D49" s="2479" t="str">
        <f t="shared" si="0"/>
        <v>U.S. Bank National Association</v>
      </c>
    </row>
    <row r="50" spans="1:4" ht="16.7" customHeight="1" x14ac:dyDescent="0.2">
      <c r="A50" s="2996">
        <v>44</v>
      </c>
      <c r="B50" s="2488"/>
      <c r="C50" s="2488"/>
      <c r="D50" s="2595">
        <f t="shared" si="0"/>
        <v>0</v>
      </c>
    </row>
    <row r="51" spans="1:4" ht="16.7" customHeight="1" x14ac:dyDescent="0.2">
      <c r="A51" s="2996">
        <v>45</v>
      </c>
      <c r="B51" s="2488"/>
      <c r="C51" s="2488"/>
      <c r="D51" s="2595">
        <f t="shared" si="0"/>
        <v>0</v>
      </c>
    </row>
    <row r="52" spans="1:4" ht="16.7" customHeight="1" x14ac:dyDescent="0.2">
      <c r="A52" s="2997">
        <v>45.000999999999998</v>
      </c>
      <c r="B52" s="2488"/>
      <c r="C52" s="2488"/>
      <c r="D52" s="2595">
        <f t="shared" si="0"/>
        <v>0</v>
      </c>
    </row>
    <row r="53" spans="1:4" ht="16.7" customHeight="1" x14ac:dyDescent="0.2">
      <c r="A53" s="2997">
        <v>45.002000000000002</v>
      </c>
      <c r="B53" s="2488"/>
      <c r="C53" s="2488"/>
      <c r="D53" s="2479"/>
    </row>
    <row r="54" spans="1:4" ht="16.7" customHeight="1" x14ac:dyDescent="0.2">
      <c r="A54" s="2996">
        <v>46</v>
      </c>
      <c r="B54" s="2512" t="s">
        <v>197</v>
      </c>
      <c r="C54" s="2645">
        <f>SUM(C7:C52)</f>
        <v>2805595</v>
      </c>
      <c r="D54" s="2479"/>
    </row>
    <row r="55" spans="1:4" ht="16.7" customHeight="1" x14ac:dyDescent="0.2">
      <c r="A55" s="2516"/>
      <c r="B55" s="2516"/>
      <c r="C55" s="2516"/>
    </row>
    <row r="56" spans="1:4" ht="16.7" customHeight="1" x14ac:dyDescent="0.2"/>
    <row r="57" spans="1:4" ht="16.7" customHeight="1" x14ac:dyDescent="0.2"/>
    <row r="58" spans="1:4" ht="16.7" customHeight="1" x14ac:dyDescent="0.2"/>
    <row r="59" spans="1:4" ht="16.7" customHeight="1" x14ac:dyDescent="0.2"/>
    <row r="60" spans="1:4" ht="16.7" customHeight="1" x14ac:dyDescent="0.2"/>
    <row r="61" spans="1:4" ht="16.7" customHeight="1" x14ac:dyDescent="0.2"/>
    <row r="62" spans="1:4" ht="16.7" customHeight="1" x14ac:dyDescent="0.2"/>
    <row r="63" spans="1:4" ht="16.7" customHeight="1" x14ac:dyDescent="0.2"/>
    <row r="64" spans="1:4" ht="16.7" customHeight="1" x14ac:dyDescent="0.2"/>
    <row r="65" ht="16.7" customHeight="1" x14ac:dyDescent="0.2"/>
    <row r="66" ht="16.7" customHeight="1" x14ac:dyDescent="0.2"/>
    <row r="67" ht="16.7" customHeight="1" x14ac:dyDescent="0.2"/>
    <row r="68" ht="16.7" customHeight="1" x14ac:dyDescent="0.2"/>
    <row r="69" ht="16.7" customHeight="1" x14ac:dyDescent="0.2"/>
    <row r="70" ht="16.7" customHeight="1" x14ac:dyDescent="0.2"/>
    <row r="71" ht="16.7" customHeight="1" x14ac:dyDescent="0.2"/>
    <row r="72" ht="16.7" customHeight="1" x14ac:dyDescent="0.2"/>
    <row r="73" ht="16.7" customHeight="1" x14ac:dyDescent="0.2"/>
    <row r="74" ht="16.7" customHeight="1" x14ac:dyDescent="0.2"/>
    <row r="75" ht="16.7" customHeight="1" x14ac:dyDescent="0.2"/>
    <row r="76" ht="16.7" customHeight="1" x14ac:dyDescent="0.2"/>
    <row r="77" ht="16.7" customHeight="1" x14ac:dyDescent="0.2"/>
    <row r="78" ht="16.7" customHeight="1" x14ac:dyDescent="0.2"/>
    <row r="79" ht="16.7" customHeight="1" x14ac:dyDescent="0.2"/>
    <row r="80" ht="16.7" customHeight="1" x14ac:dyDescent="0.2"/>
    <row r="81" ht="16.7" customHeight="1" x14ac:dyDescent="0.2"/>
    <row r="82" ht="16.7" customHeight="1" x14ac:dyDescent="0.2"/>
    <row r="83" ht="16.7" customHeight="1" x14ac:dyDescent="0.2"/>
    <row r="84" ht="16.7" customHeight="1" x14ac:dyDescent="0.2"/>
    <row r="85" ht="16.7" customHeight="1" x14ac:dyDescent="0.2"/>
    <row r="86" ht="16.7" customHeight="1" x14ac:dyDescent="0.2"/>
    <row r="87" ht="16.7" customHeight="1" x14ac:dyDescent="0.2"/>
    <row r="88" ht="16.7" customHeight="1" x14ac:dyDescent="0.2"/>
    <row r="89" ht="16.7" customHeight="1" x14ac:dyDescent="0.2"/>
    <row r="90" ht="16.7" customHeight="1" x14ac:dyDescent="0.2"/>
    <row r="91" ht="16.7" customHeight="1" x14ac:dyDescent="0.2"/>
    <row r="92" ht="16.7" customHeight="1" x14ac:dyDescent="0.2"/>
    <row r="93" ht="16.7" customHeight="1" x14ac:dyDescent="0.2"/>
    <row r="94" ht="16.7" customHeight="1" x14ac:dyDescent="0.2"/>
    <row r="95" ht="16.7" customHeight="1" x14ac:dyDescent="0.2"/>
    <row r="96" ht="16.7" customHeight="1" x14ac:dyDescent="0.2"/>
    <row r="97" ht="16.7" customHeight="1" x14ac:dyDescent="0.2"/>
    <row r="98" ht="16.7" customHeight="1" x14ac:dyDescent="0.2"/>
    <row r="99" ht="16.7" customHeight="1" x14ac:dyDescent="0.2"/>
    <row r="100" ht="16.7" customHeight="1" x14ac:dyDescent="0.2"/>
    <row r="101" ht="16.7" customHeight="1" x14ac:dyDescent="0.2"/>
    <row r="102" ht="16.7" customHeight="1" x14ac:dyDescent="0.2"/>
    <row r="103" ht="16.7" customHeight="1" x14ac:dyDescent="0.2"/>
    <row r="104" ht="16.7" customHeight="1" x14ac:dyDescent="0.2"/>
    <row r="105" ht="16.7" customHeight="1" x14ac:dyDescent="0.2"/>
    <row r="106" ht="16.7" customHeight="1" x14ac:dyDescent="0.2"/>
    <row r="107" ht="15" customHeight="1" x14ac:dyDescent="0.2"/>
    <row r="108" ht="15" customHeight="1" x14ac:dyDescent="0.2"/>
  </sheetData>
  <mergeCells count="2">
    <mergeCell ref="A3:C3"/>
    <mergeCell ref="A4:C4"/>
  </mergeCells>
  <pageMargins left="0.75" right="0.75" top="1" bottom="1" header="0.5" footer="0.5"/>
  <customProperties>
    <customPr name="_pios_id" r:id="rId1"/>
  </customProperties>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DD22AD-45AC-4B42-A914-A5B943435BFF}">
  <sheetPr codeName="Sheet81"/>
  <dimension ref="A1:H53"/>
  <sheetViews>
    <sheetView showRuler="0" workbookViewId="0">
      <selection activeCell="C1" sqref="C1"/>
    </sheetView>
  </sheetViews>
  <sheetFormatPr defaultColWidth="11.5" defaultRowHeight="12.75" x14ac:dyDescent="0.2"/>
  <cols>
    <col min="1" max="1" width="5.75" style="1953" customWidth="1"/>
    <col min="2" max="2" width="31.125" style="1953" customWidth="1"/>
    <col min="3" max="4" width="16" style="1953" customWidth="1"/>
    <col min="5" max="5" width="19" style="1953" customWidth="1"/>
    <col min="6" max="7" width="16" style="1953" customWidth="1"/>
    <col min="8" max="26" width="17.625" style="1953" customWidth="1"/>
    <col min="27" max="16384" width="11.5" style="1953"/>
  </cols>
  <sheetData>
    <row r="1" spans="1:8" ht="15" customHeight="1" x14ac:dyDescent="0.2">
      <c r="B1" s="2478" t="s">
        <v>5937</v>
      </c>
      <c r="C1" s="2479"/>
    </row>
    <row r="2" spans="1:8" ht="15" customHeight="1" x14ac:dyDescent="0.2">
      <c r="B2" s="2483"/>
    </row>
    <row r="3" spans="1:8" ht="15" customHeight="1" x14ac:dyDescent="0.2">
      <c r="A3" s="4044" t="s">
        <v>9951</v>
      </c>
      <c r="B3" s="4045"/>
      <c r="C3" s="4045"/>
      <c r="D3" s="4045"/>
      <c r="E3" s="4045"/>
      <c r="F3" s="4045"/>
      <c r="G3" s="4046"/>
      <c r="H3" s="2479"/>
    </row>
    <row r="4" spans="1:8" ht="27.6" customHeight="1" x14ac:dyDescent="0.2">
      <c r="A4" s="3964" t="s">
        <v>9952</v>
      </c>
      <c r="B4" s="3883"/>
      <c r="C4" s="3883"/>
      <c r="D4" s="3883"/>
      <c r="E4" s="3883"/>
      <c r="F4" s="3883"/>
      <c r="G4" s="3884"/>
      <c r="H4" s="2479"/>
    </row>
    <row r="5" spans="1:8" ht="165.75" customHeight="1" x14ac:dyDescent="0.2">
      <c r="A5" s="3878" t="s">
        <v>9953</v>
      </c>
      <c r="B5" s="3879"/>
      <c r="C5" s="3879"/>
      <c r="D5" s="3879"/>
      <c r="E5" s="3879"/>
      <c r="F5" s="3879"/>
      <c r="G5" s="3880"/>
      <c r="H5" s="2479"/>
    </row>
    <row r="6" spans="1:8" ht="16.7" customHeight="1" x14ac:dyDescent="0.2">
      <c r="A6" s="3882" t="s">
        <v>9954</v>
      </c>
      <c r="B6" s="3891"/>
      <c r="C6" s="3891"/>
      <c r="D6" s="3891"/>
      <c r="E6" s="3891"/>
      <c r="F6" s="3891"/>
      <c r="G6" s="3892"/>
      <c r="H6" s="2479"/>
    </row>
    <row r="7" spans="1:8" ht="42.6" customHeight="1" x14ac:dyDescent="0.2">
      <c r="A7" s="4072" t="s">
        <v>6360</v>
      </c>
      <c r="B7" s="2581" t="s">
        <v>9955</v>
      </c>
      <c r="C7" s="2581" t="s">
        <v>9956</v>
      </c>
      <c r="D7" s="2581" t="s">
        <v>9957</v>
      </c>
      <c r="E7" s="2581" t="s">
        <v>9958</v>
      </c>
      <c r="F7" s="2581" t="s">
        <v>9959</v>
      </c>
      <c r="G7" s="2581" t="s">
        <v>104</v>
      </c>
      <c r="H7" s="2479"/>
    </row>
    <row r="8" spans="1:8" ht="16.7" customHeight="1" x14ac:dyDescent="0.2">
      <c r="A8" s="3899"/>
      <c r="B8" s="2589" t="s">
        <v>5949</v>
      </c>
      <c r="C8" s="2589" t="s">
        <v>5950</v>
      </c>
      <c r="D8" s="2589" t="s">
        <v>5951</v>
      </c>
      <c r="E8" s="2589" t="s">
        <v>5952</v>
      </c>
      <c r="F8" s="2589" t="s">
        <v>6227</v>
      </c>
      <c r="G8" s="2589" t="s">
        <v>5804</v>
      </c>
      <c r="H8" s="2479"/>
    </row>
    <row r="9" spans="1:8" ht="16.7" customHeight="1" x14ac:dyDescent="0.2">
      <c r="A9" s="2998">
        <v>1</v>
      </c>
      <c r="B9" s="2631" t="s">
        <v>9960</v>
      </c>
      <c r="C9" s="2693"/>
      <c r="D9" s="2693"/>
      <c r="E9" s="2766">
        <v>61586054</v>
      </c>
      <c r="F9" s="2693"/>
      <c r="G9" s="2766">
        <f t="shared" ref="G9:G19" si="0">SUM(C9:F9)</f>
        <v>61586054</v>
      </c>
      <c r="H9" s="2479"/>
    </row>
    <row r="10" spans="1:8" ht="16.7" customHeight="1" x14ac:dyDescent="0.2">
      <c r="A10" s="2998">
        <v>2</v>
      </c>
      <c r="B10" s="2631" t="s">
        <v>88</v>
      </c>
      <c r="C10" s="2766">
        <v>370620694</v>
      </c>
      <c r="D10" s="2693"/>
      <c r="E10" s="2693"/>
      <c r="F10" s="2854"/>
      <c r="G10" s="2766">
        <f t="shared" si="0"/>
        <v>370620694</v>
      </c>
      <c r="H10" s="2479"/>
    </row>
    <row r="11" spans="1:8" ht="16.7" customHeight="1" x14ac:dyDescent="0.2">
      <c r="A11" s="2998">
        <v>3</v>
      </c>
      <c r="B11" s="2631" t="s">
        <v>89</v>
      </c>
      <c r="C11" s="2693"/>
      <c r="D11" s="2693"/>
      <c r="E11" s="2693"/>
      <c r="F11" s="2693"/>
      <c r="G11" s="2766">
        <f t="shared" si="0"/>
        <v>0</v>
      </c>
      <c r="H11" s="2479"/>
    </row>
    <row r="12" spans="1:8" ht="27.6" customHeight="1" x14ac:dyDescent="0.2">
      <c r="A12" s="2998">
        <v>4</v>
      </c>
      <c r="B12" s="2631" t="s">
        <v>9961</v>
      </c>
      <c r="C12" s="2766">
        <v>31053848</v>
      </c>
      <c r="D12" s="2693"/>
      <c r="E12" s="2766">
        <v>313878</v>
      </c>
      <c r="F12" s="2693"/>
      <c r="G12" s="2766">
        <f t="shared" si="0"/>
        <v>31367726</v>
      </c>
      <c r="H12" s="2479"/>
    </row>
    <row r="13" spans="1:8" ht="27.6" customHeight="1" x14ac:dyDescent="0.2">
      <c r="A13" s="2998">
        <v>5</v>
      </c>
      <c r="B13" s="2631" t="s">
        <v>9962</v>
      </c>
      <c r="C13" s="2693"/>
      <c r="D13" s="2693"/>
      <c r="E13" s="2693"/>
      <c r="F13" s="2693"/>
      <c r="G13" s="2766">
        <f t="shared" si="0"/>
        <v>0</v>
      </c>
      <c r="H13" s="2479"/>
    </row>
    <row r="14" spans="1:8" ht="16.7" customHeight="1" x14ac:dyDescent="0.2">
      <c r="A14" s="2998">
        <v>6</v>
      </c>
      <c r="B14" s="2631" t="s">
        <v>137</v>
      </c>
      <c r="C14" s="2766">
        <v>213540550</v>
      </c>
      <c r="D14" s="2693"/>
      <c r="E14" s="2766">
        <v>75825</v>
      </c>
      <c r="F14" s="2693"/>
      <c r="G14" s="2766">
        <f t="shared" si="0"/>
        <v>213616375</v>
      </c>
      <c r="H14" s="2479"/>
    </row>
    <row r="15" spans="1:8" ht="16.7" customHeight="1" x14ac:dyDescent="0.2">
      <c r="A15" s="2998">
        <v>7</v>
      </c>
      <c r="B15" s="2631" t="s">
        <v>143</v>
      </c>
      <c r="C15" s="2766">
        <v>139702687</v>
      </c>
      <c r="D15" s="2693"/>
      <c r="E15" s="2693"/>
      <c r="F15" s="2693"/>
      <c r="G15" s="2766">
        <f t="shared" si="0"/>
        <v>139702687</v>
      </c>
      <c r="H15" s="2479"/>
    </row>
    <row r="16" spans="1:8" ht="16.7" customHeight="1" x14ac:dyDescent="0.2">
      <c r="A16" s="2998">
        <v>8</v>
      </c>
      <c r="B16" s="2631" t="s">
        <v>470</v>
      </c>
      <c r="C16" s="2766">
        <v>216914160</v>
      </c>
      <c r="D16" s="2693"/>
      <c r="E16" s="2693"/>
      <c r="F16" s="2693"/>
      <c r="G16" s="2766">
        <f t="shared" si="0"/>
        <v>216914160</v>
      </c>
      <c r="H16" s="2479"/>
    </row>
    <row r="17" spans="1:8" ht="27.6" customHeight="1" x14ac:dyDescent="0.2">
      <c r="A17" s="2998">
        <v>9</v>
      </c>
      <c r="B17" s="2631" t="s">
        <v>6966</v>
      </c>
      <c r="C17" s="2693"/>
      <c r="D17" s="2693"/>
      <c r="E17" s="2693"/>
      <c r="F17" s="2693"/>
      <c r="G17" s="2766">
        <f t="shared" si="0"/>
        <v>0</v>
      </c>
      <c r="H17" s="2479"/>
    </row>
    <row r="18" spans="1:8" ht="16.7" customHeight="1" x14ac:dyDescent="0.2">
      <c r="A18" s="2998">
        <v>10</v>
      </c>
      <c r="B18" s="2631" t="s">
        <v>92</v>
      </c>
      <c r="C18" s="2766">
        <v>51650631</v>
      </c>
      <c r="D18" s="2693"/>
      <c r="E18" s="2766">
        <v>674030</v>
      </c>
      <c r="F18" s="2693"/>
      <c r="G18" s="2766">
        <f t="shared" si="0"/>
        <v>52324661</v>
      </c>
      <c r="H18" s="2479"/>
    </row>
    <row r="19" spans="1:8" ht="16.7" customHeight="1" x14ac:dyDescent="0.2">
      <c r="A19" s="2998">
        <v>11</v>
      </c>
      <c r="B19" s="2631" t="s">
        <v>432</v>
      </c>
      <c r="C19" s="2693"/>
      <c r="D19" s="2693"/>
      <c r="E19" s="2693"/>
      <c r="F19" s="2693"/>
      <c r="G19" s="2766">
        <f t="shared" si="0"/>
        <v>0</v>
      </c>
      <c r="H19" s="2479"/>
    </row>
    <row r="20" spans="1:8" ht="32.450000000000003" customHeight="1" x14ac:dyDescent="0.2">
      <c r="A20" s="2998">
        <v>12</v>
      </c>
      <c r="B20" s="2631" t="s">
        <v>104</v>
      </c>
      <c r="C20" s="2599">
        <f>SUM(C9:C19)</f>
        <v>1023482570</v>
      </c>
      <c r="D20" s="2999">
        <f>SUM(D9:D19)</f>
        <v>0</v>
      </c>
      <c r="E20" s="2694">
        <f>SUM(E9:E19)</f>
        <v>62649787</v>
      </c>
      <c r="F20" s="2694">
        <f>SUM(F9:F19)</f>
        <v>0</v>
      </c>
      <c r="G20" s="2694">
        <f>SUM(G9:G19)</f>
        <v>1086132357</v>
      </c>
      <c r="H20" s="2479"/>
    </row>
    <row r="21" spans="1:8" ht="16.7" customHeight="1" x14ac:dyDescent="0.2">
      <c r="A21" s="3875" t="s">
        <v>9963</v>
      </c>
      <c r="B21" s="4073"/>
      <c r="C21" s="4073"/>
      <c r="D21" s="4073"/>
      <c r="E21" s="4073"/>
      <c r="F21" s="4073"/>
      <c r="G21" s="4074"/>
      <c r="H21" s="2479"/>
    </row>
    <row r="22" spans="1:8" ht="16.7" customHeight="1" x14ac:dyDescent="0.2">
      <c r="A22" s="2716" t="s">
        <v>5980</v>
      </c>
      <c r="B22" s="3903" t="s">
        <v>9964</v>
      </c>
      <c r="C22" s="3903"/>
      <c r="D22" s="3903"/>
      <c r="E22" s="3903"/>
      <c r="F22" s="3903"/>
      <c r="G22" s="3903"/>
      <c r="H22" s="2479"/>
    </row>
    <row r="23" spans="1:8" ht="16.7" customHeight="1" x14ac:dyDescent="0.2">
      <c r="A23" s="2516"/>
      <c r="B23" s="2516"/>
      <c r="C23" s="2516"/>
      <c r="D23" s="2516"/>
      <c r="E23" s="2516"/>
      <c r="F23" s="2516"/>
      <c r="G23" s="2516"/>
    </row>
    <row r="24" spans="1:8" ht="16.7" customHeight="1" x14ac:dyDescent="0.2"/>
    <row r="25" spans="1:8" ht="16.7" customHeight="1" x14ac:dyDescent="0.2"/>
    <row r="26" spans="1:8" ht="16.7" customHeight="1" x14ac:dyDescent="0.2"/>
    <row r="27" spans="1:8" ht="16.7" customHeight="1" x14ac:dyDescent="0.2"/>
    <row r="28" spans="1:8" ht="16.7" customHeight="1" x14ac:dyDescent="0.2"/>
    <row r="29" spans="1:8" ht="16.7" customHeight="1" x14ac:dyDescent="0.2"/>
    <row r="30" spans="1:8" ht="16.7" customHeight="1" x14ac:dyDescent="0.2"/>
    <row r="31" spans="1:8" ht="16.7" customHeight="1" x14ac:dyDescent="0.2"/>
    <row r="32" spans="1:8" ht="16.7" customHeight="1" x14ac:dyDescent="0.2"/>
    <row r="33" ht="16.7" customHeight="1" x14ac:dyDescent="0.2"/>
    <row r="34" ht="16.7" customHeight="1" x14ac:dyDescent="0.2"/>
    <row r="35" ht="16.7" customHeight="1" x14ac:dyDescent="0.2"/>
    <row r="36" ht="16.7" customHeight="1" x14ac:dyDescent="0.2"/>
    <row r="37" ht="16.7" customHeight="1" x14ac:dyDescent="0.2"/>
    <row r="38" ht="16.7" customHeight="1" x14ac:dyDescent="0.2"/>
    <row r="39" ht="16.7" customHeight="1" x14ac:dyDescent="0.2"/>
    <row r="40" ht="16.7" customHeight="1" x14ac:dyDescent="0.2"/>
    <row r="41" ht="16.7" customHeight="1" x14ac:dyDescent="0.2"/>
    <row r="42" ht="16.7" customHeight="1" x14ac:dyDescent="0.2"/>
    <row r="43" ht="16.7" customHeight="1" x14ac:dyDescent="0.2"/>
    <row r="44" ht="15" customHeight="1" x14ac:dyDescent="0.2"/>
    <row r="45" ht="15" customHeight="1" x14ac:dyDescent="0.2"/>
    <row r="46" ht="15" customHeight="1" x14ac:dyDescent="0.2"/>
    <row r="47" ht="15" customHeight="1" x14ac:dyDescent="0.2"/>
    <row r="48" ht="15" customHeight="1" x14ac:dyDescent="0.2"/>
    <row r="49" ht="15" customHeight="1" x14ac:dyDescent="0.2"/>
    <row r="50" ht="15" customHeight="1" x14ac:dyDescent="0.2"/>
    <row r="51" ht="15" customHeight="1" x14ac:dyDescent="0.2"/>
    <row r="52" ht="15" customHeight="1" x14ac:dyDescent="0.2"/>
    <row r="53" ht="15" customHeight="1" x14ac:dyDescent="0.2"/>
  </sheetData>
  <mergeCells count="7">
    <mergeCell ref="B22:G22"/>
    <mergeCell ref="A3:G3"/>
    <mergeCell ref="A4:G4"/>
    <mergeCell ref="A5:G5"/>
    <mergeCell ref="A6:G6"/>
    <mergeCell ref="A7:A8"/>
    <mergeCell ref="A21:G21"/>
  </mergeCells>
  <pageMargins left="0.75" right="0.75" top="1" bottom="1" header="0.5" footer="0.5"/>
  <customProperties>
    <customPr name="_pios_id" r:id="rId1"/>
  </customProperties>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21FF79-0162-484C-AEFD-08A3BDD028E0}">
  <sheetPr codeName="Sheet82"/>
  <dimension ref="A1:J712"/>
  <sheetViews>
    <sheetView workbookViewId="0">
      <pane ySplit="7" topLeftCell="A8" activePane="bottomLeft" state="frozen"/>
      <selection pane="bottomLeft"/>
    </sheetView>
  </sheetViews>
  <sheetFormatPr defaultColWidth="11.5" defaultRowHeight="12.75" x14ac:dyDescent="0.2"/>
  <cols>
    <col min="1" max="1" width="5.75" style="1953" customWidth="1"/>
    <col min="2" max="2" width="57.25" style="1953" customWidth="1"/>
    <col min="3" max="3" width="16" style="1953" customWidth="1"/>
    <col min="4" max="5" width="14.625" style="1953" customWidth="1"/>
    <col min="6" max="6" width="14.125" style="1953" customWidth="1"/>
    <col min="7" max="7" width="13.25" style="1953" customWidth="1"/>
    <col min="8" max="8" width="15.125" style="1953" customWidth="1"/>
    <col min="9" max="9" width="57.25" style="1953" customWidth="1"/>
    <col min="10" max="26" width="17.625" style="1953" customWidth="1"/>
    <col min="27" max="16384" width="11.5" style="1953"/>
  </cols>
  <sheetData>
    <row r="1" spans="1:10" ht="15" customHeight="1" x14ac:dyDescent="0.2">
      <c r="B1" s="2845" t="s">
        <v>5937</v>
      </c>
    </row>
    <row r="2" spans="1:10" ht="15" customHeight="1" x14ac:dyDescent="0.2">
      <c r="A2" s="4044" t="s">
        <v>9965</v>
      </c>
      <c r="B2" s="4045"/>
      <c r="C2" s="4045"/>
      <c r="D2" s="4045"/>
      <c r="E2" s="4045"/>
      <c r="F2" s="4045"/>
      <c r="G2" s="4045"/>
      <c r="H2" s="4046"/>
      <c r="I2" s="2479"/>
    </row>
    <row r="3" spans="1:10" ht="27.6" customHeight="1" x14ac:dyDescent="0.2">
      <c r="A3" s="4004" t="s">
        <v>9952</v>
      </c>
      <c r="B3" s="4004"/>
      <c r="C3" s="4004"/>
      <c r="D3" s="4004"/>
      <c r="E3" s="4004"/>
      <c r="F3" s="4004"/>
      <c r="G3" s="4004"/>
      <c r="H3" s="4004"/>
      <c r="I3" s="2479"/>
    </row>
    <row r="4" spans="1:10" ht="147.6" customHeight="1" x14ac:dyDescent="0.2">
      <c r="A4" s="4075" t="s">
        <v>9966</v>
      </c>
      <c r="B4" s="4075"/>
      <c r="C4" s="4075"/>
      <c r="D4" s="4075"/>
      <c r="E4" s="4075"/>
      <c r="F4" s="4075"/>
      <c r="G4" s="4075"/>
      <c r="H4" s="4075"/>
      <c r="I4" s="2479"/>
    </row>
    <row r="5" spans="1:10" ht="16.7" customHeight="1" x14ac:dyDescent="0.2">
      <c r="A5" s="3900" t="s">
        <v>9967</v>
      </c>
      <c r="B5" s="3901"/>
      <c r="C5" s="3901"/>
      <c r="D5" s="3901"/>
      <c r="E5" s="3901"/>
      <c r="F5" s="3901"/>
      <c r="G5" s="3901"/>
      <c r="H5" s="3902"/>
      <c r="I5" s="2479"/>
    </row>
    <row r="6" spans="1:10" ht="39.200000000000003" customHeight="1" x14ac:dyDescent="0.2">
      <c r="A6" s="4076" t="s">
        <v>6360</v>
      </c>
      <c r="B6" s="2856" t="s">
        <v>8232</v>
      </c>
      <c r="C6" s="2632" t="s">
        <v>9968</v>
      </c>
      <c r="D6" s="2632" t="s">
        <v>9969</v>
      </c>
      <c r="E6" s="2632" t="s">
        <v>9970</v>
      </c>
      <c r="F6" s="2632" t="s">
        <v>9971</v>
      </c>
      <c r="G6" s="2632" t="s">
        <v>9972</v>
      </c>
      <c r="H6" s="2632" t="s">
        <v>9973</v>
      </c>
      <c r="I6" s="2479"/>
    </row>
    <row r="7" spans="1:10" ht="16.7" customHeight="1" x14ac:dyDescent="0.2">
      <c r="A7" s="4077"/>
      <c r="B7" s="2633" t="s">
        <v>5949</v>
      </c>
      <c r="C7" s="2633" t="s">
        <v>5950</v>
      </c>
      <c r="D7" s="2633" t="s">
        <v>5951</v>
      </c>
      <c r="E7" s="2633" t="s">
        <v>5952</v>
      </c>
      <c r="F7" s="2633" t="s">
        <v>6227</v>
      </c>
      <c r="G7" s="2633" t="s">
        <v>5804</v>
      </c>
      <c r="H7" s="2633" t="s">
        <v>6228</v>
      </c>
      <c r="I7" s="2479" t="s">
        <v>6324</v>
      </c>
    </row>
    <row r="8" spans="1:10" ht="16.7" customHeight="1" x14ac:dyDescent="0.2">
      <c r="A8" s="2752">
        <v>12</v>
      </c>
      <c r="B8" s="2512" t="s">
        <v>9974</v>
      </c>
      <c r="C8" s="2530">
        <v>4048</v>
      </c>
      <c r="D8" s="2614"/>
      <c r="E8" s="2614"/>
      <c r="F8" s="3000">
        <v>3.3500000000000002E-2</v>
      </c>
      <c r="G8" s="2614"/>
      <c r="H8" s="2614"/>
      <c r="I8" s="2479" t="str">
        <f t="shared" ref="I8:I71" si="0">B8</f>
        <v>OTHER PRODUCTION PLANT: FOOTE CREEK III-IV / Common - WIND: 340.20</v>
      </c>
    </row>
    <row r="9" spans="1:10" ht="16.7" customHeight="1" x14ac:dyDescent="0.2">
      <c r="A9" s="2752">
        <f t="shared" ref="A9:A45" si="1">A8+1</f>
        <v>13</v>
      </c>
      <c r="B9" s="2512" t="s">
        <v>9975</v>
      </c>
      <c r="C9" s="2530">
        <v>2148</v>
      </c>
      <c r="D9" s="2614"/>
      <c r="E9" s="2614"/>
      <c r="F9" s="3000">
        <v>3.3500000000000002E-2</v>
      </c>
      <c r="G9" s="2720"/>
      <c r="H9" s="2720"/>
      <c r="I9" s="2479" t="str">
        <f t="shared" si="0"/>
        <v>OTHER PRODUCTION PLANT: FOOTE CREEK III-IV / Common - WIND: 341.00</v>
      </c>
      <c r="J9" s="3001" t="s">
        <v>9976</v>
      </c>
    </row>
    <row r="10" spans="1:10" ht="16.7" customHeight="1" x14ac:dyDescent="0.2">
      <c r="A10" s="2752">
        <f t="shared" si="1"/>
        <v>14</v>
      </c>
      <c r="B10" s="2512" t="s">
        <v>9977</v>
      </c>
      <c r="C10" s="2530">
        <v>62122</v>
      </c>
      <c r="D10" s="2614"/>
      <c r="E10" s="2614"/>
      <c r="F10" s="3000">
        <v>3.3500000000000002E-2</v>
      </c>
      <c r="G10" s="2720"/>
      <c r="H10" s="2720"/>
      <c r="I10" s="2479" t="str">
        <f t="shared" si="0"/>
        <v>OTHER PRODUCTION PLANT: FOOTE CREEK III-IV / Common - WIND: 343.00</v>
      </c>
    </row>
    <row r="11" spans="1:10" ht="16.7" customHeight="1" x14ac:dyDescent="0.2">
      <c r="A11" s="2752">
        <f t="shared" si="1"/>
        <v>15</v>
      </c>
      <c r="B11" s="2512" t="s">
        <v>9978</v>
      </c>
      <c r="C11" s="2530">
        <v>3695</v>
      </c>
      <c r="D11" s="2614"/>
      <c r="E11" s="2614"/>
      <c r="F11" s="3000">
        <v>3.3500000000000002E-2</v>
      </c>
      <c r="G11" s="2720"/>
      <c r="H11" s="2720"/>
      <c r="I11" s="2479" t="str">
        <f t="shared" si="0"/>
        <v>OTHER PRODUCTION PLANT: FOOTE CREEK III-IV / Common - WIND: 344.00</v>
      </c>
    </row>
    <row r="12" spans="1:10" ht="16.7" customHeight="1" x14ac:dyDescent="0.2">
      <c r="A12" s="2752">
        <f t="shared" si="1"/>
        <v>16</v>
      </c>
      <c r="B12" s="2512" t="s">
        <v>9979</v>
      </c>
      <c r="C12" s="2530">
        <v>3037</v>
      </c>
      <c r="D12" s="2614"/>
      <c r="E12" s="2614"/>
      <c r="F12" s="3000">
        <v>3.3500000000000002E-2</v>
      </c>
      <c r="G12" s="2720"/>
      <c r="H12" s="2720"/>
      <c r="I12" s="2479" t="str">
        <f t="shared" si="0"/>
        <v>OTHER PRODUCTION PLANT: FOOTE CREEK III-IV / Common - WIND: 345.00</v>
      </c>
    </row>
    <row r="13" spans="1:10" ht="16.7" customHeight="1" x14ac:dyDescent="0.2">
      <c r="A13" s="2752">
        <f t="shared" si="1"/>
        <v>17</v>
      </c>
      <c r="B13" s="2512" t="s">
        <v>9980</v>
      </c>
      <c r="C13" s="2530">
        <v>1022</v>
      </c>
      <c r="D13" s="2614"/>
      <c r="E13" s="2614"/>
      <c r="F13" s="3000">
        <v>3.3500000000000002E-2</v>
      </c>
      <c r="G13" s="2720"/>
      <c r="H13" s="2720"/>
      <c r="I13" s="2479" t="str">
        <f t="shared" si="0"/>
        <v>OTHER PRODUCTION PLANT: FOOTE CREEK III-IV / Common - WIND: 346.00</v>
      </c>
    </row>
    <row r="14" spans="1:10" ht="16.7" customHeight="1" x14ac:dyDescent="0.2">
      <c r="A14" s="2752">
        <f t="shared" si="1"/>
        <v>18</v>
      </c>
      <c r="B14" s="2512"/>
      <c r="C14" s="2614"/>
      <c r="D14" s="2614"/>
      <c r="E14" s="2614"/>
      <c r="F14" s="2614"/>
      <c r="G14" s="2720"/>
      <c r="H14" s="2720"/>
      <c r="I14" s="2595">
        <f t="shared" si="0"/>
        <v>0</v>
      </c>
    </row>
    <row r="15" spans="1:10" ht="16.7" customHeight="1" x14ac:dyDescent="0.2">
      <c r="A15" s="2752">
        <f t="shared" si="1"/>
        <v>19</v>
      </c>
      <c r="B15" s="2512"/>
      <c r="C15" s="2614"/>
      <c r="D15" s="2614"/>
      <c r="E15" s="2614"/>
      <c r="F15" s="2614"/>
      <c r="G15" s="2720"/>
      <c r="H15" s="2720"/>
      <c r="I15" s="2595">
        <f t="shared" si="0"/>
        <v>0</v>
      </c>
    </row>
    <row r="16" spans="1:10" ht="16.7" customHeight="1" x14ac:dyDescent="0.2">
      <c r="A16" s="2752">
        <f t="shared" si="1"/>
        <v>20</v>
      </c>
      <c r="B16" s="2512" t="s">
        <v>9981</v>
      </c>
      <c r="C16" s="2530">
        <v>1204</v>
      </c>
      <c r="D16" s="2614" t="s">
        <v>9982</v>
      </c>
      <c r="E16" s="3002">
        <v>0</v>
      </c>
      <c r="F16" s="3000">
        <v>1.2500000000000001E-2</v>
      </c>
      <c r="G16" s="2614" t="s">
        <v>9983</v>
      </c>
      <c r="H16" s="2488" t="s">
        <v>9984</v>
      </c>
      <c r="I16" s="2479" t="str">
        <f t="shared" si="0"/>
        <v>DISTRIBUTION PLANT: CALIFORNIA - DISTRIBUTION: 360.20</v>
      </c>
    </row>
    <row r="17" spans="1:9" ht="16.7" customHeight="1" x14ac:dyDescent="0.2">
      <c r="A17" s="2752">
        <f t="shared" si="1"/>
        <v>21</v>
      </c>
      <c r="B17" s="2512" t="s">
        <v>9985</v>
      </c>
      <c r="C17" s="2530">
        <v>8816</v>
      </c>
      <c r="D17" s="2614" t="s">
        <v>9986</v>
      </c>
      <c r="E17" s="3002">
        <v>-0.1</v>
      </c>
      <c r="F17" s="3000">
        <v>1.9400000000000001E-2</v>
      </c>
      <c r="G17" s="2614" t="s">
        <v>9987</v>
      </c>
      <c r="H17" s="2488" t="s">
        <v>9988</v>
      </c>
      <c r="I17" s="2479" t="str">
        <f t="shared" si="0"/>
        <v>DISTRIBUTION PLANT: CALIFORNIA - DISTRIBUTION: 361.00</v>
      </c>
    </row>
    <row r="18" spans="1:9" ht="16.7" customHeight="1" x14ac:dyDescent="0.2">
      <c r="A18" s="2752">
        <f t="shared" si="1"/>
        <v>22</v>
      </c>
      <c r="B18" s="2512" t="s">
        <v>9989</v>
      </c>
      <c r="C18" s="2530">
        <v>46267</v>
      </c>
      <c r="D18" s="2614" t="s">
        <v>9990</v>
      </c>
      <c r="E18" s="3002">
        <v>-0.25</v>
      </c>
      <c r="F18" s="3000">
        <v>2.41E-2</v>
      </c>
      <c r="G18" s="2614" t="s">
        <v>9991</v>
      </c>
      <c r="H18" s="2488" t="s">
        <v>9992</v>
      </c>
      <c r="I18" s="2479" t="str">
        <f t="shared" si="0"/>
        <v>DISTRIBUTION PLANT: CALIFORNIA - DISTRIBUTION: 362.00</v>
      </c>
    </row>
    <row r="19" spans="1:9" ht="16.7" customHeight="1" x14ac:dyDescent="0.2">
      <c r="A19" s="2752">
        <f t="shared" si="1"/>
        <v>23</v>
      </c>
      <c r="B19" s="2512" t="s">
        <v>9993</v>
      </c>
      <c r="C19" s="2530">
        <v>122291</v>
      </c>
      <c r="D19" s="2614" t="s">
        <v>9986</v>
      </c>
      <c r="E19" s="3002">
        <v>-1</v>
      </c>
      <c r="F19" s="3000">
        <v>3.49E-2</v>
      </c>
      <c r="G19" s="2614" t="s">
        <v>9994</v>
      </c>
      <c r="H19" s="2488" t="s">
        <v>9995</v>
      </c>
      <c r="I19" s="2479" t="str">
        <f t="shared" si="0"/>
        <v>DISTRIBUTION PLANT: CALIFORNIA - DISTRIBUTION: 364.00</v>
      </c>
    </row>
    <row r="20" spans="1:9" ht="16.7" customHeight="1" x14ac:dyDescent="0.2">
      <c r="A20" s="2752">
        <f t="shared" si="1"/>
        <v>24</v>
      </c>
      <c r="B20" s="2512" t="s">
        <v>9996</v>
      </c>
      <c r="C20" s="2530">
        <v>88636</v>
      </c>
      <c r="D20" s="2614" t="s">
        <v>9982</v>
      </c>
      <c r="E20" s="3002">
        <v>-0.6</v>
      </c>
      <c r="F20" s="3000">
        <v>2.3400000000000001E-2</v>
      </c>
      <c r="G20" s="2614" t="s">
        <v>9991</v>
      </c>
      <c r="H20" s="2488" t="s">
        <v>9997</v>
      </c>
      <c r="I20" s="2479" t="str">
        <f t="shared" si="0"/>
        <v>DISTRIBUTION PLANT: CALIFORNIA - DISTRIBUTION: 365.00</v>
      </c>
    </row>
    <row r="21" spans="1:9" ht="16.7" customHeight="1" x14ac:dyDescent="0.2">
      <c r="A21" s="2752">
        <f t="shared" si="1"/>
        <v>25</v>
      </c>
      <c r="B21" s="2512" t="s">
        <v>9998</v>
      </c>
      <c r="C21" s="2530">
        <v>21042</v>
      </c>
      <c r="D21" s="2614" t="s">
        <v>9999</v>
      </c>
      <c r="E21" s="3002">
        <v>-0.45</v>
      </c>
      <c r="F21" s="3000">
        <v>2.2599999999999999E-2</v>
      </c>
      <c r="G21" s="2614" t="s">
        <v>9983</v>
      </c>
      <c r="H21" s="2488" t="s">
        <v>10000</v>
      </c>
      <c r="I21" s="2479" t="str">
        <f t="shared" si="0"/>
        <v>DISTRIBUTION PLANT: CALIFORNIA - DISTRIBUTION: 366.00</v>
      </c>
    </row>
    <row r="22" spans="1:9" ht="16.7" customHeight="1" x14ac:dyDescent="0.2">
      <c r="A22" s="2752">
        <f t="shared" si="1"/>
        <v>26</v>
      </c>
      <c r="B22" s="2512" t="s">
        <v>10001</v>
      </c>
      <c r="C22" s="2530">
        <v>22769</v>
      </c>
      <c r="D22" s="2614" t="s">
        <v>9986</v>
      </c>
      <c r="E22" s="3002">
        <v>-0.4</v>
      </c>
      <c r="F22" s="3000">
        <v>2.3800000000000002E-2</v>
      </c>
      <c r="G22" s="2614" t="s">
        <v>10002</v>
      </c>
      <c r="H22" s="2488" t="s">
        <v>10003</v>
      </c>
      <c r="I22" s="2479" t="str">
        <f t="shared" si="0"/>
        <v>DISTRIBUTION PLANT: CALIFORNIA - DISTRIBUTION: 367.00</v>
      </c>
    </row>
    <row r="23" spans="1:9" ht="16.7" customHeight="1" x14ac:dyDescent="0.2">
      <c r="A23" s="2752">
        <f t="shared" si="1"/>
        <v>27</v>
      </c>
      <c r="B23" s="2512" t="s">
        <v>10004</v>
      </c>
      <c r="C23" s="2530">
        <v>61493</v>
      </c>
      <c r="D23" s="2614" t="s">
        <v>9986</v>
      </c>
      <c r="E23" s="3002">
        <v>-0.4</v>
      </c>
      <c r="F23" s="3000">
        <v>2.4199999999999999E-2</v>
      </c>
      <c r="G23" s="2614" t="s">
        <v>10005</v>
      </c>
      <c r="H23" s="2488" t="s">
        <v>10006</v>
      </c>
      <c r="I23" s="2479" t="str">
        <f t="shared" si="0"/>
        <v>DISTRIBUTION PLANT: CALIFORNIA - DISTRIBUTION: 368.00</v>
      </c>
    </row>
    <row r="24" spans="1:9" ht="16.7" customHeight="1" x14ac:dyDescent="0.2">
      <c r="A24" s="2752">
        <f t="shared" si="1"/>
        <v>28</v>
      </c>
      <c r="B24" s="2512" t="s">
        <v>10007</v>
      </c>
      <c r="C24" s="2530">
        <v>12275</v>
      </c>
      <c r="D24" s="2614" t="s">
        <v>9986</v>
      </c>
      <c r="E24" s="3002">
        <v>-0.5</v>
      </c>
      <c r="F24" s="3000">
        <v>2.6499999999999999E-2</v>
      </c>
      <c r="G24" s="2614" t="s">
        <v>9994</v>
      </c>
      <c r="H24" s="2488" t="s">
        <v>9995</v>
      </c>
      <c r="I24" s="2479" t="str">
        <f t="shared" si="0"/>
        <v>DISTRIBUTION PLANT: CALIFORNIA - DISTRIBUTION: 369.10</v>
      </c>
    </row>
    <row r="25" spans="1:9" ht="16.7" customHeight="1" x14ac:dyDescent="0.2">
      <c r="A25" s="2752">
        <f t="shared" si="1"/>
        <v>29</v>
      </c>
      <c r="B25" s="2512" t="s">
        <v>10008</v>
      </c>
      <c r="C25" s="2530">
        <v>18603</v>
      </c>
      <c r="D25" s="2614" t="s">
        <v>9999</v>
      </c>
      <c r="E25" s="3002">
        <v>-0.5</v>
      </c>
      <c r="F25" s="3000">
        <v>2.4E-2</v>
      </c>
      <c r="G25" s="2614" t="s">
        <v>9983</v>
      </c>
      <c r="H25" s="2488" t="s">
        <v>10009</v>
      </c>
      <c r="I25" s="2479" t="str">
        <f t="shared" si="0"/>
        <v>DISTRIBUTION PLANT: CALIFORNIA - DISTRIBUTION: 369.20</v>
      </c>
    </row>
    <row r="26" spans="1:9" ht="16.7" customHeight="1" x14ac:dyDescent="0.2">
      <c r="A26" s="2752">
        <f t="shared" si="1"/>
        <v>30</v>
      </c>
      <c r="B26" s="2512" t="s">
        <v>10010</v>
      </c>
      <c r="C26" s="2530">
        <v>9396</v>
      </c>
      <c r="D26" s="2614" t="s">
        <v>10011</v>
      </c>
      <c r="E26" s="3002">
        <v>-0.03</v>
      </c>
      <c r="F26" s="3000">
        <v>4.7E-2</v>
      </c>
      <c r="G26" s="2614" t="s">
        <v>10012</v>
      </c>
      <c r="H26" s="2488" t="s">
        <v>10013</v>
      </c>
      <c r="I26" s="2479" t="str">
        <f t="shared" si="0"/>
        <v>DISTRIBUTION PLANT: CALIFORNIA - DISTRIBUTION: 370.00</v>
      </c>
    </row>
    <row r="27" spans="1:9" ht="16.7" customHeight="1" x14ac:dyDescent="0.2">
      <c r="A27" s="2752">
        <f t="shared" si="1"/>
        <v>31</v>
      </c>
      <c r="B27" s="2512" t="s">
        <v>10014</v>
      </c>
      <c r="C27" s="2530">
        <v>287</v>
      </c>
      <c r="D27" s="2614" t="s">
        <v>10015</v>
      </c>
      <c r="E27" s="3002">
        <v>-0.5</v>
      </c>
      <c r="F27" s="3000">
        <v>5.0900000000000001E-2</v>
      </c>
      <c r="G27" s="2614" t="s">
        <v>10016</v>
      </c>
      <c r="H27" s="2488" t="s">
        <v>10017</v>
      </c>
      <c r="I27" s="2479" t="str">
        <f t="shared" si="0"/>
        <v>DISTRIBUTION PLANT: CALIFORNIA - DISTRIBUTION: 371.00</v>
      </c>
    </row>
    <row r="28" spans="1:9" ht="16.7" customHeight="1" x14ac:dyDescent="0.2">
      <c r="A28" s="2752">
        <f t="shared" si="1"/>
        <v>32</v>
      </c>
      <c r="B28" s="2512" t="s">
        <v>10018</v>
      </c>
      <c r="C28" s="2530">
        <v>807</v>
      </c>
      <c r="D28" s="2614" t="s">
        <v>10003</v>
      </c>
      <c r="E28" s="3002">
        <v>-0.45</v>
      </c>
      <c r="F28" s="3000">
        <v>3.9E-2</v>
      </c>
      <c r="G28" s="2614" t="s">
        <v>10019</v>
      </c>
      <c r="H28" s="2488" t="s">
        <v>10020</v>
      </c>
      <c r="I28" s="2479" t="str">
        <f t="shared" si="0"/>
        <v>DISTRIBUTION PLANT: CALIFORNIA - DISTRIBUTION: 373.00</v>
      </c>
    </row>
    <row r="29" spans="1:9" ht="16.7" customHeight="1" x14ac:dyDescent="0.2">
      <c r="A29" s="2752">
        <f t="shared" si="1"/>
        <v>33</v>
      </c>
      <c r="B29" s="2512"/>
      <c r="C29" s="2614"/>
      <c r="D29" s="2614"/>
      <c r="E29" s="2614"/>
      <c r="F29" s="2614"/>
      <c r="G29" s="2720"/>
      <c r="H29" s="2720"/>
      <c r="I29" s="2595">
        <f t="shared" si="0"/>
        <v>0</v>
      </c>
    </row>
    <row r="30" spans="1:9" ht="16.7" customHeight="1" x14ac:dyDescent="0.2">
      <c r="A30" s="2752">
        <f t="shared" si="1"/>
        <v>34</v>
      </c>
      <c r="B30" s="2744" t="s">
        <v>10021</v>
      </c>
      <c r="C30" s="2614"/>
      <c r="D30" s="2614"/>
      <c r="E30" s="2614"/>
      <c r="F30" s="2614"/>
      <c r="G30" s="2720"/>
      <c r="H30" s="2720"/>
      <c r="I30" s="2479" t="str">
        <f t="shared" si="0"/>
        <v>STEAM PRODUCTION PLANT</v>
      </c>
    </row>
    <row r="31" spans="1:9" ht="16.7" customHeight="1" x14ac:dyDescent="0.2">
      <c r="A31" s="2752">
        <f t="shared" si="1"/>
        <v>35</v>
      </c>
      <c r="B31" s="2512"/>
      <c r="C31" s="2614"/>
      <c r="D31" s="2614"/>
      <c r="E31" s="2614"/>
      <c r="F31" s="2614"/>
      <c r="G31" s="2720"/>
      <c r="H31" s="2720"/>
      <c r="I31" s="2595">
        <f t="shared" si="0"/>
        <v>0</v>
      </c>
    </row>
    <row r="32" spans="1:9" ht="16.7" customHeight="1" x14ac:dyDescent="0.2">
      <c r="A32" s="2752">
        <f t="shared" si="1"/>
        <v>36</v>
      </c>
      <c r="B32" s="2744" t="s">
        <v>10022</v>
      </c>
      <c r="C32" s="2614"/>
      <c r="D32" s="2614"/>
      <c r="E32" s="2614"/>
      <c r="F32" s="2614"/>
      <c r="G32" s="2720"/>
      <c r="H32" s="2720"/>
      <c r="I32" s="2479" t="str">
        <f t="shared" si="0"/>
        <v>FERC Sub-Accounts</v>
      </c>
    </row>
    <row r="33" spans="1:9" ht="16.7" customHeight="1" x14ac:dyDescent="0.2">
      <c r="A33" s="2752">
        <f t="shared" si="1"/>
        <v>37</v>
      </c>
      <c r="B33" s="2744" t="s">
        <v>10023</v>
      </c>
      <c r="C33" s="2614"/>
      <c r="D33" s="2614"/>
      <c r="E33" s="2614"/>
      <c r="F33" s="2614"/>
      <c r="G33" s="2720"/>
      <c r="H33" s="2720"/>
      <c r="I33" s="2479" t="str">
        <f t="shared" si="0"/>
        <v>Account 403 - Provisions</v>
      </c>
    </row>
    <row r="34" spans="1:9" ht="16.7" customHeight="1" x14ac:dyDescent="0.2">
      <c r="A34" s="2752">
        <f t="shared" si="1"/>
        <v>38</v>
      </c>
      <c r="B34" s="2720"/>
      <c r="C34" s="2614"/>
      <c r="D34" s="2614"/>
      <c r="E34" s="2614"/>
      <c r="F34" s="2614"/>
      <c r="G34" s="2720"/>
      <c r="H34" s="2720"/>
      <c r="I34" s="2595">
        <f t="shared" si="0"/>
        <v>0</v>
      </c>
    </row>
    <row r="35" spans="1:9" ht="16.7" hidden="1" customHeight="1" x14ac:dyDescent="0.2">
      <c r="A35" s="2752">
        <f t="shared" si="1"/>
        <v>39</v>
      </c>
      <c r="B35" s="2720"/>
      <c r="C35" s="2720"/>
      <c r="D35" s="2720"/>
      <c r="E35" s="2720"/>
      <c r="F35" s="2720"/>
      <c r="G35" s="2720"/>
      <c r="H35" s="2720"/>
      <c r="I35" s="2595">
        <f t="shared" si="0"/>
        <v>0</v>
      </c>
    </row>
    <row r="36" spans="1:9" ht="16.7" hidden="1" customHeight="1" x14ac:dyDescent="0.2">
      <c r="A36" s="2752">
        <f t="shared" si="1"/>
        <v>40</v>
      </c>
      <c r="B36" s="2512"/>
      <c r="C36" s="2614"/>
      <c r="D36" s="2614"/>
      <c r="E36" s="2614"/>
      <c r="F36" s="2614"/>
      <c r="G36" s="2614"/>
      <c r="H36" s="2614"/>
      <c r="I36" s="2595">
        <f t="shared" si="0"/>
        <v>0</v>
      </c>
    </row>
    <row r="37" spans="1:9" ht="16.7" hidden="1" customHeight="1" x14ac:dyDescent="0.2">
      <c r="A37" s="2752">
        <f t="shared" si="1"/>
        <v>41</v>
      </c>
      <c r="B37" s="2512"/>
      <c r="C37" s="2614"/>
      <c r="D37" s="2614"/>
      <c r="E37" s="2614"/>
      <c r="F37" s="2614"/>
      <c r="G37" s="2614"/>
      <c r="H37" s="2614"/>
      <c r="I37" s="2595">
        <f t="shared" si="0"/>
        <v>0</v>
      </c>
    </row>
    <row r="38" spans="1:9" ht="16.7" hidden="1" customHeight="1" x14ac:dyDescent="0.2">
      <c r="A38" s="2752">
        <f t="shared" si="1"/>
        <v>42</v>
      </c>
      <c r="B38" s="2512"/>
      <c r="C38" s="2614"/>
      <c r="D38" s="2614"/>
      <c r="E38" s="2614"/>
      <c r="F38" s="2614"/>
      <c r="G38" s="2614"/>
      <c r="H38" s="2614"/>
      <c r="I38" s="2595">
        <f t="shared" si="0"/>
        <v>0</v>
      </c>
    </row>
    <row r="39" spans="1:9" ht="16.7" hidden="1" customHeight="1" x14ac:dyDescent="0.2">
      <c r="A39" s="2752">
        <f t="shared" si="1"/>
        <v>43</v>
      </c>
      <c r="B39" s="2512"/>
      <c r="C39" s="2614"/>
      <c r="D39" s="2614"/>
      <c r="E39" s="2614"/>
      <c r="F39" s="2614"/>
      <c r="G39" s="2614"/>
      <c r="H39" s="2614"/>
      <c r="I39" s="2595">
        <f t="shared" si="0"/>
        <v>0</v>
      </c>
    </row>
    <row r="40" spans="1:9" ht="16.7" hidden="1" customHeight="1" x14ac:dyDescent="0.2">
      <c r="A40" s="2752">
        <f t="shared" si="1"/>
        <v>44</v>
      </c>
      <c r="B40" s="2512"/>
      <c r="C40" s="2614"/>
      <c r="D40" s="2614"/>
      <c r="E40" s="2614"/>
      <c r="F40" s="2614"/>
      <c r="G40" s="2614"/>
      <c r="H40" s="2614"/>
      <c r="I40" s="2595">
        <f t="shared" si="0"/>
        <v>0</v>
      </c>
    </row>
    <row r="41" spans="1:9" ht="16.7" hidden="1" customHeight="1" x14ac:dyDescent="0.2">
      <c r="A41" s="2752">
        <f t="shared" si="1"/>
        <v>45</v>
      </c>
      <c r="B41" s="2512"/>
      <c r="C41" s="2614"/>
      <c r="D41" s="2614"/>
      <c r="E41" s="2614"/>
      <c r="F41" s="2614"/>
      <c r="G41" s="2614"/>
      <c r="H41" s="2614"/>
      <c r="I41" s="2595">
        <f t="shared" si="0"/>
        <v>0</v>
      </c>
    </row>
    <row r="42" spans="1:9" ht="16.7" hidden="1" customHeight="1" x14ac:dyDescent="0.2">
      <c r="A42" s="2752">
        <f t="shared" si="1"/>
        <v>46</v>
      </c>
      <c r="B42" s="2512"/>
      <c r="C42" s="2614"/>
      <c r="D42" s="2614"/>
      <c r="E42" s="2614"/>
      <c r="F42" s="2614"/>
      <c r="G42" s="2614"/>
      <c r="H42" s="2614"/>
      <c r="I42" s="2595">
        <f t="shared" si="0"/>
        <v>0</v>
      </c>
    </row>
    <row r="43" spans="1:9" ht="16.7" hidden="1" customHeight="1" x14ac:dyDescent="0.2">
      <c r="A43" s="2752">
        <f t="shared" si="1"/>
        <v>47</v>
      </c>
      <c r="B43" s="2512"/>
      <c r="C43" s="2614"/>
      <c r="D43" s="2614"/>
      <c r="E43" s="2614"/>
      <c r="F43" s="2614"/>
      <c r="G43" s="2614"/>
      <c r="H43" s="2614"/>
      <c r="I43" s="2595">
        <f t="shared" si="0"/>
        <v>0</v>
      </c>
    </row>
    <row r="44" spans="1:9" ht="16.7" hidden="1" customHeight="1" x14ac:dyDescent="0.2">
      <c r="A44" s="2752">
        <f t="shared" si="1"/>
        <v>48</v>
      </c>
      <c r="B44" s="2512"/>
      <c r="C44" s="2614"/>
      <c r="D44" s="2614"/>
      <c r="E44" s="2614"/>
      <c r="F44" s="2614"/>
      <c r="G44" s="2614"/>
      <c r="H44" s="2614"/>
      <c r="I44" s="2595">
        <f t="shared" si="0"/>
        <v>0</v>
      </c>
    </row>
    <row r="45" spans="1:9" ht="16.7" hidden="1" customHeight="1" x14ac:dyDescent="0.2">
      <c r="A45" s="2752">
        <f t="shared" si="1"/>
        <v>49</v>
      </c>
      <c r="B45" s="2512"/>
      <c r="C45" s="2614"/>
      <c r="D45" s="2614"/>
      <c r="E45" s="2614"/>
      <c r="F45" s="2614"/>
      <c r="G45" s="2614"/>
      <c r="H45" s="2614"/>
      <c r="I45" s="2595">
        <f t="shared" si="0"/>
        <v>0</v>
      </c>
    </row>
    <row r="46" spans="1:9" ht="16.7" hidden="1" customHeight="1" x14ac:dyDescent="0.2">
      <c r="A46" s="3003">
        <f t="shared" ref="A46:A109" si="2">A45+0.001</f>
        <v>49.000999999999998</v>
      </c>
      <c r="B46" s="2512"/>
      <c r="C46" s="2614"/>
      <c r="D46" s="2614"/>
      <c r="E46" s="2614"/>
      <c r="F46" s="2614"/>
      <c r="G46" s="2614"/>
      <c r="H46" s="2614"/>
      <c r="I46" s="2595">
        <f t="shared" si="0"/>
        <v>0</v>
      </c>
    </row>
    <row r="47" spans="1:9" ht="16.7" hidden="1" customHeight="1" x14ac:dyDescent="0.2">
      <c r="A47" s="3003">
        <f t="shared" si="2"/>
        <v>49.001999999999995</v>
      </c>
      <c r="B47" s="2512"/>
      <c r="C47" s="2614"/>
      <c r="D47" s="2614"/>
      <c r="E47" s="2614"/>
      <c r="F47" s="2614"/>
      <c r="G47" s="2614"/>
      <c r="H47" s="2614"/>
      <c r="I47" s="2595">
        <f t="shared" si="0"/>
        <v>0</v>
      </c>
    </row>
    <row r="48" spans="1:9" ht="16.7" hidden="1" customHeight="1" x14ac:dyDescent="0.2">
      <c r="A48" s="3003">
        <f t="shared" si="2"/>
        <v>49.002999999999993</v>
      </c>
      <c r="B48" s="2512"/>
      <c r="C48" s="2614"/>
      <c r="D48" s="2614"/>
      <c r="E48" s="2614"/>
      <c r="F48" s="2614"/>
      <c r="G48" s="2614"/>
      <c r="H48" s="2614"/>
      <c r="I48" s="2595">
        <f t="shared" si="0"/>
        <v>0</v>
      </c>
    </row>
    <row r="49" spans="1:9" ht="16.7" hidden="1" customHeight="1" x14ac:dyDescent="0.2">
      <c r="A49" s="3003">
        <f t="shared" si="2"/>
        <v>49.003999999999991</v>
      </c>
      <c r="B49" s="2512"/>
      <c r="C49" s="2614"/>
      <c r="D49" s="2614"/>
      <c r="E49" s="2614"/>
      <c r="F49" s="2614"/>
      <c r="G49" s="2614"/>
      <c r="H49" s="2614"/>
      <c r="I49" s="2595">
        <f t="shared" si="0"/>
        <v>0</v>
      </c>
    </row>
    <row r="50" spans="1:9" ht="16.7" hidden="1" customHeight="1" x14ac:dyDescent="0.2">
      <c r="A50" s="3003">
        <f t="shared" si="2"/>
        <v>49.004999999999988</v>
      </c>
      <c r="B50" s="2512"/>
      <c r="C50" s="2614"/>
      <c r="D50" s="2488"/>
      <c r="E50" s="2488"/>
      <c r="F50" s="2614"/>
      <c r="G50" s="2614"/>
      <c r="H50" s="2488"/>
      <c r="I50" s="2595">
        <f t="shared" si="0"/>
        <v>0</v>
      </c>
    </row>
    <row r="51" spans="1:9" ht="16.7" hidden="1" customHeight="1" x14ac:dyDescent="0.2">
      <c r="A51" s="3003">
        <f t="shared" si="2"/>
        <v>49.005999999999986</v>
      </c>
      <c r="B51" s="2512"/>
      <c r="C51" s="2488"/>
      <c r="D51" s="2488"/>
      <c r="E51" s="2488"/>
      <c r="F51" s="2488"/>
      <c r="G51" s="2614"/>
      <c r="H51" s="2488"/>
      <c r="I51" s="2595">
        <f t="shared" si="0"/>
        <v>0</v>
      </c>
    </row>
    <row r="52" spans="1:9" ht="16.7" hidden="1" customHeight="1" x14ac:dyDescent="0.2">
      <c r="A52" s="3003">
        <f t="shared" si="2"/>
        <v>49.006999999999984</v>
      </c>
      <c r="B52" s="2512"/>
      <c r="C52" s="2614"/>
      <c r="D52" s="2614"/>
      <c r="E52" s="2614"/>
      <c r="F52" s="2614"/>
      <c r="G52" s="2614"/>
      <c r="H52" s="2614"/>
      <c r="I52" s="2595">
        <f t="shared" si="0"/>
        <v>0</v>
      </c>
    </row>
    <row r="53" spans="1:9" ht="16.7" hidden="1" customHeight="1" x14ac:dyDescent="0.2">
      <c r="A53" s="3003">
        <f t="shared" si="2"/>
        <v>49.007999999999981</v>
      </c>
      <c r="B53" s="2512"/>
      <c r="C53" s="2614"/>
      <c r="D53" s="2614"/>
      <c r="E53" s="2614"/>
      <c r="F53" s="2614"/>
      <c r="G53" s="2614"/>
      <c r="H53" s="2614"/>
      <c r="I53" s="2595">
        <f t="shared" si="0"/>
        <v>0</v>
      </c>
    </row>
    <row r="54" spans="1:9" ht="16.7" hidden="1" customHeight="1" x14ac:dyDescent="0.2">
      <c r="A54" s="3003">
        <f t="shared" si="2"/>
        <v>49.008999999999979</v>
      </c>
      <c r="B54" s="2512"/>
      <c r="C54" s="2614"/>
      <c r="D54" s="2614"/>
      <c r="E54" s="2614"/>
      <c r="F54" s="2614"/>
      <c r="G54" s="2614"/>
      <c r="H54" s="2614"/>
      <c r="I54" s="2595">
        <f t="shared" si="0"/>
        <v>0</v>
      </c>
    </row>
    <row r="55" spans="1:9" ht="16.7" hidden="1" customHeight="1" x14ac:dyDescent="0.2">
      <c r="A55" s="3003">
        <f t="shared" si="2"/>
        <v>49.009999999999977</v>
      </c>
      <c r="B55" s="2512"/>
      <c r="C55" s="2614"/>
      <c r="D55" s="2614"/>
      <c r="E55" s="2614"/>
      <c r="F55" s="2614"/>
      <c r="G55" s="2614"/>
      <c r="H55" s="2614"/>
      <c r="I55" s="2595">
        <f t="shared" si="0"/>
        <v>0</v>
      </c>
    </row>
    <row r="56" spans="1:9" ht="16.7" hidden="1" customHeight="1" x14ac:dyDescent="0.2">
      <c r="A56" s="3003">
        <f t="shared" si="2"/>
        <v>49.010999999999974</v>
      </c>
      <c r="B56" s="2512"/>
      <c r="C56" s="2614"/>
      <c r="D56" s="2614"/>
      <c r="E56" s="2614"/>
      <c r="F56" s="2614"/>
      <c r="G56" s="2614"/>
      <c r="H56" s="2614"/>
      <c r="I56" s="2595">
        <f t="shared" si="0"/>
        <v>0</v>
      </c>
    </row>
    <row r="57" spans="1:9" ht="16.7" hidden="1" customHeight="1" x14ac:dyDescent="0.2">
      <c r="A57" s="3003">
        <f t="shared" si="2"/>
        <v>49.011999999999972</v>
      </c>
      <c r="B57" s="2512"/>
      <c r="C57" s="2614"/>
      <c r="D57" s="2488"/>
      <c r="E57" s="2488"/>
      <c r="F57" s="2488"/>
      <c r="G57" s="2614"/>
      <c r="H57" s="2488"/>
      <c r="I57" s="2595">
        <f t="shared" si="0"/>
        <v>0</v>
      </c>
    </row>
    <row r="58" spans="1:9" ht="16.7" hidden="1" customHeight="1" x14ac:dyDescent="0.2">
      <c r="A58" s="3003">
        <f t="shared" si="2"/>
        <v>49.01299999999997</v>
      </c>
      <c r="B58" s="2512"/>
      <c r="C58" s="2488"/>
      <c r="D58" s="2488"/>
      <c r="E58" s="2488"/>
      <c r="F58" s="2488"/>
      <c r="G58" s="2614"/>
      <c r="H58" s="2488"/>
      <c r="I58" s="2595">
        <f t="shared" si="0"/>
        <v>0</v>
      </c>
    </row>
    <row r="59" spans="1:9" ht="16.7" hidden="1" customHeight="1" x14ac:dyDescent="0.2">
      <c r="A59" s="3003">
        <f t="shared" si="2"/>
        <v>49.013999999999967</v>
      </c>
      <c r="B59" s="2512"/>
      <c r="C59" s="2614"/>
      <c r="D59" s="2614"/>
      <c r="E59" s="2614"/>
      <c r="F59" s="2614"/>
      <c r="G59" s="2614"/>
      <c r="H59" s="2614"/>
      <c r="I59" s="2595">
        <f t="shared" si="0"/>
        <v>0</v>
      </c>
    </row>
    <row r="60" spans="1:9" ht="16.7" hidden="1" customHeight="1" x14ac:dyDescent="0.2">
      <c r="A60" s="3003">
        <f t="shared" si="2"/>
        <v>49.014999999999965</v>
      </c>
      <c r="B60" s="2512"/>
      <c r="C60" s="2614"/>
      <c r="D60" s="2614"/>
      <c r="E60" s="2614"/>
      <c r="F60" s="2614"/>
      <c r="G60" s="2614"/>
      <c r="H60" s="2614"/>
      <c r="I60" s="2595">
        <f t="shared" si="0"/>
        <v>0</v>
      </c>
    </row>
    <row r="61" spans="1:9" ht="16.7" hidden="1" customHeight="1" x14ac:dyDescent="0.2">
      <c r="A61" s="3003">
        <f t="shared" si="2"/>
        <v>49.015999999999963</v>
      </c>
      <c r="B61" s="2512"/>
      <c r="C61" s="2614"/>
      <c r="D61" s="2614"/>
      <c r="E61" s="2614"/>
      <c r="F61" s="2614"/>
      <c r="G61" s="2614"/>
      <c r="H61" s="2614"/>
      <c r="I61" s="2595">
        <f t="shared" si="0"/>
        <v>0</v>
      </c>
    </row>
    <row r="62" spans="1:9" ht="16.7" hidden="1" customHeight="1" x14ac:dyDescent="0.2">
      <c r="A62" s="3003">
        <f t="shared" si="2"/>
        <v>49.01699999999996</v>
      </c>
      <c r="B62" s="2512"/>
      <c r="C62" s="2614"/>
      <c r="D62" s="2614"/>
      <c r="E62" s="2614"/>
      <c r="F62" s="2614"/>
      <c r="G62" s="2614"/>
      <c r="H62" s="2614"/>
      <c r="I62" s="2595">
        <f t="shared" si="0"/>
        <v>0</v>
      </c>
    </row>
    <row r="63" spans="1:9" ht="16.7" hidden="1" customHeight="1" x14ac:dyDescent="0.2">
      <c r="A63" s="3003">
        <f t="shared" si="2"/>
        <v>49.017999999999958</v>
      </c>
      <c r="B63" s="2512"/>
      <c r="C63" s="2614"/>
      <c r="D63" s="2614"/>
      <c r="E63" s="2614"/>
      <c r="F63" s="2614"/>
      <c r="G63" s="2614"/>
      <c r="H63" s="2614"/>
      <c r="I63" s="2595">
        <f t="shared" si="0"/>
        <v>0</v>
      </c>
    </row>
    <row r="64" spans="1:9" ht="16.7" hidden="1" customHeight="1" x14ac:dyDescent="0.2">
      <c r="A64" s="3003">
        <f t="shared" si="2"/>
        <v>49.018999999999956</v>
      </c>
      <c r="B64" s="2512"/>
      <c r="C64" s="2614"/>
      <c r="D64" s="2614"/>
      <c r="E64" s="2488"/>
      <c r="F64" s="2614"/>
      <c r="G64" s="2614"/>
      <c r="H64" s="2614"/>
      <c r="I64" s="2595">
        <f t="shared" si="0"/>
        <v>0</v>
      </c>
    </row>
    <row r="65" spans="1:9" ht="16.7" hidden="1" customHeight="1" x14ac:dyDescent="0.2">
      <c r="A65" s="3003">
        <f t="shared" si="2"/>
        <v>49.019999999999953</v>
      </c>
      <c r="B65" s="2512"/>
      <c r="C65" s="2614"/>
      <c r="D65" s="2488"/>
      <c r="E65" s="2488"/>
      <c r="F65" s="2488"/>
      <c r="G65" s="2614"/>
      <c r="H65" s="2488"/>
      <c r="I65" s="2595">
        <f t="shared" si="0"/>
        <v>0</v>
      </c>
    </row>
    <row r="66" spans="1:9" ht="15" hidden="1" customHeight="1" x14ac:dyDescent="0.2">
      <c r="A66" s="3003">
        <f t="shared" si="2"/>
        <v>49.020999999999951</v>
      </c>
      <c r="B66" s="2512"/>
      <c r="C66" s="2488"/>
      <c r="D66" s="2488"/>
      <c r="E66" s="2488"/>
      <c r="F66" s="2488"/>
      <c r="G66" s="2614"/>
      <c r="H66" s="2488"/>
      <c r="I66" s="2595">
        <f t="shared" si="0"/>
        <v>0</v>
      </c>
    </row>
    <row r="67" spans="1:9" ht="15" hidden="1" customHeight="1" x14ac:dyDescent="0.2">
      <c r="A67" s="3003">
        <f t="shared" si="2"/>
        <v>49.021999999999949</v>
      </c>
      <c r="B67" s="2512"/>
      <c r="C67" s="2614"/>
      <c r="D67" s="2614"/>
      <c r="E67" s="2614"/>
      <c r="F67" s="2614"/>
      <c r="G67" s="2614"/>
      <c r="H67" s="2614"/>
      <c r="I67" s="2595">
        <f t="shared" si="0"/>
        <v>0</v>
      </c>
    </row>
    <row r="68" spans="1:9" ht="15" hidden="1" customHeight="1" x14ac:dyDescent="0.2">
      <c r="A68" s="3003">
        <f t="shared" si="2"/>
        <v>49.022999999999946</v>
      </c>
      <c r="B68" s="2512"/>
      <c r="C68" s="2614"/>
      <c r="D68" s="2614"/>
      <c r="E68" s="2614"/>
      <c r="F68" s="2614"/>
      <c r="G68" s="2614"/>
      <c r="H68" s="2614"/>
      <c r="I68" s="2595">
        <f t="shared" si="0"/>
        <v>0</v>
      </c>
    </row>
    <row r="69" spans="1:9" ht="15" hidden="1" customHeight="1" x14ac:dyDescent="0.2">
      <c r="A69" s="3003">
        <f t="shared" si="2"/>
        <v>49.023999999999944</v>
      </c>
      <c r="B69" s="2512"/>
      <c r="C69" s="2614"/>
      <c r="D69" s="2614"/>
      <c r="E69" s="2614"/>
      <c r="F69" s="2614"/>
      <c r="G69" s="2614"/>
      <c r="H69" s="2614"/>
      <c r="I69" s="2595">
        <f t="shared" si="0"/>
        <v>0</v>
      </c>
    </row>
    <row r="70" spans="1:9" ht="15" hidden="1" customHeight="1" x14ac:dyDescent="0.2">
      <c r="A70" s="3003">
        <f t="shared" si="2"/>
        <v>49.024999999999942</v>
      </c>
      <c r="B70" s="2512"/>
      <c r="C70" s="2614"/>
      <c r="D70" s="2614"/>
      <c r="E70" s="2614"/>
      <c r="F70" s="2614"/>
      <c r="G70" s="2614"/>
      <c r="H70" s="2614"/>
      <c r="I70" s="2595">
        <f t="shared" si="0"/>
        <v>0</v>
      </c>
    </row>
    <row r="71" spans="1:9" ht="15" hidden="1" customHeight="1" x14ac:dyDescent="0.2">
      <c r="A71" s="3003">
        <f t="shared" si="2"/>
        <v>49.025999999999939</v>
      </c>
      <c r="B71" s="2512"/>
      <c r="C71" s="2614"/>
      <c r="D71" s="2614"/>
      <c r="E71" s="2614"/>
      <c r="F71" s="2614"/>
      <c r="G71" s="2614"/>
      <c r="H71" s="2614"/>
      <c r="I71" s="2595">
        <f t="shared" si="0"/>
        <v>0</v>
      </c>
    </row>
    <row r="72" spans="1:9" ht="15" hidden="1" customHeight="1" x14ac:dyDescent="0.2">
      <c r="A72" s="3003">
        <f t="shared" si="2"/>
        <v>49.026999999999937</v>
      </c>
      <c r="B72" s="2512"/>
      <c r="C72" s="2614"/>
      <c r="D72" s="2614"/>
      <c r="E72" s="2614"/>
      <c r="F72" s="2614"/>
      <c r="G72" s="2614"/>
      <c r="H72" s="2614"/>
      <c r="I72" s="2595">
        <f t="shared" ref="I72:I135" si="3">B72</f>
        <v>0</v>
      </c>
    </row>
    <row r="73" spans="1:9" ht="15" hidden="1" customHeight="1" x14ac:dyDescent="0.2">
      <c r="A73" s="3003">
        <f t="shared" si="2"/>
        <v>49.027999999999935</v>
      </c>
      <c r="B73" s="2512"/>
      <c r="C73" s="2614"/>
      <c r="D73" s="2614"/>
      <c r="E73" s="2488"/>
      <c r="F73" s="2614"/>
      <c r="G73" s="2614"/>
      <c r="H73" s="2614"/>
      <c r="I73" s="2595">
        <f t="shared" si="3"/>
        <v>0</v>
      </c>
    </row>
    <row r="74" spans="1:9" ht="15" hidden="1" customHeight="1" x14ac:dyDescent="0.2">
      <c r="A74" s="3003">
        <f t="shared" si="2"/>
        <v>49.028999999999932</v>
      </c>
      <c r="B74" s="2512"/>
      <c r="C74" s="2614"/>
      <c r="D74" s="2614"/>
      <c r="E74" s="2614"/>
      <c r="F74" s="2614"/>
      <c r="G74" s="2614"/>
      <c r="H74" s="2614"/>
      <c r="I74" s="2595">
        <f t="shared" si="3"/>
        <v>0</v>
      </c>
    </row>
    <row r="75" spans="1:9" ht="15" hidden="1" customHeight="1" x14ac:dyDescent="0.2">
      <c r="A75" s="3003">
        <f t="shared" si="2"/>
        <v>49.02999999999993</v>
      </c>
      <c r="B75" s="2512"/>
      <c r="C75" s="2614"/>
      <c r="D75" s="2614"/>
      <c r="E75" s="2488"/>
      <c r="F75" s="2614"/>
      <c r="G75" s="2614"/>
      <c r="H75" s="2614"/>
      <c r="I75" s="2595">
        <f t="shared" si="3"/>
        <v>0</v>
      </c>
    </row>
    <row r="76" spans="1:9" ht="15" hidden="1" customHeight="1" x14ac:dyDescent="0.2">
      <c r="A76" s="3003">
        <f t="shared" si="2"/>
        <v>49.030999999999928</v>
      </c>
      <c r="B76" s="2512"/>
      <c r="C76" s="2614"/>
      <c r="D76" s="2614"/>
      <c r="E76" s="2614"/>
      <c r="F76" s="2614"/>
      <c r="G76" s="2614"/>
      <c r="H76" s="2614"/>
      <c r="I76" s="2595">
        <f t="shared" si="3"/>
        <v>0</v>
      </c>
    </row>
    <row r="77" spans="1:9" ht="15" hidden="1" customHeight="1" x14ac:dyDescent="0.2">
      <c r="A77" s="3003">
        <f t="shared" si="2"/>
        <v>49.031999999999925</v>
      </c>
      <c r="B77" s="2512"/>
      <c r="C77" s="2614"/>
      <c r="D77" s="2614"/>
      <c r="E77" s="2614"/>
      <c r="F77" s="2614"/>
      <c r="G77" s="2614"/>
      <c r="H77" s="2614"/>
      <c r="I77" s="2595">
        <f t="shared" si="3"/>
        <v>0</v>
      </c>
    </row>
    <row r="78" spans="1:9" ht="15" hidden="1" customHeight="1" x14ac:dyDescent="0.2">
      <c r="A78" s="3003">
        <f t="shared" si="2"/>
        <v>49.032999999999923</v>
      </c>
      <c r="B78" s="2512"/>
      <c r="C78" s="2614"/>
      <c r="D78" s="2488"/>
      <c r="E78" s="2488"/>
      <c r="F78" s="2488"/>
      <c r="G78" s="2614"/>
      <c r="H78" s="2488"/>
      <c r="I78" s="2595">
        <f t="shared" si="3"/>
        <v>0</v>
      </c>
    </row>
    <row r="79" spans="1:9" ht="15" hidden="1" customHeight="1" x14ac:dyDescent="0.2">
      <c r="A79" s="3003">
        <f t="shared" si="2"/>
        <v>49.033999999999921</v>
      </c>
      <c r="B79" s="2512"/>
      <c r="C79" s="2488"/>
      <c r="D79" s="2488"/>
      <c r="E79" s="2488"/>
      <c r="F79" s="2488"/>
      <c r="G79" s="2614"/>
      <c r="H79" s="2488"/>
      <c r="I79" s="2595">
        <f t="shared" si="3"/>
        <v>0</v>
      </c>
    </row>
    <row r="80" spans="1:9" ht="15" hidden="1" customHeight="1" x14ac:dyDescent="0.2">
      <c r="A80" s="3003">
        <f t="shared" si="2"/>
        <v>49.034999999999918</v>
      </c>
      <c r="B80" s="2512"/>
      <c r="C80" s="2614"/>
      <c r="D80" s="2614"/>
      <c r="E80" s="2614"/>
      <c r="F80" s="2614"/>
      <c r="G80" s="2614"/>
      <c r="H80" s="2614"/>
      <c r="I80" s="2595">
        <f t="shared" si="3"/>
        <v>0</v>
      </c>
    </row>
    <row r="81" spans="1:9" ht="15" hidden="1" customHeight="1" x14ac:dyDescent="0.2">
      <c r="A81" s="3003">
        <f t="shared" si="2"/>
        <v>49.035999999999916</v>
      </c>
      <c r="B81" s="2512"/>
      <c r="C81" s="2614"/>
      <c r="D81" s="2614"/>
      <c r="E81" s="2488"/>
      <c r="F81" s="2614"/>
      <c r="G81" s="2614"/>
      <c r="H81" s="2614"/>
      <c r="I81" s="2595">
        <f t="shared" si="3"/>
        <v>0</v>
      </c>
    </row>
    <row r="82" spans="1:9" ht="15" hidden="1" customHeight="1" x14ac:dyDescent="0.2">
      <c r="A82" s="3003">
        <f t="shared" si="2"/>
        <v>49.036999999999914</v>
      </c>
      <c r="B82" s="2512"/>
      <c r="C82" s="2614"/>
      <c r="D82" s="2614"/>
      <c r="E82" s="2614"/>
      <c r="F82" s="2614"/>
      <c r="G82" s="2614"/>
      <c r="H82" s="2614"/>
      <c r="I82" s="2595">
        <f t="shared" si="3"/>
        <v>0</v>
      </c>
    </row>
    <row r="83" spans="1:9" ht="15" hidden="1" customHeight="1" x14ac:dyDescent="0.2">
      <c r="A83" s="3003">
        <f t="shared" si="2"/>
        <v>49.037999999999911</v>
      </c>
      <c r="B83" s="2512"/>
      <c r="C83" s="2614"/>
      <c r="D83" s="2488"/>
      <c r="E83" s="2488"/>
      <c r="F83" s="2488"/>
      <c r="G83" s="2614"/>
      <c r="H83" s="2488"/>
      <c r="I83" s="2595">
        <f t="shared" si="3"/>
        <v>0</v>
      </c>
    </row>
    <row r="84" spans="1:9" ht="15" hidden="1" customHeight="1" x14ac:dyDescent="0.2">
      <c r="A84" s="3003">
        <f t="shared" si="2"/>
        <v>49.038999999999909</v>
      </c>
      <c r="B84" s="2512"/>
      <c r="C84" s="2488"/>
      <c r="D84" s="2488"/>
      <c r="E84" s="2488"/>
      <c r="F84" s="2488"/>
      <c r="G84" s="2614"/>
      <c r="H84" s="2488"/>
      <c r="I84" s="2595">
        <f t="shared" si="3"/>
        <v>0</v>
      </c>
    </row>
    <row r="85" spans="1:9" ht="15" hidden="1" customHeight="1" x14ac:dyDescent="0.2">
      <c r="A85" s="3003">
        <f t="shared" si="2"/>
        <v>49.039999999999907</v>
      </c>
      <c r="B85" s="2512"/>
      <c r="C85" s="2614"/>
      <c r="D85" s="2614"/>
      <c r="E85" s="2614"/>
      <c r="F85" s="2614"/>
      <c r="G85" s="2614"/>
      <c r="H85" s="2614"/>
      <c r="I85" s="2595">
        <f t="shared" si="3"/>
        <v>0</v>
      </c>
    </row>
    <row r="86" spans="1:9" ht="15" hidden="1" customHeight="1" x14ac:dyDescent="0.2">
      <c r="A86" s="3003">
        <f t="shared" si="2"/>
        <v>49.040999999999904</v>
      </c>
      <c r="B86" s="2512"/>
      <c r="C86" s="2614"/>
      <c r="D86" s="2614"/>
      <c r="E86" s="2614"/>
      <c r="F86" s="2614"/>
      <c r="G86" s="2614"/>
      <c r="H86" s="2614"/>
      <c r="I86" s="2595">
        <f t="shared" si="3"/>
        <v>0</v>
      </c>
    </row>
    <row r="87" spans="1:9" ht="15" hidden="1" customHeight="1" x14ac:dyDescent="0.2">
      <c r="A87" s="3003">
        <f t="shared" si="2"/>
        <v>49.041999999999902</v>
      </c>
      <c r="B87" s="2512"/>
      <c r="C87" s="2614"/>
      <c r="D87" s="2614"/>
      <c r="E87" s="2614"/>
      <c r="F87" s="2614"/>
      <c r="G87" s="2614"/>
      <c r="H87" s="2614"/>
      <c r="I87" s="2595">
        <f t="shared" si="3"/>
        <v>0</v>
      </c>
    </row>
    <row r="88" spans="1:9" ht="15" hidden="1" customHeight="1" x14ac:dyDescent="0.2">
      <c r="A88" s="3003">
        <f t="shared" si="2"/>
        <v>49.0429999999999</v>
      </c>
      <c r="B88" s="2512"/>
      <c r="C88" s="2614"/>
      <c r="D88" s="2614"/>
      <c r="E88" s="2614"/>
      <c r="F88" s="2614"/>
      <c r="G88" s="2614"/>
      <c r="H88" s="2614"/>
      <c r="I88" s="2595">
        <f t="shared" si="3"/>
        <v>0</v>
      </c>
    </row>
    <row r="89" spans="1:9" ht="15" hidden="1" customHeight="1" x14ac:dyDescent="0.2">
      <c r="A89" s="3003">
        <f t="shared" si="2"/>
        <v>49.043999999999897</v>
      </c>
      <c r="B89" s="2512"/>
      <c r="C89" s="2614"/>
      <c r="D89" s="2488"/>
      <c r="E89" s="2488"/>
      <c r="F89" s="2614"/>
      <c r="G89" s="2614"/>
      <c r="H89" s="2488"/>
      <c r="I89" s="2595">
        <f t="shared" si="3"/>
        <v>0</v>
      </c>
    </row>
    <row r="90" spans="1:9" ht="15" hidden="1" customHeight="1" x14ac:dyDescent="0.2">
      <c r="A90" s="3003">
        <f t="shared" si="2"/>
        <v>49.044999999999895</v>
      </c>
      <c r="B90" s="2512"/>
      <c r="C90" s="2488"/>
      <c r="D90" s="2488"/>
      <c r="E90" s="2488"/>
      <c r="F90" s="2488"/>
      <c r="G90" s="2614"/>
      <c r="H90" s="2488"/>
      <c r="I90" s="2595">
        <f t="shared" si="3"/>
        <v>0</v>
      </c>
    </row>
    <row r="91" spans="1:9" ht="15" hidden="1" customHeight="1" x14ac:dyDescent="0.2">
      <c r="A91" s="3003">
        <f t="shared" si="2"/>
        <v>49.045999999999893</v>
      </c>
      <c r="B91" s="2512"/>
      <c r="C91" s="2614"/>
      <c r="D91" s="2614"/>
      <c r="E91" s="2614"/>
      <c r="F91" s="2614"/>
      <c r="G91" s="2614"/>
      <c r="H91" s="2614"/>
      <c r="I91" s="2595">
        <f t="shared" si="3"/>
        <v>0</v>
      </c>
    </row>
    <row r="92" spans="1:9" ht="15" hidden="1" customHeight="1" x14ac:dyDescent="0.2">
      <c r="A92" s="3003">
        <f t="shared" si="2"/>
        <v>49.04699999999989</v>
      </c>
      <c r="B92" s="2512"/>
      <c r="C92" s="2614"/>
      <c r="D92" s="2614"/>
      <c r="E92" s="2614"/>
      <c r="F92" s="2614"/>
      <c r="G92" s="2614"/>
      <c r="H92" s="2614"/>
      <c r="I92" s="2595">
        <f t="shared" si="3"/>
        <v>0</v>
      </c>
    </row>
    <row r="93" spans="1:9" ht="15" hidden="1" customHeight="1" x14ac:dyDescent="0.2">
      <c r="A93" s="3003">
        <f t="shared" si="2"/>
        <v>49.047999999999888</v>
      </c>
      <c r="B93" s="2512"/>
      <c r="C93" s="2614"/>
      <c r="D93" s="2614"/>
      <c r="E93" s="2614"/>
      <c r="F93" s="2614"/>
      <c r="G93" s="2614"/>
      <c r="H93" s="2614"/>
      <c r="I93" s="2595">
        <f t="shared" si="3"/>
        <v>0</v>
      </c>
    </row>
    <row r="94" spans="1:9" ht="15" hidden="1" customHeight="1" x14ac:dyDescent="0.2">
      <c r="A94" s="3003">
        <f t="shared" si="2"/>
        <v>49.048999999999886</v>
      </c>
      <c r="B94" s="2512"/>
      <c r="C94" s="2614"/>
      <c r="D94" s="2614"/>
      <c r="E94" s="2614"/>
      <c r="F94" s="2614"/>
      <c r="G94" s="2614"/>
      <c r="H94" s="2614"/>
      <c r="I94" s="2595">
        <f t="shared" si="3"/>
        <v>0</v>
      </c>
    </row>
    <row r="95" spans="1:9" ht="15" hidden="1" customHeight="1" x14ac:dyDescent="0.2">
      <c r="A95" s="3003">
        <f t="shared" si="2"/>
        <v>49.049999999999883</v>
      </c>
      <c r="B95" s="2512"/>
      <c r="C95" s="2614"/>
      <c r="D95" s="2614"/>
      <c r="E95" s="2614"/>
      <c r="F95" s="2614"/>
      <c r="G95" s="2614"/>
      <c r="H95" s="2614"/>
      <c r="I95" s="2595">
        <f t="shared" si="3"/>
        <v>0</v>
      </c>
    </row>
    <row r="96" spans="1:9" ht="15" hidden="1" customHeight="1" x14ac:dyDescent="0.2">
      <c r="A96" s="3003">
        <f t="shared" si="2"/>
        <v>49.050999999999881</v>
      </c>
      <c r="B96" s="2512"/>
      <c r="C96" s="2614"/>
      <c r="D96" s="2488"/>
      <c r="E96" s="2488"/>
      <c r="F96" s="2488"/>
      <c r="G96" s="2614"/>
      <c r="H96" s="2488"/>
      <c r="I96" s="2595">
        <f t="shared" si="3"/>
        <v>0</v>
      </c>
    </row>
    <row r="97" spans="1:9" ht="15" hidden="1" customHeight="1" x14ac:dyDescent="0.2">
      <c r="A97" s="3003">
        <f t="shared" si="2"/>
        <v>49.051999999999879</v>
      </c>
      <c r="B97" s="2512"/>
      <c r="C97" s="2488"/>
      <c r="D97" s="2488"/>
      <c r="E97" s="2488"/>
      <c r="F97" s="2488"/>
      <c r="G97" s="2614"/>
      <c r="H97" s="2488"/>
      <c r="I97" s="2595">
        <f t="shared" si="3"/>
        <v>0</v>
      </c>
    </row>
    <row r="98" spans="1:9" ht="15" hidden="1" customHeight="1" x14ac:dyDescent="0.2">
      <c r="A98" s="3003">
        <f t="shared" si="2"/>
        <v>49.052999999999876</v>
      </c>
      <c r="B98" s="2512"/>
      <c r="C98" s="2614"/>
      <c r="D98" s="2614"/>
      <c r="E98" s="2614"/>
      <c r="F98" s="2614"/>
      <c r="G98" s="2614"/>
      <c r="H98" s="2614"/>
      <c r="I98" s="2595">
        <f t="shared" si="3"/>
        <v>0</v>
      </c>
    </row>
    <row r="99" spans="1:9" ht="15" hidden="1" customHeight="1" x14ac:dyDescent="0.2">
      <c r="A99" s="3003">
        <f t="shared" si="2"/>
        <v>49.053999999999874</v>
      </c>
      <c r="B99" s="2512"/>
      <c r="C99" s="2614"/>
      <c r="D99" s="2614"/>
      <c r="E99" s="2614"/>
      <c r="F99" s="2614"/>
      <c r="G99" s="2614"/>
      <c r="H99" s="2614"/>
      <c r="I99" s="2595">
        <f t="shared" si="3"/>
        <v>0</v>
      </c>
    </row>
    <row r="100" spans="1:9" ht="15" hidden="1" customHeight="1" x14ac:dyDescent="0.2">
      <c r="A100" s="3003">
        <f t="shared" si="2"/>
        <v>49.054999999999872</v>
      </c>
      <c r="B100" s="2512"/>
      <c r="C100" s="2614"/>
      <c r="D100" s="2614"/>
      <c r="E100" s="2614"/>
      <c r="F100" s="2614"/>
      <c r="G100" s="2614"/>
      <c r="H100" s="2614"/>
      <c r="I100" s="2595">
        <f t="shared" si="3"/>
        <v>0</v>
      </c>
    </row>
    <row r="101" spans="1:9" ht="15" hidden="1" customHeight="1" x14ac:dyDescent="0.2">
      <c r="A101" s="3003">
        <f t="shared" si="2"/>
        <v>49.055999999999869</v>
      </c>
      <c r="B101" s="2512"/>
      <c r="C101" s="2614"/>
      <c r="D101" s="2614"/>
      <c r="E101" s="2614"/>
      <c r="F101" s="2614"/>
      <c r="G101" s="2614"/>
      <c r="H101" s="2614"/>
      <c r="I101" s="2595">
        <f t="shared" si="3"/>
        <v>0</v>
      </c>
    </row>
    <row r="102" spans="1:9" ht="15" hidden="1" customHeight="1" x14ac:dyDescent="0.2">
      <c r="A102" s="3003">
        <f t="shared" si="2"/>
        <v>49.056999999999867</v>
      </c>
      <c r="B102" s="2512"/>
      <c r="C102" s="2614"/>
      <c r="D102" s="2614"/>
      <c r="E102" s="2614"/>
      <c r="F102" s="2614"/>
      <c r="G102" s="2614"/>
      <c r="H102" s="2614"/>
      <c r="I102" s="2595">
        <f t="shared" si="3"/>
        <v>0</v>
      </c>
    </row>
    <row r="103" spans="1:9" ht="15" hidden="1" customHeight="1" x14ac:dyDescent="0.2">
      <c r="A103" s="3003">
        <f t="shared" si="2"/>
        <v>49.057999999999865</v>
      </c>
      <c r="B103" s="2512"/>
      <c r="C103" s="2614"/>
      <c r="D103" s="2614"/>
      <c r="E103" s="2488"/>
      <c r="F103" s="2614"/>
      <c r="G103" s="2614"/>
      <c r="H103" s="2614"/>
      <c r="I103" s="2595">
        <f t="shared" si="3"/>
        <v>0</v>
      </c>
    </row>
    <row r="104" spans="1:9" ht="15" hidden="1" customHeight="1" x14ac:dyDescent="0.2">
      <c r="A104" s="3003">
        <f t="shared" si="2"/>
        <v>49.058999999999862</v>
      </c>
      <c r="B104" s="2512"/>
      <c r="C104" s="2614"/>
      <c r="D104" s="2488"/>
      <c r="E104" s="2488"/>
      <c r="F104" s="2488"/>
      <c r="G104" s="2614"/>
      <c r="H104" s="2488"/>
      <c r="I104" s="2595">
        <f t="shared" si="3"/>
        <v>0</v>
      </c>
    </row>
    <row r="105" spans="1:9" ht="15" hidden="1" customHeight="1" x14ac:dyDescent="0.2">
      <c r="A105" s="3003">
        <f t="shared" si="2"/>
        <v>49.05999999999986</v>
      </c>
      <c r="B105" s="2512"/>
      <c r="C105" s="2488"/>
      <c r="D105" s="2488"/>
      <c r="E105" s="2488"/>
      <c r="F105" s="2488"/>
      <c r="G105" s="2614"/>
      <c r="H105" s="2488"/>
      <c r="I105" s="2595">
        <f t="shared" si="3"/>
        <v>0</v>
      </c>
    </row>
    <row r="106" spans="1:9" ht="15" hidden="1" customHeight="1" x14ac:dyDescent="0.2">
      <c r="A106" s="3003">
        <f t="shared" si="2"/>
        <v>49.060999999999858</v>
      </c>
      <c r="B106" s="2512"/>
      <c r="C106" s="2614"/>
      <c r="D106" s="2614"/>
      <c r="E106" s="2614"/>
      <c r="F106" s="2614"/>
      <c r="G106" s="2614"/>
      <c r="H106" s="2614"/>
      <c r="I106" s="2595">
        <f t="shared" si="3"/>
        <v>0</v>
      </c>
    </row>
    <row r="107" spans="1:9" ht="15" hidden="1" customHeight="1" x14ac:dyDescent="0.2">
      <c r="A107" s="3003">
        <f t="shared" si="2"/>
        <v>49.061999999999856</v>
      </c>
      <c r="B107" s="2512"/>
      <c r="C107" s="2614"/>
      <c r="D107" s="2614"/>
      <c r="E107" s="2614"/>
      <c r="F107" s="2614"/>
      <c r="G107" s="2614"/>
      <c r="H107" s="2614"/>
      <c r="I107" s="2595">
        <f t="shared" si="3"/>
        <v>0</v>
      </c>
    </row>
    <row r="108" spans="1:9" ht="15" hidden="1" customHeight="1" x14ac:dyDescent="0.2">
      <c r="A108" s="3003">
        <f t="shared" si="2"/>
        <v>49.062999999999853</v>
      </c>
      <c r="B108" s="2512"/>
      <c r="C108" s="2614"/>
      <c r="D108" s="2614"/>
      <c r="E108" s="2614"/>
      <c r="F108" s="2614"/>
      <c r="G108" s="2614"/>
      <c r="H108" s="2614"/>
      <c r="I108" s="2595">
        <f t="shared" si="3"/>
        <v>0</v>
      </c>
    </row>
    <row r="109" spans="1:9" ht="15" hidden="1" customHeight="1" x14ac:dyDescent="0.2">
      <c r="A109" s="3003">
        <f t="shared" si="2"/>
        <v>49.063999999999851</v>
      </c>
      <c r="B109" s="2512"/>
      <c r="C109" s="2614"/>
      <c r="D109" s="2614"/>
      <c r="E109" s="2614"/>
      <c r="F109" s="2614"/>
      <c r="G109" s="2614"/>
      <c r="H109" s="2614"/>
      <c r="I109" s="2595">
        <f t="shared" si="3"/>
        <v>0</v>
      </c>
    </row>
    <row r="110" spans="1:9" ht="15" hidden="1" customHeight="1" x14ac:dyDescent="0.2">
      <c r="A110" s="3003">
        <f t="shared" ref="A110:A173" si="4">A109+0.001</f>
        <v>49.064999999999849</v>
      </c>
      <c r="B110" s="2512"/>
      <c r="C110" s="2614"/>
      <c r="D110" s="2614"/>
      <c r="E110" s="2614"/>
      <c r="F110" s="2614"/>
      <c r="G110" s="2614"/>
      <c r="H110" s="2614"/>
      <c r="I110" s="2595">
        <f t="shared" si="3"/>
        <v>0</v>
      </c>
    </row>
    <row r="111" spans="1:9" ht="15" hidden="1" customHeight="1" x14ac:dyDescent="0.2">
      <c r="A111" s="3003">
        <f t="shared" si="4"/>
        <v>49.065999999999846</v>
      </c>
      <c r="B111" s="2512"/>
      <c r="C111" s="2614"/>
      <c r="D111" s="2614"/>
      <c r="E111" s="2614"/>
      <c r="F111" s="2614"/>
      <c r="G111" s="2614"/>
      <c r="H111" s="2614"/>
      <c r="I111" s="2595">
        <f t="shared" si="3"/>
        <v>0</v>
      </c>
    </row>
    <row r="112" spans="1:9" ht="15" hidden="1" customHeight="1" x14ac:dyDescent="0.2">
      <c r="A112" s="3003">
        <f t="shared" si="4"/>
        <v>49.066999999999844</v>
      </c>
      <c r="B112" s="2512"/>
      <c r="C112" s="2614"/>
      <c r="D112" s="2614"/>
      <c r="E112" s="2488"/>
      <c r="F112" s="2614"/>
      <c r="G112" s="2614"/>
      <c r="H112" s="2614"/>
      <c r="I112" s="2595">
        <f t="shared" si="3"/>
        <v>0</v>
      </c>
    </row>
    <row r="113" spans="1:9" ht="15" hidden="1" customHeight="1" x14ac:dyDescent="0.2">
      <c r="A113" s="3003">
        <f t="shared" si="4"/>
        <v>49.067999999999842</v>
      </c>
      <c r="B113" s="2512"/>
      <c r="C113" s="2614"/>
      <c r="D113" s="2614"/>
      <c r="E113" s="2614"/>
      <c r="F113" s="2614"/>
      <c r="G113" s="2614"/>
      <c r="H113" s="2614"/>
      <c r="I113" s="2595">
        <f t="shared" si="3"/>
        <v>0</v>
      </c>
    </row>
    <row r="114" spans="1:9" ht="15" hidden="1" customHeight="1" x14ac:dyDescent="0.2">
      <c r="A114" s="3003">
        <f t="shared" si="4"/>
        <v>49.068999999999839</v>
      </c>
      <c r="B114" s="2512"/>
      <c r="C114" s="2614"/>
      <c r="D114" s="2614"/>
      <c r="E114" s="2488"/>
      <c r="F114" s="2614"/>
      <c r="G114" s="2614"/>
      <c r="H114" s="2614"/>
      <c r="I114" s="2595">
        <f t="shared" si="3"/>
        <v>0</v>
      </c>
    </row>
    <row r="115" spans="1:9" ht="15" hidden="1" customHeight="1" x14ac:dyDescent="0.2">
      <c r="A115" s="3003">
        <f t="shared" si="4"/>
        <v>49.069999999999837</v>
      </c>
      <c r="B115" s="2512"/>
      <c r="C115" s="2614"/>
      <c r="D115" s="2614"/>
      <c r="E115" s="2614"/>
      <c r="F115" s="2614"/>
      <c r="G115" s="2614"/>
      <c r="H115" s="2614"/>
      <c r="I115" s="2595">
        <f t="shared" si="3"/>
        <v>0</v>
      </c>
    </row>
    <row r="116" spans="1:9" ht="15" hidden="1" customHeight="1" x14ac:dyDescent="0.2">
      <c r="A116" s="3003">
        <f t="shared" si="4"/>
        <v>49.070999999999835</v>
      </c>
      <c r="B116" s="2512"/>
      <c r="C116" s="2614"/>
      <c r="D116" s="2614"/>
      <c r="E116" s="2614"/>
      <c r="F116" s="2614"/>
      <c r="G116" s="2614"/>
      <c r="H116" s="2614"/>
      <c r="I116" s="2595">
        <f t="shared" si="3"/>
        <v>0</v>
      </c>
    </row>
    <row r="117" spans="1:9" ht="15" hidden="1" customHeight="1" x14ac:dyDescent="0.2">
      <c r="A117" s="3003">
        <f t="shared" si="4"/>
        <v>49.071999999999832</v>
      </c>
      <c r="B117" s="2512"/>
      <c r="C117" s="2614"/>
      <c r="D117" s="2488"/>
      <c r="E117" s="2488"/>
      <c r="F117" s="2488"/>
      <c r="G117" s="2614"/>
      <c r="H117" s="2488"/>
      <c r="I117" s="2595">
        <f t="shared" si="3"/>
        <v>0</v>
      </c>
    </row>
    <row r="118" spans="1:9" ht="15" hidden="1" customHeight="1" x14ac:dyDescent="0.2">
      <c r="A118" s="3003">
        <f t="shared" si="4"/>
        <v>49.07299999999983</v>
      </c>
      <c r="B118" s="2512"/>
      <c r="C118" s="2488"/>
      <c r="D118" s="2488"/>
      <c r="E118" s="2488"/>
      <c r="F118" s="2488"/>
      <c r="G118" s="2614"/>
      <c r="H118" s="2488"/>
      <c r="I118" s="2595">
        <f t="shared" si="3"/>
        <v>0</v>
      </c>
    </row>
    <row r="119" spans="1:9" ht="15" hidden="1" customHeight="1" x14ac:dyDescent="0.2">
      <c r="A119" s="3003">
        <f t="shared" si="4"/>
        <v>49.073999999999828</v>
      </c>
      <c r="B119" s="2512"/>
      <c r="C119" s="2614"/>
      <c r="D119" s="2614"/>
      <c r="E119" s="2614"/>
      <c r="F119" s="2614"/>
      <c r="G119" s="2614"/>
      <c r="H119" s="2614"/>
      <c r="I119" s="2595">
        <f t="shared" si="3"/>
        <v>0</v>
      </c>
    </row>
    <row r="120" spans="1:9" ht="15" hidden="1" customHeight="1" x14ac:dyDescent="0.2">
      <c r="A120" s="3003">
        <f t="shared" si="4"/>
        <v>49.074999999999825</v>
      </c>
      <c r="B120" s="2512"/>
      <c r="C120" s="2614"/>
      <c r="D120" s="2614"/>
      <c r="E120" s="2488"/>
      <c r="F120" s="2614"/>
      <c r="G120" s="2614"/>
      <c r="H120" s="2614"/>
      <c r="I120" s="2595">
        <f t="shared" si="3"/>
        <v>0</v>
      </c>
    </row>
    <row r="121" spans="1:9" ht="15" hidden="1" customHeight="1" x14ac:dyDescent="0.2">
      <c r="A121" s="3003">
        <f t="shared" si="4"/>
        <v>49.075999999999823</v>
      </c>
      <c r="B121" s="2512"/>
      <c r="C121" s="2614"/>
      <c r="D121" s="2614"/>
      <c r="E121" s="2614"/>
      <c r="F121" s="2614"/>
      <c r="G121" s="2614"/>
      <c r="H121" s="2614"/>
      <c r="I121" s="2595">
        <f t="shared" si="3"/>
        <v>0</v>
      </c>
    </row>
    <row r="122" spans="1:9" ht="15" hidden="1" customHeight="1" x14ac:dyDescent="0.2">
      <c r="A122" s="3003">
        <f t="shared" si="4"/>
        <v>49.076999999999821</v>
      </c>
      <c r="B122" s="2512"/>
      <c r="C122" s="2614"/>
      <c r="D122" s="2488"/>
      <c r="E122" s="2488"/>
      <c r="F122" s="2488"/>
      <c r="G122" s="2614"/>
      <c r="H122" s="2488"/>
      <c r="I122" s="2595">
        <f t="shared" si="3"/>
        <v>0</v>
      </c>
    </row>
    <row r="123" spans="1:9" ht="15" hidden="1" customHeight="1" x14ac:dyDescent="0.2">
      <c r="A123" s="3003">
        <f t="shared" si="4"/>
        <v>49.077999999999818</v>
      </c>
      <c r="B123" s="2512"/>
      <c r="C123" s="2488"/>
      <c r="D123" s="2488"/>
      <c r="E123" s="2488"/>
      <c r="F123" s="2488"/>
      <c r="G123" s="2614"/>
      <c r="H123" s="2488"/>
      <c r="I123" s="2595">
        <f t="shared" si="3"/>
        <v>0</v>
      </c>
    </row>
    <row r="124" spans="1:9" ht="15" hidden="1" customHeight="1" x14ac:dyDescent="0.2">
      <c r="A124" s="3003">
        <f t="shared" si="4"/>
        <v>49.078999999999816</v>
      </c>
      <c r="B124" s="2512"/>
      <c r="C124" s="2614"/>
      <c r="D124" s="2614"/>
      <c r="E124" s="2614"/>
      <c r="F124" s="2614"/>
      <c r="G124" s="2614"/>
      <c r="H124" s="2614"/>
      <c r="I124" s="2595">
        <f t="shared" si="3"/>
        <v>0</v>
      </c>
    </row>
    <row r="125" spans="1:9" ht="16.7" hidden="1" customHeight="1" x14ac:dyDescent="0.2">
      <c r="A125" s="3003">
        <f t="shared" si="4"/>
        <v>49.079999999999814</v>
      </c>
      <c r="B125" s="2512"/>
      <c r="C125" s="2614"/>
      <c r="D125" s="2614"/>
      <c r="E125" s="2614"/>
      <c r="F125" s="2614"/>
      <c r="G125" s="2614"/>
      <c r="H125" s="2614"/>
      <c r="I125" s="2595">
        <f t="shared" si="3"/>
        <v>0</v>
      </c>
    </row>
    <row r="126" spans="1:9" ht="15" hidden="1" customHeight="1" x14ac:dyDescent="0.2">
      <c r="A126" s="3003">
        <f t="shared" si="4"/>
        <v>49.080999999999811</v>
      </c>
      <c r="B126" s="2512"/>
      <c r="C126" s="2614"/>
      <c r="D126" s="2614"/>
      <c r="E126" s="2614"/>
      <c r="F126" s="2614"/>
      <c r="G126" s="2614"/>
      <c r="H126" s="2614"/>
      <c r="I126" s="2595">
        <f t="shared" si="3"/>
        <v>0</v>
      </c>
    </row>
    <row r="127" spans="1:9" ht="15" hidden="1" customHeight="1" x14ac:dyDescent="0.2">
      <c r="A127" s="3003">
        <f t="shared" si="4"/>
        <v>49.081999999999809</v>
      </c>
      <c r="B127" s="2512"/>
      <c r="C127" s="2614"/>
      <c r="D127" s="2614"/>
      <c r="E127" s="2614"/>
      <c r="F127" s="2614"/>
      <c r="G127" s="2614"/>
      <c r="H127" s="2614"/>
      <c r="I127" s="2595">
        <f t="shared" si="3"/>
        <v>0</v>
      </c>
    </row>
    <row r="128" spans="1:9" ht="15" hidden="1" customHeight="1" x14ac:dyDescent="0.2">
      <c r="A128" s="3003">
        <f t="shared" si="4"/>
        <v>49.082999999999807</v>
      </c>
      <c r="B128" s="2512"/>
      <c r="C128" s="2614"/>
      <c r="D128" s="2488"/>
      <c r="E128" s="2488"/>
      <c r="F128" s="2614"/>
      <c r="G128" s="2614"/>
      <c r="H128" s="2488"/>
      <c r="I128" s="2595">
        <f t="shared" si="3"/>
        <v>0</v>
      </c>
    </row>
    <row r="129" spans="1:9" ht="15" hidden="1" customHeight="1" x14ac:dyDescent="0.2">
      <c r="A129" s="3003">
        <f t="shared" si="4"/>
        <v>49.083999999999804</v>
      </c>
      <c r="B129" s="2512"/>
      <c r="C129" s="2488"/>
      <c r="D129" s="2488"/>
      <c r="E129" s="2488"/>
      <c r="F129" s="2488"/>
      <c r="G129" s="2614"/>
      <c r="H129" s="2488"/>
      <c r="I129" s="2595">
        <f t="shared" si="3"/>
        <v>0</v>
      </c>
    </row>
    <row r="130" spans="1:9" ht="15" hidden="1" customHeight="1" x14ac:dyDescent="0.2">
      <c r="A130" s="3003">
        <f t="shared" si="4"/>
        <v>49.084999999999802</v>
      </c>
      <c r="B130" s="2512"/>
      <c r="C130" s="2614"/>
      <c r="D130" s="2614"/>
      <c r="E130" s="2614"/>
      <c r="F130" s="2614"/>
      <c r="G130" s="2614"/>
      <c r="H130" s="2614"/>
      <c r="I130" s="2595">
        <f t="shared" si="3"/>
        <v>0</v>
      </c>
    </row>
    <row r="131" spans="1:9" ht="15" hidden="1" customHeight="1" x14ac:dyDescent="0.2">
      <c r="A131" s="3003">
        <f t="shared" si="4"/>
        <v>49.0859999999998</v>
      </c>
      <c r="B131" s="2512"/>
      <c r="C131" s="2614"/>
      <c r="D131" s="2614"/>
      <c r="E131" s="2614"/>
      <c r="F131" s="2614"/>
      <c r="G131" s="2614"/>
      <c r="H131" s="2614"/>
      <c r="I131" s="2595">
        <f t="shared" si="3"/>
        <v>0</v>
      </c>
    </row>
    <row r="132" spans="1:9" ht="15" hidden="1" customHeight="1" x14ac:dyDescent="0.2">
      <c r="A132" s="3003">
        <f t="shared" si="4"/>
        <v>49.086999999999797</v>
      </c>
      <c r="B132" s="2512"/>
      <c r="C132" s="2614"/>
      <c r="D132" s="2614"/>
      <c r="E132" s="2614"/>
      <c r="F132" s="2614"/>
      <c r="G132" s="2614"/>
      <c r="H132" s="2614"/>
      <c r="I132" s="2595">
        <f t="shared" si="3"/>
        <v>0</v>
      </c>
    </row>
    <row r="133" spans="1:9" ht="15" hidden="1" customHeight="1" x14ac:dyDescent="0.2">
      <c r="A133" s="3003">
        <f t="shared" si="4"/>
        <v>49.087999999999795</v>
      </c>
      <c r="B133" s="2512"/>
      <c r="C133" s="2614"/>
      <c r="D133" s="2614"/>
      <c r="E133" s="2614"/>
      <c r="F133" s="2614"/>
      <c r="G133" s="2614"/>
      <c r="H133" s="2614"/>
      <c r="I133" s="2595">
        <f t="shared" si="3"/>
        <v>0</v>
      </c>
    </row>
    <row r="134" spans="1:9" ht="15" hidden="1" customHeight="1" x14ac:dyDescent="0.2">
      <c r="A134" s="3003">
        <f t="shared" si="4"/>
        <v>49.088999999999793</v>
      </c>
      <c r="B134" s="2512"/>
      <c r="C134" s="2614"/>
      <c r="D134" s="2614"/>
      <c r="E134" s="2614"/>
      <c r="F134" s="2614"/>
      <c r="G134" s="2614"/>
      <c r="H134" s="2614"/>
      <c r="I134" s="2595">
        <f t="shared" si="3"/>
        <v>0</v>
      </c>
    </row>
    <row r="135" spans="1:9" ht="15" hidden="1" customHeight="1" x14ac:dyDescent="0.2">
      <c r="A135" s="3003">
        <f t="shared" si="4"/>
        <v>49.08999999999979</v>
      </c>
      <c r="B135" s="2512"/>
      <c r="C135" s="2614"/>
      <c r="D135" s="2488"/>
      <c r="E135" s="2488"/>
      <c r="F135" s="2488"/>
      <c r="G135" s="2614"/>
      <c r="H135" s="2488"/>
      <c r="I135" s="2595">
        <f t="shared" si="3"/>
        <v>0</v>
      </c>
    </row>
    <row r="136" spans="1:9" ht="15" hidden="1" customHeight="1" x14ac:dyDescent="0.2">
      <c r="A136" s="3003">
        <f t="shared" si="4"/>
        <v>49.090999999999788</v>
      </c>
      <c r="B136" s="2512"/>
      <c r="C136" s="2488"/>
      <c r="D136" s="2488"/>
      <c r="E136" s="2488"/>
      <c r="F136" s="2488"/>
      <c r="G136" s="2614"/>
      <c r="H136" s="2488"/>
      <c r="I136" s="2595">
        <f t="shared" ref="I136:I199" si="5">B136</f>
        <v>0</v>
      </c>
    </row>
    <row r="137" spans="1:9" ht="15" hidden="1" customHeight="1" x14ac:dyDescent="0.2">
      <c r="A137" s="3003">
        <f t="shared" si="4"/>
        <v>49.091999999999786</v>
      </c>
      <c r="B137" s="2512"/>
      <c r="C137" s="2614"/>
      <c r="D137" s="2614"/>
      <c r="E137" s="2614"/>
      <c r="F137" s="2614"/>
      <c r="G137" s="2614"/>
      <c r="H137" s="2614"/>
      <c r="I137" s="2595">
        <f t="shared" si="5"/>
        <v>0</v>
      </c>
    </row>
    <row r="138" spans="1:9" ht="15" hidden="1" customHeight="1" x14ac:dyDescent="0.2">
      <c r="A138" s="3003">
        <f t="shared" si="4"/>
        <v>49.092999999999783</v>
      </c>
      <c r="B138" s="2512"/>
      <c r="C138" s="2614"/>
      <c r="D138" s="2614"/>
      <c r="E138" s="2614"/>
      <c r="F138" s="2614"/>
      <c r="G138" s="2614"/>
      <c r="H138" s="2614"/>
      <c r="I138" s="2595">
        <f t="shared" si="5"/>
        <v>0</v>
      </c>
    </row>
    <row r="139" spans="1:9" ht="15" hidden="1" customHeight="1" x14ac:dyDescent="0.2">
      <c r="A139" s="3003">
        <f t="shared" si="4"/>
        <v>49.093999999999781</v>
      </c>
      <c r="B139" s="2512"/>
      <c r="C139" s="2614"/>
      <c r="D139" s="2614"/>
      <c r="E139" s="2614"/>
      <c r="F139" s="2614"/>
      <c r="G139" s="2614"/>
      <c r="H139" s="2614"/>
      <c r="I139" s="2595">
        <f t="shared" si="5"/>
        <v>0</v>
      </c>
    </row>
    <row r="140" spans="1:9" ht="15" hidden="1" customHeight="1" x14ac:dyDescent="0.2">
      <c r="A140" s="3003">
        <f t="shared" si="4"/>
        <v>49.094999999999779</v>
      </c>
      <c r="B140" s="2512"/>
      <c r="C140" s="2614"/>
      <c r="D140" s="2614"/>
      <c r="E140" s="2614"/>
      <c r="F140" s="2614"/>
      <c r="G140" s="2614"/>
      <c r="H140" s="2614"/>
      <c r="I140" s="2595">
        <f t="shared" si="5"/>
        <v>0</v>
      </c>
    </row>
    <row r="141" spans="1:9" ht="15" hidden="1" customHeight="1" x14ac:dyDescent="0.2">
      <c r="A141" s="3003">
        <f t="shared" si="4"/>
        <v>49.095999999999776</v>
      </c>
      <c r="B141" s="2512"/>
      <c r="C141" s="2614"/>
      <c r="D141" s="2614"/>
      <c r="E141" s="2614"/>
      <c r="F141" s="2614"/>
      <c r="G141" s="2614"/>
      <c r="H141" s="2614"/>
      <c r="I141" s="2595">
        <f t="shared" si="5"/>
        <v>0</v>
      </c>
    </row>
    <row r="142" spans="1:9" ht="15" hidden="1" customHeight="1" x14ac:dyDescent="0.2">
      <c r="A142" s="3003">
        <f t="shared" si="4"/>
        <v>49.096999999999774</v>
      </c>
      <c r="B142" s="2512"/>
      <c r="C142" s="2614"/>
      <c r="D142" s="2614"/>
      <c r="E142" s="2488"/>
      <c r="F142" s="2614"/>
      <c r="G142" s="2614"/>
      <c r="H142" s="2614"/>
      <c r="I142" s="2595">
        <f t="shared" si="5"/>
        <v>0</v>
      </c>
    </row>
    <row r="143" spans="1:9" ht="15" hidden="1" customHeight="1" x14ac:dyDescent="0.2">
      <c r="A143" s="3003">
        <f t="shared" si="4"/>
        <v>49.097999999999772</v>
      </c>
      <c r="B143" s="2512"/>
      <c r="C143" s="2614"/>
      <c r="D143" s="2488"/>
      <c r="E143" s="2488"/>
      <c r="F143" s="2488"/>
      <c r="G143" s="2614"/>
      <c r="H143" s="2488"/>
      <c r="I143" s="2595">
        <f t="shared" si="5"/>
        <v>0</v>
      </c>
    </row>
    <row r="144" spans="1:9" ht="15" hidden="1" customHeight="1" x14ac:dyDescent="0.2">
      <c r="A144" s="3003">
        <f t="shared" si="4"/>
        <v>49.098999999999769</v>
      </c>
      <c r="B144" s="2512"/>
      <c r="C144" s="2488"/>
      <c r="D144" s="2488"/>
      <c r="E144" s="2488"/>
      <c r="F144" s="2488"/>
      <c r="G144" s="2614"/>
      <c r="H144" s="2488"/>
      <c r="I144" s="2595">
        <f t="shared" si="5"/>
        <v>0</v>
      </c>
    </row>
    <row r="145" spans="1:9" ht="15" hidden="1" customHeight="1" x14ac:dyDescent="0.2">
      <c r="A145" s="3003">
        <f t="shared" si="4"/>
        <v>49.099999999999767</v>
      </c>
      <c r="B145" s="2512"/>
      <c r="C145" s="2614"/>
      <c r="D145" s="2614"/>
      <c r="E145" s="2614"/>
      <c r="F145" s="2614"/>
      <c r="G145" s="2614"/>
      <c r="H145" s="2614"/>
      <c r="I145" s="2595">
        <f t="shared" si="5"/>
        <v>0</v>
      </c>
    </row>
    <row r="146" spans="1:9" ht="15" hidden="1" customHeight="1" x14ac:dyDescent="0.2">
      <c r="A146" s="3003">
        <f t="shared" si="4"/>
        <v>49.100999999999765</v>
      </c>
      <c r="B146" s="2512"/>
      <c r="C146" s="2614"/>
      <c r="D146" s="2614"/>
      <c r="E146" s="2614"/>
      <c r="F146" s="2614"/>
      <c r="G146" s="2614"/>
      <c r="H146" s="2614"/>
      <c r="I146" s="2595">
        <f t="shared" si="5"/>
        <v>0</v>
      </c>
    </row>
    <row r="147" spans="1:9" ht="15" hidden="1" customHeight="1" x14ac:dyDescent="0.2">
      <c r="A147" s="3003">
        <f t="shared" si="4"/>
        <v>49.101999999999762</v>
      </c>
      <c r="B147" s="2512"/>
      <c r="C147" s="2614"/>
      <c r="D147" s="2614"/>
      <c r="E147" s="2614"/>
      <c r="F147" s="2614"/>
      <c r="G147" s="2614"/>
      <c r="H147" s="2614"/>
      <c r="I147" s="2595">
        <f t="shared" si="5"/>
        <v>0</v>
      </c>
    </row>
    <row r="148" spans="1:9" ht="15" hidden="1" customHeight="1" x14ac:dyDescent="0.2">
      <c r="A148" s="3003">
        <f t="shared" si="4"/>
        <v>49.10299999999976</v>
      </c>
      <c r="B148" s="2512"/>
      <c r="C148" s="2614"/>
      <c r="D148" s="2614"/>
      <c r="E148" s="2614"/>
      <c r="F148" s="2614"/>
      <c r="G148" s="2614"/>
      <c r="H148" s="2614"/>
      <c r="I148" s="2595">
        <f t="shared" si="5"/>
        <v>0</v>
      </c>
    </row>
    <row r="149" spans="1:9" ht="15" hidden="1" customHeight="1" x14ac:dyDescent="0.2">
      <c r="A149" s="3003">
        <f t="shared" si="4"/>
        <v>49.103999999999758</v>
      </c>
      <c r="B149" s="2512"/>
      <c r="C149" s="2614"/>
      <c r="D149" s="2614"/>
      <c r="E149" s="2614"/>
      <c r="F149" s="2614"/>
      <c r="G149" s="2614"/>
      <c r="H149" s="2614"/>
      <c r="I149" s="2595">
        <f t="shared" si="5"/>
        <v>0</v>
      </c>
    </row>
    <row r="150" spans="1:9" ht="15" hidden="1" customHeight="1" x14ac:dyDescent="0.2">
      <c r="A150" s="3003">
        <f t="shared" si="4"/>
        <v>49.104999999999755</v>
      </c>
      <c r="B150" s="2512"/>
      <c r="C150" s="2614"/>
      <c r="D150" s="2614"/>
      <c r="E150" s="2614"/>
      <c r="F150" s="2614"/>
      <c r="G150" s="2614"/>
      <c r="H150" s="2614"/>
      <c r="I150" s="2595">
        <f t="shared" si="5"/>
        <v>0</v>
      </c>
    </row>
    <row r="151" spans="1:9" ht="15" hidden="1" customHeight="1" x14ac:dyDescent="0.2">
      <c r="A151" s="3003">
        <f t="shared" si="4"/>
        <v>49.105999999999753</v>
      </c>
      <c r="B151" s="2512"/>
      <c r="C151" s="2614"/>
      <c r="D151" s="2614"/>
      <c r="E151" s="2488"/>
      <c r="F151" s="2614"/>
      <c r="G151" s="2614"/>
      <c r="H151" s="2614"/>
      <c r="I151" s="2595">
        <f t="shared" si="5"/>
        <v>0</v>
      </c>
    </row>
    <row r="152" spans="1:9" ht="15" hidden="1" customHeight="1" x14ac:dyDescent="0.2">
      <c r="A152" s="3003">
        <f t="shared" si="4"/>
        <v>49.106999999999751</v>
      </c>
      <c r="B152" s="2512"/>
      <c r="C152" s="2614"/>
      <c r="D152" s="2614"/>
      <c r="E152" s="2614"/>
      <c r="F152" s="2614"/>
      <c r="G152" s="2614"/>
      <c r="H152" s="2614"/>
      <c r="I152" s="2595">
        <f t="shared" si="5"/>
        <v>0</v>
      </c>
    </row>
    <row r="153" spans="1:9" ht="15" hidden="1" customHeight="1" x14ac:dyDescent="0.2">
      <c r="A153" s="3003">
        <f t="shared" si="4"/>
        <v>49.107999999999748</v>
      </c>
      <c r="B153" s="2512"/>
      <c r="C153" s="2614"/>
      <c r="D153" s="2614"/>
      <c r="E153" s="2488"/>
      <c r="F153" s="2614"/>
      <c r="G153" s="2614"/>
      <c r="H153" s="2614"/>
      <c r="I153" s="2595">
        <f t="shared" si="5"/>
        <v>0</v>
      </c>
    </row>
    <row r="154" spans="1:9" ht="15" hidden="1" customHeight="1" x14ac:dyDescent="0.2">
      <c r="A154" s="3003">
        <f t="shared" si="4"/>
        <v>49.108999999999746</v>
      </c>
      <c r="B154" s="2512"/>
      <c r="C154" s="2614"/>
      <c r="D154" s="2614"/>
      <c r="E154" s="2614"/>
      <c r="F154" s="2614"/>
      <c r="G154" s="2614"/>
      <c r="H154" s="2614"/>
      <c r="I154" s="2595">
        <f t="shared" si="5"/>
        <v>0</v>
      </c>
    </row>
    <row r="155" spans="1:9" ht="15" hidden="1" customHeight="1" x14ac:dyDescent="0.2">
      <c r="A155" s="3003">
        <f t="shared" si="4"/>
        <v>49.109999999999744</v>
      </c>
      <c r="B155" s="2512"/>
      <c r="C155" s="2614"/>
      <c r="D155" s="2614"/>
      <c r="E155" s="2614"/>
      <c r="F155" s="2614"/>
      <c r="G155" s="2614"/>
      <c r="H155" s="2614"/>
      <c r="I155" s="2595">
        <f t="shared" si="5"/>
        <v>0</v>
      </c>
    </row>
    <row r="156" spans="1:9" ht="15" hidden="1" customHeight="1" x14ac:dyDescent="0.2">
      <c r="A156" s="3003">
        <f t="shared" si="4"/>
        <v>49.110999999999741</v>
      </c>
      <c r="B156" s="2512"/>
      <c r="C156" s="2614"/>
      <c r="D156" s="2488"/>
      <c r="E156" s="2488"/>
      <c r="F156" s="2488"/>
      <c r="G156" s="2614"/>
      <c r="H156" s="2488"/>
      <c r="I156" s="2595">
        <f t="shared" si="5"/>
        <v>0</v>
      </c>
    </row>
    <row r="157" spans="1:9" ht="15" hidden="1" customHeight="1" x14ac:dyDescent="0.2">
      <c r="A157" s="3003">
        <f t="shared" si="4"/>
        <v>49.111999999999739</v>
      </c>
      <c r="B157" s="2512"/>
      <c r="C157" s="2488"/>
      <c r="D157" s="2488"/>
      <c r="E157" s="2488"/>
      <c r="F157" s="2488"/>
      <c r="G157" s="2614"/>
      <c r="H157" s="2488"/>
      <c r="I157" s="2595">
        <f t="shared" si="5"/>
        <v>0</v>
      </c>
    </row>
    <row r="158" spans="1:9" ht="15" hidden="1" customHeight="1" x14ac:dyDescent="0.2">
      <c r="A158" s="3003">
        <f t="shared" si="4"/>
        <v>49.112999999999737</v>
      </c>
      <c r="B158" s="2512"/>
      <c r="C158" s="2614"/>
      <c r="D158" s="2614"/>
      <c r="E158" s="2614"/>
      <c r="F158" s="2614"/>
      <c r="G158" s="2614"/>
      <c r="H158" s="2614"/>
      <c r="I158" s="2595">
        <f t="shared" si="5"/>
        <v>0</v>
      </c>
    </row>
    <row r="159" spans="1:9" ht="15" hidden="1" customHeight="1" x14ac:dyDescent="0.2">
      <c r="A159" s="3003">
        <f t="shared" si="4"/>
        <v>49.113999999999734</v>
      </c>
      <c r="B159" s="2512"/>
      <c r="C159" s="2614"/>
      <c r="D159" s="2614"/>
      <c r="E159" s="2488"/>
      <c r="F159" s="2614"/>
      <c r="G159" s="2614"/>
      <c r="H159" s="2614"/>
      <c r="I159" s="2595">
        <f t="shared" si="5"/>
        <v>0</v>
      </c>
    </row>
    <row r="160" spans="1:9" ht="15" hidden="1" customHeight="1" x14ac:dyDescent="0.2">
      <c r="A160" s="3003">
        <f t="shared" si="4"/>
        <v>49.114999999999732</v>
      </c>
      <c r="B160" s="2512"/>
      <c r="C160" s="2614"/>
      <c r="D160" s="2614"/>
      <c r="E160" s="2614"/>
      <c r="F160" s="2614"/>
      <c r="G160" s="2614"/>
      <c r="H160" s="2614"/>
      <c r="I160" s="2595">
        <f t="shared" si="5"/>
        <v>0</v>
      </c>
    </row>
    <row r="161" spans="1:9" ht="15" hidden="1" customHeight="1" x14ac:dyDescent="0.2">
      <c r="A161" s="3003">
        <f t="shared" si="4"/>
        <v>49.11599999999973</v>
      </c>
      <c r="B161" s="2512"/>
      <c r="C161" s="2614"/>
      <c r="D161" s="2488"/>
      <c r="E161" s="2488"/>
      <c r="F161" s="2488"/>
      <c r="G161" s="2614"/>
      <c r="H161" s="2488"/>
      <c r="I161" s="2595">
        <f t="shared" si="5"/>
        <v>0</v>
      </c>
    </row>
    <row r="162" spans="1:9" ht="15" hidden="1" customHeight="1" x14ac:dyDescent="0.2">
      <c r="A162" s="3003">
        <f t="shared" si="4"/>
        <v>49.116999999999727</v>
      </c>
      <c r="B162" s="2512"/>
      <c r="C162" s="2488"/>
      <c r="D162" s="2488"/>
      <c r="E162" s="2488"/>
      <c r="F162" s="2488"/>
      <c r="G162" s="2614"/>
      <c r="H162" s="2488"/>
      <c r="I162" s="2595">
        <f t="shared" si="5"/>
        <v>0</v>
      </c>
    </row>
    <row r="163" spans="1:9" ht="15" hidden="1" customHeight="1" x14ac:dyDescent="0.2">
      <c r="A163" s="3003">
        <f t="shared" si="4"/>
        <v>49.117999999999725</v>
      </c>
      <c r="B163" s="2512"/>
      <c r="C163" s="2614"/>
      <c r="D163" s="2614"/>
      <c r="E163" s="2614"/>
      <c r="F163" s="2614"/>
      <c r="G163" s="2614"/>
      <c r="H163" s="2614"/>
      <c r="I163" s="2595">
        <f t="shared" si="5"/>
        <v>0</v>
      </c>
    </row>
    <row r="164" spans="1:9" ht="15" hidden="1" customHeight="1" x14ac:dyDescent="0.2">
      <c r="A164" s="3003">
        <f t="shared" si="4"/>
        <v>49.118999999999723</v>
      </c>
      <c r="B164" s="2512"/>
      <c r="C164" s="2614"/>
      <c r="D164" s="2614"/>
      <c r="E164" s="2614"/>
      <c r="F164" s="2614"/>
      <c r="G164" s="2614"/>
      <c r="H164" s="2614"/>
      <c r="I164" s="2595">
        <f t="shared" si="5"/>
        <v>0</v>
      </c>
    </row>
    <row r="165" spans="1:9" ht="15" hidden="1" customHeight="1" x14ac:dyDescent="0.2">
      <c r="A165" s="3003">
        <f t="shared" si="4"/>
        <v>49.11999999999972</v>
      </c>
      <c r="B165" s="2512"/>
      <c r="C165" s="2614"/>
      <c r="D165" s="2614"/>
      <c r="E165" s="2614"/>
      <c r="F165" s="2614"/>
      <c r="G165" s="2614"/>
      <c r="H165" s="2614"/>
      <c r="I165" s="2595">
        <f t="shared" si="5"/>
        <v>0</v>
      </c>
    </row>
    <row r="166" spans="1:9" ht="15" hidden="1" customHeight="1" x14ac:dyDescent="0.2">
      <c r="A166" s="3003">
        <f t="shared" si="4"/>
        <v>49.120999999999718</v>
      </c>
      <c r="B166" s="2512"/>
      <c r="C166" s="2614"/>
      <c r="D166" s="2614"/>
      <c r="E166" s="2614"/>
      <c r="F166" s="2614"/>
      <c r="G166" s="2614"/>
      <c r="H166" s="2614"/>
      <c r="I166" s="2595">
        <f t="shared" si="5"/>
        <v>0</v>
      </c>
    </row>
    <row r="167" spans="1:9" ht="15" hidden="1" customHeight="1" x14ac:dyDescent="0.2">
      <c r="A167" s="3003">
        <f t="shared" si="4"/>
        <v>49.121999999999716</v>
      </c>
      <c r="B167" s="2512"/>
      <c r="C167" s="2614"/>
      <c r="D167" s="2488"/>
      <c r="E167" s="2488"/>
      <c r="F167" s="2614"/>
      <c r="G167" s="2614"/>
      <c r="H167" s="2488"/>
      <c r="I167" s="2595">
        <f t="shared" si="5"/>
        <v>0</v>
      </c>
    </row>
    <row r="168" spans="1:9" ht="15" hidden="1" customHeight="1" x14ac:dyDescent="0.2">
      <c r="A168" s="3003">
        <f t="shared" si="4"/>
        <v>49.122999999999713</v>
      </c>
      <c r="B168" s="2512"/>
      <c r="C168" s="2488"/>
      <c r="D168" s="2488"/>
      <c r="E168" s="2488"/>
      <c r="F168" s="2488"/>
      <c r="G168" s="2614"/>
      <c r="H168" s="2488"/>
      <c r="I168" s="2595">
        <f t="shared" si="5"/>
        <v>0</v>
      </c>
    </row>
    <row r="169" spans="1:9" ht="15" hidden="1" customHeight="1" x14ac:dyDescent="0.2">
      <c r="A169" s="3003">
        <f t="shared" si="4"/>
        <v>49.123999999999711</v>
      </c>
      <c r="B169" s="2512"/>
      <c r="C169" s="2614"/>
      <c r="D169" s="2614"/>
      <c r="E169" s="2614"/>
      <c r="F169" s="2614"/>
      <c r="G169" s="2614"/>
      <c r="H169" s="2614"/>
      <c r="I169" s="2595">
        <f t="shared" si="5"/>
        <v>0</v>
      </c>
    </row>
    <row r="170" spans="1:9" ht="15" hidden="1" customHeight="1" x14ac:dyDescent="0.2">
      <c r="A170" s="3003">
        <f t="shared" si="4"/>
        <v>49.124999999999709</v>
      </c>
      <c r="B170" s="2512"/>
      <c r="C170" s="2614"/>
      <c r="D170" s="2614"/>
      <c r="E170" s="2614"/>
      <c r="F170" s="2614"/>
      <c r="G170" s="2614"/>
      <c r="H170" s="2614"/>
      <c r="I170" s="2595">
        <f t="shared" si="5"/>
        <v>0</v>
      </c>
    </row>
    <row r="171" spans="1:9" ht="15" hidden="1" customHeight="1" x14ac:dyDescent="0.2">
      <c r="A171" s="3003">
        <f t="shared" si="4"/>
        <v>49.125999999999706</v>
      </c>
      <c r="B171" s="2512"/>
      <c r="C171" s="2614"/>
      <c r="D171" s="2614"/>
      <c r="E171" s="2614"/>
      <c r="F171" s="2614"/>
      <c r="G171" s="2614"/>
      <c r="H171" s="2614"/>
      <c r="I171" s="2595">
        <f t="shared" si="5"/>
        <v>0</v>
      </c>
    </row>
    <row r="172" spans="1:9" ht="15" hidden="1" customHeight="1" x14ac:dyDescent="0.2">
      <c r="A172" s="3003">
        <f t="shared" si="4"/>
        <v>49.126999999999704</v>
      </c>
      <c r="B172" s="2512"/>
      <c r="C172" s="2614"/>
      <c r="D172" s="2614"/>
      <c r="E172" s="2614"/>
      <c r="F172" s="2614"/>
      <c r="G172" s="2614"/>
      <c r="H172" s="2614"/>
      <c r="I172" s="2595">
        <f t="shared" si="5"/>
        <v>0</v>
      </c>
    </row>
    <row r="173" spans="1:9" ht="15" hidden="1" customHeight="1" x14ac:dyDescent="0.2">
      <c r="A173" s="3003">
        <f t="shared" si="4"/>
        <v>49.127999999999702</v>
      </c>
      <c r="B173" s="2512"/>
      <c r="C173" s="2614"/>
      <c r="D173" s="2614"/>
      <c r="E173" s="2614"/>
      <c r="F173" s="2614"/>
      <c r="G173" s="2614"/>
      <c r="H173" s="2614"/>
      <c r="I173" s="2595">
        <f t="shared" si="5"/>
        <v>0</v>
      </c>
    </row>
    <row r="174" spans="1:9" ht="15" hidden="1" customHeight="1" x14ac:dyDescent="0.2">
      <c r="A174" s="3003">
        <f t="shared" ref="A174:A237" si="6">A173+0.001</f>
        <v>49.128999999999699</v>
      </c>
      <c r="B174" s="2512"/>
      <c r="C174" s="2614"/>
      <c r="D174" s="2488"/>
      <c r="E174" s="2488"/>
      <c r="F174" s="2488"/>
      <c r="G174" s="2614"/>
      <c r="H174" s="2488"/>
      <c r="I174" s="2595">
        <f t="shared" si="5"/>
        <v>0</v>
      </c>
    </row>
    <row r="175" spans="1:9" ht="15" hidden="1" customHeight="1" x14ac:dyDescent="0.2">
      <c r="A175" s="3003">
        <f t="shared" si="6"/>
        <v>49.129999999999697</v>
      </c>
      <c r="B175" s="2512"/>
      <c r="C175" s="2488"/>
      <c r="D175" s="2488"/>
      <c r="E175" s="2488"/>
      <c r="F175" s="2488"/>
      <c r="G175" s="2614"/>
      <c r="H175" s="2488"/>
      <c r="I175" s="2595">
        <f t="shared" si="5"/>
        <v>0</v>
      </c>
    </row>
    <row r="176" spans="1:9" ht="15" hidden="1" customHeight="1" x14ac:dyDescent="0.2">
      <c r="A176" s="3003">
        <f t="shared" si="6"/>
        <v>49.130999999999695</v>
      </c>
      <c r="B176" s="2512"/>
      <c r="C176" s="2614"/>
      <c r="D176" s="2614"/>
      <c r="E176" s="2614"/>
      <c r="F176" s="2614"/>
      <c r="G176" s="2614"/>
      <c r="H176" s="2614"/>
      <c r="I176" s="2595">
        <f t="shared" si="5"/>
        <v>0</v>
      </c>
    </row>
    <row r="177" spans="1:9" ht="15" hidden="1" customHeight="1" x14ac:dyDescent="0.2">
      <c r="A177" s="3003">
        <f t="shared" si="6"/>
        <v>49.131999999999692</v>
      </c>
      <c r="B177" s="2512"/>
      <c r="C177" s="2614"/>
      <c r="D177" s="2614"/>
      <c r="E177" s="2614"/>
      <c r="F177" s="2614"/>
      <c r="G177" s="2614"/>
      <c r="H177" s="2614"/>
      <c r="I177" s="2595">
        <f t="shared" si="5"/>
        <v>0</v>
      </c>
    </row>
    <row r="178" spans="1:9" ht="15" hidden="1" customHeight="1" x14ac:dyDescent="0.2">
      <c r="A178" s="3003">
        <f t="shared" si="6"/>
        <v>49.13299999999969</v>
      </c>
      <c r="B178" s="2512"/>
      <c r="C178" s="2614"/>
      <c r="D178" s="2614"/>
      <c r="E178" s="2614"/>
      <c r="F178" s="2614"/>
      <c r="G178" s="2614"/>
      <c r="H178" s="2614"/>
      <c r="I178" s="2595">
        <f t="shared" si="5"/>
        <v>0</v>
      </c>
    </row>
    <row r="179" spans="1:9" ht="15" hidden="1" customHeight="1" x14ac:dyDescent="0.2">
      <c r="A179" s="3003">
        <f t="shared" si="6"/>
        <v>49.133999999999688</v>
      </c>
      <c r="B179" s="2512"/>
      <c r="C179" s="2614"/>
      <c r="D179" s="2614"/>
      <c r="E179" s="2614"/>
      <c r="F179" s="2614"/>
      <c r="G179" s="2614"/>
      <c r="H179" s="2614"/>
      <c r="I179" s="2595">
        <f t="shared" si="5"/>
        <v>0</v>
      </c>
    </row>
    <row r="180" spans="1:9" ht="15" hidden="1" customHeight="1" x14ac:dyDescent="0.2">
      <c r="A180" s="3003">
        <f t="shared" si="6"/>
        <v>49.134999999999685</v>
      </c>
      <c r="B180" s="2512"/>
      <c r="C180" s="2614"/>
      <c r="D180" s="2614"/>
      <c r="E180" s="2614"/>
      <c r="F180" s="2614"/>
      <c r="G180" s="2614"/>
      <c r="H180" s="2614"/>
      <c r="I180" s="2595">
        <f t="shared" si="5"/>
        <v>0</v>
      </c>
    </row>
    <row r="181" spans="1:9" ht="15" hidden="1" customHeight="1" x14ac:dyDescent="0.2">
      <c r="A181" s="3003">
        <f t="shared" si="6"/>
        <v>49.135999999999683</v>
      </c>
      <c r="B181" s="2512"/>
      <c r="C181" s="2614"/>
      <c r="D181" s="2614"/>
      <c r="E181" s="2488"/>
      <c r="F181" s="2614"/>
      <c r="G181" s="2614"/>
      <c r="H181" s="2614"/>
      <c r="I181" s="2595">
        <f t="shared" si="5"/>
        <v>0</v>
      </c>
    </row>
    <row r="182" spans="1:9" ht="15" hidden="1" customHeight="1" x14ac:dyDescent="0.2">
      <c r="A182" s="3003">
        <f t="shared" si="6"/>
        <v>49.136999999999681</v>
      </c>
      <c r="B182" s="2512"/>
      <c r="C182" s="2614"/>
      <c r="D182" s="2488"/>
      <c r="E182" s="2488"/>
      <c r="F182" s="2488"/>
      <c r="G182" s="2614"/>
      <c r="H182" s="2488"/>
      <c r="I182" s="2595">
        <f t="shared" si="5"/>
        <v>0</v>
      </c>
    </row>
    <row r="183" spans="1:9" ht="15" hidden="1" customHeight="1" x14ac:dyDescent="0.2">
      <c r="A183" s="3003">
        <f t="shared" si="6"/>
        <v>49.137999999999678</v>
      </c>
      <c r="B183" s="2512"/>
      <c r="C183" s="2488"/>
      <c r="D183" s="2488"/>
      <c r="E183" s="2488"/>
      <c r="F183" s="2488"/>
      <c r="G183" s="2614"/>
      <c r="H183" s="2488"/>
      <c r="I183" s="2595">
        <f t="shared" si="5"/>
        <v>0</v>
      </c>
    </row>
    <row r="184" spans="1:9" ht="15" hidden="1" customHeight="1" x14ac:dyDescent="0.2">
      <c r="A184" s="3003">
        <f t="shared" si="6"/>
        <v>49.138999999999676</v>
      </c>
      <c r="B184" s="2512"/>
      <c r="C184" s="2614"/>
      <c r="D184" s="2614"/>
      <c r="E184" s="2614"/>
      <c r="F184" s="2614"/>
      <c r="G184" s="2614"/>
      <c r="H184" s="2614"/>
      <c r="I184" s="2595">
        <f t="shared" si="5"/>
        <v>0</v>
      </c>
    </row>
    <row r="185" spans="1:9" ht="15" hidden="1" customHeight="1" x14ac:dyDescent="0.2">
      <c r="A185" s="3003">
        <f t="shared" si="6"/>
        <v>49.139999999999674</v>
      </c>
      <c r="B185" s="2512"/>
      <c r="C185" s="2614"/>
      <c r="D185" s="2614"/>
      <c r="E185" s="2614"/>
      <c r="F185" s="2614"/>
      <c r="G185" s="2614"/>
      <c r="H185" s="2614"/>
      <c r="I185" s="2595">
        <f t="shared" si="5"/>
        <v>0</v>
      </c>
    </row>
    <row r="186" spans="1:9" ht="15" hidden="1" customHeight="1" x14ac:dyDescent="0.2">
      <c r="A186" s="3003">
        <f t="shared" si="6"/>
        <v>49.140999999999671</v>
      </c>
      <c r="B186" s="2512"/>
      <c r="C186" s="2614"/>
      <c r="D186" s="2614"/>
      <c r="E186" s="2614"/>
      <c r="F186" s="2614"/>
      <c r="G186" s="2614"/>
      <c r="H186" s="2614"/>
      <c r="I186" s="2595">
        <f t="shared" si="5"/>
        <v>0</v>
      </c>
    </row>
    <row r="187" spans="1:9" ht="15" hidden="1" customHeight="1" x14ac:dyDescent="0.2">
      <c r="A187" s="3003">
        <f t="shared" si="6"/>
        <v>49.141999999999669</v>
      </c>
      <c r="B187" s="2512"/>
      <c r="C187" s="2614"/>
      <c r="D187" s="2614"/>
      <c r="E187" s="2614"/>
      <c r="F187" s="2614"/>
      <c r="G187" s="2614"/>
      <c r="H187" s="2614"/>
      <c r="I187" s="2595">
        <f t="shared" si="5"/>
        <v>0</v>
      </c>
    </row>
    <row r="188" spans="1:9" ht="15" hidden="1" customHeight="1" x14ac:dyDescent="0.2">
      <c r="A188" s="3003">
        <f t="shared" si="6"/>
        <v>49.142999999999667</v>
      </c>
      <c r="B188" s="2512"/>
      <c r="C188" s="2614"/>
      <c r="D188" s="2614"/>
      <c r="E188" s="2614"/>
      <c r="F188" s="2614"/>
      <c r="G188" s="2614"/>
      <c r="H188" s="2614"/>
      <c r="I188" s="2595">
        <f t="shared" si="5"/>
        <v>0</v>
      </c>
    </row>
    <row r="189" spans="1:9" ht="15" hidden="1" customHeight="1" x14ac:dyDescent="0.2">
      <c r="A189" s="3003">
        <f t="shared" si="6"/>
        <v>49.143999999999664</v>
      </c>
      <c r="B189" s="2512"/>
      <c r="C189" s="2614"/>
      <c r="D189" s="2614"/>
      <c r="E189" s="2614"/>
      <c r="F189" s="2614"/>
      <c r="G189" s="2614"/>
      <c r="H189" s="2614"/>
      <c r="I189" s="2595">
        <f t="shared" si="5"/>
        <v>0</v>
      </c>
    </row>
    <row r="190" spans="1:9" ht="15" hidden="1" customHeight="1" x14ac:dyDescent="0.2">
      <c r="A190" s="3003">
        <f t="shared" si="6"/>
        <v>49.144999999999662</v>
      </c>
      <c r="B190" s="2512"/>
      <c r="C190" s="2614"/>
      <c r="D190" s="2614"/>
      <c r="E190" s="2488"/>
      <c r="F190" s="2614"/>
      <c r="G190" s="2614"/>
      <c r="H190" s="2614"/>
      <c r="I190" s="2595">
        <f t="shared" si="5"/>
        <v>0</v>
      </c>
    </row>
    <row r="191" spans="1:9" ht="15" hidden="1" customHeight="1" x14ac:dyDescent="0.2">
      <c r="A191" s="3003">
        <f t="shared" si="6"/>
        <v>49.14599999999966</v>
      </c>
      <c r="B191" s="2512"/>
      <c r="C191" s="2614"/>
      <c r="D191" s="2614"/>
      <c r="E191" s="2614"/>
      <c r="F191" s="2614"/>
      <c r="G191" s="2614"/>
      <c r="H191" s="2614"/>
      <c r="I191" s="2595">
        <f t="shared" si="5"/>
        <v>0</v>
      </c>
    </row>
    <row r="192" spans="1:9" ht="15" hidden="1" customHeight="1" x14ac:dyDescent="0.2">
      <c r="A192" s="3003">
        <f t="shared" si="6"/>
        <v>49.146999999999657</v>
      </c>
      <c r="B192" s="2512"/>
      <c r="C192" s="2614"/>
      <c r="D192" s="2614"/>
      <c r="E192" s="2488"/>
      <c r="F192" s="2614"/>
      <c r="G192" s="2614"/>
      <c r="H192" s="2614"/>
      <c r="I192" s="2595">
        <f t="shared" si="5"/>
        <v>0</v>
      </c>
    </row>
    <row r="193" spans="1:9" ht="15" hidden="1" customHeight="1" x14ac:dyDescent="0.2">
      <c r="A193" s="3003">
        <f t="shared" si="6"/>
        <v>49.147999999999655</v>
      </c>
      <c r="B193" s="2512"/>
      <c r="C193" s="2614"/>
      <c r="D193" s="2614"/>
      <c r="E193" s="2614"/>
      <c r="F193" s="2614"/>
      <c r="G193" s="2614"/>
      <c r="H193" s="2614"/>
      <c r="I193" s="2595">
        <f t="shared" si="5"/>
        <v>0</v>
      </c>
    </row>
    <row r="194" spans="1:9" ht="15" hidden="1" customHeight="1" x14ac:dyDescent="0.2">
      <c r="A194" s="3003">
        <f t="shared" si="6"/>
        <v>49.148999999999653</v>
      </c>
      <c r="B194" s="2512"/>
      <c r="C194" s="2614"/>
      <c r="D194" s="2614"/>
      <c r="E194" s="2614"/>
      <c r="F194" s="2614"/>
      <c r="G194" s="2614"/>
      <c r="H194" s="2614"/>
      <c r="I194" s="2595">
        <f t="shared" si="5"/>
        <v>0</v>
      </c>
    </row>
    <row r="195" spans="1:9" ht="15" hidden="1" customHeight="1" x14ac:dyDescent="0.2">
      <c r="A195" s="3003">
        <f t="shared" si="6"/>
        <v>49.14999999999965</v>
      </c>
      <c r="B195" s="2512"/>
      <c r="C195" s="2614"/>
      <c r="D195" s="2488"/>
      <c r="E195" s="2488"/>
      <c r="F195" s="2488"/>
      <c r="G195" s="2614"/>
      <c r="H195" s="2488"/>
      <c r="I195" s="2595">
        <f t="shared" si="5"/>
        <v>0</v>
      </c>
    </row>
    <row r="196" spans="1:9" ht="15" hidden="1" customHeight="1" x14ac:dyDescent="0.2">
      <c r="A196" s="3003">
        <f t="shared" si="6"/>
        <v>49.150999999999648</v>
      </c>
      <c r="B196" s="2512"/>
      <c r="C196" s="2488"/>
      <c r="D196" s="2488"/>
      <c r="E196" s="2488"/>
      <c r="F196" s="2488"/>
      <c r="G196" s="2614"/>
      <c r="H196" s="2488"/>
      <c r="I196" s="2595">
        <f t="shared" si="5"/>
        <v>0</v>
      </c>
    </row>
    <row r="197" spans="1:9" ht="15" hidden="1" customHeight="1" x14ac:dyDescent="0.2">
      <c r="A197" s="3003">
        <f t="shared" si="6"/>
        <v>49.151999999999646</v>
      </c>
      <c r="B197" s="2512"/>
      <c r="C197" s="2614"/>
      <c r="D197" s="2614"/>
      <c r="E197" s="2614"/>
      <c r="F197" s="2614"/>
      <c r="G197" s="2614"/>
      <c r="H197" s="2614"/>
      <c r="I197" s="2595">
        <f t="shared" si="5"/>
        <v>0</v>
      </c>
    </row>
    <row r="198" spans="1:9" ht="15" hidden="1" customHeight="1" x14ac:dyDescent="0.2">
      <c r="A198" s="3003">
        <f t="shared" si="6"/>
        <v>49.152999999999643</v>
      </c>
      <c r="B198" s="2512"/>
      <c r="C198" s="2614"/>
      <c r="D198" s="2614"/>
      <c r="E198" s="2488"/>
      <c r="F198" s="2614"/>
      <c r="G198" s="2614"/>
      <c r="H198" s="2614"/>
      <c r="I198" s="2595">
        <f t="shared" si="5"/>
        <v>0</v>
      </c>
    </row>
    <row r="199" spans="1:9" ht="15" hidden="1" customHeight="1" x14ac:dyDescent="0.2">
      <c r="A199" s="3003">
        <f t="shared" si="6"/>
        <v>49.153999999999641</v>
      </c>
      <c r="B199" s="2512"/>
      <c r="C199" s="2614"/>
      <c r="D199" s="2614"/>
      <c r="E199" s="2614"/>
      <c r="F199" s="2614"/>
      <c r="G199" s="2614"/>
      <c r="H199" s="2614"/>
      <c r="I199" s="2595">
        <f t="shared" si="5"/>
        <v>0</v>
      </c>
    </row>
    <row r="200" spans="1:9" ht="15" hidden="1" customHeight="1" x14ac:dyDescent="0.2">
      <c r="A200" s="3003">
        <f t="shared" si="6"/>
        <v>49.154999999999639</v>
      </c>
      <c r="B200" s="2512"/>
      <c r="C200" s="2614"/>
      <c r="D200" s="2488"/>
      <c r="E200" s="2488"/>
      <c r="F200" s="2488"/>
      <c r="G200" s="2614"/>
      <c r="H200" s="2488"/>
      <c r="I200" s="2595">
        <f t="shared" ref="I200:I263" si="7">B200</f>
        <v>0</v>
      </c>
    </row>
    <row r="201" spans="1:9" ht="15" hidden="1" customHeight="1" x14ac:dyDescent="0.2">
      <c r="A201" s="3003">
        <f t="shared" si="6"/>
        <v>49.155999999999636</v>
      </c>
      <c r="B201" s="2512"/>
      <c r="C201" s="2488"/>
      <c r="D201" s="2488"/>
      <c r="E201" s="2488"/>
      <c r="F201" s="2488"/>
      <c r="G201" s="2614"/>
      <c r="H201" s="2488"/>
      <c r="I201" s="2595">
        <f t="shared" si="7"/>
        <v>0</v>
      </c>
    </row>
    <row r="202" spans="1:9" ht="15" hidden="1" customHeight="1" x14ac:dyDescent="0.2">
      <c r="A202" s="3003">
        <f t="shared" si="6"/>
        <v>49.156999999999634</v>
      </c>
      <c r="B202" s="2512"/>
      <c r="C202" s="2614"/>
      <c r="D202" s="2614"/>
      <c r="E202" s="2614"/>
      <c r="F202" s="2614"/>
      <c r="G202" s="2614"/>
      <c r="H202" s="2614"/>
      <c r="I202" s="2595">
        <f t="shared" si="7"/>
        <v>0</v>
      </c>
    </row>
    <row r="203" spans="1:9" ht="15" hidden="1" customHeight="1" x14ac:dyDescent="0.2">
      <c r="A203" s="3003">
        <f t="shared" si="6"/>
        <v>49.157999999999632</v>
      </c>
      <c r="B203" s="2512"/>
      <c r="C203" s="2614"/>
      <c r="D203" s="2614"/>
      <c r="E203" s="2614"/>
      <c r="F203" s="2614"/>
      <c r="G203" s="2614"/>
      <c r="H203" s="2614"/>
      <c r="I203" s="2595">
        <f t="shared" si="7"/>
        <v>0</v>
      </c>
    </row>
    <row r="204" spans="1:9" ht="15" hidden="1" customHeight="1" x14ac:dyDescent="0.2">
      <c r="A204" s="3003">
        <f t="shared" si="6"/>
        <v>49.158999999999629</v>
      </c>
      <c r="B204" s="2512"/>
      <c r="C204" s="2614"/>
      <c r="D204" s="2614"/>
      <c r="E204" s="2614"/>
      <c r="F204" s="2614"/>
      <c r="G204" s="2614"/>
      <c r="H204" s="2614"/>
      <c r="I204" s="2595">
        <f t="shared" si="7"/>
        <v>0</v>
      </c>
    </row>
    <row r="205" spans="1:9" ht="15" hidden="1" customHeight="1" x14ac:dyDescent="0.2">
      <c r="A205" s="3003">
        <f t="shared" si="6"/>
        <v>49.159999999999627</v>
      </c>
      <c r="B205" s="2512"/>
      <c r="C205" s="2614"/>
      <c r="D205" s="2614"/>
      <c r="E205" s="2614"/>
      <c r="F205" s="2614"/>
      <c r="G205" s="2614"/>
      <c r="H205" s="2614"/>
      <c r="I205" s="2595">
        <f t="shared" si="7"/>
        <v>0</v>
      </c>
    </row>
    <row r="206" spans="1:9" ht="15" hidden="1" customHeight="1" x14ac:dyDescent="0.2">
      <c r="A206" s="3003">
        <f t="shared" si="6"/>
        <v>49.160999999999625</v>
      </c>
      <c r="B206" s="2512"/>
      <c r="C206" s="2614"/>
      <c r="D206" s="2488"/>
      <c r="E206" s="2488"/>
      <c r="F206" s="2614"/>
      <c r="G206" s="2614"/>
      <c r="H206" s="2488"/>
      <c r="I206" s="2595">
        <f t="shared" si="7"/>
        <v>0</v>
      </c>
    </row>
    <row r="207" spans="1:9" ht="15" hidden="1" customHeight="1" x14ac:dyDescent="0.2">
      <c r="A207" s="3003">
        <f t="shared" si="6"/>
        <v>49.161999999999622</v>
      </c>
      <c r="B207" s="2512"/>
      <c r="C207" s="2488"/>
      <c r="D207" s="2488"/>
      <c r="E207" s="2488"/>
      <c r="F207" s="2488"/>
      <c r="G207" s="2614"/>
      <c r="H207" s="2488"/>
      <c r="I207" s="2595">
        <f t="shared" si="7"/>
        <v>0</v>
      </c>
    </row>
    <row r="208" spans="1:9" ht="15" hidden="1" customHeight="1" x14ac:dyDescent="0.2">
      <c r="A208" s="3003">
        <f t="shared" si="6"/>
        <v>49.16299999999962</v>
      </c>
      <c r="B208" s="2512"/>
      <c r="C208" s="2614"/>
      <c r="D208" s="2614"/>
      <c r="E208" s="2614"/>
      <c r="F208" s="2614"/>
      <c r="G208" s="2614"/>
      <c r="H208" s="2614"/>
      <c r="I208" s="2595">
        <f t="shared" si="7"/>
        <v>0</v>
      </c>
    </row>
    <row r="209" spans="1:9" ht="15" hidden="1" customHeight="1" x14ac:dyDescent="0.2">
      <c r="A209" s="3003">
        <f t="shared" si="6"/>
        <v>49.163999999999618</v>
      </c>
      <c r="B209" s="2512"/>
      <c r="C209" s="2614"/>
      <c r="D209" s="2614"/>
      <c r="E209" s="2614"/>
      <c r="F209" s="2614"/>
      <c r="G209" s="2614"/>
      <c r="H209" s="2614"/>
      <c r="I209" s="2595">
        <f t="shared" si="7"/>
        <v>0</v>
      </c>
    </row>
    <row r="210" spans="1:9" ht="15" hidden="1" customHeight="1" x14ac:dyDescent="0.2">
      <c r="A210" s="3003">
        <f t="shared" si="6"/>
        <v>49.164999999999615</v>
      </c>
      <c r="B210" s="2512"/>
      <c r="C210" s="2614"/>
      <c r="D210" s="2614"/>
      <c r="E210" s="2614"/>
      <c r="F210" s="2614"/>
      <c r="G210" s="2614"/>
      <c r="H210" s="2614"/>
      <c r="I210" s="2595">
        <f t="shared" si="7"/>
        <v>0</v>
      </c>
    </row>
    <row r="211" spans="1:9" ht="15" hidden="1" customHeight="1" x14ac:dyDescent="0.2">
      <c r="A211" s="3003">
        <f t="shared" si="6"/>
        <v>49.165999999999613</v>
      </c>
      <c r="B211" s="2512"/>
      <c r="C211" s="2614"/>
      <c r="D211" s="2614"/>
      <c r="E211" s="2614"/>
      <c r="F211" s="2614"/>
      <c r="G211" s="2614"/>
      <c r="H211" s="2614"/>
      <c r="I211" s="2595">
        <f t="shared" si="7"/>
        <v>0</v>
      </c>
    </row>
    <row r="212" spans="1:9" ht="15" hidden="1" customHeight="1" x14ac:dyDescent="0.2">
      <c r="A212" s="3003">
        <f t="shared" si="6"/>
        <v>49.166999999999611</v>
      </c>
      <c r="B212" s="2512"/>
      <c r="C212" s="2614"/>
      <c r="D212" s="2614"/>
      <c r="E212" s="2614"/>
      <c r="F212" s="2614"/>
      <c r="G212" s="2614"/>
      <c r="H212" s="2614"/>
      <c r="I212" s="2595">
        <f t="shared" si="7"/>
        <v>0</v>
      </c>
    </row>
    <row r="213" spans="1:9" ht="15" hidden="1" customHeight="1" x14ac:dyDescent="0.2">
      <c r="A213" s="3003">
        <f t="shared" si="6"/>
        <v>49.167999999999608</v>
      </c>
      <c r="B213" s="2512"/>
      <c r="C213" s="2614"/>
      <c r="D213" s="2488"/>
      <c r="E213" s="2488"/>
      <c r="F213" s="2488"/>
      <c r="G213" s="2614"/>
      <c r="H213" s="2488"/>
      <c r="I213" s="2595">
        <f t="shared" si="7"/>
        <v>0</v>
      </c>
    </row>
    <row r="214" spans="1:9" ht="15" hidden="1" customHeight="1" x14ac:dyDescent="0.2">
      <c r="A214" s="3003">
        <f t="shared" si="6"/>
        <v>49.168999999999606</v>
      </c>
      <c r="B214" s="2512"/>
      <c r="C214" s="2488"/>
      <c r="D214" s="2488"/>
      <c r="E214" s="2488"/>
      <c r="F214" s="2488"/>
      <c r="G214" s="2614"/>
      <c r="H214" s="2488"/>
      <c r="I214" s="2595">
        <f t="shared" si="7"/>
        <v>0</v>
      </c>
    </row>
    <row r="215" spans="1:9" ht="15" hidden="1" customHeight="1" x14ac:dyDescent="0.2">
      <c r="A215" s="3003">
        <f t="shared" si="6"/>
        <v>49.169999999999604</v>
      </c>
      <c r="B215" s="2512"/>
      <c r="C215" s="2614"/>
      <c r="D215" s="2614"/>
      <c r="E215" s="2614"/>
      <c r="F215" s="2614"/>
      <c r="G215" s="2614"/>
      <c r="H215" s="2614"/>
      <c r="I215" s="2595">
        <f t="shared" si="7"/>
        <v>0</v>
      </c>
    </row>
    <row r="216" spans="1:9" ht="15" hidden="1" customHeight="1" x14ac:dyDescent="0.2">
      <c r="A216" s="3003">
        <f t="shared" si="6"/>
        <v>49.170999999999601</v>
      </c>
      <c r="B216" s="2512"/>
      <c r="C216" s="2614"/>
      <c r="D216" s="2614"/>
      <c r="E216" s="2614"/>
      <c r="F216" s="2614"/>
      <c r="G216" s="2614"/>
      <c r="H216" s="2614"/>
      <c r="I216" s="2595">
        <f t="shared" si="7"/>
        <v>0</v>
      </c>
    </row>
    <row r="217" spans="1:9" ht="15" hidden="1" customHeight="1" x14ac:dyDescent="0.2">
      <c r="A217" s="3003">
        <f t="shared" si="6"/>
        <v>49.171999999999599</v>
      </c>
      <c r="B217" s="2512"/>
      <c r="C217" s="2614"/>
      <c r="D217" s="2614"/>
      <c r="E217" s="2614"/>
      <c r="F217" s="2614"/>
      <c r="G217" s="2614"/>
      <c r="H217" s="2614"/>
      <c r="I217" s="2595">
        <f t="shared" si="7"/>
        <v>0</v>
      </c>
    </row>
    <row r="218" spans="1:9" ht="15" hidden="1" customHeight="1" x14ac:dyDescent="0.2">
      <c r="A218" s="3003">
        <f t="shared" si="6"/>
        <v>49.172999999999597</v>
      </c>
      <c r="B218" s="2512"/>
      <c r="C218" s="2614"/>
      <c r="D218" s="2614"/>
      <c r="E218" s="2614"/>
      <c r="F218" s="2614"/>
      <c r="G218" s="2614"/>
      <c r="H218" s="2614"/>
      <c r="I218" s="2595">
        <f t="shared" si="7"/>
        <v>0</v>
      </c>
    </row>
    <row r="219" spans="1:9" ht="15" hidden="1" customHeight="1" x14ac:dyDescent="0.2">
      <c r="A219" s="3003">
        <f t="shared" si="6"/>
        <v>49.173999999999594</v>
      </c>
      <c r="B219" s="2512"/>
      <c r="C219" s="2614"/>
      <c r="D219" s="2614"/>
      <c r="E219" s="2614"/>
      <c r="F219" s="2614"/>
      <c r="G219" s="2614"/>
      <c r="H219" s="2614"/>
      <c r="I219" s="2595">
        <f t="shared" si="7"/>
        <v>0</v>
      </c>
    </row>
    <row r="220" spans="1:9" ht="15" hidden="1" customHeight="1" x14ac:dyDescent="0.2">
      <c r="A220" s="3003">
        <f t="shared" si="6"/>
        <v>49.174999999999592</v>
      </c>
      <c r="B220" s="2512"/>
      <c r="C220" s="2614"/>
      <c r="D220" s="2614"/>
      <c r="E220" s="2488"/>
      <c r="F220" s="2614"/>
      <c r="G220" s="2614"/>
      <c r="H220" s="2614"/>
      <c r="I220" s="2595">
        <f t="shared" si="7"/>
        <v>0</v>
      </c>
    </row>
    <row r="221" spans="1:9" ht="15" hidden="1" customHeight="1" x14ac:dyDescent="0.2">
      <c r="A221" s="3003">
        <f t="shared" si="6"/>
        <v>49.17599999999959</v>
      </c>
      <c r="B221" s="2512"/>
      <c r="C221" s="2614"/>
      <c r="D221" s="2488"/>
      <c r="E221" s="2488"/>
      <c r="F221" s="2488"/>
      <c r="G221" s="2614"/>
      <c r="H221" s="2488"/>
      <c r="I221" s="2595">
        <f t="shared" si="7"/>
        <v>0</v>
      </c>
    </row>
    <row r="222" spans="1:9" ht="15" hidden="1" customHeight="1" x14ac:dyDescent="0.2">
      <c r="A222" s="3003">
        <f t="shared" si="6"/>
        <v>49.176999999999587</v>
      </c>
      <c r="B222" s="2512"/>
      <c r="C222" s="2488"/>
      <c r="D222" s="2488"/>
      <c r="E222" s="2488"/>
      <c r="F222" s="2488"/>
      <c r="G222" s="2614"/>
      <c r="H222" s="2488"/>
      <c r="I222" s="2595">
        <f t="shared" si="7"/>
        <v>0</v>
      </c>
    </row>
    <row r="223" spans="1:9" ht="15" hidden="1" customHeight="1" x14ac:dyDescent="0.2">
      <c r="A223" s="3003">
        <f t="shared" si="6"/>
        <v>49.177999999999585</v>
      </c>
      <c r="B223" s="2512"/>
      <c r="C223" s="2614"/>
      <c r="D223" s="2614"/>
      <c r="E223" s="2614"/>
      <c r="F223" s="2614"/>
      <c r="G223" s="2614"/>
      <c r="H223" s="2614"/>
      <c r="I223" s="2595">
        <f t="shared" si="7"/>
        <v>0</v>
      </c>
    </row>
    <row r="224" spans="1:9" ht="15" hidden="1" customHeight="1" x14ac:dyDescent="0.2">
      <c r="A224" s="3003">
        <f t="shared" si="6"/>
        <v>49.178999999999583</v>
      </c>
      <c r="B224" s="2512"/>
      <c r="C224" s="2614"/>
      <c r="D224" s="2614"/>
      <c r="E224" s="2614"/>
      <c r="F224" s="2614"/>
      <c r="G224" s="2614"/>
      <c r="H224" s="2614"/>
      <c r="I224" s="2595">
        <f t="shared" si="7"/>
        <v>0</v>
      </c>
    </row>
    <row r="225" spans="1:9" ht="16.7" hidden="1" customHeight="1" x14ac:dyDescent="0.2">
      <c r="A225" s="3003">
        <f t="shared" si="6"/>
        <v>49.17999999999958</v>
      </c>
      <c r="B225" s="2512"/>
      <c r="C225" s="2614"/>
      <c r="D225" s="2614"/>
      <c r="E225" s="2614"/>
      <c r="F225" s="2614"/>
      <c r="G225" s="2614"/>
      <c r="H225" s="2614"/>
      <c r="I225" s="2595">
        <f t="shared" si="7"/>
        <v>0</v>
      </c>
    </row>
    <row r="226" spans="1:9" ht="15" hidden="1" customHeight="1" x14ac:dyDescent="0.2">
      <c r="A226" s="3003">
        <f t="shared" si="6"/>
        <v>49.180999999999578</v>
      </c>
      <c r="B226" s="2512"/>
      <c r="C226" s="2614"/>
      <c r="D226" s="2614"/>
      <c r="E226" s="2614"/>
      <c r="F226" s="2614"/>
      <c r="G226" s="2614"/>
      <c r="H226" s="2614"/>
      <c r="I226" s="2595">
        <f t="shared" si="7"/>
        <v>0</v>
      </c>
    </row>
    <row r="227" spans="1:9" ht="15" hidden="1" customHeight="1" x14ac:dyDescent="0.2">
      <c r="A227" s="3003">
        <f t="shared" si="6"/>
        <v>49.181999999999576</v>
      </c>
      <c r="B227" s="2512"/>
      <c r="C227" s="2614"/>
      <c r="D227" s="2614"/>
      <c r="E227" s="2614"/>
      <c r="F227" s="2614"/>
      <c r="G227" s="2614"/>
      <c r="H227" s="2614"/>
      <c r="I227" s="2595">
        <f t="shared" si="7"/>
        <v>0</v>
      </c>
    </row>
    <row r="228" spans="1:9" ht="15" hidden="1" customHeight="1" x14ac:dyDescent="0.2">
      <c r="A228" s="3003">
        <f t="shared" si="6"/>
        <v>49.182999999999574</v>
      </c>
      <c r="B228" s="2512"/>
      <c r="C228" s="2614"/>
      <c r="D228" s="2614"/>
      <c r="E228" s="2614"/>
      <c r="F228" s="2614"/>
      <c r="G228" s="2614"/>
      <c r="H228" s="2614"/>
      <c r="I228" s="2595">
        <f t="shared" si="7"/>
        <v>0</v>
      </c>
    </row>
    <row r="229" spans="1:9" ht="15" hidden="1" customHeight="1" x14ac:dyDescent="0.2">
      <c r="A229" s="3003">
        <f t="shared" si="6"/>
        <v>49.183999999999571</v>
      </c>
      <c r="B229" s="2512"/>
      <c r="C229" s="2614"/>
      <c r="D229" s="2614"/>
      <c r="E229" s="2488"/>
      <c r="F229" s="2614"/>
      <c r="G229" s="2614"/>
      <c r="H229" s="2614"/>
      <c r="I229" s="2595">
        <f t="shared" si="7"/>
        <v>0</v>
      </c>
    </row>
    <row r="230" spans="1:9" ht="15" hidden="1" customHeight="1" x14ac:dyDescent="0.2">
      <c r="A230" s="3003">
        <f t="shared" si="6"/>
        <v>49.184999999999569</v>
      </c>
      <c r="B230" s="2512"/>
      <c r="C230" s="2614"/>
      <c r="D230" s="2614"/>
      <c r="E230" s="2614"/>
      <c r="F230" s="2614"/>
      <c r="G230" s="2614"/>
      <c r="H230" s="2614"/>
      <c r="I230" s="2595">
        <f t="shared" si="7"/>
        <v>0</v>
      </c>
    </row>
    <row r="231" spans="1:9" ht="16.7" hidden="1" customHeight="1" x14ac:dyDescent="0.2">
      <c r="A231" s="3003">
        <f t="shared" si="6"/>
        <v>49.185999999999567</v>
      </c>
      <c r="B231" s="2512"/>
      <c r="C231" s="2614"/>
      <c r="D231" s="2614"/>
      <c r="E231" s="2488"/>
      <c r="F231" s="2614"/>
      <c r="G231" s="2614"/>
      <c r="H231" s="2614"/>
      <c r="I231" s="2595">
        <f t="shared" si="7"/>
        <v>0</v>
      </c>
    </row>
    <row r="232" spans="1:9" ht="15" hidden="1" customHeight="1" x14ac:dyDescent="0.2">
      <c r="A232" s="3003">
        <f t="shared" si="6"/>
        <v>49.186999999999564</v>
      </c>
      <c r="B232" s="2512"/>
      <c r="C232" s="2614"/>
      <c r="D232" s="2614"/>
      <c r="E232" s="2614"/>
      <c r="F232" s="2614"/>
      <c r="G232" s="2614"/>
      <c r="H232" s="2614"/>
      <c r="I232" s="2595">
        <f t="shared" si="7"/>
        <v>0</v>
      </c>
    </row>
    <row r="233" spans="1:9" ht="15" hidden="1" customHeight="1" x14ac:dyDescent="0.2">
      <c r="A233" s="3003">
        <f t="shared" si="6"/>
        <v>49.187999999999562</v>
      </c>
      <c r="B233" s="2512"/>
      <c r="C233" s="2614"/>
      <c r="D233" s="2614"/>
      <c r="E233" s="2614"/>
      <c r="F233" s="2614"/>
      <c r="G233" s="2614"/>
      <c r="H233" s="2614"/>
      <c r="I233" s="2595">
        <f t="shared" si="7"/>
        <v>0</v>
      </c>
    </row>
    <row r="234" spans="1:9" ht="15" hidden="1" customHeight="1" x14ac:dyDescent="0.2">
      <c r="A234" s="3003">
        <f t="shared" si="6"/>
        <v>49.18899999999956</v>
      </c>
      <c r="B234" s="2512"/>
      <c r="C234" s="2614"/>
      <c r="D234" s="2488"/>
      <c r="E234" s="2488"/>
      <c r="F234" s="2488"/>
      <c r="G234" s="2614"/>
      <c r="H234" s="2488"/>
      <c r="I234" s="2595">
        <f t="shared" si="7"/>
        <v>0</v>
      </c>
    </row>
    <row r="235" spans="1:9" ht="15" hidden="1" customHeight="1" x14ac:dyDescent="0.2">
      <c r="A235" s="3003">
        <f t="shared" si="6"/>
        <v>49.189999999999557</v>
      </c>
      <c r="B235" s="2512"/>
      <c r="C235" s="2488"/>
      <c r="D235" s="2488"/>
      <c r="E235" s="2488"/>
      <c r="F235" s="2488"/>
      <c r="G235" s="2614"/>
      <c r="H235" s="2488"/>
      <c r="I235" s="2595">
        <f t="shared" si="7"/>
        <v>0</v>
      </c>
    </row>
    <row r="236" spans="1:9" ht="15" hidden="1" customHeight="1" x14ac:dyDescent="0.2">
      <c r="A236" s="3003">
        <f t="shared" si="6"/>
        <v>49.190999999999555</v>
      </c>
      <c r="B236" s="2669"/>
      <c r="C236" s="2614"/>
      <c r="D236" s="2614"/>
      <c r="E236" s="2614"/>
      <c r="F236" s="2614"/>
      <c r="G236" s="2614"/>
      <c r="H236" s="2614"/>
      <c r="I236" s="2595">
        <f t="shared" si="7"/>
        <v>0</v>
      </c>
    </row>
    <row r="237" spans="1:9" ht="15" hidden="1" customHeight="1" x14ac:dyDescent="0.2">
      <c r="A237" s="3003">
        <f t="shared" si="6"/>
        <v>49.191999999999553</v>
      </c>
      <c r="B237" s="2512"/>
      <c r="C237" s="2614"/>
      <c r="D237" s="2614"/>
      <c r="E237" s="2488"/>
      <c r="F237" s="2614"/>
      <c r="G237" s="2614"/>
      <c r="H237" s="2614"/>
      <c r="I237" s="2595">
        <f t="shared" si="7"/>
        <v>0</v>
      </c>
    </row>
    <row r="238" spans="1:9" ht="15" hidden="1" customHeight="1" x14ac:dyDescent="0.2">
      <c r="A238" s="3003">
        <f t="shared" ref="A238:A301" si="8">A237+0.001</f>
        <v>49.19299999999955</v>
      </c>
      <c r="B238" s="2512"/>
      <c r="C238" s="2614"/>
      <c r="D238" s="2614"/>
      <c r="E238" s="2614"/>
      <c r="F238" s="2614"/>
      <c r="G238" s="2614"/>
      <c r="H238" s="2614"/>
      <c r="I238" s="2595">
        <f t="shared" si="7"/>
        <v>0</v>
      </c>
    </row>
    <row r="239" spans="1:9" ht="15" hidden="1" customHeight="1" x14ac:dyDescent="0.2">
      <c r="A239" s="3003">
        <f t="shared" si="8"/>
        <v>49.193999999999548</v>
      </c>
      <c r="B239" s="2512"/>
      <c r="C239" s="2614"/>
      <c r="D239" s="2488"/>
      <c r="E239" s="2488"/>
      <c r="F239" s="2488"/>
      <c r="G239" s="2614"/>
      <c r="H239" s="2488"/>
      <c r="I239" s="2595">
        <f t="shared" si="7"/>
        <v>0</v>
      </c>
    </row>
    <row r="240" spans="1:9" ht="15" hidden="1" customHeight="1" x14ac:dyDescent="0.2">
      <c r="A240" s="3003">
        <f t="shared" si="8"/>
        <v>49.194999999999546</v>
      </c>
      <c r="B240" s="2512"/>
      <c r="C240" s="2488"/>
      <c r="D240" s="2488"/>
      <c r="E240" s="2488"/>
      <c r="F240" s="2488"/>
      <c r="G240" s="2614"/>
      <c r="H240" s="2488"/>
      <c r="I240" s="2595">
        <f t="shared" si="7"/>
        <v>0</v>
      </c>
    </row>
    <row r="241" spans="1:9" ht="15" hidden="1" customHeight="1" x14ac:dyDescent="0.2">
      <c r="A241" s="3003">
        <f t="shared" si="8"/>
        <v>49.195999999999543</v>
      </c>
      <c r="B241" s="2512"/>
      <c r="C241" s="2614"/>
      <c r="D241" s="2614"/>
      <c r="E241" s="2614"/>
      <c r="F241" s="2614"/>
      <c r="G241" s="2614"/>
      <c r="H241" s="2614"/>
      <c r="I241" s="2595">
        <f t="shared" si="7"/>
        <v>0</v>
      </c>
    </row>
    <row r="242" spans="1:9" ht="15" hidden="1" customHeight="1" x14ac:dyDescent="0.2">
      <c r="A242" s="3003">
        <f t="shared" si="8"/>
        <v>49.196999999999541</v>
      </c>
      <c r="B242" s="2512"/>
      <c r="C242" s="2614"/>
      <c r="D242" s="2614"/>
      <c r="E242" s="2614"/>
      <c r="F242" s="2614"/>
      <c r="G242" s="2614"/>
      <c r="H242" s="2614"/>
      <c r="I242" s="2595">
        <f t="shared" si="7"/>
        <v>0</v>
      </c>
    </row>
    <row r="243" spans="1:9" ht="15" hidden="1" customHeight="1" x14ac:dyDescent="0.2">
      <c r="A243" s="3003">
        <f t="shared" si="8"/>
        <v>49.197999999999539</v>
      </c>
      <c r="B243" s="2512"/>
      <c r="C243" s="2614"/>
      <c r="D243" s="2614"/>
      <c r="E243" s="2614"/>
      <c r="F243" s="2614"/>
      <c r="G243" s="2614"/>
      <c r="H243" s="2614"/>
      <c r="I243" s="2595">
        <f t="shared" si="7"/>
        <v>0</v>
      </c>
    </row>
    <row r="244" spans="1:9" ht="15" hidden="1" customHeight="1" x14ac:dyDescent="0.2">
      <c r="A244" s="3003">
        <f t="shared" si="8"/>
        <v>49.198999999999536</v>
      </c>
      <c r="B244" s="2512"/>
      <c r="C244" s="2614"/>
      <c r="D244" s="2614"/>
      <c r="E244" s="2614"/>
      <c r="F244" s="2614"/>
      <c r="G244" s="2614"/>
      <c r="H244" s="2614"/>
      <c r="I244" s="2595">
        <f t="shared" si="7"/>
        <v>0</v>
      </c>
    </row>
    <row r="245" spans="1:9" ht="15" hidden="1" customHeight="1" x14ac:dyDescent="0.2">
      <c r="A245" s="3003">
        <f t="shared" si="8"/>
        <v>49.199999999999534</v>
      </c>
      <c r="B245" s="2512"/>
      <c r="C245" s="2614"/>
      <c r="D245" s="2488"/>
      <c r="E245" s="2488"/>
      <c r="F245" s="2614"/>
      <c r="G245" s="2614"/>
      <c r="H245" s="2488"/>
      <c r="I245" s="2595">
        <f t="shared" si="7"/>
        <v>0</v>
      </c>
    </row>
    <row r="246" spans="1:9" ht="15" hidden="1" customHeight="1" x14ac:dyDescent="0.2">
      <c r="A246" s="3003">
        <f t="shared" si="8"/>
        <v>49.200999999999532</v>
      </c>
      <c r="B246" s="2512"/>
      <c r="C246" s="2488"/>
      <c r="D246" s="2488"/>
      <c r="E246" s="2488"/>
      <c r="F246" s="2488"/>
      <c r="G246" s="2614"/>
      <c r="H246" s="2488"/>
      <c r="I246" s="2595">
        <f t="shared" si="7"/>
        <v>0</v>
      </c>
    </row>
    <row r="247" spans="1:9" ht="15" hidden="1" customHeight="1" x14ac:dyDescent="0.2">
      <c r="A247" s="3003">
        <f t="shared" si="8"/>
        <v>49.201999999999529</v>
      </c>
      <c r="B247" s="2512"/>
      <c r="C247" s="2614"/>
      <c r="D247" s="2614"/>
      <c r="E247" s="2614"/>
      <c r="F247" s="2614"/>
      <c r="G247" s="2614"/>
      <c r="H247" s="2614"/>
      <c r="I247" s="2595">
        <f t="shared" si="7"/>
        <v>0</v>
      </c>
    </row>
    <row r="248" spans="1:9" ht="15" hidden="1" customHeight="1" x14ac:dyDescent="0.2">
      <c r="A248" s="3003">
        <f t="shared" si="8"/>
        <v>49.202999999999527</v>
      </c>
      <c r="B248" s="2512"/>
      <c r="C248" s="2614"/>
      <c r="D248" s="2614"/>
      <c r="E248" s="2614"/>
      <c r="F248" s="2614"/>
      <c r="G248" s="2614"/>
      <c r="H248" s="2614"/>
      <c r="I248" s="2595">
        <f t="shared" si="7"/>
        <v>0</v>
      </c>
    </row>
    <row r="249" spans="1:9" ht="15" hidden="1" customHeight="1" x14ac:dyDescent="0.2">
      <c r="A249" s="3003">
        <f t="shared" si="8"/>
        <v>49.203999999999525</v>
      </c>
      <c r="B249" s="2512"/>
      <c r="C249" s="2614"/>
      <c r="D249" s="2614"/>
      <c r="E249" s="2614"/>
      <c r="F249" s="2614"/>
      <c r="G249" s="2614"/>
      <c r="H249" s="2614"/>
      <c r="I249" s="2595">
        <f t="shared" si="7"/>
        <v>0</v>
      </c>
    </row>
    <row r="250" spans="1:9" ht="15" hidden="1" customHeight="1" x14ac:dyDescent="0.2">
      <c r="A250" s="3003">
        <f t="shared" si="8"/>
        <v>49.204999999999522</v>
      </c>
      <c r="B250" s="2512"/>
      <c r="C250" s="2614"/>
      <c r="D250" s="2614"/>
      <c r="E250" s="2614"/>
      <c r="F250" s="2614"/>
      <c r="G250" s="2614"/>
      <c r="H250" s="2614"/>
      <c r="I250" s="2595">
        <f t="shared" si="7"/>
        <v>0</v>
      </c>
    </row>
    <row r="251" spans="1:9" ht="15" hidden="1" customHeight="1" x14ac:dyDescent="0.2">
      <c r="A251" s="3003">
        <f t="shared" si="8"/>
        <v>49.20599999999952</v>
      </c>
      <c r="B251" s="2512"/>
      <c r="C251" s="2614"/>
      <c r="D251" s="2614"/>
      <c r="E251" s="2614"/>
      <c r="F251" s="2614"/>
      <c r="G251" s="2614"/>
      <c r="H251" s="2614"/>
      <c r="I251" s="2595">
        <f t="shared" si="7"/>
        <v>0</v>
      </c>
    </row>
    <row r="252" spans="1:9" ht="15" hidden="1" customHeight="1" x14ac:dyDescent="0.2">
      <c r="A252" s="3003">
        <f t="shared" si="8"/>
        <v>49.206999999999518</v>
      </c>
      <c r="B252" s="2512"/>
      <c r="C252" s="2614"/>
      <c r="D252" s="2488"/>
      <c r="E252" s="2488"/>
      <c r="F252" s="2488"/>
      <c r="G252" s="2614"/>
      <c r="H252" s="2488"/>
      <c r="I252" s="2595">
        <f t="shared" si="7"/>
        <v>0</v>
      </c>
    </row>
    <row r="253" spans="1:9" ht="15" hidden="1" customHeight="1" x14ac:dyDescent="0.2">
      <c r="A253" s="3003">
        <f t="shared" si="8"/>
        <v>49.207999999999515</v>
      </c>
      <c r="B253" s="2512"/>
      <c r="C253" s="2488"/>
      <c r="D253" s="2488"/>
      <c r="E253" s="2488"/>
      <c r="F253" s="2488"/>
      <c r="G253" s="2614"/>
      <c r="H253" s="2488"/>
      <c r="I253" s="2595">
        <f t="shared" si="7"/>
        <v>0</v>
      </c>
    </row>
    <row r="254" spans="1:9" ht="15" hidden="1" customHeight="1" x14ac:dyDescent="0.2">
      <c r="A254" s="3003">
        <f t="shared" si="8"/>
        <v>49.208999999999513</v>
      </c>
      <c r="B254" s="2512"/>
      <c r="C254" s="2614"/>
      <c r="D254" s="2614"/>
      <c r="E254" s="2614"/>
      <c r="F254" s="2614"/>
      <c r="G254" s="2614"/>
      <c r="H254" s="2614"/>
      <c r="I254" s="2595">
        <f t="shared" si="7"/>
        <v>0</v>
      </c>
    </row>
    <row r="255" spans="1:9" ht="15" hidden="1" customHeight="1" x14ac:dyDescent="0.2">
      <c r="A255" s="3003">
        <f t="shared" si="8"/>
        <v>49.209999999999511</v>
      </c>
      <c r="B255" s="2512"/>
      <c r="C255" s="2614"/>
      <c r="D255" s="2614"/>
      <c r="E255" s="2614"/>
      <c r="F255" s="2614"/>
      <c r="G255" s="2614"/>
      <c r="H255" s="2614"/>
      <c r="I255" s="2595">
        <f t="shared" si="7"/>
        <v>0</v>
      </c>
    </row>
    <row r="256" spans="1:9" ht="15" hidden="1" customHeight="1" x14ac:dyDescent="0.2">
      <c r="A256" s="3003">
        <f t="shared" si="8"/>
        <v>49.210999999999508</v>
      </c>
      <c r="B256" s="2512"/>
      <c r="C256" s="2614"/>
      <c r="D256" s="2614"/>
      <c r="E256" s="2614"/>
      <c r="F256" s="2614"/>
      <c r="G256" s="2614"/>
      <c r="H256" s="2614"/>
      <c r="I256" s="2595">
        <f t="shared" si="7"/>
        <v>0</v>
      </c>
    </row>
    <row r="257" spans="1:9" ht="15" hidden="1" customHeight="1" x14ac:dyDescent="0.2">
      <c r="A257" s="3003">
        <f t="shared" si="8"/>
        <v>49.211999999999506</v>
      </c>
      <c r="B257" s="2512"/>
      <c r="C257" s="2614"/>
      <c r="D257" s="2614"/>
      <c r="E257" s="2614"/>
      <c r="F257" s="2614"/>
      <c r="G257" s="2614"/>
      <c r="H257" s="2614"/>
      <c r="I257" s="2595">
        <f t="shared" si="7"/>
        <v>0</v>
      </c>
    </row>
    <row r="258" spans="1:9" ht="15" hidden="1" customHeight="1" x14ac:dyDescent="0.2">
      <c r="A258" s="3003">
        <f t="shared" si="8"/>
        <v>49.212999999999504</v>
      </c>
      <c r="B258" s="2512"/>
      <c r="C258" s="2614"/>
      <c r="D258" s="2614"/>
      <c r="E258" s="2614"/>
      <c r="F258" s="2614"/>
      <c r="G258" s="2614"/>
      <c r="H258" s="2614"/>
      <c r="I258" s="2595">
        <f t="shared" si="7"/>
        <v>0</v>
      </c>
    </row>
    <row r="259" spans="1:9" ht="15" hidden="1" customHeight="1" x14ac:dyDescent="0.2">
      <c r="A259" s="3003">
        <f t="shared" si="8"/>
        <v>49.213999999999501</v>
      </c>
      <c r="B259" s="2512"/>
      <c r="C259" s="2614"/>
      <c r="D259" s="2614"/>
      <c r="E259" s="2488"/>
      <c r="F259" s="2614"/>
      <c r="G259" s="2614"/>
      <c r="H259" s="2614"/>
      <c r="I259" s="2595">
        <f t="shared" si="7"/>
        <v>0</v>
      </c>
    </row>
    <row r="260" spans="1:9" ht="15" hidden="1" customHeight="1" x14ac:dyDescent="0.2">
      <c r="A260" s="3003">
        <f t="shared" si="8"/>
        <v>49.214999999999499</v>
      </c>
      <c r="B260" s="2512"/>
      <c r="C260" s="2614"/>
      <c r="D260" s="2488"/>
      <c r="E260" s="2488"/>
      <c r="F260" s="2488"/>
      <c r="G260" s="2614"/>
      <c r="H260" s="2488"/>
      <c r="I260" s="2595">
        <f t="shared" si="7"/>
        <v>0</v>
      </c>
    </row>
    <row r="261" spans="1:9" ht="15" hidden="1" customHeight="1" x14ac:dyDescent="0.2">
      <c r="A261" s="3003">
        <f t="shared" si="8"/>
        <v>49.215999999999497</v>
      </c>
      <c r="B261" s="2512"/>
      <c r="C261" s="2488"/>
      <c r="D261" s="2488"/>
      <c r="E261" s="2488"/>
      <c r="F261" s="2488"/>
      <c r="G261" s="2614"/>
      <c r="H261" s="2488"/>
      <c r="I261" s="2595">
        <f t="shared" si="7"/>
        <v>0</v>
      </c>
    </row>
    <row r="262" spans="1:9" ht="15" hidden="1" customHeight="1" x14ac:dyDescent="0.2">
      <c r="A262" s="3003">
        <f t="shared" si="8"/>
        <v>49.216999999999494</v>
      </c>
      <c r="B262" s="2512"/>
      <c r="C262" s="2614"/>
      <c r="D262" s="2614"/>
      <c r="E262" s="2614"/>
      <c r="F262" s="2614"/>
      <c r="G262" s="2614"/>
      <c r="H262" s="2614"/>
      <c r="I262" s="2595">
        <f t="shared" si="7"/>
        <v>0</v>
      </c>
    </row>
    <row r="263" spans="1:9" ht="15" hidden="1" customHeight="1" x14ac:dyDescent="0.2">
      <c r="A263" s="3003">
        <f t="shared" si="8"/>
        <v>49.217999999999492</v>
      </c>
      <c r="B263" s="2512"/>
      <c r="C263" s="2614"/>
      <c r="D263" s="2614"/>
      <c r="E263" s="2614"/>
      <c r="F263" s="2614"/>
      <c r="G263" s="2614"/>
      <c r="H263" s="2614"/>
      <c r="I263" s="2595">
        <f t="shared" si="7"/>
        <v>0</v>
      </c>
    </row>
    <row r="264" spans="1:9" ht="15" hidden="1" customHeight="1" x14ac:dyDescent="0.2">
      <c r="A264" s="3003">
        <f t="shared" si="8"/>
        <v>49.21899999999949</v>
      </c>
      <c r="B264" s="2512"/>
      <c r="C264" s="2614"/>
      <c r="D264" s="2614"/>
      <c r="E264" s="2614"/>
      <c r="F264" s="2614"/>
      <c r="G264" s="2614"/>
      <c r="H264" s="2614"/>
      <c r="I264" s="2595">
        <f t="shared" ref="I264:I327" si="9">B264</f>
        <v>0</v>
      </c>
    </row>
    <row r="265" spans="1:9" ht="15" hidden="1" customHeight="1" x14ac:dyDescent="0.2">
      <c r="A265" s="3003">
        <f t="shared" si="8"/>
        <v>49.219999999999487</v>
      </c>
      <c r="B265" s="2512"/>
      <c r="C265" s="2614"/>
      <c r="D265" s="2614"/>
      <c r="E265" s="2614"/>
      <c r="F265" s="2614"/>
      <c r="G265" s="2614"/>
      <c r="H265" s="2614"/>
      <c r="I265" s="2595">
        <f t="shared" si="9"/>
        <v>0</v>
      </c>
    </row>
    <row r="266" spans="1:9" ht="15" hidden="1" customHeight="1" x14ac:dyDescent="0.2">
      <c r="A266" s="3003">
        <f t="shared" si="8"/>
        <v>49.220999999999485</v>
      </c>
      <c r="B266" s="2512"/>
      <c r="C266" s="2614"/>
      <c r="D266" s="2614"/>
      <c r="E266" s="2614"/>
      <c r="F266" s="2614"/>
      <c r="G266" s="2614"/>
      <c r="H266" s="2614"/>
      <c r="I266" s="2595">
        <f t="shared" si="9"/>
        <v>0</v>
      </c>
    </row>
    <row r="267" spans="1:9" ht="15" hidden="1" customHeight="1" x14ac:dyDescent="0.2">
      <c r="A267" s="3003">
        <f t="shared" si="8"/>
        <v>49.221999999999483</v>
      </c>
      <c r="B267" s="2512"/>
      <c r="C267" s="2614"/>
      <c r="D267" s="2614"/>
      <c r="E267" s="2614"/>
      <c r="F267" s="2614"/>
      <c r="G267" s="2614"/>
      <c r="H267" s="2614"/>
      <c r="I267" s="2595">
        <f t="shared" si="9"/>
        <v>0</v>
      </c>
    </row>
    <row r="268" spans="1:9" ht="15" hidden="1" customHeight="1" x14ac:dyDescent="0.2">
      <c r="A268" s="3003">
        <f t="shared" si="8"/>
        <v>49.22299999999948</v>
      </c>
      <c r="B268" s="2512"/>
      <c r="C268" s="2614"/>
      <c r="D268" s="2614"/>
      <c r="E268" s="2488"/>
      <c r="F268" s="2614"/>
      <c r="G268" s="2614"/>
      <c r="H268" s="2614"/>
      <c r="I268" s="2595">
        <f t="shared" si="9"/>
        <v>0</v>
      </c>
    </row>
    <row r="269" spans="1:9" ht="15" hidden="1" customHeight="1" x14ac:dyDescent="0.2">
      <c r="A269" s="3003">
        <f t="shared" si="8"/>
        <v>49.223999999999478</v>
      </c>
      <c r="B269" s="2512"/>
      <c r="C269" s="2614"/>
      <c r="D269" s="2614"/>
      <c r="E269" s="2614"/>
      <c r="F269" s="2614"/>
      <c r="G269" s="2614"/>
      <c r="H269" s="2614"/>
      <c r="I269" s="2595">
        <f t="shared" si="9"/>
        <v>0</v>
      </c>
    </row>
    <row r="270" spans="1:9" ht="15" hidden="1" customHeight="1" x14ac:dyDescent="0.2">
      <c r="A270" s="3003">
        <f t="shared" si="8"/>
        <v>49.224999999999476</v>
      </c>
      <c r="B270" s="2512"/>
      <c r="C270" s="2614"/>
      <c r="D270" s="2614"/>
      <c r="E270" s="2488"/>
      <c r="F270" s="2614"/>
      <c r="G270" s="2614"/>
      <c r="H270" s="2614"/>
      <c r="I270" s="2595">
        <f t="shared" si="9"/>
        <v>0</v>
      </c>
    </row>
    <row r="271" spans="1:9" ht="15" hidden="1" customHeight="1" x14ac:dyDescent="0.2">
      <c r="A271" s="3003">
        <f t="shared" si="8"/>
        <v>49.225999999999473</v>
      </c>
      <c r="B271" s="2512"/>
      <c r="C271" s="2614"/>
      <c r="D271" s="2614"/>
      <c r="E271" s="2614"/>
      <c r="F271" s="2614"/>
      <c r="G271" s="2614"/>
      <c r="H271" s="2614"/>
      <c r="I271" s="2595">
        <f t="shared" si="9"/>
        <v>0</v>
      </c>
    </row>
    <row r="272" spans="1:9" ht="15" hidden="1" customHeight="1" x14ac:dyDescent="0.2">
      <c r="A272" s="3003">
        <f t="shared" si="8"/>
        <v>49.226999999999471</v>
      </c>
      <c r="B272" s="2512"/>
      <c r="C272" s="2614"/>
      <c r="D272" s="2614"/>
      <c r="E272" s="2614"/>
      <c r="F272" s="2614"/>
      <c r="G272" s="2614"/>
      <c r="H272" s="2614"/>
      <c r="I272" s="2595">
        <f t="shared" si="9"/>
        <v>0</v>
      </c>
    </row>
    <row r="273" spans="1:9" ht="15" hidden="1" customHeight="1" x14ac:dyDescent="0.2">
      <c r="A273" s="3003">
        <f t="shared" si="8"/>
        <v>49.227999999999469</v>
      </c>
      <c r="B273" s="2512"/>
      <c r="C273" s="2614"/>
      <c r="D273" s="2488"/>
      <c r="E273" s="2488"/>
      <c r="F273" s="2488"/>
      <c r="G273" s="2614"/>
      <c r="H273" s="2488"/>
      <c r="I273" s="2595">
        <f t="shared" si="9"/>
        <v>0</v>
      </c>
    </row>
    <row r="274" spans="1:9" ht="15" hidden="1" customHeight="1" x14ac:dyDescent="0.2">
      <c r="A274" s="3003">
        <f t="shared" si="8"/>
        <v>49.228999999999466</v>
      </c>
      <c r="B274" s="2512"/>
      <c r="C274" s="2488"/>
      <c r="D274" s="2488"/>
      <c r="E274" s="2488"/>
      <c r="F274" s="2488"/>
      <c r="G274" s="2614"/>
      <c r="H274" s="2488"/>
      <c r="I274" s="2595">
        <f t="shared" si="9"/>
        <v>0</v>
      </c>
    </row>
    <row r="275" spans="1:9" ht="15" hidden="1" customHeight="1" x14ac:dyDescent="0.2">
      <c r="A275" s="3003">
        <f t="shared" si="8"/>
        <v>49.229999999999464</v>
      </c>
      <c r="B275" s="2512"/>
      <c r="C275" s="2614"/>
      <c r="D275" s="2614"/>
      <c r="E275" s="2614"/>
      <c r="F275" s="2614"/>
      <c r="G275" s="2614"/>
      <c r="H275" s="2614"/>
      <c r="I275" s="2595">
        <f t="shared" si="9"/>
        <v>0</v>
      </c>
    </row>
    <row r="276" spans="1:9" ht="15" hidden="1" customHeight="1" x14ac:dyDescent="0.2">
      <c r="A276" s="3003">
        <f t="shared" si="8"/>
        <v>49.230999999999462</v>
      </c>
      <c r="B276" s="2512"/>
      <c r="C276" s="2614"/>
      <c r="D276" s="2614"/>
      <c r="E276" s="2488"/>
      <c r="F276" s="2614"/>
      <c r="G276" s="2614"/>
      <c r="H276" s="2614"/>
      <c r="I276" s="2595">
        <f t="shared" si="9"/>
        <v>0</v>
      </c>
    </row>
    <row r="277" spans="1:9" ht="15" hidden="1" customHeight="1" x14ac:dyDescent="0.2">
      <c r="A277" s="3003">
        <f t="shared" si="8"/>
        <v>49.231999999999459</v>
      </c>
      <c r="B277" s="2512"/>
      <c r="C277" s="2614"/>
      <c r="D277" s="2614"/>
      <c r="E277" s="2614"/>
      <c r="F277" s="2614"/>
      <c r="G277" s="2614"/>
      <c r="H277" s="2614"/>
      <c r="I277" s="2595">
        <f t="shared" si="9"/>
        <v>0</v>
      </c>
    </row>
    <row r="278" spans="1:9" ht="15" hidden="1" customHeight="1" x14ac:dyDescent="0.2">
      <c r="A278" s="3003">
        <f t="shared" si="8"/>
        <v>49.232999999999457</v>
      </c>
      <c r="B278" s="2512"/>
      <c r="C278" s="2614"/>
      <c r="D278" s="2488"/>
      <c r="E278" s="2488"/>
      <c r="F278" s="2488"/>
      <c r="G278" s="2614"/>
      <c r="H278" s="2488"/>
      <c r="I278" s="2595">
        <f t="shared" si="9"/>
        <v>0</v>
      </c>
    </row>
    <row r="279" spans="1:9" ht="15" hidden="1" customHeight="1" x14ac:dyDescent="0.2">
      <c r="A279" s="3003">
        <f t="shared" si="8"/>
        <v>49.233999999999455</v>
      </c>
      <c r="B279" s="2512"/>
      <c r="C279" s="2488"/>
      <c r="D279" s="2488"/>
      <c r="E279" s="2488"/>
      <c r="F279" s="2488"/>
      <c r="G279" s="2614"/>
      <c r="H279" s="2488"/>
      <c r="I279" s="2595">
        <f t="shared" si="9"/>
        <v>0</v>
      </c>
    </row>
    <row r="280" spans="1:9" ht="15" hidden="1" customHeight="1" x14ac:dyDescent="0.2">
      <c r="A280" s="3003">
        <f t="shared" si="8"/>
        <v>49.234999999999452</v>
      </c>
      <c r="B280" s="2512"/>
      <c r="C280" s="2614"/>
      <c r="D280" s="2614"/>
      <c r="E280" s="2614"/>
      <c r="F280" s="2614"/>
      <c r="G280" s="2614"/>
      <c r="H280" s="2614"/>
      <c r="I280" s="2595">
        <f t="shared" si="9"/>
        <v>0</v>
      </c>
    </row>
    <row r="281" spans="1:9" ht="15" hidden="1" customHeight="1" x14ac:dyDescent="0.2">
      <c r="A281" s="3003">
        <f t="shared" si="8"/>
        <v>49.23599999999945</v>
      </c>
      <c r="B281" s="2512"/>
      <c r="C281" s="2614"/>
      <c r="D281" s="2614"/>
      <c r="E281" s="2614"/>
      <c r="F281" s="2614"/>
      <c r="G281" s="2614"/>
      <c r="H281" s="2614"/>
      <c r="I281" s="2595">
        <f t="shared" si="9"/>
        <v>0</v>
      </c>
    </row>
    <row r="282" spans="1:9" ht="15" hidden="1" customHeight="1" x14ac:dyDescent="0.2">
      <c r="A282" s="3003">
        <f t="shared" si="8"/>
        <v>49.236999999999448</v>
      </c>
      <c r="B282" s="2512"/>
      <c r="C282" s="2614"/>
      <c r="D282" s="2614"/>
      <c r="E282" s="2614"/>
      <c r="F282" s="2614"/>
      <c r="G282" s="2614"/>
      <c r="H282" s="2614"/>
      <c r="I282" s="2595">
        <f t="shared" si="9"/>
        <v>0</v>
      </c>
    </row>
    <row r="283" spans="1:9" ht="15" hidden="1" customHeight="1" x14ac:dyDescent="0.2">
      <c r="A283" s="3003">
        <f t="shared" si="8"/>
        <v>49.237999999999445</v>
      </c>
      <c r="B283" s="2512"/>
      <c r="C283" s="2614"/>
      <c r="D283" s="2614"/>
      <c r="E283" s="2614"/>
      <c r="F283" s="2614"/>
      <c r="G283" s="2614"/>
      <c r="H283" s="2614"/>
      <c r="I283" s="2595">
        <f t="shared" si="9"/>
        <v>0</v>
      </c>
    </row>
    <row r="284" spans="1:9" ht="15" hidden="1" customHeight="1" x14ac:dyDescent="0.2">
      <c r="A284" s="3003">
        <f t="shared" si="8"/>
        <v>49.238999999999443</v>
      </c>
      <c r="B284" s="2512"/>
      <c r="C284" s="2614"/>
      <c r="D284" s="2488"/>
      <c r="E284" s="2488"/>
      <c r="F284" s="2614"/>
      <c r="G284" s="2614"/>
      <c r="H284" s="2488"/>
      <c r="I284" s="2595">
        <f t="shared" si="9"/>
        <v>0</v>
      </c>
    </row>
    <row r="285" spans="1:9" ht="15" hidden="1" customHeight="1" x14ac:dyDescent="0.2">
      <c r="A285" s="3003">
        <f t="shared" si="8"/>
        <v>49.239999999999441</v>
      </c>
      <c r="B285" s="2512"/>
      <c r="C285" s="2488"/>
      <c r="D285" s="2488"/>
      <c r="E285" s="2488"/>
      <c r="F285" s="2488"/>
      <c r="G285" s="2614"/>
      <c r="H285" s="2488"/>
      <c r="I285" s="2595">
        <f t="shared" si="9"/>
        <v>0</v>
      </c>
    </row>
    <row r="286" spans="1:9" ht="15" hidden="1" customHeight="1" x14ac:dyDescent="0.2">
      <c r="A286" s="3003">
        <f t="shared" si="8"/>
        <v>49.240999999999438</v>
      </c>
      <c r="B286" s="2512"/>
      <c r="C286" s="2614"/>
      <c r="D286" s="2614"/>
      <c r="E286" s="2614"/>
      <c r="F286" s="2614"/>
      <c r="G286" s="2614"/>
      <c r="H286" s="2614"/>
      <c r="I286" s="2595">
        <f t="shared" si="9"/>
        <v>0</v>
      </c>
    </row>
    <row r="287" spans="1:9" ht="15" hidden="1" customHeight="1" x14ac:dyDescent="0.2">
      <c r="A287" s="3003">
        <f t="shared" si="8"/>
        <v>49.241999999999436</v>
      </c>
      <c r="B287" s="2512"/>
      <c r="C287" s="2614"/>
      <c r="D287" s="2614"/>
      <c r="E287" s="2614"/>
      <c r="F287" s="2614"/>
      <c r="G287" s="2614"/>
      <c r="H287" s="2614"/>
      <c r="I287" s="2595">
        <f t="shared" si="9"/>
        <v>0</v>
      </c>
    </row>
    <row r="288" spans="1:9" ht="15" hidden="1" customHeight="1" x14ac:dyDescent="0.2">
      <c r="A288" s="3003">
        <f t="shared" si="8"/>
        <v>49.242999999999434</v>
      </c>
      <c r="B288" s="2512"/>
      <c r="C288" s="2614"/>
      <c r="D288" s="2614"/>
      <c r="E288" s="2614"/>
      <c r="F288" s="2614"/>
      <c r="G288" s="2614"/>
      <c r="H288" s="2614"/>
      <c r="I288" s="2595">
        <f t="shared" si="9"/>
        <v>0</v>
      </c>
    </row>
    <row r="289" spans="1:9" ht="15" hidden="1" customHeight="1" x14ac:dyDescent="0.2">
      <c r="A289" s="3003">
        <f t="shared" si="8"/>
        <v>49.243999999999431</v>
      </c>
      <c r="B289" s="2512"/>
      <c r="C289" s="2614"/>
      <c r="D289" s="2614"/>
      <c r="E289" s="2614"/>
      <c r="F289" s="2614"/>
      <c r="G289" s="2614"/>
      <c r="H289" s="2614"/>
      <c r="I289" s="2595">
        <f t="shared" si="9"/>
        <v>0</v>
      </c>
    </row>
    <row r="290" spans="1:9" ht="15" hidden="1" customHeight="1" x14ac:dyDescent="0.2">
      <c r="A290" s="3003">
        <f t="shared" si="8"/>
        <v>49.244999999999429</v>
      </c>
      <c r="B290" s="2512"/>
      <c r="C290" s="2614"/>
      <c r="D290" s="2614"/>
      <c r="E290" s="2614"/>
      <c r="F290" s="2614"/>
      <c r="G290" s="2614"/>
      <c r="H290" s="2614"/>
      <c r="I290" s="2595">
        <f t="shared" si="9"/>
        <v>0</v>
      </c>
    </row>
    <row r="291" spans="1:9" ht="15" hidden="1" customHeight="1" x14ac:dyDescent="0.2">
      <c r="A291" s="3003">
        <f t="shared" si="8"/>
        <v>49.245999999999427</v>
      </c>
      <c r="B291" s="2512"/>
      <c r="C291" s="2614"/>
      <c r="D291" s="2488"/>
      <c r="E291" s="2488"/>
      <c r="F291" s="2488"/>
      <c r="G291" s="2614"/>
      <c r="H291" s="2488"/>
      <c r="I291" s="2595">
        <f t="shared" si="9"/>
        <v>0</v>
      </c>
    </row>
    <row r="292" spans="1:9" ht="15" hidden="1" customHeight="1" x14ac:dyDescent="0.2">
      <c r="A292" s="3003">
        <f t="shared" si="8"/>
        <v>49.246999999999424</v>
      </c>
      <c r="B292" s="2512"/>
      <c r="C292" s="2488"/>
      <c r="D292" s="2488"/>
      <c r="E292" s="2488"/>
      <c r="F292" s="2488"/>
      <c r="G292" s="2614"/>
      <c r="H292" s="2488"/>
      <c r="I292" s="2595">
        <f t="shared" si="9"/>
        <v>0</v>
      </c>
    </row>
    <row r="293" spans="1:9" ht="15" hidden="1" customHeight="1" x14ac:dyDescent="0.2">
      <c r="A293" s="3003">
        <f t="shared" si="8"/>
        <v>49.247999999999422</v>
      </c>
      <c r="B293" s="2512"/>
      <c r="C293" s="2614"/>
      <c r="D293" s="2614"/>
      <c r="E293" s="2614"/>
      <c r="F293" s="2614"/>
      <c r="G293" s="2614"/>
      <c r="H293" s="2614"/>
      <c r="I293" s="2595">
        <f t="shared" si="9"/>
        <v>0</v>
      </c>
    </row>
    <row r="294" spans="1:9" ht="15" hidden="1" customHeight="1" x14ac:dyDescent="0.2">
      <c r="A294" s="3003">
        <f t="shared" si="8"/>
        <v>49.24899999999942</v>
      </c>
      <c r="B294" s="2512"/>
      <c r="C294" s="2614"/>
      <c r="D294" s="2614"/>
      <c r="E294" s="2614"/>
      <c r="F294" s="2614"/>
      <c r="G294" s="2614"/>
      <c r="H294" s="2614"/>
      <c r="I294" s="2595">
        <f t="shared" si="9"/>
        <v>0</v>
      </c>
    </row>
    <row r="295" spans="1:9" ht="15" hidden="1" customHeight="1" x14ac:dyDescent="0.2">
      <c r="A295" s="3003">
        <f t="shared" si="8"/>
        <v>49.249999999999417</v>
      </c>
      <c r="B295" s="2512"/>
      <c r="C295" s="2614"/>
      <c r="D295" s="2614"/>
      <c r="E295" s="2614"/>
      <c r="F295" s="2614"/>
      <c r="G295" s="2614"/>
      <c r="H295" s="2614"/>
      <c r="I295" s="2595">
        <f t="shared" si="9"/>
        <v>0</v>
      </c>
    </row>
    <row r="296" spans="1:9" ht="15" hidden="1" customHeight="1" x14ac:dyDescent="0.2">
      <c r="A296" s="3003">
        <f t="shared" si="8"/>
        <v>49.250999999999415</v>
      </c>
      <c r="B296" s="2512"/>
      <c r="C296" s="2614"/>
      <c r="D296" s="2614"/>
      <c r="E296" s="2614"/>
      <c r="F296" s="2614"/>
      <c r="G296" s="2614"/>
      <c r="H296" s="2614"/>
      <c r="I296" s="2595">
        <f t="shared" si="9"/>
        <v>0</v>
      </c>
    </row>
    <row r="297" spans="1:9" ht="15" hidden="1" customHeight="1" x14ac:dyDescent="0.2">
      <c r="A297" s="3003">
        <f t="shared" si="8"/>
        <v>49.251999999999413</v>
      </c>
      <c r="B297" s="2512"/>
      <c r="C297" s="2614"/>
      <c r="D297" s="2614"/>
      <c r="E297" s="2614"/>
      <c r="F297" s="2614"/>
      <c r="G297" s="2614"/>
      <c r="H297" s="2614"/>
      <c r="I297" s="2595">
        <f t="shared" si="9"/>
        <v>0</v>
      </c>
    </row>
    <row r="298" spans="1:9" ht="15" hidden="1" customHeight="1" x14ac:dyDescent="0.2">
      <c r="A298" s="3003">
        <f t="shared" si="8"/>
        <v>49.25299999999941</v>
      </c>
      <c r="B298" s="2512"/>
      <c r="C298" s="2614"/>
      <c r="D298" s="2614"/>
      <c r="E298" s="2488"/>
      <c r="F298" s="2614"/>
      <c r="G298" s="2614"/>
      <c r="H298" s="2614"/>
      <c r="I298" s="2595">
        <f t="shared" si="9"/>
        <v>0</v>
      </c>
    </row>
    <row r="299" spans="1:9" ht="15" hidden="1" customHeight="1" x14ac:dyDescent="0.2">
      <c r="A299" s="3003">
        <f t="shared" si="8"/>
        <v>49.253999999999408</v>
      </c>
      <c r="B299" s="2512"/>
      <c r="C299" s="2614"/>
      <c r="D299" s="2488"/>
      <c r="E299" s="2488"/>
      <c r="F299" s="2488"/>
      <c r="G299" s="2614"/>
      <c r="H299" s="2488"/>
      <c r="I299" s="2595">
        <f t="shared" si="9"/>
        <v>0</v>
      </c>
    </row>
    <row r="300" spans="1:9" ht="15" hidden="1" customHeight="1" x14ac:dyDescent="0.2">
      <c r="A300" s="3003">
        <f t="shared" si="8"/>
        <v>49.254999999999406</v>
      </c>
      <c r="B300" s="2512"/>
      <c r="C300" s="2488"/>
      <c r="D300" s="2488"/>
      <c r="E300" s="2488"/>
      <c r="F300" s="2488"/>
      <c r="G300" s="2614"/>
      <c r="H300" s="2488"/>
      <c r="I300" s="2595">
        <f t="shared" si="9"/>
        <v>0</v>
      </c>
    </row>
    <row r="301" spans="1:9" ht="15" hidden="1" customHeight="1" x14ac:dyDescent="0.2">
      <c r="A301" s="3003">
        <f t="shared" si="8"/>
        <v>49.255999999999403</v>
      </c>
      <c r="B301" s="2512"/>
      <c r="C301" s="2614"/>
      <c r="D301" s="2614"/>
      <c r="E301" s="2614"/>
      <c r="F301" s="2614"/>
      <c r="G301" s="2614"/>
      <c r="H301" s="2614"/>
      <c r="I301" s="2595">
        <f t="shared" si="9"/>
        <v>0</v>
      </c>
    </row>
    <row r="302" spans="1:9" ht="15" hidden="1" customHeight="1" x14ac:dyDescent="0.2">
      <c r="A302" s="3003">
        <f t="shared" ref="A302:A365" si="10">A301+0.001</f>
        <v>49.256999999999401</v>
      </c>
      <c r="B302" s="2512"/>
      <c r="C302" s="2614"/>
      <c r="D302" s="2614"/>
      <c r="E302" s="2614"/>
      <c r="F302" s="2614"/>
      <c r="G302" s="2614"/>
      <c r="H302" s="2614"/>
      <c r="I302" s="2595">
        <f t="shared" si="9"/>
        <v>0</v>
      </c>
    </row>
    <row r="303" spans="1:9" ht="15" hidden="1" customHeight="1" x14ac:dyDescent="0.2">
      <c r="A303" s="3003">
        <f t="shared" si="10"/>
        <v>49.257999999999399</v>
      </c>
      <c r="B303" s="2512"/>
      <c r="C303" s="2614"/>
      <c r="D303" s="2614"/>
      <c r="E303" s="2614"/>
      <c r="F303" s="2614"/>
      <c r="G303" s="2614"/>
      <c r="H303" s="2614"/>
      <c r="I303" s="2595">
        <f t="shared" si="9"/>
        <v>0</v>
      </c>
    </row>
    <row r="304" spans="1:9" ht="15" hidden="1" customHeight="1" x14ac:dyDescent="0.2">
      <c r="A304" s="3003">
        <f t="shared" si="10"/>
        <v>49.258999999999396</v>
      </c>
      <c r="B304" s="2512"/>
      <c r="C304" s="2614"/>
      <c r="D304" s="2614"/>
      <c r="E304" s="2614"/>
      <c r="F304" s="2614"/>
      <c r="G304" s="2614"/>
      <c r="H304" s="2614"/>
      <c r="I304" s="2595">
        <f t="shared" si="9"/>
        <v>0</v>
      </c>
    </row>
    <row r="305" spans="1:9" ht="15" hidden="1" customHeight="1" x14ac:dyDescent="0.2">
      <c r="A305" s="3003">
        <f t="shared" si="10"/>
        <v>49.259999999999394</v>
      </c>
      <c r="B305" s="2512"/>
      <c r="C305" s="2614"/>
      <c r="D305" s="2614"/>
      <c r="E305" s="2614"/>
      <c r="F305" s="2614"/>
      <c r="G305" s="2614"/>
      <c r="H305" s="2614"/>
      <c r="I305" s="2595">
        <f t="shared" si="9"/>
        <v>0</v>
      </c>
    </row>
    <row r="306" spans="1:9" ht="15" hidden="1" customHeight="1" x14ac:dyDescent="0.2">
      <c r="A306" s="3003">
        <f t="shared" si="10"/>
        <v>49.260999999999392</v>
      </c>
      <c r="B306" s="2512"/>
      <c r="C306" s="2614"/>
      <c r="D306" s="2614"/>
      <c r="E306" s="2614"/>
      <c r="F306" s="2614"/>
      <c r="G306" s="2614"/>
      <c r="H306" s="2614"/>
      <c r="I306" s="2595">
        <f t="shared" si="9"/>
        <v>0</v>
      </c>
    </row>
    <row r="307" spans="1:9" ht="15" hidden="1" customHeight="1" x14ac:dyDescent="0.2">
      <c r="A307" s="3003">
        <f t="shared" si="10"/>
        <v>49.261999999999389</v>
      </c>
      <c r="B307" s="2512"/>
      <c r="C307" s="2614"/>
      <c r="D307" s="2614"/>
      <c r="E307" s="2488"/>
      <c r="F307" s="2614"/>
      <c r="G307" s="2614"/>
      <c r="H307" s="2614"/>
      <c r="I307" s="2595">
        <f t="shared" si="9"/>
        <v>0</v>
      </c>
    </row>
    <row r="308" spans="1:9" ht="15" hidden="1" customHeight="1" x14ac:dyDescent="0.2">
      <c r="A308" s="3003">
        <f t="shared" si="10"/>
        <v>49.262999999999387</v>
      </c>
      <c r="B308" s="2512"/>
      <c r="C308" s="2614"/>
      <c r="D308" s="2614"/>
      <c r="E308" s="2614"/>
      <c r="F308" s="2614"/>
      <c r="G308" s="2614"/>
      <c r="H308" s="2614"/>
      <c r="I308" s="2595">
        <f t="shared" si="9"/>
        <v>0</v>
      </c>
    </row>
    <row r="309" spans="1:9" ht="15" hidden="1" customHeight="1" x14ac:dyDescent="0.2">
      <c r="A309" s="3003">
        <f t="shared" si="10"/>
        <v>49.263999999999385</v>
      </c>
      <c r="B309" s="2512"/>
      <c r="C309" s="2614"/>
      <c r="D309" s="2614"/>
      <c r="E309" s="2488"/>
      <c r="F309" s="2614"/>
      <c r="G309" s="2614"/>
      <c r="H309" s="2614"/>
      <c r="I309" s="2595">
        <f t="shared" si="9"/>
        <v>0</v>
      </c>
    </row>
    <row r="310" spans="1:9" ht="15" hidden="1" customHeight="1" x14ac:dyDescent="0.2">
      <c r="A310" s="3003">
        <f t="shared" si="10"/>
        <v>49.264999999999382</v>
      </c>
      <c r="B310" s="2512"/>
      <c r="C310" s="2614"/>
      <c r="D310" s="2614"/>
      <c r="E310" s="2614"/>
      <c r="F310" s="2614"/>
      <c r="G310" s="2614"/>
      <c r="H310" s="2614"/>
      <c r="I310" s="2595">
        <f t="shared" si="9"/>
        <v>0</v>
      </c>
    </row>
    <row r="311" spans="1:9" ht="15" hidden="1" customHeight="1" x14ac:dyDescent="0.2">
      <c r="A311" s="3003">
        <f t="shared" si="10"/>
        <v>49.26599999999938</v>
      </c>
      <c r="B311" s="2512"/>
      <c r="C311" s="2614"/>
      <c r="D311" s="2614"/>
      <c r="E311" s="2614"/>
      <c r="F311" s="2614"/>
      <c r="G311" s="2614"/>
      <c r="H311" s="2614"/>
      <c r="I311" s="2595">
        <f t="shared" si="9"/>
        <v>0</v>
      </c>
    </row>
    <row r="312" spans="1:9" ht="15" hidden="1" customHeight="1" x14ac:dyDescent="0.2">
      <c r="A312" s="3003">
        <f t="shared" si="10"/>
        <v>49.266999999999378</v>
      </c>
      <c r="B312" s="2512"/>
      <c r="C312" s="2614"/>
      <c r="D312" s="2488"/>
      <c r="E312" s="2488"/>
      <c r="F312" s="2488"/>
      <c r="G312" s="2614"/>
      <c r="H312" s="2488"/>
      <c r="I312" s="2595">
        <f t="shared" si="9"/>
        <v>0</v>
      </c>
    </row>
    <row r="313" spans="1:9" ht="15" hidden="1" customHeight="1" x14ac:dyDescent="0.2">
      <c r="A313" s="3003">
        <f t="shared" si="10"/>
        <v>49.267999999999375</v>
      </c>
      <c r="B313" s="2512"/>
      <c r="C313" s="2488"/>
      <c r="D313" s="2488"/>
      <c r="E313" s="2488"/>
      <c r="F313" s="2488"/>
      <c r="G313" s="2614"/>
      <c r="H313" s="2488"/>
      <c r="I313" s="2595">
        <f t="shared" si="9"/>
        <v>0</v>
      </c>
    </row>
    <row r="314" spans="1:9" ht="15" hidden="1" customHeight="1" x14ac:dyDescent="0.2">
      <c r="A314" s="3003">
        <f t="shared" si="10"/>
        <v>49.268999999999373</v>
      </c>
      <c r="B314" s="2512"/>
      <c r="C314" s="2614"/>
      <c r="D314" s="2614"/>
      <c r="E314" s="2614"/>
      <c r="F314" s="2614"/>
      <c r="G314" s="2614"/>
      <c r="H314" s="2614"/>
      <c r="I314" s="2595">
        <f t="shared" si="9"/>
        <v>0</v>
      </c>
    </row>
    <row r="315" spans="1:9" ht="15" hidden="1" customHeight="1" x14ac:dyDescent="0.2">
      <c r="A315" s="3003">
        <f t="shared" si="10"/>
        <v>49.269999999999371</v>
      </c>
      <c r="B315" s="2512"/>
      <c r="C315" s="2614"/>
      <c r="D315" s="2614"/>
      <c r="E315" s="2488"/>
      <c r="F315" s="2614"/>
      <c r="G315" s="2614"/>
      <c r="H315" s="2614"/>
      <c r="I315" s="2595">
        <f t="shared" si="9"/>
        <v>0</v>
      </c>
    </row>
    <row r="316" spans="1:9" ht="15" hidden="1" customHeight="1" x14ac:dyDescent="0.2">
      <c r="A316" s="3003">
        <f t="shared" si="10"/>
        <v>49.270999999999368</v>
      </c>
      <c r="B316" s="2512"/>
      <c r="C316" s="2614"/>
      <c r="D316" s="2614"/>
      <c r="E316" s="2614"/>
      <c r="F316" s="2614"/>
      <c r="G316" s="2614"/>
      <c r="H316" s="2614"/>
      <c r="I316" s="2595">
        <f t="shared" si="9"/>
        <v>0</v>
      </c>
    </row>
    <row r="317" spans="1:9" ht="15" hidden="1" customHeight="1" x14ac:dyDescent="0.2">
      <c r="A317" s="3003">
        <f t="shared" si="10"/>
        <v>49.271999999999366</v>
      </c>
      <c r="B317" s="2512"/>
      <c r="C317" s="2614"/>
      <c r="D317" s="2488"/>
      <c r="E317" s="2488"/>
      <c r="F317" s="2488"/>
      <c r="G317" s="2614"/>
      <c r="H317" s="2488"/>
      <c r="I317" s="2595">
        <f t="shared" si="9"/>
        <v>0</v>
      </c>
    </row>
    <row r="318" spans="1:9" ht="15" hidden="1" customHeight="1" x14ac:dyDescent="0.2">
      <c r="A318" s="3003">
        <f t="shared" si="10"/>
        <v>49.272999999999364</v>
      </c>
      <c r="B318" s="2512"/>
      <c r="C318" s="2488"/>
      <c r="D318" s="2488"/>
      <c r="E318" s="2488"/>
      <c r="F318" s="2488"/>
      <c r="G318" s="2614"/>
      <c r="H318" s="2488"/>
      <c r="I318" s="2595">
        <f t="shared" si="9"/>
        <v>0</v>
      </c>
    </row>
    <row r="319" spans="1:9" ht="15" hidden="1" customHeight="1" x14ac:dyDescent="0.2">
      <c r="A319" s="3003">
        <f t="shared" si="10"/>
        <v>49.273999999999361</v>
      </c>
      <c r="B319" s="2512"/>
      <c r="C319" s="2614"/>
      <c r="D319" s="2614"/>
      <c r="E319" s="2614"/>
      <c r="F319" s="2614"/>
      <c r="G319" s="2614"/>
      <c r="H319" s="2614"/>
      <c r="I319" s="2595">
        <f t="shared" si="9"/>
        <v>0</v>
      </c>
    </row>
    <row r="320" spans="1:9" ht="15" hidden="1" customHeight="1" x14ac:dyDescent="0.2">
      <c r="A320" s="3003">
        <f t="shared" si="10"/>
        <v>49.274999999999359</v>
      </c>
      <c r="B320" s="2512"/>
      <c r="C320" s="2614"/>
      <c r="D320" s="2614"/>
      <c r="E320" s="2614"/>
      <c r="F320" s="2614"/>
      <c r="G320" s="2614"/>
      <c r="H320" s="2614"/>
      <c r="I320" s="2595">
        <f t="shared" si="9"/>
        <v>0</v>
      </c>
    </row>
    <row r="321" spans="1:9" ht="15" hidden="1" customHeight="1" x14ac:dyDescent="0.2">
      <c r="A321" s="3003">
        <f t="shared" si="10"/>
        <v>49.275999999999357</v>
      </c>
      <c r="B321" s="2512"/>
      <c r="C321" s="2614"/>
      <c r="D321" s="2614"/>
      <c r="E321" s="2614"/>
      <c r="F321" s="2614"/>
      <c r="G321" s="2614"/>
      <c r="H321" s="2614"/>
      <c r="I321" s="2595">
        <f t="shared" si="9"/>
        <v>0</v>
      </c>
    </row>
    <row r="322" spans="1:9" ht="15" hidden="1" customHeight="1" x14ac:dyDescent="0.2">
      <c r="A322" s="3003">
        <f t="shared" si="10"/>
        <v>49.276999999999354</v>
      </c>
      <c r="B322" s="2512"/>
      <c r="C322" s="2614"/>
      <c r="D322" s="2614"/>
      <c r="E322" s="2614"/>
      <c r="F322" s="2614"/>
      <c r="G322" s="2614"/>
      <c r="H322" s="2614"/>
      <c r="I322" s="2595">
        <f t="shared" si="9"/>
        <v>0</v>
      </c>
    </row>
    <row r="323" spans="1:9" ht="15" hidden="1" customHeight="1" x14ac:dyDescent="0.2">
      <c r="A323" s="3003">
        <f t="shared" si="10"/>
        <v>49.277999999999352</v>
      </c>
      <c r="B323" s="2512"/>
      <c r="C323" s="2614"/>
      <c r="D323" s="2488"/>
      <c r="E323" s="2488"/>
      <c r="F323" s="2614"/>
      <c r="G323" s="2614"/>
      <c r="H323" s="2488"/>
      <c r="I323" s="2595">
        <f t="shared" si="9"/>
        <v>0</v>
      </c>
    </row>
    <row r="324" spans="1:9" ht="15" hidden="1" customHeight="1" x14ac:dyDescent="0.2">
      <c r="A324" s="3003">
        <f t="shared" si="10"/>
        <v>49.27899999999935</v>
      </c>
      <c r="B324" s="2512"/>
      <c r="C324" s="2488"/>
      <c r="D324" s="2488"/>
      <c r="E324" s="2488"/>
      <c r="F324" s="2488"/>
      <c r="G324" s="2614"/>
      <c r="H324" s="2488"/>
      <c r="I324" s="2595">
        <f t="shared" si="9"/>
        <v>0</v>
      </c>
    </row>
    <row r="325" spans="1:9" ht="15" hidden="1" customHeight="1" x14ac:dyDescent="0.2">
      <c r="A325" s="3003">
        <f t="shared" si="10"/>
        <v>49.279999999999347</v>
      </c>
      <c r="B325" s="2512"/>
      <c r="C325" s="2614"/>
      <c r="D325" s="2614"/>
      <c r="E325" s="2614"/>
      <c r="F325" s="2614"/>
      <c r="G325" s="2614"/>
      <c r="H325" s="2614"/>
      <c r="I325" s="2595">
        <f t="shared" si="9"/>
        <v>0</v>
      </c>
    </row>
    <row r="326" spans="1:9" ht="15" hidden="1" customHeight="1" x14ac:dyDescent="0.2">
      <c r="A326" s="3003">
        <f t="shared" si="10"/>
        <v>49.280999999999345</v>
      </c>
      <c r="B326" s="2512"/>
      <c r="C326" s="2614"/>
      <c r="D326" s="2614"/>
      <c r="E326" s="2614"/>
      <c r="F326" s="2614"/>
      <c r="G326" s="2614"/>
      <c r="H326" s="2614"/>
      <c r="I326" s="2595">
        <f t="shared" si="9"/>
        <v>0</v>
      </c>
    </row>
    <row r="327" spans="1:9" ht="15" hidden="1" customHeight="1" x14ac:dyDescent="0.2">
      <c r="A327" s="3003">
        <f t="shared" si="10"/>
        <v>49.281999999999343</v>
      </c>
      <c r="B327" s="2512"/>
      <c r="C327" s="2614"/>
      <c r="D327" s="2614"/>
      <c r="E327" s="2614"/>
      <c r="F327" s="2614"/>
      <c r="G327" s="2614"/>
      <c r="H327" s="2614"/>
      <c r="I327" s="2595">
        <f t="shared" si="9"/>
        <v>0</v>
      </c>
    </row>
    <row r="328" spans="1:9" ht="15" hidden="1" customHeight="1" x14ac:dyDescent="0.2">
      <c r="A328" s="3003">
        <f t="shared" si="10"/>
        <v>49.28299999999934</v>
      </c>
      <c r="B328" s="2512"/>
      <c r="C328" s="2614"/>
      <c r="D328" s="2614"/>
      <c r="E328" s="2614"/>
      <c r="F328" s="2614"/>
      <c r="G328" s="2614"/>
      <c r="H328" s="2614"/>
      <c r="I328" s="2595">
        <f t="shared" ref="I328:I391" si="11">B328</f>
        <v>0</v>
      </c>
    </row>
    <row r="329" spans="1:9" ht="15" hidden="1" customHeight="1" x14ac:dyDescent="0.2">
      <c r="A329" s="3003">
        <f t="shared" si="10"/>
        <v>49.283999999999338</v>
      </c>
      <c r="B329" s="2512"/>
      <c r="C329" s="2614"/>
      <c r="D329" s="2614"/>
      <c r="E329" s="2614"/>
      <c r="F329" s="2614"/>
      <c r="G329" s="2614"/>
      <c r="H329" s="2614"/>
      <c r="I329" s="2595">
        <f t="shared" si="11"/>
        <v>0</v>
      </c>
    </row>
    <row r="330" spans="1:9" ht="15" hidden="1" customHeight="1" x14ac:dyDescent="0.2">
      <c r="A330" s="3003">
        <f t="shared" si="10"/>
        <v>49.284999999999336</v>
      </c>
      <c r="B330" s="2512"/>
      <c r="C330" s="2614"/>
      <c r="D330" s="2488"/>
      <c r="E330" s="2488"/>
      <c r="F330" s="2488"/>
      <c r="G330" s="2614"/>
      <c r="H330" s="2488"/>
      <c r="I330" s="2595">
        <f t="shared" si="11"/>
        <v>0</v>
      </c>
    </row>
    <row r="331" spans="1:9" ht="15" hidden="1" customHeight="1" x14ac:dyDescent="0.2">
      <c r="A331" s="3003">
        <f t="shared" si="10"/>
        <v>49.285999999999333</v>
      </c>
      <c r="B331" s="2512"/>
      <c r="C331" s="2488"/>
      <c r="D331" s="2488"/>
      <c r="E331" s="2488"/>
      <c r="F331" s="2488"/>
      <c r="G331" s="2614"/>
      <c r="H331" s="2488"/>
      <c r="I331" s="2595">
        <f t="shared" si="11"/>
        <v>0</v>
      </c>
    </row>
    <row r="332" spans="1:9" ht="15" hidden="1" customHeight="1" x14ac:dyDescent="0.2">
      <c r="A332" s="3003">
        <f t="shared" si="10"/>
        <v>49.286999999999331</v>
      </c>
      <c r="B332" s="2512"/>
      <c r="C332" s="2614"/>
      <c r="D332" s="2614"/>
      <c r="E332" s="2614"/>
      <c r="F332" s="2614"/>
      <c r="G332" s="2614"/>
      <c r="H332" s="2614"/>
      <c r="I332" s="2595">
        <f t="shared" si="11"/>
        <v>0</v>
      </c>
    </row>
    <row r="333" spans="1:9" ht="15" hidden="1" customHeight="1" x14ac:dyDescent="0.2">
      <c r="A333" s="3003">
        <f t="shared" si="10"/>
        <v>49.287999999999329</v>
      </c>
      <c r="B333" s="2512"/>
      <c r="C333" s="2614"/>
      <c r="D333" s="2614"/>
      <c r="E333" s="2614"/>
      <c r="F333" s="2614"/>
      <c r="G333" s="2614"/>
      <c r="H333" s="2614"/>
      <c r="I333" s="2595">
        <f t="shared" si="11"/>
        <v>0</v>
      </c>
    </row>
    <row r="334" spans="1:9" ht="15" hidden="1" customHeight="1" x14ac:dyDescent="0.2">
      <c r="A334" s="3003">
        <f t="shared" si="10"/>
        <v>49.288999999999326</v>
      </c>
      <c r="B334" s="2512"/>
      <c r="C334" s="2614"/>
      <c r="D334" s="2614"/>
      <c r="E334" s="2614"/>
      <c r="F334" s="2614"/>
      <c r="G334" s="2614"/>
      <c r="H334" s="2614"/>
      <c r="I334" s="2595">
        <f t="shared" si="11"/>
        <v>0</v>
      </c>
    </row>
    <row r="335" spans="1:9" ht="15" hidden="1" customHeight="1" x14ac:dyDescent="0.2">
      <c r="A335" s="3003">
        <f t="shared" si="10"/>
        <v>49.289999999999324</v>
      </c>
      <c r="B335" s="2512"/>
      <c r="C335" s="2614"/>
      <c r="D335" s="2614"/>
      <c r="E335" s="2614"/>
      <c r="F335" s="2614"/>
      <c r="G335" s="2614"/>
      <c r="H335" s="2614"/>
      <c r="I335" s="2595">
        <f t="shared" si="11"/>
        <v>0</v>
      </c>
    </row>
    <row r="336" spans="1:9" ht="15" hidden="1" customHeight="1" x14ac:dyDescent="0.2">
      <c r="A336" s="3003">
        <f t="shared" si="10"/>
        <v>49.290999999999322</v>
      </c>
      <c r="B336" s="2512"/>
      <c r="C336" s="2614"/>
      <c r="D336" s="2614"/>
      <c r="E336" s="2614"/>
      <c r="F336" s="2614"/>
      <c r="G336" s="2614"/>
      <c r="H336" s="2614"/>
      <c r="I336" s="2595">
        <f t="shared" si="11"/>
        <v>0</v>
      </c>
    </row>
    <row r="337" spans="1:9" ht="15" hidden="1" customHeight="1" x14ac:dyDescent="0.2">
      <c r="A337" s="3003">
        <f t="shared" si="10"/>
        <v>49.291999999999319</v>
      </c>
      <c r="B337" s="2512"/>
      <c r="C337" s="2614"/>
      <c r="D337" s="2614"/>
      <c r="E337" s="2488"/>
      <c r="F337" s="2614"/>
      <c r="G337" s="2614"/>
      <c r="H337" s="2614"/>
      <c r="I337" s="2595">
        <f t="shared" si="11"/>
        <v>0</v>
      </c>
    </row>
    <row r="338" spans="1:9" ht="15" hidden="1" customHeight="1" x14ac:dyDescent="0.2">
      <c r="A338" s="3003">
        <f t="shared" si="10"/>
        <v>49.292999999999317</v>
      </c>
      <c r="B338" s="2512"/>
      <c r="C338" s="2614"/>
      <c r="D338" s="2488"/>
      <c r="E338" s="2488"/>
      <c r="F338" s="2488"/>
      <c r="G338" s="2614"/>
      <c r="H338" s="2488"/>
      <c r="I338" s="2595">
        <f t="shared" si="11"/>
        <v>0</v>
      </c>
    </row>
    <row r="339" spans="1:9" ht="15" hidden="1" customHeight="1" x14ac:dyDescent="0.2">
      <c r="A339" s="3003">
        <f t="shared" si="10"/>
        <v>49.293999999999315</v>
      </c>
      <c r="B339" s="2512"/>
      <c r="C339" s="2488"/>
      <c r="D339" s="2488"/>
      <c r="E339" s="2488"/>
      <c r="F339" s="2488"/>
      <c r="G339" s="2614"/>
      <c r="H339" s="2488"/>
      <c r="I339" s="2595">
        <f t="shared" si="11"/>
        <v>0</v>
      </c>
    </row>
    <row r="340" spans="1:9" ht="15" hidden="1" customHeight="1" x14ac:dyDescent="0.2">
      <c r="A340" s="3003">
        <f t="shared" si="10"/>
        <v>49.294999999999312</v>
      </c>
      <c r="B340" s="2512"/>
      <c r="C340" s="2614"/>
      <c r="D340" s="2614"/>
      <c r="E340" s="2614"/>
      <c r="F340" s="2614"/>
      <c r="G340" s="2614"/>
      <c r="H340" s="2614"/>
      <c r="I340" s="2595">
        <f t="shared" si="11"/>
        <v>0</v>
      </c>
    </row>
    <row r="341" spans="1:9" ht="15" hidden="1" customHeight="1" x14ac:dyDescent="0.2">
      <c r="A341" s="3003">
        <f t="shared" si="10"/>
        <v>49.29599999999931</v>
      </c>
      <c r="B341" s="2512"/>
      <c r="C341" s="2614"/>
      <c r="D341" s="2614"/>
      <c r="E341" s="2614"/>
      <c r="F341" s="2614"/>
      <c r="G341" s="2614"/>
      <c r="H341" s="2614"/>
      <c r="I341" s="2595">
        <f t="shared" si="11"/>
        <v>0</v>
      </c>
    </row>
    <row r="342" spans="1:9" ht="15" hidden="1" customHeight="1" x14ac:dyDescent="0.2">
      <c r="A342" s="3003">
        <f t="shared" si="10"/>
        <v>49.296999999999308</v>
      </c>
      <c r="B342" s="2512"/>
      <c r="C342" s="2614"/>
      <c r="D342" s="2614"/>
      <c r="E342" s="2614"/>
      <c r="F342" s="2614"/>
      <c r="G342" s="2614"/>
      <c r="H342" s="2614"/>
      <c r="I342" s="2595">
        <f t="shared" si="11"/>
        <v>0</v>
      </c>
    </row>
    <row r="343" spans="1:9" ht="15" hidden="1" customHeight="1" x14ac:dyDescent="0.2">
      <c r="A343" s="3003">
        <f t="shared" si="10"/>
        <v>49.297999999999305</v>
      </c>
      <c r="B343" s="2512"/>
      <c r="C343" s="2614"/>
      <c r="D343" s="2614"/>
      <c r="E343" s="2614"/>
      <c r="F343" s="2614"/>
      <c r="G343" s="2614"/>
      <c r="H343" s="2614"/>
      <c r="I343" s="2595">
        <f t="shared" si="11"/>
        <v>0</v>
      </c>
    </row>
    <row r="344" spans="1:9" ht="15" hidden="1" customHeight="1" x14ac:dyDescent="0.2">
      <c r="A344" s="3003">
        <f t="shared" si="10"/>
        <v>49.298999999999303</v>
      </c>
      <c r="B344" s="2512"/>
      <c r="C344" s="2614"/>
      <c r="D344" s="2614"/>
      <c r="E344" s="2614"/>
      <c r="F344" s="2614"/>
      <c r="G344" s="2614"/>
      <c r="H344" s="2614"/>
      <c r="I344" s="2595">
        <f t="shared" si="11"/>
        <v>0</v>
      </c>
    </row>
    <row r="345" spans="1:9" ht="15" hidden="1" customHeight="1" x14ac:dyDescent="0.2">
      <c r="A345" s="3003">
        <f t="shared" si="10"/>
        <v>49.299999999999301</v>
      </c>
      <c r="B345" s="2512"/>
      <c r="C345" s="2614"/>
      <c r="D345" s="2614"/>
      <c r="E345" s="2614"/>
      <c r="F345" s="2614"/>
      <c r="G345" s="2614"/>
      <c r="H345" s="2614"/>
      <c r="I345" s="2595">
        <f t="shared" si="11"/>
        <v>0</v>
      </c>
    </row>
    <row r="346" spans="1:9" ht="15" hidden="1" customHeight="1" x14ac:dyDescent="0.2">
      <c r="A346" s="3003">
        <f t="shared" si="10"/>
        <v>49.300999999999298</v>
      </c>
      <c r="B346" s="2512"/>
      <c r="C346" s="2614"/>
      <c r="D346" s="2614"/>
      <c r="E346" s="2488"/>
      <c r="F346" s="2614"/>
      <c r="G346" s="2614"/>
      <c r="H346" s="2614"/>
      <c r="I346" s="2595">
        <f t="shared" si="11"/>
        <v>0</v>
      </c>
    </row>
    <row r="347" spans="1:9" ht="15" hidden="1" customHeight="1" x14ac:dyDescent="0.2">
      <c r="A347" s="3003">
        <f t="shared" si="10"/>
        <v>49.301999999999296</v>
      </c>
      <c r="B347" s="2512"/>
      <c r="C347" s="2614"/>
      <c r="D347" s="2614"/>
      <c r="E347" s="2614"/>
      <c r="F347" s="2614"/>
      <c r="G347" s="2614"/>
      <c r="H347" s="2614"/>
      <c r="I347" s="2595">
        <f t="shared" si="11"/>
        <v>0</v>
      </c>
    </row>
    <row r="348" spans="1:9" ht="15" hidden="1" customHeight="1" x14ac:dyDescent="0.2">
      <c r="A348" s="3003">
        <f t="shared" si="10"/>
        <v>49.302999999999294</v>
      </c>
      <c r="B348" s="2512"/>
      <c r="C348" s="2614"/>
      <c r="D348" s="2614"/>
      <c r="E348" s="2488"/>
      <c r="F348" s="2614"/>
      <c r="G348" s="2614"/>
      <c r="H348" s="2614"/>
      <c r="I348" s="2595">
        <f t="shared" si="11"/>
        <v>0</v>
      </c>
    </row>
    <row r="349" spans="1:9" ht="15" hidden="1" customHeight="1" x14ac:dyDescent="0.2">
      <c r="A349" s="3003">
        <f t="shared" si="10"/>
        <v>49.303999999999292</v>
      </c>
      <c r="B349" s="2512"/>
      <c r="C349" s="2614"/>
      <c r="D349" s="2614"/>
      <c r="E349" s="2614"/>
      <c r="F349" s="2614"/>
      <c r="G349" s="2614"/>
      <c r="H349" s="2614"/>
      <c r="I349" s="2595">
        <f t="shared" si="11"/>
        <v>0</v>
      </c>
    </row>
    <row r="350" spans="1:9" ht="15" hidden="1" customHeight="1" x14ac:dyDescent="0.2">
      <c r="A350" s="3003">
        <f t="shared" si="10"/>
        <v>49.304999999999289</v>
      </c>
      <c r="B350" s="2512"/>
      <c r="C350" s="2614"/>
      <c r="D350" s="2614"/>
      <c r="E350" s="2614"/>
      <c r="F350" s="2614"/>
      <c r="G350" s="2614"/>
      <c r="H350" s="2614"/>
      <c r="I350" s="2595">
        <f t="shared" si="11"/>
        <v>0</v>
      </c>
    </row>
    <row r="351" spans="1:9" ht="15" hidden="1" customHeight="1" x14ac:dyDescent="0.2">
      <c r="A351" s="3003">
        <f t="shared" si="10"/>
        <v>49.305999999999287</v>
      </c>
      <c r="B351" s="2512"/>
      <c r="C351" s="2614"/>
      <c r="D351" s="2488"/>
      <c r="E351" s="2488"/>
      <c r="F351" s="2488"/>
      <c r="G351" s="2614"/>
      <c r="H351" s="2488"/>
      <c r="I351" s="2595">
        <f t="shared" si="11"/>
        <v>0</v>
      </c>
    </row>
    <row r="352" spans="1:9" ht="15" hidden="1" customHeight="1" x14ac:dyDescent="0.2">
      <c r="A352" s="3003">
        <f t="shared" si="10"/>
        <v>49.306999999999285</v>
      </c>
      <c r="B352" s="2512"/>
      <c r="C352" s="2488"/>
      <c r="D352" s="2488"/>
      <c r="E352" s="2488"/>
      <c r="F352" s="2488"/>
      <c r="G352" s="2614"/>
      <c r="H352" s="2488"/>
      <c r="I352" s="2595">
        <f t="shared" si="11"/>
        <v>0</v>
      </c>
    </row>
    <row r="353" spans="1:9" ht="15" hidden="1" customHeight="1" x14ac:dyDescent="0.2">
      <c r="A353" s="3003">
        <f t="shared" si="10"/>
        <v>49.307999999999282</v>
      </c>
      <c r="B353" s="2512"/>
      <c r="C353" s="2614"/>
      <c r="D353" s="2614"/>
      <c r="E353" s="2614"/>
      <c r="F353" s="2614"/>
      <c r="G353" s="2614"/>
      <c r="H353" s="2614"/>
      <c r="I353" s="2595">
        <f t="shared" si="11"/>
        <v>0</v>
      </c>
    </row>
    <row r="354" spans="1:9" ht="15" hidden="1" customHeight="1" x14ac:dyDescent="0.2">
      <c r="A354" s="3003">
        <f t="shared" si="10"/>
        <v>49.30899999999928</v>
      </c>
      <c r="B354" s="2512"/>
      <c r="C354" s="2614"/>
      <c r="D354" s="2614"/>
      <c r="E354" s="2488"/>
      <c r="F354" s="2614"/>
      <c r="G354" s="2614"/>
      <c r="H354" s="2614"/>
      <c r="I354" s="2595">
        <f t="shared" si="11"/>
        <v>0</v>
      </c>
    </row>
    <row r="355" spans="1:9" ht="15" hidden="1" customHeight="1" x14ac:dyDescent="0.2">
      <c r="A355" s="3003">
        <f t="shared" si="10"/>
        <v>49.309999999999278</v>
      </c>
      <c r="B355" s="2512"/>
      <c r="C355" s="2614"/>
      <c r="D355" s="2614"/>
      <c r="E355" s="2614"/>
      <c r="F355" s="2614"/>
      <c r="G355" s="2614"/>
      <c r="H355" s="2614"/>
      <c r="I355" s="2595">
        <f t="shared" si="11"/>
        <v>0</v>
      </c>
    </row>
    <row r="356" spans="1:9" ht="15" hidden="1" customHeight="1" x14ac:dyDescent="0.2">
      <c r="A356" s="3003">
        <f t="shared" si="10"/>
        <v>49.310999999999275</v>
      </c>
      <c r="B356" s="2512"/>
      <c r="C356" s="2614"/>
      <c r="D356" s="2488"/>
      <c r="E356" s="2488"/>
      <c r="F356" s="2488"/>
      <c r="G356" s="2614"/>
      <c r="H356" s="2488"/>
      <c r="I356" s="2595">
        <f t="shared" si="11"/>
        <v>0</v>
      </c>
    </row>
    <row r="357" spans="1:9" ht="15" hidden="1" customHeight="1" x14ac:dyDescent="0.2">
      <c r="A357" s="3003">
        <f t="shared" si="10"/>
        <v>49.311999999999273</v>
      </c>
      <c r="B357" s="2512"/>
      <c r="C357" s="2488"/>
      <c r="D357" s="2488"/>
      <c r="E357" s="2488"/>
      <c r="F357" s="2488"/>
      <c r="G357" s="2614"/>
      <c r="H357" s="2488"/>
      <c r="I357" s="2595">
        <f t="shared" si="11"/>
        <v>0</v>
      </c>
    </row>
    <row r="358" spans="1:9" ht="15" hidden="1" customHeight="1" x14ac:dyDescent="0.2">
      <c r="A358" s="3003">
        <f t="shared" si="10"/>
        <v>49.312999999999271</v>
      </c>
      <c r="B358" s="2512"/>
      <c r="C358" s="2614"/>
      <c r="D358" s="2614"/>
      <c r="E358" s="2614"/>
      <c r="F358" s="2614"/>
      <c r="G358" s="2614"/>
      <c r="H358" s="2614"/>
      <c r="I358" s="2595">
        <f t="shared" si="11"/>
        <v>0</v>
      </c>
    </row>
    <row r="359" spans="1:9" ht="15" hidden="1" customHeight="1" x14ac:dyDescent="0.2">
      <c r="A359" s="3003">
        <f t="shared" si="10"/>
        <v>49.313999999999268</v>
      </c>
      <c r="B359" s="2512"/>
      <c r="C359" s="2614"/>
      <c r="D359" s="2614"/>
      <c r="E359" s="2614"/>
      <c r="F359" s="2614"/>
      <c r="G359" s="2614"/>
      <c r="H359" s="2614"/>
      <c r="I359" s="2595">
        <f t="shared" si="11"/>
        <v>0</v>
      </c>
    </row>
    <row r="360" spans="1:9" ht="15" hidden="1" customHeight="1" x14ac:dyDescent="0.2">
      <c r="A360" s="3003">
        <f t="shared" si="10"/>
        <v>49.314999999999266</v>
      </c>
      <c r="B360" s="2512"/>
      <c r="C360" s="2614"/>
      <c r="D360" s="2614"/>
      <c r="E360" s="2614"/>
      <c r="F360" s="2614"/>
      <c r="G360" s="2614"/>
      <c r="H360" s="2614"/>
      <c r="I360" s="2595">
        <f t="shared" si="11"/>
        <v>0</v>
      </c>
    </row>
    <row r="361" spans="1:9" ht="15" hidden="1" customHeight="1" x14ac:dyDescent="0.2">
      <c r="A361" s="3003">
        <f t="shared" si="10"/>
        <v>49.315999999999264</v>
      </c>
      <c r="B361" s="2512"/>
      <c r="C361" s="2614"/>
      <c r="D361" s="2614"/>
      <c r="E361" s="2614"/>
      <c r="F361" s="2614"/>
      <c r="G361" s="2614"/>
      <c r="H361" s="2614"/>
      <c r="I361" s="2595">
        <f t="shared" si="11"/>
        <v>0</v>
      </c>
    </row>
    <row r="362" spans="1:9" ht="15" hidden="1" customHeight="1" x14ac:dyDescent="0.2">
      <c r="A362" s="3003">
        <f t="shared" si="10"/>
        <v>49.316999999999261</v>
      </c>
      <c r="B362" s="2512"/>
      <c r="C362" s="2614"/>
      <c r="D362" s="2488"/>
      <c r="E362" s="2488"/>
      <c r="F362" s="2614"/>
      <c r="G362" s="2614"/>
      <c r="H362" s="2488"/>
      <c r="I362" s="2595">
        <f t="shared" si="11"/>
        <v>0</v>
      </c>
    </row>
    <row r="363" spans="1:9" ht="15" hidden="1" customHeight="1" x14ac:dyDescent="0.2">
      <c r="A363" s="3003">
        <f t="shared" si="10"/>
        <v>49.317999999999259</v>
      </c>
      <c r="B363" s="2512"/>
      <c r="C363" s="2488"/>
      <c r="D363" s="2488"/>
      <c r="E363" s="2488"/>
      <c r="F363" s="2488"/>
      <c r="G363" s="2614"/>
      <c r="H363" s="2488"/>
      <c r="I363" s="2595">
        <f t="shared" si="11"/>
        <v>0</v>
      </c>
    </row>
    <row r="364" spans="1:9" ht="15" hidden="1" customHeight="1" x14ac:dyDescent="0.2">
      <c r="A364" s="3003">
        <f t="shared" si="10"/>
        <v>49.318999999999257</v>
      </c>
      <c r="B364" s="2512"/>
      <c r="C364" s="2614"/>
      <c r="D364" s="2614"/>
      <c r="E364" s="2614"/>
      <c r="F364" s="2614"/>
      <c r="G364" s="2614"/>
      <c r="H364" s="2614"/>
      <c r="I364" s="2595">
        <f t="shared" si="11"/>
        <v>0</v>
      </c>
    </row>
    <row r="365" spans="1:9" ht="15" hidden="1" customHeight="1" x14ac:dyDescent="0.2">
      <c r="A365" s="3003">
        <f t="shared" si="10"/>
        <v>49.319999999999254</v>
      </c>
      <c r="B365" s="2512"/>
      <c r="C365" s="2614"/>
      <c r="D365" s="2614"/>
      <c r="E365" s="2614"/>
      <c r="F365" s="2614"/>
      <c r="G365" s="2614"/>
      <c r="H365" s="2614"/>
      <c r="I365" s="2595">
        <f t="shared" si="11"/>
        <v>0</v>
      </c>
    </row>
    <row r="366" spans="1:9" ht="15" hidden="1" customHeight="1" x14ac:dyDescent="0.2">
      <c r="A366" s="3003">
        <f t="shared" ref="A366:A429" si="12">A365+0.001</f>
        <v>49.320999999999252</v>
      </c>
      <c r="B366" s="2512"/>
      <c r="C366" s="2614"/>
      <c r="D366" s="2614"/>
      <c r="E366" s="2614"/>
      <c r="F366" s="2614"/>
      <c r="G366" s="2614"/>
      <c r="H366" s="2614"/>
      <c r="I366" s="2595">
        <f t="shared" si="11"/>
        <v>0</v>
      </c>
    </row>
    <row r="367" spans="1:9" ht="15" hidden="1" customHeight="1" x14ac:dyDescent="0.2">
      <c r="A367" s="3003">
        <f t="shared" si="12"/>
        <v>49.32199999999925</v>
      </c>
      <c r="B367" s="2512"/>
      <c r="C367" s="2614"/>
      <c r="D367" s="2614"/>
      <c r="E367" s="2614"/>
      <c r="F367" s="2614"/>
      <c r="G367" s="2614"/>
      <c r="H367" s="2614"/>
      <c r="I367" s="2595">
        <f t="shared" si="11"/>
        <v>0</v>
      </c>
    </row>
    <row r="368" spans="1:9" ht="15" hidden="1" customHeight="1" x14ac:dyDescent="0.2">
      <c r="A368" s="3003">
        <f t="shared" si="12"/>
        <v>49.322999999999247</v>
      </c>
      <c r="B368" s="2512"/>
      <c r="C368" s="2614"/>
      <c r="D368" s="2614"/>
      <c r="E368" s="2614"/>
      <c r="F368" s="2614"/>
      <c r="G368" s="2614"/>
      <c r="H368" s="2614"/>
      <c r="I368" s="2595">
        <f t="shared" si="11"/>
        <v>0</v>
      </c>
    </row>
    <row r="369" spans="1:9" ht="15" hidden="1" customHeight="1" x14ac:dyDescent="0.2">
      <c r="A369" s="3003">
        <f t="shared" si="12"/>
        <v>49.323999999999245</v>
      </c>
      <c r="B369" s="2512"/>
      <c r="C369" s="2614"/>
      <c r="D369" s="2488"/>
      <c r="E369" s="2488"/>
      <c r="F369" s="2488"/>
      <c r="G369" s="2614"/>
      <c r="H369" s="2488"/>
      <c r="I369" s="2595">
        <f t="shared" si="11"/>
        <v>0</v>
      </c>
    </row>
    <row r="370" spans="1:9" ht="15" hidden="1" customHeight="1" x14ac:dyDescent="0.2">
      <c r="A370" s="3003">
        <f t="shared" si="12"/>
        <v>49.324999999999243</v>
      </c>
      <c r="B370" s="2512"/>
      <c r="C370" s="2488"/>
      <c r="D370" s="2488"/>
      <c r="E370" s="2488"/>
      <c r="F370" s="2488"/>
      <c r="G370" s="2614"/>
      <c r="H370" s="2488"/>
      <c r="I370" s="2595">
        <f t="shared" si="11"/>
        <v>0</v>
      </c>
    </row>
    <row r="371" spans="1:9" ht="15" hidden="1" customHeight="1" x14ac:dyDescent="0.2">
      <c r="A371" s="3003">
        <f t="shared" si="12"/>
        <v>49.32599999999924</v>
      </c>
      <c r="B371" s="2512"/>
      <c r="C371" s="2614"/>
      <c r="D371" s="2614"/>
      <c r="E371" s="2614"/>
      <c r="F371" s="2614"/>
      <c r="G371" s="2614"/>
      <c r="H371" s="2614"/>
      <c r="I371" s="2595">
        <f t="shared" si="11"/>
        <v>0</v>
      </c>
    </row>
    <row r="372" spans="1:9" ht="15" hidden="1" customHeight="1" x14ac:dyDescent="0.2">
      <c r="A372" s="3003">
        <f t="shared" si="12"/>
        <v>49.326999999999238</v>
      </c>
      <c r="B372" s="2512"/>
      <c r="C372" s="2614"/>
      <c r="D372" s="2614"/>
      <c r="E372" s="2614"/>
      <c r="F372" s="2614"/>
      <c r="G372" s="2614"/>
      <c r="H372" s="2614"/>
      <c r="I372" s="2595">
        <f t="shared" si="11"/>
        <v>0</v>
      </c>
    </row>
    <row r="373" spans="1:9" ht="15" hidden="1" customHeight="1" x14ac:dyDescent="0.2">
      <c r="A373" s="3003">
        <f t="shared" si="12"/>
        <v>49.327999999999236</v>
      </c>
      <c r="B373" s="2512"/>
      <c r="C373" s="2614"/>
      <c r="D373" s="2614"/>
      <c r="E373" s="2614"/>
      <c r="F373" s="2614"/>
      <c r="G373" s="2614"/>
      <c r="H373" s="2614"/>
      <c r="I373" s="2595">
        <f t="shared" si="11"/>
        <v>0</v>
      </c>
    </row>
    <row r="374" spans="1:9" ht="15" hidden="1" customHeight="1" x14ac:dyDescent="0.2">
      <c r="A374" s="3003">
        <f t="shared" si="12"/>
        <v>49.328999999999233</v>
      </c>
      <c r="B374" s="2512"/>
      <c r="C374" s="2614"/>
      <c r="D374" s="2614"/>
      <c r="E374" s="2614"/>
      <c r="F374" s="2614"/>
      <c r="G374" s="2614"/>
      <c r="H374" s="2614"/>
      <c r="I374" s="2595">
        <f t="shared" si="11"/>
        <v>0</v>
      </c>
    </row>
    <row r="375" spans="1:9" ht="15" hidden="1" customHeight="1" x14ac:dyDescent="0.2">
      <c r="A375" s="3003">
        <f t="shared" si="12"/>
        <v>49.329999999999231</v>
      </c>
      <c r="B375" s="2512"/>
      <c r="C375" s="2614"/>
      <c r="D375" s="2614"/>
      <c r="E375" s="2614"/>
      <c r="F375" s="2614"/>
      <c r="G375" s="2614"/>
      <c r="H375" s="2614"/>
      <c r="I375" s="2595">
        <f t="shared" si="11"/>
        <v>0</v>
      </c>
    </row>
    <row r="376" spans="1:9" ht="15" hidden="1" customHeight="1" x14ac:dyDescent="0.2">
      <c r="A376" s="3003">
        <f t="shared" si="12"/>
        <v>49.330999999999229</v>
      </c>
      <c r="B376" s="2512"/>
      <c r="C376" s="2614"/>
      <c r="D376" s="2614"/>
      <c r="E376" s="2488"/>
      <c r="F376" s="2614"/>
      <c r="G376" s="2614"/>
      <c r="H376" s="2614"/>
      <c r="I376" s="2595">
        <f t="shared" si="11"/>
        <v>0</v>
      </c>
    </row>
    <row r="377" spans="1:9" ht="15" hidden="1" customHeight="1" x14ac:dyDescent="0.2">
      <c r="A377" s="3003">
        <f t="shared" si="12"/>
        <v>49.331999999999226</v>
      </c>
      <c r="B377" s="2512"/>
      <c r="C377" s="2614"/>
      <c r="D377" s="2488"/>
      <c r="E377" s="2488"/>
      <c r="F377" s="2488"/>
      <c r="G377" s="2614"/>
      <c r="H377" s="2488"/>
      <c r="I377" s="2595">
        <f t="shared" si="11"/>
        <v>0</v>
      </c>
    </row>
    <row r="378" spans="1:9" ht="15" hidden="1" customHeight="1" x14ac:dyDescent="0.2">
      <c r="A378" s="3003">
        <f t="shared" si="12"/>
        <v>49.332999999999224</v>
      </c>
      <c r="B378" s="2512"/>
      <c r="C378" s="2488"/>
      <c r="D378" s="2488"/>
      <c r="E378" s="2488"/>
      <c r="F378" s="2488"/>
      <c r="G378" s="2614"/>
      <c r="H378" s="2488"/>
      <c r="I378" s="2595">
        <f t="shared" si="11"/>
        <v>0</v>
      </c>
    </row>
    <row r="379" spans="1:9" ht="15" hidden="1" customHeight="1" x14ac:dyDescent="0.2">
      <c r="A379" s="3003">
        <f t="shared" si="12"/>
        <v>49.333999999999222</v>
      </c>
      <c r="B379" s="2512"/>
      <c r="C379" s="2614"/>
      <c r="D379" s="2614"/>
      <c r="E379" s="2614"/>
      <c r="F379" s="2614"/>
      <c r="G379" s="2614"/>
      <c r="H379" s="2614"/>
      <c r="I379" s="2595">
        <f t="shared" si="11"/>
        <v>0</v>
      </c>
    </row>
    <row r="380" spans="1:9" ht="15" hidden="1" customHeight="1" x14ac:dyDescent="0.2">
      <c r="A380" s="3003">
        <f t="shared" si="12"/>
        <v>49.334999999999219</v>
      </c>
      <c r="B380" s="2512"/>
      <c r="C380" s="2614"/>
      <c r="D380" s="2614"/>
      <c r="E380" s="2614"/>
      <c r="F380" s="2614"/>
      <c r="G380" s="2614"/>
      <c r="H380" s="2614"/>
      <c r="I380" s="2595">
        <f t="shared" si="11"/>
        <v>0</v>
      </c>
    </row>
    <row r="381" spans="1:9" ht="15" hidden="1" customHeight="1" x14ac:dyDescent="0.2">
      <c r="A381" s="3003">
        <f t="shared" si="12"/>
        <v>49.335999999999217</v>
      </c>
      <c r="B381" s="2512"/>
      <c r="C381" s="2614"/>
      <c r="D381" s="2614"/>
      <c r="E381" s="2614"/>
      <c r="F381" s="2614"/>
      <c r="G381" s="2614"/>
      <c r="H381" s="2614"/>
      <c r="I381" s="2595">
        <f t="shared" si="11"/>
        <v>0</v>
      </c>
    </row>
    <row r="382" spans="1:9" ht="15" hidden="1" customHeight="1" x14ac:dyDescent="0.2">
      <c r="A382" s="3003">
        <f t="shared" si="12"/>
        <v>49.336999999999215</v>
      </c>
      <c r="B382" s="2512"/>
      <c r="C382" s="2614"/>
      <c r="D382" s="2614"/>
      <c r="E382" s="2614"/>
      <c r="F382" s="2614"/>
      <c r="G382" s="2614"/>
      <c r="H382" s="2614"/>
      <c r="I382" s="2595">
        <f t="shared" si="11"/>
        <v>0</v>
      </c>
    </row>
    <row r="383" spans="1:9" ht="15" hidden="1" customHeight="1" x14ac:dyDescent="0.2">
      <c r="A383" s="3003">
        <f t="shared" si="12"/>
        <v>49.337999999999212</v>
      </c>
      <c r="B383" s="2512"/>
      <c r="C383" s="2614"/>
      <c r="D383" s="2614"/>
      <c r="E383" s="2614"/>
      <c r="F383" s="2614"/>
      <c r="G383" s="2614"/>
      <c r="H383" s="2614"/>
      <c r="I383" s="2595">
        <f t="shared" si="11"/>
        <v>0</v>
      </c>
    </row>
    <row r="384" spans="1:9" ht="15" hidden="1" customHeight="1" x14ac:dyDescent="0.2">
      <c r="A384" s="3003">
        <f t="shared" si="12"/>
        <v>49.33899999999921</v>
      </c>
      <c r="B384" s="2512"/>
      <c r="C384" s="2614"/>
      <c r="D384" s="2614"/>
      <c r="E384" s="2614"/>
      <c r="F384" s="2614"/>
      <c r="G384" s="2614"/>
      <c r="H384" s="2614"/>
      <c r="I384" s="2595">
        <f t="shared" si="11"/>
        <v>0</v>
      </c>
    </row>
    <row r="385" spans="1:9" ht="15" hidden="1" customHeight="1" x14ac:dyDescent="0.2">
      <c r="A385" s="3003">
        <f t="shared" si="12"/>
        <v>49.339999999999208</v>
      </c>
      <c r="B385" s="2512"/>
      <c r="C385" s="2614"/>
      <c r="D385" s="2614"/>
      <c r="E385" s="2488"/>
      <c r="F385" s="2614"/>
      <c r="G385" s="2614"/>
      <c r="H385" s="2614"/>
      <c r="I385" s="2595">
        <f t="shared" si="11"/>
        <v>0</v>
      </c>
    </row>
    <row r="386" spans="1:9" ht="15" hidden="1" customHeight="1" x14ac:dyDescent="0.2">
      <c r="A386" s="3003">
        <f t="shared" si="12"/>
        <v>49.340999999999205</v>
      </c>
      <c r="B386" s="2512"/>
      <c r="C386" s="2614"/>
      <c r="D386" s="2614"/>
      <c r="E386" s="2614"/>
      <c r="F386" s="2614"/>
      <c r="G386" s="2614"/>
      <c r="H386" s="2614"/>
      <c r="I386" s="2595">
        <f t="shared" si="11"/>
        <v>0</v>
      </c>
    </row>
    <row r="387" spans="1:9" ht="15" hidden="1" customHeight="1" x14ac:dyDescent="0.2">
      <c r="A387" s="3003">
        <f t="shared" si="12"/>
        <v>49.341999999999203</v>
      </c>
      <c r="B387" s="2512"/>
      <c r="C387" s="2614"/>
      <c r="D387" s="2614"/>
      <c r="E387" s="2488"/>
      <c r="F387" s="2614"/>
      <c r="G387" s="2614"/>
      <c r="H387" s="2614"/>
      <c r="I387" s="2595">
        <f t="shared" si="11"/>
        <v>0</v>
      </c>
    </row>
    <row r="388" spans="1:9" ht="15" hidden="1" customHeight="1" x14ac:dyDescent="0.2">
      <c r="A388" s="3003">
        <f t="shared" si="12"/>
        <v>49.342999999999201</v>
      </c>
      <c r="B388" s="2512"/>
      <c r="C388" s="2614"/>
      <c r="D388" s="2614"/>
      <c r="E388" s="2614"/>
      <c r="F388" s="2614"/>
      <c r="G388" s="2614"/>
      <c r="H388" s="2614"/>
      <c r="I388" s="2595">
        <f t="shared" si="11"/>
        <v>0</v>
      </c>
    </row>
    <row r="389" spans="1:9" ht="15" hidden="1" customHeight="1" x14ac:dyDescent="0.2">
      <c r="A389" s="3003">
        <f t="shared" si="12"/>
        <v>49.343999999999198</v>
      </c>
      <c r="B389" s="2512"/>
      <c r="C389" s="2614"/>
      <c r="D389" s="2614"/>
      <c r="E389" s="2614"/>
      <c r="F389" s="2614"/>
      <c r="G389" s="2614"/>
      <c r="H389" s="2614"/>
      <c r="I389" s="2595">
        <f t="shared" si="11"/>
        <v>0</v>
      </c>
    </row>
    <row r="390" spans="1:9" ht="15" hidden="1" customHeight="1" x14ac:dyDescent="0.2">
      <c r="A390" s="3003">
        <f t="shared" si="12"/>
        <v>49.344999999999196</v>
      </c>
      <c r="B390" s="2512"/>
      <c r="C390" s="2614"/>
      <c r="D390" s="2488"/>
      <c r="E390" s="2488"/>
      <c r="F390" s="2488"/>
      <c r="G390" s="2614"/>
      <c r="H390" s="2488"/>
      <c r="I390" s="2595">
        <f t="shared" si="11"/>
        <v>0</v>
      </c>
    </row>
    <row r="391" spans="1:9" ht="15" hidden="1" customHeight="1" x14ac:dyDescent="0.2">
      <c r="A391" s="3003">
        <f t="shared" si="12"/>
        <v>49.345999999999194</v>
      </c>
      <c r="B391" s="2512"/>
      <c r="C391" s="2488"/>
      <c r="D391" s="2488"/>
      <c r="E391" s="2488"/>
      <c r="F391" s="2488"/>
      <c r="G391" s="2614"/>
      <c r="H391" s="2488"/>
      <c r="I391" s="2595">
        <f t="shared" si="11"/>
        <v>0</v>
      </c>
    </row>
    <row r="392" spans="1:9" ht="15" hidden="1" customHeight="1" x14ac:dyDescent="0.2">
      <c r="A392" s="3003">
        <f t="shared" si="12"/>
        <v>49.346999999999191</v>
      </c>
      <c r="B392" s="2512"/>
      <c r="C392" s="2614"/>
      <c r="D392" s="2614"/>
      <c r="E392" s="2614"/>
      <c r="F392" s="2614"/>
      <c r="G392" s="2614"/>
      <c r="H392" s="2614"/>
      <c r="I392" s="2595">
        <f t="shared" ref="I392:I455" si="13">B392</f>
        <v>0</v>
      </c>
    </row>
    <row r="393" spans="1:9" ht="15" hidden="1" customHeight="1" x14ac:dyDescent="0.2">
      <c r="A393" s="3003">
        <f t="shared" si="12"/>
        <v>49.347999999999189</v>
      </c>
      <c r="B393" s="2512"/>
      <c r="C393" s="2614"/>
      <c r="D393" s="2614"/>
      <c r="E393" s="2488"/>
      <c r="F393" s="2614"/>
      <c r="G393" s="2614"/>
      <c r="H393" s="2614"/>
      <c r="I393" s="2595">
        <f t="shared" si="13"/>
        <v>0</v>
      </c>
    </row>
    <row r="394" spans="1:9" ht="15" hidden="1" customHeight="1" x14ac:dyDescent="0.2">
      <c r="A394" s="3003">
        <f t="shared" si="12"/>
        <v>49.348999999999187</v>
      </c>
      <c r="B394" s="2512"/>
      <c r="C394" s="2614"/>
      <c r="D394" s="2614"/>
      <c r="E394" s="2614"/>
      <c r="F394" s="2614"/>
      <c r="G394" s="2614"/>
      <c r="H394" s="2614"/>
      <c r="I394" s="2595">
        <f t="shared" si="13"/>
        <v>0</v>
      </c>
    </row>
    <row r="395" spans="1:9" ht="15" hidden="1" customHeight="1" x14ac:dyDescent="0.2">
      <c r="A395" s="3003">
        <f t="shared" si="12"/>
        <v>49.349999999999184</v>
      </c>
      <c r="B395" s="2512"/>
      <c r="C395" s="2614"/>
      <c r="D395" s="2488"/>
      <c r="E395" s="2488"/>
      <c r="F395" s="2488"/>
      <c r="G395" s="2614"/>
      <c r="H395" s="2488"/>
      <c r="I395" s="2595">
        <f t="shared" si="13"/>
        <v>0</v>
      </c>
    </row>
    <row r="396" spans="1:9" ht="15" hidden="1" customHeight="1" x14ac:dyDescent="0.2">
      <c r="A396" s="3003">
        <f t="shared" si="12"/>
        <v>49.350999999999182</v>
      </c>
      <c r="B396" s="2512"/>
      <c r="C396" s="2488"/>
      <c r="D396" s="2488"/>
      <c r="E396" s="2488"/>
      <c r="F396" s="2488"/>
      <c r="G396" s="2614"/>
      <c r="H396" s="2488"/>
      <c r="I396" s="2595">
        <f t="shared" si="13"/>
        <v>0</v>
      </c>
    </row>
    <row r="397" spans="1:9" ht="15" hidden="1" customHeight="1" x14ac:dyDescent="0.2">
      <c r="A397" s="3003">
        <f t="shared" si="12"/>
        <v>49.35199999999918</v>
      </c>
      <c r="B397" s="2512"/>
      <c r="C397" s="2614"/>
      <c r="D397" s="2614"/>
      <c r="E397" s="2614"/>
      <c r="F397" s="2614"/>
      <c r="G397" s="2614"/>
      <c r="H397" s="2614"/>
      <c r="I397" s="2595">
        <f t="shared" si="13"/>
        <v>0</v>
      </c>
    </row>
    <row r="398" spans="1:9" ht="15" hidden="1" customHeight="1" x14ac:dyDescent="0.2">
      <c r="A398" s="3003">
        <f t="shared" si="12"/>
        <v>49.352999999999177</v>
      </c>
      <c r="B398" s="2512"/>
      <c r="C398" s="2614"/>
      <c r="D398" s="2614"/>
      <c r="E398" s="2614"/>
      <c r="F398" s="2614"/>
      <c r="G398" s="2614"/>
      <c r="H398" s="2614"/>
      <c r="I398" s="2595">
        <f t="shared" si="13"/>
        <v>0</v>
      </c>
    </row>
    <row r="399" spans="1:9" ht="15" hidden="1" customHeight="1" x14ac:dyDescent="0.2">
      <c r="A399" s="3003">
        <f t="shared" si="12"/>
        <v>49.353999999999175</v>
      </c>
      <c r="B399" s="2512"/>
      <c r="C399" s="2614"/>
      <c r="D399" s="2614"/>
      <c r="E399" s="2614"/>
      <c r="F399" s="2614"/>
      <c r="G399" s="2614"/>
      <c r="H399" s="2614"/>
      <c r="I399" s="2595">
        <f t="shared" si="13"/>
        <v>0</v>
      </c>
    </row>
    <row r="400" spans="1:9" ht="15" hidden="1" customHeight="1" x14ac:dyDescent="0.2">
      <c r="A400" s="3003">
        <f t="shared" si="12"/>
        <v>49.354999999999173</v>
      </c>
      <c r="B400" s="2512"/>
      <c r="C400" s="2614"/>
      <c r="D400" s="2614"/>
      <c r="E400" s="2614"/>
      <c r="F400" s="2614"/>
      <c r="G400" s="2614"/>
      <c r="H400" s="2614"/>
      <c r="I400" s="2595">
        <f t="shared" si="13"/>
        <v>0</v>
      </c>
    </row>
    <row r="401" spans="1:9" ht="15" hidden="1" customHeight="1" x14ac:dyDescent="0.2">
      <c r="A401" s="3003">
        <f t="shared" si="12"/>
        <v>49.35599999999917</v>
      </c>
      <c r="B401" s="2512"/>
      <c r="C401" s="2614"/>
      <c r="D401" s="2488"/>
      <c r="E401" s="2488"/>
      <c r="F401" s="2614"/>
      <c r="G401" s="2614"/>
      <c r="H401" s="2488"/>
      <c r="I401" s="2595">
        <f t="shared" si="13"/>
        <v>0</v>
      </c>
    </row>
    <row r="402" spans="1:9" ht="15" hidden="1" customHeight="1" x14ac:dyDescent="0.2">
      <c r="A402" s="3003">
        <f t="shared" si="12"/>
        <v>49.356999999999168</v>
      </c>
      <c r="B402" s="2512"/>
      <c r="C402" s="2488"/>
      <c r="D402" s="2488"/>
      <c r="E402" s="2488"/>
      <c r="F402" s="2488"/>
      <c r="G402" s="2614"/>
      <c r="H402" s="2488"/>
      <c r="I402" s="2595">
        <f t="shared" si="13"/>
        <v>0</v>
      </c>
    </row>
    <row r="403" spans="1:9" ht="15" hidden="1" customHeight="1" x14ac:dyDescent="0.2">
      <c r="A403" s="3003">
        <f t="shared" si="12"/>
        <v>49.357999999999166</v>
      </c>
      <c r="B403" s="2512"/>
      <c r="C403" s="2614"/>
      <c r="D403" s="2614"/>
      <c r="E403" s="2614"/>
      <c r="F403" s="2614"/>
      <c r="G403" s="2614"/>
      <c r="H403" s="2614"/>
      <c r="I403" s="2595">
        <f t="shared" si="13"/>
        <v>0</v>
      </c>
    </row>
    <row r="404" spans="1:9" ht="15" hidden="1" customHeight="1" x14ac:dyDescent="0.2">
      <c r="A404" s="3003">
        <f t="shared" si="12"/>
        <v>49.358999999999163</v>
      </c>
      <c r="B404" s="2512"/>
      <c r="C404" s="2614"/>
      <c r="D404" s="2614"/>
      <c r="E404" s="2614"/>
      <c r="F404" s="2614"/>
      <c r="G404" s="2614"/>
      <c r="H404" s="2614"/>
      <c r="I404" s="2595">
        <f t="shared" si="13"/>
        <v>0</v>
      </c>
    </row>
    <row r="405" spans="1:9" ht="15" hidden="1" customHeight="1" x14ac:dyDescent="0.2">
      <c r="A405" s="3003">
        <f t="shared" si="12"/>
        <v>49.359999999999161</v>
      </c>
      <c r="B405" s="2512"/>
      <c r="C405" s="2614"/>
      <c r="D405" s="2614"/>
      <c r="E405" s="2614"/>
      <c r="F405" s="2614"/>
      <c r="G405" s="2614"/>
      <c r="H405" s="2614"/>
      <c r="I405" s="2595">
        <f t="shared" si="13"/>
        <v>0</v>
      </c>
    </row>
    <row r="406" spans="1:9" ht="15" hidden="1" customHeight="1" x14ac:dyDescent="0.2">
      <c r="A406" s="3003">
        <f t="shared" si="12"/>
        <v>49.360999999999159</v>
      </c>
      <c r="B406" s="2512"/>
      <c r="C406" s="2614"/>
      <c r="D406" s="2614"/>
      <c r="E406" s="2614"/>
      <c r="F406" s="2614"/>
      <c r="G406" s="2614"/>
      <c r="H406" s="2614"/>
      <c r="I406" s="2595">
        <f t="shared" si="13"/>
        <v>0</v>
      </c>
    </row>
    <row r="407" spans="1:9" ht="15" hidden="1" customHeight="1" x14ac:dyDescent="0.2">
      <c r="A407" s="3003">
        <f t="shared" si="12"/>
        <v>49.361999999999156</v>
      </c>
      <c r="B407" s="2512"/>
      <c r="C407" s="2614"/>
      <c r="D407" s="2614"/>
      <c r="E407" s="2614"/>
      <c r="F407" s="2614"/>
      <c r="G407" s="2614"/>
      <c r="H407" s="2614"/>
      <c r="I407" s="2595">
        <f t="shared" si="13"/>
        <v>0</v>
      </c>
    </row>
    <row r="408" spans="1:9" ht="15" hidden="1" customHeight="1" x14ac:dyDescent="0.2">
      <c r="A408" s="3003">
        <f t="shared" si="12"/>
        <v>49.362999999999154</v>
      </c>
      <c r="B408" s="2512"/>
      <c r="C408" s="2614"/>
      <c r="D408" s="2488"/>
      <c r="E408" s="2488"/>
      <c r="F408" s="2488"/>
      <c r="G408" s="2614"/>
      <c r="H408" s="2488"/>
      <c r="I408" s="2595">
        <f t="shared" si="13"/>
        <v>0</v>
      </c>
    </row>
    <row r="409" spans="1:9" ht="15" hidden="1" customHeight="1" x14ac:dyDescent="0.2">
      <c r="A409" s="3003">
        <f t="shared" si="12"/>
        <v>49.363999999999152</v>
      </c>
      <c r="B409" s="2669"/>
      <c r="C409" s="2488"/>
      <c r="D409" s="2488"/>
      <c r="E409" s="2488"/>
      <c r="F409" s="2488"/>
      <c r="G409" s="2614"/>
      <c r="H409" s="2488"/>
      <c r="I409" s="2595">
        <f t="shared" si="13"/>
        <v>0</v>
      </c>
    </row>
    <row r="410" spans="1:9" ht="15" hidden="1" customHeight="1" x14ac:dyDescent="0.2">
      <c r="A410" s="3003">
        <f t="shared" si="12"/>
        <v>49.364999999999149</v>
      </c>
      <c r="B410" s="2512"/>
      <c r="C410" s="2614"/>
      <c r="D410" s="2614"/>
      <c r="E410" s="2614"/>
      <c r="F410" s="2614"/>
      <c r="G410" s="2614"/>
      <c r="H410" s="2614"/>
      <c r="I410" s="2595">
        <f t="shared" si="13"/>
        <v>0</v>
      </c>
    </row>
    <row r="411" spans="1:9" ht="15" hidden="1" customHeight="1" x14ac:dyDescent="0.2">
      <c r="A411" s="3003">
        <f t="shared" si="12"/>
        <v>49.365999999999147</v>
      </c>
      <c r="B411" s="2512"/>
      <c r="C411" s="2614"/>
      <c r="D411" s="2614"/>
      <c r="E411" s="2614"/>
      <c r="F411" s="2614"/>
      <c r="G411" s="2614"/>
      <c r="H411" s="2614"/>
      <c r="I411" s="2595">
        <f t="shared" si="13"/>
        <v>0</v>
      </c>
    </row>
    <row r="412" spans="1:9" ht="15" hidden="1" customHeight="1" x14ac:dyDescent="0.2">
      <c r="A412" s="3003">
        <f t="shared" si="12"/>
        <v>49.366999999999145</v>
      </c>
      <c r="B412" s="2512"/>
      <c r="C412" s="2614"/>
      <c r="D412" s="2614"/>
      <c r="E412" s="2614"/>
      <c r="F412" s="2614"/>
      <c r="G412" s="2614"/>
      <c r="H412" s="2614"/>
      <c r="I412" s="2595">
        <f t="shared" si="13"/>
        <v>0</v>
      </c>
    </row>
    <row r="413" spans="1:9" ht="15" hidden="1" customHeight="1" x14ac:dyDescent="0.2">
      <c r="A413" s="3003">
        <f t="shared" si="12"/>
        <v>49.367999999999142</v>
      </c>
      <c r="B413" s="2512"/>
      <c r="C413" s="2614"/>
      <c r="D413" s="2614"/>
      <c r="E413" s="2614"/>
      <c r="F413" s="2614"/>
      <c r="G413" s="2614"/>
      <c r="H413" s="2614"/>
      <c r="I413" s="2595">
        <f t="shared" si="13"/>
        <v>0</v>
      </c>
    </row>
    <row r="414" spans="1:9" ht="15" hidden="1" customHeight="1" x14ac:dyDescent="0.2">
      <c r="A414" s="3003">
        <f t="shared" si="12"/>
        <v>49.36899999999914</v>
      </c>
      <c r="B414" s="2512"/>
      <c r="C414" s="2614"/>
      <c r="D414" s="2614"/>
      <c r="E414" s="2614"/>
      <c r="F414" s="2614"/>
      <c r="G414" s="2614"/>
      <c r="H414" s="2614"/>
      <c r="I414" s="2595">
        <f t="shared" si="13"/>
        <v>0</v>
      </c>
    </row>
    <row r="415" spans="1:9" ht="15" hidden="1" customHeight="1" x14ac:dyDescent="0.2">
      <c r="A415" s="3003">
        <f t="shared" si="12"/>
        <v>49.369999999999138</v>
      </c>
      <c r="B415" s="2512"/>
      <c r="C415" s="2614"/>
      <c r="D415" s="2614"/>
      <c r="E415" s="2488"/>
      <c r="F415" s="2614"/>
      <c r="G415" s="2614"/>
      <c r="H415" s="2614"/>
      <c r="I415" s="2595">
        <f t="shared" si="13"/>
        <v>0</v>
      </c>
    </row>
    <row r="416" spans="1:9" ht="15" hidden="1" customHeight="1" x14ac:dyDescent="0.2">
      <c r="A416" s="3003">
        <f t="shared" si="12"/>
        <v>49.370999999999135</v>
      </c>
      <c r="B416" s="2512"/>
      <c r="C416" s="2614"/>
      <c r="D416" s="2488"/>
      <c r="E416" s="2488"/>
      <c r="F416" s="2488"/>
      <c r="G416" s="2614"/>
      <c r="H416" s="2488"/>
      <c r="I416" s="2595">
        <f t="shared" si="13"/>
        <v>0</v>
      </c>
    </row>
    <row r="417" spans="1:9" ht="15" hidden="1" customHeight="1" x14ac:dyDescent="0.2">
      <c r="A417" s="3003">
        <f t="shared" si="12"/>
        <v>49.371999999999133</v>
      </c>
      <c r="B417" s="2512"/>
      <c r="C417" s="2488"/>
      <c r="D417" s="2488"/>
      <c r="E417" s="2488"/>
      <c r="F417" s="2488"/>
      <c r="G417" s="2614"/>
      <c r="H417" s="2488"/>
      <c r="I417" s="2595">
        <f t="shared" si="13"/>
        <v>0</v>
      </c>
    </row>
    <row r="418" spans="1:9" ht="15" hidden="1" customHeight="1" x14ac:dyDescent="0.2">
      <c r="A418" s="3003">
        <f t="shared" si="12"/>
        <v>49.372999999999131</v>
      </c>
      <c r="B418" s="2512"/>
      <c r="C418" s="2614"/>
      <c r="D418" s="2614"/>
      <c r="E418" s="2614"/>
      <c r="F418" s="2614"/>
      <c r="G418" s="2614"/>
      <c r="H418" s="2614"/>
      <c r="I418" s="2595">
        <f t="shared" si="13"/>
        <v>0</v>
      </c>
    </row>
    <row r="419" spans="1:9" ht="15" hidden="1" customHeight="1" x14ac:dyDescent="0.2">
      <c r="A419" s="3003">
        <f t="shared" si="12"/>
        <v>49.373999999999128</v>
      </c>
      <c r="B419" s="2512"/>
      <c r="C419" s="2614"/>
      <c r="D419" s="2614"/>
      <c r="E419" s="2614"/>
      <c r="F419" s="2614"/>
      <c r="G419" s="2614"/>
      <c r="H419" s="2614"/>
      <c r="I419" s="2595">
        <f t="shared" si="13"/>
        <v>0</v>
      </c>
    </row>
    <row r="420" spans="1:9" ht="15" hidden="1" customHeight="1" x14ac:dyDescent="0.2">
      <c r="A420" s="3003">
        <f t="shared" si="12"/>
        <v>49.374999999999126</v>
      </c>
      <c r="B420" s="2512"/>
      <c r="C420" s="2614"/>
      <c r="D420" s="2614"/>
      <c r="E420" s="2614"/>
      <c r="F420" s="2614"/>
      <c r="G420" s="2614"/>
      <c r="H420" s="2614"/>
      <c r="I420" s="2595">
        <f t="shared" si="13"/>
        <v>0</v>
      </c>
    </row>
    <row r="421" spans="1:9" ht="15" hidden="1" customHeight="1" x14ac:dyDescent="0.2">
      <c r="A421" s="3003">
        <f t="shared" si="12"/>
        <v>49.375999999999124</v>
      </c>
      <c r="B421" s="2512"/>
      <c r="C421" s="2614"/>
      <c r="D421" s="2614"/>
      <c r="E421" s="2614"/>
      <c r="F421" s="2614"/>
      <c r="G421" s="2614"/>
      <c r="H421" s="2614"/>
      <c r="I421" s="2595">
        <f t="shared" si="13"/>
        <v>0</v>
      </c>
    </row>
    <row r="422" spans="1:9" ht="15" hidden="1" customHeight="1" x14ac:dyDescent="0.2">
      <c r="A422" s="3003">
        <f t="shared" si="12"/>
        <v>49.376999999999121</v>
      </c>
      <c r="B422" s="2512"/>
      <c r="C422" s="2614"/>
      <c r="D422" s="2614"/>
      <c r="E422" s="2614"/>
      <c r="F422" s="2614"/>
      <c r="G422" s="2614"/>
      <c r="H422" s="2614"/>
      <c r="I422" s="2595">
        <f t="shared" si="13"/>
        <v>0</v>
      </c>
    </row>
    <row r="423" spans="1:9" ht="15" hidden="1" customHeight="1" x14ac:dyDescent="0.2">
      <c r="A423" s="3003">
        <f t="shared" si="12"/>
        <v>49.377999999999119</v>
      </c>
      <c r="B423" s="2512"/>
      <c r="C423" s="2614"/>
      <c r="D423" s="2614"/>
      <c r="E423" s="2614"/>
      <c r="F423" s="2614"/>
      <c r="G423" s="2614"/>
      <c r="H423" s="2614"/>
      <c r="I423" s="2595">
        <f t="shared" si="13"/>
        <v>0</v>
      </c>
    </row>
    <row r="424" spans="1:9" ht="15" hidden="1" customHeight="1" x14ac:dyDescent="0.2">
      <c r="A424" s="3003">
        <f t="shared" si="12"/>
        <v>49.378999999999117</v>
      </c>
      <c r="B424" s="2512"/>
      <c r="C424" s="2614"/>
      <c r="D424" s="2614"/>
      <c r="E424" s="2488"/>
      <c r="F424" s="2614"/>
      <c r="G424" s="2614"/>
      <c r="H424" s="2614"/>
      <c r="I424" s="2595">
        <f t="shared" si="13"/>
        <v>0</v>
      </c>
    </row>
    <row r="425" spans="1:9" ht="15" hidden="1" customHeight="1" x14ac:dyDescent="0.2">
      <c r="A425" s="3003">
        <f t="shared" si="12"/>
        <v>49.379999999999114</v>
      </c>
      <c r="B425" s="2512"/>
      <c r="C425" s="2614"/>
      <c r="D425" s="2614"/>
      <c r="E425" s="2614"/>
      <c r="F425" s="2614"/>
      <c r="G425" s="2614"/>
      <c r="H425" s="2614"/>
      <c r="I425" s="2595">
        <f t="shared" si="13"/>
        <v>0</v>
      </c>
    </row>
    <row r="426" spans="1:9" ht="15" hidden="1" customHeight="1" x14ac:dyDescent="0.2">
      <c r="A426" s="3003">
        <f t="shared" si="12"/>
        <v>49.380999999999112</v>
      </c>
      <c r="B426" s="2512"/>
      <c r="C426" s="2614"/>
      <c r="D426" s="2614"/>
      <c r="E426" s="2488"/>
      <c r="F426" s="2614"/>
      <c r="G426" s="2614"/>
      <c r="H426" s="2614"/>
      <c r="I426" s="2595">
        <f t="shared" si="13"/>
        <v>0</v>
      </c>
    </row>
    <row r="427" spans="1:9" ht="15" hidden="1" customHeight="1" x14ac:dyDescent="0.2">
      <c r="A427" s="3003">
        <f t="shared" si="12"/>
        <v>49.38199999999911</v>
      </c>
      <c r="B427" s="2512"/>
      <c r="C427" s="2614"/>
      <c r="D427" s="2614"/>
      <c r="E427" s="2614"/>
      <c r="F427" s="2614"/>
      <c r="G427" s="2614"/>
      <c r="H427" s="2614"/>
      <c r="I427" s="2595">
        <f t="shared" si="13"/>
        <v>0</v>
      </c>
    </row>
    <row r="428" spans="1:9" ht="15" hidden="1" customHeight="1" x14ac:dyDescent="0.2">
      <c r="A428" s="3003">
        <f t="shared" si="12"/>
        <v>49.382999999999107</v>
      </c>
      <c r="B428" s="2512"/>
      <c r="C428" s="2614"/>
      <c r="D428" s="2614"/>
      <c r="E428" s="2614"/>
      <c r="F428" s="2614"/>
      <c r="G428" s="2614"/>
      <c r="H428" s="2614"/>
      <c r="I428" s="2595">
        <f t="shared" si="13"/>
        <v>0</v>
      </c>
    </row>
    <row r="429" spans="1:9" ht="15" hidden="1" customHeight="1" x14ac:dyDescent="0.2">
      <c r="A429" s="3003">
        <f t="shared" si="12"/>
        <v>49.383999999999105</v>
      </c>
      <c r="B429" s="2512"/>
      <c r="C429" s="2614"/>
      <c r="D429" s="2488"/>
      <c r="E429" s="2488"/>
      <c r="F429" s="2488"/>
      <c r="G429" s="2614"/>
      <c r="H429" s="2488"/>
      <c r="I429" s="2595">
        <f t="shared" si="13"/>
        <v>0</v>
      </c>
    </row>
    <row r="430" spans="1:9" ht="15" hidden="1" customHeight="1" x14ac:dyDescent="0.2">
      <c r="A430" s="3003">
        <f t="shared" ref="A430:A493" si="14">A429+0.001</f>
        <v>49.384999999999103</v>
      </c>
      <c r="B430" s="2512"/>
      <c r="C430" s="2488"/>
      <c r="D430" s="2488"/>
      <c r="E430" s="2488"/>
      <c r="F430" s="2488"/>
      <c r="G430" s="2614"/>
      <c r="H430" s="2488"/>
      <c r="I430" s="2595">
        <f t="shared" si="13"/>
        <v>0</v>
      </c>
    </row>
    <row r="431" spans="1:9" ht="15" hidden="1" customHeight="1" x14ac:dyDescent="0.2">
      <c r="A431" s="3003">
        <f t="shared" si="14"/>
        <v>49.3859999999991</v>
      </c>
      <c r="B431" s="2512"/>
      <c r="C431" s="2614"/>
      <c r="D431" s="2614"/>
      <c r="E431" s="2614"/>
      <c r="F431" s="2614"/>
      <c r="G431" s="2614"/>
      <c r="H431" s="2614"/>
      <c r="I431" s="2595">
        <f t="shared" si="13"/>
        <v>0</v>
      </c>
    </row>
    <row r="432" spans="1:9" ht="15" hidden="1" customHeight="1" x14ac:dyDescent="0.2">
      <c r="A432" s="3003">
        <f t="shared" si="14"/>
        <v>49.386999999999098</v>
      </c>
      <c r="B432" s="2512"/>
      <c r="C432" s="2614"/>
      <c r="D432" s="2614"/>
      <c r="E432" s="2488"/>
      <c r="F432" s="2614"/>
      <c r="G432" s="2614"/>
      <c r="H432" s="2614"/>
      <c r="I432" s="2595">
        <f t="shared" si="13"/>
        <v>0</v>
      </c>
    </row>
    <row r="433" spans="1:9" ht="15" hidden="1" customHeight="1" x14ac:dyDescent="0.2">
      <c r="A433" s="3003">
        <f t="shared" si="14"/>
        <v>49.387999999999096</v>
      </c>
      <c r="B433" s="2512"/>
      <c r="C433" s="2614"/>
      <c r="D433" s="2614"/>
      <c r="E433" s="2614"/>
      <c r="F433" s="2614"/>
      <c r="G433" s="2614"/>
      <c r="H433" s="2614"/>
      <c r="I433" s="2595">
        <f t="shared" si="13"/>
        <v>0</v>
      </c>
    </row>
    <row r="434" spans="1:9" ht="15" hidden="1" customHeight="1" x14ac:dyDescent="0.2">
      <c r="A434" s="3003">
        <f t="shared" si="14"/>
        <v>49.388999999999093</v>
      </c>
      <c r="B434" s="2512"/>
      <c r="C434" s="2614"/>
      <c r="D434" s="2488"/>
      <c r="E434" s="2488"/>
      <c r="F434" s="2488"/>
      <c r="G434" s="2614"/>
      <c r="H434" s="2488"/>
      <c r="I434" s="2595">
        <f t="shared" si="13"/>
        <v>0</v>
      </c>
    </row>
    <row r="435" spans="1:9" ht="15" hidden="1" customHeight="1" x14ac:dyDescent="0.2">
      <c r="A435" s="3003">
        <f t="shared" si="14"/>
        <v>49.389999999999091</v>
      </c>
      <c r="B435" s="2512"/>
      <c r="C435" s="2488"/>
      <c r="D435" s="2488"/>
      <c r="E435" s="2488"/>
      <c r="F435" s="2488"/>
      <c r="G435" s="2614"/>
      <c r="H435" s="2488"/>
      <c r="I435" s="2595">
        <f t="shared" si="13"/>
        <v>0</v>
      </c>
    </row>
    <row r="436" spans="1:9" ht="15" hidden="1" customHeight="1" x14ac:dyDescent="0.2">
      <c r="A436" s="3003">
        <f t="shared" si="14"/>
        <v>49.390999999999089</v>
      </c>
      <c r="B436" s="2512"/>
      <c r="C436" s="2614"/>
      <c r="D436" s="2614"/>
      <c r="E436" s="2614"/>
      <c r="F436" s="2614"/>
      <c r="G436" s="2614"/>
      <c r="H436" s="2614"/>
      <c r="I436" s="2595">
        <f t="shared" si="13"/>
        <v>0</v>
      </c>
    </row>
    <row r="437" spans="1:9" ht="15" hidden="1" customHeight="1" x14ac:dyDescent="0.2">
      <c r="A437" s="3003">
        <f t="shared" si="14"/>
        <v>49.391999999999086</v>
      </c>
      <c r="B437" s="2512"/>
      <c r="C437" s="2614"/>
      <c r="D437" s="2614"/>
      <c r="E437" s="2614"/>
      <c r="F437" s="2614"/>
      <c r="G437" s="2614"/>
      <c r="H437" s="2614"/>
      <c r="I437" s="2595">
        <f t="shared" si="13"/>
        <v>0</v>
      </c>
    </row>
    <row r="438" spans="1:9" ht="15" hidden="1" customHeight="1" x14ac:dyDescent="0.2">
      <c r="A438" s="3003">
        <f t="shared" si="14"/>
        <v>49.392999999999084</v>
      </c>
      <c r="B438" s="2512"/>
      <c r="C438" s="2614"/>
      <c r="D438" s="2614"/>
      <c r="E438" s="2614"/>
      <c r="F438" s="2614"/>
      <c r="G438" s="2614"/>
      <c r="H438" s="2614"/>
      <c r="I438" s="2595">
        <f t="shared" si="13"/>
        <v>0</v>
      </c>
    </row>
    <row r="439" spans="1:9" ht="15" hidden="1" customHeight="1" x14ac:dyDescent="0.2">
      <c r="A439" s="3003">
        <f t="shared" si="14"/>
        <v>49.393999999999082</v>
      </c>
      <c r="B439" s="2512"/>
      <c r="C439" s="2614"/>
      <c r="D439" s="2614"/>
      <c r="E439" s="2614"/>
      <c r="F439" s="2614"/>
      <c r="G439" s="2614"/>
      <c r="H439" s="2614"/>
      <c r="I439" s="2595">
        <f t="shared" si="13"/>
        <v>0</v>
      </c>
    </row>
    <row r="440" spans="1:9" ht="15" hidden="1" customHeight="1" x14ac:dyDescent="0.2">
      <c r="A440" s="3003">
        <f t="shared" si="14"/>
        <v>49.394999999999079</v>
      </c>
      <c r="B440" s="2512"/>
      <c r="C440" s="2614"/>
      <c r="D440" s="2488"/>
      <c r="E440" s="2488"/>
      <c r="F440" s="2614"/>
      <c r="G440" s="2614"/>
      <c r="H440" s="2488"/>
      <c r="I440" s="2595">
        <f t="shared" si="13"/>
        <v>0</v>
      </c>
    </row>
    <row r="441" spans="1:9" ht="15" hidden="1" customHeight="1" x14ac:dyDescent="0.2">
      <c r="A441" s="3003">
        <f t="shared" si="14"/>
        <v>49.395999999999077</v>
      </c>
      <c r="B441" s="2512"/>
      <c r="C441" s="2488"/>
      <c r="D441" s="2488"/>
      <c r="E441" s="2488"/>
      <c r="F441" s="2488"/>
      <c r="G441" s="2614"/>
      <c r="H441" s="2488"/>
      <c r="I441" s="2595">
        <f t="shared" si="13"/>
        <v>0</v>
      </c>
    </row>
    <row r="442" spans="1:9" ht="15" hidden="1" customHeight="1" x14ac:dyDescent="0.2">
      <c r="A442" s="3003">
        <f t="shared" si="14"/>
        <v>49.396999999999075</v>
      </c>
      <c r="B442" s="2512"/>
      <c r="C442" s="2614"/>
      <c r="D442" s="2614"/>
      <c r="E442" s="2614"/>
      <c r="F442" s="2614"/>
      <c r="G442" s="2614"/>
      <c r="H442" s="2614"/>
      <c r="I442" s="2595">
        <f t="shared" si="13"/>
        <v>0</v>
      </c>
    </row>
    <row r="443" spans="1:9" ht="15" hidden="1" customHeight="1" x14ac:dyDescent="0.2">
      <c r="A443" s="3003">
        <f t="shared" si="14"/>
        <v>49.397999999999072</v>
      </c>
      <c r="B443" s="2512"/>
      <c r="C443" s="2614"/>
      <c r="D443" s="2614"/>
      <c r="E443" s="2614"/>
      <c r="F443" s="2614"/>
      <c r="G443" s="2614"/>
      <c r="H443" s="2614"/>
      <c r="I443" s="2595">
        <f t="shared" si="13"/>
        <v>0</v>
      </c>
    </row>
    <row r="444" spans="1:9" ht="15" hidden="1" customHeight="1" x14ac:dyDescent="0.2">
      <c r="A444" s="3003">
        <f t="shared" si="14"/>
        <v>49.39899999999907</v>
      </c>
      <c r="B444" s="2512"/>
      <c r="C444" s="2614"/>
      <c r="D444" s="2614"/>
      <c r="E444" s="2614"/>
      <c r="F444" s="2614"/>
      <c r="G444" s="2614"/>
      <c r="H444" s="2614"/>
      <c r="I444" s="2595">
        <f t="shared" si="13"/>
        <v>0</v>
      </c>
    </row>
    <row r="445" spans="1:9" ht="15" hidden="1" customHeight="1" x14ac:dyDescent="0.2">
      <c r="A445" s="3003">
        <f t="shared" si="14"/>
        <v>49.399999999999068</v>
      </c>
      <c r="B445" s="2512"/>
      <c r="C445" s="2614"/>
      <c r="D445" s="2614"/>
      <c r="E445" s="2614"/>
      <c r="F445" s="2614"/>
      <c r="G445" s="2614"/>
      <c r="H445" s="2614"/>
      <c r="I445" s="2595">
        <f t="shared" si="13"/>
        <v>0</v>
      </c>
    </row>
    <row r="446" spans="1:9" ht="15" hidden="1" customHeight="1" x14ac:dyDescent="0.2">
      <c r="A446" s="3003">
        <f t="shared" si="14"/>
        <v>49.400999999999065</v>
      </c>
      <c r="B446" s="2512"/>
      <c r="C446" s="2614"/>
      <c r="D446" s="2614"/>
      <c r="E446" s="2614"/>
      <c r="F446" s="2614"/>
      <c r="G446" s="2614"/>
      <c r="H446" s="2614"/>
      <c r="I446" s="2595">
        <f t="shared" si="13"/>
        <v>0</v>
      </c>
    </row>
    <row r="447" spans="1:9" ht="15" hidden="1" customHeight="1" x14ac:dyDescent="0.2">
      <c r="A447" s="3003">
        <f t="shared" si="14"/>
        <v>49.401999999999063</v>
      </c>
      <c r="B447" s="2512"/>
      <c r="C447" s="2614"/>
      <c r="D447" s="2488"/>
      <c r="E447" s="2488"/>
      <c r="F447" s="2488"/>
      <c r="G447" s="2614"/>
      <c r="H447" s="2488"/>
      <c r="I447" s="2595">
        <f t="shared" si="13"/>
        <v>0</v>
      </c>
    </row>
    <row r="448" spans="1:9" ht="15" hidden="1" customHeight="1" x14ac:dyDescent="0.2">
      <c r="A448" s="3003">
        <f t="shared" si="14"/>
        <v>49.402999999999061</v>
      </c>
      <c r="B448" s="2512"/>
      <c r="C448" s="2488"/>
      <c r="D448" s="2488"/>
      <c r="E448" s="2488"/>
      <c r="F448" s="2488"/>
      <c r="G448" s="2614"/>
      <c r="H448" s="2488"/>
      <c r="I448" s="2595">
        <f t="shared" si="13"/>
        <v>0</v>
      </c>
    </row>
    <row r="449" spans="1:9" ht="15" hidden="1" customHeight="1" x14ac:dyDescent="0.2">
      <c r="A449" s="3003">
        <f t="shared" si="14"/>
        <v>49.403999999999058</v>
      </c>
      <c r="B449" s="2512"/>
      <c r="C449" s="2614"/>
      <c r="D449" s="2614"/>
      <c r="E449" s="2614"/>
      <c r="F449" s="2614"/>
      <c r="G449" s="2614"/>
      <c r="H449" s="2614"/>
      <c r="I449" s="2595">
        <f t="shared" si="13"/>
        <v>0</v>
      </c>
    </row>
    <row r="450" spans="1:9" ht="15" hidden="1" customHeight="1" x14ac:dyDescent="0.2">
      <c r="A450" s="3003">
        <f t="shared" si="14"/>
        <v>49.404999999999056</v>
      </c>
      <c r="B450" s="2512"/>
      <c r="C450" s="2614"/>
      <c r="D450" s="2614"/>
      <c r="E450" s="2614"/>
      <c r="F450" s="2614"/>
      <c r="G450" s="2614"/>
      <c r="H450" s="2614"/>
      <c r="I450" s="2595">
        <f t="shared" si="13"/>
        <v>0</v>
      </c>
    </row>
    <row r="451" spans="1:9" ht="15" hidden="1" customHeight="1" x14ac:dyDescent="0.2">
      <c r="A451" s="3003">
        <f t="shared" si="14"/>
        <v>49.405999999999054</v>
      </c>
      <c r="B451" s="2512"/>
      <c r="C451" s="2614"/>
      <c r="D451" s="2614"/>
      <c r="E451" s="2614"/>
      <c r="F451" s="2614"/>
      <c r="G451" s="2614"/>
      <c r="H451" s="2614"/>
      <c r="I451" s="2595">
        <f t="shared" si="13"/>
        <v>0</v>
      </c>
    </row>
    <row r="452" spans="1:9" ht="15" hidden="1" customHeight="1" x14ac:dyDescent="0.2">
      <c r="A452" s="3003">
        <f t="shared" si="14"/>
        <v>49.406999999999051</v>
      </c>
      <c r="B452" s="2512"/>
      <c r="C452" s="2614"/>
      <c r="D452" s="2614"/>
      <c r="E452" s="2614"/>
      <c r="F452" s="2614"/>
      <c r="G452" s="2614"/>
      <c r="H452" s="2614"/>
      <c r="I452" s="2595">
        <f t="shared" si="13"/>
        <v>0</v>
      </c>
    </row>
    <row r="453" spans="1:9" ht="15" hidden="1" customHeight="1" x14ac:dyDescent="0.2">
      <c r="A453" s="3003">
        <f t="shared" si="14"/>
        <v>49.407999999999049</v>
      </c>
      <c r="B453" s="2512"/>
      <c r="C453" s="2614"/>
      <c r="D453" s="2614"/>
      <c r="E453" s="2614"/>
      <c r="F453" s="2614"/>
      <c r="G453" s="2614"/>
      <c r="H453" s="2614"/>
      <c r="I453" s="2595">
        <f t="shared" si="13"/>
        <v>0</v>
      </c>
    </row>
    <row r="454" spans="1:9" ht="15" hidden="1" customHeight="1" x14ac:dyDescent="0.2">
      <c r="A454" s="3003">
        <f t="shared" si="14"/>
        <v>49.408999999999047</v>
      </c>
      <c r="B454" s="2512"/>
      <c r="C454" s="2614"/>
      <c r="D454" s="2614"/>
      <c r="E454" s="2488"/>
      <c r="F454" s="2614"/>
      <c r="G454" s="2614"/>
      <c r="H454" s="2614"/>
      <c r="I454" s="2595">
        <f t="shared" si="13"/>
        <v>0</v>
      </c>
    </row>
    <row r="455" spans="1:9" ht="15" hidden="1" customHeight="1" x14ac:dyDescent="0.2">
      <c r="A455" s="3003">
        <f t="shared" si="14"/>
        <v>49.409999999999044</v>
      </c>
      <c r="B455" s="2512"/>
      <c r="C455" s="2614"/>
      <c r="D455" s="2488"/>
      <c r="E455" s="2488"/>
      <c r="F455" s="2488"/>
      <c r="G455" s="2614"/>
      <c r="H455" s="2488"/>
      <c r="I455" s="2595">
        <f t="shared" si="13"/>
        <v>0</v>
      </c>
    </row>
    <row r="456" spans="1:9" ht="15" hidden="1" customHeight="1" x14ac:dyDescent="0.2">
      <c r="A456" s="3003">
        <f t="shared" si="14"/>
        <v>49.410999999999042</v>
      </c>
      <c r="B456" s="2512"/>
      <c r="C456" s="2488"/>
      <c r="D456" s="2488"/>
      <c r="E456" s="2488"/>
      <c r="F456" s="2488"/>
      <c r="G456" s="2614"/>
      <c r="H456" s="2488"/>
      <c r="I456" s="2595">
        <f t="shared" ref="I456:I500" si="15">B456</f>
        <v>0</v>
      </c>
    </row>
    <row r="457" spans="1:9" ht="15" hidden="1" customHeight="1" x14ac:dyDescent="0.2">
      <c r="A457" s="3003">
        <f t="shared" si="14"/>
        <v>49.41199999999904</v>
      </c>
      <c r="B457" s="2512"/>
      <c r="C457" s="2614"/>
      <c r="D457" s="2614"/>
      <c r="E457" s="2614"/>
      <c r="F457" s="2614"/>
      <c r="G457" s="2614"/>
      <c r="H457" s="2614"/>
      <c r="I457" s="2595">
        <f t="shared" si="15"/>
        <v>0</v>
      </c>
    </row>
    <row r="458" spans="1:9" ht="15" hidden="1" customHeight="1" x14ac:dyDescent="0.2">
      <c r="A458" s="3003">
        <f t="shared" si="14"/>
        <v>49.412999999999037</v>
      </c>
      <c r="B458" s="2512"/>
      <c r="C458" s="2614"/>
      <c r="D458" s="2614"/>
      <c r="E458" s="2614"/>
      <c r="F458" s="2614"/>
      <c r="G458" s="2614"/>
      <c r="H458" s="2614"/>
      <c r="I458" s="2595">
        <f t="shared" si="15"/>
        <v>0</v>
      </c>
    </row>
    <row r="459" spans="1:9" ht="15" hidden="1" customHeight="1" x14ac:dyDescent="0.2">
      <c r="A459" s="3003">
        <f t="shared" si="14"/>
        <v>49.413999999999035</v>
      </c>
      <c r="B459" s="2512"/>
      <c r="C459" s="2614"/>
      <c r="D459" s="2614"/>
      <c r="E459" s="2614"/>
      <c r="F459" s="2614"/>
      <c r="G459" s="2614"/>
      <c r="H459" s="2614"/>
      <c r="I459" s="2595">
        <f t="shared" si="15"/>
        <v>0</v>
      </c>
    </row>
    <row r="460" spans="1:9" ht="15" hidden="1" customHeight="1" x14ac:dyDescent="0.2">
      <c r="A460" s="3003">
        <f t="shared" si="14"/>
        <v>49.414999999999033</v>
      </c>
      <c r="B460" s="2512"/>
      <c r="C460" s="2614"/>
      <c r="D460" s="2614"/>
      <c r="E460" s="2614"/>
      <c r="F460" s="2614"/>
      <c r="G460" s="2614"/>
      <c r="H460" s="2614"/>
      <c r="I460" s="2595">
        <f t="shared" si="15"/>
        <v>0</v>
      </c>
    </row>
    <row r="461" spans="1:9" ht="15" hidden="1" customHeight="1" x14ac:dyDescent="0.2">
      <c r="A461" s="3003">
        <f t="shared" si="14"/>
        <v>49.41599999999903</v>
      </c>
      <c r="B461" s="2512"/>
      <c r="C461" s="2614"/>
      <c r="D461" s="2614"/>
      <c r="E461" s="2614"/>
      <c r="F461" s="2614"/>
      <c r="G461" s="2614"/>
      <c r="H461" s="2614"/>
      <c r="I461" s="2595">
        <f t="shared" si="15"/>
        <v>0</v>
      </c>
    </row>
    <row r="462" spans="1:9" ht="15" hidden="1" customHeight="1" x14ac:dyDescent="0.2">
      <c r="A462" s="3003">
        <f t="shared" si="14"/>
        <v>49.416999999999028</v>
      </c>
      <c r="B462" s="2512"/>
      <c r="C462" s="2614"/>
      <c r="D462" s="2614"/>
      <c r="E462" s="2614"/>
      <c r="F462" s="2614"/>
      <c r="G462" s="2614"/>
      <c r="H462" s="2614"/>
      <c r="I462" s="2595">
        <f t="shared" si="15"/>
        <v>0</v>
      </c>
    </row>
    <row r="463" spans="1:9" ht="15" hidden="1" customHeight="1" x14ac:dyDescent="0.2">
      <c r="A463" s="3003">
        <f t="shared" si="14"/>
        <v>49.417999999999026</v>
      </c>
      <c r="B463" s="2512"/>
      <c r="C463" s="2614"/>
      <c r="D463" s="2614"/>
      <c r="E463" s="2488"/>
      <c r="F463" s="2614"/>
      <c r="G463" s="2614"/>
      <c r="H463" s="2614"/>
      <c r="I463" s="2595">
        <f t="shared" si="15"/>
        <v>0</v>
      </c>
    </row>
    <row r="464" spans="1:9" ht="15" hidden="1" customHeight="1" x14ac:dyDescent="0.2">
      <c r="A464" s="3003">
        <f t="shared" si="14"/>
        <v>49.418999999999023</v>
      </c>
      <c r="B464" s="2512"/>
      <c r="C464" s="2614"/>
      <c r="D464" s="2614"/>
      <c r="E464" s="2614"/>
      <c r="F464" s="2614"/>
      <c r="G464" s="2614"/>
      <c r="H464" s="2614"/>
      <c r="I464" s="2595">
        <f t="shared" si="15"/>
        <v>0</v>
      </c>
    </row>
    <row r="465" spans="1:9" ht="15" hidden="1" customHeight="1" x14ac:dyDescent="0.2">
      <c r="A465" s="3003">
        <f t="shared" si="14"/>
        <v>49.419999999999021</v>
      </c>
      <c r="B465" s="2512"/>
      <c r="C465" s="2614"/>
      <c r="D465" s="2614"/>
      <c r="E465" s="2488"/>
      <c r="F465" s="2614"/>
      <c r="G465" s="2614"/>
      <c r="H465" s="2614"/>
      <c r="I465" s="2595">
        <f t="shared" si="15"/>
        <v>0</v>
      </c>
    </row>
    <row r="466" spans="1:9" ht="15" hidden="1" customHeight="1" x14ac:dyDescent="0.2">
      <c r="A466" s="3003">
        <f t="shared" si="14"/>
        <v>49.420999999999019</v>
      </c>
      <c r="B466" s="2512"/>
      <c r="C466" s="2614"/>
      <c r="D466" s="2614"/>
      <c r="E466" s="2614"/>
      <c r="F466" s="2614"/>
      <c r="G466" s="2614"/>
      <c r="H466" s="2614"/>
      <c r="I466" s="2595">
        <f t="shared" si="15"/>
        <v>0</v>
      </c>
    </row>
    <row r="467" spans="1:9" ht="15" hidden="1" customHeight="1" x14ac:dyDescent="0.2">
      <c r="A467" s="3003">
        <f t="shared" si="14"/>
        <v>49.421999999999016</v>
      </c>
      <c r="B467" s="2512"/>
      <c r="C467" s="2614"/>
      <c r="D467" s="2614"/>
      <c r="E467" s="2614"/>
      <c r="F467" s="2614"/>
      <c r="G467" s="2614"/>
      <c r="H467" s="2614"/>
      <c r="I467" s="2595">
        <f t="shared" si="15"/>
        <v>0</v>
      </c>
    </row>
    <row r="468" spans="1:9" ht="15" hidden="1" customHeight="1" x14ac:dyDescent="0.2">
      <c r="A468" s="3003">
        <f t="shared" si="14"/>
        <v>49.422999999999014</v>
      </c>
      <c r="B468" s="2512"/>
      <c r="C468" s="2614"/>
      <c r="D468" s="2488"/>
      <c r="E468" s="2488"/>
      <c r="F468" s="2488"/>
      <c r="G468" s="2614"/>
      <c r="H468" s="2488"/>
      <c r="I468" s="2595">
        <f t="shared" si="15"/>
        <v>0</v>
      </c>
    </row>
    <row r="469" spans="1:9" ht="15" hidden="1" customHeight="1" x14ac:dyDescent="0.2">
      <c r="A469" s="3003">
        <f t="shared" si="14"/>
        <v>49.423999999999012</v>
      </c>
      <c r="B469" s="2512"/>
      <c r="C469" s="2488"/>
      <c r="D469" s="2488"/>
      <c r="E469" s="2488"/>
      <c r="F469" s="2488"/>
      <c r="G469" s="2614"/>
      <c r="H469" s="2488"/>
      <c r="I469" s="2595">
        <f t="shared" si="15"/>
        <v>0</v>
      </c>
    </row>
    <row r="470" spans="1:9" ht="15" hidden="1" customHeight="1" x14ac:dyDescent="0.2">
      <c r="A470" s="3003">
        <f t="shared" si="14"/>
        <v>49.42499999999901</v>
      </c>
      <c r="B470" s="2512"/>
      <c r="C470" s="2614"/>
      <c r="D470" s="2614"/>
      <c r="E470" s="2614"/>
      <c r="F470" s="2614"/>
      <c r="G470" s="2614"/>
      <c r="H470" s="2614"/>
      <c r="I470" s="2595">
        <f t="shared" si="15"/>
        <v>0</v>
      </c>
    </row>
    <row r="471" spans="1:9" ht="15" hidden="1" customHeight="1" x14ac:dyDescent="0.2">
      <c r="A471" s="3003">
        <f t="shared" si="14"/>
        <v>49.425999999999007</v>
      </c>
      <c r="B471" s="2512"/>
      <c r="C471" s="2614"/>
      <c r="D471" s="2614"/>
      <c r="E471" s="2488"/>
      <c r="F471" s="2614"/>
      <c r="G471" s="2614"/>
      <c r="H471" s="2614"/>
      <c r="I471" s="2595">
        <f t="shared" si="15"/>
        <v>0</v>
      </c>
    </row>
    <row r="472" spans="1:9" ht="15" hidden="1" customHeight="1" x14ac:dyDescent="0.2">
      <c r="A472" s="3003">
        <f t="shared" si="14"/>
        <v>49.426999999999005</v>
      </c>
      <c r="B472" s="2512"/>
      <c r="C472" s="2614"/>
      <c r="D472" s="2614"/>
      <c r="E472" s="2614"/>
      <c r="F472" s="2614"/>
      <c r="G472" s="2614"/>
      <c r="H472" s="2614"/>
      <c r="I472" s="2595">
        <f t="shared" si="15"/>
        <v>0</v>
      </c>
    </row>
    <row r="473" spans="1:9" ht="15" hidden="1" customHeight="1" x14ac:dyDescent="0.2">
      <c r="A473" s="3003">
        <f t="shared" si="14"/>
        <v>49.427999999999003</v>
      </c>
      <c r="B473" s="2512"/>
      <c r="C473" s="2614"/>
      <c r="D473" s="2488"/>
      <c r="E473" s="2488"/>
      <c r="F473" s="2488"/>
      <c r="G473" s="2614"/>
      <c r="H473" s="2488"/>
      <c r="I473" s="2595">
        <f t="shared" si="15"/>
        <v>0</v>
      </c>
    </row>
    <row r="474" spans="1:9" ht="15" hidden="1" customHeight="1" x14ac:dyDescent="0.2">
      <c r="A474" s="3003">
        <f t="shared" si="14"/>
        <v>49.428999999999</v>
      </c>
      <c r="B474" s="2512"/>
      <c r="C474" s="2488"/>
      <c r="D474" s="2488"/>
      <c r="E474" s="2488"/>
      <c r="F474" s="2488"/>
      <c r="G474" s="2614"/>
      <c r="H474" s="2488"/>
      <c r="I474" s="2595">
        <f t="shared" si="15"/>
        <v>0</v>
      </c>
    </row>
    <row r="475" spans="1:9" ht="15" hidden="1" customHeight="1" x14ac:dyDescent="0.2">
      <c r="A475" s="3003">
        <f t="shared" si="14"/>
        <v>49.429999999998998</v>
      </c>
      <c r="B475" s="2512"/>
      <c r="C475" s="2614"/>
      <c r="D475" s="2614"/>
      <c r="E475" s="2614"/>
      <c r="F475" s="2614"/>
      <c r="G475" s="2614"/>
      <c r="H475" s="2614"/>
      <c r="I475" s="2595">
        <f t="shared" si="15"/>
        <v>0</v>
      </c>
    </row>
    <row r="476" spans="1:9" ht="15" hidden="1" customHeight="1" x14ac:dyDescent="0.2">
      <c r="A476" s="3003">
        <f t="shared" si="14"/>
        <v>49.430999999998996</v>
      </c>
      <c r="B476" s="2512"/>
      <c r="C476" s="2614"/>
      <c r="D476" s="2614"/>
      <c r="E476" s="2614"/>
      <c r="F476" s="2614"/>
      <c r="G476" s="2614"/>
      <c r="H476" s="2614"/>
      <c r="I476" s="2595">
        <f t="shared" si="15"/>
        <v>0</v>
      </c>
    </row>
    <row r="477" spans="1:9" ht="15" hidden="1" customHeight="1" x14ac:dyDescent="0.2">
      <c r="A477" s="3003">
        <f t="shared" si="14"/>
        <v>49.431999999998993</v>
      </c>
      <c r="B477" s="2512"/>
      <c r="C477" s="2614"/>
      <c r="D477" s="2614"/>
      <c r="E477" s="2614"/>
      <c r="F477" s="2614"/>
      <c r="G477" s="2614"/>
      <c r="H477" s="2614"/>
      <c r="I477" s="2595">
        <f t="shared" si="15"/>
        <v>0</v>
      </c>
    </row>
    <row r="478" spans="1:9" ht="15" hidden="1" customHeight="1" x14ac:dyDescent="0.2">
      <c r="A478" s="3003">
        <f t="shared" si="14"/>
        <v>49.432999999998991</v>
      </c>
      <c r="B478" s="2512"/>
      <c r="C478" s="2614"/>
      <c r="D478" s="2614"/>
      <c r="E478" s="2614"/>
      <c r="F478" s="2614"/>
      <c r="G478" s="2614"/>
      <c r="H478" s="2614"/>
      <c r="I478" s="2595">
        <f t="shared" si="15"/>
        <v>0</v>
      </c>
    </row>
    <row r="479" spans="1:9" ht="15" hidden="1" customHeight="1" x14ac:dyDescent="0.2">
      <c r="A479" s="3003">
        <f t="shared" si="14"/>
        <v>49.433999999998989</v>
      </c>
      <c r="B479" s="2512"/>
      <c r="C479" s="2614"/>
      <c r="D479" s="2488"/>
      <c r="E479" s="2488"/>
      <c r="F479" s="2614"/>
      <c r="G479" s="2614"/>
      <c r="H479" s="2488"/>
      <c r="I479" s="2595">
        <f t="shared" si="15"/>
        <v>0</v>
      </c>
    </row>
    <row r="480" spans="1:9" ht="15" hidden="1" customHeight="1" x14ac:dyDescent="0.2">
      <c r="A480" s="3003">
        <f t="shared" si="14"/>
        <v>49.434999999998986</v>
      </c>
      <c r="B480" s="2512"/>
      <c r="C480" s="2488"/>
      <c r="D480" s="2488"/>
      <c r="E480" s="2488"/>
      <c r="F480" s="2488"/>
      <c r="G480" s="2614"/>
      <c r="H480" s="2488"/>
      <c r="I480" s="2595">
        <f t="shared" si="15"/>
        <v>0</v>
      </c>
    </row>
    <row r="481" spans="1:9" ht="15" hidden="1" customHeight="1" x14ac:dyDescent="0.2">
      <c r="A481" s="3003">
        <f t="shared" si="14"/>
        <v>49.435999999998984</v>
      </c>
      <c r="B481" s="2512"/>
      <c r="C481" s="2614"/>
      <c r="D481" s="2614"/>
      <c r="E481" s="2614"/>
      <c r="F481" s="2614"/>
      <c r="G481" s="2614"/>
      <c r="H481" s="2614"/>
      <c r="I481" s="2595">
        <f t="shared" si="15"/>
        <v>0</v>
      </c>
    </row>
    <row r="482" spans="1:9" ht="15" hidden="1" customHeight="1" x14ac:dyDescent="0.2">
      <c r="A482" s="3003">
        <f t="shared" si="14"/>
        <v>49.436999999998982</v>
      </c>
      <c r="B482" s="2512"/>
      <c r="C482" s="2614"/>
      <c r="D482" s="2614"/>
      <c r="E482" s="2614"/>
      <c r="F482" s="2614"/>
      <c r="G482" s="2614"/>
      <c r="H482" s="2614"/>
      <c r="I482" s="2595">
        <f t="shared" si="15"/>
        <v>0</v>
      </c>
    </row>
    <row r="483" spans="1:9" ht="15" hidden="1" customHeight="1" x14ac:dyDescent="0.2">
      <c r="A483" s="3003">
        <f t="shared" si="14"/>
        <v>49.437999999998979</v>
      </c>
      <c r="B483" s="2512"/>
      <c r="C483" s="2614"/>
      <c r="D483" s="2614"/>
      <c r="E483" s="2614"/>
      <c r="F483" s="2614"/>
      <c r="G483" s="2614"/>
      <c r="H483" s="2614"/>
      <c r="I483" s="2595">
        <f t="shared" si="15"/>
        <v>0</v>
      </c>
    </row>
    <row r="484" spans="1:9" ht="15" hidden="1" customHeight="1" x14ac:dyDescent="0.2">
      <c r="A484" s="3003">
        <f t="shared" si="14"/>
        <v>49.438999999998977</v>
      </c>
      <c r="B484" s="2512"/>
      <c r="C484" s="2614"/>
      <c r="D484" s="2614"/>
      <c r="E484" s="2614"/>
      <c r="F484" s="2614"/>
      <c r="G484" s="2614"/>
      <c r="H484" s="2614"/>
      <c r="I484" s="2595">
        <f t="shared" si="15"/>
        <v>0</v>
      </c>
    </row>
    <row r="485" spans="1:9" ht="15" hidden="1" customHeight="1" x14ac:dyDescent="0.2">
      <c r="A485" s="3003">
        <f t="shared" si="14"/>
        <v>49.439999999998975</v>
      </c>
      <c r="B485" s="2512"/>
      <c r="C485" s="2614"/>
      <c r="D485" s="2614"/>
      <c r="E485" s="2614"/>
      <c r="F485" s="2614"/>
      <c r="G485" s="2614"/>
      <c r="H485" s="2614"/>
      <c r="I485" s="2595">
        <f t="shared" si="15"/>
        <v>0</v>
      </c>
    </row>
    <row r="486" spans="1:9" ht="15" hidden="1" customHeight="1" x14ac:dyDescent="0.2">
      <c r="A486" s="3003">
        <f t="shared" si="14"/>
        <v>49.440999999998972</v>
      </c>
      <c r="B486" s="2512"/>
      <c r="C486" s="2614"/>
      <c r="D486" s="2488"/>
      <c r="E486" s="2488"/>
      <c r="F486" s="2488"/>
      <c r="G486" s="2614"/>
      <c r="H486" s="2488"/>
      <c r="I486" s="2595">
        <f t="shared" si="15"/>
        <v>0</v>
      </c>
    </row>
    <row r="487" spans="1:9" ht="15" hidden="1" customHeight="1" x14ac:dyDescent="0.2">
      <c r="A487" s="3003">
        <f t="shared" si="14"/>
        <v>49.44199999999897</v>
      </c>
      <c r="B487" s="2512"/>
      <c r="C487" s="2488"/>
      <c r="D487" s="2488"/>
      <c r="E487" s="2488"/>
      <c r="F487" s="2488"/>
      <c r="G487" s="2614"/>
      <c r="H487" s="2488"/>
      <c r="I487" s="2595">
        <f t="shared" si="15"/>
        <v>0</v>
      </c>
    </row>
    <row r="488" spans="1:9" ht="15" hidden="1" customHeight="1" x14ac:dyDescent="0.2">
      <c r="A488" s="3003">
        <f t="shared" si="14"/>
        <v>49.442999999998968</v>
      </c>
      <c r="B488" s="2512"/>
      <c r="C488" s="2614"/>
      <c r="D488" s="2614"/>
      <c r="E488" s="2614"/>
      <c r="F488" s="2614"/>
      <c r="G488" s="2614"/>
      <c r="H488" s="2614"/>
      <c r="I488" s="2595">
        <f t="shared" si="15"/>
        <v>0</v>
      </c>
    </row>
    <row r="489" spans="1:9" ht="15" hidden="1" customHeight="1" x14ac:dyDescent="0.2">
      <c r="A489" s="3003">
        <f t="shared" si="14"/>
        <v>49.443999999998965</v>
      </c>
      <c r="B489" s="2512"/>
      <c r="C489" s="2614"/>
      <c r="D489" s="2614"/>
      <c r="E489" s="2614"/>
      <c r="F489" s="2614"/>
      <c r="G489" s="2614"/>
      <c r="H489" s="2614"/>
      <c r="I489" s="2595">
        <f t="shared" si="15"/>
        <v>0</v>
      </c>
    </row>
    <row r="490" spans="1:9" ht="15" hidden="1" customHeight="1" x14ac:dyDescent="0.2">
      <c r="A490" s="3003">
        <f t="shared" si="14"/>
        <v>49.444999999998963</v>
      </c>
      <c r="B490" s="2512"/>
      <c r="C490" s="2614"/>
      <c r="D490" s="2614"/>
      <c r="E490" s="2614"/>
      <c r="F490" s="2614"/>
      <c r="G490" s="2614"/>
      <c r="H490" s="2614"/>
      <c r="I490" s="2595">
        <f t="shared" si="15"/>
        <v>0</v>
      </c>
    </row>
    <row r="491" spans="1:9" ht="15" hidden="1" customHeight="1" x14ac:dyDescent="0.2">
      <c r="A491" s="3003">
        <f t="shared" si="14"/>
        <v>49.445999999998961</v>
      </c>
      <c r="B491" s="2512"/>
      <c r="C491" s="2614"/>
      <c r="D491" s="2614"/>
      <c r="E491" s="2614"/>
      <c r="F491" s="2614"/>
      <c r="G491" s="2614"/>
      <c r="H491" s="2614"/>
      <c r="I491" s="2595">
        <f t="shared" si="15"/>
        <v>0</v>
      </c>
    </row>
    <row r="492" spans="1:9" ht="15" hidden="1" customHeight="1" x14ac:dyDescent="0.2">
      <c r="A492" s="3003">
        <f t="shared" si="14"/>
        <v>49.446999999998958</v>
      </c>
      <c r="B492" s="2512"/>
      <c r="C492" s="2614"/>
      <c r="D492" s="2614"/>
      <c r="E492" s="2614"/>
      <c r="F492" s="2614"/>
      <c r="G492" s="2614"/>
      <c r="H492" s="2614"/>
      <c r="I492" s="2595">
        <f t="shared" si="15"/>
        <v>0</v>
      </c>
    </row>
    <row r="493" spans="1:9" ht="15" hidden="1" customHeight="1" x14ac:dyDescent="0.2">
      <c r="A493" s="3003">
        <f t="shared" si="14"/>
        <v>49.447999999998956</v>
      </c>
      <c r="B493" s="2512"/>
      <c r="C493" s="2614"/>
      <c r="D493" s="2614"/>
      <c r="E493" s="2488"/>
      <c r="F493" s="2614"/>
      <c r="G493" s="2614"/>
      <c r="H493" s="2614"/>
      <c r="I493" s="2595">
        <f t="shared" si="15"/>
        <v>0</v>
      </c>
    </row>
    <row r="494" spans="1:9" ht="15" hidden="1" customHeight="1" x14ac:dyDescent="0.2">
      <c r="A494" s="3003">
        <f t="shared" ref="A494:A557" si="16">A493+0.001</f>
        <v>49.448999999998954</v>
      </c>
      <c r="B494" s="2512"/>
      <c r="C494" s="2614"/>
      <c r="D494" s="2488"/>
      <c r="E494" s="2488"/>
      <c r="F494" s="2488"/>
      <c r="G494" s="2614"/>
      <c r="H494" s="2488"/>
      <c r="I494" s="2595">
        <f t="shared" si="15"/>
        <v>0</v>
      </c>
    </row>
    <row r="495" spans="1:9" ht="15" hidden="1" customHeight="1" x14ac:dyDescent="0.2">
      <c r="A495" s="3003">
        <f t="shared" si="16"/>
        <v>49.449999999998951</v>
      </c>
      <c r="B495" s="2512"/>
      <c r="C495" s="2488"/>
      <c r="D495" s="2488"/>
      <c r="E495" s="2488"/>
      <c r="F495" s="2488"/>
      <c r="G495" s="2614"/>
      <c r="H495" s="2488"/>
      <c r="I495" s="2595">
        <f t="shared" si="15"/>
        <v>0</v>
      </c>
    </row>
    <row r="496" spans="1:9" ht="15" hidden="1" customHeight="1" x14ac:dyDescent="0.2">
      <c r="A496" s="3003">
        <f t="shared" si="16"/>
        <v>49.450999999998949</v>
      </c>
      <c r="B496" s="2512"/>
      <c r="C496" s="2614"/>
      <c r="D496" s="2614"/>
      <c r="E496" s="2614"/>
      <c r="F496" s="2614"/>
      <c r="G496" s="2614"/>
      <c r="H496" s="2614"/>
      <c r="I496" s="2595">
        <f t="shared" si="15"/>
        <v>0</v>
      </c>
    </row>
    <row r="497" spans="1:9" ht="15" hidden="1" customHeight="1" x14ac:dyDescent="0.2">
      <c r="A497" s="3003">
        <f t="shared" si="16"/>
        <v>49.451999999998947</v>
      </c>
      <c r="B497" s="2512"/>
      <c r="C497" s="2614"/>
      <c r="D497" s="2614"/>
      <c r="E497" s="2614"/>
      <c r="F497" s="2614"/>
      <c r="G497" s="2614"/>
      <c r="H497" s="2614"/>
      <c r="I497" s="2595">
        <f t="shared" si="15"/>
        <v>0</v>
      </c>
    </row>
    <row r="498" spans="1:9" ht="15" hidden="1" customHeight="1" x14ac:dyDescent="0.2">
      <c r="A498" s="3003">
        <f t="shared" si="16"/>
        <v>49.452999999998944</v>
      </c>
      <c r="B498" s="2512"/>
      <c r="C498" s="2614"/>
      <c r="D498" s="2614"/>
      <c r="E498" s="2614"/>
      <c r="F498" s="2614"/>
      <c r="G498" s="2614"/>
      <c r="H498" s="2614"/>
      <c r="I498" s="2595">
        <f t="shared" si="15"/>
        <v>0</v>
      </c>
    </row>
    <row r="499" spans="1:9" ht="15" hidden="1" customHeight="1" x14ac:dyDescent="0.2">
      <c r="A499" s="3003">
        <f t="shared" si="16"/>
        <v>49.453999999998942</v>
      </c>
      <c r="B499" s="2512"/>
      <c r="C499" s="2614"/>
      <c r="D499" s="2614"/>
      <c r="E499" s="2614"/>
      <c r="F499" s="2614"/>
      <c r="G499" s="2614"/>
      <c r="H499" s="2614"/>
      <c r="I499" s="2595">
        <f t="shared" si="15"/>
        <v>0</v>
      </c>
    </row>
    <row r="500" spans="1:9" ht="15" hidden="1" customHeight="1" x14ac:dyDescent="0.2">
      <c r="A500" s="3003">
        <f t="shared" si="16"/>
        <v>49.45499999999894</v>
      </c>
      <c r="B500" s="2512"/>
      <c r="C500" s="2614"/>
      <c r="D500" s="2614"/>
      <c r="E500" s="2614"/>
      <c r="F500" s="2614"/>
      <c r="G500" s="2614"/>
      <c r="H500" s="2614"/>
      <c r="I500" s="2595">
        <f t="shared" si="15"/>
        <v>0</v>
      </c>
    </row>
    <row r="501" spans="1:9" ht="15" hidden="1" customHeight="1" x14ac:dyDescent="0.2">
      <c r="A501" s="3003">
        <f t="shared" si="16"/>
        <v>49.455999999998937</v>
      </c>
      <c r="B501" s="2512"/>
      <c r="C501" s="2614"/>
      <c r="D501" s="2614"/>
      <c r="E501" s="2614"/>
      <c r="F501" s="2614"/>
      <c r="G501" s="2614"/>
      <c r="H501" s="2614"/>
      <c r="I501" s="2479"/>
    </row>
    <row r="502" spans="1:9" ht="15" hidden="1" customHeight="1" x14ac:dyDescent="0.2">
      <c r="A502" s="3003">
        <f t="shared" si="16"/>
        <v>49.456999999998935</v>
      </c>
      <c r="B502" s="2512"/>
      <c r="C502" s="2614"/>
      <c r="D502" s="2614"/>
      <c r="E502" s="2614"/>
      <c r="F502" s="2614"/>
      <c r="G502" s="2614"/>
      <c r="H502" s="2614"/>
      <c r="I502" s="2595">
        <f t="shared" ref="I502:I565" si="17">B502</f>
        <v>0</v>
      </c>
    </row>
    <row r="503" spans="1:9" ht="15" hidden="1" customHeight="1" x14ac:dyDescent="0.2">
      <c r="A503" s="3003">
        <f t="shared" si="16"/>
        <v>49.457999999998933</v>
      </c>
      <c r="B503" s="2512"/>
      <c r="C503" s="2614"/>
      <c r="D503" s="2614"/>
      <c r="E503" s="2488"/>
      <c r="F503" s="2614"/>
      <c r="G503" s="2614"/>
      <c r="H503" s="2614"/>
      <c r="I503" s="2595">
        <f t="shared" si="17"/>
        <v>0</v>
      </c>
    </row>
    <row r="504" spans="1:9" ht="15" hidden="1" customHeight="1" x14ac:dyDescent="0.2">
      <c r="A504" s="3003">
        <f t="shared" si="16"/>
        <v>49.45899999999893</v>
      </c>
      <c r="B504" s="2512"/>
      <c r="C504" s="2614"/>
      <c r="D504" s="2614"/>
      <c r="E504" s="2614"/>
      <c r="F504" s="2614"/>
      <c r="G504" s="2614"/>
      <c r="H504" s="2614"/>
      <c r="I504" s="2595">
        <f t="shared" si="17"/>
        <v>0</v>
      </c>
    </row>
    <row r="505" spans="1:9" ht="15" hidden="1" customHeight="1" x14ac:dyDescent="0.2">
      <c r="A505" s="3003">
        <f t="shared" si="16"/>
        <v>49.459999999998928</v>
      </c>
      <c r="B505" s="2512"/>
      <c r="C505" s="2614"/>
      <c r="D505" s="2614"/>
      <c r="E505" s="2488"/>
      <c r="F505" s="2614"/>
      <c r="G505" s="2614"/>
      <c r="H505" s="2614"/>
      <c r="I505" s="2595">
        <f t="shared" si="17"/>
        <v>0</v>
      </c>
    </row>
    <row r="506" spans="1:9" ht="15" hidden="1" customHeight="1" x14ac:dyDescent="0.2">
      <c r="A506" s="3003">
        <f t="shared" si="16"/>
        <v>49.460999999998926</v>
      </c>
      <c r="B506" s="2512"/>
      <c r="C506" s="2614"/>
      <c r="D506" s="2614"/>
      <c r="E506" s="2614"/>
      <c r="F506" s="2614"/>
      <c r="G506" s="2614"/>
      <c r="H506" s="2614"/>
      <c r="I506" s="2595">
        <f t="shared" si="17"/>
        <v>0</v>
      </c>
    </row>
    <row r="507" spans="1:9" ht="15" hidden="1" customHeight="1" x14ac:dyDescent="0.2">
      <c r="A507" s="3003">
        <f t="shared" si="16"/>
        <v>49.461999999998923</v>
      </c>
      <c r="B507" s="2512"/>
      <c r="C507" s="2614"/>
      <c r="D507" s="2614"/>
      <c r="E507" s="2614"/>
      <c r="F507" s="2614"/>
      <c r="G507" s="2614"/>
      <c r="H507" s="2614"/>
      <c r="I507" s="2595">
        <f t="shared" si="17"/>
        <v>0</v>
      </c>
    </row>
    <row r="508" spans="1:9" ht="15" hidden="1" customHeight="1" x14ac:dyDescent="0.2">
      <c r="A508" s="3003">
        <f t="shared" si="16"/>
        <v>49.462999999998921</v>
      </c>
      <c r="B508" s="2512"/>
      <c r="C508" s="2614"/>
      <c r="D508" s="2488"/>
      <c r="E508" s="2488"/>
      <c r="F508" s="2488"/>
      <c r="G508" s="2614"/>
      <c r="H508" s="2488"/>
      <c r="I508" s="2595">
        <f t="shared" si="17"/>
        <v>0</v>
      </c>
    </row>
    <row r="509" spans="1:9" ht="15" hidden="1" customHeight="1" x14ac:dyDescent="0.2">
      <c r="A509" s="3003">
        <f t="shared" si="16"/>
        <v>49.463999999998919</v>
      </c>
      <c r="B509" s="2512"/>
      <c r="C509" s="2488"/>
      <c r="D509" s="2488"/>
      <c r="E509" s="2488"/>
      <c r="F509" s="2488"/>
      <c r="G509" s="2614"/>
      <c r="H509" s="2488"/>
      <c r="I509" s="2595">
        <f t="shared" si="17"/>
        <v>0</v>
      </c>
    </row>
    <row r="510" spans="1:9" ht="15" hidden="1" customHeight="1" x14ac:dyDescent="0.2">
      <c r="A510" s="3003">
        <f t="shared" si="16"/>
        <v>49.464999999998916</v>
      </c>
      <c r="B510" s="2512"/>
      <c r="C510" s="2614"/>
      <c r="D510" s="2614"/>
      <c r="E510" s="2614"/>
      <c r="F510" s="2614"/>
      <c r="G510" s="2614"/>
      <c r="H510" s="2614"/>
      <c r="I510" s="2595">
        <f t="shared" si="17"/>
        <v>0</v>
      </c>
    </row>
    <row r="511" spans="1:9" ht="15" hidden="1" customHeight="1" x14ac:dyDescent="0.2">
      <c r="A511" s="3003">
        <f t="shared" si="16"/>
        <v>49.465999999998914</v>
      </c>
      <c r="B511" s="2512"/>
      <c r="C511" s="2614"/>
      <c r="D511" s="2614"/>
      <c r="E511" s="2488"/>
      <c r="F511" s="2614"/>
      <c r="G511" s="2614"/>
      <c r="H511" s="2614"/>
      <c r="I511" s="2595">
        <f t="shared" si="17"/>
        <v>0</v>
      </c>
    </row>
    <row r="512" spans="1:9" ht="15" hidden="1" customHeight="1" x14ac:dyDescent="0.2">
      <c r="A512" s="3003">
        <f t="shared" si="16"/>
        <v>49.466999999998912</v>
      </c>
      <c r="B512" s="2512"/>
      <c r="C512" s="2614"/>
      <c r="D512" s="2614"/>
      <c r="E512" s="2614"/>
      <c r="F512" s="2614"/>
      <c r="G512" s="2614"/>
      <c r="H512" s="2614"/>
      <c r="I512" s="2595">
        <f t="shared" si="17"/>
        <v>0</v>
      </c>
    </row>
    <row r="513" spans="1:9" ht="15" hidden="1" customHeight="1" x14ac:dyDescent="0.2">
      <c r="A513" s="3003">
        <f t="shared" si="16"/>
        <v>49.467999999998909</v>
      </c>
      <c r="B513" s="2512"/>
      <c r="C513" s="2614"/>
      <c r="D513" s="2488"/>
      <c r="E513" s="2488"/>
      <c r="F513" s="2488"/>
      <c r="G513" s="2614"/>
      <c r="H513" s="2488"/>
      <c r="I513" s="2595">
        <f t="shared" si="17"/>
        <v>0</v>
      </c>
    </row>
    <row r="514" spans="1:9" ht="15" hidden="1" customHeight="1" x14ac:dyDescent="0.2">
      <c r="A514" s="3003">
        <f t="shared" si="16"/>
        <v>49.468999999998907</v>
      </c>
      <c r="B514" s="2512"/>
      <c r="C514" s="2488"/>
      <c r="D514" s="2488"/>
      <c r="E514" s="2488"/>
      <c r="F514" s="2488"/>
      <c r="G514" s="2614"/>
      <c r="H514" s="2488"/>
      <c r="I514" s="2595">
        <f t="shared" si="17"/>
        <v>0</v>
      </c>
    </row>
    <row r="515" spans="1:9" ht="15" hidden="1" customHeight="1" x14ac:dyDescent="0.2">
      <c r="A515" s="3003">
        <f t="shared" si="16"/>
        <v>49.469999999998905</v>
      </c>
      <c r="B515" s="2512"/>
      <c r="C515" s="2614"/>
      <c r="D515" s="2614"/>
      <c r="E515" s="2614"/>
      <c r="F515" s="2614"/>
      <c r="G515" s="2614"/>
      <c r="H515" s="2614"/>
      <c r="I515" s="2595">
        <f t="shared" si="17"/>
        <v>0</v>
      </c>
    </row>
    <row r="516" spans="1:9" ht="15" hidden="1" customHeight="1" x14ac:dyDescent="0.2">
      <c r="A516" s="3003">
        <f t="shared" si="16"/>
        <v>49.470999999998902</v>
      </c>
      <c r="B516" s="2512"/>
      <c r="C516" s="2614"/>
      <c r="D516" s="2614"/>
      <c r="E516" s="2614"/>
      <c r="F516" s="2614"/>
      <c r="G516" s="2614"/>
      <c r="H516" s="2614"/>
      <c r="I516" s="2595">
        <f t="shared" si="17"/>
        <v>0</v>
      </c>
    </row>
    <row r="517" spans="1:9" ht="15" hidden="1" customHeight="1" x14ac:dyDescent="0.2">
      <c r="A517" s="3003">
        <f t="shared" si="16"/>
        <v>49.4719999999989</v>
      </c>
      <c r="B517" s="2512"/>
      <c r="C517" s="2614"/>
      <c r="D517" s="2614"/>
      <c r="E517" s="2614"/>
      <c r="F517" s="2614"/>
      <c r="G517" s="2614"/>
      <c r="H517" s="2614"/>
      <c r="I517" s="2595">
        <f t="shared" si="17"/>
        <v>0</v>
      </c>
    </row>
    <row r="518" spans="1:9" ht="15" hidden="1" customHeight="1" x14ac:dyDescent="0.2">
      <c r="A518" s="3003">
        <f t="shared" si="16"/>
        <v>49.472999999998898</v>
      </c>
      <c r="B518" s="2512"/>
      <c r="C518" s="2614"/>
      <c r="D518" s="2614"/>
      <c r="E518" s="2614"/>
      <c r="F518" s="2614"/>
      <c r="G518" s="2614"/>
      <c r="H518" s="2614"/>
      <c r="I518" s="2595">
        <f t="shared" si="17"/>
        <v>0</v>
      </c>
    </row>
    <row r="519" spans="1:9" ht="15" hidden="1" customHeight="1" x14ac:dyDescent="0.2">
      <c r="A519" s="3003">
        <f t="shared" si="16"/>
        <v>49.473999999998895</v>
      </c>
      <c r="B519" s="2512"/>
      <c r="C519" s="2614"/>
      <c r="D519" s="2488"/>
      <c r="E519" s="2488"/>
      <c r="F519" s="2614"/>
      <c r="G519" s="2614"/>
      <c r="H519" s="2488"/>
      <c r="I519" s="2595">
        <f t="shared" si="17"/>
        <v>0</v>
      </c>
    </row>
    <row r="520" spans="1:9" ht="15" hidden="1" customHeight="1" x14ac:dyDescent="0.2">
      <c r="A520" s="3003">
        <f t="shared" si="16"/>
        <v>49.474999999998893</v>
      </c>
      <c r="B520" s="2512"/>
      <c r="C520" s="2488"/>
      <c r="D520" s="2488"/>
      <c r="E520" s="2488"/>
      <c r="F520" s="2488"/>
      <c r="G520" s="2614"/>
      <c r="H520" s="2488"/>
      <c r="I520" s="2595">
        <f t="shared" si="17"/>
        <v>0</v>
      </c>
    </row>
    <row r="521" spans="1:9" ht="15" hidden="1" customHeight="1" x14ac:dyDescent="0.2">
      <c r="A521" s="3003">
        <f t="shared" si="16"/>
        <v>49.475999999998891</v>
      </c>
      <c r="B521" s="2512"/>
      <c r="C521" s="2614"/>
      <c r="D521" s="2614"/>
      <c r="E521" s="2614"/>
      <c r="F521" s="2614"/>
      <c r="G521" s="2614"/>
      <c r="H521" s="2614"/>
      <c r="I521" s="2595">
        <f t="shared" si="17"/>
        <v>0</v>
      </c>
    </row>
    <row r="522" spans="1:9" ht="15" hidden="1" customHeight="1" x14ac:dyDescent="0.2">
      <c r="A522" s="3003">
        <f t="shared" si="16"/>
        <v>49.476999999998888</v>
      </c>
      <c r="B522" s="2512"/>
      <c r="C522" s="2614"/>
      <c r="D522" s="2614"/>
      <c r="E522" s="2614"/>
      <c r="F522" s="2614"/>
      <c r="G522" s="2614"/>
      <c r="H522" s="2614"/>
      <c r="I522" s="2595">
        <f t="shared" si="17"/>
        <v>0</v>
      </c>
    </row>
    <row r="523" spans="1:9" ht="15" hidden="1" customHeight="1" x14ac:dyDescent="0.2">
      <c r="A523" s="3003">
        <f t="shared" si="16"/>
        <v>49.477999999998886</v>
      </c>
      <c r="B523" s="2512"/>
      <c r="C523" s="2614"/>
      <c r="D523" s="2614"/>
      <c r="E523" s="2614"/>
      <c r="F523" s="2614"/>
      <c r="G523" s="2614"/>
      <c r="H523" s="2614"/>
      <c r="I523" s="2595">
        <f t="shared" si="17"/>
        <v>0</v>
      </c>
    </row>
    <row r="524" spans="1:9" ht="15" hidden="1" customHeight="1" x14ac:dyDescent="0.2">
      <c r="A524" s="3003">
        <f t="shared" si="16"/>
        <v>49.478999999998884</v>
      </c>
      <c r="B524" s="2512"/>
      <c r="C524" s="2614"/>
      <c r="D524" s="2614"/>
      <c r="E524" s="2614"/>
      <c r="F524" s="2614"/>
      <c r="G524" s="2614"/>
      <c r="H524" s="2614"/>
      <c r="I524" s="2595">
        <f t="shared" si="17"/>
        <v>0</v>
      </c>
    </row>
    <row r="525" spans="1:9" ht="15" hidden="1" customHeight="1" x14ac:dyDescent="0.2">
      <c r="A525" s="3003">
        <f t="shared" si="16"/>
        <v>49.479999999998881</v>
      </c>
      <c r="B525" s="2512"/>
      <c r="C525" s="2614"/>
      <c r="D525" s="2614"/>
      <c r="E525" s="2614"/>
      <c r="F525" s="2614"/>
      <c r="G525" s="2614"/>
      <c r="H525" s="2614"/>
      <c r="I525" s="2595">
        <f t="shared" si="17"/>
        <v>0</v>
      </c>
    </row>
    <row r="526" spans="1:9" ht="15" hidden="1" customHeight="1" x14ac:dyDescent="0.2">
      <c r="A526" s="3003">
        <f t="shared" si="16"/>
        <v>49.480999999998879</v>
      </c>
      <c r="B526" s="2512"/>
      <c r="C526" s="2614"/>
      <c r="D526" s="2614"/>
      <c r="E526" s="2614"/>
      <c r="F526" s="2614"/>
      <c r="G526" s="2614"/>
      <c r="H526" s="2614"/>
      <c r="I526" s="2595">
        <f t="shared" si="17"/>
        <v>0</v>
      </c>
    </row>
    <row r="527" spans="1:9" ht="15" hidden="1" customHeight="1" x14ac:dyDescent="0.2">
      <c r="A527" s="3003">
        <f t="shared" si="16"/>
        <v>49.481999999998877</v>
      </c>
      <c r="B527" s="2512"/>
      <c r="C527" s="2614"/>
      <c r="D527" s="2614"/>
      <c r="E527" s="2614"/>
      <c r="F527" s="2614"/>
      <c r="G527" s="2614"/>
      <c r="H527" s="2614"/>
      <c r="I527" s="2595">
        <f t="shared" si="17"/>
        <v>0</v>
      </c>
    </row>
    <row r="528" spans="1:9" ht="15" hidden="1" customHeight="1" x14ac:dyDescent="0.2">
      <c r="A528" s="3003">
        <f t="shared" si="16"/>
        <v>49.482999999998874</v>
      </c>
      <c r="B528" s="2512"/>
      <c r="C528" s="2614"/>
      <c r="D528" s="2488"/>
      <c r="E528" s="2488"/>
      <c r="F528" s="2488"/>
      <c r="G528" s="2614"/>
      <c r="H528" s="2488"/>
      <c r="I528" s="2595">
        <f t="shared" si="17"/>
        <v>0</v>
      </c>
    </row>
    <row r="529" spans="1:9" ht="15" hidden="1" customHeight="1" x14ac:dyDescent="0.2">
      <c r="A529" s="3003">
        <f t="shared" si="16"/>
        <v>49.483999999998872</v>
      </c>
      <c r="B529" s="2512"/>
      <c r="C529" s="2488"/>
      <c r="D529" s="2488"/>
      <c r="E529" s="2488"/>
      <c r="F529" s="2488"/>
      <c r="G529" s="2614"/>
      <c r="H529" s="2488"/>
      <c r="I529" s="2595">
        <f t="shared" si="17"/>
        <v>0</v>
      </c>
    </row>
    <row r="530" spans="1:9" ht="15" hidden="1" customHeight="1" x14ac:dyDescent="0.2">
      <c r="A530" s="3003">
        <f t="shared" si="16"/>
        <v>49.48499999999887</v>
      </c>
      <c r="B530" s="2512"/>
      <c r="C530" s="2614"/>
      <c r="D530" s="2614"/>
      <c r="E530" s="2614"/>
      <c r="F530" s="2614"/>
      <c r="G530" s="2614"/>
      <c r="H530" s="2614"/>
      <c r="I530" s="2595">
        <f t="shared" si="17"/>
        <v>0</v>
      </c>
    </row>
    <row r="531" spans="1:9" ht="15" hidden="1" customHeight="1" x14ac:dyDescent="0.2">
      <c r="A531" s="3003">
        <f t="shared" si="16"/>
        <v>49.485999999998867</v>
      </c>
      <c r="B531" s="2512"/>
      <c r="C531" s="2614"/>
      <c r="D531" s="2614"/>
      <c r="E531" s="2614"/>
      <c r="F531" s="2614"/>
      <c r="G531" s="2614"/>
      <c r="H531" s="2614"/>
      <c r="I531" s="2595">
        <f t="shared" si="17"/>
        <v>0</v>
      </c>
    </row>
    <row r="532" spans="1:9" ht="15" hidden="1" customHeight="1" x14ac:dyDescent="0.2">
      <c r="A532" s="3003">
        <f t="shared" si="16"/>
        <v>49.486999999998865</v>
      </c>
      <c r="B532" s="2512"/>
      <c r="C532" s="2614"/>
      <c r="D532" s="2614"/>
      <c r="E532" s="2614"/>
      <c r="F532" s="2614"/>
      <c r="G532" s="2614"/>
      <c r="H532" s="2614"/>
      <c r="I532" s="2595">
        <f t="shared" si="17"/>
        <v>0</v>
      </c>
    </row>
    <row r="533" spans="1:9" ht="15" hidden="1" customHeight="1" x14ac:dyDescent="0.2">
      <c r="A533" s="3003">
        <f t="shared" si="16"/>
        <v>49.487999999998863</v>
      </c>
      <c r="B533" s="2512"/>
      <c r="C533" s="2614"/>
      <c r="D533" s="2614"/>
      <c r="E533" s="2614"/>
      <c r="F533" s="2614"/>
      <c r="G533" s="2614"/>
      <c r="H533" s="2614"/>
      <c r="I533" s="2595">
        <f t="shared" si="17"/>
        <v>0</v>
      </c>
    </row>
    <row r="534" spans="1:9" ht="15" hidden="1" customHeight="1" x14ac:dyDescent="0.2">
      <c r="A534" s="3003">
        <f t="shared" si="16"/>
        <v>49.48899999999886</v>
      </c>
      <c r="B534" s="2512"/>
      <c r="C534" s="2614"/>
      <c r="D534" s="2614"/>
      <c r="E534" s="2614"/>
      <c r="F534" s="2614"/>
      <c r="G534" s="2614"/>
      <c r="H534" s="2614"/>
      <c r="I534" s="2595">
        <f t="shared" si="17"/>
        <v>0</v>
      </c>
    </row>
    <row r="535" spans="1:9" ht="15" hidden="1" customHeight="1" x14ac:dyDescent="0.2">
      <c r="A535" s="3003">
        <f t="shared" si="16"/>
        <v>49.489999999998858</v>
      </c>
      <c r="B535" s="2512"/>
      <c r="C535" s="2614"/>
      <c r="D535" s="2614"/>
      <c r="E535" s="2488"/>
      <c r="F535" s="2614"/>
      <c r="G535" s="2614"/>
      <c r="H535" s="2614"/>
      <c r="I535" s="2595">
        <f t="shared" si="17"/>
        <v>0</v>
      </c>
    </row>
    <row r="536" spans="1:9" ht="15" hidden="1" customHeight="1" x14ac:dyDescent="0.2">
      <c r="A536" s="3003">
        <f t="shared" si="16"/>
        <v>49.490999999998856</v>
      </c>
      <c r="B536" s="2512"/>
      <c r="C536" s="2614"/>
      <c r="D536" s="2488"/>
      <c r="E536" s="2488"/>
      <c r="F536" s="2488"/>
      <c r="G536" s="2614"/>
      <c r="H536" s="2488"/>
      <c r="I536" s="2595">
        <f t="shared" si="17"/>
        <v>0</v>
      </c>
    </row>
    <row r="537" spans="1:9" ht="15" hidden="1" customHeight="1" x14ac:dyDescent="0.2">
      <c r="A537" s="3003">
        <f t="shared" si="16"/>
        <v>49.491999999998853</v>
      </c>
      <c r="B537" s="2512"/>
      <c r="C537" s="2488"/>
      <c r="D537" s="2488"/>
      <c r="E537" s="2488"/>
      <c r="F537" s="2488"/>
      <c r="G537" s="2614"/>
      <c r="H537" s="2488"/>
      <c r="I537" s="2595">
        <f t="shared" si="17"/>
        <v>0</v>
      </c>
    </row>
    <row r="538" spans="1:9" ht="15" hidden="1" customHeight="1" x14ac:dyDescent="0.2">
      <c r="A538" s="3003">
        <f t="shared" si="16"/>
        <v>49.492999999998851</v>
      </c>
      <c r="B538" s="2512"/>
      <c r="C538" s="2614"/>
      <c r="D538" s="2614"/>
      <c r="E538" s="2614"/>
      <c r="F538" s="2614"/>
      <c r="G538" s="2614"/>
      <c r="H538" s="2614"/>
      <c r="I538" s="2595">
        <f t="shared" si="17"/>
        <v>0</v>
      </c>
    </row>
    <row r="539" spans="1:9" ht="15" hidden="1" customHeight="1" x14ac:dyDescent="0.2">
      <c r="A539" s="3003">
        <f t="shared" si="16"/>
        <v>49.493999999998849</v>
      </c>
      <c r="B539" s="2512"/>
      <c r="C539" s="2614"/>
      <c r="D539" s="2614"/>
      <c r="E539" s="2614"/>
      <c r="F539" s="2614"/>
      <c r="G539" s="2614"/>
      <c r="H539" s="2614"/>
      <c r="I539" s="2595">
        <f t="shared" si="17"/>
        <v>0</v>
      </c>
    </row>
    <row r="540" spans="1:9" ht="15" hidden="1" customHeight="1" x14ac:dyDescent="0.2">
      <c r="A540" s="3003">
        <f t="shared" si="16"/>
        <v>49.494999999998846</v>
      </c>
      <c r="B540" s="2512"/>
      <c r="C540" s="2614"/>
      <c r="D540" s="2614"/>
      <c r="E540" s="2614"/>
      <c r="F540" s="2614"/>
      <c r="G540" s="2614"/>
      <c r="H540" s="2614"/>
      <c r="I540" s="2595">
        <f t="shared" si="17"/>
        <v>0</v>
      </c>
    </row>
    <row r="541" spans="1:9" ht="15" hidden="1" customHeight="1" x14ac:dyDescent="0.2">
      <c r="A541" s="3003">
        <f t="shared" si="16"/>
        <v>49.495999999998844</v>
      </c>
      <c r="B541" s="2512"/>
      <c r="C541" s="2614"/>
      <c r="D541" s="2614"/>
      <c r="E541" s="2614"/>
      <c r="F541" s="2614"/>
      <c r="G541" s="2614"/>
      <c r="H541" s="2614"/>
      <c r="I541" s="2595">
        <f t="shared" si="17"/>
        <v>0</v>
      </c>
    </row>
    <row r="542" spans="1:9" ht="15" hidden="1" customHeight="1" x14ac:dyDescent="0.2">
      <c r="A542" s="3003">
        <f t="shared" si="16"/>
        <v>49.496999999998842</v>
      </c>
      <c r="B542" s="2512"/>
      <c r="C542" s="2614"/>
      <c r="D542" s="2488"/>
      <c r="E542" s="2614"/>
      <c r="F542" s="2614"/>
      <c r="G542" s="2614"/>
      <c r="H542" s="2488"/>
      <c r="I542" s="2595">
        <f t="shared" si="17"/>
        <v>0</v>
      </c>
    </row>
    <row r="543" spans="1:9" ht="15" hidden="1" customHeight="1" x14ac:dyDescent="0.2">
      <c r="A543" s="3003">
        <f t="shared" si="16"/>
        <v>49.497999999998839</v>
      </c>
      <c r="B543" s="2512"/>
      <c r="C543" s="2614"/>
      <c r="D543" s="2614"/>
      <c r="E543" s="2488"/>
      <c r="F543" s="2614"/>
      <c r="G543" s="2614"/>
      <c r="H543" s="2614"/>
      <c r="I543" s="2595">
        <f t="shared" si="17"/>
        <v>0</v>
      </c>
    </row>
    <row r="544" spans="1:9" ht="15" hidden="1" customHeight="1" x14ac:dyDescent="0.2">
      <c r="A544" s="3003">
        <f t="shared" si="16"/>
        <v>49.498999999998837</v>
      </c>
      <c r="B544" s="2512"/>
      <c r="C544" s="2614"/>
      <c r="D544" s="2614"/>
      <c r="E544" s="2614"/>
      <c r="F544" s="2614"/>
      <c r="G544" s="2614"/>
      <c r="H544" s="2614"/>
      <c r="I544" s="2595">
        <f t="shared" si="17"/>
        <v>0</v>
      </c>
    </row>
    <row r="545" spans="1:9" ht="15" hidden="1" customHeight="1" x14ac:dyDescent="0.2">
      <c r="A545" s="3003">
        <f t="shared" si="16"/>
        <v>49.499999999998835</v>
      </c>
      <c r="B545" s="2669"/>
      <c r="C545" s="2614"/>
      <c r="D545" s="2488"/>
      <c r="E545" s="2488"/>
      <c r="F545" s="2614"/>
      <c r="G545" s="2614"/>
      <c r="H545" s="2488"/>
      <c r="I545" s="2595">
        <f t="shared" si="17"/>
        <v>0</v>
      </c>
    </row>
    <row r="546" spans="1:9" ht="15" hidden="1" customHeight="1" x14ac:dyDescent="0.2">
      <c r="A546" s="3003">
        <f t="shared" si="16"/>
        <v>49.500999999998832</v>
      </c>
      <c r="B546" s="2512"/>
      <c r="C546" s="2614"/>
      <c r="D546" s="2614"/>
      <c r="E546" s="2614"/>
      <c r="F546" s="2614"/>
      <c r="G546" s="2614"/>
      <c r="H546" s="2614"/>
      <c r="I546" s="2595">
        <f t="shared" si="17"/>
        <v>0</v>
      </c>
    </row>
    <row r="547" spans="1:9" ht="15" hidden="1" customHeight="1" x14ac:dyDescent="0.2">
      <c r="A547" s="3003">
        <f t="shared" si="16"/>
        <v>49.50199999999883</v>
      </c>
      <c r="B547" s="2512"/>
      <c r="C547" s="2614"/>
      <c r="D547" s="2614"/>
      <c r="E547" s="2614"/>
      <c r="F547" s="2614"/>
      <c r="G547" s="2614"/>
      <c r="H547" s="2614"/>
      <c r="I547" s="2595">
        <f t="shared" si="17"/>
        <v>0</v>
      </c>
    </row>
    <row r="548" spans="1:9" ht="15" hidden="1" customHeight="1" x14ac:dyDescent="0.2">
      <c r="A548" s="3003">
        <f t="shared" si="16"/>
        <v>49.502999999998828</v>
      </c>
      <c r="B548" s="2512"/>
      <c r="C548" s="2614"/>
      <c r="D548" s="2488"/>
      <c r="E548" s="2488"/>
      <c r="F548" s="2488"/>
      <c r="G548" s="2614"/>
      <c r="H548" s="2488"/>
      <c r="I548" s="2595">
        <f t="shared" si="17"/>
        <v>0</v>
      </c>
    </row>
    <row r="549" spans="1:9" ht="15" hidden="1" customHeight="1" x14ac:dyDescent="0.2">
      <c r="A549" s="3003">
        <f t="shared" si="16"/>
        <v>49.503999999998825</v>
      </c>
      <c r="B549" s="2512"/>
      <c r="C549" s="2488"/>
      <c r="D549" s="2614"/>
      <c r="E549" s="2488"/>
      <c r="F549" s="2488"/>
      <c r="G549" s="2614"/>
      <c r="H549" s="2614"/>
      <c r="I549" s="2595">
        <f t="shared" si="17"/>
        <v>0</v>
      </c>
    </row>
    <row r="550" spans="1:9" ht="15" hidden="1" customHeight="1" x14ac:dyDescent="0.2">
      <c r="A550" s="3003">
        <f t="shared" si="16"/>
        <v>49.504999999998823</v>
      </c>
      <c r="B550" s="2512"/>
      <c r="C550" s="2614"/>
      <c r="D550" s="2614"/>
      <c r="E550" s="2614"/>
      <c r="F550" s="2614"/>
      <c r="G550" s="2614"/>
      <c r="H550" s="2614"/>
      <c r="I550" s="2595">
        <f t="shared" si="17"/>
        <v>0</v>
      </c>
    </row>
    <row r="551" spans="1:9" ht="15" hidden="1" customHeight="1" x14ac:dyDescent="0.2">
      <c r="A551" s="3003">
        <f t="shared" si="16"/>
        <v>49.505999999998821</v>
      </c>
      <c r="B551" s="2512"/>
      <c r="C551" s="2614"/>
      <c r="D551" s="2488"/>
      <c r="E551" s="2488"/>
      <c r="F551" s="2614"/>
      <c r="G551" s="2614"/>
      <c r="H551" s="2488"/>
      <c r="I551" s="2595">
        <f t="shared" si="17"/>
        <v>0</v>
      </c>
    </row>
    <row r="552" spans="1:9" ht="15" hidden="1" customHeight="1" x14ac:dyDescent="0.2">
      <c r="A552" s="3003">
        <f t="shared" si="16"/>
        <v>49.506999999998818</v>
      </c>
      <c r="B552" s="2512"/>
      <c r="C552" s="2614"/>
      <c r="D552" s="2614"/>
      <c r="E552" s="2614"/>
      <c r="F552" s="2614"/>
      <c r="G552" s="2614"/>
      <c r="H552" s="2614"/>
      <c r="I552" s="2595">
        <f t="shared" si="17"/>
        <v>0</v>
      </c>
    </row>
    <row r="553" spans="1:9" ht="15" hidden="1" customHeight="1" x14ac:dyDescent="0.2">
      <c r="A553" s="3003">
        <f t="shared" si="16"/>
        <v>49.507999999998816</v>
      </c>
      <c r="B553" s="2512"/>
      <c r="C553" s="2614"/>
      <c r="D553" s="2614"/>
      <c r="E553" s="2488"/>
      <c r="F553" s="2488"/>
      <c r="G553" s="2614"/>
      <c r="H553" s="2614"/>
      <c r="I553" s="2595">
        <f t="shared" si="17"/>
        <v>0</v>
      </c>
    </row>
    <row r="554" spans="1:9" ht="15" hidden="1" customHeight="1" x14ac:dyDescent="0.2">
      <c r="A554" s="3003">
        <f t="shared" si="16"/>
        <v>49.508999999998814</v>
      </c>
      <c r="B554" s="2512"/>
      <c r="C554" s="2488"/>
      <c r="D554" s="2488"/>
      <c r="E554" s="2488"/>
      <c r="F554" s="2488"/>
      <c r="G554" s="2614"/>
      <c r="H554" s="2488"/>
      <c r="I554" s="2595">
        <f t="shared" si="17"/>
        <v>0</v>
      </c>
    </row>
    <row r="555" spans="1:9" ht="15" hidden="1" customHeight="1" x14ac:dyDescent="0.2">
      <c r="A555" s="3003">
        <f t="shared" si="16"/>
        <v>49.509999999998811</v>
      </c>
      <c r="B555" s="2512"/>
      <c r="C555" s="2614"/>
      <c r="D555" s="2614"/>
      <c r="E555" s="2614"/>
      <c r="F555" s="2614"/>
      <c r="G555" s="2614"/>
      <c r="H555" s="2614"/>
      <c r="I555" s="2595">
        <f t="shared" si="17"/>
        <v>0</v>
      </c>
    </row>
    <row r="556" spans="1:9" ht="15" hidden="1" customHeight="1" x14ac:dyDescent="0.2">
      <c r="A556" s="3003">
        <f t="shared" si="16"/>
        <v>49.510999999998809</v>
      </c>
      <c r="B556" s="2512"/>
      <c r="C556" s="2614"/>
      <c r="D556" s="2488"/>
      <c r="E556" s="2614"/>
      <c r="F556" s="2614"/>
      <c r="G556" s="2614"/>
      <c r="H556" s="2488"/>
      <c r="I556" s="2595">
        <f t="shared" si="17"/>
        <v>0</v>
      </c>
    </row>
    <row r="557" spans="1:9" ht="15" hidden="1" customHeight="1" x14ac:dyDescent="0.2">
      <c r="A557" s="3003">
        <f t="shared" si="16"/>
        <v>49.511999999998807</v>
      </c>
      <c r="B557" s="2512"/>
      <c r="C557" s="2614"/>
      <c r="D557" s="2614"/>
      <c r="E557" s="2614"/>
      <c r="F557" s="2614"/>
      <c r="G557" s="2614"/>
      <c r="H557" s="2614"/>
      <c r="I557" s="2595">
        <f t="shared" si="17"/>
        <v>0</v>
      </c>
    </row>
    <row r="558" spans="1:9" ht="15" hidden="1" customHeight="1" x14ac:dyDescent="0.2">
      <c r="A558" s="3003">
        <f t="shared" ref="A558:A621" si="18">A557+0.001</f>
        <v>49.512999999998804</v>
      </c>
      <c r="B558" s="2512"/>
      <c r="C558" s="2614"/>
      <c r="D558" s="2614"/>
      <c r="E558" s="2488"/>
      <c r="F558" s="2614"/>
      <c r="G558" s="2614"/>
      <c r="H558" s="2614"/>
      <c r="I558" s="2595">
        <f t="shared" si="17"/>
        <v>0</v>
      </c>
    </row>
    <row r="559" spans="1:9" ht="15" hidden="1" customHeight="1" x14ac:dyDescent="0.2">
      <c r="A559" s="3003">
        <f t="shared" si="18"/>
        <v>49.513999999998802</v>
      </c>
      <c r="B559" s="2512"/>
      <c r="C559" s="2488"/>
      <c r="D559" s="2488"/>
      <c r="E559" s="2488"/>
      <c r="F559" s="2488"/>
      <c r="G559" s="2614"/>
      <c r="H559" s="2488"/>
      <c r="I559" s="2595">
        <f t="shared" si="17"/>
        <v>0</v>
      </c>
    </row>
    <row r="560" spans="1:9" ht="15" hidden="1" customHeight="1" x14ac:dyDescent="0.2">
      <c r="A560" s="3003">
        <f t="shared" si="18"/>
        <v>49.5149999999988</v>
      </c>
      <c r="B560" s="2512"/>
      <c r="C560" s="2614"/>
      <c r="D560" s="2614"/>
      <c r="E560" s="2614"/>
      <c r="F560" s="2614"/>
      <c r="G560" s="2614"/>
      <c r="H560" s="2614"/>
      <c r="I560" s="2595">
        <f t="shared" si="17"/>
        <v>0</v>
      </c>
    </row>
    <row r="561" spans="1:9" ht="15" hidden="1" customHeight="1" x14ac:dyDescent="0.2">
      <c r="A561" s="3003">
        <f t="shared" si="18"/>
        <v>49.515999999998797</v>
      </c>
      <c r="B561" s="2512"/>
      <c r="C561" s="2614"/>
      <c r="D561" s="2614"/>
      <c r="E561" s="2614"/>
      <c r="F561" s="2614"/>
      <c r="G561" s="2614"/>
      <c r="H561" s="2614"/>
      <c r="I561" s="2595">
        <f t="shared" si="17"/>
        <v>0</v>
      </c>
    </row>
    <row r="562" spans="1:9" ht="15" hidden="1" customHeight="1" x14ac:dyDescent="0.2">
      <c r="A562" s="3003">
        <f t="shared" si="18"/>
        <v>49.516999999998795</v>
      </c>
      <c r="B562" s="2512"/>
      <c r="C562" s="2614"/>
      <c r="D562" s="2488"/>
      <c r="E562" s="2614"/>
      <c r="F562" s="2614"/>
      <c r="G562" s="2614"/>
      <c r="H562" s="2488"/>
      <c r="I562" s="2595">
        <f t="shared" si="17"/>
        <v>0</v>
      </c>
    </row>
    <row r="563" spans="1:9" ht="15" hidden="1" customHeight="1" x14ac:dyDescent="0.2">
      <c r="A563" s="3003">
        <f t="shared" si="18"/>
        <v>49.517999999998793</v>
      </c>
      <c r="B563" s="2512"/>
      <c r="C563" s="2614"/>
      <c r="D563" s="2614"/>
      <c r="E563" s="2614"/>
      <c r="F563" s="2614"/>
      <c r="G563" s="2614"/>
      <c r="H563" s="2614"/>
      <c r="I563" s="2595">
        <f t="shared" si="17"/>
        <v>0</v>
      </c>
    </row>
    <row r="564" spans="1:9" ht="15" hidden="1" customHeight="1" x14ac:dyDescent="0.2">
      <c r="A564" s="3003">
        <f t="shared" si="18"/>
        <v>49.51899999999879</v>
      </c>
      <c r="B564" s="2512"/>
      <c r="C564" s="2614"/>
      <c r="D564" s="2614"/>
      <c r="E564" s="2614"/>
      <c r="F564" s="2614"/>
      <c r="G564" s="2614"/>
      <c r="H564" s="2614"/>
      <c r="I564" s="2595">
        <f t="shared" si="17"/>
        <v>0</v>
      </c>
    </row>
    <row r="565" spans="1:9" ht="15" hidden="1" customHeight="1" x14ac:dyDescent="0.2">
      <c r="A565" s="3003">
        <f t="shared" si="18"/>
        <v>49.519999999998788</v>
      </c>
      <c r="B565" s="2512"/>
      <c r="C565" s="2614"/>
      <c r="D565" s="2488"/>
      <c r="E565" s="2488"/>
      <c r="F565" s="2488"/>
      <c r="G565" s="2614"/>
      <c r="H565" s="2488"/>
      <c r="I565" s="2595">
        <f t="shared" si="17"/>
        <v>0</v>
      </c>
    </row>
    <row r="566" spans="1:9" ht="15" hidden="1" customHeight="1" x14ac:dyDescent="0.2">
      <c r="A566" s="3003">
        <f t="shared" si="18"/>
        <v>49.520999999998786</v>
      </c>
      <c r="B566" s="2512"/>
      <c r="C566" s="2488"/>
      <c r="D566" s="2614"/>
      <c r="E566" s="2488"/>
      <c r="F566" s="2488"/>
      <c r="G566" s="2614"/>
      <c r="H566" s="2614"/>
      <c r="I566" s="2595">
        <f t="shared" ref="I566:I629" si="19">B566</f>
        <v>0</v>
      </c>
    </row>
    <row r="567" spans="1:9" ht="15" hidden="1" customHeight="1" x14ac:dyDescent="0.2">
      <c r="A567" s="3003">
        <f t="shared" si="18"/>
        <v>49.521999999998783</v>
      </c>
      <c r="B567" s="2512"/>
      <c r="C567" s="2614"/>
      <c r="D567" s="2614"/>
      <c r="E567" s="2614"/>
      <c r="F567" s="2614"/>
      <c r="G567" s="2614"/>
      <c r="H567" s="2614"/>
      <c r="I567" s="2595">
        <f t="shared" si="19"/>
        <v>0</v>
      </c>
    </row>
    <row r="568" spans="1:9" ht="15" hidden="1" customHeight="1" x14ac:dyDescent="0.2">
      <c r="A568" s="3003">
        <f t="shared" si="18"/>
        <v>49.522999999998781</v>
      </c>
      <c r="B568" s="2512"/>
      <c r="C568" s="2614"/>
      <c r="D568" s="2488"/>
      <c r="E568" s="2614"/>
      <c r="F568" s="2614"/>
      <c r="G568" s="2614"/>
      <c r="H568" s="2488"/>
      <c r="I568" s="2595">
        <f t="shared" si="19"/>
        <v>0</v>
      </c>
    </row>
    <row r="569" spans="1:9" ht="15" hidden="1" customHeight="1" x14ac:dyDescent="0.2">
      <c r="A569" s="3003">
        <f t="shared" si="18"/>
        <v>49.523999999998779</v>
      </c>
      <c r="B569" s="2512"/>
      <c r="C569" s="2614"/>
      <c r="D569" s="2614"/>
      <c r="E569" s="2614"/>
      <c r="F569" s="2614"/>
      <c r="G569" s="2614"/>
      <c r="H569" s="2614"/>
      <c r="I569" s="2595">
        <f t="shared" si="19"/>
        <v>0</v>
      </c>
    </row>
    <row r="570" spans="1:9" ht="15" hidden="1" customHeight="1" x14ac:dyDescent="0.2">
      <c r="A570" s="3003">
        <f t="shared" si="18"/>
        <v>49.524999999998776</v>
      </c>
      <c r="B570" s="2512"/>
      <c r="C570" s="2614"/>
      <c r="D570" s="2614"/>
      <c r="E570" s="2614"/>
      <c r="F570" s="2614"/>
      <c r="G570" s="2614"/>
      <c r="H570" s="2614"/>
      <c r="I570" s="2595">
        <f t="shared" si="19"/>
        <v>0</v>
      </c>
    </row>
    <row r="571" spans="1:9" ht="15" hidden="1" customHeight="1" x14ac:dyDescent="0.2">
      <c r="A571" s="3003">
        <f t="shared" si="18"/>
        <v>49.525999999998774</v>
      </c>
      <c r="B571" s="2512"/>
      <c r="C571" s="2614"/>
      <c r="D571" s="2488"/>
      <c r="E571" s="2614"/>
      <c r="F571" s="2614"/>
      <c r="G571" s="2614"/>
      <c r="H571" s="2488"/>
      <c r="I571" s="2595">
        <f t="shared" si="19"/>
        <v>0</v>
      </c>
    </row>
    <row r="572" spans="1:9" ht="15" hidden="1" customHeight="1" x14ac:dyDescent="0.2">
      <c r="A572" s="3003">
        <f t="shared" si="18"/>
        <v>49.526999999998772</v>
      </c>
      <c r="B572" s="2512"/>
      <c r="C572" s="2614"/>
      <c r="D572" s="2614"/>
      <c r="E572" s="2488"/>
      <c r="F572" s="2614"/>
      <c r="G572" s="2614"/>
      <c r="H572" s="2614"/>
      <c r="I572" s="2595">
        <f t="shared" si="19"/>
        <v>0</v>
      </c>
    </row>
    <row r="573" spans="1:9" ht="15" hidden="1" customHeight="1" x14ac:dyDescent="0.2">
      <c r="A573" s="3003">
        <f t="shared" si="18"/>
        <v>49.527999999998769</v>
      </c>
      <c r="B573" s="2512"/>
      <c r="C573" s="2614"/>
      <c r="D573" s="2614"/>
      <c r="E573" s="2488"/>
      <c r="F573" s="2488"/>
      <c r="G573" s="2614"/>
      <c r="H573" s="2614"/>
      <c r="I573" s="2595">
        <f t="shared" si="19"/>
        <v>0</v>
      </c>
    </row>
    <row r="574" spans="1:9" ht="15" hidden="1" customHeight="1" x14ac:dyDescent="0.2">
      <c r="A574" s="3003">
        <f t="shared" si="18"/>
        <v>49.528999999998767</v>
      </c>
      <c r="B574" s="2512"/>
      <c r="C574" s="2488"/>
      <c r="D574" s="2488"/>
      <c r="E574" s="2488"/>
      <c r="F574" s="2488"/>
      <c r="G574" s="2614"/>
      <c r="H574" s="2488"/>
      <c r="I574" s="2595">
        <f t="shared" si="19"/>
        <v>0</v>
      </c>
    </row>
    <row r="575" spans="1:9" ht="15" hidden="1" customHeight="1" x14ac:dyDescent="0.2">
      <c r="A575" s="3003">
        <f t="shared" si="18"/>
        <v>49.529999999998765</v>
      </c>
      <c r="B575" s="2512"/>
      <c r="C575" s="2614"/>
      <c r="D575" s="2614"/>
      <c r="E575" s="2614"/>
      <c r="F575" s="2614"/>
      <c r="G575" s="2614"/>
      <c r="H575" s="2614"/>
      <c r="I575" s="2595">
        <f t="shared" si="19"/>
        <v>0</v>
      </c>
    </row>
    <row r="576" spans="1:9" ht="15" hidden="1" customHeight="1" x14ac:dyDescent="0.2">
      <c r="A576" s="3003">
        <f t="shared" si="18"/>
        <v>49.530999999998762</v>
      </c>
      <c r="B576" s="2512"/>
      <c r="C576" s="2614"/>
      <c r="D576" s="2614"/>
      <c r="E576" s="2614"/>
      <c r="F576" s="2614"/>
      <c r="G576" s="2614"/>
      <c r="H576" s="2614"/>
      <c r="I576" s="2595">
        <f t="shared" si="19"/>
        <v>0</v>
      </c>
    </row>
    <row r="577" spans="1:9" ht="15" hidden="1" customHeight="1" x14ac:dyDescent="0.2">
      <c r="A577" s="3003">
        <f t="shared" si="18"/>
        <v>49.53199999999876</v>
      </c>
      <c r="B577" s="2512"/>
      <c r="C577" s="2614"/>
      <c r="D577" s="2488"/>
      <c r="E577" s="2614"/>
      <c r="F577" s="2614"/>
      <c r="G577" s="2614"/>
      <c r="H577" s="2488"/>
      <c r="I577" s="2595">
        <f t="shared" si="19"/>
        <v>0</v>
      </c>
    </row>
    <row r="578" spans="1:9" ht="15" hidden="1" customHeight="1" x14ac:dyDescent="0.2">
      <c r="A578" s="3003">
        <f t="shared" si="18"/>
        <v>49.532999999998758</v>
      </c>
      <c r="B578" s="2512"/>
      <c r="C578" s="2614"/>
      <c r="D578" s="2614"/>
      <c r="E578" s="2614"/>
      <c r="F578" s="2614"/>
      <c r="G578" s="2614"/>
      <c r="H578" s="2614"/>
      <c r="I578" s="2595">
        <f t="shared" si="19"/>
        <v>0</v>
      </c>
    </row>
    <row r="579" spans="1:9" ht="15" hidden="1" customHeight="1" x14ac:dyDescent="0.2">
      <c r="A579" s="3003">
        <f t="shared" si="18"/>
        <v>49.533999999998755</v>
      </c>
      <c r="B579" s="2512"/>
      <c r="C579" s="2614"/>
      <c r="D579" s="2614"/>
      <c r="E579" s="2614"/>
      <c r="F579" s="2614"/>
      <c r="G579" s="2614"/>
      <c r="H579" s="2614"/>
      <c r="I579" s="2595">
        <f t="shared" si="19"/>
        <v>0</v>
      </c>
    </row>
    <row r="580" spans="1:9" ht="15" hidden="1" customHeight="1" x14ac:dyDescent="0.2">
      <c r="A580" s="3003">
        <f t="shared" si="18"/>
        <v>49.534999999998753</v>
      </c>
      <c r="B580" s="2512"/>
      <c r="C580" s="2614"/>
      <c r="D580" s="2488"/>
      <c r="E580" s="2614"/>
      <c r="F580" s="2614"/>
      <c r="G580" s="2614"/>
      <c r="H580" s="2488"/>
      <c r="I580" s="2595">
        <f t="shared" si="19"/>
        <v>0</v>
      </c>
    </row>
    <row r="581" spans="1:9" ht="15" hidden="1" customHeight="1" x14ac:dyDescent="0.2">
      <c r="A581" s="3003">
        <f t="shared" si="18"/>
        <v>49.535999999998751</v>
      </c>
      <c r="B581" s="2512"/>
      <c r="C581" s="2614"/>
      <c r="D581" s="2614"/>
      <c r="E581" s="2488"/>
      <c r="F581" s="2614"/>
      <c r="G581" s="2614"/>
      <c r="H581" s="2614"/>
      <c r="I581" s="2595">
        <f t="shared" si="19"/>
        <v>0</v>
      </c>
    </row>
    <row r="582" spans="1:9" ht="15" hidden="1" customHeight="1" x14ac:dyDescent="0.2">
      <c r="A582" s="3003">
        <f t="shared" si="18"/>
        <v>49.536999999998748</v>
      </c>
      <c r="B582" s="2512"/>
      <c r="C582" s="2614"/>
      <c r="D582" s="2614"/>
      <c r="E582" s="2614"/>
      <c r="F582" s="2614"/>
      <c r="G582" s="2614"/>
      <c r="H582" s="2614"/>
      <c r="I582" s="2595">
        <f t="shared" si="19"/>
        <v>0</v>
      </c>
    </row>
    <row r="583" spans="1:9" ht="15" hidden="1" customHeight="1" x14ac:dyDescent="0.2">
      <c r="A583" s="3003">
        <f t="shared" si="18"/>
        <v>49.537999999998746</v>
      </c>
      <c r="B583" s="2512"/>
      <c r="C583" s="2614"/>
      <c r="D583" s="2488"/>
      <c r="E583" s="2488"/>
      <c r="F583" s="2614"/>
      <c r="G583" s="2614"/>
      <c r="H583" s="2488"/>
      <c r="I583" s="2595">
        <f t="shared" si="19"/>
        <v>0</v>
      </c>
    </row>
    <row r="584" spans="1:9" ht="15" hidden="1" customHeight="1" x14ac:dyDescent="0.2">
      <c r="A584" s="3003">
        <f t="shared" si="18"/>
        <v>49.538999999998744</v>
      </c>
      <c r="B584" s="2512"/>
      <c r="C584" s="2614"/>
      <c r="D584" s="2614"/>
      <c r="E584" s="2614"/>
      <c r="F584" s="2614"/>
      <c r="G584" s="2614"/>
      <c r="H584" s="2614"/>
      <c r="I584" s="2595">
        <f t="shared" si="19"/>
        <v>0</v>
      </c>
    </row>
    <row r="585" spans="1:9" ht="15" hidden="1" customHeight="1" x14ac:dyDescent="0.2">
      <c r="A585" s="3003">
        <f t="shared" si="18"/>
        <v>49.539999999998741</v>
      </c>
      <c r="B585" s="2512"/>
      <c r="C585" s="2614"/>
      <c r="D585" s="2614"/>
      <c r="E585" s="2614"/>
      <c r="F585" s="2614"/>
      <c r="G585" s="2614"/>
      <c r="H585" s="2614"/>
      <c r="I585" s="2595">
        <f t="shared" si="19"/>
        <v>0</v>
      </c>
    </row>
    <row r="586" spans="1:9" ht="15" hidden="1" customHeight="1" x14ac:dyDescent="0.2">
      <c r="A586" s="3003">
        <f t="shared" si="18"/>
        <v>49.540999999998739</v>
      </c>
      <c r="B586" s="2512"/>
      <c r="C586" s="2614"/>
      <c r="D586" s="2488"/>
      <c r="E586" s="2488"/>
      <c r="F586" s="2488"/>
      <c r="G586" s="2614"/>
      <c r="H586" s="2488"/>
      <c r="I586" s="2595">
        <f t="shared" si="19"/>
        <v>0</v>
      </c>
    </row>
    <row r="587" spans="1:9" ht="15" hidden="1" customHeight="1" x14ac:dyDescent="0.2">
      <c r="A587" s="3003">
        <f t="shared" si="18"/>
        <v>49.541999999998737</v>
      </c>
      <c r="B587" s="2512"/>
      <c r="C587" s="2488"/>
      <c r="D587" s="2614"/>
      <c r="E587" s="2488"/>
      <c r="F587" s="2488"/>
      <c r="G587" s="2614"/>
      <c r="H587" s="2614"/>
      <c r="I587" s="2595">
        <f t="shared" si="19"/>
        <v>0</v>
      </c>
    </row>
    <row r="588" spans="1:9" ht="15" hidden="1" customHeight="1" x14ac:dyDescent="0.2">
      <c r="A588" s="3003">
        <f t="shared" si="18"/>
        <v>49.542999999998734</v>
      </c>
      <c r="B588" s="2512"/>
      <c r="C588" s="2614"/>
      <c r="D588" s="2614"/>
      <c r="E588" s="2614"/>
      <c r="F588" s="2614"/>
      <c r="G588" s="2614"/>
      <c r="H588" s="2614"/>
      <c r="I588" s="2595">
        <f t="shared" si="19"/>
        <v>0</v>
      </c>
    </row>
    <row r="589" spans="1:9" ht="15" hidden="1" customHeight="1" x14ac:dyDescent="0.2">
      <c r="A589" s="3003">
        <f t="shared" si="18"/>
        <v>49.543999999998732</v>
      </c>
      <c r="B589" s="2512"/>
      <c r="C589" s="2614"/>
      <c r="D589" s="2488"/>
      <c r="E589" s="2488"/>
      <c r="F589" s="2614"/>
      <c r="G589" s="2614"/>
      <c r="H589" s="2488"/>
      <c r="I589" s="2595">
        <f t="shared" si="19"/>
        <v>0</v>
      </c>
    </row>
    <row r="590" spans="1:9" ht="15" hidden="1" customHeight="1" x14ac:dyDescent="0.2">
      <c r="A590" s="3003">
        <f t="shared" si="18"/>
        <v>49.54499999999873</v>
      </c>
      <c r="B590" s="2512"/>
      <c r="C590" s="2614"/>
      <c r="D590" s="2614"/>
      <c r="E590" s="2614"/>
      <c r="F590" s="2614"/>
      <c r="G590" s="2614"/>
      <c r="H590" s="2614"/>
      <c r="I590" s="2595">
        <f t="shared" si="19"/>
        <v>0</v>
      </c>
    </row>
    <row r="591" spans="1:9" ht="15" hidden="1" customHeight="1" x14ac:dyDescent="0.2">
      <c r="A591" s="3003">
        <f t="shared" si="18"/>
        <v>49.545999999998728</v>
      </c>
      <c r="B591" s="2512"/>
      <c r="C591" s="2614"/>
      <c r="D591" s="2614"/>
      <c r="E591" s="2488"/>
      <c r="F591" s="2488"/>
      <c r="G591" s="2614"/>
      <c r="H591" s="2614"/>
      <c r="I591" s="2595">
        <f t="shared" si="19"/>
        <v>0</v>
      </c>
    </row>
    <row r="592" spans="1:9" ht="15" hidden="1" customHeight="1" x14ac:dyDescent="0.2">
      <c r="A592" s="3003">
        <f t="shared" si="18"/>
        <v>49.546999999998725</v>
      </c>
      <c r="B592" s="2512"/>
      <c r="C592" s="2488"/>
      <c r="D592" s="2488"/>
      <c r="E592" s="2488"/>
      <c r="F592" s="2488"/>
      <c r="G592" s="2614"/>
      <c r="H592" s="2488"/>
      <c r="I592" s="2595">
        <f t="shared" si="19"/>
        <v>0</v>
      </c>
    </row>
    <row r="593" spans="1:9" ht="15" hidden="1" customHeight="1" x14ac:dyDescent="0.2">
      <c r="A593" s="3003">
        <f t="shared" si="18"/>
        <v>49.547999999998723</v>
      </c>
      <c r="B593" s="2512"/>
      <c r="C593" s="2614"/>
      <c r="D593" s="2614"/>
      <c r="E593" s="2614"/>
      <c r="F593" s="2614"/>
      <c r="G593" s="2614"/>
      <c r="H593" s="2614"/>
      <c r="I593" s="2595">
        <f t="shared" si="19"/>
        <v>0</v>
      </c>
    </row>
    <row r="594" spans="1:9" ht="15" hidden="1" customHeight="1" x14ac:dyDescent="0.2">
      <c r="A594" s="3003">
        <f t="shared" si="18"/>
        <v>49.548999999998721</v>
      </c>
      <c r="B594" s="2512"/>
      <c r="C594" s="2614"/>
      <c r="D594" s="2614"/>
      <c r="E594" s="2614"/>
      <c r="F594" s="2614"/>
      <c r="G594" s="2614"/>
      <c r="H594" s="2614"/>
      <c r="I594" s="2595">
        <f t="shared" si="19"/>
        <v>0</v>
      </c>
    </row>
    <row r="595" spans="1:9" ht="15" hidden="1" customHeight="1" x14ac:dyDescent="0.2">
      <c r="A595" s="3003">
        <f t="shared" si="18"/>
        <v>49.549999999998718</v>
      </c>
      <c r="B595" s="2512"/>
      <c r="C595" s="2614"/>
      <c r="D595" s="2488"/>
      <c r="E595" s="2614"/>
      <c r="F595" s="2614"/>
      <c r="G595" s="2614"/>
      <c r="H595" s="2488"/>
      <c r="I595" s="2595">
        <f t="shared" si="19"/>
        <v>0</v>
      </c>
    </row>
    <row r="596" spans="1:9" ht="15" hidden="1" customHeight="1" x14ac:dyDescent="0.2">
      <c r="A596" s="3003">
        <f t="shared" si="18"/>
        <v>49.550999999998716</v>
      </c>
      <c r="B596" s="2512"/>
      <c r="C596" s="2614"/>
      <c r="D596" s="2614"/>
      <c r="E596" s="2614"/>
      <c r="F596" s="2614"/>
      <c r="G596" s="2614"/>
      <c r="H596" s="2614"/>
      <c r="I596" s="2595">
        <f t="shared" si="19"/>
        <v>0</v>
      </c>
    </row>
    <row r="597" spans="1:9" ht="15" hidden="1" customHeight="1" x14ac:dyDescent="0.2">
      <c r="A597" s="3003">
        <f t="shared" si="18"/>
        <v>49.551999999998714</v>
      </c>
      <c r="B597" s="2512"/>
      <c r="C597" s="2614"/>
      <c r="D597" s="2614"/>
      <c r="E597" s="2488"/>
      <c r="F597" s="2614"/>
      <c r="G597" s="2614"/>
      <c r="H597" s="2614"/>
      <c r="I597" s="2595">
        <f t="shared" si="19"/>
        <v>0</v>
      </c>
    </row>
    <row r="598" spans="1:9" ht="15" hidden="1" customHeight="1" x14ac:dyDescent="0.2">
      <c r="A598" s="3003">
        <f t="shared" si="18"/>
        <v>49.552999999998711</v>
      </c>
      <c r="B598" s="2512"/>
      <c r="C598" s="2488"/>
      <c r="D598" s="2488"/>
      <c r="E598" s="2488"/>
      <c r="F598" s="2488"/>
      <c r="G598" s="2614"/>
      <c r="H598" s="2488"/>
      <c r="I598" s="2595">
        <f t="shared" si="19"/>
        <v>0</v>
      </c>
    </row>
    <row r="599" spans="1:9" ht="15" hidden="1" customHeight="1" x14ac:dyDescent="0.2">
      <c r="A599" s="3003">
        <f t="shared" si="18"/>
        <v>49.553999999998709</v>
      </c>
      <c r="B599" s="2512"/>
      <c r="C599" s="2614"/>
      <c r="D599" s="2614"/>
      <c r="E599" s="2614"/>
      <c r="F599" s="2614"/>
      <c r="G599" s="2614"/>
      <c r="H599" s="2614"/>
      <c r="I599" s="2595">
        <f t="shared" si="19"/>
        <v>0</v>
      </c>
    </row>
    <row r="600" spans="1:9" ht="15" hidden="1" customHeight="1" x14ac:dyDescent="0.2">
      <c r="A600" s="3003">
        <f t="shared" si="18"/>
        <v>49.554999999998707</v>
      </c>
      <c r="B600" s="2512"/>
      <c r="C600" s="2614"/>
      <c r="D600" s="2614"/>
      <c r="E600" s="2614"/>
      <c r="F600" s="2614"/>
      <c r="G600" s="2614"/>
      <c r="H600" s="2614"/>
      <c r="I600" s="2595">
        <f t="shared" si="19"/>
        <v>0</v>
      </c>
    </row>
    <row r="601" spans="1:9" ht="15" hidden="1" customHeight="1" x14ac:dyDescent="0.2">
      <c r="A601" s="3003">
        <f t="shared" si="18"/>
        <v>49.555999999998704</v>
      </c>
      <c r="B601" s="2512"/>
      <c r="C601" s="2614"/>
      <c r="D601" s="2488"/>
      <c r="E601" s="2614"/>
      <c r="F601" s="2614"/>
      <c r="G601" s="2614"/>
      <c r="H601" s="2488"/>
      <c r="I601" s="2595">
        <f t="shared" si="19"/>
        <v>0</v>
      </c>
    </row>
    <row r="602" spans="1:9" ht="15" hidden="1" customHeight="1" x14ac:dyDescent="0.2">
      <c r="A602" s="3003">
        <f t="shared" si="18"/>
        <v>49.556999999998702</v>
      </c>
      <c r="B602" s="2512"/>
      <c r="C602" s="2614"/>
      <c r="D602" s="2614"/>
      <c r="E602" s="2614"/>
      <c r="F602" s="2614"/>
      <c r="G602" s="2614"/>
      <c r="H602" s="2614"/>
      <c r="I602" s="2595">
        <f t="shared" si="19"/>
        <v>0</v>
      </c>
    </row>
    <row r="603" spans="1:9" ht="15" hidden="1" customHeight="1" x14ac:dyDescent="0.2">
      <c r="A603" s="3003">
        <f t="shared" si="18"/>
        <v>49.5579999999987</v>
      </c>
      <c r="B603" s="2512"/>
      <c r="C603" s="2614"/>
      <c r="D603" s="2614"/>
      <c r="E603" s="2614"/>
      <c r="F603" s="2614"/>
      <c r="G603" s="2614"/>
      <c r="H603" s="2614"/>
      <c r="I603" s="2595">
        <f t="shared" si="19"/>
        <v>0</v>
      </c>
    </row>
    <row r="604" spans="1:9" ht="15" hidden="1" customHeight="1" x14ac:dyDescent="0.2">
      <c r="A604" s="3003">
        <f t="shared" si="18"/>
        <v>49.558999999998697</v>
      </c>
      <c r="B604" s="2512"/>
      <c r="C604" s="2614"/>
      <c r="D604" s="2488"/>
      <c r="E604" s="2488"/>
      <c r="F604" s="2488"/>
      <c r="G604" s="2614"/>
      <c r="H604" s="2488"/>
      <c r="I604" s="2595">
        <f t="shared" si="19"/>
        <v>0</v>
      </c>
    </row>
    <row r="605" spans="1:9" ht="15" hidden="1" customHeight="1" x14ac:dyDescent="0.2">
      <c r="A605" s="3003">
        <f t="shared" si="18"/>
        <v>49.559999999998695</v>
      </c>
      <c r="B605" s="2512"/>
      <c r="C605" s="2488"/>
      <c r="D605" s="2614"/>
      <c r="E605" s="2488"/>
      <c r="F605" s="2488"/>
      <c r="G605" s="2614"/>
      <c r="H605" s="2614"/>
      <c r="I605" s="2595">
        <f t="shared" si="19"/>
        <v>0</v>
      </c>
    </row>
    <row r="606" spans="1:9" ht="15" hidden="1" customHeight="1" x14ac:dyDescent="0.2">
      <c r="A606" s="3003">
        <f t="shared" si="18"/>
        <v>49.560999999998693</v>
      </c>
      <c r="B606" s="2512"/>
      <c r="C606" s="2614"/>
      <c r="D606" s="2614"/>
      <c r="E606" s="2614"/>
      <c r="F606" s="2614"/>
      <c r="G606" s="2614"/>
      <c r="H606" s="2614"/>
      <c r="I606" s="2595">
        <f t="shared" si="19"/>
        <v>0</v>
      </c>
    </row>
    <row r="607" spans="1:9" ht="15" hidden="1" customHeight="1" x14ac:dyDescent="0.2">
      <c r="A607" s="3003">
        <f t="shared" si="18"/>
        <v>49.56199999999869</v>
      </c>
      <c r="B607" s="2512"/>
      <c r="C607" s="2614"/>
      <c r="D607" s="2488"/>
      <c r="E607" s="2614"/>
      <c r="F607" s="2614"/>
      <c r="G607" s="2614"/>
      <c r="H607" s="2488"/>
      <c r="I607" s="2595">
        <f t="shared" si="19"/>
        <v>0</v>
      </c>
    </row>
    <row r="608" spans="1:9" ht="15" hidden="1" customHeight="1" x14ac:dyDescent="0.2">
      <c r="A608" s="3003">
        <f t="shared" si="18"/>
        <v>49.562999999998688</v>
      </c>
      <c r="B608" s="2512"/>
      <c r="C608" s="2614"/>
      <c r="D608" s="2614"/>
      <c r="E608" s="2614"/>
      <c r="F608" s="2614"/>
      <c r="G608" s="2614"/>
      <c r="H608" s="2614"/>
      <c r="I608" s="2595">
        <f t="shared" si="19"/>
        <v>0</v>
      </c>
    </row>
    <row r="609" spans="1:9" ht="15" hidden="1" customHeight="1" x14ac:dyDescent="0.2">
      <c r="A609" s="3003">
        <f t="shared" si="18"/>
        <v>49.563999999998686</v>
      </c>
      <c r="B609" s="2512"/>
      <c r="C609" s="2614"/>
      <c r="D609" s="2614"/>
      <c r="E609" s="2614"/>
      <c r="F609" s="2614"/>
      <c r="G609" s="2614"/>
      <c r="H609" s="2614"/>
      <c r="I609" s="2595">
        <f t="shared" si="19"/>
        <v>0</v>
      </c>
    </row>
    <row r="610" spans="1:9" ht="15" hidden="1" customHeight="1" x14ac:dyDescent="0.2">
      <c r="A610" s="3003">
        <f t="shared" si="18"/>
        <v>49.564999999998683</v>
      </c>
      <c r="B610" s="2512"/>
      <c r="C610" s="2614"/>
      <c r="D610" s="2488"/>
      <c r="E610" s="2614"/>
      <c r="F610" s="2614"/>
      <c r="G610" s="2614"/>
      <c r="H610" s="2488"/>
      <c r="I610" s="2595">
        <f t="shared" si="19"/>
        <v>0</v>
      </c>
    </row>
    <row r="611" spans="1:9" ht="15" hidden="1" customHeight="1" x14ac:dyDescent="0.2">
      <c r="A611" s="3003">
        <f t="shared" si="18"/>
        <v>49.565999999998681</v>
      </c>
      <c r="B611" s="2512"/>
      <c r="C611" s="2614"/>
      <c r="D611" s="2614"/>
      <c r="E611" s="2488"/>
      <c r="F611" s="2614"/>
      <c r="G611" s="2614"/>
      <c r="H611" s="2614"/>
      <c r="I611" s="2595">
        <f t="shared" si="19"/>
        <v>0</v>
      </c>
    </row>
    <row r="612" spans="1:9" ht="15" hidden="1" customHeight="1" x14ac:dyDescent="0.2">
      <c r="A612" s="3003">
        <f t="shared" si="18"/>
        <v>49.566999999998679</v>
      </c>
      <c r="B612" s="2512"/>
      <c r="C612" s="2614"/>
      <c r="D612" s="2614"/>
      <c r="E612" s="2488"/>
      <c r="F612" s="2488"/>
      <c r="G612" s="2614"/>
      <c r="H612" s="2614"/>
      <c r="I612" s="2595">
        <f t="shared" si="19"/>
        <v>0</v>
      </c>
    </row>
    <row r="613" spans="1:9" ht="15" hidden="1" customHeight="1" x14ac:dyDescent="0.2">
      <c r="A613" s="3003">
        <f t="shared" si="18"/>
        <v>49.567999999998676</v>
      </c>
      <c r="B613" s="2512"/>
      <c r="C613" s="2488"/>
      <c r="D613" s="2488"/>
      <c r="E613" s="2488"/>
      <c r="F613" s="2488"/>
      <c r="G613" s="2614"/>
      <c r="H613" s="2488"/>
      <c r="I613" s="2595">
        <f t="shared" si="19"/>
        <v>0</v>
      </c>
    </row>
    <row r="614" spans="1:9" ht="15" hidden="1" customHeight="1" x14ac:dyDescent="0.2">
      <c r="A614" s="3003">
        <f t="shared" si="18"/>
        <v>49.568999999998674</v>
      </c>
      <c r="B614" s="2512"/>
      <c r="C614" s="2614"/>
      <c r="D614" s="2614"/>
      <c r="E614" s="2614"/>
      <c r="F614" s="2614"/>
      <c r="G614" s="2614"/>
      <c r="H614" s="2614"/>
      <c r="I614" s="2595">
        <f t="shared" si="19"/>
        <v>0</v>
      </c>
    </row>
    <row r="615" spans="1:9" ht="15" hidden="1" customHeight="1" x14ac:dyDescent="0.2">
      <c r="A615" s="3003">
        <f t="shared" si="18"/>
        <v>49.569999999998672</v>
      </c>
      <c r="B615" s="2512"/>
      <c r="C615" s="2614"/>
      <c r="D615" s="2614"/>
      <c r="E615" s="2614"/>
      <c r="F615" s="2614"/>
      <c r="G615" s="2614"/>
      <c r="H615" s="2614"/>
      <c r="I615" s="2595">
        <f t="shared" si="19"/>
        <v>0</v>
      </c>
    </row>
    <row r="616" spans="1:9" ht="15" hidden="1" customHeight="1" x14ac:dyDescent="0.2">
      <c r="A616" s="3003">
        <f t="shared" si="18"/>
        <v>49.570999999998669</v>
      </c>
      <c r="B616" s="2512"/>
      <c r="C616" s="2614"/>
      <c r="D616" s="2488"/>
      <c r="E616" s="2614"/>
      <c r="F616" s="2614"/>
      <c r="G616" s="2614"/>
      <c r="H616" s="2488"/>
      <c r="I616" s="2595">
        <f t="shared" si="19"/>
        <v>0</v>
      </c>
    </row>
    <row r="617" spans="1:9" ht="15" hidden="1" customHeight="1" x14ac:dyDescent="0.2">
      <c r="A617" s="3003">
        <f t="shared" si="18"/>
        <v>49.571999999998667</v>
      </c>
      <c r="B617" s="2512"/>
      <c r="C617" s="2614"/>
      <c r="D617" s="2614"/>
      <c r="E617" s="2614"/>
      <c r="F617" s="2614"/>
      <c r="G617" s="2614"/>
      <c r="H617" s="2614"/>
      <c r="I617" s="2595">
        <f t="shared" si="19"/>
        <v>0</v>
      </c>
    </row>
    <row r="618" spans="1:9" ht="15" hidden="1" customHeight="1" x14ac:dyDescent="0.2">
      <c r="A618" s="3003">
        <f t="shared" si="18"/>
        <v>49.572999999998665</v>
      </c>
      <c r="B618" s="2512"/>
      <c r="C618" s="2614"/>
      <c r="D618" s="2614"/>
      <c r="E618" s="2614"/>
      <c r="F618" s="2614"/>
      <c r="G618" s="2614"/>
      <c r="H618" s="2614"/>
      <c r="I618" s="2595">
        <f t="shared" si="19"/>
        <v>0</v>
      </c>
    </row>
    <row r="619" spans="1:9" ht="15" hidden="1" customHeight="1" x14ac:dyDescent="0.2">
      <c r="A619" s="3003">
        <f t="shared" si="18"/>
        <v>49.573999999998662</v>
      </c>
      <c r="B619" s="2512"/>
      <c r="C619" s="2614"/>
      <c r="D619" s="2488"/>
      <c r="E619" s="2614"/>
      <c r="F619" s="2614"/>
      <c r="G619" s="2614"/>
      <c r="H619" s="2488"/>
      <c r="I619" s="2595">
        <f t="shared" si="19"/>
        <v>0</v>
      </c>
    </row>
    <row r="620" spans="1:9" ht="15" hidden="1" customHeight="1" x14ac:dyDescent="0.2">
      <c r="A620" s="3003">
        <f t="shared" si="18"/>
        <v>49.57499999999866</v>
      </c>
      <c r="B620" s="2512"/>
      <c r="C620" s="2614"/>
      <c r="D620" s="2614"/>
      <c r="E620" s="2488"/>
      <c r="F620" s="2614"/>
      <c r="G620" s="2614"/>
      <c r="H620" s="2614"/>
      <c r="I620" s="2595">
        <f t="shared" si="19"/>
        <v>0</v>
      </c>
    </row>
    <row r="621" spans="1:9" ht="15" hidden="1" customHeight="1" x14ac:dyDescent="0.2">
      <c r="A621" s="3003">
        <f t="shared" si="18"/>
        <v>49.575999999998658</v>
      </c>
      <c r="B621" s="2512"/>
      <c r="C621" s="2614"/>
      <c r="D621" s="2614"/>
      <c r="E621" s="2614"/>
      <c r="F621" s="2614"/>
      <c r="G621" s="2614"/>
      <c r="H621" s="2614"/>
      <c r="I621" s="2595">
        <f t="shared" si="19"/>
        <v>0</v>
      </c>
    </row>
    <row r="622" spans="1:9" ht="15" hidden="1" customHeight="1" x14ac:dyDescent="0.2">
      <c r="A622" s="3003">
        <f t="shared" ref="A622:A685" si="20">A621+0.001</f>
        <v>49.576999999998655</v>
      </c>
      <c r="B622" s="2512"/>
      <c r="C622" s="2614"/>
      <c r="D622" s="2488"/>
      <c r="E622" s="2488"/>
      <c r="F622" s="2614"/>
      <c r="G622" s="2614"/>
      <c r="H622" s="2488"/>
      <c r="I622" s="2595">
        <f t="shared" si="19"/>
        <v>0</v>
      </c>
    </row>
    <row r="623" spans="1:9" ht="15" hidden="1" customHeight="1" x14ac:dyDescent="0.2">
      <c r="A623" s="3003">
        <f t="shared" si="20"/>
        <v>49.577999999998653</v>
      </c>
      <c r="B623" s="2512"/>
      <c r="C623" s="2614"/>
      <c r="D623" s="2614"/>
      <c r="E623" s="2614"/>
      <c r="F623" s="2614"/>
      <c r="G623" s="2614"/>
      <c r="H623" s="2614"/>
      <c r="I623" s="2595">
        <f t="shared" si="19"/>
        <v>0</v>
      </c>
    </row>
    <row r="624" spans="1:9" ht="15" hidden="1" customHeight="1" x14ac:dyDescent="0.2">
      <c r="A624" s="3003">
        <f t="shared" si="20"/>
        <v>49.578999999998651</v>
      </c>
      <c r="B624" s="2512"/>
      <c r="C624" s="2614"/>
      <c r="D624" s="2614"/>
      <c r="E624" s="2614"/>
      <c r="F624" s="2614"/>
      <c r="G624" s="2614"/>
      <c r="H624" s="2614"/>
      <c r="I624" s="2595">
        <f t="shared" si="19"/>
        <v>0</v>
      </c>
    </row>
    <row r="625" spans="1:9" ht="15" hidden="1" customHeight="1" x14ac:dyDescent="0.2">
      <c r="A625" s="3003">
        <f t="shared" si="20"/>
        <v>49.579999999998648</v>
      </c>
      <c r="B625" s="2512"/>
      <c r="C625" s="2614"/>
      <c r="D625" s="2488"/>
      <c r="E625" s="2488"/>
      <c r="F625" s="2488"/>
      <c r="G625" s="2614"/>
      <c r="H625" s="2488"/>
      <c r="I625" s="2595">
        <f t="shared" si="19"/>
        <v>0</v>
      </c>
    </row>
    <row r="626" spans="1:9" ht="15" hidden="1" customHeight="1" x14ac:dyDescent="0.2">
      <c r="A626" s="3003">
        <f t="shared" si="20"/>
        <v>49.580999999998646</v>
      </c>
      <c r="B626" s="2512"/>
      <c r="C626" s="2488"/>
      <c r="D626" s="2614"/>
      <c r="E626" s="2488"/>
      <c r="F626" s="2488"/>
      <c r="G626" s="2614"/>
      <c r="H626" s="2614"/>
      <c r="I626" s="2595">
        <f t="shared" si="19"/>
        <v>0</v>
      </c>
    </row>
    <row r="627" spans="1:9" ht="15" hidden="1" customHeight="1" x14ac:dyDescent="0.2">
      <c r="A627" s="3003">
        <f t="shared" si="20"/>
        <v>49.581999999998644</v>
      </c>
      <c r="B627" s="2512"/>
      <c r="C627" s="2614"/>
      <c r="D627" s="2614"/>
      <c r="E627" s="2614"/>
      <c r="F627" s="2614"/>
      <c r="G627" s="2614"/>
      <c r="H627" s="2614"/>
      <c r="I627" s="2595">
        <f t="shared" si="19"/>
        <v>0</v>
      </c>
    </row>
    <row r="628" spans="1:9" ht="15" hidden="1" customHeight="1" x14ac:dyDescent="0.2">
      <c r="A628" s="3003">
        <f t="shared" si="20"/>
        <v>49.582999999998641</v>
      </c>
      <c r="B628" s="2512"/>
      <c r="C628" s="2614"/>
      <c r="D628" s="2488"/>
      <c r="E628" s="2488"/>
      <c r="F628" s="2614"/>
      <c r="G628" s="2614"/>
      <c r="H628" s="2488"/>
      <c r="I628" s="2595">
        <f t="shared" si="19"/>
        <v>0</v>
      </c>
    </row>
    <row r="629" spans="1:9" ht="15" hidden="1" customHeight="1" x14ac:dyDescent="0.2">
      <c r="A629" s="3003">
        <f t="shared" si="20"/>
        <v>49.583999999998639</v>
      </c>
      <c r="B629" s="2512"/>
      <c r="C629" s="2614"/>
      <c r="D629" s="2614"/>
      <c r="E629" s="2614"/>
      <c r="F629" s="2614"/>
      <c r="G629" s="2614"/>
      <c r="H629" s="2614"/>
      <c r="I629" s="2595">
        <f t="shared" si="19"/>
        <v>0</v>
      </c>
    </row>
    <row r="630" spans="1:9" ht="15" hidden="1" customHeight="1" x14ac:dyDescent="0.2">
      <c r="A630" s="3003">
        <f t="shared" si="20"/>
        <v>49.584999999998637</v>
      </c>
      <c r="B630" s="2512"/>
      <c r="C630" s="2614"/>
      <c r="D630" s="2614"/>
      <c r="E630" s="2488"/>
      <c r="F630" s="2488"/>
      <c r="G630" s="2614"/>
      <c r="H630" s="2614"/>
      <c r="I630" s="2595">
        <f t="shared" ref="I630:I693" si="21">B630</f>
        <v>0</v>
      </c>
    </row>
    <row r="631" spans="1:9" ht="15" hidden="1" customHeight="1" x14ac:dyDescent="0.2">
      <c r="A631" s="3003">
        <f t="shared" si="20"/>
        <v>49.585999999998634</v>
      </c>
      <c r="B631" s="2512"/>
      <c r="C631" s="2488"/>
      <c r="D631" s="2488"/>
      <c r="E631" s="2488"/>
      <c r="F631" s="2488"/>
      <c r="G631" s="2614"/>
      <c r="H631" s="2488"/>
      <c r="I631" s="2595">
        <f t="shared" si="21"/>
        <v>0</v>
      </c>
    </row>
    <row r="632" spans="1:9" ht="15" hidden="1" customHeight="1" x14ac:dyDescent="0.2">
      <c r="A632" s="3003">
        <f t="shared" si="20"/>
        <v>49.586999999998632</v>
      </c>
      <c r="B632" s="2512"/>
      <c r="C632" s="2614"/>
      <c r="D632" s="2614"/>
      <c r="E632" s="2614"/>
      <c r="F632" s="2614"/>
      <c r="G632" s="2614"/>
      <c r="H632" s="2614"/>
      <c r="I632" s="2595">
        <f t="shared" si="21"/>
        <v>0</v>
      </c>
    </row>
    <row r="633" spans="1:9" ht="15" hidden="1" customHeight="1" x14ac:dyDescent="0.2">
      <c r="A633" s="3003">
        <f t="shared" si="20"/>
        <v>49.58799999999863</v>
      </c>
      <c r="B633" s="2512"/>
      <c r="C633" s="2614"/>
      <c r="D633" s="2614"/>
      <c r="E633" s="2614"/>
      <c r="F633" s="2614"/>
      <c r="G633" s="2614"/>
      <c r="H633" s="2614"/>
      <c r="I633" s="2595">
        <f t="shared" si="21"/>
        <v>0</v>
      </c>
    </row>
    <row r="634" spans="1:9" ht="15" hidden="1" customHeight="1" x14ac:dyDescent="0.2">
      <c r="A634" s="3003">
        <f t="shared" si="20"/>
        <v>49.588999999998627</v>
      </c>
      <c r="B634" s="2512"/>
      <c r="C634" s="2614"/>
      <c r="D634" s="2488"/>
      <c r="E634" s="2614"/>
      <c r="F634" s="2614"/>
      <c r="G634" s="2614"/>
      <c r="H634" s="2488"/>
      <c r="I634" s="2595">
        <f t="shared" si="21"/>
        <v>0</v>
      </c>
    </row>
    <row r="635" spans="1:9" ht="15" hidden="1" customHeight="1" x14ac:dyDescent="0.2">
      <c r="A635" s="3003">
        <f t="shared" si="20"/>
        <v>49.589999999998625</v>
      </c>
      <c r="B635" s="2512"/>
      <c r="C635" s="2614"/>
      <c r="D635" s="2614"/>
      <c r="E635" s="2614"/>
      <c r="F635" s="2614"/>
      <c r="G635" s="2614"/>
      <c r="H635" s="2614"/>
      <c r="I635" s="2595">
        <f t="shared" si="21"/>
        <v>0</v>
      </c>
    </row>
    <row r="636" spans="1:9" ht="15" hidden="1" customHeight="1" x14ac:dyDescent="0.2">
      <c r="A636" s="3003">
        <f t="shared" si="20"/>
        <v>49.590999999998623</v>
      </c>
      <c r="B636" s="2512"/>
      <c r="C636" s="2614"/>
      <c r="D636" s="2614"/>
      <c r="E636" s="2488"/>
      <c r="F636" s="2614"/>
      <c r="G636" s="2614"/>
      <c r="H636" s="2614"/>
      <c r="I636" s="2595">
        <f t="shared" si="21"/>
        <v>0</v>
      </c>
    </row>
    <row r="637" spans="1:9" ht="15" hidden="1" customHeight="1" x14ac:dyDescent="0.2">
      <c r="A637" s="3003">
        <f t="shared" si="20"/>
        <v>49.59199999999862</v>
      </c>
      <c r="B637" s="2512"/>
      <c r="C637" s="2614"/>
      <c r="D637" s="2614"/>
      <c r="E637" s="2614"/>
      <c r="F637" s="2614"/>
      <c r="G637" s="2614"/>
      <c r="H637" s="2614"/>
      <c r="I637" s="2595">
        <f t="shared" si="21"/>
        <v>0</v>
      </c>
    </row>
    <row r="638" spans="1:9" ht="15" hidden="1" customHeight="1" x14ac:dyDescent="0.2">
      <c r="A638" s="3003">
        <f t="shared" si="20"/>
        <v>49.592999999998618</v>
      </c>
      <c r="B638" s="2512"/>
      <c r="C638" s="2614"/>
      <c r="D638" s="2614"/>
      <c r="E638" s="2614"/>
      <c r="F638" s="2614"/>
      <c r="G638" s="2614"/>
      <c r="H638" s="2614"/>
      <c r="I638" s="2595">
        <f t="shared" si="21"/>
        <v>0</v>
      </c>
    </row>
    <row r="639" spans="1:9" ht="15" hidden="1" customHeight="1" x14ac:dyDescent="0.2">
      <c r="A639" s="3003">
        <f t="shared" si="20"/>
        <v>49.593999999998616</v>
      </c>
      <c r="B639" s="2512"/>
      <c r="C639" s="2614"/>
      <c r="D639" s="2488"/>
      <c r="E639" s="2614"/>
      <c r="F639" s="2614"/>
      <c r="G639" s="2614"/>
      <c r="H639" s="2488"/>
      <c r="I639" s="2595">
        <f t="shared" si="21"/>
        <v>0</v>
      </c>
    </row>
    <row r="640" spans="1:9" ht="15" hidden="1" customHeight="1" x14ac:dyDescent="0.2">
      <c r="A640" s="3003">
        <f t="shared" si="20"/>
        <v>49.594999999998613</v>
      </c>
      <c r="B640" s="2512"/>
      <c r="C640" s="2614"/>
      <c r="D640" s="2614"/>
      <c r="E640" s="2614"/>
      <c r="F640" s="2614"/>
      <c r="G640" s="2614"/>
      <c r="H640" s="2614"/>
      <c r="I640" s="2595">
        <f t="shared" si="21"/>
        <v>0</v>
      </c>
    </row>
    <row r="641" spans="1:9" ht="15" hidden="1" customHeight="1" x14ac:dyDescent="0.2">
      <c r="A641" s="3003">
        <f t="shared" si="20"/>
        <v>49.595999999998611</v>
      </c>
      <c r="B641" s="2512"/>
      <c r="C641" s="2614"/>
      <c r="D641" s="2614"/>
      <c r="E641" s="2614"/>
      <c r="F641" s="2614"/>
      <c r="G641" s="2614"/>
      <c r="H641" s="2614"/>
      <c r="I641" s="2595">
        <f t="shared" si="21"/>
        <v>0</v>
      </c>
    </row>
    <row r="642" spans="1:9" ht="15" hidden="1" customHeight="1" x14ac:dyDescent="0.2">
      <c r="A642" s="3003">
        <f t="shared" si="20"/>
        <v>49.596999999998609</v>
      </c>
      <c r="B642" s="2512"/>
      <c r="C642" s="2614"/>
      <c r="D642" s="2488"/>
      <c r="E642" s="2488"/>
      <c r="F642" s="2488"/>
      <c r="G642" s="2614"/>
      <c r="H642" s="2488"/>
      <c r="I642" s="2595">
        <f t="shared" si="21"/>
        <v>0</v>
      </c>
    </row>
    <row r="643" spans="1:9" ht="15" hidden="1" customHeight="1" x14ac:dyDescent="0.2">
      <c r="A643" s="3003">
        <f t="shared" si="20"/>
        <v>49.597999999998606</v>
      </c>
      <c r="B643" s="2512"/>
      <c r="C643" s="2488"/>
      <c r="D643" s="2614"/>
      <c r="E643" s="2488"/>
      <c r="F643" s="2488"/>
      <c r="G643" s="2614"/>
      <c r="H643" s="2614"/>
      <c r="I643" s="2595">
        <f t="shared" si="21"/>
        <v>0</v>
      </c>
    </row>
    <row r="644" spans="1:9" ht="15" hidden="1" customHeight="1" x14ac:dyDescent="0.2">
      <c r="A644" s="3003">
        <f t="shared" si="20"/>
        <v>49.598999999998604</v>
      </c>
      <c r="B644" s="2512"/>
      <c r="C644" s="2614"/>
      <c r="D644" s="2614"/>
      <c r="E644" s="2614"/>
      <c r="F644" s="2614"/>
      <c r="G644" s="2614"/>
      <c r="H644" s="2614"/>
      <c r="I644" s="2595">
        <f t="shared" si="21"/>
        <v>0</v>
      </c>
    </row>
    <row r="645" spans="1:9" ht="15" hidden="1" customHeight="1" x14ac:dyDescent="0.2">
      <c r="A645" s="3003">
        <f t="shared" si="20"/>
        <v>49.599999999998602</v>
      </c>
      <c r="B645" s="2512"/>
      <c r="C645" s="2614"/>
      <c r="D645" s="2488"/>
      <c r="E645" s="2614"/>
      <c r="F645" s="2614"/>
      <c r="G645" s="2614"/>
      <c r="H645" s="2488"/>
      <c r="I645" s="2595">
        <f t="shared" si="21"/>
        <v>0</v>
      </c>
    </row>
    <row r="646" spans="1:9" ht="15" hidden="1" customHeight="1" x14ac:dyDescent="0.2">
      <c r="A646" s="3003">
        <f t="shared" si="20"/>
        <v>49.600999999998599</v>
      </c>
      <c r="B646" s="2512"/>
      <c r="C646" s="2614"/>
      <c r="D646" s="2614"/>
      <c r="E646" s="2614"/>
      <c r="F646" s="2614"/>
      <c r="G646" s="2614"/>
      <c r="H646" s="2614"/>
      <c r="I646" s="2595">
        <f t="shared" si="21"/>
        <v>0</v>
      </c>
    </row>
    <row r="647" spans="1:9" ht="15" hidden="1" customHeight="1" x14ac:dyDescent="0.2">
      <c r="A647" s="3003">
        <f t="shared" si="20"/>
        <v>49.601999999998597</v>
      </c>
      <c r="B647" s="2512"/>
      <c r="C647" s="2614"/>
      <c r="D647" s="2614"/>
      <c r="E647" s="2614"/>
      <c r="F647" s="2614"/>
      <c r="G647" s="2614"/>
      <c r="H647" s="2614"/>
      <c r="I647" s="2595">
        <f t="shared" si="21"/>
        <v>0</v>
      </c>
    </row>
    <row r="648" spans="1:9" ht="15" hidden="1" customHeight="1" x14ac:dyDescent="0.2">
      <c r="A648" s="3003">
        <f t="shared" si="20"/>
        <v>49.602999999998595</v>
      </c>
      <c r="B648" s="2512"/>
      <c r="C648" s="2614"/>
      <c r="D648" s="2488"/>
      <c r="E648" s="2614"/>
      <c r="F648" s="2614"/>
      <c r="G648" s="2614"/>
      <c r="H648" s="2488"/>
      <c r="I648" s="2595">
        <f t="shared" si="21"/>
        <v>0</v>
      </c>
    </row>
    <row r="649" spans="1:9" ht="15" hidden="1" customHeight="1" x14ac:dyDescent="0.2">
      <c r="A649" s="3003">
        <f t="shared" si="20"/>
        <v>49.603999999998592</v>
      </c>
      <c r="B649" s="2512"/>
      <c r="C649" s="2614"/>
      <c r="D649" s="2614"/>
      <c r="E649" s="2488"/>
      <c r="F649" s="2614"/>
      <c r="G649" s="2614"/>
      <c r="H649" s="2614"/>
      <c r="I649" s="2595">
        <f t="shared" si="21"/>
        <v>0</v>
      </c>
    </row>
    <row r="650" spans="1:9" ht="15" hidden="1" customHeight="1" x14ac:dyDescent="0.2">
      <c r="A650" s="3003">
        <f t="shared" si="20"/>
        <v>49.60499999999859</v>
      </c>
      <c r="B650" s="2512"/>
      <c r="C650" s="2614"/>
      <c r="D650" s="2614"/>
      <c r="E650" s="2488"/>
      <c r="F650" s="2488"/>
      <c r="G650" s="2614"/>
      <c r="H650" s="2614"/>
      <c r="I650" s="2595">
        <f t="shared" si="21"/>
        <v>0</v>
      </c>
    </row>
    <row r="651" spans="1:9" ht="15" hidden="1" customHeight="1" x14ac:dyDescent="0.2">
      <c r="A651" s="3003">
        <f t="shared" si="20"/>
        <v>49.605999999998588</v>
      </c>
      <c r="B651" s="2512"/>
      <c r="C651" s="2488"/>
      <c r="D651" s="2488"/>
      <c r="E651" s="2488"/>
      <c r="F651" s="2488"/>
      <c r="G651" s="2614"/>
      <c r="H651" s="2488"/>
      <c r="I651" s="2595">
        <f t="shared" si="21"/>
        <v>0</v>
      </c>
    </row>
    <row r="652" spans="1:9" ht="15" hidden="1" customHeight="1" x14ac:dyDescent="0.2">
      <c r="A652" s="3003">
        <f t="shared" si="20"/>
        <v>49.606999999998585</v>
      </c>
      <c r="B652" s="2512"/>
      <c r="C652" s="2614"/>
      <c r="D652" s="2614"/>
      <c r="E652" s="2614"/>
      <c r="F652" s="2614"/>
      <c r="G652" s="2614"/>
      <c r="H652" s="2614"/>
      <c r="I652" s="2595">
        <f t="shared" si="21"/>
        <v>0</v>
      </c>
    </row>
    <row r="653" spans="1:9" ht="15" hidden="1" customHeight="1" x14ac:dyDescent="0.2">
      <c r="A653" s="3003">
        <f t="shared" si="20"/>
        <v>49.607999999998583</v>
      </c>
      <c r="B653" s="2512"/>
      <c r="C653" s="2614"/>
      <c r="D653" s="2614"/>
      <c r="E653" s="2614"/>
      <c r="F653" s="2614"/>
      <c r="G653" s="2614"/>
      <c r="H653" s="2614"/>
      <c r="I653" s="2595">
        <f t="shared" si="21"/>
        <v>0</v>
      </c>
    </row>
    <row r="654" spans="1:9" ht="15" hidden="1" customHeight="1" x14ac:dyDescent="0.2">
      <c r="A654" s="3003">
        <f t="shared" si="20"/>
        <v>49.608999999998581</v>
      </c>
      <c r="B654" s="2512"/>
      <c r="C654" s="2614"/>
      <c r="D654" s="2488"/>
      <c r="E654" s="2614"/>
      <c r="F654" s="2614"/>
      <c r="G654" s="2614"/>
      <c r="H654" s="2488"/>
      <c r="I654" s="2595">
        <f t="shared" si="21"/>
        <v>0</v>
      </c>
    </row>
    <row r="655" spans="1:9" ht="15" hidden="1" customHeight="1" x14ac:dyDescent="0.2">
      <c r="A655" s="3003">
        <f t="shared" si="20"/>
        <v>49.609999999998578</v>
      </c>
      <c r="B655" s="2512"/>
      <c r="C655" s="2614"/>
      <c r="D655" s="2614"/>
      <c r="E655" s="2614"/>
      <c r="F655" s="2614"/>
      <c r="G655" s="2614"/>
      <c r="H655" s="2614"/>
      <c r="I655" s="2595">
        <f t="shared" si="21"/>
        <v>0</v>
      </c>
    </row>
    <row r="656" spans="1:9" ht="15" hidden="1" customHeight="1" x14ac:dyDescent="0.2">
      <c r="A656" s="3003">
        <f t="shared" si="20"/>
        <v>49.610999999998576</v>
      </c>
      <c r="B656" s="2512"/>
      <c r="C656" s="2614"/>
      <c r="D656" s="2614"/>
      <c r="E656" s="2614"/>
      <c r="F656" s="2614"/>
      <c r="G656" s="2614"/>
      <c r="H656" s="2614"/>
      <c r="I656" s="2595">
        <f t="shared" si="21"/>
        <v>0</v>
      </c>
    </row>
    <row r="657" spans="1:9" ht="15" hidden="1" customHeight="1" x14ac:dyDescent="0.2">
      <c r="A657" s="3003">
        <f t="shared" si="20"/>
        <v>49.611999999998574</v>
      </c>
      <c r="B657" s="2512"/>
      <c r="C657" s="2614"/>
      <c r="D657" s="2488"/>
      <c r="E657" s="2614"/>
      <c r="F657" s="2614"/>
      <c r="G657" s="2614"/>
      <c r="H657" s="2488"/>
      <c r="I657" s="2595">
        <f t="shared" si="21"/>
        <v>0</v>
      </c>
    </row>
    <row r="658" spans="1:9" ht="15" hidden="1" customHeight="1" x14ac:dyDescent="0.2">
      <c r="A658" s="3003">
        <f t="shared" si="20"/>
        <v>49.612999999998571</v>
      </c>
      <c r="B658" s="2512"/>
      <c r="C658" s="2614"/>
      <c r="D658" s="2614"/>
      <c r="E658" s="2488"/>
      <c r="F658" s="2614"/>
      <c r="G658" s="2614"/>
      <c r="H658" s="2614"/>
      <c r="I658" s="2595">
        <f t="shared" si="21"/>
        <v>0</v>
      </c>
    </row>
    <row r="659" spans="1:9" ht="15" hidden="1" customHeight="1" x14ac:dyDescent="0.2">
      <c r="A659" s="3003">
        <f t="shared" si="20"/>
        <v>49.613999999998569</v>
      </c>
      <c r="B659" s="2512"/>
      <c r="C659" s="2614"/>
      <c r="D659" s="2614"/>
      <c r="E659" s="2614"/>
      <c r="F659" s="2614"/>
      <c r="G659" s="2614"/>
      <c r="H659" s="2614"/>
      <c r="I659" s="2595">
        <f t="shared" si="21"/>
        <v>0</v>
      </c>
    </row>
    <row r="660" spans="1:9" ht="15" hidden="1" customHeight="1" x14ac:dyDescent="0.2">
      <c r="A660" s="3003">
        <f t="shared" si="20"/>
        <v>49.614999999998567</v>
      </c>
      <c r="B660" s="2512"/>
      <c r="C660" s="2614"/>
      <c r="D660" s="2488"/>
      <c r="E660" s="2488"/>
      <c r="F660" s="2614"/>
      <c r="G660" s="2614"/>
      <c r="H660" s="2488"/>
      <c r="I660" s="2595">
        <f t="shared" si="21"/>
        <v>0</v>
      </c>
    </row>
    <row r="661" spans="1:9" ht="15" hidden="1" customHeight="1" x14ac:dyDescent="0.2">
      <c r="A661" s="3003">
        <f t="shared" si="20"/>
        <v>49.615999999998564</v>
      </c>
      <c r="B661" s="2512"/>
      <c r="C661" s="2614"/>
      <c r="D661" s="2614"/>
      <c r="E661" s="2614"/>
      <c r="F661" s="2614"/>
      <c r="G661" s="2614"/>
      <c r="H661" s="2614"/>
      <c r="I661" s="2595">
        <f t="shared" si="21"/>
        <v>0</v>
      </c>
    </row>
    <row r="662" spans="1:9" ht="15" hidden="1" customHeight="1" x14ac:dyDescent="0.2">
      <c r="A662" s="3003">
        <f t="shared" si="20"/>
        <v>49.616999999998562</v>
      </c>
      <c r="B662" s="2512"/>
      <c r="C662" s="2614"/>
      <c r="D662" s="2614"/>
      <c r="E662" s="2614"/>
      <c r="F662" s="2614"/>
      <c r="G662" s="2614"/>
      <c r="H662" s="2614"/>
      <c r="I662" s="2595">
        <f t="shared" si="21"/>
        <v>0</v>
      </c>
    </row>
    <row r="663" spans="1:9" ht="15" hidden="1" customHeight="1" x14ac:dyDescent="0.2">
      <c r="A663" s="3003">
        <f t="shared" si="20"/>
        <v>49.61799999999856</v>
      </c>
      <c r="B663" s="2512"/>
      <c r="C663" s="2614"/>
      <c r="D663" s="2488"/>
      <c r="E663" s="2488"/>
      <c r="F663" s="2488"/>
      <c r="G663" s="2614"/>
      <c r="H663" s="2488"/>
      <c r="I663" s="2595">
        <f t="shared" si="21"/>
        <v>0</v>
      </c>
    </row>
    <row r="664" spans="1:9" ht="15" hidden="1" customHeight="1" x14ac:dyDescent="0.2">
      <c r="A664" s="3003">
        <f t="shared" si="20"/>
        <v>49.618999999998557</v>
      </c>
      <c r="B664" s="2512"/>
      <c r="C664" s="2488"/>
      <c r="D664" s="2614"/>
      <c r="E664" s="2488"/>
      <c r="F664" s="2488"/>
      <c r="G664" s="2614"/>
      <c r="H664" s="2614"/>
      <c r="I664" s="2595">
        <f t="shared" si="21"/>
        <v>0</v>
      </c>
    </row>
    <row r="665" spans="1:9" ht="15" hidden="1" customHeight="1" x14ac:dyDescent="0.2">
      <c r="A665" s="3003">
        <f t="shared" si="20"/>
        <v>49.619999999998555</v>
      </c>
      <c r="B665" s="2512"/>
      <c r="C665" s="2614"/>
      <c r="D665" s="2614"/>
      <c r="E665" s="2614"/>
      <c r="F665" s="2614"/>
      <c r="G665" s="2614"/>
      <c r="H665" s="2614"/>
      <c r="I665" s="2595">
        <f t="shared" si="21"/>
        <v>0</v>
      </c>
    </row>
    <row r="666" spans="1:9" ht="15" hidden="1" customHeight="1" x14ac:dyDescent="0.2">
      <c r="A666" s="3003">
        <f t="shared" si="20"/>
        <v>49.620999999998553</v>
      </c>
      <c r="B666" s="2512"/>
      <c r="C666" s="2614"/>
      <c r="D666" s="2488"/>
      <c r="E666" s="2488"/>
      <c r="F666" s="2614"/>
      <c r="G666" s="2614"/>
      <c r="H666" s="2488"/>
      <c r="I666" s="2595">
        <f t="shared" si="21"/>
        <v>0</v>
      </c>
    </row>
    <row r="667" spans="1:9" ht="15" hidden="1" customHeight="1" x14ac:dyDescent="0.2">
      <c r="A667" s="3003">
        <f t="shared" si="20"/>
        <v>49.62199999999855</v>
      </c>
      <c r="B667" s="2512"/>
      <c r="C667" s="2614"/>
      <c r="D667" s="2614"/>
      <c r="E667" s="2614"/>
      <c r="F667" s="2614"/>
      <c r="G667" s="2614"/>
      <c r="H667" s="2614"/>
      <c r="I667" s="2595">
        <f t="shared" si="21"/>
        <v>0</v>
      </c>
    </row>
    <row r="668" spans="1:9" ht="15" hidden="1" customHeight="1" x14ac:dyDescent="0.2">
      <c r="A668" s="3003">
        <f t="shared" si="20"/>
        <v>49.622999999998548</v>
      </c>
      <c r="B668" s="2512"/>
      <c r="C668" s="2614"/>
      <c r="D668" s="2614"/>
      <c r="E668" s="2488"/>
      <c r="F668" s="2488"/>
      <c r="G668" s="2614"/>
      <c r="H668" s="2614"/>
      <c r="I668" s="2595">
        <f t="shared" si="21"/>
        <v>0</v>
      </c>
    </row>
    <row r="669" spans="1:9" ht="15" hidden="1" customHeight="1" x14ac:dyDescent="0.2">
      <c r="A669" s="3003">
        <f t="shared" si="20"/>
        <v>49.623999999998546</v>
      </c>
      <c r="B669" s="2512"/>
      <c r="C669" s="2488"/>
      <c r="D669" s="2488"/>
      <c r="E669" s="2488"/>
      <c r="F669" s="2488"/>
      <c r="G669" s="2614"/>
      <c r="H669" s="2488"/>
      <c r="I669" s="2595">
        <f t="shared" si="21"/>
        <v>0</v>
      </c>
    </row>
    <row r="670" spans="1:9" ht="15" hidden="1" customHeight="1" x14ac:dyDescent="0.2">
      <c r="A670" s="3003">
        <f t="shared" si="20"/>
        <v>49.624999999998543</v>
      </c>
      <c r="B670" s="2512"/>
      <c r="C670" s="2614"/>
      <c r="D670" s="2614"/>
      <c r="E670" s="2614"/>
      <c r="F670" s="2614"/>
      <c r="G670" s="2614"/>
      <c r="H670" s="2614"/>
      <c r="I670" s="2595">
        <f t="shared" si="21"/>
        <v>0</v>
      </c>
    </row>
    <row r="671" spans="1:9" ht="15" hidden="1" customHeight="1" x14ac:dyDescent="0.2">
      <c r="A671" s="3003">
        <f t="shared" si="20"/>
        <v>49.625999999998541</v>
      </c>
      <c r="B671" s="2512"/>
      <c r="C671" s="2614"/>
      <c r="D671" s="2614"/>
      <c r="E671" s="2614"/>
      <c r="F671" s="2614"/>
      <c r="G671" s="2614"/>
      <c r="H671" s="2614"/>
      <c r="I671" s="2595">
        <f t="shared" si="21"/>
        <v>0</v>
      </c>
    </row>
    <row r="672" spans="1:9" ht="15" hidden="1" customHeight="1" x14ac:dyDescent="0.2">
      <c r="A672" s="3003">
        <f t="shared" si="20"/>
        <v>49.626999999998539</v>
      </c>
      <c r="B672" s="2512"/>
      <c r="C672" s="2614"/>
      <c r="D672" s="2488"/>
      <c r="E672" s="2614"/>
      <c r="F672" s="2614"/>
      <c r="G672" s="2614"/>
      <c r="H672" s="2488"/>
      <c r="I672" s="2595">
        <f t="shared" si="21"/>
        <v>0</v>
      </c>
    </row>
    <row r="673" spans="1:9" ht="15" hidden="1" customHeight="1" x14ac:dyDescent="0.2">
      <c r="A673" s="3003">
        <f t="shared" si="20"/>
        <v>49.627999999998536</v>
      </c>
      <c r="B673" s="2512"/>
      <c r="C673" s="2614"/>
      <c r="D673" s="2614"/>
      <c r="E673" s="2614"/>
      <c r="F673" s="2614"/>
      <c r="G673" s="2614"/>
      <c r="H673" s="2614"/>
      <c r="I673" s="2595">
        <f t="shared" si="21"/>
        <v>0</v>
      </c>
    </row>
    <row r="674" spans="1:9" ht="15" hidden="1" customHeight="1" x14ac:dyDescent="0.2">
      <c r="A674" s="3003">
        <f t="shared" si="20"/>
        <v>49.628999999998534</v>
      </c>
      <c r="B674" s="2512"/>
      <c r="C674" s="2614"/>
      <c r="D674" s="2614"/>
      <c r="E674" s="2488"/>
      <c r="F674" s="2614"/>
      <c r="G674" s="2614"/>
      <c r="H674" s="2614"/>
      <c r="I674" s="2595">
        <f t="shared" si="21"/>
        <v>0</v>
      </c>
    </row>
    <row r="675" spans="1:9" ht="15" hidden="1" customHeight="1" x14ac:dyDescent="0.2">
      <c r="A675" s="3003">
        <f t="shared" si="20"/>
        <v>49.629999999998532</v>
      </c>
      <c r="B675" s="2512"/>
      <c r="C675" s="2488"/>
      <c r="D675" s="2488"/>
      <c r="E675" s="2488"/>
      <c r="F675" s="2488"/>
      <c r="G675" s="2614"/>
      <c r="H675" s="2488"/>
      <c r="I675" s="2595">
        <f t="shared" si="21"/>
        <v>0</v>
      </c>
    </row>
    <row r="676" spans="1:9" ht="15" hidden="1" customHeight="1" x14ac:dyDescent="0.2">
      <c r="A676" s="3003">
        <f t="shared" si="20"/>
        <v>49.630999999998529</v>
      </c>
      <c r="B676" s="2512"/>
      <c r="C676" s="2614"/>
      <c r="D676" s="2614"/>
      <c r="E676" s="2614"/>
      <c r="F676" s="2614"/>
      <c r="G676" s="2614"/>
      <c r="H676" s="2614"/>
      <c r="I676" s="2595">
        <f t="shared" si="21"/>
        <v>0</v>
      </c>
    </row>
    <row r="677" spans="1:9" ht="15" hidden="1" customHeight="1" x14ac:dyDescent="0.2">
      <c r="A677" s="3003">
        <f t="shared" si="20"/>
        <v>49.631999999998527</v>
      </c>
      <c r="B677" s="2512"/>
      <c r="C677" s="2614"/>
      <c r="D677" s="2614"/>
      <c r="E677" s="2614"/>
      <c r="F677" s="2614"/>
      <c r="G677" s="2614"/>
      <c r="H677" s="2614"/>
      <c r="I677" s="2595">
        <f t="shared" si="21"/>
        <v>0</v>
      </c>
    </row>
    <row r="678" spans="1:9" ht="15" hidden="1" customHeight="1" x14ac:dyDescent="0.2">
      <c r="A678" s="3003">
        <f t="shared" si="20"/>
        <v>49.632999999998525</v>
      </c>
      <c r="B678" s="2512"/>
      <c r="C678" s="2614"/>
      <c r="D678" s="2488"/>
      <c r="E678" s="2614"/>
      <c r="F678" s="2614"/>
      <c r="G678" s="2614"/>
      <c r="H678" s="2488"/>
      <c r="I678" s="2595">
        <f t="shared" si="21"/>
        <v>0</v>
      </c>
    </row>
    <row r="679" spans="1:9" ht="15" hidden="1" customHeight="1" x14ac:dyDescent="0.2">
      <c r="A679" s="3003">
        <f t="shared" si="20"/>
        <v>49.633999999998522</v>
      </c>
      <c r="B679" s="2512"/>
      <c r="C679" s="2614"/>
      <c r="D679" s="2614"/>
      <c r="E679" s="2614"/>
      <c r="F679" s="2614"/>
      <c r="G679" s="2614"/>
      <c r="H679" s="2614"/>
      <c r="I679" s="2595">
        <f t="shared" si="21"/>
        <v>0</v>
      </c>
    </row>
    <row r="680" spans="1:9" ht="15" hidden="1" customHeight="1" x14ac:dyDescent="0.2">
      <c r="A680" s="3003">
        <f t="shared" si="20"/>
        <v>49.63499999999852</v>
      </c>
      <c r="B680" s="2512"/>
      <c r="C680" s="2614"/>
      <c r="D680" s="2614"/>
      <c r="E680" s="2614"/>
      <c r="F680" s="2614"/>
      <c r="G680" s="2614"/>
      <c r="H680" s="2614"/>
      <c r="I680" s="2595">
        <f t="shared" si="21"/>
        <v>0</v>
      </c>
    </row>
    <row r="681" spans="1:9" ht="15" hidden="1" customHeight="1" x14ac:dyDescent="0.2">
      <c r="A681" s="3003">
        <f t="shared" si="20"/>
        <v>49.635999999998518</v>
      </c>
      <c r="B681" s="2512"/>
      <c r="C681" s="2614"/>
      <c r="D681" s="2488"/>
      <c r="E681" s="2488"/>
      <c r="F681" s="2488"/>
      <c r="G681" s="2614"/>
      <c r="H681" s="2488"/>
      <c r="I681" s="2595">
        <f t="shared" si="21"/>
        <v>0</v>
      </c>
    </row>
    <row r="682" spans="1:9" ht="15" hidden="1" customHeight="1" x14ac:dyDescent="0.2">
      <c r="A682" s="3003">
        <f t="shared" si="20"/>
        <v>49.636999999998515</v>
      </c>
      <c r="B682" s="2512"/>
      <c r="C682" s="2488"/>
      <c r="D682" s="2614"/>
      <c r="E682" s="2488"/>
      <c r="F682" s="2488"/>
      <c r="G682" s="2614"/>
      <c r="H682" s="2614"/>
      <c r="I682" s="2595">
        <f t="shared" si="21"/>
        <v>0</v>
      </c>
    </row>
    <row r="683" spans="1:9" ht="15" hidden="1" customHeight="1" x14ac:dyDescent="0.2">
      <c r="A683" s="3003">
        <f t="shared" si="20"/>
        <v>49.637999999998513</v>
      </c>
      <c r="B683" s="2512"/>
      <c r="C683" s="2614"/>
      <c r="D683" s="2614"/>
      <c r="E683" s="2614"/>
      <c r="F683" s="2614"/>
      <c r="G683" s="2614"/>
      <c r="H683" s="2614"/>
      <c r="I683" s="2595">
        <f t="shared" si="21"/>
        <v>0</v>
      </c>
    </row>
    <row r="684" spans="1:9" ht="15" hidden="1" customHeight="1" x14ac:dyDescent="0.2">
      <c r="A684" s="3003">
        <f t="shared" si="20"/>
        <v>49.638999999998511</v>
      </c>
      <c r="B684" s="2512"/>
      <c r="C684" s="2614"/>
      <c r="D684" s="2614"/>
      <c r="E684" s="2614"/>
      <c r="F684" s="2614"/>
      <c r="G684" s="2614"/>
      <c r="H684" s="2614"/>
      <c r="I684" s="2595">
        <f t="shared" si="21"/>
        <v>0</v>
      </c>
    </row>
    <row r="685" spans="1:9" ht="15" hidden="1" customHeight="1" x14ac:dyDescent="0.2">
      <c r="A685" s="3003">
        <f t="shared" si="20"/>
        <v>49.639999999998508</v>
      </c>
      <c r="B685" s="2512"/>
      <c r="C685" s="2614"/>
      <c r="D685" s="2614"/>
      <c r="E685" s="2614"/>
      <c r="F685" s="2614"/>
      <c r="G685" s="2614"/>
      <c r="H685" s="2614"/>
      <c r="I685" s="2595">
        <f t="shared" si="21"/>
        <v>0</v>
      </c>
    </row>
    <row r="686" spans="1:9" ht="15" hidden="1" customHeight="1" x14ac:dyDescent="0.2">
      <c r="A686" s="3003">
        <f t="shared" ref="A686:A703" si="22">A685+0.001</f>
        <v>49.640999999998506</v>
      </c>
      <c r="B686" s="2512"/>
      <c r="C686" s="2614"/>
      <c r="D686" s="2614"/>
      <c r="E686" s="2614"/>
      <c r="F686" s="2614"/>
      <c r="G686" s="2614"/>
      <c r="H686" s="2614"/>
      <c r="I686" s="2595">
        <f t="shared" si="21"/>
        <v>0</v>
      </c>
    </row>
    <row r="687" spans="1:9" ht="15" hidden="1" customHeight="1" x14ac:dyDescent="0.2">
      <c r="A687" s="3003">
        <f t="shared" si="22"/>
        <v>49.641999999998504</v>
      </c>
      <c r="B687" s="2512"/>
      <c r="C687" s="2614"/>
      <c r="D687" s="2614"/>
      <c r="E687" s="2614"/>
      <c r="F687" s="2614"/>
      <c r="G687" s="2614"/>
      <c r="H687" s="2614"/>
      <c r="I687" s="2595">
        <f t="shared" si="21"/>
        <v>0</v>
      </c>
    </row>
    <row r="688" spans="1:9" ht="15" hidden="1" customHeight="1" x14ac:dyDescent="0.2">
      <c r="A688" s="3003">
        <f t="shared" si="22"/>
        <v>49.642999999998501</v>
      </c>
      <c r="B688" s="2512"/>
      <c r="C688" s="2614"/>
      <c r="D688" s="2614"/>
      <c r="E688" s="2488"/>
      <c r="F688" s="2614"/>
      <c r="G688" s="2614"/>
      <c r="H688" s="2614"/>
      <c r="I688" s="2595">
        <f t="shared" si="21"/>
        <v>0</v>
      </c>
    </row>
    <row r="689" spans="1:9" ht="15" hidden="1" customHeight="1" x14ac:dyDescent="0.2">
      <c r="A689" s="3003">
        <f t="shared" si="22"/>
        <v>49.643999999998499</v>
      </c>
      <c r="B689" s="2512"/>
      <c r="C689" s="2614"/>
      <c r="D689" s="2488"/>
      <c r="E689" s="2488"/>
      <c r="F689" s="2488"/>
      <c r="G689" s="2614"/>
      <c r="H689" s="2488"/>
      <c r="I689" s="2595">
        <f t="shared" si="21"/>
        <v>0</v>
      </c>
    </row>
    <row r="690" spans="1:9" ht="15" hidden="1" customHeight="1" x14ac:dyDescent="0.2">
      <c r="A690" s="3003">
        <f t="shared" si="22"/>
        <v>49.644999999998497</v>
      </c>
      <c r="B690" s="2512"/>
      <c r="C690" s="2488"/>
      <c r="D690" s="2488"/>
      <c r="E690" s="2488"/>
      <c r="F690" s="2488"/>
      <c r="G690" s="2614"/>
      <c r="H690" s="2488"/>
      <c r="I690" s="2595">
        <f t="shared" si="21"/>
        <v>0</v>
      </c>
    </row>
    <row r="691" spans="1:9" ht="15" hidden="1" customHeight="1" x14ac:dyDescent="0.2">
      <c r="A691" s="3003">
        <f t="shared" si="22"/>
        <v>49.645999999998494</v>
      </c>
      <c r="B691" s="2512"/>
      <c r="C691" s="2614"/>
      <c r="D691" s="2614"/>
      <c r="E691" s="2614"/>
      <c r="F691" s="2614"/>
      <c r="G691" s="2488"/>
      <c r="H691" s="2614"/>
      <c r="I691" s="2595">
        <f t="shared" si="21"/>
        <v>0</v>
      </c>
    </row>
    <row r="692" spans="1:9" ht="15" hidden="1" customHeight="1" x14ac:dyDescent="0.2">
      <c r="A692" s="3003">
        <f t="shared" si="22"/>
        <v>49.646999999998492</v>
      </c>
      <c r="B692" s="2512"/>
      <c r="C692" s="2614"/>
      <c r="D692" s="2614"/>
      <c r="E692" s="2614"/>
      <c r="F692" s="2614"/>
      <c r="G692" s="2488"/>
      <c r="H692" s="2614"/>
      <c r="I692" s="2595">
        <f t="shared" si="21"/>
        <v>0</v>
      </c>
    </row>
    <row r="693" spans="1:9" ht="15" hidden="1" customHeight="1" x14ac:dyDescent="0.2">
      <c r="A693" s="3003">
        <f t="shared" si="22"/>
        <v>49.64799999999849</v>
      </c>
      <c r="B693" s="2512"/>
      <c r="C693" s="2614"/>
      <c r="D693" s="2614"/>
      <c r="E693" s="2614"/>
      <c r="F693" s="2614"/>
      <c r="G693" s="2488"/>
      <c r="H693" s="2614"/>
      <c r="I693" s="2595">
        <f t="shared" si="21"/>
        <v>0</v>
      </c>
    </row>
    <row r="694" spans="1:9" ht="15" hidden="1" customHeight="1" x14ac:dyDescent="0.2">
      <c r="A694" s="3003">
        <f t="shared" si="22"/>
        <v>49.648999999998487</v>
      </c>
      <c r="B694" s="2512"/>
      <c r="C694" s="2614"/>
      <c r="D694" s="2614"/>
      <c r="E694" s="2614"/>
      <c r="F694" s="2614"/>
      <c r="G694" s="2488"/>
      <c r="H694" s="2614"/>
      <c r="I694" s="2595">
        <f t="shared" ref="I694:I703" si="23">B694</f>
        <v>0</v>
      </c>
    </row>
    <row r="695" spans="1:9" ht="15" hidden="1" customHeight="1" x14ac:dyDescent="0.2">
      <c r="A695" s="3003">
        <f t="shared" si="22"/>
        <v>49.649999999998485</v>
      </c>
      <c r="B695" s="2512"/>
      <c r="C695" s="2614"/>
      <c r="D695" s="2614"/>
      <c r="E695" s="2614"/>
      <c r="F695" s="2614"/>
      <c r="G695" s="2488"/>
      <c r="H695" s="2614"/>
      <c r="I695" s="2595">
        <f t="shared" si="23"/>
        <v>0</v>
      </c>
    </row>
    <row r="696" spans="1:9" ht="15" hidden="1" customHeight="1" x14ac:dyDescent="0.2">
      <c r="A696" s="3003">
        <f t="shared" si="22"/>
        <v>49.650999999998483</v>
      </c>
      <c r="B696" s="2512"/>
      <c r="C696" s="2614"/>
      <c r="D696" s="2614"/>
      <c r="E696" s="2488"/>
      <c r="F696" s="2614"/>
      <c r="G696" s="2488"/>
      <c r="H696" s="2614"/>
      <c r="I696" s="2595">
        <f t="shared" si="23"/>
        <v>0</v>
      </c>
    </row>
    <row r="697" spans="1:9" ht="15" hidden="1" customHeight="1" x14ac:dyDescent="0.2">
      <c r="A697" s="3003">
        <f t="shared" si="22"/>
        <v>49.65199999999848</v>
      </c>
      <c r="B697" s="2512"/>
      <c r="C697" s="2614"/>
      <c r="D697" s="2614"/>
      <c r="E697" s="2614"/>
      <c r="F697" s="2614"/>
      <c r="G697" s="2488"/>
      <c r="H697" s="2614"/>
      <c r="I697" s="2595">
        <f t="shared" si="23"/>
        <v>0</v>
      </c>
    </row>
    <row r="698" spans="1:9" ht="15" hidden="1" customHeight="1" x14ac:dyDescent="0.2">
      <c r="A698" s="3003">
        <f t="shared" si="22"/>
        <v>49.652999999998478</v>
      </c>
      <c r="B698" s="2512"/>
      <c r="C698" s="2614"/>
      <c r="D698" s="2614"/>
      <c r="E698" s="2488"/>
      <c r="F698" s="2614"/>
      <c r="G698" s="2488"/>
      <c r="H698" s="2614"/>
      <c r="I698" s="2595">
        <f t="shared" si="23"/>
        <v>0</v>
      </c>
    </row>
    <row r="699" spans="1:9" ht="15" hidden="1" customHeight="1" x14ac:dyDescent="0.2">
      <c r="A699" s="3003">
        <f t="shared" si="22"/>
        <v>49.653999999998476</v>
      </c>
      <c r="B699" s="2512"/>
      <c r="C699" s="2614"/>
      <c r="D699" s="2614"/>
      <c r="E699" s="2614"/>
      <c r="F699" s="2614"/>
      <c r="G699" s="2488"/>
      <c r="H699" s="2614"/>
      <c r="I699" s="2595">
        <f t="shared" si="23"/>
        <v>0</v>
      </c>
    </row>
    <row r="700" spans="1:9" ht="15" hidden="1" customHeight="1" x14ac:dyDescent="0.2">
      <c r="A700" s="3003">
        <f t="shared" si="22"/>
        <v>49.654999999998473</v>
      </c>
      <c r="B700" s="2512"/>
      <c r="C700" s="2614"/>
      <c r="D700" s="2614"/>
      <c r="E700" s="2614"/>
      <c r="F700" s="2614"/>
      <c r="G700" s="2488"/>
      <c r="H700" s="2614"/>
      <c r="I700" s="2595">
        <f t="shared" si="23"/>
        <v>0</v>
      </c>
    </row>
    <row r="701" spans="1:9" ht="15" hidden="1" customHeight="1" x14ac:dyDescent="0.2">
      <c r="A701" s="3003">
        <f t="shared" si="22"/>
        <v>49.655999999998471</v>
      </c>
      <c r="B701" s="2512"/>
      <c r="C701" s="2614"/>
      <c r="D701" s="2488"/>
      <c r="E701" s="2488"/>
      <c r="F701" s="2488"/>
      <c r="G701" s="2488"/>
      <c r="H701" s="2488"/>
      <c r="I701" s="2595">
        <f t="shared" si="23"/>
        <v>0</v>
      </c>
    </row>
    <row r="702" spans="1:9" ht="15" hidden="1" customHeight="1" x14ac:dyDescent="0.2">
      <c r="A702" s="3003">
        <f t="shared" si="22"/>
        <v>49.656999999998469</v>
      </c>
      <c r="B702" s="2512"/>
      <c r="C702" s="2488"/>
      <c r="D702" s="2488"/>
      <c r="E702" s="2488"/>
      <c r="F702" s="2488"/>
      <c r="G702" s="2488"/>
      <c r="H702" s="2488"/>
      <c r="I702" s="2595">
        <f t="shared" si="23"/>
        <v>0</v>
      </c>
    </row>
    <row r="703" spans="1:9" ht="15" hidden="1" customHeight="1" x14ac:dyDescent="0.2">
      <c r="A703" s="3003">
        <f t="shared" si="22"/>
        <v>49.657999999998466</v>
      </c>
      <c r="B703" s="2512"/>
      <c r="C703" s="2614"/>
      <c r="D703" s="2614"/>
      <c r="E703" s="2614"/>
      <c r="F703" s="2614"/>
      <c r="G703" s="2488"/>
      <c r="H703" s="2614"/>
      <c r="I703" s="2595">
        <f t="shared" si="23"/>
        <v>0</v>
      </c>
    </row>
    <row r="704" spans="1:9" ht="15" hidden="1" customHeight="1" x14ac:dyDescent="0.2">
      <c r="A704" s="2752">
        <v>50</v>
      </c>
      <c r="B704" s="2512"/>
      <c r="C704" s="2614"/>
      <c r="D704" s="2614"/>
      <c r="E704" s="2488"/>
      <c r="F704" s="2614"/>
      <c r="G704" s="2488"/>
      <c r="H704" s="2614"/>
      <c r="I704" s="2595">
        <f>B703</f>
        <v>0</v>
      </c>
    </row>
    <row r="705" spans="1:9" ht="15" hidden="1" customHeight="1" x14ac:dyDescent="0.2">
      <c r="A705" s="2614"/>
      <c r="B705" s="2512"/>
      <c r="C705" s="2614"/>
      <c r="D705" s="2614"/>
      <c r="E705" s="2614"/>
      <c r="F705" s="2614"/>
      <c r="G705" s="2488"/>
      <c r="H705" s="2614"/>
      <c r="I705" s="2479"/>
    </row>
    <row r="706" spans="1:9" ht="15" hidden="1" customHeight="1" x14ac:dyDescent="0.2">
      <c r="A706" s="2614"/>
      <c r="B706" s="2512"/>
      <c r="C706" s="2614"/>
      <c r="D706" s="2488"/>
      <c r="E706" s="2488"/>
      <c r="F706" s="2488"/>
      <c r="G706" s="2488"/>
      <c r="H706" s="2488"/>
      <c r="I706" s="2479"/>
    </row>
    <row r="707" spans="1:9" ht="15" customHeight="1" x14ac:dyDescent="0.2">
      <c r="A707" s="2537"/>
      <c r="B707" s="2536"/>
      <c r="C707" s="2537"/>
      <c r="D707" s="2516"/>
      <c r="E707" s="2516"/>
      <c r="F707" s="2516"/>
      <c r="G707" s="2516"/>
      <c r="H707" s="2516"/>
    </row>
    <row r="708" spans="1:9" ht="15" customHeight="1" x14ac:dyDescent="0.2"/>
    <row r="709" spans="1:9" ht="15" customHeight="1" x14ac:dyDescent="0.2"/>
    <row r="710" spans="1:9" ht="15" customHeight="1" x14ac:dyDescent="0.2"/>
    <row r="711" spans="1:9" ht="15" customHeight="1" x14ac:dyDescent="0.2"/>
    <row r="712" spans="1:9" ht="15" customHeight="1" x14ac:dyDescent="0.2"/>
  </sheetData>
  <mergeCells count="5">
    <mergeCell ref="A2:H2"/>
    <mergeCell ref="A3:H3"/>
    <mergeCell ref="A4:H4"/>
    <mergeCell ref="A5:H5"/>
    <mergeCell ref="A6:A7"/>
  </mergeCells>
  <pageMargins left="0.75" right="0.75" top="1" bottom="1" header="0.5" footer="0.5"/>
  <customProperties>
    <customPr name="_pios_id" r:id="rId1"/>
  </customProperties>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2A1264-7566-41BD-8AD7-06BB79D409AE}">
  <sheetPr codeName="Sheet83"/>
  <dimension ref="A1:N105"/>
  <sheetViews>
    <sheetView workbookViewId="0">
      <pane xSplit="1" ySplit="9" topLeftCell="B10" activePane="bottomRight" state="frozen"/>
      <selection pane="topRight"/>
      <selection pane="bottomLeft"/>
      <selection pane="bottomRight"/>
    </sheetView>
  </sheetViews>
  <sheetFormatPr defaultColWidth="11.5" defaultRowHeight="12.75" x14ac:dyDescent="0.2"/>
  <cols>
    <col min="1" max="1" width="3.875" style="1953" customWidth="1"/>
    <col min="2" max="2" width="69.25" style="1953" customWidth="1"/>
    <col min="3" max="6" width="11.25" style="1953" customWidth="1"/>
    <col min="7" max="7" width="12" style="1953" customWidth="1"/>
    <col min="8" max="8" width="9.125" style="1953" customWidth="1"/>
    <col min="9" max="9" width="10.75" style="1953" customWidth="1"/>
    <col min="10" max="10" width="13" style="1953" customWidth="1"/>
    <col min="11" max="11" width="9.75" style="1953" customWidth="1"/>
    <col min="12" max="13" width="14.875" style="1953" customWidth="1"/>
    <col min="14" max="14" width="59.875" style="1953" customWidth="1"/>
    <col min="15" max="25" width="17.625" style="1953" customWidth="1"/>
    <col min="26" max="16384" width="11.5" style="1953"/>
  </cols>
  <sheetData>
    <row r="1" spans="1:14" ht="16.7" customHeight="1" x14ac:dyDescent="0.2"/>
    <row r="2" spans="1:14" ht="16.7" customHeight="1" x14ac:dyDescent="0.2"/>
    <row r="3" spans="1:14" ht="15.75" customHeight="1" x14ac:dyDescent="0.2">
      <c r="A3" s="3932" t="s">
        <v>10024</v>
      </c>
      <c r="B3" s="3975"/>
      <c r="C3" s="3975"/>
      <c r="D3" s="3975"/>
      <c r="E3" s="3975"/>
      <c r="F3" s="3975"/>
      <c r="G3" s="3975"/>
      <c r="H3" s="3975"/>
      <c r="I3" s="3975"/>
      <c r="J3" s="3975"/>
      <c r="K3" s="3975"/>
      <c r="L3" s="3975"/>
      <c r="M3" s="3976"/>
      <c r="N3" s="2479"/>
    </row>
    <row r="4" spans="1:14" ht="15.75" customHeight="1" x14ac:dyDescent="0.2">
      <c r="A4" s="3882" t="s">
        <v>10025</v>
      </c>
      <c r="B4" s="3891"/>
      <c r="C4" s="3891"/>
      <c r="D4" s="3891"/>
      <c r="E4" s="3891"/>
      <c r="F4" s="3891"/>
      <c r="G4" s="3891"/>
      <c r="H4" s="3891"/>
      <c r="I4" s="3891"/>
      <c r="J4" s="3891"/>
      <c r="K4" s="3891"/>
      <c r="L4" s="3891"/>
      <c r="M4" s="3892"/>
      <c r="N4" s="2479"/>
    </row>
    <row r="5" spans="1:14" ht="32.450000000000003" customHeight="1" x14ac:dyDescent="0.2">
      <c r="A5" s="3878" t="s">
        <v>10026</v>
      </c>
      <c r="B5" s="4048"/>
      <c r="C5" s="4048"/>
      <c r="D5" s="4048"/>
      <c r="E5" s="4048"/>
      <c r="F5" s="4049"/>
      <c r="G5" s="4009" t="s">
        <v>10027</v>
      </c>
      <c r="H5" s="4010"/>
      <c r="I5" s="4010"/>
      <c r="J5" s="4010"/>
      <c r="K5" s="4010"/>
      <c r="L5" s="4010"/>
      <c r="M5" s="4011"/>
      <c r="N5" s="2479"/>
    </row>
    <row r="6" spans="1:14" ht="15.75" customHeight="1" x14ac:dyDescent="0.2">
      <c r="A6" s="3944" t="s">
        <v>6360</v>
      </c>
      <c r="B6" s="3944" t="s">
        <v>10028</v>
      </c>
      <c r="C6" s="3944" t="s">
        <v>10029</v>
      </c>
      <c r="D6" s="3944" t="s">
        <v>10030</v>
      </c>
      <c r="E6" s="3944" t="s">
        <v>10031</v>
      </c>
      <c r="F6" s="3944" t="s">
        <v>10032</v>
      </c>
      <c r="G6" s="3900" t="s">
        <v>10033</v>
      </c>
      <c r="H6" s="3901"/>
      <c r="I6" s="3901"/>
      <c r="J6" s="3902"/>
      <c r="K6" s="3900" t="s">
        <v>10034</v>
      </c>
      <c r="L6" s="3901"/>
      <c r="M6" s="3902"/>
      <c r="N6" s="2479"/>
    </row>
    <row r="7" spans="1:14" ht="15.75" customHeight="1" x14ac:dyDescent="0.2">
      <c r="A7" s="3945"/>
      <c r="B7" s="3945"/>
      <c r="C7" s="3945"/>
      <c r="D7" s="3945"/>
      <c r="E7" s="3945"/>
      <c r="F7" s="3945"/>
      <c r="G7" s="3938" t="s">
        <v>10035</v>
      </c>
      <c r="H7" s="4015"/>
      <c r="I7" s="3937"/>
      <c r="J7" s="4076" t="s">
        <v>10036</v>
      </c>
      <c r="K7" s="4076" t="s">
        <v>10037</v>
      </c>
      <c r="L7" s="4076" t="s">
        <v>441</v>
      </c>
      <c r="M7" s="4076" t="s">
        <v>10038</v>
      </c>
      <c r="N7" s="2479"/>
    </row>
    <row r="8" spans="1:14" ht="23.25" customHeight="1" x14ac:dyDescent="0.2">
      <c r="A8" s="3945"/>
      <c r="B8" s="3945"/>
      <c r="C8" s="3945"/>
      <c r="D8" s="3945"/>
      <c r="E8" s="3945"/>
      <c r="F8" s="3945"/>
      <c r="G8" s="2740" t="s">
        <v>10039</v>
      </c>
      <c r="H8" s="2740" t="s">
        <v>10040</v>
      </c>
      <c r="I8" s="2740" t="s">
        <v>441</v>
      </c>
      <c r="J8" s="4079"/>
      <c r="K8" s="4079"/>
      <c r="L8" s="4079"/>
      <c r="M8" s="4079"/>
      <c r="N8" s="2479"/>
    </row>
    <row r="9" spans="1:14" ht="15.75" customHeight="1" x14ac:dyDescent="0.2">
      <c r="A9" s="4078"/>
      <c r="B9" s="2589" t="s">
        <v>5949</v>
      </c>
      <c r="C9" s="2589" t="s">
        <v>5950</v>
      </c>
      <c r="D9" s="2589" t="s">
        <v>5951</v>
      </c>
      <c r="E9" s="2589" t="s">
        <v>5952</v>
      </c>
      <c r="F9" s="2589" t="s">
        <v>6227</v>
      </c>
      <c r="G9" s="2633" t="s">
        <v>5804</v>
      </c>
      <c r="H9" s="2633" t="s">
        <v>6228</v>
      </c>
      <c r="I9" s="2633" t="s">
        <v>6229</v>
      </c>
      <c r="J9" s="2633" t="s">
        <v>6230</v>
      </c>
      <c r="K9" s="2633" t="s">
        <v>6231</v>
      </c>
      <c r="L9" s="2633" t="s">
        <v>6232</v>
      </c>
      <c r="M9" s="2633" t="s">
        <v>6233</v>
      </c>
      <c r="N9" s="2479" t="s">
        <v>6324</v>
      </c>
    </row>
    <row r="10" spans="1:14" ht="15.75" customHeight="1" x14ac:dyDescent="0.2">
      <c r="A10" s="2752">
        <v>1</v>
      </c>
      <c r="B10" s="2512" t="s">
        <v>10041</v>
      </c>
      <c r="C10" s="2530">
        <v>6841260</v>
      </c>
      <c r="D10" s="2488"/>
      <c r="E10" s="2645">
        <v>6841260</v>
      </c>
      <c r="F10" s="2488"/>
      <c r="G10" s="2512" t="s">
        <v>511</v>
      </c>
      <c r="H10" s="2771">
        <v>928</v>
      </c>
      <c r="I10" s="2530">
        <v>6841260</v>
      </c>
      <c r="J10" s="2488"/>
      <c r="K10" s="2488"/>
      <c r="L10" s="2488"/>
      <c r="M10" s="2488"/>
      <c r="N10" s="2479" t="str">
        <f t="shared" ref="N10:N54" si="0">B10</f>
        <v>Utah Public Service Commission: Annual Fee</v>
      </c>
    </row>
    <row r="11" spans="1:14" ht="15.75" customHeight="1" x14ac:dyDescent="0.2">
      <c r="A11" s="2752">
        <v>2</v>
      </c>
      <c r="B11" s="2512" t="s">
        <v>10042</v>
      </c>
      <c r="C11" s="2488"/>
      <c r="D11" s="2530">
        <v>165040</v>
      </c>
      <c r="E11" s="2645">
        <v>165040</v>
      </c>
      <c r="F11" s="2614"/>
      <c r="G11" s="2512" t="s">
        <v>511</v>
      </c>
      <c r="H11" s="2771">
        <v>928</v>
      </c>
      <c r="I11" s="2530">
        <v>165040</v>
      </c>
      <c r="J11" s="2488"/>
      <c r="K11" s="2489"/>
      <c r="L11" s="2614"/>
      <c r="M11" s="2614"/>
      <c r="N11" s="2479" t="str">
        <f t="shared" si="0"/>
        <v>Utah Public Service Commission: Rate Cases and Proceedings</v>
      </c>
    </row>
    <row r="12" spans="1:14" ht="15.75" customHeight="1" x14ac:dyDescent="0.2">
      <c r="A12" s="2752">
        <v>3</v>
      </c>
      <c r="B12" s="2512"/>
      <c r="C12" s="2614"/>
      <c r="D12" s="2614"/>
      <c r="E12" s="2562"/>
      <c r="F12" s="2488"/>
      <c r="G12" s="2512"/>
      <c r="H12" s="2614"/>
      <c r="I12" s="2614"/>
      <c r="J12" s="2488"/>
      <c r="K12" s="2488"/>
      <c r="L12" s="2488"/>
      <c r="M12" s="2488"/>
      <c r="N12" s="2595">
        <f t="shared" si="0"/>
        <v>0</v>
      </c>
    </row>
    <row r="13" spans="1:14" ht="15.75" customHeight="1" x14ac:dyDescent="0.2">
      <c r="A13" s="2752">
        <v>4</v>
      </c>
      <c r="B13" s="2488" t="s">
        <v>10043</v>
      </c>
      <c r="C13" s="2530">
        <v>6951566</v>
      </c>
      <c r="D13" s="2488"/>
      <c r="E13" s="2645">
        <v>6951566</v>
      </c>
      <c r="F13" s="2488"/>
      <c r="G13" s="2488" t="s">
        <v>511</v>
      </c>
      <c r="H13" s="2760">
        <v>928</v>
      </c>
      <c r="I13" s="2530">
        <v>6951566</v>
      </c>
      <c r="J13" s="2488"/>
      <c r="K13" s="2488"/>
      <c r="L13" s="2488"/>
      <c r="M13" s="2488"/>
      <c r="N13" s="2479" t="str">
        <f t="shared" si="0"/>
        <v>Oregon Public Utility Commission: Annual Fee</v>
      </c>
    </row>
    <row r="14" spans="1:14" ht="15.75" customHeight="1" x14ac:dyDescent="0.2">
      <c r="A14" s="2752">
        <v>5</v>
      </c>
      <c r="B14" s="2488" t="s">
        <v>10044</v>
      </c>
      <c r="C14" s="2488"/>
      <c r="D14" s="2530">
        <v>1389856</v>
      </c>
      <c r="E14" s="2645">
        <v>1389856</v>
      </c>
      <c r="F14" s="2488"/>
      <c r="G14" s="2488" t="s">
        <v>511</v>
      </c>
      <c r="H14" s="2760">
        <v>928</v>
      </c>
      <c r="I14" s="2530">
        <v>1389856</v>
      </c>
      <c r="J14" s="2488"/>
      <c r="K14" s="2488"/>
      <c r="L14" s="2488"/>
      <c r="M14" s="2488"/>
      <c r="N14" s="2479" t="str">
        <f t="shared" si="0"/>
        <v>Oregon Public Utility Commission: Rate Cases and Proceedings</v>
      </c>
    </row>
    <row r="15" spans="1:14" ht="15.75" customHeight="1" x14ac:dyDescent="0.2">
      <c r="A15" s="2752">
        <v>6</v>
      </c>
      <c r="B15" s="2488" t="s">
        <v>10045</v>
      </c>
      <c r="C15" s="2488"/>
      <c r="D15" s="2488"/>
      <c r="E15" s="2645">
        <v>0</v>
      </c>
      <c r="F15" s="2530">
        <v>3028580</v>
      </c>
      <c r="G15" s="2488"/>
      <c r="H15" s="2488"/>
      <c r="I15" s="2488"/>
      <c r="J15" s="2530">
        <v>778515</v>
      </c>
      <c r="K15" s="2760">
        <v>928</v>
      </c>
      <c r="L15" s="2530">
        <v>1118762</v>
      </c>
      <c r="M15" s="2530">
        <v>2688333</v>
      </c>
      <c r="N15" s="2479" t="str">
        <f t="shared" si="0"/>
        <v>Oregon Public Utility Commission: Deferred Intervenor Funding Grants</v>
      </c>
    </row>
    <row r="16" spans="1:14" ht="15.75" customHeight="1" x14ac:dyDescent="0.2">
      <c r="A16" s="2752">
        <v>7</v>
      </c>
      <c r="B16" s="2488"/>
      <c r="C16" s="2488"/>
      <c r="D16" s="2488"/>
      <c r="E16" s="2562"/>
      <c r="F16" s="2488"/>
      <c r="G16" s="2488"/>
      <c r="H16" s="2488"/>
      <c r="I16" s="2488"/>
      <c r="J16" s="2488"/>
      <c r="K16" s="2488"/>
      <c r="L16" s="2488"/>
      <c r="M16" s="2488"/>
      <c r="N16" s="2595">
        <f t="shared" si="0"/>
        <v>0</v>
      </c>
    </row>
    <row r="17" spans="1:14" ht="15.75" customHeight="1" x14ac:dyDescent="0.2">
      <c r="A17" s="2752">
        <v>8</v>
      </c>
      <c r="B17" s="2488" t="s">
        <v>10046</v>
      </c>
      <c r="C17" s="2530">
        <v>1809484</v>
      </c>
      <c r="D17" s="2488"/>
      <c r="E17" s="2645">
        <v>1809484</v>
      </c>
      <c r="F17" s="2488"/>
      <c r="G17" s="2488" t="s">
        <v>511</v>
      </c>
      <c r="H17" s="2760">
        <v>928</v>
      </c>
      <c r="I17" s="2530">
        <v>1809484</v>
      </c>
      <c r="J17" s="2488"/>
      <c r="K17" s="2488"/>
      <c r="L17" s="2488"/>
      <c r="M17" s="2488"/>
      <c r="N17" s="2479" t="str">
        <f t="shared" si="0"/>
        <v>Wyoming Public Service Commission: Annual Fee</v>
      </c>
    </row>
    <row r="18" spans="1:14" ht="15.75" customHeight="1" x14ac:dyDescent="0.2">
      <c r="A18" s="2752">
        <v>9</v>
      </c>
      <c r="B18" s="2488" t="s">
        <v>10047</v>
      </c>
      <c r="C18" s="2488"/>
      <c r="D18" s="2530">
        <v>1019685</v>
      </c>
      <c r="E18" s="2645">
        <v>1019685</v>
      </c>
      <c r="F18" s="2488"/>
      <c r="G18" s="2488" t="s">
        <v>511</v>
      </c>
      <c r="H18" s="2760">
        <v>928</v>
      </c>
      <c r="I18" s="2530">
        <v>1019685</v>
      </c>
      <c r="J18" s="2488"/>
      <c r="K18" s="2488"/>
      <c r="L18" s="2488"/>
      <c r="M18" s="2488"/>
      <c r="N18" s="2479" t="str">
        <f t="shared" si="0"/>
        <v>Wyoming Public Service Commission: Rate Cases and Proceedings</v>
      </c>
    </row>
    <row r="19" spans="1:14" ht="15.75" customHeight="1" x14ac:dyDescent="0.2">
      <c r="A19" s="2752">
        <v>10</v>
      </c>
      <c r="B19" s="2488"/>
      <c r="C19" s="2488"/>
      <c r="D19" s="2488"/>
      <c r="E19" s="2562"/>
      <c r="F19" s="2488"/>
      <c r="G19" s="2488"/>
      <c r="H19" s="2488"/>
      <c r="I19" s="2488"/>
      <c r="J19" s="2488"/>
      <c r="K19" s="2488"/>
      <c r="L19" s="2488"/>
      <c r="M19" s="2488"/>
      <c r="N19" s="2595">
        <f t="shared" si="0"/>
        <v>0</v>
      </c>
    </row>
    <row r="20" spans="1:14" ht="15.75" customHeight="1" x14ac:dyDescent="0.2">
      <c r="A20" s="2752">
        <v>11</v>
      </c>
      <c r="B20" s="2488" t="s">
        <v>10048</v>
      </c>
      <c r="C20" s="2530">
        <v>1609062</v>
      </c>
      <c r="D20" s="2488"/>
      <c r="E20" s="2645">
        <v>1609062</v>
      </c>
      <c r="F20" s="2488"/>
      <c r="G20" s="2488" t="s">
        <v>511</v>
      </c>
      <c r="H20" s="2760">
        <v>928</v>
      </c>
      <c r="I20" s="2530">
        <v>1609062</v>
      </c>
      <c r="J20" s="2488"/>
      <c r="K20" s="2488"/>
      <c r="L20" s="2488"/>
      <c r="M20" s="2488"/>
      <c r="N20" s="2479" t="str">
        <f t="shared" si="0"/>
        <v>Washington Utilities and Transportation Commission: Annual Fee</v>
      </c>
    </row>
    <row r="21" spans="1:14" ht="15.75" customHeight="1" x14ac:dyDescent="0.2">
      <c r="A21" s="2752">
        <v>12</v>
      </c>
      <c r="B21" s="2488" t="s">
        <v>10049</v>
      </c>
      <c r="C21" s="2488"/>
      <c r="D21" s="2530">
        <v>461457</v>
      </c>
      <c r="E21" s="2645">
        <v>461457</v>
      </c>
      <c r="F21" s="2488"/>
      <c r="G21" s="2488" t="s">
        <v>511</v>
      </c>
      <c r="H21" s="2760">
        <v>928</v>
      </c>
      <c r="I21" s="2530">
        <v>461457</v>
      </c>
      <c r="J21" s="2488"/>
      <c r="K21" s="2488"/>
      <c r="L21" s="2488"/>
      <c r="M21" s="2488"/>
      <c r="N21" s="2479" t="str">
        <f t="shared" si="0"/>
        <v>Washington Utilities and Transportation Commission: Rate Cases and Proceedings</v>
      </c>
    </row>
    <row r="22" spans="1:14" ht="15.75" customHeight="1" x14ac:dyDescent="0.2">
      <c r="A22" s="2752">
        <v>13</v>
      </c>
      <c r="B22" s="2488" t="s">
        <v>10050</v>
      </c>
      <c r="C22" s="2488"/>
      <c r="D22" s="2488"/>
      <c r="E22" s="2645">
        <v>0</v>
      </c>
      <c r="F22" s="2530">
        <v>0</v>
      </c>
      <c r="G22" s="2488"/>
      <c r="H22" s="2488"/>
      <c r="I22" s="2530">
        <v>0</v>
      </c>
      <c r="J22" s="2530">
        <v>300000</v>
      </c>
      <c r="K22" s="2488"/>
      <c r="L22" s="2488"/>
      <c r="M22" s="2530">
        <v>300000</v>
      </c>
      <c r="N22" s="2479" t="str">
        <f t="shared" si="0"/>
        <v>Washington Utilities and Transportation Commission: Deferred Intervenor Funding Grants</v>
      </c>
    </row>
    <row r="23" spans="1:14" ht="15.75" customHeight="1" x14ac:dyDescent="0.2">
      <c r="A23" s="2752">
        <v>14</v>
      </c>
      <c r="B23" s="2488"/>
      <c r="C23" s="2488"/>
      <c r="D23" s="2488"/>
      <c r="E23" s="2562"/>
      <c r="F23" s="2488"/>
      <c r="G23" s="2488"/>
      <c r="H23" s="2488"/>
      <c r="I23" s="2488"/>
      <c r="J23" s="2488"/>
      <c r="K23" s="2488"/>
      <c r="L23" s="2488"/>
      <c r="M23" s="2488"/>
      <c r="N23" s="2595">
        <f t="shared" si="0"/>
        <v>0</v>
      </c>
    </row>
    <row r="24" spans="1:14" ht="15.75" customHeight="1" x14ac:dyDescent="0.2">
      <c r="A24" s="2752">
        <v>15</v>
      </c>
      <c r="B24" s="2488" t="s">
        <v>10051</v>
      </c>
      <c r="C24" s="2530">
        <v>606061</v>
      </c>
      <c r="D24" s="2488"/>
      <c r="E24" s="2645">
        <v>606061</v>
      </c>
      <c r="F24" s="2488"/>
      <c r="G24" s="2488" t="s">
        <v>511</v>
      </c>
      <c r="H24" s="2760">
        <v>928</v>
      </c>
      <c r="I24" s="2530">
        <v>606061</v>
      </c>
      <c r="J24" s="2488"/>
      <c r="K24" s="2488"/>
      <c r="L24" s="2488"/>
      <c r="M24" s="2488"/>
      <c r="N24" s="2479" t="str">
        <f t="shared" si="0"/>
        <v>Idaho Public Utilities Commission: Annual Fee</v>
      </c>
    </row>
    <row r="25" spans="1:14" ht="15.75" customHeight="1" x14ac:dyDescent="0.2">
      <c r="A25" s="2752">
        <v>16</v>
      </c>
      <c r="B25" s="2488" t="s">
        <v>10052</v>
      </c>
      <c r="C25" s="2488"/>
      <c r="D25" s="2530">
        <v>25463</v>
      </c>
      <c r="E25" s="2645">
        <v>25463</v>
      </c>
      <c r="F25" s="2488"/>
      <c r="G25" s="2488" t="s">
        <v>511</v>
      </c>
      <c r="H25" s="2760">
        <v>928</v>
      </c>
      <c r="I25" s="2530">
        <v>25463</v>
      </c>
      <c r="J25" s="2488"/>
      <c r="K25" s="2488"/>
      <c r="L25" s="2488"/>
      <c r="M25" s="2488"/>
      <c r="N25" s="2479" t="str">
        <f t="shared" si="0"/>
        <v>Idaho Public Utilities Commission: Rate Cases and Proceedings</v>
      </c>
    </row>
    <row r="26" spans="1:14" ht="15.75" customHeight="1" x14ac:dyDescent="0.2">
      <c r="A26" s="2752">
        <v>17</v>
      </c>
      <c r="B26" s="2488" t="s">
        <v>10053</v>
      </c>
      <c r="C26" s="2488"/>
      <c r="D26" s="2488"/>
      <c r="E26" s="2645">
        <v>0</v>
      </c>
      <c r="F26" s="2530">
        <v>40000</v>
      </c>
      <c r="G26" s="2488"/>
      <c r="H26" s="2488"/>
      <c r="I26" s="2488"/>
      <c r="J26" s="2530">
        <v>0</v>
      </c>
      <c r="K26" s="2488"/>
      <c r="L26" s="2488"/>
      <c r="M26" s="2530">
        <v>40000</v>
      </c>
      <c r="N26" s="2479" t="str">
        <f t="shared" si="0"/>
        <v>Idaho Public Utilities Commission: Deferred Intervenor Funding Grants</v>
      </c>
    </row>
    <row r="27" spans="1:14" ht="15.75" customHeight="1" x14ac:dyDescent="0.2">
      <c r="A27" s="2752">
        <v>18</v>
      </c>
      <c r="B27" s="2488"/>
      <c r="C27" s="2488"/>
      <c r="D27" s="2488"/>
      <c r="E27" s="2562"/>
      <c r="F27" s="2488"/>
      <c r="G27" s="2488"/>
      <c r="H27" s="2488"/>
      <c r="I27" s="2488"/>
      <c r="J27" s="2488"/>
      <c r="K27" s="2488"/>
      <c r="L27" s="2488"/>
      <c r="M27" s="2488"/>
      <c r="N27" s="2595">
        <f t="shared" si="0"/>
        <v>0</v>
      </c>
    </row>
    <row r="28" spans="1:14" ht="15.75" customHeight="1" x14ac:dyDescent="0.2">
      <c r="A28" s="2752">
        <v>19</v>
      </c>
      <c r="B28" s="2488" t="s">
        <v>10054</v>
      </c>
      <c r="C28" s="2530">
        <v>6537</v>
      </c>
      <c r="D28" s="2488"/>
      <c r="E28" s="2645">
        <v>6537</v>
      </c>
      <c r="F28" s="2488"/>
      <c r="G28" s="2488" t="s">
        <v>511</v>
      </c>
      <c r="H28" s="2760">
        <v>928</v>
      </c>
      <c r="I28" s="2530">
        <v>6537</v>
      </c>
      <c r="J28" s="2488"/>
      <c r="K28" s="2488"/>
      <c r="L28" s="2488"/>
      <c r="M28" s="2488"/>
      <c r="N28" s="2479" t="str">
        <f t="shared" si="0"/>
        <v>California Public Utilities Commission: Annual Fee</v>
      </c>
    </row>
    <row r="29" spans="1:14" ht="15.75" customHeight="1" x14ac:dyDescent="0.2">
      <c r="A29" s="2752">
        <v>20</v>
      </c>
      <c r="B29" s="2488" t="s">
        <v>10055</v>
      </c>
      <c r="C29" s="2488"/>
      <c r="D29" s="2530">
        <v>849972</v>
      </c>
      <c r="E29" s="2645">
        <v>849972</v>
      </c>
      <c r="F29" s="2488"/>
      <c r="G29" s="2488" t="s">
        <v>511</v>
      </c>
      <c r="H29" s="2760">
        <v>928</v>
      </c>
      <c r="I29" s="2530">
        <v>849972</v>
      </c>
      <c r="J29" s="2488"/>
      <c r="K29" s="2488"/>
      <c r="L29" s="2488"/>
      <c r="M29" s="2488"/>
      <c r="N29" s="2479" t="str">
        <f t="shared" si="0"/>
        <v>California Public Utilities Commission: Rate Cases and Proceedings</v>
      </c>
    </row>
    <row r="30" spans="1:14" ht="15.75" customHeight="1" x14ac:dyDescent="0.2">
      <c r="A30" s="2752">
        <v>21</v>
      </c>
      <c r="B30" s="2488" t="s">
        <v>10056</v>
      </c>
      <c r="C30" s="2488"/>
      <c r="D30" s="2488"/>
      <c r="E30" s="2645">
        <v>0</v>
      </c>
      <c r="F30" s="2530">
        <v>404712</v>
      </c>
      <c r="G30" s="2488"/>
      <c r="H30" s="2488"/>
      <c r="I30" s="2488"/>
      <c r="J30" s="2530">
        <v>146829</v>
      </c>
      <c r="K30" s="2488"/>
      <c r="L30" s="2488"/>
      <c r="M30" s="2530">
        <v>551541</v>
      </c>
      <c r="N30" s="2479" t="str">
        <f t="shared" si="0"/>
        <v>California Public Utilities Commission: Deferred Intervenor Funding Grants</v>
      </c>
    </row>
    <row r="31" spans="1:14" ht="15.75" customHeight="1" x14ac:dyDescent="0.2">
      <c r="A31" s="2752">
        <v>22</v>
      </c>
      <c r="B31" s="2488"/>
      <c r="C31" s="2488"/>
      <c r="D31" s="2488"/>
      <c r="E31" s="2562"/>
      <c r="F31" s="2488"/>
      <c r="G31" s="2488"/>
      <c r="H31" s="2488"/>
      <c r="I31" s="2488"/>
      <c r="J31" s="2488"/>
      <c r="K31" s="2488"/>
      <c r="L31" s="2488"/>
      <c r="M31" s="2488"/>
      <c r="N31" s="2595">
        <f t="shared" si="0"/>
        <v>0</v>
      </c>
    </row>
    <row r="32" spans="1:14" ht="15.75" customHeight="1" x14ac:dyDescent="0.2">
      <c r="A32" s="2752">
        <v>23</v>
      </c>
      <c r="B32" s="2488" t="s">
        <v>10057</v>
      </c>
      <c r="C32" s="2530">
        <v>132879</v>
      </c>
      <c r="D32" s="2530">
        <v>46777</v>
      </c>
      <c r="E32" s="2645">
        <v>179656</v>
      </c>
      <c r="F32" s="2488"/>
      <c r="G32" s="2488" t="s">
        <v>511</v>
      </c>
      <c r="H32" s="2760">
        <v>928</v>
      </c>
      <c r="I32" s="2530">
        <v>179656</v>
      </c>
      <c r="J32" s="2488"/>
      <c r="K32" s="2488"/>
      <c r="L32" s="2488"/>
      <c r="M32" s="2488"/>
      <c r="N32" s="2479" t="str">
        <f t="shared" si="0"/>
        <v>California Environmental Protection Agency: Industry Compliance Fee</v>
      </c>
    </row>
    <row r="33" spans="1:14" ht="15.75" customHeight="1" x14ac:dyDescent="0.2">
      <c r="A33" s="2752">
        <v>24</v>
      </c>
      <c r="B33" s="2488"/>
      <c r="C33" s="2488"/>
      <c r="D33" s="2488"/>
      <c r="E33" s="2562"/>
      <c r="F33" s="2488"/>
      <c r="G33" s="2488"/>
      <c r="H33" s="2488"/>
      <c r="I33" s="2488"/>
      <c r="J33" s="2488"/>
      <c r="K33" s="2488"/>
      <c r="L33" s="2488"/>
      <c r="M33" s="2488"/>
      <c r="N33" s="2595">
        <f t="shared" si="0"/>
        <v>0</v>
      </c>
    </row>
    <row r="34" spans="1:14" ht="15.75" customHeight="1" x14ac:dyDescent="0.2">
      <c r="A34" s="2752">
        <v>25</v>
      </c>
      <c r="B34" s="2488" t="s">
        <v>10058</v>
      </c>
      <c r="C34" s="2488"/>
      <c r="D34" s="2530">
        <v>32961</v>
      </c>
      <c r="E34" s="2645">
        <v>32961</v>
      </c>
      <c r="F34" s="2488"/>
      <c r="G34" s="2488" t="s">
        <v>511</v>
      </c>
      <c r="H34" s="2760">
        <v>928</v>
      </c>
      <c r="I34" s="2530">
        <v>32961</v>
      </c>
      <c r="J34" s="2488"/>
      <c r="K34" s="2488"/>
      <c r="L34" s="2488"/>
      <c r="M34" s="2488"/>
      <c r="N34" s="2479" t="str">
        <f t="shared" si="0"/>
        <v>Multi-State: Rate Cases and Proceedings</v>
      </c>
    </row>
    <row r="35" spans="1:14" ht="15.75" customHeight="1" x14ac:dyDescent="0.2">
      <c r="A35" s="2752">
        <v>26</v>
      </c>
      <c r="B35" s="2488" t="s">
        <v>10059</v>
      </c>
      <c r="C35" s="2488"/>
      <c r="D35" s="2530">
        <v>254670</v>
      </c>
      <c r="E35" s="2645">
        <v>254670</v>
      </c>
      <c r="F35" s="2488"/>
      <c r="G35" s="2488" t="s">
        <v>511</v>
      </c>
      <c r="H35" s="2760">
        <v>928</v>
      </c>
      <c r="I35" s="2530">
        <v>254670</v>
      </c>
      <c r="J35" s="2488"/>
      <c r="K35" s="2488"/>
      <c r="L35" s="2488"/>
      <c r="M35" s="2488"/>
      <c r="N35" s="2479" t="str">
        <f t="shared" si="0"/>
        <v>Multi-State: Other Regulatory</v>
      </c>
    </row>
    <row r="36" spans="1:14" ht="15.75" customHeight="1" x14ac:dyDescent="0.2">
      <c r="A36" s="2752">
        <v>27</v>
      </c>
      <c r="B36" s="2488"/>
      <c r="C36" s="2488"/>
      <c r="D36" s="2488"/>
      <c r="E36" s="2562"/>
      <c r="F36" s="2488"/>
      <c r="G36" s="2488"/>
      <c r="H36" s="2488"/>
      <c r="I36" s="2488"/>
      <c r="J36" s="2488"/>
      <c r="K36" s="2488"/>
      <c r="L36" s="2488"/>
      <c r="M36" s="2488"/>
      <c r="N36" s="2595">
        <f t="shared" si="0"/>
        <v>0</v>
      </c>
    </row>
    <row r="37" spans="1:14" ht="15.75" customHeight="1" x14ac:dyDescent="0.2">
      <c r="A37" s="2752">
        <v>28</v>
      </c>
      <c r="B37" s="2488" t="s">
        <v>10060</v>
      </c>
      <c r="C37" s="2530">
        <v>3396191</v>
      </c>
      <c r="D37" s="2488"/>
      <c r="E37" s="2645">
        <v>3396191</v>
      </c>
      <c r="F37" s="2488"/>
      <c r="G37" s="2488" t="s">
        <v>511</v>
      </c>
      <c r="H37" s="2760">
        <v>928</v>
      </c>
      <c r="I37" s="2530">
        <v>3396191</v>
      </c>
      <c r="J37" s="2488"/>
      <c r="K37" s="2488"/>
      <c r="L37" s="2488"/>
      <c r="M37" s="2488"/>
      <c r="N37" s="2479" t="str">
        <f t="shared" si="0"/>
        <v>Federal Energy Regulatory Commission: Annual Fee</v>
      </c>
    </row>
    <row r="38" spans="1:14" ht="15.75" customHeight="1" x14ac:dyDescent="0.2">
      <c r="A38" s="2752">
        <v>29</v>
      </c>
      <c r="B38" s="2488" t="s">
        <v>10061</v>
      </c>
      <c r="C38" s="2530">
        <v>4046608</v>
      </c>
      <c r="D38" s="2488"/>
      <c r="E38" s="2645">
        <v>4046608</v>
      </c>
      <c r="F38" s="2488"/>
      <c r="G38" s="2488" t="s">
        <v>511</v>
      </c>
      <c r="H38" s="2760">
        <v>928</v>
      </c>
      <c r="I38" s="2530">
        <v>4046608</v>
      </c>
      <c r="J38" s="2488"/>
      <c r="K38" s="2488"/>
      <c r="L38" s="2488"/>
      <c r="M38" s="2488"/>
      <c r="N38" s="2479" t="str">
        <f t="shared" si="0"/>
        <v>Federal Energy Regulatory Commission: Annual Fee - Hydroelectric Plants</v>
      </c>
    </row>
    <row r="39" spans="1:14" ht="15.75" customHeight="1" x14ac:dyDescent="0.2">
      <c r="A39" s="2752">
        <v>30</v>
      </c>
      <c r="B39" s="2488" t="s">
        <v>10062</v>
      </c>
      <c r="C39" s="2488"/>
      <c r="D39" s="2530">
        <v>251125</v>
      </c>
      <c r="E39" s="2645">
        <v>251125</v>
      </c>
      <c r="F39" s="2488"/>
      <c r="G39" s="2488" t="s">
        <v>511</v>
      </c>
      <c r="H39" s="2760">
        <v>928</v>
      </c>
      <c r="I39" s="2530">
        <v>251125</v>
      </c>
      <c r="J39" s="2488"/>
      <c r="K39" s="2488"/>
      <c r="L39" s="2488"/>
      <c r="M39" s="2488"/>
      <c r="N39" s="2479" t="str">
        <f t="shared" si="0"/>
        <v>Federal Energy Regulatory Commission: Transmission Rate Cases</v>
      </c>
    </row>
    <row r="40" spans="1:14" ht="15.75" customHeight="1" x14ac:dyDescent="0.2">
      <c r="A40" s="2752">
        <v>31</v>
      </c>
      <c r="B40" s="2668" t="s">
        <v>10063</v>
      </c>
      <c r="C40" s="2488"/>
      <c r="D40" s="2530">
        <v>1133246</v>
      </c>
      <c r="E40" s="2645">
        <v>1133246</v>
      </c>
      <c r="F40" s="2488"/>
      <c r="G40" s="2488" t="s">
        <v>511</v>
      </c>
      <c r="H40" s="2760">
        <v>928</v>
      </c>
      <c r="I40" s="2530">
        <v>1133246</v>
      </c>
      <c r="J40" s="2488"/>
      <c r="K40" s="2488"/>
      <c r="L40" s="2488"/>
      <c r="M40" s="2488"/>
      <c r="N40" s="2479" t="str">
        <f t="shared" si="0"/>
        <v>Federal Energy Regulatory Commission: Other Regulatory</v>
      </c>
    </row>
    <row r="41" spans="1:14" ht="15.75" customHeight="1" x14ac:dyDescent="0.2">
      <c r="A41" s="2752">
        <v>32</v>
      </c>
      <c r="B41" s="2488"/>
      <c r="C41" s="2488"/>
      <c r="D41" s="2488"/>
      <c r="E41" s="2562"/>
      <c r="F41" s="2488"/>
      <c r="G41" s="2488"/>
      <c r="H41" s="2488"/>
      <c r="I41" s="2488"/>
      <c r="J41" s="2488"/>
      <c r="K41" s="2488"/>
      <c r="L41" s="2488"/>
      <c r="M41" s="2488"/>
      <c r="N41" s="2595">
        <f t="shared" si="0"/>
        <v>0</v>
      </c>
    </row>
    <row r="42" spans="1:14" ht="15.75" customHeight="1" x14ac:dyDescent="0.2">
      <c r="A42" s="2752">
        <v>33</v>
      </c>
      <c r="B42" s="2488"/>
      <c r="C42" s="2488"/>
      <c r="D42" s="2488"/>
      <c r="E42" s="2562"/>
      <c r="F42" s="2488"/>
      <c r="G42" s="2488"/>
      <c r="H42" s="2488"/>
      <c r="I42" s="2488"/>
      <c r="J42" s="2488"/>
      <c r="K42" s="2488"/>
      <c r="L42" s="2488"/>
      <c r="M42" s="2488"/>
      <c r="N42" s="2595">
        <f t="shared" si="0"/>
        <v>0</v>
      </c>
    </row>
    <row r="43" spans="1:14" ht="15.75" customHeight="1" x14ac:dyDescent="0.2">
      <c r="A43" s="2752">
        <v>34</v>
      </c>
      <c r="B43" s="2488"/>
      <c r="C43" s="2488"/>
      <c r="D43" s="2488"/>
      <c r="E43" s="2562"/>
      <c r="F43" s="2488"/>
      <c r="G43" s="2488"/>
      <c r="H43" s="2488"/>
      <c r="I43" s="2488"/>
      <c r="J43" s="2488"/>
      <c r="K43" s="2488"/>
      <c r="L43" s="2488"/>
      <c r="M43" s="2488"/>
      <c r="N43" s="2595">
        <f t="shared" si="0"/>
        <v>0</v>
      </c>
    </row>
    <row r="44" spans="1:14" ht="15.75" customHeight="1" x14ac:dyDescent="0.2">
      <c r="A44" s="2752">
        <v>35</v>
      </c>
      <c r="B44" s="2668"/>
      <c r="C44" s="2488"/>
      <c r="D44" s="2488"/>
      <c r="E44" s="2562"/>
      <c r="F44" s="2488"/>
      <c r="G44" s="2488"/>
      <c r="H44" s="2488"/>
      <c r="I44" s="2488"/>
      <c r="J44" s="2488"/>
      <c r="K44" s="2488"/>
      <c r="L44" s="2488"/>
      <c r="M44" s="2488"/>
      <c r="N44" s="2595">
        <f t="shared" si="0"/>
        <v>0</v>
      </c>
    </row>
    <row r="45" spans="1:14" ht="15.75" customHeight="1" x14ac:dyDescent="0.2">
      <c r="A45" s="2752">
        <v>36</v>
      </c>
      <c r="B45" s="2488"/>
      <c r="C45" s="2488"/>
      <c r="D45" s="2488"/>
      <c r="E45" s="2562"/>
      <c r="F45" s="2488"/>
      <c r="G45" s="2488"/>
      <c r="H45" s="2488"/>
      <c r="I45" s="2488"/>
      <c r="J45" s="2488"/>
      <c r="K45" s="2488"/>
      <c r="L45" s="2488"/>
      <c r="M45" s="2488"/>
      <c r="N45" s="2595">
        <f t="shared" si="0"/>
        <v>0</v>
      </c>
    </row>
    <row r="46" spans="1:14" ht="15.75" customHeight="1" x14ac:dyDescent="0.2">
      <c r="A46" s="2752">
        <v>37</v>
      </c>
      <c r="B46" s="2488"/>
      <c r="C46" s="2488"/>
      <c r="D46" s="2488"/>
      <c r="E46" s="2562"/>
      <c r="F46" s="2488"/>
      <c r="G46" s="2488"/>
      <c r="H46" s="2488"/>
      <c r="I46" s="2488"/>
      <c r="J46" s="2488"/>
      <c r="K46" s="2488"/>
      <c r="L46" s="2488"/>
      <c r="M46" s="2488"/>
      <c r="N46" s="2595">
        <f t="shared" si="0"/>
        <v>0</v>
      </c>
    </row>
    <row r="47" spans="1:14" ht="15.75" customHeight="1" x14ac:dyDescent="0.2">
      <c r="A47" s="2752">
        <v>38</v>
      </c>
      <c r="B47" s="2488"/>
      <c r="C47" s="2488"/>
      <c r="D47" s="2488"/>
      <c r="E47" s="2562"/>
      <c r="F47" s="2488"/>
      <c r="G47" s="2488"/>
      <c r="H47" s="2488"/>
      <c r="I47" s="2488"/>
      <c r="J47" s="2488"/>
      <c r="K47" s="2488"/>
      <c r="L47" s="2488"/>
      <c r="M47" s="2488"/>
      <c r="N47" s="2595">
        <f t="shared" si="0"/>
        <v>0</v>
      </c>
    </row>
    <row r="48" spans="1:14" ht="15.75" customHeight="1" x14ac:dyDescent="0.2">
      <c r="A48" s="2752">
        <v>39</v>
      </c>
      <c r="B48" s="2488"/>
      <c r="C48" s="2488"/>
      <c r="D48" s="2488"/>
      <c r="E48" s="2562"/>
      <c r="F48" s="2488"/>
      <c r="G48" s="2488"/>
      <c r="H48" s="2488"/>
      <c r="I48" s="2488"/>
      <c r="J48" s="2488"/>
      <c r="K48" s="2488"/>
      <c r="L48" s="2488"/>
      <c r="M48" s="2488"/>
      <c r="N48" s="2595">
        <f t="shared" si="0"/>
        <v>0</v>
      </c>
    </row>
    <row r="49" spans="1:14" ht="15.75" customHeight="1" x14ac:dyDescent="0.2">
      <c r="A49" s="2752">
        <v>40</v>
      </c>
      <c r="B49" s="2488"/>
      <c r="C49" s="2488"/>
      <c r="D49" s="2488"/>
      <c r="E49" s="2562"/>
      <c r="F49" s="2488"/>
      <c r="G49" s="2488"/>
      <c r="H49" s="2488"/>
      <c r="I49" s="2488"/>
      <c r="J49" s="2488"/>
      <c r="K49" s="2488"/>
      <c r="L49" s="2488"/>
      <c r="M49" s="2488"/>
      <c r="N49" s="2595">
        <f t="shared" si="0"/>
        <v>0</v>
      </c>
    </row>
    <row r="50" spans="1:14" ht="15.75" customHeight="1" x14ac:dyDescent="0.2">
      <c r="A50" s="2752">
        <v>41</v>
      </c>
      <c r="B50" s="2488"/>
      <c r="C50" s="2488"/>
      <c r="D50" s="2488"/>
      <c r="E50" s="2562"/>
      <c r="F50" s="2488"/>
      <c r="G50" s="2488"/>
      <c r="H50" s="2488"/>
      <c r="I50" s="2488"/>
      <c r="J50" s="2488"/>
      <c r="K50" s="2488"/>
      <c r="L50" s="2488"/>
      <c r="M50" s="2488"/>
      <c r="N50" s="2595">
        <f t="shared" si="0"/>
        <v>0</v>
      </c>
    </row>
    <row r="51" spans="1:14" ht="15.75" customHeight="1" x14ac:dyDescent="0.2">
      <c r="A51" s="2752">
        <v>42</v>
      </c>
      <c r="B51" s="2488"/>
      <c r="C51" s="2488"/>
      <c r="D51" s="2488"/>
      <c r="E51" s="2562"/>
      <c r="F51" s="2488"/>
      <c r="G51" s="2488"/>
      <c r="H51" s="2488"/>
      <c r="I51" s="2488"/>
      <c r="J51" s="2488"/>
      <c r="K51" s="2488"/>
      <c r="L51" s="2488"/>
      <c r="M51" s="2488"/>
      <c r="N51" s="2595">
        <f t="shared" si="0"/>
        <v>0</v>
      </c>
    </row>
    <row r="52" spans="1:14" ht="15.75" customHeight="1" x14ac:dyDescent="0.2">
      <c r="A52" s="2752">
        <v>43</v>
      </c>
      <c r="B52" s="2488"/>
      <c r="C52" s="2488"/>
      <c r="D52" s="2488"/>
      <c r="E52" s="2562"/>
      <c r="F52" s="2488"/>
      <c r="G52" s="2488"/>
      <c r="H52" s="2488"/>
      <c r="I52" s="2488"/>
      <c r="J52" s="2488"/>
      <c r="K52" s="2488"/>
      <c r="L52" s="2488"/>
      <c r="M52" s="2488"/>
      <c r="N52" s="2595">
        <f t="shared" si="0"/>
        <v>0</v>
      </c>
    </row>
    <row r="53" spans="1:14" ht="15.75" customHeight="1" x14ac:dyDescent="0.2">
      <c r="A53" s="2752">
        <v>44</v>
      </c>
      <c r="B53" s="2488"/>
      <c r="C53" s="2488"/>
      <c r="D53" s="2488"/>
      <c r="E53" s="2562"/>
      <c r="F53" s="2488"/>
      <c r="G53" s="2488"/>
      <c r="H53" s="2488"/>
      <c r="I53" s="2488"/>
      <c r="J53" s="2488"/>
      <c r="K53" s="2488"/>
      <c r="L53" s="2488"/>
      <c r="M53" s="2488"/>
      <c r="N53" s="2595">
        <f t="shared" si="0"/>
        <v>0</v>
      </c>
    </row>
    <row r="54" spans="1:14" ht="15.75" customHeight="1" x14ac:dyDescent="0.2">
      <c r="A54" s="2752">
        <v>45</v>
      </c>
      <c r="B54" s="2488"/>
      <c r="C54" s="2488"/>
      <c r="D54" s="2488"/>
      <c r="E54" s="2562"/>
      <c r="F54" s="2488"/>
      <c r="G54" s="2488"/>
      <c r="H54" s="2488"/>
      <c r="I54" s="2488"/>
      <c r="J54" s="2488"/>
      <c r="K54" s="2488"/>
      <c r="L54" s="2488"/>
      <c r="M54" s="2488"/>
      <c r="N54" s="2595">
        <f t="shared" si="0"/>
        <v>0</v>
      </c>
    </row>
    <row r="55" spans="1:14" ht="15.75" customHeight="1" x14ac:dyDescent="0.2">
      <c r="A55" s="2752">
        <v>46</v>
      </c>
      <c r="B55" s="2512" t="s">
        <v>197</v>
      </c>
      <c r="C55" s="2645">
        <f>SUM(C10:C54)</f>
        <v>25399648</v>
      </c>
      <c r="D55" s="2645">
        <f>SUM(D10:D54)</f>
        <v>5630252</v>
      </c>
      <c r="E55" s="2645">
        <f>SUM(E10:E54)</f>
        <v>31029900</v>
      </c>
      <c r="F55" s="2645">
        <f>SUM(F10:F54)</f>
        <v>3473292</v>
      </c>
      <c r="G55" s="3950"/>
      <c r="H55" s="3941"/>
      <c r="I55" s="2645">
        <f>SUM(I10:I54)</f>
        <v>31029900</v>
      </c>
      <c r="J55" s="2645">
        <f>SUM(J10:J54)</f>
        <v>1225344</v>
      </c>
      <c r="K55" s="2652"/>
      <c r="L55" s="2645">
        <f>SUM(L10:L54)</f>
        <v>1118762</v>
      </c>
      <c r="M55" s="2645">
        <f>SUM(M10:M54)</f>
        <v>3579874</v>
      </c>
      <c r="N55" s="2479"/>
    </row>
    <row r="56" spans="1:14" ht="16.7" customHeight="1" x14ac:dyDescent="0.2">
      <c r="A56" s="2516"/>
      <c r="B56" s="2516"/>
      <c r="C56" s="2516"/>
      <c r="D56" s="2516"/>
      <c r="E56" s="2516"/>
      <c r="F56" s="2516"/>
      <c r="G56" s="2516"/>
      <c r="H56" s="2516"/>
      <c r="I56" s="2516"/>
      <c r="J56" s="2516"/>
      <c r="K56" s="2516"/>
      <c r="L56" s="2516"/>
      <c r="M56" s="2516"/>
    </row>
    <row r="57" spans="1:14" ht="16.7" customHeight="1" x14ac:dyDescent="0.2"/>
    <row r="58" spans="1:14" ht="16.7" customHeight="1" x14ac:dyDescent="0.2"/>
    <row r="59" spans="1:14" ht="16.7" customHeight="1" x14ac:dyDescent="0.2"/>
    <row r="60" spans="1:14" ht="16.7" customHeight="1" x14ac:dyDescent="0.2"/>
    <row r="61" spans="1:14" ht="16.7" customHeight="1" x14ac:dyDescent="0.2"/>
    <row r="62" spans="1:14" ht="16.7" customHeight="1" x14ac:dyDescent="0.2"/>
    <row r="63" spans="1:14" ht="16.7" customHeight="1" x14ac:dyDescent="0.2"/>
    <row r="64" spans="1:14" ht="16.7" customHeight="1" x14ac:dyDescent="0.2"/>
    <row r="65" ht="16.7" customHeight="1" x14ac:dyDescent="0.2"/>
    <row r="66" ht="16.7" customHeight="1" x14ac:dyDescent="0.2"/>
    <row r="67" ht="16.7" customHeight="1" x14ac:dyDescent="0.2"/>
    <row r="68" ht="16.7" customHeight="1" x14ac:dyDescent="0.2"/>
    <row r="69" ht="16.7" customHeight="1" x14ac:dyDescent="0.2"/>
    <row r="70" ht="16.7" customHeight="1" x14ac:dyDescent="0.2"/>
    <row r="71" ht="16.7" customHeight="1" x14ac:dyDescent="0.2"/>
    <row r="72" ht="16.7" customHeight="1" x14ac:dyDescent="0.2"/>
    <row r="73" ht="16.7" customHeight="1" x14ac:dyDescent="0.2"/>
    <row r="74" ht="16.7" customHeight="1" x14ac:dyDescent="0.2"/>
    <row r="75" ht="16.7" customHeight="1" x14ac:dyDescent="0.2"/>
    <row r="76" ht="16.7" customHeight="1" x14ac:dyDescent="0.2"/>
    <row r="77" ht="16.7" customHeight="1" x14ac:dyDescent="0.2"/>
    <row r="78" ht="16.7" customHeight="1" x14ac:dyDescent="0.2"/>
    <row r="79" ht="16.7" customHeight="1" x14ac:dyDescent="0.2"/>
    <row r="80" ht="16.7" customHeight="1" x14ac:dyDescent="0.2"/>
    <row r="81" ht="16.7" customHeight="1" x14ac:dyDescent="0.2"/>
    <row r="82" ht="16.7" customHeight="1" x14ac:dyDescent="0.2"/>
    <row r="83" ht="16.7" customHeight="1" x14ac:dyDescent="0.2"/>
    <row r="84" ht="16.7" customHeight="1" x14ac:dyDescent="0.2"/>
    <row r="85" ht="16.7" customHeight="1" x14ac:dyDescent="0.2"/>
    <row r="86" ht="16.7" customHeight="1" x14ac:dyDescent="0.2"/>
    <row r="87" ht="16.7" customHeight="1" x14ac:dyDescent="0.2"/>
    <row r="88" ht="16.7" customHeight="1" x14ac:dyDescent="0.2"/>
    <row r="89" ht="16.7" customHeight="1" x14ac:dyDescent="0.2"/>
    <row r="90" ht="16.7" customHeight="1" x14ac:dyDescent="0.2"/>
    <row r="91" ht="16.7" customHeight="1" x14ac:dyDescent="0.2"/>
    <row r="92" ht="16.7" customHeight="1" x14ac:dyDescent="0.2"/>
    <row r="93" ht="16.7" customHeight="1" x14ac:dyDescent="0.2"/>
    <row r="94" ht="16.7" customHeight="1" x14ac:dyDescent="0.2"/>
    <row r="95" ht="16.7" customHeight="1" x14ac:dyDescent="0.2"/>
    <row r="96" ht="16.7" customHeight="1" x14ac:dyDescent="0.2"/>
    <row r="97" ht="16.7" customHeight="1" x14ac:dyDescent="0.2"/>
    <row r="98" ht="16.7" customHeight="1" x14ac:dyDescent="0.2"/>
    <row r="99" ht="16.7" customHeight="1" x14ac:dyDescent="0.2"/>
    <row r="100" ht="16.7" customHeight="1" x14ac:dyDescent="0.2"/>
    <row r="101" ht="16.7" customHeight="1" x14ac:dyDescent="0.2"/>
    <row r="102" ht="16.7" customHeight="1" x14ac:dyDescent="0.2"/>
    <row r="103" ht="16.7" customHeight="1" x14ac:dyDescent="0.2"/>
    <row r="104" ht="16.7" customHeight="1" x14ac:dyDescent="0.2"/>
    <row r="105" ht="16.7" customHeight="1" x14ac:dyDescent="0.2"/>
  </sheetData>
  <mergeCells count="18">
    <mergeCell ref="G55:H55"/>
    <mergeCell ref="G6:J6"/>
    <mergeCell ref="K6:M6"/>
    <mergeCell ref="G7:I7"/>
    <mergeCell ref="J7:J8"/>
    <mergeCell ref="K7:K8"/>
    <mergeCell ref="L7:L8"/>
    <mergeCell ref="M7:M8"/>
    <mergeCell ref="A3:M3"/>
    <mergeCell ref="A4:M4"/>
    <mergeCell ref="A5:F5"/>
    <mergeCell ref="G5:M5"/>
    <mergeCell ref="A6:A9"/>
    <mergeCell ref="B6:B8"/>
    <mergeCell ref="C6:C8"/>
    <mergeCell ref="D6:D8"/>
    <mergeCell ref="E6:E8"/>
    <mergeCell ref="F6:F8"/>
  </mergeCells>
  <pageMargins left="0.75" right="0.75" top="1" bottom="1" header="0.5" footer="0.5"/>
  <customProperties>
    <customPr name="_pios_id" r:id="rId1"/>
  </customProperties>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29C64A-96E9-4D80-BE1B-CD5B52ABBEFA}">
  <sheetPr codeName="Sheet84"/>
  <dimension ref="A1:I104"/>
  <sheetViews>
    <sheetView showRuler="0" workbookViewId="0"/>
  </sheetViews>
  <sheetFormatPr defaultColWidth="11.5" defaultRowHeight="12.75" x14ac:dyDescent="0.2"/>
  <cols>
    <col min="1" max="1" width="3.625" style="1953" customWidth="1"/>
    <col min="2" max="2" width="27.25" style="1953" customWidth="1"/>
    <col min="3" max="3" width="40.5" style="1953" customWidth="1"/>
    <col min="4" max="5" width="13.625" style="1953" customWidth="1"/>
    <col min="6" max="7" width="14.625" style="1953" customWidth="1"/>
    <col min="8" max="8" width="13.5" style="1953" customWidth="1"/>
    <col min="9" max="9" width="33.375" style="1953" customWidth="1"/>
    <col min="10" max="24" width="17.625" style="1953" customWidth="1"/>
    <col min="25" max="16384" width="11.5" style="1953"/>
  </cols>
  <sheetData>
    <row r="1" spans="1:9" ht="16.7" customHeight="1" x14ac:dyDescent="0.2"/>
    <row r="2" spans="1:9" ht="16.7" customHeight="1" x14ac:dyDescent="0.2"/>
    <row r="3" spans="1:9" ht="15.75" customHeight="1" x14ac:dyDescent="0.2">
      <c r="A3" s="3932" t="s">
        <v>10064</v>
      </c>
      <c r="B3" s="3975"/>
      <c r="C3" s="3976"/>
      <c r="D3" s="3993" t="s">
        <v>10065</v>
      </c>
      <c r="E3" s="3994"/>
      <c r="F3" s="3994"/>
      <c r="G3" s="3994"/>
      <c r="H3" s="4027"/>
      <c r="I3" s="2479"/>
    </row>
    <row r="4" spans="1:9" ht="15.75" customHeight="1" x14ac:dyDescent="0.2">
      <c r="A4" s="3882" t="s">
        <v>10066</v>
      </c>
      <c r="B4" s="3891"/>
      <c r="C4" s="3884"/>
      <c r="D4" s="3900" t="s">
        <v>10066</v>
      </c>
      <c r="E4" s="3901"/>
      <c r="F4" s="3901"/>
      <c r="G4" s="3901"/>
      <c r="H4" s="3902"/>
      <c r="I4" s="2479"/>
    </row>
    <row r="5" spans="1:9" ht="15" customHeight="1" x14ac:dyDescent="0.2">
      <c r="A5" s="3898" t="s">
        <v>6360</v>
      </c>
      <c r="B5" s="3898" t="s">
        <v>548</v>
      </c>
      <c r="C5" s="4057" t="s">
        <v>231</v>
      </c>
      <c r="D5" s="4081" t="s">
        <v>10067</v>
      </c>
      <c r="E5" s="3999" t="s">
        <v>10068</v>
      </c>
      <c r="F5" s="3900" t="s">
        <v>10069</v>
      </c>
      <c r="G5" s="3902"/>
      <c r="H5" s="3999" t="s">
        <v>10070</v>
      </c>
      <c r="I5" s="2479"/>
    </row>
    <row r="6" spans="1:9" ht="15.75" customHeight="1" x14ac:dyDescent="0.2">
      <c r="A6" s="3987"/>
      <c r="B6" s="3987"/>
      <c r="C6" s="4080"/>
      <c r="D6" s="4082"/>
      <c r="E6" s="4000"/>
      <c r="F6" s="2632" t="s">
        <v>96</v>
      </c>
      <c r="G6" s="2632" t="s">
        <v>441</v>
      </c>
      <c r="H6" s="4000"/>
      <c r="I6" s="2479"/>
    </row>
    <row r="7" spans="1:9" ht="15.75" customHeight="1" x14ac:dyDescent="0.2">
      <c r="A7" s="3923"/>
      <c r="B7" s="2589" t="s">
        <v>5949</v>
      </c>
      <c r="C7" s="2940" t="s">
        <v>5950</v>
      </c>
      <c r="D7" s="3004" t="s">
        <v>5951</v>
      </c>
      <c r="E7" s="2633" t="s">
        <v>5952</v>
      </c>
      <c r="F7" s="2633" t="s">
        <v>6227</v>
      </c>
      <c r="G7" s="2633" t="s">
        <v>5804</v>
      </c>
      <c r="H7" s="2633" t="s">
        <v>6228</v>
      </c>
      <c r="I7" s="2479" t="s">
        <v>6324</v>
      </c>
    </row>
    <row r="8" spans="1:9" ht="15.75" customHeight="1" x14ac:dyDescent="0.2">
      <c r="A8" s="2497">
        <v>1</v>
      </c>
      <c r="B8" s="2693" t="s">
        <v>10071</v>
      </c>
      <c r="C8" s="2488"/>
      <c r="D8" s="2488"/>
      <c r="E8" s="2488"/>
      <c r="F8" s="2488"/>
      <c r="G8" s="2488"/>
      <c r="H8" s="2488"/>
      <c r="I8" s="2479" t="str">
        <f t="shared" ref="I8:I45" si="0">CONCATENATE(B8,", ",C8)</f>
        <v xml:space="preserve">A. Electric R, D &amp; D Performed Internally:, </v>
      </c>
    </row>
    <row r="9" spans="1:9" ht="15.75" customHeight="1" x14ac:dyDescent="0.2">
      <c r="A9" s="2596">
        <v>2</v>
      </c>
      <c r="B9" s="2693"/>
      <c r="C9" s="2693"/>
      <c r="D9" s="2693"/>
      <c r="E9" s="2693"/>
      <c r="F9" s="2693"/>
      <c r="G9" s="2693"/>
      <c r="H9" s="2693"/>
      <c r="I9" s="2860" t="str">
        <f t="shared" si="0"/>
        <v xml:space="preserve">, </v>
      </c>
    </row>
    <row r="10" spans="1:9" ht="15.75" customHeight="1" x14ac:dyDescent="0.2">
      <c r="A10" s="2596">
        <v>3</v>
      </c>
      <c r="B10" s="2693"/>
      <c r="C10" s="2693"/>
      <c r="D10" s="2693"/>
      <c r="E10" s="2693"/>
      <c r="F10" s="2693"/>
      <c r="G10" s="2693"/>
      <c r="H10" s="2693"/>
      <c r="I10" s="2860" t="str">
        <f t="shared" si="0"/>
        <v xml:space="preserve">, </v>
      </c>
    </row>
    <row r="11" spans="1:9" ht="15.75" customHeight="1" x14ac:dyDescent="0.2">
      <c r="A11" s="2497">
        <v>4</v>
      </c>
      <c r="B11" s="2488"/>
      <c r="C11" s="2488"/>
      <c r="D11" s="2488"/>
      <c r="E11" s="2488"/>
      <c r="F11" s="2488"/>
      <c r="G11" s="2488"/>
      <c r="H11" s="2488"/>
      <c r="I11" s="2479" t="str">
        <f t="shared" si="0"/>
        <v xml:space="preserve">, </v>
      </c>
    </row>
    <row r="12" spans="1:9" ht="15.75" customHeight="1" x14ac:dyDescent="0.2">
      <c r="A12" s="2497">
        <v>5</v>
      </c>
      <c r="B12" s="2488"/>
      <c r="C12" s="2488"/>
      <c r="D12" s="2488"/>
      <c r="E12" s="2488"/>
      <c r="F12" s="2488"/>
      <c r="G12" s="2488"/>
      <c r="H12" s="2488"/>
      <c r="I12" s="2479" t="str">
        <f t="shared" si="0"/>
        <v xml:space="preserve">, </v>
      </c>
    </row>
    <row r="13" spans="1:9" ht="15.75" customHeight="1" x14ac:dyDescent="0.2">
      <c r="A13" s="2497">
        <v>6</v>
      </c>
      <c r="B13" s="2488"/>
      <c r="C13" s="2488"/>
      <c r="D13" s="2488"/>
      <c r="E13" s="2488"/>
      <c r="F13" s="2488"/>
      <c r="G13" s="2488"/>
      <c r="H13" s="2488"/>
      <c r="I13" s="2479" t="str">
        <f t="shared" si="0"/>
        <v xml:space="preserve">, </v>
      </c>
    </row>
    <row r="14" spans="1:9" ht="15.75" customHeight="1" x14ac:dyDescent="0.2">
      <c r="A14" s="2497">
        <v>7</v>
      </c>
      <c r="B14" s="2488"/>
      <c r="C14" s="2488"/>
      <c r="D14" s="2488"/>
      <c r="E14" s="2488"/>
      <c r="F14" s="2488"/>
      <c r="G14" s="2488"/>
      <c r="H14" s="2488"/>
      <c r="I14" s="2479" t="str">
        <f t="shared" si="0"/>
        <v xml:space="preserve">, </v>
      </c>
    </row>
    <row r="15" spans="1:9" ht="15.75" customHeight="1" x14ac:dyDescent="0.2">
      <c r="A15" s="2497">
        <v>8</v>
      </c>
      <c r="B15" s="2488"/>
      <c r="C15" s="2488"/>
      <c r="D15" s="2488"/>
      <c r="E15" s="2488"/>
      <c r="F15" s="2488"/>
      <c r="G15" s="2488"/>
      <c r="H15" s="2488"/>
      <c r="I15" s="2479" t="str">
        <f t="shared" si="0"/>
        <v xml:space="preserve">, </v>
      </c>
    </row>
    <row r="16" spans="1:9" ht="15.75" customHeight="1" x14ac:dyDescent="0.2">
      <c r="A16" s="2497">
        <v>9</v>
      </c>
      <c r="B16" s="2488"/>
      <c r="C16" s="2488"/>
      <c r="D16" s="2488"/>
      <c r="E16" s="2488"/>
      <c r="F16" s="2488"/>
      <c r="G16" s="2488"/>
      <c r="H16" s="2488"/>
      <c r="I16" s="2479" t="str">
        <f t="shared" si="0"/>
        <v xml:space="preserve">, </v>
      </c>
    </row>
    <row r="17" spans="1:9" ht="15.75" customHeight="1" x14ac:dyDescent="0.2">
      <c r="A17" s="2497">
        <v>10</v>
      </c>
      <c r="B17" s="2488"/>
      <c r="C17" s="2488"/>
      <c r="D17" s="2488"/>
      <c r="E17" s="2488"/>
      <c r="F17" s="2488"/>
      <c r="G17" s="2488"/>
      <c r="H17" s="2488"/>
      <c r="I17" s="2479" t="str">
        <f t="shared" si="0"/>
        <v xml:space="preserve">, </v>
      </c>
    </row>
    <row r="18" spans="1:9" ht="15.75" customHeight="1" x14ac:dyDescent="0.2">
      <c r="A18" s="2497">
        <v>11</v>
      </c>
      <c r="B18" s="2488"/>
      <c r="C18" s="2488"/>
      <c r="D18" s="2488"/>
      <c r="E18" s="2488"/>
      <c r="F18" s="2488"/>
      <c r="G18" s="2488"/>
      <c r="H18" s="2488"/>
      <c r="I18" s="2479" t="str">
        <f t="shared" si="0"/>
        <v xml:space="preserve">, </v>
      </c>
    </row>
    <row r="19" spans="1:9" ht="15.75" customHeight="1" x14ac:dyDescent="0.2">
      <c r="A19" s="2497">
        <v>12</v>
      </c>
      <c r="B19" s="2488"/>
      <c r="C19" s="2488"/>
      <c r="D19" s="2488"/>
      <c r="E19" s="2488"/>
      <c r="F19" s="2488"/>
      <c r="G19" s="2488"/>
      <c r="H19" s="2488"/>
      <c r="I19" s="2479" t="str">
        <f t="shared" si="0"/>
        <v xml:space="preserve">, </v>
      </c>
    </row>
    <row r="20" spans="1:9" ht="15.75" customHeight="1" x14ac:dyDescent="0.2">
      <c r="A20" s="2497">
        <v>13</v>
      </c>
      <c r="B20" s="2488"/>
      <c r="C20" s="2488"/>
      <c r="D20" s="2488"/>
      <c r="E20" s="2488"/>
      <c r="F20" s="2488"/>
      <c r="G20" s="2488"/>
      <c r="H20" s="2488"/>
      <c r="I20" s="2479" t="str">
        <f t="shared" si="0"/>
        <v xml:space="preserve">, </v>
      </c>
    </row>
    <row r="21" spans="1:9" ht="15.75" customHeight="1" x14ac:dyDescent="0.2">
      <c r="A21" s="2497">
        <v>14</v>
      </c>
      <c r="B21" s="2488"/>
      <c r="C21" s="2488"/>
      <c r="D21" s="2488"/>
      <c r="E21" s="2488"/>
      <c r="F21" s="2488"/>
      <c r="G21" s="2488"/>
      <c r="H21" s="2488"/>
      <c r="I21" s="2479" t="str">
        <f t="shared" si="0"/>
        <v xml:space="preserve">, </v>
      </c>
    </row>
    <row r="22" spans="1:9" ht="15.75" customHeight="1" x14ac:dyDescent="0.2">
      <c r="A22" s="2497">
        <v>15</v>
      </c>
      <c r="B22" s="2488"/>
      <c r="C22" s="2488"/>
      <c r="D22" s="2488"/>
      <c r="E22" s="2488"/>
      <c r="F22" s="2488"/>
      <c r="G22" s="2488"/>
      <c r="H22" s="2488"/>
      <c r="I22" s="2479" t="str">
        <f t="shared" si="0"/>
        <v xml:space="preserve">, </v>
      </c>
    </row>
    <row r="23" spans="1:9" ht="15.75" customHeight="1" x14ac:dyDescent="0.2">
      <c r="A23" s="2497">
        <v>16</v>
      </c>
      <c r="B23" s="2488"/>
      <c r="C23" s="2488"/>
      <c r="D23" s="2488"/>
      <c r="E23" s="2488"/>
      <c r="F23" s="2488"/>
      <c r="G23" s="2488"/>
      <c r="H23" s="2488"/>
      <c r="I23" s="2479" t="str">
        <f t="shared" si="0"/>
        <v xml:space="preserve">, </v>
      </c>
    </row>
    <row r="24" spans="1:9" ht="15.75" customHeight="1" x14ac:dyDescent="0.2">
      <c r="A24" s="2497">
        <v>17</v>
      </c>
      <c r="B24" s="2488"/>
      <c r="C24" s="2488"/>
      <c r="D24" s="2488"/>
      <c r="E24" s="2488"/>
      <c r="F24" s="2488"/>
      <c r="G24" s="2488"/>
      <c r="H24" s="2488"/>
      <c r="I24" s="2479" t="str">
        <f t="shared" si="0"/>
        <v xml:space="preserve">, </v>
      </c>
    </row>
    <row r="25" spans="1:9" ht="15.75" customHeight="1" x14ac:dyDescent="0.2">
      <c r="A25" s="2497">
        <v>18</v>
      </c>
      <c r="B25" s="2488"/>
      <c r="C25" s="2488"/>
      <c r="D25" s="2488"/>
      <c r="E25" s="2488"/>
      <c r="F25" s="2488"/>
      <c r="G25" s="2488"/>
      <c r="H25" s="2488"/>
      <c r="I25" s="2479" t="str">
        <f t="shared" si="0"/>
        <v xml:space="preserve">, </v>
      </c>
    </row>
    <row r="26" spans="1:9" ht="15.75" customHeight="1" x14ac:dyDescent="0.2">
      <c r="A26" s="2497">
        <v>19</v>
      </c>
      <c r="B26" s="2488"/>
      <c r="C26" s="2488"/>
      <c r="D26" s="2488"/>
      <c r="E26" s="2488"/>
      <c r="F26" s="2488"/>
      <c r="G26" s="2488"/>
      <c r="H26" s="2488"/>
      <c r="I26" s="2479" t="str">
        <f t="shared" si="0"/>
        <v xml:space="preserve">, </v>
      </c>
    </row>
    <row r="27" spans="1:9" ht="15.75" customHeight="1" x14ac:dyDescent="0.2">
      <c r="A27" s="2497">
        <v>20</v>
      </c>
      <c r="B27" s="2488"/>
      <c r="C27" s="2488"/>
      <c r="D27" s="2488"/>
      <c r="E27" s="2488"/>
      <c r="F27" s="2488"/>
      <c r="G27" s="2488"/>
      <c r="H27" s="2488"/>
      <c r="I27" s="2479" t="str">
        <f t="shared" si="0"/>
        <v xml:space="preserve">, </v>
      </c>
    </row>
    <row r="28" spans="1:9" ht="15.75" customHeight="1" x14ac:dyDescent="0.2">
      <c r="A28" s="2497">
        <v>21</v>
      </c>
      <c r="B28" s="2488"/>
      <c r="C28" s="2488"/>
      <c r="D28" s="2488"/>
      <c r="E28" s="2488"/>
      <c r="F28" s="2488"/>
      <c r="G28" s="2488"/>
      <c r="H28" s="2488"/>
      <c r="I28" s="2479" t="str">
        <f t="shared" si="0"/>
        <v xml:space="preserve">, </v>
      </c>
    </row>
    <row r="29" spans="1:9" ht="15.75" customHeight="1" x14ac:dyDescent="0.2">
      <c r="A29" s="2497">
        <v>22</v>
      </c>
      <c r="B29" s="2488"/>
      <c r="C29" s="2488"/>
      <c r="D29" s="2488"/>
      <c r="E29" s="2488"/>
      <c r="F29" s="2488"/>
      <c r="G29" s="2488"/>
      <c r="H29" s="2488"/>
      <c r="I29" s="2479" t="str">
        <f t="shared" si="0"/>
        <v xml:space="preserve">, </v>
      </c>
    </row>
    <row r="30" spans="1:9" ht="15.75" customHeight="1" x14ac:dyDescent="0.2">
      <c r="A30" s="2497">
        <v>23</v>
      </c>
      <c r="B30" s="2488"/>
      <c r="C30" s="2488"/>
      <c r="D30" s="2488"/>
      <c r="E30" s="2488"/>
      <c r="F30" s="2488"/>
      <c r="G30" s="2488"/>
      <c r="H30" s="2488"/>
      <c r="I30" s="2479" t="str">
        <f t="shared" si="0"/>
        <v xml:space="preserve">, </v>
      </c>
    </row>
    <row r="31" spans="1:9" ht="15.75" customHeight="1" x14ac:dyDescent="0.2">
      <c r="A31" s="2497">
        <v>24</v>
      </c>
      <c r="B31" s="2488"/>
      <c r="C31" s="2488"/>
      <c r="D31" s="2488"/>
      <c r="E31" s="2488"/>
      <c r="F31" s="2488"/>
      <c r="G31" s="2488"/>
      <c r="H31" s="2488"/>
      <c r="I31" s="2479" t="str">
        <f t="shared" si="0"/>
        <v xml:space="preserve">, </v>
      </c>
    </row>
    <row r="32" spans="1:9" ht="15.75" customHeight="1" x14ac:dyDescent="0.2">
      <c r="A32" s="2497">
        <v>25</v>
      </c>
      <c r="B32" s="2488"/>
      <c r="C32" s="2488"/>
      <c r="D32" s="2488"/>
      <c r="E32" s="2488"/>
      <c r="F32" s="2488"/>
      <c r="G32" s="2488"/>
      <c r="H32" s="2488"/>
      <c r="I32" s="2479" t="str">
        <f t="shared" si="0"/>
        <v xml:space="preserve">, </v>
      </c>
    </row>
    <row r="33" spans="1:9" ht="15.75" customHeight="1" x14ac:dyDescent="0.2">
      <c r="A33" s="2497">
        <v>26</v>
      </c>
      <c r="B33" s="2488"/>
      <c r="C33" s="2488"/>
      <c r="D33" s="2488"/>
      <c r="E33" s="2488"/>
      <c r="F33" s="2488"/>
      <c r="G33" s="2488"/>
      <c r="H33" s="2488"/>
      <c r="I33" s="2479" t="str">
        <f t="shared" si="0"/>
        <v xml:space="preserve">, </v>
      </c>
    </row>
    <row r="34" spans="1:9" ht="15.75" customHeight="1" x14ac:dyDescent="0.2">
      <c r="A34" s="2497">
        <v>27</v>
      </c>
      <c r="B34" s="2488"/>
      <c r="C34" s="2488"/>
      <c r="D34" s="2488"/>
      <c r="E34" s="2488"/>
      <c r="F34" s="2488"/>
      <c r="G34" s="2488"/>
      <c r="H34" s="2488"/>
      <c r="I34" s="2479" t="str">
        <f t="shared" si="0"/>
        <v xml:space="preserve">, </v>
      </c>
    </row>
    <row r="35" spans="1:9" ht="15.75" customHeight="1" x14ac:dyDescent="0.2">
      <c r="A35" s="2497">
        <v>28</v>
      </c>
      <c r="B35" s="2488"/>
      <c r="C35" s="2488"/>
      <c r="D35" s="2488"/>
      <c r="E35" s="2488"/>
      <c r="F35" s="2488"/>
      <c r="G35" s="2488"/>
      <c r="H35" s="2488"/>
      <c r="I35" s="2479" t="str">
        <f t="shared" si="0"/>
        <v xml:space="preserve">, </v>
      </c>
    </row>
    <row r="36" spans="1:9" ht="15.75" customHeight="1" x14ac:dyDescent="0.2">
      <c r="A36" s="2497">
        <v>29</v>
      </c>
      <c r="B36" s="2488"/>
      <c r="C36" s="2488"/>
      <c r="D36" s="2488"/>
      <c r="E36" s="2488"/>
      <c r="F36" s="2488"/>
      <c r="G36" s="2488"/>
      <c r="H36" s="2488"/>
      <c r="I36" s="2479" t="str">
        <f t="shared" si="0"/>
        <v xml:space="preserve">, </v>
      </c>
    </row>
    <row r="37" spans="1:9" ht="15.75" customHeight="1" x14ac:dyDescent="0.2">
      <c r="A37" s="2497">
        <v>30</v>
      </c>
      <c r="B37" s="2488"/>
      <c r="C37" s="2488"/>
      <c r="D37" s="2488"/>
      <c r="E37" s="2488"/>
      <c r="F37" s="2488"/>
      <c r="G37" s="2488"/>
      <c r="H37" s="2488"/>
      <c r="I37" s="2479" t="str">
        <f t="shared" si="0"/>
        <v xml:space="preserve">, </v>
      </c>
    </row>
    <row r="38" spans="1:9" ht="15.75" customHeight="1" x14ac:dyDescent="0.2">
      <c r="A38" s="2497">
        <v>31</v>
      </c>
      <c r="B38" s="2488"/>
      <c r="C38" s="2488"/>
      <c r="D38" s="2488"/>
      <c r="E38" s="2488"/>
      <c r="F38" s="2488"/>
      <c r="G38" s="2488"/>
      <c r="H38" s="2488"/>
      <c r="I38" s="2479" t="str">
        <f t="shared" si="0"/>
        <v xml:space="preserve">, </v>
      </c>
    </row>
    <row r="39" spans="1:9" ht="15.75" customHeight="1" x14ac:dyDescent="0.2">
      <c r="A39" s="2497">
        <v>32</v>
      </c>
      <c r="B39" s="2488"/>
      <c r="C39" s="2488"/>
      <c r="D39" s="2488"/>
      <c r="E39" s="2488"/>
      <c r="F39" s="2488"/>
      <c r="G39" s="2488"/>
      <c r="H39" s="2488"/>
      <c r="I39" s="2479" t="str">
        <f t="shared" si="0"/>
        <v xml:space="preserve">, </v>
      </c>
    </row>
    <row r="40" spans="1:9" ht="15.75" customHeight="1" x14ac:dyDescent="0.2">
      <c r="A40" s="2497">
        <v>33</v>
      </c>
      <c r="B40" s="2488"/>
      <c r="C40" s="2488"/>
      <c r="D40" s="2488"/>
      <c r="E40" s="2488"/>
      <c r="F40" s="2488"/>
      <c r="G40" s="2488"/>
      <c r="H40" s="2488"/>
      <c r="I40" s="2479" t="str">
        <f t="shared" si="0"/>
        <v xml:space="preserve">, </v>
      </c>
    </row>
    <row r="41" spans="1:9" ht="15.75" customHeight="1" x14ac:dyDescent="0.2">
      <c r="A41" s="2497">
        <v>34</v>
      </c>
      <c r="B41" s="2488"/>
      <c r="C41" s="2488"/>
      <c r="D41" s="2488"/>
      <c r="E41" s="2488"/>
      <c r="F41" s="2488"/>
      <c r="G41" s="2488"/>
      <c r="H41" s="2488"/>
      <c r="I41" s="2479" t="str">
        <f t="shared" si="0"/>
        <v xml:space="preserve">, </v>
      </c>
    </row>
    <row r="42" spans="1:9" ht="15.75" customHeight="1" x14ac:dyDescent="0.2">
      <c r="A42" s="2497">
        <v>35</v>
      </c>
      <c r="B42" s="2488"/>
      <c r="C42" s="2488"/>
      <c r="D42" s="2488"/>
      <c r="E42" s="2488"/>
      <c r="F42" s="2488"/>
      <c r="G42" s="2488"/>
      <c r="H42" s="2488"/>
      <c r="I42" s="2479" t="str">
        <f t="shared" si="0"/>
        <v xml:space="preserve">, </v>
      </c>
    </row>
    <row r="43" spans="1:9" ht="15.75" customHeight="1" x14ac:dyDescent="0.2">
      <c r="A43" s="2497">
        <v>36</v>
      </c>
      <c r="B43" s="2488"/>
      <c r="C43" s="2488"/>
      <c r="D43" s="2488"/>
      <c r="E43" s="2488"/>
      <c r="F43" s="2488"/>
      <c r="G43" s="2488"/>
      <c r="H43" s="2488"/>
      <c r="I43" s="2479" t="str">
        <f t="shared" si="0"/>
        <v xml:space="preserve">, </v>
      </c>
    </row>
    <row r="44" spans="1:9" ht="15.75" customHeight="1" x14ac:dyDescent="0.2">
      <c r="A44" s="2497">
        <v>37</v>
      </c>
      <c r="B44" s="2488"/>
      <c r="C44" s="2488"/>
      <c r="D44" s="2488"/>
      <c r="E44" s="2488"/>
      <c r="F44" s="2488"/>
      <c r="G44" s="2488"/>
      <c r="H44" s="2488"/>
      <c r="I44" s="2479" t="str">
        <f t="shared" si="0"/>
        <v xml:space="preserve">, </v>
      </c>
    </row>
    <row r="45" spans="1:9" ht="15.75" customHeight="1" x14ac:dyDescent="0.2">
      <c r="A45" s="2497">
        <v>38</v>
      </c>
      <c r="B45" s="2488"/>
      <c r="C45" s="2488"/>
      <c r="D45" s="2488"/>
      <c r="E45" s="2488"/>
      <c r="F45" s="2488"/>
      <c r="G45" s="2488"/>
      <c r="H45" s="2488"/>
      <c r="I45" s="2479" t="str">
        <f t="shared" si="0"/>
        <v xml:space="preserve">, </v>
      </c>
    </row>
    <row r="46" spans="1:9" ht="16.7" customHeight="1" x14ac:dyDescent="0.2">
      <c r="A46" s="2535"/>
      <c r="B46" s="2516"/>
      <c r="C46" s="2516"/>
      <c r="D46" s="2516"/>
      <c r="E46" s="2516"/>
      <c r="F46" s="2516"/>
      <c r="G46" s="2516"/>
      <c r="H46" s="2516"/>
    </row>
    <row r="47" spans="1:9" ht="16.7" customHeight="1" x14ac:dyDescent="0.2"/>
    <row r="48" spans="1:9" ht="16.7" customHeight="1" x14ac:dyDescent="0.2"/>
    <row r="49" ht="16.7" customHeight="1" x14ac:dyDescent="0.2"/>
    <row r="50" ht="16.7" customHeight="1" x14ac:dyDescent="0.2"/>
    <row r="51" ht="16.7" customHeight="1" x14ac:dyDescent="0.2"/>
    <row r="52" ht="16.7" customHeight="1" x14ac:dyDescent="0.2"/>
    <row r="53" ht="16.7" customHeight="1" x14ac:dyDescent="0.2"/>
    <row r="54" ht="16.7" customHeight="1" x14ac:dyDescent="0.2"/>
    <row r="55" ht="16.7" customHeight="1" x14ac:dyDescent="0.2"/>
    <row r="56" ht="16.7" customHeight="1" x14ac:dyDescent="0.2"/>
    <row r="57" ht="16.7" customHeight="1" x14ac:dyDescent="0.2"/>
    <row r="58" ht="16.7" customHeight="1" x14ac:dyDescent="0.2"/>
    <row r="59" ht="16.7" customHeight="1" x14ac:dyDescent="0.2"/>
    <row r="60" ht="16.7" customHeight="1" x14ac:dyDescent="0.2"/>
    <row r="61" ht="16.7" customHeight="1" x14ac:dyDescent="0.2"/>
    <row r="62" ht="16.7" customHeight="1" x14ac:dyDescent="0.2"/>
    <row r="63" ht="16.7" customHeight="1" x14ac:dyDescent="0.2"/>
    <row r="64" ht="16.7" customHeight="1" x14ac:dyDescent="0.2"/>
    <row r="65" ht="16.7" customHeight="1" x14ac:dyDescent="0.2"/>
    <row r="66" ht="16.7" customHeight="1" x14ac:dyDescent="0.2"/>
    <row r="67" ht="16.7" customHeight="1" x14ac:dyDescent="0.2"/>
    <row r="68" ht="16.7" customHeight="1" x14ac:dyDescent="0.2"/>
    <row r="69" ht="16.7" customHeight="1" x14ac:dyDescent="0.2"/>
    <row r="70" ht="16.7" customHeight="1" x14ac:dyDescent="0.2"/>
    <row r="71" ht="16.7" customHeight="1" x14ac:dyDescent="0.2"/>
    <row r="72" ht="16.7" customHeight="1" x14ac:dyDescent="0.2"/>
    <row r="73" ht="16.7" customHeight="1" x14ac:dyDescent="0.2"/>
    <row r="74" ht="16.7" customHeight="1" x14ac:dyDescent="0.2"/>
    <row r="75" ht="16.7" customHeight="1" x14ac:dyDescent="0.2"/>
    <row r="76" ht="16.7" customHeight="1" x14ac:dyDescent="0.2"/>
    <row r="77" ht="16.7" customHeight="1" x14ac:dyDescent="0.2"/>
    <row r="78" ht="16.7" customHeight="1" x14ac:dyDescent="0.2"/>
    <row r="79" ht="16.7" customHeight="1" x14ac:dyDescent="0.2"/>
    <row r="80" ht="16.7" customHeight="1" x14ac:dyDescent="0.2"/>
    <row r="81" ht="16.7" customHeight="1" x14ac:dyDescent="0.2"/>
    <row r="82" ht="16.7" customHeight="1" x14ac:dyDescent="0.2"/>
    <row r="83" ht="16.7" customHeight="1" x14ac:dyDescent="0.2"/>
    <row r="84" ht="16.7" customHeight="1" x14ac:dyDescent="0.2"/>
    <row r="85" ht="16.7" customHeight="1" x14ac:dyDescent="0.2"/>
    <row r="86" ht="16.7" customHeight="1" x14ac:dyDescent="0.2"/>
    <row r="87" ht="16.7" customHeight="1" x14ac:dyDescent="0.2"/>
    <row r="88" ht="16.7" customHeight="1" x14ac:dyDescent="0.2"/>
    <row r="89" ht="16.7" customHeight="1" x14ac:dyDescent="0.2"/>
    <row r="90" ht="16.7" customHeight="1" x14ac:dyDescent="0.2"/>
    <row r="91" ht="16.7" customHeight="1" x14ac:dyDescent="0.2"/>
    <row r="92" ht="16.7" customHeight="1" x14ac:dyDescent="0.2"/>
    <row r="93" ht="16.7" customHeight="1" x14ac:dyDescent="0.2"/>
    <row r="94" ht="16.7" customHeight="1" x14ac:dyDescent="0.2"/>
    <row r="95" ht="16.7" customHeight="1" x14ac:dyDescent="0.2"/>
    <row r="96" ht="16.7" customHeight="1" x14ac:dyDescent="0.2"/>
    <row r="97" ht="16.7" customHeight="1" x14ac:dyDescent="0.2"/>
    <row r="98" ht="16.7" customHeight="1" x14ac:dyDescent="0.2"/>
    <row r="99" ht="16.7" customHeight="1" x14ac:dyDescent="0.2"/>
    <row r="100" ht="16.7" customHeight="1" x14ac:dyDescent="0.2"/>
    <row r="101" ht="16.7" customHeight="1" x14ac:dyDescent="0.2"/>
    <row r="102" ht="16.7" customHeight="1" x14ac:dyDescent="0.2"/>
    <row r="103" ht="15" customHeight="1" x14ac:dyDescent="0.2"/>
    <row r="104" ht="15" customHeight="1" x14ac:dyDescent="0.2"/>
  </sheetData>
  <mergeCells count="11">
    <mergeCell ref="H5:H6"/>
    <mergeCell ref="A3:C3"/>
    <mergeCell ref="D3:H3"/>
    <mergeCell ref="A4:C4"/>
    <mergeCell ref="D4:H4"/>
    <mergeCell ref="A5:A7"/>
    <mergeCell ref="B5:B6"/>
    <mergeCell ref="C5:C6"/>
    <mergeCell ref="D5:D6"/>
    <mergeCell ref="E5:E6"/>
    <mergeCell ref="F5:G5"/>
  </mergeCells>
  <pageMargins left="0.75" right="0.75" top="1" bottom="1" header="0.5" footer="0.5"/>
  <customProperties>
    <customPr name="_pios_id" r:id="rId1"/>
  </customProperties>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1269E-31FB-432C-A92F-6263DA4ADB13}">
  <sheetPr codeName="Sheet85"/>
  <dimension ref="A1:F105"/>
  <sheetViews>
    <sheetView workbookViewId="0">
      <pane xSplit="2" ySplit="7" topLeftCell="C8" activePane="bottomRight" state="frozen"/>
      <selection pane="topRight"/>
      <selection pane="bottomLeft"/>
      <selection pane="bottomRight"/>
    </sheetView>
  </sheetViews>
  <sheetFormatPr defaultColWidth="11.5" defaultRowHeight="12.75" x14ac:dyDescent="0.2"/>
  <cols>
    <col min="1" max="1" width="5.25" style="1953" customWidth="1"/>
    <col min="2" max="2" width="47.25" style="1953" customWidth="1"/>
    <col min="3" max="5" width="19" style="1953" customWidth="1"/>
    <col min="6" max="26" width="17.625" style="1953" customWidth="1"/>
    <col min="27" max="16384" width="11.5" style="1953"/>
  </cols>
  <sheetData>
    <row r="1" spans="1:6" ht="16.7" customHeight="1" x14ac:dyDescent="0.2"/>
    <row r="2" spans="1:6" ht="16.7" customHeight="1" x14ac:dyDescent="0.2"/>
    <row r="3" spans="1:6" ht="16.7" customHeight="1" x14ac:dyDescent="0.2">
      <c r="A3" s="4044" t="s">
        <v>10072</v>
      </c>
      <c r="B3" s="4045"/>
      <c r="C3" s="4045"/>
      <c r="D3" s="4045"/>
      <c r="E3" s="4046"/>
      <c r="F3" s="2486"/>
    </row>
    <row r="4" spans="1:6" ht="16.7" customHeight="1" x14ac:dyDescent="0.2">
      <c r="A4" s="3882" t="s">
        <v>10073</v>
      </c>
      <c r="B4" s="3883"/>
      <c r="C4" s="3883"/>
      <c r="D4" s="3883"/>
      <c r="E4" s="3884"/>
      <c r="F4" s="2479"/>
    </row>
    <row r="5" spans="1:6" ht="39.200000000000003" customHeight="1" x14ac:dyDescent="0.2">
      <c r="A5" s="3953" t="s">
        <v>10074</v>
      </c>
      <c r="B5" s="4073"/>
      <c r="C5" s="4073"/>
      <c r="D5" s="4073"/>
      <c r="E5" s="4074"/>
      <c r="F5" s="2479"/>
    </row>
    <row r="6" spans="1:6" ht="39.200000000000003" customHeight="1" x14ac:dyDescent="0.2">
      <c r="A6" s="2581" t="s">
        <v>6360</v>
      </c>
      <c r="B6" s="2581" t="s">
        <v>548</v>
      </c>
      <c r="C6" s="2581" t="s">
        <v>10075</v>
      </c>
      <c r="D6" s="2581" t="s">
        <v>10076</v>
      </c>
      <c r="E6" s="2581" t="s">
        <v>104</v>
      </c>
      <c r="F6" s="2479"/>
    </row>
    <row r="7" spans="1:6" ht="16.7" customHeight="1" x14ac:dyDescent="0.2">
      <c r="A7" s="2588"/>
      <c r="B7" s="2589" t="s">
        <v>5949</v>
      </c>
      <c r="C7" s="2589" t="s">
        <v>5950</v>
      </c>
      <c r="D7" s="2589" t="s">
        <v>5951</v>
      </c>
      <c r="E7" s="2589" t="s">
        <v>5952</v>
      </c>
      <c r="F7" s="2479" t="s">
        <v>6324</v>
      </c>
    </row>
    <row r="8" spans="1:6" ht="16.7" customHeight="1" x14ac:dyDescent="0.2">
      <c r="A8" s="2752">
        <v>1</v>
      </c>
      <c r="B8" s="2512" t="s">
        <v>511</v>
      </c>
      <c r="C8" s="4029"/>
      <c r="D8" s="4030"/>
      <c r="E8" s="4031"/>
      <c r="F8" s="2479"/>
    </row>
    <row r="9" spans="1:6" ht="16.7" customHeight="1" x14ac:dyDescent="0.2">
      <c r="A9" s="2752">
        <v>2</v>
      </c>
      <c r="B9" s="2512" t="s">
        <v>437</v>
      </c>
      <c r="C9" s="4029"/>
      <c r="D9" s="4030"/>
      <c r="E9" s="4031"/>
      <c r="F9" s="2479"/>
    </row>
    <row r="10" spans="1:6" ht="16.7" customHeight="1" x14ac:dyDescent="0.2">
      <c r="A10" s="2752">
        <v>3</v>
      </c>
      <c r="B10" s="2512" t="s">
        <v>105</v>
      </c>
      <c r="C10" s="2530">
        <v>101070250</v>
      </c>
      <c r="D10" s="4029"/>
      <c r="E10" s="4031"/>
      <c r="F10" s="2479"/>
    </row>
    <row r="11" spans="1:6" ht="16.7" customHeight="1" x14ac:dyDescent="0.2">
      <c r="A11" s="2752">
        <v>4</v>
      </c>
      <c r="B11" s="2512" t="s">
        <v>106</v>
      </c>
      <c r="C11" s="2530">
        <v>19918542</v>
      </c>
      <c r="D11" s="4029"/>
      <c r="E11" s="4031"/>
      <c r="F11" s="2479"/>
    </row>
    <row r="12" spans="1:6" ht="16.7" customHeight="1" x14ac:dyDescent="0.2">
      <c r="A12" s="2752">
        <v>5</v>
      </c>
      <c r="B12" s="2512" t="s">
        <v>10077</v>
      </c>
      <c r="C12" s="2530">
        <v>0</v>
      </c>
      <c r="D12" s="4029"/>
      <c r="E12" s="4031"/>
      <c r="F12" s="2479"/>
    </row>
    <row r="13" spans="1:6" ht="16.7" customHeight="1" x14ac:dyDescent="0.2">
      <c r="A13" s="2752">
        <v>6</v>
      </c>
      <c r="B13" s="2512" t="s">
        <v>512</v>
      </c>
      <c r="C13" s="2530">
        <v>47998132</v>
      </c>
      <c r="D13" s="4029"/>
      <c r="E13" s="4031"/>
      <c r="F13" s="2479"/>
    </row>
    <row r="14" spans="1:6" ht="16.7" customHeight="1" x14ac:dyDescent="0.2">
      <c r="A14" s="2752">
        <v>7</v>
      </c>
      <c r="B14" s="2512" t="s">
        <v>513</v>
      </c>
      <c r="C14" s="2530">
        <v>29892118</v>
      </c>
      <c r="D14" s="4029"/>
      <c r="E14" s="4031"/>
      <c r="F14" s="2479"/>
    </row>
    <row r="15" spans="1:6" ht="16.7" customHeight="1" x14ac:dyDescent="0.2">
      <c r="A15" s="2752">
        <v>8</v>
      </c>
      <c r="B15" s="2512" t="s">
        <v>514</v>
      </c>
      <c r="C15" s="2530">
        <v>8580394</v>
      </c>
      <c r="D15" s="4029"/>
      <c r="E15" s="4031"/>
      <c r="F15" s="2479"/>
    </row>
    <row r="16" spans="1:6" ht="16.7" customHeight="1" x14ac:dyDescent="0.2">
      <c r="A16" s="2752">
        <v>9</v>
      </c>
      <c r="B16" s="2512" t="s">
        <v>515</v>
      </c>
      <c r="C16" s="2530">
        <v>0</v>
      </c>
      <c r="D16" s="4029"/>
      <c r="E16" s="4031"/>
      <c r="F16" s="2479"/>
    </row>
    <row r="17" spans="1:6" ht="16.7" customHeight="1" x14ac:dyDescent="0.2">
      <c r="A17" s="2752">
        <v>10</v>
      </c>
      <c r="B17" s="2512" t="s">
        <v>516</v>
      </c>
      <c r="C17" s="2689">
        <v>38419021</v>
      </c>
      <c r="D17" s="4029"/>
      <c r="E17" s="4031"/>
      <c r="F17" s="2479"/>
    </row>
    <row r="18" spans="1:6" ht="16.7" customHeight="1" x14ac:dyDescent="0.2">
      <c r="A18" s="2752">
        <v>11</v>
      </c>
      <c r="B18" s="2512" t="s">
        <v>10078</v>
      </c>
      <c r="C18" s="2690">
        <f>SUM(C10:C17)</f>
        <v>245878457</v>
      </c>
      <c r="D18" s="4029"/>
      <c r="E18" s="4031"/>
      <c r="F18" s="2479"/>
    </row>
    <row r="19" spans="1:6" ht="16.7" customHeight="1" x14ac:dyDescent="0.2">
      <c r="A19" s="2752">
        <v>12</v>
      </c>
      <c r="B19" s="2512" t="s">
        <v>438</v>
      </c>
      <c r="C19" s="4029"/>
      <c r="D19" s="4030"/>
      <c r="E19" s="4031"/>
      <c r="F19" s="2479"/>
    </row>
    <row r="20" spans="1:6" ht="16.7" customHeight="1" x14ac:dyDescent="0.2">
      <c r="A20" s="2752">
        <v>13</v>
      </c>
      <c r="B20" s="2512" t="s">
        <v>105</v>
      </c>
      <c r="C20" s="2530">
        <v>42331535</v>
      </c>
      <c r="D20" s="4029"/>
      <c r="E20" s="4031"/>
      <c r="F20" s="2479"/>
    </row>
    <row r="21" spans="1:6" ht="16.7" customHeight="1" x14ac:dyDescent="0.2">
      <c r="A21" s="2752">
        <v>14</v>
      </c>
      <c r="B21" s="2512" t="s">
        <v>106</v>
      </c>
      <c r="C21" s="2530">
        <v>13251987</v>
      </c>
      <c r="D21" s="4029"/>
      <c r="E21" s="4031"/>
      <c r="F21" s="2479"/>
    </row>
    <row r="22" spans="1:6" ht="16.7" customHeight="1" x14ac:dyDescent="0.2">
      <c r="A22" s="2752">
        <v>15</v>
      </c>
      <c r="B22" s="2512" t="s">
        <v>10077</v>
      </c>
      <c r="C22" s="2530">
        <v>0</v>
      </c>
      <c r="D22" s="4029"/>
      <c r="E22" s="4031"/>
      <c r="F22" s="2479"/>
    </row>
    <row r="23" spans="1:6" ht="16.7" customHeight="1" x14ac:dyDescent="0.2">
      <c r="A23" s="2752">
        <v>16</v>
      </c>
      <c r="B23" s="2512" t="s">
        <v>512</v>
      </c>
      <c r="C23" s="2530">
        <v>83215928</v>
      </c>
      <c r="D23" s="4029"/>
      <c r="E23" s="4031"/>
      <c r="F23" s="2479"/>
    </row>
    <row r="24" spans="1:6" ht="16.7" customHeight="1" x14ac:dyDescent="0.2">
      <c r="A24" s="2752">
        <v>17</v>
      </c>
      <c r="B24" s="2512" t="s">
        <v>516</v>
      </c>
      <c r="C24" s="2689">
        <v>1739480</v>
      </c>
      <c r="D24" s="4029"/>
      <c r="E24" s="4031"/>
      <c r="F24" s="2479"/>
    </row>
    <row r="25" spans="1:6" ht="16.7" customHeight="1" x14ac:dyDescent="0.2">
      <c r="A25" s="2752">
        <v>18</v>
      </c>
      <c r="B25" s="2512" t="s">
        <v>10079</v>
      </c>
      <c r="C25" s="2690">
        <f>SUM(C20:C24)</f>
        <v>140538930</v>
      </c>
      <c r="D25" s="4029"/>
      <c r="E25" s="4031"/>
      <c r="F25" s="2479"/>
    </row>
    <row r="26" spans="1:6" ht="16.7" customHeight="1" x14ac:dyDescent="0.2">
      <c r="A26" s="2752">
        <v>19</v>
      </c>
      <c r="B26" s="2512" t="s">
        <v>10080</v>
      </c>
      <c r="C26" s="4029"/>
      <c r="D26" s="4030"/>
      <c r="E26" s="4031"/>
      <c r="F26" s="2479"/>
    </row>
    <row r="27" spans="1:6" ht="16.7" customHeight="1" x14ac:dyDescent="0.2">
      <c r="A27" s="2752">
        <v>20</v>
      </c>
      <c r="B27" s="2512" t="s">
        <v>10081</v>
      </c>
      <c r="C27" s="2645">
        <f>C10+C20</f>
        <v>143401785</v>
      </c>
      <c r="D27" s="4029"/>
      <c r="E27" s="4031"/>
      <c r="F27" s="2479"/>
    </row>
    <row r="28" spans="1:6" ht="16.7" customHeight="1" x14ac:dyDescent="0.2">
      <c r="A28" s="2752">
        <v>21</v>
      </c>
      <c r="B28" s="2512" t="s">
        <v>10082</v>
      </c>
      <c r="C28" s="2645">
        <f>C11+C21</f>
        <v>33170529</v>
      </c>
      <c r="D28" s="4029"/>
      <c r="E28" s="4031"/>
      <c r="F28" s="2479"/>
    </row>
    <row r="29" spans="1:6" ht="16.7" customHeight="1" x14ac:dyDescent="0.2">
      <c r="A29" s="2752">
        <v>22</v>
      </c>
      <c r="B29" s="2512" t="s">
        <v>10083</v>
      </c>
      <c r="C29" s="2645">
        <f>C12+C22</f>
        <v>0</v>
      </c>
      <c r="D29" s="4029"/>
      <c r="E29" s="4031"/>
      <c r="F29" s="2479"/>
    </row>
    <row r="30" spans="1:6" ht="16.7" customHeight="1" x14ac:dyDescent="0.2">
      <c r="A30" s="2752">
        <v>23</v>
      </c>
      <c r="B30" s="2512" t="s">
        <v>10084</v>
      </c>
      <c r="C30" s="2645">
        <f>C13+C23</f>
        <v>131214060</v>
      </c>
      <c r="D30" s="4029"/>
      <c r="E30" s="4031"/>
      <c r="F30" s="2479"/>
    </row>
    <row r="31" spans="1:6" ht="16.7" customHeight="1" x14ac:dyDescent="0.2">
      <c r="A31" s="2752">
        <v>24</v>
      </c>
      <c r="B31" s="2512" t="s">
        <v>10085</v>
      </c>
      <c r="C31" s="2645">
        <f>C14</f>
        <v>29892118</v>
      </c>
      <c r="D31" s="4029"/>
      <c r="E31" s="4031"/>
      <c r="F31" s="2479"/>
    </row>
    <row r="32" spans="1:6" ht="16.7" customHeight="1" x14ac:dyDescent="0.2">
      <c r="A32" s="2752">
        <v>25</v>
      </c>
      <c r="B32" s="2512" t="s">
        <v>10086</v>
      </c>
      <c r="C32" s="2645">
        <f>C15</f>
        <v>8580394</v>
      </c>
      <c r="D32" s="4029"/>
      <c r="E32" s="4031"/>
      <c r="F32" s="2479"/>
    </row>
    <row r="33" spans="1:6" ht="16.7" customHeight="1" x14ac:dyDescent="0.2">
      <c r="A33" s="2752">
        <v>26</v>
      </c>
      <c r="B33" s="2512" t="s">
        <v>10087</v>
      </c>
      <c r="C33" s="2645">
        <f>C16</f>
        <v>0</v>
      </c>
      <c r="D33" s="4029"/>
      <c r="E33" s="4031"/>
      <c r="F33" s="2479"/>
    </row>
    <row r="34" spans="1:6" ht="16.7" customHeight="1" x14ac:dyDescent="0.2">
      <c r="A34" s="2752">
        <v>27</v>
      </c>
      <c r="B34" s="2512" t="s">
        <v>10088</v>
      </c>
      <c r="C34" s="2645">
        <f>C17+C24</f>
        <v>40158501</v>
      </c>
      <c r="D34" s="4029"/>
      <c r="E34" s="4031"/>
      <c r="F34" s="2479"/>
    </row>
    <row r="35" spans="1:6" ht="16.7" customHeight="1" x14ac:dyDescent="0.2">
      <c r="A35" s="2752">
        <v>28</v>
      </c>
      <c r="B35" s="2512" t="s">
        <v>10089</v>
      </c>
      <c r="C35" s="2645">
        <f>SUM(C27:C34)</f>
        <v>386417387</v>
      </c>
      <c r="D35" s="2614"/>
      <c r="E35" s="2530">
        <v>386417387</v>
      </c>
      <c r="F35" s="2479"/>
    </row>
    <row r="36" spans="1:6" ht="16.7" customHeight="1" x14ac:dyDescent="0.2">
      <c r="A36" s="2752">
        <v>29</v>
      </c>
      <c r="B36" s="2512" t="s">
        <v>6498</v>
      </c>
      <c r="C36" s="4029"/>
      <c r="D36" s="4030"/>
      <c r="E36" s="4031"/>
      <c r="F36" s="2479"/>
    </row>
    <row r="37" spans="1:6" ht="16.7" customHeight="1" x14ac:dyDescent="0.2">
      <c r="A37" s="2752">
        <v>30</v>
      </c>
      <c r="B37" s="2512" t="s">
        <v>437</v>
      </c>
      <c r="C37" s="4029"/>
      <c r="D37" s="4030"/>
      <c r="E37" s="4031"/>
      <c r="F37" s="2479"/>
    </row>
    <row r="38" spans="1:6" ht="16.7" customHeight="1" x14ac:dyDescent="0.2">
      <c r="A38" s="2752">
        <v>31</v>
      </c>
      <c r="B38" s="2512" t="s">
        <v>10090</v>
      </c>
      <c r="C38" s="2488"/>
      <c r="D38" s="4029"/>
      <c r="E38" s="4031"/>
      <c r="F38" s="2479"/>
    </row>
    <row r="39" spans="1:6" ht="16.7" customHeight="1" x14ac:dyDescent="0.2">
      <c r="A39" s="2752">
        <v>32</v>
      </c>
      <c r="B39" s="2512" t="s">
        <v>10091</v>
      </c>
      <c r="C39" s="2488"/>
      <c r="D39" s="4029"/>
      <c r="E39" s="4031"/>
      <c r="F39" s="2479"/>
    </row>
    <row r="40" spans="1:6" ht="16.7" customHeight="1" x14ac:dyDescent="0.2">
      <c r="A40" s="2752">
        <v>33</v>
      </c>
      <c r="B40" s="2512" t="s">
        <v>10092</v>
      </c>
      <c r="C40" s="2488"/>
      <c r="D40" s="4029"/>
      <c r="E40" s="4031"/>
      <c r="F40" s="2479"/>
    </row>
    <row r="41" spans="1:6" ht="16.7" customHeight="1" x14ac:dyDescent="0.2">
      <c r="A41" s="2752">
        <v>34</v>
      </c>
      <c r="B41" s="2512" t="s">
        <v>10093</v>
      </c>
      <c r="C41" s="2488"/>
      <c r="D41" s="4029"/>
      <c r="E41" s="4031"/>
      <c r="F41" s="2479"/>
    </row>
    <row r="42" spans="1:6" ht="16.7" customHeight="1" x14ac:dyDescent="0.2">
      <c r="A42" s="2752">
        <v>35</v>
      </c>
      <c r="B42" s="2512" t="s">
        <v>106</v>
      </c>
      <c r="C42" s="2488"/>
      <c r="D42" s="4029"/>
      <c r="E42" s="4031"/>
      <c r="F42" s="2479"/>
    </row>
    <row r="43" spans="1:6" ht="16.7" customHeight="1" x14ac:dyDescent="0.2">
      <c r="A43" s="2752">
        <v>36</v>
      </c>
      <c r="B43" s="2512" t="s">
        <v>512</v>
      </c>
      <c r="C43" s="2488"/>
      <c r="D43" s="4029"/>
      <c r="E43" s="4031"/>
      <c r="F43" s="2479"/>
    </row>
    <row r="44" spans="1:6" ht="16.7" customHeight="1" x14ac:dyDescent="0.2">
      <c r="A44" s="2752">
        <v>37</v>
      </c>
      <c r="B44" s="2512" t="s">
        <v>513</v>
      </c>
      <c r="C44" s="2488"/>
      <c r="D44" s="4029"/>
      <c r="E44" s="4031"/>
      <c r="F44" s="2479"/>
    </row>
    <row r="45" spans="1:6" ht="16.7" customHeight="1" x14ac:dyDescent="0.2">
      <c r="A45" s="2752">
        <v>38</v>
      </c>
      <c r="B45" s="2512" t="s">
        <v>514</v>
      </c>
      <c r="C45" s="2488"/>
      <c r="D45" s="4029"/>
      <c r="E45" s="4031"/>
      <c r="F45" s="2479"/>
    </row>
    <row r="46" spans="1:6" ht="16.7" customHeight="1" x14ac:dyDescent="0.2">
      <c r="A46" s="2752">
        <v>39</v>
      </c>
      <c r="B46" s="2512" t="s">
        <v>515</v>
      </c>
      <c r="C46" s="2488"/>
      <c r="D46" s="4029"/>
      <c r="E46" s="4031"/>
      <c r="F46" s="2479"/>
    </row>
    <row r="47" spans="1:6" ht="16.7" customHeight="1" x14ac:dyDescent="0.2">
      <c r="A47" s="2752">
        <v>40</v>
      </c>
      <c r="B47" s="2512" t="s">
        <v>516</v>
      </c>
      <c r="C47" s="2488"/>
      <c r="D47" s="4029"/>
      <c r="E47" s="4031"/>
      <c r="F47" s="2479"/>
    </row>
    <row r="48" spans="1:6" ht="16.7" customHeight="1" x14ac:dyDescent="0.2">
      <c r="A48" s="2752">
        <v>41</v>
      </c>
      <c r="B48" s="2512" t="s">
        <v>10094</v>
      </c>
      <c r="C48" s="2645">
        <f>SUM(C38:C47)</f>
        <v>0</v>
      </c>
      <c r="D48" s="4029"/>
      <c r="E48" s="4031"/>
      <c r="F48" s="2479"/>
    </row>
    <row r="49" spans="1:6" ht="16.7" customHeight="1" x14ac:dyDescent="0.2">
      <c r="A49" s="2752">
        <v>42</v>
      </c>
      <c r="B49" s="2512" t="s">
        <v>438</v>
      </c>
      <c r="C49" s="4029"/>
      <c r="D49" s="4030"/>
      <c r="E49" s="4031"/>
      <c r="F49" s="2479"/>
    </row>
    <row r="50" spans="1:6" ht="16.7" customHeight="1" x14ac:dyDescent="0.2">
      <c r="A50" s="2752">
        <v>43</v>
      </c>
      <c r="B50" s="2512" t="s">
        <v>10090</v>
      </c>
      <c r="C50" s="2488"/>
      <c r="D50" s="4029"/>
      <c r="E50" s="4031"/>
      <c r="F50" s="2479"/>
    </row>
    <row r="51" spans="1:6" ht="16.7" customHeight="1" x14ac:dyDescent="0.2">
      <c r="A51" s="2752">
        <v>44</v>
      </c>
      <c r="B51" s="2512" t="s">
        <v>10095</v>
      </c>
      <c r="C51" s="2488"/>
      <c r="D51" s="4029"/>
      <c r="E51" s="4031"/>
      <c r="F51" s="2479"/>
    </row>
    <row r="52" spans="1:6" ht="16.7" customHeight="1" x14ac:dyDescent="0.2">
      <c r="A52" s="2752">
        <v>45</v>
      </c>
      <c r="B52" s="2512" t="s">
        <v>10092</v>
      </c>
      <c r="C52" s="2488"/>
      <c r="D52" s="4029"/>
      <c r="E52" s="4031"/>
      <c r="F52" s="2479"/>
    </row>
    <row r="53" spans="1:6" ht="16.7" customHeight="1" x14ac:dyDescent="0.2">
      <c r="A53" s="2752">
        <v>46</v>
      </c>
      <c r="B53" s="2512" t="s">
        <v>10093</v>
      </c>
      <c r="C53" s="2488"/>
      <c r="D53" s="4029"/>
      <c r="E53" s="4031"/>
      <c r="F53" s="2479"/>
    </row>
    <row r="54" spans="1:6" ht="16.7" customHeight="1" x14ac:dyDescent="0.2">
      <c r="A54" s="2752">
        <v>47</v>
      </c>
      <c r="B54" s="2512" t="s">
        <v>106</v>
      </c>
      <c r="C54" s="2488"/>
      <c r="D54" s="4029"/>
      <c r="E54" s="4031"/>
      <c r="F54" s="2479"/>
    </row>
    <row r="55" spans="1:6" ht="16.7" customHeight="1" x14ac:dyDescent="0.2">
      <c r="A55" s="2752">
        <v>48</v>
      </c>
      <c r="B55" s="2512" t="s">
        <v>512</v>
      </c>
      <c r="C55" s="2488"/>
      <c r="D55" s="4029"/>
      <c r="E55" s="4031"/>
      <c r="F55" s="2479"/>
    </row>
    <row r="56" spans="1:6" ht="16.7" customHeight="1" x14ac:dyDescent="0.2">
      <c r="A56" s="2752">
        <v>49</v>
      </c>
      <c r="B56" s="2512" t="s">
        <v>516</v>
      </c>
      <c r="C56" s="2582"/>
      <c r="D56" s="4029"/>
      <c r="E56" s="4031"/>
      <c r="F56" s="2479"/>
    </row>
    <row r="57" spans="1:6" ht="16.7" customHeight="1" x14ac:dyDescent="0.2">
      <c r="A57" s="2752">
        <v>50</v>
      </c>
      <c r="B57" s="2512" t="s">
        <v>10096</v>
      </c>
      <c r="C57" s="2690">
        <f>SUM(C55:C56,C50:C54)</f>
        <v>0</v>
      </c>
      <c r="D57" s="4029"/>
      <c r="E57" s="4031"/>
      <c r="F57" s="2479"/>
    </row>
    <row r="58" spans="1:6" ht="16.7" customHeight="1" x14ac:dyDescent="0.2">
      <c r="A58" s="2752">
        <v>51</v>
      </c>
      <c r="B58" s="2512" t="s">
        <v>10080</v>
      </c>
      <c r="C58" s="4029"/>
      <c r="D58" s="4030"/>
      <c r="E58" s="4031"/>
      <c r="F58" s="2479"/>
    </row>
    <row r="59" spans="1:6" ht="16.7" customHeight="1" x14ac:dyDescent="0.2">
      <c r="A59" s="2752">
        <v>52</v>
      </c>
      <c r="B59" s="2512" t="s">
        <v>10097</v>
      </c>
      <c r="C59" s="2645">
        <f>C38+C50</f>
        <v>0</v>
      </c>
      <c r="D59" s="4029"/>
      <c r="E59" s="4031"/>
      <c r="F59" s="2479"/>
    </row>
    <row r="60" spans="1:6" ht="16.7" customHeight="1" x14ac:dyDescent="0.2">
      <c r="A60" s="2752">
        <v>53</v>
      </c>
      <c r="B60" s="2512" t="s">
        <v>10098</v>
      </c>
      <c r="C60" s="2645">
        <f>C39+C51</f>
        <v>0</v>
      </c>
      <c r="D60" s="4029"/>
      <c r="E60" s="4031"/>
      <c r="F60" s="2479"/>
    </row>
    <row r="61" spans="1:6" ht="16.7" customHeight="1" x14ac:dyDescent="0.2">
      <c r="A61" s="2752">
        <v>54</v>
      </c>
      <c r="B61" s="2512" t="s">
        <v>10099</v>
      </c>
      <c r="C61" s="2645">
        <f>C52+C40</f>
        <v>0</v>
      </c>
      <c r="D61" s="4029"/>
      <c r="E61" s="4031"/>
      <c r="F61" s="2479"/>
    </row>
    <row r="62" spans="1:6" ht="16.7" customHeight="1" x14ac:dyDescent="0.2">
      <c r="A62" s="2752">
        <v>55</v>
      </c>
      <c r="B62" s="2512" t="s">
        <v>10100</v>
      </c>
      <c r="C62" s="2645">
        <f>SUM(C41,C53)</f>
        <v>0</v>
      </c>
      <c r="D62" s="4029"/>
      <c r="E62" s="4031"/>
      <c r="F62" s="2479"/>
    </row>
    <row r="63" spans="1:6" ht="16.7" customHeight="1" x14ac:dyDescent="0.2">
      <c r="A63" s="2752">
        <v>56</v>
      </c>
      <c r="B63" s="2512" t="s">
        <v>10101</v>
      </c>
      <c r="C63" s="2645">
        <f>C42+C54</f>
        <v>0</v>
      </c>
      <c r="D63" s="4029"/>
      <c r="E63" s="4031"/>
      <c r="F63" s="2479"/>
    </row>
    <row r="64" spans="1:6" ht="16.7" customHeight="1" x14ac:dyDescent="0.2">
      <c r="A64" s="2752">
        <v>57</v>
      </c>
      <c r="B64" s="2512" t="s">
        <v>10102</v>
      </c>
      <c r="C64" s="2645">
        <f>C43+C55</f>
        <v>0</v>
      </c>
      <c r="D64" s="4029"/>
      <c r="E64" s="4031"/>
      <c r="F64" s="2479"/>
    </row>
    <row r="65" spans="1:6" ht="16.7" customHeight="1" x14ac:dyDescent="0.2">
      <c r="A65" s="2752">
        <v>58</v>
      </c>
      <c r="B65" s="2512" t="s">
        <v>10103</v>
      </c>
      <c r="C65" s="2645">
        <f>C44</f>
        <v>0</v>
      </c>
      <c r="D65" s="4029"/>
      <c r="E65" s="4031"/>
      <c r="F65" s="2479"/>
    </row>
    <row r="66" spans="1:6" ht="16.7" customHeight="1" x14ac:dyDescent="0.2">
      <c r="A66" s="2752">
        <v>59</v>
      </c>
      <c r="B66" s="2512" t="s">
        <v>10104</v>
      </c>
      <c r="C66" s="2645">
        <f>C45</f>
        <v>0</v>
      </c>
      <c r="D66" s="4029"/>
      <c r="E66" s="4031"/>
      <c r="F66" s="2479"/>
    </row>
    <row r="67" spans="1:6" ht="16.7" customHeight="1" x14ac:dyDescent="0.2">
      <c r="A67" s="2752">
        <v>60</v>
      </c>
      <c r="B67" s="2512" t="s">
        <v>10105</v>
      </c>
      <c r="C67" s="2645">
        <f>C46</f>
        <v>0</v>
      </c>
      <c r="D67" s="4029"/>
      <c r="E67" s="4031"/>
      <c r="F67" s="2479"/>
    </row>
    <row r="68" spans="1:6" ht="16.7" customHeight="1" x14ac:dyDescent="0.2">
      <c r="A68" s="2752">
        <v>61</v>
      </c>
      <c r="B68" s="2512" t="s">
        <v>10106</v>
      </c>
      <c r="C68" s="2645">
        <f>C47+C56</f>
        <v>0</v>
      </c>
      <c r="D68" s="4029"/>
      <c r="E68" s="4031"/>
      <c r="F68" s="2479"/>
    </row>
    <row r="69" spans="1:6" ht="16.7" customHeight="1" x14ac:dyDescent="0.2">
      <c r="A69" s="2752">
        <v>62</v>
      </c>
      <c r="B69" s="2512" t="s">
        <v>10107</v>
      </c>
      <c r="C69" s="2645">
        <f>SUM(C59:C68)</f>
        <v>0</v>
      </c>
      <c r="D69" s="2488"/>
      <c r="E69" s="2488"/>
      <c r="F69" s="2479"/>
    </row>
    <row r="70" spans="1:6" ht="16.7" customHeight="1" x14ac:dyDescent="0.2">
      <c r="A70" s="2752">
        <v>63</v>
      </c>
      <c r="B70" s="2512" t="s">
        <v>10108</v>
      </c>
      <c r="C70" s="2488"/>
      <c r="D70" s="2488"/>
      <c r="E70" s="2488"/>
      <c r="F70" s="2479"/>
    </row>
    <row r="71" spans="1:6" ht="16.7" customHeight="1" x14ac:dyDescent="0.2">
      <c r="A71" s="2752">
        <v>64</v>
      </c>
      <c r="B71" s="2512" t="s">
        <v>279</v>
      </c>
      <c r="C71" s="2488"/>
      <c r="D71" s="2488"/>
      <c r="E71" s="2488"/>
      <c r="F71" s="2479"/>
    </row>
    <row r="72" spans="1:6" ht="16.7" customHeight="1" x14ac:dyDescent="0.2">
      <c r="A72" s="2752">
        <v>65</v>
      </c>
      <c r="B72" s="2512" t="s">
        <v>10109</v>
      </c>
      <c r="C72" s="2645">
        <f>C69+C71+C35</f>
        <v>386417387</v>
      </c>
      <c r="D72" s="2645">
        <f>D69+D71+D35</f>
        <v>0</v>
      </c>
      <c r="E72" s="2645">
        <f>SUM(C72:D72)</f>
        <v>386417387</v>
      </c>
      <c r="F72" s="2479"/>
    </row>
    <row r="73" spans="1:6" ht="16.7" customHeight="1" x14ac:dyDescent="0.2">
      <c r="A73" s="2752">
        <v>66</v>
      </c>
      <c r="B73" s="2512" t="s">
        <v>274</v>
      </c>
      <c r="C73" s="4083"/>
      <c r="D73" s="4084"/>
      <c r="E73" s="4085"/>
      <c r="F73" s="2479"/>
    </row>
    <row r="74" spans="1:6" ht="16.7" customHeight="1" x14ac:dyDescent="0.2">
      <c r="A74" s="2752">
        <v>67</v>
      </c>
      <c r="B74" s="2512" t="s">
        <v>10110</v>
      </c>
      <c r="C74" s="4029"/>
      <c r="D74" s="4030"/>
      <c r="E74" s="4031"/>
      <c r="F74" s="2479"/>
    </row>
    <row r="75" spans="1:6" ht="16.7" customHeight="1" x14ac:dyDescent="0.2">
      <c r="A75" s="2752">
        <v>68</v>
      </c>
      <c r="B75" s="2512" t="s">
        <v>10111</v>
      </c>
      <c r="C75" s="2530">
        <v>191951205</v>
      </c>
      <c r="D75" s="2614"/>
      <c r="E75" s="2530">
        <v>191951205</v>
      </c>
      <c r="F75" s="2479"/>
    </row>
    <row r="76" spans="1:6" ht="16.7" customHeight="1" x14ac:dyDescent="0.2">
      <c r="A76" s="2752">
        <v>69</v>
      </c>
      <c r="B76" s="2512" t="s">
        <v>10112</v>
      </c>
      <c r="C76" s="2488"/>
      <c r="D76" s="2488"/>
      <c r="E76" s="2488"/>
      <c r="F76" s="2479"/>
    </row>
    <row r="77" spans="1:6" ht="16.7" customHeight="1" x14ac:dyDescent="0.2">
      <c r="A77" s="2752">
        <v>70</v>
      </c>
      <c r="B77" s="2512" t="s">
        <v>10113</v>
      </c>
      <c r="C77" s="2582"/>
      <c r="D77" s="2582"/>
      <c r="E77" s="2582"/>
      <c r="F77" s="2479"/>
    </row>
    <row r="78" spans="1:6" ht="16.7" customHeight="1" x14ac:dyDescent="0.2">
      <c r="A78" s="2752">
        <v>71</v>
      </c>
      <c r="B78" s="2512" t="s">
        <v>10114</v>
      </c>
      <c r="C78" s="2690">
        <f>SUM(C75:C77)</f>
        <v>191951205</v>
      </c>
      <c r="D78" s="2690">
        <f>SUM(D75:D77)</f>
        <v>0</v>
      </c>
      <c r="E78" s="2690">
        <f>SUM(C78:D78)</f>
        <v>191951205</v>
      </c>
      <c r="F78" s="2479"/>
    </row>
    <row r="79" spans="1:6" ht="16.7" customHeight="1" x14ac:dyDescent="0.2">
      <c r="A79" s="2752">
        <v>72</v>
      </c>
      <c r="B79" s="2512" t="s">
        <v>10115</v>
      </c>
      <c r="C79" s="4029"/>
      <c r="D79" s="4030"/>
      <c r="E79" s="4031"/>
      <c r="F79" s="2479"/>
    </row>
    <row r="80" spans="1:6" ht="16.7" customHeight="1" x14ac:dyDescent="0.2">
      <c r="A80" s="2752">
        <v>73</v>
      </c>
      <c r="B80" s="2512" t="s">
        <v>10111</v>
      </c>
      <c r="C80" s="2530">
        <v>13892487</v>
      </c>
      <c r="D80" s="2614"/>
      <c r="E80" s="2530">
        <v>13892487</v>
      </c>
      <c r="F80" s="2479"/>
    </row>
    <row r="81" spans="1:6" ht="16.7" customHeight="1" x14ac:dyDescent="0.2">
      <c r="A81" s="2752">
        <v>74</v>
      </c>
      <c r="B81" s="2512" t="s">
        <v>10112</v>
      </c>
      <c r="C81" s="2488"/>
      <c r="D81" s="2488"/>
      <c r="E81" s="2488"/>
      <c r="F81" s="2479"/>
    </row>
    <row r="82" spans="1:6" ht="16.7" customHeight="1" x14ac:dyDescent="0.2">
      <c r="A82" s="2752">
        <v>75</v>
      </c>
      <c r="B82" s="2512" t="s">
        <v>10113</v>
      </c>
      <c r="C82" s="2582"/>
      <c r="D82" s="2582"/>
      <c r="E82" s="2582"/>
      <c r="F82" s="2479"/>
    </row>
    <row r="83" spans="1:6" ht="16.7" customHeight="1" x14ac:dyDescent="0.2">
      <c r="A83" s="2752">
        <v>76</v>
      </c>
      <c r="B83" s="2512" t="s">
        <v>10116</v>
      </c>
      <c r="C83" s="2690">
        <f>SUM(C80:C82)</f>
        <v>13892487</v>
      </c>
      <c r="D83" s="2690">
        <f>SUM(D80:D82)</f>
        <v>0</v>
      </c>
      <c r="E83" s="2690">
        <f>SUM(C83:D83)</f>
        <v>13892487</v>
      </c>
      <c r="F83" s="2479"/>
    </row>
    <row r="84" spans="1:6" ht="16.7" customHeight="1" x14ac:dyDescent="0.2">
      <c r="A84" s="2752">
        <v>77</v>
      </c>
      <c r="B84" s="2512" t="s">
        <v>10117</v>
      </c>
      <c r="C84" s="2488"/>
      <c r="D84" s="2488"/>
      <c r="E84" s="2488"/>
      <c r="F84" s="2479" t="str">
        <f t="shared" ref="F84:F101" si="0">B84</f>
        <v>Other Accounts (Specify, provide details in footnote):</v>
      </c>
    </row>
    <row r="85" spans="1:6" ht="16.7" customHeight="1" x14ac:dyDescent="0.2">
      <c r="A85" s="2752">
        <v>78</v>
      </c>
      <c r="B85" s="2512" t="s">
        <v>436</v>
      </c>
      <c r="C85" s="2530">
        <v>6425571</v>
      </c>
      <c r="D85" s="2488"/>
      <c r="E85" s="2530">
        <v>6425571</v>
      </c>
      <c r="F85" s="2479" t="str">
        <f t="shared" si="0"/>
        <v>Fuel Stock</v>
      </c>
    </row>
    <row r="86" spans="1:6" ht="16.7" customHeight="1" x14ac:dyDescent="0.2">
      <c r="A86" s="2752">
        <v>79</v>
      </c>
      <c r="B86" s="2512" t="s">
        <v>10118</v>
      </c>
      <c r="C86" s="2530">
        <v>907078</v>
      </c>
      <c r="D86" s="2614"/>
      <c r="E86" s="2530">
        <v>907078</v>
      </c>
      <c r="F86" s="2479" t="str">
        <f t="shared" si="0"/>
        <v>Miscellaneous Other Income Deductions</v>
      </c>
    </row>
    <row r="87" spans="1:6" ht="16.7" customHeight="1" x14ac:dyDescent="0.2">
      <c r="A87" s="2752">
        <v>80</v>
      </c>
      <c r="B87" s="2512" t="s">
        <v>10119</v>
      </c>
      <c r="C87" s="2530">
        <v>1632172</v>
      </c>
      <c r="D87" s="2488"/>
      <c r="E87" s="2530">
        <v>1632172</v>
      </c>
      <c r="F87" s="2479" t="str">
        <f t="shared" si="0"/>
        <v>Miscellaneous Non-Operating and Non-Utility</v>
      </c>
    </row>
    <row r="88" spans="1:6" ht="16.7" customHeight="1" x14ac:dyDescent="0.2">
      <c r="A88" s="2752">
        <v>81</v>
      </c>
      <c r="B88" s="2512" t="s">
        <v>10120</v>
      </c>
      <c r="C88" s="2530">
        <v>19511317</v>
      </c>
      <c r="D88" s="2614"/>
      <c r="E88" s="2530">
        <v>19511317</v>
      </c>
      <c r="F88" s="2479" t="str">
        <f t="shared" si="0"/>
        <v>Charges to Affiliates</v>
      </c>
    </row>
    <row r="89" spans="1:6" ht="16.7" customHeight="1" x14ac:dyDescent="0.2">
      <c r="A89" s="2752">
        <v>82</v>
      </c>
      <c r="B89" s="2512"/>
      <c r="C89" s="2614"/>
      <c r="D89" s="2488"/>
      <c r="E89" s="2614"/>
      <c r="F89" s="2595">
        <f t="shared" si="0"/>
        <v>0</v>
      </c>
    </row>
    <row r="90" spans="1:6" ht="16.7" customHeight="1" x14ac:dyDescent="0.2">
      <c r="A90" s="2752">
        <v>83</v>
      </c>
      <c r="B90" s="2512"/>
      <c r="C90" s="2614"/>
      <c r="D90" s="2614"/>
      <c r="E90" s="2488"/>
      <c r="F90" s="2595">
        <f t="shared" si="0"/>
        <v>0</v>
      </c>
    </row>
    <row r="91" spans="1:6" ht="16.7" customHeight="1" x14ac:dyDescent="0.2">
      <c r="A91" s="2752">
        <v>84</v>
      </c>
      <c r="B91" s="2488"/>
      <c r="C91" s="2488"/>
      <c r="D91" s="2488"/>
      <c r="E91" s="2488"/>
      <c r="F91" s="2595">
        <f t="shared" si="0"/>
        <v>0</v>
      </c>
    </row>
    <row r="92" spans="1:6" ht="16.7" customHeight="1" x14ac:dyDescent="0.2">
      <c r="A92" s="2752">
        <v>85</v>
      </c>
      <c r="B92" s="2488"/>
      <c r="C92" s="2488"/>
      <c r="D92" s="2488"/>
      <c r="E92" s="2488"/>
      <c r="F92" s="2595">
        <f t="shared" si="0"/>
        <v>0</v>
      </c>
    </row>
    <row r="93" spans="1:6" ht="16.7" customHeight="1" x14ac:dyDescent="0.2">
      <c r="A93" s="2752">
        <v>86</v>
      </c>
      <c r="B93" s="2488"/>
      <c r="C93" s="2488"/>
      <c r="D93" s="2488"/>
      <c r="E93" s="2488"/>
      <c r="F93" s="2595">
        <f t="shared" si="0"/>
        <v>0</v>
      </c>
    </row>
    <row r="94" spans="1:6" ht="16.7" customHeight="1" x14ac:dyDescent="0.2">
      <c r="A94" s="2752">
        <v>87</v>
      </c>
      <c r="B94" s="2488"/>
      <c r="C94" s="2488"/>
      <c r="D94" s="2488"/>
      <c r="E94" s="2488"/>
      <c r="F94" s="2595">
        <f t="shared" si="0"/>
        <v>0</v>
      </c>
    </row>
    <row r="95" spans="1:6" ht="16.7" customHeight="1" x14ac:dyDescent="0.2">
      <c r="A95" s="2752">
        <v>88</v>
      </c>
      <c r="B95" s="2488"/>
      <c r="C95" s="2488"/>
      <c r="D95" s="2488"/>
      <c r="E95" s="2488"/>
      <c r="F95" s="2595">
        <f t="shared" si="0"/>
        <v>0</v>
      </c>
    </row>
    <row r="96" spans="1:6" ht="16.7" customHeight="1" x14ac:dyDescent="0.2">
      <c r="A96" s="2752">
        <v>89</v>
      </c>
      <c r="B96" s="2488"/>
      <c r="C96" s="2488"/>
      <c r="D96" s="2488"/>
      <c r="E96" s="2488"/>
      <c r="F96" s="2595">
        <f t="shared" si="0"/>
        <v>0</v>
      </c>
    </row>
    <row r="97" spans="1:6" ht="16.7" customHeight="1" x14ac:dyDescent="0.2">
      <c r="A97" s="2752">
        <v>90</v>
      </c>
      <c r="B97" s="2488"/>
      <c r="C97" s="2488"/>
      <c r="D97" s="2488"/>
      <c r="E97" s="2488"/>
      <c r="F97" s="2595">
        <f t="shared" si="0"/>
        <v>0</v>
      </c>
    </row>
    <row r="98" spans="1:6" ht="16.7" customHeight="1" x14ac:dyDescent="0.2">
      <c r="A98" s="2752">
        <v>91</v>
      </c>
      <c r="B98" s="2488"/>
      <c r="C98" s="2488"/>
      <c r="D98" s="2488"/>
      <c r="E98" s="2488"/>
      <c r="F98" s="2595">
        <f t="shared" si="0"/>
        <v>0</v>
      </c>
    </row>
    <row r="99" spans="1:6" ht="16.7" customHeight="1" x14ac:dyDescent="0.2">
      <c r="A99" s="2752">
        <v>92</v>
      </c>
      <c r="B99" s="2488"/>
      <c r="C99" s="2488"/>
      <c r="D99" s="2488"/>
      <c r="E99" s="2488"/>
      <c r="F99" s="2595">
        <f t="shared" si="0"/>
        <v>0</v>
      </c>
    </row>
    <row r="100" spans="1:6" ht="16.7" customHeight="1" x14ac:dyDescent="0.2">
      <c r="A100" s="2752">
        <v>93</v>
      </c>
      <c r="B100" s="2488"/>
      <c r="C100" s="2488"/>
      <c r="D100" s="2488"/>
      <c r="E100" s="2488"/>
      <c r="F100" s="2595">
        <f t="shared" si="0"/>
        <v>0</v>
      </c>
    </row>
    <row r="101" spans="1:6" ht="16.7" customHeight="1" x14ac:dyDescent="0.2">
      <c r="A101" s="2752">
        <v>94</v>
      </c>
      <c r="B101" s="2488"/>
      <c r="C101" s="2488"/>
      <c r="D101" s="2488"/>
      <c r="E101" s="2488"/>
      <c r="F101" s="2595">
        <f t="shared" si="0"/>
        <v>0</v>
      </c>
    </row>
    <row r="102" spans="1:6" ht="16.7" customHeight="1" x14ac:dyDescent="0.2">
      <c r="A102" s="2752">
        <v>95</v>
      </c>
      <c r="B102" s="2512" t="s">
        <v>10121</v>
      </c>
      <c r="C102" s="2645">
        <f>SUM(C84:C101)</f>
        <v>28476138</v>
      </c>
      <c r="D102" s="2645">
        <f>SUM(D84:D101)</f>
        <v>0</v>
      </c>
      <c r="E102" s="2645">
        <f>SUM(E84:E101)</f>
        <v>28476138</v>
      </c>
      <c r="F102" s="2479"/>
    </row>
    <row r="103" spans="1:6" ht="16.7" customHeight="1" x14ac:dyDescent="0.2">
      <c r="A103" s="2752">
        <v>96</v>
      </c>
      <c r="B103" s="2512" t="s">
        <v>10122</v>
      </c>
      <c r="C103" s="2645">
        <f>C102+C83+C78+C72</f>
        <v>620737217</v>
      </c>
      <c r="D103" s="2645">
        <f>D102+D83+D78+D72</f>
        <v>0</v>
      </c>
      <c r="E103" s="2645">
        <f>E102+E83+E78+E72</f>
        <v>620737217</v>
      </c>
      <c r="F103" s="2479"/>
    </row>
    <row r="104" spans="1:6" ht="16.7" customHeight="1" x14ac:dyDescent="0.2">
      <c r="A104" s="2488"/>
      <c r="B104" s="2488"/>
      <c r="C104" s="2488"/>
      <c r="D104" s="2488"/>
      <c r="E104" s="2488"/>
      <c r="F104" s="2479"/>
    </row>
    <row r="105" spans="1:6" x14ac:dyDescent="0.2">
      <c r="A105" s="2608"/>
      <c r="B105" s="2608"/>
      <c r="C105" s="2608"/>
      <c r="D105" s="2608"/>
      <c r="E105" s="2608"/>
    </row>
  </sheetData>
  <mergeCells count="66">
    <mergeCell ref="C79:E79"/>
    <mergeCell ref="D60:E60"/>
    <mergeCell ref="D61:E61"/>
    <mergeCell ref="D62:E62"/>
    <mergeCell ref="D63:E63"/>
    <mergeCell ref="D64:E64"/>
    <mergeCell ref="D65:E65"/>
    <mergeCell ref="D66:E66"/>
    <mergeCell ref="D67:E67"/>
    <mergeCell ref="D68:E68"/>
    <mergeCell ref="C73:E73"/>
    <mergeCell ref="C74:E74"/>
    <mergeCell ref="D59:E59"/>
    <mergeCell ref="D48:E48"/>
    <mergeCell ref="C49:E49"/>
    <mergeCell ref="D50:E50"/>
    <mergeCell ref="D51:E51"/>
    <mergeCell ref="D52:E52"/>
    <mergeCell ref="D53:E53"/>
    <mergeCell ref="D54:E54"/>
    <mergeCell ref="D55:E55"/>
    <mergeCell ref="D56:E56"/>
    <mergeCell ref="D57:E57"/>
    <mergeCell ref="C58:E58"/>
    <mergeCell ref="D47:E47"/>
    <mergeCell ref="C36:E36"/>
    <mergeCell ref="C37:E37"/>
    <mergeCell ref="D38:E38"/>
    <mergeCell ref="D39:E39"/>
    <mergeCell ref="D40:E40"/>
    <mergeCell ref="D41:E41"/>
    <mergeCell ref="D42:E42"/>
    <mergeCell ref="D43:E43"/>
    <mergeCell ref="D44:E44"/>
    <mergeCell ref="D45:E45"/>
    <mergeCell ref="D46:E46"/>
    <mergeCell ref="D34:E34"/>
    <mergeCell ref="D23:E23"/>
    <mergeCell ref="D24:E24"/>
    <mergeCell ref="D25:E25"/>
    <mergeCell ref="C26:E26"/>
    <mergeCell ref="D27:E27"/>
    <mergeCell ref="D28:E28"/>
    <mergeCell ref="D29:E29"/>
    <mergeCell ref="D30:E30"/>
    <mergeCell ref="D31:E31"/>
    <mergeCell ref="D32:E32"/>
    <mergeCell ref="D33:E33"/>
    <mergeCell ref="D22:E22"/>
    <mergeCell ref="D11:E11"/>
    <mergeCell ref="D12:E12"/>
    <mergeCell ref="D13:E13"/>
    <mergeCell ref="D14:E14"/>
    <mergeCell ref="D15:E15"/>
    <mergeCell ref="D16:E16"/>
    <mergeCell ref="D17:E17"/>
    <mergeCell ref="D18:E18"/>
    <mergeCell ref="C19:E19"/>
    <mergeCell ref="D20:E20"/>
    <mergeCell ref="D21:E21"/>
    <mergeCell ref="D10:E10"/>
    <mergeCell ref="A3:E3"/>
    <mergeCell ref="A4:E4"/>
    <mergeCell ref="A5:E5"/>
    <mergeCell ref="C8:E8"/>
    <mergeCell ref="C9:E9"/>
  </mergeCells>
  <pageMargins left="0.75" right="0.75" top="1" bottom="1" header="0.5" footer="0.5"/>
  <customProperties>
    <customPr name="_pios_id" r:id="rId1"/>
  </customProperties>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96E477-6FBA-4FC2-99D8-ADD5BEA83BD1}">
  <sheetPr codeName="Sheet86"/>
  <dimension ref="A1:G105"/>
  <sheetViews>
    <sheetView showRuler="0" workbookViewId="0"/>
  </sheetViews>
  <sheetFormatPr defaultColWidth="11.5" defaultRowHeight="12.75" x14ac:dyDescent="0.2"/>
  <cols>
    <col min="1" max="1" width="8.875" style="1953" customWidth="1"/>
    <col min="2" max="2" width="42.125" style="1953" customWidth="1"/>
    <col min="3" max="3" width="12.625" style="1953" customWidth="1"/>
    <col min="4" max="6" width="13" style="1953" customWidth="1"/>
    <col min="7" max="26" width="17.625" style="1953" customWidth="1"/>
    <col min="27" max="16384" width="11.5" style="1953"/>
  </cols>
  <sheetData>
    <row r="1" spans="1:7" ht="16.7" customHeight="1" x14ac:dyDescent="0.2"/>
    <row r="2" spans="1:7" ht="16.7" customHeight="1" x14ac:dyDescent="0.2"/>
    <row r="3" spans="1:7" ht="16.7" customHeight="1" x14ac:dyDescent="0.2">
      <c r="A3" s="3882" t="s">
        <v>10123</v>
      </c>
      <c r="B3" s="3883"/>
      <c r="C3" s="3883"/>
      <c r="D3" s="3883"/>
      <c r="E3" s="3883"/>
      <c r="F3" s="3884"/>
      <c r="G3" s="2479"/>
    </row>
    <row r="4" spans="1:7" ht="64.150000000000006" customHeight="1" x14ac:dyDescent="0.2">
      <c r="A4" s="3953" t="s">
        <v>10124</v>
      </c>
      <c r="B4" s="3954"/>
      <c r="C4" s="3954"/>
      <c r="D4" s="3954"/>
      <c r="E4" s="3954"/>
      <c r="F4" s="3955"/>
      <c r="G4" s="2479"/>
    </row>
    <row r="5" spans="1:7" ht="23.25" customHeight="1" x14ac:dyDescent="0.2">
      <c r="A5" s="3898" t="s">
        <v>6133</v>
      </c>
      <c r="B5" s="2581" t="s">
        <v>10125</v>
      </c>
      <c r="C5" s="2581" t="s">
        <v>10126</v>
      </c>
      <c r="D5" s="2581" t="s">
        <v>10127</v>
      </c>
      <c r="E5" s="2581" t="s">
        <v>10128</v>
      </c>
      <c r="F5" s="2581" t="s">
        <v>10129</v>
      </c>
      <c r="G5" s="2479"/>
    </row>
    <row r="6" spans="1:7" ht="15.75" customHeight="1" x14ac:dyDescent="0.2">
      <c r="A6" s="3923"/>
      <c r="B6" s="2589" t="s">
        <v>5949</v>
      </c>
      <c r="C6" s="2589" t="s">
        <v>5950</v>
      </c>
      <c r="D6" s="2589" t="s">
        <v>5951</v>
      </c>
      <c r="E6" s="2589" t="s">
        <v>5952</v>
      </c>
      <c r="F6" s="2589" t="s">
        <v>6227</v>
      </c>
      <c r="G6" s="2479" t="s">
        <v>6324</v>
      </c>
    </row>
    <row r="7" spans="1:7" ht="16.7" customHeight="1" x14ac:dyDescent="0.2">
      <c r="A7" s="2497">
        <v>1</v>
      </c>
      <c r="B7" s="2818" t="s">
        <v>10130</v>
      </c>
      <c r="C7" s="3005"/>
      <c r="D7" s="3005"/>
      <c r="E7" s="3005"/>
      <c r="F7" s="3005"/>
      <c r="G7" s="2479"/>
    </row>
    <row r="8" spans="1:7" ht="16.7" customHeight="1" x14ac:dyDescent="0.2">
      <c r="A8" s="2497">
        <v>2</v>
      </c>
      <c r="B8" s="2818" t="s">
        <v>10131</v>
      </c>
      <c r="C8" s="2530">
        <v>137995</v>
      </c>
      <c r="D8" s="2530">
        <v>158284</v>
      </c>
      <c r="E8" s="2530">
        <v>166032</v>
      </c>
      <c r="F8" s="2530">
        <v>166051</v>
      </c>
      <c r="G8" s="2479"/>
    </row>
    <row r="9" spans="1:7" ht="16.7" customHeight="1" x14ac:dyDescent="0.2">
      <c r="A9" s="2748" t="s">
        <v>10132</v>
      </c>
      <c r="B9" s="2818" t="s">
        <v>10133</v>
      </c>
      <c r="C9" s="2530">
        <v>0</v>
      </c>
      <c r="D9" s="2530">
        <v>0</v>
      </c>
      <c r="E9" s="2530">
        <v>0</v>
      </c>
      <c r="F9" s="2530">
        <v>0</v>
      </c>
      <c r="G9" s="2479"/>
    </row>
    <row r="10" spans="1:7" ht="16.7" customHeight="1" x14ac:dyDescent="0.2">
      <c r="A10" s="2497">
        <v>3</v>
      </c>
      <c r="B10" s="2818" t="s">
        <v>10134</v>
      </c>
      <c r="C10" s="2530">
        <v>0</v>
      </c>
      <c r="D10" s="2530">
        <v>0</v>
      </c>
      <c r="E10" s="2530">
        <v>0</v>
      </c>
      <c r="F10" s="2530">
        <v>0</v>
      </c>
      <c r="G10" s="2479"/>
    </row>
    <row r="11" spans="1:7" ht="16.7" customHeight="1" x14ac:dyDescent="0.2">
      <c r="A11" s="2497">
        <v>4</v>
      </c>
      <c r="B11" s="2818" t="s">
        <v>10135</v>
      </c>
      <c r="C11" s="2530">
        <v>0</v>
      </c>
      <c r="D11" s="2530">
        <v>0</v>
      </c>
      <c r="E11" s="2530">
        <v>0</v>
      </c>
      <c r="F11" s="2530">
        <v>0</v>
      </c>
      <c r="G11" s="2479"/>
    </row>
    <row r="12" spans="1:7" ht="16.7" customHeight="1" x14ac:dyDescent="0.2">
      <c r="A12" s="2497">
        <v>5</v>
      </c>
      <c r="B12" s="2818" t="s">
        <v>10136</v>
      </c>
      <c r="C12" s="2530">
        <v>0</v>
      </c>
      <c r="D12" s="2530">
        <v>0</v>
      </c>
      <c r="E12" s="2530">
        <v>0</v>
      </c>
      <c r="F12" s="2530">
        <v>0</v>
      </c>
      <c r="G12" s="2479"/>
    </row>
    <row r="13" spans="1:7" ht="16.7" customHeight="1" x14ac:dyDescent="0.2">
      <c r="A13" s="2497">
        <v>6</v>
      </c>
      <c r="B13" s="2818" t="s">
        <v>10137</v>
      </c>
      <c r="C13" s="3005"/>
      <c r="D13" s="3005"/>
      <c r="E13" s="3005"/>
      <c r="F13" s="3005"/>
      <c r="G13" s="2479" t="str">
        <f t="shared" ref="G13:G52" si="0">B13</f>
        <v>Other Items (list separately)</v>
      </c>
    </row>
    <row r="14" spans="1:7" ht="16.7" customHeight="1" x14ac:dyDescent="0.2">
      <c r="A14" s="2497">
        <v>7</v>
      </c>
      <c r="B14" s="3006" t="s">
        <v>10138</v>
      </c>
      <c r="C14" s="2530">
        <v>1268941</v>
      </c>
      <c r="D14" s="2530">
        <v>14809624</v>
      </c>
      <c r="E14" s="2530">
        <v>-15607470</v>
      </c>
      <c r="F14" s="2530">
        <v>-34967355</v>
      </c>
      <c r="G14" s="2479" t="str">
        <f t="shared" si="0"/>
        <v>Energy Imbalance Market (Account 555)</v>
      </c>
    </row>
    <row r="15" spans="1:7" ht="16.7" hidden="1" customHeight="1" x14ac:dyDescent="0.2">
      <c r="A15" s="2497">
        <v>8</v>
      </c>
      <c r="B15" s="2488"/>
      <c r="C15" s="2488"/>
      <c r="D15" s="2488"/>
      <c r="E15" s="2488"/>
      <c r="F15" s="2488"/>
      <c r="G15" s="2595">
        <f t="shared" si="0"/>
        <v>0</v>
      </c>
    </row>
    <row r="16" spans="1:7" ht="16.7" hidden="1" customHeight="1" x14ac:dyDescent="0.2">
      <c r="A16" s="2497">
        <v>9</v>
      </c>
      <c r="B16" s="2488"/>
      <c r="C16" s="2488"/>
      <c r="D16" s="2488"/>
      <c r="E16" s="2488"/>
      <c r="F16" s="2488"/>
      <c r="G16" s="2595">
        <f t="shared" si="0"/>
        <v>0</v>
      </c>
    </row>
    <row r="17" spans="1:7" ht="16.7" hidden="1" customHeight="1" x14ac:dyDescent="0.2">
      <c r="A17" s="2497">
        <v>10</v>
      </c>
      <c r="B17" s="2488"/>
      <c r="C17" s="2488"/>
      <c r="D17" s="2488"/>
      <c r="E17" s="2488"/>
      <c r="F17" s="2488"/>
      <c r="G17" s="2595">
        <f t="shared" si="0"/>
        <v>0</v>
      </c>
    </row>
    <row r="18" spans="1:7" ht="16.7" hidden="1" customHeight="1" x14ac:dyDescent="0.2">
      <c r="A18" s="2497">
        <v>11</v>
      </c>
      <c r="B18" s="2488"/>
      <c r="C18" s="2488"/>
      <c r="D18" s="2488"/>
      <c r="E18" s="2488"/>
      <c r="F18" s="2488"/>
      <c r="G18" s="2595">
        <f t="shared" si="0"/>
        <v>0</v>
      </c>
    </row>
    <row r="19" spans="1:7" ht="16.7" hidden="1" customHeight="1" x14ac:dyDescent="0.2">
      <c r="A19" s="2497">
        <v>12</v>
      </c>
      <c r="B19" s="2488"/>
      <c r="C19" s="2488"/>
      <c r="D19" s="2488"/>
      <c r="E19" s="2488"/>
      <c r="F19" s="2488"/>
      <c r="G19" s="2595">
        <f t="shared" si="0"/>
        <v>0</v>
      </c>
    </row>
    <row r="20" spans="1:7" ht="16.7" hidden="1" customHeight="1" x14ac:dyDescent="0.2">
      <c r="A20" s="2497">
        <v>13</v>
      </c>
      <c r="B20" s="2488"/>
      <c r="C20" s="2488"/>
      <c r="D20" s="2488"/>
      <c r="E20" s="2488"/>
      <c r="F20" s="2488"/>
      <c r="G20" s="2595">
        <f t="shared" si="0"/>
        <v>0</v>
      </c>
    </row>
    <row r="21" spans="1:7" ht="16.7" hidden="1" customHeight="1" x14ac:dyDescent="0.2">
      <c r="A21" s="2497">
        <v>14</v>
      </c>
      <c r="B21" s="2488"/>
      <c r="C21" s="2488"/>
      <c r="D21" s="2488"/>
      <c r="E21" s="2488"/>
      <c r="F21" s="2488"/>
      <c r="G21" s="2595">
        <f t="shared" si="0"/>
        <v>0</v>
      </c>
    </row>
    <row r="22" spans="1:7" ht="16.7" hidden="1" customHeight="1" x14ac:dyDescent="0.2">
      <c r="A22" s="2497">
        <v>15</v>
      </c>
      <c r="B22" s="2488"/>
      <c r="C22" s="2488"/>
      <c r="D22" s="2488"/>
      <c r="E22" s="2488"/>
      <c r="F22" s="2488"/>
      <c r="G22" s="2595">
        <f t="shared" si="0"/>
        <v>0</v>
      </c>
    </row>
    <row r="23" spans="1:7" ht="16.7" hidden="1" customHeight="1" x14ac:dyDescent="0.2">
      <c r="A23" s="2497">
        <v>16</v>
      </c>
      <c r="B23" s="2488"/>
      <c r="C23" s="2488"/>
      <c r="D23" s="2488"/>
      <c r="E23" s="2488"/>
      <c r="F23" s="2488"/>
      <c r="G23" s="2595">
        <f t="shared" si="0"/>
        <v>0</v>
      </c>
    </row>
    <row r="24" spans="1:7" ht="16.7" hidden="1" customHeight="1" x14ac:dyDescent="0.2">
      <c r="A24" s="2497">
        <v>17</v>
      </c>
      <c r="B24" s="2488"/>
      <c r="C24" s="2488"/>
      <c r="D24" s="2488"/>
      <c r="E24" s="2488"/>
      <c r="F24" s="2488"/>
      <c r="G24" s="2595">
        <f t="shared" si="0"/>
        <v>0</v>
      </c>
    </row>
    <row r="25" spans="1:7" ht="16.7" hidden="1" customHeight="1" x14ac:dyDescent="0.2">
      <c r="A25" s="2497">
        <v>18</v>
      </c>
      <c r="B25" s="2488"/>
      <c r="C25" s="2488"/>
      <c r="D25" s="2488"/>
      <c r="E25" s="2488"/>
      <c r="F25" s="2488"/>
      <c r="G25" s="2595">
        <f t="shared" si="0"/>
        <v>0</v>
      </c>
    </row>
    <row r="26" spans="1:7" ht="16.7" hidden="1" customHeight="1" x14ac:dyDescent="0.2">
      <c r="A26" s="2497">
        <v>19</v>
      </c>
      <c r="B26" s="2488"/>
      <c r="C26" s="2488"/>
      <c r="D26" s="2488"/>
      <c r="E26" s="2488"/>
      <c r="F26" s="2488"/>
      <c r="G26" s="2595">
        <f t="shared" si="0"/>
        <v>0</v>
      </c>
    </row>
    <row r="27" spans="1:7" ht="16.7" hidden="1" customHeight="1" x14ac:dyDescent="0.2">
      <c r="A27" s="2497">
        <v>20</v>
      </c>
      <c r="B27" s="2488"/>
      <c r="C27" s="2488"/>
      <c r="D27" s="2488"/>
      <c r="E27" s="2488"/>
      <c r="F27" s="2488"/>
      <c r="G27" s="2595">
        <f t="shared" si="0"/>
        <v>0</v>
      </c>
    </row>
    <row r="28" spans="1:7" ht="16.7" hidden="1" customHeight="1" x14ac:dyDescent="0.2">
      <c r="A28" s="2497">
        <v>21</v>
      </c>
      <c r="B28" s="2488"/>
      <c r="C28" s="2488"/>
      <c r="D28" s="2488"/>
      <c r="E28" s="2488"/>
      <c r="F28" s="2488"/>
      <c r="G28" s="2595">
        <f t="shared" si="0"/>
        <v>0</v>
      </c>
    </row>
    <row r="29" spans="1:7" ht="16.7" hidden="1" customHeight="1" x14ac:dyDescent="0.2">
      <c r="A29" s="2497">
        <v>22</v>
      </c>
      <c r="B29" s="2488"/>
      <c r="C29" s="2488"/>
      <c r="D29" s="2488"/>
      <c r="E29" s="2488"/>
      <c r="F29" s="2488"/>
      <c r="G29" s="2595">
        <f t="shared" si="0"/>
        <v>0</v>
      </c>
    </row>
    <row r="30" spans="1:7" ht="16.7" hidden="1" customHeight="1" x14ac:dyDescent="0.2">
      <c r="A30" s="2497">
        <v>23</v>
      </c>
      <c r="B30" s="2488"/>
      <c r="C30" s="2488"/>
      <c r="D30" s="2488"/>
      <c r="E30" s="2488"/>
      <c r="F30" s="2488"/>
      <c r="G30" s="2595">
        <f t="shared" si="0"/>
        <v>0</v>
      </c>
    </row>
    <row r="31" spans="1:7" ht="16.7" hidden="1" customHeight="1" x14ac:dyDescent="0.2">
      <c r="A31" s="2497">
        <v>24</v>
      </c>
      <c r="B31" s="2488"/>
      <c r="C31" s="2488"/>
      <c r="D31" s="2488"/>
      <c r="E31" s="2488"/>
      <c r="F31" s="2488"/>
      <c r="G31" s="2595">
        <f t="shared" si="0"/>
        <v>0</v>
      </c>
    </row>
    <row r="32" spans="1:7" ht="16.7" hidden="1" customHeight="1" x14ac:dyDescent="0.2">
      <c r="A32" s="2497">
        <v>25</v>
      </c>
      <c r="B32" s="2488"/>
      <c r="C32" s="2488"/>
      <c r="D32" s="2488"/>
      <c r="E32" s="2488"/>
      <c r="F32" s="2488"/>
      <c r="G32" s="2595">
        <f t="shared" si="0"/>
        <v>0</v>
      </c>
    </row>
    <row r="33" spans="1:7" ht="16.7" hidden="1" customHeight="1" x14ac:dyDescent="0.2">
      <c r="A33" s="2497">
        <v>26</v>
      </c>
      <c r="B33" s="2488"/>
      <c r="C33" s="2488"/>
      <c r="D33" s="2488"/>
      <c r="E33" s="2488"/>
      <c r="F33" s="2488"/>
      <c r="G33" s="2595">
        <f t="shared" si="0"/>
        <v>0</v>
      </c>
    </row>
    <row r="34" spans="1:7" ht="16.7" hidden="1" customHeight="1" x14ac:dyDescent="0.2">
      <c r="A34" s="2497">
        <v>27</v>
      </c>
      <c r="B34" s="2488"/>
      <c r="C34" s="2488"/>
      <c r="D34" s="2488"/>
      <c r="E34" s="2488"/>
      <c r="F34" s="2488"/>
      <c r="G34" s="2595">
        <f t="shared" si="0"/>
        <v>0</v>
      </c>
    </row>
    <row r="35" spans="1:7" ht="16.7" hidden="1" customHeight="1" x14ac:dyDescent="0.2">
      <c r="A35" s="2497">
        <v>28</v>
      </c>
      <c r="B35" s="2488"/>
      <c r="C35" s="2488"/>
      <c r="D35" s="2488"/>
      <c r="E35" s="2488"/>
      <c r="F35" s="2488"/>
      <c r="G35" s="2595">
        <f t="shared" si="0"/>
        <v>0</v>
      </c>
    </row>
    <row r="36" spans="1:7" ht="16.7" hidden="1" customHeight="1" x14ac:dyDescent="0.2">
      <c r="A36" s="2497">
        <v>29</v>
      </c>
      <c r="B36" s="2488"/>
      <c r="C36" s="2488"/>
      <c r="D36" s="2488"/>
      <c r="E36" s="2488"/>
      <c r="F36" s="2488"/>
      <c r="G36" s="2595">
        <f t="shared" si="0"/>
        <v>0</v>
      </c>
    </row>
    <row r="37" spans="1:7" ht="16.7" hidden="1" customHeight="1" x14ac:dyDescent="0.2">
      <c r="A37" s="2497">
        <v>30</v>
      </c>
      <c r="B37" s="2488"/>
      <c r="C37" s="2488"/>
      <c r="D37" s="2488"/>
      <c r="E37" s="2488"/>
      <c r="F37" s="2488"/>
      <c r="G37" s="2595">
        <f t="shared" si="0"/>
        <v>0</v>
      </c>
    </row>
    <row r="38" spans="1:7" ht="16.7" hidden="1" customHeight="1" x14ac:dyDescent="0.2">
      <c r="A38" s="2497">
        <v>31</v>
      </c>
      <c r="B38" s="2488"/>
      <c r="C38" s="2488"/>
      <c r="D38" s="2488"/>
      <c r="E38" s="2488"/>
      <c r="F38" s="2488"/>
      <c r="G38" s="2595">
        <f t="shared" si="0"/>
        <v>0</v>
      </c>
    </row>
    <row r="39" spans="1:7" ht="16.7" hidden="1" customHeight="1" x14ac:dyDescent="0.2">
      <c r="A39" s="2497">
        <v>32</v>
      </c>
      <c r="B39" s="2488"/>
      <c r="C39" s="2488"/>
      <c r="D39" s="2488"/>
      <c r="E39" s="2488"/>
      <c r="F39" s="2488"/>
      <c r="G39" s="2595">
        <f t="shared" si="0"/>
        <v>0</v>
      </c>
    </row>
    <row r="40" spans="1:7" ht="16.7" hidden="1" customHeight="1" x14ac:dyDescent="0.2">
      <c r="A40" s="2497">
        <v>33</v>
      </c>
      <c r="B40" s="2488"/>
      <c r="C40" s="2488"/>
      <c r="D40" s="2488"/>
      <c r="E40" s="2488"/>
      <c r="F40" s="2488"/>
      <c r="G40" s="2595">
        <f t="shared" si="0"/>
        <v>0</v>
      </c>
    </row>
    <row r="41" spans="1:7" ht="16.7" hidden="1" customHeight="1" x14ac:dyDescent="0.2">
      <c r="A41" s="2497">
        <v>34</v>
      </c>
      <c r="B41" s="2488"/>
      <c r="C41" s="2488"/>
      <c r="D41" s="2488"/>
      <c r="E41" s="2488"/>
      <c r="F41" s="2488"/>
      <c r="G41" s="2595">
        <f t="shared" si="0"/>
        <v>0</v>
      </c>
    </row>
    <row r="42" spans="1:7" ht="16.7" hidden="1" customHeight="1" x14ac:dyDescent="0.2">
      <c r="A42" s="2497">
        <v>35</v>
      </c>
      <c r="B42" s="2488"/>
      <c r="C42" s="2488"/>
      <c r="D42" s="2488"/>
      <c r="E42" s="2488"/>
      <c r="F42" s="2488"/>
      <c r="G42" s="2595">
        <f t="shared" si="0"/>
        <v>0</v>
      </c>
    </row>
    <row r="43" spans="1:7" ht="16.7" hidden="1" customHeight="1" x14ac:dyDescent="0.2">
      <c r="A43" s="2497">
        <v>36</v>
      </c>
      <c r="B43" s="2488"/>
      <c r="C43" s="2488"/>
      <c r="D43" s="2488"/>
      <c r="E43" s="2488"/>
      <c r="F43" s="2488"/>
      <c r="G43" s="2595">
        <f t="shared" si="0"/>
        <v>0</v>
      </c>
    </row>
    <row r="44" spans="1:7" ht="16.7" hidden="1" customHeight="1" x14ac:dyDescent="0.2">
      <c r="A44" s="2497">
        <v>37</v>
      </c>
      <c r="B44" s="2488"/>
      <c r="C44" s="2488"/>
      <c r="D44" s="2488"/>
      <c r="E44" s="2488"/>
      <c r="F44" s="2488"/>
      <c r="G44" s="2595">
        <f t="shared" si="0"/>
        <v>0</v>
      </c>
    </row>
    <row r="45" spans="1:7" ht="16.7" hidden="1" customHeight="1" x14ac:dyDescent="0.2">
      <c r="A45" s="2497">
        <v>38</v>
      </c>
      <c r="B45" s="2488"/>
      <c r="C45" s="2488"/>
      <c r="D45" s="2488"/>
      <c r="E45" s="2488"/>
      <c r="F45" s="2488"/>
      <c r="G45" s="2595">
        <f t="shared" si="0"/>
        <v>0</v>
      </c>
    </row>
    <row r="46" spans="1:7" ht="16.7" hidden="1" customHeight="1" x14ac:dyDescent="0.2">
      <c r="A46" s="2497">
        <v>39</v>
      </c>
      <c r="B46" s="2488"/>
      <c r="C46" s="2488"/>
      <c r="D46" s="2488"/>
      <c r="E46" s="2488"/>
      <c r="F46" s="2488"/>
      <c r="G46" s="2595">
        <f t="shared" si="0"/>
        <v>0</v>
      </c>
    </row>
    <row r="47" spans="1:7" ht="16.7" hidden="1" customHeight="1" x14ac:dyDescent="0.2">
      <c r="A47" s="2497">
        <v>40</v>
      </c>
      <c r="B47" s="2488"/>
      <c r="C47" s="2488"/>
      <c r="D47" s="2488"/>
      <c r="E47" s="2488"/>
      <c r="F47" s="2488"/>
      <c r="G47" s="2595">
        <f t="shared" si="0"/>
        <v>0</v>
      </c>
    </row>
    <row r="48" spans="1:7" ht="16.7" hidden="1" customHeight="1" x14ac:dyDescent="0.2">
      <c r="A48" s="2497">
        <v>41</v>
      </c>
      <c r="B48" s="2488"/>
      <c r="C48" s="2488"/>
      <c r="D48" s="2488"/>
      <c r="E48" s="2488"/>
      <c r="F48" s="2488"/>
      <c r="G48" s="2595">
        <f t="shared" si="0"/>
        <v>0</v>
      </c>
    </row>
    <row r="49" spans="1:7" ht="16.7" hidden="1" customHeight="1" x14ac:dyDescent="0.2">
      <c r="A49" s="2497">
        <v>42</v>
      </c>
      <c r="B49" s="2488"/>
      <c r="C49" s="2488"/>
      <c r="D49" s="2488"/>
      <c r="E49" s="2488"/>
      <c r="F49" s="2488"/>
      <c r="G49" s="2595">
        <f t="shared" si="0"/>
        <v>0</v>
      </c>
    </row>
    <row r="50" spans="1:7" ht="16.7" hidden="1" customHeight="1" x14ac:dyDescent="0.2">
      <c r="A50" s="2497">
        <v>43</v>
      </c>
      <c r="B50" s="2488"/>
      <c r="C50" s="2488"/>
      <c r="D50" s="2488"/>
      <c r="E50" s="2488"/>
      <c r="F50" s="2488"/>
      <c r="G50" s="2595">
        <f t="shared" si="0"/>
        <v>0</v>
      </c>
    </row>
    <row r="51" spans="1:7" ht="16.7" hidden="1" customHeight="1" x14ac:dyDescent="0.2">
      <c r="A51" s="2497">
        <v>44</v>
      </c>
      <c r="B51" s="2488"/>
      <c r="C51" s="2488"/>
      <c r="D51" s="2488"/>
      <c r="E51" s="2488"/>
      <c r="F51" s="2488"/>
      <c r="G51" s="2595">
        <f t="shared" si="0"/>
        <v>0</v>
      </c>
    </row>
    <row r="52" spans="1:7" ht="16.7" hidden="1" customHeight="1" x14ac:dyDescent="0.2">
      <c r="A52" s="2497">
        <v>45</v>
      </c>
      <c r="B52" s="2488"/>
      <c r="C52" s="2488"/>
      <c r="D52" s="2488"/>
      <c r="E52" s="2488"/>
      <c r="F52" s="2488"/>
      <c r="G52" s="2595">
        <f t="shared" si="0"/>
        <v>0</v>
      </c>
    </row>
    <row r="53" spans="1:7" ht="16.7" customHeight="1" x14ac:dyDescent="0.2">
      <c r="A53" s="2497">
        <v>46</v>
      </c>
      <c r="B53" s="2488" t="s">
        <v>104</v>
      </c>
      <c r="C53" s="2645">
        <f>SUM(C8:C52)</f>
        <v>1406936</v>
      </c>
      <c r="D53" s="2645">
        <f>SUM(D8:D52)</f>
        <v>14967908</v>
      </c>
      <c r="E53" s="2645">
        <f>SUM(E8:E52)</f>
        <v>-15441438</v>
      </c>
      <c r="F53" s="2645">
        <f>SUM(F8:F52)</f>
        <v>-34801304</v>
      </c>
      <c r="G53" s="2479"/>
    </row>
    <row r="54" spans="1:7" ht="16.7" customHeight="1" x14ac:dyDescent="0.2">
      <c r="A54" s="2516"/>
      <c r="B54" s="2516"/>
      <c r="C54" s="2516"/>
      <c r="D54" s="2516"/>
      <c r="E54" s="2516"/>
      <c r="F54" s="2516"/>
    </row>
    <row r="55" spans="1:7" ht="16.7" customHeight="1" x14ac:dyDescent="0.2"/>
    <row r="56" spans="1:7" ht="16.7" customHeight="1" x14ac:dyDescent="0.2"/>
    <row r="57" spans="1:7" ht="16.7" customHeight="1" x14ac:dyDescent="0.2"/>
    <row r="58" spans="1:7" ht="16.7" customHeight="1" x14ac:dyDescent="0.2"/>
    <row r="59" spans="1:7" ht="16.7" customHeight="1" x14ac:dyDescent="0.2"/>
    <row r="60" spans="1:7" ht="16.7" customHeight="1" x14ac:dyDescent="0.2"/>
    <row r="61" spans="1:7" ht="16.7" customHeight="1" x14ac:dyDescent="0.2"/>
    <row r="62" spans="1:7" ht="16.7" customHeight="1" x14ac:dyDescent="0.2"/>
    <row r="63" spans="1:7" ht="16.7" customHeight="1" x14ac:dyDescent="0.2"/>
    <row r="64" spans="1:7" ht="16.7" customHeight="1" x14ac:dyDescent="0.2"/>
    <row r="65" ht="16.7" customHeight="1" x14ac:dyDescent="0.2"/>
    <row r="66" ht="16.7" customHeight="1" x14ac:dyDescent="0.2"/>
    <row r="67" ht="16.7" customHeight="1" x14ac:dyDescent="0.2"/>
    <row r="68" ht="16.7" customHeight="1" x14ac:dyDescent="0.2"/>
    <row r="69" ht="16.7" customHeight="1" x14ac:dyDescent="0.2"/>
    <row r="70" ht="16.7" customHeight="1" x14ac:dyDescent="0.2"/>
    <row r="71" ht="16.7" customHeight="1" x14ac:dyDescent="0.2"/>
    <row r="72" ht="16.7" customHeight="1" x14ac:dyDescent="0.2"/>
    <row r="73" ht="16.7" customHeight="1" x14ac:dyDescent="0.2"/>
    <row r="74" ht="16.7" customHeight="1" x14ac:dyDescent="0.2"/>
    <row r="75" ht="16.7" customHeight="1" x14ac:dyDescent="0.2"/>
    <row r="76" ht="16.7" customHeight="1" x14ac:dyDescent="0.2"/>
    <row r="77" ht="16.7" customHeight="1" x14ac:dyDescent="0.2"/>
    <row r="78" ht="16.7" customHeight="1" x14ac:dyDescent="0.2"/>
    <row r="79" ht="16.7" customHeight="1" x14ac:dyDescent="0.2"/>
    <row r="80" ht="16.7" customHeight="1" x14ac:dyDescent="0.2"/>
    <row r="81" ht="16.7" customHeight="1" x14ac:dyDescent="0.2"/>
    <row r="82" ht="16.7" customHeight="1" x14ac:dyDescent="0.2"/>
    <row r="83" ht="16.7" customHeight="1" x14ac:dyDescent="0.2"/>
    <row r="84" ht="16.7" customHeight="1" x14ac:dyDescent="0.2"/>
    <row r="85" ht="16.7" customHeight="1" x14ac:dyDescent="0.2"/>
    <row r="86" ht="16.7" customHeight="1" x14ac:dyDescent="0.2"/>
    <row r="87" ht="16.7" customHeight="1" x14ac:dyDescent="0.2"/>
    <row r="88" ht="16.7" customHeight="1" x14ac:dyDescent="0.2"/>
    <row r="89" ht="16.7" customHeight="1" x14ac:dyDescent="0.2"/>
    <row r="90" ht="16.7" customHeight="1" x14ac:dyDescent="0.2"/>
    <row r="91" ht="16.7" customHeight="1" x14ac:dyDescent="0.2"/>
    <row r="92" ht="16.7" customHeight="1" x14ac:dyDescent="0.2"/>
    <row r="93" ht="16.7" customHeight="1" x14ac:dyDescent="0.2"/>
    <row r="94" ht="16.7" customHeight="1" x14ac:dyDescent="0.2"/>
    <row r="95" ht="16.7" customHeight="1" x14ac:dyDescent="0.2"/>
    <row r="96" ht="16.7" customHeight="1" x14ac:dyDescent="0.2"/>
    <row r="97" ht="16.7" customHeight="1" x14ac:dyDescent="0.2"/>
    <row r="98" ht="16.7" customHeight="1" x14ac:dyDescent="0.2"/>
    <row r="99" ht="16.7" customHeight="1" x14ac:dyDescent="0.2"/>
    <row r="100" ht="16.7" customHeight="1" x14ac:dyDescent="0.2"/>
    <row r="101" ht="16.7" customHeight="1" x14ac:dyDescent="0.2"/>
    <row r="102" ht="16.7" customHeight="1" x14ac:dyDescent="0.2"/>
    <row r="103" ht="16.7" customHeight="1" x14ac:dyDescent="0.2"/>
    <row r="104" ht="15" customHeight="1" x14ac:dyDescent="0.2"/>
    <row r="105" ht="15" customHeight="1" x14ac:dyDescent="0.2"/>
  </sheetData>
  <mergeCells count="3">
    <mergeCell ref="A3:F3"/>
    <mergeCell ref="A4:F4"/>
    <mergeCell ref="A5:A6"/>
  </mergeCells>
  <pageMargins left="0.75" right="0.75" top="1" bottom="1" header="0.5" footer="0.5"/>
  <customProperties>
    <customPr name="_pios_id" r:id="rId1"/>
  </customProperties>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E4C3E3-B192-436D-AC1B-D16DDC6FA213}">
  <sheetPr codeName="Sheet87"/>
  <dimension ref="A1:I105"/>
  <sheetViews>
    <sheetView showRuler="0" workbookViewId="0"/>
  </sheetViews>
  <sheetFormatPr defaultColWidth="11.5" defaultRowHeight="12.75" x14ac:dyDescent="0.2"/>
  <cols>
    <col min="1" max="1" width="5.75" style="1953" customWidth="1"/>
    <col min="2" max="2" width="32.875" style="1953" customWidth="1"/>
    <col min="3" max="8" width="14.75" style="1953" customWidth="1"/>
    <col min="9" max="26" width="17.625" style="1953" customWidth="1"/>
    <col min="27" max="16384" width="11.5" style="1953"/>
  </cols>
  <sheetData>
    <row r="1" spans="1:9" ht="16.7" customHeight="1" x14ac:dyDescent="0.2">
      <c r="B1" s="3911"/>
      <c r="C1" s="3911"/>
      <c r="D1" s="3911"/>
      <c r="E1" s="3911"/>
      <c r="F1" s="3911"/>
    </row>
    <row r="2" spans="1:9" ht="16.7" customHeight="1" x14ac:dyDescent="0.2"/>
    <row r="3" spans="1:9" ht="16.7" customHeight="1" x14ac:dyDescent="0.2">
      <c r="A3" s="4086" t="s">
        <v>10139</v>
      </c>
      <c r="B3" s="4087"/>
      <c r="C3" s="4087"/>
      <c r="D3" s="4087"/>
      <c r="E3" s="4087"/>
      <c r="F3" s="4087"/>
      <c r="G3" s="4087"/>
      <c r="H3" s="4088"/>
      <c r="I3" s="2479"/>
    </row>
    <row r="4" spans="1:9" ht="16.7" customHeight="1" x14ac:dyDescent="0.2">
      <c r="A4" s="3882" t="s">
        <v>10140</v>
      </c>
      <c r="B4" s="3883"/>
      <c r="C4" s="3883"/>
      <c r="D4" s="3883"/>
      <c r="E4" s="3883"/>
      <c r="F4" s="3883"/>
      <c r="G4" s="3883"/>
      <c r="H4" s="3884"/>
      <c r="I4" s="2479"/>
    </row>
    <row r="5" spans="1:9" ht="149.1" customHeight="1" x14ac:dyDescent="0.2">
      <c r="A5" s="3878" t="s">
        <v>10141</v>
      </c>
      <c r="B5" s="3879"/>
      <c r="C5" s="3879"/>
      <c r="D5" s="3879"/>
      <c r="E5" s="3879"/>
      <c r="F5" s="3879"/>
      <c r="G5" s="3879"/>
      <c r="H5" s="3880"/>
      <c r="I5" s="2479"/>
    </row>
    <row r="6" spans="1:9" ht="16.7" customHeight="1" x14ac:dyDescent="0.2">
      <c r="A6" s="2582"/>
      <c r="B6" s="2582"/>
      <c r="C6" s="3882" t="s">
        <v>10142</v>
      </c>
      <c r="D6" s="3883"/>
      <c r="E6" s="3884"/>
      <c r="F6" s="3882" t="s">
        <v>10143</v>
      </c>
      <c r="G6" s="3883"/>
      <c r="H6" s="3884"/>
      <c r="I6" s="2479"/>
    </row>
    <row r="7" spans="1:9" ht="16.7" customHeight="1" x14ac:dyDescent="0.2">
      <c r="A7" s="2588"/>
      <c r="B7" s="2588"/>
      <c r="C7" s="3882" t="s">
        <v>10144</v>
      </c>
      <c r="D7" s="3883"/>
      <c r="E7" s="3884"/>
      <c r="F7" s="3882" t="s">
        <v>10144</v>
      </c>
      <c r="G7" s="3883"/>
      <c r="H7" s="3884"/>
      <c r="I7" s="2479"/>
    </row>
    <row r="8" spans="1:9" ht="27.6" customHeight="1" x14ac:dyDescent="0.2">
      <c r="A8" s="3898" t="s">
        <v>6360</v>
      </c>
      <c r="B8" s="2581" t="s">
        <v>10145</v>
      </c>
      <c r="C8" s="2581" t="s">
        <v>10146</v>
      </c>
      <c r="D8" s="2581" t="s">
        <v>10147</v>
      </c>
      <c r="E8" s="2581" t="s">
        <v>10148</v>
      </c>
      <c r="F8" s="2581" t="s">
        <v>10146</v>
      </c>
      <c r="G8" s="2581" t="s">
        <v>10147</v>
      </c>
      <c r="H8" s="2581" t="s">
        <v>10148</v>
      </c>
      <c r="I8" s="2479"/>
    </row>
    <row r="9" spans="1:9" ht="16.7" customHeight="1" x14ac:dyDescent="0.2">
      <c r="A9" s="3899"/>
      <c r="B9" s="2589" t="s">
        <v>5949</v>
      </c>
      <c r="C9" s="2589" t="s">
        <v>5950</v>
      </c>
      <c r="D9" s="2589" t="s">
        <v>5951</v>
      </c>
      <c r="E9" s="2589" t="s">
        <v>5952</v>
      </c>
      <c r="F9" s="2589" t="s">
        <v>6227</v>
      </c>
      <c r="G9" s="2589" t="s">
        <v>5804</v>
      </c>
      <c r="H9" s="2589" t="s">
        <v>6228</v>
      </c>
      <c r="I9" s="2479"/>
    </row>
    <row r="10" spans="1:9" ht="16.7" customHeight="1" x14ac:dyDescent="0.2">
      <c r="A10" s="2752">
        <v>1</v>
      </c>
      <c r="B10" s="2512" t="s">
        <v>10149</v>
      </c>
      <c r="C10" s="2530">
        <v>0</v>
      </c>
      <c r="D10" s="2489"/>
      <c r="E10" s="2530">
        <v>0</v>
      </c>
      <c r="F10" s="2530">
        <v>148746225</v>
      </c>
      <c r="G10" s="2512" t="s">
        <v>0</v>
      </c>
      <c r="H10" s="2530">
        <v>13101849</v>
      </c>
      <c r="I10" s="2479"/>
    </row>
    <row r="11" spans="1:9" ht="16.7" customHeight="1" x14ac:dyDescent="0.2">
      <c r="A11" s="2752">
        <v>2</v>
      </c>
      <c r="B11" s="2512" t="s">
        <v>10150</v>
      </c>
      <c r="C11" s="2530">
        <v>114912448</v>
      </c>
      <c r="D11" s="2512" t="s">
        <v>0</v>
      </c>
      <c r="E11" s="2530">
        <v>22075829</v>
      </c>
      <c r="F11" s="2530">
        <v>137378521</v>
      </c>
      <c r="G11" s="2512" t="s">
        <v>0</v>
      </c>
      <c r="H11" s="2530">
        <v>26337794</v>
      </c>
      <c r="I11" s="2479"/>
    </row>
    <row r="12" spans="1:9" ht="16.7" customHeight="1" x14ac:dyDescent="0.2">
      <c r="A12" s="2752">
        <v>3</v>
      </c>
      <c r="B12" s="2512" t="s">
        <v>10151</v>
      </c>
      <c r="C12" s="2530">
        <v>112771457</v>
      </c>
      <c r="D12" s="2512" t="s">
        <v>0</v>
      </c>
      <c r="E12" s="2530">
        <v>27501221</v>
      </c>
      <c r="F12" s="2530">
        <v>132917761</v>
      </c>
      <c r="G12" s="2512" t="s">
        <v>0</v>
      </c>
      <c r="H12" s="2530">
        <v>34368103</v>
      </c>
      <c r="I12" s="2479"/>
    </row>
    <row r="13" spans="1:9" ht="16.7" customHeight="1" x14ac:dyDescent="0.2">
      <c r="A13" s="2752">
        <v>4</v>
      </c>
      <c r="B13" s="2512" t="s">
        <v>10152</v>
      </c>
      <c r="C13" s="2530">
        <v>0</v>
      </c>
      <c r="D13" s="2512"/>
      <c r="E13" s="2488"/>
      <c r="F13" s="2530">
        <v>3454077</v>
      </c>
      <c r="G13" s="2512" t="s">
        <v>0</v>
      </c>
      <c r="H13" s="2530">
        <v>36164027</v>
      </c>
      <c r="I13" s="2479"/>
    </row>
    <row r="14" spans="1:9" ht="16.7" customHeight="1" x14ac:dyDescent="0.2">
      <c r="A14" s="2752">
        <v>5</v>
      </c>
      <c r="B14" s="2512" t="s">
        <v>10153</v>
      </c>
      <c r="C14" s="2530">
        <v>106643050</v>
      </c>
      <c r="D14" s="2512" t="s">
        <v>0</v>
      </c>
      <c r="E14" s="2530">
        <v>17916032</v>
      </c>
      <c r="F14" s="2530">
        <v>121240039</v>
      </c>
      <c r="G14" s="2512" t="s">
        <v>0</v>
      </c>
      <c r="H14" s="2530">
        <v>20363947</v>
      </c>
      <c r="I14" s="2479"/>
    </row>
    <row r="15" spans="1:9" ht="16.7" customHeight="1" x14ac:dyDescent="0.2">
      <c r="A15" s="2752">
        <v>6</v>
      </c>
      <c r="B15" s="2512" t="s">
        <v>10154</v>
      </c>
      <c r="C15" s="2530">
        <v>106643050</v>
      </c>
      <c r="D15" s="2512" t="s">
        <v>0</v>
      </c>
      <c r="E15" s="2530">
        <v>17916032</v>
      </c>
      <c r="F15" s="2530">
        <v>121788908</v>
      </c>
      <c r="G15" s="2512" t="s">
        <v>0</v>
      </c>
      <c r="H15" s="2530">
        <v>20455993</v>
      </c>
      <c r="I15" s="2479"/>
    </row>
    <row r="16" spans="1:9" ht="16.7" customHeight="1" x14ac:dyDescent="0.2">
      <c r="A16" s="2752">
        <v>7</v>
      </c>
      <c r="B16" s="2512" t="s">
        <v>107</v>
      </c>
      <c r="C16" s="2530">
        <v>0</v>
      </c>
      <c r="D16" s="2512"/>
      <c r="E16" s="2530">
        <v>0</v>
      </c>
      <c r="F16" s="2530">
        <v>0</v>
      </c>
      <c r="G16" s="2512"/>
      <c r="H16" s="2530">
        <v>0</v>
      </c>
      <c r="I16" s="2479"/>
    </row>
    <row r="17" spans="1:9" ht="16.7" customHeight="1" x14ac:dyDescent="0.2">
      <c r="A17" s="2752">
        <v>8</v>
      </c>
      <c r="B17" s="2669" t="s">
        <v>10155</v>
      </c>
      <c r="C17" s="2736">
        <f>SUM(C10:C16)</f>
        <v>440970005</v>
      </c>
      <c r="D17" s="2773" t="s">
        <v>0</v>
      </c>
      <c r="E17" s="2736">
        <f>SUM(E10:E16)</f>
        <v>85409114</v>
      </c>
      <c r="F17" s="2736">
        <f>SUM(F10:F16)</f>
        <v>665525531</v>
      </c>
      <c r="G17" s="2773" t="s">
        <v>0</v>
      </c>
      <c r="H17" s="2736">
        <f>SUM(H10:H16)</f>
        <v>150791713</v>
      </c>
      <c r="I17" s="2479"/>
    </row>
    <row r="18" spans="1:9" ht="16.7" customHeight="1" x14ac:dyDescent="0.2">
      <c r="A18" s="2516"/>
      <c r="B18" s="2516"/>
      <c r="C18" s="2516"/>
      <c r="D18" s="2516"/>
      <c r="E18" s="2516"/>
      <c r="F18" s="2516"/>
      <c r="G18" s="2516"/>
      <c r="H18" s="2516"/>
    </row>
    <row r="19" spans="1:9" ht="16.7" customHeight="1" x14ac:dyDescent="0.2"/>
    <row r="20" spans="1:9" ht="16.7" customHeight="1" x14ac:dyDescent="0.2"/>
    <row r="21" spans="1:9" ht="16.7" customHeight="1" x14ac:dyDescent="0.2"/>
    <row r="22" spans="1:9" ht="16.7" customHeight="1" x14ac:dyDescent="0.2"/>
    <row r="23" spans="1:9" ht="16.7" customHeight="1" x14ac:dyDescent="0.2"/>
    <row r="24" spans="1:9" ht="16.7" customHeight="1" x14ac:dyDescent="0.2"/>
    <row r="25" spans="1:9" ht="16.7" customHeight="1" x14ac:dyDescent="0.2"/>
    <row r="26" spans="1:9" ht="16.7" customHeight="1" x14ac:dyDescent="0.2"/>
    <row r="27" spans="1:9" ht="16.7" customHeight="1" x14ac:dyDescent="0.2"/>
    <row r="28" spans="1:9" ht="16.7" customHeight="1" x14ac:dyDescent="0.2"/>
    <row r="29" spans="1:9" ht="16.7" customHeight="1" x14ac:dyDescent="0.2"/>
    <row r="30" spans="1:9" ht="16.7" customHeight="1" x14ac:dyDescent="0.2"/>
    <row r="31" spans="1:9" ht="16.7" customHeight="1" x14ac:dyDescent="0.2"/>
    <row r="32" spans="1:9" ht="16.7" customHeight="1" x14ac:dyDescent="0.2"/>
    <row r="33" ht="16.7" customHeight="1" x14ac:dyDescent="0.2"/>
    <row r="34" ht="16.7" customHeight="1" x14ac:dyDescent="0.2"/>
    <row r="35" ht="16.7" customHeight="1" x14ac:dyDescent="0.2"/>
    <row r="36" ht="16.7" customHeight="1" x14ac:dyDescent="0.2"/>
    <row r="37" ht="16.7" customHeight="1" x14ac:dyDescent="0.2"/>
    <row r="38" ht="16.7" customHeight="1" x14ac:dyDescent="0.2"/>
    <row r="39" ht="16.7" customHeight="1" x14ac:dyDescent="0.2"/>
    <row r="40" ht="16.7" customHeight="1" x14ac:dyDescent="0.2"/>
    <row r="41" ht="16.7" customHeight="1" x14ac:dyDescent="0.2"/>
    <row r="42" ht="16.7" customHeight="1" x14ac:dyDescent="0.2"/>
    <row r="43" ht="16.7" customHeight="1" x14ac:dyDescent="0.2"/>
    <row r="44" ht="16.7" customHeight="1" x14ac:dyDescent="0.2"/>
    <row r="45" ht="16.7" customHeight="1" x14ac:dyDescent="0.2"/>
    <row r="46" ht="16.7" customHeight="1" x14ac:dyDescent="0.2"/>
    <row r="47" ht="16.7" customHeight="1" x14ac:dyDescent="0.2"/>
    <row r="48" ht="16.7" customHeight="1" x14ac:dyDescent="0.2"/>
    <row r="49" ht="16.7" customHeight="1" x14ac:dyDescent="0.2"/>
    <row r="50" ht="16.7" customHeight="1" x14ac:dyDescent="0.2"/>
    <row r="51" ht="16.7" customHeight="1" x14ac:dyDescent="0.2"/>
    <row r="52" ht="16.7" customHeight="1" x14ac:dyDescent="0.2"/>
    <row r="53" ht="16.7" customHeight="1" x14ac:dyDescent="0.2"/>
    <row r="54" ht="16.7" customHeight="1" x14ac:dyDescent="0.2"/>
    <row r="55" ht="16.7" customHeight="1" x14ac:dyDescent="0.2"/>
    <row r="56" ht="16.7" customHeight="1" x14ac:dyDescent="0.2"/>
    <row r="57" ht="16.7" customHeight="1" x14ac:dyDescent="0.2"/>
    <row r="58" ht="16.7" customHeight="1" x14ac:dyDescent="0.2"/>
    <row r="59" ht="16.7" customHeight="1" x14ac:dyDescent="0.2"/>
    <row r="60" ht="16.7" customHeight="1" x14ac:dyDescent="0.2"/>
    <row r="61" ht="16.7" customHeight="1" x14ac:dyDescent="0.2"/>
    <row r="62" ht="16.7" customHeight="1" x14ac:dyDescent="0.2"/>
    <row r="63" ht="16.7" customHeight="1" x14ac:dyDescent="0.2"/>
    <row r="64" ht="16.7" customHeight="1" x14ac:dyDescent="0.2"/>
    <row r="65" ht="16.7" customHeight="1" x14ac:dyDescent="0.2"/>
    <row r="66" ht="16.7" customHeight="1" x14ac:dyDescent="0.2"/>
    <row r="67" ht="16.7" customHeight="1" x14ac:dyDescent="0.2"/>
    <row r="68" ht="16.7" customHeight="1" x14ac:dyDescent="0.2"/>
    <row r="69" ht="16.7" customHeight="1" x14ac:dyDescent="0.2"/>
    <row r="70" ht="16.7" customHeight="1" x14ac:dyDescent="0.2"/>
    <row r="71" ht="16.7" customHeight="1" x14ac:dyDescent="0.2"/>
    <row r="72" ht="16.7" customHeight="1" x14ac:dyDescent="0.2"/>
    <row r="73" ht="16.7" customHeight="1" x14ac:dyDescent="0.2"/>
    <row r="74" ht="16.7" customHeight="1" x14ac:dyDescent="0.2"/>
    <row r="75" ht="16.7" customHeight="1" x14ac:dyDescent="0.2"/>
    <row r="76" ht="16.7" customHeight="1" x14ac:dyDescent="0.2"/>
    <row r="77" ht="16.7" customHeight="1" x14ac:dyDescent="0.2"/>
    <row r="78" ht="16.7" customHeight="1" x14ac:dyDescent="0.2"/>
    <row r="79" ht="16.7" customHeight="1" x14ac:dyDescent="0.2"/>
    <row r="80" ht="16.7" customHeight="1" x14ac:dyDescent="0.2"/>
    <row r="81" ht="16.7" customHeight="1" x14ac:dyDescent="0.2"/>
    <row r="82" ht="16.7" customHeight="1" x14ac:dyDescent="0.2"/>
    <row r="83" ht="16.7" customHeight="1" x14ac:dyDescent="0.2"/>
    <row r="84" ht="16.7" customHeight="1" x14ac:dyDescent="0.2"/>
    <row r="85" ht="16.7" customHeight="1" x14ac:dyDescent="0.2"/>
    <row r="86" ht="16.7" customHeight="1" x14ac:dyDescent="0.2"/>
    <row r="87" ht="16.7" customHeight="1" x14ac:dyDescent="0.2"/>
    <row r="88" ht="16.7" customHeight="1" x14ac:dyDescent="0.2"/>
    <row r="89" ht="16.7" customHeight="1" x14ac:dyDescent="0.2"/>
    <row r="90" ht="16.7" customHeight="1" x14ac:dyDescent="0.2"/>
    <row r="91" ht="16.7" customHeight="1" x14ac:dyDescent="0.2"/>
    <row r="92" ht="16.7" customHeight="1" x14ac:dyDescent="0.2"/>
    <row r="93" ht="16.7" customHeight="1" x14ac:dyDescent="0.2"/>
    <row r="94" ht="16.7" customHeight="1" x14ac:dyDescent="0.2"/>
    <row r="95" ht="16.7" customHeight="1" x14ac:dyDescent="0.2"/>
    <row r="96" ht="16.7" customHeight="1" x14ac:dyDescent="0.2"/>
    <row r="97" ht="16.7" customHeight="1" x14ac:dyDescent="0.2"/>
    <row r="98" ht="16.7" customHeight="1" x14ac:dyDescent="0.2"/>
    <row r="99" ht="16.7" customHeight="1" x14ac:dyDescent="0.2"/>
    <row r="100" ht="16.7" customHeight="1" x14ac:dyDescent="0.2"/>
    <row r="101" ht="16.7" customHeight="1" x14ac:dyDescent="0.2"/>
    <row r="102" ht="16.7" customHeight="1" x14ac:dyDescent="0.2"/>
    <row r="103" ht="16.7" customHeight="1" x14ac:dyDescent="0.2"/>
    <row r="104" ht="16.7" customHeight="1" x14ac:dyDescent="0.2"/>
    <row r="105" ht="16.7" customHeight="1" x14ac:dyDescent="0.2"/>
  </sheetData>
  <mergeCells count="9">
    <mergeCell ref="C7:E7"/>
    <mergeCell ref="F7:H7"/>
    <mergeCell ref="A8:A9"/>
    <mergeCell ref="B1:F1"/>
    <mergeCell ref="A3:H3"/>
    <mergeCell ref="A4:H4"/>
    <mergeCell ref="A5:H5"/>
    <mergeCell ref="C6:E6"/>
    <mergeCell ref="F6:H6"/>
  </mergeCells>
  <pageMargins left="0.75" right="0.75" top="1" bottom="1" header="0.5" footer="0.5"/>
  <customProperties>
    <customPr name="_pios_id" r:id="rId1"/>
  </customProperties>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2696C-C750-49DA-ADB0-52B57A6AD4EE}">
  <sheetPr codeName="Sheet88"/>
  <dimension ref="A1:L103"/>
  <sheetViews>
    <sheetView showRuler="0" workbookViewId="0"/>
  </sheetViews>
  <sheetFormatPr defaultColWidth="11.5" defaultRowHeight="12.75" x14ac:dyDescent="0.2"/>
  <cols>
    <col min="1" max="1" width="8.5" style="1953" customWidth="1"/>
    <col min="2" max="2" width="19.125" style="1953" customWidth="1"/>
    <col min="3" max="3" width="9.625" style="1953" customWidth="1"/>
    <col min="4" max="4" width="5.875" style="1953" customWidth="1"/>
    <col min="5" max="5" width="9.125" style="1953" customWidth="1"/>
    <col min="6" max="6" width="10.375" style="1953" customWidth="1"/>
    <col min="7" max="11" width="12.375" style="1953" customWidth="1"/>
    <col min="12" max="26" width="17.625" style="1953" customWidth="1"/>
    <col min="27" max="16384" width="11.5" style="1953"/>
  </cols>
  <sheetData>
    <row r="1" spans="1:12" ht="16.7" customHeight="1" x14ac:dyDescent="0.2">
      <c r="B1" s="4089" t="s">
        <v>7058</v>
      </c>
      <c r="C1" s="4090"/>
      <c r="D1" s="2479"/>
    </row>
    <row r="2" spans="1:12" ht="16.7" customHeight="1" x14ac:dyDescent="0.2">
      <c r="B2" s="2483"/>
      <c r="C2" s="2483"/>
    </row>
    <row r="3" spans="1:12" ht="16.7" customHeight="1" x14ac:dyDescent="0.2">
      <c r="A3" s="3882" t="s">
        <v>10156</v>
      </c>
      <c r="B3" s="3883"/>
      <c r="C3" s="3883"/>
      <c r="D3" s="3883"/>
      <c r="E3" s="3883"/>
      <c r="F3" s="3883"/>
      <c r="G3" s="3883"/>
      <c r="H3" s="3883"/>
      <c r="I3" s="3883"/>
      <c r="J3" s="3883"/>
      <c r="K3" s="3884"/>
      <c r="L3" s="2479"/>
    </row>
    <row r="4" spans="1:12" ht="50.1" customHeight="1" x14ac:dyDescent="0.2">
      <c r="A4" s="3878" t="s">
        <v>10157</v>
      </c>
      <c r="B4" s="3879"/>
      <c r="C4" s="3879"/>
      <c r="D4" s="3879"/>
      <c r="E4" s="3879"/>
      <c r="F4" s="3879"/>
      <c r="G4" s="3879"/>
      <c r="H4" s="3879"/>
      <c r="I4" s="3879"/>
      <c r="J4" s="3879"/>
      <c r="K4" s="3880"/>
      <c r="L4" s="2479"/>
    </row>
    <row r="5" spans="1:12" ht="60.75" customHeight="1" x14ac:dyDescent="0.2">
      <c r="A5" s="2489" t="s">
        <v>6133</v>
      </c>
      <c r="B5" s="2489" t="s">
        <v>10158</v>
      </c>
      <c r="C5" s="2489" t="s">
        <v>10159</v>
      </c>
      <c r="D5" s="2489" t="s">
        <v>10160</v>
      </c>
      <c r="E5" s="2489" t="s">
        <v>10161</v>
      </c>
      <c r="F5" s="2489" t="s">
        <v>10162</v>
      </c>
      <c r="G5" s="2489" t="s">
        <v>10163</v>
      </c>
      <c r="H5" s="2489" t="s">
        <v>10164</v>
      </c>
      <c r="I5" s="2489" t="s">
        <v>10165</v>
      </c>
      <c r="J5" s="2489" t="s">
        <v>10166</v>
      </c>
      <c r="K5" s="2489" t="s">
        <v>10167</v>
      </c>
      <c r="L5" s="2479"/>
    </row>
    <row r="6" spans="1:12" ht="16.7" customHeight="1" x14ac:dyDescent="0.2">
      <c r="A6" s="2488"/>
      <c r="B6" s="2489" t="s">
        <v>5949</v>
      </c>
      <c r="C6" s="2489" t="s">
        <v>5950</v>
      </c>
      <c r="D6" s="2489" t="s">
        <v>5951</v>
      </c>
      <c r="E6" s="2489" t="s">
        <v>5952</v>
      </c>
      <c r="F6" s="2489" t="s">
        <v>6227</v>
      </c>
      <c r="G6" s="2489" t="s">
        <v>5804</v>
      </c>
      <c r="H6" s="2489" t="s">
        <v>6228</v>
      </c>
      <c r="I6" s="2489" t="s">
        <v>6229</v>
      </c>
      <c r="J6" s="2489" t="s">
        <v>6230</v>
      </c>
      <c r="K6" s="2489" t="s">
        <v>6231</v>
      </c>
      <c r="L6" s="2479" t="s">
        <v>6324</v>
      </c>
    </row>
    <row r="7" spans="1:12" ht="16.7" customHeight="1" x14ac:dyDescent="0.2">
      <c r="A7" s="2748">
        <v>0</v>
      </c>
      <c r="B7" s="3959" t="s">
        <v>10168</v>
      </c>
      <c r="C7" s="3959"/>
      <c r="D7" s="3860"/>
      <c r="E7" s="3860"/>
      <c r="F7" s="3860"/>
      <c r="G7" s="3860"/>
      <c r="H7" s="3860"/>
      <c r="I7" s="3860"/>
      <c r="J7" s="3860"/>
      <c r="K7" s="3860"/>
      <c r="L7" s="2595">
        <f t="shared" ref="L7:L24" si="0">$G$7</f>
        <v>0</v>
      </c>
    </row>
    <row r="8" spans="1:12" ht="16.7" customHeight="1" x14ac:dyDescent="0.2">
      <c r="A8" s="2497">
        <v>1</v>
      </c>
      <c r="B8" s="2512" t="s">
        <v>10169</v>
      </c>
      <c r="C8" s="3007">
        <f>SUM(F8:K8)</f>
        <v>18183</v>
      </c>
      <c r="D8" s="2752">
        <v>30</v>
      </c>
      <c r="E8" s="2752">
        <v>8</v>
      </c>
      <c r="F8" s="2530">
        <v>9137</v>
      </c>
      <c r="G8" s="2530">
        <v>713</v>
      </c>
      <c r="H8" s="2530">
        <v>3589</v>
      </c>
      <c r="I8" s="2614"/>
      <c r="J8" s="2530">
        <v>3365</v>
      </c>
      <c r="K8" s="2530">
        <v>1379</v>
      </c>
      <c r="L8" s="2595">
        <f t="shared" si="0"/>
        <v>0</v>
      </c>
    </row>
    <row r="9" spans="1:12" ht="16.7" customHeight="1" x14ac:dyDescent="0.2">
      <c r="A9" s="2497">
        <v>2</v>
      </c>
      <c r="B9" s="2512" t="s">
        <v>10170</v>
      </c>
      <c r="C9" s="3007">
        <f>SUM(F9:K9)</f>
        <v>16933</v>
      </c>
      <c r="D9" s="2752">
        <v>2</v>
      </c>
      <c r="E9" s="2752">
        <v>8</v>
      </c>
      <c r="F9" s="2530">
        <v>8878</v>
      </c>
      <c r="G9" s="2530">
        <v>648</v>
      </c>
      <c r="H9" s="2530">
        <v>3589</v>
      </c>
      <c r="I9" s="2614"/>
      <c r="J9" s="2530">
        <v>2463</v>
      </c>
      <c r="K9" s="2530">
        <v>1355</v>
      </c>
      <c r="L9" s="2595">
        <f t="shared" si="0"/>
        <v>0</v>
      </c>
    </row>
    <row r="10" spans="1:12" ht="16.7" customHeight="1" x14ac:dyDescent="0.2">
      <c r="A10" s="2497">
        <v>3</v>
      </c>
      <c r="B10" s="2512" t="s">
        <v>10171</v>
      </c>
      <c r="C10" s="3007">
        <f>SUM(F10:K10)</f>
        <v>15584</v>
      </c>
      <c r="D10" s="2752">
        <v>27</v>
      </c>
      <c r="E10" s="2752">
        <v>9</v>
      </c>
      <c r="F10" s="2530">
        <v>8304</v>
      </c>
      <c r="G10" s="2530">
        <v>545</v>
      </c>
      <c r="H10" s="2530">
        <v>3589</v>
      </c>
      <c r="I10" s="2614"/>
      <c r="J10" s="2530">
        <v>1872</v>
      </c>
      <c r="K10" s="2530">
        <v>1274</v>
      </c>
      <c r="L10" s="2595">
        <f t="shared" si="0"/>
        <v>0</v>
      </c>
    </row>
    <row r="11" spans="1:12" ht="27.6" customHeight="1" x14ac:dyDescent="0.2">
      <c r="A11" s="2497">
        <v>4</v>
      </c>
      <c r="B11" s="2512" t="s">
        <v>10172</v>
      </c>
      <c r="C11" s="3008"/>
      <c r="D11" s="3009"/>
      <c r="E11" s="3010"/>
      <c r="F11" s="2645">
        <f t="shared" ref="F11:K11" si="1">SUM(F8:F10)</f>
        <v>26319</v>
      </c>
      <c r="G11" s="2645">
        <f t="shared" si="1"/>
        <v>1906</v>
      </c>
      <c r="H11" s="2645">
        <f t="shared" si="1"/>
        <v>10767</v>
      </c>
      <c r="I11" s="2645">
        <f t="shared" si="1"/>
        <v>0</v>
      </c>
      <c r="J11" s="2645">
        <f t="shared" si="1"/>
        <v>7700</v>
      </c>
      <c r="K11" s="2645">
        <f t="shared" si="1"/>
        <v>4008</v>
      </c>
      <c r="L11" s="2595">
        <f t="shared" si="0"/>
        <v>0</v>
      </c>
    </row>
    <row r="12" spans="1:12" ht="16.7" customHeight="1" x14ac:dyDescent="0.2">
      <c r="A12" s="2497">
        <v>5</v>
      </c>
      <c r="B12" s="2512" t="s">
        <v>10173</v>
      </c>
      <c r="C12" s="3007">
        <f>SUM(F12:K12)</f>
        <v>15166</v>
      </c>
      <c r="D12" s="2752">
        <v>4</v>
      </c>
      <c r="E12" s="2752">
        <v>9</v>
      </c>
      <c r="F12" s="2530">
        <v>8006</v>
      </c>
      <c r="G12" s="2530">
        <v>501</v>
      </c>
      <c r="H12" s="2530">
        <v>3589</v>
      </c>
      <c r="I12" s="2614"/>
      <c r="J12" s="2530">
        <v>1797</v>
      </c>
      <c r="K12" s="2527">
        <v>1273</v>
      </c>
      <c r="L12" s="2595">
        <f t="shared" si="0"/>
        <v>0</v>
      </c>
    </row>
    <row r="13" spans="1:12" ht="16.7" customHeight="1" x14ac:dyDescent="0.2">
      <c r="A13" s="2497">
        <v>6</v>
      </c>
      <c r="B13" s="2512" t="s">
        <v>285</v>
      </c>
      <c r="C13" s="3007">
        <f>SUM(F13:K13)</f>
        <v>15069</v>
      </c>
      <c r="D13" s="2752">
        <v>19</v>
      </c>
      <c r="E13" s="2752">
        <v>17</v>
      </c>
      <c r="F13" s="2530">
        <v>8065</v>
      </c>
      <c r="G13" s="2530">
        <v>329</v>
      </c>
      <c r="H13" s="2530">
        <v>3589</v>
      </c>
      <c r="I13" s="2614"/>
      <c r="J13" s="2530">
        <v>1719</v>
      </c>
      <c r="K13" s="2527">
        <v>1367</v>
      </c>
      <c r="L13" s="2595">
        <f t="shared" si="0"/>
        <v>0</v>
      </c>
    </row>
    <row r="14" spans="1:12" ht="16.7" customHeight="1" x14ac:dyDescent="0.2">
      <c r="A14" s="2497">
        <v>7</v>
      </c>
      <c r="B14" s="2512" t="s">
        <v>10174</v>
      </c>
      <c r="C14" s="3007">
        <f>SUM(F14:K14)</f>
        <v>17336</v>
      </c>
      <c r="D14" s="2752">
        <v>30</v>
      </c>
      <c r="E14" s="2752">
        <v>18</v>
      </c>
      <c r="F14" s="2530">
        <v>9386</v>
      </c>
      <c r="G14" s="2530">
        <v>420</v>
      </c>
      <c r="H14" s="2530">
        <v>3720</v>
      </c>
      <c r="I14" s="2614"/>
      <c r="J14" s="2530">
        <v>2201</v>
      </c>
      <c r="K14" s="2527">
        <v>1609</v>
      </c>
      <c r="L14" s="2595">
        <f t="shared" si="0"/>
        <v>0</v>
      </c>
    </row>
    <row r="15" spans="1:12" ht="27.6" customHeight="1" x14ac:dyDescent="0.2">
      <c r="A15" s="2497">
        <v>8</v>
      </c>
      <c r="B15" s="2512" t="s">
        <v>10175</v>
      </c>
      <c r="C15" s="3008"/>
      <c r="D15" s="3009"/>
      <c r="E15" s="3010"/>
      <c r="F15" s="2645">
        <f t="shared" ref="F15:K15" si="2">SUM(F12:F14)</f>
        <v>25457</v>
      </c>
      <c r="G15" s="2645">
        <f t="shared" si="2"/>
        <v>1250</v>
      </c>
      <c r="H15" s="2645">
        <f t="shared" si="2"/>
        <v>10898</v>
      </c>
      <c r="I15" s="2645">
        <f t="shared" si="2"/>
        <v>0</v>
      </c>
      <c r="J15" s="2645">
        <f t="shared" si="2"/>
        <v>5717</v>
      </c>
      <c r="K15" s="2645">
        <f t="shared" si="2"/>
        <v>4249</v>
      </c>
      <c r="L15" s="2595">
        <f t="shared" si="0"/>
        <v>0</v>
      </c>
    </row>
    <row r="16" spans="1:12" ht="16.7" customHeight="1" x14ac:dyDescent="0.2">
      <c r="A16" s="2497">
        <v>9</v>
      </c>
      <c r="B16" s="2512" t="s">
        <v>10176</v>
      </c>
      <c r="C16" s="3007">
        <f>SUM(F16:K16)</f>
        <v>18873</v>
      </c>
      <c r="D16" s="2752">
        <v>21</v>
      </c>
      <c r="E16" s="2752">
        <v>17</v>
      </c>
      <c r="F16" s="2530">
        <v>10578</v>
      </c>
      <c r="G16" s="2530">
        <v>500</v>
      </c>
      <c r="H16" s="2530">
        <v>3716</v>
      </c>
      <c r="I16" s="2614"/>
      <c r="J16" s="2530">
        <v>2078</v>
      </c>
      <c r="K16" s="2530">
        <v>2001</v>
      </c>
      <c r="L16" s="2595">
        <f t="shared" si="0"/>
        <v>0</v>
      </c>
    </row>
    <row r="17" spans="1:12" ht="16.7" customHeight="1" x14ac:dyDescent="0.2">
      <c r="A17" s="2497">
        <v>10</v>
      </c>
      <c r="B17" s="2512" t="s">
        <v>10177</v>
      </c>
      <c r="C17" s="3007">
        <f>SUM(F17:K17)</f>
        <v>20707</v>
      </c>
      <c r="D17" s="2752">
        <v>16</v>
      </c>
      <c r="E17" s="2752">
        <v>17</v>
      </c>
      <c r="F17" s="2530">
        <v>10909</v>
      </c>
      <c r="G17" s="2530">
        <v>470</v>
      </c>
      <c r="H17" s="2530">
        <v>3716</v>
      </c>
      <c r="I17" s="2614"/>
      <c r="J17" s="2530">
        <v>3685</v>
      </c>
      <c r="K17" s="2530">
        <v>1927</v>
      </c>
      <c r="L17" s="2595">
        <f t="shared" si="0"/>
        <v>0</v>
      </c>
    </row>
    <row r="18" spans="1:12" ht="16.7" customHeight="1" x14ac:dyDescent="0.2">
      <c r="A18" s="2497">
        <v>11</v>
      </c>
      <c r="B18" s="2512" t="s">
        <v>10178</v>
      </c>
      <c r="C18" s="3007">
        <f>SUM(F18:K18)</f>
        <v>16975</v>
      </c>
      <c r="D18" s="2752">
        <v>8</v>
      </c>
      <c r="E18" s="2752">
        <v>17</v>
      </c>
      <c r="F18" s="2530">
        <v>8784</v>
      </c>
      <c r="G18" s="2530">
        <v>367</v>
      </c>
      <c r="H18" s="2530">
        <v>3718</v>
      </c>
      <c r="I18" s="2614"/>
      <c r="J18" s="2530">
        <v>2541</v>
      </c>
      <c r="K18" s="2530">
        <v>1565</v>
      </c>
      <c r="L18" s="2595">
        <f t="shared" si="0"/>
        <v>0</v>
      </c>
    </row>
    <row r="19" spans="1:12" ht="27.6" customHeight="1" x14ac:dyDescent="0.2">
      <c r="A19" s="2497">
        <v>12</v>
      </c>
      <c r="B19" s="2512" t="s">
        <v>10179</v>
      </c>
      <c r="C19" s="3008"/>
      <c r="D19" s="3009"/>
      <c r="E19" s="3010"/>
      <c r="F19" s="2645">
        <f t="shared" ref="F19:K19" si="3">SUM(F16:F18)</f>
        <v>30271</v>
      </c>
      <c r="G19" s="2645">
        <f t="shared" si="3"/>
        <v>1337</v>
      </c>
      <c r="H19" s="2645">
        <f t="shared" si="3"/>
        <v>11150</v>
      </c>
      <c r="I19" s="2645">
        <f t="shared" si="3"/>
        <v>0</v>
      </c>
      <c r="J19" s="2645">
        <f t="shared" si="3"/>
        <v>8304</v>
      </c>
      <c r="K19" s="2645">
        <f t="shared" si="3"/>
        <v>5493</v>
      </c>
      <c r="L19" s="2595">
        <f t="shared" si="0"/>
        <v>0</v>
      </c>
    </row>
    <row r="20" spans="1:12" ht="16.7" customHeight="1" x14ac:dyDescent="0.2">
      <c r="A20" s="2497">
        <v>13</v>
      </c>
      <c r="B20" s="2512" t="s">
        <v>10180</v>
      </c>
      <c r="C20" s="3007">
        <f>SUM(F20:K20)</f>
        <v>15716</v>
      </c>
      <c r="D20" s="2752">
        <v>30</v>
      </c>
      <c r="E20" s="2752">
        <v>8</v>
      </c>
      <c r="F20" s="2527">
        <v>8120</v>
      </c>
      <c r="G20" s="2527">
        <v>527</v>
      </c>
      <c r="H20" s="2527">
        <v>3614</v>
      </c>
      <c r="I20" s="2559"/>
      <c r="J20" s="2527">
        <v>2229</v>
      </c>
      <c r="K20" s="2527">
        <v>1226</v>
      </c>
      <c r="L20" s="2595">
        <f t="shared" si="0"/>
        <v>0</v>
      </c>
    </row>
    <row r="21" spans="1:12" ht="16.7" customHeight="1" x14ac:dyDescent="0.2">
      <c r="A21" s="2497">
        <v>14</v>
      </c>
      <c r="B21" s="2512" t="s">
        <v>10181</v>
      </c>
      <c r="C21" s="3007">
        <f>SUM(F21:K21)</f>
        <v>16357</v>
      </c>
      <c r="D21" s="2752">
        <v>28</v>
      </c>
      <c r="E21" s="2752">
        <v>8</v>
      </c>
      <c r="F21" s="2527">
        <v>8590</v>
      </c>
      <c r="G21" s="2527">
        <v>563</v>
      </c>
      <c r="H21" s="2527">
        <v>3483</v>
      </c>
      <c r="I21" s="2559"/>
      <c r="J21" s="2527">
        <v>2408</v>
      </c>
      <c r="K21" s="2527">
        <v>1313</v>
      </c>
      <c r="L21" s="2595">
        <f t="shared" si="0"/>
        <v>0</v>
      </c>
    </row>
    <row r="22" spans="1:12" ht="16.7" customHeight="1" x14ac:dyDescent="0.2">
      <c r="A22" s="2497">
        <v>15</v>
      </c>
      <c r="B22" s="2512" t="s">
        <v>10182</v>
      </c>
      <c r="C22" s="3007">
        <f>SUM(F22:K22)</f>
        <v>15642</v>
      </c>
      <c r="D22" s="2752">
        <v>18</v>
      </c>
      <c r="E22" s="2752">
        <v>18</v>
      </c>
      <c r="F22" s="2527">
        <v>8421</v>
      </c>
      <c r="G22" s="2527">
        <v>546</v>
      </c>
      <c r="H22" s="2527">
        <v>3483</v>
      </c>
      <c r="I22" s="2559"/>
      <c r="J22" s="2527">
        <v>1934</v>
      </c>
      <c r="K22" s="2527">
        <v>1258</v>
      </c>
      <c r="L22" s="2595">
        <f t="shared" si="0"/>
        <v>0</v>
      </c>
    </row>
    <row r="23" spans="1:12" ht="27.6" customHeight="1" x14ac:dyDescent="0.2">
      <c r="A23" s="2497">
        <v>16</v>
      </c>
      <c r="B23" s="2512" t="s">
        <v>10183</v>
      </c>
      <c r="C23" s="3011"/>
      <c r="D23" s="3012"/>
      <c r="E23" s="3013"/>
      <c r="F23" s="2645">
        <f t="shared" ref="F23:K23" si="4">SUM(F20:F22)</f>
        <v>25131</v>
      </c>
      <c r="G23" s="2645">
        <f t="shared" si="4"/>
        <v>1636</v>
      </c>
      <c r="H23" s="2645">
        <f t="shared" si="4"/>
        <v>10580</v>
      </c>
      <c r="I23" s="2645">
        <f t="shared" si="4"/>
        <v>0</v>
      </c>
      <c r="J23" s="2645">
        <f t="shared" si="4"/>
        <v>6571</v>
      </c>
      <c r="K23" s="2645">
        <f t="shared" si="4"/>
        <v>3797</v>
      </c>
      <c r="L23" s="2595">
        <f t="shared" si="0"/>
        <v>0</v>
      </c>
    </row>
    <row r="24" spans="1:12" ht="27.6" customHeight="1" x14ac:dyDescent="0.2">
      <c r="A24" s="2497">
        <v>17</v>
      </c>
      <c r="B24" s="2512" t="s">
        <v>10184</v>
      </c>
      <c r="C24" s="3014"/>
      <c r="D24" s="3014"/>
      <c r="E24" s="3014"/>
      <c r="F24" s="3015">
        <f t="shared" ref="F24:K24" si="5">F11+F15+F19+F23</f>
        <v>107178</v>
      </c>
      <c r="G24" s="3015">
        <f t="shared" si="5"/>
        <v>6129</v>
      </c>
      <c r="H24" s="3015">
        <f t="shared" si="5"/>
        <v>43395</v>
      </c>
      <c r="I24" s="2645">
        <f t="shared" si="5"/>
        <v>0</v>
      </c>
      <c r="J24" s="3015">
        <f t="shared" si="5"/>
        <v>28292</v>
      </c>
      <c r="K24" s="3016">
        <f t="shared" si="5"/>
        <v>17547</v>
      </c>
      <c r="L24" s="2595">
        <f t="shared" si="0"/>
        <v>0</v>
      </c>
    </row>
    <row r="25" spans="1:12" ht="16.7" customHeight="1" x14ac:dyDescent="0.2">
      <c r="A25" s="2516"/>
      <c r="B25" s="2516"/>
      <c r="C25" s="2516"/>
      <c r="D25" s="2516"/>
      <c r="E25" s="2516"/>
      <c r="F25" s="2516"/>
      <c r="G25" s="2516"/>
      <c r="H25" s="2516"/>
      <c r="I25" s="2516"/>
      <c r="J25" s="2516"/>
      <c r="K25" s="2516"/>
    </row>
    <row r="26" spans="1:12" ht="16.7" customHeight="1" x14ac:dyDescent="0.2"/>
    <row r="27" spans="1:12" ht="16.7" customHeight="1" x14ac:dyDescent="0.2"/>
    <row r="28" spans="1:12" ht="16.7" customHeight="1" x14ac:dyDescent="0.2"/>
    <row r="29" spans="1:12" ht="16.7" customHeight="1" x14ac:dyDescent="0.2"/>
    <row r="30" spans="1:12" ht="16.7" customHeight="1" x14ac:dyDescent="0.2"/>
    <row r="31" spans="1:12" ht="16.7" customHeight="1" x14ac:dyDescent="0.2"/>
    <row r="32" spans="1:12" ht="16.7" customHeight="1" x14ac:dyDescent="0.2"/>
    <row r="33" ht="16.7" customHeight="1" x14ac:dyDescent="0.2"/>
    <row r="34" ht="16.7" customHeight="1" x14ac:dyDescent="0.2"/>
    <row r="35" ht="16.7" customHeight="1" x14ac:dyDescent="0.2"/>
    <row r="36" ht="16.7" customHeight="1" x14ac:dyDescent="0.2"/>
    <row r="37" ht="16.7" customHeight="1" x14ac:dyDescent="0.2"/>
    <row r="38" ht="16.7" customHeight="1" x14ac:dyDescent="0.2"/>
    <row r="39" ht="16.7" customHeight="1" x14ac:dyDescent="0.2"/>
    <row r="40" ht="16.7" customHeight="1" x14ac:dyDescent="0.2"/>
    <row r="41" ht="16.7" customHeight="1" x14ac:dyDescent="0.2"/>
    <row r="42" ht="16.7" customHeight="1" x14ac:dyDescent="0.2"/>
    <row r="43" ht="16.7" customHeight="1" x14ac:dyDescent="0.2"/>
    <row r="44" ht="16.7" customHeight="1" x14ac:dyDescent="0.2"/>
    <row r="45" ht="16.7" customHeight="1" x14ac:dyDescent="0.2"/>
    <row r="46" ht="16.7" customHeight="1" x14ac:dyDescent="0.2"/>
    <row r="47" ht="16.7" customHeight="1" x14ac:dyDescent="0.2"/>
    <row r="48" ht="16.7" customHeight="1" x14ac:dyDescent="0.2"/>
    <row r="49" ht="16.7" customHeight="1" x14ac:dyDescent="0.2"/>
    <row r="50" ht="16.7" customHeight="1" x14ac:dyDescent="0.2"/>
    <row r="51" ht="16.7" customHeight="1" x14ac:dyDescent="0.2"/>
    <row r="52" ht="16.7" customHeight="1" x14ac:dyDescent="0.2"/>
    <row r="53" ht="16.7" customHeight="1" x14ac:dyDescent="0.2"/>
    <row r="54" ht="16.7" customHeight="1" x14ac:dyDescent="0.2"/>
    <row r="55" ht="16.7" customHeight="1" x14ac:dyDescent="0.2"/>
    <row r="56" ht="16.7" customHeight="1" x14ac:dyDescent="0.2"/>
    <row r="57" ht="16.7" customHeight="1" x14ac:dyDescent="0.2"/>
    <row r="58" ht="16.7" customHeight="1" x14ac:dyDescent="0.2"/>
    <row r="59" ht="16.7" customHeight="1" x14ac:dyDescent="0.2"/>
    <row r="60" ht="16.7" customHeight="1" x14ac:dyDescent="0.2"/>
    <row r="61" ht="16.7" customHeight="1" x14ac:dyDescent="0.2"/>
    <row r="62" ht="16.7" customHeight="1" x14ac:dyDescent="0.2"/>
    <row r="63" ht="16.7" customHeight="1" x14ac:dyDescent="0.2"/>
    <row r="64" ht="16.7" customHeight="1" x14ac:dyDescent="0.2"/>
    <row r="65" ht="16.7" customHeight="1" x14ac:dyDescent="0.2"/>
    <row r="66" ht="16.7" customHeight="1" x14ac:dyDescent="0.2"/>
    <row r="67" ht="16.7" customHeight="1" x14ac:dyDescent="0.2"/>
    <row r="68" ht="16.7" customHeight="1" x14ac:dyDescent="0.2"/>
    <row r="69" ht="16.7" customHeight="1" x14ac:dyDescent="0.2"/>
    <row r="70" ht="16.7" customHeight="1" x14ac:dyDescent="0.2"/>
    <row r="71" ht="16.7" customHeight="1" x14ac:dyDescent="0.2"/>
    <row r="72" ht="16.7" customHeight="1" x14ac:dyDescent="0.2"/>
    <row r="73" ht="16.7" customHeight="1" x14ac:dyDescent="0.2"/>
    <row r="74" ht="16.7" customHeight="1" x14ac:dyDescent="0.2"/>
    <row r="75" ht="16.7" customHeight="1" x14ac:dyDescent="0.2"/>
    <row r="76" ht="16.7" customHeight="1" x14ac:dyDescent="0.2"/>
    <row r="77" ht="16.7" customHeight="1" x14ac:dyDescent="0.2"/>
    <row r="78" ht="16.7" customHeight="1" x14ac:dyDescent="0.2"/>
    <row r="79" ht="16.7" customHeight="1" x14ac:dyDescent="0.2"/>
    <row r="80" ht="16.7" customHeight="1" x14ac:dyDescent="0.2"/>
    <row r="81" ht="16.7" customHeight="1" x14ac:dyDescent="0.2"/>
    <row r="82" ht="16.7" customHeight="1" x14ac:dyDescent="0.2"/>
    <row r="83" ht="16.7" customHeight="1" x14ac:dyDescent="0.2"/>
    <row r="84" ht="16.7" customHeight="1" x14ac:dyDescent="0.2"/>
    <row r="85" ht="16.7" customHeight="1" x14ac:dyDescent="0.2"/>
    <row r="86" ht="15" customHeight="1" x14ac:dyDescent="0.2"/>
    <row r="87" ht="15" customHeight="1" x14ac:dyDescent="0.2"/>
    <row r="88" ht="15" customHeight="1" x14ac:dyDescent="0.2"/>
    <row r="89" ht="15" customHeight="1" x14ac:dyDescent="0.2"/>
    <row r="90" ht="15" customHeight="1" x14ac:dyDescent="0.2"/>
    <row r="91" ht="15" customHeight="1" x14ac:dyDescent="0.2"/>
    <row r="92" ht="15" customHeight="1" x14ac:dyDescent="0.2"/>
    <row r="93" ht="15" customHeight="1" x14ac:dyDescent="0.2"/>
    <row r="94" ht="15" customHeight="1" x14ac:dyDescent="0.2"/>
    <row r="95" ht="15" customHeight="1" x14ac:dyDescent="0.2"/>
    <row r="96" ht="15" customHeight="1" x14ac:dyDescent="0.2"/>
    <row r="97" ht="15" customHeight="1" x14ac:dyDescent="0.2"/>
    <row r="98" ht="15" customHeight="1" x14ac:dyDescent="0.2"/>
    <row r="99" ht="15" customHeight="1" x14ac:dyDescent="0.2"/>
    <row r="100" ht="15" customHeight="1" x14ac:dyDescent="0.2"/>
    <row r="101" ht="15" customHeight="1" x14ac:dyDescent="0.2"/>
    <row r="102" ht="15" customHeight="1" x14ac:dyDescent="0.2"/>
    <row r="103" ht="15" customHeight="1" x14ac:dyDescent="0.2"/>
  </sheetData>
  <mergeCells count="5">
    <mergeCell ref="B1:C1"/>
    <mergeCell ref="A3:K3"/>
    <mergeCell ref="A4:K4"/>
    <mergeCell ref="B7:C7"/>
    <mergeCell ref="D7:K7"/>
  </mergeCells>
  <pageMargins left="0.75" right="0.75" top="1" bottom="1" header="0.5" footer="0.5"/>
  <customProperties>
    <customPr name="_pios_id" r:id="rId1"/>
  </customProperties>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C3C34D-1CD3-4487-A9B1-A5E67D7363E4}">
  <sheetPr codeName="Sheet89"/>
  <dimension ref="A1:F109"/>
  <sheetViews>
    <sheetView showRuler="0" workbookViewId="0"/>
  </sheetViews>
  <sheetFormatPr defaultColWidth="11.5" defaultRowHeight="12.75" x14ac:dyDescent="0.2"/>
  <cols>
    <col min="1" max="1" width="9.125" style="1953" customWidth="1"/>
    <col min="2" max="2" width="48.25" style="1953" customWidth="1"/>
    <col min="3" max="3" width="14.875" style="1953" customWidth="1"/>
    <col min="4" max="23" width="17.625" style="1953" customWidth="1"/>
    <col min="24" max="16384" width="11.5" style="1953"/>
  </cols>
  <sheetData>
    <row r="1" spans="1:6" ht="15.75" customHeight="1" x14ac:dyDescent="0.2">
      <c r="B1" s="2947" t="s">
        <v>7058</v>
      </c>
      <c r="C1" s="2977"/>
    </row>
    <row r="2" spans="1:6" ht="15" customHeight="1" x14ac:dyDescent="0.2">
      <c r="B2" s="2620"/>
    </row>
    <row r="3" spans="1:6" ht="15.75" customHeight="1" x14ac:dyDescent="0.2">
      <c r="A3" s="4044" t="s">
        <v>10185</v>
      </c>
      <c r="B3" s="4045"/>
      <c r="C3" s="4046"/>
      <c r="D3" s="2486"/>
    </row>
    <row r="4" spans="1:6" ht="23.25" customHeight="1" x14ac:dyDescent="0.2">
      <c r="A4" s="3878" t="s">
        <v>10186</v>
      </c>
      <c r="B4" s="3879"/>
      <c r="C4" s="3880"/>
      <c r="D4" s="2479"/>
    </row>
    <row r="5" spans="1:6" ht="23.25" customHeight="1" x14ac:dyDescent="0.2">
      <c r="A5" s="2780" t="s">
        <v>6360</v>
      </c>
      <c r="B5" s="2637" t="s">
        <v>6467</v>
      </c>
      <c r="C5" s="2637" t="s">
        <v>10187</v>
      </c>
      <c r="D5" s="2479"/>
    </row>
    <row r="6" spans="1:6" ht="15.75" customHeight="1" x14ac:dyDescent="0.2">
      <c r="A6" s="2705"/>
      <c r="B6" s="2705" t="s">
        <v>5949</v>
      </c>
      <c r="C6" s="2705" t="s">
        <v>5950</v>
      </c>
      <c r="D6" s="2479"/>
    </row>
    <row r="7" spans="1:6" ht="15.75" customHeight="1" x14ac:dyDescent="0.2">
      <c r="A7" s="2489"/>
      <c r="B7" s="2489"/>
      <c r="C7" s="2489"/>
      <c r="D7" s="2479"/>
    </row>
    <row r="8" spans="1:6" ht="15.75" customHeight="1" x14ac:dyDescent="0.2">
      <c r="A8" s="2497">
        <v>1</v>
      </c>
      <c r="B8" s="2512" t="s">
        <v>10188</v>
      </c>
      <c r="C8" s="2877"/>
      <c r="D8" s="2479"/>
    </row>
    <row r="9" spans="1:6" ht="15.75" customHeight="1" x14ac:dyDescent="0.2">
      <c r="A9" s="2497">
        <v>2</v>
      </c>
      <c r="B9" s="2512" t="s">
        <v>10189</v>
      </c>
      <c r="C9" s="2877"/>
      <c r="D9" s="2479"/>
    </row>
    <row r="10" spans="1:6" ht="15.75" customHeight="1" x14ac:dyDescent="0.2">
      <c r="A10" s="2497">
        <v>3</v>
      </c>
      <c r="B10" s="2512" t="s">
        <v>669</v>
      </c>
      <c r="C10" s="2530">
        <v>27215264</v>
      </c>
      <c r="D10" s="2479"/>
      <c r="E10" s="2576"/>
      <c r="F10" s="2885"/>
    </row>
    <row r="11" spans="1:6" ht="15.75" customHeight="1" x14ac:dyDescent="0.2">
      <c r="A11" s="2497">
        <v>4</v>
      </c>
      <c r="B11" s="2512" t="s">
        <v>678</v>
      </c>
      <c r="C11" s="2488"/>
      <c r="D11" s="2479"/>
      <c r="E11" s="2576"/>
    </row>
    <row r="12" spans="1:6" ht="15.75" customHeight="1" x14ac:dyDescent="0.2">
      <c r="A12" s="2497">
        <v>5</v>
      </c>
      <c r="B12" s="2512" t="s">
        <v>10190</v>
      </c>
      <c r="C12" s="2530">
        <v>3001321</v>
      </c>
      <c r="D12" s="2479"/>
      <c r="E12" s="2576"/>
      <c r="F12" s="2885"/>
    </row>
    <row r="13" spans="1:6" ht="15.75" customHeight="1" x14ac:dyDescent="0.2">
      <c r="A13" s="2497">
        <v>6</v>
      </c>
      <c r="B13" s="2512" t="s">
        <v>10191</v>
      </c>
      <c r="C13" s="2488"/>
      <c r="D13" s="2479"/>
      <c r="E13" s="2576"/>
    </row>
    <row r="14" spans="1:6" ht="15.75" customHeight="1" x14ac:dyDescent="0.2">
      <c r="A14" s="2497">
        <v>7</v>
      </c>
      <c r="B14" s="2512" t="s">
        <v>107</v>
      </c>
      <c r="C14" s="2530">
        <v>15537064</v>
      </c>
      <c r="D14" s="2479"/>
      <c r="E14" s="2576"/>
      <c r="F14" s="2885"/>
    </row>
    <row r="15" spans="1:6" ht="15.75" customHeight="1" x14ac:dyDescent="0.2">
      <c r="A15" s="2497">
        <v>8</v>
      </c>
      <c r="B15" s="2512" t="s">
        <v>10192</v>
      </c>
      <c r="C15" s="2530">
        <v>922</v>
      </c>
      <c r="D15" s="2479"/>
      <c r="E15" s="2576"/>
      <c r="F15" s="2885"/>
    </row>
    <row r="16" spans="1:6" ht="15.75" customHeight="1" x14ac:dyDescent="0.2">
      <c r="A16" s="2497">
        <v>9</v>
      </c>
      <c r="B16" s="2669" t="s">
        <v>10193</v>
      </c>
      <c r="C16" s="2736">
        <f>SUM(C10:C14)-C15</f>
        <v>45752727</v>
      </c>
      <c r="D16" s="2985"/>
      <c r="E16" s="2576"/>
      <c r="F16" s="2775"/>
    </row>
    <row r="17" spans="1:6" ht="15.75" customHeight="1" x14ac:dyDescent="0.2">
      <c r="A17" s="2497">
        <v>10</v>
      </c>
      <c r="B17" s="2512" t="s">
        <v>10194</v>
      </c>
      <c r="C17" s="2530">
        <v>17677912</v>
      </c>
      <c r="D17" s="2479"/>
      <c r="E17" s="2576"/>
      <c r="F17" s="2775"/>
    </row>
    <row r="18" spans="1:6" ht="15.75" customHeight="1" x14ac:dyDescent="0.2">
      <c r="A18" s="3017">
        <v>10.1</v>
      </c>
      <c r="B18" s="2512" t="s">
        <v>10195</v>
      </c>
      <c r="C18" s="2614"/>
      <c r="D18" s="2479"/>
      <c r="E18" s="2576"/>
      <c r="F18" s="2576"/>
    </row>
    <row r="19" spans="1:6" ht="15.75" customHeight="1" x14ac:dyDescent="0.2">
      <c r="A19" s="2497">
        <v>11</v>
      </c>
      <c r="B19" s="2512" t="s">
        <v>9586</v>
      </c>
      <c r="C19" s="2877"/>
      <c r="D19" s="2479"/>
      <c r="E19" s="2775"/>
      <c r="F19" s="2775"/>
    </row>
    <row r="20" spans="1:6" ht="15.75" customHeight="1" x14ac:dyDescent="0.2">
      <c r="A20" s="2497">
        <v>12</v>
      </c>
      <c r="B20" s="2512" t="s">
        <v>10196</v>
      </c>
      <c r="C20" s="2530">
        <v>7394886</v>
      </c>
      <c r="D20" s="2479"/>
      <c r="E20" s="2576"/>
      <c r="F20" s="2775"/>
    </row>
    <row r="21" spans="1:6" ht="15.75" customHeight="1" x14ac:dyDescent="0.2">
      <c r="A21" s="2497">
        <v>13</v>
      </c>
      <c r="B21" s="2512" t="s">
        <v>10197</v>
      </c>
      <c r="C21" s="2530">
        <v>6319678</v>
      </c>
      <c r="D21" s="2479"/>
      <c r="E21" s="2576"/>
      <c r="F21" s="2775"/>
    </row>
    <row r="22" spans="1:6" ht="15.75" customHeight="1" x14ac:dyDescent="0.2">
      <c r="A22" s="2497">
        <v>14</v>
      </c>
      <c r="B22" s="2669" t="s">
        <v>10198</v>
      </c>
      <c r="C22" s="2736">
        <f>C20-C21</f>
        <v>1075208</v>
      </c>
      <c r="D22" s="2479"/>
      <c r="E22" s="2576"/>
      <c r="F22" s="2775"/>
    </row>
    <row r="23" spans="1:6" ht="15.75" customHeight="1" x14ac:dyDescent="0.2">
      <c r="A23" s="2497">
        <v>15</v>
      </c>
      <c r="B23" s="2512" t="s">
        <v>10199</v>
      </c>
      <c r="C23" s="2877"/>
      <c r="D23" s="2479"/>
      <c r="E23" s="2576"/>
      <c r="F23" s="2576"/>
    </row>
    <row r="24" spans="1:6" ht="15.75" customHeight="1" x14ac:dyDescent="0.2">
      <c r="A24" s="2497">
        <v>16</v>
      </c>
      <c r="B24" s="2512" t="s">
        <v>10196</v>
      </c>
      <c r="C24" s="2530">
        <v>17818492</v>
      </c>
      <c r="D24" s="2479"/>
      <c r="E24" s="2576"/>
      <c r="F24" s="2775"/>
    </row>
    <row r="25" spans="1:6" ht="15.75" customHeight="1" x14ac:dyDescent="0.2">
      <c r="A25" s="2497">
        <v>17</v>
      </c>
      <c r="B25" s="2512" t="s">
        <v>10197</v>
      </c>
      <c r="C25" s="2530">
        <v>17730917</v>
      </c>
      <c r="D25" s="2479"/>
      <c r="E25" s="2576"/>
      <c r="F25" s="2775"/>
    </row>
    <row r="26" spans="1:6" ht="15.75" customHeight="1" x14ac:dyDescent="0.2">
      <c r="A26" s="2497">
        <v>18</v>
      </c>
      <c r="B26" s="2669" t="s">
        <v>10200</v>
      </c>
      <c r="C26" s="2736">
        <f>C24-C25</f>
        <v>87575</v>
      </c>
      <c r="D26" s="2479"/>
      <c r="E26" s="2576"/>
      <c r="F26" s="2775"/>
    </row>
    <row r="27" spans="1:6" ht="15.75" customHeight="1" x14ac:dyDescent="0.2">
      <c r="A27" s="2497">
        <v>19</v>
      </c>
      <c r="B27" s="2512" t="s">
        <v>10201</v>
      </c>
      <c r="C27" s="2530">
        <v>-366236</v>
      </c>
      <c r="D27" s="2479"/>
      <c r="E27" s="2898"/>
      <c r="F27" s="2775"/>
    </row>
    <row r="28" spans="1:6" ht="15.75" customHeight="1" x14ac:dyDescent="0.2">
      <c r="A28" s="2497">
        <v>20</v>
      </c>
      <c r="B28" s="2669" t="s">
        <v>10202</v>
      </c>
      <c r="C28" s="2736">
        <f>C16+C17+C18+C22+C26+C27</f>
        <v>64227186</v>
      </c>
      <c r="D28" s="2479"/>
      <c r="E28" s="2576"/>
      <c r="F28" s="2775"/>
    </row>
    <row r="29" spans="1:6" ht="15.75" customHeight="1" x14ac:dyDescent="0.2">
      <c r="A29" s="2497">
        <v>21</v>
      </c>
      <c r="B29" s="2512" t="s">
        <v>10203</v>
      </c>
      <c r="C29" s="2614"/>
      <c r="D29" s="2479"/>
      <c r="E29" s="2775"/>
      <c r="F29" s="2775"/>
    </row>
    <row r="30" spans="1:6" ht="15.75" customHeight="1" x14ac:dyDescent="0.2">
      <c r="A30" s="2497">
        <v>22</v>
      </c>
      <c r="B30" s="2512" t="s">
        <v>10204</v>
      </c>
      <c r="C30" s="2530">
        <v>56696328</v>
      </c>
      <c r="D30" s="2479"/>
      <c r="E30" s="2775"/>
      <c r="F30" s="2775"/>
    </row>
    <row r="31" spans="1:6" ht="15.75" customHeight="1" x14ac:dyDescent="0.2">
      <c r="A31" s="2497">
        <v>23</v>
      </c>
      <c r="B31" s="2512" t="s">
        <v>10205</v>
      </c>
      <c r="C31" s="2530">
        <v>307999</v>
      </c>
      <c r="D31" s="2479"/>
      <c r="E31" s="2576"/>
    </row>
    <row r="32" spans="1:6" ht="15.75" customHeight="1" x14ac:dyDescent="0.2">
      <c r="A32" s="2497">
        <v>24</v>
      </c>
      <c r="B32" s="2512" t="s">
        <v>10206</v>
      </c>
      <c r="C32" s="2530">
        <v>2602670</v>
      </c>
      <c r="D32" s="2479"/>
      <c r="E32" s="2576"/>
      <c r="F32" s="2885"/>
    </row>
    <row r="33" spans="1:6" ht="15.75" customHeight="1" x14ac:dyDescent="0.2">
      <c r="A33" s="2497">
        <v>25</v>
      </c>
      <c r="B33" s="2512" t="s">
        <v>10207</v>
      </c>
      <c r="C33" s="2614"/>
      <c r="D33" s="2479"/>
      <c r="E33" s="2576"/>
    </row>
    <row r="34" spans="1:6" ht="15.75" customHeight="1" x14ac:dyDescent="0.2">
      <c r="A34" s="2497">
        <v>26</v>
      </c>
      <c r="B34" s="2512" t="s">
        <v>10208</v>
      </c>
      <c r="C34" s="2531">
        <v>163312</v>
      </c>
      <c r="D34" s="2479"/>
      <c r="E34" s="2576"/>
      <c r="F34" s="2885"/>
    </row>
    <row r="35" spans="1:6" ht="15.75" customHeight="1" x14ac:dyDescent="0.2">
      <c r="A35" s="2497">
        <v>27</v>
      </c>
      <c r="B35" s="2512" t="s">
        <v>10209</v>
      </c>
      <c r="C35" s="2530">
        <v>4456877</v>
      </c>
      <c r="D35" s="2479"/>
      <c r="E35" s="2576"/>
    </row>
    <row r="36" spans="1:6" ht="15.75" customHeight="1" x14ac:dyDescent="0.2">
      <c r="A36" s="2634" t="s">
        <v>8149</v>
      </c>
      <c r="B36" s="2512" t="s">
        <v>10210</v>
      </c>
      <c r="C36" s="2614"/>
      <c r="D36" s="2479"/>
      <c r="E36" s="2576"/>
    </row>
    <row r="37" spans="1:6" ht="15.75" customHeight="1" x14ac:dyDescent="0.2">
      <c r="A37" s="2497">
        <v>28</v>
      </c>
      <c r="B37" s="2512" t="s">
        <v>10211</v>
      </c>
      <c r="C37" s="3018">
        <f>SUM(C30:C36)</f>
        <v>64227186</v>
      </c>
      <c r="D37" s="2479"/>
      <c r="E37" s="2576"/>
      <c r="F37" s="2885"/>
    </row>
    <row r="38" spans="1:6" ht="15.75" customHeight="1" x14ac:dyDescent="0.2">
      <c r="A38" s="2516"/>
      <c r="B38" s="2536"/>
      <c r="C38" s="2516"/>
      <c r="E38" s="2576"/>
      <c r="F38" s="2885"/>
    </row>
    <row r="39" spans="1:6" ht="15.75" customHeight="1" x14ac:dyDescent="0.2">
      <c r="E39" s="2576"/>
    </row>
    <row r="40" spans="1:6" ht="15.75" customHeight="1" x14ac:dyDescent="0.2">
      <c r="E40" s="2576"/>
      <c r="F40" s="2885"/>
    </row>
    <row r="41" spans="1:6" ht="15.75" customHeight="1" x14ac:dyDescent="0.2"/>
    <row r="42" spans="1:6" ht="15.75" customHeight="1" x14ac:dyDescent="0.2"/>
    <row r="43" spans="1:6" ht="15.75" customHeight="1" x14ac:dyDescent="0.2"/>
    <row r="44" spans="1:6" ht="15.75" customHeight="1" x14ac:dyDescent="0.2"/>
    <row r="45" spans="1:6" ht="15.75" customHeight="1" x14ac:dyDescent="0.2"/>
    <row r="46" spans="1:6" ht="15.75" customHeight="1" x14ac:dyDescent="0.2"/>
    <row r="47" spans="1:6" ht="15.75" customHeight="1" x14ac:dyDescent="0.2"/>
    <row r="48" spans="1:6"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 customHeight="1" x14ac:dyDescent="0.2"/>
    <row r="109" ht="15" customHeight="1" x14ac:dyDescent="0.2"/>
  </sheetData>
  <mergeCells count="2">
    <mergeCell ref="A3:C3"/>
    <mergeCell ref="A4:C4"/>
  </mergeCells>
  <pageMargins left="0.75" right="0.75" top="1" bottom="1" header="0.5" footer="0.5"/>
  <customProperties>
    <customPr name="_pios_id" r:id="rId1"/>
  </customProperties>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6E1B3B-4AFC-4106-B712-A8E15A7C8972}">
  <sheetPr codeName="Sheet90"/>
  <dimension ref="A1:H106"/>
  <sheetViews>
    <sheetView showRuler="0" workbookViewId="0"/>
  </sheetViews>
  <sheetFormatPr defaultColWidth="11.5" defaultRowHeight="12.75" x14ac:dyDescent="0.2"/>
  <cols>
    <col min="1" max="1" width="4.875" style="1953" customWidth="1"/>
    <col min="2" max="2" width="11.875" style="1953" customWidth="1"/>
    <col min="3" max="3" width="18.25" style="1953" customWidth="1"/>
    <col min="4" max="4" width="19" style="1953" customWidth="1"/>
    <col min="5" max="5" width="17.375" style="1953" customWidth="1"/>
    <col min="6" max="7" width="12.625" style="1953" customWidth="1"/>
    <col min="8" max="26" width="17.625" style="1953" customWidth="1"/>
    <col min="27" max="16384" width="11.5" style="1953"/>
  </cols>
  <sheetData>
    <row r="1" spans="1:8" ht="16.7" customHeight="1" x14ac:dyDescent="0.2"/>
    <row r="2" spans="1:8" ht="16.7" customHeight="1" x14ac:dyDescent="0.2"/>
    <row r="3" spans="1:8" ht="16.7" customHeight="1" x14ac:dyDescent="0.2">
      <c r="A3" s="4044" t="s">
        <v>10212</v>
      </c>
      <c r="B3" s="4045"/>
      <c r="C3" s="4045"/>
      <c r="D3" s="4045"/>
      <c r="E3" s="4045"/>
      <c r="F3" s="4045"/>
      <c r="G3" s="4046"/>
      <c r="H3" s="2479"/>
    </row>
    <row r="4" spans="1:8" ht="59.1" customHeight="1" x14ac:dyDescent="0.2">
      <c r="A4" s="3878" t="s">
        <v>10213</v>
      </c>
      <c r="B4" s="3879"/>
      <c r="C4" s="3879"/>
      <c r="D4" s="3879"/>
      <c r="E4" s="3879"/>
      <c r="F4" s="3879"/>
      <c r="G4" s="3880"/>
      <c r="H4" s="2479"/>
    </row>
    <row r="5" spans="1:8" ht="16.7" customHeight="1" x14ac:dyDescent="0.2">
      <c r="A5" s="3875" t="s">
        <v>10214</v>
      </c>
      <c r="B5" s="3883"/>
      <c r="C5" s="3883"/>
      <c r="D5" s="3883"/>
      <c r="E5" s="3883"/>
      <c r="F5" s="3883"/>
      <c r="G5" s="3884"/>
      <c r="H5" s="2479"/>
    </row>
    <row r="6" spans="1:8" ht="16.7" customHeight="1" x14ac:dyDescent="0.2">
      <c r="A6" s="3894" t="s">
        <v>10168</v>
      </c>
      <c r="B6" s="4025"/>
      <c r="C6" s="4025"/>
      <c r="D6" s="4025"/>
      <c r="E6" s="4025"/>
      <c r="F6" s="4025"/>
      <c r="G6" s="4026"/>
      <c r="H6" s="2479"/>
    </row>
    <row r="7" spans="1:8" ht="22.5" customHeight="1" x14ac:dyDescent="0.2">
      <c r="A7" s="3922" t="s">
        <v>6133</v>
      </c>
      <c r="B7" s="3922" t="s">
        <v>10158</v>
      </c>
      <c r="C7" s="3922" t="s">
        <v>10215</v>
      </c>
      <c r="D7" s="3922" t="s">
        <v>10216</v>
      </c>
      <c r="E7" s="3882" t="s">
        <v>10217</v>
      </c>
      <c r="F7" s="3883"/>
      <c r="G7" s="3884"/>
      <c r="H7" s="2479"/>
    </row>
    <row r="8" spans="1:8" ht="27.6" customHeight="1" x14ac:dyDescent="0.2">
      <c r="A8" s="3943"/>
      <c r="B8" s="3943"/>
      <c r="C8" s="3943"/>
      <c r="D8" s="3943"/>
      <c r="E8" s="2583" t="s">
        <v>10218</v>
      </c>
      <c r="F8" s="2583" t="s">
        <v>10219</v>
      </c>
      <c r="G8" s="2583" t="s">
        <v>10220</v>
      </c>
      <c r="H8" s="2479"/>
    </row>
    <row r="9" spans="1:8" ht="16.7" customHeight="1" x14ac:dyDescent="0.2">
      <c r="A9" s="2588"/>
      <c r="B9" s="2589" t="s">
        <v>5949</v>
      </c>
      <c r="C9" s="2589" t="s">
        <v>5950</v>
      </c>
      <c r="D9" s="2589" t="s">
        <v>5951</v>
      </c>
      <c r="E9" s="2589" t="s">
        <v>5952</v>
      </c>
      <c r="F9" s="2589" t="s">
        <v>6227</v>
      </c>
      <c r="G9" s="2589" t="s">
        <v>5804</v>
      </c>
      <c r="H9" s="2479" t="s">
        <v>6324</v>
      </c>
    </row>
    <row r="10" spans="1:8" ht="19.149999999999999" customHeight="1" x14ac:dyDescent="0.2">
      <c r="A10" s="2760">
        <v>0</v>
      </c>
      <c r="B10" s="3989" t="s">
        <v>10168</v>
      </c>
      <c r="C10" s="3884"/>
      <c r="D10" s="3989"/>
      <c r="E10" s="3883"/>
      <c r="F10" s="3883"/>
      <c r="G10" s="3884"/>
      <c r="H10" s="2595">
        <f t="shared" ref="H10:H23" si="0">$D$10</f>
        <v>0</v>
      </c>
    </row>
    <row r="11" spans="1:8" ht="19.149999999999999" customHeight="1" x14ac:dyDescent="0.2">
      <c r="A11" s="2752">
        <v>29</v>
      </c>
      <c r="B11" s="2512" t="s">
        <v>10169</v>
      </c>
      <c r="C11" s="2752">
        <v>5933563</v>
      </c>
      <c r="D11" s="2752">
        <v>407208</v>
      </c>
      <c r="E11" s="2752">
        <v>8998</v>
      </c>
      <c r="F11" s="2497">
        <v>30</v>
      </c>
      <c r="G11" s="2497">
        <v>9</v>
      </c>
      <c r="H11" s="2595">
        <f t="shared" si="0"/>
        <v>0</v>
      </c>
    </row>
    <row r="12" spans="1:8" ht="19.149999999999999" customHeight="1" x14ac:dyDescent="0.2">
      <c r="A12" s="2752">
        <v>30</v>
      </c>
      <c r="B12" s="2512" t="s">
        <v>10170</v>
      </c>
      <c r="C12" s="2752">
        <v>5180000</v>
      </c>
      <c r="D12" s="2752">
        <v>175822</v>
      </c>
      <c r="E12" s="2752">
        <v>8695</v>
      </c>
      <c r="F12" s="2497">
        <v>2</v>
      </c>
      <c r="G12" s="2497">
        <v>8</v>
      </c>
      <c r="H12" s="2595">
        <f t="shared" si="0"/>
        <v>0</v>
      </c>
    </row>
    <row r="13" spans="1:8" ht="19.149999999999999" customHeight="1" x14ac:dyDescent="0.2">
      <c r="A13" s="2752">
        <v>31</v>
      </c>
      <c r="B13" s="2512" t="s">
        <v>10171</v>
      </c>
      <c r="C13" s="2752">
        <v>5396602</v>
      </c>
      <c r="D13" s="2752">
        <v>168346</v>
      </c>
      <c r="E13" s="2752">
        <v>8142</v>
      </c>
      <c r="F13" s="2497">
        <v>6</v>
      </c>
      <c r="G13" s="2497">
        <v>8</v>
      </c>
      <c r="H13" s="2595">
        <f t="shared" si="0"/>
        <v>0</v>
      </c>
    </row>
    <row r="14" spans="1:8" ht="19.149999999999999" customHeight="1" x14ac:dyDescent="0.2">
      <c r="A14" s="2752">
        <v>32</v>
      </c>
      <c r="B14" s="2512" t="s">
        <v>10173</v>
      </c>
      <c r="C14" s="2752">
        <v>4807284</v>
      </c>
      <c r="D14" s="2752">
        <v>227089</v>
      </c>
      <c r="E14" s="2752">
        <v>7856</v>
      </c>
      <c r="F14" s="2497">
        <v>3</v>
      </c>
      <c r="G14" s="2497">
        <v>9</v>
      </c>
      <c r="H14" s="2595">
        <f t="shared" si="0"/>
        <v>0</v>
      </c>
    </row>
    <row r="15" spans="1:8" ht="19.149999999999999" customHeight="1" x14ac:dyDescent="0.2">
      <c r="A15" s="2752">
        <v>33</v>
      </c>
      <c r="B15" s="2512" t="s">
        <v>285</v>
      </c>
      <c r="C15" s="2752">
        <v>4889265</v>
      </c>
      <c r="D15" s="2752">
        <v>147079</v>
      </c>
      <c r="E15" s="2752">
        <v>7933</v>
      </c>
      <c r="F15" s="2497">
        <v>19</v>
      </c>
      <c r="G15" s="2497">
        <v>17</v>
      </c>
      <c r="H15" s="2595">
        <f t="shared" si="0"/>
        <v>0</v>
      </c>
    </row>
    <row r="16" spans="1:8" ht="19.149999999999999" customHeight="1" x14ac:dyDescent="0.2">
      <c r="A16" s="2752">
        <v>34</v>
      </c>
      <c r="B16" s="2512" t="s">
        <v>10174</v>
      </c>
      <c r="C16" s="2752">
        <v>5020848</v>
      </c>
      <c r="D16" s="2752">
        <v>149693</v>
      </c>
      <c r="E16" s="2752">
        <v>9222</v>
      </c>
      <c r="F16" s="2497">
        <v>30</v>
      </c>
      <c r="G16" s="2497">
        <v>18</v>
      </c>
      <c r="H16" s="2595">
        <f t="shared" si="0"/>
        <v>0</v>
      </c>
    </row>
    <row r="17" spans="1:8" ht="19.149999999999999" customHeight="1" x14ac:dyDescent="0.2">
      <c r="A17" s="2752">
        <v>35</v>
      </c>
      <c r="B17" s="2512" t="s">
        <v>10176</v>
      </c>
      <c r="C17" s="2752">
        <v>6193851</v>
      </c>
      <c r="D17" s="2752">
        <v>162670</v>
      </c>
      <c r="E17" s="2752">
        <v>10539</v>
      </c>
      <c r="F17" s="2497">
        <v>21</v>
      </c>
      <c r="G17" s="2497">
        <v>18</v>
      </c>
      <c r="H17" s="2595">
        <f t="shared" si="0"/>
        <v>0</v>
      </c>
    </row>
    <row r="18" spans="1:8" ht="19.149999999999999" customHeight="1" x14ac:dyDescent="0.2">
      <c r="A18" s="2752">
        <v>36</v>
      </c>
      <c r="B18" s="2512" t="s">
        <v>10177</v>
      </c>
      <c r="C18" s="2752">
        <v>5982404</v>
      </c>
      <c r="D18" s="2752">
        <v>251402</v>
      </c>
      <c r="E18" s="2752">
        <v>10802</v>
      </c>
      <c r="F18" s="2497">
        <v>15</v>
      </c>
      <c r="G18" s="2497">
        <v>17</v>
      </c>
      <c r="H18" s="2595">
        <f t="shared" si="0"/>
        <v>0</v>
      </c>
    </row>
    <row r="19" spans="1:8" ht="19.149999999999999" customHeight="1" x14ac:dyDescent="0.2">
      <c r="A19" s="2752">
        <v>37</v>
      </c>
      <c r="B19" s="2512" t="s">
        <v>10178</v>
      </c>
      <c r="C19" s="2752">
        <v>5135045</v>
      </c>
      <c r="D19" s="2752">
        <v>419226</v>
      </c>
      <c r="E19" s="2752">
        <v>8628</v>
      </c>
      <c r="F19" s="2497">
        <v>8</v>
      </c>
      <c r="G19" s="2497">
        <v>17</v>
      </c>
      <c r="H19" s="2595">
        <f t="shared" si="0"/>
        <v>0</v>
      </c>
    </row>
    <row r="20" spans="1:8" ht="19.149999999999999" customHeight="1" x14ac:dyDescent="0.2">
      <c r="A20" s="2752">
        <v>38</v>
      </c>
      <c r="B20" s="2512" t="s">
        <v>10180</v>
      </c>
      <c r="C20" s="2752">
        <v>4912568</v>
      </c>
      <c r="D20" s="2752">
        <v>137921</v>
      </c>
      <c r="E20" s="2752">
        <v>7948</v>
      </c>
      <c r="F20" s="2497">
        <v>30</v>
      </c>
      <c r="G20" s="2497">
        <v>8</v>
      </c>
      <c r="H20" s="2595">
        <f t="shared" si="0"/>
        <v>0</v>
      </c>
    </row>
    <row r="21" spans="1:8" ht="19.149999999999999" customHeight="1" x14ac:dyDescent="0.2">
      <c r="A21" s="2752">
        <v>39</v>
      </c>
      <c r="B21" s="2512" t="s">
        <v>10181</v>
      </c>
      <c r="C21" s="2752">
        <v>5152049</v>
      </c>
      <c r="D21" s="2752">
        <v>182601</v>
      </c>
      <c r="E21" s="2752">
        <v>8400</v>
      </c>
      <c r="F21" s="2497">
        <v>28</v>
      </c>
      <c r="G21" s="2634">
        <v>8</v>
      </c>
      <c r="H21" s="2595">
        <f t="shared" si="0"/>
        <v>0</v>
      </c>
    </row>
    <row r="22" spans="1:8" ht="19.149999999999999" customHeight="1" x14ac:dyDescent="0.2">
      <c r="A22" s="2752">
        <v>40</v>
      </c>
      <c r="B22" s="2512" t="s">
        <v>10182</v>
      </c>
      <c r="C22" s="2752">
        <v>5623707</v>
      </c>
      <c r="D22" s="2752">
        <v>173613</v>
      </c>
      <c r="E22" s="2752">
        <v>8209</v>
      </c>
      <c r="F22" s="2497">
        <v>18</v>
      </c>
      <c r="G22" s="2497">
        <v>18</v>
      </c>
      <c r="H22" s="2595">
        <f t="shared" si="0"/>
        <v>0</v>
      </c>
    </row>
    <row r="23" spans="1:8" ht="19.149999999999999" customHeight="1" x14ac:dyDescent="0.2">
      <c r="A23" s="4091">
        <v>41</v>
      </c>
      <c r="B23" s="4070" t="s">
        <v>104</v>
      </c>
      <c r="C23" s="4093">
        <f>SUM(C11:C22)</f>
        <v>64227186</v>
      </c>
      <c r="D23" s="4093">
        <f>SUM(D11:D22)</f>
        <v>2602670</v>
      </c>
      <c r="E23" s="2488"/>
      <c r="F23" s="2488"/>
      <c r="G23" s="2488"/>
      <c r="H23" s="2595">
        <f t="shared" si="0"/>
        <v>0</v>
      </c>
    </row>
    <row r="24" spans="1:8" ht="19.149999999999999" customHeight="1" x14ac:dyDescent="0.2">
      <c r="A24" s="3856"/>
      <c r="B24" s="4092"/>
      <c r="C24" s="4003"/>
      <c r="D24" s="4094"/>
      <c r="E24" s="4095"/>
      <c r="F24" s="4096"/>
      <c r="G24" s="4097"/>
      <c r="H24" s="2479"/>
    </row>
    <row r="25" spans="1:8" ht="16.7" customHeight="1" x14ac:dyDescent="0.2">
      <c r="A25" s="2516"/>
      <c r="B25" s="2516"/>
      <c r="C25" s="2516"/>
      <c r="D25" s="2516"/>
      <c r="E25" s="2516"/>
      <c r="F25" s="2516"/>
      <c r="G25" s="2516"/>
    </row>
    <row r="26" spans="1:8" ht="16.7" customHeight="1" x14ac:dyDescent="0.2"/>
    <row r="27" spans="1:8" ht="16.7" customHeight="1" x14ac:dyDescent="0.2"/>
    <row r="28" spans="1:8" ht="16.7" customHeight="1" x14ac:dyDescent="0.2"/>
    <row r="29" spans="1:8" ht="16.7" customHeight="1" x14ac:dyDescent="0.2"/>
    <row r="30" spans="1:8" ht="16.7" customHeight="1" x14ac:dyDescent="0.2"/>
    <row r="31" spans="1:8" ht="16.7" customHeight="1" x14ac:dyDescent="0.2"/>
    <row r="32" spans="1:8" ht="16.7" customHeight="1" x14ac:dyDescent="0.2"/>
    <row r="33" ht="16.7" customHeight="1" x14ac:dyDescent="0.2"/>
    <row r="34" ht="16.7" customHeight="1" x14ac:dyDescent="0.2"/>
    <row r="35" ht="16.7" customHeight="1" x14ac:dyDescent="0.2"/>
    <row r="36" ht="16.7" customHeight="1" x14ac:dyDescent="0.2"/>
    <row r="37" ht="16.7" customHeight="1" x14ac:dyDescent="0.2"/>
    <row r="38" ht="16.7" customHeight="1" x14ac:dyDescent="0.2"/>
    <row r="39" ht="16.7" customHeight="1" x14ac:dyDescent="0.2"/>
    <row r="40" ht="16.7" customHeight="1" x14ac:dyDescent="0.2"/>
    <row r="41" ht="16.7" customHeight="1" x14ac:dyDescent="0.2"/>
    <row r="42" ht="16.7" customHeight="1" x14ac:dyDescent="0.2"/>
    <row r="43" ht="16.7" customHeight="1" x14ac:dyDescent="0.2"/>
    <row r="44" ht="16.7" customHeight="1" x14ac:dyDescent="0.2"/>
    <row r="45" ht="16.7" customHeight="1" x14ac:dyDescent="0.2"/>
    <row r="46" ht="16.7" customHeight="1" x14ac:dyDescent="0.2"/>
    <row r="47" ht="16.7" customHeight="1" x14ac:dyDescent="0.2"/>
    <row r="48" ht="16.7" customHeight="1" x14ac:dyDescent="0.2"/>
    <row r="49" ht="16.7" customHeight="1" x14ac:dyDescent="0.2"/>
    <row r="50" ht="16.7" customHeight="1" x14ac:dyDescent="0.2"/>
    <row r="51" ht="16.7" customHeight="1" x14ac:dyDescent="0.2"/>
    <row r="52" ht="16.7" customHeight="1" x14ac:dyDescent="0.2"/>
    <row r="53" ht="16.7" customHeight="1" x14ac:dyDescent="0.2"/>
    <row r="54" ht="16.7" customHeight="1" x14ac:dyDescent="0.2"/>
    <row r="55" ht="16.7" customHeight="1" x14ac:dyDescent="0.2"/>
    <row r="56" ht="16.7" customHeight="1" x14ac:dyDescent="0.2"/>
    <row r="57" ht="16.7" customHeight="1" x14ac:dyDescent="0.2"/>
    <row r="58" ht="16.7" customHeight="1" x14ac:dyDescent="0.2"/>
    <row r="59" ht="16.7" customHeight="1" x14ac:dyDescent="0.2"/>
    <row r="60" ht="16.7" customHeight="1" x14ac:dyDescent="0.2"/>
    <row r="61" ht="16.7" customHeight="1" x14ac:dyDescent="0.2"/>
    <row r="62" ht="16.7" customHeight="1" x14ac:dyDescent="0.2"/>
    <row r="63" ht="16.7" customHeight="1" x14ac:dyDescent="0.2"/>
    <row r="64" ht="16.7" customHeight="1" x14ac:dyDescent="0.2"/>
    <row r="65" ht="16.7" customHeight="1" x14ac:dyDescent="0.2"/>
    <row r="66" ht="16.7" customHeight="1" x14ac:dyDescent="0.2"/>
    <row r="67" ht="16.7" customHeight="1" x14ac:dyDescent="0.2"/>
    <row r="68" ht="16.7" customHeight="1" x14ac:dyDescent="0.2"/>
    <row r="69" ht="16.7" customHeight="1" x14ac:dyDescent="0.2"/>
    <row r="70" ht="16.7" customHeight="1" x14ac:dyDescent="0.2"/>
    <row r="71" ht="16.7" customHeight="1" x14ac:dyDescent="0.2"/>
    <row r="72" ht="16.7" customHeight="1" x14ac:dyDescent="0.2"/>
    <row r="73" ht="16.7" customHeight="1" x14ac:dyDescent="0.2"/>
    <row r="74" ht="16.7" customHeight="1" x14ac:dyDescent="0.2"/>
    <row r="75" ht="16.7" customHeight="1" x14ac:dyDescent="0.2"/>
    <row r="76" ht="16.7" customHeight="1" x14ac:dyDescent="0.2"/>
    <row r="77" ht="16.7" customHeight="1" x14ac:dyDescent="0.2"/>
    <row r="78" ht="16.7" customHeight="1" x14ac:dyDescent="0.2"/>
    <row r="79" ht="16.7" customHeight="1" x14ac:dyDescent="0.2"/>
    <row r="80" ht="16.7" customHeight="1" x14ac:dyDescent="0.2"/>
    <row r="81" ht="16.7" customHeight="1" x14ac:dyDescent="0.2"/>
    <row r="82" ht="16.7" customHeight="1" x14ac:dyDescent="0.2"/>
    <row r="83" ht="16.7" customHeight="1" x14ac:dyDescent="0.2"/>
    <row r="84" ht="16.7" customHeight="1" x14ac:dyDescent="0.2"/>
    <row r="85" ht="16.7" customHeight="1" x14ac:dyDescent="0.2"/>
    <row r="86" ht="16.7" customHeight="1" x14ac:dyDescent="0.2"/>
    <row r="87" ht="16.7" customHeight="1" x14ac:dyDescent="0.2"/>
    <row r="88" ht="16.7" customHeight="1" x14ac:dyDescent="0.2"/>
    <row r="89" ht="16.7" customHeight="1" x14ac:dyDescent="0.2"/>
    <row r="90" ht="16.7" customHeight="1" x14ac:dyDescent="0.2"/>
    <row r="91" ht="16.7" customHeight="1" x14ac:dyDescent="0.2"/>
    <row r="92" ht="16.7" customHeight="1" x14ac:dyDescent="0.2"/>
    <row r="93" ht="16.7" customHeight="1" x14ac:dyDescent="0.2"/>
    <row r="94" ht="16.7" customHeight="1" x14ac:dyDescent="0.2"/>
    <row r="95" ht="16.7" customHeight="1" x14ac:dyDescent="0.2"/>
    <row r="96" ht="16.7" customHeight="1" x14ac:dyDescent="0.2"/>
    <row r="97" ht="16.7" customHeight="1" x14ac:dyDescent="0.2"/>
    <row r="98" ht="16.7" customHeight="1" x14ac:dyDescent="0.2"/>
    <row r="99" ht="16.7" customHeight="1" x14ac:dyDescent="0.2"/>
    <row r="100" ht="16.7" customHeight="1" x14ac:dyDescent="0.2"/>
    <row r="101" ht="16.7" customHeight="1" x14ac:dyDescent="0.2"/>
    <row r="102" ht="16.7" customHeight="1" x14ac:dyDescent="0.2"/>
    <row r="103" ht="15" customHeight="1" x14ac:dyDescent="0.2"/>
    <row r="104" ht="15" customHeight="1" x14ac:dyDescent="0.2"/>
    <row r="105" ht="15" customHeight="1" x14ac:dyDescent="0.2"/>
    <row r="106" ht="15" customHeight="1" x14ac:dyDescent="0.2"/>
  </sheetData>
  <mergeCells count="17">
    <mergeCell ref="B10:C10"/>
    <mergeCell ref="D10:G10"/>
    <mergeCell ref="A23:A24"/>
    <mergeCell ref="B23:B24"/>
    <mergeCell ref="C23:C24"/>
    <mergeCell ref="D23:D24"/>
    <mergeCell ref="E24:G24"/>
    <mergeCell ref="A3:G3"/>
    <mergeCell ref="A4:G4"/>
    <mergeCell ref="A5:G5"/>
    <mergeCell ref="A6:B6"/>
    <mergeCell ref="C6:G6"/>
    <mergeCell ref="A7:A8"/>
    <mergeCell ref="B7:B8"/>
    <mergeCell ref="C7:C8"/>
    <mergeCell ref="D7:D8"/>
    <mergeCell ref="E7:G7"/>
  </mergeCells>
  <pageMargins left="0.75" right="0.75" top="1" bottom="1" header="0.5" footer="0.5"/>
  <customProperties>
    <customPr name="_pios_id" r:id="rId1"/>
  </customProperties>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DEE86F-F938-45F7-B749-0931A9041FC8}">
  <sheetPr codeName="Sheet92"/>
  <dimension ref="A1:R104"/>
  <sheetViews>
    <sheetView workbookViewId="0">
      <pane xSplit="2" ySplit="8" topLeftCell="C9" activePane="bottomRight" state="frozen"/>
      <selection pane="topRight"/>
      <selection pane="bottomLeft"/>
      <selection pane="bottomRight"/>
    </sheetView>
  </sheetViews>
  <sheetFormatPr defaultColWidth="11.5" defaultRowHeight="12.75" x14ac:dyDescent="0.2"/>
  <cols>
    <col min="1" max="1" width="3.875" style="1953" customWidth="1"/>
    <col min="2" max="2" width="41.75" style="1953" customWidth="1"/>
    <col min="3" max="17" width="9.25" style="1953" customWidth="1"/>
    <col min="18" max="16384" width="11.5" style="1953"/>
  </cols>
  <sheetData>
    <row r="1" spans="1:18" ht="16.7" customHeight="1" x14ac:dyDescent="0.2">
      <c r="B1" s="2744" t="s">
        <v>7058</v>
      </c>
      <c r="C1" s="2585"/>
      <c r="D1" s="4098" t="s">
        <v>10221</v>
      </c>
      <c r="E1" s="4099"/>
      <c r="F1" s="4099"/>
      <c r="G1" s="4099"/>
      <c r="H1" s="4099"/>
      <c r="I1" s="4099"/>
      <c r="J1" s="4099"/>
      <c r="K1" s="4099"/>
      <c r="L1" s="4100"/>
      <c r="M1" s="2479"/>
    </row>
    <row r="2" spans="1:18" ht="16.7" customHeight="1" x14ac:dyDescent="0.2">
      <c r="B2" s="2483"/>
      <c r="D2" s="2483"/>
      <c r="E2" s="2483"/>
      <c r="F2" s="2483"/>
      <c r="G2" s="2483"/>
      <c r="H2" s="2483"/>
      <c r="I2" s="2483"/>
      <c r="J2" s="2483"/>
      <c r="K2" s="2483"/>
      <c r="L2" s="2483"/>
    </row>
    <row r="3" spans="1:18" ht="16.7" customHeight="1" x14ac:dyDescent="0.2">
      <c r="A3" s="3990" t="s">
        <v>10222</v>
      </c>
      <c r="B3" s="3991"/>
      <c r="C3" s="3991"/>
      <c r="D3" s="3991"/>
      <c r="E3" s="3991"/>
      <c r="F3" s="3991"/>
      <c r="G3" s="3991"/>
      <c r="H3" s="3991"/>
      <c r="I3" s="3991"/>
      <c r="J3" s="3991"/>
      <c r="K3" s="3991"/>
      <c r="L3" s="3991"/>
      <c r="M3" s="3991"/>
      <c r="N3" s="3991"/>
      <c r="O3" s="3991"/>
      <c r="P3" s="3991"/>
      <c r="Q3" s="3992"/>
      <c r="R3" s="2528"/>
    </row>
    <row r="4" spans="1:18" ht="76.7" customHeight="1" x14ac:dyDescent="0.2">
      <c r="A4" s="3878" t="s">
        <v>10223</v>
      </c>
      <c r="B4" s="3879"/>
      <c r="C4" s="3879"/>
      <c r="D4" s="3879"/>
      <c r="E4" s="3879"/>
      <c r="F4" s="3879"/>
      <c r="G4" s="3879"/>
      <c r="H4" s="3879"/>
      <c r="I4" s="3879"/>
      <c r="J4" s="3879"/>
      <c r="K4" s="3879"/>
      <c r="L4" s="3879"/>
      <c r="M4" s="3879"/>
      <c r="N4" s="3879"/>
      <c r="O4" s="3879"/>
      <c r="P4" s="3879"/>
      <c r="Q4" s="3880"/>
      <c r="R4" s="2528"/>
    </row>
    <row r="5" spans="1:18" ht="15.75" customHeight="1" x14ac:dyDescent="0.2">
      <c r="A5" s="3964" t="s">
        <v>10224</v>
      </c>
      <c r="B5" s="3995"/>
      <c r="C5" s="3995"/>
      <c r="D5" s="3995"/>
      <c r="E5" s="3995"/>
      <c r="F5" s="3995"/>
      <c r="G5" s="3995"/>
      <c r="H5" s="3995"/>
      <c r="I5" s="3995"/>
      <c r="J5" s="3995"/>
      <c r="K5" s="3995"/>
      <c r="L5" s="3995"/>
      <c r="M5" s="3995"/>
      <c r="N5" s="3995"/>
      <c r="O5" s="3995"/>
      <c r="P5" s="3995"/>
      <c r="Q5" s="3996"/>
      <c r="R5" s="2528"/>
    </row>
    <row r="6" spans="1:18" ht="27.6" customHeight="1" x14ac:dyDescent="0.2">
      <c r="A6" s="3963" t="s">
        <v>6360</v>
      </c>
      <c r="B6" s="2637" t="s">
        <v>6467</v>
      </c>
      <c r="C6" s="3019" t="s">
        <v>10225</v>
      </c>
      <c r="D6" s="4101" t="s">
        <v>10226</v>
      </c>
      <c r="E6" s="4102"/>
      <c r="F6" s="3020" t="s">
        <v>10227</v>
      </c>
      <c r="G6" s="4103" t="s">
        <v>10228</v>
      </c>
      <c r="H6" s="4104"/>
      <c r="I6" s="3020" t="s">
        <v>10225</v>
      </c>
      <c r="J6" s="4103" t="s">
        <v>10229</v>
      </c>
      <c r="K6" s="4104"/>
      <c r="L6" s="3020" t="s">
        <v>10227</v>
      </c>
      <c r="M6" s="4103" t="s">
        <v>10230</v>
      </c>
      <c r="N6" s="4104"/>
      <c r="O6" s="3019" t="s">
        <v>10231</v>
      </c>
      <c r="P6" s="4101" t="s">
        <v>10232</v>
      </c>
      <c r="Q6" s="4102"/>
      <c r="R6" s="2528"/>
    </row>
    <row r="7" spans="1:18" ht="16.7" customHeight="1" x14ac:dyDescent="0.2">
      <c r="A7" s="3899"/>
      <c r="B7" s="2589" t="s">
        <v>5949</v>
      </c>
      <c r="C7" s="4105" t="s">
        <v>5950</v>
      </c>
      <c r="D7" s="3911"/>
      <c r="E7" s="3911"/>
      <c r="F7" s="4106" t="s">
        <v>5951</v>
      </c>
      <c r="G7" s="4107"/>
      <c r="H7" s="4108"/>
      <c r="I7" s="4106" t="s">
        <v>5952</v>
      </c>
      <c r="J7" s="4107"/>
      <c r="K7" s="4108"/>
      <c r="L7" s="4106" t="s">
        <v>6227</v>
      </c>
      <c r="M7" s="4107"/>
      <c r="N7" s="4108"/>
      <c r="O7" s="4105" t="s">
        <v>5804</v>
      </c>
      <c r="P7" s="3911"/>
      <c r="Q7" s="3911"/>
      <c r="R7" s="2528"/>
    </row>
    <row r="8" spans="1:18" ht="16.7" customHeight="1" x14ac:dyDescent="0.2">
      <c r="A8" s="2771" t="s">
        <v>904</v>
      </c>
      <c r="B8" s="2488" t="s">
        <v>766</v>
      </c>
      <c r="C8" s="4109" t="str">
        <f>D6</f>
        <v>Colstrip</v>
      </c>
      <c r="D8" s="4110"/>
      <c r="E8" s="4111"/>
      <c r="F8" s="4109" t="str">
        <f>G6</f>
        <v>Craig</v>
      </c>
      <c r="G8" s="4110"/>
      <c r="H8" s="4111"/>
      <c r="I8" s="4112" t="str">
        <f>J6</f>
        <v>Dave Johnston</v>
      </c>
      <c r="J8" s="4113"/>
      <c r="K8" s="4114"/>
      <c r="L8" s="4109" t="str">
        <f>M6</f>
        <v>Hayden</v>
      </c>
      <c r="M8" s="4110"/>
      <c r="N8" s="4111"/>
      <c r="O8" s="4109" t="str">
        <f>P6</f>
        <v>Hunter Unit No. 1</v>
      </c>
      <c r="P8" s="4110"/>
      <c r="Q8" s="4111"/>
      <c r="R8" s="2528"/>
    </row>
    <row r="9" spans="1:18" ht="15.75" customHeight="1" x14ac:dyDescent="0.2">
      <c r="A9" s="2677">
        <v>1</v>
      </c>
      <c r="B9" s="2512" t="s">
        <v>10233</v>
      </c>
      <c r="C9" s="3860" t="s">
        <v>669</v>
      </c>
      <c r="D9" s="3860"/>
      <c r="E9" s="3860"/>
      <c r="F9" s="3860" t="s">
        <v>669</v>
      </c>
      <c r="G9" s="3860"/>
      <c r="H9" s="3860"/>
      <c r="I9" s="3860" t="s">
        <v>669</v>
      </c>
      <c r="J9" s="3860"/>
      <c r="K9" s="3860"/>
      <c r="L9" s="3860" t="s">
        <v>669</v>
      </c>
      <c r="M9" s="3860"/>
      <c r="N9" s="3860"/>
      <c r="O9" s="3882" t="s">
        <v>669</v>
      </c>
      <c r="P9" s="3891"/>
      <c r="Q9" s="3892"/>
      <c r="R9" s="2528"/>
    </row>
    <row r="10" spans="1:18" ht="16.7" customHeight="1" x14ac:dyDescent="0.2">
      <c r="A10" s="2677">
        <v>2</v>
      </c>
      <c r="B10" s="2512" t="s">
        <v>10234</v>
      </c>
      <c r="C10" s="3860" t="s">
        <v>10235</v>
      </c>
      <c r="D10" s="3860"/>
      <c r="E10" s="3860"/>
      <c r="F10" s="3860" t="s">
        <v>10236</v>
      </c>
      <c r="G10" s="3860"/>
      <c r="H10" s="3860"/>
      <c r="I10" s="3860" t="s">
        <v>10237</v>
      </c>
      <c r="J10" s="3860"/>
      <c r="K10" s="3860"/>
      <c r="L10" s="3860" t="s">
        <v>10236</v>
      </c>
      <c r="M10" s="3860"/>
      <c r="N10" s="3860"/>
      <c r="O10" s="3882" t="s">
        <v>10236</v>
      </c>
      <c r="P10" s="3891"/>
      <c r="Q10" s="3892"/>
      <c r="R10" s="2528"/>
    </row>
    <row r="11" spans="1:18" ht="16.7" customHeight="1" x14ac:dyDescent="0.2">
      <c r="A11" s="2677">
        <v>3</v>
      </c>
      <c r="B11" s="2512" t="s">
        <v>770</v>
      </c>
      <c r="C11" s="4115" t="s">
        <v>10238</v>
      </c>
      <c r="D11" s="3860"/>
      <c r="E11" s="3860"/>
      <c r="F11" s="4115" t="s">
        <v>10239</v>
      </c>
      <c r="G11" s="3860"/>
      <c r="H11" s="3860"/>
      <c r="I11" s="4115" t="s">
        <v>10240</v>
      </c>
      <c r="J11" s="3860"/>
      <c r="K11" s="3860"/>
      <c r="L11" s="4115" t="s">
        <v>10241</v>
      </c>
      <c r="M11" s="3860"/>
      <c r="N11" s="3860"/>
      <c r="O11" s="4115" t="s">
        <v>10242</v>
      </c>
      <c r="P11" s="3860"/>
      <c r="Q11" s="3860"/>
      <c r="R11" s="2528"/>
    </row>
    <row r="12" spans="1:18" ht="16.7" customHeight="1" x14ac:dyDescent="0.2">
      <c r="A12" s="2752">
        <v>4</v>
      </c>
      <c r="B12" s="2512" t="s">
        <v>771</v>
      </c>
      <c r="C12" s="4115" t="s">
        <v>10243</v>
      </c>
      <c r="D12" s="3860"/>
      <c r="E12" s="3860"/>
      <c r="F12" s="4115" t="s">
        <v>10244</v>
      </c>
      <c r="G12" s="3860"/>
      <c r="H12" s="3860"/>
      <c r="I12" s="4115" t="s">
        <v>10245</v>
      </c>
      <c r="J12" s="3860"/>
      <c r="K12" s="3860"/>
      <c r="L12" s="4115" t="s">
        <v>10246</v>
      </c>
      <c r="M12" s="3860"/>
      <c r="N12" s="3860"/>
      <c r="O12" s="4115" t="s">
        <v>10242</v>
      </c>
      <c r="P12" s="3860"/>
      <c r="Q12" s="3860"/>
      <c r="R12" s="2528"/>
    </row>
    <row r="13" spans="1:18" ht="15.75" customHeight="1" x14ac:dyDescent="0.2">
      <c r="A13" s="2752">
        <v>5</v>
      </c>
      <c r="B13" s="2512" t="s">
        <v>10247</v>
      </c>
      <c r="C13" s="4116">
        <v>155.61000000000001</v>
      </c>
      <c r="D13" s="3860"/>
      <c r="E13" s="3860"/>
      <c r="F13" s="4116">
        <v>172.13</v>
      </c>
      <c r="G13" s="3860"/>
      <c r="H13" s="3860"/>
      <c r="I13" s="4116">
        <v>816.77</v>
      </c>
      <c r="J13" s="3860"/>
      <c r="K13" s="3860"/>
      <c r="L13" s="4116">
        <v>81.25</v>
      </c>
      <c r="M13" s="3860"/>
      <c r="N13" s="3860"/>
      <c r="O13" s="4116">
        <v>457.73</v>
      </c>
      <c r="P13" s="3860"/>
      <c r="Q13" s="3860"/>
      <c r="R13" s="2528"/>
    </row>
    <row r="14" spans="1:18" ht="16.7" customHeight="1" x14ac:dyDescent="0.2">
      <c r="A14" s="2752">
        <v>6</v>
      </c>
      <c r="B14" s="2512" t="s">
        <v>10248</v>
      </c>
      <c r="C14" s="4117">
        <v>160</v>
      </c>
      <c r="D14" s="3860"/>
      <c r="E14" s="3860"/>
      <c r="F14" s="4117">
        <v>161</v>
      </c>
      <c r="G14" s="3860"/>
      <c r="H14" s="3860"/>
      <c r="I14" s="4117">
        <v>695</v>
      </c>
      <c r="J14" s="3860"/>
      <c r="K14" s="3860"/>
      <c r="L14" s="4117">
        <v>78</v>
      </c>
      <c r="M14" s="3860"/>
      <c r="N14" s="3860"/>
      <c r="O14" s="4118">
        <v>422</v>
      </c>
      <c r="P14" s="3891"/>
      <c r="Q14" s="3892"/>
      <c r="R14" s="2528"/>
    </row>
    <row r="15" spans="1:18" ht="16.7" customHeight="1" x14ac:dyDescent="0.2">
      <c r="A15" s="2752">
        <v>7</v>
      </c>
      <c r="B15" s="2512" t="s">
        <v>10249</v>
      </c>
      <c r="C15" s="4117">
        <v>8738</v>
      </c>
      <c r="D15" s="3860"/>
      <c r="E15" s="3860"/>
      <c r="F15" s="4117">
        <v>8162</v>
      </c>
      <c r="G15" s="3860"/>
      <c r="H15" s="3860"/>
      <c r="I15" s="4117">
        <v>8760</v>
      </c>
      <c r="J15" s="3860"/>
      <c r="K15" s="3860"/>
      <c r="L15" s="4117">
        <v>8717</v>
      </c>
      <c r="M15" s="3860"/>
      <c r="N15" s="3860"/>
      <c r="O15" s="4118">
        <v>7271</v>
      </c>
      <c r="P15" s="3891"/>
      <c r="Q15" s="3892"/>
      <c r="R15" s="2528"/>
    </row>
    <row r="16" spans="1:18" ht="16.7" customHeight="1" x14ac:dyDescent="0.2">
      <c r="A16" s="2752">
        <v>8</v>
      </c>
      <c r="B16" s="2512" t="s">
        <v>10250</v>
      </c>
      <c r="C16" s="4119">
        <v>148</v>
      </c>
      <c r="D16" s="3860"/>
      <c r="E16" s="3860"/>
      <c r="F16" s="4119">
        <v>161</v>
      </c>
      <c r="G16" s="3860"/>
      <c r="H16" s="3860"/>
      <c r="I16" s="4119">
        <v>755</v>
      </c>
      <c r="J16" s="3860"/>
      <c r="K16" s="3860"/>
      <c r="L16" s="4119">
        <v>77</v>
      </c>
      <c r="M16" s="3860"/>
      <c r="N16" s="3860"/>
      <c r="O16" s="4120">
        <v>418</v>
      </c>
      <c r="P16" s="3891"/>
      <c r="Q16" s="3892"/>
      <c r="R16" s="2528"/>
    </row>
    <row r="17" spans="1:18" ht="16.7" customHeight="1" x14ac:dyDescent="0.2">
      <c r="A17" s="2752">
        <v>9</v>
      </c>
      <c r="B17" s="2512" t="s">
        <v>10251</v>
      </c>
      <c r="C17" s="4119">
        <v>148</v>
      </c>
      <c r="D17" s="3860"/>
      <c r="E17" s="3860"/>
      <c r="F17" s="4119">
        <v>161</v>
      </c>
      <c r="G17" s="3860"/>
      <c r="H17" s="3860"/>
      <c r="I17" s="4119">
        <v>755</v>
      </c>
      <c r="J17" s="3860"/>
      <c r="K17" s="3860"/>
      <c r="L17" s="4119">
        <v>77</v>
      </c>
      <c r="M17" s="3860"/>
      <c r="N17" s="3860"/>
      <c r="O17" s="4120">
        <v>418</v>
      </c>
      <c r="P17" s="3891"/>
      <c r="Q17" s="3892"/>
      <c r="R17" s="2528"/>
    </row>
    <row r="18" spans="1:18" ht="16.7" customHeight="1" x14ac:dyDescent="0.2">
      <c r="A18" s="2752">
        <v>10</v>
      </c>
      <c r="B18" s="2512" t="s">
        <v>10252</v>
      </c>
      <c r="C18" s="4119">
        <v>148</v>
      </c>
      <c r="D18" s="3860"/>
      <c r="E18" s="3860"/>
      <c r="F18" s="4119">
        <v>161</v>
      </c>
      <c r="G18" s="3860"/>
      <c r="H18" s="3860"/>
      <c r="I18" s="4119">
        <v>745</v>
      </c>
      <c r="J18" s="3860"/>
      <c r="K18" s="3860"/>
      <c r="L18" s="4119">
        <v>77</v>
      </c>
      <c r="M18" s="3860"/>
      <c r="N18" s="3860"/>
      <c r="O18" s="4120">
        <v>418</v>
      </c>
      <c r="P18" s="3891"/>
      <c r="Q18" s="3892"/>
      <c r="R18" s="2528"/>
    </row>
    <row r="19" spans="1:18" ht="16.7" customHeight="1" x14ac:dyDescent="0.2">
      <c r="A19" s="2752">
        <v>11</v>
      </c>
      <c r="B19" s="2512" t="s">
        <v>776</v>
      </c>
      <c r="C19" s="4121">
        <v>0</v>
      </c>
      <c r="D19" s="4122"/>
      <c r="E19" s="4122"/>
      <c r="F19" s="4121">
        <v>0</v>
      </c>
      <c r="G19" s="4122"/>
      <c r="H19" s="4122"/>
      <c r="I19" s="4123">
        <v>164</v>
      </c>
      <c r="J19" s="3860"/>
      <c r="K19" s="3860"/>
      <c r="L19" s="4121">
        <v>0</v>
      </c>
      <c r="M19" s="4122"/>
      <c r="N19" s="4122"/>
      <c r="O19" s="4121">
        <v>0</v>
      </c>
      <c r="P19" s="4122"/>
      <c r="Q19" s="4122"/>
      <c r="R19" s="2528"/>
    </row>
    <row r="20" spans="1:18" ht="16.7" customHeight="1" x14ac:dyDescent="0.2">
      <c r="A20" s="2752">
        <v>12</v>
      </c>
      <c r="B20" s="2512" t="s">
        <v>10253</v>
      </c>
      <c r="C20" s="4119">
        <v>1048989000</v>
      </c>
      <c r="D20" s="3860"/>
      <c r="E20" s="3860"/>
      <c r="F20" s="4119">
        <v>797835000</v>
      </c>
      <c r="G20" s="3860"/>
      <c r="H20" s="3860"/>
      <c r="I20" s="4119">
        <v>3537397000</v>
      </c>
      <c r="J20" s="3860"/>
      <c r="K20" s="3860"/>
      <c r="L20" s="4119">
        <v>509913000</v>
      </c>
      <c r="M20" s="3860"/>
      <c r="N20" s="3860"/>
      <c r="O20" s="4120">
        <v>1475590000</v>
      </c>
      <c r="P20" s="3891"/>
      <c r="Q20" s="3892"/>
      <c r="R20" s="2528"/>
    </row>
    <row r="21" spans="1:18" ht="16.7" customHeight="1" x14ac:dyDescent="0.2">
      <c r="A21" s="2752">
        <v>13</v>
      </c>
      <c r="B21" s="2512" t="s">
        <v>778</v>
      </c>
      <c r="C21" s="4124">
        <v>1788644</v>
      </c>
      <c r="D21" s="3883"/>
      <c r="E21" s="3884"/>
      <c r="F21" s="4124">
        <v>137086</v>
      </c>
      <c r="G21" s="3883"/>
      <c r="H21" s="3884"/>
      <c r="I21" s="4124">
        <v>10448598</v>
      </c>
      <c r="J21" s="3883"/>
      <c r="K21" s="3884"/>
      <c r="L21" s="4124">
        <v>683069</v>
      </c>
      <c r="M21" s="3883"/>
      <c r="N21" s="3884"/>
      <c r="O21" s="4124">
        <v>9679900</v>
      </c>
      <c r="P21" s="3883"/>
      <c r="Q21" s="3884"/>
      <c r="R21" s="2528"/>
    </row>
    <row r="22" spans="1:18" ht="16.7" customHeight="1" x14ac:dyDescent="0.2">
      <c r="A22" s="2752">
        <v>14</v>
      </c>
      <c r="B22" s="2512" t="s">
        <v>126</v>
      </c>
      <c r="C22" s="4124">
        <v>70301953</v>
      </c>
      <c r="D22" s="3883"/>
      <c r="E22" s="3884"/>
      <c r="F22" s="4124">
        <v>38846211</v>
      </c>
      <c r="G22" s="3883"/>
      <c r="H22" s="3884"/>
      <c r="I22" s="4124">
        <v>169587277</v>
      </c>
      <c r="J22" s="3883"/>
      <c r="K22" s="3884"/>
      <c r="L22" s="4124">
        <v>18024330</v>
      </c>
      <c r="M22" s="3883"/>
      <c r="N22" s="3884"/>
      <c r="O22" s="4124">
        <v>65864701</v>
      </c>
      <c r="P22" s="3883"/>
      <c r="Q22" s="3884"/>
      <c r="R22" s="2528"/>
    </row>
    <row r="23" spans="1:18" ht="16.7" customHeight="1" x14ac:dyDescent="0.2">
      <c r="A23" s="2752">
        <v>15</v>
      </c>
      <c r="B23" s="2512" t="s">
        <v>779</v>
      </c>
      <c r="C23" s="4124">
        <v>180821823</v>
      </c>
      <c r="D23" s="3883"/>
      <c r="E23" s="3884"/>
      <c r="F23" s="4124">
        <v>186771082</v>
      </c>
      <c r="G23" s="3883"/>
      <c r="H23" s="3884"/>
      <c r="I23" s="4124">
        <v>924536453</v>
      </c>
      <c r="J23" s="3883"/>
      <c r="K23" s="3884"/>
      <c r="L23" s="4124">
        <v>98492527</v>
      </c>
      <c r="M23" s="3883"/>
      <c r="N23" s="3884"/>
      <c r="O23" s="4124">
        <v>410714588</v>
      </c>
      <c r="P23" s="3883"/>
      <c r="Q23" s="3884"/>
      <c r="R23" s="2528"/>
    </row>
    <row r="24" spans="1:18" ht="16.7" customHeight="1" x14ac:dyDescent="0.2">
      <c r="A24" s="2752">
        <v>16</v>
      </c>
      <c r="B24" s="2512" t="s">
        <v>780</v>
      </c>
      <c r="C24" s="4124">
        <v>6949363</v>
      </c>
      <c r="D24" s="3883"/>
      <c r="E24" s="3884"/>
      <c r="F24" s="4124">
        <v>3180430</v>
      </c>
      <c r="G24" s="3883"/>
      <c r="H24" s="3884"/>
      <c r="I24" s="4124">
        <v>28295791</v>
      </c>
      <c r="J24" s="3883"/>
      <c r="K24" s="3884"/>
      <c r="L24" s="4124">
        <v>2330719</v>
      </c>
      <c r="M24" s="3883"/>
      <c r="N24" s="3884"/>
      <c r="O24" s="4124">
        <v>4568241</v>
      </c>
      <c r="P24" s="3883"/>
      <c r="Q24" s="3884"/>
      <c r="R24" s="2528"/>
    </row>
    <row r="25" spans="1:18" ht="16.7" customHeight="1" x14ac:dyDescent="0.2">
      <c r="A25" s="2752">
        <v>17</v>
      </c>
      <c r="B25" s="2512" t="s">
        <v>51</v>
      </c>
      <c r="C25" s="4125">
        <f>SUM(C21:E24)</f>
        <v>259861783</v>
      </c>
      <c r="D25" s="4126"/>
      <c r="E25" s="4127"/>
      <c r="F25" s="4125">
        <f>SUM(F21:H24)</f>
        <v>228934809</v>
      </c>
      <c r="G25" s="4126"/>
      <c r="H25" s="4127"/>
      <c r="I25" s="4125">
        <f>SUM(I21:K24)</f>
        <v>1132868119</v>
      </c>
      <c r="J25" s="4126"/>
      <c r="K25" s="4127"/>
      <c r="L25" s="4125">
        <f>SUM(L21:N24)</f>
        <v>119530645</v>
      </c>
      <c r="M25" s="4126"/>
      <c r="N25" s="4127"/>
      <c r="O25" s="4125">
        <f>SUM(O21:Q24)</f>
        <v>490827430</v>
      </c>
      <c r="P25" s="4126"/>
      <c r="Q25" s="4127"/>
      <c r="R25" s="2528"/>
    </row>
    <row r="26" spans="1:18" ht="15.75" customHeight="1" x14ac:dyDescent="0.2">
      <c r="A26" s="2752">
        <v>18</v>
      </c>
      <c r="B26" s="2512" t="s">
        <v>10254</v>
      </c>
      <c r="C26" s="4128">
        <f>C25/(C13*1000)</f>
        <v>1669.9555491292333</v>
      </c>
      <c r="D26" s="4129"/>
      <c r="E26" s="4129"/>
      <c r="F26" s="4130">
        <f>F25/(F13*1000)</f>
        <v>1330.0110904548887</v>
      </c>
      <c r="G26" s="4131"/>
      <c r="H26" s="4132"/>
      <c r="I26" s="4130">
        <f>I25/(I13*1000)</f>
        <v>1387.00995261824</v>
      </c>
      <c r="J26" s="4131"/>
      <c r="K26" s="4132"/>
      <c r="L26" s="4130">
        <f>L25/(L13*1000)</f>
        <v>1471.1464000000001</v>
      </c>
      <c r="M26" s="4131"/>
      <c r="N26" s="4132"/>
      <c r="O26" s="4130">
        <f>O25/(O13*1000)</f>
        <v>1072.3077578485133</v>
      </c>
      <c r="P26" s="4131"/>
      <c r="Q26" s="4132"/>
      <c r="R26" s="2528"/>
    </row>
    <row r="27" spans="1:18" ht="16.7" customHeight="1" x14ac:dyDescent="0.2">
      <c r="A27" s="2752">
        <v>19</v>
      </c>
      <c r="B27" s="2512" t="s">
        <v>783</v>
      </c>
      <c r="C27" s="4133">
        <v>36143</v>
      </c>
      <c r="D27" s="3856"/>
      <c r="E27" s="3856"/>
      <c r="F27" s="4133">
        <v>318900</v>
      </c>
      <c r="G27" s="3856"/>
      <c r="H27" s="3856"/>
      <c r="I27" s="4133">
        <v>10224</v>
      </c>
      <c r="J27" s="3856"/>
      <c r="K27" s="3856"/>
      <c r="L27" s="4133">
        <v>99452</v>
      </c>
      <c r="M27" s="3856"/>
      <c r="N27" s="3856"/>
      <c r="O27" s="4124">
        <v>4014</v>
      </c>
      <c r="P27" s="3883"/>
      <c r="Q27" s="3884"/>
      <c r="R27" s="2528"/>
    </row>
    <row r="28" spans="1:18" ht="16.7" customHeight="1" x14ac:dyDescent="0.2">
      <c r="A28" s="2752">
        <v>20</v>
      </c>
      <c r="B28" s="2512" t="s">
        <v>559</v>
      </c>
      <c r="C28" s="4134">
        <v>23217547</v>
      </c>
      <c r="D28" s="4135"/>
      <c r="E28" s="4135"/>
      <c r="F28" s="4133">
        <v>27914521</v>
      </c>
      <c r="G28" s="3856"/>
      <c r="H28" s="3856"/>
      <c r="I28" s="4133">
        <v>51079810</v>
      </c>
      <c r="J28" s="3856"/>
      <c r="K28" s="3856"/>
      <c r="L28" s="4133">
        <v>12683463</v>
      </c>
      <c r="M28" s="3856"/>
      <c r="N28" s="3856"/>
      <c r="O28" s="4124">
        <v>42285654</v>
      </c>
      <c r="P28" s="3883"/>
      <c r="Q28" s="3884"/>
      <c r="R28" s="2528"/>
    </row>
    <row r="29" spans="1:18" ht="16.7" customHeight="1" x14ac:dyDescent="0.2">
      <c r="A29" s="2752">
        <v>21</v>
      </c>
      <c r="B29" s="2512" t="s">
        <v>10255</v>
      </c>
      <c r="C29" s="3856"/>
      <c r="D29" s="3856"/>
      <c r="E29" s="3856"/>
      <c r="F29" s="3856"/>
      <c r="G29" s="3856"/>
      <c r="H29" s="3856"/>
      <c r="I29" s="3856"/>
      <c r="J29" s="3856"/>
      <c r="K29" s="3856"/>
      <c r="L29" s="3856"/>
      <c r="M29" s="3856"/>
      <c r="N29" s="3856"/>
      <c r="O29" s="3989"/>
      <c r="P29" s="3883"/>
      <c r="Q29" s="3884"/>
      <c r="R29" s="2528"/>
    </row>
    <row r="30" spans="1:18" ht="16.7" customHeight="1" x14ac:dyDescent="0.2">
      <c r="A30" s="2752">
        <v>22</v>
      </c>
      <c r="B30" s="2512" t="s">
        <v>10256</v>
      </c>
      <c r="C30" s="4133">
        <v>896337</v>
      </c>
      <c r="D30" s="3856"/>
      <c r="E30" s="3856"/>
      <c r="F30" s="4133">
        <v>2049382</v>
      </c>
      <c r="G30" s="3856"/>
      <c r="H30" s="3856"/>
      <c r="I30" s="4133">
        <v>3819861</v>
      </c>
      <c r="J30" s="3856"/>
      <c r="K30" s="3856"/>
      <c r="L30" s="4133">
        <v>1307868</v>
      </c>
      <c r="M30" s="3856"/>
      <c r="N30" s="3856"/>
      <c r="O30" s="4124">
        <v>6784454</v>
      </c>
      <c r="P30" s="3883"/>
      <c r="Q30" s="3884"/>
      <c r="R30" s="2528"/>
    </row>
    <row r="31" spans="1:18" ht="16.7" customHeight="1" x14ac:dyDescent="0.2">
      <c r="A31" s="2752">
        <v>23</v>
      </c>
      <c r="B31" s="2512" t="s">
        <v>10257</v>
      </c>
      <c r="C31" s="3856"/>
      <c r="D31" s="3856"/>
      <c r="E31" s="3856"/>
      <c r="F31" s="3856"/>
      <c r="G31" s="3856"/>
      <c r="H31" s="3856"/>
      <c r="I31" s="3856"/>
      <c r="J31" s="3856"/>
      <c r="K31" s="3856"/>
      <c r="L31" s="3856"/>
      <c r="M31" s="3856"/>
      <c r="N31" s="3856"/>
      <c r="O31" s="3989"/>
      <c r="P31" s="3883"/>
      <c r="Q31" s="3884"/>
      <c r="R31" s="2528"/>
    </row>
    <row r="32" spans="1:18" ht="16.7" customHeight="1" x14ac:dyDescent="0.2">
      <c r="A32" s="2752">
        <v>24</v>
      </c>
      <c r="B32" s="2512" t="s">
        <v>10258</v>
      </c>
      <c r="C32" s="3856"/>
      <c r="D32" s="3856"/>
      <c r="E32" s="3856"/>
      <c r="F32" s="3856"/>
      <c r="G32" s="3856"/>
      <c r="H32" s="3856"/>
      <c r="I32" s="3856"/>
      <c r="J32" s="3856"/>
      <c r="K32" s="3856"/>
      <c r="L32" s="3856"/>
      <c r="M32" s="3856"/>
      <c r="N32" s="3856"/>
      <c r="O32" s="3989"/>
      <c r="P32" s="3883"/>
      <c r="Q32" s="3884"/>
      <c r="R32" s="2528"/>
    </row>
    <row r="33" spans="1:18" ht="16.7" customHeight="1" x14ac:dyDescent="0.2">
      <c r="A33" s="2752">
        <v>25</v>
      </c>
      <c r="B33" s="2512" t="s">
        <v>784</v>
      </c>
      <c r="C33" s="4133">
        <v>-96376</v>
      </c>
      <c r="D33" s="3856"/>
      <c r="E33" s="3856"/>
      <c r="F33" s="4133">
        <v>549499</v>
      </c>
      <c r="G33" s="3856"/>
      <c r="H33" s="3856"/>
      <c r="I33" s="3856"/>
      <c r="J33" s="3856"/>
      <c r="K33" s="3856"/>
      <c r="L33" s="4133">
        <v>321912</v>
      </c>
      <c r="M33" s="3856"/>
      <c r="N33" s="3856"/>
      <c r="O33" s="4124">
        <v>-84684</v>
      </c>
      <c r="P33" s="3883"/>
      <c r="Q33" s="3884"/>
      <c r="R33" s="2528"/>
    </row>
    <row r="34" spans="1:18" ht="16.7" customHeight="1" x14ac:dyDescent="0.2">
      <c r="A34" s="2752">
        <v>26</v>
      </c>
      <c r="B34" s="2512" t="s">
        <v>10259</v>
      </c>
      <c r="C34" s="4133">
        <v>4398230</v>
      </c>
      <c r="D34" s="3856"/>
      <c r="E34" s="3856"/>
      <c r="F34" s="4133">
        <v>994951</v>
      </c>
      <c r="G34" s="3856"/>
      <c r="H34" s="3856"/>
      <c r="I34" s="4133">
        <v>19297082</v>
      </c>
      <c r="J34" s="3856"/>
      <c r="K34" s="3856"/>
      <c r="L34" s="4133">
        <v>248871</v>
      </c>
      <c r="M34" s="3856"/>
      <c r="N34" s="3856"/>
      <c r="O34" s="4124">
        <v>4939484</v>
      </c>
      <c r="P34" s="3883"/>
      <c r="Q34" s="3884"/>
      <c r="R34" s="2528"/>
    </row>
    <row r="35" spans="1:18" ht="16.7" customHeight="1" x14ac:dyDescent="0.2">
      <c r="A35" s="2752">
        <v>27</v>
      </c>
      <c r="B35" s="2512" t="s">
        <v>492</v>
      </c>
      <c r="C35" s="3856"/>
      <c r="D35" s="3856"/>
      <c r="E35" s="3856"/>
      <c r="F35" s="3856"/>
      <c r="G35" s="3856"/>
      <c r="H35" s="3856"/>
      <c r="I35" s="4133">
        <v>96199</v>
      </c>
      <c r="J35" s="3856"/>
      <c r="K35" s="3856"/>
      <c r="L35" s="3856"/>
      <c r="M35" s="3856"/>
      <c r="N35" s="3856"/>
      <c r="O35" s="4124">
        <v>289</v>
      </c>
      <c r="P35" s="3883"/>
      <c r="Q35" s="3884"/>
      <c r="R35" s="2528"/>
    </row>
    <row r="36" spans="1:18" ht="16.7" customHeight="1" x14ac:dyDescent="0.2">
      <c r="A36" s="2752">
        <v>28</v>
      </c>
      <c r="B36" s="2512" t="s">
        <v>786</v>
      </c>
      <c r="C36" s="3856"/>
      <c r="D36" s="3856"/>
      <c r="E36" s="3856"/>
      <c r="F36" s="3856"/>
      <c r="G36" s="3856"/>
      <c r="H36" s="3856"/>
      <c r="I36" s="3856"/>
      <c r="J36" s="3856"/>
      <c r="K36" s="3856"/>
      <c r="L36" s="3856"/>
      <c r="M36" s="3856"/>
      <c r="N36" s="3856"/>
      <c r="O36" s="3989"/>
      <c r="P36" s="3883"/>
      <c r="Q36" s="3884"/>
      <c r="R36" s="2528"/>
    </row>
    <row r="37" spans="1:18" ht="16.7" customHeight="1" x14ac:dyDescent="0.2">
      <c r="A37" s="2752">
        <v>29</v>
      </c>
      <c r="B37" s="2512" t="s">
        <v>787</v>
      </c>
      <c r="C37" s="4133">
        <v>187084</v>
      </c>
      <c r="D37" s="3856"/>
      <c r="E37" s="3856"/>
      <c r="F37" s="4133">
        <v>501482</v>
      </c>
      <c r="G37" s="3856"/>
      <c r="H37" s="3856"/>
      <c r="I37" s="3856"/>
      <c r="J37" s="3856"/>
      <c r="K37" s="3856"/>
      <c r="L37" s="4133">
        <v>164503</v>
      </c>
      <c r="M37" s="3856"/>
      <c r="N37" s="3856"/>
      <c r="O37" s="4124">
        <v>89780</v>
      </c>
      <c r="P37" s="3883"/>
      <c r="Q37" s="3884"/>
      <c r="R37" s="2528"/>
    </row>
    <row r="38" spans="1:18" ht="16.7" customHeight="1" x14ac:dyDescent="0.2">
      <c r="A38" s="2752">
        <v>30</v>
      </c>
      <c r="B38" s="2512" t="s">
        <v>788</v>
      </c>
      <c r="C38" s="4133">
        <v>497327</v>
      </c>
      <c r="D38" s="3856"/>
      <c r="E38" s="3856"/>
      <c r="F38" s="4133">
        <v>369107</v>
      </c>
      <c r="G38" s="3856"/>
      <c r="H38" s="3856"/>
      <c r="I38" s="4133">
        <v>2466025</v>
      </c>
      <c r="J38" s="3856"/>
      <c r="K38" s="3856"/>
      <c r="L38" s="4133">
        <v>365036</v>
      </c>
      <c r="M38" s="3856"/>
      <c r="N38" s="3856"/>
      <c r="O38" s="4124">
        <v>1141254</v>
      </c>
      <c r="P38" s="3883"/>
      <c r="Q38" s="3884"/>
      <c r="R38" s="2528"/>
    </row>
    <row r="39" spans="1:18" ht="16.7" customHeight="1" x14ac:dyDescent="0.2">
      <c r="A39" s="2752">
        <v>31</v>
      </c>
      <c r="B39" s="2512" t="s">
        <v>10260</v>
      </c>
      <c r="C39" s="4133">
        <v>3322658</v>
      </c>
      <c r="D39" s="3856"/>
      <c r="E39" s="3856"/>
      <c r="F39" s="4133">
        <v>5260739</v>
      </c>
      <c r="G39" s="3856"/>
      <c r="H39" s="3856"/>
      <c r="I39" s="4133">
        <v>15224937</v>
      </c>
      <c r="J39" s="3856"/>
      <c r="K39" s="3856"/>
      <c r="L39" s="4133">
        <v>1016750</v>
      </c>
      <c r="M39" s="3856"/>
      <c r="N39" s="3856"/>
      <c r="O39" s="4124">
        <v>2762849</v>
      </c>
      <c r="P39" s="3883"/>
      <c r="Q39" s="3884"/>
      <c r="R39" s="2528"/>
    </row>
    <row r="40" spans="1:18" ht="16.7" customHeight="1" x14ac:dyDescent="0.2">
      <c r="A40" s="2752">
        <v>32</v>
      </c>
      <c r="B40" s="2512" t="s">
        <v>10261</v>
      </c>
      <c r="C40" s="4133">
        <v>377900</v>
      </c>
      <c r="D40" s="3856"/>
      <c r="E40" s="3856"/>
      <c r="F40" s="4133">
        <v>1597219</v>
      </c>
      <c r="G40" s="3856"/>
      <c r="H40" s="3856"/>
      <c r="I40" s="4133">
        <v>9179569</v>
      </c>
      <c r="J40" s="3856"/>
      <c r="K40" s="3856"/>
      <c r="L40" s="4133">
        <v>596802</v>
      </c>
      <c r="M40" s="3856"/>
      <c r="N40" s="3856"/>
      <c r="O40" s="4124">
        <v>1111933</v>
      </c>
      <c r="P40" s="3883"/>
      <c r="Q40" s="3884"/>
      <c r="R40" s="2528"/>
    </row>
    <row r="41" spans="1:18" ht="16.7" customHeight="1" x14ac:dyDescent="0.2">
      <c r="A41" s="2752">
        <v>33</v>
      </c>
      <c r="B41" s="2512" t="s">
        <v>10262</v>
      </c>
      <c r="C41" s="4124">
        <v>687593</v>
      </c>
      <c r="D41" s="3883"/>
      <c r="E41" s="3884"/>
      <c r="F41" s="4124">
        <v>786294</v>
      </c>
      <c r="G41" s="3883"/>
      <c r="H41" s="3884"/>
      <c r="I41" s="4124">
        <v>2097903</v>
      </c>
      <c r="J41" s="3883"/>
      <c r="K41" s="3884"/>
      <c r="L41" s="4124">
        <v>217031</v>
      </c>
      <c r="M41" s="3883"/>
      <c r="N41" s="3884"/>
      <c r="O41" s="4124">
        <v>1051711</v>
      </c>
      <c r="P41" s="3883"/>
      <c r="Q41" s="3884"/>
      <c r="R41" s="2528"/>
    </row>
    <row r="42" spans="1:18" ht="16.7" customHeight="1" x14ac:dyDescent="0.2">
      <c r="A42" s="2752">
        <v>34</v>
      </c>
      <c r="B42" s="2512" t="s">
        <v>10263</v>
      </c>
      <c r="C42" s="4125">
        <f>SUM(C27:C41)</f>
        <v>33524443</v>
      </c>
      <c r="D42" s="4126"/>
      <c r="E42" s="4127"/>
      <c r="F42" s="4125">
        <f>SUM(F27:F41)</f>
        <v>40342094</v>
      </c>
      <c r="G42" s="4126"/>
      <c r="H42" s="4127"/>
      <c r="I42" s="4125">
        <f>SUM(I27:I41)</f>
        <v>103271610</v>
      </c>
      <c r="J42" s="4126"/>
      <c r="K42" s="4127"/>
      <c r="L42" s="4125">
        <f>SUM(L27:L41)</f>
        <v>17021688</v>
      </c>
      <c r="M42" s="4126"/>
      <c r="N42" s="4127"/>
      <c r="O42" s="4125">
        <f>SUM(O27:O41)</f>
        <v>60086738</v>
      </c>
      <c r="P42" s="4126"/>
      <c r="Q42" s="4127"/>
      <c r="R42" s="2528"/>
    </row>
    <row r="43" spans="1:18" ht="16.7" customHeight="1" x14ac:dyDescent="0.2">
      <c r="A43" s="2752">
        <v>35</v>
      </c>
      <c r="B43" s="2512" t="s">
        <v>10264</v>
      </c>
      <c r="C43" s="4136">
        <f>C42/C20</f>
        <v>3.1958812723488994E-2</v>
      </c>
      <c r="D43" s="4137"/>
      <c r="E43" s="4138"/>
      <c r="F43" s="4136">
        <f>F42/F20</f>
        <v>5.0564457563280631E-2</v>
      </c>
      <c r="G43" s="4137"/>
      <c r="H43" s="4138"/>
      <c r="I43" s="4136">
        <f>I42/I20</f>
        <v>2.9194238023043498E-2</v>
      </c>
      <c r="J43" s="4137"/>
      <c r="K43" s="4138"/>
      <c r="L43" s="4136">
        <f>L42/L20</f>
        <v>3.3381553323802299E-2</v>
      </c>
      <c r="M43" s="4137"/>
      <c r="N43" s="4138"/>
      <c r="O43" s="4136">
        <f>O42/O20</f>
        <v>4.0720483332090891E-2</v>
      </c>
      <c r="P43" s="4137"/>
      <c r="Q43" s="4138"/>
      <c r="R43" s="2528"/>
    </row>
    <row r="44" spans="1:18" ht="16.7" customHeight="1" x14ac:dyDescent="0.2">
      <c r="A44" s="2752">
        <v>36</v>
      </c>
      <c r="B44" s="2512" t="s">
        <v>10265</v>
      </c>
      <c r="C44" s="2498" t="s">
        <v>10266</v>
      </c>
      <c r="D44" s="3021" t="s">
        <v>10267</v>
      </c>
      <c r="E44" s="2498"/>
      <c r="F44" s="2498" t="s">
        <v>10266</v>
      </c>
      <c r="G44" s="3021" t="s">
        <v>10267</v>
      </c>
      <c r="H44" s="2498"/>
      <c r="I44" s="2498" t="s">
        <v>10266</v>
      </c>
      <c r="J44" s="3021" t="s">
        <v>10267</v>
      </c>
      <c r="K44" s="2498"/>
      <c r="L44" s="2498" t="s">
        <v>10266</v>
      </c>
      <c r="M44" s="3021" t="s">
        <v>10267</v>
      </c>
      <c r="N44" s="2498"/>
      <c r="O44" s="2498" t="s">
        <v>10266</v>
      </c>
      <c r="P44" s="3021" t="s">
        <v>10267</v>
      </c>
      <c r="Q44" s="2498"/>
      <c r="R44" s="2528"/>
    </row>
    <row r="45" spans="1:18" ht="15.75" customHeight="1" x14ac:dyDescent="0.2">
      <c r="A45" s="2752">
        <v>37</v>
      </c>
      <c r="B45" s="2512" t="s">
        <v>10268</v>
      </c>
      <c r="C45" s="2498" t="s">
        <v>5616</v>
      </c>
      <c r="D45" s="2498" t="s">
        <v>10269</v>
      </c>
      <c r="E45" s="2498"/>
      <c r="F45" s="2498" t="s">
        <v>5616</v>
      </c>
      <c r="G45" s="2498" t="s">
        <v>10269</v>
      </c>
      <c r="H45" s="2498"/>
      <c r="I45" s="2498" t="s">
        <v>5616</v>
      </c>
      <c r="J45" s="2498" t="s">
        <v>10269</v>
      </c>
      <c r="K45" s="2498"/>
      <c r="L45" s="2498" t="s">
        <v>5616</v>
      </c>
      <c r="M45" s="2498" t="s">
        <v>10269</v>
      </c>
      <c r="N45" s="2498"/>
      <c r="O45" s="2498" t="s">
        <v>5616</v>
      </c>
      <c r="P45" s="2498" t="s">
        <v>10269</v>
      </c>
      <c r="Q45" s="2498"/>
      <c r="R45" s="2528"/>
    </row>
    <row r="46" spans="1:18" ht="15.75" customHeight="1" x14ac:dyDescent="0.2">
      <c r="A46" s="2752">
        <v>38</v>
      </c>
      <c r="B46" s="2512" t="s">
        <v>10270</v>
      </c>
      <c r="C46" s="2677">
        <v>653341</v>
      </c>
      <c r="D46" s="2677">
        <v>1757</v>
      </c>
      <c r="E46" s="2614"/>
      <c r="F46" s="3022">
        <v>455031</v>
      </c>
      <c r="G46" s="3022">
        <v>0</v>
      </c>
      <c r="H46" s="2614"/>
      <c r="I46" s="3022">
        <v>2510818</v>
      </c>
      <c r="J46" s="3022">
        <v>14581</v>
      </c>
      <c r="K46" s="2614"/>
      <c r="L46" s="3022">
        <v>236371</v>
      </c>
      <c r="M46" s="3022">
        <v>658</v>
      </c>
      <c r="N46" s="2614"/>
      <c r="O46" s="2677">
        <v>750191</v>
      </c>
      <c r="P46" s="2677">
        <v>2619</v>
      </c>
      <c r="Q46" s="2614"/>
      <c r="R46" s="2528"/>
    </row>
    <row r="47" spans="1:18" ht="15.75" customHeight="1" x14ac:dyDescent="0.2">
      <c r="A47" s="2752">
        <v>39</v>
      </c>
      <c r="B47" s="2512" t="s">
        <v>10271</v>
      </c>
      <c r="C47" s="2677">
        <v>8596</v>
      </c>
      <c r="D47" s="2677">
        <v>140000</v>
      </c>
      <c r="E47" s="2614"/>
      <c r="F47" s="3022">
        <v>9716</v>
      </c>
      <c r="G47" s="3022">
        <v>133825</v>
      </c>
      <c r="H47" s="2614"/>
      <c r="I47" s="3022">
        <v>8430</v>
      </c>
      <c r="J47" s="3022">
        <v>138000</v>
      </c>
      <c r="K47" s="2614"/>
      <c r="L47" s="3022">
        <v>11143</v>
      </c>
      <c r="M47" s="3022">
        <v>136827</v>
      </c>
      <c r="N47" s="2614"/>
      <c r="O47" s="2677">
        <v>11282</v>
      </c>
      <c r="P47" s="2677">
        <v>138000</v>
      </c>
      <c r="Q47" s="2614"/>
      <c r="R47" s="2528"/>
    </row>
    <row r="48" spans="1:18" ht="15.75" customHeight="1" x14ac:dyDescent="0.2">
      <c r="A48" s="2752">
        <v>40</v>
      </c>
      <c r="B48" s="2512" t="s">
        <v>10272</v>
      </c>
      <c r="C48" s="3023">
        <v>32.71</v>
      </c>
      <c r="D48" s="3023">
        <v>145.28100000000001</v>
      </c>
      <c r="E48" s="2614"/>
      <c r="F48" s="3024">
        <v>52.55</v>
      </c>
      <c r="G48" s="3024">
        <v>0</v>
      </c>
      <c r="H48" s="2614"/>
      <c r="I48" s="3024">
        <v>19.54</v>
      </c>
      <c r="J48" s="3024">
        <v>150.88399999999999</v>
      </c>
      <c r="K48" s="2614"/>
      <c r="L48" s="3024">
        <v>47.74</v>
      </c>
      <c r="M48" s="3024">
        <v>141.755</v>
      </c>
      <c r="N48" s="2614"/>
      <c r="O48" s="3023">
        <v>0</v>
      </c>
      <c r="P48" s="3023">
        <v>0</v>
      </c>
      <c r="Q48" s="2614"/>
      <c r="R48" s="2528"/>
    </row>
    <row r="49" spans="1:18" ht="15.75" customHeight="1" x14ac:dyDescent="0.2">
      <c r="A49" s="2752">
        <v>41</v>
      </c>
      <c r="B49" s="2512" t="s">
        <v>10273</v>
      </c>
      <c r="C49" s="3023">
        <v>35.146000000000001</v>
      </c>
      <c r="D49" s="3023">
        <v>145.28100000000001</v>
      </c>
      <c r="E49" s="2614"/>
      <c r="F49" s="3024">
        <v>60.862000000000002</v>
      </c>
      <c r="G49" s="3024">
        <v>0</v>
      </c>
      <c r="H49" s="2614"/>
      <c r="I49" s="3024">
        <v>19.468</v>
      </c>
      <c r="J49" s="3024">
        <v>150.88399999999999</v>
      </c>
      <c r="K49" s="2614"/>
      <c r="L49" s="3024">
        <v>53.213999999999999</v>
      </c>
      <c r="M49" s="3024">
        <v>141.755</v>
      </c>
      <c r="N49" s="2614"/>
      <c r="O49" s="3023">
        <v>55.878999999999998</v>
      </c>
      <c r="P49" s="3023">
        <v>0</v>
      </c>
      <c r="Q49" s="2614"/>
      <c r="R49" s="2528"/>
    </row>
    <row r="50" spans="1:18" ht="15.75" customHeight="1" x14ac:dyDescent="0.2">
      <c r="A50" s="2752">
        <v>42</v>
      </c>
      <c r="B50" s="2512" t="s">
        <v>10274</v>
      </c>
      <c r="C50" s="3023">
        <v>2.044</v>
      </c>
      <c r="D50" s="3023">
        <v>24.707000000000001</v>
      </c>
      <c r="E50" s="2614"/>
      <c r="F50" s="3024">
        <v>3.1320000000000001</v>
      </c>
      <c r="G50" s="3024">
        <v>0</v>
      </c>
      <c r="H50" s="2614"/>
      <c r="I50" s="3024">
        <v>1.155</v>
      </c>
      <c r="J50" s="3024">
        <v>26.032</v>
      </c>
      <c r="K50" s="2614"/>
      <c r="L50" s="3024">
        <v>2.3879999999999999</v>
      </c>
      <c r="M50" s="3024">
        <v>24.664000000000001</v>
      </c>
      <c r="N50" s="2614"/>
      <c r="O50" s="3023">
        <v>2.476</v>
      </c>
      <c r="P50" s="3023">
        <v>24.074999999999999</v>
      </c>
      <c r="Q50" s="2614"/>
      <c r="R50" s="2528"/>
    </row>
    <row r="51" spans="1:18" ht="15.75" customHeight="1" x14ac:dyDescent="0.2">
      <c r="A51" s="2752">
        <v>43</v>
      </c>
      <c r="B51" s="2512" t="s">
        <v>10275</v>
      </c>
      <c r="C51" s="3023">
        <v>2.1999999999999999E-2</v>
      </c>
      <c r="D51" s="3023">
        <v>0</v>
      </c>
      <c r="E51" s="2614"/>
      <c r="F51" s="3024">
        <v>3.5000000000000003E-2</v>
      </c>
      <c r="G51" s="3024">
        <v>0</v>
      </c>
      <c r="H51" s="2614"/>
      <c r="I51" s="3024">
        <v>1.4E-2</v>
      </c>
      <c r="J51" s="3024">
        <v>1E-3</v>
      </c>
      <c r="K51" s="2614"/>
      <c r="L51" s="3024">
        <v>2.5000000000000001E-2</v>
      </c>
      <c r="M51" s="3024">
        <v>0</v>
      </c>
      <c r="N51" s="2614"/>
      <c r="O51" s="3023">
        <v>2.8000000000000001E-2</v>
      </c>
      <c r="P51" s="3023">
        <v>0</v>
      </c>
      <c r="Q51" s="2614"/>
      <c r="R51" s="2528"/>
    </row>
    <row r="52" spans="1:18" ht="15.75" customHeight="1" x14ac:dyDescent="0.2">
      <c r="A52" s="2752">
        <v>44</v>
      </c>
      <c r="B52" s="2512" t="s">
        <v>10276</v>
      </c>
      <c r="C52" s="3023">
        <v>10707.231</v>
      </c>
      <c r="D52" s="3023">
        <v>9.8480000000000008</v>
      </c>
      <c r="E52" s="2614"/>
      <c r="F52" s="3024">
        <v>11082.536</v>
      </c>
      <c r="G52" s="3024">
        <v>0</v>
      </c>
      <c r="H52" s="2614"/>
      <c r="I52" s="3024">
        <v>11967.339</v>
      </c>
      <c r="J52" s="3024">
        <v>23.89</v>
      </c>
      <c r="K52" s="2614"/>
      <c r="L52" s="3024">
        <v>10330.782999999999</v>
      </c>
      <c r="M52" s="3024">
        <v>7.4139999999999997</v>
      </c>
      <c r="N52" s="2614"/>
      <c r="O52" s="3023">
        <v>11471.498</v>
      </c>
      <c r="P52" s="3023">
        <v>10.289</v>
      </c>
      <c r="Q52" s="2614"/>
      <c r="R52" s="2528"/>
    </row>
    <row r="53" spans="1:18" ht="16.7" customHeight="1" x14ac:dyDescent="0.2">
      <c r="A53" s="2516"/>
      <c r="B53" s="2516"/>
      <c r="C53" s="2516"/>
      <c r="D53" s="2516"/>
      <c r="E53" s="2516"/>
      <c r="F53" s="2516"/>
      <c r="G53" s="2516"/>
      <c r="H53" s="2516"/>
      <c r="I53" s="2516"/>
      <c r="J53" s="2516"/>
      <c r="K53" s="2516"/>
      <c r="L53" s="2516"/>
      <c r="M53" s="2516"/>
      <c r="N53" s="2516"/>
      <c r="O53" s="2516"/>
      <c r="P53" s="2516"/>
      <c r="Q53" s="3025"/>
    </row>
    <row r="54" spans="1:18" ht="16.7" customHeight="1" x14ac:dyDescent="0.2"/>
    <row r="55" spans="1:18" ht="16.7" customHeight="1" x14ac:dyDescent="0.2"/>
    <row r="56" spans="1:18" ht="16.7" customHeight="1" x14ac:dyDescent="0.2"/>
    <row r="57" spans="1:18" ht="16.7" customHeight="1" x14ac:dyDescent="0.2"/>
    <row r="58" spans="1:18" ht="16.7" customHeight="1" x14ac:dyDescent="0.2"/>
    <row r="59" spans="1:18" ht="16.7" customHeight="1" x14ac:dyDescent="0.2"/>
    <row r="60" spans="1:18" ht="16.7" customHeight="1" x14ac:dyDescent="0.2"/>
    <row r="61" spans="1:18" ht="16.7" customHeight="1" x14ac:dyDescent="0.2"/>
    <row r="62" spans="1:18" ht="16.7" customHeight="1" x14ac:dyDescent="0.2"/>
    <row r="63" spans="1:18" ht="16.7" customHeight="1" x14ac:dyDescent="0.2"/>
    <row r="64" spans="1:18" ht="16.7" customHeight="1" x14ac:dyDescent="0.2"/>
    <row r="65" ht="16.7" customHeight="1" x14ac:dyDescent="0.2"/>
    <row r="66" ht="16.7" customHeight="1" x14ac:dyDescent="0.2"/>
    <row r="67" ht="16.7" customHeight="1" x14ac:dyDescent="0.2"/>
    <row r="68" ht="16.7" customHeight="1" x14ac:dyDescent="0.2"/>
    <row r="69" ht="16.7" customHeight="1" x14ac:dyDescent="0.2"/>
    <row r="70" ht="16.7" customHeight="1" x14ac:dyDescent="0.2"/>
    <row r="71" ht="16.7" customHeight="1" x14ac:dyDescent="0.2"/>
    <row r="72" ht="16.7" customHeight="1" x14ac:dyDescent="0.2"/>
    <row r="73" ht="16.7" customHeight="1" x14ac:dyDescent="0.2"/>
    <row r="74" ht="16.7" customHeight="1" x14ac:dyDescent="0.2"/>
    <row r="75" ht="16.7" customHeight="1" x14ac:dyDescent="0.2"/>
    <row r="76" ht="16.7" customHeight="1" x14ac:dyDescent="0.2"/>
    <row r="77" ht="16.7" customHeight="1" x14ac:dyDescent="0.2"/>
    <row r="78" ht="16.7" customHeight="1" x14ac:dyDescent="0.2"/>
    <row r="79" ht="16.7" customHeight="1" x14ac:dyDescent="0.2"/>
    <row r="80" ht="16.7" customHeight="1" x14ac:dyDescent="0.2"/>
    <row r="81" ht="16.7" customHeight="1" x14ac:dyDescent="0.2"/>
    <row r="82" ht="16.7" customHeight="1" x14ac:dyDescent="0.2"/>
    <row r="83" ht="16.7" customHeight="1" x14ac:dyDescent="0.2"/>
    <row r="84" ht="16.7" customHeight="1" x14ac:dyDescent="0.2"/>
    <row r="85" ht="16.7" customHeight="1" x14ac:dyDescent="0.2"/>
    <row r="86" ht="16.7" customHeight="1" x14ac:dyDescent="0.2"/>
    <row r="87" ht="16.7" customHeight="1" x14ac:dyDescent="0.2"/>
    <row r="88" ht="16.7" customHeight="1" x14ac:dyDescent="0.2"/>
    <row r="89" ht="16.7" customHeight="1" x14ac:dyDescent="0.2"/>
    <row r="90" ht="16.7" customHeight="1" x14ac:dyDescent="0.2"/>
    <row r="91" ht="16.7" customHeight="1" x14ac:dyDescent="0.2"/>
    <row r="92" ht="16.7" customHeight="1" x14ac:dyDescent="0.2"/>
    <row r="93" ht="16.7" customHeight="1" x14ac:dyDescent="0.2"/>
    <row r="94" ht="16.7" customHeight="1" x14ac:dyDescent="0.2"/>
    <row r="95" ht="16.7" customHeight="1" x14ac:dyDescent="0.2"/>
    <row r="96" ht="16.7" customHeight="1" x14ac:dyDescent="0.2"/>
    <row r="97" ht="16.7" customHeight="1" x14ac:dyDescent="0.2"/>
    <row r="98" ht="16.7" customHeight="1" x14ac:dyDescent="0.2"/>
    <row r="99" ht="16.7" customHeight="1" x14ac:dyDescent="0.2"/>
    <row r="100" ht="16.7" customHeight="1" x14ac:dyDescent="0.2"/>
    <row r="101" ht="16.7" customHeight="1" x14ac:dyDescent="0.2"/>
    <row r="102" ht="16.7" customHeight="1" x14ac:dyDescent="0.2"/>
    <row r="103" ht="16.7" customHeight="1" x14ac:dyDescent="0.2"/>
    <row r="104" ht="16.7" customHeight="1" x14ac:dyDescent="0.2"/>
  </sheetData>
  <mergeCells count="195">
    <mergeCell ref="C40:E40"/>
    <mergeCell ref="F40:H40"/>
    <mergeCell ref="I40:K40"/>
    <mergeCell ref="L40:N40"/>
    <mergeCell ref="O40:Q40"/>
    <mergeCell ref="C43:E43"/>
    <mergeCell ref="F43:H43"/>
    <mergeCell ref="I43:K43"/>
    <mergeCell ref="L43:N43"/>
    <mergeCell ref="O43:Q43"/>
    <mergeCell ref="C41:E41"/>
    <mergeCell ref="F41:H41"/>
    <mergeCell ref="I41:K41"/>
    <mergeCell ref="L41:N41"/>
    <mergeCell ref="O41:Q41"/>
    <mergeCell ref="C42:E42"/>
    <mergeCell ref="F42:H42"/>
    <mergeCell ref="I42:K42"/>
    <mergeCell ref="L42:N42"/>
    <mergeCell ref="O42:Q42"/>
    <mergeCell ref="C38:E38"/>
    <mergeCell ref="F38:H38"/>
    <mergeCell ref="I38:K38"/>
    <mergeCell ref="L38:N38"/>
    <mergeCell ref="O38:Q38"/>
    <mergeCell ref="C39:E39"/>
    <mergeCell ref="F39:H39"/>
    <mergeCell ref="I39:K39"/>
    <mergeCell ref="L39:N39"/>
    <mergeCell ref="O39:Q39"/>
    <mergeCell ref="C36:E36"/>
    <mergeCell ref="F36:H36"/>
    <mergeCell ref="I36:K36"/>
    <mergeCell ref="L36:N36"/>
    <mergeCell ref="O36:Q36"/>
    <mergeCell ref="C37:E37"/>
    <mergeCell ref="F37:H37"/>
    <mergeCell ref="I37:K37"/>
    <mergeCell ref="L37:N37"/>
    <mergeCell ref="O37:Q37"/>
    <mergeCell ref="C34:E34"/>
    <mergeCell ref="F34:H34"/>
    <mergeCell ref="I34:K34"/>
    <mergeCell ref="L34:N34"/>
    <mergeCell ref="O34:Q34"/>
    <mergeCell ref="C35:E35"/>
    <mergeCell ref="F35:H35"/>
    <mergeCell ref="I35:K35"/>
    <mergeCell ref="L35:N35"/>
    <mergeCell ref="O35:Q35"/>
    <mergeCell ref="C32:E32"/>
    <mergeCell ref="F32:H32"/>
    <mergeCell ref="I32:K32"/>
    <mergeCell ref="L32:N32"/>
    <mergeCell ref="O32:Q32"/>
    <mergeCell ref="C33:E33"/>
    <mergeCell ref="F33:H33"/>
    <mergeCell ref="I33:K33"/>
    <mergeCell ref="L33:N33"/>
    <mergeCell ref="O33:Q33"/>
    <mergeCell ref="C30:E30"/>
    <mergeCell ref="F30:H30"/>
    <mergeCell ref="I30:K30"/>
    <mergeCell ref="L30:N30"/>
    <mergeCell ref="O30:Q30"/>
    <mergeCell ref="C31:E31"/>
    <mergeCell ref="F31:H31"/>
    <mergeCell ref="I31:K31"/>
    <mergeCell ref="L31:N31"/>
    <mergeCell ref="O31:Q31"/>
    <mergeCell ref="C28:E28"/>
    <mergeCell ref="F28:H28"/>
    <mergeCell ref="I28:K28"/>
    <mergeCell ref="L28:N28"/>
    <mergeCell ref="O28:Q28"/>
    <mergeCell ref="C29:E29"/>
    <mergeCell ref="F29:H29"/>
    <mergeCell ref="I29:K29"/>
    <mergeCell ref="L29:N29"/>
    <mergeCell ref="O29:Q29"/>
    <mergeCell ref="C26:E26"/>
    <mergeCell ref="F26:H26"/>
    <mergeCell ref="I26:K26"/>
    <mergeCell ref="L26:N26"/>
    <mergeCell ref="O26:Q26"/>
    <mergeCell ref="C27:E27"/>
    <mergeCell ref="F27:H27"/>
    <mergeCell ref="I27:K27"/>
    <mergeCell ref="L27:N27"/>
    <mergeCell ref="O27:Q27"/>
    <mergeCell ref="C24:E24"/>
    <mergeCell ref="F24:H24"/>
    <mergeCell ref="I24:K24"/>
    <mergeCell ref="L24:N24"/>
    <mergeCell ref="O24:Q24"/>
    <mergeCell ref="C25:E25"/>
    <mergeCell ref="F25:H25"/>
    <mergeCell ref="I25:K25"/>
    <mergeCell ref="L25:N25"/>
    <mergeCell ref="O25:Q25"/>
    <mergeCell ref="C22:E22"/>
    <mergeCell ref="F22:H22"/>
    <mergeCell ref="I22:K22"/>
    <mergeCell ref="L22:N22"/>
    <mergeCell ref="O22:Q22"/>
    <mergeCell ref="C23:E23"/>
    <mergeCell ref="F23:H23"/>
    <mergeCell ref="I23:K23"/>
    <mergeCell ref="L23:N23"/>
    <mergeCell ref="O23:Q23"/>
    <mergeCell ref="C20:E20"/>
    <mergeCell ref="F20:H20"/>
    <mergeCell ref="I20:K20"/>
    <mergeCell ref="L20:N20"/>
    <mergeCell ref="O20:Q20"/>
    <mergeCell ref="C21:E21"/>
    <mergeCell ref="F21:H21"/>
    <mergeCell ref="I21:K21"/>
    <mergeCell ref="L21:N21"/>
    <mergeCell ref="O21:Q21"/>
    <mergeCell ref="C18:E18"/>
    <mergeCell ref="F18:H18"/>
    <mergeCell ref="I18:K18"/>
    <mergeCell ref="L18:N18"/>
    <mergeCell ref="O18:Q18"/>
    <mergeCell ref="C19:E19"/>
    <mergeCell ref="F19:H19"/>
    <mergeCell ref="I19:K19"/>
    <mergeCell ref="L19:N19"/>
    <mergeCell ref="O19:Q19"/>
    <mergeCell ref="C16:E16"/>
    <mergeCell ref="F16:H16"/>
    <mergeCell ref="I16:K16"/>
    <mergeCell ref="L16:N16"/>
    <mergeCell ref="O16:Q16"/>
    <mergeCell ref="C17:E17"/>
    <mergeCell ref="F17:H17"/>
    <mergeCell ref="I17:K17"/>
    <mergeCell ref="L17:N17"/>
    <mergeCell ref="O17:Q17"/>
    <mergeCell ref="C14:E14"/>
    <mergeCell ref="F14:H14"/>
    <mergeCell ref="I14:K14"/>
    <mergeCell ref="L14:N14"/>
    <mergeCell ref="O14:Q14"/>
    <mergeCell ref="C15:E15"/>
    <mergeCell ref="F15:H15"/>
    <mergeCell ref="I15:K15"/>
    <mergeCell ref="L15:N15"/>
    <mergeCell ref="O15:Q15"/>
    <mergeCell ref="C12:E12"/>
    <mergeCell ref="F12:H12"/>
    <mergeCell ref="I12:K12"/>
    <mergeCell ref="L12:N12"/>
    <mergeCell ref="O12:Q12"/>
    <mergeCell ref="C13:E13"/>
    <mergeCell ref="F13:H13"/>
    <mergeCell ref="I13:K13"/>
    <mergeCell ref="L13:N13"/>
    <mergeCell ref="O13:Q13"/>
    <mergeCell ref="C10:E10"/>
    <mergeCell ref="F10:H10"/>
    <mergeCell ref="I10:K10"/>
    <mergeCell ref="L10:N10"/>
    <mergeCell ref="O10:Q10"/>
    <mergeCell ref="C11:E11"/>
    <mergeCell ref="F11:H11"/>
    <mergeCell ref="I11:K11"/>
    <mergeCell ref="L11:N11"/>
    <mergeCell ref="O11:Q11"/>
    <mergeCell ref="C8:E8"/>
    <mergeCell ref="F8:H8"/>
    <mergeCell ref="I8:K8"/>
    <mergeCell ref="L8:N8"/>
    <mergeCell ref="O8:Q8"/>
    <mergeCell ref="C9:E9"/>
    <mergeCell ref="F9:H9"/>
    <mergeCell ref="I9:K9"/>
    <mergeCell ref="L9:N9"/>
    <mergeCell ref="O9:Q9"/>
    <mergeCell ref="D1:L1"/>
    <mergeCell ref="A3:Q3"/>
    <mergeCell ref="A4:Q4"/>
    <mergeCell ref="A5:Q5"/>
    <mergeCell ref="A6:A7"/>
    <mergeCell ref="D6:E6"/>
    <mergeCell ref="G6:H6"/>
    <mergeCell ref="J6:K6"/>
    <mergeCell ref="M6:N6"/>
    <mergeCell ref="P6:Q6"/>
    <mergeCell ref="C7:E7"/>
    <mergeCell ref="F7:H7"/>
    <mergeCell ref="I7:K7"/>
    <mergeCell ref="L7:N7"/>
    <mergeCell ref="O7:Q7"/>
  </mergeCells>
  <pageMargins left="0.75" right="0.75" top="1" bottom="1" header="0.5" footer="0.5"/>
  <customProperties>
    <customPr name="_pios_id" r:id="rId1"/>
  </customProperties>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EAFB62-640A-4A38-A56C-F6FEFBFDBC25}">
  <sheetPr codeName="Sheet93"/>
  <dimension ref="A1:R104"/>
  <sheetViews>
    <sheetView workbookViewId="0">
      <pane xSplit="2" ySplit="8" topLeftCell="C9" activePane="bottomRight" state="frozen"/>
      <selection pane="topRight"/>
      <selection pane="bottomLeft"/>
      <selection pane="bottomRight"/>
    </sheetView>
  </sheetViews>
  <sheetFormatPr defaultColWidth="11.5" defaultRowHeight="12.75" x14ac:dyDescent="0.2"/>
  <cols>
    <col min="1" max="1" width="3.875" style="1953" customWidth="1"/>
    <col min="2" max="2" width="41.75" style="1953" customWidth="1"/>
    <col min="3" max="17" width="9.25" style="1953" customWidth="1"/>
    <col min="18" max="16384" width="11.5" style="1953"/>
  </cols>
  <sheetData>
    <row r="1" spans="1:18" ht="16.7" customHeight="1" x14ac:dyDescent="0.2">
      <c r="B1" s="2744" t="s">
        <v>7058</v>
      </c>
      <c r="C1" s="2979"/>
      <c r="D1" s="4098" t="s">
        <v>10277</v>
      </c>
      <c r="E1" s="4099"/>
      <c r="F1" s="4099"/>
      <c r="G1" s="4099"/>
      <c r="H1" s="4099"/>
      <c r="I1" s="4099"/>
      <c r="J1" s="4099"/>
      <c r="K1" s="4099"/>
      <c r="L1" s="4099"/>
      <c r="M1" s="4100"/>
      <c r="N1" s="2486"/>
    </row>
    <row r="2" spans="1:18" ht="16.7" customHeight="1" x14ac:dyDescent="0.2">
      <c r="B2" s="2483"/>
      <c r="D2" s="2796"/>
      <c r="E2" s="2796"/>
      <c r="F2" s="2796"/>
      <c r="G2" s="2796"/>
      <c r="H2" s="2796"/>
      <c r="I2" s="2796"/>
      <c r="J2" s="2796"/>
      <c r="K2" s="2796"/>
      <c r="L2" s="2796"/>
      <c r="M2" s="2796"/>
    </row>
    <row r="3" spans="1:18" ht="16.7" customHeight="1" x14ac:dyDescent="0.2">
      <c r="A3" s="3990" t="s">
        <v>10222</v>
      </c>
      <c r="B3" s="3991"/>
      <c r="C3" s="3991"/>
      <c r="D3" s="3991"/>
      <c r="E3" s="3991"/>
      <c r="F3" s="3975" t="s">
        <v>10222</v>
      </c>
      <c r="G3" s="3975"/>
      <c r="H3" s="3975"/>
      <c r="I3" s="3975"/>
      <c r="J3" s="3975"/>
      <c r="K3" s="3975"/>
      <c r="L3" s="3975"/>
      <c r="M3" s="3975"/>
      <c r="N3" s="3975"/>
      <c r="O3" s="3975"/>
      <c r="P3" s="3975"/>
      <c r="Q3" s="3976"/>
      <c r="R3" s="2528"/>
    </row>
    <row r="4" spans="1:18" ht="76.7" customHeight="1" x14ac:dyDescent="0.2">
      <c r="A4" s="3878" t="s">
        <v>10223</v>
      </c>
      <c r="B4" s="3879"/>
      <c r="C4" s="3879"/>
      <c r="D4" s="3879"/>
      <c r="E4" s="3879"/>
      <c r="F4" s="3879"/>
      <c r="G4" s="3879"/>
      <c r="H4" s="3879"/>
      <c r="I4" s="3879"/>
      <c r="J4" s="3879"/>
      <c r="K4" s="3879"/>
      <c r="L4" s="3879"/>
      <c r="M4" s="3879"/>
      <c r="N4" s="3879"/>
      <c r="O4" s="3879"/>
      <c r="P4" s="3879"/>
      <c r="Q4" s="3880"/>
      <c r="R4" s="2528"/>
    </row>
    <row r="5" spans="1:18" ht="15.75" customHeight="1" x14ac:dyDescent="0.2">
      <c r="A5" s="3964" t="s">
        <v>10224</v>
      </c>
      <c r="B5" s="3995"/>
      <c r="C5" s="3995"/>
      <c r="D5" s="3995"/>
      <c r="E5" s="3995"/>
      <c r="F5" s="3995"/>
      <c r="G5" s="3995"/>
      <c r="H5" s="3995"/>
      <c r="I5" s="3995"/>
      <c r="J5" s="3995"/>
      <c r="K5" s="3995"/>
      <c r="L5" s="3995"/>
      <c r="M5" s="3995"/>
      <c r="N5" s="3995"/>
      <c r="O5" s="3995"/>
      <c r="P5" s="3995"/>
      <c r="Q5" s="3996"/>
      <c r="R5" s="2528"/>
    </row>
    <row r="6" spans="1:18" ht="27.6" customHeight="1" x14ac:dyDescent="0.2">
      <c r="A6" s="3963" t="s">
        <v>6360</v>
      </c>
      <c r="B6" s="2637" t="s">
        <v>6467</v>
      </c>
      <c r="C6" s="3019" t="s">
        <v>10231</v>
      </c>
      <c r="D6" s="4101" t="s">
        <v>10278</v>
      </c>
      <c r="E6" s="4102"/>
      <c r="F6" s="3020" t="s">
        <v>10231</v>
      </c>
      <c r="G6" s="4103" t="s">
        <v>10279</v>
      </c>
      <c r="H6" s="4104"/>
      <c r="I6" s="3020" t="s">
        <v>10231</v>
      </c>
      <c r="J6" s="4103" t="s">
        <v>10280</v>
      </c>
      <c r="K6" s="4104"/>
      <c r="L6" s="3020" t="s">
        <v>10231</v>
      </c>
      <c r="M6" s="4103" t="s">
        <v>10281</v>
      </c>
      <c r="N6" s="4104"/>
      <c r="O6" s="3019" t="s">
        <v>10231</v>
      </c>
      <c r="P6" s="4101" t="s">
        <v>10282</v>
      </c>
      <c r="Q6" s="4102"/>
      <c r="R6" s="2528"/>
    </row>
    <row r="7" spans="1:18" ht="16.7" customHeight="1" x14ac:dyDescent="0.2">
      <c r="A7" s="3899"/>
      <c r="B7" s="2589" t="s">
        <v>5949</v>
      </c>
      <c r="C7" s="4105" t="s">
        <v>5950</v>
      </c>
      <c r="D7" s="3911"/>
      <c r="E7" s="3911"/>
      <c r="F7" s="4106" t="s">
        <v>5951</v>
      </c>
      <c r="G7" s="4107"/>
      <c r="H7" s="4108"/>
      <c r="I7" s="4106" t="s">
        <v>5952</v>
      </c>
      <c r="J7" s="4107"/>
      <c r="K7" s="4108"/>
      <c r="L7" s="4106" t="s">
        <v>6227</v>
      </c>
      <c r="M7" s="4107"/>
      <c r="N7" s="4108"/>
      <c r="O7" s="4105" t="s">
        <v>5804</v>
      </c>
      <c r="P7" s="3911"/>
      <c r="Q7" s="3911"/>
      <c r="R7" s="2528"/>
    </row>
    <row r="8" spans="1:18" ht="16.7" customHeight="1" x14ac:dyDescent="0.2">
      <c r="A8" s="2771" t="s">
        <v>904</v>
      </c>
      <c r="B8" s="2488" t="s">
        <v>766</v>
      </c>
      <c r="C8" s="4109" t="str">
        <f>D6</f>
        <v>Hunter Unit No. 2</v>
      </c>
      <c r="D8" s="4110"/>
      <c r="E8" s="4111"/>
      <c r="F8" s="4112" t="str">
        <f>G6</f>
        <v>Hunter Unit No. 3</v>
      </c>
      <c r="G8" s="4113"/>
      <c r="H8" s="4114"/>
      <c r="I8" s="4109" t="str">
        <f>J6</f>
        <v>Hunter - Total Plant</v>
      </c>
      <c r="J8" s="4110"/>
      <c r="K8" s="4111"/>
      <c r="L8" s="4112" t="str">
        <f>M6</f>
        <v>Huntington</v>
      </c>
      <c r="M8" s="4113"/>
      <c r="N8" s="4114"/>
      <c r="O8" s="4109" t="str">
        <f>P6</f>
        <v>Jim Bridger</v>
      </c>
      <c r="P8" s="4110"/>
      <c r="Q8" s="4111"/>
      <c r="R8" s="2528"/>
    </row>
    <row r="9" spans="1:18" ht="15.75" customHeight="1" x14ac:dyDescent="0.2">
      <c r="A9" s="2677">
        <v>1</v>
      </c>
      <c r="B9" s="2512" t="s">
        <v>10233</v>
      </c>
      <c r="C9" s="3882" t="s">
        <v>669</v>
      </c>
      <c r="D9" s="3891"/>
      <c r="E9" s="3892"/>
      <c r="F9" s="3882" t="s">
        <v>669</v>
      </c>
      <c r="G9" s="3891"/>
      <c r="H9" s="3892"/>
      <c r="I9" s="3882" t="s">
        <v>669</v>
      </c>
      <c r="J9" s="3891"/>
      <c r="K9" s="3892"/>
      <c r="L9" s="3882" t="s">
        <v>669</v>
      </c>
      <c r="M9" s="3891"/>
      <c r="N9" s="3892"/>
      <c r="O9" s="3882" t="s">
        <v>669</v>
      </c>
      <c r="P9" s="3891"/>
      <c r="Q9" s="3892"/>
      <c r="R9" s="2528"/>
    </row>
    <row r="10" spans="1:18" ht="16.7" customHeight="1" x14ac:dyDescent="0.2">
      <c r="A10" s="2677">
        <v>2</v>
      </c>
      <c r="B10" s="2512" t="s">
        <v>10234</v>
      </c>
      <c r="C10" s="3882" t="s">
        <v>10236</v>
      </c>
      <c r="D10" s="3891"/>
      <c r="E10" s="3892"/>
      <c r="F10" s="3882" t="s">
        <v>10236</v>
      </c>
      <c r="G10" s="3891"/>
      <c r="H10" s="3892"/>
      <c r="I10" s="3882" t="s">
        <v>10236</v>
      </c>
      <c r="J10" s="3891"/>
      <c r="K10" s="3892"/>
      <c r="L10" s="3882" t="s">
        <v>10236</v>
      </c>
      <c r="M10" s="3891"/>
      <c r="N10" s="3892"/>
      <c r="O10" s="3882" t="s">
        <v>10236</v>
      </c>
      <c r="P10" s="3891"/>
      <c r="Q10" s="3892"/>
      <c r="R10" s="2528"/>
    </row>
    <row r="11" spans="1:18" ht="16.7" customHeight="1" x14ac:dyDescent="0.2">
      <c r="A11" s="2677">
        <v>3</v>
      </c>
      <c r="B11" s="2512" t="s">
        <v>770</v>
      </c>
      <c r="C11" s="4139">
        <v>1980</v>
      </c>
      <c r="D11" s="3891"/>
      <c r="E11" s="3892"/>
      <c r="F11" s="4139">
        <v>1983</v>
      </c>
      <c r="G11" s="3891"/>
      <c r="H11" s="3892"/>
      <c r="I11" s="4139">
        <v>1978</v>
      </c>
      <c r="J11" s="3891"/>
      <c r="K11" s="3892"/>
      <c r="L11" s="4139">
        <v>1974</v>
      </c>
      <c r="M11" s="3891"/>
      <c r="N11" s="3892"/>
      <c r="O11" s="4139" t="s">
        <v>10283</v>
      </c>
      <c r="P11" s="3891"/>
      <c r="Q11" s="3892"/>
      <c r="R11" s="2528"/>
    </row>
    <row r="12" spans="1:18" ht="16.7" customHeight="1" x14ac:dyDescent="0.2">
      <c r="A12" s="2752">
        <v>4</v>
      </c>
      <c r="B12" s="2512" t="s">
        <v>771</v>
      </c>
      <c r="C12" s="4139">
        <v>1980</v>
      </c>
      <c r="D12" s="3891"/>
      <c r="E12" s="3892"/>
      <c r="F12" s="4139">
        <v>1983</v>
      </c>
      <c r="G12" s="3891"/>
      <c r="H12" s="3892"/>
      <c r="I12" s="4139">
        <v>1983</v>
      </c>
      <c r="J12" s="3891"/>
      <c r="K12" s="3892"/>
      <c r="L12" s="4139">
        <v>1977</v>
      </c>
      <c r="M12" s="3891"/>
      <c r="N12" s="3892"/>
      <c r="O12" s="4139" t="s">
        <v>10239</v>
      </c>
      <c r="P12" s="3891"/>
      <c r="Q12" s="3892"/>
      <c r="R12" s="2528"/>
    </row>
    <row r="13" spans="1:18" ht="15.75" customHeight="1" x14ac:dyDescent="0.2">
      <c r="A13" s="2752">
        <v>5</v>
      </c>
      <c r="B13" s="2512" t="s">
        <v>10247</v>
      </c>
      <c r="C13" s="4116">
        <v>294.45999999999998</v>
      </c>
      <c r="D13" s="3860"/>
      <c r="E13" s="3860"/>
      <c r="F13" s="4116">
        <v>495.59</v>
      </c>
      <c r="G13" s="3860"/>
      <c r="H13" s="3860"/>
      <c r="I13" s="4116">
        <v>1247.78</v>
      </c>
      <c r="J13" s="3860"/>
      <c r="K13" s="3860"/>
      <c r="L13" s="4116">
        <v>1015.5</v>
      </c>
      <c r="M13" s="3860"/>
      <c r="N13" s="3860"/>
      <c r="O13" s="4116">
        <v>1550.65</v>
      </c>
      <c r="P13" s="3860"/>
      <c r="Q13" s="3860"/>
      <c r="R13" s="2528"/>
    </row>
    <row r="14" spans="1:18" ht="16.7" customHeight="1" x14ac:dyDescent="0.2">
      <c r="A14" s="2752">
        <v>6</v>
      </c>
      <c r="B14" s="2512" t="s">
        <v>10248</v>
      </c>
      <c r="C14" s="4118">
        <v>269</v>
      </c>
      <c r="D14" s="3891"/>
      <c r="E14" s="3892"/>
      <c r="F14" s="4139">
        <v>473</v>
      </c>
      <c r="G14" s="3891"/>
      <c r="H14" s="3892"/>
      <c r="I14" s="4120">
        <v>1080</v>
      </c>
      <c r="J14" s="3891"/>
      <c r="K14" s="3892"/>
      <c r="L14" s="4139">
        <v>910</v>
      </c>
      <c r="M14" s="3891"/>
      <c r="N14" s="3892"/>
      <c r="O14" s="4118">
        <v>1425</v>
      </c>
      <c r="P14" s="3891"/>
      <c r="Q14" s="3892"/>
      <c r="R14" s="2528"/>
    </row>
    <row r="15" spans="1:18" ht="16.7" customHeight="1" x14ac:dyDescent="0.2">
      <c r="A15" s="2752">
        <v>7</v>
      </c>
      <c r="B15" s="2512" t="s">
        <v>10249</v>
      </c>
      <c r="C15" s="4118">
        <v>7062</v>
      </c>
      <c r="D15" s="3891"/>
      <c r="E15" s="3892"/>
      <c r="F15" s="4120">
        <v>6451</v>
      </c>
      <c r="G15" s="3891"/>
      <c r="H15" s="3892"/>
      <c r="I15" s="4120">
        <v>8626</v>
      </c>
      <c r="J15" s="3891"/>
      <c r="K15" s="3892"/>
      <c r="L15" s="4120">
        <v>8760</v>
      </c>
      <c r="M15" s="3891"/>
      <c r="N15" s="3892"/>
      <c r="O15" s="4118">
        <v>8760</v>
      </c>
      <c r="P15" s="3891"/>
      <c r="Q15" s="3892"/>
      <c r="R15" s="2528"/>
    </row>
    <row r="16" spans="1:18" ht="16.7" customHeight="1" x14ac:dyDescent="0.2">
      <c r="A16" s="2752">
        <v>8</v>
      </c>
      <c r="B16" s="2512" t="s">
        <v>10250</v>
      </c>
      <c r="C16" s="4120">
        <v>269</v>
      </c>
      <c r="D16" s="3891"/>
      <c r="E16" s="3892"/>
      <c r="F16" s="4120">
        <v>471</v>
      </c>
      <c r="G16" s="3891"/>
      <c r="H16" s="3892"/>
      <c r="I16" s="4120">
        <v>1158</v>
      </c>
      <c r="J16" s="3891"/>
      <c r="K16" s="3892"/>
      <c r="L16" s="4120">
        <v>909</v>
      </c>
      <c r="M16" s="3891"/>
      <c r="N16" s="3892"/>
      <c r="O16" s="4120">
        <v>1413</v>
      </c>
      <c r="P16" s="3891"/>
      <c r="Q16" s="3892"/>
      <c r="R16" s="2528"/>
    </row>
    <row r="17" spans="1:18" ht="16.7" customHeight="1" x14ac:dyDescent="0.2">
      <c r="A17" s="2752">
        <v>9</v>
      </c>
      <c r="B17" s="2512" t="s">
        <v>10251</v>
      </c>
      <c r="C17" s="4120">
        <v>269</v>
      </c>
      <c r="D17" s="3891"/>
      <c r="E17" s="3892"/>
      <c r="F17" s="4120">
        <v>471</v>
      </c>
      <c r="G17" s="3891"/>
      <c r="H17" s="3892"/>
      <c r="I17" s="4120">
        <v>1158</v>
      </c>
      <c r="J17" s="3891"/>
      <c r="K17" s="3892"/>
      <c r="L17" s="4120">
        <v>909</v>
      </c>
      <c r="M17" s="3891"/>
      <c r="N17" s="3892"/>
      <c r="O17" s="4120">
        <v>1413</v>
      </c>
      <c r="P17" s="3891"/>
      <c r="Q17" s="3892"/>
      <c r="R17" s="2528"/>
    </row>
    <row r="18" spans="1:18" ht="16.7" customHeight="1" x14ac:dyDescent="0.2">
      <c r="A18" s="2752">
        <v>10</v>
      </c>
      <c r="B18" s="2512" t="s">
        <v>10252</v>
      </c>
      <c r="C18" s="4120">
        <v>269</v>
      </c>
      <c r="D18" s="3891"/>
      <c r="E18" s="3892"/>
      <c r="F18" s="4120">
        <v>471</v>
      </c>
      <c r="G18" s="3891"/>
      <c r="H18" s="3892"/>
      <c r="I18" s="4120">
        <v>1158</v>
      </c>
      <c r="J18" s="3891"/>
      <c r="K18" s="3892"/>
      <c r="L18" s="4120">
        <v>909</v>
      </c>
      <c r="M18" s="3891"/>
      <c r="N18" s="3892"/>
      <c r="O18" s="4120">
        <v>1413</v>
      </c>
      <c r="P18" s="3891"/>
      <c r="Q18" s="3892"/>
      <c r="R18" s="2528"/>
    </row>
    <row r="19" spans="1:18" ht="16.7" customHeight="1" x14ac:dyDescent="0.2">
      <c r="A19" s="2752">
        <v>11</v>
      </c>
      <c r="B19" s="2512" t="s">
        <v>776</v>
      </c>
      <c r="C19" s="4121">
        <v>0</v>
      </c>
      <c r="D19" s="4122"/>
      <c r="E19" s="4122"/>
      <c r="F19" s="4121">
        <v>0</v>
      </c>
      <c r="G19" s="4122"/>
      <c r="H19" s="4122"/>
      <c r="I19" s="4123">
        <v>183</v>
      </c>
      <c r="J19" s="3860"/>
      <c r="K19" s="3860"/>
      <c r="L19" s="4123">
        <v>138</v>
      </c>
      <c r="M19" s="3860"/>
      <c r="N19" s="3860"/>
      <c r="O19" s="4123">
        <v>257</v>
      </c>
      <c r="P19" s="3860"/>
      <c r="Q19" s="3860"/>
      <c r="R19" s="2528"/>
    </row>
    <row r="20" spans="1:18" ht="16.7" customHeight="1" x14ac:dyDescent="0.2">
      <c r="A20" s="2752">
        <v>12</v>
      </c>
      <c r="B20" s="2512" t="s">
        <v>10253</v>
      </c>
      <c r="C20" s="4120">
        <v>803001000</v>
      </c>
      <c r="D20" s="3891"/>
      <c r="E20" s="3892"/>
      <c r="F20" s="4120">
        <v>1132739000</v>
      </c>
      <c r="G20" s="3891"/>
      <c r="H20" s="3892"/>
      <c r="I20" s="4120">
        <v>3411330000</v>
      </c>
      <c r="J20" s="3891"/>
      <c r="K20" s="3892"/>
      <c r="L20" s="4118">
        <v>3400881000</v>
      </c>
      <c r="M20" s="3891"/>
      <c r="N20" s="3892"/>
      <c r="O20" s="4120">
        <v>6075458000</v>
      </c>
      <c r="P20" s="3891"/>
      <c r="Q20" s="3892"/>
      <c r="R20" s="2528"/>
    </row>
    <row r="21" spans="1:18" ht="16.7" customHeight="1" x14ac:dyDescent="0.2">
      <c r="A21" s="2752">
        <v>13</v>
      </c>
      <c r="B21" s="2512" t="s">
        <v>778</v>
      </c>
      <c r="C21" s="4124">
        <v>9679900</v>
      </c>
      <c r="D21" s="3883"/>
      <c r="E21" s="3884"/>
      <c r="F21" s="4124">
        <v>10266209</v>
      </c>
      <c r="G21" s="3883"/>
      <c r="H21" s="3884"/>
      <c r="I21" s="4124">
        <v>29626009</v>
      </c>
      <c r="J21" s="3883"/>
      <c r="K21" s="3884"/>
      <c r="L21" s="4124">
        <v>2377564</v>
      </c>
      <c r="M21" s="3883"/>
      <c r="N21" s="3884"/>
      <c r="O21" s="4124">
        <v>1193761</v>
      </c>
      <c r="P21" s="3883"/>
      <c r="Q21" s="3884"/>
      <c r="R21" s="2528"/>
    </row>
    <row r="22" spans="1:18" ht="16.7" customHeight="1" x14ac:dyDescent="0.2">
      <c r="A22" s="2752">
        <v>14</v>
      </c>
      <c r="B22" s="2512" t="s">
        <v>126</v>
      </c>
      <c r="C22" s="4124">
        <v>55213535</v>
      </c>
      <c r="D22" s="3883"/>
      <c r="E22" s="3884"/>
      <c r="F22" s="4124">
        <v>94624297</v>
      </c>
      <c r="G22" s="3883"/>
      <c r="H22" s="3884"/>
      <c r="I22" s="4124">
        <v>215702533</v>
      </c>
      <c r="J22" s="3883"/>
      <c r="K22" s="3884"/>
      <c r="L22" s="4124">
        <v>130020819</v>
      </c>
      <c r="M22" s="3883"/>
      <c r="N22" s="3884"/>
      <c r="O22" s="4124">
        <v>191625740</v>
      </c>
      <c r="P22" s="3883"/>
      <c r="Q22" s="3884"/>
      <c r="R22" s="2528"/>
    </row>
    <row r="23" spans="1:18" ht="16.7" customHeight="1" x14ac:dyDescent="0.2">
      <c r="A23" s="2752">
        <v>15</v>
      </c>
      <c r="B23" s="2512" t="s">
        <v>779</v>
      </c>
      <c r="C23" s="4124">
        <v>262341330</v>
      </c>
      <c r="D23" s="3883"/>
      <c r="E23" s="3884"/>
      <c r="F23" s="4124">
        <v>463808541</v>
      </c>
      <c r="G23" s="3883"/>
      <c r="H23" s="3884"/>
      <c r="I23" s="4124">
        <v>1136864459</v>
      </c>
      <c r="J23" s="3883"/>
      <c r="K23" s="3884"/>
      <c r="L23" s="4124">
        <v>801159213</v>
      </c>
      <c r="M23" s="3883"/>
      <c r="N23" s="3884"/>
      <c r="O23" s="4124">
        <v>1234028884</v>
      </c>
      <c r="P23" s="3883"/>
      <c r="Q23" s="3884"/>
      <c r="R23" s="2528"/>
    </row>
    <row r="24" spans="1:18" ht="16.7" customHeight="1" x14ac:dyDescent="0.2">
      <c r="A24" s="2752">
        <v>16</v>
      </c>
      <c r="B24" s="2512" t="s">
        <v>780</v>
      </c>
      <c r="C24" s="4124">
        <v>4568241</v>
      </c>
      <c r="D24" s="3883"/>
      <c r="E24" s="3884"/>
      <c r="F24" s="4124">
        <v>4568241</v>
      </c>
      <c r="G24" s="3883"/>
      <c r="H24" s="3884"/>
      <c r="I24" s="4124">
        <v>13704723</v>
      </c>
      <c r="J24" s="3883"/>
      <c r="K24" s="3884"/>
      <c r="L24" s="4124">
        <v>8457784</v>
      </c>
      <c r="M24" s="3883"/>
      <c r="N24" s="3884"/>
      <c r="O24" s="4124">
        <v>72224339</v>
      </c>
      <c r="P24" s="3883"/>
      <c r="Q24" s="3884"/>
      <c r="R24" s="2528"/>
    </row>
    <row r="25" spans="1:18" ht="16.7" customHeight="1" x14ac:dyDescent="0.2">
      <c r="A25" s="2752">
        <v>17</v>
      </c>
      <c r="B25" s="2512" t="s">
        <v>51</v>
      </c>
      <c r="C25" s="4125">
        <f>SUM(C21:E24)</f>
        <v>331803006</v>
      </c>
      <c r="D25" s="4126"/>
      <c r="E25" s="4127"/>
      <c r="F25" s="4125">
        <f>SUM(F21:H24)</f>
        <v>573267288</v>
      </c>
      <c r="G25" s="4126"/>
      <c r="H25" s="4127"/>
      <c r="I25" s="4125">
        <f>SUM(I21:K24)</f>
        <v>1395897724</v>
      </c>
      <c r="J25" s="4126"/>
      <c r="K25" s="4127"/>
      <c r="L25" s="4125">
        <f>SUM(L21:N24)</f>
        <v>942015380</v>
      </c>
      <c r="M25" s="4126"/>
      <c r="N25" s="4127"/>
      <c r="O25" s="4125">
        <f>SUM(O21:Q24)</f>
        <v>1499072724</v>
      </c>
      <c r="P25" s="4126"/>
      <c r="Q25" s="4127"/>
      <c r="R25" s="2528"/>
    </row>
    <row r="26" spans="1:18" ht="15.75" customHeight="1" x14ac:dyDescent="0.2">
      <c r="A26" s="2752">
        <v>18</v>
      </c>
      <c r="B26" s="2512" t="s">
        <v>10254</v>
      </c>
      <c r="C26" s="4130">
        <f>C25/(C13*1000)</f>
        <v>1126.818603545473</v>
      </c>
      <c r="D26" s="4131"/>
      <c r="E26" s="4132"/>
      <c r="F26" s="4130">
        <f>F25/(F13*1000)</f>
        <v>1156.7369963074316</v>
      </c>
      <c r="G26" s="4131"/>
      <c r="H26" s="4132"/>
      <c r="I26" s="4130">
        <f>I25/(I13*1000)</f>
        <v>1118.704999278719</v>
      </c>
      <c r="J26" s="4131"/>
      <c r="K26" s="4132"/>
      <c r="L26" s="4130">
        <f>L25/(L13*1000)</f>
        <v>927.63700640078775</v>
      </c>
      <c r="M26" s="4131"/>
      <c r="N26" s="4132"/>
      <c r="O26" s="4130">
        <f>O25/(O13*1000)</f>
        <v>966.73828652500561</v>
      </c>
      <c r="P26" s="4131"/>
      <c r="Q26" s="4132"/>
      <c r="R26" s="2528"/>
    </row>
    <row r="27" spans="1:18" ht="16.7" customHeight="1" x14ac:dyDescent="0.2">
      <c r="A27" s="2752">
        <v>19</v>
      </c>
      <c r="B27" s="2512" t="s">
        <v>783</v>
      </c>
      <c r="C27" s="4124">
        <v>2582</v>
      </c>
      <c r="D27" s="3883"/>
      <c r="E27" s="3884"/>
      <c r="F27" s="4124">
        <v>4521</v>
      </c>
      <c r="G27" s="3883"/>
      <c r="H27" s="3884"/>
      <c r="I27" s="4124">
        <v>11117</v>
      </c>
      <c r="J27" s="3883"/>
      <c r="K27" s="3884"/>
      <c r="L27" s="4124">
        <v>8174</v>
      </c>
      <c r="M27" s="3883"/>
      <c r="N27" s="3884"/>
      <c r="O27" s="4124">
        <v>14933440</v>
      </c>
      <c r="P27" s="3883"/>
      <c r="Q27" s="3884"/>
      <c r="R27" s="2528"/>
    </row>
    <row r="28" spans="1:18" ht="16.7" customHeight="1" x14ac:dyDescent="0.2">
      <c r="A28" s="2752">
        <v>20</v>
      </c>
      <c r="B28" s="2512" t="s">
        <v>559</v>
      </c>
      <c r="C28" s="4124">
        <v>23962941</v>
      </c>
      <c r="D28" s="3883"/>
      <c r="E28" s="3884"/>
      <c r="F28" s="4124">
        <v>34013126</v>
      </c>
      <c r="G28" s="3883"/>
      <c r="H28" s="3884"/>
      <c r="I28" s="4124">
        <v>100261721</v>
      </c>
      <c r="J28" s="3883"/>
      <c r="K28" s="3884"/>
      <c r="L28" s="4124">
        <v>85562122</v>
      </c>
      <c r="M28" s="3883"/>
      <c r="N28" s="3884"/>
      <c r="O28" s="4140">
        <v>226851425</v>
      </c>
      <c r="P28" s="4141"/>
      <c r="Q28" s="3913"/>
      <c r="R28" s="2528"/>
    </row>
    <row r="29" spans="1:18" ht="16.7" customHeight="1" x14ac:dyDescent="0.2">
      <c r="A29" s="2752">
        <v>21</v>
      </c>
      <c r="B29" s="2512" t="s">
        <v>10255</v>
      </c>
      <c r="C29" s="3989"/>
      <c r="D29" s="3883"/>
      <c r="E29" s="3884"/>
      <c r="F29" s="3989"/>
      <c r="G29" s="3883"/>
      <c r="H29" s="3884"/>
      <c r="I29" s="3989"/>
      <c r="J29" s="3883"/>
      <c r="K29" s="3884"/>
      <c r="L29" s="3989"/>
      <c r="M29" s="3883"/>
      <c r="N29" s="3884"/>
      <c r="O29" s="3989"/>
      <c r="P29" s="3883"/>
      <c r="Q29" s="3884"/>
      <c r="R29" s="2528"/>
    </row>
    <row r="30" spans="1:18" ht="16.7" customHeight="1" x14ac:dyDescent="0.2">
      <c r="A30" s="2752">
        <v>22</v>
      </c>
      <c r="B30" s="2512" t="s">
        <v>10256</v>
      </c>
      <c r="C30" s="4124">
        <v>5305198</v>
      </c>
      <c r="D30" s="3883"/>
      <c r="E30" s="3884"/>
      <c r="F30" s="4124">
        <v>6961162</v>
      </c>
      <c r="G30" s="3883"/>
      <c r="H30" s="3884"/>
      <c r="I30" s="4124">
        <v>19050814</v>
      </c>
      <c r="J30" s="3883"/>
      <c r="K30" s="3884"/>
      <c r="L30" s="4124">
        <v>13101694</v>
      </c>
      <c r="M30" s="3883"/>
      <c r="N30" s="3884"/>
      <c r="O30" s="4124">
        <v>19414188</v>
      </c>
      <c r="P30" s="3883"/>
      <c r="Q30" s="3884"/>
      <c r="R30" s="2528"/>
    </row>
    <row r="31" spans="1:18" ht="16.7" customHeight="1" x14ac:dyDescent="0.2">
      <c r="A31" s="2752">
        <v>23</v>
      </c>
      <c r="B31" s="2512" t="s">
        <v>10257</v>
      </c>
      <c r="C31" s="3989"/>
      <c r="D31" s="3883"/>
      <c r="E31" s="3884"/>
      <c r="F31" s="3989"/>
      <c r="G31" s="3883"/>
      <c r="H31" s="3884"/>
      <c r="I31" s="3989"/>
      <c r="J31" s="3883"/>
      <c r="K31" s="3884"/>
      <c r="L31" s="3989"/>
      <c r="M31" s="3883"/>
      <c r="N31" s="3884"/>
      <c r="O31" s="3989"/>
      <c r="P31" s="3883"/>
      <c r="Q31" s="3884"/>
      <c r="R31" s="2528"/>
    </row>
    <row r="32" spans="1:18" ht="16.7" customHeight="1" x14ac:dyDescent="0.2">
      <c r="A32" s="2752">
        <v>24</v>
      </c>
      <c r="B32" s="2512" t="s">
        <v>10258</v>
      </c>
      <c r="C32" s="3989"/>
      <c r="D32" s="3883"/>
      <c r="E32" s="3884"/>
      <c r="F32" s="3989"/>
      <c r="G32" s="3883"/>
      <c r="H32" s="3884"/>
      <c r="I32" s="3989"/>
      <c r="J32" s="3883"/>
      <c r="K32" s="3884"/>
      <c r="L32" s="3989"/>
      <c r="M32" s="3883"/>
      <c r="N32" s="3884"/>
      <c r="O32" s="3989"/>
      <c r="P32" s="3883"/>
      <c r="Q32" s="3884"/>
      <c r="R32" s="2528"/>
    </row>
    <row r="33" spans="1:18" ht="16.7" customHeight="1" x14ac:dyDescent="0.2">
      <c r="A33" s="2752">
        <v>25</v>
      </c>
      <c r="B33" s="2512" t="s">
        <v>784</v>
      </c>
      <c r="C33" s="4124">
        <v>85654</v>
      </c>
      <c r="D33" s="3883"/>
      <c r="E33" s="3884"/>
      <c r="F33" s="4124">
        <v>-41727</v>
      </c>
      <c r="G33" s="3883"/>
      <c r="H33" s="3884"/>
      <c r="I33" s="4124">
        <v>-40757</v>
      </c>
      <c r="J33" s="3883"/>
      <c r="K33" s="3884"/>
      <c r="L33" s="3989"/>
      <c r="M33" s="3883"/>
      <c r="N33" s="3884"/>
      <c r="O33" s="4124">
        <v>7553</v>
      </c>
      <c r="P33" s="3883"/>
      <c r="Q33" s="3884"/>
      <c r="R33" s="2528"/>
    </row>
    <row r="34" spans="1:18" ht="16.7" customHeight="1" x14ac:dyDescent="0.2">
      <c r="A34" s="2752">
        <v>26</v>
      </c>
      <c r="B34" s="2512" t="s">
        <v>10259</v>
      </c>
      <c r="C34" s="4124">
        <v>-4182632</v>
      </c>
      <c r="D34" s="3883"/>
      <c r="E34" s="3884"/>
      <c r="F34" s="4124">
        <v>3848521</v>
      </c>
      <c r="G34" s="3883"/>
      <c r="H34" s="3884"/>
      <c r="I34" s="4124">
        <v>4605373</v>
      </c>
      <c r="J34" s="3883"/>
      <c r="K34" s="3884"/>
      <c r="L34" s="4124">
        <v>13061988</v>
      </c>
      <c r="M34" s="3883"/>
      <c r="N34" s="3884"/>
      <c r="O34" s="4124">
        <v>-22175858</v>
      </c>
      <c r="P34" s="3883"/>
      <c r="Q34" s="3884"/>
      <c r="R34" s="2528"/>
    </row>
    <row r="35" spans="1:18" ht="16.7" customHeight="1" x14ac:dyDescent="0.2">
      <c r="A35" s="2752">
        <v>27</v>
      </c>
      <c r="B35" s="2512" t="s">
        <v>492</v>
      </c>
      <c r="C35" s="4124">
        <v>186</v>
      </c>
      <c r="D35" s="3883"/>
      <c r="E35" s="3884"/>
      <c r="F35" s="4124">
        <v>325</v>
      </c>
      <c r="G35" s="3883"/>
      <c r="H35" s="3884"/>
      <c r="I35" s="4124">
        <v>800</v>
      </c>
      <c r="J35" s="3883"/>
      <c r="K35" s="3884"/>
      <c r="L35" s="4124">
        <v>2169</v>
      </c>
      <c r="M35" s="3883"/>
      <c r="N35" s="3884"/>
      <c r="O35" s="4124">
        <v>233874</v>
      </c>
      <c r="P35" s="3883"/>
      <c r="Q35" s="3884"/>
      <c r="R35" s="2528"/>
    </row>
    <row r="36" spans="1:18" ht="16.7" customHeight="1" x14ac:dyDescent="0.2">
      <c r="A36" s="2752">
        <v>28</v>
      </c>
      <c r="B36" s="2512" t="s">
        <v>786</v>
      </c>
      <c r="C36" s="3989"/>
      <c r="D36" s="3883"/>
      <c r="E36" s="3884"/>
      <c r="F36" s="3989"/>
      <c r="G36" s="3883"/>
      <c r="H36" s="3884"/>
      <c r="I36" s="3989"/>
      <c r="J36" s="3883"/>
      <c r="K36" s="3884"/>
      <c r="L36" s="3989"/>
      <c r="M36" s="3883"/>
      <c r="N36" s="3884"/>
      <c r="O36" s="3989"/>
      <c r="P36" s="3883"/>
      <c r="Q36" s="3884"/>
      <c r="R36" s="2528"/>
    </row>
    <row r="37" spans="1:18" ht="16.7" customHeight="1" x14ac:dyDescent="0.2">
      <c r="A37" s="2752">
        <v>29</v>
      </c>
      <c r="B37" s="2512" t="s">
        <v>787</v>
      </c>
      <c r="C37" s="4124">
        <v>57763</v>
      </c>
      <c r="D37" s="3883"/>
      <c r="E37" s="3884"/>
      <c r="F37" s="4124">
        <v>101139</v>
      </c>
      <c r="G37" s="3883"/>
      <c r="H37" s="3884"/>
      <c r="I37" s="4124">
        <v>248682</v>
      </c>
      <c r="J37" s="3883"/>
      <c r="K37" s="3884"/>
      <c r="L37" s="4124">
        <v>1399525</v>
      </c>
      <c r="M37" s="3883"/>
      <c r="N37" s="3884"/>
      <c r="O37" s="4124">
        <v>518352</v>
      </c>
      <c r="P37" s="3883"/>
      <c r="Q37" s="3884"/>
      <c r="R37" s="2528"/>
    </row>
    <row r="38" spans="1:18" ht="16.7" customHeight="1" x14ac:dyDescent="0.2">
      <c r="A38" s="2752">
        <v>30</v>
      </c>
      <c r="B38" s="2512" t="s">
        <v>788</v>
      </c>
      <c r="C38" s="4124">
        <v>2475393</v>
      </c>
      <c r="D38" s="3883"/>
      <c r="E38" s="3884"/>
      <c r="F38" s="4124">
        <v>1294265</v>
      </c>
      <c r="G38" s="3883"/>
      <c r="H38" s="3884"/>
      <c r="I38" s="4124">
        <v>4910912</v>
      </c>
      <c r="J38" s="3883"/>
      <c r="K38" s="3884"/>
      <c r="L38" s="4124">
        <v>2934154</v>
      </c>
      <c r="M38" s="3883"/>
      <c r="N38" s="3884"/>
      <c r="O38" s="4124">
        <v>10463442</v>
      </c>
      <c r="P38" s="3883"/>
      <c r="Q38" s="3884"/>
      <c r="R38" s="2528"/>
    </row>
    <row r="39" spans="1:18" ht="16.7" customHeight="1" x14ac:dyDescent="0.2">
      <c r="A39" s="2752">
        <v>31</v>
      </c>
      <c r="B39" s="2512" t="s">
        <v>10260</v>
      </c>
      <c r="C39" s="4124">
        <v>8790583</v>
      </c>
      <c r="D39" s="3883"/>
      <c r="E39" s="3884"/>
      <c r="F39" s="4124">
        <v>5065090</v>
      </c>
      <c r="G39" s="3883"/>
      <c r="H39" s="3884"/>
      <c r="I39" s="4124">
        <v>16618522</v>
      </c>
      <c r="J39" s="3883"/>
      <c r="K39" s="3884"/>
      <c r="L39" s="4124">
        <v>14157825</v>
      </c>
      <c r="M39" s="3883"/>
      <c r="N39" s="3884"/>
      <c r="O39" s="4124">
        <v>21321738</v>
      </c>
      <c r="P39" s="3883"/>
      <c r="Q39" s="3884"/>
      <c r="R39" s="2528"/>
    </row>
    <row r="40" spans="1:18" ht="16.7" customHeight="1" x14ac:dyDescent="0.2">
      <c r="A40" s="2752">
        <v>32</v>
      </c>
      <c r="B40" s="2512" t="s">
        <v>10261</v>
      </c>
      <c r="C40" s="4124">
        <v>2251943</v>
      </c>
      <c r="D40" s="3883"/>
      <c r="E40" s="3884"/>
      <c r="F40" s="4124">
        <v>695791</v>
      </c>
      <c r="G40" s="3883"/>
      <c r="H40" s="3884"/>
      <c r="I40" s="4124">
        <v>4059667</v>
      </c>
      <c r="J40" s="3883"/>
      <c r="K40" s="3884"/>
      <c r="L40" s="4124">
        <v>6488009</v>
      </c>
      <c r="M40" s="3883"/>
      <c r="N40" s="3884"/>
      <c r="O40" s="4124">
        <v>10292174</v>
      </c>
      <c r="P40" s="3883"/>
      <c r="Q40" s="3884"/>
      <c r="R40" s="2528"/>
    </row>
    <row r="41" spans="1:18" ht="16.7" customHeight="1" x14ac:dyDescent="0.2">
      <c r="A41" s="2752">
        <v>33</v>
      </c>
      <c r="B41" s="2512" t="s">
        <v>10262</v>
      </c>
      <c r="C41" s="4124">
        <v>679143</v>
      </c>
      <c r="D41" s="3883"/>
      <c r="E41" s="3884"/>
      <c r="F41" s="4124">
        <v>1220889</v>
      </c>
      <c r="G41" s="3883"/>
      <c r="H41" s="3884"/>
      <c r="I41" s="4124">
        <v>2951743</v>
      </c>
      <c r="J41" s="3883"/>
      <c r="K41" s="3884"/>
      <c r="L41" s="4124">
        <v>880160</v>
      </c>
      <c r="M41" s="3883"/>
      <c r="N41" s="3884"/>
      <c r="O41" s="4124">
        <v>2980400</v>
      </c>
      <c r="P41" s="3883"/>
      <c r="Q41" s="3884"/>
      <c r="R41" s="2528"/>
    </row>
    <row r="42" spans="1:18" ht="16.7" customHeight="1" x14ac:dyDescent="0.2">
      <c r="A42" s="2752">
        <v>34</v>
      </c>
      <c r="B42" s="2512" t="s">
        <v>10263</v>
      </c>
      <c r="C42" s="4125">
        <f>SUM(C27:C41)</f>
        <v>39428754</v>
      </c>
      <c r="D42" s="4126"/>
      <c r="E42" s="4127"/>
      <c r="F42" s="4125">
        <f>SUM(F27:F41)</f>
        <v>53163102</v>
      </c>
      <c r="G42" s="4126"/>
      <c r="H42" s="4127"/>
      <c r="I42" s="4125">
        <f>SUM(I27:I41)</f>
        <v>152678594</v>
      </c>
      <c r="J42" s="4126"/>
      <c r="K42" s="4127"/>
      <c r="L42" s="4125">
        <f>SUM(L27:L41)</f>
        <v>137595820</v>
      </c>
      <c r="M42" s="4126"/>
      <c r="N42" s="4127"/>
      <c r="O42" s="4125">
        <f>SUM(O27:O41)</f>
        <v>284840728</v>
      </c>
      <c r="P42" s="4126"/>
      <c r="Q42" s="4127"/>
      <c r="R42" s="2528"/>
    </row>
    <row r="43" spans="1:18" ht="16.7" customHeight="1" x14ac:dyDescent="0.2">
      <c r="A43" s="2752">
        <v>35</v>
      </c>
      <c r="B43" s="2512" t="s">
        <v>10264</v>
      </c>
      <c r="C43" s="4136">
        <f>C42/C20</f>
        <v>4.9101749561955711E-2</v>
      </c>
      <c r="D43" s="4137"/>
      <c r="E43" s="4138"/>
      <c r="F43" s="4136">
        <f>F42/F20</f>
        <v>4.6933231750650416E-2</v>
      </c>
      <c r="G43" s="4137"/>
      <c r="H43" s="4138"/>
      <c r="I43" s="4136">
        <f>I42/I20</f>
        <v>4.4756324952437906E-2</v>
      </c>
      <c r="J43" s="4137"/>
      <c r="K43" s="4138"/>
      <c r="L43" s="4136">
        <f>L42/L20</f>
        <v>4.0458875214981059E-2</v>
      </c>
      <c r="M43" s="4137"/>
      <c r="N43" s="4138"/>
      <c r="O43" s="4136">
        <f>O42/O20</f>
        <v>4.6883828017574972E-2</v>
      </c>
      <c r="P43" s="4137"/>
      <c r="Q43" s="4138"/>
      <c r="R43" s="2528"/>
    </row>
    <row r="44" spans="1:18" ht="16.7" customHeight="1" x14ac:dyDescent="0.2">
      <c r="A44" s="2752">
        <v>36</v>
      </c>
      <c r="B44" s="2512" t="s">
        <v>10265</v>
      </c>
      <c r="C44" s="2498" t="s">
        <v>10266</v>
      </c>
      <c r="D44" s="3021" t="s">
        <v>10267</v>
      </c>
      <c r="E44" s="2498"/>
      <c r="F44" s="2498" t="s">
        <v>10266</v>
      </c>
      <c r="G44" s="3021" t="s">
        <v>10267</v>
      </c>
      <c r="H44" s="2498"/>
      <c r="I44" s="2498" t="s">
        <v>10266</v>
      </c>
      <c r="J44" s="3021" t="s">
        <v>10267</v>
      </c>
      <c r="K44" s="2498"/>
      <c r="L44" s="2498" t="s">
        <v>10266</v>
      </c>
      <c r="M44" s="3021" t="s">
        <v>10267</v>
      </c>
      <c r="N44" s="2498"/>
      <c r="O44" s="2498" t="s">
        <v>10266</v>
      </c>
      <c r="P44" s="3021" t="s">
        <v>10267</v>
      </c>
      <c r="Q44" s="2498"/>
      <c r="R44" s="2528"/>
    </row>
    <row r="45" spans="1:18" ht="15.75" customHeight="1" x14ac:dyDescent="0.2">
      <c r="A45" s="2752">
        <v>37</v>
      </c>
      <c r="B45" s="2512" t="s">
        <v>10268</v>
      </c>
      <c r="C45" s="2498" t="s">
        <v>5616</v>
      </c>
      <c r="D45" s="2498" t="s">
        <v>10269</v>
      </c>
      <c r="E45" s="2498"/>
      <c r="F45" s="2498" t="s">
        <v>5616</v>
      </c>
      <c r="G45" s="2498" t="s">
        <v>10269</v>
      </c>
      <c r="H45" s="2498"/>
      <c r="I45" s="2498" t="s">
        <v>5616</v>
      </c>
      <c r="J45" s="2498" t="s">
        <v>10269</v>
      </c>
      <c r="K45" s="2498"/>
      <c r="L45" s="2498" t="s">
        <v>5616</v>
      </c>
      <c r="M45" s="2498" t="s">
        <v>10269</v>
      </c>
      <c r="N45" s="2498"/>
      <c r="O45" s="2498" t="s">
        <v>5616</v>
      </c>
      <c r="P45" s="2498" t="s">
        <v>10269</v>
      </c>
      <c r="Q45" s="2498"/>
      <c r="R45" s="2528"/>
    </row>
    <row r="46" spans="1:18" ht="15.75" customHeight="1" x14ac:dyDescent="0.2">
      <c r="A46" s="2752">
        <v>38</v>
      </c>
      <c r="B46" s="2512" t="s">
        <v>10270</v>
      </c>
      <c r="C46" s="2677">
        <v>413783</v>
      </c>
      <c r="D46" s="2677">
        <v>2210</v>
      </c>
      <c r="E46" s="2614"/>
      <c r="F46" s="3022">
        <v>573006</v>
      </c>
      <c r="G46" s="3022">
        <v>12002</v>
      </c>
      <c r="H46" s="2614"/>
      <c r="I46" s="3022">
        <v>1736980</v>
      </c>
      <c r="J46" s="3022">
        <v>16831</v>
      </c>
      <c r="K46" s="2614"/>
      <c r="L46" s="3022">
        <v>1579566</v>
      </c>
      <c r="M46" s="3022">
        <v>4175</v>
      </c>
      <c r="N46" s="2614"/>
      <c r="O46" s="2677">
        <v>3618921</v>
      </c>
      <c r="P46" s="2677">
        <v>13572</v>
      </c>
      <c r="Q46" s="2614"/>
      <c r="R46" s="2528"/>
    </row>
    <row r="47" spans="1:18" ht="15.75" customHeight="1" x14ac:dyDescent="0.2">
      <c r="A47" s="2752">
        <v>39</v>
      </c>
      <c r="B47" s="2512" t="s">
        <v>10271</v>
      </c>
      <c r="C47" s="2677">
        <v>11279</v>
      </c>
      <c r="D47" s="2677">
        <v>138000</v>
      </c>
      <c r="E47" s="2614"/>
      <c r="F47" s="3022">
        <v>11149</v>
      </c>
      <c r="G47" s="3022">
        <v>138000</v>
      </c>
      <c r="H47" s="2614"/>
      <c r="I47" s="3022">
        <v>11237</v>
      </c>
      <c r="J47" s="3022">
        <v>138000</v>
      </c>
      <c r="K47" s="2614"/>
      <c r="L47" s="3022">
        <v>11342</v>
      </c>
      <c r="M47" s="3022">
        <v>138000</v>
      </c>
      <c r="N47" s="2614"/>
      <c r="O47" s="2677">
        <v>9164</v>
      </c>
      <c r="P47" s="2677">
        <v>138000</v>
      </c>
      <c r="Q47" s="2614"/>
      <c r="R47" s="2528"/>
    </row>
    <row r="48" spans="1:18" ht="15.75" customHeight="1" x14ac:dyDescent="0.2">
      <c r="A48" s="2752">
        <v>40</v>
      </c>
      <c r="B48" s="2512" t="s">
        <v>10272</v>
      </c>
      <c r="C48" s="3023">
        <v>0</v>
      </c>
      <c r="D48" s="3023">
        <v>0</v>
      </c>
      <c r="E48" s="2614"/>
      <c r="F48" s="3024">
        <v>0</v>
      </c>
      <c r="G48" s="3024">
        <v>0</v>
      </c>
      <c r="H48" s="2614"/>
      <c r="I48" s="3024">
        <v>60.25</v>
      </c>
      <c r="J48" s="3024">
        <v>141.94300000000001</v>
      </c>
      <c r="K48" s="2614"/>
      <c r="L48" s="3024">
        <v>52.21</v>
      </c>
      <c r="M48" s="3024">
        <v>140.40799999999999</v>
      </c>
      <c r="N48" s="2614"/>
      <c r="O48" s="3023">
        <v>51.44</v>
      </c>
      <c r="P48" s="3023">
        <v>138.97200000000001</v>
      </c>
      <c r="Q48" s="2614"/>
      <c r="R48" s="2528"/>
    </row>
    <row r="49" spans="1:18" ht="15.75" customHeight="1" x14ac:dyDescent="0.2">
      <c r="A49" s="2752">
        <v>41</v>
      </c>
      <c r="B49" s="2512" t="s">
        <v>10273</v>
      </c>
      <c r="C49" s="3023">
        <v>57.173000000000002</v>
      </c>
      <c r="D49" s="3023">
        <v>0</v>
      </c>
      <c r="E49" s="2614"/>
      <c r="F49" s="3024">
        <v>56.360999999999997</v>
      </c>
      <c r="G49" s="3024">
        <v>0</v>
      </c>
      <c r="H49" s="2614"/>
      <c r="I49" s="3024">
        <v>56.345999999999997</v>
      </c>
      <c r="J49" s="3024">
        <v>141.94300000000001</v>
      </c>
      <c r="K49" s="2614"/>
      <c r="L49" s="3024">
        <v>53.796999999999997</v>
      </c>
      <c r="M49" s="3024">
        <v>140.40799999999999</v>
      </c>
      <c r="N49" s="2614"/>
      <c r="O49" s="3023">
        <v>62.12</v>
      </c>
      <c r="P49" s="3023">
        <v>138.97200000000001</v>
      </c>
      <c r="Q49" s="2614"/>
      <c r="R49" s="2528"/>
    </row>
    <row r="50" spans="1:18" ht="15.75" customHeight="1" x14ac:dyDescent="0.2">
      <c r="A50" s="2752">
        <v>42</v>
      </c>
      <c r="B50" s="2512" t="s">
        <v>10274</v>
      </c>
      <c r="C50" s="3023">
        <v>2.5350000000000001</v>
      </c>
      <c r="D50" s="3023">
        <v>23.876999999999999</v>
      </c>
      <c r="E50" s="2614"/>
      <c r="F50" s="3024">
        <v>2.528</v>
      </c>
      <c r="G50" s="3024">
        <v>24.693000000000001</v>
      </c>
      <c r="H50" s="2614"/>
      <c r="I50" s="3024">
        <v>2.5070000000000001</v>
      </c>
      <c r="J50" s="3024">
        <v>24.49</v>
      </c>
      <c r="K50" s="2614"/>
      <c r="L50" s="3024">
        <v>2.3719999999999999</v>
      </c>
      <c r="M50" s="3024">
        <v>24.225000000000001</v>
      </c>
      <c r="N50" s="2614"/>
      <c r="O50" s="3023">
        <v>3.3889999999999998</v>
      </c>
      <c r="P50" s="3023">
        <v>23.977</v>
      </c>
      <c r="Q50" s="2614"/>
      <c r="R50" s="2528"/>
    </row>
    <row r="51" spans="1:18" ht="15.75" customHeight="1" x14ac:dyDescent="0.2">
      <c r="A51" s="2752">
        <v>43</v>
      </c>
      <c r="B51" s="2512" t="s">
        <v>10275</v>
      </c>
      <c r="C51" s="3023">
        <v>2.9000000000000001E-2</v>
      </c>
      <c r="D51" s="3023">
        <v>0</v>
      </c>
      <c r="E51" s="2614"/>
      <c r="F51" s="3024">
        <v>2.9000000000000001E-2</v>
      </c>
      <c r="G51" s="3024">
        <v>2E-3</v>
      </c>
      <c r="H51" s="2614"/>
      <c r="I51" s="3024">
        <v>2.9000000000000001E-2</v>
      </c>
      <c r="J51" s="3024">
        <v>1E-3</v>
      </c>
      <c r="K51" s="2614"/>
      <c r="L51" s="3024">
        <v>2.5000000000000001E-2</v>
      </c>
      <c r="M51" s="3024">
        <v>0</v>
      </c>
      <c r="N51" s="2614"/>
      <c r="O51" s="3023">
        <v>3.6999999999999998E-2</v>
      </c>
      <c r="P51" s="3023">
        <v>0</v>
      </c>
      <c r="Q51" s="2614"/>
      <c r="R51" s="2528"/>
    </row>
    <row r="52" spans="1:18" ht="15.75" customHeight="1" x14ac:dyDescent="0.2">
      <c r="A52" s="2752">
        <v>44</v>
      </c>
      <c r="B52" s="2512" t="s">
        <v>10276</v>
      </c>
      <c r="C52" s="3023">
        <v>11623.745999999999</v>
      </c>
      <c r="D52" s="3023">
        <v>15.95</v>
      </c>
      <c r="E52" s="2614"/>
      <c r="F52" s="3024">
        <v>11280.138999999999</v>
      </c>
      <c r="G52" s="3024">
        <v>61.41</v>
      </c>
      <c r="H52" s="2614"/>
      <c r="I52" s="3024">
        <v>11443.795</v>
      </c>
      <c r="J52" s="3024">
        <v>28.596</v>
      </c>
      <c r="K52" s="2614"/>
      <c r="L52" s="3024">
        <v>10535.555</v>
      </c>
      <c r="M52" s="3024">
        <v>7.1159999999999997</v>
      </c>
      <c r="N52" s="2614"/>
      <c r="O52" s="3023">
        <v>10916.864</v>
      </c>
      <c r="P52" s="3023">
        <v>12.946999999999999</v>
      </c>
      <c r="Q52" s="2614"/>
      <c r="R52" s="2528"/>
    </row>
    <row r="53" spans="1:18" ht="16.7" customHeight="1" x14ac:dyDescent="0.2">
      <c r="A53" s="2516"/>
      <c r="B53" s="2516"/>
      <c r="C53" s="2901"/>
      <c r="D53" s="2901"/>
      <c r="E53" s="2901"/>
      <c r="F53" s="2901"/>
      <c r="G53" s="2901"/>
      <c r="H53" s="2901"/>
      <c r="I53" s="2901"/>
      <c r="J53" s="2901"/>
      <c r="K53" s="2901"/>
      <c r="L53" s="2901"/>
      <c r="M53" s="2901"/>
      <c r="N53" s="2901"/>
      <c r="O53" s="2901"/>
      <c r="P53" s="2516"/>
      <c r="Q53" s="2516"/>
    </row>
    <row r="54" spans="1:18" ht="16.7" customHeight="1" x14ac:dyDescent="0.2"/>
    <row r="55" spans="1:18" ht="16.7" customHeight="1" x14ac:dyDescent="0.2"/>
    <row r="56" spans="1:18" ht="16.7" customHeight="1" x14ac:dyDescent="0.2"/>
    <row r="57" spans="1:18" ht="16.7" customHeight="1" x14ac:dyDescent="0.2"/>
    <row r="58" spans="1:18" ht="16.7" customHeight="1" x14ac:dyDescent="0.2"/>
    <row r="59" spans="1:18" ht="16.7" customHeight="1" x14ac:dyDescent="0.2"/>
    <row r="60" spans="1:18" ht="16.7" customHeight="1" x14ac:dyDescent="0.2"/>
    <row r="61" spans="1:18" ht="16.7" customHeight="1" x14ac:dyDescent="0.2"/>
    <row r="62" spans="1:18" ht="16.7" customHeight="1" x14ac:dyDescent="0.2"/>
    <row r="63" spans="1:18" ht="16.7" customHeight="1" x14ac:dyDescent="0.2"/>
    <row r="64" spans="1:18" ht="16.7" customHeight="1" x14ac:dyDescent="0.2"/>
    <row r="65" ht="16.7" customHeight="1" x14ac:dyDescent="0.2"/>
    <row r="66" ht="16.7" customHeight="1" x14ac:dyDescent="0.2"/>
    <row r="67" ht="16.7" customHeight="1" x14ac:dyDescent="0.2"/>
    <row r="68" ht="16.7" customHeight="1" x14ac:dyDescent="0.2"/>
    <row r="69" ht="16.7" customHeight="1" x14ac:dyDescent="0.2"/>
    <row r="70" ht="16.7" customHeight="1" x14ac:dyDescent="0.2"/>
    <row r="71" ht="16.7" customHeight="1" x14ac:dyDescent="0.2"/>
    <row r="72" ht="16.7" customHeight="1" x14ac:dyDescent="0.2"/>
    <row r="73" ht="16.7" customHeight="1" x14ac:dyDescent="0.2"/>
    <row r="74" ht="16.7" customHeight="1" x14ac:dyDescent="0.2"/>
    <row r="75" ht="16.7" customHeight="1" x14ac:dyDescent="0.2"/>
    <row r="76" ht="16.7" customHeight="1" x14ac:dyDescent="0.2"/>
    <row r="77" ht="16.7" customHeight="1" x14ac:dyDescent="0.2"/>
    <row r="78" ht="16.7" customHeight="1" x14ac:dyDescent="0.2"/>
    <row r="79" ht="16.7" customHeight="1" x14ac:dyDescent="0.2"/>
    <row r="80" ht="16.7" customHeight="1" x14ac:dyDescent="0.2"/>
    <row r="81" ht="16.7" customHeight="1" x14ac:dyDescent="0.2"/>
    <row r="82" ht="16.7" customHeight="1" x14ac:dyDescent="0.2"/>
    <row r="83" ht="16.7" customHeight="1" x14ac:dyDescent="0.2"/>
    <row r="84" ht="16.7" customHeight="1" x14ac:dyDescent="0.2"/>
    <row r="85" ht="16.7" customHeight="1" x14ac:dyDescent="0.2"/>
    <row r="86" ht="16.7" customHeight="1" x14ac:dyDescent="0.2"/>
    <row r="87" ht="16.7" customHeight="1" x14ac:dyDescent="0.2"/>
    <row r="88" ht="16.7" customHeight="1" x14ac:dyDescent="0.2"/>
    <row r="89" ht="16.7" customHeight="1" x14ac:dyDescent="0.2"/>
    <row r="90" ht="16.7" customHeight="1" x14ac:dyDescent="0.2"/>
    <row r="91" ht="16.7" customHeight="1" x14ac:dyDescent="0.2"/>
    <row r="92" ht="16.7" customHeight="1" x14ac:dyDescent="0.2"/>
    <row r="93" ht="16.7" customHeight="1" x14ac:dyDescent="0.2"/>
    <row r="94" ht="16.7" customHeight="1" x14ac:dyDescent="0.2"/>
    <row r="95" ht="16.7" customHeight="1" x14ac:dyDescent="0.2"/>
    <row r="96" ht="16.7" customHeight="1" x14ac:dyDescent="0.2"/>
    <row r="97" ht="16.7" customHeight="1" x14ac:dyDescent="0.2"/>
    <row r="98" ht="16.7" customHeight="1" x14ac:dyDescent="0.2"/>
    <row r="99" ht="16.7" customHeight="1" x14ac:dyDescent="0.2"/>
    <row r="100" ht="16.7" customHeight="1" x14ac:dyDescent="0.2"/>
    <row r="101" ht="16.7" customHeight="1" x14ac:dyDescent="0.2"/>
    <row r="102" ht="16.7" customHeight="1" x14ac:dyDescent="0.2"/>
    <row r="103" ht="16.7" customHeight="1" x14ac:dyDescent="0.2"/>
    <row r="104" ht="16.7" customHeight="1" x14ac:dyDescent="0.2"/>
  </sheetData>
  <mergeCells count="196">
    <mergeCell ref="C42:E42"/>
    <mergeCell ref="F42:H42"/>
    <mergeCell ref="I42:K42"/>
    <mergeCell ref="L42:N42"/>
    <mergeCell ref="O42:Q42"/>
    <mergeCell ref="C43:E43"/>
    <mergeCell ref="F43:H43"/>
    <mergeCell ref="I43:K43"/>
    <mergeCell ref="L43:N43"/>
    <mergeCell ref="O43:Q43"/>
    <mergeCell ref="C40:E40"/>
    <mergeCell ref="F40:H40"/>
    <mergeCell ref="I40:K40"/>
    <mergeCell ref="L40:N40"/>
    <mergeCell ref="O40:Q40"/>
    <mergeCell ref="C41:E41"/>
    <mergeCell ref="F41:H41"/>
    <mergeCell ref="I41:K41"/>
    <mergeCell ref="L41:N41"/>
    <mergeCell ref="O41:Q41"/>
    <mergeCell ref="C38:E38"/>
    <mergeCell ref="F38:H38"/>
    <mergeCell ref="I38:K38"/>
    <mergeCell ref="L38:N38"/>
    <mergeCell ref="O38:Q38"/>
    <mergeCell ref="C39:E39"/>
    <mergeCell ref="F39:H39"/>
    <mergeCell ref="I39:K39"/>
    <mergeCell ref="L39:N39"/>
    <mergeCell ref="O39:Q39"/>
    <mergeCell ref="C36:E36"/>
    <mergeCell ref="F36:H36"/>
    <mergeCell ref="I36:K36"/>
    <mergeCell ref="L36:N36"/>
    <mergeCell ref="O36:Q36"/>
    <mergeCell ref="C37:E37"/>
    <mergeCell ref="F37:H37"/>
    <mergeCell ref="I37:K37"/>
    <mergeCell ref="L37:N37"/>
    <mergeCell ref="O37:Q37"/>
    <mergeCell ref="C34:E34"/>
    <mergeCell ref="F34:H34"/>
    <mergeCell ref="I34:K34"/>
    <mergeCell ref="L34:N34"/>
    <mergeCell ref="O34:Q34"/>
    <mergeCell ref="C35:E35"/>
    <mergeCell ref="F35:H35"/>
    <mergeCell ref="I35:K35"/>
    <mergeCell ref="L35:N35"/>
    <mergeCell ref="O35:Q35"/>
    <mergeCell ref="C32:E32"/>
    <mergeCell ref="F32:H32"/>
    <mergeCell ref="I32:K32"/>
    <mergeCell ref="L32:N32"/>
    <mergeCell ref="O32:Q32"/>
    <mergeCell ref="C33:E33"/>
    <mergeCell ref="F33:H33"/>
    <mergeCell ref="I33:K33"/>
    <mergeCell ref="L33:N33"/>
    <mergeCell ref="O33:Q33"/>
    <mergeCell ref="C30:E30"/>
    <mergeCell ref="F30:H30"/>
    <mergeCell ref="I30:K30"/>
    <mergeCell ref="L30:N30"/>
    <mergeCell ref="O30:Q30"/>
    <mergeCell ref="C31:E31"/>
    <mergeCell ref="F31:H31"/>
    <mergeCell ref="I31:K31"/>
    <mergeCell ref="L31:N31"/>
    <mergeCell ref="O31:Q31"/>
    <mergeCell ref="C28:E28"/>
    <mergeCell ref="F28:H28"/>
    <mergeCell ref="I28:K28"/>
    <mergeCell ref="L28:N28"/>
    <mergeCell ref="O28:Q28"/>
    <mergeCell ref="C29:E29"/>
    <mergeCell ref="F29:H29"/>
    <mergeCell ref="I29:K29"/>
    <mergeCell ref="L29:N29"/>
    <mergeCell ref="O29:Q29"/>
    <mergeCell ref="C26:E26"/>
    <mergeCell ref="F26:H26"/>
    <mergeCell ref="I26:K26"/>
    <mergeCell ref="L26:N26"/>
    <mergeCell ref="O26:Q26"/>
    <mergeCell ref="C27:E27"/>
    <mergeCell ref="F27:H27"/>
    <mergeCell ref="I27:K27"/>
    <mergeCell ref="L27:N27"/>
    <mergeCell ref="O27:Q27"/>
    <mergeCell ref="C24:E24"/>
    <mergeCell ref="F24:H24"/>
    <mergeCell ref="I24:K24"/>
    <mergeCell ref="L24:N24"/>
    <mergeCell ref="O24:Q24"/>
    <mergeCell ref="C25:E25"/>
    <mergeCell ref="F25:H25"/>
    <mergeCell ref="I25:K25"/>
    <mergeCell ref="L25:N25"/>
    <mergeCell ref="O25:Q25"/>
    <mergeCell ref="C22:E22"/>
    <mergeCell ref="F22:H22"/>
    <mergeCell ref="I22:K22"/>
    <mergeCell ref="L22:N22"/>
    <mergeCell ref="O22:Q22"/>
    <mergeCell ref="C23:E23"/>
    <mergeCell ref="F23:H23"/>
    <mergeCell ref="I23:K23"/>
    <mergeCell ref="L23:N23"/>
    <mergeCell ref="O23:Q23"/>
    <mergeCell ref="C20:E20"/>
    <mergeCell ref="F20:H20"/>
    <mergeCell ref="I20:K20"/>
    <mergeCell ref="L20:N20"/>
    <mergeCell ref="O20:Q20"/>
    <mergeCell ref="C21:E21"/>
    <mergeCell ref="F21:H21"/>
    <mergeCell ref="I21:K21"/>
    <mergeCell ref="L21:N21"/>
    <mergeCell ref="O21:Q21"/>
    <mergeCell ref="C18:E18"/>
    <mergeCell ref="F18:H18"/>
    <mergeCell ref="I18:K18"/>
    <mergeCell ref="L18:N18"/>
    <mergeCell ref="O18:Q18"/>
    <mergeCell ref="C19:E19"/>
    <mergeCell ref="F19:H19"/>
    <mergeCell ref="I19:K19"/>
    <mergeCell ref="L19:N19"/>
    <mergeCell ref="O19:Q19"/>
    <mergeCell ref="C16:E16"/>
    <mergeCell ref="F16:H16"/>
    <mergeCell ref="I16:K16"/>
    <mergeCell ref="L16:N16"/>
    <mergeCell ref="O16:Q16"/>
    <mergeCell ref="C17:E17"/>
    <mergeCell ref="F17:H17"/>
    <mergeCell ref="I17:K17"/>
    <mergeCell ref="L17:N17"/>
    <mergeCell ref="O17:Q17"/>
    <mergeCell ref="C14:E14"/>
    <mergeCell ref="F14:H14"/>
    <mergeCell ref="I14:K14"/>
    <mergeCell ref="L14:N14"/>
    <mergeCell ref="O14:Q14"/>
    <mergeCell ref="C15:E15"/>
    <mergeCell ref="F15:H15"/>
    <mergeCell ref="I15:K15"/>
    <mergeCell ref="L15:N15"/>
    <mergeCell ref="O15:Q15"/>
    <mergeCell ref="C12:E12"/>
    <mergeCell ref="F12:H12"/>
    <mergeCell ref="I12:K12"/>
    <mergeCell ref="L12:N12"/>
    <mergeCell ref="O12:Q12"/>
    <mergeCell ref="C13:E13"/>
    <mergeCell ref="F13:H13"/>
    <mergeCell ref="I13:K13"/>
    <mergeCell ref="L13:N13"/>
    <mergeCell ref="O13:Q13"/>
    <mergeCell ref="C10:E10"/>
    <mergeCell ref="F10:H10"/>
    <mergeCell ref="I10:K10"/>
    <mergeCell ref="L10:N10"/>
    <mergeCell ref="O10:Q10"/>
    <mergeCell ref="C11:E11"/>
    <mergeCell ref="F11:H11"/>
    <mergeCell ref="I11:K11"/>
    <mergeCell ref="L11:N11"/>
    <mergeCell ref="O11:Q11"/>
    <mergeCell ref="C8:E8"/>
    <mergeCell ref="F8:H8"/>
    <mergeCell ref="I8:K8"/>
    <mergeCell ref="L8:N8"/>
    <mergeCell ref="O8:Q8"/>
    <mergeCell ref="C9:E9"/>
    <mergeCell ref="F9:H9"/>
    <mergeCell ref="I9:K9"/>
    <mergeCell ref="L9:N9"/>
    <mergeCell ref="O9:Q9"/>
    <mergeCell ref="P6:Q6"/>
    <mergeCell ref="C7:E7"/>
    <mergeCell ref="F7:H7"/>
    <mergeCell ref="I7:K7"/>
    <mergeCell ref="L7:N7"/>
    <mergeCell ref="O7:Q7"/>
    <mergeCell ref="D1:M1"/>
    <mergeCell ref="A3:E3"/>
    <mergeCell ref="F3:Q3"/>
    <mergeCell ref="A4:Q4"/>
    <mergeCell ref="A5:Q5"/>
    <mergeCell ref="A6:A7"/>
    <mergeCell ref="D6:E6"/>
    <mergeCell ref="G6:H6"/>
    <mergeCell ref="J6:K6"/>
    <mergeCell ref="M6:N6"/>
  </mergeCells>
  <pageMargins left="0.75" right="0.75" top="1" bottom="1" header="0.5" footer="0.5"/>
  <customProperties>
    <customPr name="_pios_id" r:id="rId1"/>
  </customProperties>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D72B23-8F94-4564-9823-F98B074BAEF0}">
  <sheetPr codeName="Sheet94"/>
  <dimension ref="A1:R104"/>
  <sheetViews>
    <sheetView workbookViewId="0">
      <pane xSplit="2" ySplit="8" topLeftCell="C9" activePane="bottomRight" state="frozen"/>
      <selection pane="topRight"/>
      <selection pane="bottomLeft"/>
      <selection pane="bottomRight"/>
    </sheetView>
  </sheetViews>
  <sheetFormatPr defaultColWidth="11.5" defaultRowHeight="12.75" x14ac:dyDescent="0.2"/>
  <cols>
    <col min="1" max="1" width="3.875" style="1953" customWidth="1"/>
    <col min="2" max="2" width="41.75" style="1953" customWidth="1"/>
    <col min="3" max="11" width="9.25" style="1953" customWidth="1"/>
    <col min="12" max="12" width="10.125" style="1953" customWidth="1"/>
    <col min="13" max="17" width="9.25" style="1953" customWidth="1"/>
    <col min="18" max="16384" width="11.5" style="1953"/>
  </cols>
  <sheetData>
    <row r="1" spans="1:18" ht="16.7" customHeight="1" x14ac:dyDescent="0.2">
      <c r="B1" s="2744" t="s">
        <v>7058</v>
      </c>
      <c r="C1" s="2585"/>
      <c r="D1" s="4098" t="s">
        <v>10284</v>
      </c>
      <c r="E1" s="4099"/>
      <c r="F1" s="4099"/>
      <c r="G1" s="4099"/>
      <c r="H1" s="4099"/>
      <c r="I1" s="4099"/>
      <c r="J1" s="4099"/>
      <c r="K1" s="4099"/>
      <c r="L1" s="4099"/>
      <c r="M1" s="4100"/>
      <c r="N1" s="2479"/>
    </row>
    <row r="2" spans="1:18" ht="16.7" customHeight="1" x14ac:dyDescent="0.2">
      <c r="B2" s="2483"/>
      <c r="D2" s="2483"/>
      <c r="E2" s="2483"/>
      <c r="F2" s="2483"/>
      <c r="G2" s="2483"/>
      <c r="H2" s="2483"/>
      <c r="I2" s="2483"/>
      <c r="J2" s="2483"/>
      <c r="K2" s="2483"/>
      <c r="L2" s="2483"/>
      <c r="M2" s="2483"/>
    </row>
    <row r="3" spans="1:18" ht="16.7" customHeight="1" x14ac:dyDescent="0.2">
      <c r="A3" s="3990" t="s">
        <v>10222</v>
      </c>
      <c r="B3" s="3991"/>
      <c r="C3" s="3975"/>
      <c r="D3" s="3975"/>
      <c r="E3" s="3975"/>
      <c r="F3" s="3975"/>
      <c r="G3" s="3975"/>
      <c r="H3" s="3975"/>
      <c r="I3" s="3975"/>
      <c r="J3" s="3975"/>
      <c r="K3" s="3975"/>
      <c r="L3" s="3975"/>
      <c r="M3" s="3975" t="s">
        <v>10222</v>
      </c>
      <c r="N3" s="3975"/>
      <c r="O3" s="3975"/>
      <c r="P3" s="3975"/>
      <c r="Q3" s="3976"/>
      <c r="R3" s="2528"/>
    </row>
    <row r="4" spans="1:18" ht="76.7" customHeight="1" x14ac:dyDescent="0.2">
      <c r="A4" s="3878" t="s">
        <v>10223</v>
      </c>
      <c r="B4" s="3879"/>
      <c r="C4" s="3879"/>
      <c r="D4" s="3879"/>
      <c r="E4" s="3879"/>
      <c r="F4" s="3879"/>
      <c r="G4" s="3879"/>
      <c r="H4" s="3879"/>
      <c r="I4" s="3879"/>
      <c r="J4" s="3879"/>
      <c r="K4" s="3879"/>
      <c r="L4" s="3879"/>
      <c r="M4" s="3879"/>
      <c r="N4" s="3879"/>
      <c r="O4" s="3879"/>
      <c r="P4" s="3879"/>
      <c r="Q4" s="3880"/>
      <c r="R4" s="2528"/>
    </row>
    <row r="5" spans="1:18" ht="15.75" customHeight="1" x14ac:dyDescent="0.2">
      <c r="A5" s="3882" t="s">
        <v>10285</v>
      </c>
      <c r="B5" s="3891"/>
      <c r="C5" s="3891"/>
      <c r="D5" s="3891"/>
      <c r="E5" s="3891"/>
      <c r="F5" s="3891"/>
      <c r="G5" s="3891"/>
      <c r="H5" s="3891"/>
      <c r="I5" s="3891"/>
      <c r="J5" s="3891"/>
      <c r="K5" s="3891"/>
      <c r="L5" s="3891"/>
      <c r="M5" s="3891"/>
      <c r="N5" s="3891"/>
      <c r="O5" s="3891"/>
      <c r="P5" s="3891"/>
      <c r="Q5" s="3892"/>
      <c r="R5" s="2528"/>
    </row>
    <row r="6" spans="1:18" ht="27.6" customHeight="1" x14ac:dyDescent="0.2">
      <c r="A6" s="3963" t="s">
        <v>6360</v>
      </c>
      <c r="B6" s="2637" t="s">
        <v>6467</v>
      </c>
      <c r="C6" s="3019" t="s">
        <v>10231</v>
      </c>
      <c r="D6" s="4101" t="s">
        <v>10286</v>
      </c>
      <c r="E6" s="4102"/>
      <c r="F6" s="3020" t="s">
        <v>10231</v>
      </c>
      <c r="G6" s="4103" t="s">
        <v>10287</v>
      </c>
      <c r="H6" s="4104"/>
      <c r="I6" s="3020" t="s">
        <v>10231</v>
      </c>
      <c r="J6" s="4103" t="s">
        <v>10288</v>
      </c>
      <c r="K6" s="4104"/>
      <c r="L6" s="3020" t="s">
        <v>10231</v>
      </c>
      <c r="M6" s="4103" t="s">
        <v>10289</v>
      </c>
      <c r="N6" s="4104"/>
      <c r="O6" s="3019" t="s">
        <v>10231</v>
      </c>
      <c r="P6" s="4101" t="s">
        <v>10290</v>
      </c>
      <c r="Q6" s="4102"/>
      <c r="R6" s="2528"/>
    </row>
    <row r="7" spans="1:18" ht="16.7" customHeight="1" x14ac:dyDescent="0.2">
      <c r="A7" s="3899"/>
      <c r="B7" s="2589" t="s">
        <v>5949</v>
      </c>
      <c r="C7" s="4105" t="s">
        <v>5950</v>
      </c>
      <c r="D7" s="3911"/>
      <c r="E7" s="3911"/>
      <c r="F7" s="4106" t="s">
        <v>5951</v>
      </c>
      <c r="G7" s="4107"/>
      <c r="H7" s="4108"/>
      <c r="I7" s="4106" t="s">
        <v>5952</v>
      </c>
      <c r="J7" s="4107"/>
      <c r="K7" s="4108"/>
      <c r="L7" s="4106" t="s">
        <v>6227</v>
      </c>
      <c r="M7" s="4107"/>
      <c r="N7" s="4108"/>
      <c r="O7" s="4105" t="s">
        <v>5804</v>
      </c>
      <c r="P7" s="3911"/>
      <c r="Q7" s="3911"/>
      <c r="R7" s="2528"/>
    </row>
    <row r="8" spans="1:18" ht="16.7" customHeight="1" x14ac:dyDescent="0.2">
      <c r="A8" s="2771" t="s">
        <v>904</v>
      </c>
      <c r="B8" s="2488" t="s">
        <v>766</v>
      </c>
      <c r="C8" s="4112" t="str">
        <f>D6</f>
        <v>Naughton</v>
      </c>
      <c r="D8" s="4113"/>
      <c r="E8" s="4114"/>
      <c r="F8" s="4109" t="str">
        <f>G6</f>
        <v>Wyodak</v>
      </c>
      <c r="G8" s="4110"/>
      <c r="H8" s="4111"/>
      <c r="I8" s="4112" t="str">
        <f>J6</f>
        <v>Gadsby Steam</v>
      </c>
      <c r="J8" s="4113"/>
      <c r="K8" s="4114"/>
      <c r="L8" s="4109" t="str">
        <f>M6</f>
        <v>Hermiston</v>
      </c>
      <c r="M8" s="4110"/>
      <c r="N8" s="4111"/>
      <c r="O8" s="4109" t="str">
        <f>P6</f>
        <v>Blundell</v>
      </c>
      <c r="P8" s="4110"/>
      <c r="Q8" s="4111"/>
      <c r="R8" s="2528"/>
    </row>
    <row r="9" spans="1:18" ht="15.75" customHeight="1" x14ac:dyDescent="0.2">
      <c r="A9" s="2677">
        <v>1</v>
      </c>
      <c r="B9" s="2512" t="s">
        <v>10233</v>
      </c>
      <c r="C9" s="3882" t="s">
        <v>669</v>
      </c>
      <c r="D9" s="3891"/>
      <c r="E9" s="3892"/>
      <c r="F9" s="3882" t="s">
        <v>669</v>
      </c>
      <c r="G9" s="3891"/>
      <c r="H9" s="3892"/>
      <c r="I9" s="3882" t="s">
        <v>669</v>
      </c>
      <c r="J9" s="3891"/>
      <c r="K9" s="3892"/>
      <c r="L9" s="3882" t="s">
        <v>10291</v>
      </c>
      <c r="M9" s="3891"/>
      <c r="N9" s="3892"/>
      <c r="O9" s="3882" t="s">
        <v>10292</v>
      </c>
      <c r="P9" s="3891"/>
      <c r="Q9" s="3892"/>
      <c r="R9" s="2528"/>
    </row>
    <row r="10" spans="1:18" ht="16.7" customHeight="1" x14ac:dyDescent="0.2">
      <c r="A10" s="2677">
        <v>2</v>
      </c>
      <c r="B10" s="2512" t="s">
        <v>10234</v>
      </c>
      <c r="C10" s="3882" t="s">
        <v>10236</v>
      </c>
      <c r="D10" s="3891"/>
      <c r="E10" s="3892"/>
      <c r="F10" s="3882" t="s">
        <v>10235</v>
      </c>
      <c r="G10" s="3891"/>
      <c r="H10" s="3892"/>
      <c r="I10" s="3882" t="s">
        <v>10293</v>
      </c>
      <c r="J10" s="3891"/>
      <c r="K10" s="3892"/>
      <c r="L10" s="3882" t="s">
        <v>10293</v>
      </c>
      <c r="M10" s="3891"/>
      <c r="N10" s="3892"/>
      <c r="O10" s="3882" t="s">
        <v>10294</v>
      </c>
      <c r="P10" s="3891"/>
      <c r="Q10" s="3892"/>
      <c r="R10" s="2528"/>
    </row>
    <row r="11" spans="1:18" ht="16.7" customHeight="1" x14ac:dyDescent="0.2">
      <c r="A11" s="2677">
        <v>3</v>
      </c>
      <c r="B11" s="2512" t="s">
        <v>770</v>
      </c>
      <c r="C11" s="4139" t="s">
        <v>10295</v>
      </c>
      <c r="D11" s="3891"/>
      <c r="E11" s="3892"/>
      <c r="F11" s="4139" t="s">
        <v>10242</v>
      </c>
      <c r="G11" s="3891"/>
      <c r="H11" s="3892"/>
      <c r="I11" s="4139" t="s">
        <v>10296</v>
      </c>
      <c r="J11" s="3891"/>
      <c r="K11" s="3892"/>
      <c r="L11" s="4139" t="s">
        <v>10297</v>
      </c>
      <c r="M11" s="3891"/>
      <c r="N11" s="3892"/>
      <c r="O11" s="4139" t="s">
        <v>10238</v>
      </c>
      <c r="P11" s="3891"/>
      <c r="Q11" s="3892"/>
      <c r="R11" s="2528"/>
    </row>
    <row r="12" spans="1:18" ht="16.7" customHeight="1" x14ac:dyDescent="0.2">
      <c r="A12" s="2752">
        <v>4</v>
      </c>
      <c r="B12" s="2512" t="s">
        <v>771</v>
      </c>
      <c r="C12" s="4139" t="s">
        <v>10298</v>
      </c>
      <c r="D12" s="3891"/>
      <c r="E12" s="3892"/>
      <c r="F12" s="4139" t="s">
        <v>10242</v>
      </c>
      <c r="G12" s="3891"/>
      <c r="H12" s="3892"/>
      <c r="I12" s="4139" t="s">
        <v>10299</v>
      </c>
      <c r="J12" s="3891"/>
      <c r="K12" s="3892"/>
      <c r="L12" s="4139" t="s">
        <v>10297</v>
      </c>
      <c r="M12" s="3891"/>
      <c r="N12" s="3892"/>
      <c r="O12" s="4139" t="s">
        <v>10300</v>
      </c>
      <c r="P12" s="3891"/>
      <c r="Q12" s="3892"/>
      <c r="R12" s="2528"/>
    </row>
    <row r="13" spans="1:18" ht="15.75" customHeight="1" x14ac:dyDescent="0.2">
      <c r="A13" s="2752">
        <v>5</v>
      </c>
      <c r="B13" s="2512" t="s">
        <v>10247</v>
      </c>
      <c r="C13" s="4116">
        <v>707.2</v>
      </c>
      <c r="D13" s="3860"/>
      <c r="E13" s="3860"/>
      <c r="F13" s="4116">
        <v>289.66000000000003</v>
      </c>
      <c r="G13" s="3860"/>
      <c r="H13" s="3860"/>
      <c r="I13" s="4116">
        <v>251.64</v>
      </c>
      <c r="J13" s="3860"/>
      <c r="K13" s="3860"/>
      <c r="L13" s="4116">
        <v>279.56</v>
      </c>
      <c r="M13" s="3860"/>
      <c r="N13" s="3860"/>
      <c r="O13" s="4116">
        <v>38.1</v>
      </c>
      <c r="P13" s="3860"/>
      <c r="Q13" s="3860"/>
      <c r="R13" s="2528"/>
    </row>
    <row r="14" spans="1:18" ht="16.7" customHeight="1" x14ac:dyDescent="0.2">
      <c r="A14" s="2752">
        <v>6</v>
      </c>
      <c r="B14" s="2512" t="s">
        <v>10248</v>
      </c>
      <c r="C14" s="4118">
        <v>643</v>
      </c>
      <c r="D14" s="3891"/>
      <c r="E14" s="3892"/>
      <c r="F14" s="4139">
        <v>270</v>
      </c>
      <c r="G14" s="3891"/>
      <c r="H14" s="3892"/>
      <c r="I14" s="4139">
        <v>202</v>
      </c>
      <c r="J14" s="3891"/>
      <c r="K14" s="3892"/>
      <c r="L14" s="4139">
        <v>234</v>
      </c>
      <c r="M14" s="3891"/>
      <c r="N14" s="3892"/>
      <c r="O14" s="4118">
        <v>35</v>
      </c>
      <c r="P14" s="3891"/>
      <c r="Q14" s="3892"/>
      <c r="R14" s="2528"/>
    </row>
    <row r="15" spans="1:18" ht="16.7" customHeight="1" x14ac:dyDescent="0.2">
      <c r="A15" s="2752">
        <v>7</v>
      </c>
      <c r="B15" s="2512" t="s">
        <v>10249</v>
      </c>
      <c r="C15" s="4118">
        <v>8663</v>
      </c>
      <c r="D15" s="3891"/>
      <c r="E15" s="3892"/>
      <c r="F15" s="4118">
        <v>7738</v>
      </c>
      <c r="G15" s="3891"/>
      <c r="H15" s="3892"/>
      <c r="I15" s="4118">
        <v>3307</v>
      </c>
      <c r="J15" s="3891"/>
      <c r="K15" s="3892"/>
      <c r="L15" s="4118">
        <v>7238</v>
      </c>
      <c r="M15" s="3891"/>
      <c r="N15" s="3892"/>
      <c r="O15" s="4118">
        <v>8605</v>
      </c>
      <c r="P15" s="3891"/>
      <c r="Q15" s="3892"/>
      <c r="R15" s="2528"/>
    </row>
    <row r="16" spans="1:18" ht="16.7" customHeight="1" x14ac:dyDescent="0.2">
      <c r="A16" s="2752">
        <v>8</v>
      </c>
      <c r="B16" s="2512" t="s">
        <v>10250</v>
      </c>
      <c r="C16" s="4120">
        <v>604</v>
      </c>
      <c r="D16" s="3891"/>
      <c r="E16" s="3892"/>
      <c r="F16" s="4120">
        <v>268</v>
      </c>
      <c r="G16" s="3891"/>
      <c r="H16" s="3892"/>
      <c r="I16" s="4120">
        <v>238</v>
      </c>
      <c r="J16" s="3891"/>
      <c r="K16" s="3892"/>
      <c r="L16" s="4120">
        <v>237</v>
      </c>
      <c r="M16" s="3891"/>
      <c r="N16" s="3892"/>
      <c r="O16" s="4120">
        <v>33</v>
      </c>
      <c r="P16" s="3891"/>
      <c r="Q16" s="3892"/>
      <c r="R16" s="2528"/>
    </row>
    <row r="17" spans="1:18" ht="16.7" customHeight="1" x14ac:dyDescent="0.2">
      <c r="A17" s="2752">
        <v>9</v>
      </c>
      <c r="B17" s="2512" t="s">
        <v>10251</v>
      </c>
      <c r="C17" s="4120">
        <v>604</v>
      </c>
      <c r="D17" s="3891"/>
      <c r="E17" s="3892"/>
      <c r="F17" s="4120">
        <v>268</v>
      </c>
      <c r="G17" s="3891"/>
      <c r="H17" s="3892"/>
      <c r="I17" s="4120">
        <v>238</v>
      </c>
      <c r="J17" s="3891"/>
      <c r="K17" s="3892"/>
      <c r="L17" s="4120">
        <v>240</v>
      </c>
      <c r="M17" s="3891"/>
      <c r="N17" s="3892"/>
      <c r="O17" s="4120">
        <v>34</v>
      </c>
      <c r="P17" s="3891"/>
      <c r="Q17" s="3892"/>
      <c r="R17" s="2528"/>
    </row>
    <row r="18" spans="1:18" ht="16.7" customHeight="1" x14ac:dyDescent="0.2">
      <c r="A18" s="2752">
        <v>10</v>
      </c>
      <c r="B18" s="2512" t="s">
        <v>10252</v>
      </c>
      <c r="C18" s="4120">
        <v>604</v>
      </c>
      <c r="D18" s="3891"/>
      <c r="E18" s="3892"/>
      <c r="F18" s="4120">
        <v>266</v>
      </c>
      <c r="G18" s="3891"/>
      <c r="H18" s="3892"/>
      <c r="I18" s="4120">
        <v>238</v>
      </c>
      <c r="J18" s="3891"/>
      <c r="K18" s="3892"/>
      <c r="L18" s="4120">
        <v>231</v>
      </c>
      <c r="M18" s="3891"/>
      <c r="N18" s="3892"/>
      <c r="O18" s="4120">
        <v>32</v>
      </c>
      <c r="P18" s="3891"/>
      <c r="Q18" s="3892"/>
      <c r="R18" s="2528"/>
    </row>
    <row r="19" spans="1:18" ht="16.7" customHeight="1" x14ac:dyDescent="0.2">
      <c r="A19" s="2752">
        <v>11</v>
      </c>
      <c r="B19" s="2512" t="s">
        <v>776</v>
      </c>
      <c r="C19" s="4123">
        <v>98</v>
      </c>
      <c r="D19" s="3860"/>
      <c r="E19" s="3860"/>
      <c r="F19" s="4123">
        <v>52</v>
      </c>
      <c r="G19" s="3860"/>
      <c r="H19" s="3860"/>
      <c r="I19" s="4123">
        <v>29</v>
      </c>
      <c r="J19" s="3860"/>
      <c r="K19" s="3860"/>
      <c r="L19" s="4121">
        <v>0</v>
      </c>
      <c r="M19" s="4122"/>
      <c r="N19" s="4122"/>
      <c r="O19" s="4123">
        <v>18</v>
      </c>
      <c r="P19" s="3860"/>
      <c r="Q19" s="3860"/>
      <c r="R19" s="2528"/>
    </row>
    <row r="20" spans="1:18" ht="16.7" customHeight="1" x14ac:dyDescent="0.2">
      <c r="A20" s="2752">
        <v>12</v>
      </c>
      <c r="B20" s="2512" t="s">
        <v>10253</v>
      </c>
      <c r="C20" s="4120">
        <v>2766703000</v>
      </c>
      <c r="D20" s="3891"/>
      <c r="E20" s="3892"/>
      <c r="F20" s="4120">
        <v>1282117000</v>
      </c>
      <c r="G20" s="3891"/>
      <c r="H20" s="3892"/>
      <c r="I20" s="4120">
        <v>235157000</v>
      </c>
      <c r="J20" s="3891"/>
      <c r="K20" s="3892"/>
      <c r="L20" s="4118">
        <v>1357915000</v>
      </c>
      <c r="M20" s="3891"/>
      <c r="N20" s="3892"/>
      <c r="O20" s="4120">
        <v>248201000</v>
      </c>
      <c r="P20" s="3891"/>
      <c r="Q20" s="3892"/>
      <c r="R20" s="2528"/>
    </row>
    <row r="21" spans="1:18" ht="16.7" customHeight="1" x14ac:dyDescent="0.2">
      <c r="A21" s="2752">
        <v>13</v>
      </c>
      <c r="B21" s="2512" t="s">
        <v>778</v>
      </c>
      <c r="C21" s="4124">
        <v>1440822</v>
      </c>
      <c r="D21" s="3883"/>
      <c r="E21" s="3884"/>
      <c r="F21" s="4124">
        <v>210526</v>
      </c>
      <c r="G21" s="3883"/>
      <c r="H21" s="3884"/>
      <c r="I21" s="4124">
        <v>1252090</v>
      </c>
      <c r="J21" s="3883"/>
      <c r="K21" s="3884"/>
      <c r="L21" s="4124">
        <v>796929</v>
      </c>
      <c r="M21" s="3883"/>
      <c r="N21" s="3884"/>
      <c r="O21" s="4124">
        <v>41195596</v>
      </c>
      <c r="P21" s="3883"/>
      <c r="Q21" s="3884"/>
      <c r="R21" s="2528"/>
    </row>
    <row r="22" spans="1:18" ht="16.7" customHeight="1" x14ac:dyDescent="0.2">
      <c r="A22" s="2752">
        <v>14</v>
      </c>
      <c r="B22" s="2512" t="s">
        <v>126</v>
      </c>
      <c r="C22" s="4124">
        <v>133832020</v>
      </c>
      <c r="D22" s="3883"/>
      <c r="E22" s="3884"/>
      <c r="F22" s="4124">
        <v>54522939</v>
      </c>
      <c r="G22" s="3883"/>
      <c r="H22" s="3884"/>
      <c r="I22" s="4124">
        <v>15681197</v>
      </c>
      <c r="J22" s="3883"/>
      <c r="K22" s="3884"/>
      <c r="L22" s="4124">
        <v>12921287</v>
      </c>
      <c r="M22" s="3883"/>
      <c r="N22" s="3884"/>
      <c r="O22" s="4124">
        <v>8575917</v>
      </c>
      <c r="P22" s="3883"/>
      <c r="Q22" s="3884"/>
      <c r="R22" s="2528"/>
    </row>
    <row r="23" spans="1:18" ht="16.7" customHeight="1" x14ac:dyDescent="0.2">
      <c r="A23" s="2752">
        <v>15</v>
      </c>
      <c r="B23" s="2512" t="s">
        <v>779</v>
      </c>
      <c r="C23" s="4124">
        <v>660393224</v>
      </c>
      <c r="D23" s="3883"/>
      <c r="E23" s="3884"/>
      <c r="F23" s="4124">
        <v>429992538</v>
      </c>
      <c r="G23" s="3883"/>
      <c r="H23" s="3884"/>
      <c r="I23" s="4124">
        <v>74004087</v>
      </c>
      <c r="J23" s="3883"/>
      <c r="K23" s="3884"/>
      <c r="L23" s="4124">
        <v>173277443</v>
      </c>
      <c r="M23" s="3883"/>
      <c r="N23" s="3884"/>
      <c r="O23" s="4124">
        <v>107144082</v>
      </c>
      <c r="P23" s="3883"/>
      <c r="Q23" s="3884"/>
      <c r="R23" s="2528"/>
    </row>
    <row r="24" spans="1:18" ht="16.7" customHeight="1" x14ac:dyDescent="0.2">
      <c r="A24" s="2752">
        <v>16</v>
      </c>
      <c r="B24" s="2512" t="s">
        <v>780</v>
      </c>
      <c r="C24" s="4124">
        <v>61008907</v>
      </c>
      <c r="D24" s="3883"/>
      <c r="E24" s="3884"/>
      <c r="F24" s="4124">
        <v>677254</v>
      </c>
      <c r="G24" s="3883"/>
      <c r="H24" s="3884"/>
      <c r="I24" s="4124">
        <v>1372866</v>
      </c>
      <c r="J24" s="3883"/>
      <c r="K24" s="3884"/>
      <c r="L24" s="4124">
        <v>618012</v>
      </c>
      <c r="M24" s="3883"/>
      <c r="N24" s="3884"/>
      <c r="O24" s="4124">
        <v>5715415</v>
      </c>
      <c r="P24" s="3883"/>
      <c r="Q24" s="3884"/>
      <c r="R24" s="2528"/>
    </row>
    <row r="25" spans="1:18" ht="16.7" customHeight="1" x14ac:dyDescent="0.2">
      <c r="A25" s="2752">
        <v>17</v>
      </c>
      <c r="B25" s="2512" t="s">
        <v>51</v>
      </c>
      <c r="C25" s="4125">
        <f>SUM(C21:E24)</f>
        <v>856674973</v>
      </c>
      <c r="D25" s="4126"/>
      <c r="E25" s="4127"/>
      <c r="F25" s="4125">
        <f>SUM(F21:H24)</f>
        <v>485403257</v>
      </c>
      <c r="G25" s="4126"/>
      <c r="H25" s="4127"/>
      <c r="I25" s="4125">
        <f>SUM(I21:K24)</f>
        <v>92310240</v>
      </c>
      <c r="J25" s="4126"/>
      <c r="K25" s="4127"/>
      <c r="L25" s="4125">
        <f>SUM(L21:N24)</f>
        <v>187613671</v>
      </c>
      <c r="M25" s="4126"/>
      <c r="N25" s="4127"/>
      <c r="O25" s="4125">
        <f>SUM(O21:Q24)</f>
        <v>162631010</v>
      </c>
      <c r="P25" s="4126"/>
      <c r="Q25" s="4127"/>
      <c r="R25" s="2528"/>
    </row>
    <row r="26" spans="1:18" ht="15.75" customHeight="1" x14ac:dyDescent="0.2">
      <c r="A26" s="2752">
        <v>18</v>
      </c>
      <c r="B26" s="2512" t="s">
        <v>10254</v>
      </c>
      <c r="C26" s="4130">
        <f>C25/(C13*1000)</f>
        <v>1211.3616699660633</v>
      </c>
      <c r="D26" s="4131"/>
      <c r="E26" s="4132"/>
      <c r="F26" s="4130">
        <f>F25/(F13*1000)</f>
        <v>1675.7690292066561</v>
      </c>
      <c r="G26" s="4131"/>
      <c r="H26" s="4132"/>
      <c r="I26" s="4130">
        <f>I25/(I13*1000)</f>
        <v>366.83452551263713</v>
      </c>
      <c r="J26" s="4131"/>
      <c r="K26" s="4132"/>
      <c r="L26" s="4130">
        <f>L25/(L13*1000)</f>
        <v>671.10341608241527</v>
      </c>
      <c r="M26" s="4131"/>
      <c r="N26" s="4132"/>
      <c r="O26" s="4130">
        <f>O25/(O13*1000)</f>
        <v>4268.530446194226</v>
      </c>
      <c r="P26" s="4131"/>
      <c r="Q26" s="4132"/>
      <c r="R26" s="2528"/>
    </row>
    <row r="27" spans="1:18" ht="16.7" customHeight="1" x14ac:dyDescent="0.2">
      <c r="A27" s="2752">
        <v>19</v>
      </c>
      <c r="B27" s="2512" t="s">
        <v>783</v>
      </c>
      <c r="C27" s="4124">
        <v>434585</v>
      </c>
      <c r="D27" s="3883"/>
      <c r="E27" s="3884"/>
      <c r="F27" s="4124">
        <v>25875</v>
      </c>
      <c r="G27" s="3883"/>
      <c r="H27" s="3884"/>
      <c r="I27" s="4124">
        <v>122786</v>
      </c>
      <c r="J27" s="3883"/>
      <c r="K27" s="3884"/>
      <c r="L27" s="3989"/>
      <c r="M27" s="3883"/>
      <c r="N27" s="3884"/>
      <c r="O27" s="4124">
        <v>6020</v>
      </c>
      <c r="P27" s="3883"/>
      <c r="Q27" s="3884"/>
      <c r="R27" s="2528"/>
    </row>
    <row r="28" spans="1:18" ht="16.7" customHeight="1" x14ac:dyDescent="0.2">
      <c r="A28" s="2752">
        <v>20</v>
      </c>
      <c r="B28" s="2512" t="s">
        <v>559</v>
      </c>
      <c r="C28" s="4124">
        <v>103923343</v>
      </c>
      <c r="D28" s="3883"/>
      <c r="E28" s="3884"/>
      <c r="F28" s="4124">
        <v>22443731</v>
      </c>
      <c r="G28" s="3883"/>
      <c r="H28" s="3884"/>
      <c r="I28" s="4124">
        <v>17853995</v>
      </c>
      <c r="J28" s="3883"/>
      <c r="K28" s="3884"/>
      <c r="L28" s="4124">
        <v>34955391</v>
      </c>
      <c r="M28" s="3883"/>
      <c r="N28" s="3884"/>
      <c r="O28" s="3989"/>
      <c r="P28" s="3883"/>
      <c r="Q28" s="3884"/>
      <c r="R28" s="2528"/>
    </row>
    <row r="29" spans="1:18" ht="16.7" customHeight="1" x14ac:dyDescent="0.2">
      <c r="A29" s="2752">
        <v>21</v>
      </c>
      <c r="B29" s="2512" t="s">
        <v>10255</v>
      </c>
      <c r="C29" s="3989"/>
      <c r="D29" s="3883"/>
      <c r="E29" s="3884"/>
      <c r="F29" s="3989"/>
      <c r="G29" s="3883"/>
      <c r="H29" s="3884"/>
      <c r="I29" s="3989"/>
      <c r="J29" s="3883"/>
      <c r="K29" s="3884"/>
      <c r="L29" s="3989"/>
      <c r="M29" s="3883"/>
      <c r="N29" s="3884"/>
      <c r="O29" s="3989"/>
      <c r="P29" s="3883"/>
      <c r="Q29" s="3884"/>
      <c r="R29" s="2528"/>
    </row>
    <row r="30" spans="1:18" ht="16.7" customHeight="1" x14ac:dyDescent="0.2">
      <c r="A30" s="2752">
        <v>22</v>
      </c>
      <c r="B30" s="2512" t="s">
        <v>10256</v>
      </c>
      <c r="C30" s="4124">
        <v>8777734</v>
      </c>
      <c r="D30" s="3883"/>
      <c r="E30" s="3884"/>
      <c r="F30" s="4124">
        <v>5389935</v>
      </c>
      <c r="G30" s="3883"/>
      <c r="H30" s="3884"/>
      <c r="I30" s="4124">
        <v>241993</v>
      </c>
      <c r="J30" s="3883"/>
      <c r="K30" s="3884"/>
      <c r="L30" s="3989"/>
      <c r="M30" s="3883"/>
      <c r="N30" s="3884"/>
      <c r="O30" s="4124">
        <v>-80179</v>
      </c>
      <c r="P30" s="3883"/>
      <c r="Q30" s="3884"/>
      <c r="R30" s="2528"/>
    </row>
    <row r="31" spans="1:18" ht="16.7" customHeight="1" x14ac:dyDescent="0.2">
      <c r="A31" s="2752">
        <v>23</v>
      </c>
      <c r="B31" s="2512" t="s">
        <v>10257</v>
      </c>
      <c r="C31" s="3989"/>
      <c r="D31" s="3883"/>
      <c r="E31" s="3884"/>
      <c r="F31" s="3989"/>
      <c r="G31" s="3883"/>
      <c r="H31" s="3884"/>
      <c r="I31" s="3989"/>
      <c r="J31" s="3883"/>
      <c r="K31" s="3884"/>
      <c r="L31" s="3989"/>
      <c r="M31" s="3883"/>
      <c r="N31" s="3884"/>
      <c r="O31" s="4124">
        <v>10794276</v>
      </c>
      <c r="P31" s="3883"/>
      <c r="Q31" s="3884"/>
      <c r="R31" s="2528"/>
    </row>
    <row r="32" spans="1:18" ht="16.7" customHeight="1" x14ac:dyDescent="0.2">
      <c r="A32" s="2752">
        <v>24</v>
      </c>
      <c r="B32" s="2512" t="s">
        <v>10258</v>
      </c>
      <c r="C32" s="3989"/>
      <c r="D32" s="3883"/>
      <c r="E32" s="3884"/>
      <c r="F32" s="3989"/>
      <c r="G32" s="3883"/>
      <c r="H32" s="3884"/>
      <c r="I32" s="3989"/>
      <c r="J32" s="3883"/>
      <c r="K32" s="3884"/>
      <c r="L32" s="3989"/>
      <c r="M32" s="3883"/>
      <c r="N32" s="3884"/>
      <c r="O32" s="3989"/>
      <c r="P32" s="3883"/>
      <c r="Q32" s="3884"/>
      <c r="R32" s="2528"/>
    </row>
    <row r="33" spans="1:18" ht="16.7" customHeight="1" x14ac:dyDescent="0.2">
      <c r="A33" s="2752">
        <v>25</v>
      </c>
      <c r="B33" s="2512" t="s">
        <v>784</v>
      </c>
      <c r="C33" s="4124">
        <v>4050</v>
      </c>
      <c r="D33" s="3883"/>
      <c r="E33" s="3884"/>
      <c r="F33" s="3989"/>
      <c r="G33" s="3883"/>
      <c r="H33" s="3884"/>
      <c r="I33" s="3989"/>
      <c r="J33" s="3883"/>
      <c r="K33" s="3884"/>
      <c r="L33" s="4124">
        <v>6921024</v>
      </c>
      <c r="M33" s="3883"/>
      <c r="N33" s="3884"/>
      <c r="O33" s="3989"/>
      <c r="P33" s="3883"/>
      <c r="Q33" s="3884"/>
      <c r="R33" s="2528"/>
    </row>
    <row r="34" spans="1:18" ht="16.7" customHeight="1" x14ac:dyDescent="0.2">
      <c r="A34" s="2752">
        <v>26</v>
      </c>
      <c r="B34" s="2512" t="s">
        <v>10259</v>
      </c>
      <c r="C34" s="4124">
        <v>8178876</v>
      </c>
      <c r="D34" s="3883"/>
      <c r="E34" s="3884"/>
      <c r="F34" s="4124">
        <v>2977007</v>
      </c>
      <c r="G34" s="3883"/>
      <c r="H34" s="3884"/>
      <c r="I34" s="4124">
        <v>4801203</v>
      </c>
      <c r="J34" s="3883"/>
      <c r="K34" s="3884"/>
      <c r="L34" s="3989"/>
      <c r="M34" s="3883"/>
      <c r="N34" s="3884"/>
      <c r="O34" s="4124">
        <v>-882937</v>
      </c>
      <c r="P34" s="3883"/>
      <c r="Q34" s="3884"/>
      <c r="R34" s="2528"/>
    </row>
    <row r="35" spans="1:18" ht="16.7" customHeight="1" x14ac:dyDescent="0.2">
      <c r="A35" s="2752">
        <v>27</v>
      </c>
      <c r="B35" s="2512" t="s">
        <v>492</v>
      </c>
      <c r="C35" s="4124">
        <v>14350</v>
      </c>
      <c r="D35" s="3883"/>
      <c r="E35" s="3884"/>
      <c r="F35" s="4124">
        <v>19690</v>
      </c>
      <c r="G35" s="3883"/>
      <c r="H35" s="3884"/>
      <c r="I35" s="3989"/>
      <c r="J35" s="3883"/>
      <c r="K35" s="3884"/>
      <c r="L35" s="3989"/>
      <c r="M35" s="3883"/>
      <c r="N35" s="3884"/>
      <c r="O35" s="4124">
        <v>6247</v>
      </c>
      <c r="P35" s="3883"/>
      <c r="Q35" s="3884"/>
      <c r="R35" s="2528"/>
    </row>
    <row r="36" spans="1:18" ht="16.7" customHeight="1" x14ac:dyDescent="0.2">
      <c r="A36" s="2752">
        <v>28</v>
      </c>
      <c r="B36" s="2512" t="s">
        <v>786</v>
      </c>
      <c r="C36" s="3989"/>
      <c r="D36" s="3883"/>
      <c r="E36" s="3884"/>
      <c r="F36" s="3989"/>
      <c r="G36" s="3883"/>
      <c r="H36" s="3884"/>
      <c r="I36" s="3989"/>
      <c r="J36" s="3883"/>
      <c r="K36" s="3884"/>
      <c r="L36" s="3989"/>
      <c r="M36" s="3883"/>
      <c r="N36" s="3884"/>
      <c r="O36" s="3989"/>
      <c r="P36" s="3883"/>
      <c r="Q36" s="3884"/>
      <c r="R36" s="2528"/>
    </row>
    <row r="37" spans="1:18" ht="16.7" customHeight="1" x14ac:dyDescent="0.2">
      <c r="A37" s="2752">
        <v>29</v>
      </c>
      <c r="B37" s="2512" t="s">
        <v>787</v>
      </c>
      <c r="C37" s="4124">
        <v>1951034</v>
      </c>
      <c r="D37" s="3883"/>
      <c r="E37" s="3884"/>
      <c r="F37" s="3989"/>
      <c r="G37" s="3883"/>
      <c r="H37" s="3884"/>
      <c r="I37" s="3989"/>
      <c r="J37" s="3883"/>
      <c r="K37" s="3884"/>
      <c r="L37" s="3989"/>
      <c r="M37" s="3883"/>
      <c r="N37" s="3884"/>
      <c r="O37" s="3989"/>
      <c r="P37" s="3883"/>
      <c r="Q37" s="3884"/>
      <c r="R37" s="2528"/>
    </row>
    <row r="38" spans="1:18" ht="16.7" customHeight="1" x14ac:dyDescent="0.2">
      <c r="A38" s="2752">
        <v>30</v>
      </c>
      <c r="B38" s="2512" t="s">
        <v>788</v>
      </c>
      <c r="C38" s="4124">
        <v>1593988</v>
      </c>
      <c r="D38" s="3883"/>
      <c r="E38" s="3884"/>
      <c r="F38" s="4124">
        <v>103216</v>
      </c>
      <c r="G38" s="3883"/>
      <c r="H38" s="3884"/>
      <c r="I38" s="4124">
        <v>169735</v>
      </c>
      <c r="J38" s="3883"/>
      <c r="K38" s="3884"/>
      <c r="L38" s="3989"/>
      <c r="M38" s="3883"/>
      <c r="N38" s="3884"/>
      <c r="O38" s="4124">
        <v>770390</v>
      </c>
      <c r="P38" s="3883"/>
      <c r="Q38" s="3884"/>
      <c r="R38" s="2528"/>
    </row>
    <row r="39" spans="1:18" ht="16.7" customHeight="1" x14ac:dyDescent="0.2">
      <c r="A39" s="2752">
        <v>31</v>
      </c>
      <c r="B39" s="2512" t="s">
        <v>10260</v>
      </c>
      <c r="C39" s="4124">
        <v>6495185</v>
      </c>
      <c r="D39" s="3883"/>
      <c r="E39" s="3884"/>
      <c r="F39" s="4124">
        <v>3067185</v>
      </c>
      <c r="G39" s="3883"/>
      <c r="H39" s="3884"/>
      <c r="I39" s="4124">
        <v>1169796</v>
      </c>
      <c r="J39" s="3883"/>
      <c r="K39" s="3884"/>
      <c r="L39" s="3989"/>
      <c r="M39" s="3883"/>
      <c r="N39" s="3884"/>
      <c r="O39" s="4124">
        <v>214965</v>
      </c>
      <c r="P39" s="3883"/>
      <c r="Q39" s="3884"/>
      <c r="R39" s="2528"/>
    </row>
    <row r="40" spans="1:18" ht="16.7" customHeight="1" x14ac:dyDescent="0.2">
      <c r="A40" s="2752">
        <v>32</v>
      </c>
      <c r="B40" s="2512" t="s">
        <v>10261</v>
      </c>
      <c r="C40" s="4124">
        <v>1745858</v>
      </c>
      <c r="D40" s="3883"/>
      <c r="E40" s="3884"/>
      <c r="F40" s="4124">
        <v>1623862</v>
      </c>
      <c r="G40" s="3883"/>
      <c r="H40" s="3884"/>
      <c r="I40" s="4124">
        <v>1280574</v>
      </c>
      <c r="J40" s="3883"/>
      <c r="K40" s="3884"/>
      <c r="L40" s="3989"/>
      <c r="M40" s="3883"/>
      <c r="N40" s="3884"/>
      <c r="O40" s="4124">
        <v>421684</v>
      </c>
      <c r="P40" s="3883"/>
      <c r="Q40" s="3884"/>
      <c r="R40" s="2528"/>
    </row>
    <row r="41" spans="1:18" ht="16.7" customHeight="1" x14ac:dyDescent="0.2">
      <c r="A41" s="2752">
        <v>33</v>
      </c>
      <c r="B41" s="2512" t="s">
        <v>10262</v>
      </c>
      <c r="C41" s="4124">
        <v>2388538</v>
      </c>
      <c r="D41" s="3883"/>
      <c r="E41" s="3884"/>
      <c r="F41" s="4124">
        <v>218163</v>
      </c>
      <c r="G41" s="3883"/>
      <c r="H41" s="3884"/>
      <c r="I41" s="4124">
        <v>162364</v>
      </c>
      <c r="J41" s="3883"/>
      <c r="K41" s="3884"/>
      <c r="L41" s="3989"/>
      <c r="M41" s="3883"/>
      <c r="N41" s="3884"/>
      <c r="O41" s="4124">
        <v>104303</v>
      </c>
      <c r="P41" s="3883"/>
      <c r="Q41" s="3884"/>
      <c r="R41" s="2528"/>
    </row>
    <row r="42" spans="1:18" ht="16.7" customHeight="1" x14ac:dyDescent="0.2">
      <c r="A42" s="2752">
        <v>34</v>
      </c>
      <c r="B42" s="2512" t="s">
        <v>10263</v>
      </c>
      <c r="C42" s="4125">
        <f>SUM(C27:C41)</f>
        <v>135507541</v>
      </c>
      <c r="D42" s="4126"/>
      <c r="E42" s="4127"/>
      <c r="F42" s="4125">
        <f>SUM(F27:F41)</f>
        <v>35868664</v>
      </c>
      <c r="G42" s="4126"/>
      <c r="H42" s="4127"/>
      <c r="I42" s="4125">
        <f>SUM(I27:I41)</f>
        <v>25802446</v>
      </c>
      <c r="J42" s="4126"/>
      <c r="K42" s="4127"/>
      <c r="L42" s="4125">
        <f>SUM(L27:L41)</f>
        <v>41876415</v>
      </c>
      <c r="M42" s="4126"/>
      <c r="N42" s="4127"/>
      <c r="O42" s="4125">
        <f>SUM(O27:O41)</f>
        <v>11354769</v>
      </c>
      <c r="P42" s="4126"/>
      <c r="Q42" s="4127"/>
      <c r="R42" s="2528"/>
    </row>
    <row r="43" spans="1:18" ht="16.7" customHeight="1" x14ac:dyDescent="0.2">
      <c r="A43" s="2752">
        <v>35</v>
      </c>
      <c r="B43" s="2512" t="s">
        <v>10264</v>
      </c>
      <c r="C43" s="4136">
        <f>C42/C20</f>
        <v>4.8977986072231097E-2</v>
      </c>
      <c r="D43" s="4137"/>
      <c r="E43" s="4138"/>
      <c r="F43" s="4136">
        <f>F42/F20</f>
        <v>2.7976123863890735E-2</v>
      </c>
      <c r="G43" s="4137"/>
      <c r="H43" s="4138"/>
      <c r="I43" s="4136">
        <f>I42/I20</f>
        <v>0.10972433735759514</v>
      </c>
      <c r="J43" s="4137"/>
      <c r="K43" s="4138"/>
      <c r="L43" s="4136">
        <f>L42/L20</f>
        <v>3.08387601580364E-2</v>
      </c>
      <c r="M43" s="4137"/>
      <c r="N43" s="4138"/>
      <c r="O43" s="4136">
        <f>O42/O20</f>
        <v>4.5748280627394736E-2</v>
      </c>
      <c r="P43" s="4137"/>
      <c r="Q43" s="4138"/>
      <c r="R43" s="2528"/>
    </row>
    <row r="44" spans="1:18" ht="16.7" customHeight="1" x14ac:dyDescent="0.2">
      <c r="A44" s="2752">
        <v>36</v>
      </c>
      <c r="B44" s="2512" t="s">
        <v>10265</v>
      </c>
      <c r="C44" s="2498" t="s">
        <v>10266</v>
      </c>
      <c r="D44" s="2498" t="s">
        <v>6498</v>
      </c>
      <c r="E44" s="2498"/>
      <c r="F44" s="2498" t="s">
        <v>10266</v>
      </c>
      <c r="G44" s="3021" t="s">
        <v>10267</v>
      </c>
      <c r="H44" s="2498"/>
      <c r="I44" s="2498" t="s">
        <v>6498</v>
      </c>
      <c r="J44" s="2498"/>
      <c r="K44" s="2498"/>
      <c r="L44" s="2498" t="s">
        <v>6498</v>
      </c>
      <c r="M44" s="2498"/>
      <c r="N44" s="2498"/>
      <c r="O44" s="2498"/>
      <c r="P44" s="2498"/>
      <c r="Q44" s="2498"/>
      <c r="R44" s="2528"/>
    </row>
    <row r="45" spans="1:18" ht="15.75" customHeight="1" x14ac:dyDescent="0.2">
      <c r="A45" s="2752">
        <v>37</v>
      </c>
      <c r="B45" s="2512" t="s">
        <v>10268</v>
      </c>
      <c r="C45" s="2498" t="s">
        <v>5616</v>
      </c>
      <c r="D45" s="2498" t="s">
        <v>10301</v>
      </c>
      <c r="E45" s="2498"/>
      <c r="F45" s="2498" t="s">
        <v>5616</v>
      </c>
      <c r="G45" s="2498" t="s">
        <v>10269</v>
      </c>
      <c r="H45" s="2498"/>
      <c r="I45" s="2498" t="s">
        <v>10301</v>
      </c>
      <c r="J45" s="2498"/>
      <c r="K45" s="2498"/>
      <c r="L45" s="2498" t="s">
        <v>10301</v>
      </c>
      <c r="M45" s="2498"/>
      <c r="N45" s="2498"/>
      <c r="O45" s="2498"/>
      <c r="P45" s="2498"/>
      <c r="Q45" s="2498"/>
      <c r="R45" s="2528"/>
    </row>
    <row r="46" spans="1:18" ht="15.75" customHeight="1" x14ac:dyDescent="0.2">
      <c r="A46" s="2752">
        <v>38</v>
      </c>
      <c r="B46" s="2512" t="s">
        <v>10270</v>
      </c>
      <c r="C46" s="2677">
        <v>1032090</v>
      </c>
      <c r="D46" s="2677">
        <v>10792072</v>
      </c>
      <c r="E46" s="2614"/>
      <c r="F46" s="3022">
        <v>1012328</v>
      </c>
      <c r="G46" s="3022">
        <v>3546</v>
      </c>
      <c r="H46" s="2614"/>
      <c r="I46" s="3022">
        <v>3604842</v>
      </c>
      <c r="J46" s="2614"/>
      <c r="K46" s="2614"/>
      <c r="L46" s="3022">
        <v>9655677</v>
      </c>
      <c r="M46" s="2614"/>
      <c r="N46" s="2614"/>
      <c r="O46" s="2614"/>
      <c r="P46" s="2614"/>
      <c r="Q46" s="2614"/>
      <c r="R46" s="2528"/>
    </row>
    <row r="47" spans="1:18" ht="15.75" customHeight="1" x14ac:dyDescent="0.2">
      <c r="A47" s="2752">
        <v>39</v>
      </c>
      <c r="B47" s="2512" t="s">
        <v>10271</v>
      </c>
      <c r="C47" s="2677">
        <v>10065</v>
      </c>
      <c r="D47" s="2677">
        <v>1051</v>
      </c>
      <c r="E47" s="2614"/>
      <c r="F47" s="3022">
        <v>7924</v>
      </c>
      <c r="G47" s="3022">
        <v>138000</v>
      </c>
      <c r="H47" s="2614"/>
      <c r="I47" s="3022">
        <v>1040</v>
      </c>
      <c r="J47" s="2614"/>
      <c r="K47" s="2614"/>
      <c r="L47" s="3022">
        <v>1058</v>
      </c>
      <c r="M47" s="2614"/>
      <c r="N47" s="2614"/>
      <c r="O47" s="2614"/>
      <c r="P47" s="2614"/>
      <c r="Q47" s="2614"/>
      <c r="R47" s="2528"/>
    </row>
    <row r="48" spans="1:18" ht="15.75" customHeight="1" x14ac:dyDescent="0.2">
      <c r="A48" s="2752">
        <v>40</v>
      </c>
      <c r="B48" s="2512" t="s">
        <v>10272</v>
      </c>
      <c r="C48" s="3023">
        <v>49.47</v>
      </c>
      <c r="D48" s="3023">
        <v>4.8710000000000004</v>
      </c>
      <c r="E48" s="2614"/>
      <c r="F48" s="3024">
        <v>21.54</v>
      </c>
      <c r="G48" s="3024">
        <v>163.38</v>
      </c>
      <c r="H48" s="2614"/>
      <c r="I48" s="3024">
        <v>4.9530000000000003</v>
      </c>
      <c r="J48" s="2614"/>
      <c r="K48" s="2614"/>
      <c r="L48" s="3024">
        <v>3.62</v>
      </c>
      <c r="M48" s="2614"/>
      <c r="N48" s="2614"/>
      <c r="O48" s="2614"/>
      <c r="P48" s="2614"/>
      <c r="Q48" s="2614"/>
      <c r="R48" s="2528"/>
    </row>
    <row r="49" spans="1:18" ht="15.75" customHeight="1" x14ac:dyDescent="0.2">
      <c r="A49" s="2752">
        <v>41</v>
      </c>
      <c r="B49" s="2512" t="s">
        <v>10273</v>
      </c>
      <c r="C49" s="3023">
        <v>49.762999999999998</v>
      </c>
      <c r="D49" s="3023">
        <v>4.8710000000000004</v>
      </c>
      <c r="E49" s="2614"/>
      <c r="F49" s="3024">
        <v>21.597999999999999</v>
      </c>
      <c r="G49" s="3024">
        <v>163.38</v>
      </c>
      <c r="H49" s="2614"/>
      <c r="I49" s="3024">
        <v>4.9530000000000003</v>
      </c>
      <c r="J49" s="2614"/>
      <c r="K49" s="2614"/>
      <c r="L49" s="3024">
        <v>3.62</v>
      </c>
      <c r="M49" s="2614"/>
      <c r="N49" s="2614"/>
      <c r="O49" s="2614"/>
      <c r="P49" s="2614"/>
      <c r="Q49" s="2614"/>
      <c r="R49" s="2528"/>
    </row>
    <row r="50" spans="1:18" ht="15.75" customHeight="1" x14ac:dyDescent="0.2">
      <c r="A50" s="2752">
        <v>42</v>
      </c>
      <c r="B50" s="2512" t="s">
        <v>10274</v>
      </c>
      <c r="C50" s="3023">
        <v>2.472</v>
      </c>
      <c r="D50" s="3023">
        <v>4.633</v>
      </c>
      <c r="E50" s="2614"/>
      <c r="F50" s="3024">
        <v>1.363</v>
      </c>
      <c r="G50" s="3024">
        <v>28.187999999999999</v>
      </c>
      <c r="H50" s="2614"/>
      <c r="I50" s="3024">
        <v>4.7629999999999999</v>
      </c>
      <c r="J50" s="2614"/>
      <c r="K50" s="2614"/>
      <c r="L50" s="3024">
        <v>3.42</v>
      </c>
      <c r="M50" s="2614"/>
      <c r="N50" s="2614"/>
      <c r="O50" s="2614"/>
      <c r="P50" s="2614"/>
      <c r="Q50" s="2614"/>
      <c r="R50" s="2528"/>
    </row>
    <row r="51" spans="1:18" ht="15.75" customHeight="1" x14ac:dyDescent="0.2">
      <c r="A51" s="2752">
        <v>43</v>
      </c>
      <c r="B51" s="2512" t="s">
        <v>10275</v>
      </c>
      <c r="C51" s="3023">
        <v>1.9E-2</v>
      </c>
      <c r="D51" s="3023">
        <v>1.9E-2</v>
      </c>
      <c r="E51" s="2614"/>
      <c r="F51" s="3024">
        <v>1.7000000000000001E-2</v>
      </c>
      <c r="G51" s="3024">
        <v>0</v>
      </c>
      <c r="H51" s="2614"/>
      <c r="I51" s="3024">
        <v>7.5999999999999998E-2</v>
      </c>
      <c r="J51" s="2614"/>
      <c r="K51" s="2614"/>
      <c r="L51" s="3024">
        <v>2.5999999999999999E-2</v>
      </c>
      <c r="M51" s="2614"/>
      <c r="N51" s="2614"/>
      <c r="O51" s="2614"/>
      <c r="P51" s="2614"/>
      <c r="Q51" s="2614"/>
      <c r="R51" s="2528"/>
    </row>
    <row r="52" spans="1:18" ht="15.75" customHeight="1" x14ac:dyDescent="0.2">
      <c r="A52" s="2752">
        <v>44</v>
      </c>
      <c r="B52" s="2512" t="s">
        <v>10276</v>
      </c>
      <c r="C52" s="3023">
        <v>7509.125</v>
      </c>
      <c r="D52" s="3023">
        <v>4100.3370000000004</v>
      </c>
      <c r="E52" s="2614"/>
      <c r="F52" s="3024">
        <v>12513.253000000001</v>
      </c>
      <c r="G52" s="3024">
        <v>16.029</v>
      </c>
      <c r="H52" s="2614"/>
      <c r="I52" s="3024">
        <v>15941.511</v>
      </c>
      <c r="J52" s="2614"/>
      <c r="K52" s="2614"/>
      <c r="L52" s="3024">
        <v>7527.8450000000003</v>
      </c>
      <c r="M52" s="2614"/>
      <c r="N52" s="2614"/>
      <c r="O52" s="2614"/>
      <c r="P52" s="2614"/>
      <c r="Q52" s="2614"/>
      <c r="R52" s="2528"/>
    </row>
    <row r="53" spans="1:18" ht="16.7" customHeight="1" x14ac:dyDescent="0.2">
      <c r="A53" s="2516"/>
      <c r="B53" s="2516"/>
      <c r="C53" s="2516"/>
      <c r="D53" s="2516"/>
      <c r="E53" s="2516"/>
      <c r="F53" s="2516"/>
      <c r="G53" s="2516"/>
      <c r="H53" s="2516"/>
      <c r="I53" s="2516"/>
      <c r="J53" s="2516"/>
      <c r="K53" s="2516"/>
      <c r="L53" s="2516"/>
      <c r="M53" s="2516"/>
      <c r="N53" s="2516"/>
      <c r="O53" s="2516"/>
      <c r="P53" s="2516"/>
      <c r="Q53" s="2516"/>
    </row>
    <row r="54" spans="1:18" ht="16.7" customHeight="1" x14ac:dyDescent="0.2"/>
    <row r="55" spans="1:18" ht="16.7" customHeight="1" x14ac:dyDescent="0.2"/>
    <row r="56" spans="1:18" ht="16.7" customHeight="1" x14ac:dyDescent="0.2"/>
    <row r="57" spans="1:18" ht="16.7" customHeight="1" x14ac:dyDescent="0.2"/>
    <row r="58" spans="1:18" ht="16.7" customHeight="1" x14ac:dyDescent="0.2"/>
    <row r="59" spans="1:18" ht="16.7" customHeight="1" x14ac:dyDescent="0.2"/>
    <row r="60" spans="1:18" ht="16.7" customHeight="1" x14ac:dyDescent="0.2"/>
    <row r="61" spans="1:18" ht="16.7" customHeight="1" x14ac:dyDescent="0.2"/>
    <row r="62" spans="1:18" ht="16.7" customHeight="1" x14ac:dyDescent="0.2"/>
    <row r="63" spans="1:18" ht="16.7" customHeight="1" x14ac:dyDescent="0.2"/>
    <row r="64" spans="1:18" ht="16.7" customHeight="1" x14ac:dyDescent="0.2"/>
    <row r="65" ht="16.7" customHeight="1" x14ac:dyDescent="0.2"/>
    <row r="66" ht="16.7" customHeight="1" x14ac:dyDescent="0.2"/>
    <row r="67" ht="16.7" customHeight="1" x14ac:dyDescent="0.2"/>
    <row r="68" ht="16.7" customHeight="1" x14ac:dyDescent="0.2"/>
    <row r="69" ht="16.7" customHeight="1" x14ac:dyDescent="0.2"/>
    <row r="70" ht="16.7" customHeight="1" x14ac:dyDescent="0.2"/>
    <row r="71" ht="16.7" customHeight="1" x14ac:dyDescent="0.2"/>
    <row r="72" ht="16.7" customHeight="1" x14ac:dyDescent="0.2"/>
    <row r="73" ht="16.7" customHeight="1" x14ac:dyDescent="0.2"/>
    <row r="74" ht="16.7" customHeight="1" x14ac:dyDescent="0.2"/>
    <row r="75" ht="16.7" customHeight="1" x14ac:dyDescent="0.2"/>
    <row r="76" ht="16.7" customHeight="1" x14ac:dyDescent="0.2"/>
    <row r="77" ht="16.7" customHeight="1" x14ac:dyDescent="0.2"/>
    <row r="78" ht="16.7" customHeight="1" x14ac:dyDescent="0.2"/>
    <row r="79" ht="16.7" customHeight="1" x14ac:dyDescent="0.2"/>
    <row r="80" ht="16.7" customHeight="1" x14ac:dyDescent="0.2"/>
    <row r="81" ht="16.7" customHeight="1" x14ac:dyDescent="0.2"/>
    <row r="82" ht="16.7" customHeight="1" x14ac:dyDescent="0.2"/>
    <row r="83" ht="16.7" customHeight="1" x14ac:dyDescent="0.2"/>
    <row r="84" ht="16.7" customHeight="1" x14ac:dyDescent="0.2"/>
    <row r="85" ht="16.7" customHeight="1" x14ac:dyDescent="0.2"/>
    <row r="86" ht="16.7" customHeight="1" x14ac:dyDescent="0.2"/>
    <row r="87" ht="16.7" customHeight="1" x14ac:dyDescent="0.2"/>
    <row r="88" ht="16.7" customHeight="1" x14ac:dyDescent="0.2"/>
    <row r="89" ht="16.7" customHeight="1" x14ac:dyDescent="0.2"/>
    <row r="90" ht="16.7" customHeight="1" x14ac:dyDescent="0.2"/>
    <row r="91" ht="16.7" customHeight="1" x14ac:dyDescent="0.2"/>
    <row r="92" ht="16.7" customHeight="1" x14ac:dyDescent="0.2"/>
    <row r="93" ht="16.7" customHeight="1" x14ac:dyDescent="0.2"/>
    <row r="94" ht="16.7" customHeight="1" x14ac:dyDescent="0.2"/>
    <row r="95" ht="16.7" customHeight="1" x14ac:dyDescent="0.2"/>
    <row r="96" ht="16.7" customHeight="1" x14ac:dyDescent="0.2"/>
    <row r="97" ht="16.7" customHeight="1" x14ac:dyDescent="0.2"/>
    <row r="98" ht="16.7" customHeight="1" x14ac:dyDescent="0.2"/>
    <row r="99" ht="16.7" customHeight="1" x14ac:dyDescent="0.2"/>
    <row r="100" ht="16.7" customHeight="1" x14ac:dyDescent="0.2"/>
    <row r="101" ht="16.7" customHeight="1" x14ac:dyDescent="0.2"/>
    <row r="102" ht="16.7" customHeight="1" x14ac:dyDescent="0.2"/>
    <row r="103" ht="16.7" customHeight="1" x14ac:dyDescent="0.2"/>
    <row r="104" ht="16.7" customHeight="1" x14ac:dyDescent="0.2"/>
  </sheetData>
  <mergeCells count="197">
    <mergeCell ref="C43:E43"/>
    <mergeCell ref="F43:H43"/>
    <mergeCell ref="I43:K43"/>
    <mergeCell ref="L43:N43"/>
    <mergeCell ref="O43:Q43"/>
    <mergeCell ref="C41:E41"/>
    <mergeCell ref="F41:H41"/>
    <mergeCell ref="I41:K41"/>
    <mergeCell ref="L41:N41"/>
    <mergeCell ref="O41:Q41"/>
    <mergeCell ref="C42:E42"/>
    <mergeCell ref="F42:H42"/>
    <mergeCell ref="I42:K42"/>
    <mergeCell ref="L42:N42"/>
    <mergeCell ref="O42:Q42"/>
    <mergeCell ref="C39:E39"/>
    <mergeCell ref="F39:H39"/>
    <mergeCell ref="I39:K39"/>
    <mergeCell ref="L39:N39"/>
    <mergeCell ref="O39:Q39"/>
    <mergeCell ref="C40:E40"/>
    <mergeCell ref="F40:H40"/>
    <mergeCell ref="I40:K40"/>
    <mergeCell ref="L40:N40"/>
    <mergeCell ref="O40:Q40"/>
    <mergeCell ref="C37:E37"/>
    <mergeCell ref="F37:H37"/>
    <mergeCell ref="I37:K37"/>
    <mergeCell ref="L37:N37"/>
    <mergeCell ref="O37:Q37"/>
    <mergeCell ref="C38:E38"/>
    <mergeCell ref="F38:H38"/>
    <mergeCell ref="I38:K38"/>
    <mergeCell ref="L38:N38"/>
    <mergeCell ref="O38:Q38"/>
    <mergeCell ref="C35:E35"/>
    <mergeCell ref="F35:H35"/>
    <mergeCell ref="I35:K35"/>
    <mergeCell ref="L35:N35"/>
    <mergeCell ref="O35:Q35"/>
    <mergeCell ref="C36:E36"/>
    <mergeCell ref="F36:H36"/>
    <mergeCell ref="I36:K36"/>
    <mergeCell ref="L36:N36"/>
    <mergeCell ref="O36:Q36"/>
    <mergeCell ref="C33:E33"/>
    <mergeCell ref="F33:H33"/>
    <mergeCell ref="I33:K33"/>
    <mergeCell ref="L33:N33"/>
    <mergeCell ref="O33:Q33"/>
    <mergeCell ref="C34:E34"/>
    <mergeCell ref="F34:H34"/>
    <mergeCell ref="I34:K34"/>
    <mergeCell ref="L34:N34"/>
    <mergeCell ref="O34:Q34"/>
    <mergeCell ref="C31:E31"/>
    <mergeCell ref="F31:H31"/>
    <mergeCell ref="I31:K31"/>
    <mergeCell ref="L31:N31"/>
    <mergeCell ref="O31:Q31"/>
    <mergeCell ref="C32:E32"/>
    <mergeCell ref="F32:H32"/>
    <mergeCell ref="I32:K32"/>
    <mergeCell ref="L32:N32"/>
    <mergeCell ref="O32:Q32"/>
    <mergeCell ref="C29:E29"/>
    <mergeCell ref="F29:H29"/>
    <mergeCell ref="I29:K29"/>
    <mergeCell ref="L29:N29"/>
    <mergeCell ref="O29:Q29"/>
    <mergeCell ref="C30:E30"/>
    <mergeCell ref="F30:H30"/>
    <mergeCell ref="I30:K30"/>
    <mergeCell ref="L30:N30"/>
    <mergeCell ref="O30:Q30"/>
    <mergeCell ref="C27:E27"/>
    <mergeCell ref="F27:H27"/>
    <mergeCell ref="I27:K27"/>
    <mergeCell ref="L27:N27"/>
    <mergeCell ref="O27:Q27"/>
    <mergeCell ref="C28:E28"/>
    <mergeCell ref="F28:H28"/>
    <mergeCell ref="I28:K28"/>
    <mergeCell ref="L28:N28"/>
    <mergeCell ref="O28:Q28"/>
    <mergeCell ref="C25:E25"/>
    <mergeCell ref="F25:H25"/>
    <mergeCell ref="I25:K25"/>
    <mergeCell ref="L25:N25"/>
    <mergeCell ref="O25:Q25"/>
    <mergeCell ref="C26:E26"/>
    <mergeCell ref="F26:H26"/>
    <mergeCell ref="I26:K26"/>
    <mergeCell ref="L26:N26"/>
    <mergeCell ref="O26:Q26"/>
    <mergeCell ref="C23:E23"/>
    <mergeCell ref="F23:H23"/>
    <mergeCell ref="I23:K23"/>
    <mergeCell ref="L23:N23"/>
    <mergeCell ref="O23:Q23"/>
    <mergeCell ref="C24:E24"/>
    <mergeCell ref="F24:H24"/>
    <mergeCell ref="I24:K24"/>
    <mergeCell ref="L24:N24"/>
    <mergeCell ref="O24:Q24"/>
    <mergeCell ref="C21:E21"/>
    <mergeCell ref="F21:H21"/>
    <mergeCell ref="I21:K21"/>
    <mergeCell ref="L21:N21"/>
    <mergeCell ref="O21:Q21"/>
    <mergeCell ref="C22:E22"/>
    <mergeCell ref="F22:H22"/>
    <mergeCell ref="I22:K22"/>
    <mergeCell ref="L22:N22"/>
    <mergeCell ref="O22:Q22"/>
    <mergeCell ref="C19:E19"/>
    <mergeCell ref="F19:H19"/>
    <mergeCell ref="I19:K19"/>
    <mergeCell ref="L19:N19"/>
    <mergeCell ref="O19:Q19"/>
    <mergeCell ref="C20:E20"/>
    <mergeCell ref="F20:H20"/>
    <mergeCell ref="I20:K20"/>
    <mergeCell ref="L20:N20"/>
    <mergeCell ref="O20:Q20"/>
    <mergeCell ref="C17:E17"/>
    <mergeCell ref="F17:H17"/>
    <mergeCell ref="I17:K17"/>
    <mergeCell ref="L17:N17"/>
    <mergeCell ref="O17:Q17"/>
    <mergeCell ref="C18:E18"/>
    <mergeCell ref="F18:H18"/>
    <mergeCell ref="I18:K18"/>
    <mergeCell ref="L18:N18"/>
    <mergeCell ref="O18:Q18"/>
    <mergeCell ref="C15:E15"/>
    <mergeCell ref="F15:H15"/>
    <mergeCell ref="I15:K15"/>
    <mergeCell ref="L15:N15"/>
    <mergeCell ref="O15:Q15"/>
    <mergeCell ref="C16:E16"/>
    <mergeCell ref="F16:H16"/>
    <mergeCell ref="I16:K16"/>
    <mergeCell ref="L16:N16"/>
    <mergeCell ref="O16:Q16"/>
    <mergeCell ref="C13:E13"/>
    <mergeCell ref="F13:H13"/>
    <mergeCell ref="I13:K13"/>
    <mergeCell ref="L13:N13"/>
    <mergeCell ref="O13:Q13"/>
    <mergeCell ref="C14:E14"/>
    <mergeCell ref="F14:H14"/>
    <mergeCell ref="I14:K14"/>
    <mergeCell ref="L14:N14"/>
    <mergeCell ref="O14:Q14"/>
    <mergeCell ref="C11:E11"/>
    <mergeCell ref="F11:H11"/>
    <mergeCell ref="I11:K11"/>
    <mergeCell ref="L11:N11"/>
    <mergeCell ref="O11:Q11"/>
    <mergeCell ref="C12:E12"/>
    <mergeCell ref="F12:H12"/>
    <mergeCell ref="I12:K12"/>
    <mergeCell ref="L12:N12"/>
    <mergeCell ref="O12:Q12"/>
    <mergeCell ref="C9:E9"/>
    <mergeCell ref="F9:H9"/>
    <mergeCell ref="I9:K9"/>
    <mergeCell ref="L9:N9"/>
    <mergeCell ref="O9:Q9"/>
    <mergeCell ref="C10:E10"/>
    <mergeCell ref="F10:H10"/>
    <mergeCell ref="I10:K10"/>
    <mergeCell ref="L10:N10"/>
    <mergeCell ref="O10:Q10"/>
    <mergeCell ref="D1:M1"/>
    <mergeCell ref="A3:B3"/>
    <mergeCell ref="C3:L3"/>
    <mergeCell ref="M3:Q3"/>
    <mergeCell ref="A4:Q4"/>
    <mergeCell ref="A5:Q5"/>
    <mergeCell ref="O7:Q7"/>
    <mergeCell ref="C8:E8"/>
    <mergeCell ref="F8:H8"/>
    <mergeCell ref="I8:K8"/>
    <mergeCell ref="L8:N8"/>
    <mergeCell ref="O8:Q8"/>
    <mergeCell ref="A6:A7"/>
    <mergeCell ref="D6:E6"/>
    <mergeCell ref="G6:H6"/>
    <mergeCell ref="J6:K6"/>
    <mergeCell ref="M6:N6"/>
    <mergeCell ref="P6:Q6"/>
    <mergeCell ref="C7:E7"/>
    <mergeCell ref="F7:H7"/>
    <mergeCell ref="I7:K7"/>
    <mergeCell ref="L7:N7"/>
  </mergeCells>
  <pageMargins left="0.75" right="0.75" top="1" bottom="1" header="0.5" footer="0.5"/>
  <customProperties>
    <customPr name="_pios_id" r:id="rId1"/>
  </customProperties>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CC65F9-C9F3-4558-849E-3F2CC8DAEABC}">
  <sheetPr codeName="Sheet95"/>
  <dimension ref="A1:R104"/>
  <sheetViews>
    <sheetView workbookViewId="0">
      <pane xSplit="2" ySplit="8" topLeftCell="C9" activePane="bottomRight" state="frozen"/>
      <selection pane="topRight"/>
      <selection pane="bottomLeft"/>
      <selection pane="bottomRight"/>
    </sheetView>
  </sheetViews>
  <sheetFormatPr defaultColWidth="11.5" defaultRowHeight="12.75" x14ac:dyDescent="0.2"/>
  <cols>
    <col min="1" max="1" width="3.875" style="1953" customWidth="1"/>
    <col min="2" max="2" width="41.75" style="1953" customWidth="1"/>
    <col min="3" max="3" width="10.375" style="1953" customWidth="1"/>
    <col min="4" max="8" width="9.25" style="1953" customWidth="1"/>
    <col min="9" max="9" width="9.625" style="1953" customWidth="1"/>
    <col min="10" max="11" width="9.25" style="1953" customWidth="1"/>
    <col min="12" max="12" width="9.625" style="1953" customWidth="1"/>
    <col min="13" max="17" width="9.25" style="1953" customWidth="1"/>
    <col min="18" max="16384" width="11.5" style="1953"/>
  </cols>
  <sheetData>
    <row r="1" spans="1:18" ht="16.7" customHeight="1" x14ac:dyDescent="0.2">
      <c r="B1" s="2744" t="s">
        <v>7058</v>
      </c>
      <c r="C1" s="2585"/>
      <c r="D1" s="4098" t="s">
        <v>10302</v>
      </c>
      <c r="E1" s="4099"/>
      <c r="F1" s="4099"/>
      <c r="G1" s="4099"/>
      <c r="H1" s="4099"/>
      <c r="I1" s="4099"/>
      <c r="J1" s="4099"/>
      <c r="K1" s="4099"/>
      <c r="L1" s="4099"/>
      <c r="M1" s="4100"/>
      <c r="N1" s="2479"/>
    </row>
    <row r="2" spans="1:18" ht="16.7" customHeight="1" x14ac:dyDescent="0.2">
      <c r="B2" s="2483"/>
      <c r="D2" s="2483"/>
      <c r="E2" s="2483"/>
      <c r="F2" s="2483"/>
      <c r="G2" s="2483"/>
      <c r="H2" s="2483"/>
      <c r="I2" s="2483"/>
      <c r="J2" s="2483"/>
      <c r="K2" s="2483"/>
      <c r="L2" s="2483"/>
      <c r="M2" s="2483"/>
    </row>
    <row r="3" spans="1:18" ht="16.7" customHeight="1" x14ac:dyDescent="0.2">
      <c r="A3" s="3990" t="s">
        <v>10222</v>
      </c>
      <c r="B3" s="3991"/>
      <c r="C3" s="3975"/>
      <c r="D3" s="3975"/>
      <c r="E3" s="3975"/>
      <c r="F3" s="3975"/>
      <c r="G3" s="3975"/>
      <c r="H3" s="3975"/>
      <c r="I3" s="3975"/>
      <c r="J3" s="3975"/>
      <c r="K3" s="3975"/>
      <c r="L3" s="3975"/>
      <c r="M3" s="3975"/>
      <c r="N3" s="3975"/>
      <c r="O3" s="3975"/>
      <c r="P3" s="3975"/>
      <c r="Q3" s="3976"/>
      <c r="R3" s="2528"/>
    </row>
    <row r="4" spans="1:18" ht="76.7" customHeight="1" x14ac:dyDescent="0.2">
      <c r="A4" s="3878" t="s">
        <v>10223</v>
      </c>
      <c r="B4" s="3879"/>
      <c r="C4" s="3879"/>
      <c r="D4" s="3879"/>
      <c r="E4" s="3879"/>
      <c r="F4" s="3879"/>
      <c r="G4" s="3879"/>
      <c r="H4" s="3879"/>
      <c r="I4" s="3879"/>
      <c r="J4" s="3879"/>
      <c r="K4" s="3879"/>
      <c r="L4" s="3879"/>
      <c r="M4" s="3879"/>
      <c r="N4" s="3879"/>
      <c r="O4" s="3879"/>
      <c r="P4" s="3879"/>
      <c r="Q4" s="2610"/>
      <c r="R4" s="2528"/>
    </row>
    <row r="5" spans="1:18" ht="15.75" customHeight="1" x14ac:dyDescent="0.2">
      <c r="A5" s="3964" t="s">
        <v>10224</v>
      </c>
      <c r="B5" s="3995"/>
      <c r="C5" s="3995"/>
      <c r="D5" s="3995"/>
      <c r="E5" s="3995"/>
      <c r="F5" s="3995"/>
      <c r="G5" s="3995"/>
      <c r="H5" s="3995"/>
      <c r="I5" s="3995"/>
      <c r="J5" s="3995"/>
      <c r="K5" s="3995"/>
      <c r="L5" s="3995"/>
      <c r="M5" s="3995"/>
      <c r="N5" s="3995"/>
      <c r="O5" s="3995"/>
      <c r="P5" s="3995"/>
      <c r="Q5" s="3996"/>
      <c r="R5" s="2528"/>
    </row>
    <row r="6" spans="1:18" ht="27.6" customHeight="1" x14ac:dyDescent="0.2">
      <c r="A6" s="3963" t="s">
        <v>6360</v>
      </c>
      <c r="B6" s="2637" t="s">
        <v>6467</v>
      </c>
      <c r="C6" s="3019" t="s">
        <v>10231</v>
      </c>
      <c r="D6" s="4101" t="s">
        <v>10303</v>
      </c>
      <c r="E6" s="4102"/>
      <c r="F6" s="3020" t="s">
        <v>10231</v>
      </c>
      <c r="G6" s="4103" t="s">
        <v>10304</v>
      </c>
      <c r="H6" s="4104"/>
      <c r="I6" s="3020" t="s">
        <v>10231</v>
      </c>
      <c r="J6" s="4103" t="s">
        <v>10305</v>
      </c>
      <c r="K6" s="4104"/>
      <c r="L6" s="3020" t="s">
        <v>10231</v>
      </c>
      <c r="M6" s="4103" t="s">
        <v>10306</v>
      </c>
      <c r="N6" s="4104"/>
      <c r="O6" s="3019" t="s">
        <v>10231</v>
      </c>
      <c r="P6" s="4101" t="s">
        <v>10307</v>
      </c>
      <c r="Q6" s="4102"/>
      <c r="R6" s="2528"/>
    </row>
    <row r="7" spans="1:18" ht="16.7" customHeight="1" x14ac:dyDescent="0.2">
      <c r="A7" s="3899"/>
      <c r="B7" s="2589" t="s">
        <v>5949</v>
      </c>
      <c r="C7" s="4105" t="s">
        <v>5950</v>
      </c>
      <c r="D7" s="3911"/>
      <c r="E7" s="3911"/>
      <c r="F7" s="4106" t="s">
        <v>5951</v>
      </c>
      <c r="G7" s="4107"/>
      <c r="H7" s="4108"/>
      <c r="I7" s="4106" t="s">
        <v>5952</v>
      </c>
      <c r="J7" s="4107"/>
      <c r="K7" s="4108"/>
      <c r="L7" s="4106" t="s">
        <v>6227</v>
      </c>
      <c r="M7" s="4107"/>
      <c r="N7" s="4108"/>
      <c r="O7" s="4105" t="s">
        <v>5804</v>
      </c>
      <c r="P7" s="3911"/>
      <c r="Q7" s="3911"/>
      <c r="R7" s="2528"/>
    </row>
    <row r="8" spans="1:18" ht="16.7" customHeight="1" x14ac:dyDescent="0.2">
      <c r="A8" s="2771" t="s">
        <v>904</v>
      </c>
      <c r="B8" s="2488" t="s">
        <v>766</v>
      </c>
      <c r="C8" s="4112" t="str">
        <f>D6</f>
        <v>Chehalis</v>
      </c>
      <c r="D8" s="4113"/>
      <c r="E8" s="4114"/>
      <c r="F8" s="4112" t="str">
        <f>G6</f>
        <v>Gadsby Peakers</v>
      </c>
      <c r="G8" s="4113"/>
      <c r="H8" s="4114"/>
      <c r="I8" s="4112" t="str">
        <f>J6</f>
        <v>Currant Creek</v>
      </c>
      <c r="J8" s="4113"/>
      <c r="K8" s="4114"/>
      <c r="L8" s="4112" t="str">
        <f>M6</f>
        <v>Lake Side</v>
      </c>
      <c r="M8" s="4113"/>
      <c r="N8" s="4114"/>
      <c r="O8" s="4112" t="str">
        <f>P6</f>
        <v>Lake Side 2</v>
      </c>
      <c r="P8" s="4113"/>
      <c r="Q8" s="4114"/>
      <c r="R8" s="2528"/>
    </row>
    <row r="9" spans="1:18" ht="15.75" customHeight="1" x14ac:dyDescent="0.2">
      <c r="A9" s="2677">
        <v>1</v>
      </c>
      <c r="B9" s="2512" t="s">
        <v>10233</v>
      </c>
      <c r="C9" s="3882" t="s">
        <v>10291</v>
      </c>
      <c r="D9" s="3891"/>
      <c r="E9" s="3892"/>
      <c r="F9" s="3882" t="s">
        <v>10308</v>
      </c>
      <c r="G9" s="3891"/>
      <c r="H9" s="3892"/>
      <c r="I9" s="3882" t="s">
        <v>10291</v>
      </c>
      <c r="J9" s="3891"/>
      <c r="K9" s="3892"/>
      <c r="L9" s="3882" t="s">
        <v>10291</v>
      </c>
      <c r="M9" s="3891"/>
      <c r="N9" s="3892"/>
      <c r="O9" s="3882" t="s">
        <v>10291</v>
      </c>
      <c r="P9" s="3891"/>
      <c r="Q9" s="3892"/>
      <c r="R9" s="2528"/>
    </row>
    <row r="10" spans="1:18" ht="16.7" customHeight="1" x14ac:dyDescent="0.2">
      <c r="A10" s="2677">
        <v>2</v>
      </c>
      <c r="B10" s="2512" t="s">
        <v>10234</v>
      </c>
      <c r="C10" s="3882" t="s">
        <v>10293</v>
      </c>
      <c r="D10" s="3891"/>
      <c r="E10" s="3892"/>
      <c r="F10" s="3882" t="s">
        <v>10293</v>
      </c>
      <c r="G10" s="3891"/>
      <c r="H10" s="3892"/>
      <c r="I10" s="3882" t="s">
        <v>10293</v>
      </c>
      <c r="J10" s="3891"/>
      <c r="K10" s="3892"/>
      <c r="L10" s="3882" t="s">
        <v>10293</v>
      </c>
      <c r="M10" s="3891"/>
      <c r="N10" s="3892"/>
      <c r="O10" s="3882" t="s">
        <v>10293</v>
      </c>
      <c r="P10" s="3891"/>
      <c r="Q10" s="3892"/>
      <c r="R10" s="2528"/>
    </row>
    <row r="11" spans="1:18" ht="16.7" customHeight="1" x14ac:dyDescent="0.2">
      <c r="A11" s="2677">
        <v>3</v>
      </c>
      <c r="B11" s="2512" t="s">
        <v>770</v>
      </c>
      <c r="C11" s="4139">
        <v>2003</v>
      </c>
      <c r="D11" s="3891"/>
      <c r="E11" s="3892"/>
      <c r="F11" s="4139">
        <v>2002</v>
      </c>
      <c r="G11" s="3891"/>
      <c r="H11" s="3892"/>
      <c r="I11" s="4139">
        <v>2005</v>
      </c>
      <c r="J11" s="3891"/>
      <c r="K11" s="3892"/>
      <c r="L11" s="4139">
        <v>2007</v>
      </c>
      <c r="M11" s="3891"/>
      <c r="N11" s="3892"/>
      <c r="O11" s="4139">
        <v>2014</v>
      </c>
      <c r="P11" s="3891"/>
      <c r="Q11" s="3892"/>
      <c r="R11" s="2528"/>
    </row>
    <row r="12" spans="1:18" ht="16.7" customHeight="1" x14ac:dyDescent="0.2">
      <c r="A12" s="2752">
        <v>4</v>
      </c>
      <c r="B12" s="2512" t="s">
        <v>771</v>
      </c>
      <c r="C12" s="4139">
        <v>2003</v>
      </c>
      <c r="D12" s="3891"/>
      <c r="E12" s="3892"/>
      <c r="F12" s="4139">
        <v>2002</v>
      </c>
      <c r="G12" s="3891"/>
      <c r="H12" s="3892"/>
      <c r="I12" s="4139">
        <v>2006</v>
      </c>
      <c r="J12" s="3891"/>
      <c r="K12" s="3892"/>
      <c r="L12" s="4139">
        <v>2007</v>
      </c>
      <c r="M12" s="3891"/>
      <c r="N12" s="3892"/>
      <c r="O12" s="4139">
        <v>2014</v>
      </c>
      <c r="P12" s="3891"/>
      <c r="Q12" s="3892"/>
      <c r="R12" s="2528"/>
    </row>
    <row r="13" spans="1:18" ht="15.75" customHeight="1" x14ac:dyDescent="0.2">
      <c r="A13" s="2752">
        <v>5</v>
      </c>
      <c r="B13" s="2512" t="s">
        <v>10247</v>
      </c>
      <c r="C13" s="4116">
        <v>593.29999999999995</v>
      </c>
      <c r="D13" s="3860"/>
      <c r="E13" s="3860"/>
      <c r="F13" s="4116">
        <v>181.05</v>
      </c>
      <c r="G13" s="3860"/>
      <c r="H13" s="3860"/>
      <c r="I13" s="4116">
        <v>566.9</v>
      </c>
      <c r="J13" s="3860"/>
      <c r="K13" s="3860"/>
      <c r="L13" s="4116">
        <v>591.29999999999995</v>
      </c>
      <c r="M13" s="3860"/>
      <c r="N13" s="3860"/>
      <c r="O13" s="4116">
        <v>655.20000000000005</v>
      </c>
      <c r="P13" s="3860"/>
      <c r="Q13" s="3860"/>
      <c r="R13" s="2528"/>
    </row>
    <row r="14" spans="1:18" ht="16.7" customHeight="1" x14ac:dyDescent="0.2">
      <c r="A14" s="2752">
        <v>6</v>
      </c>
      <c r="B14" s="2512" t="s">
        <v>10248</v>
      </c>
      <c r="C14" s="4118">
        <v>507</v>
      </c>
      <c r="D14" s="3891"/>
      <c r="E14" s="3892"/>
      <c r="F14" s="4139">
        <v>113</v>
      </c>
      <c r="G14" s="3891"/>
      <c r="H14" s="3892"/>
      <c r="I14" s="4139">
        <v>552</v>
      </c>
      <c r="J14" s="3891"/>
      <c r="K14" s="3892"/>
      <c r="L14" s="4139">
        <v>520</v>
      </c>
      <c r="M14" s="3891"/>
      <c r="N14" s="3892"/>
      <c r="O14" s="4118">
        <v>624</v>
      </c>
      <c r="P14" s="3891"/>
      <c r="Q14" s="3892"/>
      <c r="R14" s="2528"/>
    </row>
    <row r="15" spans="1:18" ht="16.7" customHeight="1" x14ac:dyDescent="0.2">
      <c r="A15" s="2752">
        <v>7</v>
      </c>
      <c r="B15" s="2512" t="s">
        <v>10249</v>
      </c>
      <c r="C15" s="4118">
        <v>7870</v>
      </c>
      <c r="D15" s="3891"/>
      <c r="E15" s="3892"/>
      <c r="F15" s="4139">
        <v>343</v>
      </c>
      <c r="G15" s="3891"/>
      <c r="H15" s="3892"/>
      <c r="I15" s="4118">
        <v>8446</v>
      </c>
      <c r="J15" s="3891"/>
      <c r="K15" s="3892"/>
      <c r="L15" s="4139">
        <v>8635</v>
      </c>
      <c r="M15" s="3891"/>
      <c r="N15" s="3892"/>
      <c r="O15" s="4118">
        <v>7750</v>
      </c>
      <c r="P15" s="3891"/>
      <c r="Q15" s="3892"/>
      <c r="R15" s="2528"/>
    </row>
    <row r="16" spans="1:18" ht="16.7" customHeight="1" x14ac:dyDescent="0.2">
      <c r="A16" s="2752">
        <v>8</v>
      </c>
      <c r="B16" s="2512" t="s">
        <v>10250</v>
      </c>
      <c r="C16" s="4120">
        <v>518</v>
      </c>
      <c r="D16" s="3891"/>
      <c r="E16" s="3892"/>
      <c r="F16" s="4120">
        <v>120</v>
      </c>
      <c r="G16" s="3891"/>
      <c r="H16" s="3892"/>
      <c r="I16" s="4120">
        <v>550</v>
      </c>
      <c r="J16" s="3891"/>
      <c r="K16" s="3892"/>
      <c r="L16" s="4120">
        <v>558</v>
      </c>
      <c r="M16" s="3891"/>
      <c r="N16" s="3892"/>
      <c r="O16" s="4120">
        <v>645</v>
      </c>
      <c r="P16" s="3891"/>
      <c r="Q16" s="3892"/>
      <c r="R16" s="2528"/>
    </row>
    <row r="17" spans="1:18" ht="16.7" customHeight="1" x14ac:dyDescent="0.2">
      <c r="A17" s="2752">
        <v>9</v>
      </c>
      <c r="B17" s="2512" t="s">
        <v>10251</v>
      </c>
      <c r="C17" s="4120">
        <v>506</v>
      </c>
      <c r="D17" s="3891"/>
      <c r="E17" s="3892"/>
      <c r="F17" s="4120">
        <v>122</v>
      </c>
      <c r="G17" s="3891"/>
      <c r="H17" s="3892"/>
      <c r="I17" s="4120">
        <v>556</v>
      </c>
      <c r="J17" s="3891"/>
      <c r="K17" s="3892"/>
      <c r="L17" s="4120">
        <v>562</v>
      </c>
      <c r="M17" s="3891"/>
      <c r="N17" s="3892"/>
      <c r="O17" s="4120">
        <v>656</v>
      </c>
      <c r="P17" s="3891"/>
      <c r="Q17" s="3892"/>
      <c r="R17" s="2528"/>
    </row>
    <row r="18" spans="1:18" ht="16.7" customHeight="1" x14ac:dyDescent="0.2">
      <c r="A18" s="2752">
        <v>10</v>
      </c>
      <c r="B18" s="2512" t="s">
        <v>10252</v>
      </c>
      <c r="C18" s="4120">
        <v>477</v>
      </c>
      <c r="D18" s="3891"/>
      <c r="E18" s="3892"/>
      <c r="F18" s="4120">
        <v>119</v>
      </c>
      <c r="G18" s="3891"/>
      <c r="H18" s="3892"/>
      <c r="I18" s="4120">
        <v>524</v>
      </c>
      <c r="J18" s="3891"/>
      <c r="K18" s="3892"/>
      <c r="L18" s="4120">
        <v>546</v>
      </c>
      <c r="M18" s="3891"/>
      <c r="N18" s="3892"/>
      <c r="O18" s="4120">
        <v>631</v>
      </c>
      <c r="P18" s="3891"/>
      <c r="Q18" s="3892"/>
      <c r="R18" s="2528"/>
    </row>
    <row r="19" spans="1:18" ht="16.7" customHeight="1" x14ac:dyDescent="0.2">
      <c r="A19" s="2752">
        <v>11</v>
      </c>
      <c r="B19" s="2512" t="s">
        <v>776</v>
      </c>
      <c r="C19" s="4123">
        <v>15</v>
      </c>
      <c r="D19" s="3860"/>
      <c r="E19" s="3860"/>
      <c r="F19" s="4121">
        <v>0</v>
      </c>
      <c r="G19" s="4122"/>
      <c r="H19" s="4122"/>
      <c r="I19" s="4123">
        <v>17</v>
      </c>
      <c r="J19" s="3860"/>
      <c r="K19" s="3860"/>
      <c r="L19" s="4123">
        <v>31</v>
      </c>
      <c r="M19" s="3860"/>
      <c r="N19" s="3860"/>
      <c r="O19" s="4121">
        <v>0</v>
      </c>
      <c r="P19" s="4122"/>
      <c r="Q19" s="4122"/>
      <c r="R19" s="2528"/>
    </row>
    <row r="20" spans="1:18" ht="16.7" customHeight="1" x14ac:dyDescent="0.2">
      <c r="A20" s="2752">
        <v>12</v>
      </c>
      <c r="B20" s="2512" t="s">
        <v>10253</v>
      </c>
      <c r="C20" s="4120">
        <v>2239007000</v>
      </c>
      <c r="D20" s="3891"/>
      <c r="E20" s="3892"/>
      <c r="F20" s="4120">
        <v>1788000</v>
      </c>
      <c r="G20" s="3891"/>
      <c r="H20" s="3892"/>
      <c r="I20" s="4120">
        <v>2879945000</v>
      </c>
      <c r="J20" s="3891"/>
      <c r="K20" s="3892"/>
      <c r="L20" s="4118">
        <v>3106023000</v>
      </c>
      <c r="M20" s="3891"/>
      <c r="N20" s="3892"/>
      <c r="O20" s="4120">
        <v>3350476000</v>
      </c>
      <c r="P20" s="3891"/>
      <c r="Q20" s="3892"/>
      <c r="R20" s="2528"/>
    </row>
    <row r="21" spans="1:18" ht="16.7" customHeight="1" x14ac:dyDescent="0.2">
      <c r="A21" s="2752">
        <v>13</v>
      </c>
      <c r="B21" s="2512" t="s">
        <v>778</v>
      </c>
      <c r="C21" s="4124">
        <v>3730527</v>
      </c>
      <c r="D21" s="3883"/>
      <c r="E21" s="3884"/>
      <c r="F21" s="4124">
        <v>0</v>
      </c>
      <c r="G21" s="3883"/>
      <c r="H21" s="3884"/>
      <c r="I21" s="4124">
        <v>3403277</v>
      </c>
      <c r="J21" s="3883"/>
      <c r="K21" s="3884"/>
      <c r="L21" s="4124">
        <v>14532275</v>
      </c>
      <c r="M21" s="3883"/>
      <c r="N21" s="3884"/>
      <c r="O21" s="4124">
        <v>16794626</v>
      </c>
      <c r="P21" s="3883"/>
      <c r="Q21" s="3884"/>
      <c r="R21" s="2528"/>
    </row>
    <row r="22" spans="1:18" ht="16.7" customHeight="1" x14ac:dyDescent="0.2">
      <c r="A22" s="2752">
        <v>14</v>
      </c>
      <c r="B22" s="2512" t="s">
        <v>126</v>
      </c>
      <c r="C22" s="4124">
        <v>24669889</v>
      </c>
      <c r="D22" s="3883"/>
      <c r="E22" s="3884"/>
      <c r="F22" s="4124">
        <v>4273000</v>
      </c>
      <c r="G22" s="3883"/>
      <c r="H22" s="3884"/>
      <c r="I22" s="4124">
        <v>44449150</v>
      </c>
      <c r="J22" s="3883"/>
      <c r="K22" s="3884"/>
      <c r="L22" s="4124">
        <v>35808970</v>
      </c>
      <c r="M22" s="3883"/>
      <c r="N22" s="3884"/>
      <c r="O22" s="4124">
        <v>53403807</v>
      </c>
      <c r="P22" s="3883"/>
      <c r="Q22" s="3884"/>
      <c r="R22" s="2528"/>
    </row>
    <row r="23" spans="1:18" ht="16.7" customHeight="1" x14ac:dyDescent="0.2">
      <c r="A23" s="2752">
        <v>15</v>
      </c>
      <c r="B23" s="2512" t="s">
        <v>779</v>
      </c>
      <c r="C23" s="4124">
        <v>335533558</v>
      </c>
      <c r="D23" s="3883"/>
      <c r="E23" s="3884"/>
      <c r="F23" s="4124">
        <v>84598057</v>
      </c>
      <c r="G23" s="3883"/>
      <c r="H23" s="3884"/>
      <c r="I23" s="4124">
        <v>313969454</v>
      </c>
      <c r="J23" s="3883"/>
      <c r="K23" s="3884"/>
      <c r="L23" s="4124">
        <v>335378177</v>
      </c>
      <c r="M23" s="3883"/>
      <c r="N23" s="3884"/>
      <c r="O23" s="4124">
        <v>589471126</v>
      </c>
      <c r="P23" s="3883"/>
      <c r="Q23" s="3884"/>
      <c r="R23" s="2528"/>
    </row>
    <row r="24" spans="1:18" ht="16.7" customHeight="1" x14ac:dyDescent="0.2">
      <c r="A24" s="2752">
        <v>16</v>
      </c>
      <c r="B24" s="2512" t="s">
        <v>780</v>
      </c>
      <c r="C24" s="4124">
        <v>1355802</v>
      </c>
      <c r="D24" s="3883"/>
      <c r="E24" s="3884"/>
      <c r="F24" s="4124">
        <v>0</v>
      </c>
      <c r="G24" s="3883"/>
      <c r="H24" s="3884"/>
      <c r="I24" s="4124">
        <v>77461</v>
      </c>
      <c r="J24" s="3883"/>
      <c r="K24" s="3884"/>
      <c r="L24" s="4124">
        <v>0</v>
      </c>
      <c r="M24" s="3883"/>
      <c r="N24" s="3884"/>
      <c r="O24" s="4124">
        <v>0</v>
      </c>
      <c r="P24" s="3883"/>
      <c r="Q24" s="3884"/>
      <c r="R24" s="2528"/>
    </row>
    <row r="25" spans="1:18" ht="16.7" customHeight="1" x14ac:dyDescent="0.2">
      <c r="A25" s="2752">
        <v>17</v>
      </c>
      <c r="B25" s="2512" t="s">
        <v>51</v>
      </c>
      <c r="C25" s="4125">
        <f>SUM(C21:E24)</f>
        <v>365289776</v>
      </c>
      <c r="D25" s="4126"/>
      <c r="E25" s="4127"/>
      <c r="F25" s="4125">
        <f>SUM(F21:H24)</f>
        <v>88871057</v>
      </c>
      <c r="G25" s="4126"/>
      <c r="H25" s="4127"/>
      <c r="I25" s="4125">
        <f>SUM(I21:K24)</f>
        <v>361899342</v>
      </c>
      <c r="J25" s="4126"/>
      <c r="K25" s="4127"/>
      <c r="L25" s="4125">
        <f>SUM(L21:N24)</f>
        <v>385719422</v>
      </c>
      <c r="M25" s="4126"/>
      <c r="N25" s="4127"/>
      <c r="O25" s="4125">
        <f>SUM(O21:Q24)</f>
        <v>659669559</v>
      </c>
      <c r="P25" s="4126"/>
      <c r="Q25" s="4127"/>
      <c r="R25" s="2528"/>
    </row>
    <row r="26" spans="1:18" ht="15.75" customHeight="1" x14ac:dyDescent="0.2">
      <c r="A26" s="2752">
        <v>18</v>
      </c>
      <c r="B26" s="2512" t="s">
        <v>10254</v>
      </c>
      <c r="C26" s="4130">
        <f>C25/(C13*1000)</f>
        <v>615.6915152536659</v>
      </c>
      <c r="D26" s="4131"/>
      <c r="E26" s="4132"/>
      <c r="F26" s="4130">
        <f>F25/(F13*1000)</f>
        <v>490.86471692902512</v>
      </c>
      <c r="G26" s="4131"/>
      <c r="H26" s="4132"/>
      <c r="I26" s="4130">
        <f>I25/(I13*1000)</f>
        <v>638.38303404480507</v>
      </c>
      <c r="J26" s="4131"/>
      <c r="K26" s="4132"/>
      <c r="L26" s="4130">
        <f>L25/(L13*1000)</f>
        <v>652.32440723828847</v>
      </c>
      <c r="M26" s="4131"/>
      <c r="N26" s="4132"/>
      <c r="O26" s="4130">
        <f>O25/(O13*1000)</f>
        <v>1006.8216712454213</v>
      </c>
      <c r="P26" s="4131"/>
      <c r="Q26" s="4132"/>
      <c r="R26" s="2528"/>
    </row>
    <row r="27" spans="1:18" ht="16.7" customHeight="1" x14ac:dyDescent="0.2">
      <c r="A27" s="2752">
        <v>19</v>
      </c>
      <c r="B27" s="2512" t="s">
        <v>783</v>
      </c>
      <c r="C27" s="4124">
        <v>253045</v>
      </c>
      <c r="D27" s="3883"/>
      <c r="E27" s="3884"/>
      <c r="F27" s="3989"/>
      <c r="G27" s="3883"/>
      <c r="H27" s="3884"/>
      <c r="I27" s="4124">
        <v>133300</v>
      </c>
      <c r="J27" s="3883"/>
      <c r="K27" s="3884"/>
      <c r="L27" s="4124">
        <v>88510</v>
      </c>
      <c r="M27" s="3883"/>
      <c r="N27" s="3884"/>
      <c r="O27" s="4124">
        <v>102310</v>
      </c>
      <c r="P27" s="3883"/>
      <c r="Q27" s="3884"/>
      <c r="R27" s="2528"/>
    </row>
    <row r="28" spans="1:18" ht="16.7" customHeight="1" x14ac:dyDescent="0.2">
      <c r="A28" s="2752">
        <v>20</v>
      </c>
      <c r="B28" s="2512" t="s">
        <v>559</v>
      </c>
      <c r="C28" s="4124">
        <v>123866584</v>
      </c>
      <c r="D28" s="3883"/>
      <c r="E28" s="3884"/>
      <c r="F28" s="4124">
        <v>583133</v>
      </c>
      <c r="G28" s="3883"/>
      <c r="H28" s="3884"/>
      <c r="I28" s="4124">
        <v>99903977</v>
      </c>
      <c r="J28" s="3883"/>
      <c r="K28" s="3884"/>
      <c r="L28" s="4124">
        <v>111416135</v>
      </c>
      <c r="M28" s="3883"/>
      <c r="N28" s="3884"/>
      <c r="O28" s="4124">
        <v>115780157</v>
      </c>
      <c r="P28" s="3883"/>
      <c r="Q28" s="3884"/>
      <c r="R28" s="2528"/>
    </row>
    <row r="29" spans="1:18" ht="16.7" customHeight="1" x14ac:dyDescent="0.2">
      <c r="A29" s="2752">
        <v>21</v>
      </c>
      <c r="B29" s="2512" t="s">
        <v>10255</v>
      </c>
      <c r="C29" s="3989"/>
      <c r="D29" s="3883"/>
      <c r="E29" s="3884"/>
      <c r="F29" s="3989"/>
      <c r="G29" s="3883"/>
      <c r="H29" s="3884"/>
      <c r="I29" s="3989"/>
      <c r="J29" s="3883"/>
      <c r="K29" s="3884"/>
      <c r="L29" s="3989"/>
      <c r="M29" s="3883"/>
      <c r="N29" s="3884"/>
      <c r="O29" s="3989"/>
      <c r="P29" s="3883"/>
      <c r="Q29" s="3884"/>
      <c r="R29" s="2528"/>
    </row>
    <row r="30" spans="1:18" ht="16.7" customHeight="1" x14ac:dyDescent="0.2">
      <c r="A30" s="2752">
        <v>22</v>
      </c>
      <c r="B30" s="2512" t="s">
        <v>10256</v>
      </c>
      <c r="C30" s="3989"/>
      <c r="D30" s="3883"/>
      <c r="E30" s="3884"/>
      <c r="F30" s="3989"/>
      <c r="G30" s="3883"/>
      <c r="H30" s="3884"/>
      <c r="I30" s="3989"/>
      <c r="J30" s="3883"/>
      <c r="K30" s="3884"/>
      <c r="L30" s="3989"/>
      <c r="M30" s="3883"/>
      <c r="N30" s="3884"/>
      <c r="O30" s="3989"/>
      <c r="P30" s="3883"/>
      <c r="Q30" s="3884"/>
      <c r="R30" s="2528"/>
    </row>
    <row r="31" spans="1:18" ht="16.7" customHeight="1" x14ac:dyDescent="0.2">
      <c r="A31" s="2752">
        <v>23</v>
      </c>
      <c r="B31" s="2512" t="s">
        <v>10257</v>
      </c>
      <c r="C31" s="3989"/>
      <c r="D31" s="3883"/>
      <c r="E31" s="3884"/>
      <c r="F31" s="3989"/>
      <c r="G31" s="3883"/>
      <c r="H31" s="3884"/>
      <c r="I31" s="3989"/>
      <c r="J31" s="3883"/>
      <c r="K31" s="3884"/>
      <c r="L31" s="3989"/>
      <c r="M31" s="3883"/>
      <c r="N31" s="3884"/>
      <c r="O31" s="3989"/>
      <c r="P31" s="3883"/>
      <c r="Q31" s="3884"/>
      <c r="R31" s="2528"/>
    </row>
    <row r="32" spans="1:18" ht="16.7" customHeight="1" x14ac:dyDescent="0.2">
      <c r="A32" s="2752">
        <v>24</v>
      </c>
      <c r="B32" s="2512" t="s">
        <v>10258</v>
      </c>
      <c r="C32" s="3989"/>
      <c r="D32" s="3883"/>
      <c r="E32" s="3884"/>
      <c r="F32" s="3989"/>
      <c r="G32" s="3883"/>
      <c r="H32" s="3884"/>
      <c r="I32" s="3989"/>
      <c r="J32" s="3883"/>
      <c r="K32" s="3884"/>
      <c r="L32" s="3989"/>
      <c r="M32" s="3883"/>
      <c r="N32" s="3884"/>
      <c r="O32" s="3989"/>
      <c r="P32" s="3883"/>
      <c r="Q32" s="3884"/>
      <c r="R32" s="2528"/>
    </row>
    <row r="33" spans="1:18" ht="16.7" customHeight="1" x14ac:dyDescent="0.2">
      <c r="A33" s="2752">
        <v>25</v>
      </c>
      <c r="B33" s="2512" t="s">
        <v>784</v>
      </c>
      <c r="C33" s="4124">
        <v>2431989</v>
      </c>
      <c r="D33" s="3883"/>
      <c r="E33" s="3884"/>
      <c r="F33" s="4124">
        <v>927062</v>
      </c>
      <c r="G33" s="3883"/>
      <c r="H33" s="3884"/>
      <c r="I33" s="4124">
        <v>2339214</v>
      </c>
      <c r="J33" s="3883"/>
      <c r="K33" s="3884"/>
      <c r="L33" s="4124">
        <v>2951536</v>
      </c>
      <c r="M33" s="3883"/>
      <c r="N33" s="3884"/>
      <c r="O33" s="4124">
        <v>4846192</v>
      </c>
      <c r="P33" s="3883"/>
      <c r="Q33" s="3884"/>
      <c r="R33" s="2528"/>
    </row>
    <row r="34" spans="1:18" ht="16.7" customHeight="1" x14ac:dyDescent="0.2">
      <c r="A34" s="2752">
        <v>26</v>
      </c>
      <c r="B34" s="2512" t="s">
        <v>10259</v>
      </c>
      <c r="C34" s="4124">
        <v>813248</v>
      </c>
      <c r="D34" s="3883"/>
      <c r="E34" s="3884"/>
      <c r="F34" s="3989"/>
      <c r="G34" s="3883"/>
      <c r="H34" s="3884"/>
      <c r="I34" s="4124">
        <v>651686</v>
      </c>
      <c r="J34" s="3883"/>
      <c r="K34" s="3884"/>
      <c r="L34" s="4124">
        <v>447900</v>
      </c>
      <c r="M34" s="3883"/>
      <c r="N34" s="3884"/>
      <c r="O34" s="4124">
        <v>519534</v>
      </c>
      <c r="P34" s="3883"/>
      <c r="Q34" s="3884"/>
      <c r="R34" s="2528"/>
    </row>
    <row r="35" spans="1:18" ht="16.7" customHeight="1" x14ac:dyDescent="0.2">
      <c r="A35" s="2752">
        <v>27</v>
      </c>
      <c r="B35" s="2512" t="s">
        <v>492</v>
      </c>
      <c r="C35" s="3989"/>
      <c r="D35" s="3883"/>
      <c r="E35" s="3884"/>
      <c r="F35" s="3989"/>
      <c r="G35" s="3883"/>
      <c r="H35" s="3884"/>
      <c r="I35" s="3989"/>
      <c r="J35" s="3883"/>
      <c r="K35" s="3884"/>
      <c r="L35" s="4124">
        <v>232</v>
      </c>
      <c r="M35" s="3883"/>
      <c r="N35" s="3884"/>
      <c r="O35" s="4124">
        <v>268</v>
      </c>
      <c r="P35" s="3883"/>
      <c r="Q35" s="3884"/>
      <c r="R35" s="2528"/>
    </row>
    <row r="36" spans="1:18" ht="16.7" customHeight="1" x14ac:dyDescent="0.2">
      <c r="A36" s="2752">
        <v>28</v>
      </c>
      <c r="B36" s="2512" t="s">
        <v>786</v>
      </c>
      <c r="C36" s="3989"/>
      <c r="D36" s="3883"/>
      <c r="E36" s="3884"/>
      <c r="F36" s="3989"/>
      <c r="G36" s="3883"/>
      <c r="H36" s="3884"/>
      <c r="I36" s="3989"/>
      <c r="J36" s="3883"/>
      <c r="K36" s="3884"/>
      <c r="L36" s="3989"/>
      <c r="M36" s="3883"/>
      <c r="N36" s="3884"/>
      <c r="O36" s="3989"/>
      <c r="P36" s="3883"/>
      <c r="Q36" s="3884"/>
      <c r="R36" s="2528"/>
    </row>
    <row r="37" spans="1:18" ht="16.7" customHeight="1" x14ac:dyDescent="0.2">
      <c r="A37" s="2752">
        <v>29</v>
      </c>
      <c r="B37" s="2512" t="s">
        <v>787</v>
      </c>
      <c r="C37" s="3989"/>
      <c r="D37" s="3883"/>
      <c r="E37" s="3884"/>
      <c r="F37" s="3989"/>
      <c r="G37" s="3883"/>
      <c r="H37" s="3884"/>
      <c r="I37" s="3989"/>
      <c r="J37" s="3883"/>
      <c r="K37" s="3884"/>
      <c r="L37" s="3989"/>
      <c r="M37" s="3883"/>
      <c r="N37" s="3884"/>
      <c r="O37" s="3989"/>
      <c r="P37" s="3883"/>
      <c r="Q37" s="3884"/>
      <c r="R37" s="2528"/>
    </row>
    <row r="38" spans="1:18" ht="16.7" customHeight="1" x14ac:dyDescent="0.2">
      <c r="A38" s="2752">
        <v>30</v>
      </c>
      <c r="B38" s="2512" t="s">
        <v>788</v>
      </c>
      <c r="C38" s="4124">
        <v>36613</v>
      </c>
      <c r="D38" s="3883"/>
      <c r="E38" s="3884"/>
      <c r="F38" s="4124">
        <v>112407</v>
      </c>
      <c r="G38" s="3883"/>
      <c r="H38" s="3884"/>
      <c r="I38" s="4124">
        <v>564282</v>
      </c>
      <c r="J38" s="3883"/>
      <c r="K38" s="3884"/>
      <c r="L38" s="4124">
        <v>1023486</v>
      </c>
      <c r="M38" s="3883"/>
      <c r="N38" s="3884"/>
      <c r="O38" s="4124">
        <v>2981915</v>
      </c>
      <c r="P38" s="3883"/>
      <c r="Q38" s="3884"/>
      <c r="R38" s="2528"/>
    </row>
    <row r="39" spans="1:18" ht="16.7" customHeight="1" x14ac:dyDescent="0.2">
      <c r="A39" s="2752">
        <v>31</v>
      </c>
      <c r="B39" s="2512" t="s">
        <v>10260</v>
      </c>
      <c r="C39" s="3989"/>
      <c r="D39" s="3883"/>
      <c r="E39" s="3884"/>
      <c r="F39" s="3989"/>
      <c r="G39" s="3883"/>
      <c r="H39" s="3884"/>
      <c r="I39" s="3989"/>
      <c r="J39" s="3883"/>
      <c r="K39" s="3884"/>
      <c r="L39" s="3989"/>
      <c r="M39" s="3883"/>
      <c r="N39" s="3884"/>
      <c r="O39" s="3989"/>
      <c r="P39" s="3883"/>
      <c r="Q39" s="3884"/>
      <c r="R39" s="2528"/>
    </row>
    <row r="40" spans="1:18" ht="16.7" customHeight="1" x14ac:dyDescent="0.2">
      <c r="A40" s="2752">
        <v>32</v>
      </c>
      <c r="B40" s="2512" t="s">
        <v>10261</v>
      </c>
      <c r="C40" s="4124">
        <v>4416787</v>
      </c>
      <c r="D40" s="3883"/>
      <c r="E40" s="3884"/>
      <c r="F40" s="4124">
        <v>332209</v>
      </c>
      <c r="G40" s="3883"/>
      <c r="H40" s="3884"/>
      <c r="I40" s="4124">
        <v>1624274</v>
      </c>
      <c r="J40" s="3883"/>
      <c r="K40" s="3884"/>
      <c r="L40" s="4124">
        <v>602637</v>
      </c>
      <c r="M40" s="3883"/>
      <c r="N40" s="3884"/>
      <c r="O40" s="4124">
        <v>4604321</v>
      </c>
      <c r="P40" s="3883"/>
      <c r="Q40" s="3884"/>
      <c r="R40" s="2528"/>
    </row>
    <row r="41" spans="1:18" ht="16.7" customHeight="1" x14ac:dyDescent="0.2">
      <c r="A41" s="2752">
        <v>33</v>
      </c>
      <c r="B41" s="2512" t="s">
        <v>10262</v>
      </c>
      <c r="C41" s="3989"/>
      <c r="D41" s="3883"/>
      <c r="E41" s="3884"/>
      <c r="F41" s="4124">
        <v>114877</v>
      </c>
      <c r="G41" s="3883"/>
      <c r="H41" s="3884"/>
      <c r="I41" s="4124">
        <v>77010</v>
      </c>
      <c r="J41" s="3883"/>
      <c r="K41" s="3884"/>
      <c r="L41" s="4124">
        <v>32423</v>
      </c>
      <c r="M41" s="3883"/>
      <c r="N41" s="3884"/>
      <c r="O41" s="4142">
        <v>33239</v>
      </c>
      <c r="P41" s="4143"/>
      <c r="Q41" s="4144"/>
      <c r="R41" s="2528"/>
    </row>
    <row r="42" spans="1:18" ht="16.7" customHeight="1" x14ac:dyDescent="0.2">
      <c r="A42" s="2752">
        <v>34</v>
      </c>
      <c r="B42" s="2512" t="s">
        <v>10263</v>
      </c>
      <c r="C42" s="4125">
        <f>SUM(C27:C41)</f>
        <v>131818266</v>
      </c>
      <c r="D42" s="4126"/>
      <c r="E42" s="4127"/>
      <c r="F42" s="4125">
        <f>SUM(F27:F41)</f>
        <v>2069688</v>
      </c>
      <c r="G42" s="4126"/>
      <c r="H42" s="4127"/>
      <c r="I42" s="4125">
        <f>SUM(I27:I41)</f>
        <v>105293743</v>
      </c>
      <c r="J42" s="4126"/>
      <c r="K42" s="4127"/>
      <c r="L42" s="4125">
        <f>SUM(L27:L41)</f>
        <v>116562859</v>
      </c>
      <c r="M42" s="4126"/>
      <c r="N42" s="4127"/>
      <c r="O42" s="4145">
        <f>SUM(O27:O41)</f>
        <v>128867936</v>
      </c>
      <c r="P42" s="4146"/>
      <c r="Q42" s="4147"/>
      <c r="R42" s="2528"/>
    </row>
    <row r="43" spans="1:18" ht="16.7" customHeight="1" x14ac:dyDescent="0.2">
      <c r="A43" s="2752">
        <v>35</v>
      </c>
      <c r="B43" s="2512" t="s">
        <v>10264</v>
      </c>
      <c r="C43" s="4136">
        <f>C42/C20</f>
        <v>5.8873539028685487E-2</v>
      </c>
      <c r="D43" s="4137"/>
      <c r="E43" s="4138"/>
      <c r="F43" s="4136">
        <f>F42/F20</f>
        <v>1.1575436241610739</v>
      </c>
      <c r="G43" s="4137"/>
      <c r="H43" s="4138"/>
      <c r="I43" s="4136">
        <f>I42/I20</f>
        <v>3.6561025644586964E-2</v>
      </c>
      <c r="J43" s="4137"/>
      <c r="K43" s="4138"/>
      <c r="L43" s="4136">
        <f>L42/L20</f>
        <v>3.7528008968381751E-2</v>
      </c>
      <c r="M43" s="4137"/>
      <c r="N43" s="4138"/>
      <c r="O43" s="4136">
        <f>O42/O20</f>
        <v>3.8462575466888881E-2</v>
      </c>
      <c r="P43" s="4137"/>
      <c r="Q43" s="4138"/>
      <c r="R43" s="2528"/>
    </row>
    <row r="44" spans="1:18" ht="16.7" customHeight="1" x14ac:dyDescent="0.2">
      <c r="A44" s="2752">
        <v>36</v>
      </c>
      <c r="B44" s="2512" t="s">
        <v>10265</v>
      </c>
      <c r="C44" s="2498" t="s">
        <v>6498</v>
      </c>
      <c r="D44" s="2498"/>
      <c r="E44" s="2498"/>
      <c r="F44" s="2498" t="s">
        <v>6498</v>
      </c>
      <c r="G44" s="2498"/>
      <c r="H44" s="2498"/>
      <c r="I44" s="2498" t="s">
        <v>6498</v>
      </c>
      <c r="J44" s="2498"/>
      <c r="K44" s="2498"/>
      <c r="L44" s="2498" t="s">
        <v>6498</v>
      </c>
      <c r="M44" s="2498"/>
      <c r="N44" s="2498"/>
      <c r="O44" s="2498" t="s">
        <v>6498</v>
      </c>
      <c r="P44" s="2498"/>
      <c r="Q44" s="2498"/>
      <c r="R44" s="2528"/>
    </row>
    <row r="45" spans="1:18" ht="15.75" customHeight="1" x14ac:dyDescent="0.2">
      <c r="A45" s="2752">
        <v>37</v>
      </c>
      <c r="B45" s="2512" t="s">
        <v>10268</v>
      </c>
      <c r="C45" s="2498" t="s">
        <v>10301</v>
      </c>
      <c r="D45" s="2498"/>
      <c r="E45" s="2498"/>
      <c r="F45" s="2498" t="s">
        <v>10301</v>
      </c>
      <c r="G45" s="2498"/>
      <c r="H45" s="2498"/>
      <c r="I45" s="2498" t="s">
        <v>10301</v>
      </c>
      <c r="J45" s="2498"/>
      <c r="K45" s="2498"/>
      <c r="L45" s="2498" t="s">
        <v>10301</v>
      </c>
      <c r="M45" s="2498"/>
      <c r="N45" s="2498"/>
      <c r="O45" s="2498" t="s">
        <v>10301</v>
      </c>
      <c r="P45" s="2498"/>
      <c r="Q45" s="2498"/>
      <c r="R45" s="2528"/>
    </row>
    <row r="46" spans="1:18" ht="15.75" customHeight="1" x14ac:dyDescent="0.2">
      <c r="A46" s="2752">
        <v>38</v>
      </c>
      <c r="B46" s="2512" t="s">
        <v>10270</v>
      </c>
      <c r="C46" s="2677">
        <v>15322179</v>
      </c>
      <c r="D46" s="2614"/>
      <c r="E46" s="2614"/>
      <c r="F46" s="3022">
        <v>90059</v>
      </c>
      <c r="G46" s="2614"/>
      <c r="H46" s="2614"/>
      <c r="I46" s="3022">
        <v>20224000</v>
      </c>
      <c r="J46" s="2614"/>
      <c r="K46" s="2614"/>
      <c r="L46" s="3022">
        <v>21778111</v>
      </c>
      <c r="M46" s="2614"/>
      <c r="N46" s="2614"/>
      <c r="O46" s="2677">
        <v>22848760</v>
      </c>
      <c r="P46" s="2614"/>
      <c r="Q46" s="2614"/>
      <c r="R46" s="2528"/>
    </row>
    <row r="47" spans="1:18" ht="15.75" customHeight="1" x14ac:dyDescent="0.2">
      <c r="A47" s="2752">
        <v>39</v>
      </c>
      <c r="B47" s="2512" t="s">
        <v>10271</v>
      </c>
      <c r="C47" s="2677">
        <v>1100</v>
      </c>
      <c r="D47" s="2614"/>
      <c r="E47" s="2614"/>
      <c r="F47" s="3022">
        <v>1040</v>
      </c>
      <c r="G47" s="2614"/>
      <c r="H47" s="2614"/>
      <c r="I47" s="3022">
        <v>1054</v>
      </c>
      <c r="J47" s="2614"/>
      <c r="K47" s="2614"/>
      <c r="L47" s="3022">
        <v>1050</v>
      </c>
      <c r="M47" s="2614"/>
      <c r="N47" s="2614"/>
      <c r="O47" s="2677">
        <v>1050</v>
      </c>
      <c r="P47" s="2614"/>
      <c r="Q47" s="2614"/>
      <c r="R47" s="2528"/>
    </row>
    <row r="48" spans="1:18" ht="15.75" customHeight="1" x14ac:dyDescent="0.2">
      <c r="A48" s="2752">
        <v>40</v>
      </c>
      <c r="B48" s="2512" t="s">
        <v>10272</v>
      </c>
      <c r="C48" s="3023">
        <v>8.0839999999999996</v>
      </c>
      <c r="D48" s="2614"/>
      <c r="E48" s="2614"/>
      <c r="F48" s="3024">
        <v>6.4749999999999996</v>
      </c>
      <c r="G48" s="2614"/>
      <c r="H48" s="2614"/>
      <c r="I48" s="3024">
        <v>4.9400000000000004</v>
      </c>
      <c r="J48" s="2614"/>
      <c r="K48" s="2614"/>
      <c r="L48" s="3024">
        <v>5.1159999999999997</v>
      </c>
      <c r="M48" s="2614"/>
      <c r="N48" s="2614"/>
      <c r="O48" s="3023">
        <v>5.0670000000000002</v>
      </c>
      <c r="P48" s="2614"/>
      <c r="Q48" s="2614"/>
      <c r="R48" s="2528"/>
    </row>
    <row r="49" spans="1:18" ht="15.75" customHeight="1" x14ac:dyDescent="0.2">
      <c r="A49" s="2752">
        <v>41</v>
      </c>
      <c r="B49" s="2512" t="s">
        <v>10273</v>
      </c>
      <c r="C49" s="3023">
        <v>8.0839999999999996</v>
      </c>
      <c r="D49" s="2614"/>
      <c r="E49" s="2614"/>
      <c r="F49" s="3024">
        <v>6.4749999999999996</v>
      </c>
      <c r="G49" s="2614"/>
      <c r="H49" s="2614"/>
      <c r="I49" s="3024">
        <v>4.9400000000000004</v>
      </c>
      <c r="J49" s="2614"/>
      <c r="K49" s="2614"/>
      <c r="L49" s="3024">
        <v>5.1159999999999997</v>
      </c>
      <c r="M49" s="2614"/>
      <c r="N49" s="2614"/>
      <c r="O49" s="3023">
        <v>5.0670000000000002</v>
      </c>
      <c r="P49" s="2614"/>
      <c r="Q49" s="2614"/>
      <c r="R49" s="2528"/>
    </row>
    <row r="50" spans="1:18" ht="15.75" customHeight="1" x14ac:dyDescent="0.2">
      <c r="A50" s="2752">
        <v>42</v>
      </c>
      <c r="B50" s="2512" t="s">
        <v>10274</v>
      </c>
      <c r="C50" s="3023">
        <v>7.3520000000000003</v>
      </c>
      <c r="D50" s="2614"/>
      <c r="E50" s="2614"/>
      <c r="F50" s="3024">
        <v>6.2220000000000004</v>
      </c>
      <c r="G50" s="2614"/>
      <c r="H50" s="2614"/>
      <c r="I50" s="3024">
        <v>4.6859999999999999</v>
      </c>
      <c r="J50" s="2614"/>
      <c r="K50" s="2614"/>
      <c r="L50" s="3024">
        <v>4.8739999999999997</v>
      </c>
      <c r="M50" s="2614"/>
      <c r="N50" s="2614"/>
      <c r="O50" s="3023">
        <v>4.8280000000000003</v>
      </c>
      <c r="P50" s="2614"/>
      <c r="Q50" s="2614"/>
      <c r="R50" s="2528"/>
    </row>
    <row r="51" spans="1:18" ht="15.75" customHeight="1" x14ac:dyDescent="0.2">
      <c r="A51" s="2752">
        <v>43</v>
      </c>
      <c r="B51" s="2512" t="s">
        <v>10275</v>
      </c>
      <c r="C51" s="3023">
        <v>5.5E-2</v>
      </c>
      <c r="D51" s="2614"/>
      <c r="E51" s="2614"/>
      <c r="F51" s="3024">
        <v>0.32600000000000001</v>
      </c>
      <c r="G51" s="2614"/>
      <c r="H51" s="2614"/>
      <c r="I51" s="3024">
        <v>3.5000000000000003E-2</v>
      </c>
      <c r="J51" s="2614"/>
      <c r="K51" s="2614"/>
      <c r="L51" s="3024">
        <v>3.5999999999999997E-2</v>
      </c>
      <c r="M51" s="2614"/>
      <c r="N51" s="2614"/>
      <c r="O51" s="3023">
        <v>3.5000000000000003E-2</v>
      </c>
      <c r="P51" s="2614"/>
      <c r="Q51" s="2614"/>
      <c r="R51" s="2528"/>
    </row>
    <row r="52" spans="1:18" ht="15.75" customHeight="1" x14ac:dyDescent="0.2">
      <c r="A52" s="2752">
        <v>44</v>
      </c>
      <c r="B52" s="2512" t="s">
        <v>10276</v>
      </c>
      <c r="C52" s="3023">
        <v>7524.5129999999999</v>
      </c>
      <c r="D52" s="2614"/>
      <c r="E52" s="2614"/>
      <c r="F52" s="3024">
        <v>52417.226000000002</v>
      </c>
      <c r="G52" s="2614"/>
      <c r="H52" s="2614"/>
      <c r="I52" s="3024">
        <v>7402.2629999999999</v>
      </c>
      <c r="J52" s="2614"/>
      <c r="K52" s="2614"/>
      <c r="L52" s="3024">
        <v>7359.4629999999997</v>
      </c>
      <c r="M52" s="2614"/>
      <c r="N52" s="2614"/>
      <c r="O52" s="3023">
        <v>7157.9660000000003</v>
      </c>
      <c r="P52" s="2614"/>
      <c r="Q52" s="2614"/>
      <c r="R52" s="2528"/>
    </row>
    <row r="53" spans="1:18" ht="16.7" customHeight="1" x14ac:dyDescent="0.2">
      <c r="A53" s="2516"/>
      <c r="B53" s="2516"/>
      <c r="C53" s="2516"/>
      <c r="D53" s="2516"/>
      <c r="E53" s="2516"/>
      <c r="F53" s="2516"/>
      <c r="G53" s="2516"/>
      <c r="H53" s="2516"/>
      <c r="I53" s="2516"/>
      <c r="J53" s="2516"/>
      <c r="K53" s="2516"/>
      <c r="L53" s="2516"/>
      <c r="M53" s="2516"/>
      <c r="N53" s="2516"/>
      <c r="O53" s="2516"/>
      <c r="P53" s="2516"/>
      <c r="Q53" s="2516"/>
    </row>
    <row r="54" spans="1:18" ht="16.7" customHeight="1" x14ac:dyDescent="0.2"/>
    <row r="55" spans="1:18" ht="16.7" customHeight="1" x14ac:dyDescent="0.2"/>
    <row r="56" spans="1:18" ht="16.7" customHeight="1" x14ac:dyDescent="0.2"/>
    <row r="57" spans="1:18" ht="16.7" customHeight="1" x14ac:dyDescent="0.2"/>
    <row r="58" spans="1:18" ht="16.7" customHeight="1" x14ac:dyDescent="0.2"/>
    <row r="59" spans="1:18" ht="16.7" customHeight="1" x14ac:dyDescent="0.2"/>
    <row r="60" spans="1:18" ht="16.7" customHeight="1" x14ac:dyDescent="0.2"/>
    <row r="61" spans="1:18" ht="16.7" customHeight="1" x14ac:dyDescent="0.2"/>
    <row r="62" spans="1:18" ht="16.7" customHeight="1" x14ac:dyDescent="0.2"/>
    <row r="63" spans="1:18" ht="16.7" customHeight="1" x14ac:dyDescent="0.2"/>
    <row r="64" spans="1:18" ht="16.7" customHeight="1" x14ac:dyDescent="0.2"/>
    <row r="65" ht="16.7" customHeight="1" x14ac:dyDescent="0.2"/>
    <row r="66" ht="16.7" customHeight="1" x14ac:dyDescent="0.2"/>
    <row r="67" ht="16.7" customHeight="1" x14ac:dyDescent="0.2"/>
    <row r="68" ht="16.7" customHeight="1" x14ac:dyDescent="0.2"/>
    <row r="69" ht="16.7" customHeight="1" x14ac:dyDescent="0.2"/>
    <row r="70" ht="16.7" customHeight="1" x14ac:dyDescent="0.2"/>
    <row r="71" ht="16.7" customHeight="1" x14ac:dyDescent="0.2"/>
    <row r="72" ht="16.7" customHeight="1" x14ac:dyDescent="0.2"/>
    <row r="73" ht="16.7" customHeight="1" x14ac:dyDescent="0.2"/>
    <row r="74" ht="16.7" customHeight="1" x14ac:dyDescent="0.2"/>
    <row r="75" ht="16.7" customHeight="1" x14ac:dyDescent="0.2"/>
    <row r="76" ht="16.7" customHeight="1" x14ac:dyDescent="0.2"/>
    <row r="77" ht="16.7" customHeight="1" x14ac:dyDescent="0.2"/>
    <row r="78" ht="16.7" customHeight="1" x14ac:dyDescent="0.2"/>
    <row r="79" ht="16.7" customHeight="1" x14ac:dyDescent="0.2"/>
    <row r="80" ht="16.7" customHeight="1" x14ac:dyDescent="0.2"/>
    <row r="81" ht="16.7" customHeight="1" x14ac:dyDescent="0.2"/>
    <row r="82" ht="16.7" customHeight="1" x14ac:dyDescent="0.2"/>
    <row r="83" ht="16.7" customHeight="1" x14ac:dyDescent="0.2"/>
    <row r="84" ht="16.7" customHeight="1" x14ac:dyDescent="0.2"/>
    <row r="85" ht="16.7" customHeight="1" x14ac:dyDescent="0.2"/>
    <row r="86" ht="16.7" customHeight="1" x14ac:dyDescent="0.2"/>
    <row r="87" ht="16.7" customHeight="1" x14ac:dyDescent="0.2"/>
    <row r="88" ht="16.7" customHeight="1" x14ac:dyDescent="0.2"/>
    <row r="89" ht="16.7" customHeight="1" x14ac:dyDescent="0.2"/>
    <row r="90" ht="16.7" customHeight="1" x14ac:dyDescent="0.2"/>
    <row r="91" ht="16.7" customHeight="1" x14ac:dyDescent="0.2"/>
    <row r="92" ht="16.7" customHeight="1" x14ac:dyDescent="0.2"/>
    <row r="93" ht="16.7" customHeight="1" x14ac:dyDescent="0.2"/>
    <row r="94" ht="16.7" customHeight="1" x14ac:dyDescent="0.2"/>
    <row r="95" ht="16.7" customHeight="1" x14ac:dyDescent="0.2"/>
    <row r="96" ht="16.7" customHeight="1" x14ac:dyDescent="0.2"/>
    <row r="97" ht="16.7" customHeight="1" x14ac:dyDescent="0.2"/>
    <row r="98" ht="16.7" customHeight="1" x14ac:dyDescent="0.2"/>
    <row r="99" ht="16.7" customHeight="1" x14ac:dyDescent="0.2"/>
    <row r="100" ht="16.7" customHeight="1" x14ac:dyDescent="0.2"/>
    <row r="101" ht="16.7" customHeight="1" x14ac:dyDescent="0.2"/>
    <row r="102" ht="16.7" customHeight="1" x14ac:dyDescent="0.2"/>
    <row r="103" ht="16.7" customHeight="1" x14ac:dyDescent="0.2"/>
    <row r="104" ht="16.7" customHeight="1" x14ac:dyDescent="0.2"/>
  </sheetData>
  <mergeCells count="196">
    <mergeCell ref="C42:E42"/>
    <mergeCell ref="F42:H42"/>
    <mergeCell ref="I42:K42"/>
    <mergeCell ref="L42:N42"/>
    <mergeCell ref="O42:Q42"/>
    <mergeCell ref="C43:E43"/>
    <mergeCell ref="F43:H43"/>
    <mergeCell ref="I43:K43"/>
    <mergeCell ref="L43:N43"/>
    <mergeCell ref="O43:Q43"/>
    <mergeCell ref="C40:E40"/>
    <mergeCell ref="F40:H40"/>
    <mergeCell ref="I40:K40"/>
    <mergeCell ref="L40:N40"/>
    <mergeCell ref="O40:Q40"/>
    <mergeCell ref="C41:E41"/>
    <mergeCell ref="F41:H41"/>
    <mergeCell ref="I41:K41"/>
    <mergeCell ref="L41:N41"/>
    <mergeCell ref="O41:Q41"/>
    <mergeCell ref="C38:E38"/>
    <mergeCell ref="F38:H38"/>
    <mergeCell ref="I38:K38"/>
    <mergeCell ref="L38:N38"/>
    <mergeCell ref="O38:Q38"/>
    <mergeCell ref="C39:E39"/>
    <mergeCell ref="F39:H39"/>
    <mergeCell ref="I39:K39"/>
    <mergeCell ref="L39:N39"/>
    <mergeCell ref="O39:Q39"/>
    <mergeCell ref="C36:E36"/>
    <mergeCell ref="F36:H36"/>
    <mergeCell ref="I36:K36"/>
    <mergeCell ref="L36:N36"/>
    <mergeCell ref="O36:Q36"/>
    <mergeCell ref="C37:E37"/>
    <mergeCell ref="F37:H37"/>
    <mergeCell ref="I37:K37"/>
    <mergeCell ref="L37:N37"/>
    <mergeCell ref="O37:Q37"/>
    <mergeCell ref="C34:E34"/>
    <mergeCell ref="F34:H34"/>
    <mergeCell ref="I34:K34"/>
    <mergeCell ref="L34:N34"/>
    <mergeCell ref="O34:Q34"/>
    <mergeCell ref="C35:E35"/>
    <mergeCell ref="F35:H35"/>
    <mergeCell ref="I35:K35"/>
    <mergeCell ref="L35:N35"/>
    <mergeCell ref="O35:Q35"/>
    <mergeCell ref="C32:E32"/>
    <mergeCell ref="F32:H32"/>
    <mergeCell ref="I32:K32"/>
    <mergeCell ref="L32:N32"/>
    <mergeCell ref="O32:Q32"/>
    <mergeCell ref="C33:E33"/>
    <mergeCell ref="F33:H33"/>
    <mergeCell ref="I33:K33"/>
    <mergeCell ref="L33:N33"/>
    <mergeCell ref="O33:Q33"/>
    <mergeCell ref="C30:E30"/>
    <mergeCell ref="F30:H30"/>
    <mergeCell ref="I30:K30"/>
    <mergeCell ref="L30:N30"/>
    <mergeCell ref="O30:Q30"/>
    <mergeCell ref="C31:E31"/>
    <mergeCell ref="F31:H31"/>
    <mergeCell ref="I31:K31"/>
    <mergeCell ref="L31:N31"/>
    <mergeCell ref="O31:Q31"/>
    <mergeCell ref="C28:E28"/>
    <mergeCell ref="F28:H28"/>
    <mergeCell ref="I28:K28"/>
    <mergeCell ref="L28:N28"/>
    <mergeCell ref="O28:Q28"/>
    <mergeCell ref="C29:E29"/>
    <mergeCell ref="F29:H29"/>
    <mergeCell ref="I29:K29"/>
    <mergeCell ref="L29:N29"/>
    <mergeCell ref="O29:Q29"/>
    <mergeCell ref="C26:E26"/>
    <mergeCell ref="F26:H26"/>
    <mergeCell ref="I26:K26"/>
    <mergeCell ref="L26:N26"/>
    <mergeCell ref="O26:Q26"/>
    <mergeCell ref="C27:E27"/>
    <mergeCell ref="F27:H27"/>
    <mergeCell ref="I27:K27"/>
    <mergeCell ref="L27:N27"/>
    <mergeCell ref="O27:Q27"/>
    <mergeCell ref="C24:E24"/>
    <mergeCell ref="F24:H24"/>
    <mergeCell ref="I24:K24"/>
    <mergeCell ref="L24:N24"/>
    <mergeCell ref="O24:Q24"/>
    <mergeCell ref="C25:E25"/>
    <mergeCell ref="F25:H25"/>
    <mergeCell ref="I25:K25"/>
    <mergeCell ref="L25:N25"/>
    <mergeCell ref="O25:Q25"/>
    <mergeCell ref="C22:E22"/>
    <mergeCell ref="F22:H22"/>
    <mergeCell ref="I22:K22"/>
    <mergeCell ref="L22:N22"/>
    <mergeCell ref="O22:Q22"/>
    <mergeCell ref="C23:E23"/>
    <mergeCell ref="F23:H23"/>
    <mergeCell ref="I23:K23"/>
    <mergeCell ref="L23:N23"/>
    <mergeCell ref="O23:Q23"/>
    <mergeCell ref="C20:E20"/>
    <mergeCell ref="F20:H20"/>
    <mergeCell ref="I20:K20"/>
    <mergeCell ref="L20:N20"/>
    <mergeCell ref="O20:Q20"/>
    <mergeCell ref="C21:E21"/>
    <mergeCell ref="F21:H21"/>
    <mergeCell ref="I21:K21"/>
    <mergeCell ref="L21:N21"/>
    <mergeCell ref="O21:Q21"/>
    <mergeCell ref="C18:E18"/>
    <mergeCell ref="F18:H18"/>
    <mergeCell ref="I18:K18"/>
    <mergeCell ref="L18:N18"/>
    <mergeCell ref="O18:Q18"/>
    <mergeCell ref="C19:E19"/>
    <mergeCell ref="F19:H19"/>
    <mergeCell ref="I19:K19"/>
    <mergeCell ref="L19:N19"/>
    <mergeCell ref="O19:Q19"/>
    <mergeCell ref="C16:E16"/>
    <mergeCell ref="F16:H16"/>
    <mergeCell ref="I16:K16"/>
    <mergeCell ref="L16:N16"/>
    <mergeCell ref="O16:Q16"/>
    <mergeCell ref="C17:E17"/>
    <mergeCell ref="F17:H17"/>
    <mergeCell ref="I17:K17"/>
    <mergeCell ref="L17:N17"/>
    <mergeCell ref="O17:Q17"/>
    <mergeCell ref="C14:E14"/>
    <mergeCell ref="F14:H14"/>
    <mergeCell ref="I14:K14"/>
    <mergeCell ref="L14:N14"/>
    <mergeCell ref="O14:Q14"/>
    <mergeCell ref="C15:E15"/>
    <mergeCell ref="F15:H15"/>
    <mergeCell ref="I15:K15"/>
    <mergeCell ref="L15:N15"/>
    <mergeCell ref="O15:Q15"/>
    <mergeCell ref="C12:E12"/>
    <mergeCell ref="F12:H12"/>
    <mergeCell ref="I12:K12"/>
    <mergeCell ref="L12:N12"/>
    <mergeCell ref="O12:Q12"/>
    <mergeCell ref="C13:E13"/>
    <mergeCell ref="F13:H13"/>
    <mergeCell ref="I13:K13"/>
    <mergeCell ref="L13:N13"/>
    <mergeCell ref="O13:Q13"/>
    <mergeCell ref="C10:E10"/>
    <mergeCell ref="F10:H10"/>
    <mergeCell ref="I10:K10"/>
    <mergeCell ref="L10:N10"/>
    <mergeCell ref="O10:Q10"/>
    <mergeCell ref="C11:E11"/>
    <mergeCell ref="F11:H11"/>
    <mergeCell ref="I11:K11"/>
    <mergeCell ref="L11:N11"/>
    <mergeCell ref="O11:Q11"/>
    <mergeCell ref="C8:E8"/>
    <mergeCell ref="F8:H8"/>
    <mergeCell ref="I8:K8"/>
    <mergeCell ref="L8:N8"/>
    <mergeCell ref="O8:Q8"/>
    <mergeCell ref="C9:E9"/>
    <mergeCell ref="F9:H9"/>
    <mergeCell ref="I9:K9"/>
    <mergeCell ref="L9:N9"/>
    <mergeCell ref="O9:Q9"/>
    <mergeCell ref="P6:Q6"/>
    <mergeCell ref="C7:E7"/>
    <mergeCell ref="F7:H7"/>
    <mergeCell ref="I7:K7"/>
    <mergeCell ref="L7:N7"/>
    <mergeCell ref="O7:Q7"/>
    <mergeCell ref="D1:M1"/>
    <mergeCell ref="A3:B3"/>
    <mergeCell ref="C3:Q3"/>
    <mergeCell ref="A4:P4"/>
    <mergeCell ref="A5:Q5"/>
    <mergeCell ref="A6:A7"/>
    <mergeCell ref="D6:E6"/>
    <mergeCell ref="G6:H6"/>
    <mergeCell ref="J6:K6"/>
    <mergeCell ref="M6:N6"/>
  </mergeCells>
  <pageMargins left="0.75" right="0.75" top="1" bottom="1" header="0.5" footer="0.5"/>
  <customProperties>
    <customPr name="_pios_id" r:id="rId1"/>
  </customProperties>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60971D-6653-40C8-959C-FE4C845DB83E}">
  <sheetPr codeName="Sheet96"/>
  <dimension ref="A1:M105"/>
  <sheetViews>
    <sheetView workbookViewId="0">
      <pane xSplit="2" ySplit="7" topLeftCell="C8" activePane="bottomRight" state="frozen"/>
      <selection pane="topRight"/>
      <selection pane="bottomLeft"/>
      <selection pane="bottomRight"/>
    </sheetView>
  </sheetViews>
  <sheetFormatPr defaultColWidth="11.5" defaultRowHeight="12.75" x14ac:dyDescent="0.2"/>
  <cols>
    <col min="1" max="1" width="4.875" style="1953" customWidth="1"/>
    <col min="2" max="2" width="35.5" style="1953" customWidth="1"/>
    <col min="3" max="3" width="13.5" style="1953" customWidth="1"/>
    <col min="4" max="4" width="12.625" style="1953" customWidth="1"/>
    <col min="5" max="5" width="14.125" style="1953" customWidth="1"/>
    <col min="6" max="6" width="12" style="1953" customWidth="1"/>
    <col min="7" max="7" width="14.625" style="1953" customWidth="1"/>
    <col min="8" max="8" width="14.375" style="1953" customWidth="1"/>
    <col min="9" max="9" width="16.25" style="1953" customWidth="1"/>
    <col min="10" max="10" width="14.375" style="1953" customWidth="1"/>
    <col min="11" max="11" width="18" style="1953" customWidth="1"/>
    <col min="12" max="12" width="15.125" style="1953" customWidth="1"/>
    <col min="13" max="16384" width="11.5" style="1953"/>
  </cols>
  <sheetData>
    <row r="1" spans="1:13" ht="16.7" customHeight="1" x14ac:dyDescent="0.2">
      <c r="B1" s="2744" t="s">
        <v>7058</v>
      </c>
      <c r="C1" s="4098" t="s">
        <v>10309</v>
      </c>
      <c r="D1" s="4099"/>
      <c r="E1" s="4099"/>
      <c r="F1" s="4099"/>
      <c r="G1" s="4099"/>
      <c r="H1" s="4099"/>
      <c r="I1" s="4100"/>
      <c r="J1" s="3026"/>
    </row>
    <row r="2" spans="1:13" ht="16.7" customHeight="1" x14ac:dyDescent="0.2">
      <c r="B2" s="2620"/>
      <c r="C2" s="2620"/>
      <c r="D2" s="2620"/>
      <c r="E2" s="2620"/>
      <c r="F2" s="2620"/>
      <c r="G2" s="2516"/>
      <c r="H2" s="2516"/>
      <c r="I2" s="2516"/>
    </row>
    <row r="3" spans="1:13" ht="16.7" customHeight="1" x14ac:dyDescent="0.2">
      <c r="A3" s="3882" t="s">
        <v>10310</v>
      </c>
      <c r="B3" s="3891"/>
      <c r="C3" s="3891"/>
      <c r="D3" s="3891"/>
      <c r="E3" s="3891"/>
      <c r="F3" s="3892"/>
      <c r="G3" s="2940"/>
    </row>
    <row r="4" spans="1:13" ht="59.1" customHeight="1" x14ac:dyDescent="0.2">
      <c r="A4" s="3878" t="s">
        <v>10311</v>
      </c>
      <c r="B4" s="3879"/>
      <c r="C4" s="3879"/>
      <c r="D4" s="3879"/>
      <c r="E4" s="3879"/>
      <c r="F4" s="3879"/>
      <c r="G4" s="3879"/>
      <c r="H4" s="3879"/>
      <c r="I4" s="3879"/>
      <c r="J4" s="3879"/>
      <c r="K4" s="3879"/>
      <c r="L4" s="3880"/>
      <c r="M4" s="2528"/>
    </row>
    <row r="5" spans="1:13" ht="27.6" customHeight="1" x14ac:dyDescent="0.2">
      <c r="A5" s="3898" t="s">
        <v>6360</v>
      </c>
      <c r="B5" s="3898" t="s">
        <v>6467</v>
      </c>
      <c r="C5" s="3019" t="s">
        <v>10312</v>
      </c>
      <c r="D5" s="3027">
        <v>14803</v>
      </c>
      <c r="E5" s="3019" t="s">
        <v>10312</v>
      </c>
      <c r="F5" s="3027">
        <v>14803</v>
      </c>
      <c r="G5" s="3019" t="s">
        <v>10312</v>
      </c>
      <c r="H5" s="3027">
        <v>1927</v>
      </c>
      <c r="I5" s="3019" t="s">
        <v>10312</v>
      </c>
      <c r="J5" s="3027">
        <v>1927</v>
      </c>
      <c r="K5" s="3019" t="s">
        <v>10312</v>
      </c>
      <c r="L5" s="3027">
        <v>2420</v>
      </c>
      <c r="M5" s="2528"/>
    </row>
    <row r="6" spans="1:13" ht="16.7" customHeight="1" x14ac:dyDescent="0.2">
      <c r="A6" s="3987"/>
      <c r="B6" s="3987"/>
      <c r="C6" s="2977" t="s">
        <v>10313</v>
      </c>
      <c r="D6" s="3028" t="s">
        <v>10314</v>
      </c>
      <c r="E6" s="2977" t="s">
        <v>10313</v>
      </c>
      <c r="F6" s="3028" t="s">
        <v>10315</v>
      </c>
      <c r="G6" s="2977" t="s">
        <v>10313</v>
      </c>
      <c r="H6" s="3028" t="s">
        <v>10316</v>
      </c>
      <c r="I6" s="2977" t="s">
        <v>10313</v>
      </c>
      <c r="J6" s="3028" t="s">
        <v>10317</v>
      </c>
      <c r="K6" s="2977" t="s">
        <v>10313</v>
      </c>
      <c r="L6" s="3028" t="s">
        <v>10318</v>
      </c>
      <c r="M6" s="2528"/>
    </row>
    <row r="7" spans="1:13" ht="16.7" customHeight="1" x14ac:dyDescent="0.2">
      <c r="A7" s="3923"/>
      <c r="B7" s="2589" t="s">
        <v>5949</v>
      </c>
      <c r="C7" s="4105" t="s">
        <v>5950</v>
      </c>
      <c r="D7" s="3911"/>
      <c r="E7" s="4105" t="s">
        <v>5951</v>
      </c>
      <c r="F7" s="3911"/>
      <c r="G7" s="4105" t="s">
        <v>5952</v>
      </c>
      <c r="H7" s="3911"/>
      <c r="I7" s="4105" t="s">
        <v>6227</v>
      </c>
      <c r="J7" s="3911"/>
      <c r="K7" s="4105" t="s">
        <v>5804</v>
      </c>
      <c r="L7" s="3911"/>
      <c r="M7" s="2528"/>
    </row>
    <row r="8" spans="1:13" ht="16.7" customHeight="1" x14ac:dyDescent="0.2">
      <c r="A8" s="2748" t="s">
        <v>904</v>
      </c>
      <c r="B8" s="2488" t="s">
        <v>10312</v>
      </c>
      <c r="C8" s="4148">
        <f>D5</f>
        <v>14803</v>
      </c>
      <c r="D8" s="4149"/>
      <c r="E8" s="4148">
        <f>F5</f>
        <v>14803</v>
      </c>
      <c r="F8" s="4149"/>
      <c r="G8" s="4148">
        <f>H5</f>
        <v>1927</v>
      </c>
      <c r="H8" s="4149"/>
      <c r="I8" s="4148">
        <f>J5</f>
        <v>1927</v>
      </c>
      <c r="J8" s="4149"/>
      <c r="K8" s="4148">
        <f>L5</f>
        <v>2420</v>
      </c>
      <c r="L8" s="4149"/>
      <c r="M8" s="2528"/>
    </row>
    <row r="9" spans="1:13" ht="15.75" customHeight="1" x14ac:dyDescent="0.2">
      <c r="A9" s="2748" t="s">
        <v>10319</v>
      </c>
      <c r="B9" s="2488" t="s">
        <v>766</v>
      </c>
      <c r="C9" s="4150" t="str">
        <f>D6</f>
        <v>Copco No. 1</v>
      </c>
      <c r="D9" s="4151"/>
      <c r="E9" s="4150" t="str">
        <f>F6</f>
        <v>Copco No. 2</v>
      </c>
      <c r="F9" s="4151"/>
      <c r="G9" s="4152" t="str">
        <f>H6</f>
        <v>Clearwater No. 1</v>
      </c>
      <c r="H9" s="4149"/>
      <c r="I9" s="4152" t="str">
        <f>J6</f>
        <v>Clearwater No. 2</v>
      </c>
      <c r="J9" s="4149"/>
      <c r="K9" s="4152" t="str">
        <f>L6</f>
        <v>Cutler</v>
      </c>
      <c r="L9" s="4149"/>
      <c r="M9" s="2528"/>
    </row>
    <row r="10" spans="1:13" ht="15.75" customHeight="1" x14ac:dyDescent="0.2">
      <c r="A10" s="2748" t="s">
        <v>10320</v>
      </c>
      <c r="B10" s="2488" t="s">
        <v>6324</v>
      </c>
      <c r="C10" s="4152" t="str">
        <f>CONCATENATE(C8,", ",C9)</f>
        <v>14803, Copco No. 1</v>
      </c>
      <c r="D10" s="4149"/>
      <c r="E10" s="4152" t="str">
        <f>CONCATENATE(E8,", ",E9)</f>
        <v>14803, Copco No. 2</v>
      </c>
      <c r="F10" s="4149"/>
      <c r="G10" s="4152" t="str">
        <f>CONCATENATE(G8,", ",G9)</f>
        <v>1927, Clearwater No. 1</v>
      </c>
      <c r="H10" s="4149"/>
      <c r="I10" s="4152" t="str">
        <f>CONCATENATE(I8,", ",I9)</f>
        <v>1927, Clearwater No. 2</v>
      </c>
      <c r="J10" s="4149"/>
      <c r="K10" s="4152" t="str">
        <f>CONCATENATE(K8,", ",K9)</f>
        <v>2420, Cutler</v>
      </c>
      <c r="L10" s="4149"/>
      <c r="M10" s="2528"/>
    </row>
    <row r="11" spans="1:13" ht="15.75" customHeight="1" x14ac:dyDescent="0.2">
      <c r="A11" s="2497">
        <v>1</v>
      </c>
      <c r="B11" s="2512" t="s">
        <v>10321</v>
      </c>
      <c r="C11" s="4059" t="s">
        <v>10322</v>
      </c>
      <c r="D11" s="4153"/>
      <c r="E11" s="3882" t="s">
        <v>10323</v>
      </c>
      <c r="F11" s="3892"/>
      <c r="G11" s="4059" t="s">
        <v>10323</v>
      </c>
      <c r="H11" s="4153"/>
      <c r="I11" s="4059" t="s">
        <v>10323</v>
      </c>
      <c r="J11" s="4153"/>
      <c r="K11" s="3882" t="s">
        <v>10322</v>
      </c>
      <c r="L11" s="3892"/>
      <c r="M11" s="2528"/>
    </row>
    <row r="12" spans="1:13" ht="15.75" customHeight="1" x14ac:dyDescent="0.2">
      <c r="A12" s="2497">
        <v>2</v>
      </c>
      <c r="B12" s="2512" t="s">
        <v>10324</v>
      </c>
      <c r="C12" s="3882" t="s">
        <v>10235</v>
      </c>
      <c r="D12" s="3892"/>
      <c r="E12" s="3882" t="s">
        <v>10235</v>
      </c>
      <c r="F12" s="3892"/>
      <c r="G12" s="3882" t="s">
        <v>10293</v>
      </c>
      <c r="H12" s="3892"/>
      <c r="I12" s="3882" t="s">
        <v>10293</v>
      </c>
      <c r="J12" s="3892"/>
      <c r="K12" s="3882" t="s">
        <v>10235</v>
      </c>
      <c r="L12" s="3892"/>
      <c r="M12" s="2528"/>
    </row>
    <row r="13" spans="1:13" ht="16.7" customHeight="1" x14ac:dyDescent="0.2">
      <c r="A13" s="2497">
        <v>3</v>
      </c>
      <c r="B13" s="2512" t="s">
        <v>770</v>
      </c>
      <c r="C13" s="4154">
        <v>1918</v>
      </c>
      <c r="D13" s="3884"/>
      <c r="E13" s="4154">
        <v>1925</v>
      </c>
      <c r="F13" s="3884"/>
      <c r="G13" s="4154">
        <v>1953</v>
      </c>
      <c r="H13" s="3884"/>
      <c r="I13" s="4154">
        <v>1953</v>
      </c>
      <c r="J13" s="3884"/>
      <c r="K13" s="4154">
        <v>1927</v>
      </c>
      <c r="L13" s="3884"/>
      <c r="M13" s="2528"/>
    </row>
    <row r="14" spans="1:13" ht="16.7" customHeight="1" x14ac:dyDescent="0.2">
      <c r="A14" s="2497">
        <v>4</v>
      </c>
      <c r="B14" s="2512" t="s">
        <v>771</v>
      </c>
      <c r="C14" s="4154">
        <v>1922</v>
      </c>
      <c r="D14" s="3884"/>
      <c r="E14" s="4154">
        <v>1925</v>
      </c>
      <c r="F14" s="3884"/>
      <c r="G14" s="4154">
        <v>1953</v>
      </c>
      <c r="H14" s="3884"/>
      <c r="I14" s="4154">
        <v>1953</v>
      </c>
      <c r="J14" s="3884"/>
      <c r="K14" s="4154">
        <v>1927</v>
      </c>
      <c r="L14" s="3884"/>
      <c r="M14" s="2528"/>
    </row>
    <row r="15" spans="1:13" ht="15.75" customHeight="1" x14ac:dyDescent="0.2">
      <c r="A15" s="2497">
        <v>5</v>
      </c>
      <c r="B15" s="2512" t="s">
        <v>10325</v>
      </c>
      <c r="C15" s="4124">
        <v>20</v>
      </c>
      <c r="D15" s="4155"/>
      <c r="E15" s="4124">
        <v>27</v>
      </c>
      <c r="F15" s="4155"/>
      <c r="G15" s="4124">
        <v>15</v>
      </c>
      <c r="H15" s="4155"/>
      <c r="I15" s="4124">
        <v>26</v>
      </c>
      <c r="J15" s="4155"/>
      <c r="K15" s="4124">
        <v>30</v>
      </c>
      <c r="L15" s="4155"/>
      <c r="M15" s="2528"/>
    </row>
    <row r="16" spans="1:13" ht="15.75" customHeight="1" x14ac:dyDescent="0.2">
      <c r="A16" s="2497">
        <v>6</v>
      </c>
      <c r="B16" s="2512" t="s">
        <v>10326</v>
      </c>
      <c r="C16" s="4124">
        <v>26</v>
      </c>
      <c r="D16" s="4155"/>
      <c r="E16" s="4124">
        <v>32</v>
      </c>
      <c r="F16" s="4155"/>
      <c r="G16" s="4124">
        <v>8</v>
      </c>
      <c r="H16" s="4155"/>
      <c r="I16" s="4124">
        <v>14</v>
      </c>
      <c r="J16" s="4155"/>
      <c r="K16" s="4124">
        <v>31</v>
      </c>
      <c r="L16" s="4155"/>
      <c r="M16" s="2528"/>
    </row>
    <row r="17" spans="1:13" ht="15.75" customHeight="1" x14ac:dyDescent="0.2">
      <c r="A17" s="2497">
        <v>7</v>
      </c>
      <c r="B17" s="2512" t="s">
        <v>10327</v>
      </c>
      <c r="C17" s="4124">
        <v>5535</v>
      </c>
      <c r="D17" s="4155"/>
      <c r="E17" s="4124">
        <v>1947</v>
      </c>
      <c r="F17" s="4155"/>
      <c r="G17" s="4124">
        <v>8254</v>
      </c>
      <c r="H17" s="4155"/>
      <c r="I17" s="4124">
        <v>8586</v>
      </c>
      <c r="J17" s="4155"/>
      <c r="K17" s="4124">
        <v>7830</v>
      </c>
      <c r="L17" s="4155"/>
      <c r="M17" s="2528"/>
    </row>
    <row r="18" spans="1:13" ht="16.7" customHeight="1" x14ac:dyDescent="0.2">
      <c r="A18" s="2497">
        <v>8</v>
      </c>
      <c r="B18" s="2512" t="s">
        <v>10328</v>
      </c>
      <c r="C18" s="4029"/>
      <c r="D18" s="4030"/>
      <c r="E18" s="4030"/>
      <c r="F18" s="4031"/>
      <c r="G18" s="4029"/>
      <c r="H18" s="4030"/>
      <c r="I18" s="4030"/>
      <c r="J18" s="4030"/>
      <c r="K18" s="4030"/>
      <c r="L18" s="4031"/>
      <c r="M18" s="2528"/>
    </row>
    <row r="19" spans="1:13" ht="15.75" customHeight="1" x14ac:dyDescent="0.2">
      <c r="A19" s="2497">
        <v>9</v>
      </c>
      <c r="B19" s="2512" t="s">
        <v>10329</v>
      </c>
      <c r="C19" s="4124">
        <v>28</v>
      </c>
      <c r="D19" s="4155"/>
      <c r="E19" s="4124">
        <v>34</v>
      </c>
      <c r="F19" s="4155"/>
      <c r="G19" s="4124">
        <v>18</v>
      </c>
      <c r="H19" s="4155"/>
      <c r="I19" s="4124">
        <v>31</v>
      </c>
      <c r="J19" s="4155"/>
      <c r="K19" s="4124">
        <v>29</v>
      </c>
      <c r="L19" s="4155"/>
      <c r="M19" s="2528"/>
    </row>
    <row r="20" spans="1:13" ht="15.75" customHeight="1" x14ac:dyDescent="0.2">
      <c r="A20" s="2497">
        <v>10</v>
      </c>
      <c r="B20" s="2512" t="s">
        <v>10330</v>
      </c>
      <c r="C20" s="4124">
        <v>28</v>
      </c>
      <c r="D20" s="4155"/>
      <c r="E20" s="4124">
        <v>34</v>
      </c>
      <c r="F20" s="4155"/>
      <c r="G20" s="4124">
        <v>18</v>
      </c>
      <c r="H20" s="4155"/>
      <c r="I20" s="4124">
        <v>31</v>
      </c>
      <c r="J20" s="4155"/>
      <c r="K20" s="4124">
        <v>29</v>
      </c>
      <c r="L20" s="4155"/>
      <c r="M20" s="2528"/>
    </row>
    <row r="21" spans="1:13" ht="15.75" customHeight="1" x14ac:dyDescent="0.2">
      <c r="A21" s="2497">
        <v>11</v>
      </c>
      <c r="B21" s="2512" t="s">
        <v>776</v>
      </c>
      <c r="C21" s="4124">
        <v>0</v>
      </c>
      <c r="D21" s="4155"/>
      <c r="E21" s="4124">
        <v>0</v>
      </c>
      <c r="F21" s="4155"/>
      <c r="G21" s="4124">
        <v>1</v>
      </c>
      <c r="H21" s="4155"/>
      <c r="I21" s="4124">
        <v>1</v>
      </c>
      <c r="J21" s="4155"/>
      <c r="K21" s="4124">
        <v>3</v>
      </c>
      <c r="L21" s="4155"/>
      <c r="M21" s="2528"/>
    </row>
    <row r="22" spans="1:13" ht="15.75" customHeight="1" x14ac:dyDescent="0.2">
      <c r="A22" s="2497">
        <v>12</v>
      </c>
      <c r="B22" s="2512" t="s">
        <v>10331</v>
      </c>
      <c r="C22" s="4124">
        <v>71412000</v>
      </c>
      <c r="D22" s="4155"/>
      <c r="E22" s="4124">
        <v>42481000</v>
      </c>
      <c r="F22" s="4155"/>
      <c r="G22" s="4124">
        <v>25303000</v>
      </c>
      <c r="H22" s="4155"/>
      <c r="I22" s="4124">
        <v>26295000</v>
      </c>
      <c r="J22" s="4155"/>
      <c r="K22" s="4124">
        <v>96245000</v>
      </c>
      <c r="L22" s="4155"/>
      <c r="M22" s="2528"/>
    </row>
    <row r="23" spans="1:13" ht="15.75" customHeight="1" x14ac:dyDescent="0.2">
      <c r="A23" s="2497">
        <v>13</v>
      </c>
      <c r="B23" s="2512" t="s">
        <v>10332</v>
      </c>
      <c r="C23" s="4029"/>
      <c r="D23" s="4030"/>
      <c r="E23" s="4030"/>
      <c r="F23" s="4031"/>
      <c r="G23" s="4029"/>
      <c r="H23" s="4030"/>
      <c r="I23" s="4030"/>
      <c r="J23" s="4030"/>
      <c r="K23" s="4030"/>
      <c r="L23" s="4031"/>
      <c r="M23" s="2528"/>
    </row>
    <row r="24" spans="1:13" ht="15.75" customHeight="1" x14ac:dyDescent="0.2">
      <c r="A24" s="2497">
        <v>14</v>
      </c>
      <c r="B24" s="2512" t="s">
        <v>125</v>
      </c>
      <c r="C24" s="4156"/>
      <c r="D24" s="4155"/>
      <c r="E24" s="4156"/>
      <c r="F24" s="4155"/>
      <c r="G24" s="4156"/>
      <c r="H24" s="4155"/>
      <c r="I24" s="4124">
        <v>0</v>
      </c>
      <c r="J24" s="4155"/>
      <c r="K24" s="4124">
        <v>3507754</v>
      </c>
      <c r="L24" s="4157"/>
    </row>
    <row r="25" spans="1:13" ht="16.7" customHeight="1" x14ac:dyDescent="0.2">
      <c r="A25" s="2497">
        <v>15</v>
      </c>
      <c r="B25" s="2512" t="s">
        <v>126</v>
      </c>
      <c r="C25" s="4156"/>
      <c r="D25" s="4155"/>
      <c r="E25" s="4156"/>
      <c r="F25" s="4155"/>
      <c r="G25" s="4124">
        <v>1699743</v>
      </c>
      <c r="H25" s="4155"/>
      <c r="I25" s="4124">
        <v>2503320</v>
      </c>
      <c r="J25" s="4155"/>
      <c r="K25" s="4124">
        <v>4920889</v>
      </c>
      <c r="L25" s="4157"/>
    </row>
    <row r="26" spans="1:13" ht="16.7" customHeight="1" x14ac:dyDescent="0.2">
      <c r="A26" s="2497">
        <v>16</v>
      </c>
      <c r="B26" s="2512" t="s">
        <v>10333</v>
      </c>
      <c r="C26" s="4156"/>
      <c r="D26" s="4155"/>
      <c r="E26" s="4156"/>
      <c r="F26" s="4155"/>
      <c r="G26" s="4124">
        <v>5232135</v>
      </c>
      <c r="H26" s="4155"/>
      <c r="I26" s="4124">
        <v>15039994</v>
      </c>
      <c r="J26" s="4155"/>
      <c r="K26" s="4124">
        <v>12380399</v>
      </c>
      <c r="L26" s="4157"/>
    </row>
    <row r="27" spans="1:13" ht="16.7" customHeight="1" x14ac:dyDescent="0.2">
      <c r="A27" s="2497">
        <v>17</v>
      </c>
      <c r="B27" s="2512" t="s">
        <v>779</v>
      </c>
      <c r="C27" s="4156"/>
      <c r="D27" s="4155"/>
      <c r="E27" s="4156"/>
      <c r="F27" s="4155"/>
      <c r="G27" s="4124">
        <v>1576999</v>
      </c>
      <c r="H27" s="4155"/>
      <c r="I27" s="4124">
        <v>2212552</v>
      </c>
      <c r="J27" s="4155"/>
      <c r="K27" s="4124">
        <v>15260625</v>
      </c>
      <c r="L27" s="4157"/>
    </row>
    <row r="28" spans="1:13" ht="16.7" customHeight="1" x14ac:dyDescent="0.2">
      <c r="A28" s="2497">
        <v>18</v>
      </c>
      <c r="B28" s="2512" t="s">
        <v>10334</v>
      </c>
      <c r="C28" s="4156"/>
      <c r="D28" s="4155"/>
      <c r="E28" s="4156"/>
      <c r="F28" s="4155"/>
      <c r="G28" s="4124">
        <v>50817</v>
      </c>
      <c r="H28" s="4155"/>
      <c r="I28" s="4124">
        <v>250151</v>
      </c>
      <c r="J28" s="4155"/>
      <c r="K28" s="4124">
        <v>1086176</v>
      </c>
      <c r="L28" s="4157"/>
    </row>
    <row r="29" spans="1:13" ht="16.7" customHeight="1" x14ac:dyDescent="0.2">
      <c r="A29" s="2497">
        <v>19</v>
      </c>
      <c r="B29" s="2512" t="s">
        <v>780</v>
      </c>
      <c r="C29" s="4156"/>
      <c r="D29" s="4155"/>
      <c r="E29" s="4156"/>
      <c r="F29" s="4155"/>
      <c r="G29" s="4156"/>
      <c r="H29" s="4155"/>
      <c r="I29" s="4124">
        <v>0</v>
      </c>
      <c r="J29" s="4155"/>
      <c r="K29" s="4124">
        <v>0</v>
      </c>
      <c r="L29" s="4157"/>
    </row>
    <row r="30" spans="1:13" ht="16.7" customHeight="1" x14ac:dyDescent="0.2">
      <c r="A30" s="2497">
        <v>20</v>
      </c>
      <c r="B30" s="2512" t="s">
        <v>10335</v>
      </c>
      <c r="C30" s="4158">
        <f>SUM(C24:C29)</f>
        <v>0</v>
      </c>
      <c r="D30" s="4159"/>
      <c r="E30" s="4158">
        <f>SUM(E24:E29)</f>
        <v>0</v>
      </c>
      <c r="F30" s="4159"/>
      <c r="G30" s="4158">
        <f>SUM(G24:G29)</f>
        <v>8559694</v>
      </c>
      <c r="H30" s="4159"/>
      <c r="I30" s="4158">
        <f>SUM(I24:I29)</f>
        <v>20006017</v>
      </c>
      <c r="J30" s="4159"/>
      <c r="K30" s="4158">
        <f>SUM(K24:K29)</f>
        <v>37155843</v>
      </c>
      <c r="L30" s="4159"/>
      <c r="M30" s="2528"/>
    </row>
    <row r="31" spans="1:13" ht="15.75" customHeight="1" x14ac:dyDescent="0.2">
      <c r="A31" s="2497">
        <v>21</v>
      </c>
      <c r="B31" s="2512" t="s">
        <v>10336</v>
      </c>
      <c r="C31" s="4160">
        <f>IFERROR(C30/(C15*1000),"")</f>
        <v>0</v>
      </c>
      <c r="D31" s="4161"/>
      <c r="E31" s="4160">
        <f>IFERROR(E30/(E15*1000),"")</f>
        <v>0</v>
      </c>
      <c r="F31" s="4161"/>
      <c r="G31" s="4160">
        <f>IFERROR(G30/(G15*1000),"")</f>
        <v>570.64626666666663</v>
      </c>
      <c r="H31" s="4161"/>
      <c r="I31" s="4160">
        <f>IFERROR(I30/(I15*1000),"")</f>
        <v>769.46219230769236</v>
      </c>
      <c r="J31" s="4161"/>
      <c r="K31" s="4160">
        <f>IFERROR(K30/(K15*1000),"")</f>
        <v>1238.5281</v>
      </c>
      <c r="L31" s="4161"/>
      <c r="M31" s="2528"/>
    </row>
    <row r="32" spans="1:13" ht="15.75" customHeight="1" x14ac:dyDescent="0.2">
      <c r="A32" s="2497">
        <v>22</v>
      </c>
      <c r="B32" s="2512" t="s">
        <v>10337</v>
      </c>
      <c r="C32" s="4162"/>
      <c r="D32" s="4163"/>
      <c r="E32" s="4163"/>
      <c r="F32" s="4164"/>
      <c r="G32" s="4162"/>
      <c r="H32" s="4163"/>
      <c r="I32" s="4163"/>
      <c r="J32" s="4163"/>
      <c r="K32" s="4163"/>
      <c r="L32" s="4164"/>
      <c r="M32" s="2528"/>
    </row>
    <row r="33" spans="1:13" ht="15.75" customHeight="1" x14ac:dyDescent="0.2">
      <c r="A33" s="2497">
        <v>23</v>
      </c>
      <c r="B33" s="2512" t="s">
        <v>10338</v>
      </c>
      <c r="C33" s="4124">
        <v>66015</v>
      </c>
      <c r="D33" s="4155"/>
      <c r="E33" s="4124">
        <v>89120</v>
      </c>
      <c r="F33" s="4155"/>
      <c r="G33" s="4124">
        <v>144961</v>
      </c>
      <c r="H33" s="4155"/>
      <c r="I33" s="4124">
        <v>88942</v>
      </c>
      <c r="J33" s="4155"/>
      <c r="K33" s="4124">
        <v>234234</v>
      </c>
      <c r="L33" s="4155"/>
      <c r="M33" s="2528"/>
    </row>
    <row r="34" spans="1:13" ht="15.75" customHeight="1" x14ac:dyDescent="0.2">
      <c r="A34" s="2497">
        <v>24</v>
      </c>
      <c r="B34" s="2512" t="s">
        <v>10339</v>
      </c>
      <c r="C34" s="4124">
        <v>0</v>
      </c>
      <c r="D34" s="4155"/>
      <c r="E34" s="4124">
        <v>0</v>
      </c>
      <c r="F34" s="4155"/>
      <c r="G34" s="4124">
        <v>568</v>
      </c>
      <c r="H34" s="4155"/>
      <c r="I34" s="4124">
        <v>985</v>
      </c>
      <c r="J34" s="4155"/>
      <c r="K34" s="4124">
        <v>0</v>
      </c>
      <c r="L34" s="4155"/>
      <c r="M34" s="2528"/>
    </row>
    <row r="35" spans="1:13" ht="15.75" customHeight="1" x14ac:dyDescent="0.2">
      <c r="A35" s="2497">
        <v>25</v>
      </c>
      <c r="B35" s="2512" t="s">
        <v>10340</v>
      </c>
      <c r="C35" s="4124">
        <v>1111</v>
      </c>
      <c r="D35" s="4155"/>
      <c r="E35" s="4124">
        <v>1500</v>
      </c>
      <c r="F35" s="4155"/>
      <c r="G35" s="4124">
        <v>34563</v>
      </c>
      <c r="H35" s="4155"/>
      <c r="I35" s="4124">
        <v>59910</v>
      </c>
      <c r="J35" s="4155"/>
      <c r="K35" s="4124">
        <v>127379</v>
      </c>
      <c r="L35" s="4155"/>
      <c r="M35" s="2528"/>
    </row>
    <row r="36" spans="1:13" ht="15.75" customHeight="1" x14ac:dyDescent="0.2">
      <c r="A36" s="2497">
        <v>26</v>
      </c>
      <c r="B36" s="2512" t="s">
        <v>784</v>
      </c>
      <c r="C36" s="4124">
        <v>0</v>
      </c>
      <c r="D36" s="4155"/>
      <c r="E36" s="4124">
        <v>0</v>
      </c>
      <c r="F36" s="4155"/>
      <c r="G36" s="4124">
        <v>0</v>
      </c>
      <c r="H36" s="4155"/>
      <c r="I36" s="4124">
        <v>0</v>
      </c>
      <c r="J36" s="4155"/>
      <c r="K36" s="4124">
        <v>0</v>
      </c>
      <c r="L36" s="4155"/>
      <c r="M36" s="2528"/>
    </row>
    <row r="37" spans="1:13" ht="15.75" customHeight="1" x14ac:dyDescent="0.2">
      <c r="A37" s="2497">
        <v>27</v>
      </c>
      <c r="B37" s="2512" t="s">
        <v>10341</v>
      </c>
      <c r="C37" s="4124">
        <v>1842373</v>
      </c>
      <c r="D37" s="4155"/>
      <c r="E37" s="4124">
        <v>2393787</v>
      </c>
      <c r="F37" s="4155"/>
      <c r="G37" s="4124">
        <v>322995</v>
      </c>
      <c r="H37" s="4155"/>
      <c r="I37" s="4124">
        <v>460570</v>
      </c>
      <c r="J37" s="4155"/>
      <c r="K37" s="4124">
        <v>1337832</v>
      </c>
      <c r="L37" s="4155"/>
      <c r="M37" s="2528"/>
    </row>
    <row r="38" spans="1:13" ht="15.75" customHeight="1" x14ac:dyDescent="0.2">
      <c r="A38" s="2497">
        <v>28</v>
      </c>
      <c r="B38" s="2512" t="s">
        <v>492</v>
      </c>
      <c r="C38" s="4124">
        <v>128637</v>
      </c>
      <c r="D38" s="4155"/>
      <c r="E38" s="4124">
        <v>173660</v>
      </c>
      <c r="F38" s="4155"/>
      <c r="G38" s="4124">
        <v>73930</v>
      </c>
      <c r="H38" s="4155"/>
      <c r="I38" s="4124">
        <v>120405</v>
      </c>
      <c r="J38" s="4155"/>
      <c r="K38" s="4124">
        <v>108159</v>
      </c>
      <c r="L38" s="4155"/>
      <c r="M38" s="2528"/>
    </row>
    <row r="39" spans="1:13" ht="15.75" customHeight="1" x14ac:dyDescent="0.2">
      <c r="A39" s="2497">
        <v>29</v>
      </c>
      <c r="B39" s="2512" t="s">
        <v>787</v>
      </c>
      <c r="C39" s="4124">
        <v>0</v>
      </c>
      <c r="D39" s="4155"/>
      <c r="E39" s="4124">
        <v>0</v>
      </c>
      <c r="F39" s="4155"/>
      <c r="G39" s="4124">
        <v>0</v>
      </c>
      <c r="H39" s="4155"/>
      <c r="I39" s="4124">
        <v>0</v>
      </c>
      <c r="J39" s="4155"/>
      <c r="K39" s="4124">
        <v>0</v>
      </c>
      <c r="L39" s="4155"/>
      <c r="M39" s="2528"/>
    </row>
    <row r="40" spans="1:13" ht="15.75" customHeight="1" x14ac:dyDescent="0.2">
      <c r="A40" s="2497">
        <v>30</v>
      </c>
      <c r="B40" s="2512" t="s">
        <v>788</v>
      </c>
      <c r="C40" s="4124">
        <v>0</v>
      </c>
      <c r="D40" s="4155"/>
      <c r="E40" s="4124">
        <v>0</v>
      </c>
      <c r="F40" s="4155"/>
      <c r="G40" s="4124">
        <v>42131</v>
      </c>
      <c r="H40" s="4155"/>
      <c r="I40" s="4124">
        <v>49817</v>
      </c>
      <c r="J40" s="4155"/>
      <c r="K40" s="4124">
        <v>1245</v>
      </c>
      <c r="L40" s="4155"/>
      <c r="M40" s="2528"/>
    </row>
    <row r="41" spans="1:13" ht="15.75" customHeight="1" x14ac:dyDescent="0.2">
      <c r="A41" s="2497">
        <v>31</v>
      </c>
      <c r="B41" s="2512" t="s">
        <v>10342</v>
      </c>
      <c r="C41" s="4124">
        <v>0</v>
      </c>
      <c r="D41" s="4155"/>
      <c r="E41" s="4124">
        <v>0</v>
      </c>
      <c r="F41" s="4155"/>
      <c r="G41" s="4124">
        <v>8695</v>
      </c>
      <c r="H41" s="4155"/>
      <c r="I41" s="4124">
        <v>11368</v>
      </c>
      <c r="J41" s="4155"/>
      <c r="K41" s="4124">
        <v>8303</v>
      </c>
      <c r="L41" s="4155"/>
      <c r="M41" s="2528"/>
    </row>
    <row r="42" spans="1:13" ht="15.75" customHeight="1" x14ac:dyDescent="0.2">
      <c r="A42" s="2497">
        <v>32</v>
      </c>
      <c r="B42" s="2512" t="s">
        <v>10261</v>
      </c>
      <c r="C42" s="4124">
        <v>5625</v>
      </c>
      <c r="D42" s="4155"/>
      <c r="E42" s="4124">
        <v>1557</v>
      </c>
      <c r="F42" s="4155"/>
      <c r="G42" s="4124">
        <v>5628</v>
      </c>
      <c r="H42" s="4155"/>
      <c r="I42" s="4124">
        <v>9177</v>
      </c>
      <c r="J42" s="4155"/>
      <c r="K42" s="4124">
        <v>9418</v>
      </c>
      <c r="L42" s="4155"/>
      <c r="M42" s="2528"/>
    </row>
    <row r="43" spans="1:13" ht="15.75" customHeight="1" x14ac:dyDescent="0.2">
      <c r="A43" s="2497">
        <v>33</v>
      </c>
      <c r="B43" s="2512" t="s">
        <v>10343</v>
      </c>
      <c r="C43" s="4124">
        <v>26759</v>
      </c>
      <c r="D43" s="4155"/>
      <c r="E43" s="4124">
        <v>36124</v>
      </c>
      <c r="F43" s="4155"/>
      <c r="G43" s="4124">
        <v>47961</v>
      </c>
      <c r="H43" s="4155"/>
      <c r="I43" s="4124">
        <v>85378</v>
      </c>
      <c r="J43" s="4155"/>
      <c r="K43" s="4124">
        <v>480097</v>
      </c>
      <c r="L43" s="4155"/>
      <c r="M43" s="2528"/>
    </row>
    <row r="44" spans="1:13" ht="15.75" customHeight="1" x14ac:dyDescent="0.2">
      <c r="A44" s="2497">
        <v>34</v>
      </c>
      <c r="B44" s="2512" t="s">
        <v>10344</v>
      </c>
      <c r="C44" s="4125">
        <f>SUM(C33:C43)</f>
        <v>2070520</v>
      </c>
      <c r="D44" s="4165"/>
      <c r="E44" s="4125">
        <f>SUM(E33:E43)</f>
        <v>2695748</v>
      </c>
      <c r="F44" s="4165"/>
      <c r="G44" s="4125">
        <f>SUM(G33:G43)</f>
        <v>681432</v>
      </c>
      <c r="H44" s="4165"/>
      <c r="I44" s="4125">
        <f>SUM(I33:I43)</f>
        <v>886552</v>
      </c>
      <c r="J44" s="4165"/>
      <c r="K44" s="4125">
        <f>SUM(K33:K43)</f>
        <v>2306667</v>
      </c>
      <c r="L44" s="4165"/>
      <c r="M44" s="2528"/>
    </row>
    <row r="45" spans="1:13" ht="15.75" customHeight="1" x14ac:dyDescent="0.2">
      <c r="A45" s="2497">
        <v>35</v>
      </c>
      <c r="B45" s="2512" t="s">
        <v>10345</v>
      </c>
      <c r="C45" s="4166">
        <f>C44/C22</f>
        <v>2.8994006609533413E-2</v>
      </c>
      <c r="D45" s="4149"/>
      <c r="E45" s="4166">
        <f>E44/E22</f>
        <v>6.345773404580872E-2</v>
      </c>
      <c r="F45" s="4149"/>
      <c r="G45" s="4166">
        <f>G44/G22</f>
        <v>2.6930877761530254E-2</v>
      </c>
      <c r="H45" s="4149"/>
      <c r="I45" s="4166">
        <f>I44/I22</f>
        <v>3.3715611332953033E-2</v>
      </c>
      <c r="J45" s="4149"/>
      <c r="K45" s="4166">
        <f>K44/K22</f>
        <v>2.3966616447607669E-2</v>
      </c>
      <c r="L45" s="4149"/>
      <c r="M45" s="2528"/>
    </row>
    <row r="46" spans="1:13" ht="16.7" customHeight="1" x14ac:dyDescent="0.2">
      <c r="A46" s="2535"/>
      <c r="B46" s="2516"/>
      <c r="C46" s="2516"/>
      <c r="D46" s="2516"/>
      <c r="E46" s="2516"/>
      <c r="F46" s="2516"/>
      <c r="G46" s="2516"/>
      <c r="H46" s="2516"/>
      <c r="I46" s="2516"/>
      <c r="J46" s="2516"/>
      <c r="K46" s="2516"/>
      <c r="L46" s="2516"/>
    </row>
    <row r="47" spans="1:13" ht="16.7" customHeight="1" x14ac:dyDescent="0.2"/>
    <row r="48" spans="1:13" ht="16.7" customHeight="1" x14ac:dyDescent="0.2"/>
    <row r="49" ht="16.7" customHeight="1" x14ac:dyDescent="0.2"/>
    <row r="50" ht="16.7" customHeight="1" x14ac:dyDescent="0.2"/>
    <row r="51" ht="16.7" customHeight="1" x14ac:dyDescent="0.2"/>
    <row r="52" ht="16.7" customHeight="1" x14ac:dyDescent="0.2"/>
    <row r="53" ht="16.7" customHeight="1" x14ac:dyDescent="0.2"/>
    <row r="54" ht="16.7" customHeight="1" x14ac:dyDescent="0.2"/>
    <row r="55" ht="16.7" customHeight="1" x14ac:dyDescent="0.2"/>
    <row r="56" ht="16.7" customHeight="1" x14ac:dyDescent="0.2"/>
    <row r="57" ht="16.7" customHeight="1" x14ac:dyDescent="0.2"/>
    <row r="58" ht="16.7" customHeight="1" x14ac:dyDescent="0.2"/>
    <row r="59" ht="16.7" customHeight="1" x14ac:dyDescent="0.2"/>
    <row r="60" ht="16.7" customHeight="1" x14ac:dyDescent="0.2"/>
    <row r="61" ht="16.7" customHeight="1" x14ac:dyDescent="0.2"/>
    <row r="62" ht="16.7" customHeight="1" x14ac:dyDescent="0.2"/>
    <row r="63" ht="16.7" customHeight="1" x14ac:dyDescent="0.2"/>
    <row r="64" ht="16.7" customHeight="1" x14ac:dyDescent="0.2"/>
    <row r="65" ht="16.7" customHeight="1" x14ac:dyDescent="0.2"/>
    <row r="66" ht="16.7" customHeight="1" x14ac:dyDescent="0.2"/>
    <row r="67" ht="16.7" customHeight="1" x14ac:dyDescent="0.2"/>
    <row r="68" ht="16.7" customHeight="1" x14ac:dyDescent="0.2"/>
    <row r="69" ht="16.7" customHeight="1" x14ac:dyDescent="0.2"/>
    <row r="70" ht="16.7" customHeight="1" x14ac:dyDescent="0.2"/>
    <row r="71" ht="16.7" customHeight="1" x14ac:dyDescent="0.2"/>
    <row r="72" ht="16.7" customHeight="1" x14ac:dyDescent="0.2"/>
    <row r="73" ht="16.7" customHeight="1" x14ac:dyDescent="0.2"/>
    <row r="74" ht="16.7" customHeight="1" x14ac:dyDescent="0.2"/>
    <row r="75" ht="16.7" customHeight="1" x14ac:dyDescent="0.2"/>
    <row r="76" ht="16.7" customHeight="1" x14ac:dyDescent="0.2"/>
    <row r="77" ht="16.7" customHeight="1" x14ac:dyDescent="0.2"/>
    <row r="78" ht="16.7" customHeight="1" x14ac:dyDescent="0.2"/>
    <row r="79" ht="16.7" customHeight="1" x14ac:dyDescent="0.2"/>
    <row r="80" ht="16.7" customHeight="1" x14ac:dyDescent="0.2"/>
    <row r="81" ht="16.7" customHeight="1" x14ac:dyDescent="0.2"/>
    <row r="82" ht="16.7" customHeight="1" x14ac:dyDescent="0.2"/>
    <row r="83" ht="16.7" customHeight="1" x14ac:dyDescent="0.2"/>
    <row r="84" ht="16.7" customHeight="1" x14ac:dyDescent="0.2"/>
    <row r="85" ht="16.7" customHeight="1" x14ac:dyDescent="0.2"/>
    <row r="86" ht="16.7" customHeight="1" x14ac:dyDescent="0.2"/>
    <row r="87" ht="16.7" customHeight="1" x14ac:dyDescent="0.2"/>
    <row r="88" ht="16.7" customHeight="1" x14ac:dyDescent="0.2"/>
    <row r="89" ht="16.7" customHeight="1" x14ac:dyDescent="0.2"/>
    <row r="90" ht="16.7" customHeight="1" x14ac:dyDescent="0.2"/>
    <row r="91" ht="16.7" customHeight="1" x14ac:dyDescent="0.2"/>
    <row r="92" ht="16.7" customHeight="1" x14ac:dyDescent="0.2"/>
    <row r="93" ht="16.7" customHeight="1" x14ac:dyDescent="0.2"/>
    <row r="94" ht="16.7" customHeight="1" x14ac:dyDescent="0.2"/>
    <row r="95" ht="16.7" customHeight="1" x14ac:dyDescent="0.2"/>
    <row r="96" ht="16.7" customHeight="1" x14ac:dyDescent="0.2"/>
    <row r="97" ht="16.7" customHeight="1" x14ac:dyDescent="0.2"/>
    <row r="98" ht="16.7" customHeight="1" x14ac:dyDescent="0.2"/>
    <row r="99" ht="16.7" customHeight="1" x14ac:dyDescent="0.2"/>
    <row r="100" ht="16.7" customHeight="1" x14ac:dyDescent="0.2"/>
    <row r="101" ht="16.7" customHeight="1" x14ac:dyDescent="0.2"/>
    <row r="102" ht="16.7" customHeight="1" x14ac:dyDescent="0.2"/>
    <row r="103" ht="16.7" customHeight="1" x14ac:dyDescent="0.2"/>
    <row r="104" ht="16.7" customHeight="1" x14ac:dyDescent="0.2"/>
    <row r="105" ht="16.7" customHeight="1" x14ac:dyDescent="0.2"/>
  </sheetData>
  <mergeCells count="200">
    <mergeCell ref="C44:D44"/>
    <mergeCell ref="E44:F44"/>
    <mergeCell ref="G44:H44"/>
    <mergeCell ref="I44:J44"/>
    <mergeCell ref="K44:L44"/>
    <mergeCell ref="C45:D45"/>
    <mergeCell ref="E45:F45"/>
    <mergeCell ref="G45:H45"/>
    <mergeCell ref="I45:J45"/>
    <mergeCell ref="K45:L45"/>
    <mergeCell ref="C42:D42"/>
    <mergeCell ref="E42:F42"/>
    <mergeCell ref="G42:H42"/>
    <mergeCell ref="I42:J42"/>
    <mergeCell ref="K42:L42"/>
    <mergeCell ref="C43:D43"/>
    <mergeCell ref="E43:F43"/>
    <mergeCell ref="G43:H43"/>
    <mergeCell ref="I43:J43"/>
    <mergeCell ref="K43:L43"/>
    <mergeCell ref="C40:D40"/>
    <mergeCell ref="E40:F40"/>
    <mergeCell ref="G40:H40"/>
    <mergeCell ref="I40:J40"/>
    <mergeCell ref="K40:L40"/>
    <mergeCell ref="C41:D41"/>
    <mergeCell ref="E41:F41"/>
    <mergeCell ref="G41:H41"/>
    <mergeCell ref="I41:J41"/>
    <mergeCell ref="K41:L41"/>
    <mergeCell ref="C38:D38"/>
    <mergeCell ref="E38:F38"/>
    <mergeCell ref="G38:H38"/>
    <mergeCell ref="I38:J38"/>
    <mergeCell ref="K38:L38"/>
    <mergeCell ref="C39:D39"/>
    <mergeCell ref="E39:F39"/>
    <mergeCell ref="G39:H39"/>
    <mergeCell ref="I39:J39"/>
    <mergeCell ref="K39:L39"/>
    <mergeCell ref="C36:D36"/>
    <mergeCell ref="E36:F36"/>
    <mergeCell ref="G36:H36"/>
    <mergeCell ref="I36:J36"/>
    <mergeCell ref="K36:L36"/>
    <mergeCell ref="C37:D37"/>
    <mergeCell ref="E37:F37"/>
    <mergeCell ref="G37:H37"/>
    <mergeCell ref="I37:J37"/>
    <mergeCell ref="K37:L37"/>
    <mergeCell ref="C34:D34"/>
    <mergeCell ref="E34:F34"/>
    <mergeCell ref="G34:H34"/>
    <mergeCell ref="I34:J34"/>
    <mergeCell ref="K34:L34"/>
    <mergeCell ref="C35:D35"/>
    <mergeCell ref="E35:F35"/>
    <mergeCell ref="G35:H35"/>
    <mergeCell ref="I35:J35"/>
    <mergeCell ref="K35:L35"/>
    <mergeCell ref="C32:D32"/>
    <mergeCell ref="E32:F32"/>
    <mergeCell ref="G32:H32"/>
    <mergeCell ref="I32:J32"/>
    <mergeCell ref="K32:L32"/>
    <mergeCell ref="C33:D33"/>
    <mergeCell ref="E33:F33"/>
    <mergeCell ref="G33:H33"/>
    <mergeCell ref="I33:J33"/>
    <mergeCell ref="K33:L33"/>
    <mergeCell ref="C30:D30"/>
    <mergeCell ref="E30:F30"/>
    <mergeCell ref="G30:H30"/>
    <mergeCell ref="I30:J30"/>
    <mergeCell ref="K30:L30"/>
    <mergeCell ref="C31:D31"/>
    <mergeCell ref="E31:F31"/>
    <mergeCell ref="G31:H31"/>
    <mergeCell ref="I31:J31"/>
    <mergeCell ref="K31:L31"/>
    <mergeCell ref="C28:D28"/>
    <mergeCell ref="E28:F28"/>
    <mergeCell ref="G28:H28"/>
    <mergeCell ref="I28:J28"/>
    <mergeCell ref="K28:L28"/>
    <mergeCell ref="C29:D29"/>
    <mergeCell ref="E29:F29"/>
    <mergeCell ref="G29:H29"/>
    <mergeCell ref="I29:J29"/>
    <mergeCell ref="K29:L29"/>
    <mergeCell ref="C26:D26"/>
    <mergeCell ref="E26:F26"/>
    <mergeCell ref="G26:H26"/>
    <mergeCell ref="I26:J26"/>
    <mergeCell ref="K26:L26"/>
    <mergeCell ref="C27:D27"/>
    <mergeCell ref="E27:F27"/>
    <mergeCell ref="G27:H27"/>
    <mergeCell ref="I27:J27"/>
    <mergeCell ref="K27:L27"/>
    <mergeCell ref="C24:D24"/>
    <mergeCell ref="E24:F24"/>
    <mergeCell ref="G24:H24"/>
    <mergeCell ref="I24:J24"/>
    <mergeCell ref="K24:L24"/>
    <mergeCell ref="C25:D25"/>
    <mergeCell ref="E25:F25"/>
    <mergeCell ref="G25:H25"/>
    <mergeCell ref="I25:J25"/>
    <mergeCell ref="K25:L25"/>
    <mergeCell ref="C22:D22"/>
    <mergeCell ref="E22:F22"/>
    <mergeCell ref="G22:H22"/>
    <mergeCell ref="I22:J22"/>
    <mergeCell ref="K22:L22"/>
    <mergeCell ref="C23:D23"/>
    <mergeCell ref="E23:F23"/>
    <mergeCell ref="G23:H23"/>
    <mergeCell ref="I23:J23"/>
    <mergeCell ref="K23:L23"/>
    <mergeCell ref="C20:D20"/>
    <mergeCell ref="E20:F20"/>
    <mergeCell ref="G20:H20"/>
    <mergeCell ref="I20:J20"/>
    <mergeCell ref="K20:L20"/>
    <mergeCell ref="C21:D21"/>
    <mergeCell ref="E21:F21"/>
    <mergeCell ref="G21:H21"/>
    <mergeCell ref="I21:J21"/>
    <mergeCell ref="K21:L21"/>
    <mergeCell ref="C18:D18"/>
    <mergeCell ref="E18:F18"/>
    <mergeCell ref="G18:H18"/>
    <mergeCell ref="I18:J18"/>
    <mergeCell ref="K18:L18"/>
    <mergeCell ref="C19:D19"/>
    <mergeCell ref="E19:F19"/>
    <mergeCell ref="G19:H19"/>
    <mergeCell ref="I19:J19"/>
    <mergeCell ref="K19:L19"/>
    <mergeCell ref="C16:D16"/>
    <mergeCell ref="E16:F16"/>
    <mergeCell ref="G16:H16"/>
    <mergeCell ref="I16:J16"/>
    <mergeCell ref="K16:L16"/>
    <mergeCell ref="C17:D17"/>
    <mergeCell ref="E17:F17"/>
    <mergeCell ref="G17:H17"/>
    <mergeCell ref="I17:J17"/>
    <mergeCell ref="K17:L17"/>
    <mergeCell ref="C14:D14"/>
    <mergeCell ref="E14:F14"/>
    <mergeCell ref="G14:H14"/>
    <mergeCell ref="I14:J14"/>
    <mergeCell ref="K14:L14"/>
    <mergeCell ref="C15:D15"/>
    <mergeCell ref="E15:F15"/>
    <mergeCell ref="G15:H15"/>
    <mergeCell ref="I15:J15"/>
    <mergeCell ref="K15:L15"/>
    <mergeCell ref="C12:D12"/>
    <mergeCell ref="E12:F12"/>
    <mergeCell ref="G12:H12"/>
    <mergeCell ref="I12:J12"/>
    <mergeCell ref="K12:L12"/>
    <mergeCell ref="C13:D13"/>
    <mergeCell ref="E13:F13"/>
    <mergeCell ref="G13:H13"/>
    <mergeCell ref="I13:J13"/>
    <mergeCell ref="K13:L13"/>
    <mergeCell ref="C10:D10"/>
    <mergeCell ref="E10:F10"/>
    <mergeCell ref="G10:H10"/>
    <mergeCell ref="I10:J10"/>
    <mergeCell ref="K10:L10"/>
    <mergeCell ref="C11:D11"/>
    <mergeCell ref="E11:F11"/>
    <mergeCell ref="G11:H11"/>
    <mergeCell ref="I11:J11"/>
    <mergeCell ref="K11:L11"/>
    <mergeCell ref="C8:D8"/>
    <mergeCell ref="E8:F8"/>
    <mergeCell ref="G8:H8"/>
    <mergeCell ref="I8:J8"/>
    <mergeCell ref="K8:L8"/>
    <mergeCell ref="C9:D9"/>
    <mergeCell ref="E9:F9"/>
    <mergeCell ref="G9:H9"/>
    <mergeCell ref="I9:J9"/>
    <mergeCell ref="K9:L9"/>
    <mergeCell ref="C1:I1"/>
    <mergeCell ref="A3:F3"/>
    <mergeCell ref="A4:L4"/>
    <mergeCell ref="A5:A7"/>
    <mergeCell ref="B5:B6"/>
    <mergeCell ref="C7:D7"/>
    <mergeCell ref="E7:F7"/>
    <mergeCell ref="G7:H7"/>
    <mergeCell ref="I7:J7"/>
    <mergeCell ref="K7:L7"/>
  </mergeCells>
  <pageMargins left="0.75" right="0.75" top="1" bottom="1" header="0.5" footer="0.5"/>
  <customProperties>
    <customPr name="_pios_id" r:id="rId1"/>
  </customProperties>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1153DB-50A1-47AA-B188-75279E01FAF4}">
  <sheetPr codeName="Sheet97"/>
  <dimension ref="A1:M105"/>
  <sheetViews>
    <sheetView workbookViewId="0">
      <pane xSplit="2" ySplit="7" topLeftCell="C8" activePane="bottomRight" state="frozen"/>
      <selection pane="topRight"/>
      <selection pane="bottomLeft"/>
      <selection pane="bottomRight"/>
    </sheetView>
  </sheetViews>
  <sheetFormatPr defaultColWidth="11.5" defaultRowHeight="12.75" x14ac:dyDescent="0.2"/>
  <cols>
    <col min="1" max="1" width="4.875" style="1953" customWidth="1"/>
    <col min="2" max="2" width="35.5" style="1953" customWidth="1"/>
    <col min="3" max="3" width="17" style="1953" customWidth="1"/>
    <col min="4" max="4" width="15.125" style="1953" customWidth="1"/>
    <col min="5" max="5" width="15.875" style="1953" customWidth="1"/>
    <col min="6" max="6" width="13" style="1953" customWidth="1"/>
    <col min="7" max="7" width="14.125" style="1953" customWidth="1"/>
    <col min="8" max="8" width="12.625" style="1953" customWidth="1"/>
    <col min="9" max="10" width="15.125" style="1953" customWidth="1"/>
    <col min="11" max="11" width="13" style="1953" customWidth="1"/>
    <col min="12" max="12" width="15.125" style="1953" customWidth="1"/>
    <col min="13" max="16384" width="11.5" style="1953"/>
  </cols>
  <sheetData>
    <row r="1" spans="1:13" ht="16.7" customHeight="1" x14ac:dyDescent="0.2">
      <c r="B1" s="2744" t="s">
        <v>7058</v>
      </c>
      <c r="C1" s="4098" t="s">
        <v>10346</v>
      </c>
      <c r="D1" s="4099"/>
      <c r="E1" s="4099"/>
      <c r="F1" s="4099"/>
      <c r="G1" s="4099"/>
      <c r="H1" s="4099"/>
      <c r="I1" s="4100"/>
      <c r="J1" s="2486"/>
    </row>
    <row r="2" spans="1:13" ht="16.7" customHeight="1" x14ac:dyDescent="0.2">
      <c r="B2" s="2620"/>
      <c r="C2" s="2483"/>
      <c r="D2" s="2483"/>
      <c r="E2" s="2483"/>
      <c r="F2" s="3030"/>
      <c r="G2" s="2796"/>
      <c r="H2" s="2796"/>
      <c r="I2" s="2796"/>
    </row>
    <row r="3" spans="1:13" ht="15.75" customHeight="1" x14ac:dyDescent="0.2">
      <c r="A3" s="3882" t="s">
        <v>10310</v>
      </c>
      <c r="B3" s="3891"/>
      <c r="C3" s="3891"/>
      <c r="D3" s="3891"/>
      <c r="E3" s="3891"/>
      <c r="F3" s="3891"/>
      <c r="G3" s="3891"/>
      <c r="H3" s="3891"/>
      <c r="I3" s="3892"/>
      <c r="J3" s="2981"/>
    </row>
    <row r="4" spans="1:13" ht="59.1" customHeight="1" x14ac:dyDescent="0.2">
      <c r="A4" s="3878" t="s">
        <v>10311</v>
      </c>
      <c r="B4" s="3879"/>
      <c r="C4" s="3879"/>
      <c r="D4" s="3879"/>
      <c r="E4" s="3879"/>
      <c r="F4" s="3879"/>
      <c r="G4" s="3879"/>
      <c r="H4" s="3879"/>
      <c r="I4" s="3879"/>
      <c r="J4" s="3879"/>
      <c r="K4" s="3879"/>
      <c r="L4" s="3880"/>
      <c r="M4" s="2528"/>
    </row>
    <row r="5" spans="1:13" ht="27.6" customHeight="1" x14ac:dyDescent="0.2">
      <c r="A5" s="3898" t="s">
        <v>6360</v>
      </c>
      <c r="B5" s="3898" t="s">
        <v>6467</v>
      </c>
      <c r="C5" s="3019" t="s">
        <v>10312</v>
      </c>
      <c r="D5" s="3027">
        <v>1927</v>
      </c>
      <c r="E5" s="3019" t="s">
        <v>10312</v>
      </c>
      <c r="F5" s="3027">
        <v>20</v>
      </c>
      <c r="G5" s="3019" t="s">
        <v>10312</v>
      </c>
      <c r="H5" s="3027">
        <v>14803</v>
      </c>
      <c r="I5" s="3019" t="s">
        <v>10312</v>
      </c>
      <c r="J5" s="3027">
        <v>14803</v>
      </c>
      <c r="K5" s="3019" t="s">
        <v>10312</v>
      </c>
      <c r="L5" s="3027">
        <v>1927</v>
      </c>
      <c r="M5" s="2528"/>
    </row>
    <row r="6" spans="1:13" ht="16.7" customHeight="1" x14ac:dyDescent="0.2">
      <c r="A6" s="3987"/>
      <c r="B6" s="3987"/>
      <c r="C6" s="2977" t="s">
        <v>10313</v>
      </c>
      <c r="D6" s="3028" t="s">
        <v>10347</v>
      </c>
      <c r="E6" s="2977" t="s">
        <v>10313</v>
      </c>
      <c r="F6" s="3028" t="s">
        <v>10348</v>
      </c>
      <c r="G6" s="2977" t="s">
        <v>10313</v>
      </c>
      <c r="H6" s="3028" t="s">
        <v>10349</v>
      </c>
      <c r="I6" s="2977" t="s">
        <v>10313</v>
      </c>
      <c r="J6" s="3028" t="s">
        <v>10350</v>
      </c>
      <c r="K6" s="2977" t="s">
        <v>10313</v>
      </c>
      <c r="L6" s="3028" t="s">
        <v>10351</v>
      </c>
      <c r="M6" s="2528"/>
    </row>
    <row r="7" spans="1:13" ht="16.7" customHeight="1" x14ac:dyDescent="0.2">
      <c r="A7" s="3923"/>
      <c r="B7" s="2589" t="s">
        <v>5949</v>
      </c>
      <c r="C7" s="4105" t="s">
        <v>5950</v>
      </c>
      <c r="D7" s="3911"/>
      <c r="E7" s="4105" t="s">
        <v>5951</v>
      </c>
      <c r="F7" s="3911"/>
      <c r="G7" s="4105" t="s">
        <v>5952</v>
      </c>
      <c r="H7" s="3911"/>
      <c r="I7" s="4105" t="s">
        <v>6227</v>
      </c>
      <c r="J7" s="3911"/>
      <c r="K7" s="4105" t="s">
        <v>5804</v>
      </c>
      <c r="L7" s="3911"/>
      <c r="M7" s="2528"/>
    </row>
    <row r="8" spans="1:13" ht="16.7" customHeight="1" x14ac:dyDescent="0.2">
      <c r="A8" s="2748" t="s">
        <v>904</v>
      </c>
      <c r="B8" s="2488" t="s">
        <v>10312</v>
      </c>
      <c r="C8" s="4148">
        <f>D5</f>
        <v>1927</v>
      </c>
      <c r="D8" s="4149"/>
      <c r="E8" s="4148">
        <f>F5</f>
        <v>20</v>
      </c>
      <c r="F8" s="4149"/>
      <c r="G8" s="4148">
        <f>H5</f>
        <v>14803</v>
      </c>
      <c r="H8" s="4149"/>
      <c r="I8" s="4148">
        <f>J5</f>
        <v>14803</v>
      </c>
      <c r="J8" s="4149"/>
      <c r="K8" s="4148">
        <f>L5</f>
        <v>1927</v>
      </c>
      <c r="L8" s="4149"/>
      <c r="M8" s="2528"/>
    </row>
    <row r="9" spans="1:13" ht="15.75" customHeight="1" x14ac:dyDescent="0.2">
      <c r="A9" s="2748" t="s">
        <v>10319</v>
      </c>
      <c r="B9" s="2488" t="s">
        <v>766</v>
      </c>
      <c r="C9" s="4152" t="str">
        <f>D6</f>
        <v>Fish Creek</v>
      </c>
      <c r="D9" s="4149"/>
      <c r="E9" s="4152" t="str">
        <f>F6</f>
        <v>Grace</v>
      </c>
      <c r="F9" s="4149"/>
      <c r="G9" s="4150" t="str">
        <f>H6</f>
        <v>Iron Gate</v>
      </c>
      <c r="H9" s="4151"/>
      <c r="I9" s="4150" t="str">
        <f>J6</f>
        <v>JC Boyle</v>
      </c>
      <c r="J9" s="4151"/>
      <c r="K9" s="4152" t="str">
        <f>L6</f>
        <v>Lemolo No. 1</v>
      </c>
      <c r="L9" s="4149"/>
      <c r="M9" s="2528"/>
    </row>
    <row r="10" spans="1:13" ht="15.75" customHeight="1" x14ac:dyDescent="0.2">
      <c r="A10" s="2748" t="s">
        <v>10320</v>
      </c>
      <c r="B10" s="2488" t="s">
        <v>6324</v>
      </c>
      <c r="C10" s="4152" t="str">
        <f>CONCATENATE(C8,", ",C9)</f>
        <v>1927, Fish Creek</v>
      </c>
      <c r="D10" s="4149"/>
      <c r="E10" s="4152" t="str">
        <f>CONCATENATE(E8,", ",E9)</f>
        <v>20, Grace</v>
      </c>
      <c r="F10" s="4149"/>
      <c r="G10" s="4152" t="str">
        <f>CONCATENATE(G8,", ",G9)</f>
        <v>14803, Iron Gate</v>
      </c>
      <c r="H10" s="4149"/>
      <c r="I10" s="4152" t="str">
        <f>CONCATENATE(I8,", ",I9)</f>
        <v>14803, JC Boyle</v>
      </c>
      <c r="J10" s="4149"/>
      <c r="K10" s="4152" t="str">
        <f>CONCATENATE(K8,", ",K9)</f>
        <v>1927, Lemolo No. 1</v>
      </c>
      <c r="L10" s="4149"/>
      <c r="M10" s="2528"/>
    </row>
    <row r="11" spans="1:13" ht="15.75" customHeight="1" x14ac:dyDescent="0.2">
      <c r="A11" s="2497">
        <v>1</v>
      </c>
      <c r="B11" s="2512" t="s">
        <v>10321</v>
      </c>
      <c r="C11" s="4059" t="s">
        <v>10323</v>
      </c>
      <c r="D11" s="4153"/>
      <c r="E11" s="3882" t="s">
        <v>10322</v>
      </c>
      <c r="F11" s="3892"/>
      <c r="G11" s="4059" t="s">
        <v>10322</v>
      </c>
      <c r="H11" s="4153"/>
      <c r="I11" s="4059" t="s">
        <v>10322</v>
      </c>
      <c r="J11" s="4153"/>
      <c r="K11" s="4059" t="s">
        <v>10322</v>
      </c>
      <c r="L11" s="4153"/>
      <c r="M11" s="2528"/>
    </row>
    <row r="12" spans="1:13" ht="15.75" customHeight="1" x14ac:dyDescent="0.2">
      <c r="A12" s="2497">
        <v>2</v>
      </c>
      <c r="B12" s="2512" t="s">
        <v>10324</v>
      </c>
      <c r="C12" s="3882" t="s">
        <v>10293</v>
      </c>
      <c r="D12" s="3892"/>
      <c r="E12" s="3882" t="s">
        <v>10235</v>
      </c>
      <c r="F12" s="3892"/>
      <c r="G12" s="3882" t="s">
        <v>10293</v>
      </c>
      <c r="H12" s="3892"/>
      <c r="I12" s="3882" t="s">
        <v>10293</v>
      </c>
      <c r="J12" s="3892"/>
      <c r="K12" s="3882" t="s">
        <v>10293</v>
      </c>
      <c r="L12" s="3892"/>
      <c r="M12" s="2528"/>
    </row>
    <row r="13" spans="1:13" ht="16.7" customHeight="1" x14ac:dyDescent="0.2">
      <c r="A13" s="2497">
        <v>3</v>
      </c>
      <c r="B13" s="2512" t="s">
        <v>770</v>
      </c>
      <c r="C13" s="4154" t="s">
        <v>10352</v>
      </c>
      <c r="D13" s="3884"/>
      <c r="E13" s="4154" t="s">
        <v>10353</v>
      </c>
      <c r="F13" s="3884"/>
      <c r="G13" s="4154" t="s">
        <v>10354</v>
      </c>
      <c r="H13" s="3884"/>
      <c r="I13" s="4154" t="s">
        <v>10355</v>
      </c>
      <c r="J13" s="3884"/>
      <c r="K13" s="4154" t="s">
        <v>10299</v>
      </c>
      <c r="L13" s="3884"/>
      <c r="M13" s="2528"/>
    </row>
    <row r="14" spans="1:13" ht="16.7" customHeight="1" x14ac:dyDescent="0.2">
      <c r="A14" s="2497">
        <v>4</v>
      </c>
      <c r="B14" s="2512" t="s">
        <v>771</v>
      </c>
      <c r="C14" s="4154" t="s">
        <v>10352</v>
      </c>
      <c r="D14" s="3884"/>
      <c r="E14" s="4154" t="s">
        <v>10356</v>
      </c>
      <c r="F14" s="3884"/>
      <c r="G14" s="4154" t="s">
        <v>10354</v>
      </c>
      <c r="H14" s="3884"/>
      <c r="I14" s="4154" t="s">
        <v>10355</v>
      </c>
      <c r="J14" s="3884"/>
      <c r="K14" s="4154" t="s">
        <v>10299</v>
      </c>
      <c r="L14" s="3884"/>
      <c r="M14" s="2528"/>
    </row>
    <row r="15" spans="1:13" ht="15.75" customHeight="1" x14ac:dyDescent="0.2">
      <c r="A15" s="2497">
        <v>5</v>
      </c>
      <c r="B15" s="2512" t="s">
        <v>10325</v>
      </c>
      <c r="C15" s="4124">
        <v>11</v>
      </c>
      <c r="D15" s="4155"/>
      <c r="E15" s="4124">
        <v>33</v>
      </c>
      <c r="F15" s="4155"/>
      <c r="G15" s="4124">
        <v>18</v>
      </c>
      <c r="H15" s="4155"/>
      <c r="I15" s="4167">
        <v>97.98</v>
      </c>
      <c r="J15" s="4155"/>
      <c r="K15" s="4167">
        <v>31.99</v>
      </c>
      <c r="L15" s="4155"/>
      <c r="M15" s="2528"/>
    </row>
    <row r="16" spans="1:13" ht="15.75" customHeight="1" x14ac:dyDescent="0.2">
      <c r="A16" s="2497">
        <v>6</v>
      </c>
      <c r="B16" s="2512" t="s">
        <v>10326</v>
      </c>
      <c r="C16" s="4124">
        <v>11</v>
      </c>
      <c r="D16" s="4155"/>
      <c r="E16" s="4124">
        <v>23</v>
      </c>
      <c r="F16" s="4155"/>
      <c r="G16" s="4124">
        <v>20</v>
      </c>
      <c r="H16" s="4155"/>
      <c r="I16" s="4124">
        <v>77</v>
      </c>
      <c r="J16" s="4155"/>
      <c r="K16" s="4124">
        <v>23</v>
      </c>
      <c r="L16" s="4155"/>
      <c r="M16" s="2528"/>
    </row>
    <row r="17" spans="1:13" ht="15.75" customHeight="1" x14ac:dyDescent="0.2">
      <c r="A17" s="2497">
        <v>7</v>
      </c>
      <c r="B17" s="2512" t="s">
        <v>10327</v>
      </c>
      <c r="C17" s="4124">
        <v>2618</v>
      </c>
      <c r="D17" s="4155"/>
      <c r="E17" s="4124">
        <v>8460</v>
      </c>
      <c r="F17" s="4155"/>
      <c r="G17" s="4124">
        <v>8731</v>
      </c>
      <c r="H17" s="4155"/>
      <c r="I17" s="4124">
        <v>5205</v>
      </c>
      <c r="J17" s="4155"/>
      <c r="K17" s="4124">
        <v>7985</v>
      </c>
      <c r="L17" s="4155"/>
      <c r="M17" s="2528"/>
    </row>
    <row r="18" spans="1:13" ht="16.7" customHeight="1" x14ac:dyDescent="0.2">
      <c r="A18" s="2497">
        <v>8</v>
      </c>
      <c r="B18" s="2512" t="s">
        <v>10328</v>
      </c>
      <c r="C18" s="4029"/>
      <c r="D18" s="4030"/>
      <c r="E18" s="4030"/>
      <c r="F18" s="4031"/>
      <c r="G18" s="4029"/>
      <c r="H18" s="4030"/>
      <c r="I18" s="4030"/>
      <c r="J18" s="4030"/>
      <c r="K18" s="4030"/>
      <c r="L18" s="4031"/>
      <c r="M18" s="2528"/>
    </row>
    <row r="19" spans="1:13" ht="15.75" customHeight="1" x14ac:dyDescent="0.2">
      <c r="A19" s="2497">
        <v>9</v>
      </c>
      <c r="B19" s="2512" t="s">
        <v>10329</v>
      </c>
      <c r="C19" s="4124">
        <v>10</v>
      </c>
      <c r="D19" s="4155"/>
      <c r="E19" s="4124">
        <v>33</v>
      </c>
      <c r="F19" s="4155"/>
      <c r="G19" s="4124">
        <v>19</v>
      </c>
      <c r="H19" s="4155"/>
      <c r="I19" s="4124">
        <v>83</v>
      </c>
      <c r="J19" s="4155"/>
      <c r="K19" s="4124">
        <v>32</v>
      </c>
      <c r="L19" s="4155"/>
      <c r="M19" s="2528"/>
    </row>
    <row r="20" spans="1:13" ht="15.75" customHeight="1" x14ac:dyDescent="0.2">
      <c r="A20" s="2497">
        <v>10</v>
      </c>
      <c r="B20" s="2512" t="s">
        <v>10330</v>
      </c>
      <c r="C20" s="4124">
        <v>10</v>
      </c>
      <c r="D20" s="4155"/>
      <c r="E20" s="4124">
        <v>33</v>
      </c>
      <c r="F20" s="4155"/>
      <c r="G20" s="4124">
        <v>19</v>
      </c>
      <c r="H20" s="4155"/>
      <c r="I20" s="4124">
        <v>83</v>
      </c>
      <c r="J20" s="4155"/>
      <c r="K20" s="4124">
        <v>32</v>
      </c>
      <c r="L20" s="4155"/>
      <c r="M20" s="2528"/>
    </row>
    <row r="21" spans="1:13" ht="15.75" customHeight="1" x14ac:dyDescent="0.2">
      <c r="A21" s="2497">
        <v>11</v>
      </c>
      <c r="B21" s="2512" t="s">
        <v>776</v>
      </c>
      <c r="C21" s="4124">
        <v>0.5</v>
      </c>
      <c r="D21" s="4155"/>
      <c r="E21" s="4124">
        <v>2.5</v>
      </c>
      <c r="F21" s="4155"/>
      <c r="G21" s="4124">
        <v>0</v>
      </c>
      <c r="H21" s="4155"/>
      <c r="I21" s="4124">
        <v>0</v>
      </c>
      <c r="J21" s="4155"/>
      <c r="K21" s="4124">
        <v>1</v>
      </c>
      <c r="L21" s="4155"/>
      <c r="M21" s="2528"/>
    </row>
    <row r="22" spans="1:13" ht="15.75" customHeight="1" x14ac:dyDescent="0.2">
      <c r="A22" s="2497">
        <v>12</v>
      </c>
      <c r="B22" s="2512" t="s">
        <v>10331</v>
      </c>
      <c r="C22" s="4124">
        <v>18294000</v>
      </c>
      <c r="D22" s="4155"/>
      <c r="E22" s="4124">
        <v>72869000</v>
      </c>
      <c r="F22" s="4155"/>
      <c r="G22" s="4124">
        <v>81505000</v>
      </c>
      <c r="H22" s="4155"/>
      <c r="I22" s="4124">
        <v>192002000</v>
      </c>
      <c r="J22" s="4155"/>
      <c r="K22" s="4124">
        <v>88532000</v>
      </c>
      <c r="L22" s="4155"/>
      <c r="M22" s="2528"/>
    </row>
    <row r="23" spans="1:13" ht="15.75" customHeight="1" x14ac:dyDescent="0.2">
      <c r="A23" s="2497">
        <v>13</v>
      </c>
      <c r="B23" s="2512" t="s">
        <v>10332</v>
      </c>
      <c r="C23" s="4029"/>
      <c r="D23" s="4030"/>
      <c r="E23" s="4030"/>
      <c r="F23" s="4031"/>
      <c r="G23" s="4029"/>
      <c r="H23" s="4030"/>
      <c r="I23" s="4030"/>
      <c r="J23" s="4030"/>
      <c r="K23" s="4030"/>
      <c r="L23" s="4031"/>
      <c r="M23" s="2528"/>
    </row>
    <row r="24" spans="1:13" ht="15.75" customHeight="1" x14ac:dyDescent="0.2">
      <c r="A24" s="2497">
        <v>14</v>
      </c>
      <c r="B24" s="2512" t="s">
        <v>125</v>
      </c>
      <c r="C24" s="4124">
        <v>0</v>
      </c>
      <c r="D24" s="4155"/>
      <c r="E24" s="4124">
        <v>74674</v>
      </c>
      <c r="F24" s="4155"/>
      <c r="G24" s="4156"/>
      <c r="H24" s="4155"/>
      <c r="I24" s="4156"/>
      <c r="J24" s="4155"/>
      <c r="K24" s="4124">
        <v>0</v>
      </c>
      <c r="L24" s="4155"/>
      <c r="M24" s="2528"/>
    </row>
    <row r="25" spans="1:13" ht="16.7" customHeight="1" x14ac:dyDescent="0.2">
      <c r="A25" s="2497">
        <v>15</v>
      </c>
      <c r="B25" s="2512" t="s">
        <v>126</v>
      </c>
      <c r="C25" s="4124">
        <v>1764935</v>
      </c>
      <c r="D25" s="4155"/>
      <c r="E25" s="4124">
        <v>4654241</v>
      </c>
      <c r="F25" s="4155"/>
      <c r="G25" s="4156"/>
      <c r="H25" s="4155"/>
      <c r="I25" s="4156"/>
      <c r="J25" s="4155"/>
      <c r="K25" s="4124">
        <v>3116937</v>
      </c>
      <c r="L25" s="4155"/>
      <c r="M25" s="2528"/>
    </row>
    <row r="26" spans="1:13" ht="16.7" customHeight="1" x14ac:dyDescent="0.2">
      <c r="A26" s="2497">
        <v>16</v>
      </c>
      <c r="B26" s="2512" t="s">
        <v>10333</v>
      </c>
      <c r="C26" s="4124">
        <v>12465242</v>
      </c>
      <c r="D26" s="4155"/>
      <c r="E26" s="4124">
        <v>16612610</v>
      </c>
      <c r="F26" s="4155"/>
      <c r="G26" s="4156"/>
      <c r="H26" s="4155"/>
      <c r="I26" s="4156"/>
      <c r="J26" s="4155"/>
      <c r="K26" s="4124">
        <v>15815119</v>
      </c>
      <c r="L26" s="4155"/>
      <c r="M26" s="2528"/>
    </row>
    <row r="27" spans="1:13" ht="16.7" customHeight="1" x14ac:dyDescent="0.2">
      <c r="A27" s="2497">
        <v>17</v>
      </c>
      <c r="B27" s="2512" t="s">
        <v>779</v>
      </c>
      <c r="C27" s="4124">
        <v>3039487</v>
      </c>
      <c r="D27" s="4155"/>
      <c r="E27" s="4124">
        <v>6605218</v>
      </c>
      <c r="F27" s="4155"/>
      <c r="G27" s="4156"/>
      <c r="H27" s="4155"/>
      <c r="I27" s="4156"/>
      <c r="J27" s="4155"/>
      <c r="K27" s="4124">
        <v>6918822</v>
      </c>
      <c r="L27" s="4155"/>
      <c r="M27" s="2528"/>
    </row>
    <row r="28" spans="1:13" ht="16.7" customHeight="1" x14ac:dyDescent="0.2">
      <c r="A28" s="2497">
        <v>18</v>
      </c>
      <c r="B28" s="2512" t="s">
        <v>10334</v>
      </c>
      <c r="C28" s="4124">
        <v>533015</v>
      </c>
      <c r="D28" s="4155"/>
      <c r="E28" s="4124">
        <v>948522</v>
      </c>
      <c r="F28" s="4155"/>
      <c r="G28" s="4156"/>
      <c r="H28" s="4155"/>
      <c r="I28" s="4156"/>
      <c r="J28" s="4155"/>
      <c r="K28" s="4124">
        <v>531800</v>
      </c>
      <c r="L28" s="4155"/>
      <c r="M28" s="2528"/>
    </row>
    <row r="29" spans="1:13" ht="16.7" customHeight="1" x14ac:dyDescent="0.2">
      <c r="A29" s="2497">
        <v>19</v>
      </c>
      <c r="B29" s="2512" t="s">
        <v>780</v>
      </c>
      <c r="C29" s="4124">
        <v>0</v>
      </c>
      <c r="D29" s="4155"/>
      <c r="E29" s="4124">
        <v>0</v>
      </c>
      <c r="F29" s="4155"/>
      <c r="G29" s="4156"/>
      <c r="H29" s="4155"/>
      <c r="I29" s="4156"/>
      <c r="J29" s="4155"/>
      <c r="K29" s="4124">
        <v>0</v>
      </c>
      <c r="L29" s="4155"/>
      <c r="M29" s="2528"/>
    </row>
    <row r="30" spans="1:13" ht="16.7" customHeight="1" x14ac:dyDescent="0.2">
      <c r="A30" s="2497">
        <v>20</v>
      </c>
      <c r="B30" s="2512" t="s">
        <v>10335</v>
      </c>
      <c r="C30" s="4158">
        <f>SUM(C24:C29)</f>
        <v>17802679</v>
      </c>
      <c r="D30" s="4159"/>
      <c r="E30" s="4158">
        <f>SUM(E24:E29)</f>
        <v>28895265</v>
      </c>
      <c r="F30" s="4159"/>
      <c r="G30" s="4158">
        <f>SUM(G24:G29)</f>
        <v>0</v>
      </c>
      <c r="H30" s="4159"/>
      <c r="I30" s="4158">
        <f>SUM(I24:I29)</f>
        <v>0</v>
      </c>
      <c r="J30" s="4159"/>
      <c r="K30" s="4158">
        <f>SUM(K24:K29)</f>
        <v>26382678</v>
      </c>
      <c r="L30" s="4159"/>
      <c r="M30" s="2528"/>
    </row>
    <row r="31" spans="1:13" ht="15.75" customHeight="1" x14ac:dyDescent="0.2">
      <c r="A31" s="2497">
        <v>21</v>
      </c>
      <c r="B31" s="2512" t="s">
        <v>10336</v>
      </c>
      <c r="C31" s="4160">
        <f>IFERROR(C30/(C15*1000),"")</f>
        <v>1618.4253636363637</v>
      </c>
      <c r="D31" s="4161"/>
      <c r="E31" s="4160">
        <f>IFERROR(E30/(E15*1000),"")</f>
        <v>875.61409090909092</v>
      </c>
      <c r="F31" s="4161"/>
      <c r="G31" s="4160">
        <f>IFERROR(G30/(G15*1000),"")</f>
        <v>0</v>
      </c>
      <c r="H31" s="4161"/>
      <c r="I31" s="4160">
        <f>IFERROR(I30/(I15*1000),"")</f>
        <v>0</v>
      </c>
      <c r="J31" s="4161"/>
      <c r="K31" s="4160">
        <f>IFERROR(K30/(K15*1000),"")</f>
        <v>824.71641137855579</v>
      </c>
      <c r="L31" s="4161"/>
      <c r="M31" s="2528"/>
    </row>
    <row r="32" spans="1:13" ht="15.75" customHeight="1" x14ac:dyDescent="0.2">
      <c r="A32" s="2497">
        <v>22</v>
      </c>
      <c r="B32" s="2512" t="s">
        <v>10337</v>
      </c>
      <c r="C32" s="4162"/>
      <c r="D32" s="4163"/>
      <c r="E32" s="4163"/>
      <c r="F32" s="4164"/>
      <c r="G32" s="4162"/>
      <c r="H32" s="4163"/>
      <c r="I32" s="4163"/>
      <c r="J32" s="4163"/>
      <c r="K32" s="4163"/>
      <c r="L32" s="4164"/>
      <c r="M32" s="2528"/>
    </row>
    <row r="33" spans="1:13" ht="15.75" customHeight="1" x14ac:dyDescent="0.2">
      <c r="A33" s="2497">
        <v>23</v>
      </c>
      <c r="B33" s="2512" t="s">
        <v>10338</v>
      </c>
      <c r="C33" s="4124">
        <v>37645</v>
      </c>
      <c r="D33" s="4155"/>
      <c r="E33" s="4124">
        <v>213117</v>
      </c>
      <c r="F33" s="4155"/>
      <c r="G33" s="4124">
        <v>1727374</v>
      </c>
      <c r="H33" s="4155"/>
      <c r="I33" s="4124">
        <v>342622</v>
      </c>
      <c r="J33" s="4155"/>
      <c r="K33" s="4124">
        <v>224365</v>
      </c>
      <c r="L33" s="4155"/>
      <c r="M33" s="2528"/>
    </row>
    <row r="34" spans="1:13" ht="15.75" customHeight="1" x14ac:dyDescent="0.2">
      <c r="A34" s="2497">
        <v>24</v>
      </c>
      <c r="B34" s="2512" t="s">
        <v>10339</v>
      </c>
      <c r="C34" s="4124">
        <v>417</v>
      </c>
      <c r="D34" s="4155"/>
      <c r="E34" s="4124">
        <v>0</v>
      </c>
      <c r="F34" s="4155"/>
      <c r="G34" s="4124">
        <v>0</v>
      </c>
      <c r="H34" s="4155"/>
      <c r="I34" s="4124">
        <v>0</v>
      </c>
      <c r="J34" s="4155"/>
      <c r="K34" s="4124">
        <v>1212</v>
      </c>
      <c r="L34" s="4155"/>
      <c r="M34" s="2528"/>
    </row>
    <row r="35" spans="1:13" ht="15.75" customHeight="1" x14ac:dyDescent="0.2">
      <c r="A35" s="2497">
        <v>25</v>
      </c>
      <c r="B35" s="2512" t="s">
        <v>10340</v>
      </c>
      <c r="C35" s="4124">
        <v>25346</v>
      </c>
      <c r="D35" s="4155"/>
      <c r="E35" s="4124">
        <v>49632</v>
      </c>
      <c r="F35" s="4155"/>
      <c r="G35" s="4124">
        <v>1000</v>
      </c>
      <c r="H35" s="4155"/>
      <c r="I35" s="4124">
        <v>5444</v>
      </c>
      <c r="J35" s="4155"/>
      <c r="K35" s="4124">
        <v>73712</v>
      </c>
      <c r="L35" s="4155"/>
      <c r="M35" s="2528"/>
    </row>
    <row r="36" spans="1:13" ht="15.75" customHeight="1" x14ac:dyDescent="0.2">
      <c r="A36" s="2497">
        <v>26</v>
      </c>
      <c r="B36" s="2512" t="s">
        <v>784</v>
      </c>
      <c r="C36" s="4124">
        <v>0</v>
      </c>
      <c r="D36" s="4155"/>
      <c r="E36" s="4124">
        <v>0</v>
      </c>
      <c r="F36" s="4155"/>
      <c r="G36" s="4124">
        <v>0</v>
      </c>
      <c r="H36" s="4155"/>
      <c r="I36" s="4124">
        <v>0</v>
      </c>
      <c r="J36" s="4155"/>
      <c r="K36" s="4124">
        <v>0</v>
      </c>
      <c r="L36" s="4155"/>
      <c r="M36" s="2528"/>
    </row>
    <row r="37" spans="1:13" ht="15.75" customHeight="1" x14ac:dyDescent="0.2">
      <c r="A37" s="2497">
        <v>27</v>
      </c>
      <c r="B37" s="2512" t="s">
        <v>10341</v>
      </c>
      <c r="C37" s="4124">
        <v>143640</v>
      </c>
      <c r="D37" s="4155"/>
      <c r="E37" s="4124">
        <v>1507703</v>
      </c>
      <c r="F37" s="4155"/>
      <c r="G37" s="4124">
        <v>1624986</v>
      </c>
      <c r="H37" s="4155"/>
      <c r="I37" s="4124">
        <v>636603</v>
      </c>
      <c r="J37" s="4155"/>
      <c r="K37" s="4124">
        <v>720446</v>
      </c>
      <c r="L37" s="4155"/>
      <c r="M37" s="2528"/>
    </row>
    <row r="38" spans="1:13" ht="15.75" customHeight="1" x14ac:dyDescent="0.2">
      <c r="A38" s="2497">
        <v>28</v>
      </c>
      <c r="B38" s="2512" t="s">
        <v>492</v>
      </c>
      <c r="C38" s="4124">
        <v>50941</v>
      </c>
      <c r="D38" s="4155"/>
      <c r="E38" s="4124">
        <v>22165</v>
      </c>
      <c r="F38" s="4155"/>
      <c r="G38" s="4124">
        <v>115773</v>
      </c>
      <c r="H38" s="4155"/>
      <c r="I38" s="4124">
        <v>2373</v>
      </c>
      <c r="J38" s="4155"/>
      <c r="K38" s="4124">
        <v>148144</v>
      </c>
      <c r="L38" s="4155"/>
      <c r="M38" s="2528"/>
    </row>
    <row r="39" spans="1:13" ht="15.75" customHeight="1" x14ac:dyDescent="0.2">
      <c r="A39" s="2497">
        <v>29</v>
      </c>
      <c r="B39" s="2512" t="s">
        <v>787</v>
      </c>
      <c r="C39" s="4124">
        <v>0</v>
      </c>
      <c r="D39" s="4155"/>
      <c r="E39" s="4124">
        <v>0</v>
      </c>
      <c r="F39" s="4155"/>
      <c r="G39" s="4124">
        <v>0</v>
      </c>
      <c r="H39" s="4155"/>
      <c r="I39" s="4124">
        <v>0</v>
      </c>
      <c r="J39" s="4155"/>
      <c r="K39" s="4124">
        <v>0</v>
      </c>
      <c r="L39" s="4155"/>
      <c r="M39" s="2528"/>
    </row>
    <row r="40" spans="1:13" ht="15.75" customHeight="1" x14ac:dyDescent="0.2">
      <c r="A40" s="2497">
        <v>30</v>
      </c>
      <c r="B40" s="2512" t="s">
        <v>788</v>
      </c>
      <c r="C40" s="4124">
        <v>19639</v>
      </c>
      <c r="D40" s="4155"/>
      <c r="E40" s="4124">
        <v>26556</v>
      </c>
      <c r="F40" s="4155"/>
      <c r="G40" s="4124">
        <v>0</v>
      </c>
      <c r="H40" s="4155"/>
      <c r="I40" s="4124">
        <v>2899</v>
      </c>
      <c r="J40" s="4155"/>
      <c r="K40" s="4124">
        <v>65238</v>
      </c>
      <c r="L40" s="4155"/>
      <c r="M40" s="2528"/>
    </row>
    <row r="41" spans="1:13" ht="15.75" customHeight="1" x14ac:dyDescent="0.2">
      <c r="A41" s="2497">
        <v>31</v>
      </c>
      <c r="B41" s="2512" t="s">
        <v>10342</v>
      </c>
      <c r="C41" s="4124">
        <v>28878</v>
      </c>
      <c r="D41" s="4155"/>
      <c r="E41" s="4124">
        <v>156675</v>
      </c>
      <c r="F41" s="4155"/>
      <c r="G41" s="4124">
        <v>824</v>
      </c>
      <c r="H41" s="4155"/>
      <c r="I41" s="4124">
        <v>2948</v>
      </c>
      <c r="J41" s="4155"/>
      <c r="K41" s="4124">
        <v>57404</v>
      </c>
      <c r="L41" s="4155"/>
      <c r="M41" s="2528"/>
    </row>
    <row r="42" spans="1:13" ht="15.75" customHeight="1" x14ac:dyDescent="0.2">
      <c r="A42" s="2497">
        <v>32</v>
      </c>
      <c r="B42" s="2512" t="s">
        <v>10261</v>
      </c>
      <c r="C42" s="4124">
        <v>9206</v>
      </c>
      <c r="D42" s="4155"/>
      <c r="E42" s="4124">
        <v>43921</v>
      </c>
      <c r="F42" s="4155"/>
      <c r="G42" s="4124">
        <v>1038</v>
      </c>
      <c r="H42" s="4155"/>
      <c r="I42" s="4124">
        <v>0</v>
      </c>
      <c r="J42" s="4155"/>
      <c r="K42" s="4124">
        <v>10394</v>
      </c>
      <c r="L42" s="4155"/>
      <c r="M42" s="2528"/>
    </row>
    <row r="43" spans="1:13" ht="15.75" customHeight="1" x14ac:dyDescent="0.2">
      <c r="A43" s="2497">
        <v>33</v>
      </c>
      <c r="B43" s="2512" t="s">
        <v>10343</v>
      </c>
      <c r="C43" s="4124">
        <v>35348</v>
      </c>
      <c r="D43" s="4155"/>
      <c r="E43" s="4124">
        <v>135932</v>
      </c>
      <c r="F43" s="4155"/>
      <c r="G43" s="4124">
        <v>24083</v>
      </c>
      <c r="H43" s="4155"/>
      <c r="I43" s="4124">
        <v>98108</v>
      </c>
      <c r="J43" s="4155"/>
      <c r="K43" s="4124">
        <v>102284</v>
      </c>
      <c r="L43" s="4155"/>
      <c r="M43" s="2528"/>
    </row>
    <row r="44" spans="1:13" ht="15.75" customHeight="1" x14ac:dyDescent="0.2">
      <c r="A44" s="2497">
        <v>34</v>
      </c>
      <c r="B44" s="2512" t="s">
        <v>10344</v>
      </c>
      <c r="C44" s="4125">
        <f>SUM(C33:C43)</f>
        <v>351060</v>
      </c>
      <c r="D44" s="4165"/>
      <c r="E44" s="4125">
        <f>SUM(E33:E43)</f>
        <v>2155701</v>
      </c>
      <c r="F44" s="4165"/>
      <c r="G44" s="4125">
        <f>SUM(G33:G43)</f>
        <v>3495078</v>
      </c>
      <c r="H44" s="4165"/>
      <c r="I44" s="4125">
        <f>SUM(I33:I43)</f>
        <v>1090997</v>
      </c>
      <c r="J44" s="4165"/>
      <c r="K44" s="4125">
        <f>SUM(K33:K43)</f>
        <v>1403199</v>
      </c>
      <c r="L44" s="4165"/>
      <c r="M44" s="2528"/>
    </row>
    <row r="45" spans="1:13" ht="15.75" customHeight="1" x14ac:dyDescent="0.2">
      <c r="A45" s="2497">
        <v>35</v>
      </c>
      <c r="B45" s="2512" t="s">
        <v>10345</v>
      </c>
      <c r="C45" s="4166">
        <f>C44/C22</f>
        <v>1.9189898327320432E-2</v>
      </c>
      <c r="D45" s="4149"/>
      <c r="E45" s="4166">
        <f>E44/E22</f>
        <v>2.9583238414140445E-2</v>
      </c>
      <c r="F45" s="4149"/>
      <c r="G45" s="4166">
        <f>G44/G22</f>
        <v>4.2881761855100911E-2</v>
      </c>
      <c r="H45" s="4149"/>
      <c r="I45" s="4166">
        <f>I44/I22</f>
        <v>5.6822168519077929E-3</v>
      </c>
      <c r="J45" s="4149"/>
      <c r="K45" s="4166">
        <f>K44/K22</f>
        <v>1.5849624994352326E-2</v>
      </c>
      <c r="L45" s="4149"/>
      <c r="M45" s="2528"/>
    </row>
    <row r="46" spans="1:13" ht="16.7" customHeight="1" x14ac:dyDescent="0.2">
      <c r="A46" s="2535"/>
      <c r="B46" s="2516"/>
      <c r="C46" s="2516"/>
      <c r="D46" s="2516"/>
      <c r="E46" s="2516"/>
      <c r="F46" s="3025"/>
      <c r="G46" s="2901"/>
      <c r="H46" s="2901"/>
      <c r="I46" s="2901"/>
      <c r="J46" s="2901"/>
      <c r="K46" s="2901"/>
      <c r="L46" s="2901"/>
    </row>
    <row r="47" spans="1:13" ht="16.7" customHeight="1" x14ac:dyDescent="0.2"/>
    <row r="48" spans="1:13" ht="16.7" customHeight="1" x14ac:dyDescent="0.2"/>
    <row r="49" ht="16.7" customHeight="1" x14ac:dyDescent="0.2"/>
    <row r="50" ht="16.7" customHeight="1" x14ac:dyDescent="0.2"/>
    <row r="51" ht="16.7" customHeight="1" x14ac:dyDescent="0.2"/>
    <row r="52" ht="16.7" customHeight="1" x14ac:dyDescent="0.2"/>
    <row r="53" ht="16.7" customHeight="1" x14ac:dyDescent="0.2"/>
    <row r="54" ht="16.7" customHeight="1" x14ac:dyDescent="0.2"/>
    <row r="55" ht="16.7" customHeight="1" x14ac:dyDescent="0.2"/>
    <row r="56" ht="16.7" customHeight="1" x14ac:dyDescent="0.2"/>
    <row r="57" ht="16.7" customHeight="1" x14ac:dyDescent="0.2"/>
    <row r="58" ht="16.7" customHeight="1" x14ac:dyDescent="0.2"/>
    <row r="59" ht="16.7" customHeight="1" x14ac:dyDescent="0.2"/>
    <row r="60" ht="16.7" customHeight="1" x14ac:dyDescent="0.2"/>
    <row r="61" ht="16.7" customHeight="1" x14ac:dyDescent="0.2"/>
    <row r="62" ht="16.7" customHeight="1" x14ac:dyDescent="0.2"/>
    <row r="63" ht="16.7" customHeight="1" x14ac:dyDescent="0.2"/>
    <row r="64" ht="16.7" customHeight="1" x14ac:dyDescent="0.2"/>
    <row r="65" ht="16.7" customHeight="1" x14ac:dyDescent="0.2"/>
    <row r="66" ht="16.7" customHeight="1" x14ac:dyDescent="0.2"/>
    <row r="67" ht="16.7" customHeight="1" x14ac:dyDescent="0.2"/>
    <row r="68" ht="16.7" customHeight="1" x14ac:dyDescent="0.2"/>
    <row r="69" ht="16.7" customHeight="1" x14ac:dyDescent="0.2"/>
    <row r="70" ht="16.7" customHeight="1" x14ac:dyDescent="0.2"/>
    <row r="71" ht="16.7" customHeight="1" x14ac:dyDescent="0.2"/>
    <row r="72" ht="16.7" customHeight="1" x14ac:dyDescent="0.2"/>
    <row r="73" ht="16.7" customHeight="1" x14ac:dyDescent="0.2"/>
    <row r="74" ht="16.7" customHeight="1" x14ac:dyDescent="0.2"/>
    <row r="75" ht="16.7" customHeight="1" x14ac:dyDescent="0.2"/>
    <row r="76" ht="16.7" customHeight="1" x14ac:dyDescent="0.2"/>
    <row r="77" ht="16.7" customHeight="1" x14ac:dyDescent="0.2"/>
    <row r="78" ht="16.7" customHeight="1" x14ac:dyDescent="0.2"/>
    <row r="79" ht="16.7" customHeight="1" x14ac:dyDescent="0.2"/>
    <row r="80" ht="16.7" customHeight="1" x14ac:dyDescent="0.2"/>
    <row r="81" ht="16.7" customHeight="1" x14ac:dyDescent="0.2"/>
    <row r="82" ht="16.7" customHeight="1" x14ac:dyDescent="0.2"/>
    <row r="83" ht="16.7" customHeight="1" x14ac:dyDescent="0.2"/>
    <row r="84" ht="16.7" customHeight="1" x14ac:dyDescent="0.2"/>
    <row r="85" ht="16.7" customHeight="1" x14ac:dyDescent="0.2"/>
    <row r="86" ht="16.7" customHeight="1" x14ac:dyDescent="0.2"/>
    <row r="87" ht="16.7" customHeight="1" x14ac:dyDescent="0.2"/>
    <row r="88" ht="16.7" customHeight="1" x14ac:dyDescent="0.2"/>
    <row r="89" ht="16.7" customHeight="1" x14ac:dyDescent="0.2"/>
    <row r="90" ht="16.7" customHeight="1" x14ac:dyDescent="0.2"/>
    <row r="91" ht="16.7" customHeight="1" x14ac:dyDescent="0.2"/>
    <row r="92" ht="16.7" customHeight="1" x14ac:dyDescent="0.2"/>
    <row r="93" ht="16.7" customHeight="1" x14ac:dyDescent="0.2"/>
    <row r="94" ht="16.7" customHeight="1" x14ac:dyDescent="0.2"/>
    <row r="95" ht="16.7" customHeight="1" x14ac:dyDescent="0.2"/>
    <row r="96" ht="16.7" customHeight="1" x14ac:dyDescent="0.2"/>
    <row r="97" ht="16.7" customHeight="1" x14ac:dyDescent="0.2"/>
    <row r="98" ht="16.7" customHeight="1" x14ac:dyDescent="0.2"/>
    <row r="99" ht="16.7" customHeight="1" x14ac:dyDescent="0.2"/>
    <row r="100" ht="16.7" customHeight="1" x14ac:dyDescent="0.2"/>
    <row r="101" ht="16.7" customHeight="1" x14ac:dyDescent="0.2"/>
    <row r="102" ht="16.7" customHeight="1" x14ac:dyDescent="0.2"/>
    <row r="103" ht="16.7" customHeight="1" x14ac:dyDescent="0.2"/>
    <row r="104" ht="16.7" customHeight="1" x14ac:dyDescent="0.2"/>
    <row r="105" ht="16.7" customHeight="1" x14ac:dyDescent="0.2"/>
  </sheetData>
  <mergeCells count="200">
    <mergeCell ref="C44:D44"/>
    <mergeCell ref="E44:F44"/>
    <mergeCell ref="G44:H44"/>
    <mergeCell ref="I44:J44"/>
    <mergeCell ref="K44:L44"/>
    <mergeCell ref="C45:D45"/>
    <mergeCell ref="E45:F45"/>
    <mergeCell ref="G45:H45"/>
    <mergeCell ref="I45:J45"/>
    <mergeCell ref="K45:L45"/>
    <mergeCell ref="C42:D42"/>
    <mergeCell ref="E42:F42"/>
    <mergeCell ref="G42:H42"/>
    <mergeCell ref="I42:J42"/>
    <mergeCell ref="K42:L42"/>
    <mergeCell ref="C43:D43"/>
    <mergeCell ref="E43:F43"/>
    <mergeCell ref="G43:H43"/>
    <mergeCell ref="I43:J43"/>
    <mergeCell ref="K43:L43"/>
    <mergeCell ref="C40:D40"/>
    <mergeCell ref="E40:F40"/>
    <mergeCell ref="G40:H40"/>
    <mergeCell ref="I40:J40"/>
    <mergeCell ref="K40:L40"/>
    <mergeCell ref="C41:D41"/>
    <mergeCell ref="E41:F41"/>
    <mergeCell ref="G41:H41"/>
    <mergeCell ref="I41:J41"/>
    <mergeCell ref="K41:L41"/>
    <mergeCell ref="C38:D38"/>
    <mergeCell ref="E38:F38"/>
    <mergeCell ref="G38:H38"/>
    <mergeCell ref="I38:J38"/>
    <mergeCell ref="K38:L38"/>
    <mergeCell ref="C39:D39"/>
    <mergeCell ref="E39:F39"/>
    <mergeCell ref="G39:H39"/>
    <mergeCell ref="I39:J39"/>
    <mergeCell ref="K39:L39"/>
    <mergeCell ref="C36:D36"/>
    <mergeCell ref="E36:F36"/>
    <mergeCell ref="G36:H36"/>
    <mergeCell ref="I36:J36"/>
    <mergeCell ref="K36:L36"/>
    <mergeCell ref="C37:D37"/>
    <mergeCell ref="E37:F37"/>
    <mergeCell ref="G37:H37"/>
    <mergeCell ref="I37:J37"/>
    <mergeCell ref="K37:L37"/>
    <mergeCell ref="C34:D34"/>
    <mergeCell ref="E34:F34"/>
    <mergeCell ref="G34:H34"/>
    <mergeCell ref="I34:J34"/>
    <mergeCell ref="K34:L34"/>
    <mergeCell ref="C35:D35"/>
    <mergeCell ref="E35:F35"/>
    <mergeCell ref="G35:H35"/>
    <mergeCell ref="I35:J35"/>
    <mergeCell ref="K35:L35"/>
    <mergeCell ref="C32:D32"/>
    <mergeCell ref="E32:F32"/>
    <mergeCell ref="G32:H32"/>
    <mergeCell ref="I32:J32"/>
    <mergeCell ref="K32:L32"/>
    <mergeCell ref="C33:D33"/>
    <mergeCell ref="E33:F33"/>
    <mergeCell ref="G33:H33"/>
    <mergeCell ref="I33:J33"/>
    <mergeCell ref="K33:L33"/>
    <mergeCell ref="C30:D30"/>
    <mergeCell ref="E30:F30"/>
    <mergeCell ref="G30:H30"/>
    <mergeCell ref="I30:J30"/>
    <mergeCell ref="K30:L30"/>
    <mergeCell ref="C31:D31"/>
    <mergeCell ref="E31:F31"/>
    <mergeCell ref="G31:H31"/>
    <mergeCell ref="I31:J31"/>
    <mergeCell ref="K31:L31"/>
    <mergeCell ref="C28:D28"/>
    <mergeCell ref="E28:F28"/>
    <mergeCell ref="G28:H28"/>
    <mergeCell ref="I28:J28"/>
    <mergeCell ref="K28:L28"/>
    <mergeCell ref="C29:D29"/>
    <mergeCell ref="E29:F29"/>
    <mergeCell ref="G29:H29"/>
    <mergeCell ref="I29:J29"/>
    <mergeCell ref="K29:L29"/>
    <mergeCell ref="C26:D26"/>
    <mergeCell ref="E26:F26"/>
    <mergeCell ref="G26:H26"/>
    <mergeCell ref="I26:J26"/>
    <mergeCell ref="K26:L26"/>
    <mergeCell ref="C27:D27"/>
    <mergeCell ref="E27:F27"/>
    <mergeCell ref="G27:H27"/>
    <mergeCell ref="I27:J27"/>
    <mergeCell ref="K27:L27"/>
    <mergeCell ref="C24:D24"/>
    <mergeCell ref="E24:F24"/>
    <mergeCell ref="G24:H24"/>
    <mergeCell ref="I24:J24"/>
    <mergeCell ref="K24:L24"/>
    <mergeCell ref="C25:D25"/>
    <mergeCell ref="E25:F25"/>
    <mergeCell ref="G25:H25"/>
    <mergeCell ref="I25:J25"/>
    <mergeCell ref="K25:L25"/>
    <mergeCell ref="C22:D22"/>
    <mergeCell ref="E22:F22"/>
    <mergeCell ref="G22:H22"/>
    <mergeCell ref="I22:J22"/>
    <mergeCell ref="K22:L22"/>
    <mergeCell ref="C23:D23"/>
    <mergeCell ref="E23:F23"/>
    <mergeCell ref="G23:H23"/>
    <mergeCell ref="I23:J23"/>
    <mergeCell ref="K23:L23"/>
    <mergeCell ref="C20:D20"/>
    <mergeCell ref="E20:F20"/>
    <mergeCell ref="G20:H20"/>
    <mergeCell ref="I20:J20"/>
    <mergeCell ref="K20:L20"/>
    <mergeCell ref="C21:D21"/>
    <mergeCell ref="E21:F21"/>
    <mergeCell ref="G21:H21"/>
    <mergeCell ref="I21:J21"/>
    <mergeCell ref="K21:L21"/>
    <mergeCell ref="C18:D18"/>
    <mergeCell ref="E18:F18"/>
    <mergeCell ref="G18:H18"/>
    <mergeCell ref="I18:J18"/>
    <mergeCell ref="K18:L18"/>
    <mergeCell ref="C19:D19"/>
    <mergeCell ref="E19:F19"/>
    <mergeCell ref="G19:H19"/>
    <mergeCell ref="I19:J19"/>
    <mergeCell ref="K19:L19"/>
    <mergeCell ref="C16:D16"/>
    <mergeCell ref="E16:F16"/>
    <mergeCell ref="G16:H16"/>
    <mergeCell ref="I16:J16"/>
    <mergeCell ref="K16:L16"/>
    <mergeCell ref="C17:D17"/>
    <mergeCell ref="E17:F17"/>
    <mergeCell ref="G17:H17"/>
    <mergeCell ref="I17:J17"/>
    <mergeCell ref="K17:L17"/>
    <mergeCell ref="C14:D14"/>
    <mergeCell ref="E14:F14"/>
    <mergeCell ref="G14:H14"/>
    <mergeCell ref="I14:J14"/>
    <mergeCell ref="K14:L14"/>
    <mergeCell ref="C15:D15"/>
    <mergeCell ref="E15:F15"/>
    <mergeCell ref="G15:H15"/>
    <mergeCell ref="I15:J15"/>
    <mergeCell ref="K15:L15"/>
    <mergeCell ref="C12:D12"/>
    <mergeCell ref="E12:F12"/>
    <mergeCell ref="G12:H12"/>
    <mergeCell ref="I12:J12"/>
    <mergeCell ref="K12:L12"/>
    <mergeCell ref="C13:D13"/>
    <mergeCell ref="E13:F13"/>
    <mergeCell ref="G13:H13"/>
    <mergeCell ref="I13:J13"/>
    <mergeCell ref="K13:L13"/>
    <mergeCell ref="C10:D10"/>
    <mergeCell ref="E10:F10"/>
    <mergeCell ref="G10:H10"/>
    <mergeCell ref="I10:J10"/>
    <mergeCell ref="K10:L10"/>
    <mergeCell ref="C11:D11"/>
    <mergeCell ref="E11:F11"/>
    <mergeCell ref="G11:H11"/>
    <mergeCell ref="I11:J11"/>
    <mergeCell ref="K11:L11"/>
    <mergeCell ref="C8:D8"/>
    <mergeCell ref="E8:F8"/>
    <mergeCell ref="G8:H8"/>
    <mergeCell ref="I8:J8"/>
    <mergeCell ref="K8:L8"/>
    <mergeCell ref="C9:D9"/>
    <mergeCell ref="E9:F9"/>
    <mergeCell ref="G9:H9"/>
    <mergeCell ref="I9:J9"/>
    <mergeCell ref="K9:L9"/>
    <mergeCell ref="C1:I1"/>
    <mergeCell ref="A3:I3"/>
    <mergeCell ref="A4:L4"/>
    <mergeCell ref="A5:A7"/>
    <mergeCell ref="B5:B6"/>
    <mergeCell ref="C7:D7"/>
    <mergeCell ref="E7:F7"/>
    <mergeCell ref="G7:H7"/>
    <mergeCell ref="I7:J7"/>
    <mergeCell ref="K7:L7"/>
  </mergeCells>
  <pageMargins left="0.75" right="0.75" top="1" bottom="1" header="0.5" footer="0.5"/>
  <customProperties>
    <customPr name="_pios_id" r:id="rId1"/>
  </customProperties>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AC1317-E7FD-4310-A8FE-A77B7DBDB28E}">
  <sheetPr codeName="Sheet98"/>
  <dimension ref="A1:M105"/>
  <sheetViews>
    <sheetView workbookViewId="0">
      <pane xSplit="2" ySplit="7" topLeftCell="C8" activePane="bottomRight" state="frozen"/>
      <selection pane="topRight"/>
      <selection pane="bottomLeft"/>
      <selection pane="bottomRight"/>
    </sheetView>
  </sheetViews>
  <sheetFormatPr defaultColWidth="11.5" defaultRowHeight="12.75" x14ac:dyDescent="0.2"/>
  <cols>
    <col min="1" max="1" width="4.875" style="1953" customWidth="1"/>
    <col min="2" max="2" width="35.5" style="1953" customWidth="1"/>
    <col min="3" max="4" width="15.125" style="1953" customWidth="1"/>
    <col min="5" max="5" width="16" style="1953" customWidth="1"/>
    <col min="6" max="8" width="13.5" style="1953" customWidth="1"/>
    <col min="9" max="9" width="13.25" style="1953" customWidth="1"/>
    <col min="10" max="10" width="9.125" style="1953" customWidth="1"/>
    <col min="11" max="11" width="16.375" style="1953" customWidth="1"/>
    <col min="12" max="12" width="13.5" style="1953" customWidth="1"/>
    <col min="13" max="16384" width="11.5" style="1953"/>
  </cols>
  <sheetData>
    <row r="1" spans="1:13" ht="16.7" customHeight="1" x14ac:dyDescent="0.2">
      <c r="B1" s="2744" t="s">
        <v>7058</v>
      </c>
      <c r="C1" s="4098" t="s">
        <v>10357</v>
      </c>
      <c r="D1" s="4099"/>
      <c r="E1" s="4099"/>
      <c r="F1" s="4099"/>
      <c r="G1" s="4099"/>
      <c r="H1" s="4099"/>
      <c r="I1" s="4100"/>
      <c r="J1" s="2479"/>
    </row>
    <row r="2" spans="1:13" ht="16.7" customHeight="1" x14ac:dyDescent="0.2">
      <c r="B2" s="2620"/>
      <c r="C2" s="2796"/>
      <c r="D2" s="2796"/>
      <c r="E2" s="2796"/>
      <c r="F2" s="2796"/>
      <c r="G2" s="2796"/>
      <c r="H2" s="2796"/>
      <c r="I2" s="2796"/>
    </row>
    <row r="3" spans="1:13" ht="15.75" customHeight="1" x14ac:dyDescent="0.2">
      <c r="A3" s="3882" t="s">
        <v>10310</v>
      </c>
      <c r="B3" s="3891"/>
      <c r="C3" s="3891"/>
      <c r="D3" s="3891"/>
      <c r="E3" s="3891"/>
      <c r="F3" s="3891"/>
      <c r="G3" s="3891"/>
      <c r="H3" s="3891"/>
      <c r="I3" s="3891"/>
      <c r="J3" s="3891"/>
      <c r="K3" s="3892"/>
      <c r="L3" s="2788"/>
    </row>
    <row r="4" spans="1:13" ht="59.1" customHeight="1" x14ac:dyDescent="0.2">
      <c r="A4" s="3878" t="s">
        <v>10311</v>
      </c>
      <c r="B4" s="3879"/>
      <c r="C4" s="3879"/>
      <c r="D4" s="3879"/>
      <c r="E4" s="3879"/>
      <c r="F4" s="3879"/>
      <c r="G4" s="3879"/>
      <c r="H4" s="3879"/>
      <c r="I4" s="3879"/>
      <c r="J4" s="3879"/>
      <c r="K4" s="3879"/>
      <c r="L4" s="3880"/>
      <c r="M4" s="2528"/>
    </row>
    <row r="5" spans="1:13" ht="27.6" customHeight="1" x14ac:dyDescent="0.2">
      <c r="A5" s="3898" t="s">
        <v>6360</v>
      </c>
      <c r="B5" s="3898" t="s">
        <v>6467</v>
      </c>
      <c r="C5" s="3019" t="s">
        <v>10312</v>
      </c>
      <c r="D5" s="3027">
        <v>1927</v>
      </c>
      <c r="E5" s="3019" t="s">
        <v>10312</v>
      </c>
      <c r="F5" s="3027">
        <v>935</v>
      </c>
      <c r="G5" s="3019" t="s">
        <v>10312</v>
      </c>
      <c r="H5" s="3027">
        <v>1927</v>
      </c>
      <c r="I5" s="3019" t="s">
        <v>10312</v>
      </c>
      <c r="J5" s="3027">
        <v>20</v>
      </c>
      <c r="K5" s="3019" t="s">
        <v>10312</v>
      </c>
      <c r="L5" s="3027">
        <v>2630</v>
      </c>
      <c r="M5" s="2528"/>
    </row>
    <row r="6" spans="1:13" ht="16.7" customHeight="1" x14ac:dyDescent="0.2">
      <c r="A6" s="3987"/>
      <c r="B6" s="3987"/>
      <c r="C6" s="2977" t="s">
        <v>10313</v>
      </c>
      <c r="D6" s="3028" t="s">
        <v>10358</v>
      </c>
      <c r="E6" s="2977" t="s">
        <v>10313</v>
      </c>
      <c r="F6" s="3028" t="s">
        <v>10359</v>
      </c>
      <c r="G6" s="2977" t="s">
        <v>10313</v>
      </c>
      <c r="H6" s="3028" t="s">
        <v>10360</v>
      </c>
      <c r="I6" s="2977" t="s">
        <v>10313</v>
      </c>
      <c r="J6" s="3028" t="s">
        <v>10361</v>
      </c>
      <c r="K6" s="2977" t="s">
        <v>10313</v>
      </c>
      <c r="L6" s="3028" t="s">
        <v>10362</v>
      </c>
      <c r="M6" s="2528"/>
    </row>
    <row r="7" spans="1:13" ht="16.7" customHeight="1" x14ac:dyDescent="0.2">
      <c r="A7" s="3923"/>
      <c r="B7" s="2589" t="s">
        <v>5949</v>
      </c>
      <c r="C7" s="4105" t="s">
        <v>5950</v>
      </c>
      <c r="D7" s="3911"/>
      <c r="E7" s="4105" t="s">
        <v>5951</v>
      </c>
      <c r="F7" s="3911"/>
      <c r="G7" s="4105" t="s">
        <v>5952</v>
      </c>
      <c r="H7" s="3911"/>
      <c r="I7" s="4105" t="s">
        <v>6227</v>
      </c>
      <c r="J7" s="3911"/>
      <c r="K7" s="4105" t="s">
        <v>5804</v>
      </c>
      <c r="L7" s="3911"/>
      <c r="M7" s="2528"/>
    </row>
    <row r="8" spans="1:13" ht="16.7" customHeight="1" x14ac:dyDescent="0.2">
      <c r="A8" s="2748" t="s">
        <v>904</v>
      </c>
      <c r="B8" s="2488" t="s">
        <v>10312</v>
      </c>
      <c r="C8" s="4148">
        <f>D5</f>
        <v>1927</v>
      </c>
      <c r="D8" s="4149"/>
      <c r="E8" s="4148">
        <f>F5</f>
        <v>935</v>
      </c>
      <c r="F8" s="4149"/>
      <c r="G8" s="4148">
        <f>H5</f>
        <v>1927</v>
      </c>
      <c r="H8" s="4149"/>
      <c r="I8" s="4148">
        <f>J5</f>
        <v>20</v>
      </c>
      <c r="J8" s="4149"/>
      <c r="K8" s="4148">
        <f>L5</f>
        <v>2630</v>
      </c>
      <c r="L8" s="4149"/>
      <c r="M8" s="2528"/>
    </row>
    <row r="9" spans="1:13" ht="15.75" customHeight="1" x14ac:dyDescent="0.2">
      <c r="A9" s="2748" t="s">
        <v>10319</v>
      </c>
      <c r="B9" s="2488" t="s">
        <v>766</v>
      </c>
      <c r="C9" s="4152" t="str">
        <f>D6</f>
        <v>Lemolo No. 2</v>
      </c>
      <c r="D9" s="4149"/>
      <c r="E9" s="4152" t="str">
        <f>F6</f>
        <v>Merwin</v>
      </c>
      <c r="F9" s="4149"/>
      <c r="G9" s="4152" t="str">
        <f>H6</f>
        <v>Toketee</v>
      </c>
      <c r="H9" s="4149"/>
      <c r="I9" s="4152" t="str">
        <f>J6</f>
        <v>Oneida</v>
      </c>
      <c r="J9" s="4149"/>
      <c r="K9" s="4152" t="str">
        <f>L6</f>
        <v>Prospect No. 2</v>
      </c>
      <c r="L9" s="4149"/>
      <c r="M9" s="2528"/>
    </row>
    <row r="10" spans="1:13" ht="15.75" customHeight="1" x14ac:dyDescent="0.2">
      <c r="A10" s="2748" t="s">
        <v>10320</v>
      </c>
      <c r="B10" s="2488" t="s">
        <v>6324</v>
      </c>
      <c r="C10" s="4152" t="str">
        <f>CONCATENATE(C8,", ",C9)</f>
        <v>1927, Lemolo No. 2</v>
      </c>
      <c r="D10" s="4149"/>
      <c r="E10" s="4152" t="str">
        <f>CONCATENATE(E8,", ",E9)</f>
        <v>935, Merwin</v>
      </c>
      <c r="F10" s="4149"/>
      <c r="G10" s="4152" t="str">
        <f>CONCATENATE(G8,", ",G9)</f>
        <v>1927, Toketee</v>
      </c>
      <c r="H10" s="4149"/>
      <c r="I10" s="4152" t="str">
        <f>CONCATENATE(I8,", ",I9)</f>
        <v>20, Oneida</v>
      </c>
      <c r="J10" s="4149"/>
      <c r="K10" s="4152" t="str">
        <f>CONCATENATE(K8,", ",K9)</f>
        <v>2630, Prospect No. 2</v>
      </c>
      <c r="L10" s="4149"/>
      <c r="M10" s="2528"/>
    </row>
    <row r="11" spans="1:13" ht="15.75" customHeight="1" x14ac:dyDescent="0.2">
      <c r="A11" s="2497">
        <v>1</v>
      </c>
      <c r="B11" s="2512" t="s">
        <v>10321</v>
      </c>
      <c r="C11" s="4059" t="s">
        <v>10323</v>
      </c>
      <c r="D11" s="4153"/>
      <c r="E11" s="3882" t="s">
        <v>10363</v>
      </c>
      <c r="F11" s="3892"/>
      <c r="G11" s="4059" t="s">
        <v>10322</v>
      </c>
      <c r="H11" s="4153"/>
      <c r="I11" s="3882" t="s">
        <v>10322</v>
      </c>
      <c r="J11" s="3892"/>
      <c r="K11" s="4059" t="s">
        <v>10323</v>
      </c>
      <c r="L11" s="4153"/>
      <c r="M11" s="2528"/>
    </row>
    <row r="12" spans="1:13" ht="15.75" customHeight="1" x14ac:dyDescent="0.2">
      <c r="A12" s="2497">
        <v>2</v>
      </c>
      <c r="B12" s="2512" t="s">
        <v>10324</v>
      </c>
      <c r="C12" s="3882" t="s">
        <v>10293</v>
      </c>
      <c r="D12" s="3892"/>
      <c r="E12" s="3882" t="s">
        <v>10235</v>
      </c>
      <c r="F12" s="3892"/>
      <c r="G12" s="3882" t="s">
        <v>10235</v>
      </c>
      <c r="H12" s="3892"/>
      <c r="I12" s="3882" t="s">
        <v>10235</v>
      </c>
      <c r="J12" s="3892"/>
      <c r="K12" s="3882" t="s">
        <v>10235</v>
      </c>
      <c r="L12" s="3892"/>
      <c r="M12" s="2528"/>
    </row>
    <row r="13" spans="1:13" ht="16.7" customHeight="1" x14ac:dyDescent="0.2">
      <c r="A13" s="2497">
        <v>3</v>
      </c>
      <c r="B13" s="2512" t="s">
        <v>770</v>
      </c>
      <c r="C13" s="4154" t="s">
        <v>10364</v>
      </c>
      <c r="D13" s="3884"/>
      <c r="E13" s="4154" t="s">
        <v>10365</v>
      </c>
      <c r="F13" s="3884"/>
      <c r="G13" s="4154" t="s">
        <v>10366</v>
      </c>
      <c r="H13" s="3884"/>
      <c r="I13" s="4154" t="s">
        <v>10367</v>
      </c>
      <c r="J13" s="3884"/>
      <c r="K13" s="4154" t="s">
        <v>10368</v>
      </c>
      <c r="L13" s="3884"/>
      <c r="M13" s="2528"/>
    </row>
    <row r="14" spans="1:13" ht="16.7" customHeight="1" x14ac:dyDescent="0.2">
      <c r="A14" s="2497">
        <v>4</v>
      </c>
      <c r="B14" s="2512" t="s">
        <v>771</v>
      </c>
      <c r="C14" s="4154" t="s">
        <v>10364</v>
      </c>
      <c r="D14" s="3884"/>
      <c r="E14" s="4154" t="s">
        <v>10355</v>
      </c>
      <c r="F14" s="3884"/>
      <c r="G14" s="4154" t="s">
        <v>10369</v>
      </c>
      <c r="H14" s="3884"/>
      <c r="I14" s="4154" t="s">
        <v>10370</v>
      </c>
      <c r="J14" s="3884"/>
      <c r="K14" s="4154" t="s">
        <v>10368</v>
      </c>
      <c r="L14" s="3884"/>
      <c r="M14" s="2528"/>
    </row>
    <row r="15" spans="1:13" ht="15.75" customHeight="1" x14ac:dyDescent="0.2">
      <c r="A15" s="2497">
        <v>5</v>
      </c>
      <c r="B15" s="2512" t="s">
        <v>10325</v>
      </c>
      <c r="C15" s="4167">
        <v>38.5</v>
      </c>
      <c r="D15" s="4155"/>
      <c r="E15" s="4124">
        <v>136</v>
      </c>
      <c r="F15" s="4155"/>
      <c r="G15" s="4167">
        <v>42.5</v>
      </c>
      <c r="H15" s="4155"/>
      <c r="I15" s="4124">
        <v>30</v>
      </c>
      <c r="J15" s="4155"/>
      <c r="K15" s="4124">
        <v>32</v>
      </c>
      <c r="L15" s="4155"/>
      <c r="M15" s="2528"/>
    </row>
    <row r="16" spans="1:13" ht="15.75" customHeight="1" x14ac:dyDescent="0.2">
      <c r="A16" s="2497">
        <v>6</v>
      </c>
      <c r="B16" s="2512" t="s">
        <v>10326</v>
      </c>
      <c r="C16" s="4124">
        <v>29</v>
      </c>
      <c r="D16" s="4155"/>
      <c r="E16" s="4124">
        <v>141</v>
      </c>
      <c r="F16" s="4155"/>
      <c r="G16" s="4124">
        <v>36</v>
      </c>
      <c r="H16" s="4155"/>
      <c r="I16" s="4124">
        <v>27</v>
      </c>
      <c r="J16" s="4155"/>
      <c r="K16" s="4124">
        <v>36</v>
      </c>
      <c r="L16" s="4155"/>
      <c r="M16" s="2528"/>
    </row>
    <row r="17" spans="1:13" ht="15.75" customHeight="1" x14ac:dyDescent="0.2">
      <c r="A17" s="2497">
        <v>7</v>
      </c>
      <c r="B17" s="2512" t="s">
        <v>10327</v>
      </c>
      <c r="C17" s="4124">
        <v>8748</v>
      </c>
      <c r="D17" s="4155"/>
      <c r="E17" s="4124">
        <v>8754</v>
      </c>
      <c r="F17" s="4155"/>
      <c r="G17" s="4124">
        <v>8565</v>
      </c>
      <c r="H17" s="4155"/>
      <c r="I17" s="4124">
        <v>8550</v>
      </c>
      <c r="J17" s="4155"/>
      <c r="K17" s="4124">
        <v>8626</v>
      </c>
      <c r="L17" s="4155"/>
      <c r="M17" s="2528"/>
    </row>
    <row r="18" spans="1:13" ht="16.7" customHeight="1" x14ac:dyDescent="0.2">
      <c r="A18" s="2497">
        <v>8</v>
      </c>
      <c r="B18" s="2512" t="s">
        <v>10328</v>
      </c>
      <c r="C18" s="4029"/>
      <c r="D18" s="4030"/>
      <c r="E18" s="4030"/>
      <c r="F18" s="4031"/>
      <c r="G18" s="4029"/>
      <c r="H18" s="4030"/>
      <c r="I18" s="4030"/>
      <c r="J18" s="4030"/>
      <c r="K18" s="4030"/>
      <c r="L18" s="4031"/>
      <c r="M18" s="2528"/>
    </row>
    <row r="19" spans="1:13" ht="15.75" customHeight="1" x14ac:dyDescent="0.2">
      <c r="A19" s="2497">
        <v>9</v>
      </c>
      <c r="B19" s="2512" t="s">
        <v>10329</v>
      </c>
      <c r="C19" s="4124">
        <v>39</v>
      </c>
      <c r="D19" s="4155"/>
      <c r="E19" s="4124">
        <v>151</v>
      </c>
      <c r="F19" s="4155"/>
      <c r="G19" s="4124">
        <v>45</v>
      </c>
      <c r="H19" s="4155"/>
      <c r="I19" s="4124">
        <v>28</v>
      </c>
      <c r="J19" s="4155"/>
      <c r="K19" s="4124">
        <v>36</v>
      </c>
      <c r="L19" s="4155"/>
      <c r="M19" s="2528"/>
    </row>
    <row r="20" spans="1:13" ht="15.75" customHeight="1" x14ac:dyDescent="0.2">
      <c r="A20" s="2497">
        <v>10</v>
      </c>
      <c r="B20" s="2512" t="s">
        <v>10330</v>
      </c>
      <c r="C20" s="4124">
        <v>39</v>
      </c>
      <c r="D20" s="4155"/>
      <c r="E20" s="4124">
        <v>151</v>
      </c>
      <c r="F20" s="4155"/>
      <c r="G20" s="4124">
        <v>45</v>
      </c>
      <c r="H20" s="4155"/>
      <c r="I20" s="4124">
        <v>28</v>
      </c>
      <c r="J20" s="4155"/>
      <c r="K20" s="4124">
        <v>36</v>
      </c>
      <c r="L20" s="4155"/>
      <c r="M20" s="2528"/>
    </row>
    <row r="21" spans="1:13" ht="15.75" customHeight="1" x14ac:dyDescent="0.2">
      <c r="A21" s="2497">
        <v>11</v>
      </c>
      <c r="B21" s="2512" t="s">
        <v>776</v>
      </c>
      <c r="C21" s="4124">
        <v>1</v>
      </c>
      <c r="D21" s="4155"/>
      <c r="E21" s="4124">
        <v>0</v>
      </c>
      <c r="F21" s="4155"/>
      <c r="G21" s="4124">
        <v>1</v>
      </c>
      <c r="H21" s="4155"/>
      <c r="I21" s="4124">
        <v>2</v>
      </c>
      <c r="J21" s="4155"/>
      <c r="K21" s="4124">
        <v>1</v>
      </c>
      <c r="L21" s="4155"/>
      <c r="M21" s="2528"/>
    </row>
    <row r="22" spans="1:13" ht="15.75" customHeight="1" x14ac:dyDescent="0.2">
      <c r="A22" s="2497">
        <v>12</v>
      </c>
      <c r="B22" s="2512" t="s">
        <v>10331</v>
      </c>
      <c r="C22" s="4124">
        <v>118483000</v>
      </c>
      <c r="D22" s="4155"/>
      <c r="E22" s="4124">
        <v>471579000</v>
      </c>
      <c r="F22" s="4155"/>
      <c r="G22" s="4124">
        <v>166485000</v>
      </c>
      <c r="H22" s="4155"/>
      <c r="I22" s="4124">
        <v>42411000</v>
      </c>
      <c r="J22" s="4155"/>
      <c r="K22" s="4124">
        <v>163295000</v>
      </c>
      <c r="L22" s="4155"/>
      <c r="M22" s="2528"/>
    </row>
    <row r="23" spans="1:13" ht="15.75" customHeight="1" x14ac:dyDescent="0.2">
      <c r="A23" s="2497">
        <v>13</v>
      </c>
      <c r="B23" s="2512" t="s">
        <v>10332</v>
      </c>
      <c r="C23" s="4029"/>
      <c r="D23" s="4030"/>
      <c r="E23" s="4030"/>
      <c r="F23" s="4031"/>
      <c r="G23" s="4029"/>
      <c r="H23" s="4030"/>
      <c r="I23" s="4030"/>
      <c r="J23" s="4030"/>
      <c r="K23" s="4030"/>
      <c r="L23" s="4031"/>
      <c r="M23" s="2528"/>
    </row>
    <row r="24" spans="1:13" ht="15.75" customHeight="1" x14ac:dyDescent="0.2">
      <c r="A24" s="2497">
        <v>14</v>
      </c>
      <c r="B24" s="2512" t="s">
        <v>125</v>
      </c>
      <c r="C24" s="4124">
        <v>0</v>
      </c>
      <c r="D24" s="4155"/>
      <c r="E24" s="4124">
        <v>1955029</v>
      </c>
      <c r="F24" s="4155"/>
      <c r="G24" s="4124">
        <v>0</v>
      </c>
      <c r="H24" s="4155"/>
      <c r="I24" s="4124">
        <v>309259</v>
      </c>
      <c r="J24" s="4155"/>
      <c r="K24" s="4124">
        <v>105168</v>
      </c>
      <c r="L24" s="4155"/>
      <c r="M24" s="2528"/>
    </row>
    <row r="25" spans="1:13" ht="16.7" customHeight="1" x14ac:dyDescent="0.2">
      <c r="A25" s="2497">
        <v>15</v>
      </c>
      <c r="B25" s="2512" t="s">
        <v>126</v>
      </c>
      <c r="C25" s="4124">
        <v>6700263</v>
      </c>
      <c r="D25" s="4155"/>
      <c r="E25" s="4124">
        <v>115348564</v>
      </c>
      <c r="F25" s="4155"/>
      <c r="G25" s="4124">
        <v>5703795</v>
      </c>
      <c r="H25" s="4155"/>
      <c r="I25" s="4124">
        <v>3052733</v>
      </c>
      <c r="J25" s="4155"/>
      <c r="K25" s="4124">
        <v>4887009</v>
      </c>
      <c r="L25" s="4155"/>
      <c r="M25" s="2528"/>
    </row>
    <row r="26" spans="1:13" ht="16.7" customHeight="1" x14ac:dyDescent="0.2">
      <c r="A26" s="2497">
        <v>16</v>
      </c>
      <c r="B26" s="2512" t="s">
        <v>10333</v>
      </c>
      <c r="C26" s="4124">
        <v>33474602</v>
      </c>
      <c r="D26" s="4155"/>
      <c r="E26" s="4124">
        <v>41669983</v>
      </c>
      <c r="F26" s="4155"/>
      <c r="G26" s="4124">
        <v>14361701</v>
      </c>
      <c r="H26" s="4155"/>
      <c r="I26" s="4124">
        <v>9173129</v>
      </c>
      <c r="J26" s="4155"/>
      <c r="K26" s="4124">
        <v>37417092</v>
      </c>
      <c r="L26" s="4155"/>
      <c r="M26" s="2528"/>
    </row>
    <row r="27" spans="1:13" ht="16.7" customHeight="1" x14ac:dyDescent="0.2">
      <c r="A27" s="2497">
        <v>17</v>
      </c>
      <c r="B27" s="2512" t="s">
        <v>779</v>
      </c>
      <c r="C27" s="4124">
        <v>11964413</v>
      </c>
      <c r="D27" s="4155"/>
      <c r="E27" s="4124">
        <v>20687599</v>
      </c>
      <c r="F27" s="4155"/>
      <c r="G27" s="4124">
        <v>6670549</v>
      </c>
      <c r="H27" s="4155"/>
      <c r="I27" s="4124">
        <v>15930300</v>
      </c>
      <c r="J27" s="4155"/>
      <c r="K27" s="4124">
        <v>7439800</v>
      </c>
      <c r="L27" s="4155"/>
      <c r="M27" s="2528"/>
    </row>
    <row r="28" spans="1:13" ht="16.7" customHeight="1" x14ac:dyDescent="0.2">
      <c r="A28" s="2497">
        <v>18</v>
      </c>
      <c r="B28" s="2512" t="s">
        <v>10334</v>
      </c>
      <c r="C28" s="4124">
        <v>1820580</v>
      </c>
      <c r="D28" s="4155"/>
      <c r="E28" s="4124">
        <v>5923253</v>
      </c>
      <c r="F28" s="4155"/>
      <c r="G28" s="4124">
        <v>1127893</v>
      </c>
      <c r="H28" s="4155"/>
      <c r="I28" s="4124">
        <v>984865</v>
      </c>
      <c r="J28" s="4155"/>
      <c r="K28" s="4124">
        <v>686471</v>
      </c>
      <c r="L28" s="4155"/>
      <c r="M28" s="2528"/>
    </row>
    <row r="29" spans="1:13" ht="16.7" customHeight="1" x14ac:dyDescent="0.2">
      <c r="A29" s="2497">
        <v>19</v>
      </c>
      <c r="B29" s="2512" t="s">
        <v>780</v>
      </c>
      <c r="C29" s="4124">
        <v>0</v>
      </c>
      <c r="D29" s="4155"/>
      <c r="E29" s="4124">
        <v>0</v>
      </c>
      <c r="F29" s="4155"/>
      <c r="G29" s="4124">
        <v>0</v>
      </c>
      <c r="H29" s="4155"/>
      <c r="I29" s="4124">
        <v>0</v>
      </c>
      <c r="J29" s="4155"/>
      <c r="K29" s="4124">
        <v>0</v>
      </c>
      <c r="L29" s="4155"/>
      <c r="M29" s="2528"/>
    </row>
    <row r="30" spans="1:13" ht="16.7" customHeight="1" x14ac:dyDescent="0.2">
      <c r="A30" s="2497">
        <v>20</v>
      </c>
      <c r="B30" s="2512" t="s">
        <v>10335</v>
      </c>
      <c r="C30" s="4158">
        <f>SUM(C24:C29)</f>
        <v>53959858</v>
      </c>
      <c r="D30" s="4159"/>
      <c r="E30" s="4158">
        <f>SUM(E24:E29)</f>
        <v>185584428</v>
      </c>
      <c r="F30" s="4159"/>
      <c r="G30" s="4158">
        <f>SUM(G24:G29)</f>
        <v>27863938</v>
      </c>
      <c r="H30" s="4159"/>
      <c r="I30" s="4158">
        <f>SUM(I24:I29)</f>
        <v>29450286</v>
      </c>
      <c r="J30" s="4159"/>
      <c r="K30" s="4158">
        <f>SUM(K24:K29)</f>
        <v>50535540</v>
      </c>
      <c r="L30" s="4159"/>
      <c r="M30" s="2528"/>
    </row>
    <row r="31" spans="1:13" ht="15.75" customHeight="1" x14ac:dyDescent="0.2">
      <c r="A31" s="2497">
        <v>21</v>
      </c>
      <c r="B31" s="2512" t="s">
        <v>10336</v>
      </c>
      <c r="C31" s="4160">
        <f>IFERROR(C30/(C15*1000),"")</f>
        <v>1401.5547532467533</v>
      </c>
      <c r="D31" s="4161"/>
      <c r="E31" s="4160">
        <f>IFERROR(E30/(E15*1000),"")</f>
        <v>1364.5913823529411</v>
      </c>
      <c r="F31" s="4161"/>
      <c r="G31" s="4160">
        <f>IFERROR(G30/(G15*1000),"")</f>
        <v>655.62207058823526</v>
      </c>
      <c r="H31" s="4161"/>
      <c r="I31" s="4160">
        <f>IFERROR(I30/(I15*1000),"")</f>
        <v>981.67619999999999</v>
      </c>
      <c r="J31" s="4161"/>
      <c r="K31" s="4160">
        <f>IFERROR(K30/(K15*1000),"")</f>
        <v>1579.235625</v>
      </c>
      <c r="L31" s="4161"/>
      <c r="M31" s="2528"/>
    </row>
    <row r="32" spans="1:13" ht="15.75" customHeight="1" x14ac:dyDescent="0.2">
      <c r="A32" s="2497">
        <v>22</v>
      </c>
      <c r="B32" s="2512" t="s">
        <v>10337</v>
      </c>
      <c r="C32" s="4162"/>
      <c r="D32" s="4163"/>
      <c r="E32" s="4163"/>
      <c r="F32" s="4164"/>
      <c r="G32" s="4162"/>
      <c r="H32" s="4163"/>
      <c r="I32" s="4163"/>
      <c r="J32" s="4163"/>
      <c r="K32" s="4163"/>
      <c r="L32" s="4164"/>
      <c r="M32" s="2528"/>
    </row>
    <row r="33" spans="1:13" ht="15.75" customHeight="1" x14ac:dyDescent="0.2">
      <c r="A33" s="2497">
        <v>23</v>
      </c>
      <c r="B33" s="2512" t="s">
        <v>10338</v>
      </c>
      <c r="C33" s="4124">
        <v>131702</v>
      </c>
      <c r="D33" s="4155"/>
      <c r="E33" s="4124">
        <v>1999315</v>
      </c>
      <c r="F33" s="4155"/>
      <c r="G33" s="4124">
        <v>196978</v>
      </c>
      <c r="H33" s="4155"/>
      <c r="I33" s="4124">
        <v>192133</v>
      </c>
      <c r="J33" s="4155"/>
      <c r="K33" s="4124">
        <v>511276</v>
      </c>
      <c r="L33" s="4155"/>
      <c r="M33" s="2528"/>
    </row>
    <row r="34" spans="1:13" ht="15.75" customHeight="1" x14ac:dyDescent="0.2">
      <c r="A34" s="2497">
        <v>24</v>
      </c>
      <c r="B34" s="2512" t="s">
        <v>10339</v>
      </c>
      <c r="C34" s="4124">
        <v>1459</v>
      </c>
      <c r="D34" s="4155"/>
      <c r="E34" s="4124">
        <v>79482</v>
      </c>
      <c r="F34" s="4155"/>
      <c r="G34" s="4124">
        <v>1610</v>
      </c>
      <c r="H34" s="4155"/>
      <c r="I34" s="4124">
        <v>0</v>
      </c>
      <c r="J34" s="4155"/>
      <c r="K34" s="4124">
        <v>9033</v>
      </c>
      <c r="L34" s="4155"/>
      <c r="M34" s="2528"/>
    </row>
    <row r="35" spans="1:13" ht="15.75" customHeight="1" x14ac:dyDescent="0.2">
      <c r="A35" s="2497">
        <v>25</v>
      </c>
      <c r="B35" s="2512" t="s">
        <v>10340</v>
      </c>
      <c r="C35" s="4124">
        <v>88713</v>
      </c>
      <c r="D35" s="4155"/>
      <c r="E35" s="4124">
        <v>1082680</v>
      </c>
      <c r="F35" s="4155"/>
      <c r="G35" s="4124">
        <v>97932</v>
      </c>
      <c r="H35" s="4155"/>
      <c r="I35" s="4124">
        <v>45120</v>
      </c>
      <c r="J35" s="4155"/>
      <c r="K35" s="4124">
        <v>1778</v>
      </c>
      <c r="L35" s="4155"/>
      <c r="M35" s="2528"/>
    </row>
    <row r="36" spans="1:13" ht="15.75" customHeight="1" x14ac:dyDescent="0.2">
      <c r="A36" s="2497">
        <v>26</v>
      </c>
      <c r="B36" s="2512" t="s">
        <v>784</v>
      </c>
      <c r="C36" s="4124">
        <v>0</v>
      </c>
      <c r="D36" s="4155"/>
      <c r="E36" s="4124">
        <v>0</v>
      </c>
      <c r="F36" s="4155"/>
      <c r="G36" s="4124">
        <v>0</v>
      </c>
      <c r="H36" s="4155"/>
      <c r="I36" s="4124">
        <v>0</v>
      </c>
      <c r="J36" s="4155"/>
      <c r="K36" s="4124">
        <v>0</v>
      </c>
      <c r="L36" s="4155"/>
      <c r="M36" s="2528"/>
    </row>
    <row r="37" spans="1:13" ht="15.75" customHeight="1" x14ac:dyDescent="0.2">
      <c r="A37" s="2497">
        <v>27</v>
      </c>
      <c r="B37" s="2512" t="s">
        <v>10341</v>
      </c>
      <c r="C37" s="4124">
        <v>638818</v>
      </c>
      <c r="D37" s="4155"/>
      <c r="E37" s="4124">
        <v>591043</v>
      </c>
      <c r="F37" s="4155"/>
      <c r="G37" s="4124">
        <v>773561</v>
      </c>
      <c r="H37" s="4155"/>
      <c r="I37" s="4124">
        <v>642912</v>
      </c>
      <c r="J37" s="4155"/>
      <c r="K37" s="4124">
        <v>696828</v>
      </c>
      <c r="L37" s="4155"/>
      <c r="M37" s="2528"/>
    </row>
    <row r="38" spans="1:13" ht="15.75" customHeight="1" x14ac:dyDescent="0.2">
      <c r="A38" s="2497">
        <v>28</v>
      </c>
      <c r="B38" s="2512" t="s">
        <v>492</v>
      </c>
      <c r="C38" s="4124">
        <v>178292</v>
      </c>
      <c r="D38" s="4155"/>
      <c r="E38" s="4124">
        <v>133941</v>
      </c>
      <c r="F38" s="4155"/>
      <c r="G38" s="4124">
        <v>196820</v>
      </c>
      <c r="H38" s="4155"/>
      <c r="I38" s="4124">
        <v>20150</v>
      </c>
      <c r="J38" s="4155"/>
      <c r="K38" s="4124">
        <v>66866</v>
      </c>
      <c r="L38" s="4155"/>
      <c r="M38" s="2528"/>
    </row>
    <row r="39" spans="1:13" ht="15.75" customHeight="1" x14ac:dyDescent="0.2">
      <c r="A39" s="2497">
        <v>29</v>
      </c>
      <c r="B39" s="2512" t="s">
        <v>787</v>
      </c>
      <c r="C39" s="4124">
        <v>0</v>
      </c>
      <c r="D39" s="4155"/>
      <c r="E39" s="4124">
        <v>0</v>
      </c>
      <c r="F39" s="4155"/>
      <c r="G39" s="4124">
        <v>0</v>
      </c>
      <c r="H39" s="4155"/>
      <c r="I39" s="4124">
        <v>0</v>
      </c>
      <c r="J39" s="4155"/>
      <c r="K39" s="4124">
        <v>19302</v>
      </c>
      <c r="L39" s="4155"/>
      <c r="M39" s="2528"/>
    </row>
    <row r="40" spans="1:13" ht="15.75" customHeight="1" x14ac:dyDescent="0.2">
      <c r="A40" s="2497">
        <v>30</v>
      </c>
      <c r="B40" s="2512" t="s">
        <v>788</v>
      </c>
      <c r="C40" s="4124">
        <v>70192</v>
      </c>
      <c r="D40" s="4155"/>
      <c r="E40" s="4124">
        <v>100257</v>
      </c>
      <c r="F40" s="4155"/>
      <c r="G40" s="4124">
        <v>89641</v>
      </c>
      <c r="H40" s="4155"/>
      <c r="I40" s="4124">
        <v>71</v>
      </c>
      <c r="J40" s="4155"/>
      <c r="K40" s="4124">
        <v>61479</v>
      </c>
      <c r="L40" s="4155"/>
      <c r="M40" s="2528"/>
    </row>
    <row r="41" spans="1:13" ht="15.75" customHeight="1" x14ac:dyDescent="0.2">
      <c r="A41" s="2497">
        <v>31</v>
      </c>
      <c r="B41" s="2512" t="s">
        <v>10342</v>
      </c>
      <c r="C41" s="4124">
        <v>24284</v>
      </c>
      <c r="D41" s="4155"/>
      <c r="E41" s="4124">
        <v>38969</v>
      </c>
      <c r="F41" s="4155"/>
      <c r="G41" s="4124">
        <v>18316</v>
      </c>
      <c r="H41" s="4155"/>
      <c r="I41" s="4124">
        <v>134710</v>
      </c>
      <c r="J41" s="4155"/>
      <c r="K41" s="4124">
        <v>124126</v>
      </c>
      <c r="L41" s="4155"/>
      <c r="M41" s="2528"/>
    </row>
    <row r="42" spans="1:13" ht="15.75" customHeight="1" x14ac:dyDescent="0.2">
      <c r="A42" s="2497">
        <v>32</v>
      </c>
      <c r="B42" s="2512" t="s">
        <v>10261</v>
      </c>
      <c r="C42" s="4124">
        <v>6790</v>
      </c>
      <c r="D42" s="4155"/>
      <c r="E42" s="4124">
        <v>128778</v>
      </c>
      <c r="F42" s="4155"/>
      <c r="G42" s="4124">
        <v>49746</v>
      </c>
      <c r="H42" s="4155"/>
      <c r="I42" s="4124">
        <v>58673</v>
      </c>
      <c r="J42" s="4155"/>
      <c r="K42" s="4124">
        <v>55008</v>
      </c>
      <c r="L42" s="4155"/>
      <c r="M42" s="2528"/>
    </row>
    <row r="43" spans="1:13" ht="15.75" customHeight="1" x14ac:dyDescent="0.2">
      <c r="A43" s="2497">
        <v>33</v>
      </c>
      <c r="B43" s="2512" t="s">
        <v>10343</v>
      </c>
      <c r="C43" s="4124">
        <v>123099</v>
      </c>
      <c r="D43" s="4155"/>
      <c r="E43" s="4124">
        <v>684481</v>
      </c>
      <c r="F43" s="4155"/>
      <c r="G43" s="4124">
        <v>135892</v>
      </c>
      <c r="H43" s="4155"/>
      <c r="I43" s="4124">
        <v>113717</v>
      </c>
      <c r="J43" s="4155"/>
      <c r="K43" s="4124">
        <v>338760</v>
      </c>
      <c r="L43" s="4155"/>
      <c r="M43" s="2528"/>
    </row>
    <row r="44" spans="1:13" ht="15.75" customHeight="1" x14ac:dyDescent="0.2">
      <c r="A44" s="2497">
        <v>34</v>
      </c>
      <c r="B44" s="2512" t="s">
        <v>10344</v>
      </c>
      <c r="C44" s="4125">
        <f>SUM(C33:C43)</f>
        <v>1263349</v>
      </c>
      <c r="D44" s="4165"/>
      <c r="E44" s="4125">
        <f>SUM(E33:E43)</f>
        <v>4838946</v>
      </c>
      <c r="F44" s="4165"/>
      <c r="G44" s="4125">
        <f>SUM(G33:G43)</f>
        <v>1560496</v>
      </c>
      <c r="H44" s="4165"/>
      <c r="I44" s="4125">
        <f>SUM(I33:I43)</f>
        <v>1207486</v>
      </c>
      <c r="J44" s="4165"/>
      <c r="K44" s="4125">
        <f>SUM(K33:K43)</f>
        <v>1884456</v>
      </c>
      <c r="L44" s="4165"/>
      <c r="M44" s="2528"/>
    </row>
    <row r="45" spans="1:13" ht="15.75" customHeight="1" x14ac:dyDescent="0.2">
      <c r="A45" s="2497">
        <v>35</v>
      </c>
      <c r="B45" s="2512" t="s">
        <v>10345</v>
      </c>
      <c r="C45" s="4166">
        <f>C44/C22</f>
        <v>1.0662702666205278E-2</v>
      </c>
      <c r="D45" s="4149"/>
      <c r="E45" s="4166">
        <f>E44/E22</f>
        <v>1.0261156667281623E-2</v>
      </c>
      <c r="F45" s="4149"/>
      <c r="G45" s="4166">
        <f>G44/G22</f>
        <v>9.3731927801303412E-3</v>
      </c>
      <c r="H45" s="4149"/>
      <c r="I45" s="4166">
        <f>I44/I22</f>
        <v>2.8471057037089433E-2</v>
      </c>
      <c r="J45" s="4149"/>
      <c r="K45" s="4166">
        <f>K44/K22</f>
        <v>1.1540194127193117E-2</v>
      </c>
      <c r="L45" s="4149"/>
      <c r="M45" s="2528"/>
    </row>
    <row r="46" spans="1:13" ht="16.7" customHeight="1" x14ac:dyDescent="0.2">
      <c r="A46" s="2535"/>
      <c r="B46" s="2516"/>
      <c r="C46" s="2901"/>
      <c r="D46" s="2901"/>
      <c r="E46" s="2901"/>
      <c r="F46" s="2901"/>
      <c r="G46" s="2901"/>
      <c r="H46" s="2901"/>
      <c r="I46" s="2901"/>
      <c r="J46" s="2516"/>
      <c r="K46" s="2516"/>
      <c r="L46" s="2516"/>
    </row>
    <row r="47" spans="1:13" ht="16.7" customHeight="1" x14ac:dyDescent="0.2"/>
    <row r="48" spans="1:13" ht="16.7" customHeight="1" x14ac:dyDescent="0.2"/>
    <row r="49" ht="16.7" customHeight="1" x14ac:dyDescent="0.2"/>
    <row r="50" ht="16.7" customHeight="1" x14ac:dyDescent="0.2"/>
    <row r="51" ht="16.7" customHeight="1" x14ac:dyDescent="0.2"/>
    <row r="52" ht="16.7" customHeight="1" x14ac:dyDescent="0.2"/>
    <row r="53" ht="16.7" customHeight="1" x14ac:dyDescent="0.2"/>
    <row r="54" ht="16.7" customHeight="1" x14ac:dyDescent="0.2"/>
    <row r="55" ht="16.7" customHeight="1" x14ac:dyDescent="0.2"/>
    <row r="56" ht="16.7" customHeight="1" x14ac:dyDescent="0.2"/>
    <row r="57" ht="16.7" customHeight="1" x14ac:dyDescent="0.2"/>
    <row r="58" ht="16.7" customHeight="1" x14ac:dyDescent="0.2"/>
    <row r="59" ht="16.7" customHeight="1" x14ac:dyDescent="0.2"/>
    <row r="60" ht="16.7" customHeight="1" x14ac:dyDescent="0.2"/>
    <row r="61" ht="16.7" customHeight="1" x14ac:dyDescent="0.2"/>
    <row r="62" ht="16.7" customHeight="1" x14ac:dyDescent="0.2"/>
    <row r="63" ht="16.7" customHeight="1" x14ac:dyDescent="0.2"/>
    <row r="64" ht="16.7" customHeight="1" x14ac:dyDescent="0.2"/>
    <row r="65" ht="16.7" customHeight="1" x14ac:dyDescent="0.2"/>
    <row r="66" ht="16.7" customHeight="1" x14ac:dyDescent="0.2"/>
    <row r="67" ht="16.7" customHeight="1" x14ac:dyDescent="0.2"/>
    <row r="68" ht="16.7" customHeight="1" x14ac:dyDescent="0.2"/>
    <row r="69" ht="16.7" customHeight="1" x14ac:dyDescent="0.2"/>
    <row r="70" ht="16.7" customHeight="1" x14ac:dyDescent="0.2"/>
    <row r="71" ht="16.7" customHeight="1" x14ac:dyDescent="0.2"/>
    <row r="72" ht="16.7" customHeight="1" x14ac:dyDescent="0.2"/>
    <row r="73" ht="16.7" customHeight="1" x14ac:dyDescent="0.2"/>
    <row r="74" ht="16.7" customHeight="1" x14ac:dyDescent="0.2"/>
    <row r="75" ht="16.7" customHeight="1" x14ac:dyDescent="0.2"/>
    <row r="76" ht="16.7" customHeight="1" x14ac:dyDescent="0.2"/>
    <row r="77" ht="16.7" customHeight="1" x14ac:dyDescent="0.2"/>
    <row r="78" ht="16.7" customHeight="1" x14ac:dyDescent="0.2"/>
    <row r="79" ht="16.7" customHeight="1" x14ac:dyDescent="0.2"/>
    <row r="80" ht="16.7" customHeight="1" x14ac:dyDescent="0.2"/>
    <row r="81" ht="16.7" customHeight="1" x14ac:dyDescent="0.2"/>
    <row r="82" ht="16.7" customHeight="1" x14ac:dyDescent="0.2"/>
    <row r="83" ht="16.7" customHeight="1" x14ac:dyDescent="0.2"/>
    <row r="84" ht="16.7" customHeight="1" x14ac:dyDescent="0.2"/>
    <row r="85" ht="16.7" customHeight="1" x14ac:dyDescent="0.2"/>
    <row r="86" ht="16.7" customHeight="1" x14ac:dyDescent="0.2"/>
    <row r="87" ht="16.7" customHeight="1" x14ac:dyDescent="0.2"/>
    <row r="88" ht="16.7" customHeight="1" x14ac:dyDescent="0.2"/>
    <row r="89" ht="16.7" customHeight="1" x14ac:dyDescent="0.2"/>
    <row r="90" ht="16.7" customHeight="1" x14ac:dyDescent="0.2"/>
    <row r="91" ht="16.7" customHeight="1" x14ac:dyDescent="0.2"/>
    <row r="92" ht="16.7" customHeight="1" x14ac:dyDescent="0.2"/>
    <row r="93" ht="16.7" customHeight="1" x14ac:dyDescent="0.2"/>
    <row r="94" ht="16.7" customHeight="1" x14ac:dyDescent="0.2"/>
    <row r="95" ht="16.7" customHeight="1" x14ac:dyDescent="0.2"/>
    <row r="96" ht="16.7" customHeight="1" x14ac:dyDescent="0.2"/>
    <row r="97" ht="16.7" customHeight="1" x14ac:dyDescent="0.2"/>
    <row r="98" ht="16.7" customHeight="1" x14ac:dyDescent="0.2"/>
    <row r="99" ht="16.7" customHeight="1" x14ac:dyDescent="0.2"/>
    <row r="100" ht="16.7" customHeight="1" x14ac:dyDescent="0.2"/>
    <row r="101" ht="16.7" customHeight="1" x14ac:dyDescent="0.2"/>
    <row r="102" ht="16.7" customHeight="1" x14ac:dyDescent="0.2"/>
    <row r="103" ht="16.7" customHeight="1" x14ac:dyDescent="0.2"/>
    <row r="104" ht="16.7" customHeight="1" x14ac:dyDescent="0.2"/>
    <row r="105" ht="16.7" customHeight="1" x14ac:dyDescent="0.2"/>
  </sheetData>
  <mergeCells count="200">
    <mergeCell ref="C44:D44"/>
    <mergeCell ref="E44:F44"/>
    <mergeCell ref="G44:H44"/>
    <mergeCell ref="I44:J44"/>
    <mergeCell ref="K44:L44"/>
    <mergeCell ref="C45:D45"/>
    <mergeCell ref="E45:F45"/>
    <mergeCell ref="G45:H45"/>
    <mergeCell ref="I45:J45"/>
    <mergeCell ref="K45:L45"/>
    <mergeCell ref="C42:D42"/>
    <mergeCell ref="E42:F42"/>
    <mergeCell ref="G42:H42"/>
    <mergeCell ref="I42:J42"/>
    <mergeCell ref="K42:L42"/>
    <mergeCell ref="C43:D43"/>
    <mergeCell ref="E43:F43"/>
    <mergeCell ref="G43:H43"/>
    <mergeCell ref="I43:J43"/>
    <mergeCell ref="K43:L43"/>
    <mergeCell ref="C40:D40"/>
    <mergeCell ref="E40:F40"/>
    <mergeCell ref="G40:H40"/>
    <mergeCell ref="I40:J40"/>
    <mergeCell ref="K40:L40"/>
    <mergeCell ref="C41:D41"/>
    <mergeCell ref="E41:F41"/>
    <mergeCell ref="G41:H41"/>
    <mergeCell ref="I41:J41"/>
    <mergeCell ref="K41:L41"/>
    <mergeCell ref="C38:D38"/>
    <mergeCell ref="E38:F38"/>
    <mergeCell ref="G38:H38"/>
    <mergeCell ref="I38:J38"/>
    <mergeCell ref="K38:L38"/>
    <mergeCell ref="C39:D39"/>
    <mergeCell ref="E39:F39"/>
    <mergeCell ref="G39:H39"/>
    <mergeCell ref="I39:J39"/>
    <mergeCell ref="K39:L39"/>
    <mergeCell ref="C36:D36"/>
    <mergeCell ref="E36:F36"/>
    <mergeCell ref="G36:H36"/>
    <mergeCell ref="I36:J36"/>
    <mergeCell ref="K36:L36"/>
    <mergeCell ref="C37:D37"/>
    <mergeCell ref="E37:F37"/>
    <mergeCell ref="G37:H37"/>
    <mergeCell ref="I37:J37"/>
    <mergeCell ref="K37:L37"/>
    <mergeCell ref="C34:D34"/>
    <mergeCell ref="E34:F34"/>
    <mergeCell ref="G34:H34"/>
    <mergeCell ref="I34:J34"/>
    <mergeCell ref="K34:L34"/>
    <mergeCell ref="C35:D35"/>
    <mergeCell ref="E35:F35"/>
    <mergeCell ref="G35:H35"/>
    <mergeCell ref="I35:J35"/>
    <mergeCell ref="K35:L35"/>
    <mergeCell ref="C32:D32"/>
    <mergeCell ref="E32:F32"/>
    <mergeCell ref="G32:H32"/>
    <mergeCell ref="I32:J32"/>
    <mergeCell ref="K32:L32"/>
    <mergeCell ref="C33:D33"/>
    <mergeCell ref="E33:F33"/>
    <mergeCell ref="G33:H33"/>
    <mergeCell ref="I33:J33"/>
    <mergeCell ref="K33:L33"/>
    <mergeCell ref="C30:D30"/>
    <mergeCell ref="E30:F30"/>
    <mergeCell ref="G30:H30"/>
    <mergeCell ref="I30:J30"/>
    <mergeCell ref="K30:L30"/>
    <mergeCell ref="C31:D31"/>
    <mergeCell ref="E31:F31"/>
    <mergeCell ref="G31:H31"/>
    <mergeCell ref="I31:J31"/>
    <mergeCell ref="K31:L31"/>
    <mergeCell ref="C28:D28"/>
    <mergeCell ref="E28:F28"/>
    <mergeCell ref="G28:H28"/>
    <mergeCell ref="I28:J28"/>
    <mergeCell ref="K28:L28"/>
    <mergeCell ref="C29:D29"/>
    <mergeCell ref="E29:F29"/>
    <mergeCell ref="G29:H29"/>
    <mergeCell ref="I29:J29"/>
    <mergeCell ref="K29:L29"/>
    <mergeCell ref="C26:D26"/>
    <mergeCell ref="E26:F26"/>
    <mergeCell ref="G26:H26"/>
    <mergeCell ref="I26:J26"/>
    <mergeCell ref="K26:L26"/>
    <mergeCell ref="C27:D27"/>
    <mergeCell ref="E27:F27"/>
    <mergeCell ref="G27:H27"/>
    <mergeCell ref="I27:J27"/>
    <mergeCell ref="K27:L27"/>
    <mergeCell ref="C24:D24"/>
    <mergeCell ref="E24:F24"/>
    <mergeCell ref="G24:H24"/>
    <mergeCell ref="I24:J24"/>
    <mergeCell ref="K24:L24"/>
    <mergeCell ref="C25:D25"/>
    <mergeCell ref="E25:F25"/>
    <mergeCell ref="G25:H25"/>
    <mergeCell ref="I25:J25"/>
    <mergeCell ref="K25:L25"/>
    <mergeCell ref="C22:D22"/>
    <mergeCell ref="E22:F22"/>
    <mergeCell ref="G22:H22"/>
    <mergeCell ref="I22:J22"/>
    <mergeCell ref="K22:L22"/>
    <mergeCell ref="C23:D23"/>
    <mergeCell ref="E23:F23"/>
    <mergeCell ref="G23:H23"/>
    <mergeCell ref="I23:J23"/>
    <mergeCell ref="K23:L23"/>
    <mergeCell ref="C20:D20"/>
    <mergeCell ref="E20:F20"/>
    <mergeCell ref="G20:H20"/>
    <mergeCell ref="I20:J20"/>
    <mergeCell ref="K20:L20"/>
    <mergeCell ref="C21:D21"/>
    <mergeCell ref="E21:F21"/>
    <mergeCell ref="G21:H21"/>
    <mergeCell ref="I21:J21"/>
    <mergeCell ref="K21:L21"/>
    <mergeCell ref="C18:D18"/>
    <mergeCell ref="E18:F18"/>
    <mergeCell ref="G18:H18"/>
    <mergeCell ref="I18:J18"/>
    <mergeCell ref="K18:L18"/>
    <mergeCell ref="C19:D19"/>
    <mergeCell ref="E19:F19"/>
    <mergeCell ref="G19:H19"/>
    <mergeCell ref="I19:J19"/>
    <mergeCell ref="K19:L19"/>
    <mergeCell ref="C16:D16"/>
    <mergeCell ref="E16:F16"/>
    <mergeCell ref="G16:H16"/>
    <mergeCell ref="I16:J16"/>
    <mergeCell ref="K16:L16"/>
    <mergeCell ref="C17:D17"/>
    <mergeCell ref="E17:F17"/>
    <mergeCell ref="G17:H17"/>
    <mergeCell ref="I17:J17"/>
    <mergeCell ref="K17:L17"/>
    <mergeCell ref="C14:D14"/>
    <mergeCell ref="E14:F14"/>
    <mergeCell ref="G14:H14"/>
    <mergeCell ref="I14:J14"/>
    <mergeCell ref="K14:L14"/>
    <mergeCell ref="C15:D15"/>
    <mergeCell ref="E15:F15"/>
    <mergeCell ref="G15:H15"/>
    <mergeCell ref="I15:J15"/>
    <mergeCell ref="K15:L15"/>
    <mergeCell ref="C12:D12"/>
    <mergeCell ref="E12:F12"/>
    <mergeCell ref="G12:H12"/>
    <mergeCell ref="I12:J12"/>
    <mergeCell ref="K12:L12"/>
    <mergeCell ref="C13:D13"/>
    <mergeCell ref="E13:F13"/>
    <mergeCell ref="G13:H13"/>
    <mergeCell ref="I13:J13"/>
    <mergeCell ref="K13:L13"/>
    <mergeCell ref="C10:D10"/>
    <mergeCell ref="E10:F10"/>
    <mergeCell ref="G10:H10"/>
    <mergeCell ref="I10:J10"/>
    <mergeCell ref="K10:L10"/>
    <mergeCell ref="C11:D11"/>
    <mergeCell ref="E11:F11"/>
    <mergeCell ref="G11:H11"/>
    <mergeCell ref="I11:J11"/>
    <mergeCell ref="K11:L11"/>
    <mergeCell ref="C8:D8"/>
    <mergeCell ref="E8:F8"/>
    <mergeCell ref="G8:H8"/>
    <mergeCell ref="I8:J8"/>
    <mergeCell ref="K8:L8"/>
    <mergeCell ref="C9:D9"/>
    <mergeCell ref="E9:F9"/>
    <mergeCell ref="G9:H9"/>
    <mergeCell ref="I9:J9"/>
    <mergeCell ref="K9:L9"/>
    <mergeCell ref="C1:I1"/>
    <mergeCell ref="A3:K3"/>
    <mergeCell ref="A4:L4"/>
    <mergeCell ref="A5:A7"/>
    <mergeCell ref="B5:B6"/>
    <mergeCell ref="C7:D7"/>
    <mergeCell ref="E7:F7"/>
    <mergeCell ref="G7:H7"/>
    <mergeCell ref="I7:J7"/>
    <mergeCell ref="K7:L7"/>
  </mergeCells>
  <pageMargins left="0.75" right="0.75" top="1" bottom="1" header="0.5" footer="0.5"/>
  <customProperties>
    <customPr name="_pios_id" r:id="rId1"/>
  </customProperties>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1CED4A-3615-432C-807A-DA9BD1FB0DAF}">
  <sheetPr codeName="Sheet99"/>
  <dimension ref="A1:M105"/>
  <sheetViews>
    <sheetView workbookViewId="0">
      <pane xSplit="2" ySplit="7" topLeftCell="C8" activePane="bottomRight" state="frozen"/>
      <selection pane="topRight"/>
      <selection pane="bottomLeft"/>
      <selection pane="bottomRight"/>
    </sheetView>
  </sheetViews>
  <sheetFormatPr defaultColWidth="11.5" defaultRowHeight="12.75" x14ac:dyDescent="0.2"/>
  <cols>
    <col min="1" max="1" width="4.875" style="1953" customWidth="1"/>
    <col min="2" max="2" width="35.5" style="1953" customWidth="1"/>
    <col min="3" max="16384" width="11.5" style="1953"/>
  </cols>
  <sheetData>
    <row r="1" spans="1:13" ht="16.7" customHeight="1" x14ac:dyDescent="0.2">
      <c r="B1" s="2744" t="s">
        <v>7058</v>
      </c>
      <c r="C1" s="4098" t="s">
        <v>10371</v>
      </c>
      <c r="D1" s="4099"/>
      <c r="E1" s="4099"/>
      <c r="F1" s="4099"/>
      <c r="G1" s="4099"/>
      <c r="H1" s="4099"/>
      <c r="I1" s="4100"/>
      <c r="J1" s="2479"/>
    </row>
    <row r="2" spans="1:13" ht="16.7" customHeight="1" x14ac:dyDescent="0.2">
      <c r="B2" s="2620"/>
      <c r="C2" s="2483"/>
      <c r="D2" s="2483"/>
      <c r="E2" s="2483"/>
      <c r="F2" s="2483"/>
      <c r="G2" s="2483"/>
      <c r="H2" s="2483"/>
      <c r="I2" s="2483"/>
    </row>
    <row r="3" spans="1:13" ht="15.75" customHeight="1" x14ac:dyDescent="0.2">
      <c r="A3" s="3882" t="s">
        <v>10310</v>
      </c>
      <c r="B3" s="3891"/>
      <c r="C3" s="3891"/>
      <c r="D3" s="3891"/>
      <c r="E3" s="3891"/>
      <c r="F3" s="3891"/>
      <c r="G3" s="3891"/>
      <c r="H3" s="3891"/>
      <c r="I3" s="3891"/>
      <c r="J3" s="3891"/>
      <c r="K3" s="3891"/>
      <c r="L3" s="3892"/>
      <c r="M3" s="2528"/>
    </row>
    <row r="4" spans="1:13" ht="59.1" customHeight="1" x14ac:dyDescent="0.2">
      <c r="A4" s="3878" t="s">
        <v>10311</v>
      </c>
      <c r="B4" s="3879"/>
      <c r="C4" s="3879"/>
      <c r="D4" s="3879"/>
      <c r="E4" s="3879"/>
      <c r="F4" s="3879"/>
      <c r="G4" s="3879"/>
      <c r="H4" s="3879"/>
      <c r="I4" s="3879"/>
      <c r="J4" s="3879"/>
      <c r="K4" s="3879"/>
      <c r="L4" s="3880"/>
      <c r="M4" s="2528"/>
    </row>
    <row r="5" spans="1:13" ht="27.6" customHeight="1" x14ac:dyDescent="0.2">
      <c r="A5" s="3898" t="s">
        <v>6360</v>
      </c>
      <c r="B5" s="3898" t="s">
        <v>6467</v>
      </c>
      <c r="C5" s="3019" t="s">
        <v>10312</v>
      </c>
      <c r="D5" s="3027">
        <v>1927</v>
      </c>
      <c r="E5" s="3019" t="s">
        <v>10312</v>
      </c>
      <c r="F5" s="3027">
        <v>20</v>
      </c>
      <c r="G5" s="3019" t="s">
        <v>10312</v>
      </c>
      <c r="H5" s="3027">
        <v>1927</v>
      </c>
      <c r="I5" s="3019" t="s">
        <v>10312</v>
      </c>
      <c r="J5" s="3027">
        <v>2111</v>
      </c>
      <c r="K5" s="3019" t="s">
        <v>10312</v>
      </c>
      <c r="L5" s="3027">
        <v>2071</v>
      </c>
      <c r="M5" s="2528"/>
    </row>
    <row r="6" spans="1:13" ht="16.7" customHeight="1" x14ac:dyDescent="0.2">
      <c r="A6" s="3987"/>
      <c r="B6" s="3987"/>
      <c r="C6" s="2977" t="s">
        <v>10313</v>
      </c>
      <c r="D6" s="3028" t="s">
        <v>10372</v>
      </c>
      <c r="E6" s="2977" t="s">
        <v>10313</v>
      </c>
      <c r="F6" s="3028" t="s">
        <v>10373</v>
      </c>
      <c r="G6" s="2977" t="s">
        <v>10313</v>
      </c>
      <c r="H6" s="3028" t="s">
        <v>10374</v>
      </c>
      <c r="I6" s="2977" t="s">
        <v>10313</v>
      </c>
      <c r="J6" s="3028" t="s">
        <v>10375</v>
      </c>
      <c r="K6" s="2977" t="s">
        <v>10313</v>
      </c>
      <c r="L6" s="3028" t="s">
        <v>10376</v>
      </c>
      <c r="M6" s="2528"/>
    </row>
    <row r="7" spans="1:13" ht="16.7" customHeight="1" x14ac:dyDescent="0.2">
      <c r="A7" s="3923"/>
      <c r="B7" s="2589" t="s">
        <v>5949</v>
      </c>
      <c r="C7" s="4105" t="s">
        <v>5950</v>
      </c>
      <c r="D7" s="3911"/>
      <c r="E7" s="4105" t="s">
        <v>5951</v>
      </c>
      <c r="F7" s="3911"/>
      <c r="G7" s="4105" t="s">
        <v>5952</v>
      </c>
      <c r="H7" s="3911"/>
      <c r="I7" s="4105" t="s">
        <v>6227</v>
      </c>
      <c r="J7" s="3911"/>
      <c r="K7" s="4105" t="s">
        <v>5804</v>
      </c>
      <c r="L7" s="3911"/>
      <c r="M7" s="2528"/>
    </row>
    <row r="8" spans="1:13" ht="16.7" customHeight="1" x14ac:dyDescent="0.2">
      <c r="A8" s="2748" t="s">
        <v>904</v>
      </c>
      <c r="B8" s="2488" t="s">
        <v>10312</v>
      </c>
      <c r="C8" s="4148">
        <f>D5</f>
        <v>1927</v>
      </c>
      <c r="D8" s="4149"/>
      <c r="E8" s="4148">
        <f>F5</f>
        <v>20</v>
      </c>
      <c r="F8" s="4149"/>
      <c r="G8" s="4148">
        <f>H5</f>
        <v>1927</v>
      </c>
      <c r="H8" s="4149"/>
      <c r="I8" s="4148">
        <f>J5</f>
        <v>2111</v>
      </c>
      <c r="J8" s="4149"/>
      <c r="K8" s="4148">
        <f>L5</f>
        <v>2071</v>
      </c>
      <c r="L8" s="4149"/>
      <c r="M8" s="2528"/>
    </row>
    <row r="9" spans="1:13" ht="15.75" customHeight="1" x14ac:dyDescent="0.2">
      <c r="A9" s="2748" t="s">
        <v>10319</v>
      </c>
      <c r="B9" s="2488" t="s">
        <v>766</v>
      </c>
      <c r="C9" s="4152" t="str">
        <f>D6</f>
        <v>Slide Creek</v>
      </c>
      <c r="D9" s="4149"/>
      <c r="E9" s="4152" t="str">
        <f>F6</f>
        <v>Soda</v>
      </c>
      <c r="F9" s="4149"/>
      <c r="G9" s="4152" t="str">
        <f>H6</f>
        <v>Soda Springs</v>
      </c>
      <c r="H9" s="4149"/>
      <c r="I9" s="4152" t="str">
        <f>J6</f>
        <v>Swift No. 1</v>
      </c>
      <c r="J9" s="4149"/>
      <c r="K9" s="4152" t="str">
        <f>L6</f>
        <v>Yale</v>
      </c>
      <c r="L9" s="4149"/>
      <c r="M9" s="2528"/>
    </row>
    <row r="10" spans="1:13" ht="15.75" customHeight="1" x14ac:dyDescent="0.2">
      <c r="A10" s="2748" t="s">
        <v>10320</v>
      </c>
      <c r="B10" s="2488" t="s">
        <v>6324</v>
      </c>
      <c r="C10" s="4152" t="str">
        <f>CONCATENATE(C8,", ",C9)</f>
        <v>1927, Slide Creek</v>
      </c>
      <c r="D10" s="4149"/>
      <c r="E10" s="4152" t="str">
        <f>CONCATENATE(E8,", ",E9)</f>
        <v>20, Soda</v>
      </c>
      <c r="F10" s="4149"/>
      <c r="G10" s="4152" t="str">
        <f>CONCATENATE(G8,", ",G9)</f>
        <v>1927, Soda Springs</v>
      </c>
      <c r="H10" s="4149"/>
      <c r="I10" s="4152" t="str">
        <f>CONCATENATE(I8,", ",I9)</f>
        <v>2111, Swift No. 1</v>
      </c>
      <c r="J10" s="4149"/>
      <c r="K10" s="4152" t="str">
        <f>CONCATENATE(K8,", ",K9)</f>
        <v>2071, Yale</v>
      </c>
      <c r="L10" s="4149"/>
      <c r="M10" s="2528"/>
    </row>
    <row r="11" spans="1:13" ht="15.75" customHeight="1" x14ac:dyDescent="0.2">
      <c r="A11" s="2497">
        <v>1</v>
      </c>
      <c r="B11" s="2512" t="s">
        <v>10321</v>
      </c>
      <c r="C11" s="3882" t="s">
        <v>10323</v>
      </c>
      <c r="D11" s="3892"/>
      <c r="E11" s="3882" t="s">
        <v>10322</v>
      </c>
      <c r="F11" s="3892"/>
      <c r="G11" s="3882" t="s">
        <v>10363</v>
      </c>
      <c r="H11" s="3892"/>
      <c r="I11" s="3882" t="s">
        <v>10322</v>
      </c>
      <c r="J11" s="3892"/>
      <c r="K11" s="3882" t="s">
        <v>10322</v>
      </c>
      <c r="L11" s="3892"/>
      <c r="M11" s="2528"/>
    </row>
    <row r="12" spans="1:13" ht="15.75" customHeight="1" x14ac:dyDescent="0.2">
      <c r="A12" s="2497">
        <v>2</v>
      </c>
      <c r="B12" s="2512" t="s">
        <v>10324</v>
      </c>
      <c r="C12" s="3882" t="s">
        <v>10293</v>
      </c>
      <c r="D12" s="3892"/>
      <c r="E12" s="3882" t="s">
        <v>10235</v>
      </c>
      <c r="F12" s="3892"/>
      <c r="G12" s="3882" t="s">
        <v>10293</v>
      </c>
      <c r="H12" s="3892"/>
      <c r="I12" s="3882" t="s">
        <v>10235</v>
      </c>
      <c r="J12" s="3892"/>
      <c r="K12" s="3882" t="s">
        <v>10235</v>
      </c>
      <c r="L12" s="3892"/>
      <c r="M12" s="2528"/>
    </row>
    <row r="13" spans="1:13" ht="16.7" customHeight="1" x14ac:dyDescent="0.2">
      <c r="A13" s="2497">
        <v>3</v>
      </c>
      <c r="B13" s="2512" t="s">
        <v>770</v>
      </c>
      <c r="C13" s="4154" t="s">
        <v>10296</v>
      </c>
      <c r="D13" s="3884"/>
      <c r="E13" s="4154" t="s">
        <v>10377</v>
      </c>
      <c r="F13" s="3884"/>
      <c r="G13" s="4154" t="s">
        <v>10352</v>
      </c>
      <c r="H13" s="3884"/>
      <c r="I13" s="4154" t="s">
        <v>10355</v>
      </c>
      <c r="J13" s="3884"/>
      <c r="K13" s="4154" t="s">
        <v>10378</v>
      </c>
      <c r="L13" s="3884"/>
      <c r="M13" s="2528"/>
    </row>
    <row r="14" spans="1:13" ht="16.7" customHeight="1" x14ac:dyDescent="0.2">
      <c r="A14" s="2497">
        <v>4</v>
      </c>
      <c r="B14" s="2512" t="s">
        <v>771</v>
      </c>
      <c r="C14" s="4154" t="s">
        <v>10296</v>
      </c>
      <c r="D14" s="3884"/>
      <c r="E14" s="4154" t="s">
        <v>10377</v>
      </c>
      <c r="F14" s="3884"/>
      <c r="G14" s="4154" t="s">
        <v>10352</v>
      </c>
      <c r="H14" s="3884"/>
      <c r="I14" s="4154" t="s">
        <v>10355</v>
      </c>
      <c r="J14" s="3884"/>
      <c r="K14" s="4154" t="s">
        <v>10378</v>
      </c>
      <c r="L14" s="3884"/>
      <c r="M14" s="2528"/>
    </row>
    <row r="15" spans="1:13" ht="15.75" customHeight="1" x14ac:dyDescent="0.2">
      <c r="A15" s="2497">
        <v>5</v>
      </c>
      <c r="B15" s="2512" t="s">
        <v>10325</v>
      </c>
      <c r="C15" s="4124">
        <v>18</v>
      </c>
      <c r="D15" s="4155"/>
      <c r="E15" s="4167">
        <v>14.45</v>
      </c>
      <c r="F15" s="4155"/>
      <c r="G15" s="4124">
        <v>11</v>
      </c>
      <c r="H15" s="4155"/>
      <c r="I15" s="4124">
        <v>240</v>
      </c>
      <c r="J15" s="4155"/>
      <c r="K15" s="4124">
        <v>134</v>
      </c>
      <c r="L15" s="4155"/>
      <c r="M15" s="2528"/>
    </row>
    <row r="16" spans="1:13" ht="15.75" customHeight="1" x14ac:dyDescent="0.2">
      <c r="A16" s="2497">
        <v>6</v>
      </c>
      <c r="B16" s="2512" t="s">
        <v>10326</v>
      </c>
      <c r="C16" s="4124">
        <v>16</v>
      </c>
      <c r="D16" s="4155"/>
      <c r="E16" s="4124">
        <v>11</v>
      </c>
      <c r="F16" s="4155"/>
      <c r="G16" s="4124">
        <v>12</v>
      </c>
      <c r="H16" s="4155"/>
      <c r="I16" s="4124">
        <v>250</v>
      </c>
      <c r="J16" s="4155"/>
      <c r="K16" s="4124">
        <v>163</v>
      </c>
      <c r="L16" s="4155"/>
      <c r="M16" s="2528"/>
    </row>
    <row r="17" spans="1:13" ht="15.75" customHeight="1" x14ac:dyDescent="0.2">
      <c r="A17" s="2497">
        <v>7</v>
      </c>
      <c r="B17" s="2512" t="s">
        <v>10327</v>
      </c>
      <c r="C17" s="4124">
        <v>8261</v>
      </c>
      <c r="D17" s="4155"/>
      <c r="E17" s="4124">
        <v>6356</v>
      </c>
      <c r="F17" s="4155"/>
      <c r="G17" s="4124">
        <v>8304</v>
      </c>
      <c r="H17" s="4155"/>
      <c r="I17" s="4124">
        <v>4972</v>
      </c>
      <c r="J17" s="4155"/>
      <c r="K17" s="4124">
        <v>5937</v>
      </c>
      <c r="L17" s="4155"/>
      <c r="M17" s="2528"/>
    </row>
    <row r="18" spans="1:13" ht="16.7" customHeight="1" x14ac:dyDescent="0.2">
      <c r="A18" s="2497">
        <v>8</v>
      </c>
      <c r="B18" s="2512" t="s">
        <v>10328</v>
      </c>
      <c r="C18" s="4029"/>
      <c r="D18" s="4030"/>
      <c r="E18" s="4030"/>
      <c r="F18" s="4030"/>
      <c r="G18" s="4030"/>
      <c r="H18" s="4030"/>
      <c r="I18" s="4030"/>
      <c r="J18" s="4031"/>
      <c r="K18" s="4029"/>
      <c r="L18" s="4031"/>
      <c r="M18" s="2528"/>
    </row>
    <row r="19" spans="1:13" ht="15.75" customHeight="1" x14ac:dyDescent="0.2">
      <c r="A19" s="2497">
        <v>9</v>
      </c>
      <c r="B19" s="2512" t="s">
        <v>10329</v>
      </c>
      <c r="C19" s="4124">
        <v>18</v>
      </c>
      <c r="D19" s="4155"/>
      <c r="E19" s="4124">
        <v>14</v>
      </c>
      <c r="F19" s="4155"/>
      <c r="G19" s="4124">
        <v>12</v>
      </c>
      <c r="H19" s="4155"/>
      <c r="I19" s="4124">
        <v>264</v>
      </c>
      <c r="J19" s="4155"/>
      <c r="K19" s="4124">
        <v>164</v>
      </c>
      <c r="L19" s="4155"/>
      <c r="M19" s="2528"/>
    </row>
    <row r="20" spans="1:13" ht="15.75" customHeight="1" x14ac:dyDescent="0.2">
      <c r="A20" s="2497">
        <v>10</v>
      </c>
      <c r="B20" s="2512" t="s">
        <v>10330</v>
      </c>
      <c r="C20" s="4124">
        <v>18</v>
      </c>
      <c r="D20" s="4155"/>
      <c r="E20" s="4124">
        <v>14</v>
      </c>
      <c r="F20" s="4155"/>
      <c r="G20" s="4124">
        <v>12</v>
      </c>
      <c r="H20" s="4155"/>
      <c r="I20" s="4124">
        <v>264</v>
      </c>
      <c r="J20" s="4155"/>
      <c r="K20" s="4124">
        <v>164</v>
      </c>
      <c r="L20" s="4155"/>
      <c r="M20" s="2528"/>
    </row>
    <row r="21" spans="1:13" ht="15.75" customHeight="1" x14ac:dyDescent="0.2">
      <c r="A21" s="2497">
        <v>11</v>
      </c>
      <c r="B21" s="2512" t="s">
        <v>776</v>
      </c>
      <c r="C21" s="4124">
        <v>1</v>
      </c>
      <c r="D21" s="4155"/>
      <c r="E21" s="4124">
        <v>2.5</v>
      </c>
      <c r="F21" s="4155"/>
      <c r="G21" s="4124">
        <v>1.5</v>
      </c>
      <c r="H21" s="4155"/>
      <c r="I21" s="4124">
        <v>0</v>
      </c>
      <c r="J21" s="4155"/>
      <c r="K21" s="4124">
        <v>0</v>
      </c>
      <c r="L21" s="4155"/>
      <c r="M21" s="2528"/>
    </row>
    <row r="22" spans="1:13" ht="15.75" customHeight="1" x14ac:dyDescent="0.2">
      <c r="A22" s="2497">
        <v>12</v>
      </c>
      <c r="B22" s="2512" t="s">
        <v>10331</v>
      </c>
      <c r="C22" s="4124">
        <v>48057000</v>
      </c>
      <c r="D22" s="4155"/>
      <c r="E22" s="4124">
        <v>16486000</v>
      </c>
      <c r="F22" s="4155"/>
      <c r="G22" s="4124">
        <v>39506000</v>
      </c>
      <c r="H22" s="4155"/>
      <c r="I22" s="4124">
        <v>580317000</v>
      </c>
      <c r="J22" s="4155"/>
      <c r="K22" s="4124">
        <v>516895000</v>
      </c>
      <c r="L22" s="4155"/>
      <c r="M22" s="2528"/>
    </row>
    <row r="23" spans="1:13" ht="15.75" customHeight="1" x14ac:dyDescent="0.2">
      <c r="A23" s="2497">
        <v>13</v>
      </c>
      <c r="B23" s="2512" t="s">
        <v>10332</v>
      </c>
      <c r="C23" s="4029"/>
      <c r="D23" s="4030"/>
      <c r="E23" s="4030"/>
      <c r="F23" s="4030"/>
      <c r="G23" s="4030"/>
      <c r="H23" s="4030"/>
      <c r="I23" s="4030"/>
      <c r="J23" s="4031"/>
      <c r="K23" s="4029"/>
      <c r="L23" s="4031"/>
      <c r="M23" s="2528"/>
    </row>
    <row r="24" spans="1:13" ht="15.75" customHeight="1" x14ac:dyDescent="0.2">
      <c r="A24" s="2497">
        <v>14</v>
      </c>
      <c r="B24" s="2512" t="s">
        <v>125</v>
      </c>
      <c r="C24" s="4124">
        <v>0</v>
      </c>
      <c r="D24" s="4155"/>
      <c r="E24" s="4124">
        <v>511083</v>
      </c>
      <c r="F24" s="4155"/>
      <c r="G24" s="4124">
        <v>0</v>
      </c>
      <c r="H24" s="4155"/>
      <c r="I24" s="4124">
        <v>20287495</v>
      </c>
      <c r="J24" s="4155"/>
      <c r="K24" s="4124">
        <v>8363013</v>
      </c>
      <c r="L24" s="4155"/>
      <c r="M24" s="2528"/>
    </row>
    <row r="25" spans="1:13" ht="16.7" customHeight="1" x14ac:dyDescent="0.2">
      <c r="A25" s="2497">
        <v>15</v>
      </c>
      <c r="B25" s="2512" t="s">
        <v>126</v>
      </c>
      <c r="C25" s="4124">
        <v>2412805</v>
      </c>
      <c r="D25" s="4155"/>
      <c r="E25" s="4124">
        <v>1404232</v>
      </c>
      <c r="F25" s="4155"/>
      <c r="G25" s="4124">
        <v>4335356</v>
      </c>
      <c r="H25" s="4155"/>
      <c r="I25" s="4124">
        <v>76211601</v>
      </c>
      <c r="J25" s="4155"/>
      <c r="K25" s="4124">
        <v>19211930</v>
      </c>
      <c r="L25" s="4155"/>
      <c r="M25" s="2528"/>
    </row>
    <row r="26" spans="1:13" ht="16.7" customHeight="1" x14ac:dyDescent="0.2">
      <c r="A26" s="2497">
        <v>16</v>
      </c>
      <c r="B26" s="2512" t="s">
        <v>10333</v>
      </c>
      <c r="C26" s="4124">
        <v>15208417</v>
      </c>
      <c r="D26" s="4155"/>
      <c r="E26" s="4124">
        <v>11267298</v>
      </c>
      <c r="F26" s="4155"/>
      <c r="G26" s="4124">
        <v>91714759</v>
      </c>
      <c r="H26" s="4155"/>
      <c r="I26" s="4124">
        <v>50920974</v>
      </c>
      <c r="J26" s="4155"/>
      <c r="K26" s="4124">
        <v>35480044</v>
      </c>
      <c r="L26" s="4155"/>
      <c r="M26" s="2528"/>
    </row>
    <row r="27" spans="1:13" ht="16.7" customHeight="1" x14ac:dyDescent="0.2">
      <c r="A27" s="2497">
        <v>17</v>
      </c>
      <c r="B27" s="2512" t="s">
        <v>779</v>
      </c>
      <c r="C27" s="4124">
        <v>9105890</v>
      </c>
      <c r="D27" s="4155"/>
      <c r="E27" s="4124">
        <v>6516351</v>
      </c>
      <c r="F27" s="4155"/>
      <c r="G27" s="4124">
        <v>2927983</v>
      </c>
      <c r="H27" s="4155"/>
      <c r="I27" s="4124">
        <v>26100836</v>
      </c>
      <c r="J27" s="4155"/>
      <c r="K27" s="4124">
        <v>18987590</v>
      </c>
      <c r="L27" s="4155"/>
      <c r="M27" s="2528"/>
    </row>
    <row r="28" spans="1:13" ht="16.7" customHeight="1" x14ac:dyDescent="0.2">
      <c r="A28" s="2497">
        <v>18</v>
      </c>
      <c r="B28" s="2512" t="s">
        <v>10334</v>
      </c>
      <c r="C28" s="4124">
        <v>582653</v>
      </c>
      <c r="D28" s="4155"/>
      <c r="E28" s="4124">
        <v>0</v>
      </c>
      <c r="F28" s="4155"/>
      <c r="G28" s="4124">
        <v>2089011</v>
      </c>
      <c r="H28" s="4155"/>
      <c r="I28" s="4124">
        <v>1215512</v>
      </c>
      <c r="J28" s="4155"/>
      <c r="K28" s="4124">
        <v>2712984</v>
      </c>
      <c r="L28" s="4155"/>
      <c r="M28" s="2528"/>
    </row>
    <row r="29" spans="1:13" ht="16.7" customHeight="1" x14ac:dyDescent="0.2">
      <c r="A29" s="2497">
        <v>19</v>
      </c>
      <c r="B29" s="2512" t="s">
        <v>780</v>
      </c>
      <c r="C29" s="4124">
        <v>0</v>
      </c>
      <c r="D29" s="4155"/>
      <c r="E29" s="4124">
        <v>0</v>
      </c>
      <c r="F29" s="4155"/>
      <c r="G29" s="4124">
        <v>0</v>
      </c>
      <c r="H29" s="4155"/>
      <c r="I29" s="4124">
        <v>0</v>
      </c>
      <c r="J29" s="4155"/>
      <c r="K29" s="4124">
        <v>0</v>
      </c>
      <c r="L29" s="4155"/>
      <c r="M29" s="2528"/>
    </row>
    <row r="30" spans="1:13" ht="16.7" customHeight="1" x14ac:dyDescent="0.2">
      <c r="A30" s="2497">
        <v>20</v>
      </c>
      <c r="B30" s="2512" t="s">
        <v>10335</v>
      </c>
      <c r="C30" s="4158">
        <f>SUM(C24:C29)</f>
        <v>27309765</v>
      </c>
      <c r="D30" s="4159"/>
      <c r="E30" s="4158">
        <f>SUM(E24:E29)</f>
        <v>19698964</v>
      </c>
      <c r="F30" s="4159"/>
      <c r="G30" s="4158">
        <f>SUM(G24:G29)</f>
        <v>101067109</v>
      </c>
      <c r="H30" s="4159"/>
      <c r="I30" s="4158">
        <f>SUM(I24:I29)</f>
        <v>174736418</v>
      </c>
      <c r="J30" s="4159"/>
      <c r="K30" s="4158">
        <f>SUM(K24:K29)</f>
        <v>84755561</v>
      </c>
      <c r="L30" s="4159"/>
      <c r="M30" s="2528"/>
    </row>
    <row r="31" spans="1:13" ht="15.75" customHeight="1" x14ac:dyDescent="0.2">
      <c r="A31" s="2497">
        <v>21</v>
      </c>
      <c r="B31" s="2512" t="s">
        <v>10336</v>
      </c>
      <c r="C31" s="4160">
        <f>IFERROR(C30/(C15*1000),"")</f>
        <v>1517.2091666666668</v>
      </c>
      <c r="D31" s="4161"/>
      <c r="E31" s="4160">
        <f>IFERROR(E30/(E15*1000),"")</f>
        <v>1363.2501038062285</v>
      </c>
      <c r="F31" s="4161"/>
      <c r="G31" s="4160">
        <f>IFERROR(G30/(G15*1000),"")</f>
        <v>9187.9189999999999</v>
      </c>
      <c r="H31" s="4161"/>
      <c r="I31" s="4160">
        <f>IFERROR(I30/(I15*1000),"")</f>
        <v>728.06840833333331</v>
      </c>
      <c r="J31" s="4161"/>
      <c r="K31" s="4160">
        <f>IFERROR(K30/(K15*1000),"")</f>
        <v>632.5041865671642</v>
      </c>
      <c r="L31" s="4161"/>
      <c r="M31" s="2528"/>
    </row>
    <row r="32" spans="1:13" ht="15.75" customHeight="1" x14ac:dyDescent="0.2">
      <c r="A32" s="2497">
        <v>22</v>
      </c>
      <c r="B32" s="2512" t="s">
        <v>10337</v>
      </c>
      <c r="C32" s="4162"/>
      <c r="D32" s="4163"/>
      <c r="E32" s="4163"/>
      <c r="F32" s="4163"/>
      <c r="G32" s="4163"/>
      <c r="H32" s="4163"/>
      <c r="I32" s="4163"/>
      <c r="J32" s="4164"/>
      <c r="K32" s="4162"/>
      <c r="L32" s="4164"/>
      <c r="M32" s="2528"/>
    </row>
    <row r="33" spans="1:13" ht="15.75" customHeight="1" x14ac:dyDescent="0.2">
      <c r="A33" s="2497">
        <v>23</v>
      </c>
      <c r="B33" s="2512" t="s">
        <v>10338</v>
      </c>
      <c r="C33" s="4124">
        <v>158645</v>
      </c>
      <c r="D33" s="4155"/>
      <c r="E33" s="4124">
        <v>100453</v>
      </c>
      <c r="F33" s="4155"/>
      <c r="G33" s="4124">
        <v>92438</v>
      </c>
      <c r="H33" s="4155"/>
      <c r="I33" s="4124">
        <v>3548580</v>
      </c>
      <c r="J33" s="4155"/>
      <c r="K33" s="4124">
        <v>1979162</v>
      </c>
      <c r="L33" s="4155"/>
      <c r="M33" s="2528"/>
    </row>
    <row r="34" spans="1:13" ht="15.75" customHeight="1" x14ac:dyDescent="0.2">
      <c r="A34" s="2497">
        <v>24</v>
      </c>
      <c r="B34" s="2512" t="s">
        <v>10339</v>
      </c>
      <c r="C34" s="4124">
        <v>5302</v>
      </c>
      <c r="D34" s="4155"/>
      <c r="E34" s="4124">
        <v>0</v>
      </c>
      <c r="F34" s="4155"/>
      <c r="G34" s="4124">
        <v>417</v>
      </c>
      <c r="H34" s="4155"/>
      <c r="I34" s="4124">
        <v>140263</v>
      </c>
      <c r="J34" s="4155"/>
      <c r="K34" s="4124">
        <v>78314</v>
      </c>
      <c r="L34" s="4155"/>
      <c r="M34" s="2528"/>
    </row>
    <row r="35" spans="1:13" ht="15.75" customHeight="1" x14ac:dyDescent="0.2">
      <c r="A35" s="2497">
        <v>25</v>
      </c>
      <c r="B35" s="2512" t="s">
        <v>10340</v>
      </c>
      <c r="C35" s="4124">
        <v>41476</v>
      </c>
      <c r="D35" s="4155"/>
      <c r="E35" s="4124">
        <v>21056</v>
      </c>
      <c r="F35" s="4155"/>
      <c r="G35" s="4124">
        <v>160889</v>
      </c>
      <c r="H35" s="4155"/>
      <c r="I35" s="4124">
        <v>2108237</v>
      </c>
      <c r="J35" s="4155"/>
      <c r="K35" s="4124">
        <v>1066758</v>
      </c>
      <c r="L35" s="4155"/>
      <c r="M35" s="2528"/>
    </row>
    <row r="36" spans="1:13" ht="15.75" customHeight="1" x14ac:dyDescent="0.2">
      <c r="A36" s="2497">
        <v>26</v>
      </c>
      <c r="B36" s="2512" t="s">
        <v>784</v>
      </c>
      <c r="C36" s="4124">
        <v>0</v>
      </c>
      <c r="D36" s="4155"/>
      <c r="E36" s="4124">
        <v>0</v>
      </c>
      <c r="F36" s="4155"/>
      <c r="G36" s="4124">
        <v>0</v>
      </c>
      <c r="H36" s="4155"/>
      <c r="I36" s="4124">
        <v>0</v>
      </c>
      <c r="J36" s="4155"/>
      <c r="K36" s="4124">
        <v>0</v>
      </c>
      <c r="L36" s="4155"/>
      <c r="M36" s="2528"/>
    </row>
    <row r="37" spans="1:13" ht="15.75" customHeight="1" x14ac:dyDescent="0.2">
      <c r="A37" s="2497">
        <v>27</v>
      </c>
      <c r="B37" s="2512" t="s">
        <v>10341</v>
      </c>
      <c r="C37" s="4124">
        <v>359985</v>
      </c>
      <c r="D37" s="4155"/>
      <c r="E37" s="4124">
        <v>449084</v>
      </c>
      <c r="F37" s="4155"/>
      <c r="G37" s="4124">
        <v>1961587</v>
      </c>
      <c r="H37" s="4155"/>
      <c r="I37" s="4124">
        <v>436278</v>
      </c>
      <c r="J37" s="4155"/>
      <c r="K37" s="4124">
        <v>537099</v>
      </c>
      <c r="L37" s="4155"/>
      <c r="M37" s="2528"/>
    </row>
    <row r="38" spans="1:13" ht="15.75" customHeight="1" x14ac:dyDescent="0.2">
      <c r="A38" s="2497">
        <v>28</v>
      </c>
      <c r="B38" s="2512" t="s">
        <v>492</v>
      </c>
      <c r="C38" s="4124">
        <v>92107</v>
      </c>
      <c r="D38" s="4155"/>
      <c r="E38" s="4124">
        <v>9500</v>
      </c>
      <c r="F38" s="4155"/>
      <c r="G38" s="4124">
        <v>50941</v>
      </c>
      <c r="H38" s="4155"/>
      <c r="I38" s="4124">
        <v>236366</v>
      </c>
      <c r="J38" s="4155"/>
      <c r="K38" s="4124">
        <v>131971</v>
      </c>
      <c r="L38" s="4155"/>
      <c r="M38" s="2528"/>
    </row>
    <row r="39" spans="1:13" ht="15.75" customHeight="1" x14ac:dyDescent="0.2">
      <c r="A39" s="2497">
        <v>29</v>
      </c>
      <c r="B39" s="2512" t="s">
        <v>787</v>
      </c>
      <c r="C39" s="4124">
        <v>0</v>
      </c>
      <c r="D39" s="4155"/>
      <c r="E39" s="4124">
        <v>0</v>
      </c>
      <c r="F39" s="4155"/>
      <c r="G39" s="4124">
        <v>0</v>
      </c>
      <c r="H39" s="4155"/>
      <c r="I39" s="4124">
        <v>0</v>
      </c>
      <c r="J39" s="4155"/>
      <c r="K39" s="4124">
        <v>0</v>
      </c>
      <c r="L39" s="4155"/>
      <c r="M39" s="2528"/>
    </row>
    <row r="40" spans="1:13" ht="15.75" customHeight="1" x14ac:dyDescent="0.2">
      <c r="A40" s="2497">
        <v>30</v>
      </c>
      <c r="B40" s="2512" t="s">
        <v>788</v>
      </c>
      <c r="C40" s="4124">
        <v>33156</v>
      </c>
      <c r="D40" s="4155"/>
      <c r="E40" s="4124">
        <v>2129</v>
      </c>
      <c r="F40" s="4155"/>
      <c r="G40" s="4124">
        <v>19639</v>
      </c>
      <c r="H40" s="4155"/>
      <c r="I40" s="4124">
        <v>41460</v>
      </c>
      <c r="J40" s="4155"/>
      <c r="K40" s="4124">
        <v>32082</v>
      </c>
      <c r="L40" s="4155"/>
      <c r="M40" s="2528"/>
    </row>
    <row r="41" spans="1:13" ht="15.75" customHeight="1" x14ac:dyDescent="0.2">
      <c r="A41" s="2497">
        <v>31</v>
      </c>
      <c r="B41" s="2512" t="s">
        <v>10342</v>
      </c>
      <c r="C41" s="4124">
        <v>31462</v>
      </c>
      <c r="D41" s="4155"/>
      <c r="E41" s="4124">
        <v>10123</v>
      </c>
      <c r="F41" s="4155"/>
      <c r="G41" s="4124">
        <v>39000</v>
      </c>
      <c r="H41" s="4155"/>
      <c r="I41" s="4124">
        <v>58551</v>
      </c>
      <c r="J41" s="4155"/>
      <c r="K41" s="4124">
        <v>35831</v>
      </c>
      <c r="L41" s="4155"/>
      <c r="M41" s="2528"/>
    </row>
    <row r="42" spans="1:13" ht="15.75" customHeight="1" x14ac:dyDescent="0.2">
      <c r="A42" s="2497">
        <v>32</v>
      </c>
      <c r="B42" s="2512" t="s">
        <v>10261</v>
      </c>
      <c r="C42" s="4124">
        <v>27463</v>
      </c>
      <c r="D42" s="4155"/>
      <c r="E42" s="4124">
        <v>53611</v>
      </c>
      <c r="F42" s="4155"/>
      <c r="G42" s="4124">
        <v>46938</v>
      </c>
      <c r="H42" s="4155"/>
      <c r="I42" s="4124">
        <v>166808</v>
      </c>
      <c r="J42" s="4155"/>
      <c r="K42" s="4124">
        <v>136164</v>
      </c>
      <c r="L42" s="4155"/>
      <c r="M42" s="2528"/>
    </row>
    <row r="43" spans="1:13" ht="15.75" customHeight="1" x14ac:dyDescent="0.2">
      <c r="A43" s="2497">
        <v>33</v>
      </c>
      <c r="B43" s="2512" t="s">
        <v>10343</v>
      </c>
      <c r="C43" s="4124">
        <v>57759</v>
      </c>
      <c r="D43" s="4155"/>
      <c r="E43" s="4124">
        <v>53068</v>
      </c>
      <c r="F43" s="4155"/>
      <c r="G43" s="4124">
        <v>41495</v>
      </c>
      <c r="H43" s="4155"/>
      <c r="I43" s="4124">
        <v>1211828</v>
      </c>
      <c r="J43" s="4155"/>
      <c r="K43" s="4124">
        <v>689874</v>
      </c>
      <c r="L43" s="4155"/>
      <c r="M43" s="2528"/>
    </row>
    <row r="44" spans="1:13" ht="15.75" customHeight="1" x14ac:dyDescent="0.2">
      <c r="A44" s="2497">
        <v>34</v>
      </c>
      <c r="B44" s="2512" t="s">
        <v>10344</v>
      </c>
      <c r="C44" s="4125">
        <f>SUM(C33:C43)</f>
        <v>807355</v>
      </c>
      <c r="D44" s="4165"/>
      <c r="E44" s="4125">
        <f>SUM(E33:E43)</f>
        <v>699024</v>
      </c>
      <c r="F44" s="4165"/>
      <c r="G44" s="4125">
        <f>SUM(G33:G43)</f>
        <v>2413344</v>
      </c>
      <c r="H44" s="4165"/>
      <c r="I44" s="4125">
        <f>SUM(I33:I43)</f>
        <v>7948371</v>
      </c>
      <c r="J44" s="4165"/>
      <c r="K44" s="4125">
        <f>SUM(K33:K43)</f>
        <v>4687255</v>
      </c>
      <c r="L44" s="4165"/>
      <c r="M44" s="2528"/>
    </row>
    <row r="45" spans="1:13" ht="15.75" customHeight="1" x14ac:dyDescent="0.2">
      <c r="A45" s="2497">
        <v>35</v>
      </c>
      <c r="B45" s="2512" t="s">
        <v>10345</v>
      </c>
      <c r="C45" s="4166">
        <f>C44/C22</f>
        <v>1.6799945897579958E-2</v>
      </c>
      <c r="D45" s="4149"/>
      <c r="E45" s="4166">
        <f>E44/E22</f>
        <v>4.2401067572485747E-2</v>
      </c>
      <c r="F45" s="4149"/>
      <c r="G45" s="4166">
        <f>G44/G22</f>
        <v>6.1088037260163014E-2</v>
      </c>
      <c r="H45" s="4149"/>
      <c r="I45" s="4166">
        <f>I44/I22</f>
        <v>1.3696602029580384E-2</v>
      </c>
      <c r="J45" s="4149"/>
      <c r="K45" s="4166">
        <f>K44/K22</f>
        <v>9.0680989369214243E-3</v>
      </c>
      <c r="L45" s="4149"/>
      <c r="M45" s="2528"/>
    </row>
    <row r="46" spans="1:13" ht="16.7" customHeight="1" x14ac:dyDescent="0.2">
      <c r="A46" s="2535"/>
      <c r="B46" s="2516"/>
      <c r="C46" s="2516"/>
      <c r="D46" s="2516"/>
      <c r="E46" s="2516"/>
      <c r="F46" s="2516"/>
      <c r="G46" s="2516"/>
      <c r="H46" s="2516"/>
      <c r="I46" s="2516"/>
      <c r="J46" s="2516"/>
      <c r="K46" s="2516"/>
      <c r="L46" s="2516"/>
    </row>
    <row r="47" spans="1:13" ht="16.7" customHeight="1" x14ac:dyDescent="0.2"/>
    <row r="48" spans="1:13" ht="16.7" customHeight="1" x14ac:dyDescent="0.2"/>
    <row r="49" ht="16.7" customHeight="1" x14ac:dyDescent="0.2"/>
    <row r="50" ht="16.7" customHeight="1" x14ac:dyDescent="0.2"/>
    <row r="51" ht="16.7" customHeight="1" x14ac:dyDescent="0.2"/>
    <row r="52" ht="16.7" customHeight="1" x14ac:dyDescent="0.2"/>
    <row r="53" ht="16.7" customHeight="1" x14ac:dyDescent="0.2"/>
    <row r="54" ht="16.7" customHeight="1" x14ac:dyDescent="0.2"/>
    <row r="55" ht="16.7" customHeight="1" x14ac:dyDescent="0.2"/>
    <row r="56" ht="16.7" customHeight="1" x14ac:dyDescent="0.2"/>
    <row r="57" ht="16.7" customHeight="1" x14ac:dyDescent="0.2"/>
    <row r="58" ht="16.7" customHeight="1" x14ac:dyDescent="0.2"/>
    <row r="59" ht="16.7" customHeight="1" x14ac:dyDescent="0.2"/>
    <row r="60" ht="16.7" customHeight="1" x14ac:dyDescent="0.2"/>
    <row r="61" ht="16.7" customHeight="1" x14ac:dyDescent="0.2"/>
    <row r="62" ht="16.7" customHeight="1" x14ac:dyDescent="0.2"/>
    <row r="63" ht="16.7" customHeight="1" x14ac:dyDescent="0.2"/>
    <row r="64" ht="16.7" customHeight="1" x14ac:dyDescent="0.2"/>
    <row r="65" ht="16.7" customHeight="1" x14ac:dyDescent="0.2"/>
    <row r="66" ht="16.7" customHeight="1" x14ac:dyDescent="0.2"/>
    <row r="67" ht="16.7" customHeight="1" x14ac:dyDescent="0.2"/>
    <row r="68" ht="16.7" customHeight="1" x14ac:dyDescent="0.2"/>
    <row r="69" ht="16.7" customHeight="1" x14ac:dyDescent="0.2"/>
    <row r="70" ht="16.7" customHeight="1" x14ac:dyDescent="0.2"/>
    <row r="71" ht="16.7" customHeight="1" x14ac:dyDescent="0.2"/>
    <row r="72" ht="16.7" customHeight="1" x14ac:dyDescent="0.2"/>
    <row r="73" ht="16.7" customHeight="1" x14ac:dyDescent="0.2"/>
    <row r="74" ht="16.7" customHeight="1" x14ac:dyDescent="0.2"/>
    <row r="75" ht="16.7" customHeight="1" x14ac:dyDescent="0.2"/>
    <row r="76" ht="16.7" customHeight="1" x14ac:dyDescent="0.2"/>
    <row r="77" ht="16.7" customHeight="1" x14ac:dyDescent="0.2"/>
    <row r="78" ht="16.7" customHeight="1" x14ac:dyDescent="0.2"/>
    <row r="79" ht="16.7" customHeight="1" x14ac:dyDescent="0.2"/>
    <row r="80" ht="16.7" customHeight="1" x14ac:dyDescent="0.2"/>
    <row r="81" ht="16.7" customHeight="1" x14ac:dyDescent="0.2"/>
    <row r="82" ht="16.7" customHeight="1" x14ac:dyDescent="0.2"/>
    <row r="83" ht="16.7" customHeight="1" x14ac:dyDescent="0.2"/>
    <row r="84" ht="16.7" customHeight="1" x14ac:dyDescent="0.2"/>
    <row r="85" ht="16.7" customHeight="1" x14ac:dyDescent="0.2"/>
    <row r="86" ht="16.7" customHeight="1" x14ac:dyDescent="0.2"/>
    <row r="87" ht="16.7" customHeight="1" x14ac:dyDescent="0.2"/>
    <row r="88" ht="16.7" customHeight="1" x14ac:dyDescent="0.2"/>
    <row r="89" ht="16.7" customHeight="1" x14ac:dyDescent="0.2"/>
    <row r="90" ht="16.7" customHeight="1" x14ac:dyDescent="0.2"/>
    <row r="91" ht="16.7" customHeight="1" x14ac:dyDescent="0.2"/>
    <row r="92" ht="16.7" customHeight="1" x14ac:dyDescent="0.2"/>
    <row r="93" ht="16.7" customHeight="1" x14ac:dyDescent="0.2"/>
    <row r="94" ht="16.7" customHeight="1" x14ac:dyDescent="0.2"/>
    <row r="95" ht="16.7" customHeight="1" x14ac:dyDescent="0.2"/>
    <row r="96" ht="16.7" customHeight="1" x14ac:dyDescent="0.2"/>
    <row r="97" ht="16.7" customHeight="1" x14ac:dyDescent="0.2"/>
    <row r="98" ht="16.7" customHeight="1" x14ac:dyDescent="0.2"/>
    <row r="99" ht="16.7" customHeight="1" x14ac:dyDescent="0.2"/>
    <row r="100" ht="16.7" customHeight="1" x14ac:dyDescent="0.2"/>
    <row r="101" ht="16.7" customHeight="1" x14ac:dyDescent="0.2"/>
    <row r="102" ht="16.7" customHeight="1" x14ac:dyDescent="0.2"/>
    <row r="103" ht="16.7" customHeight="1" x14ac:dyDescent="0.2"/>
    <row r="104" ht="16.7" customHeight="1" x14ac:dyDescent="0.2"/>
    <row r="105" ht="16.7" customHeight="1" x14ac:dyDescent="0.2"/>
  </sheetData>
  <mergeCells count="200">
    <mergeCell ref="C44:D44"/>
    <mergeCell ref="E44:F44"/>
    <mergeCell ref="G44:H44"/>
    <mergeCell ref="I44:J44"/>
    <mergeCell ref="K44:L44"/>
    <mergeCell ref="C45:D45"/>
    <mergeCell ref="E45:F45"/>
    <mergeCell ref="G45:H45"/>
    <mergeCell ref="I45:J45"/>
    <mergeCell ref="K45:L45"/>
    <mergeCell ref="C42:D42"/>
    <mergeCell ref="E42:F42"/>
    <mergeCell ref="G42:H42"/>
    <mergeCell ref="I42:J42"/>
    <mergeCell ref="K42:L42"/>
    <mergeCell ref="C43:D43"/>
    <mergeCell ref="E43:F43"/>
    <mergeCell ref="G43:H43"/>
    <mergeCell ref="I43:J43"/>
    <mergeCell ref="K43:L43"/>
    <mergeCell ref="C40:D40"/>
    <mergeCell ref="E40:F40"/>
    <mergeCell ref="G40:H40"/>
    <mergeCell ref="I40:J40"/>
    <mergeCell ref="K40:L40"/>
    <mergeCell ref="C41:D41"/>
    <mergeCell ref="E41:F41"/>
    <mergeCell ref="G41:H41"/>
    <mergeCell ref="I41:J41"/>
    <mergeCell ref="K41:L41"/>
    <mergeCell ref="C38:D38"/>
    <mergeCell ref="E38:F38"/>
    <mergeCell ref="G38:H38"/>
    <mergeCell ref="I38:J38"/>
    <mergeCell ref="K38:L38"/>
    <mergeCell ref="C39:D39"/>
    <mergeCell ref="E39:F39"/>
    <mergeCell ref="G39:H39"/>
    <mergeCell ref="I39:J39"/>
    <mergeCell ref="K39:L39"/>
    <mergeCell ref="C36:D36"/>
    <mergeCell ref="E36:F36"/>
    <mergeCell ref="G36:H36"/>
    <mergeCell ref="I36:J36"/>
    <mergeCell ref="K36:L36"/>
    <mergeCell ref="C37:D37"/>
    <mergeCell ref="E37:F37"/>
    <mergeCell ref="G37:H37"/>
    <mergeCell ref="I37:J37"/>
    <mergeCell ref="K37:L37"/>
    <mergeCell ref="C34:D34"/>
    <mergeCell ref="E34:F34"/>
    <mergeCell ref="G34:H34"/>
    <mergeCell ref="I34:J34"/>
    <mergeCell ref="K34:L34"/>
    <mergeCell ref="C35:D35"/>
    <mergeCell ref="E35:F35"/>
    <mergeCell ref="G35:H35"/>
    <mergeCell ref="I35:J35"/>
    <mergeCell ref="K35:L35"/>
    <mergeCell ref="C32:D32"/>
    <mergeCell ref="E32:F32"/>
    <mergeCell ref="G32:H32"/>
    <mergeCell ref="I32:J32"/>
    <mergeCell ref="K32:L32"/>
    <mergeCell ref="C33:D33"/>
    <mergeCell ref="E33:F33"/>
    <mergeCell ref="G33:H33"/>
    <mergeCell ref="I33:J33"/>
    <mergeCell ref="K33:L33"/>
    <mergeCell ref="C30:D30"/>
    <mergeCell ref="E30:F30"/>
    <mergeCell ref="G30:H30"/>
    <mergeCell ref="I30:J30"/>
    <mergeCell ref="K30:L30"/>
    <mergeCell ref="C31:D31"/>
    <mergeCell ref="E31:F31"/>
    <mergeCell ref="G31:H31"/>
    <mergeCell ref="I31:J31"/>
    <mergeCell ref="K31:L31"/>
    <mergeCell ref="C28:D28"/>
    <mergeCell ref="E28:F28"/>
    <mergeCell ref="G28:H28"/>
    <mergeCell ref="I28:J28"/>
    <mergeCell ref="K28:L28"/>
    <mergeCell ref="C29:D29"/>
    <mergeCell ref="E29:F29"/>
    <mergeCell ref="G29:H29"/>
    <mergeCell ref="I29:J29"/>
    <mergeCell ref="K29:L29"/>
    <mergeCell ref="C26:D26"/>
    <mergeCell ref="E26:F26"/>
    <mergeCell ref="G26:H26"/>
    <mergeCell ref="I26:J26"/>
    <mergeCell ref="K26:L26"/>
    <mergeCell ref="C27:D27"/>
    <mergeCell ref="E27:F27"/>
    <mergeCell ref="G27:H27"/>
    <mergeCell ref="I27:J27"/>
    <mergeCell ref="K27:L27"/>
    <mergeCell ref="C24:D24"/>
    <mergeCell ref="E24:F24"/>
    <mergeCell ref="G24:H24"/>
    <mergeCell ref="I24:J24"/>
    <mergeCell ref="K24:L24"/>
    <mergeCell ref="C25:D25"/>
    <mergeCell ref="E25:F25"/>
    <mergeCell ref="G25:H25"/>
    <mergeCell ref="I25:J25"/>
    <mergeCell ref="K25:L25"/>
    <mergeCell ref="C22:D22"/>
    <mergeCell ref="E22:F22"/>
    <mergeCell ref="G22:H22"/>
    <mergeCell ref="I22:J22"/>
    <mergeCell ref="K22:L22"/>
    <mergeCell ref="C23:D23"/>
    <mergeCell ref="E23:F23"/>
    <mergeCell ref="G23:H23"/>
    <mergeCell ref="I23:J23"/>
    <mergeCell ref="K23:L23"/>
    <mergeCell ref="C20:D20"/>
    <mergeCell ref="E20:F20"/>
    <mergeCell ref="G20:H20"/>
    <mergeCell ref="I20:J20"/>
    <mergeCell ref="K20:L20"/>
    <mergeCell ref="C21:D21"/>
    <mergeCell ref="E21:F21"/>
    <mergeCell ref="G21:H21"/>
    <mergeCell ref="I21:J21"/>
    <mergeCell ref="K21:L21"/>
    <mergeCell ref="C18:D18"/>
    <mergeCell ref="E18:F18"/>
    <mergeCell ref="G18:H18"/>
    <mergeCell ref="I18:J18"/>
    <mergeCell ref="K18:L18"/>
    <mergeCell ref="C19:D19"/>
    <mergeCell ref="E19:F19"/>
    <mergeCell ref="G19:H19"/>
    <mergeCell ref="I19:J19"/>
    <mergeCell ref="K19:L19"/>
    <mergeCell ref="C16:D16"/>
    <mergeCell ref="E16:F16"/>
    <mergeCell ref="G16:H16"/>
    <mergeCell ref="I16:J16"/>
    <mergeCell ref="K16:L16"/>
    <mergeCell ref="C17:D17"/>
    <mergeCell ref="E17:F17"/>
    <mergeCell ref="G17:H17"/>
    <mergeCell ref="I17:J17"/>
    <mergeCell ref="K17:L17"/>
    <mergeCell ref="C14:D14"/>
    <mergeCell ref="E14:F14"/>
    <mergeCell ref="G14:H14"/>
    <mergeCell ref="I14:J14"/>
    <mergeCell ref="K14:L14"/>
    <mergeCell ref="C15:D15"/>
    <mergeCell ref="E15:F15"/>
    <mergeCell ref="G15:H15"/>
    <mergeCell ref="I15:J15"/>
    <mergeCell ref="K15:L15"/>
    <mergeCell ref="C12:D12"/>
    <mergeCell ref="E12:F12"/>
    <mergeCell ref="G12:H12"/>
    <mergeCell ref="I12:J12"/>
    <mergeCell ref="K12:L12"/>
    <mergeCell ref="C13:D13"/>
    <mergeCell ref="E13:F13"/>
    <mergeCell ref="G13:H13"/>
    <mergeCell ref="I13:J13"/>
    <mergeCell ref="K13:L13"/>
    <mergeCell ref="C10:D10"/>
    <mergeCell ref="E10:F10"/>
    <mergeCell ref="G10:H10"/>
    <mergeCell ref="I10:J10"/>
    <mergeCell ref="K10:L10"/>
    <mergeCell ref="C11:D11"/>
    <mergeCell ref="E11:F11"/>
    <mergeCell ref="G11:H11"/>
    <mergeCell ref="I11:J11"/>
    <mergeCell ref="K11:L11"/>
    <mergeCell ref="C8:D8"/>
    <mergeCell ref="E8:F8"/>
    <mergeCell ref="G8:H8"/>
    <mergeCell ref="I8:J8"/>
    <mergeCell ref="K8:L8"/>
    <mergeCell ref="C9:D9"/>
    <mergeCell ref="E9:F9"/>
    <mergeCell ref="G9:H9"/>
    <mergeCell ref="I9:J9"/>
    <mergeCell ref="K9:L9"/>
    <mergeCell ref="C1:I1"/>
    <mergeCell ref="A3:L3"/>
    <mergeCell ref="A4:L4"/>
    <mergeCell ref="A5:A7"/>
    <mergeCell ref="B5:B6"/>
    <mergeCell ref="C7:D7"/>
    <mergeCell ref="E7:F7"/>
    <mergeCell ref="G7:H7"/>
    <mergeCell ref="I7:J7"/>
    <mergeCell ref="K7:L7"/>
  </mergeCells>
  <pageMargins left="0.75" right="0.75" top="1" bottom="1" header="0.5" footer="0.5"/>
  <customProperties>
    <customPr name="_pios_id" r:id="rId1"/>
  </customProperties>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65C62-207E-46FF-8862-D1C7CC8143D3}">
  <sheetPr codeName="Sheet100"/>
  <dimension ref="A1:O106"/>
  <sheetViews>
    <sheetView workbookViewId="0">
      <pane xSplit="2" ySplit="8" topLeftCell="C9" activePane="bottomRight" state="frozen"/>
      <selection pane="topRight"/>
      <selection pane="bottomLeft"/>
      <selection pane="bottomRight"/>
    </sheetView>
  </sheetViews>
  <sheetFormatPr defaultColWidth="11.5" defaultRowHeight="12.75" x14ac:dyDescent="0.2"/>
  <cols>
    <col min="1" max="1" width="5.5" style="1953" customWidth="1"/>
    <col min="2" max="2" width="33.875" style="1953" customWidth="1"/>
    <col min="3" max="3" width="6.5" style="1953" customWidth="1"/>
    <col min="4" max="4" width="13" style="1953" customWidth="1"/>
    <col min="5" max="5" width="10.875" style="1953" customWidth="1"/>
    <col min="6" max="6" width="12.375" style="1953" customWidth="1"/>
    <col min="7" max="7" width="13.75" style="1953" customWidth="1"/>
    <col min="8" max="8" width="13.625" style="1953" customWidth="1"/>
    <col min="9" max="9" width="11.25" style="1953" customWidth="1"/>
    <col min="10" max="10" width="15.25" style="1953" customWidth="1"/>
    <col min="11" max="12" width="15.875" style="1953" customWidth="1"/>
    <col min="13" max="13" width="14.125" style="1953" customWidth="1"/>
    <col min="14" max="15" width="15.875" style="1953" customWidth="1"/>
    <col min="16" max="16" width="3.875" style="1953" customWidth="1"/>
    <col min="17" max="28" width="17.625" style="1953" customWidth="1"/>
    <col min="29" max="16384" width="11.5" style="1953"/>
  </cols>
  <sheetData>
    <row r="1" spans="1:15" ht="16.7" customHeight="1" x14ac:dyDescent="0.2">
      <c r="B1" s="2744" t="s">
        <v>7058</v>
      </c>
      <c r="C1" s="2479"/>
    </row>
    <row r="2" spans="1:15" ht="16.7" customHeight="1" x14ac:dyDescent="0.2">
      <c r="B2" s="2483"/>
    </row>
    <row r="3" spans="1:15" ht="16.7" customHeight="1" x14ac:dyDescent="0.2">
      <c r="A3" s="3932" t="s">
        <v>10379</v>
      </c>
      <c r="B3" s="3975"/>
      <c r="C3" s="3975"/>
      <c r="D3" s="3975"/>
      <c r="E3" s="3975"/>
      <c r="F3" s="3975"/>
      <c r="G3" s="3975"/>
      <c r="H3" s="3975"/>
      <c r="I3" s="3975"/>
      <c r="J3" s="3975"/>
      <c r="K3" s="3975"/>
      <c r="L3" s="3975"/>
      <c r="M3" s="3976"/>
      <c r="N3" s="2479"/>
    </row>
    <row r="4" spans="1:15" ht="16.7" customHeight="1" x14ac:dyDescent="0.2">
      <c r="A4" s="3882" t="s">
        <v>10380</v>
      </c>
      <c r="B4" s="3891"/>
      <c r="C4" s="3891"/>
      <c r="D4" s="3891"/>
      <c r="E4" s="3891"/>
      <c r="F4" s="3891"/>
      <c r="G4" s="3891"/>
      <c r="H4" s="3891"/>
      <c r="I4" s="3891"/>
      <c r="J4" s="3891"/>
      <c r="K4" s="3891"/>
      <c r="L4" s="3891"/>
      <c r="M4" s="3892"/>
      <c r="N4" s="2479"/>
    </row>
    <row r="5" spans="1:15" ht="59.1" customHeight="1" x14ac:dyDescent="0.2">
      <c r="A5" s="3878" t="s">
        <v>10381</v>
      </c>
      <c r="B5" s="3879"/>
      <c r="C5" s="3879"/>
      <c r="D5" s="3879"/>
      <c r="E5" s="3879"/>
      <c r="F5" s="3879"/>
      <c r="G5" s="3879"/>
      <c r="H5" s="3879"/>
      <c r="I5" s="3879"/>
      <c r="J5" s="3879"/>
      <c r="K5" s="3879"/>
      <c r="L5" s="3879"/>
      <c r="M5" s="3880"/>
      <c r="N5" s="2788"/>
    </row>
    <row r="6" spans="1:15" ht="33.200000000000003" customHeight="1" x14ac:dyDescent="0.2">
      <c r="A6" s="3898" t="s">
        <v>6360</v>
      </c>
      <c r="B6" s="3898" t="s">
        <v>10382</v>
      </c>
      <c r="C6" s="3898" t="s">
        <v>10383</v>
      </c>
      <c r="D6" s="3898" t="s">
        <v>10384</v>
      </c>
      <c r="E6" s="3898" t="s">
        <v>10385</v>
      </c>
      <c r="F6" s="3898" t="s">
        <v>10386</v>
      </c>
      <c r="G6" s="3898" t="s">
        <v>10332</v>
      </c>
      <c r="H6" s="3999" t="s">
        <v>10387</v>
      </c>
      <c r="I6" s="3999" t="s">
        <v>10388</v>
      </c>
      <c r="J6" s="3900" t="s">
        <v>10337</v>
      </c>
      <c r="K6" s="3902"/>
      <c r="L6" s="3999" t="s">
        <v>10389</v>
      </c>
      <c r="M6" s="3999" t="s">
        <v>10390</v>
      </c>
      <c r="N6" s="3999" t="s">
        <v>10391</v>
      </c>
      <c r="O6" s="2958"/>
    </row>
    <row r="7" spans="1:15" ht="16.7" customHeight="1" x14ac:dyDescent="0.2">
      <c r="A7" s="3987"/>
      <c r="B7" s="3987"/>
      <c r="C7" s="3987"/>
      <c r="D7" s="3987"/>
      <c r="E7" s="3987"/>
      <c r="F7" s="3987"/>
      <c r="G7" s="3987"/>
      <c r="H7" s="4000"/>
      <c r="I7" s="4000"/>
      <c r="J7" s="2632" t="s">
        <v>559</v>
      </c>
      <c r="K7" s="2632" t="s">
        <v>438</v>
      </c>
      <c r="L7" s="4000"/>
      <c r="M7" s="4000"/>
      <c r="N7" s="4000"/>
      <c r="O7" s="2958"/>
    </row>
    <row r="8" spans="1:15" ht="16.7" customHeight="1" x14ac:dyDescent="0.2">
      <c r="A8" s="3923"/>
      <c r="B8" s="2589" t="s">
        <v>5949</v>
      </c>
      <c r="C8" s="2589" t="s">
        <v>5950</v>
      </c>
      <c r="D8" s="2589" t="s">
        <v>5951</v>
      </c>
      <c r="E8" s="2589" t="s">
        <v>5952</v>
      </c>
      <c r="F8" s="2589" t="s">
        <v>6227</v>
      </c>
      <c r="G8" s="2589" t="s">
        <v>5804</v>
      </c>
      <c r="H8" s="2633" t="s">
        <v>6228</v>
      </c>
      <c r="I8" s="2633" t="s">
        <v>6229</v>
      </c>
      <c r="J8" s="2633" t="s">
        <v>6230</v>
      </c>
      <c r="K8" s="2633" t="s">
        <v>6231</v>
      </c>
      <c r="L8" s="2633" t="s">
        <v>6232</v>
      </c>
      <c r="M8" s="2633" t="s">
        <v>6233</v>
      </c>
      <c r="N8" s="2633" t="s">
        <v>7035</v>
      </c>
      <c r="O8" s="2958" t="s">
        <v>6324</v>
      </c>
    </row>
    <row r="9" spans="1:15" ht="16.7" customHeight="1" x14ac:dyDescent="0.2">
      <c r="A9" s="2497">
        <v>1</v>
      </c>
      <c r="B9" s="2806" t="s">
        <v>10392</v>
      </c>
      <c r="C9" s="3031" t="s">
        <v>10393</v>
      </c>
      <c r="D9" s="3032">
        <v>6.85</v>
      </c>
      <c r="E9" s="3033">
        <v>7</v>
      </c>
      <c r="F9" s="2530">
        <v>30187000</v>
      </c>
      <c r="G9" s="2530">
        <v>34910236</v>
      </c>
      <c r="H9" s="3034">
        <f t="shared" ref="H9:H29" si="0">G9/D9</f>
        <v>5096384.8175182482</v>
      </c>
      <c r="I9" s="2530">
        <v>523829</v>
      </c>
      <c r="J9" s="2614"/>
      <c r="K9" s="2530">
        <v>169085</v>
      </c>
      <c r="L9" s="2512" t="s">
        <v>10394</v>
      </c>
      <c r="M9" s="2614"/>
      <c r="N9" s="2478" t="s">
        <v>679</v>
      </c>
      <c r="O9" s="2479" t="str">
        <f t="shared" ref="O9:O56" si="1">B9</f>
        <v>Ashton  (Licensed Project No. 2381)</v>
      </c>
    </row>
    <row r="10" spans="1:15" ht="16.7" customHeight="1" x14ac:dyDescent="0.2">
      <c r="A10" s="2497">
        <v>2</v>
      </c>
      <c r="B10" s="2806" t="s">
        <v>10395</v>
      </c>
      <c r="C10" s="3031" t="s">
        <v>10396</v>
      </c>
      <c r="D10" s="3032">
        <v>1.1100000000000001</v>
      </c>
      <c r="E10" s="3033">
        <v>1</v>
      </c>
      <c r="F10" s="2530">
        <v>83000</v>
      </c>
      <c r="G10" s="2530">
        <v>5208260</v>
      </c>
      <c r="H10" s="3034">
        <f t="shared" si="0"/>
        <v>4692126.1261261255</v>
      </c>
      <c r="I10" s="2530">
        <v>114153</v>
      </c>
      <c r="J10" s="2614"/>
      <c r="K10" s="2530">
        <v>63317</v>
      </c>
      <c r="L10" s="2512" t="s">
        <v>10394</v>
      </c>
      <c r="M10" s="2614"/>
      <c r="N10" s="2488" t="s">
        <v>679</v>
      </c>
      <c r="O10" s="2479" t="str">
        <f t="shared" si="1"/>
        <v>Bend</v>
      </c>
    </row>
    <row r="11" spans="1:15" ht="16.7" customHeight="1" x14ac:dyDescent="0.2">
      <c r="A11" s="2497">
        <v>3</v>
      </c>
      <c r="B11" s="2806" t="s">
        <v>10397</v>
      </c>
      <c r="C11" s="3031" t="s">
        <v>10398</v>
      </c>
      <c r="D11" s="3032">
        <v>4.1500000000000004</v>
      </c>
      <c r="E11" s="3033">
        <v>5</v>
      </c>
      <c r="F11" s="2530">
        <v>25104000</v>
      </c>
      <c r="G11" s="2530">
        <v>13942832</v>
      </c>
      <c r="H11" s="3034">
        <f t="shared" si="0"/>
        <v>3359718.5542168673</v>
      </c>
      <c r="I11" s="2530">
        <v>647265</v>
      </c>
      <c r="J11" s="2614"/>
      <c r="K11" s="2530">
        <v>11227</v>
      </c>
      <c r="L11" s="2512" t="s">
        <v>10394</v>
      </c>
      <c r="M11" s="2614"/>
      <c r="N11" s="2488" t="s">
        <v>679</v>
      </c>
      <c r="O11" s="2479" t="str">
        <f t="shared" si="1"/>
        <v>Big Fork  (Licensed Project No. 2652)</v>
      </c>
    </row>
    <row r="12" spans="1:15" ht="16.7" customHeight="1" x14ac:dyDescent="0.2">
      <c r="A12" s="2497">
        <v>4</v>
      </c>
      <c r="B12" s="2806" t="s">
        <v>10399</v>
      </c>
      <c r="C12" s="3031" t="s">
        <v>10400</v>
      </c>
      <c r="D12" s="3032">
        <v>2.81</v>
      </c>
      <c r="E12" s="3033">
        <v>3</v>
      </c>
      <c r="F12" s="2530">
        <v>14660000</v>
      </c>
      <c r="G12" s="2530">
        <v>4006491</v>
      </c>
      <c r="H12" s="3034">
        <f t="shared" si="0"/>
        <v>1425797.5088967972</v>
      </c>
      <c r="I12" s="2530">
        <v>353622</v>
      </c>
      <c r="J12" s="2614"/>
      <c r="K12" s="2530">
        <v>77316</v>
      </c>
      <c r="L12" s="2512" t="s">
        <v>10394</v>
      </c>
      <c r="M12" s="2614"/>
      <c r="N12" s="2488" t="s">
        <v>679</v>
      </c>
      <c r="O12" s="2479" t="str">
        <f t="shared" si="1"/>
        <v>Eagle Point</v>
      </c>
    </row>
    <row r="13" spans="1:15" ht="16.7" customHeight="1" x14ac:dyDescent="0.2">
      <c r="A13" s="2497">
        <v>5</v>
      </c>
      <c r="B13" s="2636" t="s">
        <v>10401</v>
      </c>
      <c r="C13" s="3031" t="s">
        <v>10377</v>
      </c>
      <c r="D13" s="3032">
        <v>3.2</v>
      </c>
      <c r="E13" s="3033">
        <v>0</v>
      </c>
      <c r="F13" s="2530">
        <v>0</v>
      </c>
      <c r="G13" s="2530">
        <v>1738589</v>
      </c>
      <c r="H13" s="3034">
        <f t="shared" si="0"/>
        <v>543309.0625</v>
      </c>
      <c r="I13" s="2530">
        <v>33563</v>
      </c>
      <c r="J13" s="2614"/>
      <c r="K13" s="2530">
        <v>3827</v>
      </c>
      <c r="L13" s="2512" t="s">
        <v>10394</v>
      </c>
      <c r="M13" s="2614"/>
      <c r="N13" s="2488" t="s">
        <v>679</v>
      </c>
      <c r="O13" s="2479" t="str">
        <f t="shared" si="1"/>
        <v>East Side  (Licensed Project No. 2082)</v>
      </c>
    </row>
    <row r="14" spans="1:15" ht="16.7" customHeight="1" x14ac:dyDescent="0.2">
      <c r="A14" s="2497">
        <v>6</v>
      </c>
      <c r="B14" s="2622" t="s">
        <v>10402</v>
      </c>
      <c r="C14" s="3031" t="s">
        <v>10403</v>
      </c>
      <c r="D14" s="3032">
        <v>2.2000000000000002</v>
      </c>
      <c r="E14" s="3033">
        <v>2</v>
      </c>
      <c r="F14" s="2530">
        <v>6668000</v>
      </c>
      <c r="G14" s="2530">
        <v>2878265</v>
      </c>
      <c r="H14" s="3034">
        <f t="shared" si="0"/>
        <v>1308302.2727272727</v>
      </c>
      <c r="I14" s="2530">
        <v>281758</v>
      </c>
      <c r="J14" s="2614"/>
      <c r="K14" s="2530">
        <v>37098</v>
      </c>
      <c r="L14" s="2512" t="s">
        <v>10394</v>
      </c>
      <c r="M14" s="2614"/>
      <c r="N14" s="2488" t="s">
        <v>679</v>
      </c>
      <c r="O14" s="2479" t="str">
        <f t="shared" si="1"/>
        <v>Fall Creek  (Licensed Project No. 2082)</v>
      </c>
    </row>
    <row r="15" spans="1:15" ht="16.7" customHeight="1" x14ac:dyDescent="0.2">
      <c r="A15" s="2497">
        <v>7</v>
      </c>
      <c r="B15" s="2622" t="s">
        <v>10404</v>
      </c>
      <c r="C15" s="3031" t="s">
        <v>10405</v>
      </c>
      <c r="D15" s="3032">
        <v>2</v>
      </c>
      <c r="E15" s="3033">
        <v>1.2</v>
      </c>
      <c r="F15" s="2530">
        <v>2935428</v>
      </c>
      <c r="G15" s="2530">
        <v>5431384</v>
      </c>
      <c r="H15" s="3034">
        <f t="shared" si="0"/>
        <v>2715692</v>
      </c>
      <c r="I15" s="2530">
        <v>273003</v>
      </c>
      <c r="J15" s="2614"/>
      <c r="K15" s="2530">
        <v>12883</v>
      </c>
      <c r="L15" s="2512" t="s">
        <v>10394</v>
      </c>
      <c r="M15" s="2614"/>
      <c r="N15" s="2488" t="s">
        <v>679</v>
      </c>
      <c r="O15" s="2479" t="str">
        <f t="shared" si="1"/>
        <v>Granite</v>
      </c>
    </row>
    <row r="16" spans="1:15" ht="16.7" customHeight="1" x14ac:dyDescent="0.2">
      <c r="A16" s="2497">
        <v>8</v>
      </c>
      <c r="B16" s="2622" t="s">
        <v>10406</v>
      </c>
      <c r="C16" s="3031" t="s">
        <v>10393</v>
      </c>
      <c r="D16" s="3032">
        <v>0.75</v>
      </c>
      <c r="E16" s="3033">
        <v>0.4</v>
      </c>
      <c r="F16" s="2530">
        <v>2138730</v>
      </c>
      <c r="G16" s="2530">
        <v>690253</v>
      </c>
      <c r="H16" s="3034">
        <f t="shared" si="0"/>
        <v>920337.33333333337</v>
      </c>
      <c r="I16" s="2530">
        <v>60769</v>
      </c>
      <c r="J16" s="2614"/>
      <c r="K16" s="2530">
        <v>58219</v>
      </c>
      <c r="L16" s="2512" t="s">
        <v>10394</v>
      </c>
      <c r="M16" s="2614"/>
      <c r="N16" s="2488" t="s">
        <v>679</v>
      </c>
      <c r="O16" s="2479" t="str">
        <f t="shared" si="1"/>
        <v>Gunlock</v>
      </c>
    </row>
    <row r="17" spans="1:15" ht="16.7" customHeight="1" x14ac:dyDescent="0.2">
      <c r="A17" s="2497">
        <v>9</v>
      </c>
      <c r="B17" s="2622" t="s">
        <v>10407</v>
      </c>
      <c r="C17" s="3031" t="s">
        <v>10408</v>
      </c>
      <c r="D17" s="3032">
        <v>1.73</v>
      </c>
      <c r="E17" s="3033">
        <v>1.3</v>
      </c>
      <c r="F17" s="2530">
        <v>3415390</v>
      </c>
      <c r="G17" s="2530">
        <v>3225657</v>
      </c>
      <c r="H17" s="3034">
        <f t="shared" si="0"/>
        <v>1864541.6184971097</v>
      </c>
      <c r="I17" s="2530">
        <v>173662</v>
      </c>
      <c r="J17" s="2614"/>
      <c r="K17" s="2530">
        <v>42994</v>
      </c>
      <c r="L17" s="2512" t="s">
        <v>10394</v>
      </c>
      <c r="M17" s="2614"/>
      <c r="N17" s="2488" t="s">
        <v>679</v>
      </c>
      <c r="O17" s="2479" t="str">
        <f t="shared" si="1"/>
        <v>Last Chance</v>
      </c>
    </row>
    <row r="18" spans="1:15" ht="16.7" customHeight="1" x14ac:dyDescent="0.2">
      <c r="A18" s="2497">
        <v>10</v>
      </c>
      <c r="B18" s="2622" t="s">
        <v>10409</v>
      </c>
      <c r="C18" s="3031" t="s">
        <v>10398</v>
      </c>
      <c r="D18" s="3032">
        <v>0.72</v>
      </c>
      <c r="E18" s="3033">
        <v>0.4</v>
      </c>
      <c r="F18" s="2530">
        <v>1171774</v>
      </c>
      <c r="G18" s="2530">
        <v>766477</v>
      </c>
      <c r="H18" s="3034">
        <f t="shared" si="0"/>
        <v>1064551.388888889</v>
      </c>
      <c r="I18" s="2530">
        <v>77303</v>
      </c>
      <c r="J18" s="2614"/>
      <c r="K18" s="2530">
        <v>33534</v>
      </c>
      <c r="L18" s="2512" t="s">
        <v>10394</v>
      </c>
      <c r="M18" s="2614"/>
      <c r="N18" s="2488" t="s">
        <v>679</v>
      </c>
      <c r="O18" s="2479" t="str">
        <f t="shared" si="1"/>
        <v>Paris  (Licensed Project No. 703)</v>
      </c>
    </row>
    <row r="19" spans="1:15" ht="16.7" customHeight="1" x14ac:dyDescent="0.2">
      <c r="A19" s="2497">
        <v>11</v>
      </c>
      <c r="B19" s="2622" t="s">
        <v>10410</v>
      </c>
      <c r="C19" s="3031" t="s">
        <v>10411</v>
      </c>
      <c r="D19" s="3032">
        <v>5</v>
      </c>
      <c r="E19" s="3033">
        <v>4.0999999999999996</v>
      </c>
      <c r="F19" s="2530">
        <v>18722247</v>
      </c>
      <c r="G19" s="2530">
        <v>12838666</v>
      </c>
      <c r="H19" s="3034">
        <f t="shared" si="0"/>
        <v>2567733.2000000002</v>
      </c>
      <c r="I19" s="2530">
        <v>592955</v>
      </c>
      <c r="J19" s="2614"/>
      <c r="K19" s="2530">
        <v>147791</v>
      </c>
      <c r="L19" s="2512" t="s">
        <v>10394</v>
      </c>
      <c r="M19" s="2614"/>
      <c r="N19" s="2488" t="s">
        <v>679</v>
      </c>
      <c r="O19" s="2479" t="str">
        <f t="shared" si="1"/>
        <v>Pioneer  (Licensed Project No. 2722)</v>
      </c>
    </row>
    <row r="20" spans="1:15" ht="16.7" customHeight="1" x14ac:dyDescent="0.2">
      <c r="A20" s="2497">
        <v>12</v>
      </c>
      <c r="B20" s="2622" t="s">
        <v>10412</v>
      </c>
      <c r="C20" s="3031" t="s">
        <v>10413</v>
      </c>
      <c r="D20" s="3032">
        <v>3.76</v>
      </c>
      <c r="E20" s="3033">
        <v>0</v>
      </c>
      <c r="F20" s="2530">
        <v>0</v>
      </c>
      <c r="G20" s="2530">
        <v>5561598</v>
      </c>
      <c r="H20" s="3034">
        <f t="shared" si="0"/>
        <v>1479148.4042553192</v>
      </c>
      <c r="I20" s="2530">
        <v>130676</v>
      </c>
      <c r="J20" s="2614"/>
      <c r="K20" s="2530">
        <v>65612</v>
      </c>
      <c r="L20" s="2512" t="s">
        <v>10394</v>
      </c>
      <c r="M20" s="2614"/>
      <c r="N20" s="2488" t="s">
        <v>679</v>
      </c>
      <c r="O20" s="2479" t="str">
        <f t="shared" si="1"/>
        <v>Prospect No. 1  (Licensed Project No. 2630)</v>
      </c>
    </row>
    <row r="21" spans="1:15" ht="16.7" customHeight="1" x14ac:dyDescent="0.2">
      <c r="A21" s="2497">
        <v>13</v>
      </c>
      <c r="B21" s="2622" t="s">
        <v>10414</v>
      </c>
      <c r="C21" s="3031" t="s">
        <v>10415</v>
      </c>
      <c r="D21" s="3032">
        <v>7.2</v>
      </c>
      <c r="E21" s="3033">
        <v>1</v>
      </c>
      <c r="F21" s="2530">
        <v>-174000</v>
      </c>
      <c r="G21" s="2530">
        <v>11553486</v>
      </c>
      <c r="H21" s="3034">
        <f t="shared" si="0"/>
        <v>1604650.8333333333</v>
      </c>
      <c r="I21" s="2530">
        <v>312008</v>
      </c>
      <c r="J21" s="2614"/>
      <c r="K21" s="2530">
        <v>116165</v>
      </c>
      <c r="L21" s="2512" t="s">
        <v>10394</v>
      </c>
      <c r="M21" s="2614"/>
      <c r="N21" s="2488" t="s">
        <v>679</v>
      </c>
      <c r="O21" s="2479" t="str">
        <f t="shared" si="1"/>
        <v>Prospect No. 3  (Licensed Project No. 2337)</v>
      </c>
    </row>
    <row r="22" spans="1:15" ht="16.7" customHeight="1" x14ac:dyDescent="0.2">
      <c r="A22" s="2497">
        <v>14</v>
      </c>
      <c r="B22" s="2622" t="s">
        <v>10416</v>
      </c>
      <c r="C22" s="3031" t="s">
        <v>10417</v>
      </c>
      <c r="D22" s="3032">
        <v>1</v>
      </c>
      <c r="E22" s="3033">
        <v>0</v>
      </c>
      <c r="F22" s="2530">
        <v>-60000</v>
      </c>
      <c r="G22" s="2530">
        <v>2551528</v>
      </c>
      <c r="H22" s="3034">
        <f t="shared" si="0"/>
        <v>2551528</v>
      </c>
      <c r="I22" s="2530">
        <v>36552</v>
      </c>
      <c r="J22" s="2614"/>
      <c r="K22" s="2530">
        <v>16912</v>
      </c>
      <c r="L22" s="2512" t="s">
        <v>10394</v>
      </c>
      <c r="M22" s="2614"/>
      <c r="N22" s="2488" t="s">
        <v>679</v>
      </c>
      <c r="O22" s="2479" t="str">
        <f t="shared" si="1"/>
        <v>Prospect No. 4  (Licensed Project No. 2630)</v>
      </c>
    </row>
    <row r="23" spans="1:15" ht="16.7" customHeight="1" x14ac:dyDescent="0.2">
      <c r="A23" s="2497">
        <v>15</v>
      </c>
      <c r="B23" s="2622" t="s">
        <v>10418</v>
      </c>
      <c r="C23" s="3031" t="s">
        <v>10419</v>
      </c>
      <c r="D23" s="3032">
        <v>0.8</v>
      </c>
      <c r="E23" s="3033">
        <v>0.4</v>
      </c>
      <c r="F23" s="2530">
        <v>1859246</v>
      </c>
      <c r="G23" s="2530">
        <v>1176961</v>
      </c>
      <c r="H23" s="3034">
        <f t="shared" si="0"/>
        <v>1471201.25</v>
      </c>
      <c r="I23" s="2530">
        <v>65579</v>
      </c>
      <c r="J23" s="2614"/>
      <c r="K23" s="2530">
        <v>49287</v>
      </c>
      <c r="L23" s="2512" t="s">
        <v>10394</v>
      </c>
      <c r="M23" s="2614"/>
      <c r="N23" s="2488" t="s">
        <v>679</v>
      </c>
      <c r="O23" s="2479" t="str">
        <f t="shared" si="1"/>
        <v>Sand Cove</v>
      </c>
    </row>
    <row r="24" spans="1:15" ht="16.7" customHeight="1" x14ac:dyDescent="0.2">
      <c r="A24" s="2497">
        <v>16</v>
      </c>
      <c r="B24" s="2622" t="s">
        <v>10420</v>
      </c>
      <c r="C24" s="3031" t="s">
        <v>10421</v>
      </c>
      <c r="D24" s="3032">
        <v>1</v>
      </c>
      <c r="E24" s="3033">
        <v>1.3</v>
      </c>
      <c r="F24" s="2530">
        <v>4187840</v>
      </c>
      <c r="G24" s="2530">
        <v>3069520</v>
      </c>
      <c r="H24" s="3034">
        <f t="shared" si="0"/>
        <v>3069520</v>
      </c>
      <c r="I24" s="2530">
        <v>314176</v>
      </c>
      <c r="J24" s="2614"/>
      <c r="K24" s="2530">
        <v>6412</v>
      </c>
      <c r="L24" s="2512" t="s">
        <v>10394</v>
      </c>
      <c r="M24" s="2614"/>
      <c r="N24" s="2488" t="s">
        <v>679</v>
      </c>
      <c r="O24" s="2479" t="str">
        <f t="shared" si="1"/>
        <v>Stairs  (Licensed Project No. 597)</v>
      </c>
    </row>
    <row r="25" spans="1:15" ht="16.7" customHeight="1" x14ac:dyDescent="0.2">
      <c r="A25" s="2497">
        <v>17</v>
      </c>
      <c r="B25" s="2622" t="s">
        <v>10422</v>
      </c>
      <c r="C25" s="3031" t="s">
        <v>10370</v>
      </c>
      <c r="D25" s="3032">
        <v>0.5</v>
      </c>
      <c r="E25" s="3033">
        <v>0.2</v>
      </c>
      <c r="F25" s="2530">
        <v>596484</v>
      </c>
      <c r="G25" s="2530">
        <v>940897</v>
      </c>
      <c r="H25" s="3034">
        <f t="shared" si="0"/>
        <v>1881794</v>
      </c>
      <c r="I25" s="2530">
        <v>74697</v>
      </c>
      <c r="J25" s="2614"/>
      <c r="K25" s="2530">
        <v>266993</v>
      </c>
      <c r="L25" s="2512" t="s">
        <v>10394</v>
      </c>
      <c r="M25" s="2614"/>
      <c r="N25" s="2488" t="s">
        <v>679</v>
      </c>
      <c r="O25" s="2479" t="str">
        <f t="shared" si="1"/>
        <v>Veyo</v>
      </c>
    </row>
    <row r="26" spans="1:15" ht="16.7" customHeight="1" x14ac:dyDescent="0.2">
      <c r="A26" s="2497">
        <v>18</v>
      </c>
      <c r="B26" s="2622" t="s">
        <v>10423</v>
      </c>
      <c r="C26" s="3031" t="s">
        <v>10243</v>
      </c>
      <c r="D26" s="3032">
        <v>0.74</v>
      </c>
      <c r="E26" s="3033">
        <v>0.1</v>
      </c>
      <c r="F26" s="2530">
        <v>450697</v>
      </c>
      <c r="G26" s="2530">
        <v>1232115</v>
      </c>
      <c r="H26" s="3034">
        <f t="shared" si="0"/>
        <v>1665020.2702702703</v>
      </c>
      <c r="I26" s="2530">
        <v>87086</v>
      </c>
      <c r="J26" s="2614"/>
      <c r="K26" s="2530">
        <v>38245</v>
      </c>
      <c r="L26" s="2512" t="s">
        <v>10394</v>
      </c>
      <c r="M26" s="2614"/>
      <c r="N26" s="2488" t="s">
        <v>679</v>
      </c>
      <c r="O26" s="2479" t="str">
        <f t="shared" si="1"/>
        <v>Viva Naughton</v>
      </c>
    </row>
    <row r="27" spans="1:15" ht="16.7" customHeight="1" x14ac:dyDescent="0.2">
      <c r="A27" s="2497">
        <v>19</v>
      </c>
      <c r="B27" s="2622" t="s">
        <v>10424</v>
      </c>
      <c r="C27" s="3031" t="s">
        <v>10425</v>
      </c>
      <c r="D27" s="3032">
        <v>1.1000000000000001</v>
      </c>
      <c r="E27" s="3033">
        <v>2</v>
      </c>
      <c r="F27" s="2530">
        <v>1432000</v>
      </c>
      <c r="G27" s="2530">
        <v>5839650</v>
      </c>
      <c r="H27" s="3034">
        <f t="shared" si="0"/>
        <v>5308772.7272727266</v>
      </c>
      <c r="I27" s="2530">
        <v>303050</v>
      </c>
      <c r="J27" s="2614"/>
      <c r="K27" s="2530">
        <v>21565</v>
      </c>
      <c r="L27" s="2512" t="s">
        <v>10394</v>
      </c>
      <c r="M27" s="2614"/>
      <c r="N27" s="2488" t="s">
        <v>679</v>
      </c>
      <c r="O27" s="2479" t="str">
        <f t="shared" si="1"/>
        <v>Wallowa Falls  (Licensed Project No. 308)</v>
      </c>
    </row>
    <row r="28" spans="1:15" ht="16.7" customHeight="1" x14ac:dyDescent="0.2">
      <c r="A28" s="2497">
        <v>20</v>
      </c>
      <c r="B28" s="2622" t="s">
        <v>10426</v>
      </c>
      <c r="C28" s="3031" t="s">
        <v>10427</v>
      </c>
      <c r="D28" s="3032">
        <v>3.85</v>
      </c>
      <c r="E28" s="3033">
        <v>3</v>
      </c>
      <c r="F28" s="2530">
        <v>9498278</v>
      </c>
      <c r="G28" s="2530">
        <v>4051414</v>
      </c>
      <c r="H28" s="3034">
        <f t="shared" si="0"/>
        <v>1052315.3246753246</v>
      </c>
      <c r="I28" s="2530">
        <v>435698</v>
      </c>
      <c r="J28" s="2614"/>
      <c r="K28" s="2530">
        <v>27433</v>
      </c>
      <c r="L28" s="2512" t="s">
        <v>10394</v>
      </c>
      <c r="M28" s="2614"/>
      <c r="N28" s="2488" t="s">
        <v>679</v>
      </c>
      <c r="O28" s="2479" t="str">
        <f t="shared" si="1"/>
        <v>Weber  (Licensed Project No. 1744)</v>
      </c>
    </row>
    <row r="29" spans="1:15" ht="16.7" customHeight="1" x14ac:dyDescent="0.2">
      <c r="A29" s="2497">
        <v>21</v>
      </c>
      <c r="B29" s="3035" t="s">
        <v>10428</v>
      </c>
      <c r="C29" s="3031" t="s">
        <v>10353</v>
      </c>
      <c r="D29" s="3032">
        <v>0.6</v>
      </c>
      <c r="E29" s="3033">
        <v>0</v>
      </c>
      <c r="F29" s="2530">
        <v>-7000</v>
      </c>
      <c r="G29" s="2530">
        <v>577606</v>
      </c>
      <c r="H29" s="3034">
        <f t="shared" si="0"/>
        <v>962676.66666666674</v>
      </c>
      <c r="I29" s="2530">
        <v>-35170</v>
      </c>
      <c r="J29" s="2614"/>
      <c r="K29" s="2530">
        <v>601</v>
      </c>
      <c r="L29" s="2512" t="s">
        <v>10394</v>
      </c>
      <c r="M29" s="2614"/>
      <c r="N29" s="2488" t="s">
        <v>679</v>
      </c>
      <c r="O29" s="2479" t="str">
        <f t="shared" si="1"/>
        <v>West Side  (Licensed Project No. 2082)</v>
      </c>
    </row>
    <row r="30" spans="1:15" ht="16.7" customHeight="1" x14ac:dyDescent="0.2">
      <c r="A30" s="2497">
        <v>22</v>
      </c>
      <c r="B30" s="3035" t="s">
        <v>10429</v>
      </c>
      <c r="C30" s="3029"/>
      <c r="D30" s="2614"/>
      <c r="E30" s="2614"/>
      <c r="F30" s="2614"/>
      <c r="G30" s="2530">
        <v>7998759</v>
      </c>
      <c r="H30" s="3036"/>
      <c r="I30" s="2530">
        <v>13340</v>
      </c>
      <c r="J30" s="2614"/>
      <c r="K30" s="2530">
        <v>3897</v>
      </c>
      <c r="L30" s="2512"/>
      <c r="M30" s="2614"/>
      <c r="N30" s="2488" t="s">
        <v>679</v>
      </c>
      <c r="O30" s="2479" t="str">
        <f t="shared" si="1"/>
        <v>Keno Regulating Dam  (Licensed Project No. 2082)</v>
      </c>
    </row>
    <row r="31" spans="1:15" ht="16.7" customHeight="1" x14ac:dyDescent="0.2">
      <c r="A31" s="2497">
        <v>23</v>
      </c>
      <c r="B31" s="3035" t="s">
        <v>10430</v>
      </c>
      <c r="C31" s="3029"/>
      <c r="D31" s="2614"/>
      <c r="E31" s="2614"/>
      <c r="F31" s="2614"/>
      <c r="G31" s="2530">
        <v>3836001</v>
      </c>
      <c r="H31" s="3036"/>
      <c r="I31" s="2530">
        <v>118223</v>
      </c>
      <c r="J31" s="2614"/>
      <c r="K31" s="2530">
        <v>101729</v>
      </c>
      <c r="L31" s="2512"/>
      <c r="M31" s="2614"/>
      <c r="N31" s="2488" t="s">
        <v>679</v>
      </c>
      <c r="O31" s="2479" t="str">
        <f t="shared" si="1"/>
        <v>Upper Klamath Lake  (Licensed Project No. 2082)</v>
      </c>
    </row>
    <row r="32" spans="1:15" ht="16.7" customHeight="1" x14ac:dyDescent="0.2">
      <c r="A32" s="2497">
        <v>24</v>
      </c>
      <c r="B32" s="3035" t="s">
        <v>10431</v>
      </c>
      <c r="C32" s="3029"/>
      <c r="D32" s="2614"/>
      <c r="E32" s="2614"/>
      <c r="F32" s="2614"/>
      <c r="G32" s="2530">
        <v>20358278</v>
      </c>
      <c r="H32" s="3036"/>
      <c r="I32" s="2614"/>
      <c r="J32" s="2614"/>
      <c r="K32" s="2614"/>
      <c r="L32" s="2512"/>
      <c r="M32" s="2614"/>
      <c r="N32" s="2488" t="s">
        <v>679</v>
      </c>
      <c r="O32" s="2479" t="str">
        <f t="shared" si="1"/>
        <v>North Umpqua  (Licensed Project No. 1927)</v>
      </c>
    </row>
    <row r="33" spans="1:15" ht="16.7" customHeight="1" x14ac:dyDescent="0.2">
      <c r="A33" s="2497">
        <v>25</v>
      </c>
      <c r="B33" s="2622"/>
      <c r="C33" s="3029"/>
      <c r="D33" s="2614"/>
      <c r="E33" s="2614"/>
      <c r="F33" s="2614"/>
      <c r="G33" s="2614"/>
      <c r="H33" s="3036"/>
      <c r="I33" s="2614"/>
      <c r="J33" s="2614"/>
      <c r="K33" s="2614"/>
      <c r="L33" s="2512"/>
      <c r="M33" s="2614"/>
      <c r="N33" s="2488"/>
      <c r="O33" s="2595">
        <f t="shared" si="1"/>
        <v>0</v>
      </c>
    </row>
    <row r="34" spans="1:15" ht="16.7" customHeight="1" x14ac:dyDescent="0.2">
      <c r="A34" s="2497">
        <v>26</v>
      </c>
      <c r="B34" s="3035" t="s">
        <v>10432</v>
      </c>
      <c r="C34" s="3031" t="s">
        <v>10393</v>
      </c>
      <c r="D34" s="2614"/>
      <c r="E34" s="2614"/>
      <c r="F34" s="2614"/>
      <c r="G34" s="2530">
        <v>21980448</v>
      </c>
      <c r="H34" s="3034" t="e">
        <v>#REF!</v>
      </c>
      <c r="I34" s="2530">
        <v>290256</v>
      </c>
      <c r="J34" s="2614"/>
      <c r="K34" s="2530">
        <v>41076</v>
      </c>
      <c r="L34" s="2512" t="s">
        <v>10394</v>
      </c>
      <c r="M34" s="2614"/>
      <c r="N34" s="2488" t="s">
        <v>679</v>
      </c>
      <c r="O34" s="2479" t="str">
        <f t="shared" si="1"/>
        <v>Lifton Pumping Plant</v>
      </c>
    </row>
    <row r="35" spans="1:15" ht="16.7" customHeight="1" x14ac:dyDescent="0.2">
      <c r="A35" s="2497">
        <v>27</v>
      </c>
      <c r="B35" s="2622"/>
      <c r="C35" s="3029"/>
      <c r="D35" s="2614"/>
      <c r="E35" s="2614"/>
      <c r="F35" s="2614"/>
      <c r="G35" s="2614"/>
      <c r="H35" s="3036"/>
      <c r="I35" s="2614"/>
      <c r="J35" s="2614"/>
      <c r="K35" s="2614"/>
      <c r="L35" s="2512"/>
      <c r="M35" s="2614"/>
      <c r="N35" s="2488"/>
      <c r="O35" s="2595">
        <f t="shared" si="1"/>
        <v>0</v>
      </c>
    </row>
    <row r="36" spans="1:15" ht="16.7" customHeight="1" x14ac:dyDescent="0.2">
      <c r="A36" s="2497">
        <v>28</v>
      </c>
      <c r="B36" s="2622" t="s">
        <v>2590</v>
      </c>
      <c r="C36" s="3031" t="s">
        <v>2599</v>
      </c>
      <c r="D36" s="3032">
        <v>198.88</v>
      </c>
      <c r="E36" s="3033">
        <v>244</v>
      </c>
      <c r="F36" s="2530">
        <v>580916000</v>
      </c>
      <c r="G36" s="2530">
        <v>255938718</v>
      </c>
      <c r="H36" s="3034">
        <f t="shared" ref="H36:H54" si="2">G36/D36</f>
        <v>1286900.2312952534</v>
      </c>
      <c r="I36" s="2530">
        <v>1934875</v>
      </c>
      <c r="J36" s="2614"/>
      <c r="K36" s="2530">
        <v>2219341</v>
      </c>
      <c r="L36" s="2512" t="s">
        <v>10433</v>
      </c>
      <c r="M36" s="2614"/>
      <c r="N36" s="2478" t="s">
        <v>10433</v>
      </c>
      <c r="O36" s="2479" t="str">
        <f t="shared" si="1"/>
        <v>Cedar Springs II</v>
      </c>
    </row>
    <row r="37" spans="1:15" ht="16.7" customHeight="1" x14ac:dyDescent="0.2">
      <c r="A37" s="2497">
        <v>29</v>
      </c>
      <c r="B37" s="2622" t="s">
        <v>10434</v>
      </c>
      <c r="C37" s="3031" t="s">
        <v>2595</v>
      </c>
      <c r="D37" s="3032">
        <v>136.9</v>
      </c>
      <c r="E37" s="3033">
        <v>111</v>
      </c>
      <c r="F37" s="2530">
        <v>432029000</v>
      </c>
      <c r="G37" s="2530">
        <v>218641544</v>
      </c>
      <c r="H37" s="3034">
        <f t="shared" si="2"/>
        <v>1597089.4375456537</v>
      </c>
      <c r="I37" s="2530">
        <v>243677</v>
      </c>
      <c r="J37" s="2614"/>
      <c r="K37" s="2530">
        <v>1484575</v>
      </c>
      <c r="L37" s="2512" t="s">
        <v>10433</v>
      </c>
      <c r="M37" s="2614"/>
      <c r="N37" s="2488" t="s">
        <v>10433</v>
      </c>
      <c r="O37" s="2479" t="str">
        <f t="shared" si="1"/>
        <v>Dunlap Ranch 1</v>
      </c>
    </row>
    <row r="38" spans="1:15" ht="16.7" customHeight="1" x14ac:dyDescent="0.2">
      <c r="A38" s="2497">
        <v>30</v>
      </c>
      <c r="B38" s="2622" t="s">
        <v>2582</v>
      </c>
      <c r="C38" s="3031" t="s">
        <v>2599</v>
      </c>
      <c r="D38" s="3032">
        <v>250.9</v>
      </c>
      <c r="E38" s="3033">
        <v>189</v>
      </c>
      <c r="F38" s="2530">
        <v>753554000</v>
      </c>
      <c r="G38" s="2530">
        <v>319255325</v>
      </c>
      <c r="H38" s="3034">
        <f t="shared" si="2"/>
        <v>1272440.5141490633</v>
      </c>
      <c r="I38" s="2530">
        <v>1402044</v>
      </c>
      <c r="J38" s="2614"/>
      <c r="K38" s="2530">
        <v>1887232</v>
      </c>
      <c r="L38" s="2512" t="s">
        <v>10433</v>
      </c>
      <c r="M38" s="2614"/>
      <c r="N38" s="2488" t="s">
        <v>10433</v>
      </c>
      <c r="O38" s="2479" t="str">
        <f t="shared" si="1"/>
        <v>Ekola Flats</v>
      </c>
    </row>
    <row r="39" spans="1:15" ht="16.7" customHeight="1" x14ac:dyDescent="0.2">
      <c r="A39" s="2497">
        <v>31</v>
      </c>
      <c r="B39" s="2622" t="s">
        <v>10435</v>
      </c>
      <c r="C39" s="3031" t="s">
        <v>10436</v>
      </c>
      <c r="D39" s="3032">
        <v>48</v>
      </c>
      <c r="E39" s="3033">
        <v>42</v>
      </c>
      <c r="F39" s="2530">
        <v>215530000</v>
      </c>
      <c r="G39" s="2530">
        <v>82422588</v>
      </c>
      <c r="H39" s="3034">
        <f t="shared" si="2"/>
        <v>1717137.25</v>
      </c>
      <c r="I39" s="2530">
        <v>828702</v>
      </c>
      <c r="J39" s="2614"/>
      <c r="K39" s="2530">
        <v>250269</v>
      </c>
      <c r="L39" s="2512" t="s">
        <v>10433</v>
      </c>
      <c r="M39" s="2614"/>
      <c r="N39" s="2488" t="s">
        <v>10433</v>
      </c>
      <c r="O39" s="2479" t="str">
        <f t="shared" si="1"/>
        <v>Foote Creek I</v>
      </c>
    </row>
    <row r="40" spans="1:15" ht="16.7" customHeight="1" x14ac:dyDescent="0.2">
      <c r="A40" s="2497">
        <v>32</v>
      </c>
      <c r="B40" s="2622" t="s">
        <v>10437</v>
      </c>
      <c r="C40" s="3031" t="s">
        <v>10438</v>
      </c>
      <c r="D40" s="3032">
        <v>25.2</v>
      </c>
      <c r="E40" s="3033">
        <v>25</v>
      </c>
      <c r="F40" s="2530">
        <v>14560139</v>
      </c>
      <c r="G40" s="2530">
        <v>41808323</v>
      </c>
      <c r="H40" s="3034">
        <f t="shared" si="2"/>
        <v>1659060.4365079366</v>
      </c>
      <c r="I40" s="2530">
        <v>44245</v>
      </c>
      <c r="J40" s="2614"/>
      <c r="K40" s="2530">
        <v>13715</v>
      </c>
      <c r="L40" s="2512" t="s">
        <v>10433</v>
      </c>
      <c r="M40" s="2614"/>
      <c r="N40" s="2488" t="s">
        <v>10433</v>
      </c>
      <c r="O40" s="2479" t="str">
        <f t="shared" si="1"/>
        <v>Foote Creek III</v>
      </c>
    </row>
    <row r="41" spans="1:15" ht="16.7" customHeight="1" x14ac:dyDescent="0.2">
      <c r="A41" s="2497">
        <v>33</v>
      </c>
      <c r="B41" s="2622" t="s">
        <v>10439</v>
      </c>
      <c r="C41" s="3031" t="s">
        <v>10438</v>
      </c>
      <c r="D41" s="3032">
        <v>21</v>
      </c>
      <c r="E41" s="3033">
        <v>18</v>
      </c>
      <c r="F41" s="2530">
        <v>11625078</v>
      </c>
      <c r="G41" s="2530">
        <v>33992214</v>
      </c>
      <c r="H41" s="3034">
        <f t="shared" si="2"/>
        <v>1618676.857142857</v>
      </c>
      <c r="I41" s="2530">
        <v>30032</v>
      </c>
      <c r="J41" s="2614"/>
      <c r="K41" s="2530">
        <v>9310</v>
      </c>
      <c r="L41" s="2512" t="s">
        <v>10433</v>
      </c>
      <c r="M41" s="2614"/>
      <c r="N41" s="2488" t="s">
        <v>10433</v>
      </c>
      <c r="O41" s="2479" t="str">
        <f t="shared" si="1"/>
        <v>Foote Creek IV</v>
      </c>
    </row>
    <row r="42" spans="1:15" ht="16.7" customHeight="1" x14ac:dyDescent="0.2">
      <c r="A42" s="2497">
        <v>34</v>
      </c>
      <c r="B42" s="2622" t="s">
        <v>10440</v>
      </c>
      <c r="C42" s="3031" t="s">
        <v>10441</v>
      </c>
      <c r="D42" s="3032">
        <v>119.3</v>
      </c>
      <c r="E42" s="3033">
        <v>105</v>
      </c>
      <c r="F42" s="2530">
        <v>229375000</v>
      </c>
      <c r="G42" s="2530">
        <v>193150606</v>
      </c>
      <c r="H42" s="3034">
        <f t="shared" si="2"/>
        <v>1619032.7409891032</v>
      </c>
      <c r="I42" s="2530">
        <v>1981212</v>
      </c>
      <c r="J42" s="2614"/>
      <c r="K42" s="2530">
        <v>2008781</v>
      </c>
      <c r="L42" s="2512" t="s">
        <v>10433</v>
      </c>
      <c r="M42" s="2614"/>
      <c r="N42" s="2488" t="s">
        <v>10433</v>
      </c>
      <c r="O42" s="2479" t="str">
        <f t="shared" si="1"/>
        <v>Glenrock</v>
      </c>
    </row>
    <row r="43" spans="1:15" ht="16.7" customHeight="1" x14ac:dyDescent="0.2">
      <c r="A43" s="2497">
        <v>35</v>
      </c>
      <c r="B43" s="2622" t="s">
        <v>10442</v>
      </c>
      <c r="C43" s="3031" t="s">
        <v>10443</v>
      </c>
      <c r="D43" s="3032">
        <v>46</v>
      </c>
      <c r="E43" s="3033">
        <v>44</v>
      </c>
      <c r="F43" s="2530">
        <v>84690000</v>
      </c>
      <c r="G43" s="2530">
        <v>81577963</v>
      </c>
      <c r="H43" s="3034">
        <f t="shared" si="2"/>
        <v>1773433.9782608696</v>
      </c>
      <c r="I43" s="2530">
        <v>175268</v>
      </c>
      <c r="J43" s="2614"/>
      <c r="K43" s="2530">
        <v>574594</v>
      </c>
      <c r="L43" s="2512" t="s">
        <v>10433</v>
      </c>
      <c r="M43" s="2614"/>
      <c r="N43" s="2488" t="s">
        <v>10433</v>
      </c>
      <c r="O43" s="2479" t="str">
        <f t="shared" si="1"/>
        <v>Glenrock III</v>
      </c>
    </row>
    <row r="44" spans="1:15" ht="16.7" customHeight="1" x14ac:dyDescent="0.2">
      <c r="A44" s="2497">
        <v>36</v>
      </c>
      <c r="B44" s="2622" t="s">
        <v>10444</v>
      </c>
      <c r="C44" s="3031" t="s">
        <v>10441</v>
      </c>
      <c r="D44" s="3032">
        <v>103.4</v>
      </c>
      <c r="E44" s="3033">
        <v>94</v>
      </c>
      <c r="F44" s="2530">
        <v>223909000</v>
      </c>
      <c r="G44" s="2530">
        <v>155700092</v>
      </c>
      <c r="H44" s="3034">
        <f t="shared" si="2"/>
        <v>1505803.5976789168</v>
      </c>
      <c r="I44" s="2530">
        <v>1569034</v>
      </c>
      <c r="J44" s="2614"/>
      <c r="K44" s="2530">
        <v>108817</v>
      </c>
      <c r="L44" s="2512" t="s">
        <v>10433</v>
      </c>
      <c r="M44" s="2614"/>
      <c r="N44" s="2488" t="s">
        <v>10433</v>
      </c>
      <c r="O44" s="2479" t="str">
        <f t="shared" si="1"/>
        <v>Goodnoe Hills</v>
      </c>
    </row>
    <row r="45" spans="1:15" ht="16.7" customHeight="1" x14ac:dyDescent="0.2">
      <c r="A45" s="2497">
        <v>37</v>
      </c>
      <c r="B45" s="2622" t="s">
        <v>10445</v>
      </c>
      <c r="C45" s="3031" t="s">
        <v>10443</v>
      </c>
      <c r="D45" s="3032">
        <v>122.1</v>
      </c>
      <c r="E45" s="3033">
        <v>102</v>
      </c>
      <c r="F45" s="2530">
        <v>342139000</v>
      </c>
      <c r="G45" s="2530">
        <v>190502873</v>
      </c>
      <c r="H45" s="3034">
        <f t="shared" si="2"/>
        <v>1560220.0900900902</v>
      </c>
      <c r="I45" s="2530">
        <v>1459637</v>
      </c>
      <c r="J45" s="2614"/>
      <c r="K45" s="2530">
        <v>1435686</v>
      </c>
      <c r="L45" s="2512" t="s">
        <v>10433</v>
      </c>
      <c r="M45" s="2614"/>
      <c r="N45" s="2488" t="s">
        <v>10433</v>
      </c>
      <c r="O45" s="2479" t="str">
        <f t="shared" si="1"/>
        <v>High Plains</v>
      </c>
    </row>
    <row r="46" spans="1:15" ht="16.7" customHeight="1" x14ac:dyDescent="0.2">
      <c r="A46" s="2497">
        <v>38</v>
      </c>
      <c r="B46" s="2622" t="s">
        <v>10446</v>
      </c>
      <c r="C46" s="3031" t="s">
        <v>10447</v>
      </c>
      <c r="D46" s="3032">
        <v>110.38</v>
      </c>
      <c r="E46" s="3033">
        <v>102</v>
      </c>
      <c r="F46" s="2530">
        <v>254658000</v>
      </c>
      <c r="G46" s="2530">
        <v>177876957</v>
      </c>
      <c r="H46" s="3034">
        <f t="shared" si="2"/>
        <v>1611496.2583801413</v>
      </c>
      <c r="I46" s="2530">
        <v>1948711</v>
      </c>
      <c r="J46" s="2614"/>
      <c r="K46" s="2530">
        <v>133102</v>
      </c>
      <c r="L46" s="2512" t="s">
        <v>10433</v>
      </c>
      <c r="M46" s="2614"/>
      <c r="N46" s="2488" t="s">
        <v>10433</v>
      </c>
      <c r="O46" s="2479" t="str">
        <f t="shared" si="1"/>
        <v>Leaning Juniper 1</v>
      </c>
    </row>
    <row r="47" spans="1:15" ht="16.7" customHeight="1" x14ac:dyDescent="0.2">
      <c r="A47" s="2497">
        <v>39</v>
      </c>
      <c r="B47" s="2622" t="s">
        <v>10448</v>
      </c>
      <c r="C47" s="3031" t="s">
        <v>10300</v>
      </c>
      <c r="D47" s="3032">
        <v>156</v>
      </c>
      <c r="E47" s="3033">
        <v>154</v>
      </c>
      <c r="F47" s="2530">
        <v>369925000</v>
      </c>
      <c r="G47" s="2530">
        <v>213550991</v>
      </c>
      <c r="H47" s="3034">
        <f t="shared" si="2"/>
        <v>1368916.608974359</v>
      </c>
      <c r="I47" s="2530">
        <v>1085815</v>
      </c>
      <c r="J47" s="2614"/>
      <c r="K47" s="2530">
        <v>1573392</v>
      </c>
      <c r="L47" s="2512" t="s">
        <v>10433</v>
      </c>
      <c r="M47" s="2614"/>
      <c r="N47" s="2488" t="s">
        <v>10433</v>
      </c>
      <c r="O47" s="2479" t="str">
        <f t="shared" si="1"/>
        <v>Marengo</v>
      </c>
    </row>
    <row r="48" spans="1:15" ht="16.7" customHeight="1" x14ac:dyDescent="0.2">
      <c r="A48" s="2497">
        <v>40</v>
      </c>
      <c r="B48" s="2622" t="s">
        <v>10449</v>
      </c>
      <c r="C48" s="3031" t="s">
        <v>10441</v>
      </c>
      <c r="D48" s="3032">
        <v>78</v>
      </c>
      <c r="E48" s="3033">
        <v>77</v>
      </c>
      <c r="F48" s="2530">
        <v>190643000</v>
      </c>
      <c r="G48" s="2530">
        <v>111016021</v>
      </c>
      <c r="H48" s="3034">
        <f t="shared" si="2"/>
        <v>1423282.3205128205</v>
      </c>
      <c r="I48" s="2530">
        <v>587375</v>
      </c>
      <c r="J48" s="2614"/>
      <c r="K48" s="2530">
        <v>786697</v>
      </c>
      <c r="L48" s="2512" t="s">
        <v>10433</v>
      </c>
      <c r="M48" s="2614"/>
      <c r="N48" s="2488" t="s">
        <v>10433</v>
      </c>
      <c r="O48" s="2479" t="str">
        <f t="shared" si="1"/>
        <v>Marengo II</v>
      </c>
    </row>
    <row r="49" spans="1:15" ht="16.7" customHeight="1" x14ac:dyDescent="0.2">
      <c r="A49" s="2497">
        <v>41</v>
      </c>
      <c r="B49" s="2622" t="s">
        <v>10450</v>
      </c>
      <c r="C49" s="3031" t="s">
        <v>10443</v>
      </c>
      <c r="D49" s="3032">
        <v>35.15</v>
      </c>
      <c r="E49" s="3033">
        <v>33</v>
      </c>
      <c r="F49" s="2530">
        <v>104346000</v>
      </c>
      <c r="G49" s="2530">
        <v>52781371</v>
      </c>
      <c r="H49" s="3034">
        <f t="shared" si="2"/>
        <v>1501603.7268847795</v>
      </c>
      <c r="I49" s="2530">
        <v>418266</v>
      </c>
      <c r="J49" s="2614"/>
      <c r="K49" s="2530">
        <v>426748</v>
      </c>
      <c r="L49" s="2512" t="s">
        <v>10433</v>
      </c>
      <c r="M49" s="2614"/>
      <c r="N49" s="2488" t="s">
        <v>10433</v>
      </c>
      <c r="O49" s="2479" t="str">
        <f t="shared" si="1"/>
        <v>McFadden Ridge I</v>
      </c>
    </row>
    <row r="50" spans="1:15" ht="16.7" customHeight="1" x14ac:dyDescent="0.2">
      <c r="A50" s="2497">
        <v>42</v>
      </c>
      <c r="B50" s="2622" t="s">
        <v>2592</v>
      </c>
      <c r="C50" s="3031" t="s">
        <v>2599</v>
      </c>
      <c r="D50" s="3032">
        <v>239.8</v>
      </c>
      <c r="E50" s="3033">
        <v>186</v>
      </c>
      <c r="F50" s="2530">
        <v>723768000</v>
      </c>
      <c r="G50" s="2530">
        <v>399514684</v>
      </c>
      <c r="H50" s="3034">
        <f t="shared" si="2"/>
        <v>1666032.8773978315</v>
      </c>
      <c r="I50" s="2530">
        <v>1112265</v>
      </c>
      <c r="J50" s="2614"/>
      <c r="K50" s="2530">
        <v>2879362</v>
      </c>
      <c r="L50" s="2512" t="s">
        <v>10433</v>
      </c>
      <c r="M50" s="2614"/>
      <c r="N50" s="2488" t="s">
        <v>10433</v>
      </c>
      <c r="O50" s="2479" t="str">
        <f t="shared" si="1"/>
        <v>Pryor Mountain</v>
      </c>
    </row>
    <row r="51" spans="1:15" ht="16.7" customHeight="1" x14ac:dyDescent="0.2">
      <c r="A51" s="2497">
        <v>43</v>
      </c>
      <c r="B51" s="2622" t="s">
        <v>10451</v>
      </c>
      <c r="C51" s="3031" t="s">
        <v>10443</v>
      </c>
      <c r="D51" s="3032">
        <v>115.8</v>
      </c>
      <c r="E51" s="3033">
        <v>106</v>
      </c>
      <c r="F51" s="2530">
        <v>187786000</v>
      </c>
      <c r="G51" s="2530">
        <v>197323037</v>
      </c>
      <c r="H51" s="3034">
        <f t="shared" si="2"/>
        <v>1703998.5924006908</v>
      </c>
      <c r="I51" s="2530">
        <v>139304</v>
      </c>
      <c r="J51" s="2614"/>
      <c r="K51" s="2530">
        <v>61506</v>
      </c>
      <c r="L51" s="2512" t="s">
        <v>10433</v>
      </c>
      <c r="M51" s="2614"/>
      <c r="N51" s="2488" t="s">
        <v>10433</v>
      </c>
      <c r="O51" s="2479" t="str">
        <f t="shared" si="1"/>
        <v>Rolling Hills</v>
      </c>
    </row>
    <row r="52" spans="1:15" ht="16.7" customHeight="1" x14ac:dyDescent="0.2">
      <c r="A52" s="2497">
        <v>44</v>
      </c>
      <c r="B52" s="2622" t="s">
        <v>2580</v>
      </c>
      <c r="C52" s="3031" t="s">
        <v>10441</v>
      </c>
      <c r="D52" s="3032">
        <v>122.1</v>
      </c>
      <c r="E52" s="3033">
        <v>108</v>
      </c>
      <c r="F52" s="2530">
        <v>381599000</v>
      </c>
      <c r="G52" s="2530">
        <v>188743730</v>
      </c>
      <c r="H52" s="3034">
        <f t="shared" si="2"/>
        <v>1545812.6945126946</v>
      </c>
      <c r="I52" s="2530">
        <v>479121</v>
      </c>
      <c r="J52" s="2614"/>
      <c r="K52" s="2530">
        <v>248196</v>
      </c>
      <c r="L52" s="2512" t="s">
        <v>10433</v>
      </c>
      <c r="M52" s="2614"/>
      <c r="N52" s="2488" t="s">
        <v>10433</v>
      </c>
      <c r="O52" s="2479" t="str">
        <f t="shared" si="1"/>
        <v>Seven Mile Hill</v>
      </c>
    </row>
    <row r="53" spans="1:15" ht="16.7" customHeight="1" x14ac:dyDescent="0.2">
      <c r="A53" s="2989">
        <v>44.01</v>
      </c>
      <c r="B53" s="2622" t="s">
        <v>10452</v>
      </c>
      <c r="C53" s="3031" t="s">
        <v>10441</v>
      </c>
      <c r="D53" s="3032">
        <v>24.05</v>
      </c>
      <c r="E53" s="3033">
        <v>23</v>
      </c>
      <c r="F53" s="2530">
        <v>81561000</v>
      </c>
      <c r="G53" s="2530">
        <v>38548110</v>
      </c>
      <c r="H53" s="3034">
        <f t="shared" si="2"/>
        <v>1602832.0166320165</v>
      </c>
      <c r="I53" s="2530">
        <v>94162</v>
      </c>
      <c r="J53" s="2614"/>
      <c r="K53" s="2530">
        <v>53299</v>
      </c>
      <c r="L53" s="2512" t="s">
        <v>10433</v>
      </c>
      <c r="M53" s="2614"/>
      <c r="N53" s="2488" t="s">
        <v>10433</v>
      </c>
      <c r="O53" s="2479" t="str">
        <f t="shared" si="1"/>
        <v>Seven Mile Hill II</v>
      </c>
    </row>
    <row r="54" spans="1:15" ht="16.7" customHeight="1" x14ac:dyDescent="0.2">
      <c r="A54" s="2989">
        <v>44.02</v>
      </c>
      <c r="B54" s="2622" t="s">
        <v>10453</v>
      </c>
      <c r="C54" s="3031" t="s">
        <v>2599</v>
      </c>
      <c r="D54" s="3032">
        <v>503.2</v>
      </c>
      <c r="E54" s="3033">
        <v>474</v>
      </c>
      <c r="F54" s="2530">
        <v>1316768000</v>
      </c>
      <c r="G54" s="2530">
        <v>598264668</v>
      </c>
      <c r="H54" s="3034">
        <f t="shared" si="2"/>
        <v>1188920.2464228936</v>
      </c>
      <c r="I54" s="2530">
        <v>2942484</v>
      </c>
      <c r="J54" s="2614"/>
      <c r="K54" s="2530">
        <v>3898631</v>
      </c>
      <c r="L54" s="2512" t="s">
        <v>10433</v>
      </c>
      <c r="M54" s="2614"/>
      <c r="N54" s="2488" t="s">
        <v>10433</v>
      </c>
      <c r="O54" s="2479" t="str">
        <f t="shared" si="1"/>
        <v>TB Flats</v>
      </c>
    </row>
    <row r="55" spans="1:15" ht="16.7" customHeight="1" x14ac:dyDescent="0.2">
      <c r="A55" s="2497">
        <v>45</v>
      </c>
      <c r="B55" s="2622"/>
      <c r="C55" s="3029"/>
      <c r="D55" s="2614"/>
      <c r="E55" s="2614"/>
      <c r="F55" s="2614"/>
      <c r="G55" s="2614"/>
      <c r="H55" s="3036"/>
      <c r="I55" s="2614"/>
      <c r="J55" s="2614"/>
      <c r="K55" s="2614"/>
      <c r="L55" s="2512"/>
      <c r="M55" s="2614"/>
      <c r="N55" s="2488"/>
      <c r="O55" s="2595">
        <f t="shared" si="1"/>
        <v>0</v>
      </c>
    </row>
    <row r="56" spans="1:15" ht="16.7" customHeight="1" x14ac:dyDescent="0.2">
      <c r="A56" s="2497">
        <v>46</v>
      </c>
      <c r="B56" s="3035" t="s">
        <v>10454</v>
      </c>
      <c r="C56" s="3031" t="s">
        <v>10455</v>
      </c>
      <c r="D56" s="3032">
        <v>2</v>
      </c>
      <c r="E56" s="3033">
        <v>1.9</v>
      </c>
      <c r="F56" s="2530">
        <v>3812089</v>
      </c>
      <c r="G56" s="2530">
        <v>578966</v>
      </c>
      <c r="H56" s="3034">
        <f>G56/D56</f>
        <v>289483</v>
      </c>
      <c r="I56" s="2530">
        <v>421397</v>
      </c>
      <c r="J56" s="2614"/>
      <c r="K56" s="2614"/>
      <c r="L56" s="2512" t="s">
        <v>10456</v>
      </c>
      <c r="M56" s="2614"/>
      <c r="N56" s="2488" t="s">
        <v>10456</v>
      </c>
      <c r="O56" s="2479" t="str">
        <f t="shared" si="1"/>
        <v>Black Cap</v>
      </c>
    </row>
    <row r="57" spans="1:15" ht="16.7" customHeight="1" x14ac:dyDescent="0.2">
      <c r="A57" s="2535"/>
      <c r="B57" s="2516"/>
      <c r="C57" s="2516"/>
      <c r="D57" s="2516"/>
      <c r="E57" s="2516"/>
      <c r="F57" s="2516"/>
      <c r="G57" s="2516"/>
      <c r="H57" s="2516"/>
      <c r="I57" s="2516"/>
      <c r="J57" s="2516"/>
      <c r="K57" s="2516"/>
      <c r="L57" s="2516"/>
      <c r="M57" s="2516"/>
      <c r="N57" s="2516"/>
    </row>
    <row r="58" spans="1:15" ht="16.7" customHeight="1" x14ac:dyDescent="0.2"/>
    <row r="59" spans="1:15" ht="16.7" customHeight="1" x14ac:dyDescent="0.2"/>
    <row r="60" spans="1:15" ht="16.7" customHeight="1" x14ac:dyDescent="0.2"/>
    <row r="61" spans="1:15" ht="16.7" customHeight="1" x14ac:dyDescent="0.2"/>
    <row r="62" spans="1:15" ht="16.7" customHeight="1" x14ac:dyDescent="0.2"/>
    <row r="63" spans="1:15" ht="16.7" customHeight="1" x14ac:dyDescent="0.2"/>
    <row r="64" spans="1:15" ht="16.7" customHeight="1" x14ac:dyDescent="0.2"/>
    <row r="65" ht="16.7" customHeight="1" x14ac:dyDescent="0.2"/>
    <row r="66" ht="16.7" customHeight="1" x14ac:dyDescent="0.2"/>
    <row r="67" ht="16.7" customHeight="1" x14ac:dyDescent="0.2"/>
    <row r="68" ht="16.7" customHeight="1" x14ac:dyDescent="0.2"/>
    <row r="69" ht="16.7" customHeight="1" x14ac:dyDescent="0.2"/>
    <row r="70" ht="16.7" customHeight="1" x14ac:dyDescent="0.2"/>
    <row r="71" ht="16.7" customHeight="1" x14ac:dyDescent="0.2"/>
    <row r="72" ht="16.7" customHeight="1" x14ac:dyDescent="0.2"/>
    <row r="73" ht="16.7" customHeight="1" x14ac:dyDescent="0.2"/>
    <row r="74" ht="16.7" customHeight="1" x14ac:dyDescent="0.2"/>
    <row r="75" ht="16.7" customHeight="1" x14ac:dyDescent="0.2"/>
    <row r="76" ht="16.7" customHeight="1" x14ac:dyDescent="0.2"/>
    <row r="77" ht="16.7" customHeight="1" x14ac:dyDescent="0.2"/>
    <row r="78" ht="16.7" customHeight="1" x14ac:dyDescent="0.2"/>
    <row r="79" ht="16.7" customHeight="1" x14ac:dyDescent="0.2"/>
    <row r="80" ht="16.7" customHeight="1" x14ac:dyDescent="0.2"/>
    <row r="81" ht="16.7" customHeight="1" x14ac:dyDescent="0.2"/>
    <row r="82" ht="16.7" customHeight="1" x14ac:dyDescent="0.2"/>
    <row r="83" ht="16.7" customHeight="1" x14ac:dyDescent="0.2"/>
    <row r="84" ht="16.7" customHeight="1" x14ac:dyDescent="0.2"/>
    <row r="85" ht="16.7" customHeight="1" x14ac:dyDescent="0.2"/>
    <row r="86" ht="16.7" customHeight="1" x14ac:dyDescent="0.2"/>
    <row r="87" ht="16.7" customHeight="1" x14ac:dyDescent="0.2"/>
    <row r="88" ht="16.7" customHeight="1" x14ac:dyDescent="0.2"/>
    <row r="89" ht="16.7" customHeight="1" x14ac:dyDescent="0.2"/>
    <row r="90" ht="16.7" customHeight="1" x14ac:dyDescent="0.2"/>
    <row r="91" ht="16.7" customHeight="1" x14ac:dyDescent="0.2"/>
    <row r="92" ht="16.7" customHeight="1" x14ac:dyDescent="0.2"/>
    <row r="93" ht="16.7" customHeight="1" x14ac:dyDescent="0.2"/>
    <row r="94" ht="16.7" customHeight="1" x14ac:dyDescent="0.2"/>
    <row r="95" ht="16.7" customHeight="1" x14ac:dyDescent="0.2"/>
    <row r="96" ht="16.7" customHeight="1" x14ac:dyDescent="0.2"/>
    <row r="97" ht="16.7" customHeight="1" x14ac:dyDescent="0.2"/>
    <row r="98" ht="16.7" customHeight="1" x14ac:dyDescent="0.2"/>
    <row r="99" ht="16.7" customHeight="1" x14ac:dyDescent="0.2"/>
    <row r="100" ht="16.7" customHeight="1" x14ac:dyDescent="0.2"/>
    <row r="101" ht="16.7" customHeight="1" x14ac:dyDescent="0.2"/>
    <row r="102" ht="16.7" customHeight="1" x14ac:dyDescent="0.2"/>
    <row r="103" ht="16.7" customHeight="1" x14ac:dyDescent="0.2"/>
    <row r="104" ht="16.7" customHeight="1" x14ac:dyDescent="0.2"/>
    <row r="105" ht="16.7" customHeight="1" x14ac:dyDescent="0.2"/>
    <row r="106" ht="16.7" customHeight="1" x14ac:dyDescent="0.2"/>
  </sheetData>
  <mergeCells count="16">
    <mergeCell ref="N6:N7"/>
    <mergeCell ref="A3:M3"/>
    <mergeCell ref="A4:M4"/>
    <mergeCell ref="A5:M5"/>
    <mergeCell ref="A6:A8"/>
    <mergeCell ref="B6:B7"/>
    <mergeCell ref="C6:C7"/>
    <mergeCell ref="D6:D7"/>
    <mergeCell ref="E6:E7"/>
    <mergeCell ref="F6:F7"/>
    <mergeCell ref="G6:G7"/>
    <mergeCell ref="H6:H7"/>
    <mergeCell ref="I6:I7"/>
    <mergeCell ref="J6:K6"/>
    <mergeCell ref="L6:L7"/>
    <mergeCell ref="M6:M7"/>
  </mergeCells>
  <dataValidations count="1">
    <dataValidation type="list" allowBlank="1" sqref="N9:N56" xr:uid="{B6CB424F-E518-4A49-9B24-EAB2F1EC7A22}">
      <formula1>"Hydro,Nuclear,Steam,Internal Combustion,Gas Turbine,Solar,Wind,Other"</formula1>
    </dataValidation>
  </dataValidations>
  <pageMargins left="0.75" right="0.75" top="1" bottom="1" header="0.5" footer="0.5"/>
  <customProperties>
    <customPr name="_pios_id" r:id="rId1"/>
  </customProperties>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E54EDC-5693-4276-A6DB-279314E060CF}">
  <sheetPr codeName="Sheet102"/>
  <dimension ref="A1:F66"/>
  <sheetViews>
    <sheetView showRuler="0" workbookViewId="0"/>
  </sheetViews>
  <sheetFormatPr defaultColWidth="11.5" defaultRowHeight="12.75" x14ac:dyDescent="0.2"/>
  <cols>
    <col min="1" max="1" width="3.875" style="1953" customWidth="1"/>
    <col min="2" max="2" width="15.875" style="1953" customWidth="1"/>
    <col min="3" max="3" width="13.75" style="1953" customWidth="1"/>
    <col min="4" max="4" width="11.5" style="1953"/>
    <col min="5" max="5" width="25.875" style="1953" customWidth="1"/>
    <col min="6" max="16384" width="11.5" style="1953"/>
  </cols>
  <sheetData>
    <row r="1" spans="1:5" ht="15" customHeight="1" x14ac:dyDescent="0.2"/>
    <row r="2" spans="1:5" ht="29.1" customHeight="1" x14ac:dyDescent="0.2">
      <c r="B2" s="4168" t="s">
        <v>10457</v>
      </c>
      <c r="C2" s="4169"/>
      <c r="D2" s="4170"/>
      <c r="E2" s="3037" t="s">
        <v>8351</v>
      </c>
    </row>
    <row r="3" spans="1:5" ht="15" customHeight="1" x14ac:dyDescent="0.2">
      <c r="B3" s="2483"/>
      <c r="C3" s="2483"/>
      <c r="D3" s="2516"/>
    </row>
    <row r="4" spans="1:5" ht="15" customHeight="1" x14ac:dyDescent="0.2">
      <c r="A4" s="3898" t="s">
        <v>6360</v>
      </c>
      <c r="B4" s="2581" t="s">
        <v>10382</v>
      </c>
      <c r="C4" s="3898" t="s">
        <v>10332</v>
      </c>
      <c r="D4" s="2479"/>
    </row>
    <row r="5" spans="1:5" ht="15" customHeight="1" x14ac:dyDescent="0.2">
      <c r="A5" s="3987"/>
      <c r="B5" s="2586"/>
      <c r="C5" s="3987"/>
      <c r="D5" s="2479"/>
    </row>
    <row r="6" spans="1:5" ht="15" customHeight="1" x14ac:dyDescent="0.2">
      <c r="A6" s="3923"/>
      <c r="B6" s="2589" t="s">
        <v>5949</v>
      </c>
      <c r="C6" s="2589" t="s">
        <v>5804</v>
      </c>
      <c r="D6" s="2479"/>
    </row>
    <row r="7" spans="1:5" ht="15" customHeight="1" x14ac:dyDescent="0.2">
      <c r="A7" s="2489"/>
      <c r="B7" s="2488" t="s">
        <v>10458</v>
      </c>
      <c r="C7" s="2530">
        <v>34910236</v>
      </c>
      <c r="D7" s="2479"/>
    </row>
    <row r="8" spans="1:5" ht="15" customHeight="1" x14ac:dyDescent="0.2">
      <c r="A8" s="2489"/>
      <c r="B8" s="2488" t="s">
        <v>10395</v>
      </c>
      <c r="C8" s="2530">
        <v>5208260</v>
      </c>
      <c r="D8" s="2479"/>
    </row>
    <row r="9" spans="1:5" ht="15" customHeight="1" x14ac:dyDescent="0.2">
      <c r="A9" s="2489"/>
      <c r="B9" s="2488" t="s">
        <v>10459</v>
      </c>
      <c r="C9" s="2530">
        <v>13942832</v>
      </c>
      <c r="D9" s="2479"/>
    </row>
    <row r="10" spans="1:5" ht="15" customHeight="1" x14ac:dyDescent="0.2">
      <c r="A10" s="2489"/>
      <c r="B10" s="2488" t="s">
        <v>10399</v>
      </c>
      <c r="C10" s="2530">
        <v>4006491</v>
      </c>
      <c r="D10" s="2479"/>
    </row>
    <row r="11" spans="1:5" ht="15" customHeight="1" x14ac:dyDescent="0.2">
      <c r="A11" s="2489"/>
      <c r="B11" s="2488" t="s">
        <v>10460</v>
      </c>
      <c r="C11" s="2530">
        <v>1738589</v>
      </c>
      <c r="D11" s="2479"/>
    </row>
    <row r="12" spans="1:5" ht="15" customHeight="1" x14ac:dyDescent="0.2">
      <c r="A12" s="2489"/>
      <c r="B12" s="2512" t="s">
        <v>10461</v>
      </c>
      <c r="C12" s="2530">
        <v>2878265</v>
      </c>
      <c r="D12" s="2479"/>
    </row>
    <row r="13" spans="1:5" ht="15" customHeight="1" x14ac:dyDescent="0.2">
      <c r="A13" s="2489"/>
      <c r="B13" s="2512" t="s">
        <v>10404</v>
      </c>
      <c r="C13" s="2530">
        <v>5431384</v>
      </c>
      <c r="D13" s="2479"/>
    </row>
    <row r="14" spans="1:5" ht="15" customHeight="1" x14ac:dyDescent="0.2">
      <c r="A14" s="2489"/>
      <c r="B14" s="2512" t="s">
        <v>10406</v>
      </c>
      <c r="C14" s="2530">
        <v>690253</v>
      </c>
      <c r="D14" s="2479"/>
    </row>
    <row r="15" spans="1:5" ht="15" customHeight="1" x14ac:dyDescent="0.2">
      <c r="A15" s="2489"/>
      <c r="B15" s="2512" t="s">
        <v>10407</v>
      </c>
      <c r="C15" s="2888">
        <f>3225658-1</f>
        <v>3225657</v>
      </c>
      <c r="D15" s="2479"/>
    </row>
    <row r="16" spans="1:5" ht="15" customHeight="1" x14ac:dyDescent="0.2">
      <c r="A16" s="2489"/>
      <c r="B16" s="2512" t="s">
        <v>10462</v>
      </c>
      <c r="C16" s="2530">
        <v>766477</v>
      </c>
      <c r="D16" s="2479"/>
    </row>
    <row r="17" spans="1:6" ht="15" customHeight="1" x14ac:dyDescent="0.2">
      <c r="A17" s="2489"/>
      <c r="B17" s="2512" t="s">
        <v>10463</v>
      </c>
      <c r="C17" s="2530">
        <v>12838666</v>
      </c>
      <c r="D17" s="2479"/>
    </row>
    <row r="18" spans="1:6" ht="15" customHeight="1" x14ac:dyDescent="0.2">
      <c r="A18" s="2489"/>
      <c r="B18" s="2512" t="s">
        <v>10464</v>
      </c>
      <c r="C18" s="2530">
        <v>5561598</v>
      </c>
      <c r="D18" s="2479"/>
    </row>
    <row r="19" spans="1:6" ht="15" customHeight="1" x14ac:dyDescent="0.2">
      <c r="A19" s="2489"/>
      <c r="B19" s="2512" t="s">
        <v>10465</v>
      </c>
      <c r="C19" s="2530">
        <v>11553486</v>
      </c>
      <c r="D19" s="2479"/>
    </row>
    <row r="20" spans="1:6" ht="15" customHeight="1" x14ac:dyDescent="0.2">
      <c r="A20" s="2489"/>
      <c r="B20" s="2512" t="s">
        <v>10466</v>
      </c>
      <c r="C20" s="2530">
        <v>2551528</v>
      </c>
      <c r="D20" s="2479"/>
    </row>
    <row r="21" spans="1:6" ht="15" customHeight="1" x14ac:dyDescent="0.2">
      <c r="A21" s="2489"/>
      <c r="B21" s="2512" t="s">
        <v>10418</v>
      </c>
      <c r="C21" s="2530">
        <v>1176961</v>
      </c>
      <c r="D21" s="2479"/>
    </row>
    <row r="22" spans="1:6" ht="15" customHeight="1" x14ac:dyDescent="0.2">
      <c r="A22" s="2489"/>
      <c r="B22" s="2512" t="s">
        <v>10467</v>
      </c>
      <c r="C22" s="2530">
        <v>3069520</v>
      </c>
      <c r="D22" s="2479"/>
    </row>
    <row r="23" spans="1:6" ht="15" customHeight="1" x14ac:dyDescent="0.2">
      <c r="A23" s="2489"/>
      <c r="B23" s="2512" t="s">
        <v>10422</v>
      </c>
      <c r="C23" s="2530">
        <v>940897</v>
      </c>
      <c r="D23" s="2479"/>
    </row>
    <row r="24" spans="1:6" ht="15" customHeight="1" x14ac:dyDescent="0.2">
      <c r="A24" s="2489"/>
      <c r="B24" s="2512" t="s">
        <v>10423</v>
      </c>
      <c r="C24" s="2530">
        <v>1232115</v>
      </c>
      <c r="D24" s="2479"/>
    </row>
    <row r="25" spans="1:6" ht="15" customHeight="1" x14ac:dyDescent="0.2">
      <c r="A25" s="2489"/>
      <c r="B25" s="2512" t="s">
        <v>10468</v>
      </c>
      <c r="C25" s="2530">
        <v>5839650</v>
      </c>
      <c r="D25" s="2479"/>
    </row>
    <row r="26" spans="1:6" ht="15" customHeight="1" x14ac:dyDescent="0.2">
      <c r="A26" s="2489"/>
      <c r="B26" s="2512" t="s">
        <v>10469</v>
      </c>
      <c r="C26" s="2530">
        <v>4051414</v>
      </c>
      <c r="D26" s="2479"/>
    </row>
    <row r="27" spans="1:6" ht="15" customHeight="1" x14ac:dyDescent="0.2">
      <c r="A27" s="2489"/>
      <c r="B27" s="2512" t="s">
        <v>10470</v>
      </c>
      <c r="C27" s="2530">
        <v>577606</v>
      </c>
      <c r="D27" s="2479"/>
    </row>
    <row r="28" spans="1:6" ht="15" customHeight="1" x14ac:dyDescent="0.2">
      <c r="A28" s="2489"/>
      <c r="B28" s="2512" t="s">
        <v>10471</v>
      </c>
      <c r="C28" s="2530">
        <v>7998759</v>
      </c>
      <c r="D28" s="2479"/>
    </row>
    <row r="29" spans="1:6" ht="15" customHeight="1" x14ac:dyDescent="0.2">
      <c r="A29" s="2489"/>
      <c r="B29" s="2512" t="s">
        <v>10472</v>
      </c>
      <c r="C29" s="2530">
        <v>3836001</v>
      </c>
      <c r="D29" s="2479"/>
    </row>
    <row r="30" spans="1:6" ht="15" customHeight="1" x14ac:dyDescent="0.2">
      <c r="A30" s="2489"/>
      <c r="B30" s="2512" t="s">
        <v>10473</v>
      </c>
      <c r="C30" s="2530">
        <v>20358278</v>
      </c>
      <c r="D30" s="2479"/>
      <c r="E30" s="2898" t="s">
        <v>10474</v>
      </c>
      <c r="F30" s="3038">
        <v>154384923</v>
      </c>
    </row>
    <row r="31" spans="1:6" ht="15" customHeight="1" x14ac:dyDescent="0.2">
      <c r="A31" s="2489"/>
      <c r="B31" s="2512"/>
      <c r="C31" s="2614"/>
      <c r="D31" s="2479"/>
      <c r="E31" s="2898" t="s">
        <v>10475</v>
      </c>
      <c r="F31" s="3039">
        <f>SUM('Pg 410 - Generating Plant Stati'!G9:G32)</f>
        <v>154384923</v>
      </c>
    </row>
    <row r="32" spans="1:6" ht="15" customHeight="1" x14ac:dyDescent="0.2">
      <c r="A32" s="2489"/>
      <c r="B32" s="2512" t="s">
        <v>10476</v>
      </c>
      <c r="C32" s="2530">
        <v>21980448</v>
      </c>
      <c r="D32" s="2479"/>
      <c r="F32" s="3040">
        <f>F30-F31</f>
        <v>0</v>
      </c>
    </row>
    <row r="33" spans="1:4" ht="15" customHeight="1" x14ac:dyDescent="0.2">
      <c r="A33" s="2489"/>
      <c r="B33" s="2512"/>
      <c r="C33" s="2614"/>
      <c r="D33" s="2479"/>
    </row>
    <row r="34" spans="1:4" ht="15" customHeight="1" x14ac:dyDescent="0.2">
      <c r="A34" s="2489"/>
      <c r="B34" s="2512" t="s">
        <v>2590</v>
      </c>
      <c r="C34" s="2530">
        <v>255938718</v>
      </c>
      <c r="D34" s="2479"/>
    </row>
    <row r="35" spans="1:4" ht="15" customHeight="1" x14ac:dyDescent="0.2">
      <c r="A35" s="2489"/>
      <c r="B35" s="2512" t="s">
        <v>10434</v>
      </c>
      <c r="C35" s="2530">
        <v>218641544</v>
      </c>
      <c r="D35" s="2479"/>
    </row>
    <row r="36" spans="1:4" ht="15" customHeight="1" x14ac:dyDescent="0.2">
      <c r="A36" s="2489"/>
      <c r="B36" s="2512" t="s">
        <v>2582</v>
      </c>
      <c r="C36" s="2530">
        <v>319255325</v>
      </c>
      <c r="D36" s="2479"/>
    </row>
    <row r="37" spans="1:4" ht="15" customHeight="1" x14ac:dyDescent="0.2">
      <c r="A37" s="2489"/>
      <c r="B37" s="2512" t="s">
        <v>10435</v>
      </c>
      <c r="C37" s="2530">
        <v>82422588</v>
      </c>
      <c r="D37" s="2479"/>
    </row>
    <row r="38" spans="1:4" ht="15" customHeight="1" x14ac:dyDescent="0.2">
      <c r="A38" s="2489"/>
      <c r="B38" s="2512" t="s">
        <v>10477</v>
      </c>
      <c r="C38" s="2530">
        <v>41808323</v>
      </c>
      <c r="D38" s="2479"/>
    </row>
    <row r="39" spans="1:4" ht="15" customHeight="1" x14ac:dyDescent="0.2">
      <c r="A39" s="2489"/>
      <c r="B39" s="2512" t="s">
        <v>10478</v>
      </c>
      <c r="C39" s="2530">
        <v>33992214</v>
      </c>
      <c r="D39" s="2479"/>
    </row>
    <row r="40" spans="1:4" ht="15" customHeight="1" x14ac:dyDescent="0.2">
      <c r="A40" s="2489"/>
      <c r="B40" s="2512" t="s">
        <v>10440</v>
      </c>
      <c r="C40" s="2530">
        <v>193150606</v>
      </c>
      <c r="D40" s="2479"/>
    </row>
    <row r="41" spans="1:4" ht="15" customHeight="1" x14ac:dyDescent="0.2">
      <c r="A41" s="2489"/>
      <c r="B41" s="2512" t="s">
        <v>10442</v>
      </c>
      <c r="C41" s="2530">
        <v>81577963</v>
      </c>
      <c r="D41" s="2479"/>
    </row>
    <row r="42" spans="1:4" ht="15" customHeight="1" x14ac:dyDescent="0.2">
      <c r="A42" s="2489"/>
      <c r="B42" s="2512" t="s">
        <v>10444</v>
      </c>
      <c r="C42" s="2530">
        <v>155700092</v>
      </c>
      <c r="D42" s="2479"/>
    </row>
    <row r="43" spans="1:4" ht="15" customHeight="1" x14ac:dyDescent="0.2">
      <c r="A43" s="2489"/>
      <c r="B43" s="2512" t="s">
        <v>10445</v>
      </c>
      <c r="C43" s="2530">
        <v>190502873</v>
      </c>
      <c r="D43" s="2479"/>
    </row>
    <row r="44" spans="1:4" ht="15" customHeight="1" x14ac:dyDescent="0.2">
      <c r="A44" s="2489"/>
      <c r="B44" s="2512" t="s">
        <v>10446</v>
      </c>
      <c r="C44" s="2530">
        <v>177876957</v>
      </c>
      <c r="D44" s="2479"/>
    </row>
    <row r="45" spans="1:4" ht="15" customHeight="1" x14ac:dyDescent="0.2">
      <c r="A45" s="2489"/>
      <c r="B45" s="2512" t="s">
        <v>10448</v>
      </c>
      <c r="C45" s="2530">
        <v>213550991</v>
      </c>
      <c r="D45" s="2479"/>
    </row>
    <row r="46" spans="1:4" ht="15" customHeight="1" x14ac:dyDescent="0.2">
      <c r="A46" s="2489"/>
      <c r="B46" s="2512" t="s">
        <v>10449</v>
      </c>
      <c r="C46" s="2530">
        <v>111016021</v>
      </c>
      <c r="D46" s="2479"/>
    </row>
    <row r="47" spans="1:4" ht="15" customHeight="1" x14ac:dyDescent="0.2">
      <c r="A47" s="2489"/>
      <c r="B47" s="2512" t="s">
        <v>10450</v>
      </c>
      <c r="C47" s="2530">
        <v>52781371</v>
      </c>
      <c r="D47" s="2479"/>
    </row>
    <row r="48" spans="1:4" ht="15" customHeight="1" x14ac:dyDescent="0.2">
      <c r="A48" s="2489"/>
      <c r="B48" s="2512" t="s">
        <v>2592</v>
      </c>
      <c r="C48" s="2530">
        <v>399514684</v>
      </c>
      <c r="D48" s="2479"/>
    </row>
    <row r="49" spans="1:6" ht="15" customHeight="1" x14ac:dyDescent="0.2">
      <c r="A49" s="2489"/>
      <c r="B49" s="2512" t="s">
        <v>10451</v>
      </c>
      <c r="C49" s="2530">
        <v>197323037</v>
      </c>
      <c r="D49" s="2479"/>
    </row>
    <row r="50" spans="1:6" ht="15" customHeight="1" x14ac:dyDescent="0.2">
      <c r="A50" s="2489"/>
      <c r="B50" s="2512" t="s">
        <v>2580</v>
      </c>
      <c r="C50" s="2530">
        <v>188743730</v>
      </c>
      <c r="D50" s="2479"/>
    </row>
    <row r="51" spans="1:6" ht="15" customHeight="1" x14ac:dyDescent="0.2">
      <c r="A51" s="2489"/>
      <c r="B51" s="2512" t="s">
        <v>10452</v>
      </c>
      <c r="C51" s="2530">
        <v>38548110</v>
      </c>
      <c r="D51" s="2479"/>
      <c r="E51" s="2898" t="s">
        <v>10479</v>
      </c>
      <c r="F51" s="3038">
        <v>3550609815</v>
      </c>
    </row>
    <row r="52" spans="1:6" ht="15" customHeight="1" x14ac:dyDescent="0.2">
      <c r="A52" s="2489"/>
      <c r="B52" s="2512" t="s">
        <v>10453</v>
      </c>
      <c r="C52" s="2530">
        <v>598264668</v>
      </c>
      <c r="D52" s="2479"/>
      <c r="E52" s="2898" t="s">
        <v>10475</v>
      </c>
      <c r="F52" s="3039">
        <f>SUM('Pg 410 - Generating Plant Stati'!G36:G54)</f>
        <v>3550609815</v>
      </c>
    </row>
    <row r="53" spans="1:6" ht="15" customHeight="1" x14ac:dyDescent="0.2">
      <c r="A53" s="2489"/>
      <c r="B53" s="2512"/>
      <c r="C53" s="2614"/>
      <c r="D53" s="2479"/>
      <c r="F53" s="3040">
        <f>F51-F52</f>
        <v>0</v>
      </c>
    </row>
    <row r="54" spans="1:6" ht="15" customHeight="1" x14ac:dyDescent="0.2">
      <c r="A54" s="2489"/>
      <c r="B54" s="2512" t="s">
        <v>10454</v>
      </c>
      <c r="C54" s="2530">
        <v>578966</v>
      </c>
      <c r="D54" s="2479"/>
    </row>
    <row r="55" spans="1:6" ht="15" customHeight="1" x14ac:dyDescent="0.2">
      <c r="A55" s="2535"/>
      <c r="B55" s="2536"/>
      <c r="C55" s="2537"/>
    </row>
    <row r="56" spans="1:6" ht="15" customHeight="1" x14ac:dyDescent="0.2"/>
    <row r="57" spans="1:6" ht="15" customHeight="1" x14ac:dyDescent="0.2">
      <c r="E57" s="2898" t="s">
        <v>10480</v>
      </c>
      <c r="F57" s="3038">
        <v>3727554152</v>
      </c>
    </row>
    <row r="58" spans="1:6" ht="15" customHeight="1" x14ac:dyDescent="0.2">
      <c r="E58" s="2898" t="s">
        <v>10475</v>
      </c>
      <c r="F58" s="3039">
        <f>SUM('Pg 410 - Generating Plant Stati'!G9:G56)</f>
        <v>3727554152</v>
      </c>
    </row>
    <row r="59" spans="1:6" ht="15" customHeight="1" x14ac:dyDescent="0.2">
      <c r="F59" s="3040">
        <f>F57-F58</f>
        <v>0</v>
      </c>
    </row>
    <row r="60" spans="1:6" ht="15" customHeight="1" x14ac:dyDescent="0.2"/>
    <row r="61" spans="1:6" ht="15" customHeight="1" x14ac:dyDescent="0.2"/>
    <row r="62" spans="1:6" ht="15" customHeight="1" x14ac:dyDescent="0.2"/>
    <row r="63" spans="1:6" ht="15" customHeight="1" x14ac:dyDescent="0.2"/>
    <row r="64" spans="1:6" ht="15" customHeight="1" x14ac:dyDescent="0.2"/>
    <row r="65" ht="15" customHeight="1" x14ac:dyDescent="0.2"/>
    <row r="66" ht="15" customHeight="1" x14ac:dyDescent="0.2"/>
  </sheetData>
  <mergeCells count="3">
    <mergeCell ref="B2:D2"/>
    <mergeCell ref="A4:A6"/>
    <mergeCell ref="C4:C5"/>
  </mergeCells>
  <pageMargins left="0.75" right="0.75" top="1" bottom="1" header="0.5" footer="0.5"/>
  <customProperties>
    <customPr name="_pios_id" r:id="rId1"/>
  </customProperties>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E31369-A1F8-4B68-A27C-2EA487218A90}">
  <sheetPr codeName="Sheet103"/>
  <dimension ref="A1:R33"/>
  <sheetViews>
    <sheetView showRuler="0" workbookViewId="0"/>
  </sheetViews>
  <sheetFormatPr defaultColWidth="11.5" defaultRowHeight="12.75" x14ac:dyDescent="0.2"/>
  <cols>
    <col min="1" max="1" width="3.125" style="1953" customWidth="1"/>
    <col min="2" max="2" width="28.5" style="1953" customWidth="1"/>
    <col min="3" max="3" width="21.875" style="1953" customWidth="1"/>
    <col min="4" max="6" width="11.25" style="1953" customWidth="1"/>
    <col min="7" max="7" width="14.625" style="1953" customWidth="1"/>
    <col min="8" max="8" width="15.125" style="1953" customWidth="1"/>
    <col min="9" max="9" width="9.625" style="1953" customWidth="1"/>
    <col min="10" max="10" width="17.625" style="1953" customWidth="1"/>
    <col min="11" max="11" width="15.125" style="1953" customWidth="1"/>
    <col min="12" max="13" width="14.125" style="1953" customWidth="1"/>
    <col min="14" max="17" width="11" style="1953" customWidth="1"/>
    <col min="18" max="18" width="14.625" style="1953" customWidth="1"/>
    <col min="19" max="16384" width="11.5" style="1953"/>
  </cols>
  <sheetData>
    <row r="1" spans="1:18" ht="16.7" customHeight="1" x14ac:dyDescent="0.2">
      <c r="B1" s="2744" t="s">
        <v>7058</v>
      </c>
      <c r="C1" s="2788"/>
    </row>
    <row r="2" spans="1:18" ht="22.5" customHeight="1" x14ac:dyDescent="0.2">
      <c r="B2" s="4171" t="s">
        <v>10481</v>
      </c>
      <c r="C2" s="4172"/>
      <c r="D2" s="4172"/>
      <c r="E2" s="4172"/>
      <c r="F2" s="4172"/>
      <c r="G2" s="4172"/>
      <c r="H2" s="4172"/>
      <c r="I2" s="4172"/>
      <c r="J2" s="4173"/>
      <c r="K2" s="4174" t="s">
        <v>10482</v>
      </c>
      <c r="L2" s="4175"/>
      <c r="M2" s="4176"/>
      <c r="N2" s="4174" t="s">
        <v>10483</v>
      </c>
      <c r="O2" s="4175"/>
      <c r="P2" s="4175"/>
      <c r="Q2" s="4176"/>
      <c r="R2" s="2479"/>
    </row>
    <row r="3" spans="1:18" ht="16.7" customHeight="1" x14ac:dyDescent="0.2">
      <c r="A3" s="3932" t="s">
        <v>10484</v>
      </c>
      <c r="B3" s="3975"/>
      <c r="C3" s="3975"/>
      <c r="D3" s="3975"/>
      <c r="E3" s="3975"/>
      <c r="F3" s="3975"/>
      <c r="G3" s="3975"/>
      <c r="H3" s="3975"/>
      <c r="I3" s="3975"/>
      <c r="J3" s="3975"/>
      <c r="K3" s="3975"/>
      <c r="L3" s="3975"/>
      <c r="M3" s="3975"/>
      <c r="N3" s="3975"/>
      <c r="O3" s="3975"/>
      <c r="P3" s="3975"/>
      <c r="Q3" s="3976"/>
      <c r="R3" s="2479"/>
    </row>
    <row r="4" spans="1:18" ht="16.7" customHeight="1" x14ac:dyDescent="0.2">
      <c r="A4" s="3882" t="s">
        <v>10485</v>
      </c>
      <c r="B4" s="3891"/>
      <c r="C4" s="3891"/>
      <c r="D4" s="3891"/>
      <c r="E4" s="3891"/>
      <c r="F4" s="3891"/>
      <c r="G4" s="3891"/>
      <c r="H4" s="3891"/>
      <c r="I4" s="3891"/>
      <c r="J4" s="3891"/>
      <c r="K4" s="3891"/>
      <c r="L4" s="3891"/>
      <c r="M4" s="3891"/>
      <c r="N4" s="3891"/>
      <c r="O4" s="3891"/>
      <c r="P4" s="3891"/>
      <c r="Q4" s="3892"/>
      <c r="R4" s="2479"/>
    </row>
    <row r="5" spans="1:18" ht="119.1" customHeight="1" x14ac:dyDescent="0.2">
      <c r="A5" s="3878" t="s">
        <v>10486</v>
      </c>
      <c r="B5" s="3879"/>
      <c r="C5" s="3879"/>
      <c r="D5" s="3879"/>
      <c r="E5" s="3879"/>
      <c r="F5" s="3879"/>
      <c r="G5" s="3879"/>
      <c r="H5" s="3879"/>
      <c r="I5" s="3880"/>
      <c r="J5" s="4009" t="s">
        <v>10487</v>
      </c>
      <c r="K5" s="4010"/>
      <c r="L5" s="4010"/>
      <c r="M5" s="4010"/>
      <c r="N5" s="4010"/>
      <c r="O5" s="4010"/>
      <c r="P5" s="4010"/>
      <c r="Q5" s="4011"/>
      <c r="R5" s="2479"/>
    </row>
    <row r="6" spans="1:18" ht="50.1" customHeight="1" x14ac:dyDescent="0.2">
      <c r="A6" s="3944" t="s">
        <v>6360</v>
      </c>
      <c r="B6" s="3964" t="s">
        <v>10488</v>
      </c>
      <c r="C6" s="3884"/>
      <c r="D6" s="3964" t="s">
        <v>10489</v>
      </c>
      <c r="E6" s="3892"/>
      <c r="F6" s="3922" t="s">
        <v>10490</v>
      </c>
      <c r="G6" s="3964" t="s">
        <v>10491</v>
      </c>
      <c r="H6" s="3884"/>
      <c r="I6" s="3922" t="s">
        <v>10492</v>
      </c>
      <c r="J6" s="4062" t="s">
        <v>10493</v>
      </c>
      <c r="K6" s="3938" t="s">
        <v>10494</v>
      </c>
      <c r="L6" s="4015"/>
      <c r="M6" s="3937"/>
      <c r="N6" s="4177" t="s">
        <v>10495</v>
      </c>
      <c r="O6" s="4178"/>
      <c r="P6" s="4178"/>
      <c r="Q6" s="4179"/>
      <c r="R6" s="2479"/>
    </row>
    <row r="7" spans="1:18" ht="39.200000000000003" customHeight="1" x14ac:dyDescent="0.2">
      <c r="A7" s="3899"/>
      <c r="B7" s="2583" t="s">
        <v>10496</v>
      </c>
      <c r="C7" s="2583" t="s">
        <v>10497</v>
      </c>
      <c r="D7" s="2583" t="s">
        <v>10498</v>
      </c>
      <c r="E7" s="2583" t="s">
        <v>10499</v>
      </c>
      <c r="F7" s="3943"/>
      <c r="G7" s="2637" t="s">
        <v>10500</v>
      </c>
      <c r="H7" s="2637" t="s">
        <v>10501</v>
      </c>
      <c r="I7" s="3943"/>
      <c r="J7" s="4063"/>
      <c r="K7" s="2740" t="s">
        <v>10502</v>
      </c>
      <c r="L7" s="2740" t="s">
        <v>10503</v>
      </c>
      <c r="M7" s="2740" t="s">
        <v>51</v>
      </c>
      <c r="N7" s="2740" t="s">
        <v>10504</v>
      </c>
      <c r="O7" s="2740" t="s">
        <v>10505</v>
      </c>
      <c r="P7" s="2740" t="s">
        <v>492</v>
      </c>
      <c r="Q7" s="2740" t="s">
        <v>10506</v>
      </c>
      <c r="R7" s="2479"/>
    </row>
    <row r="8" spans="1:18" ht="16.7" customHeight="1" x14ac:dyDescent="0.2">
      <c r="A8" s="3856"/>
      <c r="B8" s="2589" t="s">
        <v>5949</v>
      </c>
      <c r="C8" s="2589" t="s">
        <v>5950</v>
      </c>
      <c r="D8" s="2589" t="s">
        <v>5951</v>
      </c>
      <c r="E8" s="2589" t="s">
        <v>5952</v>
      </c>
      <c r="F8" s="2589" t="s">
        <v>6227</v>
      </c>
      <c r="G8" s="2589" t="s">
        <v>5804</v>
      </c>
      <c r="H8" s="2589" t="s">
        <v>6228</v>
      </c>
      <c r="I8" s="2589" t="s">
        <v>6229</v>
      </c>
      <c r="J8" s="2633" t="s">
        <v>6230</v>
      </c>
      <c r="K8" s="2633" t="s">
        <v>6231</v>
      </c>
      <c r="L8" s="2633" t="s">
        <v>6232</v>
      </c>
      <c r="M8" s="2633" t="s">
        <v>6233</v>
      </c>
      <c r="N8" s="2633" t="s">
        <v>7035</v>
      </c>
      <c r="O8" s="2633" t="s">
        <v>8045</v>
      </c>
      <c r="P8" s="2633" t="s">
        <v>8046</v>
      </c>
      <c r="Q8" s="2633" t="s">
        <v>10507</v>
      </c>
      <c r="R8" s="2479" t="s">
        <v>6324</v>
      </c>
    </row>
    <row r="9" spans="1:18" ht="15" customHeight="1" x14ac:dyDescent="0.2">
      <c r="A9" s="2752">
        <v>1</v>
      </c>
      <c r="B9" s="2744" t="s">
        <v>10508</v>
      </c>
      <c r="C9" s="2488"/>
      <c r="D9" s="2488"/>
      <c r="E9" s="2488"/>
      <c r="F9" s="2488"/>
      <c r="G9" s="2488"/>
      <c r="H9" s="2488"/>
      <c r="I9" s="2488"/>
      <c r="J9" s="2488"/>
      <c r="K9" s="2488"/>
      <c r="L9" s="2488"/>
      <c r="M9" s="2488"/>
      <c r="N9" s="2488"/>
      <c r="O9" s="2488"/>
      <c r="P9" s="2488"/>
      <c r="Q9" s="2488"/>
      <c r="R9" s="2479" t="str">
        <f t="shared" ref="R9:R27" si="0">CONCATENATE(B9,", ",C9,", ",F9,", ",J9)</f>
        <v xml:space="preserve">See footnote, , , </v>
      </c>
    </row>
    <row r="10" spans="1:18" ht="15" customHeight="1" x14ac:dyDescent="0.2">
      <c r="A10" s="2752">
        <v>2</v>
      </c>
      <c r="B10" s="2512" t="s">
        <v>10509</v>
      </c>
      <c r="C10" s="2512" t="s">
        <v>10510</v>
      </c>
      <c r="D10" s="3041">
        <v>500</v>
      </c>
      <c r="E10" s="3041">
        <v>500</v>
      </c>
      <c r="F10" s="2512" t="s">
        <v>10511</v>
      </c>
      <c r="G10" s="3041">
        <v>138</v>
      </c>
      <c r="H10" s="3042">
        <v>0</v>
      </c>
      <c r="I10" s="2752">
        <v>1</v>
      </c>
      <c r="J10" s="2512" t="s">
        <v>10512</v>
      </c>
      <c r="K10" s="2614"/>
      <c r="L10" s="2614"/>
      <c r="M10" s="2614"/>
      <c r="N10" s="2488"/>
      <c r="O10" s="2488"/>
      <c r="P10" s="2488"/>
      <c r="Q10" s="2488"/>
      <c r="R10" s="2479" t="str">
        <f t="shared" si="0"/>
        <v>AEOLUS, WY, ANTICLINE, WY, Steel Tower, 3-1272 ACSR 45/7</v>
      </c>
    </row>
    <row r="11" spans="1:18" ht="15" customHeight="1" x14ac:dyDescent="0.2">
      <c r="A11" s="2752">
        <v>3</v>
      </c>
      <c r="B11" s="2744" t="s">
        <v>10513</v>
      </c>
      <c r="C11" s="2512" t="s">
        <v>10514</v>
      </c>
      <c r="D11" s="3041">
        <v>500</v>
      </c>
      <c r="E11" s="3041">
        <v>500</v>
      </c>
      <c r="F11" s="2512" t="s">
        <v>10511</v>
      </c>
      <c r="G11" s="3041">
        <v>58</v>
      </c>
      <c r="H11" s="3042">
        <v>0</v>
      </c>
      <c r="I11" s="2752">
        <v>1</v>
      </c>
      <c r="J11" s="2512" t="s">
        <v>10515</v>
      </c>
      <c r="K11" s="2614"/>
      <c r="L11" s="2614"/>
      <c r="M11" s="2614"/>
      <c r="N11" s="2488"/>
      <c r="O11" s="2488"/>
      <c r="P11" s="2488"/>
      <c r="Q11" s="2488"/>
      <c r="R11" s="2479" t="str">
        <f t="shared" si="0"/>
        <v>ALVEY, OR, DIXONVILLE 500KV, OR, Steel Tower, 1272 ACSR 54/19</v>
      </c>
    </row>
    <row r="12" spans="1:18" ht="15" customHeight="1" x14ac:dyDescent="0.2">
      <c r="A12" s="2752">
        <v>4</v>
      </c>
      <c r="B12" s="2744" t="s">
        <v>10516</v>
      </c>
      <c r="C12" s="2512" t="s">
        <v>10517</v>
      </c>
      <c r="D12" s="3041">
        <v>500</v>
      </c>
      <c r="E12" s="3041">
        <v>500</v>
      </c>
      <c r="F12" s="2512" t="s">
        <v>10511</v>
      </c>
      <c r="G12" s="3041">
        <v>113</v>
      </c>
      <c r="H12" s="3042">
        <v>0</v>
      </c>
      <c r="I12" s="2752">
        <v>1</v>
      </c>
      <c r="J12" s="2512" t="s">
        <v>10518</v>
      </c>
      <c r="K12" s="2614"/>
      <c r="L12" s="2614"/>
      <c r="M12" s="2614"/>
      <c r="N12" s="2488"/>
      <c r="O12" s="2488"/>
      <c r="P12" s="2488"/>
      <c r="Q12" s="2488"/>
      <c r="R12" s="2479" t="str">
        <f t="shared" si="0"/>
        <v>BROADVIEW, MT, COLSTRIP A, MT, Steel Tower, 795 ACSR 26/7</v>
      </c>
    </row>
    <row r="13" spans="1:18" ht="15" customHeight="1" x14ac:dyDescent="0.2">
      <c r="A13" s="2752">
        <v>5</v>
      </c>
      <c r="B13" s="2744" t="s">
        <v>10516</v>
      </c>
      <c r="C13" s="2512" t="s">
        <v>10519</v>
      </c>
      <c r="D13" s="3041">
        <v>500</v>
      </c>
      <c r="E13" s="3041">
        <v>500</v>
      </c>
      <c r="F13" s="2512" t="s">
        <v>10511</v>
      </c>
      <c r="G13" s="3041">
        <v>116</v>
      </c>
      <c r="H13" s="3042">
        <v>0</v>
      </c>
      <c r="I13" s="2752">
        <v>1</v>
      </c>
      <c r="J13" s="2512" t="s">
        <v>10518</v>
      </c>
      <c r="K13" s="2614"/>
      <c r="L13" s="2614"/>
      <c r="M13" s="2614"/>
      <c r="N13" s="2488"/>
      <c r="O13" s="2488"/>
      <c r="P13" s="2488"/>
      <c r="Q13" s="2488"/>
      <c r="R13" s="2479" t="str">
        <f t="shared" si="0"/>
        <v>BROADVIEW, MT, COLSTRIP B, MT, Steel Tower, 795 ACSR 26/7</v>
      </c>
    </row>
    <row r="14" spans="1:18" ht="15" customHeight="1" x14ac:dyDescent="0.2">
      <c r="A14" s="2752">
        <v>6</v>
      </c>
      <c r="B14" s="2744" t="s">
        <v>10516</v>
      </c>
      <c r="C14" s="2512" t="s">
        <v>10520</v>
      </c>
      <c r="D14" s="3041">
        <v>500</v>
      </c>
      <c r="E14" s="3041">
        <v>500</v>
      </c>
      <c r="F14" s="2512" t="s">
        <v>10511</v>
      </c>
      <c r="G14" s="3041">
        <v>133</v>
      </c>
      <c r="H14" s="3042">
        <v>0</v>
      </c>
      <c r="I14" s="2752">
        <v>1</v>
      </c>
      <c r="J14" s="2512" t="s">
        <v>10518</v>
      </c>
      <c r="K14" s="2614"/>
      <c r="L14" s="2614"/>
      <c r="M14" s="2614"/>
      <c r="N14" s="2488"/>
      <c r="O14" s="2488"/>
      <c r="P14" s="2488"/>
      <c r="Q14" s="2488"/>
      <c r="R14" s="2479" t="str">
        <f t="shared" si="0"/>
        <v>BROADVIEW, MT, TOWNSEND A, MT, Steel Tower, 795 ACSR 26/7</v>
      </c>
    </row>
    <row r="15" spans="1:18" ht="15" customHeight="1" x14ac:dyDescent="0.2">
      <c r="A15" s="2752">
        <v>7</v>
      </c>
      <c r="B15" s="2744" t="s">
        <v>10516</v>
      </c>
      <c r="C15" s="2512" t="s">
        <v>10521</v>
      </c>
      <c r="D15" s="3041">
        <v>500</v>
      </c>
      <c r="E15" s="3041">
        <v>500</v>
      </c>
      <c r="F15" s="2512" t="s">
        <v>10511</v>
      </c>
      <c r="G15" s="3041">
        <v>133</v>
      </c>
      <c r="H15" s="3042">
        <v>0</v>
      </c>
      <c r="I15" s="2752">
        <v>1</v>
      </c>
      <c r="J15" s="2512" t="s">
        <v>10518</v>
      </c>
      <c r="K15" s="2488"/>
      <c r="L15" s="2614"/>
      <c r="M15" s="2614"/>
      <c r="N15" s="2488"/>
      <c r="O15" s="2488"/>
      <c r="P15" s="2488"/>
      <c r="Q15" s="2488"/>
      <c r="R15" s="2479" t="str">
        <f t="shared" si="0"/>
        <v>BROADVIEW, MT, TOWNSEND B, MT, Steel Tower, 795 ACSR 26/7</v>
      </c>
    </row>
    <row r="16" spans="1:18" ht="15" customHeight="1" x14ac:dyDescent="0.2">
      <c r="A16" s="2752">
        <v>8</v>
      </c>
      <c r="B16" s="2512" t="s">
        <v>10522</v>
      </c>
      <c r="C16" s="2512" t="s">
        <v>10523</v>
      </c>
      <c r="D16" s="3041">
        <v>500</v>
      </c>
      <c r="E16" s="3041">
        <v>500</v>
      </c>
      <c r="F16" s="2512" t="s">
        <v>10511</v>
      </c>
      <c r="G16" s="3041">
        <v>7</v>
      </c>
      <c r="H16" s="3042">
        <v>0</v>
      </c>
      <c r="I16" s="2752">
        <v>1</v>
      </c>
      <c r="J16" s="2512" t="s">
        <v>10524</v>
      </c>
      <c r="K16" s="2614"/>
      <c r="L16" s="2614"/>
      <c r="M16" s="2614"/>
      <c r="N16" s="2488"/>
      <c r="O16" s="2488"/>
      <c r="P16" s="2488"/>
      <c r="Q16" s="2488"/>
      <c r="R16" s="2479" t="str">
        <f t="shared" si="0"/>
        <v>CAPTAIN JACK, OR, MALIN, OR, Steel Tower, 3-1272 ACSR 36/1</v>
      </c>
    </row>
    <row r="17" spans="1:18" ht="15" customHeight="1" x14ac:dyDescent="0.2">
      <c r="A17" s="2752">
        <v>9</v>
      </c>
      <c r="B17" s="2744" t="s">
        <v>10514</v>
      </c>
      <c r="C17" s="2512" t="s">
        <v>10525</v>
      </c>
      <c r="D17" s="3041">
        <v>500</v>
      </c>
      <c r="E17" s="3041">
        <v>500</v>
      </c>
      <c r="F17" s="2512" t="s">
        <v>10511</v>
      </c>
      <c r="G17" s="3041">
        <v>74</v>
      </c>
      <c r="H17" s="3042">
        <v>0</v>
      </c>
      <c r="I17" s="2752">
        <v>1</v>
      </c>
      <c r="J17" s="2512" t="s">
        <v>10515</v>
      </c>
      <c r="K17" s="2614"/>
      <c r="L17" s="2614"/>
      <c r="M17" s="2614"/>
      <c r="N17" s="2488"/>
      <c r="O17" s="2488"/>
      <c r="P17" s="2488"/>
      <c r="Q17" s="2488"/>
      <c r="R17" s="2479" t="str">
        <f t="shared" si="0"/>
        <v>DIXONVILLE 500KV, OR, MERIDIAN, OR, Steel Tower, 1272 ACSR 54/19</v>
      </c>
    </row>
    <row r="18" spans="1:18" ht="15" customHeight="1" x14ac:dyDescent="0.2">
      <c r="A18" s="2752">
        <v>10</v>
      </c>
      <c r="B18" s="2744" t="s">
        <v>10526</v>
      </c>
      <c r="C18" s="2488" t="s">
        <v>10527</v>
      </c>
      <c r="D18" s="3043">
        <v>500</v>
      </c>
      <c r="E18" s="3043">
        <v>500</v>
      </c>
      <c r="F18" s="2488" t="s">
        <v>10511</v>
      </c>
      <c r="G18" s="3043">
        <v>242</v>
      </c>
      <c r="H18" s="3042">
        <v>0</v>
      </c>
      <c r="I18" s="2750">
        <v>1</v>
      </c>
      <c r="J18" s="2488" t="s">
        <v>10524</v>
      </c>
      <c r="K18" s="2488"/>
      <c r="L18" s="2488"/>
      <c r="M18" s="2488"/>
      <c r="N18" s="2488"/>
      <c r="O18" s="2488"/>
      <c r="P18" s="2488"/>
      <c r="Q18" s="2488"/>
      <c r="R18" s="2479" t="str">
        <f t="shared" si="0"/>
        <v>HEMINGWAY, ID, SUMMER LAKE, OR, Steel Tower, 3-1272 ACSR 36/1</v>
      </c>
    </row>
    <row r="19" spans="1:18" ht="15" customHeight="1" x14ac:dyDescent="0.2">
      <c r="A19" s="2752">
        <v>11</v>
      </c>
      <c r="B19" s="2512" t="s">
        <v>10528</v>
      </c>
      <c r="C19" s="2512" t="s">
        <v>10529</v>
      </c>
      <c r="D19" s="3041">
        <v>500</v>
      </c>
      <c r="E19" s="3041">
        <v>500</v>
      </c>
      <c r="F19" s="2512" t="s">
        <v>10511</v>
      </c>
      <c r="G19" s="3044">
        <v>2</v>
      </c>
      <c r="H19" s="3042">
        <v>0</v>
      </c>
      <c r="I19" s="2752">
        <v>1</v>
      </c>
      <c r="J19" s="2512" t="s">
        <v>10530</v>
      </c>
      <c r="K19" s="2614"/>
      <c r="L19" s="2614"/>
      <c r="M19" s="2614"/>
      <c r="N19" s="2488"/>
      <c r="O19" s="2488"/>
      <c r="P19" s="2488"/>
      <c r="Q19" s="2488"/>
      <c r="R19" s="2479" t="str">
        <f t="shared" si="0"/>
        <v>KLAMATH COGEN, OR, SNOW GOOSE, OR, Steel Tower, 1272 ACSR 36/1</v>
      </c>
    </row>
    <row r="20" spans="1:18" ht="15" customHeight="1" x14ac:dyDescent="0.2">
      <c r="A20" s="2752">
        <v>12</v>
      </c>
      <c r="B20" s="2512" t="s">
        <v>10523</v>
      </c>
      <c r="C20" s="2512" t="s">
        <v>10531</v>
      </c>
      <c r="D20" s="3041">
        <v>500</v>
      </c>
      <c r="E20" s="3041">
        <v>500</v>
      </c>
      <c r="F20" s="2512" t="s">
        <v>10511</v>
      </c>
      <c r="G20" s="3041">
        <v>47</v>
      </c>
      <c r="H20" s="3042">
        <v>0</v>
      </c>
      <c r="I20" s="2752">
        <v>1</v>
      </c>
      <c r="J20" s="2512" t="s">
        <v>10532</v>
      </c>
      <c r="K20" s="2614"/>
      <c r="L20" s="2614"/>
      <c r="M20" s="2614"/>
      <c r="N20" s="2488"/>
      <c r="O20" s="2488"/>
      <c r="P20" s="2488"/>
      <c r="Q20" s="2488"/>
      <c r="R20" s="2479" t="str">
        <f t="shared" si="0"/>
        <v>MALIN, OR, INDIAN SPRINGS, CA, Steel Tower, 3-1852 ACSR 51/27</v>
      </c>
    </row>
    <row r="21" spans="1:18" ht="15" customHeight="1" x14ac:dyDescent="0.2">
      <c r="A21" s="2752">
        <v>13</v>
      </c>
      <c r="B21" s="2512" t="s">
        <v>10525</v>
      </c>
      <c r="C21" s="2512" t="s">
        <v>10528</v>
      </c>
      <c r="D21" s="3041">
        <v>500</v>
      </c>
      <c r="E21" s="3041">
        <v>500</v>
      </c>
      <c r="F21" s="2512" t="s">
        <v>10511</v>
      </c>
      <c r="G21" s="3041">
        <v>58</v>
      </c>
      <c r="H21" s="3042">
        <v>0</v>
      </c>
      <c r="I21" s="2752">
        <v>1</v>
      </c>
      <c r="J21" s="2512" t="s">
        <v>10530</v>
      </c>
      <c r="K21" s="2614"/>
      <c r="L21" s="2614"/>
      <c r="M21" s="2614"/>
      <c r="N21" s="2488"/>
      <c r="O21" s="2488"/>
      <c r="P21" s="2488"/>
      <c r="Q21" s="2488"/>
      <c r="R21" s="2479" t="str">
        <f t="shared" si="0"/>
        <v>MERIDIAN, OR, KLAMATH COGEN, OR, Steel Tower, 1272 ACSR 36/1</v>
      </c>
    </row>
    <row r="22" spans="1:18" ht="15" customHeight="1" x14ac:dyDescent="0.2">
      <c r="A22" s="2752">
        <v>14</v>
      </c>
      <c r="B22" s="2744" t="s">
        <v>10533</v>
      </c>
      <c r="C22" s="2512" t="s">
        <v>10526</v>
      </c>
      <c r="D22" s="3041">
        <v>500</v>
      </c>
      <c r="E22" s="3041">
        <v>500</v>
      </c>
      <c r="F22" s="2512" t="s">
        <v>10511</v>
      </c>
      <c r="G22" s="3041">
        <v>130</v>
      </c>
      <c r="H22" s="3042">
        <v>0</v>
      </c>
      <c r="I22" s="2752">
        <v>1</v>
      </c>
      <c r="J22" s="2512" t="s">
        <v>10524</v>
      </c>
      <c r="K22" s="2614"/>
      <c r="L22" s="2614"/>
      <c r="M22" s="2614"/>
      <c r="N22" s="2488"/>
      <c r="O22" s="2488"/>
      <c r="P22" s="2488"/>
      <c r="Q22" s="2488"/>
      <c r="R22" s="2479" t="str">
        <f t="shared" si="0"/>
        <v>MIDPOINT, ID, HEMINGWAY, ID, Steel Tower, 3-1272 ACSR 36/1</v>
      </c>
    </row>
    <row r="23" spans="1:18" ht="15" customHeight="1" x14ac:dyDescent="0.2">
      <c r="A23" s="2760">
        <v>15</v>
      </c>
      <c r="B23" s="2512" t="s">
        <v>10529</v>
      </c>
      <c r="C23" s="2512" t="s">
        <v>10522</v>
      </c>
      <c r="D23" s="3041">
        <v>500</v>
      </c>
      <c r="E23" s="3041">
        <v>500</v>
      </c>
      <c r="F23" s="2512" t="s">
        <v>10511</v>
      </c>
      <c r="G23" s="3044">
        <v>24</v>
      </c>
      <c r="H23" s="3042">
        <v>0</v>
      </c>
      <c r="I23" s="2752">
        <v>1</v>
      </c>
      <c r="J23" s="2512" t="s">
        <v>10530</v>
      </c>
      <c r="K23" s="2614"/>
      <c r="L23" s="2614"/>
      <c r="M23" s="2614"/>
      <c r="N23" s="2488"/>
      <c r="O23" s="2488"/>
      <c r="P23" s="2488"/>
      <c r="Q23" s="2488"/>
      <c r="R23" s="2479" t="str">
        <f t="shared" si="0"/>
        <v>SNOW GOOSE, OR, CAPTAIN JACK, OR, Steel Tower, 1272 ACSR 36/1</v>
      </c>
    </row>
    <row r="24" spans="1:18" ht="15" customHeight="1" x14ac:dyDescent="0.2">
      <c r="A24" s="2760">
        <v>16</v>
      </c>
      <c r="B24" s="2512" t="s">
        <v>10527</v>
      </c>
      <c r="C24" s="2512" t="s">
        <v>10523</v>
      </c>
      <c r="D24" s="3041">
        <v>500</v>
      </c>
      <c r="E24" s="3041">
        <v>500</v>
      </c>
      <c r="F24" s="2512" t="s">
        <v>10511</v>
      </c>
      <c r="G24" s="3041">
        <v>75</v>
      </c>
      <c r="H24" s="3042">
        <v>0</v>
      </c>
      <c r="I24" s="2752">
        <v>1</v>
      </c>
      <c r="J24" s="2512" t="s">
        <v>10524</v>
      </c>
      <c r="K24" s="2614"/>
      <c r="L24" s="2614"/>
      <c r="M24" s="2614"/>
      <c r="N24" s="2488"/>
      <c r="O24" s="2488"/>
      <c r="P24" s="2488"/>
      <c r="Q24" s="2488"/>
      <c r="R24" s="2479" t="str">
        <f t="shared" si="0"/>
        <v>SUMMER LAKE, OR, MALIN, OR, Steel Tower, 3-1272 ACSR 36/1</v>
      </c>
    </row>
    <row r="25" spans="1:18" ht="15" customHeight="1" x14ac:dyDescent="0.2">
      <c r="A25" s="2760">
        <v>17</v>
      </c>
      <c r="B25" s="2512" t="s">
        <v>10534</v>
      </c>
      <c r="C25" s="2512"/>
      <c r="D25" s="2614"/>
      <c r="E25" s="2614"/>
      <c r="F25" s="2512"/>
      <c r="G25" s="2614"/>
      <c r="H25" s="2488"/>
      <c r="I25" s="2614"/>
      <c r="J25" s="2512"/>
      <c r="K25" s="2530">
        <v>31912852</v>
      </c>
      <c r="L25" s="2530">
        <v>562611691</v>
      </c>
      <c r="M25" s="2530">
        <f>SUM(K25:L25)</f>
        <v>594524543</v>
      </c>
      <c r="N25" s="2530">
        <v>93641</v>
      </c>
      <c r="O25" s="2888">
        <f>1949125+1</f>
        <v>1949126</v>
      </c>
      <c r="P25" s="2530">
        <v>197193</v>
      </c>
      <c r="Q25" s="2530">
        <f>SUM(N25:P25)</f>
        <v>2239960</v>
      </c>
      <c r="R25" s="2479" t="str">
        <f t="shared" si="0"/>
        <v xml:space="preserve">500kV Costs and Expenses, , , </v>
      </c>
    </row>
    <row r="26" spans="1:18" ht="15" customHeight="1" x14ac:dyDescent="0.2">
      <c r="A26" s="2854"/>
      <c r="B26" s="2669" t="s">
        <v>10535</v>
      </c>
      <c r="C26" s="2512"/>
      <c r="D26" s="2614"/>
      <c r="E26" s="2614"/>
      <c r="F26" s="2512"/>
      <c r="G26" s="3045">
        <f>SUM(G10:G24)</f>
        <v>1350</v>
      </c>
      <c r="H26" s="3046">
        <f>SUM(H10:H24)</f>
        <v>0</v>
      </c>
      <c r="I26" s="3018">
        <f>SUM(I10:I24)</f>
        <v>15</v>
      </c>
      <c r="J26" s="2512"/>
      <c r="K26" s="3018">
        <f t="shared" ref="K26:Q26" si="1">SUM(K10:K25)</f>
        <v>31912852</v>
      </c>
      <c r="L26" s="3018">
        <f t="shared" si="1"/>
        <v>562611691</v>
      </c>
      <c r="M26" s="3018">
        <f t="shared" si="1"/>
        <v>594524543</v>
      </c>
      <c r="N26" s="3018">
        <f t="shared" si="1"/>
        <v>93641</v>
      </c>
      <c r="O26" s="3018">
        <f t="shared" si="1"/>
        <v>1949126</v>
      </c>
      <c r="P26" s="3018">
        <f t="shared" si="1"/>
        <v>197193</v>
      </c>
      <c r="Q26" s="3018">
        <f t="shared" si="1"/>
        <v>2239960</v>
      </c>
      <c r="R26" s="2479" t="str">
        <f t="shared" si="0"/>
        <v xml:space="preserve">SUBTOTAL 500kV, , , </v>
      </c>
    </row>
    <row r="27" spans="1:18" ht="7.5" customHeight="1" x14ac:dyDescent="0.2">
      <c r="A27" s="2614"/>
      <c r="B27" s="2488"/>
      <c r="C27" s="2488"/>
      <c r="D27" s="2488"/>
      <c r="E27" s="2488"/>
      <c r="F27" s="2488"/>
      <c r="G27" s="2488"/>
      <c r="H27" s="2488"/>
      <c r="I27" s="2488"/>
      <c r="J27" s="2488"/>
      <c r="K27" s="2488"/>
      <c r="L27" s="2488"/>
      <c r="M27" s="2488"/>
      <c r="N27" s="2488"/>
      <c r="O27" s="2488"/>
      <c r="P27" s="2488"/>
      <c r="Q27" s="2488"/>
      <c r="R27" s="2479" t="str">
        <f t="shared" si="0"/>
        <v xml:space="preserve">, , , </v>
      </c>
    </row>
    <row r="28" spans="1:18" ht="15" customHeight="1" x14ac:dyDescent="0.2">
      <c r="A28" s="2760">
        <v>36</v>
      </c>
      <c r="B28" s="2488"/>
      <c r="C28" s="2488"/>
      <c r="D28" s="2488"/>
      <c r="E28" s="2488"/>
      <c r="F28" s="2669" t="s">
        <v>197</v>
      </c>
      <c r="G28" s="3045">
        <f>G26+'Pg 422.1 - Transmission Line St'!G52+'Pg 422.2 - Transmission Line St'!G95+'Pg 422.3 - Transmission Line St'!G25+'Pg 422.4 - Transmission Line St'!G160+'Pg 422.4 - Transmission Line St'!G162+'Pg 422.4 - Transmission Line St'!G164+'Pg 422.4 - Transmission Line St'!G166+'Pg 422.4 - Transmission Line St'!G168</f>
        <v>17414</v>
      </c>
      <c r="H28" s="3045">
        <f>H26+'Pg 422.1 - Transmission Line St'!H52+'Pg 422.2 - Transmission Line St'!H95+'Pg 422.3 - Transmission Line St'!H25+'Pg 422.4 - Transmission Line St'!H160+'Pg 422.4 - Transmission Line St'!H162+'Pg 422.4 - Transmission Line St'!H164+'Pg 422.4 - Transmission Line St'!H166+'Pg 422.4 - Transmission Line St'!H168</f>
        <v>662</v>
      </c>
      <c r="I28" s="3018">
        <f>I26+'Pg 422.1 - Transmission Line St'!I52+'Pg 422.2 - Transmission Line St'!I95+'Pg 422.3 - Transmission Line St'!I25+'Pg 422.4 - Transmission Line St'!I160+'Pg 422.4 - Transmission Line St'!I162+'Pg 422.4 - Transmission Line St'!I164+'Pg 422.4 - Transmission Line St'!I166+'Pg 422.4 - Transmission Line St'!I168</f>
        <v>311</v>
      </c>
      <c r="J28" s="2668"/>
      <c r="K28" s="3018">
        <f>K26+'Pg 422.1 - Transmission Line St'!K52+'Pg 422.2 - Transmission Line St'!K95+'Pg 422.3 - Transmission Line St'!K25+'Pg 422.4 - Transmission Line St'!K160+'Pg 422.4 - Transmission Line St'!K162+'Pg 422.4 - Transmission Line St'!K164+'Pg 422.4 - Transmission Line St'!K166+'Pg 422.4 - Transmission Line St'!K168</f>
        <v>314524034</v>
      </c>
      <c r="L28" s="3018">
        <f>L26+'Pg 422.1 - Transmission Line St'!L52+'Pg 422.2 - Transmission Line St'!L95+'Pg 422.3 - Transmission Line St'!L25+'Pg 422.4 - Transmission Line St'!L160+'Pg 422.4 - Transmission Line St'!L162+'Pg 422.4 - Transmission Line St'!L164+'Pg 422.4 - Transmission Line St'!L166+'Pg 422.4 - Transmission Line St'!L168</f>
        <v>4549395421</v>
      </c>
      <c r="M28" s="3018">
        <f>M26+'Pg 422.1 - Transmission Line St'!M52+'Pg 422.2 - Transmission Line St'!M95+'Pg 422.3 - Transmission Line St'!M25+'Pg 422.4 - Transmission Line St'!M160+'Pg 422.4 - Transmission Line St'!M162+'Pg 422.4 - Transmission Line St'!M164+'Pg 422.4 - Transmission Line St'!M166+'Pg 422.4 - Transmission Line St'!M168</f>
        <v>4863919455</v>
      </c>
      <c r="N28" s="3018">
        <f>N26+'Pg 422.1 - Transmission Line St'!N52+'Pg 422.2 - Transmission Line St'!N95+'Pg 422.3 - Transmission Line St'!N25+'Pg 422.4 - Transmission Line St'!N160+'Pg 422.4 - Transmission Line St'!N162+'Pg 422.4 - Transmission Line St'!N164+'Pg 422.4 - Transmission Line St'!N166+'Pg 422.4 - Transmission Line St'!N168</f>
        <v>1947377</v>
      </c>
      <c r="O28" s="3018">
        <f>O26+'Pg 422.1 - Transmission Line St'!O52+'Pg 422.2 - Transmission Line St'!O95+'Pg 422.3 - Transmission Line St'!O25+'Pg 422.4 - Transmission Line St'!O160+'Pg 422.4 - Transmission Line St'!O162+'Pg 422.4 - Transmission Line St'!O164+'Pg 422.4 - Transmission Line St'!O166+'Pg 422.4 - Transmission Line St'!O168</f>
        <v>29154506</v>
      </c>
      <c r="P28" s="3018">
        <f>P26+'Pg 422.1 - Transmission Line St'!P52+'Pg 422.2 - Transmission Line St'!P95+'Pg 422.3 - Transmission Line St'!P25+'Pg 422.4 - Transmission Line St'!P160+'Pg 422.4 - Transmission Line St'!P162+'Pg 422.4 - Transmission Line St'!P164+'Pg 422.4 - Transmission Line St'!P166+'Pg 422.4 - Transmission Line St'!P168</f>
        <v>1826421</v>
      </c>
      <c r="Q28" s="3018">
        <f>Q26+'Pg 422.1 - Transmission Line St'!Q52+'Pg 422.2 - Transmission Line St'!Q95+'Pg 422.3 - Transmission Line St'!Q25+'Pg 422.4 - Transmission Line St'!Q160+'Pg 422.4 - Transmission Line St'!Q162+'Pg 422.4 - Transmission Line St'!Q164+'Pg 422.4 - Transmission Line St'!Q166+'Pg 422.4 - Transmission Line St'!Q168</f>
        <v>32928304</v>
      </c>
      <c r="R28" s="2479"/>
    </row>
    <row r="29" spans="1:18" ht="25.7" customHeight="1" x14ac:dyDescent="0.2">
      <c r="A29" s="2516"/>
      <c r="B29" s="2516"/>
      <c r="C29" s="2894"/>
      <c r="D29" s="2516"/>
      <c r="E29" s="2516"/>
      <c r="F29" s="2536"/>
      <c r="G29" s="2516"/>
      <c r="H29" s="2516"/>
      <c r="I29" s="2536"/>
      <c r="J29" s="2516"/>
      <c r="K29" s="2894" t="s">
        <v>10536</v>
      </c>
      <c r="L29" s="2536"/>
      <c r="M29" s="2894" t="s">
        <v>10537</v>
      </c>
      <c r="N29" s="2894" t="s">
        <v>10538</v>
      </c>
      <c r="O29" s="3047" t="s">
        <v>10539</v>
      </c>
      <c r="P29" s="2894" t="s">
        <v>10540</v>
      </c>
      <c r="Q29" s="2516"/>
    </row>
    <row r="30" spans="1:18" ht="15" customHeight="1" x14ac:dyDescent="0.2">
      <c r="N30" s="3048">
        <v>1947377</v>
      </c>
      <c r="O30" s="3048">
        <f>'Pgs 320-323 - O&amp;M Expenses (For'!C120+'Pgs 320-323 - O&amp;M Expenses (For'!C121</f>
        <v>29154506</v>
      </c>
      <c r="P30" s="3049">
        <v>1826421</v>
      </c>
      <c r="Q30" s="2479"/>
    </row>
    <row r="31" spans="1:18" ht="15" customHeight="1" x14ac:dyDescent="0.2">
      <c r="N31" s="3050">
        <f>N30-N28</f>
        <v>0</v>
      </c>
      <c r="O31" s="3050">
        <f>O30-O28</f>
        <v>0</v>
      </c>
      <c r="P31" s="3050">
        <f>P30-P28</f>
        <v>0</v>
      </c>
      <c r="Q31" s="2479"/>
    </row>
    <row r="32" spans="1:18" ht="15" customHeight="1" x14ac:dyDescent="0.2">
      <c r="N32" s="2608"/>
      <c r="O32" s="2608"/>
      <c r="P32" s="2608"/>
    </row>
    <row r="33" ht="15" customHeight="1" x14ac:dyDescent="0.2"/>
  </sheetData>
  <mergeCells count="16">
    <mergeCell ref="J6:J7"/>
    <mergeCell ref="K6:M6"/>
    <mergeCell ref="N6:Q6"/>
    <mergeCell ref="A6:A8"/>
    <mergeCell ref="B6:C6"/>
    <mergeCell ref="D6:E6"/>
    <mergeCell ref="F6:F7"/>
    <mergeCell ref="G6:H6"/>
    <mergeCell ref="I6:I7"/>
    <mergeCell ref="A5:I5"/>
    <mergeCell ref="J5:Q5"/>
    <mergeCell ref="B2:J2"/>
    <mergeCell ref="K2:M2"/>
    <mergeCell ref="N2:Q2"/>
    <mergeCell ref="A3:Q3"/>
    <mergeCell ref="A4:Q4"/>
  </mergeCells>
  <pageMargins left="0.75" right="0.75" top="1" bottom="1" header="0.5" footer="0.5"/>
  <customProperties>
    <customPr name="_pios_id" r:id="rId1"/>
  </customProperties>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D89612-77D2-40F2-8A2A-895BF556864B}">
  <sheetPr codeName="Sheet104"/>
  <dimension ref="A1:R114"/>
  <sheetViews>
    <sheetView showRuler="0" workbookViewId="0"/>
  </sheetViews>
  <sheetFormatPr defaultColWidth="11.5" defaultRowHeight="12.75" x14ac:dyDescent="0.2"/>
  <cols>
    <col min="1" max="1" width="5.75" style="1953" customWidth="1"/>
    <col min="2" max="2" width="28.625" style="1953" customWidth="1"/>
    <col min="3" max="3" width="22" style="1953" customWidth="1"/>
    <col min="4" max="6" width="11.25" style="1953" customWidth="1"/>
    <col min="7" max="7" width="14.625" style="1953" customWidth="1"/>
    <col min="8" max="8" width="19" style="1953" customWidth="1"/>
    <col min="9" max="9" width="11" style="1953" customWidth="1"/>
    <col min="10" max="10" width="17.625" style="1953" customWidth="1"/>
    <col min="11" max="11" width="13.75" style="1953" customWidth="1"/>
    <col min="12" max="13" width="15.375" style="1953" customWidth="1"/>
    <col min="14" max="14" width="17" style="1953" customWidth="1"/>
    <col min="15" max="15" width="15.625" style="1953" customWidth="1"/>
    <col min="16" max="16" width="10.375" style="1953" customWidth="1"/>
    <col min="17" max="17" width="11.875" style="1953" customWidth="1"/>
    <col min="18" max="18" width="14.625" style="1953" customWidth="1"/>
    <col min="19" max="16384" width="11.5" style="1953"/>
  </cols>
  <sheetData>
    <row r="1" spans="1:18" ht="16.7" customHeight="1" x14ac:dyDescent="0.2">
      <c r="B1" s="2744" t="s">
        <v>7058</v>
      </c>
      <c r="C1" s="2788"/>
    </row>
    <row r="2" spans="1:18" ht="16.7" customHeight="1" x14ac:dyDescent="0.2">
      <c r="B2" s="4171" t="s">
        <v>10541</v>
      </c>
      <c r="C2" s="4172"/>
      <c r="D2" s="4172"/>
      <c r="E2" s="4172"/>
      <c r="F2" s="4172"/>
      <c r="G2" s="4172"/>
      <c r="H2" s="4172"/>
      <c r="I2" s="4172"/>
      <c r="J2" s="4173"/>
      <c r="K2" s="4174" t="s">
        <v>10542</v>
      </c>
      <c r="L2" s="4175"/>
      <c r="M2" s="4176"/>
      <c r="N2" s="4174" t="s">
        <v>10543</v>
      </c>
      <c r="O2" s="4175"/>
      <c r="P2" s="4175"/>
      <c r="Q2" s="4176"/>
      <c r="R2" s="2528"/>
    </row>
    <row r="3" spans="1:18" ht="16.7" customHeight="1" x14ac:dyDescent="0.2">
      <c r="A3" s="3859" t="s">
        <v>10484</v>
      </c>
      <c r="B3" s="3859"/>
      <c r="C3" s="3859"/>
      <c r="D3" s="3859"/>
      <c r="E3" s="3859"/>
      <c r="F3" s="3859"/>
      <c r="G3" s="3859"/>
      <c r="H3" s="3859"/>
      <c r="I3" s="3859"/>
      <c r="J3" s="3867" t="s">
        <v>10544</v>
      </c>
      <c r="K3" s="3867"/>
      <c r="L3" s="3867"/>
      <c r="M3" s="3867"/>
      <c r="N3" s="3867"/>
      <c r="O3" s="3867"/>
      <c r="P3" s="3867"/>
      <c r="Q3" s="3867"/>
      <c r="R3" s="2479"/>
    </row>
    <row r="4" spans="1:18" ht="16.7" customHeight="1" x14ac:dyDescent="0.2">
      <c r="A4" s="3860" t="s">
        <v>10485</v>
      </c>
      <c r="B4" s="3856"/>
      <c r="C4" s="3856"/>
      <c r="D4" s="3856"/>
      <c r="E4" s="3856"/>
      <c r="F4" s="3856"/>
      <c r="G4" s="3856"/>
      <c r="H4" s="3856"/>
      <c r="I4" s="3856"/>
      <c r="J4" s="3870" t="s">
        <v>10545</v>
      </c>
      <c r="K4" s="3870"/>
      <c r="L4" s="3870"/>
      <c r="M4" s="3870"/>
      <c r="N4" s="3870"/>
      <c r="O4" s="3870"/>
      <c r="P4" s="3870"/>
      <c r="Q4" s="3870"/>
      <c r="R4" s="2479"/>
    </row>
    <row r="5" spans="1:18" ht="120" customHeight="1" x14ac:dyDescent="0.2">
      <c r="A5" s="3878" t="s">
        <v>10486</v>
      </c>
      <c r="B5" s="3879"/>
      <c r="C5" s="3879"/>
      <c r="D5" s="3879"/>
      <c r="E5" s="3879"/>
      <c r="F5" s="3879"/>
      <c r="G5" s="3879"/>
      <c r="H5" s="3879"/>
      <c r="I5" s="3880"/>
      <c r="J5" s="4009" t="s">
        <v>10487</v>
      </c>
      <c r="K5" s="4010"/>
      <c r="L5" s="4010"/>
      <c r="M5" s="4010"/>
      <c r="N5" s="4010"/>
      <c r="O5" s="4010"/>
      <c r="P5" s="4010"/>
      <c r="Q5" s="4011"/>
      <c r="R5" s="2479"/>
    </row>
    <row r="6" spans="1:18" ht="50.1" customHeight="1" x14ac:dyDescent="0.2">
      <c r="A6" s="3944" t="s">
        <v>6360</v>
      </c>
      <c r="B6" s="3964" t="s">
        <v>10488</v>
      </c>
      <c r="C6" s="3884"/>
      <c r="D6" s="3964" t="s">
        <v>10489</v>
      </c>
      <c r="E6" s="3892"/>
      <c r="F6" s="3922" t="s">
        <v>10490</v>
      </c>
      <c r="G6" s="3964" t="s">
        <v>10491</v>
      </c>
      <c r="H6" s="3884"/>
      <c r="I6" s="3922" t="s">
        <v>10492</v>
      </c>
      <c r="J6" s="4062" t="s">
        <v>10493</v>
      </c>
      <c r="K6" s="3938" t="s">
        <v>10494</v>
      </c>
      <c r="L6" s="4015"/>
      <c r="M6" s="3937"/>
      <c r="N6" s="4177" t="s">
        <v>10495</v>
      </c>
      <c r="O6" s="4178"/>
      <c r="P6" s="4178"/>
      <c r="Q6" s="4179"/>
      <c r="R6" s="2479"/>
    </row>
    <row r="7" spans="1:18" ht="39.200000000000003" customHeight="1" x14ac:dyDescent="0.2">
      <c r="A7" s="3899"/>
      <c r="B7" s="2583" t="s">
        <v>10496</v>
      </c>
      <c r="C7" s="2583" t="s">
        <v>10497</v>
      </c>
      <c r="D7" s="2583" t="s">
        <v>10498</v>
      </c>
      <c r="E7" s="2583" t="s">
        <v>10499</v>
      </c>
      <c r="F7" s="3943"/>
      <c r="G7" s="2637" t="s">
        <v>10500</v>
      </c>
      <c r="H7" s="2637" t="s">
        <v>10501</v>
      </c>
      <c r="I7" s="3943"/>
      <c r="J7" s="4063"/>
      <c r="K7" s="2740" t="s">
        <v>10502</v>
      </c>
      <c r="L7" s="2740" t="s">
        <v>10503</v>
      </c>
      <c r="M7" s="2740" t="s">
        <v>51</v>
      </c>
      <c r="N7" s="2740" t="s">
        <v>10504</v>
      </c>
      <c r="O7" s="2740" t="s">
        <v>10505</v>
      </c>
      <c r="P7" s="2740" t="s">
        <v>492</v>
      </c>
      <c r="Q7" s="2740" t="s">
        <v>10506</v>
      </c>
      <c r="R7" s="2479"/>
    </row>
    <row r="8" spans="1:18" ht="16.7" customHeight="1" x14ac:dyDescent="0.2">
      <c r="A8" s="3856"/>
      <c r="B8" s="2589" t="s">
        <v>5949</v>
      </c>
      <c r="C8" s="2589" t="s">
        <v>5950</v>
      </c>
      <c r="D8" s="2589" t="s">
        <v>5951</v>
      </c>
      <c r="E8" s="2589" t="s">
        <v>5952</v>
      </c>
      <c r="F8" s="2589" t="s">
        <v>6227</v>
      </c>
      <c r="G8" s="2589" t="s">
        <v>5804</v>
      </c>
      <c r="H8" s="2589" t="s">
        <v>6228</v>
      </c>
      <c r="I8" s="2589" t="s">
        <v>6229</v>
      </c>
      <c r="J8" s="2633" t="s">
        <v>6230</v>
      </c>
      <c r="K8" s="2633" t="s">
        <v>6231</v>
      </c>
      <c r="L8" s="2633" t="s">
        <v>6232</v>
      </c>
      <c r="M8" s="2633" t="s">
        <v>6233</v>
      </c>
      <c r="N8" s="2633" t="s">
        <v>7035</v>
      </c>
      <c r="O8" s="2633" t="s">
        <v>8045</v>
      </c>
      <c r="P8" s="2633" t="s">
        <v>8046</v>
      </c>
      <c r="Q8" s="2633" t="s">
        <v>10507</v>
      </c>
      <c r="R8" s="2479" t="s">
        <v>6324</v>
      </c>
    </row>
    <row r="9" spans="1:18" ht="16.7" customHeight="1" x14ac:dyDescent="0.2">
      <c r="A9" s="2752">
        <f>'Pg 422 - Transmission Line Stat'!A25+1</f>
        <v>18</v>
      </c>
      <c r="B9" s="2512" t="s">
        <v>10546</v>
      </c>
      <c r="C9" s="2488" t="s">
        <v>10547</v>
      </c>
      <c r="D9" s="3043">
        <v>345</v>
      </c>
      <c r="E9" s="3043">
        <v>345</v>
      </c>
      <c r="F9" s="2488" t="s">
        <v>10548</v>
      </c>
      <c r="G9" s="2750">
        <v>11</v>
      </c>
      <c r="H9" s="2488"/>
      <c r="I9" s="2750">
        <v>1</v>
      </c>
      <c r="J9" s="2488" t="s">
        <v>10549</v>
      </c>
      <c r="K9" s="2488"/>
      <c r="L9" s="2488"/>
      <c r="M9" s="2488"/>
      <c r="N9" s="2488"/>
      <c r="O9" s="2488"/>
      <c r="P9" s="2488"/>
      <c r="Q9" s="2488"/>
      <c r="R9" s="2479" t="str">
        <f t="shared" ref="R9:R54" si="0">CONCATENATE(B9,", ",C9,", ",F9,", ",J9)</f>
        <v>90TH SOUTH, UT, CAMP WILLIAMS #3, UT, Steel - SP, 1557.4 ACSR/TW 36/7</v>
      </c>
    </row>
    <row r="10" spans="1:18" ht="16.7" customHeight="1" x14ac:dyDescent="0.2">
      <c r="A10" s="2752">
        <f t="shared" ref="A10:A24" si="1">A9+1</f>
        <v>19</v>
      </c>
      <c r="B10" s="2512" t="s">
        <v>10546</v>
      </c>
      <c r="C10" s="2512" t="s">
        <v>10550</v>
      </c>
      <c r="D10" s="3041">
        <v>345</v>
      </c>
      <c r="E10" s="3041">
        <v>345</v>
      </c>
      <c r="F10" s="2512" t="s">
        <v>10548</v>
      </c>
      <c r="G10" s="2614"/>
      <c r="H10" s="2750">
        <v>11</v>
      </c>
      <c r="I10" s="2752">
        <v>1</v>
      </c>
      <c r="J10" s="2512" t="s">
        <v>10549</v>
      </c>
      <c r="K10" s="2614"/>
      <c r="L10" s="2614"/>
      <c r="M10" s="2614"/>
      <c r="N10" s="2488"/>
      <c r="O10" s="2488"/>
      <c r="P10" s="2488"/>
      <c r="Q10" s="2488"/>
      <c r="R10" s="2479" t="str">
        <f t="shared" si="0"/>
        <v>90TH SOUTH, UT, CAMP WILLIAMS #4, UT, Steel - SP, 1557.4 ACSR/TW 36/7</v>
      </c>
    </row>
    <row r="11" spans="1:18" ht="16.7" customHeight="1" x14ac:dyDescent="0.2">
      <c r="A11" s="2752">
        <f t="shared" si="1"/>
        <v>20</v>
      </c>
      <c r="B11" s="2512" t="s">
        <v>10546</v>
      </c>
      <c r="C11" s="2512" t="s">
        <v>10551</v>
      </c>
      <c r="D11" s="3041">
        <v>345</v>
      </c>
      <c r="E11" s="3041">
        <v>345</v>
      </c>
      <c r="F11" s="2512" t="s">
        <v>10548</v>
      </c>
      <c r="G11" s="3041">
        <v>11</v>
      </c>
      <c r="H11" s="2488"/>
      <c r="I11" s="2752">
        <v>1</v>
      </c>
      <c r="J11" s="2512" t="s">
        <v>10552</v>
      </c>
      <c r="K11" s="2614"/>
      <c r="L11" s="2614"/>
      <c r="M11" s="2614"/>
      <c r="N11" s="2488"/>
      <c r="O11" s="2488"/>
      <c r="P11" s="2488"/>
      <c r="Q11" s="2488"/>
      <c r="R11" s="2479" t="str">
        <f t="shared" si="0"/>
        <v>90TH SOUTH, UT, CAMP WILLIAMS #1, UT, Steel - SP, 1272 ACSR 45/7</v>
      </c>
    </row>
    <row r="12" spans="1:18" ht="16.7" customHeight="1" x14ac:dyDescent="0.2">
      <c r="A12" s="2752">
        <f t="shared" si="1"/>
        <v>21</v>
      </c>
      <c r="B12" s="2512" t="s">
        <v>10546</v>
      </c>
      <c r="C12" s="2512" t="s">
        <v>10553</v>
      </c>
      <c r="D12" s="3041">
        <v>345</v>
      </c>
      <c r="E12" s="3041">
        <v>345</v>
      </c>
      <c r="F12" s="2512" t="s">
        <v>10548</v>
      </c>
      <c r="G12" s="2614"/>
      <c r="H12" s="2750">
        <v>16</v>
      </c>
      <c r="I12" s="2752">
        <v>1</v>
      </c>
      <c r="J12" s="2512" t="s">
        <v>10552</v>
      </c>
      <c r="K12" s="2614"/>
      <c r="L12" s="2614"/>
      <c r="M12" s="2614"/>
      <c r="N12" s="2488"/>
      <c r="O12" s="2488"/>
      <c r="P12" s="2488"/>
      <c r="Q12" s="2488"/>
      <c r="R12" s="2479" t="str">
        <f t="shared" si="0"/>
        <v>90TH SOUTH, UT, TERMINAL, UT, Steel - SP, 1272 ACSR 45/7</v>
      </c>
    </row>
    <row r="13" spans="1:18" ht="16.7" customHeight="1" x14ac:dyDescent="0.2">
      <c r="A13" s="2752">
        <f t="shared" si="1"/>
        <v>22</v>
      </c>
      <c r="B13" s="2512" t="s">
        <v>10510</v>
      </c>
      <c r="C13" s="2512" t="s">
        <v>10554</v>
      </c>
      <c r="D13" s="3041">
        <v>345</v>
      </c>
      <c r="E13" s="3041">
        <v>345</v>
      </c>
      <c r="F13" s="2512" t="s">
        <v>10555</v>
      </c>
      <c r="G13" s="3041">
        <v>5</v>
      </c>
      <c r="H13" s="2488"/>
      <c r="I13" s="2752">
        <v>1</v>
      </c>
      <c r="J13" s="2512" t="s">
        <v>10512</v>
      </c>
      <c r="K13" s="2614"/>
      <c r="L13" s="2614"/>
      <c r="M13" s="2614"/>
      <c r="N13" s="2488"/>
      <c r="O13" s="2488"/>
      <c r="P13" s="2488"/>
      <c r="Q13" s="2488"/>
      <c r="R13" s="2479" t="str">
        <f t="shared" si="0"/>
        <v>ANTICLINE, WY, JIM BRIDGER, WY, Steel - H, 3-1272 ACSR 45/7</v>
      </c>
    </row>
    <row r="14" spans="1:18" ht="16.7" customHeight="1" x14ac:dyDescent="0.2">
      <c r="A14" s="2752">
        <f t="shared" si="1"/>
        <v>23</v>
      </c>
      <c r="B14" s="2512" t="s">
        <v>10556</v>
      </c>
      <c r="C14" s="2512" t="s">
        <v>10557</v>
      </c>
      <c r="D14" s="3041">
        <v>345</v>
      </c>
      <c r="E14" s="3041">
        <v>345</v>
      </c>
      <c r="F14" s="2512" t="s">
        <v>10548</v>
      </c>
      <c r="G14" s="2614"/>
      <c r="H14" s="2750">
        <v>82</v>
      </c>
      <c r="I14" s="2752">
        <v>1</v>
      </c>
      <c r="J14" s="2512" t="s">
        <v>10552</v>
      </c>
      <c r="K14" s="2614"/>
      <c r="L14" s="2614"/>
      <c r="M14" s="2614"/>
      <c r="N14" s="2488"/>
      <c r="O14" s="2488"/>
      <c r="P14" s="2488"/>
      <c r="Q14" s="2488"/>
      <c r="R14" s="2479" t="str">
        <f t="shared" si="0"/>
        <v>BEN LOMOND, UT, POPULUS #1, ID, Steel - SP, 1272 ACSR 45/7</v>
      </c>
    </row>
    <row r="15" spans="1:18" ht="16.7" customHeight="1" x14ac:dyDescent="0.2">
      <c r="A15" s="2752">
        <f t="shared" si="1"/>
        <v>24</v>
      </c>
      <c r="B15" s="2512" t="s">
        <v>10556</v>
      </c>
      <c r="C15" s="2512" t="s">
        <v>10558</v>
      </c>
      <c r="D15" s="3041">
        <v>345</v>
      </c>
      <c r="E15" s="3041">
        <v>345</v>
      </c>
      <c r="F15" s="2512" t="s">
        <v>10548</v>
      </c>
      <c r="G15" s="3041">
        <v>86</v>
      </c>
      <c r="H15" s="2488"/>
      <c r="I15" s="2752">
        <v>1</v>
      </c>
      <c r="J15" s="2512" t="s">
        <v>10552</v>
      </c>
      <c r="K15" s="2488"/>
      <c r="L15" s="2614"/>
      <c r="M15" s="2614"/>
      <c r="N15" s="2488"/>
      <c r="O15" s="2488"/>
      <c r="P15" s="2488"/>
      <c r="Q15" s="2488"/>
      <c r="R15" s="2479" t="str">
        <f t="shared" si="0"/>
        <v>BEN LOMOND, UT, POPULUS #2, ID, Steel - SP, 1272 ACSR 45/7</v>
      </c>
    </row>
    <row r="16" spans="1:18" ht="16.7" customHeight="1" x14ac:dyDescent="0.2">
      <c r="A16" s="2752">
        <f t="shared" si="1"/>
        <v>25</v>
      </c>
      <c r="B16" s="2512" t="s">
        <v>10556</v>
      </c>
      <c r="C16" s="2512" t="s">
        <v>10559</v>
      </c>
      <c r="D16" s="3041">
        <v>345</v>
      </c>
      <c r="E16" s="3041">
        <v>345</v>
      </c>
      <c r="F16" s="2512" t="s">
        <v>10548</v>
      </c>
      <c r="G16" s="3041">
        <v>69</v>
      </c>
      <c r="H16" s="2614"/>
      <c r="I16" s="2752">
        <v>1</v>
      </c>
      <c r="J16" s="2512" t="s">
        <v>10552</v>
      </c>
      <c r="K16" s="2488"/>
      <c r="L16" s="2614"/>
      <c r="M16" s="2614"/>
      <c r="N16" s="2488"/>
      <c r="O16" s="2488"/>
      <c r="P16" s="2488"/>
      <c r="Q16" s="2488"/>
      <c r="R16" s="2479" t="str">
        <f t="shared" si="0"/>
        <v>BEN LOMOND, UT, CAMP WILLIAMS, UT, Steel - SP, 1272 ACSR 45/7</v>
      </c>
    </row>
    <row r="17" spans="1:18" ht="16.7" customHeight="1" x14ac:dyDescent="0.2">
      <c r="A17" s="2752">
        <f t="shared" si="1"/>
        <v>26</v>
      </c>
      <c r="B17" s="2512" t="s">
        <v>10556</v>
      </c>
      <c r="C17" s="2512" t="s">
        <v>10560</v>
      </c>
      <c r="D17" s="3041">
        <v>345</v>
      </c>
      <c r="E17" s="3041">
        <v>345</v>
      </c>
      <c r="F17" s="2512" t="s">
        <v>10548</v>
      </c>
      <c r="G17" s="3041">
        <v>47</v>
      </c>
      <c r="H17" s="2488"/>
      <c r="I17" s="2752">
        <v>1</v>
      </c>
      <c r="J17" s="2512" t="s">
        <v>10552</v>
      </c>
      <c r="K17" s="2614"/>
      <c r="L17" s="2614"/>
      <c r="M17" s="2614"/>
      <c r="N17" s="2488"/>
      <c r="O17" s="2488"/>
      <c r="P17" s="2488"/>
      <c r="Q17" s="2488"/>
      <c r="R17" s="2479" t="str">
        <f t="shared" si="0"/>
        <v>BEN LOMOND, UT, TERMINAL #2, UT, Steel - SP, 1272 ACSR 45/7</v>
      </c>
    </row>
    <row r="18" spans="1:18" ht="16.7" customHeight="1" x14ac:dyDescent="0.2">
      <c r="A18" s="2752">
        <f t="shared" si="1"/>
        <v>27</v>
      </c>
      <c r="B18" s="2512" t="s">
        <v>10556</v>
      </c>
      <c r="C18" s="2512" t="s">
        <v>10561</v>
      </c>
      <c r="D18" s="3041">
        <v>345</v>
      </c>
      <c r="E18" s="3041">
        <v>345</v>
      </c>
      <c r="F18" s="2512" t="s">
        <v>10548</v>
      </c>
      <c r="G18" s="2614"/>
      <c r="H18" s="2750">
        <v>47</v>
      </c>
      <c r="I18" s="2752">
        <v>1</v>
      </c>
      <c r="J18" s="2512" t="s">
        <v>10552</v>
      </c>
      <c r="K18" s="2614"/>
      <c r="L18" s="2614"/>
      <c r="M18" s="2614"/>
      <c r="N18" s="2488"/>
      <c r="O18" s="2488"/>
      <c r="P18" s="2488"/>
      <c r="Q18" s="2488"/>
      <c r="R18" s="2479" t="str">
        <f t="shared" si="0"/>
        <v>BEN LOMOND, UT, TERMINAL #1, UT, Steel - SP, 1272 ACSR 45/7</v>
      </c>
    </row>
    <row r="19" spans="1:18" ht="16.7" customHeight="1" x14ac:dyDescent="0.2">
      <c r="A19" s="2752">
        <f t="shared" si="1"/>
        <v>28</v>
      </c>
      <c r="B19" s="2744" t="s">
        <v>10562</v>
      </c>
      <c r="C19" s="2488" t="s">
        <v>10563</v>
      </c>
      <c r="D19" s="3043">
        <v>345</v>
      </c>
      <c r="E19" s="3043">
        <v>345</v>
      </c>
      <c r="F19" s="2488" t="s">
        <v>10564</v>
      </c>
      <c r="G19" s="3043">
        <v>83</v>
      </c>
      <c r="H19" s="2488"/>
      <c r="I19" s="2750">
        <v>1</v>
      </c>
      <c r="J19" s="2488" t="s">
        <v>10552</v>
      </c>
      <c r="K19" s="2488"/>
      <c r="L19" s="2488"/>
      <c r="M19" s="2488"/>
      <c r="N19" s="2488"/>
      <c r="O19" s="2488"/>
      <c r="P19" s="2488"/>
      <c r="Q19" s="2488"/>
      <c r="R19" s="2479" t="str">
        <f t="shared" si="0"/>
        <v>BORAH, ID, MIDPOINT #1, ID, Wood - H, 1272 ACSR 45/7</v>
      </c>
    </row>
    <row r="20" spans="1:18" ht="16.7" customHeight="1" x14ac:dyDescent="0.2">
      <c r="A20" s="2752">
        <f t="shared" si="1"/>
        <v>29</v>
      </c>
      <c r="B20" s="2744" t="s">
        <v>10562</v>
      </c>
      <c r="C20" s="2512" t="s">
        <v>10565</v>
      </c>
      <c r="D20" s="3041">
        <v>345</v>
      </c>
      <c r="E20" s="3041">
        <v>345</v>
      </c>
      <c r="F20" s="2512" t="s">
        <v>10564</v>
      </c>
      <c r="G20" s="3041">
        <v>78</v>
      </c>
      <c r="H20" s="2488"/>
      <c r="I20" s="2752">
        <v>1</v>
      </c>
      <c r="J20" s="2512" t="s">
        <v>10552</v>
      </c>
      <c r="K20" s="2614"/>
      <c r="L20" s="2614"/>
      <c r="M20" s="2614"/>
      <c r="N20" s="2488"/>
      <c r="O20" s="2488"/>
      <c r="P20" s="2488"/>
      <c r="Q20" s="2488"/>
      <c r="R20" s="2479" t="str">
        <f t="shared" si="0"/>
        <v>BORAH, ID, MIDPOINT #2, ID, Wood - H, 1272 ACSR 45/7</v>
      </c>
    </row>
    <row r="21" spans="1:18" ht="16.7" customHeight="1" x14ac:dyDescent="0.2">
      <c r="A21" s="2752">
        <f t="shared" si="1"/>
        <v>30</v>
      </c>
      <c r="B21" s="2512" t="s">
        <v>10559</v>
      </c>
      <c r="C21" s="2512" t="s">
        <v>10566</v>
      </c>
      <c r="D21" s="3041">
        <v>345</v>
      </c>
      <c r="E21" s="3041">
        <v>345</v>
      </c>
      <c r="F21" s="2512" t="s">
        <v>10564</v>
      </c>
      <c r="G21" s="3041">
        <v>50</v>
      </c>
      <c r="H21" s="2488"/>
      <c r="I21" s="2752">
        <v>1</v>
      </c>
      <c r="J21" s="2512" t="s">
        <v>10567</v>
      </c>
      <c r="K21" s="2614"/>
      <c r="L21" s="2614"/>
      <c r="M21" s="2614"/>
      <c r="N21" s="2488"/>
      <c r="O21" s="2488"/>
      <c r="P21" s="2488"/>
      <c r="Q21" s="2488"/>
      <c r="R21" s="2479" t="str">
        <f t="shared" si="0"/>
        <v>CAMP WILLIAMS, UT, CLOVER, UT, Wood - H, 954 ACSR 45/7</v>
      </c>
    </row>
    <row r="22" spans="1:18" ht="16.7" customHeight="1" x14ac:dyDescent="0.2">
      <c r="A22" s="2752">
        <f t="shared" si="1"/>
        <v>31</v>
      </c>
      <c r="B22" s="2512" t="s">
        <v>10559</v>
      </c>
      <c r="C22" s="2512" t="s">
        <v>10568</v>
      </c>
      <c r="D22" s="3041">
        <v>345</v>
      </c>
      <c r="E22" s="3041">
        <v>345</v>
      </c>
      <c r="F22" s="2512" t="s">
        <v>10564</v>
      </c>
      <c r="G22" s="3041">
        <v>47</v>
      </c>
      <c r="H22" s="2488"/>
      <c r="I22" s="2752">
        <v>1</v>
      </c>
      <c r="J22" s="2512" t="s">
        <v>10552</v>
      </c>
      <c r="K22" s="2614"/>
      <c r="L22" s="2614"/>
      <c r="M22" s="2614"/>
      <c r="N22" s="2488"/>
      <c r="O22" s="2488"/>
      <c r="P22" s="2488"/>
      <c r="Q22" s="2488"/>
      <c r="R22" s="2479" t="str">
        <f t="shared" si="0"/>
        <v>CAMP WILLIAMS, UT, MONA #1, UT, Wood - H, 1272 ACSR 45/7</v>
      </c>
    </row>
    <row r="23" spans="1:18" ht="16.7" customHeight="1" x14ac:dyDescent="0.2">
      <c r="A23" s="2752">
        <f t="shared" si="1"/>
        <v>32</v>
      </c>
      <c r="B23" s="2512" t="s">
        <v>10559</v>
      </c>
      <c r="C23" s="2512" t="s">
        <v>10569</v>
      </c>
      <c r="D23" s="3041">
        <v>345</v>
      </c>
      <c r="E23" s="3041">
        <v>345</v>
      </c>
      <c r="F23" s="2512" t="s">
        <v>10511</v>
      </c>
      <c r="G23" s="3041">
        <v>48</v>
      </c>
      <c r="H23" s="2488"/>
      <c r="I23" s="2752">
        <v>1</v>
      </c>
      <c r="J23" s="2512" t="s">
        <v>10570</v>
      </c>
      <c r="K23" s="2614"/>
      <c r="L23" s="2614"/>
      <c r="M23" s="2614"/>
      <c r="N23" s="2488"/>
      <c r="O23" s="2488"/>
      <c r="P23" s="2488"/>
      <c r="Q23" s="2488"/>
      <c r="R23" s="2479" t="str">
        <f t="shared" si="0"/>
        <v>CAMP WILLIAMS, UT, MONA #2, UT, Steel Tower, 954 ACSR 54/7</v>
      </c>
    </row>
    <row r="24" spans="1:18" ht="16.7" customHeight="1" x14ac:dyDescent="0.2">
      <c r="A24" s="2752">
        <f t="shared" si="1"/>
        <v>33</v>
      </c>
      <c r="B24" s="2512" t="s">
        <v>10559</v>
      </c>
      <c r="C24" s="2512" t="s">
        <v>10571</v>
      </c>
      <c r="D24" s="3041">
        <v>345</v>
      </c>
      <c r="E24" s="3041">
        <v>345</v>
      </c>
      <c r="F24" s="2512" t="s">
        <v>10511</v>
      </c>
      <c r="G24" s="3041">
        <v>5</v>
      </c>
      <c r="H24" s="2750">
        <v>43</v>
      </c>
      <c r="I24" s="2752">
        <v>1</v>
      </c>
      <c r="J24" s="2512" t="s">
        <v>10567</v>
      </c>
      <c r="K24" s="2488"/>
      <c r="L24" s="2614"/>
      <c r="M24" s="2614"/>
      <c r="N24" s="2488"/>
      <c r="O24" s="2488"/>
      <c r="P24" s="2488"/>
      <c r="Q24" s="2488"/>
      <c r="R24" s="2479" t="str">
        <f t="shared" si="0"/>
        <v>CAMP WILLIAMS, UT, MONA #4 UT, Steel Tower, 954 ACSR 45/7</v>
      </c>
    </row>
    <row r="25" spans="1:18" ht="16.7" customHeight="1" x14ac:dyDescent="0.2">
      <c r="A25" s="2752">
        <v>34</v>
      </c>
      <c r="B25" s="2512" t="s">
        <v>10566</v>
      </c>
      <c r="C25" s="2512" t="s">
        <v>10572</v>
      </c>
      <c r="D25" s="3041">
        <v>345</v>
      </c>
      <c r="E25" s="3041">
        <v>345</v>
      </c>
      <c r="F25" s="2512" t="s">
        <v>10511</v>
      </c>
      <c r="G25" s="3041">
        <v>100</v>
      </c>
      <c r="H25" s="2488"/>
      <c r="I25" s="2752">
        <v>1</v>
      </c>
      <c r="J25" s="2512" t="s">
        <v>10573</v>
      </c>
      <c r="K25" s="2614"/>
      <c r="L25" s="2614"/>
      <c r="M25" s="2614"/>
      <c r="N25" s="2488"/>
      <c r="O25" s="2488"/>
      <c r="P25" s="2488"/>
      <c r="Q25" s="2488"/>
      <c r="R25" s="2479" t="str">
        <f t="shared" si="0"/>
        <v>CLOVER, UT, OQUIRRH, UT, Steel Tower, 1949 ACSR 45/7</v>
      </c>
    </row>
    <row r="26" spans="1:18" ht="16.7" customHeight="1" x14ac:dyDescent="0.2">
      <c r="A26" s="3003">
        <f t="shared" ref="A26:A51" si="2">A25+0.001</f>
        <v>34.000999999999998</v>
      </c>
      <c r="B26" s="2512" t="s">
        <v>10574</v>
      </c>
      <c r="C26" s="2512" t="s">
        <v>10575</v>
      </c>
      <c r="D26" s="3041">
        <v>345</v>
      </c>
      <c r="E26" s="3041">
        <v>345</v>
      </c>
      <c r="F26" s="2512" t="s">
        <v>10548</v>
      </c>
      <c r="G26" s="3041">
        <v>1</v>
      </c>
      <c r="H26" s="2488"/>
      <c r="I26" s="2752">
        <v>1</v>
      </c>
      <c r="J26" s="2512" t="s">
        <v>10570</v>
      </c>
      <c r="K26" s="2488"/>
      <c r="L26" s="2614"/>
      <c r="M26" s="2614"/>
      <c r="N26" s="2488"/>
      <c r="O26" s="2488"/>
      <c r="P26" s="2488"/>
      <c r="Q26" s="2488"/>
      <c r="R26" s="2479" t="str">
        <f t="shared" si="0"/>
        <v>CURRANT CREEK, UT, MONA, UT, Steel - SP, 954 ACSR 54/7</v>
      </c>
    </row>
    <row r="27" spans="1:18" ht="16.7" customHeight="1" x14ac:dyDescent="0.2">
      <c r="A27" s="3003">
        <f t="shared" si="2"/>
        <v>34.001999999999995</v>
      </c>
      <c r="B27" s="2512" t="s">
        <v>10576</v>
      </c>
      <c r="C27" s="2512" t="s">
        <v>10559</v>
      </c>
      <c r="D27" s="3041">
        <v>345</v>
      </c>
      <c r="E27" s="3041">
        <v>345</v>
      </c>
      <c r="F27" s="2512" t="s">
        <v>10511</v>
      </c>
      <c r="G27" s="3041">
        <v>121</v>
      </c>
      <c r="H27" s="2488"/>
      <c r="I27" s="2752">
        <v>1</v>
      </c>
      <c r="J27" s="2512" t="s">
        <v>10570</v>
      </c>
      <c r="K27" s="2488"/>
      <c r="L27" s="2614"/>
      <c r="M27" s="2614"/>
      <c r="N27" s="2488"/>
      <c r="O27" s="2488"/>
      <c r="P27" s="2488"/>
      <c r="Q27" s="2488"/>
      <c r="R27" s="2479" t="str">
        <f t="shared" si="0"/>
        <v>EMERY, UT, CAMP WILLIAMS, UT, Steel Tower, 954 ACSR 54/7</v>
      </c>
    </row>
    <row r="28" spans="1:18" ht="16.7" customHeight="1" x14ac:dyDescent="0.2">
      <c r="A28" s="3003">
        <f t="shared" si="2"/>
        <v>34.002999999999993</v>
      </c>
      <c r="B28" s="2512" t="s">
        <v>10576</v>
      </c>
      <c r="C28" s="2512" t="s">
        <v>10577</v>
      </c>
      <c r="D28" s="3041">
        <v>345</v>
      </c>
      <c r="E28" s="3041">
        <v>345</v>
      </c>
      <c r="F28" s="2512" t="s">
        <v>10564</v>
      </c>
      <c r="G28" s="3041">
        <v>20</v>
      </c>
      <c r="H28" s="2488"/>
      <c r="I28" s="2752">
        <v>1</v>
      </c>
      <c r="J28" s="2512" t="s">
        <v>10567</v>
      </c>
      <c r="K28" s="2614"/>
      <c r="L28" s="2614"/>
      <c r="M28" s="2614"/>
      <c r="N28" s="2488"/>
      <c r="O28" s="2488"/>
      <c r="P28" s="2488"/>
      <c r="Q28" s="2488"/>
      <c r="R28" s="2479" t="str">
        <f t="shared" si="0"/>
        <v>EMERY, UT, HUNTINGTON, UT, Wood - H, 954 ACSR 45/7</v>
      </c>
    </row>
    <row r="29" spans="1:18" ht="16.7" customHeight="1" x14ac:dyDescent="0.2">
      <c r="A29" s="3003">
        <f t="shared" si="2"/>
        <v>34.003999999999991</v>
      </c>
      <c r="B29" s="2512" t="s">
        <v>10576</v>
      </c>
      <c r="C29" s="2512" t="s">
        <v>10578</v>
      </c>
      <c r="D29" s="3041">
        <v>345</v>
      </c>
      <c r="E29" s="3041">
        <v>345</v>
      </c>
      <c r="F29" s="2512" t="s">
        <v>10555</v>
      </c>
      <c r="G29" s="3041">
        <v>74</v>
      </c>
      <c r="H29" s="2488"/>
      <c r="I29" s="2752">
        <v>1</v>
      </c>
      <c r="J29" s="2512" t="s">
        <v>10567</v>
      </c>
      <c r="K29" s="2614"/>
      <c r="L29" s="2614"/>
      <c r="M29" s="2614"/>
      <c r="N29" s="2488"/>
      <c r="O29" s="2488"/>
      <c r="P29" s="2488"/>
      <c r="Q29" s="2488"/>
      <c r="R29" s="2479" t="str">
        <f t="shared" si="0"/>
        <v>EMERY, UT, SIGURD #1, UT, Steel - H, 954 ACSR 45/7</v>
      </c>
    </row>
    <row r="30" spans="1:18" ht="16.7" customHeight="1" x14ac:dyDescent="0.2">
      <c r="A30" s="3003">
        <f t="shared" si="2"/>
        <v>34.004999999999988</v>
      </c>
      <c r="B30" s="2512" t="s">
        <v>10576</v>
      </c>
      <c r="C30" s="2512" t="s">
        <v>10579</v>
      </c>
      <c r="D30" s="3041">
        <v>345</v>
      </c>
      <c r="E30" s="3041">
        <v>345</v>
      </c>
      <c r="F30" s="2512" t="s">
        <v>10555</v>
      </c>
      <c r="G30" s="3041">
        <v>75</v>
      </c>
      <c r="H30" s="2488"/>
      <c r="I30" s="2752">
        <v>1</v>
      </c>
      <c r="J30" s="2512" t="s">
        <v>10570</v>
      </c>
      <c r="K30" s="2614"/>
      <c r="L30" s="2614"/>
      <c r="M30" s="2614"/>
      <c r="N30" s="2488"/>
      <c r="O30" s="2488"/>
      <c r="P30" s="2488"/>
      <c r="Q30" s="2488"/>
      <c r="R30" s="2479" t="str">
        <f t="shared" si="0"/>
        <v>EMERY, UT, SIGURD #2, UT, Steel - H, 954 ACSR 54/7</v>
      </c>
    </row>
    <row r="31" spans="1:18" ht="16.7" customHeight="1" x14ac:dyDescent="0.2">
      <c r="A31" s="3003">
        <f t="shared" si="2"/>
        <v>34.005999999999986</v>
      </c>
      <c r="B31" s="2512" t="s">
        <v>10580</v>
      </c>
      <c r="C31" s="2512" t="s">
        <v>10581</v>
      </c>
      <c r="D31" s="3041">
        <v>345</v>
      </c>
      <c r="E31" s="3041">
        <v>345</v>
      </c>
      <c r="F31" s="2512" t="s">
        <v>10564</v>
      </c>
      <c r="G31" s="3041">
        <v>101</v>
      </c>
      <c r="H31" s="2488"/>
      <c r="I31" s="2752">
        <v>1</v>
      </c>
      <c r="J31" s="2512" t="s">
        <v>10582</v>
      </c>
      <c r="K31" s="2488"/>
      <c r="L31" s="2614"/>
      <c r="M31" s="2614"/>
      <c r="N31" s="2488"/>
      <c r="O31" s="2488"/>
      <c r="P31" s="2488"/>
      <c r="Q31" s="2488"/>
      <c r="R31" s="2479" t="str">
        <f t="shared" si="0"/>
        <v>FOUR CORNERS, NM, PINTO, UT, Wood - H, 795 ACSR 45/7</v>
      </c>
    </row>
    <row r="32" spans="1:18" ht="16.7" customHeight="1" x14ac:dyDescent="0.2">
      <c r="A32" s="3003">
        <f t="shared" si="2"/>
        <v>34.006999999999984</v>
      </c>
      <c r="B32" s="2744" t="s">
        <v>10583</v>
      </c>
      <c r="C32" s="2512" t="s">
        <v>10584</v>
      </c>
      <c r="D32" s="3041">
        <v>345</v>
      </c>
      <c r="E32" s="3041">
        <v>345</v>
      </c>
      <c r="F32" s="2512" t="s">
        <v>10564</v>
      </c>
      <c r="G32" s="3041">
        <v>41</v>
      </c>
      <c r="H32" s="2488"/>
      <c r="I32" s="2752">
        <v>1</v>
      </c>
      <c r="J32" s="2512" t="s">
        <v>10585</v>
      </c>
      <c r="K32" s="2488"/>
      <c r="L32" s="2614"/>
      <c r="M32" s="2614"/>
      <c r="N32" s="2488"/>
      <c r="O32" s="2488"/>
      <c r="P32" s="2488"/>
      <c r="Q32" s="2488"/>
      <c r="R32" s="2479" t="str">
        <f t="shared" si="0"/>
        <v>GOSHEN, ID, KINPORT, ID, Wood - H, 795 ACSR/SD 22/7</v>
      </c>
    </row>
    <row r="33" spans="1:18" ht="16.7" customHeight="1" x14ac:dyDescent="0.2">
      <c r="A33" s="3003">
        <f t="shared" si="2"/>
        <v>34.007999999999981</v>
      </c>
      <c r="B33" s="2512" t="s">
        <v>10577</v>
      </c>
      <c r="C33" s="2512" t="s">
        <v>10586</v>
      </c>
      <c r="D33" s="3041">
        <v>345</v>
      </c>
      <c r="E33" s="3041">
        <v>345</v>
      </c>
      <c r="F33" s="2512" t="s">
        <v>10511</v>
      </c>
      <c r="G33" s="3041">
        <v>1</v>
      </c>
      <c r="H33" s="2488"/>
      <c r="I33" s="2752">
        <v>1</v>
      </c>
      <c r="J33" s="2512" t="s">
        <v>10587</v>
      </c>
      <c r="K33" s="2488"/>
      <c r="L33" s="2614"/>
      <c r="M33" s="2614"/>
      <c r="N33" s="2488"/>
      <c r="O33" s="2488"/>
      <c r="P33" s="2488"/>
      <c r="Q33" s="2488"/>
      <c r="R33" s="2479" t="str">
        <f t="shared" si="0"/>
        <v>HUNTINGTON, UT, HUNT PLANT 1, UT, Steel Tower, 2156 ACSR 8419</v>
      </c>
    </row>
    <row r="34" spans="1:18" ht="16.7" customHeight="1" x14ac:dyDescent="0.2">
      <c r="A34" s="3003">
        <f t="shared" si="2"/>
        <v>34.008999999999979</v>
      </c>
      <c r="B34" s="2512" t="s">
        <v>10577</v>
      </c>
      <c r="C34" s="2512" t="s">
        <v>10588</v>
      </c>
      <c r="D34" s="3041">
        <v>345</v>
      </c>
      <c r="E34" s="3041">
        <v>345</v>
      </c>
      <c r="F34" s="2512" t="s">
        <v>10511</v>
      </c>
      <c r="G34" s="3041">
        <v>1</v>
      </c>
      <c r="H34" s="2488"/>
      <c r="I34" s="2752">
        <v>1</v>
      </c>
      <c r="J34" s="2512" t="s">
        <v>10587</v>
      </c>
      <c r="K34" s="2488"/>
      <c r="L34" s="2614"/>
      <c r="M34" s="2614"/>
      <c r="N34" s="2488"/>
      <c r="O34" s="2488"/>
      <c r="P34" s="2488"/>
      <c r="Q34" s="2488"/>
      <c r="R34" s="2479" t="str">
        <f t="shared" si="0"/>
        <v>HUNTINGTON, UT, HUNT PLANT 2, UT, Steel Tower, 2156 ACSR 8419</v>
      </c>
    </row>
    <row r="35" spans="1:18" ht="16.7" customHeight="1" x14ac:dyDescent="0.2">
      <c r="A35" s="3003">
        <f t="shared" si="2"/>
        <v>34.009999999999977</v>
      </c>
      <c r="B35" s="2512" t="s">
        <v>10577</v>
      </c>
      <c r="C35" s="2512" t="s">
        <v>10581</v>
      </c>
      <c r="D35" s="3041">
        <v>345</v>
      </c>
      <c r="E35" s="3041">
        <v>345</v>
      </c>
      <c r="F35" s="2512" t="s">
        <v>10548</v>
      </c>
      <c r="G35" s="3041">
        <v>159</v>
      </c>
      <c r="H35" s="2488"/>
      <c r="I35" s="2752">
        <v>1</v>
      </c>
      <c r="J35" s="2512" t="s">
        <v>10582</v>
      </c>
      <c r="K35" s="2488"/>
      <c r="L35" s="2614"/>
      <c r="M35" s="2614"/>
      <c r="N35" s="2488"/>
      <c r="O35" s="2488"/>
      <c r="P35" s="2488"/>
      <c r="Q35" s="2488"/>
      <c r="R35" s="2479" t="str">
        <f t="shared" si="0"/>
        <v>HUNTINGTON, UT, PINTO, UT, Steel - SP, 795 ACSR 45/7</v>
      </c>
    </row>
    <row r="36" spans="1:18" ht="16.7" customHeight="1" x14ac:dyDescent="0.2">
      <c r="A36" s="3003">
        <f t="shared" si="2"/>
        <v>34.010999999999974</v>
      </c>
      <c r="B36" s="2512" t="s">
        <v>10577</v>
      </c>
      <c r="C36" s="2512" t="s">
        <v>10589</v>
      </c>
      <c r="D36" s="3041">
        <v>345</v>
      </c>
      <c r="E36" s="3041">
        <v>345</v>
      </c>
      <c r="F36" s="2512" t="s">
        <v>10511</v>
      </c>
      <c r="G36" s="3041">
        <v>78</v>
      </c>
      <c r="H36" s="2488"/>
      <c r="I36" s="2752">
        <v>1</v>
      </c>
      <c r="J36" s="2512" t="s">
        <v>10570</v>
      </c>
      <c r="K36" s="2488"/>
      <c r="L36" s="2614"/>
      <c r="M36" s="2614"/>
      <c r="N36" s="2488"/>
      <c r="O36" s="2488"/>
      <c r="P36" s="2488"/>
      <c r="Q36" s="2488"/>
      <c r="R36" s="2479" t="str">
        <f t="shared" si="0"/>
        <v>HUNTINGTON, UT, SPANISH FORK, UT, Steel Tower, 954 ACSR 54/7</v>
      </c>
    </row>
    <row r="37" spans="1:18" ht="16.7" customHeight="1" x14ac:dyDescent="0.2">
      <c r="A37" s="3003">
        <f t="shared" si="2"/>
        <v>34.011999999999972</v>
      </c>
      <c r="B37" s="2744" t="s">
        <v>10554</v>
      </c>
      <c r="C37" s="2512" t="s">
        <v>10583</v>
      </c>
      <c r="D37" s="3041">
        <v>345</v>
      </c>
      <c r="E37" s="3041">
        <v>345</v>
      </c>
      <c r="F37" s="2512" t="s">
        <v>10511</v>
      </c>
      <c r="G37" s="3041">
        <v>227</v>
      </c>
      <c r="H37" s="2488"/>
      <c r="I37" s="2752">
        <v>1</v>
      </c>
      <c r="J37" s="2512" t="s">
        <v>10530</v>
      </c>
      <c r="K37" s="2488"/>
      <c r="L37" s="2614"/>
      <c r="M37" s="2614"/>
      <c r="N37" s="2488"/>
      <c r="O37" s="2488"/>
      <c r="P37" s="2488"/>
      <c r="Q37" s="2488"/>
      <c r="R37" s="2479" t="str">
        <f t="shared" si="0"/>
        <v>JIM BRIDGER, WY, GOSHEN, ID, Steel Tower, 1272 ACSR 36/1</v>
      </c>
    </row>
    <row r="38" spans="1:18" ht="16.7" customHeight="1" x14ac:dyDescent="0.2">
      <c r="A38" s="3003">
        <f t="shared" si="2"/>
        <v>34.01299999999997</v>
      </c>
      <c r="B38" s="2744" t="s">
        <v>10554</v>
      </c>
      <c r="C38" s="2512" t="s">
        <v>10562</v>
      </c>
      <c r="D38" s="3041">
        <v>345</v>
      </c>
      <c r="E38" s="3041">
        <v>345</v>
      </c>
      <c r="F38" s="2512" t="s">
        <v>10511</v>
      </c>
      <c r="G38" s="3041">
        <v>241</v>
      </c>
      <c r="H38" s="2488"/>
      <c r="I38" s="2752">
        <v>1</v>
      </c>
      <c r="J38" s="2512" t="s">
        <v>10530</v>
      </c>
      <c r="K38" s="2488"/>
      <c r="L38" s="2614"/>
      <c r="M38" s="2614"/>
      <c r="N38" s="2488"/>
      <c r="O38" s="2488"/>
      <c r="P38" s="2488"/>
      <c r="Q38" s="2488"/>
      <c r="R38" s="2479" t="str">
        <f t="shared" si="0"/>
        <v>JIM BRIDGER, WY, BORAH, ID, Steel Tower, 1272 ACSR 36/1</v>
      </c>
    </row>
    <row r="39" spans="1:18" ht="16.7" customHeight="1" x14ac:dyDescent="0.2">
      <c r="A39" s="3003">
        <f t="shared" si="2"/>
        <v>34.013999999999967</v>
      </c>
      <c r="B39" s="2744" t="s">
        <v>10554</v>
      </c>
      <c r="C39" s="2512" t="s">
        <v>10584</v>
      </c>
      <c r="D39" s="3041">
        <v>345</v>
      </c>
      <c r="E39" s="3041">
        <v>345</v>
      </c>
      <c r="F39" s="2512" t="s">
        <v>10548</v>
      </c>
      <c r="G39" s="3041">
        <v>235</v>
      </c>
      <c r="H39" s="2488"/>
      <c r="I39" s="2752">
        <v>1</v>
      </c>
      <c r="J39" s="2512" t="s">
        <v>10530</v>
      </c>
      <c r="K39" s="2488"/>
      <c r="L39" s="2614"/>
      <c r="M39" s="2614"/>
      <c r="N39" s="2488"/>
      <c r="O39" s="2488"/>
      <c r="P39" s="2488"/>
      <c r="Q39" s="2488"/>
      <c r="R39" s="2479" t="str">
        <f t="shared" si="0"/>
        <v>JIM BRIDGER, WY, KINPORT, ID, Steel - SP, 1272 ACSR 36/1</v>
      </c>
    </row>
    <row r="40" spans="1:18" ht="16.7" customHeight="1" x14ac:dyDescent="0.2">
      <c r="A40" s="3003">
        <f t="shared" si="2"/>
        <v>34.014999999999965</v>
      </c>
      <c r="B40" s="2744" t="s">
        <v>10584</v>
      </c>
      <c r="C40" s="2512" t="s">
        <v>10533</v>
      </c>
      <c r="D40" s="3041">
        <v>345</v>
      </c>
      <c r="E40" s="3041">
        <v>345</v>
      </c>
      <c r="F40" s="2512" t="s">
        <v>10548</v>
      </c>
      <c r="G40" s="3041">
        <v>113</v>
      </c>
      <c r="H40" s="2488"/>
      <c r="I40" s="2752">
        <v>1</v>
      </c>
      <c r="J40" s="2512" t="s">
        <v>10552</v>
      </c>
      <c r="K40" s="2488"/>
      <c r="L40" s="2614"/>
      <c r="M40" s="2614"/>
      <c r="N40" s="2488"/>
      <c r="O40" s="2488"/>
      <c r="P40" s="2488"/>
      <c r="Q40" s="2488"/>
      <c r="R40" s="2479" t="str">
        <f t="shared" si="0"/>
        <v>KINPORT, ID, MIDPOINT, ID, Steel - SP, 1272 ACSR 45/7</v>
      </c>
    </row>
    <row r="41" spans="1:18" ht="16.7" customHeight="1" x14ac:dyDescent="0.2">
      <c r="A41" s="3003">
        <f t="shared" si="2"/>
        <v>34.015999999999963</v>
      </c>
      <c r="B41" s="2512" t="s">
        <v>10575</v>
      </c>
      <c r="C41" s="2512" t="s">
        <v>10578</v>
      </c>
      <c r="D41" s="3041">
        <v>345</v>
      </c>
      <c r="E41" s="3041">
        <v>345</v>
      </c>
      <c r="F41" s="2512" t="s">
        <v>10564</v>
      </c>
      <c r="G41" s="3041">
        <v>69</v>
      </c>
      <c r="H41" s="2488"/>
      <c r="I41" s="2752">
        <v>1</v>
      </c>
      <c r="J41" s="2512" t="s">
        <v>10582</v>
      </c>
      <c r="K41" s="2488"/>
      <c r="L41" s="2614"/>
      <c r="M41" s="2614"/>
      <c r="N41" s="2488"/>
      <c r="O41" s="2488"/>
      <c r="P41" s="2488"/>
      <c r="Q41" s="2488"/>
      <c r="R41" s="2479" t="str">
        <f t="shared" si="0"/>
        <v>MONA, UT, SIGURD #1, UT, Wood - H, 795 ACSR 45/7</v>
      </c>
    </row>
    <row r="42" spans="1:18" ht="16.7" customHeight="1" x14ac:dyDescent="0.2">
      <c r="A42" s="3003">
        <f t="shared" si="2"/>
        <v>34.01699999999996</v>
      </c>
      <c r="B42" s="2512" t="s">
        <v>10575</v>
      </c>
      <c r="C42" s="2512" t="s">
        <v>10579</v>
      </c>
      <c r="D42" s="3041">
        <v>345</v>
      </c>
      <c r="E42" s="3041">
        <v>345</v>
      </c>
      <c r="F42" s="2512" t="s">
        <v>10548</v>
      </c>
      <c r="G42" s="2614"/>
      <c r="H42" s="2750">
        <v>69</v>
      </c>
      <c r="I42" s="2752">
        <v>1</v>
      </c>
      <c r="J42" s="2512" t="s">
        <v>10567</v>
      </c>
      <c r="K42" s="2488"/>
      <c r="L42" s="2614"/>
      <c r="M42" s="2614"/>
      <c r="N42" s="2488"/>
      <c r="O42" s="2488"/>
      <c r="P42" s="2488"/>
      <c r="Q42" s="2488"/>
      <c r="R42" s="2479" t="str">
        <f t="shared" si="0"/>
        <v>MONA, UT, SIGURD #2, UT, Steel - SP, 954 ACSR 45/7</v>
      </c>
    </row>
    <row r="43" spans="1:18" ht="16.7" customHeight="1" x14ac:dyDescent="0.2">
      <c r="A43" s="3003">
        <f t="shared" si="2"/>
        <v>34.017999999999958</v>
      </c>
      <c r="B43" s="2512" t="s">
        <v>10566</v>
      </c>
      <c r="C43" s="2512" t="s">
        <v>10577</v>
      </c>
      <c r="D43" s="3041">
        <v>345</v>
      </c>
      <c r="E43" s="3041">
        <v>345</v>
      </c>
      <c r="F43" s="2512" t="s">
        <v>10548</v>
      </c>
      <c r="G43" s="3041">
        <v>58</v>
      </c>
      <c r="H43" s="2488"/>
      <c r="I43" s="2752">
        <v>1</v>
      </c>
      <c r="J43" s="2512" t="s">
        <v>10567</v>
      </c>
      <c r="K43" s="2488"/>
      <c r="L43" s="2614"/>
      <c r="M43" s="2614"/>
      <c r="N43" s="2488"/>
      <c r="O43" s="2488"/>
      <c r="P43" s="2488"/>
      <c r="Q43" s="2488"/>
      <c r="R43" s="2479" t="str">
        <f t="shared" si="0"/>
        <v>CLOVER, UT, HUNTINGTON, UT, Steel - SP, 954 ACSR 45/7</v>
      </c>
    </row>
    <row r="44" spans="1:18" ht="16.7" customHeight="1" x14ac:dyDescent="0.2">
      <c r="A44" s="3003">
        <f t="shared" si="2"/>
        <v>34.018999999999956</v>
      </c>
      <c r="B44" s="2512" t="s">
        <v>10590</v>
      </c>
      <c r="C44" s="2512" t="s">
        <v>10591</v>
      </c>
      <c r="D44" s="3041">
        <v>345</v>
      </c>
      <c r="E44" s="3041">
        <v>345</v>
      </c>
      <c r="F44" s="2512" t="s">
        <v>10555</v>
      </c>
      <c r="G44" s="3041">
        <v>171</v>
      </c>
      <c r="H44" s="2488"/>
      <c r="I44" s="2752">
        <v>1</v>
      </c>
      <c r="J44" s="2512" t="s">
        <v>10570</v>
      </c>
      <c r="K44" s="2488"/>
      <c r="L44" s="2614"/>
      <c r="M44" s="2614"/>
      <c r="N44" s="2488"/>
      <c r="O44" s="2488"/>
      <c r="P44" s="2488"/>
      <c r="Q44" s="2488"/>
      <c r="R44" s="2479" t="str">
        <f t="shared" si="0"/>
        <v>RED BUTTE, UT, SIGURD, UT, Steel - H, 954 ACSR 54/7</v>
      </c>
    </row>
    <row r="45" spans="1:18" ht="16.7" customHeight="1" x14ac:dyDescent="0.2">
      <c r="A45" s="3003">
        <f t="shared" si="2"/>
        <v>34.019999999999953</v>
      </c>
      <c r="B45" s="2512" t="s">
        <v>10591</v>
      </c>
      <c r="C45" s="2512" t="s">
        <v>10592</v>
      </c>
      <c r="D45" s="3041">
        <v>345</v>
      </c>
      <c r="E45" s="3041">
        <v>345</v>
      </c>
      <c r="F45" s="2512" t="s">
        <v>10511</v>
      </c>
      <c r="G45" s="3041">
        <v>190</v>
      </c>
      <c r="H45" s="2488"/>
      <c r="I45" s="2752">
        <v>1</v>
      </c>
      <c r="J45" s="2512" t="s">
        <v>10593</v>
      </c>
      <c r="K45" s="2488"/>
      <c r="L45" s="2614"/>
      <c r="M45" s="2614"/>
      <c r="N45" s="2488"/>
      <c r="O45" s="2488"/>
      <c r="P45" s="2488"/>
      <c r="Q45" s="2488"/>
      <c r="R45" s="2479" t="str">
        <f t="shared" si="0"/>
        <v>SIGURD, UT, UT/NV STATE LINE, Steel Tower, 954 ACSR/SD 13/8/7</v>
      </c>
    </row>
    <row r="46" spans="1:18" ht="16.7" customHeight="1" x14ac:dyDescent="0.2">
      <c r="A46" s="3003">
        <f t="shared" si="2"/>
        <v>34.020999999999951</v>
      </c>
      <c r="B46" s="2512" t="s">
        <v>10589</v>
      </c>
      <c r="C46" s="2512" t="s">
        <v>10559</v>
      </c>
      <c r="D46" s="3041">
        <v>345</v>
      </c>
      <c r="E46" s="3041">
        <v>345</v>
      </c>
      <c r="F46" s="2512" t="s">
        <v>10548</v>
      </c>
      <c r="G46" s="2614"/>
      <c r="H46" s="2750">
        <v>35</v>
      </c>
      <c r="I46" s="2752">
        <v>1</v>
      </c>
      <c r="J46" s="2512" t="s">
        <v>10552</v>
      </c>
      <c r="K46" s="2488"/>
      <c r="L46" s="2614"/>
      <c r="M46" s="2614"/>
      <c r="N46" s="2488"/>
      <c r="O46" s="2488"/>
      <c r="P46" s="2488"/>
      <c r="Q46" s="2488"/>
      <c r="R46" s="2479" t="str">
        <f t="shared" si="0"/>
        <v>SPANISH FORK, UT, CAMP WILLIAMS, UT, Steel - SP, 1272 ACSR 45/7</v>
      </c>
    </row>
    <row r="47" spans="1:18" ht="16.7" customHeight="1" x14ac:dyDescent="0.2">
      <c r="A47" s="3003">
        <f t="shared" si="2"/>
        <v>34.021999999999949</v>
      </c>
      <c r="B47" s="2512" t="s">
        <v>10553</v>
      </c>
      <c r="C47" s="2512" t="s">
        <v>10562</v>
      </c>
      <c r="D47" s="3041">
        <v>345</v>
      </c>
      <c r="E47" s="3041">
        <v>345</v>
      </c>
      <c r="F47" s="2512" t="s">
        <v>10564</v>
      </c>
      <c r="G47" s="3041">
        <v>138</v>
      </c>
      <c r="H47" s="2488"/>
      <c r="I47" s="2752">
        <v>1</v>
      </c>
      <c r="J47" s="2512" t="s">
        <v>10594</v>
      </c>
      <c r="K47" s="2488"/>
      <c r="L47" s="2614"/>
      <c r="M47" s="2614"/>
      <c r="N47" s="2488"/>
      <c r="O47" s="2488"/>
      <c r="P47" s="2488"/>
      <c r="Q47" s="2488"/>
      <c r="R47" s="2479" t="str">
        <f t="shared" si="0"/>
        <v>TERMINAL, UT, BORAH, ID, Wood - H, 2-954 ACSR 45/7</v>
      </c>
    </row>
    <row r="48" spans="1:18" ht="16.7" customHeight="1" x14ac:dyDescent="0.2">
      <c r="A48" s="3003">
        <f t="shared" si="2"/>
        <v>34.022999999999946</v>
      </c>
      <c r="B48" s="2512" t="s">
        <v>10553</v>
      </c>
      <c r="C48" s="2512" t="s">
        <v>10562</v>
      </c>
      <c r="D48" s="3041">
        <v>345</v>
      </c>
      <c r="E48" s="3041">
        <v>345</v>
      </c>
      <c r="F48" s="2512" t="s">
        <v>10548</v>
      </c>
      <c r="G48" s="2614"/>
      <c r="H48" s="2750">
        <v>47</v>
      </c>
      <c r="I48" s="2752">
        <v>1</v>
      </c>
      <c r="J48" s="2512" t="s">
        <v>10595</v>
      </c>
      <c r="K48" s="2488"/>
      <c r="L48" s="2614"/>
      <c r="M48" s="2614"/>
      <c r="N48" s="2488"/>
      <c r="O48" s="2488"/>
      <c r="P48" s="2488"/>
      <c r="Q48" s="2488"/>
      <c r="R48" s="2479" t="str">
        <f t="shared" si="0"/>
        <v>TERMINAL, UT, BORAH, ID, Steel - SP, 2-1272 ACSR 45/7</v>
      </c>
    </row>
    <row r="49" spans="1:18" ht="16.7" customHeight="1" x14ac:dyDescent="0.2">
      <c r="A49" s="3003">
        <f t="shared" si="2"/>
        <v>34.023999999999944</v>
      </c>
      <c r="B49" s="2512" t="s">
        <v>10553</v>
      </c>
      <c r="C49" s="2512" t="s">
        <v>10596</v>
      </c>
      <c r="D49" s="3041">
        <v>345</v>
      </c>
      <c r="E49" s="3041">
        <v>345</v>
      </c>
      <c r="F49" s="2512" t="s">
        <v>10548</v>
      </c>
      <c r="G49" s="3041">
        <v>16</v>
      </c>
      <c r="H49" s="2750">
        <v>10</v>
      </c>
      <c r="I49" s="2752">
        <v>1</v>
      </c>
      <c r="J49" s="2512" t="s">
        <v>10552</v>
      </c>
      <c r="K49" s="2488"/>
      <c r="L49" s="2614"/>
      <c r="M49" s="2614"/>
      <c r="N49" s="2488"/>
      <c r="O49" s="2488"/>
      <c r="P49" s="2488"/>
      <c r="Q49" s="2488"/>
      <c r="R49" s="2479" t="str">
        <f t="shared" si="0"/>
        <v>TERMINAL, UT, CAMP WILLIAMS #2, UT, Steel - SP, 1272 ACSR 45/7</v>
      </c>
    </row>
    <row r="50" spans="1:18" ht="16.7" customHeight="1" x14ac:dyDescent="0.2">
      <c r="A50" s="3003">
        <f t="shared" si="2"/>
        <v>34.024999999999942</v>
      </c>
      <c r="B50" s="2512" t="s">
        <v>10553</v>
      </c>
      <c r="C50" s="2512" t="s">
        <v>10559</v>
      </c>
      <c r="D50" s="3041">
        <v>345</v>
      </c>
      <c r="E50" s="3041">
        <v>345</v>
      </c>
      <c r="F50" s="2512" t="s">
        <v>10511</v>
      </c>
      <c r="G50" s="2614"/>
      <c r="H50" s="2750">
        <v>23</v>
      </c>
      <c r="I50" s="2752">
        <v>1</v>
      </c>
      <c r="J50" s="2512" t="s">
        <v>10552</v>
      </c>
      <c r="K50" s="2488"/>
      <c r="L50" s="2614"/>
      <c r="M50" s="2614"/>
      <c r="N50" s="2488"/>
      <c r="O50" s="2488"/>
      <c r="P50" s="2488"/>
      <c r="Q50" s="2488"/>
      <c r="R50" s="2479" t="str">
        <f t="shared" si="0"/>
        <v>TERMINAL, UT, CAMP WILLIAMS, UT, Steel Tower, 1272 ACSR 45/7</v>
      </c>
    </row>
    <row r="51" spans="1:18" ht="16.7" customHeight="1" x14ac:dyDescent="0.2">
      <c r="A51" s="3003">
        <f t="shared" si="2"/>
        <v>34.025999999999939</v>
      </c>
      <c r="B51" s="2512" t="s">
        <v>10597</v>
      </c>
      <c r="C51" s="2512"/>
      <c r="D51" s="2614"/>
      <c r="E51" s="2614"/>
      <c r="F51" s="2512"/>
      <c r="G51" s="2614"/>
      <c r="H51" s="2488"/>
      <c r="I51" s="2614"/>
      <c r="J51" s="2512"/>
      <c r="K51" s="2530">
        <v>162119068</v>
      </c>
      <c r="L51" s="2530">
        <v>1695379068</v>
      </c>
      <c r="M51" s="2530">
        <f>SUM(K51:L51)</f>
        <v>1857498136</v>
      </c>
      <c r="N51" s="2888">
        <f>169833+1</f>
        <v>169834</v>
      </c>
      <c r="O51" s="2530">
        <v>1823916</v>
      </c>
      <c r="P51" s="2530">
        <v>594721</v>
      </c>
      <c r="Q51" s="2530">
        <f>SUM(N51:P51)</f>
        <v>2588471</v>
      </c>
      <c r="R51" s="2479" t="str">
        <f t="shared" si="0"/>
        <v xml:space="preserve">345 kV Costs and Expenses, , , </v>
      </c>
    </row>
    <row r="52" spans="1:18" ht="16.7" customHeight="1" x14ac:dyDescent="0.2">
      <c r="A52" s="2614"/>
      <c r="B52" s="2669" t="s">
        <v>10598</v>
      </c>
      <c r="C52" s="2512"/>
      <c r="D52" s="2614"/>
      <c r="E52" s="2614"/>
      <c r="F52" s="2669"/>
      <c r="G52" s="3045">
        <f>SUM(G9:G50)</f>
        <v>2770</v>
      </c>
      <c r="H52" s="3045">
        <f>SUM(H9:H50)</f>
        <v>383</v>
      </c>
      <c r="I52" s="3018">
        <f>SUM(I9:I50)</f>
        <v>42</v>
      </c>
      <c r="J52" s="2512"/>
      <c r="K52" s="2736">
        <f t="shared" ref="K52:Q52" si="3">SUM(K9:K51)</f>
        <v>162119068</v>
      </c>
      <c r="L52" s="2736">
        <f t="shared" si="3"/>
        <v>1695379068</v>
      </c>
      <c r="M52" s="2736">
        <f t="shared" si="3"/>
        <v>1857498136</v>
      </c>
      <c r="N52" s="2736">
        <f t="shared" si="3"/>
        <v>169834</v>
      </c>
      <c r="O52" s="2736">
        <f t="shared" si="3"/>
        <v>1823916</v>
      </c>
      <c r="P52" s="2736">
        <f t="shared" si="3"/>
        <v>594721</v>
      </c>
      <c r="Q52" s="2736">
        <f t="shared" si="3"/>
        <v>2588471</v>
      </c>
      <c r="R52" s="2479" t="str">
        <f t="shared" si="0"/>
        <v xml:space="preserve">SUBTOTAL 345kV, , , </v>
      </c>
    </row>
    <row r="53" spans="1:18" ht="16.7" customHeight="1" x14ac:dyDescent="0.2">
      <c r="A53" s="2614"/>
      <c r="B53" s="2512"/>
      <c r="C53" s="2512"/>
      <c r="D53" s="2614"/>
      <c r="E53" s="2614"/>
      <c r="F53" s="2669"/>
      <c r="G53" s="2812"/>
      <c r="H53" s="2668"/>
      <c r="I53" s="2812"/>
      <c r="J53" s="2512"/>
      <c r="K53" s="2668"/>
      <c r="L53" s="2812"/>
      <c r="M53" s="2812"/>
      <c r="N53" s="2668"/>
      <c r="O53" s="2668"/>
      <c r="P53" s="2668"/>
      <c r="Q53" s="2668"/>
      <c r="R53" s="2479" t="str">
        <f t="shared" si="0"/>
        <v xml:space="preserve">, , , </v>
      </c>
    </row>
    <row r="54" spans="1:18" ht="16.7" customHeight="1" x14ac:dyDescent="0.2">
      <c r="A54" s="2752">
        <v>36</v>
      </c>
      <c r="B54" s="2488"/>
      <c r="C54" s="2488"/>
      <c r="D54" s="2488"/>
      <c r="E54" s="2488"/>
      <c r="F54" s="2669" t="s">
        <v>197</v>
      </c>
      <c r="G54" s="3045">
        <v>17414</v>
      </c>
      <c r="H54" s="3045">
        <v>662</v>
      </c>
      <c r="I54" s="3018">
        <v>311</v>
      </c>
      <c r="J54" s="2488"/>
      <c r="K54" s="3018">
        <v>314524034</v>
      </c>
      <c r="L54" s="3018">
        <v>4549395421</v>
      </c>
      <c r="M54" s="3018">
        <v>4863919455</v>
      </c>
      <c r="N54" s="3018">
        <v>1947377</v>
      </c>
      <c r="O54" s="3018">
        <v>29154506</v>
      </c>
      <c r="P54" s="3018">
        <v>1826421</v>
      </c>
      <c r="Q54" s="3018">
        <v>32928304</v>
      </c>
      <c r="R54" s="2479" t="str">
        <f t="shared" si="0"/>
        <v xml:space="preserve">, , TOTAL, </v>
      </c>
    </row>
    <row r="55" spans="1:18" ht="16.7" customHeight="1" x14ac:dyDescent="0.2">
      <c r="A55" s="2516"/>
      <c r="B55" s="2516"/>
      <c r="C55" s="2516"/>
      <c r="D55" s="2516"/>
      <c r="E55" s="2516"/>
      <c r="F55" s="2516"/>
      <c r="G55" s="2516"/>
      <c r="H55" s="2516"/>
      <c r="I55" s="2516"/>
      <c r="J55" s="2516"/>
      <c r="K55" s="2516"/>
      <c r="L55" s="2516"/>
      <c r="M55" s="2516"/>
      <c r="N55" s="2516"/>
      <c r="O55" s="2516"/>
      <c r="P55" s="2516"/>
      <c r="Q55" s="2516"/>
    </row>
    <row r="56" spans="1:18" ht="16.7" customHeight="1" x14ac:dyDescent="0.2"/>
    <row r="57" spans="1:18" ht="16.7" customHeight="1" x14ac:dyDescent="0.2"/>
    <row r="58" spans="1:18" ht="16.7" customHeight="1" x14ac:dyDescent="0.2"/>
    <row r="59" spans="1:18" ht="16.7" customHeight="1" x14ac:dyDescent="0.2"/>
    <row r="60" spans="1:18" ht="16.7" customHeight="1" x14ac:dyDescent="0.2"/>
    <row r="61" spans="1:18" ht="16.7" customHeight="1" x14ac:dyDescent="0.2"/>
    <row r="62" spans="1:18" ht="16.7" customHeight="1" x14ac:dyDescent="0.2"/>
    <row r="63" spans="1:18" ht="16.7" customHeight="1" x14ac:dyDescent="0.2"/>
    <row r="64" spans="1:18" ht="16.7" customHeight="1" x14ac:dyDescent="0.2"/>
    <row r="65" ht="16.7" customHeight="1" x14ac:dyDescent="0.2"/>
    <row r="66" ht="16.7" customHeight="1" x14ac:dyDescent="0.2"/>
    <row r="67" ht="16.7" customHeight="1" x14ac:dyDescent="0.2"/>
    <row r="68" ht="16.7" customHeight="1" x14ac:dyDescent="0.2"/>
    <row r="69" ht="16.7" customHeight="1" x14ac:dyDescent="0.2"/>
    <row r="70" ht="16.7" customHeight="1" x14ac:dyDescent="0.2"/>
    <row r="71" ht="16.7" customHeight="1" x14ac:dyDescent="0.2"/>
    <row r="72" ht="16.7" customHeight="1" x14ac:dyDescent="0.2"/>
    <row r="73" ht="16.7" customHeight="1" x14ac:dyDescent="0.2"/>
    <row r="74" ht="16.7" customHeight="1" x14ac:dyDescent="0.2"/>
    <row r="75" ht="16.7" customHeight="1" x14ac:dyDescent="0.2"/>
    <row r="76" ht="16.7" customHeight="1" x14ac:dyDescent="0.2"/>
    <row r="77" ht="16.7" customHeight="1" x14ac:dyDescent="0.2"/>
    <row r="78" ht="16.7" customHeight="1" x14ac:dyDescent="0.2"/>
    <row r="79" ht="16.7" customHeight="1" x14ac:dyDescent="0.2"/>
    <row r="80" ht="16.7" customHeight="1" x14ac:dyDescent="0.2"/>
    <row r="81" ht="16.7" customHeight="1" x14ac:dyDescent="0.2"/>
    <row r="82" ht="16.7" customHeight="1" x14ac:dyDescent="0.2"/>
    <row r="83" ht="16.7" customHeight="1" x14ac:dyDescent="0.2"/>
    <row r="84" ht="16.7" customHeight="1" x14ac:dyDescent="0.2"/>
    <row r="85" ht="16.7" customHeight="1" x14ac:dyDescent="0.2"/>
    <row r="86" ht="16.7" customHeight="1" x14ac:dyDescent="0.2"/>
    <row r="87" ht="16.7" customHeight="1" x14ac:dyDescent="0.2"/>
    <row r="88" ht="16.7" customHeight="1" x14ac:dyDescent="0.2"/>
    <row r="89" ht="16.7" customHeight="1" x14ac:dyDescent="0.2"/>
    <row r="90" ht="16.7" customHeight="1" x14ac:dyDescent="0.2"/>
    <row r="91" ht="16.7" customHeight="1" x14ac:dyDescent="0.2"/>
    <row r="92" ht="16.7" customHeight="1" x14ac:dyDescent="0.2"/>
    <row r="93" ht="16.7" customHeight="1" x14ac:dyDescent="0.2"/>
    <row r="94" ht="16.7" customHeight="1" x14ac:dyDescent="0.2"/>
    <row r="95" ht="16.7" customHeight="1" x14ac:dyDescent="0.2"/>
    <row r="96" ht="16.7" customHeight="1" x14ac:dyDescent="0.2"/>
    <row r="97" ht="16.7" customHeight="1" x14ac:dyDescent="0.2"/>
    <row r="98" ht="16.7" customHeight="1" x14ac:dyDescent="0.2"/>
    <row r="99" ht="16.7" customHeight="1" x14ac:dyDescent="0.2"/>
    <row r="100" ht="16.7" customHeight="1" x14ac:dyDescent="0.2"/>
    <row r="101" ht="16.7" customHeight="1" x14ac:dyDescent="0.2"/>
    <row r="102" ht="16.7" customHeight="1" x14ac:dyDescent="0.2"/>
    <row r="103" ht="16.7" customHeight="1" x14ac:dyDescent="0.2"/>
    <row r="104" ht="16.7" customHeight="1" x14ac:dyDescent="0.2"/>
    <row r="105" ht="16.7" customHeight="1" x14ac:dyDescent="0.2"/>
    <row r="106" ht="16.7" customHeight="1" x14ac:dyDescent="0.2"/>
    <row r="107" ht="16.7" customHeight="1" x14ac:dyDescent="0.2"/>
    <row r="108" ht="16.7" customHeight="1" x14ac:dyDescent="0.2"/>
    <row r="109" ht="16.7" customHeight="1" x14ac:dyDescent="0.2"/>
    <row r="110" ht="16.7" customHeight="1" x14ac:dyDescent="0.2"/>
    <row r="111" ht="16.7" customHeight="1" x14ac:dyDescent="0.2"/>
    <row r="112" ht="16.7" customHeight="1" x14ac:dyDescent="0.2"/>
    <row r="113" ht="16.7" customHeight="1" x14ac:dyDescent="0.2"/>
    <row r="114" ht="15" customHeight="1" x14ac:dyDescent="0.2"/>
  </sheetData>
  <mergeCells count="18">
    <mergeCell ref="N6:Q6"/>
    <mergeCell ref="A5:I5"/>
    <mergeCell ref="J5:Q5"/>
    <mergeCell ref="A6:A8"/>
    <mergeCell ref="B6:C6"/>
    <mergeCell ref="D6:E6"/>
    <mergeCell ref="F6:F7"/>
    <mergeCell ref="G6:H6"/>
    <mergeCell ref="I6:I7"/>
    <mergeCell ref="J6:J7"/>
    <mergeCell ref="K6:M6"/>
    <mergeCell ref="A4:I4"/>
    <mergeCell ref="J4:Q4"/>
    <mergeCell ref="B2:J2"/>
    <mergeCell ref="K2:M2"/>
    <mergeCell ref="N2:Q2"/>
    <mergeCell ref="A3:I3"/>
    <mergeCell ref="J3:Q3"/>
  </mergeCells>
  <pageMargins left="0.75" right="0.75" top="1" bottom="1" header="0.5" footer="0.5"/>
  <customProperties>
    <customPr name="_pios_id" r:id="rId1"/>
  </customProperties>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FDBC1-8B01-4F37-A677-88D8D95A1FF3}">
  <sheetPr codeName="Sheet105"/>
  <dimension ref="A1:R157"/>
  <sheetViews>
    <sheetView showRuler="0" workbookViewId="0"/>
  </sheetViews>
  <sheetFormatPr defaultColWidth="11.5" defaultRowHeight="12.75" x14ac:dyDescent="0.2"/>
  <cols>
    <col min="1" max="1" width="6" style="1953" customWidth="1"/>
    <col min="2" max="2" width="33.125" style="1953" customWidth="1"/>
    <col min="3" max="3" width="33.375" style="1953" customWidth="1"/>
    <col min="4" max="6" width="11.25" style="1953" customWidth="1"/>
    <col min="7" max="7" width="14.625" style="1953" customWidth="1"/>
    <col min="8" max="8" width="19" style="1953" customWidth="1"/>
    <col min="9" max="9" width="11" style="1953" customWidth="1"/>
    <col min="10" max="10" width="17.625" style="1953" customWidth="1"/>
    <col min="11" max="11" width="11.5" style="1953"/>
    <col min="12" max="12" width="14.125" style="1953" customWidth="1"/>
    <col min="13" max="13" width="12.125" style="1953" customWidth="1"/>
    <col min="14" max="14" width="13.625" style="1953" customWidth="1"/>
    <col min="15" max="15" width="15.625" style="1953" customWidth="1"/>
    <col min="16" max="16" width="11.875" style="1953" customWidth="1"/>
    <col min="17" max="17" width="9.625" style="1953" customWidth="1"/>
    <col min="18" max="18" width="14.625" style="1953" customWidth="1"/>
    <col min="19" max="16384" width="11.5" style="1953"/>
  </cols>
  <sheetData>
    <row r="1" spans="1:18" ht="16.7" customHeight="1" x14ac:dyDescent="0.2">
      <c r="B1" s="2744" t="s">
        <v>7058</v>
      </c>
      <c r="C1" s="2788"/>
      <c r="G1" s="3051" t="s">
        <v>8351</v>
      </c>
    </row>
    <row r="2" spans="1:18" ht="16.7" customHeight="1" x14ac:dyDescent="0.2">
      <c r="B2" s="4171" t="s">
        <v>10599</v>
      </c>
      <c r="C2" s="4172"/>
      <c r="D2" s="4172"/>
      <c r="E2" s="4172"/>
      <c r="F2" s="4172"/>
      <c r="G2" s="4172"/>
      <c r="H2" s="4172"/>
      <c r="I2" s="4172"/>
      <c r="J2" s="4173"/>
      <c r="K2" s="4174" t="s">
        <v>10542</v>
      </c>
      <c r="L2" s="4175"/>
      <c r="M2" s="4176"/>
      <c r="N2" s="4174" t="s">
        <v>10543</v>
      </c>
      <c r="O2" s="4175"/>
      <c r="P2" s="4175"/>
      <c r="Q2" s="4176"/>
      <c r="R2" s="2479"/>
    </row>
    <row r="3" spans="1:18" ht="16.7" customHeight="1" x14ac:dyDescent="0.2">
      <c r="A3" s="3859" t="s">
        <v>10484</v>
      </c>
      <c r="B3" s="3859"/>
      <c r="C3" s="3859"/>
      <c r="D3" s="3859"/>
      <c r="E3" s="3859"/>
      <c r="F3" s="3859"/>
      <c r="G3" s="3859"/>
      <c r="H3" s="3859"/>
      <c r="I3" s="3859"/>
      <c r="J3" s="3867" t="s">
        <v>10544</v>
      </c>
      <c r="K3" s="3867"/>
      <c r="L3" s="3867"/>
      <c r="M3" s="3867"/>
      <c r="N3" s="3867"/>
      <c r="O3" s="3867"/>
      <c r="P3" s="3867"/>
      <c r="Q3" s="3867"/>
      <c r="R3" s="2479"/>
    </row>
    <row r="4" spans="1:18" ht="16.7" customHeight="1" x14ac:dyDescent="0.2">
      <c r="A4" s="3860" t="s">
        <v>10485</v>
      </c>
      <c r="B4" s="3856"/>
      <c r="C4" s="3856"/>
      <c r="D4" s="3856"/>
      <c r="E4" s="3856"/>
      <c r="F4" s="3856"/>
      <c r="G4" s="3856"/>
      <c r="H4" s="3856"/>
      <c r="I4" s="3856"/>
      <c r="J4" s="3870" t="s">
        <v>10545</v>
      </c>
      <c r="K4" s="3870"/>
      <c r="L4" s="3870"/>
      <c r="M4" s="3870"/>
      <c r="N4" s="3870"/>
      <c r="O4" s="3870"/>
      <c r="P4" s="3870"/>
      <c r="Q4" s="3870"/>
      <c r="R4" s="2479"/>
    </row>
    <row r="5" spans="1:18" ht="103.35" customHeight="1" x14ac:dyDescent="0.2">
      <c r="A5" s="3878" t="s">
        <v>10486</v>
      </c>
      <c r="B5" s="3879"/>
      <c r="C5" s="3879"/>
      <c r="D5" s="3879"/>
      <c r="E5" s="3879"/>
      <c r="F5" s="3879"/>
      <c r="G5" s="3879"/>
      <c r="H5" s="3879"/>
      <c r="I5" s="3880"/>
      <c r="J5" s="4009" t="s">
        <v>10487</v>
      </c>
      <c r="K5" s="4010"/>
      <c r="L5" s="4010"/>
      <c r="M5" s="4010"/>
      <c r="N5" s="4010"/>
      <c r="O5" s="4010"/>
      <c r="P5" s="4010"/>
      <c r="Q5" s="4011"/>
      <c r="R5" s="2479"/>
    </row>
    <row r="6" spans="1:18" ht="50.1" customHeight="1" x14ac:dyDescent="0.2">
      <c r="A6" s="3944" t="s">
        <v>6360</v>
      </c>
      <c r="B6" s="3964" t="s">
        <v>10488</v>
      </c>
      <c r="C6" s="3884"/>
      <c r="D6" s="3964" t="s">
        <v>10489</v>
      </c>
      <c r="E6" s="3892"/>
      <c r="F6" s="3922" t="s">
        <v>10490</v>
      </c>
      <c r="G6" s="3964" t="s">
        <v>10491</v>
      </c>
      <c r="H6" s="3884"/>
      <c r="I6" s="3922" t="s">
        <v>10492</v>
      </c>
      <c r="J6" s="4062" t="s">
        <v>10493</v>
      </c>
      <c r="K6" s="3938" t="s">
        <v>10494</v>
      </c>
      <c r="L6" s="4015"/>
      <c r="M6" s="3937"/>
      <c r="N6" s="4177" t="s">
        <v>10495</v>
      </c>
      <c r="O6" s="4178"/>
      <c r="P6" s="4178"/>
      <c r="Q6" s="4179"/>
      <c r="R6" s="2479"/>
    </row>
    <row r="7" spans="1:18" ht="39.200000000000003" customHeight="1" x14ac:dyDescent="0.2">
      <c r="A7" s="3899"/>
      <c r="B7" s="2583" t="s">
        <v>10496</v>
      </c>
      <c r="C7" s="2583" t="s">
        <v>10497</v>
      </c>
      <c r="D7" s="2583" t="s">
        <v>10498</v>
      </c>
      <c r="E7" s="2583" t="s">
        <v>10499</v>
      </c>
      <c r="F7" s="3943"/>
      <c r="G7" s="2637" t="s">
        <v>10500</v>
      </c>
      <c r="H7" s="2637" t="s">
        <v>10501</v>
      </c>
      <c r="I7" s="3943"/>
      <c r="J7" s="4063"/>
      <c r="K7" s="2740" t="s">
        <v>10502</v>
      </c>
      <c r="L7" s="2740" t="s">
        <v>10503</v>
      </c>
      <c r="M7" s="2740" t="s">
        <v>51</v>
      </c>
      <c r="N7" s="2740" t="s">
        <v>10504</v>
      </c>
      <c r="O7" s="2740" t="s">
        <v>10505</v>
      </c>
      <c r="P7" s="2740" t="s">
        <v>492</v>
      </c>
      <c r="Q7" s="2740" t="s">
        <v>10506</v>
      </c>
      <c r="R7" s="2479"/>
    </row>
    <row r="8" spans="1:18" ht="16.7" customHeight="1" x14ac:dyDescent="0.2">
      <c r="A8" s="3856"/>
      <c r="B8" s="2589" t="s">
        <v>5949</v>
      </c>
      <c r="C8" s="2589" t="s">
        <v>5950</v>
      </c>
      <c r="D8" s="2589" t="s">
        <v>5951</v>
      </c>
      <c r="E8" s="2589" t="s">
        <v>5952</v>
      </c>
      <c r="F8" s="2589" t="s">
        <v>6227</v>
      </c>
      <c r="G8" s="2589" t="s">
        <v>5804</v>
      </c>
      <c r="H8" s="2589" t="s">
        <v>6228</v>
      </c>
      <c r="I8" s="2589" t="s">
        <v>6229</v>
      </c>
      <c r="J8" s="2633" t="s">
        <v>6230</v>
      </c>
      <c r="K8" s="2633" t="s">
        <v>6231</v>
      </c>
      <c r="L8" s="2633" t="s">
        <v>6232</v>
      </c>
      <c r="M8" s="2633" t="s">
        <v>6233</v>
      </c>
      <c r="N8" s="2633" t="s">
        <v>7035</v>
      </c>
      <c r="O8" s="2633" t="s">
        <v>8045</v>
      </c>
      <c r="P8" s="2633" t="s">
        <v>8046</v>
      </c>
      <c r="Q8" s="2633" t="s">
        <v>10507</v>
      </c>
      <c r="R8" s="2479" t="s">
        <v>6324</v>
      </c>
    </row>
    <row r="9" spans="1:18" ht="15" customHeight="1" x14ac:dyDescent="0.2">
      <c r="A9" s="3003">
        <f>'Pg 422.1 - Transmission Line St'!A51+0.001</f>
        <v>34.026999999999937</v>
      </c>
      <c r="B9" s="2512" t="s">
        <v>10509</v>
      </c>
      <c r="C9" s="2488" t="s">
        <v>10600</v>
      </c>
      <c r="D9" s="3043">
        <v>230</v>
      </c>
      <c r="E9" s="3043">
        <v>230</v>
      </c>
      <c r="F9" s="2488" t="s">
        <v>10555</v>
      </c>
      <c r="G9" s="3043">
        <v>1</v>
      </c>
      <c r="H9" s="2488"/>
      <c r="I9" s="2750">
        <v>1</v>
      </c>
      <c r="J9" s="2488" t="s">
        <v>10518</v>
      </c>
      <c r="K9" s="2488"/>
      <c r="L9" s="2488"/>
      <c r="M9" s="2488"/>
      <c r="N9" s="2488"/>
      <c r="O9" s="2488"/>
      <c r="P9" s="2488"/>
      <c r="Q9" s="2488"/>
      <c r="R9" s="2479" t="str">
        <f t="shared" ref="R9:R72" si="0">CONCATENATE(B9,", ",C9,", ",F9,", ",J9)</f>
        <v>AEOLUS, WY, EKOLA FLATS, WY, Steel - H, 795 ACSR 26/7</v>
      </c>
    </row>
    <row r="10" spans="1:18" ht="15" customHeight="1" x14ac:dyDescent="0.2">
      <c r="A10" s="3003">
        <f t="shared" ref="A10:A73" si="1">A9+0.001</f>
        <v>34.027999999999935</v>
      </c>
      <c r="B10" s="2512" t="s">
        <v>10509</v>
      </c>
      <c r="C10" s="2512" t="s">
        <v>10601</v>
      </c>
      <c r="D10" s="3041">
        <v>230</v>
      </c>
      <c r="E10" s="3041">
        <v>230</v>
      </c>
      <c r="F10" s="2512" t="s">
        <v>10555</v>
      </c>
      <c r="G10" s="3041">
        <v>4</v>
      </c>
      <c r="H10" s="2488"/>
      <c r="I10" s="2752">
        <v>1</v>
      </c>
      <c r="J10" s="2512" t="s">
        <v>10552</v>
      </c>
      <c r="K10" s="2614"/>
      <c r="L10" s="2614"/>
      <c r="M10" s="2614"/>
      <c r="N10" s="2488"/>
      <c r="O10" s="2488"/>
      <c r="P10" s="2488"/>
      <c r="Q10" s="2488"/>
      <c r="R10" s="2479" t="str">
        <f t="shared" si="0"/>
        <v>AEOLUS, WY, FREEZEOUT, WY, Steel - H, 1272 ACSR 45/7</v>
      </c>
    </row>
    <row r="11" spans="1:18" ht="15" customHeight="1" x14ac:dyDescent="0.2">
      <c r="A11" s="3003">
        <f t="shared" si="1"/>
        <v>34.028999999999932</v>
      </c>
      <c r="B11" s="2512" t="s">
        <v>10509</v>
      </c>
      <c r="C11" s="2512" t="s">
        <v>10602</v>
      </c>
      <c r="D11" s="3041">
        <v>230</v>
      </c>
      <c r="E11" s="3041">
        <v>230</v>
      </c>
      <c r="F11" s="2512" t="s">
        <v>10555</v>
      </c>
      <c r="G11" s="3041">
        <v>16</v>
      </c>
      <c r="H11" s="2488"/>
      <c r="I11" s="2752">
        <v>1</v>
      </c>
      <c r="J11" s="2512" t="s">
        <v>10603</v>
      </c>
      <c r="K11" s="2614"/>
      <c r="L11" s="2614"/>
      <c r="M11" s="2614"/>
      <c r="N11" s="2488"/>
      <c r="O11" s="2488"/>
      <c r="P11" s="2488"/>
      <c r="Q11" s="2488"/>
      <c r="R11" s="2479" t="str">
        <f t="shared" si="0"/>
        <v>AEOLUS, WY, SHIRLEY BASIN #1, WY, Steel - H, 1158.4 ACSS 25/7</v>
      </c>
    </row>
    <row r="12" spans="1:18" ht="15" customHeight="1" x14ac:dyDescent="0.2">
      <c r="A12" s="3003">
        <f t="shared" si="1"/>
        <v>34.02999999999993</v>
      </c>
      <c r="B12" s="2512" t="s">
        <v>10509</v>
      </c>
      <c r="C12" s="2512" t="s">
        <v>10604</v>
      </c>
      <c r="D12" s="3041">
        <v>230</v>
      </c>
      <c r="E12" s="3041">
        <v>230</v>
      </c>
      <c r="F12" s="2512" t="s">
        <v>10555</v>
      </c>
      <c r="G12" s="3044">
        <v>16</v>
      </c>
      <c r="H12" s="2488"/>
      <c r="I12" s="2752">
        <v>1</v>
      </c>
      <c r="J12" s="2512" t="s">
        <v>10603</v>
      </c>
      <c r="K12" s="2614"/>
      <c r="L12" s="2614"/>
      <c r="M12" s="2614"/>
      <c r="N12" s="2488"/>
      <c r="O12" s="2488"/>
      <c r="P12" s="2488"/>
      <c r="Q12" s="2488"/>
      <c r="R12" s="2479" t="str">
        <f t="shared" si="0"/>
        <v>AEOLUS, WY, SHIRLEY BASIN #2, WY, Steel - H, 1158.4 ACSS 25/7</v>
      </c>
    </row>
    <row r="13" spans="1:18" ht="15" customHeight="1" x14ac:dyDescent="0.2">
      <c r="A13" s="3003">
        <f t="shared" si="1"/>
        <v>34.030999999999928</v>
      </c>
      <c r="B13" s="2512" t="s">
        <v>10513</v>
      </c>
      <c r="C13" s="2512" t="s">
        <v>10605</v>
      </c>
      <c r="D13" s="3041">
        <v>230</v>
      </c>
      <c r="E13" s="3041">
        <v>230</v>
      </c>
      <c r="F13" s="2512" t="s">
        <v>10564</v>
      </c>
      <c r="G13" s="3041">
        <v>59</v>
      </c>
      <c r="H13" s="2488"/>
      <c r="I13" s="2752">
        <v>1</v>
      </c>
      <c r="J13" s="2512" t="s">
        <v>10530</v>
      </c>
      <c r="K13" s="2614"/>
      <c r="L13" s="2614"/>
      <c r="M13" s="2614"/>
      <c r="N13" s="2488"/>
      <c r="O13" s="2488"/>
      <c r="P13" s="2488"/>
      <c r="Q13" s="2488"/>
      <c r="R13" s="2479" t="str">
        <f t="shared" si="0"/>
        <v>ALVEY, OR, DIXONVILLE, OR, Wood - H, 1272 ACSR 36/1</v>
      </c>
    </row>
    <row r="14" spans="1:18" ht="15" customHeight="1" x14ac:dyDescent="0.2">
      <c r="A14" s="3003">
        <f t="shared" si="1"/>
        <v>34.031999999999925</v>
      </c>
      <c r="B14" s="2512" t="s">
        <v>10606</v>
      </c>
      <c r="C14" s="2512" t="s">
        <v>10607</v>
      </c>
      <c r="D14" s="3041">
        <v>230</v>
      </c>
      <c r="E14" s="3041">
        <v>230</v>
      </c>
      <c r="F14" s="2512" t="s">
        <v>10564</v>
      </c>
      <c r="G14" s="3041">
        <v>76</v>
      </c>
      <c r="H14" s="2488"/>
      <c r="I14" s="2752">
        <v>1</v>
      </c>
      <c r="J14" s="2512" t="s">
        <v>10552</v>
      </c>
      <c r="K14" s="2614"/>
      <c r="L14" s="2614"/>
      <c r="M14" s="2614"/>
      <c r="N14" s="2488"/>
      <c r="O14" s="2488"/>
      <c r="P14" s="2488"/>
      <c r="Q14" s="2488"/>
      <c r="R14" s="2479" t="str">
        <f t="shared" si="0"/>
        <v>ANTELOPE, ID, ANACONDA, MT, Wood - H, 1272 ACSR 45/7</v>
      </c>
    </row>
    <row r="15" spans="1:18" ht="15" customHeight="1" x14ac:dyDescent="0.2">
      <c r="A15" s="3003">
        <f t="shared" si="1"/>
        <v>34.032999999999923</v>
      </c>
      <c r="B15" s="2512" t="s">
        <v>10606</v>
      </c>
      <c r="C15" s="2512" t="s">
        <v>10608</v>
      </c>
      <c r="D15" s="3041">
        <v>230</v>
      </c>
      <c r="E15" s="3041">
        <v>230</v>
      </c>
      <c r="F15" s="2512" t="s">
        <v>10564</v>
      </c>
      <c r="G15" s="3041">
        <v>20</v>
      </c>
      <c r="H15" s="2488"/>
      <c r="I15" s="2752">
        <v>1</v>
      </c>
      <c r="J15" s="2512" t="s">
        <v>10582</v>
      </c>
      <c r="K15" s="2488"/>
      <c r="L15" s="2614"/>
      <c r="M15" s="2614"/>
      <c r="N15" s="2488"/>
      <c r="O15" s="2488"/>
      <c r="P15" s="2488"/>
      <c r="Q15" s="2488"/>
      <c r="R15" s="2479" t="str">
        <f t="shared" si="0"/>
        <v>ANTELOPE, ID, LOST RIVER, ID, Wood - H, 795 ACSR 45/7</v>
      </c>
    </row>
    <row r="16" spans="1:18" ht="15" customHeight="1" x14ac:dyDescent="0.2">
      <c r="A16" s="3003">
        <f t="shared" si="1"/>
        <v>34.033999999999921</v>
      </c>
      <c r="B16" s="2512" t="s">
        <v>10609</v>
      </c>
      <c r="C16" s="2512" t="s">
        <v>10610</v>
      </c>
      <c r="D16" s="3041">
        <v>230</v>
      </c>
      <c r="E16" s="3041">
        <v>230</v>
      </c>
      <c r="F16" s="2512" t="s">
        <v>10564</v>
      </c>
      <c r="G16" s="3041">
        <v>9</v>
      </c>
      <c r="H16" s="2614"/>
      <c r="I16" s="2752">
        <v>1</v>
      </c>
      <c r="J16" s="2512" t="s">
        <v>10518</v>
      </c>
      <c r="K16" s="2488"/>
      <c r="L16" s="2614"/>
      <c r="M16" s="2614"/>
      <c r="N16" s="2488"/>
      <c r="O16" s="2488"/>
      <c r="P16" s="2488"/>
      <c r="Q16" s="2488"/>
      <c r="R16" s="2479" t="str">
        <f t="shared" si="0"/>
        <v>ARROWHEAD, WY, FIREHOLE, WY, Wood - H, 795 ACSR 26/7</v>
      </c>
    </row>
    <row r="17" spans="1:18" ht="15" customHeight="1" x14ac:dyDescent="0.2">
      <c r="A17" s="3003">
        <f t="shared" si="1"/>
        <v>34.034999999999918</v>
      </c>
      <c r="B17" s="2512" t="s">
        <v>10611</v>
      </c>
      <c r="C17" s="2512" t="s">
        <v>10612</v>
      </c>
      <c r="D17" s="3041">
        <v>230</v>
      </c>
      <c r="E17" s="3041">
        <v>230</v>
      </c>
      <c r="F17" s="2512" t="s">
        <v>10564</v>
      </c>
      <c r="G17" s="3041">
        <v>1</v>
      </c>
      <c r="H17" s="2488"/>
      <c r="I17" s="2752">
        <v>1</v>
      </c>
      <c r="J17" s="2512" t="s">
        <v>10530</v>
      </c>
      <c r="K17" s="2614"/>
      <c r="L17" s="2614"/>
      <c r="M17" s="2614"/>
      <c r="N17" s="2488"/>
      <c r="O17" s="2488"/>
      <c r="P17" s="2488"/>
      <c r="Q17" s="2488"/>
      <c r="R17" s="2479" t="str">
        <f t="shared" si="0"/>
        <v>ATLANTIC CITY, WY, COLUMBIA GENEVA, WY, Wood - H, 1272 ACSR 36/1</v>
      </c>
    </row>
    <row r="18" spans="1:18" ht="15" customHeight="1" x14ac:dyDescent="0.2">
      <c r="A18" s="3003">
        <f t="shared" si="1"/>
        <v>34.035999999999916</v>
      </c>
      <c r="B18" s="2512" t="s">
        <v>10556</v>
      </c>
      <c r="C18" s="2512" t="s">
        <v>10613</v>
      </c>
      <c r="D18" s="3041">
        <v>230</v>
      </c>
      <c r="E18" s="3041">
        <v>230</v>
      </c>
      <c r="F18" s="2512" t="s">
        <v>10564</v>
      </c>
      <c r="G18" s="3041">
        <v>88</v>
      </c>
      <c r="H18" s="2488"/>
      <c r="I18" s="2752">
        <v>1</v>
      </c>
      <c r="J18" s="2512" t="s">
        <v>10518</v>
      </c>
      <c r="K18" s="2614"/>
      <c r="L18" s="2614"/>
      <c r="M18" s="2614"/>
      <c r="N18" s="2488"/>
      <c r="O18" s="2488"/>
      <c r="P18" s="2488"/>
      <c r="Q18" s="2488"/>
      <c r="R18" s="2479" t="str">
        <f t="shared" si="0"/>
        <v>BEN LOMOND, UT, NAUGHTON #1, WY, Wood - H, 795 ACSR 26/7</v>
      </c>
    </row>
    <row r="19" spans="1:18" ht="15" customHeight="1" x14ac:dyDescent="0.2">
      <c r="A19" s="3003">
        <f t="shared" si="1"/>
        <v>34.036999999999914</v>
      </c>
      <c r="B19" s="2512" t="s">
        <v>10556</v>
      </c>
      <c r="C19" s="2488" t="s">
        <v>10614</v>
      </c>
      <c r="D19" s="3043">
        <v>230</v>
      </c>
      <c r="E19" s="3043">
        <v>230</v>
      </c>
      <c r="F19" s="2488" t="s">
        <v>10564</v>
      </c>
      <c r="G19" s="3043">
        <v>88</v>
      </c>
      <c r="H19" s="2488"/>
      <c r="I19" s="2750">
        <v>1</v>
      </c>
      <c r="J19" s="2488" t="s">
        <v>10518</v>
      </c>
      <c r="K19" s="2488"/>
      <c r="L19" s="2488"/>
      <c r="M19" s="2488"/>
      <c r="N19" s="2488"/>
      <c r="O19" s="2488"/>
      <c r="P19" s="2488"/>
      <c r="Q19" s="2488"/>
      <c r="R19" s="2479" t="str">
        <f t="shared" si="0"/>
        <v>BEN LOMOND, UT, NAUGHTON #2, WY, Wood - H, 795 ACSR 26/7</v>
      </c>
    </row>
    <row r="20" spans="1:18" ht="15" customHeight="1" x14ac:dyDescent="0.2">
      <c r="A20" s="3003">
        <f t="shared" si="1"/>
        <v>34.037999999999911</v>
      </c>
      <c r="B20" s="2512" t="s">
        <v>10615</v>
      </c>
      <c r="C20" s="2512" t="s">
        <v>10616</v>
      </c>
      <c r="D20" s="3041">
        <v>230</v>
      </c>
      <c r="E20" s="3041">
        <v>230</v>
      </c>
      <c r="F20" s="2512" t="s">
        <v>10564</v>
      </c>
      <c r="G20" s="3041">
        <v>19</v>
      </c>
      <c r="H20" s="2488"/>
      <c r="I20" s="2752">
        <v>1</v>
      </c>
      <c r="J20" s="2512" t="s">
        <v>10570</v>
      </c>
      <c r="K20" s="2614"/>
      <c r="L20" s="2614"/>
      <c r="M20" s="2614"/>
      <c r="N20" s="2488"/>
      <c r="O20" s="2488"/>
      <c r="P20" s="2488"/>
      <c r="Q20" s="2488"/>
      <c r="R20" s="2479" t="str">
        <f t="shared" si="0"/>
        <v>BIRCH CREEK, UT, RAILROAD, WY, Wood - H, 954 ACSR 54/7</v>
      </c>
    </row>
    <row r="21" spans="1:18" ht="15" customHeight="1" x14ac:dyDescent="0.2">
      <c r="A21" s="3003">
        <f t="shared" si="1"/>
        <v>34.038999999999909</v>
      </c>
      <c r="B21" s="2512" t="s">
        <v>10617</v>
      </c>
      <c r="C21" s="2512" t="s">
        <v>10618</v>
      </c>
      <c r="D21" s="3041">
        <v>230</v>
      </c>
      <c r="E21" s="3041">
        <v>230</v>
      </c>
      <c r="F21" s="2512" t="s">
        <v>10564</v>
      </c>
      <c r="G21" s="3041">
        <v>3</v>
      </c>
      <c r="H21" s="2488"/>
      <c r="I21" s="2752">
        <v>1</v>
      </c>
      <c r="J21" s="2512" t="s">
        <v>10518</v>
      </c>
      <c r="K21" s="2614"/>
      <c r="L21" s="2614"/>
      <c r="M21" s="2614"/>
      <c r="N21" s="2488"/>
      <c r="O21" s="2488"/>
      <c r="P21" s="2488"/>
      <c r="Q21" s="2488"/>
      <c r="R21" s="2479" t="str">
        <f t="shared" si="0"/>
        <v>BITTER CREEK, WY, MONELL, WY, Wood - H, 795 ACSR 26/7</v>
      </c>
    </row>
    <row r="22" spans="1:18" ht="15" customHeight="1" x14ac:dyDescent="0.2">
      <c r="A22" s="3003">
        <f t="shared" si="1"/>
        <v>34.039999999999907</v>
      </c>
      <c r="B22" s="2512" t="s">
        <v>10619</v>
      </c>
      <c r="C22" s="2512" t="s">
        <v>10620</v>
      </c>
      <c r="D22" s="3041">
        <v>230</v>
      </c>
      <c r="E22" s="3041">
        <v>230</v>
      </c>
      <c r="F22" s="2512" t="s">
        <v>10564</v>
      </c>
      <c r="G22" s="3041">
        <v>1</v>
      </c>
      <c r="H22" s="2488"/>
      <c r="I22" s="2752">
        <v>1</v>
      </c>
      <c r="J22" s="2512" t="s">
        <v>10530</v>
      </c>
      <c r="K22" s="2614"/>
      <c r="L22" s="2614"/>
      <c r="M22" s="2614"/>
      <c r="N22" s="2488"/>
      <c r="O22" s="2488"/>
      <c r="P22" s="2488"/>
      <c r="Q22" s="2488"/>
      <c r="R22" s="2479" t="str">
        <f t="shared" si="0"/>
        <v>BRIDGER PUMP, WY, MANS FACE, WY, Wood - H, 1272 ACSR 36/1</v>
      </c>
    </row>
    <row r="23" spans="1:18" ht="15" customHeight="1" x14ac:dyDescent="0.2">
      <c r="A23" s="3003">
        <f t="shared" si="1"/>
        <v>34.040999999999904</v>
      </c>
      <c r="B23" s="2512" t="s">
        <v>10621</v>
      </c>
      <c r="C23" s="2512" t="s">
        <v>10622</v>
      </c>
      <c r="D23" s="3041">
        <v>230</v>
      </c>
      <c r="E23" s="3041">
        <v>230</v>
      </c>
      <c r="F23" s="2512" t="s">
        <v>10564</v>
      </c>
      <c r="G23" s="3041">
        <v>107</v>
      </c>
      <c r="H23" s="2488"/>
      <c r="I23" s="2752">
        <v>1</v>
      </c>
      <c r="J23" s="2512" t="s">
        <v>10518</v>
      </c>
      <c r="K23" s="2614"/>
      <c r="L23" s="2614"/>
      <c r="M23" s="2614"/>
      <c r="N23" s="2488"/>
      <c r="O23" s="2488"/>
      <c r="P23" s="2488"/>
      <c r="Q23" s="2488"/>
      <c r="R23" s="2479" t="str">
        <f t="shared" si="0"/>
        <v>BUFFALO, WY, CASPER, WY, Wood - H, 795 ACSR 26/7</v>
      </c>
    </row>
    <row r="24" spans="1:18" ht="15" customHeight="1" x14ac:dyDescent="0.2">
      <c r="A24" s="3003">
        <f t="shared" si="1"/>
        <v>34.041999999999902</v>
      </c>
      <c r="B24" s="2744" t="s">
        <v>10622</v>
      </c>
      <c r="C24" s="2512" t="s">
        <v>10623</v>
      </c>
      <c r="D24" s="3041">
        <v>230</v>
      </c>
      <c r="E24" s="3041">
        <v>230</v>
      </c>
      <c r="F24" s="2512" t="s">
        <v>10564</v>
      </c>
      <c r="G24" s="3041">
        <v>36</v>
      </c>
      <c r="H24" s="2488"/>
      <c r="I24" s="2752">
        <v>1</v>
      </c>
      <c r="J24" s="2512" t="s">
        <v>10624</v>
      </c>
      <c r="K24" s="2488"/>
      <c r="L24" s="2614"/>
      <c r="M24" s="2614"/>
      <c r="N24" s="2488"/>
      <c r="O24" s="2488"/>
      <c r="P24" s="2488"/>
      <c r="Q24" s="2488"/>
      <c r="R24" s="2479" t="str">
        <f t="shared" si="0"/>
        <v>CASPER, WY, DAVE JOHNSTON, WY, Wood - H, 1557.4 ACSR/TW 45/7</v>
      </c>
    </row>
    <row r="25" spans="1:18" ht="15" customHeight="1" x14ac:dyDescent="0.2">
      <c r="A25" s="3003">
        <f t="shared" si="1"/>
        <v>34.0429999999999</v>
      </c>
      <c r="B25" s="2512" t="s">
        <v>10622</v>
      </c>
      <c r="C25" s="2512" t="s">
        <v>10625</v>
      </c>
      <c r="D25" s="3041">
        <v>230</v>
      </c>
      <c r="E25" s="3041">
        <v>230</v>
      </c>
      <c r="F25" s="2512" t="s">
        <v>10564</v>
      </c>
      <c r="G25" s="3041">
        <v>110</v>
      </c>
      <c r="H25" s="2488"/>
      <c r="I25" s="2752">
        <v>1</v>
      </c>
      <c r="J25" s="2512" t="s">
        <v>10530</v>
      </c>
      <c r="K25" s="2614"/>
      <c r="L25" s="2614"/>
      <c r="M25" s="2614"/>
      <c r="N25" s="2488"/>
      <c r="O25" s="2488"/>
      <c r="P25" s="2488"/>
      <c r="Q25" s="2488"/>
      <c r="R25" s="2479" t="str">
        <f t="shared" si="0"/>
        <v>CASPER, WY, RIVERTON, WY, Wood - H, 1272 ACSR 36/1</v>
      </c>
    </row>
    <row r="26" spans="1:18" ht="15" customHeight="1" x14ac:dyDescent="0.2">
      <c r="A26" s="3003">
        <f t="shared" si="1"/>
        <v>34.043999999999897</v>
      </c>
      <c r="B26" s="2512" t="s">
        <v>10626</v>
      </c>
      <c r="C26" s="2512" t="s">
        <v>10627</v>
      </c>
      <c r="D26" s="3041">
        <v>230</v>
      </c>
      <c r="E26" s="3041">
        <v>230</v>
      </c>
      <c r="F26" s="2512" t="s">
        <v>10548</v>
      </c>
      <c r="G26" s="3041">
        <v>30</v>
      </c>
      <c r="H26" s="2488"/>
      <c r="I26" s="2752">
        <v>1</v>
      </c>
      <c r="J26" s="2512" t="s">
        <v>10570</v>
      </c>
      <c r="K26" s="2488"/>
      <c r="L26" s="2614"/>
      <c r="M26" s="2614"/>
      <c r="N26" s="2488"/>
      <c r="O26" s="2488"/>
      <c r="P26" s="2488"/>
      <c r="Q26" s="2488"/>
      <c r="R26" s="2479" t="str">
        <f t="shared" si="0"/>
        <v>CHAPPEL CREEK, WY, CRAVEN CREEK, WY, Steel - SP, 954 ACSR 54/7</v>
      </c>
    </row>
    <row r="27" spans="1:18" ht="15" customHeight="1" x14ac:dyDescent="0.2">
      <c r="A27" s="3003">
        <f t="shared" si="1"/>
        <v>34.044999999999895</v>
      </c>
      <c r="B27" s="2512" t="s">
        <v>10626</v>
      </c>
      <c r="C27" s="2512" t="s">
        <v>10628</v>
      </c>
      <c r="D27" s="3041">
        <v>230</v>
      </c>
      <c r="E27" s="3041">
        <v>230</v>
      </c>
      <c r="F27" s="2512" t="s">
        <v>10564</v>
      </c>
      <c r="G27" s="3041">
        <v>32</v>
      </c>
      <c r="H27" s="2488"/>
      <c r="I27" s="2752">
        <v>1</v>
      </c>
      <c r="J27" s="2512" t="s">
        <v>10552</v>
      </c>
      <c r="K27" s="2488"/>
      <c r="L27" s="2614"/>
      <c r="M27" s="2614"/>
      <c r="N27" s="2488"/>
      <c r="O27" s="2488"/>
      <c r="P27" s="2488"/>
      <c r="Q27" s="2488"/>
      <c r="R27" s="2479" t="str">
        <f t="shared" si="0"/>
        <v>CHAPPEL CREEK, WY, JONAH GAS, WY, Wood - H, 1272 ACSR 45/7</v>
      </c>
    </row>
    <row r="28" spans="1:18" ht="15" customHeight="1" x14ac:dyDescent="0.2">
      <c r="A28" s="3003">
        <f t="shared" si="1"/>
        <v>34.045999999999893</v>
      </c>
      <c r="B28" s="2512" t="s">
        <v>10626</v>
      </c>
      <c r="C28" s="2512" t="s">
        <v>10629</v>
      </c>
      <c r="D28" s="3041">
        <v>230</v>
      </c>
      <c r="E28" s="3041">
        <v>230</v>
      </c>
      <c r="F28" s="2512" t="s">
        <v>10564</v>
      </c>
      <c r="G28" s="3041">
        <v>29</v>
      </c>
      <c r="H28" s="2750">
        <v>6</v>
      </c>
      <c r="I28" s="2752">
        <v>1</v>
      </c>
      <c r="J28" s="2512" t="s">
        <v>10552</v>
      </c>
      <c r="K28" s="2614"/>
      <c r="L28" s="2614"/>
      <c r="M28" s="2614"/>
      <c r="N28" s="2488"/>
      <c r="O28" s="2488"/>
      <c r="P28" s="2488"/>
      <c r="Q28" s="2488"/>
      <c r="R28" s="2479" t="str">
        <f t="shared" si="0"/>
        <v>CHAPPEL CREEK, WY, RILEY RIDGE, WY, Wood - H, 1272 ACSR 45/7</v>
      </c>
    </row>
    <row r="29" spans="1:18" ht="15" customHeight="1" x14ac:dyDescent="0.2">
      <c r="A29" s="3003">
        <f t="shared" si="1"/>
        <v>34.04699999999989</v>
      </c>
      <c r="B29" s="2512" t="s">
        <v>10630</v>
      </c>
      <c r="C29" s="2512" t="s">
        <v>10631</v>
      </c>
      <c r="D29" s="3041">
        <v>230</v>
      </c>
      <c r="E29" s="3041">
        <v>230</v>
      </c>
      <c r="F29" s="2512" t="s">
        <v>10564</v>
      </c>
      <c r="G29" s="3041">
        <v>9</v>
      </c>
      <c r="H29" s="2488"/>
      <c r="I29" s="2752">
        <v>1</v>
      </c>
      <c r="J29" s="2512" t="s">
        <v>10549</v>
      </c>
      <c r="K29" s="2614"/>
      <c r="L29" s="2614"/>
      <c r="M29" s="2614"/>
      <c r="N29" s="2488"/>
      <c r="O29" s="2488"/>
      <c r="P29" s="2488"/>
      <c r="Q29" s="2488"/>
      <c r="R29" s="2479" t="str">
        <f t="shared" si="0"/>
        <v>CORRAL, OR, OCHOCO #1, OR, Wood - H, 1557.4 ACSR/TW 36/7</v>
      </c>
    </row>
    <row r="30" spans="1:18" ht="15" customHeight="1" x14ac:dyDescent="0.2">
      <c r="A30" s="3003">
        <f t="shared" si="1"/>
        <v>34.047999999999888</v>
      </c>
      <c r="B30" s="2512" t="s">
        <v>10630</v>
      </c>
      <c r="C30" s="2512" t="s">
        <v>10632</v>
      </c>
      <c r="D30" s="3041">
        <v>230</v>
      </c>
      <c r="E30" s="3041">
        <v>230</v>
      </c>
      <c r="F30" s="2512" t="s">
        <v>10564</v>
      </c>
      <c r="G30" s="3041">
        <v>10</v>
      </c>
      <c r="H30" s="2488"/>
      <c r="I30" s="2752">
        <v>1</v>
      </c>
      <c r="J30" s="2512" t="s">
        <v>10549</v>
      </c>
      <c r="K30" s="2614"/>
      <c r="L30" s="2614"/>
      <c r="M30" s="2614"/>
      <c r="N30" s="2488"/>
      <c r="O30" s="2488"/>
      <c r="P30" s="2488"/>
      <c r="Q30" s="2488"/>
      <c r="R30" s="2479" t="str">
        <f t="shared" si="0"/>
        <v>CORRAL, OR, OCHOCO #2, OR, Wood - H, 1557.4 ACSR/TW 36/7</v>
      </c>
    </row>
    <row r="31" spans="1:18" ht="15" customHeight="1" x14ac:dyDescent="0.2">
      <c r="A31" s="3003">
        <f t="shared" si="1"/>
        <v>34.048999999999886</v>
      </c>
      <c r="B31" s="2512" t="s">
        <v>10627</v>
      </c>
      <c r="C31" s="2512" t="s">
        <v>10633</v>
      </c>
      <c r="D31" s="3041">
        <v>230</v>
      </c>
      <c r="E31" s="3041">
        <v>230</v>
      </c>
      <c r="F31" s="2512" t="s">
        <v>10564</v>
      </c>
      <c r="G31" s="3041">
        <v>2</v>
      </c>
      <c r="H31" s="2488"/>
      <c r="I31" s="2752">
        <v>1</v>
      </c>
      <c r="J31" s="2512" t="s">
        <v>10552</v>
      </c>
      <c r="K31" s="2488"/>
      <c r="L31" s="2614"/>
      <c r="M31" s="2614"/>
      <c r="N31" s="2488"/>
      <c r="O31" s="2488"/>
      <c r="P31" s="2488"/>
      <c r="Q31" s="2488"/>
      <c r="R31" s="2479" t="str">
        <f t="shared" si="0"/>
        <v>CRAVEN CREEK, WY, PIONEER, WY, Wood - H, 1272 ACSR 45/7</v>
      </c>
    </row>
    <row r="32" spans="1:18" ht="15" customHeight="1" x14ac:dyDescent="0.2">
      <c r="A32" s="3003">
        <f t="shared" si="1"/>
        <v>34.049999999999883</v>
      </c>
      <c r="B32" s="2512" t="s">
        <v>10623</v>
      </c>
      <c r="C32" s="2512" t="s">
        <v>10634</v>
      </c>
      <c r="D32" s="3041">
        <v>230</v>
      </c>
      <c r="E32" s="3041">
        <v>230</v>
      </c>
      <c r="F32" s="2512" t="s">
        <v>10564</v>
      </c>
      <c r="G32" s="3041">
        <v>31</v>
      </c>
      <c r="H32" s="2488"/>
      <c r="I32" s="2752">
        <v>1</v>
      </c>
      <c r="J32" s="2512" t="s">
        <v>10635</v>
      </c>
      <c r="K32" s="2488"/>
      <c r="L32" s="2614"/>
      <c r="M32" s="2614"/>
      <c r="N32" s="2488"/>
      <c r="O32" s="2488"/>
      <c r="P32" s="2488"/>
      <c r="Q32" s="2488"/>
      <c r="R32" s="2479" t="str">
        <f t="shared" si="0"/>
        <v>DAVE JOHNSTON, WY, SPENCE, WY, Wood - H, 1557 ACSS/TW 45/7</v>
      </c>
    </row>
    <row r="33" spans="1:18" ht="15" customHeight="1" x14ac:dyDescent="0.2">
      <c r="A33" s="3003">
        <f t="shared" si="1"/>
        <v>34.050999999999881</v>
      </c>
      <c r="B33" s="2512" t="s">
        <v>10623</v>
      </c>
      <c r="C33" s="2512" t="s">
        <v>10636</v>
      </c>
      <c r="D33" s="3041">
        <v>230</v>
      </c>
      <c r="E33" s="3041">
        <v>230</v>
      </c>
      <c r="F33" s="2512" t="s">
        <v>10564</v>
      </c>
      <c r="G33" s="3041">
        <v>69</v>
      </c>
      <c r="H33" s="2488"/>
      <c r="I33" s="2752">
        <v>1</v>
      </c>
      <c r="J33" s="2512" t="s">
        <v>10530</v>
      </c>
      <c r="K33" s="2488"/>
      <c r="L33" s="2614"/>
      <c r="M33" s="2614"/>
      <c r="N33" s="2488"/>
      <c r="O33" s="2488"/>
      <c r="P33" s="2488"/>
      <c r="Q33" s="2488"/>
      <c r="R33" s="2479" t="str">
        <f t="shared" si="0"/>
        <v>DAVE JOHNSTON, WY, WYODAK, WY, Wood - H, 1272 ACSR 36/1</v>
      </c>
    </row>
    <row r="34" spans="1:18" ht="15" customHeight="1" x14ac:dyDescent="0.2">
      <c r="A34" s="3003">
        <f t="shared" si="1"/>
        <v>34.051999999999879</v>
      </c>
      <c r="B34" s="2512" t="s">
        <v>10637</v>
      </c>
      <c r="C34" s="2512" t="s">
        <v>10638</v>
      </c>
      <c r="D34" s="3041">
        <v>230</v>
      </c>
      <c r="E34" s="3041">
        <v>230</v>
      </c>
      <c r="F34" s="2512" t="s">
        <v>10564</v>
      </c>
      <c r="G34" s="3041">
        <v>1</v>
      </c>
      <c r="H34" s="2488"/>
      <c r="I34" s="2752">
        <v>1</v>
      </c>
      <c r="J34" s="2512" t="s">
        <v>10639</v>
      </c>
      <c r="K34" s="2614"/>
      <c r="L34" s="2614"/>
      <c r="M34" s="2614"/>
      <c r="N34" s="2488"/>
      <c r="O34" s="2488"/>
      <c r="P34" s="2488"/>
      <c r="Q34" s="2488"/>
      <c r="R34" s="2479" t="str">
        <f t="shared" si="0"/>
        <v>DIXONVILLE 500kV, OR, DIXONVILLE 230kV, OR, Wood - H, 1158 ACSS /25</v>
      </c>
    </row>
    <row r="35" spans="1:18" ht="15" customHeight="1" x14ac:dyDescent="0.2">
      <c r="A35" s="3003">
        <f t="shared" si="1"/>
        <v>34.052999999999876</v>
      </c>
      <c r="B35" s="2512" t="s">
        <v>10605</v>
      </c>
      <c r="C35" s="2488" t="s">
        <v>10640</v>
      </c>
      <c r="D35" s="3043">
        <v>230</v>
      </c>
      <c r="E35" s="3043">
        <v>230</v>
      </c>
      <c r="F35" s="2488" t="s">
        <v>10564</v>
      </c>
      <c r="G35" s="3043">
        <v>17</v>
      </c>
      <c r="H35" s="2488"/>
      <c r="I35" s="2750">
        <v>1</v>
      </c>
      <c r="J35" s="2488" t="s">
        <v>10518</v>
      </c>
      <c r="K35" s="2488"/>
      <c r="L35" s="2488"/>
      <c r="M35" s="2488"/>
      <c r="N35" s="2488"/>
      <c r="O35" s="2488"/>
      <c r="P35" s="2488"/>
      <c r="Q35" s="2488"/>
      <c r="R35" s="2479" t="str">
        <f t="shared" si="0"/>
        <v>DIXONVILLE, OR, RESTON (BPA), OR, Wood - H, 795 ACSR 26/7</v>
      </c>
    </row>
    <row r="36" spans="1:18" ht="15" customHeight="1" x14ac:dyDescent="0.2">
      <c r="A36" s="3003">
        <f t="shared" si="1"/>
        <v>34.053999999999874</v>
      </c>
      <c r="B36" s="2512" t="s">
        <v>10641</v>
      </c>
      <c r="C36" s="2512" t="s">
        <v>10642</v>
      </c>
      <c r="D36" s="3041">
        <v>230</v>
      </c>
      <c r="E36" s="3041">
        <v>230</v>
      </c>
      <c r="F36" s="2512" t="s">
        <v>10564</v>
      </c>
      <c r="G36" s="3041">
        <v>12</v>
      </c>
      <c r="H36" s="2488"/>
      <c r="I36" s="2752">
        <v>1</v>
      </c>
      <c r="J36" s="2512" t="s">
        <v>10530</v>
      </c>
      <c r="K36" s="2614"/>
      <c r="L36" s="2614"/>
      <c r="M36" s="2614"/>
      <c r="N36" s="2488"/>
      <c r="O36" s="2488"/>
      <c r="P36" s="2488"/>
      <c r="Q36" s="2488"/>
      <c r="R36" s="2479" t="str">
        <f t="shared" si="0"/>
        <v>FAIRVIEW (BPA), OR, ISTHMUS, OR, Wood - H, 1272 ACSR 36/1</v>
      </c>
    </row>
    <row r="37" spans="1:18" ht="15" customHeight="1" x14ac:dyDescent="0.2">
      <c r="A37" s="3003">
        <f t="shared" si="1"/>
        <v>34.054999999999872</v>
      </c>
      <c r="B37" s="2488" t="s">
        <v>10610</v>
      </c>
      <c r="C37" s="2488" t="s">
        <v>10643</v>
      </c>
      <c r="D37" s="3043">
        <v>230</v>
      </c>
      <c r="E37" s="3043">
        <v>230</v>
      </c>
      <c r="F37" s="2488" t="s">
        <v>10564</v>
      </c>
      <c r="G37" s="3043">
        <v>49</v>
      </c>
      <c r="H37" s="2488"/>
      <c r="I37" s="2750">
        <v>1</v>
      </c>
      <c r="J37" s="2488" t="s">
        <v>10552</v>
      </c>
      <c r="K37" s="2488"/>
      <c r="L37" s="2488"/>
      <c r="M37" s="2488"/>
      <c r="N37" s="2488"/>
      <c r="O37" s="2488"/>
      <c r="P37" s="2488"/>
      <c r="Q37" s="2488"/>
      <c r="R37" s="2479" t="str">
        <f t="shared" si="0"/>
        <v>FIREHOLE, WY, MONUMENT, WY, Wood - H, 1272 ACSR 45/7</v>
      </c>
    </row>
    <row r="38" spans="1:18" ht="15" customHeight="1" x14ac:dyDescent="0.2">
      <c r="A38" s="3003">
        <f t="shared" si="1"/>
        <v>34.055999999999869</v>
      </c>
      <c r="B38" s="2488" t="s">
        <v>10644</v>
      </c>
      <c r="C38" s="2488" t="s">
        <v>10631</v>
      </c>
      <c r="D38" s="3043">
        <v>230</v>
      </c>
      <c r="E38" s="3043">
        <v>230</v>
      </c>
      <c r="F38" s="2488" t="s">
        <v>10548</v>
      </c>
      <c r="G38" s="3043">
        <v>1</v>
      </c>
      <c r="H38" s="2488"/>
      <c r="I38" s="2750">
        <v>2</v>
      </c>
      <c r="J38" s="2488" t="s">
        <v>10549</v>
      </c>
      <c r="K38" s="2488"/>
      <c r="L38" s="2488"/>
      <c r="M38" s="2488"/>
      <c r="N38" s="2488"/>
      <c r="O38" s="2488"/>
      <c r="P38" s="2488"/>
      <c r="Q38" s="2488"/>
      <c r="R38" s="2479" t="str">
        <f t="shared" si="0"/>
        <v>FRIEND, OR, OCHOCO #1, OR, Steel - SP, 1557.4 ACSR/TW 36/7</v>
      </c>
    </row>
    <row r="39" spans="1:18" ht="15" customHeight="1" x14ac:dyDescent="0.2">
      <c r="A39" s="3003">
        <f t="shared" si="1"/>
        <v>34.056999999999867</v>
      </c>
      <c r="B39" s="2488" t="s">
        <v>10644</v>
      </c>
      <c r="C39" s="2488" t="s">
        <v>10632</v>
      </c>
      <c r="D39" s="3043">
        <v>230</v>
      </c>
      <c r="E39" s="3043">
        <v>230</v>
      </c>
      <c r="F39" s="2488" t="s">
        <v>10548</v>
      </c>
      <c r="G39" s="3043">
        <v>0</v>
      </c>
      <c r="H39" s="2750">
        <v>1</v>
      </c>
      <c r="I39" s="2750">
        <v>2</v>
      </c>
      <c r="J39" s="2488" t="s">
        <v>10549</v>
      </c>
      <c r="K39" s="2488"/>
      <c r="L39" s="2488"/>
      <c r="M39" s="2488"/>
      <c r="N39" s="2488"/>
      <c r="O39" s="2488"/>
      <c r="P39" s="2488"/>
      <c r="Q39" s="2488"/>
      <c r="R39" s="2479" t="str">
        <f t="shared" si="0"/>
        <v>FRIEND, OR, OCHOCO #2, OR, Steel - SP, 1557.4 ACSR/TW 36/7</v>
      </c>
    </row>
    <row r="40" spans="1:18" ht="15" customHeight="1" x14ac:dyDescent="0.2">
      <c r="A40" s="3003">
        <f t="shared" si="1"/>
        <v>34.057999999999865</v>
      </c>
      <c r="B40" s="2488" t="s">
        <v>10645</v>
      </c>
      <c r="C40" s="2488" t="s">
        <v>10646</v>
      </c>
      <c r="D40" s="3043">
        <v>230</v>
      </c>
      <c r="E40" s="3043">
        <v>230</v>
      </c>
      <c r="F40" s="2488" t="s">
        <v>10564</v>
      </c>
      <c r="G40" s="3043">
        <v>26</v>
      </c>
      <c r="H40" s="2488"/>
      <c r="I40" s="2750">
        <v>1</v>
      </c>
      <c r="J40" s="2488" t="s">
        <v>10530</v>
      </c>
      <c r="K40" s="2488"/>
      <c r="L40" s="2488"/>
      <c r="M40" s="2488"/>
      <c r="N40" s="2488"/>
      <c r="O40" s="2488"/>
      <c r="P40" s="2488"/>
      <c r="Q40" s="2488"/>
      <c r="R40" s="2479" t="str">
        <f t="shared" si="0"/>
        <v>FRY, OR, BETHEL, OR, Wood - H, 1272 ACSR 36/1</v>
      </c>
    </row>
    <row r="41" spans="1:18" ht="15" customHeight="1" x14ac:dyDescent="0.2">
      <c r="A41" s="3003">
        <f t="shared" si="1"/>
        <v>34.058999999999862</v>
      </c>
      <c r="B41" s="2488" t="s">
        <v>10645</v>
      </c>
      <c r="C41" s="2488" t="s">
        <v>10513</v>
      </c>
      <c r="D41" s="3043">
        <v>230</v>
      </c>
      <c r="E41" s="3043">
        <v>230</v>
      </c>
      <c r="F41" s="2488" t="s">
        <v>10564</v>
      </c>
      <c r="G41" s="3043">
        <v>45</v>
      </c>
      <c r="H41" s="2488"/>
      <c r="I41" s="2750">
        <v>1</v>
      </c>
      <c r="J41" s="2488" t="s">
        <v>10530</v>
      </c>
      <c r="K41" s="2488"/>
      <c r="L41" s="2488"/>
      <c r="M41" s="2488"/>
      <c r="N41" s="2488"/>
      <c r="O41" s="2488"/>
      <c r="P41" s="2488"/>
      <c r="Q41" s="2488"/>
      <c r="R41" s="2479" t="str">
        <f t="shared" si="0"/>
        <v>FRY, OR, ALVEY, OR, Wood - H, 1272 ACSR 36/1</v>
      </c>
    </row>
    <row r="42" spans="1:18" ht="15" customHeight="1" x14ac:dyDescent="0.2">
      <c r="A42" s="3003">
        <f t="shared" si="1"/>
        <v>34.05999999999986</v>
      </c>
      <c r="B42" s="2488" t="s">
        <v>10647</v>
      </c>
      <c r="C42" s="2488" t="s">
        <v>10591</v>
      </c>
      <c r="D42" s="3043">
        <v>230</v>
      </c>
      <c r="E42" s="3043">
        <v>230</v>
      </c>
      <c r="F42" s="2488" t="s">
        <v>10564</v>
      </c>
      <c r="G42" s="3043">
        <v>159</v>
      </c>
      <c r="H42" s="2488"/>
      <c r="I42" s="2750">
        <v>1</v>
      </c>
      <c r="J42" s="2488" t="s">
        <v>10567</v>
      </c>
      <c r="K42" s="2488"/>
      <c r="L42" s="2488"/>
      <c r="M42" s="2488"/>
      <c r="N42" s="2488"/>
      <c r="O42" s="2488"/>
      <c r="P42" s="2488"/>
      <c r="Q42" s="2488"/>
      <c r="R42" s="2479" t="str">
        <f t="shared" si="0"/>
        <v>GLEN CANYON, AZ, SIGURD, UT, Wood - H, 954 ACSR 45/7</v>
      </c>
    </row>
    <row r="43" spans="1:18" ht="15" customHeight="1" x14ac:dyDescent="0.2">
      <c r="A43" s="3003">
        <f t="shared" si="1"/>
        <v>34.060999999999858</v>
      </c>
      <c r="B43" s="2488" t="s">
        <v>10648</v>
      </c>
      <c r="C43" s="2488" t="s">
        <v>10649</v>
      </c>
      <c r="D43" s="3043">
        <v>230</v>
      </c>
      <c r="E43" s="3043">
        <v>230</v>
      </c>
      <c r="F43" s="2488" t="s">
        <v>10564</v>
      </c>
      <c r="G43" s="3043">
        <v>98</v>
      </c>
      <c r="H43" s="2488"/>
      <c r="I43" s="2750">
        <v>1</v>
      </c>
      <c r="J43" s="2488" t="s">
        <v>10582</v>
      </c>
      <c r="K43" s="2488"/>
      <c r="L43" s="2488"/>
      <c r="M43" s="2488"/>
      <c r="N43" s="2488"/>
      <c r="O43" s="2488"/>
      <c r="P43" s="2488"/>
      <c r="Q43" s="2488"/>
      <c r="R43" s="2479" t="str">
        <f t="shared" si="0"/>
        <v>GONDER,  UT - NV STATE, PAVANT, UT, Wood - H, 795 ACSR 45/7</v>
      </c>
    </row>
    <row r="44" spans="1:18" ht="15" customHeight="1" x14ac:dyDescent="0.2">
      <c r="A44" s="3003">
        <f t="shared" si="1"/>
        <v>34.061999999999856</v>
      </c>
      <c r="B44" s="2488" t="s">
        <v>10605</v>
      </c>
      <c r="C44" s="2488" t="s">
        <v>10650</v>
      </c>
      <c r="D44" s="3043">
        <v>230</v>
      </c>
      <c r="E44" s="3043">
        <v>230</v>
      </c>
      <c r="F44" s="2488" t="s">
        <v>10564</v>
      </c>
      <c r="G44" s="3043">
        <v>62</v>
      </c>
      <c r="H44" s="2488"/>
      <c r="I44" s="2750">
        <v>1</v>
      </c>
      <c r="J44" s="2488" t="s">
        <v>10530</v>
      </c>
      <c r="K44" s="2488"/>
      <c r="L44" s="2488"/>
      <c r="M44" s="2488"/>
      <c r="N44" s="2488"/>
      <c r="O44" s="2488"/>
      <c r="P44" s="2488"/>
      <c r="Q44" s="2488"/>
      <c r="R44" s="2479" t="str">
        <f t="shared" si="0"/>
        <v>DIXONVILLE, OR, GRANTS PASS, OR, Wood - H, 1272 ACSR 36/1</v>
      </c>
    </row>
    <row r="45" spans="1:18" ht="15" customHeight="1" x14ac:dyDescent="0.2">
      <c r="A45" s="3003">
        <f t="shared" si="1"/>
        <v>34.062999999999853</v>
      </c>
      <c r="B45" s="2488" t="s">
        <v>10651</v>
      </c>
      <c r="C45" s="2488" t="s">
        <v>10652</v>
      </c>
      <c r="D45" s="3043">
        <v>230</v>
      </c>
      <c r="E45" s="3043">
        <v>230</v>
      </c>
      <c r="F45" s="2488" t="s">
        <v>10564</v>
      </c>
      <c r="G45" s="3043">
        <v>39</v>
      </c>
      <c r="H45" s="2488"/>
      <c r="I45" s="2750">
        <v>1</v>
      </c>
      <c r="J45" s="2488" t="s">
        <v>10552</v>
      </c>
      <c r="K45" s="2488"/>
      <c r="L45" s="2488"/>
      <c r="M45" s="2488"/>
      <c r="N45" s="2488"/>
      <c r="O45" s="2488"/>
      <c r="P45" s="2488"/>
      <c r="Q45" s="2488"/>
      <c r="R45" s="2479" t="str">
        <f t="shared" si="0"/>
        <v>HIGH PLAINS, WY, STANDPIPE, WY, Wood - H, 1272 ACSR 45/7</v>
      </c>
    </row>
    <row r="46" spans="1:18" ht="15" customHeight="1" x14ac:dyDescent="0.2">
      <c r="A46" s="3003">
        <f t="shared" si="1"/>
        <v>34.063999999999851</v>
      </c>
      <c r="B46" s="2478" t="s">
        <v>10653</v>
      </c>
      <c r="C46" s="2488" t="s">
        <v>10654</v>
      </c>
      <c r="D46" s="3043">
        <v>230</v>
      </c>
      <c r="E46" s="3043">
        <v>230</v>
      </c>
      <c r="F46" s="2488" t="s">
        <v>10564</v>
      </c>
      <c r="G46" s="3043">
        <v>78</v>
      </c>
      <c r="H46" s="2488"/>
      <c r="I46" s="2750">
        <v>1</v>
      </c>
      <c r="J46" s="2488" t="s">
        <v>10552</v>
      </c>
      <c r="K46" s="2488"/>
      <c r="L46" s="2488"/>
      <c r="M46" s="2488"/>
      <c r="N46" s="2488"/>
      <c r="O46" s="2488"/>
      <c r="P46" s="2488"/>
      <c r="Q46" s="2488"/>
      <c r="R46" s="2479" t="str">
        <f t="shared" si="0"/>
        <v>HURRICANE, OR, WALLA WALLA, WA, Wood - H, 1272 ACSR 45/7</v>
      </c>
    </row>
    <row r="47" spans="1:18" ht="15" customHeight="1" x14ac:dyDescent="0.2">
      <c r="A47" s="3003">
        <f t="shared" si="1"/>
        <v>34.064999999999849</v>
      </c>
      <c r="B47" s="2488" t="s">
        <v>10554</v>
      </c>
      <c r="C47" s="2488" t="s">
        <v>10655</v>
      </c>
      <c r="D47" s="3043">
        <v>230</v>
      </c>
      <c r="E47" s="3043">
        <v>230</v>
      </c>
      <c r="F47" s="2488" t="s">
        <v>10564</v>
      </c>
      <c r="G47" s="3043">
        <v>35</v>
      </c>
      <c r="H47" s="2488"/>
      <c r="I47" s="2750">
        <v>1</v>
      </c>
      <c r="J47" s="2488" t="s">
        <v>10552</v>
      </c>
      <c r="K47" s="2488"/>
      <c r="L47" s="2488"/>
      <c r="M47" s="2488"/>
      <c r="N47" s="2488"/>
      <c r="O47" s="2488"/>
      <c r="P47" s="2488"/>
      <c r="Q47" s="2488"/>
      <c r="R47" s="2479" t="str">
        <f t="shared" si="0"/>
        <v>JIM BRIDGER, WY, ROCK SPRINGS, WY, Wood - H, 1272 ACSR 45/7</v>
      </c>
    </row>
    <row r="48" spans="1:18" ht="15" customHeight="1" x14ac:dyDescent="0.2">
      <c r="A48" s="3003">
        <f t="shared" si="1"/>
        <v>34.065999999999846</v>
      </c>
      <c r="B48" s="2488" t="s">
        <v>10554</v>
      </c>
      <c r="C48" s="2488" t="s">
        <v>10634</v>
      </c>
      <c r="D48" s="3043">
        <v>230</v>
      </c>
      <c r="E48" s="3043">
        <v>230</v>
      </c>
      <c r="F48" s="2488" t="s">
        <v>10564</v>
      </c>
      <c r="G48" s="3043">
        <v>149</v>
      </c>
      <c r="H48" s="2488"/>
      <c r="I48" s="2750">
        <v>1</v>
      </c>
      <c r="J48" s="2488" t="s">
        <v>10530</v>
      </c>
      <c r="K48" s="2488"/>
      <c r="L48" s="2488"/>
      <c r="M48" s="2488"/>
      <c r="N48" s="2488"/>
      <c r="O48" s="2488"/>
      <c r="P48" s="2488"/>
      <c r="Q48" s="2488"/>
      <c r="R48" s="2479" t="str">
        <f t="shared" si="0"/>
        <v>JIM BRIDGER, WY, SPENCE, WY, Wood - H, 1272 ACSR 36/1</v>
      </c>
    </row>
    <row r="49" spans="1:18" ht="15" customHeight="1" x14ac:dyDescent="0.2">
      <c r="A49" s="3003">
        <f t="shared" si="1"/>
        <v>34.066999999999844</v>
      </c>
      <c r="B49" s="2488" t="s">
        <v>10656</v>
      </c>
      <c r="C49" s="2488" t="s">
        <v>10523</v>
      </c>
      <c r="D49" s="3043">
        <v>230</v>
      </c>
      <c r="E49" s="3043">
        <v>230</v>
      </c>
      <c r="F49" s="2488" t="s">
        <v>10564</v>
      </c>
      <c r="G49" s="3043">
        <v>35</v>
      </c>
      <c r="H49" s="2488"/>
      <c r="I49" s="2750">
        <v>1</v>
      </c>
      <c r="J49" s="2488" t="s">
        <v>10530</v>
      </c>
      <c r="K49" s="2488"/>
      <c r="L49" s="2488"/>
      <c r="M49" s="2488"/>
      <c r="N49" s="2488"/>
      <c r="O49" s="2488"/>
      <c r="P49" s="2488"/>
      <c r="Q49" s="2488"/>
      <c r="R49" s="2479" t="str">
        <f t="shared" si="0"/>
        <v>KLAMATH FALLS, OR, MALIN, OR, Wood - H, 1272 ACSR 36/1</v>
      </c>
    </row>
    <row r="50" spans="1:18" ht="15.75" customHeight="1" x14ac:dyDescent="0.2">
      <c r="A50" s="3003">
        <f t="shared" si="1"/>
        <v>34.067999999999842</v>
      </c>
      <c r="B50" s="2488" t="s">
        <v>10656</v>
      </c>
      <c r="C50" s="2488" t="s">
        <v>10529</v>
      </c>
      <c r="D50" s="3043">
        <v>230</v>
      </c>
      <c r="E50" s="3043">
        <v>230</v>
      </c>
      <c r="F50" s="2488" t="s">
        <v>10548</v>
      </c>
      <c r="G50" s="3043">
        <v>4</v>
      </c>
      <c r="H50" s="2488"/>
      <c r="I50" s="2750">
        <v>1</v>
      </c>
      <c r="J50" s="2488" t="s">
        <v>10657</v>
      </c>
      <c r="K50" s="2488"/>
      <c r="L50" s="2488"/>
      <c r="M50" s="2488"/>
      <c r="N50" s="2488"/>
      <c r="O50" s="2488"/>
      <c r="P50" s="2488"/>
      <c r="Q50" s="2488"/>
      <c r="R50" s="2479" t="str">
        <f t="shared" si="0"/>
        <v>KLAMATH FALLS, OR, SNOW GOOSE, OR, Steel - SP, 1511 ACCC 36/1</v>
      </c>
    </row>
    <row r="51" spans="1:18" ht="15.75" customHeight="1" x14ac:dyDescent="0.2">
      <c r="A51" s="3003">
        <f t="shared" si="1"/>
        <v>34.068999999999839</v>
      </c>
      <c r="B51" s="2488" t="s">
        <v>10658</v>
      </c>
      <c r="C51" s="2488" t="s">
        <v>10659</v>
      </c>
      <c r="D51" s="3043">
        <v>230</v>
      </c>
      <c r="E51" s="3043">
        <v>230</v>
      </c>
      <c r="F51" s="2488" t="s">
        <v>10564</v>
      </c>
      <c r="G51" s="3043">
        <v>2</v>
      </c>
      <c r="H51" s="2488"/>
      <c r="I51" s="2750">
        <v>1</v>
      </c>
      <c r="J51" s="2488" t="s">
        <v>10552</v>
      </c>
      <c r="K51" s="2488"/>
      <c r="L51" s="2488"/>
      <c r="M51" s="2488"/>
      <c r="N51" s="2488"/>
      <c r="O51" s="2488"/>
      <c r="P51" s="2488"/>
      <c r="Q51" s="2488"/>
      <c r="R51" s="2479" t="str">
        <f t="shared" si="0"/>
        <v>LIMA, WY, ROBERSON, WY, Wood - H, 1272 ACSR 45/7</v>
      </c>
    </row>
    <row r="52" spans="1:18" ht="15" customHeight="1" x14ac:dyDescent="0.2">
      <c r="A52" s="3003">
        <f t="shared" si="1"/>
        <v>34.069999999999837</v>
      </c>
      <c r="B52" s="2488" t="s">
        <v>10660</v>
      </c>
      <c r="C52" s="2488" t="s">
        <v>10656</v>
      </c>
      <c r="D52" s="3043">
        <v>230</v>
      </c>
      <c r="E52" s="3043">
        <v>230</v>
      </c>
      <c r="F52" s="2488" t="s">
        <v>10564</v>
      </c>
      <c r="G52" s="3043">
        <v>76</v>
      </c>
      <c r="H52" s="2488"/>
      <c r="I52" s="2750">
        <v>1</v>
      </c>
      <c r="J52" s="2488" t="s">
        <v>10518</v>
      </c>
      <c r="K52" s="2488"/>
      <c r="L52" s="2488"/>
      <c r="M52" s="2488"/>
      <c r="N52" s="2488"/>
      <c r="O52" s="2488"/>
      <c r="P52" s="2488"/>
      <c r="Q52" s="2488"/>
      <c r="R52" s="2479" t="str">
        <f t="shared" si="0"/>
        <v>LONE PINE, OR, KLAMATH FALLS, OR, Wood - H, 795 ACSR 26/7</v>
      </c>
    </row>
    <row r="53" spans="1:18" ht="15" customHeight="1" x14ac:dyDescent="0.2">
      <c r="A53" s="3003">
        <f t="shared" si="1"/>
        <v>34.070999999999835</v>
      </c>
      <c r="B53" s="2488" t="s">
        <v>10660</v>
      </c>
      <c r="C53" s="2488" t="s">
        <v>10661</v>
      </c>
      <c r="D53" s="3043">
        <v>230</v>
      </c>
      <c r="E53" s="3043">
        <v>230</v>
      </c>
      <c r="F53" s="2488" t="s">
        <v>10548</v>
      </c>
      <c r="G53" s="3043">
        <v>5</v>
      </c>
      <c r="H53" s="2488"/>
      <c r="I53" s="2750">
        <v>1</v>
      </c>
      <c r="J53" s="2488" t="s">
        <v>10515</v>
      </c>
      <c r="K53" s="2488"/>
      <c r="L53" s="2488"/>
      <c r="M53" s="2488"/>
      <c r="N53" s="2488"/>
      <c r="O53" s="2488"/>
      <c r="P53" s="2488"/>
      <c r="Q53" s="2488"/>
      <c r="R53" s="2479" t="str">
        <f t="shared" si="0"/>
        <v>LONE PINE, OR, MERIDIAN #1, OR, Steel - SP, 1272 ACSR 54/19</v>
      </c>
    </row>
    <row r="54" spans="1:18" ht="15" customHeight="1" x14ac:dyDescent="0.2">
      <c r="A54" s="3003">
        <f t="shared" si="1"/>
        <v>34.071999999999832</v>
      </c>
      <c r="B54" s="2488" t="s">
        <v>10660</v>
      </c>
      <c r="C54" s="2488" t="s">
        <v>10662</v>
      </c>
      <c r="D54" s="3043">
        <v>230</v>
      </c>
      <c r="E54" s="3043">
        <v>230</v>
      </c>
      <c r="F54" s="2488" t="s">
        <v>10548</v>
      </c>
      <c r="G54" s="3043">
        <v>5</v>
      </c>
      <c r="H54" s="2488"/>
      <c r="I54" s="2750">
        <v>1</v>
      </c>
      <c r="J54" s="2488" t="s">
        <v>10515</v>
      </c>
      <c r="K54" s="2488"/>
      <c r="L54" s="2488"/>
      <c r="M54" s="2488"/>
      <c r="N54" s="2488"/>
      <c r="O54" s="2488"/>
      <c r="P54" s="2488"/>
      <c r="Q54" s="2488"/>
      <c r="R54" s="2479" t="str">
        <f t="shared" si="0"/>
        <v>LONE PINE, OR, MERIDIAN #2, OR, Steel - SP, 1272 ACSR 54/19</v>
      </c>
    </row>
    <row r="55" spans="1:18" ht="15" customHeight="1" x14ac:dyDescent="0.2">
      <c r="A55" s="3003">
        <f t="shared" si="1"/>
        <v>34.07299999999983</v>
      </c>
      <c r="B55" s="2488" t="s">
        <v>10663</v>
      </c>
      <c r="C55" s="2488" t="s">
        <v>10654</v>
      </c>
      <c r="D55" s="3043">
        <v>230</v>
      </c>
      <c r="E55" s="3043">
        <v>230</v>
      </c>
      <c r="F55" s="2488" t="s">
        <v>10564</v>
      </c>
      <c r="G55" s="3043">
        <v>56</v>
      </c>
      <c r="H55" s="2488"/>
      <c r="I55" s="2750">
        <v>1</v>
      </c>
      <c r="J55" s="2488" t="s">
        <v>10530</v>
      </c>
      <c r="K55" s="2488"/>
      <c r="L55" s="2488"/>
      <c r="M55" s="2488"/>
      <c r="N55" s="2488"/>
      <c r="O55" s="2488"/>
      <c r="P55" s="2488"/>
      <c r="Q55" s="2488"/>
      <c r="R55" s="2479" t="str">
        <f t="shared" si="0"/>
        <v>MCNARY (BPA), OR, WALLA WALLA, WA, Wood - H, 1272 ACSR 36/1</v>
      </c>
    </row>
    <row r="56" spans="1:18" ht="15" customHeight="1" x14ac:dyDescent="0.2">
      <c r="A56" s="3003">
        <f t="shared" si="1"/>
        <v>34.073999999999828</v>
      </c>
      <c r="B56" s="2488" t="s">
        <v>10663</v>
      </c>
      <c r="C56" s="2488" t="s">
        <v>10664</v>
      </c>
      <c r="D56" s="3043">
        <v>230</v>
      </c>
      <c r="E56" s="3043">
        <v>230</v>
      </c>
      <c r="F56" s="2488" t="s">
        <v>10564</v>
      </c>
      <c r="G56" s="3043">
        <v>29</v>
      </c>
      <c r="H56" s="2488"/>
      <c r="I56" s="2750">
        <v>1</v>
      </c>
      <c r="J56" s="2488" t="s">
        <v>10665</v>
      </c>
      <c r="K56" s="2488"/>
      <c r="L56" s="2488"/>
      <c r="M56" s="2488"/>
      <c r="N56" s="2488"/>
      <c r="O56" s="2488"/>
      <c r="P56" s="2488"/>
      <c r="Q56" s="2488"/>
      <c r="R56" s="2479" t="str">
        <f t="shared" si="0"/>
        <v>MCNARY (BPA), OR, WALLULA, WA, Wood - H, 1158.4 ACSS/TW 25/7</v>
      </c>
    </row>
    <row r="57" spans="1:18" ht="15" customHeight="1" x14ac:dyDescent="0.2">
      <c r="A57" s="3003">
        <f t="shared" si="1"/>
        <v>34.074999999999825</v>
      </c>
      <c r="B57" s="2488" t="s">
        <v>10525</v>
      </c>
      <c r="C57" s="2488" t="s">
        <v>10650</v>
      </c>
      <c r="D57" s="3043">
        <v>230</v>
      </c>
      <c r="E57" s="3043">
        <v>230</v>
      </c>
      <c r="F57" s="2488" t="s">
        <v>10564</v>
      </c>
      <c r="G57" s="3043">
        <v>35</v>
      </c>
      <c r="H57" s="2488"/>
      <c r="I57" s="2750">
        <v>1</v>
      </c>
      <c r="J57" s="2488" t="s">
        <v>10530</v>
      </c>
      <c r="K57" s="2488"/>
      <c r="L57" s="2488"/>
      <c r="M57" s="2488"/>
      <c r="N57" s="2488"/>
      <c r="O57" s="2488"/>
      <c r="P57" s="2488"/>
      <c r="Q57" s="2488"/>
      <c r="R57" s="2479" t="str">
        <f t="shared" si="0"/>
        <v>MERIDIAN, OR, GRANTS PASS, OR, Wood - H, 1272 ACSR 36/1</v>
      </c>
    </row>
    <row r="58" spans="1:18" ht="15" customHeight="1" x14ac:dyDescent="0.2">
      <c r="A58" s="3003">
        <f t="shared" si="1"/>
        <v>34.075999999999823</v>
      </c>
      <c r="B58" s="2488" t="s">
        <v>10643</v>
      </c>
      <c r="C58" s="2488" t="s">
        <v>10666</v>
      </c>
      <c r="D58" s="3043">
        <v>230</v>
      </c>
      <c r="E58" s="3043">
        <v>230</v>
      </c>
      <c r="F58" s="2488" t="s">
        <v>10564</v>
      </c>
      <c r="G58" s="3043">
        <v>13</v>
      </c>
      <c r="H58" s="2488"/>
      <c r="I58" s="2750">
        <v>1</v>
      </c>
      <c r="J58" s="2488" t="s">
        <v>10530</v>
      </c>
      <c r="K58" s="2488"/>
      <c r="L58" s="2488"/>
      <c r="M58" s="2488"/>
      <c r="N58" s="2488"/>
      <c r="O58" s="2488"/>
      <c r="P58" s="2488"/>
      <c r="Q58" s="2488"/>
      <c r="R58" s="2479" t="str">
        <f t="shared" si="0"/>
        <v>MONUMENT, WY, EXXON, WY, Wood - H, 1272 ACSR 36/1</v>
      </c>
    </row>
    <row r="59" spans="1:18" ht="15" customHeight="1" x14ac:dyDescent="0.2">
      <c r="A59" s="3003">
        <f t="shared" si="1"/>
        <v>34.076999999999821</v>
      </c>
      <c r="B59" s="2488" t="s">
        <v>10643</v>
      </c>
      <c r="C59" s="2488" t="s">
        <v>10627</v>
      </c>
      <c r="D59" s="3043">
        <v>230</v>
      </c>
      <c r="E59" s="3043">
        <v>230</v>
      </c>
      <c r="F59" s="2488" t="s">
        <v>10564</v>
      </c>
      <c r="G59" s="3043">
        <v>20</v>
      </c>
      <c r="H59" s="2488"/>
      <c r="I59" s="2750">
        <v>1</v>
      </c>
      <c r="J59" s="2488" t="s">
        <v>10552</v>
      </c>
      <c r="K59" s="2488"/>
      <c r="L59" s="2488"/>
      <c r="M59" s="2488"/>
      <c r="N59" s="2488"/>
      <c r="O59" s="2488"/>
      <c r="P59" s="2488"/>
      <c r="Q59" s="2488"/>
      <c r="R59" s="2479" t="str">
        <f t="shared" si="0"/>
        <v>MONUMENT, WY, CRAVEN CREEK, WY, Wood - H, 1272 ACSR 45/7</v>
      </c>
    </row>
    <row r="60" spans="1:18" ht="15" customHeight="1" x14ac:dyDescent="0.2">
      <c r="A60" s="3003">
        <f t="shared" si="1"/>
        <v>34.077999999999818</v>
      </c>
      <c r="B60" s="2488" t="s">
        <v>10667</v>
      </c>
      <c r="C60" s="2488" t="s">
        <v>10668</v>
      </c>
      <c r="D60" s="3043">
        <v>230</v>
      </c>
      <c r="E60" s="3043">
        <v>230</v>
      </c>
      <c r="F60" s="2488" t="s">
        <v>10564</v>
      </c>
      <c r="G60" s="3043">
        <v>80</v>
      </c>
      <c r="H60" s="2488"/>
      <c r="I60" s="2750">
        <v>1</v>
      </c>
      <c r="J60" s="2488" t="s">
        <v>10552</v>
      </c>
      <c r="K60" s="2488"/>
      <c r="L60" s="2488"/>
      <c r="M60" s="2488"/>
      <c r="N60" s="2488"/>
      <c r="O60" s="2488"/>
      <c r="P60" s="2488"/>
      <c r="Q60" s="2488"/>
      <c r="R60" s="2479" t="str">
        <f t="shared" si="0"/>
        <v>NAUGHTON, WY, TREASURETON, ID, Wood - H, 1272 ACSR 45/7</v>
      </c>
    </row>
    <row r="61" spans="1:18" ht="15" customHeight="1" x14ac:dyDescent="0.2">
      <c r="A61" s="3003">
        <f t="shared" si="1"/>
        <v>34.078999999999816</v>
      </c>
      <c r="B61" s="2488" t="s">
        <v>10667</v>
      </c>
      <c r="C61" s="2488" t="s">
        <v>10643</v>
      </c>
      <c r="D61" s="3043">
        <v>230</v>
      </c>
      <c r="E61" s="3043">
        <v>230</v>
      </c>
      <c r="F61" s="2488" t="s">
        <v>10564</v>
      </c>
      <c r="G61" s="3043">
        <v>30</v>
      </c>
      <c r="H61" s="2488"/>
      <c r="I61" s="2750">
        <v>1</v>
      </c>
      <c r="J61" s="2488" t="s">
        <v>10530</v>
      </c>
      <c r="K61" s="2488"/>
      <c r="L61" s="2488"/>
      <c r="M61" s="2488"/>
      <c r="N61" s="2488"/>
      <c r="O61" s="2488"/>
      <c r="P61" s="2488"/>
      <c r="Q61" s="2488"/>
      <c r="R61" s="2479" t="str">
        <f t="shared" si="0"/>
        <v>NAUGHTON, WY, MONUMENT, WY, Wood - H, 1272 ACSR 36/1</v>
      </c>
    </row>
    <row r="62" spans="1:18" ht="15" customHeight="1" x14ac:dyDescent="0.2">
      <c r="A62" s="3003">
        <f t="shared" si="1"/>
        <v>34.079999999999814</v>
      </c>
      <c r="B62" s="2488" t="s">
        <v>10667</v>
      </c>
      <c r="C62" s="2488" t="s">
        <v>10627</v>
      </c>
      <c r="D62" s="3043">
        <v>230</v>
      </c>
      <c r="E62" s="3043">
        <v>230</v>
      </c>
      <c r="F62" s="2488" t="s">
        <v>10564</v>
      </c>
      <c r="G62" s="3043">
        <v>16</v>
      </c>
      <c r="H62" s="2488"/>
      <c r="I62" s="2750">
        <v>1</v>
      </c>
      <c r="J62" s="2488" t="s">
        <v>10570</v>
      </c>
      <c r="K62" s="2488"/>
      <c r="L62" s="2488"/>
      <c r="M62" s="2488"/>
      <c r="N62" s="2488"/>
      <c r="O62" s="2488"/>
      <c r="P62" s="2488"/>
      <c r="Q62" s="2488"/>
      <c r="R62" s="2479" t="str">
        <f t="shared" si="0"/>
        <v>NAUGHTON, WY, CRAVEN CREEK, WY, Wood - H, 954 ACSR 54/7</v>
      </c>
    </row>
    <row r="63" spans="1:18" ht="15" customHeight="1" x14ac:dyDescent="0.2">
      <c r="A63" s="3003">
        <f t="shared" si="1"/>
        <v>34.080999999999811</v>
      </c>
      <c r="B63" s="2488" t="s">
        <v>10669</v>
      </c>
      <c r="C63" s="2488" t="s">
        <v>10670</v>
      </c>
      <c r="D63" s="3043">
        <v>230</v>
      </c>
      <c r="E63" s="3043">
        <v>230</v>
      </c>
      <c r="F63" s="2488" t="s">
        <v>10564</v>
      </c>
      <c r="G63" s="3043">
        <v>4</v>
      </c>
      <c r="H63" s="2488"/>
      <c r="I63" s="2750">
        <v>1</v>
      </c>
      <c r="J63" s="2488" t="s">
        <v>10530</v>
      </c>
      <c r="K63" s="2488"/>
      <c r="L63" s="2488"/>
      <c r="M63" s="2488"/>
      <c r="N63" s="2488"/>
      <c r="O63" s="2488"/>
      <c r="P63" s="2488"/>
      <c r="Q63" s="2488"/>
      <c r="R63" s="2479" t="str">
        <f t="shared" si="0"/>
        <v>PALISADES SS, WY, BLUE RIM, WY, Wood - H, 1272 ACSR 36/1</v>
      </c>
    </row>
    <row r="64" spans="1:18" ht="15" customHeight="1" x14ac:dyDescent="0.2">
      <c r="A64" s="3003">
        <f t="shared" si="1"/>
        <v>34.081999999999809</v>
      </c>
      <c r="B64" s="2488" t="s">
        <v>10671</v>
      </c>
      <c r="C64" s="2488" t="s">
        <v>10591</v>
      </c>
      <c r="D64" s="3043">
        <v>230</v>
      </c>
      <c r="E64" s="3043">
        <v>230</v>
      </c>
      <c r="F64" s="2488" t="s">
        <v>10564</v>
      </c>
      <c r="G64" s="3043">
        <v>94</v>
      </c>
      <c r="H64" s="2488"/>
      <c r="I64" s="2750">
        <v>1</v>
      </c>
      <c r="J64" s="2488" t="s">
        <v>10582</v>
      </c>
      <c r="K64" s="2488"/>
      <c r="L64" s="2488"/>
      <c r="M64" s="2488"/>
      <c r="N64" s="2488"/>
      <c r="O64" s="2488"/>
      <c r="P64" s="2488"/>
      <c r="Q64" s="2488"/>
      <c r="R64" s="2479" t="str">
        <f t="shared" si="0"/>
        <v>PAROWAN VALLEY, UT, SIGURD, UT, Wood - H, 795 ACSR 45/7</v>
      </c>
    </row>
    <row r="65" spans="1:18" ht="15" customHeight="1" x14ac:dyDescent="0.2">
      <c r="A65" s="3003">
        <f t="shared" si="1"/>
        <v>34.082999999999807</v>
      </c>
      <c r="B65" s="2488" t="s">
        <v>10671</v>
      </c>
      <c r="C65" s="2488" t="s">
        <v>10672</v>
      </c>
      <c r="D65" s="3043">
        <v>230</v>
      </c>
      <c r="E65" s="3043">
        <v>230</v>
      </c>
      <c r="F65" s="2488" t="s">
        <v>10564</v>
      </c>
      <c r="G65" s="3043">
        <v>26</v>
      </c>
      <c r="H65" s="2488"/>
      <c r="I65" s="2750">
        <v>1</v>
      </c>
      <c r="J65" s="2488" t="s">
        <v>10582</v>
      </c>
      <c r="K65" s="2488"/>
      <c r="L65" s="2488"/>
      <c r="M65" s="2488"/>
      <c r="N65" s="2488"/>
      <c r="O65" s="2488"/>
      <c r="P65" s="2488"/>
      <c r="Q65" s="2488"/>
      <c r="R65" s="2479" t="str">
        <f t="shared" si="0"/>
        <v>PAROWAN VALLEY, UT, WEST CEDAR, UT, Wood - H, 795 ACSR 45/7</v>
      </c>
    </row>
    <row r="66" spans="1:18" ht="15" customHeight="1" x14ac:dyDescent="0.2">
      <c r="A66" s="3003">
        <f t="shared" si="1"/>
        <v>34.083999999999804</v>
      </c>
      <c r="B66" s="2488" t="s">
        <v>10649</v>
      </c>
      <c r="C66" s="2488" t="s">
        <v>10591</v>
      </c>
      <c r="D66" s="3043">
        <v>230</v>
      </c>
      <c r="E66" s="3043">
        <v>230</v>
      </c>
      <c r="F66" s="2488" t="s">
        <v>10564</v>
      </c>
      <c r="G66" s="3043">
        <v>43</v>
      </c>
      <c r="H66" s="2488"/>
      <c r="I66" s="2750">
        <v>1</v>
      </c>
      <c r="J66" s="2488" t="s">
        <v>10582</v>
      </c>
      <c r="K66" s="2488"/>
      <c r="L66" s="2488"/>
      <c r="M66" s="2488"/>
      <c r="N66" s="2488"/>
      <c r="O66" s="2488"/>
      <c r="P66" s="2488"/>
      <c r="Q66" s="2488"/>
      <c r="R66" s="2479" t="str">
        <f t="shared" si="0"/>
        <v>PAVANT, UT, SIGURD, UT, Wood - H, 795 ACSR 45/7</v>
      </c>
    </row>
    <row r="67" spans="1:18" ht="15" customHeight="1" x14ac:dyDescent="0.2">
      <c r="A67" s="3003">
        <f t="shared" si="1"/>
        <v>34.084999999999802</v>
      </c>
      <c r="B67" s="2488" t="s">
        <v>10673</v>
      </c>
      <c r="C67" s="2488" t="s">
        <v>10623</v>
      </c>
      <c r="D67" s="3043">
        <v>230</v>
      </c>
      <c r="E67" s="3043">
        <v>230</v>
      </c>
      <c r="F67" s="2488" t="s">
        <v>10564</v>
      </c>
      <c r="G67" s="3043">
        <v>210</v>
      </c>
      <c r="H67" s="2488"/>
      <c r="I67" s="2750">
        <v>1</v>
      </c>
      <c r="J67" s="2488" t="s">
        <v>10530</v>
      </c>
      <c r="K67" s="2488"/>
      <c r="L67" s="2488"/>
      <c r="M67" s="2488"/>
      <c r="N67" s="2488"/>
      <c r="O67" s="2488"/>
      <c r="P67" s="2488"/>
      <c r="Q67" s="2488"/>
      <c r="R67" s="2479" t="str">
        <f t="shared" si="0"/>
        <v>POINT OF ROCKS, WY, DAVE JOHNSTON, WY, Wood - H, 1272 ACSR 36/1</v>
      </c>
    </row>
    <row r="68" spans="1:18" ht="15" customHeight="1" x14ac:dyDescent="0.2">
      <c r="A68" s="3003">
        <f t="shared" si="1"/>
        <v>34.0859999999998</v>
      </c>
      <c r="B68" s="2488" t="s">
        <v>10674</v>
      </c>
      <c r="C68" s="2488" t="s">
        <v>10675</v>
      </c>
      <c r="D68" s="3043">
        <v>230</v>
      </c>
      <c r="E68" s="3043">
        <v>230</v>
      </c>
      <c r="F68" s="2488" t="s">
        <v>10564</v>
      </c>
      <c r="G68" s="3043">
        <v>40</v>
      </c>
      <c r="H68" s="2488"/>
      <c r="I68" s="2750">
        <v>1</v>
      </c>
      <c r="J68" s="2488" t="s">
        <v>10552</v>
      </c>
      <c r="K68" s="2488"/>
      <c r="L68" s="2488"/>
      <c r="M68" s="2488"/>
      <c r="N68" s="2488"/>
      <c r="O68" s="2488"/>
      <c r="P68" s="2488"/>
      <c r="Q68" s="2488"/>
      <c r="R68" s="2479" t="str">
        <f t="shared" si="0"/>
        <v>POMONA, WA, VANTAGE, WA, Wood - H, 1272 ACSR 45/7</v>
      </c>
    </row>
    <row r="69" spans="1:18" ht="15" customHeight="1" x14ac:dyDescent="0.2">
      <c r="A69" s="3003">
        <f t="shared" si="1"/>
        <v>34.086999999999797</v>
      </c>
      <c r="B69" s="2488" t="s">
        <v>10676</v>
      </c>
      <c r="C69" s="2488" t="s">
        <v>10630</v>
      </c>
      <c r="D69" s="3043">
        <v>230</v>
      </c>
      <c r="E69" s="3043">
        <v>230</v>
      </c>
      <c r="F69" s="2488" t="s">
        <v>10511</v>
      </c>
      <c r="G69" s="3043">
        <v>1</v>
      </c>
      <c r="H69" s="2750">
        <v>1</v>
      </c>
      <c r="I69" s="2750">
        <v>1</v>
      </c>
      <c r="J69" s="2488" t="s">
        <v>10552</v>
      </c>
      <c r="K69" s="2488"/>
      <c r="L69" s="2488"/>
      <c r="M69" s="2488"/>
      <c r="N69" s="2488"/>
      <c r="O69" s="2488"/>
      <c r="P69" s="2488"/>
      <c r="Q69" s="2488"/>
      <c r="R69" s="2479" t="str">
        <f t="shared" si="0"/>
        <v>PONDEROSA (BPA), OR, CORRAL, OR, Steel Tower, 1272 ACSR 45/7</v>
      </c>
    </row>
    <row r="70" spans="1:18" ht="15" customHeight="1" x14ac:dyDescent="0.2">
      <c r="A70" s="3003">
        <f t="shared" si="1"/>
        <v>34.087999999999795</v>
      </c>
      <c r="B70" s="2488" t="s">
        <v>10674</v>
      </c>
      <c r="C70" s="2488" t="s">
        <v>10677</v>
      </c>
      <c r="D70" s="3043">
        <v>230</v>
      </c>
      <c r="E70" s="3043">
        <v>230</v>
      </c>
      <c r="F70" s="2488" t="s">
        <v>10564</v>
      </c>
      <c r="G70" s="3043">
        <v>7</v>
      </c>
      <c r="H70" s="2488"/>
      <c r="I70" s="2750">
        <v>1</v>
      </c>
      <c r="J70" s="2488" t="s">
        <v>10530</v>
      </c>
      <c r="K70" s="2488"/>
      <c r="L70" s="2488"/>
      <c r="M70" s="2488"/>
      <c r="N70" s="2488"/>
      <c r="O70" s="2488"/>
      <c r="P70" s="2488"/>
      <c r="Q70" s="2488"/>
      <c r="R70" s="2479" t="str">
        <f t="shared" si="0"/>
        <v>POMONA, WA, UNION GAP, WA, Wood - H, 1272 ACSR 36/1</v>
      </c>
    </row>
    <row r="71" spans="1:18" ht="15" customHeight="1" x14ac:dyDescent="0.2">
      <c r="A71" s="3003">
        <f t="shared" si="1"/>
        <v>34.088999999999793</v>
      </c>
      <c r="B71" s="2488" t="s">
        <v>10625</v>
      </c>
      <c r="C71" s="2488" t="s">
        <v>10655</v>
      </c>
      <c r="D71" s="3043">
        <v>230</v>
      </c>
      <c r="E71" s="3043">
        <v>230</v>
      </c>
      <c r="F71" s="2488" t="s">
        <v>10564</v>
      </c>
      <c r="G71" s="3043">
        <v>118</v>
      </c>
      <c r="H71" s="2488"/>
      <c r="I71" s="2750">
        <v>1</v>
      </c>
      <c r="J71" s="2488" t="s">
        <v>10530</v>
      </c>
      <c r="K71" s="2488"/>
      <c r="L71" s="2488"/>
      <c r="M71" s="2488"/>
      <c r="N71" s="2488"/>
      <c r="O71" s="2488"/>
      <c r="P71" s="2488"/>
      <c r="Q71" s="2488"/>
      <c r="R71" s="2479" t="str">
        <f t="shared" si="0"/>
        <v>RIVERTON, WY, ROCK SPRINGS, WY, Wood - H, 1272 ACSR 36/1</v>
      </c>
    </row>
    <row r="72" spans="1:18" ht="15" customHeight="1" x14ac:dyDescent="0.2">
      <c r="A72" s="3003">
        <f t="shared" si="1"/>
        <v>34.08999999999979</v>
      </c>
      <c r="B72" s="2488" t="s">
        <v>10625</v>
      </c>
      <c r="C72" s="2488" t="s">
        <v>10678</v>
      </c>
      <c r="D72" s="3043">
        <v>230</v>
      </c>
      <c r="E72" s="3043">
        <v>230</v>
      </c>
      <c r="F72" s="2488" t="s">
        <v>10564</v>
      </c>
      <c r="G72" s="3043">
        <v>51</v>
      </c>
      <c r="H72" s="2488"/>
      <c r="I72" s="2750">
        <v>1</v>
      </c>
      <c r="J72" s="2488" t="s">
        <v>10530</v>
      </c>
      <c r="K72" s="2488"/>
      <c r="L72" s="2488"/>
      <c r="M72" s="2488"/>
      <c r="N72" s="2488"/>
      <c r="O72" s="2488"/>
      <c r="P72" s="2488"/>
      <c r="Q72" s="2488"/>
      <c r="R72" s="2479" t="str">
        <f t="shared" si="0"/>
        <v>RIVERTON, WY, THERMOPOLIS, WY, Wood - H, 1272 ACSR 36/1</v>
      </c>
    </row>
    <row r="73" spans="1:18" ht="15" customHeight="1" x14ac:dyDescent="0.2">
      <c r="A73" s="3003">
        <f t="shared" si="1"/>
        <v>34.090999999999788</v>
      </c>
      <c r="B73" s="2488" t="s">
        <v>10655</v>
      </c>
      <c r="C73" s="2488" t="s">
        <v>10679</v>
      </c>
      <c r="D73" s="3043">
        <v>230</v>
      </c>
      <c r="E73" s="3043">
        <v>230</v>
      </c>
      <c r="F73" s="2488" t="s">
        <v>10564</v>
      </c>
      <c r="G73" s="3043">
        <v>55</v>
      </c>
      <c r="H73" s="2488"/>
      <c r="I73" s="2750">
        <v>1</v>
      </c>
      <c r="J73" s="2488" t="s">
        <v>10530</v>
      </c>
      <c r="K73" s="2488"/>
      <c r="L73" s="2488"/>
      <c r="M73" s="2488"/>
      <c r="N73" s="2488"/>
      <c r="O73" s="2488"/>
      <c r="P73" s="2488"/>
      <c r="Q73" s="2488"/>
      <c r="R73" s="2479" t="str">
        <f t="shared" ref="R73:R96" si="2">CONCATENATE(B73,", ",C73,", ",F73,", ",J73)</f>
        <v>ROCK SPRINGS, WY, FLAMING GORGE, UT, Wood - H, 1272 ACSR 36/1</v>
      </c>
    </row>
    <row r="74" spans="1:18" ht="15" customHeight="1" x14ac:dyDescent="0.2">
      <c r="A74" s="3003">
        <f t="shared" ref="A74:A94" si="3">A73+0.001</f>
        <v>34.091999999999786</v>
      </c>
      <c r="B74" s="2488" t="s">
        <v>10655</v>
      </c>
      <c r="C74" s="2488" t="s">
        <v>10554</v>
      </c>
      <c r="D74" s="3043">
        <v>230</v>
      </c>
      <c r="E74" s="3043">
        <v>230</v>
      </c>
      <c r="F74" s="2488" t="s">
        <v>10564</v>
      </c>
      <c r="G74" s="3043">
        <v>35</v>
      </c>
      <c r="H74" s="2488"/>
      <c r="I74" s="2750">
        <v>1</v>
      </c>
      <c r="J74" s="2488" t="s">
        <v>10530</v>
      </c>
      <c r="K74" s="2488"/>
      <c r="L74" s="2488"/>
      <c r="M74" s="2488"/>
      <c r="N74" s="2488"/>
      <c r="O74" s="2488"/>
      <c r="P74" s="2488"/>
      <c r="Q74" s="2488"/>
      <c r="R74" s="2479" t="str">
        <f t="shared" si="2"/>
        <v>ROCK SPRINGS, WY, JIM BRIDGER, WY, Wood - H, 1272 ACSR 36/1</v>
      </c>
    </row>
    <row r="75" spans="1:18" ht="15" customHeight="1" x14ac:dyDescent="0.2">
      <c r="A75" s="3003">
        <f t="shared" si="3"/>
        <v>34.092999999999783</v>
      </c>
      <c r="B75" s="2488" t="s">
        <v>10655</v>
      </c>
      <c r="C75" s="2488" t="s">
        <v>10643</v>
      </c>
      <c r="D75" s="3043">
        <v>230</v>
      </c>
      <c r="E75" s="3043">
        <v>230</v>
      </c>
      <c r="F75" s="2488" t="s">
        <v>10564</v>
      </c>
      <c r="G75" s="3043">
        <v>41</v>
      </c>
      <c r="H75" s="2488"/>
      <c r="I75" s="2750">
        <v>1</v>
      </c>
      <c r="J75" s="2488" t="s">
        <v>10530</v>
      </c>
      <c r="K75" s="2488"/>
      <c r="L75" s="2488"/>
      <c r="M75" s="2488"/>
      <c r="N75" s="2488"/>
      <c r="O75" s="2488"/>
      <c r="P75" s="2488"/>
      <c r="Q75" s="2488"/>
      <c r="R75" s="2479" t="str">
        <f t="shared" si="2"/>
        <v>ROCK SPRINGS, WY, MONUMENT, WY, Wood - H, 1272 ACSR 36/1</v>
      </c>
    </row>
    <row r="76" spans="1:18" ht="15" customHeight="1" x14ac:dyDescent="0.2">
      <c r="A76" s="3003">
        <f t="shared" si="3"/>
        <v>34.093999999999781</v>
      </c>
      <c r="B76" s="2488" t="s">
        <v>10680</v>
      </c>
      <c r="C76" s="2488" t="s">
        <v>10621</v>
      </c>
      <c r="D76" s="3043">
        <v>230</v>
      </c>
      <c r="E76" s="3043">
        <v>230</v>
      </c>
      <c r="F76" s="2488" t="s">
        <v>10564</v>
      </c>
      <c r="G76" s="3043">
        <v>40</v>
      </c>
      <c r="H76" s="2488"/>
      <c r="I76" s="2750">
        <v>1</v>
      </c>
      <c r="J76" s="2488" t="s">
        <v>10518</v>
      </c>
      <c r="K76" s="2488"/>
      <c r="L76" s="2488"/>
      <c r="M76" s="2488"/>
      <c r="N76" s="2488"/>
      <c r="O76" s="2488"/>
      <c r="P76" s="2488"/>
      <c r="Q76" s="2488"/>
      <c r="R76" s="2479" t="str">
        <f t="shared" si="2"/>
        <v>SHERIDAN (MDU), WY, BUFFALO, WY, Wood - H, 795 ACSR 26/7</v>
      </c>
    </row>
    <row r="77" spans="1:18" ht="15" customHeight="1" x14ac:dyDescent="0.2">
      <c r="A77" s="3003">
        <f t="shared" si="3"/>
        <v>34.094999999999779</v>
      </c>
      <c r="B77" s="2488" t="s">
        <v>10680</v>
      </c>
      <c r="C77" s="2488" t="s">
        <v>10681</v>
      </c>
      <c r="D77" s="3043">
        <v>230</v>
      </c>
      <c r="E77" s="3043">
        <v>230</v>
      </c>
      <c r="F77" s="2488" t="s">
        <v>10564</v>
      </c>
      <c r="G77" s="3043">
        <v>62</v>
      </c>
      <c r="H77" s="2488"/>
      <c r="I77" s="2750">
        <v>1</v>
      </c>
      <c r="J77" s="2488" t="s">
        <v>10518</v>
      </c>
      <c r="K77" s="2488"/>
      <c r="L77" s="2488"/>
      <c r="M77" s="2488"/>
      <c r="N77" s="2488"/>
      <c r="O77" s="2488"/>
      <c r="P77" s="2488"/>
      <c r="Q77" s="2488"/>
      <c r="R77" s="2479" t="str">
        <f t="shared" si="2"/>
        <v>SHERIDAN (MDU), WY, YELLOWTAIL, MT, Wood - H, 795 ACSR 26/7</v>
      </c>
    </row>
    <row r="78" spans="1:18" ht="15" customHeight="1" x14ac:dyDescent="0.2">
      <c r="A78" s="3003">
        <f t="shared" si="3"/>
        <v>34.095999999999776</v>
      </c>
      <c r="B78" s="2488" t="s">
        <v>10682</v>
      </c>
      <c r="C78" s="2488" t="s">
        <v>10683</v>
      </c>
      <c r="D78" s="3043">
        <v>230</v>
      </c>
      <c r="E78" s="3043">
        <v>230</v>
      </c>
      <c r="F78" s="2488" t="s">
        <v>10564</v>
      </c>
      <c r="G78" s="3043">
        <v>12</v>
      </c>
      <c r="H78" s="2488"/>
      <c r="I78" s="2750">
        <v>1</v>
      </c>
      <c r="J78" s="2488" t="s">
        <v>10518</v>
      </c>
      <c r="K78" s="2488"/>
      <c r="L78" s="2488"/>
      <c r="M78" s="2488"/>
      <c r="N78" s="2488"/>
      <c r="O78" s="2488"/>
      <c r="P78" s="2488"/>
      <c r="Q78" s="2488"/>
      <c r="R78" s="2479" t="str">
        <f t="shared" si="2"/>
        <v>SHIRLEY BASIN, WY, DUNLAP RANCH, WY, Wood - H, 795 ACSR 26/7</v>
      </c>
    </row>
    <row r="79" spans="1:18" ht="15" customHeight="1" x14ac:dyDescent="0.2">
      <c r="A79" s="3003">
        <f t="shared" si="3"/>
        <v>34.096999999999774</v>
      </c>
      <c r="B79" s="2488" t="s">
        <v>10684</v>
      </c>
      <c r="C79" s="2488" t="s">
        <v>10685</v>
      </c>
      <c r="D79" s="3043">
        <v>230</v>
      </c>
      <c r="E79" s="3043">
        <v>230</v>
      </c>
      <c r="F79" s="2488" t="s">
        <v>10564</v>
      </c>
      <c r="G79" s="3043">
        <v>2</v>
      </c>
      <c r="H79" s="2488"/>
      <c r="I79" s="2750">
        <v>1</v>
      </c>
      <c r="J79" s="2488" t="s">
        <v>10567</v>
      </c>
      <c r="K79" s="2488"/>
      <c r="L79" s="2488"/>
      <c r="M79" s="2488"/>
      <c r="N79" s="2488"/>
      <c r="O79" s="2488"/>
      <c r="P79" s="2488"/>
      <c r="Q79" s="2488"/>
      <c r="R79" s="2479" t="str">
        <f t="shared" si="2"/>
        <v>SWIFT No. 1, WA, SWIFT No. 2, WA, Wood - H, 954 ACSR 45/7</v>
      </c>
    </row>
    <row r="80" spans="1:18" ht="15" customHeight="1" x14ac:dyDescent="0.2">
      <c r="A80" s="3003">
        <f t="shared" si="3"/>
        <v>34.097999999999772</v>
      </c>
      <c r="B80" s="2488" t="s">
        <v>10685</v>
      </c>
      <c r="C80" s="2488" t="s">
        <v>10686</v>
      </c>
      <c r="D80" s="3043">
        <v>230</v>
      </c>
      <c r="E80" s="3043">
        <v>230</v>
      </c>
      <c r="F80" s="2488" t="s">
        <v>10564</v>
      </c>
      <c r="G80" s="3043">
        <v>23</v>
      </c>
      <c r="H80" s="2488"/>
      <c r="I80" s="2750">
        <v>1</v>
      </c>
      <c r="J80" s="2488" t="s">
        <v>10567</v>
      </c>
      <c r="K80" s="2488"/>
      <c r="L80" s="2488"/>
      <c r="M80" s="2488"/>
      <c r="N80" s="2488"/>
      <c r="O80" s="2488"/>
      <c r="P80" s="2488"/>
      <c r="Q80" s="2488"/>
      <c r="R80" s="2479" t="str">
        <f t="shared" si="2"/>
        <v>SWIFT No. 2, WA, WOODLAND (BPA) SS, WA, Wood - H, 954 ACSR 45/7</v>
      </c>
    </row>
    <row r="81" spans="1:18" ht="15" customHeight="1" x14ac:dyDescent="0.2">
      <c r="A81" s="3003">
        <f t="shared" si="3"/>
        <v>34.098999999999769</v>
      </c>
      <c r="B81" s="2488" t="s">
        <v>10687</v>
      </c>
      <c r="C81" s="2488" t="s">
        <v>10688</v>
      </c>
      <c r="D81" s="3043">
        <v>230</v>
      </c>
      <c r="E81" s="3043">
        <v>230</v>
      </c>
      <c r="F81" s="2488" t="s">
        <v>10564</v>
      </c>
      <c r="G81" s="3043">
        <v>7</v>
      </c>
      <c r="H81" s="2488"/>
      <c r="I81" s="2750">
        <v>1</v>
      </c>
      <c r="J81" s="2488" t="s">
        <v>10518</v>
      </c>
      <c r="K81" s="2488"/>
      <c r="L81" s="2488"/>
      <c r="M81" s="2488"/>
      <c r="N81" s="2488"/>
      <c r="O81" s="2488"/>
      <c r="P81" s="2488"/>
      <c r="Q81" s="2488"/>
      <c r="R81" s="2479" t="str">
        <f t="shared" si="2"/>
        <v>TALBOT, WA, MARENGO II, WA, Wood - H, 795 ACSR 26/7</v>
      </c>
    </row>
    <row r="82" spans="1:18" ht="15" customHeight="1" x14ac:dyDescent="0.2">
      <c r="A82" s="3003">
        <f t="shared" si="3"/>
        <v>34.099999999999767</v>
      </c>
      <c r="B82" s="2488" t="s">
        <v>10689</v>
      </c>
      <c r="C82" s="2488" t="s">
        <v>10690</v>
      </c>
      <c r="D82" s="3043">
        <v>230</v>
      </c>
      <c r="E82" s="3043">
        <v>230</v>
      </c>
      <c r="F82" s="2488" t="s">
        <v>10564</v>
      </c>
      <c r="G82" s="3043">
        <v>9</v>
      </c>
      <c r="H82" s="2488"/>
      <c r="I82" s="2750">
        <v>1</v>
      </c>
      <c r="J82" s="2488" t="s">
        <v>10518</v>
      </c>
      <c r="K82" s="2488"/>
      <c r="L82" s="2488"/>
      <c r="M82" s="2488"/>
      <c r="N82" s="2488"/>
      <c r="O82" s="2488"/>
      <c r="P82" s="2488"/>
      <c r="Q82" s="2488"/>
      <c r="R82" s="2479" t="str">
        <f t="shared" si="2"/>
        <v>TAP TO HANNA, OR, NICKEL MOUNTAIN, OR, Wood - H, 795 ACSR 26/7</v>
      </c>
    </row>
    <row r="83" spans="1:18" ht="15" customHeight="1" x14ac:dyDescent="0.2">
      <c r="A83" s="3003">
        <f t="shared" si="3"/>
        <v>34.100999999999765</v>
      </c>
      <c r="B83" s="2488" t="s">
        <v>10678</v>
      </c>
      <c r="C83" s="2488" t="s">
        <v>10681</v>
      </c>
      <c r="D83" s="3043">
        <v>230</v>
      </c>
      <c r="E83" s="3043">
        <v>230</v>
      </c>
      <c r="F83" s="2488" t="s">
        <v>10564</v>
      </c>
      <c r="G83" s="3043">
        <v>176</v>
      </c>
      <c r="H83" s="2488"/>
      <c r="I83" s="2750">
        <v>1</v>
      </c>
      <c r="J83" s="2488" t="s">
        <v>10530</v>
      </c>
      <c r="K83" s="2488"/>
      <c r="L83" s="2488"/>
      <c r="M83" s="2488"/>
      <c r="N83" s="2488"/>
      <c r="O83" s="2488"/>
      <c r="P83" s="2488"/>
      <c r="Q83" s="2488"/>
      <c r="R83" s="2479" t="str">
        <f t="shared" si="2"/>
        <v>THERMOPOLIS, WY, YELLOWTAIL, MT, Wood - H, 1272 ACSR 36/1</v>
      </c>
    </row>
    <row r="84" spans="1:18" ht="15" customHeight="1" x14ac:dyDescent="0.2">
      <c r="A84" s="3003">
        <f t="shared" si="3"/>
        <v>34.101999999999762</v>
      </c>
      <c r="B84" s="2488" t="s">
        <v>10668</v>
      </c>
      <c r="C84" s="2488" t="s">
        <v>10691</v>
      </c>
      <c r="D84" s="3043">
        <v>230</v>
      </c>
      <c r="E84" s="3043">
        <v>230</v>
      </c>
      <c r="F84" s="2488" t="s">
        <v>10564</v>
      </c>
      <c r="G84" s="3043">
        <v>66</v>
      </c>
      <c r="H84" s="2488"/>
      <c r="I84" s="2750">
        <v>1</v>
      </c>
      <c r="J84" s="2488" t="s">
        <v>10518</v>
      </c>
      <c r="K84" s="2488"/>
      <c r="L84" s="2488"/>
      <c r="M84" s="2488"/>
      <c r="N84" s="2488"/>
      <c r="O84" s="2488"/>
      <c r="P84" s="2488"/>
      <c r="Q84" s="2488"/>
      <c r="R84" s="2479" t="str">
        <f t="shared" si="2"/>
        <v>TREASURETON, ID, BRADY, ID, Wood - H, 795 ACSR 26/7</v>
      </c>
    </row>
    <row r="85" spans="1:18" ht="15" customHeight="1" x14ac:dyDescent="0.2">
      <c r="A85" s="3003">
        <f t="shared" si="3"/>
        <v>34.10299999999976</v>
      </c>
      <c r="B85" s="2488" t="s">
        <v>10692</v>
      </c>
      <c r="C85" s="2488" t="s">
        <v>10693</v>
      </c>
      <c r="D85" s="3043">
        <v>230</v>
      </c>
      <c r="E85" s="3043">
        <v>230</v>
      </c>
      <c r="F85" s="2488" t="s">
        <v>10511</v>
      </c>
      <c r="G85" s="3043">
        <v>6</v>
      </c>
      <c r="H85" s="2488"/>
      <c r="I85" s="2750">
        <v>1</v>
      </c>
      <c r="J85" s="2488" t="s">
        <v>10567</v>
      </c>
      <c r="K85" s="2488"/>
      <c r="L85" s="2488"/>
      <c r="M85" s="2488"/>
      <c r="N85" s="2488"/>
      <c r="O85" s="2488"/>
      <c r="P85" s="2488"/>
      <c r="Q85" s="2488"/>
      <c r="R85" s="2479" t="str">
        <f t="shared" si="2"/>
        <v>TROUTDALE (BPA), OR, GRESHAM (PGE), OR, Steel Tower, 954 ACSR 45/7</v>
      </c>
    </row>
    <row r="86" spans="1:18" ht="15" customHeight="1" x14ac:dyDescent="0.2">
      <c r="A86" s="3003">
        <f t="shared" si="3"/>
        <v>34.103999999999758</v>
      </c>
      <c r="B86" s="2488" t="s">
        <v>10692</v>
      </c>
      <c r="C86" s="2488" t="s">
        <v>10694</v>
      </c>
      <c r="D86" s="3043">
        <v>230</v>
      </c>
      <c r="E86" s="3043">
        <v>230</v>
      </c>
      <c r="F86" s="2488" t="s">
        <v>10511</v>
      </c>
      <c r="G86" s="3043">
        <v>0</v>
      </c>
      <c r="H86" s="2750">
        <v>6</v>
      </c>
      <c r="I86" s="2750">
        <v>1</v>
      </c>
      <c r="J86" s="2488" t="s">
        <v>10695</v>
      </c>
      <c r="K86" s="2488"/>
      <c r="L86" s="2488"/>
      <c r="M86" s="2488"/>
      <c r="N86" s="2488"/>
      <c r="O86" s="2488"/>
      <c r="P86" s="2488"/>
      <c r="Q86" s="2488"/>
      <c r="R86" s="2479" t="str">
        <f t="shared" si="2"/>
        <v>TROUTDALE (BPA), OR, LINNEMAN (PGE), OR, Steel Tower, 900 ACSR 54/7</v>
      </c>
    </row>
    <row r="87" spans="1:18" ht="15" customHeight="1" x14ac:dyDescent="0.2">
      <c r="A87" s="3003">
        <f t="shared" si="3"/>
        <v>34.104999999999755</v>
      </c>
      <c r="B87" s="2488" t="s">
        <v>10677</v>
      </c>
      <c r="C87" s="2488" t="s">
        <v>10696</v>
      </c>
      <c r="D87" s="3043">
        <v>230</v>
      </c>
      <c r="E87" s="3043">
        <v>230</v>
      </c>
      <c r="F87" s="2488" t="s">
        <v>10564</v>
      </c>
      <c r="G87" s="3043">
        <v>39</v>
      </c>
      <c r="H87" s="2488"/>
      <c r="I87" s="2750">
        <v>1</v>
      </c>
      <c r="J87" s="2488" t="s">
        <v>10567</v>
      </c>
      <c r="K87" s="2488"/>
      <c r="L87" s="2488"/>
      <c r="M87" s="2488"/>
      <c r="N87" s="2488"/>
      <c r="O87" s="2488"/>
      <c r="P87" s="2488"/>
      <c r="Q87" s="2488"/>
      <c r="R87" s="2479" t="str">
        <f t="shared" si="2"/>
        <v>UNION GAP, WA, MIDWAY (BPA), WA, Wood - H, 954 ACSR 45/7</v>
      </c>
    </row>
    <row r="88" spans="1:18" ht="15" customHeight="1" x14ac:dyDescent="0.2">
      <c r="A88" s="3003">
        <f t="shared" si="3"/>
        <v>34.105999999999753</v>
      </c>
      <c r="B88" s="2488" t="s">
        <v>10654</v>
      </c>
      <c r="C88" s="2488" t="s">
        <v>10697</v>
      </c>
      <c r="D88" s="3043">
        <v>230</v>
      </c>
      <c r="E88" s="3043">
        <v>230</v>
      </c>
      <c r="F88" s="2488" t="s">
        <v>10564</v>
      </c>
      <c r="G88" s="3043">
        <v>45</v>
      </c>
      <c r="H88" s="2488"/>
      <c r="I88" s="2750">
        <v>1</v>
      </c>
      <c r="J88" s="2488" t="s">
        <v>10530</v>
      </c>
      <c r="K88" s="2488"/>
      <c r="L88" s="2488"/>
      <c r="M88" s="2488"/>
      <c r="N88" s="2488"/>
      <c r="O88" s="2488"/>
      <c r="P88" s="2488"/>
      <c r="Q88" s="2488"/>
      <c r="R88" s="2479" t="str">
        <f t="shared" si="2"/>
        <v>WALLA WALLA, WA, LEWISTON (AVISTA), ID, Wood - H, 1272 ACSR 36/1</v>
      </c>
    </row>
    <row r="89" spans="1:18" ht="15" customHeight="1" x14ac:dyDescent="0.2">
      <c r="A89" s="3003">
        <f t="shared" si="3"/>
        <v>34.106999999999751</v>
      </c>
      <c r="B89" s="2488" t="s">
        <v>10654</v>
      </c>
      <c r="C89" s="2488" t="s">
        <v>10698</v>
      </c>
      <c r="D89" s="3043">
        <v>230</v>
      </c>
      <c r="E89" s="3043">
        <v>230</v>
      </c>
      <c r="F89" s="2488" t="s">
        <v>10564</v>
      </c>
      <c r="G89" s="3043">
        <v>33</v>
      </c>
      <c r="H89" s="2488"/>
      <c r="I89" s="2750">
        <v>1</v>
      </c>
      <c r="J89" s="2488" t="s">
        <v>10530</v>
      </c>
      <c r="K89" s="2488"/>
      <c r="L89" s="2488"/>
      <c r="M89" s="2488"/>
      <c r="N89" s="2488"/>
      <c r="O89" s="2488"/>
      <c r="P89" s="2488"/>
      <c r="Q89" s="2488"/>
      <c r="R89" s="2479" t="str">
        <f t="shared" si="2"/>
        <v>WALLA WALLA, WA, WANAPUM (GPUD), WA, Wood - H, 1272 ACSR 36/1</v>
      </c>
    </row>
    <row r="90" spans="1:18" ht="15" customHeight="1" x14ac:dyDescent="0.2">
      <c r="A90" s="3003">
        <f t="shared" si="3"/>
        <v>34.107999999999748</v>
      </c>
      <c r="B90" s="2488" t="s">
        <v>10698</v>
      </c>
      <c r="C90" s="2488" t="s">
        <v>10674</v>
      </c>
      <c r="D90" s="3043">
        <v>230</v>
      </c>
      <c r="E90" s="3043">
        <v>230</v>
      </c>
      <c r="F90" s="2488" t="s">
        <v>10564</v>
      </c>
      <c r="G90" s="3043">
        <v>37</v>
      </c>
      <c r="H90" s="2488"/>
      <c r="I90" s="2750">
        <v>1</v>
      </c>
      <c r="J90" s="2488" t="s">
        <v>10530</v>
      </c>
      <c r="K90" s="2488"/>
      <c r="L90" s="2488"/>
      <c r="M90" s="2488"/>
      <c r="N90" s="2488"/>
      <c r="O90" s="2488"/>
      <c r="P90" s="2488"/>
      <c r="Q90" s="2488"/>
      <c r="R90" s="2479" t="str">
        <f t="shared" si="2"/>
        <v>WANAPUM (GPUD), WA, POMONA, WA, Wood - H, 1272 ACSR 36/1</v>
      </c>
    </row>
    <row r="91" spans="1:18" ht="15" customHeight="1" x14ac:dyDescent="0.2">
      <c r="A91" s="3003">
        <f t="shared" si="3"/>
        <v>34.108999999999746</v>
      </c>
      <c r="B91" s="2488" t="s">
        <v>10699</v>
      </c>
      <c r="C91" s="2488" t="s">
        <v>10700</v>
      </c>
      <c r="D91" s="3043">
        <v>230</v>
      </c>
      <c r="E91" s="3043">
        <v>230</v>
      </c>
      <c r="F91" s="2488" t="s">
        <v>10564</v>
      </c>
      <c r="G91" s="3043">
        <v>13</v>
      </c>
      <c r="H91" s="2488"/>
      <c r="I91" s="2750">
        <v>1</v>
      </c>
      <c r="J91" s="2488" t="s">
        <v>10552</v>
      </c>
      <c r="K91" s="2488"/>
      <c r="L91" s="2488"/>
      <c r="M91" s="2488"/>
      <c r="N91" s="2488"/>
      <c r="O91" s="2488"/>
      <c r="P91" s="2488"/>
      <c r="Q91" s="2488"/>
      <c r="R91" s="2479" t="str">
        <f t="shared" si="2"/>
        <v>WINDSTAR, WY, GLENROCK, WY, Wood - H, 1272 ACSR 45/7</v>
      </c>
    </row>
    <row r="92" spans="1:18" ht="15" customHeight="1" x14ac:dyDescent="0.2">
      <c r="A92" s="3003">
        <f t="shared" si="3"/>
        <v>34.109999999999744</v>
      </c>
      <c r="B92" s="2488" t="s">
        <v>10636</v>
      </c>
      <c r="C92" s="2488" t="s">
        <v>10621</v>
      </c>
      <c r="D92" s="3043">
        <v>230</v>
      </c>
      <c r="E92" s="3043">
        <v>230</v>
      </c>
      <c r="F92" s="2488" t="s">
        <v>10564</v>
      </c>
      <c r="G92" s="3043">
        <v>69</v>
      </c>
      <c r="H92" s="2488"/>
      <c r="I92" s="2750">
        <v>1</v>
      </c>
      <c r="J92" s="2488" t="s">
        <v>10530</v>
      </c>
      <c r="K92" s="2488"/>
      <c r="L92" s="2488"/>
      <c r="M92" s="2488"/>
      <c r="N92" s="2488"/>
      <c r="O92" s="2488"/>
      <c r="P92" s="2488"/>
      <c r="Q92" s="2488"/>
      <c r="R92" s="2479" t="str">
        <f t="shared" si="2"/>
        <v>WYODAK, WY, BUFFALO, WY, Wood - H, 1272 ACSR 36/1</v>
      </c>
    </row>
    <row r="93" spans="1:18" ht="15" customHeight="1" x14ac:dyDescent="0.2">
      <c r="A93" s="3003">
        <f t="shared" si="3"/>
        <v>34.110999999999741</v>
      </c>
      <c r="B93" s="2488" t="s">
        <v>10701</v>
      </c>
      <c r="C93" s="2488" t="s">
        <v>10656</v>
      </c>
      <c r="D93" s="3043">
        <v>230</v>
      </c>
      <c r="E93" s="3043">
        <v>230</v>
      </c>
      <c r="F93" s="2488" t="s">
        <v>10564</v>
      </c>
      <c r="G93" s="3043">
        <v>63</v>
      </c>
      <c r="H93" s="2488"/>
      <c r="I93" s="2750">
        <v>1</v>
      </c>
      <c r="J93" s="2488" t="s">
        <v>10518</v>
      </c>
      <c r="K93" s="2488"/>
      <c r="L93" s="2488"/>
      <c r="M93" s="2488"/>
      <c r="N93" s="2488"/>
      <c r="O93" s="2488"/>
      <c r="P93" s="2488"/>
      <c r="Q93" s="2488"/>
      <c r="R93" s="2479" t="str">
        <f t="shared" si="2"/>
        <v>YAMSAY (BPA), OR, KLAMATH FALLS, OR, Wood - H, 795 ACSR 26/7</v>
      </c>
    </row>
    <row r="94" spans="1:18" ht="15" customHeight="1" x14ac:dyDescent="0.2">
      <c r="A94" s="3003">
        <f t="shared" si="3"/>
        <v>34.111999999999739</v>
      </c>
      <c r="B94" s="2488" t="s">
        <v>10702</v>
      </c>
      <c r="C94" s="2488"/>
      <c r="D94" s="2488"/>
      <c r="E94" s="2488"/>
      <c r="F94" s="2488"/>
      <c r="G94" s="2488"/>
      <c r="H94" s="2488"/>
      <c r="I94" s="2488"/>
      <c r="J94" s="2488"/>
      <c r="K94" s="2530">
        <v>40854068</v>
      </c>
      <c r="L94" s="2530">
        <v>642872623</v>
      </c>
      <c r="M94" s="2530">
        <f>SUM(K94:L94)</f>
        <v>683726691</v>
      </c>
      <c r="N94" s="2530">
        <v>364287</v>
      </c>
      <c r="O94" s="2530">
        <v>5636248</v>
      </c>
      <c r="P94" s="2530">
        <v>209204</v>
      </c>
      <c r="Q94" s="2530">
        <f>SUM(N94:P94)</f>
        <v>6209739</v>
      </c>
      <c r="R94" s="2479" t="str">
        <f t="shared" si="2"/>
        <v xml:space="preserve">230kV Costs and Expenses, , , </v>
      </c>
    </row>
    <row r="95" spans="1:18" ht="15" customHeight="1" x14ac:dyDescent="0.2">
      <c r="A95" s="2614"/>
      <c r="B95" s="2668" t="s">
        <v>10703</v>
      </c>
      <c r="C95" s="2488"/>
      <c r="D95" s="2488"/>
      <c r="E95" s="2488"/>
      <c r="F95" s="2488"/>
      <c r="G95" s="3052">
        <f>SUM(G9:G93)</f>
        <v>3470</v>
      </c>
      <c r="H95" s="3052">
        <f>SUM(H9:H93)</f>
        <v>14</v>
      </c>
      <c r="I95" s="3053">
        <f>SUM(I9:I93)</f>
        <v>87</v>
      </c>
      <c r="J95" s="2488"/>
      <c r="K95" s="2736">
        <f t="shared" ref="K95:Q95" si="4">SUM(K9:K94)</f>
        <v>40854068</v>
      </c>
      <c r="L95" s="2736">
        <f t="shared" si="4"/>
        <v>642872623</v>
      </c>
      <c r="M95" s="2736">
        <f t="shared" si="4"/>
        <v>683726691</v>
      </c>
      <c r="N95" s="2736">
        <f t="shared" si="4"/>
        <v>364287</v>
      </c>
      <c r="O95" s="2736">
        <f t="shared" si="4"/>
        <v>5636248</v>
      </c>
      <c r="P95" s="2736">
        <f t="shared" si="4"/>
        <v>209204</v>
      </c>
      <c r="Q95" s="2736">
        <f t="shared" si="4"/>
        <v>6209739</v>
      </c>
      <c r="R95" s="2479" t="str">
        <f t="shared" si="2"/>
        <v xml:space="preserve">SUBTOTAL 230kV, , , </v>
      </c>
    </row>
    <row r="96" spans="1:18" ht="15" customHeight="1" x14ac:dyDescent="0.2">
      <c r="A96" s="2614"/>
      <c r="B96" s="2488"/>
      <c r="C96" s="2488"/>
      <c r="D96" s="2488"/>
      <c r="E96" s="2488"/>
      <c r="F96" s="2488"/>
      <c r="G96" s="2488"/>
      <c r="H96" s="2488"/>
      <c r="I96" s="2488"/>
      <c r="J96" s="2488"/>
      <c r="K96" s="2488"/>
      <c r="L96" s="2488"/>
      <c r="M96" s="2488"/>
      <c r="N96" s="2488"/>
      <c r="O96" s="2488"/>
      <c r="P96" s="2488"/>
      <c r="Q96" s="2488"/>
      <c r="R96" s="2479" t="str">
        <f t="shared" si="2"/>
        <v xml:space="preserve">, , , </v>
      </c>
    </row>
    <row r="97" spans="1:18" ht="15" customHeight="1" x14ac:dyDescent="0.2">
      <c r="A97" s="2752">
        <v>36</v>
      </c>
      <c r="B97" s="2488"/>
      <c r="C97" s="2488"/>
      <c r="D97" s="2488"/>
      <c r="E97" s="2488"/>
      <c r="F97" s="2669" t="s">
        <v>197</v>
      </c>
      <c r="G97" s="3045">
        <v>17414</v>
      </c>
      <c r="H97" s="3045">
        <v>662</v>
      </c>
      <c r="I97" s="3018">
        <v>311</v>
      </c>
      <c r="J97" s="2488"/>
      <c r="K97" s="3018">
        <v>314524034</v>
      </c>
      <c r="L97" s="3018">
        <v>4549395421</v>
      </c>
      <c r="M97" s="3018">
        <v>4863919455</v>
      </c>
      <c r="N97" s="3007">
        <v>1947377</v>
      </c>
      <c r="O97" s="3007">
        <v>29154506</v>
      </c>
      <c r="P97" s="3007">
        <v>1826421</v>
      </c>
      <c r="Q97" s="3007">
        <v>32928304</v>
      </c>
      <c r="R97" s="2479"/>
    </row>
    <row r="98" spans="1:18" ht="16.7" customHeight="1" x14ac:dyDescent="0.2">
      <c r="A98" s="2516"/>
      <c r="B98" s="2516"/>
      <c r="C98" s="2516"/>
      <c r="D98" s="2516"/>
      <c r="E98" s="2516"/>
      <c r="F98" s="2516"/>
      <c r="G98" s="2516"/>
      <c r="H98" s="2516"/>
      <c r="I98" s="2516"/>
      <c r="J98" s="2516"/>
      <c r="K98" s="2516"/>
      <c r="L98" s="2516"/>
      <c r="M98" s="2516"/>
      <c r="N98" s="2516"/>
      <c r="O98" s="2516"/>
      <c r="P98" s="2516"/>
      <c r="Q98" s="2516"/>
    </row>
    <row r="99" spans="1:18" ht="16.7" customHeight="1" x14ac:dyDescent="0.2"/>
    <row r="100" spans="1:18" ht="16.7" customHeight="1" x14ac:dyDescent="0.2"/>
    <row r="101" spans="1:18" ht="16.7" customHeight="1" x14ac:dyDescent="0.2"/>
    <row r="102" spans="1:18" ht="16.7" customHeight="1" x14ac:dyDescent="0.2"/>
    <row r="103" spans="1:18" ht="16.7" customHeight="1" x14ac:dyDescent="0.2"/>
    <row r="104" spans="1:18" ht="16.7" customHeight="1" x14ac:dyDescent="0.2"/>
    <row r="105" spans="1:18" ht="16.7" customHeight="1" x14ac:dyDescent="0.2"/>
    <row r="106" spans="1:18" ht="16.7" customHeight="1" x14ac:dyDescent="0.2"/>
    <row r="107" spans="1:18" ht="16.7" customHeight="1" x14ac:dyDescent="0.2"/>
    <row r="108" spans="1:18" ht="16.7" customHeight="1" x14ac:dyDescent="0.2"/>
    <row r="109" spans="1:18" ht="16.7" customHeight="1" x14ac:dyDescent="0.2"/>
    <row r="110" spans="1:18" ht="16.7" customHeight="1" x14ac:dyDescent="0.2"/>
    <row r="111" spans="1:18" ht="16.7" customHeight="1" x14ac:dyDescent="0.2"/>
    <row r="112" spans="1:18" ht="16.7" customHeight="1" x14ac:dyDescent="0.2"/>
    <row r="113" ht="16.7" customHeight="1" x14ac:dyDescent="0.2"/>
    <row r="114" ht="16.7" customHeight="1" x14ac:dyDescent="0.2"/>
    <row r="115" ht="16.7" customHeight="1" x14ac:dyDescent="0.2"/>
    <row r="116" ht="16.7" customHeight="1" x14ac:dyDescent="0.2"/>
    <row r="117" ht="16.7" customHeight="1" x14ac:dyDescent="0.2"/>
    <row r="118" ht="16.7" customHeight="1" x14ac:dyDescent="0.2"/>
    <row r="119" ht="16.7" customHeight="1" x14ac:dyDescent="0.2"/>
    <row r="120" ht="16.7" customHeight="1" x14ac:dyDescent="0.2"/>
    <row r="121" ht="16.7" customHeight="1" x14ac:dyDescent="0.2"/>
    <row r="122" ht="16.7" customHeight="1" x14ac:dyDescent="0.2"/>
    <row r="123" ht="16.7" customHeight="1" x14ac:dyDescent="0.2"/>
    <row r="124" ht="16.7" customHeight="1" x14ac:dyDescent="0.2"/>
    <row r="125" ht="16.7" customHeight="1" x14ac:dyDescent="0.2"/>
    <row r="126" ht="16.7" customHeight="1" x14ac:dyDescent="0.2"/>
    <row r="127" ht="16.7" customHeight="1" x14ac:dyDescent="0.2"/>
    <row r="128" ht="16.7" customHeight="1" x14ac:dyDescent="0.2"/>
    <row r="129" ht="16.7" customHeight="1" x14ac:dyDescent="0.2"/>
    <row r="130" ht="16.7" customHeight="1" x14ac:dyDescent="0.2"/>
    <row r="131" ht="16.7" customHeight="1" x14ac:dyDescent="0.2"/>
    <row r="132" ht="16.7" customHeight="1" x14ac:dyDescent="0.2"/>
    <row r="133" ht="16.7" customHeight="1" x14ac:dyDescent="0.2"/>
    <row r="134" ht="16.7" customHeight="1" x14ac:dyDescent="0.2"/>
    <row r="135" ht="16.7" customHeight="1" x14ac:dyDescent="0.2"/>
    <row r="136" ht="16.7" customHeight="1" x14ac:dyDescent="0.2"/>
    <row r="137" ht="16.7" customHeight="1" x14ac:dyDescent="0.2"/>
    <row r="138" ht="16.7" customHeight="1" x14ac:dyDescent="0.2"/>
    <row r="139" ht="16.7" customHeight="1" x14ac:dyDescent="0.2"/>
    <row r="140" ht="16.7" customHeight="1" x14ac:dyDescent="0.2"/>
    <row r="141" ht="16.7" customHeight="1" x14ac:dyDescent="0.2"/>
    <row r="142" ht="16.7" customHeight="1" x14ac:dyDescent="0.2"/>
    <row r="143" ht="16.7" customHeight="1" x14ac:dyDescent="0.2"/>
    <row r="144" ht="16.7" customHeight="1" x14ac:dyDescent="0.2"/>
    <row r="145" ht="16.7" customHeight="1" x14ac:dyDescent="0.2"/>
    <row r="146" ht="16.7" customHeight="1" x14ac:dyDescent="0.2"/>
    <row r="147" ht="16.7" customHeight="1" x14ac:dyDescent="0.2"/>
    <row r="148" ht="16.7" customHeight="1" x14ac:dyDescent="0.2"/>
    <row r="149" ht="16.7" customHeight="1" x14ac:dyDescent="0.2"/>
    <row r="150" ht="16.7" customHeight="1" x14ac:dyDescent="0.2"/>
    <row r="151" ht="16.7" customHeight="1" x14ac:dyDescent="0.2"/>
    <row r="152" ht="16.7" customHeight="1" x14ac:dyDescent="0.2"/>
    <row r="153" ht="16.7" customHeight="1" x14ac:dyDescent="0.2"/>
    <row r="154" ht="16.7" customHeight="1" x14ac:dyDescent="0.2"/>
    <row r="155" ht="16.7" customHeight="1" x14ac:dyDescent="0.2"/>
    <row r="156" ht="16.7" customHeight="1" x14ac:dyDescent="0.2"/>
    <row r="157" ht="15" customHeight="1" x14ac:dyDescent="0.2"/>
  </sheetData>
  <mergeCells count="18">
    <mergeCell ref="N6:Q6"/>
    <mergeCell ref="A5:I5"/>
    <mergeCell ref="J5:Q5"/>
    <mergeCell ref="A6:A8"/>
    <mergeCell ref="B6:C6"/>
    <mergeCell ref="D6:E6"/>
    <mergeCell ref="F6:F7"/>
    <mergeCell ref="G6:H6"/>
    <mergeCell ref="I6:I7"/>
    <mergeCell ref="J6:J7"/>
    <mergeCell ref="K6:M6"/>
    <mergeCell ref="A4:I4"/>
    <mergeCell ref="J4:Q4"/>
    <mergeCell ref="B2:J2"/>
    <mergeCell ref="K2:M2"/>
    <mergeCell ref="N2:Q2"/>
    <mergeCell ref="A3:I3"/>
    <mergeCell ref="J3:Q3"/>
  </mergeCells>
  <pageMargins left="0.75" right="0.75" top="1" bottom="1" header="0.5" footer="0.5"/>
  <customProperties>
    <customPr name="_pios_id" r:id="rId1"/>
  </customProperties>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CD557-A498-4DD1-9573-85065D0B8EDE}">
  <sheetPr codeName="Sheet106"/>
  <dimension ref="A1:R87"/>
  <sheetViews>
    <sheetView showRuler="0" workbookViewId="0"/>
  </sheetViews>
  <sheetFormatPr defaultColWidth="11.5" defaultRowHeight="12.75" x14ac:dyDescent="0.2"/>
  <cols>
    <col min="1" max="1" width="4.875" style="1953" customWidth="1"/>
    <col min="2" max="2" width="27.5" style="1953" customWidth="1"/>
    <col min="3" max="3" width="16.375" style="1953" customWidth="1"/>
    <col min="4" max="6" width="11.25" style="1953" customWidth="1"/>
    <col min="7" max="7" width="14.625" style="1953" customWidth="1"/>
    <col min="8" max="8" width="19" style="1953" customWidth="1"/>
    <col min="9" max="9" width="11" style="1953" customWidth="1"/>
    <col min="10" max="10" width="20.625" style="1953" customWidth="1"/>
    <col min="11" max="11" width="13" style="1953" customWidth="1"/>
    <col min="12" max="14" width="14.125" style="1953" customWidth="1"/>
    <col min="15" max="15" width="16" style="1953" customWidth="1"/>
    <col min="16" max="16" width="10.375" style="1953" customWidth="1"/>
    <col min="17" max="17" width="11.875" style="1953" customWidth="1"/>
    <col min="18" max="18" width="14.625" style="1953" customWidth="1"/>
    <col min="19" max="16384" width="11.5" style="1953"/>
  </cols>
  <sheetData>
    <row r="1" spans="1:18" ht="16.7" customHeight="1" x14ac:dyDescent="0.2">
      <c r="B1" s="2744" t="s">
        <v>7058</v>
      </c>
      <c r="C1" s="2788"/>
    </row>
    <row r="2" spans="1:18" ht="16.7" customHeight="1" x14ac:dyDescent="0.2">
      <c r="B2" s="4171" t="s">
        <v>10704</v>
      </c>
      <c r="C2" s="4172"/>
      <c r="D2" s="4172"/>
      <c r="E2" s="4172"/>
      <c r="F2" s="4172"/>
      <c r="G2" s="4172"/>
      <c r="H2" s="4172"/>
      <c r="I2" s="4172"/>
      <c r="J2" s="4173"/>
      <c r="K2" s="4174" t="s">
        <v>10542</v>
      </c>
      <c r="L2" s="4175"/>
      <c r="M2" s="4176"/>
      <c r="N2" s="4174" t="s">
        <v>10543</v>
      </c>
      <c r="O2" s="4175"/>
      <c r="P2" s="4175"/>
      <c r="Q2" s="4176"/>
      <c r="R2" s="2479"/>
    </row>
    <row r="3" spans="1:18" ht="16.7" customHeight="1" x14ac:dyDescent="0.2">
      <c r="A3" s="3859" t="s">
        <v>10484</v>
      </c>
      <c r="B3" s="3859"/>
      <c r="C3" s="3859"/>
      <c r="D3" s="3859"/>
      <c r="E3" s="3859"/>
      <c r="F3" s="3859"/>
      <c r="G3" s="3859"/>
      <c r="H3" s="3859"/>
      <c r="I3" s="3859"/>
      <c r="J3" s="3867" t="s">
        <v>10544</v>
      </c>
      <c r="K3" s="3867"/>
      <c r="L3" s="3867"/>
      <c r="M3" s="3867"/>
      <c r="N3" s="3867"/>
      <c r="O3" s="3867"/>
      <c r="P3" s="3867"/>
      <c r="Q3" s="3867"/>
      <c r="R3" s="2479"/>
    </row>
    <row r="4" spans="1:18" ht="16.7" customHeight="1" x14ac:dyDescent="0.2">
      <c r="A4" s="3860" t="s">
        <v>10485</v>
      </c>
      <c r="B4" s="3856"/>
      <c r="C4" s="3856"/>
      <c r="D4" s="3856"/>
      <c r="E4" s="3856"/>
      <c r="F4" s="3856"/>
      <c r="G4" s="3856"/>
      <c r="H4" s="3856"/>
      <c r="I4" s="3856"/>
      <c r="J4" s="3870" t="s">
        <v>10545</v>
      </c>
      <c r="K4" s="3870"/>
      <c r="L4" s="3870"/>
      <c r="M4" s="3870"/>
      <c r="N4" s="3870"/>
      <c r="O4" s="3870"/>
      <c r="P4" s="3870"/>
      <c r="Q4" s="3870"/>
      <c r="R4" s="2479"/>
    </row>
    <row r="5" spans="1:18" ht="103.35" customHeight="1" x14ac:dyDescent="0.2">
      <c r="A5" s="3878" t="s">
        <v>10486</v>
      </c>
      <c r="B5" s="3879"/>
      <c r="C5" s="3879"/>
      <c r="D5" s="3879"/>
      <c r="E5" s="3879"/>
      <c r="F5" s="3879"/>
      <c r="G5" s="3879"/>
      <c r="H5" s="3879"/>
      <c r="I5" s="3880"/>
      <c r="J5" s="4009" t="s">
        <v>10487</v>
      </c>
      <c r="K5" s="4010"/>
      <c r="L5" s="4010"/>
      <c r="M5" s="4010"/>
      <c r="N5" s="4010"/>
      <c r="O5" s="4010"/>
      <c r="P5" s="4010"/>
      <c r="Q5" s="4011"/>
      <c r="R5" s="2479"/>
    </row>
    <row r="6" spans="1:18" ht="43.35" customHeight="1" x14ac:dyDescent="0.2">
      <c r="A6" s="3944" t="s">
        <v>6360</v>
      </c>
      <c r="B6" s="3964" t="s">
        <v>10488</v>
      </c>
      <c r="C6" s="3884"/>
      <c r="D6" s="3964" t="s">
        <v>10489</v>
      </c>
      <c r="E6" s="3892"/>
      <c r="F6" s="3922" t="s">
        <v>10490</v>
      </c>
      <c r="G6" s="3964" t="s">
        <v>10491</v>
      </c>
      <c r="H6" s="3884"/>
      <c r="I6" s="3922" t="s">
        <v>10492</v>
      </c>
      <c r="J6" s="4062" t="s">
        <v>10493</v>
      </c>
      <c r="K6" s="3938" t="s">
        <v>10494</v>
      </c>
      <c r="L6" s="4015"/>
      <c r="M6" s="3937"/>
      <c r="N6" s="4177" t="s">
        <v>10495</v>
      </c>
      <c r="O6" s="4178"/>
      <c r="P6" s="4178"/>
      <c r="Q6" s="4179"/>
      <c r="R6" s="2479"/>
    </row>
    <row r="7" spans="1:18" ht="23.25" customHeight="1" x14ac:dyDescent="0.2">
      <c r="A7" s="3899"/>
      <c r="B7" s="2583" t="s">
        <v>10496</v>
      </c>
      <c r="C7" s="2583" t="s">
        <v>10497</v>
      </c>
      <c r="D7" s="2583" t="s">
        <v>10498</v>
      </c>
      <c r="E7" s="2583" t="s">
        <v>10499</v>
      </c>
      <c r="F7" s="3943"/>
      <c r="G7" s="2637" t="s">
        <v>10500</v>
      </c>
      <c r="H7" s="2637" t="s">
        <v>10501</v>
      </c>
      <c r="I7" s="3943"/>
      <c r="J7" s="4063"/>
      <c r="K7" s="2740" t="s">
        <v>10502</v>
      </c>
      <c r="L7" s="2740" t="s">
        <v>10503</v>
      </c>
      <c r="M7" s="2740" t="s">
        <v>51</v>
      </c>
      <c r="N7" s="2740" t="s">
        <v>10504</v>
      </c>
      <c r="O7" s="2740" t="s">
        <v>10505</v>
      </c>
      <c r="P7" s="2740" t="s">
        <v>492</v>
      </c>
      <c r="Q7" s="2740" t="s">
        <v>10506</v>
      </c>
      <c r="R7" s="2479"/>
    </row>
    <row r="8" spans="1:18" ht="16.7" customHeight="1" x14ac:dyDescent="0.2">
      <c r="A8" s="3856"/>
      <c r="B8" s="2589" t="s">
        <v>5949</v>
      </c>
      <c r="C8" s="2589" t="s">
        <v>5950</v>
      </c>
      <c r="D8" s="2589" t="s">
        <v>5951</v>
      </c>
      <c r="E8" s="2589" t="s">
        <v>5952</v>
      </c>
      <c r="F8" s="2589" t="s">
        <v>6227</v>
      </c>
      <c r="G8" s="2589" t="s">
        <v>5804</v>
      </c>
      <c r="H8" s="2589" t="s">
        <v>6228</v>
      </c>
      <c r="I8" s="2589" t="s">
        <v>6229</v>
      </c>
      <c r="J8" s="2633" t="s">
        <v>6230</v>
      </c>
      <c r="K8" s="2633" t="s">
        <v>6231</v>
      </c>
      <c r="L8" s="2633" t="s">
        <v>6232</v>
      </c>
      <c r="M8" s="2633" t="s">
        <v>6233</v>
      </c>
      <c r="N8" s="2633" t="s">
        <v>7035</v>
      </c>
      <c r="O8" s="2633" t="s">
        <v>8045</v>
      </c>
      <c r="P8" s="2633" t="s">
        <v>8046</v>
      </c>
      <c r="Q8" s="2633" t="s">
        <v>10507</v>
      </c>
      <c r="R8" s="2479" t="s">
        <v>6324</v>
      </c>
    </row>
    <row r="9" spans="1:18" ht="16.7" customHeight="1" x14ac:dyDescent="0.2">
      <c r="A9" s="3003">
        <f>'Pg 422.2 - Transmission Line St'!A94+0.001</f>
        <v>34.112999999999737</v>
      </c>
      <c r="B9" s="2744" t="s">
        <v>10606</v>
      </c>
      <c r="C9" s="2488" t="s">
        <v>10583</v>
      </c>
      <c r="D9" s="3043">
        <v>161</v>
      </c>
      <c r="E9" s="3043">
        <v>161</v>
      </c>
      <c r="F9" s="2488" t="s">
        <v>10564</v>
      </c>
      <c r="G9" s="3043">
        <v>45</v>
      </c>
      <c r="H9" s="2488"/>
      <c r="I9" s="2750">
        <v>1</v>
      </c>
      <c r="J9" s="2488" t="s">
        <v>10705</v>
      </c>
      <c r="K9" s="2488"/>
      <c r="L9" s="2488"/>
      <c r="M9" s="2488"/>
      <c r="N9" s="2488"/>
      <c r="O9" s="2488"/>
      <c r="P9" s="2488"/>
      <c r="Q9" s="2488"/>
      <c r="R9" s="2479" t="str">
        <f t="shared" ref="R9:R26" si="0">CONCATENATE(B9,", ",C9,", ",F9,", ",J9)</f>
        <v>ANTELOPE, ID, GOSHEN, ID, Wood - H, 397.5 ACSR 26/7</v>
      </c>
    </row>
    <row r="10" spans="1:18" ht="16.7" customHeight="1" x14ac:dyDescent="0.2">
      <c r="A10" s="3003">
        <f t="shared" ref="A10:A24" si="1">A9+0.001</f>
        <v>34.113999999999734</v>
      </c>
      <c r="B10" s="2744" t="s">
        <v>10706</v>
      </c>
      <c r="C10" s="2512" t="s">
        <v>10707</v>
      </c>
      <c r="D10" s="3041">
        <v>161</v>
      </c>
      <c r="E10" s="3041">
        <v>161</v>
      </c>
      <c r="F10" s="2512" t="s">
        <v>10564</v>
      </c>
      <c r="G10" s="2614"/>
      <c r="H10" s="2750">
        <v>21</v>
      </c>
      <c r="I10" s="2752">
        <v>1</v>
      </c>
      <c r="J10" s="2512" t="s">
        <v>10708</v>
      </c>
      <c r="K10" s="2614"/>
      <c r="L10" s="2614"/>
      <c r="M10" s="2614"/>
      <c r="N10" s="2488"/>
      <c r="O10" s="2488"/>
      <c r="P10" s="2488"/>
      <c r="Q10" s="2488"/>
      <c r="R10" s="2479" t="str">
        <f t="shared" si="0"/>
        <v>BIG GRASSY, ID, JEFFERSON, ID, Wood - H, 250HH CU /7</v>
      </c>
    </row>
    <row r="11" spans="1:18" ht="16.7" customHeight="1" x14ac:dyDescent="0.2">
      <c r="A11" s="3003">
        <f t="shared" si="1"/>
        <v>34.114999999999732</v>
      </c>
      <c r="B11" s="2512" t="s">
        <v>10709</v>
      </c>
      <c r="C11" s="2512" t="s">
        <v>10710</v>
      </c>
      <c r="D11" s="3041">
        <v>161</v>
      </c>
      <c r="E11" s="3041">
        <v>161</v>
      </c>
      <c r="F11" s="2512" t="s">
        <v>10711</v>
      </c>
      <c r="G11" s="3041">
        <v>9</v>
      </c>
      <c r="H11" s="2488"/>
      <c r="I11" s="2752">
        <v>1</v>
      </c>
      <c r="J11" s="2512" t="s">
        <v>10567</v>
      </c>
      <c r="K11" s="2614"/>
      <c r="L11" s="2614"/>
      <c r="M11" s="2614"/>
      <c r="N11" s="2488"/>
      <c r="O11" s="2488"/>
      <c r="P11" s="2488"/>
      <c r="Q11" s="2488"/>
      <c r="R11" s="2479" t="str">
        <f t="shared" si="0"/>
        <v>BONNEVILLE, ID, EAGLEROCK, ID, Wood - SP, 954 ACSR 45/7</v>
      </c>
    </row>
    <row r="12" spans="1:18" ht="16.7" customHeight="1" x14ac:dyDescent="0.2">
      <c r="A12" s="3003">
        <f t="shared" si="1"/>
        <v>34.11599999999973</v>
      </c>
      <c r="B12" s="2512" t="s">
        <v>10710</v>
      </c>
      <c r="C12" s="2512" t="s">
        <v>10583</v>
      </c>
      <c r="D12" s="3041">
        <v>161</v>
      </c>
      <c r="E12" s="3041">
        <v>161</v>
      </c>
      <c r="F12" s="2512" t="s">
        <v>10564</v>
      </c>
      <c r="G12" s="3041">
        <v>15</v>
      </c>
      <c r="H12" s="2488"/>
      <c r="I12" s="2752">
        <v>1</v>
      </c>
      <c r="J12" s="2512" t="s">
        <v>10552</v>
      </c>
      <c r="K12" s="2614"/>
      <c r="L12" s="2614"/>
      <c r="M12" s="2614"/>
      <c r="N12" s="2488"/>
      <c r="O12" s="2488"/>
      <c r="P12" s="2488"/>
      <c r="Q12" s="2488"/>
      <c r="R12" s="2479" t="str">
        <f t="shared" si="0"/>
        <v>EAGLEROCK, ID, GOSHEN, ID, Wood - H, 1272 ACSR 45/7</v>
      </c>
    </row>
    <row r="13" spans="1:18" ht="16.7" customHeight="1" x14ac:dyDescent="0.2">
      <c r="A13" s="3003">
        <f t="shared" si="1"/>
        <v>34.116999999999727</v>
      </c>
      <c r="B13" s="2512" t="s">
        <v>10583</v>
      </c>
      <c r="C13" s="2512" t="s">
        <v>10712</v>
      </c>
      <c r="D13" s="3041">
        <v>161</v>
      </c>
      <c r="E13" s="3041">
        <v>161</v>
      </c>
      <c r="F13" s="2512" t="s">
        <v>10564</v>
      </c>
      <c r="G13" s="3041">
        <v>57</v>
      </c>
      <c r="H13" s="2488"/>
      <c r="I13" s="2752">
        <v>1</v>
      </c>
      <c r="J13" s="2512" t="s">
        <v>10708</v>
      </c>
      <c r="K13" s="2614"/>
      <c r="L13" s="2614"/>
      <c r="M13" s="2614"/>
      <c r="N13" s="2488"/>
      <c r="O13" s="2488"/>
      <c r="P13" s="2488"/>
      <c r="Q13" s="2488"/>
      <c r="R13" s="2479" t="str">
        <f t="shared" si="0"/>
        <v>GOSHEN, ID, GRACE, ID, Wood - H, 250HH CU /7</v>
      </c>
    </row>
    <row r="14" spans="1:18" ht="16.7" customHeight="1" x14ac:dyDescent="0.2">
      <c r="A14" s="3003">
        <f t="shared" si="1"/>
        <v>34.117999999999725</v>
      </c>
      <c r="B14" s="2744" t="s">
        <v>10583</v>
      </c>
      <c r="C14" s="2512" t="s">
        <v>10707</v>
      </c>
      <c r="D14" s="3041">
        <v>161</v>
      </c>
      <c r="E14" s="3041">
        <v>161</v>
      </c>
      <c r="F14" s="2512" t="s">
        <v>10564</v>
      </c>
      <c r="G14" s="2614"/>
      <c r="H14" s="2750">
        <v>29</v>
      </c>
      <c r="I14" s="2752">
        <v>1</v>
      </c>
      <c r="J14" s="2512" t="s">
        <v>10518</v>
      </c>
      <c r="K14" s="2614"/>
      <c r="L14" s="2614"/>
      <c r="M14" s="2614"/>
      <c r="N14" s="2488"/>
      <c r="O14" s="2488"/>
      <c r="P14" s="2488"/>
      <c r="Q14" s="2488"/>
      <c r="R14" s="2479" t="str">
        <f t="shared" si="0"/>
        <v>GOSHEN, ID, JEFFERSON, ID, Wood - H, 795 ACSR 26/7</v>
      </c>
    </row>
    <row r="15" spans="1:18" ht="16.7" customHeight="1" x14ac:dyDescent="0.2">
      <c r="A15" s="3003">
        <f t="shared" si="1"/>
        <v>34.118999999999723</v>
      </c>
      <c r="B15" s="2512" t="s">
        <v>10583</v>
      </c>
      <c r="C15" s="2512" t="s">
        <v>10713</v>
      </c>
      <c r="D15" s="3041">
        <v>161</v>
      </c>
      <c r="E15" s="3041">
        <v>161</v>
      </c>
      <c r="F15" s="2512" t="s">
        <v>10564</v>
      </c>
      <c r="G15" s="3041">
        <v>32</v>
      </c>
      <c r="H15" s="2488"/>
      <c r="I15" s="2752">
        <v>1</v>
      </c>
      <c r="J15" s="2512" t="s">
        <v>10705</v>
      </c>
      <c r="K15" s="2488"/>
      <c r="L15" s="2614"/>
      <c r="M15" s="2614"/>
      <c r="N15" s="2488"/>
      <c r="O15" s="2488"/>
      <c r="P15" s="2488"/>
      <c r="Q15" s="2488"/>
      <c r="R15" s="2479" t="str">
        <f t="shared" si="0"/>
        <v>GOSHEN, ID, RIGBY, ID, Wood - H, 397.5 ACSR 26/7</v>
      </c>
    </row>
    <row r="16" spans="1:18" ht="16.7" customHeight="1" x14ac:dyDescent="0.2">
      <c r="A16" s="3003">
        <f t="shared" si="1"/>
        <v>34.11999999999972</v>
      </c>
      <c r="B16" s="2512" t="s">
        <v>10583</v>
      </c>
      <c r="C16" s="2512" t="s">
        <v>10714</v>
      </c>
      <c r="D16" s="3041">
        <v>161</v>
      </c>
      <c r="E16" s="3041">
        <v>161</v>
      </c>
      <c r="F16" s="2512" t="s">
        <v>10711</v>
      </c>
      <c r="G16" s="3041">
        <v>17</v>
      </c>
      <c r="H16" s="2614"/>
      <c r="I16" s="2752">
        <v>1</v>
      </c>
      <c r="J16" s="2512" t="s">
        <v>10715</v>
      </c>
      <c r="K16" s="2488"/>
      <c r="L16" s="2614"/>
      <c r="M16" s="2614"/>
      <c r="N16" s="2488"/>
      <c r="O16" s="2488"/>
      <c r="P16" s="2488"/>
      <c r="Q16" s="2488"/>
      <c r="R16" s="2479" t="str">
        <f t="shared" si="0"/>
        <v>GOSHEN, ID, SUGARMILL, ID, Wood - SP, 477 ACSS 26/7</v>
      </c>
    </row>
    <row r="17" spans="1:18" ht="16.7" customHeight="1" x14ac:dyDescent="0.2">
      <c r="A17" s="3003">
        <f t="shared" si="1"/>
        <v>34.120999999999718</v>
      </c>
      <c r="B17" s="2512" t="s">
        <v>10583</v>
      </c>
      <c r="C17" s="2512" t="s">
        <v>10714</v>
      </c>
      <c r="D17" s="3041">
        <v>161</v>
      </c>
      <c r="E17" s="3041">
        <v>161</v>
      </c>
      <c r="F17" s="2512" t="s">
        <v>10711</v>
      </c>
      <c r="G17" s="3041">
        <v>26</v>
      </c>
      <c r="H17" s="2488"/>
      <c r="I17" s="2752">
        <v>1</v>
      </c>
      <c r="J17" s="2512" t="s">
        <v>10549</v>
      </c>
      <c r="K17" s="2614"/>
      <c r="L17" s="2614"/>
      <c r="M17" s="2614"/>
      <c r="N17" s="2488"/>
      <c r="O17" s="2488"/>
      <c r="P17" s="2488"/>
      <c r="Q17" s="2488"/>
      <c r="R17" s="2479" t="str">
        <f t="shared" si="0"/>
        <v>GOSHEN, ID, SUGARMILL, ID, Wood - SP, 1557.4 ACSR/TW 36/7</v>
      </c>
    </row>
    <row r="18" spans="1:18" ht="16.7" customHeight="1" x14ac:dyDescent="0.2">
      <c r="A18" s="3003">
        <f t="shared" si="1"/>
        <v>34.121999999999716</v>
      </c>
      <c r="B18" s="2512" t="s">
        <v>10713</v>
      </c>
      <c r="C18" s="2512" t="s">
        <v>10716</v>
      </c>
      <c r="D18" s="3041">
        <v>161</v>
      </c>
      <c r="E18" s="3041">
        <v>161</v>
      </c>
      <c r="F18" s="2512" t="s">
        <v>10711</v>
      </c>
      <c r="G18" s="3041">
        <v>12</v>
      </c>
      <c r="H18" s="2488"/>
      <c r="I18" s="2752">
        <v>1</v>
      </c>
      <c r="J18" s="2512" t="s">
        <v>10717</v>
      </c>
      <c r="K18" s="2614"/>
      <c r="L18" s="2614"/>
      <c r="M18" s="2614"/>
      <c r="N18" s="2488"/>
      <c r="O18" s="2488"/>
      <c r="P18" s="2488"/>
      <c r="Q18" s="2488"/>
      <c r="R18" s="2479" t="str">
        <f t="shared" si="0"/>
        <v>RIGBY, ID, REXBURG, ID, Wood - SP, 1272 ACSR</v>
      </c>
    </row>
    <row r="19" spans="1:18" ht="16.7" customHeight="1" x14ac:dyDescent="0.2">
      <c r="A19" s="3003">
        <f t="shared" si="1"/>
        <v>34.122999999999713</v>
      </c>
      <c r="B19" s="2512" t="s">
        <v>10713</v>
      </c>
      <c r="C19" s="2488" t="s">
        <v>10707</v>
      </c>
      <c r="D19" s="3043">
        <v>161</v>
      </c>
      <c r="E19" s="3043">
        <v>161</v>
      </c>
      <c r="F19" s="2488" t="s">
        <v>10711</v>
      </c>
      <c r="G19" s="3043">
        <v>18</v>
      </c>
      <c r="H19" s="2488"/>
      <c r="I19" s="2750">
        <v>1</v>
      </c>
      <c r="J19" s="2488" t="s">
        <v>10705</v>
      </c>
      <c r="K19" s="2488"/>
      <c r="L19" s="2488"/>
      <c r="M19" s="2488"/>
      <c r="N19" s="2488"/>
      <c r="O19" s="2488"/>
      <c r="P19" s="2488"/>
      <c r="Q19" s="2488"/>
      <c r="R19" s="2479" t="str">
        <f t="shared" si="0"/>
        <v>RIGBY, ID, JEFFERSON, ID, Wood - SP, 397.5 ACSR 26/7</v>
      </c>
    </row>
    <row r="20" spans="1:18" ht="16.7" customHeight="1" x14ac:dyDescent="0.2">
      <c r="A20" s="3003">
        <f t="shared" si="1"/>
        <v>34.123999999999711</v>
      </c>
      <c r="B20" s="2512" t="s">
        <v>10713</v>
      </c>
      <c r="C20" s="2512" t="s">
        <v>10714</v>
      </c>
      <c r="D20" s="3043">
        <v>161</v>
      </c>
      <c r="E20" s="3043">
        <v>161</v>
      </c>
      <c r="F20" s="2488" t="s">
        <v>10711</v>
      </c>
      <c r="G20" s="3041">
        <v>21</v>
      </c>
      <c r="H20" s="2488"/>
      <c r="I20" s="2752">
        <v>1</v>
      </c>
      <c r="J20" s="2512" t="s">
        <v>10718</v>
      </c>
      <c r="K20" s="2614"/>
      <c r="L20" s="2614"/>
      <c r="M20" s="2614"/>
      <c r="N20" s="2488"/>
      <c r="O20" s="2488"/>
      <c r="P20" s="2488"/>
      <c r="Q20" s="2488"/>
      <c r="R20" s="2479" t="str">
        <f t="shared" si="0"/>
        <v>RIGBY, ID, SUGARMILL, ID, Wood - SP, 1557.4 ACSR/TW</v>
      </c>
    </row>
    <row r="21" spans="1:18" ht="16.7" customHeight="1" x14ac:dyDescent="0.2">
      <c r="A21" s="3003">
        <f t="shared" si="1"/>
        <v>34.124999999999709</v>
      </c>
      <c r="B21" s="2512" t="s">
        <v>10714</v>
      </c>
      <c r="C21" s="2488" t="s">
        <v>10713</v>
      </c>
      <c r="D21" s="3043">
        <v>161</v>
      </c>
      <c r="E21" s="3043">
        <v>161</v>
      </c>
      <c r="F21" s="2488" t="s">
        <v>10711</v>
      </c>
      <c r="G21" s="3043">
        <v>17</v>
      </c>
      <c r="H21" s="2488"/>
      <c r="I21" s="2750">
        <v>1</v>
      </c>
      <c r="J21" s="2488" t="s">
        <v>10705</v>
      </c>
      <c r="K21" s="2488"/>
      <c r="L21" s="2488"/>
      <c r="M21" s="2488"/>
      <c r="N21" s="2488"/>
      <c r="O21" s="2488"/>
      <c r="P21" s="2488"/>
      <c r="Q21" s="2488"/>
      <c r="R21" s="2479" t="str">
        <f t="shared" si="0"/>
        <v>SUGARMILL, ID, RIGBY, ID, Wood - SP, 397.5 ACSR 26/7</v>
      </c>
    </row>
    <row r="22" spans="1:18" ht="16.7" customHeight="1" x14ac:dyDescent="0.2">
      <c r="A22" s="3003">
        <f t="shared" si="1"/>
        <v>34.125999999999706</v>
      </c>
      <c r="B22" s="2512" t="s">
        <v>10719</v>
      </c>
      <c r="C22" s="2488" t="s">
        <v>10720</v>
      </c>
      <c r="D22" s="3043">
        <v>161</v>
      </c>
      <c r="E22" s="3043">
        <v>161</v>
      </c>
      <c r="F22" s="2488" t="s">
        <v>10711</v>
      </c>
      <c r="G22" s="3043">
        <v>3</v>
      </c>
      <c r="H22" s="2488"/>
      <c r="I22" s="2750">
        <v>1</v>
      </c>
      <c r="J22" s="2488" t="s">
        <v>10718</v>
      </c>
      <c r="K22" s="2488"/>
      <c r="L22" s="2488"/>
      <c r="M22" s="2488"/>
      <c r="N22" s="2488"/>
      <c r="O22" s="2488"/>
      <c r="P22" s="2488"/>
      <c r="Q22" s="2488"/>
      <c r="R22" s="2479" t="str">
        <f t="shared" si="0"/>
        <v>TAP TO PAYNE, ID, PAYNE, ID, Wood - SP, 1557.4 ACSR/TW</v>
      </c>
    </row>
    <row r="23" spans="1:18" ht="16.7" customHeight="1" x14ac:dyDescent="0.2">
      <c r="A23" s="3003">
        <f t="shared" si="1"/>
        <v>34.126999999999704</v>
      </c>
      <c r="B23" s="2512" t="s">
        <v>10681</v>
      </c>
      <c r="C23" s="2512" t="s">
        <v>10721</v>
      </c>
      <c r="D23" s="3041">
        <v>161</v>
      </c>
      <c r="E23" s="3041">
        <v>161</v>
      </c>
      <c r="F23" s="2512" t="s">
        <v>10564</v>
      </c>
      <c r="G23" s="3041">
        <v>46</v>
      </c>
      <c r="H23" s="2488"/>
      <c r="I23" s="2752">
        <v>1</v>
      </c>
      <c r="J23" s="2512" t="s">
        <v>10722</v>
      </c>
      <c r="K23" s="2614"/>
      <c r="L23" s="2614"/>
      <c r="M23" s="2614"/>
      <c r="N23" s="2488"/>
      <c r="O23" s="2488"/>
      <c r="P23" s="2488"/>
      <c r="Q23" s="2488"/>
      <c r="R23" s="2479" t="str">
        <f t="shared" si="0"/>
        <v>YELLOWTAIL, MT, RIMROCK, MT, Wood - H, 556.5 ACSR 26/7</v>
      </c>
    </row>
    <row r="24" spans="1:18" ht="16.7" customHeight="1" x14ac:dyDescent="0.2">
      <c r="A24" s="3003">
        <f t="shared" si="1"/>
        <v>34.127999999999702</v>
      </c>
      <c r="B24" s="2488" t="s">
        <v>10723</v>
      </c>
      <c r="C24" s="2488"/>
      <c r="D24" s="2488"/>
      <c r="E24" s="2488"/>
      <c r="F24" s="2488"/>
      <c r="G24" s="2488"/>
      <c r="H24" s="2488"/>
      <c r="I24" s="2488"/>
      <c r="J24" s="2488"/>
      <c r="K24" s="2530">
        <v>5226750</v>
      </c>
      <c r="L24" s="2530">
        <v>88509745</v>
      </c>
      <c r="M24" s="2530">
        <f>SUM(K24:L24)</f>
        <v>93736495</v>
      </c>
      <c r="N24" s="2530">
        <v>14946</v>
      </c>
      <c r="O24" s="2530">
        <v>120891</v>
      </c>
      <c r="P24" s="2888">
        <f>803-1</f>
        <v>802</v>
      </c>
      <c r="Q24" s="2530">
        <f>SUM(N24:P24)</f>
        <v>136639</v>
      </c>
      <c r="R24" s="2479" t="str">
        <f t="shared" si="0"/>
        <v xml:space="preserve">161 kV Costs and Expenses, , , </v>
      </c>
    </row>
    <row r="25" spans="1:18" ht="16.7" customHeight="1" x14ac:dyDescent="0.2">
      <c r="A25" s="2614"/>
      <c r="B25" s="2668" t="s">
        <v>10724</v>
      </c>
      <c r="C25" s="2488"/>
      <c r="D25" s="2488"/>
      <c r="E25" s="2488"/>
      <c r="F25" s="2488"/>
      <c r="G25" s="3052">
        <f>SUM(G9:G23)</f>
        <v>318</v>
      </c>
      <c r="H25" s="3052">
        <f>SUM(H9:H23)</f>
        <v>50</v>
      </c>
      <c r="I25" s="3053">
        <f>SUM(I9:I23)</f>
        <v>15</v>
      </c>
      <c r="J25" s="2488"/>
      <c r="K25" s="2736">
        <f t="shared" ref="K25:Q25" si="2">SUM(K9:K24)</f>
        <v>5226750</v>
      </c>
      <c r="L25" s="2736">
        <f t="shared" si="2"/>
        <v>88509745</v>
      </c>
      <c r="M25" s="2736">
        <f t="shared" si="2"/>
        <v>93736495</v>
      </c>
      <c r="N25" s="2736">
        <f t="shared" si="2"/>
        <v>14946</v>
      </c>
      <c r="O25" s="2736">
        <f t="shared" si="2"/>
        <v>120891</v>
      </c>
      <c r="P25" s="2736">
        <f t="shared" si="2"/>
        <v>802</v>
      </c>
      <c r="Q25" s="2736">
        <f t="shared" si="2"/>
        <v>136639</v>
      </c>
      <c r="R25" s="2479" t="str">
        <f t="shared" si="0"/>
        <v xml:space="preserve">SUBTOTAL 161 kV, , , </v>
      </c>
    </row>
    <row r="26" spans="1:18" ht="9.1999999999999993" customHeight="1" x14ac:dyDescent="0.2">
      <c r="A26" s="2614"/>
      <c r="B26" s="2488"/>
      <c r="C26" s="2488"/>
      <c r="D26" s="2488"/>
      <c r="E26" s="2488"/>
      <c r="F26" s="2488"/>
      <c r="G26" s="2488"/>
      <c r="H26" s="2488"/>
      <c r="I26" s="2488"/>
      <c r="J26" s="2488"/>
      <c r="K26" s="2488"/>
      <c r="L26" s="2488"/>
      <c r="M26" s="2488"/>
      <c r="N26" s="2488"/>
      <c r="O26" s="2488"/>
      <c r="P26" s="2488"/>
      <c r="Q26" s="2488"/>
      <c r="R26" s="2479" t="str">
        <f t="shared" si="0"/>
        <v xml:space="preserve">, , , </v>
      </c>
    </row>
    <row r="27" spans="1:18" ht="16.7" customHeight="1" x14ac:dyDescent="0.2">
      <c r="A27" s="2752">
        <v>36</v>
      </c>
      <c r="B27" s="2488"/>
      <c r="C27" s="2488"/>
      <c r="D27" s="2488"/>
      <c r="E27" s="2488"/>
      <c r="F27" s="2669" t="s">
        <v>197</v>
      </c>
      <c r="G27" s="3045">
        <v>17414</v>
      </c>
      <c r="H27" s="3045">
        <v>662</v>
      </c>
      <c r="I27" s="3018">
        <v>311</v>
      </c>
      <c r="J27" s="2668"/>
      <c r="K27" s="3018">
        <v>314524034</v>
      </c>
      <c r="L27" s="3018">
        <v>4549395421</v>
      </c>
      <c r="M27" s="3018">
        <v>4863919455</v>
      </c>
      <c r="N27" s="3018">
        <v>1947377</v>
      </c>
      <c r="O27" s="3018">
        <v>29154506</v>
      </c>
      <c r="P27" s="3018">
        <v>1826421</v>
      </c>
      <c r="Q27" s="3018">
        <v>32928304</v>
      </c>
      <c r="R27" s="2479"/>
    </row>
    <row r="28" spans="1:18" ht="16.7" customHeight="1" x14ac:dyDescent="0.2">
      <c r="A28" s="2516"/>
      <c r="B28" s="2516"/>
      <c r="C28" s="2516"/>
      <c r="D28" s="2516"/>
      <c r="E28" s="2516"/>
      <c r="F28" s="2516"/>
      <c r="G28" s="2516"/>
      <c r="H28" s="2516"/>
      <c r="I28" s="2516"/>
      <c r="J28" s="2516"/>
      <c r="K28" s="2516"/>
      <c r="L28" s="2516"/>
      <c r="M28" s="2516"/>
      <c r="N28" s="2516"/>
      <c r="O28" s="2516"/>
      <c r="P28" s="2516"/>
      <c r="Q28" s="2516"/>
    </row>
    <row r="29" spans="1:18" ht="16.7" customHeight="1" x14ac:dyDescent="0.2"/>
    <row r="30" spans="1:18" ht="16.7" customHeight="1" x14ac:dyDescent="0.2"/>
    <row r="31" spans="1:18" ht="16.7" customHeight="1" x14ac:dyDescent="0.2"/>
    <row r="32" spans="1:18" ht="16.7" customHeight="1" x14ac:dyDescent="0.2"/>
    <row r="33" ht="16.7" customHeight="1" x14ac:dyDescent="0.2"/>
    <row r="34" ht="16.7" customHeight="1" x14ac:dyDescent="0.2"/>
    <row r="35" ht="16.7" customHeight="1" x14ac:dyDescent="0.2"/>
    <row r="36" ht="16.7" customHeight="1" x14ac:dyDescent="0.2"/>
    <row r="37" ht="16.7" customHeight="1" x14ac:dyDescent="0.2"/>
    <row r="38" ht="16.7" customHeight="1" x14ac:dyDescent="0.2"/>
    <row r="39" ht="16.7" customHeight="1" x14ac:dyDescent="0.2"/>
    <row r="40" ht="16.7" customHeight="1" x14ac:dyDescent="0.2"/>
    <row r="41" ht="16.7" customHeight="1" x14ac:dyDescent="0.2"/>
    <row r="42" ht="16.7" customHeight="1" x14ac:dyDescent="0.2"/>
    <row r="43" ht="16.7" customHeight="1" x14ac:dyDescent="0.2"/>
    <row r="44" ht="16.7" customHeight="1" x14ac:dyDescent="0.2"/>
    <row r="45" ht="16.7" customHeight="1" x14ac:dyDescent="0.2"/>
    <row r="46" ht="16.7" customHeight="1" x14ac:dyDescent="0.2"/>
    <row r="47" ht="16.7" customHeight="1" x14ac:dyDescent="0.2"/>
    <row r="48" ht="16.7" customHeight="1" x14ac:dyDescent="0.2"/>
    <row r="49" ht="16.7" customHeight="1" x14ac:dyDescent="0.2"/>
    <row r="50" ht="16.7" customHeight="1" x14ac:dyDescent="0.2"/>
    <row r="51" ht="16.7" customHeight="1" x14ac:dyDescent="0.2"/>
    <row r="52" ht="16.7" customHeight="1" x14ac:dyDescent="0.2"/>
    <row r="53" ht="16.7" customHeight="1" x14ac:dyDescent="0.2"/>
    <row r="54" ht="16.7" customHeight="1" x14ac:dyDescent="0.2"/>
    <row r="55" ht="16.7" customHeight="1" x14ac:dyDescent="0.2"/>
    <row r="56" ht="16.7" customHeight="1" x14ac:dyDescent="0.2"/>
    <row r="57" ht="16.7" customHeight="1" x14ac:dyDescent="0.2"/>
    <row r="58" ht="16.7" customHeight="1" x14ac:dyDescent="0.2"/>
    <row r="59" ht="16.7" customHeight="1" x14ac:dyDescent="0.2"/>
    <row r="60" ht="16.7" customHeight="1" x14ac:dyDescent="0.2"/>
    <row r="61" ht="16.7" customHeight="1" x14ac:dyDescent="0.2"/>
    <row r="62" ht="16.7" customHeight="1" x14ac:dyDescent="0.2"/>
    <row r="63" ht="16.7" customHeight="1" x14ac:dyDescent="0.2"/>
    <row r="64" ht="16.7" customHeight="1" x14ac:dyDescent="0.2"/>
    <row r="65" ht="16.7" customHeight="1" x14ac:dyDescent="0.2"/>
    <row r="66" ht="16.7" customHeight="1" x14ac:dyDescent="0.2"/>
    <row r="67" ht="16.7" customHeight="1" x14ac:dyDescent="0.2"/>
    <row r="68" ht="16.7" customHeight="1" x14ac:dyDescent="0.2"/>
    <row r="69" ht="16.7" customHeight="1" x14ac:dyDescent="0.2"/>
    <row r="70" ht="16.7" customHeight="1" x14ac:dyDescent="0.2"/>
    <row r="71" ht="16.7" customHeight="1" x14ac:dyDescent="0.2"/>
    <row r="72" ht="16.7" customHeight="1" x14ac:dyDescent="0.2"/>
    <row r="73" ht="16.7" customHeight="1" x14ac:dyDescent="0.2"/>
    <row r="74" ht="16.7" customHeight="1" x14ac:dyDescent="0.2"/>
    <row r="75" ht="16.7" customHeight="1" x14ac:dyDescent="0.2"/>
    <row r="76" ht="16.7" customHeight="1" x14ac:dyDescent="0.2"/>
    <row r="77" ht="16.7" customHeight="1" x14ac:dyDescent="0.2"/>
    <row r="78" ht="16.7" customHeight="1" x14ac:dyDescent="0.2"/>
    <row r="79" ht="16.7" customHeight="1" x14ac:dyDescent="0.2"/>
    <row r="80" ht="16.7" customHeight="1" x14ac:dyDescent="0.2"/>
    <row r="81" ht="16.7" customHeight="1" x14ac:dyDescent="0.2"/>
    <row r="82" ht="16.7" customHeight="1" x14ac:dyDescent="0.2"/>
    <row r="83" ht="16.7" customHeight="1" x14ac:dyDescent="0.2"/>
    <row r="84" ht="16.7" customHeight="1" x14ac:dyDescent="0.2"/>
    <row r="85" ht="16.7" customHeight="1" x14ac:dyDescent="0.2"/>
    <row r="86" ht="16.7" customHeight="1" x14ac:dyDescent="0.2"/>
    <row r="87" ht="15" customHeight="1" x14ac:dyDescent="0.2"/>
  </sheetData>
  <mergeCells count="18">
    <mergeCell ref="N6:Q6"/>
    <mergeCell ref="A5:I5"/>
    <mergeCell ref="J5:Q5"/>
    <mergeCell ref="A6:A8"/>
    <mergeCell ref="B6:C6"/>
    <mergeCell ref="D6:E6"/>
    <mergeCell ref="F6:F7"/>
    <mergeCell ref="G6:H6"/>
    <mergeCell ref="I6:I7"/>
    <mergeCell ref="J6:J7"/>
    <mergeCell ref="K6:M6"/>
    <mergeCell ref="A4:I4"/>
    <mergeCell ref="J4:Q4"/>
    <mergeCell ref="B2:J2"/>
    <mergeCell ref="K2:M2"/>
    <mergeCell ref="N2:Q2"/>
    <mergeCell ref="A3:I3"/>
    <mergeCell ref="J3:Q3"/>
  </mergeCells>
  <pageMargins left="0.75" right="0.75" top="1" bottom="1" header="0.5" footer="0.5"/>
  <customProperties>
    <customPr name="_pios_id" r:id="rId1"/>
  </customProperties>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4D66ED-CFB9-4E35-A349-7D454C5F581C}">
  <sheetPr codeName="Sheet107"/>
  <dimension ref="A1:R230"/>
  <sheetViews>
    <sheetView workbookViewId="0">
      <pane xSplit="3" ySplit="8" topLeftCell="D9" activePane="bottomRight" state="frozen"/>
      <selection pane="topRight"/>
      <selection pane="bottomLeft"/>
      <selection pane="bottomRight"/>
    </sheetView>
  </sheetViews>
  <sheetFormatPr defaultColWidth="11.5" defaultRowHeight="12.75" x14ac:dyDescent="0.2"/>
  <cols>
    <col min="1" max="1" width="6.375" style="1953" customWidth="1"/>
    <col min="2" max="2" width="19.125" style="1953" customWidth="1"/>
    <col min="3" max="3" width="26.125" style="1953" customWidth="1"/>
    <col min="4" max="17" width="19.125" style="1953" customWidth="1"/>
    <col min="18" max="18" width="14.625" style="1953" customWidth="1"/>
    <col min="19" max="16384" width="11.5" style="1953"/>
  </cols>
  <sheetData>
    <row r="1" spans="1:18" ht="16.7" customHeight="1" x14ac:dyDescent="0.2">
      <c r="B1" s="2744" t="s">
        <v>7058</v>
      </c>
      <c r="C1" s="3054" t="s">
        <v>8351</v>
      </c>
    </row>
    <row r="2" spans="1:18" ht="16.7" customHeight="1" x14ac:dyDescent="0.2">
      <c r="B2" s="4171" t="s">
        <v>10725</v>
      </c>
      <c r="C2" s="4172"/>
      <c r="D2" s="4172"/>
      <c r="E2" s="4172"/>
      <c r="F2" s="4172"/>
      <c r="G2" s="4172"/>
      <c r="H2" s="4172"/>
      <c r="I2" s="4172"/>
      <c r="J2" s="4173"/>
      <c r="K2" s="4174" t="s">
        <v>10542</v>
      </c>
      <c r="L2" s="4175"/>
      <c r="M2" s="4176"/>
      <c r="N2" s="4174" t="s">
        <v>10543</v>
      </c>
      <c r="O2" s="4175"/>
      <c r="P2" s="4175"/>
      <c r="Q2" s="4176"/>
      <c r="R2" s="2479"/>
    </row>
    <row r="3" spans="1:18" ht="16.7" customHeight="1" x14ac:dyDescent="0.2">
      <c r="A3" s="3859" t="s">
        <v>10484</v>
      </c>
      <c r="B3" s="3859"/>
      <c r="C3" s="3859"/>
      <c r="D3" s="3859"/>
      <c r="E3" s="3859"/>
      <c r="F3" s="3859"/>
      <c r="G3" s="3859"/>
      <c r="H3" s="3859"/>
      <c r="I3" s="3859"/>
      <c r="J3" s="3867" t="s">
        <v>10544</v>
      </c>
      <c r="K3" s="3867"/>
      <c r="L3" s="3867"/>
      <c r="M3" s="3867"/>
      <c r="N3" s="3867"/>
      <c r="O3" s="3867"/>
      <c r="P3" s="3867"/>
      <c r="Q3" s="3867"/>
      <c r="R3" s="2479"/>
    </row>
    <row r="4" spans="1:18" ht="16.7" customHeight="1" x14ac:dyDescent="0.2">
      <c r="A4" s="3860" t="s">
        <v>10485</v>
      </c>
      <c r="B4" s="3856"/>
      <c r="C4" s="3856"/>
      <c r="D4" s="3856"/>
      <c r="E4" s="3856"/>
      <c r="F4" s="3856"/>
      <c r="G4" s="3856"/>
      <c r="H4" s="3856"/>
      <c r="I4" s="3856"/>
      <c r="J4" s="3870" t="s">
        <v>10545</v>
      </c>
      <c r="K4" s="3870"/>
      <c r="L4" s="3870"/>
      <c r="M4" s="3870"/>
      <c r="N4" s="3870"/>
      <c r="O4" s="3870"/>
      <c r="P4" s="3870"/>
      <c r="Q4" s="3870"/>
      <c r="R4" s="2479"/>
    </row>
    <row r="5" spans="1:18" ht="85.7" customHeight="1" x14ac:dyDescent="0.2">
      <c r="A5" s="3878" t="s">
        <v>10486</v>
      </c>
      <c r="B5" s="3879"/>
      <c r="C5" s="3879"/>
      <c r="D5" s="3879"/>
      <c r="E5" s="3879"/>
      <c r="F5" s="3879"/>
      <c r="G5" s="3879"/>
      <c r="H5" s="3879"/>
      <c r="I5" s="3880"/>
      <c r="J5" s="4009" t="s">
        <v>10487</v>
      </c>
      <c r="K5" s="4010"/>
      <c r="L5" s="4010"/>
      <c r="M5" s="4010"/>
      <c r="N5" s="4010"/>
      <c r="O5" s="4010"/>
      <c r="P5" s="4010"/>
      <c r="Q5" s="4011"/>
      <c r="R5" s="2479"/>
    </row>
    <row r="6" spans="1:18" ht="50.1" customHeight="1" x14ac:dyDescent="0.2">
      <c r="A6" s="3944" t="s">
        <v>6360</v>
      </c>
      <c r="B6" s="3964" t="s">
        <v>10488</v>
      </c>
      <c r="C6" s="3884"/>
      <c r="D6" s="3964" t="s">
        <v>10489</v>
      </c>
      <c r="E6" s="3892"/>
      <c r="F6" s="3922" t="s">
        <v>10490</v>
      </c>
      <c r="G6" s="3964" t="s">
        <v>10491</v>
      </c>
      <c r="H6" s="3884"/>
      <c r="I6" s="3922" t="s">
        <v>10492</v>
      </c>
      <c r="J6" s="4062" t="s">
        <v>10493</v>
      </c>
      <c r="K6" s="3938" t="s">
        <v>10494</v>
      </c>
      <c r="L6" s="4015"/>
      <c r="M6" s="3937"/>
      <c r="N6" s="4177" t="s">
        <v>10495</v>
      </c>
      <c r="O6" s="4178"/>
      <c r="P6" s="4178"/>
      <c r="Q6" s="4179"/>
      <c r="R6" s="2479"/>
    </row>
    <row r="7" spans="1:18" ht="30.75" customHeight="1" x14ac:dyDescent="0.2">
      <c r="A7" s="3899"/>
      <c r="B7" s="2583" t="s">
        <v>10496</v>
      </c>
      <c r="C7" s="2583" t="s">
        <v>10497</v>
      </c>
      <c r="D7" s="2583" t="s">
        <v>10498</v>
      </c>
      <c r="E7" s="2583" t="s">
        <v>10499</v>
      </c>
      <c r="F7" s="3943"/>
      <c r="G7" s="2637" t="s">
        <v>10500</v>
      </c>
      <c r="H7" s="2637" t="s">
        <v>10501</v>
      </c>
      <c r="I7" s="3943"/>
      <c r="J7" s="4063"/>
      <c r="K7" s="2740" t="s">
        <v>10502</v>
      </c>
      <c r="L7" s="2740" t="s">
        <v>10503</v>
      </c>
      <c r="M7" s="2740" t="s">
        <v>51</v>
      </c>
      <c r="N7" s="2740" t="s">
        <v>10504</v>
      </c>
      <c r="O7" s="2740" t="s">
        <v>10505</v>
      </c>
      <c r="P7" s="2740" t="s">
        <v>492</v>
      </c>
      <c r="Q7" s="2740" t="s">
        <v>10506</v>
      </c>
      <c r="R7" s="2479"/>
    </row>
    <row r="8" spans="1:18" ht="16.7" customHeight="1" x14ac:dyDescent="0.2">
      <c r="A8" s="3856"/>
      <c r="B8" s="2589" t="s">
        <v>5949</v>
      </c>
      <c r="C8" s="2589" t="s">
        <v>5950</v>
      </c>
      <c r="D8" s="2589" t="s">
        <v>5951</v>
      </c>
      <c r="E8" s="2589" t="s">
        <v>5952</v>
      </c>
      <c r="F8" s="2589" t="s">
        <v>6227</v>
      </c>
      <c r="G8" s="2589" t="s">
        <v>5804</v>
      </c>
      <c r="H8" s="2589" t="s">
        <v>6228</v>
      </c>
      <c r="I8" s="2589" t="s">
        <v>6229</v>
      </c>
      <c r="J8" s="2633" t="s">
        <v>6230</v>
      </c>
      <c r="K8" s="2633" t="s">
        <v>6231</v>
      </c>
      <c r="L8" s="2633" t="s">
        <v>6232</v>
      </c>
      <c r="M8" s="2633" t="s">
        <v>6233</v>
      </c>
      <c r="N8" s="2633" t="s">
        <v>7035</v>
      </c>
      <c r="O8" s="2633" t="s">
        <v>8045</v>
      </c>
      <c r="P8" s="2633" t="s">
        <v>8046</v>
      </c>
      <c r="Q8" s="2633" t="s">
        <v>10507</v>
      </c>
      <c r="R8" s="2479" t="s">
        <v>6324</v>
      </c>
    </row>
    <row r="9" spans="1:18" ht="15" customHeight="1" x14ac:dyDescent="0.2">
      <c r="A9" s="3003">
        <f>'Pg 422.3 - Transmission Line St'!A24+0.001</f>
        <v>34.128999999999699</v>
      </c>
      <c r="B9" s="2512" t="s">
        <v>10546</v>
      </c>
      <c r="C9" s="2488" t="s">
        <v>10726</v>
      </c>
      <c r="D9" s="3043">
        <v>138</v>
      </c>
      <c r="E9" s="3043">
        <v>138</v>
      </c>
      <c r="F9" s="2488" t="s">
        <v>10564</v>
      </c>
      <c r="G9" s="3043">
        <v>12</v>
      </c>
      <c r="H9" s="2488"/>
      <c r="I9" s="2750">
        <v>1</v>
      </c>
      <c r="J9" s="2488" t="s">
        <v>10727</v>
      </c>
      <c r="K9" s="2488"/>
      <c r="L9" s="2488"/>
      <c r="M9" s="2488"/>
      <c r="N9" s="2488"/>
      <c r="O9" s="2488"/>
      <c r="P9" s="2488"/>
      <c r="Q9" s="2488"/>
      <c r="R9" s="2479" t="str">
        <f t="shared" ref="R9:R72" si="0">CONCATENATE(B9,", ",C9,", ",F9,", ",J9)</f>
        <v>90TH SOUTH, UT, DUMAS #1, UT, Wood - H, 795 AAC /37</v>
      </c>
    </row>
    <row r="10" spans="1:18" ht="15" customHeight="1" x14ac:dyDescent="0.2">
      <c r="A10" s="3003">
        <f t="shared" ref="A10:A73" si="1">A9+0.001</f>
        <v>34.129999999999697</v>
      </c>
      <c r="B10" s="2512" t="s">
        <v>10546</v>
      </c>
      <c r="C10" s="2512" t="s">
        <v>10728</v>
      </c>
      <c r="D10" s="3041">
        <v>138</v>
      </c>
      <c r="E10" s="3041">
        <v>138</v>
      </c>
      <c r="F10" s="2512" t="s">
        <v>10564</v>
      </c>
      <c r="G10" s="3041">
        <v>6</v>
      </c>
      <c r="H10" s="2488"/>
      <c r="I10" s="2752">
        <v>1</v>
      </c>
      <c r="J10" s="2512" t="s">
        <v>10552</v>
      </c>
      <c r="K10" s="2614"/>
      <c r="L10" s="2614"/>
      <c r="M10" s="2614"/>
      <c r="N10" s="2488"/>
      <c r="O10" s="2488"/>
      <c r="P10" s="2488"/>
      <c r="Q10" s="2488"/>
      <c r="R10" s="2479" t="str">
        <f t="shared" si="0"/>
        <v>90TH SOUTH, UT, DUMAS #2, UT, Wood - H, 1272 ACSR 45/7</v>
      </c>
    </row>
    <row r="11" spans="1:18" ht="15" customHeight="1" x14ac:dyDescent="0.2">
      <c r="A11" s="3003">
        <f t="shared" si="1"/>
        <v>34.130999999999695</v>
      </c>
      <c r="B11" s="2512" t="s">
        <v>10546</v>
      </c>
      <c r="C11" s="2512" t="s">
        <v>10572</v>
      </c>
      <c r="D11" s="3041">
        <v>138</v>
      </c>
      <c r="E11" s="3041">
        <v>138</v>
      </c>
      <c r="F11" s="2512" t="s">
        <v>10711</v>
      </c>
      <c r="G11" s="3041">
        <v>12</v>
      </c>
      <c r="H11" s="2488"/>
      <c r="I11" s="2752">
        <v>1</v>
      </c>
      <c r="J11" s="2512" t="s">
        <v>10729</v>
      </c>
      <c r="K11" s="2614"/>
      <c r="L11" s="2614"/>
      <c r="M11" s="2614"/>
      <c r="N11" s="2488"/>
      <c r="O11" s="2488"/>
      <c r="P11" s="2488"/>
      <c r="Q11" s="2488"/>
      <c r="R11" s="2479" t="str">
        <f t="shared" si="0"/>
        <v>90TH SOUTH, UT, OQUIRRH, UT, Wood - SP, 1020 ACCC/TW  BARE</v>
      </c>
    </row>
    <row r="12" spans="1:18" ht="15" customHeight="1" x14ac:dyDescent="0.2">
      <c r="A12" s="3003">
        <f t="shared" si="1"/>
        <v>34.131999999999692</v>
      </c>
      <c r="B12" s="2512" t="s">
        <v>10546</v>
      </c>
      <c r="C12" s="2512" t="s">
        <v>10730</v>
      </c>
      <c r="D12" s="3041">
        <v>138</v>
      </c>
      <c r="E12" s="3041">
        <v>138</v>
      </c>
      <c r="F12" s="2512" t="s">
        <v>10548</v>
      </c>
      <c r="G12" s="3041">
        <v>1</v>
      </c>
      <c r="H12" s="2488"/>
      <c r="I12" s="2752">
        <v>1</v>
      </c>
      <c r="J12" s="2512" t="s">
        <v>10727</v>
      </c>
      <c r="K12" s="2614"/>
      <c r="L12" s="2614"/>
      <c r="M12" s="2614"/>
      <c r="N12" s="2488"/>
      <c r="O12" s="2488"/>
      <c r="P12" s="2488"/>
      <c r="Q12" s="2488"/>
      <c r="R12" s="2479" t="str">
        <f t="shared" si="0"/>
        <v>90TH SOUTH, UT, SANDY, UT, Steel - SP, 795 AAC /37</v>
      </c>
    </row>
    <row r="13" spans="1:18" ht="15" customHeight="1" x14ac:dyDescent="0.2">
      <c r="A13" s="3003">
        <f t="shared" si="1"/>
        <v>34.13299999999969</v>
      </c>
      <c r="B13" s="2512" t="s">
        <v>10731</v>
      </c>
      <c r="C13" s="2512" t="s">
        <v>10581</v>
      </c>
      <c r="D13" s="3041">
        <v>138</v>
      </c>
      <c r="E13" s="3041">
        <v>138</v>
      </c>
      <c r="F13" s="2512" t="s">
        <v>10564</v>
      </c>
      <c r="G13" s="3041">
        <v>44</v>
      </c>
      <c r="H13" s="2488"/>
      <c r="I13" s="2752">
        <v>1</v>
      </c>
      <c r="J13" s="2512" t="s">
        <v>10705</v>
      </c>
      <c r="K13" s="2614"/>
      <c r="L13" s="2614"/>
      <c r="M13" s="2614"/>
      <c r="N13" s="2488"/>
      <c r="O13" s="2488"/>
      <c r="P13" s="2488"/>
      <c r="Q13" s="2488"/>
      <c r="R13" s="2479" t="str">
        <f t="shared" si="0"/>
        <v>ABAJO, UT, PINTO, UT, Wood - H, 397.5 ACSR 26/7</v>
      </c>
    </row>
    <row r="14" spans="1:18" ht="15" customHeight="1" x14ac:dyDescent="0.2">
      <c r="A14" s="3003">
        <f t="shared" si="1"/>
        <v>34.133999999999688</v>
      </c>
      <c r="B14" s="2512" t="s">
        <v>10731</v>
      </c>
      <c r="C14" s="2512" t="s">
        <v>10732</v>
      </c>
      <c r="D14" s="3041">
        <v>138</v>
      </c>
      <c r="E14" s="3041">
        <v>138</v>
      </c>
      <c r="F14" s="2512" t="s">
        <v>10711</v>
      </c>
      <c r="G14" s="3041">
        <v>10</v>
      </c>
      <c r="H14" s="2488"/>
      <c r="I14" s="2752">
        <v>1</v>
      </c>
      <c r="J14" s="2512" t="s">
        <v>10518</v>
      </c>
      <c r="K14" s="2614"/>
      <c r="L14" s="2614"/>
      <c r="M14" s="2614"/>
      <c r="N14" s="2488"/>
      <c r="O14" s="2488"/>
      <c r="P14" s="2488"/>
      <c r="Q14" s="2488"/>
      <c r="R14" s="2479" t="str">
        <f t="shared" si="0"/>
        <v>ABAJO, UT, SAN JUAN, UT, Wood - SP, 795 ACSR 26/7</v>
      </c>
    </row>
    <row r="15" spans="1:18" ht="15" customHeight="1" x14ac:dyDescent="0.2">
      <c r="A15" s="3003">
        <f t="shared" si="1"/>
        <v>34.134999999999685</v>
      </c>
      <c r="B15" s="2512" t="s">
        <v>10733</v>
      </c>
      <c r="C15" s="2512" t="s">
        <v>10734</v>
      </c>
      <c r="D15" s="3041">
        <v>138</v>
      </c>
      <c r="E15" s="3041">
        <v>138</v>
      </c>
      <c r="F15" s="2512" t="s">
        <v>10564</v>
      </c>
      <c r="G15" s="3041">
        <v>4</v>
      </c>
      <c r="H15" s="2488"/>
      <c r="I15" s="2752">
        <v>1</v>
      </c>
      <c r="J15" s="2512" t="s">
        <v>10705</v>
      </c>
      <c r="K15" s="2488"/>
      <c r="L15" s="2614"/>
      <c r="M15" s="2614"/>
      <c r="N15" s="2488"/>
      <c r="O15" s="2488"/>
      <c r="P15" s="2488"/>
      <c r="Q15" s="2488"/>
      <c r="R15" s="2479" t="str">
        <f t="shared" si="0"/>
        <v>AGRIUM, UT, THREEMILE KNOLL, ID, Wood - H, 397.5 ACSR 26/7</v>
      </c>
    </row>
    <row r="16" spans="1:18" ht="15" customHeight="1" x14ac:dyDescent="0.2">
      <c r="A16" s="3003">
        <f t="shared" si="1"/>
        <v>34.135999999999683</v>
      </c>
      <c r="B16" s="2512" t="s">
        <v>10735</v>
      </c>
      <c r="C16" s="2512" t="s">
        <v>10736</v>
      </c>
      <c r="D16" s="3041">
        <v>138</v>
      </c>
      <c r="E16" s="3041">
        <v>138</v>
      </c>
      <c r="F16" s="2512" t="s">
        <v>10564</v>
      </c>
      <c r="G16" s="3041">
        <v>22</v>
      </c>
      <c r="H16" s="2614"/>
      <c r="I16" s="2752">
        <v>1</v>
      </c>
      <c r="J16" s="2512" t="s">
        <v>10518</v>
      </c>
      <c r="K16" s="2488"/>
      <c r="L16" s="2614"/>
      <c r="M16" s="2614"/>
      <c r="N16" s="2488"/>
      <c r="O16" s="2488"/>
      <c r="P16" s="2488"/>
      <c r="Q16" s="2488"/>
      <c r="R16" s="2479" t="str">
        <f t="shared" si="0"/>
        <v>ANSCHTZ CO-GEN, WY, EVANSTON, WY, Wood - H, 795 ACSR 26/7</v>
      </c>
    </row>
    <row r="17" spans="1:18" ht="15" customHeight="1" x14ac:dyDescent="0.2">
      <c r="A17" s="3003">
        <f t="shared" si="1"/>
        <v>34.136999999999681</v>
      </c>
      <c r="B17" s="2744" t="s">
        <v>10606</v>
      </c>
      <c r="C17" s="2512" t="s">
        <v>10737</v>
      </c>
      <c r="D17" s="3041">
        <v>138</v>
      </c>
      <c r="E17" s="3041">
        <v>138</v>
      </c>
      <c r="F17" s="2512" t="s">
        <v>10564</v>
      </c>
      <c r="G17" s="3041">
        <v>1</v>
      </c>
      <c r="H17" s="2488"/>
      <c r="I17" s="2752">
        <v>1</v>
      </c>
      <c r="J17" s="2512" t="s">
        <v>10705</v>
      </c>
      <c r="K17" s="2614"/>
      <c r="L17" s="2614"/>
      <c r="M17" s="2614"/>
      <c r="N17" s="2488"/>
      <c r="O17" s="2488"/>
      <c r="P17" s="2488"/>
      <c r="Q17" s="2488"/>
      <c r="R17" s="2479" t="str">
        <f t="shared" si="0"/>
        <v>ANTELOPE, ID, SCOVILLE #1, ID, Wood - H, 397.5 ACSR 26/7</v>
      </c>
    </row>
    <row r="18" spans="1:18" ht="15" customHeight="1" x14ac:dyDescent="0.2">
      <c r="A18" s="3003">
        <f t="shared" si="1"/>
        <v>34.137999999999678</v>
      </c>
      <c r="B18" s="2744" t="s">
        <v>10606</v>
      </c>
      <c r="C18" s="2512" t="s">
        <v>10738</v>
      </c>
      <c r="D18" s="3041">
        <v>138</v>
      </c>
      <c r="E18" s="3041">
        <v>138</v>
      </c>
      <c r="F18" s="2512" t="s">
        <v>10564</v>
      </c>
      <c r="G18" s="3041">
        <v>1</v>
      </c>
      <c r="H18" s="2488"/>
      <c r="I18" s="2752">
        <v>1</v>
      </c>
      <c r="J18" s="2512" t="s">
        <v>10705</v>
      </c>
      <c r="K18" s="2614"/>
      <c r="L18" s="2614"/>
      <c r="M18" s="2614"/>
      <c r="N18" s="2488"/>
      <c r="O18" s="2488"/>
      <c r="P18" s="2488"/>
      <c r="Q18" s="2488"/>
      <c r="R18" s="2479" t="str">
        <f t="shared" si="0"/>
        <v>ANTELOPE, ID, SCOVILLE #2, ID, Wood - H, 397.5 ACSR 26/7</v>
      </c>
    </row>
    <row r="19" spans="1:18" ht="15" customHeight="1" x14ac:dyDescent="0.2">
      <c r="A19" s="3003">
        <f t="shared" si="1"/>
        <v>34.138999999999676</v>
      </c>
      <c r="B19" s="2512" t="s">
        <v>10739</v>
      </c>
      <c r="C19" s="2488" t="s">
        <v>10566</v>
      </c>
      <c r="D19" s="3043">
        <v>138</v>
      </c>
      <c r="E19" s="3043">
        <v>138</v>
      </c>
      <c r="F19" s="2488" t="s">
        <v>10564</v>
      </c>
      <c r="G19" s="3043">
        <v>26</v>
      </c>
      <c r="H19" s="2488"/>
      <c r="I19" s="2750">
        <v>1</v>
      </c>
      <c r="J19" s="2488" t="s">
        <v>10705</v>
      </c>
      <c r="K19" s="2488"/>
      <c r="L19" s="2488"/>
      <c r="M19" s="2488"/>
      <c r="N19" s="2488"/>
      <c r="O19" s="2488"/>
      <c r="P19" s="2488"/>
      <c r="Q19" s="2488"/>
      <c r="R19" s="2479" t="str">
        <f t="shared" si="0"/>
        <v>ASHGROVE, UT, CLOVER, UT, Wood - H, 397.5 ACSR 26/7</v>
      </c>
    </row>
    <row r="20" spans="1:18" ht="15" customHeight="1" x14ac:dyDescent="0.2">
      <c r="A20" s="3003">
        <f t="shared" si="1"/>
        <v>34.139999999999674</v>
      </c>
      <c r="B20" s="2512" t="s">
        <v>10740</v>
      </c>
      <c r="C20" s="2512" t="s">
        <v>10741</v>
      </c>
      <c r="D20" s="3041">
        <v>138</v>
      </c>
      <c r="E20" s="3041">
        <v>138</v>
      </c>
      <c r="F20" s="2512" t="s">
        <v>10564</v>
      </c>
      <c r="G20" s="3041">
        <v>102</v>
      </c>
      <c r="H20" s="2488"/>
      <c r="I20" s="2752">
        <v>1</v>
      </c>
      <c r="J20" s="2512" t="s">
        <v>10705</v>
      </c>
      <c r="K20" s="2614"/>
      <c r="L20" s="2614"/>
      <c r="M20" s="2614"/>
      <c r="N20" s="2488"/>
      <c r="O20" s="2488"/>
      <c r="P20" s="2488"/>
      <c r="Q20" s="2488"/>
      <c r="R20" s="2479" t="str">
        <f t="shared" si="0"/>
        <v>ASHLEY, UT, CARBON, UT, Wood - H, 397.5 ACSR 26/7</v>
      </c>
    </row>
    <row r="21" spans="1:18" ht="15" customHeight="1" x14ac:dyDescent="0.2">
      <c r="A21" s="3003">
        <f t="shared" si="1"/>
        <v>34.140999999999671</v>
      </c>
      <c r="B21" s="2512" t="s">
        <v>10740</v>
      </c>
      <c r="C21" s="2512" t="s">
        <v>10742</v>
      </c>
      <c r="D21" s="3041">
        <v>138</v>
      </c>
      <c r="E21" s="3041">
        <v>138</v>
      </c>
      <c r="F21" s="2512" t="s">
        <v>10564</v>
      </c>
      <c r="G21" s="3041">
        <v>12</v>
      </c>
      <c r="H21" s="2488"/>
      <c r="I21" s="2752">
        <v>1</v>
      </c>
      <c r="J21" s="2512" t="s">
        <v>10705</v>
      </c>
      <c r="K21" s="2614"/>
      <c r="L21" s="2614"/>
      <c r="M21" s="2614"/>
      <c r="N21" s="2488"/>
      <c r="O21" s="2488"/>
      <c r="P21" s="2488"/>
      <c r="Q21" s="2488"/>
      <c r="R21" s="2479" t="str">
        <f t="shared" si="0"/>
        <v>ASHLEY, UT, VERNAL, UT, Wood - H, 397.5 ACSR 26/7</v>
      </c>
    </row>
    <row r="22" spans="1:18" ht="15" customHeight="1" x14ac:dyDescent="0.2">
      <c r="A22" s="3003">
        <f t="shared" si="1"/>
        <v>34.141999999999669</v>
      </c>
      <c r="B22" s="2512" t="s">
        <v>10556</v>
      </c>
      <c r="C22" s="2512" t="s">
        <v>10743</v>
      </c>
      <c r="D22" s="3041">
        <v>138</v>
      </c>
      <c r="E22" s="3041">
        <v>138</v>
      </c>
      <c r="F22" s="2512" t="s">
        <v>10548</v>
      </c>
      <c r="G22" s="3041">
        <v>28</v>
      </c>
      <c r="H22" s="2488"/>
      <c r="I22" s="2752">
        <v>1</v>
      </c>
      <c r="J22" s="2512" t="s">
        <v>10744</v>
      </c>
      <c r="K22" s="2614"/>
      <c r="L22" s="2614"/>
      <c r="M22" s="2614"/>
      <c r="N22" s="2488"/>
      <c r="O22" s="2488"/>
      <c r="P22" s="2488"/>
      <c r="Q22" s="2488"/>
      <c r="R22" s="2479" t="str">
        <f t="shared" si="0"/>
        <v>BEN LOMOND, UT, ANGEL, UT, Steel - SP, 250 CUHD /12</v>
      </c>
    </row>
    <row r="23" spans="1:18" ht="15" customHeight="1" x14ac:dyDescent="0.2">
      <c r="A23" s="3003">
        <f t="shared" si="1"/>
        <v>34.142999999999667</v>
      </c>
      <c r="B23" s="2512" t="s">
        <v>10556</v>
      </c>
      <c r="C23" s="2512" t="s">
        <v>10745</v>
      </c>
      <c r="D23" s="3041">
        <v>138</v>
      </c>
      <c r="E23" s="3041">
        <v>138</v>
      </c>
      <c r="F23" s="2512" t="s">
        <v>10564</v>
      </c>
      <c r="G23" s="3041">
        <v>14</v>
      </c>
      <c r="H23" s="2488"/>
      <c r="I23" s="2752">
        <v>1</v>
      </c>
      <c r="J23" s="2512" t="s">
        <v>10744</v>
      </c>
      <c r="K23" s="2614"/>
      <c r="L23" s="2614"/>
      <c r="M23" s="2614"/>
      <c r="N23" s="2488"/>
      <c r="O23" s="2488"/>
      <c r="P23" s="2488"/>
      <c r="Q23" s="2488"/>
      <c r="R23" s="2479" t="str">
        <f t="shared" si="0"/>
        <v>BEN LOMOND, UT, BRIGHAM CITY, UT, Wood - H, 250 CUHD /12</v>
      </c>
    </row>
    <row r="24" spans="1:18" ht="15" customHeight="1" x14ac:dyDescent="0.2">
      <c r="A24" s="3003">
        <f t="shared" si="1"/>
        <v>34.143999999999664</v>
      </c>
      <c r="B24" s="2512" t="s">
        <v>10746</v>
      </c>
      <c r="C24" s="2512" t="s">
        <v>10747</v>
      </c>
      <c r="D24" s="3041">
        <v>138</v>
      </c>
      <c r="E24" s="3041">
        <v>138</v>
      </c>
      <c r="F24" s="2512" t="s">
        <v>10548</v>
      </c>
      <c r="G24" s="3041">
        <v>14</v>
      </c>
      <c r="H24" s="2488"/>
      <c r="I24" s="2752">
        <v>1</v>
      </c>
      <c r="J24" s="2512" t="s">
        <v>10518</v>
      </c>
      <c r="K24" s="2614"/>
      <c r="L24" s="2614"/>
      <c r="M24" s="2614"/>
      <c r="N24" s="2488"/>
      <c r="O24" s="2488"/>
      <c r="P24" s="2488"/>
      <c r="Q24" s="2488"/>
      <c r="R24" s="2479" t="str">
        <f t="shared" si="0"/>
        <v>BEN LOMOND #1, UT, EL MONTE, UT, Steel - SP, 795 ACSR 26/7</v>
      </c>
    </row>
    <row r="25" spans="1:18" ht="15" customHeight="1" x14ac:dyDescent="0.2">
      <c r="A25" s="3003">
        <f t="shared" si="1"/>
        <v>34.144999999999662</v>
      </c>
      <c r="B25" s="2512" t="s">
        <v>10748</v>
      </c>
      <c r="C25" s="2512" t="s">
        <v>10747</v>
      </c>
      <c r="D25" s="3041">
        <v>138</v>
      </c>
      <c r="E25" s="3041">
        <v>138</v>
      </c>
      <c r="F25" s="2512" t="s">
        <v>10564</v>
      </c>
      <c r="G25" s="2614"/>
      <c r="H25" s="2750">
        <v>13</v>
      </c>
      <c r="I25" s="2752">
        <v>1</v>
      </c>
      <c r="J25" s="2512" t="s">
        <v>10518</v>
      </c>
      <c r="K25" s="2614"/>
      <c r="L25" s="2614"/>
      <c r="M25" s="2614"/>
      <c r="N25" s="2488"/>
      <c r="O25" s="2488"/>
      <c r="P25" s="2488"/>
      <c r="Q25" s="2488"/>
      <c r="R25" s="2479" t="str">
        <f t="shared" si="0"/>
        <v>BEN LOMOND #2, UT, EL MONTE, UT, Wood - H, 795 ACSR 26/7</v>
      </c>
    </row>
    <row r="26" spans="1:18" ht="15" customHeight="1" x14ac:dyDescent="0.2">
      <c r="A26" s="3003">
        <f t="shared" si="1"/>
        <v>34.14599999999966</v>
      </c>
      <c r="B26" s="2512" t="s">
        <v>10556</v>
      </c>
      <c r="C26" s="2512" t="s">
        <v>10749</v>
      </c>
      <c r="D26" s="3041">
        <v>138</v>
      </c>
      <c r="E26" s="3041">
        <v>138</v>
      </c>
      <c r="F26" s="2512" t="s">
        <v>10511</v>
      </c>
      <c r="G26" s="3041">
        <v>22</v>
      </c>
      <c r="H26" s="2488"/>
      <c r="I26" s="2752">
        <v>1</v>
      </c>
      <c r="J26" s="2512" t="s">
        <v>10744</v>
      </c>
      <c r="K26" s="2614"/>
      <c r="L26" s="2614"/>
      <c r="M26" s="2614"/>
      <c r="N26" s="2488"/>
      <c r="O26" s="2488"/>
      <c r="P26" s="2488"/>
      <c r="Q26" s="2488"/>
      <c r="R26" s="2479" t="str">
        <f t="shared" si="0"/>
        <v>BEN LOMOND, UT, HONEYVILLE, UT, Steel Tower, 250 CUHD /12</v>
      </c>
    </row>
    <row r="27" spans="1:18" ht="15" customHeight="1" x14ac:dyDescent="0.2">
      <c r="A27" s="3003">
        <f t="shared" si="1"/>
        <v>34.146999999999657</v>
      </c>
      <c r="B27" s="2512" t="s">
        <v>10556</v>
      </c>
      <c r="C27" s="2512" t="s">
        <v>10750</v>
      </c>
      <c r="D27" s="3041">
        <v>138</v>
      </c>
      <c r="E27" s="3041">
        <v>230</v>
      </c>
      <c r="F27" s="2512" t="s">
        <v>10511</v>
      </c>
      <c r="G27" s="3041">
        <v>7</v>
      </c>
      <c r="H27" s="2750">
        <v>13</v>
      </c>
      <c r="I27" s="2752">
        <v>1</v>
      </c>
      <c r="J27" s="2512" t="s">
        <v>10744</v>
      </c>
      <c r="K27" s="2614"/>
      <c r="L27" s="2614"/>
      <c r="M27" s="2614"/>
      <c r="N27" s="2488"/>
      <c r="O27" s="2488"/>
      <c r="P27" s="2488"/>
      <c r="Q27" s="2488"/>
      <c r="R27" s="2479" t="str">
        <f t="shared" si="0"/>
        <v>BEN LOMOND, UT, SYRACUSE #2, UT, Steel Tower, 250 CUHD /12</v>
      </c>
    </row>
    <row r="28" spans="1:18" ht="15" customHeight="1" x14ac:dyDescent="0.2">
      <c r="A28" s="3003">
        <f t="shared" si="1"/>
        <v>34.147999999999655</v>
      </c>
      <c r="B28" s="2512" t="s">
        <v>10556</v>
      </c>
      <c r="C28" s="2512" t="s">
        <v>10751</v>
      </c>
      <c r="D28" s="3041">
        <v>138</v>
      </c>
      <c r="E28" s="3041">
        <v>138</v>
      </c>
      <c r="F28" s="2512" t="s">
        <v>10511</v>
      </c>
      <c r="G28" s="3041">
        <v>58</v>
      </c>
      <c r="H28" s="2488"/>
      <c r="I28" s="2752">
        <v>1</v>
      </c>
      <c r="J28" s="2512" t="s">
        <v>10552</v>
      </c>
      <c r="K28" s="2614"/>
      <c r="L28" s="2614"/>
      <c r="M28" s="2614"/>
      <c r="N28" s="2488"/>
      <c r="O28" s="2488"/>
      <c r="P28" s="2488"/>
      <c r="Q28" s="2488"/>
      <c r="R28" s="2479" t="str">
        <f t="shared" si="0"/>
        <v>BEN LOMOND, UT, SYRACUSE, UT, Steel Tower, 1272 ACSR 45/7</v>
      </c>
    </row>
    <row r="29" spans="1:18" ht="15" customHeight="1" x14ac:dyDescent="0.2">
      <c r="A29" s="3003">
        <f t="shared" si="1"/>
        <v>34.148999999999653</v>
      </c>
      <c r="B29" s="2512" t="s">
        <v>10556</v>
      </c>
      <c r="C29" s="2512" t="s">
        <v>10752</v>
      </c>
      <c r="D29" s="3041">
        <v>138</v>
      </c>
      <c r="E29" s="3041">
        <v>138</v>
      </c>
      <c r="F29" s="2512" t="s">
        <v>10711</v>
      </c>
      <c r="G29" s="3041">
        <v>14</v>
      </c>
      <c r="H29" s="2488"/>
      <c r="I29" s="2752">
        <v>1</v>
      </c>
      <c r="J29" s="2512" t="s">
        <v>10727</v>
      </c>
      <c r="K29" s="2614"/>
      <c r="L29" s="2614"/>
      <c r="M29" s="2614"/>
      <c r="N29" s="2488"/>
      <c r="O29" s="2488"/>
      <c r="P29" s="2488"/>
      <c r="Q29" s="2488"/>
      <c r="R29" s="2479" t="str">
        <f t="shared" si="0"/>
        <v>BEN LOMOND, UT, W ZIRCONIUM, UT, Wood - SP, 795 AAC /37</v>
      </c>
    </row>
    <row r="30" spans="1:18" ht="15" customHeight="1" x14ac:dyDescent="0.2">
      <c r="A30" s="3003">
        <f t="shared" si="1"/>
        <v>34.14999999999965</v>
      </c>
      <c r="B30" s="2512" t="s">
        <v>10556</v>
      </c>
      <c r="C30" s="2512" t="s">
        <v>10753</v>
      </c>
      <c r="D30" s="3041">
        <v>138</v>
      </c>
      <c r="E30" s="3041">
        <v>138</v>
      </c>
      <c r="F30" s="2512" t="s">
        <v>10511</v>
      </c>
      <c r="G30" s="3041">
        <v>42</v>
      </c>
      <c r="H30" s="2488"/>
      <c r="I30" s="2752">
        <v>1</v>
      </c>
      <c r="J30" s="2512" t="s">
        <v>10744</v>
      </c>
      <c r="K30" s="2614"/>
      <c r="L30" s="2614"/>
      <c r="M30" s="2614"/>
      <c r="N30" s="2488"/>
      <c r="O30" s="2488"/>
      <c r="P30" s="2488"/>
      <c r="Q30" s="2488"/>
      <c r="R30" s="2479" t="str">
        <f t="shared" si="0"/>
        <v>BEN LOMOND, UT, WHEELON, UT, Steel Tower, 250 CUHD /12</v>
      </c>
    </row>
    <row r="31" spans="1:18" ht="15" customHeight="1" x14ac:dyDescent="0.2">
      <c r="A31" s="3003">
        <f t="shared" si="1"/>
        <v>34.150999999999648</v>
      </c>
      <c r="B31" s="2512" t="s">
        <v>10754</v>
      </c>
      <c r="C31" s="2512" t="s">
        <v>10755</v>
      </c>
      <c r="D31" s="3041">
        <v>138</v>
      </c>
      <c r="E31" s="3041">
        <v>138</v>
      </c>
      <c r="F31" s="2512" t="s">
        <v>10564</v>
      </c>
      <c r="G31" s="3041">
        <v>9</v>
      </c>
      <c r="H31" s="2488"/>
      <c r="I31" s="2752">
        <v>1</v>
      </c>
      <c r="J31" s="2512" t="s">
        <v>10518</v>
      </c>
      <c r="K31" s="2614"/>
      <c r="L31" s="2614"/>
      <c r="M31" s="2614"/>
      <c r="N31" s="2488"/>
      <c r="O31" s="2488"/>
      <c r="P31" s="2488"/>
      <c r="Q31" s="2488"/>
      <c r="R31" s="2479" t="str">
        <f t="shared" si="0"/>
        <v>BONANZA, UT, CHAPITA, UT, Wood - H, 795 ACSR 26/7</v>
      </c>
    </row>
    <row r="32" spans="1:18" ht="15" customHeight="1" x14ac:dyDescent="0.2">
      <c r="A32" s="3003">
        <f t="shared" si="1"/>
        <v>34.151999999999646</v>
      </c>
      <c r="B32" s="2512" t="s">
        <v>10756</v>
      </c>
      <c r="C32" s="2512" t="s">
        <v>10757</v>
      </c>
      <c r="D32" s="3041">
        <v>138</v>
      </c>
      <c r="E32" s="3041">
        <v>138</v>
      </c>
      <c r="F32" s="2512" t="s">
        <v>10711</v>
      </c>
      <c r="G32" s="3041">
        <v>16</v>
      </c>
      <c r="H32" s="2488"/>
      <c r="I32" s="2752">
        <v>1</v>
      </c>
      <c r="J32" s="2512" t="s">
        <v>10552</v>
      </c>
      <c r="K32" s="2614"/>
      <c r="L32" s="2614"/>
      <c r="M32" s="2614"/>
      <c r="N32" s="2488"/>
      <c r="O32" s="2488"/>
      <c r="P32" s="2488"/>
      <c r="Q32" s="2488"/>
      <c r="R32" s="2479" t="str">
        <f t="shared" si="0"/>
        <v>BRIDGERLAND, UT, GREEN CANYON, UT, Wood - SP, 1272 ACSR 45/7</v>
      </c>
    </row>
    <row r="33" spans="1:18" ht="15" customHeight="1" x14ac:dyDescent="0.2">
      <c r="A33" s="3003">
        <f t="shared" si="1"/>
        <v>34.152999999999643</v>
      </c>
      <c r="B33" s="2512" t="s">
        <v>10745</v>
      </c>
      <c r="C33" s="2512" t="s">
        <v>10753</v>
      </c>
      <c r="D33" s="3041">
        <v>138</v>
      </c>
      <c r="E33" s="3041">
        <v>138</v>
      </c>
      <c r="F33" s="2512" t="s">
        <v>10564</v>
      </c>
      <c r="G33" s="3041">
        <v>24</v>
      </c>
      <c r="H33" s="2488"/>
      <c r="I33" s="2752">
        <v>1</v>
      </c>
      <c r="J33" s="2512" t="s">
        <v>10744</v>
      </c>
      <c r="K33" s="2614"/>
      <c r="L33" s="2614"/>
      <c r="M33" s="2614"/>
      <c r="N33" s="2488"/>
      <c r="O33" s="2488"/>
      <c r="P33" s="2488"/>
      <c r="Q33" s="2488"/>
      <c r="R33" s="2479" t="str">
        <f t="shared" si="0"/>
        <v>BRIGHAM CITY, UT, WHEELON, UT, Wood - H, 250 CUHD /12</v>
      </c>
    </row>
    <row r="34" spans="1:18" ht="15" customHeight="1" x14ac:dyDescent="0.2">
      <c r="A34" s="3003">
        <f t="shared" si="1"/>
        <v>34.153999999999641</v>
      </c>
      <c r="B34" s="2512" t="s">
        <v>10758</v>
      </c>
      <c r="C34" s="2512" t="s">
        <v>10546</v>
      </c>
      <c r="D34" s="3041">
        <v>138</v>
      </c>
      <c r="E34" s="3041">
        <v>138</v>
      </c>
      <c r="F34" s="2512" t="s">
        <v>10548</v>
      </c>
      <c r="G34" s="3041">
        <v>9</v>
      </c>
      <c r="H34" s="2488"/>
      <c r="I34" s="2752">
        <v>1</v>
      </c>
      <c r="J34" s="2512" t="s">
        <v>10727</v>
      </c>
      <c r="K34" s="2614"/>
      <c r="L34" s="2614"/>
      <c r="M34" s="2614"/>
      <c r="N34" s="2488"/>
      <c r="O34" s="2488"/>
      <c r="P34" s="2488"/>
      <c r="Q34" s="2488"/>
      <c r="R34" s="2479" t="str">
        <f t="shared" si="0"/>
        <v>BUTLERVILLE, UT, 90TH SOUTH, UT, Steel - SP, 795 AAC /37</v>
      </c>
    </row>
    <row r="35" spans="1:18" ht="15" customHeight="1" x14ac:dyDescent="0.2">
      <c r="A35" s="3003">
        <f t="shared" si="1"/>
        <v>34.154999999999639</v>
      </c>
      <c r="B35" s="2512" t="s">
        <v>10759</v>
      </c>
      <c r="C35" s="2512" t="s">
        <v>10760</v>
      </c>
      <c r="D35" s="3041">
        <v>138</v>
      </c>
      <c r="E35" s="3041">
        <v>138</v>
      </c>
      <c r="F35" s="2512" t="s">
        <v>10711</v>
      </c>
      <c r="G35" s="3041">
        <v>25</v>
      </c>
      <c r="H35" s="2488"/>
      <c r="I35" s="2752">
        <v>1</v>
      </c>
      <c r="J35" s="2512" t="s">
        <v>10518</v>
      </c>
      <c r="K35" s="2614"/>
      <c r="L35" s="2614"/>
      <c r="M35" s="2614"/>
      <c r="N35" s="2488"/>
      <c r="O35" s="2488"/>
      <c r="P35" s="2488"/>
      <c r="Q35" s="2488"/>
      <c r="R35" s="2479" t="str">
        <f t="shared" si="0"/>
        <v>CAMERON, UT, MILFORD, UT, Wood - SP, 795 ACSR 26/7</v>
      </c>
    </row>
    <row r="36" spans="1:18" ht="15" customHeight="1" x14ac:dyDescent="0.2">
      <c r="A36" s="3003">
        <f t="shared" si="1"/>
        <v>34.155999999999636</v>
      </c>
      <c r="B36" s="2512" t="s">
        <v>10759</v>
      </c>
      <c r="C36" s="2512" t="s">
        <v>10761</v>
      </c>
      <c r="D36" s="3041">
        <v>138</v>
      </c>
      <c r="E36" s="3041">
        <v>138</v>
      </c>
      <c r="F36" s="2512" t="s">
        <v>10564</v>
      </c>
      <c r="G36" s="3041">
        <v>35</v>
      </c>
      <c r="H36" s="2488"/>
      <c r="I36" s="2752">
        <v>1</v>
      </c>
      <c r="J36" s="2512" t="s">
        <v>10705</v>
      </c>
      <c r="K36" s="2614"/>
      <c r="L36" s="2614"/>
      <c r="M36" s="2614"/>
      <c r="N36" s="2488"/>
      <c r="O36" s="2488"/>
      <c r="P36" s="2488"/>
      <c r="Q36" s="2488"/>
      <c r="R36" s="2479" t="str">
        <f t="shared" si="0"/>
        <v>CAMERON, UT, PAROWAN, UT, Wood - H, 397.5 ACSR 26/7</v>
      </c>
    </row>
    <row r="37" spans="1:18" ht="15" customHeight="1" x14ac:dyDescent="0.2">
      <c r="A37" s="3003">
        <f t="shared" si="1"/>
        <v>34.156999999999634</v>
      </c>
      <c r="B37" s="2512" t="s">
        <v>10759</v>
      </c>
      <c r="C37" s="2512" t="s">
        <v>10591</v>
      </c>
      <c r="D37" s="3041">
        <v>138</v>
      </c>
      <c r="E37" s="3041">
        <v>138</v>
      </c>
      <c r="F37" s="2512" t="s">
        <v>10564</v>
      </c>
      <c r="G37" s="3041">
        <v>65</v>
      </c>
      <c r="H37" s="2488"/>
      <c r="I37" s="2752">
        <v>1</v>
      </c>
      <c r="J37" s="2512" t="s">
        <v>10705</v>
      </c>
      <c r="K37" s="2614"/>
      <c r="L37" s="2614"/>
      <c r="M37" s="2614"/>
      <c r="N37" s="2488"/>
      <c r="O37" s="2488"/>
      <c r="P37" s="2488"/>
      <c r="Q37" s="2488"/>
      <c r="R37" s="2479" t="str">
        <f t="shared" si="0"/>
        <v>CAMERON, UT, SIGURD, UT, Wood - H, 397.5 ACSR 26/7</v>
      </c>
    </row>
    <row r="38" spans="1:18" ht="15" customHeight="1" x14ac:dyDescent="0.2">
      <c r="A38" s="3003">
        <f t="shared" si="1"/>
        <v>34.157999999999632</v>
      </c>
      <c r="B38" s="2512" t="s">
        <v>10762</v>
      </c>
      <c r="C38" s="2512" t="s">
        <v>10763</v>
      </c>
      <c r="D38" s="3041">
        <v>138</v>
      </c>
      <c r="E38" s="3041">
        <v>138</v>
      </c>
      <c r="F38" s="2512" t="s">
        <v>10564</v>
      </c>
      <c r="G38" s="3041">
        <v>12</v>
      </c>
      <c r="H38" s="2488"/>
      <c r="I38" s="2752">
        <v>1</v>
      </c>
      <c r="J38" s="2512" t="s">
        <v>10518</v>
      </c>
      <c r="K38" s="2614"/>
      <c r="L38" s="2614"/>
      <c r="M38" s="2614"/>
      <c r="N38" s="2488"/>
      <c r="O38" s="2488"/>
      <c r="P38" s="2488"/>
      <c r="Q38" s="2488"/>
      <c r="R38" s="2479" t="str">
        <f t="shared" si="0"/>
        <v>CANYON COMP, WY, STR 204, WY, Wood - H, 795 ACSR 26/7</v>
      </c>
    </row>
    <row r="39" spans="1:18" ht="15" customHeight="1" x14ac:dyDescent="0.2">
      <c r="A39" s="3003">
        <f t="shared" si="1"/>
        <v>34.158999999999629</v>
      </c>
      <c r="B39" s="2512" t="s">
        <v>10741</v>
      </c>
      <c r="C39" s="2512" t="s">
        <v>10764</v>
      </c>
      <c r="D39" s="3041">
        <v>138</v>
      </c>
      <c r="E39" s="3041">
        <v>138</v>
      </c>
      <c r="F39" s="2512" t="s">
        <v>10564</v>
      </c>
      <c r="G39" s="3041">
        <v>2</v>
      </c>
      <c r="H39" s="2488"/>
      <c r="I39" s="2752">
        <v>1</v>
      </c>
      <c r="J39" s="2512" t="s">
        <v>10722</v>
      </c>
      <c r="K39" s="2614"/>
      <c r="L39" s="2614"/>
      <c r="M39" s="2614"/>
      <c r="N39" s="2488"/>
      <c r="O39" s="2488"/>
      <c r="P39" s="2488"/>
      <c r="Q39" s="2488"/>
      <c r="R39" s="2479" t="str">
        <f t="shared" si="0"/>
        <v>CARBON, UT, HELPER #2, UT, Wood - H, 556.5 ACSR 26/7</v>
      </c>
    </row>
    <row r="40" spans="1:18" ht="15" customHeight="1" x14ac:dyDescent="0.2">
      <c r="A40" s="3003">
        <f t="shared" si="1"/>
        <v>34.159999999999627</v>
      </c>
      <c r="B40" s="2512" t="s">
        <v>10741</v>
      </c>
      <c r="C40" s="2512" t="s">
        <v>10765</v>
      </c>
      <c r="D40" s="3041">
        <v>138</v>
      </c>
      <c r="E40" s="3041">
        <v>138</v>
      </c>
      <c r="F40" s="2512" t="s">
        <v>10564</v>
      </c>
      <c r="G40" s="3041">
        <v>121</v>
      </c>
      <c r="H40" s="2488"/>
      <c r="I40" s="2752">
        <v>1</v>
      </c>
      <c r="J40" s="2512" t="s">
        <v>10705</v>
      </c>
      <c r="K40" s="2614"/>
      <c r="L40" s="2614"/>
      <c r="M40" s="2614"/>
      <c r="N40" s="2488"/>
      <c r="O40" s="2488"/>
      <c r="P40" s="2488"/>
      <c r="Q40" s="2488"/>
      <c r="R40" s="2479" t="str">
        <f t="shared" si="0"/>
        <v>CARBON, UT, MOAB, UT, Wood - H, 397.5 ACSR 26/7</v>
      </c>
    </row>
    <row r="41" spans="1:18" ht="15" customHeight="1" x14ac:dyDescent="0.2">
      <c r="A41" s="3003">
        <f t="shared" si="1"/>
        <v>34.160999999999625</v>
      </c>
      <c r="B41" s="2512" t="s">
        <v>10741</v>
      </c>
      <c r="C41" s="2512" t="s">
        <v>10766</v>
      </c>
      <c r="D41" s="3041">
        <v>138</v>
      </c>
      <c r="E41" s="3041">
        <v>138</v>
      </c>
      <c r="F41" s="2512" t="s">
        <v>10511</v>
      </c>
      <c r="G41" s="3041">
        <v>54</v>
      </c>
      <c r="H41" s="2488"/>
      <c r="I41" s="2752">
        <v>1</v>
      </c>
      <c r="J41" s="2512" t="s">
        <v>10767</v>
      </c>
      <c r="K41" s="2614"/>
      <c r="L41" s="2614"/>
      <c r="M41" s="2614"/>
      <c r="N41" s="2488"/>
      <c r="O41" s="2488"/>
      <c r="P41" s="2488"/>
      <c r="Q41" s="2488"/>
      <c r="R41" s="2479" t="str">
        <f t="shared" si="0"/>
        <v>CARBON, UT, SPANISH FORK #1, UT, Steel Tower, 4/0 COMP /19</v>
      </c>
    </row>
    <row r="42" spans="1:18" ht="15" customHeight="1" x14ac:dyDescent="0.2">
      <c r="A42" s="3003">
        <f t="shared" si="1"/>
        <v>34.161999999999622</v>
      </c>
      <c r="B42" s="2512" t="s">
        <v>10741</v>
      </c>
      <c r="C42" s="2512" t="s">
        <v>10768</v>
      </c>
      <c r="D42" s="3041">
        <v>138</v>
      </c>
      <c r="E42" s="3041">
        <v>138</v>
      </c>
      <c r="F42" s="2512" t="s">
        <v>10511</v>
      </c>
      <c r="G42" s="3041">
        <v>52</v>
      </c>
      <c r="H42" s="2488"/>
      <c r="I42" s="2752">
        <v>1</v>
      </c>
      <c r="J42" s="2512" t="s">
        <v>10518</v>
      </c>
      <c r="K42" s="2614"/>
      <c r="L42" s="2614"/>
      <c r="M42" s="2614"/>
      <c r="N42" s="2488"/>
      <c r="O42" s="2488"/>
      <c r="P42" s="2488"/>
      <c r="Q42" s="2488"/>
      <c r="R42" s="2479" t="str">
        <f t="shared" si="0"/>
        <v>CARBON, UT, SPANISH FORK #2, UT, Steel Tower, 795 ACSR 26/7</v>
      </c>
    </row>
    <row r="43" spans="1:18" ht="15" customHeight="1" x14ac:dyDescent="0.2">
      <c r="A43" s="3003">
        <f t="shared" si="1"/>
        <v>34.16299999999962</v>
      </c>
      <c r="B43" s="2744" t="s">
        <v>10769</v>
      </c>
      <c r="C43" s="2512" t="s">
        <v>10770</v>
      </c>
      <c r="D43" s="3041">
        <v>138</v>
      </c>
      <c r="E43" s="3041">
        <v>138</v>
      </c>
      <c r="F43" s="2512" t="s">
        <v>10548</v>
      </c>
      <c r="G43" s="3041">
        <v>20</v>
      </c>
      <c r="H43" s="2488"/>
      <c r="I43" s="2752">
        <v>1</v>
      </c>
      <c r="J43" s="2512" t="s">
        <v>10552</v>
      </c>
      <c r="K43" s="2614"/>
      <c r="L43" s="2614"/>
      <c r="M43" s="2614"/>
      <c r="N43" s="2488"/>
      <c r="O43" s="2488"/>
      <c r="P43" s="2488"/>
      <c r="Q43" s="2488"/>
      <c r="R43" s="2479" t="str">
        <f t="shared" si="0"/>
        <v>CENTRAL (UAMPS) #2, UT, SAINT GEORGE, UT, Steel - SP, 1272 ACSR 45/7</v>
      </c>
    </row>
    <row r="44" spans="1:18" ht="15" customHeight="1" x14ac:dyDescent="0.2">
      <c r="A44" s="3003">
        <f t="shared" si="1"/>
        <v>34.163999999999618</v>
      </c>
      <c r="B44" s="2744" t="s">
        <v>10771</v>
      </c>
      <c r="C44" s="2512" t="s">
        <v>10770</v>
      </c>
      <c r="D44" s="3041">
        <v>138</v>
      </c>
      <c r="E44" s="3041">
        <v>138</v>
      </c>
      <c r="F44" s="2512" t="s">
        <v>10548</v>
      </c>
      <c r="G44" s="2614"/>
      <c r="H44" s="2750">
        <v>20</v>
      </c>
      <c r="I44" s="2752">
        <v>1</v>
      </c>
      <c r="J44" s="2512" t="s">
        <v>10552</v>
      </c>
      <c r="K44" s="2614"/>
      <c r="L44" s="2614"/>
      <c r="M44" s="2614"/>
      <c r="N44" s="2488"/>
      <c r="O44" s="2488"/>
      <c r="P44" s="2488"/>
      <c r="Q44" s="2488"/>
      <c r="R44" s="2479" t="str">
        <f t="shared" si="0"/>
        <v>CENTRAL (UAMPS) #3, UT, SAINT GEORGE, UT, Steel - SP, 1272 ACSR 45/7</v>
      </c>
    </row>
    <row r="45" spans="1:18" ht="15" customHeight="1" x14ac:dyDescent="0.2">
      <c r="A45" s="3003">
        <f t="shared" si="1"/>
        <v>34.164999999999615</v>
      </c>
      <c r="B45" s="2512" t="s">
        <v>10772</v>
      </c>
      <c r="C45" s="2512" t="s">
        <v>10773</v>
      </c>
      <c r="D45" s="3041">
        <v>138</v>
      </c>
      <c r="E45" s="3041">
        <v>138</v>
      </c>
      <c r="F45" s="2512" t="s">
        <v>10711</v>
      </c>
      <c r="G45" s="3041">
        <v>5</v>
      </c>
      <c r="H45" s="2488"/>
      <c r="I45" s="2752">
        <v>1</v>
      </c>
      <c r="J45" s="2512" t="s">
        <v>10518</v>
      </c>
      <c r="K45" s="2614"/>
      <c r="L45" s="2614"/>
      <c r="M45" s="2614"/>
      <c r="N45" s="2488"/>
      <c r="O45" s="2488"/>
      <c r="P45" s="2488"/>
      <c r="Q45" s="2488"/>
      <c r="R45" s="2479" t="str">
        <f t="shared" si="0"/>
        <v>CLEAR CREEK, WY, PAINTER, UT, Wood - SP, 795 ACSR 26/7</v>
      </c>
    </row>
    <row r="46" spans="1:18" ht="15" customHeight="1" x14ac:dyDescent="0.2">
      <c r="A46" s="3003">
        <f t="shared" si="1"/>
        <v>34.165999999999613</v>
      </c>
      <c r="B46" s="2512" t="s">
        <v>10566</v>
      </c>
      <c r="C46" s="2512" t="s">
        <v>10774</v>
      </c>
      <c r="D46" s="3041">
        <v>138</v>
      </c>
      <c r="E46" s="3041">
        <v>138</v>
      </c>
      <c r="F46" s="2512" t="s">
        <v>10711</v>
      </c>
      <c r="G46" s="3041">
        <v>2</v>
      </c>
      <c r="H46" s="2488"/>
      <c r="I46" s="2752">
        <v>1</v>
      </c>
      <c r="J46" s="2512" t="s">
        <v>10705</v>
      </c>
      <c r="K46" s="2614"/>
      <c r="L46" s="2614"/>
      <c r="M46" s="2614"/>
      <c r="N46" s="2488"/>
      <c r="O46" s="2488"/>
      <c r="P46" s="2488"/>
      <c r="Q46" s="2488"/>
      <c r="R46" s="2479" t="str">
        <f t="shared" si="0"/>
        <v>CLOVER, UT, BURRASTON PONDS, Wood - SP, 397.5 ACSR 26/7</v>
      </c>
    </row>
    <row r="47" spans="1:18" ht="15" customHeight="1" x14ac:dyDescent="0.2">
      <c r="A47" s="3003">
        <f t="shared" si="1"/>
        <v>34.166999999999611</v>
      </c>
      <c r="B47" s="2512" t="s">
        <v>10566</v>
      </c>
      <c r="C47" s="2512" t="s">
        <v>10775</v>
      </c>
      <c r="D47" s="3041">
        <v>138</v>
      </c>
      <c r="E47" s="3041">
        <v>138</v>
      </c>
      <c r="F47" s="2512" t="s">
        <v>10711</v>
      </c>
      <c r="G47" s="3041">
        <v>8</v>
      </c>
      <c r="H47" s="2488"/>
      <c r="I47" s="2752">
        <v>1</v>
      </c>
      <c r="J47" s="2512" t="s">
        <v>10705</v>
      </c>
      <c r="K47" s="2614"/>
      <c r="L47" s="2614"/>
      <c r="M47" s="2614"/>
      <c r="N47" s="2488"/>
      <c r="O47" s="2488"/>
      <c r="P47" s="2488"/>
      <c r="Q47" s="2488"/>
      <c r="R47" s="2479" t="str">
        <f t="shared" si="0"/>
        <v>CLOVER, UT, NEBO, UT, Wood - SP, 397.5 ACSR 26/7</v>
      </c>
    </row>
    <row r="48" spans="1:18" ht="15" customHeight="1" x14ac:dyDescent="0.2">
      <c r="A48" s="3003">
        <f t="shared" si="1"/>
        <v>34.167999999999608</v>
      </c>
      <c r="B48" s="2512" t="s">
        <v>10776</v>
      </c>
      <c r="C48" s="2512" t="s">
        <v>10777</v>
      </c>
      <c r="D48" s="3041">
        <v>138</v>
      </c>
      <c r="E48" s="3041">
        <v>138</v>
      </c>
      <c r="F48" s="2512" t="s">
        <v>10564</v>
      </c>
      <c r="G48" s="3041">
        <v>2</v>
      </c>
      <c r="H48" s="2488"/>
      <c r="I48" s="2752">
        <v>1</v>
      </c>
      <c r="J48" s="2512" t="s">
        <v>10705</v>
      </c>
      <c r="K48" s="2614"/>
      <c r="L48" s="2614"/>
      <c r="M48" s="2614"/>
      <c r="N48" s="2488"/>
      <c r="O48" s="2488"/>
      <c r="P48" s="2488"/>
      <c r="Q48" s="2488"/>
      <c r="R48" s="2479" t="str">
        <f t="shared" si="0"/>
        <v>COLUMBIA, UT, SUNNYSIDE, UT, Wood - H, 397.5 ACSR 26/7</v>
      </c>
    </row>
    <row r="49" spans="1:18" ht="15" customHeight="1" x14ac:dyDescent="0.2">
      <c r="A49" s="3003">
        <f t="shared" si="1"/>
        <v>34.168999999999606</v>
      </c>
      <c r="B49" s="2512" t="s">
        <v>10778</v>
      </c>
      <c r="C49" s="2512" t="s">
        <v>10779</v>
      </c>
      <c r="D49" s="3041">
        <v>138</v>
      </c>
      <c r="E49" s="3041">
        <v>138</v>
      </c>
      <c r="F49" s="2512" t="s">
        <v>10711</v>
      </c>
      <c r="G49" s="3041">
        <v>5</v>
      </c>
      <c r="H49" s="2488"/>
      <c r="I49" s="2752">
        <v>1</v>
      </c>
      <c r="J49" s="2512" t="s">
        <v>10727</v>
      </c>
      <c r="K49" s="2614"/>
      <c r="L49" s="2614"/>
      <c r="M49" s="2614"/>
      <c r="N49" s="2488"/>
      <c r="O49" s="2488"/>
      <c r="P49" s="2488"/>
      <c r="Q49" s="2488"/>
      <c r="R49" s="2479" t="str">
        <f t="shared" si="0"/>
        <v>COTTONWOOD, UT, HAMMER, UT, Wood - SP, 795 AAC /37</v>
      </c>
    </row>
    <row r="50" spans="1:18" ht="15" customHeight="1" x14ac:dyDescent="0.2">
      <c r="A50" s="3003">
        <f t="shared" si="1"/>
        <v>34.169999999999604</v>
      </c>
      <c r="B50" s="2512" t="s">
        <v>10778</v>
      </c>
      <c r="C50" s="2512" t="s">
        <v>10780</v>
      </c>
      <c r="D50" s="3041">
        <v>138</v>
      </c>
      <c r="E50" s="3041">
        <v>138</v>
      </c>
      <c r="F50" s="2512" t="s">
        <v>10548</v>
      </c>
      <c r="G50" s="3041">
        <v>6</v>
      </c>
      <c r="H50" s="2488"/>
      <c r="I50" s="2752">
        <v>1</v>
      </c>
      <c r="J50" s="2512" t="s">
        <v>10727</v>
      </c>
      <c r="K50" s="2614"/>
      <c r="L50" s="2614"/>
      <c r="M50" s="2614"/>
      <c r="N50" s="2488"/>
      <c r="O50" s="2488"/>
      <c r="P50" s="2488"/>
      <c r="Q50" s="2488"/>
      <c r="R50" s="2479" t="str">
        <f t="shared" si="0"/>
        <v>COTTONWOOD, UT, MCCLELLAND, UT, Steel - SP, 795 AAC /37</v>
      </c>
    </row>
    <row r="51" spans="1:18" ht="15" customHeight="1" x14ac:dyDescent="0.2">
      <c r="A51" s="3003">
        <f t="shared" si="1"/>
        <v>34.170999999999601</v>
      </c>
      <c r="B51" s="2512" t="s">
        <v>10778</v>
      </c>
      <c r="C51" s="2512" t="s">
        <v>10781</v>
      </c>
      <c r="D51" s="3041">
        <v>138</v>
      </c>
      <c r="E51" s="3041">
        <v>138</v>
      </c>
      <c r="F51" s="2512" t="s">
        <v>10711</v>
      </c>
      <c r="G51" s="3041">
        <v>30</v>
      </c>
      <c r="H51" s="2488"/>
      <c r="I51" s="2752">
        <v>1</v>
      </c>
      <c r="J51" s="2512" t="s">
        <v>10705</v>
      </c>
      <c r="K51" s="2614"/>
      <c r="L51" s="2614"/>
      <c r="M51" s="2614"/>
      <c r="N51" s="2488"/>
      <c r="O51" s="2488"/>
      <c r="P51" s="2488"/>
      <c r="Q51" s="2488"/>
      <c r="R51" s="2479" t="str">
        <f t="shared" si="0"/>
        <v>COTTONWOOD, UT, SILVER CREEK, UT, Wood - SP, 397.5 ACSR 26/7</v>
      </c>
    </row>
    <row r="52" spans="1:18" ht="15" customHeight="1" x14ac:dyDescent="0.2">
      <c r="A52" s="3003">
        <f t="shared" si="1"/>
        <v>34.171999999999599</v>
      </c>
      <c r="B52" s="2512" t="s">
        <v>10782</v>
      </c>
      <c r="C52" s="2512" t="s">
        <v>10753</v>
      </c>
      <c r="D52" s="3041">
        <v>138</v>
      </c>
      <c r="E52" s="3041">
        <v>138</v>
      </c>
      <c r="F52" s="2512" t="s">
        <v>10711</v>
      </c>
      <c r="G52" s="3041">
        <v>1</v>
      </c>
      <c r="H52" s="2488"/>
      <c r="I52" s="2752">
        <v>1</v>
      </c>
      <c r="J52" s="2512" t="s">
        <v>10705</v>
      </c>
      <c r="K52" s="2614"/>
      <c r="L52" s="2614"/>
      <c r="M52" s="2614"/>
      <c r="N52" s="2488"/>
      <c r="O52" s="2488"/>
      <c r="P52" s="2488"/>
      <c r="Q52" s="2488"/>
      <c r="R52" s="2479" t="str">
        <f t="shared" si="0"/>
        <v>CUTLER, UT, WHEELON, UT, Wood - SP, 397.5 ACSR 26/7</v>
      </c>
    </row>
    <row r="53" spans="1:18" ht="15" customHeight="1" x14ac:dyDescent="0.2">
      <c r="A53" s="3003">
        <f t="shared" si="1"/>
        <v>34.172999999999597</v>
      </c>
      <c r="B53" s="2512" t="s">
        <v>10783</v>
      </c>
      <c r="C53" s="2512" t="s">
        <v>10784</v>
      </c>
      <c r="D53" s="3041">
        <v>138</v>
      </c>
      <c r="E53" s="3041">
        <v>138</v>
      </c>
      <c r="F53" s="2512" t="s">
        <v>10711</v>
      </c>
      <c r="G53" s="3041">
        <v>4</v>
      </c>
      <c r="H53" s="2488"/>
      <c r="I53" s="2752">
        <v>1</v>
      </c>
      <c r="J53" s="2512" t="s">
        <v>10552</v>
      </c>
      <c r="K53" s="2614"/>
      <c r="L53" s="2614"/>
      <c r="M53" s="2614"/>
      <c r="N53" s="2488"/>
      <c r="O53" s="2488"/>
      <c r="P53" s="2488"/>
      <c r="Q53" s="2488"/>
      <c r="R53" s="2479" t="str">
        <f t="shared" si="0"/>
        <v>DANIEL, UT, MIDWAY, UT, Wood - SP, 1272 ACSR 45/7</v>
      </c>
    </row>
    <row r="54" spans="1:18" ht="15" customHeight="1" x14ac:dyDescent="0.2">
      <c r="A54" s="3003">
        <f t="shared" si="1"/>
        <v>34.173999999999594</v>
      </c>
      <c r="B54" s="2512" t="s">
        <v>10785</v>
      </c>
      <c r="C54" s="2512" t="s">
        <v>10589</v>
      </c>
      <c r="D54" s="3041">
        <v>138</v>
      </c>
      <c r="E54" s="3041">
        <v>138</v>
      </c>
      <c r="F54" s="2512" t="s">
        <v>10548</v>
      </c>
      <c r="G54" s="3041">
        <v>5</v>
      </c>
      <c r="H54" s="2488"/>
      <c r="I54" s="2752">
        <v>1</v>
      </c>
      <c r="J54" s="2512" t="s">
        <v>10552</v>
      </c>
      <c r="K54" s="2614"/>
      <c r="L54" s="2614"/>
      <c r="M54" s="2614"/>
      <c r="N54" s="2488"/>
      <c r="O54" s="2488"/>
      <c r="P54" s="2488"/>
      <c r="Q54" s="2488"/>
      <c r="R54" s="2479" t="str">
        <f t="shared" si="0"/>
        <v>DRY CREEK, UT, SPANISH FORK, UT, Steel - SP, 1272 ACSR 45/7</v>
      </c>
    </row>
    <row r="55" spans="1:18" ht="15" customHeight="1" x14ac:dyDescent="0.2">
      <c r="A55" s="3003">
        <f t="shared" si="1"/>
        <v>34.174999999999592</v>
      </c>
      <c r="B55" s="2512" t="s">
        <v>10786</v>
      </c>
      <c r="C55" s="2512" t="s">
        <v>10787</v>
      </c>
      <c r="D55" s="3041">
        <v>138</v>
      </c>
      <c r="E55" s="3041">
        <v>138</v>
      </c>
      <c r="F55" s="2512" t="s">
        <v>10711</v>
      </c>
      <c r="G55" s="3041">
        <v>19</v>
      </c>
      <c r="H55" s="2488"/>
      <c r="I55" s="2752">
        <v>1</v>
      </c>
      <c r="J55" s="2512" t="s">
        <v>10552</v>
      </c>
      <c r="K55" s="2614"/>
      <c r="L55" s="2614"/>
      <c r="M55" s="2614"/>
      <c r="N55" s="2488"/>
      <c r="O55" s="2488"/>
      <c r="P55" s="2488"/>
      <c r="Q55" s="2488"/>
      <c r="R55" s="2479" t="str">
        <f t="shared" si="0"/>
        <v>DUMAS, UT, WESTFIELD, UT, Wood - SP, 1272 ACSR 45/7</v>
      </c>
    </row>
    <row r="56" spans="1:18" ht="15" customHeight="1" x14ac:dyDescent="0.2">
      <c r="A56" s="3003">
        <f t="shared" si="1"/>
        <v>34.17599999999959</v>
      </c>
      <c r="B56" s="2512" t="s">
        <v>10788</v>
      </c>
      <c r="C56" s="2512" t="s">
        <v>10789</v>
      </c>
      <c r="D56" s="3041">
        <v>138</v>
      </c>
      <c r="E56" s="3041">
        <v>138</v>
      </c>
      <c r="F56" s="2512" t="s">
        <v>10548</v>
      </c>
      <c r="G56" s="3041">
        <v>2</v>
      </c>
      <c r="H56" s="2488"/>
      <c r="I56" s="2752">
        <v>1</v>
      </c>
      <c r="J56" s="2512" t="s">
        <v>10518</v>
      </c>
      <c r="K56" s="2614"/>
      <c r="L56" s="2614"/>
      <c r="M56" s="2614"/>
      <c r="N56" s="2488"/>
      <c r="O56" s="2488"/>
      <c r="P56" s="2488"/>
      <c r="Q56" s="2488"/>
      <c r="R56" s="2479" t="str">
        <f t="shared" si="0"/>
        <v>DYNAMO, UT, TRI-CITY #1, UT, Steel - SP, 795 ACSR 26/7</v>
      </c>
    </row>
    <row r="57" spans="1:18" ht="15" customHeight="1" x14ac:dyDescent="0.2">
      <c r="A57" s="3003">
        <f t="shared" si="1"/>
        <v>34.176999999999587</v>
      </c>
      <c r="B57" s="2512" t="s">
        <v>10788</v>
      </c>
      <c r="C57" s="2512" t="s">
        <v>10790</v>
      </c>
      <c r="D57" s="3041">
        <v>138</v>
      </c>
      <c r="E57" s="3041">
        <v>138</v>
      </c>
      <c r="F57" s="2512" t="s">
        <v>10548</v>
      </c>
      <c r="G57" s="2614"/>
      <c r="H57" s="2750">
        <v>3</v>
      </c>
      <c r="I57" s="2752">
        <v>1</v>
      </c>
      <c r="J57" s="2512" t="s">
        <v>10518</v>
      </c>
      <c r="K57" s="2614"/>
      <c r="L57" s="2614"/>
      <c r="M57" s="2614"/>
      <c r="N57" s="2488"/>
      <c r="O57" s="2488"/>
      <c r="P57" s="2488"/>
      <c r="Q57" s="2488"/>
      <c r="R57" s="2479" t="str">
        <f t="shared" si="0"/>
        <v>DYNAMO, UT, TRI-CITY #2, UT, Steel - SP, 795 ACSR 26/7</v>
      </c>
    </row>
    <row r="58" spans="1:18" ht="15" customHeight="1" x14ac:dyDescent="0.2">
      <c r="A58" s="3003">
        <f t="shared" si="1"/>
        <v>34.177999999999585</v>
      </c>
      <c r="B58" s="2512" t="s">
        <v>10791</v>
      </c>
      <c r="C58" s="2512" t="s">
        <v>10792</v>
      </c>
      <c r="D58" s="3041">
        <v>138</v>
      </c>
      <c r="E58" s="3041">
        <v>138</v>
      </c>
      <c r="F58" s="2512" t="s">
        <v>10711</v>
      </c>
      <c r="G58" s="3041">
        <v>10</v>
      </c>
      <c r="H58" s="2488"/>
      <c r="I58" s="2752">
        <v>1</v>
      </c>
      <c r="J58" s="2512" t="s">
        <v>10518</v>
      </c>
      <c r="K58" s="2614"/>
      <c r="L58" s="2614"/>
      <c r="M58" s="2614"/>
      <c r="N58" s="2488"/>
      <c r="O58" s="2488"/>
      <c r="P58" s="2488"/>
      <c r="Q58" s="2488"/>
      <c r="R58" s="2479" t="str">
        <f t="shared" si="0"/>
        <v>EAGLE MOUNTAIN, UT, PONY EXPRESS, UT, Wood - SP, 795 ACSR 26/7</v>
      </c>
    </row>
    <row r="59" spans="1:18" ht="15" customHeight="1" x14ac:dyDescent="0.2">
      <c r="A59" s="3003">
        <f t="shared" si="1"/>
        <v>34.178999999999583</v>
      </c>
      <c r="B59" s="2512" t="s">
        <v>10793</v>
      </c>
      <c r="C59" s="2512" t="s">
        <v>10794</v>
      </c>
      <c r="D59" s="3041">
        <v>138</v>
      </c>
      <c r="E59" s="3041">
        <v>138</v>
      </c>
      <c r="F59" s="2512" t="s">
        <v>10548</v>
      </c>
      <c r="G59" s="3041">
        <v>15</v>
      </c>
      <c r="H59" s="2488"/>
      <c r="I59" s="2752">
        <v>1</v>
      </c>
      <c r="J59" s="2512" t="s">
        <v>10518</v>
      </c>
      <c r="K59" s="2614"/>
      <c r="L59" s="2614"/>
      <c r="M59" s="2614"/>
      <c r="N59" s="2488"/>
      <c r="O59" s="2488"/>
      <c r="P59" s="2488"/>
      <c r="Q59" s="2488"/>
      <c r="R59" s="2479" t="str">
        <f t="shared" si="0"/>
        <v>EAST LAYTON, UT, 105 TAP, UT, Steel - SP, 795 ACSR 26/7</v>
      </c>
    </row>
    <row r="60" spans="1:18" ht="15" customHeight="1" x14ac:dyDescent="0.2">
      <c r="A60" s="3003">
        <f t="shared" si="1"/>
        <v>34.17999999999958</v>
      </c>
      <c r="B60" s="2512" t="s">
        <v>10795</v>
      </c>
      <c r="C60" s="2512" t="s">
        <v>10572</v>
      </c>
      <c r="D60" s="3041">
        <v>138</v>
      </c>
      <c r="E60" s="3041">
        <v>138</v>
      </c>
      <c r="F60" s="2512" t="s">
        <v>10711</v>
      </c>
      <c r="G60" s="3041">
        <v>1</v>
      </c>
      <c r="H60" s="2488"/>
      <c r="I60" s="2752">
        <v>1</v>
      </c>
      <c r="J60" s="2512" t="s">
        <v>10518</v>
      </c>
      <c r="K60" s="2614"/>
      <c r="L60" s="2614"/>
      <c r="M60" s="2614"/>
      <c r="N60" s="2488"/>
      <c r="O60" s="2488"/>
      <c r="P60" s="2488"/>
      <c r="Q60" s="2488"/>
      <c r="R60" s="2479" t="str">
        <f t="shared" si="0"/>
        <v>EBAY TAP, UT, OQUIRRH, UT, Wood - SP, 795 ACSR 26/7</v>
      </c>
    </row>
    <row r="61" spans="1:18" ht="15" customHeight="1" x14ac:dyDescent="0.2">
      <c r="A61" s="3003">
        <f t="shared" si="1"/>
        <v>34.180999999999578</v>
      </c>
      <c r="B61" s="2512" t="s">
        <v>10747</v>
      </c>
      <c r="C61" s="2512" t="s">
        <v>10796</v>
      </c>
      <c r="D61" s="3041">
        <v>138</v>
      </c>
      <c r="E61" s="3041">
        <v>138</v>
      </c>
      <c r="F61" s="2512" t="s">
        <v>10548</v>
      </c>
      <c r="G61" s="3041">
        <v>1</v>
      </c>
      <c r="H61" s="2488"/>
      <c r="I61" s="2752">
        <v>1</v>
      </c>
      <c r="J61" s="2512" t="s">
        <v>10552</v>
      </c>
      <c r="K61" s="2614"/>
      <c r="L61" s="2614"/>
      <c r="M61" s="2614"/>
      <c r="N61" s="2488"/>
      <c r="O61" s="2488"/>
      <c r="P61" s="2488"/>
      <c r="Q61" s="2488"/>
      <c r="R61" s="2479" t="str">
        <f t="shared" si="0"/>
        <v>EL MONTE, UT, PIONEER, UT, Steel - SP, 1272 ACSR 45/7</v>
      </c>
    </row>
    <row r="62" spans="1:18" ht="15" customHeight="1" x14ac:dyDescent="0.2">
      <c r="A62" s="3003">
        <f t="shared" si="1"/>
        <v>34.181999999999576</v>
      </c>
      <c r="B62" s="2512" t="s">
        <v>10747</v>
      </c>
      <c r="C62" s="2512" t="s">
        <v>10797</v>
      </c>
      <c r="D62" s="3041">
        <v>138</v>
      </c>
      <c r="E62" s="3041">
        <v>138</v>
      </c>
      <c r="F62" s="2512" t="s">
        <v>10548</v>
      </c>
      <c r="G62" s="3041">
        <v>9</v>
      </c>
      <c r="H62" s="2488"/>
      <c r="I62" s="2752">
        <v>1</v>
      </c>
      <c r="J62" s="2512" t="s">
        <v>10552</v>
      </c>
      <c r="K62" s="2614"/>
      <c r="L62" s="2614"/>
      <c r="M62" s="2614"/>
      <c r="N62" s="2488"/>
      <c r="O62" s="2488"/>
      <c r="P62" s="2488"/>
      <c r="Q62" s="2488"/>
      <c r="R62" s="2479" t="str">
        <f t="shared" si="0"/>
        <v>EL MONTE, UT, STR30B, UT, Steel - SP, 1272 ACSR 45/7</v>
      </c>
    </row>
    <row r="63" spans="1:18" ht="15" customHeight="1" x14ac:dyDescent="0.2">
      <c r="A63" s="3003">
        <f t="shared" si="1"/>
        <v>34.182999999999574</v>
      </c>
      <c r="B63" s="2512" t="s">
        <v>10576</v>
      </c>
      <c r="C63" s="2512" t="s">
        <v>10798</v>
      </c>
      <c r="D63" s="3041">
        <v>138</v>
      </c>
      <c r="E63" s="3041">
        <v>138</v>
      </c>
      <c r="F63" s="2512" t="s">
        <v>10711</v>
      </c>
      <c r="G63" s="2614"/>
      <c r="H63" s="2750">
        <v>4</v>
      </c>
      <c r="I63" s="2752">
        <v>2</v>
      </c>
      <c r="J63" s="2512" t="s">
        <v>10705</v>
      </c>
      <c r="K63" s="2614"/>
      <c r="L63" s="2614"/>
      <c r="M63" s="2614"/>
      <c r="N63" s="2488"/>
      <c r="O63" s="2488"/>
      <c r="P63" s="2488"/>
      <c r="Q63" s="2488"/>
      <c r="R63" s="2479" t="str">
        <f t="shared" si="0"/>
        <v>EMERY, UT, CLAWSON, UT, Wood - SP, 397.5 ACSR 26/7</v>
      </c>
    </row>
    <row r="64" spans="1:18" ht="15" customHeight="1" x14ac:dyDescent="0.2">
      <c r="A64" s="3003">
        <f t="shared" si="1"/>
        <v>34.183999999999571</v>
      </c>
      <c r="B64" s="2512" t="s">
        <v>10736</v>
      </c>
      <c r="C64" s="2512" t="s">
        <v>10799</v>
      </c>
      <c r="D64" s="3041">
        <v>138</v>
      </c>
      <c r="E64" s="3041">
        <v>138</v>
      </c>
      <c r="F64" s="2512" t="s">
        <v>10711</v>
      </c>
      <c r="G64" s="3041">
        <v>3</v>
      </c>
      <c r="H64" s="2488"/>
      <c r="I64" s="2752">
        <v>1</v>
      </c>
      <c r="J64" s="2512" t="s">
        <v>10582</v>
      </c>
      <c r="K64" s="2614"/>
      <c r="L64" s="2614"/>
      <c r="M64" s="2614"/>
      <c r="N64" s="2488"/>
      <c r="O64" s="2488"/>
      <c r="P64" s="2488"/>
      <c r="Q64" s="2488"/>
      <c r="R64" s="2479" t="str">
        <f t="shared" si="0"/>
        <v>EVANSTON, WY, RAILROAD, UT, Wood - SP, 795 ACSR 45/7</v>
      </c>
    </row>
    <row r="65" spans="1:18" ht="15" customHeight="1" x14ac:dyDescent="0.2">
      <c r="A65" s="3003">
        <f t="shared" si="1"/>
        <v>34.184999999999569</v>
      </c>
      <c r="B65" s="2512" t="s">
        <v>10800</v>
      </c>
      <c r="C65" s="2512" t="s">
        <v>10780</v>
      </c>
      <c r="D65" s="3041">
        <v>138</v>
      </c>
      <c r="E65" s="3041">
        <v>138</v>
      </c>
      <c r="F65" s="2512" t="s">
        <v>10711</v>
      </c>
      <c r="G65" s="3041">
        <v>3</v>
      </c>
      <c r="H65" s="2488"/>
      <c r="I65" s="2752">
        <v>1</v>
      </c>
      <c r="J65" s="2512" t="s">
        <v>10549</v>
      </c>
      <c r="K65" s="2614"/>
      <c r="L65" s="2614"/>
      <c r="M65" s="2614"/>
      <c r="N65" s="2488"/>
      <c r="O65" s="2488"/>
      <c r="P65" s="2488"/>
      <c r="Q65" s="2488"/>
      <c r="R65" s="2479" t="str">
        <f t="shared" si="0"/>
        <v>FORT DOUGLAS, UT, MCCLELLAND, UT, Wood - SP, 1557.4 ACSR/TW 36/7</v>
      </c>
    </row>
    <row r="66" spans="1:18" ht="15" customHeight="1" x14ac:dyDescent="0.2">
      <c r="A66" s="3003">
        <f t="shared" si="1"/>
        <v>34.185999999999567</v>
      </c>
      <c r="B66" s="2512" t="s">
        <v>10801</v>
      </c>
      <c r="C66" s="2512" t="s">
        <v>10757</v>
      </c>
      <c r="D66" s="3041">
        <v>138</v>
      </c>
      <c r="E66" s="3041">
        <v>138</v>
      </c>
      <c r="F66" s="2512" t="s">
        <v>10711</v>
      </c>
      <c r="G66" s="3041">
        <v>25</v>
      </c>
      <c r="H66" s="2488"/>
      <c r="I66" s="2752">
        <v>1</v>
      </c>
      <c r="J66" s="2512" t="s">
        <v>10705</v>
      </c>
      <c r="K66" s="2614"/>
      <c r="L66" s="2614"/>
      <c r="M66" s="2614"/>
      <c r="N66" s="2488"/>
      <c r="O66" s="2488"/>
      <c r="P66" s="2488"/>
      <c r="Q66" s="2488"/>
      <c r="R66" s="2479" t="str">
        <f t="shared" si="0"/>
        <v>FRANKLIN, ID, GREEN CANYON, UT, Wood - SP, 397.5 ACSR 26/7</v>
      </c>
    </row>
    <row r="67" spans="1:18" ht="15" customHeight="1" x14ac:dyDescent="0.2">
      <c r="A67" s="3003">
        <f t="shared" si="1"/>
        <v>34.186999999999564</v>
      </c>
      <c r="B67" s="2512" t="s">
        <v>10801</v>
      </c>
      <c r="C67" s="2512" t="s">
        <v>10668</v>
      </c>
      <c r="D67" s="3041">
        <v>138</v>
      </c>
      <c r="E67" s="3041">
        <v>138</v>
      </c>
      <c r="F67" s="2512" t="s">
        <v>10711</v>
      </c>
      <c r="G67" s="3041">
        <v>10</v>
      </c>
      <c r="H67" s="2488"/>
      <c r="I67" s="2752">
        <v>1</v>
      </c>
      <c r="J67" s="2512" t="s">
        <v>10582</v>
      </c>
      <c r="K67" s="2614"/>
      <c r="L67" s="2614"/>
      <c r="M67" s="2614"/>
      <c r="N67" s="2488"/>
      <c r="O67" s="2488"/>
      <c r="P67" s="2488"/>
      <c r="Q67" s="2488"/>
      <c r="R67" s="2479" t="str">
        <f t="shared" si="0"/>
        <v>FRANKLIN, ID, TREASURETON, ID, Wood - SP, 795 ACSR 45/7</v>
      </c>
    </row>
    <row r="68" spans="1:18" ht="15" customHeight="1" x14ac:dyDescent="0.2">
      <c r="A68" s="3003">
        <f t="shared" si="1"/>
        <v>34.187999999999562</v>
      </c>
      <c r="B68" s="2512" t="s">
        <v>10802</v>
      </c>
      <c r="C68" s="2512" t="s">
        <v>10803</v>
      </c>
      <c r="D68" s="3041">
        <v>138</v>
      </c>
      <c r="E68" s="3041">
        <v>138</v>
      </c>
      <c r="F68" s="2512" t="s">
        <v>10711</v>
      </c>
      <c r="G68" s="3041">
        <v>1</v>
      </c>
      <c r="H68" s="2488"/>
      <c r="I68" s="2752">
        <v>1</v>
      </c>
      <c r="J68" s="2512" t="s">
        <v>10804</v>
      </c>
      <c r="K68" s="2614"/>
      <c r="L68" s="2614"/>
      <c r="M68" s="2614"/>
      <c r="N68" s="2488"/>
      <c r="O68" s="2488"/>
      <c r="P68" s="2488"/>
      <c r="Q68" s="2488"/>
      <c r="R68" s="2479" t="str">
        <f t="shared" si="0"/>
        <v>GADSBY, UT, JORDAN, UT, Wood - SP, 1272 AAC /61</v>
      </c>
    </row>
    <row r="69" spans="1:18" ht="15" customHeight="1" x14ac:dyDescent="0.2">
      <c r="A69" s="3003">
        <f t="shared" si="1"/>
        <v>34.18899999999956</v>
      </c>
      <c r="B69" s="2512" t="s">
        <v>10802</v>
      </c>
      <c r="C69" s="2512" t="s">
        <v>10553</v>
      </c>
      <c r="D69" s="3041">
        <v>138</v>
      </c>
      <c r="E69" s="3041">
        <v>138</v>
      </c>
      <c r="F69" s="2512" t="s">
        <v>10711</v>
      </c>
      <c r="G69" s="3041">
        <v>6</v>
      </c>
      <c r="H69" s="2488"/>
      <c r="I69" s="2752">
        <v>1</v>
      </c>
      <c r="J69" s="2512" t="s">
        <v>10552</v>
      </c>
      <c r="K69" s="2614"/>
      <c r="L69" s="2614"/>
      <c r="M69" s="2614"/>
      <c r="N69" s="2488"/>
      <c r="O69" s="2488"/>
      <c r="P69" s="2488"/>
      <c r="Q69" s="2488"/>
      <c r="R69" s="2479" t="str">
        <f t="shared" si="0"/>
        <v>GADSBY, UT, TERMINAL, UT, Wood - SP, 1272 ACSR 45/7</v>
      </c>
    </row>
    <row r="70" spans="1:18" ht="15" customHeight="1" x14ac:dyDescent="0.2">
      <c r="A70" s="3003">
        <f t="shared" si="1"/>
        <v>34.189999999999557</v>
      </c>
      <c r="B70" s="2512" t="s">
        <v>10802</v>
      </c>
      <c r="C70" s="2512" t="s">
        <v>10805</v>
      </c>
      <c r="D70" s="3041">
        <v>138</v>
      </c>
      <c r="E70" s="3041">
        <v>138</v>
      </c>
      <c r="F70" s="2512" t="s">
        <v>10711</v>
      </c>
      <c r="G70" s="3041">
        <v>2</v>
      </c>
      <c r="H70" s="2488"/>
      <c r="I70" s="2752">
        <v>1</v>
      </c>
      <c r="J70" s="2512" t="s">
        <v>10804</v>
      </c>
      <c r="K70" s="2614"/>
      <c r="L70" s="2614"/>
      <c r="M70" s="2614"/>
      <c r="N70" s="2488"/>
      <c r="O70" s="2488"/>
      <c r="P70" s="2488"/>
      <c r="Q70" s="2488"/>
      <c r="R70" s="2479" t="str">
        <f t="shared" si="0"/>
        <v>GADSBY, UT, THIRD WEST, UT, Wood - SP, 1272 AAC /61</v>
      </c>
    </row>
    <row r="71" spans="1:18" ht="15" customHeight="1" x14ac:dyDescent="0.2">
      <c r="A71" s="3003">
        <f t="shared" si="1"/>
        <v>34.190999999999555</v>
      </c>
      <c r="B71" s="2512" t="s">
        <v>10806</v>
      </c>
      <c r="C71" s="2512" t="s">
        <v>10807</v>
      </c>
      <c r="D71" s="3041">
        <v>138</v>
      </c>
      <c r="E71" s="3041">
        <v>138</v>
      </c>
      <c r="F71" s="2512" t="s">
        <v>10711</v>
      </c>
      <c r="G71" s="3041">
        <v>1</v>
      </c>
      <c r="H71" s="2488"/>
      <c r="I71" s="2752">
        <v>1</v>
      </c>
      <c r="J71" s="2512" t="s">
        <v>10705</v>
      </c>
      <c r="K71" s="2614"/>
      <c r="L71" s="2614"/>
      <c r="M71" s="2614"/>
      <c r="N71" s="2488"/>
      <c r="O71" s="2488"/>
      <c r="P71" s="2488"/>
      <c r="Q71" s="2488"/>
      <c r="R71" s="2479" t="str">
        <f t="shared" si="0"/>
        <v>GRAPHITE, UT, MOUNTAIN VIEW, UT, Wood - SP, 397.5 ACSR 26/7</v>
      </c>
    </row>
    <row r="72" spans="1:18" ht="15" customHeight="1" x14ac:dyDescent="0.2">
      <c r="A72" s="3003">
        <f t="shared" si="1"/>
        <v>34.191999999999553</v>
      </c>
      <c r="B72" s="2512" t="s">
        <v>10757</v>
      </c>
      <c r="C72" s="2512" t="s">
        <v>10808</v>
      </c>
      <c r="D72" s="3041">
        <v>138</v>
      </c>
      <c r="E72" s="3041">
        <v>138</v>
      </c>
      <c r="F72" s="2512" t="s">
        <v>10711</v>
      </c>
      <c r="G72" s="3041">
        <v>7</v>
      </c>
      <c r="H72" s="2488"/>
      <c r="I72" s="2752">
        <v>1</v>
      </c>
      <c r="J72" s="2512" t="s">
        <v>10552</v>
      </c>
      <c r="K72" s="2614"/>
      <c r="L72" s="2614"/>
      <c r="M72" s="2614"/>
      <c r="N72" s="2488"/>
      <c r="O72" s="2488"/>
      <c r="P72" s="2488"/>
      <c r="Q72" s="2488"/>
      <c r="R72" s="2479" t="str">
        <f t="shared" si="0"/>
        <v>GREEN CANYON, UT, NIBLEY, UT, Wood - SP, 1272 ACSR 45/7</v>
      </c>
    </row>
    <row r="73" spans="1:18" ht="15" customHeight="1" x14ac:dyDescent="0.2">
      <c r="A73" s="3003">
        <f t="shared" si="1"/>
        <v>34.19299999999955</v>
      </c>
      <c r="B73" s="2512" t="s">
        <v>10757</v>
      </c>
      <c r="C73" s="2512" t="s">
        <v>10753</v>
      </c>
      <c r="D73" s="3041">
        <v>138</v>
      </c>
      <c r="E73" s="3041">
        <v>138</v>
      </c>
      <c r="F73" s="2512" t="s">
        <v>10711</v>
      </c>
      <c r="G73" s="3041">
        <v>19</v>
      </c>
      <c r="H73" s="2488"/>
      <c r="I73" s="2752">
        <v>1</v>
      </c>
      <c r="J73" s="2512" t="s">
        <v>10705</v>
      </c>
      <c r="K73" s="2614"/>
      <c r="L73" s="2614"/>
      <c r="M73" s="2614"/>
      <c r="N73" s="2488"/>
      <c r="O73" s="2488"/>
      <c r="P73" s="2488"/>
      <c r="Q73" s="2488"/>
      <c r="R73" s="2479" t="str">
        <f t="shared" ref="R73:R136" si="2">CONCATENATE(B73,", ",C73,", ",F73,", ",J73)</f>
        <v>GREEN CANYON, UT, WHEELON, UT, Wood - SP, 397.5 ACSR 26/7</v>
      </c>
    </row>
    <row r="74" spans="1:18" ht="15" customHeight="1" x14ac:dyDescent="0.2">
      <c r="A74" s="3003">
        <f t="shared" ref="A74:A137" si="3">A73+0.001</f>
        <v>34.193999999999548</v>
      </c>
      <c r="B74" s="2512" t="s">
        <v>10809</v>
      </c>
      <c r="C74" s="2512" t="s">
        <v>10572</v>
      </c>
      <c r="D74" s="3041">
        <v>138</v>
      </c>
      <c r="E74" s="3041">
        <v>138</v>
      </c>
      <c r="F74" s="2512" t="s">
        <v>10711</v>
      </c>
      <c r="G74" s="3041">
        <v>7</v>
      </c>
      <c r="H74" s="2488"/>
      <c r="I74" s="2752">
        <v>1</v>
      </c>
      <c r="J74" s="2512" t="s">
        <v>10582</v>
      </c>
      <c r="K74" s="2614"/>
      <c r="L74" s="2614"/>
      <c r="M74" s="2614"/>
      <c r="N74" s="2488"/>
      <c r="O74" s="2488"/>
      <c r="P74" s="2488"/>
      <c r="Q74" s="2488"/>
      <c r="R74" s="2479" t="str">
        <f t="shared" si="2"/>
        <v>GRINDING, UT, OQUIRRH, UT, Wood - SP, 795 ACSR 45/7</v>
      </c>
    </row>
    <row r="75" spans="1:18" ht="15" customHeight="1" x14ac:dyDescent="0.2">
      <c r="A75" s="3003">
        <f t="shared" si="3"/>
        <v>34.194999999999546</v>
      </c>
      <c r="B75" s="2512" t="s">
        <v>10809</v>
      </c>
      <c r="C75" s="2512" t="s">
        <v>10810</v>
      </c>
      <c r="D75" s="3041">
        <v>138</v>
      </c>
      <c r="E75" s="3041">
        <v>138</v>
      </c>
      <c r="F75" s="2512" t="s">
        <v>10711</v>
      </c>
      <c r="G75" s="3041">
        <v>14</v>
      </c>
      <c r="H75" s="2488"/>
      <c r="I75" s="2752">
        <v>1</v>
      </c>
      <c r="J75" s="2512" t="s">
        <v>10582</v>
      </c>
      <c r="K75" s="2614"/>
      <c r="L75" s="2614"/>
      <c r="M75" s="2614"/>
      <c r="N75" s="2488"/>
      <c r="O75" s="2488"/>
      <c r="P75" s="2488"/>
      <c r="Q75" s="2488"/>
      <c r="R75" s="2479" t="str">
        <f t="shared" si="2"/>
        <v>GRINDING, UT, TOOELE, UT, Wood - SP, 795 ACSR 45/7</v>
      </c>
    </row>
    <row r="76" spans="1:18" ht="15" customHeight="1" x14ac:dyDescent="0.2">
      <c r="A76" s="3003">
        <f t="shared" si="3"/>
        <v>34.195999999999543</v>
      </c>
      <c r="B76" s="2512" t="s">
        <v>10811</v>
      </c>
      <c r="C76" s="2512" t="s">
        <v>10784</v>
      </c>
      <c r="D76" s="3041">
        <v>138</v>
      </c>
      <c r="E76" s="3041">
        <v>138</v>
      </c>
      <c r="F76" s="2512" t="s">
        <v>10564</v>
      </c>
      <c r="G76" s="3041">
        <v>19</v>
      </c>
      <c r="H76" s="2488"/>
      <c r="I76" s="2752">
        <v>1</v>
      </c>
      <c r="J76" s="2512" t="s">
        <v>10705</v>
      </c>
      <c r="K76" s="2614"/>
      <c r="L76" s="2614"/>
      <c r="M76" s="2614"/>
      <c r="N76" s="2488"/>
      <c r="O76" s="2488"/>
      <c r="P76" s="2488"/>
      <c r="Q76" s="2488"/>
      <c r="R76" s="2479" t="str">
        <f t="shared" si="2"/>
        <v>HALE, UT, MIDWAY, UT, Wood - H, 397.5 ACSR 26/7</v>
      </c>
    </row>
    <row r="77" spans="1:18" ht="15" customHeight="1" x14ac:dyDescent="0.2">
      <c r="A77" s="3003">
        <f t="shared" si="3"/>
        <v>34.196999999999541</v>
      </c>
      <c r="B77" s="2512" t="s">
        <v>10811</v>
      </c>
      <c r="C77" s="2512" t="s">
        <v>10589</v>
      </c>
      <c r="D77" s="3041">
        <v>138</v>
      </c>
      <c r="E77" s="3041">
        <v>138</v>
      </c>
      <c r="F77" s="2512" t="s">
        <v>10564</v>
      </c>
      <c r="G77" s="3041">
        <v>18</v>
      </c>
      <c r="H77" s="2488"/>
      <c r="I77" s="2752">
        <v>1</v>
      </c>
      <c r="J77" s="2512" t="s">
        <v>10552</v>
      </c>
      <c r="K77" s="2614"/>
      <c r="L77" s="2614"/>
      <c r="M77" s="2614"/>
      <c r="N77" s="2488"/>
      <c r="O77" s="2488"/>
      <c r="P77" s="2488"/>
      <c r="Q77" s="2488"/>
      <c r="R77" s="2479" t="str">
        <f t="shared" si="2"/>
        <v>HALE, UT, SPANISH FORK, UT, Wood - H, 1272 ACSR 45/7</v>
      </c>
    </row>
    <row r="78" spans="1:18" ht="15" customHeight="1" x14ac:dyDescent="0.2">
      <c r="A78" s="3003">
        <f t="shared" si="3"/>
        <v>34.197999999999539</v>
      </c>
      <c r="B78" s="2512" t="s">
        <v>10811</v>
      </c>
      <c r="C78" s="2512" t="s">
        <v>10812</v>
      </c>
      <c r="D78" s="3041">
        <v>138</v>
      </c>
      <c r="E78" s="3041">
        <v>138</v>
      </c>
      <c r="F78" s="2512" t="s">
        <v>10564</v>
      </c>
      <c r="G78" s="3041">
        <v>7</v>
      </c>
      <c r="H78" s="2488"/>
      <c r="I78" s="2752">
        <v>1</v>
      </c>
      <c r="J78" s="2512" t="s">
        <v>10552</v>
      </c>
      <c r="K78" s="2614"/>
      <c r="L78" s="2614"/>
      <c r="M78" s="2614"/>
      <c r="N78" s="2488"/>
      <c r="O78" s="2488"/>
      <c r="P78" s="2488"/>
      <c r="Q78" s="2488"/>
      <c r="R78" s="2479" t="str">
        <f t="shared" si="2"/>
        <v>HALE, UT, TANNER, UT, Wood - H, 1272 ACSR 45/7</v>
      </c>
    </row>
    <row r="79" spans="1:18" ht="15" customHeight="1" x14ac:dyDescent="0.2">
      <c r="A79" s="3003">
        <f t="shared" si="3"/>
        <v>34.198999999999536</v>
      </c>
      <c r="B79" s="2512" t="s">
        <v>10779</v>
      </c>
      <c r="C79" s="2512" t="s">
        <v>10758</v>
      </c>
      <c r="D79" s="3041">
        <v>138</v>
      </c>
      <c r="E79" s="3041">
        <v>138</v>
      </c>
      <c r="F79" s="2512" t="s">
        <v>10711</v>
      </c>
      <c r="G79" s="2614"/>
      <c r="H79" s="2750">
        <v>2</v>
      </c>
      <c r="I79" s="2752">
        <v>1</v>
      </c>
      <c r="J79" s="2512" t="s">
        <v>10518</v>
      </c>
      <c r="K79" s="2614"/>
      <c r="L79" s="2614"/>
      <c r="M79" s="2614"/>
      <c r="N79" s="2488"/>
      <c r="O79" s="2488"/>
      <c r="P79" s="2488"/>
      <c r="Q79" s="2488"/>
      <c r="R79" s="2479" t="str">
        <f t="shared" si="2"/>
        <v>HAMMER, UT, BUTLERVILLE, UT, Wood - SP, 795 ACSR 26/7</v>
      </c>
    </row>
    <row r="80" spans="1:18" ht="15" customHeight="1" x14ac:dyDescent="0.2">
      <c r="A80" s="3003">
        <f t="shared" si="3"/>
        <v>34.199999999999534</v>
      </c>
      <c r="B80" s="2512" t="s">
        <v>10813</v>
      </c>
      <c r="C80" s="2512" t="s">
        <v>10814</v>
      </c>
      <c r="D80" s="3041">
        <v>138</v>
      </c>
      <c r="E80" s="3041">
        <v>138</v>
      </c>
      <c r="F80" s="2512" t="s">
        <v>10711</v>
      </c>
      <c r="G80" s="3041">
        <v>8</v>
      </c>
      <c r="H80" s="2488"/>
      <c r="I80" s="2752">
        <v>1</v>
      </c>
      <c r="J80" s="2512" t="s">
        <v>10552</v>
      </c>
      <c r="K80" s="2614"/>
      <c r="L80" s="2614"/>
      <c r="M80" s="2614"/>
      <c r="N80" s="2488"/>
      <c r="O80" s="2488"/>
      <c r="P80" s="2488"/>
      <c r="Q80" s="2488"/>
      <c r="R80" s="2479" t="str">
        <f t="shared" si="2"/>
        <v>HIGHLAND, UT, BULL RIVER (LEHI #5), UT, Wood - SP, 1272 ACSR 45/7</v>
      </c>
    </row>
    <row r="81" spans="1:18" ht="15" customHeight="1" x14ac:dyDescent="0.2">
      <c r="A81" s="3003">
        <f t="shared" si="3"/>
        <v>34.200999999999532</v>
      </c>
      <c r="B81" s="2512" t="s">
        <v>10749</v>
      </c>
      <c r="C81" s="2512" t="s">
        <v>10815</v>
      </c>
      <c r="D81" s="3041">
        <v>138</v>
      </c>
      <c r="E81" s="3041">
        <v>138</v>
      </c>
      <c r="F81" s="2512" t="s">
        <v>10564</v>
      </c>
      <c r="G81" s="3041">
        <v>25</v>
      </c>
      <c r="H81" s="2488"/>
      <c r="I81" s="2752">
        <v>1</v>
      </c>
      <c r="J81" s="2512" t="s">
        <v>10705</v>
      </c>
      <c r="K81" s="2614"/>
      <c r="L81" s="2614"/>
      <c r="M81" s="2614"/>
      <c r="N81" s="2488"/>
      <c r="O81" s="2488"/>
      <c r="P81" s="2488"/>
      <c r="Q81" s="2488"/>
      <c r="R81" s="2479" t="str">
        <f t="shared" si="2"/>
        <v>HONEYVILLE, UT, LAMPO, UT, Wood - H, 397.5 ACSR 26/7</v>
      </c>
    </row>
    <row r="82" spans="1:18" ht="15" customHeight="1" x14ac:dyDescent="0.2">
      <c r="A82" s="3003">
        <f t="shared" si="3"/>
        <v>34.201999999999529</v>
      </c>
      <c r="B82" s="2512" t="s">
        <v>10749</v>
      </c>
      <c r="C82" s="2512" t="s">
        <v>10753</v>
      </c>
      <c r="D82" s="3041">
        <v>138</v>
      </c>
      <c r="E82" s="3041">
        <v>138</v>
      </c>
      <c r="F82" s="2512" t="s">
        <v>10511</v>
      </c>
      <c r="G82" s="2614"/>
      <c r="H82" s="2750">
        <v>14</v>
      </c>
      <c r="I82" s="2752">
        <v>1</v>
      </c>
      <c r="J82" s="2512" t="s">
        <v>10744</v>
      </c>
      <c r="K82" s="2614"/>
      <c r="L82" s="2614"/>
      <c r="M82" s="2614"/>
      <c r="N82" s="2488"/>
      <c r="O82" s="2488"/>
      <c r="P82" s="2488"/>
      <c r="Q82" s="2488"/>
      <c r="R82" s="2479" t="str">
        <f t="shared" si="2"/>
        <v>HONEYVILLE, UT, WHEELON, UT, Steel Tower, 250 CUHD /12</v>
      </c>
    </row>
    <row r="83" spans="1:18" ht="15" customHeight="1" x14ac:dyDescent="0.2">
      <c r="A83" s="3003">
        <f t="shared" si="3"/>
        <v>34.202999999999527</v>
      </c>
      <c r="B83" s="2512" t="s">
        <v>10577</v>
      </c>
      <c r="C83" s="2512" t="s">
        <v>10816</v>
      </c>
      <c r="D83" s="3041">
        <v>138</v>
      </c>
      <c r="E83" s="3041">
        <v>138</v>
      </c>
      <c r="F83" s="2512" t="s">
        <v>10564</v>
      </c>
      <c r="G83" s="3041">
        <v>7</v>
      </c>
      <c r="H83" s="2488"/>
      <c r="I83" s="2752">
        <v>1</v>
      </c>
      <c r="J83" s="2512" t="s">
        <v>10705</v>
      </c>
      <c r="K83" s="2614"/>
      <c r="L83" s="2614"/>
      <c r="M83" s="2614"/>
      <c r="N83" s="2488"/>
      <c r="O83" s="2488"/>
      <c r="P83" s="2488"/>
      <c r="Q83" s="2488"/>
      <c r="R83" s="2479" t="str">
        <f t="shared" si="2"/>
        <v>HUNTINGTON, UT, MCFADDEN, UT, Wood - H, 397.5 ACSR 26/7</v>
      </c>
    </row>
    <row r="84" spans="1:18" ht="15" customHeight="1" x14ac:dyDescent="0.2">
      <c r="A84" s="3003">
        <f t="shared" si="3"/>
        <v>34.203999999999525</v>
      </c>
      <c r="B84" s="2512" t="s">
        <v>10817</v>
      </c>
      <c r="C84" s="2512" t="s">
        <v>10775</v>
      </c>
      <c r="D84" s="3041">
        <v>138</v>
      </c>
      <c r="E84" s="3041">
        <v>138</v>
      </c>
      <c r="F84" s="2512" t="s">
        <v>10564</v>
      </c>
      <c r="G84" s="3041">
        <v>26</v>
      </c>
      <c r="H84" s="2488"/>
      <c r="I84" s="2752">
        <v>1</v>
      </c>
      <c r="J84" s="2512" t="s">
        <v>10705</v>
      </c>
      <c r="K84" s="2614"/>
      <c r="L84" s="2614"/>
      <c r="M84" s="2614"/>
      <c r="N84" s="2488"/>
      <c r="O84" s="2488"/>
      <c r="P84" s="2488"/>
      <c r="Q84" s="2488"/>
      <c r="R84" s="2479" t="str">
        <f t="shared" si="2"/>
        <v>JERUSALEM, UT, NEBO, UT, Wood - H, 397.5 ACSR 26/7</v>
      </c>
    </row>
    <row r="85" spans="1:18" ht="15" customHeight="1" x14ac:dyDescent="0.2">
      <c r="A85" s="3003">
        <f t="shared" si="3"/>
        <v>34.204999999999522</v>
      </c>
      <c r="B85" s="2512" t="s">
        <v>10803</v>
      </c>
      <c r="C85" s="2512" t="s">
        <v>10780</v>
      </c>
      <c r="D85" s="3041">
        <v>138</v>
      </c>
      <c r="E85" s="3041">
        <v>138</v>
      </c>
      <c r="F85" s="2512" t="s">
        <v>10711</v>
      </c>
      <c r="G85" s="3041">
        <v>5</v>
      </c>
      <c r="H85" s="2488"/>
      <c r="I85" s="2752">
        <v>1</v>
      </c>
      <c r="J85" s="2512" t="s">
        <v>10727</v>
      </c>
      <c r="K85" s="2614"/>
      <c r="L85" s="2614"/>
      <c r="M85" s="2614"/>
      <c r="N85" s="2488"/>
      <c r="O85" s="2488"/>
      <c r="P85" s="2488"/>
      <c r="Q85" s="2488"/>
      <c r="R85" s="2479" t="str">
        <f t="shared" si="2"/>
        <v>JORDAN, UT, MCCLELLAND, UT, Wood - SP, 795 AAC /37</v>
      </c>
    </row>
    <row r="86" spans="1:18" ht="15" customHeight="1" x14ac:dyDescent="0.2">
      <c r="A86" s="3003">
        <f t="shared" si="3"/>
        <v>34.20599999999952</v>
      </c>
      <c r="B86" s="2512" t="s">
        <v>10803</v>
      </c>
      <c r="C86" s="2512" t="s">
        <v>10553</v>
      </c>
      <c r="D86" s="3041">
        <v>138</v>
      </c>
      <c r="E86" s="3041">
        <v>138</v>
      </c>
      <c r="F86" s="2512" t="s">
        <v>10711</v>
      </c>
      <c r="G86" s="3041">
        <v>6</v>
      </c>
      <c r="H86" s="2488"/>
      <c r="I86" s="2752">
        <v>1</v>
      </c>
      <c r="J86" s="2512" t="s">
        <v>10552</v>
      </c>
      <c r="K86" s="2614"/>
      <c r="L86" s="2614"/>
      <c r="M86" s="2614"/>
      <c r="N86" s="2488"/>
      <c r="O86" s="2488"/>
      <c r="P86" s="2488"/>
      <c r="Q86" s="2488"/>
      <c r="R86" s="2479" t="str">
        <f t="shared" si="2"/>
        <v>JORDAN, UT, TERMINAL, UT, Wood - SP, 1272 ACSR 45/7</v>
      </c>
    </row>
    <row r="87" spans="1:18" ht="15" customHeight="1" x14ac:dyDescent="0.2">
      <c r="A87" s="3003">
        <f t="shared" si="3"/>
        <v>34.206999999999518</v>
      </c>
      <c r="B87" s="2512" t="s">
        <v>10803</v>
      </c>
      <c r="C87" s="2512" t="s">
        <v>10805</v>
      </c>
      <c r="D87" s="3041">
        <v>138</v>
      </c>
      <c r="E87" s="3041">
        <v>138</v>
      </c>
      <c r="F87" s="2512" t="s">
        <v>10711</v>
      </c>
      <c r="G87" s="3041">
        <v>4</v>
      </c>
      <c r="H87" s="2488"/>
      <c r="I87" s="2752">
        <v>1</v>
      </c>
      <c r="J87" s="2512" t="s">
        <v>10552</v>
      </c>
      <c r="K87" s="2614"/>
      <c r="L87" s="2614"/>
      <c r="M87" s="2614"/>
      <c r="N87" s="2488"/>
      <c r="O87" s="2488"/>
      <c r="P87" s="2488"/>
      <c r="Q87" s="2488"/>
      <c r="R87" s="2479" t="str">
        <f t="shared" si="2"/>
        <v>JORDAN, UT, THIRD WEST, UT, Wood - SP, 1272 ACSR 45/7</v>
      </c>
    </row>
    <row r="88" spans="1:18" ht="15" customHeight="1" x14ac:dyDescent="0.2">
      <c r="A88" s="3003">
        <f t="shared" si="3"/>
        <v>34.207999999999515</v>
      </c>
      <c r="B88" s="2512" t="s">
        <v>10818</v>
      </c>
      <c r="C88" s="2512" t="s">
        <v>10819</v>
      </c>
      <c r="D88" s="3041">
        <v>138</v>
      </c>
      <c r="E88" s="3041">
        <v>138</v>
      </c>
      <c r="F88" s="2512" t="s">
        <v>10711</v>
      </c>
      <c r="G88" s="3041">
        <v>3</v>
      </c>
      <c r="H88" s="2488"/>
      <c r="I88" s="2752">
        <v>1</v>
      </c>
      <c r="J88" s="2512" t="s">
        <v>10518</v>
      </c>
      <c r="K88" s="2614"/>
      <c r="L88" s="2614"/>
      <c r="M88" s="2614"/>
      <c r="N88" s="2488"/>
      <c r="O88" s="2488"/>
      <c r="P88" s="2488"/>
      <c r="Q88" s="2488"/>
      <c r="R88" s="2479" t="str">
        <f t="shared" si="2"/>
        <v>KEARNS, UT, TAYLORSVILLE, UT, Wood - SP, 795 ACSR 26/7</v>
      </c>
    </row>
    <row r="89" spans="1:18" ht="15" customHeight="1" x14ac:dyDescent="0.2">
      <c r="A89" s="3003">
        <f t="shared" si="3"/>
        <v>34.208999999999513</v>
      </c>
      <c r="B89" s="2512" t="s">
        <v>10818</v>
      </c>
      <c r="C89" s="2512" t="s">
        <v>10820</v>
      </c>
      <c r="D89" s="3041">
        <v>138</v>
      </c>
      <c r="E89" s="3041">
        <v>138</v>
      </c>
      <c r="F89" s="2512" t="s">
        <v>10711</v>
      </c>
      <c r="G89" s="3041">
        <v>2</v>
      </c>
      <c r="H89" s="2488"/>
      <c r="I89" s="2752">
        <v>1</v>
      </c>
      <c r="J89" s="2512" t="s">
        <v>10549</v>
      </c>
      <c r="K89" s="2614"/>
      <c r="L89" s="2614"/>
      <c r="M89" s="2614"/>
      <c r="N89" s="2488"/>
      <c r="O89" s="2488"/>
      <c r="P89" s="2488"/>
      <c r="Q89" s="2488"/>
      <c r="R89" s="2479" t="str">
        <f t="shared" si="2"/>
        <v>KEARNS, UT, WEST VALLEY, UT, Wood - SP, 1557.4 ACSR/TW 36/7</v>
      </c>
    </row>
    <row r="90" spans="1:18" ht="15" customHeight="1" x14ac:dyDescent="0.2">
      <c r="A90" s="3003">
        <f t="shared" si="3"/>
        <v>34.209999999999511</v>
      </c>
      <c r="B90" s="2512" t="s">
        <v>10821</v>
      </c>
      <c r="C90" s="2512" t="s">
        <v>10559</v>
      </c>
      <c r="D90" s="3041">
        <v>138</v>
      </c>
      <c r="E90" s="3041">
        <v>138</v>
      </c>
      <c r="F90" s="2512" t="s">
        <v>10548</v>
      </c>
      <c r="G90" s="2614"/>
      <c r="H90" s="2750">
        <v>8</v>
      </c>
      <c r="I90" s="2752">
        <v>1</v>
      </c>
      <c r="J90" s="2512" t="s">
        <v>10518</v>
      </c>
      <c r="K90" s="2614"/>
      <c r="L90" s="2614"/>
      <c r="M90" s="2614"/>
      <c r="N90" s="2488"/>
      <c r="O90" s="2488"/>
      <c r="P90" s="2488"/>
      <c r="Q90" s="2488"/>
      <c r="R90" s="2479" t="str">
        <f t="shared" si="2"/>
        <v>LONE PEAK, UT, CAMP WILLIAMS, UT, Steel - SP, 795 ACSR 26/7</v>
      </c>
    </row>
    <row r="91" spans="1:18" ht="15" customHeight="1" x14ac:dyDescent="0.2">
      <c r="A91" s="3003">
        <f t="shared" si="3"/>
        <v>34.210999999999508</v>
      </c>
      <c r="B91" s="2512" t="s">
        <v>10780</v>
      </c>
      <c r="C91" s="2512" t="s">
        <v>10822</v>
      </c>
      <c r="D91" s="3041">
        <v>138</v>
      </c>
      <c r="E91" s="3041">
        <v>138</v>
      </c>
      <c r="F91" s="2512" t="s">
        <v>10711</v>
      </c>
      <c r="G91" s="3041">
        <v>6</v>
      </c>
      <c r="H91" s="2488"/>
      <c r="I91" s="2752">
        <v>1</v>
      </c>
      <c r="J91" s="2512" t="s">
        <v>10518</v>
      </c>
      <c r="K91" s="2614"/>
      <c r="L91" s="2614"/>
      <c r="M91" s="2614"/>
      <c r="N91" s="2488"/>
      <c r="O91" s="2488"/>
      <c r="P91" s="2488"/>
      <c r="Q91" s="2488"/>
      <c r="R91" s="2479" t="str">
        <f t="shared" si="2"/>
        <v>MCCLELLAND, UT, MIDVALLEY, UT, Wood - SP, 795 ACSR 26/7</v>
      </c>
    </row>
    <row r="92" spans="1:18" ht="15" customHeight="1" x14ac:dyDescent="0.2">
      <c r="A92" s="3003">
        <f t="shared" si="3"/>
        <v>34.211999999999506</v>
      </c>
      <c r="B92" s="2512" t="s">
        <v>10816</v>
      </c>
      <c r="C92" s="2512" t="s">
        <v>10823</v>
      </c>
      <c r="D92" s="3041">
        <v>138</v>
      </c>
      <c r="E92" s="3041">
        <v>138</v>
      </c>
      <c r="F92" s="2512" t="s">
        <v>10564</v>
      </c>
      <c r="G92" s="3041">
        <v>11</v>
      </c>
      <c r="H92" s="2488"/>
      <c r="I92" s="2752">
        <v>1</v>
      </c>
      <c r="J92" s="2512" t="s">
        <v>10518</v>
      </c>
      <c r="K92" s="2614"/>
      <c r="L92" s="2614"/>
      <c r="M92" s="2614"/>
      <c r="N92" s="2488"/>
      <c r="O92" s="2488"/>
      <c r="P92" s="2488"/>
      <c r="Q92" s="2488"/>
      <c r="R92" s="2479" t="str">
        <f t="shared" si="2"/>
        <v>MCFADDEN, UT, BLACKHAWK, UT, Wood - H, 795 ACSR 26/7</v>
      </c>
    </row>
    <row r="93" spans="1:18" ht="15" customHeight="1" x14ac:dyDescent="0.2">
      <c r="A93" s="3003">
        <f t="shared" si="3"/>
        <v>34.212999999999504</v>
      </c>
      <c r="B93" s="2512" t="s">
        <v>10824</v>
      </c>
      <c r="C93" s="2512" t="s">
        <v>10546</v>
      </c>
      <c r="D93" s="3041">
        <v>138</v>
      </c>
      <c r="E93" s="3041">
        <v>138</v>
      </c>
      <c r="F93" s="2512" t="s">
        <v>10564</v>
      </c>
      <c r="G93" s="3041">
        <v>9</v>
      </c>
      <c r="H93" s="2488"/>
      <c r="I93" s="2752">
        <v>1</v>
      </c>
      <c r="J93" s="2512" t="s">
        <v>10552</v>
      </c>
      <c r="K93" s="2614"/>
      <c r="L93" s="2614"/>
      <c r="M93" s="2614"/>
      <c r="N93" s="2488"/>
      <c r="O93" s="2488"/>
      <c r="P93" s="2488"/>
      <c r="Q93" s="2488"/>
      <c r="R93" s="2479" t="str">
        <f t="shared" si="2"/>
        <v>MID VALLEY, UT, 90TH SOUTH, UT, Wood - H, 1272 ACSR 45/7</v>
      </c>
    </row>
    <row r="94" spans="1:18" ht="15" customHeight="1" x14ac:dyDescent="0.2">
      <c r="A94" s="3003">
        <f t="shared" si="3"/>
        <v>34.213999999999501</v>
      </c>
      <c r="B94" s="2512" t="s">
        <v>10825</v>
      </c>
      <c r="C94" s="2512" t="s">
        <v>10778</v>
      </c>
      <c r="D94" s="3041">
        <v>138</v>
      </c>
      <c r="E94" s="3041">
        <v>138</v>
      </c>
      <c r="F94" s="2512" t="s">
        <v>10711</v>
      </c>
      <c r="G94" s="3041">
        <v>5</v>
      </c>
      <c r="H94" s="2488"/>
      <c r="I94" s="2752">
        <v>1</v>
      </c>
      <c r="J94" s="2512" t="s">
        <v>10549</v>
      </c>
      <c r="K94" s="2614"/>
      <c r="L94" s="2614"/>
      <c r="M94" s="2614"/>
      <c r="N94" s="2488"/>
      <c r="O94" s="2488"/>
      <c r="P94" s="2488"/>
      <c r="Q94" s="2488"/>
      <c r="R94" s="2479" t="str">
        <f t="shared" si="2"/>
        <v>MID VALLEY #2, UT, COTTONWOOD, UT, Wood - SP, 1557.4 ACSR/TW 36/7</v>
      </c>
    </row>
    <row r="95" spans="1:18" ht="15" customHeight="1" x14ac:dyDescent="0.2">
      <c r="A95" s="3003">
        <f t="shared" si="3"/>
        <v>34.214999999999499</v>
      </c>
      <c r="B95" s="2512" t="s">
        <v>10826</v>
      </c>
      <c r="C95" s="2512" t="s">
        <v>10778</v>
      </c>
      <c r="D95" s="3041">
        <v>138</v>
      </c>
      <c r="E95" s="3041">
        <v>138</v>
      </c>
      <c r="F95" s="2512" t="s">
        <v>10711</v>
      </c>
      <c r="G95" s="3041">
        <v>5</v>
      </c>
      <c r="H95" s="2488"/>
      <c r="I95" s="2752">
        <v>1</v>
      </c>
      <c r="J95" s="2512" t="s">
        <v>10549</v>
      </c>
      <c r="K95" s="2614"/>
      <c r="L95" s="2614"/>
      <c r="M95" s="2614"/>
      <c r="N95" s="2488"/>
      <c r="O95" s="2488"/>
      <c r="P95" s="2488"/>
      <c r="Q95" s="2488"/>
      <c r="R95" s="2479" t="str">
        <f t="shared" si="2"/>
        <v>MID VALLEY #1, UT, COTTONWOOD, UT, Wood - SP, 1557.4 ACSR/TW 36/7</v>
      </c>
    </row>
    <row r="96" spans="1:18" ht="15" customHeight="1" x14ac:dyDescent="0.2">
      <c r="A96" s="3003">
        <f t="shared" si="3"/>
        <v>34.215999999999497</v>
      </c>
      <c r="B96" s="2512" t="s">
        <v>10824</v>
      </c>
      <c r="C96" s="2512" t="s">
        <v>10819</v>
      </c>
      <c r="D96" s="3041">
        <v>138</v>
      </c>
      <c r="E96" s="3041">
        <v>138</v>
      </c>
      <c r="F96" s="2512" t="s">
        <v>10711</v>
      </c>
      <c r="G96" s="3041">
        <v>4</v>
      </c>
      <c r="H96" s="2750">
        <v>2</v>
      </c>
      <c r="I96" s="2752">
        <v>1</v>
      </c>
      <c r="J96" s="2512" t="s">
        <v>10804</v>
      </c>
      <c r="K96" s="2614"/>
      <c r="L96" s="2614"/>
      <c r="M96" s="2614"/>
      <c r="N96" s="2488"/>
      <c r="O96" s="2488"/>
      <c r="P96" s="2488"/>
      <c r="Q96" s="2488"/>
      <c r="R96" s="2479" t="str">
        <f t="shared" si="2"/>
        <v>MID VALLEY, UT, TAYLORSVILLE, UT, Wood - SP, 1272 AAC /61</v>
      </c>
    </row>
    <row r="97" spans="1:18" ht="15" customHeight="1" x14ac:dyDescent="0.2">
      <c r="A97" s="3003">
        <f t="shared" si="3"/>
        <v>34.216999999999494</v>
      </c>
      <c r="B97" s="2512" t="s">
        <v>10827</v>
      </c>
      <c r="C97" s="2512" t="s">
        <v>10828</v>
      </c>
      <c r="D97" s="3041">
        <v>138</v>
      </c>
      <c r="E97" s="3041">
        <v>138</v>
      </c>
      <c r="F97" s="2512" t="s">
        <v>10564</v>
      </c>
      <c r="G97" s="3041">
        <v>1</v>
      </c>
      <c r="H97" s="2488"/>
      <c r="I97" s="2752">
        <v>1</v>
      </c>
      <c r="J97" s="2512" t="s">
        <v>10705</v>
      </c>
      <c r="K97" s="2614"/>
      <c r="L97" s="2614"/>
      <c r="M97" s="2614"/>
      <c r="N97" s="2488"/>
      <c r="O97" s="2488"/>
      <c r="P97" s="2488"/>
      <c r="Q97" s="2488"/>
      <c r="R97" s="2479" t="str">
        <f t="shared" si="2"/>
        <v>MIDDLETON, UT, ST. GEORGE, UT, Wood - H, 397.5 ACSR 26/7</v>
      </c>
    </row>
    <row r="98" spans="1:18" ht="15" customHeight="1" x14ac:dyDescent="0.2">
      <c r="A98" s="3003">
        <f t="shared" si="3"/>
        <v>34.217999999999492</v>
      </c>
      <c r="B98" s="2512" t="s">
        <v>10765</v>
      </c>
      <c r="C98" s="2512" t="s">
        <v>10581</v>
      </c>
      <c r="D98" s="3041">
        <v>138</v>
      </c>
      <c r="E98" s="3041">
        <v>138</v>
      </c>
      <c r="F98" s="2512" t="s">
        <v>10564</v>
      </c>
      <c r="G98" s="3041">
        <v>68</v>
      </c>
      <c r="H98" s="2488"/>
      <c r="I98" s="2752">
        <v>1</v>
      </c>
      <c r="J98" s="2512" t="s">
        <v>10705</v>
      </c>
      <c r="K98" s="2614"/>
      <c r="L98" s="2614"/>
      <c r="M98" s="2614"/>
      <c r="N98" s="2488"/>
      <c r="O98" s="2488"/>
      <c r="P98" s="2488"/>
      <c r="Q98" s="2488"/>
      <c r="R98" s="2479" t="str">
        <f t="shared" si="2"/>
        <v>MOAB, UT, PINTO, UT, Wood - H, 397.5 ACSR 26/7</v>
      </c>
    </row>
    <row r="99" spans="1:18" ht="15" customHeight="1" x14ac:dyDescent="0.2">
      <c r="A99" s="3003">
        <f t="shared" si="3"/>
        <v>34.21899999999949</v>
      </c>
      <c r="B99" s="2512" t="s">
        <v>10667</v>
      </c>
      <c r="C99" s="2512" t="s">
        <v>10762</v>
      </c>
      <c r="D99" s="3041">
        <v>138</v>
      </c>
      <c r="E99" s="3041">
        <v>138</v>
      </c>
      <c r="F99" s="2512" t="s">
        <v>10564</v>
      </c>
      <c r="G99" s="3041">
        <v>35</v>
      </c>
      <c r="H99" s="2488"/>
      <c r="I99" s="2752">
        <v>1</v>
      </c>
      <c r="J99" s="2512" t="s">
        <v>10518</v>
      </c>
      <c r="K99" s="2614"/>
      <c r="L99" s="2614"/>
      <c r="M99" s="2614"/>
      <c r="N99" s="2488"/>
      <c r="O99" s="2488"/>
      <c r="P99" s="2488"/>
      <c r="Q99" s="2488"/>
      <c r="R99" s="2479" t="str">
        <f t="shared" si="2"/>
        <v>NAUGHTON, WY, CANYON COMP, WY, Wood - H, 795 ACSR 26/7</v>
      </c>
    </row>
    <row r="100" spans="1:18" ht="15" customHeight="1" x14ac:dyDescent="0.2">
      <c r="A100" s="3003">
        <f t="shared" si="3"/>
        <v>34.219999999999487</v>
      </c>
      <c r="B100" s="2512" t="s">
        <v>10667</v>
      </c>
      <c r="C100" s="2512" t="s">
        <v>10829</v>
      </c>
      <c r="D100" s="3041">
        <v>138</v>
      </c>
      <c r="E100" s="3041">
        <v>138</v>
      </c>
      <c r="F100" s="2512" t="s">
        <v>10564</v>
      </c>
      <c r="G100" s="3041">
        <v>44</v>
      </c>
      <c r="H100" s="2488"/>
      <c r="I100" s="2752">
        <v>1</v>
      </c>
      <c r="J100" s="2512" t="s">
        <v>10518</v>
      </c>
      <c r="K100" s="2614"/>
      <c r="L100" s="2614"/>
      <c r="M100" s="2614"/>
      <c r="N100" s="2488"/>
      <c r="O100" s="2488"/>
      <c r="P100" s="2488"/>
      <c r="Q100" s="2488"/>
      <c r="R100" s="2479" t="str">
        <f t="shared" si="2"/>
        <v>NAUGHTON, WY, PAINTER, WY, Wood - H, 795 ACSR 26/7</v>
      </c>
    </row>
    <row r="101" spans="1:18" ht="15" customHeight="1" x14ac:dyDescent="0.2">
      <c r="A101" s="3003">
        <f t="shared" si="3"/>
        <v>34.220999999999485</v>
      </c>
      <c r="B101" s="2512" t="s">
        <v>10775</v>
      </c>
      <c r="C101" s="2512" t="s">
        <v>10785</v>
      </c>
      <c r="D101" s="3041">
        <v>138</v>
      </c>
      <c r="E101" s="3041">
        <v>138</v>
      </c>
      <c r="F101" s="2512" t="s">
        <v>10564</v>
      </c>
      <c r="G101" s="3041">
        <v>33</v>
      </c>
      <c r="H101" s="2488"/>
      <c r="I101" s="2752">
        <v>1</v>
      </c>
      <c r="J101" s="2512" t="s">
        <v>10705</v>
      </c>
      <c r="K101" s="2614"/>
      <c r="L101" s="2614"/>
      <c r="M101" s="2614"/>
      <c r="N101" s="2488"/>
      <c r="O101" s="2488"/>
      <c r="P101" s="2488"/>
      <c r="Q101" s="2488"/>
      <c r="R101" s="2479" t="str">
        <f t="shared" si="2"/>
        <v>NEBO, UT, DRY CREEK, UT, Wood - H, 397.5 ACSR 26/7</v>
      </c>
    </row>
    <row r="102" spans="1:18" ht="15" customHeight="1" x14ac:dyDescent="0.2">
      <c r="A102" s="3003">
        <f t="shared" si="3"/>
        <v>34.221999999999483</v>
      </c>
      <c r="B102" s="2512" t="s">
        <v>10830</v>
      </c>
      <c r="C102" s="2512" t="s">
        <v>10753</v>
      </c>
      <c r="D102" s="3041">
        <v>138</v>
      </c>
      <c r="E102" s="3041">
        <v>138</v>
      </c>
      <c r="F102" s="2512" t="s">
        <v>10564</v>
      </c>
      <c r="G102" s="3041">
        <v>11</v>
      </c>
      <c r="H102" s="2488"/>
      <c r="I102" s="2752">
        <v>1</v>
      </c>
      <c r="J102" s="2512" t="s">
        <v>10727</v>
      </c>
      <c r="K102" s="2614"/>
      <c r="L102" s="2614"/>
      <c r="M102" s="2614"/>
      <c r="N102" s="2488"/>
      <c r="O102" s="2488"/>
      <c r="P102" s="2488"/>
      <c r="Q102" s="2488"/>
      <c r="R102" s="2479" t="str">
        <f t="shared" si="2"/>
        <v>NUCOR STEEL, UT, WHEELON, UT, Wood - H, 795 AAC /37</v>
      </c>
    </row>
    <row r="103" spans="1:18" ht="15" customHeight="1" x14ac:dyDescent="0.2">
      <c r="A103" s="3003">
        <f t="shared" si="3"/>
        <v>34.22299999999948</v>
      </c>
      <c r="B103" s="2512" t="s">
        <v>10831</v>
      </c>
      <c r="C103" s="2512" t="s">
        <v>10832</v>
      </c>
      <c r="D103" s="3041">
        <v>138</v>
      </c>
      <c r="E103" s="3041">
        <v>138</v>
      </c>
      <c r="F103" s="2512" t="s">
        <v>10564</v>
      </c>
      <c r="G103" s="3041">
        <v>23</v>
      </c>
      <c r="H103" s="2488"/>
      <c r="I103" s="2752">
        <v>1</v>
      </c>
      <c r="J103" s="2512" t="s">
        <v>10833</v>
      </c>
      <c r="K103" s="2614"/>
      <c r="L103" s="2614"/>
      <c r="M103" s="2614"/>
      <c r="N103" s="2488"/>
      <c r="O103" s="2488"/>
      <c r="P103" s="2488"/>
      <c r="Q103" s="2488"/>
      <c r="R103" s="2479" t="str">
        <f t="shared" si="2"/>
        <v>ONEIDA, ID, OVID, UT, Wood - H, 336.4 ACSR 26/7</v>
      </c>
    </row>
    <row r="104" spans="1:18" ht="15" customHeight="1" x14ac:dyDescent="0.2">
      <c r="A104" s="3003">
        <f t="shared" si="3"/>
        <v>34.223999999999478</v>
      </c>
      <c r="B104" s="2512" t="s">
        <v>10834</v>
      </c>
      <c r="C104" s="2512" t="s">
        <v>10712</v>
      </c>
      <c r="D104" s="3041">
        <v>138</v>
      </c>
      <c r="E104" s="3041">
        <v>138</v>
      </c>
      <c r="F104" s="2512" t="s">
        <v>10564</v>
      </c>
      <c r="G104" s="3041">
        <v>19</v>
      </c>
      <c r="H104" s="2488"/>
      <c r="I104" s="2752">
        <v>1</v>
      </c>
      <c r="J104" s="2512" t="s">
        <v>10744</v>
      </c>
      <c r="K104" s="2614"/>
      <c r="L104" s="2614"/>
      <c r="M104" s="2614"/>
      <c r="N104" s="2488"/>
      <c r="O104" s="2488"/>
      <c r="P104" s="2488"/>
      <c r="Q104" s="2488"/>
      <c r="R104" s="2479" t="str">
        <f t="shared" si="2"/>
        <v>ONIEDA, ID, GRACE, ID, Wood - H, 250 CUHD /12</v>
      </c>
    </row>
    <row r="105" spans="1:18" ht="15" customHeight="1" x14ac:dyDescent="0.2">
      <c r="A105" s="3003">
        <f t="shared" si="3"/>
        <v>34.224999999999476</v>
      </c>
      <c r="B105" s="2512" t="s">
        <v>10572</v>
      </c>
      <c r="C105" s="2512" t="s">
        <v>10835</v>
      </c>
      <c r="D105" s="3041">
        <v>138</v>
      </c>
      <c r="E105" s="3041">
        <v>138</v>
      </c>
      <c r="F105" s="2512" t="s">
        <v>10564</v>
      </c>
      <c r="G105" s="3041">
        <v>5</v>
      </c>
      <c r="H105" s="2488"/>
      <c r="I105" s="2752">
        <v>1</v>
      </c>
      <c r="J105" s="2512" t="s">
        <v>10518</v>
      </c>
      <c r="K105" s="2614"/>
      <c r="L105" s="2614"/>
      <c r="M105" s="2614"/>
      <c r="N105" s="2488"/>
      <c r="O105" s="2488"/>
      <c r="P105" s="2488"/>
      <c r="Q105" s="2488"/>
      <c r="R105" s="2479" t="str">
        <f t="shared" si="2"/>
        <v>OQUIRRH, UT, BARNEY, UT, Wood - H, 795 ACSR 26/7</v>
      </c>
    </row>
    <row r="106" spans="1:18" ht="15" customHeight="1" x14ac:dyDescent="0.2">
      <c r="A106" s="3003">
        <f t="shared" si="3"/>
        <v>34.225999999999473</v>
      </c>
      <c r="B106" s="2512" t="s">
        <v>10572</v>
      </c>
      <c r="C106" s="2512" t="s">
        <v>10836</v>
      </c>
      <c r="D106" s="3041">
        <v>138</v>
      </c>
      <c r="E106" s="3041">
        <v>138</v>
      </c>
      <c r="F106" s="2512" t="s">
        <v>10564</v>
      </c>
      <c r="G106" s="3041">
        <v>9</v>
      </c>
      <c r="H106" s="2488"/>
      <c r="I106" s="2752">
        <v>1</v>
      </c>
      <c r="J106" s="2512" t="s">
        <v>10549</v>
      </c>
      <c r="K106" s="2614"/>
      <c r="L106" s="2614"/>
      <c r="M106" s="2614"/>
      <c r="N106" s="2488"/>
      <c r="O106" s="2488"/>
      <c r="P106" s="2488"/>
      <c r="Q106" s="2488"/>
      <c r="R106" s="2479" t="str">
        <f t="shared" si="2"/>
        <v>OQUIRRH, UT, BINGHAM CANYON, UT, Wood - H, 1557.4 ACSR/TW 36/7</v>
      </c>
    </row>
    <row r="107" spans="1:18" ht="15" customHeight="1" x14ac:dyDescent="0.2">
      <c r="A107" s="3003">
        <f t="shared" si="3"/>
        <v>34.226999999999471</v>
      </c>
      <c r="B107" s="2512" t="s">
        <v>10572</v>
      </c>
      <c r="C107" s="2512" t="s">
        <v>10810</v>
      </c>
      <c r="D107" s="3041">
        <v>138</v>
      </c>
      <c r="E107" s="3041">
        <v>138</v>
      </c>
      <c r="F107" s="2512" t="s">
        <v>10548</v>
      </c>
      <c r="G107" s="3041">
        <v>23</v>
      </c>
      <c r="H107" s="2488"/>
      <c r="I107" s="2752">
        <v>1</v>
      </c>
      <c r="J107" s="2512" t="s">
        <v>10552</v>
      </c>
      <c r="K107" s="2614"/>
      <c r="L107" s="2614"/>
      <c r="M107" s="2614"/>
      <c r="N107" s="2488"/>
      <c r="O107" s="2488"/>
      <c r="P107" s="2488"/>
      <c r="Q107" s="2488"/>
      <c r="R107" s="2479" t="str">
        <f t="shared" si="2"/>
        <v>OQUIRRH, UT, TOOELE, UT, Steel - SP, 1272 ACSR 45/7</v>
      </c>
    </row>
    <row r="108" spans="1:18" ht="15" customHeight="1" x14ac:dyDescent="0.2">
      <c r="A108" s="3003">
        <f t="shared" si="3"/>
        <v>34.227999999999469</v>
      </c>
      <c r="B108" s="2512" t="s">
        <v>10572</v>
      </c>
      <c r="C108" s="2512" t="s">
        <v>10837</v>
      </c>
      <c r="D108" s="3041">
        <v>138</v>
      </c>
      <c r="E108" s="3041">
        <v>138</v>
      </c>
      <c r="F108" s="2512" t="s">
        <v>10564</v>
      </c>
      <c r="G108" s="2614"/>
      <c r="H108" s="2750">
        <v>1</v>
      </c>
      <c r="I108" s="2752">
        <v>1</v>
      </c>
      <c r="J108" s="2512" t="s">
        <v>10838</v>
      </c>
      <c r="K108" s="2614"/>
      <c r="L108" s="2614"/>
      <c r="M108" s="2614"/>
      <c r="N108" s="2488"/>
      <c r="O108" s="2488"/>
      <c r="P108" s="2488"/>
      <c r="Q108" s="2488"/>
      <c r="R108" s="2479" t="str">
        <f t="shared" si="2"/>
        <v>OQUIRRH, UT, WILDFLOWER TAP, UT, Wood - H, 1557.4 ACSR/TW  36/7</v>
      </c>
    </row>
    <row r="109" spans="1:18" ht="15" customHeight="1" x14ac:dyDescent="0.2">
      <c r="A109" s="3003">
        <f t="shared" si="3"/>
        <v>34.228999999999466</v>
      </c>
      <c r="B109" s="2512" t="s">
        <v>10837</v>
      </c>
      <c r="C109" s="2512" t="s">
        <v>10839</v>
      </c>
      <c r="D109" s="3041">
        <v>138</v>
      </c>
      <c r="E109" s="3041">
        <v>138</v>
      </c>
      <c r="F109" s="2512" t="s">
        <v>10564</v>
      </c>
      <c r="G109" s="3041">
        <v>1</v>
      </c>
      <c r="H109" s="2488"/>
      <c r="I109" s="2752">
        <v>1</v>
      </c>
      <c r="J109" s="2512" t="s">
        <v>10705</v>
      </c>
      <c r="K109" s="2614"/>
      <c r="L109" s="2614"/>
      <c r="M109" s="2614"/>
      <c r="N109" s="2488"/>
      <c r="O109" s="2488"/>
      <c r="P109" s="2488"/>
      <c r="Q109" s="2488"/>
      <c r="R109" s="2479" t="str">
        <f t="shared" si="2"/>
        <v>WILDFLOWER TAP, UT, WILDFLOWER, UT, Wood - H, 397.5 ACSR 26/7</v>
      </c>
    </row>
    <row r="110" spans="1:18" ht="15" customHeight="1" x14ac:dyDescent="0.2">
      <c r="A110" s="3003">
        <f t="shared" si="3"/>
        <v>34.229999999999464</v>
      </c>
      <c r="B110" s="2512" t="s">
        <v>10773</v>
      </c>
      <c r="C110" s="2512" t="s">
        <v>10799</v>
      </c>
      <c r="D110" s="3041">
        <v>138</v>
      </c>
      <c r="E110" s="3041">
        <v>138</v>
      </c>
      <c r="F110" s="2512" t="s">
        <v>10564</v>
      </c>
      <c r="G110" s="3041">
        <v>7</v>
      </c>
      <c r="H110" s="2488"/>
      <c r="I110" s="2752">
        <v>1</v>
      </c>
      <c r="J110" s="2512" t="s">
        <v>10552</v>
      </c>
      <c r="K110" s="2614"/>
      <c r="L110" s="2614"/>
      <c r="M110" s="2614"/>
      <c r="N110" s="2488"/>
      <c r="O110" s="2488"/>
      <c r="P110" s="2488"/>
      <c r="Q110" s="2488"/>
      <c r="R110" s="2479" t="str">
        <f t="shared" si="2"/>
        <v>PAINTER, UT, RAILROAD, UT, Wood - H, 1272 ACSR 45/7</v>
      </c>
    </row>
    <row r="111" spans="1:18" ht="15" customHeight="1" x14ac:dyDescent="0.2">
      <c r="A111" s="3003">
        <f t="shared" si="3"/>
        <v>34.230999999999462</v>
      </c>
      <c r="B111" s="2512" t="s">
        <v>10840</v>
      </c>
      <c r="C111" s="2512" t="s">
        <v>10553</v>
      </c>
      <c r="D111" s="3041">
        <v>138</v>
      </c>
      <c r="E111" s="3041">
        <v>138</v>
      </c>
      <c r="F111" s="2512" t="s">
        <v>10548</v>
      </c>
      <c r="G111" s="3041">
        <v>24</v>
      </c>
      <c r="H111" s="2488"/>
      <c r="I111" s="2752">
        <v>1</v>
      </c>
      <c r="J111" s="2512" t="s">
        <v>10518</v>
      </c>
      <c r="K111" s="2614"/>
      <c r="L111" s="2614"/>
      <c r="M111" s="2614"/>
      <c r="N111" s="2488"/>
      <c r="O111" s="2488"/>
      <c r="P111" s="2488"/>
      <c r="Q111" s="2488"/>
      <c r="R111" s="2479" t="str">
        <f t="shared" si="2"/>
        <v>PARRISH #105, UT, TERMINAL, UT, Steel - SP, 795 ACSR 26/7</v>
      </c>
    </row>
    <row r="112" spans="1:18" ht="15" customHeight="1" x14ac:dyDescent="0.2">
      <c r="A112" s="3003">
        <f t="shared" si="3"/>
        <v>34.231999999999459</v>
      </c>
      <c r="B112" s="2512" t="s">
        <v>10761</v>
      </c>
      <c r="C112" s="2512" t="s">
        <v>10672</v>
      </c>
      <c r="D112" s="3041">
        <v>138</v>
      </c>
      <c r="E112" s="3041">
        <v>138</v>
      </c>
      <c r="F112" s="2512" t="s">
        <v>10564</v>
      </c>
      <c r="G112" s="3041">
        <v>21</v>
      </c>
      <c r="H112" s="2488"/>
      <c r="I112" s="2752">
        <v>1</v>
      </c>
      <c r="J112" s="2512" t="s">
        <v>10705</v>
      </c>
      <c r="K112" s="2614"/>
      <c r="L112" s="2614"/>
      <c r="M112" s="2614"/>
      <c r="N112" s="2488"/>
      <c r="O112" s="2488"/>
      <c r="P112" s="2488"/>
      <c r="Q112" s="2488"/>
      <c r="R112" s="2479" t="str">
        <f t="shared" si="2"/>
        <v>PAROWAN, UT, WEST CEDAR, UT, Wood - H, 397.5 ACSR 26/7</v>
      </c>
    </row>
    <row r="113" spans="1:18" ht="15" customHeight="1" x14ac:dyDescent="0.2">
      <c r="A113" s="3003">
        <f t="shared" si="3"/>
        <v>34.232999999999457</v>
      </c>
      <c r="B113" s="2512" t="s">
        <v>10773</v>
      </c>
      <c r="C113" s="2512" t="s">
        <v>10841</v>
      </c>
      <c r="D113" s="3041">
        <v>138</v>
      </c>
      <c r="E113" s="3041">
        <v>138</v>
      </c>
      <c r="F113" s="2512" t="s">
        <v>10548</v>
      </c>
      <c r="G113" s="3041">
        <v>1</v>
      </c>
      <c r="H113" s="2750">
        <v>11</v>
      </c>
      <c r="I113" s="2752">
        <v>1</v>
      </c>
      <c r="J113" s="2512" t="s">
        <v>10570</v>
      </c>
      <c r="K113" s="2614"/>
      <c r="L113" s="2614"/>
      <c r="M113" s="2614"/>
      <c r="N113" s="2488"/>
      <c r="O113" s="2488"/>
      <c r="P113" s="2488"/>
      <c r="Q113" s="2488"/>
      <c r="R113" s="2479" t="str">
        <f t="shared" si="2"/>
        <v>PAINTER, UT, TAP TO N. SALT LAKE, UT, Steel - SP, 954 ACSR 54/7</v>
      </c>
    </row>
    <row r="114" spans="1:18" ht="15" customHeight="1" x14ac:dyDescent="0.2">
      <c r="A114" s="3003">
        <f t="shared" si="3"/>
        <v>34.233999999999455</v>
      </c>
      <c r="B114" s="2512" t="s">
        <v>10842</v>
      </c>
      <c r="C114" s="2512" t="s">
        <v>10561</v>
      </c>
      <c r="D114" s="3041">
        <v>138</v>
      </c>
      <c r="E114" s="3041">
        <v>138</v>
      </c>
      <c r="F114" s="2512" t="s">
        <v>10548</v>
      </c>
      <c r="G114" s="3041">
        <v>16</v>
      </c>
      <c r="H114" s="2488"/>
      <c r="I114" s="2752">
        <v>1</v>
      </c>
      <c r="J114" s="2512" t="s">
        <v>10744</v>
      </c>
      <c r="K114" s="2614"/>
      <c r="L114" s="2614"/>
      <c r="M114" s="2614"/>
      <c r="N114" s="2488"/>
      <c r="O114" s="2488"/>
      <c r="P114" s="2488"/>
      <c r="Q114" s="2488"/>
      <c r="R114" s="2479" t="str">
        <f t="shared" si="2"/>
        <v>PARRISH, UT, TERMINAL #1, UT, Steel - SP, 250 CUHD /12</v>
      </c>
    </row>
    <row r="115" spans="1:18" ht="15" customHeight="1" x14ac:dyDescent="0.2">
      <c r="A115" s="3003">
        <f t="shared" si="3"/>
        <v>34.234999999999452</v>
      </c>
      <c r="B115" s="2512" t="s">
        <v>10842</v>
      </c>
      <c r="C115" s="2512" t="s">
        <v>10560</v>
      </c>
      <c r="D115" s="3041">
        <v>138</v>
      </c>
      <c r="E115" s="3041">
        <v>138</v>
      </c>
      <c r="F115" s="2512" t="s">
        <v>10548</v>
      </c>
      <c r="G115" s="2614"/>
      <c r="H115" s="2750">
        <v>14</v>
      </c>
      <c r="I115" s="2752">
        <v>1</v>
      </c>
      <c r="J115" s="2512" t="s">
        <v>10744</v>
      </c>
      <c r="K115" s="2614"/>
      <c r="L115" s="2614"/>
      <c r="M115" s="2614"/>
      <c r="N115" s="2488"/>
      <c r="O115" s="2488"/>
      <c r="P115" s="2488"/>
      <c r="Q115" s="2488"/>
      <c r="R115" s="2479" t="str">
        <f t="shared" si="2"/>
        <v>PARRISH, UT, TERMINAL #2, UT, Steel - SP, 250 CUHD /12</v>
      </c>
    </row>
    <row r="116" spans="1:18" ht="15" customHeight="1" x14ac:dyDescent="0.2">
      <c r="A116" s="3003">
        <f t="shared" si="3"/>
        <v>34.23599999999945</v>
      </c>
      <c r="B116" s="2512" t="s">
        <v>10799</v>
      </c>
      <c r="C116" s="2512" t="s">
        <v>10762</v>
      </c>
      <c r="D116" s="3041">
        <v>138</v>
      </c>
      <c r="E116" s="3041">
        <v>138</v>
      </c>
      <c r="F116" s="2512" t="s">
        <v>10564</v>
      </c>
      <c r="G116" s="3041">
        <v>17</v>
      </c>
      <c r="H116" s="2488"/>
      <c r="I116" s="2752">
        <v>1</v>
      </c>
      <c r="J116" s="2512" t="s">
        <v>10518</v>
      </c>
      <c r="K116" s="2614"/>
      <c r="L116" s="2614"/>
      <c r="M116" s="2614"/>
      <c r="N116" s="2488"/>
      <c r="O116" s="2488"/>
      <c r="P116" s="2488"/>
      <c r="Q116" s="2488"/>
      <c r="R116" s="2479" t="str">
        <f t="shared" si="2"/>
        <v>RAILROAD, UT, CANYON COMP, WY, Wood - H, 795 ACSR 26/7</v>
      </c>
    </row>
    <row r="117" spans="1:18" ht="15" customHeight="1" x14ac:dyDescent="0.2">
      <c r="A117" s="3003">
        <f t="shared" si="3"/>
        <v>34.236999999999448</v>
      </c>
      <c r="B117" s="2512" t="s">
        <v>10843</v>
      </c>
      <c r="C117" s="2512" t="s">
        <v>10844</v>
      </c>
      <c r="D117" s="3041">
        <v>138</v>
      </c>
      <c r="E117" s="3041">
        <v>138</v>
      </c>
      <c r="F117" s="2512" t="s">
        <v>10711</v>
      </c>
      <c r="G117" s="3041">
        <v>10</v>
      </c>
      <c r="H117" s="2488"/>
      <c r="I117" s="2752">
        <v>2</v>
      </c>
      <c r="J117" s="2512" t="s">
        <v>10552</v>
      </c>
      <c r="K117" s="2614"/>
      <c r="L117" s="2614"/>
      <c r="M117" s="2614"/>
      <c r="N117" s="2488"/>
      <c r="O117" s="2488"/>
      <c r="P117" s="2488"/>
      <c r="Q117" s="2488"/>
      <c r="R117" s="2479" t="str">
        <f t="shared" si="2"/>
        <v>ST GEORGE, UT, PURGATORY FLAT, UT, Wood - SP, 1272 ACSR 45/7</v>
      </c>
    </row>
    <row r="118" spans="1:18" ht="15" customHeight="1" x14ac:dyDescent="0.2">
      <c r="A118" s="3003">
        <f t="shared" si="3"/>
        <v>34.237999999999445</v>
      </c>
      <c r="B118" s="2512" t="s">
        <v>10590</v>
      </c>
      <c r="C118" s="2512" t="s">
        <v>10672</v>
      </c>
      <c r="D118" s="3041">
        <v>138</v>
      </c>
      <c r="E118" s="3041">
        <v>138</v>
      </c>
      <c r="F118" s="2512" t="s">
        <v>10564</v>
      </c>
      <c r="G118" s="3041">
        <v>49</v>
      </c>
      <c r="H118" s="2488"/>
      <c r="I118" s="2752">
        <v>1</v>
      </c>
      <c r="J118" s="2512" t="s">
        <v>10705</v>
      </c>
      <c r="K118" s="2614"/>
      <c r="L118" s="2614"/>
      <c r="M118" s="2614"/>
      <c r="N118" s="2488"/>
      <c r="O118" s="2488"/>
      <c r="P118" s="2488"/>
      <c r="Q118" s="2488"/>
      <c r="R118" s="2479" t="str">
        <f t="shared" si="2"/>
        <v>RED BUTTE, UT, WEST CEDAR, UT, Wood - H, 397.5 ACSR 26/7</v>
      </c>
    </row>
    <row r="119" spans="1:18" ht="15" customHeight="1" x14ac:dyDescent="0.2">
      <c r="A119" s="3003">
        <f t="shared" si="3"/>
        <v>34.238999999999443</v>
      </c>
      <c r="B119" s="2512" t="s">
        <v>10845</v>
      </c>
      <c r="C119" s="2512" t="s">
        <v>10793</v>
      </c>
      <c r="D119" s="3041">
        <v>138</v>
      </c>
      <c r="E119" s="3041">
        <v>138</v>
      </c>
      <c r="F119" s="2512" t="s">
        <v>10548</v>
      </c>
      <c r="G119" s="3041">
        <v>1</v>
      </c>
      <c r="H119" s="2750">
        <v>6</v>
      </c>
      <c r="I119" s="2752">
        <v>1</v>
      </c>
      <c r="J119" s="2512" t="s">
        <v>10518</v>
      </c>
      <c r="K119" s="2614"/>
      <c r="L119" s="2614"/>
      <c r="M119" s="2614"/>
      <c r="N119" s="2488"/>
      <c r="O119" s="2488"/>
      <c r="P119" s="2488"/>
      <c r="Q119" s="2488"/>
      <c r="R119" s="2479" t="str">
        <f t="shared" si="2"/>
        <v>RIVERDALE, UT, EAST LAYTON, UT, Steel - SP, 795 ACSR 26/7</v>
      </c>
    </row>
    <row r="120" spans="1:18" ht="15" customHeight="1" x14ac:dyDescent="0.2">
      <c r="A120" s="3003">
        <f t="shared" si="3"/>
        <v>34.239999999999441</v>
      </c>
      <c r="B120" s="2512" t="s">
        <v>10846</v>
      </c>
      <c r="C120" s="2512" t="s">
        <v>10842</v>
      </c>
      <c r="D120" s="3041">
        <v>138</v>
      </c>
      <c r="E120" s="3041">
        <v>138</v>
      </c>
      <c r="F120" s="2512" t="s">
        <v>10564</v>
      </c>
      <c r="G120" s="2614"/>
      <c r="H120" s="2750">
        <v>10</v>
      </c>
      <c r="I120" s="2752">
        <v>1</v>
      </c>
      <c r="J120" s="2512" t="s">
        <v>10744</v>
      </c>
      <c r="K120" s="2614"/>
      <c r="L120" s="2614"/>
      <c r="M120" s="2614"/>
      <c r="N120" s="2488"/>
      <c r="O120" s="2488"/>
      <c r="P120" s="2488"/>
      <c r="Q120" s="2488"/>
      <c r="R120" s="2479" t="str">
        <f t="shared" si="2"/>
        <v>SHICK, UT, PARRISH, UT, Wood - H, 250 CUHD /12</v>
      </c>
    </row>
    <row r="121" spans="1:18" ht="15" customHeight="1" x14ac:dyDescent="0.2">
      <c r="A121" s="3003">
        <f t="shared" si="3"/>
        <v>34.240999999999438</v>
      </c>
      <c r="B121" s="2512" t="s">
        <v>10781</v>
      </c>
      <c r="C121" s="2512" t="s">
        <v>10783</v>
      </c>
      <c r="D121" s="3041">
        <v>138</v>
      </c>
      <c r="E121" s="3041">
        <v>138</v>
      </c>
      <c r="F121" s="2512" t="s">
        <v>10711</v>
      </c>
      <c r="G121" s="3041">
        <v>17</v>
      </c>
      <c r="H121" s="2488"/>
      <c r="I121" s="2752">
        <v>1</v>
      </c>
      <c r="J121" s="2512" t="s">
        <v>10518</v>
      </c>
      <c r="K121" s="2614"/>
      <c r="L121" s="2614"/>
      <c r="M121" s="2614"/>
      <c r="N121" s="2488"/>
      <c r="O121" s="2488"/>
      <c r="P121" s="2488"/>
      <c r="Q121" s="2488"/>
      <c r="R121" s="2479" t="str">
        <f t="shared" si="2"/>
        <v>SILVER CREEK, UT, DANIEL, UT, Wood - SP, 795 ACSR 26/7</v>
      </c>
    </row>
    <row r="122" spans="1:18" ht="15" customHeight="1" x14ac:dyDescent="0.2">
      <c r="A122" s="3003">
        <f t="shared" si="3"/>
        <v>34.241999999999436</v>
      </c>
      <c r="B122" s="2512" t="s">
        <v>10781</v>
      </c>
      <c r="C122" s="2512" t="s">
        <v>10799</v>
      </c>
      <c r="D122" s="3041">
        <v>138</v>
      </c>
      <c r="E122" s="3041">
        <v>138</v>
      </c>
      <c r="F122" s="2512" t="s">
        <v>10711</v>
      </c>
      <c r="G122" s="3041">
        <v>72</v>
      </c>
      <c r="H122" s="2488"/>
      <c r="I122" s="2752">
        <v>1</v>
      </c>
      <c r="J122" s="2512" t="s">
        <v>10552</v>
      </c>
      <c r="K122" s="2614"/>
      <c r="L122" s="2614"/>
      <c r="M122" s="2614"/>
      <c r="N122" s="2488"/>
      <c r="O122" s="2488"/>
      <c r="P122" s="2488"/>
      <c r="Q122" s="2488"/>
      <c r="R122" s="2479" t="str">
        <f t="shared" si="2"/>
        <v>SILVER CREEK, UT, RAILROAD, UT, Wood - SP, 1272 ACSR 45/7</v>
      </c>
    </row>
    <row r="123" spans="1:18" ht="15" customHeight="1" x14ac:dyDescent="0.2">
      <c r="A123" s="3003">
        <f t="shared" si="3"/>
        <v>34.242999999999434</v>
      </c>
      <c r="B123" s="2512" t="s">
        <v>10589</v>
      </c>
      <c r="C123" s="2512" t="s">
        <v>10812</v>
      </c>
      <c r="D123" s="3041">
        <v>138</v>
      </c>
      <c r="E123" s="3041">
        <v>138</v>
      </c>
      <c r="F123" s="2512" t="s">
        <v>10564</v>
      </c>
      <c r="G123" s="3041">
        <v>10</v>
      </c>
      <c r="H123" s="2488"/>
      <c r="I123" s="2752">
        <v>1</v>
      </c>
      <c r="J123" s="2512" t="s">
        <v>10847</v>
      </c>
      <c r="K123" s="2614"/>
      <c r="L123" s="2614"/>
      <c r="M123" s="2614"/>
      <c r="N123" s="2488"/>
      <c r="O123" s="2488"/>
      <c r="P123" s="2488"/>
      <c r="Q123" s="2488"/>
      <c r="R123" s="2479" t="str">
        <f t="shared" si="2"/>
        <v>SPANISH FORK, UT, TANNER, UT, Wood - H, 959.6 ACSS/TW</v>
      </c>
    </row>
    <row r="124" spans="1:18" ht="15" customHeight="1" x14ac:dyDescent="0.2">
      <c r="A124" s="3003">
        <f t="shared" si="3"/>
        <v>34.243999999999431</v>
      </c>
      <c r="B124" s="2512" t="s">
        <v>10848</v>
      </c>
      <c r="C124" s="2512" t="s">
        <v>10572</v>
      </c>
      <c r="D124" s="3041">
        <v>138</v>
      </c>
      <c r="E124" s="3041">
        <v>138</v>
      </c>
      <c r="F124" s="2512" t="s">
        <v>10711</v>
      </c>
      <c r="G124" s="2614"/>
      <c r="H124" s="2750">
        <v>2</v>
      </c>
      <c r="I124" s="2752">
        <v>1</v>
      </c>
      <c r="J124" s="2512" t="s">
        <v>10549</v>
      </c>
      <c r="K124" s="2614"/>
      <c r="L124" s="2614"/>
      <c r="M124" s="2614"/>
      <c r="N124" s="2488"/>
      <c r="O124" s="2488"/>
      <c r="P124" s="2488"/>
      <c r="Q124" s="2488"/>
      <c r="R124" s="2479" t="str">
        <f t="shared" si="2"/>
        <v>SUNRISE, UT, OQUIRRH, UT, Wood - SP, 1557.4 ACSR/TW 36/7</v>
      </c>
    </row>
    <row r="125" spans="1:18" ht="15" customHeight="1" x14ac:dyDescent="0.2">
      <c r="A125" s="3003">
        <f t="shared" si="3"/>
        <v>34.244999999999429</v>
      </c>
      <c r="B125" s="2512" t="s">
        <v>10751</v>
      </c>
      <c r="C125" s="2512" t="s">
        <v>10849</v>
      </c>
      <c r="D125" s="3041">
        <v>138</v>
      </c>
      <c r="E125" s="3041">
        <v>138</v>
      </c>
      <c r="F125" s="2512" t="s">
        <v>10711</v>
      </c>
      <c r="G125" s="2614"/>
      <c r="H125" s="2750">
        <v>7</v>
      </c>
      <c r="I125" s="2752">
        <v>1</v>
      </c>
      <c r="J125" s="2512" t="s">
        <v>10744</v>
      </c>
      <c r="K125" s="2614"/>
      <c r="L125" s="2614"/>
      <c r="M125" s="2614"/>
      <c r="N125" s="2488"/>
      <c r="O125" s="2488"/>
      <c r="P125" s="2488"/>
      <c r="Q125" s="2488"/>
      <c r="R125" s="2479" t="str">
        <f t="shared" si="2"/>
        <v>SYRACUSE, UT, ANGEL #1, UT, Wood - SP, 250 CUHD /12</v>
      </c>
    </row>
    <row r="126" spans="1:18" ht="15" customHeight="1" x14ac:dyDescent="0.2">
      <c r="A126" s="3003">
        <f t="shared" si="3"/>
        <v>34.245999999999427</v>
      </c>
      <c r="B126" s="2512" t="s">
        <v>10751</v>
      </c>
      <c r="C126" s="2512" t="s">
        <v>10850</v>
      </c>
      <c r="D126" s="3041">
        <v>138</v>
      </c>
      <c r="E126" s="3041">
        <v>138</v>
      </c>
      <c r="F126" s="2512" t="s">
        <v>10548</v>
      </c>
      <c r="G126" s="3041">
        <v>5</v>
      </c>
      <c r="H126" s="2488"/>
      <c r="I126" s="2752">
        <v>1</v>
      </c>
      <c r="J126" s="2512" t="s">
        <v>10847</v>
      </c>
      <c r="K126" s="2614"/>
      <c r="L126" s="2614"/>
      <c r="M126" s="2614"/>
      <c r="N126" s="2488"/>
      <c r="O126" s="2488"/>
      <c r="P126" s="2488"/>
      <c r="Q126" s="2488"/>
      <c r="R126" s="2479" t="str">
        <f t="shared" si="2"/>
        <v>SYRACUSE, UT, CLEARFIELD SOUTH, UT, Steel - SP, 959.6 ACSS/TW</v>
      </c>
    </row>
    <row r="127" spans="1:18" ht="15" customHeight="1" x14ac:dyDescent="0.2">
      <c r="A127" s="3003">
        <f t="shared" si="3"/>
        <v>34.246999999999424</v>
      </c>
      <c r="B127" s="2512" t="s">
        <v>10751</v>
      </c>
      <c r="C127" s="2512" t="s">
        <v>10842</v>
      </c>
      <c r="D127" s="3041">
        <v>138</v>
      </c>
      <c r="E127" s="3041">
        <v>138</v>
      </c>
      <c r="F127" s="2512" t="s">
        <v>10511</v>
      </c>
      <c r="G127" s="3041">
        <v>15</v>
      </c>
      <c r="H127" s="2488"/>
      <c r="I127" s="2752">
        <v>1</v>
      </c>
      <c r="J127" s="2512" t="s">
        <v>10552</v>
      </c>
      <c r="K127" s="2614"/>
      <c r="L127" s="2614"/>
      <c r="M127" s="2614"/>
      <c r="N127" s="2488"/>
      <c r="O127" s="2488"/>
      <c r="P127" s="2488"/>
      <c r="Q127" s="2488"/>
      <c r="R127" s="2479" t="str">
        <f t="shared" si="2"/>
        <v>SYRACUSE, UT, PARRISH, UT, Steel Tower, 1272 ACSR 45/7</v>
      </c>
    </row>
    <row r="128" spans="1:18" ht="15" customHeight="1" x14ac:dyDescent="0.2">
      <c r="A128" s="3003">
        <f t="shared" si="3"/>
        <v>34.247999999999422</v>
      </c>
      <c r="B128" s="2512" t="s">
        <v>10851</v>
      </c>
      <c r="C128" s="2512" t="s">
        <v>10852</v>
      </c>
      <c r="D128" s="3041">
        <v>138</v>
      </c>
      <c r="E128" s="3041">
        <v>138</v>
      </c>
      <c r="F128" s="2512" t="s">
        <v>10564</v>
      </c>
      <c r="G128" s="3041">
        <v>13</v>
      </c>
      <c r="H128" s="2488"/>
      <c r="I128" s="2752">
        <v>1</v>
      </c>
      <c r="J128" s="2512" t="s">
        <v>10744</v>
      </c>
      <c r="K128" s="2614"/>
      <c r="L128" s="2614"/>
      <c r="M128" s="2614"/>
      <c r="N128" s="2488"/>
      <c r="O128" s="2488"/>
      <c r="P128" s="2488"/>
      <c r="Q128" s="2488"/>
      <c r="R128" s="2479" t="str">
        <f t="shared" si="2"/>
        <v>TAP TO ANGEL NORTH, UT, TAP TO PARRISH, UT, Wood - H, 250 CUHD /12</v>
      </c>
    </row>
    <row r="129" spans="1:18" ht="15" customHeight="1" x14ac:dyDescent="0.2">
      <c r="A129" s="3003">
        <f t="shared" si="3"/>
        <v>34.24899999999942</v>
      </c>
      <c r="B129" s="2512" t="s">
        <v>10819</v>
      </c>
      <c r="C129" s="2512" t="s">
        <v>10546</v>
      </c>
      <c r="D129" s="3041">
        <v>138</v>
      </c>
      <c r="E129" s="3041">
        <v>138</v>
      </c>
      <c r="F129" s="2512" t="s">
        <v>10711</v>
      </c>
      <c r="G129" s="3041">
        <v>6</v>
      </c>
      <c r="H129" s="2750">
        <v>2</v>
      </c>
      <c r="I129" s="2752">
        <v>1</v>
      </c>
      <c r="J129" s="2512" t="s">
        <v>10838</v>
      </c>
      <c r="K129" s="2614"/>
      <c r="L129" s="2614"/>
      <c r="M129" s="2614"/>
      <c r="N129" s="2488"/>
      <c r="O129" s="2488"/>
      <c r="P129" s="2488"/>
      <c r="Q129" s="2488"/>
      <c r="R129" s="2479" t="str">
        <f t="shared" si="2"/>
        <v>TAYLORSVILLE, UT, 90TH SOUTH, UT, Wood - SP, 1557.4 ACSR/TW  36/7</v>
      </c>
    </row>
    <row r="130" spans="1:18" ht="15" customHeight="1" x14ac:dyDescent="0.2">
      <c r="A130" s="3003">
        <f t="shared" si="3"/>
        <v>34.249999999999417</v>
      </c>
      <c r="B130" s="2512" t="s">
        <v>10553</v>
      </c>
      <c r="C130" s="2512" t="s">
        <v>10853</v>
      </c>
      <c r="D130" s="3041">
        <v>138</v>
      </c>
      <c r="E130" s="3041">
        <v>138</v>
      </c>
      <c r="F130" s="2512" t="s">
        <v>10548</v>
      </c>
      <c r="G130" s="3041">
        <v>15</v>
      </c>
      <c r="H130" s="2488"/>
      <c r="I130" s="2752">
        <v>1</v>
      </c>
      <c r="J130" s="2512" t="s">
        <v>10518</v>
      </c>
      <c r="K130" s="2614"/>
      <c r="L130" s="2614"/>
      <c r="M130" s="2614"/>
      <c r="N130" s="2488"/>
      <c r="O130" s="2488"/>
      <c r="P130" s="2488"/>
      <c r="Q130" s="2488"/>
      <c r="R130" s="2479" t="str">
        <f t="shared" si="2"/>
        <v>TERMINAL, UT, KENNECOTT, UT, Steel - SP, 795 ACSR 26/7</v>
      </c>
    </row>
    <row r="131" spans="1:18" ht="15" customHeight="1" x14ac:dyDescent="0.2">
      <c r="A131" s="3003">
        <f t="shared" si="3"/>
        <v>34.250999999999415</v>
      </c>
      <c r="B131" s="2512" t="s">
        <v>10553</v>
      </c>
      <c r="C131" s="2512" t="s">
        <v>10854</v>
      </c>
      <c r="D131" s="3041">
        <v>138</v>
      </c>
      <c r="E131" s="3041">
        <v>138</v>
      </c>
      <c r="F131" s="2512" t="s">
        <v>10564</v>
      </c>
      <c r="G131" s="3041">
        <v>7</v>
      </c>
      <c r="H131" s="2488"/>
      <c r="I131" s="2752">
        <v>1</v>
      </c>
      <c r="J131" s="2512" t="s">
        <v>10804</v>
      </c>
      <c r="K131" s="2614"/>
      <c r="L131" s="2614"/>
      <c r="M131" s="2614"/>
      <c r="N131" s="2488"/>
      <c r="O131" s="2488"/>
      <c r="P131" s="2488"/>
      <c r="Q131" s="2488"/>
      <c r="R131" s="2479" t="str">
        <f t="shared" si="2"/>
        <v>TERMINAL, UT, MIDVALLEY #1, UT, Wood - H, 1272 AAC /61</v>
      </c>
    </row>
    <row r="132" spans="1:18" ht="15" customHeight="1" x14ac:dyDescent="0.2">
      <c r="A132" s="3003">
        <f t="shared" si="3"/>
        <v>34.251999999999413</v>
      </c>
      <c r="B132" s="2512" t="s">
        <v>10553</v>
      </c>
      <c r="C132" s="2512" t="s">
        <v>10855</v>
      </c>
      <c r="D132" s="3041">
        <v>138</v>
      </c>
      <c r="E132" s="3041">
        <v>138</v>
      </c>
      <c r="F132" s="2512" t="s">
        <v>10564</v>
      </c>
      <c r="G132" s="3041">
        <v>7</v>
      </c>
      <c r="H132" s="2488"/>
      <c r="I132" s="2752">
        <v>1</v>
      </c>
      <c r="J132" s="2512" t="s">
        <v>10552</v>
      </c>
      <c r="K132" s="2614"/>
      <c r="L132" s="2614"/>
      <c r="M132" s="2614"/>
      <c r="N132" s="2488"/>
      <c r="O132" s="2488"/>
      <c r="P132" s="2488"/>
      <c r="Q132" s="2488"/>
      <c r="R132" s="2479" t="str">
        <f t="shared" si="2"/>
        <v>TERMINAL, UT, MIDVALLEY #2, UT, Wood - H, 1272 ACSR 45/7</v>
      </c>
    </row>
    <row r="133" spans="1:18" ht="15" customHeight="1" x14ac:dyDescent="0.2">
      <c r="A133" s="3003">
        <f t="shared" si="3"/>
        <v>34.25299999999941</v>
      </c>
      <c r="B133" s="2512" t="s">
        <v>10553</v>
      </c>
      <c r="C133" s="2512" t="s">
        <v>10856</v>
      </c>
      <c r="D133" s="3041">
        <v>138</v>
      </c>
      <c r="E133" s="3041">
        <v>138</v>
      </c>
      <c r="F133" s="2512" t="s">
        <v>10564</v>
      </c>
      <c r="G133" s="3041">
        <v>53</v>
      </c>
      <c r="H133" s="2488"/>
      <c r="I133" s="2752">
        <v>1</v>
      </c>
      <c r="J133" s="2512" t="s">
        <v>10727</v>
      </c>
      <c r="K133" s="2614"/>
      <c r="L133" s="2614"/>
      <c r="M133" s="2614"/>
      <c r="N133" s="2488"/>
      <c r="O133" s="2488"/>
      <c r="P133" s="2488"/>
      <c r="Q133" s="2488"/>
      <c r="R133" s="2479" t="str">
        <f t="shared" si="2"/>
        <v>TERMINAL, UT, ROWLEY, UT, Wood - H, 795 AAC /37</v>
      </c>
    </row>
    <row r="134" spans="1:18" ht="15" customHeight="1" x14ac:dyDescent="0.2">
      <c r="A134" s="3003">
        <f t="shared" si="3"/>
        <v>34.253999999999408</v>
      </c>
      <c r="B134" s="2512" t="s">
        <v>10553</v>
      </c>
      <c r="C134" s="2512" t="s">
        <v>10810</v>
      </c>
      <c r="D134" s="3041">
        <v>138</v>
      </c>
      <c r="E134" s="3041">
        <v>138</v>
      </c>
      <c r="F134" s="2512" t="s">
        <v>10564</v>
      </c>
      <c r="G134" s="3041">
        <v>26</v>
      </c>
      <c r="H134" s="2750">
        <v>8</v>
      </c>
      <c r="I134" s="2752">
        <v>1</v>
      </c>
      <c r="J134" s="2512" t="s">
        <v>10705</v>
      </c>
      <c r="K134" s="2614"/>
      <c r="L134" s="2614"/>
      <c r="M134" s="2614"/>
      <c r="N134" s="2488"/>
      <c r="O134" s="2488"/>
      <c r="P134" s="2488"/>
      <c r="Q134" s="2488"/>
      <c r="R134" s="2479" t="str">
        <f t="shared" si="2"/>
        <v>TERMINAL, UT, TOOELE, UT, Wood - H, 397.5 ACSR 26/7</v>
      </c>
    </row>
    <row r="135" spans="1:18" ht="15" customHeight="1" x14ac:dyDescent="0.2">
      <c r="A135" s="3003">
        <f t="shared" si="3"/>
        <v>34.254999999999406</v>
      </c>
      <c r="B135" s="2512" t="s">
        <v>10553</v>
      </c>
      <c r="C135" s="2512" t="s">
        <v>10820</v>
      </c>
      <c r="D135" s="3041">
        <v>138</v>
      </c>
      <c r="E135" s="3041">
        <v>138</v>
      </c>
      <c r="F135" s="2512" t="s">
        <v>10711</v>
      </c>
      <c r="G135" s="3041">
        <v>7</v>
      </c>
      <c r="H135" s="2488"/>
      <c r="I135" s="2752">
        <v>1</v>
      </c>
      <c r="J135" s="2512" t="s">
        <v>10549</v>
      </c>
      <c r="K135" s="2614"/>
      <c r="L135" s="2614"/>
      <c r="M135" s="2614"/>
      <c r="N135" s="2488"/>
      <c r="O135" s="2488"/>
      <c r="P135" s="2488"/>
      <c r="Q135" s="2488"/>
      <c r="R135" s="2479" t="str">
        <f t="shared" si="2"/>
        <v>TERMINAL, UT, WEST VALLEY, UT, Wood - SP, 1557.4 ACSR/TW 36/7</v>
      </c>
    </row>
    <row r="136" spans="1:18" ht="15" customHeight="1" x14ac:dyDescent="0.2">
      <c r="A136" s="3003">
        <f t="shared" si="3"/>
        <v>34.255999999999403</v>
      </c>
      <c r="B136" s="2512" t="s">
        <v>10734</v>
      </c>
      <c r="C136" s="2512" t="s">
        <v>10857</v>
      </c>
      <c r="D136" s="3041">
        <v>138</v>
      </c>
      <c r="E136" s="3041">
        <v>138</v>
      </c>
      <c r="F136" s="2512" t="s">
        <v>10564</v>
      </c>
      <c r="G136" s="3041">
        <v>17</v>
      </c>
      <c r="H136" s="2488"/>
      <c r="I136" s="2752">
        <v>1</v>
      </c>
      <c r="J136" s="2512" t="s">
        <v>10744</v>
      </c>
      <c r="K136" s="2614"/>
      <c r="L136" s="2614"/>
      <c r="M136" s="2614"/>
      <c r="N136" s="2488"/>
      <c r="O136" s="2488"/>
      <c r="P136" s="2488"/>
      <c r="Q136" s="2488"/>
      <c r="R136" s="2479" t="str">
        <f t="shared" si="2"/>
        <v>THREEMILE KNOLL, ID, GRACE #1, ID, Wood - H, 250 CUHD /12</v>
      </c>
    </row>
    <row r="137" spans="1:18" ht="15" customHeight="1" x14ac:dyDescent="0.2">
      <c r="A137" s="3003">
        <f t="shared" si="3"/>
        <v>34.256999999999401</v>
      </c>
      <c r="B137" s="2512" t="s">
        <v>10734</v>
      </c>
      <c r="C137" s="2512" t="s">
        <v>10858</v>
      </c>
      <c r="D137" s="3041">
        <v>138</v>
      </c>
      <c r="E137" s="3041">
        <v>138</v>
      </c>
      <c r="F137" s="2512" t="s">
        <v>10564</v>
      </c>
      <c r="G137" s="3041">
        <v>17</v>
      </c>
      <c r="H137" s="2488"/>
      <c r="I137" s="2752">
        <v>1</v>
      </c>
      <c r="J137" s="2512" t="s">
        <v>10552</v>
      </c>
      <c r="K137" s="2614"/>
      <c r="L137" s="2614"/>
      <c r="M137" s="2614"/>
      <c r="N137" s="2488"/>
      <c r="O137" s="2488"/>
      <c r="P137" s="2488"/>
      <c r="Q137" s="2488"/>
      <c r="R137" s="2479" t="str">
        <f t="shared" ref="R137:R169" si="4">CONCATENATE(B137,", ",C137,", ",F137,", ",J137)</f>
        <v>THREEMILE KNOLL, ID, GRACE #2, ID, Wood - H, 1272 ACSR 45/7</v>
      </c>
    </row>
    <row r="138" spans="1:18" ht="15" customHeight="1" x14ac:dyDescent="0.2">
      <c r="A138" s="3003">
        <f t="shared" ref="A138:A159" si="5">A137+0.001</f>
        <v>34.257999999999399</v>
      </c>
      <c r="B138" s="2512" t="s">
        <v>10734</v>
      </c>
      <c r="C138" s="2512" t="s">
        <v>10859</v>
      </c>
      <c r="D138" s="3041">
        <v>138</v>
      </c>
      <c r="E138" s="3041">
        <v>138</v>
      </c>
      <c r="F138" s="2512" t="s">
        <v>10564</v>
      </c>
      <c r="G138" s="3041">
        <v>2</v>
      </c>
      <c r="H138" s="2488"/>
      <c r="I138" s="2752">
        <v>1</v>
      </c>
      <c r="J138" s="2512" t="s">
        <v>10552</v>
      </c>
      <c r="K138" s="2614"/>
      <c r="L138" s="2614"/>
      <c r="M138" s="2614"/>
      <c r="N138" s="2488"/>
      <c r="O138" s="2488"/>
      <c r="P138" s="2488"/>
      <c r="Q138" s="2488"/>
      <c r="R138" s="2479" t="str">
        <f t="shared" si="4"/>
        <v>THREEMILE KNOLL, ID, MONSANTO #1, ID, Wood - H, 1272 ACSR 45/7</v>
      </c>
    </row>
    <row r="139" spans="1:18" ht="15" customHeight="1" x14ac:dyDescent="0.2">
      <c r="A139" s="3003">
        <f t="shared" si="5"/>
        <v>34.258999999999396</v>
      </c>
      <c r="B139" s="2512" t="s">
        <v>10734</v>
      </c>
      <c r="C139" s="2512" t="s">
        <v>10860</v>
      </c>
      <c r="D139" s="3041">
        <v>138</v>
      </c>
      <c r="E139" s="3041">
        <v>138</v>
      </c>
      <c r="F139" s="2512" t="s">
        <v>10548</v>
      </c>
      <c r="G139" s="3041">
        <v>2</v>
      </c>
      <c r="H139" s="2488"/>
      <c r="I139" s="2752">
        <v>1</v>
      </c>
      <c r="J139" s="2512" t="s">
        <v>10552</v>
      </c>
      <c r="K139" s="2614"/>
      <c r="L139" s="2614"/>
      <c r="M139" s="2614"/>
      <c r="N139" s="2488"/>
      <c r="O139" s="2488"/>
      <c r="P139" s="2488"/>
      <c r="Q139" s="2488"/>
      <c r="R139" s="2479" t="str">
        <f t="shared" si="4"/>
        <v>THREEMILE KNOLL, ID, MONSANTO #2, ID, Steel - SP, 1272 ACSR 45/7</v>
      </c>
    </row>
    <row r="140" spans="1:18" ht="15" customHeight="1" x14ac:dyDescent="0.2">
      <c r="A140" s="3003">
        <f t="shared" si="5"/>
        <v>34.259999999999394</v>
      </c>
      <c r="B140" s="2512" t="s">
        <v>10861</v>
      </c>
      <c r="C140" s="2512" t="s">
        <v>10788</v>
      </c>
      <c r="D140" s="3041">
        <v>138</v>
      </c>
      <c r="E140" s="3041">
        <v>138</v>
      </c>
      <c r="F140" s="2512" t="s">
        <v>10548</v>
      </c>
      <c r="G140" s="3041">
        <v>2</v>
      </c>
      <c r="H140" s="2488"/>
      <c r="I140" s="2752">
        <v>1</v>
      </c>
      <c r="J140" s="2512" t="s">
        <v>10549</v>
      </c>
      <c r="K140" s="2614"/>
      <c r="L140" s="2614"/>
      <c r="M140" s="2614"/>
      <c r="N140" s="2488"/>
      <c r="O140" s="2488"/>
      <c r="P140" s="2488"/>
      <c r="Q140" s="2488"/>
      <c r="R140" s="2479" t="str">
        <f t="shared" si="4"/>
        <v>TIMP #1, UT, DYNAMO, UT, Steel - SP, 1557.4 ACSR/TW 36/7</v>
      </c>
    </row>
    <row r="141" spans="1:18" ht="15" customHeight="1" x14ac:dyDescent="0.2">
      <c r="A141" s="3003">
        <f t="shared" si="5"/>
        <v>34.260999999999392</v>
      </c>
      <c r="B141" s="2512" t="s">
        <v>10862</v>
      </c>
      <c r="C141" s="2512" t="s">
        <v>10788</v>
      </c>
      <c r="D141" s="3041">
        <v>138</v>
      </c>
      <c r="E141" s="3041">
        <v>138</v>
      </c>
      <c r="F141" s="2512" t="s">
        <v>10548</v>
      </c>
      <c r="G141" s="2614"/>
      <c r="H141" s="2750">
        <v>2</v>
      </c>
      <c r="I141" s="2752">
        <v>1</v>
      </c>
      <c r="J141" s="2512" t="s">
        <v>10549</v>
      </c>
      <c r="K141" s="2614"/>
      <c r="L141" s="2614"/>
      <c r="M141" s="2614"/>
      <c r="N141" s="2488"/>
      <c r="O141" s="2488"/>
      <c r="P141" s="2488"/>
      <c r="Q141" s="2488"/>
      <c r="R141" s="2479" t="str">
        <f t="shared" si="4"/>
        <v>TIMP #2, UT, DYNAMO, UT, Steel - SP, 1557.4 ACSR/TW 36/7</v>
      </c>
    </row>
    <row r="142" spans="1:18" ht="15" customHeight="1" x14ac:dyDescent="0.2">
      <c r="A142" s="3003">
        <f t="shared" si="5"/>
        <v>34.261999999999389</v>
      </c>
      <c r="B142" s="2512" t="s">
        <v>10863</v>
      </c>
      <c r="C142" s="2512" t="s">
        <v>10811</v>
      </c>
      <c r="D142" s="3041">
        <v>138</v>
      </c>
      <c r="E142" s="3041">
        <v>138</v>
      </c>
      <c r="F142" s="2512" t="s">
        <v>10548</v>
      </c>
      <c r="G142" s="3041">
        <v>4</v>
      </c>
      <c r="H142" s="2488"/>
      <c r="I142" s="2752">
        <v>1</v>
      </c>
      <c r="J142" s="2512" t="s">
        <v>10549</v>
      </c>
      <c r="K142" s="2614"/>
      <c r="L142" s="2614"/>
      <c r="M142" s="2614"/>
      <c r="N142" s="2488"/>
      <c r="O142" s="2488"/>
      <c r="P142" s="2488"/>
      <c r="Q142" s="2488"/>
      <c r="R142" s="2479" t="str">
        <f t="shared" si="4"/>
        <v>TIMP, UT, HALE, UT, Steel - SP, 1557.4 ACSR/TW 36/7</v>
      </c>
    </row>
    <row r="143" spans="1:18" ht="15" customHeight="1" x14ac:dyDescent="0.2">
      <c r="A143" s="3003">
        <f t="shared" si="5"/>
        <v>34.262999999999387</v>
      </c>
      <c r="B143" s="2512" t="s">
        <v>10863</v>
      </c>
      <c r="C143" s="2512" t="s">
        <v>10589</v>
      </c>
      <c r="D143" s="3041">
        <v>138</v>
      </c>
      <c r="E143" s="3041">
        <v>138</v>
      </c>
      <c r="F143" s="2512" t="s">
        <v>10564</v>
      </c>
      <c r="G143" s="3041">
        <v>23</v>
      </c>
      <c r="H143" s="2488"/>
      <c r="I143" s="2752">
        <v>1</v>
      </c>
      <c r="J143" s="2512" t="s">
        <v>10552</v>
      </c>
      <c r="K143" s="2614"/>
      <c r="L143" s="2614"/>
      <c r="M143" s="2614"/>
      <c r="N143" s="2488"/>
      <c r="O143" s="2488"/>
      <c r="P143" s="2488"/>
      <c r="Q143" s="2488"/>
      <c r="R143" s="2479" t="str">
        <f t="shared" si="4"/>
        <v>TIMP, UT, SPANISH FORK, UT, Wood - H, 1272 ACSR 45/7</v>
      </c>
    </row>
    <row r="144" spans="1:18" ht="15" customHeight="1" x14ac:dyDescent="0.2">
      <c r="A144" s="3003">
        <f t="shared" si="5"/>
        <v>34.263999999999385</v>
      </c>
      <c r="B144" s="2512" t="s">
        <v>10863</v>
      </c>
      <c r="C144" s="2512" t="s">
        <v>10864</v>
      </c>
      <c r="D144" s="3041">
        <v>138</v>
      </c>
      <c r="E144" s="3041">
        <v>138</v>
      </c>
      <c r="F144" s="2512" t="s">
        <v>10711</v>
      </c>
      <c r="G144" s="3041">
        <v>2</v>
      </c>
      <c r="H144" s="2488"/>
      <c r="I144" s="2752">
        <v>1</v>
      </c>
      <c r="J144" s="2512" t="s">
        <v>10552</v>
      </c>
      <c r="K144" s="2614"/>
      <c r="L144" s="2614"/>
      <c r="M144" s="2614"/>
      <c r="N144" s="2488"/>
      <c r="O144" s="2488"/>
      <c r="P144" s="2488"/>
      <c r="Q144" s="2488"/>
      <c r="R144" s="2479" t="str">
        <f t="shared" si="4"/>
        <v>TIMP, UT, VINEYARD, UT, Wood - SP, 1272 ACSR 45/7</v>
      </c>
    </row>
    <row r="145" spans="1:18" ht="15" customHeight="1" x14ac:dyDescent="0.2">
      <c r="A145" s="3003">
        <f t="shared" si="5"/>
        <v>34.264999999999382</v>
      </c>
      <c r="B145" s="2512" t="s">
        <v>10668</v>
      </c>
      <c r="C145" s="2512" t="s">
        <v>10712</v>
      </c>
      <c r="D145" s="3041">
        <v>138</v>
      </c>
      <c r="E145" s="3041">
        <v>138</v>
      </c>
      <c r="F145" s="2512" t="s">
        <v>10511</v>
      </c>
      <c r="G145" s="3041">
        <v>25</v>
      </c>
      <c r="H145" s="2488"/>
      <c r="I145" s="2752">
        <v>1</v>
      </c>
      <c r="J145" s="2512" t="s">
        <v>10744</v>
      </c>
      <c r="K145" s="2614"/>
      <c r="L145" s="2614"/>
      <c r="M145" s="2614"/>
      <c r="N145" s="2488"/>
      <c r="O145" s="2488"/>
      <c r="P145" s="2488"/>
      <c r="Q145" s="2488"/>
      <c r="R145" s="2479" t="str">
        <f t="shared" si="4"/>
        <v>TREASURETON, ID, GRACE, ID, Steel Tower, 250 CUHD /12</v>
      </c>
    </row>
    <row r="146" spans="1:18" ht="15" customHeight="1" x14ac:dyDescent="0.2">
      <c r="A146" s="3003">
        <f t="shared" si="5"/>
        <v>34.26599999999938</v>
      </c>
      <c r="B146" s="2512" t="s">
        <v>10668</v>
      </c>
      <c r="C146" s="2512" t="s">
        <v>10858</v>
      </c>
      <c r="D146" s="3041">
        <v>138</v>
      </c>
      <c r="E146" s="3041">
        <v>138</v>
      </c>
      <c r="F146" s="2512" t="s">
        <v>10511</v>
      </c>
      <c r="G146" s="2614"/>
      <c r="H146" s="2750">
        <v>25</v>
      </c>
      <c r="I146" s="2752">
        <v>1</v>
      </c>
      <c r="J146" s="2512" t="s">
        <v>10744</v>
      </c>
      <c r="K146" s="2614"/>
      <c r="L146" s="2614"/>
      <c r="M146" s="2614"/>
      <c r="N146" s="2488"/>
      <c r="O146" s="2488"/>
      <c r="P146" s="2488"/>
      <c r="Q146" s="2488"/>
      <c r="R146" s="2479" t="str">
        <f t="shared" si="4"/>
        <v>TREASURETON, ID, GRACE #2, ID, Steel Tower, 250 CUHD /12</v>
      </c>
    </row>
    <row r="147" spans="1:18" ht="15" customHeight="1" x14ac:dyDescent="0.2">
      <c r="A147" s="3003">
        <f t="shared" si="5"/>
        <v>34.266999999999378</v>
      </c>
      <c r="B147" s="2512" t="s">
        <v>10668</v>
      </c>
      <c r="C147" s="2512" t="s">
        <v>10831</v>
      </c>
      <c r="D147" s="3041">
        <v>138</v>
      </c>
      <c r="E147" s="3041">
        <v>138</v>
      </c>
      <c r="F147" s="2512" t="s">
        <v>10564</v>
      </c>
      <c r="G147" s="3041">
        <v>6</v>
      </c>
      <c r="H147" s="2488"/>
      <c r="I147" s="2752">
        <v>1</v>
      </c>
      <c r="J147" s="2512" t="s">
        <v>10744</v>
      </c>
      <c r="K147" s="2614"/>
      <c r="L147" s="2614"/>
      <c r="M147" s="2614"/>
      <c r="N147" s="2488"/>
      <c r="O147" s="2488"/>
      <c r="P147" s="2488"/>
      <c r="Q147" s="2488"/>
      <c r="R147" s="2479" t="str">
        <f t="shared" si="4"/>
        <v>TREASURETON, ID, ONEIDA, ID, Wood - H, 250 CUHD /12</v>
      </c>
    </row>
    <row r="148" spans="1:18" ht="15" customHeight="1" x14ac:dyDescent="0.2">
      <c r="A148" s="3003">
        <f t="shared" si="5"/>
        <v>34.267999999999375</v>
      </c>
      <c r="B148" s="2512" t="s">
        <v>10865</v>
      </c>
      <c r="C148" s="2512" t="s">
        <v>10572</v>
      </c>
      <c r="D148" s="3041">
        <v>138</v>
      </c>
      <c r="E148" s="3041">
        <v>138</v>
      </c>
      <c r="F148" s="2512" t="s">
        <v>10711</v>
      </c>
      <c r="G148" s="3041">
        <v>3</v>
      </c>
      <c r="H148" s="2750">
        <v>19</v>
      </c>
      <c r="I148" s="2752">
        <v>1</v>
      </c>
      <c r="J148" s="2512" t="s">
        <v>10549</v>
      </c>
      <c r="K148" s="2614"/>
      <c r="L148" s="2614"/>
      <c r="M148" s="2614"/>
      <c r="N148" s="2488"/>
      <c r="O148" s="2488"/>
      <c r="P148" s="2488"/>
      <c r="Q148" s="2488"/>
      <c r="R148" s="2479" t="str">
        <f t="shared" si="4"/>
        <v>TRI-CITY, UT, OQUIRRH, UT, Wood - SP, 1557.4 ACSR/TW 36/7</v>
      </c>
    </row>
    <row r="149" spans="1:18" ht="15" customHeight="1" x14ac:dyDescent="0.2">
      <c r="A149" s="3003">
        <f t="shared" si="5"/>
        <v>34.268999999999373</v>
      </c>
      <c r="B149" s="2512" t="s">
        <v>10865</v>
      </c>
      <c r="C149" s="2512" t="s">
        <v>10866</v>
      </c>
      <c r="D149" s="3041">
        <v>138</v>
      </c>
      <c r="E149" s="3041">
        <v>138</v>
      </c>
      <c r="F149" s="2512" t="s">
        <v>10711</v>
      </c>
      <c r="G149" s="3041">
        <v>23</v>
      </c>
      <c r="H149" s="2488"/>
      <c r="I149" s="2752">
        <v>1</v>
      </c>
      <c r="J149" s="2512" t="s">
        <v>10549</v>
      </c>
      <c r="K149" s="2614"/>
      <c r="L149" s="2614"/>
      <c r="M149" s="2614"/>
      <c r="N149" s="2488"/>
      <c r="O149" s="2488"/>
      <c r="P149" s="2488"/>
      <c r="Q149" s="2488"/>
      <c r="R149" s="2479" t="str">
        <f t="shared" si="4"/>
        <v>TRI-CITY, UT, SUNRISE, ID, Wood - SP, 1557.4 ACSR/TW 36/7</v>
      </c>
    </row>
    <row r="150" spans="1:18" ht="15" customHeight="1" x14ac:dyDescent="0.2">
      <c r="A150" s="3003">
        <f t="shared" si="5"/>
        <v>34.269999999999371</v>
      </c>
      <c r="B150" s="2512" t="s">
        <v>10865</v>
      </c>
      <c r="C150" s="2512" t="s">
        <v>10787</v>
      </c>
      <c r="D150" s="3041">
        <v>138</v>
      </c>
      <c r="E150" s="3041">
        <v>138</v>
      </c>
      <c r="F150" s="2512" t="s">
        <v>10564</v>
      </c>
      <c r="G150" s="3041">
        <v>15</v>
      </c>
      <c r="H150" s="2488"/>
      <c r="I150" s="2752">
        <v>1</v>
      </c>
      <c r="J150" s="2512" t="s">
        <v>10552</v>
      </c>
      <c r="K150" s="2614"/>
      <c r="L150" s="2614"/>
      <c r="M150" s="2614"/>
      <c r="N150" s="2488"/>
      <c r="O150" s="2488"/>
      <c r="P150" s="2488"/>
      <c r="Q150" s="2488"/>
      <c r="R150" s="2479" t="str">
        <f t="shared" si="4"/>
        <v>TRI-CITY, UT, WESTFIELD, UT, Wood - H, 1272 ACSR 45/7</v>
      </c>
    </row>
    <row r="151" spans="1:18" ht="15" customHeight="1" x14ac:dyDescent="0.2">
      <c r="A151" s="3003">
        <f t="shared" si="5"/>
        <v>34.270999999999368</v>
      </c>
      <c r="B151" s="2512" t="s">
        <v>10867</v>
      </c>
      <c r="C151" s="2512" t="s">
        <v>10868</v>
      </c>
      <c r="D151" s="3041">
        <v>138</v>
      </c>
      <c r="E151" s="3041">
        <v>138</v>
      </c>
      <c r="F151" s="2512" t="s">
        <v>10711</v>
      </c>
      <c r="G151" s="3041">
        <v>1</v>
      </c>
      <c r="H151" s="2488"/>
      <c r="I151" s="2752">
        <v>1</v>
      </c>
      <c r="J151" s="2512" t="s">
        <v>10549</v>
      </c>
      <c r="K151" s="2614"/>
      <c r="L151" s="2614"/>
      <c r="M151" s="2614"/>
      <c r="N151" s="2488"/>
      <c r="O151" s="2488"/>
      <c r="P151" s="2488"/>
      <c r="Q151" s="2488"/>
      <c r="R151" s="2479" t="str">
        <f t="shared" si="4"/>
        <v>VERNAL (WAPA), UT, NAPLES, UT, Wood - SP, 1557.4 ACSR/TW 36/7</v>
      </c>
    </row>
    <row r="152" spans="1:18" ht="15" customHeight="1" x14ac:dyDescent="0.2">
      <c r="A152" s="3003">
        <f t="shared" si="5"/>
        <v>34.271999999999366</v>
      </c>
      <c r="B152" s="2512" t="s">
        <v>10672</v>
      </c>
      <c r="C152" s="2512" t="s">
        <v>10869</v>
      </c>
      <c r="D152" s="3041">
        <v>138</v>
      </c>
      <c r="E152" s="3041">
        <v>138</v>
      </c>
      <c r="F152" s="2512" t="s">
        <v>10711</v>
      </c>
      <c r="G152" s="3041">
        <v>20</v>
      </c>
      <c r="H152" s="2488"/>
      <c r="I152" s="2752">
        <v>1</v>
      </c>
      <c r="J152" s="2512" t="s">
        <v>10582</v>
      </c>
      <c r="K152" s="2614"/>
      <c r="L152" s="2614"/>
      <c r="M152" s="2614"/>
      <c r="N152" s="2488"/>
      <c r="O152" s="2488"/>
      <c r="P152" s="2488"/>
      <c r="Q152" s="2488"/>
      <c r="R152" s="2479" t="str">
        <f t="shared" si="4"/>
        <v>WEST CEDAR, UT, THREE PEAKS, UT, Wood - SP, 795 ACSR 45/7</v>
      </c>
    </row>
    <row r="153" spans="1:18" ht="15" customHeight="1" x14ac:dyDescent="0.2">
      <c r="A153" s="3003">
        <f t="shared" si="5"/>
        <v>34.272999999999364</v>
      </c>
      <c r="B153" s="2512" t="s">
        <v>10820</v>
      </c>
      <c r="C153" s="2512" t="s">
        <v>10572</v>
      </c>
      <c r="D153" s="3041">
        <v>138</v>
      </c>
      <c r="E153" s="3041">
        <v>138</v>
      </c>
      <c r="F153" s="2512" t="s">
        <v>10564</v>
      </c>
      <c r="G153" s="3041">
        <v>9</v>
      </c>
      <c r="H153" s="2488"/>
      <c r="I153" s="2752">
        <v>1</v>
      </c>
      <c r="J153" s="2512" t="s">
        <v>10549</v>
      </c>
      <c r="K153" s="2614"/>
      <c r="L153" s="2614"/>
      <c r="M153" s="2614"/>
      <c r="N153" s="2488"/>
      <c r="O153" s="2488"/>
      <c r="P153" s="2488"/>
      <c r="Q153" s="2488"/>
      <c r="R153" s="2479" t="str">
        <f t="shared" si="4"/>
        <v>WEST VALLEY, UT, OQUIRRH, UT, Wood - H, 1557.4 ACSR/TW 36/7</v>
      </c>
    </row>
    <row r="154" spans="1:18" ht="15" customHeight="1" x14ac:dyDescent="0.2">
      <c r="A154" s="3003">
        <f t="shared" si="5"/>
        <v>34.273999999999361</v>
      </c>
      <c r="B154" s="2512" t="s">
        <v>10787</v>
      </c>
      <c r="C154" s="2512" t="s">
        <v>10811</v>
      </c>
      <c r="D154" s="3041">
        <v>138</v>
      </c>
      <c r="E154" s="3041">
        <v>138</v>
      </c>
      <c r="F154" s="2512" t="s">
        <v>10564</v>
      </c>
      <c r="G154" s="3041">
        <v>13</v>
      </c>
      <c r="H154" s="2488"/>
      <c r="I154" s="2752">
        <v>1</v>
      </c>
      <c r="J154" s="2512" t="s">
        <v>10518</v>
      </c>
      <c r="K154" s="2614"/>
      <c r="L154" s="2614"/>
      <c r="M154" s="2614"/>
      <c r="N154" s="2488"/>
      <c r="O154" s="2488"/>
      <c r="P154" s="2488"/>
      <c r="Q154" s="2488"/>
      <c r="R154" s="2479" t="str">
        <f t="shared" si="4"/>
        <v>WESTFIELD, UT, HALE, UT, Wood - H, 795 ACSR 26/7</v>
      </c>
    </row>
    <row r="155" spans="1:18" ht="15" customHeight="1" x14ac:dyDescent="0.2">
      <c r="A155" s="3003">
        <f t="shared" si="5"/>
        <v>34.274999999999359</v>
      </c>
      <c r="B155" s="2744" t="s">
        <v>10753</v>
      </c>
      <c r="C155" s="2512" t="s">
        <v>10870</v>
      </c>
      <c r="D155" s="3041">
        <v>138</v>
      </c>
      <c r="E155" s="3041">
        <v>138</v>
      </c>
      <c r="F155" s="2512" t="s">
        <v>10564</v>
      </c>
      <c r="G155" s="3041">
        <v>87</v>
      </c>
      <c r="H155" s="2488"/>
      <c r="I155" s="2752">
        <v>1</v>
      </c>
      <c r="J155" s="2512" t="s">
        <v>10744</v>
      </c>
      <c r="K155" s="2614"/>
      <c r="L155" s="2614"/>
      <c r="M155" s="2614"/>
      <c r="N155" s="2488"/>
      <c r="O155" s="2488"/>
      <c r="P155" s="2488"/>
      <c r="Q155" s="2488"/>
      <c r="R155" s="2479" t="str">
        <f t="shared" si="4"/>
        <v>WHEELON, UT, AMERICAN FALLS, ID, Wood - H, 250 CUHD /12</v>
      </c>
    </row>
    <row r="156" spans="1:18" ht="15" customHeight="1" x14ac:dyDescent="0.2">
      <c r="A156" s="3003">
        <f t="shared" si="5"/>
        <v>34.275999999999357</v>
      </c>
      <c r="B156" s="2512" t="s">
        <v>10871</v>
      </c>
      <c r="C156" s="2512" t="s">
        <v>10668</v>
      </c>
      <c r="D156" s="3041">
        <v>138</v>
      </c>
      <c r="E156" s="3041">
        <v>138</v>
      </c>
      <c r="F156" s="2512" t="s">
        <v>10511</v>
      </c>
      <c r="G156" s="3041">
        <v>29</v>
      </c>
      <c r="H156" s="2488"/>
      <c r="I156" s="2752">
        <v>1</v>
      </c>
      <c r="J156" s="2512" t="s">
        <v>10744</v>
      </c>
      <c r="K156" s="2614"/>
      <c r="L156" s="2614"/>
      <c r="M156" s="2614"/>
      <c r="N156" s="2488"/>
      <c r="O156" s="2488"/>
      <c r="P156" s="2488"/>
      <c r="Q156" s="2488"/>
      <c r="R156" s="2479" t="str">
        <f t="shared" si="4"/>
        <v>WHEELON #1, UT, TREASURETON, ID, Steel Tower, 250 CUHD /12</v>
      </c>
    </row>
    <row r="157" spans="1:18" ht="15" customHeight="1" x14ac:dyDescent="0.2">
      <c r="A157" s="3003">
        <f t="shared" si="5"/>
        <v>34.276999999999354</v>
      </c>
      <c r="B157" s="2512" t="s">
        <v>10872</v>
      </c>
      <c r="C157" s="2512" t="s">
        <v>10668</v>
      </c>
      <c r="D157" s="3041">
        <v>138</v>
      </c>
      <c r="E157" s="3041">
        <v>138</v>
      </c>
      <c r="F157" s="2512" t="s">
        <v>10511</v>
      </c>
      <c r="G157" s="2614"/>
      <c r="H157" s="2750">
        <v>29</v>
      </c>
      <c r="I157" s="2752">
        <v>1</v>
      </c>
      <c r="J157" s="2512" t="s">
        <v>10744</v>
      </c>
      <c r="K157" s="2614"/>
      <c r="L157" s="2614"/>
      <c r="M157" s="2614"/>
      <c r="N157" s="2488"/>
      <c r="O157" s="2488"/>
      <c r="P157" s="2488"/>
      <c r="Q157" s="2488"/>
      <c r="R157" s="2479" t="str">
        <f t="shared" si="4"/>
        <v>WHEELON #2, UT, TREASURETON, ID, Steel Tower, 250 CUHD /12</v>
      </c>
    </row>
    <row r="158" spans="1:18" ht="15" customHeight="1" x14ac:dyDescent="0.2">
      <c r="A158" s="3003">
        <f t="shared" si="5"/>
        <v>34.277999999999352</v>
      </c>
      <c r="B158" s="2512" t="s">
        <v>10873</v>
      </c>
      <c r="C158" s="2512" t="s">
        <v>10668</v>
      </c>
      <c r="D158" s="3041">
        <v>138</v>
      </c>
      <c r="E158" s="3041">
        <v>138</v>
      </c>
      <c r="F158" s="2512" t="s">
        <v>10564</v>
      </c>
      <c r="G158" s="3041">
        <v>29</v>
      </c>
      <c r="H158" s="2488"/>
      <c r="I158" s="2752">
        <v>1</v>
      </c>
      <c r="J158" s="2512" t="s">
        <v>10744</v>
      </c>
      <c r="K158" s="2614"/>
      <c r="L158" s="2614"/>
      <c r="M158" s="2614"/>
      <c r="N158" s="2488"/>
      <c r="O158" s="2488"/>
      <c r="P158" s="2488"/>
      <c r="Q158" s="2488"/>
      <c r="R158" s="2479" t="str">
        <f t="shared" si="4"/>
        <v>WHEELON #3, UT, TREASURETON, ID, Wood - H, 250 CUHD /12</v>
      </c>
    </row>
    <row r="159" spans="1:18" ht="15" customHeight="1" x14ac:dyDescent="0.2">
      <c r="A159" s="3003">
        <f t="shared" si="5"/>
        <v>34.27899999999935</v>
      </c>
      <c r="B159" s="2512" t="s">
        <v>10874</v>
      </c>
      <c r="C159" s="2512"/>
      <c r="D159" s="2614"/>
      <c r="E159" s="2614"/>
      <c r="F159" s="2512"/>
      <c r="G159" s="2614"/>
      <c r="H159" s="2488"/>
      <c r="I159" s="2614"/>
      <c r="J159" s="2512"/>
      <c r="K159" s="2530">
        <v>43254597</v>
      </c>
      <c r="L159" s="2530">
        <v>463014693</v>
      </c>
      <c r="M159" s="2530">
        <f>SUM(K159:L159)</f>
        <v>506269290</v>
      </c>
      <c r="N159" s="2530">
        <v>657690</v>
      </c>
      <c r="O159" s="2530">
        <v>1523842</v>
      </c>
      <c r="P159" s="2530">
        <v>99804</v>
      </c>
      <c r="Q159" s="2530">
        <f>SUM(N159:P159)</f>
        <v>2281336</v>
      </c>
      <c r="R159" s="2479" t="str">
        <f t="shared" si="4"/>
        <v xml:space="preserve">138 kV Costs and Expenses, , , </v>
      </c>
    </row>
    <row r="160" spans="1:18" ht="15" customHeight="1" x14ac:dyDescent="0.2">
      <c r="A160" s="2614"/>
      <c r="B160" s="2669" t="s">
        <v>10875</v>
      </c>
      <c r="C160" s="2512"/>
      <c r="D160" s="2614"/>
      <c r="E160" s="2614"/>
      <c r="F160" s="2512"/>
      <c r="G160" s="3045">
        <f>SUM(G9:G158)</f>
        <v>2289</v>
      </c>
      <c r="H160" s="3045">
        <f>SUM(H9:H158)</f>
        <v>215</v>
      </c>
      <c r="I160" s="3018">
        <f>SUM(I9:I158)</f>
        <v>152</v>
      </c>
      <c r="J160" s="2512"/>
      <c r="K160" s="2736">
        <f t="shared" ref="K160:Q160" si="6">SUM(K9:K159)</f>
        <v>43254597</v>
      </c>
      <c r="L160" s="2736">
        <f t="shared" si="6"/>
        <v>463014693</v>
      </c>
      <c r="M160" s="2736">
        <f t="shared" si="6"/>
        <v>506269290</v>
      </c>
      <c r="N160" s="2736">
        <f t="shared" si="6"/>
        <v>657690</v>
      </c>
      <c r="O160" s="2736">
        <f t="shared" si="6"/>
        <v>1523842</v>
      </c>
      <c r="P160" s="2736">
        <f t="shared" si="6"/>
        <v>99804</v>
      </c>
      <c r="Q160" s="2736">
        <f t="shared" si="6"/>
        <v>2281336</v>
      </c>
      <c r="R160" s="2479" t="str">
        <f t="shared" si="4"/>
        <v xml:space="preserve">SUBTOTAL 138 kV, , , </v>
      </c>
    </row>
    <row r="161" spans="1:18" ht="15" customHeight="1" x14ac:dyDescent="0.2">
      <c r="A161" s="3003">
        <f>A159+0.001</f>
        <v>34.279999999999347</v>
      </c>
      <c r="B161" s="2512"/>
      <c r="C161" s="2512"/>
      <c r="D161" s="2614"/>
      <c r="E161" s="2614"/>
      <c r="F161" s="2512"/>
      <c r="G161" s="2614"/>
      <c r="H161" s="2488"/>
      <c r="I161" s="2614"/>
      <c r="J161" s="2512"/>
      <c r="K161" s="2614"/>
      <c r="L161" s="2614"/>
      <c r="M161" s="2614"/>
      <c r="N161" s="2488"/>
      <c r="O161" s="2488"/>
      <c r="P161" s="2488"/>
      <c r="Q161" s="2488"/>
      <c r="R161" s="2479" t="str">
        <f t="shared" si="4"/>
        <v xml:space="preserve">, , , </v>
      </c>
    </row>
    <row r="162" spans="1:18" ht="15" customHeight="1" x14ac:dyDescent="0.2">
      <c r="A162" s="3003">
        <f t="shared" ref="A162:A168" si="7">A161+0.001</f>
        <v>34.280999999999345</v>
      </c>
      <c r="B162" s="2669" t="s">
        <v>10876</v>
      </c>
      <c r="C162" s="2512"/>
      <c r="D162" s="2614"/>
      <c r="E162" s="2614"/>
      <c r="F162" s="2512"/>
      <c r="G162" s="3055">
        <f>1688+1</f>
        <v>1689</v>
      </c>
      <c r="H162" s="3056">
        <v>0</v>
      </c>
      <c r="I162" s="3057">
        <v>0</v>
      </c>
      <c r="J162" s="2512"/>
      <c r="K162" s="2672">
        <v>8375318</v>
      </c>
      <c r="L162" s="2672">
        <v>337693805</v>
      </c>
      <c r="M162" s="2672">
        <f>SUM(K162:L162)</f>
        <v>346069123</v>
      </c>
      <c r="N162" s="2672">
        <v>73285</v>
      </c>
      <c r="O162" s="2672">
        <v>5558088</v>
      </c>
      <c r="P162" s="2672">
        <v>382147</v>
      </c>
      <c r="Q162" s="2672">
        <f>SUM(N162:P162)</f>
        <v>6013520</v>
      </c>
      <c r="R162" s="2479" t="str">
        <f t="shared" si="4"/>
        <v xml:space="preserve">All 115kV Lines, , , </v>
      </c>
    </row>
    <row r="163" spans="1:18" ht="15" customHeight="1" x14ac:dyDescent="0.2">
      <c r="A163" s="3003">
        <f t="shared" si="7"/>
        <v>34.281999999999343</v>
      </c>
      <c r="B163" s="2512"/>
      <c r="C163" s="2512"/>
      <c r="D163" s="2614"/>
      <c r="E163" s="2614"/>
      <c r="F163" s="2512"/>
      <c r="G163" s="2614"/>
      <c r="H163" s="2668"/>
      <c r="I163" s="2812"/>
      <c r="J163" s="2512"/>
      <c r="K163" s="2488"/>
      <c r="L163" s="2614"/>
      <c r="M163" s="2614"/>
      <c r="N163" s="2488"/>
      <c r="O163" s="2488"/>
      <c r="P163" s="2488"/>
      <c r="Q163" s="2488"/>
      <c r="R163" s="2479" t="str">
        <f t="shared" si="4"/>
        <v xml:space="preserve">, , , </v>
      </c>
    </row>
    <row r="164" spans="1:18" ht="15" customHeight="1" x14ac:dyDescent="0.2">
      <c r="A164" s="3003">
        <f t="shared" si="7"/>
        <v>34.28299999999934</v>
      </c>
      <c r="B164" s="2669" t="s">
        <v>10877</v>
      </c>
      <c r="C164" s="2512"/>
      <c r="D164" s="2614"/>
      <c r="E164" s="2614"/>
      <c r="F164" s="2512"/>
      <c r="G164" s="3058">
        <v>2895</v>
      </c>
      <c r="H164" s="3056">
        <v>0</v>
      </c>
      <c r="I164" s="3057">
        <v>0</v>
      </c>
      <c r="J164" s="2512"/>
      <c r="K164" s="2672">
        <v>9958772</v>
      </c>
      <c r="L164" s="2530">
        <v>410712216</v>
      </c>
      <c r="M164" s="2672">
        <f>SUM(K164:L164)</f>
        <v>420670988</v>
      </c>
      <c r="N164" s="2672">
        <v>114899</v>
      </c>
      <c r="O164" s="2672">
        <v>10269316</v>
      </c>
      <c r="P164" s="2672">
        <v>219716</v>
      </c>
      <c r="Q164" s="2672">
        <f>SUM(N164:P164)</f>
        <v>10603931</v>
      </c>
      <c r="R164" s="2479" t="str">
        <f t="shared" si="4"/>
        <v xml:space="preserve">All 69kV Lines, , , </v>
      </c>
    </row>
    <row r="165" spans="1:18" ht="15" customHeight="1" x14ac:dyDescent="0.2">
      <c r="A165" s="3003">
        <f t="shared" si="7"/>
        <v>34.283999999999338</v>
      </c>
      <c r="B165" s="2512"/>
      <c r="C165" s="2512"/>
      <c r="D165" s="2614"/>
      <c r="E165" s="2614"/>
      <c r="F165" s="2512"/>
      <c r="G165" s="2614"/>
      <c r="H165" s="2668"/>
      <c r="I165" s="2812"/>
      <c r="J165" s="2512"/>
      <c r="K165" s="2488"/>
      <c r="L165" s="2614"/>
      <c r="M165" s="2614"/>
      <c r="N165" s="2488"/>
      <c r="O165" s="2488"/>
      <c r="P165" s="2488"/>
      <c r="Q165" s="2488"/>
      <c r="R165" s="2479" t="str">
        <f t="shared" si="4"/>
        <v xml:space="preserve">, , , </v>
      </c>
    </row>
    <row r="166" spans="1:18" ht="15" customHeight="1" x14ac:dyDescent="0.2">
      <c r="A166" s="3003">
        <f t="shared" si="7"/>
        <v>34.284999999999336</v>
      </c>
      <c r="B166" s="2669" t="s">
        <v>10878</v>
      </c>
      <c r="C166" s="2512"/>
      <c r="D166" s="2614"/>
      <c r="E166" s="2614"/>
      <c r="F166" s="2512"/>
      <c r="G166" s="3058">
        <v>104</v>
      </c>
      <c r="H166" s="3056">
        <v>0</v>
      </c>
      <c r="I166" s="3057">
        <v>0</v>
      </c>
      <c r="J166" s="2512"/>
      <c r="K166" s="2672">
        <v>141468</v>
      </c>
      <c r="L166" s="2763">
        <v>16119540</v>
      </c>
      <c r="M166" s="2672">
        <f>SUM(K166:L166)</f>
        <v>16261008</v>
      </c>
      <c r="N166" s="2672">
        <v>35984</v>
      </c>
      <c r="O166" s="2763">
        <f>163984+1</f>
        <v>163985</v>
      </c>
      <c r="P166" s="2672">
        <v>764</v>
      </c>
      <c r="Q166" s="2672">
        <f>SUM(N166:P166)</f>
        <v>200733</v>
      </c>
      <c r="R166" s="2479" t="str">
        <f t="shared" si="4"/>
        <v xml:space="preserve">All 57kV Lines, , , </v>
      </c>
    </row>
    <row r="167" spans="1:18" ht="15" customHeight="1" x14ac:dyDescent="0.2">
      <c r="A167" s="3003">
        <f t="shared" si="7"/>
        <v>34.285999999999333</v>
      </c>
      <c r="B167" s="2512"/>
      <c r="C167" s="2512"/>
      <c r="D167" s="2614"/>
      <c r="E167" s="2614"/>
      <c r="F167" s="2512"/>
      <c r="G167" s="2614"/>
      <c r="H167" s="2668"/>
      <c r="I167" s="2812"/>
      <c r="J167" s="2512"/>
      <c r="K167" s="2614"/>
      <c r="L167" s="2614"/>
      <c r="M167" s="2614"/>
      <c r="N167" s="2488"/>
      <c r="O167" s="2488"/>
      <c r="P167" s="2488"/>
      <c r="Q167" s="2488"/>
      <c r="R167" s="2479" t="str">
        <f t="shared" si="4"/>
        <v xml:space="preserve">, , , </v>
      </c>
    </row>
    <row r="168" spans="1:18" ht="15" customHeight="1" x14ac:dyDescent="0.2">
      <c r="A168" s="3003">
        <f t="shared" si="7"/>
        <v>34.286999999999331</v>
      </c>
      <c r="B168" s="2669" t="s">
        <v>10879</v>
      </c>
      <c r="C168" s="2512"/>
      <c r="D168" s="2614"/>
      <c r="E168" s="2614"/>
      <c r="F168" s="2512"/>
      <c r="G168" s="3058">
        <v>2529</v>
      </c>
      <c r="H168" s="3056">
        <v>0</v>
      </c>
      <c r="I168" s="3057">
        <v>0</v>
      </c>
      <c r="J168" s="2512"/>
      <c r="K168" s="2672">
        <v>12681141</v>
      </c>
      <c r="L168" s="2672">
        <v>332482040</v>
      </c>
      <c r="M168" s="2672">
        <f>SUM(K168:L168)</f>
        <v>345163181</v>
      </c>
      <c r="N168" s="2672">
        <v>422811</v>
      </c>
      <c r="O168" s="2763">
        <f>2109093+1</f>
        <v>2109094</v>
      </c>
      <c r="P168" s="2672">
        <v>122070</v>
      </c>
      <c r="Q168" s="2672">
        <f>SUM(N168:P168)</f>
        <v>2653975</v>
      </c>
      <c r="R168" s="2479" t="str">
        <f t="shared" si="4"/>
        <v xml:space="preserve">All 46kV Lines, , , </v>
      </c>
    </row>
    <row r="169" spans="1:18" ht="6.6" customHeight="1" x14ac:dyDescent="0.2">
      <c r="A169" s="2614"/>
      <c r="B169" s="2488"/>
      <c r="C169" s="2488"/>
      <c r="D169" s="2488"/>
      <c r="E169" s="2488"/>
      <c r="F169" s="2488"/>
      <c r="G169" s="2488"/>
      <c r="H169" s="2488"/>
      <c r="I169" s="2488"/>
      <c r="J169" s="2488"/>
      <c r="K169" s="2488"/>
      <c r="L169" s="2488"/>
      <c r="M169" s="2488"/>
      <c r="N169" s="2488"/>
      <c r="O169" s="2488"/>
      <c r="P169" s="2488"/>
      <c r="Q169" s="2488"/>
      <c r="R169" s="2479" t="str">
        <f t="shared" si="4"/>
        <v xml:space="preserve">, , , </v>
      </c>
    </row>
    <row r="170" spans="1:18" ht="19.149999999999999" customHeight="1" x14ac:dyDescent="0.2">
      <c r="A170" s="2752">
        <v>36</v>
      </c>
      <c r="B170" s="2488"/>
      <c r="C170" s="2488"/>
      <c r="D170" s="2488"/>
      <c r="E170" s="2488"/>
      <c r="F170" s="2669" t="s">
        <v>197</v>
      </c>
      <c r="G170" s="3045">
        <v>17414</v>
      </c>
      <c r="H170" s="3045">
        <v>662</v>
      </c>
      <c r="I170" s="3018">
        <v>311</v>
      </c>
      <c r="J170" s="2488"/>
      <c r="K170" s="3018">
        <v>314524034</v>
      </c>
      <c r="L170" s="3018">
        <v>4549395421</v>
      </c>
      <c r="M170" s="3018">
        <v>4863919455</v>
      </c>
      <c r="N170" s="3018">
        <v>1947377</v>
      </c>
      <c r="O170" s="3018">
        <v>29154506</v>
      </c>
      <c r="P170" s="3018">
        <v>1826421</v>
      </c>
      <c r="Q170" s="3018">
        <v>32928304</v>
      </c>
      <c r="R170" s="2479"/>
    </row>
    <row r="171" spans="1:18" ht="16.7" customHeight="1" x14ac:dyDescent="0.2">
      <c r="A171" s="2516"/>
      <c r="B171" s="2516"/>
      <c r="C171" s="2516"/>
      <c r="D171" s="2516"/>
      <c r="E171" s="2516"/>
      <c r="F171" s="2516"/>
      <c r="G171" s="2516"/>
      <c r="H171" s="2516"/>
      <c r="I171" s="2516"/>
      <c r="J171" s="2516"/>
      <c r="K171" s="2516"/>
      <c r="L171" s="2516"/>
      <c r="M171" s="2516"/>
      <c r="N171" s="2516"/>
      <c r="O171" s="2516"/>
      <c r="P171" s="2516"/>
      <c r="Q171" s="2516"/>
    </row>
    <row r="172" spans="1:18" ht="16.7" customHeight="1" x14ac:dyDescent="0.2"/>
    <row r="173" spans="1:18" ht="16.7" customHeight="1" x14ac:dyDescent="0.2"/>
    <row r="174" spans="1:18" ht="16.7" customHeight="1" x14ac:dyDescent="0.2"/>
    <row r="175" spans="1:18" ht="16.7" customHeight="1" x14ac:dyDescent="0.2"/>
    <row r="176" spans="1:18" ht="16.7" customHeight="1" x14ac:dyDescent="0.2"/>
    <row r="177" ht="16.7" customHeight="1" x14ac:dyDescent="0.2"/>
    <row r="178" ht="16.7" customHeight="1" x14ac:dyDescent="0.2"/>
    <row r="179" ht="16.7" customHeight="1" x14ac:dyDescent="0.2"/>
    <row r="180" ht="16.7" customHeight="1" x14ac:dyDescent="0.2"/>
    <row r="181" ht="16.7" customHeight="1" x14ac:dyDescent="0.2"/>
    <row r="182" ht="16.7" customHeight="1" x14ac:dyDescent="0.2"/>
    <row r="183" ht="16.7" customHeight="1" x14ac:dyDescent="0.2"/>
    <row r="184" ht="16.7" customHeight="1" x14ac:dyDescent="0.2"/>
    <row r="185" ht="16.7" customHeight="1" x14ac:dyDescent="0.2"/>
    <row r="186" ht="16.7" customHeight="1" x14ac:dyDescent="0.2"/>
    <row r="187" ht="16.7" customHeight="1" x14ac:dyDescent="0.2"/>
    <row r="188" ht="16.7" customHeight="1" x14ac:dyDescent="0.2"/>
    <row r="189" ht="16.7" customHeight="1" x14ac:dyDescent="0.2"/>
    <row r="190" ht="16.7" customHeight="1" x14ac:dyDescent="0.2"/>
    <row r="191" ht="16.7" customHeight="1" x14ac:dyDescent="0.2"/>
    <row r="192" ht="16.7" customHeight="1" x14ac:dyDescent="0.2"/>
    <row r="193" ht="16.7" customHeight="1" x14ac:dyDescent="0.2"/>
    <row r="194" ht="16.7" customHeight="1" x14ac:dyDescent="0.2"/>
    <row r="195" ht="16.7" customHeight="1" x14ac:dyDescent="0.2"/>
    <row r="196" ht="16.7" customHeight="1" x14ac:dyDescent="0.2"/>
    <row r="197" ht="16.7" customHeight="1" x14ac:dyDescent="0.2"/>
    <row r="198" ht="16.7" customHeight="1" x14ac:dyDescent="0.2"/>
    <row r="199" ht="16.7" customHeight="1" x14ac:dyDescent="0.2"/>
    <row r="200" ht="16.7" customHeight="1" x14ac:dyDescent="0.2"/>
    <row r="201" ht="16.7" customHeight="1" x14ac:dyDescent="0.2"/>
    <row r="202" ht="16.7" customHeight="1" x14ac:dyDescent="0.2"/>
    <row r="203" ht="16.7" customHeight="1" x14ac:dyDescent="0.2"/>
    <row r="204" ht="16.7" customHeight="1" x14ac:dyDescent="0.2"/>
    <row r="205" ht="16.7" customHeight="1" x14ac:dyDescent="0.2"/>
    <row r="206" ht="16.7" customHeight="1" x14ac:dyDescent="0.2"/>
    <row r="207" ht="16.7" customHeight="1" x14ac:dyDescent="0.2"/>
    <row r="208" ht="16.7" customHeight="1" x14ac:dyDescent="0.2"/>
    <row r="209" ht="16.7" customHeight="1" x14ac:dyDescent="0.2"/>
    <row r="210" ht="16.7" customHeight="1" x14ac:dyDescent="0.2"/>
    <row r="211" ht="16.7" customHeight="1" x14ac:dyDescent="0.2"/>
    <row r="212" ht="16.7" customHeight="1" x14ac:dyDescent="0.2"/>
    <row r="213" ht="16.7" customHeight="1" x14ac:dyDescent="0.2"/>
    <row r="214" ht="16.7" customHeight="1" x14ac:dyDescent="0.2"/>
    <row r="215" ht="16.7" customHeight="1" x14ac:dyDescent="0.2"/>
    <row r="216" ht="16.7" customHeight="1" x14ac:dyDescent="0.2"/>
    <row r="217" ht="16.7" customHeight="1" x14ac:dyDescent="0.2"/>
    <row r="218" ht="16.7" customHeight="1" x14ac:dyDescent="0.2"/>
    <row r="219" ht="16.7" customHeight="1" x14ac:dyDescent="0.2"/>
    <row r="220" ht="16.7" customHeight="1" x14ac:dyDescent="0.2"/>
    <row r="221" ht="16.7" customHeight="1" x14ac:dyDescent="0.2"/>
    <row r="222" ht="16.7" customHeight="1" x14ac:dyDescent="0.2"/>
    <row r="223" ht="16.7" customHeight="1" x14ac:dyDescent="0.2"/>
    <row r="224" ht="16.7" customHeight="1" x14ac:dyDescent="0.2"/>
    <row r="225" ht="16.7" customHeight="1" x14ac:dyDescent="0.2"/>
    <row r="226" ht="16.7" customHeight="1" x14ac:dyDescent="0.2"/>
    <row r="227" ht="16.7" customHeight="1" x14ac:dyDescent="0.2"/>
    <row r="228" ht="16.7" customHeight="1" x14ac:dyDescent="0.2"/>
    <row r="229" ht="16.7" customHeight="1" x14ac:dyDescent="0.2"/>
    <row r="230" ht="15" customHeight="1" x14ac:dyDescent="0.2"/>
  </sheetData>
  <mergeCells count="18">
    <mergeCell ref="N6:Q6"/>
    <mergeCell ref="A5:I5"/>
    <mergeCell ref="J5:Q5"/>
    <mergeCell ref="A6:A8"/>
    <mergeCell ref="B6:C6"/>
    <mergeCell ref="D6:E6"/>
    <mergeCell ref="F6:F7"/>
    <mergeCell ref="G6:H6"/>
    <mergeCell ref="I6:I7"/>
    <mergeCell ref="J6:J7"/>
    <mergeCell ref="K6:M6"/>
    <mergeCell ref="A4:I4"/>
    <mergeCell ref="J4:Q4"/>
    <mergeCell ref="B2:J2"/>
    <mergeCell ref="K2:M2"/>
    <mergeCell ref="N2:Q2"/>
    <mergeCell ref="A3:I3"/>
    <mergeCell ref="J3:Q3"/>
  </mergeCells>
  <pageMargins left="0.75" right="0.75" top="1" bottom="1" header="0.5" footer="0.5"/>
  <customProperties>
    <customPr name="_pios_id" r:id="rId1"/>
  </customProperties>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39F2C6-4CAE-4553-B196-C469A4E0A616}">
  <sheetPr codeName="Sheet108"/>
  <dimension ref="A1:S106"/>
  <sheetViews>
    <sheetView showRuler="0" workbookViewId="0"/>
  </sheetViews>
  <sheetFormatPr defaultColWidth="11.5" defaultRowHeight="12.75" x14ac:dyDescent="0.2"/>
  <cols>
    <col min="1" max="1" width="4.75" style="1953" customWidth="1"/>
    <col min="2" max="2" width="16.75" style="1953" customWidth="1"/>
    <col min="3" max="3" width="19.25" style="1953" customWidth="1"/>
    <col min="4" max="4" width="4.875" style="1953" customWidth="1"/>
    <col min="5" max="5" width="11.25" style="1953" customWidth="1"/>
    <col min="6" max="6" width="9.75" style="1953" customWidth="1"/>
    <col min="7" max="7" width="5.375" style="1953" customWidth="1"/>
    <col min="8" max="8" width="9.625" style="1953" customWidth="1"/>
    <col min="9" max="9" width="6.875" style="1953" customWidth="1"/>
    <col min="10" max="10" width="12.625" style="1953" customWidth="1"/>
    <col min="11" max="11" width="12" style="1953" customWidth="1"/>
    <col min="12" max="12" width="8.125" style="1953" customWidth="1"/>
    <col min="13" max="17" width="10" style="1953" customWidth="1"/>
    <col min="18" max="18" width="10.875" style="1953" customWidth="1"/>
    <col min="19" max="19" width="14.625" style="1953" customWidth="1"/>
    <col min="20" max="25" width="17.625" style="1953" customWidth="1"/>
    <col min="26" max="16384" width="11.5" style="1953"/>
  </cols>
  <sheetData>
    <row r="1" spans="1:19" ht="16.7" customHeight="1" x14ac:dyDescent="0.2">
      <c r="B1" s="4180" t="s">
        <v>7058</v>
      </c>
      <c r="C1" s="4181"/>
      <c r="D1" s="2479"/>
    </row>
    <row r="2" spans="1:19" ht="16.7" customHeight="1" x14ac:dyDescent="0.2">
      <c r="B2" s="2483"/>
      <c r="C2" s="2483"/>
    </row>
    <row r="3" spans="1:19" ht="16.7" customHeight="1" x14ac:dyDescent="0.2">
      <c r="A3" s="3932" t="s">
        <v>10880</v>
      </c>
      <c r="B3" s="3975"/>
      <c r="C3" s="3975"/>
      <c r="D3" s="3975"/>
      <c r="E3" s="3975"/>
      <c r="F3" s="3975"/>
      <c r="G3" s="3975"/>
      <c r="H3" s="3975"/>
      <c r="I3" s="3975"/>
      <c r="J3" s="3975"/>
      <c r="K3" s="3975"/>
      <c r="L3" s="3975"/>
      <c r="M3" s="3975"/>
      <c r="N3" s="3975"/>
      <c r="O3" s="3975"/>
      <c r="P3" s="3975"/>
      <c r="Q3" s="3975"/>
      <c r="R3" s="3976"/>
      <c r="S3" s="2479"/>
    </row>
    <row r="4" spans="1:19" ht="16.7" customHeight="1" x14ac:dyDescent="0.2">
      <c r="A4" s="3882" t="s">
        <v>10881</v>
      </c>
      <c r="B4" s="3891"/>
      <c r="C4" s="3891"/>
      <c r="D4" s="3891"/>
      <c r="E4" s="3891"/>
      <c r="F4" s="3891"/>
      <c r="G4" s="3891"/>
      <c r="H4" s="3891"/>
      <c r="I4" s="3891"/>
      <c r="J4" s="3891"/>
      <c r="K4" s="3891"/>
      <c r="L4" s="3891"/>
      <c r="M4" s="3891"/>
      <c r="N4" s="3891"/>
      <c r="O4" s="3891"/>
      <c r="P4" s="3891"/>
      <c r="Q4" s="3891"/>
      <c r="R4" s="3892"/>
      <c r="S4" s="2479"/>
    </row>
    <row r="5" spans="1:19" ht="60.75" customHeight="1" x14ac:dyDescent="0.2">
      <c r="A5" s="3878" t="s">
        <v>10882</v>
      </c>
      <c r="B5" s="3879"/>
      <c r="C5" s="3879"/>
      <c r="D5" s="3879"/>
      <c r="E5" s="3879"/>
      <c r="F5" s="3879"/>
      <c r="G5" s="3879"/>
      <c r="H5" s="3880"/>
      <c r="I5" s="4009" t="s">
        <v>10883</v>
      </c>
      <c r="J5" s="4010"/>
      <c r="K5" s="4010"/>
      <c r="L5" s="4010"/>
      <c r="M5" s="4010"/>
      <c r="N5" s="4010"/>
      <c r="O5" s="4010"/>
      <c r="P5" s="4010"/>
      <c r="Q5" s="4010"/>
      <c r="R5" s="4011"/>
      <c r="S5" s="2479"/>
    </row>
    <row r="6" spans="1:19" ht="27.6" customHeight="1" x14ac:dyDescent="0.2">
      <c r="A6" s="3944" t="s">
        <v>6360</v>
      </c>
      <c r="B6" s="3964" t="s">
        <v>10884</v>
      </c>
      <c r="C6" s="3884"/>
      <c r="D6" s="3944" t="s">
        <v>10885</v>
      </c>
      <c r="E6" s="3964" t="s">
        <v>10886</v>
      </c>
      <c r="F6" s="3884"/>
      <c r="G6" s="3964" t="s">
        <v>10887</v>
      </c>
      <c r="H6" s="3884"/>
      <c r="I6" s="3938" t="s">
        <v>10888</v>
      </c>
      <c r="J6" s="4015"/>
      <c r="K6" s="3937"/>
      <c r="L6" s="4062" t="s">
        <v>10889</v>
      </c>
      <c r="M6" s="3938" t="s">
        <v>10890</v>
      </c>
      <c r="N6" s="4015"/>
      <c r="O6" s="4015"/>
      <c r="P6" s="4015"/>
      <c r="Q6" s="3937"/>
      <c r="R6" s="3999" t="s">
        <v>10891</v>
      </c>
      <c r="S6" s="2958"/>
    </row>
    <row r="7" spans="1:19" ht="39.200000000000003" customHeight="1" x14ac:dyDescent="0.2">
      <c r="A7" s="3899"/>
      <c r="B7" s="2637" t="s">
        <v>10496</v>
      </c>
      <c r="C7" s="2637" t="s">
        <v>10497</v>
      </c>
      <c r="D7" s="3943"/>
      <c r="E7" s="2637" t="s">
        <v>10892</v>
      </c>
      <c r="F7" s="2637" t="s">
        <v>10893</v>
      </c>
      <c r="G7" s="2637" t="s">
        <v>10894</v>
      </c>
      <c r="H7" s="2637" t="s">
        <v>10895</v>
      </c>
      <c r="I7" s="2856" t="s">
        <v>10896</v>
      </c>
      <c r="J7" s="2856" t="s">
        <v>10897</v>
      </c>
      <c r="K7" s="2856" t="s">
        <v>10898</v>
      </c>
      <c r="L7" s="4063"/>
      <c r="M7" s="2856" t="s">
        <v>125</v>
      </c>
      <c r="N7" s="2856" t="s">
        <v>10899</v>
      </c>
      <c r="O7" s="2856" t="s">
        <v>10900</v>
      </c>
      <c r="P7" s="2856" t="s">
        <v>10901</v>
      </c>
      <c r="Q7" s="2856" t="s">
        <v>104</v>
      </c>
      <c r="R7" s="4000"/>
      <c r="S7" s="2958"/>
    </row>
    <row r="8" spans="1:19" ht="16.7" customHeight="1" x14ac:dyDescent="0.2">
      <c r="A8" s="3856"/>
      <c r="B8" s="2589" t="s">
        <v>5949</v>
      </c>
      <c r="C8" s="2589" t="s">
        <v>5950</v>
      </c>
      <c r="D8" s="2589" t="s">
        <v>5951</v>
      </c>
      <c r="E8" s="2589" t="s">
        <v>5952</v>
      </c>
      <c r="F8" s="2589" t="s">
        <v>6227</v>
      </c>
      <c r="G8" s="2589" t="s">
        <v>5804</v>
      </c>
      <c r="H8" s="2589" t="s">
        <v>6228</v>
      </c>
      <c r="I8" s="2633" t="s">
        <v>6229</v>
      </c>
      <c r="J8" s="2633" t="s">
        <v>6230</v>
      </c>
      <c r="K8" s="2633" t="s">
        <v>6231</v>
      </c>
      <c r="L8" s="2633" t="s">
        <v>6232</v>
      </c>
      <c r="M8" s="2633" t="s">
        <v>6233</v>
      </c>
      <c r="N8" s="2633" t="s">
        <v>7035</v>
      </c>
      <c r="O8" s="2633" t="s">
        <v>8045</v>
      </c>
      <c r="P8" s="2633" t="s">
        <v>8046</v>
      </c>
      <c r="Q8" s="2633" t="s">
        <v>10507</v>
      </c>
      <c r="R8" s="2633" t="s">
        <v>10902</v>
      </c>
      <c r="S8" s="2958" t="s">
        <v>6324</v>
      </c>
    </row>
    <row r="9" spans="1:19" ht="16.7" customHeight="1" x14ac:dyDescent="0.2">
      <c r="A9" s="2752">
        <v>1</v>
      </c>
      <c r="B9" s="2512" t="s">
        <v>10903</v>
      </c>
      <c r="C9" s="2488" t="s">
        <v>10904</v>
      </c>
      <c r="D9" s="2750">
        <v>9.6</v>
      </c>
      <c r="E9" s="2488" t="s">
        <v>10711</v>
      </c>
      <c r="F9" s="2750">
        <v>10</v>
      </c>
      <c r="G9" s="2760">
        <v>1</v>
      </c>
      <c r="H9" s="2760">
        <v>1</v>
      </c>
      <c r="I9" s="2760">
        <v>795</v>
      </c>
      <c r="J9" s="2488" t="s">
        <v>10905</v>
      </c>
      <c r="K9" s="2488" t="s">
        <v>10906</v>
      </c>
      <c r="L9" s="2750">
        <v>115</v>
      </c>
      <c r="M9" s="2530">
        <v>691274</v>
      </c>
      <c r="N9" s="2530">
        <v>5363227</v>
      </c>
      <c r="O9" s="2530">
        <v>3883716</v>
      </c>
      <c r="P9" s="2488"/>
      <c r="Q9" s="2531">
        <v>9938217</v>
      </c>
      <c r="R9" s="2614" t="s">
        <v>10907</v>
      </c>
      <c r="S9" s="2479" t="str">
        <f t="shared" ref="S9:S51" si="0">CONCATENATE(B9,", ",C9,", ",E9,", ",R9)</f>
        <v>PUNKIN CENTER, WA, FLINT, WA, Wood - SP, Overground</v>
      </c>
    </row>
    <row r="10" spans="1:19" ht="16.7" customHeight="1" x14ac:dyDescent="0.2">
      <c r="A10" s="2752">
        <v>2</v>
      </c>
      <c r="B10" s="2512" t="s">
        <v>10656</v>
      </c>
      <c r="C10" s="2512" t="s">
        <v>10908</v>
      </c>
      <c r="D10" s="2752">
        <v>4.2</v>
      </c>
      <c r="E10" s="2512" t="s">
        <v>10909</v>
      </c>
      <c r="F10" s="2750">
        <v>8</v>
      </c>
      <c r="G10" s="2760">
        <v>1</v>
      </c>
      <c r="H10" s="2760">
        <v>1</v>
      </c>
      <c r="I10" s="2760">
        <v>1511</v>
      </c>
      <c r="J10" s="2512" t="s">
        <v>10910</v>
      </c>
      <c r="K10" s="2512" t="s">
        <v>10911</v>
      </c>
      <c r="L10" s="2752">
        <v>230</v>
      </c>
      <c r="M10" s="2530">
        <v>493584</v>
      </c>
      <c r="N10" s="2530">
        <v>5185841</v>
      </c>
      <c r="O10" s="2530">
        <v>6810090</v>
      </c>
      <c r="P10" s="2488"/>
      <c r="Q10" s="2531">
        <v>12489515</v>
      </c>
      <c r="R10" s="2614" t="s">
        <v>10907</v>
      </c>
      <c r="S10" s="2479" t="str">
        <f t="shared" si="0"/>
        <v>KLAMATH FALLS, OR, SNOW GOOSE #2, OR, Steel/Wood - SP, Overground</v>
      </c>
    </row>
    <row r="11" spans="1:19" ht="16.7" customHeight="1" x14ac:dyDescent="0.2">
      <c r="A11" s="2752">
        <v>3</v>
      </c>
      <c r="B11" s="2488"/>
      <c r="C11" s="2488"/>
      <c r="D11" s="2488"/>
      <c r="E11" s="2488"/>
      <c r="F11" s="2488"/>
      <c r="G11" s="2488"/>
      <c r="H11" s="2488"/>
      <c r="I11" s="2488"/>
      <c r="J11" s="2488"/>
      <c r="K11" s="2488"/>
      <c r="L11" s="2488"/>
      <c r="M11" s="2488"/>
      <c r="N11" s="2488"/>
      <c r="O11" s="2488"/>
      <c r="P11" s="2488"/>
      <c r="Q11" s="2488"/>
      <c r="R11" s="2614"/>
      <c r="S11" s="2479" t="str">
        <f t="shared" si="0"/>
        <v xml:space="preserve">, , , </v>
      </c>
    </row>
    <row r="12" spans="1:19" ht="16.7" customHeight="1" x14ac:dyDescent="0.2">
      <c r="A12" s="2752">
        <v>4</v>
      </c>
      <c r="B12" s="2488"/>
      <c r="C12" s="2488"/>
      <c r="D12" s="2488"/>
      <c r="E12" s="2488"/>
      <c r="F12" s="2488"/>
      <c r="G12" s="2488"/>
      <c r="H12" s="2488"/>
      <c r="I12" s="2488"/>
      <c r="J12" s="2488"/>
      <c r="K12" s="2488"/>
      <c r="L12" s="2488"/>
      <c r="M12" s="2488"/>
      <c r="N12" s="2488"/>
      <c r="O12" s="2488"/>
      <c r="P12" s="2488"/>
      <c r="Q12" s="2488"/>
      <c r="R12" s="2614"/>
      <c r="S12" s="2479" t="str">
        <f t="shared" si="0"/>
        <v xml:space="preserve">, , , </v>
      </c>
    </row>
    <row r="13" spans="1:19" ht="5.85" customHeight="1" x14ac:dyDescent="0.2">
      <c r="A13" s="2752">
        <v>5</v>
      </c>
      <c r="B13" s="2488"/>
      <c r="C13" s="2488"/>
      <c r="D13" s="2488"/>
      <c r="E13" s="2488"/>
      <c r="F13" s="2488"/>
      <c r="G13" s="2488"/>
      <c r="H13" s="2488"/>
      <c r="I13" s="2488"/>
      <c r="J13" s="2488"/>
      <c r="K13" s="2488"/>
      <c r="L13" s="2488"/>
      <c r="M13" s="2488"/>
      <c r="N13" s="2488"/>
      <c r="O13" s="2488"/>
      <c r="P13" s="2488"/>
      <c r="Q13" s="2488"/>
      <c r="R13" s="2614"/>
      <c r="S13" s="2479" t="str">
        <f t="shared" si="0"/>
        <v xml:space="preserve">, , , </v>
      </c>
    </row>
    <row r="14" spans="1:19" ht="5.85" customHeight="1" x14ac:dyDescent="0.2">
      <c r="A14" s="2752">
        <v>6</v>
      </c>
      <c r="B14" s="2488"/>
      <c r="C14" s="2488"/>
      <c r="D14" s="2488"/>
      <c r="E14" s="2488"/>
      <c r="F14" s="2488"/>
      <c r="G14" s="2488"/>
      <c r="H14" s="2488"/>
      <c r="I14" s="2488"/>
      <c r="J14" s="2488"/>
      <c r="K14" s="2488"/>
      <c r="L14" s="2488"/>
      <c r="M14" s="2488"/>
      <c r="N14" s="2488"/>
      <c r="O14" s="2488"/>
      <c r="P14" s="2488"/>
      <c r="Q14" s="2488"/>
      <c r="R14" s="2614"/>
      <c r="S14" s="2479" t="str">
        <f t="shared" si="0"/>
        <v xml:space="preserve">, , , </v>
      </c>
    </row>
    <row r="15" spans="1:19" ht="5.85" customHeight="1" x14ac:dyDescent="0.2">
      <c r="A15" s="2752">
        <v>7</v>
      </c>
      <c r="B15" s="2488"/>
      <c r="C15" s="2488"/>
      <c r="D15" s="2488"/>
      <c r="E15" s="2488"/>
      <c r="F15" s="2488"/>
      <c r="G15" s="2488"/>
      <c r="H15" s="2488"/>
      <c r="I15" s="2488"/>
      <c r="J15" s="2488"/>
      <c r="K15" s="2488"/>
      <c r="L15" s="2488"/>
      <c r="M15" s="2488"/>
      <c r="N15" s="2488"/>
      <c r="O15" s="2488"/>
      <c r="P15" s="2488"/>
      <c r="Q15" s="2488"/>
      <c r="R15" s="2614"/>
      <c r="S15" s="2479" t="str">
        <f t="shared" si="0"/>
        <v xml:space="preserve">, , , </v>
      </c>
    </row>
    <row r="16" spans="1:19" ht="5.85" customHeight="1" x14ac:dyDescent="0.2">
      <c r="A16" s="2752">
        <v>8</v>
      </c>
      <c r="B16" s="2488"/>
      <c r="C16" s="2488"/>
      <c r="D16" s="2488"/>
      <c r="E16" s="2488"/>
      <c r="F16" s="2488"/>
      <c r="G16" s="2488"/>
      <c r="H16" s="2488"/>
      <c r="I16" s="2488"/>
      <c r="J16" s="2488"/>
      <c r="K16" s="2488"/>
      <c r="L16" s="2488"/>
      <c r="M16" s="2488"/>
      <c r="N16" s="2488"/>
      <c r="O16" s="2488"/>
      <c r="P16" s="2488"/>
      <c r="Q16" s="2488"/>
      <c r="R16" s="2614"/>
      <c r="S16" s="2479" t="str">
        <f t="shared" si="0"/>
        <v xml:space="preserve">, , , </v>
      </c>
    </row>
    <row r="17" spans="1:19" ht="5.85" customHeight="1" x14ac:dyDescent="0.2">
      <c r="A17" s="2752">
        <v>9</v>
      </c>
      <c r="B17" s="2488"/>
      <c r="C17" s="2488"/>
      <c r="D17" s="2488"/>
      <c r="E17" s="2488"/>
      <c r="F17" s="2488"/>
      <c r="G17" s="2488"/>
      <c r="H17" s="2488"/>
      <c r="I17" s="2488"/>
      <c r="J17" s="2488"/>
      <c r="K17" s="2488"/>
      <c r="L17" s="2488"/>
      <c r="M17" s="2488"/>
      <c r="N17" s="2488"/>
      <c r="O17" s="2488"/>
      <c r="P17" s="2488"/>
      <c r="Q17" s="2488"/>
      <c r="R17" s="2614"/>
      <c r="S17" s="2479" t="str">
        <f t="shared" si="0"/>
        <v xml:space="preserve">, , , </v>
      </c>
    </row>
    <row r="18" spans="1:19" ht="5.85" customHeight="1" x14ac:dyDescent="0.2">
      <c r="A18" s="2752">
        <v>10</v>
      </c>
      <c r="B18" s="2488"/>
      <c r="C18" s="2488"/>
      <c r="D18" s="2488"/>
      <c r="E18" s="2488"/>
      <c r="F18" s="2488"/>
      <c r="G18" s="2488"/>
      <c r="H18" s="2488"/>
      <c r="I18" s="2488"/>
      <c r="J18" s="2488"/>
      <c r="K18" s="2488"/>
      <c r="L18" s="2488"/>
      <c r="M18" s="2488"/>
      <c r="N18" s="2488"/>
      <c r="O18" s="2488"/>
      <c r="P18" s="2488"/>
      <c r="Q18" s="2488"/>
      <c r="R18" s="2614"/>
      <c r="S18" s="2479" t="str">
        <f t="shared" si="0"/>
        <v xml:space="preserve">, , , </v>
      </c>
    </row>
    <row r="19" spans="1:19" ht="5.85" customHeight="1" x14ac:dyDescent="0.2">
      <c r="A19" s="2752">
        <v>11</v>
      </c>
      <c r="B19" s="2488"/>
      <c r="C19" s="2488"/>
      <c r="D19" s="2488"/>
      <c r="E19" s="2488"/>
      <c r="F19" s="2488"/>
      <c r="G19" s="2488"/>
      <c r="H19" s="2488"/>
      <c r="I19" s="2488"/>
      <c r="J19" s="2488"/>
      <c r="K19" s="2488"/>
      <c r="L19" s="2488"/>
      <c r="M19" s="2488"/>
      <c r="N19" s="2488"/>
      <c r="O19" s="2488"/>
      <c r="P19" s="2488"/>
      <c r="Q19" s="2488"/>
      <c r="R19" s="2614"/>
      <c r="S19" s="2479" t="str">
        <f t="shared" si="0"/>
        <v xml:space="preserve">, , , </v>
      </c>
    </row>
    <row r="20" spans="1:19" ht="5.85" customHeight="1" x14ac:dyDescent="0.2">
      <c r="A20" s="2752">
        <v>12</v>
      </c>
      <c r="B20" s="2488"/>
      <c r="C20" s="2488"/>
      <c r="D20" s="2488"/>
      <c r="E20" s="2488"/>
      <c r="F20" s="2488"/>
      <c r="G20" s="2488"/>
      <c r="H20" s="2488"/>
      <c r="I20" s="2488"/>
      <c r="J20" s="2488"/>
      <c r="K20" s="2488"/>
      <c r="L20" s="2488"/>
      <c r="M20" s="2488"/>
      <c r="N20" s="2488"/>
      <c r="O20" s="2488"/>
      <c r="P20" s="2488"/>
      <c r="Q20" s="2488"/>
      <c r="R20" s="2614"/>
      <c r="S20" s="2479" t="str">
        <f t="shared" si="0"/>
        <v xml:space="preserve">, , , </v>
      </c>
    </row>
    <row r="21" spans="1:19" ht="5.85" customHeight="1" x14ac:dyDescent="0.2">
      <c r="A21" s="2752">
        <v>13</v>
      </c>
      <c r="B21" s="2488"/>
      <c r="C21" s="2488"/>
      <c r="D21" s="2488"/>
      <c r="E21" s="2488"/>
      <c r="F21" s="2488"/>
      <c r="G21" s="2488"/>
      <c r="H21" s="2488"/>
      <c r="I21" s="2488"/>
      <c r="J21" s="2488"/>
      <c r="K21" s="2488"/>
      <c r="L21" s="2488"/>
      <c r="M21" s="2488"/>
      <c r="N21" s="2488"/>
      <c r="O21" s="2488"/>
      <c r="P21" s="2488"/>
      <c r="Q21" s="2488"/>
      <c r="R21" s="2614"/>
      <c r="S21" s="2479" t="str">
        <f t="shared" si="0"/>
        <v xml:space="preserve">, , , </v>
      </c>
    </row>
    <row r="22" spans="1:19" ht="5.85" customHeight="1" x14ac:dyDescent="0.2">
      <c r="A22" s="2752">
        <v>14</v>
      </c>
      <c r="B22" s="2488"/>
      <c r="C22" s="2488"/>
      <c r="D22" s="2488"/>
      <c r="E22" s="2488"/>
      <c r="F22" s="2488"/>
      <c r="G22" s="2488"/>
      <c r="H22" s="2488"/>
      <c r="I22" s="2488"/>
      <c r="J22" s="2488"/>
      <c r="K22" s="2488"/>
      <c r="L22" s="2488"/>
      <c r="M22" s="2488"/>
      <c r="N22" s="2488"/>
      <c r="O22" s="2488"/>
      <c r="P22" s="2488"/>
      <c r="Q22" s="2488"/>
      <c r="R22" s="2614"/>
      <c r="S22" s="2479" t="str">
        <f t="shared" si="0"/>
        <v xml:space="preserve">, , , </v>
      </c>
    </row>
    <row r="23" spans="1:19" ht="5.85" customHeight="1" x14ac:dyDescent="0.2">
      <c r="A23" s="2752">
        <v>15</v>
      </c>
      <c r="B23" s="2488"/>
      <c r="C23" s="2488"/>
      <c r="D23" s="2488"/>
      <c r="E23" s="2488"/>
      <c r="F23" s="2488"/>
      <c r="G23" s="2488"/>
      <c r="H23" s="2488"/>
      <c r="I23" s="2488"/>
      <c r="J23" s="2488"/>
      <c r="K23" s="2488"/>
      <c r="L23" s="2488"/>
      <c r="M23" s="2488"/>
      <c r="N23" s="2488"/>
      <c r="O23" s="2488"/>
      <c r="P23" s="2488"/>
      <c r="Q23" s="2488"/>
      <c r="R23" s="2614"/>
      <c r="S23" s="2479" t="str">
        <f t="shared" si="0"/>
        <v xml:space="preserve">, , , </v>
      </c>
    </row>
    <row r="24" spans="1:19" ht="5.85" customHeight="1" x14ac:dyDescent="0.2">
      <c r="A24" s="2752">
        <v>16</v>
      </c>
      <c r="B24" s="2488"/>
      <c r="C24" s="2488"/>
      <c r="D24" s="2488"/>
      <c r="E24" s="2488"/>
      <c r="F24" s="2488"/>
      <c r="G24" s="2488"/>
      <c r="H24" s="2488"/>
      <c r="I24" s="2488"/>
      <c r="J24" s="2488"/>
      <c r="K24" s="2488"/>
      <c r="L24" s="2488"/>
      <c r="M24" s="2488"/>
      <c r="N24" s="2488"/>
      <c r="O24" s="2488"/>
      <c r="P24" s="2488"/>
      <c r="Q24" s="2488"/>
      <c r="R24" s="2614"/>
      <c r="S24" s="2479" t="str">
        <f t="shared" si="0"/>
        <v xml:space="preserve">, , , </v>
      </c>
    </row>
    <row r="25" spans="1:19" ht="5.85" customHeight="1" x14ac:dyDescent="0.2">
      <c r="A25" s="2752">
        <v>17</v>
      </c>
      <c r="B25" s="2488"/>
      <c r="C25" s="2488"/>
      <c r="D25" s="2488"/>
      <c r="E25" s="2488"/>
      <c r="F25" s="2488"/>
      <c r="G25" s="2488"/>
      <c r="H25" s="2488"/>
      <c r="I25" s="2488"/>
      <c r="J25" s="2488"/>
      <c r="K25" s="2488"/>
      <c r="L25" s="2488"/>
      <c r="M25" s="2488"/>
      <c r="N25" s="2488"/>
      <c r="O25" s="2488"/>
      <c r="P25" s="2488"/>
      <c r="Q25" s="2488"/>
      <c r="R25" s="2614"/>
      <c r="S25" s="2479" t="str">
        <f t="shared" si="0"/>
        <v xml:space="preserve">, , , </v>
      </c>
    </row>
    <row r="26" spans="1:19" ht="5.85" customHeight="1" x14ac:dyDescent="0.2">
      <c r="A26" s="2752">
        <v>18</v>
      </c>
      <c r="B26" s="2488"/>
      <c r="C26" s="2488"/>
      <c r="D26" s="2488"/>
      <c r="E26" s="2488"/>
      <c r="F26" s="2488"/>
      <c r="G26" s="2488"/>
      <c r="H26" s="2488"/>
      <c r="I26" s="2488"/>
      <c r="J26" s="2488"/>
      <c r="K26" s="2488"/>
      <c r="L26" s="2488"/>
      <c r="M26" s="2488"/>
      <c r="N26" s="2488"/>
      <c r="O26" s="2488"/>
      <c r="P26" s="2488"/>
      <c r="Q26" s="2488"/>
      <c r="R26" s="2614"/>
      <c r="S26" s="2479" t="str">
        <f t="shared" si="0"/>
        <v xml:space="preserve">, , , </v>
      </c>
    </row>
    <row r="27" spans="1:19" ht="5.85" customHeight="1" x14ac:dyDescent="0.2">
      <c r="A27" s="2752">
        <v>19</v>
      </c>
      <c r="B27" s="2488"/>
      <c r="C27" s="2488"/>
      <c r="D27" s="2488"/>
      <c r="E27" s="2488"/>
      <c r="F27" s="2488"/>
      <c r="G27" s="2488"/>
      <c r="H27" s="2488"/>
      <c r="I27" s="2488"/>
      <c r="J27" s="2488"/>
      <c r="K27" s="2488"/>
      <c r="L27" s="2488"/>
      <c r="M27" s="2488"/>
      <c r="N27" s="2488"/>
      <c r="O27" s="2488"/>
      <c r="P27" s="2488"/>
      <c r="Q27" s="2488"/>
      <c r="R27" s="2614"/>
      <c r="S27" s="2479" t="str">
        <f t="shared" si="0"/>
        <v xml:space="preserve">, , , </v>
      </c>
    </row>
    <row r="28" spans="1:19" ht="5.85" customHeight="1" x14ac:dyDescent="0.2">
      <c r="A28" s="2752">
        <v>20</v>
      </c>
      <c r="B28" s="2488"/>
      <c r="C28" s="2488"/>
      <c r="D28" s="2488"/>
      <c r="E28" s="2488"/>
      <c r="F28" s="2488"/>
      <c r="G28" s="2488"/>
      <c r="H28" s="2488"/>
      <c r="I28" s="2488"/>
      <c r="J28" s="2488"/>
      <c r="K28" s="2488"/>
      <c r="L28" s="2488"/>
      <c r="M28" s="2488"/>
      <c r="N28" s="2488"/>
      <c r="O28" s="2488"/>
      <c r="P28" s="2488"/>
      <c r="Q28" s="2488"/>
      <c r="R28" s="2614"/>
      <c r="S28" s="2479" t="str">
        <f t="shared" si="0"/>
        <v xml:space="preserve">, , , </v>
      </c>
    </row>
    <row r="29" spans="1:19" ht="5.85" customHeight="1" x14ac:dyDescent="0.2">
      <c r="A29" s="2752">
        <v>21</v>
      </c>
      <c r="B29" s="2488"/>
      <c r="C29" s="2488"/>
      <c r="D29" s="2488"/>
      <c r="E29" s="2488"/>
      <c r="F29" s="2488"/>
      <c r="G29" s="2488"/>
      <c r="H29" s="2488"/>
      <c r="I29" s="2488"/>
      <c r="J29" s="2488"/>
      <c r="K29" s="2488"/>
      <c r="L29" s="2488"/>
      <c r="M29" s="2488"/>
      <c r="N29" s="2488"/>
      <c r="O29" s="2488"/>
      <c r="P29" s="2488"/>
      <c r="Q29" s="2488"/>
      <c r="R29" s="2614"/>
      <c r="S29" s="2479" t="str">
        <f t="shared" si="0"/>
        <v xml:space="preserve">, , , </v>
      </c>
    </row>
    <row r="30" spans="1:19" ht="5.85" customHeight="1" x14ac:dyDescent="0.2">
      <c r="A30" s="2752">
        <v>22</v>
      </c>
      <c r="B30" s="2488"/>
      <c r="C30" s="2488"/>
      <c r="D30" s="2488"/>
      <c r="E30" s="2488"/>
      <c r="F30" s="2488"/>
      <c r="G30" s="2488"/>
      <c r="H30" s="2488"/>
      <c r="I30" s="2488"/>
      <c r="J30" s="2488"/>
      <c r="K30" s="2488"/>
      <c r="L30" s="2488"/>
      <c r="M30" s="2488"/>
      <c r="N30" s="2488"/>
      <c r="O30" s="2488"/>
      <c r="P30" s="2488"/>
      <c r="Q30" s="2488"/>
      <c r="R30" s="2614"/>
      <c r="S30" s="2479" t="str">
        <f t="shared" si="0"/>
        <v xml:space="preserve">, , , </v>
      </c>
    </row>
    <row r="31" spans="1:19" ht="5.85" customHeight="1" x14ac:dyDescent="0.2">
      <c r="A31" s="2752">
        <v>23</v>
      </c>
      <c r="B31" s="2488"/>
      <c r="C31" s="2488"/>
      <c r="D31" s="2488"/>
      <c r="E31" s="2488"/>
      <c r="F31" s="2488"/>
      <c r="G31" s="2488"/>
      <c r="H31" s="2488"/>
      <c r="I31" s="2488"/>
      <c r="J31" s="2488"/>
      <c r="K31" s="2488"/>
      <c r="L31" s="2488"/>
      <c r="M31" s="2488"/>
      <c r="N31" s="2488"/>
      <c r="O31" s="2488"/>
      <c r="P31" s="2488"/>
      <c r="Q31" s="2488"/>
      <c r="R31" s="2614"/>
      <c r="S31" s="2479" t="str">
        <f t="shared" si="0"/>
        <v xml:space="preserve">, , , </v>
      </c>
    </row>
    <row r="32" spans="1:19" ht="5.85" customHeight="1" x14ac:dyDescent="0.2">
      <c r="A32" s="2752">
        <v>24</v>
      </c>
      <c r="B32" s="2488"/>
      <c r="C32" s="2488"/>
      <c r="D32" s="2488"/>
      <c r="E32" s="2488"/>
      <c r="F32" s="2488"/>
      <c r="G32" s="2488"/>
      <c r="H32" s="2488"/>
      <c r="I32" s="2488"/>
      <c r="J32" s="2488"/>
      <c r="K32" s="2488"/>
      <c r="L32" s="2488"/>
      <c r="M32" s="2488"/>
      <c r="N32" s="2488"/>
      <c r="O32" s="2488"/>
      <c r="P32" s="2488"/>
      <c r="Q32" s="2488"/>
      <c r="R32" s="2614"/>
      <c r="S32" s="2479" t="str">
        <f t="shared" si="0"/>
        <v xml:space="preserve">, , , </v>
      </c>
    </row>
    <row r="33" spans="1:19" ht="5.85" customHeight="1" x14ac:dyDescent="0.2">
      <c r="A33" s="2752">
        <v>25</v>
      </c>
      <c r="B33" s="2488"/>
      <c r="C33" s="2488"/>
      <c r="D33" s="2488"/>
      <c r="E33" s="2488"/>
      <c r="F33" s="2488"/>
      <c r="G33" s="2488"/>
      <c r="H33" s="2488"/>
      <c r="I33" s="2488"/>
      <c r="J33" s="2488"/>
      <c r="K33" s="2488"/>
      <c r="L33" s="2488"/>
      <c r="M33" s="2488"/>
      <c r="N33" s="2488"/>
      <c r="O33" s="2488"/>
      <c r="P33" s="2488"/>
      <c r="Q33" s="2488"/>
      <c r="R33" s="2614"/>
      <c r="S33" s="2479" t="str">
        <f t="shared" si="0"/>
        <v xml:space="preserve">, , , </v>
      </c>
    </row>
    <row r="34" spans="1:19" ht="5.85" customHeight="1" x14ac:dyDescent="0.2">
      <c r="A34" s="2752">
        <v>26</v>
      </c>
      <c r="B34" s="2488"/>
      <c r="C34" s="2488"/>
      <c r="D34" s="2488"/>
      <c r="E34" s="2488"/>
      <c r="F34" s="2488"/>
      <c r="G34" s="2488"/>
      <c r="H34" s="2488"/>
      <c r="I34" s="2488"/>
      <c r="J34" s="2488"/>
      <c r="K34" s="2488"/>
      <c r="L34" s="2488"/>
      <c r="M34" s="2488"/>
      <c r="N34" s="2488"/>
      <c r="O34" s="2488"/>
      <c r="P34" s="2488"/>
      <c r="Q34" s="2488"/>
      <c r="R34" s="2614"/>
      <c r="S34" s="2479" t="str">
        <f t="shared" si="0"/>
        <v xml:space="preserve">, , , </v>
      </c>
    </row>
    <row r="35" spans="1:19" ht="5.85" customHeight="1" x14ac:dyDescent="0.2">
      <c r="A35" s="2752">
        <v>27</v>
      </c>
      <c r="B35" s="2488"/>
      <c r="C35" s="2488"/>
      <c r="D35" s="2488"/>
      <c r="E35" s="2488"/>
      <c r="F35" s="2488"/>
      <c r="G35" s="2488"/>
      <c r="H35" s="2488"/>
      <c r="I35" s="2488"/>
      <c r="J35" s="2488"/>
      <c r="K35" s="2488"/>
      <c r="L35" s="2488"/>
      <c r="M35" s="2488"/>
      <c r="N35" s="2488"/>
      <c r="O35" s="2488"/>
      <c r="P35" s="2488"/>
      <c r="Q35" s="2488"/>
      <c r="R35" s="2614"/>
      <c r="S35" s="2479" t="str">
        <f t="shared" si="0"/>
        <v xml:space="preserve">, , , </v>
      </c>
    </row>
    <row r="36" spans="1:19" ht="5.85" customHeight="1" x14ac:dyDescent="0.2">
      <c r="A36" s="2752">
        <v>28</v>
      </c>
      <c r="B36" s="2488"/>
      <c r="C36" s="2488"/>
      <c r="D36" s="2488"/>
      <c r="E36" s="2488"/>
      <c r="F36" s="2488"/>
      <c r="G36" s="2488"/>
      <c r="H36" s="2488"/>
      <c r="I36" s="2488"/>
      <c r="J36" s="2488"/>
      <c r="K36" s="2488"/>
      <c r="L36" s="2488"/>
      <c r="M36" s="2488"/>
      <c r="N36" s="2488"/>
      <c r="O36" s="2488"/>
      <c r="P36" s="2488"/>
      <c r="Q36" s="2488"/>
      <c r="R36" s="2614"/>
      <c r="S36" s="2479" t="str">
        <f t="shared" si="0"/>
        <v xml:space="preserve">, , , </v>
      </c>
    </row>
    <row r="37" spans="1:19" ht="5.85" customHeight="1" x14ac:dyDescent="0.2">
      <c r="A37" s="2752">
        <v>29</v>
      </c>
      <c r="B37" s="2488"/>
      <c r="C37" s="2488"/>
      <c r="D37" s="2488"/>
      <c r="E37" s="2488"/>
      <c r="F37" s="2488"/>
      <c r="G37" s="2488"/>
      <c r="H37" s="2488"/>
      <c r="I37" s="2488"/>
      <c r="J37" s="2488"/>
      <c r="K37" s="2488"/>
      <c r="L37" s="2488"/>
      <c r="M37" s="2488"/>
      <c r="N37" s="2488"/>
      <c r="O37" s="2488"/>
      <c r="P37" s="2488"/>
      <c r="Q37" s="2488"/>
      <c r="R37" s="2614"/>
      <c r="S37" s="2479" t="str">
        <f t="shared" si="0"/>
        <v xml:space="preserve">, , , </v>
      </c>
    </row>
    <row r="38" spans="1:19" ht="5.85" customHeight="1" x14ac:dyDescent="0.2">
      <c r="A38" s="2752">
        <v>30</v>
      </c>
      <c r="B38" s="2488"/>
      <c r="C38" s="2488"/>
      <c r="D38" s="2488"/>
      <c r="E38" s="2488"/>
      <c r="F38" s="2488"/>
      <c r="G38" s="2488"/>
      <c r="H38" s="2488"/>
      <c r="I38" s="2488"/>
      <c r="J38" s="2488"/>
      <c r="K38" s="2488"/>
      <c r="L38" s="2488"/>
      <c r="M38" s="2488"/>
      <c r="N38" s="2488"/>
      <c r="O38" s="2488"/>
      <c r="P38" s="2488"/>
      <c r="Q38" s="2488"/>
      <c r="R38" s="2614"/>
      <c r="S38" s="2479" t="str">
        <f t="shared" si="0"/>
        <v xml:space="preserve">, , , </v>
      </c>
    </row>
    <row r="39" spans="1:19" ht="5.85" customHeight="1" x14ac:dyDescent="0.2">
      <c r="A39" s="2752">
        <v>31</v>
      </c>
      <c r="B39" s="2488"/>
      <c r="C39" s="2488"/>
      <c r="D39" s="2488"/>
      <c r="E39" s="2488"/>
      <c r="F39" s="2488"/>
      <c r="G39" s="2488"/>
      <c r="H39" s="2488"/>
      <c r="I39" s="2488"/>
      <c r="J39" s="2488"/>
      <c r="K39" s="2488"/>
      <c r="L39" s="2488"/>
      <c r="M39" s="2488"/>
      <c r="N39" s="2488"/>
      <c r="O39" s="2488"/>
      <c r="P39" s="2488"/>
      <c r="Q39" s="2488"/>
      <c r="R39" s="2614"/>
      <c r="S39" s="2479" t="str">
        <f t="shared" si="0"/>
        <v xml:space="preserve">, , , </v>
      </c>
    </row>
    <row r="40" spans="1:19" ht="5.85" customHeight="1" x14ac:dyDescent="0.2">
      <c r="A40" s="2752">
        <v>32</v>
      </c>
      <c r="B40" s="2488"/>
      <c r="C40" s="2488"/>
      <c r="D40" s="2488"/>
      <c r="E40" s="2488"/>
      <c r="F40" s="2488"/>
      <c r="G40" s="2488"/>
      <c r="H40" s="2488"/>
      <c r="I40" s="2488"/>
      <c r="J40" s="2488"/>
      <c r="K40" s="2488"/>
      <c r="L40" s="2488"/>
      <c r="M40" s="2488"/>
      <c r="N40" s="2488"/>
      <c r="O40" s="2488"/>
      <c r="P40" s="2488"/>
      <c r="Q40" s="2488"/>
      <c r="R40" s="2614"/>
      <c r="S40" s="2479" t="str">
        <f t="shared" si="0"/>
        <v xml:space="preserve">, , , </v>
      </c>
    </row>
    <row r="41" spans="1:19" ht="5.85" customHeight="1" x14ac:dyDescent="0.2">
      <c r="A41" s="2752">
        <v>33</v>
      </c>
      <c r="B41" s="2488"/>
      <c r="C41" s="2488"/>
      <c r="D41" s="2488"/>
      <c r="E41" s="2488"/>
      <c r="F41" s="2488"/>
      <c r="G41" s="2488"/>
      <c r="H41" s="2488"/>
      <c r="I41" s="2488"/>
      <c r="J41" s="2488"/>
      <c r="K41" s="2488"/>
      <c r="L41" s="2488"/>
      <c r="M41" s="2488"/>
      <c r="N41" s="2488"/>
      <c r="O41" s="2488"/>
      <c r="P41" s="2488"/>
      <c r="Q41" s="2488"/>
      <c r="R41" s="2614"/>
      <c r="S41" s="2479" t="str">
        <f t="shared" si="0"/>
        <v xml:space="preserve">, , , </v>
      </c>
    </row>
    <row r="42" spans="1:19" ht="5.85" customHeight="1" x14ac:dyDescent="0.2">
      <c r="A42" s="2752">
        <v>34</v>
      </c>
      <c r="B42" s="2488"/>
      <c r="C42" s="2488"/>
      <c r="D42" s="2488"/>
      <c r="E42" s="2488"/>
      <c r="F42" s="2488"/>
      <c r="G42" s="2488"/>
      <c r="H42" s="2488"/>
      <c r="I42" s="2488"/>
      <c r="J42" s="2488"/>
      <c r="K42" s="2488"/>
      <c r="L42" s="2488"/>
      <c r="M42" s="2488"/>
      <c r="N42" s="2488"/>
      <c r="O42" s="2488"/>
      <c r="P42" s="2488"/>
      <c r="Q42" s="2488"/>
      <c r="R42" s="2614"/>
      <c r="S42" s="2479" t="str">
        <f t="shared" si="0"/>
        <v xml:space="preserve">, , , </v>
      </c>
    </row>
    <row r="43" spans="1:19" ht="5.85" customHeight="1" x14ac:dyDescent="0.2">
      <c r="A43" s="2752">
        <v>35</v>
      </c>
      <c r="B43" s="2488"/>
      <c r="C43" s="2488"/>
      <c r="D43" s="2488"/>
      <c r="E43" s="2488"/>
      <c r="F43" s="2488"/>
      <c r="G43" s="2488"/>
      <c r="H43" s="2488"/>
      <c r="I43" s="2488"/>
      <c r="J43" s="2488"/>
      <c r="K43" s="2488"/>
      <c r="L43" s="2488"/>
      <c r="M43" s="2488"/>
      <c r="N43" s="2488"/>
      <c r="O43" s="2488"/>
      <c r="P43" s="2488"/>
      <c r="Q43" s="2488"/>
      <c r="R43" s="2614"/>
      <c r="S43" s="2479" t="str">
        <f t="shared" si="0"/>
        <v xml:space="preserve">, , , </v>
      </c>
    </row>
    <row r="44" spans="1:19" ht="5.85" customHeight="1" x14ac:dyDescent="0.2">
      <c r="A44" s="2752">
        <v>36</v>
      </c>
      <c r="B44" s="2488"/>
      <c r="C44" s="2488"/>
      <c r="D44" s="2488"/>
      <c r="E44" s="2488"/>
      <c r="F44" s="2488"/>
      <c r="G44" s="2488"/>
      <c r="H44" s="2488"/>
      <c r="I44" s="2488"/>
      <c r="J44" s="2488"/>
      <c r="K44" s="2488"/>
      <c r="L44" s="2488"/>
      <c r="M44" s="2488"/>
      <c r="N44" s="2488"/>
      <c r="O44" s="2488"/>
      <c r="P44" s="2488"/>
      <c r="Q44" s="2488"/>
      <c r="R44" s="2614"/>
      <c r="S44" s="2479" t="str">
        <f t="shared" si="0"/>
        <v xml:space="preserve">, , , </v>
      </c>
    </row>
    <row r="45" spans="1:19" ht="5.85" customHeight="1" x14ac:dyDescent="0.2">
      <c r="A45" s="2752">
        <v>37</v>
      </c>
      <c r="B45" s="2488"/>
      <c r="C45" s="2488"/>
      <c r="D45" s="2488"/>
      <c r="E45" s="2488"/>
      <c r="F45" s="2488"/>
      <c r="G45" s="2488"/>
      <c r="H45" s="2488"/>
      <c r="I45" s="2488"/>
      <c r="J45" s="2488"/>
      <c r="K45" s="2488"/>
      <c r="L45" s="2488"/>
      <c r="M45" s="2488"/>
      <c r="N45" s="2488"/>
      <c r="O45" s="2488"/>
      <c r="P45" s="2488"/>
      <c r="Q45" s="2488"/>
      <c r="R45" s="2614"/>
      <c r="S45" s="2479" t="str">
        <f t="shared" si="0"/>
        <v xml:space="preserve">, , , </v>
      </c>
    </row>
    <row r="46" spans="1:19" ht="5.85" customHeight="1" x14ac:dyDescent="0.2">
      <c r="A46" s="2752">
        <v>38</v>
      </c>
      <c r="B46" s="2488"/>
      <c r="C46" s="2488"/>
      <c r="D46" s="2488"/>
      <c r="E46" s="2488"/>
      <c r="F46" s="2488"/>
      <c r="G46" s="2488"/>
      <c r="H46" s="2488"/>
      <c r="I46" s="2488"/>
      <c r="J46" s="2488"/>
      <c r="K46" s="2488"/>
      <c r="L46" s="2488"/>
      <c r="M46" s="2488"/>
      <c r="N46" s="2488"/>
      <c r="O46" s="2488"/>
      <c r="P46" s="2488"/>
      <c r="Q46" s="2488"/>
      <c r="R46" s="2614"/>
      <c r="S46" s="2479" t="str">
        <f t="shared" si="0"/>
        <v xml:space="preserve">, , , </v>
      </c>
    </row>
    <row r="47" spans="1:19" ht="5.85" customHeight="1" x14ac:dyDescent="0.2">
      <c r="A47" s="2752">
        <v>39</v>
      </c>
      <c r="B47" s="2488"/>
      <c r="C47" s="2488"/>
      <c r="D47" s="2488"/>
      <c r="E47" s="2488"/>
      <c r="F47" s="2488"/>
      <c r="G47" s="2488"/>
      <c r="H47" s="2488"/>
      <c r="I47" s="2488"/>
      <c r="J47" s="2488"/>
      <c r="K47" s="2488"/>
      <c r="L47" s="2488"/>
      <c r="M47" s="2488"/>
      <c r="N47" s="2488"/>
      <c r="O47" s="2488"/>
      <c r="P47" s="2488"/>
      <c r="Q47" s="2488"/>
      <c r="R47" s="2614"/>
      <c r="S47" s="2479" t="str">
        <f t="shared" si="0"/>
        <v xml:space="preserve">, , , </v>
      </c>
    </row>
    <row r="48" spans="1:19" ht="5.85" customHeight="1" x14ac:dyDescent="0.2">
      <c r="A48" s="2752">
        <v>40</v>
      </c>
      <c r="B48" s="2488"/>
      <c r="C48" s="2488"/>
      <c r="D48" s="2488"/>
      <c r="E48" s="2488"/>
      <c r="F48" s="2488"/>
      <c r="G48" s="2488"/>
      <c r="H48" s="2488"/>
      <c r="I48" s="2488"/>
      <c r="J48" s="2488"/>
      <c r="K48" s="2488"/>
      <c r="L48" s="2488"/>
      <c r="M48" s="2488"/>
      <c r="N48" s="2488"/>
      <c r="O48" s="2488"/>
      <c r="P48" s="2488"/>
      <c r="Q48" s="2488"/>
      <c r="R48" s="2614"/>
      <c r="S48" s="2479" t="str">
        <f t="shared" si="0"/>
        <v xml:space="preserve">, , , </v>
      </c>
    </row>
    <row r="49" spans="1:19" ht="5.85" customHeight="1" x14ac:dyDescent="0.2">
      <c r="A49" s="2752">
        <v>41</v>
      </c>
      <c r="B49" s="2488"/>
      <c r="C49" s="2488"/>
      <c r="D49" s="2488"/>
      <c r="E49" s="2488"/>
      <c r="F49" s="2488"/>
      <c r="G49" s="2488"/>
      <c r="H49" s="2488"/>
      <c r="I49" s="2488"/>
      <c r="J49" s="2488"/>
      <c r="K49" s="2488"/>
      <c r="L49" s="2488"/>
      <c r="M49" s="2488"/>
      <c r="N49" s="2488"/>
      <c r="O49" s="2488"/>
      <c r="P49" s="2488"/>
      <c r="Q49" s="2488"/>
      <c r="R49" s="2614"/>
      <c r="S49" s="2479" t="str">
        <f t="shared" si="0"/>
        <v xml:space="preserve">, , , </v>
      </c>
    </row>
    <row r="50" spans="1:19" ht="5.85" customHeight="1" x14ac:dyDescent="0.2">
      <c r="A50" s="2752">
        <v>42</v>
      </c>
      <c r="B50" s="2488"/>
      <c r="C50" s="2488"/>
      <c r="D50" s="2488"/>
      <c r="E50" s="2488"/>
      <c r="F50" s="2488"/>
      <c r="G50" s="2488"/>
      <c r="H50" s="2488"/>
      <c r="I50" s="2488"/>
      <c r="J50" s="2488"/>
      <c r="K50" s="2488"/>
      <c r="L50" s="2488"/>
      <c r="M50" s="2488"/>
      <c r="N50" s="2488"/>
      <c r="O50" s="2488"/>
      <c r="P50" s="2488"/>
      <c r="Q50" s="2488"/>
      <c r="R50" s="2614"/>
      <c r="S50" s="2479" t="str">
        <f t="shared" si="0"/>
        <v xml:space="preserve">, , , </v>
      </c>
    </row>
    <row r="51" spans="1:19" ht="5.85" customHeight="1" x14ac:dyDescent="0.2">
      <c r="A51" s="3059">
        <v>43</v>
      </c>
      <c r="B51" s="2488"/>
      <c r="C51" s="2488"/>
      <c r="D51" s="2582"/>
      <c r="E51" s="2488"/>
      <c r="F51" s="2582"/>
      <c r="G51" s="2582"/>
      <c r="H51" s="2582"/>
      <c r="I51" s="2488"/>
      <c r="J51" s="2488"/>
      <c r="K51" s="2488"/>
      <c r="L51" s="2582"/>
      <c r="M51" s="2582"/>
      <c r="N51" s="2582"/>
      <c r="O51" s="2582"/>
      <c r="P51" s="2582"/>
      <c r="Q51" s="2582"/>
      <c r="R51" s="2614"/>
      <c r="S51" s="2479" t="str">
        <f t="shared" si="0"/>
        <v xml:space="preserve">, , , </v>
      </c>
    </row>
    <row r="52" spans="1:19" ht="16.7" customHeight="1" x14ac:dyDescent="0.2">
      <c r="A52" s="3060">
        <v>44</v>
      </c>
      <c r="B52" s="2512" t="s">
        <v>197</v>
      </c>
      <c r="C52" s="2488"/>
      <c r="D52" s="3061">
        <f>SUM(D9:D51)</f>
        <v>13.8</v>
      </c>
      <c r="E52" s="2488"/>
      <c r="F52" s="3062">
        <f>SUM(F9:F51)</f>
        <v>18</v>
      </c>
      <c r="G52" s="3062">
        <f>SUM(G9:G51)</f>
        <v>2</v>
      </c>
      <c r="H52" s="3062">
        <f>SUM(H9:H51)</f>
        <v>2</v>
      </c>
      <c r="I52" s="2488"/>
      <c r="J52" s="2488"/>
      <c r="K52" s="2488"/>
      <c r="L52" s="3063"/>
      <c r="M52" s="2690">
        <f>SUM(M9:M51)</f>
        <v>1184858</v>
      </c>
      <c r="N52" s="2690">
        <f>SUM(N9:N51)</f>
        <v>10549068</v>
      </c>
      <c r="O52" s="2690">
        <f>SUM(O9:O51)</f>
        <v>10693806</v>
      </c>
      <c r="P52" s="2690">
        <f>SUM(P9:P51)</f>
        <v>0</v>
      </c>
      <c r="Q52" s="2690">
        <f>SUM(Q9:Q51)</f>
        <v>22427732</v>
      </c>
      <c r="R52" s="2614"/>
      <c r="S52" s="2479"/>
    </row>
    <row r="53" spans="1:19" ht="16.7" customHeight="1" x14ac:dyDescent="0.2">
      <c r="A53" s="2516"/>
      <c r="B53" s="2516"/>
      <c r="C53" s="2516"/>
      <c r="D53" s="2516"/>
      <c r="E53" s="2516"/>
      <c r="F53" s="2516"/>
      <c r="G53" s="2516"/>
      <c r="H53" s="2516"/>
      <c r="I53" s="2516"/>
      <c r="J53" s="2516"/>
      <c r="K53" s="2516"/>
      <c r="L53" s="2516"/>
      <c r="M53" s="2516"/>
      <c r="N53" s="2516"/>
      <c r="O53" s="2516"/>
      <c r="P53" s="2516"/>
      <c r="Q53" s="2516"/>
      <c r="R53" s="2516"/>
    </row>
    <row r="54" spans="1:19" ht="16.7" customHeight="1" x14ac:dyDescent="0.2"/>
    <row r="55" spans="1:19" ht="16.7" customHeight="1" x14ac:dyDescent="0.2"/>
    <row r="56" spans="1:19" ht="16.7" customHeight="1" x14ac:dyDescent="0.2"/>
    <row r="57" spans="1:19" ht="16.7" customHeight="1" x14ac:dyDescent="0.2"/>
    <row r="58" spans="1:19" ht="16.7" customHeight="1" x14ac:dyDescent="0.2"/>
    <row r="59" spans="1:19" ht="16.7" customHeight="1" x14ac:dyDescent="0.2"/>
    <row r="60" spans="1:19" ht="16.7" customHeight="1" x14ac:dyDescent="0.2"/>
    <row r="61" spans="1:19" ht="16.7" customHeight="1" x14ac:dyDescent="0.2"/>
    <row r="62" spans="1:19" ht="16.7" customHeight="1" x14ac:dyDescent="0.2"/>
    <row r="63" spans="1:19" ht="16.7" customHeight="1" x14ac:dyDescent="0.2"/>
    <row r="64" spans="1:19" ht="16.7" customHeight="1" x14ac:dyDescent="0.2"/>
    <row r="65" ht="16.7" customHeight="1" x14ac:dyDescent="0.2"/>
    <row r="66" ht="16.7" customHeight="1" x14ac:dyDescent="0.2"/>
    <row r="67" ht="16.7" customHeight="1" x14ac:dyDescent="0.2"/>
    <row r="68" ht="16.7" customHeight="1" x14ac:dyDescent="0.2"/>
    <row r="69" ht="16.7" customHeight="1" x14ac:dyDescent="0.2"/>
    <row r="70" ht="16.7" customHeight="1" x14ac:dyDescent="0.2"/>
    <row r="71" ht="16.7" customHeight="1" x14ac:dyDescent="0.2"/>
    <row r="72" ht="16.7" customHeight="1" x14ac:dyDescent="0.2"/>
    <row r="73" ht="16.7" customHeight="1" x14ac:dyDescent="0.2"/>
    <row r="74" ht="16.7" customHeight="1" x14ac:dyDescent="0.2"/>
    <row r="75" ht="16.7" customHeight="1" x14ac:dyDescent="0.2"/>
    <row r="76" ht="16.7" customHeight="1" x14ac:dyDescent="0.2"/>
    <row r="77" ht="16.7" customHeight="1" x14ac:dyDescent="0.2"/>
    <row r="78" ht="16.7" customHeight="1" x14ac:dyDescent="0.2"/>
    <row r="79" ht="16.7" customHeight="1" x14ac:dyDescent="0.2"/>
    <row r="80" ht="16.7" customHeight="1" x14ac:dyDescent="0.2"/>
    <row r="81" ht="16.7" customHeight="1" x14ac:dyDescent="0.2"/>
    <row r="82" ht="16.7" customHeight="1" x14ac:dyDescent="0.2"/>
    <row r="83" ht="16.7" customHeight="1" x14ac:dyDescent="0.2"/>
    <row r="84" ht="16.7" customHeight="1" x14ac:dyDescent="0.2"/>
    <row r="85" ht="16.7" customHeight="1" x14ac:dyDescent="0.2"/>
    <row r="86" ht="16.7" customHeight="1" x14ac:dyDescent="0.2"/>
    <row r="87" ht="16.7" customHeight="1" x14ac:dyDescent="0.2"/>
    <row r="88" ht="16.7" customHeight="1" x14ac:dyDescent="0.2"/>
    <row r="89" ht="16.7" customHeight="1" x14ac:dyDescent="0.2"/>
    <row r="90" ht="16.7" customHeight="1" x14ac:dyDescent="0.2"/>
    <row r="91" ht="16.7" customHeight="1" x14ac:dyDescent="0.2"/>
    <row r="92" ht="16.7" customHeight="1" x14ac:dyDescent="0.2"/>
    <row r="93" ht="16.7" customHeight="1" x14ac:dyDescent="0.2"/>
    <row r="94" ht="16.7" customHeight="1" x14ac:dyDescent="0.2"/>
    <row r="95" ht="16.7" customHeight="1" x14ac:dyDescent="0.2"/>
    <row r="96" ht="16.7" customHeight="1" x14ac:dyDescent="0.2"/>
    <row r="97" ht="16.7" customHeight="1" x14ac:dyDescent="0.2"/>
    <row r="98" ht="16.7" customHeight="1" x14ac:dyDescent="0.2"/>
    <row r="99" ht="16.7" customHeight="1" x14ac:dyDescent="0.2"/>
    <row r="100" ht="16.7" customHeight="1" x14ac:dyDescent="0.2"/>
    <row r="101" ht="16.7" customHeight="1" x14ac:dyDescent="0.2"/>
    <row r="102" ht="16.7" customHeight="1" x14ac:dyDescent="0.2"/>
    <row r="103" ht="16.7" customHeight="1" x14ac:dyDescent="0.2"/>
    <row r="104" ht="16.7" customHeight="1" x14ac:dyDescent="0.2"/>
    <row r="105" ht="15" customHeight="1" x14ac:dyDescent="0.2"/>
    <row r="106" ht="15" customHeight="1" x14ac:dyDescent="0.2"/>
  </sheetData>
  <mergeCells count="14">
    <mergeCell ref="I6:K6"/>
    <mergeCell ref="L6:L7"/>
    <mergeCell ref="M6:Q6"/>
    <mergeCell ref="R6:R7"/>
    <mergeCell ref="B1:C1"/>
    <mergeCell ref="A3:R3"/>
    <mergeCell ref="A4:R4"/>
    <mergeCell ref="A5:H5"/>
    <mergeCell ref="I5:R5"/>
    <mergeCell ref="A6:A8"/>
    <mergeCell ref="B6:C6"/>
    <mergeCell ref="D6:D7"/>
    <mergeCell ref="E6:F6"/>
    <mergeCell ref="G6:H6"/>
  </mergeCells>
  <pageMargins left="0.75" right="0.75" top="1" bottom="1" header="0.5" footer="0.5"/>
  <customProperties>
    <customPr name="_pios_id" r:id="rId1"/>
  </customProperties>
</worksheet>
</file>

<file path=xl/worksheets/sheet1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4857E9-D039-49E9-B983-FF09E1889D66}">
  <sheetPr codeName="Sheet109"/>
  <dimension ref="A1:O107"/>
  <sheetViews>
    <sheetView workbookViewId="0">
      <pane xSplit="2" ySplit="9" topLeftCell="C10" activePane="bottomRight" state="frozen"/>
      <selection pane="topRight"/>
      <selection pane="bottomLeft"/>
      <selection pane="bottomRight"/>
    </sheetView>
  </sheetViews>
  <sheetFormatPr defaultColWidth="11.5" defaultRowHeight="12.75" x14ac:dyDescent="0.2"/>
  <cols>
    <col min="1" max="1" width="6.5" style="1953" customWidth="1"/>
    <col min="2" max="2" width="22" style="1953" customWidth="1"/>
    <col min="3" max="10" width="17.625" style="1953" customWidth="1"/>
    <col min="11" max="11" width="28.125" style="1953" customWidth="1"/>
    <col min="12" max="13" width="12.125" style="1953" customWidth="1"/>
    <col min="14" max="14" width="32.75" style="1953" customWidth="1"/>
    <col min="15" max="15" width="31.125" style="1953" customWidth="1"/>
    <col min="16" max="26" width="17.625" style="1953" customWidth="1"/>
    <col min="27" max="16384" width="11.5" style="1953"/>
  </cols>
  <sheetData>
    <row r="1" spans="1:15" ht="16.7" customHeight="1" x14ac:dyDescent="0.2"/>
    <row r="2" spans="1:15" ht="16.7" customHeight="1" x14ac:dyDescent="0.2">
      <c r="B2" s="2744" t="s">
        <v>7058</v>
      </c>
      <c r="C2" s="4182" t="s">
        <v>10912</v>
      </c>
      <c r="D2" s="4183"/>
      <c r="E2" s="4183"/>
      <c r="F2" s="4183"/>
      <c r="G2" s="4183"/>
      <c r="H2" s="4184"/>
      <c r="I2" s="2479"/>
    </row>
    <row r="3" spans="1:15" ht="16.7" customHeight="1" x14ac:dyDescent="0.2">
      <c r="A3" s="3064">
        <f>COUNTA(B10:B60)</f>
        <v>50</v>
      </c>
      <c r="B3" s="2623" t="s">
        <v>10913</v>
      </c>
      <c r="C3" s="3064">
        <f>A3+'Pg 426 - Substations - ID'!A3+'Pg 426 - Substations - MT'!A3+'Pg 426 - Substations - OR'!A3+'Pg 426 - Substations - UT'!A3+'Pg 426 - Substations - WA'!A3+'Pg 426 - Substations - WY'!A3</f>
        <v>878</v>
      </c>
      <c r="D3" s="2623" t="s">
        <v>10914</v>
      </c>
      <c r="E3" s="2806"/>
      <c r="F3" s="2483"/>
      <c r="G3" s="2483"/>
      <c r="H3" s="2483"/>
    </row>
    <row r="4" spans="1:15" ht="16.7" customHeight="1" x14ac:dyDescent="0.2">
      <c r="A4" s="3932" t="s">
        <v>10915</v>
      </c>
      <c r="B4" s="3975"/>
      <c r="C4" s="3975"/>
      <c r="D4" s="3975"/>
      <c r="E4" s="3975"/>
      <c r="F4" s="3975"/>
      <c r="G4" s="3975"/>
      <c r="H4" s="3975"/>
      <c r="I4" s="3975"/>
      <c r="J4" s="3975"/>
      <c r="K4" s="3975"/>
      <c r="L4" s="3975"/>
      <c r="M4" s="3976"/>
      <c r="N4" s="2479"/>
    </row>
    <row r="5" spans="1:15" ht="59.1" customHeight="1" x14ac:dyDescent="0.2">
      <c r="A5" s="3878" t="s">
        <v>10916</v>
      </c>
      <c r="B5" s="3879"/>
      <c r="C5" s="3879"/>
      <c r="D5" s="3879"/>
      <c r="E5" s="3879"/>
      <c r="F5" s="3879"/>
      <c r="G5" s="3880"/>
      <c r="H5" s="3878" t="s">
        <v>10917</v>
      </c>
      <c r="I5" s="3879"/>
      <c r="J5" s="3879"/>
      <c r="K5" s="3879"/>
      <c r="L5" s="3879"/>
      <c r="M5" s="3880"/>
      <c r="N5" s="2479"/>
    </row>
    <row r="6" spans="1:15" ht="16.7" customHeight="1" x14ac:dyDescent="0.2">
      <c r="A6" s="3882" t="s">
        <v>10918</v>
      </c>
      <c r="B6" s="3883"/>
      <c r="C6" s="3883"/>
      <c r="D6" s="3883"/>
      <c r="E6" s="3883"/>
      <c r="F6" s="3883"/>
      <c r="G6" s="3884"/>
      <c r="H6" s="3882" t="s">
        <v>10919</v>
      </c>
      <c r="I6" s="3891"/>
      <c r="J6" s="3891"/>
      <c r="K6" s="3891"/>
      <c r="L6" s="3891"/>
      <c r="M6" s="3892"/>
      <c r="N6" s="2479"/>
    </row>
    <row r="7" spans="1:15" ht="16.7" customHeight="1" x14ac:dyDescent="0.2">
      <c r="A7" s="3855" t="s">
        <v>6360</v>
      </c>
      <c r="B7" s="3922" t="s">
        <v>10920</v>
      </c>
      <c r="C7" s="4186" t="s">
        <v>10921</v>
      </c>
      <c r="D7" s="4187"/>
      <c r="E7" s="3882" t="s">
        <v>10922</v>
      </c>
      <c r="F7" s="3883"/>
      <c r="G7" s="3884"/>
      <c r="H7" s="3922" t="s">
        <v>10923</v>
      </c>
      <c r="I7" s="3922" t="s">
        <v>10924</v>
      </c>
      <c r="J7" s="3922" t="s">
        <v>10925</v>
      </c>
      <c r="K7" s="3882" t="s">
        <v>10926</v>
      </c>
      <c r="L7" s="3891"/>
      <c r="M7" s="3892"/>
      <c r="N7" s="2479"/>
    </row>
    <row r="8" spans="1:15" ht="27.6" customHeight="1" x14ac:dyDescent="0.2">
      <c r="A8" s="3856"/>
      <c r="B8" s="3943"/>
      <c r="C8" s="2824" t="s">
        <v>10927</v>
      </c>
      <c r="D8" s="2586" t="s">
        <v>10928</v>
      </c>
      <c r="E8" s="2581" t="s">
        <v>10929</v>
      </c>
      <c r="F8" s="2581" t="s">
        <v>10930</v>
      </c>
      <c r="G8" s="2581" t="s">
        <v>10931</v>
      </c>
      <c r="H8" s="4185"/>
      <c r="I8" s="4185"/>
      <c r="J8" s="4185"/>
      <c r="K8" s="2581" t="s">
        <v>10932</v>
      </c>
      <c r="L8" s="2581" t="s">
        <v>10146</v>
      </c>
      <c r="M8" s="2581" t="s">
        <v>10933</v>
      </c>
      <c r="N8" s="2479"/>
    </row>
    <row r="9" spans="1:15" ht="16.7" customHeight="1" x14ac:dyDescent="0.2">
      <c r="A9" s="3856"/>
      <c r="B9" s="2589" t="s">
        <v>5949</v>
      </c>
      <c r="C9" s="2589" t="s">
        <v>5950</v>
      </c>
      <c r="D9" s="2589" t="s">
        <v>10934</v>
      </c>
      <c r="E9" s="2589" t="s">
        <v>5951</v>
      </c>
      <c r="F9" s="2589" t="s">
        <v>5952</v>
      </c>
      <c r="G9" s="2589" t="s">
        <v>6227</v>
      </c>
      <c r="H9" s="2589" t="s">
        <v>5804</v>
      </c>
      <c r="I9" s="2589" t="s">
        <v>6228</v>
      </c>
      <c r="J9" s="2589" t="s">
        <v>6229</v>
      </c>
      <c r="K9" s="2589" t="s">
        <v>6230</v>
      </c>
      <c r="L9" s="2589" t="s">
        <v>6231</v>
      </c>
      <c r="M9" s="2589" t="s">
        <v>6232</v>
      </c>
      <c r="N9" s="2479" t="s">
        <v>6324</v>
      </c>
      <c r="O9" s="2576" t="s">
        <v>10935</v>
      </c>
    </row>
    <row r="10" spans="1:15" ht="19.149999999999999" customHeight="1" x14ac:dyDescent="0.2">
      <c r="A10" s="2752">
        <v>1</v>
      </c>
      <c r="B10" s="2512" t="s">
        <v>10936</v>
      </c>
      <c r="C10" s="2489" t="s">
        <v>512</v>
      </c>
      <c r="D10" s="2489" t="s">
        <v>10937</v>
      </c>
      <c r="E10" s="3041">
        <v>69</v>
      </c>
      <c r="F10" s="3041">
        <v>12.47</v>
      </c>
      <c r="G10" s="2488"/>
      <c r="H10" s="2752">
        <v>25</v>
      </c>
      <c r="I10" s="2752">
        <v>1</v>
      </c>
      <c r="J10" s="2488"/>
      <c r="K10" s="2614"/>
      <c r="L10" s="2488"/>
      <c r="M10" s="2614"/>
      <c r="N10" s="2479" t="str">
        <f t="shared" ref="N10:N60" si="0">CONCATENATE(B10,", ",C10,", ",D10)</f>
        <v>BELMONT, CA, Distribution, Unattended</v>
      </c>
    </row>
    <row r="11" spans="1:15" ht="16.7" customHeight="1" x14ac:dyDescent="0.2">
      <c r="A11" s="2752">
        <f t="shared" ref="A11:A49" si="1">A10+1</f>
        <v>2</v>
      </c>
      <c r="B11" s="2512" t="s">
        <v>10938</v>
      </c>
      <c r="C11" s="2489" t="s">
        <v>512</v>
      </c>
      <c r="D11" s="2489" t="s">
        <v>10937</v>
      </c>
      <c r="E11" s="3041">
        <v>69</v>
      </c>
      <c r="F11" s="3041">
        <v>12.47</v>
      </c>
      <c r="G11" s="2488"/>
      <c r="H11" s="2752">
        <v>6</v>
      </c>
      <c r="I11" s="2752">
        <v>1</v>
      </c>
      <c r="J11" s="2488"/>
      <c r="K11" s="2614"/>
      <c r="L11" s="2488"/>
      <c r="M11" s="2614"/>
      <c r="N11" s="2479" t="str">
        <f t="shared" si="0"/>
        <v>BIG SPRINGS, CA, Distribution, Unattended</v>
      </c>
    </row>
    <row r="12" spans="1:15" ht="16.7" customHeight="1" x14ac:dyDescent="0.2">
      <c r="A12" s="2752">
        <f t="shared" si="1"/>
        <v>3</v>
      </c>
      <c r="B12" s="2512" t="s">
        <v>10939</v>
      </c>
      <c r="C12" s="2489" t="s">
        <v>512</v>
      </c>
      <c r="D12" s="2489" t="s">
        <v>10937</v>
      </c>
      <c r="E12" s="3041">
        <v>69</v>
      </c>
      <c r="F12" s="3041">
        <v>2.4</v>
      </c>
      <c r="G12" s="2488"/>
      <c r="H12" s="2752">
        <v>2</v>
      </c>
      <c r="I12" s="2752">
        <v>3</v>
      </c>
      <c r="J12" s="2488"/>
      <c r="K12" s="2614"/>
      <c r="L12" s="2488"/>
      <c r="M12" s="2614"/>
      <c r="N12" s="2479" t="str">
        <f t="shared" si="0"/>
        <v>CASTELLA, CA, Distribution, Unattended</v>
      </c>
    </row>
    <row r="13" spans="1:15" ht="19.149999999999999" customHeight="1" x14ac:dyDescent="0.2">
      <c r="A13" s="2752">
        <f t="shared" si="1"/>
        <v>4</v>
      </c>
      <c r="B13" s="2512" t="s">
        <v>10940</v>
      </c>
      <c r="C13" s="2489" t="s">
        <v>512</v>
      </c>
      <c r="D13" s="2489" t="s">
        <v>10937</v>
      </c>
      <c r="E13" s="3041">
        <v>69</v>
      </c>
      <c r="F13" s="3041">
        <v>12.47</v>
      </c>
      <c r="G13" s="2488"/>
      <c r="H13" s="2752">
        <v>6</v>
      </c>
      <c r="I13" s="2752">
        <v>4</v>
      </c>
      <c r="J13" s="2488"/>
      <c r="K13" s="2614"/>
      <c r="L13" s="2488"/>
      <c r="M13" s="2614"/>
      <c r="N13" s="2479" t="str">
        <f t="shared" si="0"/>
        <v>CLEAR LAKE, CA, Distribution, Unattended</v>
      </c>
    </row>
    <row r="14" spans="1:15" ht="16.7" customHeight="1" x14ac:dyDescent="0.2">
      <c r="A14" s="2752">
        <f t="shared" si="1"/>
        <v>5</v>
      </c>
      <c r="B14" s="2512" t="s">
        <v>10941</v>
      </c>
      <c r="C14" s="2489" t="s">
        <v>512</v>
      </c>
      <c r="D14" s="2489" t="s">
        <v>10937</v>
      </c>
      <c r="E14" s="3041">
        <v>69</v>
      </c>
      <c r="F14" s="3041">
        <v>2.4</v>
      </c>
      <c r="G14" s="2488"/>
      <c r="H14" s="2752">
        <v>0</v>
      </c>
      <c r="I14" s="2752">
        <v>1</v>
      </c>
      <c r="J14" s="2488"/>
      <c r="K14" s="2614"/>
      <c r="L14" s="2488"/>
      <c r="M14" s="2614"/>
      <c r="N14" s="2479" t="str">
        <f t="shared" si="0"/>
        <v>DOG CREEK, CA, Distribution, Unattended</v>
      </c>
    </row>
    <row r="15" spans="1:15" ht="16.7" customHeight="1" x14ac:dyDescent="0.2">
      <c r="A15" s="2752">
        <f t="shared" si="1"/>
        <v>6</v>
      </c>
      <c r="B15" s="2512" t="s">
        <v>10942</v>
      </c>
      <c r="C15" s="2489" t="s">
        <v>512</v>
      </c>
      <c r="D15" s="2489" t="s">
        <v>10937</v>
      </c>
      <c r="E15" s="3041">
        <v>69</v>
      </c>
      <c r="F15" s="3041">
        <v>12.47</v>
      </c>
      <c r="G15" s="2488"/>
      <c r="H15" s="2752">
        <v>8</v>
      </c>
      <c r="I15" s="2752">
        <v>3</v>
      </c>
      <c r="J15" s="2488"/>
      <c r="K15" s="2614"/>
      <c r="L15" s="2488"/>
      <c r="M15" s="2614"/>
      <c r="N15" s="2479" t="str">
        <f t="shared" si="0"/>
        <v>DORRIS, CA, Distribution, Unattended</v>
      </c>
    </row>
    <row r="16" spans="1:15" ht="16.7" customHeight="1" x14ac:dyDescent="0.2">
      <c r="A16" s="2752">
        <f t="shared" si="1"/>
        <v>7</v>
      </c>
      <c r="B16" s="2512" t="s">
        <v>10943</v>
      </c>
      <c r="C16" s="2489" t="s">
        <v>512</v>
      </c>
      <c r="D16" s="2489" t="s">
        <v>10937</v>
      </c>
      <c r="E16" s="3041">
        <v>69</v>
      </c>
      <c r="F16" s="3041">
        <v>12.47</v>
      </c>
      <c r="G16" s="2488"/>
      <c r="H16" s="2752">
        <v>6</v>
      </c>
      <c r="I16" s="2752">
        <v>1</v>
      </c>
      <c r="J16" s="2488"/>
      <c r="K16" s="2614"/>
      <c r="L16" s="2488"/>
      <c r="M16" s="2614"/>
      <c r="N16" s="2479" t="str">
        <f t="shared" si="0"/>
        <v>FORT JONES, CA, Distribution, Unattended</v>
      </c>
    </row>
    <row r="17" spans="1:14" ht="16.7" customHeight="1" x14ac:dyDescent="0.2">
      <c r="A17" s="2752">
        <f t="shared" si="1"/>
        <v>8</v>
      </c>
      <c r="B17" s="2512" t="s">
        <v>10944</v>
      </c>
      <c r="C17" s="2489" t="s">
        <v>512</v>
      </c>
      <c r="D17" s="2489" t="s">
        <v>10937</v>
      </c>
      <c r="E17" s="3041">
        <v>115</v>
      </c>
      <c r="F17" s="3041">
        <v>12.47</v>
      </c>
      <c r="G17" s="2488"/>
      <c r="H17" s="2752">
        <v>9</v>
      </c>
      <c r="I17" s="2752">
        <v>1</v>
      </c>
      <c r="J17" s="2488"/>
      <c r="K17" s="2614"/>
      <c r="L17" s="2488"/>
      <c r="M17" s="2614"/>
      <c r="N17" s="2479" t="str">
        <f t="shared" si="0"/>
        <v>GASQUET, CA, Distribution, Unattended</v>
      </c>
    </row>
    <row r="18" spans="1:14" ht="16.7" customHeight="1" x14ac:dyDescent="0.2">
      <c r="A18" s="2752">
        <f t="shared" si="1"/>
        <v>9</v>
      </c>
      <c r="B18" s="2512" t="s">
        <v>10945</v>
      </c>
      <c r="C18" s="2489" t="s">
        <v>512</v>
      </c>
      <c r="D18" s="2489" t="s">
        <v>10937</v>
      </c>
      <c r="E18" s="3041">
        <v>69</v>
      </c>
      <c r="F18" s="3041">
        <v>12.47</v>
      </c>
      <c r="G18" s="2488"/>
      <c r="H18" s="2752">
        <v>13</v>
      </c>
      <c r="I18" s="2752">
        <v>1</v>
      </c>
      <c r="J18" s="2488"/>
      <c r="K18" s="2614"/>
      <c r="L18" s="2488"/>
      <c r="M18" s="2614"/>
      <c r="N18" s="2479" t="str">
        <f t="shared" si="0"/>
        <v>GREENHORN, CA, Distribution, Unattended</v>
      </c>
    </row>
    <row r="19" spans="1:14" ht="16.7" customHeight="1" x14ac:dyDescent="0.2">
      <c r="A19" s="2752">
        <f t="shared" si="1"/>
        <v>10</v>
      </c>
      <c r="B19" s="2512" t="s">
        <v>10946</v>
      </c>
      <c r="C19" s="2489" t="s">
        <v>512</v>
      </c>
      <c r="D19" s="2489" t="s">
        <v>10937</v>
      </c>
      <c r="E19" s="3041">
        <v>69</v>
      </c>
      <c r="F19" s="3041">
        <v>2.4</v>
      </c>
      <c r="G19" s="2488"/>
      <c r="H19" s="2752">
        <v>1</v>
      </c>
      <c r="I19" s="2752">
        <v>1</v>
      </c>
      <c r="J19" s="2488"/>
      <c r="K19" s="2614"/>
      <c r="L19" s="2488"/>
      <c r="M19" s="2614"/>
      <c r="N19" s="2479" t="str">
        <f t="shared" si="0"/>
        <v>HAMBURG, CA, Distribution, Unattended</v>
      </c>
    </row>
    <row r="20" spans="1:14" ht="16.7" customHeight="1" x14ac:dyDescent="0.2">
      <c r="A20" s="2752">
        <f t="shared" si="1"/>
        <v>11</v>
      </c>
      <c r="B20" s="2512" t="s">
        <v>10947</v>
      </c>
      <c r="C20" s="2489" t="s">
        <v>512</v>
      </c>
      <c r="D20" s="2489" t="s">
        <v>10937</v>
      </c>
      <c r="E20" s="3041">
        <v>69</v>
      </c>
      <c r="F20" s="3041">
        <v>12.47</v>
      </c>
      <c r="G20" s="2488"/>
      <c r="H20" s="2752">
        <v>8</v>
      </c>
      <c r="I20" s="2752">
        <v>3</v>
      </c>
      <c r="J20" s="2488"/>
      <c r="K20" s="2614"/>
      <c r="L20" s="2488"/>
      <c r="M20" s="2614"/>
      <c r="N20" s="2479" t="str">
        <f t="shared" si="0"/>
        <v>HAPPY CAMP, CA, Distribution, Unattended</v>
      </c>
    </row>
    <row r="21" spans="1:14" ht="16.7" customHeight="1" x14ac:dyDescent="0.2">
      <c r="A21" s="2752">
        <f t="shared" si="1"/>
        <v>12</v>
      </c>
      <c r="B21" s="2512" t="s">
        <v>10948</v>
      </c>
      <c r="C21" s="2489" t="s">
        <v>512</v>
      </c>
      <c r="D21" s="2489" t="s">
        <v>10937</v>
      </c>
      <c r="E21" s="3041">
        <v>69</v>
      </c>
      <c r="F21" s="3041">
        <v>12.47</v>
      </c>
      <c r="G21" s="2488"/>
      <c r="H21" s="2752">
        <v>4</v>
      </c>
      <c r="I21" s="2752">
        <v>3</v>
      </c>
      <c r="J21" s="2488"/>
      <c r="K21" s="2614"/>
      <c r="L21" s="2488"/>
      <c r="M21" s="2614"/>
      <c r="N21" s="2479" t="str">
        <f t="shared" si="0"/>
        <v>HORNBROOK, CA, Distribution, Unattended</v>
      </c>
    </row>
    <row r="22" spans="1:14" ht="16.7" customHeight="1" x14ac:dyDescent="0.2">
      <c r="A22" s="2752">
        <f t="shared" si="1"/>
        <v>13</v>
      </c>
      <c r="B22" s="2512" t="s">
        <v>10949</v>
      </c>
      <c r="C22" s="2489" t="s">
        <v>512</v>
      </c>
      <c r="D22" s="2489" t="s">
        <v>10937</v>
      </c>
      <c r="E22" s="3041">
        <v>69</v>
      </c>
      <c r="F22" s="3041">
        <v>2.4</v>
      </c>
      <c r="G22" s="2488"/>
      <c r="H22" s="2752">
        <v>9</v>
      </c>
      <c r="I22" s="2752">
        <v>3</v>
      </c>
      <c r="J22" s="2488"/>
      <c r="K22" s="2614"/>
      <c r="L22" s="2488"/>
      <c r="M22" s="2614"/>
      <c r="N22" s="2479" t="str">
        <f t="shared" si="0"/>
        <v>INTERNATIONAL PAPER, CA, Distribution, Unattended</v>
      </c>
    </row>
    <row r="23" spans="1:14" ht="16.7" customHeight="1" x14ac:dyDescent="0.2">
      <c r="A23" s="2752">
        <f t="shared" si="1"/>
        <v>14</v>
      </c>
      <c r="B23" s="2512" t="s">
        <v>10950</v>
      </c>
      <c r="C23" s="2489" t="s">
        <v>512</v>
      </c>
      <c r="D23" s="2489" t="s">
        <v>10937</v>
      </c>
      <c r="E23" s="3041">
        <v>69</v>
      </c>
      <c r="F23" s="3041">
        <v>12.47</v>
      </c>
      <c r="G23" s="2488"/>
      <c r="H23" s="2752">
        <v>13</v>
      </c>
      <c r="I23" s="2752">
        <v>1</v>
      </c>
      <c r="J23" s="2488"/>
      <c r="K23" s="2614"/>
      <c r="L23" s="2488"/>
      <c r="M23" s="2614"/>
      <c r="N23" s="2479" t="str">
        <f t="shared" si="0"/>
        <v>LAKE EARL, CA, Distribution, Unattended</v>
      </c>
    </row>
    <row r="24" spans="1:14" ht="16.7" customHeight="1" x14ac:dyDescent="0.2">
      <c r="A24" s="2752">
        <f t="shared" si="1"/>
        <v>15</v>
      </c>
      <c r="B24" s="2512" t="s">
        <v>10951</v>
      </c>
      <c r="C24" s="2489" t="s">
        <v>512</v>
      </c>
      <c r="D24" s="2489" t="s">
        <v>10937</v>
      </c>
      <c r="E24" s="3041">
        <v>115</v>
      </c>
      <c r="F24" s="3041">
        <v>12.47</v>
      </c>
      <c r="G24" s="2488"/>
      <c r="H24" s="2752">
        <v>25</v>
      </c>
      <c r="I24" s="2752">
        <v>1</v>
      </c>
      <c r="J24" s="2488"/>
      <c r="K24" s="2614"/>
      <c r="L24" s="2488"/>
      <c r="M24" s="2614"/>
      <c r="N24" s="2479" t="str">
        <f t="shared" si="0"/>
        <v>LASSEN, CA, Distribution, Unattended</v>
      </c>
    </row>
    <row r="25" spans="1:14" ht="16.7" customHeight="1" x14ac:dyDescent="0.2">
      <c r="A25" s="2752">
        <f t="shared" si="1"/>
        <v>16</v>
      </c>
      <c r="B25" s="2512" t="s">
        <v>10952</v>
      </c>
      <c r="C25" s="2489" t="s">
        <v>512</v>
      </c>
      <c r="D25" s="2489" t="s">
        <v>10937</v>
      </c>
      <c r="E25" s="3041">
        <v>69</v>
      </c>
      <c r="F25" s="3041">
        <v>7.2</v>
      </c>
      <c r="G25" s="3041">
        <v>2.4</v>
      </c>
      <c r="H25" s="2752">
        <v>2</v>
      </c>
      <c r="I25" s="2752">
        <v>3</v>
      </c>
      <c r="J25" s="2488"/>
      <c r="K25" s="2488"/>
      <c r="L25" s="2488"/>
      <c r="M25" s="2614"/>
      <c r="N25" s="2479" t="str">
        <f t="shared" si="0"/>
        <v>LITTLE SHASTA, CA, Distribution, Unattended</v>
      </c>
    </row>
    <row r="26" spans="1:14" ht="16.7" customHeight="1" x14ac:dyDescent="0.2">
      <c r="A26" s="2752">
        <f t="shared" si="1"/>
        <v>17</v>
      </c>
      <c r="B26" s="2512" t="s">
        <v>10953</v>
      </c>
      <c r="C26" s="2489" t="s">
        <v>512</v>
      </c>
      <c r="D26" s="2489" t="s">
        <v>10937</v>
      </c>
      <c r="E26" s="3041">
        <v>115</v>
      </c>
      <c r="F26" s="3041">
        <v>12.47</v>
      </c>
      <c r="G26" s="2488"/>
      <c r="H26" s="2752">
        <v>9</v>
      </c>
      <c r="I26" s="2752">
        <v>1</v>
      </c>
      <c r="J26" s="2488"/>
      <c r="K26" s="2488"/>
      <c r="L26" s="2488"/>
      <c r="M26" s="2614"/>
      <c r="N26" s="2479" t="str">
        <f t="shared" si="0"/>
        <v>LUCERNE, CA, Distribution, Unattended</v>
      </c>
    </row>
    <row r="27" spans="1:14" ht="16.7" customHeight="1" x14ac:dyDescent="0.2">
      <c r="A27" s="2752">
        <f t="shared" si="1"/>
        <v>18</v>
      </c>
      <c r="B27" s="2512" t="s">
        <v>10954</v>
      </c>
      <c r="C27" s="2489" t="s">
        <v>512</v>
      </c>
      <c r="D27" s="2489" t="s">
        <v>10937</v>
      </c>
      <c r="E27" s="3041">
        <v>69</v>
      </c>
      <c r="F27" s="3041">
        <v>20.8</v>
      </c>
      <c r="G27" s="2488"/>
      <c r="H27" s="2752">
        <v>37</v>
      </c>
      <c r="I27" s="2752">
        <v>2</v>
      </c>
      <c r="J27" s="2488"/>
      <c r="K27" s="2614"/>
      <c r="L27" s="2488"/>
      <c r="M27" s="2614"/>
      <c r="N27" s="2479" t="str">
        <f t="shared" si="0"/>
        <v>MACDOEL, CA, Distribution, Unattended</v>
      </c>
    </row>
    <row r="28" spans="1:14" ht="16.7" customHeight="1" x14ac:dyDescent="0.2">
      <c r="A28" s="2752">
        <f t="shared" si="1"/>
        <v>19</v>
      </c>
      <c r="B28" s="2512" t="s">
        <v>10955</v>
      </c>
      <c r="C28" s="2489" t="s">
        <v>512</v>
      </c>
      <c r="D28" s="2489" t="s">
        <v>10937</v>
      </c>
      <c r="E28" s="3041">
        <v>69</v>
      </c>
      <c r="F28" s="3041">
        <v>12.47</v>
      </c>
      <c r="G28" s="2488"/>
      <c r="H28" s="2752">
        <v>6</v>
      </c>
      <c r="I28" s="2752">
        <v>1</v>
      </c>
      <c r="J28" s="2488"/>
      <c r="K28" s="2614"/>
      <c r="L28" s="2488"/>
      <c r="M28" s="2614"/>
      <c r="N28" s="2479" t="str">
        <f t="shared" si="0"/>
        <v>MCCLOUD, CA, Distribution, Unattended</v>
      </c>
    </row>
    <row r="29" spans="1:14" ht="16.7" customHeight="1" x14ac:dyDescent="0.2">
      <c r="A29" s="2752">
        <f t="shared" si="1"/>
        <v>20</v>
      </c>
      <c r="B29" s="2512" t="s">
        <v>10956</v>
      </c>
      <c r="C29" s="2489" t="s">
        <v>512</v>
      </c>
      <c r="D29" s="2489" t="s">
        <v>10937</v>
      </c>
      <c r="E29" s="3041">
        <v>69</v>
      </c>
      <c r="F29" s="3041">
        <v>12.47</v>
      </c>
      <c r="G29" s="2488"/>
      <c r="H29" s="2752">
        <v>4</v>
      </c>
      <c r="I29" s="2752">
        <v>3</v>
      </c>
      <c r="J29" s="2614"/>
      <c r="K29" s="2614"/>
      <c r="L29" s="2488"/>
      <c r="M29" s="2614"/>
      <c r="N29" s="2479" t="str">
        <f t="shared" si="0"/>
        <v>MILLER REDWOOD, CA, Distribution, Unattended</v>
      </c>
    </row>
    <row r="30" spans="1:14" ht="16.7" customHeight="1" x14ac:dyDescent="0.2">
      <c r="A30" s="2752">
        <f t="shared" si="1"/>
        <v>21</v>
      </c>
      <c r="B30" s="2512" t="s">
        <v>10957</v>
      </c>
      <c r="C30" s="2489" t="s">
        <v>512</v>
      </c>
      <c r="D30" s="2489" t="s">
        <v>10937</v>
      </c>
      <c r="E30" s="3041">
        <v>69</v>
      </c>
      <c r="F30" s="3041">
        <v>12.47</v>
      </c>
      <c r="G30" s="2488"/>
      <c r="H30" s="2752">
        <v>6</v>
      </c>
      <c r="I30" s="2752">
        <v>1</v>
      </c>
      <c r="J30" s="2488"/>
      <c r="K30" s="2614"/>
      <c r="L30" s="2488"/>
      <c r="M30" s="2614"/>
      <c r="N30" s="2479" t="str">
        <f t="shared" si="0"/>
        <v>MONTAGUE, CA, Distribution, Unattended</v>
      </c>
    </row>
    <row r="31" spans="1:14" ht="16.7" customHeight="1" x14ac:dyDescent="0.2">
      <c r="A31" s="2752">
        <f t="shared" si="1"/>
        <v>22</v>
      </c>
      <c r="B31" s="2512" t="s">
        <v>10958</v>
      </c>
      <c r="C31" s="2489" t="s">
        <v>512</v>
      </c>
      <c r="D31" s="2489" t="s">
        <v>10937</v>
      </c>
      <c r="E31" s="3041">
        <v>69</v>
      </c>
      <c r="F31" s="3041">
        <v>12.47</v>
      </c>
      <c r="G31" s="2488"/>
      <c r="H31" s="2752">
        <v>14</v>
      </c>
      <c r="I31" s="2752">
        <v>1</v>
      </c>
      <c r="J31" s="2488"/>
      <c r="K31" s="2614"/>
      <c r="L31" s="2488"/>
      <c r="M31" s="2614"/>
      <c r="N31" s="2479" t="str">
        <f t="shared" si="0"/>
        <v>MORRISON CREEK, CA, Distribution, Unattended</v>
      </c>
    </row>
    <row r="32" spans="1:14" ht="16.7" customHeight="1" x14ac:dyDescent="0.2">
      <c r="A32" s="2752">
        <f t="shared" si="1"/>
        <v>23</v>
      </c>
      <c r="B32" s="2512" t="s">
        <v>10959</v>
      </c>
      <c r="C32" s="2489" t="s">
        <v>512</v>
      </c>
      <c r="D32" s="2489" t="s">
        <v>10937</v>
      </c>
      <c r="E32" s="3041">
        <v>69</v>
      </c>
      <c r="F32" s="3041">
        <v>12.47</v>
      </c>
      <c r="G32" s="2488"/>
      <c r="H32" s="2752">
        <v>29</v>
      </c>
      <c r="I32" s="2752">
        <v>5</v>
      </c>
      <c r="J32" s="2488"/>
      <c r="K32" s="2614"/>
      <c r="L32" s="2488"/>
      <c r="M32" s="2614"/>
      <c r="N32" s="2479" t="str">
        <f t="shared" si="0"/>
        <v>MOUNT SHASTA, CA, Distribution, Unattended</v>
      </c>
    </row>
    <row r="33" spans="1:14" ht="16.7" customHeight="1" x14ac:dyDescent="0.2">
      <c r="A33" s="2752">
        <f t="shared" si="1"/>
        <v>24</v>
      </c>
      <c r="B33" s="2512" t="s">
        <v>10960</v>
      </c>
      <c r="C33" s="2489" t="s">
        <v>512</v>
      </c>
      <c r="D33" s="2489" t="s">
        <v>10937</v>
      </c>
      <c r="E33" s="3041">
        <v>69</v>
      </c>
      <c r="F33" s="3041">
        <v>12.47</v>
      </c>
      <c r="G33" s="2488"/>
      <c r="H33" s="2752">
        <v>13</v>
      </c>
      <c r="I33" s="2752">
        <v>1</v>
      </c>
      <c r="J33" s="2488"/>
      <c r="K33" s="2614"/>
      <c r="L33" s="2488"/>
      <c r="M33" s="2614"/>
      <c r="N33" s="2479" t="str">
        <f t="shared" si="0"/>
        <v>NEWELL, CA, Distribution, Unattended</v>
      </c>
    </row>
    <row r="34" spans="1:14" ht="16.7" customHeight="1" x14ac:dyDescent="0.2">
      <c r="A34" s="2752">
        <f t="shared" si="1"/>
        <v>25</v>
      </c>
      <c r="B34" s="2512" t="s">
        <v>10961</v>
      </c>
      <c r="C34" s="2489" t="s">
        <v>512</v>
      </c>
      <c r="D34" s="2489" t="s">
        <v>10937</v>
      </c>
      <c r="E34" s="3041">
        <v>69</v>
      </c>
      <c r="F34" s="3041">
        <v>12.47</v>
      </c>
      <c r="G34" s="2488"/>
      <c r="H34" s="2752">
        <v>6</v>
      </c>
      <c r="I34" s="2752">
        <v>6</v>
      </c>
      <c r="J34" s="2488"/>
      <c r="K34" s="2614"/>
      <c r="L34" s="2488"/>
      <c r="M34" s="2614"/>
      <c r="N34" s="2479" t="str">
        <f t="shared" si="0"/>
        <v>NORTH DUNSMUIR, CA, Distribution, Unattended</v>
      </c>
    </row>
    <row r="35" spans="1:14" ht="16.7" customHeight="1" x14ac:dyDescent="0.2">
      <c r="A35" s="2752">
        <f t="shared" si="1"/>
        <v>26</v>
      </c>
      <c r="B35" s="2512" t="s">
        <v>10962</v>
      </c>
      <c r="C35" s="2489" t="s">
        <v>512</v>
      </c>
      <c r="D35" s="2489" t="s">
        <v>10937</v>
      </c>
      <c r="E35" s="3041">
        <v>69</v>
      </c>
      <c r="F35" s="3041">
        <v>12.47</v>
      </c>
      <c r="G35" s="2488"/>
      <c r="H35" s="2752">
        <v>20</v>
      </c>
      <c r="I35" s="2752">
        <v>4</v>
      </c>
      <c r="J35" s="2488"/>
      <c r="K35" s="2614"/>
      <c r="L35" s="2488"/>
      <c r="M35" s="2614"/>
      <c r="N35" s="2479" t="str">
        <f t="shared" si="0"/>
        <v>NORTHCREST, CA, Distribution, Unattended</v>
      </c>
    </row>
    <row r="36" spans="1:14" ht="16.7" customHeight="1" x14ac:dyDescent="0.2">
      <c r="A36" s="2752">
        <f t="shared" si="1"/>
        <v>27</v>
      </c>
      <c r="B36" s="2512" t="s">
        <v>10963</v>
      </c>
      <c r="C36" s="2489" t="s">
        <v>512</v>
      </c>
      <c r="D36" s="2489" t="s">
        <v>10937</v>
      </c>
      <c r="E36" s="3041">
        <v>69</v>
      </c>
      <c r="F36" s="3041">
        <v>2.4</v>
      </c>
      <c r="G36" s="2488"/>
      <c r="H36" s="2752">
        <v>2</v>
      </c>
      <c r="I36" s="2752">
        <v>3</v>
      </c>
      <c r="J36" s="2488"/>
      <c r="K36" s="2614"/>
      <c r="L36" s="2488"/>
      <c r="M36" s="2614"/>
      <c r="N36" s="2479" t="str">
        <f t="shared" si="0"/>
        <v>NUTGLADE, CA, Distribution, Unattended</v>
      </c>
    </row>
    <row r="37" spans="1:14" ht="16.7" customHeight="1" x14ac:dyDescent="0.2">
      <c r="A37" s="2752">
        <f t="shared" si="1"/>
        <v>28</v>
      </c>
      <c r="B37" s="2512" t="s">
        <v>10964</v>
      </c>
      <c r="C37" s="2489" t="s">
        <v>512</v>
      </c>
      <c r="D37" s="2489" t="s">
        <v>10937</v>
      </c>
      <c r="E37" s="3041">
        <v>115</v>
      </c>
      <c r="F37" s="3041">
        <v>7.2</v>
      </c>
      <c r="G37" s="2488"/>
      <c r="H37" s="2752">
        <v>1</v>
      </c>
      <c r="I37" s="2752">
        <v>1</v>
      </c>
      <c r="J37" s="2488"/>
      <c r="K37" s="2614"/>
      <c r="L37" s="2488"/>
      <c r="M37" s="2614"/>
      <c r="N37" s="2479" t="str">
        <f t="shared" si="0"/>
        <v>PATRICKS CREEK, CA, Distribution, Unattended</v>
      </c>
    </row>
    <row r="38" spans="1:14" ht="16.7" customHeight="1" x14ac:dyDescent="0.2">
      <c r="A38" s="2752">
        <f t="shared" si="1"/>
        <v>29</v>
      </c>
      <c r="B38" s="2512" t="s">
        <v>10965</v>
      </c>
      <c r="C38" s="2489" t="s">
        <v>512</v>
      </c>
      <c r="D38" s="2489" t="s">
        <v>10937</v>
      </c>
      <c r="E38" s="3041">
        <v>69</v>
      </c>
      <c r="F38" s="3041">
        <v>12.47</v>
      </c>
      <c r="G38" s="2488"/>
      <c r="H38" s="2752">
        <v>2</v>
      </c>
      <c r="I38" s="2752">
        <v>3</v>
      </c>
      <c r="J38" s="2488"/>
      <c r="K38" s="2614"/>
      <c r="L38" s="2488"/>
      <c r="M38" s="2614"/>
      <c r="N38" s="2479" t="str">
        <f t="shared" si="0"/>
        <v>PEREZ, CA, Distribution, Unattended</v>
      </c>
    </row>
    <row r="39" spans="1:14" ht="16.7" customHeight="1" x14ac:dyDescent="0.2">
      <c r="A39" s="2752">
        <f t="shared" si="1"/>
        <v>30</v>
      </c>
      <c r="B39" s="2512" t="s">
        <v>10966</v>
      </c>
      <c r="C39" s="2489" t="s">
        <v>512</v>
      </c>
      <c r="D39" s="2489" t="s">
        <v>10937</v>
      </c>
      <c r="E39" s="3041">
        <v>69</v>
      </c>
      <c r="F39" s="3041">
        <v>12.47</v>
      </c>
      <c r="G39" s="2488"/>
      <c r="H39" s="2752">
        <v>14</v>
      </c>
      <c r="I39" s="2752">
        <v>1</v>
      </c>
      <c r="J39" s="2488"/>
      <c r="K39" s="2614"/>
      <c r="L39" s="2488"/>
      <c r="M39" s="2614"/>
      <c r="N39" s="2479" t="str">
        <f t="shared" si="0"/>
        <v>REDWOOD, CA, Distribution, Unattended</v>
      </c>
    </row>
    <row r="40" spans="1:14" ht="16.7" customHeight="1" x14ac:dyDescent="0.2">
      <c r="A40" s="2752">
        <f t="shared" si="1"/>
        <v>31</v>
      </c>
      <c r="B40" s="2512" t="s">
        <v>10967</v>
      </c>
      <c r="C40" s="2489" t="s">
        <v>512</v>
      </c>
      <c r="D40" s="2489" t="s">
        <v>10937</v>
      </c>
      <c r="E40" s="3041">
        <v>69</v>
      </c>
      <c r="F40" s="3041">
        <v>12.47</v>
      </c>
      <c r="G40" s="2488"/>
      <c r="H40" s="2752">
        <v>2</v>
      </c>
      <c r="I40" s="2752">
        <v>3</v>
      </c>
      <c r="J40" s="2488"/>
      <c r="K40" s="2614"/>
      <c r="L40" s="2488"/>
      <c r="M40" s="2614"/>
      <c r="N40" s="2479" t="str">
        <f t="shared" si="0"/>
        <v>SCOTT BAR, CA, Distribution, Unattended</v>
      </c>
    </row>
    <row r="41" spans="1:14" ht="16.7" customHeight="1" x14ac:dyDescent="0.2">
      <c r="A41" s="2752">
        <f t="shared" si="1"/>
        <v>32</v>
      </c>
      <c r="B41" s="2512" t="s">
        <v>10968</v>
      </c>
      <c r="C41" s="2489" t="s">
        <v>512</v>
      </c>
      <c r="D41" s="2489" t="s">
        <v>10937</v>
      </c>
      <c r="E41" s="3041">
        <v>69</v>
      </c>
      <c r="F41" s="3041">
        <v>12.47</v>
      </c>
      <c r="G41" s="2488"/>
      <c r="H41" s="2752">
        <v>2</v>
      </c>
      <c r="I41" s="2752">
        <v>3</v>
      </c>
      <c r="J41" s="2488"/>
      <c r="K41" s="2614"/>
      <c r="L41" s="2488"/>
      <c r="M41" s="2614"/>
      <c r="N41" s="2479" t="str">
        <f t="shared" si="0"/>
        <v>SEIAD, CA, Distribution, Unattended</v>
      </c>
    </row>
    <row r="42" spans="1:14" ht="16.7" customHeight="1" x14ac:dyDescent="0.2">
      <c r="A42" s="2752">
        <f t="shared" si="1"/>
        <v>33</v>
      </c>
      <c r="B42" s="2512" t="s">
        <v>10969</v>
      </c>
      <c r="C42" s="2489" t="s">
        <v>512</v>
      </c>
      <c r="D42" s="2489" t="s">
        <v>10937</v>
      </c>
      <c r="E42" s="3041">
        <v>69</v>
      </c>
      <c r="F42" s="3041">
        <v>20.8</v>
      </c>
      <c r="G42" s="2488"/>
      <c r="H42" s="2752">
        <v>18</v>
      </c>
      <c r="I42" s="2752">
        <v>3</v>
      </c>
      <c r="J42" s="2488"/>
      <c r="K42" s="2614"/>
      <c r="L42" s="2488"/>
      <c r="M42" s="2614"/>
      <c r="N42" s="2479" t="str">
        <f t="shared" si="0"/>
        <v>SHASTINA, CA, Distribution, Unattended</v>
      </c>
    </row>
    <row r="43" spans="1:14" ht="16.7" customHeight="1" x14ac:dyDescent="0.2">
      <c r="A43" s="2752">
        <f t="shared" si="1"/>
        <v>34</v>
      </c>
      <c r="B43" s="2512" t="s">
        <v>10970</v>
      </c>
      <c r="C43" s="2489" t="s">
        <v>512</v>
      </c>
      <c r="D43" s="2489" t="s">
        <v>10937</v>
      </c>
      <c r="E43" s="3041">
        <v>69</v>
      </c>
      <c r="F43" s="3041">
        <v>12.47</v>
      </c>
      <c r="G43" s="2488"/>
      <c r="H43" s="2752">
        <v>1</v>
      </c>
      <c r="I43" s="2752">
        <v>1</v>
      </c>
      <c r="J43" s="2488"/>
      <c r="K43" s="2614"/>
      <c r="L43" s="2488"/>
      <c r="M43" s="2614"/>
      <c r="N43" s="2479" t="str">
        <f t="shared" si="0"/>
        <v>SHOTGUN CREEK, CA, Distribution, Unattended</v>
      </c>
    </row>
    <row r="44" spans="1:14" ht="16.7" customHeight="1" x14ac:dyDescent="0.2">
      <c r="A44" s="2752">
        <f t="shared" si="1"/>
        <v>35</v>
      </c>
      <c r="B44" s="2512" t="s">
        <v>10971</v>
      </c>
      <c r="C44" s="2489" t="s">
        <v>512</v>
      </c>
      <c r="D44" s="2489" t="s">
        <v>10937</v>
      </c>
      <c r="E44" s="3041">
        <v>69</v>
      </c>
      <c r="F44" s="3041">
        <v>12.47</v>
      </c>
      <c r="G44" s="2488"/>
      <c r="H44" s="2752">
        <v>6</v>
      </c>
      <c r="I44" s="2752">
        <v>3</v>
      </c>
      <c r="J44" s="2488"/>
      <c r="K44" s="2614"/>
      <c r="L44" s="2488"/>
      <c r="M44" s="2614"/>
      <c r="N44" s="2479" t="str">
        <f t="shared" si="0"/>
        <v>SMITH RIVER, CA, Distribution, Unattended</v>
      </c>
    </row>
    <row r="45" spans="1:14" ht="16.7" customHeight="1" x14ac:dyDescent="0.2">
      <c r="A45" s="2752">
        <f t="shared" si="1"/>
        <v>36</v>
      </c>
      <c r="B45" s="2512" t="s">
        <v>10972</v>
      </c>
      <c r="C45" s="2489" t="s">
        <v>512</v>
      </c>
      <c r="D45" s="2489" t="s">
        <v>10937</v>
      </c>
      <c r="E45" s="3041">
        <v>69</v>
      </c>
      <c r="F45" s="3041">
        <v>7.2</v>
      </c>
      <c r="G45" s="2488"/>
      <c r="H45" s="2752">
        <v>1</v>
      </c>
      <c r="I45" s="2752">
        <v>3</v>
      </c>
      <c r="J45" s="2488"/>
      <c r="K45" s="2614"/>
      <c r="L45" s="2488"/>
      <c r="M45" s="2614"/>
      <c r="N45" s="2479" t="str">
        <f t="shared" si="0"/>
        <v>SNOW BRUSH, CA, Distribution, Unattended</v>
      </c>
    </row>
    <row r="46" spans="1:14" ht="16.7" customHeight="1" x14ac:dyDescent="0.2">
      <c r="A46" s="2752">
        <f t="shared" si="1"/>
        <v>37</v>
      </c>
      <c r="B46" s="2512" t="s">
        <v>10973</v>
      </c>
      <c r="C46" s="2489" t="s">
        <v>512</v>
      </c>
      <c r="D46" s="2489" t="s">
        <v>10937</v>
      </c>
      <c r="E46" s="3041">
        <v>69</v>
      </c>
      <c r="F46" s="3041">
        <v>4.16</v>
      </c>
      <c r="G46" s="2488"/>
      <c r="H46" s="2752">
        <v>2</v>
      </c>
      <c r="I46" s="2752">
        <v>3</v>
      </c>
      <c r="J46" s="2488"/>
      <c r="K46" s="2614"/>
      <c r="L46" s="2488"/>
      <c r="M46" s="2614"/>
      <c r="N46" s="2479" t="str">
        <f t="shared" si="0"/>
        <v>SOUTH DUNSMUIR, CA, Distribution, Unattended</v>
      </c>
    </row>
    <row r="47" spans="1:14" ht="16.7" customHeight="1" x14ac:dyDescent="0.2">
      <c r="A47" s="2752">
        <f t="shared" si="1"/>
        <v>38</v>
      </c>
      <c r="B47" s="2512" t="s">
        <v>10974</v>
      </c>
      <c r="C47" s="2489" t="s">
        <v>512</v>
      </c>
      <c r="D47" s="2489" t="s">
        <v>10937</v>
      </c>
      <c r="E47" s="3041">
        <v>69</v>
      </c>
      <c r="F47" s="3041">
        <v>12.47</v>
      </c>
      <c r="G47" s="2488"/>
      <c r="H47" s="2752">
        <v>20</v>
      </c>
      <c r="I47" s="2752">
        <v>1</v>
      </c>
      <c r="J47" s="2488"/>
      <c r="K47" s="2614"/>
      <c r="L47" s="2488"/>
      <c r="M47" s="2614"/>
      <c r="N47" s="2479" t="str">
        <f t="shared" si="0"/>
        <v>TULELAKE, CA, Distribution, Unattended</v>
      </c>
    </row>
    <row r="48" spans="1:14" ht="16.7" customHeight="1" x14ac:dyDescent="0.2">
      <c r="A48" s="2752">
        <f t="shared" si="1"/>
        <v>39</v>
      </c>
      <c r="B48" s="2512" t="s">
        <v>10975</v>
      </c>
      <c r="C48" s="2489" t="s">
        <v>512</v>
      </c>
      <c r="D48" s="2489" t="s">
        <v>10937</v>
      </c>
      <c r="E48" s="3041">
        <v>69</v>
      </c>
      <c r="F48" s="3041">
        <v>12.47</v>
      </c>
      <c r="G48" s="3043">
        <v>2.4</v>
      </c>
      <c r="H48" s="2752">
        <v>6</v>
      </c>
      <c r="I48" s="2752">
        <v>6</v>
      </c>
      <c r="J48" s="2488"/>
      <c r="K48" s="2614"/>
      <c r="L48" s="2488"/>
      <c r="M48" s="2614"/>
      <c r="N48" s="2479" t="str">
        <f t="shared" si="0"/>
        <v>TUNNEL, CA, Distribution, Unattended</v>
      </c>
    </row>
    <row r="49" spans="1:14" ht="16.7" customHeight="1" x14ac:dyDescent="0.2">
      <c r="A49" s="2752">
        <f t="shared" si="1"/>
        <v>40</v>
      </c>
      <c r="B49" s="2512" t="s">
        <v>10976</v>
      </c>
      <c r="C49" s="2489" t="s">
        <v>512</v>
      </c>
      <c r="D49" s="2489" t="s">
        <v>10937</v>
      </c>
      <c r="E49" s="3041">
        <v>69</v>
      </c>
      <c r="F49" s="3041">
        <v>12.47</v>
      </c>
      <c r="G49" s="2488"/>
      <c r="H49" s="2752">
        <v>9</v>
      </c>
      <c r="I49" s="2752">
        <v>3</v>
      </c>
      <c r="J49" s="2488"/>
      <c r="K49" s="2614"/>
      <c r="L49" s="2488"/>
      <c r="M49" s="2614"/>
      <c r="N49" s="2479" t="str">
        <f t="shared" si="0"/>
        <v>WALKER BRYAN, CA, Distribution, Unattended</v>
      </c>
    </row>
    <row r="50" spans="1:14" ht="15" customHeight="1" x14ac:dyDescent="0.2">
      <c r="A50" s="3003">
        <f t="shared" ref="A50:A60" si="2">A49+0.001</f>
        <v>40.000999999999998</v>
      </c>
      <c r="B50" s="2512" t="s">
        <v>10977</v>
      </c>
      <c r="C50" s="2489" t="s">
        <v>512</v>
      </c>
      <c r="D50" s="2489" t="s">
        <v>10937</v>
      </c>
      <c r="E50" s="3041">
        <v>115</v>
      </c>
      <c r="F50" s="3041">
        <v>69</v>
      </c>
      <c r="G50" s="2488"/>
      <c r="H50" s="2752">
        <v>75</v>
      </c>
      <c r="I50" s="2752">
        <v>2</v>
      </c>
      <c r="J50" s="2488"/>
      <c r="K50" s="2614"/>
      <c r="L50" s="2488"/>
      <c r="M50" s="2614"/>
      <c r="N50" s="2479" t="str">
        <f t="shared" si="0"/>
        <v>WEED, CA, Distribution, Unattended</v>
      </c>
    </row>
    <row r="51" spans="1:14" ht="15.75" customHeight="1" x14ac:dyDescent="0.2">
      <c r="A51" s="3003">
        <f t="shared" si="2"/>
        <v>40.001999999999995</v>
      </c>
      <c r="B51" s="2512" t="s">
        <v>10978</v>
      </c>
      <c r="C51" s="2489" t="s">
        <v>512</v>
      </c>
      <c r="D51" s="2489" t="s">
        <v>10937</v>
      </c>
      <c r="E51" s="3041">
        <v>69</v>
      </c>
      <c r="F51" s="3041">
        <v>12.47</v>
      </c>
      <c r="G51" s="2488"/>
      <c r="H51" s="2752">
        <v>4</v>
      </c>
      <c r="I51" s="2752">
        <v>3</v>
      </c>
      <c r="J51" s="2488"/>
      <c r="K51" s="2614"/>
      <c r="L51" s="2488"/>
      <c r="M51" s="2614"/>
      <c r="N51" s="2479" t="str">
        <f t="shared" si="0"/>
        <v>YUBA, CA, Distribution, Unattended</v>
      </c>
    </row>
    <row r="52" spans="1:14" ht="15.75" customHeight="1" x14ac:dyDescent="0.2">
      <c r="A52" s="3003">
        <f t="shared" si="2"/>
        <v>40.002999999999993</v>
      </c>
      <c r="B52" s="2512" t="s">
        <v>10979</v>
      </c>
      <c r="C52" s="2489" t="s">
        <v>512</v>
      </c>
      <c r="D52" s="2489" t="s">
        <v>10937</v>
      </c>
      <c r="E52" s="3041">
        <v>69</v>
      </c>
      <c r="F52" s="3041">
        <v>12.47</v>
      </c>
      <c r="G52" s="2488"/>
      <c r="H52" s="2752">
        <v>4</v>
      </c>
      <c r="I52" s="2752">
        <v>3</v>
      </c>
      <c r="J52" s="2488"/>
      <c r="K52" s="2614"/>
      <c r="L52" s="2488"/>
      <c r="M52" s="2614"/>
      <c r="N52" s="2479" t="str">
        <f t="shared" si="0"/>
        <v>YUROK, CA, Distribution, Unattended</v>
      </c>
    </row>
    <row r="53" spans="1:14" ht="15.75" customHeight="1" x14ac:dyDescent="0.2">
      <c r="A53" s="3003">
        <f t="shared" si="2"/>
        <v>40.003999999999991</v>
      </c>
      <c r="B53" s="2512" t="s">
        <v>10980</v>
      </c>
      <c r="C53" s="2489" t="s">
        <v>106</v>
      </c>
      <c r="D53" s="2489" t="s">
        <v>10981</v>
      </c>
      <c r="E53" s="3041">
        <v>115</v>
      </c>
      <c r="F53" s="3041">
        <v>69</v>
      </c>
      <c r="G53" s="3043">
        <v>12.47</v>
      </c>
      <c r="H53" s="2752">
        <v>52</v>
      </c>
      <c r="I53" s="2752">
        <v>4</v>
      </c>
      <c r="J53" s="2488"/>
      <c r="K53" s="2614"/>
      <c r="L53" s="2488"/>
      <c r="M53" s="2614"/>
      <c r="N53" s="2479" t="str">
        <f t="shared" si="0"/>
        <v>COPCO #2, CA, Transmission, Attended</v>
      </c>
    </row>
    <row r="54" spans="1:14" ht="15.75" customHeight="1" x14ac:dyDescent="0.2">
      <c r="A54" s="3003">
        <f t="shared" si="2"/>
        <v>40.004999999999988</v>
      </c>
      <c r="B54" s="2512" t="s">
        <v>10982</v>
      </c>
      <c r="C54" s="2489" t="s">
        <v>106</v>
      </c>
      <c r="D54" s="2489" t="s">
        <v>10981</v>
      </c>
      <c r="E54" s="3041">
        <v>230</v>
      </c>
      <c r="F54" s="3041">
        <v>115</v>
      </c>
      <c r="G54" s="3043">
        <v>12.47</v>
      </c>
      <c r="H54" s="2752">
        <v>66</v>
      </c>
      <c r="I54" s="2752">
        <v>5</v>
      </c>
      <c r="J54" s="2488"/>
      <c r="K54" s="2614"/>
      <c r="L54" s="2488"/>
      <c r="M54" s="2614"/>
      <c r="N54" s="2479" t="str">
        <f t="shared" si="0"/>
        <v>COPCO #2 230KV, CA, Transmission, Attended</v>
      </c>
    </row>
    <row r="55" spans="1:14" ht="15.75" customHeight="1" x14ac:dyDescent="0.2">
      <c r="A55" s="3003">
        <f t="shared" si="2"/>
        <v>40.005999999999986</v>
      </c>
      <c r="B55" s="2512" t="s">
        <v>10983</v>
      </c>
      <c r="C55" s="2489" t="s">
        <v>106</v>
      </c>
      <c r="D55" s="2489" t="s">
        <v>10937</v>
      </c>
      <c r="E55" s="3041">
        <v>115</v>
      </c>
      <c r="F55" s="3041">
        <v>69</v>
      </c>
      <c r="G55" s="3043">
        <v>12.47</v>
      </c>
      <c r="H55" s="2752">
        <v>5</v>
      </c>
      <c r="I55" s="2752">
        <v>3</v>
      </c>
      <c r="J55" s="2488"/>
      <c r="K55" s="2614"/>
      <c r="L55" s="2488"/>
      <c r="M55" s="2614"/>
      <c r="N55" s="2479" t="str">
        <f t="shared" si="0"/>
        <v>AGER, CA, Transmission, Unattended</v>
      </c>
    </row>
    <row r="56" spans="1:14" ht="15.75" customHeight="1" x14ac:dyDescent="0.2">
      <c r="A56" s="3003">
        <f t="shared" si="2"/>
        <v>40.006999999999984</v>
      </c>
      <c r="B56" s="2512" t="s">
        <v>10984</v>
      </c>
      <c r="C56" s="2489" t="s">
        <v>106</v>
      </c>
      <c r="D56" s="2489" t="s">
        <v>10937</v>
      </c>
      <c r="E56" s="3041">
        <v>115</v>
      </c>
      <c r="F56" s="3041">
        <v>69</v>
      </c>
      <c r="G56" s="3043">
        <v>12.47</v>
      </c>
      <c r="H56" s="2752">
        <v>35</v>
      </c>
      <c r="I56" s="2752">
        <v>4</v>
      </c>
      <c r="J56" s="2488"/>
      <c r="K56" s="2614"/>
      <c r="L56" s="2488"/>
      <c r="M56" s="2614"/>
      <c r="N56" s="2479" t="str">
        <f t="shared" si="0"/>
        <v>ALTURAS, CA, Transmission, Unattended</v>
      </c>
    </row>
    <row r="57" spans="1:14" ht="15.75" customHeight="1" x14ac:dyDescent="0.2">
      <c r="A57" s="3003">
        <f t="shared" si="2"/>
        <v>40.007999999999981</v>
      </c>
      <c r="B57" s="2512" t="s">
        <v>10985</v>
      </c>
      <c r="C57" s="2489" t="s">
        <v>106</v>
      </c>
      <c r="D57" s="2489" t="s">
        <v>10937</v>
      </c>
      <c r="E57" s="3041">
        <v>115</v>
      </c>
      <c r="F57" s="3041">
        <v>69</v>
      </c>
      <c r="G57" s="3043">
        <v>12.47</v>
      </c>
      <c r="H57" s="2752">
        <v>19</v>
      </c>
      <c r="I57" s="2752">
        <v>3</v>
      </c>
      <c r="J57" s="2488"/>
      <c r="K57" s="2614"/>
      <c r="L57" s="2488"/>
      <c r="M57" s="2614"/>
      <c r="N57" s="2479" t="str">
        <f t="shared" si="0"/>
        <v>CRAG VIEW, CA, Transmission, Unattended</v>
      </c>
    </row>
    <row r="58" spans="1:14" ht="15.75" customHeight="1" x14ac:dyDescent="0.2">
      <c r="A58" s="3003">
        <f t="shared" si="2"/>
        <v>40.008999999999979</v>
      </c>
      <c r="B58" s="2512" t="s">
        <v>10986</v>
      </c>
      <c r="C58" s="2489" t="s">
        <v>106</v>
      </c>
      <c r="D58" s="2489" t="s">
        <v>10937</v>
      </c>
      <c r="E58" s="3041">
        <v>115</v>
      </c>
      <c r="F58" s="3041">
        <v>69</v>
      </c>
      <c r="G58" s="3043">
        <v>13.2</v>
      </c>
      <c r="H58" s="2752">
        <v>150</v>
      </c>
      <c r="I58" s="2752">
        <v>2</v>
      </c>
      <c r="J58" s="2488"/>
      <c r="K58" s="2614"/>
      <c r="L58" s="2488"/>
      <c r="M58" s="2614"/>
      <c r="N58" s="2479" t="str">
        <f t="shared" si="0"/>
        <v>DEL NORTE, CA, Transmission, Unattended</v>
      </c>
    </row>
    <row r="59" spans="1:14" ht="15.75" customHeight="1" x14ac:dyDescent="0.2">
      <c r="A59" s="3003">
        <f t="shared" si="2"/>
        <v>40.009999999999977</v>
      </c>
      <c r="B59" s="2512"/>
      <c r="C59" s="2489"/>
      <c r="D59" s="2489"/>
      <c r="E59" s="2614"/>
      <c r="F59" s="2614"/>
      <c r="G59" s="2488"/>
      <c r="H59" s="2614"/>
      <c r="I59" s="2614"/>
      <c r="J59" s="2488"/>
      <c r="K59" s="2614"/>
      <c r="L59" s="2488"/>
      <c r="M59" s="2614"/>
      <c r="N59" s="2479" t="str">
        <f t="shared" si="0"/>
        <v xml:space="preserve">, , </v>
      </c>
    </row>
    <row r="60" spans="1:14" ht="15.75" customHeight="1" x14ac:dyDescent="0.2">
      <c r="A60" s="3003">
        <f t="shared" si="2"/>
        <v>40.010999999999974</v>
      </c>
      <c r="B60" s="2512" t="s">
        <v>10987</v>
      </c>
      <c r="C60" s="2489" t="s">
        <v>106</v>
      </c>
      <c r="D60" s="2489" t="s">
        <v>10937</v>
      </c>
      <c r="E60" s="3041">
        <v>115</v>
      </c>
      <c r="F60" s="3041">
        <v>69</v>
      </c>
      <c r="G60" s="3043">
        <v>12.47</v>
      </c>
      <c r="H60" s="2752">
        <v>145</v>
      </c>
      <c r="I60" s="2752">
        <v>3</v>
      </c>
      <c r="J60" s="2488"/>
      <c r="K60" s="2614"/>
      <c r="L60" s="2488"/>
      <c r="M60" s="2614"/>
      <c r="N60" s="2479" t="str">
        <f t="shared" si="0"/>
        <v>YREKA, CA, Transmission, Unattended</v>
      </c>
    </row>
    <row r="61" spans="1:14" ht="6.6" customHeight="1" x14ac:dyDescent="0.2">
      <c r="A61" s="3065"/>
      <c r="B61" s="3065"/>
      <c r="C61" s="3066"/>
      <c r="D61" s="3066"/>
      <c r="E61" s="3065"/>
      <c r="F61" s="3065"/>
      <c r="G61" s="3065"/>
      <c r="H61" s="3065"/>
      <c r="I61" s="3065"/>
      <c r="J61" s="3065"/>
      <c r="K61" s="3065"/>
      <c r="L61" s="3065"/>
      <c r="M61" s="3065"/>
    </row>
    <row r="62" spans="1:14" ht="15.75" customHeight="1" x14ac:dyDescent="0.2">
      <c r="A62" s="2812"/>
      <c r="B62" s="2669" t="s">
        <v>10988</v>
      </c>
      <c r="C62" s="2498" t="s">
        <v>512</v>
      </c>
      <c r="D62" s="2498" t="s">
        <v>10937</v>
      </c>
      <c r="E62" s="2812"/>
      <c r="F62" s="2812"/>
      <c r="G62" s="2668"/>
      <c r="H62" s="3067">
        <f>SUMIFS(H10:H60,C10:C60,C62,D10:D60,D62)</f>
        <v>450</v>
      </c>
      <c r="I62" s="2812"/>
      <c r="J62" s="2668"/>
      <c r="K62" s="2812"/>
      <c r="L62" s="2668"/>
      <c r="M62" s="2812"/>
      <c r="N62" s="2855" t="str">
        <f>CONCATENATE(B62,", ",C62,", ",D62)</f>
        <v>Total California, Distribution, Unattended</v>
      </c>
    </row>
    <row r="63" spans="1:14" ht="15.75" customHeight="1" x14ac:dyDescent="0.2">
      <c r="A63" s="2812"/>
      <c r="B63" s="2669" t="s">
        <v>10988</v>
      </c>
      <c r="C63" s="2498" t="s">
        <v>106</v>
      </c>
      <c r="D63" s="2498" t="s">
        <v>10981</v>
      </c>
      <c r="E63" s="2812"/>
      <c r="F63" s="2812"/>
      <c r="G63" s="2668"/>
      <c r="H63" s="3067">
        <f>SUMIFS(H10:H60,C10:C60,C63,D10:D60,D63)</f>
        <v>118</v>
      </c>
      <c r="I63" s="2812"/>
      <c r="J63" s="2668"/>
      <c r="K63" s="2812"/>
      <c r="L63" s="2668"/>
      <c r="M63" s="2812"/>
      <c r="N63" s="2855" t="str">
        <f>CONCATENATE(B63,", ",C63,", ",D63)</f>
        <v>Total California, Transmission, Attended</v>
      </c>
    </row>
    <row r="64" spans="1:14" ht="15.75" customHeight="1" x14ac:dyDescent="0.2">
      <c r="A64" s="2812"/>
      <c r="B64" s="2669" t="s">
        <v>10988</v>
      </c>
      <c r="C64" s="2498" t="s">
        <v>106</v>
      </c>
      <c r="D64" s="2498" t="s">
        <v>10937</v>
      </c>
      <c r="E64" s="2812"/>
      <c r="F64" s="2812"/>
      <c r="G64" s="2668"/>
      <c r="H64" s="3067">
        <f>SUMIFS(H10:H60,C10:C60,C64,D10:D60,D64)</f>
        <v>354</v>
      </c>
      <c r="I64" s="2812"/>
      <c r="J64" s="2668"/>
      <c r="K64" s="2812"/>
      <c r="L64" s="2668"/>
      <c r="M64" s="2812"/>
      <c r="N64" s="2855" t="str">
        <f>CONCATENATE(B64,", ",C64,", ",D64)</f>
        <v>Total California, Transmission, Unattended</v>
      </c>
    </row>
    <row r="65" spans="1:13" ht="15.75" customHeight="1" x14ac:dyDescent="0.2">
      <c r="A65" s="2516"/>
      <c r="B65" s="2516"/>
      <c r="C65" s="2516"/>
      <c r="D65" s="2516"/>
      <c r="E65" s="2516"/>
      <c r="F65" s="2516"/>
      <c r="G65" s="2683"/>
      <c r="H65" s="3068" t="b">
        <f>SUM(H10:H60)=SUM(H62:H64)</f>
        <v>1</v>
      </c>
      <c r="I65" s="2883"/>
      <c r="J65" s="2516"/>
      <c r="K65" s="2516"/>
      <c r="L65" s="2516"/>
      <c r="M65" s="2516"/>
    </row>
    <row r="66" spans="1:13" ht="15.75" customHeight="1" x14ac:dyDescent="0.2">
      <c r="H66" s="2516"/>
    </row>
    <row r="67" spans="1:13" ht="15.75" customHeight="1" x14ac:dyDescent="0.2"/>
    <row r="68" spans="1:13" ht="15.75" customHeight="1" x14ac:dyDescent="0.2"/>
    <row r="69" spans="1:13" ht="15.75" customHeight="1" x14ac:dyDescent="0.2"/>
    <row r="70" spans="1:13" ht="15.75" customHeight="1" x14ac:dyDescent="0.2"/>
    <row r="71" spans="1:13" ht="15.75" customHeight="1" x14ac:dyDescent="0.2"/>
    <row r="72" spans="1:13" ht="15.75" customHeight="1" x14ac:dyDescent="0.2"/>
    <row r="73" spans="1:13" ht="15.75" customHeight="1" x14ac:dyDescent="0.2"/>
    <row r="74" spans="1:13" ht="15.75" customHeight="1" x14ac:dyDescent="0.2"/>
    <row r="75" spans="1:13" ht="15.75" customHeight="1" x14ac:dyDescent="0.2"/>
    <row r="76" spans="1:13" ht="15.75" customHeight="1" x14ac:dyDescent="0.2"/>
    <row r="77" spans="1:13" ht="15.75" customHeight="1" x14ac:dyDescent="0.2"/>
    <row r="78" spans="1:13" ht="15.75" customHeight="1" x14ac:dyDescent="0.2"/>
    <row r="79" spans="1:13" ht="15.75" customHeight="1" x14ac:dyDescent="0.2"/>
    <row r="80" spans="1:13"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 customHeight="1" x14ac:dyDescent="0.2"/>
  </sheetData>
  <mergeCells count="14">
    <mergeCell ref="J7:J8"/>
    <mergeCell ref="K7:M7"/>
    <mergeCell ref="A7:A9"/>
    <mergeCell ref="B7:B8"/>
    <mergeCell ref="C7:D7"/>
    <mergeCell ref="E7:G7"/>
    <mergeCell ref="H7:H8"/>
    <mergeCell ref="I7:I8"/>
    <mergeCell ref="C2:H2"/>
    <mergeCell ref="A4:M4"/>
    <mergeCell ref="A5:G5"/>
    <mergeCell ref="H5:M5"/>
    <mergeCell ref="A6:G6"/>
    <mergeCell ref="H6:M6"/>
  </mergeCells>
  <pageMargins left="0.75" right="0.75" top="1" bottom="1" header="0.5" footer="0.5"/>
  <customProperties>
    <customPr name="_pios_id" r:id="rId1"/>
  </customProperties>
</worksheet>
</file>

<file path=xl/worksheets/sheet1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BD9BCB-A27D-4409-BCF9-C210B689FA94}">
  <sheetPr codeName="Sheet110"/>
  <dimension ref="A1:O105"/>
  <sheetViews>
    <sheetView workbookViewId="0">
      <pane xSplit="2" ySplit="9" topLeftCell="C10" activePane="bottomRight" state="frozen"/>
      <selection pane="topRight"/>
      <selection pane="bottomLeft"/>
      <selection pane="bottomRight"/>
    </sheetView>
  </sheetViews>
  <sheetFormatPr defaultColWidth="11.5" defaultRowHeight="12.75" x14ac:dyDescent="0.2"/>
  <cols>
    <col min="1" max="1" width="6.5" style="1953" customWidth="1"/>
    <col min="2" max="2" width="22" style="1953" customWidth="1"/>
    <col min="3" max="10" width="17.625" style="1953" customWidth="1"/>
    <col min="11" max="11" width="28.125" style="1953" customWidth="1"/>
    <col min="12" max="13" width="12.125" style="1953" customWidth="1"/>
    <col min="14" max="14" width="32.75" style="1953" customWidth="1"/>
    <col min="15" max="15" width="31.125" style="1953" customWidth="1"/>
    <col min="16" max="26" width="17.625" style="1953" customWidth="1"/>
    <col min="27" max="16384" width="11.5" style="1953"/>
  </cols>
  <sheetData>
    <row r="1" spans="1:15" ht="16.7" customHeight="1" x14ac:dyDescent="0.2"/>
    <row r="2" spans="1:15" ht="16.7" customHeight="1" x14ac:dyDescent="0.2">
      <c r="B2" s="2744" t="s">
        <v>7058</v>
      </c>
      <c r="C2" s="4182" t="s">
        <v>10989</v>
      </c>
      <c r="D2" s="4183"/>
      <c r="E2" s="4183"/>
      <c r="F2" s="4183"/>
      <c r="G2" s="4183"/>
      <c r="H2" s="4184"/>
      <c r="I2" s="2479"/>
    </row>
    <row r="3" spans="1:15" ht="16.7" customHeight="1" x14ac:dyDescent="0.2">
      <c r="A3" s="3064">
        <f>COUNTA(B10:B96)</f>
        <v>87</v>
      </c>
      <c r="B3" s="2623" t="s">
        <v>10990</v>
      </c>
      <c r="C3" s="3069"/>
      <c r="D3" s="2483"/>
      <c r="E3" s="2483"/>
      <c r="F3" s="2483"/>
      <c r="G3" s="2483"/>
      <c r="H3" s="2483"/>
    </row>
    <row r="4" spans="1:15" ht="16.7" customHeight="1" x14ac:dyDescent="0.2">
      <c r="A4" s="3932" t="s">
        <v>10915</v>
      </c>
      <c r="B4" s="3975"/>
      <c r="C4" s="3975"/>
      <c r="D4" s="3975"/>
      <c r="E4" s="3975"/>
      <c r="F4" s="3975"/>
      <c r="G4" s="3975"/>
      <c r="H4" s="3975"/>
      <c r="I4" s="3975"/>
      <c r="J4" s="3975"/>
      <c r="K4" s="3975"/>
      <c r="L4" s="3975"/>
      <c r="M4" s="3976"/>
      <c r="N4" s="2479"/>
    </row>
    <row r="5" spans="1:15" ht="59.1" customHeight="1" x14ac:dyDescent="0.2">
      <c r="A5" s="3878" t="s">
        <v>10916</v>
      </c>
      <c r="B5" s="3879"/>
      <c r="C5" s="3879"/>
      <c r="D5" s="3879"/>
      <c r="E5" s="3879"/>
      <c r="F5" s="3879"/>
      <c r="G5" s="3880"/>
      <c r="H5" s="3878" t="s">
        <v>10917</v>
      </c>
      <c r="I5" s="3879"/>
      <c r="J5" s="3879"/>
      <c r="K5" s="3879"/>
      <c r="L5" s="3879"/>
      <c r="M5" s="3880"/>
      <c r="N5" s="2479"/>
    </row>
    <row r="6" spans="1:15" ht="16.7" customHeight="1" x14ac:dyDescent="0.2">
      <c r="A6" s="3882" t="s">
        <v>10918</v>
      </c>
      <c r="B6" s="3883"/>
      <c r="C6" s="3883"/>
      <c r="D6" s="3883"/>
      <c r="E6" s="3883"/>
      <c r="F6" s="3883"/>
      <c r="G6" s="3884"/>
      <c r="H6" s="3882" t="s">
        <v>10919</v>
      </c>
      <c r="I6" s="3891"/>
      <c r="J6" s="3891"/>
      <c r="K6" s="3891"/>
      <c r="L6" s="3891"/>
      <c r="M6" s="3892"/>
      <c r="N6" s="2479"/>
    </row>
    <row r="7" spans="1:15" ht="16.7" customHeight="1" x14ac:dyDescent="0.2">
      <c r="A7" s="3922" t="s">
        <v>6360</v>
      </c>
      <c r="B7" s="4188" t="s">
        <v>10920</v>
      </c>
      <c r="C7" s="4186" t="s">
        <v>10921</v>
      </c>
      <c r="D7" s="4187"/>
      <c r="E7" s="3882" t="s">
        <v>10922</v>
      </c>
      <c r="F7" s="3891"/>
      <c r="G7" s="3892"/>
      <c r="H7" s="3922" t="s">
        <v>10923</v>
      </c>
      <c r="I7" s="3922" t="s">
        <v>10924</v>
      </c>
      <c r="J7" s="3922" t="s">
        <v>10925</v>
      </c>
      <c r="K7" s="3882" t="s">
        <v>10926</v>
      </c>
      <c r="L7" s="3891"/>
      <c r="M7" s="3892"/>
      <c r="N7" s="2479"/>
    </row>
    <row r="8" spans="1:15" ht="27.6" customHeight="1" x14ac:dyDescent="0.2">
      <c r="A8" s="4185"/>
      <c r="B8" s="4189"/>
      <c r="C8" s="2824" t="s">
        <v>10927</v>
      </c>
      <c r="D8" s="2586" t="s">
        <v>10928</v>
      </c>
      <c r="E8" s="2581" t="s">
        <v>10929</v>
      </c>
      <c r="F8" s="2581" t="s">
        <v>10930</v>
      </c>
      <c r="G8" s="2581" t="s">
        <v>10931</v>
      </c>
      <c r="H8" s="4185"/>
      <c r="I8" s="4185"/>
      <c r="J8" s="4185"/>
      <c r="K8" s="2581" t="s">
        <v>10932</v>
      </c>
      <c r="L8" s="2581" t="s">
        <v>10146</v>
      </c>
      <c r="M8" s="2581" t="s">
        <v>10933</v>
      </c>
      <c r="N8" s="2479"/>
    </row>
    <row r="9" spans="1:15" ht="16.7" customHeight="1" x14ac:dyDescent="0.2">
      <c r="A9" s="3961"/>
      <c r="B9" s="2589" t="s">
        <v>5949</v>
      </c>
      <c r="C9" s="2589" t="s">
        <v>5950</v>
      </c>
      <c r="D9" s="2589" t="s">
        <v>10934</v>
      </c>
      <c r="E9" s="2589" t="s">
        <v>5951</v>
      </c>
      <c r="F9" s="2589" t="s">
        <v>5952</v>
      </c>
      <c r="G9" s="2589" t="s">
        <v>6227</v>
      </c>
      <c r="H9" s="2589" t="s">
        <v>5804</v>
      </c>
      <c r="I9" s="2589" t="s">
        <v>6228</v>
      </c>
      <c r="J9" s="2589" t="s">
        <v>6229</v>
      </c>
      <c r="K9" s="2589" t="s">
        <v>6230</v>
      </c>
      <c r="L9" s="2589" t="s">
        <v>6231</v>
      </c>
      <c r="M9" s="2589" t="s">
        <v>6232</v>
      </c>
      <c r="N9" s="2479" t="s">
        <v>6324</v>
      </c>
      <c r="O9" s="2576" t="s">
        <v>10935</v>
      </c>
    </row>
    <row r="10" spans="1:15" ht="15.75" customHeight="1" x14ac:dyDescent="0.2">
      <c r="A10" s="3003">
        <f>'Pg 426 - Substations - CA'!A60+0.001</f>
        <v>40.011999999999972</v>
      </c>
      <c r="B10" s="2512" t="s">
        <v>10991</v>
      </c>
      <c r="C10" s="2489" t="s">
        <v>512</v>
      </c>
      <c r="D10" s="2489" t="s">
        <v>10981</v>
      </c>
      <c r="E10" s="3041">
        <v>46</v>
      </c>
      <c r="F10" s="3041">
        <v>12.47</v>
      </c>
      <c r="G10" s="3043">
        <v>2.4</v>
      </c>
      <c r="H10" s="2752">
        <v>15</v>
      </c>
      <c r="I10" s="2752">
        <v>2</v>
      </c>
      <c r="J10" s="2488"/>
      <c r="K10" s="2614"/>
      <c r="L10" s="2488"/>
      <c r="M10" s="2614"/>
      <c r="N10" s="2479" t="str">
        <f t="shared" ref="N10:N73" si="0">CONCATENATE(B10,", ",C10,", ",D10)</f>
        <v>ASHTON, ID, Distribution, Attended</v>
      </c>
    </row>
    <row r="11" spans="1:15" ht="16.7" customHeight="1" x14ac:dyDescent="0.2">
      <c r="A11" s="3003">
        <f t="shared" ref="A11:A74" si="1">A10+0.001</f>
        <v>40.01299999999997</v>
      </c>
      <c r="B11" s="2512" t="s">
        <v>10992</v>
      </c>
      <c r="C11" s="2489" t="s">
        <v>512</v>
      </c>
      <c r="D11" s="2489" t="s">
        <v>10981</v>
      </c>
      <c r="E11" s="3041">
        <v>46</v>
      </c>
      <c r="F11" s="3041">
        <v>12.47</v>
      </c>
      <c r="G11" s="2488"/>
      <c r="H11" s="2752">
        <v>4</v>
      </c>
      <c r="I11" s="2752">
        <v>1</v>
      </c>
      <c r="J11" s="2488"/>
      <c r="K11" s="2614"/>
      <c r="L11" s="2488"/>
      <c r="M11" s="2614"/>
      <c r="N11" s="2479" t="str">
        <f t="shared" si="0"/>
        <v>TANNER, ID, Distribution, Attended</v>
      </c>
    </row>
    <row r="12" spans="1:15" ht="16.7" customHeight="1" x14ac:dyDescent="0.2">
      <c r="A12" s="3003">
        <f t="shared" si="1"/>
        <v>40.013999999999967</v>
      </c>
      <c r="B12" s="2512" t="s">
        <v>10993</v>
      </c>
      <c r="C12" s="2489" t="s">
        <v>512</v>
      </c>
      <c r="D12" s="2489" t="s">
        <v>10937</v>
      </c>
      <c r="E12" s="3041">
        <v>46</v>
      </c>
      <c r="F12" s="3041">
        <v>12.47</v>
      </c>
      <c r="G12" s="2488"/>
      <c r="H12" s="2752">
        <v>4</v>
      </c>
      <c r="I12" s="2752">
        <v>1</v>
      </c>
      <c r="J12" s="2488"/>
      <c r="K12" s="2614"/>
      <c r="L12" s="2488"/>
      <c r="M12" s="2614"/>
      <c r="N12" s="2479" t="str">
        <f t="shared" si="0"/>
        <v>ALEXANDER, ID, Distribution, Unattended</v>
      </c>
    </row>
    <row r="13" spans="1:15" ht="15.75" customHeight="1" x14ac:dyDescent="0.2">
      <c r="A13" s="3003">
        <f t="shared" si="1"/>
        <v>40.014999999999965</v>
      </c>
      <c r="B13" s="2512" t="s">
        <v>10994</v>
      </c>
      <c r="C13" s="2489" t="s">
        <v>512</v>
      </c>
      <c r="D13" s="2489" t="s">
        <v>10937</v>
      </c>
      <c r="E13" s="3041">
        <v>161</v>
      </c>
      <c r="F13" s="3041">
        <v>13.2</v>
      </c>
      <c r="G13" s="2488"/>
      <c r="H13" s="2752">
        <v>30</v>
      </c>
      <c r="I13" s="2752">
        <v>1</v>
      </c>
      <c r="J13" s="2488"/>
      <c r="K13" s="2614"/>
      <c r="L13" s="2488"/>
      <c r="M13" s="2614"/>
      <c r="N13" s="2479" t="str">
        <f t="shared" si="0"/>
        <v>AMMON, ID, Distribution, Unattended</v>
      </c>
    </row>
    <row r="14" spans="1:15" ht="16.7" customHeight="1" x14ac:dyDescent="0.2">
      <c r="A14" s="3003">
        <f t="shared" si="1"/>
        <v>40.015999999999963</v>
      </c>
      <c r="B14" s="2512" t="s">
        <v>10995</v>
      </c>
      <c r="C14" s="2489" t="s">
        <v>512</v>
      </c>
      <c r="D14" s="2489" t="s">
        <v>10937</v>
      </c>
      <c r="E14" s="3041">
        <v>230</v>
      </c>
      <c r="F14" s="3041">
        <v>69</v>
      </c>
      <c r="G14" s="3043">
        <v>12.47</v>
      </c>
      <c r="H14" s="2752">
        <v>75</v>
      </c>
      <c r="I14" s="2752">
        <v>1</v>
      </c>
      <c r="J14" s="2488"/>
      <c r="K14" s="2614"/>
      <c r="L14" s="2488"/>
      <c r="M14" s="2614"/>
      <c r="N14" s="2479" t="str">
        <f t="shared" si="0"/>
        <v>AMPS, ID, Distribution, Unattended</v>
      </c>
    </row>
    <row r="15" spans="1:15" ht="16.7" customHeight="1" x14ac:dyDescent="0.2">
      <c r="A15" s="3003">
        <f t="shared" si="1"/>
        <v>40.01699999999996</v>
      </c>
      <c r="B15" s="2512" t="s">
        <v>10996</v>
      </c>
      <c r="C15" s="2489" t="s">
        <v>512</v>
      </c>
      <c r="D15" s="2489" t="s">
        <v>10937</v>
      </c>
      <c r="E15" s="3041">
        <v>69</v>
      </c>
      <c r="F15" s="3041">
        <v>12.47</v>
      </c>
      <c r="G15" s="2488"/>
      <c r="H15" s="2752">
        <v>20</v>
      </c>
      <c r="I15" s="2752">
        <v>1</v>
      </c>
      <c r="J15" s="2488"/>
      <c r="K15" s="2614"/>
      <c r="L15" s="2488"/>
      <c r="M15" s="2614"/>
      <c r="N15" s="2479" t="str">
        <f t="shared" si="0"/>
        <v>ANDERSON, ID, Distribution, Unattended</v>
      </c>
    </row>
    <row r="16" spans="1:15" ht="16.7" customHeight="1" x14ac:dyDescent="0.2">
      <c r="A16" s="3003">
        <f t="shared" si="1"/>
        <v>40.017999999999958</v>
      </c>
      <c r="B16" s="2512" t="s">
        <v>10997</v>
      </c>
      <c r="C16" s="2489" t="s">
        <v>512</v>
      </c>
      <c r="D16" s="2489" t="s">
        <v>10937</v>
      </c>
      <c r="E16" s="3041">
        <v>69</v>
      </c>
      <c r="F16" s="3041">
        <v>12.47</v>
      </c>
      <c r="G16" s="2488"/>
      <c r="H16" s="2752">
        <v>6</v>
      </c>
      <c r="I16" s="2752">
        <v>1</v>
      </c>
      <c r="J16" s="2488"/>
      <c r="K16" s="2614"/>
      <c r="L16" s="2488"/>
      <c r="M16" s="2614"/>
      <c r="N16" s="2479" t="str">
        <f t="shared" si="0"/>
        <v>ARCO, ID, Distribution, Unattended</v>
      </c>
    </row>
    <row r="17" spans="1:14" ht="16.7" customHeight="1" x14ac:dyDescent="0.2">
      <c r="A17" s="3003">
        <f t="shared" si="1"/>
        <v>40.018999999999956</v>
      </c>
      <c r="B17" s="2512" t="s">
        <v>10998</v>
      </c>
      <c r="C17" s="2489" t="s">
        <v>512</v>
      </c>
      <c r="D17" s="2489" t="s">
        <v>10937</v>
      </c>
      <c r="E17" s="3041">
        <v>46</v>
      </c>
      <c r="F17" s="3041">
        <v>12.47</v>
      </c>
      <c r="G17" s="2488"/>
      <c r="H17" s="2752">
        <v>8</v>
      </c>
      <c r="I17" s="2752">
        <v>1</v>
      </c>
      <c r="J17" s="2488"/>
      <c r="K17" s="2614"/>
      <c r="L17" s="2488"/>
      <c r="M17" s="2614"/>
      <c r="N17" s="2479" t="str">
        <f t="shared" si="0"/>
        <v>ARIMO, ID, Distribution, Unattended</v>
      </c>
    </row>
    <row r="18" spans="1:14" ht="16.7" customHeight="1" x14ac:dyDescent="0.2">
      <c r="A18" s="3003">
        <f t="shared" si="1"/>
        <v>40.019999999999953</v>
      </c>
      <c r="B18" s="2512" t="s">
        <v>10999</v>
      </c>
      <c r="C18" s="2489" t="s">
        <v>512</v>
      </c>
      <c r="D18" s="2489" t="s">
        <v>10937</v>
      </c>
      <c r="E18" s="3041">
        <v>46</v>
      </c>
      <c r="F18" s="3041">
        <v>12.47</v>
      </c>
      <c r="G18" s="2488"/>
      <c r="H18" s="2752">
        <v>4</v>
      </c>
      <c r="I18" s="2752">
        <v>1</v>
      </c>
      <c r="J18" s="2488"/>
      <c r="K18" s="2614"/>
      <c r="L18" s="2488"/>
      <c r="M18" s="2614"/>
      <c r="N18" s="2479" t="str">
        <f t="shared" si="0"/>
        <v>BANCROFT, ID, Distribution, Unattended</v>
      </c>
    </row>
    <row r="19" spans="1:14" ht="16.7" customHeight="1" x14ac:dyDescent="0.2">
      <c r="A19" s="3003">
        <f t="shared" si="1"/>
        <v>40.020999999999951</v>
      </c>
      <c r="B19" s="2512" t="s">
        <v>11000</v>
      </c>
      <c r="C19" s="2489" t="s">
        <v>512</v>
      </c>
      <c r="D19" s="2489" t="s">
        <v>10937</v>
      </c>
      <c r="E19" s="3041">
        <v>69</v>
      </c>
      <c r="F19" s="3041">
        <v>12.47</v>
      </c>
      <c r="G19" s="2488"/>
      <c r="H19" s="2752">
        <v>14</v>
      </c>
      <c r="I19" s="2752">
        <v>1</v>
      </c>
      <c r="J19" s="2488"/>
      <c r="K19" s="2614"/>
      <c r="L19" s="2488"/>
      <c r="M19" s="2614"/>
      <c r="N19" s="2479" t="str">
        <f t="shared" si="0"/>
        <v>BELSON, ID, Distribution, Unattended</v>
      </c>
    </row>
    <row r="20" spans="1:14" ht="16.7" customHeight="1" x14ac:dyDescent="0.2">
      <c r="A20" s="3003">
        <f t="shared" si="1"/>
        <v>40.021999999999949</v>
      </c>
      <c r="B20" s="2512" t="s">
        <v>11001</v>
      </c>
      <c r="C20" s="2489" t="s">
        <v>512</v>
      </c>
      <c r="D20" s="2489" t="s">
        <v>10937</v>
      </c>
      <c r="E20" s="3041">
        <v>69</v>
      </c>
      <c r="F20" s="3041">
        <v>12.47</v>
      </c>
      <c r="G20" s="2488"/>
      <c r="H20" s="2752">
        <v>11</v>
      </c>
      <c r="I20" s="2752">
        <v>1</v>
      </c>
      <c r="J20" s="2488"/>
      <c r="K20" s="2614"/>
      <c r="L20" s="2488"/>
      <c r="M20" s="2614"/>
      <c r="N20" s="2479" t="str">
        <f t="shared" si="0"/>
        <v>BERENICE, ID, Distribution, Unattended</v>
      </c>
    </row>
    <row r="21" spans="1:14" ht="16.7" customHeight="1" x14ac:dyDescent="0.2">
      <c r="A21" s="3003">
        <f t="shared" si="1"/>
        <v>40.022999999999946</v>
      </c>
      <c r="B21" s="2512" t="s">
        <v>11002</v>
      </c>
      <c r="C21" s="2489" t="s">
        <v>512</v>
      </c>
      <c r="D21" s="2489" t="s">
        <v>10937</v>
      </c>
      <c r="E21" s="3041">
        <v>69</v>
      </c>
      <c r="F21" s="3041">
        <v>12.47</v>
      </c>
      <c r="G21" s="2488"/>
      <c r="H21" s="2752">
        <v>14</v>
      </c>
      <c r="I21" s="2752">
        <v>1</v>
      </c>
      <c r="J21" s="2488"/>
      <c r="K21" s="2614"/>
      <c r="L21" s="2488"/>
      <c r="M21" s="2614"/>
      <c r="N21" s="2479" t="str">
        <f t="shared" si="0"/>
        <v>CAMAS, ID, Distribution, Unattended</v>
      </c>
    </row>
    <row r="22" spans="1:14" ht="16.7" customHeight="1" x14ac:dyDescent="0.2">
      <c r="A22" s="3003">
        <f t="shared" si="1"/>
        <v>40.023999999999944</v>
      </c>
      <c r="B22" s="2512" t="s">
        <v>11003</v>
      </c>
      <c r="C22" s="2489" t="s">
        <v>512</v>
      </c>
      <c r="D22" s="2489" t="s">
        <v>10937</v>
      </c>
      <c r="E22" s="3041">
        <v>69</v>
      </c>
      <c r="F22" s="3041">
        <v>24.9</v>
      </c>
      <c r="G22" s="2488"/>
      <c r="H22" s="2752">
        <v>20</v>
      </c>
      <c r="I22" s="2752">
        <v>1</v>
      </c>
      <c r="J22" s="2488"/>
      <c r="K22" s="2614"/>
      <c r="L22" s="2488"/>
      <c r="M22" s="2614"/>
      <c r="N22" s="2479" t="str">
        <f t="shared" si="0"/>
        <v>CANYON CREEK, ID, Distribution, Unattended</v>
      </c>
    </row>
    <row r="23" spans="1:14" ht="16.7" customHeight="1" x14ac:dyDescent="0.2">
      <c r="A23" s="3003">
        <f t="shared" si="1"/>
        <v>40.024999999999942</v>
      </c>
      <c r="B23" s="2512" t="s">
        <v>11004</v>
      </c>
      <c r="C23" s="2489" t="s">
        <v>512</v>
      </c>
      <c r="D23" s="2489" t="s">
        <v>10937</v>
      </c>
      <c r="E23" s="3041">
        <v>46</v>
      </c>
      <c r="F23" s="3041">
        <v>12.47</v>
      </c>
      <c r="G23" s="2488"/>
      <c r="H23" s="2752">
        <v>5</v>
      </c>
      <c r="I23" s="2752">
        <v>1</v>
      </c>
      <c r="J23" s="2488"/>
      <c r="K23" s="2614"/>
      <c r="L23" s="2488"/>
      <c r="M23" s="2614"/>
      <c r="N23" s="2479" t="str">
        <f t="shared" si="0"/>
        <v>CHESTERFIELD, ID, Distribution, Unattended</v>
      </c>
    </row>
    <row r="24" spans="1:14" ht="15.75" customHeight="1" x14ac:dyDescent="0.2">
      <c r="A24" s="3003">
        <f t="shared" si="1"/>
        <v>40.025999999999939</v>
      </c>
      <c r="B24" s="2512" t="s">
        <v>11005</v>
      </c>
      <c r="C24" s="2489" t="s">
        <v>512</v>
      </c>
      <c r="D24" s="2489" t="s">
        <v>10937</v>
      </c>
      <c r="E24" s="3041">
        <v>161</v>
      </c>
      <c r="F24" s="3041">
        <v>12.47</v>
      </c>
      <c r="G24" s="2488"/>
      <c r="H24" s="2752">
        <v>30</v>
      </c>
      <c r="I24" s="2752">
        <v>1</v>
      </c>
      <c r="J24" s="2488"/>
      <c r="K24" s="2614"/>
      <c r="L24" s="2488"/>
      <c r="M24" s="2614"/>
      <c r="N24" s="2479" t="str">
        <f t="shared" si="0"/>
        <v>CINDER BUTTE, ID, Distribution, Unattended</v>
      </c>
    </row>
    <row r="25" spans="1:14" ht="16.7" customHeight="1" x14ac:dyDescent="0.2">
      <c r="A25" s="3003">
        <f t="shared" si="1"/>
        <v>40.026999999999937</v>
      </c>
      <c r="B25" s="2512" t="s">
        <v>11006</v>
      </c>
      <c r="C25" s="2489" t="s">
        <v>512</v>
      </c>
      <c r="D25" s="2489" t="s">
        <v>10937</v>
      </c>
      <c r="E25" s="3041">
        <v>69</v>
      </c>
      <c r="F25" s="3041">
        <v>12.47</v>
      </c>
      <c r="G25" s="2614"/>
      <c r="H25" s="2752">
        <v>13</v>
      </c>
      <c r="I25" s="2752">
        <v>1</v>
      </c>
      <c r="J25" s="2488"/>
      <c r="K25" s="2488"/>
      <c r="L25" s="2488"/>
      <c r="M25" s="2614"/>
      <c r="N25" s="2479" t="str">
        <f t="shared" si="0"/>
        <v>CLEMENTS, ID, Distribution, Unattended</v>
      </c>
    </row>
    <row r="26" spans="1:14" ht="16.7" customHeight="1" x14ac:dyDescent="0.2">
      <c r="A26" s="3003">
        <f t="shared" si="1"/>
        <v>40.027999999999935</v>
      </c>
      <c r="B26" s="2512" t="s">
        <v>11007</v>
      </c>
      <c r="C26" s="2489" t="s">
        <v>512</v>
      </c>
      <c r="D26" s="2489" t="s">
        <v>10937</v>
      </c>
      <c r="E26" s="3041">
        <v>46</v>
      </c>
      <c r="F26" s="3041">
        <v>12.47</v>
      </c>
      <c r="G26" s="2488"/>
      <c r="H26" s="2752">
        <v>11</v>
      </c>
      <c r="I26" s="2752">
        <v>1</v>
      </c>
      <c r="J26" s="2488"/>
      <c r="K26" s="2488"/>
      <c r="L26" s="2488"/>
      <c r="M26" s="2614"/>
      <c r="N26" s="2479" t="str">
        <f t="shared" si="0"/>
        <v>CLIFTON, ID, Distribution, Unattended</v>
      </c>
    </row>
    <row r="27" spans="1:14" ht="16.7" customHeight="1" x14ac:dyDescent="0.2">
      <c r="A27" s="3003">
        <f t="shared" si="1"/>
        <v>40.028999999999932</v>
      </c>
      <c r="B27" s="2512" t="s">
        <v>11008</v>
      </c>
      <c r="C27" s="2489" t="s">
        <v>512</v>
      </c>
      <c r="D27" s="2489" t="s">
        <v>10937</v>
      </c>
      <c r="E27" s="3041">
        <v>46</v>
      </c>
      <c r="F27" s="3041">
        <v>12.47</v>
      </c>
      <c r="G27" s="2488"/>
      <c r="H27" s="2752">
        <v>6</v>
      </c>
      <c r="I27" s="2752">
        <v>1</v>
      </c>
      <c r="J27" s="2488"/>
      <c r="K27" s="2614"/>
      <c r="L27" s="2488"/>
      <c r="M27" s="2614"/>
      <c r="N27" s="2479" t="str">
        <f t="shared" si="0"/>
        <v>COVE, ID, Distribution, Unattended</v>
      </c>
    </row>
    <row r="28" spans="1:14" ht="16.7" customHeight="1" x14ac:dyDescent="0.2">
      <c r="A28" s="3003">
        <f t="shared" si="1"/>
        <v>40.02999999999993</v>
      </c>
      <c r="B28" s="2512" t="s">
        <v>11009</v>
      </c>
      <c r="C28" s="2489" t="s">
        <v>512</v>
      </c>
      <c r="D28" s="2489" t="s">
        <v>10937</v>
      </c>
      <c r="E28" s="3041">
        <v>46</v>
      </c>
      <c r="F28" s="3041">
        <v>12.47</v>
      </c>
      <c r="G28" s="2488"/>
      <c r="H28" s="2752">
        <v>5</v>
      </c>
      <c r="I28" s="2752">
        <v>1</v>
      </c>
      <c r="J28" s="2488"/>
      <c r="K28" s="2614"/>
      <c r="L28" s="2488"/>
      <c r="M28" s="2614"/>
      <c r="N28" s="2479" t="str">
        <f t="shared" si="0"/>
        <v>DOWNEY, ID, Distribution, Unattended</v>
      </c>
    </row>
    <row r="29" spans="1:14" ht="16.7" customHeight="1" x14ac:dyDescent="0.2">
      <c r="A29" s="3003">
        <f t="shared" si="1"/>
        <v>40.030999999999928</v>
      </c>
      <c r="B29" s="2512" t="s">
        <v>11010</v>
      </c>
      <c r="C29" s="2489" t="s">
        <v>512</v>
      </c>
      <c r="D29" s="2489" t="s">
        <v>10937</v>
      </c>
      <c r="E29" s="3041">
        <v>69</v>
      </c>
      <c r="F29" s="3041">
        <v>12.47</v>
      </c>
      <c r="G29" s="2488"/>
      <c r="H29" s="2752">
        <v>13</v>
      </c>
      <c r="I29" s="2752">
        <v>1</v>
      </c>
      <c r="J29" s="2614"/>
      <c r="K29" s="2614"/>
      <c r="L29" s="2488"/>
      <c r="M29" s="2614"/>
      <c r="N29" s="2479" t="str">
        <f t="shared" si="0"/>
        <v>DUBOIS, ID, Distribution, Unattended</v>
      </c>
    </row>
    <row r="30" spans="1:14" ht="16.7" customHeight="1" x14ac:dyDescent="0.2">
      <c r="A30" s="3003">
        <f t="shared" si="1"/>
        <v>40.031999999999925</v>
      </c>
      <c r="B30" s="2512" t="s">
        <v>11011</v>
      </c>
      <c r="C30" s="2489" t="s">
        <v>512</v>
      </c>
      <c r="D30" s="2489" t="s">
        <v>10937</v>
      </c>
      <c r="E30" s="3041">
        <v>69</v>
      </c>
      <c r="F30" s="3041">
        <v>12.47</v>
      </c>
      <c r="G30" s="2488"/>
      <c r="H30" s="2752">
        <v>14</v>
      </c>
      <c r="I30" s="2752">
        <v>1</v>
      </c>
      <c r="J30" s="2488"/>
      <c r="K30" s="2614"/>
      <c r="L30" s="2488"/>
      <c r="M30" s="2614"/>
      <c r="N30" s="2479" t="str">
        <f t="shared" si="0"/>
        <v>EASTMONT, ID, Distribution, Unattended</v>
      </c>
    </row>
    <row r="31" spans="1:14" ht="16.7" customHeight="1" x14ac:dyDescent="0.2">
      <c r="A31" s="3003">
        <f t="shared" si="1"/>
        <v>40.032999999999923</v>
      </c>
      <c r="B31" s="2512" t="s">
        <v>11012</v>
      </c>
      <c r="C31" s="2489" t="s">
        <v>512</v>
      </c>
      <c r="D31" s="2489" t="s">
        <v>10937</v>
      </c>
      <c r="E31" s="3041">
        <v>69</v>
      </c>
      <c r="F31" s="3041">
        <v>12.47</v>
      </c>
      <c r="G31" s="2488"/>
      <c r="H31" s="2752">
        <v>14</v>
      </c>
      <c r="I31" s="2752">
        <v>1</v>
      </c>
      <c r="J31" s="2488"/>
      <c r="K31" s="2614"/>
      <c r="L31" s="2488"/>
      <c r="M31" s="2614"/>
      <c r="N31" s="2479" t="str">
        <f t="shared" si="0"/>
        <v>EGIN, ID, Distribution, Unattended</v>
      </c>
    </row>
    <row r="32" spans="1:14" ht="16.7" customHeight="1" x14ac:dyDescent="0.2">
      <c r="A32" s="3003">
        <f t="shared" si="1"/>
        <v>40.033999999999921</v>
      </c>
      <c r="B32" s="2512" t="s">
        <v>11013</v>
      </c>
      <c r="C32" s="2489" t="s">
        <v>512</v>
      </c>
      <c r="D32" s="2489" t="s">
        <v>10937</v>
      </c>
      <c r="E32" s="3041">
        <v>46</v>
      </c>
      <c r="F32" s="3041">
        <v>12.47</v>
      </c>
      <c r="G32" s="2488"/>
      <c r="H32" s="2752">
        <v>4</v>
      </c>
      <c r="I32" s="2752">
        <v>1</v>
      </c>
      <c r="J32" s="2488"/>
      <c r="K32" s="2614"/>
      <c r="L32" s="2488"/>
      <c r="M32" s="2614"/>
      <c r="N32" s="2479" t="str">
        <f t="shared" si="0"/>
        <v>EIGHT MILE, ID, Distribution, Unattended</v>
      </c>
    </row>
    <row r="33" spans="1:14" ht="16.7" customHeight="1" x14ac:dyDescent="0.2">
      <c r="A33" s="3003">
        <f t="shared" si="1"/>
        <v>40.034999999999918</v>
      </c>
      <c r="B33" s="2512" t="s">
        <v>10801</v>
      </c>
      <c r="C33" s="2489" t="s">
        <v>512</v>
      </c>
      <c r="D33" s="2489" t="s">
        <v>10937</v>
      </c>
      <c r="E33" s="3041">
        <v>138</v>
      </c>
      <c r="F33" s="3041">
        <v>69</v>
      </c>
      <c r="G33" s="3043">
        <v>13.8</v>
      </c>
      <c r="H33" s="2752">
        <v>75</v>
      </c>
      <c r="I33" s="2752">
        <v>1</v>
      </c>
      <c r="J33" s="2488"/>
      <c r="K33" s="2614"/>
      <c r="L33" s="2488"/>
      <c r="M33" s="2614"/>
      <c r="N33" s="2479" t="str">
        <f t="shared" si="0"/>
        <v>FRANKLIN, ID, Distribution, Unattended</v>
      </c>
    </row>
    <row r="34" spans="1:14" ht="16.7" customHeight="1" x14ac:dyDescent="0.2">
      <c r="A34" s="3003">
        <f t="shared" si="1"/>
        <v>40.035999999999916</v>
      </c>
      <c r="B34" s="2512" t="s">
        <v>11014</v>
      </c>
      <c r="C34" s="2489" t="s">
        <v>512</v>
      </c>
      <c r="D34" s="2489" t="s">
        <v>10937</v>
      </c>
      <c r="E34" s="3041">
        <v>69</v>
      </c>
      <c r="F34" s="3041">
        <v>12.47</v>
      </c>
      <c r="G34" s="2488"/>
      <c r="H34" s="2752">
        <v>6</v>
      </c>
      <c r="I34" s="2752">
        <v>1</v>
      </c>
      <c r="J34" s="2488"/>
      <c r="K34" s="2614"/>
      <c r="L34" s="2488"/>
      <c r="M34" s="2614"/>
      <c r="N34" s="2479" t="str">
        <f t="shared" si="0"/>
        <v>GEORGETOWN, ID, Distribution, Unattended</v>
      </c>
    </row>
    <row r="35" spans="1:14" ht="16.7" customHeight="1" x14ac:dyDescent="0.2">
      <c r="A35" s="3003">
        <f t="shared" si="1"/>
        <v>40.036999999999914</v>
      </c>
      <c r="B35" s="2512" t="s">
        <v>11015</v>
      </c>
      <c r="C35" s="2489" t="s">
        <v>512</v>
      </c>
      <c r="D35" s="2489" t="s">
        <v>10937</v>
      </c>
      <c r="E35" s="3041">
        <v>46</v>
      </c>
      <c r="F35" s="3041">
        <v>12.47</v>
      </c>
      <c r="G35" s="2488"/>
      <c r="H35" s="2752">
        <v>14</v>
      </c>
      <c r="I35" s="2752">
        <v>1</v>
      </c>
      <c r="J35" s="2488"/>
      <c r="K35" s="2614"/>
      <c r="L35" s="2488"/>
      <c r="M35" s="2614"/>
      <c r="N35" s="2479" t="str">
        <f t="shared" si="0"/>
        <v>GRACE CITY, ID, Distribution, Unattended</v>
      </c>
    </row>
    <row r="36" spans="1:14" ht="16.7" customHeight="1" x14ac:dyDescent="0.2">
      <c r="A36" s="3003">
        <f t="shared" si="1"/>
        <v>40.037999999999911</v>
      </c>
      <c r="B36" s="2512" t="s">
        <v>11016</v>
      </c>
      <c r="C36" s="2489" t="s">
        <v>512</v>
      </c>
      <c r="D36" s="2489" t="s">
        <v>10937</v>
      </c>
      <c r="E36" s="3041">
        <v>69</v>
      </c>
      <c r="F36" s="3041">
        <v>12.47</v>
      </c>
      <c r="G36" s="2488"/>
      <c r="H36" s="2752">
        <v>14</v>
      </c>
      <c r="I36" s="2752">
        <v>1</v>
      </c>
      <c r="J36" s="2488"/>
      <c r="K36" s="2614"/>
      <c r="L36" s="2488"/>
      <c r="M36" s="2614"/>
      <c r="N36" s="2479" t="str">
        <f t="shared" si="0"/>
        <v>HAMER, ID, Distribution, Unattended</v>
      </c>
    </row>
    <row r="37" spans="1:14" ht="16.7" customHeight="1" x14ac:dyDescent="0.2">
      <c r="A37" s="3003">
        <f t="shared" si="1"/>
        <v>40.038999999999909</v>
      </c>
      <c r="B37" s="2512" t="s">
        <v>11017</v>
      </c>
      <c r="C37" s="2489" t="s">
        <v>512</v>
      </c>
      <c r="D37" s="2489" t="s">
        <v>10937</v>
      </c>
      <c r="E37" s="3041">
        <v>69</v>
      </c>
      <c r="F37" s="3041">
        <v>12.47</v>
      </c>
      <c r="G37" s="2488"/>
      <c r="H37" s="2752">
        <v>9</v>
      </c>
      <c r="I37" s="2752">
        <v>1</v>
      </c>
      <c r="J37" s="2488"/>
      <c r="K37" s="2614"/>
      <c r="L37" s="2488"/>
      <c r="M37" s="2614"/>
      <c r="N37" s="2479" t="str">
        <f t="shared" si="0"/>
        <v>HAYES, ID, Distribution, Unattended</v>
      </c>
    </row>
    <row r="38" spans="1:14" ht="16.7" customHeight="1" x14ac:dyDescent="0.2">
      <c r="A38" s="3003">
        <f t="shared" si="1"/>
        <v>40.039999999999907</v>
      </c>
      <c r="B38" s="2512" t="s">
        <v>11018</v>
      </c>
      <c r="C38" s="2489" t="s">
        <v>512</v>
      </c>
      <c r="D38" s="2489" t="s">
        <v>10937</v>
      </c>
      <c r="E38" s="3041">
        <v>46</v>
      </c>
      <c r="F38" s="3041">
        <v>7.2</v>
      </c>
      <c r="G38" s="2488"/>
      <c r="H38" s="2752">
        <v>1</v>
      </c>
      <c r="I38" s="2752">
        <v>1</v>
      </c>
      <c r="J38" s="2488"/>
      <c r="K38" s="2614"/>
      <c r="L38" s="2488"/>
      <c r="M38" s="2614"/>
      <c r="N38" s="2479" t="str">
        <f t="shared" si="0"/>
        <v>HENRY, ID, Distribution, Unattended</v>
      </c>
    </row>
    <row r="39" spans="1:14" ht="16.7" customHeight="1" x14ac:dyDescent="0.2">
      <c r="A39" s="3003">
        <f t="shared" si="1"/>
        <v>40.040999999999904</v>
      </c>
      <c r="B39" s="2512" t="s">
        <v>11019</v>
      </c>
      <c r="C39" s="2489" t="s">
        <v>512</v>
      </c>
      <c r="D39" s="2489" t="s">
        <v>10937</v>
      </c>
      <c r="E39" s="3041">
        <v>69</v>
      </c>
      <c r="F39" s="3041">
        <v>12.47</v>
      </c>
      <c r="G39" s="2488"/>
      <c r="H39" s="2752">
        <v>6</v>
      </c>
      <c r="I39" s="2752">
        <v>1</v>
      </c>
      <c r="J39" s="2488"/>
      <c r="K39" s="2614"/>
      <c r="L39" s="2488"/>
      <c r="M39" s="2614"/>
      <c r="N39" s="2479" t="str">
        <f t="shared" si="0"/>
        <v>HOLBROOK, ID, Distribution, Unattended</v>
      </c>
    </row>
    <row r="40" spans="1:14" ht="16.7" customHeight="1" x14ac:dyDescent="0.2">
      <c r="A40" s="3003">
        <f t="shared" si="1"/>
        <v>40.041999999999902</v>
      </c>
      <c r="B40" s="2512" t="s">
        <v>11020</v>
      </c>
      <c r="C40" s="2489" t="s">
        <v>512</v>
      </c>
      <c r="D40" s="2489" t="s">
        <v>10937</v>
      </c>
      <c r="E40" s="3041">
        <v>69</v>
      </c>
      <c r="F40" s="3041">
        <v>12.47</v>
      </c>
      <c r="G40" s="2488"/>
      <c r="H40" s="2752">
        <v>14</v>
      </c>
      <c r="I40" s="2752">
        <v>1</v>
      </c>
      <c r="J40" s="2750">
        <v>1</v>
      </c>
      <c r="K40" s="2614"/>
      <c r="L40" s="2488"/>
      <c r="M40" s="2614"/>
      <c r="N40" s="2479" t="str">
        <f t="shared" si="0"/>
        <v>HOOPES, ID, Distribution, Unattended</v>
      </c>
    </row>
    <row r="41" spans="1:14" ht="16.7" customHeight="1" x14ac:dyDescent="0.2">
      <c r="A41" s="3003">
        <f t="shared" si="1"/>
        <v>40.0429999999999</v>
      </c>
      <c r="B41" s="2512" t="s">
        <v>11021</v>
      </c>
      <c r="C41" s="2489" t="s">
        <v>512</v>
      </c>
      <c r="D41" s="2489" t="s">
        <v>10937</v>
      </c>
      <c r="E41" s="3041">
        <v>46</v>
      </c>
      <c r="F41" s="3041">
        <v>12.47</v>
      </c>
      <c r="G41" s="2488"/>
      <c r="H41" s="2752">
        <v>4</v>
      </c>
      <c r="I41" s="2752">
        <v>1</v>
      </c>
      <c r="J41" s="2488"/>
      <c r="K41" s="2614"/>
      <c r="L41" s="2488"/>
      <c r="M41" s="2614"/>
      <c r="N41" s="2479" t="str">
        <f t="shared" si="0"/>
        <v>HORSLEY, ID, Distribution, Unattended</v>
      </c>
    </row>
    <row r="42" spans="1:14" ht="16.7" customHeight="1" x14ac:dyDescent="0.2">
      <c r="A42" s="3003">
        <f t="shared" si="1"/>
        <v>40.043999999999897</v>
      </c>
      <c r="B42" s="2512" t="s">
        <v>11022</v>
      </c>
      <c r="C42" s="2489" t="s">
        <v>512</v>
      </c>
      <c r="D42" s="2489" t="s">
        <v>10937</v>
      </c>
      <c r="E42" s="3041">
        <v>46</v>
      </c>
      <c r="F42" s="3041">
        <v>12.47</v>
      </c>
      <c r="G42" s="2488"/>
      <c r="H42" s="2752">
        <v>20</v>
      </c>
      <c r="I42" s="2752">
        <v>1</v>
      </c>
      <c r="J42" s="2488"/>
      <c r="K42" s="2614"/>
      <c r="L42" s="2488"/>
      <c r="M42" s="2614"/>
      <c r="N42" s="2479" t="str">
        <f t="shared" si="0"/>
        <v>IDAHO FALLS, ID, Distribution, Unattended</v>
      </c>
    </row>
    <row r="43" spans="1:14" ht="16.7" customHeight="1" x14ac:dyDescent="0.2">
      <c r="A43" s="3003">
        <f t="shared" si="1"/>
        <v>40.044999999999895</v>
      </c>
      <c r="B43" s="2512" t="s">
        <v>11023</v>
      </c>
      <c r="C43" s="2489" t="s">
        <v>512</v>
      </c>
      <c r="D43" s="2489" t="s">
        <v>10937</v>
      </c>
      <c r="E43" s="3041">
        <v>69</v>
      </c>
      <c r="F43" s="3041">
        <v>7.2</v>
      </c>
      <c r="G43" s="2488"/>
      <c r="H43" s="2752">
        <v>3</v>
      </c>
      <c r="I43" s="2752">
        <v>1</v>
      </c>
      <c r="J43" s="2488"/>
      <c r="K43" s="2614"/>
      <c r="L43" s="2488"/>
      <c r="M43" s="2614"/>
      <c r="N43" s="2479" t="str">
        <f t="shared" si="0"/>
        <v>INDIAN CREEK, ID, Distribution, Unattended</v>
      </c>
    </row>
    <row r="44" spans="1:14" ht="16.7" customHeight="1" x14ac:dyDescent="0.2">
      <c r="A44" s="3003">
        <f t="shared" si="1"/>
        <v>40.045999999999893</v>
      </c>
      <c r="B44" s="2512" t="s">
        <v>11024</v>
      </c>
      <c r="C44" s="2489" t="s">
        <v>512</v>
      </c>
      <c r="D44" s="2489" t="s">
        <v>10937</v>
      </c>
      <c r="E44" s="3041">
        <v>69</v>
      </c>
      <c r="F44" s="3041">
        <v>24.9</v>
      </c>
      <c r="G44" s="2488"/>
      <c r="H44" s="2752">
        <v>22</v>
      </c>
      <c r="I44" s="2752">
        <v>1</v>
      </c>
      <c r="J44" s="2488"/>
      <c r="K44" s="2614"/>
      <c r="L44" s="2488"/>
      <c r="M44" s="2614"/>
      <c r="N44" s="2479" t="str">
        <f t="shared" si="0"/>
        <v>JEFFCO, ID, Distribution, Unattended</v>
      </c>
    </row>
    <row r="45" spans="1:14" ht="16.7" customHeight="1" x14ac:dyDescent="0.2">
      <c r="A45" s="3003">
        <f t="shared" si="1"/>
        <v>40.04699999999989</v>
      </c>
      <c r="B45" s="2512" t="s">
        <v>11025</v>
      </c>
      <c r="C45" s="2489" t="s">
        <v>512</v>
      </c>
      <c r="D45" s="2489" t="s">
        <v>10937</v>
      </c>
      <c r="E45" s="3041">
        <v>69</v>
      </c>
      <c r="F45" s="3041">
        <v>24.9</v>
      </c>
      <c r="G45" s="2488"/>
      <c r="H45" s="2752">
        <v>14</v>
      </c>
      <c r="I45" s="2752">
        <v>1</v>
      </c>
      <c r="J45" s="2488"/>
      <c r="K45" s="2614"/>
      <c r="L45" s="2488"/>
      <c r="M45" s="2614"/>
      <c r="N45" s="2479" t="str">
        <f t="shared" si="0"/>
        <v>KETTLE, ID, Distribution, Unattended</v>
      </c>
    </row>
    <row r="46" spans="1:14" ht="16.7" customHeight="1" x14ac:dyDescent="0.2">
      <c r="A46" s="3003">
        <f t="shared" si="1"/>
        <v>40.047999999999888</v>
      </c>
      <c r="B46" s="2512" t="s">
        <v>11026</v>
      </c>
      <c r="C46" s="2489" t="s">
        <v>512</v>
      </c>
      <c r="D46" s="2489" t="s">
        <v>10937</v>
      </c>
      <c r="E46" s="3041">
        <v>46</v>
      </c>
      <c r="F46" s="3041">
        <v>12.47</v>
      </c>
      <c r="G46" s="2488"/>
      <c r="H46" s="2752">
        <v>6</v>
      </c>
      <c r="I46" s="2752">
        <v>1</v>
      </c>
      <c r="J46" s="2488"/>
      <c r="K46" s="2614"/>
      <c r="L46" s="2488"/>
      <c r="M46" s="2614"/>
      <c r="N46" s="2479" t="str">
        <f t="shared" si="0"/>
        <v>LAVA, ID, Distribution, Unattended</v>
      </c>
    </row>
    <row r="47" spans="1:14" ht="16.7" customHeight="1" x14ac:dyDescent="0.2">
      <c r="A47" s="3003">
        <f t="shared" si="1"/>
        <v>40.048999999999886</v>
      </c>
      <c r="B47" s="2512" t="s">
        <v>11027</v>
      </c>
      <c r="C47" s="2489" t="s">
        <v>512</v>
      </c>
      <c r="D47" s="2489" t="s">
        <v>10937</v>
      </c>
      <c r="E47" s="3041">
        <v>46</v>
      </c>
      <c r="F47" s="3041">
        <v>12.47</v>
      </c>
      <c r="G47" s="2488"/>
      <c r="H47" s="2752">
        <v>5</v>
      </c>
      <c r="I47" s="2752">
        <v>1</v>
      </c>
      <c r="J47" s="2488"/>
      <c r="K47" s="2614"/>
      <c r="L47" s="2488"/>
      <c r="M47" s="2614"/>
      <c r="N47" s="2479" t="str">
        <f t="shared" si="0"/>
        <v>LUND, ID, Distribution, Unattended</v>
      </c>
    </row>
    <row r="48" spans="1:14" ht="16.7" customHeight="1" x14ac:dyDescent="0.2">
      <c r="A48" s="3003">
        <f t="shared" si="1"/>
        <v>40.049999999999883</v>
      </c>
      <c r="B48" s="2512" t="s">
        <v>11028</v>
      </c>
      <c r="C48" s="2489" t="s">
        <v>512</v>
      </c>
      <c r="D48" s="2489" t="s">
        <v>10937</v>
      </c>
      <c r="E48" s="3041">
        <v>46</v>
      </c>
      <c r="F48" s="3041">
        <v>12.47</v>
      </c>
      <c r="G48" s="2488"/>
      <c r="H48" s="2752">
        <v>4</v>
      </c>
      <c r="I48" s="2752">
        <v>1</v>
      </c>
      <c r="J48" s="2488"/>
      <c r="K48" s="2614"/>
      <c r="L48" s="2488"/>
      <c r="M48" s="2614"/>
      <c r="N48" s="2479" t="str">
        <f t="shared" si="0"/>
        <v>MCCAMMON, ID, Distribution, Unattended</v>
      </c>
    </row>
    <row r="49" spans="1:14" ht="16.7" customHeight="1" x14ac:dyDescent="0.2">
      <c r="A49" s="3003">
        <f t="shared" si="1"/>
        <v>40.050999999999881</v>
      </c>
      <c r="B49" s="2512" t="s">
        <v>11029</v>
      </c>
      <c r="C49" s="2489" t="s">
        <v>512</v>
      </c>
      <c r="D49" s="2489" t="s">
        <v>10937</v>
      </c>
      <c r="E49" s="3041">
        <v>69</v>
      </c>
      <c r="F49" s="3041">
        <v>12.47</v>
      </c>
      <c r="G49" s="2488"/>
      <c r="H49" s="2752">
        <v>11</v>
      </c>
      <c r="I49" s="2752">
        <v>1</v>
      </c>
      <c r="J49" s="2488"/>
      <c r="K49" s="2614"/>
      <c r="L49" s="2488"/>
      <c r="M49" s="2614"/>
      <c r="N49" s="2479" t="str">
        <f t="shared" si="0"/>
        <v>MENAN, ID, Distribution, Unattended</v>
      </c>
    </row>
    <row r="50" spans="1:14" ht="15" customHeight="1" x14ac:dyDescent="0.2">
      <c r="A50" s="3003">
        <f t="shared" si="1"/>
        <v>40.051999999999879</v>
      </c>
      <c r="B50" s="2512" t="s">
        <v>11030</v>
      </c>
      <c r="C50" s="2489" t="s">
        <v>512</v>
      </c>
      <c r="D50" s="2489" t="s">
        <v>10937</v>
      </c>
      <c r="E50" s="3041">
        <v>69</v>
      </c>
      <c r="F50" s="3041">
        <v>12.47</v>
      </c>
      <c r="G50" s="2488"/>
      <c r="H50" s="2752">
        <v>20</v>
      </c>
      <c r="I50" s="2752">
        <v>1</v>
      </c>
      <c r="J50" s="2488"/>
      <c r="K50" s="2614"/>
      <c r="L50" s="2614"/>
      <c r="M50" s="2614"/>
      <c r="N50" s="2479" t="str">
        <f t="shared" si="0"/>
        <v>MERRILL, ID, Distribution, Unattended</v>
      </c>
    </row>
    <row r="51" spans="1:14" ht="15.75" customHeight="1" x14ac:dyDescent="0.2">
      <c r="A51" s="3003">
        <f t="shared" si="1"/>
        <v>40.052999999999876</v>
      </c>
      <c r="B51" s="2512" t="s">
        <v>11031</v>
      </c>
      <c r="C51" s="2489" t="s">
        <v>512</v>
      </c>
      <c r="D51" s="2489" t="s">
        <v>10937</v>
      </c>
      <c r="E51" s="3041">
        <v>69</v>
      </c>
      <c r="F51" s="3041">
        <v>12.47</v>
      </c>
      <c r="G51" s="2488"/>
      <c r="H51" s="2752">
        <v>5</v>
      </c>
      <c r="I51" s="2752">
        <v>1</v>
      </c>
      <c r="J51" s="2488"/>
      <c r="K51" s="2614"/>
      <c r="L51" s="2488"/>
      <c r="M51" s="2614"/>
      <c r="N51" s="2479" t="str">
        <f t="shared" si="0"/>
        <v>MILLER, ID, Distribution, Unattended</v>
      </c>
    </row>
    <row r="52" spans="1:14" ht="15.75" customHeight="1" x14ac:dyDescent="0.2">
      <c r="A52" s="3003">
        <f t="shared" si="1"/>
        <v>40.053999999999874</v>
      </c>
      <c r="B52" s="2512" t="s">
        <v>11032</v>
      </c>
      <c r="C52" s="2489" t="s">
        <v>512</v>
      </c>
      <c r="D52" s="2489" t="s">
        <v>10937</v>
      </c>
      <c r="E52" s="3041">
        <v>69</v>
      </c>
      <c r="F52" s="3041">
        <v>12.47</v>
      </c>
      <c r="G52" s="2488"/>
      <c r="H52" s="2752">
        <v>11</v>
      </c>
      <c r="I52" s="2752">
        <v>1</v>
      </c>
      <c r="J52" s="2488"/>
      <c r="K52" s="2614"/>
      <c r="L52" s="2488"/>
      <c r="M52" s="2614"/>
      <c r="N52" s="2479" t="str">
        <f t="shared" si="0"/>
        <v>MONTPELIER, ID, Distribution, Unattended</v>
      </c>
    </row>
    <row r="53" spans="1:14" ht="15.75" customHeight="1" x14ac:dyDescent="0.2">
      <c r="A53" s="3003">
        <f t="shared" si="1"/>
        <v>40.054999999999872</v>
      </c>
      <c r="B53" s="2512" t="s">
        <v>11033</v>
      </c>
      <c r="C53" s="2489" t="s">
        <v>512</v>
      </c>
      <c r="D53" s="2489" t="s">
        <v>10937</v>
      </c>
      <c r="E53" s="3041">
        <v>69</v>
      </c>
      <c r="F53" s="3041">
        <v>24.9</v>
      </c>
      <c r="G53" s="2488"/>
      <c r="H53" s="2752">
        <v>14</v>
      </c>
      <c r="I53" s="2752">
        <v>1</v>
      </c>
      <c r="J53" s="2488"/>
      <c r="K53" s="2614"/>
      <c r="L53" s="2488"/>
      <c r="M53" s="2614"/>
      <c r="N53" s="2479" t="str">
        <f t="shared" si="0"/>
        <v>MOODY, ID, Distribution, Unattended</v>
      </c>
    </row>
    <row r="54" spans="1:14" ht="15.75" customHeight="1" x14ac:dyDescent="0.2">
      <c r="A54" s="3003">
        <f t="shared" si="1"/>
        <v>40.055999999999869</v>
      </c>
      <c r="B54" s="2512" t="s">
        <v>11034</v>
      </c>
      <c r="C54" s="2489" t="s">
        <v>512</v>
      </c>
      <c r="D54" s="2489" t="s">
        <v>10937</v>
      </c>
      <c r="E54" s="3041">
        <v>69</v>
      </c>
      <c r="F54" s="3041">
        <v>12.47</v>
      </c>
      <c r="G54" s="2488"/>
      <c r="H54" s="2752">
        <v>14</v>
      </c>
      <c r="I54" s="2752">
        <v>1</v>
      </c>
      <c r="J54" s="2488"/>
      <c r="K54" s="2614"/>
      <c r="L54" s="2488"/>
      <c r="M54" s="2614"/>
      <c r="N54" s="2479" t="str">
        <f t="shared" si="0"/>
        <v>MUD LAKE, ID, Distribution, Unattended</v>
      </c>
    </row>
    <row r="55" spans="1:14" ht="15.75" customHeight="1" x14ac:dyDescent="0.2">
      <c r="A55" s="3003">
        <f t="shared" si="1"/>
        <v>40.056999999999867</v>
      </c>
      <c r="B55" s="2512" t="s">
        <v>11035</v>
      </c>
      <c r="C55" s="2489" t="s">
        <v>512</v>
      </c>
      <c r="D55" s="2489" t="s">
        <v>10937</v>
      </c>
      <c r="E55" s="3041">
        <v>69</v>
      </c>
      <c r="F55" s="3041">
        <v>12.47</v>
      </c>
      <c r="G55" s="2488"/>
      <c r="H55" s="2752">
        <v>20</v>
      </c>
      <c r="I55" s="2752">
        <v>1</v>
      </c>
      <c r="J55" s="2488"/>
      <c r="K55" s="2614"/>
      <c r="L55" s="2488"/>
      <c r="M55" s="2614"/>
      <c r="N55" s="2479" t="str">
        <f t="shared" si="0"/>
        <v>NEWDALE, ID, Distribution, Unattended</v>
      </c>
    </row>
    <row r="56" spans="1:14" ht="15.75" customHeight="1" x14ac:dyDescent="0.2">
      <c r="A56" s="3003">
        <f t="shared" si="1"/>
        <v>40.057999999999865</v>
      </c>
      <c r="B56" s="2512" t="s">
        <v>11036</v>
      </c>
      <c r="C56" s="2489" t="s">
        <v>512</v>
      </c>
      <c r="D56" s="2489" t="s">
        <v>10937</v>
      </c>
      <c r="E56" s="3041">
        <v>69</v>
      </c>
      <c r="F56" s="3041">
        <v>12.47</v>
      </c>
      <c r="G56" s="2488"/>
      <c r="H56" s="2752">
        <v>20</v>
      </c>
      <c r="I56" s="2752">
        <v>1</v>
      </c>
      <c r="J56" s="2488"/>
      <c r="K56" s="2614"/>
      <c r="L56" s="2488"/>
      <c r="M56" s="2614"/>
      <c r="N56" s="2479" t="str">
        <f t="shared" si="0"/>
        <v>OSGOOD, ID, Distribution, Unattended</v>
      </c>
    </row>
    <row r="57" spans="1:14" ht="15.75" customHeight="1" x14ac:dyDescent="0.2">
      <c r="A57" s="3003">
        <f t="shared" si="1"/>
        <v>40.058999999999862</v>
      </c>
      <c r="B57" s="2512" t="s">
        <v>11037</v>
      </c>
      <c r="C57" s="2489" t="s">
        <v>512</v>
      </c>
      <c r="D57" s="2489" t="s">
        <v>10937</v>
      </c>
      <c r="E57" s="3041">
        <v>46</v>
      </c>
      <c r="F57" s="3041">
        <v>12.47</v>
      </c>
      <c r="G57" s="2488"/>
      <c r="H57" s="2752">
        <v>13</v>
      </c>
      <c r="I57" s="2752">
        <v>1</v>
      </c>
      <c r="J57" s="2488"/>
      <c r="K57" s="2614"/>
      <c r="L57" s="2488"/>
      <c r="M57" s="2614"/>
      <c r="N57" s="2479" t="str">
        <f t="shared" si="0"/>
        <v>PRESTON, ID, Distribution, Unattended</v>
      </c>
    </row>
    <row r="58" spans="1:14" ht="15.75" customHeight="1" x14ac:dyDescent="0.2">
      <c r="A58" s="3003">
        <f t="shared" si="1"/>
        <v>40.05999999999986</v>
      </c>
      <c r="B58" s="2512" t="s">
        <v>11038</v>
      </c>
      <c r="C58" s="2489" t="s">
        <v>512</v>
      </c>
      <c r="D58" s="2489" t="s">
        <v>10937</v>
      </c>
      <c r="E58" s="3041">
        <v>69</v>
      </c>
      <c r="F58" s="3041">
        <v>12.47</v>
      </c>
      <c r="G58" s="2488"/>
      <c r="H58" s="2752">
        <v>6</v>
      </c>
      <c r="I58" s="2752">
        <v>1</v>
      </c>
      <c r="J58" s="2488"/>
      <c r="K58" s="2614"/>
      <c r="L58" s="2488"/>
      <c r="M58" s="2614"/>
      <c r="N58" s="2479" t="str">
        <f t="shared" si="0"/>
        <v>RAYMOND, ID, Distribution, Unattended</v>
      </c>
    </row>
    <row r="59" spans="1:14" ht="15.75" customHeight="1" x14ac:dyDescent="0.2">
      <c r="A59" s="3003">
        <f t="shared" si="1"/>
        <v>40.060999999999858</v>
      </c>
      <c r="B59" s="2512" t="s">
        <v>11039</v>
      </c>
      <c r="C59" s="2489" t="s">
        <v>512</v>
      </c>
      <c r="D59" s="2489" t="s">
        <v>10937</v>
      </c>
      <c r="E59" s="3041">
        <v>69</v>
      </c>
      <c r="F59" s="3041">
        <v>12.47</v>
      </c>
      <c r="G59" s="2488"/>
      <c r="H59" s="2752">
        <v>20</v>
      </c>
      <c r="I59" s="2752">
        <v>1</v>
      </c>
      <c r="J59" s="2488"/>
      <c r="K59" s="2614"/>
      <c r="L59" s="2488"/>
      <c r="M59" s="2614"/>
      <c r="N59" s="2479" t="str">
        <f t="shared" si="0"/>
        <v>RENO, ID, Distribution, Unattended</v>
      </c>
    </row>
    <row r="60" spans="1:14" ht="15.75" customHeight="1" x14ac:dyDescent="0.2">
      <c r="A60" s="3003">
        <f t="shared" si="1"/>
        <v>40.061999999999856</v>
      </c>
      <c r="B60" s="2512" t="s">
        <v>10716</v>
      </c>
      <c r="C60" s="2489" t="s">
        <v>512</v>
      </c>
      <c r="D60" s="2489" t="s">
        <v>10937</v>
      </c>
      <c r="E60" s="3041">
        <v>161</v>
      </c>
      <c r="F60" s="3041">
        <v>69</v>
      </c>
      <c r="G60" s="3043">
        <v>12.47</v>
      </c>
      <c r="H60" s="2752">
        <v>210</v>
      </c>
      <c r="I60" s="2752">
        <v>3</v>
      </c>
      <c r="J60" s="2750">
        <v>1</v>
      </c>
      <c r="K60" s="2614"/>
      <c r="L60" s="2488"/>
      <c r="M60" s="2614"/>
      <c r="N60" s="2479" t="str">
        <f t="shared" si="0"/>
        <v>REXBURG, ID, Distribution, Unattended</v>
      </c>
    </row>
    <row r="61" spans="1:14" ht="15.75" customHeight="1" x14ac:dyDescent="0.2">
      <c r="A61" s="3003">
        <f t="shared" si="1"/>
        <v>40.062999999999853</v>
      </c>
      <c r="B61" s="2512" t="s">
        <v>11040</v>
      </c>
      <c r="C61" s="2489" t="s">
        <v>512</v>
      </c>
      <c r="D61" s="2489" t="s">
        <v>10937</v>
      </c>
      <c r="E61" s="3041">
        <v>69</v>
      </c>
      <c r="F61" s="3041">
        <v>12.47</v>
      </c>
      <c r="G61" s="2488"/>
      <c r="H61" s="2752">
        <v>8</v>
      </c>
      <c r="I61" s="2752">
        <v>1</v>
      </c>
      <c r="J61" s="2488"/>
      <c r="K61" s="2614"/>
      <c r="L61" s="2488"/>
      <c r="M61" s="2614"/>
      <c r="N61" s="2479" t="str">
        <f t="shared" si="0"/>
        <v>ROBERTS, ID, Distribution, Unattended</v>
      </c>
    </row>
    <row r="62" spans="1:14" ht="15.75" customHeight="1" x14ac:dyDescent="0.2">
      <c r="A62" s="3003">
        <f t="shared" si="1"/>
        <v>40.063999999999851</v>
      </c>
      <c r="B62" s="2512" t="s">
        <v>11041</v>
      </c>
      <c r="C62" s="2489" t="s">
        <v>512</v>
      </c>
      <c r="D62" s="2489" t="s">
        <v>10937</v>
      </c>
      <c r="E62" s="3041">
        <v>69</v>
      </c>
      <c r="F62" s="3041">
        <v>12.47</v>
      </c>
      <c r="G62" s="2488"/>
      <c r="H62" s="2752">
        <v>7</v>
      </c>
      <c r="I62" s="2752">
        <v>1</v>
      </c>
      <c r="J62" s="2488"/>
      <c r="K62" s="2614"/>
      <c r="L62" s="2488"/>
      <c r="M62" s="2614"/>
      <c r="N62" s="2479" t="str">
        <f t="shared" si="0"/>
        <v>RUBY, ID, Distribution, Unattended</v>
      </c>
    </row>
    <row r="63" spans="1:14" ht="15.75" customHeight="1" x14ac:dyDescent="0.2">
      <c r="A63" s="3003">
        <f t="shared" si="1"/>
        <v>40.064999999999849</v>
      </c>
      <c r="B63" s="2512" t="s">
        <v>11042</v>
      </c>
      <c r="C63" s="2489" t="s">
        <v>512</v>
      </c>
      <c r="D63" s="2489" t="s">
        <v>10937</v>
      </c>
      <c r="E63" s="3041">
        <v>69</v>
      </c>
      <c r="F63" s="3041">
        <v>46</v>
      </c>
      <c r="G63" s="3043">
        <v>2.4</v>
      </c>
      <c r="H63" s="2752">
        <v>33</v>
      </c>
      <c r="I63" s="2752">
        <v>2</v>
      </c>
      <c r="J63" s="2488"/>
      <c r="K63" s="2614"/>
      <c r="L63" s="2488"/>
      <c r="M63" s="2614"/>
      <c r="N63" s="2479" t="str">
        <f t="shared" si="0"/>
        <v>SAINT ANTHONY, ID, Distribution, Unattended</v>
      </c>
    </row>
    <row r="64" spans="1:14" ht="15.75" customHeight="1" x14ac:dyDescent="0.2">
      <c r="A64" s="3003">
        <f t="shared" si="1"/>
        <v>40.065999999999846</v>
      </c>
      <c r="B64" s="2512" t="s">
        <v>11043</v>
      </c>
      <c r="C64" s="2489" t="s">
        <v>512</v>
      </c>
      <c r="D64" s="2489" t="s">
        <v>10937</v>
      </c>
      <c r="E64" s="3041">
        <v>69</v>
      </c>
      <c r="F64" s="3041">
        <v>12.47</v>
      </c>
      <c r="G64" s="2488"/>
      <c r="H64" s="2752">
        <v>40</v>
      </c>
      <c r="I64" s="2752">
        <v>2</v>
      </c>
      <c r="J64" s="2488"/>
      <c r="K64" s="2614"/>
      <c r="L64" s="2488"/>
      <c r="M64" s="2614"/>
      <c r="N64" s="2479" t="str">
        <f t="shared" si="0"/>
        <v>SAND CREEK, ID, Distribution, Unattended</v>
      </c>
    </row>
    <row r="65" spans="1:14" ht="15.75" customHeight="1" x14ac:dyDescent="0.2">
      <c r="A65" s="3003">
        <f t="shared" si="1"/>
        <v>40.066999999999844</v>
      </c>
      <c r="B65" s="2512" t="s">
        <v>11044</v>
      </c>
      <c r="C65" s="2489" t="s">
        <v>512</v>
      </c>
      <c r="D65" s="2489" t="s">
        <v>10937</v>
      </c>
      <c r="E65" s="3041">
        <v>69</v>
      </c>
      <c r="F65" s="3041">
        <v>24.9</v>
      </c>
      <c r="G65" s="2488"/>
      <c r="H65" s="2752">
        <v>30</v>
      </c>
      <c r="I65" s="2752">
        <v>1</v>
      </c>
      <c r="J65" s="2488"/>
      <c r="K65" s="2614"/>
      <c r="L65" s="2488"/>
      <c r="M65" s="2614"/>
      <c r="N65" s="2479" t="str">
        <f t="shared" si="0"/>
        <v>SANDUNE, ID, Distribution, Unattended</v>
      </c>
    </row>
    <row r="66" spans="1:14" ht="15.75" customHeight="1" x14ac:dyDescent="0.2">
      <c r="A66" s="3003">
        <f t="shared" si="1"/>
        <v>40.067999999999842</v>
      </c>
      <c r="B66" s="2512" t="s">
        <v>11045</v>
      </c>
      <c r="C66" s="2489" t="s">
        <v>512</v>
      </c>
      <c r="D66" s="2489" t="s">
        <v>10937</v>
      </c>
      <c r="E66" s="3041">
        <v>46</v>
      </c>
      <c r="F66" s="3041">
        <v>12.47</v>
      </c>
      <c r="G66" s="2488"/>
      <c r="H66" s="2752">
        <v>20</v>
      </c>
      <c r="I66" s="2752">
        <v>1</v>
      </c>
      <c r="J66" s="2488"/>
      <c r="K66" s="2614"/>
      <c r="L66" s="2488"/>
      <c r="M66" s="2614"/>
      <c r="N66" s="2479" t="str">
        <f t="shared" si="0"/>
        <v>SHELLEY, ID, Distribution, Unattended</v>
      </c>
    </row>
    <row r="67" spans="1:14" ht="15.75" customHeight="1" x14ac:dyDescent="0.2">
      <c r="A67" s="3003">
        <f t="shared" si="1"/>
        <v>40.068999999999839</v>
      </c>
      <c r="B67" s="2512" t="s">
        <v>11046</v>
      </c>
      <c r="C67" s="2489" t="s">
        <v>512</v>
      </c>
      <c r="D67" s="2489" t="s">
        <v>10937</v>
      </c>
      <c r="E67" s="3041">
        <v>69</v>
      </c>
      <c r="F67" s="3041">
        <v>12.47</v>
      </c>
      <c r="G67" s="2488"/>
      <c r="H67" s="2752">
        <v>20</v>
      </c>
      <c r="I67" s="2752">
        <v>1</v>
      </c>
      <c r="J67" s="2488"/>
      <c r="K67" s="2614"/>
      <c r="L67" s="2488"/>
      <c r="M67" s="2614"/>
      <c r="N67" s="2479" t="str">
        <f t="shared" si="0"/>
        <v>SMITH, ID, Distribution, Unattended</v>
      </c>
    </row>
    <row r="68" spans="1:14" ht="15.75" customHeight="1" x14ac:dyDescent="0.2">
      <c r="A68" s="3003">
        <f t="shared" si="1"/>
        <v>40.069999999999837</v>
      </c>
      <c r="B68" s="2512" t="s">
        <v>11047</v>
      </c>
      <c r="C68" s="2489" t="s">
        <v>512</v>
      </c>
      <c r="D68" s="2489" t="s">
        <v>10937</v>
      </c>
      <c r="E68" s="3041">
        <v>69</v>
      </c>
      <c r="F68" s="3041">
        <v>12.47</v>
      </c>
      <c r="G68" s="2488"/>
      <c r="H68" s="2752">
        <v>14</v>
      </c>
      <c r="I68" s="2752">
        <v>1</v>
      </c>
      <c r="J68" s="2488"/>
      <c r="K68" s="2614"/>
      <c r="L68" s="2488"/>
      <c r="M68" s="2614"/>
      <c r="N68" s="2479" t="str">
        <f t="shared" si="0"/>
        <v>SOUTH FORK, ID, Distribution, Unattended</v>
      </c>
    </row>
    <row r="69" spans="1:14" ht="15.75" customHeight="1" x14ac:dyDescent="0.2">
      <c r="A69" s="3003">
        <f t="shared" si="1"/>
        <v>40.070999999999835</v>
      </c>
      <c r="B69" s="2512" t="s">
        <v>11048</v>
      </c>
      <c r="C69" s="2489" t="s">
        <v>512</v>
      </c>
      <c r="D69" s="2489" t="s">
        <v>10937</v>
      </c>
      <c r="E69" s="3041">
        <v>46</v>
      </c>
      <c r="F69" s="3041">
        <v>12.47</v>
      </c>
      <c r="G69" s="2488"/>
      <c r="H69" s="2752">
        <v>8</v>
      </c>
      <c r="I69" s="2752">
        <v>1</v>
      </c>
      <c r="J69" s="2488"/>
      <c r="K69" s="2614"/>
      <c r="L69" s="2488"/>
      <c r="M69" s="2614"/>
      <c r="N69" s="2479" t="str">
        <f t="shared" si="0"/>
        <v>SPUD, ID, Distribution, Unattended</v>
      </c>
    </row>
    <row r="70" spans="1:14" ht="15.75" customHeight="1" x14ac:dyDescent="0.2">
      <c r="A70" s="3003">
        <f t="shared" si="1"/>
        <v>40.071999999999832</v>
      </c>
      <c r="B70" s="2512" t="s">
        <v>11049</v>
      </c>
      <c r="C70" s="2489" t="s">
        <v>512</v>
      </c>
      <c r="D70" s="2489" t="s">
        <v>10937</v>
      </c>
      <c r="E70" s="3041">
        <v>69</v>
      </c>
      <c r="F70" s="3041">
        <v>12.47</v>
      </c>
      <c r="G70" s="2488"/>
      <c r="H70" s="2752">
        <v>5</v>
      </c>
      <c r="I70" s="2752">
        <v>1</v>
      </c>
      <c r="J70" s="2488"/>
      <c r="K70" s="2614"/>
      <c r="L70" s="2488"/>
      <c r="M70" s="2614"/>
      <c r="N70" s="2479" t="str">
        <f t="shared" si="0"/>
        <v>ST CHARLES, ID, Distribution, Unattended</v>
      </c>
    </row>
    <row r="71" spans="1:14" ht="15.75" customHeight="1" x14ac:dyDescent="0.2">
      <c r="A71" s="3003">
        <f t="shared" si="1"/>
        <v>40.07299999999983</v>
      </c>
      <c r="B71" s="2512" t="s">
        <v>11050</v>
      </c>
      <c r="C71" s="2489" t="s">
        <v>512</v>
      </c>
      <c r="D71" s="2489" t="s">
        <v>10937</v>
      </c>
      <c r="E71" s="3041">
        <v>69</v>
      </c>
      <c r="F71" s="3041">
        <v>12.47</v>
      </c>
      <c r="G71" s="2488"/>
      <c r="H71" s="2752">
        <v>13</v>
      </c>
      <c r="I71" s="2752">
        <v>1</v>
      </c>
      <c r="J71" s="2488"/>
      <c r="K71" s="2614"/>
      <c r="L71" s="2488"/>
      <c r="M71" s="2614"/>
      <c r="N71" s="2479" t="str">
        <f t="shared" si="0"/>
        <v>SUGAR CITY, ID, Distribution, Unattended</v>
      </c>
    </row>
    <row r="72" spans="1:14" ht="15.75" customHeight="1" x14ac:dyDescent="0.2">
      <c r="A72" s="3003">
        <f t="shared" si="1"/>
        <v>40.073999999999828</v>
      </c>
      <c r="B72" s="2512" t="s">
        <v>11051</v>
      </c>
      <c r="C72" s="2489" t="s">
        <v>512</v>
      </c>
      <c r="D72" s="2489" t="s">
        <v>10937</v>
      </c>
      <c r="E72" s="3041">
        <v>69</v>
      </c>
      <c r="F72" s="3041">
        <v>12.47</v>
      </c>
      <c r="G72" s="2488"/>
      <c r="H72" s="2752">
        <v>13</v>
      </c>
      <c r="I72" s="2752">
        <v>1</v>
      </c>
      <c r="J72" s="2488"/>
      <c r="K72" s="2614"/>
      <c r="L72" s="2488"/>
      <c r="M72" s="2614"/>
      <c r="N72" s="2479" t="str">
        <f t="shared" si="0"/>
        <v>SUNNYDELL, ID, Distribution, Unattended</v>
      </c>
    </row>
    <row r="73" spans="1:14" ht="15.75" customHeight="1" x14ac:dyDescent="0.2">
      <c r="A73" s="3003">
        <f t="shared" si="1"/>
        <v>40.074999999999825</v>
      </c>
      <c r="B73" s="2512" t="s">
        <v>11052</v>
      </c>
      <c r="C73" s="2489" t="s">
        <v>512</v>
      </c>
      <c r="D73" s="2489" t="s">
        <v>10937</v>
      </c>
      <c r="E73" s="3041">
        <v>46</v>
      </c>
      <c r="F73" s="3041">
        <v>12.47</v>
      </c>
      <c r="G73" s="2488"/>
      <c r="H73" s="2752">
        <v>4</v>
      </c>
      <c r="I73" s="2752">
        <v>1</v>
      </c>
      <c r="J73" s="2488"/>
      <c r="K73" s="2614"/>
      <c r="L73" s="2488"/>
      <c r="M73" s="2614"/>
      <c r="N73" s="2479" t="str">
        <f t="shared" si="0"/>
        <v>TARGHEE, ID, Distribution, Unattended</v>
      </c>
    </row>
    <row r="74" spans="1:14" ht="15.75" customHeight="1" x14ac:dyDescent="0.2">
      <c r="A74" s="3003">
        <f t="shared" si="1"/>
        <v>40.075999999999823</v>
      </c>
      <c r="B74" s="2512" t="s">
        <v>11053</v>
      </c>
      <c r="C74" s="2489" t="s">
        <v>512</v>
      </c>
      <c r="D74" s="2489" t="s">
        <v>10937</v>
      </c>
      <c r="E74" s="3041">
        <v>69</v>
      </c>
      <c r="F74" s="3041">
        <v>12.47</v>
      </c>
      <c r="G74" s="2488"/>
      <c r="H74" s="2752">
        <v>7</v>
      </c>
      <c r="I74" s="2752">
        <v>1</v>
      </c>
      <c r="J74" s="2488"/>
      <c r="K74" s="2614"/>
      <c r="L74" s="2488"/>
      <c r="M74" s="2614"/>
      <c r="N74" s="2479" t="str">
        <f t="shared" ref="N74:N96" si="2">CONCATENATE(B74,", ",C74,", ",D74)</f>
        <v>THORNTON, ID, Distribution, Unattended</v>
      </c>
    </row>
    <row r="75" spans="1:14" ht="15.75" customHeight="1" x14ac:dyDescent="0.2">
      <c r="A75" s="3003">
        <f t="shared" ref="A75:A96" si="3">A74+0.001</f>
        <v>40.076999999999821</v>
      </c>
      <c r="B75" s="2512" t="s">
        <v>10668</v>
      </c>
      <c r="C75" s="2489" t="s">
        <v>512</v>
      </c>
      <c r="D75" s="2489" t="s">
        <v>10937</v>
      </c>
      <c r="E75" s="3041">
        <v>230</v>
      </c>
      <c r="F75" s="3041">
        <v>138</v>
      </c>
      <c r="G75" s="3043">
        <v>13.8</v>
      </c>
      <c r="H75" s="2752">
        <v>534</v>
      </c>
      <c r="I75" s="2752">
        <v>2</v>
      </c>
      <c r="J75" s="2750">
        <v>1</v>
      </c>
      <c r="K75" s="2614"/>
      <c r="L75" s="2488"/>
      <c r="M75" s="2614"/>
      <c r="N75" s="2479" t="str">
        <f t="shared" si="2"/>
        <v>TREASURETON, ID, Distribution, Unattended</v>
      </c>
    </row>
    <row r="76" spans="1:14" ht="15.75" customHeight="1" x14ac:dyDescent="0.2">
      <c r="A76" s="3003">
        <f t="shared" si="3"/>
        <v>40.077999999999818</v>
      </c>
      <c r="B76" s="2512" t="s">
        <v>11054</v>
      </c>
      <c r="C76" s="2489" t="s">
        <v>512</v>
      </c>
      <c r="D76" s="2489" t="s">
        <v>10937</v>
      </c>
      <c r="E76" s="3041">
        <v>69</v>
      </c>
      <c r="F76" s="3041">
        <v>12.47</v>
      </c>
      <c r="G76" s="2488"/>
      <c r="H76" s="2752">
        <v>7</v>
      </c>
      <c r="I76" s="2752">
        <v>1</v>
      </c>
      <c r="J76" s="2488"/>
      <c r="K76" s="2614"/>
      <c r="L76" s="2488"/>
      <c r="M76" s="2614"/>
      <c r="N76" s="2479" t="str">
        <f t="shared" si="2"/>
        <v>UCON, ID, Distribution, Unattended</v>
      </c>
    </row>
    <row r="77" spans="1:14" ht="15.75" customHeight="1" x14ac:dyDescent="0.2">
      <c r="A77" s="3003">
        <f t="shared" si="3"/>
        <v>40.078999999999816</v>
      </c>
      <c r="B77" s="2512" t="s">
        <v>11055</v>
      </c>
      <c r="C77" s="2489" t="s">
        <v>512</v>
      </c>
      <c r="D77" s="2489" t="s">
        <v>10937</v>
      </c>
      <c r="E77" s="3041">
        <v>69</v>
      </c>
      <c r="F77" s="3041">
        <v>24.9</v>
      </c>
      <c r="G77" s="2488"/>
      <c r="H77" s="2752">
        <v>14</v>
      </c>
      <c r="I77" s="2752">
        <v>1</v>
      </c>
      <c r="J77" s="2488"/>
      <c r="K77" s="2614"/>
      <c r="L77" s="2488"/>
      <c r="M77" s="2614"/>
      <c r="N77" s="2479" t="str">
        <f t="shared" si="2"/>
        <v>WATKINS, ID, Distribution, Unattended</v>
      </c>
    </row>
    <row r="78" spans="1:14" ht="15.75" customHeight="1" x14ac:dyDescent="0.2">
      <c r="A78" s="3003">
        <f t="shared" si="3"/>
        <v>40.079999999999814</v>
      </c>
      <c r="B78" s="2512" t="s">
        <v>11056</v>
      </c>
      <c r="C78" s="2489" t="s">
        <v>512</v>
      </c>
      <c r="D78" s="2489" t="s">
        <v>10937</v>
      </c>
      <c r="E78" s="3041">
        <v>69</v>
      </c>
      <c r="F78" s="3041">
        <v>12.47</v>
      </c>
      <c r="G78" s="2488"/>
      <c r="H78" s="2752">
        <v>20</v>
      </c>
      <c r="I78" s="2752">
        <v>1</v>
      </c>
      <c r="J78" s="2488"/>
      <c r="K78" s="2614"/>
      <c r="L78" s="2488"/>
      <c r="M78" s="2614"/>
      <c r="N78" s="2479" t="str">
        <f t="shared" si="2"/>
        <v>WEBSTER, ID, Distribution, Unattended</v>
      </c>
    </row>
    <row r="79" spans="1:14" ht="15.75" customHeight="1" x14ac:dyDescent="0.2">
      <c r="A79" s="3003">
        <f t="shared" si="3"/>
        <v>40.080999999999811</v>
      </c>
      <c r="B79" s="2512" t="s">
        <v>11057</v>
      </c>
      <c r="C79" s="2489" t="s">
        <v>512</v>
      </c>
      <c r="D79" s="2489" t="s">
        <v>10937</v>
      </c>
      <c r="E79" s="3041">
        <v>46</v>
      </c>
      <c r="F79" s="3041">
        <v>12.47</v>
      </c>
      <c r="G79" s="2488"/>
      <c r="H79" s="2752">
        <v>4</v>
      </c>
      <c r="I79" s="2752">
        <v>1</v>
      </c>
      <c r="J79" s="2488"/>
      <c r="K79" s="2614"/>
      <c r="L79" s="2488"/>
      <c r="M79" s="2614"/>
      <c r="N79" s="2479" t="str">
        <f t="shared" si="2"/>
        <v>WESTON, ID, Distribution, Unattended</v>
      </c>
    </row>
    <row r="80" spans="1:14" ht="15.75" customHeight="1" x14ac:dyDescent="0.2">
      <c r="A80" s="3003">
        <f t="shared" si="3"/>
        <v>40.081999999999809</v>
      </c>
      <c r="B80" s="2512" t="s">
        <v>11058</v>
      </c>
      <c r="C80" s="2489" t="s">
        <v>512</v>
      </c>
      <c r="D80" s="2489" t="s">
        <v>10937</v>
      </c>
      <c r="E80" s="3041">
        <v>161</v>
      </c>
      <c r="F80" s="3041">
        <v>13.2</v>
      </c>
      <c r="G80" s="2488"/>
      <c r="H80" s="2752">
        <v>30</v>
      </c>
      <c r="I80" s="2752">
        <v>1</v>
      </c>
      <c r="J80" s="2488"/>
      <c r="K80" s="2614"/>
      <c r="L80" s="2488"/>
      <c r="M80" s="2614"/>
      <c r="N80" s="2479" t="str">
        <f t="shared" si="2"/>
        <v>WESTWOOD, ID, Distribution, Unattended</v>
      </c>
    </row>
    <row r="81" spans="1:14" ht="15.75" customHeight="1" x14ac:dyDescent="0.2">
      <c r="A81" s="3003">
        <f t="shared" si="3"/>
        <v>40.082999999999807</v>
      </c>
      <c r="B81" s="2512" t="s">
        <v>11059</v>
      </c>
      <c r="C81" s="2489" t="s">
        <v>512</v>
      </c>
      <c r="D81" s="2489" t="s">
        <v>10937</v>
      </c>
      <c r="E81" s="3041">
        <v>69</v>
      </c>
      <c r="F81" s="3041">
        <v>24.9</v>
      </c>
      <c r="G81" s="2488"/>
      <c r="H81" s="2752">
        <v>22</v>
      </c>
      <c r="I81" s="2752">
        <v>1</v>
      </c>
      <c r="J81" s="2488"/>
      <c r="K81" s="2614"/>
      <c r="L81" s="2488"/>
      <c r="M81" s="2614"/>
      <c r="N81" s="2479" t="str">
        <f t="shared" si="2"/>
        <v>WINSPER, ID, Distribution, Unattended</v>
      </c>
    </row>
    <row r="82" spans="1:14" ht="15.75" customHeight="1" x14ac:dyDescent="0.2">
      <c r="A82" s="3003">
        <f t="shared" si="3"/>
        <v>40.083999999999804</v>
      </c>
      <c r="B82" s="2512" t="s">
        <v>10712</v>
      </c>
      <c r="C82" s="2489" t="s">
        <v>106</v>
      </c>
      <c r="D82" s="2489" t="s">
        <v>10981</v>
      </c>
      <c r="E82" s="3041">
        <v>161</v>
      </c>
      <c r="F82" s="3041">
        <v>138</v>
      </c>
      <c r="G82" s="3043">
        <v>12.47</v>
      </c>
      <c r="H82" s="2752">
        <v>217</v>
      </c>
      <c r="I82" s="2752">
        <v>2</v>
      </c>
      <c r="J82" s="2488"/>
      <c r="K82" s="2614"/>
      <c r="L82" s="2488"/>
      <c r="M82" s="2614"/>
      <c r="N82" s="2479" t="str">
        <f t="shared" si="2"/>
        <v>GRACE, ID, Transmission, Attended</v>
      </c>
    </row>
    <row r="83" spans="1:14" ht="15.75" customHeight="1" x14ac:dyDescent="0.2">
      <c r="A83" s="3003">
        <f t="shared" si="3"/>
        <v>40.084999999999802</v>
      </c>
      <c r="B83" s="2744" t="s">
        <v>10606</v>
      </c>
      <c r="C83" s="2489" t="s">
        <v>106</v>
      </c>
      <c r="D83" s="2489" t="s">
        <v>10937</v>
      </c>
      <c r="E83" s="3041">
        <v>230</v>
      </c>
      <c r="F83" s="3041">
        <v>161</v>
      </c>
      <c r="G83" s="3043">
        <v>13.8</v>
      </c>
      <c r="H83" s="2752">
        <v>419</v>
      </c>
      <c r="I83" s="2752">
        <v>3</v>
      </c>
      <c r="J83" s="2750">
        <v>1</v>
      </c>
      <c r="K83" s="2614"/>
      <c r="L83" s="2488"/>
      <c r="M83" s="2614"/>
      <c r="N83" s="2479" t="str">
        <f t="shared" si="2"/>
        <v>ANTELOPE, ID, Transmission, Unattended</v>
      </c>
    </row>
    <row r="84" spans="1:14" ht="15.75" customHeight="1" x14ac:dyDescent="0.2">
      <c r="A84" s="3003">
        <f t="shared" si="3"/>
        <v>40.0859999999998</v>
      </c>
      <c r="B84" s="2744" t="s">
        <v>10706</v>
      </c>
      <c r="C84" s="2489" t="s">
        <v>106</v>
      </c>
      <c r="D84" s="2489" t="s">
        <v>10937</v>
      </c>
      <c r="E84" s="3041">
        <v>161</v>
      </c>
      <c r="F84" s="3041">
        <v>69</v>
      </c>
      <c r="G84" s="3043">
        <v>12.47</v>
      </c>
      <c r="H84" s="2752">
        <v>67</v>
      </c>
      <c r="I84" s="2752">
        <v>1</v>
      </c>
      <c r="J84" s="2488"/>
      <c r="K84" s="2614"/>
      <c r="L84" s="2488"/>
      <c r="M84" s="2614"/>
      <c r="N84" s="2479" t="str">
        <f t="shared" si="2"/>
        <v>BIG GRASSY, ID, Transmission, Unattended</v>
      </c>
    </row>
    <row r="85" spans="1:14" ht="15.75" customHeight="1" x14ac:dyDescent="0.2">
      <c r="A85" s="3003">
        <f t="shared" si="3"/>
        <v>40.086999999999797</v>
      </c>
      <c r="B85" s="2512" t="s">
        <v>10709</v>
      </c>
      <c r="C85" s="2489" t="s">
        <v>106</v>
      </c>
      <c r="D85" s="2489" t="s">
        <v>10937</v>
      </c>
      <c r="E85" s="3041">
        <v>161</v>
      </c>
      <c r="F85" s="3041">
        <v>69</v>
      </c>
      <c r="G85" s="3043">
        <v>6.6</v>
      </c>
      <c r="H85" s="2752">
        <v>67</v>
      </c>
      <c r="I85" s="2752">
        <v>1</v>
      </c>
      <c r="J85" s="2488"/>
      <c r="K85" s="2614"/>
      <c r="L85" s="2488"/>
      <c r="M85" s="2614"/>
      <c r="N85" s="2479" t="str">
        <f t="shared" si="2"/>
        <v>BONNEVILLE, ID, Transmission, Unattended</v>
      </c>
    </row>
    <row r="86" spans="1:14" ht="15.75" customHeight="1" x14ac:dyDescent="0.2">
      <c r="A86" s="3003">
        <f t="shared" si="3"/>
        <v>40.087999999999795</v>
      </c>
      <c r="B86" s="2512" t="s">
        <v>11060</v>
      </c>
      <c r="C86" s="2489" t="s">
        <v>106</v>
      </c>
      <c r="D86" s="2489" t="s">
        <v>10937</v>
      </c>
      <c r="E86" s="3041">
        <v>138</v>
      </c>
      <c r="F86" s="3041">
        <v>46</v>
      </c>
      <c r="G86" s="3043">
        <v>12.47</v>
      </c>
      <c r="H86" s="2752">
        <v>67</v>
      </c>
      <c r="I86" s="2752">
        <v>1</v>
      </c>
      <c r="J86" s="2488"/>
      <c r="K86" s="2614"/>
      <c r="L86" s="2488"/>
      <c r="M86" s="2614"/>
      <c r="N86" s="2479" t="str">
        <f t="shared" si="2"/>
        <v>CONDA, ID, Transmission, Unattended</v>
      </c>
    </row>
    <row r="87" spans="1:14" ht="15.75" customHeight="1" x14ac:dyDescent="0.2">
      <c r="A87" s="3003">
        <f t="shared" si="3"/>
        <v>40.088999999999793</v>
      </c>
      <c r="B87" s="2512" t="s">
        <v>11061</v>
      </c>
      <c r="C87" s="2489" t="s">
        <v>106</v>
      </c>
      <c r="D87" s="2489" t="s">
        <v>10937</v>
      </c>
      <c r="E87" s="3041">
        <v>161</v>
      </c>
      <c r="F87" s="3041">
        <v>46</v>
      </c>
      <c r="G87" s="3043">
        <v>6.6</v>
      </c>
      <c r="H87" s="2752">
        <v>25</v>
      </c>
      <c r="I87" s="2752">
        <v>3</v>
      </c>
      <c r="J87" s="2750">
        <v>1</v>
      </c>
      <c r="K87" s="2614"/>
      <c r="L87" s="2488"/>
      <c r="M87" s="2614"/>
      <c r="N87" s="2479" t="str">
        <f t="shared" si="2"/>
        <v>FISHCREEK, ID, Transmission, Unattended</v>
      </c>
    </row>
    <row r="88" spans="1:14" ht="15.75" customHeight="1" x14ac:dyDescent="0.2">
      <c r="A88" s="3003">
        <f t="shared" si="3"/>
        <v>40.08999999999979</v>
      </c>
      <c r="B88" s="2744" t="s">
        <v>10583</v>
      </c>
      <c r="C88" s="2489" t="s">
        <v>106</v>
      </c>
      <c r="D88" s="2489" t="s">
        <v>10937</v>
      </c>
      <c r="E88" s="3041">
        <v>345</v>
      </c>
      <c r="F88" s="3041">
        <v>161</v>
      </c>
      <c r="G88" s="3043">
        <v>13.8</v>
      </c>
      <c r="H88" s="2752">
        <v>1608</v>
      </c>
      <c r="I88" s="2752">
        <v>5</v>
      </c>
      <c r="J88" s="2488"/>
      <c r="K88" s="2614"/>
      <c r="L88" s="2488"/>
      <c r="M88" s="2614"/>
      <c r="N88" s="2479" t="str">
        <f t="shared" si="2"/>
        <v>GOSHEN, ID, Transmission, Unattended</v>
      </c>
    </row>
    <row r="89" spans="1:14" ht="15.75" customHeight="1" x14ac:dyDescent="0.2">
      <c r="A89" s="3003">
        <f t="shared" si="3"/>
        <v>40.090999999999788</v>
      </c>
      <c r="B89" s="2744" t="s">
        <v>10707</v>
      </c>
      <c r="C89" s="2489" t="s">
        <v>106</v>
      </c>
      <c r="D89" s="2489" t="s">
        <v>10937</v>
      </c>
      <c r="E89" s="3041">
        <v>161</v>
      </c>
      <c r="F89" s="3041">
        <v>69</v>
      </c>
      <c r="G89" s="3043">
        <v>6.6</v>
      </c>
      <c r="H89" s="2752">
        <v>133</v>
      </c>
      <c r="I89" s="2558">
        <v>2</v>
      </c>
      <c r="J89" s="2488"/>
      <c r="K89" s="2614"/>
      <c r="L89" s="2488"/>
      <c r="M89" s="2614"/>
      <c r="N89" s="2479" t="str">
        <f t="shared" si="2"/>
        <v>JEFFERSON, ID, Transmission, Unattended</v>
      </c>
    </row>
    <row r="90" spans="1:14" ht="15.75" customHeight="1" x14ac:dyDescent="0.2">
      <c r="A90" s="3003">
        <f t="shared" si="3"/>
        <v>40.091999999999786</v>
      </c>
      <c r="B90" s="2512" t="s">
        <v>11062</v>
      </c>
      <c r="C90" s="2489" t="s">
        <v>106</v>
      </c>
      <c r="D90" s="2489" t="s">
        <v>10937</v>
      </c>
      <c r="E90" s="3041">
        <v>138</v>
      </c>
      <c r="F90" s="3041">
        <v>69</v>
      </c>
      <c r="G90" s="3043">
        <v>6.6</v>
      </c>
      <c r="H90" s="2752">
        <v>39</v>
      </c>
      <c r="I90" s="2752">
        <v>4</v>
      </c>
      <c r="J90" s="2750">
        <v>1</v>
      </c>
      <c r="K90" s="2614"/>
      <c r="L90" s="2488"/>
      <c r="M90" s="2614"/>
      <c r="N90" s="2479" t="str">
        <f t="shared" si="2"/>
        <v>MALAD, ID, Transmission, Unattended</v>
      </c>
    </row>
    <row r="91" spans="1:14" ht="15.75" customHeight="1" x14ac:dyDescent="0.2">
      <c r="A91" s="3003">
        <f t="shared" si="3"/>
        <v>40.092999999999783</v>
      </c>
      <c r="B91" s="2744" t="s">
        <v>10533</v>
      </c>
      <c r="C91" s="2489" t="s">
        <v>106</v>
      </c>
      <c r="D91" s="2489" t="s">
        <v>10937</v>
      </c>
      <c r="E91" s="3041">
        <v>500</v>
      </c>
      <c r="F91" s="3041">
        <v>345</v>
      </c>
      <c r="G91" s="3043">
        <v>34.5</v>
      </c>
      <c r="H91" s="2752">
        <v>1500</v>
      </c>
      <c r="I91" s="2752">
        <v>3</v>
      </c>
      <c r="J91" s="2488"/>
      <c r="K91" s="2614"/>
      <c r="L91" s="2488"/>
      <c r="M91" s="2614"/>
      <c r="N91" s="2479" t="str">
        <f t="shared" si="2"/>
        <v>MIDPOINT, ID, Transmission, Unattended</v>
      </c>
    </row>
    <row r="92" spans="1:14" ht="15.75" customHeight="1" x14ac:dyDescent="0.2">
      <c r="A92" s="3003">
        <f t="shared" si="3"/>
        <v>40.093999999999781</v>
      </c>
      <c r="B92" s="2512" t="s">
        <v>11063</v>
      </c>
      <c r="C92" s="2489" t="s">
        <v>106</v>
      </c>
      <c r="D92" s="2489" t="s">
        <v>10937</v>
      </c>
      <c r="E92" s="3041">
        <v>138</v>
      </c>
      <c r="F92" s="3041">
        <v>69</v>
      </c>
      <c r="G92" s="3043">
        <v>12.47</v>
      </c>
      <c r="H92" s="2752">
        <v>105</v>
      </c>
      <c r="I92" s="2752">
        <v>2</v>
      </c>
      <c r="J92" s="2488"/>
      <c r="K92" s="2614"/>
      <c r="L92" s="2488"/>
      <c r="M92" s="2614"/>
      <c r="N92" s="2479" t="str">
        <f t="shared" si="2"/>
        <v>OVID, ID, Transmission, Unattended</v>
      </c>
    </row>
    <row r="93" spans="1:14" ht="15.75" customHeight="1" x14ac:dyDescent="0.2">
      <c r="A93" s="3003">
        <f t="shared" si="3"/>
        <v>40.094999999999779</v>
      </c>
      <c r="B93" s="2512" t="s">
        <v>10713</v>
      </c>
      <c r="C93" s="2489" t="s">
        <v>106</v>
      </c>
      <c r="D93" s="2489" t="s">
        <v>10937</v>
      </c>
      <c r="E93" s="3041">
        <v>161</v>
      </c>
      <c r="F93" s="3041">
        <v>69</v>
      </c>
      <c r="G93" s="3043">
        <v>13.8</v>
      </c>
      <c r="H93" s="2752">
        <v>229</v>
      </c>
      <c r="I93" s="2752">
        <v>4</v>
      </c>
      <c r="J93" s="2750">
        <v>1</v>
      </c>
      <c r="K93" s="2614"/>
      <c r="L93" s="2488"/>
      <c r="M93" s="2614"/>
      <c r="N93" s="2479" t="str">
        <f t="shared" si="2"/>
        <v>RIGBY, ID, Transmission, Unattended</v>
      </c>
    </row>
    <row r="94" spans="1:14" ht="15.75" customHeight="1" x14ac:dyDescent="0.2">
      <c r="A94" s="3003">
        <f t="shared" si="3"/>
        <v>40.095999999999776</v>
      </c>
      <c r="B94" s="2512" t="s">
        <v>11064</v>
      </c>
      <c r="C94" s="2489" t="s">
        <v>106</v>
      </c>
      <c r="D94" s="2489" t="s">
        <v>10937</v>
      </c>
      <c r="E94" s="3041">
        <v>138</v>
      </c>
      <c r="F94" s="3041">
        <v>69</v>
      </c>
      <c r="G94" s="3043">
        <v>13.8</v>
      </c>
      <c r="H94" s="2752">
        <v>67</v>
      </c>
      <c r="I94" s="2752">
        <v>1</v>
      </c>
      <c r="J94" s="2488"/>
      <c r="K94" s="2614"/>
      <c r="L94" s="2488"/>
      <c r="M94" s="2614"/>
      <c r="N94" s="2479" t="str">
        <f t="shared" si="2"/>
        <v>SCOVILLE, ID, Transmission, Unattended</v>
      </c>
    </row>
    <row r="95" spans="1:14" ht="15.75" customHeight="1" x14ac:dyDescent="0.2">
      <c r="A95" s="3003">
        <f t="shared" si="3"/>
        <v>40.096999999999774</v>
      </c>
      <c r="B95" s="2512" t="s">
        <v>10714</v>
      </c>
      <c r="C95" s="2489" t="s">
        <v>106</v>
      </c>
      <c r="D95" s="2489" t="s">
        <v>10937</v>
      </c>
      <c r="E95" s="3041">
        <v>161</v>
      </c>
      <c r="F95" s="3041">
        <v>69</v>
      </c>
      <c r="G95" s="3043">
        <v>12.47</v>
      </c>
      <c r="H95" s="2752">
        <v>268</v>
      </c>
      <c r="I95" s="2752">
        <v>4</v>
      </c>
      <c r="J95" s="2488"/>
      <c r="K95" s="2614"/>
      <c r="L95" s="2488"/>
      <c r="M95" s="2614"/>
      <c r="N95" s="2479" t="str">
        <f t="shared" si="2"/>
        <v>SUGARMILL, ID, Transmission, Unattended</v>
      </c>
    </row>
    <row r="96" spans="1:14" ht="15.75" customHeight="1" x14ac:dyDescent="0.2">
      <c r="A96" s="3003">
        <f t="shared" si="3"/>
        <v>40.097999999999772</v>
      </c>
      <c r="B96" s="2744" t="s">
        <v>10734</v>
      </c>
      <c r="C96" s="2489" t="s">
        <v>106</v>
      </c>
      <c r="D96" s="2489" t="s">
        <v>10937</v>
      </c>
      <c r="E96" s="3041">
        <v>345</v>
      </c>
      <c r="F96" s="3041">
        <v>138</v>
      </c>
      <c r="G96" s="3043">
        <v>13.2</v>
      </c>
      <c r="H96" s="2752">
        <v>775</v>
      </c>
      <c r="I96" s="2752">
        <v>2</v>
      </c>
      <c r="J96" s="2488"/>
      <c r="K96" s="2614"/>
      <c r="L96" s="2488"/>
      <c r="M96" s="2614"/>
      <c r="N96" s="2479" t="str">
        <f t="shared" si="2"/>
        <v>THREEMILE KNOLL, ID, Transmission, Unattended</v>
      </c>
    </row>
    <row r="97" spans="1:14" ht="5.85" customHeight="1" x14ac:dyDescent="0.2">
      <c r="A97" s="3065"/>
      <c r="B97" s="3065"/>
      <c r="C97" s="3066"/>
      <c r="D97" s="3066"/>
      <c r="E97" s="3065"/>
      <c r="F97" s="3065"/>
      <c r="G97" s="3065"/>
      <c r="H97" s="3065"/>
      <c r="I97" s="3065"/>
      <c r="J97" s="3065"/>
      <c r="K97" s="3065"/>
      <c r="L97" s="3065"/>
      <c r="M97" s="3065"/>
    </row>
    <row r="98" spans="1:14" ht="15.75" customHeight="1" x14ac:dyDescent="0.2">
      <c r="A98" s="2812"/>
      <c r="B98" s="2669" t="s">
        <v>11065</v>
      </c>
      <c r="C98" s="2498" t="s">
        <v>512</v>
      </c>
      <c r="D98" s="2498" t="s">
        <v>10981</v>
      </c>
      <c r="E98" s="2812"/>
      <c r="F98" s="2812"/>
      <c r="G98" s="2668"/>
      <c r="H98" s="3067">
        <f>SUMIFS(H10:H96,C10:C96,C98,D10:D96,D98)</f>
        <v>19</v>
      </c>
      <c r="I98" s="2812"/>
      <c r="J98" s="2668"/>
      <c r="K98" s="2812"/>
      <c r="L98" s="2668"/>
      <c r="M98" s="2812"/>
      <c r="N98" s="2855" t="str">
        <f>CONCATENATE(B98,", ",C98,", ",D98)</f>
        <v>Total Idaho, Distribution, Attended</v>
      </c>
    </row>
    <row r="99" spans="1:14" ht="15.75" customHeight="1" x14ac:dyDescent="0.2">
      <c r="A99" s="2812"/>
      <c r="B99" s="2669" t="s">
        <v>11065</v>
      </c>
      <c r="C99" s="2498" t="s">
        <v>512</v>
      </c>
      <c r="D99" s="2498" t="s">
        <v>10937</v>
      </c>
      <c r="E99" s="2812"/>
      <c r="F99" s="2812"/>
      <c r="G99" s="2668"/>
      <c r="H99" s="3067">
        <f>SUMIFS(H10:H96,C10:C96,C99,D10:D96,D99)</f>
        <v>1755</v>
      </c>
      <c r="I99" s="2812"/>
      <c r="J99" s="2668"/>
      <c r="K99" s="2812"/>
      <c r="L99" s="2668"/>
      <c r="M99" s="2812"/>
      <c r="N99" s="2855" t="str">
        <f>CONCATENATE(B99,", ",C99,", ",D99)</f>
        <v>Total Idaho, Distribution, Unattended</v>
      </c>
    </row>
    <row r="100" spans="1:14" ht="15.75" customHeight="1" x14ac:dyDescent="0.2">
      <c r="A100" s="2812"/>
      <c r="B100" s="2669" t="s">
        <v>11065</v>
      </c>
      <c r="C100" s="2498" t="s">
        <v>106</v>
      </c>
      <c r="D100" s="2498" t="s">
        <v>10981</v>
      </c>
      <c r="E100" s="2812"/>
      <c r="F100" s="2812"/>
      <c r="G100" s="2668"/>
      <c r="H100" s="3067">
        <f>SUMIFS(H10:H96,C10:C96,C100,D10:D96,D100)</f>
        <v>217</v>
      </c>
      <c r="I100" s="2812"/>
      <c r="J100" s="2668"/>
      <c r="K100" s="2812"/>
      <c r="L100" s="2668"/>
      <c r="M100" s="2812"/>
      <c r="N100" s="2855" t="str">
        <f>CONCATENATE(B100,", ",C100,", ",D100)</f>
        <v>Total Idaho, Transmission, Attended</v>
      </c>
    </row>
    <row r="101" spans="1:14" ht="15.75" customHeight="1" x14ac:dyDescent="0.2">
      <c r="A101" s="2812"/>
      <c r="B101" s="2669" t="s">
        <v>11065</v>
      </c>
      <c r="C101" s="2498" t="s">
        <v>106</v>
      </c>
      <c r="D101" s="2498" t="s">
        <v>10937</v>
      </c>
      <c r="E101" s="2812"/>
      <c r="F101" s="2812"/>
      <c r="G101" s="2668"/>
      <c r="H101" s="3067">
        <f>SUMIFS(H10:H96,C10:C96,C101,D10:D96,D101)</f>
        <v>5369</v>
      </c>
      <c r="I101" s="2812"/>
      <c r="J101" s="2668"/>
      <c r="K101" s="2812"/>
      <c r="L101" s="2668"/>
      <c r="M101" s="2812"/>
      <c r="N101" s="2855" t="str">
        <f>CONCATENATE(B101,", ",C101,", ",D101)</f>
        <v>Total Idaho, Transmission, Unattended</v>
      </c>
    </row>
    <row r="102" spans="1:14" ht="15.75" customHeight="1" x14ac:dyDescent="0.2">
      <c r="A102" s="2516"/>
      <c r="B102" s="2516"/>
      <c r="C102" s="2516"/>
      <c r="D102" s="2516"/>
      <c r="E102" s="2516"/>
      <c r="F102" s="2516"/>
      <c r="G102" s="2683"/>
      <c r="H102" s="3068" t="b">
        <f>SUM(H10:H96)=SUM(H98:H101)</f>
        <v>1</v>
      </c>
      <c r="I102" s="2883"/>
      <c r="J102" s="2516"/>
      <c r="K102" s="2516"/>
      <c r="L102" s="2516"/>
      <c r="M102" s="2516"/>
    </row>
    <row r="103" spans="1:14" ht="15.75" customHeight="1" x14ac:dyDescent="0.2">
      <c r="H103" s="2516"/>
    </row>
    <row r="104" spans="1:14" ht="15.75" customHeight="1" x14ac:dyDescent="0.2"/>
    <row r="105" spans="1:14" ht="15" customHeight="1" x14ac:dyDescent="0.2"/>
  </sheetData>
  <mergeCells count="14">
    <mergeCell ref="J7:J8"/>
    <mergeCell ref="K7:M7"/>
    <mergeCell ref="A7:A9"/>
    <mergeCell ref="B7:B8"/>
    <mergeCell ref="C7:D7"/>
    <mergeCell ref="E7:G7"/>
    <mergeCell ref="H7:H8"/>
    <mergeCell ref="I7:I8"/>
    <mergeCell ref="C2:H2"/>
    <mergeCell ref="A4:M4"/>
    <mergeCell ref="A5:G5"/>
    <mergeCell ref="H5:M5"/>
    <mergeCell ref="A6:G6"/>
    <mergeCell ref="H6:M6"/>
  </mergeCells>
  <pageMargins left="0.75" right="0.75" top="1" bottom="1" header="0.5" footer="0.5"/>
  <customProperties>
    <customPr name="_pios_id" r:id="rId1"/>
  </customProperties>
</worksheet>
</file>

<file path=xl/worksheets/sheet1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4DC5A8-2F24-4262-AF2F-164BCD8DD4E6}">
  <sheetPr codeName="Sheet112"/>
  <dimension ref="A1:O19"/>
  <sheetViews>
    <sheetView workbookViewId="0">
      <pane xSplit="2" ySplit="9" topLeftCell="C10" activePane="bottomRight" state="frozen"/>
      <selection pane="topRight"/>
      <selection pane="bottomLeft"/>
      <selection pane="bottomRight"/>
    </sheetView>
  </sheetViews>
  <sheetFormatPr defaultColWidth="11.5" defaultRowHeight="12.75" x14ac:dyDescent="0.2"/>
  <cols>
    <col min="1" max="1" width="6.5" style="1953" customWidth="1"/>
    <col min="2" max="2" width="22" style="1953" customWidth="1"/>
    <col min="3" max="10" width="17.625" style="1953" customWidth="1"/>
    <col min="11" max="11" width="28.125" style="1953" customWidth="1"/>
    <col min="12" max="13" width="12.125" style="1953" customWidth="1"/>
    <col min="14" max="14" width="32.75" style="1953" customWidth="1"/>
    <col min="15" max="15" width="31.125" style="1953" customWidth="1"/>
    <col min="16" max="26" width="17.625" style="1953" customWidth="1"/>
    <col min="27" max="16384" width="11.5" style="1953"/>
  </cols>
  <sheetData>
    <row r="1" spans="1:15" ht="16.7" customHeight="1" x14ac:dyDescent="0.2"/>
    <row r="2" spans="1:15" ht="16.7" customHeight="1" x14ac:dyDescent="0.2">
      <c r="B2" s="2744" t="s">
        <v>7058</v>
      </c>
      <c r="C2" s="4182" t="s">
        <v>10989</v>
      </c>
      <c r="D2" s="4183"/>
      <c r="E2" s="4183"/>
      <c r="F2" s="4183"/>
      <c r="G2" s="4183"/>
      <c r="H2" s="4184"/>
      <c r="I2" s="2479"/>
    </row>
    <row r="3" spans="1:15" ht="16.7" customHeight="1" x14ac:dyDescent="0.2">
      <c r="A3" s="3070">
        <f>COUNTA(B10:B12)</f>
        <v>3</v>
      </c>
      <c r="B3" s="2623" t="s">
        <v>11066</v>
      </c>
      <c r="C3" s="2806"/>
      <c r="D3" s="2483"/>
      <c r="E3" s="2483"/>
      <c r="F3" s="2483"/>
      <c r="G3" s="2483"/>
      <c r="H3" s="2483"/>
    </row>
    <row r="4" spans="1:15" ht="16.7" customHeight="1" x14ac:dyDescent="0.2">
      <c r="A4" s="3932" t="s">
        <v>10915</v>
      </c>
      <c r="B4" s="3975"/>
      <c r="C4" s="3975"/>
      <c r="D4" s="3975"/>
      <c r="E4" s="3975"/>
      <c r="F4" s="3975"/>
      <c r="G4" s="3975"/>
      <c r="H4" s="3975"/>
      <c r="I4" s="3975"/>
      <c r="J4" s="3975"/>
      <c r="K4" s="3975"/>
      <c r="L4" s="3975"/>
      <c r="M4" s="3976"/>
      <c r="N4" s="2479"/>
    </row>
    <row r="5" spans="1:15" ht="59.1" customHeight="1" x14ac:dyDescent="0.2">
      <c r="A5" s="3878" t="s">
        <v>10916</v>
      </c>
      <c r="B5" s="3879"/>
      <c r="C5" s="3879"/>
      <c r="D5" s="3879"/>
      <c r="E5" s="3879"/>
      <c r="F5" s="3879"/>
      <c r="G5" s="3880"/>
      <c r="H5" s="3878" t="s">
        <v>10917</v>
      </c>
      <c r="I5" s="3879"/>
      <c r="J5" s="3879"/>
      <c r="K5" s="3879"/>
      <c r="L5" s="3879"/>
      <c r="M5" s="3880"/>
      <c r="N5" s="2479"/>
    </row>
    <row r="6" spans="1:15" ht="16.7" customHeight="1" x14ac:dyDescent="0.2">
      <c r="A6" s="3882" t="s">
        <v>10918</v>
      </c>
      <c r="B6" s="3883"/>
      <c r="C6" s="3883"/>
      <c r="D6" s="3883"/>
      <c r="E6" s="3883"/>
      <c r="F6" s="3883"/>
      <c r="G6" s="3884"/>
      <c r="H6" s="3882" t="s">
        <v>10919</v>
      </c>
      <c r="I6" s="3891"/>
      <c r="J6" s="3891"/>
      <c r="K6" s="3891"/>
      <c r="L6" s="3891"/>
      <c r="M6" s="3892"/>
      <c r="N6" s="2479"/>
    </row>
    <row r="7" spans="1:15" ht="16.7" customHeight="1" x14ac:dyDescent="0.2">
      <c r="A7" s="3922" t="s">
        <v>6360</v>
      </c>
      <c r="B7" s="3922" t="s">
        <v>10920</v>
      </c>
      <c r="C7" s="4186" t="s">
        <v>10921</v>
      </c>
      <c r="D7" s="4187"/>
      <c r="E7" s="3882" t="s">
        <v>10922</v>
      </c>
      <c r="F7" s="3891"/>
      <c r="G7" s="3892"/>
      <c r="H7" s="3922" t="s">
        <v>10923</v>
      </c>
      <c r="I7" s="3922" t="s">
        <v>10924</v>
      </c>
      <c r="J7" s="3922" t="s">
        <v>10925</v>
      </c>
      <c r="K7" s="3882" t="s">
        <v>10926</v>
      </c>
      <c r="L7" s="3891"/>
      <c r="M7" s="3892"/>
      <c r="N7" s="2479"/>
    </row>
    <row r="8" spans="1:15" ht="27.6" customHeight="1" x14ac:dyDescent="0.2">
      <c r="A8" s="4185"/>
      <c r="B8" s="4185"/>
      <c r="C8" s="2824" t="s">
        <v>10927</v>
      </c>
      <c r="D8" s="2586" t="s">
        <v>10928</v>
      </c>
      <c r="E8" s="2581" t="s">
        <v>10929</v>
      </c>
      <c r="F8" s="2581" t="s">
        <v>10930</v>
      </c>
      <c r="G8" s="2581" t="s">
        <v>10931</v>
      </c>
      <c r="H8" s="4185"/>
      <c r="I8" s="4185"/>
      <c r="J8" s="4185"/>
      <c r="K8" s="2581" t="s">
        <v>10932</v>
      </c>
      <c r="L8" s="2581" t="s">
        <v>10146</v>
      </c>
      <c r="M8" s="2581" t="s">
        <v>10933</v>
      </c>
      <c r="N8" s="2479"/>
    </row>
    <row r="9" spans="1:15" ht="16.7" customHeight="1" x14ac:dyDescent="0.2">
      <c r="A9" s="3961"/>
      <c r="B9" s="2757" t="s">
        <v>5949</v>
      </c>
      <c r="C9" s="2589" t="s">
        <v>5950</v>
      </c>
      <c r="D9" s="2589" t="s">
        <v>10934</v>
      </c>
      <c r="E9" s="2589" t="s">
        <v>5951</v>
      </c>
      <c r="F9" s="2589" t="s">
        <v>5952</v>
      </c>
      <c r="G9" s="2589" t="s">
        <v>6227</v>
      </c>
      <c r="H9" s="2589" t="s">
        <v>5804</v>
      </c>
      <c r="I9" s="2589" t="s">
        <v>6228</v>
      </c>
      <c r="J9" s="2589" t="s">
        <v>6229</v>
      </c>
      <c r="K9" s="2589" t="s">
        <v>6230</v>
      </c>
      <c r="L9" s="2589" t="s">
        <v>6231</v>
      </c>
      <c r="M9" s="2589" t="s">
        <v>6232</v>
      </c>
      <c r="N9" s="2479" t="s">
        <v>6324</v>
      </c>
      <c r="O9" s="2576" t="s">
        <v>10935</v>
      </c>
    </row>
    <row r="10" spans="1:15" ht="19.149999999999999" customHeight="1" x14ac:dyDescent="0.2">
      <c r="A10" s="3003">
        <f>'Pg 426 - Substations - ID'!A96+0.001</f>
        <v>40.098999999999769</v>
      </c>
      <c r="B10" s="2744" t="s">
        <v>11067</v>
      </c>
      <c r="C10" s="2489" t="s">
        <v>106</v>
      </c>
      <c r="D10" s="2489" t="s">
        <v>10981</v>
      </c>
      <c r="E10" s="3041">
        <v>500</v>
      </c>
      <c r="F10" s="3041">
        <v>230</v>
      </c>
      <c r="G10" s="2488"/>
      <c r="H10" s="2752">
        <v>68</v>
      </c>
      <c r="I10" s="2752">
        <v>2</v>
      </c>
      <c r="J10" s="2488"/>
      <c r="K10" s="2614"/>
      <c r="L10" s="2488"/>
      <c r="M10" s="2614"/>
      <c r="N10" s="2479" t="str">
        <f>CONCATENATE(B10,", ",C10,", ",D10)</f>
        <v>COLSTRIP, MT, Transmission, Attended</v>
      </c>
    </row>
    <row r="11" spans="1:15" ht="16.7" customHeight="1" x14ac:dyDescent="0.2">
      <c r="A11" s="3003">
        <f>A10+0.001</f>
        <v>40.099999999999767</v>
      </c>
      <c r="B11" s="2744" t="s">
        <v>10516</v>
      </c>
      <c r="C11" s="2489" t="s">
        <v>106</v>
      </c>
      <c r="D11" s="2489" t="s">
        <v>10937</v>
      </c>
      <c r="E11" s="3041">
        <v>500</v>
      </c>
      <c r="F11" s="3041">
        <v>230</v>
      </c>
      <c r="G11" s="2488"/>
      <c r="H11" s="2752">
        <v>32</v>
      </c>
      <c r="I11" s="2752">
        <v>2</v>
      </c>
      <c r="J11" s="2488"/>
      <c r="K11" s="2614"/>
      <c r="L11" s="2488"/>
      <c r="M11" s="2614"/>
      <c r="N11" s="2479" t="str">
        <f>CONCATENATE(B11,", ",C11,", ",D11)</f>
        <v>BROADVIEW, MT, Transmission, Unattended</v>
      </c>
    </row>
    <row r="12" spans="1:15" ht="16.7" customHeight="1" x14ac:dyDescent="0.2">
      <c r="A12" s="3003">
        <f>A11+0.001</f>
        <v>40.100999999999765</v>
      </c>
      <c r="B12" s="2512" t="s">
        <v>10681</v>
      </c>
      <c r="C12" s="2489" t="s">
        <v>106</v>
      </c>
      <c r="D12" s="2489" t="s">
        <v>10937</v>
      </c>
      <c r="E12" s="3041">
        <v>230</v>
      </c>
      <c r="F12" s="3041">
        <v>161</v>
      </c>
      <c r="G12" s="3043">
        <v>13.2</v>
      </c>
      <c r="H12" s="2752">
        <v>100</v>
      </c>
      <c r="I12" s="2752">
        <v>1</v>
      </c>
      <c r="J12" s="2488"/>
      <c r="K12" s="2614"/>
      <c r="L12" s="2488"/>
      <c r="M12" s="2614"/>
      <c r="N12" s="2479" t="str">
        <f>CONCATENATE(B12,", ",C12,", ",D12)</f>
        <v>YELLOWTAIL, MT, Transmission, Unattended</v>
      </c>
    </row>
    <row r="13" spans="1:15" ht="7.5" customHeight="1" x14ac:dyDescent="0.2">
      <c r="A13" s="3065"/>
      <c r="B13" s="3065"/>
      <c r="C13" s="3066"/>
      <c r="D13" s="3066"/>
      <c r="E13" s="3065"/>
      <c r="F13" s="3065"/>
      <c r="G13" s="3065"/>
      <c r="H13" s="3065"/>
      <c r="I13" s="3065"/>
      <c r="J13" s="3065"/>
      <c r="K13" s="3065"/>
      <c r="L13" s="3065"/>
      <c r="M13" s="3065"/>
    </row>
    <row r="14" spans="1:15" ht="15.75" customHeight="1" x14ac:dyDescent="0.2">
      <c r="A14" s="2812"/>
      <c r="B14" s="2669" t="s">
        <v>11068</v>
      </c>
      <c r="C14" s="2498" t="s">
        <v>106</v>
      </c>
      <c r="D14" s="2498" t="s">
        <v>10981</v>
      </c>
      <c r="E14" s="2812"/>
      <c r="F14" s="2812"/>
      <c r="G14" s="2668"/>
      <c r="H14" s="3067">
        <f>SUMIFS(H1:H12,C1:C12,C14,D1:D12,D14)</f>
        <v>68</v>
      </c>
      <c r="I14" s="2812"/>
      <c r="J14" s="2668"/>
      <c r="K14" s="2812"/>
      <c r="L14" s="2668"/>
      <c r="M14" s="2812"/>
      <c r="N14" s="2855" t="str">
        <f>CONCATENATE(B14,", ",C14,", ",D14)</f>
        <v>Total Montana, Transmission, Attended</v>
      </c>
    </row>
    <row r="15" spans="1:15" ht="15.75" customHeight="1" x14ac:dyDescent="0.2">
      <c r="A15" s="2812"/>
      <c r="B15" s="2669" t="s">
        <v>11068</v>
      </c>
      <c r="C15" s="2498" t="s">
        <v>106</v>
      </c>
      <c r="D15" s="2498" t="s">
        <v>10937</v>
      </c>
      <c r="E15" s="2812"/>
      <c r="F15" s="2812"/>
      <c r="G15" s="2668"/>
      <c r="H15" s="3067">
        <f>SUMIFS(H1:H12,C1:C12,C15,D1:D12,D15)</f>
        <v>132</v>
      </c>
      <c r="I15" s="2812"/>
      <c r="J15" s="2668"/>
      <c r="K15" s="2812"/>
      <c r="L15" s="2668"/>
      <c r="M15" s="2812"/>
      <c r="N15" s="2855" t="str">
        <f>CONCATENATE(B15,", ",C15,", ",D15)</f>
        <v>Total Montana, Transmission, Unattended</v>
      </c>
    </row>
    <row r="16" spans="1:15" ht="15.75" customHeight="1" x14ac:dyDescent="0.2">
      <c r="A16" s="2516"/>
      <c r="B16" s="2516"/>
      <c r="C16" s="2516"/>
      <c r="D16" s="2516"/>
      <c r="E16" s="2516"/>
      <c r="F16" s="2516"/>
      <c r="G16" s="2683"/>
      <c r="H16" s="3068" t="b">
        <f>SUM(H10:H12)=SUM(H14:H15)</f>
        <v>1</v>
      </c>
      <c r="I16" s="2883"/>
      <c r="J16" s="2516"/>
      <c r="K16" s="2516"/>
      <c r="L16" s="2516"/>
      <c r="M16" s="2516"/>
    </row>
    <row r="17" spans="8:8" ht="15.75" customHeight="1" x14ac:dyDescent="0.2">
      <c r="H17" s="2516"/>
    </row>
    <row r="18" spans="8:8" ht="15.75" customHeight="1" x14ac:dyDescent="0.2"/>
    <row r="19" spans="8:8" ht="15" customHeight="1" x14ac:dyDescent="0.2"/>
  </sheetData>
  <mergeCells count="14">
    <mergeCell ref="J7:J8"/>
    <mergeCell ref="K7:M7"/>
    <mergeCell ref="A7:A9"/>
    <mergeCell ref="B7:B8"/>
    <mergeCell ref="C7:D7"/>
    <mergeCell ref="E7:G7"/>
    <mergeCell ref="H7:H8"/>
    <mergeCell ref="I7:I8"/>
    <mergeCell ref="C2:H2"/>
    <mergeCell ref="A4:M4"/>
    <mergeCell ref="A5:G5"/>
    <mergeCell ref="H5:M5"/>
    <mergeCell ref="A6:G6"/>
    <mergeCell ref="H6:M6"/>
  </mergeCells>
  <pageMargins left="0.75" right="0.75" top="1" bottom="1" header="0.5" footer="0.5"/>
  <customProperties>
    <customPr name="_pios_id" r:id="rId1"/>
  </customProperties>
</worksheet>
</file>

<file path=xl/worksheets/sheet1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736EF3-F7ED-48FC-9775-D55A3148A9F5}">
  <sheetPr codeName="Sheet113"/>
  <dimension ref="A1:O245"/>
  <sheetViews>
    <sheetView workbookViewId="0">
      <pane xSplit="2" ySplit="9" topLeftCell="C10" activePane="bottomRight" state="frozen"/>
      <selection pane="topRight"/>
      <selection pane="bottomLeft"/>
      <selection pane="bottomRight"/>
    </sheetView>
  </sheetViews>
  <sheetFormatPr defaultColWidth="11.5" defaultRowHeight="12.75" x14ac:dyDescent="0.2"/>
  <cols>
    <col min="1" max="1" width="8" style="1953" customWidth="1"/>
    <col min="2" max="2" width="22" style="1953" customWidth="1"/>
    <col min="3" max="10" width="17.625" style="1953" customWidth="1"/>
    <col min="11" max="11" width="28.125" style="1953" customWidth="1"/>
    <col min="12" max="13" width="12.125" style="1953" customWidth="1"/>
    <col min="14" max="14" width="32.75" style="1953" customWidth="1"/>
    <col min="15" max="15" width="31.125" style="1953" customWidth="1"/>
    <col min="16" max="26" width="17.625" style="1953" customWidth="1"/>
    <col min="27" max="16384" width="11.5" style="1953"/>
  </cols>
  <sheetData>
    <row r="1" spans="1:15" ht="16.7" customHeight="1" x14ac:dyDescent="0.2"/>
    <row r="2" spans="1:15" ht="16.7" customHeight="1" x14ac:dyDescent="0.2">
      <c r="B2" s="2744" t="s">
        <v>7058</v>
      </c>
      <c r="C2" s="4182" t="s">
        <v>10989</v>
      </c>
      <c r="D2" s="4183"/>
      <c r="E2" s="4183"/>
      <c r="F2" s="4183"/>
      <c r="G2" s="4183"/>
      <c r="H2" s="4184"/>
      <c r="I2" s="2479"/>
    </row>
    <row r="3" spans="1:15" ht="16.7" customHeight="1" x14ac:dyDescent="0.2">
      <c r="A3" s="3070">
        <f>COUNTA(B10:B238)</f>
        <v>220</v>
      </c>
      <c r="B3" s="2623" t="s">
        <v>11069</v>
      </c>
      <c r="C3" s="2806"/>
      <c r="D3" s="2483"/>
      <c r="E3" s="2483"/>
      <c r="F3" s="2483"/>
      <c r="G3" s="2483"/>
      <c r="H3" s="2483"/>
    </row>
    <row r="4" spans="1:15" ht="16.7" customHeight="1" x14ac:dyDescent="0.2">
      <c r="A4" s="3932" t="s">
        <v>10915</v>
      </c>
      <c r="B4" s="3975"/>
      <c r="C4" s="3975"/>
      <c r="D4" s="3975"/>
      <c r="E4" s="3975"/>
      <c r="F4" s="3975"/>
      <c r="G4" s="3975"/>
      <c r="H4" s="3975"/>
      <c r="I4" s="3975"/>
      <c r="J4" s="3975"/>
      <c r="K4" s="3975"/>
      <c r="L4" s="3975"/>
      <c r="M4" s="3976"/>
      <c r="N4" s="2479"/>
    </row>
    <row r="5" spans="1:15" ht="59.1" customHeight="1" x14ac:dyDescent="0.2">
      <c r="A5" s="3878" t="s">
        <v>10916</v>
      </c>
      <c r="B5" s="3879"/>
      <c r="C5" s="3879"/>
      <c r="D5" s="3879"/>
      <c r="E5" s="3879"/>
      <c r="F5" s="3879"/>
      <c r="G5" s="3880"/>
      <c r="H5" s="3878" t="s">
        <v>10917</v>
      </c>
      <c r="I5" s="3879"/>
      <c r="J5" s="3879"/>
      <c r="K5" s="3879"/>
      <c r="L5" s="3879"/>
      <c r="M5" s="3880"/>
      <c r="N5" s="2479"/>
    </row>
    <row r="6" spans="1:15" ht="16.7" customHeight="1" x14ac:dyDescent="0.2">
      <c r="A6" s="3882" t="s">
        <v>10918</v>
      </c>
      <c r="B6" s="3883"/>
      <c r="C6" s="3883"/>
      <c r="D6" s="3883"/>
      <c r="E6" s="3883"/>
      <c r="F6" s="3883"/>
      <c r="G6" s="3884"/>
      <c r="H6" s="3882" t="s">
        <v>10919</v>
      </c>
      <c r="I6" s="3891"/>
      <c r="J6" s="3891"/>
      <c r="K6" s="3891"/>
      <c r="L6" s="3891"/>
      <c r="M6" s="3892"/>
      <c r="N6" s="2479"/>
    </row>
    <row r="7" spans="1:15" ht="16.7" customHeight="1" x14ac:dyDescent="0.2">
      <c r="A7" s="3922" t="s">
        <v>6360</v>
      </c>
      <c r="B7" s="3922" t="s">
        <v>10920</v>
      </c>
      <c r="C7" s="4186" t="s">
        <v>10921</v>
      </c>
      <c r="D7" s="4187"/>
      <c r="E7" s="3882" t="s">
        <v>10922</v>
      </c>
      <c r="F7" s="3891"/>
      <c r="G7" s="3892"/>
      <c r="H7" s="3922" t="s">
        <v>10923</v>
      </c>
      <c r="I7" s="3922" t="s">
        <v>10924</v>
      </c>
      <c r="J7" s="3922" t="s">
        <v>10925</v>
      </c>
      <c r="K7" s="3882" t="s">
        <v>10926</v>
      </c>
      <c r="L7" s="3891"/>
      <c r="M7" s="3892"/>
      <c r="N7" s="2479"/>
    </row>
    <row r="8" spans="1:15" ht="27.6" customHeight="1" x14ac:dyDescent="0.2">
      <c r="A8" s="4185"/>
      <c r="B8" s="4185"/>
      <c r="C8" s="2824" t="s">
        <v>10927</v>
      </c>
      <c r="D8" s="2586" t="s">
        <v>10928</v>
      </c>
      <c r="E8" s="2581" t="s">
        <v>10929</v>
      </c>
      <c r="F8" s="2581" t="s">
        <v>10930</v>
      </c>
      <c r="G8" s="2581" t="s">
        <v>10931</v>
      </c>
      <c r="H8" s="4185"/>
      <c r="I8" s="4185"/>
      <c r="J8" s="4185"/>
      <c r="K8" s="2581" t="s">
        <v>10932</v>
      </c>
      <c r="L8" s="2581" t="s">
        <v>10146</v>
      </c>
      <c r="M8" s="2581" t="s">
        <v>10933</v>
      </c>
      <c r="N8" s="2479"/>
    </row>
    <row r="9" spans="1:15" ht="16.7" customHeight="1" x14ac:dyDescent="0.2">
      <c r="A9" s="3961"/>
      <c r="B9" s="2757" t="s">
        <v>5949</v>
      </c>
      <c r="C9" s="2589" t="s">
        <v>5950</v>
      </c>
      <c r="D9" s="2589" t="s">
        <v>10934</v>
      </c>
      <c r="E9" s="2589" t="s">
        <v>5951</v>
      </c>
      <c r="F9" s="2589" t="s">
        <v>5952</v>
      </c>
      <c r="G9" s="2589" t="s">
        <v>6227</v>
      </c>
      <c r="H9" s="2589" t="s">
        <v>5804</v>
      </c>
      <c r="I9" s="2589" t="s">
        <v>6228</v>
      </c>
      <c r="J9" s="2589" t="s">
        <v>6229</v>
      </c>
      <c r="K9" s="2589" t="s">
        <v>6230</v>
      </c>
      <c r="L9" s="2589" t="s">
        <v>6231</v>
      </c>
      <c r="M9" s="2589" t="s">
        <v>6232</v>
      </c>
      <c r="N9" s="2479" t="s">
        <v>6324</v>
      </c>
      <c r="O9" s="2576" t="s">
        <v>10935</v>
      </c>
    </row>
    <row r="10" spans="1:15" ht="19.149999999999999" customHeight="1" x14ac:dyDescent="0.2">
      <c r="A10" s="3003">
        <f>'Pg 426 - Substations - MT'!A12+0.001</f>
        <v>40.101999999999762</v>
      </c>
      <c r="B10" s="2512" t="s">
        <v>11070</v>
      </c>
      <c r="C10" s="2512" t="s">
        <v>512</v>
      </c>
      <c r="D10" s="2614" t="s">
        <v>10981</v>
      </c>
      <c r="E10" s="3041">
        <v>69</v>
      </c>
      <c r="F10" s="3041">
        <v>12.47</v>
      </c>
      <c r="G10" s="2488"/>
      <c r="H10" s="2752">
        <v>31</v>
      </c>
      <c r="I10" s="2752">
        <v>3</v>
      </c>
      <c r="J10" s="2488"/>
      <c r="K10" s="2614"/>
      <c r="L10" s="2488"/>
      <c r="M10" s="2614"/>
      <c r="N10" s="2479" t="str">
        <f t="shared" ref="N10:N73" si="0">CONCATENATE(B10,", ",C10,", ",D10)</f>
        <v>BEND, OR, Distribution, Attended</v>
      </c>
    </row>
    <row r="11" spans="1:15" ht="16.7" customHeight="1" x14ac:dyDescent="0.2">
      <c r="A11" s="3003">
        <f t="shared" ref="A11:A74" si="1">A10+0.001</f>
        <v>40.10299999999976</v>
      </c>
      <c r="B11" s="2512" t="s">
        <v>11071</v>
      </c>
      <c r="C11" s="2512" t="s">
        <v>512</v>
      </c>
      <c r="D11" s="2614" t="s">
        <v>10981</v>
      </c>
      <c r="E11" s="3041">
        <v>69</v>
      </c>
      <c r="F11" s="3041">
        <v>12.47</v>
      </c>
      <c r="G11" s="2488"/>
      <c r="H11" s="2752">
        <v>23</v>
      </c>
      <c r="I11" s="2752">
        <v>9</v>
      </c>
      <c r="J11" s="2488"/>
      <c r="K11" s="2614"/>
      <c r="L11" s="2488"/>
      <c r="M11" s="2614"/>
      <c r="N11" s="2479" t="str">
        <f t="shared" si="0"/>
        <v>WESTSIDE, OR, Distribution, Attended</v>
      </c>
    </row>
    <row r="12" spans="1:15" ht="16.7" customHeight="1" x14ac:dyDescent="0.2">
      <c r="A12" s="3003">
        <f t="shared" si="1"/>
        <v>40.103999999999758</v>
      </c>
      <c r="B12" s="2512" t="s">
        <v>11072</v>
      </c>
      <c r="C12" s="2512" t="s">
        <v>512</v>
      </c>
      <c r="D12" s="2614" t="s">
        <v>10937</v>
      </c>
      <c r="E12" s="3041">
        <v>20.8</v>
      </c>
      <c r="F12" s="3041">
        <v>4.16</v>
      </c>
      <c r="G12" s="2488"/>
      <c r="H12" s="2752">
        <v>5</v>
      </c>
      <c r="I12" s="2752">
        <v>1</v>
      </c>
      <c r="J12" s="2488"/>
      <c r="K12" s="2614"/>
      <c r="L12" s="2488"/>
      <c r="M12" s="2614"/>
      <c r="N12" s="2479" t="str">
        <f t="shared" si="0"/>
        <v>26TH STREET, OR, Distribution, Unattended</v>
      </c>
    </row>
    <row r="13" spans="1:15" ht="15.75" customHeight="1" x14ac:dyDescent="0.2">
      <c r="A13" s="3003">
        <f t="shared" si="1"/>
        <v>40.104999999999755</v>
      </c>
      <c r="B13" s="2512" t="s">
        <v>11073</v>
      </c>
      <c r="C13" s="2512" t="s">
        <v>512</v>
      </c>
      <c r="D13" s="2614" t="s">
        <v>10937</v>
      </c>
      <c r="E13" s="3041">
        <v>20.8</v>
      </c>
      <c r="F13" s="3041">
        <v>2.4</v>
      </c>
      <c r="G13" s="2488"/>
      <c r="H13" s="2752">
        <v>15</v>
      </c>
      <c r="I13" s="2752">
        <v>3</v>
      </c>
      <c r="J13" s="2488"/>
      <c r="K13" s="2614"/>
      <c r="L13" s="2488"/>
      <c r="M13" s="2614"/>
      <c r="N13" s="2479" t="str">
        <f t="shared" si="0"/>
        <v>35TH STREET, OR, Distribution, Unattended</v>
      </c>
    </row>
    <row r="14" spans="1:15" ht="16.7" customHeight="1" x14ac:dyDescent="0.2">
      <c r="A14" s="3003">
        <f t="shared" si="1"/>
        <v>40.105999999999753</v>
      </c>
      <c r="B14" s="2512" t="s">
        <v>11074</v>
      </c>
      <c r="C14" s="2512" t="s">
        <v>512</v>
      </c>
      <c r="D14" s="2614" t="s">
        <v>10937</v>
      </c>
      <c r="E14" s="3041">
        <v>115</v>
      </c>
      <c r="F14" s="3041">
        <v>12.47</v>
      </c>
      <c r="G14" s="2488"/>
      <c r="H14" s="2752">
        <v>25</v>
      </c>
      <c r="I14" s="2752">
        <v>1</v>
      </c>
      <c r="J14" s="2488"/>
      <c r="K14" s="2614"/>
      <c r="L14" s="2488"/>
      <c r="M14" s="2614"/>
      <c r="N14" s="2479" t="str">
        <f t="shared" si="0"/>
        <v>AGNESS AVE, OR, Distribution, Unattended</v>
      </c>
    </row>
    <row r="15" spans="1:15" ht="16.7" customHeight="1" x14ac:dyDescent="0.2">
      <c r="A15" s="3003">
        <f t="shared" si="1"/>
        <v>40.106999999999751</v>
      </c>
      <c r="B15" s="2512" t="s">
        <v>11075</v>
      </c>
      <c r="C15" s="2512" t="s">
        <v>512</v>
      </c>
      <c r="D15" s="2614" t="s">
        <v>10937</v>
      </c>
      <c r="E15" s="3041">
        <v>115</v>
      </c>
      <c r="F15" s="3041">
        <v>12.47</v>
      </c>
      <c r="G15" s="2488"/>
      <c r="H15" s="2752">
        <v>120</v>
      </c>
      <c r="I15" s="2752">
        <v>2</v>
      </c>
      <c r="J15" s="2488"/>
      <c r="K15" s="2614"/>
      <c r="L15" s="2488"/>
      <c r="M15" s="2614"/>
      <c r="N15" s="2479" t="str">
        <f t="shared" si="0"/>
        <v>ALBINA, OR, Distribution, Unattended</v>
      </c>
    </row>
    <row r="16" spans="1:15" ht="16.7" customHeight="1" x14ac:dyDescent="0.2">
      <c r="A16" s="3003">
        <f t="shared" si="1"/>
        <v>40.107999999999748</v>
      </c>
      <c r="B16" s="2512" t="s">
        <v>11076</v>
      </c>
      <c r="C16" s="2512" t="s">
        <v>512</v>
      </c>
      <c r="D16" s="2614" t="s">
        <v>10937</v>
      </c>
      <c r="E16" s="3041">
        <v>69</v>
      </c>
      <c r="F16" s="3041">
        <v>12.47</v>
      </c>
      <c r="G16" s="2488"/>
      <c r="H16" s="2752">
        <v>45</v>
      </c>
      <c r="I16" s="2752">
        <v>2</v>
      </c>
      <c r="J16" s="2488"/>
      <c r="K16" s="2614"/>
      <c r="L16" s="2488"/>
      <c r="M16" s="2614"/>
      <c r="N16" s="2479" t="str">
        <f t="shared" si="0"/>
        <v>ALDERWOOD, OR, Distribution, Unattended</v>
      </c>
    </row>
    <row r="17" spans="1:14" ht="16.7" customHeight="1" x14ac:dyDescent="0.2">
      <c r="A17" s="3003">
        <f t="shared" si="1"/>
        <v>40.108999999999746</v>
      </c>
      <c r="B17" s="2512" t="s">
        <v>11077</v>
      </c>
      <c r="C17" s="2512" t="s">
        <v>512</v>
      </c>
      <c r="D17" s="2614" t="s">
        <v>10937</v>
      </c>
      <c r="E17" s="3041">
        <v>69</v>
      </c>
      <c r="F17" s="3041">
        <v>12.47</v>
      </c>
      <c r="G17" s="2488"/>
      <c r="H17" s="2752">
        <v>5</v>
      </c>
      <c r="I17" s="2752">
        <v>1</v>
      </c>
      <c r="J17" s="2488"/>
      <c r="K17" s="2614"/>
      <c r="L17" s="2488"/>
      <c r="M17" s="2614"/>
      <c r="N17" s="2479" t="str">
        <f t="shared" si="0"/>
        <v>ARLINGTON, OR, Distribution, Unattended</v>
      </c>
    </row>
    <row r="18" spans="1:14" ht="16.7" customHeight="1" x14ac:dyDescent="0.2">
      <c r="A18" s="3003">
        <f t="shared" si="1"/>
        <v>40.109999999999744</v>
      </c>
      <c r="B18" s="2512" t="s">
        <v>11078</v>
      </c>
      <c r="C18" s="2512" t="s">
        <v>512</v>
      </c>
      <c r="D18" s="2614" t="s">
        <v>10937</v>
      </c>
      <c r="E18" s="3041">
        <v>115</v>
      </c>
      <c r="F18" s="3041">
        <v>12.47</v>
      </c>
      <c r="G18" s="2488"/>
      <c r="H18" s="2752">
        <v>20</v>
      </c>
      <c r="I18" s="2752">
        <v>1</v>
      </c>
      <c r="J18" s="2488"/>
      <c r="K18" s="2614"/>
      <c r="L18" s="2488"/>
      <c r="M18" s="2614"/>
      <c r="N18" s="2479" t="str">
        <f t="shared" si="0"/>
        <v>ASHLAND, OR, Distribution, Unattended</v>
      </c>
    </row>
    <row r="19" spans="1:14" ht="16.7" customHeight="1" x14ac:dyDescent="0.2">
      <c r="A19" s="3003">
        <f t="shared" si="1"/>
        <v>40.110999999999741</v>
      </c>
      <c r="B19" s="2512" t="s">
        <v>11079</v>
      </c>
      <c r="C19" s="2512" t="s">
        <v>512</v>
      </c>
      <c r="D19" s="2614" t="s">
        <v>10937</v>
      </c>
      <c r="E19" s="3041">
        <v>69</v>
      </c>
      <c r="F19" s="3041">
        <v>12.47</v>
      </c>
      <c r="G19" s="2488"/>
      <c r="H19" s="2752">
        <v>9</v>
      </c>
      <c r="I19" s="2752">
        <v>1</v>
      </c>
      <c r="J19" s="2488"/>
      <c r="K19" s="2614"/>
      <c r="L19" s="2488"/>
      <c r="M19" s="2614"/>
      <c r="N19" s="2479" t="str">
        <f t="shared" si="0"/>
        <v>ATHENA, OR, Distribution, Unattended</v>
      </c>
    </row>
    <row r="20" spans="1:14" ht="16.7" customHeight="1" x14ac:dyDescent="0.2">
      <c r="A20" s="3003">
        <f t="shared" si="1"/>
        <v>40.111999999999739</v>
      </c>
      <c r="B20" s="2512" t="s">
        <v>11080</v>
      </c>
      <c r="C20" s="2512" t="s">
        <v>512</v>
      </c>
      <c r="D20" s="2614" t="s">
        <v>10937</v>
      </c>
      <c r="E20" s="3041">
        <v>20.8</v>
      </c>
      <c r="F20" s="3041">
        <v>12.47</v>
      </c>
      <c r="G20" s="2488"/>
      <c r="H20" s="2752">
        <v>8</v>
      </c>
      <c r="I20" s="2752">
        <v>3</v>
      </c>
      <c r="J20" s="2750">
        <v>1</v>
      </c>
      <c r="K20" s="2614"/>
      <c r="L20" s="2488"/>
      <c r="M20" s="2614"/>
      <c r="N20" s="2479" t="str">
        <f t="shared" si="0"/>
        <v>BANDON TIE, OR, Distribution, Unattended</v>
      </c>
    </row>
    <row r="21" spans="1:14" ht="16.7" customHeight="1" x14ac:dyDescent="0.2">
      <c r="A21" s="3003">
        <f t="shared" si="1"/>
        <v>40.112999999999737</v>
      </c>
      <c r="B21" s="2512" t="s">
        <v>11081</v>
      </c>
      <c r="C21" s="2512" t="s">
        <v>512</v>
      </c>
      <c r="D21" s="2614" t="s">
        <v>10937</v>
      </c>
      <c r="E21" s="3041">
        <v>69</v>
      </c>
      <c r="F21" s="3041">
        <v>12.47</v>
      </c>
      <c r="G21" s="2488"/>
      <c r="H21" s="2752">
        <v>11</v>
      </c>
      <c r="I21" s="2752">
        <v>3</v>
      </c>
      <c r="J21" s="2488"/>
      <c r="K21" s="2614"/>
      <c r="L21" s="2488"/>
      <c r="M21" s="2614"/>
      <c r="N21" s="2479" t="str">
        <f t="shared" si="0"/>
        <v>BEACON, OR, Distribution, Unattended</v>
      </c>
    </row>
    <row r="22" spans="1:14" ht="16.7" customHeight="1" x14ac:dyDescent="0.2">
      <c r="A22" s="3003">
        <f t="shared" si="1"/>
        <v>40.113999999999734</v>
      </c>
      <c r="B22" s="2512" t="s">
        <v>11082</v>
      </c>
      <c r="C22" s="2512" t="s">
        <v>512</v>
      </c>
      <c r="D22" s="2614" t="s">
        <v>10937</v>
      </c>
      <c r="E22" s="3041">
        <v>115</v>
      </c>
      <c r="F22" s="3041">
        <v>12.47</v>
      </c>
      <c r="G22" s="2488"/>
      <c r="H22" s="2752">
        <v>25</v>
      </c>
      <c r="I22" s="2752">
        <v>1</v>
      </c>
      <c r="J22" s="2488"/>
      <c r="K22" s="2614"/>
      <c r="L22" s="2488"/>
      <c r="M22" s="2614"/>
      <c r="N22" s="2479" t="str">
        <f t="shared" si="0"/>
        <v>BEALL LANE, OR, Distribution, Unattended</v>
      </c>
    </row>
    <row r="23" spans="1:14" ht="16.7" customHeight="1" x14ac:dyDescent="0.2">
      <c r="A23" s="3003">
        <f t="shared" si="1"/>
        <v>40.114999999999732</v>
      </c>
      <c r="B23" s="2512" t="s">
        <v>11083</v>
      </c>
      <c r="C23" s="2512" t="s">
        <v>512</v>
      </c>
      <c r="D23" s="2614" t="s">
        <v>10937</v>
      </c>
      <c r="E23" s="3041">
        <v>69</v>
      </c>
      <c r="F23" s="3041">
        <v>12.47</v>
      </c>
      <c r="G23" s="2488"/>
      <c r="H23" s="2752">
        <v>6</v>
      </c>
      <c r="I23" s="2752">
        <v>1</v>
      </c>
      <c r="J23" s="2488"/>
      <c r="K23" s="2614"/>
      <c r="L23" s="2488"/>
      <c r="M23" s="2614"/>
      <c r="N23" s="2479" t="str">
        <f t="shared" si="0"/>
        <v>BEATTY, OR, Distribution, Unattended</v>
      </c>
    </row>
    <row r="24" spans="1:14" ht="15.75" customHeight="1" x14ac:dyDescent="0.2">
      <c r="A24" s="3003">
        <f t="shared" si="1"/>
        <v>40.11599999999973</v>
      </c>
      <c r="B24" s="2512" t="s">
        <v>11084</v>
      </c>
      <c r="C24" s="2512" t="s">
        <v>512</v>
      </c>
      <c r="D24" s="2614" t="s">
        <v>10937</v>
      </c>
      <c r="E24" s="3041">
        <v>115</v>
      </c>
      <c r="F24" s="3041">
        <v>69</v>
      </c>
      <c r="G24" s="3043">
        <v>13.2</v>
      </c>
      <c r="H24" s="2752">
        <v>65</v>
      </c>
      <c r="I24" s="2752">
        <v>3</v>
      </c>
      <c r="J24" s="2488"/>
      <c r="K24" s="2614"/>
      <c r="L24" s="2488"/>
      <c r="M24" s="2614"/>
      <c r="N24" s="2479" t="str">
        <f t="shared" si="0"/>
        <v>BELKNAP, OR, Distribution, Unattended</v>
      </c>
    </row>
    <row r="25" spans="1:14" ht="16.7" customHeight="1" x14ac:dyDescent="0.2">
      <c r="A25" s="3003">
        <f t="shared" si="1"/>
        <v>40.116999999999727</v>
      </c>
      <c r="B25" s="2512" t="s">
        <v>11085</v>
      </c>
      <c r="C25" s="2512" t="s">
        <v>512</v>
      </c>
      <c r="D25" s="2614" t="s">
        <v>10937</v>
      </c>
      <c r="E25" s="3041">
        <v>69</v>
      </c>
      <c r="F25" s="3041">
        <v>12.47</v>
      </c>
      <c r="G25" s="2614"/>
      <c r="H25" s="2752">
        <v>2</v>
      </c>
      <c r="I25" s="2752">
        <v>3</v>
      </c>
      <c r="J25" s="2488"/>
      <c r="K25" s="2488"/>
      <c r="L25" s="2488"/>
      <c r="M25" s="2614"/>
      <c r="N25" s="2479" t="str">
        <f t="shared" si="0"/>
        <v>BLALOCK, OR, Distribution, Unattended</v>
      </c>
    </row>
    <row r="26" spans="1:14" ht="16.7" customHeight="1" x14ac:dyDescent="0.2">
      <c r="A26" s="3003">
        <f t="shared" si="1"/>
        <v>40.117999999999725</v>
      </c>
      <c r="B26" s="2512" t="s">
        <v>11086</v>
      </c>
      <c r="C26" s="2512" t="s">
        <v>512</v>
      </c>
      <c r="D26" s="2614" t="s">
        <v>10937</v>
      </c>
      <c r="E26" s="3041">
        <v>115</v>
      </c>
      <c r="F26" s="3041">
        <v>12.47</v>
      </c>
      <c r="G26" s="2488"/>
      <c r="H26" s="2752">
        <v>32</v>
      </c>
      <c r="I26" s="2752">
        <v>2</v>
      </c>
      <c r="J26" s="2488"/>
      <c r="K26" s="2488"/>
      <c r="L26" s="2488"/>
      <c r="M26" s="2614"/>
      <c r="N26" s="2479" t="str">
        <f t="shared" si="0"/>
        <v>BLOSS, OR, Distribution, Unattended</v>
      </c>
    </row>
    <row r="27" spans="1:14" ht="16.7" customHeight="1" x14ac:dyDescent="0.2">
      <c r="A27" s="3003">
        <f t="shared" si="1"/>
        <v>40.118999999999723</v>
      </c>
      <c r="B27" s="2512" t="s">
        <v>11087</v>
      </c>
      <c r="C27" s="2512" t="s">
        <v>512</v>
      </c>
      <c r="D27" s="2614" t="s">
        <v>10937</v>
      </c>
      <c r="E27" s="3041">
        <v>69</v>
      </c>
      <c r="F27" s="3041">
        <v>12.47</v>
      </c>
      <c r="G27" s="2488"/>
      <c r="H27" s="2752">
        <v>8</v>
      </c>
      <c r="I27" s="2752">
        <v>3</v>
      </c>
      <c r="J27" s="2488"/>
      <c r="K27" s="2614"/>
      <c r="L27" s="2488"/>
      <c r="M27" s="2614"/>
      <c r="N27" s="2479" t="str">
        <f t="shared" si="0"/>
        <v>BLY, OR, Distribution, Unattended</v>
      </c>
    </row>
    <row r="28" spans="1:14" ht="16.7" customHeight="1" x14ac:dyDescent="0.2">
      <c r="A28" s="3003">
        <f t="shared" si="1"/>
        <v>40.11999999999972</v>
      </c>
      <c r="B28" s="2512" t="s">
        <v>11088</v>
      </c>
      <c r="C28" s="2512" t="s">
        <v>512</v>
      </c>
      <c r="D28" s="2614" t="s">
        <v>10937</v>
      </c>
      <c r="E28" s="3041">
        <v>69</v>
      </c>
      <c r="F28" s="3041">
        <v>12.47</v>
      </c>
      <c r="G28" s="3043">
        <v>4.16</v>
      </c>
      <c r="H28" s="2752">
        <v>3</v>
      </c>
      <c r="I28" s="2752">
        <v>1</v>
      </c>
      <c r="J28" s="2488"/>
      <c r="K28" s="2614"/>
      <c r="L28" s="2488"/>
      <c r="M28" s="2614"/>
      <c r="N28" s="2479" t="str">
        <f t="shared" si="0"/>
        <v>BOISE CASCADE, OR, Distribution, Unattended</v>
      </c>
    </row>
    <row r="29" spans="1:14" ht="16.7" customHeight="1" x14ac:dyDescent="0.2">
      <c r="A29" s="3003">
        <f t="shared" si="1"/>
        <v>40.120999999999718</v>
      </c>
      <c r="B29" s="2512" t="s">
        <v>11089</v>
      </c>
      <c r="C29" s="2512" t="s">
        <v>512</v>
      </c>
      <c r="D29" s="2614" t="s">
        <v>10937</v>
      </c>
      <c r="E29" s="3041">
        <v>69</v>
      </c>
      <c r="F29" s="3041">
        <v>12.47</v>
      </c>
      <c r="G29" s="2488"/>
      <c r="H29" s="2752">
        <v>9</v>
      </c>
      <c r="I29" s="2752">
        <v>3</v>
      </c>
      <c r="J29" s="2614"/>
      <c r="K29" s="2614"/>
      <c r="L29" s="2488"/>
      <c r="M29" s="2614"/>
      <c r="N29" s="2479" t="str">
        <f t="shared" si="0"/>
        <v>BONANZA, OR, Distribution, Unattended</v>
      </c>
    </row>
    <row r="30" spans="1:14" ht="16.7" customHeight="1" x14ac:dyDescent="0.2">
      <c r="A30" s="3003">
        <f t="shared" si="1"/>
        <v>40.121999999999716</v>
      </c>
      <c r="B30" s="2512" t="s">
        <v>11090</v>
      </c>
      <c r="C30" s="2512" t="s">
        <v>512</v>
      </c>
      <c r="D30" s="2614" t="s">
        <v>10937</v>
      </c>
      <c r="E30" s="3041">
        <v>69</v>
      </c>
      <c r="F30" s="3041">
        <v>12.47</v>
      </c>
      <c r="G30" s="2488"/>
      <c r="H30" s="2752">
        <v>25</v>
      </c>
      <c r="I30" s="2752">
        <v>1</v>
      </c>
      <c r="J30" s="2488"/>
      <c r="K30" s="2614"/>
      <c r="L30" s="2488"/>
      <c r="M30" s="2614"/>
      <c r="N30" s="2479" t="str">
        <f t="shared" si="0"/>
        <v>BOND, OR, Distribution, Unattended</v>
      </c>
    </row>
    <row r="31" spans="1:14" ht="16.7" customHeight="1" x14ac:dyDescent="0.2">
      <c r="A31" s="3003">
        <f t="shared" si="1"/>
        <v>40.122999999999713</v>
      </c>
      <c r="B31" s="2512" t="s">
        <v>11091</v>
      </c>
      <c r="C31" s="2512" t="s">
        <v>512</v>
      </c>
      <c r="D31" s="2614" t="s">
        <v>10937</v>
      </c>
      <c r="E31" s="3041">
        <v>115</v>
      </c>
      <c r="F31" s="3041">
        <v>12.47</v>
      </c>
      <c r="G31" s="2488"/>
      <c r="H31" s="2752">
        <v>50</v>
      </c>
      <c r="I31" s="2752">
        <v>2</v>
      </c>
      <c r="J31" s="2488"/>
      <c r="K31" s="2614"/>
      <c r="L31" s="2488"/>
      <c r="M31" s="2614"/>
      <c r="N31" s="2479" t="str">
        <f t="shared" si="0"/>
        <v>BROOKHURST, OR, Distribution, Unattended</v>
      </c>
    </row>
    <row r="32" spans="1:14" ht="16.7" customHeight="1" x14ac:dyDescent="0.2">
      <c r="A32" s="3003">
        <f t="shared" si="1"/>
        <v>40.123999999999711</v>
      </c>
      <c r="B32" s="2512" t="s">
        <v>11092</v>
      </c>
      <c r="C32" s="2512" t="s">
        <v>512</v>
      </c>
      <c r="D32" s="2614" t="s">
        <v>10937</v>
      </c>
      <c r="E32" s="3041">
        <v>69</v>
      </c>
      <c r="F32" s="3041">
        <v>20.8</v>
      </c>
      <c r="G32" s="2488"/>
      <c r="H32" s="2752">
        <v>13</v>
      </c>
      <c r="I32" s="2752">
        <v>1</v>
      </c>
      <c r="J32" s="2488"/>
      <c r="K32" s="2614"/>
      <c r="L32" s="2488"/>
      <c r="M32" s="2614"/>
      <c r="N32" s="2479" t="str">
        <f t="shared" si="0"/>
        <v>BROWNSVILLE, OR, Distribution, Unattended</v>
      </c>
    </row>
    <row r="33" spans="1:14" ht="16.7" customHeight="1" x14ac:dyDescent="0.2">
      <c r="A33" s="3003">
        <f t="shared" si="1"/>
        <v>40.124999999999709</v>
      </c>
      <c r="B33" s="2512" t="s">
        <v>11093</v>
      </c>
      <c r="C33" s="2512" t="s">
        <v>512</v>
      </c>
      <c r="D33" s="2614" t="s">
        <v>10937</v>
      </c>
      <c r="E33" s="3041">
        <v>69</v>
      </c>
      <c r="F33" s="3041">
        <v>12.47</v>
      </c>
      <c r="G33" s="2488"/>
      <c r="H33" s="2752">
        <v>40</v>
      </c>
      <c r="I33" s="2752">
        <v>2</v>
      </c>
      <c r="J33" s="2488"/>
      <c r="K33" s="2614"/>
      <c r="L33" s="2488"/>
      <c r="M33" s="2614"/>
      <c r="N33" s="2479" t="str">
        <f t="shared" si="0"/>
        <v>BRYANT, OR, Distribution, Unattended</v>
      </c>
    </row>
    <row r="34" spans="1:14" ht="16.7" customHeight="1" x14ac:dyDescent="0.2">
      <c r="A34" s="3003">
        <f t="shared" si="1"/>
        <v>40.125999999999706</v>
      </c>
      <c r="B34" s="2512" t="s">
        <v>11094</v>
      </c>
      <c r="C34" s="2512" t="s">
        <v>512</v>
      </c>
      <c r="D34" s="2614" t="s">
        <v>10937</v>
      </c>
      <c r="E34" s="3041">
        <v>115</v>
      </c>
      <c r="F34" s="3041">
        <v>20.8</v>
      </c>
      <c r="G34" s="2488"/>
      <c r="H34" s="2752">
        <v>45</v>
      </c>
      <c r="I34" s="2752">
        <v>2</v>
      </c>
      <c r="J34" s="2488"/>
      <c r="K34" s="2614"/>
      <c r="L34" s="2488"/>
      <c r="M34" s="2614"/>
      <c r="N34" s="2479" t="str">
        <f t="shared" si="0"/>
        <v>BUCHANAN, OR, Distribution, Unattended</v>
      </c>
    </row>
    <row r="35" spans="1:14" ht="16.7" customHeight="1" x14ac:dyDescent="0.2">
      <c r="A35" s="3003">
        <f t="shared" si="1"/>
        <v>40.126999999999704</v>
      </c>
      <c r="B35" s="2512" t="s">
        <v>11095</v>
      </c>
      <c r="C35" s="2512" t="s">
        <v>512</v>
      </c>
      <c r="D35" s="2614" t="s">
        <v>10937</v>
      </c>
      <c r="E35" s="3041">
        <v>69</v>
      </c>
      <c r="F35" s="3041">
        <v>12.47</v>
      </c>
      <c r="G35" s="2488"/>
      <c r="H35" s="2752">
        <v>34</v>
      </c>
      <c r="I35" s="2752">
        <v>2</v>
      </c>
      <c r="J35" s="2488"/>
      <c r="K35" s="2614"/>
      <c r="L35" s="2488"/>
      <c r="M35" s="2614"/>
      <c r="N35" s="2479" t="str">
        <f t="shared" si="0"/>
        <v>BUCKAROO, OR, Distribution, Unattended</v>
      </c>
    </row>
    <row r="36" spans="1:14" ht="16.7" customHeight="1" x14ac:dyDescent="0.2">
      <c r="A36" s="3003">
        <f t="shared" si="1"/>
        <v>40.127999999999702</v>
      </c>
      <c r="B36" s="2512" t="s">
        <v>11096</v>
      </c>
      <c r="C36" s="2512" t="s">
        <v>512</v>
      </c>
      <c r="D36" s="2614" t="s">
        <v>10937</v>
      </c>
      <c r="E36" s="3041">
        <v>115</v>
      </c>
      <c r="F36" s="3041">
        <v>12.47</v>
      </c>
      <c r="G36" s="2488"/>
      <c r="H36" s="2752">
        <v>45</v>
      </c>
      <c r="I36" s="2752">
        <v>2</v>
      </c>
      <c r="J36" s="2488"/>
      <c r="K36" s="2614"/>
      <c r="L36" s="2488"/>
      <c r="M36" s="2614"/>
      <c r="N36" s="2479" t="str">
        <f t="shared" si="0"/>
        <v>CAMPBELL, OR, Distribution, Unattended</v>
      </c>
    </row>
    <row r="37" spans="1:14" ht="16.7" customHeight="1" x14ac:dyDescent="0.2">
      <c r="A37" s="3003">
        <f t="shared" si="1"/>
        <v>40.128999999999699</v>
      </c>
      <c r="B37" s="2512" t="s">
        <v>11097</v>
      </c>
      <c r="C37" s="2512" t="s">
        <v>512</v>
      </c>
      <c r="D37" s="2614" t="s">
        <v>10937</v>
      </c>
      <c r="E37" s="3041">
        <v>115</v>
      </c>
      <c r="F37" s="3041">
        <v>12.47</v>
      </c>
      <c r="G37" s="2488"/>
      <c r="H37" s="2752">
        <v>13</v>
      </c>
      <c r="I37" s="2752">
        <v>1</v>
      </c>
      <c r="J37" s="2488"/>
      <c r="K37" s="2614"/>
      <c r="L37" s="2488"/>
      <c r="M37" s="2614"/>
      <c r="N37" s="2479" t="str">
        <f t="shared" si="0"/>
        <v>CANNON BEACH, OR, Distribution, Unattended</v>
      </c>
    </row>
    <row r="38" spans="1:14" ht="16.7" customHeight="1" x14ac:dyDescent="0.2">
      <c r="A38" s="3003">
        <f t="shared" si="1"/>
        <v>40.129999999999697</v>
      </c>
      <c r="B38" s="2512" t="s">
        <v>11098</v>
      </c>
      <c r="C38" s="2512" t="s">
        <v>512</v>
      </c>
      <c r="D38" s="2614" t="s">
        <v>10937</v>
      </c>
      <c r="E38" s="3041">
        <v>115</v>
      </c>
      <c r="F38" s="3041">
        <v>12.47</v>
      </c>
      <c r="G38" s="2488"/>
      <c r="H38" s="2752">
        <v>25</v>
      </c>
      <c r="I38" s="2752">
        <v>1</v>
      </c>
      <c r="J38" s="2488"/>
      <c r="K38" s="2614"/>
      <c r="L38" s="2488"/>
      <c r="M38" s="2614"/>
      <c r="N38" s="2479" t="str">
        <f t="shared" si="0"/>
        <v>CANYONVILLE, OR, Distribution, Unattended</v>
      </c>
    </row>
    <row r="39" spans="1:14" ht="16.7" customHeight="1" x14ac:dyDescent="0.2">
      <c r="A39" s="3003">
        <f t="shared" si="1"/>
        <v>40.130999999999695</v>
      </c>
      <c r="B39" s="2512" t="s">
        <v>11099</v>
      </c>
      <c r="C39" s="2512" t="s">
        <v>512</v>
      </c>
      <c r="D39" s="2614" t="s">
        <v>10937</v>
      </c>
      <c r="E39" s="3041">
        <v>69</v>
      </c>
      <c r="F39" s="3041">
        <v>12.47</v>
      </c>
      <c r="G39" s="2488"/>
      <c r="H39" s="2752">
        <v>9</v>
      </c>
      <c r="I39" s="2752">
        <v>3</v>
      </c>
      <c r="J39" s="2488"/>
      <c r="K39" s="2614"/>
      <c r="L39" s="2488"/>
      <c r="M39" s="2614"/>
      <c r="N39" s="2479" t="str">
        <f t="shared" si="0"/>
        <v>CARNES, OR, Distribution, Unattended</v>
      </c>
    </row>
    <row r="40" spans="1:14" ht="16.7" customHeight="1" x14ac:dyDescent="0.2">
      <c r="A40" s="3003">
        <f t="shared" si="1"/>
        <v>40.131999999999692</v>
      </c>
      <c r="B40" s="2512" t="s">
        <v>11100</v>
      </c>
      <c r="C40" s="2512" t="s">
        <v>512</v>
      </c>
      <c r="D40" s="2614" t="s">
        <v>10937</v>
      </c>
      <c r="E40" s="3041">
        <v>69</v>
      </c>
      <c r="F40" s="3041">
        <v>20.8</v>
      </c>
      <c r="G40" s="2488"/>
      <c r="H40" s="2752">
        <v>20</v>
      </c>
      <c r="I40" s="2752">
        <v>1</v>
      </c>
      <c r="J40" s="2488"/>
      <c r="K40" s="2614"/>
      <c r="L40" s="2488"/>
      <c r="M40" s="2614"/>
      <c r="N40" s="2479" t="str">
        <f t="shared" si="0"/>
        <v>CASEBEER, OR, Distribution, Unattended</v>
      </c>
    </row>
    <row r="41" spans="1:14" ht="16.7" customHeight="1" x14ac:dyDescent="0.2">
      <c r="A41" s="3003">
        <f t="shared" si="1"/>
        <v>40.13299999999969</v>
      </c>
      <c r="B41" s="2512" t="s">
        <v>11101</v>
      </c>
      <c r="C41" s="2512" t="s">
        <v>512</v>
      </c>
      <c r="D41" s="2614" t="s">
        <v>10937</v>
      </c>
      <c r="E41" s="3041">
        <v>115</v>
      </c>
      <c r="F41" s="3041">
        <v>12.47</v>
      </c>
      <c r="G41" s="2488"/>
      <c r="H41" s="2752">
        <v>45</v>
      </c>
      <c r="I41" s="2752">
        <v>2</v>
      </c>
      <c r="J41" s="2488"/>
      <c r="K41" s="2614"/>
      <c r="L41" s="2488"/>
      <c r="M41" s="2614"/>
      <c r="N41" s="2479" t="str">
        <f t="shared" si="0"/>
        <v>CAVEMAN, OR, Distribution, Unattended</v>
      </c>
    </row>
    <row r="42" spans="1:14" ht="16.7" customHeight="1" x14ac:dyDescent="0.2">
      <c r="A42" s="3003">
        <f t="shared" si="1"/>
        <v>40.133999999999688</v>
      </c>
      <c r="B42" s="2512" t="s">
        <v>11102</v>
      </c>
      <c r="C42" s="2512" t="s">
        <v>512</v>
      </c>
      <c r="D42" s="2614" t="s">
        <v>10937</v>
      </c>
      <c r="E42" s="3041">
        <v>69</v>
      </c>
      <c r="F42" s="3041">
        <v>12.47</v>
      </c>
      <c r="G42" s="2488"/>
      <c r="H42" s="2752">
        <v>25</v>
      </c>
      <c r="I42" s="2752">
        <v>1</v>
      </c>
      <c r="J42" s="2488"/>
      <c r="K42" s="2614"/>
      <c r="L42" s="2488"/>
      <c r="M42" s="2614"/>
      <c r="N42" s="2479" t="str">
        <f t="shared" si="0"/>
        <v>CHERRY LANE, OR, Distribution, Unattended</v>
      </c>
    </row>
    <row r="43" spans="1:14" ht="16.7" customHeight="1" x14ac:dyDescent="0.2">
      <c r="A43" s="3003">
        <f t="shared" si="1"/>
        <v>40.134999999999685</v>
      </c>
      <c r="B43" s="2512" t="s">
        <v>11103</v>
      </c>
      <c r="C43" s="2512" t="s">
        <v>512</v>
      </c>
      <c r="D43" s="2614" t="s">
        <v>10937</v>
      </c>
      <c r="E43" s="3041">
        <v>69</v>
      </c>
      <c r="F43" s="3041">
        <v>12.47</v>
      </c>
      <c r="G43" s="2488"/>
      <c r="H43" s="2752">
        <v>9</v>
      </c>
      <c r="I43" s="2752">
        <v>3</v>
      </c>
      <c r="J43" s="2488"/>
      <c r="K43" s="2614"/>
      <c r="L43" s="2488"/>
      <c r="M43" s="2614"/>
      <c r="N43" s="2479" t="str">
        <f t="shared" si="0"/>
        <v>CHILOQUIN MARKET, OR, Distribution, Unattended</v>
      </c>
    </row>
    <row r="44" spans="1:14" ht="16.7" customHeight="1" x14ac:dyDescent="0.2">
      <c r="A44" s="3003">
        <f t="shared" si="1"/>
        <v>40.135999999999683</v>
      </c>
      <c r="B44" s="2512" t="s">
        <v>11104</v>
      </c>
      <c r="C44" s="2512" t="s">
        <v>512</v>
      </c>
      <c r="D44" s="2614" t="s">
        <v>10937</v>
      </c>
      <c r="E44" s="3041">
        <v>69</v>
      </c>
      <c r="F44" s="3041">
        <v>12.47</v>
      </c>
      <c r="G44" s="2488"/>
      <c r="H44" s="2752">
        <v>25</v>
      </c>
      <c r="I44" s="2752">
        <v>1</v>
      </c>
      <c r="J44" s="2488"/>
      <c r="K44" s="2614"/>
      <c r="L44" s="2488"/>
      <c r="M44" s="2614"/>
      <c r="N44" s="2479" t="str">
        <f t="shared" si="0"/>
        <v>CHINA HAT, OR, Distribution, Unattended</v>
      </c>
    </row>
    <row r="45" spans="1:14" ht="16.7" customHeight="1" x14ac:dyDescent="0.2">
      <c r="A45" s="3003">
        <f t="shared" si="1"/>
        <v>40.136999999999681</v>
      </c>
      <c r="B45" s="2512" t="s">
        <v>11105</v>
      </c>
      <c r="C45" s="2512" t="s">
        <v>512</v>
      </c>
      <c r="D45" s="2614" t="s">
        <v>10937</v>
      </c>
      <c r="E45" s="3041">
        <v>115</v>
      </c>
      <c r="F45" s="3041">
        <v>20.8</v>
      </c>
      <c r="G45" s="2488"/>
      <c r="H45" s="2752">
        <v>80</v>
      </c>
      <c r="I45" s="2752">
        <v>2</v>
      </c>
      <c r="J45" s="2488"/>
      <c r="K45" s="2614"/>
      <c r="L45" s="2488"/>
      <c r="M45" s="2614"/>
      <c r="N45" s="2479" t="str">
        <f t="shared" si="0"/>
        <v>CIRCLE BLVD, OR, Distribution, Unattended</v>
      </c>
    </row>
    <row r="46" spans="1:14" ht="16.7" customHeight="1" x14ac:dyDescent="0.2">
      <c r="A46" s="3003">
        <f t="shared" si="1"/>
        <v>40.137999999999678</v>
      </c>
      <c r="B46" s="2512" t="s">
        <v>11106</v>
      </c>
      <c r="C46" s="2512" t="s">
        <v>512</v>
      </c>
      <c r="D46" s="2614" t="s">
        <v>10937</v>
      </c>
      <c r="E46" s="3041">
        <v>69</v>
      </c>
      <c r="F46" s="3041">
        <v>12.47</v>
      </c>
      <c r="G46" s="2488"/>
      <c r="H46" s="2752">
        <v>45</v>
      </c>
      <c r="I46" s="2752">
        <v>2</v>
      </c>
      <c r="J46" s="2488"/>
      <c r="K46" s="2614"/>
      <c r="L46" s="2488"/>
      <c r="M46" s="2614"/>
      <c r="N46" s="2479" t="str">
        <f t="shared" si="0"/>
        <v>CLEVELAND AVE, OR, Distribution, Unattended</v>
      </c>
    </row>
    <row r="47" spans="1:14" ht="16.7" customHeight="1" x14ac:dyDescent="0.2">
      <c r="A47" s="3003">
        <f t="shared" si="1"/>
        <v>40.138999999999676</v>
      </c>
      <c r="B47" s="2512" t="s">
        <v>11107</v>
      </c>
      <c r="C47" s="2512" t="s">
        <v>512</v>
      </c>
      <c r="D47" s="2614" t="s">
        <v>10937</v>
      </c>
      <c r="E47" s="3041">
        <v>69</v>
      </c>
      <c r="F47" s="3041">
        <v>20.8</v>
      </c>
      <c r="G47" s="2488"/>
      <c r="H47" s="2752">
        <v>20</v>
      </c>
      <c r="I47" s="2752">
        <v>1</v>
      </c>
      <c r="J47" s="2488"/>
      <c r="K47" s="2614"/>
      <c r="L47" s="2488"/>
      <c r="M47" s="2614"/>
      <c r="N47" s="2479" t="str">
        <f t="shared" si="0"/>
        <v>CLOAKE, OR, Distribution, Unattended</v>
      </c>
    </row>
    <row r="48" spans="1:14" ht="16.7" customHeight="1" x14ac:dyDescent="0.2">
      <c r="A48" s="3003">
        <f t="shared" si="1"/>
        <v>40.139999999999674</v>
      </c>
      <c r="B48" s="2512" t="s">
        <v>11108</v>
      </c>
      <c r="C48" s="2512" t="s">
        <v>512</v>
      </c>
      <c r="D48" s="2614" t="s">
        <v>10937</v>
      </c>
      <c r="E48" s="3041">
        <v>69</v>
      </c>
      <c r="F48" s="3041">
        <v>20.8</v>
      </c>
      <c r="G48" s="3043">
        <v>2.4</v>
      </c>
      <c r="H48" s="2752">
        <v>10</v>
      </c>
      <c r="I48" s="2752">
        <v>3</v>
      </c>
      <c r="J48" s="2488"/>
      <c r="K48" s="2614"/>
      <c r="L48" s="2488"/>
      <c r="M48" s="2614"/>
      <c r="N48" s="2479" t="str">
        <f t="shared" si="0"/>
        <v>COBURG, OR, Distribution, Unattended</v>
      </c>
    </row>
    <row r="49" spans="1:14" ht="16.7" customHeight="1" x14ac:dyDescent="0.2">
      <c r="A49" s="3003">
        <f t="shared" si="1"/>
        <v>40.140999999999671</v>
      </c>
      <c r="B49" s="2512" t="s">
        <v>11109</v>
      </c>
      <c r="C49" s="2512" t="s">
        <v>512</v>
      </c>
      <c r="D49" s="2614" t="s">
        <v>10937</v>
      </c>
      <c r="E49" s="3041">
        <v>20.8</v>
      </c>
      <c r="F49" s="3041">
        <v>4.16</v>
      </c>
      <c r="G49" s="2488"/>
      <c r="H49" s="2752">
        <v>12</v>
      </c>
      <c r="I49" s="2752">
        <v>2</v>
      </c>
      <c r="J49" s="2488"/>
      <c r="K49" s="2614"/>
      <c r="L49" s="2488"/>
      <c r="M49" s="2614"/>
      <c r="N49" s="2479" t="str">
        <f t="shared" si="0"/>
        <v>COLISEUM, OR, Distribution, Unattended</v>
      </c>
    </row>
    <row r="50" spans="1:14" ht="15" customHeight="1" x14ac:dyDescent="0.2">
      <c r="A50" s="3003">
        <f t="shared" si="1"/>
        <v>40.141999999999669</v>
      </c>
      <c r="B50" s="2512" t="s">
        <v>11110</v>
      </c>
      <c r="C50" s="2512" t="s">
        <v>512</v>
      </c>
      <c r="D50" s="2614" t="s">
        <v>10937</v>
      </c>
      <c r="E50" s="3041">
        <v>115</v>
      </c>
      <c r="F50" s="3041">
        <v>69</v>
      </c>
      <c r="G50" s="3043">
        <v>7.2</v>
      </c>
      <c r="H50" s="2752">
        <v>128</v>
      </c>
      <c r="I50" s="2752">
        <v>3</v>
      </c>
      <c r="J50" s="2750">
        <v>1</v>
      </c>
      <c r="K50" s="2614"/>
      <c r="L50" s="2614"/>
      <c r="M50" s="2614"/>
      <c r="N50" s="2479" t="str">
        <f t="shared" si="0"/>
        <v>COLUMBIA, OR, Distribution, Unattended</v>
      </c>
    </row>
    <row r="51" spans="1:14" ht="15.75" customHeight="1" x14ac:dyDescent="0.2">
      <c r="A51" s="3003">
        <f t="shared" si="1"/>
        <v>40.142999999999667</v>
      </c>
      <c r="B51" s="2512" t="s">
        <v>11111</v>
      </c>
      <c r="C51" s="2512" t="s">
        <v>512</v>
      </c>
      <c r="D51" s="2614" t="s">
        <v>10937</v>
      </c>
      <c r="E51" s="3041">
        <v>115</v>
      </c>
      <c r="F51" s="3041">
        <v>20.8</v>
      </c>
      <c r="G51" s="2488"/>
      <c r="H51" s="2752">
        <v>30</v>
      </c>
      <c r="I51" s="2752">
        <v>1</v>
      </c>
      <c r="J51" s="2750">
        <v>1</v>
      </c>
      <c r="K51" s="2614"/>
      <c r="L51" s="2488"/>
      <c r="M51" s="2614"/>
      <c r="N51" s="2479" t="str">
        <f t="shared" si="0"/>
        <v>CONSER ROAD, OR, Distribution, Unattended</v>
      </c>
    </row>
    <row r="52" spans="1:14" ht="15.75" customHeight="1" x14ac:dyDescent="0.2">
      <c r="A52" s="3003">
        <f t="shared" si="1"/>
        <v>40.143999999999664</v>
      </c>
      <c r="B52" s="2512" t="s">
        <v>11112</v>
      </c>
      <c r="C52" s="2512" t="s">
        <v>512</v>
      </c>
      <c r="D52" s="2614" t="s">
        <v>10937</v>
      </c>
      <c r="E52" s="3041">
        <v>115</v>
      </c>
      <c r="F52" s="3041">
        <v>20.8</v>
      </c>
      <c r="G52" s="2488"/>
      <c r="H52" s="2752">
        <v>20</v>
      </c>
      <c r="I52" s="2752">
        <v>1</v>
      </c>
      <c r="J52" s="2488"/>
      <c r="K52" s="2614"/>
      <c r="L52" s="2488"/>
      <c r="M52" s="2614"/>
      <c r="N52" s="2479" t="str">
        <f t="shared" si="0"/>
        <v>COOS RIVER, OR, Distribution, Unattended</v>
      </c>
    </row>
    <row r="53" spans="1:14" ht="15.75" customHeight="1" x14ac:dyDescent="0.2">
      <c r="A53" s="3003">
        <f t="shared" si="1"/>
        <v>40.144999999999662</v>
      </c>
      <c r="B53" s="2512" t="s">
        <v>11113</v>
      </c>
      <c r="C53" s="2512" t="s">
        <v>512</v>
      </c>
      <c r="D53" s="2614" t="s">
        <v>10937</v>
      </c>
      <c r="E53" s="3041">
        <v>115</v>
      </c>
      <c r="F53" s="3041">
        <v>20.8</v>
      </c>
      <c r="G53" s="2488"/>
      <c r="H53" s="2752">
        <v>40</v>
      </c>
      <c r="I53" s="2752">
        <v>2</v>
      </c>
      <c r="J53" s="2488"/>
      <c r="K53" s="2614"/>
      <c r="L53" s="2488"/>
      <c r="M53" s="2614"/>
      <c r="N53" s="2479" t="str">
        <f t="shared" si="0"/>
        <v>COQUILLE, OR, Distribution, Unattended</v>
      </c>
    </row>
    <row r="54" spans="1:14" ht="15.75" customHeight="1" x14ac:dyDescent="0.2">
      <c r="A54" s="3003">
        <f t="shared" si="1"/>
        <v>40.14599999999966</v>
      </c>
      <c r="B54" s="2512" t="s">
        <v>11114</v>
      </c>
      <c r="C54" s="2512" t="s">
        <v>512</v>
      </c>
      <c r="D54" s="2614" t="s">
        <v>10937</v>
      </c>
      <c r="E54" s="3041">
        <v>69</v>
      </c>
      <c r="F54" s="3041">
        <v>34.5</v>
      </c>
      <c r="G54" s="2488"/>
      <c r="H54" s="2752">
        <v>5</v>
      </c>
      <c r="I54" s="2752">
        <v>1</v>
      </c>
      <c r="J54" s="2488"/>
      <c r="K54" s="2614"/>
      <c r="L54" s="2488"/>
      <c r="M54" s="2614"/>
      <c r="N54" s="2479" t="str">
        <f t="shared" si="0"/>
        <v>CREEK, OR, Distribution, Unattended</v>
      </c>
    </row>
    <row r="55" spans="1:14" ht="15.75" customHeight="1" x14ac:dyDescent="0.2">
      <c r="A55" s="3003">
        <f t="shared" si="1"/>
        <v>40.146999999999657</v>
      </c>
      <c r="B55" s="2512" t="s">
        <v>11115</v>
      </c>
      <c r="C55" s="2512" t="s">
        <v>512</v>
      </c>
      <c r="D55" s="2614" t="s">
        <v>10937</v>
      </c>
      <c r="E55" s="3041">
        <v>69</v>
      </c>
      <c r="F55" s="3041">
        <v>20.8</v>
      </c>
      <c r="G55" s="2488"/>
      <c r="H55" s="2752">
        <v>25</v>
      </c>
      <c r="I55" s="2752">
        <v>2</v>
      </c>
      <c r="J55" s="2488"/>
      <c r="K55" s="2614"/>
      <c r="L55" s="2488"/>
      <c r="M55" s="2614"/>
      <c r="N55" s="2479" t="str">
        <f t="shared" si="0"/>
        <v>CROOKED RIVER RANCH, OR, Distribution, Unattended</v>
      </c>
    </row>
    <row r="56" spans="1:14" ht="15.75" customHeight="1" x14ac:dyDescent="0.2">
      <c r="A56" s="3003">
        <f t="shared" si="1"/>
        <v>40.147999999999655</v>
      </c>
      <c r="B56" s="2512" t="s">
        <v>11116</v>
      </c>
      <c r="C56" s="2512" t="s">
        <v>512</v>
      </c>
      <c r="D56" s="2614" t="s">
        <v>10937</v>
      </c>
      <c r="E56" s="3041">
        <v>115</v>
      </c>
      <c r="F56" s="3041">
        <v>20.8</v>
      </c>
      <c r="G56" s="2488"/>
      <c r="H56" s="2752">
        <v>20</v>
      </c>
      <c r="I56" s="2752">
        <v>1</v>
      </c>
      <c r="J56" s="2488"/>
      <c r="K56" s="2614"/>
      <c r="L56" s="2488"/>
      <c r="M56" s="2614"/>
      <c r="N56" s="2479" t="str">
        <f t="shared" si="0"/>
        <v>CROWFOOT, OR, Distribution, Unattended</v>
      </c>
    </row>
    <row r="57" spans="1:14" ht="15.75" customHeight="1" x14ac:dyDescent="0.2">
      <c r="A57" s="3003">
        <f t="shared" si="1"/>
        <v>40.148999999999653</v>
      </c>
      <c r="B57" s="2512" t="s">
        <v>11117</v>
      </c>
      <c r="C57" s="2512" t="s">
        <v>512</v>
      </c>
      <c r="D57" s="2614" t="s">
        <v>10937</v>
      </c>
      <c r="E57" s="3041">
        <v>115</v>
      </c>
      <c r="F57" s="3041">
        <v>12.47</v>
      </c>
      <c r="G57" s="2488"/>
      <c r="H57" s="2752">
        <v>25</v>
      </c>
      <c r="I57" s="2752">
        <v>1</v>
      </c>
      <c r="J57" s="2488"/>
      <c r="K57" s="2614"/>
      <c r="L57" s="2488"/>
      <c r="M57" s="2614"/>
      <c r="N57" s="2479" t="str">
        <f t="shared" si="0"/>
        <v>CULLY, OR, Distribution, Unattended</v>
      </c>
    </row>
    <row r="58" spans="1:14" ht="15.75" customHeight="1" x14ac:dyDescent="0.2">
      <c r="A58" s="3003">
        <f t="shared" si="1"/>
        <v>40.14999999999965</v>
      </c>
      <c r="B58" s="2512" t="s">
        <v>11118</v>
      </c>
      <c r="C58" s="2512" t="s">
        <v>512</v>
      </c>
      <c r="D58" s="2614" t="s">
        <v>10937</v>
      </c>
      <c r="E58" s="3041">
        <v>69</v>
      </c>
      <c r="F58" s="3041">
        <v>12.47</v>
      </c>
      <c r="G58" s="3043">
        <v>7.2</v>
      </c>
      <c r="H58" s="2752">
        <v>13</v>
      </c>
      <c r="I58" s="2752">
        <v>1</v>
      </c>
      <c r="J58" s="2488"/>
      <c r="K58" s="2614"/>
      <c r="L58" s="2488"/>
      <c r="M58" s="2614"/>
      <c r="N58" s="2479" t="str">
        <f t="shared" si="0"/>
        <v>CULVER, OR, Distribution, Unattended</v>
      </c>
    </row>
    <row r="59" spans="1:14" ht="15.75" customHeight="1" x14ac:dyDescent="0.2">
      <c r="A59" s="3003">
        <f t="shared" si="1"/>
        <v>40.150999999999648</v>
      </c>
      <c r="B59" s="2512" t="s">
        <v>11119</v>
      </c>
      <c r="C59" s="2512" t="s">
        <v>512</v>
      </c>
      <c r="D59" s="2614" t="s">
        <v>10937</v>
      </c>
      <c r="E59" s="3041">
        <v>69</v>
      </c>
      <c r="F59" s="3041">
        <v>12.47</v>
      </c>
      <c r="G59" s="2488"/>
      <c r="H59" s="2752">
        <v>25</v>
      </c>
      <c r="I59" s="2752">
        <v>1</v>
      </c>
      <c r="J59" s="2488"/>
      <c r="K59" s="2614"/>
      <c r="L59" s="2488"/>
      <c r="M59" s="2614"/>
      <c r="N59" s="2479" t="str">
        <f t="shared" si="0"/>
        <v>DAIRY, OR, Distribution, Unattended</v>
      </c>
    </row>
    <row r="60" spans="1:14" ht="15.75" customHeight="1" x14ac:dyDescent="0.2">
      <c r="A60" s="3003">
        <f t="shared" si="1"/>
        <v>40.151999999999646</v>
      </c>
      <c r="B60" s="2512" t="s">
        <v>11120</v>
      </c>
      <c r="C60" s="2512" t="s">
        <v>512</v>
      </c>
      <c r="D60" s="2614" t="s">
        <v>10937</v>
      </c>
      <c r="E60" s="3041">
        <v>115</v>
      </c>
      <c r="F60" s="3041">
        <v>20.8</v>
      </c>
      <c r="G60" s="2488"/>
      <c r="H60" s="2752">
        <v>50</v>
      </c>
      <c r="I60" s="2752">
        <v>2</v>
      </c>
      <c r="J60" s="2488"/>
      <c r="K60" s="2614"/>
      <c r="L60" s="2488"/>
      <c r="M60" s="2614"/>
      <c r="N60" s="2479" t="str">
        <f t="shared" si="0"/>
        <v>DALLAS, OR, Distribution, Unattended</v>
      </c>
    </row>
    <row r="61" spans="1:14" ht="15.75" customHeight="1" x14ac:dyDescent="0.2">
      <c r="A61" s="3003">
        <f t="shared" si="1"/>
        <v>40.152999999999643</v>
      </c>
      <c r="B61" s="2512" t="s">
        <v>11121</v>
      </c>
      <c r="C61" s="2512" t="s">
        <v>512</v>
      </c>
      <c r="D61" s="2614" t="s">
        <v>10937</v>
      </c>
      <c r="E61" s="3041">
        <v>230</v>
      </c>
      <c r="F61" s="3041">
        <v>34.5</v>
      </c>
      <c r="G61" s="3043">
        <v>13.2</v>
      </c>
      <c r="H61" s="2752">
        <v>95</v>
      </c>
      <c r="I61" s="2752">
        <v>4</v>
      </c>
      <c r="J61" s="2750">
        <v>1</v>
      </c>
      <c r="K61" s="2614"/>
      <c r="L61" s="2488"/>
      <c r="M61" s="2614"/>
      <c r="N61" s="2479" t="str">
        <f t="shared" si="0"/>
        <v>DALREED, OR, Distribution, Unattended</v>
      </c>
    </row>
    <row r="62" spans="1:14" ht="15.75" customHeight="1" x14ac:dyDescent="0.2">
      <c r="A62" s="3003">
        <f t="shared" si="1"/>
        <v>40.153999999999641</v>
      </c>
      <c r="B62" s="2512" t="s">
        <v>11122</v>
      </c>
      <c r="C62" s="2512" t="s">
        <v>512</v>
      </c>
      <c r="D62" s="2614" t="s">
        <v>10937</v>
      </c>
      <c r="E62" s="3041">
        <v>115</v>
      </c>
      <c r="F62" s="3041">
        <v>20.8</v>
      </c>
      <c r="G62" s="2488"/>
      <c r="H62" s="2752">
        <v>50</v>
      </c>
      <c r="I62" s="2752">
        <v>2</v>
      </c>
      <c r="J62" s="2488"/>
      <c r="K62" s="2614"/>
      <c r="L62" s="2488"/>
      <c r="M62" s="2614"/>
      <c r="N62" s="2479" t="str">
        <f t="shared" si="0"/>
        <v>DEVILS LAKE, OR, Distribution, Unattended</v>
      </c>
    </row>
    <row r="63" spans="1:14" ht="15.75" customHeight="1" x14ac:dyDescent="0.2">
      <c r="A63" s="3003">
        <f t="shared" si="1"/>
        <v>40.154999999999639</v>
      </c>
      <c r="B63" s="2512" t="s">
        <v>11123</v>
      </c>
      <c r="C63" s="2512" t="s">
        <v>512</v>
      </c>
      <c r="D63" s="2614" t="s">
        <v>10937</v>
      </c>
      <c r="E63" s="3041">
        <v>115</v>
      </c>
      <c r="F63" s="3041">
        <v>4.16</v>
      </c>
      <c r="G63" s="3043">
        <v>7.2</v>
      </c>
      <c r="H63" s="2752">
        <v>7</v>
      </c>
      <c r="I63" s="2752">
        <v>1</v>
      </c>
      <c r="J63" s="2488"/>
      <c r="K63" s="2614"/>
      <c r="L63" s="2488"/>
      <c r="M63" s="2614"/>
      <c r="N63" s="2479" t="str">
        <f t="shared" si="0"/>
        <v>DIXON, OR, Distribution, Unattended</v>
      </c>
    </row>
    <row r="64" spans="1:14" ht="15.75" customHeight="1" x14ac:dyDescent="0.2">
      <c r="A64" s="3003">
        <f t="shared" si="1"/>
        <v>40.155999999999636</v>
      </c>
      <c r="B64" s="2512" t="s">
        <v>11124</v>
      </c>
      <c r="C64" s="2512" t="s">
        <v>512</v>
      </c>
      <c r="D64" s="2614" t="s">
        <v>10937</v>
      </c>
      <c r="E64" s="3041">
        <v>69</v>
      </c>
      <c r="F64" s="3041">
        <v>20.8</v>
      </c>
      <c r="G64" s="2488"/>
      <c r="H64" s="2752">
        <v>25</v>
      </c>
      <c r="I64" s="2752">
        <v>2</v>
      </c>
      <c r="J64" s="2488"/>
      <c r="K64" s="2614"/>
      <c r="L64" s="2488"/>
      <c r="M64" s="2614"/>
      <c r="N64" s="2479" t="str">
        <f t="shared" si="0"/>
        <v>DODGE BRIDGE, OR, Distribution, Unattended</v>
      </c>
    </row>
    <row r="65" spans="1:14" ht="15.75" customHeight="1" x14ac:dyDescent="0.2">
      <c r="A65" s="3003">
        <f t="shared" si="1"/>
        <v>40.156999999999634</v>
      </c>
      <c r="B65" s="2512" t="s">
        <v>11125</v>
      </c>
      <c r="C65" s="2512" t="s">
        <v>512</v>
      </c>
      <c r="D65" s="2614" t="s">
        <v>10937</v>
      </c>
      <c r="E65" s="3041">
        <v>115</v>
      </c>
      <c r="F65" s="3041">
        <v>12.47</v>
      </c>
      <c r="G65" s="2488"/>
      <c r="H65" s="2752">
        <v>25</v>
      </c>
      <c r="I65" s="2752">
        <v>1</v>
      </c>
      <c r="J65" s="2488"/>
      <c r="K65" s="2614"/>
      <c r="L65" s="2488"/>
      <c r="M65" s="2614"/>
      <c r="N65" s="2479" t="str">
        <f t="shared" si="0"/>
        <v>DOWELL, OR, Distribution, Unattended</v>
      </c>
    </row>
    <row r="66" spans="1:14" ht="15.75" customHeight="1" x14ac:dyDescent="0.2">
      <c r="A66" s="3003">
        <f t="shared" si="1"/>
        <v>40.157999999999632</v>
      </c>
      <c r="B66" s="2512" t="s">
        <v>11126</v>
      </c>
      <c r="C66" s="2512" t="s">
        <v>512</v>
      </c>
      <c r="D66" s="2614" t="s">
        <v>10937</v>
      </c>
      <c r="E66" s="3041">
        <v>115</v>
      </c>
      <c r="F66" s="3041">
        <v>12.47</v>
      </c>
      <c r="G66" s="2488"/>
      <c r="H66" s="2752">
        <v>45</v>
      </c>
      <c r="I66" s="2752">
        <v>2</v>
      </c>
      <c r="J66" s="2488"/>
      <c r="K66" s="2614"/>
      <c r="L66" s="2488"/>
      <c r="M66" s="2614"/>
      <c r="N66" s="2479" t="str">
        <f t="shared" si="0"/>
        <v>EASY VALLEY, OR, Distribution, Unattended</v>
      </c>
    </row>
    <row r="67" spans="1:14" ht="15.75" customHeight="1" x14ac:dyDescent="0.2">
      <c r="A67" s="3003">
        <f t="shared" si="1"/>
        <v>40.158999999999629</v>
      </c>
      <c r="B67" s="2512" t="s">
        <v>11127</v>
      </c>
      <c r="C67" s="2512" t="s">
        <v>512</v>
      </c>
      <c r="D67" s="2614" t="s">
        <v>10937</v>
      </c>
      <c r="E67" s="3041">
        <v>115</v>
      </c>
      <c r="F67" s="3041">
        <v>20.8</v>
      </c>
      <c r="G67" s="2488"/>
      <c r="H67" s="2752">
        <v>20</v>
      </c>
      <c r="I67" s="2752">
        <v>1</v>
      </c>
      <c r="J67" s="2488"/>
      <c r="K67" s="2614"/>
      <c r="L67" s="2488"/>
      <c r="M67" s="2614"/>
      <c r="N67" s="2479" t="str">
        <f t="shared" si="0"/>
        <v>EMPIRE, OR, Distribution, Unattended</v>
      </c>
    </row>
    <row r="68" spans="1:14" ht="15.75" customHeight="1" x14ac:dyDescent="0.2">
      <c r="A68" s="3003">
        <f t="shared" si="1"/>
        <v>40.159999999999627</v>
      </c>
      <c r="B68" s="2512" t="s">
        <v>11128</v>
      </c>
      <c r="C68" s="2512" t="s">
        <v>512</v>
      </c>
      <c r="D68" s="2614" t="s">
        <v>10937</v>
      </c>
      <c r="E68" s="3041">
        <v>69</v>
      </c>
      <c r="F68" s="3041">
        <v>20.8</v>
      </c>
      <c r="G68" s="2488"/>
      <c r="H68" s="2752">
        <v>19</v>
      </c>
      <c r="I68" s="2752">
        <v>2</v>
      </c>
      <c r="J68" s="2488"/>
      <c r="K68" s="2614"/>
      <c r="L68" s="2488"/>
      <c r="M68" s="2614"/>
      <c r="N68" s="2479" t="str">
        <f t="shared" si="0"/>
        <v>ENTERPRISE, OR, Distribution, Unattended</v>
      </c>
    </row>
    <row r="69" spans="1:14" ht="15.75" customHeight="1" x14ac:dyDescent="0.2">
      <c r="A69" s="3003">
        <f t="shared" si="1"/>
        <v>40.160999999999625</v>
      </c>
      <c r="B69" s="2512" t="s">
        <v>11129</v>
      </c>
      <c r="C69" s="2512" t="s">
        <v>512</v>
      </c>
      <c r="D69" s="2614" t="s">
        <v>10937</v>
      </c>
      <c r="E69" s="3041">
        <v>115</v>
      </c>
      <c r="F69" s="3041">
        <v>12.47</v>
      </c>
      <c r="G69" s="3043">
        <v>7.2</v>
      </c>
      <c r="H69" s="2752">
        <v>13</v>
      </c>
      <c r="I69" s="2752">
        <v>1</v>
      </c>
      <c r="J69" s="2488"/>
      <c r="K69" s="2614"/>
      <c r="L69" s="2488"/>
      <c r="M69" s="2614"/>
      <c r="N69" s="2479" t="str">
        <f t="shared" si="0"/>
        <v>FERN HILL, OR, Distribution, Unattended</v>
      </c>
    </row>
    <row r="70" spans="1:14" ht="15.75" customHeight="1" x14ac:dyDescent="0.2">
      <c r="A70" s="3003">
        <f t="shared" si="1"/>
        <v>40.161999999999622</v>
      </c>
      <c r="B70" s="2512" t="s">
        <v>11130</v>
      </c>
      <c r="C70" s="2512" t="s">
        <v>512</v>
      </c>
      <c r="D70" s="2614" t="s">
        <v>10937</v>
      </c>
      <c r="E70" s="3041">
        <v>115</v>
      </c>
      <c r="F70" s="3041">
        <v>20.8</v>
      </c>
      <c r="G70" s="2488"/>
      <c r="H70" s="2752">
        <v>20</v>
      </c>
      <c r="I70" s="2752">
        <v>1</v>
      </c>
      <c r="J70" s="2488"/>
      <c r="K70" s="2614"/>
      <c r="L70" s="2488"/>
      <c r="M70" s="2614"/>
      <c r="N70" s="2479" t="str">
        <f t="shared" si="0"/>
        <v>FIELDER CREEK, OR, Distribution, Unattended</v>
      </c>
    </row>
    <row r="71" spans="1:14" ht="15.75" customHeight="1" x14ac:dyDescent="0.2">
      <c r="A71" s="3003">
        <f t="shared" si="1"/>
        <v>40.16299999999962</v>
      </c>
      <c r="B71" s="2512" t="s">
        <v>11131</v>
      </c>
      <c r="C71" s="2512" t="s">
        <v>512</v>
      </c>
      <c r="D71" s="2614" t="s">
        <v>10937</v>
      </c>
      <c r="E71" s="3041">
        <v>115</v>
      </c>
      <c r="F71" s="3041">
        <v>69</v>
      </c>
      <c r="G71" s="3043">
        <v>12.47</v>
      </c>
      <c r="H71" s="2752">
        <v>19</v>
      </c>
      <c r="I71" s="2752">
        <v>3</v>
      </c>
      <c r="J71" s="2488"/>
      <c r="K71" s="2614"/>
      <c r="L71" s="2488"/>
      <c r="M71" s="2614"/>
      <c r="N71" s="2479" t="str">
        <f t="shared" si="0"/>
        <v>FISH HOLE, OR, Distribution, Unattended</v>
      </c>
    </row>
    <row r="72" spans="1:14" ht="15.75" customHeight="1" x14ac:dyDescent="0.2">
      <c r="A72" s="3003">
        <f t="shared" si="1"/>
        <v>40.163999999999618</v>
      </c>
      <c r="B72" s="2512" t="s">
        <v>11132</v>
      </c>
      <c r="C72" s="2512" t="s">
        <v>512</v>
      </c>
      <c r="D72" s="2614" t="s">
        <v>10937</v>
      </c>
      <c r="E72" s="3041">
        <v>69</v>
      </c>
      <c r="F72" s="3041">
        <v>12.47</v>
      </c>
      <c r="G72" s="2488"/>
      <c r="H72" s="2752">
        <v>21</v>
      </c>
      <c r="I72" s="2752">
        <v>4</v>
      </c>
      <c r="J72" s="2488"/>
      <c r="K72" s="2614"/>
      <c r="L72" s="2488"/>
      <c r="M72" s="2614"/>
      <c r="N72" s="2479" t="str">
        <f t="shared" si="0"/>
        <v>FOOTHILLS, OR, Distribution, Unattended</v>
      </c>
    </row>
    <row r="73" spans="1:14" ht="15.75" customHeight="1" x14ac:dyDescent="0.2">
      <c r="A73" s="3003">
        <f t="shared" si="1"/>
        <v>40.164999999999615</v>
      </c>
      <c r="B73" s="2512" t="s">
        <v>11133</v>
      </c>
      <c r="C73" s="2512" t="s">
        <v>512</v>
      </c>
      <c r="D73" s="2614" t="s">
        <v>10937</v>
      </c>
      <c r="E73" s="3041">
        <v>69</v>
      </c>
      <c r="F73" s="3041">
        <v>12.47</v>
      </c>
      <c r="G73" s="2488"/>
      <c r="H73" s="2752">
        <v>5</v>
      </c>
      <c r="I73" s="2752">
        <v>3</v>
      </c>
      <c r="J73" s="2488"/>
      <c r="K73" s="2614"/>
      <c r="L73" s="2488"/>
      <c r="M73" s="2614"/>
      <c r="N73" s="2479" t="str">
        <f t="shared" si="0"/>
        <v>FRALEY, OR, Distribution, Unattended</v>
      </c>
    </row>
    <row r="74" spans="1:14" ht="15.75" customHeight="1" x14ac:dyDescent="0.2">
      <c r="A74" s="3003">
        <f t="shared" si="1"/>
        <v>40.165999999999613</v>
      </c>
      <c r="B74" s="2512" t="s">
        <v>11134</v>
      </c>
      <c r="C74" s="2512" t="s">
        <v>512</v>
      </c>
      <c r="D74" s="2614" t="s">
        <v>10937</v>
      </c>
      <c r="E74" s="3041">
        <v>69</v>
      </c>
      <c r="F74" s="3041">
        <v>20.8</v>
      </c>
      <c r="G74" s="2488"/>
      <c r="H74" s="2752">
        <v>20</v>
      </c>
      <c r="I74" s="2752">
        <v>1</v>
      </c>
      <c r="J74" s="2488"/>
      <c r="K74" s="2614"/>
      <c r="L74" s="2488"/>
      <c r="M74" s="2614"/>
      <c r="N74" s="2479" t="str">
        <f t="shared" ref="N74:N137" si="2">CONCATENATE(B74,", ",C74,", ",D74)</f>
        <v>GARDEN VALLEY, OR, Distribution, Unattended</v>
      </c>
    </row>
    <row r="75" spans="1:14" ht="15.75" customHeight="1" x14ac:dyDescent="0.2">
      <c r="A75" s="3003">
        <f t="shared" ref="A75:A138" si="3">A74+0.001</f>
        <v>40.166999999999611</v>
      </c>
      <c r="B75" s="2512" t="s">
        <v>11135</v>
      </c>
      <c r="C75" s="2512" t="s">
        <v>512</v>
      </c>
      <c r="D75" s="2614" t="s">
        <v>10937</v>
      </c>
      <c r="E75" s="3041">
        <v>230</v>
      </c>
      <c r="F75" s="3041">
        <v>12.47</v>
      </c>
      <c r="G75" s="2488"/>
      <c r="H75" s="2752">
        <v>25</v>
      </c>
      <c r="I75" s="2752">
        <v>2</v>
      </c>
      <c r="J75" s="2488"/>
      <c r="K75" s="2614"/>
      <c r="L75" s="2488"/>
      <c r="M75" s="2614"/>
      <c r="N75" s="2479" t="str">
        <f t="shared" si="2"/>
        <v>GLENDALE, OR, Distribution, Unattended</v>
      </c>
    </row>
    <row r="76" spans="1:14" ht="15.75" customHeight="1" x14ac:dyDescent="0.2">
      <c r="A76" s="3003">
        <f t="shared" si="3"/>
        <v>40.167999999999608</v>
      </c>
      <c r="B76" s="2512" t="s">
        <v>11136</v>
      </c>
      <c r="C76" s="2512" t="s">
        <v>512</v>
      </c>
      <c r="D76" s="2614" t="s">
        <v>10937</v>
      </c>
      <c r="E76" s="3041">
        <v>20.8</v>
      </c>
      <c r="F76" s="3041">
        <v>4.16</v>
      </c>
      <c r="G76" s="2488"/>
      <c r="H76" s="2752">
        <v>6</v>
      </c>
      <c r="I76" s="2752">
        <v>1</v>
      </c>
      <c r="J76" s="2488"/>
      <c r="K76" s="2614"/>
      <c r="L76" s="2488"/>
      <c r="M76" s="2614"/>
      <c r="N76" s="2479" t="str">
        <f t="shared" si="2"/>
        <v>GLENEDEN, OR, Distribution, Unattended</v>
      </c>
    </row>
    <row r="77" spans="1:14" ht="15.75" customHeight="1" x14ac:dyDescent="0.2">
      <c r="A77" s="3003">
        <f t="shared" si="3"/>
        <v>40.168999999999606</v>
      </c>
      <c r="B77" s="2512" t="s">
        <v>11137</v>
      </c>
      <c r="C77" s="2512" t="s">
        <v>512</v>
      </c>
      <c r="D77" s="2614" t="s">
        <v>10937</v>
      </c>
      <c r="E77" s="3041">
        <v>115</v>
      </c>
      <c r="F77" s="3041">
        <v>12.47</v>
      </c>
      <c r="G77" s="2488"/>
      <c r="H77" s="2752">
        <v>13</v>
      </c>
      <c r="I77" s="2752">
        <v>1</v>
      </c>
      <c r="J77" s="2488"/>
      <c r="K77" s="2614"/>
      <c r="L77" s="2488"/>
      <c r="M77" s="2614"/>
      <c r="N77" s="2479" t="str">
        <f t="shared" si="2"/>
        <v>GLIDE, OR, Distribution, Unattended</v>
      </c>
    </row>
    <row r="78" spans="1:14" ht="15.75" customHeight="1" x14ac:dyDescent="0.2">
      <c r="A78" s="3003">
        <f t="shared" si="3"/>
        <v>40.169999999999604</v>
      </c>
      <c r="B78" s="2512" t="s">
        <v>11138</v>
      </c>
      <c r="C78" s="2512" t="s">
        <v>512</v>
      </c>
      <c r="D78" s="2614" t="s">
        <v>10937</v>
      </c>
      <c r="E78" s="3041">
        <v>69</v>
      </c>
      <c r="F78" s="3041">
        <v>12.47</v>
      </c>
      <c r="G78" s="2488"/>
      <c r="H78" s="2752">
        <v>11</v>
      </c>
      <c r="I78" s="2752">
        <v>3</v>
      </c>
      <c r="J78" s="2488"/>
      <c r="K78" s="2614"/>
      <c r="L78" s="2488"/>
      <c r="M78" s="2614"/>
      <c r="N78" s="2479" t="str">
        <f t="shared" si="2"/>
        <v>GOLD HILL, OR, Distribution, Unattended</v>
      </c>
    </row>
    <row r="79" spans="1:14" ht="15.75" customHeight="1" x14ac:dyDescent="0.2">
      <c r="A79" s="3003">
        <f t="shared" si="3"/>
        <v>40.170999999999601</v>
      </c>
      <c r="B79" s="2512" t="s">
        <v>11139</v>
      </c>
      <c r="C79" s="2512" t="s">
        <v>512</v>
      </c>
      <c r="D79" s="2614" t="s">
        <v>10937</v>
      </c>
      <c r="E79" s="3041">
        <v>69</v>
      </c>
      <c r="F79" s="3041">
        <v>20.8</v>
      </c>
      <c r="G79" s="2488"/>
      <c r="H79" s="2752">
        <v>6</v>
      </c>
      <c r="I79" s="2752">
        <v>1</v>
      </c>
      <c r="J79" s="2488"/>
      <c r="K79" s="2614"/>
      <c r="L79" s="2488"/>
      <c r="M79" s="2614"/>
      <c r="N79" s="2479" t="str">
        <f t="shared" si="2"/>
        <v>GORDON HOLLOW, OR, Distribution, Unattended</v>
      </c>
    </row>
    <row r="80" spans="1:14" ht="15.75" customHeight="1" x14ac:dyDescent="0.2">
      <c r="A80" s="3003">
        <f t="shared" si="3"/>
        <v>40.171999999999599</v>
      </c>
      <c r="B80" s="2512" t="s">
        <v>11140</v>
      </c>
      <c r="C80" s="2512" t="s">
        <v>512</v>
      </c>
      <c r="D80" s="2614" t="s">
        <v>10937</v>
      </c>
      <c r="E80" s="3041">
        <v>115</v>
      </c>
      <c r="F80" s="3041">
        <v>20.8</v>
      </c>
      <c r="G80" s="2488"/>
      <c r="H80" s="2752">
        <v>20</v>
      </c>
      <c r="I80" s="2752">
        <v>1</v>
      </c>
      <c r="J80" s="2488"/>
      <c r="K80" s="2614"/>
      <c r="L80" s="2488"/>
      <c r="M80" s="2614"/>
      <c r="N80" s="2479" t="str">
        <f t="shared" si="2"/>
        <v>GOSHEN, OR, Distribution, Unattended</v>
      </c>
    </row>
    <row r="81" spans="1:14" ht="15.75" customHeight="1" x14ac:dyDescent="0.2">
      <c r="A81" s="3003">
        <f t="shared" si="3"/>
        <v>40.172999999999597</v>
      </c>
      <c r="B81" s="2512" t="s">
        <v>11141</v>
      </c>
      <c r="C81" s="2512" t="s">
        <v>512</v>
      </c>
      <c r="D81" s="2614" t="s">
        <v>10937</v>
      </c>
      <c r="E81" s="3041">
        <v>115</v>
      </c>
      <c r="F81" s="3041">
        <v>20.8</v>
      </c>
      <c r="G81" s="2488"/>
      <c r="H81" s="2752">
        <v>45</v>
      </c>
      <c r="I81" s="2752">
        <v>2</v>
      </c>
      <c r="J81" s="2488"/>
      <c r="K81" s="2614"/>
      <c r="L81" s="2488"/>
      <c r="M81" s="2614"/>
      <c r="N81" s="2479" t="str">
        <f t="shared" si="2"/>
        <v>GRANT STREET, OR, Distribution, Unattended</v>
      </c>
    </row>
    <row r="82" spans="1:14" ht="15.75" customHeight="1" x14ac:dyDescent="0.2">
      <c r="A82" s="3003">
        <f t="shared" si="3"/>
        <v>40.173999999999594</v>
      </c>
      <c r="B82" s="2512" t="s">
        <v>11142</v>
      </c>
      <c r="C82" s="2512" t="s">
        <v>512</v>
      </c>
      <c r="D82" s="2614" t="s">
        <v>10937</v>
      </c>
      <c r="E82" s="3041">
        <v>69</v>
      </c>
      <c r="F82" s="3041">
        <v>12.47</v>
      </c>
      <c r="G82" s="2488"/>
      <c r="H82" s="2752">
        <v>25</v>
      </c>
      <c r="I82" s="2752">
        <v>1</v>
      </c>
      <c r="J82" s="2488"/>
      <c r="K82" s="2614"/>
      <c r="L82" s="2488"/>
      <c r="M82" s="2614"/>
      <c r="N82" s="2479" t="str">
        <f t="shared" si="2"/>
        <v>GREEN, OR, Distribution, Unattended</v>
      </c>
    </row>
    <row r="83" spans="1:14" ht="15.75" customHeight="1" x14ac:dyDescent="0.2">
      <c r="A83" s="3003">
        <f t="shared" si="3"/>
        <v>40.174999999999592</v>
      </c>
      <c r="B83" s="2512" t="s">
        <v>11143</v>
      </c>
      <c r="C83" s="2512" t="s">
        <v>512</v>
      </c>
      <c r="D83" s="2614" t="s">
        <v>10937</v>
      </c>
      <c r="E83" s="3041">
        <v>115</v>
      </c>
      <c r="F83" s="3041">
        <v>12.47</v>
      </c>
      <c r="G83" s="2488"/>
      <c r="H83" s="2752">
        <v>20</v>
      </c>
      <c r="I83" s="2752">
        <v>1</v>
      </c>
      <c r="J83" s="2488"/>
      <c r="K83" s="2614"/>
      <c r="L83" s="2488"/>
      <c r="M83" s="2614"/>
      <c r="N83" s="2479" t="str">
        <f t="shared" si="2"/>
        <v>GRIFFIN CREEK, OR, Distribution, Unattended</v>
      </c>
    </row>
    <row r="84" spans="1:14" ht="15.75" customHeight="1" x14ac:dyDescent="0.2">
      <c r="A84" s="3003">
        <f t="shared" si="3"/>
        <v>40.17599999999959</v>
      </c>
      <c r="B84" s="2512" t="s">
        <v>11144</v>
      </c>
      <c r="C84" s="2512" t="s">
        <v>512</v>
      </c>
      <c r="D84" s="2614" t="s">
        <v>10937</v>
      </c>
      <c r="E84" s="3041">
        <v>69</v>
      </c>
      <c r="F84" s="3041">
        <v>12.47</v>
      </c>
      <c r="G84" s="2488"/>
      <c r="H84" s="2752">
        <v>8</v>
      </c>
      <c r="I84" s="2752">
        <v>3</v>
      </c>
      <c r="J84" s="2488"/>
      <c r="K84" s="2614"/>
      <c r="L84" s="2488"/>
      <c r="M84" s="2614"/>
      <c r="N84" s="2479" t="str">
        <f t="shared" si="2"/>
        <v>HAMAKER, OR, Distribution, Unattended</v>
      </c>
    </row>
    <row r="85" spans="1:14" ht="15.75" customHeight="1" x14ac:dyDescent="0.2">
      <c r="A85" s="3003">
        <f t="shared" si="3"/>
        <v>40.176999999999587</v>
      </c>
      <c r="B85" s="2512" t="s">
        <v>11145</v>
      </c>
      <c r="C85" s="2512" t="s">
        <v>512</v>
      </c>
      <c r="D85" s="2614" t="s">
        <v>10937</v>
      </c>
      <c r="E85" s="3041">
        <v>69</v>
      </c>
      <c r="F85" s="3041">
        <v>20.8</v>
      </c>
      <c r="G85" s="2488"/>
      <c r="H85" s="2752">
        <v>13</v>
      </c>
      <c r="I85" s="2752">
        <v>1</v>
      </c>
      <c r="J85" s="2488"/>
      <c r="K85" s="2614"/>
      <c r="L85" s="2488"/>
      <c r="M85" s="2614"/>
      <c r="N85" s="2479" t="str">
        <f t="shared" si="2"/>
        <v>HARRISBURG, OR, Distribution, Unattended</v>
      </c>
    </row>
    <row r="86" spans="1:14" ht="15.75" customHeight="1" x14ac:dyDescent="0.2">
      <c r="A86" s="3003">
        <f t="shared" si="3"/>
        <v>40.177999999999585</v>
      </c>
      <c r="B86" s="2512" t="s">
        <v>11146</v>
      </c>
      <c r="C86" s="2512" t="s">
        <v>512</v>
      </c>
      <c r="D86" s="2614" t="s">
        <v>10937</v>
      </c>
      <c r="E86" s="3041">
        <v>69</v>
      </c>
      <c r="F86" s="3041">
        <v>12.47</v>
      </c>
      <c r="G86" s="2488"/>
      <c r="H86" s="2752">
        <v>6</v>
      </c>
      <c r="I86" s="2752">
        <v>3</v>
      </c>
      <c r="J86" s="2488"/>
      <c r="K86" s="2614"/>
      <c r="L86" s="2488"/>
      <c r="M86" s="2614"/>
      <c r="N86" s="2479" t="str">
        <f t="shared" si="2"/>
        <v>HENLEY, OR, Distribution, Unattended</v>
      </c>
    </row>
    <row r="87" spans="1:14" ht="15.75" customHeight="1" x14ac:dyDescent="0.2">
      <c r="A87" s="3003">
        <f t="shared" si="3"/>
        <v>40.178999999999583</v>
      </c>
      <c r="B87" s="2512" t="s">
        <v>11147</v>
      </c>
      <c r="C87" s="2512" t="s">
        <v>512</v>
      </c>
      <c r="D87" s="2614" t="s">
        <v>10937</v>
      </c>
      <c r="E87" s="3041">
        <v>69</v>
      </c>
      <c r="F87" s="3041">
        <v>12.47</v>
      </c>
      <c r="G87" s="2488"/>
      <c r="H87" s="2752">
        <v>20</v>
      </c>
      <c r="I87" s="2752">
        <v>1</v>
      </c>
      <c r="J87" s="2488"/>
      <c r="K87" s="2614"/>
      <c r="L87" s="2488"/>
      <c r="M87" s="2614"/>
      <c r="N87" s="2479" t="str">
        <f t="shared" si="2"/>
        <v>HERMISTON, OR, Distribution, Unattended</v>
      </c>
    </row>
    <row r="88" spans="1:14" ht="15.75" customHeight="1" x14ac:dyDescent="0.2">
      <c r="A88" s="3003">
        <f t="shared" si="3"/>
        <v>40.17999999999958</v>
      </c>
      <c r="B88" s="2512" t="s">
        <v>11148</v>
      </c>
      <c r="C88" s="2512" t="s">
        <v>512</v>
      </c>
      <c r="D88" s="2614" t="s">
        <v>10937</v>
      </c>
      <c r="E88" s="3041">
        <v>115</v>
      </c>
      <c r="F88" s="3041">
        <v>20.8</v>
      </c>
      <c r="G88" s="2488"/>
      <c r="H88" s="2752">
        <v>45</v>
      </c>
      <c r="I88" s="2752">
        <v>2</v>
      </c>
      <c r="J88" s="2488"/>
      <c r="K88" s="2614"/>
      <c r="L88" s="2488"/>
      <c r="M88" s="2614"/>
      <c r="N88" s="2479" t="str">
        <f t="shared" si="2"/>
        <v>HILLVIEW, OR, Distribution, Unattended</v>
      </c>
    </row>
    <row r="89" spans="1:14" ht="15.75" customHeight="1" x14ac:dyDescent="0.2">
      <c r="A89" s="3003">
        <f t="shared" si="3"/>
        <v>40.180999999999578</v>
      </c>
      <c r="B89" s="2512" t="s">
        <v>11149</v>
      </c>
      <c r="C89" s="2512" t="s">
        <v>512</v>
      </c>
      <c r="D89" s="2614" t="s">
        <v>10937</v>
      </c>
      <c r="E89" s="3041">
        <v>69</v>
      </c>
      <c r="F89" s="3041">
        <v>12.47</v>
      </c>
      <c r="G89" s="2488"/>
      <c r="H89" s="2752">
        <v>20</v>
      </c>
      <c r="I89" s="2752">
        <v>1</v>
      </c>
      <c r="J89" s="2488"/>
      <c r="K89" s="2614"/>
      <c r="L89" s="2488"/>
      <c r="M89" s="2614"/>
      <c r="N89" s="2479" t="str">
        <f t="shared" si="2"/>
        <v>HINKLE, OR, Distribution, Unattended</v>
      </c>
    </row>
    <row r="90" spans="1:14" ht="15.75" customHeight="1" x14ac:dyDescent="0.2">
      <c r="A90" s="3003">
        <f t="shared" si="3"/>
        <v>40.181999999999576</v>
      </c>
      <c r="B90" s="2512" t="s">
        <v>11150</v>
      </c>
      <c r="C90" s="2512" t="s">
        <v>512</v>
      </c>
      <c r="D90" s="2614" t="s">
        <v>10937</v>
      </c>
      <c r="E90" s="3041">
        <v>115</v>
      </c>
      <c r="F90" s="3041">
        <v>12.47</v>
      </c>
      <c r="G90" s="2488"/>
      <c r="H90" s="2752">
        <v>75</v>
      </c>
      <c r="I90" s="2752">
        <v>3</v>
      </c>
      <c r="J90" s="2488"/>
      <c r="K90" s="2614"/>
      <c r="L90" s="2488"/>
      <c r="M90" s="2614"/>
      <c r="N90" s="2479" t="str">
        <f t="shared" si="2"/>
        <v>HOLLADAY, OR, Distribution, Unattended</v>
      </c>
    </row>
    <row r="91" spans="1:14" ht="15.75" customHeight="1" x14ac:dyDescent="0.2">
      <c r="A91" s="3003">
        <f t="shared" si="3"/>
        <v>40.182999999999574</v>
      </c>
      <c r="B91" s="2512" t="s">
        <v>11151</v>
      </c>
      <c r="C91" s="2512" t="s">
        <v>512</v>
      </c>
      <c r="D91" s="2614" t="s">
        <v>10937</v>
      </c>
      <c r="E91" s="3041">
        <v>115</v>
      </c>
      <c r="F91" s="3041">
        <v>12.47</v>
      </c>
      <c r="G91" s="2488"/>
      <c r="H91" s="2752">
        <v>50</v>
      </c>
      <c r="I91" s="2752">
        <v>2</v>
      </c>
      <c r="J91" s="2488"/>
      <c r="K91" s="2614"/>
      <c r="L91" s="2488"/>
      <c r="M91" s="2614"/>
      <c r="N91" s="2479" t="str">
        <f t="shared" si="2"/>
        <v>HOLLYWOOD, OR, Distribution, Unattended</v>
      </c>
    </row>
    <row r="92" spans="1:14" ht="15.75" customHeight="1" x14ac:dyDescent="0.2">
      <c r="A92" s="3003">
        <f t="shared" si="3"/>
        <v>40.183999999999571</v>
      </c>
      <c r="B92" s="2512" t="s">
        <v>11152</v>
      </c>
      <c r="C92" s="2512" t="s">
        <v>512</v>
      </c>
      <c r="D92" s="2614" t="s">
        <v>10937</v>
      </c>
      <c r="E92" s="3041">
        <v>69</v>
      </c>
      <c r="F92" s="3041">
        <v>12.47</v>
      </c>
      <c r="G92" s="2488"/>
      <c r="H92" s="2752">
        <v>40</v>
      </c>
      <c r="I92" s="2752">
        <v>2</v>
      </c>
      <c r="J92" s="2488"/>
      <c r="K92" s="2614"/>
      <c r="L92" s="2488"/>
      <c r="M92" s="2614"/>
      <c r="N92" s="2479" t="str">
        <f t="shared" si="2"/>
        <v>HOOD RIVER, OR, Distribution, Unattended</v>
      </c>
    </row>
    <row r="93" spans="1:14" ht="15.75" customHeight="1" x14ac:dyDescent="0.2">
      <c r="A93" s="3003">
        <f t="shared" si="3"/>
        <v>40.184999999999569</v>
      </c>
      <c r="B93" s="2512" t="s">
        <v>11153</v>
      </c>
      <c r="C93" s="2512" t="s">
        <v>512</v>
      </c>
      <c r="D93" s="2614" t="s">
        <v>10937</v>
      </c>
      <c r="E93" s="3041">
        <v>69</v>
      </c>
      <c r="F93" s="3041">
        <v>12.47</v>
      </c>
      <c r="G93" s="2488"/>
      <c r="H93" s="2752">
        <v>20</v>
      </c>
      <c r="I93" s="2752">
        <v>1</v>
      </c>
      <c r="J93" s="2488"/>
      <c r="K93" s="2614"/>
      <c r="L93" s="2488"/>
      <c r="M93" s="2614"/>
      <c r="N93" s="2479" t="str">
        <f t="shared" si="2"/>
        <v>HORNET, OR, Distribution, Unattended</v>
      </c>
    </row>
    <row r="94" spans="1:14" ht="15.75" customHeight="1" x14ac:dyDescent="0.2">
      <c r="A94" s="3003">
        <f t="shared" si="3"/>
        <v>40.185999999999567</v>
      </c>
      <c r="B94" s="2512" t="s">
        <v>11154</v>
      </c>
      <c r="C94" s="2512" t="s">
        <v>512</v>
      </c>
      <c r="D94" s="2614" t="s">
        <v>10937</v>
      </c>
      <c r="E94" s="3041">
        <v>69</v>
      </c>
      <c r="F94" s="3041">
        <v>12.47</v>
      </c>
      <c r="G94" s="2488"/>
      <c r="H94" s="2752">
        <v>9</v>
      </c>
      <c r="I94" s="2752">
        <v>1</v>
      </c>
      <c r="J94" s="2488"/>
      <c r="K94" s="2614"/>
      <c r="L94" s="2488"/>
      <c r="M94" s="2614"/>
      <c r="N94" s="2479" t="str">
        <f t="shared" si="2"/>
        <v>HUMBUG, OR, Distribution, Unattended</v>
      </c>
    </row>
    <row r="95" spans="1:14" ht="15.75" customHeight="1" x14ac:dyDescent="0.2">
      <c r="A95" s="3003">
        <f t="shared" si="3"/>
        <v>40.186999999999564</v>
      </c>
      <c r="B95" s="2512" t="s">
        <v>11155</v>
      </c>
      <c r="C95" s="2512" t="s">
        <v>512</v>
      </c>
      <c r="D95" s="2614" t="s">
        <v>10937</v>
      </c>
      <c r="E95" s="3041">
        <v>69</v>
      </c>
      <c r="F95" s="3041">
        <v>12.47</v>
      </c>
      <c r="G95" s="2488"/>
      <c r="H95" s="2752">
        <v>13</v>
      </c>
      <c r="I95" s="2752">
        <v>1</v>
      </c>
      <c r="J95" s="2488"/>
      <c r="K95" s="2614"/>
      <c r="L95" s="2488"/>
      <c r="M95" s="2614"/>
      <c r="N95" s="2479" t="str">
        <f t="shared" si="2"/>
        <v>HUNTERS CIRCLE, OR, Distribution, Unattended</v>
      </c>
    </row>
    <row r="96" spans="1:14" ht="15.75" customHeight="1" x14ac:dyDescent="0.2">
      <c r="A96" s="3003">
        <f t="shared" si="3"/>
        <v>40.187999999999562</v>
      </c>
      <c r="B96" s="2512" t="s">
        <v>11156</v>
      </c>
      <c r="C96" s="2512" t="s">
        <v>512</v>
      </c>
      <c r="D96" s="2614" t="s">
        <v>10937</v>
      </c>
      <c r="E96" s="3041">
        <v>115</v>
      </c>
      <c r="F96" s="3041">
        <v>7.2</v>
      </c>
      <c r="G96" s="2488"/>
      <c r="H96" s="2752">
        <v>2</v>
      </c>
      <c r="I96" s="2752">
        <v>1</v>
      </c>
      <c r="J96" s="2488"/>
      <c r="K96" s="2614"/>
      <c r="L96" s="2488"/>
      <c r="M96" s="2614"/>
      <c r="N96" s="2479" t="str">
        <f t="shared" si="2"/>
        <v>ILLAHEE FLATS, OR, Distribution, Unattended</v>
      </c>
    </row>
    <row r="97" spans="1:14" ht="15.75" customHeight="1" x14ac:dyDescent="0.2">
      <c r="A97" s="3003">
        <f t="shared" si="3"/>
        <v>40.18899999999956</v>
      </c>
      <c r="B97" s="2512" t="s">
        <v>11157</v>
      </c>
      <c r="C97" s="2512" t="s">
        <v>512</v>
      </c>
      <c r="D97" s="2614" t="s">
        <v>10937</v>
      </c>
      <c r="E97" s="3041">
        <v>69</v>
      </c>
      <c r="F97" s="3041">
        <v>20.8</v>
      </c>
      <c r="G97" s="2488"/>
      <c r="H97" s="2752">
        <v>25</v>
      </c>
      <c r="I97" s="2752">
        <v>1</v>
      </c>
      <c r="J97" s="2488"/>
      <c r="K97" s="2614"/>
      <c r="L97" s="2488"/>
      <c r="M97" s="2614"/>
      <c r="N97" s="2479" t="str">
        <f t="shared" si="2"/>
        <v>INDEPENDENCE, OR, Distribution, Unattended</v>
      </c>
    </row>
    <row r="98" spans="1:14" ht="15.75" customHeight="1" x14ac:dyDescent="0.2">
      <c r="A98" s="3003">
        <f t="shared" si="3"/>
        <v>40.189999999999557</v>
      </c>
      <c r="B98" s="2512" t="s">
        <v>11158</v>
      </c>
      <c r="C98" s="2512" t="s">
        <v>512</v>
      </c>
      <c r="D98" s="2614" t="s">
        <v>10937</v>
      </c>
      <c r="E98" s="3041">
        <v>115</v>
      </c>
      <c r="F98" s="3041">
        <v>69</v>
      </c>
      <c r="G98" s="3043">
        <v>13.2</v>
      </c>
      <c r="H98" s="2752">
        <v>75</v>
      </c>
      <c r="I98" s="2752">
        <v>2</v>
      </c>
      <c r="J98" s="2488"/>
      <c r="K98" s="2614"/>
      <c r="L98" s="2488"/>
      <c r="M98" s="2614"/>
      <c r="N98" s="2479" t="str">
        <f t="shared" si="2"/>
        <v>JACKSONVILLE, OR, Distribution, Unattended</v>
      </c>
    </row>
    <row r="99" spans="1:14" ht="15.75" customHeight="1" x14ac:dyDescent="0.2">
      <c r="A99" s="3003">
        <f t="shared" si="3"/>
        <v>40.190999999999555</v>
      </c>
      <c r="B99" s="2512" t="s">
        <v>11159</v>
      </c>
      <c r="C99" s="2512" t="s">
        <v>512</v>
      </c>
      <c r="D99" s="2614" t="s">
        <v>10937</v>
      </c>
      <c r="E99" s="3041">
        <v>69</v>
      </c>
      <c r="F99" s="3041">
        <v>20.8</v>
      </c>
      <c r="G99" s="2488"/>
      <c r="H99" s="2752">
        <v>25</v>
      </c>
      <c r="I99" s="2752">
        <v>1</v>
      </c>
      <c r="J99" s="2488"/>
      <c r="K99" s="2614"/>
      <c r="L99" s="2488"/>
      <c r="M99" s="2614"/>
      <c r="N99" s="2479" t="str">
        <f t="shared" si="2"/>
        <v>JEFFERSON, OR, Distribution, Unattended</v>
      </c>
    </row>
    <row r="100" spans="1:14" ht="15.75" customHeight="1" x14ac:dyDescent="0.2">
      <c r="A100" s="3003">
        <f t="shared" si="3"/>
        <v>40.191999999999553</v>
      </c>
      <c r="B100" s="2512" t="s">
        <v>11160</v>
      </c>
      <c r="C100" s="2512" t="s">
        <v>512</v>
      </c>
      <c r="D100" s="2614" t="s">
        <v>10937</v>
      </c>
      <c r="E100" s="3041">
        <v>115</v>
      </c>
      <c r="F100" s="3041">
        <v>12.47</v>
      </c>
      <c r="G100" s="2488"/>
      <c r="H100" s="2752">
        <v>25</v>
      </c>
      <c r="I100" s="2752">
        <v>1</v>
      </c>
      <c r="J100" s="2488"/>
      <c r="K100" s="2614"/>
      <c r="L100" s="2488"/>
      <c r="M100" s="2614"/>
      <c r="N100" s="2479" t="str">
        <f t="shared" si="2"/>
        <v>JEROME PRAIRIE, OR, Distribution, Unattended</v>
      </c>
    </row>
    <row r="101" spans="1:14" ht="15.75" customHeight="1" x14ac:dyDescent="0.2">
      <c r="A101" s="3003">
        <f t="shared" si="3"/>
        <v>40.19299999999955</v>
      </c>
      <c r="B101" s="2512" t="s">
        <v>11161</v>
      </c>
      <c r="C101" s="2512" t="s">
        <v>512</v>
      </c>
      <c r="D101" s="2614" t="s">
        <v>10937</v>
      </c>
      <c r="E101" s="3041">
        <v>115</v>
      </c>
      <c r="F101" s="3041">
        <v>12.47</v>
      </c>
      <c r="G101" s="2488"/>
      <c r="H101" s="2752">
        <v>20</v>
      </c>
      <c r="I101" s="2752">
        <v>1</v>
      </c>
      <c r="J101" s="2488"/>
      <c r="K101" s="2614"/>
      <c r="L101" s="2488"/>
      <c r="M101" s="2614"/>
      <c r="N101" s="2479" t="str">
        <f t="shared" si="2"/>
        <v>JORDAN POINT, OR, Distribution, Unattended</v>
      </c>
    </row>
    <row r="102" spans="1:14" ht="15.75" customHeight="1" x14ac:dyDescent="0.2">
      <c r="A102" s="3003">
        <f t="shared" si="3"/>
        <v>40.193999999999548</v>
      </c>
      <c r="B102" s="2512" t="s">
        <v>11162</v>
      </c>
      <c r="C102" s="2512" t="s">
        <v>512</v>
      </c>
      <c r="D102" s="2614" t="s">
        <v>10937</v>
      </c>
      <c r="E102" s="3041">
        <v>20.8</v>
      </c>
      <c r="F102" s="3041">
        <v>12.47</v>
      </c>
      <c r="G102" s="2488"/>
      <c r="H102" s="2752">
        <v>6</v>
      </c>
      <c r="I102" s="2752">
        <v>1</v>
      </c>
      <c r="J102" s="2750">
        <v>1</v>
      </c>
      <c r="K102" s="2614"/>
      <c r="L102" s="2488"/>
      <c r="M102" s="2614"/>
      <c r="N102" s="2479" t="str">
        <f t="shared" si="2"/>
        <v>JOSEPH, OR, Distribution, Unattended</v>
      </c>
    </row>
    <row r="103" spans="1:14" ht="15.75" customHeight="1" x14ac:dyDescent="0.2">
      <c r="A103" s="3003">
        <f t="shared" si="3"/>
        <v>40.194999999999546</v>
      </c>
      <c r="B103" s="2512" t="s">
        <v>11163</v>
      </c>
      <c r="C103" s="2512" t="s">
        <v>512</v>
      </c>
      <c r="D103" s="2614" t="s">
        <v>10937</v>
      </c>
      <c r="E103" s="3041">
        <v>69</v>
      </c>
      <c r="F103" s="3041">
        <v>20.8</v>
      </c>
      <c r="G103" s="2488"/>
      <c r="H103" s="2752">
        <v>22</v>
      </c>
      <c r="I103" s="2752">
        <v>2</v>
      </c>
      <c r="J103" s="2488"/>
      <c r="K103" s="2614"/>
      <c r="L103" s="2488"/>
      <c r="M103" s="2614"/>
      <c r="N103" s="2479" t="str">
        <f t="shared" si="2"/>
        <v>JUNCTION CITY, OR, Distribution, Unattended</v>
      </c>
    </row>
    <row r="104" spans="1:14" ht="15.75" customHeight="1" x14ac:dyDescent="0.2">
      <c r="A104" s="3003">
        <f t="shared" si="3"/>
        <v>40.195999999999543</v>
      </c>
      <c r="B104" s="2512" t="s">
        <v>11164</v>
      </c>
      <c r="C104" s="2512" t="s">
        <v>512</v>
      </c>
      <c r="D104" s="2614" t="s">
        <v>10937</v>
      </c>
      <c r="E104" s="3041">
        <v>115</v>
      </c>
      <c r="F104" s="3041">
        <v>13.2</v>
      </c>
      <c r="G104" s="2488"/>
      <c r="H104" s="2752">
        <v>30</v>
      </c>
      <c r="I104" s="2752">
        <v>1</v>
      </c>
      <c r="J104" s="2488"/>
      <c r="K104" s="2614"/>
      <c r="L104" s="2488"/>
      <c r="M104" s="2614"/>
      <c r="N104" s="2479" t="str">
        <f t="shared" si="2"/>
        <v>KENNEDY, OR, Distribution, Unattended</v>
      </c>
    </row>
    <row r="105" spans="1:14" ht="15" customHeight="1" x14ac:dyDescent="0.2">
      <c r="A105" s="3003">
        <f t="shared" si="3"/>
        <v>40.196999999999541</v>
      </c>
      <c r="B105" s="2512" t="s">
        <v>11165</v>
      </c>
      <c r="C105" s="2512" t="s">
        <v>512</v>
      </c>
      <c r="D105" s="2614" t="s">
        <v>10937</v>
      </c>
      <c r="E105" s="3041">
        <v>69</v>
      </c>
      <c r="F105" s="3041">
        <v>12.47</v>
      </c>
      <c r="G105" s="2488"/>
      <c r="H105" s="2752">
        <v>3</v>
      </c>
      <c r="I105" s="2752">
        <v>3</v>
      </c>
      <c r="J105" s="2488"/>
      <c r="K105" s="2614"/>
      <c r="L105" s="2488"/>
      <c r="M105" s="2614"/>
      <c r="N105" s="2479" t="str">
        <f t="shared" si="2"/>
        <v>KENWOOD, OR, Distribution, Unattended</v>
      </c>
    </row>
    <row r="106" spans="1:14" ht="15" customHeight="1" x14ac:dyDescent="0.2">
      <c r="A106" s="3003">
        <f t="shared" si="3"/>
        <v>40.197999999999539</v>
      </c>
      <c r="B106" s="2512" t="s">
        <v>11166</v>
      </c>
      <c r="C106" s="2512" t="s">
        <v>512</v>
      </c>
      <c r="D106" s="2614" t="s">
        <v>10937</v>
      </c>
      <c r="E106" s="3041">
        <v>69</v>
      </c>
      <c r="F106" s="3041">
        <v>12.47</v>
      </c>
      <c r="G106" s="2488"/>
      <c r="H106" s="2752">
        <v>40</v>
      </c>
      <c r="I106" s="2752">
        <v>2</v>
      </c>
      <c r="J106" s="2488"/>
      <c r="K106" s="2614"/>
      <c r="L106" s="2488"/>
      <c r="M106" s="2614"/>
      <c r="N106" s="2479" t="str">
        <f t="shared" si="2"/>
        <v>KILLINGSWORTH, OR, Distribution, Unattended</v>
      </c>
    </row>
    <row r="107" spans="1:14" ht="15" customHeight="1" x14ac:dyDescent="0.2">
      <c r="A107" s="3003">
        <f t="shared" si="3"/>
        <v>40.198999999999536</v>
      </c>
      <c r="B107" s="2512" t="s">
        <v>11167</v>
      </c>
      <c r="C107" s="2512" t="s">
        <v>512</v>
      </c>
      <c r="D107" s="2614" t="s">
        <v>10937</v>
      </c>
      <c r="E107" s="3041">
        <v>115</v>
      </c>
      <c r="F107" s="3041">
        <v>12.47</v>
      </c>
      <c r="G107" s="3043">
        <v>4.16</v>
      </c>
      <c r="H107" s="2752">
        <v>6</v>
      </c>
      <c r="I107" s="2752">
        <v>1</v>
      </c>
      <c r="J107" s="2488"/>
      <c r="K107" s="2614"/>
      <c r="L107" s="2488"/>
      <c r="M107" s="2614"/>
      <c r="N107" s="2479" t="str">
        <f t="shared" si="2"/>
        <v>KNAPPA SVENSEN, OR, Distribution, Unattended</v>
      </c>
    </row>
    <row r="108" spans="1:14" ht="15" customHeight="1" x14ac:dyDescent="0.2">
      <c r="A108" s="3003">
        <f t="shared" si="3"/>
        <v>40.199999999999534</v>
      </c>
      <c r="B108" s="2512" t="s">
        <v>11168</v>
      </c>
      <c r="C108" s="2512" t="s">
        <v>512</v>
      </c>
      <c r="D108" s="2614" t="s">
        <v>10937</v>
      </c>
      <c r="E108" s="3041">
        <v>115</v>
      </c>
      <c r="F108" s="3041">
        <v>57</v>
      </c>
      <c r="G108" s="3043">
        <v>12.47</v>
      </c>
      <c r="H108" s="2752">
        <v>172</v>
      </c>
      <c r="I108" s="2752">
        <v>5</v>
      </c>
      <c r="J108" s="2488"/>
      <c r="K108" s="2614"/>
      <c r="L108" s="2488"/>
      <c r="M108" s="2614"/>
      <c r="N108" s="2479" t="str">
        <f t="shared" si="2"/>
        <v>KNOTT, OR, Distribution, Unattended</v>
      </c>
    </row>
    <row r="109" spans="1:14" ht="15" customHeight="1" x14ac:dyDescent="0.2">
      <c r="A109" s="3003">
        <f t="shared" si="3"/>
        <v>40.200999999999532</v>
      </c>
      <c r="B109" s="2512" t="s">
        <v>11169</v>
      </c>
      <c r="C109" s="2512" t="s">
        <v>512</v>
      </c>
      <c r="D109" s="2614" t="s">
        <v>10937</v>
      </c>
      <c r="E109" s="3041">
        <v>69</v>
      </c>
      <c r="F109" s="3041">
        <v>12.47</v>
      </c>
      <c r="G109" s="2488"/>
      <c r="H109" s="2752">
        <v>50</v>
      </c>
      <c r="I109" s="2752">
        <v>2</v>
      </c>
      <c r="J109" s="2488"/>
      <c r="K109" s="2614"/>
      <c r="L109" s="2488"/>
      <c r="M109" s="2614"/>
      <c r="N109" s="2479" t="str">
        <f t="shared" si="2"/>
        <v>LAKEPORT, OR, Distribution, Unattended</v>
      </c>
    </row>
    <row r="110" spans="1:14" ht="15" customHeight="1" x14ac:dyDescent="0.2">
      <c r="A110" s="3003">
        <f t="shared" si="3"/>
        <v>40.201999999999529</v>
      </c>
      <c r="B110" s="2512" t="s">
        <v>11170</v>
      </c>
      <c r="C110" s="2512" t="s">
        <v>512</v>
      </c>
      <c r="D110" s="2614" t="s">
        <v>10937</v>
      </c>
      <c r="E110" s="3041">
        <v>69</v>
      </c>
      <c r="F110" s="3041">
        <v>20.8</v>
      </c>
      <c r="G110" s="2488"/>
      <c r="H110" s="2752">
        <v>13</v>
      </c>
      <c r="I110" s="2752">
        <v>3</v>
      </c>
      <c r="J110" s="2488"/>
      <c r="K110" s="2614"/>
      <c r="L110" s="2488"/>
      <c r="M110" s="2614"/>
      <c r="N110" s="2479" t="str">
        <f t="shared" si="2"/>
        <v>LANCASTER, OR, Distribution, Unattended</v>
      </c>
    </row>
    <row r="111" spans="1:14" ht="15" customHeight="1" x14ac:dyDescent="0.2">
      <c r="A111" s="3003">
        <f t="shared" si="3"/>
        <v>40.202999999999527</v>
      </c>
      <c r="B111" s="2512" t="s">
        <v>11171</v>
      </c>
      <c r="C111" s="2512" t="s">
        <v>512</v>
      </c>
      <c r="D111" s="2614" t="s">
        <v>10937</v>
      </c>
      <c r="E111" s="3041">
        <v>115</v>
      </c>
      <c r="F111" s="3041">
        <v>20.8</v>
      </c>
      <c r="G111" s="2488"/>
      <c r="H111" s="2752">
        <v>45</v>
      </c>
      <c r="I111" s="2752">
        <v>2</v>
      </c>
      <c r="J111" s="2488"/>
      <c r="K111" s="2614"/>
      <c r="L111" s="2488"/>
      <c r="M111" s="2614"/>
      <c r="N111" s="2479" t="str">
        <f t="shared" si="2"/>
        <v>LEBANON, OR, Distribution, Unattended</v>
      </c>
    </row>
    <row r="112" spans="1:14" ht="15" customHeight="1" x14ac:dyDescent="0.2">
      <c r="A112" s="3003">
        <f t="shared" si="3"/>
        <v>40.203999999999525</v>
      </c>
      <c r="B112" s="2512" t="s">
        <v>11172</v>
      </c>
      <c r="C112" s="2512" t="s">
        <v>512</v>
      </c>
      <c r="D112" s="2614" t="s">
        <v>10937</v>
      </c>
      <c r="E112" s="3041">
        <v>115</v>
      </c>
      <c r="F112" s="3041">
        <v>12.47</v>
      </c>
      <c r="G112" s="2488"/>
      <c r="H112" s="2752">
        <v>105</v>
      </c>
      <c r="I112" s="2752">
        <v>3</v>
      </c>
      <c r="J112" s="2488"/>
      <c r="K112" s="2614"/>
      <c r="L112" s="2488"/>
      <c r="M112" s="2614"/>
      <c r="N112" s="2479" t="str">
        <f t="shared" si="2"/>
        <v>LINCOLN, OR, Distribution, Unattended</v>
      </c>
    </row>
    <row r="113" spans="1:14" ht="15" customHeight="1" x14ac:dyDescent="0.2">
      <c r="A113" s="3003">
        <f t="shared" si="3"/>
        <v>40.204999999999522</v>
      </c>
      <c r="B113" s="2512" t="s">
        <v>11173</v>
      </c>
      <c r="C113" s="2512" t="s">
        <v>512</v>
      </c>
      <c r="D113" s="2614" t="s">
        <v>10937</v>
      </c>
      <c r="E113" s="3041">
        <v>115</v>
      </c>
      <c r="F113" s="3041">
        <v>20.8</v>
      </c>
      <c r="G113" s="2488"/>
      <c r="H113" s="2752">
        <v>40</v>
      </c>
      <c r="I113" s="2752">
        <v>2</v>
      </c>
      <c r="J113" s="2488"/>
      <c r="K113" s="2614"/>
      <c r="L113" s="2488"/>
      <c r="M113" s="2614"/>
      <c r="N113" s="2479" t="str">
        <f t="shared" si="2"/>
        <v>LOCKHART STREET, OR, Distribution, Unattended</v>
      </c>
    </row>
    <row r="114" spans="1:14" ht="15" customHeight="1" x14ac:dyDescent="0.2">
      <c r="A114" s="3003">
        <f t="shared" si="3"/>
        <v>40.20599999999952</v>
      </c>
      <c r="B114" s="2512" t="s">
        <v>11174</v>
      </c>
      <c r="C114" s="2512" t="s">
        <v>512</v>
      </c>
      <c r="D114" s="2614" t="s">
        <v>10937</v>
      </c>
      <c r="E114" s="3041">
        <v>69</v>
      </c>
      <c r="F114" s="3041">
        <v>20.8</v>
      </c>
      <c r="G114" s="2488"/>
      <c r="H114" s="2752">
        <v>25</v>
      </c>
      <c r="I114" s="2752">
        <v>2</v>
      </c>
      <c r="J114" s="2488"/>
      <c r="K114" s="2614"/>
      <c r="L114" s="2488"/>
      <c r="M114" s="2614"/>
      <c r="N114" s="2479" t="str">
        <f t="shared" si="2"/>
        <v>LYONS, OR, Distribution, Unattended</v>
      </c>
    </row>
    <row r="115" spans="1:14" ht="15" customHeight="1" x14ac:dyDescent="0.2">
      <c r="A115" s="3003">
        <f t="shared" si="3"/>
        <v>40.206999999999518</v>
      </c>
      <c r="B115" s="2512" t="s">
        <v>11175</v>
      </c>
      <c r="C115" s="2512" t="s">
        <v>512</v>
      </c>
      <c r="D115" s="2614" t="s">
        <v>10937</v>
      </c>
      <c r="E115" s="3041">
        <v>69</v>
      </c>
      <c r="F115" s="3041">
        <v>12.47</v>
      </c>
      <c r="G115" s="3043">
        <v>7.2</v>
      </c>
      <c r="H115" s="2752">
        <v>25</v>
      </c>
      <c r="I115" s="2752">
        <v>2</v>
      </c>
      <c r="J115" s="2488"/>
      <c r="K115" s="2614"/>
      <c r="L115" s="2488"/>
      <c r="M115" s="2614"/>
      <c r="N115" s="2479" t="str">
        <f t="shared" si="2"/>
        <v>MADRAS, OR, Distribution, Unattended</v>
      </c>
    </row>
    <row r="116" spans="1:14" ht="15" customHeight="1" x14ac:dyDescent="0.2">
      <c r="A116" s="3003">
        <f t="shared" si="3"/>
        <v>40.207999999999515</v>
      </c>
      <c r="B116" s="2512" t="s">
        <v>11176</v>
      </c>
      <c r="C116" s="2512" t="s">
        <v>512</v>
      </c>
      <c r="D116" s="2614" t="s">
        <v>10937</v>
      </c>
      <c r="E116" s="3041">
        <v>115</v>
      </c>
      <c r="F116" s="3041">
        <v>12.47</v>
      </c>
      <c r="G116" s="2488"/>
      <c r="H116" s="2752">
        <v>25</v>
      </c>
      <c r="I116" s="2752">
        <v>1</v>
      </c>
      <c r="J116" s="2488"/>
      <c r="K116" s="2614"/>
      <c r="L116" s="2488"/>
      <c r="M116" s="2614"/>
      <c r="N116" s="2479" t="str">
        <f t="shared" si="2"/>
        <v>MALLORY, OR, Distribution, Unattended</v>
      </c>
    </row>
    <row r="117" spans="1:14" ht="15" customHeight="1" x14ac:dyDescent="0.2">
      <c r="A117" s="3003">
        <f t="shared" si="3"/>
        <v>40.208999999999513</v>
      </c>
      <c r="B117" s="2512" t="s">
        <v>11177</v>
      </c>
      <c r="C117" s="2512" t="s">
        <v>512</v>
      </c>
      <c r="D117" s="2614" t="s">
        <v>10937</v>
      </c>
      <c r="E117" s="3041">
        <v>115</v>
      </c>
      <c r="F117" s="3041">
        <v>20.8</v>
      </c>
      <c r="G117" s="2488"/>
      <c r="H117" s="2752">
        <v>20</v>
      </c>
      <c r="I117" s="2752">
        <v>1</v>
      </c>
      <c r="J117" s="2488"/>
      <c r="K117" s="2614"/>
      <c r="L117" s="2488"/>
      <c r="M117" s="2614"/>
      <c r="N117" s="2479" t="str">
        <f t="shared" si="2"/>
        <v>MARYS RIVER, OR, Distribution, Unattended</v>
      </c>
    </row>
    <row r="118" spans="1:14" ht="15" customHeight="1" x14ac:dyDescent="0.2">
      <c r="A118" s="3003">
        <f t="shared" si="3"/>
        <v>40.209999999999511</v>
      </c>
      <c r="B118" s="2512" t="s">
        <v>11178</v>
      </c>
      <c r="C118" s="2512" t="s">
        <v>512</v>
      </c>
      <c r="D118" s="2614" t="s">
        <v>10937</v>
      </c>
      <c r="E118" s="3041">
        <v>69</v>
      </c>
      <c r="F118" s="3041">
        <v>12.47</v>
      </c>
      <c r="G118" s="3043">
        <v>2.4</v>
      </c>
      <c r="H118" s="2752">
        <v>25</v>
      </c>
      <c r="I118" s="2752">
        <v>1</v>
      </c>
      <c r="J118" s="2488"/>
      <c r="K118" s="2614"/>
      <c r="L118" s="2488"/>
      <c r="M118" s="2614"/>
      <c r="N118" s="2479" t="str">
        <f t="shared" si="2"/>
        <v>MCKAY SW, OR, Distribution, Unattended</v>
      </c>
    </row>
    <row r="119" spans="1:14" ht="15" customHeight="1" x14ac:dyDescent="0.2">
      <c r="A119" s="3003">
        <f t="shared" si="3"/>
        <v>40.210999999999508</v>
      </c>
      <c r="B119" s="2512" t="s">
        <v>11179</v>
      </c>
      <c r="C119" s="2512" t="s">
        <v>512</v>
      </c>
      <c r="D119" s="2614" t="s">
        <v>10937</v>
      </c>
      <c r="E119" s="3041">
        <v>115</v>
      </c>
      <c r="F119" s="3041">
        <v>12.47</v>
      </c>
      <c r="G119" s="2488"/>
      <c r="H119" s="2752">
        <v>20</v>
      </c>
      <c r="I119" s="2752">
        <v>1</v>
      </c>
      <c r="J119" s="2488"/>
      <c r="K119" s="2614"/>
      <c r="L119" s="2488"/>
      <c r="M119" s="2614"/>
      <c r="N119" s="2479" t="str">
        <f t="shared" si="2"/>
        <v>MEDCO, OR, Distribution, Unattended</v>
      </c>
    </row>
    <row r="120" spans="1:14" ht="15" customHeight="1" x14ac:dyDescent="0.2">
      <c r="A120" s="3003">
        <f t="shared" si="3"/>
        <v>40.211999999999506</v>
      </c>
      <c r="B120" s="2512" t="s">
        <v>11180</v>
      </c>
      <c r="C120" s="2512" t="s">
        <v>512</v>
      </c>
      <c r="D120" s="2614" t="s">
        <v>10937</v>
      </c>
      <c r="E120" s="3041">
        <v>115</v>
      </c>
      <c r="F120" s="3041">
        <v>12.47</v>
      </c>
      <c r="G120" s="2488"/>
      <c r="H120" s="2752">
        <v>67</v>
      </c>
      <c r="I120" s="2752">
        <v>8</v>
      </c>
      <c r="J120" s="2488"/>
      <c r="K120" s="2614"/>
      <c r="L120" s="2488"/>
      <c r="M120" s="2614"/>
      <c r="N120" s="2479" t="str">
        <f t="shared" si="2"/>
        <v>MEDFORD, OR, Distribution, Unattended</v>
      </c>
    </row>
    <row r="121" spans="1:14" ht="15" customHeight="1" x14ac:dyDescent="0.2">
      <c r="A121" s="3003">
        <f t="shared" si="3"/>
        <v>40.212999999999504</v>
      </c>
      <c r="B121" s="2512" t="s">
        <v>11181</v>
      </c>
      <c r="C121" s="2512" t="s">
        <v>512</v>
      </c>
      <c r="D121" s="2614" t="s">
        <v>10937</v>
      </c>
      <c r="E121" s="3041">
        <v>115</v>
      </c>
      <c r="F121" s="3041">
        <v>12.47</v>
      </c>
      <c r="G121" s="2488"/>
      <c r="H121" s="2752">
        <v>45</v>
      </c>
      <c r="I121" s="2752">
        <v>2</v>
      </c>
      <c r="J121" s="2488"/>
      <c r="K121" s="2614"/>
      <c r="L121" s="2488"/>
      <c r="M121" s="2614"/>
      <c r="N121" s="2479" t="str">
        <f t="shared" si="2"/>
        <v>MERLIN, OR, Distribution, Unattended</v>
      </c>
    </row>
    <row r="122" spans="1:14" ht="15" customHeight="1" x14ac:dyDescent="0.2">
      <c r="A122" s="3003">
        <f t="shared" si="3"/>
        <v>40.213999999999501</v>
      </c>
      <c r="B122" s="2512" t="s">
        <v>11182</v>
      </c>
      <c r="C122" s="2512" t="s">
        <v>512</v>
      </c>
      <c r="D122" s="2614" t="s">
        <v>10937</v>
      </c>
      <c r="E122" s="3041">
        <v>69</v>
      </c>
      <c r="F122" s="3041">
        <v>12.47</v>
      </c>
      <c r="G122" s="2488"/>
      <c r="H122" s="2752">
        <v>17</v>
      </c>
      <c r="I122" s="2752">
        <v>6</v>
      </c>
      <c r="J122" s="2488"/>
      <c r="K122" s="2614"/>
      <c r="L122" s="2488"/>
      <c r="M122" s="2614"/>
      <c r="N122" s="2479" t="str">
        <f t="shared" si="2"/>
        <v>MERRILL, OR, Distribution, Unattended</v>
      </c>
    </row>
    <row r="123" spans="1:14" ht="15" customHeight="1" x14ac:dyDescent="0.2">
      <c r="A123" s="3003">
        <f t="shared" si="3"/>
        <v>40.214999999999499</v>
      </c>
      <c r="B123" s="2512" t="s">
        <v>11183</v>
      </c>
      <c r="C123" s="2512" t="s">
        <v>512</v>
      </c>
      <c r="D123" s="2614" t="s">
        <v>10937</v>
      </c>
      <c r="E123" s="3041">
        <v>69</v>
      </c>
      <c r="F123" s="3041">
        <v>12.47</v>
      </c>
      <c r="G123" s="2488"/>
      <c r="H123" s="2752">
        <v>0</v>
      </c>
      <c r="I123" s="2752">
        <v>1</v>
      </c>
      <c r="J123" s="2488"/>
      <c r="K123" s="2614"/>
      <c r="L123" s="2488"/>
      <c r="M123" s="2614"/>
      <c r="N123" s="2479" t="str">
        <f t="shared" si="2"/>
        <v>MINAM, OR, Distribution, Unattended</v>
      </c>
    </row>
    <row r="124" spans="1:14" ht="15" customHeight="1" x14ac:dyDescent="0.2">
      <c r="A124" s="3003">
        <f t="shared" si="3"/>
        <v>40.215999999999497</v>
      </c>
      <c r="B124" s="2512" t="s">
        <v>11184</v>
      </c>
      <c r="C124" s="2512" t="s">
        <v>512</v>
      </c>
      <c r="D124" s="2614" t="s">
        <v>10937</v>
      </c>
      <c r="E124" s="3041">
        <v>69</v>
      </c>
      <c r="F124" s="3041">
        <v>12.47</v>
      </c>
      <c r="G124" s="2488"/>
      <c r="H124" s="2752">
        <v>6</v>
      </c>
      <c r="I124" s="2752">
        <v>3</v>
      </c>
      <c r="J124" s="2488"/>
      <c r="K124" s="2614"/>
      <c r="L124" s="2488"/>
      <c r="M124" s="2614"/>
      <c r="N124" s="2479" t="str">
        <f t="shared" si="2"/>
        <v>MODOC, OR, Distribution, Unattended</v>
      </c>
    </row>
    <row r="125" spans="1:14" ht="15" customHeight="1" x14ac:dyDescent="0.2">
      <c r="A125" s="3003">
        <f t="shared" si="3"/>
        <v>40.216999999999494</v>
      </c>
      <c r="B125" s="2512" t="s">
        <v>11185</v>
      </c>
      <c r="C125" s="2512" t="s">
        <v>512</v>
      </c>
      <c r="D125" s="2614" t="s">
        <v>10937</v>
      </c>
      <c r="E125" s="3041">
        <v>115</v>
      </c>
      <c r="F125" s="3041">
        <v>69</v>
      </c>
      <c r="G125" s="3043">
        <v>13.2</v>
      </c>
      <c r="H125" s="2752">
        <v>50</v>
      </c>
      <c r="I125" s="2752">
        <v>1</v>
      </c>
      <c r="J125" s="2488"/>
      <c r="K125" s="2614"/>
      <c r="L125" s="2488"/>
      <c r="M125" s="2614"/>
      <c r="N125" s="2479" t="str">
        <f t="shared" si="2"/>
        <v>MONPAC, OR, Distribution, Unattended</v>
      </c>
    </row>
    <row r="126" spans="1:14" ht="15" customHeight="1" x14ac:dyDescent="0.2">
      <c r="A126" s="3003">
        <f t="shared" si="3"/>
        <v>40.217999999999492</v>
      </c>
      <c r="B126" s="2512" t="s">
        <v>11186</v>
      </c>
      <c r="C126" s="2512" t="s">
        <v>512</v>
      </c>
      <c r="D126" s="2614" t="s">
        <v>10937</v>
      </c>
      <c r="E126" s="3041">
        <v>115</v>
      </c>
      <c r="F126" s="3041">
        <v>20.8</v>
      </c>
      <c r="G126" s="2488"/>
      <c r="H126" s="2752">
        <v>100</v>
      </c>
      <c r="I126" s="2752">
        <v>4</v>
      </c>
      <c r="J126" s="2488"/>
      <c r="K126" s="2614"/>
      <c r="L126" s="2488"/>
      <c r="M126" s="2614"/>
      <c r="N126" s="2479" t="str">
        <f t="shared" si="2"/>
        <v>MURDER CREEK, OR, Distribution, Unattended</v>
      </c>
    </row>
    <row r="127" spans="1:14" ht="15" customHeight="1" x14ac:dyDescent="0.2">
      <c r="A127" s="3003">
        <f t="shared" si="3"/>
        <v>40.21899999999949</v>
      </c>
      <c r="B127" s="2512" t="s">
        <v>11187</v>
      </c>
      <c r="C127" s="2512" t="s">
        <v>512</v>
      </c>
      <c r="D127" s="2614" t="s">
        <v>10937</v>
      </c>
      <c r="E127" s="3041">
        <v>69</v>
      </c>
      <c r="F127" s="3041">
        <v>12.47</v>
      </c>
      <c r="G127" s="2488"/>
      <c r="H127" s="2752">
        <v>14</v>
      </c>
      <c r="I127" s="2752">
        <v>1</v>
      </c>
      <c r="J127" s="2488"/>
      <c r="K127" s="2614"/>
      <c r="L127" s="2488"/>
      <c r="M127" s="2614"/>
      <c r="N127" s="2479" t="str">
        <f t="shared" si="2"/>
        <v>MYRTLE CREEK, OR, Distribution, Unattended</v>
      </c>
    </row>
    <row r="128" spans="1:14" ht="15" customHeight="1" x14ac:dyDescent="0.2">
      <c r="A128" s="3003">
        <f t="shared" si="3"/>
        <v>40.219999999999487</v>
      </c>
      <c r="B128" s="2512" t="s">
        <v>11188</v>
      </c>
      <c r="C128" s="2512" t="s">
        <v>512</v>
      </c>
      <c r="D128" s="2614" t="s">
        <v>10937</v>
      </c>
      <c r="E128" s="3041">
        <v>115</v>
      </c>
      <c r="F128" s="3041">
        <v>20.8</v>
      </c>
      <c r="G128" s="2488"/>
      <c r="H128" s="2752">
        <v>9</v>
      </c>
      <c r="I128" s="2752">
        <v>1</v>
      </c>
      <c r="J128" s="2488"/>
      <c r="K128" s="2614"/>
      <c r="L128" s="2488"/>
      <c r="M128" s="2614"/>
      <c r="N128" s="2479" t="str">
        <f t="shared" si="2"/>
        <v>MYRTLE POINT, OR, Distribution, Unattended</v>
      </c>
    </row>
    <row r="129" spans="1:14" ht="15" customHeight="1" x14ac:dyDescent="0.2">
      <c r="A129" s="3003">
        <f t="shared" si="3"/>
        <v>40.220999999999485</v>
      </c>
      <c r="B129" s="2512" t="s">
        <v>11189</v>
      </c>
      <c r="C129" s="2512" t="s">
        <v>512</v>
      </c>
      <c r="D129" s="2614" t="s">
        <v>10937</v>
      </c>
      <c r="E129" s="3041">
        <v>69</v>
      </c>
      <c r="F129" s="3041">
        <v>12.47</v>
      </c>
      <c r="G129" s="2488"/>
      <c r="H129" s="2752">
        <v>25</v>
      </c>
      <c r="I129" s="2752">
        <v>1</v>
      </c>
      <c r="J129" s="2488"/>
      <c r="K129" s="2614"/>
      <c r="L129" s="2488"/>
      <c r="M129" s="2614"/>
      <c r="N129" s="2479" t="str">
        <f t="shared" si="2"/>
        <v>NEW DESCHUTES, OR, Distribution, Unattended</v>
      </c>
    </row>
    <row r="130" spans="1:14" ht="15" customHeight="1" x14ac:dyDescent="0.2">
      <c r="A130" s="3003">
        <f t="shared" si="3"/>
        <v>40.221999999999483</v>
      </c>
      <c r="B130" s="2512" t="s">
        <v>11190</v>
      </c>
      <c r="C130" s="2512" t="s">
        <v>512</v>
      </c>
      <c r="D130" s="2614" t="s">
        <v>10937</v>
      </c>
      <c r="E130" s="3041">
        <v>115</v>
      </c>
      <c r="F130" s="3041">
        <v>12.47</v>
      </c>
      <c r="G130" s="2488"/>
      <c r="H130" s="2752">
        <v>9</v>
      </c>
      <c r="I130" s="2752">
        <v>1</v>
      </c>
      <c r="J130" s="2488"/>
      <c r="K130" s="2614"/>
      <c r="L130" s="2488"/>
      <c r="M130" s="2614"/>
      <c r="N130" s="2479" t="str">
        <f t="shared" si="2"/>
        <v>NEW O'BRIEN, OR, Distribution, Unattended</v>
      </c>
    </row>
    <row r="131" spans="1:14" ht="15" customHeight="1" x14ac:dyDescent="0.2">
      <c r="A131" s="3003">
        <f t="shared" si="3"/>
        <v>40.22299999999948</v>
      </c>
      <c r="B131" s="2512" t="s">
        <v>11191</v>
      </c>
      <c r="C131" s="2512" t="s">
        <v>512</v>
      </c>
      <c r="D131" s="2614" t="s">
        <v>10937</v>
      </c>
      <c r="E131" s="3041">
        <v>115</v>
      </c>
      <c r="F131" s="3041">
        <v>12.47</v>
      </c>
      <c r="G131" s="2488"/>
      <c r="H131" s="2752">
        <v>45</v>
      </c>
      <c r="I131" s="2752">
        <v>2</v>
      </c>
      <c r="J131" s="2488"/>
      <c r="K131" s="2614"/>
      <c r="L131" s="2488"/>
      <c r="M131" s="2614"/>
      <c r="N131" s="2479" t="str">
        <f t="shared" si="2"/>
        <v>OAK KNOLL, OR, Distribution, Unattended</v>
      </c>
    </row>
    <row r="132" spans="1:14" ht="15" customHeight="1" x14ac:dyDescent="0.2">
      <c r="A132" s="3003">
        <f t="shared" si="3"/>
        <v>40.223999999999478</v>
      </c>
      <c r="B132" s="2512" t="s">
        <v>11192</v>
      </c>
      <c r="C132" s="2512" t="s">
        <v>512</v>
      </c>
      <c r="D132" s="2614" t="s">
        <v>10937</v>
      </c>
      <c r="E132" s="3041">
        <v>115</v>
      </c>
      <c r="F132" s="3041">
        <v>12.47</v>
      </c>
      <c r="G132" s="2488"/>
      <c r="H132" s="2752">
        <v>8</v>
      </c>
      <c r="I132" s="2752">
        <v>1</v>
      </c>
      <c r="J132" s="2488"/>
      <c r="K132" s="2614"/>
      <c r="L132" s="2488"/>
      <c r="M132" s="2614"/>
      <c r="N132" s="2479" t="str">
        <f t="shared" si="2"/>
        <v>OAKLAND, OR, Distribution, Unattended</v>
      </c>
    </row>
    <row r="133" spans="1:14" ht="15" customHeight="1" x14ac:dyDescent="0.2">
      <c r="A133" s="3003">
        <f t="shared" si="3"/>
        <v>40.224999999999476</v>
      </c>
      <c r="B133" s="2512" t="s">
        <v>11193</v>
      </c>
      <c r="C133" s="2512" t="s">
        <v>512</v>
      </c>
      <c r="D133" s="2614" t="s">
        <v>10937</v>
      </c>
      <c r="E133" s="3041">
        <v>115</v>
      </c>
      <c r="F133" s="3041">
        <v>20.8</v>
      </c>
      <c r="G133" s="2488"/>
      <c r="H133" s="2752">
        <v>75</v>
      </c>
      <c r="I133" s="2752">
        <v>3</v>
      </c>
      <c r="J133" s="2488"/>
      <c r="K133" s="2614"/>
      <c r="L133" s="2488"/>
      <c r="M133" s="2614"/>
      <c r="N133" s="2479" t="str">
        <f t="shared" si="2"/>
        <v>OREMET, OR, Distribution, Unattended</v>
      </c>
    </row>
    <row r="134" spans="1:14" ht="15" customHeight="1" x14ac:dyDescent="0.2">
      <c r="A134" s="3003">
        <f t="shared" si="3"/>
        <v>40.225999999999473</v>
      </c>
      <c r="B134" s="2512" t="s">
        <v>11194</v>
      </c>
      <c r="C134" s="2512" t="s">
        <v>512</v>
      </c>
      <c r="D134" s="2614" t="s">
        <v>10937</v>
      </c>
      <c r="E134" s="3041">
        <v>69</v>
      </c>
      <c r="F134" s="3041">
        <v>12.47</v>
      </c>
      <c r="G134" s="3043">
        <v>7.2</v>
      </c>
      <c r="H134" s="2752">
        <v>45</v>
      </c>
      <c r="I134" s="2752">
        <v>2</v>
      </c>
      <c r="J134" s="2488"/>
      <c r="K134" s="2614"/>
      <c r="L134" s="2488"/>
      <c r="M134" s="2614"/>
      <c r="N134" s="2479" t="str">
        <f t="shared" si="2"/>
        <v>OVERPASS, OR, Distribution, Unattended</v>
      </c>
    </row>
    <row r="135" spans="1:14" ht="15" customHeight="1" x14ac:dyDescent="0.2">
      <c r="A135" s="3003">
        <f t="shared" si="3"/>
        <v>40.226999999999471</v>
      </c>
      <c r="B135" s="2512" t="s">
        <v>11195</v>
      </c>
      <c r="C135" s="2512" t="s">
        <v>512</v>
      </c>
      <c r="D135" s="2614" t="s">
        <v>10937</v>
      </c>
      <c r="E135" s="3041">
        <v>69</v>
      </c>
      <c r="F135" s="3041">
        <v>20.8</v>
      </c>
      <c r="G135" s="2488"/>
      <c r="H135" s="2752">
        <v>1</v>
      </c>
      <c r="I135" s="2752">
        <v>1</v>
      </c>
      <c r="J135" s="2750">
        <v>1</v>
      </c>
      <c r="K135" s="2614"/>
      <c r="L135" s="2488"/>
      <c r="M135" s="2614"/>
      <c r="N135" s="2479" t="str">
        <f t="shared" si="2"/>
        <v>PALLETTE, OR, Distribution, Unattended</v>
      </c>
    </row>
    <row r="136" spans="1:14" ht="15" customHeight="1" x14ac:dyDescent="0.2">
      <c r="A136" s="3003">
        <f t="shared" si="3"/>
        <v>40.227999999999469</v>
      </c>
      <c r="B136" s="2512" t="s">
        <v>11196</v>
      </c>
      <c r="C136" s="2512" t="s">
        <v>512</v>
      </c>
      <c r="D136" s="2614" t="s">
        <v>10937</v>
      </c>
      <c r="E136" s="3041">
        <v>115</v>
      </c>
      <c r="F136" s="3041">
        <v>12.47</v>
      </c>
      <c r="G136" s="2488"/>
      <c r="H136" s="2752">
        <v>40</v>
      </c>
      <c r="I136" s="2752">
        <v>2</v>
      </c>
      <c r="J136" s="2488"/>
      <c r="K136" s="2614"/>
      <c r="L136" s="2488"/>
      <c r="M136" s="2614"/>
      <c r="N136" s="2479" t="str">
        <f t="shared" si="2"/>
        <v>PARK STREET, OR, Distribution, Unattended</v>
      </c>
    </row>
    <row r="137" spans="1:14" ht="15" customHeight="1" x14ac:dyDescent="0.2">
      <c r="A137" s="3003">
        <f t="shared" si="3"/>
        <v>40.228999999999466</v>
      </c>
      <c r="B137" s="2512" t="s">
        <v>11197</v>
      </c>
      <c r="C137" s="2512" t="s">
        <v>512</v>
      </c>
      <c r="D137" s="2614" t="s">
        <v>10937</v>
      </c>
      <c r="E137" s="3041">
        <v>115</v>
      </c>
      <c r="F137" s="3041">
        <v>12.47</v>
      </c>
      <c r="G137" s="2488"/>
      <c r="H137" s="2752">
        <v>37</v>
      </c>
      <c r="I137" s="2752">
        <v>2</v>
      </c>
      <c r="J137" s="2488"/>
      <c r="K137" s="2614"/>
      <c r="L137" s="2488"/>
      <c r="M137" s="2614"/>
      <c r="N137" s="2479" t="str">
        <f t="shared" si="2"/>
        <v>PARKROSE, OR, Distribution, Unattended</v>
      </c>
    </row>
    <row r="138" spans="1:14" ht="15" customHeight="1" x14ac:dyDescent="0.2">
      <c r="A138" s="3003">
        <f t="shared" si="3"/>
        <v>40.229999999999464</v>
      </c>
      <c r="B138" s="2512" t="s">
        <v>11198</v>
      </c>
      <c r="C138" s="2512" t="s">
        <v>512</v>
      </c>
      <c r="D138" s="2614" t="s">
        <v>10937</v>
      </c>
      <c r="E138" s="3041">
        <v>69</v>
      </c>
      <c r="F138" s="3041">
        <v>12.47</v>
      </c>
      <c r="G138" s="2488"/>
      <c r="H138" s="2752">
        <v>43</v>
      </c>
      <c r="I138" s="2752">
        <v>6</v>
      </c>
      <c r="J138" s="2750">
        <v>1</v>
      </c>
      <c r="K138" s="2614"/>
      <c r="L138" s="2488"/>
      <c r="M138" s="2614"/>
      <c r="N138" s="2479" t="str">
        <f t="shared" ref="N138:N201" si="4">CONCATENATE(B138,", ",C138,", ",D138)</f>
        <v>PENDLETON, OR, Distribution, Unattended</v>
      </c>
    </row>
    <row r="139" spans="1:14" ht="15" customHeight="1" x14ac:dyDescent="0.2">
      <c r="A139" s="3003">
        <f t="shared" ref="A139:A202" si="5">A138+0.001</f>
        <v>40.230999999999462</v>
      </c>
      <c r="B139" s="2512" t="s">
        <v>11199</v>
      </c>
      <c r="C139" s="2512" t="s">
        <v>512</v>
      </c>
      <c r="D139" s="2614" t="s">
        <v>10937</v>
      </c>
      <c r="E139" s="3041">
        <v>69</v>
      </c>
      <c r="F139" s="3041">
        <v>12.47</v>
      </c>
      <c r="G139" s="2488"/>
      <c r="H139" s="2752">
        <v>22</v>
      </c>
      <c r="I139" s="2752">
        <v>2</v>
      </c>
      <c r="J139" s="2488"/>
      <c r="K139" s="2614"/>
      <c r="L139" s="2488"/>
      <c r="M139" s="2614"/>
      <c r="N139" s="2479" t="str">
        <f t="shared" si="4"/>
        <v>PILOT ROCK, OR, Distribution, Unattended</v>
      </c>
    </row>
    <row r="140" spans="1:14" ht="15" customHeight="1" x14ac:dyDescent="0.2">
      <c r="A140" s="3003">
        <f t="shared" si="5"/>
        <v>40.231999999999459</v>
      </c>
      <c r="B140" s="2512" t="s">
        <v>11200</v>
      </c>
      <c r="C140" s="2512" t="s">
        <v>512</v>
      </c>
      <c r="D140" s="2614" t="s">
        <v>10937</v>
      </c>
      <c r="E140" s="3041">
        <v>115</v>
      </c>
      <c r="F140" s="3041">
        <v>12.47</v>
      </c>
      <c r="G140" s="2488"/>
      <c r="H140" s="2752">
        <v>13</v>
      </c>
      <c r="I140" s="2752">
        <v>1</v>
      </c>
      <c r="J140" s="2488"/>
      <c r="K140" s="2614"/>
      <c r="L140" s="2488"/>
      <c r="M140" s="2614"/>
      <c r="N140" s="2479" t="str">
        <f t="shared" si="4"/>
        <v>POWELL BUTTE, OR, Distribution, Unattended</v>
      </c>
    </row>
    <row r="141" spans="1:14" ht="15" customHeight="1" x14ac:dyDescent="0.2">
      <c r="A141" s="3003">
        <f t="shared" si="5"/>
        <v>40.232999999999457</v>
      </c>
      <c r="B141" s="2512" t="s">
        <v>11201</v>
      </c>
      <c r="C141" s="2512" t="s">
        <v>512</v>
      </c>
      <c r="D141" s="2614" t="s">
        <v>10937</v>
      </c>
      <c r="E141" s="3041">
        <v>115</v>
      </c>
      <c r="F141" s="3041">
        <v>12.47</v>
      </c>
      <c r="G141" s="2488"/>
      <c r="H141" s="2752">
        <v>75</v>
      </c>
      <c r="I141" s="2752">
        <v>3</v>
      </c>
      <c r="J141" s="2488"/>
      <c r="K141" s="2614"/>
      <c r="L141" s="2488"/>
      <c r="M141" s="2614"/>
      <c r="N141" s="2479" t="str">
        <f t="shared" si="4"/>
        <v>PRINEVILLE, OR, Distribution, Unattended</v>
      </c>
    </row>
    <row r="142" spans="1:14" ht="15" customHeight="1" x14ac:dyDescent="0.2">
      <c r="A142" s="3003">
        <f t="shared" si="5"/>
        <v>40.233999999999455</v>
      </c>
      <c r="B142" s="2512" t="s">
        <v>11202</v>
      </c>
      <c r="C142" s="2512" t="s">
        <v>512</v>
      </c>
      <c r="D142" s="2614" t="s">
        <v>10937</v>
      </c>
      <c r="E142" s="3041">
        <v>69</v>
      </c>
      <c r="F142" s="3041">
        <v>12.47</v>
      </c>
      <c r="G142" s="2488"/>
      <c r="H142" s="2752">
        <v>11</v>
      </c>
      <c r="I142" s="2752">
        <v>3</v>
      </c>
      <c r="J142" s="2488"/>
      <c r="K142" s="2614"/>
      <c r="L142" s="2488"/>
      <c r="M142" s="2614"/>
      <c r="N142" s="2479" t="str">
        <f t="shared" si="4"/>
        <v>PROVOLT, OR, Distribution, Unattended</v>
      </c>
    </row>
    <row r="143" spans="1:14" ht="15" customHeight="1" x14ac:dyDescent="0.2">
      <c r="A143" s="3003">
        <f t="shared" si="5"/>
        <v>40.234999999999452</v>
      </c>
      <c r="B143" s="2512" t="s">
        <v>11203</v>
      </c>
      <c r="C143" s="2512" t="s">
        <v>512</v>
      </c>
      <c r="D143" s="2614" t="s">
        <v>10937</v>
      </c>
      <c r="E143" s="3041">
        <v>69</v>
      </c>
      <c r="F143" s="3041">
        <v>20.8</v>
      </c>
      <c r="G143" s="2488"/>
      <c r="H143" s="2752">
        <v>50</v>
      </c>
      <c r="I143" s="2752">
        <v>2</v>
      </c>
      <c r="J143" s="2488"/>
      <c r="K143" s="2614"/>
      <c r="L143" s="2488"/>
      <c r="M143" s="2614"/>
      <c r="N143" s="2479" t="str">
        <f t="shared" si="4"/>
        <v>QUEEN AVE, OR, Distribution, Unattended</v>
      </c>
    </row>
    <row r="144" spans="1:14" ht="15" customHeight="1" x14ac:dyDescent="0.2">
      <c r="A144" s="3003">
        <f t="shared" si="5"/>
        <v>40.23599999999945</v>
      </c>
      <c r="B144" s="2512" t="s">
        <v>11204</v>
      </c>
      <c r="C144" s="2512" t="s">
        <v>512</v>
      </c>
      <c r="D144" s="2614" t="s">
        <v>10937</v>
      </c>
      <c r="E144" s="3041">
        <v>69</v>
      </c>
      <c r="F144" s="3041">
        <v>4.16</v>
      </c>
      <c r="G144" s="2488"/>
      <c r="H144" s="2752">
        <v>2</v>
      </c>
      <c r="I144" s="2752">
        <v>3</v>
      </c>
      <c r="J144" s="2488"/>
      <c r="K144" s="2614"/>
      <c r="L144" s="2488"/>
      <c r="M144" s="2614"/>
      <c r="N144" s="2479" t="str">
        <f t="shared" si="4"/>
        <v>RED BLANKET, OR, Distribution, Unattended</v>
      </c>
    </row>
    <row r="145" spans="1:14" ht="15" customHeight="1" x14ac:dyDescent="0.2">
      <c r="A145" s="3003">
        <f t="shared" si="5"/>
        <v>40.236999999999448</v>
      </c>
      <c r="B145" s="2512" t="s">
        <v>11205</v>
      </c>
      <c r="C145" s="2512" t="s">
        <v>512</v>
      </c>
      <c r="D145" s="2614" t="s">
        <v>10937</v>
      </c>
      <c r="E145" s="3041">
        <v>115</v>
      </c>
      <c r="F145" s="3041">
        <v>12.47</v>
      </c>
      <c r="G145" s="2488"/>
      <c r="H145" s="2752">
        <v>50</v>
      </c>
      <c r="I145" s="2752">
        <v>2</v>
      </c>
      <c r="J145" s="2488"/>
      <c r="K145" s="2614"/>
      <c r="L145" s="2488"/>
      <c r="M145" s="2614"/>
      <c r="N145" s="2479" t="str">
        <f t="shared" si="4"/>
        <v>REDMOND, OR, Distribution, Unattended</v>
      </c>
    </row>
    <row r="146" spans="1:14" ht="15" customHeight="1" x14ac:dyDescent="0.2">
      <c r="A146" s="3003">
        <f t="shared" si="5"/>
        <v>40.237999999999445</v>
      </c>
      <c r="B146" s="2512" t="s">
        <v>11206</v>
      </c>
      <c r="C146" s="2512" t="s">
        <v>512</v>
      </c>
      <c r="D146" s="2614" t="s">
        <v>10937</v>
      </c>
      <c r="E146" s="3041">
        <v>115</v>
      </c>
      <c r="F146" s="3041">
        <v>69</v>
      </c>
      <c r="G146" s="2488"/>
      <c r="H146" s="2752">
        <v>75</v>
      </c>
      <c r="I146" s="2752">
        <v>2</v>
      </c>
      <c r="J146" s="2488"/>
      <c r="K146" s="2614"/>
      <c r="L146" s="2488"/>
      <c r="M146" s="2614"/>
      <c r="N146" s="2479" t="str">
        <f t="shared" si="4"/>
        <v>RIDDLE, OR, Distribution, Unattended</v>
      </c>
    </row>
    <row r="147" spans="1:14" ht="15" customHeight="1" x14ac:dyDescent="0.2">
      <c r="A147" s="3003">
        <f t="shared" si="5"/>
        <v>40.238999999999443</v>
      </c>
      <c r="B147" s="2512" t="s">
        <v>11207</v>
      </c>
      <c r="C147" s="2512" t="s">
        <v>512</v>
      </c>
      <c r="D147" s="2614" t="s">
        <v>10937</v>
      </c>
      <c r="E147" s="3041">
        <v>115</v>
      </c>
      <c r="F147" s="3041">
        <v>12.47</v>
      </c>
      <c r="G147" s="3043">
        <v>7.2</v>
      </c>
      <c r="H147" s="2752">
        <v>25</v>
      </c>
      <c r="I147" s="2752">
        <v>1</v>
      </c>
      <c r="J147" s="2488"/>
      <c r="K147" s="2614"/>
      <c r="L147" s="2488"/>
      <c r="M147" s="2614"/>
      <c r="N147" s="2479" t="str">
        <f t="shared" si="4"/>
        <v>RIDDLE VENEER, OR, Distribution, Unattended</v>
      </c>
    </row>
    <row r="148" spans="1:14" ht="15" customHeight="1" x14ac:dyDescent="0.2">
      <c r="A148" s="3003">
        <f t="shared" si="5"/>
        <v>40.239999999999441</v>
      </c>
      <c r="B148" s="2512" t="s">
        <v>11208</v>
      </c>
      <c r="C148" s="2512" t="s">
        <v>512</v>
      </c>
      <c r="D148" s="2614" t="s">
        <v>10937</v>
      </c>
      <c r="E148" s="3041">
        <v>115</v>
      </c>
      <c r="F148" s="3041">
        <v>69</v>
      </c>
      <c r="G148" s="3043">
        <v>13.2</v>
      </c>
      <c r="H148" s="2752">
        <v>50</v>
      </c>
      <c r="I148" s="2752">
        <v>1</v>
      </c>
      <c r="J148" s="2488"/>
      <c r="K148" s="2614"/>
      <c r="L148" s="2488"/>
      <c r="M148" s="2614"/>
      <c r="N148" s="2479" t="str">
        <f t="shared" si="4"/>
        <v>ROBERTS CREEK, OR, Distribution, Unattended</v>
      </c>
    </row>
    <row r="149" spans="1:14" ht="15" customHeight="1" x14ac:dyDescent="0.2">
      <c r="A149" s="3003">
        <f t="shared" si="5"/>
        <v>40.240999999999438</v>
      </c>
      <c r="B149" s="2512" t="s">
        <v>11209</v>
      </c>
      <c r="C149" s="2512" t="s">
        <v>512</v>
      </c>
      <c r="D149" s="2614" t="s">
        <v>10937</v>
      </c>
      <c r="E149" s="3041">
        <v>69</v>
      </c>
      <c r="F149" s="3041">
        <v>12.47</v>
      </c>
      <c r="G149" s="2488"/>
      <c r="H149" s="2752">
        <v>13</v>
      </c>
      <c r="I149" s="2752">
        <v>1</v>
      </c>
      <c r="J149" s="2488"/>
      <c r="K149" s="2614"/>
      <c r="L149" s="2488"/>
      <c r="M149" s="2614"/>
      <c r="N149" s="2479" t="str">
        <f t="shared" si="4"/>
        <v>ROGUE RIVER, OR, Distribution, Unattended</v>
      </c>
    </row>
    <row r="150" spans="1:14" ht="15" customHeight="1" x14ac:dyDescent="0.2">
      <c r="A150" s="3003">
        <f t="shared" si="5"/>
        <v>40.241999999999436</v>
      </c>
      <c r="B150" s="2512" t="s">
        <v>11210</v>
      </c>
      <c r="C150" s="2512" t="s">
        <v>512</v>
      </c>
      <c r="D150" s="2614" t="s">
        <v>10937</v>
      </c>
      <c r="E150" s="3041">
        <v>115</v>
      </c>
      <c r="F150" s="3041">
        <v>20.8</v>
      </c>
      <c r="G150" s="2488"/>
      <c r="H150" s="2752">
        <v>50</v>
      </c>
      <c r="I150" s="2752">
        <v>2</v>
      </c>
      <c r="J150" s="2488"/>
      <c r="K150" s="2614"/>
      <c r="L150" s="2488"/>
      <c r="M150" s="2614"/>
      <c r="N150" s="2479" t="str">
        <f t="shared" si="4"/>
        <v>ROSEBURG, OR, Distribution, Unattended</v>
      </c>
    </row>
    <row r="151" spans="1:14" ht="15" customHeight="1" x14ac:dyDescent="0.2">
      <c r="A151" s="3003">
        <f t="shared" si="5"/>
        <v>40.242999999999434</v>
      </c>
      <c r="B151" s="2512" t="s">
        <v>11211</v>
      </c>
      <c r="C151" s="2512" t="s">
        <v>512</v>
      </c>
      <c r="D151" s="2614" t="s">
        <v>10937</v>
      </c>
      <c r="E151" s="3041">
        <v>69</v>
      </c>
      <c r="F151" s="3041">
        <v>12.47</v>
      </c>
      <c r="G151" s="2488"/>
      <c r="H151" s="2752">
        <v>9</v>
      </c>
      <c r="I151" s="2752">
        <v>3</v>
      </c>
      <c r="J151" s="2488"/>
      <c r="K151" s="2614"/>
      <c r="L151" s="2488"/>
      <c r="M151" s="2614"/>
      <c r="N151" s="2479" t="str">
        <f t="shared" si="4"/>
        <v>ROSS AVENUE, OR, Distribution, Unattended</v>
      </c>
    </row>
    <row r="152" spans="1:14" ht="15" customHeight="1" x14ac:dyDescent="0.2">
      <c r="A152" s="3003">
        <f t="shared" si="5"/>
        <v>40.243999999999431</v>
      </c>
      <c r="B152" s="2512" t="s">
        <v>11212</v>
      </c>
      <c r="C152" s="2512" t="s">
        <v>512</v>
      </c>
      <c r="D152" s="2614" t="s">
        <v>10937</v>
      </c>
      <c r="E152" s="3041">
        <v>115</v>
      </c>
      <c r="F152" s="3041">
        <v>12.47</v>
      </c>
      <c r="G152" s="2488"/>
      <c r="H152" s="2752">
        <v>25</v>
      </c>
      <c r="I152" s="2752">
        <v>1</v>
      </c>
      <c r="J152" s="2488"/>
      <c r="K152" s="2614"/>
      <c r="L152" s="2488"/>
      <c r="M152" s="2614"/>
      <c r="N152" s="2479" t="str">
        <f t="shared" si="4"/>
        <v>ROXY ANN, OR, Distribution, Unattended</v>
      </c>
    </row>
    <row r="153" spans="1:14" ht="15" customHeight="1" x14ac:dyDescent="0.2">
      <c r="A153" s="3003">
        <f t="shared" si="5"/>
        <v>40.244999999999429</v>
      </c>
      <c r="B153" s="2512" t="s">
        <v>11213</v>
      </c>
      <c r="C153" s="2512" t="s">
        <v>512</v>
      </c>
      <c r="D153" s="2614" t="s">
        <v>10937</v>
      </c>
      <c r="E153" s="3041">
        <v>115</v>
      </c>
      <c r="F153" s="3041">
        <v>12.47</v>
      </c>
      <c r="G153" s="2488"/>
      <c r="H153" s="2752">
        <v>9</v>
      </c>
      <c r="I153" s="2752">
        <v>1</v>
      </c>
      <c r="J153" s="2488"/>
      <c r="K153" s="2614"/>
      <c r="L153" s="2488"/>
      <c r="M153" s="2614"/>
      <c r="N153" s="2479" t="str">
        <f t="shared" si="4"/>
        <v>RUCH, OR, Distribution, Unattended</v>
      </c>
    </row>
    <row r="154" spans="1:14" ht="15" customHeight="1" x14ac:dyDescent="0.2">
      <c r="A154" s="3003">
        <f t="shared" si="5"/>
        <v>40.245999999999427</v>
      </c>
      <c r="B154" s="2512" t="s">
        <v>11214</v>
      </c>
      <c r="C154" s="2512" t="s">
        <v>512</v>
      </c>
      <c r="D154" s="2614" t="s">
        <v>10937</v>
      </c>
      <c r="E154" s="3041">
        <v>69</v>
      </c>
      <c r="F154" s="3041">
        <v>20.8</v>
      </c>
      <c r="G154" s="2488"/>
      <c r="H154" s="2752">
        <v>9</v>
      </c>
      <c r="I154" s="2752">
        <v>1</v>
      </c>
      <c r="J154" s="2488"/>
      <c r="K154" s="2614"/>
      <c r="L154" s="2488"/>
      <c r="M154" s="2614"/>
      <c r="N154" s="2479" t="str">
        <f t="shared" si="4"/>
        <v>RUNNING Y, OR, Distribution, Unattended</v>
      </c>
    </row>
    <row r="155" spans="1:14" ht="15" customHeight="1" x14ac:dyDescent="0.2">
      <c r="A155" s="3003">
        <f t="shared" si="5"/>
        <v>40.246999999999424</v>
      </c>
      <c r="B155" s="2512" t="s">
        <v>11215</v>
      </c>
      <c r="C155" s="2512" t="s">
        <v>512</v>
      </c>
      <c r="D155" s="2614" t="s">
        <v>10937</v>
      </c>
      <c r="E155" s="3041">
        <v>115</v>
      </c>
      <c r="F155" s="3041">
        <v>12.47</v>
      </c>
      <c r="G155" s="2488"/>
      <c r="H155" s="2752">
        <v>45</v>
      </c>
      <c r="I155" s="2752">
        <v>2</v>
      </c>
      <c r="J155" s="2488"/>
      <c r="K155" s="2614"/>
      <c r="L155" s="2488"/>
      <c r="M155" s="2614"/>
      <c r="N155" s="2479" t="str">
        <f t="shared" si="4"/>
        <v>RUSSELLVILLE, OR, Distribution, Unattended</v>
      </c>
    </row>
    <row r="156" spans="1:14" ht="15" customHeight="1" x14ac:dyDescent="0.2">
      <c r="A156" s="3003">
        <f t="shared" si="5"/>
        <v>40.247999999999422</v>
      </c>
      <c r="B156" s="2512" t="s">
        <v>11216</v>
      </c>
      <c r="C156" s="2512" t="s">
        <v>512</v>
      </c>
      <c r="D156" s="2614" t="s">
        <v>10937</v>
      </c>
      <c r="E156" s="3041">
        <v>115</v>
      </c>
      <c r="F156" s="3041">
        <v>12.47</v>
      </c>
      <c r="G156" s="2488"/>
      <c r="H156" s="2752">
        <v>40</v>
      </c>
      <c r="I156" s="2752">
        <v>2</v>
      </c>
      <c r="J156" s="2488"/>
      <c r="K156" s="2614"/>
      <c r="L156" s="2488"/>
      <c r="M156" s="2614"/>
      <c r="N156" s="2479" t="str">
        <f t="shared" si="4"/>
        <v>SAGE ROAD, OR, Distribution, Unattended</v>
      </c>
    </row>
    <row r="157" spans="1:14" ht="15" customHeight="1" x14ac:dyDescent="0.2">
      <c r="A157" s="3003">
        <f t="shared" si="5"/>
        <v>40.24899999999942</v>
      </c>
      <c r="B157" s="2512" t="s">
        <v>11217</v>
      </c>
      <c r="C157" s="2512" t="s">
        <v>512</v>
      </c>
      <c r="D157" s="2614" t="s">
        <v>10937</v>
      </c>
      <c r="E157" s="3041">
        <v>115</v>
      </c>
      <c r="F157" s="3041">
        <v>69</v>
      </c>
      <c r="G157" s="3043">
        <v>13.2</v>
      </c>
      <c r="H157" s="2752">
        <v>70</v>
      </c>
      <c r="I157" s="2752">
        <v>3</v>
      </c>
      <c r="J157" s="2488"/>
      <c r="K157" s="2614"/>
      <c r="L157" s="2488"/>
      <c r="M157" s="2614"/>
      <c r="N157" s="2479" t="str">
        <f t="shared" si="4"/>
        <v>SCENIC, OR, Distribution, Unattended</v>
      </c>
    </row>
    <row r="158" spans="1:14" ht="15" customHeight="1" x14ac:dyDescent="0.2">
      <c r="A158" s="3003">
        <f t="shared" si="5"/>
        <v>40.249999999999417</v>
      </c>
      <c r="B158" s="2512" t="s">
        <v>11218</v>
      </c>
      <c r="C158" s="2512" t="s">
        <v>512</v>
      </c>
      <c r="D158" s="2614" t="s">
        <v>10937</v>
      </c>
      <c r="E158" s="3041">
        <v>69</v>
      </c>
      <c r="F158" s="3041">
        <v>12.47</v>
      </c>
      <c r="G158" s="2488"/>
      <c r="H158" s="2752">
        <v>8</v>
      </c>
      <c r="I158" s="2752">
        <v>1</v>
      </c>
      <c r="J158" s="2488"/>
      <c r="K158" s="2614"/>
      <c r="L158" s="2488"/>
      <c r="M158" s="2614"/>
      <c r="N158" s="2479" t="str">
        <f t="shared" si="4"/>
        <v>SCIO, OR, Distribution, Unattended</v>
      </c>
    </row>
    <row r="159" spans="1:14" ht="15" customHeight="1" x14ac:dyDescent="0.2">
      <c r="A159" s="3003">
        <f t="shared" si="5"/>
        <v>40.250999999999415</v>
      </c>
      <c r="B159" s="2512" t="s">
        <v>11219</v>
      </c>
      <c r="C159" s="2512" t="s">
        <v>512</v>
      </c>
      <c r="D159" s="2614" t="s">
        <v>10937</v>
      </c>
      <c r="E159" s="3041">
        <v>115</v>
      </c>
      <c r="F159" s="3041">
        <v>12.47</v>
      </c>
      <c r="G159" s="2488"/>
      <c r="H159" s="2752">
        <v>40</v>
      </c>
      <c r="I159" s="2752">
        <v>2</v>
      </c>
      <c r="J159" s="2488"/>
      <c r="K159" s="2614"/>
      <c r="L159" s="2488"/>
      <c r="M159" s="2614"/>
      <c r="N159" s="2479" t="str">
        <f t="shared" si="4"/>
        <v>SEASIDE, OR, Distribution, Unattended</v>
      </c>
    </row>
    <row r="160" spans="1:14" ht="15" customHeight="1" x14ac:dyDescent="0.2">
      <c r="A160" s="3003">
        <f t="shared" si="5"/>
        <v>40.251999999999413</v>
      </c>
      <c r="B160" s="2512" t="s">
        <v>11220</v>
      </c>
      <c r="C160" s="2512" t="s">
        <v>512</v>
      </c>
      <c r="D160" s="2614" t="s">
        <v>10937</v>
      </c>
      <c r="E160" s="3041">
        <v>115</v>
      </c>
      <c r="F160" s="3041">
        <v>12.47</v>
      </c>
      <c r="G160" s="2488"/>
      <c r="H160" s="2752">
        <v>9</v>
      </c>
      <c r="I160" s="2752">
        <v>1</v>
      </c>
      <c r="J160" s="2488"/>
      <c r="K160" s="2614"/>
      <c r="L160" s="2488"/>
      <c r="M160" s="2614"/>
      <c r="N160" s="2479" t="str">
        <f t="shared" si="4"/>
        <v>SELMA, OR, Distribution, Unattended</v>
      </c>
    </row>
    <row r="161" spans="1:14" ht="15" customHeight="1" x14ac:dyDescent="0.2">
      <c r="A161" s="3003">
        <f t="shared" si="5"/>
        <v>40.25299999999941</v>
      </c>
      <c r="B161" s="2512" t="s">
        <v>11221</v>
      </c>
      <c r="C161" s="2512" t="s">
        <v>512</v>
      </c>
      <c r="D161" s="2614" t="s">
        <v>10937</v>
      </c>
      <c r="E161" s="3041">
        <v>12.47</v>
      </c>
      <c r="F161" s="3041">
        <v>4.16</v>
      </c>
      <c r="G161" s="2488"/>
      <c r="H161" s="2752">
        <v>2</v>
      </c>
      <c r="I161" s="2752">
        <v>3</v>
      </c>
      <c r="J161" s="2488"/>
      <c r="K161" s="2614"/>
      <c r="L161" s="2488"/>
      <c r="M161" s="2614"/>
      <c r="N161" s="2479" t="str">
        <f t="shared" si="4"/>
        <v>SHASTA WAY, OR, Distribution, Unattended</v>
      </c>
    </row>
    <row r="162" spans="1:14" ht="15" customHeight="1" x14ac:dyDescent="0.2">
      <c r="A162" s="3003">
        <f t="shared" si="5"/>
        <v>40.253999999999408</v>
      </c>
      <c r="B162" s="2512" t="s">
        <v>11222</v>
      </c>
      <c r="C162" s="2512" t="s">
        <v>512</v>
      </c>
      <c r="D162" s="2614" t="s">
        <v>10937</v>
      </c>
      <c r="E162" s="3041">
        <v>69</v>
      </c>
      <c r="F162" s="3041">
        <v>12.47</v>
      </c>
      <c r="G162" s="3043">
        <v>7.2</v>
      </c>
      <c r="H162" s="2752">
        <v>50</v>
      </c>
      <c r="I162" s="2752">
        <v>2</v>
      </c>
      <c r="J162" s="2488"/>
      <c r="K162" s="2614"/>
      <c r="L162" s="2488"/>
      <c r="M162" s="2614"/>
      <c r="N162" s="2479" t="str">
        <f t="shared" si="4"/>
        <v>SHEVLIN PARK, OR, Distribution, Unattended</v>
      </c>
    </row>
    <row r="163" spans="1:14" ht="15" customHeight="1" x14ac:dyDescent="0.2">
      <c r="A163" s="3003">
        <f t="shared" si="5"/>
        <v>40.254999999999406</v>
      </c>
      <c r="B163" s="2512" t="s">
        <v>11223</v>
      </c>
      <c r="C163" s="2512" t="s">
        <v>512</v>
      </c>
      <c r="D163" s="2614" t="s">
        <v>10937</v>
      </c>
      <c r="E163" s="3041">
        <v>34.5</v>
      </c>
      <c r="F163" s="3041">
        <v>4.16</v>
      </c>
      <c r="G163" s="2488"/>
      <c r="H163" s="2752">
        <v>19</v>
      </c>
      <c r="I163" s="2752">
        <v>2</v>
      </c>
      <c r="J163" s="2488"/>
      <c r="K163" s="2614"/>
      <c r="L163" s="2488"/>
      <c r="M163" s="2614"/>
      <c r="N163" s="2479" t="str">
        <f t="shared" si="4"/>
        <v>SIMTAG BOOSTER PUMP, OR, Distribution, Unattended</v>
      </c>
    </row>
    <row r="164" spans="1:14" ht="15" customHeight="1" x14ac:dyDescent="0.2">
      <c r="A164" s="3003">
        <f t="shared" si="5"/>
        <v>40.255999999999403</v>
      </c>
      <c r="B164" s="2512" t="s">
        <v>11224</v>
      </c>
      <c r="C164" s="2512" t="s">
        <v>512</v>
      </c>
      <c r="D164" s="2614" t="s">
        <v>10937</v>
      </c>
      <c r="E164" s="3041">
        <v>115</v>
      </c>
      <c r="F164" s="3041">
        <v>12.47</v>
      </c>
      <c r="G164" s="2488"/>
      <c r="H164" s="2752">
        <v>9</v>
      </c>
      <c r="I164" s="2752">
        <v>1</v>
      </c>
      <c r="J164" s="2488"/>
      <c r="K164" s="2614"/>
      <c r="L164" s="2488"/>
      <c r="M164" s="2614"/>
      <c r="N164" s="2479" t="str">
        <f t="shared" si="4"/>
        <v>SOUTH DUNES, OR, Distribution, Unattended</v>
      </c>
    </row>
    <row r="165" spans="1:14" ht="15" customHeight="1" x14ac:dyDescent="0.2">
      <c r="A165" s="3003">
        <f t="shared" si="5"/>
        <v>40.256999999999401</v>
      </c>
      <c r="B165" s="2512" t="s">
        <v>11225</v>
      </c>
      <c r="C165" s="2512" t="s">
        <v>512</v>
      </c>
      <c r="D165" s="2614" t="s">
        <v>10937</v>
      </c>
      <c r="E165" s="3041">
        <v>69</v>
      </c>
      <c r="F165" s="3041">
        <v>20.8</v>
      </c>
      <c r="G165" s="2488"/>
      <c r="H165" s="2752">
        <v>20</v>
      </c>
      <c r="I165" s="2752">
        <v>1</v>
      </c>
      <c r="J165" s="2488"/>
      <c r="K165" s="2614"/>
      <c r="L165" s="2488"/>
      <c r="M165" s="2614"/>
      <c r="N165" s="2479" t="str">
        <f t="shared" si="4"/>
        <v>SOUTHGATE, OR, Distribution, Unattended</v>
      </c>
    </row>
    <row r="166" spans="1:14" ht="15" customHeight="1" x14ac:dyDescent="0.2">
      <c r="A166" s="3003">
        <f t="shared" si="5"/>
        <v>40.257999999999399</v>
      </c>
      <c r="B166" s="2512" t="s">
        <v>11226</v>
      </c>
      <c r="C166" s="2512" t="s">
        <v>512</v>
      </c>
      <c r="D166" s="2614" t="s">
        <v>10937</v>
      </c>
      <c r="E166" s="3041">
        <v>69</v>
      </c>
      <c r="F166" s="3041">
        <v>12.47</v>
      </c>
      <c r="G166" s="2488"/>
      <c r="H166" s="2752">
        <v>7</v>
      </c>
      <c r="I166" s="2752">
        <v>3</v>
      </c>
      <c r="J166" s="2488"/>
      <c r="K166" s="2614"/>
      <c r="L166" s="2488"/>
      <c r="M166" s="2614"/>
      <c r="N166" s="2479" t="str">
        <f t="shared" si="4"/>
        <v>SPRAGUE RIVER, OR, Distribution, Unattended</v>
      </c>
    </row>
    <row r="167" spans="1:14" ht="15" customHeight="1" x14ac:dyDescent="0.2">
      <c r="A167" s="3003">
        <f t="shared" si="5"/>
        <v>40.258999999999396</v>
      </c>
      <c r="B167" s="2512" t="s">
        <v>11227</v>
      </c>
      <c r="C167" s="2512" t="s">
        <v>512</v>
      </c>
      <c r="D167" s="2614" t="s">
        <v>10937</v>
      </c>
      <c r="E167" s="3041">
        <v>115</v>
      </c>
      <c r="F167" s="3041">
        <v>20.8</v>
      </c>
      <c r="G167" s="2488"/>
      <c r="H167" s="2752">
        <v>40</v>
      </c>
      <c r="I167" s="2752">
        <v>2</v>
      </c>
      <c r="J167" s="2488"/>
      <c r="K167" s="2614"/>
      <c r="L167" s="2488"/>
      <c r="M167" s="2614"/>
      <c r="N167" s="2479" t="str">
        <f t="shared" si="4"/>
        <v>STATE STREET, OR, Distribution, Unattended</v>
      </c>
    </row>
    <row r="168" spans="1:14" ht="15" customHeight="1" x14ac:dyDescent="0.2">
      <c r="A168" s="3003">
        <f t="shared" si="5"/>
        <v>40.259999999999394</v>
      </c>
      <c r="B168" s="2512" t="s">
        <v>11228</v>
      </c>
      <c r="C168" s="2512" t="s">
        <v>512</v>
      </c>
      <c r="D168" s="2614" t="s">
        <v>10937</v>
      </c>
      <c r="E168" s="3041">
        <v>69</v>
      </c>
      <c r="F168" s="3041">
        <v>20.8</v>
      </c>
      <c r="G168" s="2488"/>
      <c r="H168" s="2752">
        <v>55</v>
      </c>
      <c r="I168" s="2752">
        <v>2</v>
      </c>
      <c r="J168" s="2488"/>
      <c r="K168" s="2614"/>
      <c r="L168" s="2488"/>
      <c r="M168" s="2614"/>
      <c r="N168" s="2479" t="str">
        <f t="shared" si="4"/>
        <v>STAYTON, OR, Distribution, Unattended</v>
      </c>
    </row>
    <row r="169" spans="1:14" ht="15" customHeight="1" x14ac:dyDescent="0.2">
      <c r="A169" s="3003">
        <f t="shared" si="5"/>
        <v>40.260999999999392</v>
      </c>
      <c r="B169" s="2512" t="s">
        <v>11229</v>
      </c>
      <c r="C169" s="2512" t="s">
        <v>512</v>
      </c>
      <c r="D169" s="2614" t="s">
        <v>10937</v>
      </c>
      <c r="E169" s="3041">
        <v>115</v>
      </c>
      <c r="F169" s="3041">
        <v>7.2</v>
      </c>
      <c r="G169" s="2488"/>
      <c r="H169" s="2752">
        <v>0</v>
      </c>
      <c r="I169" s="2752">
        <v>1</v>
      </c>
      <c r="J169" s="2488"/>
      <c r="K169" s="2614"/>
      <c r="L169" s="2488"/>
      <c r="M169" s="2614"/>
      <c r="N169" s="2479" t="str">
        <f t="shared" si="4"/>
        <v>STEAMBOAT, OR, Distribution, Unattended</v>
      </c>
    </row>
    <row r="170" spans="1:14" ht="15" customHeight="1" x14ac:dyDescent="0.2">
      <c r="A170" s="3003">
        <f t="shared" si="5"/>
        <v>40.261999999999389</v>
      </c>
      <c r="B170" s="2512" t="s">
        <v>11230</v>
      </c>
      <c r="C170" s="2512" t="s">
        <v>512</v>
      </c>
      <c r="D170" s="2614" t="s">
        <v>10937</v>
      </c>
      <c r="E170" s="3041">
        <v>115</v>
      </c>
      <c r="F170" s="3041">
        <v>20.8</v>
      </c>
      <c r="G170" s="2488"/>
      <c r="H170" s="2752">
        <v>50</v>
      </c>
      <c r="I170" s="2752">
        <v>2</v>
      </c>
      <c r="J170" s="2488"/>
      <c r="K170" s="2614"/>
      <c r="L170" s="2488"/>
      <c r="M170" s="2614"/>
      <c r="N170" s="2479" t="str">
        <f t="shared" si="4"/>
        <v>STEVENS ROAD, OR, Distribution, Unattended</v>
      </c>
    </row>
    <row r="171" spans="1:14" ht="15" customHeight="1" x14ac:dyDescent="0.2">
      <c r="A171" s="3003">
        <f t="shared" si="5"/>
        <v>40.262999999999387</v>
      </c>
      <c r="B171" s="2512" t="s">
        <v>11231</v>
      </c>
      <c r="C171" s="2512" t="s">
        <v>512</v>
      </c>
      <c r="D171" s="2614" t="s">
        <v>10937</v>
      </c>
      <c r="E171" s="3041">
        <v>115</v>
      </c>
      <c r="F171" s="3041">
        <v>12.47</v>
      </c>
      <c r="G171" s="2488"/>
      <c r="H171" s="2752">
        <v>25</v>
      </c>
      <c r="I171" s="2752">
        <v>1</v>
      </c>
      <c r="J171" s="2488"/>
      <c r="K171" s="2614"/>
      <c r="L171" s="2488"/>
      <c r="M171" s="2614"/>
      <c r="N171" s="2479" t="str">
        <f t="shared" si="4"/>
        <v>SUTHERLIN, OR, Distribution, Unattended</v>
      </c>
    </row>
    <row r="172" spans="1:14" ht="15" customHeight="1" x14ac:dyDescent="0.2">
      <c r="A172" s="3003">
        <f t="shared" si="5"/>
        <v>40.263999999999385</v>
      </c>
      <c r="B172" s="2512" t="s">
        <v>11232</v>
      </c>
      <c r="C172" s="2512" t="s">
        <v>512</v>
      </c>
      <c r="D172" s="2614" t="s">
        <v>10937</v>
      </c>
      <c r="E172" s="3041">
        <v>115</v>
      </c>
      <c r="F172" s="3041">
        <v>20.8</v>
      </c>
      <c r="G172" s="2488"/>
      <c r="H172" s="2752">
        <v>42</v>
      </c>
      <c r="I172" s="2752">
        <v>2</v>
      </c>
      <c r="J172" s="2488"/>
      <c r="K172" s="2614"/>
      <c r="L172" s="2488"/>
      <c r="M172" s="2614"/>
      <c r="N172" s="2479" t="str">
        <f t="shared" si="4"/>
        <v>SWEET HOME, OR, Distribution, Unattended</v>
      </c>
    </row>
    <row r="173" spans="1:14" ht="15" customHeight="1" x14ac:dyDescent="0.2">
      <c r="A173" s="3003">
        <f t="shared" si="5"/>
        <v>40.264999999999382</v>
      </c>
      <c r="B173" s="2512" t="s">
        <v>11233</v>
      </c>
      <c r="C173" s="2512" t="s">
        <v>512</v>
      </c>
      <c r="D173" s="2614" t="s">
        <v>10937</v>
      </c>
      <c r="E173" s="3041">
        <v>115</v>
      </c>
      <c r="F173" s="3041">
        <v>20.8</v>
      </c>
      <c r="G173" s="2488"/>
      <c r="H173" s="2752">
        <v>13</v>
      </c>
      <c r="I173" s="2752">
        <v>1</v>
      </c>
      <c r="J173" s="2488"/>
      <c r="K173" s="2614"/>
      <c r="L173" s="2488"/>
      <c r="M173" s="2614"/>
      <c r="N173" s="2479" t="str">
        <f t="shared" si="4"/>
        <v>TAKELMA, OR, Distribution, Unattended</v>
      </c>
    </row>
    <row r="174" spans="1:14" ht="15" customHeight="1" x14ac:dyDescent="0.2">
      <c r="A174" s="3003">
        <f t="shared" si="5"/>
        <v>40.26599999999938</v>
      </c>
      <c r="B174" s="2512" t="s">
        <v>11234</v>
      </c>
      <c r="C174" s="2512" t="s">
        <v>512</v>
      </c>
      <c r="D174" s="2614" t="s">
        <v>10937</v>
      </c>
      <c r="E174" s="3041">
        <v>115</v>
      </c>
      <c r="F174" s="3041">
        <v>12.47</v>
      </c>
      <c r="G174" s="2488"/>
      <c r="H174" s="2752">
        <v>50</v>
      </c>
      <c r="I174" s="2752">
        <v>2</v>
      </c>
      <c r="J174" s="2488"/>
      <c r="K174" s="2614"/>
      <c r="L174" s="2488"/>
      <c r="M174" s="2614"/>
      <c r="N174" s="2479" t="str">
        <f t="shared" si="4"/>
        <v>TALENT, OR, Distribution, Unattended</v>
      </c>
    </row>
    <row r="175" spans="1:14" ht="15" customHeight="1" x14ac:dyDescent="0.2">
      <c r="A175" s="3003">
        <f t="shared" si="5"/>
        <v>40.266999999999378</v>
      </c>
      <c r="B175" s="2512" t="s">
        <v>11235</v>
      </c>
      <c r="C175" s="2512" t="s">
        <v>512</v>
      </c>
      <c r="D175" s="2614" t="s">
        <v>10937</v>
      </c>
      <c r="E175" s="3041">
        <v>69</v>
      </c>
      <c r="F175" s="3041">
        <v>12.47</v>
      </c>
      <c r="G175" s="2488"/>
      <c r="H175" s="2752">
        <v>25</v>
      </c>
      <c r="I175" s="2752">
        <v>1</v>
      </c>
      <c r="J175" s="2488"/>
      <c r="K175" s="2614"/>
      <c r="L175" s="2488"/>
      <c r="M175" s="2614"/>
      <c r="N175" s="2479" t="str">
        <f t="shared" si="4"/>
        <v>TEXUM, OR, Distribution, Unattended</v>
      </c>
    </row>
    <row r="176" spans="1:14" ht="15" customHeight="1" x14ac:dyDescent="0.2">
      <c r="A176" s="3003">
        <f t="shared" si="5"/>
        <v>40.267999999999375</v>
      </c>
      <c r="B176" s="2512" t="s">
        <v>11236</v>
      </c>
      <c r="C176" s="2512" t="s">
        <v>512</v>
      </c>
      <c r="D176" s="2614" t="s">
        <v>10937</v>
      </c>
      <c r="E176" s="3041">
        <v>115</v>
      </c>
      <c r="F176" s="3041">
        <v>12.47</v>
      </c>
      <c r="G176" s="2488"/>
      <c r="H176" s="2752">
        <v>5</v>
      </c>
      <c r="I176" s="2752">
        <v>1</v>
      </c>
      <c r="J176" s="2750">
        <v>1</v>
      </c>
      <c r="K176" s="2614"/>
      <c r="L176" s="2488"/>
      <c r="M176" s="2614"/>
      <c r="N176" s="2479" t="str">
        <f t="shared" si="4"/>
        <v>TILLER, OR, Distribution, Unattended</v>
      </c>
    </row>
    <row r="177" spans="1:14" ht="15" customHeight="1" x14ac:dyDescent="0.2">
      <c r="A177" s="3003">
        <f t="shared" si="5"/>
        <v>40.268999999999373</v>
      </c>
      <c r="B177" s="2512" t="s">
        <v>11237</v>
      </c>
      <c r="C177" s="2512" t="s">
        <v>512</v>
      </c>
      <c r="D177" s="2614" t="s">
        <v>10937</v>
      </c>
      <c r="E177" s="3041">
        <v>69</v>
      </c>
      <c r="F177" s="3041">
        <v>12.47</v>
      </c>
      <c r="G177" s="2488"/>
      <c r="H177" s="2752">
        <v>11</v>
      </c>
      <c r="I177" s="2752">
        <v>1</v>
      </c>
      <c r="J177" s="2488"/>
      <c r="K177" s="2614"/>
      <c r="L177" s="2488"/>
      <c r="M177" s="2614"/>
      <c r="N177" s="2479" t="str">
        <f t="shared" si="4"/>
        <v>TOLO, OR, Distribution, Unattended</v>
      </c>
    </row>
    <row r="178" spans="1:14" ht="15" customHeight="1" x14ac:dyDescent="0.2">
      <c r="A178" s="3003">
        <f t="shared" si="5"/>
        <v>40.269999999999371</v>
      </c>
      <c r="B178" s="2512" t="s">
        <v>11238</v>
      </c>
      <c r="C178" s="2512" t="s">
        <v>512</v>
      </c>
      <c r="D178" s="2614" t="s">
        <v>10937</v>
      </c>
      <c r="E178" s="3041">
        <v>69</v>
      </c>
      <c r="F178" s="3041">
        <v>12.47</v>
      </c>
      <c r="G178" s="2488"/>
      <c r="H178" s="2752">
        <v>13</v>
      </c>
      <c r="I178" s="2752">
        <v>3</v>
      </c>
      <c r="J178" s="2488"/>
      <c r="K178" s="2614"/>
      <c r="L178" s="2488"/>
      <c r="M178" s="2614"/>
      <c r="N178" s="2479" t="str">
        <f t="shared" si="4"/>
        <v>TURKEY HILL, OR, Distribution, Unattended</v>
      </c>
    </row>
    <row r="179" spans="1:14" ht="15" customHeight="1" x14ac:dyDescent="0.2">
      <c r="A179" s="3003">
        <f t="shared" si="5"/>
        <v>40.270999999999368</v>
      </c>
      <c r="B179" s="2512" t="s">
        <v>11239</v>
      </c>
      <c r="C179" s="2512" t="s">
        <v>512</v>
      </c>
      <c r="D179" s="2614" t="s">
        <v>10937</v>
      </c>
      <c r="E179" s="3041">
        <v>69</v>
      </c>
      <c r="F179" s="3041">
        <v>12.47</v>
      </c>
      <c r="G179" s="2488"/>
      <c r="H179" s="2752">
        <v>20</v>
      </c>
      <c r="I179" s="2752">
        <v>1</v>
      </c>
      <c r="J179" s="2488"/>
      <c r="K179" s="2614"/>
      <c r="L179" s="2488"/>
      <c r="M179" s="2614"/>
      <c r="N179" s="2479" t="str">
        <f t="shared" si="4"/>
        <v>UMAPINE, OR, Distribution, Unattended</v>
      </c>
    </row>
    <row r="180" spans="1:14" ht="15" customHeight="1" x14ac:dyDescent="0.2">
      <c r="A180" s="3003">
        <f t="shared" si="5"/>
        <v>40.271999999999366</v>
      </c>
      <c r="B180" s="2512" t="s">
        <v>11240</v>
      </c>
      <c r="C180" s="2512" t="s">
        <v>512</v>
      </c>
      <c r="D180" s="2614" t="s">
        <v>10937</v>
      </c>
      <c r="E180" s="3041">
        <v>69</v>
      </c>
      <c r="F180" s="3041">
        <v>12.47</v>
      </c>
      <c r="G180" s="2488"/>
      <c r="H180" s="2752">
        <v>25</v>
      </c>
      <c r="I180" s="2752">
        <v>2</v>
      </c>
      <c r="J180" s="2488"/>
      <c r="K180" s="2614"/>
      <c r="L180" s="2488"/>
      <c r="M180" s="2614"/>
      <c r="N180" s="2479" t="str">
        <f t="shared" si="4"/>
        <v>UMATILLA, OR, Distribution, Unattended</v>
      </c>
    </row>
    <row r="181" spans="1:14" ht="15" customHeight="1" x14ac:dyDescent="0.2">
      <c r="A181" s="3003">
        <f t="shared" si="5"/>
        <v>40.272999999999364</v>
      </c>
      <c r="B181" s="2512" t="s">
        <v>11241</v>
      </c>
      <c r="C181" s="2512" t="s">
        <v>512</v>
      </c>
      <c r="D181" s="2614" t="s">
        <v>10937</v>
      </c>
      <c r="E181" s="3041">
        <v>115</v>
      </c>
      <c r="F181" s="3041">
        <v>12.47</v>
      </c>
      <c r="G181" s="3043">
        <v>7.2</v>
      </c>
      <c r="H181" s="2752">
        <v>50</v>
      </c>
      <c r="I181" s="2752">
        <v>2</v>
      </c>
      <c r="J181" s="2488"/>
      <c r="K181" s="2614"/>
      <c r="L181" s="2488"/>
      <c r="M181" s="2614"/>
      <c r="N181" s="2479" t="str">
        <f t="shared" si="4"/>
        <v>VERNON, OR, Distribution, Unattended</v>
      </c>
    </row>
    <row r="182" spans="1:14" ht="15" customHeight="1" x14ac:dyDescent="0.2">
      <c r="A182" s="3003">
        <f t="shared" si="5"/>
        <v>40.273999999999361</v>
      </c>
      <c r="B182" s="2512" t="s">
        <v>11242</v>
      </c>
      <c r="C182" s="2512" t="s">
        <v>512</v>
      </c>
      <c r="D182" s="2614" t="s">
        <v>10937</v>
      </c>
      <c r="E182" s="3041">
        <v>115</v>
      </c>
      <c r="F182" s="3041">
        <v>12.47</v>
      </c>
      <c r="G182" s="2488"/>
      <c r="H182" s="2752">
        <v>25</v>
      </c>
      <c r="I182" s="2752">
        <v>1</v>
      </c>
      <c r="J182" s="2488"/>
      <c r="K182" s="2614"/>
      <c r="L182" s="2488"/>
      <c r="M182" s="2614"/>
      <c r="N182" s="2479" t="str">
        <f t="shared" si="4"/>
        <v>VILAS, OR, Distribution, Unattended</v>
      </c>
    </row>
    <row r="183" spans="1:14" ht="15" customHeight="1" x14ac:dyDescent="0.2">
      <c r="A183" s="3003">
        <f t="shared" si="5"/>
        <v>40.274999999999359</v>
      </c>
      <c r="B183" s="2512" t="s">
        <v>11243</v>
      </c>
      <c r="C183" s="2512" t="s">
        <v>512</v>
      </c>
      <c r="D183" s="2614" t="s">
        <v>10937</v>
      </c>
      <c r="E183" s="3041">
        <v>115</v>
      </c>
      <c r="F183" s="3041">
        <v>20.8</v>
      </c>
      <c r="G183" s="2488"/>
      <c r="H183" s="2752">
        <v>40</v>
      </c>
      <c r="I183" s="2752">
        <v>2</v>
      </c>
      <c r="J183" s="2488"/>
      <c r="K183" s="2614"/>
      <c r="L183" s="2488"/>
      <c r="M183" s="2614"/>
      <c r="N183" s="2479" t="str">
        <f t="shared" si="4"/>
        <v>VILLAGE GREEN, OR, Distribution, Unattended</v>
      </c>
    </row>
    <row r="184" spans="1:14" ht="15" customHeight="1" x14ac:dyDescent="0.2">
      <c r="A184" s="3003">
        <f t="shared" si="5"/>
        <v>40.275999999999357</v>
      </c>
      <c r="B184" s="2512" t="s">
        <v>11244</v>
      </c>
      <c r="C184" s="2512" t="s">
        <v>512</v>
      </c>
      <c r="D184" s="2614" t="s">
        <v>10937</v>
      </c>
      <c r="E184" s="3041">
        <v>69</v>
      </c>
      <c r="F184" s="3041">
        <v>20.8</v>
      </c>
      <c r="G184" s="2488"/>
      <c r="H184" s="2752">
        <v>30</v>
      </c>
      <c r="I184" s="2752">
        <v>1</v>
      </c>
      <c r="J184" s="2488"/>
      <c r="K184" s="2614"/>
      <c r="L184" s="2488"/>
      <c r="M184" s="2614"/>
      <c r="N184" s="2479" t="str">
        <f t="shared" si="4"/>
        <v>VINE STREET, OR, Distribution, Unattended</v>
      </c>
    </row>
    <row r="185" spans="1:14" ht="15" customHeight="1" x14ac:dyDescent="0.2">
      <c r="A185" s="3003">
        <f t="shared" si="5"/>
        <v>40.276999999999354</v>
      </c>
      <c r="B185" s="2512" t="s">
        <v>11245</v>
      </c>
      <c r="C185" s="2512" t="s">
        <v>512</v>
      </c>
      <c r="D185" s="2614" t="s">
        <v>10937</v>
      </c>
      <c r="E185" s="3041">
        <v>69</v>
      </c>
      <c r="F185" s="3041">
        <v>12.47</v>
      </c>
      <c r="G185" s="2488"/>
      <c r="H185" s="2752">
        <v>7</v>
      </c>
      <c r="I185" s="2752">
        <v>1</v>
      </c>
      <c r="J185" s="2488"/>
      <c r="K185" s="2614"/>
      <c r="L185" s="2488"/>
      <c r="M185" s="2614"/>
      <c r="N185" s="2479" t="str">
        <f t="shared" si="4"/>
        <v>WALLOWA, OR, Distribution, Unattended</v>
      </c>
    </row>
    <row r="186" spans="1:14" ht="15" customHeight="1" x14ac:dyDescent="0.2">
      <c r="A186" s="3003">
        <f t="shared" si="5"/>
        <v>40.277999999999352</v>
      </c>
      <c r="B186" s="2512" t="s">
        <v>11246</v>
      </c>
      <c r="C186" s="2512" t="s">
        <v>512</v>
      </c>
      <c r="D186" s="2614" t="s">
        <v>10937</v>
      </c>
      <c r="E186" s="3041">
        <v>69</v>
      </c>
      <c r="F186" s="3041">
        <v>20.8</v>
      </c>
      <c r="G186" s="2488"/>
      <c r="H186" s="2752">
        <v>13</v>
      </c>
      <c r="I186" s="2752">
        <v>3</v>
      </c>
      <c r="J186" s="2488"/>
      <c r="K186" s="2614"/>
      <c r="L186" s="2488"/>
      <c r="M186" s="2614"/>
      <c r="N186" s="2479" t="str">
        <f t="shared" si="4"/>
        <v>WARM SPRINGS, OR, Distribution, Unattended</v>
      </c>
    </row>
    <row r="187" spans="1:14" ht="15" customHeight="1" x14ac:dyDescent="0.2">
      <c r="A187" s="3003">
        <f t="shared" si="5"/>
        <v>40.27899999999935</v>
      </c>
      <c r="B187" s="2512" t="s">
        <v>11247</v>
      </c>
      <c r="C187" s="2512" t="s">
        <v>512</v>
      </c>
      <c r="D187" s="2614" t="s">
        <v>10937</v>
      </c>
      <c r="E187" s="3041">
        <v>115</v>
      </c>
      <c r="F187" s="3041">
        <v>12.47</v>
      </c>
      <c r="G187" s="2488"/>
      <c r="H187" s="2752">
        <v>38</v>
      </c>
      <c r="I187" s="2752">
        <v>2</v>
      </c>
      <c r="J187" s="2488"/>
      <c r="K187" s="2614"/>
      <c r="L187" s="2488"/>
      <c r="M187" s="2614"/>
      <c r="N187" s="2479" t="str">
        <f t="shared" si="4"/>
        <v>WARRENTON, OR, Distribution, Unattended</v>
      </c>
    </row>
    <row r="188" spans="1:14" ht="15" customHeight="1" x14ac:dyDescent="0.2">
      <c r="A188" s="3003">
        <f t="shared" si="5"/>
        <v>40.279999999999347</v>
      </c>
      <c r="B188" s="2512" t="s">
        <v>11248</v>
      </c>
      <c r="C188" s="2512" t="s">
        <v>512</v>
      </c>
      <c r="D188" s="2614" t="s">
        <v>10937</v>
      </c>
      <c r="E188" s="3041">
        <v>20.8</v>
      </c>
      <c r="F188" s="3041">
        <v>4.16</v>
      </c>
      <c r="G188" s="2488"/>
      <c r="H188" s="2752">
        <v>2</v>
      </c>
      <c r="I188" s="2752">
        <v>3</v>
      </c>
      <c r="J188" s="2488"/>
      <c r="K188" s="2614"/>
      <c r="L188" s="2488"/>
      <c r="M188" s="2614"/>
      <c r="N188" s="2479" t="str">
        <f t="shared" si="4"/>
        <v>WASCO, OR, Distribution, Unattended</v>
      </c>
    </row>
    <row r="189" spans="1:14" ht="15" customHeight="1" x14ac:dyDescent="0.2">
      <c r="A189" s="3003">
        <f t="shared" si="5"/>
        <v>40.280999999999345</v>
      </c>
      <c r="B189" s="2512" t="s">
        <v>11249</v>
      </c>
      <c r="C189" s="2512" t="s">
        <v>512</v>
      </c>
      <c r="D189" s="2614" t="s">
        <v>10937</v>
      </c>
      <c r="E189" s="3041">
        <v>20.8</v>
      </c>
      <c r="F189" s="3041">
        <v>4.16</v>
      </c>
      <c r="G189" s="2488"/>
      <c r="H189" s="2752">
        <v>3</v>
      </c>
      <c r="I189" s="2752">
        <v>1</v>
      </c>
      <c r="J189" s="2488"/>
      <c r="K189" s="2614"/>
      <c r="L189" s="2488"/>
      <c r="M189" s="2614"/>
      <c r="N189" s="2479" t="str">
        <f t="shared" si="4"/>
        <v>WECOMA BEACH, OR, Distribution, Unattended</v>
      </c>
    </row>
    <row r="190" spans="1:14" ht="15" customHeight="1" x14ac:dyDescent="0.2">
      <c r="A190" s="3003">
        <f t="shared" si="5"/>
        <v>40.281999999999343</v>
      </c>
      <c r="B190" s="2512" t="s">
        <v>11250</v>
      </c>
      <c r="C190" s="2512" t="s">
        <v>512</v>
      </c>
      <c r="D190" s="2614" t="s">
        <v>10937</v>
      </c>
      <c r="E190" s="3041">
        <v>69</v>
      </c>
      <c r="F190" s="3041">
        <v>12.47</v>
      </c>
      <c r="G190" s="2488"/>
      <c r="H190" s="2752">
        <v>25</v>
      </c>
      <c r="I190" s="2752">
        <v>1</v>
      </c>
      <c r="J190" s="2488"/>
      <c r="K190" s="2614"/>
      <c r="L190" s="2488"/>
      <c r="M190" s="2614"/>
      <c r="N190" s="2479" t="str">
        <f t="shared" si="4"/>
        <v>WESTON, OR, Distribution, Unattended</v>
      </c>
    </row>
    <row r="191" spans="1:14" ht="15" customHeight="1" x14ac:dyDescent="0.2">
      <c r="A191" s="3003">
        <f t="shared" si="5"/>
        <v>40.28299999999934</v>
      </c>
      <c r="B191" s="2512" t="s">
        <v>11251</v>
      </c>
      <c r="C191" s="2512" t="s">
        <v>512</v>
      </c>
      <c r="D191" s="2614" t="s">
        <v>10937</v>
      </c>
      <c r="E191" s="3041">
        <v>69</v>
      </c>
      <c r="F191" s="3041">
        <v>12.47</v>
      </c>
      <c r="G191" s="2488"/>
      <c r="H191" s="2752">
        <v>40</v>
      </c>
      <c r="I191" s="2752">
        <v>2</v>
      </c>
      <c r="J191" s="2488"/>
      <c r="K191" s="2614"/>
      <c r="L191" s="2488"/>
      <c r="M191" s="2614"/>
      <c r="N191" s="2479" t="str">
        <f t="shared" si="4"/>
        <v>WEYERHAEUSER, OR, Distribution, Unattended</v>
      </c>
    </row>
    <row r="192" spans="1:14" ht="15" customHeight="1" x14ac:dyDescent="0.2">
      <c r="A192" s="3003">
        <f t="shared" si="5"/>
        <v>40.283999999999338</v>
      </c>
      <c r="B192" s="2512" t="s">
        <v>11252</v>
      </c>
      <c r="C192" s="2512" t="s">
        <v>512</v>
      </c>
      <c r="D192" s="2614" t="s">
        <v>10937</v>
      </c>
      <c r="E192" s="3041">
        <v>115</v>
      </c>
      <c r="F192" s="3041">
        <v>12.47</v>
      </c>
      <c r="G192" s="2488"/>
      <c r="H192" s="2752">
        <v>65</v>
      </c>
      <c r="I192" s="2752">
        <v>3</v>
      </c>
      <c r="J192" s="2488"/>
      <c r="K192" s="2614"/>
      <c r="L192" s="2488"/>
      <c r="M192" s="2614"/>
      <c r="N192" s="2479" t="str">
        <f t="shared" si="4"/>
        <v>WHITE CITY, OR, Distribution, Unattended</v>
      </c>
    </row>
    <row r="193" spans="1:14" ht="15" customHeight="1" x14ac:dyDescent="0.2">
      <c r="A193" s="3003">
        <f t="shared" si="5"/>
        <v>40.284999999999336</v>
      </c>
      <c r="B193" s="2512" t="s">
        <v>11253</v>
      </c>
      <c r="C193" s="2512" t="s">
        <v>512</v>
      </c>
      <c r="D193" s="2614" t="s">
        <v>10937</v>
      </c>
      <c r="E193" s="3041">
        <v>34.5</v>
      </c>
      <c r="F193" s="3041">
        <v>4.16</v>
      </c>
      <c r="G193" s="2488"/>
      <c r="H193" s="2752">
        <v>28</v>
      </c>
      <c r="I193" s="2752">
        <v>3</v>
      </c>
      <c r="J193" s="2488"/>
      <c r="K193" s="2614"/>
      <c r="L193" s="2488"/>
      <c r="M193" s="2614"/>
      <c r="N193" s="2479" t="str">
        <f t="shared" si="4"/>
        <v>WILLOW COVE, OR, Distribution, Unattended</v>
      </c>
    </row>
    <row r="194" spans="1:14" ht="15" customHeight="1" x14ac:dyDescent="0.2">
      <c r="A194" s="3003">
        <f t="shared" si="5"/>
        <v>40.285999999999333</v>
      </c>
      <c r="B194" s="2512" t="s">
        <v>11254</v>
      </c>
      <c r="C194" s="2512" t="s">
        <v>512</v>
      </c>
      <c r="D194" s="2614" t="s">
        <v>10937</v>
      </c>
      <c r="E194" s="3041">
        <v>115</v>
      </c>
      <c r="F194" s="3041">
        <v>69</v>
      </c>
      <c r="G194" s="3043">
        <v>12.47</v>
      </c>
      <c r="H194" s="2752">
        <v>75</v>
      </c>
      <c r="I194" s="2752">
        <v>5</v>
      </c>
      <c r="J194" s="2488"/>
      <c r="K194" s="2614"/>
      <c r="L194" s="2488"/>
      <c r="M194" s="2614"/>
      <c r="N194" s="2479" t="str">
        <f t="shared" si="4"/>
        <v>WINCHESTER, OR, Distribution, Unattended</v>
      </c>
    </row>
    <row r="195" spans="1:14" ht="15" customHeight="1" x14ac:dyDescent="0.2">
      <c r="A195" s="3003">
        <f t="shared" si="5"/>
        <v>40.286999999999331</v>
      </c>
      <c r="B195" s="2512" t="s">
        <v>11255</v>
      </c>
      <c r="C195" s="2512" t="s">
        <v>512</v>
      </c>
      <c r="D195" s="2614" t="s">
        <v>10937</v>
      </c>
      <c r="E195" s="3041">
        <v>69</v>
      </c>
      <c r="F195" s="3041">
        <v>12.47</v>
      </c>
      <c r="G195" s="2488"/>
      <c r="H195" s="2752">
        <v>23</v>
      </c>
      <c r="I195" s="2752">
        <v>3</v>
      </c>
      <c r="J195" s="2488"/>
      <c r="K195" s="2614"/>
      <c r="L195" s="2488"/>
      <c r="M195" s="2614"/>
      <c r="N195" s="2479" t="str">
        <f t="shared" si="4"/>
        <v>WINSTON, OR, Distribution, Unattended</v>
      </c>
    </row>
    <row r="196" spans="1:14" ht="15" customHeight="1" x14ac:dyDescent="0.2">
      <c r="A196" s="3003">
        <f t="shared" si="5"/>
        <v>40.287999999999329</v>
      </c>
      <c r="B196" s="2512" t="s">
        <v>11256</v>
      </c>
      <c r="C196" s="2512" t="s">
        <v>512</v>
      </c>
      <c r="D196" s="2614" t="s">
        <v>10937</v>
      </c>
      <c r="E196" s="3041">
        <v>115</v>
      </c>
      <c r="F196" s="3041">
        <v>12.47</v>
      </c>
      <c r="G196" s="2488"/>
      <c r="H196" s="2752">
        <v>25</v>
      </c>
      <c r="I196" s="2752">
        <v>1</v>
      </c>
      <c r="J196" s="2488"/>
      <c r="K196" s="2614"/>
      <c r="L196" s="2488"/>
      <c r="M196" s="2614"/>
      <c r="N196" s="2479" t="str">
        <f t="shared" si="4"/>
        <v>YEW AVENUE, OR, Distribution, Unattended</v>
      </c>
    </row>
    <row r="197" spans="1:14" ht="15" customHeight="1" x14ac:dyDescent="0.2">
      <c r="A197" s="3003">
        <f t="shared" si="5"/>
        <v>40.288999999999326</v>
      </c>
      <c r="B197" s="2512" t="s">
        <v>11257</v>
      </c>
      <c r="C197" s="2512" t="s">
        <v>512</v>
      </c>
      <c r="D197" s="2614" t="s">
        <v>10937</v>
      </c>
      <c r="E197" s="3041">
        <v>115</v>
      </c>
      <c r="F197" s="3041">
        <v>12.47</v>
      </c>
      <c r="G197" s="2488"/>
      <c r="H197" s="2752">
        <v>37</v>
      </c>
      <c r="I197" s="2752">
        <v>2</v>
      </c>
      <c r="J197" s="2488"/>
      <c r="K197" s="2614"/>
      <c r="L197" s="2488"/>
      <c r="M197" s="2614"/>
      <c r="N197" s="2479" t="str">
        <f t="shared" si="4"/>
        <v>YOUNGS BAY, OR, Distribution, Unattended</v>
      </c>
    </row>
    <row r="198" spans="1:14" ht="15" customHeight="1" x14ac:dyDescent="0.2">
      <c r="A198" s="3003">
        <f t="shared" si="5"/>
        <v>40.289999999999324</v>
      </c>
      <c r="B198" s="2512" t="s">
        <v>11258</v>
      </c>
      <c r="C198" s="2512" t="s">
        <v>106</v>
      </c>
      <c r="D198" s="2614" t="s">
        <v>10981</v>
      </c>
      <c r="E198" s="3041">
        <v>12.47</v>
      </c>
      <c r="F198" s="3041">
        <v>7.2</v>
      </c>
      <c r="G198" s="2488"/>
      <c r="H198" s="2752">
        <v>2</v>
      </c>
      <c r="I198" s="2752">
        <v>3</v>
      </c>
      <c r="J198" s="2488"/>
      <c r="K198" s="2614"/>
      <c r="L198" s="2488"/>
      <c r="M198" s="2614"/>
      <c r="N198" s="2479" t="str">
        <f t="shared" si="4"/>
        <v>LEMOLO 1, OR, Transmission, Attended</v>
      </c>
    </row>
    <row r="199" spans="1:14" ht="15" customHeight="1" x14ac:dyDescent="0.2">
      <c r="A199" s="3003">
        <f t="shared" si="5"/>
        <v>40.290999999999322</v>
      </c>
      <c r="B199" s="2512" t="s">
        <v>11259</v>
      </c>
      <c r="C199" s="2512" t="s">
        <v>106</v>
      </c>
      <c r="D199" s="2614" t="s">
        <v>10981</v>
      </c>
      <c r="E199" s="3041">
        <v>230</v>
      </c>
      <c r="F199" s="3041">
        <v>69</v>
      </c>
      <c r="G199" s="3043">
        <v>12.47</v>
      </c>
      <c r="H199" s="2752">
        <v>150</v>
      </c>
      <c r="I199" s="2752">
        <v>1</v>
      </c>
      <c r="J199" s="2488"/>
      <c r="K199" s="2614"/>
      <c r="L199" s="2488"/>
      <c r="M199" s="2614"/>
      <c r="N199" s="2479" t="str">
        <f t="shared" si="4"/>
        <v>PARRISH GAP, OR, Transmission, Attended</v>
      </c>
    </row>
    <row r="200" spans="1:14" ht="15" customHeight="1" x14ac:dyDescent="0.2">
      <c r="A200" s="3003">
        <f t="shared" si="5"/>
        <v>40.291999999999319</v>
      </c>
      <c r="B200" s="2512" t="s">
        <v>11260</v>
      </c>
      <c r="C200" s="2512" t="s">
        <v>106</v>
      </c>
      <c r="D200" s="2614" t="s">
        <v>10937</v>
      </c>
      <c r="E200" s="3041">
        <v>115</v>
      </c>
      <c r="F200" s="3041">
        <v>69</v>
      </c>
      <c r="G200" s="3043">
        <v>12.47</v>
      </c>
      <c r="H200" s="2752">
        <v>65</v>
      </c>
      <c r="I200" s="2752">
        <v>2</v>
      </c>
      <c r="J200" s="2488"/>
      <c r="K200" s="2614"/>
      <c r="L200" s="2488"/>
      <c r="M200" s="2614"/>
      <c r="N200" s="2479" t="str">
        <f t="shared" si="4"/>
        <v>APPLEGATE, OR, Transmission, Unattended</v>
      </c>
    </row>
    <row r="201" spans="1:14" ht="15" customHeight="1" x14ac:dyDescent="0.2">
      <c r="A201" s="3003">
        <f t="shared" si="5"/>
        <v>40.292999999999317</v>
      </c>
      <c r="B201" s="2512" t="s">
        <v>11261</v>
      </c>
      <c r="C201" s="2512" t="s">
        <v>106</v>
      </c>
      <c r="D201" s="2614" t="s">
        <v>10937</v>
      </c>
      <c r="E201" s="3041">
        <v>230</v>
      </c>
      <c r="F201" s="3041">
        <v>20.8</v>
      </c>
      <c r="G201" s="3043">
        <v>12.47</v>
      </c>
      <c r="H201" s="2752">
        <v>88</v>
      </c>
      <c r="I201" s="2752">
        <v>2</v>
      </c>
      <c r="J201" s="2488"/>
      <c r="K201" s="2614"/>
      <c r="L201" s="2488"/>
      <c r="M201" s="2614"/>
      <c r="N201" s="2479" t="str">
        <f t="shared" si="4"/>
        <v>CALAPOOYA, OR, Transmission, Unattended</v>
      </c>
    </row>
    <row r="202" spans="1:14" ht="15" customHeight="1" x14ac:dyDescent="0.2">
      <c r="A202" s="3003">
        <f t="shared" si="5"/>
        <v>40.293999999999315</v>
      </c>
      <c r="B202" s="2512" t="s">
        <v>11262</v>
      </c>
      <c r="C202" s="2512" t="s">
        <v>106</v>
      </c>
      <c r="D202" s="2614" t="s">
        <v>10937</v>
      </c>
      <c r="E202" s="3041">
        <v>115</v>
      </c>
      <c r="F202" s="3041">
        <v>69</v>
      </c>
      <c r="G202" s="3043">
        <v>13.2</v>
      </c>
      <c r="H202" s="2752">
        <v>70</v>
      </c>
      <c r="I202" s="2752">
        <v>2</v>
      </c>
      <c r="J202" s="2488"/>
      <c r="K202" s="2614"/>
      <c r="L202" s="2488"/>
      <c r="M202" s="2614"/>
      <c r="N202" s="2479" t="str">
        <f t="shared" ref="N202:N238" si="6">CONCATENATE(B202,", ",C202,", ",D202)</f>
        <v>CAVE JUNCTION, OR, Transmission, Unattended</v>
      </c>
    </row>
    <row r="203" spans="1:14" ht="15" customHeight="1" x14ac:dyDescent="0.2">
      <c r="A203" s="3003">
        <f t="shared" ref="A203:A238" si="7">A202+0.001</f>
        <v>40.294999999999312</v>
      </c>
      <c r="B203" s="2512" t="s">
        <v>11263</v>
      </c>
      <c r="C203" s="2512" t="s">
        <v>106</v>
      </c>
      <c r="D203" s="2614" t="s">
        <v>10937</v>
      </c>
      <c r="E203" s="3041">
        <v>230</v>
      </c>
      <c r="F203" s="3041">
        <v>115</v>
      </c>
      <c r="G203" s="3043">
        <v>12.47</v>
      </c>
      <c r="H203" s="2752">
        <v>131</v>
      </c>
      <c r="I203" s="2752">
        <v>5</v>
      </c>
      <c r="J203" s="2750">
        <v>1</v>
      </c>
      <c r="K203" s="2614"/>
      <c r="L203" s="2488"/>
      <c r="M203" s="2614"/>
      <c r="N203" s="2479" t="str">
        <f t="shared" si="6"/>
        <v>CHILOQUIN, OR, Transmission, Unattended</v>
      </c>
    </row>
    <row r="204" spans="1:14" ht="15" customHeight="1" x14ac:dyDescent="0.2">
      <c r="A204" s="3003">
        <f t="shared" si="7"/>
        <v>40.29599999999931</v>
      </c>
      <c r="B204" s="2512" t="s">
        <v>11264</v>
      </c>
      <c r="C204" s="2512" t="s">
        <v>106</v>
      </c>
      <c r="D204" s="2614" t="s">
        <v>10937</v>
      </c>
      <c r="E204" s="3041">
        <v>230</v>
      </c>
      <c r="F204" s="3041">
        <v>69</v>
      </c>
      <c r="G204" s="2488"/>
      <c r="H204" s="2752">
        <v>66</v>
      </c>
      <c r="I204" s="2752">
        <v>2</v>
      </c>
      <c r="J204" s="2488"/>
      <c r="K204" s="2614"/>
      <c r="L204" s="2488"/>
      <c r="M204" s="2614"/>
      <c r="N204" s="2479" t="str">
        <f t="shared" si="6"/>
        <v>COLD SPRINGS, OR, Transmission, Unattended</v>
      </c>
    </row>
    <row r="205" spans="1:14" ht="15" customHeight="1" x14ac:dyDescent="0.2">
      <c r="A205" s="3003">
        <f t="shared" si="7"/>
        <v>40.296999999999308</v>
      </c>
      <c r="B205" s="2512" t="s">
        <v>11265</v>
      </c>
      <c r="C205" s="2512" t="s">
        <v>106</v>
      </c>
      <c r="D205" s="2614" t="s">
        <v>10937</v>
      </c>
      <c r="E205" s="3041">
        <v>230</v>
      </c>
      <c r="F205" s="3041">
        <v>69</v>
      </c>
      <c r="G205" s="3043">
        <v>2.4</v>
      </c>
      <c r="H205" s="2752">
        <v>127</v>
      </c>
      <c r="I205" s="2752">
        <v>3</v>
      </c>
      <c r="J205" s="2488"/>
      <c r="K205" s="2614"/>
      <c r="L205" s="2488"/>
      <c r="M205" s="2614"/>
      <c r="N205" s="2479" t="str">
        <f t="shared" si="6"/>
        <v>COVE, OR, Transmission, Unattended</v>
      </c>
    </row>
    <row r="206" spans="1:14" ht="15" customHeight="1" x14ac:dyDescent="0.2">
      <c r="A206" s="3003">
        <f t="shared" si="7"/>
        <v>40.297999999999305</v>
      </c>
      <c r="B206" s="2512" t="s">
        <v>11266</v>
      </c>
      <c r="C206" s="2512" t="s">
        <v>106</v>
      </c>
      <c r="D206" s="2614" t="s">
        <v>10937</v>
      </c>
      <c r="E206" s="3041">
        <v>230</v>
      </c>
      <c r="F206" s="3041">
        <v>69</v>
      </c>
      <c r="G206" s="3043">
        <v>12.47</v>
      </c>
      <c r="H206" s="2752">
        <v>75</v>
      </c>
      <c r="I206" s="2752">
        <v>1</v>
      </c>
      <c r="J206" s="2488"/>
      <c r="K206" s="2614"/>
      <c r="L206" s="2488"/>
      <c r="M206" s="2614"/>
      <c r="N206" s="2479" t="str">
        <f t="shared" si="6"/>
        <v>DIAMOND HILL, OR, Transmission, Unattended</v>
      </c>
    </row>
    <row r="207" spans="1:14" ht="15" customHeight="1" x14ac:dyDescent="0.2">
      <c r="A207" s="3003">
        <f t="shared" si="7"/>
        <v>40.298999999999303</v>
      </c>
      <c r="B207" s="2512" t="s">
        <v>11267</v>
      </c>
      <c r="C207" s="2512" t="s">
        <v>106</v>
      </c>
      <c r="D207" s="2614" t="s">
        <v>10937</v>
      </c>
      <c r="E207" s="3041">
        <v>230</v>
      </c>
      <c r="F207" s="3041">
        <v>115</v>
      </c>
      <c r="G207" s="3043">
        <v>13.8</v>
      </c>
      <c r="H207" s="2752">
        <v>344</v>
      </c>
      <c r="I207" s="2752">
        <v>6</v>
      </c>
      <c r="J207" s="2488"/>
      <c r="K207" s="2614"/>
      <c r="L207" s="2488"/>
      <c r="M207" s="2614"/>
      <c r="N207" s="2479" t="str">
        <f t="shared" si="6"/>
        <v>DIXONVILLE 230, OR, Transmission, Unattended</v>
      </c>
    </row>
    <row r="208" spans="1:14" ht="15" customHeight="1" x14ac:dyDescent="0.2">
      <c r="A208" s="3003">
        <f t="shared" si="7"/>
        <v>40.299999999999301</v>
      </c>
      <c r="B208" s="2744" t="s">
        <v>11268</v>
      </c>
      <c r="C208" s="2512" t="s">
        <v>106</v>
      </c>
      <c r="D208" s="2614" t="s">
        <v>10937</v>
      </c>
      <c r="E208" s="3041">
        <v>500</v>
      </c>
      <c r="F208" s="3041">
        <v>230</v>
      </c>
      <c r="G208" s="3043">
        <v>34.5</v>
      </c>
      <c r="H208" s="2752">
        <v>650</v>
      </c>
      <c r="I208" s="2752">
        <v>3</v>
      </c>
      <c r="J208" s="2750">
        <v>1</v>
      </c>
      <c r="K208" s="2614"/>
      <c r="L208" s="2488"/>
      <c r="M208" s="2614"/>
      <c r="N208" s="2479" t="str">
        <f t="shared" si="6"/>
        <v>DIXONVILLE 500, OR, Transmission, Unattended</v>
      </c>
    </row>
    <row r="209" spans="1:14" ht="15" customHeight="1" x14ac:dyDescent="0.2">
      <c r="A209" s="3003">
        <f t="shared" si="7"/>
        <v>40.300999999999298</v>
      </c>
      <c r="B209" s="2512" t="s">
        <v>10644</v>
      </c>
      <c r="C209" s="2512" t="s">
        <v>106</v>
      </c>
      <c r="D209" s="2614" t="s">
        <v>10937</v>
      </c>
      <c r="E209" s="3041">
        <v>230</v>
      </c>
      <c r="F209" s="3041">
        <v>115</v>
      </c>
      <c r="G209" s="3043">
        <v>12.47</v>
      </c>
      <c r="H209" s="2752">
        <v>500</v>
      </c>
      <c r="I209" s="2752">
        <v>2</v>
      </c>
      <c r="J209" s="2488"/>
      <c r="K209" s="2614"/>
      <c r="L209" s="2488"/>
      <c r="M209" s="2614"/>
      <c r="N209" s="2479" t="str">
        <f t="shared" si="6"/>
        <v>FRIEND, OR, Transmission, Unattended</v>
      </c>
    </row>
    <row r="210" spans="1:14" ht="15" customHeight="1" x14ac:dyDescent="0.2">
      <c r="A210" s="3003">
        <f t="shared" si="7"/>
        <v>40.301999999999296</v>
      </c>
      <c r="B210" s="2512" t="s">
        <v>10645</v>
      </c>
      <c r="C210" s="2512" t="s">
        <v>106</v>
      </c>
      <c r="D210" s="2614" t="s">
        <v>10937</v>
      </c>
      <c r="E210" s="3041">
        <v>230</v>
      </c>
      <c r="F210" s="3041">
        <v>115</v>
      </c>
      <c r="G210" s="3043">
        <v>12.47</v>
      </c>
      <c r="H210" s="2752">
        <v>500</v>
      </c>
      <c r="I210" s="2752">
        <v>2</v>
      </c>
      <c r="J210" s="2750">
        <v>3</v>
      </c>
      <c r="K210" s="2614"/>
      <c r="L210" s="2488"/>
      <c r="M210" s="2614"/>
      <c r="N210" s="2479" t="str">
        <f t="shared" si="6"/>
        <v>FRY, OR, Transmission, Unattended</v>
      </c>
    </row>
    <row r="211" spans="1:14" ht="15" customHeight="1" x14ac:dyDescent="0.2">
      <c r="A211" s="3003">
        <f t="shared" si="7"/>
        <v>40.302999999999294</v>
      </c>
      <c r="B211" s="2512" t="s">
        <v>10650</v>
      </c>
      <c r="C211" s="2512" t="s">
        <v>106</v>
      </c>
      <c r="D211" s="2614" t="s">
        <v>10937</v>
      </c>
      <c r="E211" s="3041">
        <v>230</v>
      </c>
      <c r="F211" s="3041">
        <v>115</v>
      </c>
      <c r="G211" s="3043">
        <v>12.47</v>
      </c>
      <c r="H211" s="2752">
        <v>583</v>
      </c>
      <c r="I211" s="2752">
        <v>4</v>
      </c>
      <c r="J211" s="2750">
        <v>2</v>
      </c>
      <c r="K211" s="2614"/>
      <c r="L211" s="2488"/>
      <c r="M211" s="2614"/>
      <c r="N211" s="2479" t="str">
        <f t="shared" si="6"/>
        <v>GRANTS PASS, OR, Transmission, Unattended</v>
      </c>
    </row>
    <row r="212" spans="1:14" ht="15" customHeight="1" x14ac:dyDescent="0.2">
      <c r="A212" s="3003">
        <f t="shared" si="7"/>
        <v>40.303999999999292</v>
      </c>
      <c r="B212" s="2512" t="s">
        <v>11269</v>
      </c>
      <c r="C212" s="2512" t="s">
        <v>106</v>
      </c>
      <c r="D212" s="2614" t="s">
        <v>10937</v>
      </c>
      <c r="E212" s="3041">
        <v>115</v>
      </c>
      <c r="F212" s="3041">
        <v>69</v>
      </c>
      <c r="G212" s="3043">
        <v>12.47</v>
      </c>
      <c r="H212" s="2752">
        <v>154</v>
      </c>
      <c r="I212" s="2752">
        <v>3</v>
      </c>
      <c r="J212" s="2488"/>
      <c r="K212" s="2614"/>
      <c r="L212" s="2488"/>
      <c r="M212" s="2614"/>
      <c r="N212" s="2479" t="str">
        <f t="shared" si="6"/>
        <v>HAZELWOOD, OR, Transmission, Unattended</v>
      </c>
    </row>
    <row r="213" spans="1:14" ht="15" customHeight="1" x14ac:dyDescent="0.2">
      <c r="A213" s="3003">
        <f t="shared" si="7"/>
        <v>40.304999999999289</v>
      </c>
      <c r="B213" s="2744" t="s">
        <v>10653</v>
      </c>
      <c r="C213" s="2512" t="s">
        <v>106</v>
      </c>
      <c r="D213" s="2614" t="s">
        <v>10937</v>
      </c>
      <c r="E213" s="3041">
        <v>230</v>
      </c>
      <c r="F213" s="3041">
        <v>69</v>
      </c>
      <c r="G213" s="2488"/>
      <c r="H213" s="2752">
        <v>29</v>
      </c>
      <c r="I213" s="2752">
        <v>2</v>
      </c>
      <c r="J213" s="2750">
        <v>1</v>
      </c>
      <c r="K213" s="2614"/>
      <c r="L213" s="2488"/>
      <c r="M213" s="2614"/>
      <c r="N213" s="2479" t="str">
        <f t="shared" si="6"/>
        <v>HURRICANE, OR, Transmission, Unattended</v>
      </c>
    </row>
    <row r="214" spans="1:14" ht="15" customHeight="1" x14ac:dyDescent="0.2">
      <c r="A214" s="3003">
        <f t="shared" si="7"/>
        <v>40.305999999999287</v>
      </c>
      <c r="B214" s="2512" t="s">
        <v>10642</v>
      </c>
      <c r="C214" s="2512" t="s">
        <v>106</v>
      </c>
      <c r="D214" s="2614" t="s">
        <v>10937</v>
      </c>
      <c r="E214" s="3041">
        <v>230</v>
      </c>
      <c r="F214" s="3041">
        <v>115</v>
      </c>
      <c r="G214" s="3043">
        <v>13.8</v>
      </c>
      <c r="H214" s="2752">
        <v>250</v>
      </c>
      <c r="I214" s="2752">
        <v>1</v>
      </c>
      <c r="J214" s="2488"/>
      <c r="K214" s="2614"/>
      <c r="L214" s="2488"/>
      <c r="M214" s="2614"/>
      <c r="N214" s="2479" t="str">
        <f t="shared" si="6"/>
        <v>ISTHMUS, OR, Transmission, Unattended</v>
      </c>
    </row>
    <row r="215" spans="1:14" ht="15" customHeight="1" x14ac:dyDescent="0.2">
      <c r="A215" s="3003">
        <f t="shared" si="7"/>
        <v>40.306999999999285</v>
      </c>
      <c r="B215" s="2512" t="s">
        <v>10656</v>
      </c>
      <c r="C215" s="2512" t="s">
        <v>106</v>
      </c>
      <c r="D215" s="2614" t="s">
        <v>10937</v>
      </c>
      <c r="E215" s="3041">
        <v>230</v>
      </c>
      <c r="F215" s="3041">
        <v>69</v>
      </c>
      <c r="G215" s="3043">
        <v>13.8</v>
      </c>
      <c r="H215" s="2752">
        <v>401</v>
      </c>
      <c r="I215" s="2752">
        <v>7</v>
      </c>
      <c r="J215" s="2488"/>
      <c r="K215" s="2614"/>
      <c r="L215" s="2488"/>
      <c r="M215" s="2614"/>
      <c r="N215" s="2479" t="str">
        <f t="shared" si="6"/>
        <v>KLAMATH FALLS, OR, Transmission, Unattended</v>
      </c>
    </row>
    <row r="216" spans="1:14" ht="15" customHeight="1" x14ac:dyDescent="0.2">
      <c r="A216" s="3003">
        <f t="shared" si="7"/>
        <v>40.307999999999282</v>
      </c>
      <c r="B216" s="2512" t="s">
        <v>10660</v>
      </c>
      <c r="C216" s="2512" t="s">
        <v>106</v>
      </c>
      <c r="D216" s="2614" t="s">
        <v>10937</v>
      </c>
      <c r="E216" s="3041">
        <v>230</v>
      </c>
      <c r="F216" s="3041">
        <v>115</v>
      </c>
      <c r="G216" s="3043">
        <v>13.8</v>
      </c>
      <c r="H216" s="2752">
        <v>733</v>
      </c>
      <c r="I216" s="2752">
        <v>10</v>
      </c>
      <c r="J216" s="2488"/>
      <c r="K216" s="2614"/>
      <c r="L216" s="2488"/>
      <c r="M216" s="2614"/>
      <c r="N216" s="2479" t="str">
        <f t="shared" si="6"/>
        <v>LONE PINE, OR, Transmission, Unattended</v>
      </c>
    </row>
    <row r="217" spans="1:14" ht="15" customHeight="1" x14ac:dyDescent="0.2">
      <c r="A217" s="3003">
        <f t="shared" si="7"/>
        <v>40.30899999999928</v>
      </c>
      <c r="B217" s="2744" t="s">
        <v>10523</v>
      </c>
      <c r="C217" s="2512" t="s">
        <v>106</v>
      </c>
      <c r="D217" s="2614" t="s">
        <v>10937</v>
      </c>
      <c r="E217" s="3041">
        <v>500</v>
      </c>
      <c r="F217" s="3041">
        <v>230</v>
      </c>
      <c r="G217" s="3043">
        <v>13.8</v>
      </c>
      <c r="H217" s="2752">
        <v>775</v>
      </c>
      <c r="I217" s="2752">
        <v>4</v>
      </c>
      <c r="J217" s="2750">
        <v>1</v>
      </c>
      <c r="K217" s="2614"/>
      <c r="L217" s="2488"/>
      <c r="M217" s="2614"/>
      <c r="N217" s="2479" t="str">
        <f t="shared" si="6"/>
        <v>MALIN, OR, Transmission, Unattended</v>
      </c>
    </row>
    <row r="218" spans="1:14" ht="15" customHeight="1" x14ac:dyDescent="0.2">
      <c r="A218" s="3003">
        <f t="shared" si="7"/>
        <v>40.309999999999278</v>
      </c>
      <c r="B218" s="2744" t="s">
        <v>10525</v>
      </c>
      <c r="C218" s="2512" t="s">
        <v>106</v>
      </c>
      <c r="D218" s="2614" t="s">
        <v>10937</v>
      </c>
      <c r="E218" s="3041">
        <v>500</v>
      </c>
      <c r="F218" s="3041">
        <v>230</v>
      </c>
      <c r="G218" s="3043">
        <v>34.5</v>
      </c>
      <c r="H218" s="2752">
        <v>1300</v>
      </c>
      <c r="I218" s="2752">
        <v>6</v>
      </c>
      <c r="J218" s="2750">
        <v>1</v>
      </c>
      <c r="K218" s="2614"/>
      <c r="L218" s="2488"/>
      <c r="M218" s="2614"/>
      <c r="N218" s="2479" t="str">
        <f t="shared" si="6"/>
        <v>MERIDIAN, OR, Transmission, Unattended</v>
      </c>
    </row>
    <row r="219" spans="1:14" ht="15" customHeight="1" x14ac:dyDescent="0.2">
      <c r="A219" s="3003">
        <f t="shared" si="7"/>
        <v>40.310999999999275</v>
      </c>
      <c r="B219" s="2512" t="s">
        <v>11270</v>
      </c>
      <c r="C219" s="2512" t="s">
        <v>106</v>
      </c>
      <c r="D219" s="2614" t="s">
        <v>10937</v>
      </c>
      <c r="E219" s="3041">
        <v>115</v>
      </c>
      <c r="F219" s="3041">
        <v>69</v>
      </c>
      <c r="G219" s="3043">
        <v>12.47</v>
      </c>
      <c r="H219" s="2752">
        <v>39</v>
      </c>
      <c r="I219" s="2752">
        <v>4</v>
      </c>
      <c r="J219" s="2488"/>
      <c r="K219" s="2614"/>
      <c r="L219" s="2488"/>
      <c r="M219" s="2614"/>
      <c r="N219" s="2479" t="str">
        <f t="shared" si="6"/>
        <v>MILE HI, OR, Transmission, Unattended</v>
      </c>
    </row>
    <row r="220" spans="1:14" ht="15" customHeight="1" x14ac:dyDescent="0.2">
      <c r="A220" s="3003">
        <f t="shared" si="7"/>
        <v>40.311999999999273</v>
      </c>
      <c r="B220" s="2512" t="s">
        <v>10690</v>
      </c>
      <c r="C220" s="2512" t="s">
        <v>106</v>
      </c>
      <c r="D220" s="2614" t="s">
        <v>10937</v>
      </c>
      <c r="E220" s="3041">
        <v>230</v>
      </c>
      <c r="F220" s="3041">
        <v>115</v>
      </c>
      <c r="G220" s="3043">
        <v>12.47</v>
      </c>
      <c r="H220" s="2752">
        <v>125</v>
      </c>
      <c r="I220" s="2752">
        <v>1</v>
      </c>
      <c r="J220" s="2488"/>
      <c r="K220" s="2614"/>
      <c r="L220" s="2488"/>
      <c r="M220" s="2614"/>
      <c r="N220" s="2479" t="str">
        <f t="shared" si="6"/>
        <v>NICKEL MOUNTAIN, OR, Transmission, Unattended</v>
      </c>
    </row>
    <row r="221" spans="1:14" ht="15" customHeight="1" x14ac:dyDescent="0.2">
      <c r="A221" s="3003">
        <f t="shared" si="7"/>
        <v>40.312999999999271</v>
      </c>
      <c r="B221" s="2512" t="s">
        <v>11271</v>
      </c>
      <c r="C221" s="2512" t="s">
        <v>106</v>
      </c>
      <c r="D221" s="2614" t="s">
        <v>10937</v>
      </c>
      <c r="E221" s="3041">
        <v>230</v>
      </c>
      <c r="F221" s="3041">
        <v>69</v>
      </c>
      <c r="G221" s="2488"/>
      <c r="H221" s="2752">
        <v>400</v>
      </c>
      <c r="I221" s="2752">
        <v>4</v>
      </c>
      <c r="J221" s="2488"/>
      <c r="K221" s="2614"/>
      <c r="L221" s="2488"/>
      <c r="M221" s="2614"/>
      <c r="N221" s="2479" t="str">
        <f t="shared" si="6"/>
        <v>PILOT BUTTE, OR, Transmission, Unattended</v>
      </c>
    </row>
    <row r="222" spans="1:14" ht="15" customHeight="1" x14ac:dyDescent="0.2">
      <c r="A222" s="3003">
        <f t="shared" si="7"/>
        <v>40.313999999999268</v>
      </c>
      <c r="B222" s="2512" t="s">
        <v>11272</v>
      </c>
      <c r="C222" s="2512" t="s">
        <v>106</v>
      </c>
      <c r="D222" s="2614" t="s">
        <v>10937</v>
      </c>
      <c r="E222" s="3041">
        <v>230</v>
      </c>
      <c r="F222" s="3041">
        <v>115</v>
      </c>
      <c r="G222" s="3043">
        <v>12.47</v>
      </c>
      <c r="H222" s="2752">
        <v>500</v>
      </c>
      <c r="I222" s="2752">
        <v>2</v>
      </c>
      <c r="J222" s="2488"/>
      <c r="K222" s="2614"/>
      <c r="L222" s="2488"/>
      <c r="M222" s="2614"/>
      <c r="N222" s="2479" t="str">
        <f t="shared" si="6"/>
        <v>PONDEROSA, OR, Transmission, Unattended</v>
      </c>
    </row>
    <row r="223" spans="1:14" ht="15" customHeight="1" x14ac:dyDescent="0.2">
      <c r="A223" s="3003">
        <f t="shared" si="7"/>
        <v>40.314999999999266</v>
      </c>
      <c r="B223" s="2512" t="s">
        <v>11273</v>
      </c>
      <c r="C223" s="2512" t="s">
        <v>106</v>
      </c>
      <c r="D223" s="2614" t="s">
        <v>10937</v>
      </c>
      <c r="E223" s="3041">
        <v>115</v>
      </c>
      <c r="F223" s="3041">
        <v>69</v>
      </c>
      <c r="G223" s="3043">
        <v>12.47</v>
      </c>
      <c r="H223" s="2752">
        <v>45</v>
      </c>
      <c r="I223" s="2752">
        <v>3</v>
      </c>
      <c r="J223" s="2750">
        <v>1</v>
      </c>
      <c r="K223" s="2614"/>
      <c r="L223" s="2488"/>
      <c r="M223" s="2614"/>
      <c r="N223" s="2479" t="str">
        <f t="shared" si="6"/>
        <v>PROSPECT CENTRAL, OR, Transmission, Unattended</v>
      </c>
    </row>
    <row r="224" spans="1:14" ht="15" customHeight="1" x14ac:dyDescent="0.2">
      <c r="A224" s="3003">
        <f t="shared" si="7"/>
        <v>40.315999999999264</v>
      </c>
      <c r="B224" s="2744" t="s">
        <v>11274</v>
      </c>
      <c r="C224" s="2512" t="s">
        <v>106</v>
      </c>
      <c r="D224" s="2614" t="s">
        <v>10937</v>
      </c>
      <c r="E224" s="3041">
        <v>230</v>
      </c>
      <c r="F224" s="3041">
        <v>69</v>
      </c>
      <c r="G224" s="2488"/>
      <c r="H224" s="2752">
        <v>67</v>
      </c>
      <c r="I224" s="2752">
        <v>2</v>
      </c>
      <c r="J224" s="2488"/>
      <c r="K224" s="2614"/>
      <c r="L224" s="2488"/>
      <c r="M224" s="2614"/>
      <c r="N224" s="2479" t="str">
        <f t="shared" si="6"/>
        <v>ROUNDUP SUB, OR, Transmission, Unattended</v>
      </c>
    </row>
    <row r="225" spans="1:14" ht="15" customHeight="1" x14ac:dyDescent="0.2">
      <c r="A225" s="3003">
        <f t="shared" si="7"/>
        <v>40.316999999999261</v>
      </c>
      <c r="B225" s="2744" t="s">
        <v>11275</v>
      </c>
      <c r="C225" s="2512" t="s">
        <v>106</v>
      </c>
      <c r="D225" s="2614" t="s">
        <v>10937</v>
      </c>
      <c r="E225" s="3041">
        <v>230</v>
      </c>
      <c r="F225" s="3041">
        <v>69</v>
      </c>
      <c r="G225" s="3043">
        <v>12.47</v>
      </c>
      <c r="H225" s="2752">
        <v>75</v>
      </c>
      <c r="I225" s="2752">
        <v>1</v>
      </c>
      <c r="J225" s="2488"/>
      <c r="K225" s="2614"/>
      <c r="L225" s="2488"/>
      <c r="M225" s="2614"/>
      <c r="N225" s="2479" t="str">
        <f t="shared" si="6"/>
        <v>SANTIAM TIE, OR, Transmission, Unattended</v>
      </c>
    </row>
    <row r="226" spans="1:14" ht="15" customHeight="1" x14ac:dyDescent="0.2">
      <c r="A226" s="3003">
        <f t="shared" si="7"/>
        <v>40.317999999999259</v>
      </c>
      <c r="B226" s="2512" t="s">
        <v>10529</v>
      </c>
      <c r="C226" s="2512" t="s">
        <v>106</v>
      </c>
      <c r="D226" s="2614" t="s">
        <v>10937</v>
      </c>
      <c r="E226" s="3041">
        <v>500</v>
      </c>
      <c r="F226" s="3041">
        <v>230</v>
      </c>
      <c r="G226" s="3043">
        <v>34.5</v>
      </c>
      <c r="H226" s="2752">
        <v>650</v>
      </c>
      <c r="I226" s="2752">
        <v>3</v>
      </c>
      <c r="J226" s="2750">
        <v>1</v>
      </c>
      <c r="K226" s="2614"/>
      <c r="L226" s="2488"/>
      <c r="M226" s="2614"/>
      <c r="N226" s="2479" t="str">
        <f t="shared" si="6"/>
        <v>SNOW GOOSE, OR, Transmission, Unattended</v>
      </c>
    </row>
    <row r="227" spans="1:14" ht="15" customHeight="1" x14ac:dyDescent="0.2">
      <c r="A227" s="3003">
        <f t="shared" si="7"/>
        <v>40.318999999999257</v>
      </c>
      <c r="B227" s="2512" t="s">
        <v>11276</v>
      </c>
      <c r="C227" s="2512" t="s">
        <v>106</v>
      </c>
      <c r="D227" s="2614" t="s">
        <v>10937</v>
      </c>
      <c r="E227" s="3041">
        <v>230</v>
      </c>
      <c r="F227" s="3041">
        <v>115</v>
      </c>
      <c r="G227" s="3043">
        <v>13.2</v>
      </c>
      <c r="H227" s="2752">
        <v>500</v>
      </c>
      <c r="I227" s="2752">
        <v>3</v>
      </c>
      <c r="J227" s="2488"/>
      <c r="K227" s="2614"/>
      <c r="L227" s="2488"/>
      <c r="M227" s="2614"/>
      <c r="N227" s="2479" t="str">
        <f t="shared" si="6"/>
        <v>TROUTDALE, OR, Transmission, Unattended</v>
      </c>
    </row>
    <row r="228" spans="1:14" ht="15" customHeight="1" x14ac:dyDescent="0.2">
      <c r="A228" s="3003">
        <f t="shared" si="7"/>
        <v>40.319999999999254</v>
      </c>
      <c r="B228" s="2512" t="s">
        <v>11277</v>
      </c>
      <c r="C228" s="2512" t="s">
        <v>106</v>
      </c>
      <c r="D228" s="2614" t="s">
        <v>10937</v>
      </c>
      <c r="E228" s="3041">
        <v>115</v>
      </c>
      <c r="F228" s="3041">
        <v>69</v>
      </c>
      <c r="G228" s="3043">
        <v>12.47</v>
      </c>
      <c r="H228" s="2752">
        <v>100</v>
      </c>
      <c r="I228" s="2752">
        <v>2</v>
      </c>
      <c r="J228" s="2488"/>
      <c r="K228" s="2614"/>
      <c r="L228" s="2488"/>
      <c r="M228" s="2614"/>
      <c r="N228" s="2479" t="str">
        <f t="shared" si="6"/>
        <v>TUCKER, OR, Transmission, Unattended</v>
      </c>
    </row>
    <row r="229" spans="1:14" ht="15" customHeight="1" x14ac:dyDescent="0.2">
      <c r="A229" s="3003">
        <f t="shared" si="7"/>
        <v>40.320999999999252</v>
      </c>
      <c r="B229" s="2512" t="s">
        <v>11278</v>
      </c>
      <c r="C229" s="2512" t="s">
        <v>106</v>
      </c>
      <c r="D229" s="2614" t="s">
        <v>10937</v>
      </c>
      <c r="E229" s="3041">
        <v>230</v>
      </c>
      <c r="F229" s="3041">
        <v>115</v>
      </c>
      <c r="G229" s="3043">
        <v>12.47</v>
      </c>
      <c r="H229" s="2752">
        <v>250</v>
      </c>
      <c r="I229" s="2752">
        <v>1</v>
      </c>
      <c r="J229" s="2750">
        <v>1</v>
      </c>
      <c r="K229" s="2614"/>
      <c r="L229" s="2488"/>
      <c r="M229" s="2614"/>
      <c r="N229" s="2479" t="str">
        <f t="shared" si="6"/>
        <v>WHETSTONE, OR, Transmission, Unattended</v>
      </c>
    </row>
    <row r="230" spans="1:14" ht="15" customHeight="1" x14ac:dyDescent="0.2">
      <c r="A230" s="3003">
        <f t="shared" si="7"/>
        <v>40.32199999999925</v>
      </c>
      <c r="B230" s="2512"/>
      <c r="C230" s="2512"/>
      <c r="D230" s="2614"/>
      <c r="E230" s="2614"/>
      <c r="F230" s="2614"/>
      <c r="G230" s="2488"/>
      <c r="H230" s="2614"/>
      <c r="I230" s="2614"/>
      <c r="J230" s="2488"/>
      <c r="K230" s="2614"/>
      <c r="L230" s="2488"/>
      <c r="M230" s="2614"/>
      <c r="N230" s="2479" t="str">
        <f t="shared" si="6"/>
        <v xml:space="preserve">, , </v>
      </c>
    </row>
    <row r="231" spans="1:14" ht="15" customHeight="1" x14ac:dyDescent="0.2">
      <c r="A231" s="3003">
        <f t="shared" si="7"/>
        <v>40.322999999999247</v>
      </c>
      <c r="B231" s="2512"/>
      <c r="C231" s="2512"/>
      <c r="D231" s="2614"/>
      <c r="E231" s="2614"/>
      <c r="F231" s="2614"/>
      <c r="G231" s="2488"/>
      <c r="H231" s="2614"/>
      <c r="I231" s="2614"/>
      <c r="J231" s="2488"/>
      <c r="K231" s="2614"/>
      <c r="L231" s="2488"/>
      <c r="M231" s="2614"/>
      <c r="N231" s="2479" t="str">
        <f t="shared" si="6"/>
        <v xml:space="preserve">, , </v>
      </c>
    </row>
    <row r="232" spans="1:14" ht="15" customHeight="1" x14ac:dyDescent="0.2">
      <c r="A232" s="3003">
        <f t="shared" si="7"/>
        <v>40.323999999999245</v>
      </c>
      <c r="B232" s="2512"/>
      <c r="C232" s="2512"/>
      <c r="D232" s="2614"/>
      <c r="E232" s="2614"/>
      <c r="F232" s="2614"/>
      <c r="G232" s="2488"/>
      <c r="H232" s="2614"/>
      <c r="I232" s="2614"/>
      <c r="J232" s="2488"/>
      <c r="K232" s="2614"/>
      <c r="L232" s="2488"/>
      <c r="M232" s="2614"/>
      <c r="N232" s="2479" t="str">
        <f t="shared" si="6"/>
        <v xml:space="preserve">, , </v>
      </c>
    </row>
    <row r="233" spans="1:14" ht="15" customHeight="1" x14ac:dyDescent="0.2">
      <c r="A233" s="3003">
        <f t="shared" si="7"/>
        <v>40.324999999999243</v>
      </c>
      <c r="B233" s="2512"/>
      <c r="C233" s="2512"/>
      <c r="D233" s="2614"/>
      <c r="E233" s="2614"/>
      <c r="F233" s="2614"/>
      <c r="G233" s="2488"/>
      <c r="H233" s="2614"/>
      <c r="I233" s="2614"/>
      <c r="J233" s="2488"/>
      <c r="K233" s="2614"/>
      <c r="L233" s="2488"/>
      <c r="M233" s="2614"/>
      <c r="N233" s="2479" t="str">
        <f t="shared" si="6"/>
        <v xml:space="preserve">, , </v>
      </c>
    </row>
    <row r="234" spans="1:14" ht="15" customHeight="1" x14ac:dyDescent="0.2">
      <c r="A234" s="3003">
        <f t="shared" si="7"/>
        <v>40.32599999999924</v>
      </c>
      <c r="B234" s="2512"/>
      <c r="C234" s="2512"/>
      <c r="D234" s="2614"/>
      <c r="E234" s="2614"/>
      <c r="F234" s="2614"/>
      <c r="G234" s="2488"/>
      <c r="H234" s="2614"/>
      <c r="I234" s="2614"/>
      <c r="J234" s="2488"/>
      <c r="K234" s="2614"/>
      <c r="L234" s="2488"/>
      <c r="M234" s="2614"/>
      <c r="N234" s="2479" t="str">
        <f t="shared" si="6"/>
        <v xml:space="preserve">, , </v>
      </c>
    </row>
    <row r="235" spans="1:14" ht="15" customHeight="1" x14ac:dyDescent="0.2">
      <c r="A235" s="3003">
        <f t="shared" si="7"/>
        <v>40.326999999999238</v>
      </c>
      <c r="B235" s="2512"/>
      <c r="C235" s="2512"/>
      <c r="D235" s="2614"/>
      <c r="E235" s="2614"/>
      <c r="F235" s="2614"/>
      <c r="G235" s="2488"/>
      <c r="H235" s="2614"/>
      <c r="I235" s="2614"/>
      <c r="J235" s="2488"/>
      <c r="K235" s="2614"/>
      <c r="L235" s="2488"/>
      <c r="M235" s="2614"/>
      <c r="N235" s="2479" t="str">
        <f t="shared" si="6"/>
        <v xml:space="preserve">, , </v>
      </c>
    </row>
    <row r="236" spans="1:14" ht="15" customHeight="1" x14ac:dyDescent="0.2">
      <c r="A236" s="3003">
        <f t="shared" si="7"/>
        <v>40.327999999999236</v>
      </c>
      <c r="B236" s="2512"/>
      <c r="C236" s="2512"/>
      <c r="D236" s="2614"/>
      <c r="E236" s="2614"/>
      <c r="F236" s="2614"/>
      <c r="G236" s="2488"/>
      <c r="H236" s="2614"/>
      <c r="I236" s="2614"/>
      <c r="J236" s="2488"/>
      <c r="K236" s="2614"/>
      <c r="L236" s="2488"/>
      <c r="M236" s="2614"/>
      <c r="N236" s="2479" t="str">
        <f t="shared" si="6"/>
        <v xml:space="preserve">, , </v>
      </c>
    </row>
    <row r="237" spans="1:14" ht="15" customHeight="1" x14ac:dyDescent="0.2">
      <c r="A237" s="3003">
        <f t="shared" si="7"/>
        <v>40.328999999999233</v>
      </c>
      <c r="B237" s="2512"/>
      <c r="C237" s="2512"/>
      <c r="D237" s="2614"/>
      <c r="E237" s="2614"/>
      <c r="F237" s="2614"/>
      <c r="G237" s="2488"/>
      <c r="H237" s="2614"/>
      <c r="I237" s="2614"/>
      <c r="J237" s="2488"/>
      <c r="K237" s="2614"/>
      <c r="L237" s="2488"/>
      <c r="M237" s="2614"/>
      <c r="N237" s="2479" t="str">
        <f t="shared" si="6"/>
        <v xml:space="preserve">, , </v>
      </c>
    </row>
    <row r="238" spans="1:14" ht="15" customHeight="1" x14ac:dyDescent="0.2">
      <c r="A238" s="3003">
        <f t="shared" si="7"/>
        <v>40.329999999999231</v>
      </c>
      <c r="B238" s="2512"/>
      <c r="C238" s="2512"/>
      <c r="D238" s="2614"/>
      <c r="E238" s="2614"/>
      <c r="F238" s="2614"/>
      <c r="G238" s="2488"/>
      <c r="H238" s="2614"/>
      <c r="I238" s="2614"/>
      <c r="J238" s="2488"/>
      <c r="K238" s="2614"/>
      <c r="L238" s="2488"/>
      <c r="M238" s="2614"/>
      <c r="N238" s="2479" t="str">
        <f t="shared" si="6"/>
        <v xml:space="preserve">, , </v>
      </c>
    </row>
    <row r="239" spans="1:14" ht="6.6" customHeight="1" x14ac:dyDescent="0.2">
      <c r="A239" s="3071"/>
      <c r="B239" s="3072"/>
      <c r="C239" s="3073"/>
      <c r="D239" s="3074"/>
      <c r="E239" s="3075"/>
      <c r="F239" s="3071"/>
      <c r="G239" s="3065"/>
      <c r="H239" s="3071"/>
      <c r="I239" s="3071"/>
      <c r="J239" s="3065"/>
      <c r="K239" s="3071"/>
      <c r="L239" s="3065"/>
      <c r="M239" s="3071"/>
    </row>
    <row r="240" spans="1:14" ht="15" customHeight="1" x14ac:dyDescent="0.2">
      <c r="A240" s="2812"/>
      <c r="B240" s="2669" t="s">
        <v>11279</v>
      </c>
      <c r="C240" s="2669" t="s">
        <v>512</v>
      </c>
      <c r="D240" s="2812" t="s">
        <v>10981</v>
      </c>
      <c r="E240" s="2812"/>
      <c r="F240" s="2812"/>
      <c r="G240" s="2668"/>
      <c r="H240" s="3067">
        <f>SUMIFS(H10:H238,C10:C238,C240,D10:D238,D240)</f>
        <v>54</v>
      </c>
      <c r="I240" s="2812"/>
      <c r="J240" s="2668"/>
      <c r="K240" s="2812"/>
      <c r="L240" s="2668"/>
      <c r="M240" s="2812"/>
      <c r="N240" s="2855" t="str">
        <f>CONCATENATE(B240,", ",C240,", ",D240)</f>
        <v>Total Oregon, Distribution, Attended</v>
      </c>
    </row>
    <row r="241" spans="1:14" ht="15" customHeight="1" x14ac:dyDescent="0.2">
      <c r="A241" s="2812"/>
      <c r="B241" s="2669" t="s">
        <v>11279</v>
      </c>
      <c r="C241" s="2669" t="s">
        <v>512</v>
      </c>
      <c r="D241" s="2812" t="s">
        <v>10937</v>
      </c>
      <c r="E241" s="2812"/>
      <c r="F241" s="2812"/>
      <c r="G241" s="2668"/>
      <c r="H241" s="3067">
        <f>SUMIFS(H10:H238,C10:C238,C241,D10:D238,D241)</f>
        <v>5445</v>
      </c>
      <c r="I241" s="2812"/>
      <c r="J241" s="2668"/>
      <c r="K241" s="2812"/>
      <c r="L241" s="2668"/>
      <c r="M241" s="2812"/>
      <c r="N241" s="2855" t="str">
        <f>CONCATENATE(B241,", ",C241,", ",D241)</f>
        <v>Total Oregon, Distribution, Unattended</v>
      </c>
    </row>
    <row r="242" spans="1:14" ht="15" customHeight="1" x14ac:dyDescent="0.2">
      <c r="A242" s="2812"/>
      <c r="B242" s="2669" t="s">
        <v>11279</v>
      </c>
      <c r="C242" s="2669" t="s">
        <v>106</v>
      </c>
      <c r="D242" s="2812" t="s">
        <v>10981</v>
      </c>
      <c r="E242" s="2812"/>
      <c r="F242" s="2812"/>
      <c r="G242" s="2668"/>
      <c r="H242" s="3067">
        <f>SUMIFS(H10:H238,C10:C238,C242,D10:D238,D242)</f>
        <v>152</v>
      </c>
      <c r="I242" s="2812"/>
      <c r="J242" s="2668"/>
      <c r="K242" s="2812"/>
      <c r="L242" s="2668"/>
      <c r="M242" s="2812"/>
      <c r="N242" s="2855" t="str">
        <f>CONCATENATE(B242,", ",C242,", ",D242)</f>
        <v>Total Oregon, Transmission, Attended</v>
      </c>
    </row>
    <row r="243" spans="1:14" ht="15" customHeight="1" x14ac:dyDescent="0.2">
      <c r="A243" s="2812"/>
      <c r="B243" s="2669" t="s">
        <v>11279</v>
      </c>
      <c r="C243" s="2669" t="s">
        <v>106</v>
      </c>
      <c r="D243" s="2812" t="s">
        <v>10937</v>
      </c>
      <c r="E243" s="2812"/>
      <c r="F243" s="2812"/>
      <c r="G243" s="2668"/>
      <c r="H243" s="3067">
        <f>SUMIFS(H10:H238,C10:C238,C243,D10:D238,D243)</f>
        <v>9592</v>
      </c>
      <c r="I243" s="2812"/>
      <c r="J243" s="2668"/>
      <c r="K243" s="2812"/>
      <c r="L243" s="2668"/>
      <c r="M243" s="2812"/>
      <c r="N243" s="2855" t="str">
        <f>CONCATENATE(B243,", ",C243,", ",D243)</f>
        <v>Total Oregon, Transmission, Unattended</v>
      </c>
    </row>
    <row r="244" spans="1:14" ht="15" customHeight="1" x14ac:dyDescent="0.2">
      <c r="A244" s="2537"/>
      <c r="B244" s="2536"/>
      <c r="C244" s="2536"/>
      <c r="D244" s="2537"/>
      <c r="E244" s="2537"/>
      <c r="F244" s="2537"/>
      <c r="G244" s="2683"/>
      <c r="H244" s="3068" t="b">
        <f>SUM(H10:H238)=SUM(H240:H243)</f>
        <v>1</v>
      </c>
      <c r="I244" s="3076"/>
      <c r="J244" s="2516"/>
      <c r="K244" s="2537"/>
      <c r="L244" s="2516"/>
      <c r="M244" s="2537"/>
    </row>
    <row r="245" spans="1:14" ht="15" customHeight="1" x14ac:dyDescent="0.2">
      <c r="H245" s="2537"/>
    </row>
  </sheetData>
  <mergeCells count="14">
    <mergeCell ref="J7:J8"/>
    <mergeCell ref="K7:M7"/>
    <mergeCell ref="A7:A9"/>
    <mergeCell ref="B7:B8"/>
    <mergeCell ref="C7:D7"/>
    <mergeCell ref="E7:G7"/>
    <mergeCell ref="H7:H8"/>
    <mergeCell ref="I7:I8"/>
    <mergeCell ref="C2:H2"/>
    <mergeCell ref="A4:M4"/>
    <mergeCell ref="A5:G5"/>
    <mergeCell ref="H5:M5"/>
    <mergeCell ref="A6:G6"/>
    <mergeCell ref="H6:M6"/>
  </mergeCells>
  <pageMargins left="0.75" right="0.75" top="1" bottom="1" header="0.5" footer="0.5"/>
  <customProperties>
    <customPr name="_pios_id" r:id="rId1"/>
  </customProperties>
</worksheet>
</file>

<file path=xl/worksheets/sheet1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29D891-CFA6-4E31-B4B6-C59EEB208068}">
  <sheetPr codeName="Sheet114"/>
  <dimension ref="A1:O368"/>
  <sheetViews>
    <sheetView workbookViewId="0">
      <pane xSplit="2" ySplit="9" topLeftCell="C10" activePane="bottomRight" state="frozen"/>
      <selection pane="topRight"/>
      <selection pane="bottomLeft"/>
      <selection pane="bottomRight"/>
    </sheetView>
  </sheetViews>
  <sheetFormatPr defaultColWidth="11.5" defaultRowHeight="12.75" x14ac:dyDescent="0.2"/>
  <cols>
    <col min="1" max="1" width="8" style="1953" customWidth="1"/>
    <col min="2" max="2" width="22" style="1953" customWidth="1"/>
    <col min="3" max="10" width="17.625" style="1953" customWidth="1"/>
    <col min="11" max="11" width="28.125" style="1953" customWidth="1"/>
    <col min="12" max="13" width="12.125" style="1953" customWidth="1"/>
    <col min="14" max="14" width="32.75" style="1953" customWidth="1"/>
    <col min="15" max="15" width="31.125" style="1953" customWidth="1"/>
    <col min="16" max="26" width="17.625" style="1953" customWidth="1"/>
    <col min="27" max="16384" width="11.5" style="1953"/>
  </cols>
  <sheetData>
    <row r="1" spans="1:15" ht="16.7" customHeight="1" x14ac:dyDescent="0.2"/>
    <row r="2" spans="1:15" ht="16.7" customHeight="1" x14ac:dyDescent="0.2">
      <c r="B2" s="2744" t="s">
        <v>7058</v>
      </c>
      <c r="C2" s="4182" t="s">
        <v>10989</v>
      </c>
      <c r="D2" s="4183"/>
      <c r="E2" s="4183"/>
      <c r="F2" s="4183"/>
      <c r="G2" s="4183"/>
      <c r="H2" s="4184"/>
      <c r="I2" s="2479"/>
    </row>
    <row r="3" spans="1:15" ht="16.7" customHeight="1" x14ac:dyDescent="0.2">
      <c r="A3" s="3070">
        <f>COUNTA(B10:B361)</f>
        <v>350</v>
      </c>
      <c r="B3" s="2623" t="s">
        <v>11280</v>
      </c>
      <c r="C3" s="2806"/>
      <c r="D3" s="2483"/>
      <c r="E3" s="2483"/>
      <c r="F3" s="2483"/>
      <c r="G3" s="2483"/>
      <c r="H3" s="2483"/>
    </row>
    <row r="4" spans="1:15" ht="16.7" customHeight="1" x14ac:dyDescent="0.2">
      <c r="A4" s="3932" t="s">
        <v>10915</v>
      </c>
      <c r="B4" s="3975"/>
      <c r="C4" s="3975"/>
      <c r="D4" s="3975"/>
      <c r="E4" s="3975"/>
      <c r="F4" s="3975"/>
      <c r="G4" s="3975"/>
      <c r="H4" s="3975"/>
      <c r="I4" s="3975"/>
      <c r="J4" s="3975"/>
      <c r="K4" s="3975"/>
      <c r="L4" s="3975"/>
      <c r="M4" s="3976"/>
      <c r="N4" s="2479"/>
    </row>
    <row r="5" spans="1:15" ht="59.1" customHeight="1" x14ac:dyDescent="0.2">
      <c r="A5" s="3878" t="s">
        <v>10916</v>
      </c>
      <c r="B5" s="3879"/>
      <c r="C5" s="3879"/>
      <c r="D5" s="3879"/>
      <c r="E5" s="3879"/>
      <c r="F5" s="3879"/>
      <c r="G5" s="3880"/>
      <c r="H5" s="3878" t="s">
        <v>10917</v>
      </c>
      <c r="I5" s="3879"/>
      <c r="J5" s="3879"/>
      <c r="K5" s="3879"/>
      <c r="L5" s="3879"/>
      <c r="M5" s="3880"/>
      <c r="N5" s="2479"/>
    </row>
    <row r="6" spans="1:15" ht="16.7" customHeight="1" x14ac:dyDescent="0.2">
      <c r="A6" s="3882" t="s">
        <v>10918</v>
      </c>
      <c r="B6" s="3883"/>
      <c r="C6" s="3883"/>
      <c r="D6" s="3883"/>
      <c r="E6" s="3883"/>
      <c r="F6" s="3883"/>
      <c r="G6" s="3884"/>
      <c r="H6" s="3882" t="s">
        <v>10919</v>
      </c>
      <c r="I6" s="3891"/>
      <c r="J6" s="3891"/>
      <c r="K6" s="3891"/>
      <c r="L6" s="3891"/>
      <c r="M6" s="3892"/>
      <c r="N6" s="2479"/>
    </row>
    <row r="7" spans="1:15" ht="16.7" customHeight="1" x14ac:dyDescent="0.2">
      <c r="A7" s="3855" t="s">
        <v>6360</v>
      </c>
      <c r="B7" s="3922" t="s">
        <v>10920</v>
      </c>
      <c r="C7" s="4186" t="s">
        <v>10921</v>
      </c>
      <c r="D7" s="4187"/>
      <c r="E7" s="3882" t="s">
        <v>10922</v>
      </c>
      <c r="F7" s="3883"/>
      <c r="G7" s="3884"/>
      <c r="H7" s="3922" t="s">
        <v>10923</v>
      </c>
      <c r="I7" s="3922" t="s">
        <v>10924</v>
      </c>
      <c r="J7" s="3922" t="s">
        <v>10925</v>
      </c>
      <c r="K7" s="3882" t="s">
        <v>10926</v>
      </c>
      <c r="L7" s="3891"/>
      <c r="M7" s="3892"/>
      <c r="N7" s="2479"/>
    </row>
    <row r="8" spans="1:15" ht="27.6" customHeight="1" x14ac:dyDescent="0.2">
      <c r="A8" s="3856"/>
      <c r="B8" s="3943"/>
      <c r="C8" s="2824" t="s">
        <v>10927</v>
      </c>
      <c r="D8" s="2586" t="s">
        <v>10928</v>
      </c>
      <c r="E8" s="2581" t="s">
        <v>10929</v>
      </c>
      <c r="F8" s="2581" t="s">
        <v>10930</v>
      </c>
      <c r="G8" s="2581" t="s">
        <v>10931</v>
      </c>
      <c r="H8" s="4185"/>
      <c r="I8" s="4185"/>
      <c r="J8" s="4185"/>
      <c r="K8" s="2581" t="s">
        <v>10932</v>
      </c>
      <c r="L8" s="2581" t="s">
        <v>10146</v>
      </c>
      <c r="M8" s="2581" t="s">
        <v>10933</v>
      </c>
      <c r="N8" s="2479"/>
    </row>
    <row r="9" spans="1:15" ht="16.7" customHeight="1" x14ac:dyDescent="0.2">
      <c r="A9" s="3856"/>
      <c r="B9" s="2589" t="s">
        <v>5949</v>
      </c>
      <c r="C9" s="2589" t="s">
        <v>5950</v>
      </c>
      <c r="D9" s="2589" t="s">
        <v>10934</v>
      </c>
      <c r="E9" s="2589" t="s">
        <v>5951</v>
      </c>
      <c r="F9" s="2589" t="s">
        <v>5952</v>
      </c>
      <c r="G9" s="2589" t="s">
        <v>6227</v>
      </c>
      <c r="H9" s="2589" t="s">
        <v>5804</v>
      </c>
      <c r="I9" s="2589" t="s">
        <v>6228</v>
      </c>
      <c r="J9" s="2589" t="s">
        <v>6229</v>
      </c>
      <c r="K9" s="2589" t="s">
        <v>6230</v>
      </c>
      <c r="L9" s="2589" t="s">
        <v>6231</v>
      </c>
      <c r="M9" s="2589" t="s">
        <v>6232</v>
      </c>
      <c r="N9" s="2479" t="s">
        <v>6324</v>
      </c>
      <c r="O9" s="2576" t="s">
        <v>10935</v>
      </c>
    </row>
    <row r="10" spans="1:15" ht="19.149999999999999" customHeight="1" x14ac:dyDescent="0.2">
      <c r="A10" s="3003">
        <f>'Pg 426 - Substations - OR'!A238+0.001</f>
        <v>40.330999999999229</v>
      </c>
      <c r="B10" s="2512" t="s">
        <v>11281</v>
      </c>
      <c r="C10" s="2489" t="s">
        <v>512</v>
      </c>
      <c r="D10" s="2489" t="s">
        <v>10981</v>
      </c>
      <c r="E10" s="3041">
        <v>138</v>
      </c>
      <c r="F10" s="3041">
        <v>12.47</v>
      </c>
      <c r="G10" s="2488"/>
      <c r="H10" s="2752">
        <v>30</v>
      </c>
      <c r="I10" s="2752">
        <v>1</v>
      </c>
      <c r="J10" s="2488"/>
      <c r="K10" s="2614"/>
      <c r="L10" s="2488"/>
      <c r="M10" s="2614"/>
      <c r="N10" s="2479" t="str">
        <f t="shared" ref="N10:N73" si="0">CONCATENATE(B10,", ",C10,", ",D10)</f>
        <v>PIONEER PLANT, UT, Distribution, Attended</v>
      </c>
    </row>
    <row r="11" spans="1:15" ht="16.7" customHeight="1" x14ac:dyDescent="0.2">
      <c r="A11" s="3003">
        <f t="shared" ref="A11:A74" si="1">A10+0.001</f>
        <v>40.331999999999226</v>
      </c>
      <c r="B11" s="2512" t="s">
        <v>10820</v>
      </c>
      <c r="C11" s="2489" t="s">
        <v>512</v>
      </c>
      <c r="D11" s="2489" t="s">
        <v>10981</v>
      </c>
      <c r="E11" s="3041">
        <v>138</v>
      </c>
      <c r="F11" s="3041">
        <v>12.47</v>
      </c>
      <c r="G11" s="2488"/>
      <c r="H11" s="2752">
        <v>30</v>
      </c>
      <c r="I11" s="2752">
        <v>1</v>
      </c>
      <c r="J11" s="2488"/>
      <c r="K11" s="2614"/>
      <c r="L11" s="2488"/>
      <c r="M11" s="2614"/>
      <c r="N11" s="2479" t="str">
        <f t="shared" si="0"/>
        <v>WEST VALLEY, UT, Distribution, Attended</v>
      </c>
    </row>
    <row r="12" spans="1:15" ht="16.7" customHeight="1" x14ac:dyDescent="0.2">
      <c r="A12" s="3003">
        <f t="shared" si="1"/>
        <v>40.332999999999224</v>
      </c>
      <c r="B12" s="2512" t="s">
        <v>11282</v>
      </c>
      <c r="C12" s="2489" t="s">
        <v>512</v>
      </c>
      <c r="D12" s="2489" t="s">
        <v>10937</v>
      </c>
      <c r="E12" s="3041">
        <v>138</v>
      </c>
      <c r="F12" s="3041">
        <v>12.47</v>
      </c>
      <c r="G12" s="2488"/>
      <c r="H12" s="2752">
        <v>30</v>
      </c>
      <c r="I12" s="2752">
        <v>1</v>
      </c>
      <c r="J12" s="2488"/>
      <c r="K12" s="2614"/>
      <c r="L12" s="2488"/>
      <c r="M12" s="2614"/>
      <c r="N12" s="2479" t="str">
        <f t="shared" si="0"/>
        <v>106TH SOUTH, UT, Distribution, Unattended</v>
      </c>
    </row>
    <row r="13" spans="1:15" ht="15.75" customHeight="1" x14ac:dyDescent="0.2">
      <c r="A13" s="3003">
        <f t="shared" si="1"/>
        <v>40.333999999999222</v>
      </c>
      <c r="B13" s="2512" t="s">
        <v>11283</v>
      </c>
      <c r="C13" s="2489" t="s">
        <v>512</v>
      </c>
      <c r="D13" s="2489" t="s">
        <v>10937</v>
      </c>
      <c r="E13" s="3041">
        <v>138</v>
      </c>
      <c r="F13" s="3041">
        <v>12.47</v>
      </c>
      <c r="G13" s="2488"/>
      <c r="H13" s="2752">
        <v>30</v>
      </c>
      <c r="I13" s="2752">
        <v>1</v>
      </c>
      <c r="J13" s="2488"/>
      <c r="K13" s="2614"/>
      <c r="L13" s="2488"/>
      <c r="M13" s="2614"/>
      <c r="N13" s="2479" t="str">
        <f t="shared" si="0"/>
        <v>118TH SOUTH, UT, Distribution, Unattended</v>
      </c>
    </row>
    <row r="14" spans="1:15" ht="16.7" customHeight="1" x14ac:dyDescent="0.2">
      <c r="A14" s="3003">
        <f t="shared" si="1"/>
        <v>40.334999999999219</v>
      </c>
      <c r="B14" s="2512" t="s">
        <v>11284</v>
      </c>
      <c r="C14" s="2489" t="s">
        <v>512</v>
      </c>
      <c r="D14" s="2489" t="s">
        <v>10937</v>
      </c>
      <c r="E14" s="3041">
        <v>138</v>
      </c>
      <c r="F14" s="3041">
        <v>12.47</v>
      </c>
      <c r="G14" s="2488"/>
      <c r="H14" s="2752">
        <v>66</v>
      </c>
      <c r="I14" s="2752">
        <v>2</v>
      </c>
      <c r="J14" s="2488"/>
      <c r="K14" s="2614"/>
      <c r="L14" s="2488"/>
      <c r="M14" s="2614"/>
      <c r="N14" s="2479" t="str">
        <f t="shared" si="0"/>
        <v>126TH SOUTH, UT, Distribution, Unattended</v>
      </c>
    </row>
    <row r="15" spans="1:15" ht="16.7" customHeight="1" x14ac:dyDescent="0.2">
      <c r="A15" s="3003">
        <f t="shared" si="1"/>
        <v>40.335999999999217</v>
      </c>
      <c r="B15" s="2512" t="s">
        <v>11285</v>
      </c>
      <c r="C15" s="2489" t="s">
        <v>512</v>
      </c>
      <c r="D15" s="2489" t="s">
        <v>10937</v>
      </c>
      <c r="E15" s="3041">
        <v>46</v>
      </c>
      <c r="F15" s="3041">
        <v>12.47</v>
      </c>
      <c r="G15" s="2488"/>
      <c r="H15" s="2752">
        <v>13</v>
      </c>
      <c r="I15" s="2752">
        <v>1</v>
      </c>
      <c r="J15" s="2488"/>
      <c r="K15" s="2614"/>
      <c r="L15" s="2488"/>
      <c r="M15" s="2614"/>
      <c r="N15" s="2479" t="str">
        <f t="shared" si="0"/>
        <v>23RD STREET, UT, Distribution, Unattended</v>
      </c>
    </row>
    <row r="16" spans="1:15" ht="16.7" customHeight="1" x14ac:dyDescent="0.2">
      <c r="A16" s="3003">
        <f t="shared" si="1"/>
        <v>40.336999999999215</v>
      </c>
      <c r="B16" s="2512" t="s">
        <v>11286</v>
      </c>
      <c r="C16" s="2489" t="s">
        <v>512</v>
      </c>
      <c r="D16" s="2489" t="s">
        <v>10937</v>
      </c>
      <c r="E16" s="3041">
        <v>138</v>
      </c>
      <c r="F16" s="3041">
        <v>12.47</v>
      </c>
      <c r="G16" s="2488"/>
      <c r="H16" s="2752">
        <v>30</v>
      </c>
      <c r="I16" s="2752">
        <v>1</v>
      </c>
      <c r="J16" s="2488"/>
      <c r="K16" s="2614"/>
      <c r="L16" s="2488"/>
      <c r="M16" s="2614"/>
      <c r="N16" s="2479" t="str">
        <f t="shared" si="0"/>
        <v>70TH SOUTH, UT, Distribution, Unattended</v>
      </c>
    </row>
    <row r="17" spans="1:14" ht="16.7" customHeight="1" x14ac:dyDescent="0.2">
      <c r="A17" s="3003">
        <f t="shared" si="1"/>
        <v>40.337999999999212</v>
      </c>
      <c r="B17" s="2512" t="s">
        <v>11287</v>
      </c>
      <c r="C17" s="2489" t="s">
        <v>512</v>
      </c>
      <c r="D17" s="2489" t="s">
        <v>10937</v>
      </c>
      <c r="E17" s="3041">
        <v>46</v>
      </c>
      <c r="F17" s="3041">
        <v>12.47</v>
      </c>
      <c r="G17" s="2488"/>
      <c r="H17" s="2752">
        <v>45</v>
      </c>
      <c r="I17" s="2752">
        <v>2</v>
      </c>
      <c r="J17" s="2488"/>
      <c r="K17" s="2614"/>
      <c r="L17" s="2488"/>
      <c r="M17" s="2614"/>
      <c r="N17" s="2479" t="str">
        <f t="shared" si="0"/>
        <v>ALTAVIEW, UT, Distribution, Unattended</v>
      </c>
    </row>
    <row r="18" spans="1:14" ht="16.7" customHeight="1" x14ac:dyDescent="0.2">
      <c r="A18" s="3003">
        <f t="shared" si="1"/>
        <v>40.33899999999921</v>
      </c>
      <c r="B18" s="2512" t="s">
        <v>11288</v>
      </c>
      <c r="C18" s="2489" t="s">
        <v>512</v>
      </c>
      <c r="D18" s="2489" t="s">
        <v>10937</v>
      </c>
      <c r="E18" s="3041">
        <v>46</v>
      </c>
      <c r="F18" s="3041">
        <v>12.47</v>
      </c>
      <c r="G18" s="2488"/>
      <c r="H18" s="2752">
        <v>11</v>
      </c>
      <c r="I18" s="2752">
        <v>1</v>
      </c>
      <c r="J18" s="2488"/>
      <c r="K18" s="2614"/>
      <c r="L18" s="2488"/>
      <c r="M18" s="2614"/>
      <c r="N18" s="2479" t="str">
        <f t="shared" si="0"/>
        <v>AMALGA, UT, Distribution, Unattended</v>
      </c>
    </row>
    <row r="19" spans="1:14" ht="16.7" customHeight="1" x14ac:dyDescent="0.2">
      <c r="A19" s="3003">
        <f t="shared" si="1"/>
        <v>40.339999999999208</v>
      </c>
      <c r="B19" s="2512" t="s">
        <v>11289</v>
      </c>
      <c r="C19" s="2489" t="s">
        <v>512</v>
      </c>
      <c r="D19" s="2489" t="s">
        <v>10937</v>
      </c>
      <c r="E19" s="3041">
        <v>138</v>
      </c>
      <c r="F19" s="3041">
        <v>12.47</v>
      </c>
      <c r="G19" s="2488"/>
      <c r="H19" s="2752">
        <v>63</v>
      </c>
      <c r="I19" s="2752">
        <v>2</v>
      </c>
      <c r="J19" s="2488"/>
      <c r="K19" s="2614"/>
      <c r="L19" s="2488"/>
      <c r="M19" s="2614"/>
      <c r="N19" s="2479" t="str">
        <f t="shared" si="0"/>
        <v>AMERICAN FORK, UT, Distribution, Unattended</v>
      </c>
    </row>
    <row r="20" spans="1:14" ht="16.7" customHeight="1" x14ac:dyDescent="0.2">
      <c r="A20" s="3003">
        <f t="shared" si="1"/>
        <v>40.340999999999205</v>
      </c>
      <c r="B20" s="2512" t="s">
        <v>10743</v>
      </c>
      <c r="C20" s="2489" t="s">
        <v>512</v>
      </c>
      <c r="D20" s="2489" t="s">
        <v>10937</v>
      </c>
      <c r="E20" s="3041">
        <v>138</v>
      </c>
      <c r="F20" s="3041">
        <v>46</v>
      </c>
      <c r="G20" s="3043">
        <v>12.47</v>
      </c>
      <c r="H20" s="2752">
        <v>135</v>
      </c>
      <c r="I20" s="2752">
        <v>3</v>
      </c>
      <c r="J20" s="2488"/>
      <c r="K20" s="2614"/>
      <c r="L20" s="2488"/>
      <c r="M20" s="2614"/>
      <c r="N20" s="2479" t="str">
        <f t="shared" si="0"/>
        <v>ANGEL, UT, Distribution, Unattended</v>
      </c>
    </row>
    <row r="21" spans="1:14" ht="16.7" customHeight="1" x14ac:dyDescent="0.2">
      <c r="A21" s="3003">
        <f t="shared" si="1"/>
        <v>40.341999999999203</v>
      </c>
      <c r="B21" s="2512" t="s">
        <v>11290</v>
      </c>
      <c r="C21" s="2489" t="s">
        <v>512</v>
      </c>
      <c r="D21" s="2489" t="s">
        <v>10937</v>
      </c>
      <c r="E21" s="3041">
        <v>46</v>
      </c>
      <c r="F21" s="3041">
        <v>12.47</v>
      </c>
      <c r="G21" s="2488"/>
      <c r="H21" s="2752">
        <v>1</v>
      </c>
      <c r="I21" s="2752">
        <v>1</v>
      </c>
      <c r="J21" s="2488"/>
      <c r="K21" s="2614"/>
      <c r="L21" s="2488"/>
      <c r="M21" s="2614"/>
      <c r="N21" s="2479" t="str">
        <f t="shared" si="0"/>
        <v>ARAGONITE, UT, Distribution, Unattended</v>
      </c>
    </row>
    <row r="22" spans="1:14" ht="16.7" customHeight="1" x14ac:dyDescent="0.2">
      <c r="A22" s="3003">
        <f t="shared" si="1"/>
        <v>40.342999999999201</v>
      </c>
      <c r="B22" s="2512" t="s">
        <v>11291</v>
      </c>
      <c r="C22" s="2489" t="s">
        <v>512</v>
      </c>
      <c r="D22" s="2489" t="s">
        <v>10937</v>
      </c>
      <c r="E22" s="3041">
        <v>46</v>
      </c>
      <c r="F22" s="3041">
        <v>12.47</v>
      </c>
      <c r="G22" s="2488"/>
      <c r="H22" s="2752">
        <v>3</v>
      </c>
      <c r="I22" s="2752">
        <v>1</v>
      </c>
      <c r="J22" s="2488"/>
      <c r="K22" s="2614"/>
      <c r="L22" s="2488"/>
      <c r="M22" s="2614"/>
      <c r="N22" s="2479" t="str">
        <f t="shared" si="0"/>
        <v>AURORA, UT, Distribution, Unattended</v>
      </c>
    </row>
    <row r="23" spans="1:14" ht="16.7" customHeight="1" x14ac:dyDescent="0.2">
      <c r="A23" s="3003">
        <f t="shared" si="1"/>
        <v>40.343999999999198</v>
      </c>
      <c r="B23" s="2512" t="s">
        <v>11292</v>
      </c>
      <c r="C23" s="2489" t="s">
        <v>512</v>
      </c>
      <c r="D23" s="2489" t="s">
        <v>10937</v>
      </c>
      <c r="E23" s="3041">
        <v>138</v>
      </c>
      <c r="F23" s="3041">
        <v>13.2</v>
      </c>
      <c r="G23" s="2488"/>
      <c r="H23" s="2752">
        <v>63</v>
      </c>
      <c r="I23" s="2752">
        <v>2</v>
      </c>
      <c r="J23" s="2488"/>
      <c r="K23" s="2614"/>
      <c r="L23" s="2488"/>
      <c r="M23" s="2614"/>
      <c r="N23" s="2479" t="str">
        <f t="shared" si="0"/>
        <v>BANGERTER, UT, Distribution, Unattended</v>
      </c>
    </row>
    <row r="24" spans="1:14" ht="15.75" customHeight="1" x14ac:dyDescent="0.2">
      <c r="A24" s="3003">
        <f t="shared" si="1"/>
        <v>40.344999999999196</v>
      </c>
      <c r="B24" s="2512" t="s">
        <v>11293</v>
      </c>
      <c r="C24" s="2489" t="s">
        <v>512</v>
      </c>
      <c r="D24" s="2489" t="s">
        <v>10937</v>
      </c>
      <c r="E24" s="3041">
        <v>138</v>
      </c>
      <c r="F24" s="3041">
        <v>12.47</v>
      </c>
      <c r="G24" s="2488"/>
      <c r="H24" s="2752">
        <v>30</v>
      </c>
      <c r="I24" s="2752">
        <v>1</v>
      </c>
      <c r="J24" s="2488"/>
      <c r="K24" s="2614"/>
      <c r="L24" s="2488"/>
      <c r="M24" s="2614"/>
      <c r="N24" s="2479" t="str">
        <f t="shared" si="0"/>
        <v>BDO, UT, Distribution, Unattended</v>
      </c>
    </row>
    <row r="25" spans="1:14" ht="16.7" customHeight="1" x14ac:dyDescent="0.2">
      <c r="A25" s="3003">
        <f t="shared" si="1"/>
        <v>40.345999999999194</v>
      </c>
      <c r="B25" s="2512" t="s">
        <v>11294</v>
      </c>
      <c r="C25" s="2489" t="s">
        <v>512</v>
      </c>
      <c r="D25" s="2489" t="s">
        <v>10937</v>
      </c>
      <c r="E25" s="3041">
        <v>46</v>
      </c>
      <c r="F25" s="3041">
        <v>12.47</v>
      </c>
      <c r="G25" s="2614"/>
      <c r="H25" s="2752">
        <v>33</v>
      </c>
      <c r="I25" s="2752">
        <v>1</v>
      </c>
      <c r="J25" s="2488"/>
      <c r="K25" s="2488"/>
      <c r="L25" s="2488"/>
      <c r="M25" s="2614"/>
      <c r="N25" s="2479" t="str">
        <f t="shared" si="0"/>
        <v>BEAR RIVER, UT, Distribution, Unattended</v>
      </c>
    </row>
    <row r="26" spans="1:14" ht="16.7" customHeight="1" x14ac:dyDescent="0.2">
      <c r="A26" s="3003">
        <f t="shared" si="1"/>
        <v>40.346999999999191</v>
      </c>
      <c r="B26" s="2512" t="s">
        <v>11295</v>
      </c>
      <c r="C26" s="2489" t="s">
        <v>512</v>
      </c>
      <c r="D26" s="2489" t="s">
        <v>10937</v>
      </c>
      <c r="E26" s="3041">
        <v>46</v>
      </c>
      <c r="F26" s="3041">
        <v>12.47</v>
      </c>
      <c r="G26" s="2488"/>
      <c r="H26" s="2752">
        <v>4</v>
      </c>
      <c r="I26" s="2752">
        <v>1</v>
      </c>
      <c r="J26" s="2488"/>
      <c r="K26" s="2488"/>
      <c r="L26" s="2488"/>
      <c r="M26" s="2614"/>
      <c r="N26" s="2479" t="str">
        <f t="shared" si="0"/>
        <v>BENJAMIN, UT, Distribution, Unattended</v>
      </c>
    </row>
    <row r="27" spans="1:14" ht="16.7" customHeight="1" x14ac:dyDescent="0.2">
      <c r="A27" s="3003">
        <f t="shared" si="1"/>
        <v>40.347999999999189</v>
      </c>
      <c r="B27" s="2512" t="s">
        <v>11296</v>
      </c>
      <c r="C27" s="2489" t="s">
        <v>512</v>
      </c>
      <c r="D27" s="2489" t="s">
        <v>10937</v>
      </c>
      <c r="E27" s="3041">
        <v>46</v>
      </c>
      <c r="F27" s="3041">
        <v>13.2</v>
      </c>
      <c r="G27" s="2488"/>
      <c r="H27" s="2752">
        <v>25</v>
      </c>
      <c r="I27" s="2752">
        <v>1</v>
      </c>
      <c r="J27" s="2488"/>
      <c r="K27" s="2614"/>
      <c r="L27" s="2488"/>
      <c r="M27" s="2614"/>
      <c r="N27" s="2479" t="str">
        <f t="shared" si="0"/>
        <v>BINGHAM, UT, Distribution, Unattended</v>
      </c>
    </row>
    <row r="28" spans="1:14" ht="16.7" customHeight="1" x14ac:dyDescent="0.2">
      <c r="A28" s="3003">
        <f t="shared" si="1"/>
        <v>40.348999999999187</v>
      </c>
      <c r="B28" s="2512" t="s">
        <v>11297</v>
      </c>
      <c r="C28" s="2489" t="s">
        <v>512</v>
      </c>
      <c r="D28" s="2489" t="s">
        <v>10937</v>
      </c>
      <c r="E28" s="3041">
        <v>46</v>
      </c>
      <c r="F28" s="3041">
        <v>7.2</v>
      </c>
      <c r="G28" s="2488"/>
      <c r="H28" s="2752">
        <v>1</v>
      </c>
      <c r="I28" s="2752">
        <v>1</v>
      </c>
      <c r="J28" s="2488"/>
      <c r="K28" s="2614"/>
      <c r="L28" s="2488"/>
      <c r="M28" s="2614"/>
      <c r="N28" s="2479" t="str">
        <f t="shared" si="0"/>
        <v>BLACK MOUNTAIN, UT, Distribution, Unattended</v>
      </c>
    </row>
    <row r="29" spans="1:14" ht="16.7" customHeight="1" x14ac:dyDescent="0.2">
      <c r="A29" s="3003">
        <f t="shared" si="1"/>
        <v>40.349999999999184</v>
      </c>
      <c r="B29" s="2512" t="s">
        <v>11298</v>
      </c>
      <c r="C29" s="2489" t="s">
        <v>512</v>
      </c>
      <c r="D29" s="2489" t="s">
        <v>10937</v>
      </c>
      <c r="E29" s="3041">
        <v>46</v>
      </c>
      <c r="F29" s="3041">
        <v>12.47</v>
      </c>
      <c r="G29" s="2488"/>
      <c r="H29" s="2752">
        <v>2</v>
      </c>
      <c r="I29" s="2752">
        <v>3</v>
      </c>
      <c r="J29" s="2614"/>
      <c r="K29" s="2614"/>
      <c r="L29" s="2488"/>
      <c r="M29" s="2614"/>
      <c r="N29" s="2479" t="str">
        <f t="shared" si="0"/>
        <v>BLUE CREEK, UT, Distribution, Unattended</v>
      </c>
    </row>
    <row r="30" spans="1:14" ht="16.7" customHeight="1" x14ac:dyDescent="0.2">
      <c r="A30" s="3003">
        <f t="shared" si="1"/>
        <v>40.350999999999182</v>
      </c>
      <c r="B30" s="2512" t="s">
        <v>11299</v>
      </c>
      <c r="C30" s="2489" t="s">
        <v>512</v>
      </c>
      <c r="D30" s="2489" t="s">
        <v>10937</v>
      </c>
      <c r="E30" s="3041">
        <v>69</v>
      </c>
      <c r="F30" s="3041">
        <v>12.47</v>
      </c>
      <c r="G30" s="2488"/>
      <c r="H30" s="2752">
        <v>2</v>
      </c>
      <c r="I30" s="2752">
        <v>1</v>
      </c>
      <c r="J30" s="2488"/>
      <c r="K30" s="2614"/>
      <c r="L30" s="2488"/>
      <c r="M30" s="2614"/>
      <c r="N30" s="2479" t="str">
        <f t="shared" si="0"/>
        <v>BLUFF, UT, Distribution, Unattended</v>
      </c>
    </row>
    <row r="31" spans="1:14" ht="16.7" customHeight="1" x14ac:dyDescent="0.2">
      <c r="A31" s="3003">
        <f t="shared" si="1"/>
        <v>40.35199999999918</v>
      </c>
      <c r="B31" s="2512" t="s">
        <v>11300</v>
      </c>
      <c r="C31" s="2489" t="s">
        <v>512</v>
      </c>
      <c r="D31" s="2489" t="s">
        <v>10937</v>
      </c>
      <c r="E31" s="3041">
        <v>46</v>
      </c>
      <c r="F31" s="3041">
        <v>12.47</v>
      </c>
      <c r="G31" s="2488"/>
      <c r="H31" s="2752">
        <v>14</v>
      </c>
      <c r="I31" s="2752">
        <v>1</v>
      </c>
      <c r="J31" s="2488"/>
      <c r="K31" s="2614"/>
      <c r="L31" s="2488"/>
      <c r="M31" s="2614"/>
      <c r="N31" s="2479" t="str">
        <f t="shared" si="0"/>
        <v>BLUFFDALE, UT, Distribution, Unattended</v>
      </c>
    </row>
    <row r="32" spans="1:14" ht="16.7" customHeight="1" x14ac:dyDescent="0.2">
      <c r="A32" s="3003">
        <f t="shared" si="1"/>
        <v>40.352999999999177</v>
      </c>
      <c r="B32" s="2512" t="s">
        <v>11301</v>
      </c>
      <c r="C32" s="2489" t="s">
        <v>512</v>
      </c>
      <c r="D32" s="2489" t="s">
        <v>10937</v>
      </c>
      <c r="E32" s="3041">
        <v>46</v>
      </c>
      <c r="F32" s="3041">
        <v>12.47</v>
      </c>
      <c r="G32" s="2488"/>
      <c r="H32" s="2752">
        <v>4</v>
      </c>
      <c r="I32" s="2752">
        <v>1</v>
      </c>
      <c r="J32" s="2488"/>
      <c r="K32" s="2614"/>
      <c r="L32" s="2488"/>
      <c r="M32" s="2614"/>
      <c r="N32" s="2479" t="str">
        <f t="shared" si="0"/>
        <v>BOTHWELL, UT, Distribution, Unattended</v>
      </c>
    </row>
    <row r="33" spans="1:14" ht="16.7" customHeight="1" x14ac:dyDescent="0.2">
      <c r="A33" s="3003">
        <f t="shared" si="1"/>
        <v>40.353999999999175</v>
      </c>
      <c r="B33" s="2512" t="s">
        <v>11302</v>
      </c>
      <c r="C33" s="2489" t="s">
        <v>512</v>
      </c>
      <c r="D33" s="2489" t="s">
        <v>10937</v>
      </c>
      <c r="E33" s="3041">
        <v>34.5</v>
      </c>
      <c r="F33" s="3041">
        <v>12.47</v>
      </c>
      <c r="G33" s="2488"/>
      <c r="H33" s="2752">
        <v>14</v>
      </c>
      <c r="I33" s="2752">
        <v>1</v>
      </c>
      <c r="J33" s="2488"/>
      <c r="K33" s="2614"/>
      <c r="L33" s="2488"/>
      <c r="M33" s="2614"/>
      <c r="N33" s="2479" t="str">
        <f t="shared" si="0"/>
        <v>BRIAN HEAD, UT, Distribution, Unattended</v>
      </c>
    </row>
    <row r="34" spans="1:14" ht="16.7" customHeight="1" x14ac:dyDescent="0.2">
      <c r="A34" s="3003">
        <f t="shared" si="1"/>
        <v>40.354999999999173</v>
      </c>
      <c r="B34" s="2512" t="s">
        <v>11303</v>
      </c>
      <c r="C34" s="2489" t="s">
        <v>512</v>
      </c>
      <c r="D34" s="2489" t="s">
        <v>10937</v>
      </c>
      <c r="E34" s="3041">
        <v>46</v>
      </c>
      <c r="F34" s="3041">
        <v>24.9</v>
      </c>
      <c r="G34" s="2488"/>
      <c r="H34" s="2752">
        <v>29</v>
      </c>
      <c r="I34" s="2752">
        <v>2</v>
      </c>
      <c r="J34" s="2488"/>
      <c r="K34" s="2614"/>
      <c r="L34" s="2488"/>
      <c r="M34" s="2614"/>
      <c r="N34" s="2479" t="str">
        <f t="shared" si="0"/>
        <v>BRIGHTON, UT, Distribution, Unattended</v>
      </c>
    </row>
    <row r="35" spans="1:14" ht="16.7" customHeight="1" x14ac:dyDescent="0.2">
      <c r="A35" s="3003">
        <f t="shared" si="1"/>
        <v>40.35599999999917</v>
      </c>
      <c r="B35" s="2512" t="s">
        <v>11304</v>
      </c>
      <c r="C35" s="2489" t="s">
        <v>512</v>
      </c>
      <c r="D35" s="2489" t="s">
        <v>10937</v>
      </c>
      <c r="E35" s="3041">
        <v>46</v>
      </c>
      <c r="F35" s="3041">
        <v>12.47</v>
      </c>
      <c r="G35" s="2488"/>
      <c r="H35" s="2752">
        <v>6</v>
      </c>
      <c r="I35" s="2752">
        <v>1</v>
      </c>
      <c r="J35" s="2488"/>
      <c r="K35" s="2614"/>
      <c r="L35" s="2488"/>
      <c r="M35" s="2614"/>
      <c r="N35" s="2479" t="str">
        <f t="shared" si="0"/>
        <v>BROOKLAWN, UT, Distribution, Unattended</v>
      </c>
    </row>
    <row r="36" spans="1:14" ht="16.7" customHeight="1" x14ac:dyDescent="0.2">
      <c r="A36" s="3003">
        <f t="shared" si="1"/>
        <v>40.356999999999168</v>
      </c>
      <c r="B36" s="2512" t="s">
        <v>11305</v>
      </c>
      <c r="C36" s="2489" t="s">
        <v>512</v>
      </c>
      <c r="D36" s="2489" t="s">
        <v>10937</v>
      </c>
      <c r="E36" s="3041">
        <v>46</v>
      </c>
      <c r="F36" s="3041">
        <v>12.47</v>
      </c>
      <c r="G36" s="2488"/>
      <c r="H36" s="2752">
        <v>42</v>
      </c>
      <c r="I36" s="2752">
        <v>2</v>
      </c>
      <c r="J36" s="2750">
        <v>1</v>
      </c>
      <c r="K36" s="2614"/>
      <c r="L36" s="2488"/>
      <c r="M36" s="2614"/>
      <c r="N36" s="2479" t="str">
        <f t="shared" si="0"/>
        <v>BRUNSWICK, UT, Distribution, Unattended</v>
      </c>
    </row>
    <row r="37" spans="1:14" ht="16.7" customHeight="1" x14ac:dyDescent="0.2">
      <c r="A37" s="3003">
        <f t="shared" si="1"/>
        <v>40.357999999999166</v>
      </c>
      <c r="B37" s="2512" t="s">
        <v>11306</v>
      </c>
      <c r="C37" s="2489" t="s">
        <v>512</v>
      </c>
      <c r="D37" s="2489" t="s">
        <v>10937</v>
      </c>
      <c r="E37" s="3041">
        <v>34.5</v>
      </c>
      <c r="F37" s="3041">
        <v>12.47</v>
      </c>
      <c r="G37" s="2488"/>
      <c r="H37" s="2752">
        <v>11</v>
      </c>
      <c r="I37" s="2752">
        <v>3</v>
      </c>
      <c r="J37" s="2488"/>
      <c r="K37" s="2614"/>
      <c r="L37" s="2488"/>
      <c r="M37" s="2614"/>
      <c r="N37" s="2479" t="str">
        <f t="shared" si="0"/>
        <v>BURTON, UT, Distribution, Unattended</v>
      </c>
    </row>
    <row r="38" spans="1:14" ht="16.7" customHeight="1" x14ac:dyDescent="0.2">
      <c r="A38" s="3003">
        <f t="shared" si="1"/>
        <v>40.358999999999163</v>
      </c>
      <c r="B38" s="2512" t="s">
        <v>11307</v>
      </c>
      <c r="C38" s="2489" t="s">
        <v>512</v>
      </c>
      <c r="D38" s="2489" t="s">
        <v>10937</v>
      </c>
      <c r="E38" s="3041">
        <v>46</v>
      </c>
      <c r="F38" s="3041">
        <v>12.47</v>
      </c>
      <c r="G38" s="2488"/>
      <c r="H38" s="2752">
        <v>14</v>
      </c>
      <c r="I38" s="2752">
        <v>1</v>
      </c>
      <c r="J38" s="2488"/>
      <c r="K38" s="2614"/>
      <c r="L38" s="2488"/>
      <c r="M38" s="2614"/>
      <c r="N38" s="2479" t="str">
        <f t="shared" si="0"/>
        <v>BUSH, UT, Distribution, Unattended</v>
      </c>
    </row>
    <row r="39" spans="1:14" ht="16.7" customHeight="1" x14ac:dyDescent="0.2">
      <c r="A39" s="3003">
        <f t="shared" si="1"/>
        <v>40.359999999999161</v>
      </c>
      <c r="B39" s="2512" t="s">
        <v>11308</v>
      </c>
      <c r="C39" s="2489" t="s">
        <v>512</v>
      </c>
      <c r="D39" s="2489" t="s">
        <v>10937</v>
      </c>
      <c r="E39" s="3041">
        <v>46</v>
      </c>
      <c r="F39" s="3041">
        <v>12.47</v>
      </c>
      <c r="G39" s="3043">
        <v>7.2</v>
      </c>
      <c r="H39" s="2752">
        <v>13</v>
      </c>
      <c r="I39" s="2752">
        <v>1</v>
      </c>
      <c r="J39" s="2488"/>
      <c r="K39" s="2614"/>
      <c r="L39" s="2488"/>
      <c r="M39" s="2614"/>
      <c r="N39" s="2479" t="str">
        <f t="shared" si="0"/>
        <v>CANNON, UT, Distribution, Unattended</v>
      </c>
    </row>
    <row r="40" spans="1:14" ht="16.7" customHeight="1" x14ac:dyDescent="0.2">
      <c r="A40" s="3003">
        <f t="shared" si="1"/>
        <v>40.360999999999159</v>
      </c>
      <c r="B40" s="2512" t="s">
        <v>11309</v>
      </c>
      <c r="C40" s="2489" t="s">
        <v>512</v>
      </c>
      <c r="D40" s="2489" t="s">
        <v>10937</v>
      </c>
      <c r="E40" s="3041">
        <v>69</v>
      </c>
      <c r="F40" s="3041">
        <v>12.47</v>
      </c>
      <c r="G40" s="2488"/>
      <c r="H40" s="2752">
        <v>1</v>
      </c>
      <c r="I40" s="2752">
        <v>1</v>
      </c>
      <c r="J40" s="2488"/>
      <c r="K40" s="2614"/>
      <c r="L40" s="2488"/>
      <c r="M40" s="2614"/>
      <c r="N40" s="2479" t="str">
        <f t="shared" si="0"/>
        <v>CANYONLANDS, UT, Distribution, Unattended</v>
      </c>
    </row>
    <row r="41" spans="1:14" ht="16.7" customHeight="1" x14ac:dyDescent="0.2">
      <c r="A41" s="3003">
        <f t="shared" si="1"/>
        <v>40.361999999999156</v>
      </c>
      <c r="B41" s="2512" t="s">
        <v>11310</v>
      </c>
      <c r="C41" s="2489" t="s">
        <v>512</v>
      </c>
      <c r="D41" s="2489" t="s">
        <v>10937</v>
      </c>
      <c r="E41" s="3041">
        <v>46</v>
      </c>
      <c r="F41" s="3041">
        <v>12.47</v>
      </c>
      <c r="G41" s="2488"/>
      <c r="H41" s="2752">
        <v>20</v>
      </c>
      <c r="I41" s="2752">
        <v>1</v>
      </c>
      <c r="J41" s="2488"/>
      <c r="K41" s="2614"/>
      <c r="L41" s="2488"/>
      <c r="M41" s="2614"/>
      <c r="N41" s="2479" t="str">
        <f t="shared" si="0"/>
        <v>CAPITOL, UT, Distribution, Unattended</v>
      </c>
    </row>
    <row r="42" spans="1:14" ht="16.7" customHeight="1" x14ac:dyDescent="0.2">
      <c r="A42" s="3003">
        <f t="shared" si="1"/>
        <v>40.362999999999154</v>
      </c>
      <c r="B42" s="2512" t="s">
        <v>11311</v>
      </c>
      <c r="C42" s="2489" t="s">
        <v>512</v>
      </c>
      <c r="D42" s="2489" t="s">
        <v>10937</v>
      </c>
      <c r="E42" s="3041">
        <v>69</v>
      </c>
      <c r="F42" s="3041">
        <v>12.47</v>
      </c>
      <c r="G42" s="2488"/>
      <c r="H42" s="2752">
        <v>3</v>
      </c>
      <c r="I42" s="2752">
        <v>1</v>
      </c>
      <c r="J42" s="2488"/>
      <c r="K42" s="2614"/>
      <c r="L42" s="2488"/>
      <c r="M42" s="2614"/>
      <c r="N42" s="2479" t="str">
        <f t="shared" si="0"/>
        <v>CARBIDE, UT, Distribution, Unattended</v>
      </c>
    </row>
    <row r="43" spans="1:14" ht="16.7" customHeight="1" x14ac:dyDescent="0.2">
      <c r="A43" s="3003">
        <f t="shared" si="1"/>
        <v>40.363999999999152</v>
      </c>
      <c r="B43" s="2512" t="s">
        <v>11312</v>
      </c>
      <c r="C43" s="2489" t="s">
        <v>512</v>
      </c>
      <c r="D43" s="2489" t="s">
        <v>10937</v>
      </c>
      <c r="E43" s="3041">
        <v>46</v>
      </c>
      <c r="F43" s="3041">
        <v>12.47</v>
      </c>
      <c r="G43" s="2488"/>
      <c r="H43" s="2752">
        <v>6</v>
      </c>
      <c r="I43" s="2752">
        <v>1</v>
      </c>
      <c r="J43" s="2488"/>
      <c r="K43" s="2614"/>
      <c r="L43" s="2488"/>
      <c r="M43" s="2614"/>
      <c r="N43" s="2479" t="str">
        <f t="shared" si="0"/>
        <v>CARBONVILLE, UT, Distribution, Unattended</v>
      </c>
    </row>
    <row r="44" spans="1:14" ht="16.7" customHeight="1" x14ac:dyDescent="0.2">
      <c r="A44" s="3003">
        <f t="shared" si="1"/>
        <v>40.364999999999149</v>
      </c>
      <c r="B44" s="2512" t="s">
        <v>11313</v>
      </c>
      <c r="C44" s="2489" t="s">
        <v>512</v>
      </c>
      <c r="D44" s="2489" t="s">
        <v>10937</v>
      </c>
      <c r="E44" s="3041">
        <v>138</v>
      </c>
      <c r="F44" s="3041">
        <v>12.47</v>
      </c>
      <c r="G44" s="2488"/>
      <c r="H44" s="2752">
        <v>30</v>
      </c>
      <c r="I44" s="2752">
        <v>1</v>
      </c>
      <c r="J44" s="2488"/>
      <c r="K44" s="2614"/>
      <c r="L44" s="2488"/>
      <c r="M44" s="2614"/>
      <c r="N44" s="2479" t="str">
        <f t="shared" si="0"/>
        <v>CARLISLE, UT, Distribution, Unattended</v>
      </c>
    </row>
    <row r="45" spans="1:14" ht="16.7" customHeight="1" x14ac:dyDescent="0.2">
      <c r="A45" s="3003">
        <f t="shared" si="1"/>
        <v>40.365999999999147</v>
      </c>
      <c r="B45" s="2512" t="s">
        <v>11314</v>
      </c>
      <c r="C45" s="2489" t="s">
        <v>512</v>
      </c>
      <c r="D45" s="2489" t="s">
        <v>10937</v>
      </c>
      <c r="E45" s="3041">
        <v>46</v>
      </c>
      <c r="F45" s="3041">
        <v>12.47</v>
      </c>
      <c r="G45" s="2488"/>
      <c r="H45" s="2752">
        <v>28</v>
      </c>
      <c r="I45" s="2752">
        <v>1</v>
      </c>
      <c r="J45" s="2488"/>
      <c r="K45" s="2614"/>
      <c r="L45" s="2488"/>
      <c r="M45" s="2614"/>
      <c r="N45" s="2479" t="str">
        <f t="shared" si="0"/>
        <v>CASTO, UT, Distribution, Unattended</v>
      </c>
    </row>
    <row r="46" spans="1:14" ht="16.7" customHeight="1" x14ac:dyDescent="0.2">
      <c r="A46" s="3003">
        <f t="shared" si="1"/>
        <v>40.366999999999145</v>
      </c>
      <c r="B46" s="2512" t="s">
        <v>11315</v>
      </c>
      <c r="C46" s="2489" t="s">
        <v>512</v>
      </c>
      <c r="D46" s="2489" t="s">
        <v>10937</v>
      </c>
      <c r="E46" s="3041">
        <v>138</v>
      </c>
      <c r="F46" s="3041">
        <v>12.47</v>
      </c>
      <c r="G46" s="2488"/>
      <c r="H46" s="2752">
        <v>40</v>
      </c>
      <c r="I46" s="2752">
        <v>2</v>
      </c>
      <c r="J46" s="2488"/>
      <c r="K46" s="2614"/>
      <c r="L46" s="2488"/>
      <c r="M46" s="2614"/>
      <c r="N46" s="2479" t="str">
        <f t="shared" si="0"/>
        <v>CENTENNIAL, UT, Distribution, Unattended</v>
      </c>
    </row>
    <row r="47" spans="1:14" ht="16.7" customHeight="1" x14ac:dyDescent="0.2">
      <c r="A47" s="3003">
        <f t="shared" si="1"/>
        <v>40.367999999999142</v>
      </c>
      <c r="B47" s="2512" t="s">
        <v>11316</v>
      </c>
      <c r="C47" s="2489" t="s">
        <v>512</v>
      </c>
      <c r="D47" s="2489" t="s">
        <v>10937</v>
      </c>
      <c r="E47" s="3041">
        <v>46</v>
      </c>
      <c r="F47" s="3041">
        <v>12.47</v>
      </c>
      <c r="G47" s="2488"/>
      <c r="H47" s="2752">
        <v>22</v>
      </c>
      <c r="I47" s="2752">
        <v>1</v>
      </c>
      <c r="J47" s="2488"/>
      <c r="K47" s="2614"/>
      <c r="L47" s="2488"/>
      <c r="M47" s="2614"/>
      <c r="N47" s="3077" t="str">
        <f t="shared" si="0"/>
        <v>CENTERVILLE, UT, Distribution, Unattended</v>
      </c>
    </row>
    <row r="48" spans="1:14" ht="16.7" customHeight="1" x14ac:dyDescent="0.2">
      <c r="A48" s="3003">
        <f t="shared" si="1"/>
        <v>40.36899999999914</v>
      </c>
      <c r="B48" s="2512" t="s">
        <v>11317</v>
      </c>
      <c r="C48" s="2489" t="s">
        <v>512</v>
      </c>
      <c r="D48" s="2489" t="s">
        <v>10937</v>
      </c>
      <c r="E48" s="3041">
        <v>46</v>
      </c>
      <c r="F48" s="3041">
        <v>12.47</v>
      </c>
      <c r="G48" s="2488"/>
      <c r="H48" s="2752">
        <v>9</v>
      </c>
      <c r="I48" s="2752">
        <v>1</v>
      </c>
      <c r="J48" s="2488"/>
      <c r="K48" s="2614"/>
      <c r="L48" s="2488"/>
      <c r="M48" s="2614"/>
      <c r="N48" s="2479" t="str">
        <f t="shared" si="0"/>
        <v>CENTRAL, UT, Distribution, Unattended</v>
      </c>
    </row>
    <row r="49" spans="1:14" ht="16.7" customHeight="1" x14ac:dyDescent="0.2">
      <c r="A49" s="3003">
        <f t="shared" si="1"/>
        <v>40.369999999999138</v>
      </c>
      <c r="B49" s="2512" t="s">
        <v>11318</v>
      </c>
      <c r="C49" s="2489" t="s">
        <v>512</v>
      </c>
      <c r="D49" s="2489" t="s">
        <v>10937</v>
      </c>
      <c r="E49" s="3041">
        <v>138</v>
      </c>
      <c r="F49" s="3041">
        <v>12.47</v>
      </c>
      <c r="G49" s="2488"/>
      <c r="H49" s="2752">
        <v>30</v>
      </c>
      <c r="I49" s="2752">
        <v>1</v>
      </c>
      <c r="J49" s="2488"/>
      <c r="K49" s="2614"/>
      <c r="L49" s="2488"/>
      <c r="M49" s="2614"/>
      <c r="N49" s="2479" t="str">
        <f t="shared" si="0"/>
        <v>CHAPEL HILL, UT, Distribution, Unattended</v>
      </c>
    </row>
    <row r="50" spans="1:14" ht="15" customHeight="1" x14ac:dyDescent="0.2">
      <c r="A50" s="3003">
        <f t="shared" si="1"/>
        <v>40.370999999999135</v>
      </c>
      <c r="B50" s="2512" t="s">
        <v>11319</v>
      </c>
      <c r="C50" s="2489" t="s">
        <v>512</v>
      </c>
      <c r="D50" s="2489" t="s">
        <v>10937</v>
      </c>
      <c r="E50" s="3041">
        <v>138</v>
      </c>
      <c r="F50" s="3041">
        <v>12.47</v>
      </c>
      <c r="G50" s="2488"/>
      <c r="H50" s="2752">
        <v>55</v>
      </c>
      <c r="I50" s="2752">
        <v>2</v>
      </c>
      <c r="J50" s="2488"/>
      <c r="K50" s="2614"/>
      <c r="L50" s="2614"/>
      <c r="M50" s="2614"/>
      <c r="N50" s="2479" t="str">
        <f t="shared" si="0"/>
        <v>CHERRYWOOD, UT, Distribution, Unattended</v>
      </c>
    </row>
    <row r="51" spans="1:14" ht="15.75" customHeight="1" x14ac:dyDescent="0.2">
      <c r="A51" s="3003">
        <f t="shared" si="1"/>
        <v>40.371999999999133</v>
      </c>
      <c r="B51" s="2512" t="s">
        <v>11320</v>
      </c>
      <c r="C51" s="2489" t="s">
        <v>512</v>
      </c>
      <c r="D51" s="2489" t="s">
        <v>10937</v>
      </c>
      <c r="E51" s="3041">
        <v>69</v>
      </c>
      <c r="F51" s="3041">
        <v>12.47</v>
      </c>
      <c r="G51" s="2488"/>
      <c r="H51" s="2752">
        <v>3</v>
      </c>
      <c r="I51" s="2752">
        <v>1</v>
      </c>
      <c r="J51" s="2488"/>
      <c r="K51" s="2614"/>
      <c r="L51" s="2488"/>
      <c r="M51" s="2614"/>
      <c r="N51" s="2479" t="str">
        <f t="shared" si="0"/>
        <v>CIRCLEVILLE, UT, Distribution, Unattended</v>
      </c>
    </row>
    <row r="52" spans="1:14" ht="15.75" customHeight="1" x14ac:dyDescent="0.2">
      <c r="A52" s="3003">
        <f t="shared" si="1"/>
        <v>40.372999999999131</v>
      </c>
      <c r="B52" s="2512" t="s">
        <v>11321</v>
      </c>
      <c r="C52" s="2489" t="s">
        <v>512</v>
      </c>
      <c r="D52" s="2489" t="s">
        <v>10937</v>
      </c>
      <c r="E52" s="3041">
        <v>46</v>
      </c>
      <c r="F52" s="3041">
        <v>12.47</v>
      </c>
      <c r="G52" s="2488"/>
      <c r="H52" s="2752">
        <v>4</v>
      </c>
      <c r="I52" s="2752">
        <v>1</v>
      </c>
      <c r="J52" s="2488"/>
      <c r="K52" s="2614"/>
      <c r="L52" s="2488"/>
      <c r="M52" s="2614"/>
      <c r="N52" s="2479" t="str">
        <f t="shared" si="0"/>
        <v>CLEAR CREEK, UT, Distribution, Unattended</v>
      </c>
    </row>
    <row r="53" spans="1:14" ht="15.75" customHeight="1" x14ac:dyDescent="0.2">
      <c r="A53" s="3003">
        <f t="shared" si="1"/>
        <v>40.373999999999128</v>
      </c>
      <c r="B53" s="2512" t="s">
        <v>11322</v>
      </c>
      <c r="C53" s="2489" t="s">
        <v>512</v>
      </c>
      <c r="D53" s="2489" t="s">
        <v>10937</v>
      </c>
      <c r="E53" s="3041">
        <v>46</v>
      </c>
      <c r="F53" s="3041">
        <v>12.47</v>
      </c>
      <c r="G53" s="2488"/>
      <c r="H53" s="2752">
        <v>0</v>
      </c>
      <c r="I53" s="2752">
        <v>3</v>
      </c>
      <c r="J53" s="2488"/>
      <c r="K53" s="2614"/>
      <c r="L53" s="2488"/>
      <c r="M53" s="2614"/>
      <c r="N53" s="2479" t="str">
        <f t="shared" si="0"/>
        <v>CLEAR LAKE, UT, Distribution, Unattended</v>
      </c>
    </row>
    <row r="54" spans="1:14" ht="15.75" customHeight="1" x14ac:dyDescent="0.2">
      <c r="A54" s="3003">
        <f t="shared" si="1"/>
        <v>40.374999999999126</v>
      </c>
      <c r="B54" s="2512" t="s">
        <v>10850</v>
      </c>
      <c r="C54" s="2489" t="s">
        <v>512</v>
      </c>
      <c r="D54" s="2489" t="s">
        <v>10937</v>
      </c>
      <c r="E54" s="3041">
        <v>138</v>
      </c>
      <c r="F54" s="3041">
        <v>12.47</v>
      </c>
      <c r="G54" s="2488"/>
      <c r="H54" s="2752">
        <v>60</v>
      </c>
      <c r="I54" s="2752">
        <v>2</v>
      </c>
      <c r="J54" s="2488"/>
      <c r="K54" s="2614"/>
      <c r="L54" s="2488"/>
      <c r="M54" s="2614"/>
      <c r="N54" s="2479" t="str">
        <f t="shared" si="0"/>
        <v>CLEARFIELD SOUTH, UT, Distribution, Unattended</v>
      </c>
    </row>
    <row r="55" spans="1:14" ht="15.75" customHeight="1" x14ac:dyDescent="0.2">
      <c r="A55" s="3003">
        <f t="shared" si="1"/>
        <v>40.375999999999124</v>
      </c>
      <c r="B55" s="2512" t="s">
        <v>11323</v>
      </c>
      <c r="C55" s="2489" t="s">
        <v>512</v>
      </c>
      <c r="D55" s="2489" t="s">
        <v>10937</v>
      </c>
      <c r="E55" s="3041">
        <v>138</v>
      </c>
      <c r="F55" s="3041">
        <v>12.47</v>
      </c>
      <c r="G55" s="2488"/>
      <c r="H55" s="2752">
        <v>50</v>
      </c>
      <c r="I55" s="2752">
        <v>2</v>
      </c>
      <c r="J55" s="2488"/>
      <c r="K55" s="2614"/>
      <c r="L55" s="2488"/>
      <c r="M55" s="2614"/>
      <c r="N55" s="2479" t="str">
        <f t="shared" si="0"/>
        <v>CLINTON, UT, Distribution, Unattended</v>
      </c>
    </row>
    <row r="56" spans="1:14" ht="15.75" customHeight="1" x14ac:dyDescent="0.2">
      <c r="A56" s="3003">
        <f t="shared" si="1"/>
        <v>40.376999999999121</v>
      </c>
      <c r="B56" s="2512" t="s">
        <v>11324</v>
      </c>
      <c r="C56" s="2489" t="s">
        <v>512</v>
      </c>
      <c r="D56" s="2489" t="s">
        <v>10937</v>
      </c>
      <c r="E56" s="3041">
        <v>46</v>
      </c>
      <c r="F56" s="3041">
        <v>12.47</v>
      </c>
      <c r="G56" s="2488"/>
      <c r="H56" s="2752">
        <v>4</v>
      </c>
      <c r="I56" s="2752">
        <v>1</v>
      </c>
      <c r="J56" s="2488"/>
      <c r="K56" s="2614"/>
      <c r="L56" s="2488"/>
      <c r="M56" s="2614"/>
      <c r="N56" s="2479" t="str">
        <f t="shared" si="0"/>
        <v>CLIVE, UT, Distribution, Unattended</v>
      </c>
    </row>
    <row r="57" spans="1:14" ht="15.75" customHeight="1" x14ac:dyDescent="0.2">
      <c r="A57" s="3003">
        <f t="shared" si="1"/>
        <v>40.377999999999119</v>
      </c>
      <c r="B57" s="2512" t="s">
        <v>11325</v>
      </c>
      <c r="C57" s="2489" t="s">
        <v>512</v>
      </c>
      <c r="D57" s="2489" t="s">
        <v>10937</v>
      </c>
      <c r="E57" s="3041">
        <v>138</v>
      </c>
      <c r="F57" s="3041">
        <v>12.47</v>
      </c>
      <c r="G57" s="2488"/>
      <c r="H57" s="2752">
        <v>22</v>
      </c>
      <c r="I57" s="2752">
        <v>1</v>
      </c>
      <c r="J57" s="2488"/>
      <c r="K57" s="2614"/>
      <c r="L57" s="2488"/>
      <c r="M57" s="2614"/>
      <c r="N57" s="2479" t="str">
        <f t="shared" si="0"/>
        <v>COALVILLE, UT, Distribution, Unattended</v>
      </c>
    </row>
    <row r="58" spans="1:14" ht="15.75" customHeight="1" x14ac:dyDescent="0.2">
      <c r="A58" s="3003">
        <f t="shared" si="1"/>
        <v>40.378999999999117</v>
      </c>
      <c r="B58" s="2512" t="s">
        <v>11326</v>
      </c>
      <c r="C58" s="2489" t="s">
        <v>512</v>
      </c>
      <c r="D58" s="2489" t="s">
        <v>10937</v>
      </c>
      <c r="E58" s="3041">
        <v>138</v>
      </c>
      <c r="F58" s="3041">
        <v>12.47</v>
      </c>
      <c r="G58" s="2488"/>
      <c r="H58" s="2752">
        <v>30</v>
      </c>
      <c r="I58" s="2752">
        <v>1</v>
      </c>
      <c r="J58" s="2488"/>
      <c r="K58" s="2614"/>
      <c r="L58" s="2488"/>
      <c r="M58" s="2614"/>
      <c r="N58" s="2479" t="str">
        <f t="shared" si="0"/>
        <v>COLD WATER CANYON, UT, Distribution, Unattended</v>
      </c>
    </row>
    <row r="59" spans="1:14" ht="15.75" customHeight="1" x14ac:dyDescent="0.2">
      <c r="A59" s="3003">
        <f t="shared" si="1"/>
        <v>40.379999999999114</v>
      </c>
      <c r="B59" s="2512" t="s">
        <v>11327</v>
      </c>
      <c r="C59" s="2489" t="s">
        <v>512</v>
      </c>
      <c r="D59" s="2489" t="s">
        <v>10937</v>
      </c>
      <c r="E59" s="3041">
        <v>138</v>
      </c>
      <c r="F59" s="3041">
        <v>69</v>
      </c>
      <c r="G59" s="3043">
        <v>6.6</v>
      </c>
      <c r="H59" s="2752">
        <v>119</v>
      </c>
      <c r="I59" s="2752">
        <v>4</v>
      </c>
      <c r="J59" s="2488"/>
      <c r="K59" s="2614"/>
      <c r="L59" s="2488"/>
      <c r="M59" s="2614"/>
      <c r="N59" s="2479" t="str">
        <f t="shared" si="0"/>
        <v>COLEMAN, UT, Distribution, Unattended</v>
      </c>
    </row>
    <row r="60" spans="1:14" ht="15.75" customHeight="1" x14ac:dyDescent="0.2">
      <c r="A60" s="3003">
        <f t="shared" si="1"/>
        <v>40.380999999999112</v>
      </c>
      <c r="B60" s="2512" t="s">
        <v>11328</v>
      </c>
      <c r="C60" s="2489" t="s">
        <v>512</v>
      </c>
      <c r="D60" s="2489" t="s">
        <v>10937</v>
      </c>
      <c r="E60" s="3041">
        <v>46</v>
      </c>
      <c r="F60" s="3041">
        <v>2.4</v>
      </c>
      <c r="G60" s="2488"/>
      <c r="H60" s="2752">
        <v>1</v>
      </c>
      <c r="I60" s="2752">
        <v>3</v>
      </c>
      <c r="J60" s="2488"/>
      <c r="K60" s="2614"/>
      <c r="L60" s="2488"/>
      <c r="M60" s="2614"/>
      <c r="N60" s="2479" t="str">
        <f t="shared" si="0"/>
        <v>COLTON WELL, UT, Distribution, Unattended</v>
      </c>
    </row>
    <row r="61" spans="1:14" ht="15.75" customHeight="1" x14ac:dyDescent="0.2">
      <c r="A61" s="3003">
        <f t="shared" si="1"/>
        <v>40.38199999999911</v>
      </c>
      <c r="B61" s="2512" t="s">
        <v>11329</v>
      </c>
      <c r="C61" s="2489" t="s">
        <v>512</v>
      </c>
      <c r="D61" s="2489" t="s">
        <v>10937</v>
      </c>
      <c r="E61" s="3041">
        <v>138</v>
      </c>
      <c r="F61" s="3041">
        <v>12.47</v>
      </c>
      <c r="G61" s="2488"/>
      <c r="H61" s="2752">
        <v>30</v>
      </c>
      <c r="I61" s="2752">
        <v>1</v>
      </c>
      <c r="J61" s="2488"/>
      <c r="K61" s="2614"/>
      <c r="L61" s="2488"/>
      <c r="M61" s="2614"/>
      <c r="N61" s="2479" t="str">
        <f t="shared" si="0"/>
        <v>COMMERCE, UT, Distribution, Unattended</v>
      </c>
    </row>
    <row r="62" spans="1:14" ht="15.75" customHeight="1" x14ac:dyDescent="0.2">
      <c r="A62" s="3003">
        <f t="shared" si="1"/>
        <v>40.382999999999107</v>
      </c>
      <c r="B62" s="2512" t="s">
        <v>11330</v>
      </c>
      <c r="C62" s="2489" t="s">
        <v>512</v>
      </c>
      <c r="D62" s="2489" t="s">
        <v>10937</v>
      </c>
      <c r="E62" s="3041">
        <v>138</v>
      </c>
      <c r="F62" s="3041">
        <v>13.2</v>
      </c>
      <c r="G62" s="2488"/>
      <c r="H62" s="2752">
        <v>63</v>
      </c>
      <c r="I62" s="2752">
        <v>2</v>
      </c>
      <c r="J62" s="2488"/>
      <c r="K62" s="2614"/>
      <c r="L62" s="2488"/>
      <c r="M62" s="2614"/>
      <c r="N62" s="2479" t="str">
        <f t="shared" si="0"/>
        <v>COPPER HILLS, UT, Distribution, Unattended</v>
      </c>
    </row>
    <row r="63" spans="1:14" ht="15.75" customHeight="1" x14ac:dyDescent="0.2">
      <c r="A63" s="3003">
        <f t="shared" si="1"/>
        <v>40.383999999999105</v>
      </c>
      <c r="B63" s="2512" t="s">
        <v>11331</v>
      </c>
      <c r="C63" s="2489" t="s">
        <v>512</v>
      </c>
      <c r="D63" s="2489" t="s">
        <v>10937</v>
      </c>
      <c r="E63" s="3041">
        <v>46</v>
      </c>
      <c r="F63" s="3041">
        <v>12.47</v>
      </c>
      <c r="G63" s="2488"/>
      <c r="H63" s="2752">
        <v>3</v>
      </c>
      <c r="I63" s="2752">
        <v>1</v>
      </c>
      <c r="J63" s="2488"/>
      <c r="K63" s="2614"/>
      <c r="L63" s="2488"/>
      <c r="M63" s="2614"/>
      <c r="N63" s="2479" t="str">
        <f t="shared" si="0"/>
        <v>CORRINE, UT, Distribution, Unattended</v>
      </c>
    </row>
    <row r="64" spans="1:14" ht="15.75" customHeight="1" x14ac:dyDescent="0.2">
      <c r="A64" s="3003">
        <f t="shared" si="1"/>
        <v>40.384999999999103</v>
      </c>
      <c r="B64" s="2512" t="s">
        <v>11332</v>
      </c>
      <c r="C64" s="2489" t="s">
        <v>512</v>
      </c>
      <c r="D64" s="2489" t="s">
        <v>10937</v>
      </c>
      <c r="E64" s="3041">
        <v>46</v>
      </c>
      <c r="F64" s="3041">
        <v>12.47</v>
      </c>
      <c r="G64" s="2488"/>
      <c r="H64" s="2752">
        <v>2</v>
      </c>
      <c r="I64" s="2752">
        <v>3</v>
      </c>
      <c r="J64" s="2488"/>
      <c r="K64" s="2614"/>
      <c r="L64" s="2488"/>
      <c r="M64" s="2614"/>
      <c r="N64" s="2479" t="str">
        <f t="shared" si="0"/>
        <v>COVE FORT, UT, Distribution, Unattended</v>
      </c>
    </row>
    <row r="65" spans="1:14" ht="15.75" customHeight="1" x14ac:dyDescent="0.2">
      <c r="A65" s="3003">
        <f t="shared" si="1"/>
        <v>40.3859999999991</v>
      </c>
      <c r="B65" s="2512" t="s">
        <v>11333</v>
      </c>
      <c r="C65" s="2489" t="s">
        <v>512</v>
      </c>
      <c r="D65" s="2489" t="s">
        <v>10937</v>
      </c>
      <c r="E65" s="3041">
        <v>138</v>
      </c>
      <c r="F65" s="3041">
        <v>12.47</v>
      </c>
      <c r="G65" s="2488"/>
      <c r="H65" s="2752">
        <v>30</v>
      </c>
      <c r="I65" s="2752">
        <v>1</v>
      </c>
      <c r="J65" s="2488"/>
      <c r="K65" s="2614"/>
      <c r="L65" s="2488"/>
      <c r="M65" s="2614"/>
      <c r="N65" s="2479" t="str">
        <f t="shared" si="0"/>
        <v>COZYDALE, UT, Distribution, Unattended</v>
      </c>
    </row>
    <row r="66" spans="1:14" ht="15.75" customHeight="1" x14ac:dyDescent="0.2">
      <c r="A66" s="3003">
        <f t="shared" si="1"/>
        <v>40.386999999999098</v>
      </c>
      <c r="B66" s="2512" t="s">
        <v>11334</v>
      </c>
      <c r="C66" s="2489" t="s">
        <v>512</v>
      </c>
      <c r="D66" s="2489" t="s">
        <v>10937</v>
      </c>
      <c r="E66" s="3041">
        <v>138</v>
      </c>
      <c r="F66" s="3041">
        <v>7.2</v>
      </c>
      <c r="G66" s="2488"/>
      <c r="H66" s="2752">
        <v>20</v>
      </c>
      <c r="I66" s="2752">
        <v>1</v>
      </c>
      <c r="J66" s="2750">
        <v>1</v>
      </c>
      <c r="K66" s="2614"/>
      <c r="L66" s="2488"/>
      <c r="M66" s="2614"/>
      <c r="N66" s="2479" t="str">
        <f t="shared" si="0"/>
        <v>CRANER FLAT, UT, Distribution, Unattended</v>
      </c>
    </row>
    <row r="67" spans="1:14" ht="15.75" customHeight="1" x14ac:dyDescent="0.2">
      <c r="A67" s="3003">
        <f t="shared" si="1"/>
        <v>40.387999999999096</v>
      </c>
      <c r="B67" s="2512" t="s">
        <v>11335</v>
      </c>
      <c r="C67" s="2489" t="s">
        <v>512</v>
      </c>
      <c r="D67" s="2489" t="s">
        <v>10937</v>
      </c>
      <c r="E67" s="3041">
        <v>138</v>
      </c>
      <c r="F67" s="3041">
        <v>12.47</v>
      </c>
      <c r="G67" s="2488"/>
      <c r="H67" s="2752">
        <v>20</v>
      </c>
      <c r="I67" s="2752">
        <v>1</v>
      </c>
      <c r="J67" s="2750">
        <v>1</v>
      </c>
      <c r="K67" s="2614"/>
      <c r="L67" s="2488"/>
      <c r="M67" s="2614"/>
      <c r="N67" s="2479" t="str">
        <f t="shared" si="0"/>
        <v>CROSS HOLLOW, UT, Distribution, Unattended</v>
      </c>
    </row>
    <row r="68" spans="1:14" ht="15.75" customHeight="1" x14ac:dyDescent="0.2">
      <c r="A68" s="3003">
        <f t="shared" si="1"/>
        <v>40.388999999999093</v>
      </c>
      <c r="B68" s="2512" t="s">
        <v>11336</v>
      </c>
      <c r="C68" s="2489" t="s">
        <v>512</v>
      </c>
      <c r="D68" s="2489" t="s">
        <v>10937</v>
      </c>
      <c r="E68" s="3041">
        <v>138</v>
      </c>
      <c r="F68" s="3041">
        <v>46</v>
      </c>
      <c r="G68" s="3043">
        <v>12.47</v>
      </c>
      <c r="H68" s="2752">
        <v>81</v>
      </c>
      <c r="I68" s="2752">
        <v>2</v>
      </c>
      <c r="J68" s="2488"/>
      <c r="K68" s="2614"/>
      <c r="L68" s="2488"/>
      <c r="M68" s="2614"/>
      <c r="N68" s="2479" t="str">
        <f t="shared" si="0"/>
        <v>CROYDON, UT, Distribution, Unattended</v>
      </c>
    </row>
    <row r="69" spans="1:14" ht="15.75" customHeight="1" x14ac:dyDescent="0.2">
      <c r="A69" s="3003">
        <f t="shared" si="1"/>
        <v>40.389999999999091</v>
      </c>
      <c r="B69" s="2512" t="s">
        <v>11337</v>
      </c>
      <c r="C69" s="2489" t="s">
        <v>512</v>
      </c>
      <c r="D69" s="2489" t="s">
        <v>10937</v>
      </c>
      <c r="E69" s="3041">
        <v>138</v>
      </c>
      <c r="F69" s="3041">
        <v>12.47</v>
      </c>
      <c r="G69" s="2488"/>
      <c r="H69" s="2752">
        <v>30</v>
      </c>
      <c r="I69" s="2752">
        <v>1</v>
      </c>
      <c r="J69" s="2488"/>
      <c r="K69" s="2614"/>
      <c r="L69" s="2488"/>
      <c r="M69" s="2614"/>
      <c r="N69" s="2479" t="str">
        <f t="shared" si="0"/>
        <v>CUDAHY, UT, Distribution, Unattended</v>
      </c>
    </row>
    <row r="70" spans="1:14" ht="15.75" customHeight="1" x14ac:dyDescent="0.2">
      <c r="A70" s="3003">
        <f t="shared" si="1"/>
        <v>40.390999999999089</v>
      </c>
      <c r="B70" s="2512" t="s">
        <v>11338</v>
      </c>
      <c r="C70" s="2489" t="s">
        <v>512</v>
      </c>
      <c r="D70" s="2489" t="s">
        <v>10937</v>
      </c>
      <c r="E70" s="3041">
        <v>34.5</v>
      </c>
      <c r="F70" s="3041">
        <v>12.47</v>
      </c>
      <c r="G70" s="2488"/>
      <c r="H70" s="2752">
        <v>5</v>
      </c>
      <c r="I70" s="2752">
        <v>1</v>
      </c>
      <c r="J70" s="2488"/>
      <c r="K70" s="2614"/>
      <c r="L70" s="2488"/>
      <c r="M70" s="2614"/>
      <c r="N70" s="2479" t="str">
        <f t="shared" si="0"/>
        <v>DAMMERON VALLEY, UT, Distribution, Unattended</v>
      </c>
    </row>
    <row r="71" spans="1:14" ht="15.75" customHeight="1" x14ac:dyDescent="0.2">
      <c r="A71" s="3003">
        <f t="shared" si="1"/>
        <v>40.391999999999086</v>
      </c>
      <c r="B71" s="2512" t="s">
        <v>11339</v>
      </c>
      <c r="C71" s="2489" t="s">
        <v>512</v>
      </c>
      <c r="D71" s="2489" t="s">
        <v>10937</v>
      </c>
      <c r="E71" s="3041">
        <v>138</v>
      </c>
      <c r="F71" s="3041">
        <v>13.2</v>
      </c>
      <c r="G71" s="2488"/>
      <c r="H71" s="2752">
        <v>60</v>
      </c>
      <c r="I71" s="2752">
        <v>2</v>
      </c>
      <c r="J71" s="2488"/>
      <c r="K71" s="2614"/>
      <c r="L71" s="2488"/>
      <c r="M71" s="2614"/>
      <c r="N71" s="2479" t="str">
        <f t="shared" si="0"/>
        <v>DECADE, UT, Distribution, Unattended</v>
      </c>
    </row>
    <row r="72" spans="1:14" ht="15.75" customHeight="1" x14ac:dyDescent="0.2">
      <c r="A72" s="3003">
        <f t="shared" si="1"/>
        <v>40.392999999999084</v>
      </c>
      <c r="B72" s="2512" t="s">
        <v>11340</v>
      </c>
      <c r="C72" s="2489" t="s">
        <v>512</v>
      </c>
      <c r="D72" s="2489" t="s">
        <v>10937</v>
      </c>
      <c r="E72" s="3041">
        <v>138</v>
      </c>
      <c r="F72" s="3041">
        <v>12.47</v>
      </c>
      <c r="G72" s="2488"/>
      <c r="H72" s="2752">
        <v>55</v>
      </c>
      <c r="I72" s="2752">
        <v>2</v>
      </c>
      <c r="J72" s="2488"/>
      <c r="K72" s="2614"/>
      <c r="L72" s="2488"/>
      <c r="M72" s="2614"/>
      <c r="N72" s="2479" t="str">
        <f t="shared" si="0"/>
        <v>DECKER LAKE, UT, Distribution, Unattended</v>
      </c>
    </row>
    <row r="73" spans="1:14" ht="15.75" customHeight="1" x14ac:dyDescent="0.2">
      <c r="A73" s="3003">
        <f t="shared" si="1"/>
        <v>40.393999999999082</v>
      </c>
      <c r="B73" s="2512" t="s">
        <v>11341</v>
      </c>
      <c r="C73" s="2489" t="s">
        <v>512</v>
      </c>
      <c r="D73" s="2489" t="s">
        <v>10937</v>
      </c>
      <c r="E73" s="3041">
        <v>46</v>
      </c>
      <c r="F73" s="3041">
        <v>12.47</v>
      </c>
      <c r="G73" s="2488"/>
      <c r="H73" s="2752">
        <v>6</v>
      </c>
      <c r="I73" s="2752">
        <v>1</v>
      </c>
      <c r="J73" s="2488"/>
      <c r="K73" s="2614"/>
      <c r="L73" s="2488"/>
      <c r="M73" s="2614"/>
      <c r="N73" s="2479" t="str">
        <f t="shared" si="0"/>
        <v>DELLE, UT, Distribution, Unattended</v>
      </c>
    </row>
    <row r="74" spans="1:14" ht="15.75" customHeight="1" x14ac:dyDescent="0.2">
      <c r="A74" s="3003">
        <f t="shared" si="1"/>
        <v>40.394999999999079</v>
      </c>
      <c r="B74" s="2512" t="s">
        <v>11342</v>
      </c>
      <c r="C74" s="2489" t="s">
        <v>512</v>
      </c>
      <c r="D74" s="2489" t="s">
        <v>10937</v>
      </c>
      <c r="E74" s="3041">
        <v>69</v>
      </c>
      <c r="F74" s="3041">
        <v>46</v>
      </c>
      <c r="G74" s="3043">
        <v>13.2</v>
      </c>
      <c r="H74" s="2752">
        <v>48</v>
      </c>
      <c r="I74" s="2752">
        <v>3</v>
      </c>
      <c r="J74" s="2488"/>
      <c r="K74" s="2614"/>
      <c r="L74" s="2488"/>
      <c r="M74" s="2614"/>
      <c r="N74" s="2479" t="str">
        <f t="shared" ref="N74:N137" si="2">CONCATENATE(B74,", ",C74,", ",D74)</f>
        <v>DELTA, UT, Distribution, Unattended</v>
      </c>
    </row>
    <row r="75" spans="1:14" ht="15.75" customHeight="1" x14ac:dyDescent="0.2">
      <c r="A75" s="3003">
        <f t="shared" ref="A75:A138" si="3">A74+0.001</f>
        <v>40.395999999999077</v>
      </c>
      <c r="B75" s="2512" t="s">
        <v>11343</v>
      </c>
      <c r="C75" s="2489" t="s">
        <v>512</v>
      </c>
      <c r="D75" s="2489" t="s">
        <v>10937</v>
      </c>
      <c r="E75" s="3041">
        <v>46</v>
      </c>
      <c r="F75" s="3041">
        <v>12.47</v>
      </c>
      <c r="G75" s="2488"/>
      <c r="H75" s="2752">
        <v>14</v>
      </c>
      <c r="I75" s="2752">
        <v>1</v>
      </c>
      <c r="J75" s="2488"/>
      <c r="K75" s="2614"/>
      <c r="L75" s="2488"/>
      <c r="M75" s="2614"/>
      <c r="N75" s="2479" t="str">
        <f t="shared" si="2"/>
        <v>DEWEYVILLE, UT, Distribution, Unattended</v>
      </c>
    </row>
    <row r="76" spans="1:14" ht="15.75" customHeight="1" x14ac:dyDescent="0.2">
      <c r="A76" s="3003">
        <f t="shared" si="3"/>
        <v>40.396999999999075</v>
      </c>
      <c r="B76" s="2512" t="s">
        <v>11344</v>
      </c>
      <c r="C76" s="2489" t="s">
        <v>512</v>
      </c>
      <c r="D76" s="2489" t="s">
        <v>10937</v>
      </c>
      <c r="E76" s="3041">
        <v>138</v>
      </c>
      <c r="F76" s="3041">
        <v>12.47</v>
      </c>
      <c r="G76" s="2488"/>
      <c r="H76" s="2752">
        <v>60</v>
      </c>
      <c r="I76" s="2752">
        <v>2</v>
      </c>
      <c r="J76" s="2488"/>
      <c r="K76" s="2614"/>
      <c r="L76" s="2488"/>
      <c r="M76" s="2614"/>
      <c r="N76" s="2479" t="str">
        <f t="shared" si="2"/>
        <v>DIMPLE DELL, UT, Distribution, Unattended</v>
      </c>
    </row>
    <row r="77" spans="1:14" ht="15.75" customHeight="1" x14ac:dyDescent="0.2">
      <c r="A77" s="3003">
        <f t="shared" si="3"/>
        <v>40.397999999999072</v>
      </c>
      <c r="B77" s="2512" t="s">
        <v>11345</v>
      </c>
      <c r="C77" s="2489" t="s">
        <v>512</v>
      </c>
      <c r="D77" s="2489" t="s">
        <v>10937</v>
      </c>
      <c r="E77" s="3041">
        <v>138</v>
      </c>
      <c r="F77" s="3041">
        <v>13.2</v>
      </c>
      <c r="G77" s="2488"/>
      <c r="H77" s="2752">
        <v>60</v>
      </c>
      <c r="I77" s="2752">
        <v>2</v>
      </c>
      <c r="J77" s="2488"/>
      <c r="K77" s="2614"/>
      <c r="L77" s="2488"/>
      <c r="M77" s="2614"/>
      <c r="N77" s="2479" t="str">
        <f t="shared" si="2"/>
        <v>DRAPER, UT, Distribution, Unattended</v>
      </c>
    </row>
    <row r="78" spans="1:14" ht="15.75" customHeight="1" x14ac:dyDescent="0.2">
      <c r="A78" s="3003">
        <f t="shared" si="3"/>
        <v>40.39899999999907</v>
      </c>
      <c r="B78" s="2512" t="s">
        <v>10786</v>
      </c>
      <c r="C78" s="2489" t="s">
        <v>512</v>
      </c>
      <c r="D78" s="2489" t="s">
        <v>10937</v>
      </c>
      <c r="E78" s="3041">
        <v>138</v>
      </c>
      <c r="F78" s="3041">
        <v>12.47</v>
      </c>
      <c r="G78" s="2488"/>
      <c r="H78" s="2752">
        <v>60</v>
      </c>
      <c r="I78" s="2752">
        <v>2</v>
      </c>
      <c r="J78" s="2488"/>
      <c r="K78" s="2614"/>
      <c r="L78" s="2488"/>
      <c r="M78" s="2614"/>
      <c r="N78" s="2479" t="str">
        <f t="shared" si="2"/>
        <v>DUMAS, UT, Distribution, Unattended</v>
      </c>
    </row>
    <row r="79" spans="1:14" ht="15.75" customHeight="1" x14ac:dyDescent="0.2">
      <c r="A79" s="3003">
        <f t="shared" si="3"/>
        <v>40.399999999999068</v>
      </c>
      <c r="B79" s="2512" t="s">
        <v>11346</v>
      </c>
      <c r="C79" s="2489" t="s">
        <v>512</v>
      </c>
      <c r="D79" s="2489" t="s">
        <v>10937</v>
      </c>
      <c r="E79" s="3041">
        <v>138</v>
      </c>
      <c r="F79" s="3041">
        <v>12.47</v>
      </c>
      <c r="G79" s="2488"/>
      <c r="H79" s="2752">
        <v>30</v>
      </c>
      <c r="I79" s="2752">
        <v>1</v>
      </c>
      <c r="J79" s="2488"/>
      <c r="K79" s="2614"/>
      <c r="L79" s="2488"/>
      <c r="M79" s="2614"/>
      <c r="N79" s="2479" t="str">
        <f t="shared" si="2"/>
        <v>EAST BENCH, UT, Distribution, Unattended</v>
      </c>
    </row>
    <row r="80" spans="1:14" ht="15.75" customHeight="1" x14ac:dyDescent="0.2">
      <c r="A80" s="3003">
        <f t="shared" si="3"/>
        <v>40.400999999999065</v>
      </c>
      <c r="B80" s="2512" t="s">
        <v>11347</v>
      </c>
      <c r="C80" s="2489" t="s">
        <v>512</v>
      </c>
      <c r="D80" s="2489" t="s">
        <v>10937</v>
      </c>
      <c r="E80" s="3041">
        <v>46</v>
      </c>
      <c r="F80" s="3041">
        <v>12.47</v>
      </c>
      <c r="G80" s="2488"/>
      <c r="H80" s="2752">
        <v>6</v>
      </c>
      <c r="I80" s="2752">
        <v>1</v>
      </c>
      <c r="J80" s="2488"/>
      <c r="K80" s="2614"/>
      <c r="L80" s="2488"/>
      <c r="M80" s="2614"/>
      <c r="N80" s="2479" t="str">
        <f t="shared" si="2"/>
        <v>EAST HYRUM, UT, Distribution, Unattended</v>
      </c>
    </row>
    <row r="81" spans="1:14" ht="15.75" customHeight="1" x14ac:dyDescent="0.2">
      <c r="A81" s="3003">
        <f t="shared" si="3"/>
        <v>40.401999999999063</v>
      </c>
      <c r="B81" s="2512" t="s">
        <v>10793</v>
      </c>
      <c r="C81" s="2489" t="s">
        <v>512</v>
      </c>
      <c r="D81" s="2489" t="s">
        <v>10937</v>
      </c>
      <c r="E81" s="3041">
        <v>138</v>
      </c>
      <c r="F81" s="3041">
        <v>12.47</v>
      </c>
      <c r="G81" s="2488"/>
      <c r="H81" s="2752">
        <v>30</v>
      </c>
      <c r="I81" s="2752">
        <v>1</v>
      </c>
      <c r="J81" s="2488"/>
      <c r="K81" s="2614"/>
      <c r="L81" s="2488"/>
      <c r="M81" s="2614"/>
      <c r="N81" s="2479" t="str">
        <f t="shared" si="2"/>
        <v>EAST LAYTON, UT, Distribution, Unattended</v>
      </c>
    </row>
    <row r="82" spans="1:14" ht="15.75" customHeight="1" x14ac:dyDescent="0.2">
      <c r="A82" s="3003">
        <f t="shared" si="3"/>
        <v>40.402999999999061</v>
      </c>
      <c r="B82" s="2512" t="s">
        <v>11348</v>
      </c>
      <c r="C82" s="2489" t="s">
        <v>512</v>
      </c>
      <c r="D82" s="2489" t="s">
        <v>10937</v>
      </c>
      <c r="E82" s="3041">
        <v>46</v>
      </c>
      <c r="F82" s="3041">
        <v>12.47</v>
      </c>
      <c r="G82" s="2488"/>
      <c r="H82" s="2752">
        <v>20</v>
      </c>
      <c r="I82" s="2752">
        <v>1</v>
      </c>
      <c r="J82" s="2488"/>
      <c r="K82" s="2614"/>
      <c r="L82" s="2488"/>
      <c r="M82" s="2614"/>
      <c r="N82" s="2479" t="str">
        <f t="shared" si="2"/>
        <v>EAST MILLCREEK, UT, Distribution, Unattended</v>
      </c>
    </row>
    <row r="83" spans="1:14" ht="15.75" customHeight="1" x14ac:dyDescent="0.2">
      <c r="A83" s="3003">
        <f t="shared" si="3"/>
        <v>40.403999999999058</v>
      </c>
      <c r="B83" s="2512" t="s">
        <v>11349</v>
      </c>
      <c r="C83" s="2489" t="s">
        <v>512</v>
      </c>
      <c r="D83" s="2489" t="s">
        <v>10937</v>
      </c>
      <c r="E83" s="3041">
        <v>46</v>
      </c>
      <c r="F83" s="3041">
        <v>12.47</v>
      </c>
      <c r="G83" s="2488"/>
      <c r="H83" s="2752">
        <v>19</v>
      </c>
      <c r="I83" s="2752">
        <v>2</v>
      </c>
      <c r="J83" s="2488"/>
      <c r="K83" s="2614"/>
      <c r="L83" s="2488"/>
      <c r="M83" s="2614"/>
      <c r="N83" s="2479" t="str">
        <f t="shared" si="2"/>
        <v>EDEN, UT, Distribution, Unattended</v>
      </c>
    </row>
    <row r="84" spans="1:14" ht="15.75" customHeight="1" x14ac:dyDescent="0.2">
      <c r="A84" s="3003">
        <f t="shared" si="3"/>
        <v>40.404999999999056</v>
      </c>
      <c r="B84" s="2512" t="s">
        <v>11350</v>
      </c>
      <c r="C84" s="2489" t="s">
        <v>512</v>
      </c>
      <c r="D84" s="2489" t="s">
        <v>10937</v>
      </c>
      <c r="E84" s="3041">
        <v>46</v>
      </c>
      <c r="F84" s="3041">
        <v>12.47</v>
      </c>
      <c r="G84" s="2488"/>
      <c r="H84" s="2752">
        <v>5</v>
      </c>
      <c r="I84" s="2752">
        <v>1</v>
      </c>
      <c r="J84" s="2488"/>
      <c r="K84" s="2614"/>
      <c r="L84" s="2488"/>
      <c r="M84" s="2614"/>
      <c r="N84" s="2479" t="str">
        <f t="shared" si="2"/>
        <v>ELBERTA, UT, Distribution, Unattended</v>
      </c>
    </row>
    <row r="85" spans="1:14" ht="15.75" customHeight="1" x14ac:dyDescent="0.2">
      <c r="A85" s="3003">
        <f t="shared" si="3"/>
        <v>40.405999999999054</v>
      </c>
      <c r="B85" s="2512" t="s">
        <v>11351</v>
      </c>
      <c r="C85" s="2489" t="s">
        <v>512</v>
      </c>
      <c r="D85" s="2489" t="s">
        <v>10937</v>
      </c>
      <c r="E85" s="3041">
        <v>46</v>
      </c>
      <c r="F85" s="3041">
        <v>12.47</v>
      </c>
      <c r="G85" s="2488"/>
      <c r="H85" s="2752">
        <v>3</v>
      </c>
      <c r="I85" s="2752">
        <v>1</v>
      </c>
      <c r="J85" s="2488"/>
      <c r="K85" s="2614"/>
      <c r="L85" s="2488"/>
      <c r="M85" s="2614"/>
      <c r="N85" s="2479" t="str">
        <f t="shared" si="2"/>
        <v>ELK MEADOWS, UT, Distribution, Unattended</v>
      </c>
    </row>
    <row r="86" spans="1:14" ht="15.75" customHeight="1" x14ac:dyDescent="0.2">
      <c r="A86" s="3003">
        <f t="shared" si="3"/>
        <v>40.406999999999051</v>
      </c>
      <c r="B86" s="2512" t="s">
        <v>11352</v>
      </c>
      <c r="C86" s="2489" t="s">
        <v>512</v>
      </c>
      <c r="D86" s="2489" t="s">
        <v>10937</v>
      </c>
      <c r="E86" s="3041">
        <v>46</v>
      </c>
      <c r="F86" s="3041">
        <v>12.47</v>
      </c>
      <c r="G86" s="2488"/>
      <c r="H86" s="2752">
        <v>2</v>
      </c>
      <c r="I86" s="2752">
        <v>1</v>
      </c>
      <c r="J86" s="2488"/>
      <c r="K86" s="2614"/>
      <c r="L86" s="2488"/>
      <c r="M86" s="2614"/>
      <c r="N86" s="2479" t="str">
        <f t="shared" si="2"/>
        <v>ELSINORE, UT, Distribution, Unattended</v>
      </c>
    </row>
    <row r="87" spans="1:14" ht="15.75" customHeight="1" x14ac:dyDescent="0.2">
      <c r="A87" s="3003">
        <f t="shared" si="3"/>
        <v>40.407999999999049</v>
      </c>
      <c r="B87" s="2512" t="s">
        <v>11353</v>
      </c>
      <c r="C87" s="2489" t="s">
        <v>512</v>
      </c>
      <c r="D87" s="2489" t="s">
        <v>10937</v>
      </c>
      <c r="E87" s="3041">
        <v>69</v>
      </c>
      <c r="F87" s="3041">
        <v>12.47</v>
      </c>
      <c r="G87" s="2488"/>
      <c r="H87" s="2752">
        <v>3</v>
      </c>
      <c r="I87" s="2752">
        <v>3</v>
      </c>
      <c r="J87" s="2488"/>
      <c r="K87" s="2614"/>
      <c r="L87" s="2488"/>
      <c r="M87" s="2614"/>
      <c r="N87" s="2479" t="str">
        <f t="shared" si="2"/>
        <v>EMERY CITY, UT, Distribution, Unattended</v>
      </c>
    </row>
    <row r="88" spans="1:14" ht="15.75" customHeight="1" x14ac:dyDescent="0.2">
      <c r="A88" s="3003">
        <f t="shared" si="3"/>
        <v>40.408999999999047</v>
      </c>
      <c r="B88" s="2512" t="s">
        <v>11354</v>
      </c>
      <c r="C88" s="2489" t="s">
        <v>512</v>
      </c>
      <c r="D88" s="2489" t="s">
        <v>10937</v>
      </c>
      <c r="E88" s="3041">
        <v>46</v>
      </c>
      <c r="F88" s="3041">
        <v>12.47</v>
      </c>
      <c r="G88" s="2488"/>
      <c r="H88" s="2752">
        <v>25</v>
      </c>
      <c r="I88" s="2752">
        <v>1</v>
      </c>
      <c r="J88" s="2488"/>
      <c r="K88" s="2614"/>
      <c r="L88" s="2488"/>
      <c r="M88" s="2614"/>
      <c r="N88" s="2479" t="str">
        <f t="shared" si="2"/>
        <v>EMIGRATION, UT, Distribution, Unattended</v>
      </c>
    </row>
    <row r="89" spans="1:14" ht="15.75" customHeight="1" x14ac:dyDescent="0.2">
      <c r="A89" s="3003">
        <f t="shared" si="3"/>
        <v>40.409999999999044</v>
      </c>
      <c r="B89" s="2512" t="s">
        <v>11355</v>
      </c>
      <c r="C89" s="2489" t="s">
        <v>512</v>
      </c>
      <c r="D89" s="2489" t="s">
        <v>10937</v>
      </c>
      <c r="E89" s="3041">
        <v>138</v>
      </c>
      <c r="F89" s="3041">
        <v>12.47</v>
      </c>
      <c r="G89" s="2488"/>
      <c r="H89" s="2752">
        <v>14</v>
      </c>
      <c r="I89" s="2752">
        <v>1</v>
      </c>
      <c r="J89" s="2488"/>
      <c r="K89" s="2614"/>
      <c r="L89" s="2488"/>
      <c r="M89" s="2614"/>
      <c r="N89" s="2479" t="str">
        <f t="shared" si="2"/>
        <v>ENOCH, UT, Distribution, Unattended</v>
      </c>
    </row>
    <row r="90" spans="1:14" ht="15.75" customHeight="1" x14ac:dyDescent="0.2">
      <c r="A90" s="3003">
        <f t="shared" si="3"/>
        <v>40.410999999999042</v>
      </c>
      <c r="B90" s="2512" t="s">
        <v>11356</v>
      </c>
      <c r="C90" s="2489" t="s">
        <v>512</v>
      </c>
      <c r="D90" s="2489" t="s">
        <v>10937</v>
      </c>
      <c r="E90" s="3041">
        <v>138</v>
      </c>
      <c r="F90" s="3041">
        <v>12.47</v>
      </c>
      <c r="G90" s="2488"/>
      <c r="H90" s="2752">
        <v>14</v>
      </c>
      <c r="I90" s="2752">
        <v>1</v>
      </c>
      <c r="J90" s="2488"/>
      <c r="K90" s="2614"/>
      <c r="L90" s="2488"/>
      <c r="M90" s="2614"/>
      <c r="N90" s="2479" t="str">
        <f t="shared" si="2"/>
        <v>ENTERPRISE VALLEY, UT, Distribution, Unattended</v>
      </c>
    </row>
    <row r="91" spans="1:14" ht="15.75" customHeight="1" x14ac:dyDescent="0.2">
      <c r="A91" s="3003">
        <f t="shared" si="3"/>
        <v>40.41199999999904</v>
      </c>
      <c r="B91" s="2512" t="s">
        <v>11357</v>
      </c>
      <c r="C91" s="2489" t="s">
        <v>512</v>
      </c>
      <c r="D91" s="2489" t="s">
        <v>10937</v>
      </c>
      <c r="E91" s="3041">
        <v>46</v>
      </c>
      <c r="F91" s="3041">
        <v>12.47</v>
      </c>
      <c r="G91" s="2488"/>
      <c r="H91" s="2752">
        <v>3</v>
      </c>
      <c r="I91" s="2752">
        <v>1</v>
      </c>
      <c r="J91" s="2488"/>
      <c r="K91" s="2614"/>
      <c r="L91" s="2488"/>
      <c r="M91" s="2614"/>
      <c r="N91" s="2479" t="str">
        <f t="shared" si="2"/>
        <v>EUREKA, UT, Distribution, Unattended</v>
      </c>
    </row>
    <row r="92" spans="1:14" ht="15.75" customHeight="1" x14ac:dyDescent="0.2">
      <c r="A92" s="3003">
        <f t="shared" si="3"/>
        <v>40.412999999999037</v>
      </c>
      <c r="B92" s="2512" t="s">
        <v>11358</v>
      </c>
      <c r="C92" s="2489" t="s">
        <v>512</v>
      </c>
      <c r="D92" s="2489" t="s">
        <v>10937</v>
      </c>
      <c r="E92" s="3041">
        <v>138</v>
      </c>
      <c r="F92" s="3041">
        <v>13.2</v>
      </c>
      <c r="G92" s="2488"/>
      <c r="H92" s="2752">
        <v>60</v>
      </c>
      <c r="I92" s="2752">
        <v>2</v>
      </c>
      <c r="J92" s="2488"/>
      <c r="K92" s="2614"/>
      <c r="L92" s="2488"/>
      <c r="M92" s="2614"/>
      <c r="N92" s="2479" t="str">
        <f t="shared" si="2"/>
        <v>FARMINGTON, UT, Distribution, Unattended</v>
      </c>
    </row>
    <row r="93" spans="1:14" ht="15.75" customHeight="1" x14ac:dyDescent="0.2">
      <c r="A93" s="3003">
        <f t="shared" si="3"/>
        <v>40.413999999999035</v>
      </c>
      <c r="B93" s="2512" t="s">
        <v>11359</v>
      </c>
      <c r="C93" s="2489" t="s">
        <v>512</v>
      </c>
      <c r="D93" s="2489" t="s">
        <v>10937</v>
      </c>
      <c r="E93" s="3041">
        <v>46</v>
      </c>
      <c r="F93" s="3041">
        <v>12.47</v>
      </c>
      <c r="G93" s="2488"/>
      <c r="H93" s="2752">
        <v>1</v>
      </c>
      <c r="I93" s="2752">
        <v>2</v>
      </c>
      <c r="J93" s="2488"/>
      <c r="K93" s="2614"/>
      <c r="L93" s="2488"/>
      <c r="M93" s="2614"/>
      <c r="N93" s="2479" t="str">
        <f t="shared" si="2"/>
        <v>FAYETTE, UT, Distribution, Unattended</v>
      </c>
    </row>
    <row r="94" spans="1:14" ht="15.75" customHeight="1" x14ac:dyDescent="0.2">
      <c r="A94" s="3003">
        <f t="shared" si="3"/>
        <v>40.414999999999033</v>
      </c>
      <c r="B94" s="2512" t="s">
        <v>11360</v>
      </c>
      <c r="C94" s="2489" t="s">
        <v>512</v>
      </c>
      <c r="D94" s="2489" t="s">
        <v>10937</v>
      </c>
      <c r="E94" s="3041">
        <v>69</v>
      </c>
      <c r="F94" s="3041">
        <v>12.47</v>
      </c>
      <c r="G94" s="2488"/>
      <c r="H94" s="2752">
        <v>5</v>
      </c>
      <c r="I94" s="2752">
        <v>1</v>
      </c>
      <c r="J94" s="2488"/>
      <c r="K94" s="2614"/>
      <c r="L94" s="2488"/>
      <c r="M94" s="2614"/>
      <c r="N94" s="2479" t="str">
        <f t="shared" si="2"/>
        <v>FERRON, UT, Distribution, Unattended</v>
      </c>
    </row>
    <row r="95" spans="1:14" ht="15.75" customHeight="1" x14ac:dyDescent="0.2">
      <c r="A95" s="3003">
        <f t="shared" si="3"/>
        <v>40.41599999999903</v>
      </c>
      <c r="B95" s="2512" t="s">
        <v>11361</v>
      </c>
      <c r="C95" s="2489" t="s">
        <v>512</v>
      </c>
      <c r="D95" s="2489" t="s">
        <v>10937</v>
      </c>
      <c r="E95" s="3041">
        <v>46</v>
      </c>
      <c r="F95" s="3041">
        <v>12.47</v>
      </c>
      <c r="G95" s="2488"/>
      <c r="H95" s="2752">
        <v>6</v>
      </c>
      <c r="I95" s="2752">
        <v>1</v>
      </c>
      <c r="J95" s="2488"/>
      <c r="K95" s="2614"/>
      <c r="L95" s="2488"/>
      <c r="M95" s="2614"/>
      <c r="N95" s="2479" t="str">
        <f t="shared" si="2"/>
        <v>FIELDING, UT, Distribution, Unattended</v>
      </c>
    </row>
    <row r="96" spans="1:14" ht="15.75" customHeight="1" x14ac:dyDescent="0.2">
      <c r="A96" s="3003">
        <f t="shared" si="3"/>
        <v>40.416999999999028</v>
      </c>
      <c r="B96" s="2512" t="s">
        <v>11362</v>
      </c>
      <c r="C96" s="2489" t="s">
        <v>512</v>
      </c>
      <c r="D96" s="2489" t="s">
        <v>10937</v>
      </c>
      <c r="E96" s="3041">
        <v>138</v>
      </c>
      <c r="F96" s="3041">
        <v>13.2</v>
      </c>
      <c r="G96" s="2488"/>
      <c r="H96" s="2752">
        <v>60</v>
      </c>
      <c r="I96" s="2752">
        <v>2</v>
      </c>
      <c r="J96" s="2488"/>
      <c r="K96" s="2614"/>
      <c r="L96" s="2488"/>
      <c r="M96" s="2614"/>
      <c r="N96" s="2479" t="str">
        <f t="shared" si="2"/>
        <v>FIFTH WEST, UT, Distribution, Unattended</v>
      </c>
    </row>
    <row r="97" spans="1:14" ht="15.75" customHeight="1" x14ac:dyDescent="0.2">
      <c r="A97" s="3003">
        <f t="shared" si="3"/>
        <v>40.417999999999026</v>
      </c>
      <c r="B97" s="2512" t="s">
        <v>11363</v>
      </c>
      <c r="C97" s="2489" t="s">
        <v>512</v>
      </c>
      <c r="D97" s="2489" t="s">
        <v>10937</v>
      </c>
      <c r="E97" s="3041">
        <v>46</v>
      </c>
      <c r="F97" s="3041">
        <v>12.47</v>
      </c>
      <c r="G97" s="2488"/>
      <c r="H97" s="2752">
        <v>4</v>
      </c>
      <c r="I97" s="2752">
        <v>1</v>
      </c>
      <c r="J97" s="2488"/>
      <c r="K97" s="2614"/>
      <c r="L97" s="2488"/>
      <c r="M97" s="2614"/>
      <c r="N97" s="2479" t="str">
        <f t="shared" si="2"/>
        <v>FLUX, UT, Distribution, Unattended</v>
      </c>
    </row>
    <row r="98" spans="1:14" ht="15.75" customHeight="1" x14ac:dyDescent="0.2">
      <c r="A98" s="3003">
        <f t="shared" si="3"/>
        <v>40.418999999999023</v>
      </c>
      <c r="B98" s="2512" t="s">
        <v>11364</v>
      </c>
      <c r="C98" s="2489" t="s">
        <v>512</v>
      </c>
      <c r="D98" s="2489" t="s">
        <v>10937</v>
      </c>
      <c r="E98" s="3041">
        <v>46</v>
      </c>
      <c r="F98" s="3041">
        <v>12.47</v>
      </c>
      <c r="G98" s="2488"/>
      <c r="H98" s="2752">
        <v>4</v>
      </c>
      <c r="I98" s="2752">
        <v>1</v>
      </c>
      <c r="J98" s="2488"/>
      <c r="K98" s="2614"/>
      <c r="L98" s="2488"/>
      <c r="M98" s="2614"/>
      <c r="N98" s="2479" t="str">
        <f t="shared" si="2"/>
        <v>FOOL CREEK, UT, Distribution, Unattended</v>
      </c>
    </row>
    <row r="99" spans="1:14" ht="15.75" customHeight="1" x14ac:dyDescent="0.2">
      <c r="A99" s="3003">
        <f t="shared" si="3"/>
        <v>40.419999999999021</v>
      </c>
      <c r="B99" s="2512" t="s">
        <v>10800</v>
      </c>
      <c r="C99" s="2489" t="s">
        <v>512</v>
      </c>
      <c r="D99" s="2489" t="s">
        <v>10937</v>
      </c>
      <c r="E99" s="3041">
        <v>138</v>
      </c>
      <c r="F99" s="3041">
        <v>13.2</v>
      </c>
      <c r="G99" s="2488"/>
      <c r="H99" s="2752">
        <v>40</v>
      </c>
      <c r="I99" s="2752">
        <v>1</v>
      </c>
      <c r="J99" s="2488"/>
      <c r="K99" s="2614"/>
      <c r="L99" s="2488"/>
      <c r="M99" s="2614"/>
      <c r="N99" s="2479" t="str">
        <f t="shared" si="2"/>
        <v>FORT DOUGLAS, UT, Distribution, Unattended</v>
      </c>
    </row>
    <row r="100" spans="1:14" ht="15.75" customHeight="1" x14ac:dyDescent="0.2">
      <c r="A100" s="3003">
        <f t="shared" si="3"/>
        <v>40.420999999999019</v>
      </c>
      <c r="B100" s="2512" t="s">
        <v>11365</v>
      </c>
      <c r="C100" s="2489" t="s">
        <v>512</v>
      </c>
      <c r="D100" s="2489" t="s">
        <v>10937</v>
      </c>
      <c r="E100" s="3041">
        <v>46</v>
      </c>
      <c r="F100" s="3041">
        <v>12.47</v>
      </c>
      <c r="G100" s="2488"/>
      <c r="H100" s="2752">
        <v>7</v>
      </c>
      <c r="I100" s="2752">
        <v>1</v>
      </c>
      <c r="J100" s="2488"/>
      <c r="K100" s="2614"/>
      <c r="L100" s="2488"/>
      <c r="M100" s="2614"/>
      <c r="N100" s="2479" t="str">
        <f t="shared" si="2"/>
        <v>FOUNTAIN GREEN, UT, Distribution, Unattended</v>
      </c>
    </row>
    <row r="101" spans="1:14" ht="15.75" customHeight="1" x14ac:dyDescent="0.2">
      <c r="A101" s="3003">
        <f t="shared" si="3"/>
        <v>40.421999999999016</v>
      </c>
      <c r="B101" s="2512" t="s">
        <v>11366</v>
      </c>
      <c r="C101" s="2489" t="s">
        <v>512</v>
      </c>
      <c r="D101" s="2489" t="s">
        <v>10937</v>
      </c>
      <c r="E101" s="3041">
        <v>46</v>
      </c>
      <c r="F101" s="3041">
        <v>7.2</v>
      </c>
      <c r="G101" s="2488"/>
      <c r="H101" s="2752">
        <v>0</v>
      </c>
      <c r="I101" s="2752">
        <v>1</v>
      </c>
      <c r="J101" s="2488"/>
      <c r="K101" s="2614"/>
      <c r="L101" s="2488"/>
      <c r="M101" s="2614"/>
      <c r="N101" s="2479" t="str">
        <f t="shared" si="2"/>
        <v>FREEDOM, UT, Distribution, Unattended</v>
      </c>
    </row>
    <row r="102" spans="1:14" ht="15.75" customHeight="1" x14ac:dyDescent="0.2">
      <c r="A102" s="3003">
        <f t="shared" si="3"/>
        <v>40.422999999999014</v>
      </c>
      <c r="B102" s="2512" t="s">
        <v>11367</v>
      </c>
      <c r="C102" s="2489" t="s">
        <v>512</v>
      </c>
      <c r="D102" s="2489" t="s">
        <v>10937</v>
      </c>
      <c r="E102" s="3041">
        <v>46</v>
      </c>
      <c r="F102" s="3041">
        <v>12.47</v>
      </c>
      <c r="G102" s="2488"/>
      <c r="H102" s="2752">
        <v>22</v>
      </c>
      <c r="I102" s="2752">
        <v>1</v>
      </c>
      <c r="J102" s="2488"/>
      <c r="K102" s="2614"/>
      <c r="L102" s="2488"/>
      <c r="M102" s="2614"/>
      <c r="N102" s="2479" t="str">
        <f t="shared" si="2"/>
        <v>FRUIT HEIGHTS, UT, Distribution, Unattended</v>
      </c>
    </row>
    <row r="103" spans="1:14" ht="15.75" customHeight="1" x14ac:dyDescent="0.2">
      <c r="A103" s="3003">
        <f t="shared" si="3"/>
        <v>40.423999999999012</v>
      </c>
      <c r="B103" s="2512" t="s">
        <v>11368</v>
      </c>
      <c r="C103" s="2489" t="s">
        <v>512</v>
      </c>
      <c r="D103" s="2489" t="s">
        <v>10937</v>
      </c>
      <c r="E103" s="3041">
        <v>69</v>
      </c>
      <c r="F103" s="3041">
        <v>12.47</v>
      </c>
      <c r="G103" s="2488"/>
      <c r="H103" s="2752">
        <v>13</v>
      </c>
      <c r="I103" s="2752">
        <v>1</v>
      </c>
      <c r="J103" s="2488"/>
      <c r="K103" s="2614"/>
      <c r="L103" s="2488"/>
      <c r="M103" s="2614"/>
      <c r="N103" s="2479" t="str">
        <f t="shared" si="2"/>
        <v>GARDEN CITY, UT, Distribution, Unattended</v>
      </c>
    </row>
    <row r="104" spans="1:14" ht="15.75" customHeight="1" x14ac:dyDescent="0.2">
      <c r="A104" s="3003">
        <f t="shared" si="3"/>
        <v>40.42499999999901</v>
      </c>
      <c r="B104" s="2512" t="s">
        <v>11369</v>
      </c>
      <c r="C104" s="2489" t="s">
        <v>512</v>
      </c>
      <c r="D104" s="2489" t="s">
        <v>10937</v>
      </c>
      <c r="E104" s="3041">
        <v>69</v>
      </c>
      <c r="F104" s="3041">
        <v>12.47</v>
      </c>
      <c r="G104" s="2488"/>
      <c r="H104" s="2752">
        <v>14</v>
      </c>
      <c r="I104" s="2752">
        <v>1</v>
      </c>
      <c r="J104" s="2750">
        <v>2</v>
      </c>
      <c r="K104" s="2614"/>
      <c r="L104" s="2488"/>
      <c r="M104" s="2614"/>
      <c r="N104" s="2479" t="str">
        <f t="shared" si="2"/>
        <v>GATEWAY, UT, Distribution, Unattended</v>
      </c>
    </row>
    <row r="105" spans="1:14" ht="15" customHeight="1" x14ac:dyDescent="0.2">
      <c r="A105" s="3003">
        <f t="shared" si="3"/>
        <v>40.425999999999007</v>
      </c>
      <c r="B105" s="2512" t="s">
        <v>11370</v>
      </c>
      <c r="C105" s="2489" t="s">
        <v>512</v>
      </c>
      <c r="D105" s="2489" t="s">
        <v>10937</v>
      </c>
      <c r="E105" s="3041">
        <v>138</v>
      </c>
      <c r="F105" s="3041">
        <v>13.2</v>
      </c>
      <c r="G105" s="2488"/>
      <c r="H105" s="2752">
        <v>30</v>
      </c>
      <c r="I105" s="2752">
        <v>1</v>
      </c>
      <c r="J105" s="2488"/>
      <c r="K105" s="2614"/>
      <c r="L105" s="2488"/>
      <c r="M105" s="2614"/>
      <c r="N105" s="2479" t="str">
        <f t="shared" si="2"/>
        <v>GOLD RUSH, UT, Distribution, Unattended</v>
      </c>
    </row>
    <row r="106" spans="1:14" ht="15" customHeight="1" x14ac:dyDescent="0.2">
      <c r="A106" s="3003">
        <f t="shared" si="3"/>
        <v>40.426999999999005</v>
      </c>
      <c r="B106" s="2512" t="s">
        <v>11371</v>
      </c>
      <c r="C106" s="2489" t="s">
        <v>512</v>
      </c>
      <c r="D106" s="2489" t="s">
        <v>10937</v>
      </c>
      <c r="E106" s="3041">
        <v>138</v>
      </c>
      <c r="F106" s="3041">
        <v>12.47</v>
      </c>
      <c r="G106" s="2488"/>
      <c r="H106" s="2752">
        <v>30</v>
      </c>
      <c r="I106" s="2752">
        <v>1</v>
      </c>
      <c r="J106" s="2488"/>
      <c r="K106" s="2614"/>
      <c r="L106" s="2488"/>
      <c r="M106" s="2614"/>
      <c r="N106" s="2479" t="str">
        <f t="shared" si="2"/>
        <v>GORDON AVENUE, UT, Distribution, Unattended</v>
      </c>
    </row>
    <row r="107" spans="1:14" ht="15" customHeight="1" x14ac:dyDescent="0.2">
      <c r="A107" s="3003">
        <f t="shared" si="3"/>
        <v>40.427999999999003</v>
      </c>
      <c r="B107" s="2512" t="s">
        <v>11372</v>
      </c>
      <c r="C107" s="2489" t="s">
        <v>512</v>
      </c>
      <c r="D107" s="2489" t="s">
        <v>10937</v>
      </c>
      <c r="E107" s="3041">
        <v>46</v>
      </c>
      <c r="F107" s="3041">
        <v>12.47</v>
      </c>
      <c r="G107" s="2488"/>
      <c r="H107" s="2752">
        <v>7</v>
      </c>
      <c r="I107" s="2752">
        <v>1</v>
      </c>
      <c r="J107" s="2488"/>
      <c r="K107" s="2614"/>
      <c r="L107" s="2488"/>
      <c r="M107" s="2614"/>
      <c r="N107" s="2479" t="str">
        <f t="shared" si="2"/>
        <v>GOSHEN UTAH, UT, Distribution, Unattended</v>
      </c>
    </row>
    <row r="108" spans="1:14" ht="15" customHeight="1" x14ac:dyDescent="0.2">
      <c r="A108" s="3003">
        <f t="shared" si="3"/>
        <v>40.428999999999</v>
      </c>
      <c r="B108" s="2512" t="s">
        <v>11373</v>
      </c>
      <c r="C108" s="2489" t="s">
        <v>512</v>
      </c>
      <c r="D108" s="2489" t="s">
        <v>10937</v>
      </c>
      <c r="E108" s="3041">
        <v>46</v>
      </c>
      <c r="F108" s="3041">
        <v>12.47</v>
      </c>
      <c r="G108" s="2488"/>
      <c r="H108" s="2752">
        <v>50</v>
      </c>
      <c r="I108" s="2752">
        <v>2</v>
      </c>
      <c r="J108" s="2488"/>
      <c r="K108" s="2614"/>
      <c r="L108" s="2488"/>
      <c r="M108" s="2614"/>
      <c r="N108" s="2479" t="str">
        <f t="shared" si="2"/>
        <v>GRANGER, UT, Distribution, Unattended</v>
      </c>
    </row>
    <row r="109" spans="1:14" ht="15" customHeight="1" x14ac:dyDescent="0.2">
      <c r="A109" s="3003">
        <f t="shared" si="3"/>
        <v>40.429999999998998</v>
      </c>
      <c r="B109" s="2512" t="s">
        <v>11374</v>
      </c>
      <c r="C109" s="2489" t="s">
        <v>512</v>
      </c>
      <c r="D109" s="2489" t="s">
        <v>10937</v>
      </c>
      <c r="E109" s="3041">
        <v>46</v>
      </c>
      <c r="F109" s="3041">
        <v>12.47</v>
      </c>
      <c r="G109" s="2488"/>
      <c r="H109" s="2752">
        <v>24</v>
      </c>
      <c r="I109" s="2752">
        <v>1</v>
      </c>
      <c r="J109" s="2488"/>
      <c r="K109" s="2614"/>
      <c r="L109" s="2488"/>
      <c r="M109" s="2614"/>
      <c r="N109" s="2479" t="str">
        <f t="shared" si="2"/>
        <v>GRANTSVILLE, UT, Distribution, Unattended</v>
      </c>
    </row>
    <row r="110" spans="1:14" ht="15" customHeight="1" x14ac:dyDescent="0.2">
      <c r="A110" s="3003">
        <f t="shared" si="3"/>
        <v>40.430999999998996</v>
      </c>
      <c r="B110" s="2512" t="s">
        <v>11375</v>
      </c>
      <c r="C110" s="2489" t="s">
        <v>512</v>
      </c>
      <c r="D110" s="2489" t="s">
        <v>10937</v>
      </c>
      <c r="E110" s="3041">
        <v>46</v>
      </c>
      <c r="F110" s="3041">
        <v>12.47</v>
      </c>
      <c r="G110" s="2488"/>
      <c r="H110" s="2752">
        <v>3</v>
      </c>
      <c r="I110" s="2752">
        <v>1</v>
      </c>
      <c r="J110" s="2488"/>
      <c r="K110" s="2614"/>
      <c r="L110" s="2488"/>
      <c r="M110" s="2614"/>
      <c r="N110" s="2479" t="str">
        <f t="shared" si="2"/>
        <v>GRAVEL PIT, UT, Distribution, Unattended</v>
      </c>
    </row>
    <row r="111" spans="1:14" ht="15" customHeight="1" x14ac:dyDescent="0.2">
      <c r="A111" s="3003">
        <f t="shared" si="3"/>
        <v>40.431999999998993</v>
      </c>
      <c r="B111" s="2512" t="s">
        <v>11376</v>
      </c>
      <c r="C111" s="2489" t="s">
        <v>512</v>
      </c>
      <c r="D111" s="2489" t="s">
        <v>10937</v>
      </c>
      <c r="E111" s="3041">
        <v>138</v>
      </c>
      <c r="F111" s="3041">
        <v>12.47</v>
      </c>
      <c r="G111" s="2488"/>
      <c r="H111" s="2752">
        <v>78</v>
      </c>
      <c r="I111" s="2752">
        <v>3</v>
      </c>
      <c r="J111" s="2488"/>
      <c r="K111" s="2614"/>
      <c r="L111" s="2488"/>
      <c r="M111" s="2614"/>
      <c r="N111" s="2479" t="str">
        <f t="shared" si="2"/>
        <v>GROW, UT, Distribution, Unattended</v>
      </c>
    </row>
    <row r="112" spans="1:14" ht="15" customHeight="1" x14ac:dyDescent="0.2">
      <c r="A112" s="3003">
        <f t="shared" si="3"/>
        <v>40.432999999998991</v>
      </c>
      <c r="B112" s="2512" t="s">
        <v>11377</v>
      </c>
      <c r="C112" s="2489" t="s">
        <v>512</v>
      </c>
      <c r="D112" s="2489" t="s">
        <v>10937</v>
      </c>
      <c r="E112" s="3041">
        <v>46</v>
      </c>
      <c r="F112" s="3041">
        <v>12.47</v>
      </c>
      <c r="G112" s="2488"/>
      <c r="H112" s="2752">
        <v>20</v>
      </c>
      <c r="I112" s="2752">
        <v>1</v>
      </c>
      <c r="J112" s="2488"/>
      <c r="K112" s="2614"/>
      <c r="L112" s="2488"/>
      <c r="M112" s="2614"/>
      <c r="N112" s="2479" t="str">
        <f t="shared" si="2"/>
        <v>GUNNISON, UT, Distribution, Unattended</v>
      </c>
    </row>
    <row r="113" spans="1:14" ht="15" customHeight="1" x14ac:dyDescent="0.2">
      <c r="A113" s="3003">
        <f t="shared" si="3"/>
        <v>40.433999999998989</v>
      </c>
      <c r="B113" s="2512" t="s">
        <v>10779</v>
      </c>
      <c r="C113" s="2489" t="s">
        <v>512</v>
      </c>
      <c r="D113" s="2489" t="s">
        <v>10937</v>
      </c>
      <c r="E113" s="3041">
        <v>138</v>
      </c>
      <c r="F113" s="3041">
        <v>12.47</v>
      </c>
      <c r="G113" s="2488"/>
      <c r="H113" s="2752">
        <v>60</v>
      </c>
      <c r="I113" s="2752">
        <v>2</v>
      </c>
      <c r="J113" s="2488"/>
      <c r="K113" s="2614"/>
      <c r="L113" s="2488"/>
      <c r="M113" s="2614"/>
      <c r="N113" s="2479" t="str">
        <f t="shared" si="2"/>
        <v>HAMMER, UT, Distribution, Unattended</v>
      </c>
    </row>
    <row r="114" spans="1:14" ht="15" customHeight="1" x14ac:dyDescent="0.2">
      <c r="A114" s="3003">
        <f t="shared" si="3"/>
        <v>40.434999999998986</v>
      </c>
      <c r="B114" s="2512" t="s">
        <v>11378</v>
      </c>
      <c r="C114" s="2489" t="s">
        <v>512</v>
      </c>
      <c r="D114" s="2489" t="s">
        <v>10937</v>
      </c>
      <c r="E114" s="3041">
        <v>69</v>
      </c>
      <c r="F114" s="3041">
        <v>12.47</v>
      </c>
      <c r="G114" s="2488"/>
      <c r="H114" s="2752">
        <v>3</v>
      </c>
      <c r="I114" s="2752">
        <v>1</v>
      </c>
      <c r="J114" s="2488"/>
      <c r="K114" s="2614"/>
      <c r="L114" s="2488"/>
      <c r="M114" s="2614"/>
      <c r="N114" s="2479" t="str">
        <f t="shared" si="2"/>
        <v>HAVASU, UT, Distribution, Unattended</v>
      </c>
    </row>
    <row r="115" spans="1:14" ht="15" customHeight="1" x14ac:dyDescent="0.2">
      <c r="A115" s="3003">
        <f t="shared" si="3"/>
        <v>40.435999999998984</v>
      </c>
      <c r="B115" s="2512" t="s">
        <v>11379</v>
      </c>
      <c r="C115" s="2489" t="s">
        <v>512</v>
      </c>
      <c r="D115" s="2489" t="s">
        <v>10937</v>
      </c>
      <c r="E115" s="3041">
        <v>46</v>
      </c>
      <c r="F115" s="3041">
        <v>4.16</v>
      </c>
      <c r="G115" s="2488"/>
      <c r="H115" s="2752">
        <v>3</v>
      </c>
      <c r="I115" s="2752">
        <v>3</v>
      </c>
      <c r="J115" s="2488"/>
      <c r="K115" s="2614"/>
      <c r="L115" s="2488"/>
      <c r="M115" s="2614"/>
      <c r="N115" s="2479" t="str">
        <f t="shared" si="2"/>
        <v>HELPER CITY, UT, Distribution, Unattended</v>
      </c>
    </row>
    <row r="116" spans="1:14" ht="15" customHeight="1" x14ac:dyDescent="0.2">
      <c r="A116" s="3003">
        <f t="shared" si="3"/>
        <v>40.436999999998982</v>
      </c>
      <c r="B116" s="2512" t="s">
        <v>11380</v>
      </c>
      <c r="C116" s="2489" t="s">
        <v>512</v>
      </c>
      <c r="D116" s="2489" t="s">
        <v>10937</v>
      </c>
      <c r="E116" s="3041">
        <v>138</v>
      </c>
      <c r="F116" s="3041">
        <v>13.2</v>
      </c>
      <c r="G116" s="2488"/>
      <c r="H116" s="2752">
        <v>60</v>
      </c>
      <c r="I116" s="2752">
        <v>2</v>
      </c>
      <c r="J116" s="2488"/>
      <c r="K116" s="2614"/>
      <c r="L116" s="2488"/>
      <c r="M116" s="2614"/>
      <c r="N116" s="2479" t="str">
        <f t="shared" si="2"/>
        <v>HERRIMAN, UT, Distribution, Unattended</v>
      </c>
    </row>
    <row r="117" spans="1:14" ht="15" customHeight="1" x14ac:dyDescent="0.2">
      <c r="A117" s="3003">
        <f t="shared" si="3"/>
        <v>40.437999999998979</v>
      </c>
      <c r="B117" s="2512" t="s">
        <v>10813</v>
      </c>
      <c r="C117" s="2489" t="s">
        <v>512</v>
      </c>
      <c r="D117" s="2489" t="s">
        <v>10937</v>
      </c>
      <c r="E117" s="3041">
        <v>138</v>
      </c>
      <c r="F117" s="3041">
        <v>46</v>
      </c>
      <c r="G117" s="3043">
        <v>12.47</v>
      </c>
      <c r="H117" s="2752">
        <v>97</v>
      </c>
      <c r="I117" s="2752">
        <v>2</v>
      </c>
      <c r="J117" s="2488"/>
      <c r="K117" s="2614"/>
      <c r="L117" s="2488"/>
      <c r="M117" s="2614"/>
      <c r="N117" s="2479" t="str">
        <f t="shared" si="2"/>
        <v>HIGHLAND, UT, Distribution, Unattended</v>
      </c>
    </row>
    <row r="118" spans="1:14" ht="15" customHeight="1" x14ac:dyDescent="0.2">
      <c r="A118" s="3003">
        <f t="shared" si="3"/>
        <v>40.438999999998977</v>
      </c>
      <c r="B118" s="2512" t="s">
        <v>11381</v>
      </c>
      <c r="C118" s="2489" t="s">
        <v>512</v>
      </c>
      <c r="D118" s="2489" t="s">
        <v>10937</v>
      </c>
      <c r="E118" s="3041">
        <v>46</v>
      </c>
      <c r="F118" s="3041">
        <v>12.47</v>
      </c>
      <c r="G118" s="2488"/>
      <c r="H118" s="2752">
        <v>25</v>
      </c>
      <c r="I118" s="2752">
        <v>1</v>
      </c>
      <c r="J118" s="2488"/>
      <c r="K118" s="2614"/>
      <c r="L118" s="2488"/>
      <c r="M118" s="2614"/>
      <c r="N118" s="2479" t="str">
        <f t="shared" si="2"/>
        <v>HIGHLAND DISTRIBUTION, UT, Distribution, Unattended</v>
      </c>
    </row>
    <row r="119" spans="1:14" ht="15" customHeight="1" x14ac:dyDescent="0.2">
      <c r="A119" s="3003">
        <f t="shared" si="3"/>
        <v>40.439999999998975</v>
      </c>
      <c r="B119" s="2512" t="s">
        <v>11382</v>
      </c>
      <c r="C119" s="2489" t="s">
        <v>512</v>
      </c>
      <c r="D119" s="2489" t="s">
        <v>10937</v>
      </c>
      <c r="E119" s="3041">
        <v>138</v>
      </c>
      <c r="F119" s="3041">
        <v>12.47</v>
      </c>
      <c r="G119" s="2488"/>
      <c r="H119" s="2752">
        <v>50</v>
      </c>
      <c r="I119" s="2752">
        <v>2</v>
      </c>
      <c r="J119" s="2488"/>
      <c r="K119" s="2614"/>
      <c r="L119" s="2488"/>
      <c r="M119" s="2614"/>
      <c r="N119" s="2479" t="str">
        <f t="shared" si="2"/>
        <v>HOGGARD, UT, Distribution, Unattended</v>
      </c>
    </row>
    <row r="120" spans="1:14" ht="15" customHeight="1" x14ac:dyDescent="0.2">
      <c r="A120" s="3003">
        <f t="shared" si="3"/>
        <v>40.440999999998972</v>
      </c>
      <c r="B120" s="2512" t="s">
        <v>11383</v>
      </c>
      <c r="C120" s="2489" t="s">
        <v>512</v>
      </c>
      <c r="D120" s="2489" t="s">
        <v>10937</v>
      </c>
      <c r="E120" s="3041">
        <v>46</v>
      </c>
      <c r="F120" s="3041">
        <v>12.47</v>
      </c>
      <c r="G120" s="2488"/>
      <c r="H120" s="2752">
        <v>4</v>
      </c>
      <c r="I120" s="2752">
        <v>1</v>
      </c>
      <c r="J120" s="2488"/>
      <c r="K120" s="2614"/>
      <c r="L120" s="2488"/>
      <c r="M120" s="2614"/>
      <c r="N120" s="2479" t="str">
        <f t="shared" si="2"/>
        <v>HOLDEN, UT, Distribution, Unattended</v>
      </c>
    </row>
    <row r="121" spans="1:14" ht="15" customHeight="1" x14ac:dyDescent="0.2">
      <c r="A121" s="3003">
        <f t="shared" si="3"/>
        <v>40.44199999999897</v>
      </c>
      <c r="B121" s="2512" t="s">
        <v>11384</v>
      </c>
      <c r="C121" s="2489" t="s">
        <v>512</v>
      </c>
      <c r="D121" s="2489" t="s">
        <v>10937</v>
      </c>
      <c r="E121" s="3041">
        <v>46</v>
      </c>
      <c r="F121" s="3041">
        <v>12.47</v>
      </c>
      <c r="G121" s="2488"/>
      <c r="H121" s="2752">
        <v>32</v>
      </c>
      <c r="I121" s="2752">
        <v>2</v>
      </c>
      <c r="J121" s="2488"/>
      <c r="K121" s="2614"/>
      <c r="L121" s="2488"/>
      <c r="M121" s="2614"/>
      <c r="N121" s="2479" t="str">
        <f t="shared" si="2"/>
        <v>HOLLADAY, UT, Distribution, Unattended</v>
      </c>
    </row>
    <row r="122" spans="1:14" ht="15" customHeight="1" x14ac:dyDescent="0.2">
      <c r="A122" s="3003">
        <f t="shared" si="3"/>
        <v>40.442999999998968</v>
      </c>
      <c r="B122" s="2512" t="s">
        <v>10749</v>
      </c>
      <c r="C122" s="2489" t="s">
        <v>512</v>
      </c>
      <c r="D122" s="2489" t="s">
        <v>10937</v>
      </c>
      <c r="E122" s="3041">
        <v>138</v>
      </c>
      <c r="F122" s="3041">
        <v>46</v>
      </c>
      <c r="G122" s="3043">
        <v>6.6</v>
      </c>
      <c r="H122" s="2752">
        <v>35</v>
      </c>
      <c r="I122" s="2752">
        <v>1</v>
      </c>
      <c r="J122" s="2488"/>
      <c r="K122" s="2614"/>
      <c r="L122" s="2488"/>
      <c r="M122" s="2614"/>
      <c r="N122" s="2479" t="str">
        <f t="shared" si="2"/>
        <v>HONEYVILLE, UT, Distribution, Unattended</v>
      </c>
    </row>
    <row r="123" spans="1:14" ht="15" customHeight="1" x14ac:dyDescent="0.2">
      <c r="A123" s="3003">
        <f t="shared" si="3"/>
        <v>40.443999999998965</v>
      </c>
      <c r="B123" s="2512" t="s">
        <v>11385</v>
      </c>
      <c r="C123" s="2489" t="s">
        <v>512</v>
      </c>
      <c r="D123" s="2489" t="s">
        <v>10937</v>
      </c>
      <c r="E123" s="3041">
        <v>46</v>
      </c>
      <c r="F123" s="3041">
        <v>12.47</v>
      </c>
      <c r="G123" s="2488"/>
      <c r="H123" s="2752">
        <v>22</v>
      </c>
      <c r="I123" s="2752">
        <v>1</v>
      </c>
      <c r="J123" s="2488"/>
      <c r="K123" s="2614"/>
      <c r="L123" s="2488"/>
      <c r="M123" s="2614"/>
      <c r="N123" s="2479" t="str">
        <f t="shared" si="2"/>
        <v>HUNTER, UT, Distribution, Unattended</v>
      </c>
    </row>
    <row r="124" spans="1:14" ht="15" customHeight="1" x14ac:dyDescent="0.2">
      <c r="A124" s="3003">
        <f t="shared" si="3"/>
        <v>40.444999999998963</v>
      </c>
      <c r="B124" s="2512" t="s">
        <v>11386</v>
      </c>
      <c r="C124" s="2489" t="s">
        <v>512</v>
      </c>
      <c r="D124" s="2489" t="s">
        <v>10937</v>
      </c>
      <c r="E124" s="3041">
        <v>69</v>
      </c>
      <c r="F124" s="3041">
        <v>12.47</v>
      </c>
      <c r="G124" s="2488"/>
      <c r="H124" s="2752">
        <v>7</v>
      </c>
      <c r="I124" s="2752">
        <v>1</v>
      </c>
      <c r="J124" s="2488"/>
      <c r="K124" s="2614"/>
      <c r="L124" s="2488"/>
      <c r="M124" s="2614"/>
      <c r="N124" s="2479" t="str">
        <f t="shared" si="2"/>
        <v>HUNTINGTON CITY, UT, Distribution, Unattended</v>
      </c>
    </row>
    <row r="125" spans="1:14" ht="15" customHeight="1" x14ac:dyDescent="0.2">
      <c r="A125" s="3003">
        <f t="shared" si="3"/>
        <v>40.445999999998961</v>
      </c>
      <c r="B125" s="2512" t="s">
        <v>11387</v>
      </c>
      <c r="C125" s="2489" t="s">
        <v>512</v>
      </c>
      <c r="D125" s="2489" t="s">
        <v>10937</v>
      </c>
      <c r="E125" s="3041">
        <v>34.5</v>
      </c>
      <c r="F125" s="3041">
        <v>12.47</v>
      </c>
      <c r="G125" s="2488"/>
      <c r="H125" s="2752">
        <v>1</v>
      </c>
      <c r="I125" s="2752">
        <v>3</v>
      </c>
      <c r="J125" s="2488"/>
      <c r="K125" s="2614"/>
      <c r="L125" s="2488"/>
      <c r="M125" s="2614"/>
      <c r="N125" s="2479" t="str">
        <f t="shared" si="2"/>
        <v>IRON MOUNTAIN, UT, Distribution, Unattended</v>
      </c>
    </row>
    <row r="126" spans="1:14" ht="15" customHeight="1" x14ac:dyDescent="0.2">
      <c r="A126" s="3003">
        <f t="shared" si="3"/>
        <v>40.446999999998958</v>
      </c>
      <c r="B126" s="2512" t="s">
        <v>11388</v>
      </c>
      <c r="C126" s="2489" t="s">
        <v>512</v>
      </c>
      <c r="D126" s="2489" t="s">
        <v>10937</v>
      </c>
      <c r="E126" s="3041">
        <v>46</v>
      </c>
      <c r="F126" s="3041">
        <v>12.47</v>
      </c>
      <c r="G126" s="2488"/>
      <c r="H126" s="2752">
        <v>2</v>
      </c>
      <c r="I126" s="2752">
        <v>1</v>
      </c>
      <c r="J126" s="2488"/>
      <c r="K126" s="2614"/>
      <c r="L126" s="2488"/>
      <c r="M126" s="2614"/>
      <c r="N126" s="2479" t="str">
        <f t="shared" si="2"/>
        <v>IRONTON, UT, Distribution, Unattended</v>
      </c>
    </row>
    <row r="127" spans="1:14" ht="15" customHeight="1" x14ac:dyDescent="0.2">
      <c r="A127" s="3003">
        <f t="shared" si="3"/>
        <v>40.447999999998956</v>
      </c>
      <c r="B127" s="2512" t="s">
        <v>11389</v>
      </c>
      <c r="C127" s="2489" t="s">
        <v>512</v>
      </c>
      <c r="D127" s="2489" t="s">
        <v>10937</v>
      </c>
      <c r="E127" s="3041">
        <v>69</v>
      </c>
      <c r="F127" s="3041">
        <v>12.47</v>
      </c>
      <c r="G127" s="2488"/>
      <c r="H127" s="2752">
        <v>30</v>
      </c>
      <c r="I127" s="2752">
        <v>1</v>
      </c>
      <c r="J127" s="2750">
        <v>1</v>
      </c>
      <c r="K127" s="2614"/>
      <c r="L127" s="2488"/>
      <c r="M127" s="2614"/>
      <c r="N127" s="2479" t="str">
        <f t="shared" si="2"/>
        <v>IVINS, UT, Distribution, Unattended</v>
      </c>
    </row>
    <row r="128" spans="1:14" ht="15" customHeight="1" x14ac:dyDescent="0.2">
      <c r="A128" s="3003">
        <f t="shared" si="3"/>
        <v>40.448999999998954</v>
      </c>
      <c r="B128" s="2512" t="s">
        <v>11390</v>
      </c>
      <c r="C128" s="2489" t="s">
        <v>512</v>
      </c>
      <c r="D128" s="2489" t="s">
        <v>10937</v>
      </c>
      <c r="E128" s="3041">
        <v>46</v>
      </c>
      <c r="F128" s="3041">
        <v>2.4</v>
      </c>
      <c r="G128" s="2488"/>
      <c r="H128" s="2752">
        <v>14</v>
      </c>
      <c r="I128" s="2752">
        <v>2</v>
      </c>
      <c r="J128" s="2488"/>
      <c r="K128" s="2614"/>
      <c r="L128" s="2488"/>
      <c r="M128" s="2614"/>
      <c r="N128" s="2479" t="str">
        <f t="shared" si="2"/>
        <v>JORDAN NARROWS, UT, Distribution, Unattended</v>
      </c>
    </row>
    <row r="129" spans="1:14" ht="15" customHeight="1" x14ac:dyDescent="0.2">
      <c r="A129" s="3003">
        <f t="shared" si="3"/>
        <v>40.449999999998951</v>
      </c>
      <c r="B129" s="2512" t="s">
        <v>11391</v>
      </c>
      <c r="C129" s="2489" t="s">
        <v>512</v>
      </c>
      <c r="D129" s="2489" t="s">
        <v>10937</v>
      </c>
      <c r="E129" s="3041">
        <v>138</v>
      </c>
      <c r="F129" s="3041">
        <v>12.47</v>
      </c>
      <c r="G129" s="2488"/>
      <c r="H129" s="2752">
        <v>30</v>
      </c>
      <c r="I129" s="2752">
        <v>1</v>
      </c>
      <c r="J129" s="2488"/>
      <c r="K129" s="2614"/>
      <c r="L129" s="2488"/>
      <c r="M129" s="2614"/>
      <c r="N129" s="2479" t="str">
        <f t="shared" si="2"/>
        <v>JORDAN PARK, UT, Distribution, Unattended</v>
      </c>
    </row>
    <row r="130" spans="1:14" ht="15" customHeight="1" x14ac:dyDescent="0.2">
      <c r="A130" s="3003">
        <f t="shared" si="3"/>
        <v>40.450999999998949</v>
      </c>
      <c r="B130" s="2512" t="s">
        <v>11392</v>
      </c>
      <c r="C130" s="2489" t="s">
        <v>512</v>
      </c>
      <c r="D130" s="2489" t="s">
        <v>10937</v>
      </c>
      <c r="E130" s="3041">
        <v>138</v>
      </c>
      <c r="F130" s="3041">
        <v>12.47</v>
      </c>
      <c r="G130" s="2488"/>
      <c r="H130" s="2752">
        <v>30</v>
      </c>
      <c r="I130" s="2752">
        <v>1</v>
      </c>
      <c r="J130" s="2488"/>
      <c r="K130" s="2614"/>
      <c r="L130" s="2488"/>
      <c r="M130" s="2614"/>
      <c r="N130" s="2479" t="str">
        <f t="shared" si="2"/>
        <v>JORDANELLE, UT, Distribution, Unattended</v>
      </c>
    </row>
    <row r="131" spans="1:14" ht="15" customHeight="1" x14ac:dyDescent="0.2">
      <c r="A131" s="3003">
        <f t="shared" si="3"/>
        <v>40.451999999998947</v>
      </c>
      <c r="B131" s="2512" t="s">
        <v>11393</v>
      </c>
      <c r="C131" s="2489" t="s">
        <v>512</v>
      </c>
      <c r="D131" s="2489" t="s">
        <v>10937</v>
      </c>
      <c r="E131" s="3041">
        <v>46</v>
      </c>
      <c r="F131" s="3041">
        <v>12.47</v>
      </c>
      <c r="G131" s="2488"/>
      <c r="H131" s="2752">
        <v>4</v>
      </c>
      <c r="I131" s="2752">
        <v>1</v>
      </c>
      <c r="J131" s="2488"/>
      <c r="K131" s="2614"/>
      <c r="L131" s="2488"/>
      <c r="M131" s="2614"/>
      <c r="N131" s="2479" t="str">
        <f t="shared" si="2"/>
        <v>JUAB, UT, Distribution, Unattended</v>
      </c>
    </row>
    <row r="132" spans="1:14" ht="15" customHeight="1" x14ac:dyDescent="0.2">
      <c r="A132" s="3003">
        <f t="shared" si="3"/>
        <v>40.452999999998944</v>
      </c>
      <c r="B132" s="2512" t="s">
        <v>11394</v>
      </c>
      <c r="C132" s="2489" t="s">
        <v>512</v>
      </c>
      <c r="D132" s="2489" t="s">
        <v>10937</v>
      </c>
      <c r="E132" s="3041">
        <v>46</v>
      </c>
      <c r="F132" s="3041">
        <v>12.47</v>
      </c>
      <c r="G132" s="2488"/>
      <c r="H132" s="2752">
        <v>22</v>
      </c>
      <c r="I132" s="2752">
        <v>1</v>
      </c>
      <c r="J132" s="2488"/>
      <c r="K132" s="2614"/>
      <c r="L132" s="2488"/>
      <c r="M132" s="2614"/>
      <c r="N132" s="2479" t="str">
        <f t="shared" si="2"/>
        <v>JUDGE, UT, Distribution, Unattended</v>
      </c>
    </row>
    <row r="133" spans="1:14" ht="15" customHeight="1" x14ac:dyDescent="0.2">
      <c r="A133" s="3003">
        <f t="shared" si="3"/>
        <v>40.453999999998942</v>
      </c>
      <c r="B133" s="2512" t="s">
        <v>11395</v>
      </c>
      <c r="C133" s="2489" t="s">
        <v>512</v>
      </c>
      <c r="D133" s="2489" t="s">
        <v>10937</v>
      </c>
      <c r="E133" s="3041">
        <v>69</v>
      </c>
      <c r="F133" s="3041">
        <v>12.47</v>
      </c>
      <c r="G133" s="2488"/>
      <c r="H133" s="2752">
        <v>3</v>
      </c>
      <c r="I133" s="2752">
        <v>1</v>
      </c>
      <c r="J133" s="2488"/>
      <c r="K133" s="2614"/>
      <c r="L133" s="2488"/>
      <c r="M133" s="2614"/>
      <c r="N133" s="2479" t="str">
        <f t="shared" si="2"/>
        <v>JUNCTION, UT, Distribution, Unattended</v>
      </c>
    </row>
    <row r="134" spans="1:14" ht="15" customHeight="1" x14ac:dyDescent="0.2">
      <c r="A134" s="3003">
        <f t="shared" si="3"/>
        <v>40.45499999999894</v>
      </c>
      <c r="B134" s="2512" t="s">
        <v>11396</v>
      </c>
      <c r="C134" s="2489" t="s">
        <v>512</v>
      </c>
      <c r="D134" s="2489" t="s">
        <v>10937</v>
      </c>
      <c r="E134" s="3041">
        <v>69</v>
      </c>
      <c r="F134" s="3041">
        <v>12.47</v>
      </c>
      <c r="G134" s="2488"/>
      <c r="H134" s="2752">
        <v>5</v>
      </c>
      <c r="I134" s="2752">
        <v>1</v>
      </c>
      <c r="J134" s="2488"/>
      <c r="K134" s="2614"/>
      <c r="L134" s="2488"/>
      <c r="M134" s="2614"/>
      <c r="N134" s="2479" t="str">
        <f t="shared" si="2"/>
        <v>KAIBAB, UT, Distribution, Unattended</v>
      </c>
    </row>
    <row r="135" spans="1:14" ht="15" customHeight="1" x14ac:dyDescent="0.2">
      <c r="A135" s="3003">
        <f t="shared" si="3"/>
        <v>40.455999999998937</v>
      </c>
      <c r="B135" s="2512" t="s">
        <v>11397</v>
      </c>
      <c r="C135" s="2489" t="s">
        <v>512</v>
      </c>
      <c r="D135" s="2489" t="s">
        <v>10937</v>
      </c>
      <c r="E135" s="3041">
        <v>46</v>
      </c>
      <c r="F135" s="3041">
        <v>12.47</v>
      </c>
      <c r="G135" s="2488"/>
      <c r="H135" s="2752">
        <v>11</v>
      </c>
      <c r="I135" s="2752">
        <v>1</v>
      </c>
      <c r="J135" s="2488"/>
      <c r="K135" s="2614"/>
      <c r="L135" s="2488"/>
      <c r="M135" s="2614"/>
      <c r="N135" s="2479" t="str">
        <f t="shared" si="2"/>
        <v>KAMAS, UT, Distribution, Unattended</v>
      </c>
    </row>
    <row r="136" spans="1:14" ht="15" customHeight="1" x14ac:dyDescent="0.2">
      <c r="A136" s="3003">
        <f t="shared" si="3"/>
        <v>40.456999999998935</v>
      </c>
      <c r="B136" s="2512" t="s">
        <v>10818</v>
      </c>
      <c r="C136" s="2489" t="s">
        <v>512</v>
      </c>
      <c r="D136" s="2489" t="s">
        <v>10937</v>
      </c>
      <c r="E136" s="3041">
        <v>138</v>
      </c>
      <c r="F136" s="3041">
        <v>12.47</v>
      </c>
      <c r="G136" s="2488"/>
      <c r="H136" s="2752">
        <v>60</v>
      </c>
      <c r="I136" s="2752">
        <v>2</v>
      </c>
      <c r="J136" s="2488"/>
      <c r="K136" s="2614"/>
      <c r="L136" s="2488"/>
      <c r="M136" s="2614"/>
      <c r="N136" s="2479" t="str">
        <f t="shared" si="2"/>
        <v>KEARNS, UT, Distribution, Unattended</v>
      </c>
    </row>
    <row r="137" spans="1:14" ht="15" customHeight="1" x14ac:dyDescent="0.2">
      <c r="A137" s="3003">
        <f t="shared" si="3"/>
        <v>40.457999999998933</v>
      </c>
      <c r="B137" s="2512" t="s">
        <v>11398</v>
      </c>
      <c r="C137" s="2489" t="s">
        <v>512</v>
      </c>
      <c r="D137" s="2489" t="s">
        <v>10937</v>
      </c>
      <c r="E137" s="3041">
        <v>46</v>
      </c>
      <c r="F137" s="3041">
        <v>4.16</v>
      </c>
      <c r="G137" s="2488"/>
      <c r="H137" s="2752">
        <v>7</v>
      </c>
      <c r="I137" s="2752">
        <v>1</v>
      </c>
      <c r="J137" s="2488"/>
      <c r="K137" s="2614"/>
      <c r="L137" s="2488"/>
      <c r="M137" s="2614"/>
      <c r="N137" s="2479" t="str">
        <f t="shared" si="2"/>
        <v>KENSINGTON, UT, Distribution, Unattended</v>
      </c>
    </row>
    <row r="138" spans="1:14" ht="15" customHeight="1" x14ac:dyDescent="0.2">
      <c r="A138" s="3003">
        <f t="shared" si="3"/>
        <v>40.45899999999893</v>
      </c>
      <c r="B138" s="2512" t="s">
        <v>11399</v>
      </c>
      <c r="C138" s="2489" t="s">
        <v>512</v>
      </c>
      <c r="D138" s="2489" t="s">
        <v>10937</v>
      </c>
      <c r="E138" s="3041">
        <v>46</v>
      </c>
      <c r="F138" s="3041">
        <v>7.2</v>
      </c>
      <c r="G138" s="2488"/>
      <c r="H138" s="2752">
        <v>0</v>
      </c>
      <c r="I138" s="2752">
        <v>1</v>
      </c>
      <c r="J138" s="2488"/>
      <c r="K138" s="2614"/>
      <c r="L138" s="2488"/>
      <c r="M138" s="2614"/>
      <c r="N138" s="2479" t="str">
        <f t="shared" ref="N138:N201" si="4">CONCATENATE(B138,", ",C138,", ",D138)</f>
        <v>KYUNE, UT, Distribution, Unattended</v>
      </c>
    </row>
    <row r="139" spans="1:14" ht="15" customHeight="1" x14ac:dyDescent="0.2">
      <c r="A139" s="3003">
        <f t="shared" ref="A139:A202" si="5">A138+0.001</f>
        <v>40.459999999998928</v>
      </c>
      <c r="B139" s="2512" t="s">
        <v>11400</v>
      </c>
      <c r="C139" s="2489" t="s">
        <v>512</v>
      </c>
      <c r="D139" s="2489" t="s">
        <v>10937</v>
      </c>
      <c r="E139" s="3041">
        <v>138</v>
      </c>
      <c r="F139" s="3041">
        <v>12.47</v>
      </c>
      <c r="G139" s="2488"/>
      <c r="H139" s="2752">
        <v>53</v>
      </c>
      <c r="I139" s="2752">
        <v>2</v>
      </c>
      <c r="J139" s="2488"/>
      <c r="K139" s="2614"/>
      <c r="L139" s="2488"/>
      <c r="M139" s="2614"/>
      <c r="N139" s="2479" t="str">
        <f t="shared" si="4"/>
        <v>LAKE PARK, UT, Distribution, Unattended</v>
      </c>
    </row>
    <row r="140" spans="1:14" ht="15" customHeight="1" x14ac:dyDescent="0.2">
      <c r="A140" s="3003">
        <f t="shared" si="5"/>
        <v>40.460999999998926</v>
      </c>
      <c r="B140" s="2512" t="s">
        <v>11401</v>
      </c>
      <c r="C140" s="2489" t="s">
        <v>512</v>
      </c>
      <c r="D140" s="2489" t="s">
        <v>10937</v>
      </c>
      <c r="E140" s="3041">
        <v>46</v>
      </c>
      <c r="F140" s="3041">
        <v>12.47</v>
      </c>
      <c r="G140" s="2488"/>
      <c r="H140" s="2752">
        <v>40</v>
      </c>
      <c r="I140" s="2752">
        <v>2</v>
      </c>
      <c r="J140" s="2488"/>
      <c r="K140" s="2614"/>
      <c r="L140" s="2488"/>
      <c r="M140" s="2614"/>
      <c r="N140" s="2479" t="str">
        <f t="shared" si="4"/>
        <v>LAYTON, UT, Distribution, Unattended</v>
      </c>
    </row>
    <row r="141" spans="1:14" ht="15" customHeight="1" x14ac:dyDescent="0.2">
      <c r="A141" s="3003">
        <f t="shared" si="5"/>
        <v>40.461999999998923</v>
      </c>
      <c r="B141" s="2512" t="s">
        <v>11402</v>
      </c>
      <c r="C141" s="2489" t="s">
        <v>512</v>
      </c>
      <c r="D141" s="2489" t="s">
        <v>10937</v>
      </c>
      <c r="E141" s="3041">
        <v>138</v>
      </c>
      <c r="F141" s="3041">
        <v>13.2</v>
      </c>
      <c r="G141" s="2488"/>
      <c r="H141" s="2752">
        <v>30</v>
      </c>
      <c r="I141" s="2752">
        <v>1</v>
      </c>
      <c r="J141" s="2488"/>
      <c r="K141" s="2614"/>
      <c r="L141" s="2488"/>
      <c r="M141" s="2614"/>
      <c r="N141" s="2479" t="str">
        <f t="shared" si="4"/>
        <v>LEE CREEK, UT, Distribution, Unattended</v>
      </c>
    </row>
    <row r="142" spans="1:14" ht="15" customHeight="1" x14ac:dyDescent="0.2">
      <c r="A142" s="3003">
        <f t="shared" si="5"/>
        <v>40.462999999998921</v>
      </c>
      <c r="B142" s="2512" t="s">
        <v>11403</v>
      </c>
      <c r="C142" s="2489" t="s">
        <v>512</v>
      </c>
      <c r="D142" s="2489" t="s">
        <v>10937</v>
      </c>
      <c r="E142" s="3041">
        <v>46</v>
      </c>
      <c r="F142" s="3041">
        <v>12.47</v>
      </c>
      <c r="G142" s="2488"/>
      <c r="H142" s="2752">
        <v>2</v>
      </c>
      <c r="I142" s="2752">
        <v>1</v>
      </c>
      <c r="J142" s="2488"/>
      <c r="K142" s="2614"/>
      <c r="L142" s="2488"/>
      <c r="M142" s="2614"/>
      <c r="N142" s="2479" t="str">
        <f t="shared" si="4"/>
        <v>LEGRANDE, UT, Distribution, Unattended</v>
      </c>
    </row>
    <row r="143" spans="1:14" ht="15" customHeight="1" x14ac:dyDescent="0.2">
      <c r="A143" s="3003">
        <f t="shared" si="5"/>
        <v>40.463999999998919</v>
      </c>
      <c r="B143" s="2512" t="s">
        <v>11404</v>
      </c>
      <c r="C143" s="2489" t="s">
        <v>512</v>
      </c>
      <c r="D143" s="2489" t="s">
        <v>10937</v>
      </c>
      <c r="E143" s="3041">
        <v>46</v>
      </c>
      <c r="F143" s="3041">
        <v>7.2</v>
      </c>
      <c r="G143" s="2488"/>
      <c r="H143" s="2752">
        <v>22</v>
      </c>
      <c r="I143" s="2752">
        <v>1</v>
      </c>
      <c r="J143" s="2488"/>
      <c r="K143" s="2614"/>
      <c r="L143" s="2488"/>
      <c r="M143" s="2614"/>
      <c r="N143" s="2479" t="str">
        <f t="shared" si="4"/>
        <v>LEWISTON, UT, Distribution, Unattended</v>
      </c>
    </row>
    <row r="144" spans="1:14" ht="15" customHeight="1" x14ac:dyDescent="0.2">
      <c r="A144" s="3003">
        <f t="shared" si="5"/>
        <v>40.464999999998916</v>
      </c>
      <c r="B144" s="2512" t="s">
        <v>11405</v>
      </c>
      <c r="C144" s="2489" t="s">
        <v>512</v>
      </c>
      <c r="D144" s="2489" t="s">
        <v>10937</v>
      </c>
      <c r="E144" s="3041">
        <v>46</v>
      </c>
      <c r="F144" s="3041">
        <v>12.47</v>
      </c>
      <c r="G144" s="2488"/>
      <c r="H144" s="2752">
        <v>20</v>
      </c>
      <c r="I144" s="2752">
        <v>1</v>
      </c>
      <c r="J144" s="2488"/>
      <c r="K144" s="2614"/>
      <c r="L144" s="2488"/>
      <c r="M144" s="2614"/>
      <c r="N144" s="2479" t="str">
        <f t="shared" si="4"/>
        <v>LINCOLN, UT, Distribution, Unattended</v>
      </c>
    </row>
    <row r="145" spans="1:14" ht="15" customHeight="1" x14ac:dyDescent="0.2">
      <c r="A145" s="3003">
        <f t="shared" si="5"/>
        <v>40.465999999998914</v>
      </c>
      <c r="B145" s="2512" t="s">
        <v>11406</v>
      </c>
      <c r="C145" s="2489" t="s">
        <v>512</v>
      </c>
      <c r="D145" s="2489" t="s">
        <v>10937</v>
      </c>
      <c r="E145" s="3041">
        <v>46</v>
      </c>
      <c r="F145" s="3041">
        <v>12.47</v>
      </c>
      <c r="G145" s="2488"/>
      <c r="H145" s="2752">
        <v>25</v>
      </c>
      <c r="I145" s="2752">
        <v>1</v>
      </c>
      <c r="J145" s="2488"/>
      <c r="K145" s="2614"/>
      <c r="L145" s="2488"/>
      <c r="M145" s="2614"/>
      <c r="N145" s="2479" t="str">
        <f t="shared" si="4"/>
        <v>LINDON, UT, Distribution, Unattended</v>
      </c>
    </row>
    <row r="146" spans="1:14" ht="15" customHeight="1" x14ac:dyDescent="0.2">
      <c r="A146" s="3003">
        <f t="shared" si="5"/>
        <v>40.466999999998912</v>
      </c>
      <c r="B146" s="2512" t="s">
        <v>11407</v>
      </c>
      <c r="C146" s="2489" t="s">
        <v>512</v>
      </c>
      <c r="D146" s="2489" t="s">
        <v>10937</v>
      </c>
      <c r="E146" s="3041">
        <v>69</v>
      </c>
      <c r="F146" s="3041">
        <v>12.47</v>
      </c>
      <c r="G146" s="2488"/>
      <c r="H146" s="2752">
        <v>3</v>
      </c>
      <c r="I146" s="2752">
        <v>1</v>
      </c>
      <c r="J146" s="2488"/>
      <c r="K146" s="2614"/>
      <c r="L146" s="2488"/>
      <c r="M146" s="2614"/>
      <c r="N146" s="2479" t="str">
        <f t="shared" si="4"/>
        <v>LISBON, UT, Distribution, Unattended</v>
      </c>
    </row>
    <row r="147" spans="1:14" ht="15" customHeight="1" x14ac:dyDescent="0.2">
      <c r="A147" s="3003">
        <f t="shared" si="5"/>
        <v>40.467999999998909</v>
      </c>
      <c r="B147" s="2512" t="s">
        <v>11408</v>
      </c>
      <c r="C147" s="2489" t="s">
        <v>512</v>
      </c>
      <c r="D147" s="2489" t="s">
        <v>10937</v>
      </c>
      <c r="E147" s="3041">
        <v>46</v>
      </c>
      <c r="F147" s="3041">
        <v>7.2</v>
      </c>
      <c r="G147" s="2488"/>
      <c r="H147" s="2752">
        <v>0</v>
      </c>
      <c r="I147" s="2752">
        <v>1</v>
      </c>
      <c r="J147" s="2488"/>
      <c r="K147" s="2614"/>
      <c r="L147" s="2488"/>
      <c r="M147" s="2614"/>
      <c r="N147" s="2479" t="str">
        <f t="shared" si="4"/>
        <v>LOAFER, UT, Distribution, Unattended</v>
      </c>
    </row>
    <row r="148" spans="1:14" ht="15" customHeight="1" x14ac:dyDescent="0.2">
      <c r="A148" s="3003">
        <f t="shared" si="5"/>
        <v>40.468999999998907</v>
      </c>
      <c r="B148" s="2512" t="s">
        <v>11409</v>
      </c>
      <c r="C148" s="2489" t="s">
        <v>512</v>
      </c>
      <c r="D148" s="2489" t="s">
        <v>10937</v>
      </c>
      <c r="E148" s="3041">
        <v>46</v>
      </c>
      <c r="F148" s="3041">
        <v>7.2</v>
      </c>
      <c r="G148" s="2488"/>
      <c r="H148" s="2752">
        <v>1</v>
      </c>
      <c r="I148" s="2752">
        <v>1</v>
      </c>
      <c r="J148" s="2488"/>
      <c r="K148" s="2614"/>
      <c r="L148" s="2488"/>
      <c r="M148" s="2614"/>
      <c r="N148" s="2479" t="str">
        <f t="shared" si="4"/>
        <v>LOGAN CANYON, UT, Distribution, Unattended</v>
      </c>
    </row>
    <row r="149" spans="1:14" ht="15" customHeight="1" x14ac:dyDescent="0.2">
      <c r="A149" s="3003">
        <f t="shared" si="5"/>
        <v>40.469999999998905</v>
      </c>
      <c r="B149" s="2512" t="s">
        <v>11410</v>
      </c>
      <c r="C149" s="2489" t="s">
        <v>512</v>
      </c>
      <c r="D149" s="2489" t="s">
        <v>10937</v>
      </c>
      <c r="E149" s="3041">
        <v>34.5</v>
      </c>
      <c r="F149" s="3041">
        <v>12.47</v>
      </c>
      <c r="G149" s="2488"/>
      <c r="H149" s="2752">
        <v>20</v>
      </c>
      <c r="I149" s="2752">
        <v>1</v>
      </c>
      <c r="J149" s="2488"/>
      <c r="K149" s="2614"/>
      <c r="L149" s="2488"/>
      <c r="M149" s="2614"/>
      <c r="N149" s="2479" t="str">
        <f t="shared" si="4"/>
        <v>LONE TREE, UT, Distribution, Unattended</v>
      </c>
    </row>
    <row r="150" spans="1:14" ht="15" customHeight="1" x14ac:dyDescent="0.2">
      <c r="A150" s="3003">
        <f t="shared" si="5"/>
        <v>40.470999999998902</v>
      </c>
      <c r="B150" s="2512" t="s">
        <v>11411</v>
      </c>
      <c r="C150" s="2489" t="s">
        <v>512</v>
      </c>
      <c r="D150" s="2489" t="s">
        <v>10937</v>
      </c>
      <c r="E150" s="3041">
        <v>46</v>
      </c>
      <c r="F150" s="3041">
        <v>13.2</v>
      </c>
      <c r="G150" s="2488"/>
      <c r="H150" s="2752">
        <v>0</v>
      </c>
      <c r="I150" s="2752">
        <v>1</v>
      </c>
      <c r="J150" s="2488"/>
      <c r="K150" s="2614"/>
      <c r="L150" s="2488"/>
      <c r="M150" s="2614"/>
      <c r="N150" s="2479" t="str">
        <f t="shared" si="4"/>
        <v>LOWER BEAVER, UT, Distribution, Unattended</v>
      </c>
    </row>
    <row r="151" spans="1:14" ht="15" customHeight="1" x14ac:dyDescent="0.2">
      <c r="A151" s="3003">
        <f t="shared" si="5"/>
        <v>40.4719999999989</v>
      </c>
      <c r="B151" s="2512" t="s">
        <v>11412</v>
      </c>
      <c r="C151" s="2489" t="s">
        <v>512</v>
      </c>
      <c r="D151" s="2489" t="s">
        <v>10937</v>
      </c>
      <c r="E151" s="3041">
        <v>46</v>
      </c>
      <c r="F151" s="3041">
        <v>12.47</v>
      </c>
      <c r="G151" s="2488"/>
      <c r="H151" s="2752">
        <v>4</v>
      </c>
      <c r="I151" s="2752">
        <v>1</v>
      </c>
      <c r="J151" s="2488"/>
      <c r="K151" s="2614"/>
      <c r="L151" s="2488"/>
      <c r="M151" s="2614"/>
      <c r="N151" s="2479" t="str">
        <f t="shared" si="4"/>
        <v>LYNNDYL, UT, Distribution, Unattended</v>
      </c>
    </row>
    <row r="152" spans="1:14" ht="15" customHeight="1" x14ac:dyDescent="0.2">
      <c r="A152" s="3003">
        <f t="shared" si="5"/>
        <v>40.472999999998898</v>
      </c>
      <c r="B152" s="2512" t="s">
        <v>11413</v>
      </c>
      <c r="C152" s="2489" t="s">
        <v>512</v>
      </c>
      <c r="D152" s="2489" t="s">
        <v>10937</v>
      </c>
      <c r="E152" s="3041">
        <v>69</v>
      </c>
      <c r="F152" s="3041">
        <v>12.47</v>
      </c>
      <c r="G152" s="2488"/>
      <c r="H152" s="2752">
        <v>20</v>
      </c>
      <c r="I152" s="2752">
        <v>1</v>
      </c>
      <c r="J152" s="2488"/>
      <c r="K152" s="2614"/>
      <c r="L152" s="2488"/>
      <c r="M152" s="2614"/>
      <c r="N152" s="2479" t="str">
        <f t="shared" si="4"/>
        <v>MAESER, UT, Distribution, Unattended</v>
      </c>
    </row>
    <row r="153" spans="1:14" ht="15" customHeight="1" x14ac:dyDescent="0.2">
      <c r="A153" s="3003">
        <f t="shared" si="5"/>
        <v>40.473999999998895</v>
      </c>
      <c r="B153" s="2512" t="s">
        <v>11414</v>
      </c>
      <c r="C153" s="2489" t="s">
        <v>512</v>
      </c>
      <c r="D153" s="2489" t="s">
        <v>10937</v>
      </c>
      <c r="E153" s="3041">
        <v>138</v>
      </c>
      <c r="F153" s="3041">
        <v>12.47</v>
      </c>
      <c r="G153" s="2488"/>
      <c r="H153" s="2752">
        <v>60</v>
      </c>
      <c r="I153" s="2752">
        <v>2</v>
      </c>
      <c r="J153" s="2488"/>
      <c r="K153" s="2614"/>
      <c r="L153" s="2488"/>
      <c r="M153" s="2614"/>
      <c r="N153" s="2479" t="str">
        <f t="shared" si="4"/>
        <v>MAGNA, UT, Distribution, Unattended</v>
      </c>
    </row>
    <row r="154" spans="1:14" ht="15" customHeight="1" x14ac:dyDescent="0.2">
      <c r="A154" s="3003">
        <f t="shared" si="5"/>
        <v>40.474999999998893</v>
      </c>
      <c r="B154" s="2512" t="s">
        <v>11415</v>
      </c>
      <c r="C154" s="2489" t="s">
        <v>512</v>
      </c>
      <c r="D154" s="2489" t="s">
        <v>10937</v>
      </c>
      <c r="E154" s="3041">
        <v>138</v>
      </c>
      <c r="F154" s="3041">
        <v>12.47</v>
      </c>
      <c r="G154" s="2488"/>
      <c r="H154" s="2752">
        <v>30</v>
      </c>
      <c r="I154" s="2752">
        <v>1</v>
      </c>
      <c r="J154" s="2488"/>
      <c r="K154" s="2614"/>
      <c r="L154" s="2488"/>
      <c r="M154" s="2614"/>
      <c r="N154" s="2479" t="str">
        <f t="shared" si="4"/>
        <v>MANILA, UT, Distribution, Unattended</v>
      </c>
    </row>
    <row r="155" spans="1:14" ht="15" customHeight="1" x14ac:dyDescent="0.2">
      <c r="A155" s="3003">
        <f t="shared" si="5"/>
        <v>40.475999999998891</v>
      </c>
      <c r="B155" s="2512" t="s">
        <v>11416</v>
      </c>
      <c r="C155" s="2489" t="s">
        <v>512</v>
      </c>
      <c r="D155" s="2489" t="s">
        <v>10937</v>
      </c>
      <c r="E155" s="3041">
        <v>46</v>
      </c>
      <c r="F155" s="3041">
        <v>12.47</v>
      </c>
      <c r="G155" s="2488"/>
      <c r="H155" s="2752">
        <v>3</v>
      </c>
      <c r="I155" s="2752">
        <v>1</v>
      </c>
      <c r="J155" s="2488"/>
      <c r="K155" s="2614"/>
      <c r="L155" s="2488"/>
      <c r="M155" s="2614"/>
      <c r="N155" s="2479" t="str">
        <f t="shared" si="4"/>
        <v>MANTUA, UT, Distribution, Unattended</v>
      </c>
    </row>
    <row r="156" spans="1:14" ht="15" customHeight="1" x14ac:dyDescent="0.2">
      <c r="A156" s="3003">
        <f t="shared" si="5"/>
        <v>40.476999999998888</v>
      </c>
      <c r="B156" s="2512" t="s">
        <v>11417</v>
      </c>
      <c r="C156" s="2489" t="s">
        <v>512</v>
      </c>
      <c r="D156" s="2489" t="s">
        <v>10937</v>
      </c>
      <c r="E156" s="3041">
        <v>46</v>
      </c>
      <c r="F156" s="3041">
        <v>12.47</v>
      </c>
      <c r="G156" s="2488"/>
      <c r="H156" s="2752">
        <v>25</v>
      </c>
      <c r="I156" s="2752">
        <v>1</v>
      </c>
      <c r="J156" s="2488"/>
      <c r="K156" s="2614"/>
      <c r="L156" s="2488"/>
      <c r="M156" s="2614"/>
      <c r="N156" s="2479" t="str">
        <f t="shared" si="4"/>
        <v>MAPLETON, UT, Distribution, Unattended</v>
      </c>
    </row>
    <row r="157" spans="1:14" ht="15" customHeight="1" x14ac:dyDescent="0.2">
      <c r="A157" s="3003">
        <f t="shared" si="5"/>
        <v>40.477999999998886</v>
      </c>
      <c r="B157" s="2512" t="s">
        <v>11418</v>
      </c>
      <c r="C157" s="2489" t="s">
        <v>512</v>
      </c>
      <c r="D157" s="2489" t="s">
        <v>10937</v>
      </c>
      <c r="E157" s="3041">
        <v>46</v>
      </c>
      <c r="F157" s="3041">
        <v>12.47</v>
      </c>
      <c r="G157" s="2488"/>
      <c r="H157" s="2752">
        <v>20</v>
      </c>
      <c r="I157" s="2752">
        <v>1</v>
      </c>
      <c r="J157" s="2488"/>
      <c r="K157" s="2614"/>
      <c r="L157" s="2488"/>
      <c r="M157" s="2614"/>
      <c r="N157" s="2479" t="str">
        <f t="shared" si="4"/>
        <v>MARRIOTT, UT, Distribution, Unattended</v>
      </c>
    </row>
    <row r="158" spans="1:14" ht="15" customHeight="1" x14ac:dyDescent="0.2">
      <c r="A158" s="3003">
        <f t="shared" si="5"/>
        <v>40.478999999998884</v>
      </c>
      <c r="B158" s="2512" t="s">
        <v>11419</v>
      </c>
      <c r="C158" s="2489" t="s">
        <v>512</v>
      </c>
      <c r="D158" s="2489" t="s">
        <v>10937</v>
      </c>
      <c r="E158" s="3041">
        <v>46</v>
      </c>
      <c r="F158" s="3041">
        <v>12.47</v>
      </c>
      <c r="G158" s="2488"/>
      <c r="H158" s="2752">
        <v>3</v>
      </c>
      <c r="I158" s="2752">
        <v>1</v>
      </c>
      <c r="J158" s="2488"/>
      <c r="K158" s="2614"/>
      <c r="L158" s="2488"/>
      <c r="M158" s="2614"/>
      <c r="N158" s="2479" t="str">
        <f t="shared" si="4"/>
        <v>MARYSVALE, UT, Distribution, Unattended</v>
      </c>
    </row>
    <row r="159" spans="1:14" ht="15" customHeight="1" x14ac:dyDescent="0.2">
      <c r="A159" s="3003">
        <f t="shared" si="5"/>
        <v>40.479999999998881</v>
      </c>
      <c r="B159" s="2512" t="s">
        <v>11420</v>
      </c>
      <c r="C159" s="2489" t="s">
        <v>512</v>
      </c>
      <c r="D159" s="2489" t="s">
        <v>10937</v>
      </c>
      <c r="E159" s="3041">
        <v>46</v>
      </c>
      <c r="F159" s="3041">
        <v>12.47</v>
      </c>
      <c r="G159" s="2488"/>
      <c r="H159" s="2752">
        <v>9</v>
      </c>
      <c r="I159" s="2752">
        <v>1</v>
      </c>
      <c r="J159" s="2488"/>
      <c r="K159" s="2614"/>
      <c r="L159" s="2488"/>
      <c r="M159" s="2614"/>
      <c r="N159" s="2479" t="str">
        <f t="shared" si="4"/>
        <v>MATHIS, UT, Distribution, Unattended</v>
      </c>
    </row>
    <row r="160" spans="1:14" ht="15" customHeight="1" x14ac:dyDescent="0.2">
      <c r="A160" s="3003">
        <f t="shared" si="5"/>
        <v>40.480999999998879</v>
      </c>
      <c r="B160" s="2512" t="s">
        <v>11421</v>
      </c>
      <c r="C160" s="2489" t="s">
        <v>512</v>
      </c>
      <c r="D160" s="2489" t="s">
        <v>10937</v>
      </c>
      <c r="E160" s="3041">
        <v>138</v>
      </c>
      <c r="F160" s="3041">
        <v>13.2</v>
      </c>
      <c r="G160" s="2488"/>
      <c r="H160" s="2752">
        <v>33</v>
      </c>
      <c r="I160" s="2752">
        <v>1</v>
      </c>
      <c r="J160" s="2488"/>
      <c r="K160" s="2614"/>
      <c r="L160" s="2488"/>
      <c r="M160" s="2614"/>
      <c r="N160" s="2479" t="str">
        <f t="shared" si="4"/>
        <v>MAYFLOWER, UT, Distribution, Unattended</v>
      </c>
    </row>
    <row r="161" spans="1:14" ht="15" customHeight="1" x14ac:dyDescent="0.2">
      <c r="A161" s="3003">
        <f t="shared" si="5"/>
        <v>40.481999999998877</v>
      </c>
      <c r="B161" s="2512" t="s">
        <v>11422</v>
      </c>
      <c r="C161" s="2489" t="s">
        <v>512</v>
      </c>
      <c r="D161" s="2489" t="s">
        <v>10937</v>
      </c>
      <c r="E161" s="3041">
        <v>46</v>
      </c>
      <c r="F161" s="3041">
        <v>12.47</v>
      </c>
      <c r="G161" s="2488"/>
      <c r="H161" s="2752">
        <v>6</v>
      </c>
      <c r="I161" s="2752">
        <v>1</v>
      </c>
      <c r="J161" s="2488"/>
      <c r="K161" s="2614"/>
      <c r="L161" s="2488"/>
      <c r="M161" s="2614"/>
      <c r="N161" s="2479" t="str">
        <f t="shared" si="4"/>
        <v>MCCORNICK, UT, Distribution, Unattended</v>
      </c>
    </row>
    <row r="162" spans="1:14" ht="15" customHeight="1" x14ac:dyDescent="0.2">
      <c r="A162" s="3003">
        <f t="shared" si="5"/>
        <v>40.482999999998874</v>
      </c>
      <c r="B162" s="2512" t="s">
        <v>11423</v>
      </c>
      <c r="C162" s="2489" t="s">
        <v>512</v>
      </c>
      <c r="D162" s="2489" t="s">
        <v>10937</v>
      </c>
      <c r="E162" s="3041">
        <v>46</v>
      </c>
      <c r="F162" s="3041">
        <v>12.47</v>
      </c>
      <c r="G162" s="2488"/>
      <c r="H162" s="2752">
        <v>28</v>
      </c>
      <c r="I162" s="2752">
        <v>1</v>
      </c>
      <c r="J162" s="2488"/>
      <c r="K162" s="2614"/>
      <c r="L162" s="2488"/>
      <c r="M162" s="2614"/>
      <c r="N162" s="2479" t="str">
        <f t="shared" si="4"/>
        <v>MCKAY, UT, Distribution, Unattended</v>
      </c>
    </row>
    <row r="163" spans="1:14" ht="15" customHeight="1" x14ac:dyDescent="0.2">
      <c r="A163" s="3003">
        <f t="shared" si="5"/>
        <v>40.483999999998872</v>
      </c>
      <c r="B163" s="2512" t="s">
        <v>11424</v>
      </c>
      <c r="C163" s="2489" t="s">
        <v>512</v>
      </c>
      <c r="D163" s="2489" t="s">
        <v>10937</v>
      </c>
      <c r="E163" s="3041">
        <v>138</v>
      </c>
      <c r="F163" s="3041">
        <v>12.47</v>
      </c>
      <c r="G163" s="2488"/>
      <c r="H163" s="2752">
        <v>42</v>
      </c>
      <c r="I163" s="2752">
        <v>2</v>
      </c>
      <c r="J163" s="2488"/>
      <c r="K163" s="2614"/>
      <c r="L163" s="2488"/>
      <c r="M163" s="2614"/>
      <c r="N163" s="2479" t="str">
        <f t="shared" si="4"/>
        <v>MEADOWBROOK, UT, Distribution, Unattended</v>
      </c>
    </row>
    <row r="164" spans="1:14" ht="15" customHeight="1" x14ac:dyDescent="0.2">
      <c r="A164" s="3003">
        <f t="shared" si="5"/>
        <v>40.48499999999887</v>
      </c>
      <c r="B164" s="2512" t="s">
        <v>11425</v>
      </c>
      <c r="C164" s="2489" t="s">
        <v>512</v>
      </c>
      <c r="D164" s="2489" t="s">
        <v>10937</v>
      </c>
      <c r="E164" s="3041">
        <v>46</v>
      </c>
      <c r="F164" s="3041">
        <v>12.47</v>
      </c>
      <c r="G164" s="2488"/>
      <c r="H164" s="2752">
        <v>56</v>
      </c>
      <c r="I164" s="2752">
        <v>3</v>
      </c>
      <c r="J164" s="2488"/>
      <c r="K164" s="2614"/>
      <c r="L164" s="2488"/>
      <c r="M164" s="2614"/>
      <c r="N164" s="2479" t="str">
        <f t="shared" si="4"/>
        <v>MEDICAL, UT, Distribution, Unattended</v>
      </c>
    </row>
    <row r="165" spans="1:14" ht="15" customHeight="1" x14ac:dyDescent="0.2">
      <c r="A165" s="3003">
        <f t="shared" si="5"/>
        <v>40.485999999998867</v>
      </c>
      <c r="B165" s="2512" t="s">
        <v>11426</v>
      </c>
      <c r="C165" s="2489" t="s">
        <v>512</v>
      </c>
      <c r="D165" s="2489" t="s">
        <v>10937</v>
      </c>
      <c r="E165" s="3041">
        <v>138</v>
      </c>
      <c r="F165" s="3041">
        <v>12.47</v>
      </c>
      <c r="G165" s="2488"/>
      <c r="H165" s="2752">
        <v>30</v>
      </c>
      <c r="I165" s="2752">
        <v>1</v>
      </c>
      <c r="J165" s="2488"/>
      <c r="K165" s="2614"/>
      <c r="L165" s="2488"/>
      <c r="M165" s="2614"/>
      <c r="N165" s="2479" t="str">
        <f t="shared" si="4"/>
        <v>MIDLAND, UT, Distribution, Unattended</v>
      </c>
    </row>
    <row r="166" spans="1:14" ht="15" customHeight="1" x14ac:dyDescent="0.2">
      <c r="A166" s="3003">
        <f t="shared" si="5"/>
        <v>40.486999999998865</v>
      </c>
      <c r="B166" s="2512" t="s">
        <v>11427</v>
      </c>
      <c r="C166" s="2489" t="s">
        <v>512</v>
      </c>
      <c r="D166" s="2489" t="s">
        <v>10937</v>
      </c>
      <c r="E166" s="3041">
        <v>46</v>
      </c>
      <c r="F166" s="3041">
        <v>12.47</v>
      </c>
      <c r="G166" s="2488"/>
      <c r="H166" s="2752">
        <v>25</v>
      </c>
      <c r="I166" s="2752">
        <v>1</v>
      </c>
      <c r="J166" s="2488"/>
      <c r="K166" s="2614"/>
      <c r="L166" s="2488"/>
      <c r="M166" s="2614"/>
      <c r="N166" s="2479" t="str">
        <f t="shared" si="4"/>
        <v>MIDVALE, UT, Distribution, Unattended</v>
      </c>
    </row>
    <row r="167" spans="1:14" ht="15" customHeight="1" x14ac:dyDescent="0.2">
      <c r="A167" s="3003">
        <f t="shared" si="5"/>
        <v>40.487999999998863</v>
      </c>
      <c r="B167" s="2512" t="s">
        <v>10760</v>
      </c>
      <c r="C167" s="2489" t="s">
        <v>512</v>
      </c>
      <c r="D167" s="2489" t="s">
        <v>10937</v>
      </c>
      <c r="E167" s="3041">
        <v>138</v>
      </c>
      <c r="F167" s="3041">
        <v>46</v>
      </c>
      <c r="G167" s="3043">
        <v>13.2</v>
      </c>
      <c r="H167" s="2752">
        <v>89</v>
      </c>
      <c r="I167" s="2752">
        <v>2</v>
      </c>
      <c r="J167" s="2488"/>
      <c r="K167" s="2614"/>
      <c r="L167" s="2488"/>
      <c r="M167" s="2614"/>
      <c r="N167" s="2479" t="str">
        <f t="shared" si="4"/>
        <v>MILFORD, UT, Distribution, Unattended</v>
      </c>
    </row>
    <row r="168" spans="1:14" ht="15" customHeight="1" x14ac:dyDescent="0.2">
      <c r="A168" s="3003">
        <f t="shared" si="5"/>
        <v>40.48899999999886</v>
      </c>
      <c r="B168" s="2512" t="s">
        <v>11428</v>
      </c>
      <c r="C168" s="2489" t="s">
        <v>512</v>
      </c>
      <c r="D168" s="2489" t="s">
        <v>10937</v>
      </c>
      <c r="E168" s="3041">
        <v>46</v>
      </c>
      <c r="F168" s="3041">
        <v>13.2</v>
      </c>
      <c r="G168" s="2488"/>
      <c r="H168" s="2752">
        <v>0</v>
      </c>
      <c r="I168" s="2752">
        <v>1</v>
      </c>
      <c r="J168" s="2488"/>
      <c r="K168" s="2614"/>
      <c r="L168" s="2488"/>
      <c r="M168" s="2614"/>
      <c r="N168" s="2479" t="str">
        <f t="shared" si="4"/>
        <v>MILFORD TV, UT, Distribution, Unattended</v>
      </c>
    </row>
    <row r="169" spans="1:14" ht="15" customHeight="1" x14ac:dyDescent="0.2">
      <c r="A169" s="3003">
        <f t="shared" si="5"/>
        <v>40.489999999998858</v>
      </c>
      <c r="B169" s="2512" t="s">
        <v>11429</v>
      </c>
      <c r="C169" s="2489" t="s">
        <v>512</v>
      </c>
      <c r="D169" s="2489" t="s">
        <v>10937</v>
      </c>
      <c r="E169" s="3041">
        <v>46</v>
      </c>
      <c r="F169" s="3041">
        <v>12.47</v>
      </c>
      <c r="G169" s="2488"/>
      <c r="H169" s="2752">
        <v>2</v>
      </c>
      <c r="I169" s="2752">
        <v>1</v>
      </c>
      <c r="J169" s="2488"/>
      <c r="K169" s="2614"/>
      <c r="L169" s="2488"/>
      <c r="M169" s="2614"/>
      <c r="N169" s="2479" t="str">
        <f t="shared" si="4"/>
        <v>MINERSVILLE, UT, Distribution, Unattended</v>
      </c>
    </row>
    <row r="170" spans="1:14" ht="15" customHeight="1" x14ac:dyDescent="0.2">
      <c r="A170" s="3003">
        <f t="shared" si="5"/>
        <v>40.490999999998856</v>
      </c>
      <c r="B170" s="2512" t="s">
        <v>11430</v>
      </c>
      <c r="C170" s="2489" t="s">
        <v>512</v>
      </c>
      <c r="D170" s="2489" t="s">
        <v>10937</v>
      </c>
      <c r="E170" s="3041">
        <v>69</v>
      </c>
      <c r="F170" s="3041">
        <v>12.47</v>
      </c>
      <c r="G170" s="2488"/>
      <c r="H170" s="2752">
        <v>19</v>
      </c>
      <c r="I170" s="2752">
        <v>2</v>
      </c>
      <c r="J170" s="2750">
        <v>1</v>
      </c>
      <c r="K170" s="2614"/>
      <c r="L170" s="2488"/>
      <c r="M170" s="2614"/>
      <c r="N170" s="2479" t="str">
        <f t="shared" si="4"/>
        <v>MOAB CITY, UT, Distribution, Unattended</v>
      </c>
    </row>
    <row r="171" spans="1:14" ht="15" customHeight="1" x14ac:dyDescent="0.2">
      <c r="A171" s="3003">
        <f t="shared" si="5"/>
        <v>40.491999999998853</v>
      </c>
      <c r="B171" s="2512" t="s">
        <v>11431</v>
      </c>
      <c r="C171" s="2489" t="s">
        <v>512</v>
      </c>
      <c r="D171" s="2489" t="s">
        <v>10937</v>
      </c>
      <c r="E171" s="3041">
        <v>69</v>
      </c>
      <c r="F171" s="3041">
        <v>12.47</v>
      </c>
      <c r="G171" s="2488"/>
      <c r="H171" s="2752">
        <v>3</v>
      </c>
      <c r="I171" s="2752">
        <v>1</v>
      </c>
      <c r="J171" s="2488"/>
      <c r="K171" s="2614"/>
      <c r="L171" s="2488"/>
      <c r="M171" s="2614"/>
      <c r="N171" s="2479" t="str">
        <f t="shared" si="4"/>
        <v>MOORE, UT, Distribution, Unattended</v>
      </c>
    </row>
    <row r="172" spans="1:14" ht="15" customHeight="1" x14ac:dyDescent="0.2">
      <c r="A172" s="3003">
        <f t="shared" si="5"/>
        <v>40.492999999998851</v>
      </c>
      <c r="B172" s="2512" t="s">
        <v>11432</v>
      </c>
      <c r="C172" s="2489" t="s">
        <v>512</v>
      </c>
      <c r="D172" s="2489" t="s">
        <v>10937</v>
      </c>
      <c r="E172" s="3041">
        <v>46</v>
      </c>
      <c r="F172" s="3041">
        <v>12.47</v>
      </c>
      <c r="G172" s="2488"/>
      <c r="H172" s="2752">
        <v>5</v>
      </c>
      <c r="I172" s="2752">
        <v>1</v>
      </c>
      <c r="J172" s="2488"/>
      <c r="K172" s="2614"/>
      <c r="L172" s="2488"/>
      <c r="M172" s="2614"/>
      <c r="N172" s="2479" t="str">
        <f t="shared" si="4"/>
        <v>MORGAN, UT, Distribution, Unattended</v>
      </c>
    </row>
    <row r="173" spans="1:14" ht="15" customHeight="1" x14ac:dyDescent="0.2">
      <c r="A173" s="3003">
        <f t="shared" si="5"/>
        <v>40.493999999998849</v>
      </c>
      <c r="B173" s="2512" t="s">
        <v>11433</v>
      </c>
      <c r="C173" s="2489" t="s">
        <v>512</v>
      </c>
      <c r="D173" s="2489" t="s">
        <v>10937</v>
      </c>
      <c r="E173" s="3041">
        <v>46</v>
      </c>
      <c r="F173" s="3041">
        <v>12.47</v>
      </c>
      <c r="G173" s="2488"/>
      <c r="H173" s="2752">
        <v>6</v>
      </c>
      <c r="I173" s="2752">
        <v>1</v>
      </c>
      <c r="J173" s="2488"/>
      <c r="K173" s="2614"/>
      <c r="L173" s="2488"/>
      <c r="M173" s="2614"/>
      <c r="N173" s="2479" t="str">
        <f t="shared" si="4"/>
        <v>MORONI, UT, Distribution, Unattended</v>
      </c>
    </row>
    <row r="174" spans="1:14" ht="15" customHeight="1" x14ac:dyDescent="0.2">
      <c r="A174" s="3003">
        <f t="shared" si="5"/>
        <v>40.494999999998846</v>
      </c>
      <c r="B174" s="2512" t="s">
        <v>11434</v>
      </c>
      <c r="C174" s="2489" t="s">
        <v>512</v>
      </c>
      <c r="D174" s="2489" t="s">
        <v>10937</v>
      </c>
      <c r="E174" s="3041">
        <v>138</v>
      </c>
      <c r="F174" s="3041">
        <v>12.47</v>
      </c>
      <c r="G174" s="2488"/>
      <c r="H174" s="2752">
        <v>65</v>
      </c>
      <c r="I174" s="2752">
        <v>2</v>
      </c>
      <c r="J174" s="2488"/>
      <c r="K174" s="2614"/>
      <c r="L174" s="2488"/>
      <c r="M174" s="2614"/>
      <c r="N174" s="2479" t="str">
        <f t="shared" si="4"/>
        <v>MORTON COURT, UT, Distribution, Unattended</v>
      </c>
    </row>
    <row r="175" spans="1:14" ht="15" customHeight="1" x14ac:dyDescent="0.2">
      <c r="A175" s="3003">
        <f t="shared" si="5"/>
        <v>40.495999999998844</v>
      </c>
      <c r="B175" s="2512" t="s">
        <v>11435</v>
      </c>
      <c r="C175" s="2489" t="s">
        <v>512</v>
      </c>
      <c r="D175" s="2489" t="s">
        <v>10937</v>
      </c>
      <c r="E175" s="3041">
        <v>46</v>
      </c>
      <c r="F175" s="3041">
        <v>12.47</v>
      </c>
      <c r="G175" s="2488"/>
      <c r="H175" s="2752">
        <v>5</v>
      </c>
      <c r="I175" s="2752">
        <v>1</v>
      </c>
      <c r="J175" s="2488"/>
      <c r="K175" s="2614"/>
      <c r="L175" s="2488"/>
      <c r="M175" s="2614"/>
      <c r="N175" s="2479" t="str">
        <f t="shared" si="4"/>
        <v>MOUNTAIN DELL, UT, Distribution, Unattended</v>
      </c>
    </row>
    <row r="176" spans="1:14" ht="15" customHeight="1" x14ac:dyDescent="0.2">
      <c r="A176" s="3003">
        <f t="shared" si="5"/>
        <v>40.496999999998842</v>
      </c>
      <c r="B176" s="2512" t="s">
        <v>11436</v>
      </c>
      <c r="C176" s="2489" t="s">
        <v>512</v>
      </c>
      <c r="D176" s="2489" t="s">
        <v>10937</v>
      </c>
      <c r="E176" s="3041">
        <v>46</v>
      </c>
      <c r="F176" s="3041">
        <v>12.47</v>
      </c>
      <c r="G176" s="2488"/>
      <c r="H176" s="2752">
        <v>9</v>
      </c>
      <c r="I176" s="2752">
        <v>1</v>
      </c>
      <c r="J176" s="2488"/>
      <c r="K176" s="2614"/>
      <c r="L176" s="2488"/>
      <c r="M176" s="2614"/>
      <c r="N176" s="2479" t="str">
        <f t="shared" si="4"/>
        <v>MOUNTAIN GREEN, UT, Distribution, Unattended</v>
      </c>
    </row>
    <row r="177" spans="1:14" ht="15" customHeight="1" x14ac:dyDescent="0.2">
      <c r="A177" s="3003">
        <f t="shared" si="5"/>
        <v>40.497999999998839</v>
      </c>
      <c r="B177" s="2512" t="s">
        <v>11437</v>
      </c>
      <c r="C177" s="2489" t="s">
        <v>512</v>
      </c>
      <c r="D177" s="2489" t="s">
        <v>10937</v>
      </c>
      <c r="E177" s="3041">
        <v>69</v>
      </c>
      <c r="F177" s="3041">
        <v>12.47</v>
      </c>
      <c r="G177" s="2488"/>
      <c r="H177" s="2752">
        <v>6</v>
      </c>
      <c r="I177" s="2752">
        <v>1</v>
      </c>
      <c r="J177" s="2488"/>
      <c r="K177" s="2614"/>
      <c r="L177" s="2488"/>
      <c r="M177" s="2614"/>
      <c r="N177" s="2479" t="str">
        <f t="shared" si="4"/>
        <v>MYTON, UT, Distribution, Unattended</v>
      </c>
    </row>
    <row r="178" spans="1:14" ht="15" customHeight="1" x14ac:dyDescent="0.2">
      <c r="A178" s="3003">
        <f t="shared" si="5"/>
        <v>40.498999999998837</v>
      </c>
      <c r="B178" s="2512" t="s">
        <v>10868</v>
      </c>
      <c r="C178" s="2489" t="s">
        <v>512</v>
      </c>
      <c r="D178" s="2489" t="s">
        <v>10937</v>
      </c>
      <c r="E178" s="3041">
        <v>138</v>
      </c>
      <c r="F178" s="3041">
        <v>13.2</v>
      </c>
      <c r="G178" s="2488"/>
      <c r="H178" s="2752">
        <v>30</v>
      </c>
      <c r="I178" s="2752">
        <v>1</v>
      </c>
      <c r="J178" s="2488"/>
      <c r="K178" s="2614"/>
      <c r="L178" s="2488"/>
      <c r="M178" s="2614"/>
      <c r="N178" s="2479" t="str">
        <f t="shared" si="4"/>
        <v>NAPLES, UT, Distribution, Unattended</v>
      </c>
    </row>
    <row r="179" spans="1:14" ht="15" customHeight="1" x14ac:dyDescent="0.2">
      <c r="A179" s="3003">
        <f t="shared" si="5"/>
        <v>40.499999999998835</v>
      </c>
      <c r="B179" s="2512" t="s">
        <v>11438</v>
      </c>
      <c r="C179" s="2489" t="s">
        <v>512</v>
      </c>
      <c r="D179" s="2489" t="s">
        <v>10937</v>
      </c>
      <c r="E179" s="3041">
        <v>69</v>
      </c>
      <c r="F179" s="3041">
        <v>12.47</v>
      </c>
      <c r="G179" s="2488"/>
      <c r="H179" s="2752">
        <v>7</v>
      </c>
      <c r="I179" s="2752">
        <v>1</v>
      </c>
      <c r="J179" s="2488"/>
      <c r="K179" s="2614"/>
      <c r="L179" s="2488"/>
      <c r="M179" s="2614"/>
      <c r="N179" s="2479" t="str">
        <f t="shared" si="4"/>
        <v>NEW HARMONY, UT, Distribution, Unattended</v>
      </c>
    </row>
    <row r="180" spans="1:14" ht="15" customHeight="1" x14ac:dyDescent="0.2">
      <c r="A180" s="3003">
        <f t="shared" si="5"/>
        <v>40.500999999998832</v>
      </c>
      <c r="B180" s="2512" t="s">
        <v>11439</v>
      </c>
      <c r="C180" s="2489" t="s">
        <v>512</v>
      </c>
      <c r="D180" s="2489" t="s">
        <v>10937</v>
      </c>
      <c r="E180" s="3041">
        <v>46</v>
      </c>
      <c r="F180" s="3041">
        <v>12.47</v>
      </c>
      <c r="G180" s="2488"/>
      <c r="H180" s="2752">
        <v>16</v>
      </c>
      <c r="I180" s="2752">
        <v>1</v>
      </c>
      <c r="J180" s="2488"/>
      <c r="K180" s="2614"/>
      <c r="L180" s="2488"/>
      <c r="M180" s="2614"/>
      <c r="N180" s="2479" t="str">
        <f t="shared" si="4"/>
        <v>NEWGATE, UT, Distribution, Unattended</v>
      </c>
    </row>
    <row r="181" spans="1:14" ht="15" customHeight="1" x14ac:dyDescent="0.2">
      <c r="A181" s="3003">
        <f t="shared" si="5"/>
        <v>40.50199999999883</v>
      </c>
      <c r="B181" s="2512" t="s">
        <v>11440</v>
      </c>
      <c r="C181" s="2489" t="s">
        <v>512</v>
      </c>
      <c r="D181" s="2489" t="s">
        <v>10937</v>
      </c>
      <c r="E181" s="3041">
        <v>46</v>
      </c>
      <c r="F181" s="3041">
        <v>12.47</v>
      </c>
      <c r="G181" s="2488"/>
      <c r="H181" s="2752">
        <v>5</v>
      </c>
      <c r="I181" s="2752">
        <v>1</v>
      </c>
      <c r="J181" s="2488"/>
      <c r="K181" s="2614"/>
      <c r="L181" s="2488"/>
      <c r="M181" s="2614"/>
      <c r="N181" s="2479" t="str">
        <f t="shared" si="4"/>
        <v>NEWTON, UT, Distribution, Unattended</v>
      </c>
    </row>
    <row r="182" spans="1:14" ht="15" customHeight="1" x14ac:dyDescent="0.2">
      <c r="A182" s="3003">
        <f t="shared" si="5"/>
        <v>40.502999999998828</v>
      </c>
      <c r="B182" s="2512" t="s">
        <v>10808</v>
      </c>
      <c r="C182" s="2489" t="s">
        <v>512</v>
      </c>
      <c r="D182" s="2489" t="s">
        <v>10937</v>
      </c>
      <c r="E182" s="3041">
        <v>138</v>
      </c>
      <c r="F182" s="3041">
        <v>24.9</v>
      </c>
      <c r="G182" s="2488"/>
      <c r="H182" s="2752">
        <v>70</v>
      </c>
      <c r="I182" s="2752">
        <v>2</v>
      </c>
      <c r="J182" s="2488"/>
      <c r="K182" s="2614"/>
      <c r="L182" s="2488"/>
      <c r="M182" s="2614"/>
      <c r="N182" s="2479" t="str">
        <f t="shared" si="4"/>
        <v>NIBLEY, UT, Distribution, Unattended</v>
      </c>
    </row>
    <row r="183" spans="1:14" ht="15" customHeight="1" x14ac:dyDescent="0.2">
      <c r="A183" s="3003">
        <f t="shared" si="5"/>
        <v>40.503999999998825</v>
      </c>
      <c r="B183" s="2512" t="s">
        <v>11441</v>
      </c>
      <c r="C183" s="2489" t="s">
        <v>512</v>
      </c>
      <c r="D183" s="2489" t="s">
        <v>10937</v>
      </c>
      <c r="E183" s="3041">
        <v>46</v>
      </c>
      <c r="F183" s="3041">
        <v>12.47</v>
      </c>
      <c r="G183" s="2488"/>
      <c r="H183" s="2752">
        <v>25</v>
      </c>
      <c r="I183" s="2752">
        <v>1</v>
      </c>
      <c r="J183" s="2488"/>
      <c r="K183" s="2614"/>
      <c r="L183" s="2488"/>
      <c r="M183" s="2614"/>
      <c r="N183" s="2479" t="str">
        <f t="shared" si="4"/>
        <v>NORTH BENCH, UT, Distribution, Unattended</v>
      </c>
    </row>
    <row r="184" spans="1:14" ht="15" customHeight="1" x14ac:dyDescent="0.2">
      <c r="A184" s="3003">
        <f t="shared" si="5"/>
        <v>40.504999999998823</v>
      </c>
      <c r="B184" s="2512" t="s">
        <v>11442</v>
      </c>
      <c r="C184" s="2489" t="s">
        <v>512</v>
      </c>
      <c r="D184" s="2489" t="s">
        <v>10937</v>
      </c>
      <c r="E184" s="3041">
        <v>46</v>
      </c>
      <c r="F184" s="3041">
        <v>12.47</v>
      </c>
      <c r="G184" s="2488"/>
      <c r="H184" s="2752">
        <v>3</v>
      </c>
      <c r="I184" s="2752">
        <v>1</v>
      </c>
      <c r="J184" s="2488"/>
      <c r="K184" s="2614"/>
      <c r="L184" s="2488"/>
      <c r="M184" s="2614"/>
      <c r="N184" s="2479" t="str">
        <f t="shared" si="4"/>
        <v>NORTH FIELDS, UT, Distribution, Unattended</v>
      </c>
    </row>
    <row r="185" spans="1:14" ht="15" customHeight="1" x14ac:dyDescent="0.2">
      <c r="A185" s="3003">
        <f t="shared" si="5"/>
        <v>40.505999999998821</v>
      </c>
      <c r="B185" s="2512" t="s">
        <v>11443</v>
      </c>
      <c r="C185" s="2489" t="s">
        <v>512</v>
      </c>
      <c r="D185" s="2489" t="s">
        <v>10937</v>
      </c>
      <c r="E185" s="3041">
        <v>46</v>
      </c>
      <c r="F185" s="3041">
        <v>12.47</v>
      </c>
      <c r="G185" s="2488"/>
      <c r="H185" s="2752">
        <v>25</v>
      </c>
      <c r="I185" s="2752">
        <v>1</v>
      </c>
      <c r="J185" s="2488"/>
      <c r="K185" s="2614"/>
      <c r="L185" s="2488"/>
      <c r="M185" s="2614"/>
      <c r="N185" s="2479" t="str">
        <f t="shared" si="4"/>
        <v>NORTH LOGAN, UT, Distribution, Unattended</v>
      </c>
    </row>
    <row r="186" spans="1:14" ht="15" customHeight="1" x14ac:dyDescent="0.2">
      <c r="A186" s="3003">
        <f t="shared" si="5"/>
        <v>40.506999999998818</v>
      </c>
      <c r="B186" s="2512" t="s">
        <v>11444</v>
      </c>
      <c r="C186" s="2489" t="s">
        <v>512</v>
      </c>
      <c r="D186" s="2489" t="s">
        <v>10937</v>
      </c>
      <c r="E186" s="3041">
        <v>46</v>
      </c>
      <c r="F186" s="3041">
        <v>12.47</v>
      </c>
      <c r="G186" s="2488"/>
      <c r="H186" s="2752">
        <v>22</v>
      </c>
      <c r="I186" s="2752">
        <v>1</v>
      </c>
      <c r="J186" s="2488"/>
      <c r="K186" s="2614"/>
      <c r="L186" s="2488"/>
      <c r="M186" s="2614"/>
      <c r="N186" s="2479" t="str">
        <f t="shared" si="4"/>
        <v>NORTH OGDEN, UT, Distribution, Unattended</v>
      </c>
    </row>
    <row r="187" spans="1:14" ht="15" customHeight="1" x14ac:dyDescent="0.2">
      <c r="A187" s="3003">
        <f t="shared" si="5"/>
        <v>40.507999999998816</v>
      </c>
      <c r="B187" s="2512" t="s">
        <v>11445</v>
      </c>
      <c r="C187" s="2489" t="s">
        <v>512</v>
      </c>
      <c r="D187" s="2489" t="s">
        <v>10937</v>
      </c>
      <c r="E187" s="3041">
        <v>46</v>
      </c>
      <c r="F187" s="3041">
        <v>13.2</v>
      </c>
      <c r="G187" s="2488"/>
      <c r="H187" s="2752">
        <v>25</v>
      </c>
      <c r="I187" s="2752">
        <v>1</v>
      </c>
      <c r="J187" s="2488"/>
      <c r="K187" s="2614"/>
      <c r="L187" s="2488"/>
      <c r="M187" s="2614"/>
      <c r="N187" s="2479" t="str">
        <f t="shared" si="4"/>
        <v>NORTH SALT LAKE, UT, Distribution, Unattended</v>
      </c>
    </row>
    <row r="188" spans="1:14" ht="15" customHeight="1" x14ac:dyDescent="0.2">
      <c r="A188" s="3003">
        <f t="shared" si="5"/>
        <v>40.508999999998814</v>
      </c>
      <c r="B188" s="2512" t="s">
        <v>11446</v>
      </c>
      <c r="C188" s="2489" t="s">
        <v>512</v>
      </c>
      <c r="D188" s="2489" t="s">
        <v>10937</v>
      </c>
      <c r="E188" s="3041">
        <v>46</v>
      </c>
      <c r="F188" s="3041">
        <v>12.47</v>
      </c>
      <c r="G188" s="2488"/>
      <c r="H188" s="2752">
        <v>45</v>
      </c>
      <c r="I188" s="2752">
        <v>2</v>
      </c>
      <c r="J188" s="2488"/>
      <c r="K188" s="2614"/>
      <c r="L188" s="2488"/>
      <c r="M188" s="2614"/>
      <c r="N188" s="2479" t="str">
        <f t="shared" si="4"/>
        <v>NORTHEAST, UT, Distribution, Unattended</v>
      </c>
    </row>
    <row r="189" spans="1:14" ht="15" customHeight="1" x14ac:dyDescent="0.2">
      <c r="A189" s="3003">
        <f t="shared" si="5"/>
        <v>40.509999999998811</v>
      </c>
      <c r="B189" s="2512" t="s">
        <v>11447</v>
      </c>
      <c r="C189" s="2489" t="s">
        <v>512</v>
      </c>
      <c r="D189" s="2489" t="s">
        <v>10937</v>
      </c>
      <c r="E189" s="3041">
        <v>46</v>
      </c>
      <c r="F189" s="3041">
        <v>12.47</v>
      </c>
      <c r="G189" s="2488"/>
      <c r="H189" s="2752">
        <v>14</v>
      </c>
      <c r="I189" s="2752">
        <v>1</v>
      </c>
      <c r="J189" s="2488"/>
      <c r="K189" s="2614"/>
      <c r="L189" s="2488"/>
      <c r="M189" s="2614"/>
      <c r="N189" s="2479" t="str">
        <f t="shared" si="4"/>
        <v>NORTHRIDGE, UT, Distribution, Unattended</v>
      </c>
    </row>
    <row r="190" spans="1:14" ht="15" customHeight="1" x14ac:dyDescent="0.2">
      <c r="A190" s="3003">
        <f t="shared" si="5"/>
        <v>40.510999999998809</v>
      </c>
      <c r="B190" s="2512" t="s">
        <v>11448</v>
      </c>
      <c r="C190" s="2489" t="s">
        <v>512</v>
      </c>
      <c r="D190" s="2489" t="s">
        <v>10937</v>
      </c>
      <c r="E190" s="3041">
        <v>46</v>
      </c>
      <c r="F190" s="3041">
        <v>12.47</v>
      </c>
      <c r="G190" s="2488"/>
      <c r="H190" s="2752">
        <v>22</v>
      </c>
      <c r="I190" s="2752">
        <v>1</v>
      </c>
      <c r="J190" s="2488"/>
      <c r="K190" s="2614"/>
      <c r="L190" s="2488"/>
      <c r="M190" s="2614"/>
      <c r="N190" s="2479" t="str">
        <f t="shared" si="4"/>
        <v>OAKLAND AVENUE, UT, Distribution, Unattended</v>
      </c>
    </row>
    <row r="191" spans="1:14" ht="15" customHeight="1" x14ac:dyDescent="0.2">
      <c r="A191" s="3003">
        <f t="shared" si="5"/>
        <v>40.511999999998807</v>
      </c>
      <c r="B191" s="2512" t="s">
        <v>11449</v>
      </c>
      <c r="C191" s="2489" t="s">
        <v>512</v>
      </c>
      <c r="D191" s="2489" t="s">
        <v>10937</v>
      </c>
      <c r="E191" s="3041">
        <v>46</v>
      </c>
      <c r="F191" s="3041">
        <v>12.47</v>
      </c>
      <c r="G191" s="2488"/>
      <c r="H191" s="2752">
        <v>6</v>
      </c>
      <c r="I191" s="2752">
        <v>1</v>
      </c>
      <c r="J191" s="2488"/>
      <c r="K191" s="2614"/>
      <c r="L191" s="2488"/>
      <c r="M191" s="2614"/>
      <c r="N191" s="2479" t="str">
        <f t="shared" si="4"/>
        <v>OAKLEY, UT, Distribution, Unattended</v>
      </c>
    </row>
    <row r="192" spans="1:14" ht="15" customHeight="1" x14ac:dyDescent="0.2">
      <c r="A192" s="3003">
        <f t="shared" si="5"/>
        <v>40.512999999998804</v>
      </c>
      <c r="B192" s="2512" t="s">
        <v>11450</v>
      </c>
      <c r="C192" s="2489" t="s">
        <v>512</v>
      </c>
      <c r="D192" s="2489" t="s">
        <v>10937</v>
      </c>
      <c r="E192" s="3041">
        <v>46</v>
      </c>
      <c r="F192" s="3041">
        <v>12.47</v>
      </c>
      <c r="G192" s="2488"/>
      <c r="H192" s="2752">
        <v>22</v>
      </c>
      <c r="I192" s="2752">
        <v>1</v>
      </c>
      <c r="J192" s="2488"/>
      <c r="K192" s="2614"/>
      <c r="L192" s="2488"/>
      <c r="M192" s="2614"/>
      <c r="N192" s="2479" t="str">
        <f t="shared" si="4"/>
        <v>OLYMPUS, UT, Distribution, Unattended</v>
      </c>
    </row>
    <row r="193" spans="1:14" ht="15" customHeight="1" x14ac:dyDescent="0.2">
      <c r="A193" s="3003">
        <f t="shared" si="5"/>
        <v>40.513999999998802</v>
      </c>
      <c r="B193" s="2512" t="s">
        <v>11451</v>
      </c>
      <c r="C193" s="2489" t="s">
        <v>512</v>
      </c>
      <c r="D193" s="2489" t="s">
        <v>10937</v>
      </c>
      <c r="E193" s="3041">
        <v>46</v>
      </c>
      <c r="F193" s="3041">
        <v>12.47</v>
      </c>
      <c r="G193" s="2488"/>
      <c r="H193" s="2752">
        <v>3</v>
      </c>
      <c r="I193" s="2752">
        <v>1</v>
      </c>
      <c r="J193" s="2488"/>
      <c r="K193" s="2614"/>
      <c r="L193" s="2488"/>
      <c r="M193" s="2614"/>
      <c r="N193" s="2479" t="str">
        <f t="shared" si="4"/>
        <v>OPHIR, UT, Distribution, Unattended</v>
      </c>
    </row>
    <row r="194" spans="1:14" ht="15" customHeight="1" x14ac:dyDescent="0.2">
      <c r="A194" s="3003">
        <f t="shared" si="5"/>
        <v>40.5149999999988</v>
      </c>
      <c r="B194" s="2512" t="s">
        <v>11452</v>
      </c>
      <c r="C194" s="2489" t="s">
        <v>512</v>
      </c>
      <c r="D194" s="2489" t="s">
        <v>10937</v>
      </c>
      <c r="E194" s="3041">
        <v>46</v>
      </c>
      <c r="F194" s="3041">
        <v>12.47</v>
      </c>
      <c r="G194" s="2488"/>
      <c r="H194" s="2752">
        <v>33</v>
      </c>
      <c r="I194" s="2752">
        <v>1</v>
      </c>
      <c r="J194" s="2488"/>
      <c r="K194" s="2614"/>
      <c r="L194" s="2488"/>
      <c r="M194" s="2614"/>
      <c r="N194" s="2479" t="str">
        <f t="shared" si="4"/>
        <v>ORANGE, UT, Distribution, Unattended</v>
      </c>
    </row>
    <row r="195" spans="1:14" ht="15" customHeight="1" x14ac:dyDescent="0.2">
      <c r="A195" s="3003">
        <f t="shared" si="5"/>
        <v>40.515999999998797</v>
      </c>
      <c r="B195" s="2512" t="s">
        <v>11453</v>
      </c>
      <c r="C195" s="2489" t="s">
        <v>512</v>
      </c>
      <c r="D195" s="2489" t="s">
        <v>10937</v>
      </c>
      <c r="E195" s="3041">
        <v>69</v>
      </c>
      <c r="F195" s="3041">
        <v>12.47</v>
      </c>
      <c r="G195" s="2488"/>
      <c r="H195" s="2752">
        <v>14</v>
      </c>
      <c r="I195" s="2752">
        <v>1</v>
      </c>
      <c r="J195" s="2488"/>
      <c r="K195" s="2614"/>
      <c r="L195" s="2488"/>
      <c r="M195" s="2614"/>
      <c r="N195" s="2479" t="str">
        <f t="shared" si="4"/>
        <v>ORANGEVILLE, UT, Distribution, Unattended</v>
      </c>
    </row>
    <row r="196" spans="1:14" ht="15" customHeight="1" x14ac:dyDescent="0.2">
      <c r="A196" s="3003">
        <f t="shared" si="5"/>
        <v>40.516999999998795</v>
      </c>
      <c r="B196" s="2512" t="s">
        <v>11454</v>
      </c>
      <c r="C196" s="2489" t="s">
        <v>512</v>
      </c>
      <c r="D196" s="2489" t="s">
        <v>10937</v>
      </c>
      <c r="E196" s="3041">
        <v>46</v>
      </c>
      <c r="F196" s="3041">
        <v>12.47</v>
      </c>
      <c r="G196" s="2488"/>
      <c r="H196" s="2752">
        <v>48</v>
      </c>
      <c r="I196" s="2752">
        <v>2</v>
      </c>
      <c r="J196" s="2488"/>
      <c r="K196" s="2614"/>
      <c r="L196" s="2488"/>
      <c r="M196" s="2614"/>
      <c r="N196" s="2479" t="str">
        <f t="shared" si="4"/>
        <v>OREM, UT, Distribution, Unattended</v>
      </c>
    </row>
    <row r="197" spans="1:14" ht="15" customHeight="1" x14ac:dyDescent="0.2">
      <c r="A197" s="3003">
        <f t="shared" si="5"/>
        <v>40.517999999998793</v>
      </c>
      <c r="B197" s="2512" t="s">
        <v>11455</v>
      </c>
      <c r="C197" s="2489" t="s">
        <v>512</v>
      </c>
      <c r="D197" s="2489" t="s">
        <v>10937</v>
      </c>
      <c r="E197" s="3041">
        <v>69</v>
      </c>
      <c r="F197" s="3041">
        <v>12.47</v>
      </c>
      <c r="G197" s="2488"/>
      <c r="H197" s="2752">
        <v>5</v>
      </c>
      <c r="I197" s="2752">
        <v>1</v>
      </c>
      <c r="J197" s="2488"/>
      <c r="K197" s="2614"/>
      <c r="L197" s="2488"/>
      <c r="M197" s="2614"/>
      <c r="N197" s="2479" t="str">
        <f t="shared" si="4"/>
        <v>PANGUITCH, UT, Distribution, Unattended</v>
      </c>
    </row>
    <row r="198" spans="1:14" ht="15" customHeight="1" x14ac:dyDescent="0.2">
      <c r="A198" s="3003">
        <f t="shared" si="5"/>
        <v>40.51899999999879</v>
      </c>
      <c r="B198" s="2512" t="s">
        <v>11456</v>
      </c>
      <c r="C198" s="2489" t="s">
        <v>512</v>
      </c>
      <c r="D198" s="2489" t="s">
        <v>10937</v>
      </c>
      <c r="E198" s="3041">
        <v>69</v>
      </c>
      <c r="F198" s="3041">
        <v>24.9</v>
      </c>
      <c r="G198" s="2488"/>
      <c r="H198" s="2752">
        <v>14</v>
      </c>
      <c r="I198" s="2752">
        <v>1</v>
      </c>
      <c r="J198" s="2488"/>
      <c r="K198" s="2614"/>
      <c r="L198" s="2488"/>
      <c r="M198" s="2614"/>
      <c r="N198" s="2479" t="str">
        <f t="shared" si="4"/>
        <v>PARIETTE, UT, Distribution, Unattended</v>
      </c>
    </row>
    <row r="199" spans="1:14" ht="15" customHeight="1" x14ac:dyDescent="0.2">
      <c r="A199" s="3003">
        <f t="shared" si="5"/>
        <v>40.519999999998788</v>
      </c>
      <c r="B199" s="2512" t="s">
        <v>11457</v>
      </c>
      <c r="C199" s="2489" t="s">
        <v>512</v>
      </c>
      <c r="D199" s="2489" t="s">
        <v>10937</v>
      </c>
      <c r="E199" s="3041">
        <v>46</v>
      </c>
      <c r="F199" s="3041">
        <v>12.47</v>
      </c>
      <c r="G199" s="2488"/>
      <c r="H199" s="2752">
        <v>42</v>
      </c>
      <c r="I199" s="2752">
        <v>2</v>
      </c>
      <c r="J199" s="2488"/>
      <c r="K199" s="2614"/>
      <c r="L199" s="2488"/>
      <c r="M199" s="2614"/>
      <c r="N199" s="2479" t="str">
        <f t="shared" si="4"/>
        <v>PARK CITY, UT, Distribution, Unattended</v>
      </c>
    </row>
    <row r="200" spans="1:14" ht="15" customHeight="1" x14ac:dyDescent="0.2">
      <c r="A200" s="3003">
        <f t="shared" si="5"/>
        <v>40.520999999998786</v>
      </c>
      <c r="B200" s="2512" t="s">
        <v>11458</v>
      </c>
      <c r="C200" s="2489" t="s">
        <v>512</v>
      </c>
      <c r="D200" s="2489" t="s">
        <v>10937</v>
      </c>
      <c r="E200" s="3041">
        <v>138</v>
      </c>
      <c r="F200" s="3041">
        <v>12.47</v>
      </c>
      <c r="G200" s="2488"/>
      <c r="H200" s="2752">
        <v>60</v>
      </c>
      <c r="I200" s="2752">
        <v>2</v>
      </c>
      <c r="J200" s="2488"/>
      <c r="K200" s="2614"/>
      <c r="L200" s="2488"/>
      <c r="M200" s="2614"/>
      <c r="N200" s="2479" t="str">
        <f t="shared" si="4"/>
        <v>PARKSIDE, UT, Distribution, Unattended</v>
      </c>
    </row>
    <row r="201" spans="1:14" ht="15" customHeight="1" x14ac:dyDescent="0.2">
      <c r="A201" s="3003">
        <f t="shared" si="5"/>
        <v>40.521999999998783</v>
      </c>
      <c r="B201" s="2512" t="s">
        <v>11459</v>
      </c>
      <c r="C201" s="2489" t="s">
        <v>512</v>
      </c>
      <c r="D201" s="2489" t="s">
        <v>10937</v>
      </c>
      <c r="E201" s="3041">
        <v>138</v>
      </c>
      <c r="F201" s="3041">
        <v>12.47</v>
      </c>
      <c r="G201" s="2488"/>
      <c r="H201" s="2752">
        <v>50</v>
      </c>
      <c r="I201" s="2752">
        <v>2</v>
      </c>
      <c r="J201" s="2488"/>
      <c r="K201" s="2614"/>
      <c r="L201" s="2488"/>
      <c r="M201" s="2614"/>
      <c r="N201" s="2479" t="str">
        <f t="shared" si="4"/>
        <v>PARKWAY, UT, Distribution, Unattended</v>
      </c>
    </row>
    <row r="202" spans="1:14" ht="15" customHeight="1" x14ac:dyDescent="0.2">
      <c r="A202" s="3003">
        <f t="shared" si="5"/>
        <v>40.522999999998781</v>
      </c>
      <c r="B202" s="2512" t="s">
        <v>11460</v>
      </c>
      <c r="C202" s="2489" t="s">
        <v>512</v>
      </c>
      <c r="D202" s="2489" t="s">
        <v>10937</v>
      </c>
      <c r="E202" s="3041">
        <v>46</v>
      </c>
      <c r="F202" s="3041">
        <v>12.47</v>
      </c>
      <c r="G202" s="2488"/>
      <c r="H202" s="2752">
        <v>16</v>
      </c>
      <c r="I202" s="2752">
        <v>2</v>
      </c>
      <c r="J202" s="2488"/>
      <c r="K202" s="2614"/>
      <c r="L202" s="2488"/>
      <c r="M202" s="2614"/>
      <c r="N202" s="2479" t="str">
        <f t="shared" ref="N202:N265" si="6">CONCATENATE(B202,", ",C202,", ",D202)</f>
        <v>PARLEYS, UT, Distribution, Unattended</v>
      </c>
    </row>
    <row r="203" spans="1:14" ht="15" customHeight="1" x14ac:dyDescent="0.2">
      <c r="A203" s="3003">
        <f t="shared" ref="A203:A266" si="7">A202+0.001</f>
        <v>40.523999999998779</v>
      </c>
      <c r="B203" s="2512" t="s">
        <v>11461</v>
      </c>
      <c r="C203" s="2489" t="s">
        <v>512</v>
      </c>
      <c r="D203" s="2489" t="s">
        <v>10937</v>
      </c>
      <c r="E203" s="3041">
        <v>46</v>
      </c>
      <c r="F203" s="3041">
        <v>12.47</v>
      </c>
      <c r="G203" s="2488"/>
      <c r="H203" s="2752">
        <v>6</v>
      </c>
      <c r="I203" s="2752">
        <v>1</v>
      </c>
      <c r="J203" s="2488"/>
      <c r="K203" s="2614"/>
      <c r="L203" s="2488"/>
      <c r="M203" s="2614"/>
      <c r="N203" s="2479" t="str">
        <f t="shared" si="6"/>
        <v>PELICAN POINT, UT, Distribution, Unattended</v>
      </c>
    </row>
    <row r="204" spans="1:14" ht="15" customHeight="1" x14ac:dyDescent="0.2">
      <c r="A204" s="3003">
        <f t="shared" si="7"/>
        <v>40.524999999998776</v>
      </c>
      <c r="B204" s="2512" t="s">
        <v>11462</v>
      </c>
      <c r="C204" s="2489" t="s">
        <v>512</v>
      </c>
      <c r="D204" s="2489" t="s">
        <v>10937</v>
      </c>
      <c r="E204" s="3041">
        <v>46</v>
      </c>
      <c r="F204" s="3041">
        <v>12.47</v>
      </c>
      <c r="G204" s="2488"/>
      <c r="H204" s="2752">
        <v>30</v>
      </c>
      <c r="I204" s="2752">
        <v>1</v>
      </c>
      <c r="J204" s="2488"/>
      <c r="K204" s="2614"/>
      <c r="L204" s="2488"/>
      <c r="M204" s="2614"/>
      <c r="N204" s="2479" t="str">
        <f t="shared" si="6"/>
        <v>PETERSON, UT, Distribution, Unattended</v>
      </c>
    </row>
    <row r="205" spans="1:14" ht="15" customHeight="1" x14ac:dyDescent="0.2">
      <c r="A205" s="3003">
        <f t="shared" si="7"/>
        <v>40.525999999998774</v>
      </c>
      <c r="B205" s="2512" t="s">
        <v>11463</v>
      </c>
      <c r="C205" s="2489" t="s">
        <v>512</v>
      </c>
      <c r="D205" s="2489" t="s">
        <v>10937</v>
      </c>
      <c r="E205" s="3041">
        <v>138</v>
      </c>
      <c r="F205" s="3041">
        <v>12.47</v>
      </c>
      <c r="G205" s="2488"/>
      <c r="H205" s="2752">
        <v>55</v>
      </c>
      <c r="I205" s="2752">
        <v>2</v>
      </c>
      <c r="J205" s="2488"/>
      <c r="K205" s="2614"/>
      <c r="L205" s="2488"/>
      <c r="M205" s="2614"/>
      <c r="N205" s="2479" t="str">
        <f t="shared" si="6"/>
        <v>PINE CANYON, UT, Distribution, Unattended</v>
      </c>
    </row>
    <row r="206" spans="1:14" ht="15" customHeight="1" x14ac:dyDescent="0.2">
      <c r="A206" s="3003">
        <f t="shared" si="7"/>
        <v>40.526999999998772</v>
      </c>
      <c r="B206" s="2512" t="s">
        <v>11464</v>
      </c>
      <c r="C206" s="2489" t="s">
        <v>512</v>
      </c>
      <c r="D206" s="2489" t="s">
        <v>10937</v>
      </c>
      <c r="E206" s="3041">
        <v>46</v>
      </c>
      <c r="F206" s="3041">
        <v>12.47</v>
      </c>
      <c r="G206" s="2488"/>
      <c r="H206" s="2752">
        <v>6</v>
      </c>
      <c r="I206" s="2752">
        <v>1</v>
      </c>
      <c r="J206" s="2488"/>
      <c r="K206" s="2614"/>
      <c r="L206" s="2488"/>
      <c r="M206" s="2614"/>
      <c r="N206" s="2479" t="str">
        <f t="shared" si="6"/>
        <v>PINE CREEK, UT, Distribution, Unattended</v>
      </c>
    </row>
    <row r="207" spans="1:14" ht="15" customHeight="1" x14ac:dyDescent="0.2">
      <c r="A207" s="3003">
        <f t="shared" si="7"/>
        <v>40.527999999998769</v>
      </c>
      <c r="B207" s="2512" t="s">
        <v>11465</v>
      </c>
      <c r="C207" s="2489" t="s">
        <v>512</v>
      </c>
      <c r="D207" s="2489" t="s">
        <v>10937</v>
      </c>
      <c r="E207" s="3041">
        <v>46</v>
      </c>
      <c r="F207" s="3041">
        <v>12.47</v>
      </c>
      <c r="G207" s="2488"/>
      <c r="H207" s="2752">
        <v>14</v>
      </c>
      <c r="I207" s="2752">
        <v>1</v>
      </c>
      <c r="J207" s="2488"/>
      <c r="K207" s="2614"/>
      <c r="L207" s="2488"/>
      <c r="M207" s="2614"/>
      <c r="N207" s="2479" t="str">
        <f t="shared" si="6"/>
        <v>PINNACLE, UT, Distribution, Unattended</v>
      </c>
    </row>
    <row r="208" spans="1:14" ht="15" customHeight="1" x14ac:dyDescent="0.2">
      <c r="A208" s="3003">
        <f t="shared" si="7"/>
        <v>40.528999999998767</v>
      </c>
      <c r="B208" s="2512" t="s">
        <v>11466</v>
      </c>
      <c r="C208" s="2489" t="s">
        <v>512</v>
      </c>
      <c r="D208" s="2489" t="s">
        <v>10937</v>
      </c>
      <c r="E208" s="3041">
        <v>138</v>
      </c>
      <c r="F208" s="3041">
        <v>12.47</v>
      </c>
      <c r="G208" s="2488"/>
      <c r="H208" s="2752">
        <v>22</v>
      </c>
      <c r="I208" s="2752">
        <v>1</v>
      </c>
      <c r="J208" s="2488"/>
      <c r="K208" s="2614"/>
      <c r="L208" s="2488"/>
      <c r="M208" s="2614"/>
      <c r="N208" s="2479" t="str">
        <f t="shared" si="6"/>
        <v>PLAIN CITY, UT, Distribution, Unattended</v>
      </c>
    </row>
    <row r="209" spans="1:14" ht="15" customHeight="1" x14ac:dyDescent="0.2">
      <c r="A209" s="3003">
        <f t="shared" si="7"/>
        <v>40.529999999998765</v>
      </c>
      <c r="B209" s="2512" t="s">
        <v>11467</v>
      </c>
      <c r="C209" s="2489" t="s">
        <v>512</v>
      </c>
      <c r="D209" s="2489" t="s">
        <v>10937</v>
      </c>
      <c r="E209" s="3041">
        <v>138</v>
      </c>
      <c r="F209" s="3041">
        <v>12.47</v>
      </c>
      <c r="G209" s="2488"/>
      <c r="H209" s="2752">
        <v>30</v>
      </c>
      <c r="I209" s="2752">
        <v>1</v>
      </c>
      <c r="J209" s="2488"/>
      <c r="K209" s="2614"/>
      <c r="L209" s="2488"/>
      <c r="M209" s="2614"/>
      <c r="N209" s="2479" t="str">
        <f t="shared" si="6"/>
        <v>PLEASANT GROVE, UT, Distribution, Unattended</v>
      </c>
    </row>
    <row r="210" spans="1:14" ht="15" customHeight="1" x14ac:dyDescent="0.2">
      <c r="A210" s="3003">
        <f t="shared" si="7"/>
        <v>40.530999999998762</v>
      </c>
      <c r="B210" s="2512" t="s">
        <v>11468</v>
      </c>
      <c r="C210" s="2489" t="s">
        <v>512</v>
      </c>
      <c r="D210" s="2489" t="s">
        <v>10937</v>
      </c>
      <c r="E210" s="3041">
        <v>46</v>
      </c>
      <c r="F210" s="3041">
        <v>12.47</v>
      </c>
      <c r="G210" s="2488"/>
      <c r="H210" s="2752">
        <v>14</v>
      </c>
      <c r="I210" s="2752">
        <v>1</v>
      </c>
      <c r="J210" s="2488"/>
      <c r="K210" s="2614"/>
      <c r="L210" s="2488"/>
      <c r="M210" s="2614"/>
      <c r="N210" s="2479" t="str">
        <f t="shared" si="6"/>
        <v>PLEASANT VIEW, UT, Distribution, Unattended</v>
      </c>
    </row>
    <row r="211" spans="1:14" ht="15" customHeight="1" x14ac:dyDescent="0.2">
      <c r="A211" s="3003">
        <f t="shared" si="7"/>
        <v>40.53199999999876</v>
      </c>
      <c r="B211" s="2512" t="s">
        <v>10792</v>
      </c>
      <c r="C211" s="2489" t="s">
        <v>512</v>
      </c>
      <c r="D211" s="2489" t="s">
        <v>10937</v>
      </c>
      <c r="E211" s="3041">
        <v>138</v>
      </c>
      <c r="F211" s="3041">
        <v>12.47</v>
      </c>
      <c r="G211" s="2488"/>
      <c r="H211" s="2752">
        <v>60</v>
      </c>
      <c r="I211" s="2752">
        <v>2</v>
      </c>
      <c r="J211" s="2488"/>
      <c r="K211" s="2614"/>
      <c r="L211" s="2488"/>
      <c r="M211" s="2614"/>
      <c r="N211" s="2479" t="str">
        <f t="shared" si="6"/>
        <v>PONY EXPRESS, UT, Distribution, Unattended</v>
      </c>
    </row>
    <row r="212" spans="1:14" ht="15" customHeight="1" x14ac:dyDescent="0.2">
      <c r="A212" s="3003">
        <f t="shared" si="7"/>
        <v>40.532999999998758</v>
      </c>
      <c r="B212" s="2512" t="s">
        <v>11469</v>
      </c>
      <c r="C212" s="2489" t="s">
        <v>512</v>
      </c>
      <c r="D212" s="2489" t="s">
        <v>10937</v>
      </c>
      <c r="E212" s="3041">
        <v>138</v>
      </c>
      <c r="F212" s="3041">
        <v>13.2</v>
      </c>
      <c r="G212" s="2488"/>
      <c r="H212" s="2752">
        <v>60</v>
      </c>
      <c r="I212" s="2752">
        <v>2</v>
      </c>
      <c r="J212" s="2488"/>
      <c r="K212" s="2614"/>
      <c r="L212" s="2488"/>
      <c r="M212" s="2614"/>
      <c r="N212" s="2479" t="str">
        <f t="shared" si="6"/>
        <v>PORTER ROCKWELL, UT, Distribution, Unattended</v>
      </c>
    </row>
    <row r="213" spans="1:14" ht="15" customHeight="1" x14ac:dyDescent="0.2">
      <c r="A213" s="3003">
        <f t="shared" si="7"/>
        <v>40.533999999998755</v>
      </c>
      <c r="B213" s="2512" t="s">
        <v>11470</v>
      </c>
      <c r="C213" s="2489" t="s">
        <v>512</v>
      </c>
      <c r="D213" s="2489" t="s">
        <v>10937</v>
      </c>
      <c r="E213" s="3041">
        <v>46</v>
      </c>
      <c r="F213" s="3041">
        <v>12.47</v>
      </c>
      <c r="G213" s="2488"/>
      <c r="H213" s="2752">
        <v>2</v>
      </c>
      <c r="I213" s="2752">
        <v>1</v>
      </c>
      <c r="J213" s="2488"/>
      <c r="K213" s="2614"/>
      <c r="L213" s="2488"/>
      <c r="M213" s="2614"/>
      <c r="N213" s="2479" t="str">
        <f t="shared" si="6"/>
        <v>PROMONTORY, UT, Distribution, Unattended</v>
      </c>
    </row>
    <row r="214" spans="1:14" ht="15" customHeight="1" x14ac:dyDescent="0.2">
      <c r="A214" s="3003">
        <f t="shared" si="7"/>
        <v>40.534999999998753</v>
      </c>
      <c r="B214" s="2512" t="s">
        <v>11471</v>
      </c>
      <c r="C214" s="2489" t="s">
        <v>512</v>
      </c>
      <c r="D214" s="2489" t="s">
        <v>10937</v>
      </c>
      <c r="E214" s="3041">
        <v>69</v>
      </c>
      <c r="F214" s="3041">
        <v>12.47</v>
      </c>
      <c r="G214" s="2488"/>
      <c r="H214" s="2752">
        <v>14</v>
      </c>
      <c r="I214" s="2752">
        <v>1</v>
      </c>
      <c r="J214" s="2488"/>
      <c r="K214" s="2614"/>
      <c r="L214" s="2488"/>
      <c r="M214" s="2614"/>
      <c r="N214" s="2479" t="str">
        <f t="shared" si="6"/>
        <v>QUAIL CREEK, UT, Distribution, Unattended</v>
      </c>
    </row>
    <row r="215" spans="1:14" ht="15" customHeight="1" x14ac:dyDescent="0.2">
      <c r="A215" s="3003">
        <f t="shared" si="7"/>
        <v>40.535999999998751</v>
      </c>
      <c r="B215" s="2512" t="s">
        <v>11472</v>
      </c>
      <c r="C215" s="2489" t="s">
        <v>512</v>
      </c>
      <c r="D215" s="2489" t="s">
        <v>10937</v>
      </c>
      <c r="E215" s="3041">
        <v>138</v>
      </c>
      <c r="F215" s="3041">
        <v>12.47</v>
      </c>
      <c r="G215" s="2488"/>
      <c r="H215" s="2752">
        <v>60</v>
      </c>
      <c r="I215" s="2752">
        <v>2</v>
      </c>
      <c r="J215" s="2488"/>
      <c r="K215" s="2614"/>
      <c r="L215" s="2488"/>
      <c r="M215" s="2614"/>
      <c r="N215" s="2479" t="str">
        <f t="shared" si="6"/>
        <v>QUARRY, UT, Distribution, Unattended</v>
      </c>
    </row>
    <row r="216" spans="1:14" ht="15" customHeight="1" x14ac:dyDescent="0.2">
      <c r="A216" s="3003">
        <f t="shared" si="7"/>
        <v>40.536999999998748</v>
      </c>
      <c r="B216" s="2512" t="s">
        <v>11473</v>
      </c>
      <c r="C216" s="2489" t="s">
        <v>512</v>
      </c>
      <c r="D216" s="2489" t="s">
        <v>10937</v>
      </c>
      <c r="E216" s="3041">
        <v>34.5</v>
      </c>
      <c r="F216" s="3041">
        <v>12.47</v>
      </c>
      <c r="G216" s="3043">
        <v>7.2</v>
      </c>
      <c r="H216" s="2752">
        <v>14</v>
      </c>
      <c r="I216" s="2752">
        <v>1</v>
      </c>
      <c r="J216" s="2488"/>
      <c r="K216" s="2614"/>
      <c r="L216" s="2488"/>
      <c r="M216" s="2614"/>
      <c r="N216" s="2479" t="str">
        <f t="shared" si="6"/>
        <v>QUICHAPA, UT, Distribution, Unattended</v>
      </c>
    </row>
    <row r="217" spans="1:14" ht="15" customHeight="1" x14ac:dyDescent="0.2">
      <c r="A217" s="3003">
        <f t="shared" si="7"/>
        <v>40.537999999998746</v>
      </c>
      <c r="B217" s="2512" t="s">
        <v>11474</v>
      </c>
      <c r="C217" s="2489" t="s">
        <v>512</v>
      </c>
      <c r="D217" s="2489" t="s">
        <v>10937</v>
      </c>
      <c r="E217" s="3041">
        <v>46</v>
      </c>
      <c r="F217" s="3041">
        <v>7.2</v>
      </c>
      <c r="G217" s="2488"/>
      <c r="H217" s="2752">
        <v>0</v>
      </c>
      <c r="I217" s="2752">
        <v>1</v>
      </c>
      <c r="J217" s="2488"/>
      <c r="K217" s="2614"/>
      <c r="L217" s="2488"/>
      <c r="M217" s="2614"/>
      <c r="N217" s="2479" t="str">
        <f t="shared" si="6"/>
        <v>RAINS, UT, Distribution, Unattended</v>
      </c>
    </row>
    <row r="218" spans="1:14" ht="15" customHeight="1" x14ac:dyDescent="0.2">
      <c r="A218" s="3003">
        <f t="shared" si="7"/>
        <v>40.538999999998744</v>
      </c>
      <c r="B218" s="2512" t="s">
        <v>11475</v>
      </c>
      <c r="C218" s="2489" t="s">
        <v>512</v>
      </c>
      <c r="D218" s="2489" t="s">
        <v>10937</v>
      </c>
      <c r="E218" s="3041">
        <v>46</v>
      </c>
      <c r="F218" s="3041">
        <v>12.47</v>
      </c>
      <c r="G218" s="2488"/>
      <c r="H218" s="2752">
        <v>2</v>
      </c>
      <c r="I218" s="2752">
        <v>1</v>
      </c>
      <c r="J218" s="2488"/>
      <c r="K218" s="2614"/>
      <c r="L218" s="2488"/>
      <c r="M218" s="2614"/>
      <c r="N218" s="2479" t="str">
        <f t="shared" si="6"/>
        <v>RANDOLPH, UT, Distribution, Unattended</v>
      </c>
    </row>
    <row r="219" spans="1:14" ht="15" customHeight="1" x14ac:dyDescent="0.2">
      <c r="A219" s="3003">
        <f t="shared" si="7"/>
        <v>40.539999999998741</v>
      </c>
      <c r="B219" s="2512" t="s">
        <v>11476</v>
      </c>
      <c r="C219" s="2489" t="s">
        <v>512</v>
      </c>
      <c r="D219" s="2489" t="s">
        <v>10937</v>
      </c>
      <c r="E219" s="3041">
        <v>46</v>
      </c>
      <c r="F219" s="3041">
        <v>12.47</v>
      </c>
      <c r="G219" s="2488"/>
      <c r="H219" s="2752">
        <v>2</v>
      </c>
      <c r="I219" s="2752">
        <v>1</v>
      </c>
      <c r="J219" s="2750">
        <v>1</v>
      </c>
      <c r="K219" s="2614"/>
      <c r="L219" s="2488"/>
      <c r="M219" s="2614"/>
      <c r="N219" s="2479" t="str">
        <f t="shared" si="6"/>
        <v>RASMUSON, UT, Distribution, Unattended</v>
      </c>
    </row>
    <row r="220" spans="1:14" ht="15" customHeight="1" x14ac:dyDescent="0.2">
      <c r="A220" s="3003">
        <f t="shared" si="7"/>
        <v>40.540999999998739</v>
      </c>
      <c r="B220" s="2512" t="s">
        <v>11477</v>
      </c>
      <c r="C220" s="2489" t="s">
        <v>512</v>
      </c>
      <c r="D220" s="2489" t="s">
        <v>10937</v>
      </c>
      <c r="E220" s="3041">
        <v>69</v>
      </c>
      <c r="F220" s="3041">
        <v>24.9</v>
      </c>
      <c r="G220" s="2488"/>
      <c r="H220" s="2752">
        <v>14</v>
      </c>
      <c r="I220" s="2752">
        <v>1</v>
      </c>
      <c r="J220" s="2488"/>
      <c r="K220" s="2614"/>
      <c r="L220" s="2488"/>
      <c r="M220" s="2614"/>
      <c r="N220" s="2479" t="str">
        <f t="shared" si="6"/>
        <v>RATTLESNAKE, UT, Distribution, Unattended</v>
      </c>
    </row>
    <row r="221" spans="1:14" ht="15" customHeight="1" x14ac:dyDescent="0.2">
      <c r="A221" s="3003">
        <f t="shared" si="7"/>
        <v>40.541999999998737</v>
      </c>
      <c r="B221" s="2512" t="s">
        <v>11478</v>
      </c>
      <c r="C221" s="2489" t="s">
        <v>512</v>
      </c>
      <c r="D221" s="2489" t="s">
        <v>10937</v>
      </c>
      <c r="E221" s="3041">
        <v>46</v>
      </c>
      <c r="F221" s="3041">
        <v>12.47</v>
      </c>
      <c r="G221" s="2488"/>
      <c r="H221" s="2752">
        <v>45</v>
      </c>
      <c r="I221" s="2752">
        <v>2</v>
      </c>
      <c r="J221" s="2488"/>
      <c r="K221" s="2614"/>
      <c r="L221" s="2488"/>
      <c r="M221" s="2614"/>
      <c r="N221" s="2479" t="str">
        <f t="shared" si="6"/>
        <v>REDWOOD, UT, Distribution, Unattended</v>
      </c>
    </row>
    <row r="222" spans="1:14" ht="15" customHeight="1" x14ac:dyDescent="0.2">
      <c r="A222" s="3003">
        <f t="shared" si="7"/>
        <v>40.542999999998734</v>
      </c>
      <c r="B222" s="2512" t="s">
        <v>11479</v>
      </c>
      <c r="C222" s="2489" t="s">
        <v>512</v>
      </c>
      <c r="D222" s="2489" t="s">
        <v>10937</v>
      </c>
      <c r="E222" s="3041">
        <v>46</v>
      </c>
      <c r="F222" s="3041">
        <v>12.47</v>
      </c>
      <c r="G222" s="2488"/>
      <c r="H222" s="2752">
        <v>45</v>
      </c>
      <c r="I222" s="2752">
        <v>2</v>
      </c>
      <c r="J222" s="2488"/>
      <c r="K222" s="2614"/>
      <c r="L222" s="2488"/>
      <c r="M222" s="2614"/>
      <c r="N222" s="2479" t="str">
        <f t="shared" si="6"/>
        <v>RESEARCH PARK, UT, Distribution, Unattended</v>
      </c>
    </row>
    <row r="223" spans="1:14" ht="15" customHeight="1" x14ac:dyDescent="0.2">
      <c r="A223" s="3003">
        <f t="shared" si="7"/>
        <v>40.543999999998732</v>
      </c>
      <c r="B223" s="2512" t="s">
        <v>11480</v>
      </c>
      <c r="C223" s="2489" t="s">
        <v>512</v>
      </c>
      <c r="D223" s="2489" t="s">
        <v>10937</v>
      </c>
      <c r="E223" s="3041">
        <v>69</v>
      </c>
      <c r="F223" s="3041">
        <v>12.47</v>
      </c>
      <c r="G223" s="2488"/>
      <c r="H223" s="2752">
        <v>5</v>
      </c>
      <c r="I223" s="2752">
        <v>1</v>
      </c>
      <c r="J223" s="2488"/>
      <c r="K223" s="2614"/>
      <c r="L223" s="2488"/>
      <c r="M223" s="2614"/>
      <c r="N223" s="2479" t="str">
        <f t="shared" si="6"/>
        <v>RICH, UT, Distribution, Unattended</v>
      </c>
    </row>
    <row r="224" spans="1:14" ht="15" customHeight="1" x14ac:dyDescent="0.2">
      <c r="A224" s="3003">
        <f t="shared" si="7"/>
        <v>40.54499999999873</v>
      </c>
      <c r="B224" s="2512" t="s">
        <v>11481</v>
      </c>
      <c r="C224" s="2489" t="s">
        <v>512</v>
      </c>
      <c r="D224" s="2489" t="s">
        <v>10937</v>
      </c>
      <c r="E224" s="3041">
        <v>46</v>
      </c>
      <c r="F224" s="3041">
        <v>12.47</v>
      </c>
      <c r="G224" s="2488"/>
      <c r="H224" s="2752">
        <v>35</v>
      </c>
      <c r="I224" s="2752">
        <v>2</v>
      </c>
      <c r="J224" s="2488"/>
      <c r="K224" s="2614"/>
      <c r="L224" s="2488"/>
      <c r="M224" s="2614"/>
      <c r="N224" s="2479" t="str">
        <f t="shared" si="6"/>
        <v>RICHFIELD, UT, Distribution, Unattended</v>
      </c>
    </row>
    <row r="225" spans="1:14" ht="15" customHeight="1" x14ac:dyDescent="0.2">
      <c r="A225" s="3003">
        <f t="shared" si="7"/>
        <v>40.545999999998728</v>
      </c>
      <c r="B225" s="2512" t="s">
        <v>11482</v>
      </c>
      <c r="C225" s="2489" t="s">
        <v>512</v>
      </c>
      <c r="D225" s="2489" t="s">
        <v>10937</v>
      </c>
      <c r="E225" s="3041">
        <v>46</v>
      </c>
      <c r="F225" s="3041">
        <v>12.47</v>
      </c>
      <c r="G225" s="2488"/>
      <c r="H225" s="2752">
        <v>11</v>
      </c>
      <c r="I225" s="2752">
        <v>1</v>
      </c>
      <c r="J225" s="2488"/>
      <c r="K225" s="2614"/>
      <c r="L225" s="2488"/>
      <c r="M225" s="2614"/>
      <c r="N225" s="2479" t="str">
        <f t="shared" si="6"/>
        <v>RICHMOND, UT, Distribution, Unattended</v>
      </c>
    </row>
    <row r="226" spans="1:14" ht="15" customHeight="1" x14ac:dyDescent="0.2">
      <c r="A226" s="3003">
        <f t="shared" si="7"/>
        <v>40.546999999998725</v>
      </c>
      <c r="B226" s="2512" t="s">
        <v>11483</v>
      </c>
      <c r="C226" s="2489" t="s">
        <v>512</v>
      </c>
      <c r="D226" s="2489" t="s">
        <v>10937</v>
      </c>
      <c r="E226" s="3041">
        <v>138</v>
      </c>
      <c r="F226" s="3041">
        <v>12.47</v>
      </c>
      <c r="G226" s="2488"/>
      <c r="H226" s="2752">
        <v>40</v>
      </c>
      <c r="I226" s="2752">
        <v>2</v>
      </c>
      <c r="J226" s="2488"/>
      <c r="K226" s="2614"/>
      <c r="L226" s="2488"/>
      <c r="M226" s="2614"/>
      <c r="N226" s="2479" t="str">
        <f t="shared" si="6"/>
        <v>RIDGELAND, UT, Distribution, Unattended</v>
      </c>
    </row>
    <row r="227" spans="1:14" ht="15" customHeight="1" x14ac:dyDescent="0.2">
      <c r="A227" s="3003">
        <f t="shared" si="7"/>
        <v>40.547999999998723</v>
      </c>
      <c r="B227" s="2512" t="s">
        <v>11484</v>
      </c>
      <c r="C227" s="2489" t="s">
        <v>512</v>
      </c>
      <c r="D227" s="2489" t="s">
        <v>10937</v>
      </c>
      <c r="E227" s="3041">
        <v>46</v>
      </c>
      <c r="F227" s="3041">
        <v>12.47</v>
      </c>
      <c r="G227" s="2488"/>
      <c r="H227" s="2752">
        <v>20</v>
      </c>
      <c r="I227" s="2752">
        <v>1</v>
      </c>
      <c r="J227" s="2488"/>
      <c r="K227" s="2614"/>
      <c r="L227" s="2488"/>
      <c r="M227" s="2614"/>
      <c r="N227" s="2479" t="str">
        <f t="shared" si="6"/>
        <v>RITER, UT, Distribution, Unattended</v>
      </c>
    </row>
    <row r="228" spans="1:14" ht="15" customHeight="1" x14ac:dyDescent="0.2">
      <c r="A228" s="3003">
        <f t="shared" si="7"/>
        <v>40.548999999998721</v>
      </c>
      <c r="B228" s="2512" t="s">
        <v>10845</v>
      </c>
      <c r="C228" s="2489" t="s">
        <v>512</v>
      </c>
      <c r="D228" s="2489" t="s">
        <v>10937</v>
      </c>
      <c r="E228" s="3041">
        <v>138</v>
      </c>
      <c r="F228" s="3041">
        <v>46</v>
      </c>
      <c r="G228" s="3043">
        <v>6.6</v>
      </c>
      <c r="H228" s="2752">
        <v>180</v>
      </c>
      <c r="I228" s="2752">
        <v>3</v>
      </c>
      <c r="J228" s="2488"/>
      <c r="K228" s="2614"/>
      <c r="L228" s="2488"/>
      <c r="M228" s="2614"/>
      <c r="N228" s="2479" t="str">
        <f t="shared" si="6"/>
        <v>RIVERDALE, UT, Distribution, Unattended</v>
      </c>
    </row>
    <row r="229" spans="1:14" ht="15" customHeight="1" x14ac:dyDescent="0.2">
      <c r="A229" s="3003">
        <f t="shared" si="7"/>
        <v>40.549999999998718</v>
      </c>
      <c r="B229" s="2512" t="s">
        <v>11485</v>
      </c>
      <c r="C229" s="2489" t="s">
        <v>512</v>
      </c>
      <c r="D229" s="2489" t="s">
        <v>10937</v>
      </c>
      <c r="E229" s="3041">
        <v>69</v>
      </c>
      <c r="F229" s="3041">
        <v>12.47</v>
      </c>
      <c r="G229" s="2488"/>
      <c r="H229" s="2752">
        <v>5</v>
      </c>
      <c r="I229" s="2752">
        <v>1</v>
      </c>
      <c r="J229" s="2488"/>
      <c r="K229" s="2614"/>
      <c r="L229" s="2488"/>
      <c r="M229" s="2614"/>
      <c r="N229" s="2479" t="str">
        <f t="shared" si="6"/>
        <v>ROCK CANYON, UT, Distribution, Unattended</v>
      </c>
    </row>
    <row r="230" spans="1:14" ht="15" customHeight="1" x14ac:dyDescent="0.2">
      <c r="A230" s="3003">
        <f t="shared" si="7"/>
        <v>40.550999999998716</v>
      </c>
      <c r="B230" s="2512" t="s">
        <v>11486</v>
      </c>
      <c r="C230" s="2489" t="s">
        <v>512</v>
      </c>
      <c r="D230" s="2489" t="s">
        <v>10937</v>
      </c>
      <c r="E230" s="3041">
        <v>34.5</v>
      </c>
      <c r="F230" s="3041">
        <v>12.47</v>
      </c>
      <c r="G230" s="2488"/>
      <c r="H230" s="2752">
        <v>4</v>
      </c>
      <c r="I230" s="2752">
        <v>1</v>
      </c>
      <c r="J230" s="2488"/>
      <c r="K230" s="2614"/>
      <c r="L230" s="2488"/>
      <c r="M230" s="2614"/>
      <c r="N230" s="2479" t="str">
        <f t="shared" si="6"/>
        <v>ROCKVILLE, UT, Distribution, Unattended</v>
      </c>
    </row>
    <row r="231" spans="1:14" ht="15" customHeight="1" x14ac:dyDescent="0.2">
      <c r="A231" s="3003">
        <f t="shared" si="7"/>
        <v>40.551999999998714</v>
      </c>
      <c r="B231" s="2512" t="s">
        <v>11487</v>
      </c>
      <c r="C231" s="2489" t="s">
        <v>512</v>
      </c>
      <c r="D231" s="2489" t="s">
        <v>10937</v>
      </c>
      <c r="E231" s="3041">
        <v>138</v>
      </c>
      <c r="F231" s="3041">
        <v>12.47</v>
      </c>
      <c r="G231" s="2488"/>
      <c r="H231" s="2752">
        <v>30</v>
      </c>
      <c r="I231" s="2752">
        <v>1</v>
      </c>
      <c r="J231" s="2488"/>
      <c r="K231" s="2614"/>
      <c r="L231" s="2488"/>
      <c r="M231" s="2614"/>
      <c r="N231" s="2479" t="str">
        <f t="shared" si="6"/>
        <v>ROCKY POINT, UT, Distribution, Unattended</v>
      </c>
    </row>
    <row r="232" spans="1:14" ht="15" customHeight="1" x14ac:dyDescent="0.2">
      <c r="A232" s="3003">
        <f t="shared" si="7"/>
        <v>40.552999999998711</v>
      </c>
      <c r="B232" s="2512" t="s">
        <v>11488</v>
      </c>
      <c r="C232" s="2489" t="s">
        <v>512</v>
      </c>
      <c r="D232" s="2489" t="s">
        <v>10937</v>
      </c>
      <c r="E232" s="3041">
        <v>46</v>
      </c>
      <c r="F232" s="3041">
        <v>12.47</v>
      </c>
      <c r="G232" s="2488"/>
      <c r="H232" s="2752">
        <v>42</v>
      </c>
      <c r="I232" s="2752">
        <v>2</v>
      </c>
      <c r="J232" s="2488"/>
      <c r="K232" s="2614"/>
      <c r="L232" s="2488"/>
      <c r="M232" s="2614"/>
      <c r="N232" s="2479" t="str">
        <f t="shared" si="6"/>
        <v>ROSE PARK, UT, Distribution, Unattended</v>
      </c>
    </row>
    <row r="233" spans="1:14" ht="15" customHeight="1" x14ac:dyDescent="0.2">
      <c r="A233" s="3003">
        <f t="shared" si="7"/>
        <v>40.553999999998709</v>
      </c>
      <c r="B233" s="2512" t="s">
        <v>11489</v>
      </c>
      <c r="C233" s="2489" t="s">
        <v>512</v>
      </c>
      <c r="D233" s="2489" t="s">
        <v>10937</v>
      </c>
      <c r="E233" s="3041">
        <v>46</v>
      </c>
      <c r="F233" s="3041">
        <v>4.16</v>
      </c>
      <c r="G233" s="2488"/>
      <c r="H233" s="2752">
        <v>0</v>
      </c>
      <c r="I233" s="2752">
        <v>3</v>
      </c>
      <c r="J233" s="2488"/>
      <c r="K233" s="2614"/>
      <c r="L233" s="2488"/>
      <c r="M233" s="2614"/>
      <c r="N233" s="2479" t="str">
        <f t="shared" si="6"/>
        <v>ROYAL, UT, Distribution, Unattended</v>
      </c>
    </row>
    <row r="234" spans="1:14" ht="15" customHeight="1" x14ac:dyDescent="0.2">
      <c r="A234" s="3003">
        <f t="shared" si="7"/>
        <v>40.554999999998707</v>
      </c>
      <c r="B234" s="2512" t="s">
        <v>11490</v>
      </c>
      <c r="C234" s="2489" t="s">
        <v>512</v>
      </c>
      <c r="D234" s="2489" t="s">
        <v>10937</v>
      </c>
      <c r="E234" s="3041">
        <v>46</v>
      </c>
      <c r="F234" s="3041">
        <v>12.47</v>
      </c>
      <c r="G234" s="2488"/>
      <c r="H234" s="2752">
        <v>11</v>
      </c>
      <c r="I234" s="2752">
        <v>1</v>
      </c>
      <c r="J234" s="2488"/>
      <c r="K234" s="2614"/>
      <c r="L234" s="2488"/>
      <c r="M234" s="2614"/>
      <c r="N234" s="2479" t="str">
        <f t="shared" si="6"/>
        <v>SALINA, UT, Distribution, Unattended</v>
      </c>
    </row>
    <row r="235" spans="1:14" ht="15" customHeight="1" x14ac:dyDescent="0.2">
      <c r="A235" s="3003">
        <f t="shared" si="7"/>
        <v>40.555999999998704</v>
      </c>
      <c r="B235" s="2512" t="s">
        <v>10730</v>
      </c>
      <c r="C235" s="2489" t="s">
        <v>512</v>
      </c>
      <c r="D235" s="2489" t="s">
        <v>10937</v>
      </c>
      <c r="E235" s="3041">
        <v>138</v>
      </c>
      <c r="F235" s="3041">
        <v>12.47</v>
      </c>
      <c r="G235" s="2488"/>
      <c r="H235" s="2752">
        <v>60</v>
      </c>
      <c r="I235" s="2752">
        <v>2</v>
      </c>
      <c r="J235" s="2488"/>
      <c r="K235" s="2614"/>
      <c r="L235" s="2488"/>
      <c r="M235" s="2614"/>
      <c r="N235" s="2479" t="str">
        <f t="shared" si="6"/>
        <v>SANDY, UT, Distribution, Unattended</v>
      </c>
    </row>
    <row r="236" spans="1:14" ht="15" customHeight="1" x14ac:dyDescent="0.2">
      <c r="A236" s="3003">
        <f t="shared" si="7"/>
        <v>40.556999999998702</v>
      </c>
      <c r="B236" s="2512" t="s">
        <v>11491</v>
      </c>
      <c r="C236" s="2489" t="s">
        <v>512</v>
      </c>
      <c r="D236" s="2489" t="s">
        <v>10937</v>
      </c>
      <c r="E236" s="3041">
        <v>138</v>
      </c>
      <c r="F236" s="3041">
        <v>13.2</v>
      </c>
      <c r="G236" s="2488"/>
      <c r="H236" s="2752">
        <v>60</v>
      </c>
      <c r="I236" s="2752">
        <v>2</v>
      </c>
      <c r="J236" s="2488"/>
      <c r="K236" s="2614"/>
      <c r="L236" s="2488"/>
      <c r="M236" s="2614"/>
      <c r="N236" s="2479" t="str">
        <f t="shared" si="6"/>
        <v>SARATOGA, UT, Distribution, Unattended</v>
      </c>
    </row>
    <row r="237" spans="1:14" ht="15" customHeight="1" x14ac:dyDescent="0.2">
      <c r="A237" s="3003">
        <f t="shared" si="7"/>
        <v>40.5579999999987</v>
      </c>
      <c r="B237" s="2512" t="s">
        <v>11492</v>
      </c>
      <c r="C237" s="2489" t="s">
        <v>512</v>
      </c>
      <c r="D237" s="2489" t="s">
        <v>10937</v>
      </c>
      <c r="E237" s="3041">
        <v>46</v>
      </c>
      <c r="F237" s="3041">
        <v>12.47</v>
      </c>
      <c r="G237" s="2488"/>
      <c r="H237" s="2752">
        <v>9</v>
      </c>
      <c r="I237" s="2752">
        <v>1</v>
      </c>
      <c r="J237" s="2488"/>
      <c r="K237" s="2614"/>
      <c r="L237" s="2488"/>
      <c r="M237" s="2614"/>
      <c r="N237" s="2479" t="str">
        <f t="shared" si="6"/>
        <v>SCHOO MINE, UT, Distribution, Unattended</v>
      </c>
    </row>
    <row r="238" spans="1:14" ht="15" customHeight="1" x14ac:dyDescent="0.2">
      <c r="A238" s="3003">
        <f t="shared" si="7"/>
        <v>40.558999999998697</v>
      </c>
      <c r="B238" s="2512" t="s">
        <v>11493</v>
      </c>
      <c r="C238" s="2489" t="s">
        <v>512</v>
      </c>
      <c r="D238" s="2489" t="s">
        <v>10937</v>
      </c>
      <c r="E238" s="3041">
        <v>46</v>
      </c>
      <c r="F238" s="3041">
        <v>12.47</v>
      </c>
      <c r="G238" s="2488"/>
      <c r="H238" s="2752">
        <v>1</v>
      </c>
      <c r="I238" s="2752">
        <v>3</v>
      </c>
      <c r="J238" s="2488"/>
      <c r="K238" s="2614"/>
      <c r="L238" s="2488"/>
      <c r="M238" s="2614"/>
      <c r="N238" s="2479" t="str">
        <f t="shared" si="6"/>
        <v>SCOFIELD, UT, Distribution, Unattended</v>
      </c>
    </row>
    <row r="239" spans="1:14" ht="15" customHeight="1" x14ac:dyDescent="0.2">
      <c r="A239" s="3003">
        <f t="shared" si="7"/>
        <v>40.559999999998695</v>
      </c>
      <c r="B239" s="2512" t="s">
        <v>11494</v>
      </c>
      <c r="C239" s="2489" t="s">
        <v>512</v>
      </c>
      <c r="D239" s="2489" t="s">
        <v>10937</v>
      </c>
      <c r="E239" s="3041">
        <v>46</v>
      </c>
      <c r="F239" s="3041">
        <v>7.2</v>
      </c>
      <c r="G239" s="2488"/>
      <c r="H239" s="2752">
        <v>1</v>
      </c>
      <c r="I239" s="2752">
        <v>1</v>
      </c>
      <c r="J239" s="2488"/>
      <c r="K239" s="2614"/>
      <c r="L239" s="2488"/>
      <c r="M239" s="2614"/>
      <c r="N239" s="2479" t="str">
        <f t="shared" si="6"/>
        <v>SCOFIELD RESERVOIR, UT, Distribution, Unattended</v>
      </c>
    </row>
    <row r="240" spans="1:14" ht="15" customHeight="1" x14ac:dyDescent="0.2">
      <c r="A240" s="3003">
        <f t="shared" si="7"/>
        <v>40.560999999998693</v>
      </c>
      <c r="B240" s="2512" t="s">
        <v>11495</v>
      </c>
      <c r="C240" s="2489" t="s">
        <v>512</v>
      </c>
      <c r="D240" s="2489" t="s">
        <v>10937</v>
      </c>
      <c r="E240" s="3041">
        <v>69</v>
      </c>
      <c r="F240" s="3041">
        <v>12.47</v>
      </c>
      <c r="G240" s="2488"/>
      <c r="H240" s="2752">
        <v>14</v>
      </c>
      <c r="I240" s="2752">
        <v>1</v>
      </c>
      <c r="J240" s="2488"/>
      <c r="K240" s="2614"/>
      <c r="L240" s="2488"/>
      <c r="M240" s="2614"/>
      <c r="N240" s="2479" t="str">
        <f t="shared" si="6"/>
        <v>SEGO CANYON, UT, Distribution, Unattended</v>
      </c>
    </row>
    <row r="241" spans="1:14" ht="15" customHeight="1" x14ac:dyDescent="0.2">
      <c r="A241" s="3003">
        <f t="shared" si="7"/>
        <v>40.56199999999869</v>
      </c>
      <c r="B241" s="2512" t="s">
        <v>11496</v>
      </c>
      <c r="C241" s="2489" t="s">
        <v>512</v>
      </c>
      <c r="D241" s="2489" t="s">
        <v>10937</v>
      </c>
      <c r="E241" s="3041">
        <v>69</v>
      </c>
      <c r="F241" s="3041">
        <v>12.47</v>
      </c>
      <c r="G241" s="2488"/>
      <c r="H241" s="2752">
        <v>5</v>
      </c>
      <c r="I241" s="2752">
        <v>1</v>
      </c>
      <c r="J241" s="2750">
        <v>1</v>
      </c>
      <c r="K241" s="2614"/>
      <c r="L241" s="2488"/>
      <c r="M241" s="2614"/>
      <c r="N241" s="2479" t="str">
        <f t="shared" si="6"/>
        <v>SEVEN MILE, UT, Distribution, Unattended</v>
      </c>
    </row>
    <row r="242" spans="1:14" ht="15" customHeight="1" x14ac:dyDescent="0.2">
      <c r="A242" s="3003">
        <f t="shared" si="7"/>
        <v>40.562999999998688</v>
      </c>
      <c r="B242" s="2512" t="s">
        <v>11497</v>
      </c>
      <c r="C242" s="2489" t="s">
        <v>512</v>
      </c>
      <c r="D242" s="2489" t="s">
        <v>10937</v>
      </c>
      <c r="E242" s="3041">
        <v>46</v>
      </c>
      <c r="F242" s="3041">
        <v>12.47</v>
      </c>
      <c r="G242" s="2488"/>
      <c r="H242" s="2752">
        <v>20</v>
      </c>
      <c r="I242" s="2752">
        <v>1</v>
      </c>
      <c r="J242" s="2488"/>
      <c r="K242" s="2614"/>
      <c r="L242" s="2488"/>
      <c r="M242" s="2614"/>
      <c r="N242" s="2479" t="str">
        <f t="shared" si="6"/>
        <v>SHARON, UT, Distribution, Unattended</v>
      </c>
    </row>
    <row r="243" spans="1:14" ht="15" customHeight="1" x14ac:dyDescent="0.2">
      <c r="A243" s="3003">
        <f t="shared" si="7"/>
        <v>40.563999999998686</v>
      </c>
      <c r="B243" s="2512" t="s">
        <v>11498</v>
      </c>
      <c r="C243" s="2489" t="s">
        <v>512</v>
      </c>
      <c r="D243" s="2489" t="s">
        <v>10937</v>
      </c>
      <c r="E243" s="3041">
        <v>138</v>
      </c>
      <c r="F243" s="3041">
        <v>13.2</v>
      </c>
      <c r="G243" s="2488"/>
      <c r="H243" s="2752">
        <v>60</v>
      </c>
      <c r="I243" s="2752">
        <v>2</v>
      </c>
      <c r="J243" s="2488"/>
      <c r="K243" s="2614"/>
      <c r="L243" s="2488"/>
      <c r="M243" s="2614"/>
      <c r="N243" s="2479" t="str">
        <f t="shared" si="6"/>
        <v>SHORELINE, UT, Distribution, Unattended</v>
      </c>
    </row>
    <row r="244" spans="1:14" ht="15" customHeight="1" x14ac:dyDescent="0.2">
      <c r="A244" s="3003">
        <f t="shared" si="7"/>
        <v>40.564999999998683</v>
      </c>
      <c r="B244" s="2512" t="s">
        <v>11499</v>
      </c>
      <c r="C244" s="2489" t="s">
        <v>512</v>
      </c>
      <c r="D244" s="2489" t="s">
        <v>10937</v>
      </c>
      <c r="E244" s="3041">
        <v>46</v>
      </c>
      <c r="F244" s="3041">
        <v>12.47</v>
      </c>
      <c r="G244" s="2488"/>
      <c r="H244" s="2752">
        <v>20</v>
      </c>
      <c r="I244" s="2752">
        <v>1</v>
      </c>
      <c r="J244" s="2488"/>
      <c r="K244" s="2614"/>
      <c r="L244" s="2488"/>
      <c r="M244" s="2614"/>
      <c r="N244" s="2479" t="str">
        <f t="shared" si="6"/>
        <v>SIXTH SOUTH, UT, Distribution, Unattended</v>
      </c>
    </row>
    <row r="245" spans="1:14" ht="15" customHeight="1" x14ac:dyDescent="0.2">
      <c r="A245" s="3003">
        <f t="shared" si="7"/>
        <v>40.565999999998681</v>
      </c>
      <c r="B245" s="2512" t="s">
        <v>11500</v>
      </c>
      <c r="C245" s="2489" t="s">
        <v>512</v>
      </c>
      <c r="D245" s="2489" t="s">
        <v>10937</v>
      </c>
      <c r="E245" s="3041">
        <v>46</v>
      </c>
      <c r="F245" s="3041">
        <v>12.47</v>
      </c>
      <c r="G245" s="2488"/>
      <c r="H245" s="2752">
        <v>2</v>
      </c>
      <c r="I245" s="2752">
        <v>1</v>
      </c>
      <c r="J245" s="2488"/>
      <c r="K245" s="2614"/>
      <c r="L245" s="2488"/>
      <c r="M245" s="2614"/>
      <c r="N245" s="2479" t="str">
        <f t="shared" si="6"/>
        <v>SKULL VALLEY, UT, Distribution, Unattended</v>
      </c>
    </row>
    <row r="246" spans="1:14" ht="15" customHeight="1" x14ac:dyDescent="0.2">
      <c r="A246" s="3003">
        <f t="shared" si="7"/>
        <v>40.566999999998679</v>
      </c>
      <c r="B246" s="2512" t="s">
        <v>11501</v>
      </c>
      <c r="C246" s="2489" t="s">
        <v>512</v>
      </c>
      <c r="D246" s="2489" t="s">
        <v>10937</v>
      </c>
      <c r="E246" s="3041">
        <v>138</v>
      </c>
      <c r="F246" s="3041">
        <v>13.2</v>
      </c>
      <c r="G246" s="2488"/>
      <c r="H246" s="2752">
        <v>73</v>
      </c>
      <c r="I246" s="2752">
        <v>2</v>
      </c>
      <c r="J246" s="2488"/>
      <c r="K246" s="2614"/>
      <c r="L246" s="2488"/>
      <c r="M246" s="2614"/>
      <c r="N246" s="2479" t="str">
        <f t="shared" si="6"/>
        <v>SKYPARK, UT, Distribution, Unattended</v>
      </c>
    </row>
    <row r="247" spans="1:14" ht="15" customHeight="1" x14ac:dyDescent="0.2">
      <c r="A247" s="3003">
        <f t="shared" si="7"/>
        <v>40.567999999998676</v>
      </c>
      <c r="B247" s="2512" t="s">
        <v>11502</v>
      </c>
      <c r="C247" s="2489" t="s">
        <v>512</v>
      </c>
      <c r="D247" s="2489" t="s">
        <v>10937</v>
      </c>
      <c r="E247" s="3041">
        <v>138</v>
      </c>
      <c r="F247" s="3041">
        <v>46</v>
      </c>
      <c r="G247" s="3043">
        <v>6.6</v>
      </c>
      <c r="H247" s="2752">
        <v>63</v>
      </c>
      <c r="I247" s="2752">
        <v>2</v>
      </c>
      <c r="J247" s="2488"/>
      <c r="K247" s="2614"/>
      <c r="L247" s="2488"/>
      <c r="M247" s="2614"/>
      <c r="N247" s="2479" t="str">
        <f t="shared" si="6"/>
        <v>SMITHFIELD, UT, Distribution, Unattended</v>
      </c>
    </row>
    <row r="248" spans="1:14" ht="15" customHeight="1" x14ac:dyDescent="0.2">
      <c r="A248" s="3003">
        <f t="shared" si="7"/>
        <v>40.568999999998674</v>
      </c>
      <c r="B248" s="2512" t="s">
        <v>11503</v>
      </c>
      <c r="C248" s="2489" t="s">
        <v>512</v>
      </c>
      <c r="D248" s="2489" t="s">
        <v>10937</v>
      </c>
      <c r="E248" s="3041">
        <v>46</v>
      </c>
      <c r="F248" s="3041">
        <v>12.47</v>
      </c>
      <c r="G248" s="2488"/>
      <c r="H248" s="2752">
        <v>53</v>
      </c>
      <c r="I248" s="2752">
        <v>2</v>
      </c>
      <c r="J248" s="2488"/>
      <c r="K248" s="2614"/>
      <c r="L248" s="2488"/>
      <c r="M248" s="2614"/>
      <c r="N248" s="2479" t="str">
        <f t="shared" si="6"/>
        <v>SNARR, UT, Distribution, Unattended</v>
      </c>
    </row>
    <row r="249" spans="1:14" ht="15" customHeight="1" x14ac:dyDescent="0.2">
      <c r="A249" s="3003">
        <f t="shared" si="7"/>
        <v>40.569999999998672</v>
      </c>
      <c r="B249" s="2512" t="s">
        <v>11504</v>
      </c>
      <c r="C249" s="2489" t="s">
        <v>512</v>
      </c>
      <c r="D249" s="2489" t="s">
        <v>10937</v>
      </c>
      <c r="E249" s="3041">
        <v>69</v>
      </c>
      <c r="F249" s="3041">
        <v>12.47</v>
      </c>
      <c r="G249" s="2488"/>
      <c r="H249" s="2752">
        <v>5</v>
      </c>
      <c r="I249" s="2752">
        <v>1</v>
      </c>
      <c r="J249" s="2488"/>
      <c r="K249" s="2614"/>
      <c r="L249" s="2488"/>
      <c r="M249" s="2614"/>
      <c r="N249" s="2479" t="str">
        <f t="shared" si="6"/>
        <v>SNOWVILLE, UT, Distribution, Unattended</v>
      </c>
    </row>
    <row r="250" spans="1:14" ht="15" customHeight="1" x14ac:dyDescent="0.2">
      <c r="A250" s="3003">
        <f t="shared" si="7"/>
        <v>40.570999999998669</v>
      </c>
      <c r="B250" s="2512" t="s">
        <v>11505</v>
      </c>
      <c r="C250" s="2489" t="s">
        <v>512</v>
      </c>
      <c r="D250" s="2489" t="s">
        <v>10937</v>
      </c>
      <c r="E250" s="3041">
        <v>138</v>
      </c>
      <c r="F250" s="3041">
        <v>46</v>
      </c>
      <c r="G250" s="3043">
        <v>13.8</v>
      </c>
      <c r="H250" s="2752">
        <v>127</v>
      </c>
      <c r="I250" s="2752">
        <v>3</v>
      </c>
      <c r="J250" s="2488"/>
      <c r="K250" s="2614"/>
      <c r="L250" s="2488"/>
      <c r="M250" s="2614"/>
      <c r="N250" s="2479" t="str">
        <f t="shared" si="6"/>
        <v>SNYDERVILLE, UT, Distribution, Unattended</v>
      </c>
    </row>
    <row r="251" spans="1:14" ht="15" customHeight="1" x14ac:dyDescent="0.2">
      <c r="A251" s="3003">
        <f t="shared" si="7"/>
        <v>40.571999999998667</v>
      </c>
      <c r="B251" s="2512" t="s">
        <v>11506</v>
      </c>
      <c r="C251" s="2489" t="s">
        <v>512</v>
      </c>
      <c r="D251" s="2489" t="s">
        <v>10937</v>
      </c>
      <c r="E251" s="3041">
        <v>46</v>
      </c>
      <c r="F251" s="3041">
        <v>12.47</v>
      </c>
      <c r="G251" s="2488"/>
      <c r="H251" s="2752">
        <v>2</v>
      </c>
      <c r="I251" s="2752">
        <v>1</v>
      </c>
      <c r="J251" s="2488"/>
      <c r="K251" s="2614"/>
      <c r="L251" s="2488"/>
      <c r="M251" s="2614"/>
      <c r="N251" s="2479" t="str">
        <f t="shared" si="6"/>
        <v>SOLDIER SUMMIT, UT, Distribution, Unattended</v>
      </c>
    </row>
    <row r="252" spans="1:14" ht="15" customHeight="1" x14ac:dyDescent="0.2">
      <c r="A252" s="3003">
        <f t="shared" si="7"/>
        <v>40.572999999998665</v>
      </c>
      <c r="B252" s="2512" t="s">
        <v>11507</v>
      </c>
      <c r="C252" s="2489" t="s">
        <v>512</v>
      </c>
      <c r="D252" s="2489" t="s">
        <v>10937</v>
      </c>
      <c r="E252" s="3041">
        <v>138</v>
      </c>
      <c r="F252" s="3041">
        <v>12.47</v>
      </c>
      <c r="G252" s="2488"/>
      <c r="H252" s="2752">
        <v>60</v>
      </c>
      <c r="I252" s="2752">
        <v>2</v>
      </c>
      <c r="J252" s="2488"/>
      <c r="K252" s="2614"/>
      <c r="L252" s="2488"/>
      <c r="M252" s="2614"/>
      <c r="N252" s="2479" t="str">
        <f t="shared" si="6"/>
        <v>SOUTH JORDAN, UT, Distribution, Unattended</v>
      </c>
    </row>
    <row r="253" spans="1:14" ht="15" customHeight="1" x14ac:dyDescent="0.2">
      <c r="A253" s="3003">
        <f t="shared" si="7"/>
        <v>40.573999999998662</v>
      </c>
      <c r="B253" s="2512" t="s">
        <v>11508</v>
      </c>
      <c r="C253" s="2489" t="s">
        <v>512</v>
      </c>
      <c r="D253" s="2489" t="s">
        <v>10937</v>
      </c>
      <c r="E253" s="3041">
        <v>46</v>
      </c>
      <c r="F253" s="3041">
        <v>24.9</v>
      </c>
      <c r="G253" s="2488"/>
      <c r="H253" s="2752">
        <v>28</v>
      </c>
      <c r="I253" s="2752">
        <v>2</v>
      </c>
      <c r="J253" s="2488"/>
      <c r="K253" s="2614"/>
      <c r="L253" s="2488"/>
      <c r="M253" s="2614"/>
      <c r="N253" s="2479" t="str">
        <f t="shared" si="6"/>
        <v>SOUTH MILFORD, UT, Distribution, Unattended</v>
      </c>
    </row>
    <row r="254" spans="1:14" ht="15" customHeight="1" x14ac:dyDescent="0.2">
      <c r="A254" s="3003">
        <f t="shared" si="7"/>
        <v>40.57499999999866</v>
      </c>
      <c r="B254" s="2512" t="s">
        <v>11509</v>
      </c>
      <c r="C254" s="2489" t="s">
        <v>512</v>
      </c>
      <c r="D254" s="2489" t="s">
        <v>10937</v>
      </c>
      <c r="E254" s="3041">
        <v>138</v>
      </c>
      <c r="F254" s="3041">
        <v>12.47</v>
      </c>
      <c r="G254" s="2488"/>
      <c r="H254" s="2752">
        <v>60</v>
      </c>
      <c r="I254" s="2752">
        <v>2</v>
      </c>
      <c r="J254" s="2488"/>
      <c r="K254" s="2614"/>
      <c r="L254" s="2488"/>
      <c r="M254" s="2614"/>
      <c r="N254" s="2479" t="str">
        <f t="shared" si="6"/>
        <v>SOUTH MOUNTAIN, UT, Distribution, Unattended</v>
      </c>
    </row>
    <row r="255" spans="1:14" ht="15" customHeight="1" x14ac:dyDescent="0.2">
      <c r="A255" s="3003">
        <f t="shared" si="7"/>
        <v>40.575999999998658</v>
      </c>
      <c r="B255" s="2512" t="s">
        <v>11510</v>
      </c>
      <c r="C255" s="2489" t="s">
        <v>512</v>
      </c>
      <c r="D255" s="2489" t="s">
        <v>10937</v>
      </c>
      <c r="E255" s="3041">
        <v>46</v>
      </c>
      <c r="F255" s="3041">
        <v>12.47</v>
      </c>
      <c r="G255" s="2488"/>
      <c r="H255" s="2752">
        <v>25</v>
      </c>
      <c r="I255" s="2752">
        <v>1</v>
      </c>
      <c r="J255" s="2488"/>
      <c r="K255" s="2614"/>
      <c r="L255" s="2488"/>
      <c r="M255" s="2614"/>
      <c r="N255" s="2479" t="str">
        <f t="shared" si="6"/>
        <v>SOUTH OGDEN, UT, Distribution, Unattended</v>
      </c>
    </row>
    <row r="256" spans="1:14" ht="15" customHeight="1" x14ac:dyDescent="0.2">
      <c r="A256" s="3003">
        <f t="shared" si="7"/>
        <v>40.576999999998655</v>
      </c>
      <c r="B256" s="2512" t="s">
        <v>11511</v>
      </c>
      <c r="C256" s="2489" t="s">
        <v>512</v>
      </c>
      <c r="D256" s="2489" t="s">
        <v>10937</v>
      </c>
      <c r="E256" s="3041">
        <v>138</v>
      </c>
      <c r="F256" s="3041">
        <v>12.47</v>
      </c>
      <c r="G256" s="2488"/>
      <c r="H256" s="2752">
        <v>30</v>
      </c>
      <c r="I256" s="2752">
        <v>1</v>
      </c>
      <c r="J256" s="2488"/>
      <c r="K256" s="2614"/>
      <c r="L256" s="2488"/>
      <c r="M256" s="2614"/>
      <c r="N256" s="2479" t="str">
        <f t="shared" si="6"/>
        <v>SOUTH PARK, UT, Distribution, Unattended</v>
      </c>
    </row>
    <row r="257" spans="1:14" ht="15" customHeight="1" x14ac:dyDescent="0.2">
      <c r="A257" s="3003">
        <f t="shared" si="7"/>
        <v>40.577999999998653</v>
      </c>
      <c r="B257" s="2512" t="s">
        <v>11512</v>
      </c>
      <c r="C257" s="2489" t="s">
        <v>512</v>
      </c>
      <c r="D257" s="2489" t="s">
        <v>10937</v>
      </c>
      <c r="E257" s="3041">
        <v>138</v>
      </c>
      <c r="F257" s="3041">
        <v>12.47</v>
      </c>
      <c r="G257" s="2488"/>
      <c r="H257" s="2752">
        <v>22</v>
      </c>
      <c r="I257" s="2752">
        <v>1</v>
      </c>
      <c r="J257" s="2488"/>
      <c r="K257" s="2614"/>
      <c r="L257" s="2488"/>
      <c r="M257" s="2614"/>
      <c r="N257" s="2479" t="str">
        <f t="shared" si="6"/>
        <v>SOUTH WEBER, UT, Distribution, Unattended</v>
      </c>
    </row>
    <row r="258" spans="1:14" ht="15" customHeight="1" x14ac:dyDescent="0.2">
      <c r="A258" s="3003">
        <f t="shared" si="7"/>
        <v>40.578999999998651</v>
      </c>
      <c r="B258" s="2512" t="s">
        <v>11513</v>
      </c>
      <c r="C258" s="2489" t="s">
        <v>512</v>
      </c>
      <c r="D258" s="2489" t="s">
        <v>10937</v>
      </c>
      <c r="E258" s="3041">
        <v>138</v>
      </c>
      <c r="F258" s="3041">
        <v>12.47</v>
      </c>
      <c r="G258" s="2488"/>
      <c r="H258" s="2752">
        <v>60</v>
      </c>
      <c r="I258" s="2752">
        <v>2</v>
      </c>
      <c r="J258" s="2488"/>
      <c r="K258" s="2614"/>
      <c r="L258" s="2488"/>
      <c r="M258" s="2614"/>
      <c r="N258" s="2479" t="str">
        <f t="shared" si="6"/>
        <v>SOUTHEAST, UT, Distribution, Unattended</v>
      </c>
    </row>
    <row r="259" spans="1:14" ht="15" customHeight="1" x14ac:dyDescent="0.2">
      <c r="A259" s="3003">
        <f t="shared" si="7"/>
        <v>40.579999999998648</v>
      </c>
      <c r="B259" s="2512" t="s">
        <v>11514</v>
      </c>
      <c r="C259" s="2489" t="s">
        <v>512</v>
      </c>
      <c r="D259" s="2489" t="s">
        <v>10937</v>
      </c>
      <c r="E259" s="3041">
        <v>46</v>
      </c>
      <c r="F259" s="3041">
        <v>12.47</v>
      </c>
      <c r="G259" s="2488"/>
      <c r="H259" s="2752">
        <v>22</v>
      </c>
      <c r="I259" s="2752">
        <v>2</v>
      </c>
      <c r="J259" s="2488"/>
      <c r="K259" s="2614"/>
      <c r="L259" s="2488"/>
      <c r="M259" s="2614"/>
      <c r="N259" s="2479" t="str">
        <f t="shared" si="6"/>
        <v>SOUTHWEST, UT, Distribution, Unattended</v>
      </c>
    </row>
    <row r="260" spans="1:14" ht="15" customHeight="1" x14ac:dyDescent="0.2">
      <c r="A260" s="3003">
        <f t="shared" si="7"/>
        <v>40.580999999998646</v>
      </c>
      <c r="B260" s="2512" t="s">
        <v>11515</v>
      </c>
      <c r="C260" s="2489" t="s">
        <v>512</v>
      </c>
      <c r="D260" s="2489" t="s">
        <v>10937</v>
      </c>
      <c r="E260" s="3041">
        <v>69</v>
      </c>
      <c r="F260" s="3041">
        <v>12.47</v>
      </c>
      <c r="G260" s="2488"/>
      <c r="H260" s="2752">
        <v>14</v>
      </c>
      <c r="I260" s="2752">
        <v>1</v>
      </c>
      <c r="J260" s="2488"/>
      <c r="K260" s="2614"/>
      <c r="L260" s="2488"/>
      <c r="M260" s="2614"/>
      <c r="N260" s="2479" t="str">
        <f t="shared" si="6"/>
        <v>SPANISH VALLEY, UT, Distribution, Unattended</v>
      </c>
    </row>
    <row r="261" spans="1:14" ht="15" customHeight="1" x14ac:dyDescent="0.2">
      <c r="A261" s="3003">
        <f t="shared" si="7"/>
        <v>40.581999999998644</v>
      </c>
      <c r="B261" s="2512" t="s">
        <v>11516</v>
      </c>
      <c r="C261" s="2489" t="s">
        <v>512</v>
      </c>
      <c r="D261" s="2489" t="s">
        <v>10937</v>
      </c>
      <c r="E261" s="3041">
        <v>34.5</v>
      </c>
      <c r="F261" s="3041">
        <v>12.47</v>
      </c>
      <c r="G261" s="2488"/>
      <c r="H261" s="2752">
        <v>14</v>
      </c>
      <c r="I261" s="2752">
        <v>1</v>
      </c>
      <c r="J261" s="2488"/>
      <c r="K261" s="2614"/>
      <c r="L261" s="2488"/>
      <c r="M261" s="2614"/>
      <c r="N261" s="2479" t="str">
        <f t="shared" si="6"/>
        <v>SPRINGDALE, UT, Distribution, Unattended</v>
      </c>
    </row>
    <row r="262" spans="1:14" ht="15" customHeight="1" x14ac:dyDescent="0.2">
      <c r="A262" s="3003">
        <f t="shared" si="7"/>
        <v>40.582999999998641</v>
      </c>
      <c r="B262" s="2512" t="s">
        <v>11517</v>
      </c>
      <c r="C262" s="2489" t="s">
        <v>512</v>
      </c>
      <c r="D262" s="2489" t="s">
        <v>10937</v>
      </c>
      <c r="E262" s="3041">
        <v>46</v>
      </c>
      <c r="F262" s="3041">
        <v>12.47</v>
      </c>
      <c r="G262" s="2488"/>
      <c r="H262" s="2752">
        <v>8</v>
      </c>
      <c r="I262" s="2752">
        <v>1</v>
      </c>
      <c r="J262" s="2488"/>
      <c r="K262" s="2614"/>
      <c r="L262" s="2488"/>
      <c r="M262" s="2614"/>
      <c r="N262" s="2479" t="str">
        <f t="shared" si="6"/>
        <v>ST JOHN, UT, Distribution, Unattended</v>
      </c>
    </row>
    <row r="263" spans="1:14" ht="15" customHeight="1" x14ac:dyDescent="0.2">
      <c r="A263" s="3003">
        <f t="shared" si="7"/>
        <v>40.583999999998639</v>
      </c>
      <c r="B263" s="2512" t="s">
        <v>11518</v>
      </c>
      <c r="C263" s="2489" t="s">
        <v>512</v>
      </c>
      <c r="D263" s="2489" t="s">
        <v>10937</v>
      </c>
      <c r="E263" s="3041">
        <v>138</v>
      </c>
      <c r="F263" s="3041">
        <v>12.47</v>
      </c>
      <c r="G263" s="2488"/>
      <c r="H263" s="2752">
        <v>33</v>
      </c>
      <c r="I263" s="2752">
        <v>1</v>
      </c>
      <c r="J263" s="2488"/>
      <c r="K263" s="2614"/>
      <c r="L263" s="2488"/>
      <c r="M263" s="2614"/>
      <c r="N263" s="2479" t="str">
        <f t="shared" si="6"/>
        <v>STANSBURY, UT, Distribution, Unattended</v>
      </c>
    </row>
    <row r="264" spans="1:14" ht="15" customHeight="1" x14ac:dyDescent="0.2">
      <c r="A264" s="3003">
        <f t="shared" si="7"/>
        <v>40.584999999998637</v>
      </c>
      <c r="B264" s="2512" t="s">
        <v>11519</v>
      </c>
      <c r="C264" s="2489" t="s">
        <v>512</v>
      </c>
      <c r="D264" s="2489" t="s">
        <v>10937</v>
      </c>
      <c r="E264" s="3041">
        <v>138</v>
      </c>
      <c r="F264" s="3041">
        <v>13.8</v>
      </c>
      <c r="G264" s="2488"/>
      <c r="H264" s="2752">
        <v>30</v>
      </c>
      <c r="I264" s="2752">
        <v>1</v>
      </c>
      <c r="J264" s="2488"/>
      <c r="K264" s="2614"/>
      <c r="L264" s="2488"/>
      <c r="M264" s="2614"/>
      <c r="N264" s="2479" t="str">
        <f t="shared" si="6"/>
        <v>SUMMIT CREEK, UT, Distribution, Unattended</v>
      </c>
    </row>
    <row r="265" spans="1:14" ht="15" customHeight="1" x14ac:dyDescent="0.2">
      <c r="A265" s="3003">
        <f t="shared" si="7"/>
        <v>40.585999999998634</v>
      </c>
      <c r="B265" s="2512" t="s">
        <v>11520</v>
      </c>
      <c r="C265" s="2489" t="s">
        <v>512</v>
      </c>
      <c r="D265" s="2489" t="s">
        <v>10937</v>
      </c>
      <c r="E265" s="3041">
        <v>46</v>
      </c>
      <c r="F265" s="3041">
        <v>12.47</v>
      </c>
      <c r="G265" s="2488"/>
      <c r="H265" s="2752">
        <v>7</v>
      </c>
      <c r="I265" s="2752">
        <v>1</v>
      </c>
      <c r="J265" s="2488"/>
      <c r="K265" s="2614"/>
      <c r="L265" s="2488"/>
      <c r="M265" s="2614"/>
      <c r="N265" s="2479" t="str">
        <f t="shared" si="6"/>
        <v>SUMMIT PARK, UT, Distribution, Unattended</v>
      </c>
    </row>
    <row r="266" spans="1:14" ht="15" customHeight="1" x14ac:dyDescent="0.2">
      <c r="A266" s="3003">
        <f t="shared" si="7"/>
        <v>40.586999999998632</v>
      </c>
      <c r="B266" s="2512" t="s">
        <v>10848</v>
      </c>
      <c r="C266" s="2489" t="s">
        <v>512</v>
      </c>
      <c r="D266" s="2489" t="s">
        <v>10937</v>
      </c>
      <c r="E266" s="3041">
        <v>138</v>
      </c>
      <c r="F266" s="3041">
        <v>12.47</v>
      </c>
      <c r="G266" s="2488"/>
      <c r="H266" s="2752">
        <v>60</v>
      </c>
      <c r="I266" s="2752">
        <v>2</v>
      </c>
      <c r="J266" s="2488"/>
      <c r="K266" s="2614"/>
      <c r="L266" s="2488"/>
      <c r="M266" s="2614"/>
      <c r="N266" s="2479" t="str">
        <f t="shared" ref="N266:N329" si="8">CONCATENATE(B266,", ",C266,", ",D266)</f>
        <v>SUNRISE, UT, Distribution, Unattended</v>
      </c>
    </row>
    <row r="267" spans="1:14" ht="15" customHeight="1" x14ac:dyDescent="0.2">
      <c r="A267" s="3003">
        <f t="shared" ref="A267:A330" si="9">A266+0.001</f>
        <v>40.58799999999863</v>
      </c>
      <c r="B267" s="2512" t="s">
        <v>11521</v>
      </c>
      <c r="C267" s="2489" t="s">
        <v>512</v>
      </c>
      <c r="D267" s="2489" t="s">
        <v>10937</v>
      </c>
      <c r="E267" s="3041">
        <v>46</v>
      </c>
      <c r="F267" s="3041">
        <v>24.9</v>
      </c>
      <c r="G267" s="2488"/>
      <c r="H267" s="2752">
        <v>14</v>
      </c>
      <c r="I267" s="2752">
        <v>1</v>
      </c>
      <c r="J267" s="2488"/>
      <c r="K267" s="2614"/>
      <c r="L267" s="2488"/>
      <c r="M267" s="2614"/>
      <c r="N267" s="2479" t="str">
        <f t="shared" si="8"/>
        <v>SUTHERLAND, UT, Distribution, Unattended</v>
      </c>
    </row>
    <row r="268" spans="1:14" ht="15" customHeight="1" x14ac:dyDescent="0.2">
      <c r="A268" s="3003">
        <f t="shared" si="9"/>
        <v>40.588999999998627</v>
      </c>
      <c r="B268" s="2512" t="s">
        <v>11522</v>
      </c>
      <c r="C268" s="2489" t="s">
        <v>512</v>
      </c>
      <c r="D268" s="2489" t="s">
        <v>10937</v>
      </c>
      <c r="E268" s="3041">
        <v>138</v>
      </c>
      <c r="F268" s="3041">
        <v>12.47</v>
      </c>
      <c r="G268" s="2488"/>
      <c r="H268" s="2752">
        <v>20</v>
      </c>
      <c r="I268" s="2752">
        <v>1</v>
      </c>
      <c r="J268" s="2488"/>
      <c r="K268" s="2614"/>
      <c r="L268" s="2488"/>
      <c r="M268" s="2614"/>
      <c r="N268" s="2479" t="str">
        <f t="shared" si="8"/>
        <v>TAMARISK, UT, Distribution, Unattended</v>
      </c>
    </row>
    <row r="269" spans="1:14" ht="15" customHeight="1" x14ac:dyDescent="0.2">
      <c r="A269" s="3003">
        <f t="shared" si="9"/>
        <v>40.589999999998625</v>
      </c>
      <c r="B269" s="2512" t="s">
        <v>11523</v>
      </c>
      <c r="C269" s="2489" t="s">
        <v>512</v>
      </c>
      <c r="D269" s="2489" t="s">
        <v>10937</v>
      </c>
      <c r="E269" s="3041">
        <v>46</v>
      </c>
      <c r="F269" s="3041">
        <v>12.47</v>
      </c>
      <c r="G269" s="2488"/>
      <c r="H269" s="2752">
        <v>14</v>
      </c>
      <c r="I269" s="2752">
        <v>1</v>
      </c>
      <c r="J269" s="2488"/>
      <c r="K269" s="2614"/>
      <c r="L269" s="2488"/>
      <c r="M269" s="2614"/>
      <c r="N269" s="2479" t="str">
        <f t="shared" si="8"/>
        <v>TAYLOR, UT, Distribution, Unattended</v>
      </c>
    </row>
    <row r="270" spans="1:14" ht="15" customHeight="1" x14ac:dyDescent="0.2">
      <c r="A270" s="3003">
        <f t="shared" si="9"/>
        <v>40.590999999998623</v>
      </c>
      <c r="B270" s="2512" t="s">
        <v>11524</v>
      </c>
      <c r="C270" s="2489" t="s">
        <v>512</v>
      </c>
      <c r="D270" s="2489" t="s">
        <v>10937</v>
      </c>
      <c r="E270" s="3041">
        <v>138</v>
      </c>
      <c r="F270" s="3041">
        <v>24.9</v>
      </c>
      <c r="G270" s="2488"/>
      <c r="H270" s="2752">
        <v>14</v>
      </c>
      <c r="I270" s="2752">
        <v>1</v>
      </c>
      <c r="J270" s="2488"/>
      <c r="K270" s="2614"/>
      <c r="L270" s="2488"/>
      <c r="M270" s="2614"/>
      <c r="N270" s="2479" t="str">
        <f t="shared" si="8"/>
        <v>THIEF CREEK, UT, Distribution, Unattended</v>
      </c>
    </row>
    <row r="271" spans="1:14" ht="15" customHeight="1" x14ac:dyDescent="0.2">
      <c r="A271" s="3003">
        <f t="shared" si="9"/>
        <v>40.59199999999862</v>
      </c>
      <c r="B271" s="2512" t="s">
        <v>10805</v>
      </c>
      <c r="C271" s="2489" t="s">
        <v>512</v>
      </c>
      <c r="D271" s="2489" t="s">
        <v>10937</v>
      </c>
      <c r="E271" s="3041">
        <v>138</v>
      </c>
      <c r="F271" s="3041">
        <v>13.2</v>
      </c>
      <c r="G271" s="2488"/>
      <c r="H271" s="2752">
        <v>100</v>
      </c>
      <c r="I271" s="2752">
        <v>2</v>
      </c>
      <c r="J271" s="2488"/>
      <c r="K271" s="2614"/>
      <c r="L271" s="2488"/>
      <c r="M271" s="2614"/>
      <c r="N271" s="2479" t="str">
        <f t="shared" si="8"/>
        <v>THIRD WEST, UT, Distribution, Unattended</v>
      </c>
    </row>
    <row r="272" spans="1:14" ht="15" customHeight="1" x14ac:dyDescent="0.2">
      <c r="A272" s="3003">
        <f t="shared" si="9"/>
        <v>40.592999999998618</v>
      </c>
      <c r="B272" s="2512" t="s">
        <v>11525</v>
      </c>
      <c r="C272" s="2489" t="s">
        <v>512</v>
      </c>
      <c r="D272" s="2489" t="s">
        <v>10937</v>
      </c>
      <c r="E272" s="3041">
        <v>46</v>
      </c>
      <c r="F272" s="3041">
        <v>12.47</v>
      </c>
      <c r="G272" s="2488"/>
      <c r="H272" s="2752">
        <v>22</v>
      </c>
      <c r="I272" s="2752">
        <v>1</v>
      </c>
      <c r="J272" s="2488"/>
      <c r="K272" s="2614"/>
      <c r="L272" s="2488"/>
      <c r="M272" s="2614"/>
      <c r="N272" s="2479" t="str">
        <f t="shared" si="8"/>
        <v>THIRTEENTH SOUTH, UT, Distribution, Unattended</v>
      </c>
    </row>
    <row r="273" spans="1:14" ht="15" customHeight="1" x14ac:dyDescent="0.2">
      <c r="A273" s="3003">
        <f t="shared" si="9"/>
        <v>40.593999999998616</v>
      </c>
      <c r="B273" s="2512" t="s">
        <v>11526</v>
      </c>
      <c r="C273" s="2489" t="s">
        <v>512</v>
      </c>
      <c r="D273" s="2489" t="s">
        <v>10937</v>
      </c>
      <c r="E273" s="3041">
        <v>46</v>
      </c>
      <c r="F273" s="3041">
        <v>12.47</v>
      </c>
      <c r="G273" s="2488"/>
      <c r="H273" s="2752">
        <v>25</v>
      </c>
      <c r="I273" s="2752">
        <v>1</v>
      </c>
      <c r="J273" s="2488"/>
      <c r="K273" s="2614"/>
      <c r="L273" s="2488"/>
      <c r="M273" s="2614"/>
      <c r="N273" s="2479" t="str">
        <f t="shared" si="8"/>
        <v>TOOELE DEPOT, UT, Distribution, Unattended</v>
      </c>
    </row>
    <row r="274" spans="1:14" ht="15" customHeight="1" x14ac:dyDescent="0.2">
      <c r="A274" s="3003">
        <f t="shared" si="9"/>
        <v>40.594999999998613</v>
      </c>
      <c r="B274" s="2512" t="s">
        <v>11527</v>
      </c>
      <c r="C274" s="2489" t="s">
        <v>512</v>
      </c>
      <c r="D274" s="2489" t="s">
        <v>10937</v>
      </c>
      <c r="E274" s="3041">
        <v>69</v>
      </c>
      <c r="F274" s="3041">
        <v>34.5</v>
      </c>
      <c r="G274" s="2488"/>
      <c r="H274" s="2752">
        <v>34</v>
      </c>
      <c r="I274" s="2752">
        <v>2</v>
      </c>
      <c r="J274" s="2488"/>
      <c r="K274" s="2614"/>
      <c r="L274" s="2488"/>
      <c r="M274" s="2614"/>
      <c r="N274" s="2479" t="str">
        <f t="shared" si="8"/>
        <v>TOQUERVILLE, UT, Distribution, Unattended</v>
      </c>
    </row>
    <row r="275" spans="1:14" ht="15" customHeight="1" x14ac:dyDescent="0.2">
      <c r="A275" s="3003">
        <f t="shared" si="9"/>
        <v>40.595999999998611</v>
      </c>
      <c r="B275" s="2512" t="s">
        <v>10865</v>
      </c>
      <c r="C275" s="2489" t="s">
        <v>512</v>
      </c>
      <c r="D275" s="2489" t="s">
        <v>10937</v>
      </c>
      <c r="E275" s="3041">
        <v>138</v>
      </c>
      <c r="F275" s="3041">
        <v>12.47</v>
      </c>
      <c r="G275" s="2488"/>
      <c r="H275" s="2752">
        <v>30</v>
      </c>
      <c r="I275" s="2752">
        <v>1</v>
      </c>
      <c r="J275" s="2750">
        <v>2</v>
      </c>
      <c r="K275" s="2614"/>
      <c r="L275" s="2488"/>
      <c r="M275" s="2614"/>
      <c r="N275" s="2479" t="str">
        <f t="shared" si="8"/>
        <v>TRI-CITY, UT, Distribution, Unattended</v>
      </c>
    </row>
    <row r="276" spans="1:14" ht="15" customHeight="1" x14ac:dyDescent="0.2">
      <c r="A276" s="3003">
        <f t="shared" si="9"/>
        <v>40.596999999998609</v>
      </c>
      <c r="B276" s="2512" t="s">
        <v>11528</v>
      </c>
      <c r="C276" s="2489" t="s">
        <v>512</v>
      </c>
      <c r="D276" s="2489" t="s">
        <v>10937</v>
      </c>
      <c r="E276" s="3041">
        <v>46</v>
      </c>
      <c r="F276" s="3041">
        <v>12.47</v>
      </c>
      <c r="G276" s="2488"/>
      <c r="H276" s="2752">
        <v>39</v>
      </c>
      <c r="I276" s="2752">
        <v>2</v>
      </c>
      <c r="J276" s="2488"/>
      <c r="K276" s="2614"/>
      <c r="L276" s="2488"/>
      <c r="M276" s="2614"/>
      <c r="N276" s="2479" t="str">
        <f t="shared" si="8"/>
        <v>UINTAH, UT, Distribution, Unattended</v>
      </c>
    </row>
    <row r="277" spans="1:14" ht="15" customHeight="1" x14ac:dyDescent="0.2">
      <c r="A277" s="3003">
        <f t="shared" si="9"/>
        <v>40.597999999998606</v>
      </c>
      <c r="B277" s="2512" t="s">
        <v>11529</v>
      </c>
      <c r="C277" s="2489" t="s">
        <v>512</v>
      </c>
      <c r="D277" s="2489" t="s">
        <v>10937</v>
      </c>
      <c r="E277" s="3041">
        <v>46</v>
      </c>
      <c r="F277" s="3041">
        <v>12.47</v>
      </c>
      <c r="G277" s="2488"/>
      <c r="H277" s="2752">
        <v>50</v>
      </c>
      <c r="I277" s="2752">
        <v>2</v>
      </c>
      <c r="J277" s="2488"/>
      <c r="K277" s="2614"/>
      <c r="L277" s="2488"/>
      <c r="M277" s="2614"/>
      <c r="N277" s="2479" t="str">
        <f t="shared" si="8"/>
        <v>UNION, UT, Distribution, Unattended</v>
      </c>
    </row>
    <row r="278" spans="1:14" ht="15" customHeight="1" x14ac:dyDescent="0.2">
      <c r="A278" s="3003">
        <f t="shared" si="9"/>
        <v>40.598999999998604</v>
      </c>
      <c r="B278" s="2512" t="s">
        <v>11530</v>
      </c>
      <c r="C278" s="2489" t="s">
        <v>512</v>
      </c>
      <c r="D278" s="2489" t="s">
        <v>10937</v>
      </c>
      <c r="E278" s="3041">
        <v>46</v>
      </c>
      <c r="F278" s="3041">
        <v>12.47</v>
      </c>
      <c r="G278" s="2488"/>
      <c r="H278" s="2752">
        <v>22</v>
      </c>
      <c r="I278" s="2752">
        <v>1</v>
      </c>
      <c r="J278" s="2488"/>
      <c r="K278" s="2614"/>
      <c r="L278" s="2488"/>
      <c r="M278" s="2614"/>
      <c r="N278" s="2479" t="str">
        <f t="shared" si="8"/>
        <v>VALLEY CENTER, UT, Distribution, Unattended</v>
      </c>
    </row>
    <row r="279" spans="1:14" ht="15" customHeight="1" x14ac:dyDescent="0.2">
      <c r="A279" s="3003">
        <f t="shared" si="9"/>
        <v>40.599999999998602</v>
      </c>
      <c r="B279" s="2512" t="s">
        <v>11531</v>
      </c>
      <c r="C279" s="2489" t="s">
        <v>512</v>
      </c>
      <c r="D279" s="2489" t="s">
        <v>10937</v>
      </c>
      <c r="E279" s="3041">
        <v>46</v>
      </c>
      <c r="F279" s="3041">
        <v>12.47</v>
      </c>
      <c r="G279" s="2488"/>
      <c r="H279" s="2752">
        <v>3</v>
      </c>
      <c r="I279" s="2752">
        <v>1</v>
      </c>
      <c r="J279" s="2488"/>
      <c r="K279" s="2614"/>
      <c r="L279" s="2488"/>
      <c r="M279" s="2614"/>
      <c r="N279" s="2479" t="str">
        <f t="shared" si="8"/>
        <v>VERMILLION, UT, Distribution, Unattended</v>
      </c>
    </row>
    <row r="280" spans="1:14" ht="15" customHeight="1" x14ac:dyDescent="0.2">
      <c r="A280" s="3003">
        <f t="shared" si="9"/>
        <v>40.600999999998599</v>
      </c>
      <c r="B280" s="2512" t="s">
        <v>10742</v>
      </c>
      <c r="C280" s="2489" t="s">
        <v>512</v>
      </c>
      <c r="D280" s="2489" t="s">
        <v>10937</v>
      </c>
      <c r="E280" s="3041">
        <v>69</v>
      </c>
      <c r="F280" s="3041">
        <v>12.47</v>
      </c>
      <c r="G280" s="2488"/>
      <c r="H280" s="2752">
        <v>33</v>
      </c>
      <c r="I280" s="2752">
        <v>2</v>
      </c>
      <c r="J280" s="2488"/>
      <c r="K280" s="2614"/>
      <c r="L280" s="2488"/>
      <c r="M280" s="2614"/>
      <c r="N280" s="2479" t="str">
        <f t="shared" si="8"/>
        <v>VERNAL, UT, Distribution, Unattended</v>
      </c>
    </row>
    <row r="281" spans="1:14" ht="15" customHeight="1" x14ac:dyDescent="0.2">
      <c r="A281" s="3003">
        <f t="shared" si="9"/>
        <v>40.601999999998597</v>
      </c>
      <c r="B281" s="2512" t="s">
        <v>11532</v>
      </c>
      <c r="C281" s="2489" t="s">
        <v>512</v>
      </c>
      <c r="D281" s="2489" t="s">
        <v>10937</v>
      </c>
      <c r="E281" s="3041">
        <v>46</v>
      </c>
      <c r="F281" s="3041">
        <v>12.47</v>
      </c>
      <c r="G281" s="2488"/>
      <c r="H281" s="2752">
        <v>4</v>
      </c>
      <c r="I281" s="2752">
        <v>1</v>
      </c>
      <c r="J281" s="2488"/>
      <c r="K281" s="2614"/>
      <c r="L281" s="2488"/>
      <c r="M281" s="2614"/>
      <c r="N281" s="2479" t="str">
        <f t="shared" si="8"/>
        <v>VICKERS, UT, Distribution, Unattended</v>
      </c>
    </row>
    <row r="282" spans="1:14" ht="15" customHeight="1" x14ac:dyDescent="0.2">
      <c r="A282" s="3003">
        <f t="shared" si="9"/>
        <v>40.602999999998595</v>
      </c>
      <c r="B282" s="2512" t="s">
        <v>10864</v>
      </c>
      <c r="C282" s="2489" t="s">
        <v>512</v>
      </c>
      <c r="D282" s="2489" t="s">
        <v>10937</v>
      </c>
      <c r="E282" s="3041">
        <v>138</v>
      </c>
      <c r="F282" s="3041">
        <v>13.2</v>
      </c>
      <c r="G282" s="2488"/>
      <c r="H282" s="2752">
        <v>30</v>
      </c>
      <c r="I282" s="2752">
        <v>1</v>
      </c>
      <c r="J282" s="2488"/>
      <c r="K282" s="2614"/>
      <c r="L282" s="2488"/>
      <c r="M282" s="2614"/>
      <c r="N282" s="2479" t="str">
        <f t="shared" si="8"/>
        <v>VINEYARD, UT, Distribution, Unattended</v>
      </c>
    </row>
    <row r="283" spans="1:14" ht="15" customHeight="1" x14ac:dyDescent="0.2">
      <c r="A283" s="3003">
        <f t="shared" si="9"/>
        <v>40.603999999998592</v>
      </c>
      <c r="B283" s="2512" t="s">
        <v>11533</v>
      </c>
      <c r="C283" s="2489" t="s">
        <v>512</v>
      </c>
      <c r="D283" s="2489" t="s">
        <v>10937</v>
      </c>
      <c r="E283" s="3041">
        <v>138</v>
      </c>
      <c r="F283" s="3041">
        <v>12.47</v>
      </c>
      <c r="G283" s="2488"/>
      <c r="H283" s="2752">
        <v>13</v>
      </c>
      <c r="I283" s="2752">
        <v>1</v>
      </c>
      <c r="J283" s="2488"/>
      <c r="K283" s="2614"/>
      <c r="L283" s="2488"/>
      <c r="M283" s="2614"/>
      <c r="N283" s="2479" t="str">
        <f t="shared" si="8"/>
        <v>WALLSBURG, UT, Distribution, Unattended</v>
      </c>
    </row>
    <row r="284" spans="1:14" ht="15" customHeight="1" x14ac:dyDescent="0.2">
      <c r="A284" s="3003">
        <f t="shared" si="9"/>
        <v>40.60499999999859</v>
      </c>
      <c r="B284" s="2512" t="s">
        <v>11534</v>
      </c>
      <c r="C284" s="2489" t="s">
        <v>512</v>
      </c>
      <c r="D284" s="2489" t="s">
        <v>10937</v>
      </c>
      <c r="E284" s="3041">
        <v>138</v>
      </c>
      <c r="F284" s="3041">
        <v>12.47</v>
      </c>
      <c r="G284" s="2488"/>
      <c r="H284" s="2752">
        <v>30</v>
      </c>
      <c r="I284" s="2752">
        <v>1</v>
      </c>
      <c r="J284" s="2488"/>
      <c r="K284" s="2614"/>
      <c r="L284" s="2488"/>
      <c r="M284" s="2614"/>
      <c r="N284" s="2479" t="str">
        <f t="shared" si="8"/>
        <v>WALNUT GROVE, UT, Distribution, Unattended</v>
      </c>
    </row>
    <row r="285" spans="1:14" ht="15" customHeight="1" x14ac:dyDescent="0.2">
      <c r="A285" s="3003">
        <f t="shared" si="9"/>
        <v>40.605999999998588</v>
      </c>
      <c r="B285" s="2512" t="s">
        <v>11535</v>
      </c>
      <c r="C285" s="2489" t="s">
        <v>512</v>
      </c>
      <c r="D285" s="2489" t="s">
        <v>10937</v>
      </c>
      <c r="E285" s="3041">
        <v>138</v>
      </c>
      <c r="F285" s="3041">
        <v>12.47</v>
      </c>
      <c r="G285" s="2488"/>
      <c r="H285" s="2752">
        <v>30</v>
      </c>
      <c r="I285" s="2752">
        <v>1</v>
      </c>
      <c r="J285" s="2488"/>
      <c r="K285" s="2614"/>
      <c r="L285" s="2488"/>
      <c r="M285" s="2614"/>
      <c r="N285" s="2479" t="str">
        <f t="shared" si="8"/>
        <v>WARREN, UT, Distribution, Unattended</v>
      </c>
    </row>
    <row r="286" spans="1:14" ht="15" customHeight="1" x14ac:dyDescent="0.2">
      <c r="A286" s="3003">
        <f t="shared" si="9"/>
        <v>40.606999999998585</v>
      </c>
      <c r="B286" s="2512" t="s">
        <v>11536</v>
      </c>
      <c r="C286" s="2489" t="s">
        <v>512</v>
      </c>
      <c r="D286" s="2489" t="s">
        <v>10937</v>
      </c>
      <c r="E286" s="3041">
        <v>46</v>
      </c>
      <c r="F286" s="3041">
        <v>12.47</v>
      </c>
      <c r="G286" s="2488"/>
      <c r="H286" s="2752">
        <v>2</v>
      </c>
      <c r="I286" s="2752">
        <v>3</v>
      </c>
      <c r="J286" s="2488"/>
      <c r="K286" s="2614"/>
      <c r="L286" s="2488"/>
      <c r="M286" s="2614"/>
      <c r="N286" s="2479" t="str">
        <f t="shared" si="8"/>
        <v>WASATCH STATE PARK, UT, Distribution, Unattended</v>
      </c>
    </row>
    <row r="287" spans="1:14" ht="15" customHeight="1" x14ac:dyDescent="0.2">
      <c r="A287" s="3003">
        <f t="shared" si="9"/>
        <v>40.607999999998583</v>
      </c>
      <c r="B287" s="2512" t="s">
        <v>11537</v>
      </c>
      <c r="C287" s="2489" t="s">
        <v>512</v>
      </c>
      <c r="D287" s="2489" t="s">
        <v>10937</v>
      </c>
      <c r="E287" s="3041">
        <v>138</v>
      </c>
      <c r="F287" s="3041">
        <v>4.16</v>
      </c>
      <c r="G287" s="2488"/>
      <c r="H287" s="2752">
        <v>14</v>
      </c>
      <c r="I287" s="2752">
        <v>1</v>
      </c>
      <c r="J287" s="2488"/>
      <c r="K287" s="2614"/>
      <c r="L287" s="2488"/>
      <c r="M287" s="2614"/>
      <c r="N287" s="2479" t="str">
        <f t="shared" si="8"/>
        <v>WASHAKIE, UT, Distribution, Unattended</v>
      </c>
    </row>
    <row r="288" spans="1:14" ht="15" customHeight="1" x14ac:dyDescent="0.2">
      <c r="A288" s="3003">
        <f t="shared" si="9"/>
        <v>40.608999999998581</v>
      </c>
      <c r="B288" s="2512" t="s">
        <v>11538</v>
      </c>
      <c r="C288" s="2489" t="s">
        <v>512</v>
      </c>
      <c r="D288" s="2489" t="s">
        <v>10937</v>
      </c>
      <c r="E288" s="3041">
        <v>46</v>
      </c>
      <c r="F288" s="3041">
        <v>12.47</v>
      </c>
      <c r="G288" s="2488"/>
      <c r="H288" s="2752">
        <v>42</v>
      </c>
      <c r="I288" s="2752">
        <v>2</v>
      </c>
      <c r="J288" s="2488"/>
      <c r="K288" s="2614"/>
      <c r="L288" s="2488"/>
      <c r="M288" s="2614"/>
      <c r="N288" s="2479" t="str">
        <f t="shared" si="8"/>
        <v>WELBY, UT, Distribution, Unattended</v>
      </c>
    </row>
    <row r="289" spans="1:14" ht="15" customHeight="1" x14ac:dyDescent="0.2">
      <c r="A289" s="3003">
        <f t="shared" si="9"/>
        <v>40.609999999998578</v>
      </c>
      <c r="B289" s="2512" t="s">
        <v>11539</v>
      </c>
      <c r="C289" s="2489" t="s">
        <v>512</v>
      </c>
      <c r="D289" s="2489" t="s">
        <v>10937</v>
      </c>
      <c r="E289" s="3041">
        <v>46</v>
      </c>
      <c r="F289" s="3041">
        <v>12.47</v>
      </c>
      <c r="G289" s="2488"/>
      <c r="H289" s="2752">
        <v>11</v>
      </c>
      <c r="I289" s="2752">
        <v>1</v>
      </c>
      <c r="J289" s="2488"/>
      <c r="K289" s="2614"/>
      <c r="L289" s="2488"/>
      <c r="M289" s="2614"/>
      <c r="N289" s="2479" t="str">
        <f t="shared" si="8"/>
        <v>WELFARE, UT, Distribution, Unattended</v>
      </c>
    </row>
    <row r="290" spans="1:14" ht="15" customHeight="1" x14ac:dyDescent="0.2">
      <c r="A290" s="3003">
        <f t="shared" si="9"/>
        <v>40.610999999998576</v>
      </c>
      <c r="B290" s="2512" t="s">
        <v>11540</v>
      </c>
      <c r="C290" s="2489" t="s">
        <v>512</v>
      </c>
      <c r="D290" s="2489" t="s">
        <v>10937</v>
      </c>
      <c r="E290" s="3041">
        <v>46</v>
      </c>
      <c r="F290" s="3041">
        <v>12.47</v>
      </c>
      <c r="G290" s="2488"/>
      <c r="H290" s="2752">
        <v>22</v>
      </c>
      <c r="I290" s="2752">
        <v>1</v>
      </c>
      <c r="J290" s="2488"/>
      <c r="K290" s="2614"/>
      <c r="L290" s="2488"/>
      <c r="M290" s="2614"/>
      <c r="N290" s="2479" t="str">
        <f t="shared" si="8"/>
        <v>WEST COMMERCIAL, UT, Distribution, Unattended</v>
      </c>
    </row>
    <row r="291" spans="1:14" ht="15" customHeight="1" x14ac:dyDescent="0.2">
      <c r="A291" s="3003">
        <f t="shared" si="9"/>
        <v>40.611999999998574</v>
      </c>
      <c r="B291" s="2512" t="s">
        <v>11541</v>
      </c>
      <c r="C291" s="2489" t="s">
        <v>512</v>
      </c>
      <c r="D291" s="2489" t="s">
        <v>10937</v>
      </c>
      <c r="E291" s="3041">
        <v>138</v>
      </c>
      <c r="F291" s="3041">
        <v>12.47</v>
      </c>
      <c r="G291" s="2488"/>
      <c r="H291" s="2752">
        <v>28</v>
      </c>
      <c r="I291" s="2752">
        <v>1</v>
      </c>
      <c r="J291" s="2488"/>
      <c r="K291" s="2614"/>
      <c r="L291" s="2488"/>
      <c r="M291" s="2614"/>
      <c r="N291" s="2479" t="str">
        <f t="shared" si="8"/>
        <v>WEST JORDAN, UT, Distribution, Unattended</v>
      </c>
    </row>
    <row r="292" spans="1:14" ht="15" customHeight="1" x14ac:dyDescent="0.2">
      <c r="A292" s="3003">
        <f t="shared" si="9"/>
        <v>40.612999999998571</v>
      </c>
      <c r="B292" s="2512" t="s">
        <v>11542</v>
      </c>
      <c r="C292" s="2489" t="s">
        <v>512</v>
      </c>
      <c r="D292" s="2489" t="s">
        <v>10937</v>
      </c>
      <c r="E292" s="3041">
        <v>138</v>
      </c>
      <c r="F292" s="3041">
        <v>12.47</v>
      </c>
      <c r="G292" s="2488"/>
      <c r="H292" s="2752">
        <v>60</v>
      </c>
      <c r="I292" s="2752">
        <v>2</v>
      </c>
      <c r="J292" s="2488"/>
      <c r="K292" s="2614"/>
      <c r="L292" s="2488"/>
      <c r="M292" s="2614"/>
      <c r="N292" s="2479" t="str">
        <f t="shared" si="8"/>
        <v>WEST OGDEN, UT, Distribution, Unattended</v>
      </c>
    </row>
    <row r="293" spans="1:14" ht="15" customHeight="1" x14ac:dyDescent="0.2">
      <c r="A293" s="3003">
        <f t="shared" si="9"/>
        <v>40.613999999998569</v>
      </c>
      <c r="B293" s="2512" t="s">
        <v>11543</v>
      </c>
      <c r="C293" s="2489" t="s">
        <v>512</v>
      </c>
      <c r="D293" s="2489" t="s">
        <v>10937</v>
      </c>
      <c r="E293" s="3041">
        <v>138</v>
      </c>
      <c r="F293" s="3041">
        <v>13.2</v>
      </c>
      <c r="G293" s="2488"/>
      <c r="H293" s="2752">
        <v>40</v>
      </c>
      <c r="I293" s="2752">
        <v>1</v>
      </c>
      <c r="J293" s="2488"/>
      <c r="K293" s="2614"/>
      <c r="L293" s="2488"/>
      <c r="M293" s="2614"/>
      <c r="N293" s="2479" t="str">
        <f t="shared" si="8"/>
        <v>WEST POINT, UT, Distribution, Unattended</v>
      </c>
    </row>
    <row r="294" spans="1:14" ht="15" customHeight="1" x14ac:dyDescent="0.2">
      <c r="A294" s="3003">
        <f t="shared" si="9"/>
        <v>40.614999999998567</v>
      </c>
      <c r="B294" s="2512" t="s">
        <v>11544</v>
      </c>
      <c r="C294" s="2489" t="s">
        <v>512</v>
      </c>
      <c r="D294" s="2489" t="s">
        <v>10937</v>
      </c>
      <c r="E294" s="3041">
        <v>46</v>
      </c>
      <c r="F294" s="3041">
        <v>12.47</v>
      </c>
      <c r="G294" s="2488"/>
      <c r="H294" s="2752">
        <v>25</v>
      </c>
      <c r="I294" s="2752">
        <v>1</v>
      </c>
      <c r="J294" s="2488"/>
      <c r="K294" s="2614"/>
      <c r="L294" s="2488"/>
      <c r="M294" s="2614"/>
      <c r="N294" s="2479" t="str">
        <f t="shared" si="8"/>
        <v>WEST ROY, UT, Distribution, Unattended</v>
      </c>
    </row>
    <row r="295" spans="1:14" ht="15" customHeight="1" x14ac:dyDescent="0.2">
      <c r="A295" s="3003">
        <f t="shared" si="9"/>
        <v>40.615999999998564</v>
      </c>
      <c r="B295" s="2512" t="s">
        <v>11545</v>
      </c>
      <c r="C295" s="2489" t="s">
        <v>512</v>
      </c>
      <c r="D295" s="2489" t="s">
        <v>10937</v>
      </c>
      <c r="E295" s="3041">
        <v>46</v>
      </c>
      <c r="F295" s="3041">
        <v>7.2</v>
      </c>
      <c r="G295" s="2488"/>
      <c r="H295" s="2752">
        <v>53</v>
      </c>
      <c r="I295" s="2752">
        <v>3</v>
      </c>
      <c r="J295" s="2488"/>
      <c r="K295" s="2614"/>
      <c r="L295" s="2488"/>
      <c r="M295" s="2614"/>
      <c r="N295" s="2479" t="str">
        <f t="shared" si="8"/>
        <v>WEST TEMPLE, UT, Distribution, Unattended</v>
      </c>
    </row>
    <row r="296" spans="1:14" ht="15" customHeight="1" x14ac:dyDescent="0.2">
      <c r="A296" s="3003">
        <f t="shared" si="9"/>
        <v>40.616999999998562</v>
      </c>
      <c r="B296" s="2512" t="s">
        <v>10787</v>
      </c>
      <c r="C296" s="2489" t="s">
        <v>512</v>
      </c>
      <c r="D296" s="2489" t="s">
        <v>10937</v>
      </c>
      <c r="E296" s="3041">
        <v>138</v>
      </c>
      <c r="F296" s="3041">
        <v>12.47</v>
      </c>
      <c r="G296" s="2488"/>
      <c r="H296" s="2752">
        <v>20</v>
      </c>
      <c r="I296" s="2752">
        <v>1</v>
      </c>
      <c r="J296" s="2488"/>
      <c r="K296" s="2614"/>
      <c r="L296" s="2488"/>
      <c r="M296" s="2614"/>
      <c r="N296" s="2479" t="str">
        <f t="shared" si="8"/>
        <v>WESTFIELD, UT, Distribution, Unattended</v>
      </c>
    </row>
    <row r="297" spans="1:14" ht="15" customHeight="1" x14ac:dyDescent="0.2">
      <c r="A297" s="3003">
        <f t="shared" si="9"/>
        <v>40.61799999999856</v>
      </c>
      <c r="B297" s="2512" t="s">
        <v>11546</v>
      </c>
      <c r="C297" s="2489" t="s">
        <v>512</v>
      </c>
      <c r="D297" s="2489" t="s">
        <v>10937</v>
      </c>
      <c r="E297" s="3041">
        <v>69</v>
      </c>
      <c r="F297" s="3041">
        <v>12.47</v>
      </c>
      <c r="G297" s="2488"/>
      <c r="H297" s="2752">
        <v>5</v>
      </c>
      <c r="I297" s="2752">
        <v>1</v>
      </c>
      <c r="J297" s="2488"/>
      <c r="K297" s="2614"/>
      <c r="L297" s="2488"/>
      <c r="M297" s="2614"/>
      <c r="N297" s="2479" t="str">
        <f t="shared" si="8"/>
        <v>WESTWATER, UT, Distribution, Unattended</v>
      </c>
    </row>
    <row r="298" spans="1:14" ht="15" customHeight="1" x14ac:dyDescent="0.2">
      <c r="A298" s="3003">
        <f t="shared" si="9"/>
        <v>40.618999999998557</v>
      </c>
      <c r="B298" s="2512" t="s">
        <v>11547</v>
      </c>
      <c r="C298" s="2489" t="s">
        <v>512</v>
      </c>
      <c r="D298" s="2489" t="s">
        <v>10937</v>
      </c>
      <c r="E298" s="3041">
        <v>138</v>
      </c>
      <c r="F298" s="3041">
        <v>13.2</v>
      </c>
      <c r="G298" s="2488"/>
      <c r="H298" s="2752">
        <v>30</v>
      </c>
      <c r="I298" s="2752">
        <v>1</v>
      </c>
      <c r="J298" s="2488"/>
      <c r="K298" s="2614"/>
      <c r="L298" s="2488"/>
      <c r="M298" s="2614"/>
      <c r="N298" s="2479" t="str">
        <f t="shared" si="8"/>
        <v>WHITE ROCK, UT, Distribution, Unattended</v>
      </c>
    </row>
    <row r="299" spans="1:14" ht="15" customHeight="1" x14ac:dyDescent="0.2">
      <c r="A299" s="3003">
        <f t="shared" si="9"/>
        <v>40.619999999998555</v>
      </c>
      <c r="B299" s="2512" t="s">
        <v>11548</v>
      </c>
      <c r="C299" s="2489" t="s">
        <v>512</v>
      </c>
      <c r="D299" s="2489" t="s">
        <v>10937</v>
      </c>
      <c r="E299" s="3041">
        <v>46</v>
      </c>
      <c r="F299" s="3041">
        <v>12.47</v>
      </c>
      <c r="G299" s="2488"/>
      <c r="H299" s="2752">
        <v>1</v>
      </c>
      <c r="I299" s="2752">
        <v>1</v>
      </c>
      <c r="J299" s="2488"/>
      <c r="K299" s="2614"/>
      <c r="L299" s="2488"/>
      <c r="M299" s="2614"/>
      <c r="N299" s="2479" t="str">
        <f t="shared" si="8"/>
        <v>WILLOWCREEK, UT, Distribution, Unattended</v>
      </c>
    </row>
    <row r="300" spans="1:14" ht="15" customHeight="1" x14ac:dyDescent="0.2">
      <c r="A300" s="3003">
        <f t="shared" si="9"/>
        <v>40.620999999998553</v>
      </c>
      <c r="B300" s="2512" t="s">
        <v>11549</v>
      </c>
      <c r="C300" s="2489" t="s">
        <v>512</v>
      </c>
      <c r="D300" s="2489" t="s">
        <v>10937</v>
      </c>
      <c r="E300" s="3041">
        <v>46</v>
      </c>
      <c r="F300" s="3041">
        <v>12.47</v>
      </c>
      <c r="G300" s="2488"/>
      <c r="H300" s="2752">
        <v>25</v>
      </c>
      <c r="I300" s="2752">
        <v>1</v>
      </c>
      <c r="J300" s="2488"/>
      <c r="K300" s="2614"/>
      <c r="L300" s="2488"/>
      <c r="M300" s="2614"/>
      <c r="N300" s="2479" t="str">
        <f t="shared" si="8"/>
        <v>WILLOWRIDGE, UT, Distribution, Unattended</v>
      </c>
    </row>
    <row r="301" spans="1:14" ht="15" customHeight="1" x14ac:dyDescent="0.2">
      <c r="A301" s="3003">
        <f t="shared" si="9"/>
        <v>40.62199999999855</v>
      </c>
      <c r="B301" s="2512" t="s">
        <v>11550</v>
      </c>
      <c r="C301" s="2489" t="s">
        <v>512</v>
      </c>
      <c r="D301" s="2489" t="s">
        <v>10937</v>
      </c>
      <c r="E301" s="3041">
        <v>34.5</v>
      </c>
      <c r="F301" s="3041">
        <v>12.47</v>
      </c>
      <c r="G301" s="2488"/>
      <c r="H301" s="2752">
        <v>4</v>
      </c>
      <c r="I301" s="2752">
        <v>1</v>
      </c>
      <c r="J301" s="2488"/>
      <c r="K301" s="2614"/>
      <c r="L301" s="2488"/>
      <c r="M301" s="2614"/>
      <c r="N301" s="2479" t="str">
        <f t="shared" si="8"/>
        <v>WINCHESTER HILLS, UT, Distribution, Unattended</v>
      </c>
    </row>
    <row r="302" spans="1:14" ht="15" customHeight="1" x14ac:dyDescent="0.2">
      <c r="A302" s="3003">
        <f t="shared" si="9"/>
        <v>40.622999999998548</v>
      </c>
      <c r="B302" s="2512" t="s">
        <v>11551</v>
      </c>
      <c r="C302" s="2489" t="s">
        <v>512</v>
      </c>
      <c r="D302" s="2489" t="s">
        <v>10937</v>
      </c>
      <c r="E302" s="3041">
        <v>46</v>
      </c>
      <c r="F302" s="3041">
        <v>7.2</v>
      </c>
      <c r="G302" s="2488"/>
      <c r="H302" s="2752">
        <v>0</v>
      </c>
      <c r="I302" s="2752">
        <v>1</v>
      </c>
      <c r="J302" s="2488"/>
      <c r="K302" s="2614"/>
      <c r="L302" s="2488"/>
      <c r="M302" s="2614"/>
      <c r="N302" s="2479" t="str">
        <f t="shared" si="8"/>
        <v>WINKLEMAN, UT, Distribution, Unattended</v>
      </c>
    </row>
    <row r="303" spans="1:14" ht="15" customHeight="1" x14ac:dyDescent="0.2">
      <c r="A303" s="3003">
        <f t="shared" si="9"/>
        <v>40.623999999998546</v>
      </c>
      <c r="B303" s="2512" t="s">
        <v>11552</v>
      </c>
      <c r="C303" s="2489" t="s">
        <v>512</v>
      </c>
      <c r="D303" s="2489" t="s">
        <v>10937</v>
      </c>
      <c r="E303" s="3041">
        <v>69</v>
      </c>
      <c r="F303" s="3041">
        <v>12.47</v>
      </c>
      <c r="G303" s="3043">
        <v>4.16</v>
      </c>
      <c r="H303" s="2752">
        <v>6</v>
      </c>
      <c r="I303" s="2752">
        <v>1</v>
      </c>
      <c r="J303" s="2488"/>
      <c r="K303" s="2614"/>
      <c r="L303" s="2488"/>
      <c r="M303" s="2614"/>
      <c r="N303" s="2479" t="str">
        <f t="shared" si="8"/>
        <v>WOLF CREEK, UT, Distribution, Unattended</v>
      </c>
    </row>
    <row r="304" spans="1:14" ht="15" customHeight="1" x14ac:dyDescent="0.2">
      <c r="A304" s="3003">
        <f t="shared" si="9"/>
        <v>40.624999999998543</v>
      </c>
      <c r="B304" s="2512" t="s">
        <v>11553</v>
      </c>
      <c r="C304" s="2489" t="s">
        <v>512</v>
      </c>
      <c r="D304" s="2489" t="s">
        <v>10937</v>
      </c>
      <c r="E304" s="3041">
        <v>46</v>
      </c>
      <c r="F304" s="3041">
        <v>12.47</v>
      </c>
      <c r="G304" s="2488"/>
      <c r="H304" s="2752">
        <v>2</v>
      </c>
      <c r="I304" s="2752">
        <v>1</v>
      </c>
      <c r="J304" s="2488"/>
      <c r="K304" s="2614"/>
      <c r="L304" s="2488"/>
      <c r="M304" s="2614"/>
      <c r="N304" s="2479" t="str">
        <f t="shared" si="8"/>
        <v>WOODRUFF, UT, Distribution, Unattended</v>
      </c>
    </row>
    <row r="305" spans="1:14" ht="15" customHeight="1" x14ac:dyDescent="0.2">
      <c r="A305" s="3003">
        <f t="shared" si="9"/>
        <v>40.625999999998541</v>
      </c>
      <c r="B305" s="2512" t="s">
        <v>11554</v>
      </c>
      <c r="C305" s="2489" t="s">
        <v>512</v>
      </c>
      <c r="D305" s="2489" t="s">
        <v>10937</v>
      </c>
      <c r="E305" s="3041">
        <v>46</v>
      </c>
      <c r="F305" s="3041">
        <v>12.47</v>
      </c>
      <c r="G305" s="2488"/>
      <c r="H305" s="2752">
        <v>20</v>
      </c>
      <c r="I305" s="2752">
        <v>1</v>
      </c>
      <c r="J305" s="2488"/>
      <c r="K305" s="2614"/>
      <c r="L305" s="2488"/>
      <c r="M305" s="2614"/>
      <c r="N305" s="2479" t="str">
        <f t="shared" si="8"/>
        <v>WOODS CROSS, UT, Distribution, Unattended</v>
      </c>
    </row>
    <row r="306" spans="1:14" ht="15" customHeight="1" x14ac:dyDescent="0.2">
      <c r="A306" s="3003">
        <f t="shared" si="9"/>
        <v>40.626999999998539</v>
      </c>
      <c r="B306" s="2512" t="s">
        <v>10782</v>
      </c>
      <c r="C306" s="2489" t="s">
        <v>106</v>
      </c>
      <c r="D306" s="2489" t="s">
        <v>10981</v>
      </c>
      <c r="E306" s="3041">
        <v>138</v>
      </c>
      <c r="F306" s="3041">
        <v>46</v>
      </c>
      <c r="G306" s="3043">
        <v>6.6</v>
      </c>
      <c r="H306" s="2752">
        <v>50</v>
      </c>
      <c r="I306" s="2752">
        <v>1</v>
      </c>
      <c r="J306" s="2488"/>
      <c r="K306" s="2614"/>
      <c r="L306" s="2488"/>
      <c r="M306" s="2614"/>
      <c r="N306" s="2479" t="str">
        <f t="shared" si="8"/>
        <v>CUTLER, UT, Transmission, Attended</v>
      </c>
    </row>
    <row r="307" spans="1:14" ht="15" customHeight="1" x14ac:dyDescent="0.2">
      <c r="A307" s="3003">
        <f t="shared" si="9"/>
        <v>40.627999999998536</v>
      </c>
      <c r="B307" s="2512" t="s">
        <v>10576</v>
      </c>
      <c r="C307" s="2489" t="s">
        <v>106</v>
      </c>
      <c r="D307" s="2489" t="s">
        <v>10981</v>
      </c>
      <c r="E307" s="3041">
        <v>345</v>
      </c>
      <c r="F307" s="3041">
        <v>138</v>
      </c>
      <c r="G307" s="3043">
        <v>12.47</v>
      </c>
      <c r="H307" s="2752">
        <v>411</v>
      </c>
      <c r="I307" s="2752">
        <v>3</v>
      </c>
      <c r="J307" s="2488"/>
      <c r="K307" s="2614"/>
      <c r="L307" s="2488"/>
      <c r="M307" s="2614"/>
      <c r="N307" s="2479" t="str">
        <f t="shared" si="8"/>
        <v>EMERY, UT, Transmission, Attended</v>
      </c>
    </row>
    <row r="308" spans="1:14" ht="15" customHeight="1" x14ac:dyDescent="0.2">
      <c r="A308" s="3003">
        <f t="shared" si="9"/>
        <v>40.628999999998534</v>
      </c>
      <c r="B308" s="2512" t="s">
        <v>10802</v>
      </c>
      <c r="C308" s="2489" t="s">
        <v>106</v>
      </c>
      <c r="D308" s="2489" t="s">
        <v>10981</v>
      </c>
      <c r="E308" s="3041">
        <v>138</v>
      </c>
      <c r="F308" s="3041">
        <v>46</v>
      </c>
      <c r="G308" s="3043">
        <v>13.8</v>
      </c>
      <c r="H308" s="2752">
        <v>168</v>
      </c>
      <c r="I308" s="2752">
        <v>1</v>
      </c>
      <c r="J308" s="2488"/>
      <c r="K308" s="2614"/>
      <c r="L308" s="2488"/>
      <c r="M308" s="2614"/>
      <c r="N308" s="2479" t="str">
        <f t="shared" si="8"/>
        <v>GADSBY, UT, Transmission, Attended</v>
      </c>
    </row>
    <row r="309" spans="1:14" ht="15" customHeight="1" x14ac:dyDescent="0.2">
      <c r="A309" s="3003">
        <f t="shared" si="9"/>
        <v>40.629999999998532</v>
      </c>
      <c r="B309" s="2512"/>
      <c r="C309" s="2489"/>
      <c r="D309" s="2489"/>
      <c r="E309" s="2614"/>
      <c r="F309" s="2614"/>
      <c r="G309" s="2488"/>
      <c r="H309" s="2614"/>
      <c r="I309" s="2614"/>
      <c r="J309" s="2488"/>
      <c r="K309" s="2614"/>
      <c r="L309" s="2488"/>
      <c r="M309" s="2614"/>
      <c r="N309" s="2479" t="str">
        <f t="shared" si="8"/>
        <v xml:space="preserve">, , </v>
      </c>
    </row>
    <row r="310" spans="1:14" ht="15" customHeight="1" x14ac:dyDescent="0.2">
      <c r="A310" s="3003">
        <f t="shared" si="9"/>
        <v>40.630999999998529</v>
      </c>
      <c r="B310" s="2512" t="s">
        <v>10546</v>
      </c>
      <c r="C310" s="2489" t="s">
        <v>106</v>
      </c>
      <c r="D310" s="2489" t="s">
        <v>10937</v>
      </c>
      <c r="E310" s="3041">
        <v>345</v>
      </c>
      <c r="F310" s="3041">
        <v>138</v>
      </c>
      <c r="G310" s="3043">
        <v>12.47</v>
      </c>
      <c r="H310" s="2752">
        <v>1604</v>
      </c>
      <c r="I310" s="2752">
        <v>6</v>
      </c>
      <c r="J310" s="2488"/>
      <c r="K310" s="2614"/>
      <c r="L310" s="2488"/>
      <c r="M310" s="2614"/>
      <c r="N310" s="2479" t="str">
        <f t="shared" si="8"/>
        <v>90TH SOUTH, UT, Transmission, Unattended</v>
      </c>
    </row>
    <row r="311" spans="1:14" ht="15" customHeight="1" x14ac:dyDescent="0.2">
      <c r="A311" s="3003">
        <f t="shared" si="9"/>
        <v>40.631999999998527</v>
      </c>
      <c r="B311" s="2512" t="s">
        <v>10731</v>
      </c>
      <c r="C311" s="2489" t="s">
        <v>106</v>
      </c>
      <c r="D311" s="2489" t="s">
        <v>10937</v>
      </c>
      <c r="E311" s="3041">
        <v>138</v>
      </c>
      <c r="F311" s="3041">
        <v>69</v>
      </c>
      <c r="G311" s="3043">
        <v>13.8</v>
      </c>
      <c r="H311" s="2752">
        <v>67</v>
      </c>
      <c r="I311" s="2752">
        <v>2</v>
      </c>
      <c r="J311" s="2488"/>
      <c r="K311" s="2614"/>
      <c r="L311" s="2488"/>
      <c r="M311" s="2614"/>
      <c r="N311" s="2479" t="str">
        <f t="shared" si="8"/>
        <v>ABAJO, UT, Transmission, Unattended</v>
      </c>
    </row>
    <row r="312" spans="1:14" ht="15" customHeight="1" x14ac:dyDescent="0.2">
      <c r="A312" s="3003">
        <f t="shared" si="9"/>
        <v>40.632999999998525</v>
      </c>
      <c r="B312" s="2512" t="s">
        <v>10740</v>
      </c>
      <c r="C312" s="2489" t="s">
        <v>106</v>
      </c>
      <c r="D312" s="2489" t="s">
        <v>10937</v>
      </c>
      <c r="E312" s="3041">
        <v>138</v>
      </c>
      <c r="F312" s="3041">
        <v>69</v>
      </c>
      <c r="G312" s="3043">
        <v>12.47</v>
      </c>
      <c r="H312" s="2752">
        <v>134</v>
      </c>
      <c r="I312" s="2752">
        <v>2</v>
      </c>
      <c r="J312" s="2488"/>
      <c r="K312" s="2614"/>
      <c r="L312" s="2488"/>
      <c r="M312" s="2614"/>
      <c r="N312" s="2479" t="str">
        <f t="shared" si="8"/>
        <v>ASHLEY, UT, Transmission, Unattended</v>
      </c>
    </row>
    <row r="313" spans="1:14" ht="15" customHeight="1" x14ac:dyDescent="0.2">
      <c r="A313" s="3003">
        <f t="shared" si="9"/>
        <v>40.633999999998522</v>
      </c>
      <c r="B313" s="2512" t="s">
        <v>10556</v>
      </c>
      <c r="C313" s="2489" t="s">
        <v>106</v>
      </c>
      <c r="D313" s="2489" t="s">
        <v>10937</v>
      </c>
      <c r="E313" s="3041">
        <v>345</v>
      </c>
      <c r="F313" s="3041">
        <v>230</v>
      </c>
      <c r="G313" s="3043">
        <v>13.8</v>
      </c>
      <c r="H313" s="2752">
        <v>2202</v>
      </c>
      <c r="I313" s="2752">
        <v>6</v>
      </c>
      <c r="J313" s="2488"/>
      <c r="K313" s="2614"/>
      <c r="L313" s="2488"/>
      <c r="M313" s="2614"/>
      <c r="N313" s="2479" t="str">
        <f t="shared" si="8"/>
        <v>BEN LOMOND, UT, Transmission, Unattended</v>
      </c>
    </row>
    <row r="314" spans="1:14" ht="15" customHeight="1" x14ac:dyDescent="0.2">
      <c r="A314" s="3003">
        <f t="shared" si="9"/>
        <v>40.63499999999852</v>
      </c>
      <c r="B314" s="2512" t="s">
        <v>11555</v>
      </c>
      <c r="C314" s="2489" t="s">
        <v>106</v>
      </c>
      <c r="D314" s="2489" t="s">
        <v>10937</v>
      </c>
      <c r="E314" s="3041">
        <v>230</v>
      </c>
      <c r="F314" s="3041">
        <v>69</v>
      </c>
      <c r="G314" s="3043">
        <v>13.2</v>
      </c>
      <c r="H314" s="2752">
        <v>75</v>
      </c>
      <c r="I314" s="2752">
        <v>1</v>
      </c>
      <c r="J314" s="2488"/>
      <c r="K314" s="2614"/>
      <c r="L314" s="2488"/>
      <c r="M314" s="2614"/>
      <c r="N314" s="2479" t="str">
        <f t="shared" si="8"/>
        <v>BLACK ROCK, UT, Transmission, Unattended</v>
      </c>
    </row>
    <row r="315" spans="1:14" ht="15" customHeight="1" x14ac:dyDescent="0.2">
      <c r="A315" s="3003">
        <f t="shared" si="9"/>
        <v>40.635999999998518</v>
      </c>
      <c r="B315" s="2512" t="s">
        <v>10823</v>
      </c>
      <c r="C315" s="2489" t="s">
        <v>106</v>
      </c>
      <c r="D315" s="2489" t="s">
        <v>10937</v>
      </c>
      <c r="E315" s="3041">
        <v>138</v>
      </c>
      <c r="F315" s="3041">
        <v>69</v>
      </c>
      <c r="G315" s="3043">
        <v>7.2</v>
      </c>
      <c r="H315" s="2752">
        <v>100</v>
      </c>
      <c r="I315" s="2752">
        <v>2</v>
      </c>
      <c r="J315" s="2488"/>
      <c r="K315" s="2614"/>
      <c r="L315" s="2488"/>
      <c r="M315" s="2614"/>
      <c r="N315" s="2479" t="str">
        <f t="shared" si="8"/>
        <v>BLACKHAWK, UT, Transmission, Unattended</v>
      </c>
    </row>
    <row r="316" spans="1:14" ht="15" customHeight="1" x14ac:dyDescent="0.2">
      <c r="A316" s="3003">
        <f t="shared" si="9"/>
        <v>40.636999999998515</v>
      </c>
      <c r="B316" s="2512" t="s">
        <v>10758</v>
      </c>
      <c r="C316" s="2489" t="s">
        <v>106</v>
      </c>
      <c r="D316" s="2489" t="s">
        <v>10937</v>
      </c>
      <c r="E316" s="3041">
        <v>138</v>
      </c>
      <c r="F316" s="3041">
        <v>46</v>
      </c>
      <c r="G316" s="3043">
        <v>13.8</v>
      </c>
      <c r="H316" s="2752">
        <v>205</v>
      </c>
      <c r="I316" s="2752">
        <v>4</v>
      </c>
      <c r="J316" s="2488"/>
      <c r="K316" s="2614"/>
      <c r="L316" s="2488"/>
      <c r="M316" s="2614"/>
      <c r="N316" s="2479" t="str">
        <f t="shared" si="8"/>
        <v>BUTLERVILLE, UT, Transmission, Unattended</v>
      </c>
    </row>
    <row r="317" spans="1:14" ht="15" customHeight="1" x14ac:dyDescent="0.2">
      <c r="A317" s="3003">
        <f t="shared" si="9"/>
        <v>40.637999999998513</v>
      </c>
      <c r="B317" s="2512" t="s">
        <v>10759</v>
      </c>
      <c r="C317" s="2489" t="s">
        <v>106</v>
      </c>
      <c r="D317" s="2489" t="s">
        <v>10937</v>
      </c>
      <c r="E317" s="3041">
        <v>138</v>
      </c>
      <c r="F317" s="3041">
        <v>46</v>
      </c>
      <c r="G317" s="3043">
        <v>12.47</v>
      </c>
      <c r="H317" s="2752">
        <v>100</v>
      </c>
      <c r="I317" s="2752">
        <v>4</v>
      </c>
      <c r="J317" s="2488"/>
      <c r="K317" s="2614"/>
      <c r="L317" s="2488"/>
      <c r="M317" s="2614"/>
      <c r="N317" s="2479" t="str">
        <f t="shared" si="8"/>
        <v>CAMERON, UT, Transmission, Unattended</v>
      </c>
    </row>
    <row r="318" spans="1:14" ht="15" customHeight="1" x14ac:dyDescent="0.2">
      <c r="A318" s="3003">
        <f t="shared" si="9"/>
        <v>40.638999999998511</v>
      </c>
      <c r="B318" s="2512" t="s">
        <v>10559</v>
      </c>
      <c r="C318" s="2489" t="s">
        <v>106</v>
      </c>
      <c r="D318" s="2489" t="s">
        <v>10937</v>
      </c>
      <c r="E318" s="3041">
        <v>345</v>
      </c>
      <c r="F318" s="3041">
        <v>138</v>
      </c>
      <c r="G318" s="3043">
        <v>13.2</v>
      </c>
      <c r="H318" s="2752">
        <v>200</v>
      </c>
      <c r="I318" s="2752">
        <v>2</v>
      </c>
      <c r="J318" s="2488"/>
      <c r="K318" s="2614"/>
      <c r="L318" s="2488"/>
      <c r="M318" s="2614"/>
      <c r="N318" s="2479" t="str">
        <f t="shared" si="8"/>
        <v>CAMP WILLIAMS, UT, Transmission, Unattended</v>
      </c>
    </row>
    <row r="319" spans="1:14" ht="15" customHeight="1" x14ac:dyDescent="0.2">
      <c r="A319" s="3003">
        <f t="shared" si="9"/>
        <v>40.639999999998508</v>
      </c>
      <c r="B319" s="2512" t="s">
        <v>10566</v>
      </c>
      <c r="C319" s="2489" t="s">
        <v>106</v>
      </c>
      <c r="D319" s="2489" t="s">
        <v>10937</v>
      </c>
      <c r="E319" s="3041">
        <v>345</v>
      </c>
      <c r="F319" s="3041">
        <v>138</v>
      </c>
      <c r="G319" s="3043">
        <v>24.9</v>
      </c>
      <c r="H319" s="2752">
        <v>400</v>
      </c>
      <c r="I319" s="2752">
        <v>1</v>
      </c>
      <c r="J319" s="2488"/>
      <c r="K319" s="2614"/>
      <c r="L319" s="2488"/>
      <c r="M319" s="2614"/>
      <c r="N319" s="2479" t="str">
        <f t="shared" si="8"/>
        <v>CLOVER, UT, Transmission, Unattended</v>
      </c>
    </row>
    <row r="320" spans="1:14" ht="15" customHeight="1" x14ac:dyDescent="0.2">
      <c r="A320" s="3003">
        <f t="shared" si="9"/>
        <v>40.640999999998506</v>
      </c>
      <c r="B320" s="2512" t="s">
        <v>10776</v>
      </c>
      <c r="C320" s="2489" t="s">
        <v>106</v>
      </c>
      <c r="D320" s="2489" t="s">
        <v>10937</v>
      </c>
      <c r="E320" s="3041">
        <v>138</v>
      </c>
      <c r="F320" s="3041">
        <v>46</v>
      </c>
      <c r="G320" s="3043">
        <v>6.6</v>
      </c>
      <c r="H320" s="2752">
        <v>71</v>
      </c>
      <c r="I320" s="2752">
        <v>2</v>
      </c>
      <c r="J320" s="2488"/>
      <c r="K320" s="2614"/>
      <c r="L320" s="2488"/>
      <c r="M320" s="2614"/>
      <c r="N320" s="2479" t="str">
        <f t="shared" si="8"/>
        <v>COLUMBIA, UT, Transmission, Unattended</v>
      </c>
    </row>
    <row r="321" spans="1:14" ht="15" customHeight="1" x14ac:dyDescent="0.2">
      <c r="A321" s="3003">
        <f t="shared" si="9"/>
        <v>40.641999999998504</v>
      </c>
      <c r="B321" s="2512" t="s">
        <v>10778</v>
      </c>
      <c r="C321" s="2489" t="s">
        <v>106</v>
      </c>
      <c r="D321" s="2489" t="s">
        <v>10937</v>
      </c>
      <c r="E321" s="3041">
        <v>138</v>
      </c>
      <c r="F321" s="3041">
        <v>46</v>
      </c>
      <c r="G321" s="3043">
        <v>12.47</v>
      </c>
      <c r="H321" s="2752">
        <v>301</v>
      </c>
      <c r="I321" s="2752">
        <v>6</v>
      </c>
      <c r="J321" s="2750">
        <v>1</v>
      </c>
      <c r="K321" s="2614"/>
      <c r="L321" s="2488"/>
      <c r="M321" s="2614"/>
      <c r="N321" s="2479" t="str">
        <f t="shared" si="8"/>
        <v>COTTONWOOD, UT, Transmission, Unattended</v>
      </c>
    </row>
    <row r="322" spans="1:14" ht="15" customHeight="1" x14ac:dyDescent="0.2">
      <c r="A322" s="3003">
        <f t="shared" si="9"/>
        <v>40.642999999998501</v>
      </c>
      <c r="B322" s="2512" t="s">
        <v>10747</v>
      </c>
      <c r="C322" s="2489" t="s">
        <v>106</v>
      </c>
      <c r="D322" s="2489" t="s">
        <v>10937</v>
      </c>
      <c r="E322" s="3041">
        <v>138</v>
      </c>
      <c r="F322" s="3041">
        <v>46</v>
      </c>
      <c r="G322" s="3043">
        <v>12.47</v>
      </c>
      <c r="H322" s="2752">
        <v>313</v>
      </c>
      <c r="I322" s="2752">
        <v>3</v>
      </c>
      <c r="J322" s="2488"/>
      <c r="K322" s="2614"/>
      <c r="L322" s="2488"/>
      <c r="M322" s="2614"/>
      <c r="N322" s="2479" t="str">
        <f t="shared" si="8"/>
        <v>EL MONTE, UT, Transmission, Unattended</v>
      </c>
    </row>
    <row r="323" spans="1:14" ht="15" customHeight="1" x14ac:dyDescent="0.2">
      <c r="A323" s="3003">
        <f t="shared" si="9"/>
        <v>40.643999999998499</v>
      </c>
      <c r="B323" s="2512" t="s">
        <v>11556</v>
      </c>
      <c r="C323" s="2489" t="s">
        <v>106</v>
      </c>
      <c r="D323" s="2489" t="s">
        <v>10937</v>
      </c>
      <c r="E323" s="3041">
        <v>138</v>
      </c>
      <c r="F323" s="3041">
        <v>12.47</v>
      </c>
      <c r="G323" s="2488"/>
      <c r="H323" s="2752">
        <v>8</v>
      </c>
      <c r="I323" s="2752">
        <v>1</v>
      </c>
      <c r="J323" s="2488"/>
      <c r="K323" s="2614"/>
      <c r="L323" s="2488"/>
      <c r="M323" s="2614"/>
      <c r="N323" s="2479" t="str">
        <f t="shared" si="8"/>
        <v>EMMA PARK, UT, Transmission, Unattended</v>
      </c>
    </row>
    <row r="324" spans="1:14" ht="15" customHeight="1" x14ac:dyDescent="0.2">
      <c r="A324" s="3003">
        <f t="shared" si="9"/>
        <v>40.644999999998497</v>
      </c>
      <c r="B324" s="2512" t="s">
        <v>11557</v>
      </c>
      <c r="C324" s="2489" t="s">
        <v>106</v>
      </c>
      <c r="D324" s="2489" t="s">
        <v>10937</v>
      </c>
      <c r="E324" s="3041">
        <v>69</v>
      </c>
      <c r="F324" s="3041">
        <v>46</v>
      </c>
      <c r="G324" s="3043">
        <v>2.4</v>
      </c>
      <c r="H324" s="2752">
        <v>33</v>
      </c>
      <c r="I324" s="2752">
        <v>1</v>
      </c>
      <c r="J324" s="2488"/>
      <c r="K324" s="2614"/>
      <c r="L324" s="2488"/>
      <c r="M324" s="2614"/>
      <c r="N324" s="2479" t="str">
        <f t="shared" si="8"/>
        <v>GARKANE, UT, Transmission, Unattended</v>
      </c>
    </row>
    <row r="325" spans="1:14" ht="15" customHeight="1" x14ac:dyDescent="0.2">
      <c r="A325" s="3003">
        <f t="shared" si="9"/>
        <v>40.645999999998494</v>
      </c>
      <c r="B325" s="2512" t="s">
        <v>10757</v>
      </c>
      <c r="C325" s="2489" t="s">
        <v>106</v>
      </c>
      <c r="D325" s="2489" t="s">
        <v>10937</v>
      </c>
      <c r="E325" s="3041">
        <v>138</v>
      </c>
      <c r="F325" s="3041">
        <v>46</v>
      </c>
      <c r="G325" s="3043">
        <v>6.6</v>
      </c>
      <c r="H325" s="2752">
        <v>67</v>
      </c>
      <c r="I325" s="2752">
        <v>2</v>
      </c>
      <c r="J325" s="2488"/>
      <c r="K325" s="2614"/>
      <c r="L325" s="2488"/>
      <c r="M325" s="2614"/>
      <c r="N325" s="2479" t="str">
        <f t="shared" si="8"/>
        <v>GREEN CANYON, UT, Transmission, Unattended</v>
      </c>
    </row>
    <row r="326" spans="1:14" ht="15" customHeight="1" x14ac:dyDescent="0.2">
      <c r="A326" s="3003">
        <f t="shared" si="9"/>
        <v>40.646999999998492</v>
      </c>
      <c r="B326" s="2512" t="s">
        <v>10811</v>
      </c>
      <c r="C326" s="2489" t="s">
        <v>106</v>
      </c>
      <c r="D326" s="2489" t="s">
        <v>10937</v>
      </c>
      <c r="E326" s="3041">
        <v>138</v>
      </c>
      <c r="F326" s="3041">
        <v>46</v>
      </c>
      <c r="G326" s="3043">
        <v>12.47</v>
      </c>
      <c r="H326" s="2752">
        <v>114</v>
      </c>
      <c r="I326" s="2752">
        <v>2</v>
      </c>
      <c r="J326" s="2488"/>
      <c r="K326" s="2614"/>
      <c r="L326" s="2488"/>
      <c r="M326" s="2614"/>
      <c r="N326" s="2479" t="str">
        <f t="shared" si="8"/>
        <v>HALE, UT, Transmission, Unattended</v>
      </c>
    </row>
    <row r="327" spans="1:14" ht="15" customHeight="1" x14ac:dyDescent="0.2">
      <c r="A327" s="3003">
        <f t="shared" si="9"/>
        <v>40.64799999999849</v>
      </c>
      <c r="B327" s="2512" t="s">
        <v>11558</v>
      </c>
      <c r="C327" s="2489" t="s">
        <v>106</v>
      </c>
      <c r="D327" s="2489" t="s">
        <v>10937</v>
      </c>
      <c r="E327" s="3041">
        <v>138</v>
      </c>
      <c r="F327" s="3041">
        <v>46</v>
      </c>
      <c r="G327" s="3043">
        <v>12.47</v>
      </c>
      <c r="H327" s="2752">
        <v>77</v>
      </c>
      <c r="I327" s="2752">
        <v>2</v>
      </c>
      <c r="J327" s="2488"/>
      <c r="K327" s="2614"/>
      <c r="L327" s="2488"/>
      <c r="M327" s="2614"/>
      <c r="N327" s="2479" t="str">
        <f t="shared" si="8"/>
        <v>HELPER, UT, Transmission, Unattended</v>
      </c>
    </row>
    <row r="328" spans="1:14" ht="15" customHeight="1" x14ac:dyDescent="0.2">
      <c r="A328" s="3003">
        <f t="shared" si="9"/>
        <v>40.648999999998487</v>
      </c>
      <c r="B328" s="2512" t="s">
        <v>11559</v>
      </c>
      <c r="C328" s="2489" t="s">
        <v>106</v>
      </c>
      <c r="D328" s="2489" t="s">
        <v>10937</v>
      </c>
      <c r="E328" s="3041">
        <v>138</v>
      </c>
      <c r="F328" s="3041">
        <v>46</v>
      </c>
      <c r="G328" s="3043">
        <v>6.6</v>
      </c>
      <c r="H328" s="2752">
        <v>80</v>
      </c>
      <c r="I328" s="2752">
        <v>2</v>
      </c>
      <c r="J328" s="2488"/>
      <c r="K328" s="2614"/>
      <c r="L328" s="2488"/>
      <c r="M328" s="2614"/>
      <c r="N328" s="2479" t="str">
        <f t="shared" si="8"/>
        <v>HORSESHOE, UT, Transmission, Unattended</v>
      </c>
    </row>
    <row r="329" spans="1:14" ht="15" customHeight="1" x14ac:dyDescent="0.2">
      <c r="A329" s="3003">
        <f t="shared" si="9"/>
        <v>40.649999999998485</v>
      </c>
      <c r="B329" s="2512" t="s">
        <v>10577</v>
      </c>
      <c r="C329" s="2489" t="s">
        <v>106</v>
      </c>
      <c r="D329" s="2489" t="s">
        <v>10937</v>
      </c>
      <c r="E329" s="3041">
        <v>345</v>
      </c>
      <c r="F329" s="3041">
        <v>138</v>
      </c>
      <c r="G329" s="3043">
        <v>12.47</v>
      </c>
      <c r="H329" s="2752">
        <v>270</v>
      </c>
      <c r="I329" s="2752">
        <v>4</v>
      </c>
      <c r="J329" s="2488"/>
      <c r="K329" s="2614"/>
      <c r="L329" s="2488"/>
      <c r="M329" s="2614"/>
      <c r="N329" s="2479" t="str">
        <f t="shared" si="8"/>
        <v>HUNTINGTON, UT, Transmission, Unattended</v>
      </c>
    </row>
    <row r="330" spans="1:14" ht="15" customHeight="1" x14ac:dyDescent="0.2">
      <c r="A330" s="3003">
        <f t="shared" si="9"/>
        <v>40.650999999998483</v>
      </c>
      <c r="B330" s="2512" t="s">
        <v>10817</v>
      </c>
      <c r="C330" s="2489" t="s">
        <v>106</v>
      </c>
      <c r="D330" s="2489" t="s">
        <v>10937</v>
      </c>
      <c r="E330" s="3041">
        <v>138</v>
      </c>
      <c r="F330" s="3041">
        <v>46</v>
      </c>
      <c r="G330" s="3043">
        <v>6.6</v>
      </c>
      <c r="H330" s="2752">
        <v>67</v>
      </c>
      <c r="I330" s="2752">
        <v>1</v>
      </c>
      <c r="J330" s="2488"/>
      <c r="K330" s="2614"/>
      <c r="L330" s="2488"/>
      <c r="M330" s="2614"/>
      <c r="N330" s="2479" t="str">
        <f t="shared" ref="N330:N361" si="10">CONCATENATE(B330,", ",C330,", ",D330)</f>
        <v>JERUSALEM, UT, Transmission, Unattended</v>
      </c>
    </row>
    <row r="331" spans="1:14" ht="15" customHeight="1" x14ac:dyDescent="0.2">
      <c r="A331" s="3003">
        <f t="shared" ref="A331:A360" si="11">A330+0.001</f>
        <v>40.65199999999848</v>
      </c>
      <c r="B331" s="2512" t="s">
        <v>10803</v>
      </c>
      <c r="C331" s="2489" t="s">
        <v>106</v>
      </c>
      <c r="D331" s="2489" t="s">
        <v>10937</v>
      </c>
      <c r="E331" s="3041">
        <v>138</v>
      </c>
      <c r="F331" s="3041">
        <v>46</v>
      </c>
      <c r="G331" s="3043">
        <v>12.47</v>
      </c>
      <c r="H331" s="2752">
        <v>195</v>
      </c>
      <c r="I331" s="2752">
        <v>4</v>
      </c>
      <c r="J331" s="2488"/>
      <c r="K331" s="2614"/>
      <c r="L331" s="2488"/>
      <c r="M331" s="2614"/>
      <c r="N331" s="2479" t="str">
        <f t="shared" si="10"/>
        <v>JORDAN, UT, Transmission, Unattended</v>
      </c>
    </row>
    <row r="332" spans="1:14" ht="15" customHeight="1" x14ac:dyDescent="0.2">
      <c r="A332" s="3003">
        <f t="shared" si="11"/>
        <v>40.652999999998478</v>
      </c>
      <c r="B332" s="2512" t="s">
        <v>10815</v>
      </c>
      <c r="C332" s="2489" t="s">
        <v>106</v>
      </c>
      <c r="D332" s="2489" t="s">
        <v>10937</v>
      </c>
      <c r="E332" s="3041">
        <v>138</v>
      </c>
      <c r="F332" s="3041">
        <v>46</v>
      </c>
      <c r="G332" s="3043">
        <v>12.47</v>
      </c>
      <c r="H332" s="2752">
        <v>75</v>
      </c>
      <c r="I332" s="2752">
        <v>1</v>
      </c>
      <c r="J332" s="2488"/>
      <c r="K332" s="2614"/>
      <c r="L332" s="2488"/>
      <c r="M332" s="2614"/>
      <c r="N332" s="2479" t="str">
        <f t="shared" si="10"/>
        <v>LAMPO, UT, Transmission, Unattended</v>
      </c>
    </row>
    <row r="333" spans="1:14" ht="15" customHeight="1" x14ac:dyDescent="0.2">
      <c r="A333" s="3003">
        <f t="shared" si="11"/>
        <v>40.653999999998476</v>
      </c>
      <c r="B333" s="2512" t="s">
        <v>11560</v>
      </c>
      <c r="C333" s="2489" t="s">
        <v>106</v>
      </c>
      <c r="D333" s="2489" t="s">
        <v>10937</v>
      </c>
      <c r="E333" s="3041">
        <v>138</v>
      </c>
      <c r="F333" s="3041">
        <v>46</v>
      </c>
      <c r="G333" s="3043">
        <v>13.2</v>
      </c>
      <c r="H333" s="2752">
        <v>75</v>
      </c>
      <c r="I333" s="2752">
        <v>1</v>
      </c>
      <c r="J333" s="2488"/>
      <c r="K333" s="2614"/>
      <c r="L333" s="2488"/>
      <c r="M333" s="2614"/>
      <c r="N333" s="2479" t="str">
        <f t="shared" si="10"/>
        <v>MATHINGTON, UT, Transmission, Unattended</v>
      </c>
    </row>
    <row r="334" spans="1:14" ht="15" customHeight="1" x14ac:dyDescent="0.2">
      <c r="A334" s="3003">
        <f t="shared" si="11"/>
        <v>40.654999999998473</v>
      </c>
      <c r="B334" s="2512" t="s">
        <v>10780</v>
      </c>
      <c r="C334" s="2489" t="s">
        <v>106</v>
      </c>
      <c r="D334" s="2489" t="s">
        <v>10937</v>
      </c>
      <c r="E334" s="3041">
        <v>138</v>
      </c>
      <c r="F334" s="3041">
        <v>46</v>
      </c>
      <c r="G334" s="3043">
        <v>13.8</v>
      </c>
      <c r="H334" s="2752">
        <v>340</v>
      </c>
      <c r="I334" s="2752">
        <v>3</v>
      </c>
      <c r="J334" s="2488"/>
      <c r="K334" s="2614"/>
      <c r="L334" s="2488"/>
      <c r="M334" s="2614"/>
      <c r="N334" s="2479" t="str">
        <f t="shared" si="10"/>
        <v>MCCLELLAND, UT, Transmission, Unattended</v>
      </c>
    </row>
    <row r="335" spans="1:14" ht="15" customHeight="1" x14ac:dyDescent="0.2">
      <c r="A335" s="3003">
        <f t="shared" si="11"/>
        <v>40.655999999998471</v>
      </c>
      <c r="B335" s="2512" t="s">
        <v>10816</v>
      </c>
      <c r="C335" s="2489" t="s">
        <v>106</v>
      </c>
      <c r="D335" s="2489" t="s">
        <v>10937</v>
      </c>
      <c r="E335" s="3041">
        <v>138</v>
      </c>
      <c r="F335" s="3041">
        <v>69</v>
      </c>
      <c r="G335" s="3043">
        <v>13.8</v>
      </c>
      <c r="H335" s="2752">
        <v>45</v>
      </c>
      <c r="I335" s="2752">
        <v>1</v>
      </c>
      <c r="J335" s="2488"/>
      <c r="K335" s="2614"/>
      <c r="L335" s="2488"/>
      <c r="M335" s="2614"/>
      <c r="N335" s="2479" t="str">
        <f t="shared" si="10"/>
        <v>MCFADDEN, UT, Transmission, Unattended</v>
      </c>
    </row>
    <row r="336" spans="1:14" ht="15" customHeight="1" x14ac:dyDescent="0.2">
      <c r="A336" s="3003">
        <f t="shared" si="11"/>
        <v>40.656999999998469</v>
      </c>
      <c r="B336" s="2512" t="s">
        <v>10827</v>
      </c>
      <c r="C336" s="2489" t="s">
        <v>106</v>
      </c>
      <c r="D336" s="2489" t="s">
        <v>10937</v>
      </c>
      <c r="E336" s="3041">
        <v>138</v>
      </c>
      <c r="F336" s="3041">
        <v>69</v>
      </c>
      <c r="G336" s="3043">
        <v>6.6</v>
      </c>
      <c r="H336" s="2752">
        <v>137</v>
      </c>
      <c r="I336" s="2752">
        <v>3</v>
      </c>
      <c r="J336" s="2488"/>
      <c r="K336" s="2614"/>
      <c r="L336" s="2488"/>
      <c r="M336" s="2614"/>
      <c r="N336" s="2479" t="str">
        <f t="shared" si="10"/>
        <v>MIDDLETON, UT, Transmission, Unattended</v>
      </c>
    </row>
    <row r="337" spans="1:14" ht="15" customHeight="1" x14ac:dyDescent="0.2">
      <c r="A337" s="3003">
        <f t="shared" si="11"/>
        <v>40.657999999998466</v>
      </c>
      <c r="B337" s="2512" t="s">
        <v>10822</v>
      </c>
      <c r="C337" s="2489" t="s">
        <v>106</v>
      </c>
      <c r="D337" s="2489" t="s">
        <v>10937</v>
      </c>
      <c r="E337" s="3041">
        <v>345</v>
      </c>
      <c r="F337" s="3041">
        <v>138</v>
      </c>
      <c r="G337" s="3043">
        <v>13.8</v>
      </c>
      <c r="H337" s="2752">
        <v>1150</v>
      </c>
      <c r="I337" s="2752">
        <v>2</v>
      </c>
      <c r="J337" s="2488"/>
      <c r="K337" s="2614"/>
      <c r="L337" s="2488"/>
      <c r="M337" s="2614"/>
      <c r="N337" s="2479" t="str">
        <f t="shared" si="10"/>
        <v>MIDVALLEY, UT, Transmission, Unattended</v>
      </c>
    </row>
    <row r="338" spans="1:14" ht="15" customHeight="1" x14ac:dyDescent="0.2">
      <c r="A338" s="3003">
        <f t="shared" si="11"/>
        <v>40.658999999998464</v>
      </c>
      <c r="B338" s="2512" t="s">
        <v>11561</v>
      </c>
      <c r="C338" s="2489" t="s">
        <v>106</v>
      </c>
      <c r="D338" s="2489" t="s">
        <v>10937</v>
      </c>
      <c r="E338" s="3041">
        <v>138</v>
      </c>
      <c r="F338" s="3041">
        <v>46</v>
      </c>
      <c r="G338" s="3043">
        <v>12.47</v>
      </c>
      <c r="H338" s="2752">
        <v>67</v>
      </c>
      <c r="I338" s="2752">
        <v>1</v>
      </c>
      <c r="J338" s="2488"/>
      <c r="K338" s="2614"/>
      <c r="L338" s="2488"/>
      <c r="M338" s="2614"/>
      <c r="N338" s="2479" t="str">
        <f t="shared" si="10"/>
        <v>MIDWAY CITY, UT, Transmission, Unattended</v>
      </c>
    </row>
    <row r="339" spans="1:14" ht="15" customHeight="1" x14ac:dyDescent="0.2">
      <c r="A339" s="3003">
        <f t="shared" si="11"/>
        <v>40.659999999998462</v>
      </c>
      <c r="B339" s="2512" t="s">
        <v>11562</v>
      </c>
      <c r="C339" s="2489" t="s">
        <v>106</v>
      </c>
      <c r="D339" s="2489" t="s">
        <v>10937</v>
      </c>
      <c r="E339" s="3041">
        <v>69</v>
      </c>
      <c r="F339" s="3041">
        <v>46</v>
      </c>
      <c r="G339" s="3043">
        <v>6.6</v>
      </c>
      <c r="H339" s="2752">
        <v>13</v>
      </c>
      <c r="I339" s="2752">
        <v>1</v>
      </c>
      <c r="J339" s="2488"/>
      <c r="K339" s="2614"/>
      <c r="L339" s="2488"/>
      <c r="M339" s="2614"/>
      <c r="N339" s="2479" t="str">
        <f t="shared" si="10"/>
        <v>MINERAL PRODUCTS, UT, Transmission, Unattended</v>
      </c>
    </row>
    <row r="340" spans="1:14" ht="15" customHeight="1" x14ac:dyDescent="0.2">
      <c r="A340" s="3003">
        <f t="shared" si="11"/>
        <v>40.660999999998459</v>
      </c>
      <c r="B340" s="2512" t="s">
        <v>10765</v>
      </c>
      <c r="C340" s="2489" t="s">
        <v>106</v>
      </c>
      <c r="D340" s="2489" t="s">
        <v>10937</v>
      </c>
      <c r="E340" s="3041">
        <v>138</v>
      </c>
      <c r="F340" s="3041">
        <v>69</v>
      </c>
      <c r="G340" s="3043">
        <v>6.6</v>
      </c>
      <c r="H340" s="2752">
        <v>67</v>
      </c>
      <c r="I340" s="2752">
        <v>1</v>
      </c>
      <c r="J340" s="2488"/>
      <c r="K340" s="2614"/>
      <c r="L340" s="2488"/>
      <c r="M340" s="2614"/>
      <c r="N340" s="2479" t="str">
        <f t="shared" si="10"/>
        <v>MOAB, UT, Transmission, Unattended</v>
      </c>
    </row>
    <row r="341" spans="1:14" ht="15" customHeight="1" x14ac:dyDescent="0.2">
      <c r="A341" s="3003">
        <f t="shared" si="11"/>
        <v>40.661999999998457</v>
      </c>
      <c r="B341" s="2512" t="s">
        <v>10775</v>
      </c>
      <c r="C341" s="2489" t="s">
        <v>106</v>
      </c>
      <c r="D341" s="2489" t="s">
        <v>10937</v>
      </c>
      <c r="E341" s="3041">
        <v>138</v>
      </c>
      <c r="F341" s="3041">
        <v>46</v>
      </c>
      <c r="G341" s="3043">
        <v>6.6</v>
      </c>
      <c r="H341" s="2752">
        <v>67</v>
      </c>
      <c r="I341" s="2752">
        <v>1</v>
      </c>
      <c r="J341" s="2488"/>
      <c r="K341" s="2614"/>
      <c r="L341" s="2488"/>
      <c r="M341" s="2614"/>
      <c r="N341" s="2479" t="str">
        <f t="shared" si="10"/>
        <v>NEBO, UT, Transmission, Unattended</v>
      </c>
    </row>
    <row r="342" spans="1:14" ht="15" customHeight="1" x14ac:dyDescent="0.2">
      <c r="A342" s="3003">
        <f t="shared" si="11"/>
        <v>40.662999999998455</v>
      </c>
      <c r="B342" s="2512" t="s">
        <v>10572</v>
      </c>
      <c r="C342" s="2489" t="s">
        <v>106</v>
      </c>
      <c r="D342" s="2489" t="s">
        <v>10937</v>
      </c>
      <c r="E342" s="3041">
        <v>345</v>
      </c>
      <c r="F342" s="3041">
        <v>138</v>
      </c>
      <c r="G342" s="3043">
        <v>13.8</v>
      </c>
      <c r="H342" s="2752">
        <v>835</v>
      </c>
      <c r="I342" s="2752">
        <v>4</v>
      </c>
      <c r="J342" s="2488"/>
      <c r="K342" s="2614"/>
      <c r="L342" s="2488"/>
      <c r="M342" s="2614"/>
      <c r="N342" s="2479" t="str">
        <f t="shared" si="10"/>
        <v>OQUIRRH, UT, Transmission, Unattended</v>
      </c>
    </row>
    <row r="343" spans="1:14" ht="15" customHeight="1" x14ac:dyDescent="0.2">
      <c r="A343" s="3003">
        <f t="shared" si="11"/>
        <v>40.663999999998452</v>
      </c>
      <c r="B343" s="2512" t="s">
        <v>10671</v>
      </c>
      <c r="C343" s="2489" t="s">
        <v>106</v>
      </c>
      <c r="D343" s="2489" t="s">
        <v>10937</v>
      </c>
      <c r="E343" s="3041">
        <v>230</v>
      </c>
      <c r="F343" s="3041">
        <v>138</v>
      </c>
      <c r="G343" s="3043">
        <v>13.8</v>
      </c>
      <c r="H343" s="2752">
        <v>138</v>
      </c>
      <c r="I343" s="2752">
        <v>2</v>
      </c>
      <c r="J343" s="2488"/>
      <c r="K343" s="2614"/>
      <c r="L343" s="2488"/>
      <c r="M343" s="2614"/>
      <c r="N343" s="2479" t="str">
        <f t="shared" si="10"/>
        <v>PAROWAN VALLEY, UT, Transmission, Unattended</v>
      </c>
    </row>
    <row r="344" spans="1:14" ht="15" customHeight="1" x14ac:dyDescent="0.2">
      <c r="A344" s="3003">
        <f t="shared" si="11"/>
        <v>40.66499999999845</v>
      </c>
      <c r="B344" s="2512" t="s">
        <v>10842</v>
      </c>
      <c r="C344" s="2489" t="s">
        <v>106</v>
      </c>
      <c r="D344" s="2489" t="s">
        <v>10937</v>
      </c>
      <c r="E344" s="3041">
        <v>138</v>
      </c>
      <c r="F344" s="3041">
        <v>46</v>
      </c>
      <c r="G344" s="3043">
        <v>13.8</v>
      </c>
      <c r="H344" s="2752">
        <v>97</v>
      </c>
      <c r="I344" s="2752">
        <v>2</v>
      </c>
      <c r="J344" s="2488"/>
      <c r="K344" s="2614"/>
      <c r="L344" s="2488"/>
      <c r="M344" s="2614"/>
      <c r="N344" s="2479" t="str">
        <f t="shared" si="10"/>
        <v>PARRISH, UT, Transmission, Unattended</v>
      </c>
    </row>
    <row r="345" spans="1:14" ht="15" customHeight="1" x14ac:dyDescent="0.2">
      <c r="A345" s="3003">
        <f t="shared" si="11"/>
        <v>40.665999999998448</v>
      </c>
      <c r="B345" s="2512" t="s">
        <v>10649</v>
      </c>
      <c r="C345" s="2489" t="s">
        <v>106</v>
      </c>
      <c r="D345" s="2489" t="s">
        <v>10937</v>
      </c>
      <c r="E345" s="3041">
        <v>230</v>
      </c>
      <c r="F345" s="3041">
        <v>46</v>
      </c>
      <c r="G345" s="3043">
        <v>13.8</v>
      </c>
      <c r="H345" s="2752">
        <v>133</v>
      </c>
      <c r="I345" s="2752">
        <v>2</v>
      </c>
      <c r="J345" s="2488"/>
      <c r="K345" s="2614"/>
      <c r="L345" s="2488"/>
      <c r="M345" s="2614"/>
      <c r="N345" s="2479" t="str">
        <f t="shared" si="10"/>
        <v>PAVANT, UT, Transmission, Unattended</v>
      </c>
    </row>
    <row r="346" spans="1:14" ht="15" customHeight="1" x14ac:dyDescent="0.2">
      <c r="A346" s="3003">
        <f t="shared" si="11"/>
        <v>40.666999999998446</v>
      </c>
      <c r="B346" s="2512" t="s">
        <v>10581</v>
      </c>
      <c r="C346" s="2489" t="s">
        <v>106</v>
      </c>
      <c r="D346" s="2489" t="s">
        <v>10937</v>
      </c>
      <c r="E346" s="3041">
        <v>345</v>
      </c>
      <c r="F346" s="3041">
        <v>138</v>
      </c>
      <c r="G346" s="3043">
        <v>13.8</v>
      </c>
      <c r="H346" s="2752">
        <v>257</v>
      </c>
      <c r="I346" s="2558">
        <v>3</v>
      </c>
      <c r="J346" s="2488"/>
      <c r="K346" s="2614"/>
      <c r="L346" s="2488"/>
      <c r="M346" s="2614"/>
      <c r="N346" s="2479" t="str">
        <f t="shared" si="10"/>
        <v>PINTO, UT, Transmission, Unattended</v>
      </c>
    </row>
    <row r="347" spans="1:14" ht="15" customHeight="1" x14ac:dyDescent="0.2">
      <c r="A347" s="3003">
        <f t="shared" si="11"/>
        <v>40.667999999998443</v>
      </c>
      <c r="B347" s="2512" t="s">
        <v>10844</v>
      </c>
      <c r="C347" s="2489" t="s">
        <v>106</v>
      </c>
      <c r="D347" s="2489" t="s">
        <v>10937</v>
      </c>
      <c r="E347" s="3041">
        <v>138</v>
      </c>
      <c r="F347" s="3041">
        <v>69</v>
      </c>
      <c r="G347" s="3043">
        <v>12.47</v>
      </c>
      <c r="H347" s="2752">
        <v>300</v>
      </c>
      <c r="I347" s="2752">
        <v>2</v>
      </c>
      <c r="J347" s="2488"/>
      <c r="K347" s="2614"/>
      <c r="L347" s="2488"/>
      <c r="M347" s="2614"/>
      <c r="N347" s="2479" t="str">
        <f t="shared" si="10"/>
        <v>PURGATORY FLAT, UT, Transmission, Unattended</v>
      </c>
    </row>
    <row r="348" spans="1:14" ht="15" customHeight="1" x14ac:dyDescent="0.2">
      <c r="A348" s="3003">
        <f t="shared" si="11"/>
        <v>40.668999999998441</v>
      </c>
      <c r="B348" s="2512" t="s">
        <v>10590</v>
      </c>
      <c r="C348" s="2489" t="s">
        <v>106</v>
      </c>
      <c r="D348" s="2489" t="s">
        <v>10937</v>
      </c>
      <c r="E348" s="3041">
        <v>345</v>
      </c>
      <c r="F348" s="3041">
        <v>138</v>
      </c>
      <c r="G348" s="3043">
        <v>24.9</v>
      </c>
      <c r="H348" s="2752">
        <v>414</v>
      </c>
      <c r="I348" s="2752">
        <v>2</v>
      </c>
      <c r="J348" s="2488"/>
      <c r="K348" s="2614"/>
      <c r="L348" s="2488"/>
      <c r="M348" s="2614"/>
      <c r="N348" s="2479" t="str">
        <f t="shared" si="10"/>
        <v>RED BUTTE, UT, Transmission, Unattended</v>
      </c>
    </row>
    <row r="349" spans="1:14" ht="15" customHeight="1" x14ac:dyDescent="0.2">
      <c r="A349" s="3003">
        <f t="shared" si="11"/>
        <v>40.669999999998439</v>
      </c>
      <c r="B349" s="2512" t="s">
        <v>11563</v>
      </c>
      <c r="C349" s="2489" t="s">
        <v>106</v>
      </c>
      <c r="D349" s="2489" t="s">
        <v>10937</v>
      </c>
      <c r="E349" s="3041">
        <v>46</v>
      </c>
      <c r="F349" s="3041">
        <v>12.47</v>
      </c>
      <c r="G349" s="2488"/>
      <c r="H349" s="2752">
        <v>2</v>
      </c>
      <c r="I349" s="2752">
        <v>3</v>
      </c>
      <c r="J349" s="2488"/>
      <c r="K349" s="2614"/>
      <c r="L349" s="2488"/>
      <c r="M349" s="2614"/>
      <c r="N349" s="2479" t="str">
        <f t="shared" si="10"/>
        <v>SCIPIO, UT, Transmission, Unattended</v>
      </c>
    </row>
    <row r="350" spans="1:14" ht="15" customHeight="1" x14ac:dyDescent="0.2">
      <c r="A350" s="3003">
        <f t="shared" si="11"/>
        <v>40.670999999998436</v>
      </c>
      <c r="B350" s="2512" t="s">
        <v>11564</v>
      </c>
      <c r="C350" s="2489" t="s">
        <v>106</v>
      </c>
      <c r="D350" s="2489" t="s">
        <v>10937</v>
      </c>
      <c r="E350" s="3041">
        <v>138</v>
      </c>
      <c r="F350" s="3041">
        <v>46</v>
      </c>
      <c r="G350" s="3043">
        <v>6.6</v>
      </c>
      <c r="H350" s="2752">
        <v>38</v>
      </c>
      <c r="I350" s="2752">
        <v>2</v>
      </c>
      <c r="J350" s="2488"/>
      <c r="K350" s="2614"/>
      <c r="L350" s="2488"/>
      <c r="M350" s="2614"/>
      <c r="N350" s="2479" t="str">
        <f t="shared" si="10"/>
        <v>SEVIER, UT, Transmission, Unattended</v>
      </c>
    </row>
    <row r="351" spans="1:14" ht="15" customHeight="1" x14ac:dyDescent="0.2">
      <c r="A351" s="3003">
        <f t="shared" si="11"/>
        <v>40.671999999998434</v>
      </c>
      <c r="B351" s="2512" t="s">
        <v>10591</v>
      </c>
      <c r="C351" s="2489" t="s">
        <v>106</v>
      </c>
      <c r="D351" s="2489" t="s">
        <v>10937</v>
      </c>
      <c r="E351" s="3041">
        <v>345</v>
      </c>
      <c r="F351" s="3041">
        <v>230</v>
      </c>
      <c r="G351" s="3043">
        <v>13.8</v>
      </c>
      <c r="H351" s="2752">
        <v>1075</v>
      </c>
      <c r="I351" s="2558">
        <v>6</v>
      </c>
      <c r="J351" s="2488"/>
      <c r="K351" s="2614"/>
      <c r="L351" s="2488"/>
      <c r="M351" s="2614"/>
      <c r="N351" s="2479" t="str">
        <f t="shared" si="10"/>
        <v>SIGURD, UT, Transmission, Unattended</v>
      </c>
    </row>
    <row r="352" spans="1:14" ht="15" customHeight="1" x14ac:dyDescent="0.2">
      <c r="A352" s="3003">
        <f t="shared" si="11"/>
        <v>40.672999999998432</v>
      </c>
      <c r="B352" s="2512" t="s">
        <v>10781</v>
      </c>
      <c r="C352" s="2489" t="s">
        <v>106</v>
      </c>
      <c r="D352" s="2489" t="s">
        <v>10937</v>
      </c>
      <c r="E352" s="3041">
        <v>138</v>
      </c>
      <c r="F352" s="3041">
        <v>46</v>
      </c>
      <c r="G352" s="3043">
        <v>13.8</v>
      </c>
      <c r="H352" s="2752">
        <v>100</v>
      </c>
      <c r="I352" s="2752">
        <v>2</v>
      </c>
      <c r="J352" s="2488"/>
      <c r="K352" s="2614"/>
      <c r="L352" s="2488"/>
      <c r="M352" s="2614"/>
      <c r="N352" s="2479" t="str">
        <f t="shared" si="10"/>
        <v>SILVER CREEK, UT, Transmission, Unattended</v>
      </c>
    </row>
    <row r="353" spans="1:14" ht="15" customHeight="1" x14ac:dyDescent="0.2">
      <c r="A353" s="3003">
        <f t="shared" si="11"/>
        <v>40.673999999998429</v>
      </c>
      <c r="B353" s="2512" t="s">
        <v>10589</v>
      </c>
      <c r="C353" s="2489" t="s">
        <v>106</v>
      </c>
      <c r="D353" s="2489" t="s">
        <v>10937</v>
      </c>
      <c r="E353" s="3041">
        <v>345</v>
      </c>
      <c r="F353" s="3041">
        <v>138</v>
      </c>
      <c r="G353" s="3043">
        <v>13.8</v>
      </c>
      <c r="H353" s="2752">
        <v>1400</v>
      </c>
      <c r="I353" s="2752">
        <v>2</v>
      </c>
      <c r="J353" s="2750">
        <v>1</v>
      </c>
      <c r="K353" s="2614"/>
      <c r="L353" s="2488"/>
      <c r="M353" s="2614"/>
      <c r="N353" s="2479" t="str">
        <f t="shared" si="10"/>
        <v>SPANISH FORK, UT, Transmission, Unattended</v>
      </c>
    </row>
    <row r="354" spans="1:14" ht="15" customHeight="1" x14ac:dyDescent="0.2">
      <c r="A354" s="3003">
        <f t="shared" si="11"/>
        <v>40.674999999998427</v>
      </c>
      <c r="B354" s="2512" t="s">
        <v>10751</v>
      </c>
      <c r="C354" s="2489" t="s">
        <v>106</v>
      </c>
      <c r="D354" s="2489" t="s">
        <v>10937</v>
      </c>
      <c r="E354" s="3041">
        <v>345</v>
      </c>
      <c r="F354" s="3041">
        <v>138</v>
      </c>
      <c r="G354" s="3043">
        <v>13.8</v>
      </c>
      <c r="H354" s="2752">
        <v>1300</v>
      </c>
      <c r="I354" s="2752">
        <v>6</v>
      </c>
      <c r="J354" s="2488"/>
      <c r="K354" s="2614"/>
      <c r="L354" s="2488"/>
      <c r="M354" s="2614"/>
      <c r="N354" s="2479" t="str">
        <f t="shared" si="10"/>
        <v>SYRACUSE, UT, Transmission, Unattended</v>
      </c>
    </row>
    <row r="355" spans="1:14" ht="15" customHeight="1" x14ac:dyDescent="0.2">
      <c r="A355" s="3003">
        <f t="shared" si="11"/>
        <v>40.675999999998425</v>
      </c>
      <c r="B355" s="2512" t="s">
        <v>10819</v>
      </c>
      <c r="C355" s="2489" t="s">
        <v>106</v>
      </c>
      <c r="D355" s="2489" t="s">
        <v>10937</v>
      </c>
      <c r="E355" s="3041">
        <v>138</v>
      </c>
      <c r="F355" s="3041">
        <v>46</v>
      </c>
      <c r="G355" s="3043">
        <v>12.47</v>
      </c>
      <c r="H355" s="2752">
        <v>358</v>
      </c>
      <c r="I355" s="2752">
        <v>4</v>
      </c>
      <c r="J355" s="2488"/>
      <c r="K355" s="2614"/>
      <c r="L355" s="2488"/>
      <c r="M355" s="2614"/>
      <c r="N355" s="2479" t="str">
        <f t="shared" si="10"/>
        <v>TAYLORSVILLE, UT, Transmission, Unattended</v>
      </c>
    </row>
    <row r="356" spans="1:14" ht="15" customHeight="1" x14ac:dyDescent="0.2">
      <c r="A356" s="3003">
        <f t="shared" si="11"/>
        <v>40.676999999998422</v>
      </c>
      <c r="B356" s="2512" t="s">
        <v>10553</v>
      </c>
      <c r="C356" s="2489" t="s">
        <v>106</v>
      </c>
      <c r="D356" s="2489" t="s">
        <v>10937</v>
      </c>
      <c r="E356" s="3041">
        <v>345</v>
      </c>
      <c r="F356" s="3041">
        <v>138</v>
      </c>
      <c r="G356" s="3043">
        <v>12.47</v>
      </c>
      <c r="H356" s="2752">
        <v>1624</v>
      </c>
      <c r="I356" s="2752">
        <v>6</v>
      </c>
      <c r="J356" s="2488"/>
      <c r="K356" s="2614"/>
      <c r="L356" s="2488"/>
      <c r="M356" s="2614"/>
      <c r="N356" s="2479" t="str">
        <f t="shared" si="10"/>
        <v>TERMINAL, UT, Transmission, Unattended</v>
      </c>
    </row>
    <row r="357" spans="1:14" ht="15" customHeight="1" x14ac:dyDescent="0.2">
      <c r="A357" s="3003">
        <f t="shared" si="11"/>
        <v>40.67799999999842</v>
      </c>
      <c r="B357" s="2512" t="s">
        <v>10869</v>
      </c>
      <c r="C357" s="2489" t="s">
        <v>106</v>
      </c>
      <c r="D357" s="2489" t="s">
        <v>10937</v>
      </c>
      <c r="E357" s="3041">
        <v>345</v>
      </c>
      <c r="F357" s="3041">
        <v>138</v>
      </c>
      <c r="G357" s="3043">
        <v>12.47</v>
      </c>
      <c r="H357" s="2752">
        <v>450</v>
      </c>
      <c r="I357" s="2752">
        <v>1</v>
      </c>
      <c r="J357" s="2488"/>
      <c r="K357" s="2614"/>
      <c r="L357" s="2488"/>
      <c r="M357" s="2614"/>
      <c r="N357" s="2479" t="str">
        <f t="shared" si="10"/>
        <v>THREE PEAKS, UT, Transmission, Unattended</v>
      </c>
    </row>
    <row r="358" spans="1:14" ht="15" customHeight="1" x14ac:dyDescent="0.2">
      <c r="A358" s="3003">
        <f t="shared" si="11"/>
        <v>40.678999999998418</v>
      </c>
      <c r="B358" s="2512" t="s">
        <v>10863</v>
      </c>
      <c r="C358" s="2489" t="s">
        <v>106</v>
      </c>
      <c r="D358" s="2489" t="s">
        <v>10937</v>
      </c>
      <c r="E358" s="3041">
        <v>138</v>
      </c>
      <c r="F358" s="3041">
        <v>46</v>
      </c>
      <c r="G358" s="3043">
        <v>7.2</v>
      </c>
      <c r="H358" s="2752">
        <v>130</v>
      </c>
      <c r="I358" s="2752">
        <v>2</v>
      </c>
      <c r="J358" s="2488"/>
      <c r="K358" s="2614"/>
      <c r="L358" s="2488"/>
      <c r="M358" s="2614"/>
      <c r="N358" s="2479" t="str">
        <f t="shared" si="10"/>
        <v>TIMP, UT, Transmission, Unattended</v>
      </c>
    </row>
    <row r="359" spans="1:14" ht="15" customHeight="1" x14ac:dyDescent="0.2">
      <c r="A359" s="3003">
        <f t="shared" si="11"/>
        <v>40.679999999998415</v>
      </c>
      <c r="B359" s="2512" t="s">
        <v>10810</v>
      </c>
      <c r="C359" s="2489" t="s">
        <v>106</v>
      </c>
      <c r="D359" s="2489" t="s">
        <v>10937</v>
      </c>
      <c r="E359" s="3041">
        <v>138</v>
      </c>
      <c r="F359" s="3041">
        <v>46</v>
      </c>
      <c r="G359" s="3043">
        <v>13.2</v>
      </c>
      <c r="H359" s="2752">
        <v>249</v>
      </c>
      <c r="I359" s="2752">
        <v>3</v>
      </c>
      <c r="J359" s="2488"/>
      <c r="K359" s="2614"/>
      <c r="L359" s="2488"/>
      <c r="M359" s="2614"/>
      <c r="N359" s="2479" t="str">
        <f t="shared" si="10"/>
        <v>TOOELE, UT, Transmission, Unattended</v>
      </c>
    </row>
    <row r="360" spans="1:14" ht="15" customHeight="1" x14ac:dyDescent="0.2">
      <c r="A360" s="3003">
        <f t="shared" si="11"/>
        <v>40.680999999998413</v>
      </c>
      <c r="B360" s="2512" t="s">
        <v>10672</v>
      </c>
      <c r="C360" s="2489" t="s">
        <v>106</v>
      </c>
      <c r="D360" s="2489" t="s">
        <v>10937</v>
      </c>
      <c r="E360" s="3041">
        <v>230</v>
      </c>
      <c r="F360" s="3041">
        <v>138</v>
      </c>
      <c r="G360" s="3043">
        <v>12.47</v>
      </c>
      <c r="H360" s="2752">
        <v>147</v>
      </c>
      <c r="I360" s="2752">
        <v>2</v>
      </c>
      <c r="J360" s="2488"/>
      <c r="K360" s="2614"/>
      <c r="L360" s="2488"/>
      <c r="M360" s="2614"/>
      <c r="N360" s="2479" t="str">
        <f t="shared" si="10"/>
        <v>WEST CEDAR, UT, Transmission, Unattended</v>
      </c>
    </row>
    <row r="361" spans="1:14" ht="15" customHeight="1" x14ac:dyDescent="0.2">
      <c r="A361" s="2614"/>
      <c r="B361" s="2512"/>
      <c r="C361" s="2489"/>
      <c r="D361" s="2489"/>
      <c r="E361" s="2614"/>
      <c r="F361" s="2614"/>
      <c r="G361" s="2488"/>
      <c r="H361" s="2614"/>
      <c r="I361" s="2614"/>
      <c r="J361" s="2488"/>
      <c r="K361" s="2614"/>
      <c r="L361" s="2488"/>
      <c r="M361" s="2614"/>
      <c r="N361" s="2479" t="str">
        <f t="shared" si="10"/>
        <v xml:space="preserve">, , </v>
      </c>
    </row>
    <row r="362" spans="1:14" ht="5.85" customHeight="1" x14ac:dyDescent="0.2">
      <c r="A362" s="3071"/>
      <c r="B362" s="3065"/>
      <c r="C362" s="3066"/>
      <c r="D362" s="3066"/>
      <c r="E362" s="3065"/>
      <c r="F362" s="3065"/>
      <c r="G362" s="3065"/>
      <c r="H362" s="3065"/>
      <c r="I362" s="3065"/>
      <c r="J362" s="3065"/>
      <c r="K362" s="3065"/>
      <c r="L362" s="3065"/>
      <c r="M362" s="3065"/>
    </row>
    <row r="363" spans="1:14" ht="15" customHeight="1" x14ac:dyDescent="0.2">
      <c r="A363" s="2812"/>
      <c r="B363" s="2669" t="s">
        <v>11565</v>
      </c>
      <c r="C363" s="2498" t="s">
        <v>512</v>
      </c>
      <c r="D363" s="2498" t="s">
        <v>10981</v>
      </c>
      <c r="E363" s="2812"/>
      <c r="F363" s="2812"/>
      <c r="G363" s="2668"/>
      <c r="H363" s="3067">
        <f>SUMIFS(H10:H361,C10:C361,C363,D10:D361,D363)</f>
        <v>60</v>
      </c>
      <c r="I363" s="2812"/>
      <c r="J363" s="2668"/>
      <c r="K363" s="2812"/>
      <c r="L363" s="2668"/>
      <c r="M363" s="2812"/>
      <c r="N363" s="2855" t="str">
        <f>CONCATENATE(B363,", ",C363,", ",D363)</f>
        <v>Total Utah, Distribution, Attended</v>
      </c>
    </row>
    <row r="364" spans="1:14" ht="15" customHeight="1" x14ac:dyDescent="0.2">
      <c r="A364" s="2812"/>
      <c r="B364" s="2669" t="s">
        <v>11565</v>
      </c>
      <c r="C364" s="2498" t="s">
        <v>512</v>
      </c>
      <c r="D364" s="2498" t="s">
        <v>10937</v>
      </c>
      <c r="E364" s="2812"/>
      <c r="F364" s="2812"/>
      <c r="G364" s="2668"/>
      <c r="H364" s="3067">
        <f>SUMIFS(H10:H361,C10:C361,C364,D10:D361,D364)</f>
        <v>7491</v>
      </c>
      <c r="I364" s="2812"/>
      <c r="J364" s="2668"/>
      <c r="K364" s="2812"/>
      <c r="L364" s="2668"/>
      <c r="M364" s="2812"/>
      <c r="N364" s="2855" t="str">
        <f>CONCATENATE(B364,", ",C364,", ",D364)</f>
        <v>Total Utah, Distribution, Unattended</v>
      </c>
    </row>
    <row r="365" spans="1:14" ht="15" customHeight="1" x14ac:dyDescent="0.2">
      <c r="A365" s="2812"/>
      <c r="B365" s="2669" t="s">
        <v>11565</v>
      </c>
      <c r="C365" s="2498" t="s">
        <v>106</v>
      </c>
      <c r="D365" s="2498" t="s">
        <v>10981</v>
      </c>
      <c r="E365" s="2812"/>
      <c r="F365" s="2812"/>
      <c r="G365" s="2668"/>
      <c r="H365" s="3067">
        <f>SUMIFS(H10:H361,C10:C361,C365,D10:D361,D365)</f>
        <v>629</v>
      </c>
      <c r="I365" s="2812"/>
      <c r="J365" s="2668"/>
      <c r="K365" s="2812"/>
      <c r="L365" s="2668"/>
      <c r="M365" s="2812"/>
      <c r="N365" s="2855" t="str">
        <f>CONCATENATE(B365,", ",C365,", ",D365)</f>
        <v>Total Utah, Transmission, Attended</v>
      </c>
    </row>
    <row r="366" spans="1:14" ht="15" customHeight="1" x14ac:dyDescent="0.2">
      <c r="A366" s="2812"/>
      <c r="B366" s="2669" t="s">
        <v>11565</v>
      </c>
      <c r="C366" s="2498" t="s">
        <v>106</v>
      </c>
      <c r="D366" s="2498" t="s">
        <v>10937</v>
      </c>
      <c r="E366" s="2812"/>
      <c r="F366" s="2812"/>
      <c r="G366" s="2668"/>
      <c r="H366" s="3067">
        <f>SUMIFS(H10:H361,C10:C361,C366,D10:D361,D366)</f>
        <v>17766</v>
      </c>
      <c r="I366" s="2812"/>
      <c r="J366" s="2668"/>
      <c r="K366" s="2812"/>
      <c r="L366" s="2668"/>
      <c r="M366" s="2812"/>
      <c r="N366" s="2855" t="str">
        <f>CONCATENATE(B366,", ",C366,", ",D366)</f>
        <v>Total Utah, Transmission, Unattended</v>
      </c>
    </row>
    <row r="367" spans="1:14" ht="15" customHeight="1" x14ac:dyDescent="0.2">
      <c r="A367" s="2537"/>
      <c r="B367" s="2536"/>
      <c r="C367" s="2536"/>
      <c r="D367" s="2537"/>
      <c r="E367" s="2537"/>
      <c r="F367" s="2537"/>
      <c r="G367" s="2683"/>
      <c r="H367" s="3068" t="b">
        <f>SUM(H10:H361)=SUM(H363:H366)</f>
        <v>1</v>
      </c>
      <c r="I367" s="3076"/>
      <c r="J367" s="2516"/>
      <c r="K367" s="2537"/>
      <c r="L367" s="2516"/>
      <c r="M367" s="2537"/>
    </row>
    <row r="368" spans="1:14" ht="15" customHeight="1" x14ac:dyDescent="0.2">
      <c r="H368" s="2537"/>
    </row>
  </sheetData>
  <mergeCells count="14">
    <mergeCell ref="J7:J8"/>
    <mergeCell ref="K7:M7"/>
    <mergeCell ref="A7:A9"/>
    <mergeCell ref="B7:B8"/>
    <mergeCell ref="C7:D7"/>
    <mergeCell ref="E7:G7"/>
    <mergeCell ref="H7:H8"/>
    <mergeCell ref="I7:I8"/>
    <mergeCell ref="C2:H2"/>
    <mergeCell ref="A4:M4"/>
    <mergeCell ref="A5:G5"/>
    <mergeCell ref="H5:M5"/>
    <mergeCell ref="A6:G6"/>
    <mergeCell ref="H6:M6"/>
  </mergeCells>
  <pageMargins left="0.75" right="0.75" top="1" bottom="1" header="0.5" footer="0.5"/>
  <customProperties>
    <customPr name="_pios_id" r:id="rId1"/>
  </customProperties>
</worksheet>
</file>

<file path=xl/worksheets/sheet1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289C2-3F17-49B4-A87E-A001AE5196FD}">
  <sheetPr codeName="Sheet115"/>
  <dimension ref="A1:O125"/>
  <sheetViews>
    <sheetView workbookViewId="0">
      <pane xSplit="2" ySplit="9" topLeftCell="C10" activePane="bottomRight" state="frozen"/>
      <selection pane="topRight"/>
      <selection pane="bottomLeft"/>
      <selection pane="bottomRight"/>
    </sheetView>
  </sheetViews>
  <sheetFormatPr defaultColWidth="11.5" defaultRowHeight="12.75" x14ac:dyDescent="0.2"/>
  <cols>
    <col min="1" max="1" width="8" style="1953" customWidth="1"/>
    <col min="2" max="2" width="22" style="1953" customWidth="1"/>
    <col min="3" max="10" width="17.625" style="1953" customWidth="1"/>
    <col min="11" max="11" width="28.125" style="1953" customWidth="1"/>
    <col min="12" max="13" width="12.125" style="1953" customWidth="1"/>
    <col min="14" max="14" width="32.75" style="1953" customWidth="1"/>
    <col min="15" max="15" width="31.125" style="1953" customWidth="1"/>
    <col min="16" max="26" width="17.625" style="1953" customWidth="1"/>
    <col min="27" max="16384" width="11.5" style="1953"/>
  </cols>
  <sheetData>
    <row r="1" spans="1:15" ht="16.7" customHeight="1" x14ac:dyDescent="0.2"/>
    <row r="2" spans="1:15" ht="16.7" customHeight="1" x14ac:dyDescent="0.2">
      <c r="B2" s="2744" t="s">
        <v>7058</v>
      </c>
      <c r="C2" s="4182" t="s">
        <v>10989</v>
      </c>
      <c r="D2" s="4183"/>
      <c r="E2" s="4183"/>
      <c r="F2" s="4183"/>
      <c r="G2" s="4183"/>
      <c r="H2" s="4184"/>
      <c r="I2" s="2479"/>
    </row>
    <row r="3" spans="1:15" ht="16.7" customHeight="1" x14ac:dyDescent="0.2">
      <c r="A3" s="3070">
        <f>COUNTA(B10:B50)</f>
        <v>41</v>
      </c>
      <c r="B3" s="2623" t="s">
        <v>11566</v>
      </c>
      <c r="C3" s="2806"/>
      <c r="D3" s="2483"/>
      <c r="E3" s="2483"/>
      <c r="F3" s="2483"/>
      <c r="G3" s="2483"/>
      <c r="H3" s="2483"/>
    </row>
    <row r="4" spans="1:15" ht="16.7" customHeight="1" x14ac:dyDescent="0.2">
      <c r="A4" s="3932" t="s">
        <v>10915</v>
      </c>
      <c r="B4" s="3975"/>
      <c r="C4" s="3975"/>
      <c r="D4" s="3975"/>
      <c r="E4" s="3975"/>
      <c r="F4" s="3975"/>
      <c r="G4" s="3975"/>
      <c r="H4" s="3975"/>
      <c r="I4" s="3975"/>
      <c r="J4" s="3975"/>
      <c r="K4" s="3975"/>
      <c r="L4" s="3975"/>
      <c r="M4" s="3976"/>
      <c r="N4" s="2479"/>
    </row>
    <row r="5" spans="1:15" ht="94.15" customHeight="1" x14ac:dyDescent="0.2">
      <c r="A5" s="3878" t="s">
        <v>10916</v>
      </c>
      <c r="B5" s="3879"/>
      <c r="C5" s="3879"/>
      <c r="D5" s="3879"/>
      <c r="E5" s="3879"/>
      <c r="F5" s="3879"/>
      <c r="G5" s="3880"/>
      <c r="H5" s="3878" t="s">
        <v>10917</v>
      </c>
      <c r="I5" s="3879"/>
      <c r="J5" s="3879"/>
      <c r="K5" s="3879"/>
      <c r="L5" s="3879"/>
      <c r="M5" s="3880"/>
      <c r="N5" s="2479"/>
    </row>
    <row r="6" spans="1:15" ht="16.7" customHeight="1" x14ac:dyDescent="0.2">
      <c r="A6" s="3882" t="s">
        <v>10918</v>
      </c>
      <c r="B6" s="3883"/>
      <c r="C6" s="3883"/>
      <c r="D6" s="3883"/>
      <c r="E6" s="3883"/>
      <c r="F6" s="3883"/>
      <c r="G6" s="3884"/>
      <c r="H6" s="3882" t="s">
        <v>10919</v>
      </c>
      <c r="I6" s="3891"/>
      <c r="J6" s="3891"/>
      <c r="K6" s="3891"/>
      <c r="L6" s="3891"/>
      <c r="M6" s="3892"/>
      <c r="N6" s="2479"/>
    </row>
    <row r="7" spans="1:15" ht="16.7" customHeight="1" x14ac:dyDescent="0.2">
      <c r="A7" s="3855" t="s">
        <v>6360</v>
      </c>
      <c r="B7" s="3922" t="s">
        <v>10920</v>
      </c>
      <c r="C7" s="4186" t="s">
        <v>10921</v>
      </c>
      <c r="D7" s="4187"/>
      <c r="E7" s="3882" t="s">
        <v>10922</v>
      </c>
      <c r="F7" s="3883"/>
      <c r="G7" s="3884"/>
      <c r="H7" s="3922" t="s">
        <v>10923</v>
      </c>
      <c r="I7" s="3922" t="s">
        <v>10924</v>
      </c>
      <c r="J7" s="3922" t="s">
        <v>10925</v>
      </c>
      <c r="K7" s="3882" t="s">
        <v>10926</v>
      </c>
      <c r="L7" s="3891"/>
      <c r="M7" s="3892"/>
      <c r="N7" s="2479"/>
    </row>
    <row r="8" spans="1:15" ht="27.6" customHeight="1" x14ac:dyDescent="0.2">
      <c r="A8" s="3856"/>
      <c r="B8" s="3943"/>
      <c r="C8" s="2824" t="s">
        <v>10927</v>
      </c>
      <c r="D8" s="2586" t="s">
        <v>10928</v>
      </c>
      <c r="E8" s="2581" t="s">
        <v>10929</v>
      </c>
      <c r="F8" s="2581" t="s">
        <v>10930</v>
      </c>
      <c r="G8" s="2581" t="s">
        <v>10931</v>
      </c>
      <c r="H8" s="4185"/>
      <c r="I8" s="4185"/>
      <c r="J8" s="4185"/>
      <c r="K8" s="2581" t="s">
        <v>10932</v>
      </c>
      <c r="L8" s="2581" t="s">
        <v>10146</v>
      </c>
      <c r="M8" s="2581" t="s">
        <v>10933</v>
      </c>
      <c r="N8" s="2479"/>
    </row>
    <row r="9" spans="1:15" ht="16.7" customHeight="1" x14ac:dyDescent="0.2">
      <c r="A9" s="3856"/>
      <c r="B9" s="2589" t="s">
        <v>5949</v>
      </c>
      <c r="C9" s="2589" t="s">
        <v>5950</v>
      </c>
      <c r="D9" s="2589" t="s">
        <v>10934</v>
      </c>
      <c r="E9" s="2589" t="s">
        <v>5951</v>
      </c>
      <c r="F9" s="2589" t="s">
        <v>5952</v>
      </c>
      <c r="G9" s="2589" t="s">
        <v>6227</v>
      </c>
      <c r="H9" s="2589" t="s">
        <v>5804</v>
      </c>
      <c r="I9" s="2589" t="s">
        <v>6228</v>
      </c>
      <c r="J9" s="2589" t="s">
        <v>6229</v>
      </c>
      <c r="K9" s="2589" t="s">
        <v>6230</v>
      </c>
      <c r="L9" s="2589" t="s">
        <v>6231</v>
      </c>
      <c r="M9" s="2589" t="s">
        <v>6232</v>
      </c>
      <c r="N9" s="2479" t="s">
        <v>6324</v>
      </c>
      <c r="O9" s="2576" t="s">
        <v>10935</v>
      </c>
    </row>
    <row r="10" spans="1:15" ht="19.149999999999999" customHeight="1" x14ac:dyDescent="0.2">
      <c r="A10" s="3003">
        <f>'Pg 426 - Substations - UT'!A360+0.001</f>
        <v>40.681999999998411</v>
      </c>
      <c r="B10" s="2512" t="s">
        <v>11567</v>
      </c>
      <c r="C10" s="2489" t="s">
        <v>512</v>
      </c>
      <c r="D10" s="2489" t="s">
        <v>10937</v>
      </c>
      <c r="E10" s="3041">
        <v>69</v>
      </c>
      <c r="F10" s="3041">
        <v>12.47</v>
      </c>
      <c r="G10" s="2488"/>
      <c r="H10" s="2752">
        <v>25</v>
      </c>
      <c r="I10" s="2752">
        <v>1</v>
      </c>
      <c r="J10" s="2488"/>
      <c r="K10" s="2614"/>
      <c r="L10" s="2488"/>
      <c r="M10" s="2614"/>
      <c r="N10" s="2479" t="str">
        <f t="shared" ref="N10:N50" si="0">CONCATENATE(B10,", ",C10,", ",D10)</f>
        <v>ATTALIA, WA, Distribution, Unattended</v>
      </c>
    </row>
    <row r="11" spans="1:15" ht="16.7" customHeight="1" x14ac:dyDescent="0.2">
      <c r="A11" s="3003">
        <f t="shared" ref="A11:A50" si="1">A10+0.001</f>
        <v>40.682999999998408</v>
      </c>
      <c r="B11" s="2512" t="s">
        <v>11568</v>
      </c>
      <c r="C11" s="2489" t="s">
        <v>512</v>
      </c>
      <c r="D11" s="2489" t="s">
        <v>10937</v>
      </c>
      <c r="E11" s="3041">
        <v>69</v>
      </c>
      <c r="F11" s="3041">
        <v>12.47</v>
      </c>
      <c r="G11" s="2488"/>
      <c r="H11" s="2752">
        <v>45</v>
      </c>
      <c r="I11" s="2752">
        <v>2</v>
      </c>
      <c r="J11" s="2488"/>
      <c r="K11" s="2614"/>
      <c r="L11" s="2488"/>
      <c r="M11" s="2614"/>
      <c r="N11" s="2479" t="str">
        <f t="shared" si="0"/>
        <v>BOWMAN, WA, Distribution, Unattended</v>
      </c>
    </row>
    <row r="12" spans="1:15" ht="16.7" customHeight="1" x14ac:dyDescent="0.2">
      <c r="A12" s="3003">
        <f t="shared" si="1"/>
        <v>40.683999999998406</v>
      </c>
      <c r="B12" s="2512" t="s">
        <v>11569</v>
      </c>
      <c r="C12" s="2489" t="s">
        <v>512</v>
      </c>
      <c r="D12" s="2489" t="s">
        <v>10937</v>
      </c>
      <c r="E12" s="3041">
        <v>69</v>
      </c>
      <c r="F12" s="3041">
        <v>12.47</v>
      </c>
      <c r="G12" s="2488"/>
      <c r="H12" s="2752">
        <v>151</v>
      </c>
      <c r="I12" s="2752">
        <v>7</v>
      </c>
      <c r="J12" s="2488"/>
      <c r="K12" s="2614"/>
      <c r="L12" s="2488"/>
      <c r="M12" s="2614"/>
      <c r="N12" s="2479" t="str">
        <f t="shared" si="0"/>
        <v>CASCADE KRAFT, WA, Distribution, Unattended</v>
      </c>
    </row>
    <row r="13" spans="1:15" ht="15.75" customHeight="1" x14ac:dyDescent="0.2">
      <c r="A13" s="3003">
        <f t="shared" si="1"/>
        <v>40.684999999998404</v>
      </c>
      <c r="B13" s="2512" t="s">
        <v>11570</v>
      </c>
      <c r="C13" s="2489" t="s">
        <v>512</v>
      </c>
      <c r="D13" s="2489" t="s">
        <v>10937</v>
      </c>
      <c r="E13" s="3041">
        <v>69</v>
      </c>
      <c r="F13" s="3041">
        <v>12.47</v>
      </c>
      <c r="G13" s="2488"/>
      <c r="H13" s="2752">
        <v>14</v>
      </c>
      <c r="I13" s="2752">
        <v>1</v>
      </c>
      <c r="J13" s="2488"/>
      <c r="K13" s="2614"/>
      <c r="L13" s="2488"/>
      <c r="M13" s="2614"/>
      <c r="N13" s="3077" t="str">
        <f t="shared" si="0"/>
        <v>CENTRAL, WA, Distribution, Unattended</v>
      </c>
    </row>
    <row r="14" spans="1:15" ht="16.7" customHeight="1" x14ac:dyDescent="0.2">
      <c r="A14" s="3003">
        <f t="shared" si="1"/>
        <v>40.685999999998401</v>
      </c>
      <c r="B14" s="2512" t="s">
        <v>11571</v>
      </c>
      <c r="C14" s="2489" t="s">
        <v>512</v>
      </c>
      <c r="D14" s="2489" t="s">
        <v>10937</v>
      </c>
      <c r="E14" s="3041">
        <v>115</v>
      </c>
      <c r="F14" s="3041">
        <v>12.47</v>
      </c>
      <c r="G14" s="2488"/>
      <c r="H14" s="2752">
        <v>25</v>
      </c>
      <c r="I14" s="2752">
        <v>1</v>
      </c>
      <c r="J14" s="2488"/>
      <c r="K14" s="2614"/>
      <c r="L14" s="2488"/>
      <c r="M14" s="2614"/>
      <c r="N14" s="2479" t="str">
        <f t="shared" si="0"/>
        <v>CLINTON, WA, Distribution, Unattended</v>
      </c>
    </row>
    <row r="15" spans="1:15" ht="16.7" customHeight="1" x14ac:dyDescent="0.2">
      <c r="A15" s="3003">
        <f t="shared" si="1"/>
        <v>40.686999999998399</v>
      </c>
      <c r="B15" s="2512" t="s">
        <v>11572</v>
      </c>
      <c r="C15" s="2489" t="s">
        <v>512</v>
      </c>
      <c r="D15" s="2489" t="s">
        <v>10937</v>
      </c>
      <c r="E15" s="3041">
        <v>69</v>
      </c>
      <c r="F15" s="3041">
        <v>12.47</v>
      </c>
      <c r="G15" s="2488"/>
      <c r="H15" s="2752">
        <v>23</v>
      </c>
      <c r="I15" s="2752">
        <v>2</v>
      </c>
      <c r="J15" s="2488"/>
      <c r="K15" s="2614"/>
      <c r="L15" s="2488"/>
      <c r="M15" s="2614"/>
      <c r="N15" s="2479" t="str">
        <f t="shared" si="0"/>
        <v>DAYTON, WA, Distribution, Unattended</v>
      </c>
    </row>
    <row r="16" spans="1:15" ht="16.7" customHeight="1" x14ac:dyDescent="0.2">
      <c r="A16" s="3003">
        <f t="shared" si="1"/>
        <v>40.687999999998397</v>
      </c>
      <c r="B16" s="2512" t="s">
        <v>11573</v>
      </c>
      <c r="C16" s="2489" t="s">
        <v>512</v>
      </c>
      <c r="D16" s="2489" t="s">
        <v>10937</v>
      </c>
      <c r="E16" s="3041">
        <v>69</v>
      </c>
      <c r="F16" s="3041">
        <v>20.8</v>
      </c>
      <c r="G16" s="2488"/>
      <c r="H16" s="2752">
        <v>25</v>
      </c>
      <c r="I16" s="2752">
        <v>4</v>
      </c>
      <c r="J16" s="2488"/>
      <c r="K16" s="2614"/>
      <c r="L16" s="2488"/>
      <c r="M16" s="2614"/>
      <c r="N16" s="2479" t="str">
        <f t="shared" si="0"/>
        <v>DODD ROAD, WA, Distribution, Unattended</v>
      </c>
    </row>
    <row r="17" spans="1:14" ht="16.7" customHeight="1" x14ac:dyDescent="0.2">
      <c r="A17" s="3003">
        <f t="shared" si="1"/>
        <v>40.688999999998394</v>
      </c>
      <c r="B17" s="2512" t="s">
        <v>11574</v>
      </c>
      <c r="C17" s="2489" t="s">
        <v>512</v>
      </c>
      <c r="D17" s="2489" t="s">
        <v>10937</v>
      </c>
      <c r="E17" s="3041">
        <v>115</v>
      </c>
      <c r="F17" s="3041">
        <v>13.2</v>
      </c>
      <c r="G17" s="2488"/>
      <c r="H17" s="2752">
        <v>30</v>
      </c>
      <c r="I17" s="2752">
        <v>1</v>
      </c>
      <c r="J17" s="2488"/>
      <c r="K17" s="2614"/>
      <c r="L17" s="2488"/>
      <c r="M17" s="2614"/>
      <c r="N17" s="2479" t="str">
        <f t="shared" si="0"/>
        <v>FLINT SUBSTATION, WA, Distribution, Unattended</v>
      </c>
    </row>
    <row r="18" spans="1:14" ht="16.7" customHeight="1" x14ac:dyDescent="0.2">
      <c r="A18" s="3003">
        <f t="shared" si="1"/>
        <v>40.689999999998392</v>
      </c>
      <c r="B18" s="2512" t="s">
        <v>11575</v>
      </c>
      <c r="C18" s="2489" t="s">
        <v>512</v>
      </c>
      <c r="D18" s="2489" t="s">
        <v>10937</v>
      </c>
      <c r="E18" s="3041">
        <v>115</v>
      </c>
      <c r="F18" s="3041">
        <v>69</v>
      </c>
      <c r="G18" s="3043">
        <v>12.47</v>
      </c>
      <c r="H18" s="2752">
        <v>58</v>
      </c>
      <c r="I18" s="2752">
        <v>2</v>
      </c>
      <c r="J18" s="2488"/>
      <c r="K18" s="2614"/>
      <c r="L18" s="2488"/>
      <c r="M18" s="2614"/>
      <c r="N18" s="2479" t="str">
        <f t="shared" si="0"/>
        <v>GRANDVIEW, WA, Distribution, Unattended</v>
      </c>
    </row>
    <row r="19" spans="1:14" ht="16.7" customHeight="1" x14ac:dyDescent="0.2">
      <c r="A19" s="3003">
        <f t="shared" si="1"/>
        <v>40.69099999999839</v>
      </c>
      <c r="B19" s="2512" t="s">
        <v>11576</v>
      </c>
      <c r="C19" s="2489" t="s">
        <v>512</v>
      </c>
      <c r="D19" s="2489" t="s">
        <v>10937</v>
      </c>
      <c r="E19" s="3041">
        <v>115</v>
      </c>
      <c r="F19" s="3041">
        <v>12.47</v>
      </c>
      <c r="G19" s="2488"/>
      <c r="H19" s="2752">
        <v>25</v>
      </c>
      <c r="I19" s="2752">
        <v>1</v>
      </c>
      <c r="J19" s="2488"/>
      <c r="K19" s="2614"/>
      <c r="L19" s="2488"/>
      <c r="M19" s="2614"/>
      <c r="N19" s="2479" t="str">
        <f t="shared" si="0"/>
        <v>GROMORE, WA, Distribution, Unattended</v>
      </c>
    </row>
    <row r="20" spans="1:14" ht="16.7" customHeight="1" x14ac:dyDescent="0.2">
      <c r="A20" s="3003">
        <f t="shared" si="1"/>
        <v>40.691999999998387</v>
      </c>
      <c r="B20" s="2512" t="s">
        <v>11577</v>
      </c>
      <c r="C20" s="2489" t="s">
        <v>512</v>
      </c>
      <c r="D20" s="2489" t="s">
        <v>10937</v>
      </c>
      <c r="E20" s="3041">
        <v>115</v>
      </c>
      <c r="F20" s="3041">
        <v>12.47</v>
      </c>
      <c r="G20" s="2488"/>
      <c r="H20" s="2752">
        <v>50</v>
      </c>
      <c r="I20" s="2752">
        <v>2</v>
      </c>
      <c r="J20" s="2488"/>
      <c r="K20" s="2614"/>
      <c r="L20" s="2488"/>
      <c r="M20" s="2614"/>
      <c r="N20" s="2479" t="str">
        <f t="shared" si="0"/>
        <v>HOPLAND, WA, Distribution, Unattended</v>
      </c>
    </row>
    <row r="21" spans="1:14" ht="16.7" customHeight="1" x14ac:dyDescent="0.2">
      <c r="A21" s="3003">
        <f t="shared" si="1"/>
        <v>40.692999999998385</v>
      </c>
      <c r="B21" s="2512" t="s">
        <v>11578</v>
      </c>
      <c r="C21" s="2489" t="s">
        <v>512</v>
      </c>
      <c r="D21" s="2489" t="s">
        <v>10937</v>
      </c>
      <c r="E21" s="3041">
        <v>69</v>
      </c>
      <c r="F21" s="3041">
        <v>12.47</v>
      </c>
      <c r="G21" s="2488"/>
      <c r="H21" s="2752">
        <v>45</v>
      </c>
      <c r="I21" s="2752">
        <v>2</v>
      </c>
      <c r="J21" s="2488"/>
      <c r="K21" s="2614"/>
      <c r="L21" s="2488"/>
      <c r="M21" s="2614"/>
      <c r="N21" s="2479" t="str">
        <f t="shared" si="0"/>
        <v>MILL CREEK, WA, Distribution, Unattended</v>
      </c>
    </row>
    <row r="22" spans="1:14" ht="16.7" customHeight="1" x14ac:dyDescent="0.2">
      <c r="A22" s="3003">
        <f t="shared" si="1"/>
        <v>40.693999999998383</v>
      </c>
      <c r="B22" s="2512" t="s">
        <v>11579</v>
      </c>
      <c r="C22" s="2489" t="s">
        <v>512</v>
      </c>
      <c r="D22" s="2489" t="s">
        <v>10937</v>
      </c>
      <c r="E22" s="3041">
        <v>115</v>
      </c>
      <c r="F22" s="3041">
        <v>12.47</v>
      </c>
      <c r="G22" s="2488"/>
      <c r="H22" s="2752">
        <v>25</v>
      </c>
      <c r="I22" s="2752">
        <v>1</v>
      </c>
      <c r="J22" s="2488"/>
      <c r="K22" s="2614"/>
      <c r="L22" s="2488"/>
      <c r="M22" s="2614"/>
      <c r="N22" s="2479" t="str">
        <f t="shared" si="0"/>
        <v>NACHES, WA, Distribution, Unattended</v>
      </c>
    </row>
    <row r="23" spans="1:14" ht="16.7" customHeight="1" x14ac:dyDescent="0.2">
      <c r="A23" s="3003">
        <f t="shared" si="1"/>
        <v>40.69499999999838</v>
      </c>
      <c r="B23" s="2512" t="s">
        <v>11580</v>
      </c>
      <c r="C23" s="2489" t="s">
        <v>512</v>
      </c>
      <c r="D23" s="2489" t="s">
        <v>10937</v>
      </c>
      <c r="E23" s="3041">
        <v>115</v>
      </c>
      <c r="F23" s="3041">
        <v>12.47</v>
      </c>
      <c r="G23" s="2488"/>
      <c r="H23" s="2752">
        <v>42</v>
      </c>
      <c r="I23" s="2752">
        <v>2</v>
      </c>
      <c r="J23" s="2488"/>
      <c r="K23" s="2614"/>
      <c r="L23" s="2488"/>
      <c r="M23" s="2614"/>
      <c r="N23" s="2479" t="str">
        <f t="shared" si="0"/>
        <v>NOB HILL, WA, Distribution, Unattended</v>
      </c>
    </row>
    <row r="24" spans="1:14" ht="15.75" customHeight="1" x14ac:dyDescent="0.2">
      <c r="A24" s="3003">
        <f t="shared" si="1"/>
        <v>40.695999999998378</v>
      </c>
      <c r="B24" s="2512" t="s">
        <v>11581</v>
      </c>
      <c r="C24" s="2489" t="s">
        <v>512</v>
      </c>
      <c r="D24" s="2489" t="s">
        <v>10937</v>
      </c>
      <c r="E24" s="3041">
        <v>115</v>
      </c>
      <c r="F24" s="3041">
        <v>12.47</v>
      </c>
      <c r="G24" s="2488"/>
      <c r="H24" s="2752">
        <v>45</v>
      </c>
      <c r="I24" s="2752">
        <v>2</v>
      </c>
      <c r="J24" s="2488"/>
      <c r="K24" s="2614"/>
      <c r="L24" s="2488"/>
      <c r="M24" s="2614"/>
      <c r="N24" s="2479" t="str">
        <f t="shared" si="0"/>
        <v>NORTH PARK, WA, Distribution, Unattended</v>
      </c>
    </row>
    <row r="25" spans="1:14" ht="16.7" customHeight="1" x14ac:dyDescent="0.2">
      <c r="A25" s="3003">
        <f t="shared" si="1"/>
        <v>40.696999999998376</v>
      </c>
      <c r="B25" s="2512" t="s">
        <v>11582</v>
      </c>
      <c r="C25" s="2489" t="s">
        <v>512</v>
      </c>
      <c r="D25" s="2489" t="s">
        <v>10937</v>
      </c>
      <c r="E25" s="3041">
        <v>115</v>
      </c>
      <c r="F25" s="3041">
        <v>12.47</v>
      </c>
      <c r="G25" s="2614"/>
      <c r="H25" s="2752">
        <v>50</v>
      </c>
      <c r="I25" s="2752">
        <v>2</v>
      </c>
      <c r="J25" s="2488"/>
      <c r="K25" s="2488"/>
      <c r="L25" s="2488"/>
      <c r="M25" s="2614"/>
      <c r="N25" s="2479" t="str">
        <f t="shared" si="0"/>
        <v>ORCHARD, WA, Distribution, Unattended</v>
      </c>
    </row>
    <row r="26" spans="1:14" ht="16.7" customHeight="1" x14ac:dyDescent="0.2">
      <c r="A26" s="3003">
        <f t="shared" si="1"/>
        <v>40.697999999998373</v>
      </c>
      <c r="B26" s="2512" t="s">
        <v>11583</v>
      </c>
      <c r="C26" s="2489" t="s">
        <v>512</v>
      </c>
      <c r="D26" s="2489" t="s">
        <v>10937</v>
      </c>
      <c r="E26" s="3041">
        <v>115</v>
      </c>
      <c r="F26" s="3041">
        <v>12.47</v>
      </c>
      <c r="G26" s="2488"/>
      <c r="H26" s="2752">
        <v>28</v>
      </c>
      <c r="I26" s="2752">
        <v>3</v>
      </c>
      <c r="J26" s="2488"/>
      <c r="K26" s="2488"/>
      <c r="L26" s="2488"/>
      <c r="M26" s="2614"/>
      <c r="N26" s="2479" t="str">
        <f t="shared" si="0"/>
        <v>PACIFIC, WA, Distribution, Unattended</v>
      </c>
    </row>
    <row r="27" spans="1:14" ht="16.7" customHeight="1" x14ac:dyDescent="0.2">
      <c r="A27" s="3003">
        <f t="shared" si="1"/>
        <v>40.698999999998371</v>
      </c>
      <c r="B27" s="2512" t="s">
        <v>11584</v>
      </c>
      <c r="C27" s="2489" t="s">
        <v>512</v>
      </c>
      <c r="D27" s="2489" t="s">
        <v>10937</v>
      </c>
      <c r="E27" s="3041">
        <v>69</v>
      </c>
      <c r="F27" s="3041">
        <v>12.47</v>
      </c>
      <c r="G27" s="2488"/>
      <c r="H27" s="2752">
        <v>9</v>
      </c>
      <c r="I27" s="2752">
        <v>1</v>
      </c>
      <c r="J27" s="2488"/>
      <c r="K27" s="2614"/>
      <c r="L27" s="2488"/>
      <c r="M27" s="2614"/>
      <c r="N27" s="2479" t="str">
        <f t="shared" si="0"/>
        <v>POMEROY, WA, Distribution, Unattended</v>
      </c>
    </row>
    <row r="28" spans="1:14" ht="16.7" customHeight="1" x14ac:dyDescent="0.2">
      <c r="A28" s="3003">
        <f t="shared" si="1"/>
        <v>40.699999999998369</v>
      </c>
      <c r="B28" s="2512" t="s">
        <v>11585</v>
      </c>
      <c r="C28" s="2489" t="s">
        <v>512</v>
      </c>
      <c r="D28" s="2489" t="s">
        <v>10937</v>
      </c>
      <c r="E28" s="3041">
        <v>230</v>
      </c>
      <c r="F28" s="3041">
        <v>115</v>
      </c>
      <c r="G28" s="3043">
        <v>12.47</v>
      </c>
      <c r="H28" s="2752">
        <v>325</v>
      </c>
      <c r="I28" s="2752">
        <v>3</v>
      </c>
      <c r="J28" s="2488"/>
      <c r="K28" s="2614"/>
      <c r="L28" s="2488"/>
      <c r="M28" s="2614"/>
      <c r="N28" s="2479" t="str">
        <f t="shared" si="0"/>
        <v>POMONA HEIGHTS, WA, Distribution, Unattended</v>
      </c>
    </row>
    <row r="29" spans="1:14" ht="16.7" customHeight="1" x14ac:dyDescent="0.2">
      <c r="A29" s="3003">
        <f t="shared" si="1"/>
        <v>40.700999999998366</v>
      </c>
      <c r="B29" s="2512" t="s">
        <v>11586</v>
      </c>
      <c r="C29" s="2489" t="s">
        <v>512</v>
      </c>
      <c r="D29" s="2489" t="s">
        <v>10937</v>
      </c>
      <c r="E29" s="3041">
        <v>69</v>
      </c>
      <c r="F29" s="3041">
        <v>12.47</v>
      </c>
      <c r="G29" s="2488"/>
      <c r="H29" s="2752">
        <v>40</v>
      </c>
      <c r="I29" s="2752">
        <v>2</v>
      </c>
      <c r="J29" s="2614"/>
      <c r="K29" s="2614"/>
      <c r="L29" s="2488"/>
      <c r="M29" s="2614"/>
      <c r="N29" s="2479" t="str">
        <f t="shared" si="0"/>
        <v>PROSPECT POINT, WA, Distribution, Unattended</v>
      </c>
    </row>
    <row r="30" spans="1:14" ht="16.7" customHeight="1" x14ac:dyDescent="0.2">
      <c r="A30" s="3003">
        <f t="shared" si="1"/>
        <v>40.701999999998364</v>
      </c>
      <c r="B30" s="2512" t="s">
        <v>10903</v>
      </c>
      <c r="C30" s="2489" t="s">
        <v>512</v>
      </c>
      <c r="D30" s="2489" t="s">
        <v>10937</v>
      </c>
      <c r="E30" s="3041">
        <v>115</v>
      </c>
      <c r="F30" s="3041">
        <v>13.2</v>
      </c>
      <c r="G30" s="2488"/>
      <c r="H30" s="2752">
        <v>44</v>
      </c>
      <c r="I30" s="2752">
        <v>3</v>
      </c>
      <c r="J30" s="2488"/>
      <c r="K30" s="2614"/>
      <c r="L30" s="2488"/>
      <c r="M30" s="2614"/>
      <c r="N30" s="2479" t="str">
        <f t="shared" si="0"/>
        <v>PUNKIN CENTER, WA, Distribution, Unattended</v>
      </c>
    </row>
    <row r="31" spans="1:14" ht="16.7" customHeight="1" x14ac:dyDescent="0.2">
      <c r="A31" s="3003">
        <f t="shared" si="1"/>
        <v>40.702999999998362</v>
      </c>
      <c r="B31" s="2512" t="s">
        <v>11587</v>
      </c>
      <c r="C31" s="2489" t="s">
        <v>512</v>
      </c>
      <c r="D31" s="2489" t="s">
        <v>10937</v>
      </c>
      <c r="E31" s="3041">
        <v>115</v>
      </c>
      <c r="F31" s="3041">
        <v>12.47</v>
      </c>
      <c r="G31" s="2488"/>
      <c r="H31" s="2752">
        <v>76</v>
      </c>
      <c r="I31" s="2752">
        <v>5</v>
      </c>
      <c r="J31" s="2488"/>
      <c r="K31" s="2614"/>
      <c r="L31" s="2488"/>
      <c r="M31" s="2614"/>
      <c r="N31" s="2479" t="str">
        <f t="shared" si="0"/>
        <v>RIVER ROAD, WA, Distribution, Unattended</v>
      </c>
    </row>
    <row r="32" spans="1:14" ht="16.7" customHeight="1" x14ac:dyDescent="0.2">
      <c r="A32" s="3003">
        <f t="shared" si="1"/>
        <v>40.703999999998359</v>
      </c>
      <c r="B32" s="2512" t="s">
        <v>11588</v>
      </c>
      <c r="C32" s="2489" t="s">
        <v>512</v>
      </c>
      <c r="D32" s="2489" t="s">
        <v>10937</v>
      </c>
      <c r="E32" s="3041">
        <v>115</v>
      </c>
      <c r="F32" s="3041">
        <v>12.47</v>
      </c>
      <c r="G32" s="2488"/>
      <c r="H32" s="2752">
        <v>45</v>
      </c>
      <c r="I32" s="2752">
        <v>2</v>
      </c>
      <c r="J32" s="2488"/>
      <c r="K32" s="2614"/>
      <c r="L32" s="2488"/>
      <c r="M32" s="2614"/>
      <c r="N32" s="2479" t="str">
        <f t="shared" si="0"/>
        <v>SELAH, WA, Distribution, Unattended</v>
      </c>
    </row>
    <row r="33" spans="1:14" ht="16.7" customHeight="1" x14ac:dyDescent="0.2">
      <c r="A33" s="3003">
        <f t="shared" si="1"/>
        <v>40.704999999998357</v>
      </c>
      <c r="B33" s="2512" t="s">
        <v>11589</v>
      </c>
      <c r="C33" s="2489" t="s">
        <v>512</v>
      </c>
      <c r="D33" s="2489" t="s">
        <v>10937</v>
      </c>
      <c r="E33" s="3041">
        <v>115</v>
      </c>
      <c r="F33" s="3041">
        <v>12.47</v>
      </c>
      <c r="G33" s="2488"/>
      <c r="H33" s="2752">
        <v>25</v>
      </c>
      <c r="I33" s="2752">
        <v>1</v>
      </c>
      <c r="J33" s="2488"/>
      <c r="K33" s="2614"/>
      <c r="L33" s="2488"/>
      <c r="M33" s="2614"/>
      <c r="N33" s="2479" t="str">
        <f t="shared" si="0"/>
        <v>SULPHUR CREEK, WA, Distribution, Unattended</v>
      </c>
    </row>
    <row r="34" spans="1:14" ht="16.7" customHeight="1" x14ac:dyDescent="0.2">
      <c r="A34" s="3003">
        <f t="shared" si="1"/>
        <v>40.705999999998355</v>
      </c>
      <c r="B34" s="2512" t="s">
        <v>11590</v>
      </c>
      <c r="C34" s="2489" t="s">
        <v>512</v>
      </c>
      <c r="D34" s="2489" t="s">
        <v>10937</v>
      </c>
      <c r="E34" s="3041">
        <v>115</v>
      </c>
      <c r="F34" s="3041">
        <v>12.47</v>
      </c>
      <c r="G34" s="2488"/>
      <c r="H34" s="2752">
        <v>45</v>
      </c>
      <c r="I34" s="2752">
        <v>2</v>
      </c>
      <c r="J34" s="2488"/>
      <c r="K34" s="2614"/>
      <c r="L34" s="2488"/>
      <c r="M34" s="2614"/>
      <c r="N34" s="2479" t="str">
        <f t="shared" si="0"/>
        <v>SUNNYSIDE, WA, Distribution, Unattended</v>
      </c>
    </row>
    <row r="35" spans="1:14" ht="16.7" customHeight="1" x14ac:dyDescent="0.2">
      <c r="A35" s="3003">
        <f t="shared" si="1"/>
        <v>40.706999999998352</v>
      </c>
      <c r="B35" s="2512" t="s">
        <v>11591</v>
      </c>
      <c r="C35" s="2489" t="s">
        <v>512</v>
      </c>
      <c r="D35" s="2489" t="s">
        <v>10937</v>
      </c>
      <c r="E35" s="3041">
        <v>115</v>
      </c>
      <c r="F35" s="3041">
        <v>34.5</v>
      </c>
      <c r="G35" s="2488"/>
      <c r="H35" s="2752">
        <v>29</v>
      </c>
      <c r="I35" s="2752">
        <v>2</v>
      </c>
      <c r="J35" s="2750">
        <v>1</v>
      </c>
      <c r="K35" s="2614"/>
      <c r="L35" s="2488"/>
      <c r="M35" s="2614"/>
      <c r="N35" s="2479" t="str">
        <f t="shared" si="0"/>
        <v>TIETON, WA, Distribution, Unattended</v>
      </c>
    </row>
    <row r="36" spans="1:14" ht="16.7" customHeight="1" x14ac:dyDescent="0.2">
      <c r="A36" s="3003">
        <f t="shared" si="1"/>
        <v>40.70799999999835</v>
      </c>
      <c r="B36" s="2512" t="s">
        <v>11592</v>
      </c>
      <c r="C36" s="2489" t="s">
        <v>512</v>
      </c>
      <c r="D36" s="2489" t="s">
        <v>10937</v>
      </c>
      <c r="E36" s="3041">
        <v>115</v>
      </c>
      <c r="F36" s="3041">
        <v>12.47</v>
      </c>
      <c r="G36" s="2488"/>
      <c r="H36" s="2752">
        <v>50</v>
      </c>
      <c r="I36" s="2752">
        <v>2</v>
      </c>
      <c r="J36" s="2488"/>
      <c r="K36" s="2614"/>
      <c r="L36" s="2488"/>
      <c r="M36" s="2614"/>
      <c r="N36" s="2479" t="str">
        <f t="shared" si="0"/>
        <v>TOPPENISH, WA, Distribution, Unattended</v>
      </c>
    </row>
    <row r="37" spans="1:14" ht="16.7" customHeight="1" x14ac:dyDescent="0.2">
      <c r="A37" s="3003">
        <f t="shared" si="1"/>
        <v>40.708999999998348</v>
      </c>
      <c r="B37" s="2512" t="s">
        <v>11593</v>
      </c>
      <c r="C37" s="2489" t="s">
        <v>512</v>
      </c>
      <c r="D37" s="2489" t="s">
        <v>10937</v>
      </c>
      <c r="E37" s="3041">
        <v>69</v>
      </c>
      <c r="F37" s="3041">
        <v>12.47</v>
      </c>
      <c r="G37" s="2488"/>
      <c r="H37" s="2752">
        <v>13</v>
      </c>
      <c r="I37" s="2752">
        <v>1</v>
      </c>
      <c r="J37" s="2488"/>
      <c r="K37" s="2614"/>
      <c r="L37" s="2488"/>
      <c r="M37" s="2614"/>
      <c r="N37" s="2479" t="str">
        <f t="shared" si="0"/>
        <v>TOUCHET, WA, Distribution, Unattended</v>
      </c>
    </row>
    <row r="38" spans="1:14" ht="16.7" customHeight="1" x14ac:dyDescent="0.2">
      <c r="A38" s="3003">
        <f t="shared" si="1"/>
        <v>40.709999999998345</v>
      </c>
      <c r="B38" s="2512" t="s">
        <v>11594</v>
      </c>
      <c r="C38" s="2489" t="s">
        <v>512</v>
      </c>
      <c r="D38" s="2489" t="s">
        <v>10937</v>
      </c>
      <c r="E38" s="3041">
        <v>115</v>
      </c>
      <c r="F38" s="3041">
        <v>12.47</v>
      </c>
      <c r="G38" s="2488"/>
      <c r="H38" s="2752">
        <v>25</v>
      </c>
      <c r="I38" s="2752">
        <v>1</v>
      </c>
      <c r="J38" s="2488"/>
      <c r="K38" s="2614"/>
      <c r="L38" s="2488"/>
      <c r="M38" s="2614"/>
      <c r="N38" s="2479" t="str">
        <f t="shared" si="0"/>
        <v>VOELKER, WA, Distribution, Unattended</v>
      </c>
    </row>
    <row r="39" spans="1:14" ht="16.7" customHeight="1" x14ac:dyDescent="0.2">
      <c r="A39" s="3003">
        <f t="shared" si="1"/>
        <v>40.710999999998343</v>
      </c>
      <c r="B39" s="2512" t="s">
        <v>11595</v>
      </c>
      <c r="C39" s="2489" t="s">
        <v>512</v>
      </c>
      <c r="D39" s="2489" t="s">
        <v>10937</v>
      </c>
      <c r="E39" s="3041">
        <v>69</v>
      </c>
      <c r="F39" s="3041">
        <v>12.47</v>
      </c>
      <c r="G39" s="2488"/>
      <c r="H39" s="2752">
        <v>9</v>
      </c>
      <c r="I39" s="2752">
        <v>1</v>
      </c>
      <c r="J39" s="2488"/>
      <c r="K39" s="2614"/>
      <c r="L39" s="2488"/>
      <c r="M39" s="2614"/>
      <c r="N39" s="2479" t="str">
        <f t="shared" si="0"/>
        <v>WAITSBURG, WA, Distribution, Unattended</v>
      </c>
    </row>
    <row r="40" spans="1:14" ht="16.7" customHeight="1" x14ac:dyDescent="0.2">
      <c r="A40" s="3003">
        <f t="shared" si="1"/>
        <v>40.711999999998341</v>
      </c>
      <c r="B40" s="2512" t="s">
        <v>11596</v>
      </c>
      <c r="C40" s="2489" t="s">
        <v>512</v>
      </c>
      <c r="D40" s="2489" t="s">
        <v>10937</v>
      </c>
      <c r="E40" s="3041">
        <v>115</v>
      </c>
      <c r="F40" s="3041">
        <v>12.47</v>
      </c>
      <c r="G40" s="2488"/>
      <c r="H40" s="2752">
        <v>45</v>
      </c>
      <c r="I40" s="2752">
        <v>2</v>
      </c>
      <c r="J40" s="2488"/>
      <c r="K40" s="2614"/>
      <c r="L40" s="2488"/>
      <c r="M40" s="2614"/>
      <c r="N40" s="2479" t="str">
        <f t="shared" si="0"/>
        <v>WAPATO, WA, Distribution, Unattended</v>
      </c>
    </row>
    <row r="41" spans="1:14" ht="16.7" customHeight="1" x14ac:dyDescent="0.2">
      <c r="A41" s="3003">
        <f t="shared" si="1"/>
        <v>40.712999999998338</v>
      </c>
      <c r="B41" s="2512" t="s">
        <v>11597</v>
      </c>
      <c r="C41" s="2489" t="s">
        <v>512</v>
      </c>
      <c r="D41" s="2489" t="s">
        <v>10937</v>
      </c>
      <c r="E41" s="3041">
        <v>115</v>
      </c>
      <c r="F41" s="3041">
        <v>12.47</v>
      </c>
      <c r="G41" s="2488"/>
      <c r="H41" s="2752">
        <v>25</v>
      </c>
      <c r="I41" s="2752">
        <v>2</v>
      </c>
      <c r="J41" s="2488"/>
      <c r="K41" s="2614"/>
      <c r="L41" s="2488"/>
      <c r="M41" s="2614"/>
      <c r="N41" s="2479" t="str">
        <f t="shared" si="0"/>
        <v>WENAS, WA, Distribution, Unattended</v>
      </c>
    </row>
    <row r="42" spans="1:14" ht="16.7" customHeight="1" x14ac:dyDescent="0.2">
      <c r="A42" s="3003">
        <f t="shared" si="1"/>
        <v>40.713999999998336</v>
      </c>
      <c r="B42" s="2512" t="s">
        <v>11598</v>
      </c>
      <c r="C42" s="2489" t="s">
        <v>512</v>
      </c>
      <c r="D42" s="2489" t="s">
        <v>10937</v>
      </c>
      <c r="E42" s="3041">
        <v>115</v>
      </c>
      <c r="F42" s="3041">
        <v>12.47</v>
      </c>
      <c r="G42" s="2488"/>
      <c r="H42" s="2752">
        <v>22</v>
      </c>
      <c r="I42" s="2752">
        <v>2</v>
      </c>
      <c r="J42" s="2488"/>
      <c r="K42" s="2614"/>
      <c r="L42" s="2488"/>
      <c r="M42" s="2614"/>
      <c r="N42" s="2479" t="str">
        <f t="shared" si="0"/>
        <v>WHITE SWAN, WA, Distribution, Unattended</v>
      </c>
    </row>
    <row r="43" spans="1:14" ht="16.7" customHeight="1" x14ac:dyDescent="0.2">
      <c r="A43" s="3003">
        <f t="shared" si="1"/>
        <v>40.714999999998334</v>
      </c>
      <c r="B43" s="2512" t="s">
        <v>11599</v>
      </c>
      <c r="C43" s="2489" t="s">
        <v>512</v>
      </c>
      <c r="D43" s="2489" t="s">
        <v>10937</v>
      </c>
      <c r="E43" s="3041">
        <v>115</v>
      </c>
      <c r="F43" s="3041">
        <v>12.47</v>
      </c>
      <c r="G43" s="2488"/>
      <c r="H43" s="2752">
        <v>45</v>
      </c>
      <c r="I43" s="2752">
        <v>2</v>
      </c>
      <c r="J43" s="2488"/>
      <c r="K43" s="2614"/>
      <c r="L43" s="2488"/>
      <c r="M43" s="2614"/>
      <c r="N43" s="2479" t="str">
        <f t="shared" si="0"/>
        <v>WILEY, WA, Distribution, Unattended</v>
      </c>
    </row>
    <row r="44" spans="1:14" ht="16.7" customHeight="1" x14ac:dyDescent="0.2">
      <c r="A44" s="3003">
        <f t="shared" si="1"/>
        <v>40.715999999998331</v>
      </c>
      <c r="B44" s="2744" t="s">
        <v>11600</v>
      </c>
      <c r="C44" s="2489" t="s">
        <v>106</v>
      </c>
      <c r="D44" s="2489" t="s">
        <v>10937</v>
      </c>
      <c r="E44" s="3041">
        <v>115</v>
      </c>
      <c r="F44" s="3041">
        <v>69</v>
      </c>
      <c r="G44" s="2488"/>
      <c r="H44" s="2752">
        <v>50</v>
      </c>
      <c r="I44" s="2752">
        <v>1</v>
      </c>
      <c r="J44" s="2488"/>
      <c r="K44" s="2614"/>
      <c r="L44" s="2488"/>
      <c r="M44" s="2614"/>
      <c r="N44" s="2479" t="str">
        <f t="shared" si="0"/>
        <v>DRY GULCH, WA, Transmission, Unattended</v>
      </c>
    </row>
    <row r="45" spans="1:14" ht="16.7" customHeight="1" x14ac:dyDescent="0.2">
      <c r="A45" s="3003">
        <f t="shared" si="1"/>
        <v>40.716999999998329</v>
      </c>
      <c r="B45" s="2512" t="s">
        <v>11601</v>
      </c>
      <c r="C45" s="2489" t="s">
        <v>106</v>
      </c>
      <c r="D45" s="2489" t="s">
        <v>10937</v>
      </c>
      <c r="E45" s="3041">
        <v>230</v>
      </c>
      <c r="F45" s="3041">
        <v>115</v>
      </c>
      <c r="G45" s="3043">
        <v>12.47</v>
      </c>
      <c r="H45" s="2752">
        <v>250</v>
      </c>
      <c r="I45" s="2752">
        <v>1</v>
      </c>
      <c r="J45" s="2488"/>
      <c r="K45" s="2614"/>
      <c r="L45" s="2488"/>
      <c r="M45" s="2614"/>
      <c r="N45" s="2479" t="str">
        <f t="shared" si="0"/>
        <v>OUTLOOK, WA, Transmission, Unattended</v>
      </c>
    </row>
    <row r="46" spans="1:14" ht="16.7" customHeight="1" x14ac:dyDescent="0.2">
      <c r="A46" s="3003">
        <f t="shared" si="1"/>
        <v>40.717999999998327</v>
      </c>
      <c r="B46" s="2512" t="s">
        <v>11602</v>
      </c>
      <c r="C46" s="2489" t="s">
        <v>106</v>
      </c>
      <c r="D46" s="2489" t="s">
        <v>10937</v>
      </c>
      <c r="E46" s="3041">
        <v>115</v>
      </c>
      <c r="F46" s="3041">
        <v>69</v>
      </c>
      <c r="G46" s="3043">
        <v>7.2</v>
      </c>
      <c r="H46" s="2752">
        <v>39</v>
      </c>
      <c r="I46" s="2752">
        <v>9</v>
      </c>
      <c r="J46" s="2488"/>
      <c r="K46" s="2614"/>
      <c r="L46" s="2488"/>
      <c r="M46" s="2614"/>
      <c r="N46" s="2479" t="str">
        <f t="shared" si="0"/>
        <v>PASCO, WA, Transmission, Unattended</v>
      </c>
    </row>
    <row r="47" spans="1:14" ht="16.7" customHeight="1" x14ac:dyDescent="0.2">
      <c r="A47" s="3003">
        <f t="shared" si="1"/>
        <v>40.718999999998324</v>
      </c>
      <c r="B47" s="2512" t="s">
        <v>10677</v>
      </c>
      <c r="C47" s="2489" t="s">
        <v>106</v>
      </c>
      <c r="D47" s="2489" t="s">
        <v>10937</v>
      </c>
      <c r="E47" s="3041">
        <v>230</v>
      </c>
      <c r="F47" s="3041">
        <v>115</v>
      </c>
      <c r="G47" s="3043">
        <v>13.2</v>
      </c>
      <c r="H47" s="2752">
        <v>595</v>
      </c>
      <c r="I47" s="2752">
        <v>5</v>
      </c>
      <c r="J47" s="2488"/>
      <c r="K47" s="2614"/>
      <c r="L47" s="2488"/>
      <c r="M47" s="2614"/>
      <c r="N47" s="2479" t="str">
        <f t="shared" si="0"/>
        <v>UNION GAP, WA, Transmission, Unattended</v>
      </c>
    </row>
    <row r="48" spans="1:14" ht="16.7" customHeight="1" x14ac:dyDescent="0.2">
      <c r="A48" s="3003">
        <f t="shared" si="1"/>
        <v>40.719999999998322</v>
      </c>
      <c r="B48" s="2744" t="s">
        <v>10654</v>
      </c>
      <c r="C48" s="2489" t="s">
        <v>106</v>
      </c>
      <c r="D48" s="2489" t="s">
        <v>10937</v>
      </c>
      <c r="E48" s="3041">
        <v>230</v>
      </c>
      <c r="F48" s="3041">
        <v>69</v>
      </c>
      <c r="G48" s="2488"/>
      <c r="H48" s="2752">
        <v>300</v>
      </c>
      <c r="I48" s="2752">
        <v>3</v>
      </c>
      <c r="J48" s="2488"/>
      <c r="K48" s="2614"/>
      <c r="L48" s="2488"/>
      <c r="M48" s="2614"/>
      <c r="N48" s="2479" t="str">
        <f t="shared" si="0"/>
        <v>WALLA WALLA, WA, Transmission, Unattended</v>
      </c>
    </row>
    <row r="49" spans="1:14" ht="16.7" customHeight="1" x14ac:dyDescent="0.2">
      <c r="A49" s="3003">
        <f t="shared" si="1"/>
        <v>40.72099999999832</v>
      </c>
      <c r="B49" s="2512" t="s">
        <v>10664</v>
      </c>
      <c r="C49" s="2489" t="s">
        <v>106</v>
      </c>
      <c r="D49" s="2489" t="s">
        <v>10937</v>
      </c>
      <c r="E49" s="3041">
        <v>230</v>
      </c>
      <c r="F49" s="3041">
        <v>69</v>
      </c>
      <c r="G49" s="2488"/>
      <c r="H49" s="2752">
        <v>120</v>
      </c>
      <c r="I49" s="2752">
        <v>2</v>
      </c>
      <c r="J49" s="2750">
        <v>1</v>
      </c>
      <c r="K49" s="2614"/>
      <c r="L49" s="2488"/>
      <c r="M49" s="2614"/>
      <c r="N49" s="2479" t="str">
        <f t="shared" si="0"/>
        <v>WALLULA, WA, Transmission, Unattended</v>
      </c>
    </row>
    <row r="50" spans="1:14" ht="15" customHeight="1" x14ac:dyDescent="0.2">
      <c r="A50" s="3003">
        <f t="shared" si="1"/>
        <v>40.721999999998317</v>
      </c>
      <c r="B50" s="2512" t="s">
        <v>11603</v>
      </c>
      <c r="C50" s="2489" t="s">
        <v>106</v>
      </c>
      <c r="D50" s="2489" t="s">
        <v>10937</v>
      </c>
      <c r="E50" s="3041">
        <v>230</v>
      </c>
      <c r="F50" s="3041">
        <v>115</v>
      </c>
      <c r="G50" s="2488"/>
      <c r="H50" s="2752">
        <v>250</v>
      </c>
      <c r="I50" s="2752">
        <v>1</v>
      </c>
      <c r="J50" s="2488"/>
      <c r="K50" s="2614"/>
      <c r="L50" s="2488"/>
      <c r="M50" s="2614"/>
      <c r="N50" s="2479" t="str">
        <f t="shared" si="0"/>
        <v>WINE COUNTRY, WA, Transmission, Unattended</v>
      </c>
    </row>
    <row r="51" spans="1:14" ht="5.85" customHeight="1" x14ac:dyDescent="0.2">
      <c r="A51" s="3071"/>
      <c r="B51" s="3065"/>
      <c r="C51" s="3066"/>
      <c r="D51" s="3066"/>
      <c r="E51" s="3065"/>
      <c r="F51" s="3065"/>
      <c r="G51" s="3065"/>
      <c r="H51" s="3065"/>
      <c r="I51" s="3065"/>
      <c r="J51" s="3065"/>
      <c r="K51" s="3065"/>
      <c r="L51" s="3065"/>
      <c r="M51" s="3065"/>
    </row>
    <row r="52" spans="1:14" ht="15" customHeight="1" x14ac:dyDescent="0.2">
      <c r="A52" s="2812"/>
      <c r="B52" s="2669" t="s">
        <v>11604</v>
      </c>
      <c r="C52" s="2498" t="s">
        <v>512</v>
      </c>
      <c r="D52" s="2498" t="s">
        <v>10937</v>
      </c>
      <c r="E52" s="2812"/>
      <c r="F52" s="2812"/>
      <c r="G52" s="2668"/>
      <c r="H52" s="3067">
        <f>SUMIFS(H10:H50,C10:C50,C52,D10:D50,D52)</f>
        <v>1578</v>
      </c>
      <c r="I52" s="2812"/>
      <c r="J52" s="2668"/>
      <c r="K52" s="2812"/>
      <c r="L52" s="2668"/>
      <c r="M52" s="2812"/>
      <c r="N52" s="2855" t="str">
        <f>CONCATENATE(B52,", ",C52,", ",D52)</f>
        <v>Total Washington, Distribution, Unattended</v>
      </c>
    </row>
    <row r="53" spans="1:14" ht="15" customHeight="1" x14ac:dyDescent="0.2">
      <c r="A53" s="2812"/>
      <c r="B53" s="2669" t="s">
        <v>11604</v>
      </c>
      <c r="C53" s="2498" t="s">
        <v>106</v>
      </c>
      <c r="D53" s="2498" t="s">
        <v>10937</v>
      </c>
      <c r="E53" s="2812"/>
      <c r="F53" s="2812"/>
      <c r="G53" s="2668"/>
      <c r="H53" s="3067">
        <f>SUMIFS(H10:H50,C10:C50,C53,D10:D50,D53)</f>
        <v>1604</v>
      </c>
      <c r="I53" s="2812"/>
      <c r="J53" s="2668"/>
      <c r="K53" s="2812"/>
      <c r="L53" s="2668"/>
      <c r="M53" s="2812"/>
      <c r="N53" s="2855" t="str">
        <f>CONCATENATE(B53,", ",C53,", ",D53)</f>
        <v>Total Washington, Transmission, Unattended</v>
      </c>
    </row>
    <row r="54" spans="1:14" ht="15" customHeight="1" x14ac:dyDescent="0.2">
      <c r="A54" s="2537"/>
      <c r="B54" s="2536"/>
      <c r="C54" s="2536"/>
      <c r="D54" s="2537"/>
      <c r="E54" s="2537"/>
      <c r="F54" s="2537"/>
      <c r="G54" s="2683"/>
      <c r="H54" s="3068" t="b">
        <f>SUM(H10:H50)=SUM(H52:H53)</f>
        <v>1</v>
      </c>
      <c r="I54" s="3076"/>
      <c r="J54" s="2516"/>
      <c r="K54" s="2537"/>
      <c r="L54" s="2516"/>
      <c r="M54" s="2537"/>
    </row>
    <row r="55" spans="1:14" ht="15" customHeight="1" x14ac:dyDescent="0.2">
      <c r="H55" s="2537"/>
    </row>
    <row r="56" spans="1:14" ht="15" customHeight="1" x14ac:dyDescent="0.2">
      <c r="H56" s="2775"/>
    </row>
    <row r="57" spans="1:14" ht="15" customHeight="1" x14ac:dyDescent="0.2">
      <c r="H57" s="2775"/>
    </row>
    <row r="58" spans="1:14" ht="15" customHeight="1" x14ac:dyDescent="0.2">
      <c r="H58" s="2775"/>
    </row>
    <row r="59" spans="1:14" ht="15" customHeight="1" x14ac:dyDescent="0.2">
      <c r="H59" s="2775"/>
    </row>
    <row r="60" spans="1:14" ht="15" customHeight="1" x14ac:dyDescent="0.2">
      <c r="H60" s="2775"/>
    </row>
    <row r="61" spans="1:14" ht="15" customHeight="1" x14ac:dyDescent="0.2">
      <c r="H61" s="2775"/>
    </row>
    <row r="62" spans="1:14" ht="15" customHeight="1" x14ac:dyDescent="0.2">
      <c r="H62" s="2775"/>
    </row>
    <row r="63" spans="1:14" ht="15" customHeight="1" x14ac:dyDescent="0.2">
      <c r="H63" s="2775"/>
    </row>
    <row r="64" spans="1:14" ht="15" customHeight="1" x14ac:dyDescent="0.2">
      <c r="H64" s="2775"/>
    </row>
    <row r="65" spans="8:8" ht="15" customHeight="1" x14ac:dyDescent="0.2">
      <c r="H65" s="2775"/>
    </row>
    <row r="66" spans="8:8" ht="15" customHeight="1" x14ac:dyDescent="0.2">
      <c r="H66" s="2775"/>
    </row>
    <row r="67" spans="8:8" ht="15" customHeight="1" x14ac:dyDescent="0.2">
      <c r="H67" s="2775"/>
    </row>
    <row r="68" spans="8:8" ht="15" customHeight="1" x14ac:dyDescent="0.2">
      <c r="H68" s="2775"/>
    </row>
    <row r="69" spans="8:8" ht="15" customHeight="1" x14ac:dyDescent="0.2">
      <c r="H69" s="2775"/>
    </row>
    <row r="70" spans="8:8" ht="15" customHeight="1" x14ac:dyDescent="0.2">
      <c r="H70" s="2775"/>
    </row>
    <row r="71" spans="8:8" ht="15" customHeight="1" x14ac:dyDescent="0.2">
      <c r="H71" s="2775"/>
    </row>
    <row r="72" spans="8:8" ht="15" customHeight="1" x14ac:dyDescent="0.2">
      <c r="H72" s="2775"/>
    </row>
    <row r="73" spans="8:8" ht="15" customHeight="1" x14ac:dyDescent="0.2">
      <c r="H73" s="2775"/>
    </row>
    <row r="74" spans="8:8" ht="15" customHeight="1" x14ac:dyDescent="0.2">
      <c r="H74" s="2775"/>
    </row>
    <row r="75" spans="8:8" ht="15" customHeight="1" x14ac:dyDescent="0.2">
      <c r="H75" s="2775"/>
    </row>
    <row r="76" spans="8:8" ht="15" customHeight="1" x14ac:dyDescent="0.2">
      <c r="H76" s="2775"/>
    </row>
    <row r="77" spans="8:8" ht="15" customHeight="1" x14ac:dyDescent="0.2">
      <c r="H77" s="2775"/>
    </row>
    <row r="78" spans="8:8" ht="15" customHeight="1" x14ac:dyDescent="0.2">
      <c r="H78" s="2775"/>
    </row>
    <row r="79" spans="8:8" ht="15" customHeight="1" x14ac:dyDescent="0.2">
      <c r="H79" s="2775"/>
    </row>
    <row r="80" spans="8:8" ht="15" customHeight="1" x14ac:dyDescent="0.2">
      <c r="H80" s="2775"/>
    </row>
    <row r="81" spans="8:8" ht="15" customHeight="1" x14ac:dyDescent="0.2">
      <c r="H81" s="2775"/>
    </row>
    <row r="82" spans="8:8" ht="15" customHeight="1" x14ac:dyDescent="0.2">
      <c r="H82" s="2775"/>
    </row>
    <row r="83" spans="8:8" ht="15" customHeight="1" x14ac:dyDescent="0.2">
      <c r="H83" s="2775"/>
    </row>
    <row r="84" spans="8:8" ht="15" customHeight="1" x14ac:dyDescent="0.2">
      <c r="H84" s="2775"/>
    </row>
    <row r="85" spans="8:8" ht="15" customHeight="1" x14ac:dyDescent="0.2">
      <c r="H85" s="2775"/>
    </row>
    <row r="86" spans="8:8" ht="15" customHeight="1" x14ac:dyDescent="0.2">
      <c r="H86" s="2775"/>
    </row>
    <row r="87" spans="8:8" ht="15" customHeight="1" x14ac:dyDescent="0.2">
      <c r="H87" s="2775"/>
    </row>
    <row r="88" spans="8:8" ht="15" customHeight="1" x14ac:dyDescent="0.2">
      <c r="H88" s="2775"/>
    </row>
    <row r="89" spans="8:8" ht="15" customHeight="1" x14ac:dyDescent="0.2">
      <c r="H89" s="2775"/>
    </row>
    <row r="90" spans="8:8" ht="15" customHeight="1" x14ac:dyDescent="0.2">
      <c r="H90" s="2775"/>
    </row>
    <row r="91" spans="8:8" ht="15" customHeight="1" x14ac:dyDescent="0.2">
      <c r="H91" s="2775"/>
    </row>
    <row r="92" spans="8:8" ht="15" customHeight="1" x14ac:dyDescent="0.2">
      <c r="H92" s="2775"/>
    </row>
    <row r="93" spans="8:8" ht="15" customHeight="1" x14ac:dyDescent="0.2">
      <c r="H93" s="2775"/>
    </row>
    <row r="94" spans="8:8" ht="15" customHeight="1" x14ac:dyDescent="0.2">
      <c r="H94" s="2775"/>
    </row>
    <row r="95" spans="8:8" ht="15" customHeight="1" x14ac:dyDescent="0.2">
      <c r="H95" s="2775"/>
    </row>
    <row r="96" spans="8:8" ht="15" customHeight="1" x14ac:dyDescent="0.2">
      <c r="H96" s="2775"/>
    </row>
    <row r="97" spans="8:8" ht="15" customHeight="1" x14ac:dyDescent="0.2">
      <c r="H97" s="2775"/>
    </row>
    <row r="98" spans="8:8" ht="15" customHeight="1" x14ac:dyDescent="0.2">
      <c r="H98" s="2775"/>
    </row>
    <row r="99" spans="8:8" ht="15" customHeight="1" x14ac:dyDescent="0.2">
      <c r="H99" s="2775"/>
    </row>
    <row r="100" spans="8:8" ht="15" customHeight="1" x14ac:dyDescent="0.2">
      <c r="H100" s="2775"/>
    </row>
    <row r="101" spans="8:8" ht="15" customHeight="1" x14ac:dyDescent="0.2">
      <c r="H101" s="2775"/>
    </row>
    <row r="102" spans="8:8" ht="15" customHeight="1" x14ac:dyDescent="0.2">
      <c r="H102" s="2775"/>
    </row>
    <row r="103" spans="8:8" ht="15" customHeight="1" x14ac:dyDescent="0.2">
      <c r="H103" s="2775"/>
    </row>
    <row r="104" spans="8:8" ht="15" customHeight="1" x14ac:dyDescent="0.2">
      <c r="H104" s="2775"/>
    </row>
    <row r="105" spans="8:8" ht="15" customHeight="1" x14ac:dyDescent="0.2">
      <c r="H105" s="2775"/>
    </row>
    <row r="106" spans="8:8" ht="15" customHeight="1" x14ac:dyDescent="0.2">
      <c r="H106" s="2775"/>
    </row>
    <row r="107" spans="8:8" ht="15" customHeight="1" x14ac:dyDescent="0.2">
      <c r="H107" s="2775"/>
    </row>
    <row r="108" spans="8:8" ht="15" customHeight="1" x14ac:dyDescent="0.2">
      <c r="H108" s="2775"/>
    </row>
    <row r="109" spans="8:8" ht="15" customHeight="1" x14ac:dyDescent="0.2">
      <c r="H109" s="2775"/>
    </row>
    <row r="110" spans="8:8" ht="15" customHeight="1" x14ac:dyDescent="0.2">
      <c r="H110" s="2775"/>
    </row>
    <row r="111" spans="8:8" ht="15" customHeight="1" x14ac:dyDescent="0.2">
      <c r="H111" s="2775"/>
    </row>
    <row r="112" spans="8:8" ht="15" customHeight="1" x14ac:dyDescent="0.2">
      <c r="H112" s="2775"/>
    </row>
    <row r="113" spans="8:8" ht="15" customHeight="1" x14ac:dyDescent="0.2">
      <c r="H113" s="2775"/>
    </row>
    <row r="114" spans="8:8" ht="15" customHeight="1" x14ac:dyDescent="0.2">
      <c r="H114" s="2775"/>
    </row>
    <row r="115" spans="8:8" ht="15" customHeight="1" x14ac:dyDescent="0.2">
      <c r="H115" s="2775"/>
    </row>
    <row r="116" spans="8:8" ht="15" customHeight="1" x14ac:dyDescent="0.2">
      <c r="H116" s="2775"/>
    </row>
    <row r="117" spans="8:8" ht="15" customHeight="1" x14ac:dyDescent="0.2">
      <c r="H117" s="2775"/>
    </row>
    <row r="118" spans="8:8" ht="15" customHeight="1" x14ac:dyDescent="0.2">
      <c r="H118" s="2775"/>
    </row>
    <row r="119" spans="8:8" ht="15" customHeight="1" x14ac:dyDescent="0.2">
      <c r="H119" s="2775"/>
    </row>
    <row r="120" spans="8:8" ht="15" customHeight="1" x14ac:dyDescent="0.2">
      <c r="H120" s="2775"/>
    </row>
    <row r="121" spans="8:8" ht="15" customHeight="1" x14ac:dyDescent="0.2">
      <c r="H121" s="2775"/>
    </row>
    <row r="122" spans="8:8" ht="15" customHeight="1" x14ac:dyDescent="0.2">
      <c r="H122" s="2775"/>
    </row>
    <row r="123" spans="8:8" ht="15" customHeight="1" x14ac:dyDescent="0.2">
      <c r="H123" s="2775"/>
    </row>
    <row r="124" spans="8:8" ht="15" customHeight="1" x14ac:dyDescent="0.2">
      <c r="H124" s="2775"/>
    </row>
    <row r="125" spans="8:8" ht="15" customHeight="1" x14ac:dyDescent="0.2">
      <c r="H125" s="2775"/>
    </row>
  </sheetData>
  <mergeCells count="14">
    <mergeCell ref="J7:J8"/>
    <mergeCell ref="K7:M7"/>
    <mergeCell ref="A7:A9"/>
    <mergeCell ref="B7:B8"/>
    <mergeCell ref="C7:D7"/>
    <mergeCell ref="E7:G7"/>
    <mergeCell ref="H7:H8"/>
    <mergeCell ref="I7:I8"/>
    <mergeCell ref="C2:H2"/>
    <mergeCell ref="A4:M4"/>
    <mergeCell ref="A5:G5"/>
    <mergeCell ref="H5:M5"/>
    <mergeCell ref="A6:G6"/>
    <mergeCell ref="H6:M6"/>
  </mergeCells>
  <pageMargins left="0.75" right="0.75" top="1" bottom="1" header="0.5" footer="0.5"/>
  <customProperties>
    <customPr name="_pios_id" r:id="rId1"/>
  </customProperties>
</worksheet>
</file>

<file path=xl/worksheets/sheet1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82C891-63BD-4B25-B86A-0B02AA9F9F4A}">
  <sheetPr codeName="Sheet116"/>
  <dimension ref="A1:O151"/>
  <sheetViews>
    <sheetView workbookViewId="0">
      <pane xSplit="2" ySplit="9" topLeftCell="C10" activePane="bottomRight" state="frozen"/>
      <selection pane="topRight"/>
      <selection pane="bottomLeft"/>
      <selection pane="bottomRight"/>
    </sheetView>
  </sheetViews>
  <sheetFormatPr defaultColWidth="11.5" defaultRowHeight="12.75" x14ac:dyDescent="0.2"/>
  <cols>
    <col min="1" max="1" width="8" style="1953" customWidth="1"/>
    <col min="2" max="2" width="26.5" style="1953" customWidth="1"/>
    <col min="3" max="10" width="17.625" style="1953" customWidth="1"/>
    <col min="11" max="11" width="28.125" style="1953" customWidth="1"/>
    <col min="12" max="13" width="12.125" style="1953" customWidth="1"/>
    <col min="14" max="14" width="32.75" style="1953" customWidth="1"/>
    <col min="15" max="15" width="37.25" style="1953" customWidth="1"/>
    <col min="16" max="26" width="17.625" style="1953" customWidth="1"/>
    <col min="27" max="16384" width="11.5" style="1953"/>
  </cols>
  <sheetData>
    <row r="1" spans="1:15" ht="16.7" customHeight="1" x14ac:dyDescent="0.2"/>
    <row r="2" spans="1:15" ht="16.7" customHeight="1" x14ac:dyDescent="0.2">
      <c r="B2" s="2744" t="s">
        <v>7058</v>
      </c>
      <c r="C2" s="4182" t="s">
        <v>10989</v>
      </c>
      <c r="D2" s="4183"/>
      <c r="E2" s="4183"/>
      <c r="F2" s="4183"/>
      <c r="G2" s="4183"/>
      <c r="H2" s="4184"/>
      <c r="I2" s="2479"/>
    </row>
    <row r="3" spans="1:15" ht="16.7" customHeight="1" x14ac:dyDescent="0.2">
      <c r="A3" s="3070">
        <f>COUNTA(B10:B138)</f>
        <v>127</v>
      </c>
      <c r="B3" s="2623" t="s">
        <v>11605</v>
      </c>
      <c r="C3" s="2806"/>
      <c r="D3" s="2483"/>
      <c r="E3" s="2483"/>
      <c r="F3" s="2483"/>
      <c r="G3" s="2483"/>
      <c r="H3" s="2483"/>
    </row>
    <row r="4" spans="1:15" ht="16.7" customHeight="1" x14ac:dyDescent="0.2">
      <c r="A4" s="3932" t="s">
        <v>10915</v>
      </c>
      <c r="B4" s="3975"/>
      <c r="C4" s="3975"/>
      <c r="D4" s="3975"/>
      <c r="E4" s="3975"/>
      <c r="F4" s="3975"/>
      <c r="G4" s="3975"/>
      <c r="H4" s="3975"/>
      <c r="I4" s="3975"/>
      <c r="J4" s="3975"/>
      <c r="K4" s="3975"/>
      <c r="L4" s="3975"/>
      <c r="M4" s="3976"/>
      <c r="N4" s="2479"/>
    </row>
    <row r="5" spans="1:15" ht="94.15" customHeight="1" x14ac:dyDescent="0.2">
      <c r="A5" s="3878" t="s">
        <v>10916</v>
      </c>
      <c r="B5" s="3879"/>
      <c r="C5" s="3879"/>
      <c r="D5" s="3879"/>
      <c r="E5" s="3879"/>
      <c r="F5" s="3879"/>
      <c r="G5" s="3880"/>
      <c r="H5" s="3878" t="s">
        <v>10917</v>
      </c>
      <c r="I5" s="3879"/>
      <c r="J5" s="3879"/>
      <c r="K5" s="3879"/>
      <c r="L5" s="3879"/>
      <c r="M5" s="3880"/>
      <c r="N5" s="2479"/>
    </row>
    <row r="6" spans="1:15" ht="16.7" customHeight="1" x14ac:dyDescent="0.2">
      <c r="A6" s="3882" t="s">
        <v>10918</v>
      </c>
      <c r="B6" s="3883"/>
      <c r="C6" s="3883"/>
      <c r="D6" s="3883"/>
      <c r="E6" s="3883"/>
      <c r="F6" s="3883"/>
      <c r="G6" s="3884"/>
      <c r="H6" s="3882" t="s">
        <v>10919</v>
      </c>
      <c r="I6" s="3891"/>
      <c r="J6" s="3891"/>
      <c r="K6" s="3891"/>
      <c r="L6" s="3891"/>
      <c r="M6" s="3892"/>
      <c r="N6" s="2479"/>
    </row>
    <row r="7" spans="1:15" ht="16.7" customHeight="1" x14ac:dyDescent="0.2">
      <c r="A7" s="3855" t="s">
        <v>6360</v>
      </c>
      <c r="B7" s="3922" t="s">
        <v>10920</v>
      </c>
      <c r="C7" s="4186" t="s">
        <v>10921</v>
      </c>
      <c r="D7" s="4187"/>
      <c r="E7" s="3882" t="s">
        <v>10922</v>
      </c>
      <c r="F7" s="3883"/>
      <c r="G7" s="3884"/>
      <c r="H7" s="3922" t="s">
        <v>10923</v>
      </c>
      <c r="I7" s="3922" t="s">
        <v>10924</v>
      </c>
      <c r="J7" s="3922" t="s">
        <v>10925</v>
      </c>
      <c r="K7" s="3882" t="s">
        <v>10926</v>
      </c>
      <c r="L7" s="3891"/>
      <c r="M7" s="3892"/>
      <c r="N7" s="2479"/>
    </row>
    <row r="8" spans="1:15" ht="27.6" customHeight="1" x14ac:dyDescent="0.2">
      <c r="A8" s="3856"/>
      <c r="B8" s="3943"/>
      <c r="C8" s="2824" t="s">
        <v>10927</v>
      </c>
      <c r="D8" s="2586" t="s">
        <v>10928</v>
      </c>
      <c r="E8" s="2581" t="s">
        <v>10929</v>
      </c>
      <c r="F8" s="2581" t="s">
        <v>10930</v>
      </c>
      <c r="G8" s="2581" t="s">
        <v>10931</v>
      </c>
      <c r="H8" s="4185"/>
      <c r="I8" s="4185"/>
      <c r="J8" s="4185"/>
      <c r="K8" s="2581" t="s">
        <v>10932</v>
      </c>
      <c r="L8" s="2581" t="s">
        <v>10146</v>
      </c>
      <c r="M8" s="2581" t="s">
        <v>10933</v>
      </c>
      <c r="N8" s="2479"/>
    </row>
    <row r="9" spans="1:15" ht="16.7" customHeight="1" x14ac:dyDescent="0.2">
      <c r="A9" s="3856"/>
      <c r="B9" s="2589" t="s">
        <v>5949</v>
      </c>
      <c r="C9" s="2589" t="s">
        <v>5950</v>
      </c>
      <c r="D9" s="2589" t="s">
        <v>10934</v>
      </c>
      <c r="E9" s="2589" t="s">
        <v>5951</v>
      </c>
      <c r="F9" s="2589" t="s">
        <v>5952</v>
      </c>
      <c r="G9" s="2589" t="s">
        <v>6227</v>
      </c>
      <c r="H9" s="2589" t="s">
        <v>5804</v>
      </c>
      <c r="I9" s="2589" t="s">
        <v>6228</v>
      </c>
      <c r="J9" s="2589" t="s">
        <v>6229</v>
      </c>
      <c r="K9" s="2589" t="s">
        <v>6230</v>
      </c>
      <c r="L9" s="2589" t="s">
        <v>6231</v>
      </c>
      <c r="M9" s="2589" t="s">
        <v>6232</v>
      </c>
      <c r="N9" s="2479" t="s">
        <v>6324</v>
      </c>
      <c r="O9" s="2576" t="s">
        <v>10935</v>
      </c>
    </row>
    <row r="10" spans="1:15" ht="19.149999999999999" customHeight="1" x14ac:dyDescent="0.2">
      <c r="A10" s="3003">
        <f>'Pg 426 - Substations - WA'!A50+0.001</f>
        <v>40.722999999998315</v>
      </c>
      <c r="B10" s="2512" t="s">
        <v>11606</v>
      </c>
      <c r="C10" s="2489" t="s">
        <v>512</v>
      </c>
      <c r="D10" s="2489" t="s">
        <v>10937</v>
      </c>
      <c r="E10" s="3041">
        <v>230</v>
      </c>
      <c r="F10" s="3041">
        <v>34.5</v>
      </c>
      <c r="G10" s="3043">
        <v>13.2</v>
      </c>
      <c r="H10" s="2752">
        <v>25</v>
      </c>
      <c r="I10" s="2752">
        <v>1</v>
      </c>
      <c r="J10" s="2488"/>
      <c r="K10" s="2614"/>
      <c r="L10" s="2488"/>
      <c r="M10" s="2614"/>
      <c r="N10" s="2479" t="str">
        <f t="shared" ref="N10:N73" si="0">CONCATENATE(B10,", ",C10,", ",D10)</f>
        <v>ANTELOPE MINE, WY, Distribution, Unattended</v>
      </c>
    </row>
    <row r="11" spans="1:15" ht="16.7" customHeight="1" x14ac:dyDescent="0.2">
      <c r="A11" s="3003">
        <f t="shared" ref="A11:A74" si="1">A10+0.001</f>
        <v>40.723999999998313</v>
      </c>
      <c r="B11" s="2512" t="s">
        <v>10609</v>
      </c>
      <c r="C11" s="2489" t="s">
        <v>512</v>
      </c>
      <c r="D11" s="2489" t="s">
        <v>10937</v>
      </c>
      <c r="E11" s="3041">
        <v>230</v>
      </c>
      <c r="F11" s="3041">
        <v>34.5</v>
      </c>
      <c r="G11" s="3043">
        <v>13.2</v>
      </c>
      <c r="H11" s="2752">
        <v>150</v>
      </c>
      <c r="I11" s="2752">
        <v>2</v>
      </c>
      <c r="J11" s="2488"/>
      <c r="K11" s="2614"/>
      <c r="L11" s="2488"/>
      <c r="M11" s="2614"/>
      <c r="N11" s="2479" t="str">
        <f t="shared" si="0"/>
        <v>ARROWHEAD, WY, Distribution, Unattended</v>
      </c>
    </row>
    <row r="12" spans="1:15" ht="16.7" customHeight="1" x14ac:dyDescent="0.2">
      <c r="A12" s="3003">
        <f t="shared" si="1"/>
        <v>40.72499999999831</v>
      </c>
      <c r="B12" s="2512" t="s">
        <v>11607</v>
      </c>
      <c r="C12" s="2489" t="s">
        <v>512</v>
      </c>
      <c r="D12" s="2489" t="s">
        <v>10937</v>
      </c>
      <c r="E12" s="3041">
        <v>34.5</v>
      </c>
      <c r="F12" s="3041">
        <v>13.2</v>
      </c>
      <c r="G12" s="2488"/>
      <c r="H12" s="2752">
        <v>13</v>
      </c>
      <c r="I12" s="2752">
        <v>1</v>
      </c>
      <c r="J12" s="2488"/>
      <c r="K12" s="2614"/>
      <c r="L12" s="2488"/>
      <c r="M12" s="2614"/>
      <c r="N12" s="2479" t="str">
        <f t="shared" si="0"/>
        <v>ASTLE STREET, WY, Distribution, Unattended</v>
      </c>
    </row>
    <row r="13" spans="1:15" ht="15.75" customHeight="1" x14ac:dyDescent="0.2">
      <c r="A13" s="3003">
        <f t="shared" si="1"/>
        <v>40.725999999998308</v>
      </c>
      <c r="B13" s="2512" t="s">
        <v>11608</v>
      </c>
      <c r="C13" s="2489" t="s">
        <v>512</v>
      </c>
      <c r="D13" s="2489" t="s">
        <v>10937</v>
      </c>
      <c r="E13" s="3041">
        <v>57</v>
      </c>
      <c r="F13" s="3041">
        <v>4.16</v>
      </c>
      <c r="G13" s="2488"/>
      <c r="H13" s="2752">
        <v>2</v>
      </c>
      <c r="I13" s="2752">
        <v>1</v>
      </c>
      <c r="J13" s="2488"/>
      <c r="K13" s="2614"/>
      <c r="L13" s="2488"/>
      <c r="M13" s="2614"/>
      <c r="N13" s="2479" t="str">
        <f t="shared" si="0"/>
        <v>BAILEY DOME, WY, Distribution, Unattended</v>
      </c>
    </row>
    <row r="14" spans="1:15" ht="16.7" customHeight="1" x14ac:dyDescent="0.2">
      <c r="A14" s="3003">
        <f t="shared" si="1"/>
        <v>40.726999999998306</v>
      </c>
      <c r="B14" s="2512" t="s">
        <v>11609</v>
      </c>
      <c r="C14" s="2489" t="s">
        <v>512</v>
      </c>
      <c r="D14" s="2489" t="s">
        <v>10937</v>
      </c>
      <c r="E14" s="3041">
        <v>115</v>
      </c>
      <c r="F14" s="3041">
        <v>69</v>
      </c>
      <c r="G14" s="3043">
        <v>13.2</v>
      </c>
      <c r="H14" s="2752">
        <v>53</v>
      </c>
      <c r="I14" s="2752">
        <v>3</v>
      </c>
      <c r="J14" s="2488"/>
      <c r="K14" s="2614"/>
      <c r="L14" s="2488"/>
      <c r="M14" s="2614"/>
      <c r="N14" s="2479" t="str">
        <f t="shared" si="0"/>
        <v>BAIROIL, WY, Distribution, Unattended</v>
      </c>
    </row>
    <row r="15" spans="1:15" ht="16.7" customHeight="1" x14ac:dyDescent="0.2">
      <c r="A15" s="3003">
        <f t="shared" si="1"/>
        <v>40.727999999998303</v>
      </c>
      <c r="B15" s="2512" t="s">
        <v>11610</v>
      </c>
      <c r="C15" s="2489" t="s">
        <v>512</v>
      </c>
      <c r="D15" s="2489" t="s">
        <v>10937</v>
      </c>
      <c r="E15" s="3041">
        <v>230</v>
      </c>
      <c r="F15" s="3041">
        <v>34.5</v>
      </c>
      <c r="G15" s="3043">
        <v>13.2</v>
      </c>
      <c r="H15" s="2752">
        <v>25</v>
      </c>
      <c r="I15" s="2752">
        <v>1</v>
      </c>
      <c r="J15" s="2488"/>
      <c r="K15" s="2614"/>
      <c r="L15" s="2488"/>
      <c r="M15" s="2614"/>
      <c r="N15" s="2479" t="str">
        <f t="shared" si="0"/>
        <v>BAR X, WY, Distribution, Unattended</v>
      </c>
    </row>
    <row r="16" spans="1:15" ht="16.7" customHeight="1" x14ac:dyDescent="0.2">
      <c r="A16" s="3003">
        <f t="shared" si="1"/>
        <v>40.728999999998301</v>
      </c>
      <c r="B16" s="2512" t="s">
        <v>11611</v>
      </c>
      <c r="C16" s="2489" t="s">
        <v>512</v>
      </c>
      <c r="D16" s="2489" t="s">
        <v>10937</v>
      </c>
      <c r="E16" s="3041">
        <v>115</v>
      </c>
      <c r="F16" s="3041">
        <v>12.47</v>
      </c>
      <c r="G16" s="2488"/>
      <c r="H16" s="2752">
        <v>30</v>
      </c>
      <c r="I16" s="2752">
        <v>1</v>
      </c>
      <c r="J16" s="2488"/>
      <c r="K16" s="2614"/>
      <c r="L16" s="2488"/>
      <c r="M16" s="2614"/>
      <c r="N16" s="2479" t="str">
        <f t="shared" si="0"/>
        <v>BARR NUNN, WY, Distribution, Unattended</v>
      </c>
    </row>
    <row r="17" spans="1:14" ht="16.7" customHeight="1" x14ac:dyDescent="0.2">
      <c r="A17" s="3003">
        <f t="shared" si="1"/>
        <v>40.729999999998299</v>
      </c>
      <c r="B17" s="2512" t="s">
        <v>11612</v>
      </c>
      <c r="C17" s="2489" t="s">
        <v>512</v>
      </c>
      <c r="D17" s="2489" t="s">
        <v>10937</v>
      </c>
      <c r="E17" s="3041">
        <v>34.5</v>
      </c>
      <c r="F17" s="3041">
        <v>13.8</v>
      </c>
      <c r="G17" s="2488"/>
      <c r="H17" s="2752">
        <v>2</v>
      </c>
      <c r="I17" s="2752">
        <v>1</v>
      </c>
      <c r="J17" s="2488"/>
      <c r="K17" s="2614"/>
      <c r="L17" s="2488"/>
      <c r="M17" s="2614"/>
      <c r="N17" s="2479" t="str">
        <f t="shared" si="0"/>
        <v>BATTLE SPRINGS, WY, Distribution, Unattended</v>
      </c>
    </row>
    <row r="18" spans="1:14" ht="16.7" customHeight="1" x14ac:dyDescent="0.2">
      <c r="A18" s="3003">
        <f t="shared" si="1"/>
        <v>40.730999999998296</v>
      </c>
      <c r="B18" s="2512" t="s">
        <v>11613</v>
      </c>
      <c r="C18" s="2489" t="s">
        <v>512</v>
      </c>
      <c r="D18" s="2489" t="s">
        <v>10937</v>
      </c>
      <c r="E18" s="3041">
        <v>69</v>
      </c>
      <c r="F18" s="3041">
        <v>4.16</v>
      </c>
      <c r="G18" s="2488"/>
      <c r="H18" s="2752">
        <v>5</v>
      </c>
      <c r="I18" s="2752">
        <v>1</v>
      </c>
      <c r="J18" s="2488"/>
      <c r="K18" s="2614"/>
      <c r="L18" s="2488"/>
      <c r="M18" s="2614"/>
      <c r="N18" s="2479" t="str">
        <f t="shared" si="0"/>
        <v>BELLAMY 2, WY, Distribution, Unattended</v>
      </c>
    </row>
    <row r="19" spans="1:14" ht="16.7" customHeight="1" x14ac:dyDescent="0.2">
      <c r="A19" s="3003">
        <f t="shared" si="1"/>
        <v>40.731999999998294</v>
      </c>
      <c r="B19" s="2512" t="s">
        <v>11614</v>
      </c>
      <c r="C19" s="2489" t="s">
        <v>512</v>
      </c>
      <c r="D19" s="2489" t="s">
        <v>10937</v>
      </c>
      <c r="E19" s="3041">
        <v>69</v>
      </c>
      <c r="F19" s="3041">
        <v>12.47</v>
      </c>
      <c r="G19" s="2488"/>
      <c r="H19" s="2752">
        <v>7</v>
      </c>
      <c r="I19" s="2752">
        <v>1</v>
      </c>
      <c r="J19" s="2488"/>
      <c r="K19" s="2614"/>
      <c r="L19" s="2488"/>
      <c r="M19" s="2614"/>
      <c r="N19" s="2479" t="str">
        <f t="shared" si="0"/>
        <v>BIG MUDDY, WY, Distribution, Unattended</v>
      </c>
    </row>
    <row r="20" spans="1:14" ht="16.7" customHeight="1" x14ac:dyDescent="0.2">
      <c r="A20" s="3003">
        <f t="shared" si="1"/>
        <v>40.732999999998292</v>
      </c>
      <c r="B20" s="2512" t="s">
        <v>11615</v>
      </c>
      <c r="C20" s="2489" t="s">
        <v>512</v>
      </c>
      <c r="D20" s="2489" t="s">
        <v>10937</v>
      </c>
      <c r="E20" s="3041">
        <v>69</v>
      </c>
      <c r="F20" s="3041">
        <v>24.9</v>
      </c>
      <c r="G20" s="2488"/>
      <c r="H20" s="2752">
        <v>14</v>
      </c>
      <c r="I20" s="2752">
        <v>1</v>
      </c>
      <c r="J20" s="2488"/>
      <c r="K20" s="2614"/>
      <c r="L20" s="2488"/>
      <c r="M20" s="2614"/>
      <c r="N20" s="2479" t="str">
        <f t="shared" si="0"/>
        <v>BIG PINEY, WY, Distribution, Unattended</v>
      </c>
    </row>
    <row r="21" spans="1:14" ht="16.7" customHeight="1" x14ac:dyDescent="0.2">
      <c r="A21" s="3003">
        <f t="shared" si="1"/>
        <v>40.733999999998289</v>
      </c>
      <c r="B21" s="2512" t="s">
        <v>11616</v>
      </c>
      <c r="C21" s="2489" t="s">
        <v>512</v>
      </c>
      <c r="D21" s="2489" t="s">
        <v>10937</v>
      </c>
      <c r="E21" s="3041">
        <v>230</v>
      </c>
      <c r="F21" s="3041">
        <v>34.5</v>
      </c>
      <c r="G21" s="3043">
        <v>13.2</v>
      </c>
      <c r="H21" s="2752">
        <v>225</v>
      </c>
      <c r="I21" s="2752">
        <v>3</v>
      </c>
      <c r="J21" s="2750">
        <v>1</v>
      </c>
      <c r="K21" s="2614"/>
      <c r="L21" s="2488"/>
      <c r="M21" s="2614"/>
      <c r="N21" s="2479" t="str">
        <f t="shared" si="0"/>
        <v>BLACKS FORK, WY, Distribution, Unattended</v>
      </c>
    </row>
    <row r="22" spans="1:14" ht="16.7" customHeight="1" x14ac:dyDescent="0.2">
      <c r="A22" s="3003">
        <f t="shared" si="1"/>
        <v>40.734999999998287</v>
      </c>
      <c r="B22" s="2512" t="s">
        <v>10619</v>
      </c>
      <c r="C22" s="2489" t="s">
        <v>512</v>
      </c>
      <c r="D22" s="2489" t="s">
        <v>10937</v>
      </c>
      <c r="E22" s="3041">
        <v>230</v>
      </c>
      <c r="F22" s="3041">
        <v>34.5</v>
      </c>
      <c r="G22" s="3043">
        <v>7.2</v>
      </c>
      <c r="H22" s="2752">
        <v>74</v>
      </c>
      <c r="I22" s="2752">
        <v>4</v>
      </c>
      <c r="J22" s="2488"/>
      <c r="K22" s="2614"/>
      <c r="L22" s="2488"/>
      <c r="M22" s="2614"/>
      <c r="N22" s="2479" t="str">
        <f t="shared" si="0"/>
        <v>BRIDGER PUMP, WY, Distribution, Unattended</v>
      </c>
    </row>
    <row r="23" spans="1:14" ht="16.7" customHeight="1" x14ac:dyDescent="0.2">
      <c r="A23" s="3003">
        <f t="shared" si="1"/>
        <v>40.735999999998285</v>
      </c>
      <c r="B23" s="2512" t="s">
        <v>11617</v>
      </c>
      <c r="C23" s="2489" t="s">
        <v>512</v>
      </c>
      <c r="D23" s="2489" t="s">
        <v>10937</v>
      </c>
      <c r="E23" s="3041">
        <v>115</v>
      </c>
      <c r="F23" s="3041">
        <v>12.47</v>
      </c>
      <c r="G23" s="2488"/>
      <c r="H23" s="2752">
        <v>25</v>
      </c>
      <c r="I23" s="2752">
        <v>1</v>
      </c>
      <c r="J23" s="2488"/>
      <c r="K23" s="2614"/>
      <c r="L23" s="2488"/>
      <c r="M23" s="2614"/>
      <c r="N23" s="2479" t="str">
        <f t="shared" si="0"/>
        <v>BRYAN, WY, Distribution, Unattended</v>
      </c>
    </row>
    <row r="24" spans="1:14" ht="15.75" customHeight="1" x14ac:dyDescent="0.2">
      <c r="A24" s="3003">
        <f t="shared" si="1"/>
        <v>40.736999999998282</v>
      </c>
      <c r="B24" s="2512" t="s">
        <v>10621</v>
      </c>
      <c r="C24" s="2489" t="s">
        <v>512</v>
      </c>
      <c r="D24" s="2489" t="s">
        <v>10937</v>
      </c>
      <c r="E24" s="3041">
        <v>230</v>
      </c>
      <c r="F24" s="3041">
        <v>20.8</v>
      </c>
      <c r="G24" s="2488"/>
      <c r="H24" s="2752">
        <v>20</v>
      </c>
      <c r="I24" s="2752">
        <v>1</v>
      </c>
      <c r="J24" s="2750">
        <v>1</v>
      </c>
      <c r="K24" s="2614"/>
      <c r="L24" s="2488"/>
      <c r="M24" s="2614"/>
      <c r="N24" s="2479" t="str">
        <f t="shared" si="0"/>
        <v>BUFFALO, WY, Distribution, Unattended</v>
      </c>
    </row>
    <row r="25" spans="1:14" ht="16.7" customHeight="1" x14ac:dyDescent="0.2">
      <c r="A25" s="3003">
        <f t="shared" si="1"/>
        <v>40.73799999999828</v>
      </c>
      <c r="B25" s="2512" t="s">
        <v>11618</v>
      </c>
      <c r="C25" s="2489" t="s">
        <v>512</v>
      </c>
      <c r="D25" s="2489" t="s">
        <v>10937</v>
      </c>
      <c r="E25" s="3041">
        <v>34.5</v>
      </c>
      <c r="F25" s="3041">
        <v>4.16</v>
      </c>
      <c r="G25" s="2614"/>
      <c r="H25" s="2752">
        <v>2</v>
      </c>
      <c r="I25" s="2752">
        <v>3</v>
      </c>
      <c r="J25" s="2488"/>
      <c r="K25" s="2488"/>
      <c r="L25" s="2488"/>
      <c r="M25" s="2614"/>
      <c r="N25" s="2479" t="str">
        <f t="shared" si="0"/>
        <v>BYRON, WY, Distribution, Unattended</v>
      </c>
    </row>
    <row r="26" spans="1:14" ht="16.7" customHeight="1" x14ac:dyDescent="0.2">
      <c r="A26" s="3003">
        <f t="shared" si="1"/>
        <v>40.738999999998278</v>
      </c>
      <c r="B26" s="2512" t="s">
        <v>11619</v>
      </c>
      <c r="C26" s="2489" t="s">
        <v>512</v>
      </c>
      <c r="D26" s="2489" t="s">
        <v>10937</v>
      </c>
      <c r="E26" s="3041">
        <v>57</v>
      </c>
      <c r="F26" s="3041">
        <v>20.8</v>
      </c>
      <c r="G26" s="2488"/>
      <c r="H26" s="2752">
        <v>2</v>
      </c>
      <c r="I26" s="2752">
        <v>6</v>
      </c>
      <c r="J26" s="2488"/>
      <c r="K26" s="2488"/>
      <c r="L26" s="2488"/>
      <c r="M26" s="2614"/>
      <c r="N26" s="2479" t="str">
        <f t="shared" si="0"/>
        <v>CASSA, WY, Distribution, Unattended</v>
      </c>
    </row>
    <row r="27" spans="1:14" ht="16.7" customHeight="1" x14ac:dyDescent="0.2">
      <c r="A27" s="3003">
        <f t="shared" si="1"/>
        <v>40.739999999998275</v>
      </c>
      <c r="B27" s="2512" t="s">
        <v>11620</v>
      </c>
      <c r="C27" s="2489" t="s">
        <v>512</v>
      </c>
      <c r="D27" s="2489" t="s">
        <v>10937</v>
      </c>
      <c r="E27" s="3041">
        <v>115</v>
      </c>
      <c r="F27" s="3041">
        <v>12.47</v>
      </c>
      <c r="G27" s="2488"/>
      <c r="H27" s="2752">
        <v>13</v>
      </c>
      <c r="I27" s="2752">
        <v>1</v>
      </c>
      <c r="J27" s="2488"/>
      <c r="K27" s="2614"/>
      <c r="L27" s="2488"/>
      <c r="M27" s="2614"/>
      <c r="N27" s="2479" t="str">
        <f t="shared" si="0"/>
        <v>CENTER STREET, WY, Distribution, Unattended</v>
      </c>
    </row>
    <row r="28" spans="1:14" ht="16.7" customHeight="1" x14ac:dyDescent="0.2">
      <c r="A28" s="3003">
        <f t="shared" si="1"/>
        <v>40.740999999998273</v>
      </c>
      <c r="B28" s="2512" t="s">
        <v>11621</v>
      </c>
      <c r="C28" s="2489" t="s">
        <v>512</v>
      </c>
      <c r="D28" s="2489" t="s">
        <v>10937</v>
      </c>
      <c r="E28" s="3041">
        <v>46</v>
      </c>
      <c r="F28" s="3041">
        <v>12.47</v>
      </c>
      <c r="G28" s="2488"/>
      <c r="H28" s="2752">
        <v>4</v>
      </c>
      <c r="I28" s="2752">
        <v>1</v>
      </c>
      <c r="J28" s="2488"/>
      <c r="K28" s="2614"/>
      <c r="L28" s="2488"/>
      <c r="M28" s="2614"/>
      <c r="N28" s="2479" t="str">
        <f t="shared" si="0"/>
        <v>CHAPMAN, WY, Distribution, Unattended</v>
      </c>
    </row>
    <row r="29" spans="1:14" ht="16.7" customHeight="1" x14ac:dyDescent="0.2">
      <c r="A29" s="3003">
        <f t="shared" si="1"/>
        <v>40.741999999998271</v>
      </c>
      <c r="B29" s="2512" t="s">
        <v>11622</v>
      </c>
      <c r="C29" s="2489" t="s">
        <v>512</v>
      </c>
      <c r="D29" s="2489" t="s">
        <v>10937</v>
      </c>
      <c r="E29" s="3041">
        <v>12.47</v>
      </c>
      <c r="F29" s="3041">
        <v>4.16</v>
      </c>
      <c r="G29" s="2488"/>
      <c r="H29" s="2752">
        <v>1</v>
      </c>
      <c r="I29" s="2752">
        <v>1</v>
      </c>
      <c r="J29" s="2614"/>
      <c r="K29" s="2614"/>
      <c r="L29" s="2488"/>
      <c r="M29" s="2614"/>
      <c r="N29" s="2479" t="str">
        <f t="shared" si="0"/>
        <v>CHUKAR, WY, Distribution, Unattended</v>
      </c>
    </row>
    <row r="30" spans="1:14" ht="16.7" customHeight="1" x14ac:dyDescent="0.2">
      <c r="A30" s="3003">
        <f t="shared" si="1"/>
        <v>40.742999999998268</v>
      </c>
      <c r="B30" s="2512" t="s">
        <v>11623</v>
      </c>
      <c r="C30" s="2489" t="s">
        <v>512</v>
      </c>
      <c r="D30" s="2489" t="s">
        <v>10937</v>
      </c>
      <c r="E30" s="3041">
        <v>46</v>
      </c>
      <c r="F30" s="3041">
        <v>24.9</v>
      </c>
      <c r="G30" s="2488"/>
      <c r="H30" s="2752">
        <v>8</v>
      </c>
      <c r="I30" s="2752">
        <v>1</v>
      </c>
      <c r="J30" s="2488"/>
      <c r="K30" s="2614"/>
      <c r="L30" s="2488"/>
      <c r="M30" s="2614"/>
      <c r="N30" s="2479" t="str">
        <f t="shared" si="0"/>
        <v>COKEVILLE, WY, Distribution, Unattended</v>
      </c>
    </row>
    <row r="31" spans="1:14" ht="16.7" customHeight="1" x14ac:dyDescent="0.2">
      <c r="A31" s="3003">
        <f t="shared" si="1"/>
        <v>40.743999999998266</v>
      </c>
      <c r="B31" s="2512" t="s">
        <v>10612</v>
      </c>
      <c r="C31" s="2489" t="s">
        <v>512</v>
      </c>
      <c r="D31" s="2489" t="s">
        <v>10937</v>
      </c>
      <c r="E31" s="3041">
        <v>230</v>
      </c>
      <c r="F31" s="3041">
        <v>12.47</v>
      </c>
      <c r="G31" s="2488"/>
      <c r="H31" s="2752">
        <v>45</v>
      </c>
      <c r="I31" s="2752">
        <v>2</v>
      </c>
      <c r="J31" s="2488"/>
      <c r="K31" s="2614"/>
      <c r="L31" s="2488"/>
      <c r="M31" s="2614"/>
      <c r="N31" s="2479" t="str">
        <f t="shared" si="0"/>
        <v>COLUMBIA GENEVA, WY, Distribution, Unattended</v>
      </c>
    </row>
    <row r="32" spans="1:14" ht="16.7" customHeight="1" x14ac:dyDescent="0.2">
      <c r="A32" s="3003">
        <f t="shared" si="1"/>
        <v>40.744999999998264</v>
      </c>
      <c r="B32" s="2512" t="s">
        <v>11624</v>
      </c>
      <c r="C32" s="2489" t="s">
        <v>512</v>
      </c>
      <c r="D32" s="2489" t="s">
        <v>10937</v>
      </c>
      <c r="E32" s="3041">
        <v>115</v>
      </c>
      <c r="F32" s="3041">
        <v>12.47</v>
      </c>
      <c r="G32" s="2488"/>
      <c r="H32" s="2752">
        <v>50</v>
      </c>
      <c r="I32" s="2752">
        <v>2</v>
      </c>
      <c r="J32" s="2488"/>
      <c r="K32" s="2614"/>
      <c r="L32" s="2488"/>
      <c r="M32" s="2614"/>
      <c r="N32" s="2479" t="str">
        <f t="shared" si="0"/>
        <v>COMMUNITY PARK, WY, Distribution, Unattended</v>
      </c>
    </row>
    <row r="33" spans="1:14" ht="16.7" customHeight="1" x14ac:dyDescent="0.2">
      <c r="A33" s="3003">
        <f t="shared" si="1"/>
        <v>40.745999999998261</v>
      </c>
      <c r="B33" s="2512" t="s">
        <v>11625</v>
      </c>
      <c r="C33" s="2489" t="s">
        <v>512</v>
      </c>
      <c r="D33" s="2489" t="s">
        <v>10937</v>
      </c>
      <c r="E33" s="3041">
        <v>34.5</v>
      </c>
      <c r="F33" s="3041">
        <v>12.47</v>
      </c>
      <c r="G33" s="2488"/>
      <c r="H33" s="2752">
        <v>6</v>
      </c>
      <c r="I33" s="2752">
        <v>1</v>
      </c>
      <c r="J33" s="2488"/>
      <c r="K33" s="2614"/>
      <c r="L33" s="2488"/>
      <c r="M33" s="2614"/>
      <c r="N33" s="2479" t="str">
        <f t="shared" si="0"/>
        <v>CROOKS GAP, WY, Distribution, Unattended</v>
      </c>
    </row>
    <row r="34" spans="1:14" ht="16.7" customHeight="1" x14ac:dyDescent="0.2">
      <c r="A34" s="3003">
        <f t="shared" si="1"/>
        <v>40.746999999998259</v>
      </c>
      <c r="B34" s="2512" t="s">
        <v>11626</v>
      </c>
      <c r="C34" s="2489" t="s">
        <v>512</v>
      </c>
      <c r="D34" s="2489" t="s">
        <v>10937</v>
      </c>
      <c r="E34" s="3041">
        <v>34.5</v>
      </c>
      <c r="F34" s="3041">
        <v>4.16</v>
      </c>
      <c r="G34" s="2488"/>
      <c r="H34" s="2752">
        <v>0</v>
      </c>
      <c r="I34" s="2752">
        <v>3</v>
      </c>
      <c r="J34" s="2488"/>
      <c r="K34" s="2614"/>
      <c r="L34" s="2488"/>
      <c r="M34" s="2614"/>
      <c r="N34" s="2479" t="str">
        <f t="shared" si="0"/>
        <v>DEAVER, WY, Distribution, Unattended</v>
      </c>
    </row>
    <row r="35" spans="1:14" ht="16.7" customHeight="1" x14ac:dyDescent="0.2">
      <c r="A35" s="3003">
        <f t="shared" si="1"/>
        <v>40.747999999998257</v>
      </c>
      <c r="B35" s="2512" t="s">
        <v>11627</v>
      </c>
      <c r="C35" s="2489" t="s">
        <v>512</v>
      </c>
      <c r="D35" s="2489" t="s">
        <v>10937</v>
      </c>
      <c r="E35" s="3041">
        <v>69</v>
      </c>
      <c r="F35" s="3041">
        <v>12.47</v>
      </c>
      <c r="G35" s="2488"/>
      <c r="H35" s="2752">
        <v>9</v>
      </c>
      <c r="I35" s="2752">
        <v>1</v>
      </c>
      <c r="J35" s="2488"/>
      <c r="K35" s="2614"/>
      <c r="L35" s="2488"/>
      <c r="M35" s="2614"/>
      <c r="N35" s="2479" t="str">
        <f t="shared" si="0"/>
        <v>DEER CREEK, WY, Distribution, Unattended</v>
      </c>
    </row>
    <row r="36" spans="1:14" ht="16.7" customHeight="1" x14ac:dyDescent="0.2">
      <c r="A36" s="3003">
        <f t="shared" si="1"/>
        <v>40.748999999998254</v>
      </c>
      <c r="B36" s="2512" t="s">
        <v>11628</v>
      </c>
      <c r="C36" s="2489" t="s">
        <v>512</v>
      </c>
      <c r="D36" s="2489" t="s">
        <v>10937</v>
      </c>
      <c r="E36" s="3041">
        <v>69</v>
      </c>
      <c r="F36" s="3041">
        <v>34.5</v>
      </c>
      <c r="G36" s="2488"/>
      <c r="H36" s="2752">
        <v>13</v>
      </c>
      <c r="I36" s="2752">
        <v>1</v>
      </c>
      <c r="J36" s="2488"/>
      <c r="K36" s="2614"/>
      <c r="L36" s="2488"/>
      <c r="M36" s="2614"/>
      <c r="N36" s="2479" t="str">
        <f t="shared" si="0"/>
        <v>DJ COAL MINE, WY, Distribution, Unattended</v>
      </c>
    </row>
    <row r="37" spans="1:14" ht="16.7" customHeight="1" x14ac:dyDescent="0.2">
      <c r="A37" s="3003">
        <f t="shared" si="1"/>
        <v>40.749999999998252</v>
      </c>
      <c r="B37" s="2512" t="s">
        <v>11629</v>
      </c>
      <c r="C37" s="2489" t="s">
        <v>512</v>
      </c>
      <c r="D37" s="2489" t="s">
        <v>10937</v>
      </c>
      <c r="E37" s="3041">
        <v>69</v>
      </c>
      <c r="F37" s="3041">
        <v>4.16</v>
      </c>
      <c r="G37" s="2488"/>
      <c r="H37" s="2752">
        <v>9</v>
      </c>
      <c r="I37" s="2752">
        <v>1</v>
      </c>
      <c r="J37" s="2488"/>
      <c r="K37" s="2614"/>
      <c r="L37" s="2488"/>
      <c r="M37" s="2614"/>
      <c r="N37" s="2479" t="str">
        <f t="shared" si="0"/>
        <v>DRY FORK, WY, Distribution, Unattended</v>
      </c>
    </row>
    <row r="38" spans="1:14" ht="16.7" customHeight="1" x14ac:dyDescent="0.2">
      <c r="A38" s="3003">
        <f t="shared" si="1"/>
        <v>40.75099999999825</v>
      </c>
      <c r="B38" s="2512" t="s">
        <v>11630</v>
      </c>
      <c r="C38" s="2489" t="s">
        <v>512</v>
      </c>
      <c r="D38" s="2489" t="s">
        <v>10937</v>
      </c>
      <c r="E38" s="3041">
        <v>34.5</v>
      </c>
      <c r="F38" s="3041">
        <v>7.2</v>
      </c>
      <c r="G38" s="2488"/>
      <c r="H38" s="2752">
        <v>5</v>
      </c>
      <c r="I38" s="2752">
        <v>1</v>
      </c>
      <c r="J38" s="2488"/>
      <c r="K38" s="2614"/>
      <c r="L38" s="2488"/>
      <c r="M38" s="2614"/>
      <c r="N38" s="2479" t="str">
        <f t="shared" si="0"/>
        <v>ELK BASIN, WY, Distribution, Unattended</v>
      </c>
    </row>
    <row r="39" spans="1:14" ht="16.7" customHeight="1" x14ac:dyDescent="0.2">
      <c r="A39" s="3003">
        <f t="shared" si="1"/>
        <v>40.751999999998247</v>
      </c>
      <c r="B39" s="2512" t="s">
        <v>11631</v>
      </c>
      <c r="C39" s="2489" t="s">
        <v>512</v>
      </c>
      <c r="D39" s="2489" t="s">
        <v>10937</v>
      </c>
      <c r="E39" s="3041">
        <v>115</v>
      </c>
      <c r="F39" s="3041">
        <v>12.47</v>
      </c>
      <c r="G39" s="2488"/>
      <c r="H39" s="2752">
        <v>25</v>
      </c>
      <c r="I39" s="2752">
        <v>1</v>
      </c>
      <c r="J39" s="2488"/>
      <c r="K39" s="2614"/>
      <c r="L39" s="2488"/>
      <c r="M39" s="2614"/>
      <c r="N39" s="2479" t="str">
        <f t="shared" si="0"/>
        <v>ELK HORN, WY, Distribution, Unattended</v>
      </c>
    </row>
    <row r="40" spans="1:14" ht="16.7" customHeight="1" x14ac:dyDescent="0.2">
      <c r="A40" s="3003">
        <f t="shared" si="1"/>
        <v>40.752999999998245</v>
      </c>
      <c r="B40" s="2512" t="s">
        <v>11632</v>
      </c>
      <c r="C40" s="2489" t="s">
        <v>512</v>
      </c>
      <c r="D40" s="2489" t="s">
        <v>10937</v>
      </c>
      <c r="E40" s="3041">
        <v>115</v>
      </c>
      <c r="F40" s="3041">
        <v>12.47</v>
      </c>
      <c r="G40" s="2488"/>
      <c r="H40" s="2752">
        <v>13</v>
      </c>
      <c r="I40" s="2752">
        <v>1</v>
      </c>
      <c r="J40" s="2488"/>
      <c r="K40" s="2614"/>
      <c r="L40" s="2488"/>
      <c r="M40" s="2614"/>
      <c r="N40" s="2479" t="str">
        <f t="shared" si="0"/>
        <v>EMIGRANT, WY, Distribution, Unattended</v>
      </c>
    </row>
    <row r="41" spans="1:14" ht="16.7" customHeight="1" x14ac:dyDescent="0.2">
      <c r="A41" s="3003">
        <f t="shared" si="1"/>
        <v>40.753999999998243</v>
      </c>
      <c r="B41" s="2512" t="s">
        <v>11633</v>
      </c>
      <c r="C41" s="2489" t="s">
        <v>512</v>
      </c>
      <c r="D41" s="2489" t="s">
        <v>10937</v>
      </c>
      <c r="E41" s="3041">
        <v>115</v>
      </c>
      <c r="F41" s="3041">
        <v>12.47</v>
      </c>
      <c r="G41" s="2488"/>
      <c r="H41" s="2752">
        <v>9</v>
      </c>
      <c r="I41" s="2752">
        <v>1</v>
      </c>
      <c r="J41" s="2488"/>
      <c r="K41" s="2614"/>
      <c r="L41" s="2488"/>
      <c r="M41" s="2614"/>
      <c r="N41" s="2479" t="str">
        <f t="shared" si="0"/>
        <v>EVANS, WY, Distribution, Unattended</v>
      </c>
    </row>
    <row r="42" spans="1:14" ht="16.7" customHeight="1" x14ac:dyDescent="0.2">
      <c r="A42" s="3003">
        <f t="shared" si="1"/>
        <v>40.75499999999824</v>
      </c>
      <c r="B42" s="2512" t="s">
        <v>10736</v>
      </c>
      <c r="C42" s="2489" t="s">
        <v>512</v>
      </c>
      <c r="D42" s="2489" t="s">
        <v>10937</v>
      </c>
      <c r="E42" s="3041">
        <v>138</v>
      </c>
      <c r="F42" s="3041">
        <v>12.47</v>
      </c>
      <c r="G42" s="2488"/>
      <c r="H42" s="2752">
        <v>40</v>
      </c>
      <c r="I42" s="2752">
        <v>2</v>
      </c>
      <c r="J42" s="2488"/>
      <c r="K42" s="2614"/>
      <c r="L42" s="2488"/>
      <c r="M42" s="2614"/>
      <c r="N42" s="2479" t="str">
        <f t="shared" si="0"/>
        <v>EVANSTON, WY, Distribution, Unattended</v>
      </c>
    </row>
    <row r="43" spans="1:14" ht="16.7" customHeight="1" x14ac:dyDescent="0.2">
      <c r="A43" s="3003">
        <f t="shared" si="1"/>
        <v>40.755999999998238</v>
      </c>
      <c r="B43" s="2512" t="s">
        <v>10610</v>
      </c>
      <c r="C43" s="2489" t="s">
        <v>512</v>
      </c>
      <c r="D43" s="2489" t="s">
        <v>10937</v>
      </c>
      <c r="E43" s="3041">
        <v>230</v>
      </c>
      <c r="F43" s="3041">
        <v>34.5</v>
      </c>
      <c r="G43" s="3043">
        <v>13.2</v>
      </c>
      <c r="H43" s="2752">
        <v>50</v>
      </c>
      <c r="I43" s="2752">
        <v>2</v>
      </c>
      <c r="J43" s="2488"/>
      <c r="K43" s="2614"/>
      <c r="L43" s="2488"/>
      <c r="M43" s="2614"/>
      <c r="N43" s="2479" t="str">
        <f t="shared" si="0"/>
        <v>FIREHOLE, WY, Distribution, Unattended</v>
      </c>
    </row>
    <row r="44" spans="1:14" ht="16.7" customHeight="1" x14ac:dyDescent="0.2">
      <c r="A44" s="3003">
        <f t="shared" si="1"/>
        <v>40.756999999998236</v>
      </c>
      <c r="B44" s="2512" t="s">
        <v>11634</v>
      </c>
      <c r="C44" s="2489" t="s">
        <v>512</v>
      </c>
      <c r="D44" s="2489" t="s">
        <v>10937</v>
      </c>
      <c r="E44" s="3041">
        <v>69</v>
      </c>
      <c r="F44" s="3041">
        <v>12.47</v>
      </c>
      <c r="G44" s="2488"/>
      <c r="H44" s="2752">
        <v>28</v>
      </c>
      <c r="I44" s="2752">
        <v>1</v>
      </c>
      <c r="J44" s="2488"/>
      <c r="K44" s="2614"/>
      <c r="L44" s="2488"/>
      <c r="M44" s="2614"/>
      <c r="N44" s="2479" t="str">
        <f t="shared" si="0"/>
        <v>FORT CASPER, WY, Distribution, Unattended</v>
      </c>
    </row>
    <row r="45" spans="1:14" ht="16.7" customHeight="1" x14ac:dyDescent="0.2">
      <c r="A45" s="3003">
        <f t="shared" si="1"/>
        <v>40.757999999998233</v>
      </c>
      <c r="B45" s="2512" t="s">
        <v>11635</v>
      </c>
      <c r="C45" s="2489" t="s">
        <v>512</v>
      </c>
      <c r="D45" s="2489" t="s">
        <v>10937</v>
      </c>
      <c r="E45" s="3041">
        <v>115</v>
      </c>
      <c r="F45" s="3041">
        <v>13.2</v>
      </c>
      <c r="G45" s="2488"/>
      <c r="H45" s="2752">
        <v>20</v>
      </c>
      <c r="I45" s="2752">
        <v>1</v>
      </c>
      <c r="J45" s="2488"/>
      <c r="K45" s="2614"/>
      <c r="L45" s="2488"/>
      <c r="M45" s="2614"/>
      <c r="N45" s="2479" t="str">
        <f t="shared" si="0"/>
        <v>FORT SANDERS, WY, Distribution, Unattended</v>
      </c>
    </row>
    <row r="46" spans="1:14" ht="16.7" customHeight="1" x14ac:dyDescent="0.2">
      <c r="A46" s="3003">
        <f t="shared" si="1"/>
        <v>40.758999999998231</v>
      </c>
      <c r="B46" s="2512" t="s">
        <v>11636</v>
      </c>
      <c r="C46" s="2489" t="s">
        <v>512</v>
      </c>
      <c r="D46" s="2489" t="s">
        <v>10937</v>
      </c>
      <c r="E46" s="3041">
        <v>230</v>
      </c>
      <c r="F46" s="3041">
        <v>34.5</v>
      </c>
      <c r="G46" s="3043">
        <v>2.4</v>
      </c>
      <c r="H46" s="2752">
        <v>50</v>
      </c>
      <c r="I46" s="2752">
        <v>2</v>
      </c>
      <c r="J46" s="2488"/>
      <c r="K46" s="2614"/>
      <c r="L46" s="2488"/>
      <c r="M46" s="2614"/>
      <c r="N46" s="2479" t="str">
        <f t="shared" si="0"/>
        <v>FRANNIE, WY, Distribution, Unattended</v>
      </c>
    </row>
    <row r="47" spans="1:14" ht="16.7" customHeight="1" x14ac:dyDescent="0.2">
      <c r="A47" s="3003">
        <f t="shared" si="1"/>
        <v>40.759999999998229</v>
      </c>
      <c r="B47" s="2512" t="s">
        <v>11637</v>
      </c>
      <c r="C47" s="2489" t="s">
        <v>512</v>
      </c>
      <c r="D47" s="2489" t="s">
        <v>10937</v>
      </c>
      <c r="E47" s="3041">
        <v>69</v>
      </c>
      <c r="F47" s="3041">
        <v>4.16</v>
      </c>
      <c r="G47" s="2488"/>
      <c r="H47" s="2752">
        <v>6</v>
      </c>
      <c r="I47" s="2752">
        <v>1</v>
      </c>
      <c r="J47" s="2488"/>
      <c r="K47" s="2614"/>
      <c r="L47" s="2488"/>
      <c r="M47" s="2614"/>
      <c r="N47" s="2479" t="str">
        <f t="shared" si="0"/>
        <v>FRONTIER, WY, Distribution, Unattended</v>
      </c>
    </row>
    <row r="48" spans="1:14" ht="16.7" customHeight="1" x14ac:dyDescent="0.2">
      <c r="A48" s="3003">
        <f t="shared" si="1"/>
        <v>40.760999999998226</v>
      </c>
      <c r="B48" s="2512" t="s">
        <v>11638</v>
      </c>
      <c r="C48" s="2489" t="s">
        <v>512</v>
      </c>
      <c r="D48" s="2489" t="s">
        <v>10937</v>
      </c>
      <c r="E48" s="3041">
        <v>230</v>
      </c>
      <c r="F48" s="3041">
        <v>34.5</v>
      </c>
      <c r="G48" s="3043">
        <v>13.2</v>
      </c>
      <c r="H48" s="2752">
        <v>45</v>
      </c>
      <c r="I48" s="2752">
        <v>2</v>
      </c>
      <c r="J48" s="2488"/>
      <c r="K48" s="2614"/>
      <c r="L48" s="2488"/>
      <c r="M48" s="2614"/>
      <c r="N48" s="2479" t="str">
        <f t="shared" si="0"/>
        <v>GARLAND, WY, Distribution, Unattended</v>
      </c>
    </row>
    <row r="49" spans="1:14" ht="16.7" customHeight="1" x14ac:dyDescent="0.2">
      <c r="A49" s="3003">
        <f t="shared" si="1"/>
        <v>40.761999999998224</v>
      </c>
      <c r="B49" s="2512" t="s">
        <v>11639</v>
      </c>
      <c r="C49" s="2489" t="s">
        <v>512</v>
      </c>
      <c r="D49" s="2489" t="s">
        <v>10937</v>
      </c>
      <c r="E49" s="3041">
        <v>230</v>
      </c>
      <c r="F49" s="3041">
        <v>34.5</v>
      </c>
      <c r="G49" s="3043">
        <v>13.2</v>
      </c>
      <c r="H49" s="2752">
        <v>25</v>
      </c>
      <c r="I49" s="2752">
        <v>1</v>
      </c>
      <c r="J49" s="2488"/>
      <c r="K49" s="2614"/>
      <c r="L49" s="2488"/>
      <c r="M49" s="2614"/>
      <c r="N49" s="2479" t="str">
        <f t="shared" si="0"/>
        <v>GRASS CREEK, WY, Distribution, Unattended</v>
      </c>
    </row>
    <row r="50" spans="1:14" ht="15" customHeight="1" x14ac:dyDescent="0.2">
      <c r="A50" s="3003">
        <f t="shared" si="1"/>
        <v>40.762999999998222</v>
      </c>
      <c r="B50" s="2512" t="s">
        <v>11640</v>
      </c>
      <c r="C50" s="2489" t="s">
        <v>512</v>
      </c>
      <c r="D50" s="2489" t="s">
        <v>10937</v>
      </c>
      <c r="E50" s="3041">
        <v>115</v>
      </c>
      <c r="F50" s="3041">
        <v>34.5</v>
      </c>
      <c r="G50" s="2488"/>
      <c r="H50" s="2752">
        <v>20</v>
      </c>
      <c r="I50" s="2752">
        <v>1</v>
      </c>
      <c r="J50" s="2488"/>
      <c r="K50" s="2614"/>
      <c r="L50" s="2614"/>
      <c r="M50" s="2614"/>
      <c r="N50" s="2479" t="str">
        <f t="shared" si="0"/>
        <v>GREAT DIVIDE, WY, Distribution, Unattended</v>
      </c>
    </row>
    <row r="51" spans="1:14" ht="15.75" customHeight="1" x14ac:dyDescent="0.2">
      <c r="A51" s="3003">
        <f t="shared" si="1"/>
        <v>40.763999999998219</v>
      </c>
      <c r="B51" s="2512" t="s">
        <v>11641</v>
      </c>
      <c r="C51" s="2489" t="s">
        <v>512</v>
      </c>
      <c r="D51" s="2489" t="s">
        <v>10937</v>
      </c>
      <c r="E51" s="3041">
        <v>34.5</v>
      </c>
      <c r="F51" s="3041">
        <v>4.16</v>
      </c>
      <c r="G51" s="2488"/>
      <c r="H51" s="2752">
        <v>5</v>
      </c>
      <c r="I51" s="2752">
        <v>1</v>
      </c>
      <c r="J51" s="2488"/>
      <c r="K51" s="2614"/>
      <c r="L51" s="2488"/>
      <c r="M51" s="2614"/>
      <c r="N51" s="2479" t="str">
        <f t="shared" si="0"/>
        <v>GREEN MOUNTAIN, WY, Distribution, Unattended</v>
      </c>
    </row>
    <row r="52" spans="1:14" ht="15.75" customHeight="1" x14ac:dyDescent="0.2">
      <c r="A52" s="3003">
        <f t="shared" si="1"/>
        <v>40.764999999998217</v>
      </c>
      <c r="B52" s="2512" t="s">
        <v>11642</v>
      </c>
      <c r="C52" s="2489" t="s">
        <v>512</v>
      </c>
      <c r="D52" s="2489" t="s">
        <v>10937</v>
      </c>
      <c r="E52" s="3041">
        <v>34.5</v>
      </c>
      <c r="F52" s="3041">
        <v>4.16</v>
      </c>
      <c r="G52" s="2488"/>
      <c r="H52" s="2752">
        <v>3</v>
      </c>
      <c r="I52" s="2752">
        <v>1</v>
      </c>
      <c r="J52" s="2488"/>
      <c r="K52" s="2614"/>
      <c r="L52" s="2488"/>
      <c r="M52" s="2614"/>
      <c r="N52" s="2479" t="str">
        <f t="shared" si="0"/>
        <v>GREYBULL, WY, Distribution, Unattended</v>
      </c>
    </row>
    <row r="53" spans="1:14" ht="15.75" customHeight="1" x14ac:dyDescent="0.2">
      <c r="A53" s="3003">
        <f t="shared" si="1"/>
        <v>40.765999999998215</v>
      </c>
      <c r="B53" s="2512" t="s">
        <v>11643</v>
      </c>
      <c r="C53" s="2489" t="s">
        <v>512</v>
      </c>
      <c r="D53" s="2489" t="s">
        <v>10937</v>
      </c>
      <c r="E53" s="3041">
        <v>34.5</v>
      </c>
      <c r="F53" s="3041">
        <v>13.2</v>
      </c>
      <c r="G53" s="2488"/>
      <c r="H53" s="2752">
        <v>6</v>
      </c>
      <c r="I53" s="2752">
        <v>1</v>
      </c>
      <c r="J53" s="2488"/>
      <c r="K53" s="2614"/>
      <c r="L53" s="2488"/>
      <c r="M53" s="2614"/>
      <c r="N53" s="2479" t="str">
        <f t="shared" si="0"/>
        <v>HANNA, WY, Distribution, Unattended</v>
      </c>
    </row>
    <row r="54" spans="1:14" ht="15.75" customHeight="1" x14ac:dyDescent="0.2">
      <c r="A54" s="3003">
        <f t="shared" si="1"/>
        <v>40.766999999998212</v>
      </c>
      <c r="B54" s="2512" t="s">
        <v>11644</v>
      </c>
      <c r="C54" s="2489" t="s">
        <v>512</v>
      </c>
      <c r="D54" s="2489" t="s">
        <v>10937</v>
      </c>
      <c r="E54" s="3041">
        <v>115</v>
      </c>
      <c r="F54" s="3041">
        <v>34.5</v>
      </c>
      <c r="G54" s="3043">
        <v>13.2</v>
      </c>
      <c r="H54" s="2752">
        <v>45</v>
      </c>
      <c r="I54" s="2752">
        <v>2</v>
      </c>
      <c r="J54" s="2750">
        <v>1</v>
      </c>
      <c r="K54" s="2614"/>
      <c r="L54" s="2488"/>
      <c r="M54" s="2614"/>
      <c r="N54" s="2479" t="str">
        <f t="shared" si="0"/>
        <v>HILLTOP, WY, Distribution, Unattended</v>
      </c>
    </row>
    <row r="55" spans="1:14" ht="15.75" customHeight="1" x14ac:dyDescent="0.2">
      <c r="A55" s="3003">
        <f t="shared" si="1"/>
        <v>40.76799999999821</v>
      </c>
      <c r="B55" s="2512" t="s">
        <v>11645</v>
      </c>
      <c r="C55" s="2489" t="s">
        <v>512</v>
      </c>
      <c r="D55" s="2489" t="s">
        <v>10937</v>
      </c>
      <c r="E55" s="3041">
        <v>34.5</v>
      </c>
      <c r="F55" s="3041">
        <v>4.16</v>
      </c>
      <c r="G55" s="2488"/>
      <c r="H55" s="2752">
        <v>5</v>
      </c>
      <c r="I55" s="2752">
        <v>1</v>
      </c>
      <c r="J55" s="2488"/>
      <c r="K55" s="2614"/>
      <c r="L55" s="2488"/>
      <c r="M55" s="2614"/>
      <c r="N55" s="2479" t="str">
        <f t="shared" si="0"/>
        <v>HOLLY SUGAR, WY, Distribution, Unattended</v>
      </c>
    </row>
    <row r="56" spans="1:14" ht="15.75" customHeight="1" x14ac:dyDescent="0.2">
      <c r="A56" s="3003">
        <f t="shared" si="1"/>
        <v>40.768999999998208</v>
      </c>
      <c r="B56" s="2512" t="s">
        <v>11646</v>
      </c>
      <c r="C56" s="2489" t="s">
        <v>512</v>
      </c>
      <c r="D56" s="2489" t="s">
        <v>10937</v>
      </c>
      <c r="E56" s="3041">
        <v>115</v>
      </c>
      <c r="F56" s="3041">
        <v>13.2</v>
      </c>
      <c r="G56" s="2488"/>
      <c r="H56" s="2752">
        <v>55</v>
      </c>
      <c r="I56" s="2752">
        <v>2</v>
      </c>
      <c r="J56" s="2488"/>
      <c r="K56" s="2614"/>
      <c r="L56" s="2488"/>
      <c r="M56" s="2614"/>
      <c r="N56" s="2479" t="str">
        <f t="shared" si="0"/>
        <v>JACKALOPE, WY, Distribution, Unattended</v>
      </c>
    </row>
    <row r="57" spans="1:14" ht="15.75" customHeight="1" x14ac:dyDescent="0.2">
      <c r="A57" s="3003">
        <f t="shared" si="1"/>
        <v>40.769999999998205</v>
      </c>
      <c r="B57" s="2512" t="s">
        <v>11647</v>
      </c>
      <c r="C57" s="2489" t="s">
        <v>512</v>
      </c>
      <c r="D57" s="2489" t="s">
        <v>10937</v>
      </c>
      <c r="E57" s="3041">
        <v>69</v>
      </c>
      <c r="F57" s="3041">
        <v>24.9</v>
      </c>
      <c r="G57" s="2488"/>
      <c r="H57" s="2752">
        <v>14</v>
      </c>
      <c r="I57" s="2752">
        <v>1</v>
      </c>
      <c r="J57" s="2488"/>
      <c r="K57" s="2614"/>
      <c r="L57" s="2488"/>
      <c r="M57" s="2614"/>
      <c r="N57" s="2479" t="str">
        <f t="shared" si="0"/>
        <v>KEMMERER, WY, Distribution, Unattended</v>
      </c>
    </row>
    <row r="58" spans="1:14" ht="15.75" customHeight="1" x14ac:dyDescent="0.2">
      <c r="A58" s="3003">
        <f t="shared" si="1"/>
        <v>40.770999999998203</v>
      </c>
      <c r="B58" s="2512" t="s">
        <v>11648</v>
      </c>
      <c r="C58" s="2489" t="s">
        <v>512</v>
      </c>
      <c r="D58" s="2489" t="s">
        <v>10937</v>
      </c>
      <c r="E58" s="3041">
        <v>34.5</v>
      </c>
      <c r="F58" s="3041">
        <v>4.16</v>
      </c>
      <c r="G58" s="2488"/>
      <c r="H58" s="2752">
        <v>2</v>
      </c>
      <c r="I58" s="2752">
        <v>3</v>
      </c>
      <c r="J58" s="2488"/>
      <c r="K58" s="2614"/>
      <c r="L58" s="2488"/>
      <c r="M58" s="2614"/>
      <c r="N58" s="2479" t="str">
        <f t="shared" si="0"/>
        <v>KIRBY CREEK, WY, Distribution, Unattended</v>
      </c>
    </row>
    <row r="59" spans="1:14" ht="15.75" customHeight="1" x14ac:dyDescent="0.2">
      <c r="A59" s="3003">
        <f t="shared" si="1"/>
        <v>40.771999999998201</v>
      </c>
      <c r="B59" s="2512" t="s">
        <v>11649</v>
      </c>
      <c r="C59" s="2489" t="s">
        <v>512</v>
      </c>
      <c r="D59" s="2489" t="s">
        <v>10937</v>
      </c>
      <c r="E59" s="3041">
        <v>34.5</v>
      </c>
      <c r="F59" s="3041">
        <v>2.4</v>
      </c>
      <c r="G59" s="2488"/>
      <c r="H59" s="2752">
        <v>2</v>
      </c>
      <c r="I59" s="2752">
        <v>3</v>
      </c>
      <c r="J59" s="2488"/>
      <c r="K59" s="2614"/>
      <c r="L59" s="2488"/>
      <c r="M59" s="2614"/>
      <c r="N59" s="2479" t="str">
        <f t="shared" si="0"/>
        <v>KIRBY CREEK PUMPING, WY, Distribution, Unattended</v>
      </c>
    </row>
    <row r="60" spans="1:14" ht="15.75" customHeight="1" x14ac:dyDescent="0.2">
      <c r="A60" s="3003">
        <f t="shared" si="1"/>
        <v>40.772999999998198</v>
      </c>
      <c r="B60" s="2512" t="s">
        <v>11650</v>
      </c>
      <c r="C60" s="2489" t="s">
        <v>512</v>
      </c>
      <c r="D60" s="2489" t="s">
        <v>10937</v>
      </c>
      <c r="E60" s="3041">
        <v>69</v>
      </c>
      <c r="F60" s="3041">
        <v>24.9</v>
      </c>
      <c r="G60" s="2488"/>
      <c r="H60" s="2752">
        <v>8</v>
      </c>
      <c r="I60" s="2752">
        <v>6</v>
      </c>
      <c r="J60" s="2750">
        <v>1</v>
      </c>
      <c r="K60" s="2614"/>
      <c r="L60" s="2488"/>
      <c r="M60" s="2614"/>
      <c r="N60" s="2479" t="str">
        <f t="shared" si="0"/>
        <v>LABARGE, WY, Distribution, Unattended</v>
      </c>
    </row>
    <row r="61" spans="1:14" ht="15.75" customHeight="1" x14ac:dyDescent="0.2">
      <c r="A61" s="3003">
        <f t="shared" si="1"/>
        <v>40.773999999998196</v>
      </c>
      <c r="B61" s="2512" t="s">
        <v>11651</v>
      </c>
      <c r="C61" s="2489" t="s">
        <v>512</v>
      </c>
      <c r="D61" s="2489" t="s">
        <v>10937</v>
      </c>
      <c r="E61" s="3041">
        <v>34.5</v>
      </c>
      <c r="F61" s="3041">
        <v>12.47</v>
      </c>
      <c r="G61" s="2488"/>
      <c r="H61" s="2752">
        <v>13</v>
      </c>
      <c r="I61" s="2752">
        <v>1</v>
      </c>
      <c r="J61" s="2488"/>
      <c r="K61" s="2614"/>
      <c r="L61" s="2488"/>
      <c r="M61" s="2614"/>
      <c r="N61" s="2479" t="str">
        <f t="shared" si="0"/>
        <v>LANDER, WY, Distribution, Unattended</v>
      </c>
    </row>
    <row r="62" spans="1:14" ht="15.75" customHeight="1" x14ac:dyDescent="0.2">
      <c r="A62" s="3003">
        <f t="shared" si="1"/>
        <v>40.774999999998194</v>
      </c>
      <c r="B62" s="2512" t="s">
        <v>11652</v>
      </c>
      <c r="C62" s="2489" t="s">
        <v>512</v>
      </c>
      <c r="D62" s="2489" t="s">
        <v>10937</v>
      </c>
      <c r="E62" s="3041">
        <v>115</v>
      </c>
      <c r="F62" s="3041">
        <v>13.2</v>
      </c>
      <c r="G62" s="2488"/>
      <c r="H62" s="2752">
        <v>50</v>
      </c>
      <c r="I62" s="2752">
        <v>2</v>
      </c>
      <c r="J62" s="2488"/>
      <c r="K62" s="2614"/>
      <c r="L62" s="2488"/>
      <c r="M62" s="2614"/>
      <c r="N62" s="2479" t="str">
        <f t="shared" si="0"/>
        <v>LARAMIE, WY, Distribution, Unattended</v>
      </c>
    </row>
    <row r="63" spans="1:14" ht="15.75" customHeight="1" x14ac:dyDescent="0.2">
      <c r="A63" s="3003">
        <f t="shared" si="1"/>
        <v>40.775999999998191</v>
      </c>
      <c r="B63" s="2512" t="s">
        <v>11653</v>
      </c>
      <c r="C63" s="2489" t="s">
        <v>512</v>
      </c>
      <c r="D63" s="2489" t="s">
        <v>10937</v>
      </c>
      <c r="E63" s="3041">
        <v>230</v>
      </c>
      <c r="F63" s="3041">
        <v>46</v>
      </c>
      <c r="G63" s="3043">
        <v>7.2</v>
      </c>
      <c r="H63" s="2752">
        <v>575</v>
      </c>
      <c r="I63" s="2752">
        <v>3</v>
      </c>
      <c r="J63" s="2488"/>
      <c r="K63" s="2614"/>
      <c r="L63" s="2488"/>
      <c r="M63" s="2614"/>
      <c r="N63" s="2479" t="str">
        <f t="shared" si="0"/>
        <v>LATHAM, WY, Distribution, Unattended</v>
      </c>
    </row>
    <row r="64" spans="1:14" ht="15.75" customHeight="1" x14ac:dyDescent="0.2">
      <c r="A64" s="3003">
        <f t="shared" si="1"/>
        <v>40.776999999998189</v>
      </c>
      <c r="B64" s="2512" t="s">
        <v>11654</v>
      </c>
      <c r="C64" s="2489" t="s">
        <v>512</v>
      </c>
      <c r="D64" s="2489" t="s">
        <v>10937</v>
      </c>
      <c r="E64" s="3041">
        <v>69</v>
      </c>
      <c r="F64" s="3041">
        <v>13.8</v>
      </c>
      <c r="G64" s="2488"/>
      <c r="H64" s="2752">
        <v>12</v>
      </c>
      <c r="I64" s="2752">
        <v>1</v>
      </c>
      <c r="J64" s="2488"/>
      <c r="K64" s="2614"/>
      <c r="L64" s="2488"/>
      <c r="M64" s="2614"/>
      <c r="N64" s="2479" t="str">
        <f t="shared" si="0"/>
        <v>LINCH, WY, Distribution, Unattended</v>
      </c>
    </row>
    <row r="65" spans="1:14" ht="15.75" customHeight="1" x14ac:dyDescent="0.2">
      <c r="A65" s="3003">
        <f t="shared" si="1"/>
        <v>40.777999999998187</v>
      </c>
      <c r="B65" s="2512" t="s">
        <v>11655</v>
      </c>
      <c r="C65" s="2489" t="s">
        <v>512</v>
      </c>
      <c r="D65" s="2489" t="s">
        <v>10937</v>
      </c>
      <c r="E65" s="3041">
        <v>230</v>
      </c>
      <c r="F65" s="3041">
        <v>34.5</v>
      </c>
      <c r="G65" s="2488"/>
      <c r="H65" s="2752">
        <v>20</v>
      </c>
      <c r="I65" s="2752">
        <v>1</v>
      </c>
      <c r="J65" s="2488"/>
      <c r="K65" s="2614"/>
      <c r="L65" s="2488"/>
      <c r="M65" s="2614"/>
      <c r="N65" s="2479" t="str">
        <f t="shared" si="0"/>
        <v>LITTLE MOUNTAIN, WY, Distribution, Unattended</v>
      </c>
    </row>
    <row r="66" spans="1:14" ht="15.75" customHeight="1" x14ac:dyDescent="0.2">
      <c r="A66" s="3003">
        <f t="shared" si="1"/>
        <v>40.778999999998184</v>
      </c>
      <c r="B66" s="2512" t="s">
        <v>11656</v>
      </c>
      <c r="C66" s="2489" t="s">
        <v>512</v>
      </c>
      <c r="D66" s="2489" t="s">
        <v>10937</v>
      </c>
      <c r="E66" s="3041">
        <v>34.5</v>
      </c>
      <c r="F66" s="3041">
        <v>4.16</v>
      </c>
      <c r="G66" s="2488"/>
      <c r="H66" s="2752">
        <v>4</v>
      </c>
      <c r="I66" s="2752">
        <v>1</v>
      </c>
      <c r="J66" s="2488"/>
      <c r="K66" s="2614"/>
      <c r="L66" s="2488"/>
      <c r="M66" s="2614"/>
      <c r="N66" s="2479" t="str">
        <f t="shared" si="0"/>
        <v>LOVELL, WY, Distribution, Unattended</v>
      </c>
    </row>
    <row r="67" spans="1:14" ht="15.75" customHeight="1" x14ac:dyDescent="0.2">
      <c r="A67" s="3003">
        <f t="shared" si="1"/>
        <v>40.779999999998182</v>
      </c>
      <c r="B67" s="2512" t="s">
        <v>11657</v>
      </c>
      <c r="C67" s="2489" t="s">
        <v>512</v>
      </c>
      <c r="D67" s="2489" t="s">
        <v>10937</v>
      </c>
      <c r="E67" s="3041">
        <v>230</v>
      </c>
      <c r="F67" s="3041">
        <v>34.5</v>
      </c>
      <c r="G67" s="3043">
        <v>2.4</v>
      </c>
      <c r="H67" s="2752">
        <v>20</v>
      </c>
      <c r="I67" s="2752">
        <v>1</v>
      </c>
      <c r="J67" s="2488"/>
      <c r="K67" s="2614"/>
      <c r="L67" s="2488"/>
      <c r="M67" s="2614"/>
      <c r="N67" s="2479" t="str">
        <f t="shared" si="0"/>
        <v>MANSFACE, WY, Distribution, Unattended</v>
      </c>
    </row>
    <row r="68" spans="1:14" ht="15.75" customHeight="1" x14ac:dyDescent="0.2">
      <c r="A68" s="3003">
        <f t="shared" si="1"/>
        <v>40.78099999999818</v>
      </c>
      <c r="B68" s="2512" t="s">
        <v>11658</v>
      </c>
      <c r="C68" s="2489" t="s">
        <v>512</v>
      </c>
      <c r="D68" s="2489" t="s">
        <v>10937</v>
      </c>
      <c r="E68" s="3041">
        <v>34.5</v>
      </c>
      <c r="F68" s="3041">
        <v>13.8</v>
      </c>
      <c r="G68" s="2488"/>
      <c r="H68" s="2752">
        <v>12</v>
      </c>
      <c r="I68" s="2752">
        <v>1</v>
      </c>
      <c r="J68" s="2488"/>
      <c r="K68" s="2614"/>
      <c r="L68" s="2488"/>
      <c r="M68" s="2614"/>
      <c r="N68" s="2479" t="str">
        <f t="shared" si="0"/>
        <v>MILL IRON, WY, Distribution, Unattended</v>
      </c>
    </row>
    <row r="69" spans="1:14" ht="15.75" customHeight="1" x14ac:dyDescent="0.2">
      <c r="A69" s="3003">
        <f t="shared" si="1"/>
        <v>40.781999999998177</v>
      </c>
      <c r="B69" s="2512" t="s">
        <v>11659</v>
      </c>
      <c r="C69" s="2489" t="s">
        <v>512</v>
      </c>
      <c r="D69" s="2489" t="s">
        <v>10937</v>
      </c>
      <c r="E69" s="3041">
        <v>12.47</v>
      </c>
      <c r="F69" s="3041">
        <v>4.16</v>
      </c>
      <c r="G69" s="2488"/>
      <c r="H69" s="2752">
        <v>2</v>
      </c>
      <c r="I69" s="2752">
        <v>3</v>
      </c>
      <c r="J69" s="2488"/>
      <c r="K69" s="2614"/>
      <c r="L69" s="2488"/>
      <c r="M69" s="2614"/>
      <c r="N69" s="2479" t="str">
        <f t="shared" si="0"/>
        <v>MILLS, WY, Distribution, Unattended</v>
      </c>
    </row>
    <row r="70" spans="1:14" ht="15.75" customHeight="1" x14ac:dyDescent="0.2">
      <c r="A70" s="3003">
        <f t="shared" si="1"/>
        <v>40.782999999998175</v>
      </c>
      <c r="B70" s="2512" t="s">
        <v>11660</v>
      </c>
      <c r="C70" s="2489" t="s">
        <v>512</v>
      </c>
      <c r="D70" s="2489" t="s">
        <v>10937</v>
      </c>
      <c r="E70" s="3041">
        <v>230</v>
      </c>
      <c r="F70" s="3041">
        <v>34.5</v>
      </c>
      <c r="G70" s="3043">
        <v>7.2</v>
      </c>
      <c r="H70" s="2752">
        <v>20</v>
      </c>
      <c r="I70" s="2752">
        <v>1</v>
      </c>
      <c r="J70" s="2488"/>
      <c r="K70" s="2614"/>
      <c r="L70" s="2488"/>
      <c r="M70" s="2614"/>
      <c r="N70" s="2479" t="str">
        <f t="shared" si="0"/>
        <v>MINERS, WY, Distribution, Unattended</v>
      </c>
    </row>
    <row r="71" spans="1:14" ht="15.75" customHeight="1" x14ac:dyDescent="0.2">
      <c r="A71" s="3003">
        <f t="shared" si="1"/>
        <v>40.783999999998173</v>
      </c>
      <c r="B71" s="2512" t="s">
        <v>11661</v>
      </c>
      <c r="C71" s="2489" t="s">
        <v>512</v>
      </c>
      <c r="D71" s="2489" t="s">
        <v>10937</v>
      </c>
      <c r="E71" s="3041">
        <v>34.5</v>
      </c>
      <c r="F71" s="3041">
        <v>12.47</v>
      </c>
      <c r="G71" s="3043">
        <v>4.16</v>
      </c>
      <c r="H71" s="2752">
        <v>3</v>
      </c>
      <c r="I71" s="2752">
        <v>1</v>
      </c>
      <c r="J71" s="2488"/>
      <c r="K71" s="2614"/>
      <c r="L71" s="2488"/>
      <c r="M71" s="2614"/>
      <c r="N71" s="2479" t="str">
        <f t="shared" si="0"/>
        <v>MOUNTAIN GAS, WY, Distribution, Unattended</v>
      </c>
    </row>
    <row r="72" spans="1:14" ht="15.75" customHeight="1" x14ac:dyDescent="0.2">
      <c r="A72" s="3003">
        <f t="shared" si="1"/>
        <v>40.78499999999817</v>
      </c>
      <c r="B72" s="2512" t="s">
        <v>11662</v>
      </c>
      <c r="C72" s="2489" t="s">
        <v>512</v>
      </c>
      <c r="D72" s="2489" t="s">
        <v>10937</v>
      </c>
      <c r="E72" s="3041">
        <v>34.5</v>
      </c>
      <c r="F72" s="3041">
        <v>12.47</v>
      </c>
      <c r="G72" s="2488"/>
      <c r="H72" s="2752">
        <v>13</v>
      </c>
      <c r="I72" s="2752">
        <v>1</v>
      </c>
      <c r="J72" s="2488"/>
      <c r="K72" s="2614"/>
      <c r="L72" s="2488"/>
      <c r="M72" s="2614"/>
      <c r="N72" s="2479" t="str">
        <f t="shared" si="0"/>
        <v>MURPHY DOME, WY, Distribution, Unattended</v>
      </c>
    </row>
    <row r="73" spans="1:14" ht="19.149999999999999" customHeight="1" x14ac:dyDescent="0.2">
      <c r="A73" s="3003">
        <f t="shared" si="1"/>
        <v>40.785999999998168</v>
      </c>
      <c r="B73" s="2512" t="s">
        <v>11663</v>
      </c>
      <c r="C73" s="2489" t="s">
        <v>512</v>
      </c>
      <c r="D73" s="2489" t="s">
        <v>10937</v>
      </c>
      <c r="E73" s="3041">
        <v>69</v>
      </c>
      <c r="F73" s="3041">
        <v>12.47</v>
      </c>
      <c r="G73" s="2488"/>
      <c r="H73" s="2752">
        <v>2</v>
      </c>
      <c r="I73" s="2752">
        <v>3</v>
      </c>
      <c r="J73" s="2488"/>
      <c r="K73" s="2614"/>
      <c r="L73" s="2488"/>
      <c r="M73" s="2614"/>
      <c r="N73" s="2479" t="str">
        <f t="shared" si="0"/>
        <v>NAUGHTON CONSTRUCTION, WY, Distribution, Unattended</v>
      </c>
    </row>
    <row r="74" spans="1:14" ht="15.75" customHeight="1" x14ac:dyDescent="0.2">
      <c r="A74" s="3003">
        <f t="shared" si="1"/>
        <v>40.786999999998166</v>
      </c>
      <c r="B74" s="2512" t="s">
        <v>11664</v>
      </c>
      <c r="C74" s="2489" t="s">
        <v>512</v>
      </c>
      <c r="D74" s="2489" t="s">
        <v>10937</v>
      </c>
      <c r="E74" s="3041">
        <v>69</v>
      </c>
      <c r="F74" s="3041">
        <v>7.2</v>
      </c>
      <c r="G74" s="2488"/>
      <c r="H74" s="2752">
        <v>0</v>
      </c>
      <c r="I74" s="2752">
        <v>1</v>
      </c>
      <c r="J74" s="2488"/>
      <c r="K74" s="2614"/>
      <c r="L74" s="2488"/>
      <c r="M74" s="2614"/>
      <c r="N74" s="2479" t="str">
        <f t="shared" ref="N74:N137" si="2">CONCATENATE(B74,", ",C74,", ",D74)</f>
        <v>NUGGETT, WY, Distribution, Unattended</v>
      </c>
    </row>
    <row r="75" spans="1:14" ht="15.75" customHeight="1" x14ac:dyDescent="0.2">
      <c r="A75" s="3003">
        <f t="shared" ref="A75:A138" si="3">A74+0.001</f>
        <v>40.787999999998164</v>
      </c>
      <c r="B75" s="2512" t="s">
        <v>11665</v>
      </c>
      <c r="C75" s="2489" t="s">
        <v>512</v>
      </c>
      <c r="D75" s="2489" t="s">
        <v>10937</v>
      </c>
      <c r="E75" s="3041">
        <v>69</v>
      </c>
      <c r="F75" s="3041">
        <v>24.9</v>
      </c>
      <c r="G75" s="2488"/>
      <c r="H75" s="2752">
        <v>8</v>
      </c>
      <c r="I75" s="2752">
        <v>1</v>
      </c>
      <c r="J75" s="2488"/>
      <c r="K75" s="2614"/>
      <c r="L75" s="2488"/>
      <c r="M75" s="2614"/>
      <c r="N75" s="2479" t="str">
        <f t="shared" si="2"/>
        <v>OPAL, WY, Distribution, Unattended</v>
      </c>
    </row>
    <row r="76" spans="1:14" ht="15.75" customHeight="1" x14ac:dyDescent="0.2">
      <c r="A76" s="3003">
        <f t="shared" si="3"/>
        <v>40.788999999998161</v>
      </c>
      <c r="B76" s="2512" t="s">
        <v>11666</v>
      </c>
      <c r="C76" s="2489" t="s">
        <v>512</v>
      </c>
      <c r="D76" s="2489" t="s">
        <v>10937</v>
      </c>
      <c r="E76" s="3041">
        <v>230</v>
      </c>
      <c r="F76" s="3041">
        <v>69</v>
      </c>
      <c r="G76" s="3043">
        <v>13.2</v>
      </c>
      <c r="H76" s="2752">
        <v>100</v>
      </c>
      <c r="I76" s="2752">
        <v>2</v>
      </c>
      <c r="J76" s="2488"/>
      <c r="K76" s="2614"/>
      <c r="L76" s="2488"/>
      <c r="M76" s="2614"/>
      <c r="N76" s="2479" t="str">
        <f t="shared" si="2"/>
        <v>OREGON BASIN, WY, Distribution, Unattended</v>
      </c>
    </row>
    <row r="77" spans="1:14" ht="15.75" customHeight="1" x14ac:dyDescent="0.2">
      <c r="A77" s="3003">
        <f t="shared" si="3"/>
        <v>40.789999999998159</v>
      </c>
      <c r="B77" s="2512" t="s">
        <v>11667</v>
      </c>
      <c r="C77" s="2489" t="s">
        <v>512</v>
      </c>
      <c r="D77" s="2489" t="s">
        <v>10937</v>
      </c>
      <c r="E77" s="3041">
        <v>57</v>
      </c>
      <c r="F77" s="3041">
        <v>7.2</v>
      </c>
      <c r="G77" s="2488"/>
      <c r="H77" s="2752">
        <v>1</v>
      </c>
      <c r="I77" s="2752">
        <v>1</v>
      </c>
      <c r="J77" s="2750">
        <v>1</v>
      </c>
      <c r="K77" s="2614"/>
      <c r="L77" s="2488"/>
      <c r="M77" s="2614"/>
      <c r="N77" s="2479" t="str">
        <f t="shared" si="2"/>
        <v>ORIN, WY, Distribution, Unattended</v>
      </c>
    </row>
    <row r="78" spans="1:14" ht="15.75" customHeight="1" x14ac:dyDescent="0.2">
      <c r="A78" s="3003">
        <f t="shared" si="3"/>
        <v>40.790999999998157</v>
      </c>
      <c r="B78" s="2512" t="s">
        <v>11668</v>
      </c>
      <c r="C78" s="2489" t="s">
        <v>512</v>
      </c>
      <c r="D78" s="2489" t="s">
        <v>10937</v>
      </c>
      <c r="E78" s="3041">
        <v>34.5</v>
      </c>
      <c r="F78" s="3041">
        <v>4.16</v>
      </c>
      <c r="G78" s="2488"/>
      <c r="H78" s="2752">
        <v>2</v>
      </c>
      <c r="I78" s="2752">
        <v>3</v>
      </c>
      <c r="J78" s="2488"/>
      <c r="K78" s="2614"/>
      <c r="L78" s="2488"/>
      <c r="M78" s="2614"/>
      <c r="N78" s="2479" t="str">
        <f t="shared" si="2"/>
        <v>OWL CREEK PUMP #1, WY, Distribution, Unattended</v>
      </c>
    </row>
    <row r="79" spans="1:14" ht="15.75" customHeight="1" x14ac:dyDescent="0.2">
      <c r="A79" s="3003">
        <f t="shared" si="3"/>
        <v>40.791999999998154</v>
      </c>
      <c r="B79" s="2512" t="s">
        <v>11669</v>
      </c>
      <c r="C79" s="2489" t="s">
        <v>512</v>
      </c>
      <c r="D79" s="2489" t="s">
        <v>10937</v>
      </c>
      <c r="E79" s="3041">
        <v>69</v>
      </c>
      <c r="F79" s="3041">
        <v>24.9</v>
      </c>
      <c r="G79" s="2488"/>
      <c r="H79" s="2752">
        <v>30</v>
      </c>
      <c r="I79" s="2752">
        <v>1</v>
      </c>
      <c r="J79" s="2488"/>
      <c r="K79" s="2614"/>
      <c r="L79" s="2488"/>
      <c r="M79" s="2614"/>
      <c r="N79" s="2479" t="str">
        <f t="shared" si="2"/>
        <v>PARADISE, WY, Distribution, Unattended</v>
      </c>
    </row>
    <row r="80" spans="1:14" ht="15.75" customHeight="1" x14ac:dyDescent="0.2">
      <c r="A80" s="3003">
        <f t="shared" si="3"/>
        <v>40.792999999998152</v>
      </c>
      <c r="B80" s="2512" t="s">
        <v>11670</v>
      </c>
      <c r="C80" s="2489" t="s">
        <v>512</v>
      </c>
      <c r="D80" s="2489" t="s">
        <v>10937</v>
      </c>
      <c r="E80" s="3041">
        <v>34.5</v>
      </c>
      <c r="F80" s="3041">
        <v>13.2</v>
      </c>
      <c r="G80" s="2488"/>
      <c r="H80" s="2752">
        <v>3</v>
      </c>
      <c r="I80" s="2752">
        <v>1</v>
      </c>
      <c r="J80" s="2488"/>
      <c r="K80" s="2614"/>
      <c r="L80" s="2488"/>
      <c r="M80" s="2614"/>
      <c r="N80" s="2479" t="str">
        <f t="shared" si="2"/>
        <v>PARCO, WY, Distribution, Unattended</v>
      </c>
    </row>
    <row r="81" spans="1:14" ht="15.75" customHeight="1" x14ac:dyDescent="0.2">
      <c r="A81" s="3003">
        <f t="shared" si="3"/>
        <v>40.79399999999815</v>
      </c>
      <c r="B81" s="2512" t="s">
        <v>11671</v>
      </c>
      <c r="C81" s="2489" t="s">
        <v>512</v>
      </c>
      <c r="D81" s="2489" t="s">
        <v>10937</v>
      </c>
      <c r="E81" s="3041">
        <v>12.47</v>
      </c>
      <c r="F81" s="3041">
        <v>2.4</v>
      </c>
      <c r="G81" s="2488"/>
      <c r="H81" s="2752">
        <v>1</v>
      </c>
      <c r="I81" s="2752">
        <v>3</v>
      </c>
      <c r="J81" s="2488"/>
      <c r="K81" s="2614"/>
      <c r="L81" s="2488"/>
      <c r="M81" s="2614"/>
      <c r="N81" s="2479" t="str">
        <f t="shared" si="2"/>
        <v>PHILLIPS GAS PLANT PIPELINE, WY, Distribution, Unattended</v>
      </c>
    </row>
    <row r="82" spans="1:14" ht="15.75" customHeight="1" x14ac:dyDescent="0.2">
      <c r="A82" s="3003">
        <f t="shared" si="3"/>
        <v>40.794999999998147</v>
      </c>
      <c r="B82" s="2512" t="s">
        <v>11672</v>
      </c>
      <c r="C82" s="2489" t="s">
        <v>512</v>
      </c>
      <c r="D82" s="2489" t="s">
        <v>10937</v>
      </c>
      <c r="E82" s="3041">
        <v>69</v>
      </c>
      <c r="F82" s="3041">
        <v>24.9</v>
      </c>
      <c r="G82" s="2488"/>
      <c r="H82" s="2752">
        <v>20</v>
      </c>
      <c r="I82" s="2752">
        <v>1</v>
      </c>
      <c r="J82" s="2488"/>
      <c r="K82" s="2614"/>
      <c r="L82" s="2488"/>
      <c r="M82" s="2614"/>
      <c r="N82" s="2479" t="str">
        <f t="shared" si="2"/>
        <v>PINEDALE, WY, Distribution, Unattended</v>
      </c>
    </row>
    <row r="83" spans="1:14" ht="15.75" customHeight="1" x14ac:dyDescent="0.2">
      <c r="A83" s="3003">
        <f t="shared" si="3"/>
        <v>40.795999999998145</v>
      </c>
      <c r="B83" s="2512" t="s">
        <v>11673</v>
      </c>
      <c r="C83" s="2489" t="s">
        <v>512</v>
      </c>
      <c r="D83" s="2489" t="s">
        <v>10937</v>
      </c>
      <c r="E83" s="3041">
        <v>69</v>
      </c>
      <c r="F83" s="3041">
        <v>24.9</v>
      </c>
      <c r="G83" s="2488"/>
      <c r="H83" s="2752">
        <v>11</v>
      </c>
      <c r="I83" s="2752">
        <v>3</v>
      </c>
      <c r="J83" s="2750">
        <v>1</v>
      </c>
      <c r="K83" s="2614"/>
      <c r="L83" s="2488"/>
      <c r="M83" s="2614"/>
      <c r="N83" s="2479" t="str">
        <f t="shared" si="2"/>
        <v>PITCHFORK, WY, Distribution, Unattended</v>
      </c>
    </row>
    <row r="84" spans="1:14" ht="15.75" customHeight="1" x14ac:dyDescent="0.2">
      <c r="A84" s="3003">
        <f t="shared" si="3"/>
        <v>40.796999999998143</v>
      </c>
      <c r="B84" s="2512" t="s">
        <v>11674</v>
      </c>
      <c r="C84" s="2489" t="s">
        <v>512</v>
      </c>
      <c r="D84" s="2489" t="s">
        <v>10937</v>
      </c>
      <c r="E84" s="3041">
        <v>230</v>
      </c>
      <c r="F84" s="3041">
        <v>115</v>
      </c>
      <c r="G84" s="3043">
        <v>13.2</v>
      </c>
      <c r="H84" s="2752">
        <v>140</v>
      </c>
      <c r="I84" s="2752">
        <v>3</v>
      </c>
      <c r="J84" s="2488"/>
      <c r="K84" s="2614"/>
      <c r="L84" s="2488"/>
      <c r="M84" s="2614"/>
      <c r="N84" s="2479" t="str">
        <f t="shared" si="2"/>
        <v>PLATTE, WY, Distribution, Unattended</v>
      </c>
    </row>
    <row r="85" spans="1:14" ht="15.75" customHeight="1" x14ac:dyDescent="0.2">
      <c r="A85" s="3003">
        <f t="shared" si="3"/>
        <v>40.79799999999814</v>
      </c>
      <c r="B85" s="2512" t="s">
        <v>11675</v>
      </c>
      <c r="C85" s="2489" t="s">
        <v>512</v>
      </c>
      <c r="D85" s="2489" t="s">
        <v>10937</v>
      </c>
      <c r="E85" s="3041">
        <v>34.5</v>
      </c>
      <c r="F85" s="3041">
        <v>4.16</v>
      </c>
      <c r="G85" s="2488"/>
      <c r="H85" s="2752">
        <v>2</v>
      </c>
      <c r="I85" s="2752">
        <v>3</v>
      </c>
      <c r="J85" s="2488"/>
      <c r="K85" s="2614"/>
      <c r="L85" s="2488"/>
      <c r="M85" s="2614"/>
      <c r="N85" s="2479" t="str">
        <f t="shared" si="2"/>
        <v>PLATTE PIPE BYRON, WY, Distribution, Unattended</v>
      </c>
    </row>
    <row r="86" spans="1:14" ht="15.75" customHeight="1" x14ac:dyDescent="0.2">
      <c r="A86" s="3003">
        <f t="shared" si="3"/>
        <v>40.798999999998138</v>
      </c>
      <c r="B86" s="2512" t="s">
        <v>11676</v>
      </c>
      <c r="C86" s="2489" t="s">
        <v>512</v>
      </c>
      <c r="D86" s="2489" t="s">
        <v>10937</v>
      </c>
      <c r="E86" s="3041">
        <v>34.5</v>
      </c>
      <c r="F86" s="3041">
        <v>4.16</v>
      </c>
      <c r="G86" s="2488"/>
      <c r="H86" s="2752">
        <v>2</v>
      </c>
      <c r="I86" s="2752">
        <v>3</v>
      </c>
      <c r="J86" s="2488"/>
      <c r="K86" s="2614"/>
      <c r="L86" s="2488"/>
      <c r="M86" s="2614"/>
      <c r="N86" s="2479" t="str">
        <f t="shared" si="2"/>
        <v>PLATTE PIPE OREGON BASIN, WY, Distribution, Unattended</v>
      </c>
    </row>
    <row r="87" spans="1:14" ht="15.75" customHeight="1" x14ac:dyDescent="0.2">
      <c r="A87" s="3003">
        <f t="shared" si="3"/>
        <v>40.799999999998136</v>
      </c>
      <c r="B87" s="2512" t="s">
        <v>11677</v>
      </c>
      <c r="C87" s="2489" t="s">
        <v>512</v>
      </c>
      <c r="D87" s="2489" t="s">
        <v>10937</v>
      </c>
      <c r="E87" s="3041">
        <v>69</v>
      </c>
      <c r="F87" s="3041">
        <v>12.47</v>
      </c>
      <c r="G87" s="2488"/>
      <c r="H87" s="2752">
        <v>2</v>
      </c>
      <c r="I87" s="2752">
        <v>3</v>
      </c>
      <c r="J87" s="2488"/>
      <c r="K87" s="2614"/>
      <c r="L87" s="2488"/>
      <c r="M87" s="2614"/>
      <c r="N87" s="2479" t="str">
        <f t="shared" si="2"/>
        <v>PLATTE RIVER DJ, WY, Distribution, Unattended</v>
      </c>
    </row>
    <row r="88" spans="1:14" ht="15.75" customHeight="1" x14ac:dyDescent="0.2">
      <c r="A88" s="3003">
        <f t="shared" si="3"/>
        <v>40.800999999998133</v>
      </c>
      <c r="B88" s="2512" t="s">
        <v>10673</v>
      </c>
      <c r="C88" s="2489" t="s">
        <v>512</v>
      </c>
      <c r="D88" s="2489" t="s">
        <v>10937</v>
      </c>
      <c r="E88" s="3041">
        <v>230</v>
      </c>
      <c r="F88" s="3041">
        <v>34.5</v>
      </c>
      <c r="G88" s="3043">
        <v>13.2</v>
      </c>
      <c r="H88" s="2752">
        <v>25</v>
      </c>
      <c r="I88" s="2752">
        <v>1</v>
      </c>
      <c r="J88" s="2488"/>
      <c r="K88" s="2614"/>
      <c r="L88" s="2488"/>
      <c r="M88" s="2614"/>
      <c r="N88" s="2479" t="str">
        <f t="shared" si="2"/>
        <v>POINT OF ROCKS, WY, Distribution, Unattended</v>
      </c>
    </row>
    <row r="89" spans="1:14" ht="15.75" customHeight="1" x14ac:dyDescent="0.2">
      <c r="A89" s="3003">
        <f t="shared" si="3"/>
        <v>40.801999999998131</v>
      </c>
      <c r="B89" s="2512" t="s">
        <v>11678</v>
      </c>
      <c r="C89" s="2489" t="s">
        <v>512</v>
      </c>
      <c r="D89" s="2489" t="s">
        <v>10937</v>
      </c>
      <c r="E89" s="3041">
        <v>69</v>
      </c>
      <c r="F89" s="3041">
        <v>2.4</v>
      </c>
      <c r="G89" s="2488"/>
      <c r="H89" s="2752">
        <v>3</v>
      </c>
      <c r="I89" s="2752">
        <v>1</v>
      </c>
      <c r="J89" s="2488"/>
      <c r="K89" s="2614"/>
      <c r="L89" s="2488"/>
      <c r="M89" s="2614"/>
      <c r="N89" s="2479" t="str">
        <f t="shared" si="2"/>
        <v>POISON SPIDER, WY, Distribution, Unattended</v>
      </c>
    </row>
    <row r="90" spans="1:14" ht="15.75" customHeight="1" x14ac:dyDescent="0.2">
      <c r="A90" s="3003">
        <f t="shared" si="3"/>
        <v>40.802999999998129</v>
      </c>
      <c r="B90" s="2512" t="s">
        <v>11679</v>
      </c>
      <c r="C90" s="2489" t="s">
        <v>512</v>
      </c>
      <c r="D90" s="2489" t="s">
        <v>10937</v>
      </c>
      <c r="E90" s="3041">
        <v>34.5</v>
      </c>
      <c r="F90" s="3041">
        <v>13.2</v>
      </c>
      <c r="G90" s="2488"/>
      <c r="H90" s="2752">
        <v>13</v>
      </c>
      <c r="I90" s="2752">
        <v>1</v>
      </c>
      <c r="J90" s="2488"/>
      <c r="K90" s="2614"/>
      <c r="L90" s="2488"/>
      <c r="M90" s="2614"/>
      <c r="N90" s="2479" t="str">
        <f t="shared" si="2"/>
        <v>RAINBOW, WY, Distribution, Unattended</v>
      </c>
    </row>
    <row r="91" spans="1:14" ht="15.75" customHeight="1" x14ac:dyDescent="0.2">
      <c r="A91" s="3003">
        <f t="shared" si="3"/>
        <v>40.803999999998126</v>
      </c>
      <c r="B91" s="2512" t="s">
        <v>11680</v>
      </c>
      <c r="C91" s="2489" t="s">
        <v>512</v>
      </c>
      <c r="D91" s="2489" t="s">
        <v>10937</v>
      </c>
      <c r="E91" s="3041">
        <v>230</v>
      </c>
      <c r="F91" s="3041">
        <v>34.5</v>
      </c>
      <c r="G91" s="3043">
        <v>12.47</v>
      </c>
      <c r="H91" s="2752">
        <v>200</v>
      </c>
      <c r="I91" s="2752">
        <v>2</v>
      </c>
      <c r="J91" s="2488"/>
      <c r="K91" s="2614"/>
      <c r="L91" s="2488"/>
      <c r="M91" s="2614"/>
      <c r="N91" s="2479" t="str">
        <f t="shared" si="2"/>
        <v>RAVEN, WY, Distribution, Unattended</v>
      </c>
    </row>
    <row r="92" spans="1:14" ht="15.75" customHeight="1" x14ac:dyDescent="0.2">
      <c r="A92" s="3003">
        <f t="shared" si="3"/>
        <v>40.804999999998124</v>
      </c>
      <c r="B92" s="2512" t="s">
        <v>11681</v>
      </c>
      <c r="C92" s="2489" t="s">
        <v>512</v>
      </c>
      <c r="D92" s="2489" t="s">
        <v>10937</v>
      </c>
      <c r="E92" s="3041">
        <v>115</v>
      </c>
      <c r="F92" s="3041">
        <v>13.2</v>
      </c>
      <c r="G92" s="2488"/>
      <c r="H92" s="2752">
        <v>30</v>
      </c>
      <c r="I92" s="2752">
        <v>1</v>
      </c>
      <c r="J92" s="2488"/>
      <c r="K92" s="2614"/>
      <c r="L92" s="2488"/>
      <c r="M92" s="2614"/>
      <c r="N92" s="2479" t="str">
        <f t="shared" si="2"/>
        <v>RED BUTTE, WY, Distribution, Unattended</v>
      </c>
    </row>
    <row r="93" spans="1:14" ht="15.75" customHeight="1" x14ac:dyDescent="0.2">
      <c r="A93" s="3003">
        <f t="shared" si="3"/>
        <v>40.805999999998122</v>
      </c>
      <c r="B93" s="2512" t="s">
        <v>11682</v>
      </c>
      <c r="C93" s="2489" t="s">
        <v>512</v>
      </c>
      <c r="D93" s="2489" t="s">
        <v>10937</v>
      </c>
      <c r="E93" s="3041">
        <v>115</v>
      </c>
      <c r="F93" s="3041">
        <v>12.47</v>
      </c>
      <c r="G93" s="2488"/>
      <c r="H93" s="2752">
        <v>45</v>
      </c>
      <c r="I93" s="2752">
        <v>2</v>
      </c>
      <c r="J93" s="2488"/>
      <c r="K93" s="2614"/>
      <c r="L93" s="2488"/>
      <c r="M93" s="2614"/>
      <c r="N93" s="2479" t="str">
        <f t="shared" si="2"/>
        <v>REFINERY, WY, Distribution, Unattended</v>
      </c>
    </row>
    <row r="94" spans="1:14" ht="15.75" customHeight="1" x14ac:dyDescent="0.2">
      <c r="A94" s="3003">
        <f t="shared" si="3"/>
        <v>40.806999999998119</v>
      </c>
      <c r="B94" s="2512" t="s">
        <v>10625</v>
      </c>
      <c r="C94" s="2489" t="s">
        <v>512</v>
      </c>
      <c r="D94" s="2489" t="s">
        <v>10937</v>
      </c>
      <c r="E94" s="3041">
        <v>230</v>
      </c>
      <c r="F94" s="3041">
        <v>34.5</v>
      </c>
      <c r="G94" s="3043">
        <v>13.2</v>
      </c>
      <c r="H94" s="2752">
        <v>77</v>
      </c>
      <c r="I94" s="2752">
        <v>4</v>
      </c>
      <c r="J94" s="2488"/>
      <c r="K94" s="2614"/>
      <c r="L94" s="2488"/>
      <c r="M94" s="2614"/>
      <c r="N94" s="2479" t="str">
        <f t="shared" si="2"/>
        <v>RIVERTON, WY, Distribution, Unattended</v>
      </c>
    </row>
    <row r="95" spans="1:14" ht="15.75" customHeight="1" x14ac:dyDescent="0.2">
      <c r="A95" s="3003">
        <f t="shared" si="3"/>
        <v>40.807999999998117</v>
      </c>
      <c r="B95" s="2512" t="s">
        <v>11683</v>
      </c>
      <c r="C95" s="2489" t="s">
        <v>512</v>
      </c>
      <c r="D95" s="2489" t="s">
        <v>10937</v>
      </c>
      <c r="E95" s="3041">
        <v>230</v>
      </c>
      <c r="F95" s="3041">
        <v>34.5</v>
      </c>
      <c r="G95" s="3043">
        <v>13.2</v>
      </c>
      <c r="H95" s="2752">
        <v>50</v>
      </c>
      <c r="I95" s="2752">
        <v>2</v>
      </c>
      <c r="J95" s="2750">
        <v>2</v>
      </c>
      <c r="K95" s="2614"/>
      <c r="L95" s="2488"/>
      <c r="M95" s="2614"/>
      <c r="N95" s="2479" t="str">
        <f t="shared" si="2"/>
        <v>ROCK SPRINGS 230, WY, Distribution, Unattended</v>
      </c>
    </row>
    <row r="96" spans="1:14" ht="15.75" customHeight="1" x14ac:dyDescent="0.2">
      <c r="A96" s="3003">
        <f t="shared" si="3"/>
        <v>40.808999999998115</v>
      </c>
      <c r="B96" s="2512" t="s">
        <v>11684</v>
      </c>
      <c r="C96" s="2489" t="s">
        <v>512</v>
      </c>
      <c r="D96" s="2489" t="s">
        <v>10937</v>
      </c>
      <c r="E96" s="3041">
        <v>34.5</v>
      </c>
      <c r="F96" s="3041">
        <v>13.2</v>
      </c>
      <c r="G96" s="2488"/>
      <c r="H96" s="2752">
        <v>9</v>
      </c>
      <c r="I96" s="2752">
        <v>1</v>
      </c>
      <c r="J96" s="2488"/>
      <c r="K96" s="2614"/>
      <c r="L96" s="2488"/>
      <c r="M96" s="2614"/>
      <c r="N96" s="2479" t="str">
        <f t="shared" si="2"/>
        <v>SAGE HILL, WY, Distribution, Unattended</v>
      </c>
    </row>
    <row r="97" spans="1:14" ht="15.75" customHeight="1" x14ac:dyDescent="0.2">
      <c r="A97" s="3003">
        <f t="shared" si="3"/>
        <v>40.809999999998112</v>
      </c>
      <c r="B97" s="2512" t="s">
        <v>11685</v>
      </c>
      <c r="C97" s="2489" t="s">
        <v>512</v>
      </c>
      <c r="D97" s="2489" t="s">
        <v>10937</v>
      </c>
      <c r="E97" s="3041">
        <v>34.5</v>
      </c>
      <c r="F97" s="3041">
        <v>2.4</v>
      </c>
      <c r="G97" s="2488"/>
      <c r="H97" s="2752">
        <v>2</v>
      </c>
      <c r="I97" s="2752">
        <v>3</v>
      </c>
      <c r="J97" s="2488"/>
      <c r="K97" s="2614"/>
      <c r="L97" s="2488"/>
      <c r="M97" s="2614"/>
      <c r="N97" s="2479" t="str">
        <f t="shared" si="2"/>
        <v>SHOSHONI, WY, Distribution, Unattended</v>
      </c>
    </row>
    <row r="98" spans="1:14" ht="15.75" customHeight="1" x14ac:dyDescent="0.2">
      <c r="A98" s="3003">
        <f t="shared" si="3"/>
        <v>40.81099999999811</v>
      </c>
      <c r="B98" s="2512" t="s">
        <v>11686</v>
      </c>
      <c r="C98" s="2489" t="s">
        <v>512</v>
      </c>
      <c r="D98" s="2489" t="s">
        <v>10937</v>
      </c>
      <c r="E98" s="3041">
        <v>34.5</v>
      </c>
      <c r="F98" s="3041">
        <v>4.16</v>
      </c>
      <c r="G98" s="2488"/>
      <c r="H98" s="2752">
        <v>5</v>
      </c>
      <c r="I98" s="2752">
        <v>1</v>
      </c>
      <c r="J98" s="2488"/>
      <c r="K98" s="2614"/>
      <c r="L98" s="2488"/>
      <c r="M98" s="2614"/>
      <c r="N98" s="2479" t="str">
        <f t="shared" si="2"/>
        <v>SINCLAIR PIPELINE, WY, Distribution, Unattended</v>
      </c>
    </row>
    <row r="99" spans="1:14" ht="15.75" customHeight="1" x14ac:dyDescent="0.2">
      <c r="A99" s="3003">
        <f t="shared" si="3"/>
        <v>40.811999999998108</v>
      </c>
      <c r="B99" s="2512" t="s">
        <v>11687</v>
      </c>
      <c r="C99" s="2489" t="s">
        <v>512</v>
      </c>
      <c r="D99" s="2489" t="s">
        <v>10937</v>
      </c>
      <c r="E99" s="3041">
        <v>69</v>
      </c>
      <c r="F99" s="3041">
        <v>13.8</v>
      </c>
      <c r="G99" s="2488"/>
      <c r="H99" s="2752">
        <v>1</v>
      </c>
      <c r="I99" s="2752">
        <v>1</v>
      </c>
      <c r="J99" s="2488"/>
      <c r="K99" s="2614"/>
      <c r="L99" s="2488"/>
      <c r="M99" s="2614"/>
      <c r="N99" s="2479" t="str">
        <f t="shared" si="2"/>
        <v>SLATE CREEK, WY, Distribution, Unattended</v>
      </c>
    </row>
    <row r="100" spans="1:14" ht="15.75" customHeight="1" x14ac:dyDescent="0.2">
      <c r="A100" s="3003">
        <f t="shared" si="3"/>
        <v>40.812999999998105</v>
      </c>
      <c r="B100" s="2512" t="s">
        <v>11688</v>
      </c>
      <c r="C100" s="2489" t="s">
        <v>512</v>
      </c>
      <c r="D100" s="2489" t="s">
        <v>10937</v>
      </c>
      <c r="E100" s="3041">
        <v>69</v>
      </c>
      <c r="F100" s="3041">
        <v>24.9</v>
      </c>
      <c r="G100" s="2488"/>
      <c r="H100" s="2752">
        <v>14</v>
      </c>
      <c r="I100" s="2752">
        <v>3</v>
      </c>
      <c r="J100" s="2750">
        <v>1</v>
      </c>
      <c r="K100" s="2614"/>
      <c r="L100" s="2488"/>
      <c r="M100" s="2614"/>
      <c r="N100" s="2479" t="str">
        <f t="shared" si="2"/>
        <v>SOUTH CODY, WY, Distribution, Unattended</v>
      </c>
    </row>
    <row r="101" spans="1:14" ht="15.75" customHeight="1" x14ac:dyDescent="0.2">
      <c r="A101" s="3003">
        <f t="shared" si="3"/>
        <v>40.813999999998103</v>
      </c>
      <c r="B101" s="2512" t="s">
        <v>11689</v>
      </c>
      <c r="C101" s="2489" t="s">
        <v>512</v>
      </c>
      <c r="D101" s="2489" t="s">
        <v>10937</v>
      </c>
      <c r="E101" s="3041">
        <v>34.5</v>
      </c>
      <c r="F101" s="3041">
        <v>4.16</v>
      </c>
      <c r="G101" s="2488"/>
      <c r="H101" s="2752">
        <v>2</v>
      </c>
      <c r="I101" s="2752">
        <v>6</v>
      </c>
      <c r="J101" s="2488"/>
      <c r="K101" s="2614"/>
      <c r="L101" s="2488"/>
      <c r="M101" s="2614"/>
      <c r="N101" s="2479" t="str">
        <f t="shared" si="2"/>
        <v>SOUTH ELK BASIN, WY, Distribution, Unattended</v>
      </c>
    </row>
    <row r="102" spans="1:14" ht="15.75" customHeight="1" x14ac:dyDescent="0.2">
      <c r="A102" s="3003">
        <f t="shared" si="3"/>
        <v>40.814999999998101</v>
      </c>
      <c r="B102" s="2512" t="s">
        <v>11690</v>
      </c>
      <c r="C102" s="2489" t="s">
        <v>512</v>
      </c>
      <c r="D102" s="2489" t="s">
        <v>10937</v>
      </c>
      <c r="E102" s="3041">
        <v>230</v>
      </c>
      <c r="F102" s="3041">
        <v>34.5</v>
      </c>
      <c r="G102" s="3043">
        <v>13.2</v>
      </c>
      <c r="H102" s="2752">
        <v>150</v>
      </c>
      <c r="I102" s="2752">
        <v>2</v>
      </c>
      <c r="J102" s="2488"/>
      <c r="K102" s="2614"/>
      <c r="L102" s="2488"/>
      <c r="M102" s="2614"/>
      <c r="N102" s="2479" t="str">
        <f t="shared" si="2"/>
        <v>SOUTH TRONA, WY, Distribution, Unattended</v>
      </c>
    </row>
    <row r="103" spans="1:14" ht="15.75" customHeight="1" x14ac:dyDescent="0.2">
      <c r="A103" s="3003">
        <f t="shared" si="3"/>
        <v>40.815999999998098</v>
      </c>
      <c r="B103" s="2512" t="s">
        <v>11691</v>
      </c>
      <c r="C103" s="2489" t="s">
        <v>512</v>
      </c>
      <c r="D103" s="2489" t="s">
        <v>10937</v>
      </c>
      <c r="E103" s="3041">
        <v>115</v>
      </c>
      <c r="F103" s="3041">
        <v>13.2</v>
      </c>
      <c r="G103" s="2488"/>
      <c r="H103" s="2752">
        <v>28</v>
      </c>
      <c r="I103" s="2752">
        <v>1</v>
      </c>
      <c r="J103" s="2488"/>
      <c r="K103" s="2614"/>
      <c r="L103" s="2488"/>
      <c r="M103" s="2614"/>
      <c r="N103" s="2479" t="str">
        <f t="shared" si="2"/>
        <v>SPRING CREEK, WY, Distribution, Unattended</v>
      </c>
    </row>
    <row r="104" spans="1:14" ht="15.75" customHeight="1" x14ac:dyDescent="0.2">
      <c r="A104" s="3003">
        <f t="shared" si="3"/>
        <v>40.816999999998096</v>
      </c>
      <c r="B104" s="2512" t="s">
        <v>11692</v>
      </c>
      <c r="C104" s="2489" t="s">
        <v>512</v>
      </c>
      <c r="D104" s="2489" t="s">
        <v>10937</v>
      </c>
      <c r="E104" s="3041">
        <v>34.5</v>
      </c>
      <c r="F104" s="3041">
        <v>4.16</v>
      </c>
      <c r="G104" s="2488"/>
      <c r="H104" s="2752">
        <v>2</v>
      </c>
      <c r="I104" s="2752">
        <v>3</v>
      </c>
      <c r="J104" s="2488"/>
      <c r="K104" s="2614"/>
      <c r="L104" s="2488"/>
      <c r="M104" s="2614"/>
      <c r="N104" s="2479" t="str">
        <f t="shared" si="2"/>
        <v>SVILAR, WY, Distribution, Unattended</v>
      </c>
    </row>
    <row r="105" spans="1:14" ht="15" customHeight="1" x14ac:dyDescent="0.2">
      <c r="A105" s="3003">
        <f t="shared" si="3"/>
        <v>40.817999999998094</v>
      </c>
      <c r="B105" s="2512" t="s">
        <v>11693</v>
      </c>
      <c r="C105" s="2489" t="s">
        <v>512</v>
      </c>
      <c r="D105" s="2489" t="s">
        <v>10937</v>
      </c>
      <c r="E105" s="3041">
        <v>69</v>
      </c>
      <c r="F105" s="3041">
        <v>12.47</v>
      </c>
      <c r="G105" s="2488"/>
      <c r="H105" s="2752">
        <v>5</v>
      </c>
      <c r="I105" s="2752">
        <v>1</v>
      </c>
      <c r="J105" s="2488"/>
      <c r="K105" s="2614"/>
      <c r="L105" s="2488"/>
      <c r="M105" s="2614"/>
      <c r="N105" s="2479" t="str">
        <f t="shared" si="2"/>
        <v>TEN MILE, WY, Distribution, Unattended</v>
      </c>
    </row>
    <row r="106" spans="1:14" ht="15" customHeight="1" x14ac:dyDescent="0.2">
      <c r="A106" s="3003">
        <f t="shared" si="3"/>
        <v>40.818999999998091</v>
      </c>
      <c r="B106" s="2512" t="s">
        <v>11694</v>
      </c>
      <c r="C106" s="2489" t="s">
        <v>512</v>
      </c>
      <c r="D106" s="2489" t="s">
        <v>10937</v>
      </c>
      <c r="E106" s="3041">
        <v>34.5</v>
      </c>
      <c r="F106" s="3041">
        <v>4.16</v>
      </c>
      <c r="G106" s="2488"/>
      <c r="H106" s="2752">
        <v>5</v>
      </c>
      <c r="I106" s="2752">
        <v>1</v>
      </c>
      <c r="J106" s="2488"/>
      <c r="K106" s="2614"/>
      <c r="L106" s="2488"/>
      <c r="M106" s="2614"/>
      <c r="N106" s="2479" t="str">
        <f t="shared" si="2"/>
        <v>THERMOPOLIS TOWN, WY, Distribution, Unattended</v>
      </c>
    </row>
    <row r="107" spans="1:14" ht="15" customHeight="1" x14ac:dyDescent="0.2">
      <c r="A107" s="3003">
        <f t="shared" si="3"/>
        <v>40.819999999998089</v>
      </c>
      <c r="B107" s="2512" t="s">
        <v>11695</v>
      </c>
      <c r="C107" s="2489" t="s">
        <v>512</v>
      </c>
      <c r="D107" s="2489" t="s">
        <v>10937</v>
      </c>
      <c r="E107" s="3041">
        <v>115</v>
      </c>
      <c r="F107" s="3041">
        <v>34.5</v>
      </c>
      <c r="G107" s="2488"/>
      <c r="H107" s="2752">
        <v>25</v>
      </c>
      <c r="I107" s="2752">
        <v>1</v>
      </c>
      <c r="J107" s="2488"/>
      <c r="K107" s="2614"/>
      <c r="L107" s="2488"/>
      <c r="M107" s="2614"/>
      <c r="N107" s="2479" t="str">
        <f t="shared" si="2"/>
        <v>THERMOPOLIS(WAPA), WY, Distribution, Unattended</v>
      </c>
    </row>
    <row r="108" spans="1:14" ht="15" customHeight="1" x14ac:dyDescent="0.2">
      <c r="A108" s="3003">
        <f t="shared" si="3"/>
        <v>40.820999999998087</v>
      </c>
      <c r="B108" s="2512" t="s">
        <v>11696</v>
      </c>
      <c r="C108" s="2489" t="s">
        <v>512</v>
      </c>
      <c r="D108" s="2489" t="s">
        <v>10937</v>
      </c>
      <c r="E108" s="3041">
        <v>69</v>
      </c>
      <c r="F108" s="3041">
        <v>12.47</v>
      </c>
      <c r="G108" s="2488"/>
      <c r="H108" s="2752">
        <v>14</v>
      </c>
      <c r="I108" s="2752">
        <v>1</v>
      </c>
      <c r="J108" s="2488"/>
      <c r="K108" s="2614"/>
      <c r="L108" s="2488"/>
      <c r="M108" s="2614"/>
      <c r="N108" s="2479" t="str">
        <f t="shared" si="2"/>
        <v>THUNDER CREEK, WY, Distribution, Unattended</v>
      </c>
    </row>
    <row r="109" spans="1:14" ht="15" customHeight="1" x14ac:dyDescent="0.2">
      <c r="A109" s="3003">
        <f t="shared" si="3"/>
        <v>40.821999999998084</v>
      </c>
      <c r="B109" s="2512" t="s">
        <v>11697</v>
      </c>
      <c r="C109" s="2489" t="s">
        <v>512</v>
      </c>
      <c r="D109" s="2489" t="s">
        <v>10937</v>
      </c>
      <c r="E109" s="3041">
        <v>34.5</v>
      </c>
      <c r="F109" s="3041">
        <v>13.2</v>
      </c>
      <c r="G109" s="2488"/>
      <c r="H109" s="2752">
        <v>25</v>
      </c>
      <c r="I109" s="2752">
        <v>2</v>
      </c>
      <c r="J109" s="2488"/>
      <c r="K109" s="2614"/>
      <c r="L109" s="2488"/>
      <c r="M109" s="2614"/>
      <c r="N109" s="2479" t="str">
        <f t="shared" si="2"/>
        <v>VETERANS, WY, Distribution, Unattended</v>
      </c>
    </row>
    <row r="110" spans="1:14" ht="15" customHeight="1" x14ac:dyDescent="0.2">
      <c r="A110" s="3003">
        <f t="shared" si="3"/>
        <v>40.822999999998082</v>
      </c>
      <c r="B110" s="2512" t="s">
        <v>11698</v>
      </c>
      <c r="C110" s="2489" t="s">
        <v>512</v>
      </c>
      <c r="D110" s="2489" t="s">
        <v>10937</v>
      </c>
      <c r="E110" s="3041">
        <v>34.5</v>
      </c>
      <c r="F110" s="3041">
        <v>4.16</v>
      </c>
      <c r="G110" s="2488"/>
      <c r="H110" s="2752">
        <v>2</v>
      </c>
      <c r="I110" s="2752">
        <v>3</v>
      </c>
      <c r="J110" s="2488"/>
      <c r="K110" s="2614"/>
      <c r="L110" s="2488"/>
      <c r="M110" s="2614"/>
      <c r="N110" s="2479" t="str">
        <f t="shared" si="2"/>
        <v>WAMSUTTER AMOCO, WY, Distribution, Unattended</v>
      </c>
    </row>
    <row r="111" spans="1:14" ht="15" customHeight="1" x14ac:dyDescent="0.2">
      <c r="A111" s="3003">
        <f t="shared" si="3"/>
        <v>40.82399999999808</v>
      </c>
      <c r="B111" s="2512" t="s">
        <v>11699</v>
      </c>
      <c r="C111" s="2489" t="s">
        <v>512</v>
      </c>
      <c r="D111" s="2489" t="s">
        <v>10937</v>
      </c>
      <c r="E111" s="3041">
        <v>115</v>
      </c>
      <c r="F111" s="3041">
        <v>4.16</v>
      </c>
      <c r="G111" s="2488"/>
      <c r="H111" s="2752">
        <v>9</v>
      </c>
      <c r="I111" s="2752">
        <v>1</v>
      </c>
      <c r="J111" s="2488"/>
      <c r="K111" s="2614"/>
      <c r="L111" s="2488"/>
      <c r="M111" s="2614"/>
      <c r="N111" s="2479" t="str">
        <f t="shared" si="2"/>
        <v>WARM SPRINGS SPL, WY, Distribution, Unattended</v>
      </c>
    </row>
    <row r="112" spans="1:14" ht="15" customHeight="1" x14ac:dyDescent="0.2">
      <c r="A112" s="3003">
        <f t="shared" si="3"/>
        <v>40.824999999998077</v>
      </c>
      <c r="B112" s="2512" t="s">
        <v>11700</v>
      </c>
      <c r="C112" s="2489" t="s">
        <v>512</v>
      </c>
      <c r="D112" s="2489" t="s">
        <v>10937</v>
      </c>
      <c r="E112" s="3041">
        <v>57</v>
      </c>
      <c r="F112" s="3041">
        <v>4.16</v>
      </c>
      <c r="G112" s="2488"/>
      <c r="H112" s="2752">
        <v>3</v>
      </c>
      <c r="I112" s="2752">
        <v>6</v>
      </c>
      <c r="J112" s="2488"/>
      <c r="K112" s="2614"/>
      <c r="L112" s="2488"/>
      <c r="M112" s="2614"/>
      <c r="N112" s="2479" t="str">
        <f t="shared" si="2"/>
        <v>WERTZ SINCLAIR, WY, Distribution, Unattended</v>
      </c>
    </row>
    <row r="113" spans="1:14" ht="15" customHeight="1" x14ac:dyDescent="0.2">
      <c r="A113" s="3003">
        <f t="shared" si="3"/>
        <v>40.825999999998075</v>
      </c>
      <c r="B113" s="2512" t="s">
        <v>11701</v>
      </c>
      <c r="C113" s="2489" t="s">
        <v>512</v>
      </c>
      <c r="D113" s="2489" t="s">
        <v>10937</v>
      </c>
      <c r="E113" s="3041">
        <v>34.5</v>
      </c>
      <c r="F113" s="3041">
        <v>4.16</v>
      </c>
      <c r="G113" s="2488"/>
      <c r="H113" s="2752">
        <v>3</v>
      </c>
      <c r="I113" s="2752">
        <v>1</v>
      </c>
      <c r="J113" s="2488"/>
      <c r="K113" s="2614"/>
      <c r="L113" s="2488"/>
      <c r="M113" s="2614"/>
      <c r="N113" s="2479" t="str">
        <f t="shared" si="2"/>
        <v>WEST ADAMS, WY, Distribution, Unattended</v>
      </c>
    </row>
    <row r="114" spans="1:14" ht="15" customHeight="1" x14ac:dyDescent="0.2">
      <c r="A114" s="3003">
        <f t="shared" si="3"/>
        <v>40.826999999998073</v>
      </c>
      <c r="B114" s="2512" t="s">
        <v>11702</v>
      </c>
      <c r="C114" s="2489" t="s">
        <v>512</v>
      </c>
      <c r="D114" s="2489" t="s">
        <v>10937</v>
      </c>
      <c r="E114" s="3041">
        <v>230</v>
      </c>
      <c r="F114" s="3041">
        <v>34.5</v>
      </c>
      <c r="G114" s="2488"/>
      <c r="H114" s="2752">
        <v>25</v>
      </c>
      <c r="I114" s="2752">
        <v>1</v>
      </c>
      <c r="J114" s="2488"/>
      <c r="K114" s="2614"/>
      <c r="L114" s="2488"/>
      <c r="M114" s="2614"/>
      <c r="N114" s="2479" t="str">
        <f t="shared" si="2"/>
        <v>WESTVACO, WY, Distribution, Unattended</v>
      </c>
    </row>
    <row r="115" spans="1:14" ht="15" customHeight="1" x14ac:dyDescent="0.2">
      <c r="A115" s="3003">
        <f t="shared" si="3"/>
        <v>40.82799999999807</v>
      </c>
      <c r="B115" s="2512" t="s">
        <v>11703</v>
      </c>
      <c r="C115" s="2489" t="s">
        <v>512</v>
      </c>
      <c r="D115" s="2489" t="s">
        <v>10937</v>
      </c>
      <c r="E115" s="3041">
        <v>57</v>
      </c>
      <c r="F115" s="3041">
        <v>12.47</v>
      </c>
      <c r="G115" s="2488"/>
      <c r="H115" s="2752">
        <v>9</v>
      </c>
      <c r="I115" s="2752">
        <v>1</v>
      </c>
      <c r="J115" s="2488"/>
      <c r="K115" s="2614"/>
      <c r="L115" s="2488"/>
      <c r="M115" s="2614"/>
      <c r="N115" s="2479" t="str">
        <f t="shared" si="2"/>
        <v>WHISKEY GULCH, WY, Distribution, Unattended</v>
      </c>
    </row>
    <row r="116" spans="1:14" ht="15" customHeight="1" x14ac:dyDescent="0.2">
      <c r="A116" s="3003">
        <f t="shared" si="3"/>
        <v>40.828999999998068</v>
      </c>
      <c r="B116" s="2512" t="s">
        <v>11704</v>
      </c>
      <c r="C116" s="2489" t="s">
        <v>512</v>
      </c>
      <c r="D116" s="2489" t="s">
        <v>10937</v>
      </c>
      <c r="E116" s="3041">
        <v>34.5</v>
      </c>
      <c r="F116" s="3041">
        <v>4.16</v>
      </c>
      <c r="G116" s="2488"/>
      <c r="H116" s="2752">
        <v>4</v>
      </c>
      <c r="I116" s="2752">
        <v>1</v>
      </c>
      <c r="J116" s="2488"/>
      <c r="K116" s="2614"/>
      <c r="L116" s="2488"/>
      <c r="M116" s="2614"/>
      <c r="N116" s="2479" t="str">
        <f t="shared" si="2"/>
        <v>WORLAND TOWN, WY, Distribution, Unattended</v>
      </c>
    </row>
    <row r="117" spans="1:14" ht="15" customHeight="1" x14ac:dyDescent="0.2">
      <c r="A117" s="3003">
        <f t="shared" si="3"/>
        <v>40.829999999998066</v>
      </c>
      <c r="B117" s="2512" t="s">
        <v>11705</v>
      </c>
      <c r="C117" s="2489" t="s">
        <v>512</v>
      </c>
      <c r="D117" s="2489" t="s">
        <v>10937</v>
      </c>
      <c r="E117" s="3041">
        <v>20.8</v>
      </c>
      <c r="F117" s="3041">
        <v>2.4</v>
      </c>
      <c r="G117" s="2488"/>
      <c r="H117" s="2752">
        <v>1</v>
      </c>
      <c r="I117" s="2752">
        <v>3</v>
      </c>
      <c r="J117" s="2488"/>
      <c r="K117" s="2614"/>
      <c r="L117" s="2488"/>
      <c r="M117" s="2614"/>
      <c r="N117" s="2479" t="str">
        <f t="shared" si="2"/>
        <v>WYCO BEAR CREEK, WY, Distribution, Unattended</v>
      </c>
    </row>
    <row r="118" spans="1:14" ht="15" customHeight="1" x14ac:dyDescent="0.2">
      <c r="A118" s="3003">
        <f t="shared" si="3"/>
        <v>40.830999999998063</v>
      </c>
      <c r="B118" s="2512" t="s">
        <v>11706</v>
      </c>
      <c r="C118" s="2489" t="s">
        <v>512</v>
      </c>
      <c r="D118" s="2489" t="s">
        <v>10937</v>
      </c>
      <c r="E118" s="3041">
        <v>13.2</v>
      </c>
      <c r="F118" s="3041">
        <v>4.16</v>
      </c>
      <c r="G118" s="2488"/>
      <c r="H118" s="2752">
        <v>2</v>
      </c>
      <c r="I118" s="2752">
        <v>3</v>
      </c>
      <c r="J118" s="2488"/>
      <c r="K118" s="2614"/>
      <c r="L118" s="2488"/>
      <c r="M118" s="2614"/>
      <c r="N118" s="2479" t="str">
        <f t="shared" si="2"/>
        <v>WYCO STROUD, WY, Distribution, Unattended</v>
      </c>
    </row>
    <row r="119" spans="1:14" ht="15" customHeight="1" x14ac:dyDescent="0.2">
      <c r="A119" s="3003">
        <f t="shared" si="3"/>
        <v>40.831999999998061</v>
      </c>
      <c r="B119" s="2512" t="s">
        <v>11707</v>
      </c>
      <c r="C119" s="2489" t="s">
        <v>512</v>
      </c>
      <c r="D119" s="2489" t="s">
        <v>10937</v>
      </c>
      <c r="E119" s="3041">
        <v>230</v>
      </c>
      <c r="F119" s="3041">
        <v>34.5</v>
      </c>
      <c r="G119" s="2488"/>
      <c r="H119" s="2752">
        <v>20</v>
      </c>
      <c r="I119" s="2752">
        <v>1</v>
      </c>
      <c r="J119" s="2750">
        <v>1</v>
      </c>
      <c r="K119" s="2614"/>
      <c r="L119" s="2488"/>
      <c r="M119" s="2614"/>
      <c r="N119" s="2479" t="str">
        <f t="shared" si="2"/>
        <v>WYOPO, WY, Distribution, Unattended</v>
      </c>
    </row>
    <row r="120" spans="1:14" ht="15" customHeight="1" x14ac:dyDescent="0.2">
      <c r="A120" s="3003">
        <f t="shared" si="3"/>
        <v>40.832999999998059</v>
      </c>
      <c r="B120" s="2512" t="s">
        <v>11708</v>
      </c>
      <c r="C120" s="2489" t="s">
        <v>512</v>
      </c>
      <c r="D120" s="2489" t="s">
        <v>10937</v>
      </c>
      <c r="E120" s="3041">
        <v>230</v>
      </c>
      <c r="F120" s="3041">
        <v>34.5</v>
      </c>
      <c r="G120" s="3043">
        <v>13.2</v>
      </c>
      <c r="H120" s="2752">
        <v>100</v>
      </c>
      <c r="I120" s="2752">
        <v>2</v>
      </c>
      <c r="J120" s="2488"/>
      <c r="K120" s="2614"/>
      <c r="L120" s="2488"/>
      <c r="M120" s="2614"/>
      <c r="N120" s="2479" t="str">
        <f t="shared" si="2"/>
        <v>YELLOWCAKE, WY, Distribution, Unattended</v>
      </c>
    </row>
    <row r="121" spans="1:14" ht="15" customHeight="1" x14ac:dyDescent="0.2">
      <c r="A121" s="3003">
        <f t="shared" si="3"/>
        <v>40.833999999998056</v>
      </c>
      <c r="B121" s="2744" t="s">
        <v>10623</v>
      </c>
      <c r="C121" s="2489" t="s">
        <v>106</v>
      </c>
      <c r="D121" s="2489" t="s">
        <v>10981</v>
      </c>
      <c r="E121" s="3041">
        <v>230</v>
      </c>
      <c r="F121" s="3041">
        <v>115</v>
      </c>
      <c r="G121" s="3043">
        <v>13.2</v>
      </c>
      <c r="H121" s="2752">
        <v>269</v>
      </c>
      <c r="I121" s="2752">
        <v>3</v>
      </c>
      <c r="J121" s="2750">
        <v>1</v>
      </c>
      <c r="K121" s="2614"/>
      <c r="L121" s="2488"/>
      <c r="M121" s="2614"/>
      <c r="N121" s="2479" t="str">
        <f t="shared" si="2"/>
        <v>DAVE JOHNSTON, WY, Transmission, Attended</v>
      </c>
    </row>
    <row r="122" spans="1:14" ht="15" customHeight="1" x14ac:dyDescent="0.2">
      <c r="A122" s="3003">
        <f t="shared" si="3"/>
        <v>40.834999999998054</v>
      </c>
      <c r="B122" s="2744" t="s">
        <v>10554</v>
      </c>
      <c r="C122" s="2489" t="s">
        <v>106</v>
      </c>
      <c r="D122" s="2489" t="s">
        <v>10981</v>
      </c>
      <c r="E122" s="3041">
        <v>345</v>
      </c>
      <c r="F122" s="3041">
        <v>230</v>
      </c>
      <c r="G122" s="3043">
        <v>34.5</v>
      </c>
      <c r="H122" s="2752">
        <v>850</v>
      </c>
      <c r="I122" s="2752">
        <v>6</v>
      </c>
      <c r="J122" s="2750">
        <v>1</v>
      </c>
      <c r="K122" s="2614"/>
      <c r="L122" s="2488"/>
      <c r="M122" s="2614"/>
      <c r="N122" s="2479" t="str">
        <f t="shared" si="2"/>
        <v>JIM BRIDGER, WY, Transmission, Attended</v>
      </c>
    </row>
    <row r="123" spans="1:14" ht="15" customHeight="1" x14ac:dyDescent="0.2">
      <c r="A123" s="3003">
        <f t="shared" si="3"/>
        <v>40.835999999998052</v>
      </c>
      <c r="B123" s="2512" t="s">
        <v>10667</v>
      </c>
      <c r="C123" s="2489" t="s">
        <v>106</v>
      </c>
      <c r="D123" s="2489" t="s">
        <v>10981</v>
      </c>
      <c r="E123" s="3041">
        <v>230</v>
      </c>
      <c r="F123" s="3041">
        <v>138</v>
      </c>
      <c r="G123" s="3043">
        <v>13.8</v>
      </c>
      <c r="H123" s="2752">
        <v>661</v>
      </c>
      <c r="I123" s="2752">
        <v>4</v>
      </c>
      <c r="J123" s="2488"/>
      <c r="K123" s="2614"/>
      <c r="L123" s="2488"/>
      <c r="M123" s="2614"/>
      <c r="N123" s="2479" t="str">
        <f t="shared" si="2"/>
        <v>NAUGHTON, WY, Transmission, Attended</v>
      </c>
    </row>
    <row r="124" spans="1:14" ht="15" customHeight="1" x14ac:dyDescent="0.2">
      <c r="A124" s="3003">
        <f t="shared" si="3"/>
        <v>40.836999999998049</v>
      </c>
      <c r="B124" s="2512" t="s">
        <v>10509</v>
      </c>
      <c r="C124" s="2489" t="s">
        <v>106</v>
      </c>
      <c r="D124" s="2489" t="s">
        <v>10937</v>
      </c>
      <c r="E124" s="3041">
        <v>500</v>
      </c>
      <c r="F124" s="3041">
        <v>230</v>
      </c>
      <c r="G124" s="3043">
        <v>34.5</v>
      </c>
      <c r="H124" s="2752">
        <v>1600</v>
      </c>
      <c r="I124" s="2752">
        <v>3</v>
      </c>
      <c r="J124" s="2488"/>
      <c r="K124" s="2614"/>
      <c r="L124" s="2488"/>
      <c r="M124" s="2614"/>
      <c r="N124" s="2479" t="str">
        <f t="shared" si="2"/>
        <v>AEOLUS, WY, Transmission, Unattended</v>
      </c>
    </row>
    <row r="125" spans="1:14" ht="15" customHeight="1" x14ac:dyDescent="0.2">
      <c r="A125" s="3003">
        <f t="shared" si="3"/>
        <v>40.837999999998047</v>
      </c>
      <c r="B125" s="2512" t="s">
        <v>10510</v>
      </c>
      <c r="C125" s="2489" t="s">
        <v>106</v>
      </c>
      <c r="D125" s="2489" t="s">
        <v>10937</v>
      </c>
      <c r="E125" s="3041">
        <v>500</v>
      </c>
      <c r="F125" s="3041">
        <v>345</v>
      </c>
      <c r="G125" s="3043">
        <v>34.5</v>
      </c>
      <c r="H125" s="2752">
        <v>1600</v>
      </c>
      <c r="I125" s="2752">
        <v>3</v>
      </c>
      <c r="J125" s="2750">
        <v>1</v>
      </c>
      <c r="K125" s="2614"/>
      <c r="L125" s="2488"/>
      <c r="M125" s="2614"/>
      <c r="N125" s="2479" t="str">
        <f t="shared" si="2"/>
        <v>ANTICLINE, WY, Transmission, Unattended</v>
      </c>
    </row>
    <row r="126" spans="1:14" ht="15" customHeight="1" x14ac:dyDescent="0.2">
      <c r="A126" s="3003">
        <f t="shared" si="3"/>
        <v>40.838999999998045</v>
      </c>
      <c r="B126" s="2512"/>
      <c r="C126" s="2489"/>
      <c r="D126" s="2489"/>
      <c r="E126" s="2614"/>
      <c r="F126" s="2614"/>
      <c r="G126" s="2488"/>
      <c r="H126" s="2614"/>
      <c r="I126" s="2614"/>
      <c r="J126" s="2488"/>
      <c r="K126" s="2614"/>
      <c r="L126" s="2488"/>
      <c r="M126" s="2614"/>
      <c r="N126" s="2479" t="str">
        <f t="shared" si="2"/>
        <v xml:space="preserve">, , </v>
      </c>
    </row>
    <row r="127" spans="1:14" ht="15" customHeight="1" x14ac:dyDescent="0.2">
      <c r="A127" s="3003">
        <f t="shared" si="3"/>
        <v>40.839999999998042</v>
      </c>
      <c r="B127" s="2512" t="s">
        <v>10622</v>
      </c>
      <c r="C127" s="2489" t="s">
        <v>106</v>
      </c>
      <c r="D127" s="2489" t="s">
        <v>10937</v>
      </c>
      <c r="E127" s="3041">
        <v>230</v>
      </c>
      <c r="F127" s="3041">
        <v>115</v>
      </c>
      <c r="G127" s="3043">
        <v>13.8</v>
      </c>
      <c r="H127" s="2752">
        <v>575</v>
      </c>
      <c r="I127" s="2752">
        <v>4</v>
      </c>
      <c r="J127" s="2488"/>
      <c r="K127" s="2614"/>
      <c r="L127" s="2488"/>
      <c r="M127" s="2614"/>
      <c r="N127" s="2479" t="str">
        <f t="shared" si="2"/>
        <v>CASPER, WY, Transmission, Unattended</v>
      </c>
    </row>
    <row r="128" spans="1:14" ht="15" customHeight="1" x14ac:dyDescent="0.2">
      <c r="A128" s="3003">
        <f t="shared" si="3"/>
        <v>40.84099999999804</v>
      </c>
      <c r="B128" s="2512" t="s">
        <v>10626</v>
      </c>
      <c r="C128" s="2489" t="s">
        <v>106</v>
      </c>
      <c r="D128" s="2489" t="s">
        <v>10937</v>
      </c>
      <c r="E128" s="3041">
        <v>230</v>
      </c>
      <c r="F128" s="3041">
        <v>69</v>
      </c>
      <c r="G128" s="3043">
        <v>12.47</v>
      </c>
      <c r="H128" s="2752">
        <v>75</v>
      </c>
      <c r="I128" s="2752">
        <v>1</v>
      </c>
      <c r="J128" s="2488"/>
      <c r="K128" s="2614"/>
      <c r="L128" s="2488"/>
      <c r="M128" s="2614"/>
      <c r="N128" s="2479" t="str">
        <f t="shared" si="2"/>
        <v>CHAPPEL CREEK, WY, Transmission, Unattended</v>
      </c>
    </row>
    <row r="129" spans="1:14" ht="15" customHeight="1" x14ac:dyDescent="0.2">
      <c r="A129" s="3003">
        <f t="shared" si="3"/>
        <v>40.841999999998038</v>
      </c>
      <c r="B129" s="2512" t="s">
        <v>11709</v>
      </c>
      <c r="C129" s="2489" t="s">
        <v>106</v>
      </c>
      <c r="D129" s="2489" t="s">
        <v>10937</v>
      </c>
      <c r="E129" s="3041">
        <v>230</v>
      </c>
      <c r="F129" s="3041">
        <v>69</v>
      </c>
      <c r="G129" s="3043">
        <v>12.47</v>
      </c>
      <c r="H129" s="2752">
        <v>75</v>
      </c>
      <c r="I129" s="2752">
        <v>1</v>
      </c>
      <c r="J129" s="2488"/>
      <c r="K129" s="2614"/>
      <c r="L129" s="2488"/>
      <c r="M129" s="2614"/>
      <c r="N129" s="2479" t="str">
        <f t="shared" si="2"/>
        <v>CHIMNEY BUTTE, WY, Transmission, Unattended</v>
      </c>
    </row>
    <row r="130" spans="1:14" ht="15" customHeight="1" x14ac:dyDescent="0.2">
      <c r="A130" s="3003">
        <f t="shared" si="3"/>
        <v>40.842999999998035</v>
      </c>
      <c r="B130" s="2512" t="s">
        <v>11710</v>
      </c>
      <c r="C130" s="2489" t="s">
        <v>106</v>
      </c>
      <c r="D130" s="2489" t="s">
        <v>10937</v>
      </c>
      <c r="E130" s="3041">
        <v>230</v>
      </c>
      <c r="F130" s="3041">
        <v>34.5</v>
      </c>
      <c r="G130" s="3043">
        <v>12.47</v>
      </c>
      <c r="H130" s="2752">
        <v>196</v>
      </c>
      <c r="I130" s="2752">
        <v>2</v>
      </c>
      <c r="J130" s="2488"/>
      <c r="K130" s="2614"/>
      <c r="L130" s="2488"/>
      <c r="M130" s="2614"/>
      <c r="N130" s="2479" t="str">
        <f t="shared" si="2"/>
        <v>FOOTE CREEK, WY, Transmission, Unattended</v>
      </c>
    </row>
    <row r="131" spans="1:14" ht="15" customHeight="1" x14ac:dyDescent="0.2">
      <c r="A131" s="3003">
        <f t="shared" si="3"/>
        <v>40.843999999998033</v>
      </c>
      <c r="B131" s="2512" t="s">
        <v>11711</v>
      </c>
      <c r="C131" s="2489" t="s">
        <v>106</v>
      </c>
      <c r="D131" s="2489" t="s">
        <v>10937</v>
      </c>
      <c r="E131" s="3041">
        <v>69</v>
      </c>
      <c r="F131" s="3041">
        <v>57</v>
      </c>
      <c r="G131" s="2488"/>
      <c r="H131" s="2752">
        <v>8</v>
      </c>
      <c r="I131" s="2752">
        <v>1</v>
      </c>
      <c r="J131" s="2750">
        <v>1</v>
      </c>
      <c r="K131" s="2614"/>
      <c r="L131" s="2488"/>
      <c r="M131" s="2614"/>
      <c r="N131" s="2479" t="str">
        <f t="shared" si="2"/>
        <v>GLENDO AUTO, WY, Transmission, Unattended</v>
      </c>
    </row>
    <row r="132" spans="1:14" ht="15" customHeight="1" x14ac:dyDescent="0.2">
      <c r="A132" s="3003">
        <f t="shared" si="3"/>
        <v>40.844999999998031</v>
      </c>
      <c r="B132" s="2512" t="s">
        <v>11712</v>
      </c>
      <c r="C132" s="2489" t="s">
        <v>106</v>
      </c>
      <c r="D132" s="2489" t="s">
        <v>10937</v>
      </c>
      <c r="E132" s="3041">
        <v>230</v>
      </c>
      <c r="F132" s="3041">
        <v>69</v>
      </c>
      <c r="G132" s="3043">
        <v>13.2</v>
      </c>
      <c r="H132" s="2752">
        <v>158</v>
      </c>
      <c r="I132" s="2752">
        <v>3</v>
      </c>
      <c r="J132" s="2488"/>
      <c r="K132" s="2614"/>
      <c r="L132" s="2488"/>
      <c r="M132" s="2614"/>
      <c r="N132" s="2479" t="str">
        <f t="shared" si="2"/>
        <v>MIDWEST, WY, Transmission, Unattended</v>
      </c>
    </row>
    <row r="133" spans="1:14" ht="15" customHeight="1" x14ac:dyDescent="0.2">
      <c r="A133" s="3003">
        <f t="shared" si="3"/>
        <v>40.845999999998028</v>
      </c>
      <c r="B133" s="2512"/>
      <c r="C133" s="2489"/>
      <c r="D133" s="2489"/>
      <c r="E133" s="2614"/>
      <c r="F133" s="2614"/>
      <c r="G133" s="2488"/>
      <c r="H133" s="2614"/>
      <c r="I133" s="2614"/>
      <c r="J133" s="2488"/>
      <c r="K133" s="2614"/>
      <c r="L133" s="2488"/>
      <c r="M133" s="2614"/>
      <c r="N133" s="2479" t="str">
        <f t="shared" si="2"/>
        <v xml:space="preserve">, , </v>
      </c>
    </row>
    <row r="134" spans="1:14" ht="15" customHeight="1" x14ac:dyDescent="0.2">
      <c r="A134" s="3003">
        <f t="shared" si="3"/>
        <v>40.846999999998026</v>
      </c>
      <c r="B134" s="2512" t="s">
        <v>11713</v>
      </c>
      <c r="C134" s="2489" t="s">
        <v>106</v>
      </c>
      <c r="D134" s="2489" t="s">
        <v>10937</v>
      </c>
      <c r="E134" s="3041">
        <v>230</v>
      </c>
      <c r="F134" s="3041">
        <v>115</v>
      </c>
      <c r="G134" s="3043">
        <v>13.2</v>
      </c>
      <c r="H134" s="2752">
        <v>100</v>
      </c>
      <c r="I134" s="2752">
        <v>1</v>
      </c>
      <c r="J134" s="2488"/>
      <c r="K134" s="2614"/>
      <c r="L134" s="2488"/>
      <c r="M134" s="2614"/>
      <c r="N134" s="2479" t="str">
        <f t="shared" si="2"/>
        <v>MUSTANG, WY, Transmission, Unattended</v>
      </c>
    </row>
    <row r="135" spans="1:14" ht="15" customHeight="1" x14ac:dyDescent="0.2">
      <c r="A135" s="3003">
        <f t="shared" si="3"/>
        <v>40.847999999998024</v>
      </c>
      <c r="B135" s="2512" t="s">
        <v>10616</v>
      </c>
      <c r="C135" s="2489" t="s">
        <v>106</v>
      </c>
      <c r="D135" s="2489" t="s">
        <v>10937</v>
      </c>
      <c r="E135" s="3041">
        <v>230</v>
      </c>
      <c r="F135" s="3041">
        <v>138</v>
      </c>
      <c r="G135" s="3043">
        <v>24.9</v>
      </c>
      <c r="H135" s="2752">
        <v>448</v>
      </c>
      <c r="I135" s="2752">
        <v>2</v>
      </c>
      <c r="J135" s="2488"/>
      <c r="K135" s="2614"/>
      <c r="L135" s="2488"/>
      <c r="M135" s="2614"/>
      <c r="N135" s="2479" t="str">
        <f t="shared" si="2"/>
        <v>RAILROAD, WY, Transmission, Unattended</v>
      </c>
    </row>
    <row r="136" spans="1:14" ht="15" customHeight="1" x14ac:dyDescent="0.2">
      <c r="A136" s="3003">
        <f t="shared" si="3"/>
        <v>40.848999999998021</v>
      </c>
      <c r="B136" s="2512" t="s">
        <v>11714</v>
      </c>
      <c r="C136" s="2489" t="s">
        <v>106</v>
      </c>
      <c r="D136" s="2489" t="s">
        <v>10937</v>
      </c>
      <c r="E136" s="3041">
        <v>69</v>
      </c>
      <c r="F136" s="3041">
        <v>46</v>
      </c>
      <c r="G136" s="3043">
        <v>2.4</v>
      </c>
      <c r="H136" s="2752">
        <v>22</v>
      </c>
      <c r="I136" s="2752">
        <v>1</v>
      </c>
      <c r="J136" s="2488"/>
      <c r="K136" s="2614"/>
      <c r="L136" s="2488"/>
      <c r="M136" s="2614"/>
      <c r="N136" s="2479" t="str">
        <f t="shared" si="2"/>
        <v>SAGE, WY, Transmission, Unattended</v>
      </c>
    </row>
    <row r="137" spans="1:14" ht="15" customHeight="1" x14ac:dyDescent="0.2">
      <c r="A137" s="3003">
        <f t="shared" si="3"/>
        <v>40.849999999998019</v>
      </c>
      <c r="B137" s="2512" t="s">
        <v>10652</v>
      </c>
      <c r="C137" s="2489" t="s">
        <v>106</v>
      </c>
      <c r="D137" s="2489" t="s">
        <v>10937</v>
      </c>
      <c r="E137" s="3041">
        <v>230</v>
      </c>
      <c r="F137" s="3041">
        <v>12.47</v>
      </c>
      <c r="G137" s="2488"/>
      <c r="H137" s="2752">
        <v>75</v>
      </c>
      <c r="I137" s="2614"/>
      <c r="J137" s="2488"/>
      <c r="K137" s="2614"/>
      <c r="L137" s="2488"/>
      <c r="M137" s="2614"/>
      <c r="N137" s="2479" t="str">
        <f t="shared" si="2"/>
        <v>STANDPIPE, WY, Transmission, Unattended</v>
      </c>
    </row>
    <row r="138" spans="1:14" ht="15" customHeight="1" x14ac:dyDescent="0.2">
      <c r="A138" s="3003">
        <f t="shared" si="3"/>
        <v>40.850999999998017</v>
      </c>
      <c r="B138" s="2512" t="s">
        <v>10678</v>
      </c>
      <c r="C138" s="2489" t="s">
        <v>106</v>
      </c>
      <c r="D138" s="2489" t="s">
        <v>10937</v>
      </c>
      <c r="E138" s="3041">
        <v>230</v>
      </c>
      <c r="F138" s="3041">
        <v>115</v>
      </c>
      <c r="G138" s="3043">
        <v>12.47</v>
      </c>
      <c r="H138" s="2752">
        <v>84</v>
      </c>
      <c r="I138" s="2614"/>
      <c r="J138" s="2750">
        <v>1</v>
      </c>
      <c r="K138" s="2614"/>
      <c r="L138" s="2488"/>
      <c r="M138" s="2614"/>
      <c r="N138" s="2479" t="str">
        <f t="shared" ref="N138" si="4">CONCATENATE(B138,", ",C138,", ",D138)</f>
        <v>THERMOPOLIS, WY, Transmission, Unattended</v>
      </c>
    </row>
    <row r="139" spans="1:14" ht="4.1500000000000004" customHeight="1" x14ac:dyDescent="0.2">
      <c r="A139" s="3071"/>
      <c r="B139" s="3072"/>
      <c r="C139" s="3066"/>
      <c r="D139" s="3066"/>
      <c r="E139" s="3071"/>
      <c r="F139" s="3071"/>
      <c r="G139" s="3065"/>
      <c r="H139" s="3071"/>
      <c r="I139" s="3071"/>
      <c r="J139" s="3065"/>
      <c r="K139" s="3071"/>
      <c r="L139" s="3065"/>
      <c r="M139" s="3071"/>
    </row>
    <row r="140" spans="1:14" ht="15" customHeight="1" x14ac:dyDescent="0.2">
      <c r="A140" s="2812"/>
      <c r="B140" s="2669" t="s">
        <v>11715</v>
      </c>
      <c r="C140" s="2498" t="s">
        <v>512</v>
      </c>
      <c r="D140" s="2498" t="s">
        <v>10937</v>
      </c>
      <c r="E140" s="2812"/>
      <c r="F140" s="2812"/>
      <c r="G140" s="2812"/>
      <c r="H140" s="3067">
        <f>SUMIFS(H10:H138,C10:C138,C140,D10:D138,D140)</f>
        <v>3289</v>
      </c>
      <c r="I140" s="2812"/>
      <c r="J140" s="2668"/>
      <c r="K140" s="2812"/>
      <c r="L140" s="2668"/>
      <c r="M140" s="2812"/>
      <c r="N140" s="2855"/>
    </row>
    <row r="141" spans="1:14" ht="15" customHeight="1" x14ac:dyDescent="0.2">
      <c r="A141" s="2812"/>
      <c r="B141" s="2669" t="s">
        <v>11715</v>
      </c>
      <c r="C141" s="2498" t="s">
        <v>106</v>
      </c>
      <c r="D141" s="2498" t="s">
        <v>10981</v>
      </c>
      <c r="E141" s="2812"/>
      <c r="F141" s="2812"/>
      <c r="G141" s="2812"/>
      <c r="H141" s="3067">
        <f>SUMIFS(H10:H138,C10:C138,C141,D10:D138,D141)</f>
        <v>1780</v>
      </c>
      <c r="I141" s="2812"/>
      <c r="J141" s="2668"/>
      <c r="K141" s="2812"/>
      <c r="L141" s="2668"/>
      <c r="M141" s="2812"/>
      <c r="N141" s="2855"/>
    </row>
    <row r="142" spans="1:14" ht="15" customHeight="1" x14ac:dyDescent="0.2">
      <c r="A142" s="2812"/>
      <c r="B142" s="2669" t="s">
        <v>11715</v>
      </c>
      <c r="C142" s="2498" t="s">
        <v>106</v>
      </c>
      <c r="D142" s="2498" t="s">
        <v>10937</v>
      </c>
      <c r="E142" s="2812"/>
      <c r="F142" s="2812"/>
      <c r="G142" s="2812"/>
      <c r="H142" s="3067">
        <f>SUMIFS(H10:H138,C10:C138,C142,D10:D138,D142)</f>
        <v>5016</v>
      </c>
      <c r="I142" s="2812"/>
      <c r="J142" s="2668"/>
      <c r="K142" s="2812"/>
      <c r="L142" s="2668"/>
      <c r="M142" s="2812"/>
      <c r="N142" s="2855"/>
    </row>
    <row r="143" spans="1:14" ht="15" customHeight="1" x14ac:dyDescent="0.2">
      <c r="A143" s="2537"/>
      <c r="B143" s="2536"/>
      <c r="C143" s="2535"/>
      <c r="D143" s="2535"/>
      <c r="E143" s="2535"/>
      <c r="F143" s="2535"/>
      <c r="G143" s="2939"/>
      <c r="H143" s="3068" t="b">
        <f>SUM(H10:H138)=SUM(H140:H142)</f>
        <v>1</v>
      </c>
      <c r="I143" s="3076"/>
      <c r="J143" s="2516"/>
      <c r="K143" s="2537"/>
      <c r="L143" s="2516"/>
      <c r="M143" s="2537"/>
    </row>
    <row r="144" spans="1:14" ht="15" customHeight="1" x14ac:dyDescent="0.2">
      <c r="H144" s="2537"/>
    </row>
    <row r="145" spans="1:15" ht="15" customHeight="1" x14ac:dyDescent="0.2">
      <c r="A145" s="4190" t="s">
        <v>11716</v>
      </c>
      <c r="B145" s="3911"/>
    </row>
    <row r="146" spans="1:15" ht="15" customHeight="1" x14ac:dyDescent="0.2">
      <c r="A146" s="3078">
        <v>41</v>
      </c>
      <c r="B146" s="2669" t="s">
        <v>1342</v>
      </c>
      <c r="C146" s="2669" t="s">
        <v>512</v>
      </c>
      <c r="D146" s="2812" t="s">
        <v>10981</v>
      </c>
      <c r="E146" s="2614"/>
      <c r="F146" s="2614"/>
      <c r="G146" s="2614"/>
      <c r="H146" s="3067">
        <f>'Pg 426 - Substations - ID'!H98+'Pg 426 - Substations - OR'!H240+'Pg 426 - Substations - UT'!H363</f>
        <v>133</v>
      </c>
      <c r="I146" s="2614"/>
      <c r="J146" s="2488"/>
      <c r="K146" s="2614"/>
      <c r="L146" s="2488"/>
      <c r="M146" s="2614"/>
      <c r="N146" s="2585"/>
      <c r="O146" s="2528" t="s">
        <v>11717</v>
      </c>
    </row>
    <row r="147" spans="1:15" ht="15" customHeight="1" x14ac:dyDescent="0.2">
      <c r="A147" s="3079">
        <v>41.1</v>
      </c>
      <c r="B147" s="2669" t="s">
        <v>1342</v>
      </c>
      <c r="C147" s="2669" t="s">
        <v>512</v>
      </c>
      <c r="D147" s="2812" t="s">
        <v>10937</v>
      </c>
      <c r="E147" s="2812"/>
      <c r="F147" s="2812"/>
      <c r="G147" s="2812"/>
      <c r="H147" s="3067">
        <f>'Pg 426 - Substations - CA'!H62+'Pg 426 - Substations - ID'!H99+'Pg 426 - Substations - OR'!H241+'Pg 426 - Substations - UT'!H364+'Pg 426 - Substations - WA'!H52+H140</f>
        <v>20008</v>
      </c>
      <c r="I147" s="2812"/>
      <c r="J147" s="2668"/>
      <c r="K147" s="2812"/>
      <c r="L147" s="2668"/>
      <c r="M147" s="2812"/>
      <c r="N147" s="3080"/>
      <c r="O147" s="2528" t="s">
        <v>11718</v>
      </c>
    </row>
    <row r="148" spans="1:15" ht="15" customHeight="1" x14ac:dyDescent="0.2">
      <c r="A148" s="3078">
        <v>42</v>
      </c>
      <c r="B148" s="2669" t="s">
        <v>1342</v>
      </c>
      <c r="C148" s="2669" t="s">
        <v>106</v>
      </c>
      <c r="D148" s="2812" t="s">
        <v>10981</v>
      </c>
      <c r="E148" s="2614"/>
      <c r="F148" s="2614"/>
      <c r="G148" s="2614"/>
      <c r="H148" s="3067">
        <f>'Pg 426 - Substations - CA'!H63+'Pg 426 - Substations - ID'!H100+'Pg 426 - Substations - MT'!H14+'Pg 426 - Substations - OR'!H242+'Pg 426 - Substations - UT'!H365+H141</f>
        <v>2964</v>
      </c>
      <c r="I148" s="2614"/>
      <c r="J148" s="2488"/>
      <c r="K148" s="2614"/>
      <c r="L148" s="2488"/>
      <c r="M148" s="2614"/>
      <c r="N148" s="3080"/>
      <c r="O148" s="2528" t="s">
        <v>11719</v>
      </c>
    </row>
    <row r="149" spans="1:15" ht="15" customHeight="1" x14ac:dyDescent="0.2">
      <c r="A149" s="3079">
        <v>42.1</v>
      </c>
      <c r="B149" s="2669" t="s">
        <v>1342</v>
      </c>
      <c r="C149" s="2669" t="s">
        <v>106</v>
      </c>
      <c r="D149" s="2812" t="s">
        <v>10937</v>
      </c>
      <c r="E149" s="2614"/>
      <c r="F149" s="2614"/>
      <c r="G149" s="2614"/>
      <c r="H149" s="3067">
        <f>'Pg 426 - Substations - CA'!H64+'Pg 426 - Substations - ID'!H101+'Pg 426 - Substations - MT'!H15+'Pg 426 - Substations - OR'!H243+'Pg 426 - Substations - UT'!H366+'Pg 426 - Substations - WA'!H53+H142</f>
        <v>39833</v>
      </c>
      <c r="I149" s="2614"/>
      <c r="J149" s="2488"/>
      <c r="K149" s="2614"/>
      <c r="L149" s="2488"/>
      <c r="M149" s="2614"/>
      <c r="N149" s="3080"/>
      <c r="O149" s="2528" t="s">
        <v>11720</v>
      </c>
    </row>
    <row r="150" spans="1:15" ht="15" customHeight="1" x14ac:dyDescent="0.2">
      <c r="A150" s="3078">
        <v>44</v>
      </c>
      <c r="B150" s="2669" t="s">
        <v>1342</v>
      </c>
      <c r="C150" s="3081"/>
      <c r="D150" s="3082"/>
      <c r="E150" s="2733"/>
      <c r="F150" s="2733"/>
      <c r="G150" s="2488"/>
      <c r="H150" s="3078">
        <f>SUM(H146:H149)</f>
        <v>62938</v>
      </c>
      <c r="I150" s="2614"/>
      <c r="J150" s="2488"/>
      <c r="K150" s="2614"/>
      <c r="L150" s="2488"/>
      <c r="M150" s="3007">
        <f>SUM(M146:M149)</f>
        <v>0</v>
      </c>
      <c r="N150" s="2528"/>
    </row>
    <row r="151" spans="1:15" x14ac:dyDescent="0.2">
      <c r="A151" s="2608"/>
      <c r="B151" s="2608"/>
      <c r="C151" s="2608"/>
      <c r="D151" s="2608"/>
      <c r="E151" s="2608"/>
      <c r="F151" s="2608"/>
      <c r="G151" s="2608"/>
      <c r="H151" s="2608"/>
      <c r="I151" s="2608"/>
      <c r="J151" s="2608"/>
      <c r="K151" s="2608"/>
      <c r="L151" s="2608"/>
      <c r="M151" s="2608"/>
    </row>
  </sheetData>
  <mergeCells count="15">
    <mergeCell ref="J7:J8"/>
    <mergeCell ref="K7:M7"/>
    <mergeCell ref="A145:B145"/>
    <mergeCell ref="A7:A9"/>
    <mergeCell ref="B7:B8"/>
    <mergeCell ref="C7:D7"/>
    <mergeCell ref="E7:G7"/>
    <mergeCell ref="H7:H8"/>
    <mergeCell ref="I7:I8"/>
    <mergeCell ref="C2:H2"/>
    <mergeCell ref="A4:M4"/>
    <mergeCell ref="A5:G5"/>
    <mergeCell ref="H5:M5"/>
    <mergeCell ref="A6:G6"/>
    <mergeCell ref="H6:M6"/>
  </mergeCells>
  <pageMargins left="0.75" right="0.75" top="1" bottom="1" header="0.5" footer="0.5"/>
  <customProperties>
    <customPr name="_pios_id" r:id="rId1"/>
  </customProperties>
</worksheet>
</file>

<file path=xl/worksheets/sheet1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95A501-8B4B-4278-BE56-0B88767C90DF}">
  <sheetPr codeName="Sheet117"/>
  <dimension ref="A1:F110"/>
  <sheetViews>
    <sheetView showRuler="0" workbookViewId="0"/>
  </sheetViews>
  <sheetFormatPr defaultColWidth="11.5" defaultRowHeight="12.75" x14ac:dyDescent="0.2"/>
  <cols>
    <col min="1" max="1" width="5.75" style="1953" customWidth="1"/>
    <col min="2" max="2" width="46" style="1953" customWidth="1"/>
    <col min="3" max="3" width="30.625" style="1953" customWidth="1"/>
    <col min="4" max="4" width="32.5" style="1953" customWidth="1"/>
    <col min="5" max="5" width="11" style="1953" customWidth="1"/>
    <col min="6" max="6" width="55.5" style="1953" customWidth="1"/>
    <col min="7" max="26" width="17.625" style="1953" customWidth="1"/>
    <col min="27" max="16384" width="11.5" style="1953"/>
  </cols>
  <sheetData>
    <row r="1" spans="1:6" ht="16.7" customHeight="1" x14ac:dyDescent="0.2">
      <c r="B1" s="2744" t="s">
        <v>7058</v>
      </c>
      <c r="C1" s="2479"/>
    </row>
    <row r="2" spans="1:6" ht="16.7" customHeight="1" x14ac:dyDescent="0.2">
      <c r="B2" s="2516"/>
    </row>
    <row r="3" spans="1:6" ht="16.7" customHeight="1" x14ac:dyDescent="0.2"/>
    <row r="4" spans="1:6" ht="16.7" customHeight="1" x14ac:dyDescent="0.2"/>
    <row r="5" spans="1:6" ht="16.7" customHeight="1" x14ac:dyDescent="0.2">
      <c r="A5" s="4044" t="s">
        <v>11721</v>
      </c>
      <c r="B5" s="4045"/>
      <c r="C5" s="4045"/>
      <c r="D5" s="4045"/>
      <c r="E5" s="4046"/>
      <c r="F5" s="2486"/>
    </row>
    <row r="6" spans="1:6" ht="16.7" customHeight="1" x14ac:dyDescent="0.2">
      <c r="A6" s="3882" t="s">
        <v>11722</v>
      </c>
      <c r="B6" s="3883"/>
      <c r="C6" s="3883"/>
      <c r="D6" s="3883"/>
      <c r="E6" s="3884"/>
      <c r="F6" s="2479"/>
    </row>
    <row r="7" spans="1:6" ht="39.200000000000003" customHeight="1" x14ac:dyDescent="0.2">
      <c r="A7" s="3882"/>
      <c r="B7" s="3891"/>
      <c r="C7" s="3891"/>
      <c r="D7" s="3891"/>
      <c r="E7" s="3892"/>
      <c r="F7" s="2479"/>
    </row>
    <row r="8" spans="1:6" ht="39.200000000000003" customHeight="1" x14ac:dyDescent="0.2">
      <c r="A8" s="2581" t="s">
        <v>6360</v>
      </c>
      <c r="B8" s="2581" t="s">
        <v>11723</v>
      </c>
      <c r="C8" s="2581" t="s">
        <v>11724</v>
      </c>
      <c r="D8" s="2581" t="s">
        <v>11725</v>
      </c>
      <c r="E8" s="2581" t="s">
        <v>11726</v>
      </c>
      <c r="F8" s="2479"/>
    </row>
    <row r="9" spans="1:6" ht="16.7" customHeight="1" x14ac:dyDescent="0.2">
      <c r="A9" s="2588"/>
      <c r="B9" s="2589" t="s">
        <v>5949</v>
      </c>
      <c r="C9" s="2589" t="s">
        <v>5950</v>
      </c>
      <c r="D9" s="2589" t="s">
        <v>5951</v>
      </c>
      <c r="E9" s="2589" t="s">
        <v>5952</v>
      </c>
      <c r="F9" s="2479" t="s">
        <v>6324</v>
      </c>
    </row>
    <row r="10" spans="1:6" ht="16.7" customHeight="1" x14ac:dyDescent="0.2">
      <c r="A10" s="2752">
        <v>1</v>
      </c>
      <c r="B10" s="2669" t="s">
        <v>11727</v>
      </c>
      <c r="C10" s="2874"/>
      <c r="D10" s="2875"/>
      <c r="E10" s="2876"/>
      <c r="F10" s="2479"/>
    </row>
    <row r="11" spans="1:6" ht="16.7" customHeight="1" x14ac:dyDescent="0.2">
      <c r="A11" s="2752">
        <v>2</v>
      </c>
      <c r="B11" s="2512" t="s">
        <v>11728</v>
      </c>
      <c r="C11" s="2512" t="s">
        <v>11729</v>
      </c>
      <c r="D11" s="2489" t="s">
        <v>11730</v>
      </c>
      <c r="E11" s="2530">
        <v>135796074</v>
      </c>
      <c r="F11" s="2479" t="str">
        <f t="shared" ref="F11:F31" si="0">CONCATENATE(B11,", ",C11)</f>
        <v>Coal purchases, Bridger Coal Company</v>
      </c>
    </row>
    <row r="12" spans="1:6" ht="16.7" customHeight="1" x14ac:dyDescent="0.2">
      <c r="A12" s="2752">
        <v>3</v>
      </c>
      <c r="B12" s="2512" t="s">
        <v>11728</v>
      </c>
      <c r="C12" s="2512" t="s">
        <v>6999</v>
      </c>
      <c r="D12" s="2489" t="s">
        <v>11730</v>
      </c>
      <c r="E12" s="2530">
        <v>25655112</v>
      </c>
      <c r="F12" s="2479" t="str">
        <f t="shared" si="0"/>
        <v>Coal purchases, Trapper Mining Inc.</v>
      </c>
    </row>
    <row r="13" spans="1:6" ht="16.7" customHeight="1" x14ac:dyDescent="0.2">
      <c r="A13" s="2752">
        <v>4</v>
      </c>
      <c r="B13" s="2512" t="s">
        <v>11731</v>
      </c>
      <c r="C13" s="2512" t="s">
        <v>6991</v>
      </c>
      <c r="D13" s="2634" t="s">
        <v>11732</v>
      </c>
      <c r="E13" s="2530">
        <v>1146989</v>
      </c>
      <c r="F13" s="2479" t="str">
        <f t="shared" si="0"/>
        <v>Interest expense, Pacific Minerals, Inc.</v>
      </c>
    </row>
    <row r="14" spans="1:6" ht="23.25" customHeight="1" x14ac:dyDescent="0.2">
      <c r="A14" s="2752">
        <v>5</v>
      </c>
      <c r="B14" s="2744" t="s">
        <v>11733</v>
      </c>
      <c r="C14" s="3083" t="s">
        <v>11734</v>
      </c>
      <c r="D14" s="2543" t="s">
        <v>11735</v>
      </c>
      <c r="E14" s="3084">
        <v>153604260</v>
      </c>
      <c r="F14" s="2479" t="str">
        <f t="shared" si="0"/>
        <v>Administrative services under the IASA, Berkshire Hathaway Energy Company</v>
      </c>
    </row>
    <row r="15" spans="1:6" ht="23.25" customHeight="1" x14ac:dyDescent="0.2">
      <c r="A15" s="2752">
        <v>6</v>
      </c>
      <c r="B15" s="2512" t="s">
        <v>11736</v>
      </c>
      <c r="C15" s="3083" t="s">
        <v>11737</v>
      </c>
      <c r="D15" s="2543" t="s">
        <v>11738</v>
      </c>
      <c r="E15" s="3084">
        <v>428445</v>
      </c>
      <c r="F15" s="2479" t="str">
        <f t="shared" si="0"/>
        <v>Employee relocation services, HomeServices of America, Inc.</v>
      </c>
    </row>
    <row r="16" spans="1:6" ht="16.7" customHeight="1" x14ac:dyDescent="0.2">
      <c r="A16" s="2752">
        <v>7</v>
      </c>
      <c r="B16" s="2512" t="s">
        <v>11733</v>
      </c>
      <c r="C16" s="3083" t="s">
        <v>11739</v>
      </c>
      <c r="D16" s="2543" t="s">
        <v>11740</v>
      </c>
      <c r="E16" s="3084">
        <v>50176</v>
      </c>
      <c r="F16" s="2479" t="str">
        <f t="shared" si="0"/>
        <v>Administrative services under the IASA, Kern River Gas Transmission Company</v>
      </c>
    </row>
    <row r="17" spans="1:6" ht="16.7" customHeight="1" x14ac:dyDescent="0.2">
      <c r="A17" s="2752">
        <v>8</v>
      </c>
      <c r="B17" s="2512" t="s">
        <v>11741</v>
      </c>
      <c r="C17" s="3083" t="s">
        <v>11739</v>
      </c>
      <c r="D17" s="2543" t="s">
        <v>11742</v>
      </c>
      <c r="E17" s="3084">
        <v>3114296</v>
      </c>
      <c r="F17" s="2479" t="str">
        <f t="shared" si="0"/>
        <v>Gas transportation services, Kern River Gas Transmission Company</v>
      </c>
    </row>
    <row r="18" spans="1:6" ht="23.25" customHeight="1" x14ac:dyDescent="0.2">
      <c r="A18" s="2752">
        <v>9</v>
      </c>
      <c r="B18" s="2512" t="s">
        <v>11733</v>
      </c>
      <c r="C18" s="3083" t="s">
        <v>11743</v>
      </c>
      <c r="D18" s="2543" t="s">
        <v>11744</v>
      </c>
      <c r="E18" s="3084">
        <v>12707196</v>
      </c>
      <c r="F18" s="2479" t="str">
        <f t="shared" si="0"/>
        <v>Administrative services under the IASA, MidAmerican Energy Company</v>
      </c>
    </row>
    <row r="19" spans="1:6" ht="16.7" customHeight="1" x14ac:dyDescent="0.2">
      <c r="A19" s="2752">
        <v>10</v>
      </c>
      <c r="B19" s="2512" t="s">
        <v>11745</v>
      </c>
      <c r="C19" s="3083" t="s">
        <v>11743</v>
      </c>
      <c r="D19" s="3085" t="s">
        <v>11746</v>
      </c>
      <c r="E19" s="3084">
        <v>275716</v>
      </c>
      <c r="F19" s="2479" t="str">
        <f t="shared" si="0"/>
        <v>Equipment purchase, MidAmerican Energy Company</v>
      </c>
    </row>
    <row r="20" spans="1:6" ht="16.7" customHeight="1" x14ac:dyDescent="0.2">
      <c r="A20" s="2752">
        <v>11</v>
      </c>
      <c r="B20" s="2512" t="s">
        <v>11733</v>
      </c>
      <c r="C20" s="3083" t="s">
        <v>9120</v>
      </c>
      <c r="D20" s="2543" t="s">
        <v>11740</v>
      </c>
      <c r="E20" s="3084">
        <v>1137168</v>
      </c>
      <c r="F20" s="2479" t="str">
        <f t="shared" si="0"/>
        <v>Administrative services under the IASA, Nevada Power Company</v>
      </c>
    </row>
    <row r="21" spans="1:6" ht="16.7" customHeight="1" x14ac:dyDescent="0.2">
      <c r="A21" s="2752">
        <v>12</v>
      </c>
      <c r="B21" s="2512" t="s">
        <v>11747</v>
      </c>
      <c r="C21" s="3083" t="s">
        <v>9120</v>
      </c>
      <c r="D21" s="2543" t="s">
        <v>11748</v>
      </c>
      <c r="E21" s="3084">
        <v>665076</v>
      </c>
      <c r="F21" s="2479" t="str">
        <f t="shared" si="0"/>
        <v>Operational support services, Nevada Power Company</v>
      </c>
    </row>
    <row r="22" spans="1:6" ht="16.7" customHeight="1" x14ac:dyDescent="0.2">
      <c r="A22" s="2752">
        <v>13</v>
      </c>
      <c r="B22" s="2512" t="s">
        <v>11733</v>
      </c>
      <c r="C22" s="3083" t="s">
        <v>11749</v>
      </c>
      <c r="D22" s="2543" t="s">
        <v>11740</v>
      </c>
      <c r="E22" s="3084">
        <v>675585</v>
      </c>
      <c r="F22" s="2479" t="str">
        <f t="shared" si="0"/>
        <v>Administrative services under the IASA, Northern Natural Gas</v>
      </c>
    </row>
    <row r="23" spans="1:6" ht="16.7" customHeight="1" x14ac:dyDescent="0.2">
      <c r="A23" s="2752">
        <v>14</v>
      </c>
      <c r="B23" s="2512" t="s">
        <v>11750</v>
      </c>
      <c r="C23" s="3083" t="s">
        <v>11751</v>
      </c>
      <c r="D23" s="2543" t="s">
        <v>11752</v>
      </c>
      <c r="E23" s="3084">
        <v>297547</v>
      </c>
      <c r="F23" s="2479" t="str">
        <f t="shared" si="0"/>
        <v>Banking services, Bank of America Corporation</v>
      </c>
    </row>
    <row r="24" spans="1:6" ht="16.7" customHeight="1" x14ac:dyDescent="0.2">
      <c r="A24" s="2752">
        <v>15</v>
      </c>
      <c r="B24" s="3083" t="s">
        <v>11753</v>
      </c>
      <c r="C24" s="3083" t="s">
        <v>11754</v>
      </c>
      <c r="D24" s="3085" t="s">
        <v>11755</v>
      </c>
      <c r="E24" s="3084">
        <v>675000</v>
      </c>
      <c r="F24" s="2479" t="str">
        <f t="shared" si="0"/>
        <v>Underwriting services, BofA Securities, Inc.</v>
      </c>
    </row>
    <row r="25" spans="1:6" ht="16.7" customHeight="1" x14ac:dyDescent="0.2">
      <c r="A25" s="2752">
        <v>16</v>
      </c>
      <c r="B25" s="3083" t="s">
        <v>11756</v>
      </c>
      <c r="C25" s="3083" t="s">
        <v>11757</v>
      </c>
      <c r="D25" s="2543" t="s">
        <v>11758</v>
      </c>
      <c r="E25" s="2531">
        <v>23908886</v>
      </c>
      <c r="F25" s="2479" t="str">
        <f t="shared" si="0"/>
        <v>Rail services and right-of-way fees, BNSF Railway Company</v>
      </c>
    </row>
    <row r="26" spans="1:6" ht="16.7" customHeight="1" x14ac:dyDescent="0.2">
      <c r="A26" s="2752">
        <v>17</v>
      </c>
      <c r="B26" s="3083" t="s">
        <v>11759</v>
      </c>
      <c r="C26" s="3083" t="s">
        <v>11760</v>
      </c>
      <c r="D26" s="2543" t="s">
        <v>11761</v>
      </c>
      <c r="E26" s="3084">
        <v>17022890</v>
      </c>
      <c r="F26" s="2479" t="str">
        <f t="shared" si="0"/>
        <v>Materials and supplies, Marmon Utility LLC</v>
      </c>
    </row>
    <row r="27" spans="1:6" ht="16.7" customHeight="1" x14ac:dyDescent="0.2">
      <c r="A27" s="2752">
        <v>18</v>
      </c>
      <c r="B27" s="3083" t="s">
        <v>11762</v>
      </c>
      <c r="C27" s="3083" t="s">
        <v>11763</v>
      </c>
      <c r="D27" s="3085" t="s">
        <v>11764</v>
      </c>
      <c r="E27" s="3084">
        <v>1406000</v>
      </c>
      <c r="F27" s="2479" t="str">
        <f t="shared" si="0"/>
        <v>Rating agency fees , Moody's Investors Service, Inc.</v>
      </c>
    </row>
    <row r="28" spans="1:6" ht="16.7" customHeight="1" x14ac:dyDescent="0.2">
      <c r="A28" s="2752">
        <v>19</v>
      </c>
      <c r="B28" s="3083" t="s">
        <v>11765</v>
      </c>
      <c r="C28" s="3083" t="s">
        <v>11766</v>
      </c>
      <c r="D28" s="2543" t="s">
        <v>11767</v>
      </c>
      <c r="E28" s="3084">
        <v>410792</v>
      </c>
      <c r="F28" s="2479" t="str">
        <f t="shared" si="0"/>
        <v>Travel services, NetJets, Inc.</v>
      </c>
    </row>
    <row r="29" spans="1:6" ht="16.7" customHeight="1" x14ac:dyDescent="0.2">
      <c r="A29" s="3086">
        <v>19.100000000000001</v>
      </c>
      <c r="B29" s="3083"/>
      <c r="C29" s="3083"/>
      <c r="D29" s="2543"/>
      <c r="E29" s="3087"/>
      <c r="F29" s="2479" t="str">
        <f t="shared" si="0"/>
        <v xml:space="preserve">, </v>
      </c>
    </row>
    <row r="30" spans="1:6" ht="20.85" customHeight="1" x14ac:dyDescent="0.2">
      <c r="A30" s="3086">
        <v>19.2</v>
      </c>
      <c r="B30" s="3083"/>
      <c r="C30" s="3083"/>
      <c r="D30" s="2543"/>
      <c r="E30" s="3087"/>
      <c r="F30" s="2479" t="str">
        <f t="shared" si="0"/>
        <v xml:space="preserve">, </v>
      </c>
    </row>
    <row r="31" spans="1:6" ht="20.85" customHeight="1" x14ac:dyDescent="0.2">
      <c r="A31" s="3086">
        <v>19.3</v>
      </c>
      <c r="B31" s="2512"/>
      <c r="C31" s="2512"/>
      <c r="D31" s="2489"/>
      <c r="E31" s="2614"/>
      <c r="F31" s="2479" t="str">
        <f t="shared" si="0"/>
        <v xml:space="preserve">, </v>
      </c>
    </row>
    <row r="32" spans="1:6" ht="16.7" customHeight="1" x14ac:dyDescent="0.2">
      <c r="A32" s="2752">
        <v>20</v>
      </c>
      <c r="B32" s="2669" t="s">
        <v>11768</v>
      </c>
      <c r="C32" s="2874"/>
      <c r="D32" s="2875"/>
      <c r="E32" s="2876"/>
      <c r="F32" s="2479"/>
    </row>
    <row r="33" spans="1:6" ht="16.7" customHeight="1" x14ac:dyDescent="0.2">
      <c r="A33" s="2752">
        <v>21</v>
      </c>
      <c r="B33" s="2512" t="s">
        <v>11769</v>
      </c>
      <c r="C33" s="2512" t="s">
        <v>11729</v>
      </c>
      <c r="D33" s="2489" t="s">
        <v>11770</v>
      </c>
      <c r="E33" s="2530">
        <v>2342670</v>
      </c>
      <c r="F33" s="2479" t="str">
        <f t="shared" ref="F33:F54" si="1">CONCATENATE(B33,", ",C33)</f>
        <v>Information technology and administrative support services, Bridger Coal Company</v>
      </c>
    </row>
    <row r="34" spans="1:6" ht="23.25" customHeight="1" x14ac:dyDescent="0.2">
      <c r="A34" s="2752">
        <v>22</v>
      </c>
      <c r="B34" s="2512" t="s">
        <v>11733</v>
      </c>
      <c r="C34" s="2512" t="s">
        <v>11734</v>
      </c>
      <c r="D34" s="2489" t="s">
        <v>11771</v>
      </c>
      <c r="E34" s="2530">
        <v>24727078</v>
      </c>
      <c r="F34" s="2479" t="str">
        <f t="shared" si="1"/>
        <v>Administrative services under the IASA, Berkshire Hathaway Energy Company</v>
      </c>
    </row>
    <row r="35" spans="1:6" ht="16.7" customHeight="1" x14ac:dyDescent="0.2">
      <c r="A35" s="2752">
        <v>23</v>
      </c>
      <c r="B35" s="2512" t="s">
        <v>11733</v>
      </c>
      <c r="C35" s="2512" t="s">
        <v>11772</v>
      </c>
      <c r="D35" s="2489" t="s">
        <v>11773</v>
      </c>
      <c r="E35" s="2530">
        <v>313089</v>
      </c>
      <c r="F35" s="2479" t="str">
        <f t="shared" si="1"/>
        <v>Administrative services under the IASA, BHE AltaLink Ltd.</v>
      </c>
    </row>
    <row r="36" spans="1:6" ht="16.7" customHeight="1" x14ac:dyDescent="0.2">
      <c r="A36" s="2752">
        <v>24</v>
      </c>
      <c r="B36" s="2512" t="s">
        <v>11733</v>
      </c>
      <c r="C36" s="2512" t="s">
        <v>11774</v>
      </c>
      <c r="D36" s="2489" t="s">
        <v>11775</v>
      </c>
      <c r="E36" s="2530">
        <v>610571</v>
      </c>
      <c r="F36" s="2479" t="str">
        <f t="shared" si="1"/>
        <v>Administrative services under the IASA, BHE Renewables, LLC</v>
      </c>
    </row>
    <row r="37" spans="1:6" ht="16.7" customHeight="1" x14ac:dyDescent="0.2">
      <c r="A37" s="2752">
        <v>25</v>
      </c>
      <c r="B37" s="2488" t="s">
        <v>11733</v>
      </c>
      <c r="C37" s="2512" t="s">
        <v>11776</v>
      </c>
      <c r="D37" s="2489" t="s">
        <v>11777</v>
      </c>
      <c r="E37" s="2530">
        <v>2450225</v>
      </c>
      <c r="F37" s="2479" t="str">
        <f t="shared" si="1"/>
        <v>Administrative services under the IASA, BHE GT&amp;S, LLC</v>
      </c>
    </row>
    <row r="38" spans="1:6" ht="16.7" customHeight="1" x14ac:dyDescent="0.2">
      <c r="A38" s="2752">
        <v>26</v>
      </c>
      <c r="B38" s="2488" t="s">
        <v>11733</v>
      </c>
      <c r="C38" s="2512" t="s">
        <v>11739</v>
      </c>
      <c r="D38" s="2489" t="s">
        <v>11778</v>
      </c>
      <c r="E38" s="2530">
        <v>267253</v>
      </c>
      <c r="F38" s="2479" t="str">
        <f t="shared" si="1"/>
        <v>Administrative services under the IASA, Kern River Gas Transmission Company</v>
      </c>
    </row>
    <row r="39" spans="1:6" ht="16.7" customHeight="1" x14ac:dyDescent="0.2">
      <c r="A39" s="2752">
        <v>27</v>
      </c>
      <c r="B39" s="2488" t="s">
        <v>11747</v>
      </c>
      <c r="C39" s="2512" t="s">
        <v>11739</v>
      </c>
      <c r="D39" s="2634" t="s">
        <v>46</v>
      </c>
      <c r="E39" s="2530">
        <v>38717</v>
      </c>
      <c r="F39" s="2479" t="str">
        <f t="shared" si="1"/>
        <v>Operational support services, Kern River Gas Transmission Company</v>
      </c>
    </row>
    <row r="40" spans="1:6" ht="16.7" customHeight="1" x14ac:dyDescent="0.2">
      <c r="A40" s="2752">
        <v>28</v>
      </c>
      <c r="B40" s="2488" t="s">
        <v>11733</v>
      </c>
      <c r="C40" s="2512" t="s">
        <v>11779</v>
      </c>
      <c r="D40" s="2489" t="s">
        <v>11780</v>
      </c>
      <c r="E40" s="2530">
        <v>1619652</v>
      </c>
      <c r="F40" s="2479" t="str">
        <f t="shared" si="1"/>
        <v>Administrative services under the IASA, Northern Natural Gas Company</v>
      </c>
    </row>
    <row r="41" spans="1:6" ht="16.7" customHeight="1" x14ac:dyDescent="0.2">
      <c r="A41" s="2752">
        <v>29</v>
      </c>
      <c r="B41" s="2488" t="s">
        <v>11733</v>
      </c>
      <c r="C41" s="2512" t="s">
        <v>11781</v>
      </c>
      <c r="D41" s="2489" t="s">
        <v>11782</v>
      </c>
      <c r="E41" s="2530">
        <v>2873287</v>
      </c>
      <c r="F41" s="2479" t="str">
        <f t="shared" si="1"/>
        <v>Administrative services under the IASA, BHE Turbo Machinery, LLC</v>
      </c>
    </row>
    <row r="42" spans="1:6" ht="16.7" customHeight="1" x14ac:dyDescent="0.2">
      <c r="A42" s="2752">
        <v>30</v>
      </c>
      <c r="B42" s="2488" t="s">
        <v>11733</v>
      </c>
      <c r="C42" s="2512" t="s">
        <v>11743</v>
      </c>
      <c r="D42" s="2489" t="s">
        <v>11783</v>
      </c>
      <c r="E42" s="2530">
        <v>4441738</v>
      </c>
      <c r="F42" s="2479" t="str">
        <f t="shared" si="1"/>
        <v>Administrative services under the IASA, MidAmerican Energy Company</v>
      </c>
    </row>
    <row r="43" spans="1:6" ht="16.7" customHeight="1" x14ac:dyDescent="0.2">
      <c r="A43" s="2752">
        <v>31</v>
      </c>
      <c r="B43" s="2488" t="s">
        <v>11733</v>
      </c>
      <c r="C43" s="2512" t="s">
        <v>11784</v>
      </c>
      <c r="D43" s="2489" t="s">
        <v>11773</v>
      </c>
      <c r="E43" s="2530">
        <v>1965905</v>
      </c>
      <c r="F43" s="2479" t="str">
        <f t="shared" si="1"/>
        <v>Administrative services under the IASA, Northern Powergrid Holdings Company</v>
      </c>
    </row>
    <row r="44" spans="1:6" ht="16.7" customHeight="1" x14ac:dyDescent="0.2">
      <c r="A44" s="2752">
        <v>32</v>
      </c>
      <c r="B44" s="2488" t="s">
        <v>11733</v>
      </c>
      <c r="C44" s="2512" t="s">
        <v>11785</v>
      </c>
      <c r="D44" s="2489" t="s">
        <v>11786</v>
      </c>
      <c r="E44" s="2530">
        <v>3424808</v>
      </c>
      <c r="F44" s="2479" t="str">
        <f t="shared" si="1"/>
        <v>Administrative services under the IASA, NV Energy, Inc.</v>
      </c>
    </row>
    <row r="45" spans="1:6" ht="16.7" customHeight="1" x14ac:dyDescent="0.2">
      <c r="A45" s="2752">
        <v>33</v>
      </c>
      <c r="B45" s="2488" t="s">
        <v>11787</v>
      </c>
      <c r="C45" s="2512" t="s">
        <v>11785</v>
      </c>
      <c r="D45" s="2760">
        <v>416</v>
      </c>
      <c r="E45" s="2530">
        <v>252846</v>
      </c>
      <c r="F45" s="2479" t="str">
        <f t="shared" si="1"/>
        <v>Mutual assistance, NV Energy, Inc.</v>
      </c>
    </row>
    <row r="46" spans="1:6" ht="16.7" customHeight="1" x14ac:dyDescent="0.2">
      <c r="A46" s="2752">
        <v>34</v>
      </c>
      <c r="B46" s="2488" t="s">
        <v>11733</v>
      </c>
      <c r="C46" s="2512" t="s">
        <v>9120</v>
      </c>
      <c r="D46" s="2489" t="s">
        <v>11780</v>
      </c>
      <c r="E46" s="2530">
        <v>601155</v>
      </c>
      <c r="F46" s="2479" t="str">
        <f t="shared" si="1"/>
        <v>Administrative services under the IASA, Nevada Power Company</v>
      </c>
    </row>
    <row r="47" spans="1:6" ht="16.7" customHeight="1" x14ac:dyDescent="0.2">
      <c r="A47" s="2752">
        <v>35</v>
      </c>
      <c r="B47" s="2488" t="s">
        <v>11733</v>
      </c>
      <c r="C47" s="2488" t="s">
        <v>9136</v>
      </c>
      <c r="D47" s="2489" t="s">
        <v>11780</v>
      </c>
      <c r="E47" s="2530">
        <v>367376</v>
      </c>
      <c r="F47" s="2479" t="str">
        <f t="shared" si="1"/>
        <v>Administrative services under the IASA, Sierra Pacific Power Company</v>
      </c>
    </row>
    <row r="48" spans="1:6" ht="16.7" customHeight="1" x14ac:dyDescent="0.2">
      <c r="A48" s="2752">
        <v>36</v>
      </c>
      <c r="B48" s="2488" t="s">
        <v>11747</v>
      </c>
      <c r="C48" s="2488" t="s">
        <v>9136</v>
      </c>
      <c r="D48" s="2760">
        <v>456</v>
      </c>
      <c r="E48" s="2530">
        <v>7668</v>
      </c>
      <c r="F48" s="2479" t="str">
        <f t="shared" si="1"/>
        <v>Operational support services, Sierra Pacific Power Company</v>
      </c>
    </row>
    <row r="49" spans="1:6" ht="16.7" customHeight="1" x14ac:dyDescent="0.2">
      <c r="A49" s="2752">
        <v>37</v>
      </c>
      <c r="B49" s="2488"/>
      <c r="C49" s="2488"/>
      <c r="D49" s="2488"/>
      <c r="E49" s="2488"/>
      <c r="F49" s="2479" t="str">
        <f t="shared" si="1"/>
        <v xml:space="preserve">, </v>
      </c>
    </row>
    <row r="50" spans="1:6" ht="16.7" customHeight="1" x14ac:dyDescent="0.2">
      <c r="A50" s="2752">
        <v>38</v>
      </c>
      <c r="B50" s="2488"/>
      <c r="C50" s="2488"/>
      <c r="D50" s="2488"/>
      <c r="E50" s="2488"/>
      <c r="F50" s="2479" t="str">
        <f t="shared" si="1"/>
        <v xml:space="preserve">, </v>
      </c>
    </row>
    <row r="51" spans="1:6" ht="16.7" customHeight="1" x14ac:dyDescent="0.2">
      <c r="A51" s="2752">
        <v>39</v>
      </c>
      <c r="B51" s="2488"/>
      <c r="C51" s="2488"/>
      <c r="D51" s="2488"/>
      <c r="E51" s="2488"/>
      <c r="F51" s="2479" t="str">
        <f t="shared" si="1"/>
        <v xml:space="preserve">, </v>
      </c>
    </row>
    <row r="52" spans="1:6" ht="16.7" customHeight="1" x14ac:dyDescent="0.2">
      <c r="A52" s="2752">
        <v>40</v>
      </c>
      <c r="B52" s="2488"/>
      <c r="C52" s="2488"/>
      <c r="D52" s="2488"/>
      <c r="E52" s="2488"/>
      <c r="F52" s="2479" t="str">
        <f t="shared" si="1"/>
        <v xml:space="preserve">, </v>
      </c>
    </row>
    <row r="53" spans="1:6" ht="16.7" customHeight="1" x14ac:dyDescent="0.2">
      <c r="A53" s="2752">
        <v>41</v>
      </c>
      <c r="B53" s="2488"/>
      <c r="C53" s="2488"/>
      <c r="D53" s="2488"/>
      <c r="E53" s="2488"/>
      <c r="F53" s="2479" t="str">
        <f t="shared" si="1"/>
        <v xml:space="preserve">, </v>
      </c>
    </row>
    <row r="54" spans="1:6" ht="16.7" customHeight="1" x14ac:dyDescent="0.2">
      <c r="A54" s="2752">
        <v>42</v>
      </c>
      <c r="B54" s="2488"/>
      <c r="C54" s="2488"/>
      <c r="D54" s="2488"/>
      <c r="E54" s="2488"/>
      <c r="F54" s="2479" t="str">
        <f t="shared" si="1"/>
        <v xml:space="preserve">, </v>
      </c>
    </row>
    <row r="55" spans="1:6" ht="16.7" customHeight="1" x14ac:dyDescent="0.2">
      <c r="A55" s="2488"/>
      <c r="B55" s="2488"/>
      <c r="C55" s="2488"/>
      <c r="D55" s="2488"/>
      <c r="E55" s="2488"/>
      <c r="F55" s="2479"/>
    </row>
    <row r="56" spans="1:6" ht="16.7" customHeight="1" x14ac:dyDescent="0.2">
      <c r="A56" s="2488"/>
      <c r="B56" s="2512"/>
      <c r="C56" s="2614"/>
      <c r="D56" s="2614"/>
      <c r="E56" s="2614"/>
      <c r="F56" s="2479"/>
    </row>
    <row r="57" spans="1:6" ht="16.7" customHeight="1" x14ac:dyDescent="0.2">
      <c r="A57" s="2516"/>
      <c r="B57" s="2516"/>
      <c r="C57" s="2516"/>
      <c r="D57" s="2516"/>
      <c r="E57" s="2516"/>
    </row>
    <row r="58" spans="1:6" ht="16.7" customHeight="1" x14ac:dyDescent="0.2"/>
    <row r="59" spans="1:6" ht="16.7" customHeight="1" x14ac:dyDescent="0.2"/>
    <row r="60" spans="1:6" ht="16.7" customHeight="1" x14ac:dyDescent="0.2"/>
    <row r="61" spans="1:6" ht="16.7" customHeight="1" x14ac:dyDescent="0.2"/>
    <row r="62" spans="1:6" ht="16.7" customHeight="1" x14ac:dyDescent="0.2"/>
    <row r="63" spans="1:6" ht="16.7" customHeight="1" x14ac:dyDescent="0.2"/>
    <row r="64" spans="1:6" ht="16.7" customHeight="1" x14ac:dyDescent="0.2"/>
    <row r="65" ht="16.7" customHeight="1" x14ac:dyDescent="0.2"/>
    <row r="66" ht="16.7" customHeight="1" x14ac:dyDescent="0.2"/>
    <row r="67" ht="16.7" customHeight="1" x14ac:dyDescent="0.2"/>
    <row r="68" ht="16.7" customHeight="1" x14ac:dyDescent="0.2"/>
    <row r="69" ht="16.7" customHeight="1" x14ac:dyDescent="0.2"/>
    <row r="70" ht="16.7" customHeight="1" x14ac:dyDescent="0.2"/>
    <row r="71" ht="16.7" customHeight="1" x14ac:dyDescent="0.2"/>
    <row r="72" ht="16.7" customHeight="1" x14ac:dyDescent="0.2"/>
    <row r="73" ht="16.7" customHeight="1" x14ac:dyDescent="0.2"/>
    <row r="74" ht="16.7" customHeight="1" x14ac:dyDescent="0.2"/>
    <row r="75" ht="16.7" customHeight="1" x14ac:dyDescent="0.2"/>
    <row r="76" ht="16.7" customHeight="1" x14ac:dyDescent="0.2"/>
    <row r="77" ht="16.7" customHeight="1" x14ac:dyDescent="0.2"/>
    <row r="78" ht="16.7" customHeight="1" x14ac:dyDescent="0.2"/>
    <row r="79" ht="16.7" customHeight="1" x14ac:dyDescent="0.2"/>
    <row r="80" ht="16.7" customHeight="1" x14ac:dyDescent="0.2"/>
    <row r="81" ht="16.7" customHeight="1" x14ac:dyDescent="0.2"/>
    <row r="82" ht="16.7" customHeight="1" x14ac:dyDescent="0.2"/>
    <row r="83" ht="16.7" customHeight="1" x14ac:dyDescent="0.2"/>
    <row r="84" ht="16.7" customHeight="1" x14ac:dyDescent="0.2"/>
    <row r="85" ht="16.7" customHeight="1" x14ac:dyDescent="0.2"/>
    <row r="86" ht="16.7" customHeight="1" x14ac:dyDescent="0.2"/>
    <row r="87" ht="16.7" customHeight="1" x14ac:dyDescent="0.2"/>
    <row r="88" ht="16.7" customHeight="1" x14ac:dyDescent="0.2"/>
    <row r="89" ht="16.7" customHeight="1" x14ac:dyDescent="0.2"/>
    <row r="90" ht="16.7" customHeight="1" x14ac:dyDescent="0.2"/>
    <row r="91" ht="16.7" customHeight="1" x14ac:dyDescent="0.2"/>
    <row r="92" ht="16.7" customHeight="1" x14ac:dyDescent="0.2"/>
    <row r="93" ht="16.7" customHeight="1" x14ac:dyDescent="0.2"/>
    <row r="94" ht="16.7" customHeight="1" x14ac:dyDescent="0.2"/>
    <row r="95" ht="16.7" customHeight="1" x14ac:dyDescent="0.2"/>
    <row r="96" ht="16.7" customHeight="1" x14ac:dyDescent="0.2"/>
    <row r="97" ht="16.7" customHeight="1" x14ac:dyDescent="0.2"/>
    <row r="98" ht="16.7" customHeight="1" x14ac:dyDescent="0.2"/>
    <row r="99" ht="16.7" customHeight="1" x14ac:dyDescent="0.2"/>
    <row r="100" ht="16.7" customHeight="1" x14ac:dyDescent="0.2"/>
    <row r="101" ht="16.7" customHeight="1" x14ac:dyDescent="0.2"/>
    <row r="102" ht="16.7" customHeight="1" x14ac:dyDescent="0.2"/>
    <row r="103" ht="16.7" customHeight="1" x14ac:dyDescent="0.2"/>
    <row r="104" ht="16.7" customHeight="1" x14ac:dyDescent="0.2"/>
    <row r="105" ht="16.7" customHeight="1" x14ac:dyDescent="0.2"/>
    <row r="106" ht="16.7" customHeight="1" x14ac:dyDescent="0.2"/>
    <row r="107" ht="16.7" customHeight="1" x14ac:dyDescent="0.2"/>
    <row r="108" ht="16.7" customHeight="1" x14ac:dyDescent="0.2"/>
    <row r="109" ht="15" customHeight="1" x14ac:dyDescent="0.2"/>
    <row r="110" ht="15" customHeight="1" x14ac:dyDescent="0.2"/>
  </sheetData>
  <mergeCells count="3">
    <mergeCell ref="A5:E5"/>
    <mergeCell ref="A6:E6"/>
    <mergeCell ref="A7:E7"/>
  </mergeCells>
  <pageMargins left="0.75" right="0.75" top="1" bottom="1" header="0.5" footer="0.5"/>
  <customProperties>
    <customPr name="_pios_id" r:id="rId1"/>
  </customProperties>
</worksheet>
</file>

<file path=xl/worksheets/sheet1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3"/>
  <dimension ref="A1:T393"/>
  <sheetViews>
    <sheetView topLeftCell="A19" workbookViewId="0">
      <selection activeCell="G16" sqref="G16"/>
    </sheetView>
  </sheetViews>
  <sheetFormatPr defaultRowHeight="15.75" x14ac:dyDescent="0.25"/>
  <cols>
    <col min="1" max="1" width="23.125" style="1211" customWidth="1"/>
    <col min="2" max="2" width="54.25" style="1211" customWidth="1"/>
    <col min="3" max="6" width="13" style="1211" customWidth="1"/>
    <col min="7" max="7" width="15.875" style="1211" customWidth="1"/>
    <col min="8" max="8" width="18.375" style="1211" customWidth="1"/>
    <col min="9" max="10" width="15.5" style="1211" customWidth="1"/>
  </cols>
  <sheetData>
    <row r="1" spans="1:20" ht="16.5" thickTop="1" x14ac:dyDescent="0.25">
      <c r="A1" s="83" t="str">
        <f>'Sch 1- Rate Base '!A1:J1</f>
        <v>BONNEVILLE POWER ADMINISTRATION</v>
      </c>
      <c r="B1" s="1646"/>
      <c r="C1" s="1647"/>
      <c r="D1" s="1647"/>
      <c r="E1" s="1647"/>
      <c r="F1" s="1647"/>
      <c r="G1" s="1647"/>
      <c r="H1" s="1647"/>
      <c r="I1" s="1647"/>
      <c r="J1" s="1648"/>
    </row>
    <row r="2" spans="1:20" x14ac:dyDescent="0.25">
      <c r="A2" s="83" t="str">
        <f>'Sch 1- Rate Base '!A2:J2</f>
        <v>RESIDENTIAL PURCHASE AND SALES AGREEMENT</v>
      </c>
      <c r="B2" s="83"/>
      <c r="C2" s="1649"/>
      <c r="D2" s="1649"/>
      <c r="E2" s="1649"/>
      <c r="F2" s="1649"/>
      <c r="G2" s="1649"/>
      <c r="H2" s="1649"/>
      <c r="I2" s="1649"/>
      <c r="J2" s="1650"/>
    </row>
    <row r="3" spans="1:20" x14ac:dyDescent="0.25">
      <c r="A3" s="83" t="str">
        <f>'Sch 1- Rate Base '!A3:J3</f>
        <v>2008 Average System Cost Methodology (ASCM) Appendix 1</v>
      </c>
      <c r="B3" s="3"/>
      <c r="C3" s="2"/>
      <c r="D3" s="2"/>
      <c r="E3" s="3"/>
      <c r="F3" s="3"/>
      <c r="G3" s="4"/>
      <c r="H3" s="5"/>
      <c r="I3" s="5"/>
      <c r="J3" s="159"/>
    </row>
    <row r="4" spans="1:20" ht="16.5" thickBot="1" x14ac:dyDescent="0.3">
      <c r="A4" s="158"/>
      <c r="B4" s="3"/>
      <c r="C4" s="2"/>
      <c r="D4" s="2"/>
      <c r="E4" s="3"/>
      <c r="F4" s="3"/>
      <c r="G4" s="4"/>
      <c r="H4" s="5"/>
      <c r="I4" s="5"/>
      <c r="J4" s="159"/>
    </row>
    <row r="5" spans="1:20" x14ac:dyDescent="0.25">
      <c r="A5" s="1651"/>
      <c r="B5" s="180"/>
      <c r="C5" s="180"/>
      <c r="D5" s="505" t="str">
        <f>'Sch 1- Rate Base '!D5</f>
        <v>UTILITY NAME:</v>
      </c>
      <c r="E5" s="869" t="str">
        <f>'Sch 1- Rate Base '!E5:G5</f>
        <v>PacifiCorp</v>
      </c>
      <c r="F5" s="870"/>
      <c r="G5" s="871"/>
      <c r="H5" s="180"/>
      <c r="I5" s="180"/>
      <c r="J5" s="1652"/>
    </row>
    <row r="6" spans="1:20" x14ac:dyDescent="0.25">
      <c r="A6" s="1653"/>
      <c r="B6" s="180"/>
      <c r="C6" s="180"/>
      <c r="D6" s="505" t="str">
        <f>'Sch 1- Rate Base '!D6</f>
        <v>End of Year Report Period:</v>
      </c>
      <c r="E6" s="873">
        <f>'Sch 1- Rate Base '!E6:G6</f>
        <v>2023</v>
      </c>
      <c r="F6" s="874"/>
      <c r="G6" s="875"/>
      <c r="H6" s="180"/>
      <c r="I6" s="180"/>
      <c r="J6" s="1652"/>
    </row>
    <row r="7" spans="1:20" ht="16.5" thickBot="1" x14ac:dyDescent="0.3">
      <c r="A7" s="1653"/>
      <c r="B7" s="180"/>
      <c r="C7" s="180"/>
      <c r="D7" s="505" t="str">
        <f>'Sch 1- Rate Base '!D7</f>
        <v>ASC Filing Date:</v>
      </c>
      <c r="E7" s="876">
        <f>'Sch 1- Rate Base '!E7:G7</f>
        <v>45446</v>
      </c>
      <c r="F7" s="877"/>
      <c r="G7" s="878"/>
      <c r="H7" s="180"/>
      <c r="I7" s="180"/>
      <c r="J7" s="1652"/>
      <c r="M7" t="s">
        <v>272</v>
      </c>
      <c r="N7" t="s">
        <v>96</v>
      </c>
      <c r="O7" s="1211" t="s">
        <v>834</v>
      </c>
      <c r="P7" s="1211" t="s">
        <v>835</v>
      </c>
      <c r="Q7" t="s">
        <v>104</v>
      </c>
      <c r="R7" t="s">
        <v>105</v>
      </c>
      <c r="S7" t="s">
        <v>106</v>
      </c>
      <c r="T7" s="1211" t="s">
        <v>512</v>
      </c>
    </row>
    <row r="8" spans="1:20" x14ac:dyDescent="0.25">
      <c r="A8" s="1654"/>
      <c r="B8" s="3"/>
      <c r="C8" s="2"/>
      <c r="D8" s="2"/>
      <c r="E8" s="3"/>
      <c r="F8" s="3"/>
      <c r="G8" s="4"/>
      <c r="H8" s="5"/>
      <c r="I8" s="5"/>
      <c r="J8" s="1655"/>
    </row>
    <row r="9" spans="1:20" x14ac:dyDescent="0.25">
      <c r="A9" s="1656"/>
      <c r="B9" s="1657"/>
      <c r="C9" s="1658"/>
      <c r="D9" s="1657"/>
      <c r="E9" s="147"/>
      <c r="F9" s="147"/>
      <c r="G9" s="4"/>
      <c r="J9" s="1659"/>
    </row>
    <row r="10" spans="1:20" x14ac:dyDescent="0.25">
      <c r="A10" s="1656"/>
      <c r="H10" s="1660">
        <f>E6</f>
        <v>2023</v>
      </c>
      <c r="I10" s="1661" t="str">
        <f>"End-of-Year  -  " &amp; H10</f>
        <v>End-of-Year  -  2023</v>
      </c>
      <c r="J10" s="1662"/>
    </row>
    <row r="11" spans="1:20" ht="16.5" thickBot="1" x14ac:dyDescent="0.3">
      <c r="A11" s="1656"/>
      <c r="J11" s="1659"/>
    </row>
    <row r="12" spans="1:20" ht="16.5" thickBot="1" x14ac:dyDescent="0.3">
      <c r="A12" s="3602" t="s">
        <v>100</v>
      </c>
      <c r="B12" s="3603"/>
      <c r="C12" s="327" t="s">
        <v>276</v>
      </c>
      <c r="D12" s="328"/>
      <c r="E12" s="317" t="s">
        <v>354</v>
      </c>
      <c r="F12" s="318"/>
      <c r="G12" s="3606" t="s">
        <v>104</v>
      </c>
      <c r="H12" s="3606" t="s">
        <v>105</v>
      </c>
      <c r="I12" s="3606" t="s">
        <v>106</v>
      </c>
      <c r="J12" s="3630" t="s">
        <v>727</v>
      </c>
      <c r="K12" s="4191"/>
    </row>
    <row r="13" spans="1:20" ht="16.5" thickBot="1" x14ac:dyDescent="0.3">
      <c r="A13" s="3604"/>
      <c r="B13" s="3605"/>
      <c r="C13" s="308" t="s">
        <v>272</v>
      </c>
      <c r="D13" s="308" t="s">
        <v>96</v>
      </c>
      <c r="E13" s="319" t="s">
        <v>450</v>
      </c>
      <c r="F13" s="320"/>
      <c r="G13" s="3607"/>
      <c r="H13" s="3607"/>
      <c r="I13" s="3607"/>
      <c r="J13" s="3631"/>
      <c r="K13" s="4191"/>
    </row>
    <row r="14" spans="1:20" ht="16.5" thickBot="1" x14ac:dyDescent="0.3">
      <c r="A14" s="3604"/>
      <c r="B14" s="3605"/>
      <c r="C14" s="308" t="s">
        <v>273</v>
      </c>
      <c r="D14" s="308" t="s">
        <v>252</v>
      </c>
      <c r="E14" s="308" t="s">
        <v>352</v>
      </c>
      <c r="F14" s="308" t="s">
        <v>353</v>
      </c>
      <c r="G14" s="3607"/>
      <c r="H14" s="3607"/>
      <c r="I14" s="3607"/>
      <c r="J14" s="3632"/>
      <c r="K14" s="4191"/>
    </row>
    <row r="15" spans="1:20" ht="16.5" thickTop="1" x14ac:dyDescent="0.25">
      <c r="A15" s="199" t="s">
        <v>473</v>
      </c>
      <c r="B15" s="157"/>
      <c r="C15" s="1517"/>
      <c r="D15" s="1517"/>
      <c r="E15" s="1517"/>
      <c r="F15" s="1517"/>
      <c r="G15" s="1518"/>
      <c r="H15" s="1518"/>
      <c r="I15" s="1518"/>
      <c r="J15" s="1519"/>
    </row>
    <row r="16" spans="1:20" x14ac:dyDescent="0.25">
      <c r="A16" s="887"/>
      <c r="B16" s="220" t="s">
        <v>145</v>
      </c>
      <c r="C16" s="248" t="str">
        <f>'Sch 1- Rate Base '!C16</f>
        <v>204-207</v>
      </c>
      <c r="D16" s="181">
        <f>'Sch 1- Rate Base '!D16</f>
        <v>301</v>
      </c>
      <c r="E16" s="184" t="str">
        <f>'Sch 1- Rate Base '!E16</f>
        <v>DIST</v>
      </c>
      <c r="F16" s="184" t="str">
        <f>'Sch 1- Rate Base '!F16</f>
        <v xml:space="preserve"> </v>
      </c>
      <c r="G16" s="249">
        <f>'Sch 1- Rate Base '!G16</f>
        <v>0</v>
      </c>
      <c r="H16" s="249">
        <f>'Sch 1- Rate Base '!H16</f>
        <v>0</v>
      </c>
      <c r="I16" s="249">
        <f>'Sch 1- Rate Base '!I16</f>
        <v>0</v>
      </c>
      <c r="J16" s="1343">
        <f>'Sch 1- Rate Base '!J16</f>
        <v>0</v>
      </c>
    </row>
    <row r="17" spans="1:10" x14ac:dyDescent="0.25">
      <c r="A17" s="887"/>
      <c r="B17" s="220" t="s">
        <v>146</v>
      </c>
      <c r="C17" s="248" t="str">
        <f>'Sch 1- Rate Base '!C17</f>
        <v>204-207</v>
      </c>
      <c r="D17" s="181">
        <f>'Sch 1- Rate Base '!D17</f>
        <v>302</v>
      </c>
      <c r="E17" s="184" t="str">
        <f>'Sch 1- Rate Base '!E17</f>
        <v>DIRECT</v>
      </c>
      <c r="F17" s="184" t="str">
        <f>'Sch 1- Rate Base '!F17</f>
        <v>PTD</v>
      </c>
      <c r="G17" s="1663">
        <f>'Sch 1- Rate Base '!G17</f>
        <v>71764696.193237215</v>
      </c>
      <c r="H17" s="249">
        <f>'Sch 1- Rate Base '!H17</f>
        <v>71764696.193237215</v>
      </c>
      <c r="I17" s="249">
        <f>'Sch 1- Rate Base '!I17</f>
        <v>0</v>
      </c>
      <c r="J17" s="1343">
        <f>'Sch 1- Rate Base '!J17</f>
        <v>1380340.3620770171</v>
      </c>
    </row>
    <row r="18" spans="1:10" x14ac:dyDescent="0.25">
      <c r="A18" s="887"/>
      <c r="B18" s="220" t="s">
        <v>147</v>
      </c>
      <c r="C18" s="248" t="str">
        <f>'Sch 1- Rate Base '!C18</f>
        <v>204-207</v>
      </c>
      <c r="D18" s="181">
        <f>'Sch 1- Rate Base '!D18</f>
        <v>303</v>
      </c>
      <c r="E18" s="184" t="str">
        <f>'Sch 1- Rate Base '!E18</f>
        <v>DIRECT</v>
      </c>
      <c r="F18" s="184" t="str">
        <f>'Sch 1- Rate Base '!F18</f>
        <v>DIST</v>
      </c>
      <c r="G18" s="1663">
        <f>'Sch 1- Rate Base '!G18</f>
        <v>391010404.58104789</v>
      </c>
      <c r="H18" s="249">
        <f>'Sch 1- Rate Base '!H18</f>
        <v>129807186.3491185</v>
      </c>
      <c r="I18" s="249">
        <f>'Sch 1- Rate Base '!I18</f>
        <v>0</v>
      </c>
      <c r="J18" s="1343">
        <f>'Sch 1- Rate Base '!J18</f>
        <v>261203218.23192942</v>
      </c>
    </row>
    <row r="19" spans="1:10" x14ac:dyDescent="0.25">
      <c r="A19" s="163" t="s">
        <v>439</v>
      </c>
      <c r="B19" s="64"/>
      <c r="C19" s="486"/>
      <c r="D19" s="487"/>
      <c r="E19" s="487"/>
      <c r="F19" s="488"/>
      <c r="G19" s="584">
        <f>'Sch 1- Rate Base '!G19</f>
        <v>462775100.77428508</v>
      </c>
      <c r="H19" s="584">
        <f>'Sch 1- Rate Base '!H19</f>
        <v>201571882.54235572</v>
      </c>
      <c r="I19" s="584">
        <f>'Sch 1- Rate Base '!I19</f>
        <v>0</v>
      </c>
      <c r="J19" s="1345">
        <f>'Sch 1- Rate Base '!J19</f>
        <v>262583558.59400645</v>
      </c>
    </row>
    <row r="20" spans="1:10" x14ac:dyDescent="0.25">
      <c r="A20" s="907"/>
      <c r="B20" s="1664"/>
      <c r="C20" s="1665"/>
      <c r="D20" s="1665"/>
      <c r="E20" s="909"/>
      <c r="F20" s="909"/>
      <c r="G20" s="1666"/>
      <c r="H20" s="1666"/>
      <c r="I20" s="1666"/>
      <c r="J20" s="1667"/>
    </row>
    <row r="21" spans="1:10" x14ac:dyDescent="0.25">
      <c r="A21" s="199" t="s">
        <v>110</v>
      </c>
      <c r="B21" s="157"/>
      <c r="C21" s="50"/>
      <c r="D21" s="50"/>
      <c r="E21" s="50"/>
      <c r="F21" s="50"/>
      <c r="G21" s="142"/>
      <c r="H21" s="142"/>
      <c r="I21" s="142"/>
      <c r="J21" s="1347"/>
    </row>
    <row r="22" spans="1:10" x14ac:dyDescent="0.25">
      <c r="A22" s="913"/>
      <c r="B22" s="914" t="s">
        <v>111</v>
      </c>
      <c r="C22" s="248" t="str">
        <f>'Sch 1- Rate Base '!C22</f>
        <v>204-207</v>
      </c>
      <c r="D22" s="181" t="str">
        <f>'Sch 1- Rate Base '!D22</f>
        <v>310-317</v>
      </c>
      <c r="E22" s="184" t="str">
        <f>'Sch 1- Rate Base '!E22</f>
        <v>PROD</v>
      </c>
      <c r="F22" s="184">
        <f>'Sch 1- Rate Base '!F22</f>
        <v>0</v>
      </c>
      <c r="G22" s="1663">
        <f>'Sch 1- Rate Base '!G22</f>
        <v>2890625949.8270597</v>
      </c>
      <c r="H22" s="249">
        <f>'Sch 1- Rate Base '!H22</f>
        <v>2890625949.8270597</v>
      </c>
      <c r="I22" s="249">
        <f>'Sch 1- Rate Base '!I22</f>
        <v>0</v>
      </c>
      <c r="J22" s="1343">
        <f>'Sch 1- Rate Base '!J22</f>
        <v>0</v>
      </c>
    </row>
    <row r="23" spans="1:10" x14ac:dyDescent="0.25">
      <c r="A23" s="913"/>
      <c r="B23" s="914" t="s">
        <v>113</v>
      </c>
      <c r="C23" s="248" t="str">
        <f>'Sch 1- Rate Base '!C23</f>
        <v>204-207</v>
      </c>
      <c r="D23" s="181" t="str">
        <f>'Sch 1- Rate Base '!D23</f>
        <v>320-326</v>
      </c>
      <c r="E23" s="184" t="str">
        <f>'Sch 1- Rate Base '!E23</f>
        <v>PROD</v>
      </c>
      <c r="F23" s="184">
        <f>'Sch 1- Rate Base '!F23</f>
        <v>0</v>
      </c>
      <c r="G23" s="1663">
        <f>'Sch 1- Rate Base '!G23</f>
        <v>0</v>
      </c>
      <c r="H23" s="249">
        <f>'Sch 1- Rate Base '!H23</f>
        <v>0</v>
      </c>
      <c r="I23" s="249">
        <f>'Sch 1- Rate Base '!I23</f>
        <v>0</v>
      </c>
      <c r="J23" s="1343">
        <f>'Sch 1- Rate Base '!J23</f>
        <v>0</v>
      </c>
    </row>
    <row r="24" spans="1:10" x14ac:dyDescent="0.25">
      <c r="A24" s="913"/>
      <c r="B24" s="914" t="s">
        <v>115</v>
      </c>
      <c r="C24" s="248" t="str">
        <f>'Sch 1- Rate Base '!C24</f>
        <v>204-207</v>
      </c>
      <c r="D24" s="181" t="str">
        <f>'Sch 1- Rate Base '!D24</f>
        <v>330-337</v>
      </c>
      <c r="E24" s="184" t="str">
        <f>'Sch 1- Rate Base '!E24</f>
        <v>PROD</v>
      </c>
      <c r="F24" s="184">
        <f>'Sch 1- Rate Base '!F24</f>
        <v>0</v>
      </c>
      <c r="G24" s="1663">
        <f>'Sch 1- Rate Base '!G24</f>
        <v>433360289.62213159</v>
      </c>
      <c r="H24" s="249">
        <f>'Sch 1- Rate Base '!H24</f>
        <v>433360289.62213159</v>
      </c>
      <c r="I24" s="249">
        <f>'Sch 1- Rate Base '!I24</f>
        <v>0</v>
      </c>
      <c r="J24" s="1343">
        <f>'Sch 1- Rate Base '!J24</f>
        <v>0</v>
      </c>
    </row>
    <row r="25" spans="1:10" x14ac:dyDescent="0.25">
      <c r="A25" s="913"/>
      <c r="B25" s="914" t="s">
        <v>117</v>
      </c>
      <c r="C25" s="248" t="str">
        <f>'Sch 1- Rate Base '!C25</f>
        <v>204-207</v>
      </c>
      <c r="D25" s="181" t="str">
        <f>'Sch 1- Rate Base '!D25</f>
        <v>340-348</v>
      </c>
      <c r="E25" s="184" t="str">
        <f>'Sch 1- Rate Base '!E25</f>
        <v>PROD</v>
      </c>
      <c r="F25" s="184">
        <f>'Sch 1- Rate Base '!F25</f>
        <v>0</v>
      </c>
      <c r="G25" s="1663">
        <f>'Sch 1- Rate Base '!G25</f>
        <v>2258385628.1561666</v>
      </c>
      <c r="H25" s="249">
        <f>'Sch 1- Rate Base '!H25</f>
        <v>2258385628.1561666</v>
      </c>
      <c r="I25" s="249">
        <f>'Sch 1- Rate Base '!I25</f>
        <v>0</v>
      </c>
      <c r="J25" s="1343">
        <f>'Sch 1- Rate Base '!J25</f>
        <v>0</v>
      </c>
    </row>
    <row r="26" spans="1:10" x14ac:dyDescent="0.25">
      <c r="A26" s="163" t="s">
        <v>119</v>
      </c>
      <c r="B26" s="64"/>
      <c r="C26" s="486"/>
      <c r="D26" s="487"/>
      <c r="E26" s="487"/>
      <c r="F26" s="488"/>
      <c r="G26" s="476">
        <f>'Sch 1- Rate Base '!G26</f>
        <v>5582371867.6053581</v>
      </c>
      <c r="H26" s="476">
        <f>'Sch 1- Rate Base '!H26</f>
        <v>5582371867.6053581</v>
      </c>
      <c r="I26" s="484">
        <f>'Sch 1- Rate Base '!I26</f>
        <v>0</v>
      </c>
      <c r="J26" s="1349">
        <f>'Sch 1- Rate Base '!J26</f>
        <v>0</v>
      </c>
    </row>
    <row r="27" spans="1:10" x14ac:dyDescent="0.25">
      <c r="A27" s="907"/>
      <c r="B27" s="1664"/>
      <c r="C27" s="1665"/>
      <c r="D27" s="1665"/>
      <c r="E27" s="909"/>
      <c r="F27" s="909"/>
      <c r="G27" s="1668"/>
      <c r="H27" s="1668"/>
      <c r="I27" s="1668"/>
      <c r="J27" s="1669"/>
    </row>
    <row r="28" spans="1:10" x14ac:dyDescent="0.25">
      <c r="A28" s="199" t="s">
        <v>142</v>
      </c>
      <c r="B28" s="220"/>
      <c r="C28" s="55"/>
      <c r="D28" s="55"/>
      <c r="E28" s="180"/>
      <c r="F28" s="180"/>
      <c r="G28" s="911"/>
      <c r="H28" s="911"/>
      <c r="I28" s="911"/>
      <c r="J28" s="912"/>
    </row>
    <row r="29" spans="1:10" x14ac:dyDescent="0.25">
      <c r="A29" s="913"/>
      <c r="B29" s="914" t="s">
        <v>497</v>
      </c>
      <c r="C29" s="248" t="str">
        <f>'Sch 1- Rate Base '!C29</f>
        <v>204-207</v>
      </c>
      <c r="D29" s="181" t="str">
        <f>'Sch 1- Rate Base '!D29</f>
        <v>350-359.1</v>
      </c>
      <c r="E29" s="184" t="str">
        <f>'Sch 1- Rate Base '!E29</f>
        <v>TRANS</v>
      </c>
      <c r="F29" s="184">
        <f>'Sch 1- Rate Base '!F29</f>
        <v>0</v>
      </c>
      <c r="G29" s="1663">
        <f>'Sch 1- Rate Base '!G29</f>
        <v>3295838980.7862144</v>
      </c>
      <c r="H29" s="249">
        <f>'Sch 1- Rate Base '!H29</f>
        <v>0</v>
      </c>
      <c r="I29" s="249">
        <f>'Sch 1- Rate Base '!I29</f>
        <v>0</v>
      </c>
      <c r="J29" s="1343">
        <f>'Sch 1- Rate Base '!J29</f>
        <v>3295838980.7862144</v>
      </c>
    </row>
    <row r="30" spans="1:10" x14ac:dyDescent="0.25">
      <c r="A30" s="163" t="s">
        <v>121</v>
      </c>
      <c r="B30" s="64"/>
      <c r="C30" s="915"/>
      <c r="D30" s="916"/>
      <c r="E30" s="916"/>
      <c r="F30" s="917"/>
      <c r="G30" s="1670"/>
      <c r="H30" s="1670"/>
      <c r="I30" s="1670"/>
      <c r="J30" s="1671"/>
    </row>
    <row r="31" spans="1:10" x14ac:dyDescent="0.25">
      <c r="A31" s="163"/>
      <c r="B31" s="64"/>
      <c r="C31" s="55"/>
      <c r="D31" s="55"/>
      <c r="E31" s="55"/>
      <c r="F31" s="55"/>
      <c r="G31" s="918"/>
      <c r="H31" s="918"/>
      <c r="I31" s="918"/>
      <c r="J31" s="919"/>
    </row>
    <row r="32" spans="1:10" x14ac:dyDescent="0.25">
      <c r="A32" s="199" t="s">
        <v>472</v>
      </c>
      <c r="B32" s="220"/>
      <c r="C32" s="55"/>
      <c r="D32" s="55"/>
      <c r="E32" s="64"/>
      <c r="F32" s="64"/>
      <c r="G32" s="911"/>
      <c r="H32" s="911"/>
      <c r="I32" s="911"/>
      <c r="J32" s="912"/>
    </row>
    <row r="33" spans="1:10" x14ac:dyDescent="0.25">
      <c r="A33" s="913"/>
      <c r="B33" s="914" t="s">
        <v>140</v>
      </c>
      <c r="C33" s="248" t="str">
        <f>'Sch 1- Rate Base '!C33</f>
        <v>204-207</v>
      </c>
      <c r="D33" s="181" t="str">
        <f>'Sch 1- Rate Base '!D33</f>
        <v>360-374</v>
      </c>
      <c r="E33" s="184" t="str">
        <f>'Sch 1- Rate Base '!E33</f>
        <v>DIST</v>
      </c>
      <c r="F33" s="184">
        <f>'Sch 1- Rate Base '!F33</f>
        <v>0</v>
      </c>
      <c r="G33" s="1663">
        <f>'Sch 1- Rate Base '!G33</f>
        <v>3803344740.5943408</v>
      </c>
      <c r="H33" s="249">
        <f>'Sch 1- Rate Base '!H33</f>
        <v>0</v>
      </c>
      <c r="I33" s="249">
        <f>'Sch 1- Rate Base '!I33</f>
        <v>0</v>
      </c>
      <c r="J33" s="1343">
        <f>'Sch 1- Rate Base '!J33</f>
        <v>3803344740.5943408</v>
      </c>
    </row>
    <row r="34" spans="1:10" x14ac:dyDescent="0.25">
      <c r="A34" s="209" t="s">
        <v>122</v>
      </c>
      <c r="B34" s="220"/>
      <c r="C34" s="915"/>
      <c r="D34" s="916"/>
      <c r="E34" s="916"/>
      <c r="F34" s="917"/>
      <c r="G34" s="1670"/>
      <c r="H34" s="1670"/>
      <c r="I34" s="1670"/>
      <c r="J34" s="1671"/>
    </row>
    <row r="35" spans="1:10" x14ac:dyDescent="0.25">
      <c r="A35" s="209"/>
      <c r="B35" s="220"/>
      <c r="C35" s="55"/>
      <c r="D35" s="55"/>
      <c r="E35" s="55"/>
      <c r="F35" s="55"/>
      <c r="G35" s="920"/>
      <c r="H35" s="920"/>
      <c r="I35" s="920"/>
      <c r="J35" s="921"/>
    </row>
    <row r="36" spans="1:10" x14ac:dyDescent="0.25">
      <c r="A36" s="199" t="s">
        <v>124</v>
      </c>
      <c r="B36" s="64"/>
      <c r="C36" s="55"/>
      <c r="D36" s="196"/>
      <c r="E36" s="196"/>
      <c r="F36" s="196"/>
      <c r="G36" s="221"/>
      <c r="H36" s="221"/>
      <c r="I36" s="221"/>
      <c r="J36" s="222"/>
    </row>
    <row r="37" spans="1:10" x14ac:dyDescent="0.25">
      <c r="A37" s="913"/>
      <c r="B37" s="10" t="s">
        <v>125</v>
      </c>
      <c r="C37" s="248" t="str">
        <f>'Sch 1- Rate Base '!C37</f>
        <v>204-207</v>
      </c>
      <c r="D37" s="181">
        <f>'Sch 1- Rate Base '!D37</f>
        <v>389</v>
      </c>
      <c r="E37" s="184" t="str">
        <f>'Sch 1- Rate Base '!E37</f>
        <v>PTD</v>
      </c>
      <c r="F37" s="184"/>
      <c r="G37" s="1663">
        <f>'Sch 1- Rate Base '!G37</f>
        <v>10980784.643303178</v>
      </c>
      <c r="H37" s="249">
        <f>'Sch 1- Rate Base '!H37</f>
        <v>4833699.0558356559</v>
      </c>
      <c r="I37" s="249">
        <f>'Sch 1- Rate Base '!I37</f>
        <v>0</v>
      </c>
      <c r="J37" s="1343">
        <f>'Sch 1- Rate Base '!J37</f>
        <v>6147085.5874675214</v>
      </c>
    </row>
    <row r="38" spans="1:10" x14ac:dyDescent="0.25">
      <c r="A38" s="913"/>
      <c r="B38" s="10" t="s">
        <v>126</v>
      </c>
      <c r="C38" s="248" t="str">
        <f>'Sch 1- Rate Base '!C38</f>
        <v>204-207</v>
      </c>
      <c r="D38" s="181">
        <f>'Sch 1- Rate Base '!D38</f>
        <v>390</v>
      </c>
      <c r="E38" s="184" t="str">
        <f>'Sch 1- Rate Base '!E38</f>
        <v>PTD</v>
      </c>
      <c r="F38" s="184"/>
      <c r="G38" s="1663">
        <f>'Sch 1- Rate Base '!G38</f>
        <v>134526603.60952502</v>
      </c>
      <c r="H38" s="249">
        <f>'Sch 1- Rate Base '!H38</f>
        <v>59218092.146876924</v>
      </c>
      <c r="I38" s="249">
        <f>'Sch 1- Rate Base '!I38</f>
        <v>0</v>
      </c>
      <c r="J38" s="1343">
        <f>'Sch 1- Rate Base '!J38</f>
        <v>75308511.462648094</v>
      </c>
    </row>
    <row r="39" spans="1:10" x14ac:dyDescent="0.25">
      <c r="A39" s="913"/>
      <c r="B39" s="10" t="s">
        <v>127</v>
      </c>
      <c r="C39" s="248" t="str">
        <f>'Sch 1- Rate Base '!C39</f>
        <v>204-207</v>
      </c>
      <c r="D39" s="181">
        <f>'Sch 1- Rate Base '!D39</f>
        <v>391</v>
      </c>
      <c r="E39" s="184" t="str">
        <f>'Sch 1- Rate Base '!E39</f>
        <v>LABOR</v>
      </c>
      <c r="F39" s="184"/>
      <c r="G39" s="1663">
        <f>'Sch 1- Rate Base '!G39</f>
        <v>38698718.859569281</v>
      </c>
      <c r="H39" s="249">
        <f>'Sch 1- Rate Base '!H39</f>
        <v>16131692.601433367</v>
      </c>
      <c r="I39" s="249">
        <f>'Sch 1- Rate Base '!I39</f>
        <v>0</v>
      </c>
      <c r="J39" s="1343">
        <f>'Sch 1- Rate Base '!J39</f>
        <v>22567026.258135919</v>
      </c>
    </row>
    <row r="40" spans="1:10" x14ac:dyDescent="0.25">
      <c r="A40" s="913"/>
      <c r="B40" s="10" t="s">
        <v>128</v>
      </c>
      <c r="C40" s="248" t="str">
        <f>'Sch 1- Rate Base '!C40</f>
        <v>204-207</v>
      </c>
      <c r="D40" s="181">
        <f>'Sch 1- Rate Base '!D40</f>
        <v>392</v>
      </c>
      <c r="E40" s="184" t="str">
        <f>'Sch 1- Rate Base '!E40</f>
        <v>TD</v>
      </c>
      <c r="F40" s="184"/>
      <c r="G40" s="1663">
        <f>'Sch 1- Rate Base '!G40</f>
        <v>70926422.960104048</v>
      </c>
      <c r="H40" s="249">
        <f>'Sch 1- Rate Base '!H40</f>
        <v>0</v>
      </c>
      <c r="I40" s="249">
        <f>'Sch 1- Rate Base '!I40</f>
        <v>0</v>
      </c>
      <c r="J40" s="1343">
        <f>'Sch 1- Rate Base '!J40</f>
        <v>70926422.960104048</v>
      </c>
    </row>
    <row r="41" spans="1:10" x14ac:dyDescent="0.25">
      <c r="A41" s="913"/>
      <c r="B41" s="10" t="s">
        <v>129</v>
      </c>
      <c r="C41" s="248" t="str">
        <f>'Sch 1- Rate Base '!C41</f>
        <v>204-207</v>
      </c>
      <c r="D41" s="181">
        <f>'Sch 1- Rate Base '!D41</f>
        <v>393</v>
      </c>
      <c r="E41" s="184" t="str">
        <f>'Sch 1- Rate Base '!E41</f>
        <v>PTD</v>
      </c>
      <c r="F41" s="184"/>
      <c r="G41" s="1663">
        <f>'Sch 1- Rate Base '!G41</f>
        <v>8843323.1563989222</v>
      </c>
      <c r="H41" s="249">
        <f>'Sch 1- Rate Base '!H41</f>
        <v>3892796.7517880816</v>
      </c>
      <c r="I41" s="249">
        <f>'Sch 1- Rate Base '!I41</f>
        <v>0</v>
      </c>
      <c r="J41" s="1343">
        <f>'Sch 1- Rate Base '!J41</f>
        <v>4950526.4046108397</v>
      </c>
    </row>
    <row r="42" spans="1:10" x14ac:dyDescent="0.25">
      <c r="A42" s="913"/>
      <c r="B42" s="10" t="s">
        <v>130</v>
      </c>
      <c r="C42" s="248" t="str">
        <f>'Sch 1- Rate Base '!C42</f>
        <v>204-207</v>
      </c>
      <c r="D42" s="181">
        <f>'Sch 1- Rate Base '!D42</f>
        <v>394</v>
      </c>
      <c r="E42" s="184" t="str">
        <f>'Sch 1- Rate Base '!E42</f>
        <v>PTD</v>
      </c>
      <c r="F42" s="184"/>
      <c r="G42" s="1663">
        <f>'Sch 1- Rate Base '!G42</f>
        <v>28801735.62174933</v>
      </c>
      <c r="H42" s="249">
        <f>'Sch 1- Rate Base '!H42</f>
        <v>12678412.955324007</v>
      </c>
      <c r="I42" s="249">
        <f>'Sch 1- Rate Base '!I42</f>
        <v>0</v>
      </c>
      <c r="J42" s="1343">
        <f>'Sch 1- Rate Base '!J42</f>
        <v>16123322.666425321</v>
      </c>
    </row>
    <row r="43" spans="1:10" x14ac:dyDescent="0.25">
      <c r="A43" s="913"/>
      <c r="B43" s="10" t="s">
        <v>131</v>
      </c>
      <c r="C43" s="248" t="str">
        <f>'Sch 1- Rate Base '!C43</f>
        <v>204-207</v>
      </c>
      <c r="D43" s="181">
        <f>'Sch 1- Rate Base '!D43</f>
        <v>395</v>
      </c>
      <c r="E43" s="184" t="str">
        <f>'Sch 1- Rate Base '!E43</f>
        <v>PTD</v>
      </c>
      <c r="F43" s="184"/>
      <c r="G43" s="1663">
        <f>'Sch 1- Rate Base '!G43</f>
        <v>22065131.008344457</v>
      </c>
      <c r="H43" s="249">
        <f>'Sch 1- Rate Base '!H43</f>
        <v>9712985.5822252911</v>
      </c>
      <c r="I43" s="249">
        <f>'Sch 1- Rate Base '!I43</f>
        <v>0</v>
      </c>
      <c r="J43" s="1343">
        <f>'Sch 1- Rate Base '!J43</f>
        <v>12352145.426119164</v>
      </c>
    </row>
    <row r="44" spans="1:10" x14ac:dyDescent="0.25">
      <c r="A44" s="913"/>
      <c r="B44" s="10" t="s">
        <v>132</v>
      </c>
      <c r="C44" s="248" t="str">
        <f>'Sch 1- Rate Base '!C44</f>
        <v>204-207</v>
      </c>
      <c r="D44" s="181">
        <f>'Sch 1- Rate Base '!D44</f>
        <v>396</v>
      </c>
      <c r="E44" s="184" t="str">
        <f>'Sch 1- Rate Base '!E44</f>
        <v>TD</v>
      </c>
      <c r="F44" s="184"/>
      <c r="G44" s="1663">
        <f>'Sch 1- Rate Base '!G44</f>
        <v>104224382.24860385</v>
      </c>
      <c r="H44" s="249">
        <f>'Sch 1- Rate Base '!H44</f>
        <v>0</v>
      </c>
      <c r="I44" s="249">
        <f>'Sch 1- Rate Base '!I44</f>
        <v>0</v>
      </c>
      <c r="J44" s="1343">
        <f>'Sch 1- Rate Base '!J44</f>
        <v>104224382.24860385</v>
      </c>
    </row>
    <row r="45" spans="1:10" x14ac:dyDescent="0.25">
      <c r="A45" s="913"/>
      <c r="B45" s="10" t="s">
        <v>133</v>
      </c>
      <c r="C45" s="248" t="str">
        <f>'Sch 1- Rate Base '!C45</f>
        <v>204-207</v>
      </c>
      <c r="D45" s="181">
        <f>'Sch 1- Rate Base '!D45</f>
        <v>397</v>
      </c>
      <c r="E45" s="184" t="str">
        <f>'Sch 1- Rate Base '!E45</f>
        <v>PTD</v>
      </c>
      <c r="F45" s="184"/>
      <c r="G45" s="1663">
        <f>'Sch 1- Rate Base '!G45</f>
        <v>225166384.95095226</v>
      </c>
      <c r="H45" s="249">
        <f>'Sch 1- Rate Base '!H45</f>
        <v>99117374.367879733</v>
      </c>
      <c r="I45" s="249">
        <f>'Sch 1- Rate Base '!I45</f>
        <v>0</v>
      </c>
      <c r="J45" s="1343">
        <f>'Sch 1- Rate Base '!J45</f>
        <v>126049010.58307251</v>
      </c>
    </row>
    <row r="46" spans="1:10" x14ac:dyDescent="0.25">
      <c r="A46" s="913"/>
      <c r="B46" s="10" t="s">
        <v>134</v>
      </c>
      <c r="C46" s="248" t="str">
        <f>'Sch 1- Rate Base '!C46</f>
        <v>204-207</v>
      </c>
      <c r="D46" s="181">
        <f>'Sch 1- Rate Base '!D46</f>
        <v>398</v>
      </c>
      <c r="E46" s="184" t="str">
        <f>'Sch 1- Rate Base '!E46</f>
        <v>PTD</v>
      </c>
      <c r="F46" s="184"/>
      <c r="G46" s="1663">
        <f>'Sch 1- Rate Base '!G46</f>
        <v>3889871.2322740913</v>
      </c>
      <c r="H46" s="249">
        <f>'Sch 1- Rate Base '!H46</f>
        <v>1712306.316309788</v>
      </c>
      <c r="I46" s="249">
        <f>'Sch 1- Rate Base '!I46</f>
        <v>0</v>
      </c>
      <c r="J46" s="1343">
        <f>'Sch 1- Rate Base '!J46</f>
        <v>2177564.9159643031</v>
      </c>
    </row>
    <row r="47" spans="1:10" x14ac:dyDescent="0.25">
      <c r="A47" s="913"/>
      <c r="B47" s="10" t="s">
        <v>256</v>
      </c>
      <c r="C47" s="248" t="str">
        <f>'Sch 1- Rate Base '!C47</f>
        <v>204-207</v>
      </c>
      <c r="D47" s="181">
        <f>'Sch 1- Rate Base '!D47</f>
        <v>399</v>
      </c>
      <c r="E47" s="184" t="str">
        <f>'Sch 1- Rate Base '!E47</f>
        <v>DIRECT</v>
      </c>
      <c r="F47" s="184" t="str">
        <f>'Sch 1- Rate Base '!F47</f>
        <v>PTD</v>
      </c>
      <c r="G47" s="1663">
        <f>'Sch 1- Rate Base '!G47</f>
        <v>708735.65050650423</v>
      </c>
      <c r="H47" s="249">
        <f>'Sch 1- Rate Base '!H47</f>
        <v>708735.65050650423</v>
      </c>
      <c r="I47" s="249">
        <f>'Sch 1- Rate Base '!I47</f>
        <v>0</v>
      </c>
      <c r="J47" s="1343">
        <f>'Sch 1- Rate Base '!J47</f>
        <v>0</v>
      </c>
    </row>
    <row r="48" spans="1:10" x14ac:dyDescent="0.25">
      <c r="A48" s="913"/>
      <c r="B48" s="10" t="s">
        <v>442</v>
      </c>
      <c r="C48" s="248" t="str">
        <f>'Sch 1- Rate Base '!C48</f>
        <v>204-207</v>
      </c>
      <c r="D48" s="181">
        <f>'Sch 1- Rate Base '!D48</f>
        <v>399.1</v>
      </c>
      <c r="E48" s="184" t="str">
        <f>'Sch 1- Rate Base '!E48</f>
        <v>PTD</v>
      </c>
      <c r="F48" s="184"/>
      <c r="G48" s="1663">
        <f>'Sch 1- Rate Base '!G48</f>
        <v>15896.576261311178</v>
      </c>
      <c r="H48" s="249">
        <f>'Sch 1- Rate Base '!H48</f>
        <v>6997.6115697871464</v>
      </c>
      <c r="I48" s="249">
        <f>'Sch 1- Rate Base '!I48</f>
        <v>0</v>
      </c>
      <c r="J48" s="1343">
        <f>'Sch 1- Rate Base '!J48</f>
        <v>8898.9646915240301</v>
      </c>
    </row>
    <row r="49" spans="1:10" x14ac:dyDescent="0.25">
      <c r="A49" s="160"/>
      <c r="B49" s="10"/>
      <c r="C49" s="55"/>
      <c r="D49" s="196"/>
      <c r="E49" s="196"/>
      <c r="F49" s="196"/>
      <c r="G49" s="922"/>
      <c r="H49" s="198"/>
      <c r="I49" s="198"/>
      <c r="J49" s="200"/>
    </row>
    <row r="50" spans="1:10" ht="16.5" thickBot="1" x14ac:dyDescent="0.3">
      <c r="A50" s="209" t="s">
        <v>135</v>
      </c>
      <c r="B50" s="64"/>
      <c r="C50" s="1735"/>
      <c r="D50" s="915"/>
      <c r="E50" s="915"/>
      <c r="F50" s="915"/>
      <c r="G50" s="616">
        <f>'Sch 1- Rate Base '!G50</f>
        <v>648847990.51759219</v>
      </c>
      <c r="H50" s="616">
        <f>'Sch 1- Rate Base '!H50</f>
        <v>208013093.03974915</v>
      </c>
      <c r="I50" s="616">
        <f>'Sch 1- Rate Base '!I50</f>
        <v>0</v>
      </c>
      <c r="J50" s="616">
        <f>'Sch 1- Rate Base '!J50</f>
        <v>440834897.47784311</v>
      </c>
    </row>
    <row r="51" spans="1:10" ht="16.5" thickTop="1" x14ac:dyDescent="0.25">
      <c r="A51" s="923"/>
      <c r="B51" s="64"/>
      <c r="C51" s="55"/>
      <c r="D51" s="55"/>
      <c r="E51" s="64"/>
      <c r="F51" s="64"/>
      <c r="G51" s="221"/>
      <c r="H51" s="221"/>
      <c r="I51" s="221"/>
      <c r="J51" s="222"/>
    </row>
    <row r="52" spans="1:10" ht="16.5" thickBot="1" x14ac:dyDescent="0.3">
      <c r="A52" s="209" t="s">
        <v>136</v>
      </c>
      <c r="B52" s="64"/>
      <c r="C52" s="915"/>
      <c r="D52" s="915"/>
      <c r="E52" s="915"/>
      <c r="F52" s="915"/>
      <c r="G52" s="616">
        <f>'Sch 1- Rate Base '!G52</f>
        <v>13793178680.27779</v>
      </c>
      <c r="H52" s="616">
        <f>'Sch 1- Rate Base '!H52</f>
        <v>5991956843.1874628</v>
      </c>
      <c r="I52" s="616">
        <f>'Sch 1- Rate Base '!I52</f>
        <v>0</v>
      </c>
      <c r="J52" s="616">
        <f>'Sch 1- Rate Base '!J52</f>
        <v>7802602177.452405</v>
      </c>
    </row>
    <row r="53" spans="1:10" ht="16.5" thickTop="1" x14ac:dyDescent="0.25">
      <c r="A53" s="213" t="s">
        <v>440</v>
      </c>
      <c r="B53" s="64"/>
      <c r="C53" s="55"/>
      <c r="D53" s="55"/>
      <c r="E53" s="64"/>
      <c r="F53" s="64"/>
      <c r="G53" s="221"/>
      <c r="H53" s="221"/>
      <c r="I53" s="221"/>
      <c r="J53" s="222"/>
    </row>
    <row r="54" spans="1:10" x14ac:dyDescent="0.25">
      <c r="A54" s="199"/>
      <c r="B54" s="220"/>
      <c r="C54" s="55"/>
      <c r="D54" s="55"/>
      <c r="E54" s="55"/>
      <c r="F54" s="55"/>
      <c r="G54" s="221"/>
      <c r="H54" s="221"/>
      <c r="I54" s="221"/>
      <c r="J54" s="222"/>
    </row>
    <row r="55" spans="1:10" x14ac:dyDescent="0.25">
      <c r="A55" s="199" t="s">
        <v>474</v>
      </c>
      <c r="B55" s="220"/>
      <c r="C55" s="55"/>
      <c r="D55" s="55"/>
      <c r="E55" s="55"/>
      <c r="F55" s="55"/>
      <c r="G55" s="911"/>
      <c r="H55" s="911"/>
      <c r="I55" s="911"/>
      <c r="J55" s="912"/>
    </row>
    <row r="56" spans="1:10" x14ac:dyDescent="0.25">
      <c r="A56" s="199" t="s">
        <v>620</v>
      </c>
      <c r="B56" s="220"/>
      <c r="C56" s="55"/>
      <c r="D56" s="55"/>
      <c r="E56" s="55"/>
      <c r="F56" s="55"/>
      <c r="G56" s="911"/>
      <c r="H56" s="911"/>
      <c r="I56" s="911"/>
      <c r="J56" s="912"/>
    </row>
    <row r="57" spans="1:10" x14ac:dyDescent="0.25">
      <c r="A57" s="913"/>
      <c r="B57" s="914" t="s">
        <v>88</v>
      </c>
      <c r="C57" s="248">
        <f>'Sch 1- Rate Base '!C57</f>
        <v>219</v>
      </c>
      <c r="D57" s="181">
        <f>'Sch 1- Rate Base '!D57</f>
        <v>108</v>
      </c>
      <c r="E57" s="184" t="str">
        <f>'Sch 1- Rate Base '!E57</f>
        <v>PROD</v>
      </c>
      <c r="F57" s="184"/>
      <c r="G57" s="1663">
        <f>'Sch 1- Rate Base '!G57</f>
        <v>1888183301.8432956</v>
      </c>
      <c r="H57" s="249">
        <f>'Sch 1- Rate Base '!H57</f>
        <v>1888183301.8432956</v>
      </c>
      <c r="I57" s="249">
        <f>'Sch 1- Rate Base '!I57</f>
        <v>0</v>
      </c>
      <c r="J57" s="1343">
        <f>'Sch 1- Rate Base '!J57</f>
        <v>0</v>
      </c>
    </row>
    <row r="58" spans="1:10" x14ac:dyDescent="0.25">
      <c r="A58" s="913"/>
      <c r="B58" s="914" t="s">
        <v>89</v>
      </c>
      <c r="C58" s="248">
        <f>'Sch 1- Rate Base '!C58</f>
        <v>219</v>
      </c>
      <c r="D58" s="181">
        <f>'Sch 1- Rate Base '!D58</f>
        <v>108</v>
      </c>
      <c r="E58" s="184" t="str">
        <f>'Sch 1- Rate Base '!E58</f>
        <v>PROD</v>
      </c>
      <c r="F58" s="184"/>
      <c r="G58" s="1663">
        <f>'Sch 1- Rate Base '!G58</f>
        <v>0</v>
      </c>
      <c r="H58" s="249">
        <f>'Sch 1- Rate Base '!H58</f>
        <v>0</v>
      </c>
      <c r="I58" s="249">
        <f>'Sch 1- Rate Base '!I58</f>
        <v>0</v>
      </c>
      <c r="J58" s="1343">
        <f>'Sch 1- Rate Base '!J58</f>
        <v>0</v>
      </c>
    </row>
    <row r="59" spans="1:10" x14ac:dyDescent="0.25">
      <c r="A59" s="913"/>
      <c r="B59" s="914" t="s">
        <v>326</v>
      </c>
      <c r="C59" s="248">
        <f>'Sch 1- Rate Base '!C59</f>
        <v>219</v>
      </c>
      <c r="D59" s="181">
        <f>'Sch 1- Rate Base '!D59</f>
        <v>108</v>
      </c>
      <c r="E59" s="184" t="str">
        <f>'Sch 1- Rate Base '!E59</f>
        <v>PROD</v>
      </c>
      <c r="F59" s="184"/>
      <c r="G59" s="1663">
        <f>'Sch 1- Rate Base '!G59</f>
        <v>187302448.38277987</v>
      </c>
      <c r="H59" s="249">
        <f>'Sch 1- Rate Base '!H59</f>
        <v>187302448.38277987</v>
      </c>
      <c r="I59" s="249">
        <f>'Sch 1- Rate Base '!I59</f>
        <v>0</v>
      </c>
      <c r="J59" s="1343">
        <f>'Sch 1- Rate Base '!J59</f>
        <v>0</v>
      </c>
    </row>
    <row r="60" spans="1:10" x14ac:dyDescent="0.25">
      <c r="A60" s="913"/>
      <c r="B60" s="914" t="s">
        <v>137</v>
      </c>
      <c r="C60" s="248">
        <f>'Sch 1- Rate Base '!C60</f>
        <v>219</v>
      </c>
      <c r="D60" s="181">
        <f>'Sch 1- Rate Base '!D60</f>
        <v>108</v>
      </c>
      <c r="E60" s="184" t="str">
        <f>'Sch 1- Rate Base '!E60</f>
        <v>PROD</v>
      </c>
      <c r="F60" s="184"/>
      <c r="G60" s="1663">
        <f>'Sch 1- Rate Base '!G60</f>
        <v>306422821.96464163</v>
      </c>
      <c r="H60" s="249">
        <f>'Sch 1- Rate Base '!H60</f>
        <v>306422821.96464163</v>
      </c>
      <c r="I60" s="249">
        <f>'Sch 1- Rate Base '!I60</f>
        <v>0</v>
      </c>
      <c r="J60" s="1343">
        <f>'Sch 1- Rate Base '!J60</f>
        <v>0</v>
      </c>
    </row>
    <row r="61" spans="1:10" x14ac:dyDescent="0.25">
      <c r="A61" s="913"/>
      <c r="B61" s="914" t="s">
        <v>143</v>
      </c>
      <c r="C61" s="248">
        <f>'Sch 1- Rate Base '!C61</f>
        <v>219</v>
      </c>
      <c r="D61" s="181">
        <f>'Sch 1- Rate Base '!D61</f>
        <v>108</v>
      </c>
      <c r="E61" s="184" t="str">
        <f>'Sch 1- Rate Base '!E61</f>
        <v>TRANS</v>
      </c>
      <c r="F61" s="184"/>
      <c r="G61" s="1663">
        <f>'Sch 1- Rate Base '!G61</f>
        <v>906356004.76731598</v>
      </c>
      <c r="H61" s="249">
        <f>'Sch 1- Rate Base '!H61</f>
        <v>0</v>
      </c>
      <c r="I61" s="249">
        <f>'Sch 1- Rate Base '!I61</f>
        <v>0</v>
      </c>
      <c r="J61" s="1343">
        <f>'Sch 1- Rate Base '!J61</f>
        <v>906356004.76731598</v>
      </c>
    </row>
    <row r="62" spans="1:10" x14ac:dyDescent="0.25">
      <c r="A62" s="913"/>
      <c r="B62" s="914" t="s">
        <v>836</v>
      </c>
      <c r="C62" s="248">
        <f>'Sch 1- Rate Base '!C62</f>
        <v>219</v>
      </c>
      <c r="D62" s="181">
        <f>'Sch 1- Rate Base '!D62</f>
        <v>108</v>
      </c>
      <c r="E62" s="184" t="str">
        <f>'Sch 1- Rate Base '!E62</f>
        <v>DIST</v>
      </c>
      <c r="F62" s="184"/>
      <c r="G62" s="1663">
        <f>'Sch 1- Rate Base '!G62</f>
        <v>1633153769.5014434</v>
      </c>
      <c r="H62" s="249">
        <f>'Sch 1- Rate Base '!H62</f>
        <v>0</v>
      </c>
      <c r="I62" s="249">
        <f>'Sch 1- Rate Base '!I62</f>
        <v>0</v>
      </c>
      <c r="J62" s="1343">
        <f>'Sch 1- Rate Base '!J62</f>
        <v>1633153769.5014434</v>
      </c>
    </row>
    <row r="63" spans="1:10" x14ac:dyDescent="0.25">
      <c r="A63" s="913"/>
      <c r="B63" s="914" t="s">
        <v>92</v>
      </c>
      <c r="C63" s="248">
        <f>'Sch 1- Rate Base '!C63</f>
        <v>219</v>
      </c>
      <c r="D63" s="181">
        <f>'Sch 1- Rate Base '!D63</f>
        <v>108</v>
      </c>
      <c r="E63" s="184" t="str">
        <f>'Sch 1- Rate Base '!E63</f>
        <v>GP</v>
      </c>
      <c r="F63" s="184"/>
      <c r="G63" s="1663">
        <f>'Sch 1- Rate Base '!G63</f>
        <v>251101823.88277176</v>
      </c>
      <c r="H63" s="249">
        <f>'Sch 1- Rate Base '!H63</f>
        <v>80500314.121511534</v>
      </c>
      <c r="I63" s="249">
        <f>'Sch 1- Rate Base '!I63</f>
        <v>0</v>
      </c>
      <c r="J63" s="1343">
        <f>'Sch 1- Rate Base '!J63</f>
        <v>170601509.76126027</v>
      </c>
    </row>
    <row r="64" spans="1:10" x14ac:dyDescent="0.25">
      <c r="A64" s="913"/>
      <c r="B64" s="914" t="s">
        <v>370</v>
      </c>
      <c r="C64" s="248">
        <f>'Sch 1- Rate Base '!C64</f>
        <v>219</v>
      </c>
      <c r="D64" s="181">
        <f>'Sch 1- Rate Base '!D64</f>
        <v>111</v>
      </c>
      <c r="E64" s="184" t="str">
        <f>'Sch 1- Rate Base '!E64</f>
        <v>DIST</v>
      </c>
      <c r="F64" s="286" t="str">
        <f>'Sch 1- Rate Base '!F64</f>
        <v xml:space="preserve"> </v>
      </c>
      <c r="G64" s="1663">
        <f>'Sch 1- Rate Base '!G64</f>
        <v>0</v>
      </c>
      <c r="H64" s="249">
        <f>'Sch 1- Rate Base '!H64</f>
        <v>0</v>
      </c>
      <c r="I64" s="249">
        <f>'Sch 1- Rate Base '!I64</f>
        <v>0</v>
      </c>
      <c r="J64" s="1343">
        <f>'Sch 1- Rate Base '!J64</f>
        <v>0</v>
      </c>
    </row>
    <row r="65" spans="1:10" x14ac:dyDescent="0.25">
      <c r="A65" s="913"/>
      <c r="B65" s="914" t="s">
        <v>371</v>
      </c>
      <c r="C65" s="248">
        <f>'Sch 1- Rate Base '!C65</f>
        <v>219</v>
      </c>
      <c r="D65" s="181">
        <f>'Sch 1- Rate Base '!D65</f>
        <v>111</v>
      </c>
      <c r="E65" s="184" t="str">
        <f>'Sch 1- Rate Base '!E65</f>
        <v>DIRECT</v>
      </c>
      <c r="F65" s="286" t="str">
        <f>'Sch 1- Rate Base '!F65</f>
        <v>PTD</v>
      </c>
      <c r="G65" s="1663">
        <f>'Sch 1- Rate Base '!G65</f>
        <v>35416807.173216134</v>
      </c>
      <c r="H65" s="249">
        <f>'Sch 1- Rate Base '!H65</f>
        <v>35416807.173216134</v>
      </c>
      <c r="I65" s="249">
        <f>'Sch 1- Rate Base '!I65</f>
        <v>0</v>
      </c>
      <c r="J65" s="1343">
        <f>'Sch 1- Rate Base '!J65</f>
        <v>760277.10117285547</v>
      </c>
    </row>
    <row r="66" spans="1:10" x14ac:dyDescent="0.25">
      <c r="A66" s="913"/>
      <c r="B66" s="914" t="s">
        <v>399</v>
      </c>
      <c r="C66" s="248">
        <f>'Sch 1- Rate Base '!C66</f>
        <v>219</v>
      </c>
      <c r="D66" s="181">
        <f>'Sch 1- Rate Base '!D66</f>
        <v>111</v>
      </c>
      <c r="E66" s="184" t="str">
        <f>'Sch 1- Rate Base '!E66</f>
        <v>DIRECT</v>
      </c>
      <c r="F66" s="286" t="str">
        <f>'Sch 1- Rate Base '!F66</f>
        <v>DIST</v>
      </c>
      <c r="G66" s="1663">
        <f>'Sch 1- Rate Base '!G66</f>
        <v>276506512.18180609</v>
      </c>
      <c r="H66" s="249">
        <f>'Sch 1- Rate Base '!H66</f>
        <v>91794315.274003834</v>
      </c>
      <c r="I66" s="249">
        <f>'Sch 1- Rate Base '!I66</f>
        <v>0</v>
      </c>
      <c r="J66" s="1343">
        <f>'Sch 1- Rate Base '!J66</f>
        <v>184712196.90780222</v>
      </c>
    </row>
    <row r="67" spans="1:10" x14ac:dyDescent="0.25">
      <c r="A67" s="913"/>
      <c r="B67" s="914" t="s">
        <v>253</v>
      </c>
      <c r="C67" s="248">
        <f>'Sch 1- Rate Base '!C67</f>
        <v>219</v>
      </c>
      <c r="D67" s="181">
        <f>'Sch 1- Rate Base '!D67</f>
        <v>108</v>
      </c>
      <c r="E67" s="184" t="str">
        <f>'Sch 1- Rate Base '!E67</f>
        <v>PROD</v>
      </c>
      <c r="F67" s="184"/>
      <c r="G67" s="1663">
        <f>'Sch 1- Rate Base '!G67</f>
        <v>0</v>
      </c>
      <c r="H67" s="249">
        <f>'Sch 1- Rate Base '!H67</f>
        <v>0</v>
      </c>
      <c r="I67" s="249">
        <f>'Sch 1- Rate Base '!I67</f>
        <v>0</v>
      </c>
      <c r="J67" s="1343">
        <f>'Sch 1- Rate Base '!J67</f>
        <v>0</v>
      </c>
    </row>
    <row r="68" spans="1:10" x14ac:dyDescent="0.25">
      <c r="A68" s="913"/>
      <c r="B68" s="914" t="s">
        <v>28</v>
      </c>
      <c r="C68" s="248">
        <f>'Sch 1- Rate Base '!C68</f>
        <v>219</v>
      </c>
      <c r="D68" s="181">
        <f>'Sch 1- Rate Base '!D68</f>
        <v>111</v>
      </c>
      <c r="E68" s="184" t="str">
        <f>'Sch 1- Rate Base '!E68</f>
        <v>DIST</v>
      </c>
      <c r="F68" s="184"/>
      <c r="G68" s="1663">
        <f>'Sch 1- Rate Base '!G68</f>
        <v>0</v>
      </c>
      <c r="H68" s="249">
        <f>'Sch 1- Rate Base '!H68</f>
        <v>0</v>
      </c>
      <c r="I68" s="249">
        <f>'Sch 1- Rate Base '!I68</f>
        <v>0</v>
      </c>
      <c r="J68" s="1343">
        <f>'Sch 1- Rate Base '!J68</f>
        <v>0</v>
      </c>
    </row>
    <row r="69" spans="1:10" x14ac:dyDescent="0.25">
      <c r="A69" s="913"/>
      <c r="B69" s="914" t="s">
        <v>29</v>
      </c>
      <c r="C69" s="248">
        <f>'Sch 1- Rate Base '!C69</f>
        <v>219</v>
      </c>
      <c r="D69" s="181">
        <f>'Sch 1- Rate Base '!D69</f>
        <v>108</v>
      </c>
      <c r="E69" s="184" t="str">
        <f>'Sch 1- Rate Base '!E69</f>
        <v>DIRECT</v>
      </c>
      <c r="F69" s="286" t="str">
        <f>'Sch 1- Rate Base '!F69</f>
        <v>PTD</v>
      </c>
      <c r="G69" s="1663">
        <f>'Sch 1- Rate Base '!G69</f>
        <v>0</v>
      </c>
      <c r="H69" s="249">
        <f>'Sch 1- Rate Base '!H69</f>
        <v>0</v>
      </c>
      <c r="I69" s="249">
        <f>'Sch 1- Rate Base '!I69</f>
        <v>0</v>
      </c>
      <c r="J69" s="1343">
        <f>'Sch 1- Rate Base '!J69</f>
        <v>0</v>
      </c>
    </row>
    <row r="70" spans="1:10" x14ac:dyDescent="0.25">
      <c r="A70" s="913"/>
      <c r="B70" s="914" t="s">
        <v>162</v>
      </c>
      <c r="C70" s="248" t="str">
        <f>'Sch 1- Rate Base '!C70</f>
        <v>200-201</v>
      </c>
      <c r="D70" s="181">
        <f>'Sch 1- Rate Base '!D70</f>
        <v>108</v>
      </c>
      <c r="E70" s="184" t="str">
        <f>'Sch 1- Rate Base '!E70</f>
        <v>DIRECT</v>
      </c>
      <c r="F70" s="184" t="str">
        <f>'Sch 1- Rate Base '!F70</f>
        <v>DIST</v>
      </c>
      <c r="G70" s="1663">
        <f>'Sch 1- Rate Base '!G70</f>
        <v>0</v>
      </c>
      <c r="H70" s="249">
        <f>'Sch 1- Rate Base '!H70</f>
        <v>0</v>
      </c>
      <c r="I70" s="249">
        <f>'Sch 1- Rate Base '!I70</f>
        <v>0</v>
      </c>
      <c r="J70" s="1343">
        <f>'Sch 1- Rate Base '!J70</f>
        <v>0</v>
      </c>
    </row>
    <row r="71" spans="1:10" x14ac:dyDescent="0.25">
      <c r="A71" s="913"/>
      <c r="B71" s="914" t="s">
        <v>400</v>
      </c>
      <c r="C71" s="248" t="str">
        <f>'Sch 1- Rate Base '!C71</f>
        <v>200-201</v>
      </c>
      <c r="D71" s="181">
        <f>'Sch 1- Rate Base '!D71</f>
        <v>108</v>
      </c>
      <c r="E71" s="184" t="str">
        <f>'Sch 1- Rate Base '!E71</f>
        <v>DIRECT</v>
      </c>
      <c r="F71" s="286" t="str">
        <f>'Sch 1- Rate Base '!F71</f>
        <v>PTD</v>
      </c>
      <c r="G71" s="1663">
        <f>'Sch 1- Rate Base '!G71</f>
        <v>0</v>
      </c>
      <c r="H71" s="249">
        <f>'Sch 1- Rate Base '!H71</f>
        <v>0</v>
      </c>
      <c r="I71" s="249">
        <f>'Sch 1- Rate Base '!I71</f>
        <v>0</v>
      </c>
      <c r="J71" s="1343">
        <f>'Sch 1- Rate Base '!J71</f>
        <v>0</v>
      </c>
    </row>
    <row r="72" spans="1:10" x14ac:dyDescent="0.25">
      <c r="A72" s="913"/>
      <c r="B72" s="914" t="s">
        <v>401</v>
      </c>
      <c r="C72" s="248" t="str">
        <f>'Sch 1- Rate Base '!C72</f>
        <v>200-201</v>
      </c>
      <c r="D72" s="181">
        <f>'Sch 1- Rate Base '!D72</f>
        <v>108</v>
      </c>
      <c r="E72" s="184" t="str">
        <f>'Sch 1- Rate Base '!E72</f>
        <v>DIRECT</v>
      </c>
      <c r="F72" s="184" t="str">
        <f>'Sch 1- Rate Base '!F72</f>
        <v>DIST</v>
      </c>
      <c r="G72" s="1663">
        <f>'Sch 1- Rate Base '!G72</f>
        <v>9421530.1671775989</v>
      </c>
      <c r="H72" s="249">
        <f>'Sch 1- Rate Base '!H72</f>
        <v>4095506.2400422441</v>
      </c>
      <c r="I72" s="249">
        <f>'Sch 1- Rate Base '!I72</f>
        <v>0</v>
      </c>
      <c r="J72" s="1343">
        <f>'Sch 1- Rate Base '!J72</f>
        <v>6734436.0757155614</v>
      </c>
    </row>
    <row r="73" spans="1:10" x14ac:dyDescent="0.25">
      <c r="A73" s="913"/>
      <c r="B73" s="914" t="s">
        <v>547</v>
      </c>
      <c r="C73" s="248" t="str">
        <f>'Sch 1- Rate Base '!C73</f>
        <v>200-201</v>
      </c>
      <c r="D73" s="181">
        <f>'Sch 1- Rate Base '!D73</f>
        <v>115</v>
      </c>
      <c r="E73" s="184" t="str">
        <f>'Sch 1- Rate Base '!E73</f>
        <v>DIRECT</v>
      </c>
      <c r="F73" s="184" t="str">
        <f>'Sch 1- Rate Base '!F73</f>
        <v>DIST</v>
      </c>
      <c r="G73" s="1663">
        <f>'Sch 1- Rate Base '!G73</f>
        <v>56998656.093805373</v>
      </c>
      <c r="H73" s="249">
        <f>'Sch 1- Rate Base '!H73</f>
        <v>56998656</v>
      </c>
      <c r="I73" s="249">
        <f>'Sch 1- Rate Base '!I73</f>
        <v>0</v>
      </c>
      <c r="J73" s="1343">
        <f>'Sch 1- Rate Base '!J73</f>
        <v>0</v>
      </c>
    </row>
    <row r="74" spans="1:10" x14ac:dyDescent="0.25">
      <c r="A74" s="913"/>
      <c r="B74" s="914"/>
      <c r="C74" s="55"/>
      <c r="D74" s="196"/>
      <c r="E74" s="196"/>
      <c r="F74" s="196"/>
      <c r="G74" s="925"/>
      <c r="H74" s="198"/>
      <c r="I74" s="198"/>
      <c r="J74" s="200"/>
    </row>
    <row r="75" spans="1:10" x14ac:dyDescent="0.25">
      <c r="A75" s="199" t="s">
        <v>211</v>
      </c>
      <c r="B75" s="914"/>
      <c r="C75" s="889"/>
      <c r="D75" s="889"/>
      <c r="E75" s="182" t="str">
        <f>'Sch 1- Rate Base '!E75</f>
        <v>DIRECT</v>
      </c>
      <c r="F75" s="182">
        <f>'Sch 1- Rate Base '!F75</f>
        <v>0</v>
      </c>
      <c r="G75" s="182">
        <f>'Sch 1- Rate Base '!G75</f>
        <v>0</v>
      </c>
      <c r="H75" s="182">
        <f>'Sch 1- Rate Base '!H75</f>
        <v>0</v>
      </c>
      <c r="I75" s="182">
        <f>'Sch 1- Rate Base '!I75</f>
        <v>0</v>
      </c>
      <c r="J75" s="182">
        <f>'Sch 1- Rate Base '!J75</f>
        <v>0</v>
      </c>
    </row>
    <row r="76" spans="1:10" x14ac:dyDescent="0.25">
      <c r="A76" s="926"/>
      <c r="B76" s="914"/>
      <c r="C76" s="55"/>
      <c r="D76" s="196"/>
      <c r="E76" s="196"/>
      <c r="F76" s="196"/>
      <c r="G76" s="918"/>
      <c r="H76" s="198"/>
      <c r="I76" s="198"/>
      <c r="J76" s="200"/>
    </row>
    <row r="77" spans="1:10" x14ac:dyDescent="0.25">
      <c r="A77" s="209" t="s">
        <v>223</v>
      </c>
      <c r="B77" s="64"/>
      <c r="C77" s="915"/>
      <c r="D77" s="916"/>
      <c r="E77" s="916"/>
      <c r="F77" s="917"/>
      <c r="G77" s="1670">
        <f>'Sch 1- Rate Base '!G77</f>
        <v>5550863675.958252</v>
      </c>
      <c r="H77" s="1670"/>
      <c r="I77" s="1670"/>
      <c r="J77" s="1670"/>
    </row>
    <row r="78" spans="1:10" x14ac:dyDescent="0.25">
      <c r="A78" s="926"/>
      <c r="B78" s="927"/>
      <c r="C78" s="55"/>
      <c r="D78" s="196"/>
      <c r="E78" s="196"/>
      <c r="F78" s="196"/>
      <c r="G78" s="928"/>
      <c r="H78" s="928"/>
      <c r="I78" s="928"/>
      <c r="J78" s="929"/>
    </row>
    <row r="79" spans="1:10" x14ac:dyDescent="0.25">
      <c r="A79" s="209" t="s">
        <v>475</v>
      </c>
      <c r="B79" s="64"/>
      <c r="C79" s="915"/>
      <c r="D79" s="916"/>
      <c r="E79" s="916"/>
      <c r="F79" s="917"/>
      <c r="G79" s="1670">
        <f>'Sch 1- Rate Base '!G79</f>
        <v>8242315004.3195381</v>
      </c>
      <c r="H79" s="1670"/>
      <c r="I79" s="1670"/>
      <c r="J79" s="1671"/>
    </row>
    <row r="80" spans="1:10" x14ac:dyDescent="0.25">
      <c r="A80" s="213" t="s">
        <v>84</v>
      </c>
      <c r="B80" s="64"/>
      <c r="C80" s="55"/>
      <c r="D80" s="55"/>
      <c r="E80" s="930"/>
      <c r="F80" s="930"/>
      <c r="G80" s="911"/>
      <c r="H80" s="911"/>
      <c r="I80" s="911"/>
      <c r="J80" s="222"/>
    </row>
    <row r="81" spans="1:10" ht="16.5" thickBot="1" x14ac:dyDescent="0.3">
      <c r="A81" s="931"/>
      <c r="B81" s="932"/>
      <c r="C81" s="933"/>
      <c r="D81" s="933"/>
      <c r="E81" s="934"/>
      <c r="F81" s="934"/>
      <c r="G81" s="935"/>
      <c r="H81" s="935"/>
      <c r="I81" s="935"/>
      <c r="J81" s="936"/>
    </row>
    <row r="82" spans="1:10" ht="16.5" thickTop="1" x14ac:dyDescent="0.25">
      <c r="A82" s="160" t="s">
        <v>76</v>
      </c>
      <c r="B82" s="64"/>
      <c r="C82" s="55"/>
      <c r="D82" s="55"/>
      <c r="E82" s="930"/>
      <c r="F82" s="930"/>
      <c r="G82" s="911"/>
      <c r="H82" s="911"/>
      <c r="I82" s="911"/>
      <c r="J82" s="222"/>
    </row>
    <row r="83" spans="1:10" x14ac:dyDescent="0.25">
      <c r="A83" s="160"/>
      <c r="B83" s="64"/>
      <c r="C83" s="55"/>
      <c r="D83" s="55"/>
      <c r="E83" s="930"/>
      <c r="F83" s="930"/>
      <c r="G83" s="1672"/>
      <c r="H83" s="1672"/>
      <c r="I83" s="1672"/>
      <c r="J83" s="1673"/>
    </row>
    <row r="84" spans="1:10" x14ac:dyDescent="0.25">
      <c r="A84" s="267" t="s">
        <v>144</v>
      </c>
      <c r="B84" s="938" t="s">
        <v>144</v>
      </c>
      <c r="C84" s="889" t="s">
        <v>621</v>
      </c>
      <c r="D84" s="889"/>
      <c r="E84" s="182"/>
      <c r="F84" s="890"/>
      <c r="G84" s="182">
        <f>'Sch 1- Rate Base '!G84</f>
        <v>181575345.50577956</v>
      </c>
      <c r="H84" s="182">
        <f>'Sch 1- Rate Base '!H84</f>
        <v>79592024.492308259</v>
      </c>
      <c r="I84" s="182">
        <f>'Sch 1- Rate Base '!I84</f>
        <v>23892855.711776573</v>
      </c>
      <c r="J84" s="182">
        <f>'Sch 1- Rate Base '!J84</f>
        <v>78090465.301694751</v>
      </c>
    </row>
    <row r="85" spans="1:10" x14ac:dyDescent="0.25">
      <c r="A85" s="913"/>
      <c r="B85" s="1674" t="s">
        <v>752</v>
      </c>
      <c r="C85" s="55"/>
      <c r="D85" s="55"/>
      <c r="E85" s="196"/>
      <c r="F85" s="196"/>
      <c r="G85" s="182">
        <f>'Sch 1A - Cash Working Capital'!G30</f>
        <v>0</v>
      </c>
      <c r="H85" s="182">
        <f>'Sch 1A - Cash Working Capital'!H30</f>
        <v>0</v>
      </c>
      <c r="I85" s="939"/>
      <c r="J85" s="940"/>
    </row>
    <row r="86" spans="1:10" x14ac:dyDescent="0.25">
      <c r="A86" s="268" t="s">
        <v>274</v>
      </c>
      <c r="B86" s="79"/>
      <c r="C86" s="941"/>
      <c r="D86" s="196"/>
      <c r="E86" s="196"/>
      <c r="F86" s="196"/>
      <c r="G86" s="942"/>
      <c r="H86" s="943"/>
      <c r="I86" s="943"/>
      <c r="J86" s="944"/>
    </row>
    <row r="87" spans="1:10" x14ac:dyDescent="0.25">
      <c r="A87" s="1675"/>
      <c r="B87" s="10" t="s">
        <v>433</v>
      </c>
      <c r="C87" s="181" t="str">
        <f>'Sch 1- Rate Base '!C87</f>
        <v>200-201</v>
      </c>
      <c r="D87" s="181">
        <f>'Sch 1- Rate Base '!D87</f>
        <v>105</v>
      </c>
      <c r="E87" s="184" t="str">
        <f>'Sch 1- Rate Base '!E87</f>
        <v>DIST</v>
      </c>
      <c r="F87" s="184"/>
      <c r="G87" s="1676">
        <f>'Sch 1- Rate Base '!G87</f>
        <v>7741084.2436203277</v>
      </c>
      <c r="H87" s="249">
        <f>'Sch 1- Rate Base '!H87</f>
        <v>0</v>
      </c>
      <c r="I87" s="249">
        <f>'Sch 1- Rate Base '!I87</f>
        <v>0</v>
      </c>
      <c r="J87" s="1343">
        <f>'Sch 1- Rate Base '!J87</f>
        <v>7741084.2436203277</v>
      </c>
    </row>
    <row r="88" spans="1:10" x14ac:dyDescent="0.25">
      <c r="A88" s="1675"/>
      <c r="B88" s="10" t="s">
        <v>77</v>
      </c>
      <c r="C88" s="181" t="str">
        <f>'Sch 1- Rate Base '!C88</f>
        <v>200-201</v>
      </c>
      <c r="D88" s="181">
        <f>'Sch 1- Rate Base '!D88</f>
        <v>106</v>
      </c>
      <c r="E88" s="300" t="str">
        <f>'Sch 1- Rate Base '!E88</f>
        <v>PTD</v>
      </c>
      <c r="F88" s="184"/>
      <c r="G88" s="1676">
        <f>'Sch 1- Rate Base '!G88</f>
        <v>223281401.39533675</v>
      </c>
      <c r="H88" s="249">
        <f>'Sch 1- Rate Base '!H88</f>
        <v>98287611.875579029</v>
      </c>
      <c r="I88" s="249">
        <f>'Sch 1- Rate Base '!I88</f>
        <v>0</v>
      </c>
      <c r="J88" s="1343">
        <f>'Sch 1- Rate Base '!J88</f>
        <v>124993789.51975769</v>
      </c>
    </row>
    <row r="89" spans="1:10" x14ac:dyDescent="0.25">
      <c r="A89" s="1675"/>
      <c r="B89" s="64" t="s">
        <v>476</v>
      </c>
      <c r="C89" s="181" t="str">
        <f>'Sch 1- Rate Base '!C89</f>
        <v>320-323</v>
      </c>
      <c r="D89" s="181" t="str">
        <f>'Sch 1- Rate Base '!D89</f>
        <v>120.1-120.6</v>
      </c>
      <c r="E89" s="184" t="str">
        <f>'Sch 1- Rate Base '!E89</f>
        <v>PROD</v>
      </c>
      <c r="F89" s="184"/>
      <c r="G89" s="1676">
        <f>'Sch 1- Rate Base '!G89</f>
        <v>0</v>
      </c>
      <c r="H89" s="249">
        <f>'Sch 1- Rate Base '!H89</f>
        <v>0</v>
      </c>
      <c r="I89" s="249">
        <f>'Sch 1- Rate Base '!I89</f>
        <v>0</v>
      </c>
      <c r="J89" s="1343">
        <f>'Sch 1- Rate Base '!J89</f>
        <v>0</v>
      </c>
    </row>
    <row r="90" spans="1:10" x14ac:dyDescent="0.25">
      <c r="A90" s="1675"/>
      <c r="B90" s="10" t="s">
        <v>80</v>
      </c>
      <c r="C90" s="181" t="str">
        <f>'Sch 1- Rate Base '!C90</f>
        <v>200-201</v>
      </c>
      <c r="D90" s="181" t="str">
        <f>'Sch 1- Rate Base '!D90</f>
        <v>107 &amp; 120.1</v>
      </c>
      <c r="E90" s="184" t="str">
        <f>'Sch 1- Rate Base '!E90</f>
        <v>DIST</v>
      </c>
      <c r="F90" s="184"/>
      <c r="G90" s="1676">
        <f>'Sch 1- Rate Base '!G90</f>
        <v>1893858706.006402</v>
      </c>
      <c r="H90" s="249">
        <f>'Sch 1- Rate Base '!H90</f>
        <v>0</v>
      </c>
      <c r="I90" s="249">
        <f>'Sch 1- Rate Base '!I90</f>
        <v>0</v>
      </c>
      <c r="J90" s="1343">
        <f>'Sch 1- Rate Base '!J90</f>
        <v>1893858706.006402</v>
      </c>
    </row>
    <row r="91" spans="1:10" x14ac:dyDescent="0.25">
      <c r="A91" s="1675"/>
      <c r="B91" s="10" t="s">
        <v>224</v>
      </c>
      <c r="C91" s="181">
        <f>'Sch 1- Rate Base '!C91</f>
        <v>356</v>
      </c>
      <c r="D91" s="181">
        <f>'Sch 1- Rate Base '!D91</f>
        <v>0</v>
      </c>
      <c r="E91" s="184" t="str">
        <f>'Sch 1- Rate Base '!E91</f>
        <v>DIRECT</v>
      </c>
      <c r="F91" s="184"/>
      <c r="G91" s="1676">
        <f>'Sch 1- Rate Base '!G91</f>
        <v>0</v>
      </c>
      <c r="H91" s="249">
        <f>'Sch 1- Rate Base '!H91</f>
        <v>0</v>
      </c>
      <c r="I91" s="249">
        <f>'Sch 1- Rate Base '!I91</f>
        <v>0</v>
      </c>
      <c r="J91" s="1343">
        <f>'Sch 1- Rate Base '!J91</f>
        <v>0</v>
      </c>
    </row>
    <row r="92" spans="1:10" x14ac:dyDescent="0.25">
      <c r="A92" s="1675"/>
      <c r="B92" s="10" t="s">
        <v>71</v>
      </c>
      <c r="C92" s="181" t="str">
        <f>'Sch 1- Rate Base '!C92</f>
        <v>200-201</v>
      </c>
      <c r="D92" s="181">
        <f>'Sch 1- Rate Base '!D92</f>
        <v>114</v>
      </c>
      <c r="E92" s="184" t="str">
        <f>'Sch 1- Rate Base '!E92</f>
        <v>DIRECT</v>
      </c>
      <c r="F92" s="184" t="str">
        <f>'Sch 1- Rate Base '!F92</f>
        <v>DIST</v>
      </c>
      <c r="G92" s="1676">
        <f>'Sch 1- Rate Base '!G92</f>
        <v>58063393.551475897</v>
      </c>
      <c r="H92" s="249">
        <f>'Sch 1- Rate Base '!H92</f>
        <v>58063393.549999997</v>
      </c>
      <c r="I92" s="249">
        <f>'Sch 1- Rate Base '!I92</f>
        <v>0</v>
      </c>
      <c r="J92" s="1343">
        <f>'Sch 1- Rate Base '!J92</f>
        <v>0</v>
      </c>
    </row>
    <row r="93" spans="1:10" x14ac:dyDescent="0.25">
      <c r="A93" s="1675"/>
      <c r="B93" s="848" t="s">
        <v>104</v>
      </c>
      <c r="C93" s="494"/>
      <c r="D93" s="487"/>
      <c r="E93" s="487"/>
      <c r="F93" s="488"/>
      <c r="G93" s="495">
        <f>'Sch 1- Rate Base '!G93</f>
        <v>2182944585.196835</v>
      </c>
      <c r="H93" s="495">
        <f>'Sch 1- Rate Base '!H93</f>
        <v>156351005.42557901</v>
      </c>
      <c r="I93" s="495">
        <f>'Sch 1- Rate Base '!I93</f>
        <v>0</v>
      </c>
      <c r="J93" s="1365">
        <f>'Sch 1- Rate Base '!J93</f>
        <v>2026593579.7697799</v>
      </c>
    </row>
    <row r="94" spans="1:10" x14ac:dyDescent="0.25">
      <c r="A94" s="1675"/>
      <c r="B94" s="848"/>
      <c r="C94" s="73"/>
      <c r="D94" s="73"/>
      <c r="E94" s="73"/>
      <c r="F94" s="73"/>
      <c r="G94" s="334"/>
      <c r="H94" s="334"/>
      <c r="I94" s="334"/>
      <c r="J94" s="1366"/>
    </row>
    <row r="95" spans="1:10" x14ac:dyDescent="0.25">
      <c r="A95" s="269" t="s">
        <v>275</v>
      </c>
      <c r="B95" s="79"/>
      <c r="C95" s="80"/>
      <c r="D95" s="48"/>
      <c r="E95" s="48"/>
      <c r="F95" s="48"/>
      <c r="G95" s="335"/>
      <c r="H95" s="335"/>
      <c r="I95" s="335"/>
      <c r="J95" s="1368"/>
    </row>
    <row r="96" spans="1:10" x14ac:dyDescent="0.25">
      <c r="A96" s="913"/>
      <c r="B96" s="914" t="s">
        <v>444</v>
      </c>
      <c r="C96" s="181" t="str">
        <f>'Sch 1- Rate Base '!C96</f>
        <v>110-111</v>
      </c>
      <c r="D96" s="181">
        <f>'Sch 1- Rate Base '!D96</f>
        <v>123</v>
      </c>
      <c r="E96" s="184" t="str">
        <f>'Sch 1- Rate Base '!E96</f>
        <v>DIRECT</v>
      </c>
      <c r="F96" s="184" t="str">
        <f>'Sch 1- Rate Base '!F96</f>
        <v>DIST</v>
      </c>
      <c r="G96" s="1676">
        <f>'Sch 1- Rate Base '!G96</f>
        <v>62858540.484995149</v>
      </c>
      <c r="H96" s="249">
        <f>'Sch 1- Rate Base '!H96</f>
        <v>0</v>
      </c>
      <c r="I96" s="249">
        <f>'Sch 1- Rate Base '!I96</f>
        <v>0</v>
      </c>
      <c r="J96" s="1343">
        <f>'Sch 1- Rate Base '!J96</f>
        <v>62858540.484995149</v>
      </c>
    </row>
    <row r="97" spans="1:10" x14ac:dyDescent="0.25">
      <c r="A97" s="913"/>
      <c r="B97" s="10" t="s">
        <v>477</v>
      </c>
      <c r="C97" s="181" t="str">
        <f>'Sch 1- Rate Base '!C97</f>
        <v>110-111</v>
      </c>
      <c r="D97" s="181">
        <f>'Sch 1- Rate Base '!D97</f>
        <v>124</v>
      </c>
      <c r="E97" s="184" t="str">
        <f>'Sch 1- Rate Base '!E97</f>
        <v>DIST</v>
      </c>
      <c r="F97" s="184"/>
      <c r="G97" s="1676">
        <f>'Sch 1- Rate Base '!G97</f>
        <v>44548812.661816128</v>
      </c>
      <c r="H97" s="249">
        <f>'Sch 1- Rate Base '!H97</f>
        <v>0</v>
      </c>
      <c r="I97" s="249">
        <f>'Sch 1- Rate Base '!I97</f>
        <v>0</v>
      </c>
      <c r="J97" s="1343">
        <f>'Sch 1- Rate Base '!J97</f>
        <v>44548812.661816128</v>
      </c>
    </row>
    <row r="98" spans="1:10" x14ac:dyDescent="0.25">
      <c r="A98" s="913"/>
      <c r="B98" s="79" t="s">
        <v>6</v>
      </c>
      <c r="C98" s="181" t="str">
        <f>'Sch 1- Rate Base '!C98</f>
        <v>110-111</v>
      </c>
      <c r="D98" s="181">
        <f>'Sch 1- Rate Base '!D98</f>
        <v>175</v>
      </c>
      <c r="E98" s="184" t="str">
        <f>'Sch 1- Rate Base '!E98</f>
        <v>DIST</v>
      </c>
      <c r="F98" s="184"/>
      <c r="G98" s="333">
        <f>'Sch 1- Rate Base '!G98</f>
        <v>882802.55718482344</v>
      </c>
      <c r="H98" s="249">
        <f>'Sch 1- Rate Base '!H98</f>
        <v>0</v>
      </c>
      <c r="I98" s="249">
        <f>'Sch 1- Rate Base '!I98</f>
        <v>0</v>
      </c>
      <c r="J98" s="1343">
        <f>'Sch 1- Rate Base '!J98</f>
        <v>882802.55718482344</v>
      </c>
    </row>
    <row r="99" spans="1:10" x14ac:dyDescent="0.25">
      <c r="A99" s="913"/>
      <c r="B99" s="79" t="s">
        <v>372</v>
      </c>
      <c r="C99" s="181" t="str">
        <f>'Sch 1- Rate Base '!C99</f>
        <v>110-111</v>
      </c>
      <c r="D99" s="181">
        <f>'Sch 1- Rate Base '!D99</f>
        <v>176</v>
      </c>
      <c r="E99" s="184" t="str">
        <f>'Sch 1- Rate Base '!E99</f>
        <v>DIST</v>
      </c>
      <c r="F99" s="184"/>
      <c r="G99" s="333">
        <f>'Sch 1- Rate Base '!G99</f>
        <v>0</v>
      </c>
      <c r="H99" s="249">
        <f>'Sch 1- Rate Base '!H99</f>
        <v>0</v>
      </c>
      <c r="I99" s="249">
        <f>'Sch 1- Rate Base '!I99</f>
        <v>0</v>
      </c>
      <c r="J99" s="1343">
        <f>'Sch 1- Rate Base '!J99</f>
        <v>0</v>
      </c>
    </row>
    <row r="100" spans="1:10" x14ac:dyDescent="0.25">
      <c r="A100" s="913"/>
      <c r="B100" s="848" t="s">
        <v>104</v>
      </c>
      <c r="C100" s="181"/>
      <c r="D100" s="487"/>
      <c r="E100" s="487"/>
      <c r="F100" s="488"/>
      <c r="G100" s="495">
        <f>'Sch 1- Rate Base '!G100</f>
        <v>108290155.70399611</v>
      </c>
      <c r="H100" s="495">
        <f>'Sch 1- Rate Base '!H100</f>
        <v>0</v>
      </c>
      <c r="I100" s="495">
        <f>'Sch 1- Rate Base '!I100</f>
        <v>0</v>
      </c>
      <c r="J100" s="1365">
        <f>'Sch 1- Rate Base '!J100</f>
        <v>108290155.70399611</v>
      </c>
    </row>
    <row r="101" spans="1:10" x14ac:dyDescent="0.25">
      <c r="A101" s="952"/>
      <c r="B101" s="948"/>
      <c r="C101" s="181"/>
      <c r="D101" s="948"/>
      <c r="E101" s="948"/>
      <c r="F101" s="948"/>
      <c r="G101" s="948"/>
      <c r="H101" s="948"/>
      <c r="I101" s="948"/>
      <c r="J101" s="949"/>
    </row>
    <row r="102" spans="1:10" x14ac:dyDescent="0.25">
      <c r="A102" s="268" t="s">
        <v>177</v>
      </c>
      <c r="B102" s="79"/>
      <c r="C102" s="80"/>
      <c r="D102" s="48"/>
      <c r="E102" s="48"/>
      <c r="F102" s="48"/>
      <c r="G102" s="382"/>
      <c r="H102" s="382"/>
      <c r="I102" s="382"/>
      <c r="J102" s="1369"/>
    </row>
    <row r="103" spans="1:10" x14ac:dyDescent="0.25">
      <c r="A103" s="913"/>
      <c r="B103" s="10" t="s">
        <v>436</v>
      </c>
      <c r="C103" s="181" t="str">
        <f>'Sch 1- Rate Base '!C103</f>
        <v>110-111</v>
      </c>
      <c r="D103" s="181">
        <f>'Sch 1- Rate Base '!D103</f>
        <v>151</v>
      </c>
      <c r="E103" s="184" t="str">
        <f>'Sch 1- Rate Base '!E103</f>
        <v>PROD</v>
      </c>
      <c r="F103" s="184"/>
      <c r="G103" s="1676">
        <f>'Sch 1- Rate Base '!G103</f>
        <v>40405127.127832949</v>
      </c>
      <c r="H103" s="249">
        <f>'Sch 1- Rate Base '!H103</f>
        <v>40405127.127832949</v>
      </c>
      <c r="I103" s="249">
        <f>'Sch 1- Rate Base '!I103</f>
        <v>0</v>
      </c>
      <c r="J103" s="1343">
        <f>'Sch 1- Rate Base '!J103</f>
        <v>0</v>
      </c>
    </row>
    <row r="104" spans="1:10" x14ac:dyDescent="0.25">
      <c r="A104" s="913"/>
      <c r="B104" s="79" t="s">
        <v>7</v>
      </c>
      <c r="C104" s="181" t="str">
        <f>'Sch 1- Rate Base '!C104</f>
        <v>110-111</v>
      </c>
      <c r="D104" s="181">
        <f>'Sch 1- Rate Base '!D104</f>
        <v>152</v>
      </c>
      <c r="E104" s="184" t="str">
        <f>'Sch 1- Rate Base '!E104</f>
        <v>PROD</v>
      </c>
      <c r="F104" s="184"/>
      <c r="G104" s="1676">
        <f>'Sch 1- Rate Base '!G104</f>
        <v>0</v>
      </c>
      <c r="H104" s="249">
        <f>'Sch 1- Rate Base '!H104</f>
        <v>0</v>
      </c>
      <c r="I104" s="249">
        <f>'Sch 1- Rate Base '!I104</f>
        <v>0</v>
      </c>
      <c r="J104" s="1343">
        <f>'Sch 1- Rate Base '!J104</f>
        <v>0</v>
      </c>
    </row>
    <row r="105" spans="1:10" x14ac:dyDescent="0.25">
      <c r="A105" s="913"/>
      <c r="B105" s="10" t="s">
        <v>79</v>
      </c>
      <c r="C105" s="181" t="str">
        <f>'Sch 1- Rate Base '!C105</f>
        <v>110-111</v>
      </c>
      <c r="D105" s="181">
        <f>'Sch 1- Rate Base '!D105</f>
        <v>154</v>
      </c>
      <c r="E105" s="184" t="str">
        <f>'Sch 1- Rate Base '!E105</f>
        <v>PTD</v>
      </c>
      <c r="F105" s="184"/>
      <c r="G105" s="1676">
        <f>'Sch 1- Rate Base '!G105</f>
        <v>206715401.61593622</v>
      </c>
      <c r="H105" s="249">
        <f>'Sch 1- Rate Base '!H105</f>
        <v>90995322.654562652</v>
      </c>
      <c r="I105" s="249">
        <f>'Sch 1- Rate Base '!I105</f>
        <v>0</v>
      </c>
      <c r="J105" s="1343">
        <f>'Sch 1- Rate Base '!J105</f>
        <v>115720078.96137355</v>
      </c>
    </row>
    <row r="106" spans="1:10" x14ac:dyDescent="0.25">
      <c r="A106" s="913"/>
      <c r="B106" s="10" t="s">
        <v>355</v>
      </c>
      <c r="C106" s="181" t="str">
        <f>'Sch 1- Rate Base '!C106</f>
        <v>110-111</v>
      </c>
      <c r="D106" s="181">
        <f>'Sch 1- Rate Base '!D106</f>
        <v>155</v>
      </c>
      <c r="E106" s="184" t="str">
        <f>'Sch 1- Rate Base '!E106</f>
        <v>DIST</v>
      </c>
      <c r="F106" s="184"/>
      <c r="G106" s="1676">
        <f>'Sch 1- Rate Base '!G106</f>
        <v>0</v>
      </c>
      <c r="H106" s="249">
        <f>'Sch 1- Rate Base '!H106</f>
        <v>0</v>
      </c>
      <c r="I106" s="249">
        <f>'Sch 1- Rate Base '!I106</f>
        <v>0</v>
      </c>
      <c r="J106" s="1343">
        <f>'Sch 1- Rate Base '!J106</f>
        <v>0</v>
      </c>
    </row>
    <row r="107" spans="1:10" x14ac:dyDescent="0.25">
      <c r="A107" s="913"/>
      <c r="B107" s="10" t="s">
        <v>356</v>
      </c>
      <c r="C107" s="181" t="str">
        <f>'Sch 1- Rate Base '!C107</f>
        <v>110-111</v>
      </c>
      <c r="D107" s="181">
        <f>'Sch 1- Rate Base '!D107</f>
        <v>156</v>
      </c>
      <c r="E107" s="184" t="str">
        <f>'Sch 1- Rate Base '!E107</f>
        <v>DIST</v>
      </c>
      <c r="F107" s="184"/>
      <c r="G107" s="1676">
        <f>'Sch 1- Rate Base '!G107</f>
        <v>0</v>
      </c>
      <c r="H107" s="249">
        <f>'Sch 1- Rate Base '!H107</f>
        <v>0</v>
      </c>
      <c r="I107" s="249">
        <f>'Sch 1- Rate Base '!I107</f>
        <v>0</v>
      </c>
      <c r="J107" s="1343">
        <f>'Sch 1- Rate Base '!J107</f>
        <v>0</v>
      </c>
    </row>
    <row r="108" spans="1:10" x14ac:dyDescent="0.25">
      <c r="A108" s="913"/>
      <c r="B108" s="10" t="s">
        <v>357</v>
      </c>
      <c r="C108" s="181" t="str">
        <f>'Sch 1- Rate Base '!C108</f>
        <v>110-111</v>
      </c>
      <c r="D108" s="181">
        <f>'Sch 1- Rate Base '!D108</f>
        <v>158.1</v>
      </c>
      <c r="E108" s="184" t="str">
        <f>'Sch 1- Rate Base '!E108</f>
        <v>PROD</v>
      </c>
      <c r="F108" s="184"/>
      <c r="G108" s="1676">
        <f>'Sch 1- Rate Base '!G108</f>
        <v>1242891.2703915152</v>
      </c>
      <c r="H108" s="249">
        <f>'Sch 1- Rate Base '!H108</f>
        <v>1242891.2703915152</v>
      </c>
      <c r="I108" s="249">
        <f>'Sch 1- Rate Base '!I108</f>
        <v>0</v>
      </c>
      <c r="J108" s="1343">
        <f>'Sch 1- Rate Base '!J108</f>
        <v>0</v>
      </c>
    </row>
    <row r="109" spans="1:10" x14ac:dyDescent="0.25">
      <c r="A109" s="913"/>
      <c r="B109" s="10" t="s">
        <v>178</v>
      </c>
      <c r="C109" s="181" t="str">
        <f>'Sch 1- Rate Base '!C109</f>
        <v>110-111</v>
      </c>
      <c r="D109" s="181">
        <f>'Sch 1- Rate Base '!D109</f>
        <v>158.19999999999999</v>
      </c>
      <c r="E109" s="184" t="str">
        <f>'Sch 1- Rate Base '!E109</f>
        <v>PROD</v>
      </c>
      <c r="F109" s="184"/>
      <c r="G109" s="1676">
        <f>'Sch 1- Rate Base '!G109</f>
        <v>0</v>
      </c>
      <c r="H109" s="249">
        <f>'Sch 1- Rate Base '!H109</f>
        <v>0</v>
      </c>
      <c r="I109" s="249">
        <f>'Sch 1- Rate Base '!I109</f>
        <v>0</v>
      </c>
      <c r="J109" s="1343">
        <f>'Sch 1- Rate Base '!J109</f>
        <v>0</v>
      </c>
    </row>
    <row r="110" spans="1:10" x14ac:dyDescent="0.25">
      <c r="A110" s="913"/>
      <c r="B110" s="10" t="s">
        <v>55</v>
      </c>
      <c r="C110" s="181" t="str">
        <f>'Sch 1- Rate Base '!C110</f>
        <v>110-111</v>
      </c>
      <c r="D110" s="181">
        <f>'Sch 1- Rate Base '!D110</f>
        <v>163</v>
      </c>
      <c r="E110" s="184" t="str">
        <f>'Sch 1- Rate Base '!E110</f>
        <v>PTD</v>
      </c>
      <c r="F110" s="184"/>
      <c r="G110" s="1676">
        <f>'Sch 1- Rate Base '!G110</f>
        <v>0</v>
      </c>
      <c r="H110" s="249">
        <f>'Sch 1- Rate Base '!H110</f>
        <v>0</v>
      </c>
      <c r="I110" s="249">
        <f>'Sch 1- Rate Base '!I110</f>
        <v>0</v>
      </c>
      <c r="J110" s="1343">
        <f>'Sch 1- Rate Base '!J110</f>
        <v>0</v>
      </c>
    </row>
    <row r="111" spans="1:10" x14ac:dyDescent="0.25">
      <c r="A111" s="913"/>
      <c r="B111" s="10" t="s">
        <v>8</v>
      </c>
      <c r="C111" s="181" t="str">
        <f>'Sch 1- Rate Base '!C111</f>
        <v>110-111</v>
      </c>
      <c r="D111" s="181">
        <f>'Sch 1- Rate Base '!D111</f>
        <v>165</v>
      </c>
      <c r="E111" s="184" t="str">
        <f>'Sch 1- Rate Base '!E111</f>
        <v>PTD</v>
      </c>
      <c r="F111" s="184"/>
      <c r="G111" s="1676">
        <f>'Sch 1- Rate Base '!G111</f>
        <v>56015642.483825237</v>
      </c>
      <c r="H111" s="249">
        <f>'Sch 1- Rate Base '!H111</f>
        <v>24657869.813631494</v>
      </c>
      <c r="I111" s="249">
        <f>'Sch 1- Rate Base '!I111</f>
        <v>0</v>
      </c>
      <c r="J111" s="1343">
        <f>'Sch 1- Rate Base '!J111</f>
        <v>31357772.670193736</v>
      </c>
    </row>
    <row r="112" spans="1:10" x14ac:dyDescent="0.25">
      <c r="A112" s="913"/>
      <c r="B112" s="79" t="s">
        <v>9</v>
      </c>
      <c r="C112" s="181" t="str">
        <f>'Sch 1- Rate Base '!C112</f>
        <v>110-111</v>
      </c>
      <c r="D112" s="181">
        <f>'Sch 1- Rate Base '!D112</f>
        <v>175</v>
      </c>
      <c r="E112" s="184" t="str">
        <f>'Sch 1- Rate Base '!E112</f>
        <v>DIST</v>
      </c>
      <c r="F112" s="184"/>
      <c r="G112" s="1676">
        <f>'Sch 1- Rate Base '!G112</f>
        <v>7016382.5368689988</v>
      </c>
      <c r="H112" s="249">
        <f>'Sch 1- Rate Base '!H112</f>
        <v>0</v>
      </c>
      <c r="I112" s="249">
        <f>'Sch 1- Rate Base '!I112</f>
        <v>0</v>
      </c>
      <c r="J112" s="1343">
        <f>'Sch 1- Rate Base '!J112</f>
        <v>7016382.5368689988</v>
      </c>
    </row>
    <row r="113" spans="1:10" x14ac:dyDescent="0.25">
      <c r="A113" s="913"/>
      <c r="B113" s="79" t="s">
        <v>622</v>
      </c>
      <c r="C113" s="181" t="str">
        <f>'Sch 1- Rate Base '!C113</f>
        <v>110-111</v>
      </c>
      <c r="D113" s="181">
        <f>'Sch 1- Rate Base '!D113</f>
        <v>175</v>
      </c>
      <c r="E113" s="184" t="str">
        <f>'Sch 1- Rate Base '!E113</f>
        <v>DIST</v>
      </c>
      <c r="F113" s="184"/>
      <c r="G113" s="1676">
        <f>'Sch 1- Rate Base '!G113</f>
        <v>882802.55718482344</v>
      </c>
      <c r="H113" s="249">
        <f>'Sch 1- Rate Base '!H113</f>
        <v>0</v>
      </c>
      <c r="I113" s="249">
        <f>'Sch 1- Rate Base '!I113</f>
        <v>0</v>
      </c>
      <c r="J113" s="1343">
        <f>'Sch 1- Rate Base '!J113</f>
        <v>882802.55718482344</v>
      </c>
    </row>
    <row r="114" spans="1:10" x14ac:dyDescent="0.25">
      <c r="A114" s="913"/>
      <c r="B114" s="79" t="s">
        <v>334</v>
      </c>
      <c r="C114" s="89" t="str">
        <f>'Sch 1- Rate Base '!C114</f>
        <v>110-111</v>
      </c>
      <c r="D114" s="89">
        <f>'Sch 1- Rate Base '!D114</f>
        <v>176</v>
      </c>
      <c r="E114" s="250" t="str">
        <f>'Sch 1- Rate Base '!E114</f>
        <v>DIST</v>
      </c>
      <c r="F114" s="184"/>
      <c r="G114" s="1676">
        <f>'Sch 1- Rate Base '!G114</f>
        <v>0</v>
      </c>
      <c r="H114" s="249">
        <f>'Sch 1- Rate Base '!H114</f>
        <v>0</v>
      </c>
      <c r="I114" s="249">
        <f>'Sch 1- Rate Base '!I114</f>
        <v>0</v>
      </c>
      <c r="J114" s="1343">
        <f>'Sch 1- Rate Base '!J114</f>
        <v>0</v>
      </c>
    </row>
    <row r="115" spans="1:10" x14ac:dyDescent="0.25">
      <c r="A115" s="913"/>
      <c r="B115" s="79" t="s">
        <v>623</v>
      </c>
      <c r="C115" s="89" t="str">
        <f>'Sch 1- Rate Base '!C115</f>
        <v>110-111</v>
      </c>
      <c r="D115" s="89">
        <f>'Sch 1- Rate Base '!D115</f>
        <v>176</v>
      </c>
      <c r="E115" s="250" t="str">
        <f>'Sch 1- Rate Base '!E115</f>
        <v>DIST</v>
      </c>
      <c r="F115" s="184"/>
      <c r="G115" s="1676">
        <f>'Sch 1- Rate Base '!G115</f>
        <v>0</v>
      </c>
      <c r="H115" s="249">
        <f>'Sch 1- Rate Base '!H115</f>
        <v>0</v>
      </c>
      <c r="I115" s="249">
        <f>'Sch 1- Rate Base '!I115</f>
        <v>0</v>
      </c>
      <c r="J115" s="1343">
        <f>'Sch 1- Rate Base '!J115</f>
        <v>0</v>
      </c>
    </row>
    <row r="116" spans="1:10" ht="16.5" thickBot="1" x14ac:dyDescent="0.3">
      <c r="A116" s="913"/>
      <c r="B116" s="848" t="s">
        <v>104</v>
      </c>
      <c r="C116" s="1734"/>
      <c r="D116" s="1506"/>
      <c r="E116" s="1506"/>
      <c r="F116" s="1507"/>
      <c r="G116" s="1508"/>
      <c r="H116" s="1508"/>
      <c r="I116" s="1508"/>
      <c r="J116" s="1509"/>
    </row>
    <row r="117" spans="1:10" ht="17.25" thickTop="1" thickBot="1" x14ac:dyDescent="0.3">
      <c r="A117" s="956"/>
      <c r="B117" s="957"/>
      <c r="C117" s="1512"/>
      <c r="D117" s="1512"/>
      <c r="E117" s="1512"/>
      <c r="F117" s="1512"/>
      <c r="G117" s="1513"/>
      <c r="H117" s="1513"/>
      <c r="I117" s="1513"/>
      <c r="J117" s="1514"/>
    </row>
    <row r="118" spans="1:10" ht="16.5" thickTop="1" x14ac:dyDescent="0.25">
      <c r="A118" s="961" t="s">
        <v>179</v>
      </c>
      <c r="B118" s="79"/>
      <c r="C118" s="80"/>
      <c r="D118" s="48"/>
      <c r="E118" s="48"/>
      <c r="F118" s="48"/>
      <c r="G118" s="336"/>
      <c r="H118" s="337"/>
      <c r="I118" s="337"/>
      <c r="J118" s="1354"/>
    </row>
    <row r="119" spans="1:10" x14ac:dyDescent="0.25">
      <c r="A119" s="913"/>
      <c r="B119" s="79" t="s">
        <v>10</v>
      </c>
      <c r="C119" s="181" t="str">
        <f>'Sch 1- Rate Base '!C119</f>
        <v>110-111</v>
      </c>
      <c r="D119" s="181">
        <f>'Sch 1- Rate Base '!D119</f>
        <v>181</v>
      </c>
      <c r="E119" s="184" t="str">
        <f>'Sch 1- Rate Base '!E119</f>
        <v>PTDG</v>
      </c>
      <c r="F119" s="184"/>
      <c r="G119" s="1676">
        <f>'Sch 1- Rate Base '!G119</f>
        <v>23084661.294751231</v>
      </c>
      <c r="H119" s="249">
        <f>'Sch 1- Rate Base '!H119</f>
        <v>10028311.633164721</v>
      </c>
      <c r="I119" s="249">
        <f>'Sch 1- Rate Base '!I119</f>
        <v>0</v>
      </c>
      <c r="J119" s="1343">
        <f>'Sch 1- Rate Base '!J119</f>
        <v>13058659.838991489</v>
      </c>
    </row>
    <row r="120" spans="1:10" x14ac:dyDescent="0.25">
      <c r="A120" s="913"/>
      <c r="B120" s="79" t="s">
        <v>11</v>
      </c>
      <c r="C120" s="181" t="str">
        <f>'Sch 1- Rate Base '!C120</f>
        <v>110-111</v>
      </c>
      <c r="D120" s="181">
        <f>'Sch 1- Rate Base '!D120</f>
        <v>182.1</v>
      </c>
      <c r="E120" s="184" t="str">
        <f>'Sch 1- Rate Base '!E120</f>
        <v>DIRECT</v>
      </c>
      <c r="F120" s="184" t="str">
        <f>'Sch 1- Rate Base '!F120</f>
        <v>DIST</v>
      </c>
      <c r="G120" s="1676">
        <f>'Sch 1- Rate Base '!G120</f>
        <v>0</v>
      </c>
      <c r="H120" s="249">
        <f>'Sch 1- Rate Base '!H120</f>
        <v>0</v>
      </c>
      <c r="I120" s="249">
        <f>'Sch 1- Rate Base '!I120</f>
        <v>0</v>
      </c>
      <c r="J120" s="1343">
        <f>'Sch 1- Rate Base '!J120</f>
        <v>0</v>
      </c>
    </row>
    <row r="121" spans="1:10" x14ac:dyDescent="0.25">
      <c r="A121" s="913"/>
      <c r="B121" s="79" t="s">
        <v>12</v>
      </c>
      <c r="C121" s="181" t="str">
        <f>'Sch 1- Rate Base '!C121</f>
        <v>110-111</v>
      </c>
      <c r="D121" s="181">
        <f>'Sch 1- Rate Base '!D121</f>
        <v>182.2</v>
      </c>
      <c r="E121" s="184" t="str">
        <f>'Sch 1- Rate Base '!E121</f>
        <v>DIRECT</v>
      </c>
      <c r="F121" s="184" t="str">
        <f>'Sch 1- Rate Base '!F121</f>
        <v>DIST</v>
      </c>
      <c r="G121" s="1676">
        <f>'Sch 1- Rate Base '!G121</f>
        <v>0</v>
      </c>
      <c r="H121" s="249">
        <f>'Sch 1- Rate Base '!H121</f>
        <v>0</v>
      </c>
      <c r="I121" s="249">
        <f>'Sch 1- Rate Base '!I121</f>
        <v>0</v>
      </c>
      <c r="J121" s="1343">
        <f>'Sch 1- Rate Base '!J121</f>
        <v>0</v>
      </c>
    </row>
    <row r="122" spans="1:10" x14ac:dyDescent="0.25">
      <c r="A122" s="913"/>
      <c r="B122" s="79" t="s">
        <v>13</v>
      </c>
      <c r="C122" s="181" t="str">
        <f>'Sch 1- Rate Base '!C122</f>
        <v>110-111</v>
      </c>
      <c r="D122" s="181">
        <f>'Sch 1- Rate Base '!D122</f>
        <v>182.3</v>
      </c>
      <c r="E122" s="184" t="str">
        <f>'Sch 1- Rate Base '!E122</f>
        <v>DIRECT</v>
      </c>
      <c r="F122" s="184" t="str">
        <f>'Sch 1- Rate Base '!F122</f>
        <v>DIST</v>
      </c>
      <c r="G122" s="1676">
        <f>'Sch 1- Rate Base '!G122</f>
        <v>672768352.85708964</v>
      </c>
      <c r="H122" s="249">
        <f>'Sch 1- Rate Base '!H122</f>
        <v>353419883.65590286</v>
      </c>
      <c r="I122" s="249">
        <f>'Sch 1- Rate Base '!I122</f>
        <v>0</v>
      </c>
      <c r="J122" s="1343">
        <f>'Sch 1- Rate Base '!J122</f>
        <v>319348469.20118666</v>
      </c>
    </row>
    <row r="123" spans="1:10" x14ac:dyDescent="0.25">
      <c r="A123" s="913"/>
      <c r="B123" s="79" t="s">
        <v>624</v>
      </c>
      <c r="C123" s="181" t="str">
        <f>'Sch 1- Rate Base '!C123</f>
        <v>110-111</v>
      </c>
      <c r="D123" s="181">
        <f>'Sch 1- Rate Base '!D123</f>
        <v>183</v>
      </c>
      <c r="E123" s="184" t="str">
        <f>'Sch 1- Rate Base '!E123</f>
        <v>DIST</v>
      </c>
      <c r="F123" s="184"/>
      <c r="G123" s="1676">
        <f>'Sch 1- Rate Base '!G123</f>
        <v>10625524.390141297</v>
      </c>
      <c r="H123" s="249">
        <f>'Sch 1- Rate Base '!H123</f>
        <v>0</v>
      </c>
      <c r="I123" s="249">
        <f>'Sch 1- Rate Base '!I123</f>
        <v>0</v>
      </c>
      <c r="J123" s="1343">
        <f>'Sch 1- Rate Base '!J123</f>
        <v>10625524.390141297</v>
      </c>
    </row>
    <row r="124" spans="1:10" x14ac:dyDescent="0.25">
      <c r="A124" s="913"/>
      <c r="B124" s="79" t="s">
        <v>14</v>
      </c>
      <c r="C124" s="181" t="str">
        <f>'Sch 1- Rate Base '!C124</f>
        <v>110-111</v>
      </c>
      <c r="D124" s="181">
        <f>'Sch 1- Rate Base '!D124</f>
        <v>183.1</v>
      </c>
      <c r="E124" s="184" t="str">
        <f>'Sch 1- Rate Base '!E124</f>
        <v>DIST</v>
      </c>
      <c r="F124" s="184"/>
      <c r="G124" s="1676">
        <f>'Sch 1- Rate Base '!G124</f>
        <v>0</v>
      </c>
      <c r="H124" s="249">
        <f>'Sch 1- Rate Base '!H124</f>
        <v>0</v>
      </c>
      <c r="I124" s="249">
        <f>'Sch 1- Rate Base '!I124</f>
        <v>0</v>
      </c>
      <c r="J124" s="1343">
        <f>'Sch 1- Rate Base '!J124</f>
        <v>0</v>
      </c>
    </row>
    <row r="125" spans="1:10" x14ac:dyDescent="0.25">
      <c r="A125" s="913"/>
      <c r="B125" s="79" t="s">
        <v>445</v>
      </c>
      <c r="C125" s="181" t="str">
        <f>'Sch 1- Rate Base '!C125</f>
        <v>110-111</v>
      </c>
      <c r="D125" s="181">
        <f>'Sch 1- Rate Base '!D125</f>
        <v>183.2</v>
      </c>
      <c r="E125" s="184" t="str">
        <f>'Sch 1- Rate Base '!E125</f>
        <v>DIST</v>
      </c>
      <c r="F125" s="184"/>
      <c r="G125" s="1676">
        <f>'Sch 1- Rate Base '!G125</f>
        <v>0</v>
      </c>
      <c r="H125" s="249">
        <f>'Sch 1- Rate Base '!H125</f>
        <v>0</v>
      </c>
      <c r="I125" s="249">
        <f>'Sch 1- Rate Base '!I125</f>
        <v>0</v>
      </c>
      <c r="J125" s="1343">
        <f>'Sch 1- Rate Base '!J125</f>
        <v>0</v>
      </c>
    </row>
    <row r="126" spans="1:10" x14ac:dyDescent="0.25">
      <c r="A126" s="913"/>
      <c r="B126" s="79" t="s">
        <v>15</v>
      </c>
      <c r="C126" s="181" t="str">
        <f>'Sch 1- Rate Base '!C126</f>
        <v>110-111</v>
      </c>
      <c r="D126" s="181">
        <f>'Sch 1- Rate Base '!D126</f>
        <v>184</v>
      </c>
      <c r="E126" s="184" t="str">
        <f>'Sch 1- Rate Base '!E126</f>
        <v>DIST</v>
      </c>
      <c r="F126" s="184"/>
      <c r="G126" s="1676">
        <f>'Sch 1- Rate Base '!G126</f>
        <v>2867.363757145788</v>
      </c>
      <c r="H126" s="249">
        <f>'Sch 1- Rate Base '!H126</f>
        <v>0</v>
      </c>
      <c r="I126" s="249">
        <f>'Sch 1- Rate Base '!I126</f>
        <v>0</v>
      </c>
      <c r="J126" s="1343">
        <f>'Sch 1- Rate Base '!J126</f>
        <v>2867.363757145788</v>
      </c>
    </row>
    <row r="127" spans="1:10" x14ac:dyDescent="0.25">
      <c r="A127" s="913"/>
      <c r="B127" s="79" t="s">
        <v>16</v>
      </c>
      <c r="C127" s="181" t="str">
        <f>'Sch 1- Rate Base '!C127</f>
        <v>110-111</v>
      </c>
      <c r="D127" s="181">
        <f>'Sch 1- Rate Base '!D127</f>
        <v>185</v>
      </c>
      <c r="E127" s="184" t="str">
        <f>'Sch 1- Rate Base '!E127</f>
        <v>PTDG</v>
      </c>
      <c r="F127" s="184"/>
      <c r="G127" s="1676">
        <f>'Sch 1- Rate Base '!G127</f>
        <v>63231.269284363545</v>
      </c>
      <c r="H127" s="249">
        <f>'Sch 1- Rate Base '!H127</f>
        <v>27468.580337729723</v>
      </c>
      <c r="I127" s="249">
        <f>'Sch 1- Rate Base '!I127</f>
        <v>0</v>
      </c>
      <c r="J127" s="1343">
        <f>'Sch 1- Rate Base '!J127</f>
        <v>19431.59572434863</v>
      </c>
    </row>
    <row r="128" spans="1:10" x14ac:dyDescent="0.25">
      <c r="A128" s="913"/>
      <c r="B128" s="79" t="s">
        <v>17</v>
      </c>
      <c r="C128" s="181" t="str">
        <f>'Sch 1- Rate Base '!C128</f>
        <v>110-111</v>
      </c>
      <c r="D128" s="181">
        <f>'Sch 1- Rate Base '!D128</f>
        <v>186</v>
      </c>
      <c r="E128" s="184" t="str">
        <f>'Sch 1- Rate Base '!E128</f>
        <v>DIRECT</v>
      </c>
      <c r="F128" s="184" t="str">
        <f>'Sch 1- Rate Base '!F128</f>
        <v>DIST</v>
      </c>
      <c r="G128" s="1676">
        <f>'Sch 1- Rate Base '!G128</f>
        <v>51060663.808693767</v>
      </c>
      <c r="H128" s="249">
        <f>'Sch 1- Rate Base '!H128</f>
        <v>48216918.364726976</v>
      </c>
      <c r="I128" s="249">
        <f>'Sch 1- Rate Base '!I128</f>
        <v>0</v>
      </c>
      <c r="J128" s="1343">
        <f>'Sch 1- Rate Base '!J128</f>
        <v>2843745.443966785</v>
      </c>
    </row>
    <row r="129" spans="1:10" x14ac:dyDescent="0.25">
      <c r="A129" s="913"/>
      <c r="B129" s="79" t="s">
        <v>18</v>
      </c>
      <c r="C129" s="181" t="str">
        <f>'Sch 1- Rate Base '!C129</f>
        <v>110-111</v>
      </c>
      <c r="D129" s="181">
        <f>'Sch 1- Rate Base '!D129</f>
        <v>187</v>
      </c>
      <c r="E129" s="184" t="str">
        <f>'Sch 1- Rate Base '!E129</f>
        <v>DIRECT</v>
      </c>
      <c r="F129" s="184"/>
      <c r="G129" s="1676">
        <f>'Sch 1- Rate Base '!G129</f>
        <v>0</v>
      </c>
      <c r="H129" s="249">
        <f>'Sch 1- Rate Base '!H129</f>
        <v>0</v>
      </c>
      <c r="I129" s="249">
        <f>'Sch 1- Rate Base '!I129</f>
        <v>0</v>
      </c>
      <c r="J129" s="1343">
        <f>'Sch 1- Rate Base '!J129</f>
        <v>0</v>
      </c>
    </row>
    <row r="130" spans="1:10" x14ac:dyDescent="0.25">
      <c r="A130" s="913"/>
      <c r="B130" s="79" t="s">
        <v>19</v>
      </c>
      <c r="C130" s="181" t="str">
        <f>'Sch 1- Rate Base '!C130</f>
        <v>110-111</v>
      </c>
      <c r="D130" s="181">
        <f>'Sch 1- Rate Base '!D130</f>
        <v>188</v>
      </c>
      <c r="E130" s="184" t="str">
        <f>'Sch 1- Rate Base '!E130</f>
        <v>DIST</v>
      </c>
      <c r="F130" s="184"/>
      <c r="G130" s="1676">
        <f>'Sch 1- Rate Base '!G130</f>
        <v>0</v>
      </c>
      <c r="H130" s="249">
        <f>'Sch 1- Rate Base '!H130</f>
        <v>0</v>
      </c>
      <c r="I130" s="249">
        <f>'Sch 1- Rate Base '!I130</f>
        <v>0</v>
      </c>
      <c r="J130" s="1343">
        <f>'Sch 1- Rate Base '!J130</f>
        <v>0</v>
      </c>
    </row>
    <row r="131" spans="1:10" x14ac:dyDescent="0.25">
      <c r="A131" s="913"/>
      <c r="B131" s="79" t="s">
        <v>20</v>
      </c>
      <c r="C131" s="181" t="str">
        <f>'Sch 1- Rate Base '!C131</f>
        <v>110-111</v>
      </c>
      <c r="D131" s="181">
        <f>'Sch 1- Rate Base '!D131</f>
        <v>189</v>
      </c>
      <c r="E131" s="184" t="str">
        <f>'Sch 1- Rate Base '!E131</f>
        <v>PTDG</v>
      </c>
      <c r="F131" s="184"/>
      <c r="G131" s="1676">
        <f>'Sch 1- Rate Base '!G131</f>
        <v>801630.402326782</v>
      </c>
      <c r="H131" s="249">
        <f>'Sch 1- Rate Base '!H131</f>
        <v>348239.87177061226</v>
      </c>
      <c r="I131" s="249">
        <f>'Sch 1- Rate Base '!I131</f>
        <v>0</v>
      </c>
      <c r="J131" s="1343">
        <f>'Sch 1- Rate Base '!J131</f>
        <v>246348.96744375481</v>
      </c>
    </row>
    <row r="132" spans="1:10" x14ac:dyDescent="0.25">
      <c r="A132" s="913"/>
      <c r="B132" s="79" t="s">
        <v>21</v>
      </c>
      <c r="C132" s="181" t="str">
        <f>'Sch 1- Rate Base '!C132</f>
        <v>110-111</v>
      </c>
      <c r="D132" s="181">
        <f>'Sch 1- Rate Base '!D132</f>
        <v>190</v>
      </c>
      <c r="E132" s="184" t="str">
        <f>'Sch 1- Rate Base '!E132</f>
        <v>DIST</v>
      </c>
      <c r="F132" s="184"/>
      <c r="G132" s="1676">
        <f>'Sch 1- Rate Base '!G132</f>
        <v>367007945.82677501</v>
      </c>
      <c r="H132" s="249">
        <f>'Sch 1- Rate Base '!H132</f>
        <v>0</v>
      </c>
      <c r="I132" s="249">
        <f>'Sch 1- Rate Base '!I132</f>
        <v>0</v>
      </c>
      <c r="J132" s="1343">
        <f>'Sch 1- Rate Base '!J132</f>
        <v>367007945.82677501</v>
      </c>
    </row>
    <row r="133" spans="1:10" x14ac:dyDescent="0.25">
      <c r="A133" s="160"/>
      <c r="B133" s="848" t="s">
        <v>104</v>
      </c>
      <c r="C133" s="494"/>
      <c r="D133" s="487"/>
      <c r="E133" s="487"/>
      <c r="F133" s="488"/>
      <c r="G133" s="495">
        <f>'Sch 1- Rate Base '!G133</f>
        <v>1125414877.2128193</v>
      </c>
      <c r="H133" s="495">
        <f>'Sch 1- Rate Base '!H133</f>
        <v>412040822.10590285</v>
      </c>
      <c r="I133" s="495">
        <f>'Sch 1- Rate Base '!I133</f>
        <v>0</v>
      </c>
      <c r="J133" s="1365">
        <f>'Sch 1- Rate Base '!J133</f>
        <v>713152992.62798643</v>
      </c>
    </row>
    <row r="134" spans="1:10" x14ac:dyDescent="0.25">
      <c r="A134" s="962"/>
      <c r="B134" s="938"/>
      <c r="C134" s="81"/>
      <c r="D134" s="34"/>
      <c r="E134" s="34"/>
      <c r="F134" s="34"/>
      <c r="G134" s="142"/>
      <c r="H134" s="337"/>
      <c r="I134" s="337"/>
      <c r="J134" s="1354"/>
    </row>
    <row r="135" spans="1:10" x14ac:dyDescent="0.25">
      <c r="A135" s="964" t="s">
        <v>74</v>
      </c>
      <c r="B135" s="64"/>
      <c r="C135" s="494"/>
      <c r="D135" s="487"/>
      <c r="E135" s="487"/>
      <c r="F135" s="488"/>
      <c r="G135" s="495">
        <f>'Sch 1- Rate Base '!G135</f>
        <v>3908737606.0971003</v>
      </c>
      <c r="H135" s="495">
        <f>'Sch 1- Rate Base '!H135</f>
        <v>805285062.89020872</v>
      </c>
      <c r="I135" s="495">
        <f>'Sch 1- Rate Base '!I135</f>
        <v>23892855.711776573</v>
      </c>
      <c r="J135" s="1365">
        <f>'Sch 1- Rate Base '!J135</f>
        <v>3079338625.0147085</v>
      </c>
    </row>
    <row r="136" spans="1:10" ht="16.5" thickBot="1" x14ac:dyDescent="0.3">
      <c r="A136" s="965"/>
      <c r="B136" s="932"/>
      <c r="C136" s="174"/>
      <c r="D136" s="174"/>
      <c r="E136" s="190"/>
      <c r="F136" s="190"/>
      <c r="G136" s="383"/>
      <c r="H136" s="383"/>
      <c r="I136" s="383"/>
      <c r="J136" s="1370"/>
    </row>
    <row r="137" spans="1:10" ht="16.5" thickTop="1" x14ac:dyDescent="0.25">
      <c r="A137" s="968" t="s">
        <v>75</v>
      </c>
      <c r="B137" s="64"/>
      <c r="C137" s="8"/>
      <c r="D137" s="34"/>
      <c r="E137" s="34"/>
      <c r="F137" s="34"/>
      <c r="G137" s="142"/>
      <c r="H137" s="142"/>
      <c r="I137" s="142"/>
      <c r="J137" s="1347"/>
    </row>
    <row r="138" spans="1:10" x14ac:dyDescent="0.25">
      <c r="A138" s="913"/>
      <c r="B138" s="848" t="s">
        <v>434</v>
      </c>
      <c r="C138" s="48"/>
      <c r="D138" s="75"/>
      <c r="E138" s="48"/>
      <c r="F138" s="48"/>
      <c r="G138" s="1525"/>
      <c r="H138" s="337"/>
      <c r="I138" s="337"/>
      <c r="J138" s="1354"/>
    </row>
    <row r="139" spans="1:10" x14ac:dyDescent="0.25">
      <c r="A139" s="1675"/>
      <c r="B139" s="79" t="s">
        <v>332</v>
      </c>
      <c r="C139" s="181" t="str">
        <f>'Sch 1- Rate Base '!C139</f>
        <v>112-113</v>
      </c>
      <c r="D139" s="181">
        <f>'Sch 1- Rate Base '!D139</f>
        <v>175</v>
      </c>
      <c r="E139" s="184" t="str">
        <f>'Sch 1- Rate Base '!E139</f>
        <v>DIST</v>
      </c>
      <c r="F139" s="184"/>
      <c r="G139" s="1676">
        <f>'Sch 1- Rate Base '!G139</f>
        <v>33532868.969462179</v>
      </c>
      <c r="H139" s="249">
        <f>'Sch 1- Rate Base '!H139</f>
        <v>0</v>
      </c>
      <c r="I139" s="249">
        <f>'Sch 1- Rate Base '!I139</f>
        <v>0</v>
      </c>
      <c r="J139" s="1343">
        <f>'Sch 1- Rate Base '!J139</f>
        <v>33532868.969462179</v>
      </c>
    </row>
    <row r="140" spans="1:10" x14ac:dyDescent="0.25">
      <c r="A140" s="1675"/>
      <c r="B140" s="970" t="s">
        <v>625</v>
      </c>
      <c r="C140" s="181" t="str">
        <f>'Sch 1- Rate Base '!C140</f>
        <v>112-113</v>
      </c>
      <c r="D140" s="181">
        <f>'Sch 1- Rate Base '!D140</f>
        <v>175</v>
      </c>
      <c r="E140" s="184" t="str">
        <f>'Sch 1- Rate Base '!E140</f>
        <v>DIST</v>
      </c>
      <c r="F140" s="184"/>
      <c r="G140" s="1676">
        <f>'Sch 1- Rate Base '!G140</f>
        <v>8023897.7622972047</v>
      </c>
      <c r="H140" s="249">
        <f>'Sch 1- Rate Base '!H140</f>
        <v>0</v>
      </c>
      <c r="I140" s="249">
        <f>'Sch 1- Rate Base '!I140</f>
        <v>0</v>
      </c>
      <c r="J140" s="1343">
        <f>'Sch 1- Rate Base '!J140</f>
        <v>8023897.7622972047</v>
      </c>
    </row>
    <row r="141" spans="1:10" x14ac:dyDescent="0.25">
      <c r="A141" s="1675"/>
      <c r="B141" s="79" t="s">
        <v>333</v>
      </c>
      <c r="C141" s="181" t="str">
        <f>'Sch 1- Rate Base '!C141</f>
        <v>112-113</v>
      </c>
      <c r="D141" s="181">
        <f>'Sch 1- Rate Base '!D141</f>
        <v>176</v>
      </c>
      <c r="E141" s="184" t="str">
        <f>'Sch 1- Rate Base '!E141</f>
        <v>DIST</v>
      </c>
      <c r="F141" s="184"/>
      <c r="G141" s="1676">
        <f>'Sch 1- Rate Base '!G141</f>
        <v>0</v>
      </c>
      <c r="H141" s="249">
        <f>'Sch 1- Rate Base '!H141</f>
        <v>0</v>
      </c>
      <c r="I141" s="249">
        <f>'Sch 1- Rate Base '!I141</f>
        <v>0</v>
      </c>
      <c r="J141" s="1343">
        <f>'Sch 1- Rate Base '!J141</f>
        <v>0</v>
      </c>
    </row>
    <row r="142" spans="1:10" x14ac:dyDescent="0.25">
      <c r="A142" s="1675"/>
      <c r="B142" s="970" t="s">
        <v>626</v>
      </c>
      <c r="C142" s="181" t="str">
        <f>'Sch 1- Rate Base '!C142</f>
        <v>112-113</v>
      </c>
      <c r="D142" s="181">
        <f>'Sch 1- Rate Base '!D142</f>
        <v>176</v>
      </c>
      <c r="E142" s="184" t="str">
        <f>'Sch 1- Rate Base '!E142</f>
        <v>DIST</v>
      </c>
      <c r="F142" s="184"/>
      <c r="G142" s="1676">
        <f>'Sch 1- Rate Base '!G142</f>
        <v>0</v>
      </c>
      <c r="H142" s="249">
        <f>'Sch 1- Rate Base '!H142</f>
        <v>0</v>
      </c>
      <c r="I142" s="249">
        <f>'Sch 1- Rate Base '!I142</f>
        <v>0</v>
      </c>
      <c r="J142" s="1343">
        <f>'Sch 1- Rate Base '!J142</f>
        <v>0</v>
      </c>
    </row>
    <row r="143" spans="1:10" x14ac:dyDescent="0.25">
      <c r="A143" s="1675"/>
      <c r="B143" s="848" t="s">
        <v>104</v>
      </c>
      <c r="C143" s="1733"/>
      <c r="D143" s="487"/>
      <c r="E143" s="487"/>
      <c r="F143" s="488"/>
      <c r="G143" s="495">
        <f>'Sch 1- Rate Base '!G143</f>
        <v>25508971.207164973</v>
      </c>
      <c r="H143" s="495">
        <f>'Sch 1- Rate Base '!H143</f>
        <v>0</v>
      </c>
      <c r="I143" s="495">
        <f>'Sch 1- Rate Base '!I143</f>
        <v>0</v>
      </c>
      <c r="J143" s="1365">
        <f>'Sch 1- Rate Base '!J143</f>
        <v>25508971.207164973</v>
      </c>
    </row>
    <row r="144" spans="1:10" x14ac:dyDescent="0.25">
      <c r="A144" s="1675"/>
      <c r="B144" s="848" t="s">
        <v>435</v>
      </c>
      <c r="C144" s="48"/>
      <c r="D144" s="75"/>
      <c r="E144" s="48"/>
      <c r="F144" s="48"/>
      <c r="G144" s="142"/>
      <c r="H144" s="337"/>
      <c r="I144" s="337"/>
      <c r="J144" s="1354"/>
    </row>
    <row r="145" spans="1:10" x14ac:dyDescent="0.25">
      <c r="A145" s="913"/>
      <c r="B145" s="79" t="s">
        <v>374</v>
      </c>
      <c r="C145" s="181" t="str">
        <f>'Sch 1- Rate Base '!C145</f>
        <v>112-113</v>
      </c>
      <c r="D145" s="181">
        <f>'Sch 1- Rate Base '!D145</f>
        <v>244</v>
      </c>
      <c r="E145" s="184" t="str">
        <f>'Sch 1- Rate Base '!E145</f>
        <v>DIST</v>
      </c>
      <c r="F145" s="184"/>
      <c r="G145" s="333">
        <f>'Sch 1- Rate Base '!G145</f>
        <v>0</v>
      </c>
      <c r="H145" s="249">
        <f>'Sch 1- Rate Base '!H145</f>
        <v>0</v>
      </c>
      <c r="I145" s="249">
        <f>'Sch 1- Rate Base '!I145</f>
        <v>0</v>
      </c>
      <c r="J145" s="1343">
        <f>'Sch 1- Rate Base '!J145</f>
        <v>0</v>
      </c>
    </row>
    <row r="146" spans="1:10" x14ac:dyDescent="0.25">
      <c r="A146" s="913"/>
      <c r="B146" s="79" t="s">
        <v>375</v>
      </c>
      <c r="C146" s="181" t="str">
        <f>'Sch 1- Rate Base '!C146</f>
        <v>112-113</v>
      </c>
      <c r="D146" s="181">
        <f>'Sch 1- Rate Base '!D146</f>
        <v>245</v>
      </c>
      <c r="E146" s="184" t="str">
        <f>'Sch 1- Rate Base '!E146</f>
        <v>DIST</v>
      </c>
      <c r="F146" s="184"/>
      <c r="G146" s="333">
        <f>'Sch 1- Rate Base '!G146</f>
        <v>0</v>
      </c>
      <c r="H146" s="249">
        <f>'Sch 1- Rate Base '!H146</f>
        <v>0</v>
      </c>
      <c r="I146" s="249">
        <f>'Sch 1- Rate Base '!I146</f>
        <v>0</v>
      </c>
      <c r="J146" s="1343">
        <f>'Sch 1- Rate Base '!J146</f>
        <v>0</v>
      </c>
    </row>
    <row r="147" spans="1:10" x14ac:dyDescent="0.25">
      <c r="A147" s="913"/>
      <c r="B147" s="79" t="s">
        <v>22</v>
      </c>
      <c r="C147" s="181" t="str">
        <f>'Sch 1- Rate Base '!C147</f>
        <v>112-113</v>
      </c>
      <c r="D147" s="181">
        <f>'Sch 1- Rate Base '!D147</f>
        <v>252</v>
      </c>
      <c r="E147" s="184" t="str">
        <f>'Sch 1- Rate Base '!E147</f>
        <v>DIST</v>
      </c>
      <c r="F147" s="184"/>
      <c r="G147" s="1676">
        <f>'Sch 1- Rate Base '!G147</f>
        <v>140066801.77948469</v>
      </c>
      <c r="H147" s="249">
        <f>'Sch 1- Rate Base '!H147</f>
        <v>0</v>
      </c>
      <c r="I147" s="249">
        <f>'Sch 1- Rate Base '!I147</f>
        <v>0</v>
      </c>
      <c r="J147" s="1343">
        <f>'Sch 1- Rate Base '!J147</f>
        <v>140066801.77948469</v>
      </c>
    </row>
    <row r="148" spans="1:10" x14ac:dyDescent="0.25">
      <c r="A148" s="913"/>
      <c r="B148" s="79" t="s">
        <v>25</v>
      </c>
      <c r="C148" s="181" t="str">
        <f>'Sch 1- Rate Base '!C148</f>
        <v>112-113</v>
      </c>
      <c r="D148" s="181">
        <f>'Sch 1- Rate Base '!D148</f>
        <v>253</v>
      </c>
      <c r="E148" s="184" t="str">
        <f>'Sch 1- Rate Base '!E148</f>
        <v>DIRECT</v>
      </c>
      <c r="F148" s="184" t="str">
        <f>'Sch 1- Rate Base '!F148</f>
        <v>DIST</v>
      </c>
      <c r="G148" s="1676">
        <f>'Sch 1- Rate Base '!G148</f>
        <v>139827822.78011093</v>
      </c>
      <c r="H148" s="249">
        <f>'Sch 1- Rate Base '!H148</f>
        <v>38305646.080497444</v>
      </c>
      <c r="I148" s="249">
        <f>'Sch 1- Rate Base '!I148</f>
        <v>0</v>
      </c>
      <c r="J148" s="1343">
        <f>'Sch 1- Rate Base '!J148</f>
        <v>101522176.6996135</v>
      </c>
    </row>
    <row r="149" spans="1:10" x14ac:dyDescent="0.25">
      <c r="A149" s="913"/>
      <c r="B149" s="79" t="s">
        <v>26</v>
      </c>
      <c r="C149" s="181" t="str">
        <f>'Sch 1- Rate Base '!C149</f>
        <v>112-113</v>
      </c>
      <c r="D149" s="181">
        <f>'Sch 1- Rate Base '!D149</f>
        <v>254</v>
      </c>
      <c r="E149" s="184" t="str">
        <f>'Sch 1- Rate Base '!E149</f>
        <v>DIRECT</v>
      </c>
      <c r="F149" s="184" t="str">
        <f>'Sch 1- Rate Base '!F149</f>
        <v>DIST</v>
      </c>
      <c r="G149" s="1676">
        <f>'Sch 1- Rate Base '!G149</f>
        <v>540639201.34976745</v>
      </c>
      <c r="H149" s="249">
        <f>'Sch 1- Rate Base '!H149</f>
        <v>49323245.608887903</v>
      </c>
      <c r="I149" s="249">
        <f>'Sch 1- Rate Base '!I149</f>
        <v>0</v>
      </c>
      <c r="J149" s="1343">
        <f>'Sch 1- Rate Base '!J149</f>
        <v>491315955.74087965</v>
      </c>
    </row>
    <row r="150" spans="1:10" x14ac:dyDescent="0.25">
      <c r="A150" s="913"/>
      <c r="B150" s="79" t="s">
        <v>23</v>
      </c>
      <c r="C150" s="181" t="str">
        <f>'Sch 1- Rate Base '!C150</f>
        <v>112-113</v>
      </c>
      <c r="D150" s="181">
        <f>'Sch 1- Rate Base '!D150</f>
        <v>255</v>
      </c>
      <c r="E150" s="184" t="str">
        <f>'Sch 1- Rate Base '!E150</f>
        <v>DIST</v>
      </c>
      <c r="F150" s="184"/>
      <c r="G150" s="1676">
        <f>'Sch 1- Rate Base '!G150</f>
        <v>380033.94867876318</v>
      </c>
      <c r="H150" s="249">
        <f>'Sch 1- Rate Base '!H150</f>
        <v>0</v>
      </c>
      <c r="I150" s="249">
        <f>'Sch 1- Rate Base '!I150</f>
        <v>0</v>
      </c>
      <c r="J150" s="1343">
        <f>'Sch 1- Rate Base '!J150</f>
        <v>380033.94867876318</v>
      </c>
    </row>
    <row r="151" spans="1:10" x14ac:dyDescent="0.25">
      <c r="A151" s="913"/>
      <c r="B151" s="79" t="s">
        <v>24</v>
      </c>
      <c r="C151" s="181" t="str">
        <f>'Sch 1- Rate Base '!C151</f>
        <v>112-113</v>
      </c>
      <c r="D151" s="181">
        <f>'Sch 1- Rate Base '!D151</f>
        <v>256</v>
      </c>
      <c r="E151" s="184" t="str">
        <f>'Sch 1- Rate Base '!E151</f>
        <v>DIRECT</v>
      </c>
      <c r="F151" s="184"/>
      <c r="G151" s="1676">
        <f>'Sch 1- Rate Base '!G151</f>
        <v>0</v>
      </c>
      <c r="H151" s="249">
        <f>'Sch 1- Rate Base '!H151</f>
        <v>0</v>
      </c>
      <c r="I151" s="249">
        <f>'Sch 1- Rate Base '!I151</f>
        <v>0</v>
      </c>
      <c r="J151" s="1343">
        <f>'Sch 1- Rate Base '!J151</f>
        <v>0</v>
      </c>
    </row>
    <row r="152" spans="1:10" x14ac:dyDescent="0.25">
      <c r="A152" s="913"/>
      <c r="B152" s="79" t="s">
        <v>27</v>
      </c>
      <c r="C152" s="181" t="str">
        <f>'Sch 1- Rate Base '!C152</f>
        <v>112-113</v>
      </c>
      <c r="D152" s="181">
        <f>'Sch 1- Rate Base '!D152</f>
        <v>257</v>
      </c>
      <c r="E152" s="184" t="str">
        <f>'Sch 1- Rate Base '!E152</f>
        <v>PTDG</v>
      </c>
      <c r="F152" s="184"/>
      <c r="G152" s="1676">
        <f>'Sch 1- Rate Base '!G152</f>
        <v>0</v>
      </c>
      <c r="H152" s="249">
        <f>'Sch 1- Rate Base '!H152</f>
        <v>0</v>
      </c>
      <c r="I152" s="249">
        <f>'Sch 1- Rate Base '!I152</f>
        <v>0</v>
      </c>
      <c r="J152" s="1343">
        <f>'Sch 1- Rate Base '!J152</f>
        <v>0</v>
      </c>
    </row>
    <row r="153" spans="1:10" x14ac:dyDescent="0.25">
      <c r="A153" s="913"/>
      <c r="B153" s="79" t="s">
        <v>31</v>
      </c>
      <c r="C153" s="181" t="str">
        <f>'Sch 1- Rate Base '!C153</f>
        <v>112-113</v>
      </c>
      <c r="D153" s="181">
        <f>'Sch 1- Rate Base '!D153</f>
        <v>281</v>
      </c>
      <c r="E153" s="184" t="str">
        <f>'Sch 1- Rate Base '!E153</f>
        <v>DIST</v>
      </c>
      <c r="F153" s="184"/>
      <c r="G153" s="1676">
        <f>'Sch 1- Rate Base '!G153</f>
        <v>49345436.339833371</v>
      </c>
      <c r="H153" s="249">
        <f>'Sch 1- Rate Base '!H153</f>
        <v>0</v>
      </c>
      <c r="I153" s="249">
        <f>'Sch 1- Rate Base '!I153</f>
        <v>0</v>
      </c>
      <c r="J153" s="1343">
        <f>'Sch 1- Rate Base '!J153</f>
        <v>49345436.339833371</v>
      </c>
    </row>
    <row r="154" spans="1:10" x14ac:dyDescent="0.25">
      <c r="A154" s="913"/>
      <c r="B154" s="79" t="s">
        <v>32</v>
      </c>
      <c r="C154" s="181" t="str">
        <f>'Sch 1- Rate Base '!C154</f>
        <v>112-113</v>
      </c>
      <c r="D154" s="181">
        <f>'Sch 1- Rate Base '!D154</f>
        <v>282</v>
      </c>
      <c r="E154" s="184" t="str">
        <f>'Sch 1- Rate Base '!E154</f>
        <v>DIST</v>
      </c>
      <c r="F154" s="184"/>
      <c r="G154" s="1676">
        <f>'Sch 1- Rate Base '!G154</f>
        <v>1235537678.297518</v>
      </c>
      <c r="H154" s="249">
        <f>'Sch 1- Rate Base '!H154</f>
        <v>0</v>
      </c>
      <c r="I154" s="249">
        <f>'Sch 1- Rate Base '!I154</f>
        <v>0</v>
      </c>
      <c r="J154" s="1343">
        <f>'Sch 1- Rate Base '!J154</f>
        <v>1235537678.297518</v>
      </c>
    </row>
    <row r="155" spans="1:10" x14ac:dyDescent="0.25">
      <c r="A155" s="913"/>
      <c r="B155" s="79" t="s">
        <v>33</v>
      </c>
      <c r="C155" s="181" t="str">
        <f>'Sch 1- Rate Base '!C155</f>
        <v>112-113</v>
      </c>
      <c r="D155" s="181">
        <f>'Sch 1- Rate Base '!D155</f>
        <v>283</v>
      </c>
      <c r="E155" s="184" t="str">
        <f>'Sch 1- Rate Base '!E155</f>
        <v>DIST</v>
      </c>
      <c r="F155" s="184"/>
      <c r="G155" s="1676">
        <f>'Sch 1- Rate Base '!G155</f>
        <v>92165168.090324983</v>
      </c>
      <c r="H155" s="249">
        <f>'Sch 1- Rate Base '!H155</f>
        <v>0</v>
      </c>
      <c r="I155" s="249">
        <f>'Sch 1- Rate Base '!I155</f>
        <v>0</v>
      </c>
      <c r="J155" s="1343">
        <f>'Sch 1- Rate Base '!J155</f>
        <v>92165168.090324983</v>
      </c>
    </row>
    <row r="156" spans="1:10" x14ac:dyDescent="0.25">
      <c r="A156" s="913"/>
      <c r="B156" s="848" t="s">
        <v>104</v>
      </c>
      <c r="C156" s="494"/>
      <c r="D156" s="487"/>
      <c r="E156" s="487"/>
      <c r="F156" s="488"/>
      <c r="G156" s="495">
        <f>'Sch 1- Rate Base '!G156</f>
        <v>2197962142.5857182</v>
      </c>
      <c r="H156" s="495">
        <f>'Sch 1- Rate Base '!H156</f>
        <v>87628891.689385355</v>
      </c>
      <c r="I156" s="495">
        <f>'Sch 1- Rate Base '!I156</f>
        <v>0</v>
      </c>
      <c r="J156" s="1365">
        <f>'Sch 1- Rate Base '!J156</f>
        <v>2110333250.8963327</v>
      </c>
    </row>
    <row r="157" spans="1:10" x14ac:dyDescent="0.25">
      <c r="A157" s="913"/>
      <c r="B157" s="79"/>
      <c r="C157" s="34"/>
      <c r="D157" s="82"/>
      <c r="E157" s="34"/>
      <c r="F157" s="34"/>
      <c r="G157" s="384"/>
      <c r="H157" s="385"/>
      <c r="I157" s="385"/>
      <c r="J157" s="1371"/>
    </row>
    <row r="158" spans="1:10" x14ac:dyDescent="0.25">
      <c r="A158" s="209" t="s">
        <v>73</v>
      </c>
      <c r="B158" s="64"/>
      <c r="C158" s="494"/>
      <c r="D158" s="487"/>
      <c r="E158" s="487"/>
      <c r="F158" s="488"/>
      <c r="G158" s="495">
        <f>'Sch 1- Rate Base '!G158</f>
        <v>2223471113.7928829</v>
      </c>
      <c r="H158" s="495">
        <f>'Sch 1- Rate Base '!H158</f>
        <v>87628891.689385355</v>
      </c>
      <c r="I158" s="495">
        <f>'Sch 1- Rate Base '!I158</f>
        <v>0</v>
      </c>
      <c r="J158" s="1365">
        <f>'Sch 1- Rate Base '!J158</f>
        <v>2135842222.1034977</v>
      </c>
    </row>
    <row r="159" spans="1:10" x14ac:dyDescent="0.25">
      <c r="A159" s="228"/>
      <c r="B159" s="64"/>
      <c r="C159" s="8"/>
      <c r="D159" s="8"/>
      <c r="E159" s="8"/>
      <c r="F159" s="8"/>
      <c r="G159" s="142"/>
      <c r="H159" s="142"/>
      <c r="I159" s="142"/>
      <c r="J159" s="1347"/>
    </row>
    <row r="160" spans="1:10" x14ac:dyDescent="0.25">
      <c r="A160" s="170"/>
      <c r="B160" s="79"/>
      <c r="C160" s="82"/>
      <c r="D160" s="82"/>
      <c r="E160" s="79"/>
      <c r="F160" s="79"/>
      <c r="G160" s="338"/>
      <c r="H160" s="338"/>
      <c r="I160" s="338"/>
      <c r="J160" s="1374"/>
    </row>
    <row r="161" spans="1:10" x14ac:dyDescent="0.25">
      <c r="A161" s="163" t="s">
        <v>478</v>
      </c>
      <c r="B161" s="64"/>
      <c r="C161" s="496"/>
      <c r="D161" s="497"/>
      <c r="E161" s="497"/>
      <c r="F161" s="498"/>
      <c r="G161" s="499">
        <f>'Sch 1- Rate Base '!G161</f>
        <v>9927581496.6237545</v>
      </c>
      <c r="H161" s="499">
        <f>'Sch 1- Rate Base '!H161</f>
        <v>4058898843.3887949</v>
      </c>
      <c r="I161" s="499">
        <f>'Sch 1- Rate Base '!I161</f>
        <v>23892855.711776573</v>
      </c>
      <c r="J161" s="1375">
        <f>'Sch 1- Rate Base '!J161</f>
        <v>5843780386.2489052</v>
      </c>
    </row>
    <row r="162" spans="1:10" x14ac:dyDescent="0.25">
      <c r="A162" s="923" t="s">
        <v>83</v>
      </c>
      <c r="B162" s="64"/>
      <c r="C162" s="8"/>
      <c r="D162" s="8"/>
      <c r="E162" s="8"/>
      <c r="F162" s="8"/>
      <c r="G162" s="35"/>
      <c r="H162" s="23"/>
      <c r="I162" s="30"/>
      <c r="J162" s="1677"/>
    </row>
    <row r="163" spans="1:10" ht="16.5" thickBot="1" x14ac:dyDescent="0.3">
      <c r="A163" s="931"/>
      <c r="B163" s="932"/>
      <c r="C163" s="933"/>
      <c r="D163" s="933"/>
      <c r="E163" s="933"/>
      <c r="F163" s="933"/>
      <c r="G163" s="935"/>
      <c r="H163" s="1678"/>
      <c r="I163" s="977"/>
      <c r="J163" s="1679"/>
    </row>
    <row r="164" spans="1:10" ht="16.5" thickTop="1" x14ac:dyDescent="0.25">
      <c r="A164" s="923"/>
      <c r="B164" s="64"/>
      <c r="C164" s="55"/>
      <c r="D164" s="55"/>
      <c r="E164" s="55"/>
      <c r="F164" s="55"/>
      <c r="G164" s="911"/>
      <c r="H164" s="1672"/>
      <c r="I164" s="56"/>
      <c r="J164" s="1680"/>
    </row>
    <row r="165" spans="1:10" x14ac:dyDescent="0.25">
      <c r="A165" s="907" t="s">
        <v>63</v>
      </c>
      <c r="B165" s="1211" t="s">
        <v>63</v>
      </c>
      <c r="G165" s="978">
        <f>'Sch 2 -Rate of Return'!E97</f>
        <v>8.4185220942944408E-2</v>
      </c>
      <c r="H165" s="978">
        <f>'Sch 2 -Rate of Return'!F97</f>
        <v>8.4185220942944408E-2</v>
      </c>
      <c r="I165" s="978">
        <f>'Sch 2 -Rate of Return'!G97</f>
        <v>8.4185220942944408E-2</v>
      </c>
      <c r="J165" s="978">
        <f>'Sch 2 -Rate of Return'!H97</f>
        <v>8.4185220942944408E-2</v>
      </c>
    </row>
    <row r="166" spans="1:10" x14ac:dyDescent="0.25">
      <c r="A166" s="1656"/>
      <c r="J166" s="1659"/>
    </row>
    <row r="167" spans="1:10" x14ac:dyDescent="0.25">
      <c r="A167" s="979" t="s">
        <v>141</v>
      </c>
      <c r="B167" s="1211" t="s">
        <v>141</v>
      </c>
      <c r="G167" s="980">
        <f>'Sch 2 -Rate of Return'!E98</f>
        <v>835755641.72235751</v>
      </c>
      <c r="H167" s="980">
        <f>'Sch 2 -Rate of Return'!F98</f>
        <v>341699295.91574723</v>
      </c>
      <c r="I167" s="980">
        <f>'Sch 2 -Rate of Return'!G98</f>
        <v>2011425.3370538021</v>
      </c>
      <c r="J167" s="980">
        <f>'Sch 2 -Rate of Return'!H98</f>
        <v>491959942.95840907</v>
      </c>
    </row>
    <row r="168" spans="1:10" x14ac:dyDescent="0.25">
      <c r="A168" s="1656"/>
      <c r="J168" s="1659"/>
    </row>
    <row r="169" spans="1:10" ht="16.5" thickBot="1" x14ac:dyDescent="0.3">
      <c r="A169" s="1656"/>
      <c r="J169" s="1659"/>
    </row>
    <row r="170" spans="1:10" ht="17.25" thickTop="1" thickBot="1" x14ac:dyDescent="0.3">
      <c r="A170" s="982" t="s">
        <v>82</v>
      </c>
      <c r="B170" s="983"/>
      <c r="C170" s="983"/>
      <c r="D170" s="983"/>
      <c r="E170" s="984"/>
      <c r="F170" s="984"/>
      <c r="G170" s="985"/>
      <c r="H170" s="986"/>
      <c r="I170" s="986"/>
      <c r="J170" s="987"/>
    </row>
    <row r="171" spans="1:10" ht="17.25" thickTop="1" thickBot="1" x14ac:dyDescent="0.3">
      <c r="A171" s="988"/>
      <c r="B171" s="3675" t="s">
        <v>100</v>
      </c>
      <c r="C171" s="325" t="s">
        <v>323</v>
      </c>
      <c r="D171" s="325"/>
      <c r="E171" s="3758" t="s">
        <v>354</v>
      </c>
      <c r="F171" s="3759"/>
      <c r="G171" s="3762" t="s">
        <v>104</v>
      </c>
      <c r="H171" s="3765" t="s">
        <v>105</v>
      </c>
      <c r="I171" s="3768" t="s">
        <v>106</v>
      </c>
      <c r="J171" s="326"/>
    </row>
    <row r="172" spans="1:10" ht="16.5" thickBot="1" x14ac:dyDescent="0.3">
      <c r="A172" s="865"/>
      <c r="B172" s="3756"/>
      <c r="C172" s="322" t="s">
        <v>272</v>
      </c>
      <c r="D172" s="322" t="s">
        <v>96</v>
      </c>
      <c r="E172" s="3760"/>
      <c r="F172" s="3761"/>
      <c r="G172" s="3763"/>
      <c r="H172" s="3766"/>
      <c r="I172" s="3754"/>
      <c r="J172" s="310" t="s">
        <v>98</v>
      </c>
    </row>
    <row r="173" spans="1:10" ht="16.5" thickBot="1" x14ac:dyDescent="0.3">
      <c r="A173" s="989"/>
      <c r="B173" s="3757"/>
      <c r="C173" s="311" t="s">
        <v>273</v>
      </c>
      <c r="D173" s="311" t="s">
        <v>252</v>
      </c>
      <c r="E173" s="311" t="s">
        <v>450</v>
      </c>
      <c r="F173" s="311" t="s">
        <v>619</v>
      </c>
      <c r="G173" s="3764"/>
      <c r="H173" s="3767"/>
      <c r="I173" s="3769"/>
      <c r="J173" s="314" t="s">
        <v>107</v>
      </c>
    </row>
    <row r="174" spans="1:10" ht="16.5" thickTop="1" x14ac:dyDescent="0.25">
      <c r="A174" s="160" t="s">
        <v>456</v>
      </c>
      <c r="B174" s="64"/>
      <c r="C174" s="55"/>
      <c r="D174" s="55"/>
      <c r="E174" s="55"/>
      <c r="F174" s="55"/>
      <c r="G174" s="990"/>
      <c r="H174" s="1672"/>
      <c r="I174" s="1672"/>
      <c r="J174" s="1673"/>
    </row>
    <row r="175" spans="1:10" x14ac:dyDescent="0.25">
      <c r="A175" s="913"/>
      <c r="B175" s="180" t="s">
        <v>457</v>
      </c>
      <c r="C175" s="55"/>
      <c r="D175" s="55"/>
      <c r="E175" s="55"/>
      <c r="F175" s="55"/>
      <c r="G175" s="990"/>
      <c r="H175" s="1672"/>
      <c r="I175" s="1672"/>
      <c r="J175" s="1673"/>
    </row>
    <row r="176" spans="1:10" x14ac:dyDescent="0.25">
      <c r="A176" s="913"/>
      <c r="B176" s="220" t="s">
        <v>259</v>
      </c>
      <c r="C176" s="889" t="str">
        <f>'Sch 3 - Expenses'!C16</f>
        <v>320-323</v>
      </c>
      <c r="D176" s="889">
        <f>'Sch 3 - Expenses'!D16</f>
        <v>501</v>
      </c>
      <c r="E176" s="182" t="str">
        <f>'Sch 3 - Expenses'!E16</f>
        <v>PROD</v>
      </c>
      <c r="F176" s="890"/>
      <c r="G176" s="182">
        <f>'Sch 3 - Expenses'!G16</f>
        <v>252388860.8429752</v>
      </c>
      <c r="H176" s="182">
        <f>'Sch 3 - Expenses'!H16</f>
        <v>252388860.8429752</v>
      </c>
      <c r="I176" s="182">
        <f>'Sch 3 - Expenses'!I16</f>
        <v>0</v>
      </c>
      <c r="J176" s="182">
        <f>'Sch 3 - Expenses'!J16</f>
        <v>0</v>
      </c>
    </row>
    <row r="177" spans="1:10" x14ac:dyDescent="0.25">
      <c r="A177" s="913"/>
      <c r="B177" s="220" t="s">
        <v>260</v>
      </c>
      <c r="C177" s="889" t="str">
        <f>'Sch 3 - Expenses'!C17</f>
        <v>320-323</v>
      </c>
      <c r="D177" s="889" t="str">
        <f>'Sch 3 - Expenses'!D17</f>
        <v>500-509</v>
      </c>
      <c r="E177" s="182" t="str">
        <f>'Sch 3 - Expenses'!E17</f>
        <v>PROD</v>
      </c>
      <c r="F177" s="890"/>
      <c r="G177" s="182">
        <f>'Sch 3 - Expenses'!G17</f>
        <v>54995738.093448065</v>
      </c>
      <c r="H177" s="182">
        <f>'Sch 3 - Expenses'!H17</f>
        <v>54995738.093448065</v>
      </c>
      <c r="I177" s="182">
        <f>'Sch 3 - Expenses'!I17</f>
        <v>0</v>
      </c>
      <c r="J177" s="182">
        <f>'Sch 3 - Expenses'!J17</f>
        <v>0</v>
      </c>
    </row>
    <row r="178" spans="1:10" x14ac:dyDescent="0.25">
      <c r="A178" s="913"/>
      <c r="B178" s="220" t="s">
        <v>261</v>
      </c>
      <c r="C178" s="889" t="str">
        <f>'Sch 3 - Expenses'!C18</f>
        <v>320-323</v>
      </c>
      <c r="D178" s="889" t="str">
        <f>'Sch 3 - Expenses'!D18</f>
        <v>510-515</v>
      </c>
      <c r="E178" s="182" t="str">
        <f>'Sch 3 - Expenses'!E18</f>
        <v>PROD</v>
      </c>
      <c r="F178" s="890"/>
      <c r="G178" s="182">
        <f>'Sch 3 - Expenses'!G18</f>
        <v>67931640.829523325</v>
      </c>
      <c r="H178" s="182">
        <f>'Sch 3 - Expenses'!H18</f>
        <v>67931640.829523325</v>
      </c>
      <c r="I178" s="182">
        <f>'Sch 3 - Expenses'!I18</f>
        <v>0</v>
      </c>
      <c r="J178" s="182">
        <f>'Sch 3 - Expenses'!J18</f>
        <v>0</v>
      </c>
    </row>
    <row r="179" spans="1:10" x14ac:dyDescent="0.25">
      <c r="A179" s="913"/>
      <c r="B179" s="991" t="s">
        <v>458</v>
      </c>
      <c r="C179" s="55"/>
      <c r="D179" s="55"/>
      <c r="E179" s="196"/>
      <c r="F179" s="196"/>
      <c r="G179" s="68"/>
      <c r="H179" s="68"/>
      <c r="I179" s="68"/>
      <c r="J179" s="992"/>
    </row>
    <row r="180" spans="1:10" x14ac:dyDescent="0.25">
      <c r="A180" s="913"/>
      <c r="B180" s="220" t="s">
        <v>85</v>
      </c>
      <c r="C180" s="889" t="str">
        <f>'Sch 3 - Expenses'!C20</f>
        <v>320-323</v>
      </c>
      <c r="D180" s="889">
        <f>'Sch 3 - Expenses'!D20</f>
        <v>518</v>
      </c>
      <c r="E180" s="182" t="str">
        <f>'Sch 3 - Expenses'!E20</f>
        <v>PROD</v>
      </c>
      <c r="F180" s="890"/>
      <c r="G180" s="182">
        <f>'Sch 3 - Expenses'!G20</f>
        <v>0</v>
      </c>
      <c r="H180" s="182">
        <f>'Sch 3 - Expenses'!H20</f>
        <v>0</v>
      </c>
      <c r="I180" s="182">
        <f>'Sch 3 - Expenses'!I20</f>
        <v>0</v>
      </c>
      <c r="J180" s="182">
        <f>'Sch 3 - Expenses'!J20</f>
        <v>0</v>
      </c>
    </row>
    <row r="181" spans="1:10" x14ac:dyDescent="0.25">
      <c r="A181" s="913"/>
      <c r="B181" s="914" t="s">
        <v>264</v>
      </c>
      <c r="C181" s="889" t="str">
        <f>'Sch 3 - Expenses'!C21</f>
        <v>320-323</v>
      </c>
      <c r="D181" s="889" t="str">
        <f>'Sch 3 - Expenses'!D21</f>
        <v>517-525</v>
      </c>
      <c r="E181" s="182" t="str">
        <f>'Sch 3 - Expenses'!E21</f>
        <v>PROD</v>
      </c>
      <c r="F181" s="890"/>
      <c r="G181" s="182">
        <f>'Sch 3 - Expenses'!G21</f>
        <v>0</v>
      </c>
      <c r="H181" s="182">
        <f>'Sch 3 - Expenses'!H21</f>
        <v>0</v>
      </c>
      <c r="I181" s="182">
        <f>'Sch 3 - Expenses'!I21</f>
        <v>0</v>
      </c>
      <c r="J181" s="182">
        <f>'Sch 3 - Expenses'!J21</f>
        <v>0</v>
      </c>
    </row>
    <row r="182" spans="1:10" x14ac:dyDescent="0.25">
      <c r="A182" s="913"/>
      <c r="B182" s="10" t="s">
        <v>479</v>
      </c>
      <c r="C182" s="889" t="str">
        <f>'Sch 3 - Expenses'!C22</f>
        <v>320-323</v>
      </c>
      <c r="D182" s="889" t="str">
        <f>'Sch 3 - Expenses'!D22</f>
        <v>528-532</v>
      </c>
      <c r="E182" s="182" t="str">
        <f>'Sch 3 - Expenses'!E22</f>
        <v>PROD</v>
      </c>
      <c r="F182" s="890"/>
      <c r="G182" s="182">
        <f>'Sch 3 - Expenses'!G22</f>
        <v>0</v>
      </c>
      <c r="H182" s="182">
        <f>'Sch 3 - Expenses'!H22</f>
        <v>0</v>
      </c>
      <c r="I182" s="182">
        <f>'Sch 3 - Expenses'!I22</f>
        <v>0</v>
      </c>
      <c r="J182" s="182">
        <f>'Sch 3 - Expenses'!J22</f>
        <v>0</v>
      </c>
    </row>
    <row r="183" spans="1:10" x14ac:dyDescent="0.25">
      <c r="A183" s="913"/>
      <c r="B183" s="991" t="s">
        <v>459</v>
      </c>
      <c r="C183" s="55"/>
      <c r="D183" s="55"/>
      <c r="E183" s="196"/>
      <c r="F183" s="196"/>
      <c r="G183" s="68"/>
      <c r="H183" s="68"/>
      <c r="I183" s="68"/>
      <c r="J183" s="992"/>
    </row>
    <row r="184" spans="1:10" x14ac:dyDescent="0.25">
      <c r="A184" s="913"/>
      <c r="B184" s="914" t="s">
        <v>86</v>
      </c>
      <c r="C184" s="889" t="str">
        <f>'Sch 3 - Expenses'!C24</f>
        <v>320-323</v>
      </c>
      <c r="D184" s="889" t="str">
        <f>'Sch 3 - Expenses'!D24</f>
        <v>535-540.1</v>
      </c>
      <c r="E184" s="182" t="str">
        <f>'Sch 3 - Expenses'!E24</f>
        <v>PROD</v>
      </c>
      <c r="F184" s="890"/>
      <c r="G184" s="182">
        <f>'Sch 3 - Expenses'!G24</f>
        <v>19964758.009745862</v>
      </c>
      <c r="H184" s="182">
        <f>'Sch 3 - Expenses'!H24</f>
        <v>19964758.009745862</v>
      </c>
      <c r="I184" s="182">
        <f>'Sch 3 - Expenses'!I24</f>
        <v>0</v>
      </c>
      <c r="J184" s="182">
        <f>'Sch 3 - Expenses'!J24</f>
        <v>0</v>
      </c>
    </row>
    <row r="185" spans="1:10" x14ac:dyDescent="0.25">
      <c r="A185" s="913"/>
      <c r="B185" s="914" t="s">
        <v>87</v>
      </c>
      <c r="C185" s="889" t="str">
        <f>'Sch 3 - Expenses'!C25</f>
        <v>320-323</v>
      </c>
      <c r="D185" s="889" t="str">
        <f>'Sch 3 - Expenses'!D25</f>
        <v>541-545.1</v>
      </c>
      <c r="E185" s="182" t="str">
        <f>'Sch 3 - Expenses'!E25</f>
        <v>PROD</v>
      </c>
      <c r="F185" s="890"/>
      <c r="G185" s="182">
        <f>'Sch 3 - Expenses'!G25</f>
        <v>3239558.2457506307</v>
      </c>
      <c r="H185" s="182">
        <f>'Sch 3 - Expenses'!H25</f>
        <v>3239558.2457506307</v>
      </c>
      <c r="I185" s="182">
        <f>'Sch 3 - Expenses'!I25</f>
        <v>0</v>
      </c>
      <c r="J185" s="182">
        <f>'Sch 3 - Expenses'!J25</f>
        <v>0</v>
      </c>
    </row>
    <row r="186" spans="1:10" x14ac:dyDescent="0.25">
      <c r="A186" s="913"/>
      <c r="B186" s="991" t="s">
        <v>460</v>
      </c>
      <c r="C186" s="55"/>
      <c r="D186" s="55"/>
      <c r="E186" s="196"/>
      <c r="F186" s="196"/>
      <c r="G186" s="68"/>
      <c r="H186" s="68"/>
      <c r="I186" s="68"/>
      <c r="J186" s="992"/>
    </row>
    <row r="187" spans="1:10" x14ac:dyDescent="0.25">
      <c r="A187" s="913"/>
      <c r="B187" s="220" t="s">
        <v>451</v>
      </c>
      <c r="C187" s="889" t="str">
        <f>'Sch 3 - Expenses'!C27</f>
        <v>320-323</v>
      </c>
      <c r="D187" s="889">
        <f>'Sch 3 - Expenses'!D27</f>
        <v>547</v>
      </c>
      <c r="E187" s="182" t="str">
        <f>'Sch 3 - Expenses'!E27</f>
        <v>PROD</v>
      </c>
      <c r="F187" s="890"/>
      <c r="G187" s="182">
        <f>'Sch 3 - Expenses'!G27</f>
        <v>189151086.82142362</v>
      </c>
      <c r="H187" s="182">
        <f>'Sch 3 - Expenses'!H27</f>
        <v>189151086.82142362</v>
      </c>
      <c r="I187" s="182">
        <f>'Sch 3 - Expenses'!I27</f>
        <v>0</v>
      </c>
      <c r="J187" s="182">
        <f>'Sch 3 - Expenses'!J27</f>
        <v>0</v>
      </c>
    </row>
    <row r="188" spans="1:10" x14ac:dyDescent="0.25">
      <c r="A188" s="913"/>
      <c r="B188" s="914" t="s">
        <v>263</v>
      </c>
      <c r="C188" s="889" t="str">
        <f>'Sch 3 - Expenses'!C28</f>
        <v>320-323</v>
      </c>
      <c r="D188" s="889" t="str">
        <f>'Sch 3 - Expenses'!D28</f>
        <v>546-550.1</v>
      </c>
      <c r="E188" s="182" t="str">
        <f>'Sch 3 - Expenses'!E28</f>
        <v>PROD</v>
      </c>
      <c r="F188" s="890"/>
      <c r="G188" s="182">
        <f>'Sch 3 - Expenses'!G28</f>
        <v>21057680.08986957</v>
      </c>
      <c r="H188" s="182">
        <f>'Sch 3 - Expenses'!H28</f>
        <v>21057680.08986957</v>
      </c>
      <c r="I188" s="182">
        <f>'Sch 3 - Expenses'!I28</f>
        <v>0</v>
      </c>
      <c r="J188" s="182">
        <f>'Sch 3 - Expenses'!J28</f>
        <v>0</v>
      </c>
    </row>
    <row r="189" spans="1:10" x14ac:dyDescent="0.25">
      <c r="A189" s="913"/>
      <c r="B189" s="914" t="s">
        <v>265</v>
      </c>
      <c r="C189" s="889" t="str">
        <f>'Sch 3 - Expenses'!C29</f>
        <v>320-323</v>
      </c>
      <c r="D189" s="889" t="str">
        <f>'Sch 3 - Expenses'!D29</f>
        <v>551-554.1</v>
      </c>
      <c r="E189" s="182" t="str">
        <f>'Sch 3 - Expenses'!E29</f>
        <v>PROD</v>
      </c>
      <c r="F189" s="890"/>
      <c r="G189" s="182">
        <f>'Sch 3 - Expenses'!G29</f>
        <v>15505411.633040059</v>
      </c>
      <c r="H189" s="182">
        <f>'Sch 3 - Expenses'!H29</f>
        <v>15505411.633040059</v>
      </c>
      <c r="I189" s="182">
        <f>'Sch 3 - Expenses'!I29</f>
        <v>0</v>
      </c>
      <c r="J189" s="182">
        <f>'Sch 3 - Expenses'!J29</f>
        <v>0</v>
      </c>
    </row>
    <row r="190" spans="1:10" x14ac:dyDescent="0.25">
      <c r="A190" s="913"/>
      <c r="B190" s="991" t="s">
        <v>454</v>
      </c>
      <c r="C190" s="55"/>
      <c r="D190" s="55"/>
      <c r="E190" s="196"/>
      <c r="F190" s="196"/>
      <c r="G190" s="68"/>
      <c r="H190" s="68"/>
      <c r="I190" s="68"/>
      <c r="J190" s="992"/>
    </row>
    <row r="191" spans="1:10" x14ac:dyDescent="0.25">
      <c r="A191" s="913"/>
      <c r="B191" s="220" t="s">
        <v>266</v>
      </c>
      <c r="C191" s="889" t="str">
        <f>'Sch 3 - Expenses'!C31</f>
        <v>320-323</v>
      </c>
      <c r="D191" s="889">
        <f>'Sch 3 - Expenses'!D31</f>
        <v>555</v>
      </c>
      <c r="E191" s="182" t="str">
        <f>'Sch 3 - Expenses'!E31</f>
        <v>PROD</v>
      </c>
      <c r="F191" s="890"/>
      <c r="G191" s="182">
        <f>'Sch 3 - Expenses'!G31</f>
        <v>882712895.7098341</v>
      </c>
      <c r="H191" s="182">
        <f>'Sch 3 - Expenses'!H31</f>
        <v>882712895.7098341</v>
      </c>
      <c r="I191" s="182">
        <f>'Sch 3 - Expenses'!I31</f>
        <v>0</v>
      </c>
      <c r="J191" s="182">
        <f>'Sch 3 - Expenses'!J31</f>
        <v>0</v>
      </c>
    </row>
    <row r="192" spans="1:10" x14ac:dyDescent="0.25">
      <c r="A192" s="913"/>
      <c r="B192" s="914" t="s">
        <v>455</v>
      </c>
      <c r="C192" s="889" t="str">
        <f>'Sch 3 - Expenses'!C32</f>
        <v>320-323</v>
      </c>
      <c r="D192" s="889">
        <f>'Sch 3 - Expenses'!D32</f>
        <v>556</v>
      </c>
      <c r="E192" s="182" t="str">
        <f>'Sch 3 - Expenses'!E32</f>
        <v>PROD</v>
      </c>
      <c r="F192" s="890"/>
      <c r="G192" s="182">
        <f>'Sch 3 - Expenses'!G32</f>
        <v>1404247.5549966942</v>
      </c>
      <c r="H192" s="182">
        <f>'Sch 3 - Expenses'!H32</f>
        <v>1404247.5549966942</v>
      </c>
      <c r="I192" s="182">
        <f>'Sch 3 - Expenses'!I32</f>
        <v>0</v>
      </c>
      <c r="J192" s="182">
        <f>'Sch 3 - Expenses'!J32</f>
        <v>0</v>
      </c>
    </row>
    <row r="193" spans="1:10" x14ac:dyDescent="0.25">
      <c r="A193" s="913"/>
      <c r="B193" s="914" t="s">
        <v>267</v>
      </c>
      <c r="C193" s="889" t="str">
        <f>'Sch 3 - Expenses'!C33</f>
        <v>320-323</v>
      </c>
      <c r="D193" s="889">
        <f>'Sch 3 - Expenses'!D33</f>
        <v>557</v>
      </c>
      <c r="E193" s="182" t="str">
        <f>'Sch 3 - Expenses'!E33</f>
        <v>PROD</v>
      </c>
      <c r="F193" s="890"/>
      <c r="G193" s="182">
        <f>'Sch 3 - Expenses'!G33</f>
        <v>27307851.333301872</v>
      </c>
      <c r="H193" s="182">
        <f>'Sch 3 - Expenses'!H33</f>
        <v>27307851.333301872</v>
      </c>
      <c r="I193" s="182">
        <f>'Sch 3 - Expenses'!I33</f>
        <v>0</v>
      </c>
      <c r="J193" s="182">
        <f>'Sch 3 - Expenses'!J33</f>
        <v>0</v>
      </c>
    </row>
    <row r="194" spans="1:10" x14ac:dyDescent="0.25">
      <c r="A194" s="913"/>
      <c r="B194" s="220" t="s">
        <v>52</v>
      </c>
      <c r="C194" s="889" t="str">
        <f>'Sch 3 - Expenses'!C34</f>
        <v>326-327</v>
      </c>
      <c r="D194" s="889">
        <f>'Sch 3 - Expenses'!D34</f>
        <v>555</v>
      </c>
      <c r="E194" s="182" t="str">
        <f>'Sch 3 - Expenses'!E34</f>
        <v>PROD</v>
      </c>
      <c r="F194" s="890"/>
      <c r="G194" s="182">
        <f>'Sch 3 - Expenses'!G34</f>
        <v>0</v>
      </c>
      <c r="H194" s="182">
        <f>'Sch 3 - Expenses'!H34</f>
        <v>0</v>
      </c>
      <c r="I194" s="182">
        <f>'Sch 3 - Expenses'!I34</f>
        <v>0</v>
      </c>
      <c r="J194" s="182">
        <f>'Sch 3 - Expenses'!J34</f>
        <v>0</v>
      </c>
    </row>
    <row r="195" spans="1:10" x14ac:dyDescent="0.25">
      <c r="A195" s="913"/>
      <c r="B195" s="914" t="s">
        <v>502</v>
      </c>
      <c r="C195" s="889">
        <f>'Sch 3 - Expenses'!C35</f>
        <v>0</v>
      </c>
      <c r="D195" s="890">
        <f>'Sch 3 - Expenses'!D35</f>
        <v>0</v>
      </c>
      <c r="E195" s="182" t="str">
        <f>'Sch 3 - Expenses'!E35</f>
        <v>DIRECT</v>
      </c>
      <c r="F195" s="890" t="str">
        <f>'Sch 3 - Expenses'!F35</f>
        <v>DIST</v>
      </c>
      <c r="G195" s="182">
        <f>'Sch 3 - Expenses'!G35</f>
        <v>24259860.620000005</v>
      </c>
      <c r="H195" s="182">
        <f>'Sch 3 - Expenses'!H35</f>
        <v>21995615.060000006</v>
      </c>
      <c r="I195" s="182">
        <f>'Sch 3 - Expenses'!I35</f>
        <v>0</v>
      </c>
      <c r="J195" s="182">
        <f>'Sch 3 - Expenses'!J35</f>
        <v>2264245.5599999996</v>
      </c>
    </row>
    <row r="196" spans="1:10" x14ac:dyDescent="0.25">
      <c r="A196" s="163" t="s">
        <v>481</v>
      </c>
      <c r="B196" s="10"/>
      <c r="C196" s="915"/>
      <c r="D196" s="916"/>
      <c r="E196" s="916"/>
      <c r="F196" s="917"/>
      <c r="G196" s="1670">
        <f>'Sch 3 - Expenses'!G36</f>
        <v>1559919589.7839088</v>
      </c>
      <c r="H196" s="1670">
        <f>'Sch 3 - Expenses'!H36</f>
        <v>1557655344.2239089</v>
      </c>
      <c r="I196" s="1670">
        <f>'Sch 3 - Expenses'!I36</f>
        <v>0</v>
      </c>
      <c r="J196" s="1671">
        <f>'Sch 3 - Expenses'!J36</f>
        <v>2264245.5599999996</v>
      </c>
    </row>
    <row r="197" spans="1:10" x14ac:dyDescent="0.25">
      <c r="A197" s="228"/>
      <c r="B197" s="10"/>
      <c r="C197" s="55"/>
      <c r="D197" s="55"/>
      <c r="E197" s="64"/>
      <c r="F197" s="64"/>
      <c r="G197" s="990"/>
      <c r="H197" s="1672"/>
      <c r="I197" s="1672"/>
      <c r="J197" s="1673"/>
    </row>
    <row r="198" spans="1:10" x14ac:dyDescent="0.25">
      <c r="A198" s="160" t="s">
        <v>501</v>
      </c>
      <c r="B198" s="10"/>
      <c r="C198" s="55"/>
      <c r="D198" s="196"/>
      <c r="E198" s="10"/>
      <c r="F198" s="10"/>
      <c r="G198" s="990"/>
      <c r="H198" s="1672"/>
      <c r="I198" s="1672"/>
      <c r="J198" s="1673"/>
    </row>
    <row r="199" spans="1:10" x14ac:dyDescent="0.25">
      <c r="A199" s="913"/>
      <c r="B199" s="914" t="s">
        <v>398</v>
      </c>
      <c r="C199" s="889" t="str">
        <f>'Sch 3 - Expenses'!C39</f>
        <v>320-323</v>
      </c>
      <c r="D199" s="889" t="str">
        <f>'Sch 3 - Expenses'!D39</f>
        <v>565</v>
      </c>
      <c r="E199" s="182" t="str">
        <f>'Sch 3 - Expenses'!E39</f>
        <v>prod</v>
      </c>
      <c r="F199" s="890"/>
      <c r="G199" s="182">
        <f>'Sch 3 - Expenses'!G39</f>
        <v>65955211.648190439</v>
      </c>
      <c r="H199" s="182">
        <f>'Sch 3 - Expenses'!H39</f>
        <v>65955211.648190439</v>
      </c>
      <c r="I199" s="182">
        <f>'Sch 3 - Expenses'!I39</f>
        <v>0</v>
      </c>
      <c r="J199" s="182">
        <f>'Sch 3 - Expenses'!J39</f>
        <v>0</v>
      </c>
    </row>
    <row r="200" spans="1:10" x14ac:dyDescent="0.25">
      <c r="A200" s="913"/>
      <c r="B200" s="914" t="s">
        <v>461</v>
      </c>
      <c r="C200" s="889" t="str">
        <f>'Sch 3 - Expenses'!C40</f>
        <v>320-323</v>
      </c>
      <c r="D200" s="889" t="str">
        <f>'Sch 3 - Expenses'!D40</f>
        <v>560-567.1</v>
      </c>
      <c r="E200" s="182" t="str">
        <f>'Sch 3 - Expenses'!E40</f>
        <v>TRANS</v>
      </c>
      <c r="F200" s="890"/>
      <c r="G200" s="182">
        <f>'Sch 3 - Expenses'!G40</f>
        <v>17122103.721672125</v>
      </c>
      <c r="H200" s="182">
        <f>'Sch 3 - Expenses'!H40</f>
        <v>0</v>
      </c>
      <c r="I200" s="182">
        <f>'Sch 3 - Expenses'!I40</f>
        <v>0</v>
      </c>
      <c r="J200" s="182">
        <f>'Sch 3 - Expenses'!J40</f>
        <v>17122103.721672125</v>
      </c>
    </row>
    <row r="201" spans="1:10" x14ac:dyDescent="0.25">
      <c r="A201" s="913"/>
      <c r="B201" s="914" t="s">
        <v>462</v>
      </c>
      <c r="C201" s="889" t="str">
        <f>'Sch 3 - Expenses'!C41</f>
        <v>320-323</v>
      </c>
      <c r="D201" s="889" t="str">
        <f>'Sch 3 - Expenses'!D41</f>
        <v>568-574</v>
      </c>
      <c r="E201" s="182" t="str">
        <f>'Sch 3 - Expenses'!E41</f>
        <v>TRANS</v>
      </c>
      <c r="F201" s="890"/>
      <c r="G201" s="182">
        <f>'Sch 3 - Expenses'!G41</f>
        <v>20375940.386021726</v>
      </c>
      <c r="H201" s="182">
        <f>'Sch 3 - Expenses'!H41</f>
        <v>0</v>
      </c>
      <c r="I201" s="182">
        <f>'Sch 3 - Expenses'!I41</f>
        <v>0</v>
      </c>
      <c r="J201" s="182">
        <f>'Sch 3 - Expenses'!J41</f>
        <v>20375940.386021726</v>
      </c>
    </row>
    <row r="202" spans="1:10" x14ac:dyDescent="0.25">
      <c r="A202" s="163" t="s">
        <v>483</v>
      </c>
      <c r="B202" s="10"/>
      <c r="C202" s="915"/>
      <c r="D202" s="916"/>
      <c r="E202" s="916"/>
      <c r="F202" s="917"/>
      <c r="G202" s="1670">
        <f>'Sch 3 - Expenses'!G42</f>
        <v>103453255.75588429</v>
      </c>
      <c r="H202" s="1670">
        <f>'Sch 3 - Expenses'!H42</f>
        <v>65955211.648190439</v>
      </c>
      <c r="I202" s="1670">
        <f>'Sch 3 - Expenses'!I42</f>
        <v>0</v>
      </c>
      <c r="J202" s="1671">
        <f>'Sch 3 - Expenses'!J42</f>
        <v>37498044.107693851</v>
      </c>
    </row>
    <row r="203" spans="1:10" ht="16.5" thickBot="1" x14ac:dyDescent="0.3">
      <c r="A203" s="995"/>
      <c r="B203" s="996"/>
      <c r="C203" s="933"/>
      <c r="D203" s="933"/>
      <c r="E203" s="932"/>
      <c r="F203" s="932"/>
      <c r="G203" s="997"/>
      <c r="H203" s="1678"/>
      <c r="I203" s="1678"/>
      <c r="J203" s="1681"/>
    </row>
    <row r="204" spans="1:10" ht="16.5" thickTop="1" x14ac:dyDescent="0.25">
      <c r="A204" s="160" t="s">
        <v>484</v>
      </c>
      <c r="B204" s="10"/>
      <c r="C204" s="55"/>
      <c r="D204" s="196"/>
      <c r="E204" s="10"/>
      <c r="F204" s="10"/>
      <c r="G204" s="990"/>
      <c r="H204" s="1672"/>
      <c r="I204" s="1672"/>
      <c r="J204" s="1673"/>
    </row>
    <row r="205" spans="1:10" x14ac:dyDescent="0.25">
      <c r="A205" s="913"/>
      <c r="B205" s="914" t="s">
        <v>463</v>
      </c>
      <c r="C205" s="889" t="str">
        <f>'Sch 3 - Expenses'!C45</f>
        <v>320-323</v>
      </c>
      <c r="D205" s="889" t="str">
        <f>'Sch 3 - Expenses'!D45</f>
        <v>580-589</v>
      </c>
      <c r="E205" s="182" t="str">
        <f>'Sch 3 - Expenses'!E45</f>
        <v>DIST</v>
      </c>
      <c r="F205" s="890"/>
      <c r="G205" s="182">
        <f>'Sch 3 - Expenses'!G45</f>
        <v>34234230.504148312</v>
      </c>
      <c r="H205" s="182">
        <f>'Sch 3 - Expenses'!H45</f>
        <v>0</v>
      </c>
      <c r="I205" s="182">
        <f>'Sch 3 - Expenses'!I45</f>
        <v>0</v>
      </c>
      <c r="J205" s="182">
        <f>'Sch 3 - Expenses'!J45</f>
        <v>34234230.504148312</v>
      </c>
    </row>
    <row r="206" spans="1:10" x14ac:dyDescent="0.25">
      <c r="A206" s="913"/>
      <c r="B206" s="914" t="s">
        <v>462</v>
      </c>
      <c r="C206" s="889" t="str">
        <f>'Sch 3 - Expenses'!C46</f>
        <v>320-323</v>
      </c>
      <c r="D206" s="889" t="str">
        <f>'Sch 3 - Expenses'!D46</f>
        <v>590-598</v>
      </c>
      <c r="E206" s="182" t="str">
        <f>'Sch 3 - Expenses'!E46</f>
        <v>DIST</v>
      </c>
      <c r="F206" s="890"/>
      <c r="G206" s="182">
        <f>'Sch 3 - Expenses'!G46</f>
        <v>143846056.44384444</v>
      </c>
      <c r="H206" s="182">
        <f>'Sch 3 - Expenses'!H46</f>
        <v>0</v>
      </c>
      <c r="I206" s="182">
        <f>'Sch 3 - Expenses'!I46</f>
        <v>0</v>
      </c>
      <c r="J206" s="182">
        <f>'Sch 3 - Expenses'!J46</f>
        <v>143846056.44384444</v>
      </c>
    </row>
    <row r="207" spans="1:10" x14ac:dyDescent="0.25">
      <c r="A207" s="163" t="s">
        <v>487</v>
      </c>
      <c r="B207" s="10"/>
      <c r="C207" s="915"/>
      <c r="D207" s="916"/>
      <c r="E207" s="916"/>
      <c r="F207" s="917"/>
      <c r="G207" s="1670">
        <f>'Sch 3 - Expenses'!G47</f>
        <v>178080286.94799274</v>
      </c>
      <c r="H207" s="1670">
        <f>'Sch 3 - Expenses'!H47</f>
        <v>0</v>
      </c>
      <c r="I207" s="1670">
        <f>'Sch 3 - Expenses'!I47</f>
        <v>0</v>
      </c>
      <c r="J207" s="1671">
        <f>'Sch 3 - Expenses'!J47</f>
        <v>178080286.94799274</v>
      </c>
    </row>
    <row r="208" spans="1:10" x14ac:dyDescent="0.25">
      <c r="A208" s="228"/>
      <c r="B208" s="10"/>
      <c r="C208" s="55"/>
      <c r="D208" s="55"/>
      <c r="E208" s="55"/>
      <c r="F208" s="55"/>
      <c r="G208" s="999"/>
      <c r="H208" s="56"/>
      <c r="I208" s="56"/>
      <c r="J208" s="1000"/>
    </row>
    <row r="209" spans="1:10" x14ac:dyDescent="0.25">
      <c r="A209" s="160" t="s">
        <v>488</v>
      </c>
      <c r="B209" s="10"/>
      <c r="C209" s="55"/>
      <c r="D209" s="55"/>
      <c r="E209" s="55"/>
      <c r="F209" s="55"/>
      <c r="G209" s="999"/>
      <c r="H209" s="56"/>
      <c r="I209" s="56"/>
      <c r="J209" s="1000"/>
    </row>
    <row r="210" spans="1:10" x14ac:dyDescent="0.25">
      <c r="A210" s="913"/>
      <c r="B210" s="914" t="s">
        <v>464</v>
      </c>
      <c r="C210" s="889" t="str">
        <f>'Sch 3 - Expenses'!C50</f>
        <v>320-323</v>
      </c>
      <c r="D210" s="889" t="str">
        <f>'Sch 3 - Expenses'!D50</f>
        <v>901-905</v>
      </c>
      <c r="E210" s="182" t="str">
        <f>'Sch 3 - Expenses'!E50</f>
        <v>DIST</v>
      </c>
      <c r="F210" s="890"/>
      <c r="G210" s="182">
        <f>'Sch 3 - Expenses'!G50</f>
        <v>45368831.838585906</v>
      </c>
      <c r="H210" s="182">
        <f>'Sch 3 - Expenses'!H50</f>
        <v>0</v>
      </c>
      <c r="I210" s="182">
        <f>'Sch 3 - Expenses'!I50</f>
        <v>0</v>
      </c>
      <c r="J210" s="182">
        <f>'Sch 3 - Expenses'!J50</f>
        <v>45368831.838585906</v>
      </c>
    </row>
    <row r="211" spans="1:10" x14ac:dyDescent="0.25">
      <c r="A211" s="913"/>
      <c r="B211" s="914" t="s">
        <v>837</v>
      </c>
      <c r="C211" s="889" t="str">
        <f>'Sch 3 - Expenses'!C51</f>
        <v>320-323</v>
      </c>
      <c r="D211" s="889" t="str">
        <f>'Sch 3 - Expenses'!D51</f>
        <v>906-907</v>
      </c>
      <c r="E211" s="182" t="str">
        <f>'Sch 3 - Expenses'!E51</f>
        <v>DIST</v>
      </c>
      <c r="F211" s="890"/>
      <c r="G211" s="182">
        <f>'Sch 3 - Expenses'!G51</f>
        <v>0</v>
      </c>
      <c r="H211" s="182">
        <f>'Sch 3 - Expenses'!H51</f>
        <v>0</v>
      </c>
      <c r="I211" s="182">
        <f>'Sch 3 - Expenses'!I51</f>
        <v>0</v>
      </c>
      <c r="J211" s="182">
        <f>'Sch 3 - Expenses'!J51</f>
        <v>0</v>
      </c>
    </row>
    <row r="212" spans="1:10" x14ac:dyDescent="0.25">
      <c r="A212" s="913"/>
      <c r="B212" s="914" t="s">
        <v>627</v>
      </c>
      <c r="C212" s="889" t="str">
        <f>'Sch 3 - Expenses'!C52</f>
        <v>320-323</v>
      </c>
      <c r="D212" s="889">
        <f>'Sch 3 - Expenses'!D52</f>
        <v>908</v>
      </c>
      <c r="E212" s="182" t="str">
        <f>'Sch 3 - Expenses'!E52</f>
        <v>direct</v>
      </c>
      <c r="F212" s="890" t="str">
        <f>'Sch 3 - Expenses'!F52</f>
        <v>DIRECT</v>
      </c>
      <c r="G212" s="182">
        <f>'Sch 3 - Expenses'!G52</f>
        <v>95586516.719410077</v>
      </c>
      <c r="H212" s="182">
        <f>'Sch 3 - Expenses'!H52</f>
        <v>92632457.840870231</v>
      </c>
      <c r="I212" s="182">
        <f>'Sch 3 - Expenses'!I52</f>
        <v>0</v>
      </c>
      <c r="J212" s="182">
        <f>'Sch 3 - Expenses'!J52</f>
        <v>2954058.8785398346</v>
      </c>
    </row>
    <row r="213" spans="1:10" x14ac:dyDescent="0.25">
      <c r="A213" s="913"/>
      <c r="B213" s="914" t="s">
        <v>838</v>
      </c>
      <c r="C213" s="889" t="str">
        <f>'Sch 3 - Expenses'!C53</f>
        <v>320-323</v>
      </c>
      <c r="D213" s="889" t="str">
        <f>'Sch 3 - Expenses'!D53</f>
        <v>909-910</v>
      </c>
      <c r="E213" s="182" t="str">
        <f>'Sch 3 - Expenses'!E53</f>
        <v>DIST</v>
      </c>
      <c r="F213" s="890" t="str">
        <f>'Sch 3 - Expenses'!F53</f>
        <v>DIRECT</v>
      </c>
      <c r="G213" s="182">
        <f>'Sch 3 - Expenses'!G53</f>
        <v>2369458.8863290716</v>
      </c>
      <c r="H213" s="182">
        <f>'Sch 3 - Expenses'!H53</f>
        <v>0</v>
      </c>
      <c r="I213" s="182">
        <f>'Sch 3 - Expenses'!I53</f>
        <v>0</v>
      </c>
      <c r="J213" s="182">
        <f>'Sch 3 - Expenses'!J53</f>
        <v>2369458.8863290716</v>
      </c>
    </row>
    <row r="214" spans="1:10" x14ac:dyDescent="0.25">
      <c r="A214" s="913"/>
      <c r="B214" s="914" t="s">
        <v>396</v>
      </c>
      <c r="C214" s="889" t="str">
        <f>'Sch 3 - Expenses'!C54</f>
        <v>320-323</v>
      </c>
      <c r="D214" s="889" t="str">
        <f>'Sch 3 - Expenses'!D54</f>
        <v>911-917</v>
      </c>
      <c r="E214" s="182" t="str">
        <f>'Sch 3 - Expenses'!E54</f>
        <v>DIST</v>
      </c>
      <c r="F214" s="890"/>
      <c r="G214" s="182">
        <f>'Sch 3 - Expenses'!G54</f>
        <v>0</v>
      </c>
      <c r="H214" s="182">
        <f>'Sch 3 - Expenses'!H54</f>
        <v>0</v>
      </c>
      <c r="I214" s="182">
        <f>'Sch 3 - Expenses'!I54</f>
        <v>0</v>
      </c>
      <c r="J214" s="182">
        <f>'Sch 3 - Expenses'!J54</f>
        <v>0</v>
      </c>
    </row>
    <row r="215" spans="1:10" x14ac:dyDescent="0.25">
      <c r="A215" s="163" t="s">
        <v>490</v>
      </c>
      <c r="B215" s="10"/>
      <c r="C215" s="915"/>
      <c r="D215" s="916"/>
      <c r="E215" s="916"/>
      <c r="F215" s="917"/>
      <c r="G215" s="1670">
        <f>'Sch 3 - Expenses'!G55</f>
        <v>143324807.44432506</v>
      </c>
      <c r="H215" s="1670">
        <f>'Sch 3 - Expenses'!H55</f>
        <v>92632457.840870231</v>
      </c>
      <c r="I215" s="1670">
        <f>'Sch 3 - Expenses'!I55</f>
        <v>0</v>
      </c>
      <c r="J215" s="1671">
        <f>'Sch 3 - Expenses'!J55</f>
        <v>50692349.603454813</v>
      </c>
    </row>
    <row r="216" spans="1:10" x14ac:dyDescent="0.25">
      <c r="A216" s="228"/>
      <c r="B216" s="10"/>
      <c r="C216" s="55"/>
      <c r="D216" s="196"/>
      <c r="E216" s="196"/>
      <c r="F216" s="196"/>
      <c r="G216" s="999"/>
      <c r="H216" s="56"/>
      <c r="I216" s="56"/>
      <c r="J216" s="1000"/>
    </row>
    <row r="217" spans="1:10" x14ac:dyDescent="0.25">
      <c r="A217" s="160" t="s">
        <v>491</v>
      </c>
      <c r="B217" s="10"/>
      <c r="C217" s="55"/>
      <c r="D217" s="196"/>
      <c r="E217" s="10"/>
      <c r="F217" s="10"/>
      <c r="G217" s="990"/>
      <c r="H217" s="1672"/>
      <c r="I217" s="1672"/>
      <c r="J217" s="1673"/>
    </row>
    <row r="218" spans="1:10" x14ac:dyDescent="0.25">
      <c r="A218" s="160"/>
      <c r="B218" s="991" t="s">
        <v>437</v>
      </c>
      <c r="C218" s="55"/>
      <c r="D218" s="196"/>
      <c r="E218" s="10"/>
      <c r="F218" s="10"/>
      <c r="G218" s="990"/>
      <c r="H218" s="1672"/>
      <c r="I218" s="1672"/>
      <c r="J218" s="1673"/>
    </row>
    <row r="219" spans="1:10" x14ac:dyDescent="0.25">
      <c r="A219" s="913"/>
      <c r="B219" s="914" t="s">
        <v>163</v>
      </c>
      <c r="C219" s="889" t="str">
        <f>'Sch 3 - Expenses'!C59</f>
        <v>320-323</v>
      </c>
      <c r="D219" s="889">
        <f>'Sch 3 - Expenses'!D59</f>
        <v>920</v>
      </c>
      <c r="E219" s="182" t="str">
        <f>'Sch 3 - Expenses'!E59</f>
        <v>LABOR</v>
      </c>
      <c r="F219" s="890"/>
      <c r="G219" s="182">
        <f>'Sch 3 - Expenses'!G59</f>
        <v>33958085.334903657</v>
      </c>
      <c r="H219" s="182">
        <f>'Sch 3 - Expenses'!H59</f>
        <v>14155543.390048165</v>
      </c>
      <c r="I219" s="182">
        <f>'Sch 3 - Expenses'!I59</f>
        <v>0</v>
      </c>
      <c r="J219" s="182">
        <f>'Sch 3 - Expenses'!J59</f>
        <v>19802541.944855493</v>
      </c>
    </row>
    <row r="220" spans="1:10" x14ac:dyDescent="0.25">
      <c r="A220" s="913"/>
      <c r="B220" s="914" t="s">
        <v>164</v>
      </c>
      <c r="C220" s="889" t="str">
        <f>'Sch 3 - Expenses'!C60</f>
        <v>320-323</v>
      </c>
      <c r="D220" s="889">
        <f>'Sch 3 - Expenses'!D60</f>
        <v>921</v>
      </c>
      <c r="E220" s="182" t="str">
        <f>'Sch 3 - Expenses'!E60</f>
        <v>LABOR</v>
      </c>
      <c r="F220" s="890"/>
      <c r="G220" s="182">
        <f>'Sch 3 - Expenses'!G60</f>
        <v>6088941.7066276213</v>
      </c>
      <c r="H220" s="182">
        <f>'Sch 3 - Expenses'!H60</f>
        <v>2538196.0636941125</v>
      </c>
      <c r="I220" s="182">
        <f>'Sch 3 - Expenses'!I60</f>
        <v>0</v>
      </c>
      <c r="J220" s="182">
        <f>'Sch 3 - Expenses'!J60</f>
        <v>3550745.6429335093</v>
      </c>
    </row>
    <row r="221" spans="1:10" x14ac:dyDescent="0.25">
      <c r="A221" s="913"/>
      <c r="B221" s="914" t="s">
        <v>165</v>
      </c>
      <c r="C221" s="889" t="str">
        <f>'Sch 3 - Expenses'!C61</f>
        <v>320-323</v>
      </c>
      <c r="D221" s="889">
        <f>'Sch 3 - Expenses'!D61</f>
        <v>922</v>
      </c>
      <c r="E221" s="182" t="str">
        <f>'Sch 3 - Expenses'!E61</f>
        <v>LABOR</v>
      </c>
      <c r="F221" s="890"/>
      <c r="G221" s="182">
        <f>'Sch 3 - Expenses'!G61</f>
        <v>21046791.182086881</v>
      </c>
      <c r="H221" s="182">
        <f>'Sch 3 - Expenses'!H61</f>
        <v>8773426.5009661578</v>
      </c>
      <c r="I221" s="182">
        <f>'Sch 3 - Expenses'!I61</f>
        <v>0</v>
      </c>
      <c r="J221" s="182">
        <f>'Sch 3 - Expenses'!J61</f>
        <v>12273364.681120725</v>
      </c>
    </row>
    <row r="222" spans="1:10" x14ac:dyDescent="0.25">
      <c r="A222" s="913"/>
      <c r="B222" s="914" t="s">
        <v>166</v>
      </c>
      <c r="C222" s="889" t="str">
        <f>'Sch 3 - Expenses'!C62</f>
        <v>320-323</v>
      </c>
      <c r="D222" s="889">
        <f>'Sch 3 - Expenses'!D62</f>
        <v>923</v>
      </c>
      <c r="E222" s="182" t="str">
        <f>'Sch 3 - Expenses'!E62</f>
        <v>LABOR</v>
      </c>
      <c r="F222" s="890"/>
      <c r="G222" s="182">
        <f>'Sch 3 - Expenses'!G62</f>
        <v>18867079.710774634</v>
      </c>
      <c r="H222" s="182">
        <f>'Sch 3 - Expenses'!H62</f>
        <v>7864806.3592341943</v>
      </c>
      <c r="I222" s="182">
        <f>'Sch 3 - Expenses'!I62</f>
        <v>0</v>
      </c>
      <c r="J222" s="182">
        <f>'Sch 3 - Expenses'!J62</f>
        <v>11002273.351540441</v>
      </c>
    </row>
    <row r="223" spans="1:10" x14ac:dyDescent="0.25">
      <c r="A223" s="913"/>
      <c r="B223" s="914" t="s">
        <v>167</v>
      </c>
      <c r="C223" s="889" t="str">
        <f>'Sch 3 - Expenses'!C63</f>
        <v>320-323</v>
      </c>
      <c r="D223" s="889">
        <f>'Sch 3 - Expenses'!D63</f>
        <v>924</v>
      </c>
      <c r="E223" s="182" t="str">
        <f>'Sch 3 - Expenses'!E63</f>
        <v>PTDG</v>
      </c>
      <c r="F223" s="890"/>
      <c r="G223" s="182">
        <f>'Sch 3 - Expenses'!G63</f>
        <v>28178553.189763118</v>
      </c>
      <c r="H223" s="182">
        <f>'Sch 3 - Expenses'!H63</f>
        <v>12241172.142426167</v>
      </c>
      <c r="I223" s="182">
        <f>'Sch 3 - Expenses'!I63</f>
        <v>0</v>
      </c>
      <c r="J223" s="182">
        <f>'Sch 3 - Expenses'!J63</f>
        <v>15940200.991543749</v>
      </c>
    </row>
    <row r="224" spans="1:10" x14ac:dyDescent="0.25">
      <c r="A224" s="913"/>
      <c r="B224" s="914" t="s">
        <v>465</v>
      </c>
      <c r="C224" s="889" t="str">
        <f>'Sch 3 - Expenses'!C64</f>
        <v>320-323</v>
      </c>
      <c r="D224" s="889">
        <f>'Sch 3 - Expenses'!D64</f>
        <v>925</v>
      </c>
      <c r="E224" s="182" t="str">
        <f>'Sch 3 - Expenses'!E64</f>
        <v>Labor</v>
      </c>
      <c r="F224" s="890"/>
      <c r="G224" s="182">
        <f>'Sch 3 - Expenses'!G64</f>
        <v>727189313.6231035</v>
      </c>
      <c r="H224" s="182">
        <f>'Sch 3 - Expenses'!H64</f>
        <v>303131339.12737983</v>
      </c>
      <c r="I224" s="182">
        <f>'Sch 3 - Expenses'!I64</f>
        <v>0</v>
      </c>
      <c r="J224" s="182">
        <f>'Sch 3 - Expenses'!J64</f>
        <v>424057974.49572366</v>
      </c>
    </row>
    <row r="225" spans="1:10" x14ac:dyDescent="0.25">
      <c r="A225" s="913"/>
      <c r="B225" s="914" t="s">
        <v>466</v>
      </c>
      <c r="C225" s="889" t="str">
        <f>'Sch 3 - Expenses'!C65</f>
        <v>320-323</v>
      </c>
      <c r="D225" s="889">
        <f>'Sch 3 - Expenses'!D65</f>
        <v>926</v>
      </c>
      <c r="E225" s="182" t="str">
        <f>'Sch 3 - Expenses'!E65</f>
        <v>LABOR</v>
      </c>
      <c r="F225" s="890"/>
      <c r="G225" s="182">
        <f>'Sch 3 - Expenses'!G65</f>
        <v>48983683.126018636</v>
      </c>
      <c r="H225" s="182">
        <f>'Sch 3 - Expenses'!H65</f>
        <v>20419014.943166677</v>
      </c>
      <c r="I225" s="182">
        <f>'Sch 3 - Expenses'!I65</f>
        <v>0</v>
      </c>
      <c r="J225" s="182">
        <f>'Sch 3 - Expenses'!J65</f>
        <v>28564668.182851963</v>
      </c>
    </row>
    <row r="226" spans="1:10" x14ac:dyDescent="0.25">
      <c r="A226" s="913"/>
      <c r="B226" s="914" t="s">
        <v>467</v>
      </c>
      <c r="C226" s="889" t="str">
        <f>'Sch 3 - Expenses'!C66</f>
        <v>320-323</v>
      </c>
      <c r="D226" s="889">
        <f>'Sch 3 - Expenses'!D66</f>
        <v>927</v>
      </c>
      <c r="E226" s="182" t="str">
        <f>'Sch 3 - Expenses'!E66</f>
        <v>DIST</v>
      </c>
      <c r="F226" s="890"/>
      <c r="G226" s="182">
        <f>'Sch 3 - Expenses'!G66</f>
        <v>0</v>
      </c>
      <c r="H226" s="182">
        <f>'Sch 3 - Expenses'!H66</f>
        <v>0</v>
      </c>
      <c r="I226" s="182">
        <f>'Sch 3 - Expenses'!I66</f>
        <v>0</v>
      </c>
      <c r="J226" s="182">
        <f>'Sch 3 - Expenses'!J66</f>
        <v>0</v>
      </c>
    </row>
    <row r="227" spans="1:10" x14ac:dyDescent="0.25">
      <c r="A227" s="913"/>
      <c r="B227" s="914" t="s">
        <v>469</v>
      </c>
      <c r="C227" s="889" t="str">
        <f>'Sch 3 - Expenses'!C67</f>
        <v>320-323</v>
      </c>
      <c r="D227" s="889">
        <f>'Sch 3 - Expenses'!D67</f>
        <v>928</v>
      </c>
      <c r="E227" s="182" t="str">
        <f>'Sch 3 - Expenses'!E67</f>
        <v>DIST</v>
      </c>
      <c r="F227" s="890"/>
      <c r="G227" s="182">
        <f>'Sch 3 - Expenses'!G67</f>
        <v>15830390.456935205</v>
      </c>
      <c r="H227" s="182">
        <f>'Sch 3 - Expenses'!H67</f>
        <v>0</v>
      </c>
      <c r="I227" s="182">
        <f>'Sch 3 - Expenses'!I67</f>
        <v>0</v>
      </c>
      <c r="J227" s="182">
        <f>'Sch 3 - Expenses'!J67</f>
        <v>15830390.456935205</v>
      </c>
    </row>
    <row r="228" spans="1:10" x14ac:dyDescent="0.25">
      <c r="A228" s="913"/>
      <c r="B228" s="914" t="s">
        <v>168</v>
      </c>
      <c r="C228" s="889" t="str">
        <f>'Sch 3 - Expenses'!C68</f>
        <v>320-323</v>
      </c>
      <c r="D228" s="889">
        <f>'Sch 3 - Expenses'!D68</f>
        <v>929</v>
      </c>
      <c r="E228" s="182" t="str">
        <f>'Sch 3 - Expenses'!E68</f>
        <v>PTDG</v>
      </c>
      <c r="F228" s="890"/>
      <c r="G228" s="182">
        <f>'Sch 3 - Expenses'!G68</f>
        <v>58868042.536690846</v>
      </c>
      <c r="H228" s="182">
        <f>'Sch 3 - Expenses'!H68</f>
        <v>25573131.364355773</v>
      </c>
      <c r="I228" s="182">
        <f>'Sch 3 - Expenses'!I68</f>
        <v>0</v>
      </c>
      <c r="J228" s="182">
        <f>'Sch 3 - Expenses'!J68</f>
        <v>33300802.340501122</v>
      </c>
    </row>
    <row r="229" spans="1:10" x14ac:dyDescent="0.25">
      <c r="A229" s="913"/>
      <c r="B229" s="914" t="s">
        <v>169</v>
      </c>
      <c r="C229" s="889" t="str">
        <f>'Sch 3 - Expenses'!C69</f>
        <v>320-323</v>
      </c>
      <c r="D229" s="889">
        <f>'Sch 3 - Expenses'!D69</f>
        <v>930.1</v>
      </c>
      <c r="E229" s="182" t="str">
        <f>'Sch 3 - Expenses'!E69</f>
        <v>DIST</v>
      </c>
      <c r="F229" s="890" t="str">
        <f>'Sch 3 - Expenses'!F69</f>
        <v>DIRECT</v>
      </c>
      <c r="G229" s="182">
        <f>'Sch 3 - Expenses'!G69</f>
        <v>19956.572503887328</v>
      </c>
      <c r="H229" s="182">
        <f>'Sch 3 - Expenses'!H69</f>
        <v>0</v>
      </c>
      <c r="I229" s="182">
        <f>'Sch 3 - Expenses'!I69</f>
        <v>0</v>
      </c>
      <c r="J229" s="182">
        <f>'Sch 3 - Expenses'!J69</f>
        <v>19956.572503887328</v>
      </c>
    </row>
    <row r="230" spans="1:10" x14ac:dyDescent="0.25">
      <c r="A230" s="913"/>
      <c r="B230" s="914" t="s">
        <v>468</v>
      </c>
      <c r="C230" s="889" t="str">
        <f>'Sch 3 - Expenses'!C70</f>
        <v>320-323</v>
      </c>
      <c r="D230" s="889">
        <f>'Sch 3 - Expenses'!D70</f>
        <v>930.2</v>
      </c>
      <c r="E230" s="182" t="str">
        <f>'Sch 3 - Expenses'!E70</f>
        <v>DIST</v>
      </c>
      <c r="F230" s="890" t="str">
        <f>'Sch 3 - Expenses'!F70</f>
        <v>DIRECT</v>
      </c>
      <c r="G230" s="182">
        <f>'Sch 3 - Expenses'!G70</f>
        <v>1105627.4233341326</v>
      </c>
      <c r="H230" s="182">
        <f>'Sch 3 - Expenses'!H70</f>
        <v>0</v>
      </c>
      <c r="I230" s="182">
        <f>'Sch 3 - Expenses'!I70</f>
        <v>0</v>
      </c>
      <c r="J230" s="182">
        <f>'Sch 3 - Expenses'!J70</f>
        <v>1105627.4233341326</v>
      </c>
    </row>
    <row r="231" spans="1:10" x14ac:dyDescent="0.25">
      <c r="A231" s="913"/>
      <c r="B231" s="914" t="s">
        <v>492</v>
      </c>
      <c r="C231" s="889" t="str">
        <f>'Sch 3 - Expenses'!C71</f>
        <v>320-323</v>
      </c>
      <c r="D231" s="889">
        <f>'Sch 3 - Expenses'!D71</f>
        <v>931</v>
      </c>
      <c r="E231" s="182" t="str">
        <f>'Sch 3 - Expenses'!E71</f>
        <v>DIST</v>
      </c>
      <c r="F231" s="890"/>
      <c r="G231" s="182">
        <f>'Sch 3 - Expenses'!G71</f>
        <v>754426.30276668374</v>
      </c>
      <c r="H231" s="182">
        <f>'Sch 3 - Expenses'!H71</f>
        <v>0</v>
      </c>
      <c r="I231" s="182">
        <f>'Sch 3 - Expenses'!I71</f>
        <v>0</v>
      </c>
      <c r="J231" s="182">
        <f>'Sch 3 - Expenses'!J71</f>
        <v>754426.30276668374</v>
      </c>
    </row>
    <row r="232" spans="1:10" x14ac:dyDescent="0.25">
      <c r="A232" s="913"/>
      <c r="B232" s="914" t="s">
        <v>269</v>
      </c>
      <c r="C232" s="889" t="str">
        <f>'Sch 3 - Expenses'!C72</f>
        <v>320-324</v>
      </c>
      <c r="D232" s="889">
        <f>'Sch 3 - Expenses'!D72</f>
        <v>933</v>
      </c>
      <c r="E232" s="182" t="str">
        <f>'Sch 3 - Expenses'!E72</f>
        <v>DIST</v>
      </c>
      <c r="F232" s="890"/>
      <c r="G232" s="182">
        <f>'Sch 3 - Expenses'!G72</f>
        <v>0</v>
      </c>
      <c r="H232" s="182">
        <f>'Sch 3 - Expenses'!H72</f>
        <v>0</v>
      </c>
      <c r="I232" s="182">
        <f>'Sch 3 - Expenses'!I72</f>
        <v>0</v>
      </c>
      <c r="J232" s="182">
        <f>'Sch 3 - Expenses'!J72</f>
        <v>0</v>
      </c>
    </row>
    <row r="233" spans="1:10" x14ac:dyDescent="0.25">
      <c r="A233" s="913"/>
      <c r="B233" s="991" t="s">
        <v>438</v>
      </c>
      <c r="C233" s="55"/>
      <c r="D233" s="196"/>
      <c r="E233" s="196"/>
      <c r="F233" s="196"/>
      <c r="G233" s="68"/>
      <c r="H233" s="68"/>
      <c r="I233" s="68"/>
      <c r="J233" s="992"/>
    </row>
    <row r="234" spans="1:10" x14ac:dyDescent="0.25">
      <c r="A234" s="913"/>
      <c r="B234" s="914" t="s">
        <v>94</v>
      </c>
      <c r="C234" s="889" t="str">
        <f>'Sch 3 - Expenses'!C74</f>
        <v>320-323</v>
      </c>
      <c r="D234" s="889">
        <f>'Sch 3 - Expenses'!D74</f>
        <v>935</v>
      </c>
      <c r="E234" s="182" t="str">
        <f>'Sch 3 - Expenses'!E74</f>
        <v>GPM</v>
      </c>
      <c r="F234" s="890"/>
      <c r="G234" s="182">
        <f>'Sch 3 - Expenses'!G74</f>
        <v>15276304.380404986</v>
      </c>
      <c r="H234" s="182">
        <f>'Sch 3 - Expenses'!H74</f>
        <v>6690266.9233332537</v>
      </c>
      <c r="I234" s="182">
        <f>'Sch 3 - Expenses'!I74</f>
        <v>0</v>
      </c>
      <c r="J234" s="182">
        <f>'Sch 3 - Expenses'!J74</f>
        <v>8586037.4570717309</v>
      </c>
    </row>
    <row r="235" spans="1:10" x14ac:dyDescent="0.25">
      <c r="A235" s="163" t="s">
        <v>493</v>
      </c>
      <c r="B235" s="10"/>
      <c r="C235" s="915"/>
      <c r="D235" s="916"/>
      <c r="E235" s="916"/>
      <c r="F235" s="917"/>
      <c r="G235" s="615">
        <f>'Sch 3 - Expenses'!G75</f>
        <v>816337528.10835838</v>
      </c>
      <c r="H235" s="615"/>
      <c r="I235" s="615"/>
      <c r="J235" s="615"/>
    </row>
    <row r="236" spans="1:10" ht="16.5" thickBot="1" x14ac:dyDescent="0.3">
      <c r="A236" s="191"/>
      <c r="B236" s="996"/>
      <c r="C236" s="933"/>
      <c r="D236" s="1001"/>
      <c r="E236" s="1001"/>
      <c r="F236" s="1001"/>
      <c r="G236" s="1002"/>
      <c r="H236" s="1003"/>
      <c r="I236" s="1003"/>
      <c r="J236" s="936"/>
    </row>
    <row r="237" spans="1:10" ht="16.5" thickTop="1" x14ac:dyDescent="0.25">
      <c r="A237" s="163" t="s">
        <v>494</v>
      </c>
      <c r="B237" s="10"/>
      <c r="C237" s="915"/>
      <c r="D237" s="916"/>
      <c r="E237" s="916"/>
      <c r="F237" s="917"/>
      <c r="G237" s="1670">
        <f>'Sch 3 - Expenses'!G77</f>
        <v>2801115468.0404692</v>
      </c>
      <c r="H237" s="1670">
        <f>'Sch 3 - Expenses'!H77</f>
        <v>2048936794.7969301</v>
      </c>
      <c r="I237" s="1670">
        <f>'Sch 3 - Expenses'!I77</f>
        <v>0</v>
      </c>
      <c r="J237" s="1671">
        <f>'Sch 3 - Expenses'!J77</f>
        <v>752175602.01958001</v>
      </c>
    </row>
    <row r="238" spans="1:10" x14ac:dyDescent="0.25">
      <c r="A238" s="167" t="s">
        <v>429</v>
      </c>
      <c r="B238" s="1004"/>
      <c r="C238" s="85"/>
      <c r="D238" s="914"/>
      <c r="E238" s="914"/>
      <c r="F238" s="914"/>
      <c r="G238" s="999"/>
      <c r="H238" s="1682"/>
      <c r="I238" s="1682"/>
      <c r="J238" s="1683"/>
    </row>
    <row r="239" spans="1:10" x14ac:dyDescent="0.25">
      <c r="A239" s="952"/>
      <c r="B239" s="948"/>
      <c r="C239" s="1684"/>
      <c r="D239" s="1008"/>
      <c r="E239" s="1684"/>
      <c r="F239" s="1684"/>
      <c r="G239" s="1009"/>
      <c r="H239" s="1010"/>
      <c r="I239" s="1010"/>
      <c r="J239" s="1011"/>
    </row>
    <row r="240" spans="1:10" x14ac:dyDescent="0.25">
      <c r="A240" s="160" t="s">
        <v>40</v>
      </c>
      <c r="B240" s="1012"/>
      <c r="C240" s="1685"/>
      <c r="D240" s="1685"/>
      <c r="E240" s="1685"/>
      <c r="F240" s="10"/>
      <c r="G240" s="1014"/>
      <c r="H240" s="990"/>
      <c r="I240" s="990"/>
      <c r="J240" s="1015"/>
    </row>
    <row r="241" spans="1:10" x14ac:dyDescent="0.25">
      <c r="A241" s="1675"/>
      <c r="B241" s="914" t="s">
        <v>839</v>
      </c>
      <c r="C241" s="889">
        <f>'Sch 3 - Expenses'!C81</f>
        <v>336</v>
      </c>
      <c r="D241" s="889">
        <f>'Sch 3 - Expenses'!D81</f>
        <v>404</v>
      </c>
      <c r="E241" s="182" t="str">
        <f>'Sch 3 - Expenses'!E81</f>
        <v>DIST</v>
      </c>
      <c r="F241" s="1732" t="str">
        <f>'Sch 3 - Expenses'!F81</f>
        <v xml:space="preserve"> </v>
      </c>
      <c r="G241" s="182">
        <f>'Sch 3 - Expenses'!G81</f>
        <v>0</v>
      </c>
      <c r="H241" s="182">
        <f>'Sch 3 - Expenses'!H81</f>
        <v>0</v>
      </c>
      <c r="I241" s="182">
        <f>'Sch 3 - Expenses'!I81</f>
        <v>0</v>
      </c>
      <c r="J241" s="182">
        <f>'Sch 3 - Expenses'!J81</f>
        <v>0</v>
      </c>
    </row>
    <row r="242" spans="1:10" x14ac:dyDescent="0.25">
      <c r="A242" s="1675"/>
      <c r="B242" s="914" t="s">
        <v>840</v>
      </c>
      <c r="C242" s="889">
        <f>'Sch 3 - Expenses'!C82</f>
        <v>336</v>
      </c>
      <c r="D242" s="889">
        <f>'Sch 3 - Expenses'!D82</f>
        <v>404</v>
      </c>
      <c r="E242" s="182" t="str">
        <f>'Sch 3 - Expenses'!E82</f>
        <v>DIRECT</v>
      </c>
      <c r="F242" s="1732" t="str">
        <f>'Sch 3 - Expenses'!F82</f>
        <v>PTD</v>
      </c>
      <c r="G242" s="182">
        <f>'Sch 3 - Expenses'!G82</f>
        <v>1472465.336227369</v>
      </c>
      <c r="H242" s="182">
        <f>'Sch 3 - Expenses'!H82</f>
        <v>1472465.336227369</v>
      </c>
      <c r="I242" s="182">
        <f>'Sch 3 - Expenses'!I82</f>
        <v>0</v>
      </c>
      <c r="J242" s="182">
        <f>'Sch 3 - Expenses'!J82</f>
        <v>28321.771611505512</v>
      </c>
    </row>
    <row r="243" spans="1:10" x14ac:dyDescent="0.25">
      <c r="A243" s="1675"/>
      <c r="B243" s="914" t="s">
        <v>841</v>
      </c>
      <c r="C243" s="889">
        <f>'Sch 3 - Expenses'!C83</f>
        <v>336</v>
      </c>
      <c r="D243" s="889">
        <f>'Sch 3 - Expenses'!D83</f>
        <v>404</v>
      </c>
      <c r="E243" s="182" t="str">
        <f>'Sch 3 - Expenses'!E83</f>
        <v>DIRECT</v>
      </c>
      <c r="F243" s="1732" t="str">
        <f>'Sch 3 - Expenses'!F83</f>
        <v>DIST</v>
      </c>
      <c r="G243" s="182">
        <f>'Sch 3 - Expenses'!G83</f>
        <v>23779220.607934885</v>
      </c>
      <c r="H243" s="182">
        <f>'Sch 3 - Expenses'!H83</f>
        <v>7894198.4267612863</v>
      </c>
      <c r="I243" s="182">
        <f>'Sch 3 - Expenses'!I83</f>
        <v>0</v>
      </c>
      <c r="J243" s="182">
        <f>'Sch 3 - Expenses'!J83</f>
        <v>15885022.181173598</v>
      </c>
    </row>
    <row r="244" spans="1:10" x14ac:dyDescent="0.25">
      <c r="A244" s="1675"/>
      <c r="B244" s="914" t="s">
        <v>842</v>
      </c>
      <c r="C244" s="889">
        <f>'Sch 3 - Expenses'!C84</f>
        <v>336</v>
      </c>
      <c r="D244" s="889">
        <f>'Sch 3 - Expenses'!D84</f>
        <v>403</v>
      </c>
      <c r="E244" s="182" t="str">
        <f>'Sch 3 - Expenses'!E84</f>
        <v>PROD</v>
      </c>
      <c r="F244" s="890"/>
      <c r="G244" s="182">
        <f>'Sch 3 - Expenses'!G84</f>
        <v>141723842.23824352</v>
      </c>
      <c r="H244" s="182">
        <f>'Sch 3 - Expenses'!H84</f>
        <v>141723842.23824352</v>
      </c>
      <c r="I244" s="182">
        <f>'Sch 3 - Expenses'!I84</f>
        <v>0</v>
      </c>
      <c r="J244" s="182">
        <f>'Sch 3 - Expenses'!J84</f>
        <v>0</v>
      </c>
    </row>
    <row r="245" spans="1:10" x14ac:dyDescent="0.25">
      <c r="A245" s="1675"/>
      <c r="B245" s="914" t="s">
        <v>843</v>
      </c>
      <c r="C245" s="889">
        <f>'Sch 3 - Expenses'!C85</f>
        <v>336</v>
      </c>
      <c r="D245" s="889">
        <f>'Sch 3 - Expenses'!D85</f>
        <v>403</v>
      </c>
      <c r="E245" s="182" t="str">
        <f>'Sch 3 - Expenses'!E85</f>
        <v>PROD</v>
      </c>
      <c r="F245" s="890"/>
      <c r="G245" s="182">
        <f>'Sch 3 - Expenses'!G85</f>
        <v>0</v>
      </c>
      <c r="H245" s="182">
        <f>'Sch 3 - Expenses'!H85</f>
        <v>0</v>
      </c>
      <c r="I245" s="182">
        <f>'Sch 3 - Expenses'!I85</f>
        <v>0</v>
      </c>
      <c r="J245" s="182">
        <f>'Sch 3 - Expenses'!J85</f>
        <v>0</v>
      </c>
    </row>
    <row r="246" spans="1:10" x14ac:dyDescent="0.25">
      <c r="A246" s="1675"/>
      <c r="B246" s="914" t="s">
        <v>430</v>
      </c>
      <c r="C246" s="889">
        <f>'Sch 3 - Expenses'!C86</f>
        <v>336</v>
      </c>
      <c r="D246" s="889">
        <f>'Sch 3 - Expenses'!D86</f>
        <v>403</v>
      </c>
      <c r="E246" s="182" t="str">
        <f>'Sch 3 - Expenses'!E86</f>
        <v>PROD</v>
      </c>
      <c r="F246" s="890"/>
      <c r="G246" s="182">
        <f>'Sch 3 - Expenses'!G86</f>
        <v>12578940.113235414</v>
      </c>
      <c r="H246" s="182">
        <f>'Sch 3 - Expenses'!H86</f>
        <v>12578940.113235414</v>
      </c>
      <c r="I246" s="182">
        <f>'Sch 3 - Expenses'!I86</f>
        <v>0</v>
      </c>
      <c r="J246" s="182">
        <f>'Sch 3 - Expenses'!J86</f>
        <v>0</v>
      </c>
    </row>
    <row r="247" spans="1:10" x14ac:dyDescent="0.25">
      <c r="A247" s="1675"/>
      <c r="B247" s="914" t="s">
        <v>431</v>
      </c>
      <c r="C247" s="889">
        <f>'Sch 3 - Expenses'!C87</f>
        <v>336</v>
      </c>
      <c r="D247" s="889">
        <f>'Sch 3 - Expenses'!D87</f>
        <v>403</v>
      </c>
      <c r="E247" s="182" t="str">
        <f>'Sch 3 - Expenses'!E87</f>
        <v>PROD</v>
      </c>
      <c r="F247" s="890"/>
      <c r="G247" s="182">
        <f>'Sch 3 - Expenses'!G87</f>
        <v>0</v>
      </c>
      <c r="H247" s="182">
        <f>'Sch 3 - Expenses'!H87</f>
        <v>0</v>
      </c>
      <c r="I247" s="182">
        <f>'Sch 3 - Expenses'!I87</f>
        <v>0</v>
      </c>
      <c r="J247" s="182">
        <f>'Sch 3 - Expenses'!J87</f>
        <v>0</v>
      </c>
    </row>
    <row r="248" spans="1:10" x14ac:dyDescent="0.25">
      <c r="A248" s="1675"/>
      <c r="B248" s="914" t="s">
        <v>844</v>
      </c>
      <c r="C248" s="889">
        <f>'Sch 3 - Expenses'!C88</f>
        <v>336</v>
      </c>
      <c r="D248" s="889">
        <f>'Sch 3 - Expenses'!D88</f>
        <v>403</v>
      </c>
      <c r="E248" s="182" t="str">
        <f>'Sch 3 - Expenses'!E88</f>
        <v>PROD</v>
      </c>
      <c r="F248" s="890"/>
      <c r="G248" s="182">
        <f>'Sch 3 - Expenses'!G88</f>
        <v>86888185.679734245</v>
      </c>
      <c r="H248" s="182">
        <f>'Sch 3 - Expenses'!H88</f>
        <v>86888185.679734245</v>
      </c>
      <c r="I248" s="182">
        <f>'Sch 3 - Expenses'!I88</f>
        <v>0</v>
      </c>
      <c r="J248" s="182">
        <f>'Sch 3 - Expenses'!J88</f>
        <v>0</v>
      </c>
    </row>
    <row r="249" spans="1:10" x14ac:dyDescent="0.25">
      <c r="A249" s="1675"/>
      <c r="B249" s="914" t="s">
        <v>845</v>
      </c>
      <c r="C249" s="889">
        <f>'Sch 3 - Expenses'!C89</f>
        <v>336</v>
      </c>
      <c r="D249" s="889">
        <f>'Sch 3 - Expenses'!D89</f>
        <v>403</v>
      </c>
      <c r="E249" s="182" t="str">
        <f>'Sch 3 - Expenses'!E89</f>
        <v>TRANS</v>
      </c>
      <c r="F249" s="890"/>
      <c r="G249" s="182">
        <f>'Sch 3 - Expenses'!G89</f>
        <v>54962239.888260253</v>
      </c>
      <c r="H249" s="182">
        <f>'Sch 3 - Expenses'!H89</f>
        <v>0</v>
      </c>
      <c r="I249" s="182">
        <f>'Sch 3 - Expenses'!I89</f>
        <v>0</v>
      </c>
      <c r="J249" s="182">
        <f>'Sch 3 - Expenses'!J89</f>
        <v>54962239.888260253</v>
      </c>
    </row>
    <row r="250" spans="1:10" x14ac:dyDescent="0.25">
      <c r="A250" s="1675"/>
      <c r="B250" s="914" t="s">
        <v>846</v>
      </c>
      <c r="C250" s="889">
        <f>'Sch 3 - Expenses'!C90</f>
        <v>336</v>
      </c>
      <c r="D250" s="889">
        <f>'Sch 3 - Expenses'!D90</f>
        <v>403</v>
      </c>
      <c r="E250" s="182" t="str">
        <f>'Sch 3 - Expenses'!E90</f>
        <v>DIST</v>
      </c>
      <c r="F250" s="890"/>
      <c r="G250" s="182">
        <f>'Sch 3 - Expenses'!G90</f>
        <v>85882444.570000008</v>
      </c>
      <c r="H250" s="182">
        <f>'Sch 3 - Expenses'!H90</f>
        <v>0</v>
      </c>
      <c r="I250" s="182">
        <f>'Sch 3 - Expenses'!I90</f>
        <v>0</v>
      </c>
      <c r="J250" s="182">
        <f>'Sch 3 - Expenses'!J90</f>
        <v>85882444.570000008</v>
      </c>
    </row>
    <row r="251" spans="1:10" x14ac:dyDescent="0.25">
      <c r="A251" s="1675"/>
      <c r="B251" s="914" t="s">
        <v>847</v>
      </c>
      <c r="C251" s="889">
        <f>'Sch 3 - Expenses'!C91</f>
        <v>336</v>
      </c>
      <c r="D251" s="889">
        <f>'Sch 3 - Expenses'!D91</f>
        <v>403</v>
      </c>
      <c r="E251" s="182" t="str">
        <f>'Sch 3 - Expenses'!E91</f>
        <v>GP</v>
      </c>
      <c r="F251" s="890"/>
      <c r="G251" s="182">
        <f>'Sch 3 - Expenses'!G91</f>
        <v>20454459.004238889</v>
      </c>
      <c r="H251" s="182">
        <f>'Sch 3 - Expenses'!H91</f>
        <v>6557460.8322858298</v>
      </c>
      <c r="I251" s="182">
        <f>'Sch 3 - Expenses'!I91</f>
        <v>0</v>
      </c>
      <c r="J251" s="182">
        <f>'Sch 3 - Expenses'!J91</f>
        <v>13896998.171953062</v>
      </c>
    </row>
    <row r="252" spans="1:10" x14ac:dyDescent="0.25">
      <c r="A252" s="1675"/>
      <c r="B252" s="914" t="s">
        <v>848</v>
      </c>
      <c r="C252" s="889">
        <f>'Sch 3 - Expenses'!C92</f>
        <v>336</v>
      </c>
      <c r="D252" s="1016">
        <f>'Sch 3 - Expenses'!D92</f>
        <v>403</v>
      </c>
      <c r="E252" s="182" t="str">
        <f>'Sch 3 - Expenses'!E92</f>
        <v>DIRECT</v>
      </c>
      <c r="F252" s="890"/>
      <c r="G252" s="182">
        <f>'Sch 3 - Expenses'!G92</f>
        <v>0</v>
      </c>
      <c r="H252" s="182">
        <f>'Sch 3 - Expenses'!H92</f>
        <v>0</v>
      </c>
      <c r="I252" s="182">
        <f>'Sch 3 - Expenses'!I92</f>
        <v>0</v>
      </c>
      <c r="J252" s="182">
        <f>'Sch 3 - Expenses'!J92</f>
        <v>0</v>
      </c>
    </row>
    <row r="253" spans="1:10" x14ac:dyDescent="0.25">
      <c r="A253" s="1675"/>
      <c r="B253" s="914" t="s">
        <v>849</v>
      </c>
      <c r="C253" s="889">
        <f>'Sch 3 - Expenses'!C93</f>
        <v>336</v>
      </c>
      <c r="D253" s="1016">
        <f>'Sch 3 - Expenses'!D93</f>
        <v>404</v>
      </c>
      <c r="E253" s="182" t="str">
        <f>'Sch 3 - Expenses'!E93</f>
        <v>DIRECT</v>
      </c>
      <c r="F253" s="890"/>
      <c r="G253" s="182">
        <f>'Sch 3 - Expenses'!G93</f>
        <v>0</v>
      </c>
      <c r="H253" s="182">
        <f>'Sch 3 - Expenses'!H93</f>
        <v>0</v>
      </c>
      <c r="I253" s="182">
        <f>'Sch 3 - Expenses'!I93</f>
        <v>0</v>
      </c>
      <c r="J253" s="182">
        <f>'Sch 3 - Expenses'!J93</f>
        <v>0</v>
      </c>
    </row>
    <row r="254" spans="1:10" x14ac:dyDescent="0.25">
      <c r="A254" s="1675"/>
      <c r="B254" s="914" t="s">
        <v>564</v>
      </c>
      <c r="C254" s="889">
        <f>'Sch 3 - Expenses'!C94</f>
        <v>336</v>
      </c>
      <c r="D254" s="889">
        <f>'Sch 3 - Expenses'!D94</f>
        <v>403.1</v>
      </c>
      <c r="E254" s="182" t="str">
        <f>'Sch 3 - Expenses'!E94</f>
        <v>DIRECT</v>
      </c>
      <c r="F254" s="890"/>
      <c r="G254" s="182">
        <f>'Sch 3 - Expenses'!G94</f>
        <v>0</v>
      </c>
      <c r="H254" s="182">
        <f>'Sch 3 - Expenses'!H94</f>
        <v>0</v>
      </c>
      <c r="I254" s="182">
        <f>'Sch 3 - Expenses'!I94</f>
        <v>0</v>
      </c>
      <c r="J254" s="182">
        <f>'Sch 3 - Expenses'!J94</f>
        <v>0</v>
      </c>
    </row>
    <row r="255" spans="1:10" x14ac:dyDescent="0.25">
      <c r="A255" s="1675"/>
      <c r="B255" s="914" t="s">
        <v>565</v>
      </c>
      <c r="C255" s="889">
        <f>'Sch 3 - Expenses'!C95</f>
        <v>336</v>
      </c>
      <c r="D255" s="1016">
        <f>'Sch 3 - Expenses'!D95</f>
        <v>404</v>
      </c>
      <c r="E255" s="182" t="str">
        <f>'Sch 3 - Expenses'!E95</f>
        <v>DIRECT</v>
      </c>
      <c r="F255" s="890"/>
      <c r="G255" s="182">
        <f>'Sch 3 - Expenses'!G95</f>
        <v>668326.76052095089</v>
      </c>
      <c r="H255" s="182">
        <f>'Sch 3 - Expenses'!H95</f>
        <v>380607.82273420098</v>
      </c>
      <c r="I255" s="182">
        <f>'Sch 3 - Expenses'!I95</f>
        <v>0</v>
      </c>
      <c r="J255" s="182">
        <f>'Sch 3 - Expenses'!J95</f>
        <v>287718.93778674991</v>
      </c>
    </row>
    <row r="256" spans="1:10" x14ac:dyDescent="0.25">
      <c r="A256" s="1675"/>
      <c r="B256" s="914" t="s">
        <v>30</v>
      </c>
      <c r="C256" s="889" t="str">
        <f>'Sch 3 - Expenses'!C96</f>
        <v>200-201</v>
      </c>
      <c r="D256" s="1016">
        <f>'Sch 3 - Expenses'!D96</f>
        <v>406</v>
      </c>
      <c r="E256" s="182" t="str">
        <f>'Sch 3 - Expenses'!E96</f>
        <v>DIRECT</v>
      </c>
      <c r="F256" s="890"/>
      <c r="G256" s="182">
        <f>'Sch 3 - Expenses'!G96</f>
        <v>30235.05476747407</v>
      </c>
      <c r="H256" s="182">
        <f>'Sch 3 - Expenses'!H96</f>
        <v>30235.05476747407</v>
      </c>
      <c r="I256" s="182">
        <f>'Sch 3 - Expenses'!I96</f>
        <v>0</v>
      </c>
      <c r="J256" s="182">
        <f>'Sch 3 - Expenses'!J96</f>
        <v>0</v>
      </c>
    </row>
    <row r="257" spans="1:10" x14ac:dyDescent="0.25">
      <c r="A257" s="163" t="s">
        <v>471</v>
      </c>
      <c r="B257" s="10"/>
      <c r="C257" s="915"/>
      <c r="D257" s="916"/>
      <c r="E257" s="916"/>
      <c r="F257" s="917"/>
      <c r="G257" s="1670">
        <f>'Sch 3 - Expenses'!G97</f>
        <v>428440359.25316298</v>
      </c>
      <c r="H257" s="1670">
        <f>'Sch 3 - Expenses'!H97</f>
        <v>257525935.50398934</v>
      </c>
      <c r="I257" s="1670">
        <f>'Sch 3 - Expenses'!I97</f>
        <v>0</v>
      </c>
      <c r="J257" s="1671">
        <f>'Sch 3 - Expenses'!J97</f>
        <v>170942745.52078518</v>
      </c>
    </row>
    <row r="258" spans="1:10" x14ac:dyDescent="0.25">
      <c r="A258" s="163"/>
      <c r="B258" s="10"/>
      <c r="C258" s="55"/>
      <c r="D258" s="196"/>
      <c r="E258" s="10"/>
      <c r="F258" s="10"/>
      <c r="G258" s="1017"/>
      <c r="H258" s="1018"/>
      <c r="I258" s="1018"/>
      <c r="J258" s="1019"/>
    </row>
    <row r="259" spans="1:10" x14ac:dyDescent="0.25">
      <c r="A259" s="170"/>
      <c r="B259" s="79"/>
      <c r="C259" s="79"/>
      <c r="D259" s="79"/>
      <c r="E259" s="79"/>
      <c r="F259" s="79"/>
      <c r="G259" s="1012"/>
      <c r="J259" s="1659"/>
    </row>
    <row r="260" spans="1:10" x14ac:dyDescent="0.25">
      <c r="A260" s="163" t="s">
        <v>50</v>
      </c>
      <c r="B260" s="64"/>
      <c r="C260" s="915"/>
      <c r="D260" s="916"/>
      <c r="E260" s="916"/>
      <c r="F260" s="917"/>
      <c r="G260" s="1670">
        <f>'Sch 3 - Expenses'!G100</f>
        <v>3229555827.293632</v>
      </c>
      <c r="H260" s="1670">
        <f>'Sch 3 - Expenses'!H100</f>
        <v>2306462730.3009195</v>
      </c>
      <c r="I260" s="1670">
        <f>'Sch 3 - Expenses'!I100</f>
        <v>0</v>
      </c>
      <c r="J260" s="1671">
        <f>'Sch 3 - Expenses'!J100</f>
        <v>923118347.54036522</v>
      </c>
    </row>
    <row r="261" spans="1:10" ht="16.5" thickBot="1" x14ac:dyDescent="0.3">
      <c r="A261" s="172"/>
      <c r="B261" s="932"/>
      <c r="C261" s="933"/>
      <c r="D261" s="933"/>
      <c r="E261" s="933"/>
      <c r="F261" s="933"/>
      <c r="G261" s="1002"/>
      <c r="H261" s="1003"/>
      <c r="I261" s="1003"/>
      <c r="J261" s="936"/>
    </row>
    <row r="262" spans="1:10" ht="16.5" thickTop="1" x14ac:dyDescent="0.25">
      <c r="G262" s="1012"/>
      <c r="H262" s="1012"/>
      <c r="I262" s="1012"/>
      <c r="J262" s="1012"/>
    </row>
    <row r="263" spans="1:10" ht="16.5" thickBot="1" x14ac:dyDescent="0.3">
      <c r="A263" s="332" t="s">
        <v>148</v>
      </c>
      <c r="B263" s="1657"/>
      <c r="C263" s="1657"/>
      <c r="D263" s="1657"/>
      <c r="E263" s="147"/>
      <c r="F263" s="4"/>
      <c r="G263" s="1686"/>
      <c r="H263" s="1686"/>
      <c r="I263" s="1022"/>
      <c r="J263" s="52"/>
    </row>
    <row r="264" spans="1:10" ht="17.25" thickTop="1" thickBot="1" x14ac:dyDescent="0.3">
      <c r="A264" s="988"/>
      <c r="B264" s="3675" t="s">
        <v>100</v>
      </c>
      <c r="C264" s="325" t="s">
        <v>323</v>
      </c>
      <c r="D264" s="325"/>
      <c r="E264" s="3783" t="s">
        <v>354</v>
      </c>
      <c r="F264" s="3774"/>
      <c r="G264" s="3775" t="s">
        <v>104</v>
      </c>
      <c r="H264" s="3777" t="s">
        <v>105</v>
      </c>
      <c r="I264" s="3753" t="s">
        <v>106</v>
      </c>
      <c r="J264" s="326"/>
    </row>
    <row r="265" spans="1:10" ht="16.5" thickBot="1" x14ac:dyDescent="0.3">
      <c r="A265" s="865"/>
      <c r="B265" s="3756"/>
      <c r="C265" s="322" t="s">
        <v>272</v>
      </c>
      <c r="D265" s="322" t="s">
        <v>96</v>
      </c>
      <c r="E265" s="3760"/>
      <c r="F265" s="3761"/>
      <c r="G265" s="3763"/>
      <c r="H265" s="3766"/>
      <c r="I265" s="3754"/>
      <c r="J265" s="310" t="s">
        <v>98</v>
      </c>
    </row>
    <row r="266" spans="1:10" ht="16.5" thickBot="1" x14ac:dyDescent="0.3">
      <c r="A266" s="989"/>
      <c r="B266" s="3757"/>
      <c r="C266" s="311" t="s">
        <v>273</v>
      </c>
      <c r="D266" s="311" t="s">
        <v>252</v>
      </c>
      <c r="E266" s="311" t="s">
        <v>450</v>
      </c>
      <c r="F266" s="311" t="s">
        <v>619</v>
      </c>
      <c r="G266" s="3764"/>
      <c r="H266" s="3767"/>
      <c r="I266" s="3769"/>
      <c r="J266" s="314" t="s">
        <v>107</v>
      </c>
    </row>
    <row r="267" spans="1:10" ht="16.5" thickTop="1" x14ac:dyDescent="0.25">
      <c r="A267" s="199" t="s">
        <v>149</v>
      </c>
      <c r="B267" s="79"/>
      <c r="C267" s="150"/>
      <c r="D267" s="195"/>
      <c r="E267" s="196"/>
      <c r="F267" s="196"/>
      <c r="G267" s="197"/>
      <c r="H267" s="198"/>
      <c r="I267" s="198"/>
      <c r="J267" s="200"/>
    </row>
    <row r="268" spans="1:10" x14ac:dyDescent="0.25">
      <c r="A268" s="170"/>
      <c r="B268" s="63" t="s">
        <v>35</v>
      </c>
      <c r="C268" s="1023" t="str">
        <f>'Sch 3A - Taxes'!C16</f>
        <v>262-263</v>
      </c>
      <c r="D268" s="889">
        <f>'Sch 3A - Taxes'!D16</f>
        <v>409.1</v>
      </c>
      <c r="E268" s="182" t="str">
        <f>'Sch 3A - Taxes'!E16</f>
        <v>DIST</v>
      </c>
      <c r="F268" s="890"/>
      <c r="G268" s="182">
        <f>'Sch 3A - Taxes'!F16</f>
        <v>0</v>
      </c>
      <c r="H268" s="182">
        <f>'Sch 3A - Taxes'!G16</f>
        <v>0</v>
      </c>
      <c r="I268" s="182">
        <f>'Sch 3A - Taxes'!H16</f>
        <v>0</v>
      </c>
      <c r="J268" s="182">
        <f>'Sch 3A - Taxes'!I16</f>
        <v>0</v>
      </c>
    </row>
    <row r="269" spans="1:10" x14ac:dyDescent="0.25">
      <c r="A269" s="170"/>
      <c r="B269" s="63" t="s">
        <v>150</v>
      </c>
      <c r="C269" s="1023" t="str">
        <f>'Sch 3A - Taxes'!C17</f>
        <v>262-263</v>
      </c>
      <c r="D269" s="889">
        <f>'Sch 3A - Taxes'!D17</f>
        <v>408.1</v>
      </c>
      <c r="E269" s="182" t="str">
        <f>'Sch 3A - Taxes'!E17</f>
        <v>LABOR</v>
      </c>
      <c r="F269" s="890"/>
      <c r="G269" s="182">
        <f>'Sch 3A - Taxes'!F17</f>
        <v>19019048.084836535</v>
      </c>
      <c r="H269" s="182">
        <f>'Sch 3A - Taxes'!G17</f>
        <v>7928154.892926028</v>
      </c>
      <c r="I269" s="182">
        <f>'Sch 3A - Taxes'!H17</f>
        <v>0</v>
      </c>
      <c r="J269" s="182">
        <f>'Sch 3A - Taxes'!I17</f>
        <v>11090893.191910507</v>
      </c>
    </row>
    <row r="270" spans="1:10" x14ac:dyDescent="0.25">
      <c r="A270" s="170"/>
      <c r="B270" s="63" t="s">
        <v>151</v>
      </c>
      <c r="C270" s="1023" t="str">
        <f>'Sch 3A - Taxes'!C18</f>
        <v>262-263</v>
      </c>
      <c r="D270" s="889">
        <f>'Sch 3A - Taxes'!D18</f>
        <v>408.1</v>
      </c>
      <c r="E270" s="182" t="str">
        <f>'Sch 3A - Taxes'!E18</f>
        <v>DIST</v>
      </c>
      <c r="F270" s="890"/>
      <c r="G270" s="182">
        <f>'Sch 3A - Taxes'!F18</f>
        <v>0</v>
      </c>
      <c r="H270" s="182">
        <f>'Sch 3A - Taxes'!G18</f>
        <v>0</v>
      </c>
      <c r="I270" s="182">
        <f>'Sch 3A - Taxes'!H18</f>
        <v>0</v>
      </c>
      <c r="J270" s="182">
        <f>'Sch 3A - Taxes'!I18</f>
        <v>0</v>
      </c>
    </row>
    <row r="271" spans="1:10" x14ac:dyDescent="0.25">
      <c r="A271" s="201" t="s">
        <v>37</v>
      </c>
      <c r="B271" s="58"/>
      <c r="C271" s="915"/>
      <c r="D271" s="916"/>
      <c r="E271" s="916"/>
      <c r="F271" s="917"/>
      <c r="G271" s="1670">
        <f>'Sch 3A - Taxes'!F19</f>
        <v>19019048.084836535</v>
      </c>
      <c r="H271" s="1670">
        <f>'Sch 3A - Taxes'!G19</f>
        <v>7928154.892926028</v>
      </c>
      <c r="I271" s="1670">
        <f>'Sch 3A - Taxes'!H19</f>
        <v>0</v>
      </c>
      <c r="J271" s="1670">
        <f>'Sch 3A - Taxes'!I19</f>
        <v>11090893.191910507</v>
      </c>
    </row>
    <row r="272" spans="1:10" x14ac:dyDescent="0.25">
      <c r="A272" s="201"/>
      <c r="B272" s="58"/>
      <c r="C272" s="1687"/>
      <c r="D272" s="1688"/>
      <c r="E272" s="196"/>
      <c r="F272" s="196"/>
      <c r="G272" s="197"/>
      <c r="H272" s="197"/>
      <c r="I272" s="197"/>
      <c r="J272" s="1027"/>
    </row>
    <row r="273" spans="1:10" x14ac:dyDescent="0.25">
      <c r="A273" s="202" t="s">
        <v>38</v>
      </c>
      <c r="B273" s="63"/>
      <c r="C273" s="150"/>
      <c r="D273" s="195"/>
      <c r="E273" s="196"/>
      <c r="F273" s="196"/>
      <c r="G273" s="197"/>
      <c r="H273" s="197"/>
      <c r="I273" s="197"/>
      <c r="J273" s="1027"/>
    </row>
    <row r="274" spans="1:10" x14ac:dyDescent="0.25">
      <c r="A274" s="170"/>
      <c r="B274" s="63" t="s">
        <v>567</v>
      </c>
      <c r="C274" s="1023" t="str">
        <f>'Sch 3A - Taxes'!C22</f>
        <v>262-263</v>
      </c>
      <c r="D274" s="889">
        <f>'Sch 3A - Taxes'!D22</f>
        <v>408.1</v>
      </c>
      <c r="E274" s="182" t="str">
        <f>'Sch 3A - Taxes'!E22</f>
        <v>PTDG</v>
      </c>
      <c r="F274" s="890"/>
      <c r="G274" s="182">
        <f>'Sch 3A - Taxes'!F22</f>
        <v>62757268.946259603</v>
      </c>
      <c r="H274" s="182">
        <f>'Sch 3A - Taxes'!G22</f>
        <v>27262667.717048887</v>
      </c>
      <c r="I274" s="182">
        <f>'Sch 3A - Taxes'!H22</f>
        <v>0</v>
      </c>
      <c r="J274" s="182">
        <f>'Sch 3A - Taxes'!I22</f>
        <v>35500881.608327694</v>
      </c>
    </row>
    <row r="275" spans="1:10" x14ac:dyDescent="0.25">
      <c r="A275" s="170"/>
      <c r="B275" s="63" t="s">
        <v>152</v>
      </c>
      <c r="C275" s="1023" t="str">
        <f>'Sch 3A - Taxes'!C23</f>
        <v>262-263</v>
      </c>
      <c r="D275" s="889">
        <f>'Sch 3A - Taxes'!D23</f>
        <v>408.1</v>
      </c>
      <c r="E275" s="182" t="str">
        <f>'Sch 3A - Taxes'!E23</f>
        <v>LABOR</v>
      </c>
      <c r="F275" s="890"/>
      <c r="G275" s="182">
        <f>'Sch 3A - Taxes'!F23</f>
        <v>1364754.9693939744</v>
      </c>
      <c r="H275" s="182">
        <f>'Sch 3A - Taxes'!G23</f>
        <v>568902.75159840868</v>
      </c>
      <c r="I275" s="182">
        <f>'Sch 3A - Taxes'!H23</f>
        <v>0</v>
      </c>
      <c r="J275" s="182">
        <f>'Sch 3A - Taxes'!I23</f>
        <v>795852.21779556572</v>
      </c>
    </row>
    <row r="276" spans="1:10" x14ac:dyDescent="0.25">
      <c r="A276" s="170"/>
      <c r="B276" s="63" t="s">
        <v>568</v>
      </c>
      <c r="C276" s="1023" t="str">
        <f>'Sch 3A - Taxes'!C24</f>
        <v>262-263</v>
      </c>
      <c r="D276" s="889">
        <f>'Sch 3A - Taxes'!D24</f>
        <v>409.1</v>
      </c>
      <c r="E276" s="182" t="str">
        <f>'Sch 3A - Taxes'!E24</f>
        <v>DIST</v>
      </c>
      <c r="F276" s="890"/>
      <c r="G276" s="182">
        <f>'Sch 3A - Taxes'!F24</f>
        <v>1066334.5535052733</v>
      </c>
      <c r="H276" s="182">
        <f>'Sch 3A - Taxes'!G24</f>
        <v>0</v>
      </c>
      <c r="I276" s="182">
        <f>'Sch 3A - Taxes'!H24</f>
        <v>0</v>
      </c>
      <c r="J276" s="182">
        <f>'Sch 3A - Taxes'!I24</f>
        <v>1066334.5535052733</v>
      </c>
    </row>
    <row r="277" spans="1:10" x14ac:dyDescent="0.25">
      <c r="A277" s="170"/>
      <c r="B277" s="63" t="s">
        <v>569</v>
      </c>
      <c r="C277" s="1023" t="str">
        <f>'Sch 3A - Taxes'!C25</f>
        <v>262-263</v>
      </c>
      <c r="D277" s="889">
        <f>'Sch 3A - Taxes'!D25</f>
        <v>408.1</v>
      </c>
      <c r="E277" s="182" t="str">
        <f>'Sch 3A - Taxes'!E25</f>
        <v>DIST</v>
      </c>
      <c r="F277" s="890"/>
      <c r="G277" s="182">
        <f>'Sch 3A - Taxes'!F25</f>
        <v>33981773.116844907</v>
      </c>
      <c r="H277" s="182">
        <f>'Sch 3A - Taxes'!G25</f>
        <v>0</v>
      </c>
      <c r="I277" s="182">
        <f>'Sch 3A - Taxes'!H25</f>
        <v>0</v>
      </c>
      <c r="J277" s="182">
        <f>'Sch 3A - Taxes'!I25</f>
        <v>33981773.116844907</v>
      </c>
    </row>
    <row r="278" spans="1:10" x14ac:dyDescent="0.25">
      <c r="A278" s="170"/>
      <c r="B278" s="63" t="s">
        <v>153</v>
      </c>
      <c r="C278" s="1023" t="str">
        <f>'Sch 3A - Taxes'!C26</f>
        <v>262-263</v>
      </c>
      <c r="D278" s="889">
        <f>'Sch 3A - Taxes'!D26</f>
        <v>408.1</v>
      </c>
      <c r="E278" s="182" t="str">
        <f>'Sch 3A - Taxes'!E26</f>
        <v>DIST</v>
      </c>
      <c r="F278" s="890"/>
      <c r="G278" s="182">
        <f>'Sch 3A - Taxes'!F26</f>
        <v>7839988.4010800999</v>
      </c>
      <c r="H278" s="182">
        <f>'Sch 3A - Taxes'!G26</f>
        <v>0</v>
      </c>
      <c r="I278" s="182">
        <f>'Sch 3A - Taxes'!H26</f>
        <v>0</v>
      </c>
      <c r="J278" s="182">
        <f>'Sch 3A - Taxes'!I26</f>
        <v>7839988.4010800999</v>
      </c>
    </row>
    <row r="279" spans="1:10" x14ac:dyDescent="0.25">
      <c r="A279" s="170"/>
      <c r="B279" s="63" t="s">
        <v>570</v>
      </c>
      <c r="C279" s="1023" t="str">
        <f>'Sch 3A - Taxes'!C27</f>
        <v>262-263</v>
      </c>
      <c r="D279" s="889">
        <f>'Sch 3A - Taxes'!D27</f>
        <v>408.1</v>
      </c>
      <c r="E279" s="182" t="str">
        <f>'Sch 3A - Taxes'!E27</f>
        <v>DIST</v>
      </c>
      <c r="F279" s="890"/>
      <c r="G279" s="182">
        <f>'Sch 3A - Taxes'!F27</f>
        <v>6706015.4391418342</v>
      </c>
      <c r="H279" s="182">
        <f>'Sch 3A - Taxes'!G27</f>
        <v>0</v>
      </c>
      <c r="I279" s="182">
        <f>'Sch 3A - Taxes'!H27</f>
        <v>0</v>
      </c>
      <c r="J279" s="182">
        <f>'Sch 3A - Taxes'!I27</f>
        <v>6706015.4391418342</v>
      </c>
    </row>
    <row r="280" spans="1:10" x14ac:dyDescent="0.25">
      <c r="A280" s="170"/>
      <c r="B280" s="63" t="s">
        <v>107</v>
      </c>
      <c r="C280" s="1023" t="str">
        <f>'Sch 3A - Taxes'!C28</f>
        <v>262-263</v>
      </c>
      <c r="D280" s="889">
        <f>'Sch 3A - Taxes'!D28</f>
        <v>408.1</v>
      </c>
      <c r="E280" s="182" t="str">
        <f>'Sch 3A - Taxes'!E28</f>
        <v>DIST</v>
      </c>
      <c r="F280" s="890"/>
      <c r="G280" s="182">
        <f>'Sch 3A - Taxes'!F28</f>
        <v>5067613.3007748257</v>
      </c>
      <c r="H280" s="182">
        <f>'Sch 3A - Taxes'!G28</f>
        <v>0</v>
      </c>
      <c r="I280" s="182">
        <f>'Sch 3A - Taxes'!H28</f>
        <v>0</v>
      </c>
      <c r="J280" s="182">
        <f>'Sch 3A - Taxes'!I28</f>
        <v>5067613.3007748257</v>
      </c>
    </row>
    <row r="281" spans="1:10" x14ac:dyDescent="0.25">
      <c r="A281" s="201" t="s">
        <v>36</v>
      </c>
      <c r="B281" s="63"/>
      <c r="C281" s="915"/>
      <c r="D281" s="916"/>
      <c r="E281" s="916"/>
      <c r="F281" s="917"/>
      <c r="G281" s="1670">
        <f>'Sch 3A - Taxes'!F29</f>
        <v>118783748.72700052</v>
      </c>
      <c r="H281" s="1670">
        <f>'Sch 3A - Taxes'!G29</f>
        <v>27831570.468647297</v>
      </c>
      <c r="I281" s="1670">
        <f>'Sch 3A - Taxes'!H29</f>
        <v>0</v>
      </c>
      <c r="J281" s="1671">
        <f>'Sch 3A - Taxes'!I29</f>
        <v>90958458.637470201</v>
      </c>
    </row>
    <row r="282" spans="1:10" x14ac:dyDescent="0.25">
      <c r="A282" s="170"/>
      <c r="B282" s="63"/>
      <c r="C282" s="150"/>
      <c r="D282" s="195"/>
      <c r="E282" s="196"/>
      <c r="F282" s="196"/>
      <c r="G282" s="1028"/>
      <c r="H282" s="1028"/>
      <c r="I282" s="1028"/>
      <c r="J282" s="1029"/>
    </row>
    <row r="283" spans="1:10" x14ac:dyDescent="0.25">
      <c r="A283" s="201" t="s">
        <v>571</v>
      </c>
      <c r="B283" s="79"/>
      <c r="C283" s="915"/>
      <c r="D283" s="916"/>
      <c r="E283" s="916"/>
      <c r="F283" s="917"/>
      <c r="G283" s="1670">
        <f>'Sch 3A - Taxes'!F31</f>
        <v>137802796.81183705</v>
      </c>
      <c r="H283" s="1670">
        <f>'Sch 3A - Taxes'!G31</f>
        <v>35759725.361573324</v>
      </c>
      <c r="I283" s="1670">
        <f>'Sch 3A - Taxes'!H31</f>
        <v>0</v>
      </c>
      <c r="J283" s="1671">
        <f>'Sch 3A - Taxes'!I31</f>
        <v>102049351.82938071</v>
      </c>
    </row>
    <row r="284" spans="1:10" ht="16.5" thickBot="1" x14ac:dyDescent="0.3">
      <c r="A284" s="191"/>
      <c r="B284" s="203"/>
      <c r="C284" s="203"/>
      <c r="D284" s="203"/>
      <c r="E284" s="203"/>
      <c r="F284" s="203"/>
      <c r="G284" s="203"/>
      <c r="H284" s="203"/>
      <c r="I284" s="203"/>
      <c r="J284" s="1030"/>
    </row>
    <row r="285" spans="1:10" ht="16.5" thickTop="1" x14ac:dyDescent="0.25"/>
    <row r="286" spans="1:10" ht="16.5" thickBot="1" x14ac:dyDescent="0.3">
      <c r="A286" s="332" t="s">
        <v>628</v>
      </c>
      <c r="B286" s="1657"/>
      <c r="C286" s="1657"/>
      <c r="D286" s="1657"/>
      <c r="E286" s="147"/>
      <c r="F286" s="4"/>
      <c r="G286" s="1686"/>
      <c r="H286" s="1686"/>
      <c r="I286" s="1022"/>
      <c r="J286" s="52"/>
    </row>
    <row r="287" spans="1:10" ht="17.25" thickTop="1" thickBot="1" x14ac:dyDescent="0.3">
      <c r="A287" s="988"/>
      <c r="B287" s="3675" t="s">
        <v>100</v>
      </c>
      <c r="C287" s="325" t="s">
        <v>323</v>
      </c>
      <c r="D287" s="325"/>
      <c r="E287" s="3783" t="s">
        <v>354</v>
      </c>
      <c r="F287" s="3774"/>
      <c r="G287" s="3775" t="s">
        <v>104</v>
      </c>
      <c r="H287" s="3777" t="s">
        <v>105</v>
      </c>
      <c r="I287" s="3753" t="s">
        <v>106</v>
      </c>
      <c r="J287" s="326"/>
    </row>
    <row r="288" spans="1:10" ht="16.5" thickBot="1" x14ac:dyDescent="0.3">
      <c r="A288" s="865"/>
      <c r="B288" s="3756"/>
      <c r="C288" s="322" t="s">
        <v>272</v>
      </c>
      <c r="D288" s="322" t="s">
        <v>96</v>
      </c>
      <c r="E288" s="3760"/>
      <c r="F288" s="3761"/>
      <c r="G288" s="3763"/>
      <c r="H288" s="3766"/>
      <c r="I288" s="3754"/>
      <c r="J288" s="310" t="s">
        <v>98</v>
      </c>
    </row>
    <row r="289" spans="1:10" ht="16.5" thickBot="1" x14ac:dyDescent="0.3">
      <c r="A289" s="989"/>
      <c r="B289" s="3757"/>
      <c r="C289" s="311" t="s">
        <v>273</v>
      </c>
      <c r="D289" s="311" t="s">
        <v>252</v>
      </c>
      <c r="E289" s="311" t="s">
        <v>450</v>
      </c>
      <c r="F289" s="311" t="s">
        <v>619</v>
      </c>
      <c r="G289" s="3764"/>
      <c r="H289" s="3767"/>
      <c r="I289" s="3769"/>
      <c r="J289" s="314" t="s">
        <v>107</v>
      </c>
    </row>
    <row r="290" spans="1:10" ht="16.5" thickTop="1" x14ac:dyDescent="0.25">
      <c r="A290" s="199" t="s">
        <v>41</v>
      </c>
      <c r="B290" s="10"/>
      <c r="C290" s="1665"/>
      <c r="D290" s="1689"/>
      <c r="E290" s="55"/>
      <c r="F290" s="55"/>
      <c r="G290" s="221"/>
      <c r="H290" s="221"/>
      <c r="I290" s="221"/>
      <c r="J290" s="222"/>
    </row>
    <row r="291" spans="1:10" x14ac:dyDescent="0.25">
      <c r="A291" s="199"/>
      <c r="B291" s="1031" t="s">
        <v>566</v>
      </c>
      <c r="C291" s="889" t="str">
        <f>'Sch 3B - Other Items'!C15</f>
        <v>114-117</v>
      </c>
      <c r="D291" s="889">
        <f>'Sch 3B - Other Items'!D15</f>
        <v>407.4</v>
      </c>
      <c r="E291" s="182" t="str">
        <f>'Sch 3B - Other Items'!E15</f>
        <v>DIRECT</v>
      </c>
      <c r="F291" s="890" t="str">
        <f>'Sch 3B - Other Items'!F15</f>
        <v>PROD</v>
      </c>
      <c r="G291" s="182">
        <f>'Sch 3B - Other Items'!G15</f>
        <v>0</v>
      </c>
      <c r="H291" s="182">
        <f>'Sch 3B - Other Items'!H15</f>
        <v>0</v>
      </c>
      <c r="I291" s="182">
        <f>'Sch 3B - Other Items'!I15</f>
        <v>0</v>
      </c>
      <c r="J291" s="182">
        <f>'Sch 3B - Other Items'!J15</f>
        <v>0</v>
      </c>
    </row>
    <row r="292" spans="1:10" x14ac:dyDescent="0.25">
      <c r="A292" s="199"/>
      <c r="B292" s="1032" t="s">
        <v>629</v>
      </c>
      <c r="C292" s="889" t="str">
        <f>'Sch 3B - Other Items'!C16</f>
        <v>114-117</v>
      </c>
      <c r="D292" s="889">
        <f>'Sch 3B - Other Items'!D16</f>
        <v>407.3</v>
      </c>
      <c r="E292" s="182" t="str">
        <f>'Sch 3B - Other Items'!E16</f>
        <v>DIRECT</v>
      </c>
      <c r="F292" s="890" t="str">
        <f>'Sch 3B - Other Items'!F16</f>
        <v>DIST</v>
      </c>
      <c r="G292" s="182">
        <f>'Sch 3B - Other Items'!G16</f>
        <v>5441242.9300000006</v>
      </c>
      <c r="H292" s="182">
        <f>'Sch 3B - Other Items'!H16</f>
        <v>739917.129723388</v>
      </c>
      <c r="I292" s="182">
        <f>'Sch 3B - Other Items'!I16</f>
        <v>0</v>
      </c>
      <c r="J292" s="182">
        <f>'Sch 3B - Other Items'!J16</f>
        <v>4701325.8002766119</v>
      </c>
    </row>
    <row r="293" spans="1:10" x14ac:dyDescent="0.25">
      <c r="A293" s="913"/>
      <c r="B293" s="1033" t="s">
        <v>390</v>
      </c>
      <c r="C293" s="889" t="str">
        <f>'Sch 3B - Other Items'!C17</f>
        <v>114-117</v>
      </c>
      <c r="D293" s="889">
        <f>'Sch 3B - Other Items'!D17</f>
        <v>411.6</v>
      </c>
      <c r="E293" s="182" t="str">
        <f>'Sch 3B - Other Items'!E17</f>
        <v>DIRECT</v>
      </c>
      <c r="F293" s="890" t="str">
        <f>'Sch 3B - Other Items'!F17</f>
        <v>PROD</v>
      </c>
      <c r="G293" s="182">
        <f>'Sch 3B - Other Items'!G17</f>
        <v>0</v>
      </c>
      <c r="H293" s="182">
        <f>'Sch 3B - Other Items'!H17</f>
        <v>0</v>
      </c>
      <c r="I293" s="182">
        <f>'Sch 3B - Other Items'!I17</f>
        <v>0</v>
      </c>
      <c r="J293" s="182">
        <f>'Sch 3B - Other Items'!J17</f>
        <v>0</v>
      </c>
    </row>
    <row r="294" spans="1:10" x14ac:dyDescent="0.25">
      <c r="A294" s="913"/>
      <c r="B294" s="1034" t="s">
        <v>630</v>
      </c>
      <c r="C294" s="889" t="str">
        <f>'Sch 3B - Other Items'!C18</f>
        <v>114-117</v>
      </c>
      <c r="D294" s="889" t="str">
        <f>'Sch 3B - Other Items'!D18</f>
        <v>411.7</v>
      </c>
      <c r="E294" s="182" t="str">
        <f>'Sch 3B - Other Items'!E18</f>
        <v>DIRECT</v>
      </c>
      <c r="F294" s="890" t="str">
        <f>'Sch 3B - Other Items'!F18</f>
        <v>DIST</v>
      </c>
      <c r="G294" s="182">
        <f>'Sch 3B - Other Items'!G18</f>
        <v>0</v>
      </c>
      <c r="H294" s="182">
        <f>'Sch 3B - Other Items'!H18</f>
        <v>0</v>
      </c>
      <c r="I294" s="182">
        <f>'Sch 3B - Other Items'!I18</f>
        <v>0</v>
      </c>
      <c r="J294" s="182">
        <f>'Sch 3B - Other Items'!J18</f>
        <v>0</v>
      </c>
    </row>
    <row r="295" spans="1:10" x14ac:dyDescent="0.25">
      <c r="A295" s="913"/>
      <c r="B295" s="1033" t="s">
        <v>391</v>
      </c>
      <c r="C295" s="889" t="str">
        <f>'Sch 3B - Other Items'!C19</f>
        <v>114-117</v>
      </c>
      <c r="D295" s="889">
        <f>'Sch 3B - Other Items'!D19</f>
        <v>411.8</v>
      </c>
      <c r="E295" s="182" t="str">
        <f>'Sch 3B - Other Items'!E19</f>
        <v>PROD</v>
      </c>
      <c r="F295" s="890">
        <f>'Sch 3B - Other Items'!F19</f>
        <v>0</v>
      </c>
      <c r="G295" s="182">
        <f>'Sch 3B - Other Items'!G19</f>
        <v>36.514148040899343</v>
      </c>
      <c r="H295" s="182">
        <f>'Sch 3B - Other Items'!H19</f>
        <v>36.514148040899343</v>
      </c>
      <c r="I295" s="182">
        <f>'Sch 3B - Other Items'!I19</f>
        <v>0</v>
      </c>
      <c r="J295" s="182">
        <f>'Sch 3B - Other Items'!J19</f>
        <v>0</v>
      </c>
    </row>
    <row r="296" spans="1:10" x14ac:dyDescent="0.25">
      <c r="A296" s="913"/>
      <c r="B296" s="1034" t="s">
        <v>631</v>
      </c>
      <c r="C296" s="889" t="str">
        <f>'Sch 3B - Other Items'!C20</f>
        <v>114-117</v>
      </c>
      <c r="D296" s="889">
        <f>'Sch 3B - Other Items'!D20</f>
        <v>411.9</v>
      </c>
      <c r="E296" s="182" t="str">
        <f>'Sch 3B - Other Items'!E20</f>
        <v>PROD</v>
      </c>
      <c r="F296" s="890">
        <f>'Sch 3B - Other Items'!F20</f>
        <v>0</v>
      </c>
      <c r="G296" s="182">
        <f>'Sch 3B - Other Items'!G20</f>
        <v>0</v>
      </c>
      <c r="H296" s="182">
        <f>'Sch 3B - Other Items'!H20</f>
        <v>0</v>
      </c>
      <c r="I296" s="182">
        <f>'Sch 3B - Other Items'!I20</f>
        <v>0</v>
      </c>
      <c r="J296" s="182">
        <f>'Sch 3B - Other Items'!J20</f>
        <v>0</v>
      </c>
    </row>
    <row r="297" spans="1:10" x14ac:dyDescent="0.25">
      <c r="A297" s="913"/>
      <c r="B297" s="1033" t="s">
        <v>181</v>
      </c>
      <c r="C297" s="889" t="str">
        <f>'Sch 3B - Other Items'!C21</f>
        <v>114-117</v>
      </c>
      <c r="D297" s="889">
        <f>'Sch 3B - Other Items'!D21</f>
        <v>421</v>
      </c>
      <c r="E297" s="182" t="str">
        <f>'Sch 3B - Other Items'!E21</f>
        <v>DIRECT</v>
      </c>
      <c r="F297" s="890" t="str">
        <f>'Sch 3B - Other Items'!F21</f>
        <v>PROD</v>
      </c>
      <c r="G297" s="182">
        <f>'Sch 3B - Other Items'!G21</f>
        <v>989991</v>
      </c>
      <c r="H297" s="182">
        <f>'Sch 3B - Other Items'!H21</f>
        <v>1739</v>
      </c>
      <c r="I297" s="182">
        <f>'Sch 3B - Other Items'!I21</f>
        <v>0</v>
      </c>
      <c r="J297" s="182">
        <f>'Sch 3B - Other Items'!J21</f>
        <v>988252</v>
      </c>
    </row>
    <row r="298" spans="1:10" x14ac:dyDescent="0.25">
      <c r="A298" s="209" t="s">
        <v>49</v>
      </c>
      <c r="B298" s="220"/>
      <c r="C298" s="915"/>
      <c r="D298" s="916"/>
      <c r="E298" s="916"/>
      <c r="F298" s="917"/>
      <c r="G298" s="1670">
        <f>'Sch 3B - Other Items'!G22</f>
        <v>-4451215.41585196</v>
      </c>
      <c r="H298" s="1670">
        <f>'Sch 3B - Other Items'!H22</f>
        <v>-738141.6155753471</v>
      </c>
      <c r="I298" s="1670">
        <f>'Sch 3B - Other Items'!I22</f>
        <v>0</v>
      </c>
      <c r="J298" s="1670">
        <f>'Sch 3B - Other Items'!J22</f>
        <v>-3713073.8002766119</v>
      </c>
    </row>
    <row r="299" spans="1:10" x14ac:dyDescent="0.25">
      <c r="A299" s="1690"/>
      <c r="B299" s="220"/>
      <c r="C299" s="1665"/>
      <c r="D299" s="1665"/>
      <c r="E299" s="55"/>
      <c r="F299" s="55"/>
      <c r="G299" s="221"/>
      <c r="H299" s="221"/>
      <c r="I299" s="221"/>
      <c r="J299" s="222"/>
    </row>
    <row r="300" spans="1:10" x14ac:dyDescent="0.25">
      <c r="A300" s="199" t="s">
        <v>632</v>
      </c>
      <c r="B300" s="220"/>
      <c r="C300" s="55"/>
      <c r="D300" s="55"/>
      <c r="E300" s="55"/>
      <c r="F300" s="55"/>
      <c r="G300" s="221"/>
      <c r="H300" s="221"/>
      <c r="I300" s="221"/>
      <c r="J300" s="222"/>
    </row>
    <row r="301" spans="1:10" x14ac:dyDescent="0.25">
      <c r="A301" s="199"/>
      <c r="B301" s="914" t="s">
        <v>64</v>
      </c>
      <c r="C301" s="889">
        <f>'Sch 3B - Other Items'!C25</f>
        <v>310</v>
      </c>
      <c r="D301" s="889">
        <f>'Sch 3B - Other Items'!D25</f>
        <v>447</v>
      </c>
      <c r="E301" s="182" t="str">
        <f>'Sch 3B - Other Items'!E25</f>
        <v>PROD</v>
      </c>
      <c r="F301" s="890">
        <f>'Sch 3B - Other Items'!F25</f>
        <v>0</v>
      </c>
      <c r="G301" s="182">
        <f>'Sch 3B - Other Items'!G25</f>
        <v>79486840.52681087</v>
      </c>
      <c r="H301" s="182">
        <f>'Sch 3B - Other Items'!H25</f>
        <v>79486840.52681087</v>
      </c>
      <c r="I301" s="182">
        <f>'Sch 3B - Other Items'!I25</f>
        <v>0</v>
      </c>
      <c r="J301" s="182">
        <f>'Sch 3B - Other Items'!J25</f>
        <v>0</v>
      </c>
    </row>
    <row r="302" spans="1:10" x14ac:dyDescent="0.25">
      <c r="A302" s="163" t="s">
        <v>65</v>
      </c>
      <c r="B302" s="64"/>
      <c r="C302" s="915"/>
      <c r="D302" s="916"/>
      <c r="E302" s="916"/>
      <c r="F302" s="917"/>
      <c r="G302" s="1670">
        <f>'Sch 3B - Other Items'!G26</f>
        <v>79486840.52681087</v>
      </c>
      <c r="H302" s="1670">
        <f>'Sch 3B - Other Items'!H26</f>
        <v>79486840.52681087</v>
      </c>
      <c r="I302" s="1670">
        <f>'Sch 3B - Other Items'!I26</f>
        <v>0</v>
      </c>
      <c r="J302" s="1671">
        <f>'Sch 3B - Other Items'!J26</f>
        <v>0</v>
      </c>
    </row>
    <row r="303" spans="1:10" x14ac:dyDescent="0.25">
      <c r="A303" s="228"/>
      <c r="B303" s="64"/>
      <c r="C303" s="55"/>
      <c r="D303" s="55"/>
      <c r="E303" s="55"/>
      <c r="F303" s="55"/>
      <c r="G303" s="221"/>
      <c r="H303" s="221"/>
      <c r="I303" s="221"/>
      <c r="J303" s="222"/>
    </row>
    <row r="304" spans="1:10" x14ac:dyDescent="0.25">
      <c r="A304" s="160" t="s">
        <v>43</v>
      </c>
      <c r="B304" s="64"/>
      <c r="C304" s="55"/>
      <c r="D304" s="55"/>
      <c r="E304" s="55"/>
      <c r="F304" s="55"/>
      <c r="G304" s="221"/>
      <c r="H304" s="221"/>
      <c r="I304" s="221"/>
      <c r="J304" s="222"/>
    </row>
    <row r="305" spans="1:10" x14ac:dyDescent="0.25">
      <c r="A305" s="913"/>
      <c r="B305" s="79" t="s">
        <v>327</v>
      </c>
      <c r="C305" s="889">
        <f>'Sch 3B - Other Items'!C29</f>
        <v>300</v>
      </c>
      <c r="D305" s="889">
        <f>'Sch 3B - Other Items'!D29</f>
        <v>450</v>
      </c>
      <c r="E305" s="182" t="str">
        <f>'Sch 3B - Other Items'!E29</f>
        <v>DIST</v>
      </c>
      <c r="F305" s="890">
        <f>'Sch 3B - Other Items'!F29</f>
        <v>0</v>
      </c>
      <c r="G305" s="182">
        <f>'Sch 3B - Other Items'!G29</f>
        <v>8515319.6916797031</v>
      </c>
      <c r="H305" s="182">
        <f>'Sch 3B - Other Items'!H29</f>
        <v>0</v>
      </c>
      <c r="I305" s="182">
        <f>'Sch 3B - Other Items'!I29</f>
        <v>0</v>
      </c>
      <c r="J305" s="182">
        <f>'Sch 3B - Other Items'!J29</f>
        <v>8515319.6916797031</v>
      </c>
    </row>
    <row r="306" spans="1:10" x14ac:dyDescent="0.25">
      <c r="A306" s="913"/>
      <c r="B306" s="79" t="s">
        <v>546</v>
      </c>
      <c r="C306" s="889">
        <f>'Sch 3B - Other Items'!C30</f>
        <v>300</v>
      </c>
      <c r="D306" s="889" t="str">
        <f>'Sch 3B - Other Items'!D30</f>
        <v>451</v>
      </c>
      <c r="E306" s="182" t="str">
        <f>'Sch 3B - Other Items'!E30</f>
        <v>DIST</v>
      </c>
      <c r="F306" s="890">
        <f>'Sch 3B - Other Items'!F30</f>
        <v>0</v>
      </c>
      <c r="G306" s="182">
        <f>'Sch 3B - Other Items'!G30</f>
        <v>1980493.0813357825</v>
      </c>
      <c r="H306" s="182">
        <f>'Sch 3B - Other Items'!H30</f>
        <v>0</v>
      </c>
      <c r="I306" s="182">
        <f>'Sch 3B - Other Items'!I30</f>
        <v>0</v>
      </c>
      <c r="J306" s="182">
        <f>'Sch 3B - Other Items'!J30</f>
        <v>1980493.0813357825</v>
      </c>
    </row>
    <row r="307" spans="1:10" x14ac:dyDescent="0.25">
      <c r="A307" s="913"/>
      <c r="B307" s="79" t="s">
        <v>545</v>
      </c>
      <c r="C307" s="889">
        <f>'Sch 3B - Other Items'!C31</f>
        <v>300</v>
      </c>
      <c r="D307" s="889" t="str">
        <f>'Sch 3B - Other Items'!D31</f>
        <v>453</v>
      </c>
      <c r="E307" s="182" t="str">
        <f>'Sch 3B - Other Items'!E31</f>
        <v>PROD</v>
      </c>
      <c r="F307" s="890">
        <f>'Sch 3B - Other Items'!F31</f>
        <v>0</v>
      </c>
      <c r="G307" s="182">
        <f>'Sch 3B - Other Items'!G31</f>
        <v>0</v>
      </c>
      <c r="H307" s="182">
        <f>'Sch 3B - Other Items'!H31</f>
        <v>0</v>
      </c>
      <c r="I307" s="182">
        <f>'Sch 3B - Other Items'!I31</f>
        <v>0</v>
      </c>
      <c r="J307" s="182">
        <f>'Sch 3B - Other Items'!J31</f>
        <v>0</v>
      </c>
    </row>
    <row r="308" spans="1:10" x14ac:dyDescent="0.25">
      <c r="A308" s="913"/>
      <c r="B308" s="79" t="s">
        <v>544</v>
      </c>
      <c r="C308" s="889">
        <f>'Sch 3B - Other Items'!C32</f>
        <v>300</v>
      </c>
      <c r="D308" s="889" t="str">
        <f>'Sch 3B - Other Items'!D32</f>
        <v>454</v>
      </c>
      <c r="E308" s="182" t="str">
        <f>'Sch 3B - Other Items'!E32</f>
        <v>TD</v>
      </c>
      <c r="F308" s="890">
        <f>'Sch 3B - Other Items'!F32</f>
        <v>0</v>
      </c>
      <c r="G308" s="182">
        <f>'Sch 3B - Other Items'!G32</f>
        <v>9825273.839957241</v>
      </c>
      <c r="H308" s="182">
        <f>'Sch 3B - Other Items'!H32</f>
        <v>0</v>
      </c>
      <c r="I308" s="182">
        <f>'Sch 3B - Other Items'!I32</f>
        <v>0</v>
      </c>
      <c r="J308" s="182">
        <f>'Sch 3B - Other Items'!J32</f>
        <v>9825273.839957241</v>
      </c>
    </row>
    <row r="309" spans="1:10" x14ac:dyDescent="0.25">
      <c r="A309" s="913"/>
      <c r="B309" s="79" t="s">
        <v>329</v>
      </c>
      <c r="C309" s="889">
        <f>'Sch 3B - Other Items'!C33</f>
        <v>300</v>
      </c>
      <c r="D309" s="889">
        <f>'Sch 3B - Other Items'!D33</f>
        <v>455</v>
      </c>
      <c r="E309" s="182" t="str">
        <f>'Sch 3B - Other Items'!E33</f>
        <v>DIST</v>
      </c>
      <c r="F309" s="890">
        <f>'Sch 3B - Other Items'!F33</f>
        <v>0</v>
      </c>
      <c r="G309" s="182">
        <f>'Sch 3B - Other Items'!G33</f>
        <v>0</v>
      </c>
      <c r="H309" s="182">
        <f>'Sch 3B - Other Items'!H33</f>
        <v>0</v>
      </c>
      <c r="I309" s="182">
        <f>'Sch 3B - Other Items'!I33</f>
        <v>0</v>
      </c>
      <c r="J309" s="182">
        <f>'Sch 3B - Other Items'!J33</f>
        <v>0</v>
      </c>
    </row>
    <row r="310" spans="1:10" x14ac:dyDescent="0.25">
      <c r="A310" s="913"/>
      <c r="B310" s="79" t="s">
        <v>328</v>
      </c>
      <c r="C310" s="889">
        <f>'Sch 3B - Other Items'!C34</f>
        <v>300</v>
      </c>
      <c r="D310" s="889" t="str">
        <f>'Sch 3B - Other Items'!D34</f>
        <v>456</v>
      </c>
      <c r="E310" s="182" t="str">
        <f>'Sch 3B - Other Items'!E34</f>
        <v>DIRECT</v>
      </c>
      <c r="F310" s="890" t="str">
        <f>'Sch 3B - Other Items'!F34</f>
        <v>PROD</v>
      </c>
      <c r="G310" s="182">
        <f>'Sch 3B - Other Items'!G34</f>
        <v>17726557.22997893</v>
      </c>
      <c r="H310" s="182">
        <f>'Sch 3B - Other Items'!H34</f>
        <v>16037718.522941926</v>
      </c>
      <c r="I310" s="182">
        <f>'Sch 3B - Other Items'!I34</f>
        <v>0</v>
      </c>
      <c r="J310" s="182">
        <f>'Sch 3B - Other Items'!J34</f>
        <v>1688838.7070370035</v>
      </c>
    </row>
    <row r="311" spans="1:10" x14ac:dyDescent="0.25">
      <c r="A311" s="913"/>
      <c r="B311" s="79" t="s">
        <v>503</v>
      </c>
      <c r="C311" s="889">
        <f>'Sch 3B - Other Items'!C35</f>
        <v>330</v>
      </c>
      <c r="D311" s="889">
        <f>'Sch 3B - Other Items'!D35</f>
        <v>456.1</v>
      </c>
      <c r="E311" s="182" t="str">
        <f>'Sch 3B - Other Items'!E35</f>
        <v>TRANS</v>
      </c>
      <c r="F311" s="890">
        <f>'Sch 3B - Other Items'!F35</f>
        <v>0</v>
      </c>
      <c r="G311" s="182">
        <f>'Sch 3B - Other Items'!G35</f>
        <v>63773432.108888477</v>
      </c>
      <c r="H311" s="182">
        <f>'Sch 3B - Other Items'!H35</f>
        <v>0</v>
      </c>
      <c r="I311" s="182">
        <f>'Sch 3B - Other Items'!I35</f>
        <v>0</v>
      </c>
      <c r="J311" s="182">
        <f>'Sch 3B - Other Items'!J35</f>
        <v>63773432.108888477</v>
      </c>
    </row>
    <row r="312" spans="1:10" x14ac:dyDescent="0.25">
      <c r="A312" s="199"/>
      <c r="B312" s="79"/>
      <c r="C312" s="55"/>
      <c r="D312" s="196"/>
      <c r="E312" s="55"/>
      <c r="F312" s="55"/>
      <c r="G312" s="221"/>
      <c r="H312" s="221"/>
      <c r="I312" s="221"/>
      <c r="J312" s="222"/>
    </row>
    <row r="313" spans="1:10" x14ac:dyDescent="0.25">
      <c r="A313" s="163" t="s">
        <v>48</v>
      </c>
      <c r="B313" s="64"/>
      <c r="C313" s="915"/>
      <c r="D313" s="916"/>
      <c r="E313" s="916"/>
      <c r="F313" s="917"/>
      <c r="G313" s="1670">
        <f>'Sch 3B - Other Items'!G37</f>
        <v>101821075.95184013</v>
      </c>
      <c r="H313" s="1670">
        <f>'Sch 3B - Other Items'!H37</f>
        <v>16037718.522941926</v>
      </c>
      <c r="I313" s="1670">
        <f>'Sch 3B - Other Items'!I37</f>
        <v>0</v>
      </c>
      <c r="J313" s="1671">
        <f>'Sch 3B - Other Items'!J37</f>
        <v>85783357.428898215</v>
      </c>
    </row>
    <row r="314" spans="1:10" x14ac:dyDescent="0.25">
      <c r="A314" s="163"/>
      <c r="B314" s="64"/>
      <c r="C314" s="55"/>
      <c r="D314" s="55"/>
      <c r="E314" s="55"/>
      <c r="F314" s="55"/>
      <c r="G314" s="1036"/>
      <c r="H314" s="1036"/>
      <c r="I314" s="1036"/>
      <c r="J314" s="1037"/>
    </row>
    <row r="315" spans="1:10" x14ac:dyDescent="0.25">
      <c r="A315" s="163" t="s">
        <v>49</v>
      </c>
      <c r="B315" s="64"/>
      <c r="C315" s="915"/>
      <c r="D315" s="916"/>
      <c r="E315" s="916"/>
      <c r="F315" s="917"/>
      <c r="G315" s="1670">
        <f>'Sch 3B - Other Items'!G39</f>
        <v>176856701.06279904</v>
      </c>
      <c r="H315" s="1670">
        <f>'Sch 3B - Other Items'!H39</f>
        <v>94786417.434177458</v>
      </c>
      <c r="I315" s="1670">
        <f>'Sch 3B - Other Items'!I39</f>
        <v>0</v>
      </c>
      <c r="J315" s="1671">
        <f>'Sch 3B - Other Items'!J39</f>
        <v>82070283.628621608</v>
      </c>
    </row>
    <row r="316" spans="1:10" x14ac:dyDescent="0.25">
      <c r="A316" s="923" t="s">
        <v>67</v>
      </c>
      <c r="B316" s="64"/>
      <c r="C316" s="79"/>
      <c r="D316" s="79"/>
      <c r="E316" s="79"/>
      <c r="F316" s="79"/>
      <c r="G316" s="79"/>
      <c r="H316" s="79"/>
      <c r="I316" s="79"/>
      <c r="J316" s="1038"/>
    </row>
    <row r="317" spans="1:10" ht="16.5" thickBot="1" x14ac:dyDescent="0.3">
      <c r="A317" s="1691"/>
      <c r="B317" s="1692"/>
      <c r="C317" s="1692"/>
      <c r="D317" s="1692"/>
      <c r="E317" s="1692"/>
      <c r="F317" s="1692"/>
      <c r="G317" s="1692"/>
      <c r="H317" s="1692"/>
      <c r="I317" s="1692"/>
      <c r="J317" s="204"/>
    </row>
    <row r="318" spans="1:10" ht="17.25" thickTop="1" thickBot="1" x14ac:dyDescent="0.3">
      <c r="A318" s="1039" t="s">
        <v>66</v>
      </c>
      <c r="B318" s="1040"/>
      <c r="C318" s="1040"/>
      <c r="D318" s="1040"/>
      <c r="E318" s="1040"/>
      <c r="F318" s="1041"/>
      <c r="G318" s="1041"/>
      <c r="H318" s="1041"/>
      <c r="I318" s="1040"/>
      <c r="J318" s="1040"/>
    </row>
    <row r="319" spans="1:10" x14ac:dyDescent="0.25">
      <c r="A319" s="1042"/>
      <c r="B319" s="1693"/>
      <c r="C319" s="1694"/>
      <c r="D319" s="1694"/>
      <c r="E319" s="1694"/>
      <c r="F319" s="1694"/>
      <c r="G319" s="1693"/>
      <c r="H319" s="1693"/>
      <c r="I319" s="1693"/>
      <c r="J319" s="1695"/>
    </row>
    <row r="320" spans="1:10" ht="16.5" thickBot="1" x14ac:dyDescent="0.3">
      <c r="A320" s="1046"/>
      <c r="B320" s="1657"/>
      <c r="G320" s="1047"/>
      <c r="H320" s="1047"/>
      <c r="I320" s="1047"/>
      <c r="J320" s="1048"/>
    </row>
    <row r="321" spans="1:10" ht="16.5" thickBot="1" x14ac:dyDescent="0.3">
      <c r="A321" s="1696"/>
      <c r="G321" s="305" t="str">
        <f>'Sch 4 - Average System Cost'!C12</f>
        <v>Total</v>
      </c>
      <c r="H321" s="305" t="str">
        <f>'Sch 4 - Average System Cost'!D12</f>
        <v>Production</v>
      </c>
      <c r="I321" s="305" t="str">
        <f>'Sch 4 - Average System Cost'!E12</f>
        <v>Transmission</v>
      </c>
      <c r="J321" s="305" t="str">
        <f>'Sch 4 - Average System Cost'!F12</f>
        <v>Distribution/Other</v>
      </c>
    </row>
    <row r="322" spans="1:10" ht="16.5" thickBot="1" x14ac:dyDescent="0.3">
      <c r="A322" s="1050" t="s">
        <v>50</v>
      </c>
      <c r="B322" s="1665"/>
      <c r="G322" s="1697">
        <f>'Sch 4 - Average System Cost'!C13</f>
        <v>3229555827.293632</v>
      </c>
      <c r="H322" s="1697">
        <f>'Sch 4 - Average System Cost'!D13</f>
        <v>2306462730.3009195</v>
      </c>
      <c r="I322" s="1697">
        <f>'Sch 4 - Average System Cost'!E13</f>
        <v>0</v>
      </c>
      <c r="J322" s="1697">
        <f>'Sch 4 - Average System Cost'!F13</f>
        <v>923118347.54036522</v>
      </c>
    </row>
    <row r="323" spans="1:10" x14ac:dyDescent="0.25">
      <c r="A323" s="1051" t="s">
        <v>68</v>
      </c>
      <c r="B323" s="1665"/>
      <c r="G323" s="221"/>
      <c r="H323" s="221"/>
      <c r="I323" s="221"/>
      <c r="J323" s="1052"/>
    </row>
    <row r="324" spans="1:10" ht="16.5" thickBot="1" x14ac:dyDescent="0.3">
      <c r="A324" s="1051"/>
      <c r="B324" s="1665"/>
      <c r="G324" s="221"/>
      <c r="H324" s="221"/>
      <c r="I324" s="221"/>
      <c r="J324" s="1052"/>
    </row>
    <row r="325" spans="1:10" ht="16.5" thickBot="1" x14ac:dyDescent="0.3">
      <c r="A325" s="1050" t="s">
        <v>141</v>
      </c>
      <c r="B325" s="1665"/>
      <c r="G325" s="1697">
        <f>'Sch 4 - Average System Cost'!C16</f>
        <v>835755641.72235751</v>
      </c>
      <c r="H325" s="1697">
        <f>'Sch 4 - Average System Cost'!D16</f>
        <v>341699295.91574723</v>
      </c>
      <c r="I325" s="1697">
        <f>'Sch 4 - Average System Cost'!E16</f>
        <v>2011425.3370538021</v>
      </c>
      <c r="J325" s="1697">
        <f>'Sch 4 - Average System Cost'!F16</f>
        <v>491959942.95840907</v>
      </c>
    </row>
    <row r="326" spans="1:10" x14ac:dyDescent="0.25">
      <c r="A326" s="1051" t="s">
        <v>254</v>
      </c>
      <c r="B326" s="1665"/>
      <c r="G326" s="221"/>
      <c r="H326" s="221"/>
      <c r="I326" s="221"/>
      <c r="J326" s="1052"/>
    </row>
    <row r="327" spans="1:10" ht="16.5" thickBot="1" x14ac:dyDescent="0.3">
      <c r="A327" s="1051"/>
      <c r="B327" s="1665"/>
      <c r="G327" s="221"/>
      <c r="H327" s="221"/>
      <c r="I327" s="221"/>
      <c r="J327" s="1052"/>
    </row>
    <row r="328" spans="1:10" ht="16.5" thickBot="1" x14ac:dyDescent="0.3">
      <c r="A328" s="1050" t="s">
        <v>39</v>
      </c>
      <c r="B328" s="1665"/>
      <c r="G328" s="1697">
        <f>'Sch 4 - Average System Cost'!C19</f>
        <v>137802796.81183705</v>
      </c>
      <c r="H328" s="1697">
        <f>'Sch 4 - Average System Cost'!D19</f>
        <v>35759725.361573324</v>
      </c>
      <c r="I328" s="1697">
        <f>'Sch 4 - Average System Cost'!E19</f>
        <v>0</v>
      </c>
      <c r="J328" s="1697">
        <f>'Sch 4 - Average System Cost'!F19</f>
        <v>102049351.82938071</v>
      </c>
    </row>
    <row r="329" spans="1:10" x14ac:dyDescent="0.25">
      <c r="A329" s="1051" t="s">
        <v>161</v>
      </c>
      <c r="B329" s="1665"/>
      <c r="G329" s="221"/>
      <c r="H329" s="221"/>
      <c r="I329" s="221"/>
      <c r="J329" s="1052"/>
    </row>
    <row r="330" spans="1:10" ht="16.5" thickBot="1" x14ac:dyDescent="0.3">
      <c r="A330" s="1051"/>
      <c r="B330" s="1665"/>
      <c r="G330" s="221"/>
      <c r="H330" s="221"/>
      <c r="I330" s="221"/>
      <c r="J330" s="1052"/>
    </row>
    <row r="331" spans="1:10" ht="16.5" thickBot="1" x14ac:dyDescent="0.3">
      <c r="A331" s="1050" t="s">
        <v>49</v>
      </c>
      <c r="B331" s="1665"/>
      <c r="G331" s="1697">
        <f>'Sch 4 - Average System Cost'!C22</f>
        <v>176856701.06279904</v>
      </c>
      <c r="H331" s="1697">
        <f>'Sch 4 - Average System Cost'!D22</f>
        <v>94786417.434177458</v>
      </c>
      <c r="I331" s="1697">
        <f>'Sch 4 - Average System Cost'!E22</f>
        <v>0</v>
      </c>
      <c r="J331" s="1697">
        <f>'Sch 4 - Average System Cost'!F22</f>
        <v>82070283.628621608</v>
      </c>
    </row>
    <row r="332" spans="1:10" x14ac:dyDescent="0.25">
      <c r="A332" s="1051" t="s">
        <v>504</v>
      </c>
      <c r="B332" s="1665"/>
      <c r="G332" s="221"/>
      <c r="H332" s="221"/>
      <c r="I332" s="221"/>
      <c r="J332" s="1052"/>
    </row>
    <row r="333" spans="1:10" ht="16.5" thickBot="1" x14ac:dyDescent="0.3">
      <c r="A333" s="1051"/>
      <c r="B333" s="1665"/>
      <c r="G333" s="221"/>
      <c r="H333" s="221"/>
      <c r="I333" s="221"/>
      <c r="J333" s="1052"/>
    </row>
    <row r="334" spans="1:10" ht="16.5" thickBot="1" x14ac:dyDescent="0.3">
      <c r="A334" s="1050" t="s">
        <v>51</v>
      </c>
      <c r="B334" s="1665"/>
      <c r="G334" s="1698">
        <f>'Sch 4 - Average System Cost'!C25</f>
        <v>4026257564.7650275</v>
      </c>
      <c r="H334" s="1698">
        <f>'Sch 4 - Average System Cost'!D25</f>
        <v>2589135334.1440625</v>
      </c>
      <c r="I334" s="1698">
        <f>'Sch 4 - Average System Cost'!E25</f>
        <v>2011425.3370538021</v>
      </c>
      <c r="J334" s="1698">
        <f>'Sch 4 - Average System Cost'!F25</f>
        <v>1435057358.6995335</v>
      </c>
    </row>
    <row r="335" spans="1:10" x14ac:dyDescent="0.25">
      <c r="A335" s="1051" t="s">
        <v>251</v>
      </c>
      <c r="B335" s="64"/>
      <c r="G335" s="1699"/>
      <c r="H335" s="1665"/>
      <c r="I335" s="1665"/>
      <c r="J335" s="1700"/>
    </row>
    <row r="336" spans="1:10" x14ac:dyDescent="0.25">
      <c r="A336" s="1696"/>
      <c r="J336" s="1701"/>
    </row>
    <row r="337" spans="1:10" ht="16.5" thickBot="1" x14ac:dyDescent="0.3">
      <c r="A337" s="1702"/>
      <c r="B337" s="1703"/>
      <c r="C337" s="1703"/>
      <c r="D337" s="1703"/>
      <c r="E337" s="1703"/>
      <c r="F337" s="1703"/>
      <c r="G337" s="1703"/>
      <c r="H337" s="1703"/>
      <c r="I337" s="1703"/>
      <c r="J337" s="1704"/>
    </row>
    <row r="338" spans="1:10" ht="16.5" thickBot="1" x14ac:dyDescent="0.3">
      <c r="A338" s="1705" t="s">
        <v>505</v>
      </c>
      <c r="B338" s="1705" t="s">
        <v>505</v>
      </c>
      <c r="C338" s="1665"/>
      <c r="D338" s="1665"/>
      <c r="E338" s="1665"/>
      <c r="F338" s="1665"/>
      <c r="G338" s="1665"/>
      <c r="H338" s="1665"/>
      <c r="I338" s="1665"/>
      <c r="J338" s="1665"/>
    </row>
    <row r="339" spans="1:10" x14ac:dyDescent="0.25">
      <c r="A339" s="228" t="s">
        <v>319</v>
      </c>
      <c r="B339" s="1665" t="s">
        <v>319</v>
      </c>
      <c r="G339" s="1665"/>
      <c r="H339" s="1706">
        <f>'Sch 4 - Average System Cost'!D32</f>
        <v>2589135334.1440625</v>
      </c>
      <c r="I339" s="1665"/>
      <c r="J339" s="1665"/>
    </row>
    <row r="340" spans="1:10" x14ac:dyDescent="0.25">
      <c r="A340" s="228" t="s">
        <v>106</v>
      </c>
      <c r="B340" s="1665" t="s">
        <v>106</v>
      </c>
      <c r="G340" s="1665"/>
      <c r="H340" s="229">
        <f>'Sch 4 - Average System Cost'!D33</f>
        <v>2011425.3370538021</v>
      </c>
      <c r="I340" s="1665"/>
      <c r="J340" s="1665"/>
    </row>
    <row r="341" spans="1:10" x14ac:dyDescent="0.25">
      <c r="A341" s="228" t="s">
        <v>509</v>
      </c>
      <c r="B341" s="1665" t="s">
        <v>509</v>
      </c>
      <c r="G341" s="1665"/>
      <c r="H341" s="229">
        <f>'Sch 4 - Average System Cost'!D34</f>
        <v>0</v>
      </c>
      <c r="I341" s="1665"/>
      <c r="J341" s="1665"/>
    </row>
    <row r="342" spans="1:10" ht="16.5" thickBot="1" x14ac:dyDescent="0.3">
      <c r="A342" s="228" t="s">
        <v>850</v>
      </c>
      <c r="B342" s="1665" t="s">
        <v>850</v>
      </c>
      <c r="G342" s="1665"/>
      <c r="H342" s="229">
        <f>'Sch 4 - Average System Cost'!D35</f>
        <v>0</v>
      </c>
      <c r="I342" s="1665"/>
      <c r="J342" s="1665"/>
    </row>
    <row r="343" spans="1:10" ht="16.5" thickBot="1" x14ac:dyDescent="0.3">
      <c r="A343" s="160" t="s">
        <v>506</v>
      </c>
      <c r="B343" s="1665" t="s">
        <v>506</v>
      </c>
      <c r="G343" s="1665"/>
      <c r="H343" s="1698">
        <f>'Sch 4 - Average System Cost'!D36</f>
        <v>2591146759.4811163</v>
      </c>
      <c r="I343" s="1665"/>
      <c r="J343" s="1665"/>
    </row>
    <row r="344" spans="1:10" ht="16.5" thickBot="1" x14ac:dyDescent="0.3">
      <c r="A344" s="228"/>
      <c r="B344" s="1665"/>
      <c r="G344" s="1665"/>
      <c r="H344" s="595"/>
      <c r="I344" s="1665"/>
      <c r="J344" s="1665"/>
    </row>
    <row r="345" spans="1:10" ht="16.5" thickBot="1" x14ac:dyDescent="0.3">
      <c r="A345" s="1705" t="s">
        <v>507</v>
      </c>
      <c r="B345" s="1705" t="s">
        <v>507</v>
      </c>
      <c r="G345" s="1665"/>
      <c r="H345"/>
      <c r="I345" s="1665"/>
      <c r="J345" s="1665"/>
    </row>
    <row r="346" spans="1:10" x14ac:dyDescent="0.25">
      <c r="A346" s="228" t="s">
        <v>320</v>
      </c>
      <c r="B346" s="1665" t="s">
        <v>320</v>
      </c>
      <c r="G346" s="1665"/>
      <c r="H346" s="1707">
        <f>'Sch 4 - Average System Cost'!D39</f>
        <v>21294859</v>
      </c>
      <c r="I346"/>
      <c r="J346"/>
    </row>
    <row r="347" spans="1:10" x14ac:dyDescent="0.25">
      <c r="A347" s="228" t="s">
        <v>321</v>
      </c>
      <c r="B347" s="1665" t="s">
        <v>321</v>
      </c>
      <c r="G347" s="1665"/>
      <c r="H347" s="1708">
        <f>'Sch 4 - Average System Cost'!D40</f>
        <v>0</v>
      </c>
      <c r="I347" s="1065" t="s">
        <v>633</v>
      </c>
      <c r="J347" s="1064">
        <f>'Sch 4 - Average System Cost'!F45</f>
        <v>1348351</v>
      </c>
    </row>
    <row r="348" spans="1:10" x14ac:dyDescent="0.25">
      <c r="A348" s="228" t="s">
        <v>510</v>
      </c>
      <c r="B348" s="1665" t="s">
        <v>510</v>
      </c>
      <c r="G348" s="1665"/>
      <c r="H348" s="1708">
        <f>'Sch 4 - Average System Cost'!D41</f>
        <v>21294859</v>
      </c>
      <c r="I348" s="1709"/>
      <c r="J348" s="1665"/>
    </row>
    <row r="349" spans="1:10" x14ac:dyDescent="0.25">
      <c r="A349" s="228" t="s">
        <v>176</v>
      </c>
      <c r="B349" s="1665" t="s">
        <v>176</v>
      </c>
      <c r="G349" s="1665"/>
      <c r="H349" s="1708">
        <f>'Sch 4 - Average System Cost'!D42</f>
        <v>1007459.77929</v>
      </c>
      <c r="I349" s="1709" t="s">
        <v>851</v>
      </c>
      <c r="J349"/>
    </row>
    <row r="350" spans="1:10" ht="16.5" thickBot="1" x14ac:dyDescent="0.3">
      <c r="A350" s="228" t="s">
        <v>743</v>
      </c>
      <c r="B350" s="1665" t="s">
        <v>743</v>
      </c>
      <c r="G350" s="1665"/>
      <c r="H350" s="1708">
        <f>'Sch 4 - Average System Cost'!D43</f>
        <v>0</v>
      </c>
      <c r="I350" s="1065" t="s">
        <v>852</v>
      </c>
      <c r="J350" s="1064">
        <f>'Sch 4 - Average System Cost'!F48</f>
        <v>0</v>
      </c>
    </row>
    <row r="351" spans="1:10" ht="16.5" thickBot="1" x14ac:dyDescent="0.3">
      <c r="A351" s="1705" t="s">
        <v>508</v>
      </c>
      <c r="B351" s="1705" t="s">
        <v>508</v>
      </c>
      <c r="G351" s="1710"/>
      <c r="H351" s="1711">
        <f>'Sch 4 - Average System Cost'!D44</f>
        <v>22302318.779289998</v>
      </c>
      <c r="I351" s="1710"/>
      <c r="J351" s="1710"/>
    </row>
    <row r="352" spans="1:10" ht="16.5" thickBot="1" x14ac:dyDescent="0.3">
      <c r="A352" s="165"/>
      <c r="B352" s="1665"/>
      <c r="G352" s="1665"/>
      <c r="H352" s="1712"/>
      <c r="I352" s="1665"/>
      <c r="J352" s="1665"/>
    </row>
    <row r="353" spans="1:10" ht="19.5" thickBot="1" x14ac:dyDescent="0.35">
      <c r="A353" s="1713" t="s">
        <v>322</v>
      </c>
      <c r="B353" s="1713" t="s">
        <v>322</v>
      </c>
      <c r="G353" s="1665"/>
      <c r="H353" s="1714">
        <f>'Sch 4 - Average System Cost'!D46</f>
        <v>116.18284112624482</v>
      </c>
      <c r="I353" s="1665"/>
      <c r="J353" s="1665"/>
    </row>
    <row r="354" spans="1:10" x14ac:dyDescent="0.25">
      <c r="A354" s="603"/>
      <c r="B354" s="1665"/>
      <c r="G354" s="1665"/>
      <c r="H354" s="1712"/>
      <c r="I354" s="1665"/>
      <c r="J354" s="1665"/>
    </row>
    <row r="355" spans="1:10" x14ac:dyDescent="0.25">
      <c r="A355" s="603"/>
      <c r="B355" s="1665"/>
      <c r="G355" s="1665"/>
      <c r="H355" s="1712"/>
      <c r="I355" s="1665"/>
      <c r="J355" s="1665"/>
    </row>
    <row r="356" spans="1:10" x14ac:dyDescent="0.25">
      <c r="A356" s="603"/>
      <c r="B356" s="1665"/>
      <c r="G356" s="1665"/>
      <c r="H356" s="1712"/>
      <c r="I356" s="1665"/>
      <c r="J356" s="1665"/>
    </row>
    <row r="357" spans="1:10" x14ac:dyDescent="0.25">
      <c r="A357" s="603"/>
      <c r="B357" s="1665"/>
      <c r="G357" s="1665"/>
      <c r="H357" s="1712"/>
      <c r="I357" s="1665"/>
      <c r="J357" s="1665"/>
    </row>
    <row r="358" spans="1:10" x14ac:dyDescent="0.25">
      <c r="A358" s="603"/>
      <c r="B358" s="1665"/>
      <c r="G358" s="1665"/>
      <c r="H358" s="1712"/>
      <c r="I358" s="1665"/>
      <c r="J358" s="1665"/>
    </row>
    <row r="359" spans="1:10" x14ac:dyDescent="0.25">
      <c r="A359" s="603"/>
      <c r="B359" s="1665"/>
      <c r="G359" s="1665"/>
      <c r="H359" s="1712"/>
      <c r="I359" s="1665"/>
      <c r="J359" s="1665"/>
    </row>
    <row r="361" spans="1:10" ht="16.5" thickBot="1" x14ac:dyDescent="0.3"/>
    <row r="362" spans="1:10" ht="16.5" thickTop="1" x14ac:dyDescent="0.25">
      <c r="A362" s="1715"/>
      <c r="E362" s="3758" t="s">
        <v>354</v>
      </c>
      <c r="F362" s="3759"/>
      <c r="G362" s="3762" t="s">
        <v>104</v>
      </c>
      <c r="H362" s="3765" t="s">
        <v>105</v>
      </c>
      <c r="I362" s="3768" t="s">
        <v>106</v>
      </c>
      <c r="J362" s="326"/>
    </row>
    <row r="363" spans="1:10" ht="16.5" thickBot="1" x14ac:dyDescent="0.3">
      <c r="A363" s="1716"/>
      <c r="B363" s="1717"/>
      <c r="C363" s="1717"/>
      <c r="D363" s="1717"/>
      <c r="E363" s="3760"/>
      <c r="F363" s="3761"/>
      <c r="G363" s="3763"/>
      <c r="H363" s="3766"/>
      <c r="I363" s="3754"/>
      <c r="J363" s="310" t="s">
        <v>98</v>
      </c>
    </row>
    <row r="364" spans="1:10" ht="16.5" thickBot="1" x14ac:dyDescent="0.3">
      <c r="A364" s="107" t="s">
        <v>517</v>
      </c>
      <c r="B364" s="108"/>
      <c r="C364" s="1717"/>
      <c r="D364" s="1717"/>
      <c r="E364" s="311" t="s">
        <v>450</v>
      </c>
      <c r="F364" s="311" t="s">
        <v>619</v>
      </c>
      <c r="G364" s="3764"/>
      <c r="H364" s="3767"/>
      <c r="I364" s="3769"/>
      <c r="J364" s="314" t="s">
        <v>107</v>
      </c>
    </row>
    <row r="365" spans="1:10" ht="16.5" thickTop="1" x14ac:dyDescent="0.25">
      <c r="A365" s="107"/>
      <c r="B365" s="108" t="s">
        <v>853</v>
      </c>
      <c r="C365" s="1717"/>
      <c r="D365" s="1717"/>
      <c r="E365" s="182" t="str">
        <f>Ratios!C13</f>
        <v>PROD</v>
      </c>
      <c r="F365" s="890"/>
      <c r="G365" s="182">
        <f>Ratios!D13</f>
        <v>143401785</v>
      </c>
      <c r="H365" s="182">
        <f>Ratios!E13</f>
        <v>143401785</v>
      </c>
      <c r="I365" s="182">
        <f>Ratios!F13</f>
        <v>0</v>
      </c>
      <c r="J365" s="182">
        <f>Ratios!G13</f>
        <v>0</v>
      </c>
    </row>
    <row r="366" spans="1:10" x14ac:dyDescent="0.25">
      <c r="A366" s="107"/>
      <c r="B366" s="108" t="s">
        <v>854</v>
      </c>
      <c r="C366" s="1717"/>
      <c r="D366" s="1717"/>
      <c r="E366" s="182" t="str">
        <f>Ratios!C14</f>
        <v>TRANS</v>
      </c>
      <c r="F366" s="889"/>
      <c r="G366" s="182">
        <f>Ratios!D14</f>
        <v>33170529</v>
      </c>
      <c r="H366" s="182">
        <f>Ratios!E14</f>
        <v>0</v>
      </c>
      <c r="I366" s="182">
        <f>Ratios!F14</f>
        <v>0</v>
      </c>
      <c r="J366" s="182">
        <f>Ratios!G14</f>
        <v>33170529</v>
      </c>
    </row>
    <row r="367" spans="1:10" x14ac:dyDescent="0.25">
      <c r="A367" s="107"/>
      <c r="B367" s="108" t="s">
        <v>855</v>
      </c>
      <c r="C367" s="1717"/>
      <c r="D367" s="1717"/>
      <c r="E367" s="182" t="str">
        <f>Ratios!C15</f>
        <v>DIST</v>
      </c>
      <c r="F367" s="889"/>
      <c r="G367" s="182">
        <f>Ratios!D15</f>
        <v>131214060</v>
      </c>
      <c r="H367" s="182">
        <f>Ratios!E15</f>
        <v>0</v>
      </c>
      <c r="I367" s="182">
        <f>Ratios!F15</f>
        <v>0</v>
      </c>
      <c r="J367" s="182">
        <f>Ratios!G15</f>
        <v>131214060</v>
      </c>
    </row>
    <row r="368" spans="1:10" x14ac:dyDescent="0.25">
      <c r="A368" s="107"/>
      <c r="B368" s="108" t="s">
        <v>856</v>
      </c>
      <c r="C368" s="1717"/>
      <c r="D368" s="1717"/>
      <c r="E368" s="182" t="str">
        <f>Ratios!C16</f>
        <v>DIST</v>
      </c>
      <c r="F368" s="889"/>
      <c r="G368" s="182">
        <f>Ratios!D16</f>
        <v>29892118</v>
      </c>
      <c r="H368" s="182">
        <f>Ratios!E16</f>
        <v>0</v>
      </c>
      <c r="I368" s="182">
        <f>Ratios!F16</f>
        <v>0</v>
      </c>
      <c r="J368" s="182">
        <f>Ratios!G16</f>
        <v>29892118</v>
      </c>
    </row>
    <row r="369" spans="1:10" x14ac:dyDescent="0.25">
      <c r="A369" s="107"/>
      <c r="B369" s="108" t="s">
        <v>857</v>
      </c>
      <c r="C369" s="1717"/>
      <c r="D369" s="1717"/>
      <c r="E369" s="182" t="str">
        <f>Ratios!C17</f>
        <v>DIST</v>
      </c>
      <c r="F369" s="889"/>
      <c r="G369" s="182">
        <f>Ratios!D17</f>
        <v>8580394</v>
      </c>
      <c r="H369" s="182">
        <f>Ratios!E17</f>
        <v>0</v>
      </c>
      <c r="I369" s="182">
        <f>Ratios!F17</f>
        <v>0</v>
      </c>
      <c r="J369" s="182">
        <f>Ratios!G17</f>
        <v>8580394</v>
      </c>
    </row>
    <row r="370" spans="1:10" x14ac:dyDescent="0.25">
      <c r="A370" s="107"/>
      <c r="B370" s="108" t="s">
        <v>858</v>
      </c>
      <c r="C370" s="1717"/>
      <c r="D370" s="1717"/>
      <c r="E370" s="182" t="str">
        <f>Ratios!C18</f>
        <v>DIST</v>
      </c>
      <c r="F370" s="889"/>
      <c r="G370" s="182">
        <f>Ratios!D18</f>
        <v>0</v>
      </c>
      <c r="H370" s="182">
        <f>Ratios!E18</f>
        <v>0</v>
      </c>
      <c r="I370" s="182">
        <f>Ratios!F18</f>
        <v>0</v>
      </c>
      <c r="J370" s="182">
        <f>Ratios!G18</f>
        <v>0</v>
      </c>
    </row>
    <row r="371" spans="1:10" x14ac:dyDescent="0.25">
      <c r="A371" s="107"/>
      <c r="B371" s="108" t="s">
        <v>859</v>
      </c>
      <c r="C371" s="1717"/>
      <c r="D371" s="1717"/>
      <c r="E371" s="182" t="str">
        <f>Ratios!C19</f>
        <v>PTD</v>
      </c>
      <c r="F371" s="889"/>
      <c r="G371" s="182">
        <f>Ratios!D19</f>
        <v>40158501</v>
      </c>
      <c r="H371" s="182">
        <f>Ratios!E19</f>
        <v>17677617.280825108</v>
      </c>
      <c r="I371" s="182">
        <f>Ratios!F19</f>
        <v>0</v>
      </c>
      <c r="J371" s="182">
        <f>Ratios!G19</f>
        <v>22480883.719174888</v>
      </c>
    </row>
    <row r="372" spans="1:10" x14ac:dyDescent="0.25">
      <c r="A372" s="1718"/>
      <c r="B372" s="839"/>
      <c r="C372" s="1717"/>
      <c r="D372" s="1717"/>
      <c r="E372" s="1717"/>
      <c r="F372" s="1717"/>
      <c r="G372" s="1719"/>
      <c r="H372" s="1719"/>
      <c r="I372" s="1719"/>
      <c r="J372" s="1719"/>
    </row>
    <row r="373" spans="1:10" x14ac:dyDescent="0.25">
      <c r="A373" s="107" t="s">
        <v>519</v>
      </c>
      <c r="B373" s="108"/>
      <c r="C373" s="1717"/>
      <c r="D373" s="1717"/>
      <c r="E373" s="1720"/>
      <c r="F373" s="1721"/>
      <c r="G373" s="1722">
        <f>Ratios!D21</f>
        <v>386417387</v>
      </c>
      <c r="H373" s="1722">
        <f>Ratios!E21</f>
        <v>161079402.28082511</v>
      </c>
      <c r="I373" s="1722">
        <f>Ratios!F21</f>
        <v>0</v>
      </c>
      <c r="J373" s="1722">
        <f>Ratios!G21</f>
        <v>225337984.71917489</v>
      </c>
    </row>
    <row r="374" spans="1:10" x14ac:dyDescent="0.25">
      <c r="A374" s="1716"/>
      <c r="B374" s="1717"/>
      <c r="C374" s="1717"/>
      <c r="D374" s="1717"/>
      <c r="E374" s="1717"/>
      <c r="F374" s="1717"/>
      <c r="G374" s="1723">
        <f>Ratios!D22</f>
        <v>1</v>
      </c>
      <c r="H374" s="1723">
        <f>Ratios!E22</f>
        <v>0.41685340178759894</v>
      </c>
      <c r="I374" s="1723">
        <f>Ratios!F22</f>
        <v>0</v>
      </c>
      <c r="J374" s="1723">
        <f>Ratios!G22</f>
        <v>0.58314659821240111</v>
      </c>
    </row>
    <row r="375" spans="1:10" x14ac:dyDescent="0.25">
      <c r="A375" s="1716"/>
      <c r="B375" s="1717"/>
      <c r="C375" s="1717"/>
      <c r="D375" s="1717"/>
      <c r="E375" s="1717"/>
      <c r="F375" s="1717"/>
      <c r="G375" s="1724"/>
      <c r="H375" s="1725"/>
      <c r="I375" s="1725"/>
      <c r="J375" s="1725"/>
    </row>
    <row r="376" spans="1:10" x14ac:dyDescent="0.25">
      <c r="A376" s="1716"/>
      <c r="B376" s="1717"/>
      <c r="C376" s="1717"/>
      <c r="D376" s="1717"/>
      <c r="E376" s="1717"/>
      <c r="F376" s="1717"/>
      <c r="G376" s="1724"/>
      <c r="H376" s="1725"/>
      <c r="I376" s="1725"/>
      <c r="J376" s="1725"/>
    </row>
    <row r="377" spans="1:10" ht="16.5" thickBot="1" x14ac:dyDescent="0.3">
      <c r="A377" s="1716"/>
      <c r="B377" s="1717"/>
      <c r="C377" s="10"/>
      <c r="D377" s="196"/>
      <c r="E377" s="1717"/>
      <c r="F377" s="1717"/>
      <c r="G377" s="1724"/>
      <c r="H377" s="1725"/>
      <c r="I377" s="1725"/>
      <c r="J377" s="1725"/>
    </row>
    <row r="378" spans="1:10" ht="17.25" thickTop="1" thickBot="1" x14ac:dyDescent="0.3">
      <c r="A378" s="1716"/>
      <c r="B378" s="1726" t="s">
        <v>347</v>
      </c>
      <c r="C378" s="1727"/>
      <c r="D378" s="1082"/>
      <c r="E378" s="1082"/>
      <c r="F378" s="1082"/>
      <c r="G378" s="1083"/>
      <c r="H378" s="1725"/>
      <c r="I378" s="1725"/>
      <c r="J378" s="1725"/>
    </row>
    <row r="379" spans="1:10" ht="16.5" thickBot="1" x14ac:dyDescent="0.3">
      <c r="A379" s="1716"/>
      <c r="B379" s="107"/>
      <c r="C379" s="108"/>
      <c r="D379" s="1728"/>
      <c r="E379" s="1087"/>
      <c r="F379" s="1087"/>
      <c r="G379" s="1087"/>
      <c r="H379" s="1725"/>
      <c r="I379" s="1725"/>
      <c r="J379" s="1725"/>
    </row>
    <row r="380" spans="1:10" ht="16.5" thickBot="1" x14ac:dyDescent="0.3">
      <c r="A380" s="1716"/>
      <c r="B380" s="107" t="s">
        <v>532</v>
      </c>
      <c r="C380" s="108"/>
      <c r="D380" s="1729" t="str">
        <f>Ratios!D78</f>
        <v>DIST</v>
      </c>
      <c r="E380" s="1087">
        <f>Ratios!E78</f>
        <v>0</v>
      </c>
      <c r="F380" s="1087">
        <f>Ratios!F78</f>
        <v>0</v>
      </c>
      <c r="G380" s="1087">
        <f>Ratios!G78</f>
        <v>1</v>
      </c>
      <c r="H380" s="1725"/>
      <c r="I380" s="1725"/>
      <c r="J380" s="1725"/>
    </row>
    <row r="381" spans="1:10" ht="16.5" thickBot="1" x14ac:dyDescent="0.3">
      <c r="A381" s="1716"/>
      <c r="B381" s="107" t="s">
        <v>533</v>
      </c>
      <c r="C381" s="108"/>
      <c r="D381" s="1729" t="str">
        <f>Ratios!D79</f>
        <v>PROD</v>
      </c>
      <c r="E381" s="1087">
        <f>Ratios!E79</f>
        <v>1</v>
      </c>
      <c r="F381" s="1087">
        <f>Ratios!F79</f>
        <v>0</v>
      </c>
      <c r="G381" s="1087">
        <f>Ratios!G79</f>
        <v>0</v>
      </c>
      <c r="H381" s="1725"/>
      <c r="I381" s="1725"/>
      <c r="J381" s="1725"/>
    </row>
    <row r="382" spans="1:10" ht="16.5" thickBot="1" x14ac:dyDescent="0.3">
      <c r="A382" s="1716"/>
      <c r="B382" s="107" t="s">
        <v>534</v>
      </c>
      <c r="C382" s="108"/>
      <c r="D382" s="1729" t="str">
        <f>Ratios!D80</f>
        <v>TRANS</v>
      </c>
      <c r="E382" s="1087">
        <f>Ratios!E80</f>
        <v>0</v>
      </c>
      <c r="F382" s="1087">
        <f>Ratios!F80</f>
        <v>0</v>
      </c>
      <c r="G382" s="1087">
        <f>Ratios!G80</f>
        <v>1</v>
      </c>
      <c r="H382" s="1725"/>
      <c r="I382" s="1725"/>
      <c r="J382" s="1725"/>
    </row>
    <row r="383" spans="1:10" ht="16.5" thickBot="1" x14ac:dyDescent="0.3">
      <c r="A383" s="1716"/>
      <c r="B383" s="107" t="s">
        <v>535</v>
      </c>
      <c r="C383" s="108"/>
      <c r="D383" s="1729" t="str">
        <f>Ratios!D81</f>
        <v>DIRECT</v>
      </c>
      <c r="E383" s="1087">
        <f>Ratios!E81</f>
        <v>0</v>
      </c>
      <c r="F383" s="1087">
        <f>Ratios!F81</f>
        <v>0</v>
      </c>
      <c r="G383" s="1087">
        <f>Ratios!G81</f>
        <v>0</v>
      </c>
      <c r="H383" s="1725"/>
      <c r="I383" s="1725"/>
      <c r="J383" s="1725"/>
    </row>
    <row r="384" spans="1:10" ht="16.5" thickBot="1" x14ac:dyDescent="0.3">
      <c r="A384" s="1716"/>
      <c r="B384" s="107" t="s">
        <v>92</v>
      </c>
      <c r="C384" s="108"/>
      <c r="D384" s="1729" t="str">
        <f>Ratios!D82</f>
        <v>GP</v>
      </c>
      <c r="E384" s="1087">
        <f>Ratios!E82</f>
        <v>0.32058832897642964</v>
      </c>
      <c r="F384" s="1087">
        <f>Ratios!F82</f>
        <v>0</v>
      </c>
      <c r="G384" s="1087">
        <f>Ratios!G82</f>
        <v>0.67941167102357047</v>
      </c>
      <c r="H384" s="1725"/>
      <c r="I384" s="1725"/>
      <c r="J384" s="1725"/>
    </row>
    <row r="385" spans="1:10" ht="16.5" thickBot="1" x14ac:dyDescent="0.3">
      <c r="A385" s="1716"/>
      <c r="B385" s="107" t="s">
        <v>94</v>
      </c>
      <c r="C385" s="108"/>
      <c r="D385" s="1729" t="str">
        <f>Ratios!D83</f>
        <v>GPM</v>
      </c>
      <c r="E385" s="1087">
        <f>Ratios!E83</f>
        <v>0.43795061663702523</v>
      </c>
      <c r="F385" s="1087">
        <f>Ratios!F83</f>
        <v>0</v>
      </c>
      <c r="G385" s="1087">
        <f>Ratios!G83</f>
        <v>0.56204938336297461</v>
      </c>
      <c r="H385" s="1725"/>
      <c r="I385" s="1725"/>
      <c r="J385" s="1725"/>
    </row>
    <row r="386" spans="1:10" ht="16.5" thickBot="1" x14ac:dyDescent="0.3">
      <c r="A386" s="1716"/>
      <c r="B386" s="107" t="s">
        <v>127</v>
      </c>
      <c r="C386" s="108"/>
      <c r="D386" s="1729" t="str">
        <f>Ratios!D84</f>
        <v>LABOR</v>
      </c>
      <c r="E386" s="1087">
        <f>Ratios!E84</f>
        <v>0.41685340178759894</v>
      </c>
      <c r="F386" s="1087">
        <f>Ratios!F84</f>
        <v>0</v>
      </c>
      <c r="G386" s="1087">
        <f>Ratios!G84</f>
        <v>0.58314659821240111</v>
      </c>
      <c r="H386" s="1725"/>
      <c r="I386" s="1725"/>
      <c r="J386" s="1725"/>
    </row>
    <row r="387" spans="1:10" ht="16.5" thickBot="1" x14ac:dyDescent="0.3">
      <c r="A387" s="1716"/>
      <c r="B387" s="107" t="s">
        <v>525</v>
      </c>
      <c r="C387" s="108"/>
      <c r="D387" s="1729" t="str">
        <f>Ratios!D85</f>
        <v>PTD</v>
      </c>
      <c r="E387" s="1087">
        <f>Ratios!E85</f>
        <v>0.44019614379593275</v>
      </c>
      <c r="F387" s="1087">
        <f>Ratios!F85</f>
        <v>0</v>
      </c>
      <c r="G387" s="1087">
        <f>Ratios!G85</f>
        <v>0.55980385620406714</v>
      </c>
      <c r="H387" s="1725"/>
      <c r="I387" s="1725"/>
      <c r="J387" s="1725"/>
    </row>
    <row r="388" spans="1:10" ht="16.5" thickBot="1" x14ac:dyDescent="0.3">
      <c r="A388" s="1716"/>
      <c r="B388" s="107" t="s">
        <v>536</v>
      </c>
      <c r="C388" s="108"/>
      <c r="D388" s="1729" t="str">
        <f>Ratios!D86</f>
        <v>PTDG</v>
      </c>
      <c r="E388" s="1087">
        <f>Ratios!E86</f>
        <v>0.43441450169532542</v>
      </c>
      <c r="F388" s="1087">
        <f>Ratios!F86</f>
        <v>0</v>
      </c>
      <c r="G388" s="1087">
        <f>Ratios!G86</f>
        <v>0.56568557243508888</v>
      </c>
      <c r="H388" s="1725"/>
      <c r="I388" s="1725"/>
      <c r="J388" s="1725"/>
    </row>
    <row r="389" spans="1:10" ht="16.5" thickBot="1" x14ac:dyDescent="0.3">
      <c r="A389" s="1716"/>
      <c r="B389" s="114" t="s">
        <v>530</v>
      </c>
      <c r="C389" s="115"/>
      <c r="D389" s="1730" t="str">
        <f>Ratios!D87</f>
        <v>TD</v>
      </c>
      <c r="E389" s="1087">
        <f>Ratios!E87</f>
        <v>0</v>
      </c>
      <c r="F389" s="1087">
        <f>Ratios!F87</f>
        <v>0</v>
      </c>
      <c r="G389" s="1087">
        <f>Ratios!G87</f>
        <v>1</v>
      </c>
      <c r="H389" s="1725"/>
      <c r="I389" s="1725"/>
      <c r="J389" s="1725"/>
    </row>
    <row r="390" spans="1:10" ht="16.5" thickTop="1" x14ac:dyDescent="0.25">
      <c r="A390" s="1716"/>
      <c r="B390" s="1717"/>
      <c r="C390" s="1717"/>
      <c r="D390" s="1717"/>
      <c r="E390" s="1717"/>
      <c r="F390" s="1717"/>
      <c r="G390" s="1731"/>
      <c r="H390" s="1731"/>
      <c r="I390" s="1731"/>
      <c r="J390" s="1731"/>
    </row>
    <row r="391" spans="1:10" x14ac:dyDescent="0.25">
      <c r="A391" s="1716"/>
      <c r="B391" s="1717"/>
      <c r="C391" s="1717"/>
      <c r="D391" s="1717"/>
      <c r="E391" s="1717"/>
      <c r="F391" s="1717"/>
      <c r="G391" s="1725"/>
      <c r="H391" s="1725"/>
      <c r="I391" s="1725"/>
      <c r="J391" s="1725"/>
    </row>
    <row r="392" spans="1:10" x14ac:dyDescent="0.25">
      <c r="A392" s="1716"/>
      <c r="B392" s="1717"/>
      <c r="C392" s="1717"/>
      <c r="D392" s="1717"/>
      <c r="E392" s="1717"/>
      <c r="F392" s="1717"/>
      <c r="G392" s="1724"/>
      <c r="H392" s="1725"/>
      <c r="I392" s="1725"/>
      <c r="J392" s="1725"/>
    </row>
    <row r="393" spans="1:10" x14ac:dyDescent="0.25">
      <c r="A393" s="1716"/>
      <c r="B393" s="1717"/>
      <c r="C393" s="1717"/>
      <c r="D393" s="1717"/>
      <c r="E393" s="1717"/>
      <c r="F393" s="1717"/>
      <c r="G393" s="1724"/>
      <c r="H393" s="1725"/>
      <c r="I393" s="1725"/>
      <c r="J393" s="1725"/>
    </row>
  </sheetData>
  <mergeCells count="25">
    <mergeCell ref="E362:F363"/>
    <mergeCell ref="G362:G364"/>
    <mergeCell ref="H362:H364"/>
    <mergeCell ref="I362:I364"/>
    <mergeCell ref="H171:H173"/>
    <mergeCell ref="I171:I173"/>
    <mergeCell ref="G287:G289"/>
    <mergeCell ref="H287:H289"/>
    <mergeCell ref="I287:I289"/>
    <mergeCell ref="B287:B289"/>
    <mergeCell ref="E287:F288"/>
    <mergeCell ref="K12:K14"/>
    <mergeCell ref="A12:B14"/>
    <mergeCell ref="G12:G14"/>
    <mergeCell ref="H12:H14"/>
    <mergeCell ref="I12:I14"/>
    <mergeCell ref="J12:J14"/>
    <mergeCell ref="B264:B266"/>
    <mergeCell ref="E264:F265"/>
    <mergeCell ref="G264:G266"/>
    <mergeCell ref="H264:H266"/>
    <mergeCell ref="I264:I266"/>
    <mergeCell ref="B171:B173"/>
    <mergeCell ref="E171:F172"/>
    <mergeCell ref="G171:G173"/>
  </mergeCells>
  <pageMargins left="0.7" right="0.7" top="0.75" bottom="0.75" header="0.3" footer="0.3"/>
  <pageSetup orientation="portrait" r:id="rId1"/>
  <headerFooter>
    <oddFooter>&amp;LFY 2016-2017 ASC Filing
&amp;F&amp;CPages &amp;P of &amp;N&amp;R&amp;A
&amp;D</oddFooter>
  </headerFooter>
  <customProperties>
    <customPr name="_pios_id" r:id="rId2"/>
  </customProperties>
</worksheet>
</file>

<file path=xl/worksheets/sheet1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118"/>
  <dimension ref="B1:O185"/>
  <sheetViews>
    <sheetView workbookViewId="0">
      <selection sqref="A1:O1048576"/>
    </sheetView>
  </sheetViews>
  <sheetFormatPr defaultRowHeight="15.75" x14ac:dyDescent="0.25"/>
  <cols>
    <col min="3" max="3" width="54.875" bestFit="1" customWidth="1"/>
    <col min="4" max="4" width="11.125" customWidth="1"/>
    <col min="5" max="5" width="13.625" bestFit="1" customWidth="1"/>
    <col min="6" max="6" width="12.25" bestFit="1" customWidth="1"/>
    <col min="7" max="7" width="13.5" bestFit="1" customWidth="1"/>
    <col min="8" max="8" width="14.125" bestFit="1" customWidth="1"/>
    <col min="13" max="13" width="11.875" bestFit="1" customWidth="1"/>
  </cols>
  <sheetData>
    <row r="1" spans="2:15" x14ac:dyDescent="0.25">
      <c r="C1" s="1211" t="s">
        <v>860</v>
      </c>
      <c r="D1" s="1211" t="s">
        <v>861</v>
      </c>
      <c r="E1" t="s">
        <v>272</v>
      </c>
      <c r="F1" t="s">
        <v>96</v>
      </c>
      <c r="G1" s="1211" t="s">
        <v>834</v>
      </c>
      <c r="H1" s="1211" t="s">
        <v>835</v>
      </c>
      <c r="I1" t="s">
        <v>104</v>
      </c>
      <c r="J1" t="s">
        <v>105</v>
      </c>
      <c r="K1" t="s">
        <v>106</v>
      </c>
      <c r="L1" s="1211" t="s">
        <v>512</v>
      </c>
      <c r="M1" s="1211" t="s">
        <v>862</v>
      </c>
      <c r="N1" s="1211" t="s">
        <v>863</v>
      </c>
      <c r="O1" s="1211" t="s">
        <v>864</v>
      </c>
    </row>
    <row r="2" spans="2:15" x14ac:dyDescent="0.25">
      <c r="B2">
        <v>3</v>
      </c>
      <c r="C2" t="s">
        <v>145</v>
      </c>
      <c r="D2" s="1211" t="e">
        <f>'Sch 1- Rate Base '!E5:G5</f>
        <v>#VALUE!</v>
      </c>
      <c r="E2" s="1736" t="str">
        <f>+VLOOKUP($C2,ForecastImport!$B$15:$J$394,COLUMN()-3,FALSE)</f>
        <v>204-207</v>
      </c>
      <c r="F2">
        <f>+VLOOKUP($C2,ForecastImport!$B$15:$J$394,COLUMN()-3,FALSE)</f>
        <v>301</v>
      </c>
      <c r="G2" t="str">
        <f>+VLOOKUP($C2,ForecastImport!$B$15:$J$394,COLUMN()-3,FALSE)</f>
        <v>DIST</v>
      </c>
      <c r="H2" t="str">
        <f>+VLOOKUP($C2,ForecastImport!$B$15:$J$394,COLUMN()-3,FALSE)</f>
        <v xml:space="preserve"> </v>
      </c>
      <c r="I2">
        <f>+VLOOKUP($C2,ForecastImport!$B$15:$J$394,COLUMN()-3,FALSE)</f>
        <v>0</v>
      </c>
      <c r="J2">
        <f>+VLOOKUP($C2,ForecastImport!$B$15:$J$394,COLUMN()-3,FALSE)</f>
        <v>0</v>
      </c>
      <c r="K2">
        <f>+VLOOKUP($C2,ForecastImport!$B$15:$J$394,COLUMN()-3,FALSE)</f>
        <v>0</v>
      </c>
      <c r="L2">
        <f>+VLOOKUP($C2,ForecastImport!$B$15:$J$394,COLUMN()-3,FALSE)</f>
        <v>0</v>
      </c>
    </row>
    <row r="3" spans="2:15" x14ac:dyDescent="0.25">
      <c r="B3">
        <v>4</v>
      </c>
      <c r="C3" t="s">
        <v>146</v>
      </c>
      <c r="D3" s="1211" t="e">
        <f>'Sch 1- Rate Base '!E6:G6</f>
        <v>#VALUE!</v>
      </c>
      <c r="E3" s="1736" t="str">
        <f>+VLOOKUP($C3,ForecastImport!$B$15:$J$394,COLUMN()-3,FALSE)</f>
        <v>204-207</v>
      </c>
      <c r="F3">
        <f>+VLOOKUP($C3,ForecastImport!$B$15:$J$394,COLUMN()-3,FALSE)</f>
        <v>302</v>
      </c>
      <c r="G3" t="str">
        <f>+VLOOKUP($C3,ForecastImport!$B$15:$J$394,COLUMN()-3,FALSE)</f>
        <v>DIRECT</v>
      </c>
      <c r="H3" t="str">
        <f>+VLOOKUP($C3,ForecastImport!$B$15:$J$394,COLUMN()-3,FALSE)</f>
        <v>PTD</v>
      </c>
      <c r="I3">
        <f>+VLOOKUP($C3,ForecastImport!$B$15:$J$394,COLUMN()-3,FALSE)</f>
        <v>71764696.193237215</v>
      </c>
      <c r="J3">
        <f>+VLOOKUP($C3,ForecastImport!$B$15:$J$394,COLUMN()-3,FALSE)</f>
        <v>71764696.193237215</v>
      </c>
      <c r="K3">
        <f>+VLOOKUP($C3,ForecastImport!$B$15:$J$394,COLUMN()-3,FALSE)</f>
        <v>0</v>
      </c>
      <c r="L3">
        <f>+VLOOKUP($C3,ForecastImport!$B$15:$J$394,COLUMN()-3,FALSE)</f>
        <v>1380340.3620770171</v>
      </c>
    </row>
    <row r="4" spans="2:15" x14ac:dyDescent="0.25">
      <c r="B4">
        <v>5</v>
      </c>
      <c r="C4" t="s">
        <v>147</v>
      </c>
      <c r="D4" s="1211" t="e">
        <f>'Sch 1- Rate Base '!E7:G7</f>
        <v>#VALUE!</v>
      </c>
      <c r="E4" s="1736" t="str">
        <f>+VLOOKUP($C4,ForecastImport!$B$15:$J$394,COLUMN()-3,FALSE)</f>
        <v>204-207</v>
      </c>
      <c r="F4">
        <f>+VLOOKUP($C4,ForecastImport!$B$15:$J$394,COLUMN()-3,FALSE)</f>
        <v>303</v>
      </c>
      <c r="G4" t="str">
        <f>+VLOOKUP($C4,ForecastImport!$B$15:$J$394,COLUMN()-3,FALSE)</f>
        <v>DIRECT</v>
      </c>
      <c r="H4" t="str">
        <f>+VLOOKUP($C4,ForecastImport!$B$15:$J$394,COLUMN()-3,FALSE)</f>
        <v>DIST</v>
      </c>
      <c r="I4">
        <f>+VLOOKUP($C4,ForecastImport!$B$15:$J$394,COLUMN()-3,FALSE)</f>
        <v>391010404.58104789</v>
      </c>
      <c r="J4">
        <f>+VLOOKUP($C4,ForecastImport!$B$15:$J$394,COLUMN()-3,FALSE)</f>
        <v>129807186.3491185</v>
      </c>
      <c r="K4">
        <f>+VLOOKUP($C4,ForecastImport!$B$15:$J$394,COLUMN()-3,FALSE)</f>
        <v>0</v>
      </c>
      <c r="L4">
        <f>+VLOOKUP($C4,ForecastImport!$B$15:$J$394,COLUMN()-3,FALSE)</f>
        <v>261203218.23192942</v>
      </c>
    </row>
    <row r="5" spans="2:15" x14ac:dyDescent="0.25">
      <c r="B5">
        <v>9</v>
      </c>
      <c r="C5" t="s">
        <v>111</v>
      </c>
      <c r="D5" s="1211" t="e">
        <f>'Sch 1- Rate Base '!E8:G8</f>
        <v>#VALUE!</v>
      </c>
      <c r="E5" s="1736" t="str">
        <f>+VLOOKUP($C5,ForecastImport!$B$15:$J$394,COLUMN()-3,FALSE)</f>
        <v>204-207</v>
      </c>
      <c r="F5" s="1736" t="str">
        <f>+VLOOKUP($C5,ForecastImport!$B$15:$J$394,COLUMN()-3,FALSE)</f>
        <v>310-317</v>
      </c>
      <c r="G5" t="str">
        <f>+VLOOKUP($C5,ForecastImport!$B$15:$J$394,COLUMN()-3,FALSE)</f>
        <v>PROD</v>
      </c>
      <c r="H5">
        <f>+VLOOKUP($C5,ForecastImport!$B$15:$J$394,COLUMN()-3,FALSE)</f>
        <v>0</v>
      </c>
      <c r="I5">
        <f>+VLOOKUP($C5,ForecastImport!$B$15:$J$394,COLUMN()-3,FALSE)</f>
        <v>2890625949.8270597</v>
      </c>
      <c r="J5">
        <f>+VLOOKUP($C5,ForecastImport!$B$15:$J$394,COLUMN()-3,FALSE)</f>
        <v>2890625949.8270597</v>
      </c>
      <c r="K5">
        <f>+VLOOKUP($C5,ForecastImport!$B$15:$J$394,COLUMN()-3,FALSE)</f>
        <v>0</v>
      </c>
      <c r="L5">
        <f>+VLOOKUP($C5,ForecastImport!$B$15:$J$394,COLUMN()-3,FALSE)</f>
        <v>0</v>
      </c>
    </row>
    <row r="6" spans="2:15" x14ac:dyDescent="0.25">
      <c r="B6">
        <v>10</v>
      </c>
      <c r="C6" t="s">
        <v>113</v>
      </c>
      <c r="D6" s="1211" t="e">
        <f>'Sch 1- Rate Base '!E9:G9</f>
        <v>#VALUE!</v>
      </c>
      <c r="E6" s="1736" t="str">
        <f>+VLOOKUP($C6,ForecastImport!$B$15:$J$394,COLUMN()-3,FALSE)</f>
        <v>204-207</v>
      </c>
      <c r="F6" s="1736" t="str">
        <f>+VLOOKUP($C6,ForecastImport!$B$15:$J$394,COLUMN()-3,FALSE)</f>
        <v>320-326</v>
      </c>
      <c r="G6" t="str">
        <f>+VLOOKUP($C6,ForecastImport!$B$15:$J$394,COLUMN()-3,FALSE)</f>
        <v>PROD</v>
      </c>
      <c r="H6">
        <f>+VLOOKUP($C6,ForecastImport!$B$15:$J$394,COLUMN()-3,FALSE)</f>
        <v>0</v>
      </c>
      <c r="I6">
        <f>+VLOOKUP($C6,ForecastImport!$B$15:$J$394,COLUMN()-3,FALSE)</f>
        <v>0</v>
      </c>
      <c r="J6">
        <f>+VLOOKUP($C6,ForecastImport!$B$15:$J$394,COLUMN()-3,FALSE)</f>
        <v>0</v>
      </c>
      <c r="K6">
        <f>+VLOOKUP($C6,ForecastImport!$B$15:$J$394,COLUMN()-3,FALSE)</f>
        <v>0</v>
      </c>
      <c r="L6">
        <f>+VLOOKUP($C6,ForecastImport!$B$15:$J$394,COLUMN()-3,FALSE)</f>
        <v>0</v>
      </c>
    </row>
    <row r="7" spans="2:15" x14ac:dyDescent="0.25">
      <c r="B7">
        <v>11</v>
      </c>
      <c r="C7" t="s">
        <v>115</v>
      </c>
      <c r="D7" s="1211" t="e">
        <f>'Sch 1- Rate Base '!E10:G10</f>
        <v>#VALUE!</v>
      </c>
      <c r="E7" s="1736" t="str">
        <f>+VLOOKUP($C7,ForecastImport!$B$15:$J$394,COLUMN()-3,FALSE)</f>
        <v>204-207</v>
      </c>
      <c r="F7" s="1736" t="str">
        <f>+VLOOKUP($C7,ForecastImport!$B$15:$J$394,COLUMN()-3,FALSE)</f>
        <v>330-337</v>
      </c>
      <c r="G7" t="str">
        <f>+VLOOKUP($C7,ForecastImport!$B$15:$J$394,COLUMN()-3,FALSE)</f>
        <v>PROD</v>
      </c>
      <c r="H7">
        <f>+VLOOKUP($C7,ForecastImport!$B$15:$J$394,COLUMN()-3,FALSE)</f>
        <v>0</v>
      </c>
      <c r="I7">
        <f>+VLOOKUP($C7,ForecastImport!$B$15:$J$394,COLUMN()-3,FALSE)</f>
        <v>433360289.62213159</v>
      </c>
      <c r="J7">
        <f>+VLOOKUP($C7,ForecastImport!$B$15:$J$394,COLUMN()-3,FALSE)</f>
        <v>433360289.62213159</v>
      </c>
      <c r="K7">
        <f>+VLOOKUP($C7,ForecastImport!$B$15:$J$394,COLUMN()-3,FALSE)</f>
        <v>0</v>
      </c>
      <c r="L7">
        <f>+VLOOKUP($C7,ForecastImport!$B$15:$J$394,COLUMN()-3,FALSE)</f>
        <v>0</v>
      </c>
    </row>
    <row r="8" spans="2:15" x14ac:dyDescent="0.25">
      <c r="B8">
        <v>12</v>
      </c>
      <c r="C8" t="s">
        <v>117</v>
      </c>
      <c r="D8" s="1211" t="e">
        <f>'Sch 1- Rate Base '!E11:G11</f>
        <v>#VALUE!</v>
      </c>
      <c r="E8" s="1736" t="str">
        <f>+VLOOKUP($C8,ForecastImport!$B$15:$J$394,COLUMN()-3,FALSE)</f>
        <v>204-207</v>
      </c>
      <c r="F8" s="1736" t="str">
        <f>+VLOOKUP($C8,ForecastImport!$B$15:$J$394,COLUMN()-3,FALSE)</f>
        <v>340-348</v>
      </c>
      <c r="G8" t="str">
        <f>+VLOOKUP($C8,ForecastImport!$B$15:$J$394,COLUMN()-3,FALSE)</f>
        <v>PROD</v>
      </c>
      <c r="H8">
        <f>+VLOOKUP($C8,ForecastImport!$B$15:$J$394,COLUMN()-3,FALSE)</f>
        <v>0</v>
      </c>
      <c r="I8">
        <f>+VLOOKUP($C8,ForecastImport!$B$15:$J$394,COLUMN()-3,FALSE)</f>
        <v>2258385628.1561666</v>
      </c>
      <c r="J8">
        <f>+VLOOKUP($C8,ForecastImport!$B$15:$J$394,COLUMN()-3,FALSE)</f>
        <v>2258385628.1561666</v>
      </c>
      <c r="K8">
        <f>+VLOOKUP($C8,ForecastImport!$B$15:$J$394,COLUMN()-3,FALSE)</f>
        <v>0</v>
      </c>
      <c r="L8">
        <f>+VLOOKUP($C8,ForecastImport!$B$15:$J$394,COLUMN()-3,FALSE)</f>
        <v>0</v>
      </c>
    </row>
    <row r="9" spans="2:15" x14ac:dyDescent="0.25">
      <c r="B9">
        <v>16</v>
      </c>
      <c r="C9" t="s">
        <v>497</v>
      </c>
      <c r="D9" s="1211" t="e">
        <f>'Sch 1- Rate Base '!E12:G12</f>
        <v>#VALUE!</v>
      </c>
      <c r="E9" s="1736" t="str">
        <f>+VLOOKUP($C9,ForecastImport!$B$15:$J$394,COLUMN()-3,FALSE)</f>
        <v>204-207</v>
      </c>
      <c r="F9" s="1736" t="str">
        <f>+VLOOKUP($C9,ForecastImport!$B$15:$J$394,COLUMN()-3,FALSE)</f>
        <v>350-359.1</v>
      </c>
      <c r="G9" t="str">
        <f>+VLOOKUP($C9,ForecastImport!$B$15:$J$394,COLUMN()-3,FALSE)</f>
        <v>TRANS</v>
      </c>
      <c r="H9">
        <f>+VLOOKUP($C9,ForecastImport!$B$15:$J$394,COLUMN()-3,FALSE)</f>
        <v>0</v>
      </c>
      <c r="I9">
        <f>+VLOOKUP($C9,ForecastImport!$B$15:$J$394,COLUMN()-3,FALSE)</f>
        <v>3295838980.7862144</v>
      </c>
      <c r="J9">
        <f>+VLOOKUP($C9,ForecastImport!$B$15:$J$394,COLUMN()-3,FALSE)</f>
        <v>0</v>
      </c>
      <c r="K9">
        <f>+VLOOKUP($C9,ForecastImport!$B$15:$J$394,COLUMN()-3,FALSE)</f>
        <v>0</v>
      </c>
      <c r="L9">
        <f>+VLOOKUP($C9,ForecastImport!$B$15:$J$394,COLUMN()-3,FALSE)</f>
        <v>3295838980.7862144</v>
      </c>
    </row>
    <row r="10" spans="2:15" x14ac:dyDescent="0.25">
      <c r="B10">
        <v>20</v>
      </c>
      <c r="C10" t="s">
        <v>140</v>
      </c>
      <c r="D10" s="1211" t="e">
        <f>'Sch 1- Rate Base '!E13:G13</f>
        <v>#VALUE!</v>
      </c>
      <c r="E10" s="1736" t="str">
        <f>+VLOOKUP($C10,ForecastImport!$B$15:$J$394,COLUMN()-3,FALSE)</f>
        <v>204-207</v>
      </c>
      <c r="F10" s="1736" t="str">
        <f>+VLOOKUP($C10,ForecastImport!$B$15:$J$394,COLUMN()-3,FALSE)</f>
        <v>360-374</v>
      </c>
      <c r="G10" t="str">
        <f>+VLOOKUP($C10,ForecastImport!$B$15:$J$394,COLUMN()-3,FALSE)</f>
        <v>DIST</v>
      </c>
      <c r="H10">
        <f>+VLOOKUP($C10,ForecastImport!$B$15:$J$394,COLUMN()-3,FALSE)</f>
        <v>0</v>
      </c>
      <c r="I10">
        <f>+VLOOKUP($C10,ForecastImport!$B$15:$J$394,COLUMN()-3,FALSE)</f>
        <v>3803344740.5943408</v>
      </c>
      <c r="J10">
        <f>+VLOOKUP($C10,ForecastImport!$B$15:$J$394,COLUMN()-3,FALSE)</f>
        <v>0</v>
      </c>
      <c r="K10">
        <f>+VLOOKUP($C10,ForecastImport!$B$15:$J$394,COLUMN()-3,FALSE)</f>
        <v>0</v>
      </c>
      <c r="L10">
        <f>+VLOOKUP($C10,ForecastImport!$B$15:$J$394,COLUMN()-3,FALSE)</f>
        <v>3803344740.5943408</v>
      </c>
    </row>
    <row r="11" spans="2:15" x14ac:dyDescent="0.25">
      <c r="B11">
        <v>24</v>
      </c>
      <c r="C11" t="s">
        <v>125</v>
      </c>
      <c r="D11" s="1211" t="e">
        <f>'Sch 1- Rate Base '!E14:G14</f>
        <v>#VALUE!</v>
      </c>
      <c r="E11" s="1736" t="str">
        <f>+VLOOKUP($C11,ForecastImport!$B$15:$J$394,COLUMN()-3,FALSE)</f>
        <v>204-207</v>
      </c>
      <c r="F11">
        <f>+VLOOKUP($C11,ForecastImport!$B$15:$J$394,COLUMN()-3,FALSE)</f>
        <v>389</v>
      </c>
      <c r="G11" t="str">
        <f>+VLOOKUP($C11,ForecastImport!$B$15:$J$394,COLUMN()-3,FALSE)</f>
        <v>PTD</v>
      </c>
      <c r="H11">
        <f>+VLOOKUP($C11,ForecastImport!$B$15:$J$394,COLUMN()-3,FALSE)</f>
        <v>0</v>
      </c>
      <c r="I11">
        <f>+VLOOKUP($C11,ForecastImport!$B$15:$J$394,COLUMN()-3,FALSE)</f>
        <v>10980784.643303178</v>
      </c>
      <c r="J11">
        <f>+VLOOKUP($C11,ForecastImport!$B$15:$J$394,COLUMN()-3,FALSE)</f>
        <v>4833699.0558356559</v>
      </c>
      <c r="K11">
        <f>+VLOOKUP($C11,ForecastImport!$B$15:$J$394,COLUMN()-3,FALSE)</f>
        <v>0</v>
      </c>
      <c r="L11">
        <f>+VLOOKUP($C11,ForecastImport!$B$15:$J$394,COLUMN()-3,FALSE)</f>
        <v>6147085.5874675214</v>
      </c>
    </row>
    <row r="12" spans="2:15" x14ac:dyDescent="0.25">
      <c r="B12">
        <v>25</v>
      </c>
      <c r="C12" t="s">
        <v>126</v>
      </c>
      <c r="D12" s="1211" t="e">
        <f>'Sch 1- Rate Base '!E15:G15</f>
        <v>#VALUE!</v>
      </c>
      <c r="E12" s="1736" t="str">
        <f>+VLOOKUP($C12,ForecastImport!$B$15:$J$394,COLUMN()-3,FALSE)</f>
        <v>204-207</v>
      </c>
      <c r="F12">
        <f>+VLOOKUP($C12,ForecastImport!$B$15:$J$394,COLUMN()-3,FALSE)</f>
        <v>390</v>
      </c>
      <c r="G12" t="str">
        <f>+VLOOKUP($C12,ForecastImport!$B$15:$J$394,COLUMN()-3,FALSE)</f>
        <v>PTD</v>
      </c>
      <c r="H12">
        <f>+VLOOKUP($C12,ForecastImport!$B$15:$J$394,COLUMN()-3,FALSE)</f>
        <v>0</v>
      </c>
      <c r="I12">
        <f>+VLOOKUP($C12,ForecastImport!$B$15:$J$394,COLUMN()-3,FALSE)</f>
        <v>134526603.60952502</v>
      </c>
      <c r="J12">
        <f>+VLOOKUP($C12,ForecastImport!$B$15:$J$394,COLUMN()-3,FALSE)</f>
        <v>59218092.146876924</v>
      </c>
      <c r="K12">
        <f>+VLOOKUP($C12,ForecastImport!$B$15:$J$394,COLUMN()-3,FALSE)</f>
        <v>0</v>
      </c>
      <c r="L12">
        <f>+VLOOKUP($C12,ForecastImport!$B$15:$J$394,COLUMN()-3,FALSE)</f>
        <v>75308511.462648094</v>
      </c>
    </row>
    <row r="13" spans="2:15" x14ac:dyDescent="0.25">
      <c r="B13">
        <v>26</v>
      </c>
      <c r="C13" t="s">
        <v>127</v>
      </c>
      <c r="D13" s="1211" t="e">
        <f>'Sch 1- Rate Base '!E16:G16</f>
        <v>#VALUE!</v>
      </c>
      <c r="E13" s="1736" t="str">
        <f>+VLOOKUP($C13,ForecastImport!$B$15:$J$394,COLUMN()-3,FALSE)</f>
        <v>204-207</v>
      </c>
      <c r="F13">
        <f>+VLOOKUP($C13,ForecastImport!$B$15:$J$394,COLUMN()-3,FALSE)</f>
        <v>391</v>
      </c>
      <c r="G13" t="str">
        <f>+VLOOKUP($C13,ForecastImport!$B$15:$J$394,COLUMN()-3,FALSE)</f>
        <v>LABOR</v>
      </c>
      <c r="H13">
        <f>+VLOOKUP($C13,ForecastImport!$B$15:$J$394,COLUMN()-3,FALSE)</f>
        <v>0</v>
      </c>
      <c r="I13">
        <f>+VLOOKUP($C13,ForecastImport!$B$15:$J$394,COLUMN()-3,FALSE)</f>
        <v>38698718.859569281</v>
      </c>
      <c r="J13">
        <f>+VLOOKUP($C13,ForecastImport!$B$15:$J$394,COLUMN()-3,FALSE)</f>
        <v>16131692.601433367</v>
      </c>
      <c r="K13">
        <f>+VLOOKUP($C13,ForecastImport!$B$15:$J$394,COLUMN()-3,FALSE)</f>
        <v>0</v>
      </c>
      <c r="L13">
        <f>+VLOOKUP($C13,ForecastImport!$B$15:$J$394,COLUMN()-3,FALSE)</f>
        <v>22567026.258135919</v>
      </c>
    </row>
    <row r="14" spans="2:15" x14ac:dyDescent="0.25">
      <c r="B14">
        <v>27</v>
      </c>
      <c r="C14" t="s">
        <v>128</v>
      </c>
      <c r="D14" s="1211" t="e">
        <f>'Sch 1- Rate Base '!E17:G17</f>
        <v>#VALUE!</v>
      </c>
      <c r="E14" s="1736" t="str">
        <f>+VLOOKUP($C14,ForecastImport!$B$15:$J$394,COLUMN()-3,FALSE)</f>
        <v>204-207</v>
      </c>
      <c r="F14">
        <f>+VLOOKUP($C14,ForecastImport!$B$15:$J$394,COLUMN()-3,FALSE)</f>
        <v>392</v>
      </c>
      <c r="G14" t="str">
        <f>+VLOOKUP($C14,ForecastImport!$B$15:$J$394,COLUMN()-3,FALSE)</f>
        <v>TD</v>
      </c>
      <c r="H14">
        <f>+VLOOKUP($C14,ForecastImport!$B$15:$J$394,COLUMN()-3,FALSE)</f>
        <v>0</v>
      </c>
      <c r="I14">
        <f>+VLOOKUP($C14,ForecastImport!$B$15:$J$394,COLUMN()-3,FALSE)</f>
        <v>70926422.960104048</v>
      </c>
      <c r="J14">
        <f>+VLOOKUP($C14,ForecastImport!$B$15:$J$394,COLUMN()-3,FALSE)</f>
        <v>0</v>
      </c>
      <c r="K14">
        <f>+VLOOKUP($C14,ForecastImport!$B$15:$J$394,COLUMN()-3,FALSE)</f>
        <v>0</v>
      </c>
      <c r="L14">
        <f>+VLOOKUP($C14,ForecastImport!$B$15:$J$394,COLUMN()-3,FALSE)</f>
        <v>70926422.960104048</v>
      </c>
    </row>
    <row r="15" spans="2:15" x14ac:dyDescent="0.25">
      <c r="B15">
        <v>28</v>
      </c>
      <c r="C15" t="s">
        <v>129</v>
      </c>
      <c r="D15" s="1211" t="e">
        <f>'Sch 1- Rate Base '!E18:G18</f>
        <v>#VALUE!</v>
      </c>
      <c r="E15" s="1736" t="str">
        <f>+VLOOKUP($C15,ForecastImport!$B$15:$J$394,COLUMN()-3,FALSE)</f>
        <v>204-207</v>
      </c>
      <c r="F15">
        <f>+VLOOKUP($C15,ForecastImport!$B$15:$J$394,COLUMN()-3,FALSE)</f>
        <v>393</v>
      </c>
      <c r="G15" t="str">
        <f>+VLOOKUP($C15,ForecastImport!$B$15:$J$394,COLUMN()-3,FALSE)</f>
        <v>PTD</v>
      </c>
      <c r="H15">
        <f>+VLOOKUP($C15,ForecastImport!$B$15:$J$394,COLUMN()-3,FALSE)</f>
        <v>0</v>
      </c>
      <c r="I15">
        <f>+VLOOKUP($C15,ForecastImport!$B$15:$J$394,COLUMN()-3,FALSE)</f>
        <v>8843323.1563989222</v>
      </c>
      <c r="J15">
        <f>+VLOOKUP($C15,ForecastImport!$B$15:$J$394,COLUMN()-3,FALSE)</f>
        <v>3892796.7517880816</v>
      </c>
      <c r="K15">
        <f>+VLOOKUP($C15,ForecastImport!$B$15:$J$394,COLUMN()-3,FALSE)</f>
        <v>0</v>
      </c>
      <c r="L15">
        <f>+VLOOKUP($C15,ForecastImport!$B$15:$J$394,COLUMN()-3,FALSE)</f>
        <v>4950526.4046108397</v>
      </c>
    </row>
    <row r="16" spans="2:15" x14ac:dyDescent="0.25">
      <c r="B16">
        <v>29</v>
      </c>
      <c r="C16" t="s">
        <v>130</v>
      </c>
      <c r="D16" s="1211" t="e">
        <f>'Sch 1- Rate Base '!E19:G19</f>
        <v>#VALUE!</v>
      </c>
      <c r="E16" s="1736" t="str">
        <f>+VLOOKUP($C16,ForecastImport!$B$15:$J$394,COLUMN()-3,FALSE)</f>
        <v>204-207</v>
      </c>
      <c r="F16">
        <f>+VLOOKUP($C16,ForecastImport!$B$15:$J$394,COLUMN()-3,FALSE)</f>
        <v>394</v>
      </c>
      <c r="G16" t="str">
        <f>+VLOOKUP($C16,ForecastImport!$B$15:$J$394,COLUMN()-3,FALSE)</f>
        <v>PTD</v>
      </c>
      <c r="H16">
        <f>+VLOOKUP($C16,ForecastImport!$B$15:$J$394,COLUMN()-3,FALSE)</f>
        <v>0</v>
      </c>
      <c r="I16">
        <f>+VLOOKUP($C16,ForecastImport!$B$15:$J$394,COLUMN()-3,FALSE)</f>
        <v>28801735.62174933</v>
      </c>
      <c r="J16">
        <f>+VLOOKUP($C16,ForecastImport!$B$15:$J$394,COLUMN()-3,FALSE)</f>
        <v>12678412.955324007</v>
      </c>
      <c r="K16">
        <f>+VLOOKUP($C16,ForecastImport!$B$15:$J$394,COLUMN()-3,FALSE)</f>
        <v>0</v>
      </c>
      <c r="L16">
        <f>+VLOOKUP($C16,ForecastImport!$B$15:$J$394,COLUMN()-3,FALSE)</f>
        <v>16123322.666425321</v>
      </c>
    </row>
    <row r="17" spans="2:12" x14ac:dyDescent="0.25">
      <c r="B17">
        <v>30</v>
      </c>
      <c r="C17" t="s">
        <v>131</v>
      </c>
      <c r="D17" s="1211" t="e">
        <f>'Sch 1- Rate Base '!E20:G20</f>
        <v>#VALUE!</v>
      </c>
      <c r="E17" s="1736" t="str">
        <f>+VLOOKUP($C17,ForecastImport!$B$15:$J$394,COLUMN()-3,FALSE)</f>
        <v>204-207</v>
      </c>
      <c r="F17">
        <f>+VLOOKUP($C17,ForecastImport!$B$15:$J$394,COLUMN()-3,FALSE)</f>
        <v>395</v>
      </c>
      <c r="G17" t="str">
        <f>+VLOOKUP($C17,ForecastImport!$B$15:$J$394,COLUMN()-3,FALSE)</f>
        <v>PTD</v>
      </c>
      <c r="H17">
        <f>+VLOOKUP($C17,ForecastImport!$B$15:$J$394,COLUMN()-3,FALSE)</f>
        <v>0</v>
      </c>
      <c r="I17">
        <f>+VLOOKUP($C17,ForecastImport!$B$15:$J$394,COLUMN()-3,FALSE)</f>
        <v>22065131.008344457</v>
      </c>
      <c r="J17">
        <f>+VLOOKUP($C17,ForecastImport!$B$15:$J$394,COLUMN()-3,FALSE)</f>
        <v>9712985.5822252911</v>
      </c>
      <c r="K17">
        <f>+VLOOKUP($C17,ForecastImport!$B$15:$J$394,COLUMN()-3,FALSE)</f>
        <v>0</v>
      </c>
      <c r="L17">
        <f>+VLOOKUP($C17,ForecastImport!$B$15:$J$394,COLUMN()-3,FALSE)</f>
        <v>12352145.426119164</v>
      </c>
    </row>
    <row r="18" spans="2:12" x14ac:dyDescent="0.25">
      <c r="B18">
        <v>31</v>
      </c>
      <c r="C18" t="s">
        <v>132</v>
      </c>
      <c r="D18" s="1211" t="e">
        <f>'Sch 1- Rate Base '!E21:G21</f>
        <v>#VALUE!</v>
      </c>
      <c r="E18" s="1736" t="str">
        <f>+VLOOKUP($C18,ForecastImport!$B$15:$J$394,COLUMN()-3,FALSE)</f>
        <v>204-207</v>
      </c>
      <c r="F18">
        <f>+VLOOKUP($C18,ForecastImport!$B$15:$J$394,COLUMN()-3,FALSE)</f>
        <v>396</v>
      </c>
      <c r="G18" t="str">
        <f>+VLOOKUP($C18,ForecastImport!$B$15:$J$394,COLUMN()-3,FALSE)</f>
        <v>TD</v>
      </c>
      <c r="H18">
        <f>+VLOOKUP($C18,ForecastImport!$B$15:$J$394,COLUMN()-3,FALSE)</f>
        <v>0</v>
      </c>
      <c r="I18">
        <f>+VLOOKUP($C18,ForecastImport!$B$15:$J$394,COLUMN()-3,FALSE)</f>
        <v>104224382.24860385</v>
      </c>
      <c r="J18">
        <f>+VLOOKUP($C18,ForecastImport!$B$15:$J$394,COLUMN()-3,FALSE)</f>
        <v>0</v>
      </c>
      <c r="K18">
        <f>+VLOOKUP($C18,ForecastImport!$B$15:$J$394,COLUMN()-3,FALSE)</f>
        <v>0</v>
      </c>
      <c r="L18">
        <f>+VLOOKUP($C18,ForecastImport!$B$15:$J$394,COLUMN()-3,FALSE)</f>
        <v>104224382.24860385</v>
      </c>
    </row>
    <row r="19" spans="2:12" x14ac:dyDescent="0.25">
      <c r="B19">
        <v>32</v>
      </c>
      <c r="C19" t="s">
        <v>133</v>
      </c>
      <c r="D19" s="1211" t="e">
        <f>'Sch 1- Rate Base '!E22:G22</f>
        <v>#VALUE!</v>
      </c>
      <c r="E19" s="1736" t="str">
        <f>+VLOOKUP($C19,ForecastImport!$B$15:$J$394,COLUMN()-3,FALSE)</f>
        <v>204-207</v>
      </c>
      <c r="F19">
        <f>+VLOOKUP($C19,ForecastImport!$B$15:$J$394,COLUMN()-3,FALSE)</f>
        <v>397</v>
      </c>
      <c r="G19" t="str">
        <f>+VLOOKUP($C19,ForecastImport!$B$15:$J$394,COLUMN()-3,FALSE)</f>
        <v>PTD</v>
      </c>
      <c r="H19">
        <f>+VLOOKUP($C19,ForecastImport!$B$15:$J$394,COLUMN()-3,FALSE)</f>
        <v>0</v>
      </c>
      <c r="I19">
        <f>+VLOOKUP($C19,ForecastImport!$B$15:$J$394,COLUMN()-3,FALSE)</f>
        <v>225166384.95095226</v>
      </c>
      <c r="J19">
        <f>+VLOOKUP($C19,ForecastImport!$B$15:$J$394,COLUMN()-3,FALSE)</f>
        <v>99117374.367879733</v>
      </c>
      <c r="K19">
        <f>+VLOOKUP($C19,ForecastImport!$B$15:$J$394,COLUMN()-3,FALSE)</f>
        <v>0</v>
      </c>
      <c r="L19">
        <f>+VLOOKUP($C19,ForecastImport!$B$15:$J$394,COLUMN()-3,FALSE)</f>
        <v>126049010.58307251</v>
      </c>
    </row>
    <row r="20" spans="2:12" x14ac:dyDescent="0.25">
      <c r="B20">
        <v>33</v>
      </c>
      <c r="C20" t="s">
        <v>134</v>
      </c>
      <c r="D20" s="1211" t="e">
        <f>'Sch 1- Rate Base '!E23:G23</f>
        <v>#VALUE!</v>
      </c>
      <c r="E20" s="1736" t="str">
        <f>+VLOOKUP($C20,ForecastImport!$B$15:$J$394,COLUMN()-3,FALSE)</f>
        <v>204-207</v>
      </c>
      <c r="F20">
        <f>+VLOOKUP($C20,ForecastImport!$B$15:$J$394,COLUMN()-3,FALSE)</f>
        <v>398</v>
      </c>
      <c r="G20" t="str">
        <f>+VLOOKUP($C20,ForecastImport!$B$15:$J$394,COLUMN()-3,FALSE)</f>
        <v>PTD</v>
      </c>
      <c r="H20">
        <f>+VLOOKUP($C20,ForecastImport!$B$15:$J$394,COLUMN()-3,FALSE)</f>
        <v>0</v>
      </c>
      <c r="I20">
        <f>+VLOOKUP($C20,ForecastImport!$B$15:$J$394,COLUMN()-3,FALSE)</f>
        <v>3889871.2322740913</v>
      </c>
      <c r="J20">
        <f>+VLOOKUP($C20,ForecastImport!$B$15:$J$394,COLUMN()-3,FALSE)</f>
        <v>1712306.316309788</v>
      </c>
      <c r="K20">
        <f>+VLOOKUP($C20,ForecastImport!$B$15:$J$394,COLUMN()-3,FALSE)</f>
        <v>0</v>
      </c>
      <c r="L20">
        <f>+VLOOKUP($C20,ForecastImport!$B$15:$J$394,COLUMN()-3,FALSE)</f>
        <v>2177564.9159643031</v>
      </c>
    </row>
    <row r="21" spans="2:12" x14ac:dyDescent="0.25">
      <c r="B21">
        <v>34</v>
      </c>
      <c r="C21" t="s">
        <v>256</v>
      </c>
      <c r="D21" s="1211" t="e">
        <f>'Sch 1- Rate Base '!E24:G24</f>
        <v>#VALUE!</v>
      </c>
      <c r="E21" s="1736" t="str">
        <f>+VLOOKUP($C21,ForecastImport!$B$15:$J$394,COLUMN()-3,FALSE)</f>
        <v>204-207</v>
      </c>
      <c r="F21">
        <f>+VLOOKUP($C21,ForecastImport!$B$15:$J$394,COLUMN()-3,FALSE)</f>
        <v>399</v>
      </c>
      <c r="G21" t="str">
        <f>+VLOOKUP($C21,ForecastImport!$B$15:$J$394,COLUMN()-3,FALSE)</f>
        <v>DIRECT</v>
      </c>
      <c r="H21" t="str">
        <f>+VLOOKUP($C21,ForecastImport!$B$15:$J$394,COLUMN()-3,FALSE)</f>
        <v>PTD</v>
      </c>
      <c r="I21">
        <f>+VLOOKUP($C21,ForecastImport!$B$15:$J$394,COLUMN()-3,FALSE)</f>
        <v>708735.65050650423</v>
      </c>
      <c r="J21">
        <f>+VLOOKUP($C21,ForecastImport!$B$15:$J$394,COLUMN()-3,FALSE)</f>
        <v>708735.65050650423</v>
      </c>
      <c r="K21">
        <f>+VLOOKUP($C21,ForecastImport!$B$15:$J$394,COLUMN()-3,FALSE)</f>
        <v>0</v>
      </c>
      <c r="L21">
        <f>+VLOOKUP($C21,ForecastImport!$B$15:$J$394,COLUMN()-3,FALSE)</f>
        <v>0</v>
      </c>
    </row>
    <row r="22" spans="2:12" x14ac:dyDescent="0.25">
      <c r="B22">
        <v>35</v>
      </c>
      <c r="C22" t="s">
        <v>442</v>
      </c>
      <c r="D22" s="1211" t="e">
        <f>'Sch 1- Rate Base '!E25:G25</f>
        <v>#VALUE!</v>
      </c>
      <c r="E22" s="1736" t="str">
        <f>+VLOOKUP($C22,ForecastImport!$B$15:$J$394,COLUMN()-3,FALSE)</f>
        <v>204-207</v>
      </c>
      <c r="F22">
        <f>+VLOOKUP($C22,ForecastImport!$B$15:$J$394,COLUMN()-3,FALSE)</f>
        <v>399.1</v>
      </c>
      <c r="G22" t="str">
        <f>+VLOOKUP($C22,ForecastImport!$B$15:$J$394,COLUMN()-3,FALSE)</f>
        <v>PTD</v>
      </c>
      <c r="H22">
        <f>+VLOOKUP($C22,ForecastImport!$B$15:$J$394,COLUMN()-3,FALSE)</f>
        <v>0</v>
      </c>
      <c r="I22">
        <f>+VLOOKUP($C22,ForecastImport!$B$15:$J$394,COLUMN()-3,FALSE)</f>
        <v>15896.576261311178</v>
      </c>
      <c r="J22">
        <f>+VLOOKUP($C22,ForecastImport!$B$15:$J$394,COLUMN()-3,FALSE)</f>
        <v>6997.6115697871464</v>
      </c>
      <c r="K22">
        <f>+VLOOKUP($C22,ForecastImport!$B$15:$J$394,COLUMN()-3,FALSE)</f>
        <v>0</v>
      </c>
      <c r="L22">
        <f>+VLOOKUP($C22,ForecastImport!$B$15:$J$394,COLUMN()-3,FALSE)</f>
        <v>8898.9646915240301</v>
      </c>
    </row>
    <row r="23" spans="2:12" x14ac:dyDescent="0.25">
      <c r="B23">
        <v>44</v>
      </c>
      <c r="C23" t="s">
        <v>88</v>
      </c>
      <c r="D23" s="1211" t="e">
        <f>'Sch 1- Rate Base '!E26:G26</f>
        <v>#VALUE!</v>
      </c>
      <c r="E23">
        <f>+VLOOKUP($C23,ForecastImport!$B$15:$J$394,COLUMN()-3,FALSE)</f>
        <v>219</v>
      </c>
      <c r="F23">
        <f>+VLOOKUP($C23,ForecastImport!$B$15:$J$394,COLUMN()-3,FALSE)</f>
        <v>108</v>
      </c>
      <c r="G23" t="str">
        <f>+VLOOKUP($C23,ForecastImport!$B$15:$J$394,COLUMN()-3,FALSE)</f>
        <v>PROD</v>
      </c>
      <c r="H23">
        <f>+VLOOKUP($C23,ForecastImport!$B$15:$J$394,COLUMN()-3,FALSE)</f>
        <v>0</v>
      </c>
      <c r="I23">
        <f>+VLOOKUP($C23,ForecastImport!$B$15:$J$394,COLUMN()-3,FALSE)</f>
        <v>1888183301.8432956</v>
      </c>
      <c r="J23">
        <f>+VLOOKUP($C23,ForecastImport!$B$15:$J$394,COLUMN()-3,FALSE)</f>
        <v>1888183301.8432956</v>
      </c>
      <c r="K23">
        <f>+VLOOKUP($C23,ForecastImport!$B$15:$J$394,COLUMN()-3,FALSE)</f>
        <v>0</v>
      </c>
      <c r="L23">
        <f>+VLOOKUP($C23,ForecastImport!$B$15:$J$394,COLUMN()-3,FALSE)</f>
        <v>0</v>
      </c>
    </row>
    <row r="24" spans="2:12" x14ac:dyDescent="0.25">
      <c r="B24">
        <v>45</v>
      </c>
      <c r="C24" t="s">
        <v>89</v>
      </c>
      <c r="D24" s="1211" t="e">
        <f>'Sch 1- Rate Base '!E27:G27</f>
        <v>#VALUE!</v>
      </c>
      <c r="E24">
        <f>+VLOOKUP($C24,ForecastImport!$B$15:$J$394,COLUMN()-3,FALSE)</f>
        <v>219</v>
      </c>
      <c r="F24">
        <f>+VLOOKUP($C24,ForecastImport!$B$15:$J$394,COLUMN()-3,FALSE)</f>
        <v>108</v>
      </c>
      <c r="G24" t="str">
        <f>+VLOOKUP($C24,ForecastImport!$B$15:$J$394,COLUMN()-3,FALSE)</f>
        <v>PROD</v>
      </c>
      <c r="H24">
        <f>+VLOOKUP($C24,ForecastImport!$B$15:$J$394,COLUMN()-3,FALSE)</f>
        <v>0</v>
      </c>
      <c r="I24">
        <f>+VLOOKUP($C24,ForecastImport!$B$15:$J$394,COLUMN()-3,FALSE)</f>
        <v>0</v>
      </c>
      <c r="J24">
        <f>+VLOOKUP($C24,ForecastImport!$B$15:$J$394,COLUMN()-3,FALSE)</f>
        <v>0</v>
      </c>
      <c r="K24">
        <f>+VLOOKUP($C24,ForecastImport!$B$15:$J$394,COLUMN()-3,FALSE)</f>
        <v>0</v>
      </c>
      <c r="L24">
        <f>+VLOOKUP($C24,ForecastImport!$B$15:$J$394,COLUMN()-3,FALSE)</f>
        <v>0</v>
      </c>
    </row>
    <row r="25" spans="2:12" x14ac:dyDescent="0.25">
      <c r="B25">
        <v>46</v>
      </c>
      <c r="C25" t="s">
        <v>326</v>
      </c>
      <c r="D25" s="1211" t="e">
        <f>'Sch 1- Rate Base '!E28:G28</f>
        <v>#VALUE!</v>
      </c>
      <c r="E25">
        <f>+VLOOKUP($C25,ForecastImport!$B$15:$J$394,COLUMN()-3,FALSE)</f>
        <v>219</v>
      </c>
      <c r="F25">
        <f>+VLOOKUP($C25,ForecastImport!$B$15:$J$394,COLUMN()-3,FALSE)</f>
        <v>108</v>
      </c>
      <c r="G25" t="str">
        <f>+VLOOKUP($C25,ForecastImport!$B$15:$J$394,COLUMN()-3,FALSE)</f>
        <v>PROD</v>
      </c>
      <c r="H25">
        <f>+VLOOKUP($C25,ForecastImport!$B$15:$J$394,COLUMN()-3,FALSE)</f>
        <v>0</v>
      </c>
      <c r="I25">
        <f>+VLOOKUP($C25,ForecastImport!$B$15:$J$394,COLUMN()-3,FALSE)</f>
        <v>187302448.38277987</v>
      </c>
      <c r="J25">
        <f>+VLOOKUP($C25,ForecastImport!$B$15:$J$394,COLUMN()-3,FALSE)</f>
        <v>187302448.38277987</v>
      </c>
      <c r="K25">
        <f>+VLOOKUP($C25,ForecastImport!$B$15:$J$394,COLUMN()-3,FALSE)</f>
        <v>0</v>
      </c>
      <c r="L25">
        <f>+VLOOKUP($C25,ForecastImport!$B$15:$J$394,COLUMN()-3,FALSE)</f>
        <v>0</v>
      </c>
    </row>
    <row r="26" spans="2:12" x14ac:dyDescent="0.25">
      <c r="B26">
        <v>47</v>
      </c>
      <c r="C26" t="s">
        <v>137</v>
      </c>
      <c r="D26" s="1211" t="e">
        <f>'Sch 1- Rate Base '!E29:G29</f>
        <v>#VALUE!</v>
      </c>
      <c r="E26">
        <f>+VLOOKUP($C26,ForecastImport!$B$15:$J$394,COLUMN()-3,FALSE)</f>
        <v>219</v>
      </c>
      <c r="F26">
        <f>+VLOOKUP($C26,ForecastImport!$B$15:$J$394,COLUMN()-3,FALSE)</f>
        <v>108</v>
      </c>
      <c r="G26" t="str">
        <f>+VLOOKUP($C26,ForecastImport!$B$15:$J$394,COLUMN()-3,FALSE)</f>
        <v>PROD</v>
      </c>
      <c r="H26">
        <f>+VLOOKUP($C26,ForecastImport!$B$15:$J$394,COLUMN()-3,FALSE)</f>
        <v>0</v>
      </c>
      <c r="I26">
        <f>+VLOOKUP($C26,ForecastImport!$B$15:$J$394,COLUMN()-3,FALSE)</f>
        <v>306422821.96464163</v>
      </c>
      <c r="J26">
        <f>+VLOOKUP($C26,ForecastImport!$B$15:$J$394,COLUMN()-3,FALSE)</f>
        <v>306422821.96464163</v>
      </c>
      <c r="K26">
        <f>+VLOOKUP($C26,ForecastImport!$B$15:$J$394,COLUMN()-3,FALSE)</f>
        <v>0</v>
      </c>
      <c r="L26">
        <f>+VLOOKUP($C26,ForecastImport!$B$15:$J$394,COLUMN()-3,FALSE)</f>
        <v>0</v>
      </c>
    </row>
    <row r="27" spans="2:12" x14ac:dyDescent="0.25">
      <c r="B27">
        <v>48</v>
      </c>
      <c r="C27" t="s">
        <v>143</v>
      </c>
      <c r="D27" s="1211" t="e">
        <f>'Sch 1- Rate Base '!E30:G30</f>
        <v>#VALUE!</v>
      </c>
      <c r="E27">
        <f>+VLOOKUP($C27,ForecastImport!$B$15:$J$394,COLUMN()-3,FALSE)</f>
        <v>219</v>
      </c>
      <c r="F27">
        <f>+VLOOKUP($C27,ForecastImport!$B$15:$J$394,COLUMN()-3,FALSE)</f>
        <v>108</v>
      </c>
      <c r="G27" t="str">
        <f>+VLOOKUP($C27,ForecastImport!$B$15:$J$394,COLUMN()-3,FALSE)</f>
        <v>TRANS</v>
      </c>
      <c r="H27">
        <f>+VLOOKUP($C27,ForecastImport!$B$15:$J$394,COLUMN()-3,FALSE)</f>
        <v>0</v>
      </c>
      <c r="I27">
        <f>+VLOOKUP($C27,ForecastImport!$B$15:$J$394,COLUMN()-3,FALSE)</f>
        <v>906356004.76731598</v>
      </c>
      <c r="J27">
        <f>+VLOOKUP($C27,ForecastImport!$B$15:$J$394,COLUMN()-3,FALSE)</f>
        <v>0</v>
      </c>
      <c r="K27">
        <f>+VLOOKUP($C27,ForecastImport!$B$15:$J$394,COLUMN()-3,FALSE)</f>
        <v>0</v>
      </c>
      <c r="L27">
        <f>+VLOOKUP($C27,ForecastImport!$B$15:$J$394,COLUMN()-3,FALSE)</f>
        <v>906356004.76731598</v>
      </c>
    </row>
    <row r="28" spans="2:12" x14ac:dyDescent="0.25">
      <c r="B28">
        <v>49</v>
      </c>
      <c r="C28" t="s">
        <v>140</v>
      </c>
      <c r="D28" s="1211" t="e">
        <f>'Sch 1- Rate Base '!E31:G31</f>
        <v>#VALUE!</v>
      </c>
      <c r="E28" s="1736" t="str">
        <f>+VLOOKUP($C28,ForecastImport!$B$15:$J$394,COLUMN()-3,FALSE)</f>
        <v>204-207</v>
      </c>
      <c r="F28" s="1736" t="str">
        <f>+VLOOKUP($C28,ForecastImport!$B$15:$J$394,COLUMN()-3,FALSE)</f>
        <v>360-374</v>
      </c>
      <c r="G28" t="str">
        <f>+VLOOKUP($C28,ForecastImport!$B$15:$J$394,COLUMN()-3,FALSE)</f>
        <v>DIST</v>
      </c>
      <c r="H28">
        <f>+VLOOKUP($C28,ForecastImport!$B$15:$J$394,COLUMN()-3,FALSE)</f>
        <v>0</v>
      </c>
      <c r="I28">
        <f>+VLOOKUP($C28,ForecastImport!$B$15:$J$394,COLUMN()-3,FALSE)</f>
        <v>3803344740.5943408</v>
      </c>
      <c r="J28">
        <f>+VLOOKUP($C28,ForecastImport!$B$15:$J$394,COLUMN()-3,FALSE)</f>
        <v>0</v>
      </c>
      <c r="K28">
        <f>+VLOOKUP($C28,ForecastImport!$B$15:$J$394,COLUMN()-3,FALSE)</f>
        <v>0</v>
      </c>
      <c r="L28">
        <f>+VLOOKUP($C28,ForecastImport!$B$15:$J$394,COLUMN()-3,FALSE)</f>
        <v>3803344740.5943408</v>
      </c>
    </row>
    <row r="29" spans="2:12" x14ac:dyDescent="0.25">
      <c r="B29">
        <v>50</v>
      </c>
      <c r="C29" t="s">
        <v>92</v>
      </c>
      <c r="D29" s="1211" t="e">
        <f>'Sch 1- Rate Base '!E32:G32</f>
        <v>#VALUE!</v>
      </c>
      <c r="E29">
        <f>+VLOOKUP($C29,ForecastImport!$B$15:$J$394,COLUMN()-3,FALSE)</f>
        <v>219</v>
      </c>
      <c r="F29">
        <f>+VLOOKUP($C29,ForecastImport!$B$15:$J$394,COLUMN()-3,FALSE)</f>
        <v>108</v>
      </c>
      <c r="G29" t="str">
        <f>+VLOOKUP($C29,ForecastImport!$B$15:$J$394,COLUMN()-3,FALSE)</f>
        <v>GP</v>
      </c>
      <c r="H29">
        <f>+VLOOKUP($C29,ForecastImport!$B$15:$J$394,COLUMN()-3,FALSE)</f>
        <v>0</v>
      </c>
      <c r="I29">
        <f>+VLOOKUP($C29,ForecastImport!$B$15:$J$394,COLUMN()-3,FALSE)</f>
        <v>251101823.88277176</v>
      </c>
      <c r="J29">
        <f>+VLOOKUP($C29,ForecastImport!$B$15:$J$394,COLUMN()-3,FALSE)</f>
        <v>80500314.121511534</v>
      </c>
      <c r="K29">
        <f>+VLOOKUP($C29,ForecastImport!$B$15:$J$394,COLUMN()-3,FALSE)</f>
        <v>0</v>
      </c>
      <c r="L29">
        <f>+VLOOKUP($C29,ForecastImport!$B$15:$J$394,COLUMN()-3,FALSE)</f>
        <v>170601509.76126027</v>
      </c>
    </row>
    <row r="30" spans="2:12" x14ac:dyDescent="0.25">
      <c r="B30">
        <v>51</v>
      </c>
      <c r="C30" t="s">
        <v>370</v>
      </c>
      <c r="D30" s="1211" t="e">
        <f>'Sch 1- Rate Base '!E33:G33</f>
        <v>#VALUE!</v>
      </c>
      <c r="E30">
        <f>+VLOOKUP($C30,ForecastImport!$B$15:$J$394,COLUMN()-3,FALSE)</f>
        <v>219</v>
      </c>
      <c r="F30">
        <f>+VLOOKUP($C30,ForecastImport!$B$15:$J$394,COLUMN()-3,FALSE)</f>
        <v>111</v>
      </c>
      <c r="G30" t="str">
        <f>+VLOOKUP($C30,ForecastImport!$B$15:$J$394,COLUMN()-3,FALSE)</f>
        <v>DIST</v>
      </c>
      <c r="H30" t="str">
        <f>+VLOOKUP($C30,ForecastImport!$B$15:$J$394,COLUMN()-3,FALSE)</f>
        <v xml:space="preserve"> </v>
      </c>
      <c r="I30">
        <f>+VLOOKUP($C30,ForecastImport!$B$15:$J$394,COLUMN()-3,FALSE)</f>
        <v>0</v>
      </c>
      <c r="J30">
        <f>+VLOOKUP($C30,ForecastImport!$B$15:$J$394,COLUMN()-3,FALSE)</f>
        <v>0</v>
      </c>
      <c r="K30">
        <f>+VLOOKUP($C30,ForecastImport!$B$15:$J$394,COLUMN()-3,FALSE)</f>
        <v>0</v>
      </c>
      <c r="L30">
        <f>+VLOOKUP($C30,ForecastImport!$B$15:$J$394,COLUMN()-3,FALSE)</f>
        <v>0</v>
      </c>
    </row>
    <row r="31" spans="2:12" x14ac:dyDescent="0.25">
      <c r="B31">
        <v>52</v>
      </c>
      <c r="C31" t="s">
        <v>371</v>
      </c>
      <c r="D31" s="1211" t="e">
        <f>'Sch 1- Rate Base '!E34:G34</f>
        <v>#VALUE!</v>
      </c>
      <c r="E31">
        <f>+VLOOKUP($C31,ForecastImport!$B$15:$J$394,COLUMN()-3,FALSE)</f>
        <v>219</v>
      </c>
      <c r="F31">
        <f>+VLOOKUP($C31,ForecastImport!$B$15:$J$394,COLUMN()-3,FALSE)</f>
        <v>111</v>
      </c>
      <c r="G31" t="str">
        <f>+VLOOKUP($C31,ForecastImport!$B$15:$J$394,COLUMN()-3,FALSE)</f>
        <v>DIRECT</v>
      </c>
      <c r="H31" t="str">
        <f>+VLOOKUP($C31,ForecastImport!$B$15:$J$394,COLUMN()-3,FALSE)</f>
        <v>PTD</v>
      </c>
      <c r="I31">
        <f>+VLOOKUP($C31,ForecastImport!$B$15:$J$394,COLUMN()-3,FALSE)</f>
        <v>35416807.173216134</v>
      </c>
      <c r="J31">
        <f>+VLOOKUP($C31,ForecastImport!$B$15:$J$394,COLUMN()-3,FALSE)</f>
        <v>35416807.173216134</v>
      </c>
      <c r="K31">
        <f>+VLOOKUP($C31,ForecastImport!$B$15:$J$394,COLUMN()-3,FALSE)</f>
        <v>0</v>
      </c>
      <c r="L31">
        <f>+VLOOKUP($C31,ForecastImport!$B$15:$J$394,COLUMN()-3,FALSE)</f>
        <v>760277.10117285547</v>
      </c>
    </row>
    <row r="32" spans="2:12" x14ac:dyDescent="0.25">
      <c r="B32">
        <v>53</v>
      </c>
      <c r="C32" t="s">
        <v>399</v>
      </c>
      <c r="D32" s="1211" t="e">
        <f>'Sch 1- Rate Base '!E35:G35</f>
        <v>#VALUE!</v>
      </c>
      <c r="E32">
        <f>+VLOOKUP($C32,ForecastImport!$B$15:$J$394,COLUMN()-3,FALSE)</f>
        <v>219</v>
      </c>
      <c r="F32">
        <f>+VLOOKUP($C32,ForecastImport!$B$15:$J$394,COLUMN()-3,FALSE)</f>
        <v>111</v>
      </c>
      <c r="G32" t="str">
        <f>+VLOOKUP($C32,ForecastImport!$B$15:$J$394,COLUMN()-3,FALSE)</f>
        <v>DIRECT</v>
      </c>
      <c r="H32" t="str">
        <f>+VLOOKUP($C32,ForecastImport!$B$15:$J$394,COLUMN()-3,FALSE)</f>
        <v>DIST</v>
      </c>
      <c r="I32">
        <f>+VLOOKUP($C32,ForecastImport!$B$15:$J$394,COLUMN()-3,FALSE)</f>
        <v>276506512.18180609</v>
      </c>
      <c r="J32">
        <f>+VLOOKUP($C32,ForecastImport!$B$15:$J$394,COLUMN()-3,FALSE)</f>
        <v>91794315.274003834</v>
      </c>
      <c r="K32">
        <f>+VLOOKUP($C32,ForecastImport!$B$15:$J$394,COLUMN()-3,FALSE)</f>
        <v>0</v>
      </c>
      <c r="L32">
        <f>+VLOOKUP($C32,ForecastImport!$B$15:$J$394,COLUMN()-3,FALSE)</f>
        <v>184712196.90780222</v>
      </c>
    </row>
    <row r="33" spans="2:12" x14ac:dyDescent="0.25">
      <c r="B33">
        <v>54</v>
      </c>
      <c r="C33" t="s">
        <v>253</v>
      </c>
      <c r="D33" s="1211" t="e">
        <f>'Sch 1- Rate Base '!E36:G36</f>
        <v>#VALUE!</v>
      </c>
      <c r="E33">
        <f>+VLOOKUP($C33,ForecastImport!$B$15:$J$394,COLUMN()-3,FALSE)</f>
        <v>219</v>
      </c>
      <c r="F33">
        <f>+VLOOKUP($C33,ForecastImport!$B$15:$J$394,COLUMN()-3,FALSE)</f>
        <v>108</v>
      </c>
      <c r="G33" t="str">
        <f>+VLOOKUP($C33,ForecastImport!$B$15:$J$394,COLUMN()-3,FALSE)</f>
        <v>PROD</v>
      </c>
      <c r="H33">
        <f>+VLOOKUP($C33,ForecastImport!$B$15:$J$394,COLUMN()-3,FALSE)</f>
        <v>0</v>
      </c>
      <c r="I33">
        <f>+VLOOKUP($C33,ForecastImport!$B$15:$J$394,COLUMN()-3,FALSE)</f>
        <v>0</v>
      </c>
      <c r="J33">
        <f>+VLOOKUP($C33,ForecastImport!$B$15:$J$394,COLUMN()-3,FALSE)</f>
        <v>0</v>
      </c>
      <c r="K33">
        <f>+VLOOKUP($C33,ForecastImport!$B$15:$J$394,COLUMN()-3,FALSE)</f>
        <v>0</v>
      </c>
      <c r="L33">
        <f>+VLOOKUP($C33,ForecastImport!$B$15:$J$394,COLUMN()-3,FALSE)</f>
        <v>0</v>
      </c>
    </row>
    <row r="34" spans="2:12" x14ac:dyDescent="0.25">
      <c r="B34">
        <v>55</v>
      </c>
      <c r="C34" t="s">
        <v>28</v>
      </c>
      <c r="D34" s="1211" t="e">
        <f>'Sch 1- Rate Base '!E37:G37</f>
        <v>#VALUE!</v>
      </c>
      <c r="E34">
        <f>+VLOOKUP($C34,ForecastImport!$B$15:$J$394,COLUMN()-3,FALSE)</f>
        <v>219</v>
      </c>
      <c r="F34">
        <f>+VLOOKUP($C34,ForecastImport!$B$15:$J$394,COLUMN()-3,FALSE)</f>
        <v>111</v>
      </c>
      <c r="G34" t="str">
        <f>+VLOOKUP($C34,ForecastImport!$B$15:$J$394,COLUMN()-3,FALSE)</f>
        <v>DIST</v>
      </c>
      <c r="H34">
        <f>+VLOOKUP($C34,ForecastImport!$B$15:$J$394,COLUMN()-3,FALSE)</f>
        <v>0</v>
      </c>
      <c r="I34">
        <f>+VLOOKUP($C34,ForecastImport!$B$15:$J$394,COLUMN()-3,FALSE)</f>
        <v>0</v>
      </c>
      <c r="J34">
        <f>+VLOOKUP($C34,ForecastImport!$B$15:$J$394,COLUMN()-3,FALSE)</f>
        <v>0</v>
      </c>
      <c r="K34">
        <f>+VLOOKUP($C34,ForecastImport!$B$15:$J$394,COLUMN()-3,FALSE)</f>
        <v>0</v>
      </c>
      <c r="L34">
        <f>+VLOOKUP($C34,ForecastImport!$B$15:$J$394,COLUMN()-3,FALSE)</f>
        <v>0</v>
      </c>
    </row>
    <row r="35" spans="2:12" x14ac:dyDescent="0.25">
      <c r="B35">
        <v>56</v>
      </c>
      <c r="C35" t="s">
        <v>29</v>
      </c>
      <c r="D35" s="1211" t="e">
        <f>'Sch 1- Rate Base '!E38:G38</f>
        <v>#VALUE!</v>
      </c>
      <c r="E35">
        <f>+VLOOKUP($C35,ForecastImport!$B$15:$J$394,COLUMN()-3,FALSE)</f>
        <v>219</v>
      </c>
      <c r="F35">
        <f>+VLOOKUP($C35,ForecastImport!$B$15:$J$394,COLUMN()-3,FALSE)</f>
        <v>108</v>
      </c>
      <c r="G35" t="str">
        <f>+VLOOKUP($C35,ForecastImport!$B$15:$J$394,COLUMN()-3,FALSE)</f>
        <v>DIRECT</v>
      </c>
      <c r="H35" t="str">
        <f>+VLOOKUP($C35,ForecastImport!$B$15:$J$394,COLUMN()-3,FALSE)</f>
        <v>PTD</v>
      </c>
      <c r="I35">
        <f>+VLOOKUP($C35,ForecastImport!$B$15:$J$394,COLUMN()-3,FALSE)</f>
        <v>0</v>
      </c>
      <c r="J35">
        <f>+VLOOKUP($C35,ForecastImport!$B$15:$J$394,COLUMN()-3,FALSE)</f>
        <v>0</v>
      </c>
      <c r="K35">
        <f>+VLOOKUP($C35,ForecastImport!$B$15:$J$394,COLUMN()-3,FALSE)</f>
        <v>0</v>
      </c>
      <c r="L35">
        <f>+VLOOKUP($C35,ForecastImport!$B$15:$J$394,COLUMN()-3,FALSE)</f>
        <v>0</v>
      </c>
    </row>
    <row r="36" spans="2:12" x14ac:dyDescent="0.25">
      <c r="B36">
        <v>57</v>
      </c>
      <c r="C36" t="s">
        <v>162</v>
      </c>
      <c r="D36" s="1211" t="e">
        <f>'Sch 1- Rate Base '!E39:G39</f>
        <v>#VALUE!</v>
      </c>
      <c r="E36" s="1736" t="str">
        <f>+VLOOKUP($C36,ForecastImport!$B$15:$J$394,COLUMN()-3,FALSE)</f>
        <v>200-201</v>
      </c>
      <c r="F36">
        <f>+VLOOKUP($C36,ForecastImport!$B$15:$J$394,COLUMN()-3,FALSE)</f>
        <v>108</v>
      </c>
      <c r="G36" t="str">
        <f>+VLOOKUP($C36,ForecastImport!$B$15:$J$394,COLUMN()-3,FALSE)</f>
        <v>DIRECT</v>
      </c>
      <c r="H36" t="str">
        <f>+VLOOKUP($C36,ForecastImport!$B$15:$J$394,COLUMN()-3,FALSE)</f>
        <v>DIST</v>
      </c>
      <c r="I36">
        <f>+VLOOKUP($C36,ForecastImport!$B$15:$J$394,COLUMN()-3,FALSE)</f>
        <v>0</v>
      </c>
      <c r="J36">
        <f>+VLOOKUP($C36,ForecastImport!$B$15:$J$394,COLUMN()-3,FALSE)</f>
        <v>0</v>
      </c>
      <c r="K36">
        <f>+VLOOKUP($C36,ForecastImport!$B$15:$J$394,COLUMN()-3,FALSE)</f>
        <v>0</v>
      </c>
      <c r="L36">
        <f>+VLOOKUP($C36,ForecastImport!$B$15:$J$394,COLUMN()-3,FALSE)</f>
        <v>0</v>
      </c>
    </row>
    <row r="37" spans="2:12" x14ac:dyDescent="0.25">
      <c r="B37">
        <v>58</v>
      </c>
      <c r="C37" t="s">
        <v>400</v>
      </c>
      <c r="D37" s="1211" t="e">
        <f>'Sch 1- Rate Base '!E40:G40</f>
        <v>#VALUE!</v>
      </c>
      <c r="E37" s="1736" t="str">
        <f>+VLOOKUP($C37,ForecastImport!$B$15:$J$394,COLUMN()-3,FALSE)</f>
        <v>200-201</v>
      </c>
      <c r="F37">
        <f>+VLOOKUP($C37,ForecastImport!$B$15:$J$394,COLUMN()-3,FALSE)</f>
        <v>108</v>
      </c>
      <c r="G37" t="str">
        <f>+VLOOKUP($C37,ForecastImport!$B$15:$J$394,COLUMN()-3,FALSE)</f>
        <v>DIRECT</v>
      </c>
      <c r="H37" t="str">
        <f>+VLOOKUP($C37,ForecastImport!$B$15:$J$394,COLUMN()-3,FALSE)</f>
        <v>PTD</v>
      </c>
      <c r="I37">
        <f>+VLOOKUP($C37,ForecastImport!$B$15:$J$394,COLUMN()-3,FALSE)</f>
        <v>0</v>
      </c>
      <c r="J37">
        <f>+VLOOKUP($C37,ForecastImport!$B$15:$J$394,COLUMN()-3,FALSE)</f>
        <v>0</v>
      </c>
      <c r="K37">
        <f>+VLOOKUP($C37,ForecastImport!$B$15:$J$394,COLUMN()-3,FALSE)</f>
        <v>0</v>
      </c>
      <c r="L37">
        <f>+VLOOKUP($C37,ForecastImport!$B$15:$J$394,COLUMN()-3,FALSE)</f>
        <v>0</v>
      </c>
    </row>
    <row r="38" spans="2:12" x14ac:dyDescent="0.25">
      <c r="B38">
        <v>59</v>
      </c>
      <c r="C38" t="s">
        <v>401</v>
      </c>
      <c r="D38" s="1211" t="e">
        <f>'Sch 1- Rate Base '!E41:G41</f>
        <v>#VALUE!</v>
      </c>
      <c r="E38" s="1736" t="str">
        <f>+VLOOKUP($C38,ForecastImport!$B$15:$J$394,COLUMN()-3,FALSE)</f>
        <v>200-201</v>
      </c>
      <c r="F38">
        <f>+VLOOKUP($C38,ForecastImport!$B$15:$J$394,COLUMN()-3,FALSE)</f>
        <v>108</v>
      </c>
      <c r="G38" t="str">
        <f>+VLOOKUP($C38,ForecastImport!$B$15:$J$394,COLUMN()-3,FALSE)</f>
        <v>DIRECT</v>
      </c>
      <c r="H38" t="str">
        <f>+VLOOKUP($C38,ForecastImport!$B$15:$J$394,COLUMN()-3,FALSE)</f>
        <v>DIST</v>
      </c>
      <c r="I38">
        <f>+VLOOKUP($C38,ForecastImport!$B$15:$J$394,COLUMN()-3,FALSE)</f>
        <v>9421530.1671775989</v>
      </c>
      <c r="J38">
        <f>+VLOOKUP($C38,ForecastImport!$B$15:$J$394,COLUMN()-3,FALSE)</f>
        <v>4095506.2400422441</v>
      </c>
      <c r="K38">
        <f>+VLOOKUP($C38,ForecastImport!$B$15:$J$394,COLUMN()-3,FALSE)</f>
        <v>0</v>
      </c>
      <c r="L38">
        <f>+VLOOKUP($C38,ForecastImport!$B$15:$J$394,COLUMN()-3,FALSE)</f>
        <v>6734436.0757155614</v>
      </c>
    </row>
    <row r="39" spans="2:12" x14ac:dyDescent="0.25">
      <c r="B39">
        <v>60</v>
      </c>
      <c r="C39" t="s">
        <v>547</v>
      </c>
      <c r="D39" s="1211" t="e">
        <f>'Sch 1- Rate Base '!E42:G42</f>
        <v>#VALUE!</v>
      </c>
      <c r="E39" s="1736" t="str">
        <f>+VLOOKUP($C39,ForecastImport!$B$15:$J$394,COLUMN()-3,FALSE)</f>
        <v>200-201</v>
      </c>
      <c r="F39">
        <f>+VLOOKUP($C39,ForecastImport!$B$15:$J$394,COLUMN()-3,FALSE)</f>
        <v>115</v>
      </c>
      <c r="G39" t="str">
        <f>+VLOOKUP($C39,ForecastImport!$B$15:$J$394,COLUMN()-3,FALSE)</f>
        <v>DIRECT</v>
      </c>
      <c r="H39" t="str">
        <f>+VLOOKUP($C39,ForecastImport!$B$15:$J$394,COLUMN()-3,FALSE)</f>
        <v>DIST</v>
      </c>
      <c r="I39">
        <f>+VLOOKUP($C39,ForecastImport!$B$15:$J$394,COLUMN()-3,FALSE)</f>
        <v>56998656.093805373</v>
      </c>
      <c r="J39">
        <f>+VLOOKUP($C39,ForecastImport!$B$15:$J$394,COLUMN()-3,FALSE)</f>
        <v>56998656</v>
      </c>
      <c r="K39">
        <f>+VLOOKUP($C39,ForecastImport!$B$15:$J$394,COLUMN()-3,FALSE)</f>
        <v>0</v>
      </c>
      <c r="L39">
        <f>+VLOOKUP($C39,ForecastImport!$B$15:$J$394,COLUMN()-3,FALSE)</f>
        <v>0</v>
      </c>
    </row>
    <row r="40" spans="2:12" x14ac:dyDescent="0.25">
      <c r="B40">
        <v>71</v>
      </c>
      <c r="C40" t="s">
        <v>144</v>
      </c>
      <c r="D40" s="1211" t="e">
        <f>'Sch 1- Rate Base '!E43:G43</f>
        <v>#VALUE!</v>
      </c>
      <c r="E40" s="1736">
        <v>0</v>
      </c>
      <c r="F40">
        <f>+VLOOKUP($C40,ForecastImport!$B$15:$J$394,COLUMN()-3,FALSE)</f>
        <v>0</v>
      </c>
      <c r="G40">
        <f>+VLOOKUP($C40,ForecastImport!$B$15:$J$394,COLUMN()-3,FALSE)</f>
        <v>0</v>
      </c>
      <c r="H40">
        <f>+VLOOKUP($C40,ForecastImport!$B$15:$J$394,COLUMN()-3,FALSE)</f>
        <v>0</v>
      </c>
      <c r="I40">
        <f>+VLOOKUP($C40,ForecastImport!$B$15:$J$394,COLUMN()-3,FALSE)</f>
        <v>181575345.50577956</v>
      </c>
      <c r="J40">
        <f>+VLOOKUP($C40,ForecastImport!$B$15:$J$394,COLUMN()-3,FALSE)</f>
        <v>79592024.492308259</v>
      </c>
      <c r="K40">
        <f>+VLOOKUP($C40,ForecastImport!$B$15:$J$394,COLUMN()-3,FALSE)</f>
        <v>23892855.711776573</v>
      </c>
      <c r="L40">
        <f>+VLOOKUP($C40,ForecastImport!$B$15:$J$394,COLUMN()-3,FALSE)</f>
        <v>78090465.301694751</v>
      </c>
    </row>
    <row r="41" spans="2:12" x14ac:dyDescent="0.25">
      <c r="B41">
        <v>72</v>
      </c>
      <c r="C41" t="s">
        <v>752</v>
      </c>
      <c r="D41" s="1211" t="e">
        <f>'Sch 1- Rate Base '!E44:G44</f>
        <v>#VALUE!</v>
      </c>
      <c r="E41" s="1736">
        <f>+VLOOKUP($C41,ForecastImport!$B$15:$J$394,COLUMN()-3,FALSE)</f>
        <v>0</v>
      </c>
      <c r="F41">
        <f>+VLOOKUP($C41,ForecastImport!$B$15:$J$394,COLUMN()-3,FALSE)</f>
        <v>0</v>
      </c>
      <c r="G41">
        <f>+VLOOKUP($C41,ForecastImport!$B$15:$J$394,COLUMN()-3,FALSE)</f>
        <v>0</v>
      </c>
      <c r="H41">
        <f>+VLOOKUP($C41,ForecastImport!$B$15:$J$394,COLUMN()-3,FALSE)</f>
        <v>0</v>
      </c>
      <c r="I41">
        <f>+VLOOKUP($C41,ForecastImport!$B$15:$J$394,COLUMN()-3,FALSE)</f>
        <v>0</v>
      </c>
      <c r="J41">
        <f>+VLOOKUP($C41,ForecastImport!$B$15:$J$394,COLUMN()-3,FALSE)</f>
        <v>0</v>
      </c>
      <c r="K41">
        <f>+VLOOKUP($C41,ForecastImport!$B$15:$J$394,COLUMN()-3,FALSE)</f>
        <v>0</v>
      </c>
      <c r="L41">
        <f>+VLOOKUP($C41,ForecastImport!$B$15:$J$394,COLUMN()-3,FALSE)</f>
        <v>0</v>
      </c>
    </row>
    <row r="42" spans="2:12" x14ac:dyDescent="0.25">
      <c r="B42">
        <v>74</v>
      </c>
      <c r="C42" t="s">
        <v>433</v>
      </c>
      <c r="D42" s="1211" t="e">
        <f>'Sch 1- Rate Base '!E45:G45</f>
        <v>#VALUE!</v>
      </c>
      <c r="E42" s="1736" t="str">
        <f>+VLOOKUP($C42,ForecastImport!$B$15:$J$394,COLUMN()-3,FALSE)</f>
        <v>200-201</v>
      </c>
      <c r="F42">
        <f>+VLOOKUP($C42,ForecastImport!$B$15:$J$394,COLUMN()-3,FALSE)</f>
        <v>105</v>
      </c>
      <c r="G42" t="str">
        <f>+VLOOKUP($C42,ForecastImport!$B$15:$J$394,COLUMN()-3,FALSE)</f>
        <v>DIST</v>
      </c>
      <c r="H42">
        <f>+VLOOKUP($C42,ForecastImport!$B$15:$J$394,COLUMN()-3,FALSE)</f>
        <v>0</v>
      </c>
      <c r="I42">
        <f>+VLOOKUP($C42,ForecastImport!$B$15:$J$394,COLUMN()-3,FALSE)</f>
        <v>7741084.2436203277</v>
      </c>
      <c r="J42">
        <f>+VLOOKUP($C42,ForecastImport!$B$15:$J$394,COLUMN()-3,FALSE)</f>
        <v>0</v>
      </c>
      <c r="K42">
        <f>+VLOOKUP($C42,ForecastImport!$B$15:$J$394,COLUMN()-3,FALSE)</f>
        <v>0</v>
      </c>
      <c r="L42">
        <f>+VLOOKUP($C42,ForecastImport!$B$15:$J$394,COLUMN()-3,FALSE)</f>
        <v>7741084.2436203277</v>
      </c>
    </row>
    <row r="43" spans="2:12" x14ac:dyDescent="0.25">
      <c r="B43">
        <v>75</v>
      </c>
      <c r="C43" t="s">
        <v>77</v>
      </c>
      <c r="D43" s="1211" t="e">
        <f>'Sch 1- Rate Base '!E46:G46</f>
        <v>#VALUE!</v>
      </c>
      <c r="E43" s="1736" t="str">
        <f>+VLOOKUP($C43,ForecastImport!$B$15:$J$394,COLUMN()-3,FALSE)</f>
        <v>200-201</v>
      </c>
      <c r="F43">
        <f>+VLOOKUP($C43,ForecastImport!$B$15:$J$394,COLUMN()-3,FALSE)</f>
        <v>106</v>
      </c>
      <c r="G43" t="str">
        <f>+VLOOKUP($C43,ForecastImport!$B$15:$J$394,COLUMN()-3,FALSE)</f>
        <v>PTD</v>
      </c>
      <c r="H43">
        <f>+VLOOKUP($C43,ForecastImport!$B$15:$J$394,COLUMN()-3,FALSE)</f>
        <v>0</v>
      </c>
      <c r="I43">
        <f>+VLOOKUP($C43,ForecastImport!$B$15:$J$394,COLUMN()-3,FALSE)</f>
        <v>223281401.39533675</v>
      </c>
      <c r="J43">
        <f>+VLOOKUP($C43,ForecastImport!$B$15:$J$394,COLUMN()-3,FALSE)</f>
        <v>98287611.875579029</v>
      </c>
      <c r="K43">
        <f>+VLOOKUP($C43,ForecastImport!$B$15:$J$394,COLUMN()-3,FALSE)</f>
        <v>0</v>
      </c>
      <c r="L43">
        <f>+VLOOKUP($C43,ForecastImport!$B$15:$J$394,COLUMN()-3,FALSE)</f>
        <v>124993789.51975769</v>
      </c>
    </row>
    <row r="44" spans="2:12" x14ac:dyDescent="0.25">
      <c r="B44">
        <v>76</v>
      </c>
      <c r="C44" t="s">
        <v>476</v>
      </c>
      <c r="D44" s="1211" t="e">
        <f>'Sch 1- Rate Base '!E47:G47</f>
        <v>#VALUE!</v>
      </c>
      <c r="E44" s="1736" t="str">
        <f>+VLOOKUP($C44,ForecastImport!$B$15:$J$394,COLUMN()-3,FALSE)</f>
        <v>320-323</v>
      </c>
      <c r="F44" s="1736" t="str">
        <f>+VLOOKUP($C44,ForecastImport!$B$15:$J$394,COLUMN()-3,FALSE)</f>
        <v>120.1-120.6</v>
      </c>
      <c r="G44" t="str">
        <f>+VLOOKUP($C44,ForecastImport!$B$15:$J$394,COLUMN()-3,FALSE)</f>
        <v>PROD</v>
      </c>
      <c r="H44">
        <f>+VLOOKUP($C44,ForecastImport!$B$15:$J$394,COLUMN()-3,FALSE)</f>
        <v>0</v>
      </c>
      <c r="I44">
        <f>+VLOOKUP($C44,ForecastImport!$B$15:$J$394,COLUMN()-3,FALSE)</f>
        <v>0</v>
      </c>
      <c r="J44">
        <f>+VLOOKUP($C44,ForecastImport!$B$15:$J$394,COLUMN()-3,FALSE)</f>
        <v>0</v>
      </c>
      <c r="K44">
        <f>+VLOOKUP($C44,ForecastImport!$B$15:$J$394,COLUMN()-3,FALSE)</f>
        <v>0</v>
      </c>
      <c r="L44">
        <f>+VLOOKUP($C44,ForecastImport!$B$15:$J$394,COLUMN()-3,FALSE)</f>
        <v>0</v>
      </c>
    </row>
    <row r="45" spans="2:12" x14ac:dyDescent="0.25">
      <c r="B45">
        <v>77</v>
      </c>
      <c r="C45" t="s">
        <v>80</v>
      </c>
      <c r="D45" s="1211" t="e">
        <f>'Sch 1- Rate Base '!E48:G48</f>
        <v>#VALUE!</v>
      </c>
      <c r="E45" s="1736" t="str">
        <f>+VLOOKUP($C45,ForecastImport!$B$15:$J$394,COLUMN()-3,FALSE)</f>
        <v>200-201</v>
      </c>
      <c r="F45" s="1736" t="str">
        <f>+VLOOKUP($C45,ForecastImport!$B$15:$J$394,COLUMN()-3,FALSE)</f>
        <v>107 &amp; 120.1</v>
      </c>
      <c r="G45" t="str">
        <f>+VLOOKUP($C45,ForecastImport!$B$15:$J$394,COLUMN()-3,FALSE)</f>
        <v>DIST</v>
      </c>
      <c r="H45">
        <f>+VLOOKUP($C45,ForecastImport!$B$15:$J$394,COLUMN()-3,FALSE)</f>
        <v>0</v>
      </c>
      <c r="I45">
        <f>+VLOOKUP($C45,ForecastImport!$B$15:$J$394,COLUMN()-3,FALSE)</f>
        <v>1893858706.006402</v>
      </c>
      <c r="J45">
        <f>+VLOOKUP($C45,ForecastImport!$B$15:$J$394,COLUMN()-3,FALSE)</f>
        <v>0</v>
      </c>
      <c r="K45">
        <f>+VLOOKUP($C45,ForecastImport!$B$15:$J$394,COLUMN()-3,FALSE)</f>
        <v>0</v>
      </c>
      <c r="L45">
        <f>+VLOOKUP($C45,ForecastImport!$B$15:$J$394,COLUMN()-3,FALSE)</f>
        <v>1893858706.006402</v>
      </c>
    </row>
    <row r="46" spans="2:12" x14ac:dyDescent="0.25">
      <c r="B46">
        <v>78</v>
      </c>
      <c r="C46" t="s">
        <v>224</v>
      </c>
      <c r="D46" s="1211" t="e">
        <f>'Sch 1- Rate Base '!E49:G49</f>
        <v>#VALUE!</v>
      </c>
      <c r="E46" s="1736">
        <f>+VLOOKUP($C46,ForecastImport!$B$15:$J$394,COLUMN()-3,FALSE)</f>
        <v>356</v>
      </c>
      <c r="F46">
        <f>+VLOOKUP($C46,ForecastImport!$B$15:$J$394,COLUMN()-3,FALSE)</f>
        <v>0</v>
      </c>
      <c r="G46" t="str">
        <f>+VLOOKUP($C46,ForecastImport!$B$15:$J$394,COLUMN()-3,FALSE)</f>
        <v>DIRECT</v>
      </c>
      <c r="H46">
        <f>+VLOOKUP($C46,ForecastImport!$B$15:$J$394,COLUMN()-3,FALSE)</f>
        <v>0</v>
      </c>
      <c r="I46">
        <f>+VLOOKUP($C46,ForecastImport!$B$15:$J$394,COLUMN()-3,FALSE)</f>
        <v>0</v>
      </c>
      <c r="J46">
        <f>+VLOOKUP($C46,ForecastImport!$B$15:$J$394,COLUMN()-3,FALSE)</f>
        <v>0</v>
      </c>
      <c r="K46">
        <f>+VLOOKUP($C46,ForecastImport!$B$15:$J$394,COLUMN()-3,FALSE)</f>
        <v>0</v>
      </c>
      <c r="L46">
        <f>+VLOOKUP($C46,ForecastImport!$B$15:$J$394,COLUMN()-3,FALSE)</f>
        <v>0</v>
      </c>
    </row>
    <row r="47" spans="2:12" x14ac:dyDescent="0.25">
      <c r="B47">
        <v>79</v>
      </c>
      <c r="C47" t="s">
        <v>71</v>
      </c>
      <c r="D47" s="1211" t="e">
        <f>'Sch 1- Rate Base '!E50:G50</f>
        <v>#VALUE!</v>
      </c>
      <c r="E47" s="1736" t="str">
        <f>+VLOOKUP($C47,ForecastImport!$B$15:$J$394,COLUMN()-3,FALSE)</f>
        <v>200-201</v>
      </c>
      <c r="F47">
        <f>+VLOOKUP($C47,ForecastImport!$B$15:$J$394,COLUMN()-3,FALSE)</f>
        <v>114</v>
      </c>
      <c r="G47" t="str">
        <f>+VLOOKUP($C47,ForecastImport!$B$15:$J$394,COLUMN()-3,FALSE)</f>
        <v>DIRECT</v>
      </c>
      <c r="H47" t="str">
        <f>+VLOOKUP($C47,ForecastImport!$B$15:$J$394,COLUMN()-3,FALSE)</f>
        <v>DIST</v>
      </c>
      <c r="I47">
        <f>+VLOOKUP($C47,ForecastImport!$B$15:$J$394,COLUMN()-3,FALSE)</f>
        <v>58063393.551475897</v>
      </c>
      <c r="J47">
        <f>+VLOOKUP($C47,ForecastImport!$B$15:$J$394,COLUMN()-3,FALSE)</f>
        <v>58063393.549999997</v>
      </c>
      <c r="K47">
        <f>+VLOOKUP($C47,ForecastImport!$B$15:$J$394,COLUMN()-3,FALSE)</f>
        <v>0</v>
      </c>
      <c r="L47">
        <f>+VLOOKUP($C47,ForecastImport!$B$15:$J$394,COLUMN()-3,FALSE)</f>
        <v>0</v>
      </c>
    </row>
    <row r="48" spans="2:12" x14ac:dyDescent="0.25">
      <c r="B48">
        <v>82</v>
      </c>
      <c r="C48" t="s">
        <v>444</v>
      </c>
      <c r="D48" s="1211" t="e">
        <f>'Sch 1- Rate Base '!E51:G51</f>
        <v>#VALUE!</v>
      </c>
      <c r="E48" s="1736" t="str">
        <f>+VLOOKUP($C48,ForecastImport!$B$15:$J$394,COLUMN()-3,FALSE)</f>
        <v>110-111</v>
      </c>
      <c r="F48">
        <f>+VLOOKUP($C48,ForecastImport!$B$15:$J$394,COLUMN()-3,FALSE)</f>
        <v>123</v>
      </c>
      <c r="G48" t="str">
        <f>+VLOOKUP($C48,ForecastImport!$B$15:$J$394,COLUMN()-3,FALSE)</f>
        <v>DIRECT</v>
      </c>
      <c r="H48" t="str">
        <f>+VLOOKUP($C48,ForecastImport!$B$15:$J$394,COLUMN()-3,FALSE)</f>
        <v>DIST</v>
      </c>
      <c r="I48">
        <f>+VLOOKUP($C48,ForecastImport!$B$15:$J$394,COLUMN()-3,FALSE)</f>
        <v>62858540.484995149</v>
      </c>
      <c r="J48">
        <f>+VLOOKUP($C48,ForecastImport!$B$15:$J$394,COLUMN()-3,FALSE)</f>
        <v>0</v>
      </c>
      <c r="K48">
        <f>+VLOOKUP($C48,ForecastImport!$B$15:$J$394,COLUMN()-3,FALSE)</f>
        <v>0</v>
      </c>
      <c r="L48">
        <f>+VLOOKUP($C48,ForecastImport!$B$15:$J$394,COLUMN()-3,FALSE)</f>
        <v>62858540.484995149</v>
      </c>
    </row>
    <row r="49" spans="2:12" x14ac:dyDescent="0.25">
      <c r="B49">
        <v>83</v>
      </c>
      <c r="C49" t="s">
        <v>477</v>
      </c>
      <c r="D49" s="1211" t="e">
        <f>'Sch 1- Rate Base '!E52:G52</f>
        <v>#VALUE!</v>
      </c>
      <c r="E49" s="1736" t="str">
        <f>+VLOOKUP($C49,ForecastImport!$B$15:$J$394,COLUMN()-3,FALSE)</f>
        <v>110-111</v>
      </c>
      <c r="F49">
        <f>+VLOOKUP($C49,ForecastImport!$B$15:$J$394,COLUMN()-3,FALSE)</f>
        <v>124</v>
      </c>
      <c r="G49" t="str">
        <f>+VLOOKUP($C49,ForecastImport!$B$15:$J$394,COLUMN()-3,FALSE)</f>
        <v>DIST</v>
      </c>
      <c r="H49">
        <f>+VLOOKUP($C49,ForecastImport!$B$15:$J$394,COLUMN()-3,FALSE)</f>
        <v>0</v>
      </c>
      <c r="I49">
        <f>+VLOOKUP($C49,ForecastImport!$B$15:$J$394,COLUMN()-3,FALSE)</f>
        <v>44548812.661816128</v>
      </c>
      <c r="J49">
        <f>+VLOOKUP($C49,ForecastImport!$B$15:$J$394,COLUMN()-3,FALSE)</f>
        <v>0</v>
      </c>
      <c r="K49">
        <f>+VLOOKUP($C49,ForecastImport!$B$15:$J$394,COLUMN()-3,FALSE)</f>
        <v>0</v>
      </c>
      <c r="L49">
        <f>+VLOOKUP($C49,ForecastImport!$B$15:$J$394,COLUMN()-3,FALSE)</f>
        <v>44548812.661816128</v>
      </c>
    </row>
    <row r="50" spans="2:12" x14ac:dyDescent="0.25">
      <c r="B50">
        <v>84</v>
      </c>
      <c r="C50" t="s">
        <v>6</v>
      </c>
      <c r="D50" s="1211" t="e">
        <f>'Sch 1- Rate Base '!E53:G53</f>
        <v>#VALUE!</v>
      </c>
      <c r="E50" s="1736" t="str">
        <f>+VLOOKUP($C50,ForecastImport!$B$15:$J$394,COLUMN()-3,FALSE)</f>
        <v>110-111</v>
      </c>
      <c r="F50">
        <f>+VLOOKUP($C50,ForecastImport!$B$15:$J$394,COLUMN()-3,FALSE)</f>
        <v>175</v>
      </c>
      <c r="G50" t="str">
        <f>+VLOOKUP($C50,ForecastImport!$B$15:$J$394,COLUMN()-3,FALSE)</f>
        <v>DIST</v>
      </c>
      <c r="H50">
        <f>+VLOOKUP($C50,ForecastImport!$B$15:$J$394,COLUMN()-3,FALSE)</f>
        <v>0</v>
      </c>
      <c r="I50">
        <f>+VLOOKUP($C50,ForecastImport!$B$15:$J$394,COLUMN()-3,FALSE)</f>
        <v>882802.55718482344</v>
      </c>
      <c r="J50">
        <f>+VLOOKUP($C50,ForecastImport!$B$15:$J$394,COLUMN()-3,FALSE)</f>
        <v>0</v>
      </c>
      <c r="K50">
        <f>+VLOOKUP($C50,ForecastImport!$B$15:$J$394,COLUMN()-3,FALSE)</f>
        <v>0</v>
      </c>
      <c r="L50">
        <f>+VLOOKUP($C50,ForecastImport!$B$15:$J$394,COLUMN()-3,FALSE)</f>
        <v>882802.55718482344</v>
      </c>
    </row>
    <row r="51" spans="2:12" x14ac:dyDescent="0.25">
      <c r="B51">
        <v>85</v>
      </c>
      <c r="C51" t="s">
        <v>372</v>
      </c>
      <c r="D51" s="1211" t="e">
        <f>'Sch 1- Rate Base '!E54:G54</f>
        <v>#VALUE!</v>
      </c>
      <c r="E51" s="1736" t="str">
        <f>+VLOOKUP($C51,ForecastImport!$B$15:$J$394,COLUMN()-3,FALSE)</f>
        <v>110-111</v>
      </c>
      <c r="F51">
        <f>+VLOOKUP($C51,ForecastImport!$B$15:$J$394,COLUMN()-3,FALSE)</f>
        <v>176</v>
      </c>
      <c r="G51" t="str">
        <f>+VLOOKUP($C51,ForecastImport!$B$15:$J$394,COLUMN()-3,FALSE)</f>
        <v>DIST</v>
      </c>
      <c r="H51">
        <f>+VLOOKUP($C51,ForecastImport!$B$15:$J$394,COLUMN()-3,FALSE)</f>
        <v>0</v>
      </c>
      <c r="I51">
        <f>+VLOOKUP($C51,ForecastImport!$B$15:$J$394,COLUMN()-3,FALSE)</f>
        <v>0</v>
      </c>
      <c r="J51">
        <f>+VLOOKUP($C51,ForecastImport!$B$15:$J$394,COLUMN()-3,FALSE)</f>
        <v>0</v>
      </c>
      <c r="K51">
        <f>+VLOOKUP($C51,ForecastImport!$B$15:$J$394,COLUMN()-3,FALSE)</f>
        <v>0</v>
      </c>
      <c r="L51">
        <f>+VLOOKUP($C51,ForecastImport!$B$15:$J$394,COLUMN()-3,FALSE)</f>
        <v>0</v>
      </c>
    </row>
    <row r="52" spans="2:12" x14ac:dyDescent="0.25">
      <c r="B52">
        <v>88</v>
      </c>
      <c r="C52" t="s">
        <v>436</v>
      </c>
      <c r="D52" s="1211" t="e">
        <f>'Sch 1- Rate Base '!E55:G55</f>
        <v>#VALUE!</v>
      </c>
      <c r="E52" s="1736" t="str">
        <f>+VLOOKUP($C52,ForecastImport!$B$15:$J$394,COLUMN()-3,FALSE)</f>
        <v>110-111</v>
      </c>
      <c r="F52">
        <f>+VLOOKUP($C52,ForecastImport!$B$15:$J$394,COLUMN()-3,FALSE)</f>
        <v>151</v>
      </c>
      <c r="G52" t="str">
        <f>+VLOOKUP($C52,ForecastImport!$B$15:$J$394,COLUMN()-3,FALSE)</f>
        <v>PROD</v>
      </c>
      <c r="H52">
        <f>+VLOOKUP($C52,ForecastImport!$B$15:$J$394,COLUMN()-3,FALSE)</f>
        <v>0</v>
      </c>
      <c r="I52">
        <f>+VLOOKUP($C52,ForecastImport!$B$15:$J$394,COLUMN()-3,FALSE)</f>
        <v>40405127.127832949</v>
      </c>
      <c r="J52">
        <f>+VLOOKUP($C52,ForecastImport!$B$15:$J$394,COLUMN()-3,FALSE)</f>
        <v>40405127.127832949</v>
      </c>
      <c r="K52">
        <f>+VLOOKUP($C52,ForecastImport!$B$15:$J$394,COLUMN()-3,FALSE)</f>
        <v>0</v>
      </c>
      <c r="L52">
        <f>+VLOOKUP($C52,ForecastImport!$B$15:$J$394,COLUMN()-3,FALSE)</f>
        <v>0</v>
      </c>
    </row>
    <row r="53" spans="2:12" x14ac:dyDescent="0.25">
      <c r="B53">
        <v>89</v>
      </c>
      <c r="C53" t="s">
        <v>7</v>
      </c>
      <c r="D53" s="1211" t="e">
        <f>'Sch 1- Rate Base '!E56:G56</f>
        <v>#VALUE!</v>
      </c>
      <c r="E53" s="1736" t="str">
        <f>+VLOOKUP($C53,ForecastImport!$B$15:$J$394,COLUMN()-3,FALSE)</f>
        <v>110-111</v>
      </c>
      <c r="F53">
        <f>+VLOOKUP($C53,ForecastImport!$B$15:$J$394,COLUMN()-3,FALSE)</f>
        <v>152</v>
      </c>
      <c r="G53" t="str">
        <f>+VLOOKUP($C53,ForecastImport!$B$15:$J$394,COLUMN()-3,FALSE)</f>
        <v>PROD</v>
      </c>
      <c r="H53">
        <f>+VLOOKUP($C53,ForecastImport!$B$15:$J$394,COLUMN()-3,FALSE)</f>
        <v>0</v>
      </c>
      <c r="I53">
        <f>+VLOOKUP($C53,ForecastImport!$B$15:$J$394,COLUMN()-3,FALSE)</f>
        <v>0</v>
      </c>
      <c r="J53">
        <f>+VLOOKUP($C53,ForecastImport!$B$15:$J$394,COLUMN()-3,FALSE)</f>
        <v>0</v>
      </c>
      <c r="K53">
        <f>+VLOOKUP($C53,ForecastImport!$B$15:$J$394,COLUMN()-3,FALSE)</f>
        <v>0</v>
      </c>
      <c r="L53">
        <f>+VLOOKUP($C53,ForecastImport!$B$15:$J$394,COLUMN()-3,FALSE)</f>
        <v>0</v>
      </c>
    </row>
    <row r="54" spans="2:12" x14ac:dyDescent="0.25">
      <c r="B54">
        <v>90</v>
      </c>
      <c r="C54" t="s">
        <v>79</v>
      </c>
      <c r="D54" s="1211" t="e">
        <f>'Sch 1- Rate Base '!E57:G57</f>
        <v>#VALUE!</v>
      </c>
      <c r="E54" s="1736" t="str">
        <f>+VLOOKUP($C54,ForecastImport!$B$15:$J$394,COLUMN()-3,FALSE)</f>
        <v>110-111</v>
      </c>
      <c r="F54">
        <f>+VLOOKUP($C54,ForecastImport!$B$15:$J$394,COLUMN()-3,FALSE)</f>
        <v>154</v>
      </c>
      <c r="G54" t="str">
        <f>+VLOOKUP($C54,ForecastImport!$B$15:$J$394,COLUMN()-3,FALSE)</f>
        <v>PTD</v>
      </c>
      <c r="H54">
        <f>+VLOOKUP($C54,ForecastImport!$B$15:$J$394,COLUMN()-3,FALSE)</f>
        <v>0</v>
      </c>
      <c r="I54">
        <f>+VLOOKUP($C54,ForecastImport!$B$15:$J$394,COLUMN()-3,FALSE)</f>
        <v>206715401.61593622</v>
      </c>
      <c r="J54">
        <f>+VLOOKUP($C54,ForecastImport!$B$15:$J$394,COLUMN()-3,FALSE)</f>
        <v>90995322.654562652</v>
      </c>
      <c r="K54">
        <f>+VLOOKUP($C54,ForecastImport!$B$15:$J$394,COLUMN()-3,FALSE)</f>
        <v>0</v>
      </c>
      <c r="L54">
        <f>+VLOOKUP($C54,ForecastImport!$B$15:$J$394,COLUMN()-3,FALSE)</f>
        <v>115720078.96137355</v>
      </c>
    </row>
    <row r="55" spans="2:12" x14ac:dyDescent="0.25">
      <c r="B55">
        <v>91</v>
      </c>
      <c r="C55" t="s">
        <v>355</v>
      </c>
      <c r="D55" s="1211" t="e">
        <f>'Sch 1- Rate Base '!E58:G58</f>
        <v>#VALUE!</v>
      </c>
      <c r="E55" s="1736" t="str">
        <f>+VLOOKUP($C55,ForecastImport!$B$15:$J$394,COLUMN()-3,FALSE)</f>
        <v>110-111</v>
      </c>
      <c r="F55">
        <f>+VLOOKUP($C55,ForecastImport!$B$15:$J$394,COLUMN()-3,FALSE)</f>
        <v>155</v>
      </c>
      <c r="G55" t="str">
        <f>+VLOOKUP($C55,ForecastImport!$B$15:$J$394,COLUMN()-3,FALSE)</f>
        <v>DIST</v>
      </c>
      <c r="H55">
        <f>+VLOOKUP($C55,ForecastImport!$B$15:$J$394,COLUMN()-3,FALSE)</f>
        <v>0</v>
      </c>
      <c r="I55">
        <f>+VLOOKUP($C55,ForecastImport!$B$15:$J$394,COLUMN()-3,FALSE)</f>
        <v>0</v>
      </c>
      <c r="J55">
        <f>+VLOOKUP($C55,ForecastImport!$B$15:$J$394,COLUMN()-3,FALSE)</f>
        <v>0</v>
      </c>
      <c r="K55">
        <f>+VLOOKUP($C55,ForecastImport!$B$15:$J$394,COLUMN()-3,FALSE)</f>
        <v>0</v>
      </c>
      <c r="L55">
        <f>+VLOOKUP($C55,ForecastImport!$B$15:$J$394,COLUMN()-3,FALSE)</f>
        <v>0</v>
      </c>
    </row>
    <row r="56" spans="2:12" x14ac:dyDescent="0.25">
      <c r="B56">
        <v>92</v>
      </c>
      <c r="C56" t="s">
        <v>356</v>
      </c>
      <c r="D56" s="1211" t="e">
        <f>'Sch 1- Rate Base '!E59:G59</f>
        <v>#VALUE!</v>
      </c>
      <c r="E56" s="1736" t="str">
        <f>+VLOOKUP($C56,ForecastImport!$B$15:$J$394,COLUMN()-3,FALSE)</f>
        <v>110-111</v>
      </c>
      <c r="F56">
        <f>+VLOOKUP($C56,ForecastImport!$B$15:$J$394,COLUMN()-3,FALSE)</f>
        <v>156</v>
      </c>
      <c r="G56" t="str">
        <f>+VLOOKUP($C56,ForecastImport!$B$15:$J$394,COLUMN()-3,FALSE)</f>
        <v>DIST</v>
      </c>
      <c r="H56">
        <f>+VLOOKUP($C56,ForecastImport!$B$15:$J$394,COLUMN()-3,FALSE)</f>
        <v>0</v>
      </c>
      <c r="I56">
        <f>+VLOOKUP($C56,ForecastImport!$B$15:$J$394,COLUMN()-3,FALSE)</f>
        <v>0</v>
      </c>
      <c r="J56">
        <f>+VLOOKUP($C56,ForecastImport!$B$15:$J$394,COLUMN()-3,FALSE)</f>
        <v>0</v>
      </c>
      <c r="K56">
        <f>+VLOOKUP($C56,ForecastImport!$B$15:$J$394,COLUMN()-3,FALSE)</f>
        <v>0</v>
      </c>
      <c r="L56">
        <f>+VLOOKUP($C56,ForecastImport!$B$15:$J$394,COLUMN()-3,FALSE)</f>
        <v>0</v>
      </c>
    </row>
    <row r="57" spans="2:12" x14ac:dyDescent="0.25">
      <c r="B57">
        <v>93</v>
      </c>
      <c r="C57" t="s">
        <v>357</v>
      </c>
      <c r="D57" s="1211" t="e">
        <f>'Sch 1- Rate Base '!E60:G60</f>
        <v>#VALUE!</v>
      </c>
      <c r="E57" s="1736" t="str">
        <f>+VLOOKUP($C57,ForecastImport!$B$15:$J$394,COLUMN()-3,FALSE)</f>
        <v>110-111</v>
      </c>
      <c r="F57">
        <f>+VLOOKUP($C57,ForecastImport!$B$15:$J$394,COLUMN()-3,FALSE)</f>
        <v>158.1</v>
      </c>
      <c r="G57" t="str">
        <f>+VLOOKUP($C57,ForecastImport!$B$15:$J$394,COLUMN()-3,FALSE)</f>
        <v>PROD</v>
      </c>
      <c r="H57">
        <f>+VLOOKUP($C57,ForecastImport!$B$15:$J$394,COLUMN()-3,FALSE)</f>
        <v>0</v>
      </c>
      <c r="I57">
        <f>+VLOOKUP($C57,ForecastImport!$B$15:$J$394,COLUMN()-3,FALSE)</f>
        <v>1242891.2703915152</v>
      </c>
      <c r="J57">
        <f>+VLOOKUP($C57,ForecastImport!$B$15:$J$394,COLUMN()-3,FALSE)</f>
        <v>1242891.2703915152</v>
      </c>
      <c r="K57">
        <f>+VLOOKUP($C57,ForecastImport!$B$15:$J$394,COLUMN()-3,FALSE)</f>
        <v>0</v>
      </c>
      <c r="L57">
        <f>+VLOOKUP($C57,ForecastImport!$B$15:$J$394,COLUMN()-3,FALSE)</f>
        <v>0</v>
      </c>
    </row>
    <row r="58" spans="2:12" x14ac:dyDescent="0.25">
      <c r="B58">
        <v>94</v>
      </c>
      <c r="C58" t="s">
        <v>178</v>
      </c>
      <c r="D58" s="1211" t="e">
        <f>'Sch 1- Rate Base '!E61:G61</f>
        <v>#VALUE!</v>
      </c>
      <c r="E58" s="1736" t="str">
        <f>+VLOOKUP($C58,ForecastImport!$B$15:$J$394,COLUMN()-3,FALSE)</f>
        <v>110-111</v>
      </c>
      <c r="F58">
        <f>+VLOOKUP($C58,ForecastImport!$B$15:$J$394,COLUMN()-3,FALSE)</f>
        <v>158.19999999999999</v>
      </c>
      <c r="G58" t="str">
        <f>+VLOOKUP($C58,ForecastImport!$B$15:$J$394,COLUMN()-3,FALSE)</f>
        <v>PROD</v>
      </c>
      <c r="H58">
        <f>+VLOOKUP($C58,ForecastImport!$B$15:$J$394,COLUMN()-3,FALSE)</f>
        <v>0</v>
      </c>
      <c r="I58">
        <f>+VLOOKUP($C58,ForecastImport!$B$15:$J$394,COLUMN()-3,FALSE)</f>
        <v>0</v>
      </c>
      <c r="J58">
        <f>+VLOOKUP($C58,ForecastImport!$B$15:$J$394,COLUMN()-3,FALSE)</f>
        <v>0</v>
      </c>
      <c r="K58">
        <f>+VLOOKUP($C58,ForecastImport!$B$15:$J$394,COLUMN()-3,FALSE)</f>
        <v>0</v>
      </c>
      <c r="L58">
        <f>+VLOOKUP($C58,ForecastImport!$B$15:$J$394,COLUMN()-3,FALSE)</f>
        <v>0</v>
      </c>
    </row>
    <row r="59" spans="2:12" x14ac:dyDescent="0.25">
      <c r="B59">
        <v>95</v>
      </c>
      <c r="C59" t="s">
        <v>55</v>
      </c>
      <c r="D59" s="1211" t="e">
        <f>'Sch 1- Rate Base '!E62:G62</f>
        <v>#VALUE!</v>
      </c>
      <c r="E59" s="1736" t="str">
        <f>+VLOOKUP($C59,ForecastImport!$B$15:$J$394,COLUMN()-3,FALSE)</f>
        <v>110-111</v>
      </c>
      <c r="F59">
        <f>+VLOOKUP($C59,ForecastImport!$B$15:$J$394,COLUMN()-3,FALSE)</f>
        <v>163</v>
      </c>
      <c r="G59" t="str">
        <f>+VLOOKUP($C59,ForecastImport!$B$15:$J$394,COLUMN()-3,FALSE)</f>
        <v>PTD</v>
      </c>
      <c r="H59">
        <f>+VLOOKUP($C59,ForecastImport!$B$15:$J$394,COLUMN()-3,FALSE)</f>
        <v>0</v>
      </c>
      <c r="I59">
        <f>+VLOOKUP($C59,ForecastImport!$B$15:$J$394,COLUMN()-3,FALSE)</f>
        <v>0</v>
      </c>
      <c r="J59">
        <f>+VLOOKUP($C59,ForecastImport!$B$15:$J$394,COLUMN()-3,FALSE)</f>
        <v>0</v>
      </c>
      <c r="K59">
        <f>+VLOOKUP($C59,ForecastImport!$B$15:$J$394,COLUMN()-3,FALSE)</f>
        <v>0</v>
      </c>
      <c r="L59">
        <f>+VLOOKUP($C59,ForecastImport!$B$15:$J$394,COLUMN()-3,FALSE)</f>
        <v>0</v>
      </c>
    </row>
    <row r="60" spans="2:12" x14ac:dyDescent="0.25">
      <c r="B60">
        <v>96</v>
      </c>
      <c r="C60" t="s">
        <v>8</v>
      </c>
      <c r="D60" s="1211" t="e">
        <f>'Sch 1- Rate Base '!E63:G63</f>
        <v>#VALUE!</v>
      </c>
      <c r="E60" s="1736" t="str">
        <f>+VLOOKUP($C60,ForecastImport!$B$15:$J$394,COLUMN()-3,FALSE)</f>
        <v>110-111</v>
      </c>
      <c r="F60">
        <f>+VLOOKUP($C60,ForecastImport!$B$15:$J$394,COLUMN()-3,FALSE)</f>
        <v>165</v>
      </c>
      <c r="G60" t="str">
        <f>+VLOOKUP($C60,ForecastImport!$B$15:$J$394,COLUMN()-3,FALSE)</f>
        <v>PTD</v>
      </c>
      <c r="H60">
        <f>+VLOOKUP($C60,ForecastImport!$B$15:$J$394,COLUMN()-3,FALSE)</f>
        <v>0</v>
      </c>
      <c r="I60">
        <f>+VLOOKUP($C60,ForecastImport!$B$15:$J$394,COLUMN()-3,FALSE)</f>
        <v>56015642.483825237</v>
      </c>
      <c r="J60">
        <f>+VLOOKUP($C60,ForecastImport!$B$15:$J$394,COLUMN()-3,FALSE)</f>
        <v>24657869.813631494</v>
      </c>
      <c r="K60">
        <f>+VLOOKUP($C60,ForecastImport!$B$15:$J$394,COLUMN()-3,FALSE)</f>
        <v>0</v>
      </c>
      <c r="L60">
        <f>+VLOOKUP($C60,ForecastImport!$B$15:$J$394,COLUMN()-3,FALSE)</f>
        <v>31357772.670193736</v>
      </c>
    </row>
    <row r="61" spans="2:12" x14ac:dyDescent="0.25">
      <c r="B61">
        <v>97</v>
      </c>
      <c r="C61" t="s">
        <v>9</v>
      </c>
      <c r="D61" s="1211" t="e">
        <f>'Sch 1- Rate Base '!E64:G64</f>
        <v>#VALUE!</v>
      </c>
      <c r="E61" s="1736" t="str">
        <f>+VLOOKUP($C61,ForecastImport!$B$15:$J$394,COLUMN()-3,FALSE)</f>
        <v>110-111</v>
      </c>
      <c r="F61">
        <f>+VLOOKUP($C61,ForecastImport!$B$15:$J$394,COLUMN()-3,FALSE)</f>
        <v>175</v>
      </c>
      <c r="G61" t="str">
        <f>+VLOOKUP($C61,ForecastImport!$B$15:$J$394,COLUMN()-3,FALSE)</f>
        <v>DIST</v>
      </c>
      <c r="H61">
        <f>+VLOOKUP($C61,ForecastImport!$B$15:$J$394,COLUMN()-3,FALSE)</f>
        <v>0</v>
      </c>
      <c r="I61">
        <f>+VLOOKUP($C61,ForecastImport!$B$15:$J$394,COLUMN()-3,FALSE)</f>
        <v>7016382.5368689988</v>
      </c>
      <c r="J61">
        <f>+VLOOKUP($C61,ForecastImport!$B$15:$J$394,COLUMN()-3,FALSE)</f>
        <v>0</v>
      </c>
      <c r="K61">
        <f>+VLOOKUP($C61,ForecastImport!$B$15:$J$394,COLUMN()-3,FALSE)</f>
        <v>0</v>
      </c>
      <c r="L61">
        <f>+VLOOKUP($C61,ForecastImport!$B$15:$J$394,COLUMN()-3,FALSE)</f>
        <v>7016382.5368689988</v>
      </c>
    </row>
    <row r="62" spans="2:12" x14ac:dyDescent="0.25">
      <c r="B62">
        <v>98</v>
      </c>
      <c r="C62" t="s">
        <v>622</v>
      </c>
      <c r="D62" s="1211" t="e">
        <f>'Sch 1- Rate Base '!E65:G65</f>
        <v>#VALUE!</v>
      </c>
      <c r="E62" s="1736" t="str">
        <f>+VLOOKUP($C62,ForecastImport!$B$15:$J$394,COLUMN()-3,FALSE)</f>
        <v>110-111</v>
      </c>
      <c r="F62">
        <f>+VLOOKUP($C62,ForecastImport!$B$15:$J$394,COLUMN()-3,FALSE)</f>
        <v>175</v>
      </c>
      <c r="G62" t="str">
        <f>+VLOOKUP($C62,ForecastImport!$B$15:$J$394,COLUMN()-3,FALSE)</f>
        <v>DIST</v>
      </c>
      <c r="H62">
        <f>+VLOOKUP($C62,ForecastImport!$B$15:$J$394,COLUMN()-3,FALSE)</f>
        <v>0</v>
      </c>
      <c r="I62">
        <f>+VLOOKUP($C62,ForecastImport!$B$15:$J$394,COLUMN()-3,FALSE)</f>
        <v>882802.55718482344</v>
      </c>
      <c r="J62">
        <f>+VLOOKUP($C62,ForecastImport!$B$15:$J$394,COLUMN()-3,FALSE)</f>
        <v>0</v>
      </c>
      <c r="K62">
        <f>+VLOOKUP($C62,ForecastImport!$B$15:$J$394,COLUMN()-3,FALSE)</f>
        <v>0</v>
      </c>
      <c r="L62">
        <f>+VLOOKUP($C62,ForecastImport!$B$15:$J$394,COLUMN()-3,FALSE)</f>
        <v>882802.55718482344</v>
      </c>
    </row>
    <row r="63" spans="2:12" x14ac:dyDescent="0.25">
      <c r="B63">
        <v>99</v>
      </c>
      <c r="C63" t="s">
        <v>334</v>
      </c>
      <c r="D63" s="1211" t="e">
        <f>'Sch 1- Rate Base '!E66:G66</f>
        <v>#VALUE!</v>
      </c>
      <c r="E63" s="1736" t="str">
        <f>+VLOOKUP($C63,ForecastImport!$B$15:$J$394,COLUMN()-3,FALSE)</f>
        <v>110-111</v>
      </c>
      <c r="F63">
        <f>+VLOOKUP($C63,ForecastImport!$B$15:$J$394,COLUMN()-3,FALSE)</f>
        <v>176</v>
      </c>
      <c r="G63" t="str">
        <f>+VLOOKUP($C63,ForecastImport!$B$15:$J$394,COLUMN()-3,FALSE)</f>
        <v>DIST</v>
      </c>
      <c r="H63">
        <f>+VLOOKUP($C63,ForecastImport!$B$15:$J$394,COLUMN()-3,FALSE)</f>
        <v>0</v>
      </c>
      <c r="I63">
        <f>+VLOOKUP($C63,ForecastImport!$B$15:$J$394,COLUMN()-3,FALSE)</f>
        <v>0</v>
      </c>
      <c r="J63">
        <f>+VLOOKUP($C63,ForecastImport!$B$15:$J$394,COLUMN()-3,FALSE)</f>
        <v>0</v>
      </c>
      <c r="K63">
        <f>+VLOOKUP($C63,ForecastImport!$B$15:$J$394,COLUMN()-3,FALSE)</f>
        <v>0</v>
      </c>
      <c r="L63">
        <f>+VLOOKUP($C63,ForecastImport!$B$15:$J$394,COLUMN()-3,FALSE)</f>
        <v>0</v>
      </c>
    </row>
    <row r="64" spans="2:12" x14ac:dyDescent="0.25">
      <c r="B64">
        <v>100</v>
      </c>
      <c r="C64" t="s">
        <v>623</v>
      </c>
      <c r="D64" s="1211" t="e">
        <f>'Sch 1- Rate Base '!E67:G67</f>
        <v>#VALUE!</v>
      </c>
      <c r="E64" s="1736" t="str">
        <f>+VLOOKUP($C64,ForecastImport!$B$15:$J$394,COLUMN()-3,FALSE)</f>
        <v>110-111</v>
      </c>
      <c r="F64">
        <f>+VLOOKUP($C64,ForecastImport!$B$15:$J$394,COLUMN()-3,FALSE)</f>
        <v>176</v>
      </c>
      <c r="G64" t="str">
        <f>+VLOOKUP($C64,ForecastImport!$B$15:$J$394,COLUMN()-3,FALSE)</f>
        <v>DIST</v>
      </c>
      <c r="H64">
        <f>+VLOOKUP($C64,ForecastImport!$B$15:$J$394,COLUMN()-3,FALSE)</f>
        <v>0</v>
      </c>
      <c r="I64">
        <f>+VLOOKUP($C64,ForecastImport!$B$15:$J$394,COLUMN()-3,FALSE)</f>
        <v>0</v>
      </c>
      <c r="J64">
        <f>+VLOOKUP($C64,ForecastImport!$B$15:$J$394,COLUMN()-3,FALSE)</f>
        <v>0</v>
      </c>
      <c r="K64">
        <f>+VLOOKUP($C64,ForecastImport!$B$15:$J$394,COLUMN()-3,FALSE)</f>
        <v>0</v>
      </c>
      <c r="L64">
        <f>+VLOOKUP($C64,ForecastImport!$B$15:$J$394,COLUMN()-3,FALSE)</f>
        <v>0</v>
      </c>
    </row>
    <row r="65" spans="2:12" x14ac:dyDescent="0.25">
      <c r="B65">
        <v>103</v>
      </c>
      <c r="C65" t="s">
        <v>10</v>
      </c>
      <c r="D65" s="1211" t="e">
        <f>'Sch 1- Rate Base '!E68:G68</f>
        <v>#VALUE!</v>
      </c>
      <c r="E65" s="1736" t="str">
        <f>+VLOOKUP($C65,ForecastImport!$B$15:$J$394,COLUMN()-3,FALSE)</f>
        <v>110-111</v>
      </c>
      <c r="F65">
        <f>+VLOOKUP($C65,ForecastImport!$B$15:$J$394,COLUMN()-3,FALSE)</f>
        <v>181</v>
      </c>
      <c r="G65" t="str">
        <f>+VLOOKUP($C65,ForecastImport!$B$15:$J$394,COLUMN()-3,FALSE)</f>
        <v>PTDG</v>
      </c>
      <c r="H65">
        <f>+VLOOKUP($C65,ForecastImport!$B$15:$J$394,COLUMN()-3,FALSE)</f>
        <v>0</v>
      </c>
      <c r="I65">
        <f>+VLOOKUP($C65,ForecastImport!$B$15:$J$394,COLUMN()-3,FALSE)</f>
        <v>23084661.294751231</v>
      </c>
      <c r="J65">
        <f>+VLOOKUP($C65,ForecastImport!$B$15:$J$394,COLUMN()-3,FALSE)</f>
        <v>10028311.633164721</v>
      </c>
      <c r="K65">
        <f>+VLOOKUP($C65,ForecastImport!$B$15:$J$394,COLUMN()-3,FALSE)</f>
        <v>0</v>
      </c>
      <c r="L65">
        <f>+VLOOKUP($C65,ForecastImport!$B$15:$J$394,COLUMN()-3,FALSE)</f>
        <v>13058659.838991489</v>
      </c>
    </row>
    <row r="66" spans="2:12" x14ac:dyDescent="0.25">
      <c r="B66">
        <v>104</v>
      </c>
      <c r="C66" t="s">
        <v>11</v>
      </c>
      <c r="D66" s="1211" t="e">
        <f>'Sch 1- Rate Base '!E69:G69</f>
        <v>#VALUE!</v>
      </c>
      <c r="E66" s="1736" t="str">
        <f>+VLOOKUP($C66,ForecastImport!$B$15:$J$394,COLUMN()-3,FALSE)</f>
        <v>110-111</v>
      </c>
      <c r="F66">
        <f>+VLOOKUP($C66,ForecastImport!$B$15:$J$394,COLUMN()-3,FALSE)</f>
        <v>182.1</v>
      </c>
      <c r="G66" t="str">
        <f>+VLOOKUP($C66,ForecastImport!$B$15:$J$394,COLUMN()-3,FALSE)</f>
        <v>DIRECT</v>
      </c>
      <c r="H66" t="str">
        <f>+VLOOKUP($C66,ForecastImport!$B$15:$J$394,COLUMN()-3,FALSE)</f>
        <v>DIST</v>
      </c>
      <c r="I66">
        <f>+VLOOKUP($C66,ForecastImport!$B$15:$J$394,COLUMN()-3,FALSE)</f>
        <v>0</v>
      </c>
      <c r="J66">
        <f>+VLOOKUP($C66,ForecastImport!$B$15:$J$394,COLUMN()-3,FALSE)</f>
        <v>0</v>
      </c>
      <c r="K66">
        <f>+VLOOKUP($C66,ForecastImport!$B$15:$J$394,COLUMN()-3,FALSE)</f>
        <v>0</v>
      </c>
      <c r="L66">
        <f>+VLOOKUP($C66,ForecastImport!$B$15:$J$394,COLUMN()-3,FALSE)</f>
        <v>0</v>
      </c>
    </row>
    <row r="67" spans="2:12" x14ac:dyDescent="0.25">
      <c r="B67">
        <v>105</v>
      </c>
      <c r="C67" t="s">
        <v>12</v>
      </c>
      <c r="D67" s="1211" t="e">
        <f>'Sch 1- Rate Base '!E70:G70</f>
        <v>#VALUE!</v>
      </c>
      <c r="E67" s="1736" t="str">
        <f>+VLOOKUP($C67,ForecastImport!$B$15:$J$394,COLUMN()-3,FALSE)</f>
        <v>110-111</v>
      </c>
      <c r="F67">
        <f>+VLOOKUP($C67,ForecastImport!$B$15:$J$394,COLUMN()-3,FALSE)</f>
        <v>182.2</v>
      </c>
      <c r="G67" t="str">
        <f>+VLOOKUP($C67,ForecastImport!$B$15:$J$394,COLUMN()-3,FALSE)</f>
        <v>DIRECT</v>
      </c>
      <c r="H67" t="str">
        <f>+VLOOKUP($C67,ForecastImport!$B$15:$J$394,COLUMN()-3,FALSE)</f>
        <v>DIST</v>
      </c>
      <c r="I67">
        <f>+VLOOKUP($C67,ForecastImport!$B$15:$J$394,COLUMN()-3,FALSE)</f>
        <v>0</v>
      </c>
      <c r="J67">
        <f>+VLOOKUP($C67,ForecastImport!$B$15:$J$394,COLUMN()-3,FALSE)</f>
        <v>0</v>
      </c>
      <c r="K67">
        <f>+VLOOKUP($C67,ForecastImport!$B$15:$J$394,COLUMN()-3,FALSE)</f>
        <v>0</v>
      </c>
      <c r="L67">
        <f>+VLOOKUP($C67,ForecastImport!$B$15:$J$394,COLUMN()-3,FALSE)</f>
        <v>0</v>
      </c>
    </row>
    <row r="68" spans="2:12" x14ac:dyDescent="0.25">
      <c r="B68">
        <v>106</v>
      </c>
      <c r="C68" t="s">
        <v>13</v>
      </c>
      <c r="D68" s="1211" t="e">
        <f>'Sch 1- Rate Base '!E71:G71</f>
        <v>#VALUE!</v>
      </c>
      <c r="E68" s="1736" t="str">
        <f>+VLOOKUP($C68,ForecastImport!$B$15:$J$394,COLUMN()-3,FALSE)</f>
        <v>110-111</v>
      </c>
      <c r="F68">
        <f>+VLOOKUP($C68,ForecastImport!$B$15:$J$394,COLUMN()-3,FALSE)</f>
        <v>182.3</v>
      </c>
      <c r="G68" t="str">
        <f>+VLOOKUP($C68,ForecastImport!$B$15:$J$394,COLUMN()-3,FALSE)</f>
        <v>DIRECT</v>
      </c>
      <c r="H68" t="str">
        <f>+VLOOKUP($C68,ForecastImport!$B$15:$J$394,COLUMN()-3,FALSE)</f>
        <v>DIST</v>
      </c>
      <c r="I68">
        <f>+VLOOKUP($C68,ForecastImport!$B$15:$J$394,COLUMN()-3,FALSE)</f>
        <v>672768352.85708964</v>
      </c>
      <c r="J68">
        <f>+VLOOKUP($C68,ForecastImport!$B$15:$J$394,COLUMN()-3,FALSE)</f>
        <v>353419883.65590286</v>
      </c>
      <c r="K68">
        <f>+VLOOKUP($C68,ForecastImport!$B$15:$J$394,COLUMN()-3,FALSE)</f>
        <v>0</v>
      </c>
      <c r="L68">
        <f>+VLOOKUP($C68,ForecastImport!$B$15:$J$394,COLUMN()-3,FALSE)</f>
        <v>319348469.20118666</v>
      </c>
    </row>
    <row r="69" spans="2:12" x14ac:dyDescent="0.25">
      <c r="B69">
        <v>107</v>
      </c>
      <c r="C69" t="s">
        <v>624</v>
      </c>
      <c r="D69" s="1211" t="e">
        <f>'Sch 1- Rate Base '!E72:G72</f>
        <v>#VALUE!</v>
      </c>
      <c r="E69" s="1736" t="str">
        <f>+VLOOKUP($C69,ForecastImport!$B$15:$J$394,COLUMN()-3,FALSE)</f>
        <v>110-111</v>
      </c>
      <c r="F69">
        <f>+VLOOKUP($C69,ForecastImport!$B$15:$J$394,COLUMN()-3,FALSE)</f>
        <v>183</v>
      </c>
      <c r="G69" t="str">
        <f>+VLOOKUP($C69,ForecastImport!$B$15:$J$394,COLUMN()-3,FALSE)</f>
        <v>DIST</v>
      </c>
      <c r="H69">
        <f>+VLOOKUP($C69,ForecastImport!$B$15:$J$394,COLUMN()-3,FALSE)</f>
        <v>0</v>
      </c>
      <c r="I69">
        <f>+VLOOKUP($C69,ForecastImport!$B$15:$J$394,COLUMN()-3,FALSE)</f>
        <v>10625524.390141297</v>
      </c>
      <c r="J69">
        <f>+VLOOKUP($C69,ForecastImport!$B$15:$J$394,COLUMN()-3,FALSE)</f>
        <v>0</v>
      </c>
      <c r="K69">
        <f>+VLOOKUP($C69,ForecastImport!$B$15:$J$394,COLUMN()-3,FALSE)</f>
        <v>0</v>
      </c>
      <c r="L69">
        <f>+VLOOKUP($C69,ForecastImport!$B$15:$J$394,COLUMN()-3,FALSE)</f>
        <v>10625524.390141297</v>
      </c>
    </row>
    <row r="70" spans="2:12" x14ac:dyDescent="0.25">
      <c r="B70">
        <v>108</v>
      </c>
      <c r="C70" t="s">
        <v>14</v>
      </c>
      <c r="D70" s="1211" t="e">
        <f>'Sch 1- Rate Base '!E73:G73</f>
        <v>#VALUE!</v>
      </c>
      <c r="E70" s="1736" t="str">
        <f>+VLOOKUP($C70,ForecastImport!$B$15:$J$394,COLUMN()-3,FALSE)</f>
        <v>110-111</v>
      </c>
      <c r="F70">
        <f>+VLOOKUP($C70,ForecastImport!$B$15:$J$394,COLUMN()-3,FALSE)</f>
        <v>183.1</v>
      </c>
      <c r="G70" t="str">
        <f>+VLOOKUP($C70,ForecastImport!$B$15:$J$394,COLUMN()-3,FALSE)</f>
        <v>DIST</v>
      </c>
      <c r="H70">
        <f>+VLOOKUP($C70,ForecastImport!$B$15:$J$394,COLUMN()-3,FALSE)</f>
        <v>0</v>
      </c>
      <c r="I70">
        <f>+VLOOKUP($C70,ForecastImport!$B$15:$J$394,COLUMN()-3,FALSE)</f>
        <v>0</v>
      </c>
      <c r="J70">
        <f>+VLOOKUP($C70,ForecastImport!$B$15:$J$394,COLUMN()-3,FALSE)</f>
        <v>0</v>
      </c>
      <c r="K70">
        <f>+VLOOKUP($C70,ForecastImport!$B$15:$J$394,COLUMN()-3,FALSE)</f>
        <v>0</v>
      </c>
      <c r="L70">
        <f>+VLOOKUP($C70,ForecastImport!$B$15:$J$394,COLUMN()-3,FALSE)</f>
        <v>0</v>
      </c>
    </row>
    <row r="71" spans="2:12" x14ac:dyDescent="0.25">
      <c r="B71">
        <v>109</v>
      </c>
      <c r="C71" t="s">
        <v>445</v>
      </c>
      <c r="D71" s="1211" t="e">
        <f>'Sch 1- Rate Base '!E74:G74</f>
        <v>#VALUE!</v>
      </c>
      <c r="E71" s="1736" t="str">
        <f>+VLOOKUP($C71,ForecastImport!$B$15:$J$394,COLUMN()-3,FALSE)</f>
        <v>110-111</v>
      </c>
      <c r="F71">
        <f>+VLOOKUP($C71,ForecastImport!$B$15:$J$394,COLUMN()-3,FALSE)</f>
        <v>183.2</v>
      </c>
      <c r="G71" t="str">
        <f>+VLOOKUP($C71,ForecastImport!$B$15:$J$394,COLUMN()-3,FALSE)</f>
        <v>DIST</v>
      </c>
      <c r="H71">
        <f>+VLOOKUP($C71,ForecastImport!$B$15:$J$394,COLUMN()-3,FALSE)</f>
        <v>0</v>
      </c>
      <c r="I71">
        <f>+VLOOKUP($C71,ForecastImport!$B$15:$J$394,COLUMN()-3,FALSE)</f>
        <v>0</v>
      </c>
      <c r="J71">
        <f>+VLOOKUP($C71,ForecastImport!$B$15:$J$394,COLUMN()-3,FALSE)</f>
        <v>0</v>
      </c>
      <c r="K71">
        <f>+VLOOKUP($C71,ForecastImport!$B$15:$J$394,COLUMN()-3,FALSE)</f>
        <v>0</v>
      </c>
      <c r="L71">
        <f>+VLOOKUP($C71,ForecastImport!$B$15:$J$394,COLUMN()-3,FALSE)</f>
        <v>0</v>
      </c>
    </row>
    <row r="72" spans="2:12" x14ac:dyDescent="0.25">
      <c r="B72">
        <v>110</v>
      </c>
      <c r="C72" t="s">
        <v>15</v>
      </c>
      <c r="D72" s="1211" t="e">
        <f>'Sch 1- Rate Base '!E75:G75</f>
        <v>#VALUE!</v>
      </c>
      <c r="E72" s="1736" t="str">
        <f>+VLOOKUP($C72,ForecastImport!$B$15:$J$394,COLUMN()-3,FALSE)</f>
        <v>110-111</v>
      </c>
      <c r="F72">
        <f>+VLOOKUP($C72,ForecastImport!$B$15:$J$394,COLUMN()-3,FALSE)</f>
        <v>184</v>
      </c>
      <c r="G72" t="str">
        <f>+VLOOKUP($C72,ForecastImport!$B$15:$J$394,COLUMN()-3,FALSE)</f>
        <v>DIST</v>
      </c>
      <c r="H72">
        <f>+VLOOKUP($C72,ForecastImport!$B$15:$J$394,COLUMN()-3,FALSE)</f>
        <v>0</v>
      </c>
      <c r="I72">
        <f>+VLOOKUP($C72,ForecastImport!$B$15:$J$394,COLUMN()-3,FALSE)</f>
        <v>2867.363757145788</v>
      </c>
      <c r="J72">
        <f>+VLOOKUP($C72,ForecastImport!$B$15:$J$394,COLUMN()-3,FALSE)</f>
        <v>0</v>
      </c>
      <c r="K72">
        <f>+VLOOKUP($C72,ForecastImport!$B$15:$J$394,COLUMN()-3,FALSE)</f>
        <v>0</v>
      </c>
      <c r="L72">
        <f>+VLOOKUP($C72,ForecastImport!$B$15:$J$394,COLUMN()-3,FALSE)</f>
        <v>2867.363757145788</v>
      </c>
    </row>
    <row r="73" spans="2:12" x14ac:dyDescent="0.25">
      <c r="B73">
        <v>111</v>
      </c>
      <c r="C73" t="s">
        <v>16</v>
      </c>
      <c r="D73" s="1211" t="e">
        <f>'Sch 1- Rate Base '!E76:G76</f>
        <v>#VALUE!</v>
      </c>
      <c r="E73" s="1736" t="str">
        <f>+VLOOKUP($C73,ForecastImport!$B$15:$J$394,COLUMN()-3,FALSE)</f>
        <v>110-111</v>
      </c>
      <c r="F73">
        <f>+VLOOKUP($C73,ForecastImport!$B$15:$J$394,COLUMN()-3,FALSE)</f>
        <v>185</v>
      </c>
      <c r="G73" t="str">
        <f>+VLOOKUP($C73,ForecastImport!$B$15:$J$394,COLUMN()-3,FALSE)</f>
        <v>PTDG</v>
      </c>
      <c r="H73">
        <f>+VLOOKUP($C73,ForecastImport!$B$15:$J$394,COLUMN()-3,FALSE)</f>
        <v>0</v>
      </c>
      <c r="I73">
        <f>+VLOOKUP($C73,ForecastImport!$B$15:$J$394,COLUMN()-3,FALSE)</f>
        <v>63231.269284363545</v>
      </c>
      <c r="J73">
        <f>+VLOOKUP($C73,ForecastImport!$B$15:$J$394,COLUMN()-3,FALSE)</f>
        <v>27468.580337729723</v>
      </c>
      <c r="K73">
        <f>+VLOOKUP($C73,ForecastImport!$B$15:$J$394,COLUMN()-3,FALSE)</f>
        <v>0</v>
      </c>
      <c r="L73">
        <f>+VLOOKUP($C73,ForecastImport!$B$15:$J$394,COLUMN()-3,FALSE)</f>
        <v>19431.59572434863</v>
      </c>
    </row>
    <row r="74" spans="2:12" x14ac:dyDescent="0.25">
      <c r="B74">
        <v>112</v>
      </c>
      <c r="C74" t="s">
        <v>17</v>
      </c>
      <c r="D74" s="1211" t="e">
        <f>'Sch 1- Rate Base '!E77:G77</f>
        <v>#VALUE!</v>
      </c>
      <c r="E74" s="1736" t="str">
        <f>+VLOOKUP($C74,ForecastImport!$B$15:$J$394,COLUMN()-3,FALSE)</f>
        <v>110-111</v>
      </c>
      <c r="F74">
        <f>+VLOOKUP($C74,ForecastImport!$B$15:$J$394,COLUMN()-3,FALSE)</f>
        <v>186</v>
      </c>
      <c r="G74" t="str">
        <f>+VLOOKUP($C74,ForecastImport!$B$15:$J$394,COLUMN()-3,FALSE)</f>
        <v>DIRECT</v>
      </c>
      <c r="H74" t="str">
        <f>+VLOOKUP($C74,ForecastImport!$B$15:$J$394,COLUMN()-3,FALSE)</f>
        <v>DIST</v>
      </c>
      <c r="I74">
        <f>+VLOOKUP($C74,ForecastImport!$B$15:$J$394,COLUMN()-3,FALSE)</f>
        <v>51060663.808693767</v>
      </c>
      <c r="J74">
        <f>+VLOOKUP($C74,ForecastImport!$B$15:$J$394,COLUMN()-3,FALSE)</f>
        <v>48216918.364726976</v>
      </c>
      <c r="K74">
        <f>+VLOOKUP($C74,ForecastImport!$B$15:$J$394,COLUMN()-3,FALSE)</f>
        <v>0</v>
      </c>
      <c r="L74">
        <f>+VLOOKUP($C74,ForecastImport!$B$15:$J$394,COLUMN()-3,FALSE)</f>
        <v>2843745.443966785</v>
      </c>
    </row>
    <row r="75" spans="2:12" x14ac:dyDescent="0.25">
      <c r="B75">
        <v>113</v>
      </c>
      <c r="C75" t="s">
        <v>18</v>
      </c>
      <c r="D75" s="1211" t="e">
        <f>'Sch 1- Rate Base '!E78:G78</f>
        <v>#VALUE!</v>
      </c>
      <c r="E75" s="1736" t="str">
        <f>+VLOOKUP($C75,ForecastImport!$B$15:$J$394,COLUMN()-3,FALSE)</f>
        <v>110-111</v>
      </c>
      <c r="F75">
        <f>+VLOOKUP($C75,ForecastImport!$B$15:$J$394,COLUMN()-3,FALSE)</f>
        <v>187</v>
      </c>
      <c r="G75" t="str">
        <f>+VLOOKUP($C75,ForecastImport!$B$15:$J$394,COLUMN()-3,FALSE)</f>
        <v>DIRECT</v>
      </c>
      <c r="H75">
        <f>+VLOOKUP($C75,ForecastImport!$B$15:$J$394,COLUMN()-3,FALSE)</f>
        <v>0</v>
      </c>
      <c r="I75">
        <f>+VLOOKUP($C75,ForecastImport!$B$15:$J$394,COLUMN()-3,FALSE)</f>
        <v>0</v>
      </c>
      <c r="J75">
        <f>+VLOOKUP($C75,ForecastImport!$B$15:$J$394,COLUMN()-3,FALSE)</f>
        <v>0</v>
      </c>
      <c r="K75">
        <f>+VLOOKUP($C75,ForecastImport!$B$15:$J$394,COLUMN()-3,FALSE)</f>
        <v>0</v>
      </c>
      <c r="L75">
        <f>+VLOOKUP($C75,ForecastImport!$B$15:$J$394,COLUMN()-3,FALSE)</f>
        <v>0</v>
      </c>
    </row>
    <row r="76" spans="2:12" x14ac:dyDescent="0.25">
      <c r="B76">
        <v>114</v>
      </c>
      <c r="C76" t="s">
        <v>19</v>
      </c>
      <c r="D76" s="1211" t="e">
        <f>'Sch 1- Rate Base '!E79:G79</f>
        <v>#VALUE!</v>
      </c>
      <c r="E76" s="1736" t="str">
        <f>+VLOOKUP($C76,ForecastImport!$B$15:$J$394,COLUMN()-3,FALSE)</f>
        <v>110-111</v>
      </c>
      <c r="F76">
        <f>+VLOOKUP($C76,ForecastImport!$B$15:$J$394,COLUMN()-3,FALSE)</f>
        <v>188</v>
      </c>
      <c r="G76" t="str">
        <f>+VLOOKUP($C76,ForecastImport!$B$15:$J$394,COLUMN()-3,FALSE)</f>
        <v>DIST</v>
      </c>
      <c r="H76">
        <f>+VLOOKUP($C76,ForecastImport!$B$15:$J$394,COLUMN()-3,FALSE)</f>
        <v>0</v>
      </c>
      <c r="I76">
        <f>+VLOOKUP($C76,ForecastImport!$B$15:$J$394,COLUMN()-3,FALSE)</f>
        <v>0</v>
      </c>
      <c r="J76">
        <f>+VLOOKUP($C76,ForecastImport!$B$15:$J$394,COLUMN()-3,FALSE)</f>
        <v>0</v>
      </c>
      <c r="K76">
        <f>+VLOOKUP($C76,ForecastImport!$B$15:$J$394,COLUMN()-3,FALSE)</f>
        <v>0</v>
      </c>
      <c r="L76">
        <f>+VLOOKUP($C76,ForecastImport!$B$15:$J$394,COLUMN()-3,FALSE)</f>
        <v>0</v>
      </c>
    </row>
    <row r="77" spans="2:12" x14ac:dyDescent="0.25">
      <c r="B77">
        <v>115</v>
      </c>
      <c r="C77" t="s">
        <v>20</v>
      </c>
      <c r="D77" s="1211" t="e">
        <f>'Sch 1- Rate Base '!E80:G80</f>
        <v>#VALUE!</v>
      </c>
      <c r="E77" s="1736" t="str">
        <f>+VLOOKUP($C77,ForecastImport!$B$15:$J$394,COLUMN()-3,FALSE)</f>
        <v>110-111</v>
      </c>
      <c r="F77">
        <f>+VLOOKUP($C77,ForecastImport!$B$15:$J$394,COLUMN()-3,FALSE)</f>
        <v>189</v>
      </c>
      <c r="G77" t="str">
        <f>+VLOOKUP($C77,ForecastImport!$B$15:$J$394,COLUMN()-3,FALSE)</f>
        <v>PTDG</v>
      </c>
      <c r="H77">
        <f>+VLOOKUP($C77,ForecastImport!$B$15:$J$394,COLUMN()-3,FALSE)</f>
        <v>0</v>
      </c>
      <c r="I77">
        <f>+VLOOKUP($C77,ForecastImport!$B$15:$J$394,COLUMN()-3,FALSE)</f>
        <v>801630.402326782</v>
      </c>
      <c r="J77">
        <f>+VLOOKUP($C77,ForecastImport!$B$15:$J$394,COLUMN()-3,FALSE)</f>
        <v>348239.87177061226</v>
      </c>
      <c r="K77">
        <f>+VLOOKUP($C77,ForecastImport!$B$15:$J$394,COLUMN()-3,FALSE)</f>
        <v>0</v>
      </c>
      <c r="L77">
        <f>+VLOOKUP($C77,ForecastImport!$B$15:$J$394,COLUMN()-3,FALSE)</f>
        <v>246348.96744375481</v>
      </c>
    </row>
    <row r="78" spans="2:12" x14ac:dyDescent="0.25">
      <c r="B78">
        <v>116</v>
      </c>
      <c r="C78" t="s">
        <v>21</v>
      </c>
      <c r="D78" s="1211" t="e">
        <f>'Sch 1- Rate Base '!E81:G81</f>
        <v>#VALUE!</v>
      </c>
      <c r="E78" s="1736" t="str">
        <f>+VLOOKUP($C78,ForecastImport!$B$15:$J$394,COLUMN()-3,FALSE)</f>
        <v>110-111</v>
      </c>
      <c r="F78">
        <f>+VLOOKUP($C78,ForecastImport!$B$15:$J$394,COLUMN()-3,FALSE)</f>
        <v>190</v>
      </c>
      <c r="G78" t="str">
        <f>+VLOOKUP($C78,ForecastImport!$B$15:$J$394,COLUMN()-3,FALSE)</f>
        <v>DIST</v>
      </c>
      <c r="H78">
        <f>+VLOOKUP($C78,ForecastImport!$B$15:$J$394,COLUMN()-3,FALSE)</f>
        <v>0</v>
      </c>
      <c r="I78">
        <f>+VLOOKUP($C78,ForecastImport!$B$15:$J$394,COLUMN()-3,FALSE)</f>
        <v>367007945.82677501</v>
      </c>
      <c r="J78">
        <f>+VLOOKUP($C78,ForecastImport!$B$15:$J$394,COLUMN()-3,FALSE)</f>
        <v>0</v>
      </c>
      <c r="K78">
        <f>+VLOOKUP($C78,ForecastImport!$B$15:$J$394,COLUMN()-3,FALSE)</f>
        <v>0</v>
      </c>
      <c r="L78">
        <f>+VLOOKUP($C78,ForecastImport!$B$15:$J$394,COLUMN()-3,FALSE)</f>
        <v>367007945.82677501</v>
      </c>
    </row>
    <row r="79" spans="2:12" x14ac:dyDescent="0.25">
      <c r="B79">
        <v>122</v>
      </c>
      <c r="C79" t="s">
        <v>332</v>
      </c>
      <c r="D79" s="1211" t="e">
        <f>'Sch 1- Rate Base '!E82:G82</f>
        <v>#VALUE!</v>
      </c>
      <c r="E79" s="1736" t="str">
        <f>+VLOOKUP($C79,ForecastImport!$B$15:$J$394,COLUMN()-3,FALSE)</f>
        <v>112-113</v>
      </c>
      <c r="F79">
        <f>+VLOOKUP($C79,ForecastImport!$B$15:$J$394,COLUMN()-3,FALSE)</f>
        <v>175</v>
      </c>
      <c r="G79" t="str">
        <f>+VLOOKUP($C79,ForecastImport!$B$15:$J$394,COLUMN()-3,FALSE)</f>
        <v>DIST</v>
      </c>
      <c r="H79">
        <f>+VLOOKUP($C79,ForecastImport!$B$15:$J$394,COLUMN()-3,FALSE)</f>
        <v>0</v>
      </c>
      <c r="I79">
        <f>+VLOOKUP($C79,ForecastImport!$B$15:$J$394,COLUMN()-3,FALSE)</f>
        <v>33532868.969462179</v>
      </c>
      <c r="J79">
        <f>+VLOOKUP($C79,ForecastImport!$B$15:$J$394,COLUMN()-3,FALSE)</f>
        <v>0</v>
      </c>
      <c r="K79">
        <f>+VLOOKUP($C79,ForecastImport!$B$15:$J$394,COLUMN()-3,FALSE)</f>
        <v>0</v>
      </c>
      <c r="L79">
        <f>+VLOOKUP($C79,ForecastImport!$B$15:$J$394,COLUMN()-3,FALSE)</f>
        <v>33532868.969462179</v>
      </c>
    </row>
    <row r="80" spans="2:12" x14ac:dyDescent="0.25">
      <c r="B80">
        <v>123</v>
      </c>
      <c r="C80" s="1211" t="s">
        <v>625</v>
      </c>
      <c r="D80" s="1211" t="e">
        <f>'Sch 1- Rate Base '!E83:G83</f>
        <v>#VALUE!</v>
      </c>
      <c r="E80" s="1736" t="str">
        <f>+VLOOKUP($C80,ForecastImport!$B$15:$J$394,COLUMN()-3,FALSE)</f>
        <v>112-113</v>
      </c>
      <c r="F80">
        <f>+VLOOKUP($C80,ForecastImport!$B$15:$J$394,COLUMN()-3,FALSE)</f>
        <v>175</v>
      </c>
      <c r="G80" t="str">
        <f>+VLOOKUP($C80,ForecastImport!$B$15:$J$394,COLUMN()-3,FALSE)</f>
        <v>DIST</v>
      </c>
      <c r="H80">
        <f>+VLOOKUP($C80,ForecastImport!$B$15:$J$394,COLUMN()-3,FALSE)</f>
        <v>0</v>
      </c>
      <c r="I80">
        <f>+VLOOKUP($C80,ForecastImport!$B$15:$J$394,COLUMN()-3,FALSE)</f>
        <v>8023897.7622972047</v>
      </c>
      <c r="J80">
        <f>+VLOOKUP($C80,ForecastImport!$B$15:$J$394,COLUMN()-3,FALSE)</f>
        <v>0</v>
      </c>
      <c r="K80">
        <f>+VLOOKUP($C80,ForecastImport!$B$15:$J$394,COLUMN()-3,FALSE)</f>
        <v>0</v>
      </c>
      <c r="L80">
        <f>+VLOOKUP($C80,ForecastImport!$B$15:$J$394,COLUMN()-3,FALSE)</f>
        <v>8023897.7622972047</v>
      </c>
    </row>
    <row r="81" spans="2:12" x14ac:dyDescent="0.25">
      <c r="B81">
        <v>124</v>
      </c>
      <c r="C81" t="s">
        <v>333</v>
      </c>
      <c r="D81" s="1211" t="e">
        <f>'Sch 1- Rate Base '!E84:G84</f>
        <v>#VALUE!</v>
      </c>
      <c r="E81" s="1736" t="str">
        <f>+VLOOKUP($C81,ForecastImport!$B$15:$J$394,COLUMN()-3,FALSE)</f>
        <v>112-113</v>
      </c>
      <c r="F81">
        <f>+VLOOKUP($C81,ForecastImport!$B$15:$J$394,COLUMN()-3,FALSE)</f>
        <v>176</v>
      </c>
      <c r="G81" t="str">
        <f>+VLOOKUP($C81,ForecastImport!$B$15:$J$394,COLUMN()-3,FALSE)</f>
        <v>DIST</v>
      </c>
      <c r="H81">
        <f>+VLOOKUP($C81,ForecastImport!$B$15:$J$394,COLUMN()-3,FALSE)</f>
        <v>0</v>
      </c>
      <c r="I81">
        <f>+VLOOKUP($C81,ForecastImport!$B$15:$J$394,COLUMN()-3,FALSE)</f>
        <v>0</v>
      </c>
      <c r="J81">
        <f>+VLOOKUP($C81,ForecastImport!$B$15:$J$394,COLUMN()-3,FALSE)</f>
        <v>0</v>
      </c>
      <c r="K81">
        <f>+VLOOKUP($C81,ForecastImport!$B$15:$J$394,COLUMN()-3,FALSE)</f>
        <v>0</v>
      </c>
      <c r="L81">
        <f>+VLOOKUP($C81,ForecastImport!$B$15:$J$394,COLUMN()-3,FALSE)</f>
        <v>0</v>
      </c>
    </row>
    <row r="82" spans="2:12" x14ac:dyDescent="0.25">
      <c r="B82">
        <v>125</v>
      </c>
      <c r="C82" s="1211" t="s">
        <v>626</v>
      </c>
      <c r="D82" s="1211" t="e">
        <f>'Sch 1- Rate Base '!E85:G85</f>
        <v>#VALUE!</v>
      </c>
      <c r="E82" s="1736" t="str">
        <f>+VLOOKUP($C82,ForecastImport!$B$15:$J$394,COLUMN()-3,FALSE)</f>
        <v>112-113</v>
      </c>
      <c r="F82">
        <f>+VLOOKUP($C82,ForecastImport!$B$15:$J$394,COLUMN()-3,FALSE)</f>
        <v>176</v>
      </c>
      <c r="G82" t="str">
        <f>+VLOOKUP($C82,ForecastImport!$B$15:$J$394,COLUMN()-3,FALSE)</f>
        <v>DIST</v>
      </c>
      <c r="H82">
        <f>+VLOOKUP($C82,ForecastImport!$B$15:$J$394,COLUMN()-3,FALSE)</f>
        <v>0</v>
      </c>
      <c r="I82">
        <f>+VLOOKUP($C82,ForecastImport!$B$15:$J$394,COLUMN()-3,FALSE)</f>
        <v>0</v>
      </c>
      <c r="J82">
        <f>+VLOOKUP($C82,ForecastImport!$B$15:$J$394,COLUMN()-3,FALSE)</f>
        <v>0</v>
      </c>
      <c r="K82">
        <f>+VLOOKUP($C82,ForecastImport!$B$15:$J$394,COLUMN()-3,FALSE)</f>
        <v>0</v>
      </c>
      <c r="L82">
        <f>+VLOOKUP($C82,ForecastImport!$B$15:$J$394,COLUMN()-3,FALSE)</f>
        <v>0</v>
      </c>
    </row>
    <row r="83" spans="2:12" x14ac:dyDescent="0.25">
      <c r="B83">
        <v>126</v>
      </c>
      <c r="C83" t="s">
        <v>374</v>
      </c>
      <c r="D83" s="1211" t="e">
        <f>'Sch 1- Rate Base '!E86:G86</f>
        <v>#VALUE!</v>
      </c>
      <c r="E83" s="1736" t="str">
        <f>+VLOOKUP($C83,ForecastImport!$B$15:$J$394,COLUMN()-3,FALSE)</f>
        <v>112-113</v>
      </c>
      <c r="F83">
        <f>+VLOOKUP($C83,ForecastImport!$B$15:$J$394,COLUMN()-3,FALSE)</f>
        <v>244</v>
      </c>
      <c r="G83" t="str">
        <f>+VLOOKUP($C83,ForecastImport!$B$15:$J$394,COLUMN()-3,FALSE)</f>
        <v>DIST</v>
      </c>
      <c r="H83">
        <f>+VLOOKUP($C83,ForecastImport!$B$15:$J$394,COLUMN()-3,FALSE)</f>
        <v>0</v>
      </c>
      <c r="I83">
        <f>+VLOOKUP($C83,ForecastImport!$B$15:$J$394,COLUMN()-3,FALSE)</f>
        <v>0</v>
      </c>
      <c r="J83">
        <f>+VLOOKUP($C83,ForecastImport!$B$15:$J$394,COLUMN()-3,FALSE)</f>
        <v>0</v>
      </c>
      <c r="K83">
        <f>+VLOOKUP($C83,ForecastImport!$B$15:$J$394,COLUMN()-3,FALSE)</f>
        <v>0</v>
      </c>
      <c r="L83">
        <f>+VLOOKUP($C83,ForecastImport!$B$15:$J$394,COLUMN()-3,FALSE)</f>
        <v>0</v>
      </c>
    </row>
    <row r="84" spans="2:12" x14ac:dyDescent="0.25">
      <c r="B84">
        <v>127</v>
      </c>
      <c r="C84" t="s">
        <v>375</v>
      </c>
      <c r="D84" s="1211" t="e">
        <f>'Sch 1- Rate Base '!E87:G87</f>
        <v>#VALUE!</v>
      </c>
      <c r="E84" s="1736" t="str">
        <f>+VLOOKUP($C84,ForecastImport!$B$15:$J$394,COLUMN()-3,FALSE)</f>
        <v>112-113</v>
      </c>
      <c r="F84">
        <f>+VLOOKUP($C84,ForecastImport!$B$15:$J$394,COLUMN()-3,FALSE)</f>
        <v>245</v>
      </c>
      <c r="G84" t="str">
        <f>+VLOOKUP($C84,ForecastImport!$B$15:$J$394,COLUMN()-3,FALSE)</f>
        <v>DIST</v>
      </c>
      <c r="H84">
        <f>+VLOOKUP($C84,ForecastImport!$B$15:$J$394,COLUMN()-3,FALSE)</f>
        <v>0</v>
      </c>
      <c r="I84">
        <f>+VLOOKUP($C84,ForecastImport!$B$15:$J$394,COLUMN()-3,FALSE)</f>
        <v>0</v>
      </c>
      <c r="J84">
        <f>+VLOOKUP($C84,ForecastImport!$B$15:$J$394,COLUMN()-3,FALSE)</f>
        <v>0</v>
      </c>
      <c r="K84">
        <f>+VLOOKUP($C84,ForecastImport!$B$15:$J$394,COLUMN()-3,FALSE)</f>
        <v>0</v>
      </c>
      <c r="L84">
        <f>+VLOOKUP($C84,ForecastImport!$B$15:$J$394,COLUMN()-3,FALSE)</f>
        <v>0</v>
      </c>
    </row>
    <row r="85" spans="2:12" x14ac:dyDescent="0.25">
      <c r="B85">
        <v>128</v>
      </c>
      <c r="C85" t="s">
        <v>22</v>
      </c>
      <c r="D85" s="1211" t="e">
        <f>'Sch 1- Rate Base '!E88:G88</f>
        <v>#VALUE!</v>
      </c>
      <c r="E85" s="1736" t="str">
        <f>+VLOOKUP($C85,ForecastImport!$B$15:$J$394,COLUMN()-3,FALSE)</f>
        <v>112-113</v>
      </c>
      <c r="F85">
        <f>+VLOOKUP($C85,ForecastImport!$B$15:$J$394,COLUMN()-3,FALSE)</f>
        <v>252</v>
      </c>
      <c r="G85" t="str">
        <f>+VLOOKUP($C85,ForecastImport!$B$15:$J$394,COLUMN()-3,FALSE)</f>
        <v>DIST</v>
      </c>
      <c r="H85">
        <f>+VLOOKUP($C85,ForecastImport!$B$15:$J$394,COLUMN()-3,FALSE)</f>
        <v>0</v>
      </c>
      <c r="I85">
        <f>+VLOOKUP($C85,ForecastImport!$B$15:$J$394,COLUMN()-3,FALSE)</f>
        <v>140066801.77948469</v>
      </c>
      <c r="J85">
        <f>+VLOOKUP($C85,ForecastImport!$B$15:$J$394,COLUMN()-3,FALSE)</f>
        <v>0</v>
      </c>
      <c r="K85">
        <f>+VLOOKUP($C85,ForecastImport!$B$15:$J$394,COLUMN()-3,FALSE)</f>
        <v>0</v>
      </c>
      <c r="L85">
        <f>+VLOOKUP($C85,ForecastImport!$B$15:$J$394,COLUMN()-3,FALSE)</f>
        <v>140066801.77948469</v>
      </c>
    </row>
    <row r="86" spans="2:12" x14ac:dyDescent="0.25">
      <c r="B86">
        <v>129</v>
      </c>
      <c r="C86" t="s">
        <v>25</v>
      </c>
      <c r="D86" s="1211" t="e">
        <f>'Sch 1- Rate Base '!E89:G89</f>
        <v>#VALUE!</v>
      </c>
      <c r="E86" s="1736" t="str">
        <f>+VLOOKUP($C86,ForecastImport!$B$15:$J$394,COLUMN()-3,FALSE)</f>
        <v>112-113</v>
      </c>
      <c r="F86">
        <f>+VLOOKUP($C86,ForecastImport!$B$15:$J$394,COLUMN()-3,FALSE)</f>
        <v>253</v>
      </c>
      <c r="G86" t="str">
        <f>+VLOOKUP($C86,ForecastImport!$B$15:$J$394,COLUMN()-3,FALSE)</f>
        <v>DIRECT</v>
      </c>
      <c r="H86" t="str">
        <f>+VLOOKUP($C86,ForecastImport!$B$15:$J$394,COLUMN()-3,FALSE)</f>
        <v>DIST</v>
      </c>
      <c r="I86">
        <f>+VLOOKUP($C86,ForecastImport!$B$15:$J$394,COLUMN()-3,FALSE)</f>
        <v>139827822.78011093</v>
      </c>
      <c r="J86">
        <f>+VLOOKUP($C86,ForecastImport!$B$15:$J$394,COLUMN()-3,FALSE)</f>
        <v>38305646.080497444</v>
      </c>
      <c r="K86">
        <f>+VLOOKUP($C86,ForecastImport!$B$15:$J$394,COLUMN()-3,FALSE)</f>
        <v>0</v>
      </c>
      <c r="L86">
        <f>+VLOOKUP($C86,ForecastImport!$B$15:$J$394,COLUMN()-3,FALSE)</f>
        <v>101522176.6996135</v>
      </c>
    </row>
    <row r="87" spans="2:12" x14ac:dyDescent="0.25">
      <c r="B87">
        <v>130</v>
      </c>
      <c r="C87" t="s">
        <v>26</v>
      </c>
      <c r="D87" s="1211" t="e">
        <f>'Sch 1- Rate Base '!E90:G90</f>
        <v>#VALUE!</v>
      </c>
      <c r="E87" s="1736" t="str">
        <f>+VLOOKUP($C87,ForecastImport!$B$15:$J$394,COLUMN()-3,FALSE)</f>
        <v>112-113</v>
      </c>
      <c r="F87">
        <f>+VLOOKUP($C87,ForecastImport!$B$15:$J$394,COLUMN()-3,FALSE)</f>
        <v>254</v>
      </c>
      <c r="G87" t="str">
        <f>+VLOOKUP($C87,ForecastImport!$B$15:$J$394,COLUMN()-3,FALSE)</f>
        <v>DIRECT</v>
      </c>
      <c r="H87" t="str">
        <f>+VLOOKUP($C87,ForecastImport!$B$15:$J$394,COLUMN()-3,FALSE)</f>
        <v>DIST</v>
      </c>
      <c r="I87">
        <f>+VLOOKUP($C87,ForecastImport!$B$15:$J$394,COLUMN()-3,FALSE)</f>
        <v>540639201.34976745</v>
      </c>
      <c r="J87">
        <f>+VLOOKUP($C87,ForecastImport!$B$15:$J$394,COLUMN()-3,FALSE)</f>
        <v>49323245.608887903</v>
      </c>
      <c r="K87">
        <f>+VLOOKUP($C87,ForecastImport!$B$15:$J$394,COLUMN()-3,FALSE)</f>
        <v>0</v>
      </c>
      <c r="L87">
        <f>+VLOOKUP($C87,ForecastImport!$B$15:$J$394,COLUMN()-3,FALSE)</f>
        <v>491315955.74087965</v>
      </c>
    </row>
    <row r="88" spans="2:12" x14ac:dyDescent="0.25">
      <c r="B88">
        <v>131</v>
      </c>
      <c r="C88" t="s">
        <v>23</v>
      </c>
      <c r="D88" s="1211" t="e">
        <f>'Sch 1- Rate Base '!E91:G91</f>
        <v>#VALUE!</v>
      </c>
      <c r="E88" s="1736" t="str">
        <f>+VLOOKUP($C88,ForecastImport!$B$15:$J$394,COLUMN()-3,FALSE)</f>
        <v>112-113</v>
      </c>
      <c r="F88">
        <f>+VLOOKUP($C88,ForecastImport!$B$15:$J$394,COLUMN()-3,FALSE)</f>
        <v>255</v>
      </c>
      <c r="G88" t="str">
        <f>+VLOOKUP($C88,ForecastImport!$B$15:$J$394,COLUMN()-3,FALSE)</f>
        <v>DIST</v>
      </c>
      <c r="H88">
        <f>+VLOOKUP($C88,ForecastImport!$B$15:$J$394,COLUMN()-3,FALSE)</f>
        <v>0</v>
      </c>
      <c r="I88">
        <f>+VLOOKUP($C88,ForecastImport!$B$15:$J$394,COLUMN()-3,FALSE)</f>
        <v>380033.94867876318</v>
      </c>
      <c r="J88">
        <f>+VLOOKUP($C88,ForecastImport!$B$15:$J$394,COLUMN()-3,FALSE)</f>
        <v>0</v>
      </c>
      <c r="K88">
        <f>+VLOOKUP($C88,ForecastImport!$B$15:$J$394,COLUMN()-3,FALSE)</f>
        <v>0</v>
      </c>
      <c r="L88">
        <f>+VLOOKUP($C88,ForecastImport!$B$15:$J$394,COLUMN()-3,FALSE)</f>
        <v>380033.94867876318</v>
      </c>
    </row>
    <row r="89" spans="2:12" x14ac:dyDescent="0.25">
      <c r="B89">
        <v>132</v>
      </c>
      <c r="C89" t="s">
        <v>24</v>
      </c>
      <c r="D89" s="1211" t="e">
        <f>'Sch 1- Rate Base '!E92:G92</f>
        <v>#VALUE!</v>
      </c>
      <c r="E89" s="1736" t="str">
        <f>+VLOOKUP($C89,ForecastImport!$B$15:$J$394,COLUMN()-3,FALSE)</f>
        <v>112-113</v>
      </c>
      <c r="F89">
        <f>+VLOOKUP($C89,ForecastImport!$B$15:$J$394,COLUMN()-3,FALSE)</f>
        <v>256</v>
      </c>
      <c r="G89" t="str">
        <f>+VLOOKUP($C89,ForecastImport!$B$15:$J$394,COLUMN()-3,FALSE)</f>
        <v>DIRECT</v>
      </c>
      <c r="H89">
        <f>+VLOOKUP($C89,ForecastImport!$B$15:$J$394,COLUMN()-3,FALSE)</f>
        <v>0</v>
      </c>
      <c r="I89">
        <f>+VLOOKUP($C89,ForecastImport!$B$15:$J$394,COLUMN()-3,FALSE)</f>
        <v>0</v>
      </c>
      <c r="J89">
        <f>+VLOOKUP($C89,ForecastImport!$B$15:$J$394,COLUMN()-3,FALSE)</f>
        <v>0</v>
      </c>
      <c r="K89">
        <f>+VLOOKUP($C89,ForecastImport!$B$15:$J$394,COLUMN()-3,FALSE)</f>
        <v>0</v>
      </c>
      <c r="L89">
        <f>+VLOOKUP($C89,ForecastImport!$B$15:$J$394,COLUMN()-3,FALSE)</f>
        <v>0</v>
      </c>
    </row>
    <row r="90" spans="2:12" x14ac:dyDescent="0.25">
      <c r="B90">
        <v>133</v>
      </c>
      <c r="C90" t="s">
        <v>27</v>
      </c>
      <c r="D90" s="1211" t="e">
        <f>'Sch 1- Rate Base '!E93:G93</f>
        <v>#VALUE!</v>
      </c>
      <c r="E90" s="1736" t="str">
        <f>+VLOOKUP($C90,ForecastImport!$B$15:$J$394,COLUMN()-3,FALSE)</f>
        <v>112-113</v>
      </c>
      <c r="F90">
        <f>+VLOOKUP($C90,ForecastImport!$B$15:$J$394,COLUMN()-3,FALSE)</f>
        <v>257</v>
      </c>
      <c r="G90" t="str">
        <f>+VLOOKUP($C90,ForecastImport!$B$15:$J$394,COLUMN()-3,FALSE)</f>
        <v>PTDG</v>
      </c>
      <c r="H90">
        <f>+VLOOKUP($C90,ForecastImport!$B$15:$J$394,COLUMN()-3,FALSE)</f>
        <v>0</v>
      </c>
      <c r="I90">
        <f>+VLOOKUP($C90,ForecastImport!$B$15:$J$394,COLUMN()-3,FALSE)</f>
        <v>0</v>
      </c>
      <c r="J90">
        <f>+VLOOKUP($C90,ForecastImport!$B$15:$J$394,COLUMN()-3,FALSE)</f>
        <v>0</v>
      </c>
      <c r="K90">
        <f>+VLOOKUP($C90,ForecastImport!$B$15:$J$394,COLUMN()-3,FALSE)</f>
        <v>0</v>
      </c>
      <c r="L90">
        <f>+VLOOKUP($C90,ForecastImport!$B$15:$J$394,COLUMN()-3,FALSE)</f>
        <v>0</v>
      </c>
    </row>
    <row r="91" spans="2:12" x14ac:dyDescent="0.25">
      <c r="B91">
        <v>134</v>
      </c>
      <c r="C91" t="s">
        <v>31</v>
      </c>
      <c r="D91" s="1211" t="e">
        <f>'Sch 1- Rate Base '!E94:G94</f>
        <v>#VALUE!</v>
      </c>
      <c r="E91" s="1736" t="str">
        <f>+VLOOKUP($C91,ForecastImport!$B$15:$J$394,COLUMN()-3,FALSE)</f>
        <v>112-113</v>
      </c>
      <c r="F91">
        <f>+VLOOKUP($C91,ForecastImport!$B$15:$J$394,COLUMN()-3,FALSE)</f>
        <v>281</v>
      </c>
      <c r="G91" t="str">
        <f>+VLOOKUP($C91,ForecastImport!$B$15:$J$394,COLUMN()-3,FALSE)</f>
        <v>DIST</v>
      </c>
      <c r="H91">
        <f>+VLOOKUP($C91,ForecastImport!$B$15:$J$394,COLUMN()-3,FALSE)</f>
        <v>0</v>
      </c>
      <c r="I91">
        <f>+VLOOKUP($C91,ForecastImport!$B$15:$J$394,COLUMN()-3,FALSE)</f>
        <v>49345436.339833371</v>
      </c>
      <c r="J91">
        <f>+VLOOKUP($C91,ForecastImport!$B$15:$J$394,COLUMN()-3,FALSE)</f>
        <v>0</v>
      </c>
      <c r="K91">
        <f>+VLOOKUP($C91,ForecastImport!$B$15:$J$394,COLUMN()-3,FALSE)</f>
        <v>0</v>
      </c>
      <c r="L91">
        <f>+VLOOKUP($C91,ForecastImport!$B$15:$J$394,COLUMN()-3,FALSE)</f>
        <v>49345436.339833371</v>
      </c>
    </row>
    <row r="92" spans="2:12" x14ac:dyDescent="0.25">
      <c r="B92">
        <v>135</v>
      </c>
      <c r="C92" t="s">
        <v>32</v>
      </c>
      <c r="D92" s="1211" t="e">
        <f>'Sch 1- Rate Base '!E95:G95</f>
        <v>#VALUE!</v>
      </c>
      <c r="E92" s="1736" t="str">
        <f>+VLOOKUP($C92,ForecastImport!$B$15:$J$394,COLUMN()-3,FALSE)</f>
        <v>112-113</v>
      </c>
      <c r="F92">
        <f>+VLOOKUP($C92,ForecastImport!$B$15:$J$394,COLUMN()-3,FALSE)</f>
        <v>282</v>
      </c>
      <c r="G92" t="str">
        <f>+VLOOKUP($C92,ForecastImport!$B$15:$J$394,COLUMN()-3,FALSE)</f>
        <v>DIST</v>
      </c>
      <c r="H92">
        <f>+VLOOKUP($C92,ForecastImport!$B$15:$J$394,COLUMN()-3,FALSE)</f>
        <v>0</v>
      </c>
      <c r="I92">
        <f>+VLOOKUP($C92,ForecastImport!$B$15:$J$394,COLUMN()-3,FALSE)</f>
        <v>1235537678.297518</v>
      </c>
      <c r="J92">
        <f>+VLOOKUP($C92,ForecastImport!$B$15:$J$394,COLUMN()-3,FALSE)</f>
        <v>0</v>
      </c>
      <c r="K92">
        <f>+VLOOKUP($C92,ForecastImport!$B$15:$J$394,COLUMN()-3,FALSE)</f>
        <v>0</v>
      </c>
      <c r="L92">
        <f>+VLOOKUP($C92,ForecastImport!$B$15:$J$394,COLUMN()-3,FALSE)</f>
        <v>1235537678.297518</v>
      </c>
    </row>
    <row r="93" spans="2:12" x14ac:dyDescent="0.25">
      <c r="B93">
        <v>136</v>
      </c>
      <c r="C93" t="s">
        <v>33</v>
      </c>
      <c r="D93" s="1211" t="e">
        <f>'Sch 1- Rate Base '!E96:G96</f>
        <v>#VALUE!</v>
      </c>
      <c r="E93" s="1736" t="str">
        <f>+VLOOKUP($C93,ForecastImport!$B$15:$J$394,COLUMN()-3,FALSE)</f>
        <v>112-113</v>
      </c>
      <c r="F93">
        <f>+VLOOKUP($C93,ForecastImport!$B$15:$J$394,COLUMN()-3,FALSE)</f>
        <v>283</v>
      </c>
      <c r="G93" t="str">
        <f>+VLOOKUP($C93,ForecastImport!$B$15:$J$394,COLUMN()-3,FALSE)</f>
        <v>DIST</v>
      </c>
      <c r="H93">
        <f>+VLOOKUP($C93,ForecastImport!$B$15:$J$394,COLUMN()-3,FALSE)</f>
        <v>0</v>
      </c>
      <c r="I93">
        <f>+VLOOKUP($C93,ForecastImport!$B$15:$J$394,COLUMN()-3,FALSE)</f>
        <v>92165168.090324983</v>
      </c>
      <c r="J93">
        <f>+VLOOKUP($C93,ForecastImport!$B$15:$J$394,COLUMN()-3,FALSE)</f>
        <v>0</v>
      </c>
      <c r="K93">
        <f>+VLOOKUP($C93,ForecastImport!$B$15:$J$394,COLUMN()-3,FALSE)</f>
        <v>0</v>
      </c>
      <c r="L93">
        <f>+VLOOKUP($C93,ForecastImport!$B$15:$J$394,COLUMN()-3,FALSE)</f>
        <v>92165168.090324983</v>
      </c>
    </row>
    <row r="94" spans="2:12" x14ac:dyDescent="0.25">
      <c r="B94">
        <v>145</v>
      </c>
      <c r="C94" t="s">
        <v>63</v>
      </c>
      <c r="D94" s="1211" t="e">
        <f>'Sch 1- Rate Base '!E97:G97</f>
        <v>#VALUE!</v>
      </c>
      <c r="E94" s="1736">
        <f>+VLOOKUP($C94,ForecastImport!$B$15:$J$394,COLUMN()-3,FALSE)</f>
        <v>0</v>
      </c>
      <c r="F94">
        <f>+VLOOKUP($C94,ForecastImport!$B$15:$J$394,COLUMN()-3,FALSE)</f>
        <v>0</v>
      </c>
      <c r="G94">
        <f>+VLOOKUP($C94,ForecastImport!$B$15:$J$394,COLUMN()-3,FALSE)</f>
        <v>0</v>
      </c>
      <c r="H94">
        <f>+VLOOKUP($C94,ForecastImport!$B$15:$J$394,COLUMN()-3,FALSE)</f>
        <v>0</v>
      </c>
      <c r="I94">
        <f>+VLOOKUP($C94,ForecastImport!$B$15:$J$394,COLUMN()-3,FALSE)</f>
        <v>8.4185220942944408E-2</v>
      </c>
      <c r="J94">
        <f>+VLOOKUP($C94,ForecastImport!$B$15:$J$394,COLUMN()-3,FALSE)</f>
        <v>8.4185220942944408E-2</v>
      </c>
      <c r="K94">
        <f>+VLOOKUP($C94,ForecastImport!$B$15:$J$394,COLUMN()-3,FALSE)</f>
        <v>8.4185220942944408E-2</v>
      </c>
      <c r="L94">
        <f>+VLOOKUP($C94,ForecastImport!$B$15:$J$394,COLUMN()-3,FALSE)</f>
        <v>8.4185220942944408E-2</v>
      </c>
    </row>
    <row r="95" spans="2:12" x14ac:dyDescent="0.25">
      <c r="B95">
        <v>147</v>
      </c>
      <c r="C95" t="s">
        <v>141</v>
      </c>
      <c r="D95" s="1211" t="e">
        <f>'Sch 1- Rate Base '!E98:G98</f>
        <v>#VALUE!</v>
      </c>
      <c r="E95" s="1736">
        <f>+VLOOKUP($C95,ForecastImport!$B$15:$J$394,COLUMN()-3,FALSE)</f>
        <v>0</v>
      </c>
      <c r="F95">
        <f>+VLOOKUP($C95,ForecastImport!$B$15:$J$394,COLUMN()-3,FALSE)</f>
        <v>0</v>
      </c>
      <c r="G95">
        <f>+VLOOKUP($C95,ForecastImport!$B$15:$J$394,COLUMN()-3,FALSE)</f>
        <v>0</v>
      </c>
      <c r="H95">
        <f>+VLOOKUP($C95,ForecastImport!$B$15:$J$394,COLUMN()-3,FALSE)</f>
        <v>0</v>
      </c>
      <c r="I95">
        <f>+VLOOKUP($C95,ForecastImport!$B$15:$J$394,COLUMN()-3,FALSE)</f>
        <v>835755641.72235751</v>
      </c>
      <c r="J95">
        <f>+VLOOKUP($C95,ForecastImport!$B$15:$J$394,COLUMN()-3,FALSE)</f>
        <v>341699295.91574723</v>
      </c>
      <c r="K95">
        <f>+VLOOKUP($C95,ForecastImport!$B$15:$J$394,COLUMN()-3,FALSE)</f>
        <v>2011425.3370538021</v>
      </c>
      <c r="L95">
        <f>+VLOOKUP($C95,ForecastImport!$B$15:$J$394,COLUMN()-3,FALSE)</f>
        <v>491959942.95840907</v>
      </c>
    </row>
    <row r="96" spans="2:12" x14ac:dyDescent="0.25">
      <c r="B96">
        <v>150</v>
      </c>
      <c r="C96" t="s">
        <v>259</v>
      </c>
      <c r="D96" s="1211" t="e">
        <f>'Sch 1- Rate Base '!E99:G99</f>
        <v>#VALUE!</v>
      </c>
      <c r="E96" s="1736" t="str">
        <f>+VLOOKUP($C96,ForecastImport!$B$15:$J$394,COLUMN()-3,FALSE)</f>
        <v>320-323</v>
      </c>
      <c r="F96">
        <f>+VLOOKUP($C96,ForecastImport!$B$15:$J$394,COLUMN()-3,FALSE)</f>
        <v>501</v>
      </c>
      <c r="G96" t="str">
        <f>+VLOOKUP($C96,ForecastImport!$B$15:$J$394,COLUMN()-3,FALSE)</f>
        <v>PROD</v>
      </c>
      <c r="H96">
        <f>+VLOOKUP($C96,ForecastImport!$B$15:$J$394,COLUMN()-3,FALSE)</f>
        <v>0</v>
      </c>
      <c r="I96">
        <f>+VLOOKUP($C96,ForecastImport!$B$15:$J$394,COLUMN()-3,FALSE)</f>
        <v>252388860.8429752</v>
      </c>
      <c r="J96">
        <f>+VLOOKUP($C96,ForecastImport!$B$15:$J$394,COLUMN()-3,FALSE)</f>
        <v>252388860.8429752</v>
      </c>
      <c r="K96">
        <f>+VLOOKUP($C96,ForecastImport!$B$15:$J$394,COLUMN()-3,FALSE)</f>
        <v>0</v>
      </c>
      <c r="L96">
        <f>+VLOOKUP($C96,ForecastImport!$B$15:$J$394,COLUMN()-3,FALSE)</f>
        <v>0</v>
      </c>
    </row>
    <row r="97" spans="2:12" x14ac:dyDescent="0.25">
      <c r="B97">
        <v>151</v>
      </c>
      <c r="C97" t="s">
        <v>260</v>
      </c>
      <c r="D97" s="1211" t="e">
        <f>'Sch 1- Rate Base '!E100:G100</f>
        <v>#VALUE!</v>
      </c>
      <c r="E97" s="1736" t="str">
        <f>+VLOOKUP($C97,ForecastImport!$B$15:$J$394,COLUMN()-3,FALSE)</f>
        <v>320-323</v>
      </c>
      <c r="F97" t="str">
        <f>+VLOOKUP($C97,ForecastImport!$B$15:$J$394,COLUMN()-3,FALSE)</f>
        <v>500-509</v>
      </c>
      <c r="G97" t="str">
        <f>+VLOOKUP($C97,ForecastImport!$B$15:$J$394,COLUMN()-3,FALSE)</f>
        <v>PROD</v>
      </c>
      <c r="H97">
        <f>+VLOOKUP($C97,ForecastImport!$B$15:$J$394,COLUMN()-3,FALSE)</f>
        <v>0</v>
      </c>
      <c r="I97">
        <f>+VLOOKUP($C97,ForecastImport!$B$15:$J$394,COLUMN()-3,FALSE)</f>
        <v>54995738.093448065</v>
      </c>
      <c r="J97">
        <f>+VLOOKUP($C97,ForecastImport!$B$15:$J$394,COLUMN()-3,FALSE)</f>
        <v>54995738.093448065</v>
      </c>
      <c r="K97">
        <f>+VLOOKUP($C97,ForecastImport!$B$15:$J$394,COLUMN()-3,FALSE)</f>
        <v>0</v>
      </c>
      <c r="L97">
        <f>+VLOOKUP($C97,ForecastImport!$B$15:$J$394,COLUMN()-3,FALSE)</f>
        <v>0</v>
      </c>
    </row>
    <row r="98" spans="2:12" x14ac:dyDescent="0.25">
      <c r="B98">
        <v>152</v>
      </c>
      <c r="C98" t="s">
        <v>261</v>
      </c>
      <c r="D98" s="1211" t="e">
        <f>'Sch 1- Rate Base '!E101:G101</f>
        <v>#VALUE!</v>
      </c>
      <c r="E98" s="1736" t="str">
        <f>+VLOOKUP($C98,ForecastImport!$B$15:$J$394,COLUMN()-3,FALSE)</f>
        <v>320-323</v>
      </c>
      <c r="F98" t="str">
        <f>+VLOOKUP($C98,ForecastImport!$B$15:$J$394,COLUMN()-3,FALSE)</f>
        <v>510-515</v>
      </c>
      <c r="G98" t="str">
        <f>+VLOOKUP($C98,ForecastImport!$B$15:$J$394,COLUMN()-3,FALSE)</f>
        <v>PROD</v>
      </c>
      <c r="H98">
        <f>+VLOOKUP($C98,ForecastImport!$B$15:$J$394,COLUMN()-3,FALSE)</f>
        <v>0</v>
      </c>
      <c r="I98">
        <f>+VLOOKUP($C98,ForecastImport!$B$15:$J$394,COLUMN()-3,FALSE)</f>
        <v>67931640.829523325</v>
      </c>
      <c r="J98">
        <f>+VLOOKUP($C98,ForecastImport!$B$15:$J$394,COLUMN()-3,FALSE)</f>
        <v>67931640.829523325</v>
      </c>
      <c r="K98">
        <f>+VLOOKUP($C98,ForecastImport!$B$15:$J$394,COLUMN()-3,FALSE)</f>
        <v>0</v>
      </c>
      <c r="L98">
        <f>+VLOOKUP($C98,ForecastImport!$B$15:$J$394,COLUMN()-3,FALSE)</f>
        <v>0</v>
      </c>
    </row>
    <row r="99" spans="2:12" x14ac:dyDescent="0.25">
      <c r="B99">
        <v>153</v>
      </c>
      <c r="C99" t="s">
        <v>85</v>
      </c>
      <c r="D99" s="1211" t="e">
        <f>'Sch 1- Rate Base '!E102:G102</f>
        <v>#VALUE!</v>
      </c>
      <c r="E99" s="1736" t="str">
        <f>+VLOOKUP($C99,ForecastImport!$B$15:$J$394,COLUMN()-3,FALSE)</f>
        <v>320-323</v>
      </c>
      <c r="F99">
        <f>+VLOOKUP($C99,ForecastImport!$B$15:$J$394,COLUMN()-3,FALSE)</f>
        <v>518</v>
      </c>
      <c r="G99" t="str">
        <f>+VLOOKUP($C99,ForecastImport!$B$15:$J$394,COLUMN()-3,FALSE)</f>
        <v>PROD</v>
      </c>
      <c r="H99">
        <f>+VLOOKUP($C99,ForecastImport!$B$15:$J$394,COLUMN()-3,FALSE)</f>
        <v>0</v>
      </c>
      <c r="I99">
        <f>+VLOOKUP($C99,ForecastImport!$B$15:$J$394,COLUMN()-3,FALSE)</f>
        <v>0</v>
      </c>
      <c r="J99">
        <f>+VLOOKUP($C99,ForecastImport!$B$15:$J$394,COLUMN()-3,FALSE)</f>
        <v>0</v>
      </c>
      <c r="K99">
        <f>+VLOOKUP($C99,ForecastImport!$B$15:$J$394,COLUMN()-3,FALSE)</f>
        <v>0</v>
      </c>
      <c r="L99">
        <f>+VLOOKUP($C99,ForecastImport!$B$15:$J$394,COLUMN()-3,FALSE)</f>
        <v>0</v>
      </c>
    </row>
    <row r="100" spans="2:12" x14ac:dyDescent="0.25">
      <c r="B100">
        <v>154</v>
      </c>
      <c r="C100" t="s">
        <v>264</v>
      </c>
      <c r="D100" s="1211" t="e">
        <f>'Sch 1- Rate Base '!E103:G103</f>
        <v>#VALUE!</v>
      </c>
      <c r="E100" s="1736" t="str">
        <f>+VLOOKUP($C100,ForecastImport!$B$15:$J$394,COLUMN()-3,FALSE)</f>
        <v>320-323</v>
      </c>
      <c r="F100" s="1736" t="str">
        <f>+VLOOKUP($C100,ForecastImport!$B$15:$J$394,COLUMN()-3,FALSE)</f>
        <v>517-525</v>
      </c>
      <c r="G100" t="str">
        <f>+VLOOKUP($C100,ForecastImport!$B$15:$J$394,COLUMN()-3,FALSE)</f>
        <v>PROD</v>
      </c>
      <c r="H100">
        <f>+VLOOKUP($C100,ForecastImport!$B$15:$J$394,COLUMN()-3,FALSE)</f>
        <v>0</v>
      </c>
      <c r="I100">
        <f>+VLOOKUP($C100,ForecastImport!$B$15:$J$394,COLUMN()-3,FALSE)</f>
        <v>0</v>
      </c>
      <c r="J100">
        <f>+VLOOKUP($C100,ForecastImport!$B$15:$J$394,COLUMN()-3,FALSE)</f>
        <v>0</v>
      </c>
      <c r="K100">
        <f>+VLOOKUP($C100,ForecastImport!$B$15:$J$394,COLUMN()-3,FALSE)</f>
        <v>0</v>
      </c>
      <c r="L100">
        <f>+VLOOKUP($C100,ForecastImport!$B$15:$J$394,COLUMN()-3,FALSE)</f>
        <v>0</v>
      </c>
    </row>
    <row r="101" spans="2:12" x14ac:dyDescent="0.25">
      <c r="B101">
        <v>155</v>
      </c>
      <c r="C101" t="s">
        <v>479</v>
      </c>
      <c r="D101" s="1211" t="e">
        <f>'Sch 1- Rate Base '!E104:G104</f>
        <v>#VALUE!</v>
      </c>
      <c r="E101" s="1736" t="str">
        <f>+VLOOKUP($C101,ForecastImport!$B$15:$J$394,COLUMN()-3,FALSE)</f>
        <v>320-323</v>
      </c>
      <c r="F101" s="1736" t="str">
        <f>+VLOOKUP($C101,ForecastImport!$B$15:$J$394,COLUMN()-3,FALSE)</f>
        <v>528-532</v>
      </c>
      <c r="G101" t="str">
        <f>+VLOOKUP($C101,ForecastImport!$B$15:$J$394,COLUMN()-3,FALSE)</f>
        <v>PROD</v>
      </c>
      <c r="H101">
        <f>+VLOOKUP($C101,ForecastImport!$B$15:$J$394,COLUMN()-3,FALSE)</f>
        <v>0</v>
      </c>
      <c r="I101">
        <f>+VLOOKUP($C101,ForecastImport!$B$15:$J$394,COLUMN()-3,FALSE)</f>
        <v>0</v>
      </c>
      <c r="J101">
        <f>+VLOOKUP($C101,ForecastImport!$B$15:$J$394,COLUMN()-3,FALSE)</f>
        <v>0</v>
      </c>
      <c r="K101">
        <f>+VLOOKUP($C101,ForecastImport!$B$15:$J$394,COLUMN()-3,FALSE)</f>
        <v>0</v>
      </c>
      <c r="L101">
        <f>+VLOOKUP($C101,ForecastImport!$B$15:$J$394,COLUMN()-3,FALSE)</f>
        <v>0</v>
      </c>
    </row>
    <row r="102" spans="2:12" x14ac:dyDescent="0.25">
      <c r="B102">
        <v>156</v>
      </c>
      <c r="C102" t="s">
        <v>86</v>
      </c>
      <c r="D102" s="1211" t="e">
        <f>'Sch 1- Rate Base '!E105:G105</f>
        <v>#VALUE!</v>
      </c>
      <c r="E102" s="1736" t="str">
        <f>+VLOOKUP($C102,ForecastImport!$B$15:$J$394,COLUMN()-3,FALSE)</f>
        <v>320-323</v>
      </c>
      <c r="F102" s="1736" t="str">
        <f>+VLOOKUP($C102,ForecastImport!$B$15:$J$394,COLUMN()-3,FALSE)</f>
        <v>535-540.1</v>
      </c>
      <c r="G102" t="str">
        <f>+VLOOKUP($C102,ForecastImport!$B$15:$J$394,COLUMN()-3,FALSE)</f>
        <v>PROD</v>
      </c>
      <c r="H102">
        <f>+VLOOKUP($C102,ForecastImport!$B$15:$J$394,COLUMN()-3,FALSE)</f>
        <v>0</v>
      </c>
      <c r="I102">
        <f>+VLOOKUP($C102,ForecastImport!$B$15:$J$394,COLUMN()-3,FALSE)</f>
        <v>19964758.009745862</v>
      </c>
      <c r="J102">
        <f>+VLOOKUP($C102,ForecastImport!$B$15:$J$394,COLUMN()-3,FALSE)</f>
        <v>19964758.009745862</v>
      </c>
      <c r="K102">
        <f>+VLOOKUP($C102,ForecastImport!$B$15:$J$394,COLUMN()-3,FALSE)</f>
        <v>0</v>
      </c>
      <c r="L102">
        <f>+VLOOKUP($C102,ForecastImport!$B$15:$J$394,COLUMN()-3,FALSE)</f>
        <v>0</v>
      </c>
    </row>
    <row r="103" spans="2:12" x14ac:dyDescent="0.25">
      <c r="B103">
        <v>157</v>
      </c>
      <c r="C103" t="s">
        <v>87</v>
      </c>
      <c r="D103" s="1211" t="e">
        <f>'Sch 1- Rate Base '!E106:G106</f>
        <v>#VALUE!</v>
      </c>
      <c r="E103" s="1736" t="str">
        <f>+VLOOKUP($C103,ForecastImport!$B$15:$J$394,COLUMN()-3,FALSE)</f>
        <v>320-323</v>
      </c>
      <c r="F103" s="1736" t="str">
        <f>+VLOOKUP($C103,ForecastImport!$B$15:$J$394,COLUMN()-3,FALSE)</f>
        <v>541-545.1</v>
      </c>
      <c r="G103" t="str">
        <f>+VLOOKUP($C103,ForecastImport!$B$15:$J$394,COLUMN()-3,FALSE)</f>
        <v>PROD</v>
      </c>
      <c r="H103">
        <f>+VLOOKUP($C103,ForecastImport!$B$15:$J$394,COLUMN()-3,FALSE)</f>
        <v>0</v>
      </c>
      <c r="I103">
        <f>+VLOOKUP($C103,ForecastImport!$B$15:$J$394,COLUMN()-3,FALSE)</f>
        <v>3239558.2457506307</v>
      </c>
      <c r="J103">
        <f>+VLOOKUP($C103,ForecastImport!$B$15:$J$394,COLUMN()-3,FALSE)</f>
        <v>3239558.2457506307</v>
      </c>
      <c r="K103">
        <f>+VLOOKUP($C103,ForecastImport!$B$15:$J$394,COLUMN()-3,FALSE)</f>
        <v>0</v>
      </c>
      <c r="L103">
        <f>+VLOOKUP($C103,ForecastImport!$B$15:$J$394,COLUMN()-3,FALSE)</f>
        <v>0</v>
      </c>
    </row>
    <row r="104" spans="2:12" x14ac:dyDescent="0.25">
      <c r="B104">
        <v>158</v>
      </c>
      <c r="C104" t="s">
        <v>451</v>
      </c>
      <c r="D104" s="1211" t="e">
        <f>'Sch 1- Rate Base '!E107:G107</f>
        <v>#VALUE!</v>
      </c>
      <c r="E104" s="1736" t="str">
        <f>+VLOOKUP($C104,ForecastImport!$B$15:$J$394,COLUMN()-3,FALSE)</f>
        <v>320-323</v>
      </c>
      <c r="F104" s="1736">
        <f>+VLOOKUP($C104,ForecastImport!$B$15:$J$394,COLUMN()-3,FALSE)</f>
        <v>547</v>
      </c>
      <c r="G104" t="str">
        <f>+VLOOKUP($C104,ForecastImport!$B$15:$J$394,COLUMN()-3,FALSE)</f>
        <v>PROD</v>
      </c>
      <c r="H104">
        <f>+VLOOKUP($C104,ForecastImport!$B$15:$J$394,COLUMN()-3,FALSE)</f>
        <v>0</v>
      </c>
      <c r="I104">
        <f>+VLOOKUP($C104,ForecastImport!$B$15:$J$394,COLUMN()-3,FALSE)</f>
        <v>189151086.82142362</v>
      </c>
      <c r="J104">
        <f>+VLOOKUP($C104,ForecastImport!$B$15:$J$394,COLUMN()-3,FALSE)</f>
        <v>189151086.82142362</v>
      </c>
      <c r="K104">
        <f>+VLOOKUP($C104,ForecastImport!$B$15:$J$394,COLUMN()-3,FALSE)</f>
        <v>0</v>
      </c>
      <c r="L104">
        <f>+VLOOKUP($C104,ForecastImport!$B$15:$J$394,COLUMN()-3,FALSE)</f>
        <v>0</v>
      </c>
    </row>
    <row r="105" spans="2:12" x14ac:dyDescent="0.25">
      <c r="B105">
        <v>159</v>
      </c>
      <c r="C105" t="s">
        <v>263</v>
      </c>
      <c r="D105" s="1211" t="e">
        <f>'Sch 1- Rate Base '!E108:G108</f>
        <v>#VALUE!</v>
      </c>
      <c r="E105" s="1736" t="str">
        <f>+VLOOKUP($C105,ForecastImport!$B$15:$J$394,COLUMN()-3,FALSE)</f>
        <v>320-323</v>
      </c>
      <c r="F105" s="1736" t="str">
        <f>+VLOOKUP($C105,ForecastImport!$B$15:$J$394,COLUMN()-3,FALSE)</f>
        <v>546-550.1</v>
      </c>
      <c r="G105" t="str">
        <f>+VLOOKUP($C105,ForecastImport!$B$15:$J$394,COLUMN()-3,FALSE)</f>
        <v>PROD</v>
      </c>
      <c r="H105">
        <f>+VLOOKUP($C105,ForecastImport!$B$15:$J$394,COLUMN()-3,FALSE)</f>
        <v>0</v>
      </c>
      <c r="I105">
        <f>+VLOOKUP($C105,ForecastImport!$B$15:$J$394,COLUMN()-3,FALSE)</f>
        <v>21057680.08986957</v>
      </c>
      <c r="J105">
        <f>+VLOOKUP($C105,ForecastImport!$B$15:$J$394,COLUMN()-3,FALSE)</f>
        <v>21057680.08986957</v>
      </c>
      <c r="K105">
        <f>+VLOOKUP($C105,ForecastImport!$B$15:$J$394,COLUMN()-3,FALSE)</f>
        <v>0</v>
      </c>
      <c r="L105">
        <f>+VLOOKUP($C105,ForecastImport!$B$15:$J$394,COLUMN()-3,FALSE)</f>
        <v>0</v>
      </c>
    </row>
    <row r="106" spans="2:12" x14ac:dyDescent="0.25">
      <c r="B106">
        <v>160</v>
      </c>
      <c r="C106" t="s">
        <v>265</v>
      </c>
      <c r="D106" s="1211" t="e">
        <f>'Sch 1- Rate Base '!E109:G109</f>
        <v>#VALUE!</v>
      </c>
      <c r="E106" s="1736" t="str">
        <f>+VLOOKUP($C106,ForecastImport!$B$15:$J$394,COLUMN()-3,FALSE)</f>
        <v>320-323</v>
      </c>
      <c r="F106" s="1736" t="str">
        <f>+VLOOKUP($C106,ForecastImport!$B$15:$J$394,COLUMN()-3,FALSE)</f>
        <v>551-554.1</v>
      </c>
      <c r="G106" t="str">
        <f>+VLOOKUP($C106,ForecastImport!$B$15:$J$394,COLUMN()-3,FALSE)</f>
        <v>PROD</v>
      </c>
      <c r="H106">
        <f>+VLOOKUP($C106,ForecastImport!$B$15:$J$394,COLUMN()-3,FALSE)</f>
        <v>0</v>
      </c>
      <c r="I106">
        <f>+VLOOKUP($C106,ForecastImport!$B$15:$J$394,COLUMN()-3,FALSE)</f>
        <v>15505411.633040059</v>
      </c>
      <c r="J106">
        <f>+VLOOKUP($C106,ForecastImport!$B$15:$J$394,COLUMN()-3,FALSE)</f>
        <v>15505411.633040059</v>
      </c>
      <c r="K106">
        <f>+VLOOKUP($C106,ForecastImport!$B$15:$J$394,COLUMN()-3,FALSE)</f>
        <v>0</v>
      </c>
      <c r="L106">
        <f>+VLOOKUP($C106,ForecastImport!$B$15:$J$394,COLUMN()-3,FALSE)</f>
        <v>0</v>
      </c>
    </row>
    <row r="107" spans="2:12" x14ac:dyDescent="0.25">
      <c r="B107">
        <v>161</v>
      </c>
      <c r="C107" t="s">
        <v>266</v>
      </c>
      <c r="D107" s="1211" t="e">
        <f>'Sch 1- Rate Base '!E110:G110</f>
        <v>#VALUE!</v>
      </c>
      <c r="E107" s="1736" t="str">
        <f>+VLOOKUP($C107,ForecastImport!$B$15:$J$394,COLUMN()-3,FALSE)</f>
        <v>320-323</v>
      </c>
      <c r="F107" s="1736">
        <f>+VLOOKUP($C107,ForecastImport!$B$15:$J$394,COLUMN()-3,FALSE)</f>
        <v>555</v>
      </c>
      <c r="G107" t="str">
        <f>+VLOOKUP($C107,ForecastImport!$B$15:$J$394,COLUMN()-3,FALSE)</f>
        <v>PROD</v>
      </c>
      <c r="H107">
        <f>+VLOOKUP($C107,ForecastImport!$B$15:$J$394,COLUMN()-3,FALSE)</f>
        <v>0</v>
      </c>
      <c r="I107">
        <f>+VLOOKUP($C107,ForecastImport!$B$15:$J$394,COLUMN()-3,FALSE)</f>
        <v>882712895.7098341</v>
      </c>
      <c r="J107">
        <f>+VLOOKUP($C107,ForecastImport!$B$15:$J$394,COLUMN()-3,FALSE)</f>
        <v>882712895.7098341</v>
      </c>
      <c r="K107">
        <f>+VLOOKUP($C107,ForecastImport!$B$15:$J$394,COLUMN()-3,FALSE)</f>
        <v>0</v>
      </c>
      <c r="L107">
        <f>+VLOOKUP($C107,ForecastImport!$B$15:$J$394,COLUMN()-3,FALSE)</f>
        <v>0</v>
      </c>
    </row>
    <row r="108" spans="2:12" x14ac:dyDescent="0.25">
      <c r="B108">
        <v>162</v>
      </c>
      <c r="C108" t="s">
        <v>455</v>
      </c>
      <c r="D108" s="1211" t="e">
        <f>'Sch 1- Rate Base '!E111:G111</f>
        <v>#VALUE!</v>
      </c>
      <c r="E108" s="1736" t="str">
        <f>+VLOOKUP($C108,ForecastImport!$B$15:$J$394,COLUMN()-3,FALSE)</f>
        <v>320-323</v>
      </c>
      <c r="F108" s="1736">
        <f>+VLOOKUP($C108,ForecastImport!$B$15:$J$394,COLUMN()-3,FALSE)</f>
        <v>556</v>
      </c>
      <c r="G108" t="str">
        <f>+VLOOKUP($C108,ForecastImport!$B$15:$J$394,COLUMN()-3,FALSE)</f>
        <v>PROD</v>
      </c>
      <c r="H108">
        <f>+VLOOKUP($C108,ForecastImport!$B$15:$J$394,COLUMN()-3,FALSE)</f>
        <v>0</v>
      </c>
      <c r="I108">
        <f>+VLOOKUP($C108,ForecastImport!$B$15:$J$394,COLUMN()-3,FALSE)</f>
        <v>1404247.5549966942</v>
      </c>
      <c r="J108">
        <f>+VLOOKUP($C108,ForecastImport!$B$15:$J$394,COLUMN()-3,FALSE)</f>
        <v>1404247.5549966942</v>
      </c>
      <c r="K108">
        <f>+VLOOKUP($C108,ForecastImport!$B$15:$J$394,COLUMN()-3,FALSE)</f>
        <v>0</v>
      </c>
      <c r="L108">
        <f>+VLOOKUP($C108,ForecastImport!$B$15:$J$394,COLUMN()-3,FALSE)</f>
        <v>0</v>
      </c>
    </row>
    <row r="109" spans="2:12" x14ac:dyDescent="0.25">
      <c r="B109">
        <v>163</v>
      </c>
      <c r="C109" t="s">
        <v>267</v>
      </c>
      <c r="D109" s="1211" t="e">
        <f>'Sch 1- Rate Base '!E112:G112</f>
        <v>#VALUE!</v>
      </c>
      <c r="E109" s="1736" t="str">
        <f>+VLOOKUP($C109,ForecastImport!$B$15:$J$394,COLUMN()-3,FALSE)</f>
        <v>320-323</v>
      </c>
      <c r="F109" s="1736">
        <f>+VLOOKUP($C109,ForecastImport!$B$15:$J$394,COLUMN()-3,FALSE)</f>
        <v>557</v>
      </c>
      <c r="G109" t="str">
        <f>+VLOOKUP($C109,ForecastImport!$B$15:$J$394,COLUMN()-3,FALSE)</f>
        <v>PROD</v>
      </c>
      <c r="H109">
        <f>+VLOOKUP($C109,ForecastImport!$B$15:$J$394,COLUMN()-3,FALSE)</f>
        <v>0</v>
      </c>
      <c r="I109">
        <f>+VLOOKUP($C109,ForecastImport!$B$15:$J$394,COLUMN()-3,FALSE)</f>
        <v>27307851.333301872</v>
      </c>
      <c r="J109">
        <f>+VLOOKUP($C109,ForecastImport!$B$15:$J$394,COLUMN()-3,FALSE)</f>
        <v>27307851.333301872</v>
      </c>
      <c r="K109">
        <f>+VLOOKUP($C109,ForecastImport!$B$15:$J$394,COLUMN()-3,FALSE)</f>
        <v>0</v>
      </c>
      <c r="L109">
        <f>+VLOOKUP($C109,ForecastImport!$B$15:$J$394,COLUMN()-3,FALSE)</f>
        <v>0</v>
      </c>
    </row>
    <row r="110" spans="2:12" x14ac:dyDescent="0.25">
      <c r="B110">
        <v>164</v>
      </c>
      <c r="C110" t="s">
        <v>52</v>
      </c>
      <c r="D110" s="1211" t="e">
        <f>'Sch 1- Rate Base '!E113:G113</f>
        <v>#VALUE!</v>
      </c>
      <c r="E110" s="1736" t="str">
        <f>+VLOOKUP($C110,ForecastImport!$B$15:$J$394,COLUMN()-3,FALSE)</f>
        <v>326-327</v>
      </c>
      <c r="F110" s="1736">
        <f>+VLOOKUP($C110,ForecastImport!$B$15:$J$394,COLUMN()-3,FALSE)</f>
        <v>555</v>
      </c>
      <c r="G110" t="str">
        <f>+VLOOKUP($C110,ForecastImport!$B$15:$J$394,COLUMN()-3,FALSE)</f>
        <v>PROD</v>
      </c>
      <c r="H110">
        <f>+VLOOKUP($C110,ForecastImport!$B$15:$J$394,COLUMN()-3,FALSE)</f>
        <v>0</v>
      </c>
      <c r="I110">
        <f>+VLOOKUP($C110,ForecastImport!$B$15:$J$394,COLUMN()-3,FALSE)</f>
        <v>0</v>
      </c>
      <c r="J110">
        <f>+VLOOKUP($C110,ForecastImport!$B$15:$J$394,COLUMN()-3,FALSE)</f>
        <v>0</v>
      </c>
      <c r="K110">
        <f>+VLOOKUP($C110,ForecastImport!$B$15:$J$394,COLUMN()-3,FALSE)</f>
        <v>0</v>
      </c>
      <c r="L110">
        <f>+VLOOKUP($C110,ForecastImport!$B$15:$J$394,COLUMN()-3,FALSE)</f>
        <v>0</v>
      </c>
    </row>
    <row r="111" spans="2:12" x14ac:dyDescent="0.25">
      <c r="B111">
        <v>165</v>
      </c>
      <c r="C111" t="s">
        <v>502</v>
      </c>
      <c r="D111" s="1211" t="e">
        <f>'Sch 1- Rate Base '!E114:G114</f>
        <v>#VALUE!</v>
      </c>
      <c r="E111" s="1736">
        <f>+VLOOKUP($C111,ForecastImport!$B$15:$J$394,COLUMN()-3,FALSE)</f>
        <v>0</v>
      </c>
      <c r="F111" s="1736">
        <f>+VLOOKUP($C111,ForecastImport!$B$15:$J$394,COLUMN()-3,FALSE)</f>
        <v>0</v>
      </c>
      <c r="G111" t="str">
        <f>+VLOOKUP($C111,ForecastImport!$B$15:$J$394,COLUMN()-3,FALSE)</f>
        <v>DIRECT</v>
      </c>
      <c r="H111" t="str">
        <f>+VLOOKUP($C111,ForecastImport!$B$15:$J$394,COLUMN()-3,FALSE)</f>
        <v>DIST</v>
      </c>
      <c r="I111">
        <f>+VLOOKUP($C111,ForecastImport!$B$15:$J$394,COLUMN()-3,FALSE)</f>
        <v>24259860.620000005</v>
      </c>
      <c r="J111">
        <f>+VLOOKUP($C111,ForecastImport!$B$15:$J$394,COLUMN()-3,FALSE)</f>
        <v>21995615.060000006</v>
      </c>
      <c r="K111">
        <f>+VLOOKUP($C111,ForecastImport!$B$15:$J$394,COLUMN()-3,FALSE)</f>
        <v>0</v>
      </c>
      <c r="L111">
        <f>+VLOOKUP($C111,ForecastImport!$B$15:$J$394,COLUMN()-3,FALSE)</f>
        <v>2264245.5599999996</v>
      </c>
    </row>
    <row r="112" spans="2:12" x14ac:dyDescent="0.25">
      <c r="B112">
        <v>169</v>
      </c>
      <c r="C112" t="s">
        <v>398</v>
      </c>
      <c r="D112" s="1211" t="e">
        <f>'Sch 1- Rate Base '!E115:G115</f>
        <v>#VALUE!</v>
      </c>
      <c r="E112" s="1736" t="str">
        <f>+VLOOKUP($C112,ForecastImport!$B$15:$J$394,COLUMN()-3,FALSE)</f>
        <v>320-323</v>
      </c>
      <c r="F112" s="1736" t="str">
        <f>+VLOOKUP($C112,ForecastImport!$B$15:$J$394,COLUMN()-3,FALSE)</f>
        <v>565</v>
      </c>
      <c r="G112" t="str">
        <f>+VLOOKUP($C112,ForecastImport!$B$15:$J$394,COLUMN()-3,FALSE)</f>
        <v>prod</v>
      </c>
      <c r="H112">
        <f>+VLOOKUP($C112,ForecastImport!$B$15:$J$394,COLUMN()-3,FALSE)</f>
        <v>0</v>
      </c>
      <c r="I112">
        <f>+VLOOKUP($C112,ForecastImport!$B$15:$J$394,COLUMN()-3,FALSE)</f>
        <v>65955211.648190439</v>
      </c>
      <c r="J112">
        <f>+VLOOKUP($C112,ForecastImport!$B$15:$J$394,COLUMN()-3,FALSE)</f>
        <v>65955211.648190439</v>
      </c>
      <c r="K112">
        <f>+VLOOKUP($C112,ForecastImport!$B$15:$J$394,COLUMN()-3,FALSE)</f>
        <v>0</v>
      </c>
      <c r="L112">
        <f>+VLOOKUP($C112,ForecastImport!$B$15:$J$394,COLUMN()-3,FALSE)</f>
        <v>0</v>
      </c>
    </row>
    <row r="113" spans="2:12" x14ac:dyDescent="0.25">
      <c r="B113">
        <v>170</v>
      </c>
      <c r="C113" t="s">
        <v>461</v>
      </c>
      <c r="D113" s="1211" t="e">
        <f>'Sch 1- Rate Base '!E116:G116</f>
        <v>#VALUE!</v>
      </c>
      <c r="E113" s="1736" t="str">
        <f>+VLOOKUP($C113,ForecastImport!$B$15:$J$394,COLUMN()-3,FALSE)</f>
        <v>320-323</v>
      </c>
      <c r="F113" s="1736" t="str">
        <f>+VLOOKUP($C113,ForecastImport!$B$15:$J$394,COLUMN()-3,FALSE)</f>
        <v>560-567.1</v>
      </c>
      <c r="G113" t="str">
        <f>+VLOOKUP($C113,ForecastImport!$B$15:$J$394,COLUMN()-3,FALSE)</f>
        <v>TRANS</v>
      </c>
      <c r="H113">
        <f>+VLOOKUP($C113,ForecastImport!$B$15:$J$394,COLUMN()-3,FALSE)</f>
        <v>0</v>
      </c>
      <c r="I113">
        <f>+VLOOKUP($C113,ForecastImport!$B$15:$J$394,COLUMN()-3,FALSE)</f>
        <v>17122103.721672125</v>
      </c>
      <c r="J113">
        <f>+VLOOKUP($C113,ForecastImport!$B$15:$J$394,COLUMN()-3,FALSE)</f>
        <v>0</v>
      </c>
      <c r="K113">
        <f>+VLOOKUP($C113,ForecastImport!$B$15:$J$394,COLUMN()-3,FALSE)</f>
        <v>0</v>
      </c>
      <c r="L113">
        <f>+VLOOKUP($C113,ForecastImport!$B$15:$J$394,COLUMN()-3,FALSE)</f>
        <v>17122103.721672125</v>
      </c>
    </row>
    <row r="114" spans="2:12" x14ac:dyDescent="0.25">
      <c r="B114">
        <v>171</v>
      </c>
      <c r="C114" t="s">
        <v>462</v>
      </c>
      <c r="D114" s="1211" t="e">
        <f>'Sch 1- Rate Base '!E117:G117</f>
        <v>#VALUE!</v>
      </c>
      <c r="E114" s="1736" t="str">
        <f>+VLOOKUP($C114,ForecastImport!$B$15:$J$394,COLUMN()-3,FALSE)</f>
        <v>320-323</v>
      </c>
      <c r="F114" s="1736" t="str">
        <f>+VLOOKUP($C114,ForecastImport!$B$15:$J$394,COLUMN()-3,FALSE)</f>
        <v>568-574</v>
      </c>
      <c r="G114" t="str">
        <f>+VLOOKUP($C114,ForecastImport!$B$15:$J$394,COLUMN()-3,FALSE)</f>
        <v>TRANS</v>
      </c>
      <c r="H114">
        <f>+VLOOKUP($C114,ForecastImport!$B$15:$J$394,COLUMN()-3,FALSE)</f>
        <v>0</v>
      </c>
      <c r="I114">
        <f>+VLOOKUP($C114,ForecastImport!$B$15:$J$394,COLUMN()-3,FALSE)</f>
        <v>20375940.386021726</v>
      </c>
      <c r="J114">
        <f>+VLOOKUP($C114,ForecastImport!$B$15:$J$394,COLUMN()-3,FALSE)</f>
        <v>0</v>
      </c>
      <c r="K114">
        <f>+VLOOKUP($C114,ForecastImport!$B$15:$J$394,COLUMN()-3,FALSE)</f>
        <v>0</v>
      </c>
      <c r="L114">
        <f>+VLOOKUP($C114,ForecastImport!$B$15:$J$394,COLUMN()-3,FALSE)</f>
        <v>20375940.386021726</v>
      </c>
    </row>
    <row r="115" spans="2:12" x14ac:dyDescent="0.25">
      <c r="B115">
        <v>178</v>
      </c>
      <c r="C115" t="s">
        <v>464</v>
      </c>
      <c r="D115" s="1211" t="e">
        <f>'Sch 1- Rate Base '!E118:G118</f>
        <v>#VALUE!</v>
      </c>
      <c r="E115" s="1736" t="str">
        <f>+VLOOKUP($C115,ForecastImport!$B$15:$J$394,COLUMN()-3,FALSE)</f>
        <v>320-323</v>
      </c>
      <c r="F115" s="1736" t="str">
        <f>+VLOOKUP($C115,ForecastImport!$B$15:$J$394,COLUMN()-3,FALSE)</f>
        <v>901-905</v>
      </c>
      <c r="G115" t="str">
        <f>+VLOOKUP($C115,ForecastImport!$B$15:$J$394,COLUMN()-3,FALSE)</f>
        <v>DIST</v>
      </c>
      <c r="H115">
        <f>+VLOOKUP($C115,ForecastImport!$B$15:$J$394,COLUMN()-3,FALSE)</f>
        <v>0</v>
      </c>
      <c r="I115">
        <f>+VLOOKUP($C115,ForecastImport!$B$15:$J$394,COLUMN()-3,FALSE)</f>
        <v>45368831.838585906</v>
      </c>
      <c r="J115">
        <f>+VLOOKUP($C115,ForecastImport!$B$15:$J$394,COLUMN()-3,FALSE)</f>
        <v>0</v>
      </c>
      <c r="K115">
        <f>+VLOOKUP($C115,ForecastImport!$B$15:$J$394,COLUMN()-3,FALSE)</f>
        <v>0</v>
      </c>
      <c r="L115">
        <f>+VLOOKUP($C115,ForecastImport!$B$15:$J$394,COLUMN()-3,FALSE)</f>
        <v>45368831.838585906</v>
      </c>
    </row>
    <row r="116" spans="2:12" x14ac:dyDescent="0.25">
      <c r="B116">
        <v>180</v>
      </c>
      <c r="C116" t="s">
        <v>627</v>
      </c>
      <c r="D116" s="1211" t="e">
        <f>'Sch 1- Rate Base '!E119:G119</f>
        <v>#VALUE!</v>
      </c>
      <c r="E116" s="1736" t="str">
        <f>+VLOOKUP($C116,ForecastImport!$B$15:$J$394,COLUMN()-3,FALSE)</f>
        <v>320-323</v>
      </c>
      <c r="F116" s="1736">
        <f>+VLOOKUP($C116,ForecastImport!$B$15:$J$394,COLUMN()-3,FALSE)</f>
        <v>908</v>
      </c>
      <c r="G116" t="str">
        <f>+VLOOKUP($C116,ForecastImport!$B$15:$J$394,COLUMN()-3,FALSE)</f>
        <v>direct</v>
      </c>
      <c r="H116" t="str">
        <f>+VLOOKUP($C116,ForecastImport!$B$15:$J$394,COLUMN()-3,FALSE)</f>
        <v>DIRECT</v>
      </c>
      <c r="I116">
        <f>+VLOOKUP($C116,ForecastImport!$B$15:$J$394,COLUMN()-3,FALSE)</f>
        <v>95586516.719410077</v>
      </c>
      <c r="J116">
        <f>+VLOOKUP($C116,ForecastImport!$B$15:$J$394,COLUMN()-3,FALSE)</f>
        <v>92632457.840870231</v>
      </c>
      <c r="K116">
        <f>+VLOOKUP($C116,ForecastImport!$B$15:$J$394,COLUMN()-3,FALSE)</f>
        <v>0</v>
      </c>
      <c r="L116">
        <f>+VLOOKUP($C116,ForecastImport!$B$15:$J$394,COLUMN()-3,FALSE)</f>
        <v>2954058.8785398346</v>
      </c>
    </row>
    <row r="117" spans="2:12" x14ac:dyDescent="0.25">
      <c r="B117">
        <v>181</v>
      </c>
      <c r="C117" t="s">
        <v>837</v>
      </c>
      <c r="D117" s="1211" t="e">
        <f>'Sch 1- Rate Base '!E120:G120</f>
        <v>#VALUE!</v>
      </c>
      <c r="E117" s="1736" t="str">
        <f>+VLOOKUP($C117,ForecastImport!$B$15:$J$394,COLUMN()-3,FALSE)</f>
        <v>320-323</v>
      </c>
      <c r="F117" s="1736" t="str">
        <f>+VLOOKUP($C117,ForecastImport!$B$15:$J$394,COLUMN()-3,FALSE)</f>
        <v>906-907</v>
      </c>
      <c r="G117" t="str">
        <f>+VLOOKUP($C117,ForecastImport!$B$15:$J$394,COLUMN()-3,FALSE)</f>
        <v>DIST</v>
      </c>
      <c r="H117">
        <f>+VLOOKUP($C117,ForecastImport!$B$15:$J$394,COLUMN()-3,FALSE)</f>
        <v>0</v>
      </c>
      <c r="I117">
        <f>+VLOOKUP($C117,ForecastImport!$B$15:$J$394,COLUMN()-3,FALSE)</f>
        <v>0</v>
      </c>
      <c r="J117">
        <f>+VLOOKUP($C117,ForecastImport!$B$15:$J$394,COLUMN()-3,FALSE)</f>
        <v>0</v>
      </c>
      <c r="K117">
        <f>+VLOOKUP($C117,ForecastImport!$B$15:$J$394,COLUMN()-3,FALSE)</f>
        <v>0</v>
      </c>
      <c r="L117">
        <f>+VLOOKUP($C117,ForecastImport!$B$15:$J$394,COLUMN()-3,FALSE)</f>
        <v>0</v>
      </c>
    </row>
    <row r="118" spans="2:12" x14ac:dyDescent="0.25">
      <c r="B118">
        <v>182</v>
      </c>
      <c r="C118" t="s">
        <v>396</v>
      </c>
      <c r="D118" s="1211" t="e">
        <f>'Sch 1- Rate Base '!E121:G121</f>
        <v>#VALUE!</v>
      </c>
      <c r="E118" s="1736" t="str">
        <f>+VLOOKUP($C118,ForecastImport!$B$15:$J$394,COLUMN()-3,FALSE)</f>
        <v>320-323</v>
      </c>
      <c r="F118" s="1736" t="str">
        <f>+VLOOKUP($C118,ForecastImport!$B$15:$J$394,COLUMN()-3,FALSE)</f>
        <v>911-917</v>
      </c>
      <c r="G118" t="str">
        <f>+VLOOKUP($C118,ForecastImport!$B$15:$J$394,COLUMN()-3,FALSE)</f>
        <v>DIST</v>
      </c>
      <c r="H118">
        <f>+VLOOKUP($C118,ForecastImport!$B$15:$J$394,COLUMN()-3,FALSE)</f>
        <v>0</v>
      </c>
      <c r="I118">
        <f>+VLOOKUP($C118,ForecastImport!$B$15:$J$394,COLUMN()-3,FALSE)</f>
        <v>0</v>
      </c>
      <c r="J118">
        <f>+VLOOKUP($C118,ForecastImport!$B$15:$J$394,COLUMN()-3,FALSE)</f>
        <v>0</v>
      </c>
      <c r="K118">
        <f>+VLOOKUP($C118,ForecastImport!$B$15:$J$394,COLUMN()-3,FALSE)</f>
        <v>0</v>
      </c>
      <c r="L118">
        <f>+VLOOKUP($C118,ForecastImport!$B$15:$J$394,COLUMN()-3,FALSE)</f>
        <v>0</v>
      </c>
    </row>
    <row r="119" spans="2:12" x14ac:dyDescent="0.25">
      <c r="B119">
        <v>183</v>
      </c>
      <c r="C119" t="s">
        <v>838</v>
      </c>
      <c r="D119" s="1211" t="e">
        <f>'Sch 1- Rate Base '!E122:G122</f>
        <v>#VALUE!</v>
      </c>
      <c r="E119" s="1736" t="str">
        <f>+VLOOKUP($C119,ForecastImport!$B$15:$J$394,COLUMN()-3,FALSE)</f>
        <v>320-323</v>
      </c>
      <c r="F119" s="1736" t="str">
        <f>+VLOOKUP($C119,ForecastImport!$B$15:$J$394,COLUMN()-3,FALSE)</f>
        <v>909-910</v>
      </c>
      <c r="G119" t="str">
        <f>+VLOOKUP($C119,ForecastImport!$B$15:$J$394,COLUMN()-3,FALSE)</f>
        <v>DIST</v>
      </c>
      <c r="H119" t="str">
        <f>+VLOOKUP($C119,ForecastImport!$B$15:$J$394,COLUMN()-3,FALSE)</f>
        <v>DIRECT</v>
      </c>
      <c r="I119">
        <f>+VLOOKUP($C119,ForecastImport!$B$15:$J$394,COLUMN()-3,FALSE)</f>
        <v>2369458.8863290716</v>
      </c>
      <c r="J119">
        <f>+VLOOKUP($C119,ForecastImport!$B$15:$J$394,COLUMN()-3,FALSE)</f>
        <v>0</v>
      </c>
      <c r="K119">
        <f>+VLOOKUP($C119,ForecastImport!$B$15:$J$394,COLUMN()-3,FALSE)</f>
        <v>0</v>
      </c>
      <c r="L119">
        <f>+VLOOKUP($C119,ForecastImport!$B$15:$J$394,COLUMN()-3,FALSE)</f>
        <v>2369458.8863290716</v>
      </c>
    </row>
    <row r="120" spans="2:12" x14ac:dyDescent="0.25">
      <c r="B120">
        <v>186</v>
      </c>
      <c r="C120" t="s">
        <v>163</v>
      </c>
      <c r="D120" s="1211" t="e">
        <f>'Sch 1- Rate Base '!E123:G123</f>
        <v>#VALUE!</v>
      </c>
      <c r="E120" s="1736" t="str">
        <f>+VLOOKUP($C120,ForecastImport!$B$15:$J$394,COLUMN()-3,FALSE)</f>
        <v>320-323</v>
      </c>
      <c r="F120">
        <f>+VLOOKUP($C120,ForecastImport!$B$15:$J$394,COLUMN()-3,FALSE)</f>
        <v>920</v>
      </c>
      <c r="G120" t="str">
        <f>+VLOOKUP($C120,ForecastImport!$B$15:$J$394,COLUMN()-3,FALSE)</f>
        <v>LABOR</v>
      </c>
      <c r="H120">
        <f>+VLOOKUP($C120,ForecastImport!$B$15:$J$394,COLUMN()-3,FALSE)</f>
        <v>0</v>
      </c>
      <c r="I120">
        <f>+VLOOKUP($C120,ForecastImport!$B$15:$J$394,COLUMN()-3,FALSE)</f>
        <v>33958085.334903657</v>
      </c>
      <c r="J120">
        <f>+VLOOKUP($C120,ForecastImport!$B$15:$J$394,COLUMN()-3,FALSE)</f>
        <v>14155543.390048165</v>
      </c>
      <c r="K120">
        <f>+VLOOKUP($C120,ForecastImport!$B$15:$J$394,COLUMN()-3,FALSE)</f>
        <v>0</v>
      </c>
      <c r="L120">
        <f>+VLOOKUP($C120,ForecastImport!$B$15:$J$394,COLUMN()-3,FALSE)</f>
        <v>19802541.944855493</v>
      </c>
    </row>
    <row r="121" spans="2:12" x14ac:dyDescent="0.25">
      <c r="B121">
        <v>187</v>
      </c>
      <c r="C121" t="s">
        <v>164</v>
      </c>
      <c r="D121" s="1211" t="e">
        <f>'Sch 1- Rate Base '!E124:G124</f>
        <v>#VALUE!</v>
      </c>
      <c r="E121" s="1736" t="str">
        <f>+VLOOKUP($C121,ForecastImport!$B$15:$J$394,COLUMN()-3,FALSE)</f>
        <v>320-323</v>
      </c>
      <c r="F121">
        <f>+VLOOKUP($C121,ForecastImport!$B$15:$J$394,COLUMN()-3,FALSE)</f>
        <v>921</v>
      </c>
      <c r="G121" t="str">
        <f>+VLOOKUP($C121,ForecastImport!$B$15:$J$394,COLUMN()-3,FALSE)</f>
        <v>LABOR</v>
      </c>
      <c r="H121">
        <f>+VLOOKUP($C121,ForecastImport!$B$15:$J$394,COLUMN()-3,FALSE)</f>
        <v>0</v>
      </c>
      <c r="I121">
        <f>+VLOOKUP($C121,ForecastImport!$B$15:$J$394,COLUMN()-3,FALSE)</f>
        <v>6088941.7066276213</v>
      </c>
      <c r="J121">
        <f>+VLOOKUP($C121,ForecastImport!$B$15:$J$394,COLUMN()-3,FALSE)</f>
        <v>2538196.0636941125</v>
      </c>
      <c r="K121">
        <f>+VLOOKUP($C121,ForecastImport!$B$15:$J$394,COLUMN()-3,FALSE)</f>
        <v>0</v>
      </c>
      <c r="L121">
        <f>+VLOOKUP($C121,ForecastImport!$B$15:$J$394,COLUMN()-3,FALSE)</f>
        <v>3550745.6429335093</v>
      </c>
    </row>
    <row r="122" spans="2:12" x14ac:dyDescent="0.25">
      <c r="B122">
        <v>188</v>
      </c>
      <c r="C122" t="s">
        <v>165</v>
      </c>
      <c r="D122" s="1211" t="e">
        <f>'Sch 1- Rate Base '!E125:G125</f>
        <v>#VALUE!</v>
      </c>
      <c r="E122" s="1736" t="str">
        <f>+VLOOKUP($C122,ForecastImport!$B$15:$J$394,COLUMN()-3,FALSE)</f>
        <v>320-323</v>
      </c>
      <c r="F122">
        <f>+VLOOKUP($C122,ForecastImport!$B$15:$J$394,COLUMN()-3,FALSE)</f>
        <v>922</v>
      </c>
      <c r="G122" t="str">
        <f>+VLOOKUP($C122,ForecastImport!$B$15:$J$394,COLUMN()-3,FALSE)</f>
        <v>LABOR</v>
      </c>
      <c r="H122">
        <f>+VLOOKUP($C122,ForecastImport!$B$15:$J$394,COLUMN()-3,FALSE)</f>
        <v>0</v>
      </c>
      <c r="I122">
        <f>+VLOOKUP($C122,ForecastImport!$B$15:$J$394,COLUMN()-3,FALSE)</f>
        <v>21046791.182086881</v>
      </c>
      <c r="J122">
        <f>+VLOOKUP($C122,ForecastImport!$B$15:$J$394,COLUMN()-3,FALSE)</f>
        <v>8773426.5009661578</v>
      </c>
      <c r="K122">
        <f>+VLOOKUP($C122,ForecastImport!$B$15:$J$394,COLUMN()-3,FALSE)</f>
        <v>0</v>
      </c>
      <c r="L122">
        <f>+VLOOKUP($C122,ForecastImport!$B$15:$J$394,COLUMN()-3,FALSE)</f>
        <v>12273364.681120725</v>
      </c>
    </row>
    <row r="123" spans="2:12" x14ac:dyDescent="0.25">
      <c r="B123">
        <v>189</v>
      </c>
      <c r="C123" t="s">
        <v>166</v>
      </c>
      <c r="D123" s="1211" t="e">
        <f>'Sch 1- Rate Base '!E126:G126</f>
        <v>#VALUE!</v>
      </c>
      <c r="E123" s="1736" t="str">
        <f>+VLOOKUP($C123,ForecastImport!$B$15:$J$394,COLUMN()-3,FALSE)</f>
        <v>320-323</v>
      </c>
      <c r="F123">
        <f>+VLOOKUP($C123,ForecastImport!$B$15:$J$394,COLUMN()-3,FALSE)</f>
        <v>923</v>
      </c>
      <c r="G123" t="str">
        <f>+VLOOKUP($C123,ForecastImport!$B$15:$J$394,COLUMN()-3,FALSE)</f>
        <v>LABOR</v>
      </c>
      <c r="H123">
        <f>+VLOOKUP($C123,ForecastImport!$B$15:$J$394,COLUMN()-3,FALSE)</f>
        <v>0</v>
      </c>
      <c r="I123">
        <f>+VLOOKUP($C123,ForecastImport!$B$15:$J$394,COLUMN()-3,FALSE)</f>
        <v>18867079.710774634</v>
      </c>
      <c r="J123">
        <f>+VLOOKUP($C123,ForecastImport!$B$15:$J$394,COLUMN()-3,FALSE)</f>
        <v>7864806.3592341943</v>
      </c>
      <c r="K123">
        <f>+VLOOKUP($C123,ForecastImport!$B$15:$J$394,COLUMN()-3,FALSE)</f>
        <v>0</v>
      </c>
      <c r="L123">
        <f>+VLOOKUP($C123,ForecastImport!$B$15:$J$394,COLUMN()-3,FALSE)</f>
        <v>11002273.351540441</v>
      </c>
    </row>
    <row r="124" spans="2:12" x14ac:dyDescent="0.25">
      <c r="B124">
        <v>190</v>
      </c>
      <c r="C124" t="s">
        <v>167</v>
      </c>
      <c r="D124" s="1211" t="e">
        <f>'Sch 1- Rate Base '!E127:G127</f>
        <v>#VALUE!</v>
      </c>
      <c r="E124" s="1736" t="str">
        <f>+VLOOKUP($C124,ForecastImport!$B$15:$J$394,COLUMN()-3,FALSE)</f>
        <v>320-323</v>
      </c>
      <c r="F124">
        <f>+VLOOKUP($C124,ForecastImport!$B$15:$J$394,COLUMN()-3,FALSE)</f>
        <v>924</v>
      </c>
      <c r="G124" t="str">
        <f>+VLOOKUP($C124,ForecastImport!$B$15:$J$394,COLUMN()-3,FALSE)</f>
        <v>PTDG</v>
      </c>
      <c r="H124">
        <f>+VLOOKUP($C124,ForecastImport!$B$15:$J$394,COLUMN()-3,FALSE)</f>
        <v>0</v>
      </c>
      <c r="I124">
        <f>+VLOOKUP($C124,ForecastImport!$B$15:$J$394,COLUMN()-3,FALSE)</f>
        <v>28178553.189763118</v>
      </c>
      <c r="J124">
        <f>+VLOOKUP($C124,ForecastImport!$B$15:$J$394,COLUMN()-3,FALSE)</f>
        <v>12241172.142426167</v>
      </c>
      <c r="K124">
        <f>+VLOOKUP($C124,ForecastImport!$B$15:$J$394,COLUMN()-3,FALSE)</f>
        <v>0</v>
      </c>
      <c r="L124">
        <f>+VLOOKUP($C124,ForecastImport!$B$15:$J$394,COLUMN()-3,FALSE)</f>
        <v>15940200.991543749</v>
      </c>
    </row>
    <row r="125" spans="2:12" x14ac:dyDescent="0.25">
      <c r="B125">
        <v>191</v>
      </c>
      <c r="C125" t="s">
        <v>465</v>
      </c>
      <c r="D125" s="1211" t="e">
        <f>'Sch 1- Rate Base '!E128:G128</f>
        <v>#VALUE!</v>
      </c>
      <c r="E125" s="1736" t="str">
        <f>+VLOOKUP($C125,ForecastImport!$B$15:$J$394,COLUMN()-3,FALSE)</f>
        <v>320-323</v>
      </c>
      <c r="F125">
        <f>+VLOOKUP($C125,ForecastImport!$B$15:$J$394,COLUMN()-3,FALSE)</f>
        <v>925</v>
      </c>
      <c r="G125" t="str">
        <f>+VLOOKUP($C125,ForecastImport!$B$15:$J$394,COLUMN()-3,FALSE)</f>
        <v>Labor</v>
      </c>
      <c r="H125">
        <f>+VLOOKUP($C125,ForecastImport!$B$15:$J$394,COLUMN()-3,FALSE)</f>
        <v>0</v>
      </c>
      <c r="I125">
        <f>+VLOOKUP($C125,ForecastImport!$B$15:$J$394,COLUMN()-3,FALSE)</f>
        <v>727189313.6231035</v>
      </c>
      <c r="J125">
        <f>+VLOOKUP($C125,ForecastImport!$B$15:$J$394,COLUMN()-3,FALSE)</f>
        <v>303131339.12737983</v>
      </c>
      <c r="K125">
        <f>+VLOOKUP($C125,ForecastImport!$B$15:$J$394,COLUMN()-3,FALSE)</f>
        <v>0</v>
      </c>
      <c r="L125">
        <f>+VLOOKUP($C125,ForecastImport!$B$15:$J$394,COLUMN()-3,FALSE)</f>
        <v>424057974.49572366</v>
      </c>
    </row>
    <row r="126" spans="2:12" x14ac:dyDescent="0.25">
      <c r="B126">
        <v>192</v>
      </c>
      <c r="C126" t="s">
        <v>466</v>
      </c>
      <c r="D126" s="1211" t="e">
        <f>'Sch 1- Rate Base '!E129:G129</f>
        <v>#VALUE!</v>
      </c>
      <c r="E126" s="1736" t="str">
        <f>+VLOOKUP($C126,ForecastImport!$B$15:$J$394,COLUMN()-3,FALSE)</f>
        <v>320-323</v>
      </c>
      <c r="F126">
        <f>+VLOOKUP($C126,ForecastImport!$B$15:$J$394,COLUMN()-3,FALSE)</f>
        <v>926</v>
      </c>
      <c r="G126" t="str">
        <f>+VLOOKUP($C126,ForecastImport!$B$15:$J$394,COLUMN()-3,FALSE)</f>
        <v>LABOR</v>
      </c>
      <c r="H126">
        <f>+VLOOKUP($C126,ForecastImport!$B$15:$J$394,COLUMN()-3,FALSE)</f>
        <v>0</v>
      </c>
      <c r="I126">
        <f>+VLOOKUP($C126,ForecastImport!$B$15:$J$394,COLUMN()-3,FALSE)</f>
        <v>48983683.126018636</v>
      </c>
      <c r="J126">
        <f>+VLOOKUP($C126,ForecastImport!$B$15:$J$394,COLUMN()-3,FALSE)</f>
        <v>20419014.943166677</v>
      </c>
      <c r="K126">
        <f>+VLOOKUP($C126,ForecastImport!$B$15:$J$394,COLUMN()-3,FALSE)</f>
        <v>0</v>
      </c>
      <c r="L126">
        <f>+VLOOKUP($C126,ForecastImport!$B$15:$J$394,COLUMN()-3,FALSE)</f>
        <v>28564668.182851963</v>
      </c>
    </row>
    <row r="127" spans="2:12" x14ac:dyDescent="0.25">
      <c r="B127">
        <v>193</v>
      </c>
      <c r="C127" t="s">
        <v>467</v>
      </c>
      <c r="D127" s="1211" t="e">
        <f>'Sch 1- Rate Base '!E130:G130</f>
        <v>#VALUE!</v>
      </c>
      <c r="E127" s="1736" t="str">
        <f>+VLOOKUP($C127,ForecastImport!$B$15:$J$394,COLUMN()-3,FALSE)</f>
        <v>320-323</v>
      </c>
      <c r="F127">
        <f>+VLOOKUP($C127,ForecastImport!$B$15:$J$394,COLUMN()-3,FALSE)</f>
        <v>927</v>
      </c>
      <c r="G127" t="str">
        <f>+VLOOKUP($C127,ForecastImport!$B$15:$J$394,COLUMN()-3,FALSE)</f>
        <v>DIST</v>
      </c>
      <c r="H127">
        <f>+VLOOKUP($C127,ForecastImport!$B$15:$J$394,COLUMN()-3,FALSE)</f>
        <v>0</v>
      </c>
      <c r="I127">
        <f>+VLOOKUP($C127,ForecastImport!$B$15:$J$394,COLUMN()-3,FALSE)</f>
        <v>0</v>
      </c>
      <c r="J127">
        <f>+VLOOKUP($C127,ForecastImport!$B$15:$J$394,COLUMN()-3,FALSE)</f>
        <v>0</v>
      </c>
      <c r="K127">
        <f>+VLOOKUP($C127,ForecastImport!$B$15:$J$394,COLUMN()-3,FALSE)</f>
        <v>0</v>
      </c>
      <c r="L127">
        <f>+VLOOKUP($C127,ForecastImport!$B$15:$J$394,COLUMN()-3,FALSE)</f>
        <v>0</v>
      </c>
    </row>
    <row r="128" spans="2:12" x14ac:dyDescent="0.25">
      <c r="B128">
        <v>194</v>
      </c>
      <c r="C128" t="s">
        <v>469</v>
      </c>
      <c r="D128" s="1211" t="e">
        <f>'Sch 1- Rate Base '!E131:G131</f>
        <v>#VALUE!</v>
      </c>
      <c r="E128" s="1736" t="str">
        <f>+VLOOKUP($C128,ForecastImport!$B$15:$J$394,COLUMN()-3,FALSE)</f>
        <v>320-323</v>
      </c>
      <c r="F128">
        <f>+VLOOKUP($C128,ForecastImport!$B$15:$J$394,COLUMN()-3,FALSE)</f>
        <v>928</v>
      </c>
      <c r="G128" t="str">
        <f>+VLOOKUP($C128,ForecastImport!$B$15:$J$394,COLUMN()-3,FALSE)</f>
        <v>DIST</v>
      </c>
      <c r="H128">
        <f>+VLOOKUP($C128,ForecastImport!$B$15:$J$394,COLUMN()-3,FALSE)</f>
        <v>0</v>
      </c>
      <c r="I128">
        <f>+VLOOKUP($C128,ForecastImport!$B$15:$J$394,COLUMN()-3,FALSE)</f>
        <v>15830390.456935205</v>
      </c>
      <c r="J128">
        <f>+VLOOKUP($C128,ForecastImport!$B$15:$J$394,COLUMN()-3,FALSE)</f>
        <v>0</v>
      </c>
      <c r="K128">
        <f>+VLOOKUP($C128,ForecastImport!$B$15:$J$394,COLUMN()-3,FALSE)</f>
        <v>0</v>
      </c>
      <c r="L128">
        <f>+VLOOKUP($C128,ForecastImport!$B$15:$J$394,COLUMN()-3,FALSE)</f>
        <v>15830390.456935205</v>
      </c>
    </row>
    <row r="129" spans="2:12" x14ac:dyDescent="0.25">
      <c r="B129">
        <v>195</v>
      </c>
      <c r="C129" t="s">
        <v>168</v>
      </c>
      <c r="D129" s="1211" t="e">
        <f>'Sch 1- Rate Base '!E132:G132</f>
        <v>#VALUE!</v>
      </c>
      <c r="E129" s="1736" t="str">
        <f>+VLOOKUP($C129,ForecastImport!$B$15:$J$394,COLUMN()-3,FALSE)</f>
        <v>320-323</v>
      </c>
      <c r="F129">
        <f>+VLOOKUP($C129,ForecastImport!$B$15:$J$394,COLUMN()-3,FALSE)</f>
        <v>929</v>
      </c>
      <c r="G129" t="str">
        <f>+VLOOKUP($C129,ForecastImport!$B$15:$J$394,COLUMN()-3,FALSE)</f>
        <v>PTDG</v>
      </c>
      <c r="H129">
        <f>+VLOOKUP($C129,ForecastImport!$B$15:$J$394,COLUMN()-3,FALSE)</f>
        <v>0</v>
      </c>
      <c r="I129">
        <f>+VLOOKUP($C129,ForecastImport!$B$15:$J$394,COLUMN()-3,FALSE)</f>
        <v>58868042.536690846</v>
      </c>
      <c r="J129">
        <f>+VLOOKUP($C129,ForecastImport!$B$15:$J$394,COLUMN()-3,FALSE)</f>
        <v>25573131.364355773</v>
      </c>
      <c r="K129">
        <f>+VLOOKUP($C129,ForecastImport!$B$15:$J$394,COLUMN()-3,FALSE)</f>
        <v>0</v>
      </c>
      <c r="L129">
        <f>+VLOOKUP($C129,ForecastImport!$B$15:$J$394,COLUMN()-3,FALSE)</f>
        <v>33300802.340501122</v>
      </c>
    </row>
    <row r="130" spans="2:12" x14ac:dyDescent="0.25">
      <c r="B130">
        <v>196</v>
      </c>
      <c r="C130" t="s">
        <v>169</v>
      </c>
      <c r="D130" s="1211" t="e">
        <f>'Sch 1- Rate Base '!E133:G133</f>
        <v>#VALUE!</v>
      </c>
      <c r="E130" s="1736" t="str">
        <f>+VLOOKUP($C130,ForecastImport!$B$15:$J$394,COLUMN()-3,FALSE)</f>
        <v>320-323</v>
      </c>
      <c r="F130">
        <f>+VLOOKUP($C130,ForecastImport!$B$15:$J$394,COLUMN()-3,FALSE)</f>
        <v>930.1</v>
      </c>
      <c r="G130" t="str">
        <f>+VLOOKUP($C130,ForecastImport!$B$15:$J$394,COLUMN()-3,FALSE)</f>
        <v>DIST</v>
      </c>
      <c r="H130" t="str">
        <f>+VLOOKUP($C130,ForecastImport!$B$15:$J$394,COLUMN()-3,FALSE)</f>
        <v>DIRECT</v>
      </c>
      <c r="I130">
        <f>+VLOOKUP($C130,ForecastImport!$B$15:$J$394,COLUMN()-3,FALSE)</f>
        <v>19956.572503887328</v>
      </c>
      <c r="J130">
        <f>+VLOOKUP($C130,ForecastImport!$B$15:$J$394,COLUMN()-3,FALSE)</f>
        <v>0</v>
      </c>
      <c r="K130">
        <f>+VLOOKUP($C130,ForecastImport!$B$15:$J$394,COLUMN()-3,FALSE)</f>
        <v>0</v>
      </c>
      <c r="L130">
        <f>+VLOOKUP($C130,ForecastImport!$B$15:$J$394,COLUMN()-3,FALSE)</f>
        <v>19956.572503887328</v>
      </c>
    </row>
    <row r="131" spans="2:12" x14ac:dyDescent="0.25">
      <c r="B131">
        <v>197</v>
      </c>
      <c r="C131" t="s">
        <v>468</v>
      </c>
      <c r="D131" s="1211" t="e">
        <f>'Sch 1- Rate Base '!E134:G134</f>
        <v>#VALUE!</v>
      </c>
      <c r="E131" s="1736" t="str">
        <f>+VLOOKUP($C131,ForecastImport!$B$15:$J$394,COLUMN()-3,FALSE)</f>
        <v>320-323</v>
      </c>
      <c r="F131">
        <f>+VLOOKUP($C131,ForecastImport!$B$15:$J$394,COLUMN()-3,FALSE)</f>
        <v>930.2</v>
      </c>
      <c r="G131" t="str">
        <f>+VLOOKUP($C131,ForecastImport!$B$15:$J$394,COLUMN()-3,FALSE)</f>
        <v>DIST</v>
      </c>
      <c r="H131" t="str">
        <f>+VLOOKUP($C131,ForecastImport!$B$15:$J$394,COLUMN()-3,FALSE)</f>
        <v>DIRECT</v>
      </c>
      <c r="I131">
        <f>+VLOOKUP($C131,ForecastImport!$B$15:$J$394,COLUMN()-3,FALSE)</f>
        <v>1105627.4233341326</v>
      </c>
      <c r="J131">
        <f>+VLOOKUP($C131,ForecastImport!$B$15:$J$394,COLUMN()-3,FALSE)</f>
        <v>0</v>
      </c>
      <c r="K131">
        <f>+VLOOKUP($C131,ForecastImport!$B$15:$J$394,COLUMN()-3,FALSE)</f>
        <v>0</v>
      </c>
      <c r="L131">
        <f>+VLOOKUP($C131,ForecastImport!$B$15:$J$394,COLUMN()-3,FALSE)</f>
        <v>1105627.4233341326</v>
      </c>
    </row>
    <row r="132" spans="2:12" x14ac:dyDescent="0.25">
      <c r="B132">
        <v>198</v>
      </c>
      <c r="C132" t="s">
        <v>492</v>
      </c>
      <c r="D132" s="1211" t="e">
        <f>'Sch 1- Rate Base '!E135:G135</f>
        <v>#VALUE!</v>
      </c>
      <c r="E132" s="1736" t="str">
        <f>+VLOOKUP($C132,ForecastImport!$B$15:$J$394,COLUMN()-3,FALSE)</f>
        <v>320-323</v>
      </c>
      <c r="F132">
        <f>+VLOOKUP($C132,ForecastImport!$B$15:$J$394,COLUMN()-3,FALSE)</f>
        <v>931</v>
      </c>
      <c r="G132" t="str">
        <f>+VLOOKUP($C132,ForecastImport!$B$15:$J$394,COLUMN()-3,FALSE)</f>
        <v>DIST</v>
      </c>
      <c r="H132">
        <f>+VLOOKUP($C132,ForecastImport!$B$15:$J$394,COLUMN()-3,FALSE)</f>
        <v>0</v>
      </c>
      <c r="I132">
        <f>+VLOOKUP($C132,ForecastImport!$B$15:$J$394,COLUMN()-3,FALSE)</f>
        <v>754426.30276668374</v>
      </c>
      <c r="J132">
        <f>+VLOOKUP($C132,ForecastImport!$B$15:$J$394,COLUMN()-3,FALSE)</f>
        <v>0</v>
      </c>
      <c r="K132">
        <f>+VLOOKUP($C132,ForecastImport!$B$15:$J$394,COLUMN()-3,FALSE)</f>
        <v>0</v>
      </c>
      <c r="L132">
        <f>+VLOOKUP($C132,ForecastImport!$B$15:$J$394,COLUMN()-3,FALSE)</f>
        <v>754426.30276668374</v>
      </c>
    </row>
    <row r="133" spans="2:12" x14ac:dyDescent="0.25">
      <c r="B133">
        <v>199</v>
      </c>
      <c r="C133" t="s">
        <v>269</v>
      </c>
      <c r="D133" s="1211" t="e">
        <f>'Sch 1- Rate Base '!E136:G136</f>
        <v>#VALUE!</v>
      </c>
      <c r="E133" s="1736" t="str">
        <f>+VLOOKUP($C133,ForecastImport!$B$15:$J$394,COLUMN()-3,FALSE)</f>
        <v>320-324</v>
      </c>
      <c r="F133">
        <f>+VLOOKUP($C133,ForecastImport!$B$15:$J$394,COLUMN()-3,FALSE)</f>
        <v>933</v>
      </c>
      <c r="G133" t="str">
        <f>+VLOOKUP($C133,ForecastImport!$B$15:$J$394,COLUMN()-3,FALSE)</f>
        <v>DIST</v>
      </c>
      <c r="H133">
        <f>+VLOOKUP($C133,ForecastImport!$B$15:$J$394,COLUMN()-3,FALSE)</f>
        <v>0</v>
      </c>
      <c r="I133">
        <f>+VLOOKUP($C133,ForecastImport!$B$15:$J$394,COLUMN()-3,FALSE)</f>
        <v>0</v>
      </c>
      <c r="J133">
        <f>+VLOOKUP($C133,ForecastImport!$B$15:$J$394,COLUMN()-3,FALSE)</f>
        <v>0</v>
      </c>
      <c r="K133">
        <f>+VLOOKUP($C133,ForecastImport!$B$15:$J$394,COLUMN()-3,FALSE)</f>
        <v>0</v>
      </c>
      <c r="L133">
        <f>+VLOOKUP($C133,ForecastImport!$B$15:$J$394,COLUMN()-3,FALSE)</f>
        <v>0</v>
      </c>
    </row>
    <row r="134" spans="2:12" x14ac:dyDescent="0.25">
      <c r="B134">
        <v>200</v>
      </c>
      <c r="C134" t="s">
        <v>94</v>
      </c>
      <c r="D134" s="1211" t="e">
        <f>'Sch 1- Rate Base '!E137:G137</f>
        <v>#VALUE!</v>
      </c>
      <c r="E134" s="1736" t="str">
        <f>+VLOOKUP($C134,ForecastImport!$B$15:$J$394,COLUMN()-3,FALSE)</f>
        <v>320-323</v>
      </c>
      <c r="F134">
        <f>+VLOOKUP($C134,ForecastImport!$B$15:$J$394,COLUMN()-3,FALSE)</f>
        <v>935</v>
      </c>
      <c r="G134" t="str">
        <f>+VLOOKUP($C134,ForecastImport!$B$15:$J$394,COLUMN()-3,FALSE)</f>
        <v>GPM</v>
      </c>
      <c r="H134">
        <f>+VLOOKUP($C134,ForecastImport!$B$15:$J$394,COLUMN()-3,FALSE)</f>
        <v>0</v>
      </c>
      <c r="I134">
        <f>+VLOOKUP($C134,ForecastImport!$B$15:$J$394,COLUMN()-3,FALSE)</f>
        <v>15276304.380404986</v>
      </c>
      <c r="J134">
        <f>+VLOOKUP($C134,ForecastImport!$B$15:$J$394,COLUMN()-3,FALSE)</f>
        <v>6690266.9233332537</v>
      </c>
      <c r="K134">
        <f>+VLOOKUP($C134,ForecastImport!$B$15:$J$394,COLUMN()-3,FALSE)</f>
        <v>0</v>
      </c>
      <c r="L134">
        <f>+VLOOKUP($C134,ForecastImport!$B$15:$J$394,COLUMN()-3,FALSE)</f>
        <v>8586037.4570717309</v>
      </c>
    </row>
    <row r="135" spans="2:12" x14ac:dyDescent="0.25">
      <c r="B135">
        <v>207</v>
      </c>
      <c r="C135" t="s">
        <v>839</v>
      </c>
      <c r="D135" s="1211" t="e">
        <f>'Sch 1- Rate Base '!E138:G138</f>
        <v>#VALUE!</v>
      </c>
      <c r="E135" s="1736">
        <f>+VLOOKUP($C135,ForecastImport!$B$15:$J$394,COLUMN()-3,FALSE)</f>
        <v>336</v>
      </c>
      <c r="F135">
        <f>+VLOOKUP($C135,ForecastImport!$B$15:$J$394,COLUMN()-3,FALSE)</f>
        <v>404</v>
      </c>
      <c r="G135" t="str">
        <f>+VLOOKUP($C135,ForecastImport!$B$15:$J$394,COLUMN()-3,FALSE)</f>
        <v>DIST</v>
      </c>
      <c r="H135" t="str">
        <f>+VLOOKUP($C135,ForecastImport!$B$15:$J$394,COLUMN()-3,FALSE)</f>
        <v xml:space="preserve"> </v>
      </c>
      <c r="I135">
        <f>+VLOOKUP($C135,ForecastImport!$B$15:$J$394,COLUMN()-3,FALSE)</f>
        <v>0</v>
      </c>
      <c r="J135">
        <f>+VLOOKUP($C135,ForecastImport!$B$15:$J$394,COLUMN()-3,FALSE)</f>
        <v>0</v>
      </c>
      <c r="K135">
        <f>+VLOOKUP($C135,ForecastImport!$B$15:$J$394,COLUMN()-3,FALSE)</f>
        <v>0</v>
      </c>
      <c r="L135">
        <f>+VLOOKUP($C135,ForecastImport!$B$15:$J$394,COLUMN()-3,FALSE)</f>
        <v>0</v>
      </c>
    </row>
    <row r="136" spans="2:12" x14ac:dyDescent="0.25">
      <c r="B136">
        <v>208</v>
      </c>
      <c r="C136" t="s">
        <v>840</v>
      </c>
      <c r="D136" s="1211" t="e">
        <f>'Sch 1- Rate Base '!E139:G139</f>
        <v>#VALUE!</v>
      </c>
      <c r="E136" s="1736">
        <f>+VLOOKUP($C136,ForecastImport!$B$15:$J$394,COLUMN()-3,FALSE)</f>
        <v>336</v>
      </c>
      <c r="F136">
        <f>+VLOOKUP($C136,ForecastImport!$B$15:$J$394,COLUMN()-3,FALSE)</f>
        <v>404</v>
      </c>
      <c r="G136" t="str">
        <f>+VLOOKUP($C136,ForecastImport!$B$15:$J$394,COLUMN()-3,FALSE)</f>
        <v>DIRECT</v>
      </c>
      <c r="H136" t="str">
        <f>+VLOOKUP($C136,ForecastImport!$B$15:$J$394,COLUMN()-3,FALSE)</f>
        <v>PTD</v>
      </c>
      <c r="I136">
        <f>+VLOOKUP($C136,ForecastImport!$B$15:$J$394,COLUMN()-3,FALSE)</f>
        <v>1472465.336227369</v>
      </c>
      <c r="J136">
        <f>+VLOOKUP($C136,ForecastImport!$B$15:$J$394,COLUMN()-3,FALSE)</f>
        <v>1472465.336227369</v>
      </c>
      <c r="K136">
        <f>+VLOOKUP($C136,ForecastImport!$B$15:$J$394,COLUMN()-3,FALSE)</f>
        <v>0</v>
      </c>
      <c r="L136">
        <f>+VLOOKUP($C136,ForecastImport!$B$15:$J$394,COLUMN()-3,FALSE)</f>
        <v>28321.771611505512</v>
      </c>
    </row>
    <row r="137" spans="2:12" x14ac:dyDescent="0.25">
      <c r="B137">
        <v>209</v>
      </c>
      <c r="C137" t="s">
        <v>841</v>
      </c>
      <c r="D137" s="1211" t="e">
        <f>'Sch 1- Rate Base '!E140:G140</f>
        <v>#VALUE!</v>
      </c>
      <c r="E137" s="1736">
        <f>+VLOOKUP($C137,ForecastImport!$B$15:$J$394,COLUMN()-3,FALSE)</f>
        <v>336</v>
      </c>
      <c r="F137">
        <f>+VLOOKUP($C137,ForecastImport!$B$15:$J$394,COLUMN()-3,FALSE)</f>
        <v>404</v>
      </c>
      <c r="G137" t="str">
        <f>+VLOOKUP($C137,ForecastImport!$B$15:$J$394,COLUMN()-3,FALSE)</f>
        <v>DIRECT</v>
      </c>
      <c r="H137" t="str">
        <f>+VLOOKUP($C137,ForecastImport!$B$15:$J$394,COLUMN()-3,FALSE)</f>
        <v>DIST</v>
      </c>
      <c r="I137">
        <f>+VLOOKUP($C137,ForecastImport!$B$15:$J$394,COLUMN()-3,FALSE)</f>
        <v>23779220.607934885</v>
      </c>
      <c r="J137">
        <f>+VLOOKUP($C137,ForecastImport!$B$15:$J$394,COLUMN()-3,FALSE)</f>
        <v>7894198.4267612863</v>
      </c>
      <c r="K137">
        <f>+VLOOKUP($C137,ForecastImport!$B$15:$J$394,COLUMN()-3,FALSE)</f>
        <v>0</v>
      </c>
      <c r="L137">
        <f>+VLOOKUP($C137,ForecastImport!$B$15:$J$394,COLUMN()-3,FALSE)</f>
        <v>15885022.181173598</v>
      </c>
    </row>
    <row r="138" spans="2:12" x14ac:dyDescent="0.25">
      <c r="B138">
        <v>210</v>
      </c>
      <c r="C138" s="1211" t="s">
        <v>842</v>
      </c>
      <c r="D138" s="1211" t="e">
        <f>'Sch 1- Rate Base '!E141:G141</f>
        <v>#VALUE!</v>
      </c>
      <c r="E138" s="1736">
        <f>+VLOOKUP($C138,ForecastImport!$B$15:$J$394,COLUMN()-3,FALSE)</f>
        <v>336</v>
      </c>
      <c r="F138">
        <f>+VLOOKUP($C138,ForecastImport!$B$15:$J$394,COLUMN()-3,FALSE)</f>
        <v>403</v>
      </c>
      <c r="G138" t="str">
        <f>+VLOOKUP($C138,ForecastImport!$B$15:$J$394,COLUMN()-3,FALSE)</f>
        <v>PROD</v>
      </c>
      <c r="H138">
        <f>+VLOOKUP($C138,ForecastImport!$B$15:$J$394,COLUMN()-3,FALSE)</f>
        <v>0</v>
      </c>
      <c r="I138">
        <f>+VLOOKUP($C138,ForecastImport!$B$15:$J$394,COLUMN()-3,FALSE)</f>
        <v>141723842.23824352</v>
      </c>
      <c r="J138">
        <f>+VLOOKUP($C138,ForecastImport!$B$15:$J$394,COLUMN()-3,FALSE)</f>
        <v>141723842.23824352</v>
      </c>
      <c r="K138">
        <f>+VLOOKUP($C138,ForecastImport!$B$15:$J$394,COLUMN()-3,FALSE)</f>
        <v>0</v>
      </c>
      <c r="L138">
        <f>+VLOOKUP($C138,ForecastImport!$B$15:$J$394,COLUMN()-3,FALSE)</f>
        <v>0</v>
      </c>
    </row>
    <row r="139" spans="2:12" x14ac:dyDescent="0.25">
      <c r="B139">
        <v>211</v>
      </c>
      <c r="C139" s="1211" t="s">
        <v>843</v>
      </c>
      <c r="D139" s="1211" t="e">
        <f>'Sch 1- Rate Base '!E142:G142</f>
        <v>#VALUE!</v>
      </c>
      <c r="E139" s="1736">
        <f>+VLOOKUP($C139,ForecastImport!$B$15:$J$394,COLUMN()-3,FALSE)</f>
        <v>336</v>
      </c>
      <c r="F139">
        <f>+VLOOKUP($C139,ForecastImport!$B$15:$J$394,COLUMN()-3,FALSE)</f>
        <v>403</v>
      </c>
      <c r="G139" t="str">
        <f>+VLOOKUP($C139,ForecastImport!$B$15:$J$394,COLUMN()-3,FALSE)</f>
        <v>PROD</v>
      </c>
      <c r="H139">
        <f>+VLOOKUP($C139,ForecastImport!$B$15:$J$394,COLUMN()-3,FALSE)</f>
        <v>0</v>
      </c>
      <c r="I139">
        <f>+VLOOKUP($C139,ForecastImport!$B$15:$J$394,COLUMN()-3,FALSE)</f>
        <v>0</v>
      </c>
      <c r="J139">
        <f>+VLOOKUP($C139,ForecastImport!$B$15:$J$394,COLUMN()-3,FALSE)</f>
        <v>0</v>
      </c>
      <c r="K139">
        <f>+VLOOKUP($C139,ForecastImport!$B$15:$J$394,COLUMN()-3,FALSE)</f>
        <v>0</v>
      </c>
      <c r="L139">
        <f>+VLOOKUP($C139,ForecastImport!$B$15:$J$394,COLUMN()-3,FALSE)</f>
        <v>0</v>
      </c>
    </row>
    <row r="140" spans="2:12" x14ac:dyDescent="0.25">
      <c r="B140">
        <v>212</v>
      </c>
      <c r="C140" t="s">
        <v>430</v>
      </c>
      <c r="D140" s="1211" t="e">
        <f>'Sch 1- Rate Base '!E143:G143</f>
        <v>#VALUE!</v>
      </c>
      <c r="E140" s="1736">
        <f>+VLOOKUP($C140,ForecastImport!$B$15:$J$394,COLUMN()-3,FALSE)</f>
        <v>336</v>
      </c>
      <c r="F140">
        <f>+VLOOKUP($C140,ForecastImport!$B$15:$J$394,COLUMN()-3,FALSE)</f>
        <v>403</v>
      </c>
      <c r="G140" t="str">
        <f>+VLOOKUP($C140,ForecastImport!$B$15:$J$394,COLUMN()-3,FALSE)</f>
        <v>PROD</v>
      </c>
      <c r="H140">
        <f>+VLOOKUP($C140,ForecastImport!$B$15:$J$394,COLUMN()-3,FALSE)</f>
        <v>0</v>
      </c>
      <c r="I140">
        <f>+VLOOKUP($C140,ForecastImport!$B$15:$J$394,COLUMN()-3,FALSE)</f>
        <v>12578940.113235414</v>
      </c>
      <c r="J140">
        <f>+VLOOKUP($C140,ForecastImport!$B$15:$J$394,COLUMN()-3,FALSE)</f>
        <v>12578940.113235414</v>
      </c>
      <c r="K140">
        <f>+VLOOKUP($C140,ForecastImport!$B$15:$J$394,COLUMN()-3,FALSE)</f>
        <v>0</v>
      </c>
      <c r="L140">
        <f>+VLOOKUP($C140,ForecastImport!$B$15:$J$394,COLUMN()-3,FALSE)</f>
        <v>0</v>
      </c>
    </row>
    <row r="141" spans="2:12" x14ac:dyDescent="0.25">
      <c r="B141">
        <v>213</v>
      </c>
      <c r="C141" t="s">
        <v>431</v>
      </c>
      <c r="D141" s="1211" t="e">
        <f>'Sch 1- Rate Base '!E144:G144</f>
        <v>#VALUE!</v>
      </c>
      <c r="E141" s="1736">
        <f>+VLOOKUP($C141,ForecastImport!$B$15:$J$394,COLUMN()-3,FALSE)</f>
        <v>336</v>
      </c>
      <c r="F141">
        <f>+VLOOKUP($C141,ForecastImport!$B$15:$J$394,COLUMN()-3,FALSE)</f>
        <v>403</v>
      </c>
      <c r="G141" t="str">
        <f>+VLOOKUP($C141,ForecastImport!$B$15:$J$394,COLUMN()-3,FALSE)</f>
        <v>PROD</v>
      </c>
      <c r="H141">
        <f>+VLOOKUP($C141,ForecastImport!$B$15:$J$394,COLUMN()-3,FALSE)</f>
        <v>0</v>
      </c>
      <c r="I141">
        <f>+VLOOKUP($C141,ForecastImport!$B$15:$J$394,COLUMN()-3,FALSE)</f>
        <v>0</v>
      </c>
      <c r="J141">
        <f>+VLOOKUP($C141,ForecastImport!$B$15:$J$394,COLUMN()-3,FALSE)</f>
        <v>0</v>
      </c>
      <c r="K141">
        <f>+VLOOKUP($C141,ForecastImport!$B$15:$J$394,COLUMN()-3,FALSE)</f>
        <v>0</v>
      </c>
      <c r="L141">
        <f>+VLOOKUP($C141,ForecastImport!$B$15:$J$394,COLUMN()-3,FALSE)</f>
        <v>0</v>
      </c>
    </row>
    <row r="142" spans="2:12" x14ac:dyDescent="0.25">
      <c r="B142">
        <v>214</v>
      </c>
      <c r="C142" s="1211" t="s">
        <v>844</v>
      </c>
      <c r="D142" s="1211" t="e">
        <f>'Sch 1- Rate Base '!E145:G145</f>
        <v>#VALUE!</v>
      </c>
      <c r="E142" s="1736">
        <f>+VLOOKUP($C142,ForecastImport!$B$15:$J$394,COLUMN()-3,FALSE)</f>
        <v>336</v>
      </c>
      <c r="F142">
        <f>+VLOOKUP($C142,ForecastImport!$B$15:$J$394,COLUMN()-3,FALSE)</f>
        <v>403</v>
      </c>
      <c r="G142" t="str">
        <f>+VLOOKUP($C142,ForecastImport!$B$15:$J$394,COLUMN()-3,FALSE)</f>
        <v>PROD</v>
      </c>
      <c r="H142">
        <f>+VLOOKUP($C142,ForecastImport!$B$15:$J$394,COLUMN()-3,FALSE)</f>
        <v>0</v>
      </c>
      <c r="I142">
        <f>+VLOOKUP($C142,ForecastImport!$B$15:$J$394,COLUMN()-3,FALSE)</f>
        <v>86888185.679734245</v>
      </c>
      <c r="J142">
        <f>+VLOOKUP($C142,ForecastImport!$B$15:$J$394,COLUMN()-3,FALSE)</f>
        <v>86888185.679734245</v>
      </c>
      <c r="K142">
        <f>+VLOOKUP($C142,ForecastImport!$B$15:$J$394,COLUMN()-3,FALSE)</f>
        <v>0</v>
      </c>
      <c r="L142">
        <f>+VLOOKUP($C142,ForecastImport!$B$15:$J$394,COLUMN()-3,FALSE)</f>
        <v>0</v>
      </c>
    </row>
    <row r="143" spans="2:12" x14ac:dyDescent="0.25">
      <c r="B143">
        <v>215</v>
      </c>
      <c r="C143" s="1211" t="s">
        <v>845</v>
      </c>
      <c r="D143" s="1211" t="e">
        <f>'Sch 1- Rate Base '!E146:G146</f>
        <v>#VALUE!</v>
      </c>
      <c r="E143" s="1736">
        <f>+VLOOKUP($C143,ForecastImport!$B$15:$J$394,COLUMN()-3,FALSE)</f>
        <v>336</v>
      </c>
      <c r="F143">
        <f>+VLOOKUP($C143,ForecastImport!$B$15:$J$394,COLUMN()-3,FALSE)</f>
        <v>403</v>
      </c>
      <c r="G143" t="str">
        <f>+VLOOKUP($C143,ForecastImport!$B$15:$J$394,COLUMN()-3,FALSE)</f>
        <v>TRANS</v>
      </c>
      <c r="H143">
        <f>+VLOOKUP($C143,ForecastImport!$B$15:$J$394,COLUMN()-3,FALSE)</f>
        <v>0</v>
      </c>
      <c r="I143">
        <f>+VLOOKUP($C143,ForecastImport!$B$15:$J$394,COLUMN()-3,FALSE)</f>
        <v>54962239.888260253</v>
      </c>
      <c r="J143">
        <f>+VLOOKUP($C143,ForecastImport!$B$15:$J$394,COLUMN()-3,FALSE)</f>
        <v>0</v>
      </c>
      <c r="K143">
        <f>+VLOOKUP($C143,ForecastImport!$B$15:$J$394,COLUMN()-3,FALSE)</f>
        <v>0</v>
      </c>
      <c r="L143">
        <f>+VLOOKUP($C143,ForecastImport!$B$15:$J$394,COLUMN()-3,FALSE)</f>
        <v>54962239.888260253</v>
      </c>
    </row>
    <row r="144" spans="2:12" x14ac:dyDescent="0.25">
      <c r="B144">
        <v>216</v>
      </c>
      <c r="C144" s="1211" t="s">
        <v>846</v>
      </c>
      <c r="D144" s="1211" t="e">
        <f>'Sch 1- Rate Base '!E147:G147</f>
        <v>#VALUE!</v>
      </c>
      <c r="E144" s="1736">
        <f>+VLOOKUP($C144,ForecastImport!$B$15:$J$394,COLUMN()-3,FALSE)</f>
        <v>336</v>
      </c>
      <c r="F144">
        <f>+VLOOKUP($C144,ForecastImport!$B$15:$J$394,COLUMN()-3,FALSE)</f>
        <v>403</v>
      </c>
      <c r="G144" t="str">
        <f>+VLOOKUP($C144,ForecastImport!$B$15:$J$394,COLUMN()-3,FALSE)</f>
        <v>DIST</v>
      </c>
      <c r="H144">
        <f>+VLOOKUP($C144,ForecastImport!$B$15:$J$394,COLUMN()-3,FALSE)</f>
        <v>0</v>
      </c>
      <c r="I144">
        <f>+VLOOKUP($C144,ForecastImport!$B$15:$J$394,COLUMN()-3,FALSE)</f>
        <v>85882444.570000008</v>
      </c>
      <c r="J144">
        <f>+VLOOKUP($C144,ForecastImport!$B$15:$J$394,COLUMN()-3,FALSE)</f>
        <v>0</v>
      </c>
      <c r="K144">
        <f>+VLOOKUP($C144,ForecastImport!$B$15:$J$394,COLUMN()-3,FALSE)</f>
        <v>0</v>
      </c>
      <c r="L144">
        <f>+VLOOKUP($C144,ForecastImport!$B$15:$J$394,COLUMN()-3,FALSE)</f>
        <v>85882444.570000008</v>
      </c>
    </row>
    <row r="145" spans="2:12" x14ac:dyDescent="0.25">
      <c r="B145">
        <v>217</v>
      </c>
      <c r="C145" s="1211" t="s">
        <v>847</v>
      </c>
      <c r="D145" s="1211" t="e">
        <f>'Sch 1- Rate Base '!E148:G148</f>
        <v>#VALUE!</v>
      </c>
      <c r="E145" s="1736">
        <f>+VLOOKUP($C145,ForecastImport!$B$15:$J$394,COLUMN()-3,FALSE)</f>
        <v>336</v>
      </c>
      <c r="F145">
        <f>+VLOOKUP($C145,ForecastImport!$B$15:$J$394,COLUMN()-3,FALSE)</f>
        <v>403</v>
      </c>
      <c r="G145" t="str">
        <f>+VLOOKUP($C145,ForecastImport!$B$15:$J$394,COLUMN()-3,FALSE)</f>
        <v>GP</v>
      </c>
      <c r="H145">
        <f>+VLOOKUP($C145,ForecastImport!$B$15:$J$394,COLUMN()-3,FALSE)</f>
        <v>0</v>
      </c>
      <c r="I145">
        <f>+VLOOKUP($C145,ForecastImport!$B$15:$J$394,COLUMN()-3,FALSE)</f>
        <v>20454459.004238889</v>
      </c>
      <c r="J145">
        <f>+VLOOKUP($C145,ForecastImport!$B$15:$J$394,COLUMN()-3,FALSE)</f>
        <v>6557460.8322858298</v>
      </c>
      <c r="K145">
        <f>+VLOOKUP($C145,ForecastImport!$B$15:$J$394,COLUMN()-3,FALSE)</f>
        <v>0</v>
      </c>
      <c r="L145">
        <f>+VLOOKUP($C145,ForecastImport!$B$15:$J$394,COLUMN()-3,FALSE)</f>
        <v>13896998.171953062</v>
      </c>
    </row>
    <row r="146" spans="2:12" x14ac:dyDescent="0.25">
      <c r="B146">
        <v>219</v>
      </c>
      <c r="C146" t="s">
        <v>848</v>
      </c>
      <c r="D146" s="1211" t="e">
        <f>'Sch 1- Rate Base '!E149:G149</f>
        <v>#VALUE!</v>
      </c>
      <c r="E146" s="1736">
        <f>+VLOOKUP($C146,ForecastImport!$B$15:$J$394,COLUMN()-3,FALSE)</f>
        <v>336</v>
      </c>
      <c r="F146">
        <f>+VLOOKUP($C146,ForecastImport!$B$15:$J$394,COLUMN()-3,FALSE)</f>
        <v>403</v>
      </c>
      <c r="G146" t="str">
        <f>+VLOOKUP($C146,ForecastImport!$B$15:$J$394,COLUMN()-3,FALSE)</f>
        <v>DIRECT</v>
      </c>
      <c r="H146">
        <f>+VLOOKUP($C146,ForecastImport!$B$15:$J$394,COLUMN()-3,FALSE)</f>
        <v>0</v>
      </c>
      <c r="I146">
        <f>+VLOOKUP($C146,ForecastImport!$B$15:$J$394,COLUMN()-3,FALSE)</f>
        <v>0</v>
      </c>
      <c r="J146">
        <f>+VLOOKUP($C146,ForecastImport!$B$15:$J$394,COLUMN()-3,FALSE)</f>
        <v>0</v>
      </c>
      <c r="K146">
        <f>+VLOOKUP($C146,ForecastImport!$B$15:$J$394,COLUMN()-3,FALSE)</f>
        <v>0</v>
      </c>
      <c r="L146">
        <f>+VLOOKUP($C146,ForecastImport!$B$15:$J$394,COLUMN()-3,FALSE)</f>
        <v>0</v>
      </c>
    </row>
    <row r="147" spans="2:12" x14ac:dyDescent="0.25">
      <c r="B147">
        <v>220</v>
      </c>
      <c r="C147" t="s">
        <v>849</v>
      </c>
      <c r="D147" s="1211" t="e">
        <f>'Sch 1- Rate Base '!E150:G150</f>
        <v>#VALUE!</v>
      </c>
      <c r="E147" s="1736">
        <f>+VLOOKUP($C147,ForecastImport!$B$15:$J$394,COLUMN()-3,FALSE)</f>
        <v>336</v>
      </c>
      <c r="F147">
        <f>+VLOOKUP($C147,ForecastImport!$B$15:$J$394,COLUMN()-3,FALSE)</f>
        <v>404</v>
      </c>
      <c r="G147" t="str">
        <f>+VLOOKUP($C147,ForecastImport!$B$15:$J$394,COLUMN()-3,FALSE)</f>
        <v>DIRECT</v>
      </c>
      <c r="H147">
        <f>+VLOOKUP($C147,ForecastImport!$B$15:$J$394,COLUMN()-3,FALSE)</f>
        <v>0</v>
      </c>
      <c r="I147">
        <f>+VLOOKUP($C147,ForecastImport!$B$15:$J$394,COLUMN()-3,FALSE)</f>
        <v>0</v>
      </c>
      <c r="J147">
        <f>+VLOOKUP($C147,ForecastImport!$B$15:$J$394,COLUMN()-3,FALSE)</f>
        <v>0</v>
      </c>
      <c r="K147">
        <f>+VLOOKUP($C147,ForecastImport!$B$15:$J$394,COLUMN()-3,FALSE)</f>
        <v>0</v>
      </c>
      <c r="L147">
        <f>+VLOOKUP($C147,ForecastImport!$B$15:$J$394,COLUMN()-3,FALSE)</f>
        <v>0</v>
      </c>
    </row>
    <row r="148" spans="2:12" x14ac:dyDescent="0.25">
      <c r="B148">
        <v>220</v>
      </c>
      <c r="C148" t="s">
        <v>564</v>
      </c>
      <c r="D148" s="1211" t="e">
        <f>'Sch 1- Rate Base '!E151:G151</f>
        <v>#VALUE!</v>
      </c>
      <c r="E148" s="1736">
        <f>+VLOOKUP($C148,ForecastImport!$B$15:$J$394,COLUMN()-3,FALSE)</f>
        <v>336</v>
      </c>
      <c r="F148">
        <f>+VLOOKUP($C148,ForecastImport!$B$15:$J$394,COLUMN()-3,FALSE)</f>
        <v>403.1</v>
      </c>
      <c r="G148" t="str">
        <f>+VLOOKUP($C148,ForecastImport!$B$15:$J$394,COLUMN()-3,FALSE)</f>
        <v>DIRECT</v>
      </c>
      <c r="H148">
        <f>+VLOOKUP($C148,ForecastImport!$B$15:$J$394,COLUMN()-3,FALSE)</f>
        <v>0</v>
      </c>
      <c r="I148">
        <f>+VLOOKUP($C148,ForecastImport!$B$15:$J$394,COLUMN()-3,FALSE)</f>
        <v>0</v>
      </c>
      <c r="J148">
        <f>+VLOOKUP($C148,ForecastImport!$B$15:$J$394,COLUMN()-3,FALSE)</f>
        <v>0</v>
      </c>
      <c r="K148">
        <f>+VLOOKUP($C148,ForecastImport!$B$15:$J$394,COLUMN()-3,FALSE)</f>
        <v>0</v>
      </c>
      <c r="L148">
        <f>+VLOOKUP($C148,ForecastImport!$B$15:$J$394,COLUMN()-3,FALSE)</f>
        <v>0</v>
      </c>
    </row>
    <row r="149" spans="2:12" x14ac:dyDescent="0.25">
      <c r="B149">
        <v>221</v>
      </c>
      <c r="C149" t="s">
        <v>565</v>
      </c>
      <c r="D149" s="1211" t="e">
        <f>'Sch 1- Rate Base '!E152:G152</f>
        <v>#VALUE!</v>
      </c>
      <c r="E149" s="1736">
        <f>+VLOOKUP($C149,ForecastImport!$B$15:$J$394,COLUMN()-3,FALSE)</f>
        <v>336</v>
      </c>
      <c r="F149">
        <f>+VLOOKUP($C149,ForecastImport!$B$15:$J$394,COLUMN()-3,FALSE)</f>
        <v>404</v>
      </c>
      <c r="G149" t="str">
        <f>+VLOOKUP($C149,ForecastImport!$B$15:$J$394,COLUMN()-3,FALSE)</f>
        <v>DIRECT</v>
      </c>
      <c r="H149">
        <f>+VLOOKUP($C149,ForecastImport!$B$15:$J$394,COLUMN()-3,FALSE)</f>
        <v>0</v>
      </c>
      <c r="I149">
        <f>+VLOOKUP($C149,ForecastImport!$B$15:$J$394,COLUMN()-3,FALSE)</f>
        <v>668326.76052095089</v>
      </c>
      <c r="J149">
        <f>+VLOOKUP($C149,ForecastImport!$B$15:$J$394,COLUMN()-3,FALSE)</f>
        <v>380607.82273420098</v>
      </c>
      <c r="K149">
        <f>+VLOOKUP($C149,ForecastImport!$B$15:$J$394,COLUMN()-3,FALSE)</f>
        <v>0</v>
      </c>
      <c r="L149">
        <f>+VLOOKUP($C149,ForecastImport!$B$15:$J$394,COLUMN()-3,FALSE)</f>
        <v>287718.93778674991</v>
      </c>
    </row>
    <row r="150" spans="2:12" x14ac:dyDescent="0.25">
      <c r="B150">
        <v>222</v>
      </c>
      <c r="C150" t="s">
        <v>30</v>
      </c>
      <c r="D150" s="1211" t="e">
        <f>'Sch 1- Rate Base '!E153:G153</f>
        <v>#VALUE!</v>
      </c>
      <c r="E150" s="1736" t="str">
        <f>+VLOOKUP($C150,ForecastImport!$B$15:$J$394,COLUMN()-3,FALSE)</f>
        <v>200-201</v>
      </c>
      <c r="F150">
        <f>+VLOOKUP($C150,ForecastImport!$B$15:$J$394,COLUMN()-3,FALSE)</f>
        <v>406</v>
      </c>
      <c r="G150" t="str">
        <f>+VLOOKUP($C150,ForecastImport!$B$15:$J$394,COLUMN()-3,FALSE)</f>
        <v>DIRECT</v>
      </c>
      <c r="H150">
        <f>+VLOOKUP($C150,ForecastImport!$B$15:$J$394,COLUMN()-3,FALSE)</f>
        <v>0</v>
      </c>
      <c r="I150">
        <f>+VLOOKUP($C150,ForecastImport!$B$15:$J$394,COLUMN()-3,FALSE)</f>
        <v>30235.05476747407</v>
      </c>
      <c r="J150">
        <f>+VLOOKUP($C150,ForecastImport!$B$15:$J$394,COLUMN()-3,FALSE)</f>
        <v>30235.05476747407</v>
      </c>
      <c r="K150">
        <f>+VLOOKUP($C150,ForecastImport!$B$15:$J$394,COLUMN()-3,FALSE)</f>
        <v>0</v>
      </c>
      <c r="L150">
        <f>+VLOOKUP($C150,ForecastImport!$B$15:$J$394,COLUMN()-3,FALSE)</f>
        <v>0</v>
      </c>
    </row>
    <row r="151" spans="2:12" x14ac:dyDescent="0.25">
      <c r="B151">
        <v>230</v>
      </c>
      <c r="C151" t="s">
        <v>35</v>
      </c>
      <c r="D151" s="1211" t="e">
        <f>'Sch 1- Rate Base '!E154:G154</f>
        <v>#VALUE!</v>
      </c>
      <c r="E151" s="1736" t="str">
        <f>+VLOOKUP($C151,ForecastImport!$B$15:$J$394,COLUMN()-3,FALSE)</f>
        <v>262-263</v>
      </c>
      <c r="F151">
        <f>+VLOOKUP($C151,ForecastImport!$B$15:$J$394,COLUMN()-3,FALSE)</f>
        <v>409.1</v>
      </c>
      <c r="G151" t="str">
        <f>+VLOOKUP($C151,ForecastImport!$B$15:$J$394,COLUMN()-3,FALSE)</f>
        <v>DIST</v>
      </c>
      <c r="H151">
        <f>+VLOOKUP($C151,ForecastImport!$B$15:$J$394,COLUMN()-3,FALSE)</f>
        <v>0</v>
      </c>
      <c r="I151">
        <f>+VLOOKUP($C151,ForecastImport!$B$15:$J$394,COLUMN()-3,FALSE)</f>
        <v>0</v>
      </c>
      <c r="J151">
        <f>+VLOOKUP($C151,ForecastImport!$B$15:$J$394,COLUMN()-3,FALSE)</f>
        <v>0</v>
      </c>
      <c r="K151">
        <f>+VLOOKUP($C151,ForecastImport!$B$15:$J$394,COLUMN()-3,FALSE)</f>
        <v>0</v>
      </c>
      <c r="L151">
        <f>+VLOOKUP($C151,ForecastImport!$B$15:$J$394,COLUMN()-3,FALSE)</f>
        <v>0</v>
      </c>
    </row>
    <row r="152" spans="2:12" x14ac:dyDescent="0.25">
      <c r="B152">
        <v>231</v>
      </c>
      <c r="C152" t="s">
        <v>150</v>
      </c>
      <c r="D152" s="1211" t="e">
        <f>'Sch 1- Rate Base '!E155:G155</f>
        <v>#VALUE!</v>
      </c>
      <c r="E152" s="1736" t="str">
        <f>+VLOOKUP($C152,ForecastImport!$B$15:$J$394,COLUMN()-3,FALSE)</f>
        <v>262-263</v>
      </c>
      <c r="F152">
        <f>+VLOOKUP($C152,ForecastImport!$B$15:$J$394,COLUMN()-3,FALSE)</f>
        <v>408.1</v>
      </c>
      <c r="G152" t="str">
        <f>+VLOOKUP($C152,ForecastImport!$B$15:$J$394,COLUMN()-3,FALSE)</f>
        <v>LABOR</v>
      </c>
      <c r="H152">
        <f>+VLOOKUP($C152,ForecastImport!$B$15:$J$394,COLUMN()-3,FALSE)</f>
        <v>0</v>
      </c>
      <c r="I152">
        <f>+VLOOKUP($C152,ForecastImport!$B$15:$J$394,COLUMN()-3,FALSE)</f>
        <v>19019048.084836535</v>
      </c>
      <c r="J152">
        <f>+VLOOKUP($C152,ForecastImport!$B$15:$J$394,COLUMN()-3,FALSE)</f>
        <v>7928154.892926028</v>
      </c>
      <c r="K152">
        <f>+VLOOKUP($C152,ForecastImport!$B$15:$J$394,COLUMN()-3,FALSE)</f>
        <v>0</v>
      </c>
      <c r="L152">
        <f>+VLOOKUP($C152,ForecastImport!$B$15:$J$394,COLUMN()-3,FALSE)</f>
        <v>11090893.191910507</v>
      </c>
    </row>
    <row r="153" spans="2:12" x14ac:dyDescent="0.25">
      <c r="B153">
        <v>232</v>
      </c>
      <c r="C153" t="s">
        <v>151</v>
      </c>
      <c r="D153" s="1211" t="e">
        <f>'Sch 1- Rate Base '!E156:G156</f>
        <v>#VALUE!</v>
      </c>
      <c r="E153" s="1736" t="str">
        <f>+VLOOKUP($C153,ForecastImport!$B$15:$J$394,COLUMN()-3,FALSE)</f>
        <v>262-263</v>
      </c>
      <c r="F153">
        <f>+VLOOKUP($C153,ForecastImport!$B$15:$J$394,COLUMN()-3,FALSE)</f>
        <v>408.1</v>
      </c>
      <c r="G153" t="str">
        <f>+VLOOKUP($C153,ForecastImport!$B$15:$J$394,COLUMN()-3,FALSE)</f>
        <v>DIST</v>
      </c>
      <c r="H153">
        <f>+VLOOKUP($C153,ForecastImport!$B$15:$J$394,COLUMN()-3,FALSE)</f>
        <v>0</v>
      </c>
      <c r="I153">
        <f>+VLOOKUP($C153,ForecastImport!$B$15:$J$394,COLUMN()-3,FALSE)</f>
        <v>0</v>
      </c>
      <c r="J153">
        <f>+VLOOKUP($C153,ForecastImport!$B$15:$J$394,COLUMN()-3,FALSE)</f>
        <v>0</v>
      </c>
      <c r="K153">
        <f>+VLOOKUP($C153,ForecastImport!$B$15:$J$394,COLUMN()-3,FALSE)</f>
        <v>0</v>
      </c>
      <c r="L153">
        <f>+VLOOKUP($C153,ForecastImport!$B$15:$J$394,COLUMN()-3,FALSE)</f>
        <v>0</v>
      </c>
    </row>
    <row r="154" spans="2:12" x14ac:dyDescent="0.25">
      <c r="B154">
        <v>236</v>
      </c>
      <c r="C154" t="s">
        <v>567</v>
      </c>
      <c r="D154" s="1211" t="e">
        <f>'Sch 1- Rate Base '!E157:G157</f>
        <v>#VALUE!</v>
      </c>
      <c r="E154" s="1736" t="str">
        <f>+VLOOKUP($C154,ForecastImport!$B$15:$J$394,COLUMN()-3,FALSE)</f>
        <v>262-263</v>
      </c>
      <c r="F154">
        <f>+VLOOKUP($C154,ForecastImport!$B$15:$J$394,COLUMN()-3,FALSE)</f>
        <v>408.1</v>
      </c>
      <c r="G154" t="str">
        <f>+VLOOKUP($C154,ForecastImport!$B$15:$J$394,COLUMN()-3,FALSE)</f>
        <v>PTDG</v>
      </c>
      <c r="H154">
        <f>+VLOOKUP($C154,ForecastImport!$B$15:$J$394,COLUMN()-3,FALSE)</f>
        <v>0</v>
      </c>
      <c r="I154">
        <f>+VLOOKUP($C154,ForecastImport!$B$15:$J$394,COLUMN()-3,FALSE)</f>
        <v>62757268.946259603</v>
      </c>
      <c r="J154">
        <f>+VLOOKUP($C154,ForecastImport!$B$15:$J$394,COLUMN()-3,FALSE)</f>
        <v>27262667.717048887</v>
      </c>
      <c r="K154">
        <f>+VLOOKUP($C154,ForecastImport!$B$15:$J$394,COLUMN()-3,FALSE)</f>
        <v>0</v>
      </c>
      <c r="L154">
        <f>+VLOOKUP($C154,ForecastImport!$B$15:$J$394,COLUMN()-3,FALSE)</f>
        <v>35500881.608327694</v>
      </c>
    </row>
    <row r="155" spans="2:12" x14ac:dyDescent="0.25">
      <c r="B155">
        <v>237</v>
      </c>
      <c r="C155" t="s">
        <v>152</v>
      </c>
      <c r="D155" s="1211" t="e">
        <f>'Sch 1- Rate Base '!E158:G158</f>
        <v>#VALUE!</v>
      </c>
      <c r="E155" s="1736" t="str">
        <f>+VLOOKUP($C155,ForecastImport!$B$15:$J$394,COLUMN()-3,FALSE)</f>
        <v>262-263</v>
      </c>
      <c r="F155">
        <f>+VLOOKUP($C155,ForecastImport!$B$15:$J$394,COLUMN()-3,FALSE)</f>
        <v>408.1</v>
      </c>
      <c r="G155" t="str">
        <f>+VLOOKUP($C155,ForecastImport!$B$15:$J$394,COLUMN()-3,FALSE)</f>
        <v>LABOR</v>
      </c>
      <c r="H155">
        <f>+VLOOKUP($C155,ForecastImport!$B$15:$J$394,COLUMN()-3,FALSE)</f>
        <v>0</v>
      </c>
      <c r="I155">
        <f>+VLOOKUP($C155,ForecastImport!$B$15:$J$394,COLUMN()-3,FALSE)</f>
        <v>1364754.9693939744</v>
      </c>
      <c r="J155">
        <f>+VLOOKUP($C155,ForecastImport!$B$15:$J$394,COLUMN()-3,FALSE)</f>
        <v>568902.75159840868</v>
      </c>
      <c r="K155">
        <f>+VLOOKUP($C155,ForecastImport!$B$15:$J$394,COLUMN()-3,FALSE)</f>
        <v>0</v>
      </c>
      <c r="L155">
        <f>+VLOOKUP($C155,ForecastImport!$B$15:$J$394,COLUMN()-3,FALSE)</f>
        <v>795852.21779556572</v>
      </c>
    </row>
    <row r="156" spans="2:12" x14ac:dyDescent="0.25">
      <c r="B156">
        <v>238</v>
      </c>
      <c r="C156" t="s">
        <v>568</v>
      </c>
      <c r="D156" s="1211" t="e">
        <f>'Sch 1- Rate Base '!E159:G159</f>
        <v>#VALUE!</v>
      </c>
      <c r="E156" s="1736" t="str">
        <f>+VLOOKUP($C156,ForecastImport!$B$15:$J$394,COLUMN()-3,FALSE)</f>
        <v>262-263</v>
      </c>
      <c r="F156">
        <f>+VLOOKUP($C156,ForecastImport!$B$15:$J$394,COLUMN()-3,FALSE)</f>
        <v>409.1</v>
      </c>
      <c r="G156" t="str">
        <f>+VLOOKUP($C156,ForecastImport!$B$15:$J$394,COLUMN()-3,FALSE)</f>
        <v>DIST</v>
      </c>
      <c r="H156">
        <f>+VLOOKUP($C156,ForecastImport!$B$15:$J$394,COLUMN()-3,FALSE)</f>
        <v>0</v>
      </c>
      <c r="I156">
        <f>+VLOOKUP($C156,ForecastImport!$B$15:$J$394,COLUMN()-3,FALSE)</f>
        <v>1066334.5535052733</v>
      </c>
      <c r="J156">
        <f>+VLOOKUP($C156,ForecastImport!$B$15:$J$394,COLUMN()-3,FALSE)</f>
        <v>0</v>
      </c>
      <c r="K156">
        <f>+VLOOKUP($C156,ForecastImport!$B$15:$J$394,COLUMN()-3,FALSE)</f>
        <v>0</v>
      </c>
      <c r="L156">
        <f>+VLOOKUP($C156,ForecastImport!$B$15:$J$394,COLUMN()-3,FALSE)</f>
        <v>1066334.5535052733</v>
      </c>
    </row>
    <row r="157" spans="2:12" x14ac:dyDescent="0.25">
      <c r="B157">
        <v>239</v>
      </c>
      <c r="C157" t="s">
        <v>569</v>
      </c>
      <c r="D157" s="1211" t="e">
        <f>'Sch 1- Rate Base '!E160:G160</f>
        <v>#VALUE!</v>
      </c>
      <c r="E157" s="1736" t="str">
        <f>+VLOOKUP($C157,ForecastImport!$B$15:$J$394,COLUMN()-3,FALSE)</f>
        <v>262-263</v>
      </c>
      <c r="F157">
        <f>+VLOOKUP($C157,ForecastImport!$B$15:$J$394,COLUMN()-3,FALSE)</f>
        <v>408.1</v>
      </c>
      <c r="G157" t="str">
        <f>+VLOOKUP($C157,ForecastImport!$B$15:$J$394,COLUMN()-3,FALSE)</f>
        <v>DIST</v>
      </c>
      <c r="H157">
        <f>+VLOOKUP($C157,ForecastImport!$B$15:$J$394,COLUMN()-3,FALSE)</f>
        <v>0</v>
      </c>
      <c r="I157">
        <f>+VLOOKUP($C157,ForecastImport!$B$15:$J$394,COLUMN()-3,FALSE)</f>
        <v>33981773.116844907</v>
      </c>
      <c r="J157">
        <f>+VLOOKUP($C157,ForecastImport!$B$15:$J$394,COLUMN()-3,FALSE)</f>
        <v>0</v>
      </c>
      <c r="K157">
        <f>+VLOOKUP($C157,ForecastImport!$B$15:$J$394,COLUMN()-3,FALSE)</f>
        <v>0</v>
      </c>
      <c r="L157">
        <f>+VLOOKUP($C157,ForecastImport!$B$15:$J$394,COLUMN()-3,FALSE)</f>
        <v>33981773.116844907</v>
      </c>
    </row>
    <row r="158" spans="2:12" x14ac:dyDescent="0.25">
      <c r="B158">
        <v>240</v>
      </c>
      <c r="C158" t="s">
        <v>153</v>
      </c>
      <c r="D158" s="1211" t="e">
        <f>'Sch 1- Rate Base '!E161:G161</f>
        <v>#VALUE!</v>
      </c>
      <c r="E158" s="1736" t="str">
        <f>+VLOOKUP($C158,ForecastImport!$B$15:$J$394,COLUMN()-3,FALSE)</f>
        <v>262-263</v>
      </c>
      <c r="F158">
        <f>+VLOOKUP($C158,ForecastImport!$B$15:$J$394,COLUMN()-3,FALSE)</f>
        <v>408.1</v>
      </c>
      <c r="G158" t="str">
        <f>+VLOOKUP($C158,ForecastImport!$B$15:$J$394,COLUMN()-3,FALSE)</f>
        <v>DIST</v>
      </c>
      <c r="H158">
        <f>+VLOOKUP($C158,ForecastImport!$B$15:$J$394,COLUMN()-3,FALSE)</f>
        <v>0</v>
      </c>
      <c r="I158">
        <f>+VLOOKUP($C158,ForecastImport!$B$15:$J$394,COLUMN()-3,FALSE)</f>
        <v>7839988.4010800999</v>
      </c>
      <c r="J158">
        <f>+VLOOKUP($C158,ForecastImport!$B$15:$J$394,COLUMN()-3,FALSE)</f>
        <v>0</v>
      </c>
      <c r="K158">
        <f>+VLOOKUP($C158,ForecastImport!$B$15:$J$394,COLUMN()-3,FALSE)</f>
        <v>0</v>
      </c>
      <c r="L158">
        <f>+VLOOKUP($C158,ForecastImport!$B$15:$J$394,COLUMN()-3,FALSE)</f>
        <v>7839988.4010800999</v>
      </c>
    </row>
    <row r="159" spans="2:12" x14ac:dyDescent="0.25">
      <c r="B159">
        <v>241</v>
      </c>
      <c r="C159" t="s">
        <v>570</v>
      </c>
      <c r="D159" s="1211" t="e">
        <f>'Sch 1- Rate Base '!E162:G162</f>
        <v>#VALUE!</v>
      </c>
      <c r="E159" s="1736" t="str">
        <f>+VLOOKUP($C159,ForecastImport!$B$15:$J$394,COLUMN()-3,FALSE)</f>
        <v>262-263</v>
      </c>
      <c r="F159">
        <f>+VLOOKUP($C159,ForecastImport!$B$15:$J$394,COLUMN()-3,FALSE)</f>
        <v>408.1</v>
      </c>
      <c r="G159" t="str">
        <f>+VLOOKUP($C159,ForecastImport!$B$15:$J$394,COLUMN()-3,FALSE)</f>
        <v>DIST</v>
      </c>
      <c r="H159">
        <f>+VLOOKUP($C159,ForecastImport!$B$15:$J$394,COLUMN()-3,FALSE)</f>
        <v>0</v>
      </c>
      <c r="I159">
        <f>+VLOOKUP($C159,ForecastImport!$B$15:$J$394,COLUMN()-3,FALSE)</f>
        <v>6706015.4391418342</v>
      </c>
      <c r="J159">
        <f>+VLOOKUP($C159,ForecastImport!$B$15:$J$394,COLUMN()-3,FALSE)</f>
        <v>0</v>
      </c>
      <c r="K159">
        <f>+VLOOKUP($C159,ForecastImport!$B$15:$J$394,COLUMN()-3,FALSE)</f>
        <v>0</v>
      </c>
      <c r="L159">
        <f>+VLOOKUP($C159,ForecastImport!$B$15:$J$394,COLUMN()-3,FALSE)</f>
        <v>6706015.4391418342</v>
      </c>
    </row>
    <row r="160" spans="2:12" x14ac:dyDescent="0.25">
      <c r="B160">
        <v>242</v>
      </c>
      <c r="C160" t="s">
        <v>107</v>
      </c>
      <c r="D160" s="1211" t="e">
        <f>'Sch 1- Rate Base '!E163:G163</f>
        <v>#VALUE!</v>
      </c>
      <c r="E160" s="1736" t="str">
        <f>+VLOOKUP($C160,ForecastImport!$B$15:$J$394,COLUMN()-3,FALSE)</f>
        <v>262-263</v>
      </c>
      <c r="F160">
        <f>+VLOOKUP($C160,ForecastImport!$B$15:$J$394,COLUMN()-3,FALSE)</f>
        <v>408.1</v>
      </c>
      <c r="G160" t="str">
        <f>+VLOOKUP($C160,ForecastImport!$B$15:$J$394,COLUMN()-3,FALSE)</f>
        <v>DIST</v>
      </c>
      <c r="H160">
        <f>+VLOOKUP($C160,ForecastImport!$B$15:$J$394,COLUMN()-3,FALSE)</f>
        <v>0</v>
      </c>
      <c r="I160">
        <f>+VLOOKUP($C160,ForecastImport!$B$15:$J$394,COLUMN()-3,FALSE)</f>
        <v>5067613.3007748257</v>
      </c>
      <c r="J160">
        <f>+VLOOKUP($C160,ForecastImport!$B$15:$J$394,COLUMN()-3,FALSE)</f>
        <v>0</v>
      </c>
      <c r="K160">
        <f>+VLOOKUP($C160,ForecastImport!$B$15:$J$394,COLUMN()-3,FALSE)</f>
        <v>0</v>
      </c>
      <c r="L160">
        <f>+VLOOKUP($C160,ForecastImport!$B$15:$J$394,COLUMN()-3,FALSE)</f>
        <v>5067613.3007748257</v>
      </c>
    </row>
    <row r="161" spans="2:12" x14ac:dyDescent="0.25">
      <c r="B161">
        <v>250</v>
      </c>
      <c r="C161" t="s">
        <v>566</v>
      </c>
      <c r="D161" s="1211" t="e">
        <f>'Sch 1- Rate Base '!E164:G164</f>
        <v>#VALUE!</v>
      </c>
      <c r="E161" s="1736" t="str">
        <f>+VLOOKUP($C161,ForecastImport!$B$15:$J$394,COLUMN()-3,FALSE)</f>
        <v>114-117</v>
      </c>
      <c r="F161">
        <f>+VLOOKUP($C161,ForecastImport!$B$15:$J$394,COLUMN()-3,FALSE)</f>
        <v>407.4</v>
      </c>
      <c r="G161" t="str">
        <f>+VLOOKUP($C161,ForecastImport!$B$15:$J$394,COLUMN()-3,FALSE)</f>
        <v>DIRECT</v>
      </c>
      <c r="H161" t="str">
        <f>+VLOOKUP($C161,ForecastImport!$B$15:$J$394,COLUMN()-3,FALSE)</f>
        <v>PROD</v>
      </c>
      <c r="I161">
        <f>+VLOOKUP($C161,ForecastImport!$B$15:$J$394,COLUMN()-3,FALSE)</f>
        <v>0</v>
      </c>
      <c r="J161">
        <f>+VLOOKUP($C161,ForecastImport!$B$15:$J$394,COLUMN()-3,FALSE)</f>
        <v>0</v>
      </c>
      <c r="K161">
        <f>+VLOOKUP($C161,ForecastImport!$B$15:$J$394,COLUMN()-3,FALSE)</f>
        <v>0</v>
      </c>
      <c r="L161">
        <f>+VLOOKUP($C161,ForecastImport!$B$15:$J$394,COLUMN()-3,FALSE)</f>
        <v>0</v>
      </c>
    </row>
    <row r="162" spans="2:12" x14ac:dyDescent="0.25">
      <c r="B162">
        <v>251</v>
      </c>
      <c r="C162" s="1211" t="s">
        <v>629</v>
      </c>
      <c r="D162" s="1211" t="e">
        <f>'Sch 1- Rate Base '!E165:G165</f>
        <v>#VALUE!</v>
      </c>
      <c r="E162" s="1736" t="str">
        <f>+VLOOKUP($C162,ForecastImport!$B$15:$J$394,COLUMN()-3,FALSE)</f>
        <v>114-117</v>
      </c>
      <c r="F162">
        <f>+VLOOKUP($C162,ForecastImport!$B$15:$J$394,COLUMN()-3,FALSE)</f>
        <v>407.3</v>
      </c>
      <c r="G162" t="str">
        <f>+VLOOKUP($C162,ForecastImport!$B$15:$J$394,COLUMN()-3,FALSE)</f>
        <v>DIRECT</v>
      </c>
      <c r="H162" t="str">
        <f>+VLOOKUP($C162,ForecastImport!$B$15:$J$394,COLUMN()-3,FALSE)</f>
        <v>DIST</v>
      </c>
      <c r="I162">
        <f>+VLOOKUP($C162,ForecastImport!$B$15:$J$394,COLUMN()-3,FALSE)</f>
        <v>5441242.9300000006</v>
      </c>
      <c r="J162">
        <f>+VLOOKUP($C162,ForecastImport!$B$15:$J$394,COLUMN()-3,FALSE)</f>
        <v>739917.129723388</v>
      </c>
      <c r="K162">
        <f>+VLOOKUP($C162,ForecastImport!$B$15:$J$394,COLUMN()-3,FALSE)</f>
        <v>0</v>
      </c>
      <c r="L162">
        <f>+VLOOKUP($C162,ForecastImport!$B$15:$J$394,COLUMN()-3,FALSE)</f>
        <v>4701325.8002766119</v>
      </c>
    </row>
    <row r="163" spans="2:12" x14ac:dyDescent="0.25">
      <c r="B163">
        <v>252</v>
      </c>
      <c r="C163" t="s">
        <v>390</v>
      </c>
      <c r="D163" s="1211" t="e">
        <f>'Sch 1- Rate Base '!E166:G166</f>
        <v>#VALUE!</v>
      </c>
      <c r="E163" s="1736" t="str">
        <f>+VLOOKUP($C163,ForecastImport!$B$15:$J$394,COLUMN()-3,FALSE)</f>
        <v>114-117</v>
      </c>
      <c r="F163">
        <f>+VLOOKUP($C163,ForecastImport!$B$15:$J$394,COLUMN()-3,FALSE)</f>
        <v>411.6</v>
      </c>
      <c r="G163" t="str">
        <f>+VLOOKUP($C163,ForecastImport!$B$15:$J$394,COLUMN()-3,FALSE)</f>
        <v>DIRECT</v>
      </c>
      <c r="H163" t="str">
        <f>+VLOOKUP($C163,ForecastImport!$B$15:$J$394,COLUMN()-3,FALSE)</f>
        <v>PROD</v>
      </c>
      <c r="I163">
        <f>+VLOOKUP($C163,ForecastImport!$B$15:$J$394,COLUMN()-3,FALSE)</f>
        <v>0</v>
      </c>
      <c r="J163">
        <f>+VLOOKUP($C163,ForecastImport!$B$15:$J$394,COLUMN()-3,FALSE)</f>
        <v>0</v>
      </c>
      <c r="K163">
        <f>+VLOOKUP($C163,ForecastImport!$B$15:$J$394,COLUMN()-3,FALSE)</f>
        <v>0</v>
      </c>
      <c r="L163">
        <f>+VLOOKUP($C163,ForecastImport!$B$15:$J$394,COLUMN()-3,FALSE)</f>
        <v>0</v>
      </c>
    </row>
    <row r="164" spans="2:12" x14ac:dyDescent="0.25">
      <c r="B164">
        <v>253</v>
      </c>
      <c r="C164" s="1211" t="s">
        <v>630</v>
      </c>
      <c r="D164" s="1211" t="e">
        <f>'Sch 1- Rate Base '!E167:G167</f>
        <v>#VALUE!</v>
      </c>
      <c r="E164" s="1736" t="str">
        <f>+VLOOKUP($C164,ForecastImport!$B$15:$J$394,COLUMN()-3,FALSE)</f>
        <v>114-117</v>
      </c>
      <c r="F164" s="1736" t="str">
        <f>+VLOOKUP($C164,ForecastImport!$B$15:$J$394,COLUMN()-3,FALSE)</f>
        <v>411.7</v>
      </c>
      <c r="G164" t="str">
        <f>+VLOOKUP($C164,ForecastImport!$B$15:$J$394,COLUMN()-3,FALSE)</f>
        <v>DIRECT</v>
      </c>
      <c r="H164" t="str">
        <f>+VLOOKUP($C164,ForecastImport!$B$15:$J$394,COLUMN()-3,FALSE)</f>
        <v>DIST</v>
      </c>
      <c r="I164">
        <f>+VLOOKUP($C164,ForecastImport!$B$15:$J$394,COLUMN()-3,FALSE)</f>
        <v>0</v>
      </c>
      <c r="J164">
        <f>+VLOOKUP($C164,ForecastImport!$B$15:$J$394,COLUMN()-3,FALSE)</f>
        <v>0</v>
      </c>
      <c r="K164">
        <f>+VLOOKUP($C164,ForecastImport!$B$15:$J$394,COLUMN()-3,FALSE)</f>
        <v>0</v>
      </c>
      <c r="L164">
        <f>+VLOOKUP($C164,ForecastImport!$B$15:$J$394,COLUMN()-3,FALSE)</f>
        <v>0</v>
      </c>
    </row>
    <row r="165" spans="2:12" x14ac:dyDescent="0.25">
      <c r="B165">
        <v>254</v>
      </c>
      <c r="C165" t="s">
        <v>391</v>
      </c>
      <c r="D165" s="1211" t="e">
        <f>'Sch 1- Rate Base '!E168:G168</f>
        <v>#VALUE!</v>
      </c>
      <c r="E165" s="1736" t="str">
        <f>+VLOOKUP($C165,ForecastImport!$B$15:$J$394,COLUMN()-3,FALSE)</f>
        <v>114-117</v>
      </c>
      <c r="F165" s="1736">
        <f>+VLOOKUP($C165,ForecastImport!$B$15:$J$394,COLUMN()-3,FALSE)</f>
        <v>411.8</v>
      </c>
      <c r="G165" t="str">
        <f>+VLOOKUP($C165,ForecastImport!$B$15:$J$394,COLUMN()-3,FALSE)</f>
        <v>PROD</v>
      </c>
      <c r="H165">
        <f>+VLOOKUP($C165,ForecastImport!$B$15:$J$394,COLUMN()-3,FALSE)</f>
        <v>0</v>
      </c>
      <c r="I165">
        <f>+VLOOKUP($C165,ForecastImport!$B$15:$J$394,COLUMN()-3,FALSE)</f>
        <v>36.514148040899343</v>
      </c>
      <c r="J165">
        <f>+VLOOKUP($C165,ForecastImport!$B$15:$J$394,COLUMN()-3,FALSE)</f>
        <v>36.514148040899343</v>
      </c>
      <c r="K165">
        <f>+VLOOKUP($C165,ForecastImport!$B$15:$J$394,COLUMN()-3,FALSE)</f>
        <v>0</v>
      </c>
      <c r="L165">
        <f>+VLOOKUP($C165,ForecastImport!$B$15:$J$394,COLUMN()-3,FALSE)</f>
        <v>0</v>
      </c>
    </row>
    <row r="166" spans="2:12" x14ac:dyDescent="0.25">
      <c r="B166">
        <v>255</v>
      </c>
      <c r="C166" s="1211" t="s">
        <v>631</v>
      </c>
      <c r="D166" s="1211" t="e">
        <f>'Sch 1- Rate Base '!E169:G169</f>
        <v>#VALUE!</v>
      </c>
      <c r="E166" s="1736" t="str">
        <f>+VLOOKUP($C166,ForecastImport!$B$15:$J$394,COLUMN()-3,FALSE)</f>
        <v>114-117</v>
      </c>
      <c r="F166" s="1736">
        <f>+VLOOKUP($C166,ForecastImport!$B$15:$J$394,COLUMN()-3,FALSE)</f>
        <v>411.9</v>
      </c>
      <c r="G166" t="str">
        <f>+VLOOKUP($C166,ForecastImport!$B$15:$J$394,COLUMN()-3,FALSE)</f>
        <v>PROD</v>
      </c>
      <c r="H166">
        <f>+VLOOKUP($C166,ForecastImport!$B$15:$J$394,COLUMN()-3,FALSE)</f>
        <v>0</v>
      </c>
      <c r="I166">
        <f>+VLOOKUP($C166,ForecastImport!$B$15:$J$394,COLUMN()-3,FALSE)</f>
        <v>0</v>
      </c>
      <c r="J166">
        <f>+VLOOKUP($C166,ForecastImport!$B$15:$J$394,COLUMN()-3,FALSE)</f>
        <v>0</v>
      </c>
      <c r="K166">
        <f>+VLOOKUP($C166,ForecastImport!$B$15:$J$394,COLUMN()-3,FALSE)</f>
        <v>0</v>
      </c>
      <c r="L166">
        <f>+VLOOKUP($C166,ForecastImport!$B$15:$J$394,COLUMN()-3,FALSE)</f>
        <v>0</v>
      </c>
    </row>
    <row r="167" spans="2:12" x14ac:dyDescent="0.25">
      <c r="B167">
        <v>256</v>
      </c>
      <c r="C167" t="s">
        <v>181</v>
      </c>
      <c r="D167" s="1211" t="e">
        <f>'Sch 1- Rate Base '!E170:G170</f>
        <v>#VALUE!</v>
      </c>
      <c r="E167" s="1736" t="str">
        <f>+VLOOKUP($C167,ForecastImport!$B$15:$J$394,COLUMN()-3,FALSE)</f>
        <v>114-117</v>
      </c>
      <c r="F167" s="1736">
        <f>+VLOOKUP($C167,ForecastImport!$B$15:$J$394,COLUMN()-3,FALSE)</f>
        <v>421</v>
      </c>
      <c r="G167" t="str">
        <f>+VLOOKUP($C167,ForecastImport!$B$15:$J$394,COLUMN()-3,FALSE)</f>
        <v>DIRECT</v>
      </c>
      <c r="H167" t="str">
        <f>+VLOOKUP($C167,ForecastImport!$B$15:$J$394,COLUMN()-3,FALSE)</f>
        <v>PROD</v>
      </c>
      <c r="I167">
        <f>+VLOOKUP($C167,ForecastImport!$B$15:$J$394,COLUMN()-3,FALSE)</f>
        <v>989991</v>
      </c>
      <c r="J167">
        <f>+VLOOKUP($C167,ForecastImport!$B$15:$J$394,COLUMN()-3,FALSE)</f>
        <v>1739</v>
      </c>
      <c r="K167">
        <f>+VLOOKUP($C167,ForecastImport!$B$15:$J$394,COLUMN()-3,FALSE)</f>
        <v>0</v>
      </c>
      <c r="L167">
        <f>+VLOOKUP($C167,ForecastImport!$B$15:$J$394,COLUMN()-3,FALSE)</f>
        <v>988252</v>
      </c>
    </row>
    <row r="168" spans="2:12" x14ac:dyDescent="0.25">
      <c r="B168">
        <v>260</v>
      </c>
      <c r="C168" t="s">
        <v>64</v>
      </c>
      <c r="D168" s="1211" t="e">
        <f>'Sch 1- Rate Base '!E171:G171</f>
        <v>#VALUE!</v>
      </c>
      <c r="E168" s="1736">
        <f>+VLOOKUP($C168,ForecastImport!$B$15:$J$394,COLUMN()-3,FALSE)</f>
        <v>310</v>
      </c>
      <c r="F168" s="1736">
        <f>+VLOOKUP($C168,ForecastImport!$B$15:$J$394,COLUMN()-3,FALSE)</f>
        <v>447</v>
      </c>
      <c r="G168" t="str">
        <f>+VLOOKUP($C168,ForecastImport!$B$15:$J$394,COLUMN()-3,FALSE)</f>
        <v>PROD</v>
      </c>
      <c r="H168">
        <f>+VLOOKUP($C168,ForecastImport!$B$15:$J$394,COLUMN()-3,FALSE)</f>
        <v>0</v>
      </c>
      <c r="I168">
        <f>+VLOOKUP($C168,ForecastImport!$B$15:$J$394,COLUMN()-3,FALSE)</f>
        <v>79486840.52681087</v>
      </c>
      <c r="J168">
        <f>+VLOOKUP($C168,ForecastImport!$B$15:$J$394,COLUMN()-3,FALSE)</f>
        <v>79486840.52681087</v>
      </c>
      <c r="K168">
        <f>+VLOOKUP($C168,ForecastImport!$B$15:$J$394,COLUMN()-3,FALSE)</f>
        <v>0</v>
      </c>
      <c r="L168">
        <f>+VLOOKUP($C168,ForecastImport!$B$15:$J$394,COLUMN()-3,FALSE)</f>
        <v>0</v>
      </c>
    </row>
    <row r="169" spans="2:12" x14ac:dyDescent="0.25">
      <c r="B169">
        <v>264</v>
      </c>
      <c r="C169" t="s">
        <v>327</v>
      </c>
      <c r="D169" s="1211" t="e">
        <f>'Sch 1- Rate Base '!E172:G172</f>
        <v>#VALUE!</v>
      </c>
      <c r="E169" s="1736">
        <f>+VLOOKUP($C169,ForecastImport!$B$15:$J$394,COLUMN()-3,FALSE)</f>
        <v>300</v>
      </c>
      <c r="F169" s="1736">
        <f>+VLOOKUP($C169,ForecastImport!$B$15:$J$394,COLUMN()-3,FALSE)</f>
        <v>450</v>
      </c>
      <c r="G169" t="str">
        <f>+VLOOKUP($C169,ForecastImport!$B$15:$J$394,COLUMN()-3,FALSE)</f>
        <v>DIST</v>
      </c>
      <c r="H169">
        <f>+VLOOKUP($C169,ForecastImport!$B$15:$J$394,COLUMN()-3,FALSE)</f>
        <v>0</v>
      </c>
      <c r="I169">
        <f>+VLOOKUP($C169,ForecastImport!$B$15:$J$394,COLUMN()-3,FALSE)</f>
        <v>8515319.6916797031</v>
      </c>
      <c r="J169">
        <f>+VLOOKUP($C169,ForecastImport!$B$15:$J$394,COLUMN()-3,FALSE)</f>
        <v>0</v>
      </c>
      <c r="K169">
        <f>+VLOOKUP($C169,ForecastImport!$B$15:$J$394,COLUMN()-3,FALSE)</f>
        <v>0</v>
      </c>
      <c r="L169">
        <f>+VLOOKUP($C169,ForecastImport!$B$15:$J$394,COLUMN()-3,FALSE)</f>
        <v>8515319.6916797031</v>
      </c>
    </row>
    <row r="170" spans="2:12" x14ac:dyDescent="0.25">
      <c r="B170">
        <v>265</v>
      </c>
      <c r="C170" t="s">
        <v>546</v>
      </c>
      <c r="D170" s="1211" t="e">
        <f>'Sch 1- Rate Base '!E173:G173</f>
        <v>#VALUE!</v>
      </c>
      <c r="E170" s="1736">
        <f>+VLOOKUP($C170,ForecastImport!$B$15:$J$394,COLUMN()-3,FALSE)</f>
        <v>300</v>
      </c>
      <c r="F170" s="1736" t="str">
        <f>+VLOOKUP($C170,ForecastImport!$B$15:$J$394,COLUMN()-3,FALSE)</f>
        <v>451</v>
      </c>
      <c r="G170" t="str">
        <f>+VLOOKUP($C170,ForecastImport!$B$15:$J$394,COLUMN()-3,FALSE)</f>
        <v>DIST</v>
      </c>
      <c r="H170">
        <f>+VLOOKUP($C170,ForecastImport!$B$15:$J$394,COLUMN()-3,FALSE)</f>
        <v>0</v>
      </c>
      <c r="I170">
        <f>+VLOOKUP($C170,ForecastImport!$B$15:$J$394,COLUMN()-3,FALSE)</f>
        <v>1980493.0813357825</v>
      </c>
      <c r="J170">
        <f>+VLOOKUP($C170,ForecastImport!$B$15:$J$394,COLUMN()-3,FALSE)</f>
        <v>0</v>
      </c>
      <c r="K170">
        <f>+VLOOKUP($C170,ForecastImport!$B$15:$J$394,COLUMN()-3,FALSE)</f>
        <v>0</v>
      </c>
      <c r="L170">
        <f>+VLOOKUP($C170,ForecastImport!$B$15:$J$394,COLUMN()-3,FALSE)</f>
        <v>1980493.0813357825</v>
      </c>
    </row>
    <row r="171" spans="2:12" x14ac:dyDescent="0.25">
      <c r="B171">
        <v>266</v>
      </c>
      <c r="C171" t="s">
        <v>545</v>
      </c>
      <c r="D171" s="1211" t="e">
        <f>'Sch 1- Rate Base '!E174:G174</f>
        <v>#VALUE!</v>
      </c>
      <c r="E171" s="1736">
        <f>+VLOOKUP($C171,ForecastImport!$B$15:$J$394,COLUMN()-3,FALSE)</f>
        <v>300</v>
      </c>
      <c r="F171" s="1736" t="str">
        <f>+VLOOKUP($C171,ForecastImport!$B$15:$J$394,COLUMN()-3,FALSE)</f>
        <v>453</v>
      </c>
      <c r="G171" t="str">
        <f>+VLOOKUP($C171,ForecastImport!$B$15:$J$394,COLUMN()-3,FALSE)</f>
        <v>PROD</v>
      </c>
      <c r="H171">
        <f>+VLOOKUP($C171,ForecastImport!$B$15:$J$394,COLUMN()-3,FALSE)</f>
        <v>0</v>
      </c>
      <c r="I171">
        <f>+VLOOKUP($C171,ForecastImport!$B$15:$J$394,COLUMN()-3,FALSE)</f>
        <v>0</v>
      </c>
      <c r="J171">
        <f>+VLOOKUP($C171,ForecastImport!$B$15:$J$394,COLUMN()-3,FALSE)</f>
        <v>0</v>
      </c>
      <c r="K171">
        <f>+VLOOKUP($C171,ForecastImport!$B$15:$J$394,COLUMN()-3,FALSE)</f>
        <v>0</v>
      </c>
      <c r="L171">
        <f>+VLOOKUP($C171,ForecastImport!$B$15:$J$394,COLUMN()-3,FALSE)</f>
        <v>0</v>
      </c>
    </row>
    <row r="172" spans="2:12" x14ac:dyDescent="0.25">
      <c r="B172">
        <v>267</v>
      </c>
      <c r="C172" t="s">
        <v>544</v>
      </c>
      <c r="D172" s="1211" t="e">
        <f>'Sch 1- Rate Base '!E175:G175</f>
        <v>#VALUE!</v>
      </c>
      <c r="E172" s="1736">
        <f>+VLOOKUP($C172,ForecastImport!$B$15:$J$394,COLUMN()-3,FALSE)</f>
        <v>300</v>
      </c>
      <c r="F172" s="1736" t="str">
        <f>+VLOOKUP($C172,ForecastImport!$B$15:$J$394,COLUMN()-3,FALSE)</f>
        <v>454</v>
      </c>
      <c r="G172" t="str">
        <f>+VLOOKUP($C172,ForecastImport!$B$15:$J$394,COLUMN()-3,FALSE)</f>
        <v>TD</v>
      </c>
      <c r="H172">
        <f>+VLOOKUP($C172,ForecastImport!$B$15:$J$394,COLUMN()-3,FALSE)</f>
        <v>0</v>
      </c>
      <c r="I172">
        <f>+VLOOKUP($C172,ForecastImport!$B$15:$J$394,COLUMN()-3,FALSE)</f>
        <v>9825273.839957241</v>
      </c>
      <c r="J172">
        <f>+VLOOKUP($C172,ForecastImport!$B$15:$J$394,COLUMN()-3,FALSE)</f>
        <v>0</v>
      </c>
      <c r="K172">
        <f>+VLOOKUP($C172,ForecastImport!$B$15:$J$394,COLUMN()-3,FALSE)</f>
        <v>0</v>
      </c>
      <c r="L172">
        <f>+VLOOKUP($C172,ForecastImport!$B$15:$J$394,COLUMN()-3,FALSE)</f>
        <v>9825273.839957241</v>
      </c>
    </row>
    <row r="173" spans="2:12" x14ac:dyDescent="0.25">
      <c r="B173">
        <v>268</v>
      </c>
      <c r="C173" t="s">
        <v>329</v>
      </c>
      <c r="D173" s="1211" t="e">
        <f>'Sch 1- Rate Base '!E176:G176</f>
        <v>#VALUE!</v>
      </c>
      <c r="E173" s="1736">
        <f>+VLOOKUP($C173,ForecastImport!$B$15:$J$394,COLUMN()-3,FALSE)</f>
        <v>300</v>
      </c>
      <c r="F173" s="1736">
        <f>+VLOOKUP($C173,ForecastImport!$B$15:$J$394,COLUMN()-3,FALSE)</f>
        <v>455</v>
      </c>
      <c r="G173" t="str">
        <f>+VLOOKUP($C173,ForecastImport!$B$15:$J$394,COLUMN()-3,FALSE)</f>
        <v>DIST</v>
      </c>
      <c r="H173">
        <f>+VLOOKUP($C173,ForecastImport!$B$15:$J$394,COLUMN()-3,FALSE)</f>
        <v>0</v>
      </c>
      <c r="I173">
        <f>+VLOOKUP($C173,ForecastImport!$B$15:$J$394,COLUMN()-3,FALSE)</f>
        <v>0</v>
      </c>
      <c r="J173">
        <f>+VLOOKUP($C173,ForecastImport!$B$15:$J$394,COLUMN()-3,FALSE)</f>
        <v>0</v>
      </c>
      <c r="K173">
        <f>+VLOOKUP($C173,ForecastImport!$B$15:$J$394,COLUMN()-3,FALSE)</f>
        <v>0</v>
      </c>
      <c r="L173">
        <f>+VLOOKUP($C173,ForecastImport!$B$15:$J$394,COLUMN()-3,FALSE)</f>
        <v>0</v>
      </c>
    </row>
    <row r="174" spans="2:12" x14ac:dyDescent="0.25">
      <c r="B174">
        <v>269</v>
      </c>
      <c r="C174" t="s">
        <v>328</v>
      </c>
      <c r="D174" s="1211" t="e">
        <f>'Sch 1- Rate Base '!E177:G177</f>
        <v>#VALUE!</v>
      </c>
      <c r="E174" s="1736">
        <f>+VLOOKUP($C174,ForecastImport!$B$15:$J$394,COLUMN()-3,FALSE)</f>
        <v>300</v>
      </c>
      <c r="F174" s="1736" t="str">
        <f>+VLOOKUP($C174,ForecastImport!$B$15:$J$394,COLUMN()-3,FALSE)</f>
        <v>456</v>
      </c>
      <c r="G174" t="str">
        <f>+VLOOKUP($C174,ForecastImport!$B$15:$J$394,COLUMN()-3,FALSE)</f>
        <v>DIRECT</v>
      </c>
      <c r="H174" t="str">
        <f>+VLOOKUP($C174,ForecastImport!$B$15:$J$394,COLUMN()-3,FALSE)</f>
        <v>PROD</v>
      </c>
      <c r="I174">
        <f>+VLOOKUP($C174,ForecastImport!$B$15:$J$394,COLUMN()-3,FALSE)</f>
        <v>17726557.22997893</v>
      </c>
      <c r="J174">
        <f>+VLOOKUP($C174,ForecastImport!$B$15:$J$394,COLUMN()-3,FALSE)</f>
        <v>16037718.522941926</v>
      </c>
      <c r="K174">
        <f>+VLOOKUP($C174,ForecastImport!$B$15:$J$394,COLUMN()-3,FALSE)</f>
        <v>0</v>
      </c>
      <c r="L174">
        <f>+VLOOKUP($C174,ForecastImport!$B$15:$J$394,COLUMN()-3,FALSE)</f>
        <v>1688838.7070370035</v>
      </c>
    </row>
    <row r="175" spans="2:12" x14ac:dyDescent="0.25">
      <c r="B175">
        <v>270</v>
      </c>
      <c r="C175" t="s">
        <v>503</v>
      </c>
      <c r="D175" s="1211" t="e">
        <f>'Sch 1- Rate Base '!E178:G178</f>
        <v>#VALUE!</v>
      </c>
      <c r="E175" s="1736">
        <f>+VLOOKUP($C175,ForecastImport!$B$15:$J$394,COLUMN()-3,FALSE)</f>
        <v>330</v>
      </c>
      <c r="F175" s="1736">
        <f>+VLOOKUP($C175,ForecastImport!$B$15:$J$394,COLUMN()-3,FALSE)</f>
        <v>456.1</v>
      </c>
      <c r="G175" t="str">
        <f>+VLOOKUP($C175,ForecastImport!$B$15:$J$394,COLUMN()-3,FALSE)</f>
        <v>TRANS</v>
      </c>
      <c r="H175">
        <f>+VLOOKUP($C175,ForecastImport!$B$15:$J$394,COLUMN()-3,FALSE)</f>
        <v>0</v>
      </c>
      <c r="I175">
        <f>+VLOOKUP($C175,ForecastImport!$B$15:$J$394,COLUMN()-3,FALSE)</f>
        <v>63773432.108888477</v>
      </c>
      <c r="J175">
        <f>+VLOOKUP($C175,ForecastImport!$B$15:$J$394,COLUMN()-3,FALSE)</f>
        <v>0</v>
      </c>
      <c r="K175">
        <f>+VLOOKUP($C175,ForecastImport!$B$15:$J$394,COLUMN()-3,FALSE)</f>
        <v>0</v>
      </c>
      <c r="L175">
        <f>+VLOOKUP($C175,ForecastImport!$B$15:$J$394,COLUMN()-3,FALSE)</f>
        <v>63773432.108888477</v>
      </c>
    </row>
    <row r="176" spans="2:12" x14ac:dyDescent="0.25">
      <c r="B176">
        <v>313</v>
      </c>
      <c r="C176" t="s">
        <v>853</v>
      </c>
      <c r="D176" s="1211" t="e">
        <f>'Sch 1- Rate Base '!E179:G179</f>
        <v>#VALUE!</v>
      </c>
      <c r="E176" s="1736">
        <f>+VLOOKUP($C176,ForecastImport!$B$15:$J$394,COLUMN()-3,FALSE)</f>
        <v>0</v>
      </c>
      <c r="F176">
        <f>+VLOOKUP($C176,ForecastImport!$B$15:$J$394,COLUMN()-3,FALSE)</f>
        <v>0</v>
      </c>
      <c r="G176" t="str">
        <f>+VLOOKUP($C176,ForecastImport!$B$15:$J$394,COLUMN()-3,FALSE)</f>
        <v>PROD</v>
      </c>
      <c r="H176">
        <f>+VLOOKUP($C176,ForecastImport!$B$15:$J$394,COLUMN()-3,FALSE)</f>
        <v>0</v>
      </c>
      <c r="I176">
        <f>+VLOOKUP($C176,ForecastImport!$B$15:$J$394,COLUMN()-3,FALSE)</f>
        <v>143401785</v>
      </c>
      <c r="J176">
        <f>+VLOOKUP($C176,ForecastImport!$B$15:$J$394,COLUMN()-3,FALSE)</f>
        <v>143401785</v>
      </c>
      <c r="K176">
        <f>+VLOOKUP($C176,ForecastImport!$B$15:$J$394,COLUMN()-3,FALSE)</f>
        <v>0</v>
      </c>
      <c r="L176">
        <f>+VLOOKUP($C176,ForecastImport!$B$15:$J$394,COLUMN()-3,FALSE)</f>
        <v>0</v>
      </c>
    </row>
    <row r="177" spans="2:15" x14ac:dyDescent="0.25">
      <c r="B177">
        <v>314</v>
      </c>
      <c r="C177" t="s">
        <v>854</v>
      </c>
      <c r="D177" s="1211" t="e">
        <f>'Sch 1- Rate Base '!E180:G180</f>
        <v>#VALUE!</v>
      </c>
      <c r="E177" s="1736">
        <f>+VLOOKUP($C177,ForecastImport!$B$15:$J$394,COLUMN()-3,FALSE)</f>
        <v>0</v>
      </c>
      <c r="F177">
        <f>+VLOOKUP($C177,ForecastImport!$B$15:$J$394,COLUMN()-3,FALSE)</f>
        <v>0</v>
      </c>
      <c r="G177" t="str">
        <f>+VLOOKUP($C177,ForecastImport!$B$15:$J$394,COLUMN()-3,FALSE)</f>
        <v>TRANS</v>
      </c>
      <c r="H177">
        <f>+VLOOKUP($C177,ForecastImport!$B$15:$J$394,COLUMN()-3,FALSE)</f>
        <v>0</v>
      </c>
      <c r="I177">
        <f>+VLOOKUP($C177,ForecastImport!$B$15:$J$394,COLUMN()-3,FALSE)</f>
        <v>33170529</v>
      </c>
      <c r="J177">
        <f>+VLOOKUP($C177,ForecastImport!$B$15:$J$394,COLUMN()-3,FALSE)</f>
        <v>0</v>
      </c>
      <c r="K177">
        <f>+VLOOKUP($C177,ForecastImport!$B$15:$J$394,COLUMN()-3,FALSE)</f>
        <v>0</v>
      </c>
      <c r="L177">
        <f>+VLOOKUP($C177,ForecastImport!$B$15:$J$394,COLUMN()-3,FALSE)</f>
        <v>33170529</v>
      </c>
    </row>
    <row r="178" spans="2:15" x14ac:dyDescent="0.25">
      <c r="B178">
        <v>315</v>
      </c>
      <c r="C178" t="s">
        <v>855</v>
      </c>
      <c r="D178" s="1211" t="e">
        <f>'Sch 1- Rate Base '!E181:G181</f>
        <v>#VALUE!</v>
      </c>
      <c r="E178" s="1736">
        <f>+VLOOKUP($C178,ForecastImport!$B$15:$J$394,COLUMN()-3,FALSE)</f>
        <v>0</v>
      </c>
      <c r="F178">
        <f>+VLOOKUP($C178,ForecastImport!$B$15:$J$394,COLUMN()-3,FALSE)</f>
        <v>0</v>
      </c>
      <c r="G178" t="str">
        <f>+VLOOKUP($C178,ForecastImport!$B$15:$J$394,COLUMN()-3,FALSE)</f>
        <v>DIST</v>
      </c>
      <c r="H178">
        <f>+VLOOKUP($C178,ForecastImport!$B$15:$J$394,COLUMN()-3,FALSE)</f>
        <v>0</v>
      </c>
      <c r="I178">
        <f>+VLOOKUP($C178,ForecastImport!$B$15:$J$394,COLUMN()-3,FALSE)</f>
        <v>131214060</v>
      </c>
      <c r="J178">
        <f>+VLOOKUP($C178,ForecastImport!$B$15:$J$394,COLUMN()-3,FALSE)</f>
        <v>0</v>
      </c>
      <c r="K178">
        <f>+VLOOKUP($C178,ForecastImport!$B$15:$J$394,COLUMN()-3,FALSE)</f>
        <v>0</v>
      </c>
      <c r="L178">
        <f>+VLOOKUP($C178,ForecastImport!$B$15:$J$394,COLUMN()-3,FALSE)</f>
        <v>131214060</v>
      </c>
    </row>
    <row r="179" spans="2:15" x14ac:dyDescent="0.25">
      <c r="B179">
        <v>316</v>
      </c>
      <c r="C179" t="s">
        <v>856</v>
      </c>
      <c r="D179" s="1211" t="e">
        <f>'Sch 1- Rate Base '!E182:G182</f>
        <v>#VALUE!</v>
      </c>
      <c r="E179" s="1736">
        <f>+VLOOKUP($C179,ForecastImport!$B$15:$J$394,COLUMN()-3,FALSE)</f>
        <v>0</v>
      </c>
      <c r="F179">
        <f>+VLOOKUP($C179,ForecastImport!$B$15:$J$394,COLUMN()-3,FALSE)</f>
        <v>0</v>
      </c>
      <c r="G179" t="str">
        <f>+VLOOKUP($C179,ForecastImport!$B$15:$J$394,COLUMN()-3,FALSE)</f>
        <v>DIST</v>
      </c>
      <c r="H179">
        <f>+VLOOKUP($C179,ForecastImport!$B$15:$J$394,COLUMN()-3,FALSE)</f>
        <v>0</v>
      </c>
      <c r="I179">
        <f>+VLOOKUP($C179,ForecastImport!$B$15:$J$394,COLUMN()-3,FALSE)</f>
        <v>29892118</v>
      </c>
      <c r="J179">
        <f>+VLOOKUP($C179,ForecastImport!$B$15:$J$394,COLUMN()-3,FALSE)</f>
        <v>0</v>
      </c>
      <c r="K179">
        <f>+VLOOKUP($C179,ForecastImport!$B$15:$J$394,COLUMN()-3,FALSE)</f>
        <v>0</v>
      </c>
      <c r="L179">
        <f>+VLOOKUP($C179,ForecastImport!$B$15:$J$394,COLUMN()-3,FALSE)</f>
        <v>29892118</v>
      </c>
    </row>
    <row r="180" spans="2:15" x14ac:dyDescent="0.25">
      <c r="B180">
        <v>317</v>
      </c>
      <c r="C180" t="s">
        <v>857</v>
      </c>
      <c r="D180" s="1211" t="e">
        <f>'Sch 1- Rate Base '!E183:G183</f>
        <v>#VALUE!</v>
      </c>
      <c r="E180" s="1736">
        <f>+VLOOKUP($C180,ForecastImport!$B$15:$J$394,COLUMN()-3,FALSE)</f>
        <v>0</v>
      </c>
      <c r="F180">
        <f>+VLOOKUP($C180,ForecastImport!$B$15:$J$394,COLUMN()-3,FALSE)</f>
        <v>0</v>
      </c>
      <c r="G180" t="str">
        <f>+VLOOKUP($C180,ForecastImport!$B$15:$J$394,COLUMN()-3,FALSE)</f>
        <v>DIST</v>
      </c>
      <c r="H180">
        <f>+VLOOKUP($C180,ForecastImport!$B$15:$J$394,COLUMN()-3,FALSE)</f>
        <v>0</v>
      </c>
      <c r="I180">
        <f>+VLOOKUP($C180,ForecastImport!$B$15:$J$394,COLUMN()-3,FALSE)</f>
        <v>8580394</v>
      </c>
      <c r="J180">
        <f>+VLOOKUP($C180,ForecastImport!$B$15:$J$394,COLUMN()-3,FALSE)</f>
        <v>0</v>
      </c>
      <c r="K180">
        <f>+VLOOKUP($C180,ForecastImport!$B$15:$J$394,COLUMN()-3,FALSE)</f>
        <v>0</v>
      </c>
      <c r="L180">
        <f>+VLOOKUP($C180,ForecastImport!$B$15:$J$394,COLUMN()-3,FALSE)</f>
        <v>8580394</v>
      </c>
    </row>
    <row r="181" spans="2:15" x14ac:dyDescent="0.25">
      <c r="B181">
        <v>318</v>
      </c>
      <c r="C181" t="s">
        <v>858</v>
      </c>
      <c r="D181" s="1211" t="e">
        <f>'Sch 1- Rate Base '!E184:G184</f>
        <v>#VALUE!</v>
      </c>
      <c r="E181" s="1736">
        <f>+VLOOKUP($C181,ForecastImport!$B$15:$J$394,COLUMN()-3,FALSE)</f>
        <v>0</v>
      </c>
      <c r="F181">
        <f>+VLOOKUP($C181,ForecastImport!$B$15:$J$394,COLUMN()-3,FALSE)</f>
        <v>0</v>
      </c>
      <c r="G181" t="str">
        <f>+VLOOKUP($C181,ForecastImport!$B$15:$J$394,COLUMN()-3,FALSE)</f>
        <v>DIST</v>
      </c>
      <c r="H181">
        <f>+VLOOKUP($C181,ForecastImport!$B$15:$J$394,COLUMN()-3,FALSE)</f>
        <v>0</v>
      </c>
      <c r="I181">
        <f>+VLOOKUP($C181,ForecastImport!$B$15:$J$394,COLUMN()-3,FALSE)</f>
        <v>0</v>
      </c>
      <c r="J181">
        <f>+VLOOKUP($C181,ForecastImport!$B$15:$J$394,COLUMN()-3,FALSE)</f>
        <v>0</v>
      </c>
      <c r="K181">
        <f>+VLOOKUP($C181,ForecastImport!$B$15:$J$394,COLUMN()-3,FALSE)</f>
        <v>0</v>
      </c>
      <c r="L181">
        <f>+VLOOKUP($C181,ForecastImport!$B$15:$J$394,COLUMN()-3,FALSE)</f>
        <v>0</v>
      </c>
    </row>
    <row r="182" spans="2:15" x14ac:dyDescent="0.25">
      <c r="B182">
        <v>319</v>
      </c>
      <c r="C182" t="s">
        <v>859</v>
      </c>
      <c r="D182" s="1211" t="e">
        <f>'Sch 1- Rate Base '!E185:G185</f>
        <v>#VALUE!</v>
      </c>
      <c r="E182" s="1736">
        <f>+VLOOKUP($C182,ForecastImport!$B$15:$J$394,COLUMN()-3,FALSE)</f>
        <v>0</v>
      </c>
      <c r="F182">
        <f>+VLOOKUP($C182,ForecastImport!$B$15:$J$394,COLUMN()-3,FALSE)</f>
        <v>0</v>
      </c>
      <c r="G182" t="str">
        <f>+VLOOKUP($C182,ForecastImport!$B$15:$J$394,COLUMN()-3,FALSE)</f>
        <v>PTD</v>
      </c>
      <c r="H182">
        <f>+VLOOKUP($C182,ForecastImport!$B$15:$J$394,COLUMN()-3,FALSE)</f>
        <v>0</v>
      </c>
      <c r="I182">
        <f>+VLOOKUP($C182,ForecastImport!$B$15:$J$394,COLUMN()-3,FALSE)</f>
        <v>40158501</v>
      </c>
      <c r="J182">
        <f>+VLOOKUP($C182,ForecastImport!$B$15:$J$394,COLUMN()-3,FALSE)</f>
        <v>17677617.280825108</v>
      </c>
      <c r="K182">
        <f>+VLOOKUP($C182,ForecastImport!$B$15:$J$394,COLUMN()-3,FALSE)</f>
        <v>0</v>
      </c>
      <c r="L182">
        <f>+VLOOKUP($C182,ForecastImport!$B$15:$J$394,COLUMN()-3,FALSE)</f>
        <v>22480883.719174888</v>
      </c>
    </row>
    <row r="183" spans="2:15" x14ac:dyDescent="0.25">
      <c r="B183">
        <v>297</v>
      </c>
      <c r="C183" t="s">
        <v>506</v>
      </c>
      <c r="D183" s="1211" t="e">
        <f>'Sch 1- Rate Base '!E186:G186</f>
        <v>#VALUE!</v>
      </c>
      <c r="E183" s="1736"/>
      <c r="M183">
        <f>+VLOOKUP($C183,ForecastImport!$B$15:$J$394,7,FALSE)</f>
        <v>2591146759.4811163</v>
      </c>
    </row>
    <row r="184" spans="2:15" x14ac:dyDescent="0.25">
      <c r="B184">
        <v>299</v>
      </c>
      <c r="C184" t="s">
        <v>508</v>
      </c>
      <c r="D184" s="1211" t="e">
        <f>'Sch 1- Rate Base '!E187:G187</f>
        <v>#VALUE!</v>
      </c>
      <c r="E184" s="1736"/>
      <c r="N184">
        <f>+VLOOKUP($C184,ForecastImport!$B$15:$J$394,7,FALSE)</f>
        <v>22302318.779289998</v>
      </c>
    </row>
    <row r="185" spans="2:15" x14ac:dyDescent="0.25">
      <c r="B185">
        <v>301</v>
      </c>
      <c r="C185" t="s">
        <v>322</v>
      </c>
      <c r="D185" s="1211" t="e">
        <f>'Sch 1- Rate Base '!E188:G188</f>
        <v>#VALUE!</v>
      </c>
      <c r="O185">
        <f>+VLOOKUP($C185,ForecastImport!$B$15:$J$394,7,FALSE)</f>
        <v>116.18284112624482</v>
      </c>
    </row>
  </sheetData>
  <pageMargins left="0.7" right="0.7" top="0.75" bottom="0.75" header="0.3" footer="0.3"/>
  <customProperties>
    <customPr name="_pios_id" r:id="rId1"/>
  </customPropertie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134</vt:i4>
      </vt:variant>
      <vt:variant>
        <vt:lpstr>Named Ranges</vt:lpstr>
      </vt:variant>
      <vt:variant>
        <vt:i4>68</vt:i4>
      </vt:variant>
    </vt:vector>
  </HeadingPairs>
  <TitlesOfParts>
    <vt:vector size="202" baseType="lpstr">
      <vt:lpstr>Revisions_2026-28</vt:lpstr>
      <vt:lpstr>TOC</vt:lpstr>
      <vt:lpstr>Sch 1- Rate Base </vt:lpstr>
      <vt:lpstr>Sch 1A - Cash Working Capital</vt:lpstr>
      <vt:lpstr>Sch 2 -Rate of Return</vt:lpstr>
      <vt:lpstr>Sch 3 - Expenses</vt:lpstr>
      <vt:lpstr>Sch 3A - Taxes</vt:lpstr>
      <vt:lpstr>Sch 3B - Other Items</vt:lpstr>
      <vt:lpstr>Sch 4 - Average System Cost</vt:lpstr>
      <vt:lpstr>3-YEAR PP &amp; OSS Worksheet</vt:lpstr>
      <vt:lpstr>Load Forecast</vt:lpstr>
      <vt:lpstr>Distribution Loss Calc</vt:lpstr>
      <vt:lpstr>Salaries</vt:lpstr>
      <vt:lpstr>Ratios</vt:lpstr>
      <vt:lpstr>A-RHWM_Ratios</vt:lpstr>
      <vt:lpstr>New Resources - Individual</vt:lpstr>
      <vt:lpstr>New Resources - Group</vt:lpstr>
      <vt:lpstr>Materiality - Individual</vt:lpstr>
      <vt:lpstr>Materiality -  Group</vt:lpstr>
      <vt:lpstr>Wind_Resources_Costs</vt:lpstr>
      <vt:lpstr>NLSL_Base_New-Calc</vt:lpstr>
      <vt:lpstr>Above-RHWM_Base_Calc</vt:lpstr>
      <vt:lpstr>Tiered Rates</vt:lpstr>
      <vt:lpstr>PAC WORK TABS&gt;&gt;</vt:lpstr>
      <vt:lpstr>Sch 1- Rate Base  (OR)</vt:lpstr>
      <vt:lpstr>Sch 1- Rate Base  (WA)</vt:lpstr>
      <vt:lpstr>Sch 1- Rate Base  (ID)</vt:lpstr>
      <vt:lpstr>RATE BASE DATA</vt:lpstr>
      <vt:lpstr>Base Expense Data</vt:lpstr>
      <vt:lpstr>B TABS DATA -&gt;</vt:lpstr>
      <vt:lpstr>B1-Electric Ops Rvn</vt:lpstr>
      <vt:lpstr>B2-O&amp;M</vt:lpstr>
      <vt:lpstr>B3-Depreciation Exp</vt:lpstr>
      <vt:lpstr>B4-Amortization Exp</vt:lpstr>
      <vt:lpstr>B5-Taxes Other Than Income</vt:lpstr>
      <vt:lpstr>B8-EPIS</vt:lpstr>
      <vt:lpstr>B10-PHFU</vt:lpstr>
      <vt:lpstr>B11-Misc Def Debt</vt:lpstr>
      <vt:lpstr>B13-Materials &amp; Supplies</vt:lpstr>
      <vt:lpstr>B15-Misc Rate Base</vt:lpstr>
      <vt:lpstr>B16-Reg Assets</vt:lpstr>
      <vt:lpstr>B17-Depr Res</vt:lpstr>
      <vt:lpstr>B18-Amort Res</vt:lpstr>
      <vt:lpstr>B19-ITC Balance</vt:lpstr>
      <vt:lpstr>B19-DIT Balance</vt:lpstr>
      <vt:lpstr>B20-Customer Adv</vt:lpstr>
      <vt:lpstr>PPC Charge</vt:lpstr>
      <vt:lpstr>Bridger</vt:lpstr>
      <vt:lpstr>Trapper</vt:lpstr>
      <vt:lpstr>FF1 DATA -&gt;</vt:lpstr>
      <vt:lpstr>Pg 110 - Balance Sheet (Assets)</vt:lpstr>
      <vt:lpstr>Pg 112 - Balance Sheet (Liab &amp; </vt:lpstr>
      <vt:lpstr>Pg 114 - Income Statement</vt:lpstr>
      <vt:lpstr>421 - Misc Income_2023</vt:lpstr>
      <vt:lpstr>407.3 - Reg Debits_2023</vt:lpstr>
      <vt:lpstr>Pg 118 - Retained Earnings</vt:lpstr>
      <vt:lpstr>Pg 120 - Statement of Cash Flow</vt:lpstr>
      <vt:lpstr>Pg 122ab - Statement of AOCI</vt:lpstr>
      <vt:lpstr>Pg 200 - Utility Plant</vt:lpstr>
      <vt:lpstr>Pg 204 - Plant in Service (Form</vt:lpstr>
      <vt:lpstr>Pg 214 - Electric Plant Held fo</vt:lpstr>
      <vt:lpstr>Pg 216 - Construction Work in P</vt:lpstr>
      <vt:lpstr>Pg 219 - Accumulated Provision </vt:lpstr>
      <vt:lpstr>Pg 224 - Investments in Subsidi</vt:lpstr>
      <vt:lpstr>Pg 227 - Materials and Supplies</vt:lpstr>
      <vt:lpstr>Pg 228a  - Allowances SO2</vt:lpstr>
      <vt:lpstr>Pg 231 - Interconnection Study </vt:lpstr>
      <vt:lpstr>Pg 232 Regulatory Assets</vt:lpstr>
      <vt:lpstr>Pg 278 Regulatory Liabilities</vt:lpstr>
      <vt:lpstr>Pg 233 - Miscellaneous Deferred</vt:lpstr>
      <vt:lpstr>Pg 234 - Accumulated Deferred I</vt:lpstr>
      <vt:lpstr>Pg 250 - Capital Stocks</vt:lpstr>
      <vt:lpstr>Pg 253 - Other Paid-In Capital</vt:lpstr>
      <vt:lpstr>Pg 254b - Capital Stock Expense</vt:lpstr>
      <vt:lpstr>Pg 256 - Long-Term Debt</vt:lpstr>
      <vt:lpstr>Pg 261 - Recon of Net Income wi</vt:lpstr>
      <vt:lpstr>Pg 262 - Taxes Accrued Prepaid </vt:lpstr>
      <vt:lpstr>Pg 266 - Accumulated Deferred I</vt:lpstr>
      <vt:lpstr>Pg 269 - Other Deferred Credits</vt:lpstr>
      <vt:lpstr>Pg 272 - ADIT - Accelerated Amo</vt:lpstr>
      <vt:lpstr>Pg 274 - ADIT - Other Property</vt:lpstr>
      <vt:lpstr>Pg 276 - ADIT - Other</vt:lpstr>
      <vt:lpstr>Pg 300 - Electric Operating Rev</vt:lpstr>
      <vt:lpstr>pg 304 Summary</vt:lpstr>
      <vt:lpstr>Pg 304 - Sales of Electricity b</vt:lpstr>
      <vt:lpstr>Pg 304 - Sales of Electricity -</vt:lpstr>
      <vt:lpstr>Pg 304 - Sales of Electricit(1)</vt:lpstr>
      <vt:lpstr>Pg 304 - Sales of Electricit(2)</vt:lpstr>
      <vt:lpstr>Pg 310 - Sales for Resale (23)</vt:lpstr>
      <vt:lpstr>Pg 310 - Sales for Resale (22)</vt:lpstr>
      <vt:lpstr>Pg 310 - Sales for Resale (21)</vt:lpstr>
      <vt:lpstr>Pgs 320-323 - O&amp;M Expenses (For</vt:lpstr>
      <vt:lpstr>Pg 326 - Purchased Power (23)</vt:lpstr>
      <vt:lpstr>Pg 326 - Purchased Power (22)</vt:lpstr>
      <vt:lpstr>Pg 326 - Purchased Power (21)</vt:lpstr>
      <vt:lpstr>Pg 328 - Transmission Revenue</vt:lpstr>
      <vt:lpstr>Pg 332 - Transmission Expense</vt:lpstr>
      <vt:lpstr>Pg 335 - Miscellaneous General </vt:lpstr>
      <vt:lpstr>Pg 336 - Depreciation and Amort</vt:lpstr>
      <vt:lpstr>Pg 337 - Depreciation and Amort</vt:lpstr>
      <vt:lpstr>Pg 350 - Regulatory Commission </vt:lpstr>
      <vt:lpstr>Pg 352 - Research Development a</vt:lpstr>
      <vt:lpstr>Pg 354 - Distribution of Salari</vt:lpstr>
      <vt:lpstr>Pg 397 - Included in ISORTO Set</vt:lpstr>
      <vt:lpstr>Pg 398 - PurchaseSale of Ancill</vt:lpstr>
      <vt:lpstr>Pg 400 - Monthly Transmission S</vt:lpstr>
      <vt:lpstr>Pg 401a - Electric Energy Accou</vt:lpstr>
      <vt:lpstr>Pg 401b - Monthly Peaks and Out</vt:lpstr>
      <vt:lpstr>Pg 402 - Steam Plant Stats - Co</vt:lpstr>
      <vt:lpstr>Pg 402.1 - Steam Plant Stats - </vt:lpstr>
      <vt:lpstr>Pg 402.2 - Steam Plant Stats - </vt:lpstr>
      <vt:lpstr>Pg 402.3 - Steam Plant Stats - </vt:lpstr>
      <vt:lpstr>Pg. 406 - Large Hydro Plant Sta</vt:lpstr>
      <vt:lpstr>Pg. 406.1 - Large Hydro Plant S</vt:lpstr>
      <vt:lpstr>Pg. 406.2 - Large Hydro Plant S</vt:lpstr>
      <vt:lpstr>Pg. 406.3 - Large Hydro Plant S</vt:lpstr>
      <vt:lpstr>Pg 410 - Generating Plant Stati</vt:lpstr>
      <vt:lpstr>Pg. 410 Column f - Cost of Plan</vt:lpstr>
      <vt:lpstr>Pg 422 - Transmission Line Stat</vt:lpstr>
      <vt:lpstr>Pg 422.1 - Transmission Line St</vt:lpstr>
      <vt:lpstr>Pg 422.2 - Transmission Line St</vt:lpstr>
      <vt:lpstr>Pg 422.3 - Transmission Line St</vt:lpstr>
      <vt:lpstr>Pg 422.4 - Transmission Line St</vt:lpstr>
      <vt:lpstr>Pg 424 - Transmission Lines Add</vt:lpstr>
      <vt:lpstr>Pg 426 - Substations - CA</vt:lpstr>
      <vt:lpstr>Pg 426 - Substations - ID</vt:lpstr>
      <vt:lpstr>Pg 426 - Substations - MT</vt:lpstr>
      <vt:lpstr>Pg 426 - Substations - OR</vt:lpstr>
      <vt:lpstr>Pg 426 - Substations - UT</vt:lpstr>
      <vt:lpstr>Pg 426 - Substations - WA</vt:lpstr>
      <vt:lpstr>Pg 426 - Substations - WY</vt:lpstr>
      <vt:lpstr>Pg 429 - Transactions with Asso</vt:lpstr>
      <vt:lpstr>ForecastImport</vt:lpstr>
      <vt:lpstr>DataImport</vt:lpstr>
      <vt:lpstr>'Sch 1- Rate Base  (ID)'!DIST</vt:lpstr>
      <vt:lpstr>'Sch 1- Rate Base  (OR)'!DIST</vt:lpstr>
      <vt:lpstr>'Sch 1- Rate Base  (WA)'!DIST</vt:lpstr>
      <vt:lpstr>DIST</vt:lpstr>
      <vt:lpstr>'3-YEAR PP &amp; OSS Worksheet'!Print_Area</vt:lpstr>
      <vt:lpstr>'Above-RHWM_Base_Calc'!Print_Area</vt:lpstr>
      <vt:lpstr>'A-RHWM_Ratios'!Print_Area</vt:lpstr>
      <vt:lpstr>'Base Expense Data'!Print_Area</vt:lpstr>
      <vt:lpstr>'Load Forecast'!Print_Area</vt:lpstr>
      <vt:lpstr>'New Resources - Group'!Print_Area</vt:lpstr>
      <vt:lpstr>'New Resources - Individual'!Print_Area</vt:lpstr>
      <vt:lpstr>'NLSL_Base_New-Calc'!Print_Area</vt:lpstr>
      <vt:lpstr>'Pg 110 - Balance Sheet (Assets)'!Print_Area</vt:lpstr>
      <vt:lpstr>'Pg 112 - Balance Sheet (Liab &amp; '!Print_Area</vt:lpstr>
      <vt:lpstr>'Pg 114 - Income Statement'!Print_Area</vt:lpstr>
      <vt:lpstr>'Pg 118 - Retained Earnings'!Print_Area</vt:lpstr>
      <vt:lpstr>'Pg 120 - Statement of Cash Flow'!Print_Area</vt:lpstr>
      <vt:lpstr>'Pg 122ab - Statement of AOCI'!Print_Area</vt:lpstr>
      <vt:lpstr>'Pg 200 - Utility Plant'!Print_Area</vt:lpstr>
      <vt:lpstr>'Pg 231 - Interconnection Study '!Print_Area</vt:lpstr>
      <vt:lpstr>'Pg 232 Regulatory Assets'!Print_Area</vt:lpstr>
      <vt:lpstr>'Pg 278 Regulatory Liabilities'!Print_Area</vt:lpstr>
      <vt:lpstr>'Pg 300 - Electric Operating Rev'!Print_Area</vt:lpstr>
      <vt:lpstr>'Pg 328 - Transmission Revenue'!Print_Area</vt:lpstr>
      <vt:lpstr>'Pg 332 - Transmission Expense'!Print_Area</vt:lpstr>
      <vt:lpstr>'Pg 335 - Miscellaneous General '!Print_Area</vt:lpstr>
      <vt:lpstr>'Pg 336 - Depreciation and Amort'!Print_Area</vt:lpstr>
      <vt:lpstr>'Pg 337 - Depreciation and Amort'!Print_Area</vt:lpstr>
      <vt:lpstr>'Pg 397 - Included in ISORTO Set'!Print_Area</vt:lpstr>
      <vt:lpstr>'Pg 400 - Monthly Transmission S'!Print_Area</vt:lpstr>
      <vt:lpstr>'Pgs 320-323 - O&amp;M Expenses (For'!Print_Area</vt:lpstr>
      <vt:lpstr>'PPC Charge'!Print_Area</vt:lpstr>
      <vt:lpstr>'RATE BASE DATA'!Print_Area</vt:lpstr>
      <vt:lpstr>Ratios!Print_Area</vt:lpstr>
      <vt:lpstr>Salaries!Print_Area</vt:lpstr>
      <vt:lpstr>'Sch 1- Rate Base '!Print_Area</vt:lpstr>
      <vt:lpstr>'Sch 1- Rate Base  (ID)'!Print_Area</vt:lpstr>
      <vt:lpstr>'Sch 1- Rate Base  (OR)'!Print_Area</vt:lpstr>
      <vt:lpstr>'Sch 1- Rate Base  (WA)'!Print_Area</vt:lpstr>
      <vt:lpstr>'Sch 2 -Rate of Return'!Print_Area</vt:lpstr>
      <vt:lpstr>'Sch 3 - Expenses'!Print_Area</vt:lpstr>
      <vt:lpstr>'Sch 3A - Taxes'!Print_Area</vt:lpstr>
      <vt:lpstr>'Sch 3B - Other Items'!Print_Area</vt:lpstr>
      <vt:lpstr>'Sch 4 - Average System Cost'!Print_Area</vt:lpstr>
      <vt:lpstr>Trapper!Print_Area</vt:lpstr>
      <vt:lpstr>'A-RHWM_Ratios'!Print_Titles</vt:lpstr>
      <vt:lpstr>'Base Expense Data'!Print_Titles</vt:lpstr>
      <vt:lpstr>'PPC Charge'!Print_Titles</vt:lpstr>
      <vt:lpstr>'RATE BASE DATA'!Print_Titles</vt:lpstr>
      <vt:lpstr>Ratios!Print_Titles</vt:lpstr>
      <vt:lpstr>'Sch 1- Rate Base '!Print_Titles</vt:lpstr>
      <vt:lpstr>'Sch 1- Rate Base  (ID)'!Print_Titles</vt:lpstr>
      <vt:lpstr>'Sch 1- Rate Base  (OR)'!Print_Titles</vt:lpstr>
      <vt:lpstr>'Sch 1- Rate Base  (WA)'!Print_Titles</vt:lpstr>
      <vt:lpstr>'Sch 2 -Rate of Return'!Print_Titles</vt:lpstr>
      <vt:lpstr>'Sch 3 - Expenses'!Print_Titles</vt:lpstr>
      <vt:lpstr>'Sch 3A - Taxes'!Print_Titles</vt:lpstr>
      <vt:lpstr>'Sch 4 - Average System Cost'!Print_Titles</vt:lpstr>
      <vt:lpstr>'Sch 1- Rate Base  (ID)'!PROD</vt:lpstr>
      <vt:lpstr>'Sch 1- Rate Base  (OR)'!PROD</vt:lpstr>
      <vt:lpstr>'Sch 1- Rate Base  (WA)'!PROD</vt:lpstr>
      <vt:lpstr>PROD</vt:lpstr>
      <vt:lpstr>'Sch 1- Rate Base  (ID)'!PTD</vt:lpstr>
      <vt:lpstr>'Sch 1- Rate Base  (OR)'!PTD</vt:lpstr>
      <vt:lpstr>'Sch 1- Rate Base  (WA)'!PTD</vt:lpstr>
      <vt:lpstr>PTD</vt:lpstr>
      <vt:lpstr>'A-RHWM_Ratios'!Ratio</vt:lpstr>
      <vt:lpstr>Ratio</vt:lpstr>
    </vt:vector>
  </TitlesOfParts>
  <Company>Bonneville Power Administration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BPA Amended Appendix 1</dc:title>
  <dc:subject>Average System Cost Methodology</dc:subject>
  <dc:creator>Bonneville Power Administration</dc:creator>
  <dc:description>FY 2020-2021 ASC Review Process</dc:description>
  <cp:lastModifiedBy>Edwards,Michael D (BPA) - PSRF-6</cp:lastModifiedBy>
  <cp:lastPrinted>2022-04-07T16:57:44Z</cp:lastPrinted>
  <dcterms:created xsi:type="dcterms:W3CDTF">2002-12-16T15:40:56Z</dcterms:created>
  <dcterms:modified xsi:type="dcterms:W3CDTF">2025-11-07T17:44:37Z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Utility">
    <vt:lpwstr>PGE</vt:lpwstr>
  </property>
  <property fmtid="{D5CDD505-2E9C-101B-9397-08002B2CF9AE}" pid="3" name="Fiscal Year">
    <vt:lpwstr>FY 10-11</vt:lpwstr>
  </property>
  <property fmtid="{D5CDD505-2E9C-101B-9397-08002B2CF9AE}" pid="4" name="ContentType">
    <vt:lpwstr>Document</vt:lpwstr>
  </property>
</Properties>
</file>